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Warkah" sheetId="1" r:id="rId5"/>
    <sheet state="visible" name="Validator" sheetId="2" r:id="rId6"/>
    <sheet state="hidden" name="Sheet3" sheetId="3" r:id="rId7"/>
  </sheets>
  <definedNames>
    <definedName hidden="1" localSheetId="1" name="_xlnm._FilterDatabase">Validator!$B$6:$T$5241</definedName>
  </definedNames>
  <calcPr/>
</workbook>
</file>

<file path=xl/sharedStrings.xml><?xml version="1.0" encoding="utf-8"?>
<sst xmlns="http://schemas.openxmlformats.org/spreadsheetml/2006/main" count="24084" uniqueCount="5116">
  <si>
    <t>Nomor Sertipikat</t>
  </si>
  <si>
    <t>Nomor Tiket</t>
  </si>
  <si>
    <t>Nama Petugas BT</t>
  </si>
  <si>
    <t>Status BT</t>
  </si>
  <si>
    <t>Tanggal Selesai Validasi BT</t>
  </si>
  <si>
    <t>Nama Petugas Validator SU</t>
  </si>
  <si>
    <t>Ceklis kembali ke Warkah Sementara</t>
  </si>
  <si>
    <t>DIberikan Kepada Warkah Sementara</t>
  </si>
  <si>
    <t>Keterangan Validator</t>
  </si>
  <si>
    <t>M. 2206/ Perumnas Way Halim</t>
  </si>
  <si>
    <t>K/42/061124/1</t>
  </si>
  <si>
    <t>Nadian (BT)</t>
  </si>
  <si>
    <t>SELESAI</t>
  </si>
  <si>
    <t>#######</t>
  </si>
  <si>
    <t>HGB 811/KETEGUHAN</t>
  </si>
  <si>
    <t>L/37/061124/1</t>
  </si>
  <si>
    <t>M. 4728/ Langkapura</t>
  </si>
  <si>
    <t>K/34/131124/1</t>
  </si>
  <si>
    <t>M.2702/SUMBERREJO-SEKARANG;B.787/SUMBERREJO-DAHULU</t>
  </si>
  <si>
    <t>K/14/101224/4</t>
  </si>
  <si>
    <t>Afriza (BT)</t>
  </si>
  <si>
    <t>B. 337/ Rajabasa Pemuka</t>
  </si>
  <si>
    <t>K/22/061224/2</t>
  </si>
  <si>
    <t>SELESAI (VIA PERMOHONAN)</t>
  </si>
  <si>
    <t>M. 1020/ Kali Balau Kencana</t>
  </si>
  <si>
    <t>K/22/161224/3</t>
  </si>
  <si>
    <t>Aprill (SU)</t>
  </si>
  <si>
    <t>hanya bt,su</t>
  </si>
  <si>
    <t>M. 4592/ Gunung Terang</t>
  </si>
  <si>
    <t>K/1/061224/1</t>
  </si>
  <si>
    <t>M. 1113/ Sepang Jaya</t>
  </si>
  <si>
    <t>K/4/131224/1</t>
  </si>
  <si>
    <t>M.53/BATU PUTU</t>
  </si>
  <si>
    <t>K/2/171224/2</t>
  </si>
  <si>
    <t xml:space="preserve"> </t>
  </si>
  <si>
    <t>B.802/SUMUR PUTRI</t>
  </si>
  <si>
    <t>K/15/131224/3</t>
  </si>
  <si>
    <t>Kantor Pertanahan Kota Bandar Lampung</t>
  </si>
  <si>
    <t>M.2970/SUKARAME BARU</t>
  </si>
  <si>
    <t>K/19/131224/4</t>
  </si>
  <si>
    <t>To :</t>
  </si>
  <si>
    <t>Teman teman validator</t>
  </si>
  <si>
    <t>M. 168/ Kaliawi</t>
  </si>
  <si>
    <t>K/7/131224/1</t>
  </si>
  <si>
    <t>Lembar Kerja Validator</t>
  </si>
  <si>
    <t>M. 4231/ Rajabasa Jaya</t>
  </si>
  <si>
    <t>Jika ketika melakukan input nomor hak, kolom C berubah menjadi merah, artinya nomor hak tersebut sudah pernah diinput, maka mohon Ctrl + F untuk melakukan input data Validasi BT SU</t>
  </si>
  <si>
    <t>K/10/161224/1</t>
  </si>
  <si>
    <t>No</t>
  </si>
  <si>
    <t>B. 348/ Rajabasa Pemuka</t>
  </si>
  <si>
    <t>K/21/061224/1</t>
  </si>
  <si>
    <t>M.4725/LANGKAPURA</t>
  </si>
  <si>
    <t>K/38/171224/2</t>
  </si>
  <si>
    <t>M.542/KORPRI RAYA-SEKARANG;M.11104/SUKAARME I-DAHULU</t>
  </si>
  <si>
    <t>K/33/021224/1</t>
  </si>
  <si>
    <t>Tanggal Diserhkan BT SU</t>
  </si>
  <si>
    <t>Petugas Warkah</t>
  </si>
  <si>
    <t>Jenis Permohonan</t>
  </si>
  <si>
    <t>B.820/PERUMNAS WAY KANDIS-SEKARANG;B.579/WAY KANDIS-DAHULU</t>
  </si>
  <si>
    <t>K/16/131224/1</t>
  </si>
  <si>
    <t>Status Validasi SU</t>
  </si>
  <si>
    <t>Tanggal Selesai Validasi SU</t>
  </si>
  <si>
    <t>Kesimupulan Validator</t>
  </si>
  <si>
    <t>M. 2380/ Sukarame Baru</t>
  </si>
  <si>
    <t>Tangal BT SU Selesai</t>
  </si>
  <si>
    <t>K/21/111224/3</t>
  </si>
  <si>
    <t>Ceklis</t>
  </si>
  <si>
    <t>Diberikan kepada Petugas Alih Media</t>
  </si>
  <si>
    <t>M. 1921/ Kedaung</t>
  </si>
  <si>
    <t>K/8/161224/1</t>
  </si>
  <si>
    <t>B. 334/ Rajabasa pemuka</t>
  </si>
  <si>
    <t>K/30/051224/2</t>
  </si>
  <si>
    <t>B.895/BERINGIN JAYA</t>
  </si>
  <si>
    <t>M.1805/WAY GUBAK</t>
  </si>
  <si>
    <t>K/18/131224/3</t>
  </si>
  <si>
    <t>M.5631/LANGKAPURA-SEKARANG-M.3781/GUNUNG TERANG-DAHULU</t>
  </si>
  <si>
    <t>K/34/161224/2</t>
  </si>
  <si>
    <r>
      <rPr>
        <color rgb="FFFFFFFF"/>
        <u/>
      </rPr>
      <t>https://docs.google.com/spreadsheets/d/16XN9SbyWxKb5HY5afp3DgAofRrypHZI6wwotvRB0pTc/edit?usp=sharing</t>
    </r>
    <r>
      <rPr>
        <color theme="0"/>
      </rPr>
      <t>\</t>
    </r>
  </si>
  <si>
    <t>M.1602/SUSUNAN BARU</t>
  </si>
  <si>
    <t>K/13/171224/1</t>
  </si>
  <si>
    <t>M. 2874/ Way Laga</t>
  </si>
  <si>
    <t>K/8/061224/1</t>
  </si>
  <si>
    <t>HGB 98/PINANG JAYA</t>
  </si>
  <si>
    <t>L/11/181224/1</t>
  </si>
  <si>
    <t>M. 4224/ Langkapura</t>
  </si>
  <si>
    <t>K/12/181224/1</t>
  </si>
  <si>
    <t>M. 1648/ Bumi Kedamaian</t>
  </si>
  <si>
    <t>K/45/181224/1</t>
  </si>
  <si>
    <t>Nama Petugas Warkah</t>
  </si>
  <si>
    <t>M. 3349/ Kemiling Permai</t>
  </si>
  <si>
    <t>K/41/171224/1</t>
  </si>
  <si>
    <t>Status Sertipikat</t>
  </si>
  <si>
    <t>B. 5631/ Beringin Raya; B. 1269/ Sumberrejo-dahulu</t>
  </si>
  <si>
    <t>K/21/191224/1</t>
  </si>
  <si>
    <t>Tanggal diserahkan kepada Validator</t>
  </si>
  <si>
    <t>HM 1818/LABUHAN DALAM</t>
  </si>
  <si>
    <t>L/31/101224/1</t>
  </si>
  <si>
    <t>Count</t>
  </si>
  <si>
    <t>M. 1942/ Sukabumi Indah</t>
  </si>
  <si>
    <t>K/20/121224/1</t>
  </si>
  <si>
    <t>M. 663/ Tanjung Gading</t>
  </si>
  <si>
    <t>K/28/191224/2</t>
  </si>
  <si>
    <t>M.11875/SEGALA MIDER</t>
  </si>
  <si>
    <t>K/46/191224/1</t>
  </si>
  <si>
    <t>M.2129/GEDONG AIR</t>
  </si>
  <si>
    <t>K/48/191224/3</t>
  </si>
  <si>
    <t>M.699/RAJABASA RAYA</t>
  </si>
  <si>
    <t>K/50/191224/1</t>
  </si>
  <si>
    <t>Link Kerja Warkah</t>
  </si>
  <si>
    <t>HM 466/GUNUNG MAS</t>
  </si>
  <si>
    <t>L/29/131224/1</t>
  </si>
  <si>
    <t>https://docs.google.com/spreadsheets/d/16XN9SbyWxKb5HY5afp3DgAofRrypHZI6wwotvRB0pTc/edit?usp=sharing</t>
  </si>
  <si>
    <t>B. 345/ Rajabasa Pemuka</t>
  </si>
  <si>
    <t>K/14/041224/3</t>
  </si>
  <si>
    <t>M. 3605/ Rajabasa Jaya</t>
  </si>
  <si>
    <t>K/11/161224/2</t>
  </si>
  <si>
    <t>M. 339/ RAJABASA RAYA</t>
  </si>
  <si>
    <t>K/8/191224/1</t>
  </si>
  <si>
    <t>HM 844/PENENGAHAN RAYA</t>
  </si>
  <si>
    <t>L/30/171224/1</t>
  </si>
  <si>
    <t>M.567/KORPRI RAYA-SEKARANG;M.10866/SUKARAME I</t>
  </si>
  <si>
    <t>K/22/171224/2</t>
  </si>
  <si>
    <t>B.1369/KEMILING PERMAI</t>
  </si>
  <si>
    <t>K/27/181224/1</t>
  </si>
  <si>
    <t>M.10776/SIDODADI-SEKARANG;M.9026/SIDODADI-DAHULU</t>
  </si>
  <si>
    <t>K/30/281124/1</t>
  </si>
  <si>
    <t>M.10130/SUKABUMI</t>
  </si>
  <si>
    <t>K/21/171224/1</t>
  </si>
  <si>
    <t>M.6406/WAY KANDIS</t>
  </si>
  <si>
    <t>K/11/171224/1</t>
  </si>
  <si>
    <t>M. 1025/ Bumi Kedamaian</t>
  </si>
  <si>
    <t>K/49/191224/1</t>
  </si>
  <si>
    <t>M. 1263/ Langkapura Baru</t>
  </si>
  <si>
    <t>K/11/191224/1</t>
  </si>
  <si>
    <t>HM 1090/KEDAUNG</t>
  </si>
  <si>
    <t>L/28/201224/1</t>
  </si>
  <si>
    <t>M. 1313,1312/ GOTONG ROYONG</t>
  </si>
  <si>
    <t>K/1/191224/1</t>
  </si>
  <si>
    <t>M. 367/ Sukamenanti Baru</t>
  </si>
  <si>
    <t>M.11980/JAGABAYA II</t>
  </si>
  <si>
    <t>K/27/131224/2</t>
  </si>
  <si>
    <t>M.471/KOTA SEPANG-SEKARANG; M.9885/KEDATON-DAHULU</t>
  </si>
  <si>
    <t>K/38/181224/1</t>
  </si>
  <si>
    <t>M. 9662/ KEDAMAIAN</t>
  </si>
  <si>
    <t>K/22/051224/4</t>
  </si>
  <si>
    <t>M.1640/WAY LAGA</t>
  </si>
  <si>
    <t>K/5/241224/1</t>
  </si>
  <si>
    <t>M.2615/PINANG JAYA</t>
  </si>
  <si>
    <t>K/60/231224/1</t>
  </si>
  <si>
    <t>M. 3212/ Rajabasa Jaya</t>
  </si>
  <si>
    <t>K/16/231224/2</t>
  </si>
  <si>
    <t>M.75/SUKARAME BARU-SEKARANG;M.749/SUKARAME I-DAHULU</t>
  </si>
  <si>
    <t>K/10/241224/1</t>
  </si>
  <si>
    <t>M.1855/WAY KANDIS</t>
  </si>
  <si>
    <t>K/7/241224/3</t>
  </si>
  <si>
    <t>HM 9966/KEDAMAIAN</t>
  </si>
  <si>
    <t>L/8/241224/1</t>
  </si>
  <si>
    <t>M. 1517/ Sepang Jaya</t>
  </si>
  <si>
    <t>K/57/231224/1</t>
  </si>
  <si>
    <t>M. 58/ Campang Jaya</t>
  </si>
  <si>
    <t>K/9/241224/1</t>
  </si>
  <si>
    <t>HM 1527/RAJABASA NUNYAI (SUPER PRIORITAS)</t>
  </si>
  <si>
    <t>B. 2017; 2018/ Sukarame</t>
  </si>
  <si>
    <t>K/56/231224/1</t>
  </si>
  <si>
    <t>M. 224/ Tanjungraya</t>
  </si>
  <si>
    <t>K/1/231224/1</t>
  </si>
  <si>
    <t>M. 1389/ Rajabasa Pemuka</t>
  </si>
  <si>
    <t>K/47/231224/1</t>
  </si>
  <si>
    <t>M. 2229/ Sukadana Ham</t>
  </si>
  <si>
    <t>K/40/241224/1</t>
  </si>
  <si>
    <t>HM 9674/KEDATON</t>
  </si>
  <si>
    <t>L/24/241224/1</t>
  </si>
  <si>
    <t>M. 1132/ Kota Baru</t>
  </si>
  <si>
    <t>K/21/241224/2</t>
  </si>
  <si>
    <t>HM 306/GUNUNG AGUNG</t>
  </si>
  <si>
    <t>L/17/241224/1</t>
  </si>
  <si>
    <t>M. 1422/ Gunung Sulah</t>
  </si>
  <si>
    <t>K/16/241224/1</t>
  </si>
  <si>
    <t>M. 737/ Perumnas Way Kandis</t>
  </si>
  <si>
    <t>K/25/241224/1</t>
  </si>
  <si>
    <t>M. 1425/ Bumi Kedamaian</t>
  </si>
  <si>
    <t>K/29/241224/1</t>
  </si>
  <si>
    <t>M. 1928/ Campang Jaya</t>
  </si>
  <si>
    <t>K/35/241224/1</t>
  </si>
  <si>
    <t>B. 629/ Sukarame Baru</t>
  </si>
  <si>
    <t>K/41/241224/1</t>
  </si>
  <si>
    <t>M. 107/ Palapa</t>
  </si>
  <si>
    <t>K/38/241224/1</t>
  </si>
  <si>
    <t>M.56/TANJUNG GADING</t>
  </si>
  <si>
    <t>K/61/231224/2</t>
  </si>
  <si>
    <t>M.1001/LANGKAPURA</t>
  </si>
  <si>
    <t>K/18/181224/2</t>
  </si>
  <si>
    <t>M.1114/LANGKAPURA</t>
  </si>
  <si>
    <t>K/17/181224/1</t>
  </si>
  <si>
    <t>HM 4010/TANJUNG SENANG</t>
  </si>
  <si>
    <t>B. 1701/ Sukarame</t>
  </si>
  <si>
    <t>K/25/231224/3</t>
  </si>
  <si>
    <t>Bu Eva (SU)</t>
  </si>
  <si>
    <t>M. 2589/ Kota Baru</t>
  </si>
  <si>
    <t>HM 401/KALI BALAU KENCANA</t>
  </si>
  <si>
    <t>M. 11294/ Labuhan Ratu</t>
  </si>
  <si>
    <t>M. 288/ Kaliawi</t>
  </si>
  <si>
    <t>PERBAIKAN</t>
  </si>
  <si>
    <t>M. 1186/ Enggal</t>
  </si>
  <si>
    <t>M.1095/NOG</t>
  </si>
  <si>
    <t>M.13036/SUKABUMI</t>
  </si>
  <si>
    <t>HGB 416/WAY KANDIS</t>
  </si>
  <si>
    <t>M. 2465/ Pinang jaya</t>
  </si>
  <si>
    <t>M.1552/PESAWAHAN</t>
  </si>
  <si>
    <t>B. 653; 654/ Pesawahan dan SHT 1213/2008 dan SHT 3013/2006</t>
  </si>
  <si>
    <t>HM 1375/TANJUNG SENENG</t>
  </si>
  <si>
    <t>HM 16138/SUKARAME I</t>
  </si>
  <si>
    <t>masi proses perbaikan sekitar sudah di fotokopi</t>
  </si>
  <si>
    <t>M. 377/ ENGGAL</t>
  </si>
  <si>
    <t>B. 649/ Sumber Agung</t>
  </si>
  <si>
    <t>HM 296/RAJABASA RAYA</t>
  </si>
  <si>
    <t>M.13833/RAJABASA</t>
  </si>
  <si>
    <t>M.598/GUNUNG TERANG</t>
  </si>
  <si>
    <t>M.2473/RAJABASA JAYA</t>
  </si>
  <si>
    <t>HM 180/PINANG JAYA</t>
  </si>
  <si>
    <t>HM 2414/KUPANG TEBA</t>
  </si>
  <si>
    <t>M. 467/ Sumur Putri</t>
  </si>
  <si>
    <t>M.2704/SUKARAME BARU-SEKARANG;B.986/SUKARAME -DAHULU</t>
  </si>
  <si>
    <t>HM 101/KEMILING RAYA</t>
  </si>
  <si>
    <t>HGB 3764/BERINGIN RAYA</t>
  </si>
  <si>
    <t>M. 240/ Kemiling Permai</t>
  </si>
  <si>
    <t>HM 15995/SUKARAME I</t>
  </si>
  <si>
    <t>HM 2993/CAMPANG RAYA-SEKARANG;HGB 2402/CAMPANG RAYA-DAHULU</t>
  </si>
  <si>
    <t>M. 11632/ Sukarame</t>
  </si>
  <si>
    <t>M. 2226/ kedaung</t>
  </si>
  <si>
    <t>M. 1992/ L R R</t>
  </si>
  <si>
    <t>M. 543/ Sumur Putri</t>
  </si>
  <si>
    <t>M. 8119/ Sukabumi</t>
  </si>
  <si>
    <t>M. 1046/ Kupang Teba</t>
  </si>
  <si>
    <t>perbaikan sekitar sudah di fc</t>
  </si>
  <si>
    <t>M. 1186/ Teluk betung</t>
  </si>
  <si>
    <t>M.3337/SUKADANA HAM</t>
  </si>
  <si>
    <t>M.3338/SUKADANA HAM</t>
  </si>
  <si>
    <t>M. 1556/ Bumi Waras</t>
  </si>
  <si>
    <t>HM 3875/LANGKAPURA</t>
  </si>
  <si>
    <t>HGB 143/KAMPUNG BARU</t>
  </si>
  <si>
    <t>M.26/LANGKAPURA BARU-SEKARANG;B.113/LANGKAPURA-DAHULU</t>
  </si>
  <si>
    <t>M.12607/RAJABASA;B.1164/RAJABASA-DAHULU</t>
  </si>
  <si>
    <t>M. 3903/ Way Kandis</t>
  </si>
  <si>
    <t>M. 11085/ Kedamaian; SHT 4351/2015</t>
  </si>
  <si>
    <t>M. 2278/ Rajabasa Jaya</t>
  </si>
  <si>
    <t>HM 1642/KOTA KARANG</t>
  </si>
  <si>
    <t>M.1878/KEDAUNG</t>
  </si>
  <si>
    <t>HM 1366/KALIAWI</t>
  </si>
  <si>
    <t>M.16877/SUKARAME I</t>
  </si>
  <si>
    <t>M.4791/BERINGIN RAYA-SEKARANG;B.1135/SUMBERREJO-DAHULU</t>
  </si>
  <si>
    <t>M. 224/ Kampung Baru Raya</t>
  </si>
  <si>
    <t>B.311/PEMATANG WANGI;B.546/TJ SENANG-DAHULU</t>
  </si>
  <si>
    <t>M. 1120/ Sukajawa</t>
  </si>
  <si>
    <t>M. 16581/ Sukabumi</t>
  </si>
  <si>
    <t>M. 9800/ Kedamaian; SHT 2878/2017 dan SHT 1059/20211</t>
  </si>
  <si>
    <t>HMASRS/64/I/MASRS/Tanjung karang</t>
  </si>
  <si>
    <t>M.3314/KOTA KARANG</t>
  </si>
  <si>
    <t>M.14233/SEGALA MIDER</t>
  </si>
  <si>
    <t>B. 503/ Gunung Sulah</t>
  </si>
  <si>
    <t>HM 12867/TANJUNG BARU</t>
  </si>
  <si>
    <t>M.990/DURIAN PAYUNG</t>
  </si>
  <si>
    <t>HGB 254/CAMPANG RAYA</t>
  </si>
  <si>
    <t>M. 3227/Gunung Terang</t>
  </si>
  <si>
    <t>M. 9417/ Sidodadi</t>
  </si>
  <si>
    <t>M.739/NOG</t>
  </si>
  <si>
    <t>B. 903/ Kemiling Permai</t>
  </si>
  <si>
    <t>K/40/281024/1</t>
  </si>
  <si>
    <t>Berry</t>
  </si>
  <si>
    <t>BN JUAL BELI</t>
  </si>
  <si>
    <t>M. 652/ PINANG JAYA</t>
  </si>
  <si>
    <t>B.1072/CAMPANG JAYA</t>
  </si>
  <si>
    <t>M.2112 SUMBEREJO/KEMILING</t>
  </si>
  <si>
    <t>B.244/LRR;B.28/LR-DAHULU</t>
  </si>
  <si>
    <t>B.161/LRR;B.161/LR-DAHULU</t>
  </si>
  <si>
    <t>M.15567/S I</t>
  </si>
  <si>
    <t>HGB 208/PWK</t>
  </si>
  <si>
    <t>M.231/CAMPANG JAYA-SEKARANG;M.231/NUSANTARA PERMAI-DAHULU</t>
  </si>
  <si>
    <t>HGB 3734/BERINGIN RAYA</t>
  </si>
  <si>
    <t>B. 835/ Perumnas Way Kandis; B. 309/ Way Kandis</t>
  </si>
  <si>
    <t>M. 12564/ Rajabasa Nunyai; 1137/ Rajabasa Dahulu</t>
  </si>
  <si>
    <t>M. 13651/ Labuhan Ratu; SHT 2739/2019</t>
  </si>
  <si>
    <t>M.2281/SU HAM</t>
  </si>
  <si>
    <t>HM 208/KUPANG RAYA</t>
  </si>
  <si>
    <t>M. 1360/ Tanjungkarang</t>
  </si>
  <si>
    <t>HM 1869/TANJUNG SENANG</t>
  </si>
  <si>
    <t>HM 11867/LABUHAN RATU</t>
  </si>
  <si>
    <t>HM 2070/PWH</t>
  </si>
  <si>
    <t>HM 617/SUKARAJA</t>
  </si>
  <si>
    <t>M.11011/KEDAMAIAN- HT 5445/2014</t>
  </si>
  <si>
    <t>HM 2509/WAY KANDIS</t>
  </si>
  <si>
    <t>HM 2000/WAY KANDIS</t>
  </si>
  <si>
    <t>M.1637/BUMI KEDAMAIAN-SEKARANG;M.13670/KEDAMAIAN-DAHULU</t>
  </si>
  <si>
    <t>HM 1472/DURIAN PAYUNG</t>
  </si>
  <si>
    <t>M. 9298/ Rajabasa</t>
  </si>
  <si>
    <t>M. 1126/ Gotong Royong</t>
  </si>
  <si>
    <t>M. 1279/ SUKAJAWA</t>
  </si>
  <si>
    <t>HM 2643/GUNUNG TERANG</t>
  </si>
  <si>
    <t>M.600/RAJABASA NUNYAI</t>
  </si>
  <si>
    <t>HM 29/RAJABASA NUNYAI</t>
  </si>
  <si>
    <t>M.715/PINANG JAYA</t>
  </si>
  <si>
    <t>M. 141/ Talang (gedung pakuon Talang)</t>
  </si>
  <si>
    <t>M.3135/TANJUNG SENENG</t>
  </si>
  <si>
    <t>M. 963; 932/ Pengajaran; SHT2637/2017 dan SHT 2144/2017</t>
  </si>
  <si>
    <t>M.5014/RAJABASA JAYA-SEKARANG;M.9263/RAJABASA-DAHULU</t>
  </si>
  <si>
    <t>HGB 403/SUKARAME BARU</t>
  </si>
  <si>
    <t>HM 1915/GUNUNG TERANG</t>
  </si>
  <si>
    <t>B.1037/CAMPANG JAYA;B.1083/CAMPANG RAYA-DAHULU</t>
  </si>
  <si>
    <t>M.2818/GU.T;B.92/GU.T-DAHULU</t>
  </si>
  <si>
    <t>B.571/NUSANTARA PERMAI-SEKARANG;B.616/CAMPANG RAYA-DAHULU</t>
  </si>
  <si>
    <t>M.183/LABUHAN RATU RAYA</t>
  </si>
  <si>
    <t>M.1183/PERUMNAS WAY KANDIS</t>
  </si>
  <si>
    <t>M. 1333/ SEPANG JAYA</t>
  </si>
  <si>
    <t>B.698/NEGERI OLOK GADING</t>
  </si>
  <si>
    <t>M. 1871/ Tanjung Seneng</t>
  </si>
  <si>
    <t>M. 16697/ Sukabumi</t>
  </si>
  <si>
    <t>M. 4485/ Beringin Raya; B. 1808/ Beringin Raya</t>
  </si>
  <si>
    <t>B. 127/ Nusantara Permai</t>
  </si>
  <si>
    <t>HM 1095/GEDONG AIR</t>
  </si>
  <si>
    <t>M.15228/S I</t>
  </si>
  <si>
    <t>M. 639/ PEMATANG WANGI</t>
  </si>
  <si>
    <t>K/27/011124/1</t>
  </si>
  <si>
    <t>David</t>
  </si>
  <si>
    <t>B.1127/KEMILING PERMAI</t>
  </si>
  <si>
    <t>M.1563/KEMILING PERMAI</t>
  </si>
  <si>
    <t>M. 520/ Gunung Agung</t>
  </si>
  <si>
    <t>B. 578/ Sumber Agung</t>
  </si>
  <si>
    <t>B. 581/ Sumber Agung</t>
  </si>
  <si>
    <t>M.2446/RAJABASA JAYA</t>
  </si>
  <si>
    <t>M.1462/SS.B</t>
  </si>
  <si>
    <t>HM 769/WHP</t>
  </si>
  <si>
    <t>B.764/WAY KANDIS</t>
  </si>
  <si>
    <t>M.11580/SEGALA MIDER</t>
  </si>
  <si>
    <t>M.13763/RAJABASA</t>
  </si>
  <si>
    <t>B. 1655/ KANGKUNG</t>
  </si>
  <si>
    <t>M. 2245/ Sukarame Baru; B. 4947/Sukarame-dahulu</t>
  </si>
  <si>
    <t>B.661/SUKABUMI INDAH</t>
  </si>
  <si>
    <t>M.1773/SUKAJAWA</t>
  </si>
  <si>
    <t>M. 884/ SUMBER AGUNG</t>
  </si>
  <si>
    <t>M. 10227/ Segala Mider</t>
  </si>
  <si>
    <t>M. 9268/ Sidodadi</t>
  </si>
  <si>
    <t>M. 12416/ Sukabumi; B. 4544/ Sukabumi</t>
  </si>
  <si>
    <t>M.4410/BERINGIN RAYA</t>
  </si>
  <si>
    <t>B.1202/SUKABUMI INDAH-SEKARANG; B.1339/SUKABUMI-DAHULU</t>
  </si>
  <si>
    <t>M. 12471/ Kedamaian</t>
  </si>
  <si>
    <t>M.1706/PERUMNAS WAY HALIM</t>
  </si>
  <si>
    <t>M.1669/KALIAWI</t>
  </si>
  <si>
    <t>M.286/LABUHAN RATU RAYA</t>
  </si>
  <si>
    <t>M. 1113/ Pematang Wangi; M. 3217/ Tanjung Senang-dahulu</t>
  </si>
  <si>
    <t>M. 2181/ Kemiling Permai; SHT 1853/2019</t>
  </si>
  <si>
    <t>M. 6475/ Way Kandis</t>
  </si>
  <si>
    <t>m.1815/RAJABASA NUNYAI_SEKARANG;b.1210/RAJABASA-DAHULU</t>
  </si>
  <si>
    <t>M. 2684/ Pinang Jaya-sekarang; B. 12782/ Pinang Jaya</t>
  </si>
  <si>
    <t>M. 676/BUMI KEDAMAIAN</t>
  </si>
  <si>
    <t>M. 14387/ Rajabasa; SHT 2838/ 2018</t>
  </si>
  <si>
    <t>M. 11169/ Tanjung Baru</t>
  </si>
  <si>
    <t>K/23/061124/1</t>
  </si>
  <si>
    <t>BN Lelang</t>
  </si>
  <si>
    <t>B.1777/JAGABAYA II-SEKARANG;B.354/JAGABAYA III-DAHULU</t>
  </si>
  <si>
    <t>B.798/SUMUR PUTRI</t>
  </si>
  <si>
    <t>M. 16717/ Sukarame I</t>
  </si>
  <si>
    <t>M.4696/SUKADANAHAM</t>
  </si>
  <si>
    <t>M.2475/PINANG JAYA</t>
  </si>
  <si>
    <t>HM 2435/PANJANG UTARA</t>
  </si>
  <si>
    <t>M. 10980/ Segala Mider</t>
  </si>
  <si>
    <t>M.12840/SEGALA MIDER-SEKARANG;B.114/SEGALA MIDER-DAHULU</t>
  </si>
  <si>
    <t>K/1/061124/1</t>
  </si>
  <si>
    <t>M.3451/KOTABARU-SEKARANG;B.211/KOTA BARU-DAHULU</t>
  </si>
  <si>
    <t>B. 388/ Panjang Utara</t>
  </si>
  <si>
    <t>B.545/GUNUNG SULAH</t>
  </si>
  <si>
    <t>M.11612/SEGALA MIDER</t>
  </si>
  <si>
    <t>GM 613/PEMATANG WANGI</t>
  </si>
  <si>
    <t>M. 1450/ Kupang Teba</t>
  </si>
  <si>
    <t>M. 541/ SAWAH LAMA</t>
  </si>
  <si>
    <t xml:space="preserve">M.4432/GUNUNG TERANG </t>
  </si>
  <si>
    <t>K/42/081124/1</t>
  </si>
  <si>
    <t>M. 6416/WAY KANDIS</t>
  </si>
  <si>
    <t>HM 683/JAGABAYA III</t>
  </si>
  <si>
    <t>HM 271/RAJABSA NUNYAI</t>
  </si>
  <si>
    <t>M.1588/SUMUR BATU</t>
  </si>
  <si>
    <t>M.1419/SUSUNAN BARU</t>
  </si>
  <si>
    <t>HM 1134/GULAK GALIK</t>
  </si>
  <si>
    <t>M.1280/KELAPA TIGA</t>
  </si>
  <si>
    <t>HM 1934/PENGAJARAN</t>
  </si>
  <si>
    <t>HM 10617/KEDAMAIAN (SHM TETANGGA)</t>
  </si>
  <si>
    <t>M.868/BAKUNG</t>
  </si>
  <si>
    <t>HMASRS. 152/SUMUR PUTRI</t>
  </si>
  <si>
    <t>M. 4901/ Langkapura</t>
  </si>
  <si>
    <t>K/39/261124/3</t>
  </si>
  <si>
    <t>M. 12112/TANJUNG BARU</t>
  </si>
  <si>
    <t>HM 838/PINANG JAYA</t>
  </si>
  <si>
    <t>HM 614/RAJABASA PEMUKA</t>
  </si>
  <si>
    <t>HM 755/RAJABASA RAYA</t>
  </si>
  <si>
    <t>M. 4936/ SUKADANA HAM</t>
  </si>
  <si>
    <t>M. 10853/ Jagabaya II</t>
  </si>
  <si>
    <t>M. 1254/ Langkapura Baru</t>
  </si>
  <si>
    <t>M. 1004/ Gunung Agung-SEKARANG; M. 9784/ SEGALA MIDER-DAHULU</t>
  </si>
  <si>
    <t xml:space="preserve">M.8738/SUKABUMI </t>
  </si>
  <si>
    <t>K/13/111124/1</t>
  </si>
  <si>
    <t>M. 1320/ Gedong Air</t>
  </si>
  <si>
    <t>M.10150/SUKAMENANTI</t>
  </si>
  <si>
    <t>M. 2237/LANGKAPURA</t>
  </si>
  <si>
    <t>M. 1200 / GULAK GALIK-SEKARANG;M. 66/SUMUR BATU-DAHULU</t>
  </si>
  <si>
    <t>M. 439/KALIAWI PERSADA-SEKARANG;B.41/SUKADANA HAM-DAHULU</t>
  </si>
  <si>
    <t>M. 657/ Kangkung</t>
  </si>
  <si>
    <t>M. 6925/TANJUNG SENANG</t>
  </si>
  <si>
    <t>M. 1467; 1474/ Tanjung Karang; SHT 5221/2017 dan 2980/2017 dan 3713/2017 dan 3715/2017 dan 2985/2017</t>
  </si>
  <si>
    <t>M. 88/ Kampung Baru Raya</t>
  </si>
  <si>
    <t>B.535/BAKUNG</t>
  </si>
  <si>
    <t>K/21/151124/2</t>
  </si>
  <si>
    <t>M.4148/LANGKAPURA</t>
  </si>
  <si>
    <t>HGB 4020/SUKABUMI</t>
  </si>
  <si>
    <t>M. 6036/WAY KANDIS</t>
  </si>
  <si>
    <t>HM 2548/WAY KANDIS</t>
  </si>
  <si>
    <t>M. 26/ Kampung Baru Raya</t>
  </si>
  <si>
    <t>HM 605/SUMBER REJO</t>
  </si>
  <si>
    <t>HM 8198/SUKABUMI</t>
  </si>
  <si>
    <t>HM 1424/BAKUNG &amp; HM 1423/BAKUNG</t>
  </si>
  <si>
    <t>M. 86/ Sawah Brebes</t>
  </si>
  <si>
    <t>K/17/030125/1</t>
  </si>
  <si>
    <t>M. 346/ Sawah Lama</t>
  </si>
  <si>
    <t>M. 1193/ Sukadana Ham</t>
  </si>
  <si>
    <t>M. 1845/ Kaliawi</t>
  </si>
  <si>
    <t>M. 942/ Sumur Putri</t>
  </si>
  <si>
    <t>HM 17408/SUKARAME</t>
  </si>
  <si>
    <t>HM 9337/SEGALA MIDER</t>
  </si>
  <si>
    <t>M. 2268/ Campang Jaya-SEKARANG; m. 1520/ CAMPANG RAYA-DULU</t>
  </si>
  <si>
    <t>M. 1635 / PANJANG SELATAN</t>
  </si>
  <si>
    <t>M. 1050/ Kaliawi</t>
  </si>
  <si>
    <t>HM 636/SUMUR BATU</t>
  </si>
  <si>
    <t>M. 253/ Bumi Kedmaian</t>
  </si>
  <si>
    <t>M. 213/ K B K</t>
  </si>
  <si>
    <t>K/58/151124/1</t>
  </si>
  <si>
    <t>HGB 172/LABUHAN DALAM</t>
  </si>
  <si>
    <t>HGB 1677/SUKARAME</t>
  </si>
  <si>
    <t>M. 468/SUMUR PUTRI</t>
  </si>
  <si>
    <t>M.4198/KETEGUHAN</t>
  </si>
  <si>
    <t>B. 625/ Kemiling Permai</t>
  </si>
  <si>
    <t>B.1319/NEGERI OLOK GADING</t>
  </si>
  <si>
    <t>HM 18712/SUKARAME</t>
  </si>
  <si>
    <t>M. 9123 / TANJUNG BARU</t>
  </si>
  <si>
    <t>M. 1103/ Sukamaju</t>
  </si>
  <si>
    <t>M. 2126/ Kangkung</t>
  </si>
  <si>
    <t>M. 1048/ Pematang Wangi</t>
  </si>
  <si>
    <t>M. 254/ Bumi Kedamaian</t>
  </si>
  <si>
    <t>M.10108/LABUHAN RATU</t>
  </si>
  <si>
    <t>K/20/151124/1</t>
  </si>
  <si>
    <t>M. 80/ Tanjung Gading</t>
  </si>
  <si>
    <t>M.3972/RAJABASA JAYA</t>
  </si>
  <si>
    <t>B. 201/LABUHAN DALAM</t>
  </si>
  <si>
    <t>B.202/LABUHAN DALAM</t>
  </si>
  <si>
    <t>HM 9634/SURABAYA</t>
  </si>
  <si>
    <t>M. 5046/ Langkapura; SHT 3779/2018</t>
  </si>
  <si>
    <t>HGB 220/BAKUNG</t>
  </si>
  <si>
    <t>HGB 50/DURIAN PAYUNG</t>
  </si>
  <si>
    <t>M. 10668/ Kedaton</t>
  </si>
  <si>
    <t>M. 740/ Perwata</t>
  </si>
  <si>
    <t>B. 770/ SUMUR PUTRI</t>
  </si>
  <si>
    <t>M. 1775/ Rajabasa Pemuka</t>
  </si>
  <si>
    <t>HM 358/WHP</t>
  </si>
  <si>
    <t>HM 17234/SUKARAME</t>
  </si>
  <si>
    <t>HM 11988/LABUHAN RATU</t>
  </si>
  <si>
    <t>M.1142/WAY HALIM PERMAI</t>
  </si>
  <si>
    <t>M. 1282/ Sukabumi Indah</t>
  </si>
  <si>
    <t>M. 10206/ Segala Mider</t>
  </si>
  <si>
    <t>M. 14241/ Sukarame</t>
  </si>
  <si>
    <t>HM 360/PESAWAHAN</t>
  </si>
  <si>
    <t>HM 9009/SUKABUMI</t>
  </si>
  <si>
    <t>B.725/SUMUR PUTRI</t>
  </si>
  <si>
    <t>M.44/BILABONG JAYA</t>
  </si>
  <si>
    <t>M.220/BATU PUTU</t>
  </si>
  <si>
    <t>K/44/191124/2</t>
  </si>
  <si>
    <t>HM 3180/KOTA BARU (BATAL, Menolak Menjadi Elektronik)</t>
  </si>
  <si>
    <t>K/23/181224/1</t>
  </si>
  <si>
    <t>M. 10144/ Kampung Baru</t>
  </si>
  <si>
    <t>HM 10385/KEDAMAIAN</t>
  </si>
  <si>
    <t>M. 1423/ Kuripan</t>
  </si>
  <si>
    <t>M. 807/ Negeri Olok Gading</t>
  </si>
  <si>
    <t>M.1458/PANJANG SELATAN</t>
  </si>
  <si>
    <t>M.6410/GUNUNG SULAH</t>
  </si>
  <si>
    <t>M. 1432/ Sumur Putri</t>
  </si>
  <si>
    <t>K/23/201124/1</t>
  </si>
  <si>
    <t>HM 2606/WAY KANDIS</t>
  </si>
  <si>
    <t>L/6/201124/1</t>
  </si>
  <si>
    <t>M. 141/ PERUMNAS WAY KANDIS-SEKARANG; B. 250/ WAY KANDIS-DAHULU</t>
  </si>
  <si>
    <t>HGB 1072/SUKABUMI INDAH</t>
  </si>
  <si>
    <t>B. 745/ Sumur Putri</t>
  </si>
  <si>
    <t>M. 2199/ Rajabasa Raya</t>
  </si>
  <si>
    <t>M. 236/ L R R</t>
  </si>
  <si>
    <t>K/2/211124/1</t>
  </si>
  <si>
    <t>HM 8969/GEDUNG MENENG</t>
  </si>
  <si>
    <t>HM 1926/PENGAJARAN</t>
  </si>
  <si>
    <t>HM 16855/SUKARAME</t>
  </si>
  <si>
    <t>M. 984/ Sukarame Baru</t>
  </si>
  <si>
    <t>M. 3347/ Kemiling Raya</t>
  </si>
  <si>
    <t>M. 2395/ Sukarame Baru</t>
  </si>
  <si>
    <t>Sudah Alih Media tetapi ada perbedaan tanggal lahir</t>
  </si>
  <si>
    <t>M.150/GEDONG AIR</t>
  </si>
  <si>
    <t>M.4941/TANJUNG SENANG</t>
  </si>
  <si>
    <t>HM 1348/KALIAWI</t>
  </si>
  <si>
    <t>M. 2273/ Rajabasa Raya</t>
  </si>
  <si>
    <t>M. 1010/ Jagabaya III</t>
  </si>
  <si>
    <t>M.111/SUMBERREJO SEJAHTERA</t>
  </si>
  <si>
    <t>M. 6814/TANJUNG SENANG</t>
  </si>
  <si>
    <t>M.902/NEGERI OLOK GADING-SEKARANG;B.724/NEGERI OLOK GADING-DAHULU</t>
  </si>
  <si>
    <t>M. 16684/ Sukabumi</t>
  </si>
  <si>
    <t>M.1003/GUNUNG AGUNG-SEKARANG;M.1012/SEGALA MIDER-DAHULU</t>
  </si>
  <si>
    <t>HM 13671/KEDAMAIAN</t>
  </si>
  <si>
    <t>M. 897/ Sumber rejo</t>
  </si>
  <si>
    <t>M. 3265/SUKADANA HAM</t>
  </si>
  <si>
    <t>M. 1912/SUKABUMI INDAH</t>
  </si>
  <si>
    <t>HGB 5267/BERINGIN RAYA</t>
  </si>
  <si>
    <t>B.703/SUMUR PUTRI</t>
  </si>
  <si>
    <t>M. 381/ Batu Putuk; sht 603/2016</t>
  </si>
  <si>
    <t>HM 86/PALAPA</t>
  </si>
  <si>
    <t>HM 15181/SUKABUMI</t>
  </si>
  <si>
    <t>M. 2345/ Sukamaju</t>
  </si>
  <si>
    <t>M. 815/ Pelita</t>
  </si>
  <si>
    <t>M.371/WAY HALIM PERMAI-SEKARANG;B.91/JAGABAYA II-DAHULU</t>
  </si>
  <si>
    <t>B. 74/ korpri Jaya</t>
  </si>
  <si>
    <t>M.2329/SEPANG JAYA-SEKARANG;M.10676/KEDATON-DAHULU</t>
  </si>
  <si>
    <t>M. 1432/ SUMUR PUTRI</t>
  </si>
  <si>
    <t>M.1350/TANJUNG SENENG</t>
  </si>
  <si>
    <t>M. 6040/ Way Kandis</t>
  </si>
  <si>
    <t>M.19618/SUKARAME-SEKARANG;B.1143/SUKARAME I-DAHULU</t>
  </si>
  <si>
    <t>M. 3445/ Beringin raya</t>
  </si>
  <si>
    <t>HM 12100/JAGABAYA II</t>
  </si>
  <si>
    <t>M. 6428/ way Kandis</t>
  </si>
  <si>
    <t>HM 1401/KURIPAN</t>
  </si>
  <si>
    <t>M. 2017/ Kota Baru</t>
  </si>
  <si>
    <t>HM 10000</t>
  </si>
  <si>
    <t>M. 17127/ Sukarame I</t>
  </si>
  <si>
    <t>HM 2474/SUKADANA HAM</t>
  </si>
  <si>
    <t>HM 4986/BERINGIN RAYA</t>
  </si>
  <si>
    <t>B.345/KANGKUNG</t>
  </si>
  <si>
    <t>HM 758/KEPILING PERMAI</t>
  </si>
  <si>
    <t>M. 1182/ Sukajawa</t>
  </si>
  <si>
    <t>M. 10209/ Jagabaya II</t>
  </si>
  <si>
    <t>M. 10188/ Jagabaya II</t>
  </si>
  <si>
    <t>B. 66/ Korpri Jaya</t>
  </si>
  <si>
    <t>M. 909/ Korpri Jaya</t>
  </si>
  <si>
    <t>M. 2250/ Sukarame Baru</t>
  </si>
  <si>
    <t>M.562/GUNUNG TERANG</t>
  </si>
  <si>
    <t>HM 1594/LANGKAPURA</t>
  </si>
  <si>
    <t>HM 11065/LABUHAN RATU</t>
  </si>
  <si>
    <t>M.11397/SEGALA MIDER</t>
  </si>
  <si>
    <t>HGB 60/BUMI KEDAMAIAN</t>
  </si>
  <si>
    <t>B,567/NUSANTARA PERMAI-SEKARANG;B.2095/CAMPANG RAYA-DAHULU</t>
  </si>
  <si>
    <t>M.545/CAMPANG RAYA</t>
  </si>
  <si>
    <t>M. 72/ Way Dadi Baru</t>
  </si>
  <si>
    <t>M. 168/ Tanjung Senang</t>
  </si>
  <si>
    <t>K/40/261124/4</t>
  </si>
  <si>
    <t>M. 4433/ Gunung Terang</t>
  </si>
  <si>
    <t>B.705/KEMILING PERMAI</t>
  </si>
  <si>
    <t>M. 6411/ Way Kandis</t>
  </si>
  <si>
    <t>B.1221/KEMILING PERMAI</t>
  </si>
  <si>
    <t>HM 11000/SEGALA MIDER</t>
  </si>
  <si>
    <t>M.12552/TANJUNG BARU</t>
  </si>
  <si>
    <t>M. 1933/ Sukarame Baru</t>
  </si>
  <si>
    <t>HM 691/DURIAN PAYUNG</t>
  </si>
  <si>
    <t>M. 1764/ Rajabasa Pemuka; M. 11947/ Rajabasa-dahulu; B. 71/ Rajabasa-dahulu</t>
  </si>
  <si>
    <t>M.2876/KOTA BARU</t>
  </si>
  <si>
    <t>M.487/NUSANTARA PERMAI</t>
  </si>
  <si>
    <t>B.4381/SUKARAME-SEKARANG;B.4381/SUKARAME I-DAHULU</t>
  </si>
  <si>
    <t>M.1542/SUKABUMI INDAH-SEKARANG;M.14829/SKABUMI-DAHULU</t>
  </si>
  <si>
    <t>M. 2492/ Kemiling Permai</t>
  </si>
  <si>
    <t>M.834/DURIAN PAYUNG</t>
  </si>
  <si>
    <t>M.948/SUSUNAN BARU-SEKARANG;B.424/SUSUNAN BARU-DAHULU</t>
  </si>
  <si>
    <t>HGB 1864/SUKABUMI</t>
  </si>
  <si>
    <t>HM 13229/SEGALA MIDER</t>
  </si>
  <si>
    <t>M. 420/ Rajabasa Nunyai</t>
  </si>
  <si>
    <t>M. 3647/ Gunung Terang</t>
  </si>
  <si>
    <t>HM 563/NOG</t>
  </si>
  <si>
    <t>M.973/DURIAN PAYUNG</t>
  </si>
  <si>
    <t>M. 2146/ Pengajaran</t>
  </si>
  <si>
    <t>M. 1037/ Kaliawi</t>
  </si>
  <si>
    <t>M.2867/KETEGUHAN-SEKARANG;B.867/KETEGUHAN-DAHULU</t>
  </si>
  <si>
    <t>M.1763/SEPANG JAYA</t>
  </si>
  <si>
    <t>M. 9026/ Labuhan Ratu</t>
  </si>
  <si>
    <t>K/23/031224/1</t>
  </si>
  <si>
    <t>M.2619/PINANG JAYA</t>
  </si>
  <si>
    <t>HM 2692/KOTA BARU</t>
  </si>
  <si>
    <t>L/8/031224/1</t>
  </si>
  <si>
    <t>M. 10450/ Sukabumi</t>
  </si>
  <si>
    <t>B.253/NUSANTARA PERMAI</t>
  </si>
  <si>
    <t>M. 646/ Perwata</t>
  </si>
  <si>
    <t>M. 1646/ Bumi Kedamaian</t>
  </si>
  <si>
    <t>M. 440/ Kaliawi Persada</t>
  </si>
  <si>
    <t>M.3122/KOTA BARU</t>
  </si>
  <si>
    <t>M. 13514/ Sukabumi</t>
  </si>
  <si>
    <t>M. 16734/ Sukabumi</t>
  </si>
  <si>
    <t>M. 6403/ Gunung Sulah</t>
  </si>
  <si>
    <t>M. 2871/ Sukarame Baru</t>
  </si>
  <si>
    <t>M. 2421/ Kedaung</t>
  </si>
  <si>
    <t>M.6262/WAY KANDIS</t>
  </si>
  <si>
    <t>HGB 320/NUSANTARA PERMAI</t>
  </si>
  <si>
    <t>M.2623/PINANG JAYA</t>
  </si>
  <si>
    <t>M.1980/LABUHAN RATU RAYA</t>
  </si>
  <si>
    <t>B.691/KEMILING PERMAI</t>
  </si>
  <si>
    <t>M. 2337/ Langkapura</t>
  </si>
  <si>
    <t>HM 406/LABUHAN DALAM</t>
  </si>
  <si>
    <t>HM 16505/SUKARAME</t>
  </si>
  <si>
    <t>M. 13980/ Tanjung Baru</t>
  </si>
  <si>
    <t>HM 419/KALI BALAU KENCANA</t>
  </si>
  <si>
    <t>M. 14955/ Rajabasa</t>
  </si>
  <si>
    <t>M. 853/ Batu Putuk</t>
  </si>
  <si>
    <t>B.599/SUMBER AGUNG</t>
  </si>
  <si>
    <t>M. 1061/ Kangkung; SHT peringkat I-IX</t>
  </si>
  <si>
    <t>M.2682/GEDONG AIR</t>
  </si>
  <si>
    <t>M.1615/SUKABUMI INDAH</t>
  </si>
  <si>
    <t>M. 1631/ Kuripan</t>
  </si>
  <si>
    <t>B. 375/ Sumur Putri</t>
  </si>
  <si>
    <t>M. 2154/ Kedaung</t>
  </si>
  <si>
    <t>M. 308/ Campang Jaya</t>
  </si>
  <si>
    <t>M. 5074/ Rajabasa Jaya</t>
  </si>
  <si>
    <t>M. 1399/ Kupang Kota</t>
  </si>
  <si>
    <t>M. 2829/ Gunung Terang</t>
  </si>
  <si>
    <t>B. 917/ Beringin Jaya</t>
  </si>
  <si>
    <t>M. 6250/ Way Kandis</t>
  </si>
  <si>
    <t>M. 6397/ Way Kandis</t>
  </si>
  <si>
    <t>M. 478/ Korpri Raya</t>
  </si>
  <si>
    <t>M.2474/ PINANG JAYA</t>
  </si>
  <si>
    <t>M.5177/RAJABASA JAYA</t>
  </si>
  <si>
    <t>M. 1117/PEMATANG WANGI</t>
  </si>
  <si>
    <t>M.4740/ SUKADANA HAM</t>
  </si>
  <si>
    <t>B.737/NOG</t>
  </si>
  <si>
    <t>M.63/TANJUNG AGUNG RAYA-SEKARANG;M.63/TANJUNG AGUNG-DAHULU;</t>
  </si>
  <si>
    <t>B. 66/ Pengajaran</t>
  </si>
  <si>
    <t>B. 1216/ Kemiling Permai</t>
  </si>
  <si>
    <t>HGB 836/PWK</t>
  </si>
  <si>
    <t>B. 110/ Bumi Waras</t>
  </si>
  <si>
    <t>M. 5161/ Rajabasa Jaya</t>
  </si>
  <si>
    <t>M. 968/ PWH</t>
  </si>
  <si>
    <t>HM 32/WAY HALIM PERMAI</t>
  </si>
  <si>
    <t>M. 839/ PWH</t>
  </si>
  <si>
    <t>M. 5877/ Labuhan ratu</t>
  </si>
  <si>
    <t>B. 945/ Beringin Jaya</t>
  </si>
  <si>
    <t>HM 1146/GEDONG AIR</t>
  </si>
  <si>
    <t>M. 1057/ PWH</t>
  </si>
  <si>
    <t>M. 221/ Kampung Baru Raya</t>
  </si>
  <si>
    <t>M.1344/BAKUNG</t>
  </si>
  <si>
    <t>M. 529/ Bakung</t>
  </si>
  <si>
    <t>M. 4547/ Gunung Terang</t>
  </si>
  <si>
    <t>HGB 1739/SUKARAME</t>
  </si>
  <si>
    <t>M. 6460/ Way Kandis</t>
  </si>
  <si>
    <t>M.191/BATU PUTU</t>
  </si>
  <si>
    <t>M.2722/SUKARAME BARU</t>
  </si>
  <si>
    <t>M.922/KUPANG TEBA</t>
  </si>
  <si>
    <t>M.2013/LABUHAN RATU RAYA</t>
  </si>
  <si>
    <t>M.566/KORPRI RAYA-SEKARANG;M.11116/SUKARAME I-DAHULU</t>
  </si>
  <si>
    <t>M. 2339/ Kedaung</t>
  </si>
  <si>
    <t>HM 3876/TANJUNG SENANG</t>
  </si>
  <si>
    <t>HM 3877/TANJUNG SENANG</t>
  </si>
  <si>
    <t>HM 11937/SEGALA MIDER</t>
  </si>
  <si>
    <t>M. 4614/ Sukadana Ham</t>
  </si>
  <si>
    <t>M.4664/SUKADANAHAM</t>
  </si>
  <si>
    <t>M. 1651/ Sumberejo Sejahtera</t>
  </si>
  <si>
    <t>M.997/GEDONG AIR</t>
  </si>
  <si>
    <t>M. 158/ Beringin Jaya</t>
  </si>
  <si>
    <t>M. 1375/ Sukabumi Indah</t>
  </si>
  <si>
    <t>M. 9545/ Jagabaya II</t>
  </si>
  <si>
    <t>M. 2373/ Kedaung</t>
  </si>
  <si>
    <t>B. 342/ Rajabasa Pemuka</t>
  </si>
  <si>
    <t>B. 365/ Kali Balau Kencana</t>
  </si>
  <si>
    <t>M. 59/ K B K</t>
  </si>
  <si>
    <t>HM 11871/RAJABASA</t>
  </si>
  <si>
    <t>M.2160/ Gunung Terang</t>
  </si>
  <si>
    <t>M. 561/ Korpri Raya</t>
  </si>
  <si>
    <t>B.667/SUMBER AGUNG</t>
  </si>
  <si>
    <t>B.635/KEMILING PERMAI</t>
  </si>
  <si>
    <t>M. 4673/ Sukadana Ham</t>
  </si>
  <si>
    <t>B.794/SUMUR PUTRI</t>
  </si>
  <si>
    <t>B.1128/KEMILING PERMAI</t>
  </si>
  <si>
    <t>M. 2569/ Pinang Jaya</t>
  </si>
  <si>
    <t>M.5947/TANJUNG SENANG</t>
  </si>
  <si>
    <t>HM 8575/SUKARAME</t>
  </si>
  <si>
    <t>HM 521/GULAK GALIK</t>
  </si>
  <si>
    <t>M. 2274/ Campang Jaya</t>
  </si>
  <si>
    <t>M.3344/CAMPANG RAYA</t>
  </si>
  <si>
    <t>M. 1488/ Bumi Kedamaian</t>
  </si>
  <si>
    <t>B. 686/ Kemiling Permai</t>
  </si>
  <si>
    <t>M.1195/SUKADANAHAM</t>
  </si>
  <si>
    <t>M.5548/WAY KANDIS</t>
  </si>
  <si>
    <t>M. 6440/ Way Kandis</t>
  </si>
  <si>
    <t>M.149/SUKARAME BARU</t>
  </si>
  <si>
    <t>M.7025/TANJUNG SENENG</t>
  </si>
  <si>
    <t>M.16656/SUKABUMI</t>
  </si>
  <si>
    <t>B. 225/ LABUHAN RATU RAYA</t>
  </si>
  <si>
    <t>B. 341/ Rajabasa Pemuka</t>
  </si>
  <si>
    <t>B. 338/ Rajabasa Pemuka</t>
  </si>
  <si>
    <t>M. 854/ Kaliawi</t>
  </si>
  <si>
    <t>M.1536/GUNUNG TERANG-SEKARANG;B.134/GUNUNG TERANG-DAHULU</t>
  </si>
  <si>
    <t>B.1138/KEMILING PERMAI</t>
  </si>
  <si>
    <t>M.1688/KOTA BARU</t>
  </si>
  <si>
    <t>K/17/121224/2</t>
  </si>
  <si>
    <t>HGB 637/CAMPANG RAYA</t>
  </si>
  <si>
    <t>HM 1201/KOTA BARU</t>
  </si>
  <si>
    <t>M. 10242/ Sukabumi</t>
  </si>
  <si>
    <t>HM 1430/WHP</t>
  </si>
  <si>
    <t>M.1234/RAJABASA PEMUKA</t>
  </si>
  <si>
    <t>M. 6463/ Way Kandis</t>
  </si>
  <si>
    <t>M. 1760/ Rajabasa Nunyai</t>
  </si>
  <si>
    <t>M. 1673/ Rajabasa Raya</t>
  </si>
  <si>
    <t>M.2203/SUKARAME BARU</t>
  </si>
  <si>
    <t>M. 154/ Rajabasa Pemuka</t>
  </si>
  <si>
    <t>B. 336/ Rajabasa Pemuka</t>
  </si>
  <si>
    <t>B. 343/ Rajabasa Pemuka</t>
  </si>
  <si>
    <t>B. 2161/ Sukabumi</t>
  </si>
  <si>
    <t>B. 339/ Rajabasa Pemuka</t>
  </si>
  <si>
    <t>B. 340/ Rajabasa Pemuka</t>
  </si>
  <si>
    <t>HM 14213/RAJABASA</t>
  </si>
  <si>
    <t>B.262/JAGABAYA III-SEKARANG;B.80/TANJUNG BARU-DAHULU</t>
  </si>
  <si>
    <t>M.1627/KEMILING RAYA-SEKARANG;M.3258/SUMBERREJO KEMILING-DAHULU</t>
  </si>
  <si>
    <t>M.16597/SUKABUMI</t>
  </si>
  <si>
    <t>M.3464/GUNUNG TERANG</t>
  </si>
  <si>
    <t>M.4602/GUNUNG TERANG</t>
  </si>
  <si>
    <t>M.5633/LANGKAPURA-SEKARANG;M.03780/GUNUNG TERANG-DAHULU</t>
  </si>
  <si>
    <t>M.1227/SUKARAME</t>
  </si>
  <si>
    <t>M.16759/SUKABUMI</t>
  </si>
  <si>
    <t>M. 2313/ Sukamaju</t>
  </si>
  <si>
    <t>HM 12616/RAJABASA</t>
  </si>
  <si>
    <t>M.2624/WAY KANDIS</t>
  </si>
  <si>
    <t>M.2654/KOTA BARU</t>
  </si>
  <si>
    <t>HM 13813/RAJABASA</t>
  </si>
  <si>
    <t>M.581/GULAK GALIK</t>
  </si>
  <si>
    <t>B.625/SUMBER AGUNG</t>
  </si>
  <si>
    <t>B.609/SUMBER AGUNG</t>
  </si>
  <si>
    <t>M. 5552/ Way Kandis</t>
  </si>
  <si>
    <t>B.265/LABUHAN RATU RAYA-SEKARANG;B.277/LABUHAN RATU-DAHULU</t>
  </si>
  <si>
    <t>B. 352/ Kemiling permai</t>
  </si>
  <si>
    <t>M. 1662/Kaliawi</t>
  </si>
  <si>
    <t>M. 2021/ Durian Payung</t>
  </si>
  <si>
    <t>M. 1021/ Kali Balau Kencana</t>
  </si>
  <si>
    <t>M. 1019/ Kali Balau Kencana</t>
  </si>
  <si>
    <t>M. 1018/ Kali Balau Kencana</t>
  </si>
  <si>
    <t>HM 3794/WAY KANDIS</t>
  </si>
  <si>
    <t>M. 10204/ Rajabasa Jaya</t>
  </si>
  <si>
    <t>M.233/CAMPANG JAYA</t>
  </si>
  <si>
    <t>HGB 1476/CAMPANG RAYA</t>
  </si>
  <si>
    <t>M.1574/KEMILING RAYA</t>
  </si>
  <si>
    <t>M. 2327/ Sepang Jaya</t>
  </si>
  <si>
    <t>HM 567/SUMBEREJO S</t>
  </si>
  <si>
    <t>L/49/181224/1</t>
  </si>
  <si>
    <t>M. 1372/ Sukarame Baru</t>
  </si>
  <si>
    <t>M. 5287/ Langkapura</t>
  </si>
  <si>
    <t>M. 719/ Gunung Agung</t>
  </si>
  <si>
    <t>B.328/RAJABASA NUNYAI</t>
  </si>
  <si>
    <t>B.329/RAJABASA NUNYAI</t>
  </si>
  <si>
    <t>M. 5168/ Tanjung Senang</t>
  </si>
  <si>
    <t>M. 1345/ Way Halim Permai</t>
  </si>
  <si>
    <t>M. 2616/ Sumber Agung</t>
  </si>
  <si>
    <t>M. 1416/ Sukamaju</t>
  </si>
  <si>
    <t>M. 435/ Enggal</t>
  </si>
  <si>
    <t>M. 2655/ Gunung Terang</t>
  </si>
  <si>
    <t>HGB 175/SS</t>
  </si>
  <si>
    <t>M. 6407/GUNUNG SULAH</t>
  </si>
  <si>
    <t>HM 2122/BAKUNG</t>
  </si>
  <si>
    <t>M. 1128/ sumberrejo</t>
  </si>
  <si>
    <t>M. 4493/ Sukadana Ham</t>
  </si>
  <si>
    <t>M. 1762/ Rajabasa Nunyai</t>
  </si>
  <si>
    <t>M. 1689/ Rajabasa Raya</t>
  </si>
  <si>
    <t>M. 865/ Tanjung Gading</t>
  </si>
  <si>
    <t>M. 1986/ Gunung Terang</t>
  </si>
  <si>
    <t>M. 2981/ Labuhan Dalam</t>
  </si>
  <si>
    <t>M. 729/ Beringin Jaya</t>
  </si>
  <si>
    <t>M. 11875/SUKARAME</t>
  </si>
  <si>
    <t>B. 867/ Pesawahan</t>
  </si>
  <si>
    <t>HM 1024/PANJNAG UTARA</t>
  </si>
  <si>
    <t>M. 460/ Gunung Terang</t>
  </si>
  <si>
    <t>M. 687/ Pahoman</t>
  </si>
  <si>
    <t>M. 772/ Perwata</t>
  </si>
  <si>
    <t>M. 773/ Perwata</t>
  </si>
  <si>
    <t>HM 10313/SUKABUMI</t>
  </si>
  <si>
    <t>M. 859/ Rajabasa Jaya</t>
  </si>
  <si>
    <t>HM 12528/RAJABASA</t>
  </si>
  <si>
    <t>M.1732/SUKARAME I-SEKARANG;B.4078/SUKARAME I-DAHULU;</t>
  </si>
  <si>
    <t>B. 599/ Pesawahan</t>
  </si>
  <si>
    <t>M. 1164/ Kupang Teba</t>
  </si>
  <si>
    <t>M. 1765/ Rajabasa Nunyai</t>
  </si>
  <si>
    <t>M. 5839/ Tanjung Senang</t>
  </si>
  <si>
    <t>M. 6418/ Gunung Sulah</t>
  </si>
  <si>
    <t>M. 428/ Kaliawi Persada</t>
  </si>
  <si>
    <t>M. 429/ Kaliawi Persada</t>
  </si>
  <si>
    <t>HM 72/PEMATANG WANGI</t>
  </si>
  <si>
    <t>HM 378/SUMUR PUTRI</t>
  </si>
  <si>
    <t>M. 566/ Pinang Jaya</t>
  </si>
  <si>
    <t>HM 2460/KEMILING PERMAI</t>
  </si>
  <si>
    <t>B. 679/ Sumber Agung</t>
  </si>
  <si>
    <t>B. 680/ Sumber Agung</t>
  </si>
  <si>
    <t>M. 10029/ Kampung Baru ; SHT942/2019 &amp; SHT 5875/2016</t>
  </si>
  <si>
    <t>HM 2409/KEMILING PERMAI</t>
  </si>
  <si>
    <t>HGB 507/GUNUNG SULAH</t>
  </si>
  <si>
    <t>M. 1758/ Rajabasa Pemuka</t>
  </si>
  <si>
    <t>HM 12131/KEDAMAIAN</t>
  </si>
  <si>
    <t>M. 4391/ Tanjung Seneng</t>
  </si>
  <si>
    <t>B. 512/ Sukarame Baru</t>
  </si>
  <si>
    <t>B. 513/ Sukarame Baru</t>
  </si>
  <si>
    <t>B.3561/KALI BALAU KENCANA-SEKARANG;B.3561/SUKARAME I</t>
  </si>
  <si>
    <t>M. 2371/ Sukamaju</t>
  </si>
  <si>
    <t>M. 1337/ Kaliawi</t>
  </si>
  <si>
    <t>M. 2058/ Labuhan Dalam</t>
  </si>
  <si>
    <t>M.1260/KOTA KARANG</t>
  </si>
  <si>
    <t>M. 5920/ Way Kandis</t>
  </si>
  <si>
    <t>M. 1942/ Panjang Utara</t>
  </si>
  <si>
    <t>M. 2260/ N O G</t>
  </si>
  <si>
    <t>HM 739/RAJABASA NUNYAI</t>
  </si>
  <si>
    <t>HM 2538/KUPANG TEBA</t>
  </si>
  <si>
    <t>HM 1255/SUKARAME</t>
  </si>
  <si>
    <t>HM 15157/SUKARAME</t>
  </si>
  <si>
    <t>M.16182/SUKARAME I</t>
  </si>
  <si>
    <t>M. 1441/ Sukarame II</t>
  </si>
  <si>
    <t>M.3218/GEDONG AIR</t>
  </si>
  <si>
    <t>B. 641/ Sumber Agung</t>
  </si>
  <si>
    <t>M. 944/ Kemiling Permai</t>
  </si>
  <si>
    <t>M. 38/ Pinang Jaya</t>
  </si>
  <si>
    <t>M. 11007/ Labuhan ratu</t>
  </si>
  <si>
    <t>M.1653/KOTA BARU</t>
  </si>
  <si>
    <t>M.11678/SUKABUMI-SEKARANG;B.2076/SUKABUMI-DAHULU</t>
  </si>
  <si>
    <t>M. 13781/ Kedamaian</t>
  </si>
  <si>
    <t>M. 865/ Korpri Jaya</t>
  </si>
  <si>
    <t>M.5925/TANJUNG SENANG</t>
  </si>
  <si>
    <t>M. 2852/ Sukarame Baru</t>
  </si>
  <si>
    <t>M. 863/ Korpri Jaya</t>
  </si>
  <si>
    <t>M. 3240/ Gedong Air</t>
  </si>
  <si>
    <t>M. 19262/ Sukarame</t>
  </si>
  <si>
    <t>M. 116/ Way Tataan</t>
  </si>
  <si>
    <t>M. 2423/ Kedaung</t>
  </si>
  <si>
    <t>M. 869/ Korpri Jaya</t>
  </si>
  <si>
    <t>M. 210/ Bumi Raya</t>
  </si>
  <si>
    <t>M. 208/ Bumi Raya</t>
  </si>
  <si>
    <t>M. 209/ Bumi Raya</t>
  </si>
  <si>
    <t>HM 869/TALANG</t>
  </si>
  <si>
    <t>M.4528/RAJABASA JAYA</t>
  </si>
  <si>
    <t>M.2999/GEDONG AIR</t>
  </si>
  <si>
    <t>M.3017/GEDONG AIR</t>
  </si>
  <si>
    <t>M.3019/GEDONG AIR</t>
  </si>
  <si>
    <t>M.3028/GEDONG AIR</t>
  </si>
  <si>
    <t>M 3020/GEDONG AIR</t>
  </si>
  <si>
    <t>M.9766/SIDODADI</t>
  </si>
  <si>
    <t>M. 1560/ Labuhan Dalam</t>
  </si>
  <si>
    <t>M. 1553/ Labuhan Dalam</t>
  </si>
  <si>
    <t>M.1639/WAY LAGA</t>
  </si>
  <si>
    <t>M.878/RAJABASA PEMUKA</t>
  </si>
  <si>
    <t>M. 12539/ Sukabumi</t>
  </si>
  <si>
    <t>M. 03/ Sepang Jaya</t>
  </si>
  <si>
    <t>B. 1001/ Campang Jaya</t>
  </si>
  <si>
    <t>M.2396/CAMPANG JAYA</t>
  </si>
  <si>
    <t>M.959/LANGKAPURA</t>
  </si>
  <si>
    <t>M. 1028/ Gotong Royong</t>
  </si>
  <si>
    <t>HM 714/SUMUR PUTRI</t>
  </si>
  <si>
    <t>M. 1638/ Durian Payung</t>
  </si>
  <si>
    <t>M. 438/ Perumnas Way Halim</t>
  </si>
  <si>
    <t>M.2143/BAKUNG</t>
  </si>
  <si>
    <t>M. 2424/ Susunan Baru</t>
  </si>
  <si>
    <t>M.74/SUKARAME BARU-SEKARANG;B.2056/SUKARAME I</t>
  </si>
  <si>
    <t>B. 614/ Campang Jaya</t>
  </si>
  <si>
    <t>M. 3932/ Way Kandis</t>
  </si>
  <si>
    <t>M. 2478/ Kemiling Permai</t>
  </si>
  <si>
    <t>B. 601/ Sumur Putri</t>
  </si>
  <si>
    <t>M. 1628/ Sukarame baru</t>
  </si>
  <si>
    <t>M.3932/SUKADANAHAM</t>
  </si>
  <si>
    <t>B. 795/ Sumur Putri</t>
  </si>
  <si>
    <t>HM 2213/KELAPA TIGA</t>
  </si>
  <si>
    <t>M.5004/RAJABASA JAYA</t>
  </si>
  <si>
    <t>M. 4532/ Rajabasa Jaya</t>
  </si>
  <si>
    <t>M. 377/ Korpri Raya</t>
  </si>
  <si>
    <t>M. 1363/ kali Balau Kencana</t>
  </si>
  <si>
    <t>M.15004/RAJABASA</t>
  </si>
  <si>
    <t>M. 2463/ Beringin Raya</t>
  </si>
  <si>
    <t>M. 13163/ Kedamaian</t>
  </si>
  <si>
    <t>B. 413/ Gedung Meneng</t>
  </si>
  <si>
    <t>M.1476/ Panjang Utara</t>
  </si>
  <si>
    <t>M. 10655/ Kedamaian</t>
  </si>
  <si>
    <t>M.1891/BERINGIN JAYA</t>
  </si>
  <si>
    <t>M.1814/PERUMNAS WAY HALIM-SEKARANG;B.1136/KEDATON-DAHULU</t>
  </si>
  <si>
    <t>M. 1160/ Bumi Kedamaian</t>
  </si>
  <si>
    <t>M. 3025/ Gedong Air</t>
  </si>
  <si>
    <t>M. 3016/ Gedong Air</t>
  </si>
  <si>
    <t>M. 1469/ Pinang Jaya</t>
  </si>
  <si>
    <t>B. 230/ Gunung Terang</t>
  </si>
  <si>
    <t>M. 1434/ Sumur Putri</t>
  </si>
  <si>
    <t>M. 930/ Durian Payung</t>
  </si>
  <si>
    <t>B. 865/ Keteguhan</t>
  </si>
  <si>
    <t>M. 168/ Perumnas Way Kandis</t>
  </si>
  <si>
    <t>M. 659, 658/ Pinang Jaya</t>
  </si>
  <si>
    <t>HM 2379/PANJANG UTARA</t>
  </si>
  <si>
    <t>B. 3472/ Sukarame</t>
  </si>
  <si>
    <t>HM 134/GUNUNG TERANG</t>
  </si>
  <si>
    <t>M. 1141/ Bumi Kedamaian</t>
  </si>
  <si>
    <t>M. 1492/ Kemiling Raya</t>
  </si>
  <si>
    <t>M. 2640/ Sumber Agung</t>
  </si>
  <si>
    <t>B. 645/ Jagabaya III; 216/Sukarame-dahulu</t>
  </si>
  <si>
    <t>M. 2642/ Sumber Agung</t>
  </si>
  <si>
    <t>M. 12408/ Sukabumi</t>
  </si>
  <si>
    <t>M. 16189/ Sukarame</t>
  </si>
  <si>
    <t>M. 2802/ Sukarame Baru</t>
  </si>
  <si>
    <t>M. 2416/ Kedaung</t>
  </si>
  <si>
    <t>B.1192/SUKABUMI INDAH-SEKARANG;B.2500/SUKABUMI</t>
  </si>
  <si>
    <t>M. 1264/ Rawa Laut</t>
  </si>
  <si>
    <t>M. 11632/ Segala Mider</t>
  </si>
  <si>
    <t>M.1346/KURIPAN</t>
  </si>
  <si>
    <t>HM 2689/KETEGUHAN</t>
  </si>
  <si>
    <t>HM 4001/KETEGUHAN</t>
  </si>
  <si>
    <t>HM 11852/KEDAMAIAN</t>
  </si>
  <si>
    <t>HM 3137/WAY KANDIS</t>
  </si>
  <si>
    <t>M. 1559/ Gedong Air</t>
  </si>
  <si>
    <t>B.3646/SUKARAME I</t>
  </si>
  <si>
    <t>M. 709/ Pahoman</t>
  </si>
  <si>
    <t>M.2633/PINANG JAYA</t>
  </si>
  <si>
    <t>M.2969/RAJABASA JAYA</t>
  </si>
  <si>
    <t>M. 24/ Talang</t>
  </si>
  <si>
    <t>M. 1449/ Bumi Kedamaian</t>
  </si>
  <si>
    <t>M. 1599/ susunan Baru</t>
  </si>
  <si>
    <t>M.2636/PINANG JAYA</t>
  </si>
  <si>
    <t>M.1610/KURIPAN</t>
  </si>
  <si>
    <t>M. 1131/ Kedaung</t>
  </si>
  <si>
    <t>M. 16242/ Sukabumi</t>
  </si>
  <si>
    <t>M. 339/ Pesawahan</t>
  </si>
  <si>
    <t>M. 635/ Tanjung Raya</t>
  </si>
  <si>
    <t>M. 1861/ Susunan Baru</t>
  </si>
  <si>
    <t>Admin (Migrasi)</t>
  </si>
  <si>
    <t>M.16761/SUKABUMI</t>
  </si>
  <si>
    <t>HM 555/KORPRI RAYA</t>
  </si>
  <si>
    <t>M. 1974/ Jagabaya III</t>
  </si>
  <si>
    <t>M. 216/ Bumi Raya</t>
  </si>
  <si>
    <t>M.18/WAY HALIM PERMAI</t>
  </si>
  <si>
    <t xml:space="preserve">M. 22/ Kupang Teba </t>
  </si>
  <si>
    <t>M. 968/ Labuhan Dalam</t>
  </si>
  <si>
    <t>M. 301/ Perumnas Way Kandis</t>
  </si>
  <si>
    <t>M. 7065/ Tanjung Senang</t>
  </si>
  <si>
    <t>M. 3312/ Kota Karang</t>
  </si>
  <si>
    <t>M. 4902/ Langkapura</t>
  </si>
  <si>
    <t>M. 10658/ Kedamaian</t>
  </si>
  <si>
    <t>M. 2803/ Sukarame Baru</t>
  </si>
  <si>
    <t>M. 5620/ Langkapura</t>
  </si>
  <si>
    <t>M.9826/KALI BALAU KENCANA-SEKARANG;M9826/TANJUNG BARU-DAHULU</t>
  </si>
  <si>
    <t>B. 1432/ Negeri Olok Gading</t>
  </si>
  <si>
    <t>M. 1758/ Kupang Kota</t>
  </si>
  <si>
    <t>M. 1923/ Rajabasa Raya</t>
  </si>
  <si>
    <t>M. 5337/ Langkapura</t>
  </si>
  <si>
    <t>B. 1746/ Sukarame</t>
  </si>
  <si>
    <t>M. 19039/ Sukarame</t>
  </si>
  <si>
    <t>M.873/CAMPANG RAYA</t>
  </si>
  <si>
    <t>M. 293/ Pahoman</t>
  </si>
  <si>
    <t>M. 3104/ Kemiling Permai</t>
  </si>
  <si>
    <t>M. 14016/ Segala Mider</t>
  </si>
  <si>
    <t>HM 97/SUKARAME BARU</t>
  </si>
  <si>
    <t>M. 2268/ Rajabasa Raya</t>
  </si>
  <si>
    <t>M.14948/RAJABASA</t>
  </si>
  <si>
    <t>M. 10490/ Sukarame</t>
  </si>
  <si>
    <t>M.11871/LABUHAN RATU</t>
  </si>
  <si>
    <t>HM 437/PWK</t>
  </si>
  <si>
    <t>HGB 1464/CAMPANG RAYA</t>
  </si>
  <si>
    <t>HM 1117/SUKARAME II</t>
  </si>
  <si>
    <t>M. 1837/ Langkapura</t>
  </si>
  <si>
    <t>M. 3689/ Sukadana Ham</t>
  </si>
  <si>
    <t>M. 1896/ Jagabaya III</t>
  </si>
  <si>
    <t xml:space="preserve">M. 17183/ Sukarame </t>
  </si>
  <si>
    <t>M. 1860/ jagabaya III</t>
  </si>
  <si>
    <t>HM 369/KUPANG RAYA</t>
  </si>
  <si>
    <t>M. 5415/ Way Kandis</t>
  </si>
  <si>
    <t>M. 14704/ Sukarame</t>
  </si>
  <si>
    <t>M. 4531/ Rajabsa Jaya</t>
  </si>
  <si>
    <t>M. 304/ Pahoman</t>
  </si>
  <si>
    <t>M. 1976/ Jagabaya III</t>
  </si>
  <si>
    <t>M. 2401/ Campang Jaya</t>
  </si>
  <si>
    <t>M. 2330/ Sepang Jaya</t>
  </si>
  <si>
    <t>K/28/060125/1</t>
  </si>
  <si>
    <t>M. 942/ Korpri Jaya</t>
  </si>
  <si>
    <t>M. 1517/ Rajabasa Nunyai</t>
  </si>
  <si>
    <t>M. 2851/ Sukarame II</t>
  </si>
  <si>
    <t>M. 10491/ Kampung Baru</t>
  </si>
  <si>
    <t>M. 15531/ Sukabumi</t>
  </si>
  <si>
    <t>M. 222/ Bilabong Jaya</t>
  </si>
  <si>
    <t>B.342/RAJABASA NUNYAI</t>
  </si>
  <si>
    <t>B. 498/ Kedamaian</t>
  </si>
  <si>
    <t>M.9567/SUKABUMI</t>
  </si>
  <si>
    <t>M. 37/ Rajabasa Pemuka</t>
  </si>
  <si>
    <t>M.1514/SRENGSEM</t>
  </si>
  <si>
    <t>m. 345</t>
  </si>
  <si>
    <t>HM 10983/SUKARAME</t>
  </si>
  <si>
    <t>M. 11580/ Sukarame</t>
  </si>
  <si>
    <t>M. 1167/ Perumnas Way kandis</t>
  </si>
  <si>
    <t>B. 129/ Nusantara Permai</t>
  </si>
  <si>
    <t>M. 10069/ Sidodadi</t>
  </si>
  <si>
    <t>M. 9984/ Sidodadi</t>
  </si>
  <si>
    <t>K/10/080125/2</t>
  </si>
  <si>
    <t>M.9772/SUKABUMI</t>
  </si>
  <si>
    <t>B.313/PAMATANG WANGI-SEKARANG;B.701/TANJUNG SENENG-DAHULU</t>
  </si>
  <si>
    <t>M.3239/LABUHAN DALAM</t>
  </si>
  <si>
    <t>HM 1762/SUSUNAN BARU</t>
  </si>
  <si>
    <t>B. 5018/ Sukarame</t>
  </si>
  <si>
    <t>M. 13252/ Sukarame I</t>
  </si>
  <si>
    <t>M. 11129/ Tanjung Baru</t>
  </si>
  <si>
    <t>HM 506/KUPANG KOTA</t>
  </si>
  <si>
    <t>M. 5059/ Rajabasa Jaya</t>
  </si>
  <si>
    <t>M. 4014/ Rajabasa Jaya</t>
  </si>
  <si>
    <t>M. 1163/ Bumi Kedamaian</t>
  </si>
  <si>
    <t>M. 2846/ durian Payung</t>
  </si>
  <si>
    <t>M. 1820/ Rajabasa Nunyai</t>
  </si>
  <si>
    <t>M. 16665/ Sukabumi</t>
  </si>
  <si>
    <t>HM 681/GUNUNG AGUNG</t>
  </si>
  <si>
    <t>bt saja</t>
  </si>
  <si>
    <t>M. 16439/ Sukabumi</t>
  </si>
  <si>
    <t>M. 16666/ Sukabumi</t>
  </si>
  <si>
    <t>B.267/SUMBER AGUNG</t>
  </si>
  <si>
    <t>M. 15119/ Sukarame</t>
  </si>
  <si>
    <t>M. 695/ Rajabasa Nunyai</t>
  </si>
  <si>
    <t>M.6572/TANJUNG SENENG</t>
  </si>
  <si>
    <t>HM 381/GEDONG AIR</t>
  </si>
  <si>
    <t>M. 464/ Rajabasa Nunyai</t>
  </si>
  <si>
    <t>M.15007/RAJABASA</t>
  </si>
  <si>
    <t>M. 949/ Langkapura</t>
  </si>
  <si>
    <t>HM 11321,11322/SUKABUMI</t>
  </si>
  <si>
    <t>M. 13959/ Kedamaian</t>
  </si>
  <si>
    <t>M. 5512/ Langkapura</t>
  </si>
  <si>
    <t>M. 2507/ Sumber Rejo</t>
  </si>
  <si>
    <t>HM 14146/SUKARAME</t>
  </si>
  <si>
    <t>B. 1115/ Keteguhan</t>
  </si>
  <si>
    <t>HM 2595/KOTA BARU</t>
  </si>
  <si>
    <t>M. 2822/ Way Laga</t>
  </si>
  <si>
    <t>M.4589/WAY KANDIS</t>
  </si>
  <si>
    <t>hanya su</t>
  </si>
  <si>
    <t>M. 13875/ Kedamaian</t>
  </si>
  <si>
    <t>HM 16056/SUKARAME</t>
  </si>
  <si>
    <t>M. 1147/ sepang Jaya</t>
  </si>
  <si>
    <t>M. 11739/ Rajabasa</t>
  </si>
  <si>
    <t>M. 12016/ Labuhan Ratu</t>
  </si>
  <si>
    <t>M. 186/ Korpri Jaya</t>
  </si>
  <si>
    <t>M. 301/ Sukarame II</t>
  </si>
  <si>
    <t>HM 3557/TANJUNG SENANG</t>
  </si>
  <si>
    <t>M. 14260/ Segala Mider</t>
  </si>
  <si>
    <t>M. 818/ Pasir Gintung</t>
  </si>
  <si>
    <t>HGB 678/KEDAMAIAN</t>
  </si>
  <si>
    <t>M. 13754/LABUHAN RATU</t>
  </si>
  <si>
    <t>M.120/GEDONG MENENG BARU</t>
  </si>
  <si>
    <t>M.5144/RAJABASA JAYA</t>
  </si>
  <si>
    <t>HGB 130/PWK</t>
  </si>
  <si>
    <t>M. 501/ Campang Jaya</t>
  </si>
  <si>
    <t>HM 802/JAGABAYA III</t>
  </si>
  <si>
    <t>M. 435/ Way Dadi</t>
  </si>
  <si>
    <t>M.9251/LABUHANRATU</t>
  </si>
  <si>
    <t>M.1355/KUPANGKOTA</t>
  </si>
  <si>
    <t>M. 1286/ Gotong Royong</t>
  </si>
  <si>
    <t>M. 832/ Gunung Sulah</t>
  </si>
  <si>
    <t>HM 11445/RAJABASA</t>
  </si>
  <si>
    <t>M. 956/ Durian Payung</t>
  </si>
  <si>
    <t>HM 13476/SEGALA MIDER</t>
  </si>
  <si>
    <t>HGB 915/KETEGUHAN</t>
  </si>
  <si>
    <t>M.1142/SEPANG JAYA</t>
  </si>
  <si>
    <t>M. 06/ Sukarame II</t>
  </si>
  <si>
    <t>M. 2031/ Durian Payung</t>
  </si>
  <si>
    <t>M. 15 / SEPANG JAYA</t>
  </si>
  <si>
    <t>HM 1700/GUNUNG TERANG</t>
  </si>
  <si>
    <t>M. 16977/ Sukarame I</t>
  </si>
  <si>
    <t>M. 844/ Bumi Kedamaian</t>
  </si>
  <si>
    <t>M. 15191/ Sukabumi</t>
  </si>
  <si>
    <t>M. 10005/ Sukamenanti</t>
  </si>
  <si>
    <t>M.9908/LABUHAN RATU</t>
  </si>
  <si>
    <t>M.11502/KEDAMAIAN</t>
  </si>
  <si>
    <t>B.273/TELUK BETUNG</t>
  </si>
  <si>
    <t>M.6180/WAY KANDIS</t>
  </si>
  <si>
    <t>M. 1031/ Sumberejo Sejahtera</t>
  </si>
  <si>
    <t>M.447/KORPRI RAYA</t>
  </si>
  <si>
    <t>M.1177/GULAK GALIK</t>
  </si>
  <si>
    <t>M. 12/ Perwata</t>
  </si>
  <si>
    <t>HM 1012/GOTONG ROYONG</t>
  </si>
  <si>
    <t>HM 1088/PWH</t>
  </si>
  <si>
    <t>M. 177/ Pesawahan</t>
  </si>
  <si>
    <t>M.17679/SUKARAME I</t>
  </si>
  <si>
    <t>M. 11177/ Segala Mider</t>
  </si>
  <si>
    <t>HM 12010/SUKABUMI</t>
  </si>
  <si>
    <t>B. 1935/ Sukabumi</t>
  </si>
  <si>
    <t>M. 169/ Kemiling raya</t>
  </si>
  <si>
    <t>HM 12591/SUKARAME</t>
  </si>
  <si>
    <t>M. 2976; 2813; 2977/ Sukarame II</t>
  </si>
  <si>
    <t>2813 tidak ada saat su el</t>
  </si>
  <si>
    <t>M. 13979/ Sukabumi</t>
  </si>
  <si>
    <t>M. 877/ Kupang Kota</t>
  </si>
  <si>
    <t>B. 156/ Sukaraja</t>
  </si>
  <si>
    <t>M.3003/SUKARAME BARU</t>
  </si>
  <si>
    <t>M. 220/ Beringin Jaya</t>
  </si>
  <si>
    <t>B.175/LABUHAN RATU RAYA</t>
  </si>
  <si>
    <t>M. 71/ Sawah Lama</t>
  </si>
  <si>
    <t>M. 12682/ Kedamaian</t>
  </si>
  <si>
    <t>M. 1314/ Tanjungkarang</t>
  </si>
  <si>
    <t>M. 141/ Kelapa Tiga Permai</t>
  </si>
  <si>
    <t>M. 16762/ Sukabumi</t>
  </si>
  <si>
    <t>M. 818/ Sumberrejo sejahtera</t>
  </si>
  <si>
    <t>M. 14137/ Labuhan Ratu</t>
  </si>
  <si>
    <t>M.12989/SUKABUMI, M.12988/SUKABUMI</t>
  </si>
  <si>
    <t>M. 1837/ Way Kandis</t>
  </si>
  <si>
    <t>M. 1356/ Durian Payung</t>
  </si>
  <si>
    <t>M.394/GUNUNG SULAH</t>
  </si>
  <si>
    <t>HM 10357/KEDAMAIAN</t>
  </si>
  <si>
    <t>HM 757/NOG</t>
  </si>
  <si>
    <t>HM 3852/WAY KANDIS</t>
  </si>
  <si>
    <t>M 426/TANJUNG KARANG</t>
  </si>
  <si>
    <t>M. 15329/ Sukarame</t>
  </si>
  <si>
    <t>M.1634/JAGABAYA III</t>
  </si>
  <si>
    <t>HM 1137/BW</t>
  </si>
  <si>
    <t>B. 1046/ Keteguhan</t>
  </si>
  <si>
    <t>HM 659/TANJUNG SENANG</t>
  </si>
  <si>
    <t>HM 1050/SUKABUMI INDAH</t>
  </si>
  <si>
    <t>B.1205/SUKABUMI INDAH</t>
  </si>
  <si>
    <t>HGB 1767/SUKARAME</t>
  </si>
  <si>
    <t>M. 1652/ Bumi Kedamaian</t>
  </si>
  <si>
    <t>M. 2664/ Sumber Agung</t>
  </si>
  <si>
    <t>M.4348/GUNUNG TERANG</t>
  </si>
  <si>
    <t>HM 12526/KEDAMAIAN</t>
  </si>
  <si>
    <t>HM 2379/BW</t>
  </si>
  <si>
    <t>M. 4271/ Campang Raya</t>
  </si>
  <si>
    <t>HM 4257/WAY KANDIS</t>
  </si>
  <si>
    <t>HM 2052/SUKAMAJU</t>
  </si>
  <si>
    <t>B.2138/SUKARAME I</t>
  </si>
  <si>
    <t>B.270/TELUK BETUNG</t>
  </si>
  <si>
    <t>M.1803/RAJABASA NYUNYAI-SEKARANG;M.11924/RAJABASA-DAHULU</t>
  </si>
  <si>
    <t>M. 9592/ Rajabasa</t>
  </si>
  <si>
    <t>M. 60/ Teluk Betung</t>
  </si>
  <si>
    <t>M.13498/SUKABUMI;B.2732/SUKABUMI-DAHULU</t>
  </si>
  <si>
    <t>M. 1104/ Sukabumi Indah</t>
  </si>
  <si>
    <t>M.2092/KETEGUHAN</t>
  </si>
  <si>
    <t xml:space="preserve">M.1157/KOTA KARANG </t>
  </si>
  <si>
    <t>M. 675/ Bumi Kedamaian</t>
  </si>
  <si>
    <t>HM 1164/KOTA BARU</t>
  </si>
  <si>
    <t>HM 2665/SUMBER AGUNG</t>
  </si>
  <si>
    <t>M. 2231/ Durian Payung</t>
  </si>
  <si>
    <t>HM 13435/SEGALA MIDER</t>
  </si>
  <si>
    <t>M. 12003/ Tanjung Baru</t>
  </si>
  <si>
    <t>HM 1558/SRENGSEM</t>
  </si>
  <si>
    <t>HM 1559/SRENGSEM</t>
  </si>
  <si>
    <t>HM 1173/SRENGSEM</t>
  </si>
  <si>
    <t>HM 1560/SRENGSEM</t>
  </si>
  <si>
    <t>HM 12914/SUKARAME I</t>
  </si>
  <si>
    <t>HM 156/KEMILING RAYA</t>
  </si>
  <si>
    <t>M. 15949/ Sukarame</t>
  </si>
  <si>
    <t>M. 243/ Pinang Jaya</t>
  </si>
  <si>
    <t>M.2166/GUNUNG TERANG</t>
  </si>
  <si>
    <t>M. 9674/ Sukabumi</t>
  </si>
  <si>
    <t>HM 313/KOTA SEPANG</t>
  </si>
  <si>
    <t>M. 1791/ Rajabasa Nunyai</t>
  </si>
  <si>
    <t>M.37/PEMATANG WANGI</t>
  </si>
  <si>
    <t>M. 1874/ Sumberrejo Sejahtera</t>
  </si>
  <si>
    <t>M. 40/ Tanjungkarang</t>
  </si>
  <si>
    <t>M. 18030/ Sukarame</t>
  </si>
  <si>
    <t>HM 116/SUKABUMI INDAH</t>
  </si>
  <si>
    <t>B.957/PESAWAHAN</t>
  </si>
  <si>
    <t>M. 751/ Gunung Sulah</t>
  </si>
  <si>
    <t>M. 109/ Sepang Jaya</t>
  </si>
  <si>
    <t>M. 16099/ Sukarame</t>
  </si>
  <si>
    <t>M.1766/GEDONG AIR</t>
  </si>
  <si>
    <t>M. 2176/ N O G</t>
  </si>
  <si>
    <t>M. 8951/ Surabaya</t>
  </si>
  <si>
    <t>M. 3115/ Way Kandis</t>
  </si>
  <si>
    <t>M. 425/ Teluk betung</t>
  </si>
  <si>
    <t>M. 9273/ Kedamaian (3 SHT)</t>
  </si>
  <si>
    <t>M. 269/ Kebon Jeruk</t>
  </si>
  <si>
    <t>M.3027/SUKARAME BARU</t>
  </si>
  <si>
    <t>M.658/GUNUNG TERANG</t>
  </si>
  <si>
    <t>B. 4401/ Sukabumi</t>
  </si>
  <si>
    <t>HM 4439/BERINGIN RAYA</t>
  </si>
  <si>
    <t>M.2666/SUMBER AGUNG</t>
  </si>
  <si>
    <t>HM 749/RAJABASA PEMUKA</t>
  </si>
  <si>
    <t>M. 12056/ Sukabumi</t>
  </si>
  <si>
    <t>M. 757/ Tanjung Raya</t>
  </si>
  <si>
    <t>M. 779/ Tanjung Seneng</t>
  </si>
  <si>
    <t>M. 12735/ Kedaton</t>
  </si>
  <si>
    <t>M. 368/ Beringin Jaya</t>
  </si>
  <si>
    <t>M. 127/ Sukarame Baru</t>
  </si>
  <si>
    <t>M.572/KORPRI RAYA</t>
  </si>
  <si>
    <t>M.116/SUKABUMI INDAH</t>
  </si>
  <si>
    <t>M.14642/RAJABASA</t>
  </si>
  <si>
    <t>M. 9311/ Tanjung Baru</t>
  </si>
  <si>
    <t>M. 334/ ketapang</t>
  </si>
  <si>
    <t>M. 1436/ Rajabasa Pemuka</t>
  </si>
  <si>
    <t>M. 12858/ Beringin Raya</t>
  </si>
  <si>
    <t>B.398/KALI BALAU KENCANA</t>
  </si>
  <si>
    <t xml:space="preserve">  </t>
  </si>
  <si>
    <t>M.10159/KEDAMAIAN DAN M.10803/KEDAMAIAN</t>
  </si>
  <si>
    <t>B.5634/BERINGIN RAYA</t>
  </si>
  <si>
    <t>M. 3014/ Gedong Air</t>
  </si>
  <si>
    <t>M. 464/ Kota Sepang</t>
  </si>
  <si>
    <t>B. 490/ sumur Putri</t>
  </si>
  <si>
    <t>M.15726/SUKABUMI</t>
  </si>
  <si>
    <t>M. 1805/ Tanjung Seneng</t>
  </si>
  <si>
    <t>M. 1051/ Pematang Wangi</t>
  </si>
  <si>
    <t>M. 728/ Labuhan Dalam</t>
  </si>
  <si>
    <t>M. 2663/ Pinang Jaya</t>
  </si>
  <si>
    <t>M. 5583/ Langkapura</t>
  </si>
  <si>
    <t>M. 3655/ Langkapura</t>
  </si>
  <si>
    <t>M. 2227/ Susunan Baru</t>
  </si>
  <si>
    <t>M. 2070/ Labuhan Ratu Raya</t>
  </si>
  <si>
    <t>M. 1869/ Sumberejo Sejahtera</t>
  </si>
  <si>
    <t>B. 1094/ Keteguhan</t>
  </si>
  <si>
    <t>M. 246/ Gunung Sulah</t>
  </si>
  <si>
    <t>M. 979/ Kemiling Raya</t>
  </si>
  <si>
    <t>M. 2272/ Rajabasa Raya</t>
  </si>
  <si>
    <t>M. 2472/ Kemiling Permai</t>
  </si>
  <si>
    <t>M. 925/ Gotong Royong</t>
  </si>
  <si>
    <t>B.454/NUSANTARA PERMAI</t>
  </si>
  <si>
    <t>M.15696/SUKABUMI</t>
  </si>
  <si>
    <t>M.1603/TANJUNG SENANG</t>
  </si>
  <si>
    <t>M.1604/TANJUNG SENANG</t>
  </si>
  <si>
    <t>M. 2296/SEPANG JAYA</t>
  </si>
  <si>
    <t xml:space="preserve">M.2619/BERINGIN RAYA </t>
  </si>
  <si>
    <t>M.509/PERUMNAS WAY HALIM</t>
  </si>
  <si>
    <t>M. 2052/ Labuhan Ratu</t>
  </si>
  <si>
    <t>M. 16760/ Sukabumi</t>
  </si>
  <si>
    <t>B. 607/ Sumber AGung</t>
  </si>
  <si>
    <t>M.15026/SUKABUMI</t>
  </si>
  <si>
    <t>B.750/SUMUR PUTRI</t>
  </si>
  <si>
    <t>M.1440/LABUHAN RATU RAYA</t>
  </si>
  <si>
    <t>B.698/SUMBER AGUNG</t>
  </si>
  <si>
    <t>M. 3567/SUKADANA HAM</t>
  </si>
  <si>
    <t>B.716/SUMUR PUTRI</t>
  </si>
  <si>
    <t>M. 487/ Kupang Teba</t>
  </si>
  <si>
    <t>M.995/SUKARAME BARU</t>
  </si>
  <si>
    <t>M.2172/KOTA KARANG</t>
  </si>
  <si>
    <t>M. 1364/ Durian Payung</t>
  </si>
  <si>
    <t xml:space="preserve">M. 292/ K B K </t>
  </si>
  <si>
    <t xml:space="preserve">M.1351/WAY HALIM PERMAI </t>
  </si>
  <si>
    <t>M. 19502/ Sukarame</t>
  </si>
  <si>
    <t>M. 2267/ Kota Baru</t>
  </si>
  <si>
    <t>M. 11047/ Segala Mider</t>
  </si>
  <si>
    <t>M. 11862/ Segala Mider</t>
  </si>
  <si>
    <t>M.13633/SUKABUMI</t>
  </si>
  <si>
    <t>M.1802/RAJABASA JAYA</t>
  </si>
  <si>
    <t>M. 1875/RAJABASA JAYA</t>
  </si>
  <si>
    <t>M. 1608/TANJUNG SENANG</t>
  </si>
  <si>
    <t>M.2295/SEPANG JAYA</t>
  </si>
  <si>
    <t>M.2722/SUMBERREJO</t>
  </si>
  <si>
    <t>M.578/KUPANG RAYA</t>
  </si>
  <si>
    <t>M.12771/TANJUNG BARU, M.12772/TANJUNG BARU</t>
  </si>
  <si>
    <t>M.1596/PINANG JAYA</t>
  </si>
  <si>
    <t>M.1983/RAJABASA JAYA</t>
  </si>
  <si>
    <t>M. 6454/ Way Kandis</t>
  </si>
  <si>
    <t>M. 754/ Rajabasa Raya</t>
  </si>
  <si>
    <t>M. 1291/ Pinang Jaya</t>
  </si>
  <si>
    <t>K/41/070225/1</t>
  </si>
  <si>
    <t>M. 4320/ Gunung Terang</t>
  </si>
  <si>
    <t>B. 948/ Beringin Jaya</t>
  </si>
  <si>
    <t>M. 637/ Gulak Galik</t>
  </si>
  <si>
    <t>M. 2064/ Sukarame II</t>
  </si>
  <si>
    <t>M. 764/ Sawah Brebes</t>
  </si>
  <si>
    <t>M. 2591/ Pinang Jaya</t>
  </si>
  <si>
    <t>B. 949/ Beringin Jaya</t>
  </si>
  <si>
    <t>M.2493/SUSUNAN BARU</t>
  </si>
  <si>
    <t>B.313/LABUHAN RATU RAYA</t>
  </si>
  <si>
    <t>M.3208/LABUHAN DALAM</t>
  </si>
  <si>
    <t>M. 2255/ Rajabasa Raya</t>
  </si>
  <si>
    <t>M. 12913/ Segala Mider</t>
  </si>
  <si>
    <t>M. 2593/ Sukarame II</t>
  </si>
  <si>
    <t>M. 886/ Pelita</t>
  </si>
  <si>
    <t>M. 9195/ Jagabaya II</t>
  </si>
  <si>
    <t>M.266/CAMPANG JAYA</t>
  </si>
  <si>
    <t>M.1143/ENGGAL</t>
  </si>
  <si>
    <t>B.8/PENGAJARAN</t>
  </si>
  <si>
    <t>M. 400/ Kemiling Permai</t>
  </si>
  <si>
    <t>MRS. 70/ Tanjungkarang</t>
  </si>
  <si>
    <t>M.1473/KUPANG TEBA</t>
  </si>
  <si>
    <t>M.202/RAJABASA PEMUKA</t>
  </si>
  <si>
    <t>M.78/KOTA SEPANG</t>
  </si>
  <si>
    <t>B.315/LABUHAN RATU RAYA</t>
  </si>
  <si>
    <t>B.314/LABUHAN RATU RAYA</t>
  </si>
  <si>
    <t>M. 1921/ Rajabasa Raya</t>
  </si>
  <si>
    <t>M. 2072/ Labuhan Rau Raya</t>
  </si>
  <si>
    <t>M. 12426/ Sukarame I</t>
  </si>
  <si>
    <t>M. 11823/ Sukarame I</t>
  </si>
  <si>
    <t>M. 1/ Gedong Air</t>
  </si>
  <si>
    <t>shm m. 1/gedong air di lembar monitoring tidak ada</t>
  </si>
  <si>
    <t>M. 1396/ Sumberrejo sejahtera</t>
  </si>
  <si>
    <t>M. 1975/ Perumnas Way Halim</t>
  </si>
  <si>
    <t>B. 41/ Sumberejo Sejahtera</t>
  </si>
  <si>
    <t>M. 1851/ Labuhan Dalam</t>
  </si>
  <si>
    <t>M. 12985/ Beringin Raya</t>
  </si>
  <si>
    <t>M. 1230/ Perumnas Way Kandis</t>
  </si>
  <si>
    <t>M. 911/ Sukarame Baru</t>
  </si>
  <si>
    <t>M. 1356/ Rawa Laut</t>
  </si>
  <si>
    <t>M. 10669/ Segala Mider</t>
  </si>
  <si>
    <t>M. 1154/ Bumi Kedamaian</t>
  </si>
  <si>
    <t>B. 312/ Sukarame Baru</t>
  </si>
  <si>
    <t>M. 14000/ Labuhan Ratu</t>
  </si>
  <si>
    <t>B. 309/ Labuhan ratu Raya</t>
  </si>
  <si>
    <t>B. 662/ Sumber Agung</t>
  </si>
  <si>
    <t>B. 158/ Way Laga</t>
  </si>
  <si>
    <t>B. 663/ Sumber Agung</t>
  </si>
  <si>
    <t>M. 96/ Sumur Putri</t>
  </si>
  <si>
    <t>M. 2809/ Sukarame Baru</t>
  </si>
  <si>
    <t>M. 1461/ Sepang Jaya</t>
  </si>
  <si>
    <t>M. 3241/ Gedong Air</t>
  </si>
  <si>
    <t>M.1046/SUSUNAN BARU</t>
  </si>
  <si>
    <t>M. 225/ Bilabong Jaya</t>
  </si>
  <si>
    <t>M. 9368/ Sidodadi</t>
  </si>
  <si>
    <t>M. 1183/ Sumber Agung</t>
  </si>
  <si>
    <t>M. 3238/ Gedong Air</t>
  </si>
  <si>
    <t>M. 19091/ Sukarame</t>
  </si>
  <si>
    <t>M.380/SUMBERREJO SEJAHTERA</t>
  </si>
  <si>
    <t>M.4244/GUNUNG TERANG</t>
  </si>
  <si>
    <t>B.628/SUMBER AGUNG</t>
  </si>
  <si>
    <t>1M.1255/GULAK GALIK; 2. M.1254/SUMUR BATU</t>
  </si>
  <si>
    <t>M.1088/SRENGSEM</t>
  </si>
  <si>
    <t>M. 2462/ Sukamaju</t>
  </si>
  <si>
    <t xml:space="preserve">M.3460/RANJUNG SENANG </t>
  </si>
  <si>
    <t>M.91/RAJABASA RAYA</t>
  </si>
  <si>
    <t>HM 13384/SUKARAME</t>
  </si>
  <si>
    <t>HM 11091/KEDATON</t>
  </si>
  <si>
    <t xml:space="preserve">M.3360/WAY KANDIS </t>
  </si>
  <si>
    <t>B.4946/BERINGIN RAYA</t>
  </si>
  <si>
    <t>M.11872/JAGABAYA II</t>
  </si>
  <si>
    <t>B.467/SUBER AGUNG</t>
  </si>
  <si>
    <t>M.663/NEGERI OLOK GADING</t>
  </si>
  <si>
    <t>HM 3174/GUNUNG TERANG</t>
  </si>
  <si>
    <t>L/12/300125/1</t>
  </si>
  <si>
    <t>HM 10586,10587/SIDODADI</t>
  </si>
  <si>
    <t>HM 1716/BAKUNG</t>
  </si>
  <si>
    <t>M.5298/RAJABASA JAYA</t>
  </si>
  <si>
    <t>M. 294/ Way Halim Permai</t>
  </si>
  <si>
    <t>M.12196/JAGABAYA II</t>
  </si>
  <si>
    <t>B.617/KEMILING PERMAI</t>
  </si>
  <si>
    <t>M.1992/WAY KANDIS</t>
  </si>
  <si>
    <t>M. 3234/GEDONG AIR</t>
  </si>
  <si>
    <t>B. 5635/BERINGIN RAYA</t>
  </si>
  <si>
    <t>M. 11384/ Sukarame</t>
  </si>
  <si>
    <t>M.43/NUSANTARA PERMAI</t>
  </si>
  <si>
    <t>SUKARAME BARU</t>
  </si>
  <si>
    <t>L/61/100225/1</t>
  </si>
  <si>
    <t>M. 1885/ Labuhan Ratu Raya</t>
  </si>
  <si>
    <t>M. 207/ Korpri Jaya</t>
  </si>
  <si>
    <t>M. 6414/ Gunung Sulah</t>
  </si>
  <si>
    <t>M. 1951/ Sumberrejo sejahtera</t>
  </si>
  <si>
    <t>HM 353/BERINGIN RAYA</t>
  </si>
  <si>
    <t>HM 361/RAJABASA JAYA</t>
  </si>
  <si>
    <t>M.2044/CAMPANG RAYA</t>
  </si>
  <si>
    <t>M.16664/SUKARAME I</t>
  </si>
  <si>
    <t>M. 238/ Sukarame Baru</t>
  </si>
  <si>
    <t>M. 9009/ Sidodadi</t>
  </si>
  <si>
    <t>M.2259/PERUMNAS WAY HALIM</t>
  </si>
  <si>
    <t>M.996/GEDONG AIR</t>
  </si>
  <si>
    <t>M. 2162/ Way Halim Permai</t>
  </si>
  <si>
    <t>B. 100/ Pinang Jaya</t>
  </si>
  <si>
    <t>M. 9728/ Sidodadi</t>
  </si>
  <si>
    <t>M. 234/ Sukarame II</t>
  </si>
  <si>
    <t>M. 1867/ Beringin Jaya</t>
  </si>
  <si>
    <t>M.2641/PINANG JAYA</t>
  </si>
  <si>
    <t xml:space="preserve">M.1469/PINANG JAYA </t>
  </si>
  <si>
    <t>M.116/GEDONG MENENG BARU</t>
  </si>
  <si>
    <t>B. 308/ Labuhan Ratu Raya</t>
  </si>
  <si>
    <t>B. 310/ Labuhan Ratu Raya</t>
  </si>
  <si>
    <t>B. 1104/ Keteguhan</t>
  </si>
  <si>
    <t>M.3263/KOTA KARANG</t>
  </si>
  <si>
    <t>HM 2275/GUNUNG TERANG</t>
  </si>
  <si>
    <t>M.322/SEPANG JAYA</t>
  </si>
  <si>
    <t>M.1089/LABUHAN DALAM DAN M.1369/ LABUHAN DALAM</t>
  </si>
  <si>
    <t>M.1367/KALIAWI</t>
  </si>
  <si>
    <t>M.126/TANJUNG KARANG</t>
  </si>
  <si>
    <t>B. 311/ Labuhan Ratu Raya</t>
  </si>
  <si>
    <t>M. 18248/ Sukarame</t>
  </si>
  <si>
    <t>M.1751/CAMPANG RAYA</t>
  </si>
  <si>
    <t>M.3242/GEDONG AIR</t>
  </si>
  <si>
    <t>M.5100/RAJABASA JAYA</t>
  </si>
  <si>
    <t>B. 578/ Nusantara Permai</t>
  </si>
  <si>
    <t>M. 5288/ Langkapura</t>
  </si>
  <si>
    <t>M. 2566/ Beringin Raya</t>
  </si>
  <si>
    <t>M. 9633/ Labuhan Ratu</t>
  </si>
  <si>
    <t>M. 189/ Garuntang</t>
  </si>
  <si>
    <t>B. 845/ Beringin Jaya</t>
  </si>
  <si>
    <t>M. 8135/ Sukabumi</t>
  </si>
  <si>
    <t>M.265//BERINGIN RAYA</t>
  </si>
  <si>
    <t>M.823/TANJUNG AGUNG</t>
  </si>
  <si>
    <t>M.15589/SUKABUMI DAN M.15642/SUKABUMI</t>
  </si>
  <si>
    <t>B. 28/ Sumur Batu</t>
  </si>
  <si>
    <t>M.16547/SUKABUMI</t>
  </si>
  <si>
    <t>M. 751/ Sukarame Baru</t>
  </si>
  <si>
    <t>HGB 61/WAY LAGA</t>
  </si>
  <si>
    <t>HM 4451/RAJABASA JAYA</t>
  </si>
  <si>
    <t>HM 2139/RAJABASA RAYA</t>
  </si>
  <si>
    <t>HM 2007/LABUHAN RATU RAYA</t>
  </si>
  <si>
    <t>M. 11205/ Sukabumi</t>
  </si>
  <si>
    <t>M. 2294/ Rajabasa Raya</t>
  </si>
  <si>
    <t>M. 43/ gulak galik</t>
  </si>
  <si>
    <t>M. 415/ Labuhan ratu Raya</t>
  </si>
  <si>
    <t>B. 307/ Labuhan Ratu Raya</t>
  </si>
  <si>
    <t>M. 11421/ Jagabaya III</t>
  </si>
  <si>
    <t>B. 897/ Kemiling Permai</t>
  </si>
  <si>
    <t>M. 4753/ Rajabasa Jaya</t>
  </si>
  <si>
    <t>M.  5156/ Way Kandis</t>
  </si>
  <si>
    <t>M. 1987/ Labuhan Ratu Raya</t>
  </si>
  <si>
    <t>M. 1880 / PERUMNAS WAY HALIM</t>
  </si>
  <si>
    <t>M.15619/SUKABUMI</t>
  </si>
  <si>
    <t>M.475/LANGKAPURA BARU</t>
  </si>
  <si>
    <t>M. 1504/ Rawa Laut</t>
  </si>
  <si>
    <t>M. 647/ Kangkung</t>
  </si>
  <si>
    <t>M. 9980/ Gedung Meneng</t>
  </si>
  <si>
    <t>M. 5307/ Rajabasa Jaya</t>
  </si>
  <si>
    <t>M. 29/BUMI KEDAMAIAN</t>
  </si>
  <si>
    <t>M.331/NUSANTARA PERMAI;B.389/CAMPANG RAYA-DAHULU</t>
  </si>
  <si>
    <t>M. 1114/ Tanjungkarang</t>
  </si>
  <si>
    <t>M. 2162/ Bakung</t>
  </si>
  <si>
    <t>M. 354/ Sukarame Baru</t>
  </si>
  <si>
    <t>M.15677/SUKABUMI</t>
  </si>
  <si>
    <t>M.4184/CAMPANG RAYA</t>
  </si>
  <si>
    <t>B. 1009/ kemiling Permai</t>
  </si>
  <si>
    <t>B. 989/ Kemiling Permai</t>
  </si>
  <si>
    <t>M. 2293/ Sepang Jaya</t>
  </si>
  <si>
    <t>B. 922/ kemiling Permai</t>
  </si>
  <si>
    <t>B. 1064/ kemiling Permai</t>
  </si>
  <si>
    <t>B. 1063/ Kemiling Permai</t>
  </si>
  <si>
    <t>M.1987/KALI BALAU KENCANA</t>
  </si>
  <si>
    <t>B.652/SUMBER AGUNG</t>
  </si>
  <si>
    <t>M. 599/KALI BALAU KENCANA</t>
  </si>
  <si>
    <t>B.601/SUMBER AGUNG</t>
  </si>
  <si>
    <t>M. 1175/ WAY KANDIS</t>
  </si>
  <si>
    <t>M. 5308/ Surabaya</t>
  </si>
  <si>
    <t>M. 1920; 1921/ Keteguhan</t>
  </si>
  <si>
    <t>M. 606/ Tanjung Gading</t>
  </si>
  <si>
    <t>M. 1171/ Gedong Air</t>
  </si>
  <si>
    <t>B. 201/ Sukabumi Indah</t>
  </si>
  <si>
    <t>M.5608/LANGKAPURA DAN NIBEL M 12752/LANGKAPURA</t>
  </si>
  <si>
    <t>M.448/KOTA SEPANG</t>
  </si>
  <si>
    <t>M. 564/WAY LAGA</t>
  </si>
  <si>
    <t>B.620/SUMBER AGUNG</t>
  </si>
  <si>
    <t>M.3126/GEDONG AIR</t>
  </si>
  <si>
    <t>M. 2217/ Langkapura</t>
  </si>
  <si>
    <t>M. 4702/SUKADANA HAM</t>
  </si>
  <si>
    <t>M.11086/GEDONG MENENG</t>
  </si>
  <si>
    <t>M. 6478/ Way Kandis</t>
  </si>
  <si>
    <t>M. 495/ Pesawahan</t>
  </si>
  <si>
    <t>M. 12439/KEDAMAIAN</t>
  </si>
  <si>
    <t>M.10221/GEDONG MENENG</t>
  </si>
  <si>
    <t>M.1842/BERINGIN JAYA</t>
  </si>
  <si>
    <t>M. 9620/TANJUNG BARU</t>
  </si>
  <si>
    <t>M. 504/ Kupang Kota</t>
  </si>
  <si>
    <t>M. 6581/ Sidodadi</t>
  </si>
  <si>
    <t>K/32/140225/1</t>
  </si>
  <si>
    <t>M. 4747/ Rajabasa Jaya</t>
  </si>
  <si>
    <t>M. 1193/ Sukamaju</t>
  </si>
  <si>
    <t>B. 264/ Labuhan Ratu raya</t>
  </si>
  <si>
    <t>M. 4346/ Gunung terang</t>
  </si>
  <si>
    <t>M. 3355/ Kemiling Permai</t>
  </si>
  <si>
    <t>M. 1615/ Rajabasa Nunyai</t>
  </si>
  <si>
    <t>B. 618/ Sumber Agung</t>
  </si>
  <si>
    <t>B. 345/ Kemiling Permai</t>
  </si>
  <si>
    <t>M. 653/ Sukabumi Indah</t>
  </si>
  <si>
    <t>M. 1357/ Rawa Laut</t>
  </si>
  <si>
    <t>M. 3125/ Gedong Air</t>
  </si>
  <si>
    <t>M.4477/GUNUNG TERANG</t>
  </si>
  <si>
    <t>B.56/PINANG JAYA</t>
  </si>
  <si>
    <t>M.2637/PINANG JAYA</t>
  </si>
  <si>
    <t>M. 1505/SUMUR BATU</t>
  </si>
  <si>
    <t>M. 14853/ Sukarame I</t>
  </si>
  <si>
    <t>M. 677/ Gunung Sulah</t>
  </si>
  <si>
    <t>M. 9205/ Gedong Meneng</t>
  </si>
  <si>
    <t>M. 1970/ Durian Payung</t>
  </si>
  <si>
    <t>B. 538/ Gunung Sulah</t>
  </si>
  <si>
    <t>MRS. 69/ Tanjungkarang</t>
  </si>
  <si>
    <t>M. 1850/ Beringin Jaya</t>
  </si>
  <si>
    <t>M. 1375/ Batu Putuk</t>
  </si>
  <si>
    <t>M. 1852/ Beringin Jaya</t>
  </si>
  <si>
    <t>M. 1831/ Beringin Jaya</t>
  </si>
  <si>
    <t>M. 1851/ Beringin Jaya</t>
  </si>
  <si>
    <t>K/39/240225/5</t>
  </si>
  <si>
    <t>M. 1238/ Beringin Jaya</t>
  </si>
  <si>
    <t>M. 824/ Way Halim Permai</t>
  </si>
  <si>
    <t>B.3364/SUKABUMI</t>
  </si>
  <si>
    <t>B.108/SUMBERREJO</t>
  </si>
  <si>
    <t>B.579/NUSANTARA PERMAI</t>
  </si>
  <si>
    <t>M.1117/GUNUNG TERANG</t>
  </si>
  <si>
    <t>M.1935/SUMUR BATU</t>
  </si>
  <si>
    <t>M.14498/RAJABASA</t>
  </si>
  <si>
    <t>M.179/RAJABASA RAYA</t>
  </si>
  <si>
    <t>B.312/LABUHAN RATU RAYA</t>
  </si>
  <si>
    <t>M.3021/GEDONG AIR</t>
  </si>
  <si>
    <t>M.3013/GEDONG AIR</t>
  </si>
  <si>
    <t>M. 5616/ Langkapura</t>
  </si>
  <si>
    <t>M. 2313/ Sumber Agung</t>
  </si>
  <si>
    <t>M.88/PERUMNAS WAY KANDIS</t>
  </si>
  <si>
    <t>M. 9246/ Kedamaian</t>
  </si>
  <si>
    <t>M. 2632/ Pinang Jaya</t>
  </si>
  <si>
    <t>M. 1853/ Beringin Jaya</t>
  </si>
  <si>
    <t>M. 13844/ Kedamaian</t>
  </si>
  <si>
    <t>M. 1830/ Beringin Jaya</t>
  </si>
  <si>
    <t>M. 2512/ Keteguhan</t>
  </si>
  <si>
    <t>M.130/JAGABAYA III</t>
  </si>
  <si>
    <t>M. 332/ Sawah Lama</t>
  </si>
  <si>
    <t>M.2500/RAJABASA JAYA</t>
  </si>
  <si>
    <t>B.653/SUMBER AGUNG</t>
  </si>
  <si>
    <t>B.664/SUMBER AGUNG</t>
  </si>
  <si>
    <t>M.1990/LABUHAN RATU RAYA</t>
  </si>
  <si>
    <t>B.665/SUMBER AGUNG</t>
  </si>
  <si>
    <t>M. 351/ Nusantara Permai</t>
  </si>
  <si>
    <t>M. 14453/ SUkabumi</t>
  </si>
  <si>
    <t>M.1853/KETEGUHAN</t>
  </si>
  <si>
    <t>M. 1416/BAKUNG</t>
  </si>
  <si>
    <t>M.4603/GUNUNG TERANG</t>
  </si>
  <si>
    <t>M. 3259 / GEDONG AIR</t>
  </si>
  <si>
    <t>M. 80/ Korpri Jaya</t>
  </si>
  <si>
    <t>M. 5906/ Way Kandis</t>
  </si>
  <si>
    <t>M. 13984/ Kedamaian</t>
  </si>
  <si>
    <t>M. 16669/ Sukabumi</t>
  </si>
  <si>
    <t>B. 598/ Sumur Putri</t>
  </si>
  <si>
    <t>B. 1937/ Sukabumi</t>
  </si>
  <si>
    <t>M. 2279/ sepang jaya</t>
  </si>
  <si>
    <t>M. 12549/ Sukabumi</t>
  </si>
  <si>
    <t>M. 12856/ Beringin Raya</t>
  </si>
  <si>
    <t>M. 4304/ Way Kandis</t>
  </si>
  <si>
    <t>M. 1950/ Sukabumi Indah</t>
  </si>
  <si>
    <t>M. 16577/ Sukabumi</t>
  </si>
  <si>
    <t>M. 11346 / SUKARAME</t>
  </si>
  <si>
    <t>M. 1116/PEMATANG WANGI</t>
  </si>
  <si>
    <t>M. 2651/ Pinang Jaya</t>
  </si>
  <si>
    <t>M. 1009/ Bumi Waras</t>
  </si>
  <si>
    <t>M. 1280/ Negeri Olok Gading</t>
  </si>
  <si>
    <t>M. 15516/ Sukabumi</t>
  </si>
  <si>
    <t>M.1887/GEDNG AIR</t>
  </si>
  <si>
    <t>M. 2668/ Sumber Agung</t>
  </si>
  <si>
    <t>M. 1638/WAY KANDIS</t>
  </si>
  <si>
    <t>M. 1880/GEDONG AIR</t>
  </si>
  <si>
    <t>M. 11 / BUMI KEDAMAIAN</t>
  </si>
  <si>
    <t>M. 1854/ Beringin Jaya</t>
  </si>
  <si>
    <t>K/37/240225/3</t>
  </si>
  <si>
    <t>M. 3153/ Gedong Air</t>
  </si>
  <si>
    <t>M. 1938/ Sukamaju</t>
  </si>
  <si>
    <t>B. 355/ Way Dadi</t>
  </si>
  <si>
    <t>M. 1285/ Pinang Jaya</t>
  </si>
  <si>
    <t>M. 1511/ Rajabasa Nunyai</t>
  </si>
  <si>
    <t>M. 9543/ Sidodadi</t>
  </si>
  <si>
    <t>M. 1568/ Labuhan Ratu Raya</t>
  </si>
  <si>
    <t>M. 1752/ Way Halim Permai</t>
  </si>
  <si>
    <t>M. 15869/ Sukabumi</t>
  </si>
  <si>
    <t>M.1370/SUKAMAJU</t>
  </si>
  <si>
    <t>M.3023/GEDONG AIR</t>
  </si>
  <si>
    <t>M.2381/LANGKAPURA</t>
  </si>
  <si>
    <t xml:space="preserve">P.24/SUKARAME </t>
  </si>
  <si>
    <t>M.2501/RAJABASA JAYA</t>
  </si>
  <si>
    <t>M.2498/RAJABASA JAYA</t>
  </si>
  <si>
    <t>B.654/SUMBER AGUNG</t>
  </si>
  <si>
    <t>B.3629/BERINGIN RAYA</t>
  </si>
  <si>
    <t>M.3027/GEDONG AIR</t>
  </si>
  <si>
    <t>M. 813/ Kedaung</t>
  </si>
  <si>
    <t>M. 515/ Sukabumi Indah</t>
  </si>
  <si>
    <t xml:space="preserve"> M. 1791/ Rajabasa Pemuka</t>
  </si>
  <si>
    <t>M. 12512/ Jagabaya II</t>
  </si>
  <si>
    <t>M. 2368/ Kedaung</t>
  </si>
  <si>
    <t>M. 2427/KEDAUNG</t>
  </si>
  <si>
    <t>M.3260/GEDONG AIR</t>
  </si>
  <si>
    <t>M.1534/BUMI KEDAMAIAN</t>
  </si>
  <si>
    <t>M. 1822/ Way Laga</t>
  </si>
  <si>
    <t>B. 536/ Sukarame Baru</t>
  </si>
  <si>
    <t>M. 1873. Kemiling Permai</t>
  </si>
  <si>
    <t>B.3235/SUKABUMI</t>
  </si>
  <si>
    <t>M.336/PENENGAHAN</t>
  </si>
  <si>
    <t>M.1231/TALANG</t>
  </si>
  <si>
    <t>M.1656/BUMI KEDAMAIAN</t>
  </si>
  <si>
    <t>M.611/SAWAH BREBES</t>
  </si>
  <si>
    <t>B.1113/KETEGUHAN</t>
  </si>
  <si>
    <t>M.3022/GEDONG AIR</t>
  </si>
  <si>
    <t>M.2870/SUKARAME BARU</t>
  </si>
  <si>
    <t>HM 19/SURABAYA</t>
  </si>
  <si>
    <t>HM 18/SURABAYA</t>
  </si>
  <si>
    <t>M. 1952/ SUMBERREJO SEJAHTERA</t>
  </si>
  <si>
    <t>B. 276/ LABUHAN RATU RAYA</t>
  </si>
  <si>
    <t>M. 25 / KALI BALAU KENCANA</t>
  </si>
  <si>
    <t>M. 1387/RAJABASA NUNYAI</t>
  </si>
  <si>
    <t>B. 3590 / SUKABUMI</t>
  </si>
  <si>
    <t>M. 398; 1322/ Kangkung  dan 998/ Teluk betung</t>
  </si>
  <si>
    <t>M. 2497/ Rajabasa Jaya</t>
  </si>
  <si>
    <t>M. 2499/ Rajabasa Jaya</t>
  </si>
  <si>
    <t>HM 52/TANJUNG AGUNG</t>
  </si>
  <si>
    <t>M. 1318/ Bumi Waras</t>
  </si>
  <si>
    <t>HGB 239/NUSANTARA PERMAI</t>
  </si>
  <si>
    <t>M. 522/ Jagabaya III</t>
  </si>
  <si>
    <t>M. 653/ Sukarame II</t>
  </si>
  <si>
    <t>B. 394/ Kemiling Permai</t>
  </si>
  <si>
    <t>HM 1688/BERINGIN JAYA</t>
  </si>
  <si>
    <t>M. 588/LABUHAN DALAM</t>
  </si>
  <si>
    <t>M. 11336/TANJUNG BARU</t>
  </si>
  <si>
    <t>M. 9365/ Jagabaya II</t>
  </si>
  <si>
    <t>M. 573/ Korpri Jaya</t>
  </si>
  <si>
    <t>M. 6412/GUNUNG SULAH</t>
  </si>
  <si>
    <t>M.5576/LANGKAPURA</t>
  </si>
  <si>
    <t>M. 594/GUNUNG AGUNG</t>
  </si>
  <si>
    <t>M. 1515/ Rajabasa Nunyai</t>
  </si>
  <si>
    <t>M. 6464/ Way Kandis</t>
  </si>
  <si>
    <t>M. 4926/ Sukadana Ham</t>
  </si>
  <si>
    <t>B. 350/ Rajabasa Nunyai</t>
  </si>
  <si>
    <t>M. 4062/ Way Kandis</t>
  </si>
  <si>
    <t>M. 2849/ Sukarame Baru</t>
  </si>
  <si>
    <t>M. 250/ Pinang Jaya</t>
  </si>
  <si>
    <t>M. 04/ Penengahan</t>
  </si>
  <si>
    <t>HM 16620/SUKABUMI</t>
  </si>
  <si>
    <t>B.661/SUMBER AGUNG</t>
  </si>
  <si>
    <t xml:space="preserve">B.1360/PINANG JAYA </t>
  </si>
  <si>
    <t>M.3352/KEMILING PERMAI</t>
  </si>
  <si>
    <t>M.1129/GOTONG ROYONG</t>
  </si>
  <si>
    <t>B.678/SUMBER AGUNG</t>
  </si>
  <si>
    <t>M.1204/SUKARAME BARU</t>
  </si>
  <si>
    <t>M.1608/LABUHAN DALAM</t>
  </si>
  <si>
    <t>M.2245/SUKARAME II</t>
  </si>
  <si>
    <t>M. 4922/ Sukadana Ham</t>
  </si>
  <si>
    <t>M. 291/ Korpri Raya</t>
  </si>
  <si>
    <t>HMASRS 292/ Sumur Putri</t>
  </si>
  <si>
    <t>B. 2426/ Sukarame</t>
  </si>
  <si>
    <t>M. 2415/ Sukamaju</t>
  </si>
  <si>
    <t>M. 6183/ way Kandis</t>
  </si>
  <si>
    <t>M. 1128/ Kuripan</t>
  </si>
  <si>
    <t>M. 520/ Sukarame</t>
  </si>
  <si>
    <t>HM 2607/KALIAWI</t>
  </si>
  <si>
    <t>M. 5068/ Rajabasa Jaya</t>
  </si>
  <si>
    <t>M. 6200/ Way Kandis</t>
  </si>
  <si>
    <t>M. 6198/ Way Kandis</t>
  </si>
  <si>
    <t>M. 785/ Sumur Putri</t>
  </si>
  <si>
    <t>HM 12211/SUKARAME</t>
  </si>
  <si>
    <t>M. 6307/ gn sulah</t>
  </si>
  <si>
    <t>-M.12198 / RAJABASA PEMUKA</t>
  </si>
  <si>
    <t>HGB .3324/SUKABUMI</t>
  </si>
  <si>
    <t>M. 1286/PANJANG UTARA</t>
  </si>
  <si>
    <t>B. 1117/KETEGUHAN</t>
  </si>
  <si>
    <t>M.1916/LANGKAPURA</t>
  </si>
  <si>
    <t>B. 764/ Sumur Putri</t>
  </si>
  <si>
    <t>M. 211/ Bumi Raya</t>
  </si>
  <si>
    <t>M. 18826/ Sukarame</t>
  </si>
  <si>
    <t>M. 2629/ Pinang Jaya</t>
  </si>
  <si>
    <t>M. 2351/ Kedaung</t>
  </si>
  <si>
    <t>M. 14140/ Labuhan Ratu</t>
  </si>
  <si>
    <t>M. 986/ Korpri Jaya</t>
  </si>
  <si>
    <t>M. 4908/ Rajabasa Jaya</t>
  </si>
  <si>
    <t>B. 157/ Way Laga</t>
  </si>
  <si>
    <t>M. 6459/ Way Kandis</t>
  </si>
  <si>
    <t>M. 323/ Talang</t>
  </si>
  <si>
    <t>K/38/060325/1</t>
  </si>
  <si>
    <t>M. 3113/ Sukarame</t>
  </si>
  <si>
    <t>M. 4935/ Sukadana Ham</t>
  </si>
  <si>
    <t>M. 2667/ Sumber Agung</t>
  </si>
  <si>
    <t>B. 1810/ Sukarame</t>
  </si>
  <si>
    <t>M. 14141/ Labuhan Ratu</t>
  </si>
  <si>
    <t>M. 121/ Korpri Jaya</t>
  </si>
  <si>
    <t>M. 465/ Kota Sepang</t>
  </si>
  <si>
    <t>M. 1742/ Rajabasa Nunyai</t>
  </si>
  <si>
    <t>M. 1363/ Sumur Batu</t>
  </si>
  <si>
    <t>M. 542/ Sumberrejo sejahtera</t>
  </si>
  <si>
    <t>M. 1443/ Batu Putuk</t>
  </si>
  <si>
    <t>K/17/280225/1</t>
  </si>
  <si>
    <t>m.11548/KEDAMAIAN</t>
  </si>
  <si>
    <t>HM 4534/GUNUNG TERANG</t>
  </si>
  <si>
    <t>HM 1772/RAJABASA RAYA</t>
  </si>
  <si>
    <t>HM 216/SUMUR BATU</t>
  </si>
  <si>
    <t>HM 1209/SEPANG JAYA</t>
  </si>
  <si>
    <t>B.690/SUMBER AGUNG</t>
  </si>
  <si>
    <t>M. 3141/ Beringin Raya</t>
  </si>
  <si>
    <t>M. 920/SUMBEREJO SEJAHTERA</t>
  </si>
  <si>
    <t>M. 2714/SUMBEREJO</t>
  </si>
  <si>
    <t>M. 1183/ Kedamain</t>
  </si>
  <si>
    <t>M. 212/ Sukaraja</t>
  </si>
  <si>
    <t>M. 1508/ Gd air</t>
  </si>
  <si>
    <t>M. 1008/ Gunung Agung</t>
  </si>
  <si>
    <t>M. 503/ Kelapa Tiga Permai</t>
  </si>
  <si>
    <t>M. 4673/ Rajabasa Jaya</t>
  </si>
  <si>
    <t>M. 529/ Korpri Raya</t>
  </si>
  <si>
    <t>M. 4440/ Gunung Terang</t>
  </si>
  <si>
    <t>M. 1782/ Tanjung Seneng</t>
  </si>
  <si>
    <t>M. 2850/ Sukarame Baru</t>
  </si>
  <si>
    <t>B. 529/ Sukarame Baru</t>
  </si>
  <si>
    <t>M. 6451/ Way Kandis</t>
  </si>
  <si>
    <t>M. 1035/ Korpri Jaya</t>
  </si>
  <si>
    <t>B. 697/ Sumber Agung</t>
  </si>
  <si>
    <t>M. 1629/ Perumnas Way Halim</t>
  </si>
  <si>
    <t>M. 1363/ Sukabumi Indah</t>
  </si>
  <si>
    <t>B. 581/ Nusantara Permai</t>
  </si>
  <si>
    <t>M. 427/ Kota Sepang</t>
  </si>
  <si>
    <t>M. 18247/ Sukarame</t>
  </si>
  <si>
    <t>M. 5383/ Langkapura</t>
  </si>
  <si>
    <t>B. 543/ kemiling Permai</t>
  </si>
  <si>
    <t>M. 1901/ Rajabasa Jaya</t>
  </si>
  <si>
    <t>M. 2283/ Sepang Jaya</t>
  </si>
  <si>
    <t>M. 1685/ Kupang Kota</t>
  </si>
  <si>
    <t>M. 9712/ Kampung Baru</t>
  </si>
  <si>
    <t>M. 1480/ Bakung</t>
  </si>
  <si>
    <t>M. 2148/ Sukarame Baru</t>
  </si>
  <si>
    <t>B. 89/ Pengajaran</t>
  </si>
  <si>
    <t>B. 158/ Labuhan Ratu Raya</t>
  </si>
  <si>
    <t>M. 10376/ Gedung meneng-</t>
  </si>
  <si>
    <t>M. 9465/ Jagabaya II</t>
  </si>
  <si>
    <t>M.2584/GEDONG AIR</t>
  </si>
  <si>
    <t>M.676/LABUHAN DALAM</t>
  </si>
  <si>
    <t>HM 470/TANJUNG GADING</t>
  </si>
  <si>
    <t>HM 1695/NOG</t>
  </si>
  <si>
    <t>M,1238/TELUK BETUNG</t>
  </si>
  <si>
    <t>M.185/WAY KANDIS</t>
  </si>
  <si>
    <t>M.1628/BUMI KEDAMAIAN</t>
  </si>
  <si>
    <t>M.313/LABUHAN DALAM</t>
  </si>
  <si>
    <t>M.12/KOTA SEPANG</t>
  </si>
  <si>
    <t>M.16051/SUKARAME I</t>
  </si>
  <si>
    <t>M.9955/KAMPUNG BARU</t>
  </si>
  <si>
    <t>B.651/KEMILING PERMAI</t>
  </si>
  <si>
    <t>M. 15777/ Sukarame</t>
  </si>
  <si>
    <t>M.352/TANJUNG SENENG</t>
  </si>
  <si>
    <t>B.1223/KEMILING PERMAI</t>
  </si>
  <si>
    <t>M.2326/SEPANG JAYA</t>
  </si>
  <si>
    <t>M. 391/TANJUNG SENANG</t>
  </si>
  <si>
    <t>B. 797/SUMUR PUTRI</t>
  </si>
  <si>
    <t>M. 5047/RAJABASA JAYA</t>
  </si>
  <si>
    <t>M. 6883/ Tanjung Senang</t>
  </si>
  <si>
    <t>HM 323/SUMBEREJO S</t>
  </si>
  <si>
    <t>HM 1209/PWH</t>
  </si>
  <si>
    <t>M. 18093/ Kedaton</t>
  </si>
  <si>
    <t>B. 167/ Way Laga</t>
  </si>
  <si>
    <t>M. 11702/ Tanjung Baru</t>
  </si>
  <si>
    <t>M. 306/ Kuapang Raya</t>
  </si>
  <si>
    <t>B. 26/ Gunung Mas</t>
  </si>
  <si>
    <t>M. 4015/ Tanjung Senang</t>
  </si>
  <si>
    <t>M. 2163/ Perumnas Way Halim</t>
  </si>
  <si>
    <t>HM 10007/LABUHAN RATU</t>
  </si>
  <si>
    <t>B. 758/SUMUR PUTRI</t>
  </si>
  <si>
    <t>M. 985/PELITA</t>
  </si>
  <si>
    <t>HM 13001/TANJUNG BARU</t>
  </si>
  <si>
    <t>M.3012/SUKARAME II</t>
  </si>
  <si>
    <t>HM 11567/SEGALA MIDER</t>
  </si>
  <si>
    <t>M. 555/ Sumber rejo</t>
  </si>
  <si>
    <t>M. 610/ Sawah Brebes</t>
  </si>
  <si>
    <t>M. 161/ Sukaraja</t>
  </si>
  <si>
    <t>M. 225/ Bumi Raya</t>
  </si>
  <si>
    <t>M. 66/ Kali Balau Kencana</t>
  </si>
  <si>
    <t>B. 161/ Sumber Agung</t>
  </si>
  <si>
    <t>M. 9557/ Kampung Baru</t>
  </si>
  <si>
    <t>M. 2670/ Langkapura</t>
  </si>
  <si>
    <t>M,2167/PERUMNAS WAY HALIM</t>
  </si>
  <si>
    <t>B.95/LABUHAN RATU</t>
  </si>
  <si>
    <t>M.2574/KOTA KARANG</t>
  </si>
  <si>
    <t>M.1475/BUMI KEDAMAIAN</t>
  </si>
  <si>
    <t>M.3028/SUKARAME II</t>
  </si>
  <si>
    <t>M. 1700/SUKARAME II</t>
  </si>
  <si>
    <t>M. 3014/SUKARAME II</t>
  </si>
  <si>
    <t>M.1202/RAJABASA RAYA</t>
  </si>
  <si>
    <t>B.694/KEMILING PERMAI</t>
  </si>
  <si>
    <t>M.1130/KANGKUNG</t>
  </si>
  <si>
    <t>M. 1838/ Rajabasa Nunyai</t>
  </si>
  <si>
    <t>M. 14879/ Sukarame</t>
  </si>
  <si>
    <t>M. 227/ Bumi Raya</t>
  </si>
  <si>
    <t>B. 706/ Sumur Putri</t>
  </si>
  <si>
    <t>B. 263/ Labuhan Ratu Raya</t>
  </si>
  <si>
    <t>M. 894/ Perwata</t>
  </si>
  <si>
    <t>M. 1355/ batu Putuk</t>
  </si>
  <si>
    <t>M. 16166/ Sukarame</t>
  </si>
  <si>
    <t>HM 101,102/SUMUR PUTRI</t>
  </si>
  <si>
    <t>HM 9900/KEDAMAIAN</t>
  </si>
  <si>
    <t>M. 524/ Pidada</t>
  </si>
  <si>
    <t>B. 1290/ Kemiling Permai</t>
  </si>
  <si>
    <t>M. 502/ Jagabaya III</t>
  </si>
  <si>
    <t>M. 483/ Langkapura Baru</t>
  </si>
  <si>
    <t>K/37/190325/2</t>
  </si>
  <si>
    <t>M. 1954/ Sumur Batu</t>
  </si>
  <si>
    <t xml:space="preserve">M. 1742/ sukarame baru </t>
  </si>
  <si>
    <t>M. 226/ Bumi Raya</t>
  </si>
  <si>
    <t>M. 2386/ Pinang JayaQ</t>
  </si>
  <si>
    <t>M. 228/ Bumi Raya</t>
  </si>
  <si>
    <t>B. 843/PERUMNAS WAY KANDIS</t>
  </si>
  <si>
    <t>B.306/TELUKBETUNG</t>
  </si>
  <si>
    <t>M.10754/SEGALA MIDER</t>
  </si>
  <si>
    <t>M.2173/SUSUNAN BARU</t>
  </si>
  <si>
    <t>M. 4907/ Rajabasa Raya</t>
  </si>
  <si>
    <t xml:space="preserve">M.16693/SUKARAME </t>
  </si>
  <si>
    <t>M.2276/RAJABASA RAYA</t>
  </si>
  <si>
    <t>M..13617/SUKARAME</t>
  </si>
  <si>
    <t>B.923/KEMILING PERMAI</t>
  </si>
  <si>
    <t xml:space="preserve">B.3603/BERINGIN RAYA </t>
  </si>
  <si>
    <t>M. 2456/KEDAUNG</t>
  </si>
  <si>
    <t>B. 175/ Kampung Baru</t>
  </si>
  <si>
    <t>M. 1835/ Rajabasa Nunyai</t>
  </si>
  <si>
    <t>M.6876/TANJUNG SENANG</t>
  </si>
  <si>
    <t>HM 1730/PANJANG UTARA</t>
  </si>
  <si>
    <t>HGB 145/NOG</t>
  </si>
  <si>
    <t>HM 3142/WAY KANDIS</t>
  </si>
  <si>
    <t>B. 3649/ Sukabumi</t>
  </si>
  <si>
    <t>M. 67/LABUHAN DALAM</t>
  </si>
  <si>
    <t>HM 330/PERWATA</t>
  </si>
  <si>
    <t>HGB 157/GEDONG MENENG</t>
  </si>
  <si>
    <t>M. 51/ Rajabasa Raya</t>
  </si>
  <si>
    <t>M 3230/BUMI WARAS</t>
  </si>
  <si>
    <t>M. 2736/ Beringin Raya</t>
  </si>
  <si>
    <t>M. 1065/ Way Halim Permai</t>
  </si>
  <si>
    <t>HM 744/RAJABASA NUNYAI</t>
  </si>
  <si>
    <t>M. 1834/RAJABASA PEMUKA</t>
  </si>
  <si>
    <t>M. 1644/ Rajabasa Nunyai</t>
  </si>
  <si>
    <t>M.1704/SUMUR PUTRI</t>
  </si>
  <si>
    <t>HM 571/KORPRI RAYA</t>
  </si>
  <si>
    <t>M. 13465/RAJABASA</t>
  </si>
  <si>
    <t>M. 9797/ Jagabaya II</t>
  </si>
  <si>
    <t>M. 2009/ Kali Balau Kencana</t>
  </si>
  <si>
    <t>M. 575/ Tanjung Raya</t>
  </si>
  <si>
    <t>M. 1510/ Rajabasa Nunyai</t>
  </si>
  <si>
    <t>B. 630/ Sumber Agung</t>
  </si>
  <si>
    <t>B.600/SUMBER AGUNG</t>
  </si>
  <si>
    <t>M. 18359/ Sukarame</t>
  </si>
  <si>
    <t>M. 59/ Labuhan Ratu Raya</t>
  </si>
  <si>
    <t>B. 5561/ Beringin Raya</t>
  </si>
  <si>
    <t>M. 1766/ Way Halim Permai</t>
  </si>
  <si>
    <t>M. 4583/ Langkapura</t>
  </si>
  <si>
    <t>M. 4590/ Beringin Raya</t>
  </si>
  <si>
    <t>M. 339/ Perwata</t>
  </si>
  <si>
    <t>M. 600/ Tanjung Raya</t>
  </si>
  <si>
    <t>M. 545/ Way Halim Permai</t>
  </si>
  <si>
    <t>K/22/130325/1</t>
  </si>
  <si>
    <t>M.  936/ Penengahan</t>
  </si>
  <si>
    <t>M. 3015/ Sukarame II</t>
  </si>
  <si>
    <t>M. 2652/ Pinang Jaya</t>
  </si>
  <si>
    <t>M. 1888/ Rajabasa Raya</t>
  </si>
  <si>
    <t>M. 3336/ Tanjung Senang</t>
  </si>
  <si>
    <t>M. 574/ Gunung Sulah</t>
  </si>
  <si>
    <t>M. 581/ Perumnas Way Kandis</t>
  </si>
  <si>
    <t>M. 1939/ Labuhan Ratu Raya</t>
  </si>
  <si>
    <t>M.1796/GEDONG AIR</t>
  </si>
  <si>
    <t>M.473/KOTA SEPANG</t>
  </si>
  <si>
    <t>HM 495/SUKARAME BARU</t>
  </si>
  <si>
    <t>M.2165/KALIAWI</t>
  </si>
  <si>
    <t>M.771/SUMBER AGUNG</t>
  </si>
  <si>
    <t>B.882/KEMILING PERMAI</t>
  </si>
  <si>
    <t>M.914/KORPRI JAYA</t>
  </si>
  <si>
    <t>B.627/SUMBER AGUNG</t>
  </si>
  <si>
    <t>M.1657/BUMI KEDAMAIAN</t>
  </si>
  <si>
    <t>B.298/RAJABASA NUNYAI</t>
  </si>
  <si>
    <t>M.2678/SUMBER REJO</t>
  </si>
  <si>
    <t>M.3948/SUKADANA HAM</t>
  </si>
  <si>
    <t>M. 2570/SUKARAME II</t>
  </si>
  <si>
    <t>M.16819/SUKARAME</t>
  </si>
  <si>
    <t>-HM 9369/GEDONG MENENG</t>
  </si>
  <si>
    <t>B. 2566/ Sukarame I</t>
  </si>
  <si>
    <t>B. 701/ Sumber Agung</t>
  </si>
  <si>
    <t>HGB 1363/PINANG JAYA</t>
  </si>
  <si>
    <t>M. 11141/ Sukabumi (3 SHT)</t>
  </si>
  <si>
    <t>M. 121/ Campang Raya</t>
  </si>
  <si>
    <t>M. 4214/ Gunung Terang</t>
  </si>
  <si>
    <t>M. 1172/ Srengsem</t>
  </si>
  <si>
    <t>HM 976/PENGAJARAN</t>
  </si>
  <si>
    <t>M. 1611/RAJABASA NUNYAI</t>
  </si>
  <si>
    <t>M.12771/SUKABUMI</t>
  </si>
  <si>
    <t>B. 4586/SUKABUMI</t>
  </si>
  <si>
    <t>B. 904/ Kemiling Permai</t>
  </si>
  <si>
    <t>M. 810/ Tanjung Seneng (2 sht)</t>
  </si>
  <si>
    <t>B. 702/ Sumber Agung</t>
  </si>
  <si>
    <t>M.409/WAY HALIM PERMAI</t>
  </si>
  <si>
    <t>M.10995/RAJABASA</t>
  </si>
  <si>
    <t>M.443/KOTA KARANG RAYA</t>
  </si>
  <si>
    <t>M. 4938/ Sukadana Ham</t>
  </si>
  <si>
    <t>M. 3335/ Tanjung Seneng</t>
  </si>
  <si>
    <t>M. 5982/ Way Kandis</t>
  </si>
  <si>
    <t>M. 5983/ Way Kandis</t>
  </si>
  <si>
    <t>M. 3004/ Langkapura</t>
  </si>
  <si>
    <t>B. 64/ Gedung Meneng</t>
  </si>
  <si>
    <t>HM 420/KORPRI JAYA</t>
  </si>
  <si>
    <t>M.4006/BERINGIN RAYA</t>
  </si>
  <si>
    <t>NIB 481/GUNUNG TERANG</t>
  </si>
  <si>
    <t>M.6990/TANJUNG SENENG</t>
  </si>
  <si>
    <t>M.16407/SUKARAME I</t>
  </si>
  <si>
    <t>M.3112/KEMILING PERMAI</t>
  </si>
  <si>
    <t>M.2661/SUMBER AGUNG</t>
  </si>
  <si>
    <t>M. 1364/ Kali Balau Kencana</t>
  </si>
  <si>
    <t>M. 10492/ Segala Mider</t>
  </si>
  <si>
    <t>M. 1390/ Bumi Kedamaian</t>
  </si>
  <si>
    <t>M. 744/ Rajabasa Jaya</t>
  </si>
  <si>
    <t>M. 352/ Batu Putuk</t>
  </si>
  <si>
    <t>M. 1798/ Rajabasa Pemuka</t>
  </si>
  <si>
    <t>M. 5984/ Way Kandis</t>
  </si>
  <si>
    <t>M.1924/RAJABASA RAYA</t>
  </si>
  <si>
    <t>M. 14230/SEGAKA MIDER</t>
  </si>
  <si>
    <t>M. 415/PENENGAHAN</t>
  </si>
  <si>
    <t>M.461/RAJABASA NUNYAI</t>
  </si>
  <si>
    <t>M.2047/BERINGIN RAYA</t>
  </si>
  <si>
    <t>B.209/SUKARAJA</t>
  </si>
  <si>
    <t>M. 466/KOTA SEPANG</t>
  </si>
  <si>
    <t>M. 2280/ Sepang Jaya</t>
  </si>
  <si>
    <t>B. 841/ Bakung</t>
  </si>
  <si>
    <t>M. 1177/BAKUNG</t>
  </si>
  <si>
    <t>B. 753/SUMUR PUTRI</t>
  </si>
  <si>
    <t>M. 3362/KOTA BARU</t>
  </si>
  <si>
    <t>M. 2305/SEPANG JAYA</t>
  </si>
  <si>
    <t>B. 1438/NEGERI OLOK GADING</t>
  </si>
  <si>
    <t>HGB 3726/BERINGIN RAYA</t>
  </si>
  <si>
    <t>M.4250/WAY KANDIS</t>
  </si>
  <si>
    <t>M.5170/RAJABASA JAYA</t>
  </si>
  <si>
    <t>M.224/BUMI RAYA</t>
  </si>
  <si>
    <t>B.553/KEMILING PERMAI</t>
  </si>
  <si>
    <t>M. 14621/ Rajabasa</t>
  </si>
  <si>
    <t>M. 328/ Bumi Kedamaian</t>
  </si>
  <si>
    <t>HM 114/SUKARAME BATRU</t>
  </si>
  <si>
    <t>HM 1374/SEPANAG JAYA</t>
  </si>
  <si>
    <t>M. 571/ Kupang Raya</t>
  </si>
  <si>
    <t>M. 3016/ Sukarame II</t>
  </si>
  <si>
    <t>M. 729/ Tanjung Gading</t>
  </si>
  <si>
    <t>M. 3687/ Nusantara Permai</t>
  </si>
  <si>
    <t>B. 15/ Pinang Jaya</t>
  </si>
  <si>
    <t>HM 2846/BERININ RAYA</t>
  </si>
  <si>
    <t>M. 15126/ Sukarame</t>
  </si>
  <si>
    <t>M. 219/ Bumi Raya</t>
  </si>
  <si>
    <t>M. 12490/ Sukabumi</t>
  </si>
  <si>
    <t>M. 1488/ Kota Karang</t>
  </si>
  <si>
    <t>M. 196/ Tanjung Raya</t>
  </si>
  <si>
    <t>M. 11263/ Segala Mider</t>
  </si>
  <si>
    <t>M. 359/SUMBER REJO</t>
  </si>
  <si>
    <t>HM 208/PWK</t>
  </si>
  <si>
    <t>HM 486/BERINGIN RAYA</t>
  </si>
  <si>
    <t>HM 11028/SUKABUMI</t>
  </si>
  <si>
    <t>M.898/SUKARAME BARU</t>
  </si>
  <si>
    <t>M.10674/SEGALA MIDER</t>
  </si>
  <si>
    <t>M.271/WAY HALIM PERMAI</t>
  </si>
  <si>
    <t>M.776/SUMUR PUTRI</t>
  </si>
  <si>
    <t>M.12819/TANJUNG BARU</t>
  </si>
  <si>
    <t>B.696/SUMBER AGUNG</t>
  </si>
  <si>
    <t>B.195/CAMPANG RAYA</t>
  </si>
  <si>
    <t>M.14273/SEGALA MIDER</t>
  </si>
  <si>
    <t>M.13879/KEDAMAIAN</t>
  </si>
  <si>
    <t>B.2152/SUKARAME</t>
  </si>
  <si>
    <t>M. 10102/ Jagabaya II</t>
  </si>
  <si>
    <t>SHM 15890/SUKARAME</t>
  </si>
  <si>
    <t>M. 11217/ Rajabsaa Pemuka</t>
  </si>
  <si>
    <t>M. 215, 327/ Kali Balau Kencana (3 SHT)</t>
  </si>
  <si>
    <t>HM 12743/BERINGIN RAYA</t>
  </si>
  <si>
    <t>M. 3013/ Sukarame II</t>
  </si>
  <si>
    <t>M. 5352/ Tanjung Senang</t>
  </si>
  <si>
    <t>M. 12430/ jagabaya II</t>
  </si>
  <si>
    <t>M. 1666/ Bumi Kedamaian</t>
  </si>
  <si>
    <t>B. 892/ Negeri Olok Gading</t>
  </si>
  <si>
    <t>M. 4454/GUNUNG TERANG</t>
  </si>
  <si>
    <t>B.645/SUMBER AGUNG</t>
  </si>
  <si>
    <t>M. 14954/RAJABASA</t>
  </si>
  <si>
    <t>HM 7607/KEDAMAIAN</t>
  </si>
  <si>
    <t>HM 757/SUMBER AGUNG</t>
  </si>
  <si>
    <t>HM 769/GULAK GALIK</t>
  </si>
  <si>
    <t>M.1559/KUPANG KOTA</t>
  </si>
  <si>
    <t>HM 10934/JAGABAYA II</t>
  </si>
  <si>
    <t>M. 3315/ Sukadana Ham</t>
  </si>
  <si>
    <t>M. 3272/ Kota Karang</t>
  </si>
  <si>
    <t>M. 4909/ Sukadanaham</t>
  </si>
  <si>
    <t>M. 13745; 13743/ Sukarame</t>
  </si>
  <si>
    <t>M. 3696/ Sumberejo Kemiling</t>
  </si>
  <si>
    <t>M. 118/ Kali Balau Kencana</t>
  </si>
  <si>
    <t>M.2904/CAMPANG RAYA</t>
  </si>
  <si>
    <t>B.2413/SUKARAME</t>
  </si>
  <si>
    <t>M.249/SUKAJAWA BARU</t>
  </si>
  <si>
    <t>HM 276/SUKARAME BARU</t>
  </si>
  <si>
    <t>M. 2009/LABUHAN DALAM</t>
  </si>
  <si>
    <t>M. 1070/ Sepang Jaya</t>
  </si>
  <si>
    <t>M. 2334/ Sepang Jaya</t>
  </si>
  <si>
    <t>M. 6465/ Way Kandis</t>
  </si>
  <si>
    <t>HM 185/SUMUR BATU</t>
  </si>
  <si>
    <t>M. 394/PINANG JAYA</t>
  </si>
  <si>
    <t>M. 500/ Gulak Galik</t>
  </si>
  <si>
    <t>M. 1127/ Sukadana Ham</t>
  </si>
  <si>
    <t>HM 772/WAY GUBAK</t>
  </si>
  <si>
    <t>M. 5854/ Way Kandis</t>
  </si>
  <si>
    <t>M. 2157/ Kota Baru</t>
  </si>
  <si>
    <t>M. 223/ Bumi Raya</t>
  </si>
  <si>
    <t>M. 526/ Gunung Mas</t>
  </si>
  <si>
    <t>M.13861/SEGALA MIDER</t>
  </si>
  <si>
    <t>M.2665/CAMPANG RAYA</t>
  </si>
  <si>
    <t>M.3462/SUKADANAHAM</t>
  </si>
  <si>
    <t>M.1731/SEPANG JAYA</t>
  </si>
  <si>
    <t>M.16732/SUKABUMI</t>
  </si>
  <si>
    <t>M.1659/BUMI KEDAMAIAN</t>
  </si>
  <si>
    <t>M.1138/PEMATANG WANGI</t>
  </si>
  <si>
    <t>M.1142/PEMATANG WANGI</t>
  </si>
  <si>
    <t>B,897/SUKARAME BARU</t>
  </si>
  <si>
    <t>M. 1264/ Kali Balau Kencana</t>
  </si>
  <si>
    <t>B. 2105/ Way Halim</t>
  </si>
  <si>
    <t>M, 1943/ Sumur Batu</t>
  </si>
  <si>
    <t>M. 403/ Gulak Galik</t>
  </si>
  <si>
    <t>M. 338/ Kangkung</t>
  </si>
  <si>
    <t>M. 14142/ Labuhan Ratu</t>
  </si>
  <si>
    <t>M. 07/ Korpri Jaya</t>
  </si>
  <si>
    <t>M. 583/ Korpri Jaya</t>
  </si>
  <si>
    <t>M. 1944/ Sumur Batu</t>
  </si>
  <si>
    <t>M. 2625/ Pinang Jaya</t>
  </si>
  <si>
    <t>M. 1658/ Kemiling Permai</t>
  </si>
  <si>
    <t>K/28/240325/1</t>
  </si>
  <si>
    <t>M. 1618/ Gunung Terang</t>
  </si>
  <si>
    <t>HM 1373/GUNUNG SULAH</t>
  </si>
  <si>
    <t>HM 2926/TANJUNG SENANG</t>
  </si>
  <si>
    <t>HM 4437/BERINGIN RAYA</t>
  </si>
  <si>
    <t>L/7/270325/1</t>
  </si>
  <si>
    <t>HMRS 209/TANJUNGKARANG</t>
  </si>
  <si>
    <t>M.93/NUSANTARA PERMAI</t>
  </si>
  <si>
    <t>M 2501/GEDONG AIR</t>
  </si>
  <si>
    <t>M.808/PALAPA</t>
  </si>
  <si>
    <t>M.1231/LABUHAN DALAM</t>
  </si>
  <si>
    <t>M 13013/SUKARAME</t>
  </si>
  <si>
    <t>HM 58/BAKUNG</t>
  </si>
  <si>
    <t>B. 1439/NOG</t>
  </si>
  <si>
    <t>M. 874/SUMBER AGUNG</t>
  </si>
  <si>
    <t>B.580/KEMILING PERMAI</t>
  </si>
  <si>
    <t>B. 782/SUMUR PUTRI</t>
  </si>
  <si>
    <t>M. 2819/ beringin raya</t>
  </si>
  <si>
    <t>M. 864/ Kota BaruQ</t>
  </si>
  <si>
    <t>M. 1615/ Bumi Kedamaian</t>
  </si>
  <si>
    <t>M. 3125/ Sukarame Baru</t>
  </si>
  <si>
    <t>M. 14190/ Segala Mider</t>
  </si>
  <si>
    <t>M. 12679/ Sukarame</t>
  </si>
  <si>
    <t>M. 91/ Gunung Agung</t>
  </si>
  <si>
    <t>M.1055/PINANG JAYA</t>
  </si>
  <si>
    <t>M. 345/ Susunan Baru</t>
  </si>
  <si>
    <t>HM 1162/8KOTA BARU</t>
  </si>
  <si>
    <t>M.9482/GDEONG MENENG</t>
  </si>
  <si>
    <t>M.1739/KOTA BARU</t>
  </si>
  <si>
    <t>M.262/CAMPANG JAYA</t>
  </si>
  <si>
    <t>M.14069/RAJABASA</t>
  </si>
  <si>
    <t>M.1568/GUNUNG TERANG</t>
  </si>
  <si>
    <t>M.9596/SUKAMENANTI</t>
  </si>
  <si>
    <t>M. 178/WAY LAGA</t>
  </si>
  <si>
    <t>M.13619/SUKARAME</t>
  </si>
  <si>
    <t>M.660/PERUMNAS WAY HALIM</t>
  </si>
  <si>
    <t>B.97/SUMUR PUTRI</t>
  </si>
  <si>
    <t>B. 1437/NEGERI OLOK GADING</t>
  </si>
  <si>
    <t>M.2805/SUKARAME BARU</t>
  </si>
  <si>
    <t>M.6489/WAY KANDIS</t>
  </si>
  <si>
    <t>M. 872/ Pidada</t>
  </si>
  <si>
    <t>M. 1366/ Bumi Kedamaian</t>
  </si>
  <si>
    <t>M. 723/ Way Dadi</t>
  </si>
  <si>
    <t>M. 2386/ Kedaung</t>
  </si>
  <si>
    <t>M. 9975/ Sukabumi</t>
  </si>
  <si>
    <t>K/13/140425/4</t>
  </si>
  <si>
    <t>M. 1839/ Rajabasa Nunyai</t>
  </si>
  <si>
    <t>M. 1435/ Rajabasa Pemuka</t>
  </si>
  <si>
    <t>M. 12673/ Sukabumi</t>
  </si>
  <si>
    <t>M. 12428/ Jagabaya II</t>
  </si>
  <si>
    <t>HM 17873/SUKARAME I</t>
  </si>
  <si>
    <t>M 7829/SUKARAME</t>
  </si>
  <si>
    <t>M. 1748/ Batu Putuk</t>
  </si>
  <si>
    <t>K/2/140425/1</t>
  </si>
  <si>
    <t>M. 1170/ Pematang Wangi</t>
  </si>
  <si>
    <t>M. 243/ Durian Payung</t>
  </si>
  <si>
    <t>M. 9564/ Kedaton</t>
  </si>
  <si>
    <t xml:space="preserve">M. 2453/ Kedaung </t>
  </si>
  <si>
    <t>M. 9045/ Gedong Meneng</t>
  </si>
  <si>
    <t>M. 971/ Kangkung</t>
  </si>
  <si>
    <t>M. 1644/ Labuhan Dalam</t>
  </si>
  <si>
    <t>M. 1000/SUKARAME BARU</t>
  </si>
  <si>
    <t>HM 1066/TALANG</t>
  </si>
  <si>
    <t>HM 4506/RAJABASA JAYA</t>
  </si>
  <si>
    <t>M.1828/WAY KANDIS</t>
  </si>
  <si>
    <t>M.11169/KEDATON</t>
  </si>
  <si>
    <t>M. 9737/LABUHAN RATU</t>
  </si>
  <si>
    <t>M. 135/SUSUNAN BARU</t>
  </si>
  <si>
    <t>B. 26/PANJANG UTARA</t>
  </si>
  <si>
    <t>M. 772/PERUMNAS WAY KANDIS</t>
  </si>
  <si>
    <t>M. 245/ Jagabaya III</t>
  </si>
  <si>
    <t>B.467/KETEGUHAN</t>
  </si>
  <si>
    <t>M.304/KEBON JERUK</t>
  </si>
  <si>
    <t>M.2811/SUKARAME BARU</t>
  </si>
  <si>
    <t>M.2800/SUKARAME BARU</t>
  </si>
  <si>
    <t>B.1552/SUKABUMI</t>
  </si>
  <si>
    <t>M.1005/SEPANG JAYA</t>
  </si>
  <si>
    <t>M. 4642/GUNUNG TERANG</t>
  </si>
  <si>
    <t>B. 2151/SUKARAME</t>
  </si>
  <si>
    <t>M. 10680/GEDONG MENENG</t>
  </si>
  <si>
    <t>M. 13771/LABUHAN RATU</t>
  </si>
  <si>
    <t>M. 9147/SIDODADI</t>
  </si>
  <si>
    <t>M. 13489/KEDAMAIAN</t>
  </si>
  <si>
    <t>M. 2379/KEDAUNG</t>
  </si>
  <si>
    <t>M. 2635/ Pinang Jaya</t>
  </si>
  <si>
    <t>M. 2634/ Pinang Jaya</t>
  </si>
  <si>
    <t>B. 608/ Sumber agung</t>
  </si>
  <si>
    <t>M. 2626/ Pinang jaya</t>
  </si>
  <si>
    <t>M. 1954/ sukadanaham</t>
  </si>
  <si>
    <t>B. 285/ Way Dadi</t>
  </si>
  <si>
    <t>B. 494/ Gn Sulah</t>
  </si>
  <si>
    <t>M. 194/ Sukaraja</t>
  </si>
  <si>
    <t xml:space="preserve">HM 13606/RAJABASA </t>
  </si>
  <si>
    <t>B.386/BAKUNG</t>
  </si>
  <si>
    <t>M. 219/ Perwata</t>
  </si>
  <si>
    <t>M. 6712/ Tanjung Senang</t>
  </si>
  <si>
    <t>M. 1420/ Gunung Terang</t>
  </si>
  <si>
    <t>M. 632/ Tanjung Senang</t>
  </si>
  <si>
    <t>M. 10684/ Sukabumi</t>
  </si>
  <si>
    <t>M.472/BAKUNG</t>
  </si>
  <si>
    <t>M. 984/ Way Halim Permai</t>
  </si>
  <si>
    <t>M. 2335/ Sepang Jaya</t>
  </si>
  <si>
    <t>M.9330/SIDODADI</t>
  </si>
  <si>
    <t>M.16680/SUKABUMI</t>
  </si>
  <si>
    <t>M.16055/SUKARAME</t>
  </si>
  <si>
    <t>B.747/SUMUR PUTRI</t>
  </si>
  <si>
    <t>M.584/KORPRI RAYA</t>
  </si>
  <si>
    <t>HM 9001/SURABAYA</t>
  </si>
  <si>
    <t>HM 1498/WAY LUNIK</t>
  </si>
  <si>
    <t>HM 2653/KEMILING PERMAI</t>
  </si>
  <si>
    <t>HM 2263/WAY KANDIS</t>
  </si>
  <si>
    <t>HM 3395/WAY KANDIS</t>
  </si>
  <si>
    <t>HM 9942/KEDAMAIAN</t>
  </si>
  <si>
    <t>B. 768/ Sumur Putri</t>
  </si>
  <si>
    <t>M. 1552/ Batu Putuk</t>
  </si>
  <si>
    <t>M. 11789/ Kedamaian</t>
  </si>
  <si>
    <t>M. 11492/SUKABUMI</t>
  </si>
  <si>
    <t>M. 300/WAY HALIM PERMAI</t>
  </si>
  <si>
    <t>M. 2164/WAY HALIM PERMAI</t>
  </si>
  <si>
    <t>M. 1992/GEDONG AIR</t>
  </si>
  <si>
    <t xml:space="preserve">B. 2425; 2406/ Sukarame </t>
  </si>
  <si>
    <t>M. 13724/ Kedamaian</t>
  </si>
  <si>
    <t>M. 8979/ Jagabaya II</t>
  </si>
  <si>
    <t>HM 1377/CAMPANG RAYA</t>
  </si>
  <si>
    <t>HM 2429/KETEGUHAN</t>
  </si>
  <si>
    <t>HM 8215/SUKABUMI</t>
  </si>
  <si>
    <t>M.591/BERINGIN JAYA</t>
  </si>
  <si>
    <t>M.994/GUNUNG AGUNG</t>
  </si>
  <si>
    <t>M.1913/WAY KANDIS</t>
  </si>
  <si>
    <t>M.2142/SEPANG JAYA</t>
  </si>
  <si>
    <t>HM 439/KORPRI JAYA</t>
  </si>
  <si>
    <t>M. 5180/ Rajabasa Jaya</t>
  </si>
  <si>
    <t>M. 1858/ Suumber Rejo</t>
  </si>
  <si>
    <t>M. 399/ Kaliawi Persada</t>
  </si>
  <si>
    <t>M. 1153/ Perumnas Way Kandis</t>
  </si>
  <si>
    <t>M. 10504/ Sukabumi</t>
  </si>
  <si>
    <t>M 19757/ Sukarame</t>
  </si>
  <si>
    <t>M. 2150/ Kupang Teba</t>
  </si>
  <si>
    <t>M. 2354/ Gunung Terang</t>
  </si>
  <si>
    <t>M. 4519/ Gunung Terang</t>
  </si>
  <si>
    <t>M. 2455/ Kedaung</t>
  </si>
  <si>
    <t>M. 12431/ Jagabaya II</t>
  </si>
  <si>
    <t>M. 2401/ Kedaung</t>
  </si>
  <si>
    <t>M. 2753/ Sukarame II</t>
  </si>
  <si>
    <t>M. 2844/ sukarame II</t>
  </si>
  <si>
    <t>B. 137/ Kota Karang</t>
  </si>
  <si>
    <t>M. 14936/RAJABASA</t>
  </si>
  <si>
    <t>M. 13235/ Segala Mider</t>
  </si>
  <si>
    <t>M. 233/ Perumnas Way Halim</t>
  </si>
  <si>
    <t>M. 16758/ Sukabumi</t>
  </si>
  <si>
    <t>B. 2197/ Sukarame</t>
  </si>
  <si>
    <t>M. 90/ Pahoman</t>
  </si>
  <si>
    <t>HM 195/TANJUNG RAYA</t>
  </si>
  <si>
    <t>M.1905/BERINGIN JAYA</t>
  </si>
  <si>
    <t>HM 445/KOTA KARANG RAYA</t>
  </si>
  <si>
    <t>M.2636/SUMBER AGUNG</t>
  </si>
  <si>
    <t>M.16799/SUKARAME</t>
  </si>
  <si>
    <t xml:space="preserve">M.3655/WAY KANDIS </t>
  </si>
  <si>
    <t>M.5516/TANJUNG SENENG</t>
  </si>
  <si>
    <t>M.2368/SUMBER AGUNG</t>
  </si>
  <si>
    <t>M.1155/PERUMNAS WAY KANDIS</t>
  </si>
  <si>
    <t>M.939/PERUMNAS WAY HALIM</t>
  </si>
  <si>
    <t>B. 1494/KEMILING PERMAI</t>
  </si>
  <si>
    <t>M. 1805/RAJABASA RAYA</t>
  </si>
  <si>
    <t>B. 3713/SUKABUMI</t>
  </si>
  <si>
    <t>M.1484/BUMI KEDAMAIAN</t>
  </si>
  <si>
    <t>M. 1960/WAY HALIM PERMAI</t>
  </si>
  <si>
    <t>M. 2643/SUMBER AGUNG</t>
  </si>
  <si>
    <t>M. 3171/GEDONG AIR</t>
  </si>
  <si>
    <t>M. 2161/WAY HALIM PERMAI</t>
  </si>
  <si>
    <t>HM 14707/RAJABASA</t>
  </si>
  <si>
    <t>HGB 342/SUKAMAJU</t>
  </si>
  <si>
    <t>M. 1472/ Kaliawi</t>
  </si>
  <si>
    <t>M.2594/BERINGIN RAYA</t>
  </si>
  <si>
    <t>M. 2669/SUMBER AGUNG</t>
  </si>
  <si>
    <t>M. 1576/SUMUR PUTRI</t>
  </si>
  <si>
    <t>M.1407/SUKAJAWA</t>
  </si>
  <si>
    <t>M.3289/BERINGIN RAYA</t>
  </si>
  <si>
    <t>M.11489/SUKABUMI</t>
  </si>
  <si>
    <t>M.4288/GUNUNG TERANG</t>
  </si>
  <si>
    <t>B.134/LANGKAPURA</t>
  </si>
  <si>
    <t>M. 5292/ Rajabasa Jaya</t>
  </si>
  <si>
    <t>M. 2321/ Kota Baru</t>
  </si>
  <si>
    <t>HM 1223/SUKADANAHAM</t>
  </si>
  <si>
    <t>HM 2489/CAMPANG RAYA</t>
  </si>
  <si>
    <t>B. 1585/ Sukabumi</t>
  </si>
  <si>
    <t>M. 2446/ Kedaung</t>
  </si>
  <si>
    <t>M. 2442/ Kedaung</t>
  </si>
  <si>
    <t>M. 1539/ Kemiling Permai</t>
  </si>
  <si>
    <t>M. 5393/ Langkapura</t>
  </si>
  <si>
    <t>M. 2458/ Kedaung</t>
  </si>
  <si>
    <t>M. 2215/ Pengajaran</t>
  </si>
  <si>
    <t>HGB 431/CAMPANG RAYA</t>
  </si>
  <si>
    <t>M. 12442/ Jagabaya II</t>
  </si>
  <si>
    <t>B. 766/ Sumur Putri</t>
  </si>
  <si>
    <t>M. 3119/ Sukarame II</t>
  </si>
  <si>
    <t>M. 6415/ Way Kandis</t>
  </si>
  <si>
    <t>M.2391/KEDAUNG</t>
  </si>
  <si>
    <t>w</t>
  </si>
  <si>
    <t>M. 343/ Kangkung</t>
  </si>
  <si>
    <t>M. 6458/ Way Kandis</t>
  </si>
  <si>
    <t>M. 6685/ Tanjung Senang</t>
  </si>
  <si>
    <t>M. 14604/ Sukabumi</t>
  </si>
  <si>
    <t>K/1/300425/1</t>
  </si>
  <si>
    <t>HM 11191/SEGALA MIDER</t>
  </si>
  <si>
    <t>HM 2776/S KEMILING</t>
  </si>
  <si>
    <t>HM 542/SUKARAME BARU</t>
  </si>
  <si>
    <t>M. 6461/ Gunung ulah</t>
  </si>
  <si>
    <t>B. 314/ Pematang Wangi</t>
  </si>
  <si>
    <t>M. 2256, 2254/ kupang teba</t>
  </si>
  <si>
    <t>M. 13747/ Kedamaian</t>
  </si>
  <si>
    <t>M. 123/ Way Kandis</t>
  </si>
  <si>
    <t>M. 322/ Sukabumi Indah</t>
  </si>
  <si>
    <t>M. 10064/ Labuhan Ratu</t>
  </si>
  <si>
    <t>M. 16195/ Sukabumi</t>
  </si>
  <si>
    <t>B. 161/ Pinang Jaya</t>
  </si>
  <si>
    <t>M. 79/ Kemiling Permai</t>
  </si>
  <si>
    <t>M. 864/KUPANG KOTA</t>
  </si>
  <si>
    <t>B. 112/KAMPUNG BARU RAYA</t>
  </si>
  <si>
    <t>B.229/GUNUNG TERANG</t>
  </si>
  <si>
    <t>M. 2297/ Perumnas Way Kandis</t>
  </si>
  <si>
    <t>M. 2898/ Labuhan Dalam</t>
  </si>
  <si>
    <t>HM 552/WHP</t>
  </si>
  <si>
    <t>HMM 11377/SUKABUMI</t>
  </si>
  <si>
    <t>B. 1142/ Keteguhan</t>
  </si>
  <si>
    <t>B. 343/SUKAMAJU</t>
  </si>
  <si>
    <t>B.629/SUMBER AGUNG</t>
  </si>
  <si>
    <t>M.1708/SUMUR BATU</t>
  </si>
  <si>
    <t>M.492/KALI BALAU KENCANA</t>
  </si>
  <si>
    <t>M.2642/PINANG JAYA</t>
  </si>
  <si>
    <t>M. 1171/PEMATANG WANGI</t>
  </si>
  <si>
    <t>M. 2101/KETEGUHAN</t>
  </si>
  <si>
    <t>M. 118/TANJUNG GADING</t>
  </si>
  <si>
    <t>M.140/KORPRI RAYA</t>
  </si>
  <si>
    <t>M.115/GEDONG MENENG BARU</t>
  </si>
  <si>
    <t>M.7063/TANJUNG SENENG</t>
  </si>
  <si>
    <t>M.2799/SUKARAME BARU</t>
  </si>
  <si>
    <t>M.2505/PINANG JAYA</t>
  </si>
  <si>
    <t>HM 14097/RAJABASA</t>
  </si>
  <si>
    <t>HM 1561/LABUHAN DALAM</t>
  </si>
  <si>
    <t>HGB 1315/RAJABASA</t>
  </si>
  <si>
    <t>HM 11357/SUKABUMI</t>
  </si>
  <si>
    <t>M.1957/SUKARAME BARU</t>
  </si>
  <si>
    <t xml:space="preserve">M.14854/SUKARAME </t>
  </si>
  <si>
    <t>HM 10520/SEGALA MIDER</t>
  </si>
  <si>
    <t>M. 5101/ Rajabasa Jaya</t>
  </si>
  <si>
    <t>M. 228/ Bilabong Jaya</t>
  </si>
  <si>
    <t>M. 2699/ Sukarame Baru</t>
  </si>
  <si>
    <t>M. 692/ sumur putri</t>
  </si>
  <si>
    <t>M. 16681/ Sukabumi</t>
  </si>
  <si>
    <t>M. 2650/ Pinang Jaya</t>
  </si>
  <si>
    <t>M. 2021/ Rajabasa Raya</t>
  </si>
  <si>
    <t>M. 2391/KEDAUNG</t>
  </si>
  <si>
    <t>M. 1722/ Kaliawi</t>
  </si>
  <si>
    <t>M. 1275/KETEGUHAN</t>
  </si>
  <si>
    <t>M. 1890/ Keteguhan</t>
  </si>
  <si>
    <t>M. 293/ Sukarame Baru</t>
  </si>
  <si>
    <t>B.112/KAMPUNG BARU RAYA</t>
  </si>
  <si>
    <t>M. 5181/ Rajabasa Jaya</t>
  </si>
  <si>
    <t>M. 488/ Rajabasa Pemuka</t>
  </si>
  <si>
    <t>B. 402/ Jagabaya III</t>
  </si>
  <si>
    <t>M. 2389/ Kedaung</t>
  </si>
  <si>
    <t>M. 16199/ Sukabumi</t>
  </si>
  <si>
    <t>M. 15009/ Sukabumi</t>
  </si>
  <si>
    <t>M. 868/ Sumber Agung</t>
  </si>
  <si>
    <t>M. 3110/ Sukarame II</t>
  </si>
  <si>
    <t>HM 13151/TANJUNG BARU</t>
  </si>
  <si>
    <t>HM 10938/KEDAMAIAN</t>
  </si>
  <si>
    <t>M.329/PEMATANG WANGI</t>
  </si>
  <si>
    <t>M.222/SUMBEREJO SEJAHTERA</t>
  </si>
  <si>
    <t>M. 1231/ Perumnas Way Kandis</t>
  </si>
  <si>
    <t>M. 10590/ Gedung Meneng</t>
  </si>
  <si>
    <t>M. 10425/ Labuhan Ratu</t>
  </si>
  <si>
    <t>M. 1012/ Pematang Wangi</t>
  </si>
  <si>
    <t>B. 1496/ Kemiling Permai</t>
  </si>
  <si>
    <t>M. 731/BERINGIN JAYA</t>
  </si>
  <si>
    <t>M. 910/ Sepang Jaya</t>
  </si>
  <si>
    <t>M.3154/SUMBEREJO KEMILING</t>
  </si>
  <si>
    <t>B. 781/SUMUR PUTRI</t>
  </si>
  <si>
    <t>M.3476/RAJABASA JAYA</t>
  </si>
  <si>
    <t>M.1917/TANJUNG SENENG</t>
  </si>
  <si>
    <t>HM 3215/GUNUNG TERANG</t>
  </si>
  <si>
    <t>HM 12252/SEGALA MIDER</t>
  </si>
  <si>
    <t>B. 27/ korpri jaya</t>
  </si>
  <si>
    <t>M. 1850/ Labuhan Ratu raya</t>
  </si>
  <si>
    <t>HM 855/SUKABUMI</t>
  </si>
  <si>
    <t>M. 10055/ Sukabumi Indah</t>
  </si>
  <si>
    <t>M. 343/ Harapan Jaya</t>
  </si>
  <si>
    <t>M.1465/PESAWAHAN</t>
  </si>
  <si>
    <t>M. 9675/GEDONG MENENG</t>
  </si>
  <si>
    <t>M. 1154/ Kuripan</t>
  </si>
  <si>
    <t>HGB 3173/SUKABUMI</t>
  </si>
  <si>
    <t>M. 220/ Korpri Jaya</t>
  </si>
  <si>
    <t>M. 147/ Palapa</t>
  </si>
  <si>
    <t>M. 1154/ Perumnas Way Kandis</t>
  </si>
  <si>
    <t>HM 1172/PEMATANG WANGI</t>
  </si>
  <si>
    <t>M. 1197/  Sukadanaham</t>
  </si>
  <si>
    <t>M. 1146/ Rajabasa Raya</t>
  </si>
  <si>
    <t>M.860/PESAWAHAN</t>
  </si>
  <si>
    <t xml:space="preserve">M.2959/BERINGIN RAYA </t>
  </si>
  <si>
    <t>M.189/WAY HALIM PERMAI</t>
  </si>
  <si>
    <t>M.3855/TANJUNG SENENG</t>
  </si>
  <si>
    <t>HM 4674/TANJUNG SENANG</t>
  </si>
  <si>
    <t>B.110/KAMPUNG BARU RAYA</t>
  </si>
  <si>
    <t>HM 08/KOTA KARANG RAYA</t>
  </si>
  <si>
    <t>HGB 284/NUSANTARA PERMAI</t>
  </si>
  <si>
    <t>M. 397/ Pesawahan</t>
  </si>
  <si>
    <t>M. 3675/ Tanjung Seneng</t>
  </si>
  <si>
    <t>M. 10063/ Kedamaian</t>
  </si>
  <si>
    <t>M.748/CAMPANG RAYA</t>
  </si>
  <si>
    <t>M.9047/GEDONG MENENG</t>
  </si>
  <si>
    <t>M. 228/KEMILING PERMAI</t>
  </si>
  <si>
    <t>M. 3407/TANJUNG SENANG</t>
  </si>
  <si>
    <t>M. 9504/SIDODADI</t>
  </si>
  <si>
    <t>M.356/WAY LAGA</t>
  </si>
  <si>
    <t>M. 2909/ Kemiling Permai</t>
  </si>
  <si>
    <t xml:space="preserve">M. 1020/ Kupang Kota </t>
  </si>
  <si>
    <t>M. 10063/ Labuhan Ratu</t>
  </si>
  <si>
    <t>M. 14124/ Rajabasa</t>
  </si>
  <si>
    <t>HM 19731/SUKARAME</t>
  </si>
  <si>
    <t>HM 2991/KOTA BARU</t>
  </si>
  <si>
    <t>M.975/SUMBER AGUNG</t>
  </si>
  <si>
    <t>M. 13039/ Segala Mider</t>
  </si>
  <si>
    <t>M. 16498/ Sukabumi</t>
  </si>
  <si>
    <t>B. 4953/ Beringin Jaya</t>
  </si>
  <si>
    <t>M. 2233/ Rajabasa Raya</t>
  </si>
  <si>
    <t>M. 14253/ Segala Mider</t>
  </si>
  <si>
    <t>B. 954/ Beringin Jaya</t>
  </si>
  <si>
    <t>M. 1977/ Labuhan Ratu Raya</t>
  </si>
  <si>
    <t>HM 260/GEDONG AIR</t>
  </si>
  <si>
    <t>M. 493/ Tanjung Senang</t>
  </si>
  <si>
    <t>M. 76/ Gunung Terang</t>
  </si>
  <si>
    <t>HM 9499/JAGABAYA II</t>
  </si>
  <si>
    <t>M. 732/ Way Laga</t>
  </si>
  <si>
    <t>M. 1754/ Kedaung</t>
  </si>
  <si>
    <t>M. 15002/ Rajabasa</t>
  </si>
  <si>
    <t>M. 165/ Way Laga</t>
  </si>
  <si>
    <t>M. 1093/ Pematang Wangi</t>
  </si>
  <si>
    <t>M. 1163/ Beringin Raya</t>
  </si>
  <si>
    <t>M. 4715/ Rajabasa Jaya</t>
  </si>
  <si>
    <t xml:space="preserve">M.971/KETEGUHAN; M.948/KETEGUHAN </t>
  </si>
  <si>
    <t>M. 677/ Ketapang</t>
  </si>
  <si>
    <t>M. 1483/ Bumi Waras</t>
  </si>
  <si>
    <t>Heri (BT)</t>
  </si>
  <si>
    <t>M.1372/BAKUNG</t>
  </si>
  <si>
    <t>M.903/GOTONG ROYONG</t>
  </si>
  <si>
    <t>M.638/KUPANG KOTA</t>
  </si>
  <si>
    <t>M.12005/JAGABAYA II</t>
  </si>
  <si>
    <t>B.180/RAJABASA NUNYAI</t>
  </si>
  <si>
    <t>M.752/SUMBEREJO SEJAHTERA</t>
  </si>
  <si>
    <t>M.1666/LABUHAN RATU RAYA</t>
  </si>
  <si>
    <t>M. 2885/ Gunung Terang</t>
  </si>
  <si>
    <t>M. 212/ Kemiling Permai</t>
  </si>
  <si>
    <t>M. 10251/ Segala Mider</t>
  </si>
  <si>
    <t>B. 1240/ Way Halim Permai</t>
  </si>
  <si>
    <t>B. 644/ Sumber agung</t>
  </si>
  <si>
    <t>M. 873/ Sumber Agung</t>
  </si>
  <si>
    <t>M. 13740/ Segala Mider</t>
  </si>
  <si>
    <t>B. 4783/ Sukabumi</t>
  </si>
  <si>
    <t>M. 4939/ Sukadan Ham</t>
  </si>
  <si>
    <t>M.143/PESAWAHAN</t>
  </si>
  <si>
    <t>HM 1111/SUSUNAN BARU</t>
  </si>
  <si>
    <t>HM 2569/CAMPANG RAYA</t>
  </si>
  <si>
    <t>HM 10483/KEDAMAIAN</t>
  </si>
  <si>
    <t>HM 5368/SUKARAME II</t>
  </si>
  <si>
    <t>HM 276/PINANG JAYA</t>
  </si>
  <si>
    <t>B.1593/CAMPANG RAYA</t>
  </si>
  <si>
    <t>M.160/SUMBEREJO</t>
  </si>
  <si>
    <t xml:space="preserve">M.4636/WAY KANDIS </t>
  </si>
  <si>
    <t>M.5615/TANJUNG SENENG</t>
  </si>
  <si>
    <t>M. 1736/ Susunan Baru</t>
  </si>
  <si>
    <t>HM 11682/SUKABUMI</t>
  </si>
  <si>
    <t>M. 290/ Tanjung Agung</t>
  </si>
  <si>
    <t>HM 11707/SEGALA MIDER</t>
  </si>
  <si>
    <t>HM 12928/SUKABUMI</t>
  </si>
  <si>
    <t>M. 16122/ Sukabumi</t>
  </si>
  <si>
    <t>M.2005/LABUHAN RATU RAYA</t>
  </si>
  <si>
    <t>M.862/SUMBER AGUNG</t>
  </si>
  <si>
    <t>M. 19185/SUKARAME</t>
  </si>
  <si>
    <t>B. 33/ Langkapura</t>
  </si>
  <si>
    <t>M. 2165/ Kota Baru</t>
  </si>
  <si>
    <t>M. 869, 783/ Perwata</t>
  </si>
  <si>
    <t>M. 1884/ Langkapura</t>
  </si>
  <si>
    <t>M.1869/PANJANG SELATAN</t>
  </si>
  <si>
    <t>HM 1255/KELAPA TIGA</t>
  </si>
  <si>
    <t>HM 138/GARUNTANG</t>
  </si>
  <si>
    <t>M. 12354/KEDATON</t>
  </si>
  <si>
    <t>Desy (SU)</t>
  </si>
  <si>
    <t>M. 3303/ kemiling Permai</t>
  </si>
  <si>
    <t>M. 811/ palapa</t>
  </si>
  <si>
    <t>M. 6342/ Gunung Sulah</t>
  </si>
  <si>
    <t>M. 2271/ Sumber Agung</t>
  </si>
  <si>
    <t>B. 5168/ Beringin Raya</t>
  </si>
  <si>
    <t>M. 1454/ Bumi Kedamaian</t>
  </si>
  <si>
    <t>M. 10402/ Kedaton</t>
  </si>
  <si>
    <t>B. 36/ Sumberrejo sejahtera</t>
  </si>
  <si>
    <t>M. 1511/SUKARAME BARU</t>
  </si>
  <si>
    <t>B.659/SUMBER AGUNG</t>
  </si>
  <si>
    <t>B. 658/ Sumber Agung</t>
  </si>
  <si>
    <t>B. 657/ Sumber Agung</t>
  </si>
  <si>
    <t>B. 656/ Sumber Agung</t>
  </si>
  <si>
    <t>B. 655/ Sumber Agung</t>
  </si>
  <si>
    <t>B. 631/ Sumber Agung</t>
  </si>
  <si>
    <t>M. 11256/ sukabumi</t>
  </si>
  <si>
    <t>HM 1676/WHP</t>
  </si>
  <si>
    <t>M. 1072/ Rajabasa Pemuka</t>
  </si>
  <si>
    <t>Eci (SU)</t>
  </si>
  <si>
    <t>M. 587/ Gunung Sulah</t>
  </si>
  <si>
    <t>M. 2502/ Rajabasa Jaya</t>
  </si>
  <si>
    <t>M. 14807/ Sukarame</t>
  </si>
  <si>
    <t>M. 121/ Perumnas Way Halim</t>
  </si>
  <si>
    <t>M. 583/ Sumberrejo</t>
  </si>
  <si>
    <t>M. 1675/ Negeri Olok Gading</t>
  </si>
  <si>
    <t>M. 145, 137/ sumur putri (6 SHT)</t>
  </si>
  <si>
    <t>M. 1337/ Kelapa Tiga</t>
  </si>
  <si>
    <t>M. 2645/ Sukarame</t>
  </si>
  <si>
    <t>M. 11880/ Segala Mider</t>
  </si>
  <si>
    <t>HM 3/PENENGAHAN</t>
  </si>
  <si>
    <t>B. 2269/ sukabumi; M. 569/ Sukabumi Indah</t>
  </si>
  <si>
    <t>M. 18832/ Sukarame I</t>
  </si>
  <si>
    <t>M. 758/ Perumanas Way Kandis</t>
  </si>
  <si>
    <t>M. 2125/ Kedaung</t>
  </si>
  <si>
    <t>M.16696/SUKABUMI</t>
  </si>
  <si>
    <t>HM 430/TALANG</t>
  </si>
  <si>
    <t>M. 1222/ Sukarame Baru</t>
  </si>
  <si>
    <t>B. 952/ Beringin Jaya</t>
  </si>
  <si>
    <t>M. 1079/ Kali Balai Kencana</t>
  </si>
  <si>
    <t>M. 2013/ Kali Balau Kencana</t>
  </si>
  <si>
    <t>M. 3496/ Kota Baru</t>
  </si>
  <si>
    <t>M. 6292/ Way Kandis</t>
  </si>
  <si>
    <t>HM 12852/SEGALA MIDER</t>
  </si>
  <si>
    <t>HGB 74/SUMBER AGUNG</t>
  </si>
  <si>
    <t>M. 972/ Sepang Jaya</t>
  </si>
  <si>
    <t>M. 10437/ Kampung Baru</t>
  </si>
  <si>
    <t>M.2278/PERUMNAS WAY HALIM</t>
  </si>
  <si>
    <t>HM 2462/KEMILING PERMAI</t>
  </si>
  <si>
    <t>M.4716/RAJABASA JAYA</t>
  </si>
  <si>
    <t>M.983/KURIPAN</t>
  </si>
  <si>
    <t>M.629/KUPANG KOTA</t>
  </si>
  <si>
    <t>M.970/KUPANG KOTA</t>
  </si>
  <si>
    <t>M.103/PINANG JAYA</t>
  </si>
  <si>
    <t>M.1021/GUNUNG AGUNG</t>
  </si>
  <si>
    <t>M.14374/RAJABASA</t>
  </si>
  <si>
    <t>M.13407/SEGALA MIDER</t>
  </si>
  <si>
    <t>M.942/SUKABUMI INDAH</t>
  </si>
  <si>
    <t>B.102/RAJABASA NUNYAI</t>
  </si>
  <si>
    <t>M.2369/SUMBER AGUNG</t>
  </si>
  <si>
    <t>M.51/CAMPANG JAYA</t>
  </si>
  <si>
    <t>M.2197/KUPANG TEBA</t>
  </si>
  <si>
    <t>B.2276/SUKABUMI</t>
  </si>
  <si>
    <t xml:space="preserve">M.6543/WAY KANDIS </t>
  </si>
  <si>
    <t>M. 1451/ Pesawahan</t>
  </si>
  <si>
    <t>M. 1675/KEMILING RAYA</t>
  </si>
  <si>
    <t>M. 10592/GEDONG MENENG</t>
  </si>
  <si>
    <t>M. 590/ Sukaraja</t>
  </si>
  <si>
    <t>B. 1530/ Tanjung Seneng</t>
  </si>
  <si>
    <t>M. 2164/ Kota Baru</t>
  </si>
  <si>
    <t>M.2820/Campang Raya</t>
  </si>
  <si>
    <t>M. 16592/ Sukabumi</t>
  </si>
  <si>
    <t>M. 947/ Perumnas Way Halim</t>
  </si>
  <si>
    <t>M. 1369/ Rajabasa Nunyai</t>
  </si>
  <si>
    <t>M. 164/ Campang Raya</t>
  </si>
  <si>
    <t>2596/Kaliawi</t>
  </si>
  <si>
    <t>M. 2298/SEPANG JAYA</t>
  </si>
  <si>
    <t>M. 1156/ Perumnas Way Kandis</t>
  </si>
  <si>
    <t>M. 587/ Tanjung Kkarang</t>
  </si>
  <si>
    <t>M. 1392/ Kangkung</t>
  </si>
  <si>
    <t>M. 1151/ Sumberejo Sejahtera</t>
  </si>
  <si>
    <t>M. 2188/ Kedaung</t>
  </si>
  <si>
    <t>M. 4719/ Rajabasa Jaya</t>
  </si>
  <si>
    <t>HGB 3950,3951/BERINGIN RAYA</t>
  </si>
  <si>
    <t>HM 2019/KETEGUHAN</t>
  </si>
  <si>
    <t>HM 11576/SUKABUMI</t>
  </si>
  <si>
    <t>HM 1121/GUNUNG SULAH</t>
  </si>
  <si>
    <t>M.15450/SUKABUMI</t>
  </si>
  <si>
    <t>M.1975/KOTA BARU</t>
  </si>
  <si>
    <t>M. 10278/SIDODADI</t>
  </si>
  <si>
    <t>M.2962/GEDONG AIR</t>
  </si>
  <si>
    <t>K/12/230525/1</t>
  </si>
  <si>
    <t>M. 290/SEPANG JAYA</t>
  </si>
  <si>
    <t>M.1836/SUMBER REJO</t>
  </si>
  <si>
    <t>M.616/RAJABASA PEMUKA</t>
  </si>
  <si>
    <t>M.909/PESAWAHAN</t>
  </si>
  <si>
    <t>M. 672/KOPRI JAYA</t>
  </si>
  <si>
    <t>M. 6487/ Way Kandis</t>
  </si>
  <si>
    <t>M. 1146/ Rajabasa Pemuka</t>
  </si>
  <si>
    <t>M. 3741/ Rajabasa Jaya</t>
  </si>
  <si>
    <t>M. 1010/ N O G</t>
  </si>
  <si>
    <t>M. 67/ Way Dadi Baru</t>
  </si>
  <si>
    <t>M. 1601/ way Laga</t>
  </si>
  <si>
    <t>M. 2377/ Kedaung</t>
  </si>
  <si>
    <t>M. 10037/ Sukamenanti</t>
  </si>
  <si>
    <t>M. 3341/ Kemiling Permai</t>
  </si>
  <si>
    <t>M. 284/ Sukaraja</t>
  </si>
  <si>
    <t>M. 289/ Sukaraja</t>
  </si>
  <si>
    <t>M. 1133/ Jagabaya III</t>
  </si>
  <si>
    <t>M. 12343/ Jagabaya II</t>
  </si>
  <si>
    <t>M. 1214/ Negeri Olok Gading</t>
  </si>
  <si>
    <t>M. 1014/ Pinang Jaya</t>
  </si>
  <si>
    <t>M. 13428/ kedamaian</t>
  </si>
  <si>
    <t>M. 723/ Rajabsa Jaya</t>
  </si>
  <si>
    <t>M. 2538/ Sukarame Baru</t>
  </si>
  <si>
    <t>M. 2685/SUMBEREJO KEMILING, M. 2590/SUMBEREJO/KEMILING, M. 2591/SUMBEREJO/KEMILING</t>
  </si>
  <si>
    <t>HGB 283/KAMPUNG BARU</t>
  </si>
  <si>
    <t>M. 1169/TANJUNG GADING</t>
  </si>
  <si>
    <t>M. 12345/SEGALA MIDER</t>
  </si>
  <si>
    <t>HM 55/KAMPUNG BARU R</t>
  </si>
  <si>
    <t>HGB 2627/SUKARAME</t>
  </si>
  <si>
    <t>B. 2086/ Perumnas Way Halim</t>
  </si>
  <si>
    <t>HM 10352/LABUHAN RATU</t>
  </si>
  <si>
    <t>HM 11690/8SEGALA MIDER</t>
  </si>
  <si>
    <t>HM 662/JAGABAYA III</t>
  </si>
  <si>
    <t>-</t>
  </si>
  <si>
    <t>HM 337/GULAK GALIK</t>
  </si>
  <si>
    <t>HM 228/SUKAJAWA</t>
  </si>
  <si>
    <t>HGB 30/KOTABARU</t>
  </si>
  <si>
    <t>M. 13637/ kedamaian</t>
  </si>
  <si>
    <t>M.1850/RAJABASA NUNYAI</t>
  </si>
  <si>
    <t>B. 738/ Sukarame Baru</t>
  </si>
  <si>
    <t>M.4995/TANJUNG SENENG</t>
  </si>
  <si>
    <t>M. 354/NUSANTARA PERMAI</t>
  </si>
  <si>
    <t>B. 1495/ Kemiling Permai</t>
  </si>
  <si>
    <t>M. 14998/ Rajabasa</t>
  </si>
  <si>
    <t>M. 1359/ Pinag Jaya</t>
  </si>
  <si>
    <t>M. 4934/ Sukadana Ham</t>
  </si>
  <si>
    <t>M. 11914/ Kedamaian</t>
  </si>
  <si>
    <t>HM 13835/SEGALA MIDER</t>
  </si>
  <si>
    <t>M.3617/RAJABASA JAYA</t>
  </si>
  <si>
    <t>M.400/SUKABUMI INDAH</t>
  </si>
  <si>
    <t>M.2322/KEMILING PERMAI</t>
  </si>
  <si>
    <t>M.1047/TANJUNG SENENG</t>
  </si>
  <si>
    <t>M. 1144/SUMBERREJO SEJAHTERA</t>
  </si>
  <si>
    <t xml:space="preserve">M.753/GEDONG AIR </t>
  </si>
  <si>
    <t>M.1238/PERUMNAS WAY KANDIS</t>
  </si>
  <si>
    <t>M. 9780/ Sukamenanti Baru</t>
  </si>
  <si>
    <t>B. 16/ Bumi Kedamaian</t>
  </si>
  <si>
    <t>B. 640/ Sumber Agung</t>
  </si>
  <si>
    <t>M. 3249/ Gedong Air</t>
  </si>
  <si>
    <t>M. 934/ Labuhan Ratu Raya</t>
  </si>
  <si>
    <t>M. 1181/ Pematang Wangi</t>
  </si>
  <si>
    <t>M. 12987/BERINGIN RAYA</t>
  </si>
  <si>
    <t>M.807/PERWATA</t>
  </si>
  <si>
    <t>M. 313/ Kota Sepang</t>
  </si>
  <si>
    <t>M. 6452/ Way Kandis</t>
  </si>
  <si>
    <t>M. 11038/ Sukabumi</t>
  </si>
  <si>
    <t>M. 232/ Kali Balau Kencana</t>
  </si>
  <si>
    <t>M. 11742/ Sukarame</t>
  </si>
  <si>
    <t>M.1540/TANJUNG SENENG &amp; M.1549/TANJUNG SENENG</t>
  </si>
  <si>
    <t>HM 13524/RAJABASA</t>
  </si>
  <si>
    <t>M.5403/RAJABASA JAYA</t>
  </si>
  <si>
    <t>B. 312/ Pematang Wangi</t>
  </si>
  <si>
    <t>M. 163/ Perumnas Way Kandis</t>
  </si>
  <si>
    <t>M. 552/ Rajabasa</t>
  </si>
  <si>
    <t>HM 4924/BERINGIN RAYA</t>
  </si>
  <si>
    <t>M. 3757/ Rajabasa Jaya</t>
  </si>
  <si>
    <t>HM 15851,15850/SUKARAME I</t>
  </si>
  <si>
    <t>M. 1145/ Rajabasa Pemuka</t>
  </si>
  <si>
    <t>M. 10716/ Sidodadi</t>
  </si>
  <si>
    <t>M. 1978/ Sumberrejo sejahtera</t>
  </si>
  <si>
    <t>M. 2410/ Langkapura</t>
  </si>
  <si>
    <t>M. 5485/ Tanjung Seneng</t>
  </si>
  <si>
    <t>HM 897/GEDONG AIR</t>
  </si>
  <si>
    <t>M. 852/KEMILING RAYA</t>
  </si>
  <si>
    <t>M.1543/KEMILING RAYA</t>
  </si>
  <si>
    <t>M. 10308/LABUHAN RATU</t>
  </si>
  <si>
    <t>M.940/GUNUNG SULAH</t>
  </si>
  <si>
    <t>M. 1758, 1488/ Kupang Teba</t>
  </si>
  <si>
    <t>M.270/PESAWAHAN</t>
  </si>
  <si>
    <t>M.13234, M 13230, M 13229/TANJUNG BARU</t>
  </si>
  <si>
    <t>M. 11446/ Sukabumi</t>
  </si>
  <si>
    <t>M. 1391/ Pengajaran</t>
  </si>
  <si>
    <t>M. 1091/ Srengsem</t>
  </si>
  <si>
    <t>M. 14983/ Rajabasa</t>
  </si>
  <si>
    <t>M. 1188/ Talang</t>
  </si>
  <si>
    <t>M.9455/SUKABUMI</t>
  </si>
  <si>
    <t>M.2608/TANJUNG SENENG</t>
  </si>
  <si>
    <t>M.911/KORPRI JAYA</t>
  </si>
  <si>
    <t>M.1606/RAJABASA PEMUKA</t>
  </si>
  <si>
    <t>M. 1373/ Way Kandis</t>
  </si>
  <si>
    <t>M.14534/SUKABUMI</t>
  </si>
  <si>
    <t>K/24/190525/1</t>
  </si>
  <si>
    <t>M.3632/RAJABASA JAYA</t>
  </si>
  <si>
    <t>M. 1087/ Korpri Jaya</t>
  </si>
  <si>
    <t>M. 16682/ Sukabumi</t>
  </si>
  <si>
    <t>M. 1453/ Bumi Kedamaian</t>
  </si>
  <si>
    <t>HGB 4953/SUKARAME</t>
  </si>
  <si>
    <t>M.10270/LABUHAN RATU</t>
  </si>
  <si>
    <t>M. 13996/ Tanjung Baru</t>
  </si>
  <si>
    <t>M. 1037/ Sukarame</t>
  </si>
  <si>
    <t>M. 106/ Penengahan</t>
  </si>
  <si>
    <t>M. 918/ Korpri Jaya</t>
  </si>
  <si>
    <t>B. 321/ Pematang Wangi</t>
  </si>
  <si>
    <t>M. 105/ Bakung</t>
  </si>
  <si>
    <t>B. 5224/ Beringin Raya</t>
  </si>
  <si>
    <t>M. 16598/ Sukabumi</t>
  </si>
  <si>
    <t>M. 3189/ Gedong Air</t>
  </si>
  <si>
    <t>M. 2634/ Sukadana Ham</t>
  </si>
  <si>
    <t>B. 33/ Campang Raya</t>
  </si>
  <si>
    <t>B. 317/ Pematang Wangi</t>
  </si>
  <si>
    <t>B. 49/ Gunung Sari</t>
  </si>
  <si>
    <t>M. 1287/ Kelapa Tiga</t>
  </si>
  <si>
    <t>B. 3225/ Sukabumi</t>
  </si>
  <si>
    <t>M. 13357/KEDAMAIAN</t>
  </si>
  <si>
    <t>M. 334/KORPRI RAYA</t>
  </si>
  <si>
    <t>M. 1147/PELITA</t>
  </si>
  <si>
    <t>M. 4523/ Sukadana Ham</t>
  </si>
  <si>
    <t>M. 1541/SUKABUMI INDAH</t>
  </si>
  <si>
    <t>M. 1119/KORPRI JAYA</t>
  </si>
  <si>
    <t>M. 15419/SUKABUMI</t>
  </si>
  <si>
    <t>M.1145/SUMBERREJO SEJAHTERA</t>
  </si>
  <si>
    <t>M. 3657/LANGKAPURA</t>
  </si>
  <si>
    <t>B.34/LANGKAPURA BARU</t>
  </si>
  <si>
    <t>M. 14968/ Sukarame</t>
  </si>
  <si>
    <t>B.2179/SUKARAME I</t>
  </si>
  <si>
    <t>B. 2984/ Sukanumi</t>
  </si>
  <si>
    <t>M. 617/ Pahoman</t>
  </si>
  <si>
    <t>B. 2087/ Perumnas Way Halim</t>
  </si>
  <si>
    <t>M. 193/ Pesawahan</t>
  </si>
  <si>
    <t>M. 1499/PESAWAHAN</t>
  </si>
  <si>
    <t>M. 988/ Labuhan Dalam</t>
  </si>
  <si>
    <t>M. 1937/ Kupang Kota</t>
  </si>
  <si>
    <t>M. 14855/ Rajabasa</t>
  </si>
  <si>
    <t>HM 831/LANGKAPURA</t>
  </si>
  <si>
    <t>M. 2855/SUKARAME BARU</t>
  </si>
  <si>
    <t>HM 3426/BERINGIN RAYA</t>
  </si>
  <si>
    <t>HM 2039/PWH</t>
  </si>
  <si>
    <t>M. 587/ Pematang Wangi</t>
  </si>
  <si>
    <t>HM 3593/WAY KANDIS</t>
  </si>
  <si>
    <t>HM 12860/SUKABUMI</t>
  </si>
  <si>
    <t>HM 13880/LABUHAN RATU</t>
  </si>
  <si>
    <t>M. 1843/ Rajabasa Nunyai</t>
  </si>
  <si>
    <t>M. 2309/ Negeri Olok Gading</t>
  </si>
  <si>
    <t>M. 16463/ Sukabumi</t>
  </si>
  <si>
    <t>M. 865/ Sumber Agung</t>
  </si>
  <si>
    <t>B. 176/ Sumberejo Sejahtera</t>
  </si>
  <si>
    <t>M. 4663/ Gunung Terang</t>
  </si>
  <si>
    <t>M. 470/WAY HALIM PERMAI</t>
  </si>
  <si>
    <t>M. 2645/RAJABASA JAYA</t>
  </si>
  <si>
    <t>M. 1430/ Kaliawi</t>
  </si>
  <si>
    <t>M. 1030/ Durian Payung</t>
  </si>
  <si>
    <t>B. 5398/ Beringin Raya</t>
  </si>
  <si>
    <t>M. 3730/ Beringin Raya</t>
  </si>
  <si>
    <t>M. 3074/ Keteguhan</t>
  </si>
  <si>
    <t>M.649/WAY HALIM PERMAI</t>
  </si>
  <si>
    <t>M.1894/SUKABUMI INDAH</t>
  </si>
  <si>
    <t>M.773/KEBON JERUK</t>
  </si>
  <si>
    <t>M.9456/KAMPUNG BARU</t>
  </si>
  <si>
    <t>M.318/TANJUNG SENENG</t>
  </si>
  <si>
    <t>315/ Nusantara Permai</t>
  </si>
  <si>
    <t xml:space="preserve">M. 2601, 2602/SUMBEREJO KEMILING </t>
  </si>
  <si>
    <t>M. 4602/RAJABASA JAYA</t>
  </si>
  <si>
    <t>M. 6896/TANJUNG SENANG</t>
  </si>
  <si>
    <t>M.2/SUSUNAN BARU</t>
  </si>
  <si>
    <t>M. 1568/SEPANG JAYA</t>
  </si>
  <si>
    <t>M.9058/SURABAYA</t>
  </si>
  <si>
    <t>HM 4831/LANGKAPURA</t>
  </si>
  <si>
    <t>M. 1808/ Campang Raya</t>
  </si>
  <si>
    <t>M. 658/ Kali Balau Kencana</t>
  </si>
  <si>
    <t>M. 12880/ Jagabaya II</t>
  </si>
  <si>
    <t>B. 202/ Sukarame Baru</t>
  </si>
  <si>
    <t>M. 960/ Panjang Selatan</t>
  </si>
  <si>
    <t>B.583/SUMBER AGUNG</t>
  </si>
  <si>
    <t>B.524/NUSANTARA PERMAI</t>
  </si>
  <si>
    <t>M.846/SUMUR BATU</t>
  </si>
  <si>
    <t>M.1851/RAJABASA NUNYAI</t>
  </si>
  <si>
    <t>M.1000/SUMBEREJO SEJAHTERA</t>
  </si>
  <si>
    <t>M.732/PESAWAHAN</t>
  </si>
  <si>
    <t>M.3249/SUKADANAHAM</t>
  </si>
  <si>
    <t>HM 2122/GEDONG AIR</t>
  </si>
  <si>
    <t>M. 1150/ Sumberrejo sejahtera</t>
  </si>
  <si>
    <t>M. 2638/ Pinang Jaya</t>
  </si>
  <si>
    <t>M. 1605/ Kemiling Raya</t>
  </si>
  <si>
    <t>M.10563/SUKABUMI</t>
  </si>
  <si>
    <t>M. 1142/SUMBEREJO SEJAHTERA</t>
  </si>
  <si>
    <t>M.2333/SEPANG JAYA</t>
  </si>
  <si>
    <t>M.800/GUNUNG TERANG</t>
  </si>
  <si>
    <t>B. 940/ Jagabaya III</t>
  </si>
  <si>
    <t>HM 2055/BERINGIN RAYA</t>
  </si>
  <si>
    <t>M. 1002/KORPRI JAYA</t>
  </si>
  <si>
    <t>M.2628/PINANG JAYA</t>
  </si>
  <si>
    <t>M.10613/KEDAMAIAN</t>
  </si>
  <si>
    <t>M. 13800/SUKABUMI</t>
  </si>
  <si>
    <t>M. 1683/KUPANG TEBA</t>
  </si>
  <si>
    <t>M. 684/ Sepang Jaya</t>
  </si>
  <si>
    <t>M. 12152/ Sukabumi</t>
  </si>
  <si>
    <t>M. 116/ Perumnas Way Kandis</t>
  </si>
  <si>
    <t>HM 1331/TANJUNG SENANG</t>
  </si>
  <si>
    <t>M. 1036/ Sukaraja</t>
  </si>
  <si>
    <t>B. 17/ Bumi Kedamaian</t>
  </si>
  <si>
    <t>M. 236/ Sukajawa Baru</t>
  </si>
  <si>
    <t>M. 6285/ Way Kandis</t>
  </si>
  <si>
    <t>M. 80/ Sukarame baru</t>
  </si>
  <si>
    <t>M. 1719/ Gunung Terang</t>
  </si>
  <si>
    <t>M. 12697/ Kedaton</t>
  </si>
  <si>
    <t>M. 2337/ Sukamaju</t>
  </si>
  <si>
    <t>M. 18360/ Sukarame I</t>
  </si>
  <si>
    <t>M. 9638/ KAMPUNG BARU</t>
  </si>
  <si>
    <t>M. 2951/ Bumi Waras</t>
  </si>
  <si>
    <t>HM 1359/WAY KANDIS</t>
  </si>
  <si>
    <t>HM 189/RAJABASA PEMUKA</t>
  </si>
  <si>
    <t>HM 1373/SUKABUMI INDAH</t>
  </si>
  <si>
    <t>HGB 1382/TANJUNG SENANG</t>
  </si>
  <si>
    <t>HM 440/KUPANG KOTA</t>
  </si>
  <si>
    <t>M. 11904/ Kedamaian</t>
  </si>
  <si>
    <t>M. 4618/GUNUNG TERANG</t>
  </si>
  <si>
    <t>M.1702/SUMUR PUTRI</t>
  </si>
  <si>
    <t>M. 1757/LABUHAN RATU RAYA</t>
  </si>
  <si>
    <t>M. 1388/SEPANG JAYA</t>
  </si>
  <si>
    <t>HM 2070/KEMILING PERMAI</t>
  </si>
  <si>
    <t>B.134/RAJABASA RAYA</t>
  </si>
  <si>
    <t>M. 4685/ Gunung Terang</t>
  </si>
  <si>
    <t>M.224/SUMBER AGUNG</t>
  </si>
  <si>
    <t>B.167/GUNUNG TERANG</t>
  </si>
  <si>
    <t>M.1974/SUMBER AGUNG</t>
  </si>
  <si>
    <t>M. 1926/ Campang Raya</t>
  </si>
  <si>
    <t>K/22/120625/1</t>
  </si>
  <si>
    <t>M, 432/TANJUNG GADING</t>
  </si>
  <si>
    <t>B. 849/ Perumnas Way Kandis</t>
  </si>
  <si>
    <t>M. 13574/ Kedamaian</t>
  </si>
  <si>
    <t>M. 11900/ Rajabasa</t>
  </si>
  <si>
    <t>M. 2444/ Kedaung</t>
  </si>
  <si>
    <t>M. 3243/ Gedong Air</t>
  </si>
  <si>
    <t>M. 16443/ Sukarame</t>
  </si>
  <si>
    <t>M. 3172/ Way Kandis</t>
  </si>
  <si>
    <t>M. 1979/ Sumberejo Sejahtera</t>
  </si>
  <si>
    <t>HM 2639/KOTA BARU</t>
  </si>
  <si>
    <t>M.1143/SUMBERREJO SEJAHTERA</t>
  </si>
  <si>
    <t>M.3267/BERINGIN RAYA</t>
  </si>
  <si>
    <t>M. 1266/ Langkapura Baru</t>
  </si>
  <si>
    <t>M. 4710/ Beringin Raya</t>
  </si>
  <si>
    <t>M. 2283/ Sukajawa</t>
  </si>
  <si>
    <t>M. 1766/ Bumiwaras</t>
  </si>
  <si>
    <t>M. 3559/ Beringin Raya</t>
  </si>
  <si>
    <t>M.1474/JAGABAYA III</t>
  </si>
  <si>
    <t>M. 1415/TANJUNG RAYA</t>
  </si>
  <si>
    <t>M. 71/ Kupang Raya</t>
  </si>
  <si>
    <t>M. 12337/ Sukarame</t>
  </si>
  <si>
    <t>B. 4429/ Sukabumi</t>
  </si>
  <si>
    <t>M.2681/SUKARAME BARU</t>
  </si>
  <si>
    <t>M. 9451/TANJUNG BARU</t>
  </si>
  <si>
    <t>M. 9011/TANJUNGBARU</t>
  </si>
  <si>
    <t>M. 511/TALANG</t>
  </si>
  <si>
    <t>M. 1255/PANJANG SELATAN</t>
  </si>
  <si>
    <t>M.6508/WAY KANDIS</t>
  </si>
  <si>
    <t>HM 10608/KEDATON</t>
  </si>
  <si>
    <t>HGB 1593/BUMI KEDAMAIAN</t>
  </si>
  <si>
    <t>M.12040/LABUHAN RATU</t>
  </si>
  <si>
    <t>B.399/KEMILING PERMAI</t>
  </si>
  <si>
    <t>M.2228/TANJUNG SENENG</t>
  </si>
  <si>
    <t>M.1460/SEPANG JAYA</t>
  </si>
  <si>
    <t>M.2115/SEPANG JAYA</t>
  </si>
  <si>
    <t>M.2702/KOTA BARU</t>
  </si>
  <si>
    <t>M.3014/TANJUNG SENENG</t>
  </si>
  <si>
    <t>M.1672/BAKUNG</t>
  </si>
  <si>
    <t>M. 1867/ Susunan Baru</t>
  </si>
  <si>
    <t>M. 11642/ Sukabumi</t>
  </si>
  <si>
    <t>M. 13, 14/ Way Dadi</t>
  </si>
  <si>
    <t>M. 125/ Gedong Meneng BAru</t>
  </si>
  <si>
    <t>B.3183/BERINGIN RAYA</t>
  </si>
  <si>
    <t>M.14795/SUKABUMI</t>
  </si>
  <si>
    <t>M.1170/BUMI WARAS</t>
  </si>
  <si>
    <t>M. 9846/KEDAMAIAN</t>
  </si>
  <si>
    <t>B.626/SUMBER AGUNG</t>
  </si>
  <si>
    <t>B. 610/SUMBER AGUNG</t>
  </si>
  <si>
    <t>M. 48/TANJUNG RAYA</t>
  </si>
  <si>
    <t>M. 2392/ Campang Jaya</t>
  </si>
  <si>
    <t>HM 2683/KEMILING PERMAI</t>
  </si>
  <si>
    <t>M. 1320/BAKUNG</t>
  </si>
  <si>
    <t>M. 67/SUKARAME BARU</t>
  </si>
  <si>
    <t>M. 830/ Kaliawi</t>
  </si>
  <si>
    <t>M. 9310/ jagabaya II</t>
  </si>
  <si>
    <t>M. 4984/ Tanjung Senang</t>
  </si>
  <si>
    <t>B. 369/ Nusantara Permai</t>
  </si>
  <si>
    <t>M. 2627/ Pinang Jaya</t>
  </si>
  <si>
    <t>M. 249/ Penengahan Raya</t>
  </si>
  <si>
    <t>M. 2212/ Sukarame Baru</t>
  </si>
  <si>
    <t>HM 72/KEMILING PERMAI</t>
  </si>
  <si>
    <t>HM 11244/LABNUHAN RATU</t>
  </si>
  <si>
    <t>M.13/BATU PUTUK</t>
  </si>
  <si>
    <t xml:space="preserve">M.1722/LABUHAN DALAM </t>
  </si>
  <si>
    <t xml:space="preserve">HM 16448/SUKARAME </t>
  </si>
  <si>
    <t>M. 4927/ Sukadana Ham</t>
  </si>
  <si>
    <t>HGB 766/BAKUNG</t>
  </si>
  <si>
    <t>M. 2720/ Kemiling Permai</t>
  </si>
  <si>
    <t>M. 707/ Pengajaran</t>
  </si>
  <si>
    <t>M. 7157/ Sidodadi</t>
  </si>
  <si>
    <t>HM 10010/TANJUNG BARU</t>
  </si>
  <si>
    <t>M. 1137/SUMBER AGUNG</t>
  </si>
  <si>
    <t>B. 98 / LABUHAN RATU</t>
  </si>
  <si>
    <t>HM 1913/TANJUNG SENANG</t>
  </si>
  <si>
    <t>HM 167/NUSANTARA PERMAI</t>
  </si>
  <si>
    <t>HM 1432/BAKUNG</t>
  </si>
  <si>
    <t>HM 13389/SEGALA MIDER</t>
  </si>
  <si>
    <t>HM 2302/KALIAWI</t>
  </si>
  <si>
    <t>M. 689/PEMATANG WANGI</t>
  </si>
  <si>
    <t>M.9460/TANJUNG BARU</t>
  </si>
  <si>
    <t>HGB 218/LANGKAPURA</t>
  </si>
  <si>
    <t>M. 867/ Sumber Agung</t>
  </si>
  <si>
    <t>M. 1593/ Pengajaran</t>
  </si>
  <si>
    <t>HM 6394/WAY KANDIS</t>
  </si>
  <si>
    <t xml:space="preserve">M.980/PERUMNAS WAY KANDIS </t>
  </si>
  <si>
    <t>B.71/KOTA KARANG</t>
  </si>
  <si>
    <t>M.575/TANJUNG SENENG</t>
  </si>
  <si>
    <t>M.2447/GEDONG AIR</t>
  </si>
  <si>
    <t>M.9238/KEDAMAIAN</t>
  </si>
  <si>
    <t>M.577/PESAWAHAN</t>
  </si>
  <si>
    <t>M.12080/JAGABAYA II</t>
  </si>
  <si>
    <t>M. 4628/ Campang Raya</t>
  </si>
  <si>
    <t>M. 9206/ gd meneng</t>
  </si>
  <si>
    <t>M. 2640/ Pinang Jaya</t>
  </si>
  <si>
    <t>M. 6427/ Way Kandis</t>
  </si>
  <si>
    <t>M. 11376/ Kedaton</t>
  </si>
  <si>
    <t>M. 1169/ Pematang Wangi</t>
  </si>
  <si>
    <t>B. 1212/ Sukabumi Indah</t>
  </si>
  <si>
    <t>M. 5612/ Langkapura</t>
  </si>
  <si>
    <t>M. 949/ Pelita</t>
  </si>
  <si>
    <t>HM 408/TANJUNG AGUNG</t>
  </si>
  <si>
    <t>HM 11980/SUKARAME</t>
  </si>
  <si>
    <t>M.12307/LABUHAN RATU</t>
  </si>
  <si>
    <t>M. 11030/ Gedong Meneng</t>
  </si>
  <si>
    <t>B. 691/ Sumber Agung</t>
  </si>
  <si>
    <t>M. 7023/ Tanjung Senang</t>
  </si>
  <si>
    <t>HM 1361/BERINGIN JAYA</t>
  </si>
  <si>
    <t>M. 2046/ Labuhan Dalam</t>
  </si>
  <si>
    <t>M. 1519/ Sukarame Baru</t>
  </si>
  <si>
    <t>M. 1184/ Kangkung</t>
  </si>
  <si>
    <t>M.826/TANJUNG RAYA</t>
  </si>
  <si>
    <t>M. 56/KALI BALAU KENCANA</t>
  </si>
  <si>
    <t>M. 2071/CAMPANG JAYA</t>
  </si>
  <si>
    <t>M. 2070/CAMPANG JAYA</t>
  </si>
  <si>
    <t>M. 2490/SUSUNAN BARU</t>
  </si>
  <si>
    <t>M. 548/KEDAUNG</t>
  </si>
  <si>
    <t>M. 10532/SIDODADI</t>
  </si>
  <si>
    <t>M. 680/ Gedong Air</t>
  </si>
  <si>
    <t>B. 855/ keteguhan</t>
  </si>
  <si>
    <t>M. 2041/ Susunan Baru</t>
  </si>
  <si>
    <t>M. 1484/Way Halim Permai</t>
  </si>
  <si>
    <t>B.771/SUMUR PUTRI</t>
  </si>
  <si>
    <t>M.2877/SUKARAME BARU</t>
  </si>
  <si>
    <t>M.7004/TANJUNG SENENG</t>
  </si>
  <si>
    <t xml:space="preserve">M.1239/PERUMNAS WAY KANDIS </t>
  </si>
  <si>
    <t>M.1489/GEDONG AIR</t>
  </si>
  <si>
    <t>M.3342/KEMILING PERMAI</t>
  </si>
  <si>
    <t>M.4745/WAY KANDIS</t>
  </si>
  <si>
    <t>B.541/KEMILING PERMAI</t>
  </si>
  <si>
    <t>2124/kemiling permai</t>
  </si>
  <si>
    <t>389/Perumnas Way Kandis</t>
  </si>
  <si>
    <t>M. 3405/ Beringin Jaya</t>
  </si>
  <si>
    <t>M. 303/NUSANTARA PERMAI</t>
  </si>
  <si>
    <t>M. 13851/ Rajabasa</t>
  </si>
  <si>
    <t>M. 524/ Kebon Jeruk</t>
  </si>
  <si>
    <t>B. 1478/ Way Halim Permai</t>
  </si>
  <si>
    <t>M. 1262/SUKARAME BARU</t>
  </si>
  <si>
    <t>M. 13069/BERINGIN RAYA</t>
  </si>
  <si>
    <t>M.933/PEMATANG WANGI</t>
  </si>
  <si>
    <t>M.1890/PENGAJARAN</t>
  </si>
  <si>
    <t>M.2639/PINANG JAYA</t>
  </si>
  <si>
    <t>M.293/SEPANG JAYA</t>
  </si>
  <si>
    <t>M.3390/KOTA BARU</t>
  </si>
  <si>
    <t xml:space="preserve">M.2684/WAY KANDIS </t>
  </si>
  <si>
    <t>M.1173/PEMATANGW ANGI</t>
  </si>
  <si>
    <t>M. 2881/ Sukarame Baru</t>
  </si>
  <si>
    <t>M. 7558/ Segala Mider</t>
  </si>
  <si>
    <t>B. 817/ Kemiling Permai</t>
  </si>
  <si>
    <t>M. 1845/ Rajabasa Pemuka</t>
  </si>
  <si>
    <t>M. 834/ Gedong Air</t>
  </si>
  <si>
    <t>M. 1615/ Labuhan Dalam</t>
  </si>
  <si>
    <t>M. 4582/ Langkapura</t>
  </si>
  <si>
    <t>B. 580/ Nusantara Permai</t>
  </si>
  <si>
    <t>HM 09/KOTA KARANG RAYA</t>
  </si>
  <si>
    <t>HM1393/LABUHAN DALAM</t>
  </si>
  <si>
    <t>HM 1995/TANJUNG SENANG</t>
  </si>
  <si>
    <t>HM 3675/BERINGIN RAYA</t>
  </si>
  <si>
    <t>M. 1637/RAJABASA PEMUKA</t>
  </si>
  <si>
    <t>M. 4725/ Sukadana Ham</t>
  </si>
  <si>
    <t>M.1137/TANJUNG KARANG</t>
  </si>
  <si>
    <t>M. 42/ Jagabaya III</t>
  </si>
  <si>
    <t>HM 817/WHP</t>
  </si>
  <si>
    <t>M.2045/WAY HALIM PERMAI</t>
  </si>
  <si>
    <t>M.2046/ WAY HALIM PERMAI</t>
  </si>
  <si>
    <t>HGB 901/SUKARAME BARU</t>
  </si>
  <si>
    <t>M.278/WAY KANDIS</t>
  </si>
  <si>
    <t>HGB 315/RAJABASA PEMUKA</t>
  </si>
  <si>
    <t>HM 336/GULAK GALIK</t>
  </si>
  <si>
    <t>HM 660/SEPANG JAYA</t>
  </si>
  <si>
    <t>M. 1253/BERINGIN JAYA</t>
  </si>
  <si>
    <t>B. 4986/CAMPANG RAYA</t>
  </si>
  <si>
    <t>M. 237/RAJABASA JAYA</t>
  </si>
  <si>
    <t>B. 30/ Sidodadi</t>
  </si>
  <si>
    <t>B. 991/BERINGIN JAYA</t>
  </si>
  <si>
    <t>B.820/SUMUR PUTRI</t>
  </si>
  <si>
    <t>M.138/RAJABASA JAYA</t>
  </si>
  <si>
    <t>B.149/SUMBEREJO SEJAHTERA</t>
  </si>
  <si>
    <t>M.6471/WAY KANDIS</t>
  </si>
  <si>
    <t>B.769/ Sumur Putri</t>
  </si>
  <si>
    <t>M. 14163/ Rajabasa</t>
  </si>
  <si>
    <t>M. 1756/LABUHAN RATU RAYA</t>
  </si>
  <si>
    <t>M. 3408/TANJUNG SENANG</t>
  </si>
  <si>
    <t>B. 1782/SUKABUMI</t>
  </si>
  <si>
    <t>M.396/WAY GUBAK</t>
  </si>
  <si>
    <t>M. 1038/ Sukarame</t>
  </si>
  <si>
    <t>M. 1351/NEGERI OLOK GADING</t>
  </si>
  <si>
    <t>M. 15585/ Sukabumi</t>
  </si>
  <si>
    <t>HM 970/SUMBER REJO</t>
  </si>
  <si>
    <t>M. 11031/ Gedong Meneng</t>
  </si>
  <si>
    <t>M. 1766/ Keteguhan</t>
  </si>
  <si>
    <t>M. 10383/ Segala Mider</t>
  </si>
  <si>
    <t xml:space="preserve">M. 1281/ Kelapa Tiga </t>
  </si>
  <si>
    <t>M. 3370/ Kemiling Permai</t>
  </si>
  <si>
    <t>HM 16958/SUKARAME</t>
  </si>
  <si>
    <t>B. 2407/SUKARAME</t>
  </si>
  <si>
    <t>M. 4985/RAJABASA JAYA</t>
  </si>
  <si>
    <t>HGB 992/CAMPANG RAYA</t>
  </si>
  <si>
    <t>HM 159/SUKABUMI INDAH</t>
  </si>
  <si>
    <t>M. 3365/ Beringin Raya</t>
  </si>
  <si>
    <t>M. 2630/ Pinang Jaya</t>
  </si>
  <si>
    <t>M. 10077/ Sidodadi</t>
  </si>
  <si>
    <t>M. 8441/KEDATON</t>
  </si>
  <si>
    <t>HM 355/KEBON JERUK</t>
  </si>
  <si>
    <t>HM 2277,2171.2215/SUKAJAWA</t>
  </si>
  <si>
    <t>HM 12044/SUKABUMI</t>
  </si>
  <si>
    <t>HM 1026/RAJABASA RAYA</t>
  </si>
  <si>
    <t>M. 2631/ Pinang Jaya</t>
  </si>
  <si>
    <t>M. 1801/ Kali Balau Kencana</t>
  </si>
  <si>
    <t>M. 10254/ Sukabumi</t>
  </si>
  <si>
    <t>M. 707/ Sumur Putri</t>
  </si>
  <si>
    <t>M. 894/ Tanjungkarang</t>
  </si>
  <si>
    <t>M. 5046/RAJABASA JAYA</t>
  </si>
  <si>
    <t>B.2409/CAMPANG JAYA</t>
  </si>
  <si>
    <t>M.498/PINANG JAYA</t>
  </si>
  <si>
    <t>3819/Sumberejo Kemiling</t>
  </si>
  <si>
    <t>M. 78/ Ketapang Kuala</t>
  </si>
  <si>
    <t>M. 14000/ Tanjung Baru</t>
  </si>
  <si>
    <t>M. 1919/ Batu Putuk</t>
  </si>
  <si>
    <t>M. 1203/ Labuhan Dalam</t>
  </si>
  <si>
    <t>M.2872/SUKARAME BARU</t>
  </si>
  <si>
    <t>M.1609/KUPANG KOTA</t>
  </si>
  <si>
    <t>M.2294/PERUMNAS WAY HALIM</t>
  </si>
  <si>
    <t>M.1168/PEMATANG WANGI</t>
  </si>
  <si>
    <t>M. 311/ Way Laga</t>
  </si>
  <si>
    <t>M. 2608/ Durian Payung</t>
  </si>
  <si>
    <t>K/41/190625/3</t>
  </si>
  <si>
    <t>B. 739/ Sumur Putri</t>
  </si>
  <si>
    <t>M. 10822/ Segala Mider</t>
  </si>
  <si>
    <t>M. 1616/ Sumur Putri</t>
  </si>
  <si>
    <t>B.748/SUMUR PUTRI</t>
  </si>
  <si>
    <t>M.6392/WAY KANDIS</t>
  </si>
  <si>
    <t xml:space="preserve">M.6470/WAY KANDIS </t>
  </si>
  <si>
    <t>M.1591/BERINGIN JAYA</t>
  </si>
  <si>
    <t>HM 1011/KORPRI JAYA</t>
  </si>
  <si>
    <t>M.146/WAY HALIM PERMAI</t>
  </si>
  <si>
    <t>M.6962/TANJUNG SENENG</t>
  </si>
  <si>
    <t>M.1236/PERUMNAS WAY KANDIS</t>
  </si>
  <si>
    <t>M.1320/RAJABASA JAYA</t>
  </si>
  <si>
    <t>M.6393/WAY KANDIS</t>
  </si>
  <si>
    <t>M.1983/SUSUNAN BARU</t>
  </si>
  <si>
    <t>M. 12688/KALI BALAU KENCANA</t>
  </si>
  <si>
    <t>M. 5831/ Way Kandis</t>
  </si>
  <si>
    <t>M. 803/ Pecoh Roya</t>
  </si>
  <si>
    <t>M. 742/ Tanjung Gading</t>
  </si>
  <si>
    <t>M. 4908/WAY KANDIS</t>
  </si>
  <si>
    <t>B. 902/SUKARAME BARU</t>
  </si>
  <si>
    <t>M. 9107/TANJUNG BARU</t>
  </si>
  <si>
    <t>M. 1268/LANGKAPURA BARU</t>
  </si>
  <si>
    <t>M.2339/SUKAMAJU</t>
  </si>
  <si>
    <t>M. 901/RAJABASA RAYA</t>
  </si>
  <si>
    <t>M. 2300/ Panjang Utara</t>
  </si>
  <si>
    <t>M. 1314/ Susunan Baru</t>
  </si>
  <si>
    <t>M. 1281/ Kangkung</t>
  </si>
  <si>
    <t>M. 1288/ Kedamaian</t>
  </si>
  <si>
    <t>M. 1995/ Jagabaya III</t>
  </si>
  <si>
    <t>HM 605/PALAPA</t>
  </si>
  <si>
    <t>HM 2013/KALIAWI</t>
  </si>
  <si>
    <t>HM 10525/KEDAMAIAN</t>
  </si>
  <si>
    <t>HM 1863/TANJUNG SENANG</t>
  </si>
  <si>
    <t>HM 556/SAWAH LAMA</t>
  </si>
  <si>
    <t>HM 1337/GUNUNG TERANG</t>
  </si>
  <si>
    <t>HM 12007/LABUHGAN RATU</t>
  </si>
  <si>
    <t>HM 1019/WHP</t>
  </si>
  <si>
    <t>HM 301/TANJUNG AGUNG</t>
  </si>
  <si>
    <t>HM 989/PENGAJARAN</t>
  </si>
  <si>
    <t>HM 2163/WHP</t>
  </si>
  <si>
    <t>HM 424/BERINGIN RAYA</t>
  </si>
  <si>
    <t>M. 664/ Tanjung Raya</t>
  </si>
  <si>
    <t>M. 12725/ Kedamaian</t>
  </si>
  <si>
    <t>M. 3807/ Way Kandis</t>
  </si>
  <si>
    <t>B. 930/ Sukabumi Indah</t>
  </si>
  <si>
    <t>M. 1119/ Bakung</t>
  </si>
  <si>
    <t>M. 4988/ Campang raya</t>
  </si>
  <si>
    <t>M. 4989/ Campang raya</t>
  </si>
  <si>
    <t>HM 11762/KEDATON</t>
  </si>
  <si>
    <t>M. 10146/ Gedong Meneng</t>
  </si>
  <si>
    <t>M. 9438/ Labuhan Ratu</t>
  </si>
  <si>
    <t>M. 2010/ Kota Karang</t>
  </si>
  <si>
    <t>M. 1668/ Bumi Kedamaian</t>
  </si>
  <si>
    <t>M. 1824/ Way Kandis</t>
  </si>
  <si>
    <t>M. 18171/ Sukarame</t>
  </si>
  <si>
    <t>M. 1423/ Sukarame Baru</t>
  </si>
  <si>
    <t>M. 12731/ Kedaton</t>
  </si>
  <si>
    <t>M. 1975/ Kota Karang</t>
  </si>
  <si>
    <t>HM 12054/SUKABUMI</t>
  </si>
  <si>
    <t>M. 2629/KOTA KARANG</t>
  </si>
  <si>
    <t>HM 250/PENENGAHAN</t>
  </si>
  <si>
    <t>HM 9560/SURABAYA</t>
  </si>
  <si>
    <t>HM 15790/SUKARAME</t>
  </si>
  <si>
    <t>HM 16871/SUKARAME</t>
  </si>
  <si>
    <t>HM 29/NUSANTARA PERMAI</t>
  </si>
  <si>
    <t>M. 270/WAY HALIM PERMAI</t>
  </si>
  <si>
    <t>M. 1891/JAGABAYA III</t>
  </si>
  <si>
    <t>M. 547/KEDAUNG</t>
  </si>
  <si>
    <t>M. 939/PERUMNAS WAY KANDIS</t>
  </si>
  <si>
    <t>B.851/PERUMNAS WAY KANDIS</t>
  </si>
  <si>
    <t>M. 2204/GUNUNG TERANG</t>
  </si>
  <si>
    <t>M.1383/KUPANG TEBA</t>
  </si>
  <si>
    <t>M.11085/GEDONG MENENG</t>
  </si>
  <si>
    <t>M. 12950/ Sukabumi</t>
  </si>
  <si>
    <t>M. 123/ Nusantara Permai</t>
  </si>
  <si>
    <t>M. 9049/ Gedong Meneng</t>
  </si>
  <si>
    <t>B.384/KEMILING PERMAI</t>
  </si>
  <si>
    <t>B.569/RAJABASA NUNYAI</t>
  </si>
  <si>
    <t>M.9663/TANJUNG BARU</t>
  </si>
  <si>
    <t>M.799/RAJABASA RAYA</t>
  </si>
  <si>
    <t>M.2448/KEDAUNG</t>
  </si>
  <si>
    <t>HM 2064/SUKAMAJU</t>
  </si>
  <si>
    <t>HM 988/PENGAJARAN</t>
  </si>
  <si>
    <t>M. 5128/ Rajabasa Jaya</t>
  </si>
  <si>
    <t>M. 586/ Korpri Raya</t>
  </si>
  <si>
    <t>HM 355/SUKABUMI INDAH</t>
  </si>
  <si>
    <t>M. 4325/ Tanjung Senang</t>
  </si>
  <si>
    <t>B.3792/BERINGIN RAYA</t>
  </si>
  <si>
    <t>M. 11691/ Sukabumi</t>
  </si>
  <si>
    <t>M. 1610/ Beringin Jaya</t>
  </si>
  <si>
    <t>M. 2507/ Pinang Jaya</t>
  </si>
  <si>
    <t>M. 1128/ Korpri Jaya</t>
  </si>
  <si>
    <t>M. 9401/ kedamaian</t>
  </si>
  <si>
    <t>M. 9247/ Kedaton</t>
  </si>
  <si>
    <t>M. 3661/ Way kandis</t>
  </si>
  <si>
    <t>M. 4498/ Keteguhan</t>
  </si>
  <si>
    <t>M. 3197/ Labuhan Dalam</t>
  </si>
  <si>
    <t>M. 12622/ Tanjung Baru</t>
  </si>
  <si>
    <t>M. 14428/ Sukabumi</t>
  </si>
  <si>
    <t>M. 1369/ Bumi Raya</t>
  </si>
  <si>
    <t>M.2274/RAJABASA RAYA</t>
  </si>
  <si>
    <t>M.3528/BERINGIN RAYA</t>
  </si>
  <si>
    <t>B.906/SUKARAME BARU</t>
  </si>
  <si>
    <t>M. 459/ Sukabumi Indah</t>
  </si>
  <si>
    <t>M.1090/RAJABASA NUNYAI</t>
  </si>
  <si>
    <t>M.1068/TANJUNGKARANG</t>
  </si>
  <si>
    <t>HM 11570/SEGALA MIDER</t>
  </si>
  <si>
    <t>M. 197/ Negeri Olok Gading</t>
  </si>
  <si>
    <t>M. 1128/ Keteguhan</t>
  </si>
  <si>
    <t>M. 9937/ Jagabaya II</t>
  </si>
  <si>
    <t>M. 1390/ Gunung Sulah</t>
  </si>
  <si>
    <t>M. 2851/ Sukarame Baru</t>
  </si>
  <si>
    <t>HM 2200/KETEGUHAN</t>
  </si>
  <si>
    <t>HM 2197/KETEGUHAN</t>
  </si>
  <si>
    <t>M. 773/ Rajabasa Pemuka</t>
  </si>
  <si>
    <t>M.14197/KEDAMAIAN</t>
  </si>
  <si>
    <t>HM 11062/8KEDATON</t>
  </si>
  <si>
    <t>M.12661/KALI BALAU KENCANA</t>
  </si>
  <si>
    <t>M. 1209/ Labuhan Ratu Raya</t>
  </si>
  <si>
    <t>M. 1058/ Rajabasa Pemuka</t>
  </si>
  <si>
    <t>M. 2254/ Rajabasa Raya</t>
  </si>
  <si>
    <t>M. 4717/ Rajabasa Jaya</t>
  </si>
  <si>
    <t>M. 3215/ Gedong Air</t>
  </si>
  <si>
    <t>M. 17731/ Sukarame I</t>
  </si>
  <si>
    <t>M.3374/KEMILING PERMAI</t>
  </si>
  <si>
    <t>M.20/TALANG</t>
  </si>
  <si>
    <t>M. 632/ Pahoman</t>
  </si>
  <si>
    <t>B. 145/ Gunung Sari</t>
  </si>
  <si>
    <t>M. 918/ Jagabaya III</t>
  </si>
  <si>
    <t>M. 3218/ Way Kandis</t>
  </si>
  <si>
    <t>M. 255/ Pesawahan</t>
  </si>
  <si>
    <t>M. 374/ Sukamenanti Baru</t>
  </si>
  <si>
    <t>B. 151/ Nusantara Permai</t>
  </si>
  <si>
    <t>B. 161/ Gunung Sari</t>
  </si>
  <si>
    <t xml:space="preserve">M.206/GUNUNG MAS </t>
  </si>
  <si>
    <t>M.713/TANJUNG SENENG</t>
  </si>
  <si>
    <t>M.84/GUNUNG MAS</t>
  </si>
  <si>
    <t>M.664/CAMPANG JAYA</t>
  </si>
  <si>
    <t>M.5746/TANJUNG SENENG</t>
  </si>
  <si>
    <t xml:space="preserve">M.19648/SUKARAME </t>
  </si>
  <si>
    <t>HGB 1368/PINNAG JAYA</t>
  </si>
  <si>
    <t>HM 564/RAJABASA RAYA</t>
  </si>
  <si>
    <t>HM 11446/SEGALA MIDER</t>
  </si>
  <si>
    <t>HM 11926/SUKABUMI</t>
  </si>
  <si>
    <t>HM 63/TANJUNG AGUNG</t>
  </si>
  <si>
    <t>HM 12255/SEGALA MIDER</t>
  </si>
  <si>
    <t>HM 2676/SUKADANA HAM</t>
  </si>
  <si>
    <t>M. 9659/KEDAMAIAN</t>
  </si>
  <si>
    <t>B. 2303/BERINGIN RAYA</t>
  </si>
  <si>
    <t>M. 1032/SUKARAME BARU</t>
  </si>
  <si>
    <t>M.9997/KAMPUNG BARU</t>
  </si>
  <si>
    <t>M. 556/SUKARAME BARU</t>
  </si>
  <si>
    <t>B. 816/SUMUR PUTRI</t>
  </si>
  <si>
    <t>B. 1214/RAJABASA</t>
  </si>
  <si>
    <t>M. 2275/PINANG JAYA</t>
  </si>
  <si>
    <t>M.15467, M.18138/SUKARAME</t>
  </si>
  <si>
    <t>M. 3691 ; 3690/ Nusantara Permai</t>
  </si>
  <si>
    <t>M. 1573/ Sukarame Baru</t>
  </si>
  <si>
    <t>M. 1220/ Kangkung</t>
  </si>
  <si>
    <t>M. 2680/KEMILING PERMAI</t>
  </si>
  <si>
    <t>M. 6265/ Way Kandis</t>
  </si>
  <si>
    <t xml:space="preserve">HM 16108/SUKARAME </t>
  </si>
  <si>
    <t>HM 12006/SUKABUMI</t>
  </si>
  <si>
    <t>B. 22/ Labuhan Ratu</t>
  </si>
  <si>
    <t>K/13/240625/1</t>
  </si>
  <si>
    <t>M. 439/ Kota Karang Raya</t>
  </si>
  <si>
    <t>M. 1043/ Negeri olok gading</t>
  </si>
  <si>
    <t>M. 919/ Jagabaya III</t>
  </si>
  <si>
    <t>M. 4538/ Gunung Terang</t>
  </si>
  <si>
    <t>M. 801/ Negeri Olok Gading</t>
  </si>
  <si>
    <t>M. 14993/ Rajabasa</t>
  </si>
  <si>
    <t>HM 2035/KUPANG TEBA</t>
  </si>
  <si>
    <t>HM 13589/LABUHAN RATU</t>
  </si>
  <si>
    <t>HM 13538/LABUHAN RATU</t>
  </si>
  <si>
    <t>M.12361/SUKABUMI</t>
  </si>
  <si>
    <t xml:space="preserve"> M.1117/PERUMNAS WAY KANDIS</t>
  </si>
  <si>
    <t>M. 3689/NUSANTARA PERMAI</t>
  </si>
  <si>
    <t>HM 12859/BERINGIN RAYA</t>
  </si>
  <si>
    <t>HM 1156/PENENGAHAN</t>
  </si>
  <si>
    <t>M.4718/RAJABASA JAYA</t>
  </si>
  <si>
    <t>HM 9897</t>
  </si>
  <si>
    <t>HM 66/SEPANG JAYA</t>
  </si>
  <si>
    <t>HM 981/SEPANG JAYA</t>
  </si>
  <si>
    <t>M. 565/SUKARAME BARU</t>
  </si>
  <si>
    <t>M. 2240/CAMPANG RAYA</t>
  </si>
  <si>
    <t>M. 11620/ Tanjung Baru</t>
  </si>
  <si>
    <t>M. 998 / BATU PUTUK</t>
  </si>
  <si>
    <t>M. 9865/ Kampung Baru</t>
  </si>
  <si>
    <t>M. 2463/ Sukarame Baru</t>
  </si>
  <si>
    <t>M. 3220/ Way Kandis</t>
  </si>
  <si>
    <t>M. 3150/ Beringin Raya</t>
  </si>
  <si>
    <t>M. 419/SUKARAME II</t>
  </si>
  <si>
    <t>M. 12938/JAGABAYA II</t>
  </si>
  <si>
    <t>B. 4412/SUKABUMI</t>
  </si>
  <si>
    <t>M. 10290/ SUkabumi</t>
  </si>
  <si>
    <t xml:space="preserve">M.405/PALAPA </t>
  </si>
  <si>
    <t>M.542/SEPANG JAYA</t>
  </si>
  <si>
    <t>M.2698/SUKARAME BARU</t>
  </si>
  <si>
    <t>M. 2897/ Beringin Jaya</t>
  </si>
  <si>
    <t>HGB 1370/PINANG JAYA</t>
  </si>
  <si>
    <t>M. 493/ Kota Sepang</t>
  </si>
  <si>
    <t>M. 1398/ Rajabasa Pemuka</t>
  </si>
  <si>
    <t>M. 4442/ Gunung Terang</t>
  </si>
  <si>
    <t>M. 12749/ Sukabumi</t>
  </si>
  <si>
    <t>M. 2535/ Pinang Jaya</t>
  </si>
  <si>
    <t>M. 962/ Korpri Jaya</t>
  </si>
  <si>
    <t>B. 2163/ Sukarame</t>
  </si>
  <si>
    <t>M. 78/ Langkapura Baru</t>
  </si>
  <si>
    <t>M. 4928/ Sukadana Ham</t>
  </si>
  <si>
    <t>M. 2583/ Sukarame II</t>
  </si>
  <si>
    <t>M. 1496/ Rawa Laut</t>
  </si>
  <si>
    <t>M.3651/SURABAYA</t>
  </si>
  <si>
    <t>M.1576/SUMBER AGUNG</t>
  </si>
  <si>
    <t>M.641/SUSUNAN BARU</t>
  </si>
  <si>
    <t>M.816/WAY DADI</t>
  </si>
  <si>
    <t>B.4618/SUKABUMI</t>
  </si>
  <si>
    <t>HM 1554/WHP</t>
  </si>
  <si>
    <t>HM 2560/GUNUNG TERANG</t>
  </si>
  <si>
    <t>M.1017/LABUHAN RATU RAYA</t>
  </si>
  <si>
    <t>M. 806/ Rawa Laut</t>
  </si>
  <si>
    <t>M. 1638/ Rajabasa Pemuka</t>
  </si>
  <si>
    <t>M. 9437/ Labuhan Ratu</t>
  </si>
  <si>
    <t>M. 11085/ Sukabumi</t>
  </si>
  <si>
    <t>M. 583/ Bumi Raya</t>
  </si>
  <si>
    <t>M.551/PERUMNAS WAY HALIM</t>
  </si>
  <si>
    <t>B. 177/ Labuhan Ratu Raya</t>
  </si>
  <si>
    <t>M. 525/ Sukabumi Indah</t>
  </si>
  <si>
    <t>B. 166/ Way Laga</t>
  </si>
  <si>
    <t>M. 1820/ Tanjung Seneng</t>
  </si>
  <si>
    <t>M. 941/ Batu Putuk</t>
  </si>
  <si>
    <t>M. 1616/ Rajabasa Nunyai</t>
  </si>
  <si>
    <t>M. 290/ Sukaraja</t>
  </si>
  <si>
    <t>M. 178/ Kaliawi Persada</t>
  </si>
  <si>
    <t>M. 5576/ way kandis</t>
  </si>
  <si>
    <t>M. 596/ Korpri Raya</t>
  </si>
  <si>
    <t>B. 146/ Gunung Sari</t>
  </si>
  <si>
    <t>M. 12339/ Jagabaya II</t>
  </si>
  <si>
    <t>M.2696/SUKARAME BARU</t>
  </si>
  <si>
    <t>B. 1497/ Kemiling Permai</t>
  </si>
  <si>
    <t>M. 256/ Gunung Mas</t>
  </si>
  <si>
    <t>M. 424/ Bumi Kedamaian</t>
  </si>
  <si>
    <t>B.666/ Kemiling Permai</t>
  </si>
  <si>
    <t>HM 2532/GUNUNG TERANG</t>
  </si>
  <si>
    <t>HM 12359/LABUHAN RATU</t>
  </si>
  <si>
    <t>HM 338/KELAPA TIGA PERMAI</t>
  </si>
  <si>
    <t>HGB 491/KETEGUHAN</t>
  </si>
  <si>
    <t>HM 2248/GEDONG AIR</t>
  </si>
  <si>
    <t>HM 480/GARUNTANG</t>
  </si>
  <si>
    <t>HM 12957/SUKABUMI</t>
  </si>
  <si>
    <t>M. 647/PERWATA</t>
  </si>
  <si>
    <t>M. 900/ KORPRI JAYA</t>
  </si>
  <si>
    <t>M. 2138/ Labuhan Ratu Raya</t>
  </si>
  <si>
    <t>B. 570/ rajabsa nunyai</t>
  </si>
  <si>
    <t>B. 1199/ Way Halim Permai</t>
  </si>
  <si>
    <t>M. 13039/ Beringin Raya</t>
  </si>
  <si>
    <t>M. 447/ Palapa</t>
  </si>
  <si>
    <t>M. 1233/ Kota Baru</t>
  </si>
  <si>
    <t>M. 1501/ Rajabasa Nunyai</t>
  </si>
  <si>
    <t>M. 2086/ Sumber Agung</t>
  </si>
  <si>
    <t>M. 1489/ Keteguhan</t>
  </si>
  <si>
    <t>M. 1607/ Kemiling Raya</t>
  </si>
  <si>
    <t>M. 2331/ Rajabasa Jaya</t>
  </si>
  <si>
    <t>MARS 284/SUMUR PUTRI</t>
  </si>
  <si>
    <t>M. 5203/ Way Kandis</t>
  </si>
  <si>
    <t>HGB 1215/SUKABUMI INDAH</t>
  </si>
  <si>
    <t>HM 4952/TANJUNG SENANG</t>
  </si>
  <si>
    <t>HM 1303/WAY LUNIK</t>
  </si>
  <si>
    <t>K/25/170725/1</t>
  </si>
  <si>
    <t>HGB 3237/SUKABUMI</t>
  </si>
  <si>
    <t>M. 310/ Nusantara Permai</t>
  </si>
  <si>
    <t>M. 2665/ Kota Karang</t>
  </si>
  <si>
    <t>M.1447/TELUKBETUNG</t>
  </si>
  <si>
    <t>M.10717/SEGALA MIDER</t>
  </si>
  <si>
    <t>M.577/KORPRI RAYA</t>
  </si>
  <si>
    <t>M.116/KALIAWI PERSADA</t>
  </si>
  <si>
    <t>M.502/SEPANG JAYA</t>
  </si>
  <si>
    <t>M.1040/SUKARAME II</t>
  </si>
  <si>
    <t>M.2056/RAJABASA RAYA</t>
  </si>
  <si>
    <t>M.224/PERWATA</t>
  </si>
  <si>
    <t>M.15538/SUKABUMI</t>
  </si>
  <si>
    <t>M.596/RAJABASA PEMUKA</t>
  </si>
  <si>
    <t>M. 2576/ Sumber Agung</t>
  </si>
  <si>
    <t>B. 638/ Sukamaju</t>
  </si>
  <si>
    <t>M. 4080/ Langkapura</t>
  </si>
  <si>
    <t>M. 14992/ Rajabasa</t>
  </si>
  <si>
    <t>M. 5481/ Tanjung Senang</t>
  </si>
  <si>
    <t>M. 2723/ Sumberrejo</t>
  </si>
  <si>
    <t>M. 2712/ Sukarame II</t>
  </si>
  <si>
    <t>M. 66/ Sukarame</t>
  </si>
  <si>
    <t>M. 1516/ Batu Putuk</t>
  </si>
  <si>
    <t>M. 888/SUMBER REJO</t>
  </si>
  <si>
    <t>M. 1146/KORPRI JAYA</t>
  </si>
  <si>
    <t>M. 3377/KEMILING PERMAI</t>
  </si>
  <si>
    <t>M. 3013/SUKARAME BARU</t>
  </si>
  <si>
    <t>M.3498/RAJABASA JAYA</t>
  </si>
  <si>
    <t>HM 1070/BAKUNG</t>
  </si>
  <si>
    <t>M. 5491/ Rajabasa Jaya</t>
  </si>
  <si>
    <t>HM 1155/LANGKAPURA</t>
  </si>
  <si>
    <t>HM 12146JAGABAYA II</t>
  </si>
  <si>
    <t>M. 2439/ Kedaung</t>
  </si>
  <si>
    <t>B. 584/ Nusantara Permai</t>
  </si>
  <si>
    <t>B. 583/ Nusantara Permai</t>
  </si>
  <si>
    <t>M. 2441/ Kedaung</t>
  </si>
  <si>
    <t>M. 14102/ Sukabumi</t>
  </si>
  <si>
    <t>M. 1599/ Kemiling Raya</t>
  </si>
  <si>
    <t>M. 1894/ Batu Putuk</t>
  </si>
  <si>
    <t>M. 15520/ Sukarame</t>
  </si>
  <si>
    <t>M. 178/ Sumur Putri</t>
  </si>
  <si>
    <t>M. 2849/ Beringin Raya</t>
  </si>
  <si>
    <t>M. 683/PALAPA</t>
  </si>
  <si>
    <t>M. 1464/KEMILING PERMAI</t>
  </si>
  <si>
    <t>M. 13520/SUKARAME</t>
  </si>
  <si>
    <t>M. 726/RAJABASA NUNYAI</t>
  </si>
  <si>
    <t>M. 1767/RAJABASA NUNYAI</t>
  </si>
  <si>
    <t>B. 204/KOTA BARU</t>
  </si>
  <si>
    <t>M. 9259/ Kedamaian</t>
  </si>
  <si>
    <t>M. 5353/ Tanjung Senang</t>
  </si>
  <si>
    <t>B. 680/ Kemiling Permai</t>
  </si>
  <si>
    <t>M. 2219/ Tanjung Seneng</t>
  </si>
  <si>
    <t>M.937/BUMI KEDAMAIAN</t>
  </si>
  <si>
    <t>M.1667/BUMI KEDAMAIAN</t>
  </si>
  <si>
    <t>M. 1436/ Kali Balau Kencana</t>
  </si>
  <si>
    <t>M.1124/LANGKAPURA</t>
  </si>
  <si>
    <t>B.137/SUKARAME I</t>
  </si>
  <si>
    <t>M.872/SUKABUMI INDAH</t>
  </si>
  <si>
    <t>HM 14/GUNUNG TERANG</t>
  </si>
  <si>
    <t>M. 12376/ Jagabaya II</t>
  </si>
  <si>
    <t>M. 2587/ Sukarame Baru</t>
  </si>
  <si>
    <t>M.9531/KEDATON</t>
  </si>
  <si>
    <t>M.4706/BERINGIN RAYA</t>
  </si>
  <si>
    <t>M.1159/KALIAWI</t>
  </si>
  <si>
    <t>M.415/KORPRI RAYA</t>
  </si>
  <si>
    <t>M.1522/GUNUNG TERANG</t>
  </si>
  <si>
    <t>M. 1860/SUSUNAN BARU</t>
  </si>
  <si>
    <t>HM 17838/SUKARAME I</t>
  </si>
  <si>
    <t>HM 9909/KAMPUNG BARU</t>
  </si>
  <si>
    <t xml:space="preserve">HM 296/SUMBEREJO K </t>
  </si>
  <si>
    <t>M. 13966/SUKARAME</t>
  </si>
  <si>
    <t>M. 646/PALAPA</t>
  </si>
  <si>
    <t>M. 16109/ Sukabumi</t>
  </si>
  <si>
    <t>M. 2614/ Kupang Teba</t>
  </si>
  <si>
    <t>M. 436/ Kali Balau Kencana</t>
  </si>
  <si>
    <t>B. 2141/ Sukarame I</t>
  </si>
  <si>
    <t>M. 5084/ Rajabasa Jaya</t>
  </si>
  <si>
    <t>M. 1311/ Tanjung Karang</t>
  </si>
  <si>
    <t>M. 542/ Labuhan Dalam</t>
  </si>
  <si>
    <t>M. 2400/ Campang Jaya</t>
  </si>
  <si>
    <t>B. 1365/ Pinang Jaya</t>
  </si>
  <si>
    <t xml:space="preserve">M.6130/WAY KANDIS </t>
  </si>
  <si>
    <t>M.606/BUMI KEDAMAIAN</t>
  </si>
  <si>
    <t>M. 1899/ Sumber Agung</t>
  </si>
  <si>
    <t>M. 9753/ Sidodadi</t>
  </si>
  <si>
    <t>M. 1867/ Rajabasa Nunyai</t>
  </si>
  <si>
    <t>M. 3737/ Tj Seneng</t>
  </si>
  <si>
    <t>M. 1634/ Rajabsa Pemuka</t>
  </si>
  <si>
    <t>M. 2873/SUKARAME BARU</t>
  </si>
  <si>
    <t>M. 2875/SUKARAME BARU</t>
  </si>
  <si>
    <t>HM 2059/SUMBEREJO K</t>
  </si>
  <si>
    <t>HM 656/NOG</t>
  </si>
  <si>
    <t>M. 10785/ Gedong Meneng</t>
  </si>
  <si>
    <t>M.2169/SEPANG JAYA</t>
  </si>
  <si>
    <t>M.13176/RAJABASA</t>
  </si>
  <si>
    <t>M. 1050/ Gunung Agung</t>
  </si>
  <si>
    <t>M. 4721/ Rajabasa Jaya</t>
  </si>
  <si>
    <t>M. 338/ Sukabumi Indah</t>
  </si>
  <si>
    <t>M,2363/SUMBER AGUNG</t>
  </si>
  <si>
    <t>B.611/SUKAMAJU</t>
  </si>
  <si>
    <t>B.493/BAKUNG</t>
  </si>
  <si>
    <t>M.1879/LABUHAN DALAM</t>
  </si>
  <si>
    <t>M. 11744/SEGALA MIDER</t>
  </si>
  <si>
    <t>M.1880/LABUHAN DALAM</t>
  </si>
  <si>
    <t>M.1927/SUMUR BATU</t>
  </si>
  <si>
    <t xml:space="preserve">M.12627/SEGALA MIDER </t>
  </si>
  <si>
    <t>M.16753/SUKABUMI</t>
  </si>
  <si>
    <t>M. 12589/SUKARAME</t>
  </si>
  <si>
    <t>M. 1205/BUMI KEDAMAIAN</t>
  </si>
  <si>
    <t>M.1330, M. 1331/PESAWAHAN</t>
  </si>
  <si>
    <t>M. 400/KALIAWI</t>
  </si>
  <si>
    <t>M. 13770/SUKABUMI</t>
  </si>
  <si>
    <t>M. 13475/TANJUNG BARU</t>
  </si>
  <si>
    <t>M. 1712/NEGERI OLOK GADING</t>
  </si>
  <si>
    <t>M.2516/PINANG JAYA</t>
  </si>
  <si>
    <t>M. 2527/PINANG JAYA</t>
  </si>
  <si>
    <t>M. 3171/SUKARAME BARU</t>
  </si>
  <si>
    <t>M.2397/Sumberrejo</t>
  </si>
  <si>
    <t>M. 4797/ LANGKAPURA</t>
  </si>
  <si>
    <t>M. 2019/ Kali Balai Kencana</t>
  </si>
  <si>
    <t>M. 1911/SUKARAME BARU</t>
  </si>
  <si>
    <t>HGB 123/Kemiling Permai</t>
  </si>
  <si>
    <t>M. 3692/ Nusantara Permai</t>
  </si>
  <si>
    <t>M. 2208/ Sukamaju</t>
  </si>
  <si>
    <t>M. 2391/ Langkapura</t>
  </si>
  <si>
    <t>M. 602/ Sumber Agung</t>
  </si>
  <si>
    <t>B. 841/ Perumnas Way Kandis</t>
  </si>
  <si>
    <t>M. 12729/ Kedamaian</t>
  </si>
  <si>
    <t>M. 12728/ Kedamaian</t>
  </si>
  <si>
    <t>M. 1380/ Way Lunik</t>
  </si>
  <si>
    <t>M. 14371/ Sukabumi</t>
  </si>
  <si>
    <t>M. 2473/ Sukarame Baru</t>
  </si>
  <si>
    <t>B. 624/ Sumber Agung</t>
  </si>
  <si>
    <t>M. 10239/ Sukamenanti</t>
  </si>
  <si>
    <t>M. 2730/ Sukarame II</t>
  </si>
  <si>
    <t>M. 2400/ Pinang Jaya</t>
  </si>
  <si>
    <t>M. 2440/ Kedaung</t>
  </si>
  <si>
    <t>M. 463/ Pinang Jaya</t>
  </si>
  <si>
    <t>M. 2457/ Kedaung</t>
  </si>
  <si>
    <t>M.303/PERUMNAS WAY HALIM</t>
  </si>
  <si>
    <t>M.483/SUKARAME BARU</t>
  </si>
  <si>
    <t>B.499/SUMBER AGUNG</t>
  </si>
  <si>
    <t>M. 787/ Kuripan</t>
  </si>
  <si>
    <t>M.367/TANJUNG SENANG</t>
  </si>
  <si>
    <t>M.187,M.457/PIDADA</t>
  </si>
  <si>
    <t>M.1768/RAJABASA NUNYAI</t>
  </si>
  <si>
    <t>M. 1414/SUKABUMI INDAH</t>
  </si>
  <si>
    <t>M.1073/KEMILING RAYA</t>
  </si>
  <si>
    <t>M. 9821/ Gedung Meneng</t>
  </si>
  <si>
    <t>B. 19/ Perwata</t>
  </si>
  <si>
    <t>M. 1714/ Sukajawa</t>
  </si>
  <si>
    <t>M. 1713/ Sukajawa</t>
  </si>
  <si>
    <t>M. 18194/ Sukarame</t>
  </si>
  <si>
    <t>B. 772/ Sumur Putri</t>
  </si>
  <si>
    <t>M. 1086/ Susunan Baru</t>
  </si>
  <si>
    <t>M. 594/ Korpri Raya</t>
  </si>
  <si>
    <t>M. 2621/ Pinang Jaya</t>
  </si>
  <si>
    <t>B. 267/TANJUNG SENANG</t>
  </si>
  <si>
    <t>M. 2560/ Sumber Agung</t>
  </si>
  <si>
    <t>B. 370/ Kemiling Permai</t>
  </si>
  <si>
    <t>M. 239/ Korpri Jaya</t>
  </si>
  <si>
    <t>M. 99/ Bilabong Jaya</t>
  </si>
  <si>
    <t>M. 53/ Gulak Galik</t>
  </si>
  <si>
    <t>B. 696/NEGERI OLOK GADING</t>
  </si>
  <si>
    <t>M. 276/ Rajabasa Pemuka</t>
  </si>
  <si>
    <t>B. 616/ Nusantara Permai</t>
  </si>
  <si>
    <t>HGB 37/RAJABASA PEMUKA</t>
  </si>
  <si>
    <t>HGB 1112/SUKABUMI INDAH</t>
  </si>
  <si>
    <t>HM 71/SUMBEREJO</t>
  </si>
  <si>
    <t>HM 648/WHP</t>
  </si>
  <si>
    <t>B.2412/CAMPANG JAYA</t>
  </si>
  <si>
    <t>M.8742/SUKABUMI</t>
  </si>
  <si>
    <t xml:space="preserve">M.14138/SUKARAME </t>
  </si>
  <si>
    <t>M.4251/GUNUNG TERANG</t>
  </si>
  <si>
    <t>M. 1134/ Sukamaju</t>
  </si>
  <si>
    <t>M.15008/RAJABASA</t>
  </si>
  <si>
    <t xml:space="preserve">M.17180/SUKARAME </t>
  </si>
  <si>
    <t>M. 12984/SEGALA MIDER</t>
  </si>
  <si>
    <t>M. 3506/BERINGIN RAYA</t>
  </si>
  <si>
    <t>M.19754/SUKARAME</t>
  </si>
  <si>
    <t>M. 965/LANGKAPURA BARU</t>
  </si>
  <si>
    <t>B. 179/SUMBERREJO SEJAHTERA</t>
  </si>
  <si>
    <t>M. 3260/ Kota Karang</t>
  </si>
  <si>
    <t>M.6552/TANJUNG SENENG</t>
  </si>
  <si>
    <t>B. 1842/ Beringin Raya</t>
  </si>
  <si>
    <t>M. 1901/ Kota Baru</t>
  </si>
  <si>
    <t>M. 124/ Gedung Meneng Baru</t>
  </si>
  <si>
    <t>M. 5521/ Rajabasa Jaya</t>
  </si>
  <si>
    <t>M. 2041/ Gunung Terang</t>
  </si>
  <si>
    <t xml:space="preserve">M. 1718/ Kupang </t>
  </si>
  <si>
    <t>M. 2555/ Keteguhan</t>
  </si>
  <si>
    <t>M.112/RAJABASA NUNYAI</t>
  </si>
  <si>
    <t>HM 602/KEMILING RAYA</t>
  </si>
  <si>
    <t>HM 244/GUNUNG SULAH</t>
  </si>
  <si>
    <t>M. 2151/ Sukadana Ham</t>
  </si>
  <si>
    <t>M. 178/ Way Kandis</t>
  </si>
  <si>
    <t>M. 1567/ Bumi Kedamaian</t>
  </si>
  <si>
    <t>M. 13156/ Beringin Raya</t>
  </si>
  <si>
    <t>M. 1162/ Tanjung Gading</t>
  </si>
  <si>
    <t>M. 9241/ Way Halim Permai</t>
  </si>
  <si>
    <t>M. 1857/ sumberrejo sejahtera</t>
  </si>
  <si>
    <t>M. 2311/ Pinang Jaya</t>
  </si>
  <si>
    <t>M. 2521/ Pinang Jaya</t>
  </si>
  <si>
    <t>M. 965/ Perumnas way kandis</t>
  </si>
  <si>
    <t>M. 1071/ Gunung terang</t>
  </si>
  <si>
    <t>M. 12189/ Rajabasa</t>
  </si>
  <si>
    <t>B.610/SUKAMAJU</t>
  </si>
  <si>
    <t>M.2371/SUMBER AGUNG</t>
  </si>
  <si>
    <t>M.1559/NEGERI OLOK GADING</t>
  </si>
  <si>
    <t>M.193/NUSANTARA PERMAI</t>
  </si>
  <si>
    <t>M.872/PASIR GINTUNG</t>
  </si>
  <si>
    <t>M.2758/KEMILING PERMAI</t>
  </si>
  <si>
    <t>M.1852/WAY LAGA</t>
  </si>
  <si>
    <t>M.1304/KEMILING RAYA</t>
  </si>
  <si>
    <t>M.1105/SUKARAME BARU</t>
  </si>
  <si>
    <t>M.3458/BERINGIN RAYA</t>
  </si>
  <si>
    <t>M.12662/BERINGIN RAYA</t>
  </si>
  <si>
    <t>M. 3125/ Beringin Raya</t>
  </si>
  <si>
    <t>M. 27/ Nusantara Permai</t>
  </si>
  <si>
    <t>M. 2158/ Labuhan Ratu Raya</t>
  </si>
  <si>
    <t>M. 12054/ Rajabasa</t>
  </si>
  <si>
    <t>M.14074/SUKABUMI</t>
  </si>
  <si>
    <t>M.1981/SUMBEREJO SEJAHTERA</t>
  </si>
  <si>
    <t>M.1251/KALI BALAU KENCANA</t>
  </si>
  <si>
    <t>M.10502/KAMPUNG BARU</t>
  </si>
  <si>
    <t>M. 946/SUKARAJA</t>
  </si>
  <si>
    <t>M. 3384/GUNUNG TERANG</t>
  </si>
  <si>
    <t>M. 232/BILABONG JAYA</t>
  </si>
  <si>
    <t>M.4338/WAY KANDIS</t>
  </si>
  <si>
    <t>B.3040/SUKABUMI</t>
  </si>
  <si>
    <t>M. 19606/ Sukarame</t>
  </si>
  <si>
    <t>B. 1502/KEMILING PERMAI</t>
  </si>
  <si>
    <t>M. 12615 / KEDATON</t>
  </si>
  <si>
    <t>M. 3960/SUKADANA HAM</t>
  </si>
  <si>
    <t>HM 2068/PWH</t>
  </si>
  <si>
    <t>M. 14869/ Sukarame</t>
  </si>
  <si>
    <t>M. 2726/ Bumi Waras</t>
  </si>
  <si>
    <t>M. 2793/ Keteguhan</t>
  </si>
  <si>
    <t>M. 1487/ Kota Karang</t>
  </si>
  <si>
    <t>B. 4883/ Beringin Raya</t>
  </si>
  <si>
    <t>M. 1124/ Pematang Wangi</t>
  </si>
  <si>
    <t>M. 2405/ Negeri Olok Gading</t>
  </si>
  <si>
    <t>M. 2614/ Pinang Jaya</t>
  </si>
  <si>
    <t>M. 789/ Sepang Jaya</t>
  </si>
  <si>
    <t>M. 450/ Kota Sepang</t>
  </si>
  <si>
    <t>M. 5624/ Langkapura</t>
  </si>
  <si>
    <t>M. 2539/ Sumber Agung</t>
  </si>
  <si>
    <t>B. 2407/ Campang Jaya</t>
  </si>
  <si>
    <t>M. 11772/ Tanjung BAru</t>
  </si>
  <si>
    <t>HGB 1595/BUMI KEDAMAIAN</t>
  </si>
  <si>
    <t>HM 12784/RAJABASA</t>
  </si>
  <si>
    <t>HM 2726/KEMILING PERMAI</t>
  </si>
  <si>
    <t>HGB 1366/PINANG JAYA</t>
  </si>
  <si>
    <t>HM 608/PWH</t>
  </si>
  <si>
    <t>M. 83/KETAPANG</t>
  </si>
  <si>
    <t>M. 1373/RAWA LAUT</t>
  </si>
  <si>
    <t>M.113/RAJABASA NUNYAI</t>
  </si>
  <si>
    <t>M.2370/SUMBER AGUNG</t>
  </si>
  <si>
    <t>M.2362/SUMBER AGUNG</t>
  </si>
  <si>
    <t>M.6557/TANJUNG SENENG</t>
  </si>
  <si>
    <t>B. 1004/CAMPANG JAYA</t>
  </si>
  <si>
    <t>M.58/PESAWAHAN DAN M.668/PESAWAHAN</t>
  </si>
  <si>
    <t>M.973/JAGABAYA III</t>
  </si>
  <si>
    <t>M.4226/BERINGIN RAYA</t>
  </si>
  <si>
    <t>M. 2388/PINANG JAYA</t>
  </si>
  <si>
    <t>M. 13768/ Sukabumi</t>
  </si>
  <si>
    <t>M. 68/ Bilabong Jaya</t>
  </si>
  <si>
    <t>M. 5748/ Way Kandis</t>
  </si>
  <si>
    <t>M. 2127/ Sukarame II</t>
  </si>
  <si>
    <t>M. 1039/ Tanjung Gading</t>
  </si>
  <si>
    <t>K/9/300725/1</t>
  </si>
  <si>
    <t>M.1016/ENGGAL</t>
  </si>
  <si>
    <t>M. 1855/ Rajabasa Nunyai</t>
  </si>
  <si>
    <t>M. 11267/ Rajabasa</t>
  </si>
  <si>
    <t>B. 2413/ Campang Jaya</t>
  </si>
  <si>
    <t>HM 12640/SEGALA MIDER</t>
  </si>
  <si>
    <t>M. 3357/ Kemiling Permai</t>
  </si>
  <si>
    <t>M. 1568/ Bumi Kedamaian</t>
  </si>
  <si>
    <t>M. 2580/ Sumber Agung</t>
  </si>
  <si>
    <t>M. 1821/ Campang Jaya</t>
  </si>
  <si>
    <t>M. 1492, 2305/ Campang Jaya</t>
  </si>
  <si>
    <t>M. 5044/ Rajabasa Jaya</t>
  </si>
  <si>
    <t>M. 13967/ Labuhan Ratu</t>
  </si>
  <si>
    <t>HM 591/KEMILING RAYA</t>
  </si>
  <si>
    <t>HM 5733/WAY KANDIS</t>
  </si>
  <si>
    <t>HM 11463/SUKABUMI</t>
  </si>
  <si>
    <t>HM 3465/TANJUNG SENANG</t>
  </si>
  <si>
    <t>M.2620/SUMBER AGUNG</t>
  </si>
  <si>
    <t>M. 2304/SEPANG JAYA</t>
  </si>
  <si>
    <t>M. 5159/RAJABASA JAYA</t>
  </si>
  <si>
    <t>HGB 4128/SUKABUMI</t>
  </si>
  <si>
    <t>HM 5368/WAY KANDIS</t>
  </si>
  <si>
    <t>HM 41/SUKARAME BARU</t>
  </si>
  <si>
    <t>M.1090/PERUMNAS WAY HALIM</t>
  </si>
  <si>
    <t>M.15842/SUKARAME</t>
  </si>
  <si>
    <t>M.2306/SEPANG JAYA</t>
  </si>
  <si>
    <t>M. 18341/ Sukarame</t>
  </si>
  <si>
    <t>M. 1215/ Way Kandis</t>
  </si>
  <si>
    <t>M. 868/ Way Halim Permai</t>
  </si>
  <si>
    <t>M. 859/ Sumber Agung</t>
  </si>
  <si>
    <t>M. 1689/ Bumi Kedamaian</t>
  </si>
  <si>
    <t>M. 58/ Enggal</t>
  </si>
  <si>
    <t>B. 1500/ Kemiling Permai</t>
  </si>
  <si>
    <t>M. 964/ Perumnas Way Kandis</t>
  </si>
  <si>
    <t>M. 2545/ Sumber Agung</t>
  </si>
  <si>
    <t>M. 1630/ Rajabasa Nunyai</t>
  </si>
  <si>
    <t>M. 2602/ Sumber Agung</t>
  </si>
  <si>
    <t>M. 1038/ Sukaraja</t>
  </si>
  <si>
    <t>M. 2274/ Way Kandis</t>
  </si>
  <si>
    <t>M. 675/ Jagabaya III</t>
  </si>
  <si>
    <t>M. 4050/ Langkapura</t>
  </si>
  <si>
    <t>M. 1711/Gunung Terang</t>
  </si>
  <si>
    <t>B. 319/ Pematang Wangi</t>
  </si>
  <si>
    <t>M. 16320/ Sukabumi</t>
  </si>
  <si>
    <t>M. 2552/ Pinang Jaya</t>
  </si>
  <si>
    <t>HM 2066/SUKAMAJU</t>
  </si>
  <si>
    <t>HM 16992/SUKARAME</t>
  </si>
  <si>
    <t>HM 12052/SUKABUMI</t>
  </si>
  <si>
    <t>HM 2260/KETEGUHAN</t>
  </si>
  <si>
    <t>HM 703/NOG</t>
  </si>
  <si>
    <t>HGB 4410/SUKABUMI</t>
  </si>
  <si>
    <t>M. 3375/ Kemiling Permai</t>
  </si>
  <si>
    <t>HGB 1371/PINANG JAYA</t>
  </si>
  <si>
    <t>M. 124/ Sumur Putri</t>
  </si>
  <si>
    <t>M. 3358/ Kemiling Permai</t>
  </si>
  <si>
    <t>M. 581/ Sukaraja</t>
  </si>
  <si>
    <t>M. 12713/ Tanjung Baru</t>
  </si>
  <si>
    <t>M. 11394/ LAbuhan Ratu</t>
  </si>
  <si>
    <t>B. 374/ Bakung</t>
  </si>
  <si>
    <t>HM 11783/JAGABAYA II</t>
  </si>
  <si>
    <t xml:space="preserve">M.449, 347/KUPANG TEBA </t>
  </si>
  <si>
    <t>HM 645/KEMILING RAYA</t>
  </si>
  <si>
    <t>M.9141/JAGABAYA II</t>
  </si>
  <si>
    <t>M. 372/ Kangkung</t>
  </si>
  <si>
    <t>M. 1095/ Sukaraja</t>
  </si>
  <si>
    <t>M. 1856/ Rajabasa Nunyai</t>
  </si>
  <si>
    <t>M. 2273/ Sepang Jaya</t>
  </si>
  <si>
    <t>M. 767/ Sumur Putri</t>
  </si>
  <si>
    <t>K/14/240725/1</t>
  </si>
  <si>
    <t>M. 885/ Sumber Agung</t>
  </si>
  <si>
    <t>M.2116/KOTA BARU</t>
  </si>
  <si>
    <t>M.33/NUSANTARA PERMAI</t>
  </si>
  <si>
    <t>M.500/TALANG</t>
  </si>
  <si>
    <t>HM 235/BILABONG JAYA</t>
  </si>
  <si>
    <t>M.2549/SUMBER AGUNG</t>
  </si>
  <si>
    <t>M.2123/LABUHAN DALAM</t>
  </si>
  <si>
    <t>M.4643/WAY KANDIS</t>
  </si>
  <si>
    <t>M.587/KUPANG RAYA</t>
  </si>
  <si>
    <t>M.2893/SUKARAME BARU</t>
  </si>
  <si>
    <t>M.1522/SUKARAME BARU</t>
  </si>
  <si>
    <t>M. 1952/NOG</t>
  </si>
  <si>
    <t>M.532/KEBON JERUK</t>
  </si>
  <si>
    <t>B.606/SUMBER AGUNG</t>
  </si>
  <si>
    <t>M. 9871/KAMPUNG BARU</t>
  </si>
  <si>
    <t>B. 440/KALI BALAU KENCANA</t>
  </si>
  <si>
    <t>B. 915/SUKARAME BARU</t>
  </si>
  <si>
    <t>B. 614/ Nusantara Permai</t>
  </si>
  <si>
    <t>B. 3495/ Sukarame</t>
  </si>
  <si>
    <t>B.815/SUMUR PUTRI</t>
  </si>
  <si>
    <t>M.2578/SUMBER AGUNG</t>
  </si>
  <si>
    <t>M.2596/SUMBER AGUNG</t>
  </si>
  <si>
    <t>M. 2217/SUKARAME BARU</t>
  </si>
  <si>
    <t>M.2583/SUMBER AGUNG</t>
  </si>
  <si>
    <t>M.2547/SUMBER AGUNG</t>
  </si>
  <si>
    <t>M. 2581/ Sumber Agung</t>
  </si>
  <si>
    <t>M. 2265/ Keteguhan</t>
  </si>
  <si>
    <t>HM 4010/LANGKAPURA</t>
  </si>
  <si>
    <t>M. 426/PESWAHAN</t>
  </si>
  <si>
    <t>M. 2540/SUMBER AGUNG</t>
  </si>
  <si>
    <t>M. 13928/ TANJUNG BARU</t>
  </si>
  <si>
    <t>B. 438/KALI BALAU KENCANA</t>
  </si>
  <si>
    <t>M.3376/KEMILING PERMAI</t>
  </si>
  <si>
    <t>M.2803/SUMBER REJO</t>
  </si>
  <si>
    <t>M. 5049/TANJUNG SENANG</t>
  </si>
  <si>
    <t>M. 1598/PENGAJARAN</t>
  </si>
  <si>
    <t>M. 112/Harapan Jaya</t>
  </si>
  <si>
    <t>M. 86/ Langkapura Baru</t>
  </si>
  <si>
    <t>M. 1198/Srengsem</t>
  </si>
  <si>
    <t>M. 17483/Sukarame</t>
  </si>
  <si>
    <t>M. 2899/ Labuhan Dalam</t>
  </si>
  <si>
    <t>M. 2572/ Way Kandis</t>
  </si>
  <si>
    <t>M. 11263/ Tanjung Baru</t>
  </si>
  <si>
    <t>M. 824/Langkapura Baru</t>
  </si>
  <si>
    <t>M. 2613/Sumber Agung</t>
  </si>
  <si>
    <t>M. 272/ Labuhan Ratu Raya</t>
  </si>
  <si>
    <t>B. 151/ Sepang Jaya</t>
  </si>
  <si>
    <t>M. 3483/ Rajabasa Jaya</t>
  </si>
  <si>
    <t>M. 9043/Sukamenanti</t>
  </si>
  <si>
    <t>M.975/RAJABASA NUNYAI</t>
  </si>
  <si>
    <t>M. 12850/SUKARAME</t>
  </si>
  <si>
    <t>M.555/PWH</t>
  </si>
  <si>
    <t>B.3065/SUKABUMI</t>
  </si>
  <si>
    <t>B. 917/ SUKARAME BARU</t>
  </si>
  <si>
    <t>M.10330/KEDAMAIAN</t>
  </si>
  <si>
    <t>M.69/RAJABASA NUNYAI</t>
  </si>
  <si>
    <t>B. 1021/CAMPANG RAYA</t>
  </si>
  <si>
    <t>B. 4181/SUKABUMI</t>
  </si>
  <si>
    <t>M. 2456/KEMILING PERMAI</t>
  </si>
  <si>
    <t>HM 11752/KEDATON</t>
  </si>
  <si>
    <t>HGB 92/BAKUNG</t>
  </si>
  <si>
    <t>M. 12263/SUKABUMI</t>
  </si>
  <si>
    <t>M. 13571/SUKABUMI</t>
  </si>
  <si>
    <t>M. 1174/SUKABUMI INDAH</t>
  </si>
  <si>
    <t>M. 9084/SUKAMENANTI</t>
  </si>
  <si>
    <t>M. 929/Tanjung Senang</t>
  </si>
  <si>
    <t>M. 1438/Kota Baru</t>
  </si>
  <si>
    <t>B. 5641/ Beringin Raya</t>
  </si>
  <si>
    <t>M. 996/ Panjang Utara</t>
  </si>
  <si>
    <t>M. 1369/Gedong Air</t>
  </si>
  <si>
    <t>M. 1434/ Kemiling Permai</t>
  </si>
  <si>
    <t>M. 840/Sumur Putri</t>
  </si>
  <si>
    <t>M. 854/SUMBER REJO</t>
  </si>
  <si>
    <t>B. 2221/SUKABUMI</t>
  </si>
  <si>
    <t>B. 164/CAMPANG RAYA</t>
  </si>
  <si>
    <t>B. 05/SUKAMAJU</t>
  </si>
  <si>
    <t>HM 3692/BERINGIN RAYA</t>
  </si>
  <si>
    <t>B. 407/KEDAMAIAN</t>
  </si>
  <si>
    <t>M. 45/Sukabumi Indah</t>
  </si>
  <si>
    <t>M. 8975/KEDAMAIAN</t>
  </si>
  <si>
    <t>B. 693/KEMILING PERMAI</t>
  </si>
  <si>
    <t>M. 11012/GEDONG MENENG</t>
  </si>
  <si>
    <t>M. 10388/SUKABUMI</t>
  </si>
  <si>
    <t>B. 1005/CAMPANG JAYA</t>
  </si>
  <si>
    <t>M. 1999/LABUHAN DALAM</t>
  </si>
  <si>
    <t>M. 4576/ Gunung Terang</t>
  </si>
  <si>
    <t>M. 12689; 12693;12692; Nibel. M. 746; Nibel. M. 745/ Kedaton</t>
  </si>
  <si>
    <t>B. 599/ SUMUR PUTRI</t>
  </si>
  <si>
    <t>M. 12676/ SUKABUMI</t>
  </si>
  <si>
    <t>HM 9527/JAGABAYA II</t>
  </si>
  <si>
    <t>HM 16489/SUKARAME I</t>
  </si>
  <si>
    <t>HM 1199/WHP</t>
  </si>
  <si>
    <t>B. 4453/SUKABUMI</t>
  </si>
  <si>
    <t>SHM, 406/KEMILING PERMAI</t>
  </si>
  <si>
    <t>M.27/GUNUNG SULAH</t>
  </si>
  <si>
    <t>M. 1348/SRENGSEM</t>
  </si>
  <si>
    <t>M. 14990/ Rajabasa</t>
  </si>
  <si>
    <t>M. 10488/Rajabasa</t>
  </si>
  <si>
    <t>M. 1528/Kedaung</t>
  </si>
  <si>
    <t>B. 27/ Kampung Baru</t>
  </si>
  <si>
    <t xml:space="preserve">M. 1025/ Jagabaya III  </t>
  </si>
  <si>
    <t>M. 2454/ Kedaung</t>
  </si>
  <si>
    <t>M. 1520/ BERINGIN JAYA</t>
  </si>
  <si>
    <t>M. 1013/ NOG</t>
  </si>
  <si>
    <t>M. 10309/ SIDODADI</t>
  </si>
  <si>
    <t>M. 11268/TANJUNG BARU</t>
  </si>
  <si>
    <t>M. 12720/ Sukabumi</t>
  </si>
  <si>
    <t>M. 2824/Campang Raya</t>
  </si>
  <si>
    <t>M. 1288/ Labuhan Ratu Raya</t>
  </si>
  <si>
    <t>M. 600/ Korpri Raya</t>
  </si>
  <si>
    <t>M. 10618/Sidodadi</t>
  </si>
  <si>
    <t>M. 1282/GEDONG AIR</t>
  </si>
  <si>
    <t>M.5743/TANJUNG SENENG</t>
  </si>
  <si>
    <t>HM 10217/JAGABAYA II</t>
  </si>
  <si>
    <t>M. 1226/Perumnas Way Kandis</t>
  </si>
  <si>
    <t>M. 11348/ KEDAMAIAN</t>
  </si>
  <si>
    <t>B. 737/ KEMILING PERMAI</t>
  </si>
  <si>
    <t>M. 2425/ Sukajawa</t>
  </si>
  <si>
    <t>M. 13919/ TANJUNG BARU</t>
  </si>
  <si>
    <t>B. 834/ Beringin Jaya</t>
  </si>
  <si>
    <t>M. 333/PERWATA</t>
  </si>
  <si>
    <t>M. 2631/ BUMI WARAS</t>
  </si>
  <si>
    <t>M. 3656/ WAY KANDIS</t>
  </si>
  <si>
    <t>M. 217/Sukajawa Baru</t>
  </si>
  <si>
    <t>M. 1727/ KETEGUHAN</t>
  </si>
  <si>
    <t>M. 10181/ Jagabaya II</t>
  </si>
  <si>
    <t>M. 14793/ SUKARAME</t>
  </si>
  <si>
    <t>M. 816/PERUMNAS WAY KANDIS</t>
  </si>
  <si>
    <t>B. 260/PERUMNAS WAY KANDIS</t>
  </si>
  <si>
    <t>M.5924/TANJUNG SENENG</t>
  </si>
  <si>
    <t xml:space="preserve">M. 870/ Sumber Agung </t>
  </si>
  <si>
    <t>M. 1983/ LABUHAN RATU RAYA</t>
  </si>
  <si>
    <t>M. 889/ SUMBER AGUNG</t>
  </si>
  <si>
    <t>M. 1192/ PEMATANG WANGI</t>
  </si>
  <si>
    <t>M. 892/ NOG</t>
  </si>
  <si>
    <t>22/ KE,ILING PERMAI</t>
  </si>
  <si>
    <t>M. 9057/ SURABAYA</t>
  </si>
  <si>
    <t>B 603/ SUMBER AGUNG</t>
  </si>
  <si>
    <t>B 793/ SUMUR PUTRI</t>
  </si>
  <si>
    <t>M 2420/ NOG</t>
  </si>
  <si>
    <t>M. 49/ PENENGAHAN RAYA</t>
  </si>
  <si>
    <t>B. 621/NUSANTARA PERMAI</t>
  </si>
  <si>
    <t>M. 11078/ Sukabumi</t>
  </si>
  <si>
    <t>B. 919/SUKARAME BARU</t>
  </si>
  <si>
    <t>M. 1874/Rajabasa Nunyai</t>
  </si>
  <si>
    <t>B. 669/SUMUR PUTRI</t>
  </si>
  <si>
    <t>M. 3042/KUPANG TEBA</t>
  </si>
  <si>
    <t>M. 175/KETAPANG</t>
  </si>
  <si>
    <t>B. 573/NUSANTARA PERMAI</t>
  </si>
  <si>
    <t>B. 4057/SUKARAME I</t>
  </si>
  <si>
    <t>B. 184/GEDUNG MENENG</t>
  </si>
  <si>
    <t>M. 4213/LANGKAPURA</t>
  </si>
  <si>
    <t>HM 1151/JAGABAYA III</t>
  </si>
  <si>
    <t>B. 1374/PINANG JAYA</t>
  </si>
  <si>
    <t>M. 9008/GEDUNG MENENG</t>
  </si>
  <si>
    <t>B. 918/SUKARAME BARU</t>
  </si>
  <si>
    <t>M. 4923/TANJUNG SENANG</t>
  </si>
  <si>
    <t>M. 13923/ TANJUNG BARU</t>
  </si>
  <si>
    <t>M. 13924/ TANJUNG BARU</t>
  </si>
  <si>
    <t>M. 939/ Batu Putuk</t>
  </si>
  <si>
    <t>M 842/ BERINGIN JAYA</t>
  </si>
  <si>
    <t>M. 1412/ PESAWAHAN</t>
  </si>
  <si>
    <t>M. 1609/ KETEGUHAN</t>
  </si>
  <si>
    <t>M. 25/ Sukarame Baru</t>
  </si>
  <si>
    <t>M. 6413/ WAY KANDIS</t>
  </si>
  <si>
    <t>M. 1873/ RAJABASA NUNYAI</t>
  </si>
  <si>
    <t>M. 10217/ JAGABAYA II</t>
  </si>
  <si>
    <t>M. 10070/JAGABAYA II</t>
  </si>
  <si>
    <t>M. 9634/kedaton</t>
  </si>
  <si>
    <t>M. 221/GULAK GALIK</t>
  </si>
  <si>
    <t>m. 78/Gunung Agung</t>
  </si>
  <si>
    <t>B. 123/Rajabasa Pemuka</t>
  </si>
  <si>
    <t>M. 1187/Serengsem</t>
  </si>
  <si>
    <t>M. 3661/ TANJUNG SENANG</t>
  </si>
  <si>
    <t>M. 98/BERINGIN JAYA</t>
  </si>
  <si>
    <t>M. 535/Sepang Jaya</t>
  </si>
  <si>
    <t>B. 876/ Sukarame Baru</t>
  </si>
  <si>
    <t>M. 5873/ Way Kandis</t>
  </si>
  <si>
    <t>M. 3371/ Kemiling Permai</t>
  </si>
  <si>
    <t>M. 660/Rajabasa Pemuka</t>
  </si>
  <si>
    <t>M. 1097/ Kelapa Tiga</t>
  </si>
  <si>
    <t>M. 997/PELITA</t>
  </si>
  <si>
    <t>M 13630/ KEDAMAIAN</t>
  </si>
  <si>
    <t>M. 3870/ BERINGIN RAYA</t>
  </si>
  <si>
    <t>M. 3916/ BERINGIN RAYA</t>
  </si>
  <si>
    <t>M 3373/ BERINGIN RAYA</t>
  </si>
  <si>
    <t>M 388/ SUKABUMI INDAH</t>
  </si>
  <si>
    <t>M. 1517/ Durian Payung</t>
  </si>
  <si>
    <t>M 12083/ KEDATON</t>
  </si>
  <si>
    <t>M 220/ BILABONG JAYA</t>
  </si>
  <si>
    <t>M 1225/ SUKARAME BARU</t>
  </si>
  <si>
    <t>M 205/ WAY KANDIS</t>
  </si>
  <si>
    <t>M. 773/Kota Karang</t>
  </si>
  <si>
    <t>M. 862/ Korpri Jaya</t>
  </si>
  <si>
    <t>M. 933/ Korpri Jaya</t>
  </si>
  <si>
    <t>M. 915/ Korpri Jaya</t>
  </si>
  <si>
    <t xml:space="preserve">M. 6043/Tanjung Senang	</t>
  </si>
  <si>
    <t>M 941/ BATU PUTUK</t>
  </si>
  <si>
    <t xml:space="preserve">M. 94/Kuripan	</t>
  </si>
  <si>
    <t>M. 13064/RAJABASA</t>
  </si>
  <si>
    <t>M. 11381/KEDAMAIAN</t>
  </si>
  <si>
    <t xml:space="preserve">SHM. 14777/SUKARAME </t>
  </si>
  <si>
    <t>SHM 5064/Tanjung Senang</t>
  </si>
  <si>
    <t>B.4751/SUKARAME</t>
  </si>
  <si>
    <t>M. 4632/RAJABASA JAYA</t>
  </si>
  <si>
    <t>B. 1326/NOG</t>
  </si>
  <si>
    <t>M. 438/PEMATANG WANGI</t>
  </si>
  <si>
    <t>B 163/ KOTA KARANG</t>
  </si>
  <si>
    <t>B 161/ KOTA KARANG</t>
  </si>
  <si>
    <t>M. 1944/SUMBERREJO SEJAHTERA</t>
  </si>
  <si>
    <t>M.1267/LANGKAPURA BARU</t>
  </si>
  <si>
    <t>B. 622/NUSANTARA PERMAI</t>
  </si>
  <si>
    <t>M. 2651/SUMBER REJO</t>
  </si>
  <si>
    <t>B. 749/SUMUR PUTRI</t>
  </si>
  <si>
    <t>M. 1604/TELUK BETUNG</t>
  </si>
  <si>
    <t>M. 1761/KALIAWI</t>
  </si>
  <si>
    <t>M. 2265/NOG</t>
  </si>
  <si>
    <t>B. 624/NUSANTARA PERMAI</t>
  </si>
  <si>
    <t>M. 10948/SUKABUMI</t>
  </si>
  <si>
    <t>B. 100/ BILABONG JAYA</t>
  </si>
  <si>
    <t>M. 2211/GUNUNG TERANG</t>
  </si>
  <si>
    <t>M. 536/PERUMNAS WAY KANDIS</t>
  </si>
  <si>
    <t>M. 4453/Gunung Terang</t>
  </si>
  <si>
    <t>B. 507/Kedamaian</t>
  </si>
  <si>
    <t xml:space="preserve">M. 276/Kedaung	</t>
  </si>
  <si>
    <t xml:space="preserve">B. 135/Rajabasa Raya	</t>
  </si>
  <si>
    <t xml:space="preserve">B. 464/Bakung	</t>
  </si>
  <si>
    <t xml:space="preserve">M. 17293/Sukarame 	</t>
  </si>
  <si>
    <t>M. 13400/SUKABUMI</t>
  </si>
  <si>
    <t>M. 54/SUMBEREJO SEJAHTERA</t>
  </si>
  <si>
    <t>M. 2442/TANJUNG SENENG</t>
  </si>
  <si>
    <t>M. 2379/GEDONG AIR</t>
  </si>
  <si>
    <t>M. 1111/SUKABUMI INDAH</t>
  </si>
  <si>
    <t>M. 2812/BERINGIN RAYA</t>
  </si>
  <si>
    <t>B. 623/NUSANTARA PERMAI</t>
  </si>
  <si>
    <t>B. 673 NUSANTARA PERMAI</t>
  </si>
  <si>
    <t>M. 2055/KOTA BARU</t>
  </si>
  <si>
    <t>B. 857/PERUMNAS WAY KANDIS</t>
  </si>
  <si>
    <t>M. 84/PERUMNAS WAY HALIM</t>
  </si>
  <si>
    <t>M.91/PERUMNAS WAY HALIM</t>
  </si>
  <si>
    <t>M.13349/TANJUNG BARU</t>
  </si>
  <si>
    <t>M. 2058/GUNUNG TERANG</t>
  </si>
  <si>
    <t>M. 1663/ SUMUR BATU</t>
  </si>
  <si>
    <t>M. 1208/ RAWA LAUT</t>
  </si>
  <si>
    <t>M 989/ LABUHAN RATU RAYA</t>
  </si>
  <si>
    <t>M 1139/ SUMUR BATU</t>
  </si>
  <si>
    <t>M 2071/ LABUHAN RATU RAYA</t>
  </si>
  <si>
    <t>M 1357/ SUMUR PUTRI</t>
  </si>
  <si>
    <t>M. 860/ SUMBER AGUNG</t>
  </si>
  <si>
    <t>M. 1608/ KETEGUHAN</t>
  </si>
  <si>
    <t>B. 943/C.J</t>
  </si>
  <si>
    <t>M. 1865/ Tanjung Seneng</t>
  </si>
  <si>
    <t>M. 1660/Bumi Kedamaian</t>
  </si>
  <si>
    <t xml:space="preserve">M. 4358/Langkapura	</t>
  </si>
  <si>
    <t xml:space="preserve">M. 159/Palapa	</t>
  </si>
  <si>
    <t>B. 100/ Bumi Kedamaian</t>
  </si>
  <si>
    <t>M. 2076/Langkapura</t>
  </si>
  <si>
    <t>M. 6916/KEDATON</t>
  </si>
  <si>
    <t>M. 1685/KEMILING RAYA</t>
  </si>
  <si>
    <t>B. 2414 CAMPANG JAYA</t>
  </si>
  <si>
    <t>B. 731/CAMPANG RAYA</t>
  </si>
  <si>
    <t>M. 490/PERUMNAS WAY KANDIS</t>
  </si>
  <si>
    <t>B. 618/NUSANTARA PERMAI</t>
  </si>
  <si>
    <t>M. 2303/PINANG JAYA</t>
  </si>
  <si>
    <t xml:space="preserve">M. 615/Susunan Baru	</t>
  </si>
  <si>
    <t xml:space="preserve">B.111/Rajabasa Nunyai	</t>
  </si>
  <si>
    <t>M. 2810/Sukarame Baru</t>
  </si>
  <si>
    <t>M. 2246/LANGKAPURA</t>
  </si>
  <si>
    <t xml:space="preserve">M. 19476/Sukaarame	</t>
  </si>
  <si>
    <t xml:space="preserve">M. 1260/ Enggal </t>
  </si>
  <si>
    <t>M. 830/ JAGABAYA III</t>
  </si>
  <si>
    <t>M. 1726/ KETEGUHAN</t>
  </si>
  <si>
    <t>M. 3757/CAMPANG RAYA</t>
  </si>
  <si>
    <t>M. 13814/SUKABUMI</t>
  </si>
  <si>
    <t>M. 16996/SUKARAME I</t>
  </si>
  <si>
    <t>M. 659/SAWAH BREBES</t>
  </si>
  <si>
    <t>B. 583/SUKAMAJU</t>
  </si>
  <si>
    <t>B. 2435/SUKARAME I</t>
  </si>
  <si>
    <t xml:space="preserve">M. 2296/Tanjung Senang	</t>
  </si>
  <si>
    <t xml:space="preserve">B.625/Nusantara Permai	</t>
  </si>
  <si>
    <t>M. 945/PECOH RAYA</t>
  </si>
  <si>
    <t>M. 12043/SUKARAME I</t>
  </si>
  <si>
    <t>B. 224/KOTA BARU</t>
  </si>
  <si>
    <t>B. 1146/SUKABUMI INDAH</t>
  </si>
  <si>
    <t>HM 1052/GUNUNG SULAH</t>
  </si>
  <si>
    <t>LUAS 830 M2 KELURAHAN SIDODADI</t>
  </si>
  <si>
    <t>HM 3165/SUKARAME BARU</t>
  </si>
  <si>
    <t xml:space="preserve">M.51/Kemiling Permai </t>
  </si>
  <si>
    <t>SHGB. 1116/ KETEGUHAN</t>
  </si>
  <si>
    <t>B.755/Sumur Putri</t>
  </si>
  <si>
    <t xml:space="preserve">M. 995/Pahoman 	</t>
  </si>
  <si>
    <t>M. 4441/Gunung Terang</t>
  </si>
  <si>
    <t>M. 3323/CAMPANG RAYA</t>
  </si>
  <si>
    <t>M. 1155/KURIPAN</t>
  </si>
  <si>
    <t>M. 07/PERUMNAS WAY HALIM</t>
  </si>
  <si>
    <t>M. 2449/CAMPANG RAYA</t>
  </si>
  <si>
    <t>M 798/ GOTONG ROYONG</t>
  </si>
  <si>
    <t>M 12709/ BERINGIN RAYA</t>
  </si>
  <si>
    <t>M 498/ PINANG JAYA</t>
  </si>
  <si>
    <t>M. 243/LANGKAPURA BARU</t>
  </si>
  <si>
    <t>M.894/TANJUNG RAYA</t>
  </si>
  <si>
    <t>M 43/ LANGKAPURA BARU</t>
  </si>
  <si>
    <t>M 1200/ KUPANG TEBA</t>
  </si>
  <si>
    <t>M. 2245/ LANGKAPURA</t>
  </si>
  <si>
    <t>M. 9600/ KAMPUNG BARU</t>
  </si>
  <si>
    <t>M. 2085/Gunung Terang</t>
  </si>
  <si>
    <t>B. 480/PERUMNAS WAY KANDIS</t>
  </si>
  <si>
    <t>B. 887/WAY KANDIS</t>
  </si>
  <si>
    <t>M. 13588/RAJABASA</t>
  </si>
  <si>
    <t>M. 9130/JAGABAYA II</t>
  </si>
  <si>
    <t xml:space="preserve">M. 2285/Tanjung Seneng	</t>
  </si>
  <si>
    <t xml:space="preserve">M. 810.Way Laga	</t>
  </si>
  <si>
    <t>M. 1966/GEDONG AIR</t>
  </si>
  <si>
    <t>M. 4505/TANJUNG SENANG</t>
  </si>
  <si>
    <t>M. 10342/GEDUNG MENENG</t>
  </si>
  <si>
    <t>M. 13376/SUKARAME I</t>
  </si>
  <si>
    <t>B. 1096/RAJABASA</t>
  </si>
  <si>
    <t>M. 9507/KEDAMAIAN</t>
  </si>
  <si>
    <t>M. 386/ BERINGIN RAYA</t>
  </si>
  <si>
    <t>M. 11403/SEGALA MIDER</t>
  </si>
  <si>
    <t>M. 6476/Way Kandis</t>
  </si>
  <si>
    <t>M. 1194/Jagabaya III</t>
  </si>
  <si>
    <t>M. 1845</t>
  </si>
  <si>
    <t>M. 1437/CAMPANG JAYA</t>
  </si>
  <si>
    <t>M. 2450/KEDAUNG</t>
  </si>
  <si>
    <t>M. 1676/KEMILING RAYA</t>
  </si>
  <si>
    <t>M. 4713/WAY KANDIS</t>
  </si>
  <si>
    <t>M. 687/SUSUNAN BARU</t>
  </si>
  <si>
    <t>B. 452/KETEGUHAN</t>
  </si>
  <si>
    <t>B. 457/CAMPANG RAYA</t>
  </si>
  <si>
    <t>B. 105/SUMBEREJO SEJAHTERA</t>
  </si>
  <si>
    <t>M. 294/RAJABASA PEMUKA</t>
  </si>
  <si>
    <t>B. 218/KOTA BARU</t>
  </si>
  <si>
    <t>M. 9136/KAMPUNG BARU</t>
  </si>
  <si>
    <t>M. 17529/SUKARAME I</t>
  </si>
  <si>
    <t>B. 46/KAMPUNG BARU RAYA</t>
  </si>
  <si>
    <t>M. 42/KEMILING PERMAI</t>
  </si>
  <si>
    <t>B 132/ PASIR GINTUNG</t>
  </si>
  <si>
    <t>M 104/ PASIR GINTUNG</t>
  </si>
  <si>
    <t>B. 116/GULAK GALIK</t>
  </si>
  <si>
    <t>M. 10781/SUKABUMI</t>
  </si>
  <si>
    <t>M. 3050/LABUHAN DALAM</t>
  </si>
  <si>
    <t>M 16229/ SUKARAME</t>
  </si>
  <si>
    <t xml:space="preserve">B. 920/Sukarame Baru	</t>
  </si>
  <si>
    <t>M.783,781,780/GULAK GALIK</t>
  </si>
  <si>
    <t>M. 9519/ Kedaton</t>
  </si>
  <si>
    <t>M 4291/ GUNUNG TERANG</t>
  </si>
  <si>
    <t>M 47/ GUNUNG AGUNG</t>
  </si>
  <si>
    <t>M. 1223/ PANJANG UTARA</t>
  </si>
  <si>
    <t>M.1168/PANJANG UTARA</t>
  </si>
  <si>
    <t>M. 13132/ BERINGIN RAYA</t>
  </si>
  <si>
    <t>M. 5292/ LANGKAPURA</t>
  </si>
  <si>
    <t>M 3235/ GEDONG AIR</t>
  </si>
  <si>
    <t>B. 2640/SUKARAME I</t>
  </si>
  <si>
    <t>B. 2191/SUKARAME I</t>
  </si>
  <si>
    <t>B. 2188/SUKARAME I</t>
  </si>
  <si>
    <t>M 6221/ WAY KANDIS</t>
  </si>
  <si>
    <t>M 4490/ GUNUNG TERANG</t>
  </si>
  <si>
    <t>M.14522/SUKARAME</t>
  </si>
  <si>
    <t>KELURAHAN KURIPAN</t>
  </si>
  <si>
    <t>M. 1045/GUNUNG SULAH</t>
  </si>
  <si>
    <t>M. 2963/LANGKAPURA</t>
  </si>
  <si>
    <t>M 41/ LANGKAPURA BARU</t>
  </si>
  <si>
    <t>M. 408/LABUHAN RATU RAYA</t>
  </si>
  <si>
    <t>M. 6262/TANJUNG SENANG</t>
  </si>
  <si>
    <t>M. 4134/ GUNUNG TERANG</t>
  </si>
  <si>
    <t>M.2147/DURIAN PAYUNG</t>
  </si>
  <si>
    <t>M. 710/ WAY DADI</t>
  </si>
  <si>
    <t>M. 595/ KORPRI RAYA</t>
  </si>
  <si>
    <t>M. 3077/ BERINGIN RAYA</t>
  </si>
  <si>
    <t>M. 2380/ KANGKUNG</t>
  </si>
  <si>
    <t>M. 1439/KEMILING PERMAI</t>
  </si>
  <si>
    <t>B. 4512/SUKABUMI</t>
  </si>
  <si>
    <t xml:space="preserve">M.4520/Keteguhan	</t>
  </si>
  <si>
    <t>M. 3379/KEMILING PERMAI</t>
  </si>
  <si>
    <t>M.12288/SUKABUMI</t>
  </si>
  <si>
    <t>M. 819/ RAJABASA JAYA</t>
  </si>
  <si>
    <t>NIBEL M 13136/ SUKABUMI</t>
  </si>
  <si>
    <t xml:space="preserve">M. 805/Kali Balau Kencana	</t>
  </si>
  <si>
    <t>B. 1503/KEMILING PERMAI</t>
  </si>
  <si>
    <t>B. 79/ Korpri Jaya</t>
  </si>
  <si>
    <t xml:space="preserve">B. 1364/Pinang Jaya	</t>
  </si>
  <si>
    <t xml:space="preserve">SHM 3236/Labuhan Dalam	</t>
  </si>
  <si>
    <t>M. 9506/Gedung Meneng</t>
  </si>
  <si>
    <t>M. 9453/ SEGALA MIDER</t>
  </si>
  <si>
    <t xml:space="preserve">M. 703/Gunung Agung	</t>
  </si>
  <si>
    <t>M. 14562/SUKARAME</t>
  </si>
  <si>
    <t>M. 230/BILABONG JAYA</t>
  </si>
  <si>
    <t>M. 10499/Gedong Meneng</t>
  </si>
  <si>
    <t>M.464/SUMUR PUTRI</t>
  </si>
  <si>
    <t>M. 4814/ CAMPANG RAYA</t>
  </si>
  <si>
    <t xml:space="preserve">B. 1800/Sukarame	</t>
  </si>
  <si>
    <t xml:space="preserve">M. 2024/Kali Balau Kencana	</t>
  </si>
  <si>
    <t>M 3209/ LANGKAPURA</t>
  </si>
  <si>
    <t>M 4342/ GUNUNG TERANG</t>
  </si>
  <si>
    <t>B. 728/CAMPANG RAYA</t>
  </si>
  <si>
    <t>M. 1538/ LABUHAN DALAM DAN M. 1548/LABUHAN DALAM</t>
  </si>
  <si>
    <t>B.1549/WAY HALIM PERMAI</t>
  </si>
  <si>
    <t>B. 2083/SUKABUMI</t>
  </si>
  <si>
    <t>M.13404/SEGALA MIDER</t>
  </si>
  <si>
    <t>B. 2129/CAMPANG RAYA</t>
  </si>
  <si>
    <t>M. 1442/GUNUNG SULAH</t>
  </si>
  <si>
    <t>M.128/TANJUNG RAYA</t>
  </si>
  <si>
    <t>M. 341/RAJABASA PEMUKA</t>
  </si>
  <si>
    <t>B.113/KAMPUNG BARU RAYA</t>
  </si>
  <si>
    <t>M. 1446/SUKARAME II</t>
  </si>
  <si>
    <t>M. 17070/SUKARAME I</t>
  </si>
  <si>
    <t>M. 2789/KEMILING PERMAI</t>
  </si>
  <si>
    <t>B 185/ RAJABASA PEMUKA</t>
  </si>
  <si>
    <t>B. 1464/RAJABASA DAN B. 1465/RAJABASA</t>
  </si>
  <si>
    <t>M. 1561/Sumur Batu</t>
  </si>
  <si>
    <t>M. 545/ kaliawi</t>
  </si>
  <si>
    <t>M. 2083/Pinang Jaya</t>
  </si>
  <si>
    <t>B. 2084/SUKABUMI</t>
  </si>
  <si>
    <t>Haliza SU</t>
  </si>
  <si>
    <t>M. 1314/SUSUNAN BARU</t>
  </si>
  <si>
    <t>M. 14015/RAJABASA</t>
  </si>
  <si>
    <t>M. 47/KAMPUNG BARU RAYA</t>
  </si>
  <si>
    <t>M.2422/GUNUNG TERANG</t>
  </si>
  <si>
    <t>M.1838/LANGKAPURA</t>
  </si>
  <si>
    <t>B. 499/SUKAMAJU</t>
  </si>
  <si>
    <t>M. 1380/KELAPA TIGA</t>
  </si>
  <si>
    <t>B. 1956/SUKABUMI</t>
  </si>
  <si>
    <t>M. 1011/ PENGAJARAN</t>
  </si>
  <si>
    <t>M 334/ BUMI KEDAMAIAN</t>
  </si>
  <si>
    <t>M 1174/ LABUHAN RATU RAYA</t>
  </si>
  <si>
    <t>M 9954/ RAJABASA</t>
  </si>
  <si>
    <t xml:space="preserve">M. 198/Rajabasa Raya	</t>
  </si>
  <si>
    <t xml:space="preserve">B. 1744/Sukarame	</t>
  </si>
  <si>
    <t xml:space="preserve">M. 1367/Sukarame Baru	</t>
  </si>
  <si>
    <t>HM 1384/SUKADANA HAM</t>
  </si>
  <si>
    <t xml:space="preserve">B. 631/Nusantara Permai	</t>
  </si>
  <si>
    <t>3002/Langkapura</t>
  </si>
  <si>
    <t>HGB.732/KETEGUHAN DAN HGB.733/KETEGUHAN</t>
  </si>
  <si>
    <t>B. 668/PINANG JAYA</t>
  </si>
  <si>
    <t>M 1654/ DURIAN PAYUNG</t>
  </si>
  <si>
    <t>B.1110/SUKABUMI INDAH</t>
  </si>
  <si>
    <t>B.1111/SUKABUMI INDAH</t>
  </si>
  <si>
    <t>B. 678/CAMPANG RAYA</t>
  </si>
  <si>
    <t>M.753/RAJABASA RAYA</t>
  </si>
  <si>
    <t>M. 2453/KEMILING PERMAI</t>
  </si>
  <si>
    <t>M. 869/PERUMNAS WAY HALIM</t>
  </si>
  <si>
    <t>B.1769/SUKARAME</t>
  </si>
  <si>
    <t>HM 703/SUSUNAN BARU</t>
  </si>
  <si>
    <t xml:space="preserve">M. 1062/Kupang Kota	</t>
  </si>
  <si>
    <t>M 6223/ WAY KANDIS</t>
  </si>
  <si>
    <t>M. 6241/ WAY KANDIS</t>
  </si>
  <si>
    <t>M 1304/ PENGAJARAN</t>
  </si>
  <si>
    <t>M. 105/ PENENGAHAN</t>
  </si>
  <si>
    <t>M. 1719/SUKARAME II</t>
  </si>
  <si>
    <t>M. 1927 DAN 1936/GUNUNG TERANG</t>
  </si>
  <si>
    <t xml:space="preserve">M. 2024/SUKARAME BARU </t>
  </si>
  <si>
    <t>M. 9491/KAMPUNG BARU</t>
  </si>
  <si>
    <t>M.2816/CAMPANG RAYA</t>
  </si>
  <si>
    <t>M 4283/ GUNUNG TERANG</t>
  </si>
  <si>
    <t>M. 1031/ PENGAJARAN</t>
  </si>
  <si>
    <t>M. 1158/ PENGAJARAN</t>
  </si>
  <si>
    <t>B 64/ BUMI KEDAMAIAN</t>
  </si>
  <si>
    <t>M 1120/ KURIPAN</t>
  </si>
  <si>
    <t>M. 1139/ PENGAJARAN</t>
  </si>
  <si>
    <t>M. 9369/ Surabaya</t>
  </si>
  <si>
    <t>M. 3276/BERINGIN RAYA</t>
  </si>
  <si>
    <t>M. 1399/ Rajabasa Pemuka</t>
  </si>
  <si>
    <t>M 4090/ GUNUNG TERANG</t>
  </si>
  <si>
    <t>SHM. 4346/WAY KANDIS</t>
  </si>
  <si>
    <t>M. 10664/KEDAMAIAN</t>
  </si>
  <si>
    <t xml:space="preserve">M. 715/Enggal	</t>
  </si>
  <si>
    <t>M 1578/ WAY LAGA</t>
  </si>
  <si>
    <t>M 875/ WAY LAGA</t>
  </si>
  <si>
    <t>M 10708/ SEGALA MIDER</t>
  </si>
  <si>
    <t>M 795/ KUPANG KOTA</t>
  </si>
  <si>
    <t>M. 9466/JAGABAYA II</t>
  </si>
  <si>
    <t>M. 3861/RAJABASA JAYA</t>
  </si>
  <si>
    <t>M. 2046/SUKARAME BARU</t>
  </si>
  <si>
    <t>M. 130/ KALIAWI</t>
  </si>
  <si>
    <t>M. 1831/JAGABAYA III</t>
  </si>
  <si>
    <t>M. 11101/KEDAMAIAN</t>
  </si>
  <si>
    <t>M. 1137/KUPANG TEBA</t>
  </si>
  <si>
    <t>B 796/ SUMUR PUTRI</t>
  </si>
  <si>
    <t>NIBEL M 16485/ SUKARAME</t>
  </si>
  <si>
    <t>M 2022/ KALI BALAU KENCANA</t>
  </si>
  <si>
    <t>B. 1573/WAY HALIM PERMAI</t>
  </si>
  <si>
    <t>B 57/ PINANG JAYA</t>
  </si>
  <si>
    <t>B 36/ RAJABASA NUNYAI</t>
  </si>
  <si>
    <t>M 13705/ SEGALA MIDER</t>
  </si>
  <si>
    <t>M 969/ RAWA LAUT</t>
  </si>
  <si>
    <t>M.6131/SURABAYA</t>
  </si>
  <si>
    <t>M 250/ JAGABAYA III</t>
  </si>
  <si>
    <t xml:space="preserve">B. 1229/Sukabumi Indah	</t>
  </si>
  <si>
    <t>M. 13032/Rajabasa</t>
  </si>
  <si>
    <t>M. 9080/SUKARAME</t>
  </si>
  <si>
    <t>B.219/GEDUNG MENENG</t>
  </si>
  <si>
    <t>SHGB 636/NUSANTARA PERMAI</t>
  </si>
  <si>
    <t>SHGB. 635/NUSANTARA PERMAI</t>
  </si>
  <si>
    <t>M 4343/ GUNUNG TERANG</t>
  </si>
  <si>
    <t>B. 1231/ SUKABUMI INDAH</t>
  </si>
  <si>
    <t>M. 4111/CAMPANG RAYA</t>
  </si>
  <si>
    <t xml:space="preserve">M. 10179/Kedaton	</t>
  </si>
  <si>
    <t>M. 978/KUPANG KOTA</t>
  </si>
  <si>
    <t>M. 11687/KEDAMAIAN</t>
  </si>
  <si>
    <t>B. 33/SIDODADI</t>
  </si>
  <si>
    <t>M. 920/ENGGAL</t>
  </si>
  <si>
    <t>HM 730/SUSUNAN BARU</t>
  </si>
  <si>
    <t>M. 1216/Serengsem</t>
  </si>
  <si>
    <t>M. 13178/RAJABASA</t>
  </si>
  <si>
    <t>M. 4729/SUKADANA HAM</t>
  </si>
  <si>
    <t>M 1244/ PERUMNAS WAY KANDIS</t>
  </si>
  <si>
    <t>M 9315/ SIDODADI</t>
  </si>
  <si>
    <t xml:space="preserve">M.2533/WAY KANDIS </t>
  </si>
  <si>
    <t>M. 912/GUNUNG AGUNG</t>
  </si>
  <si>
    <t>M. 1396/Serengsem</t>
  </si>
  <si>
    <t>M. 466/Rajabasa Jaya</t>
  </si>
  <si>
    <t>M. 1018/SUSUNAN BARU</t>
  </si>
  <si>
    <t>M. 4832/TANJUNG SENANG</t>
  </si>
  <si>
    <t>M. 541/RAJABASA NUNYAI</t>
  </si>
  <si>
    <t>M. 1936/CAMPANG RAYA</t>
  </si>
  <si>
    <t>M. 2188/CAMPANG RAYA</t>
  </si>
  <si>
    <t>M. 2794/SUMBERREJO</t>
  </si>
  <si>
    <t>M. 2793/SUMBERREJO</t>
  </si>
  <si>
    <t>M. 521/TANJUNG AGUNG</t>
  </si>
  <si>
    <t>M. 2806/BERINGIN RAYA</t>
  </si>
  <si>
    <t>B. 645/NUSANTARA PERMAI</t>
  </si>
  <si>
    <t>B. 921/SUKARAME BARU</t>
  </si>
  <si>
    <t>M 2888/ CAMPANG RAYA</t>
  </si>
  <si>
    <t>M 176/ KEBON JERUK</t>
  </si>
  <si>
    <t>M 1835/ RAJABASA PEMUKA</t>
  </si>
  <si>
    <t>M 203/ KEDAUNG</t>
  </si>
  <si>
    <t>M 2156/ LABUHAN RATU RAYA</t>
  </si>
  <si>
    <t>M.129/SUKARAME BARU</t>
  </si>
  <si>
    <t>M. 9724/KAMPUNG BARU</t>
  </si>
  <si>
    <t>M. 2177/LABUHAN RATU RAYA</t>
  </si>
  <si>
    <t>M. 846/SEPANG JAYA</t>
  </si>
  <si>
    <t xml:space="preserve">B. 374/Rajabasa Nunyai	</t>
  </si>
  <si>
    <t xml:space="preserve">M. 3191/Sukarame Baru	</t>
  </si>
  <si>
    <t>M 1536/ AHMAD KADAFI</t>
  </si>
  <si>
    <t>M 280/ SUMUR BATU</t>
  </si>
  <si>
    <t>M 1276/ CAMPANG JAYA</t>
  </si>
  <si>
    <t xml:space="preserve">B. 788/Sumur Putri	</t>
  </si>
  <si>
    <t>M. 13894/KEDAMAIAN</t>
  </si>
  <si>
    <t>M. 2435/SUKARAME BARU</t>
  </si>
  <si>
    <t>B. 754/SUMUR PUTRI</t>
  </si>
  <si>
    <t>M. 2345/KEDAUNG</t>
  </si>
  <si>
    <t>B. 2410/CAMPANG JAYA</t>
  </si>
  <si>
    <t>M 1599/ TELUK BETUNG</t>
  </si>
  <si>
    <t>M 72/ PAHOMAN</t>
  </si>
  <si>
    <t>M 376/ PAHOMAN</t>
  </si>
  <si>
    <t>M 4490/ BERINGIN RAYA</t>
  </si>
  <si>
    <t>M 6240/ WAY KANDIS</t>
  </si>
  <si>
    <t xml:space="preserve">M. 68/Gunung Agung	</t>
  </si>
  <si>
    <t xml:space="preserve">B. 374/Campang Raya	</t>
  </si>
  <si>
    <t xml:space="preserve">M. 761/Way Dadi	</t>
  </si>
  <si>
    <t>M.201 DAN 202 KEMILING PERMAI</t>
  </si>
  <si>
    <t>B. 644/NUSANTARA PERMAI</t>
  </si>
  <si>
    <t>M. 727 PERUMNAS WAY HALIM</t>
  </si>
  <si>
    <t>M. 5804/TANJUNG SENANG</t>
  </si>
  <si>
    <t>SHM 666/PELITA</t>
  </si>
  <si>
    <t>SHM 1799/WAY KANDIS</t>
  </si>
  <si>
    <t>M. 2425/KOTA BARU</t>
  </si>
  <si>
    <t>SHGB 3389/SUKABUMI</t>
  </si>
  <si>
    <t xml:space="preserve">M. 1849/Rajabasa Pemuka	</t>
  </si>
  <si>
    <t>B. 88/Kaliawi Persada</t>
  </si>
  <si>
    <t xml:space="preserve">M. 1383/Teluk Betung	</t>
  </si>
  <si>
    <t>M 3770/ CAMPANG RAYA</t>
  </si>
  <si>
    <t>B. 1158/Keteguhan</t>
  </si>
  <si>
    <t>M. 10121/SUKARAME</t>
  </si>
  <si>
    <t>M. 3123/GEDONG AIR</t>
  </si>
  <si>
    <t>M. 2104/SUKARAME BARU</t>
  </si>
  <si>
    <t>M. 2445/KEDAUNG</t>
  </si>
  <si>
    <t xml:space="preserve">M. 18825/Sukarame	</t>
  </si>
  <si>
    <t>B 1376/ PINANG JAYA</t>
  </si>
  <si>
    <t>B. 153/Gedong Meneng</t>
  </si>
  <si>
    <t>M. 9352/ Sidodadi</t>
  </si>
  <si>
    <t>M. 401/ Rajabasa Raya</t>
  </si>
  <si>
    <t>M. 99/TANJUNG RAYA</t>
  </si>
  <si>
    <t>M 3241/ BERINGIN RAYA</t>
  </si>
  <si>
    <t>M.1310/KELAPA TIGA</t>
  </si>
  <si>
    <t>M. 169/NUSANTARA PERMAI</t>
  </si>
  <si>
    <t>B.2494/SUKARAME</t>
  </si>
  <si>
    <t>M. 917/SUKARAJA</t>
  </si>
  <si>
    <t>SHGB 443/KALI BALAU KENCANA</t>
  </si>
  <si>
    <t>SHM 4458/TANJUNG SENENG</t>
  </si>
  <si>
    <t>B. 445/NUSANTARA PERMAI</t>
  </si>
  <si>
    <t>M. 1697/WAY KANDIS</t>
  </si>
  <si>
    <t>M.1817/KUPANG KOTA</t>
  </si>
  <si>
    <t>M. 12664/JAGABAYA II</t>
  </si>
  <si>
    <t>B. 58/GEDONG MENENG</t>
  </si>
  <si>
    <t>M 4018/ GUNUNG TERANG</t>
  </si>
  <si>
    <t>M.1825/SUKAMAJU</t>
  </si>
  <si>
    <t>M.1344/KETEGUHAN</t>
  </si>
  <si>
    <t>M 597/ KORPRI RAYA</t>
  </si>
  <si>
    <t>M. 497/ KOTA SEPANG</t>
  </si>
  <si>
    <t>M 14047/ TANJUNG BARU</t>
  </si>
  <si>
    <t>M 1100/ PINANG JAYA</t>
  </si>
  <si>
    <t>M 9531/ KAMPUNG BARU</t>
  </si>
  <si>
    <t>M. 1244/CAMPANG JAYA</t>
  </si>
  <si>
    <t>M 1028/ GULAK GALIK</t>
  </si>
  <si>
    <t>M 13486/ KEDAMAIAN</t>
  </si>
  <si>
    <t>M 4549/ GUNUNG TERANG</t>
  </si>
  <si>
    <t>M. 1664/ BUMI KEDAMAIAN</t>
  </si>
  <si>
    <t>M 4652/ SUKADANA HAM</t>
  </si>
  <si>
    <t>M. 2536/PINANG JAYA</t>
  </si>
  <si>
    <t>M. 10066/GEDUNG MENENG</t>
  </si>
  <si>
    <t>M. 653/WAY HALIM PERMAI</t>
  </si>
  <si>
    <t>M. 257/GEDONG AIR</t>
  </si>
  <si>
    <t>M. 2157/LABUHAN RATU RAYA</t>
  </si>
  <si>
    <t xml:space="preserve">M. 6035/GUNUNG SULAH </t>
  </si>
  <si>
    <t>M. 13368/TANJUNG BARU</t>
  </si>
  <si>
    <t>M. 13890/KEDAMAIAN</t>
  </si>
  <si>
    <t>M. 480/RAJABASA JAYA</t>
  </si>
  <si>
    <t>M. 9060/KEDATON</t>
  </si>
  <si>
    <t xml:space="preserve">M. 14811/Sukarame	</t>
  </si>
  <si>
    <t xml:space="preserve">M. 341/Kota Sepang	</t>
  </si>
  <si>
    <t>M. 9270/SURABAYA</t>
  </si>
  <si>
    <t>B. 353/CAMPANG RAYA</t>
  </si>
  <si>
    <t>M. 13040/SUKABUMI</t>
  </si>
  <si>
    <t>M. 1272/SUSUNAN BARU</t>
  </si>
  <si>
    <t>HM 1907/BERINIGN JAYA</t>
  </si>
  <si>
    <t>M 10635/ SIDODADI</t>
  </si>
  <si>
    <t xml:space="preserve">B. 1714/Sumberrejo Kemiling	</t>
  </si>
  <si>
    <t xml:space="preserve">M. 10194/Kampung Baru	</t>
  </si>
  <si>
    <t>M. 10965/JAGABAYA II</t>
  </si>
  <si>
    <t>M 953/ PESAWAHAN</t>
  </si>
  <si>
    <t xml:space="preserve">M. 12368/Labuhan Ratu	</t>
  </si>
  <si>
    <t xml:space="preserve">M. 417/Ketapang	</t>
  </si>
  <si>
    <t>M. 1506/ SUMUR BATU</t>
  </si>
  <si>
    <t>M.16941/SUKARAME</t>
  </si>
  <si>
    <t>M. 1302/CAMPANG JAYA</t>
  </si>
  <si>
    <t>M. 6567/TANJUNG SENANG</t>
  </si>
  <si>
    <t>M 40/ LANGKAPURA BARU</t>
  </si>
  <si>
    <t>M 16492/ SUKABUMI</t>
  </si>
  <si>
    <t>M 1983/ SUMBERREJO SEJAHTERA</t>
  </si>
  <si>
    <t>M 42/ LANGKAPURA BARU</t>
  </si>
  <si>
    <t>M. 2445/Sukamaju</t>
  </si>
  <si>
    <t xml:space="preserve">M. 2765/Sukajawa	</t>
  </si>
  <si>
    <t>M 1462/ RAJABASA PEMUKA</t>
  </si>
  <si>
    <t>M. 1189/ PENENGAHAN</t>
  </si>
  <si>
    <t>B 42/ RAJABSA NUNYAI</t>
  </si>
  <si>
    <t>B 757/ SUMUR PUTRI</t>
  </si>
  <si>
    <t>B 817/ SUMUR PUTRI</t>
  </si>
  <si>
    <t xml:space="preserve">M. 2934/Sukarame II	</t>
  </si>
  <si>
    <t>M 13891/ KEDAMAIAN</t>
  </si>
  <si>
    <t>M 13892/ KEDAMAIAN</t>
  </si>
  <si>
    <t xml:space="preserve">M. 2449/Kedaung	</t>
  </si>
  <si>
    <t xml:space="preserve">M. 2515/Pinang Jaya	</t>
  </si>
  <si>
    <t>M. 9895/SURABAYA</t>
  </si>
  <si>
    <t>M. 120/Pahoman</t>
  </si>
  <si>
    <t>M 375/ PAHOMAN</t>
  </si>
  <si>
    <t>M 1149/ NOG</t>
  </si>
  <si>
    <t>B 179/ PEMATANG WANGI</t>
  </si>
  <si>
    <t>B. 914/ Sukarame Baru</t>
  </si>
  <si>
    <t>M. 3041/KOTA KARANG</t>
  </si>
  <si>
    <t>B. 158/BAKUNG</t>
  </si>
  <si>
    <t>M. 1232/TALANG</t>
  </si>
  <si>
    <t>M. 1429/CAMPANG JAYA</t>
  </si>
  <si>
    <t>M. 1844/KALI BALAU KENCANA</t>
  </si>
  <si>
    <t>M 6225/ WAY KANDIS</t>
  </si>
  <si>
    <t>B. 2966/BERINGIN RAYA</t>
  </si>
  <si>
    <t>SHM 3306/GUNUNG TERANG</t>
  </si>
  <si>
    <t>M. 5186/RAJABASA JAYA</t>
  </si>
  <si>
    <t>M. 5209/WAY KANDIS</t>
  </si>
  <si>
    <t>M 1597/ BUMI WARAS</t>
  </si>
  <si>
    <t>M 399/ PINANG JAYA</t>
  </si>
  <si>
    <t>M 9663/ SEGALA MIDER</t>
  </si>
  <si>
    <t>M. 247/KANGKUNG</t>
  </si>
  <si>
    <t>B. 903/CAMPANG RAYA</t>
  </si>
  <si>
    <t>B. 5052/SUKABUMI</t>
  </si>
  <si>
    <t>M 2514/ PINANG JAYA</t>
  </si>
  <si>
    <t>M. 6816/ TANJUNG SENANG</t>
  </si>
  <si>
    <t>M 670/ WAY LAGA</t>
  </si>
  <si>
    <t>M 4359/ RAJABASA JAYA</t>
  </si>
  <si>
    <t>M 19386/ SUKARAME</t>
  </si>
  <si>
    <t>M. 972/Beringin Jaya</t>
  </si>
  <si>
    <t xml:space="preserve">Nibel 1777/Sukabumi Indah	</t>
  </si>
  <si>
    <t xml:space="preserve">M. 5950/Way Kandis	</t>
  </si>
  <si>
    <t xml:space="preserve">M.50/Kemiling Permai </t>
  </si>
  <si>
    <t xml:space="preserve">B. 916/Sukabumi Indah	</t>
  </si>
  <si>
    <t>M. 470/Perumnas Way Kandis</t>
  </si>
  <si>
    <t>M. 472/PERUMNAS WAY KANDIS</t>
  </si>
  <si>
    <t>M. 460/SUKABUMI INDAH</t>
  </si>
  <si>
    <t>B. 109/KAMPUNG BARU RAYA</t>
  </si>
  <si>
    <t>B. 106/KAMPUNG BARU RAYA</t>
  </si>
  <si>
    <t>M 261/ PENENGAHAN RAYA</t>
  </si>
  <si>
    <t>M 2423/ CAMPANG JAYA</t>
  </si>
  <si>
    <t>M 12072/ TANJUNG BARU</t>
  </si>
  <si>
    <t>M 2461/ PANJANG UTARA</t>
  </si>
  <si>
    <t>B. 2585/SUKABUMI</t>
  </si>
  <si>
    <t>M. 603/KEMILING RAYA</t>
  </si>
  <si>
    <t>M. 9630/SUKARAME I</t>
  </si>
  <si>
    <t>B. 334/CAMPANG RAYA</t>
  </si>
  <si>
    <t>M. 12141/SEGALA MIDER</t>
  </si>
  <si>
    <t>HM 162/SUMUR BATU</t>
  </si>
  <si>
    <t>M. 1101/CAMPANG RAYA</t>
  </si>
  <si>
    <t>M . 1876/RAJABASA NUNYAI</t>
  </si>
  <si>
    <t>M. 2259/SUSUNAN BARU</t>
  </si>
  <si>
    <t>M. 1827/JAGABAYA III</t>
  </si>
  <si>
    <t>M. 13893/KEDAMAIAN</t>
  </si>
  <si>
    <t>B. 633/KEMILING PERMAI</t>
  </si>
  <si>
    <t>M. 3630/RAJABASA JAYA</t>
  </si>
  <si>
    <t xml:space="preserve">M. 146/Rawa Laut	</t>
  </si>
  <si>
    <t>M. 1853/ RAJABASA NUNYAI</t>
  </si>
  <si>
    <t>M 2570/ SUMBER AGUNG</t>
  </si>
  <si>
    <t xml:space="preserve">M 12640/ RAJABASA </t>
  </si>
  <si>
    <t>M 4942/ SUKADANA HAM</t>
  </si>
  <si>
    <t xml:space="preserve">M. 1153/Korpri Jaya	</t>
  </si>
  <si>
    <t>M. 15786/SUKARAME</t>
  </si>
  <si>
    <t>M 1427/ BERINGIN RAYA</t>
  </si>
  <si>
    <t>M 11692/ SUKABUMI</t>
  </si>
  <si>
    <t>B 792/ SUMUR PUTRI</t>
  </si>
  <si>
    <t xml:space="preserve">M. 1245/Jagabaya III	</t>
  </si>
  <si>
    <t>M.9776/SUKAMENANTI</t>
  </si>
  <si>
    <t>M. 353/Pesawahan</t>
  </si>
  <si>
    <t xml:space="preserve">M. 2810/Sukadana Ham	</t>
  </si>
  <si>
    <t xml:space="preserve">M. 2227/Kaliawi	</t>
  </si>
  <si>
    <t>M. 9177/Gedong Meneng</t>
  </si>
  <si>
    <t xml:space="preserve">Nibel 3070/Keteguhan	</t>
  </si>
  <si>
    <t>M.4546/WAY KANDIS</t>
  </si>
  <si>
    <t>B. 100/KAMPUNG BARU RAYA</t>
  </si>
  <si>
    <t>B. 105/KAMPUNG BARU RAYA</t>
  </si>
  <si>
    <t>B. 2833/SUKABUMI</t>
  </si>
  <si>
    <t>B. 2584/SUKABUMI</t>
  </si>
  <si>
    <t>M. 1513/Kangkung</t>
  </si>
  <si>
    <t>B 2117/ PERUMNAS WAY HALIM</t>
  </si>
  <si>
    <t>M 1880/ RAJABASA RAYA</t>
  </si>
  <si>
    <t>M 13889/ SEGALA MIDER</t>
  </si>
  <si>
    <t>B. 612/ Perumnas Way Kandis</t>
  </si>
  <si>
    <t>M 11450/ SEGALA MIDER</t>
  </si>
  <si>
    <t>M 5165/ RAJABASA JAYA</t>
  </si>
  <si>
    <t xml:space="preserve">M. 440/RAWA LAUT </t>
  </si>
  <si>
    <t>M 5045/ RAJABASA JAYA</t>
  </si>
  <si>
    <t>M 345/ TALANG</t>
  </si>
  <si>
    <t>M 1257/ GUNUNG TERANG</t>
  </si>
  <si>
    <t>M 2751/ SUKAJAWA</t>
  </si>
  <si>
    <t>B 722/ SUMUR PUTRI</t>
  </si>
  <si>
    <t>M. 2071/KOTA BARU</t>
  </si>
  <si>
    <t>M 9097/ GEDONG MENENG</t>
  </si>
  <si>
    <t>M 912/ WAY HALIM PERMAI</t>
  </si>
  <si>
    <t xml:space="preserve">M. 13314/Tanjung Baru	</t>
  </si>
  <si>
    <t xml:space="preserve">M. 13304/Tanjung Baru	</t>
  </si>
  <si>
    <t>M. 2228/Gedong Air</t>
  </si>
  <si>
    <t>B. 790/SUMUR PUTRI</t>
  </si>
  <si>
    <t>M 2009/ DURIAN PAYUNG</t>
  </si>
  <si>
    <t xml:space="preserve">M. 9180/Gedong Meneng	</t>
  </si>
  <si>
    <t xml:space="preserve">M. 4631/Sukadana Ham	</t>
  </si>
  <si>
    <t xml:space="preserve">M. 1896/Way Kandis	</t>
  </si>
  <si>
    <t xml:space="preserve">M. 1893/Beringin Jaya	</t>
  </si>
  <si>
    <t>M. 1896/Beringin Jaya</t>
  </si>
  <si>
    <t xml:space="preserve">M. 3571/Langkapura	</t>
  </si>
  <si>
    <t>B. 5015/Sukabumi</t>
  </si>
  <si>
    <t xml:space="preserve">M. 963/Sumur Putri	</t>
  </si>
  <si>
    <t xml:space="preserve">M. 5175/Rajabasa Jaya	</t>
  </si>
  <si>
    <t xml:space="preserve">M. 1208/Gedong Air	</t>
  </si>
  <si>
    <t>M. 1063/Rajabasa Pemuka</t>
  </si>
  <si>
    <t xml:space="preserve">M. 476/Perumnas Way Kandis	</t>
  </si>
  <si>
    <t>M 848/ SUMUR PUJTRI</t>
  </si>
  <si>
    <t>M 667/ WAY LAGA</t>
  </si>
  <si>
    <t>M. 1143/NEGERI OLOK GADING</t>
  </si>
  <si>
    <t>M. 1378/PANJANG SELATAN</t>
  </si>
  <si>
    <t>M 2405/ SUKARAME BARU</t>
  </si>
  <si>
    <t xml:space="preserve">M. 2041/Jagabaya III	</t>
  </si>
  <si>
    <t>M. 1366/ TANJUNG GADING</t>
  </si>
  <si>
    <t>M 4513/ TANJUNG SENANG</t>
  </si>
  <si>
    <t>M 318/ WAY LAGA</t>
  </si>
  <si>
    <t>B 512/ SUKAMAJU</t>
  </si>
  <si>
    <t>M 237/ BILABONG JAYA</t>
  </si>
  <si>
    <t>M 2853/ SUKARAME BARU</t>
  </si>
  <si>
    <t>M 2372/ SUSUNAN BARU</t>
  </si>
  <si>
    <t>M 1238/ KANGKUNG</t>
  </si>
  <si>
    <t>M. 1100/Sumur Batu</t>
  </si>
  <si>
    <t>M.4743/SUKADANA HAM</t>
  </si>
  <si>
    <t>M 1065/ PEMATANG WANGI</t>
  </si>
  <si>
    <t>M 19387/ SUKARAME</t>
  </si>
  <si>
    <t>M 19339/ SUKARAME</t>
  </si>
  <si>
    <t>M 11345/ JAGABAYA II</t>
  </si>
  <si>
    <t>M 721/ GEDONG AIR</t>
  </si>
  <si>
    <t>M. 1385/GEDONG AIR</t>
  </si>
  <si>
    <t>B.326/PEMATANG WANGI</t>
  </si>
  <si>
    <t>M. 4081/BERINGIN RAYA</t>
  </si>
  <si>
    <t>B. 2417/CAMPANG JAYA</t>
  </si>
  <si>
    <t>M. 1923/BERINGIN RAYA DAN NIBEL M.25309/BERINGIN RAYA</t>
  </si>
  <si>
    <t>M. 17929/SUKARAME I</t>
  </si>
  <si>
    <t>M.3292/KOTA BARU</t>
  </si>
  <si>
    <t>M 849/ SUMUR PUTRI</t>
  </si>
  <si>
    <t>B 180/ SUMBERREJO SEJAHTERA</t>
  </si>
  <si>
    <t>M 701/ TANJUNG RAYA</t>
  </si>
  <si>
    <t>M. 2401 / SUKAMAJU</t>
  </si>
  <si>
    <t>M. 1151/PERUMNAS WAY HALIM</t>
  </si>
  <si>
    <t>M. 16558/SUKABUMI</t>
  </si>
  <si>
    <t>M.769/SUKAJAWA</t>
  </si>
  <si>
    <t>M. 10564/KEDATON</t>
  </si>
  <si>
    <t>M. 11261/TANJUNG BARU</t>
  </si>
  <si>
    <t>M. 1081/LABUHAN RATU RAYA</t>
  </si>
  <si>
    <t>M 5531/ WAY KANDIS</t>
  </si>
  <si>
    <t>M 5149/ RAJABASA JAYA</t>
  </si>
  <si>
    <t>M 816/ LABUHAN RATU RAYA</t>
  </si>
  <si>
    <t>M 12614/ SUKARAME</t>
  </si>
  <si>
    <t>B 4403/ SUKABUMI</t>
  </si>
  <si>
    <t>M 1177/ KETEGUHAN</t>
  </si>
  <si>
    <t xml:space="preserve">M. 19388/Sukarame	</t>
  </si>
  <si>
    <t>M. 2006/ Rajabasa Raya</t>
  </si>
  <si>
    <t>B. 5018/SUKABUMI</t>
  </si>
  <si>
    <t>M. 403/ENGGAL</t>
  </si>
  <si>
    <t>B. 705/TANJUNG SENANG</t>
  </si>
  <si>
    <t xml:space="preserve">B. 751/SUMUR PUTRI </t>
  </si>
  <si>
    <t>M. 2341/SEPANG JAYA</t>
  </si>
  <si>
    <t>M. 515/GARUNTANG</t>
  </si>
  <si>
    <t>M. 516/GARUNTANG</t>
  </si>
  <si>
    <t>M. 517/GARUNTANG</t>
  </si>
  <si>
    <t>M. 513/GARUNTANG</t>
  </si>
  <si>
    <t>M 2539 &amp; M 1852/ KETEGUHAN</t>
  </si>
  <si>
    <t>M 503/ KEMILING PERMAI</t>
  </si>
  <si>
    <t>B 5029/ SUKABUMI</t>
  </si>
  <si>
    <t>M. 1395/SUKAMAJU</t>
  </si>
  <si>
    <t>M. 1355/WAY KANDIS</t>
  </si>
  <si>
    <t>M. 229/BILABONG JAYA</t>
  </si>
  <si>
    <t>M. 9797/TANJUNG BARU</t>
  </si>
  <si>
    <t>B. 132/GEDONG MENENG</t>
  </si>
  <si>
    <t xml:space="preserve">M. 9225/Sukabumi	</t>
  </si>
  <si>
    <t>M.262/KOTA SEPANG</t>
  </si>
  <si>
    <t>M. 1803/SUKAMAJU</t>
  </si>
  <si>
    <t>M. 949/SUKAMAJU &amp; M. 959/SUKAMAJU</t>
  </si>
  <si>
    <t>M. 1828/KANGKUNG</t>
  </si>
  <si>
    <t>M. 133/PEMATANG WANGI</t>
  </si>
  <si>
    <t>M. 1389/SUKABUMI INDAH</t>
  </si>
  <si>
    <t>M 1015/ KORPRI JAYA</t>
  </si>
  <si>
    <t xml:space="preserve">M. 5542/Rajabasa Jaya	</t>
  </si>
  <si>
    <t xml:space="preserve">M. 6252/Way Kandis	</t>
  </si>
  <si>
    <t>M. 1564/Beringin Jaya</t>
  </si>
  <si>
    <t xml:space="preserve">M. 2118/Labuhan Dalam	</t>
  </si>
  <si>
    <t xml:space="preserve">M. 1879/Gunung Terang	</t>
  </si>
  <si>
    <t xml:space="preserve">M. 9727/Kampung Baru	</t>
  </si>
  <si>
    <t>M 1291/ BUMI KEDAMAIAN</t>
  </si>
  <si>
    <t>B 297/ NUSANTARA PERMAI</t>
  </si>
  <si>
    <t>M 668/ WAY LAGA</t>
  </si>
  <si>
    <t>M 16365/ SUKABUMI</t>
  </si>
  <si>
    <t>M 2537/ PINANG JAYA</t>
  </si>
  <si>
    <t>M 1688/ RAJABASA RAYA</t>
  </si>
  <si>
    <t>M 211/ RAWA LAUT</t>
  </si>
  <si>
    <t>M 1738/ LABUHAN RATU RAYA</t>
  </si>
  <si>
    <t>M 19340/ SUKARAME</t>
  </si>
  <si>
    <t>M 880/ SUMBER AGUNG</t>
  </si>
  <si>
    <t>M 815/ PEMATANG WANGI</t>
  </si>
  <si>
    <t xml:space="preserve">M. 13231/Sukarame	</t>
  </si>
  <si>
    <t>M 1571/ SRENGSEM</t>
  </si>
  <si>
    <t>M 1572/ SRENGSEM</t>
  </si>
  <si>
    <t>M 318/ SUKABUMI INDAH</t>
  </si>
  <si>
    <t>B 506/ CAMPANG JAYA</t>
  </si>
  <si>
    <t>M. 5874/WAY KANDIS</t>
  </si>
  <si>
    <t>M.2131/WAY HALIM PERMAI</t>
  </si>
  <si>
    <t>M.1929/SUMBER AGUNG</t>
  </si>
  <si>
    <t>M. 3137/KEMILING PERMAI</t>
  </si>
  <si>
    <t>B. 136/RAJABASA RAYA</t>
  </si>
  <si>
    <t>B. 1377/PINANG JAYA</t>
  </si>
  <si>
    <t xml:space="preserve">M. 1604/PENGAJARAN </t>
  </si>
  <si>
    <t>M.726/RAJABASA PEMUKA</t>
  </si>
  <si>
    <t>B.300/PEMATANG WANGI</t>
  </si>
  <si>
    <t>M. 11922/ Rajabasa</t>
  </si>
  <si>
    <t>M.237/PESAWAHAN</t>
  </si>
  <si>
    <t>M. 10004/Rajabasa</t>
  </si>
  <si>
    <t>SHGB 852/CAMPANG RAYA</t>
  </si>
  <si>
    <t>M. 861/SUMUR PUTRI</t>
  </si>
  <si>
    <t>SHGB 772/CAMPANG RAYA</t>
  </si>
  <si>
    <t>M. 332/BATU PUTU</t>
  </si>
  <si>
    <t>M.1396/LABUHAN DALAM</t>
  </si>
  <si>
    <t>M. 52/JAGABAYA III</t>
  </si>
  <si>
    <t>M 1547/ LABUHAN RATU RAYA</t>
  </si>
  <si>
    <t xml:space="preserve">M. 131/Bilabong Jaya	</t>
  </si>
  <si>
    <t xml:space="preserve">M. 5628/Langkapura	</t>
  </si>
  <si>
    <t>M 1226/ KALIAWI</t>
  </si>
  <si>
    <t>B. 156/BUMI WARAS</t>
  </si>
  <si>
    <t>M. 69/TANJUNG AGUNG RAYA</t>
  </si>
  <si>
    <t>M 2116/Kupang Teba</t>
  </si>
  <si>
    <t>M. 9783/ Sukamenanti Baru</t>
  </si>
  <si>
    <t>M 1117/ LABUHAN DALAM</t>
  </si>
  <si>
    <t>M 15730/ SUKABUMI</t>
  </si>
  <si>
    <t>M 1640/ KEDAUNG</t>
  </si>
  <si>
    <t>M. 2235/SEPANG JAYA</t>
  </si>
  <si>
    <t>M. 307/RAJABASA RAYA</t>
  </si>
  <si>
    <t>M 2784/ WAY KANDIS</t>
  </si>
  <si>
    <t>M 1078/ KORPRI JAYA</t>
  </si>
  <si>
    <t>M 3274/ KOTA KARANG</t>
  </si>
  <si>
    <t>M 7/ BUMI KEDAMAIAN</t>
  </si>
  <si>
    <t>M 1017/ NOG</t>
  </si>
  <si>
    <t xml:space="preserve">M. 16465/Sukabumi	</t>
  </si>
  <si>
    <t xml:space="preserve">M. 1156/Sukarame II	</t>
  </si>
  <si>
    <t xml:space="preserve">M. 1911/Beringin Raya	</t>
  </si>
  <si>
    <t xml:space="preserve">M. 1040/Pematang Wangi	</t>
  </si>
  <si>
    <t xml:space="preserve">M. 1528/Kedaung	</t>
  </si>
  <si>
    <t xml:space="preserve">M. 4644/Sukadana Ham	</t>
  </si>
  <si>
    <t xml:space="preserve">M. 593/Gunung Terang	</t>
  </si>
  <si>
    <t>M. 02/Way Kandis</t>
  </si>
  <si>
    <t>M. 1179/RAJABASA PEMUKA</t>
  </si>
  <si>
    <t>M. 152/KUPANG RAYA</t>
  </si>
  <si>
    <t>SHGB 3081/SUKABUMI</t>
  </si>
  <si>
    <t>M. 2372/TANJUNG SENANG</t>
  </si>
  <si>
    <t>B. 1361/WAY HALIM PERMAI</t>
  </si>
  <si>
    <t>B. 646/NUSANTARA PERMAI</t>
  </si>
  <si>
    <t>M. 461 SUKABUMI INDAH</t>
  </si>
  <si>
    <t>B 5057/ SUKABUMI</t>
  </si>
  <si>
    <t>M 376/LABUHAN DALAM</t>
  </si>
  <si>
    <t>M. 1919/SUKABUMI INDAH</t>
  </si>
  <si>
    <t>M 305/ GEDONG AIR</t>
  </si>
  <si>
    <t>M 1413/ KOTA BARU</t>
  </si>
  <si>
    <t>M 1763/ JAGABAYA III</t>
  </si>
  <si>
    <t xml:space="preserve">M. 5374/Rajabasa Jaya	</t>
  </si>
  <si>
    <t>B. 859/PWK</t>
  </si>
  <si>
    <t>M 6125/ WAY KANDIS</t>
  </si>
  <si>
    <t>M 3266/ KOTA BARU</t>
  </si>
  <si>
    <t>M 82/KOTA SEPANG</t>
  </si>
  <si>
    <t xml:space="preserve">M. 1836/Beringin Jaya	</t>
  </si>
  <si>
    <t xml:space="preserve">M. 242/Pengajaran	</t>
  </si>
  <si>
    <t xml:space="preserve">M. 2672/Campang Raya	</t>
  </si>
  <si>
    <t xml:space="preserve">M. 3130/Sukadana Ham	</t>
  </si>
  <si>
    <t xml:space="preserve">M. 683/Sukaraja	</t>
  </si>
  <si>
    <t xml:space="preserve">M. 2314/Sukarame Baru	</t>
  </si>
  <si>
    <t xml:space="preserve">M. 3440/Langkapura	</t>
  </si>
  <si>
    <t>M. 434/Korpri Raya</t>
  </si>
  <si>
    <t>M.1155/KORPRI JAYA</t>
  </si>
  <si>
    <t>M. 1557/KALI BALAU KENCANA</t>
  </si>
  <si>
    <t>M. 2961/TANJUNG SENANG</t>
  </si>
  <si>
    <t>M. 455/KALIAWI PERSADA</t>
  </si>
  <si>
    <t>M. 1153/KANGKUNG</t>
  </si>
  <si>
    <t>M. 10036/SUKABUMI</t>
  </si>
  <si>
    <t>M. 804/BAKUNG</t>
  </si>
  <si>
    <t>M. 1375/BATU PUTUK</t>
  </si>
  <si>
    <t>M. 450/PINANG JAYA</t>
  </si>
  <si>
    <t>M. 602/PERUMNAS WAY HALIM</t>
  </si>
  <si>
    <t>M.9351/SUKABUMI</t>
  </si>
  <si>
    <t>M. 181/KEMILING RAYA</t>
  </si>
  <si>
    <t>B. 1197/WAY HALIM PERMAI</t>
  </si>
  <si>
    <t>M. 23/BILABONG JAYA</t>
  </si>
  <si>
    <t>M. 472/KORPRI JAYA</t>
  </si>
  <si>
    <t>B. 647/NUSANTARA PERMAI</t>
  </si>
  <si>
    <t>M. 133/WAY DADI BARU</t>
  </si>
  <si>
    <t>M. 13158/BERINGIN RAYA</t>
  </si>
  <si>
    <t>M. 497/PERUMNAS WAY KANDIS</t>
  </si>
  <si>
    <t>M. 37/PERWATA</t>
  </si>
  <si>
    <t>M. 1618/KALIAWI</t>
  </si>
  <si>
    <t>M. 1358/GEDONG AIR</t>
  </si>
  <si>
    <t>M. 5430/WAY KANDIS</t>
  </si>
  <si>
    <t>M. 281/RAWA LAUT</t>
  </si>
  <si>
    <t>B. 854/ Perumnas way kandis</t>
  </si>
  <si>
    <t xml:space="preserve">M. 2404/Labuhan Dalam	</t>
  </si>
  <si>
    <t>M. 1914/Beringin Jaya</t>
  </si>
  <si>
    <t>M. 3187/Sukarame Baru</t>
  </si>
  <si>
    <t>M. 1517/ Rajabasa Jaya</t>
  </si>
  <si>
    <t>M 1726/ KALIAWI</t>
  </si>
  <si>
    <t>M 1357/ PERUMNAS WAY HALIM</t>
  </si>
  <si>
    <t>M 1622/ TELUK BETUNG</t>
  </si>
  <si>
    <t>B 642/ SUMBER AGUNG</t>
  </si>
  <si>
    <t>M 2615/ SUKARAME BARU</t>
  </si>
  <si>
    <t>M 1394/ PANJANG SELATAN</t>
  </si>
  <si>
    <t>M 1064/ GUNUNG AGUNG</t>
  </si>
  <si>
    <t>B 623/ SUKAMAJU</t>
  </si>
  <si>
    <t>M 6817/ TANJUNG SENANG</t>
  </si>
  <si>
    <t>M 1630/ PESAWAHAN</t>
  </si>
  <si>
    <t>M. 956/ Pengajaran</t>
  </si>
  <si>
    <t>B 3688/ NUSANTARA PERMAI</t>
  </si>
  <si>
    <t>M 9077/ SUKABUMI</t>
  </si>
  <si>
    <t>M 2932/ LABUHAN DALAM</t>
  </si>
  <si>
    <t>M 2342/ SEPANG JAYA</t>
  </si>
  <si>
    <t>M 865/ PASIR GINTUNG</t>
  </si>
  <si>
    <t>M 510/ KEBON JERUK</t>
  </si>
  <si>
    <t>M 207/ BUMI RAYA</t>
  </si>
  <si>
    <t>B 5053/ SUKABUMI</t>
  </si>
  <si>
    <t>B 5060/ SUKABUMI</t>
  </si>
  <si>
    <t>B 63/ RAJABASA NUNYAI</t>
  </si>
  <si>
    <t>M 11957/ SEGALA MIDER</t>
  </si>
  <si>
    <t xml:space="preserve">M. 3485/Way Kandis	</t>
  </si>
  <si>
    <t>B. 2333/CAMPANG RAYA</t>
  </si>
  <si>
    <t>B 789/ SUMUR PUTRI</t>
  </si>
  <si>
    <t>M 2651/ WAY KANDIS</t>
  </si>
  <si>
    <t>M 13717/ SEGALA MIDER</t>
  </si>
  <si>
    <t>M 1055/ PENGAJARAN</t>
  </si>
  <si>
    <t>M 1629/ PESAWAHAN</t>
  </si>
  <si>
    <t>B. 2043/CAMPANG RAYA</t>
  </si>
  <si>
    <t>M 1059/ KUPANG KOTA</t>
  </si>
  <si>
    <t>M 4929/ SUKADANA HAM</t>
  </si>
  <si>
    <t>M 1237/ KANGKUNG</t>
  </si>
  <si>
    <t>B 3517/ SUKARAME</t>
  </si>
  <si>
    <t>M. 1218/PERUMNAS WAY KANDIS</t>
  </si>
  <si>
    <t xml:space="preserve">M. 9441/Bumi Kedamaian	</t>
  </si>
  <si>
    <t>M 1842/ Kaliawi</t>
  </si>
  <si>
    <t>M 3288/ KUPANG TEBA</t>
  </si>
  <si>
    <t>M.580/Langkapura Baru</t>
  </si>
  <si>
    <t>M 477/ SUKAMENANTI BARU</t>
  </si>
  <si>
    <t>M 201/Jg.III</t>
  </si>
  <si>
    <t>M.1336/Pesawahan</t>
  </si>
  <si>
    <t>SHM 410/W.D</t>
  </si>
  <si>
    <t>M 3383/ KEMILING PERMAI</t>
  </si>
  <si>
    <t>M.12403/ sukabumi</t>
  </si>
  <si>
    <t>M.1889/Rajabasa Jaya</t>
  </si>
  <si>
    <t>M 43/ KALIAWI</t>
  </si>
  <si>
    <t>M 46/ KORPRI JAYA</t>
  </si>
  <si>
    <t>M 4969/ WAY KANDIS</t>
  </si>
  <si>
    <t>M.11228 sukabumi</t>
  </si>
  <si>
    <t>M.4040/GUNUNG TERANG</t>
  </si>
  <si>
    <t>M. 3997/WAY KANDIS</t>
  </si>
  <si>
    <t>M. 2057/SUMBER AGUNG</t>
  </si>
  <si>
    <t>M.425/ sumber agung</t>
  </si>
  <si>
    <t>M. 1048/ GEDONG AIR</t>
  </si>
  <si>
    <t>M 10148/ KAMPUNG BARU</t>
  </si>
  <si>
    <t>M 240/ SUKARAME II</t>
  </si>
  <si>
    <t>M 13499/ SUKABUMI</t>
  </si>
  <si>
    <t>m 1663/ keteguhan</t>
  </si>
  <si>
    <t>M. 10598/kedaton</t>
  </si>
  <si>
    <t xml:space="preserve">M.3225/Kupang Teba </t>
  </si>
  <si>
    <t>M. 947 KALI BALAU KENCANA</t>
  </si>
  <si>
    <t>M 5111/ TANJUNG SENANG</t>
  </si>
  <si>
    <t>M.16318, kelurahan Sukarame</t>
  </si>
  <si>
    <t>B 04199/ KALI BALAU KENCANA</t>
  </si>
  <si>
    <t>M.01003/Korpri Jaya</t>
  </si>
  <si>
    <t>B 1206/ SUKABUMI INDAH</t>
  </si>
  <si>
    <t>HM 02148/  KETEGUHAN</t>
  </si>
  <si>
    <t>M. 00058/kebon jeruk</t>
  </si>
  <si>
    <t>M. 1386/GOTONG ROYONG</t>
  </si>
  <si>
    <t>B. 1381/PINANG JAYA</t>
  </si>
  <si>
    <t>M. 1583/SUKABUMI INDAH</t>
  </si>
  <si>
    <t>M. 1153/SUKAJAWA</t>
  </si>
  <si>
    <t>M. 855 DAN M. 854/ SEPANG JAYA</t>
  </si>
  <si>
    <t>M. 2381/pinang jaya</t>
  </si>
  <si>
    <t>M.02315/Sumber Agung</t>
  </si>
  <si>
    <t>SHM NO 2182/Labuhan Ratu Raya</t>
  </si>
  <si>
    <t xml:space="preserve">M. 1129/Gunung Sulah </t>
  </si>
  <si>
    <t>M. 2382/pinang jaya</t>
  </si>
  <si>
    <t xml:space="preserve">M. 402/ Enggal	</t>
  </si>
  <si>
    <t xml:space="preserve">M.1618/KALIAWI </t>
  </si>
  <si>
    <t>M. 1727/ Bumi Kedamaian</t>
  </si>
  <si>
    <t>M. 223/Sukarame Baru</t>
  </si>
  <si>
    <t>M. 1711/keteguhan</t>
  </si>
  <si>
    <t>M.1232/Kangkung</t>
  </si>
  <si>
    <t>M.1231/Kangkung</t>
  </si>
  <si>
    <t>M. 12711/SUKABUMI</t>
  </si>
  <si>
    <t>M. 2330/KALIAWI</t>
  </si>
  <si>
    <t>M. 1696/SUKAMAJU</t>
  </si>
  <si>
    <t>M. 17083/SUKARAME I</t>
  </si>
  <si>
    <t>M. 4112/BERINGIN RAYA</t>
  </si>
  <si>
    <t>B. 4136/SUKABUMI</t>
  </si>
  <si>
    <t>B. 4518/BERINGIN RAYA</t>
  </si>
  <si>
    <t>SHM 3438/BERINGIN RAYA DAN SHGB 4149/BERINGIN RAYA</t>
  </si>
  <si>
    <t>M. 455/PERUMNAS WAY KANDIS</t>
  </si>
  <si>
    <t>M. 3361/WAY KANDIS</t>
  </si>
  <si>
    <t>M. 12091/JAGABAYA II</t>
  </si>
  <si>
    <t xml:space="preserve">B. 33/Campang Raya	</t>
  </si>
  <si>
    <t>M. 450/PERUMNAS WAY KANDIS</t>
  </si>
  <si>
    <t>SHM. 13321/RAJABASA</t>
  </si>
  <si>
    <t>M. 14010/SUKARAME 1 DAN 14008/WAY HALIM PERMAI</t>
  </si>
  <si>
    <t>M. 1069/NEGERI OLOK GADING</t>
  </si>
  <si>
    <t>M. 13871 , 13385, 13390/KEDAMAIAN</t>
  </si>
  <si>
    <t>B. 83/PINANG JAYA</t>
  </si>
  <si>
    <t>M. 13213/KEDAMAIAN</t>
  </si>
  <si>
    <t>B. 1232/SUKABUMI INDAH</t>
  </si>
  <si>
    <t>M. 1212/LANGKAPURA</t>
  </si>
  <si>
    <t>B. 224/LABUHAN RATU</t>
  </si>
  <si>
    <t>SHM 1205/Panjang Selatan</t>
  </si>
  <si>
    <t>M. 18150/Sukarame I</t>
  </si>
  <si>
    <t>M. 84/Kaliawi Persada</t>
  </si>
  <si>
    <t>M 200/Jg.III</t>
  </si>
  <si>
    <t>B. 284/TANJUNGKARANG</t>
  </si>
  <si>
    <t>M. 580/PERUMNAS WAY HALIM</t>
  </si>
  <si>
    <t>B. 761/SUMUR PUTRI</t>
  </si>
  <si>
    <t>M 2838/ SUMBER REJO</t>
  </si>
  <si>
    <t>M. 13664/SUKABUMI</t>
  </si>
  <si>
    <t>M 1839/ RAJABASA PEMUKA</t>
  </si>
  <si>
    <t>M 1876/ LABUHAN DALAM</t>
  </si>
  <si>
    <t>M 1877/ LABUHAN DALAM</t>
  </si>
  <si>
    <t>M 1878/ LABUHAN DALAM</t>
  </si>
  <si>
    <t xml:space="preserve">B. 2640/ Sukarame </t>
  </si>
  <si>
    <t>m 559/ sumur batu</t>
  </si>
  <si>
    <t>M 1028/ WAY GUBAK</t>
  </si>
  <si>
    <t>M. 1065/GUNUNG AGUNG</t>
  </si>
  <si>
    <t>M. 707/PELITA</t>
  </si>
  <si>
    <t>M. 265/DURIAN PAYUNG</t>
  </si>
  <si>
    <t>SHGB 5651/BERINGIN RAYA</t>
  </si>
  <si>
    <t>M. 9592/SUKABUMI</t>
  </si>
  <si>
    <t>M. 503/SUMUR BATU</t>
  </si>
  <si>
    <t>M.34/Bumi Kedamaian.</t>
  </si>
  <si>
    <t>M. 489/SUKAMENANTI BARU</t>
  </si>
  <si>
    <t>2551/pinang jaya</t>
  </si>
  <si>
    <t xml:space="preserve">M. 2510/pinang jaya </t>
  </si>
  <si>
    <t>Shm.8278/sukabumi</t>
  </si>
  <si>
    <t>M. 1961/Kali Balau Kencana</t>
  </si>
  <si>
    <t>M. 13767/Sukabumi</t>
  </si>
  <si>
    <t>M. 1694/beringin jaya</t>
  </si>
  <si>
    <t>SHM NO 06422</t>
  </si>
  <si>
    <t>SHM NO 07024</t>
  </si>
  <si>
    <t>M 10263/ KAMPUNG BARU</t>
  </si>
  <si>
    <t>M.1644/PANJANG SELATAN</t>
  </si>
  <si>
    <t xml:space="preserve">B. 457/Nusantara Permai	</t>
  </si>
  <si>
    <t>M.1623/Teluk betung</t>
  </si>
  <si>
    <t>1793 kep gedong air tanjung karang barat</t>
  </si>
  <si>
    <t xml:space="preserve">SHM 453 </t>
  </si>
  <si>
    <t>M. 2215</t>
  </si>
  <si>
    <t>SHGB 5650/BERINGIN RAYA</t>
  </si>
  <si>
    <t>M.6812/Surabaya</t>
  </si>
  <si>
    <t>M.9176/SIDODADI</t>
  </si>
  <si>
    <t>M 2438/ KEDAUNG</t>
  </si>
  <si>
    <t>M 2647/ SUKARAME BARU</t>
  </si>
  <si>
    <t>B. 858/PERUMNAS WAY KANDIS</t>
  </si>
  <si>
    <t>1228/Sukabumi Indah</t>
  </si>
  <si>
    <t>M. 1162/PERUMNAS WAY KANDIS</t>
  </si>
  <si>
    <t>M. 13193/TANJUNG BARU</t>
  </si>
  <si>
    <t>M.1396/Su.H/Sukadana Ham</t>
  </si>
  <si>
    <t>M.7561/Surabaya</t>
  </si>
  <si>
    <t>B. 1383/PINANG JAYA</t>
  </si>
  <si>
    <t>SHM no 2775/Beringin Raya</t>
  </si>
  <si>
    <t>M  279/ GUNUNG SULAH</t>
  </si>
  <si>
    <t>M. 02237/Way Laga</t>
  </si>
  <si>
    <t>M.1644/Sumur Putri</t>
  </si>
  <si>
    <t>M. 1622/TANJUNG SENANG</t>
  </si>
  <si>
    <t>M 19314/Sukarame</t>
  </si>
  <si>
    <t>M. 2530/sukarame baru</t>
  </si>
  <si>
    <t>M. 10278/SUKABUMI</t>
  </si>
  <si>
    <t>M 3381/ KEMILING PERMAI</t>
  </si>
  <si>
    <t>M.2446/Sukadana Ham</t>
  </si>
  <si>
    <t>M. 19153/SUKARAME I</t>
  </si>
  <si>
    <t>M. 233/WAY TATAAN</t>
  </si>
  <si>
    <t>SHM. 2666/ SUMBERREJO</t>
  </si>
  <si>
    <t>B. 648/NUSANTARA PERMAI</t>
  </si>
  <si>
    <t>M. 9389/ SURABAYA</t>
  </si>
  <si>
    <t>M. 10550/SUKAMENANTI</t>
  </si>
  <si>
    <t>B.1384/PINANG JAYA</t>
  </si>
  <si>
    <t>SHM. 02294</t>
  </si>
  <si>
    <t>M 2447/ KEDAUNG</t>
  </si>
  <si>
    <t>M.01004/Korpri Jaya</t>
  </si>
  <si>
    <t>M 2721/ SUKAJAWA</t>
  </si>
  <si>
    <t>B 30/ PALAPA</t>
  </si>
  <si>
    <t>M 1253/ LANGKUPARA BARU</t>
  </si>
  <si>
    <t>2514/Kemiling Permai</t>
  </si>
  <si>
    <t>M. 1717/BATU PUTUK</t>
  </si>
  <si>
    <t>B. 1380/PINANG JAYA</t>
  </si>
  <si>
    <t>B. 1501/KEMILING PERMAI</t>
  </si>
  <si>
    <t>M. 2172/Way Halim Permai</t>
  </si>
  <si>
    <t>SHM 11642/kedamain</t>
  </si>
  <si>
    <t>M 588 campang jaya</t>
  </si>
  <si>
    <t>M 13774/Sukabumi</t>
  </si>
  <si>
    <t>SHM 00980/Pematang Wangi</t>
  </si>
  <si>
    <t>M. 1873/Sumber Rejo</t>
  </si>
  <si>
    <t>M. 11019/JAGABAYA II</t>
  </si>
  <si>
    <t>M 7747/Segala Mider</t>
  </si>
  <si>
    <t>M 2217/ KETEGUHAN</t>
  </si>
  <si>
    <t>M 2334/ KEDAUNG</t>
  </si>
  <si>
    <t>M.00771/Sumber Agung</t>
  </si>
  <si>
    <t>SHM 1520/Keteguhan</t>
  </si>
  <si>
    <t>B. 650/NUSANTARA PERMAI</t>
  </si>
  <si>
    <t>m 3106/ gunung terang</t>
  </si>
  <si>
    <t>1282/Prm</t>
  </si>
  <si>
    <t>603/K.B.K</t>
  </si>
  <si>
    <t>M 1428/ LABUHAN RATU RAYA</t>
  </si>
  <si>
    <t>M 3695/nusantara permai</t>
  </si>
  <si>
    <t xml:space="preserve">M 11935/ RAJABASA </t>
  </si>
  <si>
    <t xml:space="preserve">M 5291/ langkapura </t>
  </si>
  <si>
    <t>M 1883/ RAJABASA NUNYAI</t>
  </si>
  <si>
    <t>M 2014/Jagabaya III</t>
  </si>
  <si>
    <t>M.18384/Sukarame</t>
  </si>
  <si>
    <t>M 1549/ rajabasa nunyai</t>
  </si>
  <si>
    <t>M. 12324/KEDAMAIAN</t>
  </si>
  <si>
    <t>M. 12323/KEDAMAIAN</t>
  </si>
  <si>
    <t>M 292/ CAMPANG JAYA</t>
  </si>
  <si>
    <t>M.11351 TANJUNG BARU</t>
  </si>
  <si>
    <t>M.89/sbr</t>
  </si>
  <si>
    <t>M 9423/ KAMPUNG BARU</t>
  </si>
  <si>
    <t>M. 587/Korpri Raya</t>
  </si>
  <si>
    <t>M 6051/ Tanjung senang</t>
  </si>
  <si>
    <t>M. 12765/Kdm</t>
  </si>
  <si>
    <t>M 508/ TANJUNG AGUNG</t>
  </si>
  <si>
    <t>M 3304/ BERINGIN RAYA</t>
  </si>
  <si>
    <t>M 85/ gedong meneng baru</t>
  </si>
  <si>
    <t>SHM 1746/Beringin Jaya</t>
  </si>
  <si>
    <t>M 5148/ rajabasa jaya</t>
  </si>
  <si>
    <t>m 13167/ segala mider</t>
  </si>
  <si>
    <t>M 6646/ TANJUNG SENANG</t>
  </si>
  <si>
    <t>B 350/ PERUMNAS WAY HALIM</t>
  </si>
  <si>
    <t>M 853/ PERUMNAS WAY HALIM</t>
  </si>
  <si>
    <t>Hm 1729/ Bumi Kedamaian</t>
  </si>
  <si>
    <t>B 139/ Gunung terang</t>
  </si>
  <si>
    <t>M.1382/Pengajaran</t>
  </si>
  <si>
    <t>M. 4311/SUKADANA HAM</t>
  </si>
  <si>
    <t>HGB 525/Rajabasa Nunyai</t>
  </si>
  <si>
    <t>m 8255/ sukabumi</t>
  </si>
  <si>
    <t>M 1880/ RAJABASA JAYA</t>
  </si>
  <si>
    <t>M 612/ korpri raya</t>
  </si>
  <si>
    <t>M.237/Ps</t>
  </si>
  <si>
    <t>B. 355/ Negeri Olok Gading</t>
  </si>
  <si>
    <t>M 96/Rj.j dan 149/Rj.j</t>
  </si>
  <si>
    <t>M 236/ GUNUNG TERANG</t>
  </si>
  <si>
    <t>M. 2980/KUPANG TEBA</t>
  </si>
  <si>
    <t>M. 1152/korpri Jaya</t>
  </si>
  <si>
    <t>M. 311/Gunung Sulah</t>
  </si>
  <si>
    <t>M. 968/Pelita</t>
  </si>
  <si>
    <t>M 2627/Sukarame II</t>
  </si>
  <si>
    <t>M. 259/Penengahan Raya</t>
  </si>
  <si>
    <t xml:space="preserve">M 3836 gunung terang </t>
  </si>
  <si>
    <t>350/E</t>
  </si>
  <si>
    <t>M. 1017/campang jaya</t>
  </si>
  <si>
    <t>M. 1057/KURIPAN</t>
  </si>
  <si>
    <t>M. 13894/TANJUNG BARU</t>
  </si>
  <si>
    <t>88/I/MASRS/T</t>
  </si>
  <si>
    <t>87/I/MASRS/T</t>
  </si>
  <si>
    <t>M. 1836/SUSUNAN  BARU</t>
  </si>
  <si>
    <t>SHGB 00791/ SUMUR PUTRI</t>
  </si>
  <si>
    <t>SHM 1040 KORPRI JAYA</t>
  </si>
  <si>
    <t>M 970/ KEDAUNG</t>
  </si>
  <si>
    <t>M 82/ RAJABASA JAYA</t>
  </si>
  <si>
    <t>M 16497/sukabumi</t>
  </si>
  <si>
    <t>SHM 01052/Pematang Wangi</t>
  </si>
  <si>
    <t>M.5146/TANJUNG SENANG</t>
  </si>
  <si>
    <t>M.5145/TANJUNG SENANG</t>
  </si>
  <si>
    <t>M 978/ LABUHAN RATU RAYA</t>
  </si>
  <si>
    <t>M 2185/ LABUHAN RATU RAYA</t>
  </si>
  <si>
    <t>M 1162/ SUKARAME II</t>
  </si>
  <si>
    <t>M 2331/ KEDAUNG</t>
  </si>
  <si>
    <t>M 323/ Sawah brebes</t>
  </si>
  <si>
    <t>B 357/ TANJUNG GADING</t>
  </si>
  <si>
    <t>Shm 11062/Jg.II</t>
  </si>
  <si>
    <t>B.888/ps</t>
  </si>
  <si>
    <t>Shm 50/Kupang Teba</t>
  </si>
  <si>
    <t>M. 398/PERUMNAS WAY KANDIS</t>
  </si>
  <si>
    <t>B. 2091/SUKARAME I</t>
  </si>
  <si>
    <t>M. 173/NEGERI OLOK GADING</t>
  </si>
  <si>
    <t>M. 809/ KORPRI JAYA</t>
  </si>
  <si>
    <t>M. 1320/sumur batu</t>
  </si>
  <si>
    <t>M.1034/WAY HALIM HALIM</t>
  </si>
  <si>
    <t>M 1072/ Kedaung</t>
  </si>
  <si>
    <t>1411/Gu.T</t>
  </si>
  <si>
    <t>M 4456/ GUNUNG TERANG</t>
  </si>
  <si>
    <t xml:space="preserve">M. 481/Rajabasa Jaya	</t>
  </si>
  <si>
    <t>M. 2047/JAGABAYA III</t>
  </si>
  <si>
    <t>M. 500/Kupang Kota</t>
  </si>
  <si>
    <t>M. 15110/SUKABUMI</t>
  </si>
  <si>
    <t>M 499/ kaliawi</t>
  </si>
  <si>
    <t>M. 1969/Sukabumi Indah</t>
  </si>
  <si>
    <t>M.3081/Kemiling Permai</t>
  </si>
  <si>
    <t>HGB.4989/Campang Raya</t>
  </si>
  <si>
    <t>SHGB 00613</t>
  </si>
  <si>
    <t>M.2015/Rajabasa Raya</t>
  </si>
  <si>
    <t>Shm 376/E</t>
  </si>
  <si>
    <t>M.812/Way Dadi</t>
  </si>
  <si>
    <t>102/KBJ</t>
  </si>
  <si>
    <t>M 607/ korpri raya</t>
  </si>
  <si>
    <t>M. 1902/BERINGIN JAYA</t>
  </si>
  <si>
    <t>M. 1834/KANGKUNG</t>
  </si>
  <si>
    <t>M. 971/RAWA LAUT</t>
  </si>
  <si>
    <t>M  2511/ LANGKAPURA</t>
  </si>
  <si>
    <t>M 1160 korpri jaya</t>
  </si>
  <si>
    <t>M 2947/way kandis</t>
  </si>
  <si>
    <t>M.3199/ Sukrame Baru</t>
  </si>
  <si>
    <t xml:space="preserve">M.9982/Sidodadi </t>
  </si>
  <si>
    <t>M. 602/KORPRI RAYA</t>
  </si>
  <si>
    <t>M. 1278/LANGKAPURA BARU</t>
  </si>
  <si>
    <t>M. 10878/SUKABUMI</t>
  </si>
  <si>
    <t>M 380/ SAWAH BREBES</t>
  </si>
  <si>
    <t>M. 1578/CAMPANG JAYA</t>
  </si>
  <si>
    <t>12472/Rajabasa</t>
  </si>
  <si>
    <t>315/SUKAJAWA</t>
  </si>
  <si>
    <t>12471/Rajabasa</t>
  </si>
  <si>
    <t>M. 1935/ sukarame baru</t>
  </si>
  <si>
    <t>SHGB 859/PERUMNAS WAY KANDIS</t>
  </si>
  <si>
    <t>2116/kupang teba</t>
  </si>
  <si>
    <t>M. 11668/Segala Mider</t>
  </si>
  <si>
    <t xml:space="preserve">M. 2093/Sukadana Ham	</t>
  </si>
  <si>
    <t>M. 03196/ KEMILING PERMAI</t>
  </si>
  <si>
    <t>HGB 91/BILABONG JAYA</t>
  </si>
  <si>
    <t>M. 70/KEBON JERUK</t>
  </si>
  <si>
    <t xml:space="preserve">M 479/ Sumur putri </t>
  </si>
  <si>
    <t>1562/panjang selatan</t>
  </si>
  <si>
    <t>M. 312/ ketapang</t>
  </si>
  <si>
    <t>M 1624/ TELUK BETUNG</t>
  </si>
  <si>
    <t>M 1010/ WAY HALIM PERMAI</t>
  </si>
  <si>
    <t>M. 725/SAWAH LAMA</t>
  </si>
  <si>
    <t>M. 196/KORPRI RAYA</t>
  </si>
  <si>
    <t>M 291/ SUKARAME II</t>
  </si>
  <si>
    <t>M 10266/ kedaton</t>
  </si>
  <si>
    <t>M. 5472/Way Kandis</t>
  </si>
  <si>
    <t>SHM No.417/SKB.I</t>
  </si>
  <si>
    <t>M 13541/ SUKABUMI</t>
  </si>
  <si>
    <t>Shm 4850 langkapura</t>
  </si>
  <si>
    <t>M 16367/ SUKABUMI</t>
  </si>
  <si>
    <t>M 76/ penengahan</t>
  </si>
  <si>
    <t>SHM 1027 / ENGGAL</t>
  </si>
  <si>
    <t>M.197/Jg.III</t>
  </si>
  <si>
    <t>M 444/ sawah lama</t>
  </si>
  <si>
    <t>M 1447/ LABUHAN DALAM</t>
  </si>
  <si>
    <t>M 5774/ TANJUNG SENANG</t>
  </si>
  <si>
    <t>M 13790</t>
  </si>
  <si>
    <t>M 10829/ GEDONG MENENG</t>
  </si>
  <si>
    <t>M. 1110/pinang jaya</t>
  </si>
  <si>
    <t>B. 497/Sukamaju</t>
  </si>
  <si>
    <t>M 9831/ TANJUNG BARU</t>
  </si>
  <si>
    <t>M. 1006/ GEDONG AIR</t>
  </si>
  <si>
    <t>M 797/ SUKAJAWA</t>
  </si>
  <si>
    <t>M 10360/ RAJABASA</t>
  </si>
  <si>
    <t>M. 12061/SEGALA MIDER</t>
  </si>
  <si>
    <t>B. 181/SUMUR PUTRI</t>
  </si>
  <si>
    <t>M.1309/Kemiling raya</t>
  </si>
  <si>
    <t>M.1080/Pematang Wangi</t>
  </si>
  <si>
    <t>m.6460/tjs</t>
  </si>
  <si>
    <t>M.1338/Tanjung Senang</t>
  </si>
  <si>
    <t>M. 2005/ Rajabasa Raya</t>
  </si>
  <si>
    <t>M. 1330/Beringin Raya</t>
  </si>
  <si>
    <t>HGB 613/Sukarame Baru</t>
  </si>
  <si>
    <t>6812/SURABAYA</t>
  </si>
  <si>
    <t>M 1247/ BERINGIN RAYA</t>
  </si>
  <si>
    <t>M 6647/ TANJUNG SENANG</t>
  </si>
  <si>
    <t>B 304/ sukarame baru</t>
  </si>
  <si>
    <t xml:space="preserve">SHM 1331/Durian payung </t>
  </si>
  <si>
    <t>M. 2302/pinang jaya</t>
  </si>
  <si>
    <t>SHGB 317 sumur putri</t>
  </si>
  <si>
    <t>M 30/ kampung baru raya</t>
  </si>
  <si>
    <t>M 320/ TALANG</t>
  </si>
  <si>
    <t>B.567/Kemiling Permai</t>
  </si>
  <si>
    <t>M 2305/ BUMI WARAS</t>
  </si>
  <si>
    <t>Shm 1247/Sukarame Baru</t>
  </si>
  <si>
    <t>Shm 1246/Sukarame Baru</t>
  </si>
  <si>
    <t>SHGB 0688/Sumber Agung</t>
  </si>
  <si>
    <t>SHGB 0676/Sumber Agung</t>
  </si>
  <si>
    <t>M 01134/RAJABASA PEMUKA</t>
  </si>
  <si>
    <t>M. 18136/SUKARAME</t>
  </si>
  <si>
    <t>M. 408 &amp; 409 / SUKARAME BARU</t>
  </si>
  <si>
    <t>M. 1873/ Gedong AIr</t>
  </si>
  <si>
    <t>M 9272/ SIDODADI</t>
  </si>
  <si>
    <t>14438/ Sukarame</t>
  </si>
  <si>
    <t>450/Nusantara Permai</t>
  </si>
  <si>
    <t>M. 1122/sumber agung</t>
  </si>
  <si>
    <t>m 1767/ sumber agung</t>
  </si>
  <si>
    <t>M.10272/Kampung Baru</t>
  </si>
  <si>
    <t>M. 1422/SEPANG JAYA</t>
  </si>
  <si>
    <t>M. 1778/LABUHAN RATU RAYA</t>
  </si>
  <si>
    <t>M 2010/ sumber rejo sejahtera</t>
  </si>
  <si>
    <t>m 2009/ sumber rejo sejahtera</t>
  </si>
  <si>
    <t>M. 7028/TANJUNG SENANG</t>
  </si>
  <si>
    <t>M 1979/ KURIPAN</t>
  </si>
  <si>
    <t>M.86/Gedong meneng baru</t>
  </si>
  <si>
    <t>SHM. 2422</t>
  </si>
  <si>
    <t xml:space="preserve">M.1897/K.Kg/Kota Karang </t>
  </si>
  <si>
    <t>M.1343/TanjungKarang</t>
  </si>
  <si>
    <t>M.1998/Sumberrejo Sejahtera</t>
  </si>
  <si>
    <t>M 4225  / rajabasa jaya</t>
  </si>
  <si>
    <t>M.2827/Gunung Terang</t>
  </si>
  <si>
    <t>B. 592/Sukarame Baru</t>
  </si>
  <si>
    <t>M. 1127/SUKARAME BARU</t>
  </si>
  <si>
    <t>M 12875/ BERINGIN RAYA</t>
  </si>
  <si>
    <t>HM 3286/KETEGUHAN</t>
  </si>
  <si>
    <t>B 294/ BAKUNG</t>
  </si>
  <si>
    <t>M 1229/pematang wangi</t>
  </si>
  <si>
    <t>M 3200/ sukarame baru</t>
  </si>
  <si>
    <t>SHGB 00700/Sumber Agung</t>
  </si>
  <si>
    <t>M. 4660/Sukadana Ham</t>
  </si>
  <si>
    <t>M. 1274/Pinang Jaya</t>
  </si>
  <si>
    <t>SHM NO. 03769/Sukadana HAM</t>
  </si>
  <si>
    <t>M.472/SUKABUMI INDAH</t>
  </si>
  <si>
    <t>M 1105/Pematang Wangi</t>
  </si>
  <si>
    <t>M.598/korpri raya</t>
  </si>
  <si>
    <t>M.00425/Kelapa Tiga Permai</t>
  </si>
  <si>
    <t>B 5652/ BERINGIN RAYA</t>
  </si>
  <si>
    <t>11994/Jg.II</t>
  </si>
  <si>
    <t>B 582/ Sumber Agung</t>
  </si>
  <si>
    <t>M.14580/Sukarame</t>
  </si>
  <si>
    <t>Shm 2056 JAGABAYA III</t>
  </si>
  <si>
    <t>1584/TB</t>
  </si>
  <si>
    <t>M. 2187/Labuhan Ratu</t>
  </si>
  <si>
    <t>M.4412 RAJABASA JAYA</t>
  </si>
  <si>
    <t>M. 780/GEDONG AIR</t>
  </si>
  <si>
    <t>M.1293./Kangkung</t>
  </si>
  <si>
    <t>M. 260/penengahan raya</t>
  </si>
  <si>
    <t>M 6648/ tanjung senang</t>
  </si>
  <si>
    <t>m 222/ pesawahan</t>
  </si>
  <si>
    <t>m 61/ pesawahan</t>
  </si>
  <si>
    <t>B. 805/ Sukarame Baru</t>
  </si>
  <si>
    <t>B. 804/ Sukarame Baru</t>
  </si>
  <si>
    <t>B. 807/ sukarame baru</t>
  </si>
  <si>
    <t>B. 810/ Sukarame Baru</t>
  </si>
  <si>
    <t>B 816/ SUKARAME BARU</t>
  </si>
  <si>
    <t>B 815/ SUKARAME BARU</t>
  </si>
  <si>
    <t>B. 811/ Sukarame Baru</t>
  </si>
  <si>
    <t>B. 808/ Sukarame Baru</t>
  </si>
  <si>
    <t>B. 801/ Sukarame Baru</t>
  </si>
  <si>
    <t>B. 806/ Sukarame Baru</t>
  </si>
  <si>
    <t>B. 802/ Sukarame Baru</t>
  </si>
  <si>
    <t>B. 803/ Sukarame Baru</t>
  </si>
  <si>
    <t>M.1253/WHP/Way Halim Permai</t>
  </si>
  <si>
    <t>ShGb 831 Bakung</t>
  </si>
  <si>
    <t>m.2037/Kalibalau Kencana</t>
  </si>
  <si>
    <t>m.2202/Labuhan Ratu Raya</t>
  </si>
  <si>
    <t>M 2710 Way kandis</t>
  </si>
  <si>
    <t>M.14073 KEDAMAIAN</t>
  </si>
  <si>
    <t>B. 43/GEDONG MENENG</t>
  </si>
  <si>
    <t>B.1382 PINANG JAYA</t>
  </si>
  <si>
    <t>M.3305/Kota Karang</t>
  </si>
  <si>
    <t>M.1089 KELAPA TIGA</t>
  </si>
  <si>
    <t>M. 118/kampung baru raya</t>
  </si>
  <si>
    <t>M.10292/KAMPUNG BARU</t>
  </si>
  <si>
    <t>M. 9341/SURABAYA</t>
  </si>
  <si>
    <t>M 1247/ PERUMNAS WAY KANDIS</t>
  </si>
  <si>
    <t>M.689/Pahoman</t>
  </si>
  <si>
    <t>M.2451 SUKADANA HAM</t>
  </si>
  <si>
    <t>M. 2983/Labuhan Dalam</t>
  </si>
  <si>
    <t>M.3243 SUKARAME BARU</t>
  </si>
  <si>
    <t>M 1503/sumberejo sejahtera</t>
  </si>
  <si>
    <t>M 1131 / Bumi Waras</t>
  </si>
  <si>
    <t>M. 3430 Gunung Terang</t>
  </si>
  <si>
    <t>M.4835 SUKADANA HAM</t>
  </si>
  <si>
    <t>M.4647/Sukadana Ham</t>
  </si>
  <si>
    <t>02151/Labuhan Dalam</t>
  </si>
  <si>
    <t>m.5197/rajabasa jaya</t>
  </si>
  <si>
    <t>M. 1948/BERINGIN JAYA</t>
  </si>
  <si>
    <t>B. 34/GEDUNG MENENG</t>
  </si>
  <si>
    <t>M. 247/Lr.R</t>
  </si>
  <si>
    <t>m.4488</t>
  </si>
  <si>
    <t>M.182/Rajabasa Pemuka</t>
  </si>
  <si>
    <t>B. 89/KEMILING PERMAI</t>
  </si>
  <si>
    <t>M. 2721/GUNUNG TERANG</t>
  </si>
  <si>
    <t>B. 2087/SUKABUMI</t>
  </si>
  <si>
    <t>M. 172/Perumnas Way Kandis</t>
  </si>
  <si>
    <t>M. 2040/sukarame baru</t>
  </si>
  <si>
    <t>M. 4706/Rajabasa jaya</t>
  </si>
  <si>
    <t>M.2130/ keteguhan</t>
  </si>
  <si>
    <t>M 3583/ BERINGIN RAYA</t>
  </si>
  <si>
    <t>B 812/ SUKARAME BARU</t>
  </si>
  <si>
    <t>B 814/ SUKARAME BARU</t>
  </si>
  <si>
    <t>Shgb 00813</t>
  </si>
  <si>
    <t>M 321/ tanjung gading</t>
  </si>
  <si>
    <t>M.11567/Jagabaya III</t>
  </si>
  <si>
    <t>M. 1275/Sukarame Baru</t>
  </si>
  <si>
    <t>Shm 16468/Sukabumi</t>
  </si>
  <si>
    <t>M. 2212/Susunan Baru</t>
  </si>
  <si>
    <t>M. 01852/Rajabasa Pemuka</t>
  </si>
  <si>
    <t>Hak Bangunan No. 07</t>
  </si>
  <si>
    <t>Shm 16483 Sukabumi</t>
  </si>
  <si>
    <t>M.1657 PENGAJARAN</t>
  </si>
  <si>
    <t>M.8969/SUKARAME</t>
  </si>
  <si>
    <t>SHM 783/Ps</t>
  </si>
  <si>
    <t>M. 10101/Sukamenanti</t>
  </si>
  <si>
    <t>M 2020/ KEDAUNG</t>
  </si>
  <si>
    <t>M. 3882/GUNUNG TERANG</t>
  </si>
  <si>
    <t>M 1190/ RAJABASA RAYA</t>
  </si>
  <si>
    <t>M. 408/Labuhan Dalam</t>
  </si>
  <si>
    <t>M.1182/GA</t>
  </si>
  <si>
    <t>B. 612/Sumber Agung</t>
  </si>
  <si>
    <t>853 sukarame baru</t>
  </si>
  <si>
    <t>M 6072 Rajabasa Jaya</t>
  </si>
  <si>
    <t>SHM 721/sumur batu</t>
  </si>
  <si>
    <t>M. 1153/GUNUNG TERANG</t>
  </si>
  <si>
    <t>M.10464/gedung meneng</t>
  </si>
  <si>
    <t>M.5245/tanjung senang</t>
  </si>
  <si>
    <t>M.2534/Pinang Jaya</t>
  </si>
  <si>
    <t>M.2533/Pinang Jaya</t>
  </si>
  <si>
    <t>M.4744/Sukadana Ham</t>
  </si>
  <si>
    <t>M.14551/sukabumi</t>
  </si>
  <si>
    <t>M. 220/KOTA KARANG RAYA</t>
  </si>
  <si>
    <t>M.264/RAJABASA JAYA</t>
  </si>
  <si>
    <t>M. 6583/GEDUNG MENENG</t>
  </si>
  <si>
    <t>M. 284/PERUMNAS WAY HALIM</t>
  </si>
  <si>
    <t>M. 6582/GEDUNG MENENG</t>
  </si>
  <si>
    <t>M. 152/PAHOMAN</t>
  </si>
  <si>
    <t>M. 457/KALIAWI PERSADA</t>
  </si>
  <si>
    <t>M. 1030/SUKARAJA</t>
  </si>
  <si>
    <t>M. 798/Kedaung</t>
  </si>
  <si>
    <t>M. 9951/Sidodadi</t>
  </si>
  <si>
    <t>SHM 13895/Kedamaian</t>
  </si>
  <si>
    <t>M. 207/Pn / Penengahan</t>
  </si>
  <si>
    <t>M.2972</t>
  </si>
  <si>
    <t>M. 145/ KUPANG KOTA</t>
  </si>
  <si>
    <t>m 2925/ labuhan dalam</t>
  </si>
  <si>
    <t>M.2974</t>
  </si>
  <si>
    <t>M.2973</t>
  </si>
  <si>
    <t>B 153/ SUMBER AGUNG</t>
  </si>
  <si>
    <t>M 1963/ SUMBER AGUNG</t>
  </si>
  <si>
    <t>Shgb 00809</t>
  </si>
  <si>
    <t>B 817/ SUKARAME BARU</t>
  </si>
  <si>
    <t>SHM no :2569</t>
  </si>
  <si>
    <t>M.5178 RAJABASA JAYA</t>
  </si>
  <si>
    <t>M.3008  SUKARAME II</t>
  </si>
  <si>
    <t xml:space="preserve">HM.16979/Sukarame </t>
  </si>
  <si>
    <t>M 5170/Way Kandis</t>
  </si>
  <si>
    <t>M. 1025/WK</t>
  </si>
  <si>
    <t>M.617/Sukarame Baru</t>
  </si>
  <si>
    <t>M.9770 GEDONG MENENG</t>
  </si>
  <si>
    <t>M.9824/sidodadi</t>
  </si>
  <si>
    <t>M.2447/ B.W</t>
  </si>
  <si>
    <t>M.10658/sukamenanti</t>
  </si>
  <si>
    <t>M.3087/ gedong air</t>
  </si>
  <si>
    <t>M. 1426/sumur puteri</t>
  </si>
  <si>
    <t>M.496/Beringin Raya</t>
  </si>
  <si>
    <t xml:space="preserve">SHM.12402/jagabaya II </t>
  </si>
  <si>
    <t>M.10573 KEDATON</t>
  </si>
  <si>
    <t xml:space="preserve">M 1617 sumberejo sejahtera </t>
  </si>
  <si>
    <t>M.6637, Tanjung senang</t>
  </si>
  <si>
    <t>M.6638-tanjung senang</t>
  </si>
  <si>
    <t>12958/kedamaian</t>
  </si>
  <si>
    <t>B 200/Rajabasa Nunyai</t>
  </si>
  <si>
    <t>B 2418/campang jaya</t>
  </si>
  <si>
    <t>M. 364/Gunung Agung</t>
  </si>
  <si>
    <t>258/ Penengahan Raya</t>
  </si>
  <si>
    <t>B 966/Kemiling Permai</t>
  </si>
  <si>
    <t>M 890/ durian payung</t>
  </si>
  <si>
    <t>M 1402 semberrejo sejahtera</t>
  </si>
  <si>
    <t>M.1403</t>
  </si>
  <si>
    <t>B 198/ rajabasa nunyai</t>
  </si>
  <si>
    <t>M 2136/ BAKUNG</t>
  </si>
  <si>
    <t>M. 4265/ TANJUNG SENANG</t>
  </si>
  <si>
    <t>03489/Sukadana ham</t>
  </si>
  <si>
    <t>SHM 2711 way kandis</t>
  </si>
  <si>
    <t>M 1140/ sukabumi indah</t>
  </si>
  <si>
    <t>m 1294/ pinang jaya</t>
  </si>
  <si>
    <t>M 1542/ TELUK BETUNG</t>
  </si>
  <si>
    <t>M. 1679/WAY KANDIS</t>
  </si>
  <si>
    <t>M 3489/ kota baru</t>
  </si>
  <si>
    <t>M 1434/ BUMI KEDAMAIAN</t>
  </si>
  <si>
    <t>M 239/ BILABONG JAYA</t>
  </si>
  <si>
    <t>M 2044/ Gedong Air</t>
  </si>
  <si>
    <t>M. 1571/Kuripan</t>
  </si>
  <si>
    <t>M 2191/LABUHAN RATU RAYA</t>
  </si>
  <si>
    <t>Hak Milik Nomor 1329/Way Lunik</t>
  </si>
  <si>
    <t>366/ Tj.R</t>
  </si>
  <si>
    <t>04631/Keteguhan</t>
  </si>
  <si>
    <t>M 1102/ PENGAJARAN</t>
  </si>
  <si>
    <t>M 1454</t>
  </si>
  <si>
    <t>M 2165 way halim permai</t>
  </si>
  <si>
    <t>SHM.2458/panjang utara</t>
  </si>
  <si>
    <t>M.02710/Bumi Waras</t>
  </si>
  <si>
    <t>M. 1355/BAKUNG</t>
  </si>
  <si>
    <t>M. 1137/BAKUNG</t>
  </si>
  <si>
    <t>Shm.2042/Jagabaya III</t>
  </si>
  <si>
    <t>B 10/ gotong royong</t>
  </si>
  <si>
    <t>B 43/ gotong royong</t>
  </si>
  <si>
    <t>B. 864/perumnas way kandis</t>
  </si>
  <si>
    <t>HM 878/KOTA BARU</t>
  </si>
  <si>
    <t>M. 13335/RAJABASA</t>
  </si>
  <si>
    <t>M. 3682/TANJUNG SENENG</t>
  </si>
  <si>
    <t>M. 13097/SUKARAME</t>
  </si>
  <si>
    <t xml:space="preserve">M 1404 sumberejo sejahtera </t>
  </si>
  <si>
    <t xml:space="preserve">M 1664 sumberejo sejahtera </t>
  </si>
  <si>
    <t>M.3031/BR</t>
  </si>
  <si>
    <t>Hm. 1149 RAJABASA RAYA</t>
  </si>
  <si>
    <t>M.4626/KETEGUHAN</t>
  </si>
  <si>
    <t>M 1806/ BUMI WARAS</t>
  </si>
  <si>
    <t>M 2019/ KEDAUNG</t>
  </si>
  <si>
    <t>M. 1221/GOTONG ROYONG</t>
  </si>
  <si>
    <t>m.6959, tanjung senang</t>
  </si>
  <si>
    <t>m.6643/tanjung senang</t>
  </si>
  <si>
    <t>M.1076/sumur putri</t>
  </si>
  <si>
    <t>Shm no 205/B.Pu</t>
  </si>
  <si>
    <t>M 3627/ way kandis</t>
  </si>
  <si>
    <t>B 322/ rajabasa nunyai</t>
  </si>
  <si>
    <t>M 5084/ TANJUNG SENNAG</t>
  </si>
  <si>
    <t>M Nibel 01181/Sukarame Baru</t>
  </si>
  <si>
    <t>M.14989/ rajabasa</t>
  </si>
  <si>
    <t>M. 1184/BAKUNG</t>
  </si>
  <si>
    <t>M. 1359/BAKUNG</t>
  </si>
  <si>
    <t>B 610/Sukarame Baru</t>
  </si>
  <si>
    <t>SHM 1928/Susunan Baru</t>
  </si>
  <si>
    <t>M. 16449/Sukabumi</t>
  </si>
  <si>
    <t>M 2359/ KEDAUNG</t>
  </si>
  <si>
    <t>B 199/ rajabasa nunyai</t>
  </si>
  <si>
    <t>M 1199/ BAKUNG</t>
  </si>
  <si>
    <t>M.11500/kedaton</t>
  </si>
  <si>
    <t>M 5117 rajabasa jaya</t>
  </si>
  <si>
    <t>M.951 PWH</t>
  </si>
  <si>
    <t>M. 2482/SUSUNAN BARU</t>
  </si>
  <si>
    <t>M. 2632/ GEDONG AIR</t>
  </si>
  <si>
    <t>M. 2633/GEDONG AIR</t>
  </si>
  <si>
    <t>M. 3003/GEDONG AIR</t>
  </si>
  <si>
    <t>M. 16580/Skb</t>
  </si>
  <si>
    <t>Shm 1275</t>
  </si>
  <si>
    <t>03481/RajabasaJaya</t>
  </si>
  <si>
    <t>M.2069 CAMPANG JAYA</t>
  </si>
  <si>
    <t>M.2271 SEPANG JAYA</t>
  </si>
  <si>
    <t>m.1330/sj</t>
  </si>
  <si>
    <t>1042/ kemiling permai</t>
  </si>
  <si>
    <t>M 14147/ SUKABUMI</t>
  </si>
  <si>
    <t>m 972/ perumnas way kandis</t>
  </si>
  <si>
    <t>M. 460/BERINGIN JAYA</t>
  </si>
  <si>
    <t>SHGB 4610 sukabumi</t>
  </si>
  <si>
    <t>M. 2429/Labuhan Dalam</t>
  </si>
  <si>
    <t>SHM 4735 rajabasa jaya</t>
  </si>
  <si>
    <t>B. 783/Sup</t>
  </si>
  <si>
    <t>B.5034 SUKABUMI</t>
  </si>
  <si>
    <t>B 323/ rajabasa nunyai</t>
  </si>
  <si>
    <t>M 14051/ TANJUNG BARU</t>
  </si>
  <si>
    <t>M.04889 WAY KANDIS</t>
  </si>
  <si>
    <t>M. 1036/Rajabasa Jaya</t>
  </si>
  <si>
    <t>m. 5520/langkapura</t>
  </si>
  <si>
    <t>M. 3137/Langkapura</t>
  </si>
  <si>
    <t>M.459/Kaliawi Persada</t>
  </si>
  <si>
    <t>M.1360/Bumi Kedamaian</t>
  </si>
  <si>
    <t>B.1022/kemiling permain</t>
  </si>
  <si>
    <t>B.1021</t>
  </si>
  <si>
    <t>M.01513/Serengsem</t>
  </si>
  <si>
    <t>2298 langkapura</t>
  </si>
  <si>
    <t>M.695/ GULAK GALIK</t>
  </si>
  <si>
    <t>M. 3510/CR</t>
  </si>
  <si>
    <t>M. 177/CJ</t>
  </si>
  <si>
    <t>M. 13554/SUKABUMI</t>
  </si>
  <si>
    <t>HM 13013/RAJABASA</t>
  </si>
  <si>
    <t>M. 1216/SRENGSEM</t>
  </si>
  <si>
    <t>M. 3784/CAMPANG RAYA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</si>
</sst>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/MM/yyyy HH:mm:ss"/>
    <numFmt numFmtId="166" formatCode="d/m/yyyy"/>
  </numFmts>
  <fonts count="21">
    <font>
      <sz val="10.0"/>
      <color rgb="FF000000"/>
      <name val="Arial"/>
      <scheme val="minor"/>
    </font>
    <font>
      <color rgb="FFFFFFFF"/>
      <name val="Roboto"/>
    </font>
    <font>
      <color rgb="FF434343"/>
      <name val="Roboto"/>
    </font>
    <font>
      <color rgb="FF473821"/>
      <name val="Roboto"/>
    </font>
    <font>
      <color rgb="FFBFE0F6"/>
      <name val="Roboto"/>
    </font>
    <font>
      <color rgb="FF000000"/>
      <name val="Arial"/>
    </font>
    <font>
      <color rgb="FFFFCFC9"/>
      <name val="Roboto"/>
    </font>
    <font>
      <color rgb="FF0A53A8"/>
      <name val="Roboto"/>
    </font>
    <font>
      <b/>
      <sz val="11.0"/>
      <color theme="1"/>
      <name val="Arial"/>
      <scheme val="minor"/>
    </font>
    <font>
      <b/>
      <sz val="12.0"/>
      <color theme="1"/>
      <name val="Bookman Old Style"/>
    </font>
    <font>
      <b/>
      <color rgb="FFFF0000"/>
      <name val="Arial"/>
      <scheme val="minor"/>
    </font>
    <font>
      <color theme="1"/>
      <name val="Arial"/>
      <scheme val="minor"/>
    </font>
    <font>
      <color theme="0"/>
      <name val="Arial"/>
      <scheme val="minor"/>
    </font>
    <font>
      <u/>
      <color theme="0"/>
    </font>
    <font>
      <u/>
      <color rgb="FF0000FF"/>
    </font>
    <font>
      <sz val="11.0"/>
      <color theme="1"/>
      <name val="Arial"/>
      <scheme val="minor"/>
    </font>
    <font>
      <sz val="11.0"/>
      <color rgb="FF0A53A8"/>
      <name val="Roboto"/>
    </font>
    <font>
      <sz val="11.0"/>
      <color rgb="FF473821"/>
      <name val="Roboto"/>
    </font>
    <font>
      <sz val="11.0"/>
      <color rgb="FFE5CFF2"/>
      <name val="Roboto"/>
    </font>
    <font>
      <sz val="11.0"/>
      <color rgb="FFBFE0F6"/>
      <name val="Roboto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/>
    <border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284E3F"/>
      </right>
      <top style="thin">
        <color rgb="FF284E3F"/>
      </top>
      <bottom style="thin">
        <color rgb="FF284E3F"/>
      </bottom>
    </border>
    <border>
      <right style="thin">
        <color rgb="FFFFFFFF"/>
      </right>
      <bottom style="thin">
        <color rgb="FFF6F8F9"/>
      </bottom>
    </border>
    <border>
      <right style="thin">
        <color rgb="FF284E3F"/>
      </right>
      <bottom style="thin">
        <color rgb="FFF6F8F9"/>
      </bottom>
    </border>
    <border>
      <right style="thin">
        <color rgb="FFF6F8F9"/>
      </right>
      <bottom style="thin">
        <color rgb="FFF6F8F9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ill="1" applyFont="1">
      <alignment horizontal="center" readingOrder="0" shrinkToFit="0" wrapText="0"/>
    </xf>
    <xf borderId="3" fillId="3" fontId="2" numFmtId="0" xfId="0" applyAlignment="1" applyBorder="1" applyFill="1" applyFont="1">
      <alignment readingOrder="0" shrinkToFit="0" wrapText="0"/>
    </xf>
    <xf borderId="3" fillId="3" fontId="3" numFmtId="0" xfId="0" applyAlignment="1" applyBorder="1" applyFill="1" applyFont="1">
      <alignment readingOrder="0" shrinkToFit="0" wrapText="0"/>
    </xf>
    <xf borderId="3" fillId="3" fontId="4" numFmtId="0" xfId="0" applyAlignment="1" applyBorder="1" applyFill="1" applyFont="1">
      <alignment readingOrder="0" shrinkToFit="0" wrapText="0"/>
    </xf>
    <xf borderId="3" fillId="3" fontId="2" numFmtId="0" xfId="0" applyAlignment="1" applyBorder="1" applyFill="1" applyFont="1">
      <alignment horizontal="right" readingOrder="0" shrinkToFit="0" wrapText="0"/>
    </xf>
    <xf borderId="3" fillId="3" fontId="5" numFmtId="0" xfId="0" applyAlignment="1" applyBorder="1" applyFill="1" applyFont="1">
      <alignment shrinkToFit="0" wrapText="0"/>
    </xf>
    <xf borderId="3" fillId="3" fontId="2" numFmtId="0" xfId="0" applyAlignment="1" applyBorder="1" applyFill="1" applyFont="1">
      <alignment horizontal="center" readingOrder="0" shrinkToFit="0" wrapText="0"/>
    </xf>
    <xf borderId="4" fillId="3" fontId="5" numFmtId="0" xfId="0" applyAlignment="1" applyBorder="1" applyFill="1" applyFont="1">
      <alignment shrinkToFit="0" wrapText="0"/>
    </xf>
    <xf borderId="5" fillId="4" fontId="2" numFmtId="0" xfId="0" applyAlignment="1" applyBorder="1" applyFill="1" applyFont="1">
      <alignment readingOrder="0" shrinkToFit="0" wrapText="0"/>
    </xf>
    <xf borderId="5" fillId="4" fontId="3" numFmtId="0" xfId="0" applyAlignment="1" applyBorder="1" applyFill="1" applyFont="1">
      <alignment readingOrder="0" shrinkToFit="0" wrapText="0"/>
    </xf>
    <xf borderId="5" fillId="4" fontId="4" numFmtId="0" xfId="0" applyAlignment="1" applyBorder="1" applyFill="1" applyFont="1">
      <alignment readingOrder="0" shrinkToFit="0" wrapText="0"/>
    </xf>
    <xf borderId="5" fillId="4" fontId="2" numFmtId="0" xfId="0" applyAlignment="1" applyBorder="1" applyFill="1" applyFont="1">
      <alignment horizontal="right" readingOrder="0" shrinkToFit="0" wrapText="0"/>
    </xf>
    <xf borderId="5" fillId="4" fontId="5" numFmtId="0" xfId="0" applyAlignment="1" applyBorder="1" applyFill="1" applyFont="1">
      <alignment shrinkToFit="0" wrapText="0"/>
    </xf>
    <xf borderId="5" fillId="4" fontId="2" numFmtId="0" xfId="0" applyAlignment="1" applyBorder="1" applyFill="1" applyFont="1">
      <alignment horizontal="center" readingOrder="0" shrinkToFit="0" wrapText="0"/>
    </xf>
    <xf borderId="4" fillId="4" fontId="5" numFmtId="0" xfId="0" applyAlignment="1" applyBorder="1" applyFill="1" applyFont="1">
      <alignment shrinkToFit="0" wrapText="0"/>
    </xf>
    <xf borderId="3" fillId="3" fontId="6" numFmtId="0" xfId="0" applyAlignment="1" applyBorder="1" applyFill="1" applyFont="1">
      <alignment readingOrder="0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3" fillId="3" fontId="7" numFmtId="0" xfId="0" applyAlignment="1" applyBorder="1" applyFill="1" applyFont="1">
      <alignment readingOrder="0" shrinkToFit="0" wrapText="0"/>
    </xf>
    <xf borderId="4" fillId="3" fontId="2" numFmtId="0" xfId="0" applyAlignment="1" applyBorder="1" applyFill="1" applyFont="1">
      <alignment readingOrder="0" shrinkToFit="0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/>
    </xf>
    <xf borderId="5" fillId="4" fontId="6" numFmtId="0" xfId="0" applyAlignment="1" applyBorder="1" applyFill="1" applyFont="1">
      <alignment readingOrder="0" shrinkToFit="0" wrapText="0"/>
    </xf>
    <xf borderId="0" fillId="0" fontId="11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/>
    </xf>
    <xf borderId="0" fillId="0" fontId="11" numFmtId="164" xfId="0" applyAlignment="1" applyFont="1" applyNumberFormat="1">
      <alignment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6" fillId="2" fontId="1" numFmtId="49" xfId="0" applyAlignment="1" applyBorder="1" applyFill="1" applyFont="1" applyNumberForma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0"/>
    </xf>
    <xf borderId="6" fillId="2" fontId="1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4" fillId="4" fontId="2" numFmtId="0" xfId="0" applyAlignment="1" applyBorder="1" applyFill="1" applyFont="1">
      <alignment readingOrder="0" shrinkToFit="0" wrapText="0"/>
    </xf>
    <xf borderId="0" fillId="0" fontId="11" numFmtId="0" xfId="0" applyAlignment="1" applyFont="1">
      <alignment readingOrder="0"/>
    </xf>
    <xf borderId="0" fillId="0" fontId="11" numFmtId="164" xfId="0" applyAlignment="1" applyFont="1" applyNumberFormat="1">
      <alignment readingOrder="0" shrinkToFit="0" vertical="center" wrapText="0"/>
    </xf>
    <xf borderId="0" fillId="0" fontId="14" numFmtId="0" xfId="0" applyAlignment="1" applyFont="1">
      <alignment readingOrder="0"/>
    </xf>
    <xf borderId="0" fillId="0" fontId="11" numFmtId="0" xfId="0" applyAlignment="1" applyFont="1">
      <alignment horizontal="center" readingOrder="0" shrinkToFit="0" vertical="center" wrapText="0"/>
    </xf>
    <xf borderId="0" fillId="0" fontId="11" numFmtId="165" xfId="0" applyAlignment="1" applyFont="1" applyNumberFormat="1">
      <alignment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0"/>
    </xf>
    <xf borderId="7" fillId="4" fontId="16" numFmtId="0" xfId="0" applyAlignment="1" applyBorder="1" applyFill="1" applyFont="1">
      <alignment shrinkToFit="0" vertical="center" wrapText="0"/>
    </xf>
    <xf borderId="7" fillId="4" fontId="17" numFmtId="0" xfId="0" applyAlignment="1" applyBorder="1" applyFill="1" applyFont="1">
      <alignment shrinkToFit="0" vertical="center" wrapText="0"/>
    </xf>
    <xf borderId="8" fillId="3" fontId="16" numFmtId="0" xfId="0" applyAlignment="1" applyBorder="1" applyFill="1" applyFont="1">
      <alignment shrinkToFit="0" vertical="center" wrapText="0"/>
    </xf>
    <xf borderId="8" fillId="3" fontId="17" numFmtId="0" xfId="0" applyAlignment="1" applyBorder="1" applyFill="1" applyFont="1">
      <alignment shrinkToFit="0" vertical="center" wrapText="0"/>
    </xf>
    <xf borderId="7" fillId="4" fontId="18" numFmtId="0" xfId="0" applyAlignment="1" applyBorder="1" applyFill="1" applyFont="1">
      <alignment shrinkToFit="0" vertical="center" wrapText="0"/>
    </xf>
    <xf borderId="7" fillId="4" fontId="19" numFmtId="0" xfId="0" applyAlignment="1" applyBorder="1" applyFill="1" applyFont="1">
      <alignment shrinkToFit="0" vertical="center" wrapText="0"/>
    </xf>
    <xf borderId="8" fillId="3" fontId="18" numFmtId="0" xfId="0" applyAlignment="1" applyBorder="1" applyFill="1" applyFont="1">
      <alignment shrinkToFit="0" vertical="center" wrapText="0"/>
    </xf>
    <xf borderId="8" fillId="3" fontId="19" numFmtId="0" xfId="0" applyAlignment="1" applyBorder="1" applyFill="1" applyFont="1">
      <alignment shrinkToFit="0" vertical="center" wrapText="0"/>
    </xf>
    <xf borderId="0" fillId="0" fontId="11" numFmtId="166" xfId="0" applyAlignment="1" applyFont="1" applyNumberFormat="1">
      <alignment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0000"/>
      </font>
      <fill>
        <patternFill patternType="solid">
          <fgColor rgb="FFFF0000"/>
          <bgColor rgb="FFFF0000"/>
        </patternFill>
      </fill>
      <border/>
    </dxf>
  </dxfs>
  <tableStyles count="2">
    <tableStyle count="4" pivot="0" name="Validat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Warka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H19704" displayName="Table_Tarikan_Warkah" name="Table_Tarikan_Warkah" id="2">
  <tableColumns count="7">
    <tableColumn name="Nomor Tiket" id="1"/>
    <tableColumn name="Nomor Sertipikat" id="2"/>
    <tableColumn name="Nama Petugas Warkah" id="3"/>
    <tableColumn name="Status Sertipikat" id="4"/>
    <tableColumn name="Tanggal diserahkan kepada Validator" id="5"/>
    <tableColumn name="Jenis Permohonan" id="6"/>
    <tableColumn name="Count" id="7"/>
  </tableColumns>
  <tableStyleInfo name="Form Warkah-style" showColumnStripes="0" showFirstColumn="1" showLastColumn="1" showRowStripes="1"/>
</table>
</file>

<file path=xl/tables/table2.xml><?xml version="1.0" encoding="utf-8"?>
<table xmlns="http://schemas.openxmlformats.org/spreadsheetml/2006/main" ref="B6:T5241" displayName="Table_Validator" name="Table_Validator" id="1">
  <autoFilter ref="$B$6:$T$5241"/>
  <tableColumns count="19">
    <tableColumn name="No" id="1"/>
    <tableColumn name="Nomor Sertipikat" id="2"/>
    <tableColumn name="Nomor Tiket" id="3"/>
    <tableColumn name="Tanggal Diserhkan BT SU" id="4"/>
    <tableColumn name="Petugas Warkah" id="5"/>
    <tableColumn name="Jenis Permohonan" id="6"/>
    <tableColumn name="Nama Petugas BT" id="7"/>
    <tableColumn name="Status BT" id="8"/>
    <tableColumn name="Tanggal Selesai Validasi BT" id="9"/>
    <tableColumn name="Nama Petugas Validator SU" id="10"/>
    <tableColumn name="Status Validasi SU" id="11"/>
    <tableColumn name="Tanggal Selesai Validasi SU" id="12"/>
    <tableColumn name="Kesimupulan Validator" id="13"/>
    <tableColumn name="Tangal BT SU Selesai" id="14"/>
    <tableColumn name="Ceklis" id="15"/>
    <tableColumn name="Diberikan kepada Petugas Alih Media" id="16"/>
    <tableColumn name="Ceklis kembali ke Warkah Sementara" id="17"/>
    <tableColumn name="DIberikan Kepada Warkah Sementara" id="18"/>
    <tableColumn name="Keterangan Validator" id="19"/>
  </tableColumns>
  <tableStyleInfo name="Validat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N9SbyWxKb5HY5afp3DgAofRrypHZI6wwotvRB0pTc/edit?usp=sharing" TargetMode="External"/><Relationship Id="rId2" Type="http://schemas.openxmlformats.org/officeDocument/2006/relationships/hyperlink" Target="https://docs.google.com/spreadsheets/d/16XN9SbyWxKb5HY5afp3DgAofRrypHZI6wwotvRB0pTc/edit?usp=sharing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20.25"/>
    <col customWidth="1" min="4" max="4" width="20.0"/>
    <col customWidth="1" min="6" max="6" width="19.5"/>
    <col customWidth="1" min="7" max="7" width="16.25"/>
  </cols>
  <sheetData>
    <row r="1">
      <c r="B1" s="32"/>
      <c r="C1" s="35" t="s">
        <v>77</v>
      </c>
    </row>
    <row r="4" ht="22.5" customHeight="1">
      <c r="B4" s="37" t="s">
        <v>1</v>
      </c>
      <c r="C4" s="37" t="s">
        <v>0</v>
      </c>
      <c r="D4" s="38" t="s">
        <v>88</v>
      </c>
      <c r="E4" s="40" t="s">
        <v>91</v>
      </c>
      <c r="F4" s="40" t="s">
        <v>94</v>
      </c>
      <c r="G4" s="29" t="s">
        <v>57</v>
      </c>
      <c r="H4" s="37" t="s">
        <v>97</v>
      </c>
    </row>
    <row r="5" ht="22.5" customHeight="1">
      <c r="B5" s="42" t="str">
        <f>IFERROR(__xludf.DUMMYFUNCTION("IMPORTRANGE($C$1,""Warkah!C7:C50000"")"),"K/41/251124/1")</f>
        <v>K/41/251124/1</v>
      </c>
      <c r="C5" s="42" t="str">
        <f>IFERROR(__xludf.DUMMYFUNCTION("IMPORTRANGE($C$1,""Warkah!D7:D50000"")"),"-")</f>
        <v>-</v>
      </c>
      <c r="D5" s="42" t="str">
        <f>IFERROR(__xludf.DUMMYFUNCTION("IMPORTRANGE($C$1,""Warkah!h7:j50000"")"),"Berry")</f>
        <v>Berry</v>
      </c>
      <c r="E5" s="42" t="str">
        <f>IFERROR(__xludf.DUMMYFUNCTION("""COMPUTED_VALUE"""),"DISERAHKAN")</f>
        <v>DISERAHKAN</v>
      </c>
      <c r="F5" s="42" t="str">
        <f>IFERROR(__xludf.DUMMYFUNCTION("""COMPUTED_VALUE"""),"26/11/2024 12.03")</f>
        <v>26/11/2024 12.03</v>
      </c>
      <c r="G5" s="30" t="str">
        <f>IFERROR(__xludf.DUMMYFUNCTION("IMPORTRANGE($C$1,""Warkah!G7:G50000"")"),"PTPGT")</f>
        <v>PTPGT</v>
      </c>
      <c r="H5" s="30">
        <f>IFNA(IFS(E5="Diserahkan",1,E5="DISERAHKAN BT",1,E5="DISERAHAKAN SU",1),0)</f>
        <v>1</v>
      </c>
      <c r="J5" s="44" t="s">
        <v>108</v>
      </c>
      <c r="L5" s="46" t="s">
        <v>111</v>
      </c>
    </row>
    <row r="6" ht="22.5" customHeight="1">
      <c r="B6" s="42" t="str">
        <f>IFERROR(__xludf.DUMMYFUNCTION("""COMPUTED_VALUE"""),"K/13/141024/2")</f>
        <v>K/13/141024/2</v>
      </c>
      <c r="C6" s="42" t="str">
        <f>IFERROR(__xludf.DUMMYFUNCTION("""COMPUTED_VALUE"""),"M.1088/NEGERI OLOK GADING-SEKARANG;B.1201/NEGERI OLOK GADING-DAHULU")</f>
        <v>M.1088/NEGERI OLOK GADING-SEKARANG;B.1201/NEGERI OLOK GADING-DAHULU</v>
      </c>
      <c r="D6" s="42" t="str">
        <f>IFERROR(__xludf.DUMMYFUNCTION("""COMPUTED_VALUE"""),"Berry")</f>
        <v>Berry</v>
      </c>
      <c r="E6" s="42" t="str">
        <f>IFERROR(__xludf.DUMMYFUNCTION("""COMPUTED_VALUE"""),"DISERAHKAN")</f>
        <v>DISERAHKAN</v>
      </c>
      <c r="F6" s="48" t="str">
        <f>IFERROR(__xludf.DUMMYFUNCTION("""COMPUTED_VALUE"""),"14/10/2024 15.07")</f>
        <v>14/10/2024 15.07</v>
      </c>
      <c r="G6" s="42" t="str">
        <f>IFERROR(__xludf.DUMMYFUNCTION("""COMPUTED_VALUE"""),"ROYA")</f>
        <v>ROYA</v>
      </c>
      <c r="H6" s="42">
        <f>IFNA(IFS(E6="Diserahkan",H5+ 1,E6="DISERAHKAN BT",H5+ 1,E6="DISERAHAKAN SU",H5+ 1),0)</f>
        <v>2</v>
      </c>
    </row>
    <row r="7" ht="22.5" customHeight="1">
      <c r="B7" s="42" t="str">
        <f>IFERROR(__xludf.DUMMYFUNCTION("""COMPUTED_VALUE"""),"L/18/141024/1")</f>
        <v>L/18/141024/1</v>
      </c>
      <c r="C7" s="42" t="str">
        <f>IFERROR(__xludf.DUMMYFUNCTION("""COMPUTED_VALUE"""),"M.331/NUSANTARA PERMAI;B.389/CAMPANG RAYA-DAHULU")</f>
        <v>M.331/NUSANTARA PERMAI;B.389/CAMPANG RAYA-DAHULU</v>
      </c>
      <c r="D7" s="42" t="str">
        <f>IFERROR(__xludf.DUMMYFUNCTION("""COMPUTED_VALUE"""),"Berry")</f>
        <v>Berry</v>
      </c>
      <c r="E7" s="42" t="str">
        <f>IFERROR(__xludf.DUMMYFUNCTION("""COMPUTED_VALUE"""),"DISERAHKAN")</f>
        <v>DISERAHKAN</v>
      </c>
      <c r="F7" s="48" t="str">
        <f>IFERROR(__xludf.DUMMYFUNCTION("""COMPUTED_VALUE"""),"14/10/2024 15.04")</f>
        <v>14/10/2024 15.04</v>
      </c>
      <c r="G7" s="42" t="str">
        <f>IFERROR(__xludf.DUMMYFUNCTION("""COMPUTED_VALUE"""),"BLOKIR")</f>
        <v>BLOKIR</v>
      </c>
      <c r="H7" s="42">
        <f t="shared" ref="H7:H19704" si="1">IF(E7="DISERAHKAN",H6+1,H6)</f>
        <v>3</v>
      </c>
    </row>
    <row r="8" ht="22.5" customHeight="1">
      <c r="B8" s="42" t="str">
        <f>IFERROR(__xludf.DUMMYFUNCTION("""COMPUTED_VALUE"""),"K/28/141024/1")</f>
        <v>K/28/141024/1</v>
      </c>
      <c r="C8" s="42" t="str">
        <f>IFERROR(__xludf.DUMMYFUNCTION("""COMPUTED_VALUE"""),"B.895/BERINGIN JAYA")</f>
        <v>B.895/BERINGIN JAYA</v>
      </c>
      <c r="D8" s="42" t="str">
        <f>IFERROR(__xludf.DUMMYFUNCTION("""COMPUTED_VALUE"""),"Berry")</f>
        <v>Berry</v>
      </c>
      <c r="E8" s="42" t="str">
        <f>IFERROR(__xludf.DUMMYFUNCTION("""COMPUTED_VALUE"""),"DISERAHKAN")</f>
        <v>DISERAHKAN</v>
      </c>
      <c r="F8" s="48" t="str">
        <f>IFERROR(__xludf.DUMMYFUNCTION("""COMPUTED_VALUE"""),"14/10/2024 15.07")</f>
        <v>14/10/2024 15.07</v>
      </c>
      <c r="G8" s="42" t="str">
        <f>IFERROR(__xludf.DUMMYFUNCTION("""COMPUTED_VALUE"""),"PERALIHAN JUAL BELI")</f>
        <v>PERALIHAN JUAL BELI</v>
      </c>
      <c r="H8" s="42">
        <f t="shared" si="1"/>
        <v>4</v>
      </c>
    </row>
    <row r="9" ht="22.5" customHeight="1">
      <c r="B9" s="42" t="str">
        <f>IFERROR(__xludf.DUMMYFUNCTION("""COMPUTED_VALUE"""),"L/34/141024/1")</f>
        <v>L/34/141024/1</v>
      </c>
      <c r="C9" s="42" t="str">
        <f>IFERROR(__xludf.DUMMYFUNCTION("""COMPUTED_VALUE"""),"KORPRI JAYA")</f>
        <v>KORPRI JAYA</v>
      </c>
      <c r="D9" s="42"/>
      <c r="E9" s="42"/>
      <c r="F9" s="48" t="str">
        <f>IFERROR(__xludf.DUMMYFUNCTION("""COMPUTED_VALUE"""),"")</f>
        <v/>
      </c>
      <c r="G9" s="42" t="str">
        <f>IFERROR(__xludf.DUMMYFUNCTION("""COMPUTED_VALUE"""),"PERTAMA KALI")</f>
        <v>PERTAMA KALI</v>
      </c>
      <c r="H9" s="42">
        <f t="shared" si="1"/>
        <v>4</v>
      </c>
    </row>
    <row r="10" ht="22.5" customHeight="1">
      <c r="B10" s="42" t="str">
        <f>IFERROR(__xludf.DUMMYFUNCTION("""COMPUTED_VALUE"""),"L/10/151024/1")</f>
        <v>L/10/151024/1</v>
      </c>
      <c r="C10" s="42" t="str">
        <f>IFERROR(__xludf.DUMMYFUNCTION("""COMPUTED_VALUE"""),"B.561/NUSANTARA PERMAI;B.329/CAMPANG RAYA-DAHULU")</f>
        <v>B.561/NUSANTARA PERMAI;B.329/CAMPANG RAYA-DAHULU</v>
      </c>
      <c r="D10" s="42" t="str">
        <f>IFERROR(__xludf.DUMMYFUNCTION("""COMPUTED_VALUE"""),"David")</f>
        <v>David</v>
      </c>
      <c r="E10" s="42" t="str">
        <f>IFERROR(__xludf.DUMMYFUNCTION("""COMPUTED_VALUE"""),"DISERAHKAN")</f>
        <v>DISERAHKAN</v>
      </c>
      <c r="F10" s="48" t="str">
        <f>IFERROR(__xludf.DUMMYFUNCTION("""COMPUTED_VALUE"""),"15/10/2024 11.02")</f>
        <v>15/10/2024 11.02</v>
      </c>
      <c r="G10" s="42" t="str">
        <f>IFERROR(__xludf.DUMMYFUNCTION("""COMPUTED_VALUE"""),"PERUBAHAN HAK")</f>
        <v>PERUBAHAN HAK</v>
      </c>
      <c r="H10" s="42">
        <f t="shared" si="1"/>
        <v>5</v>
      </c>
    </row>
    <row r="11" ht="22.5" customHeight="1">
      <c r="B11" s="42" t="str">
        <f>IFERROR(__xludf.DUMMYFUNCTION("""COMPUTED_VALUE"""),"K/12/151024/2")</f>
        <v>K/12/151024/2</v>
      </c>
      <c r="C11" s="42" t="str">
        <f>IFERROR(__xludf.DUMMYFUNCTION("""COMPUTED_VALUE"""),"M. 288/ Kaliawi")</f>
        <v>M. 288/ Kaliawi</v>
      </c>
      <c r="D11" s="42" t="str">
        <f>IFERROR(__xludf.DUMMYFUNCTION("""COMPUTED_VALUE"""),"David")</f>
        <v>David</v>
      </c>
      <c r="E11" s="42" t="str">
        <f>IFERROR(__xludf.DUMMYFUNCTION("""COMPUTED_VALUE"""),"DISERAHKAN")</f>
        <v>DISERAHKAN</v>
      </c>
      <c r="F11" s="48" t="str">
        <f>IFERROR(__xludf.DUMMYFUNCTION("""COMPUTED_VALUE"""),"22/10/2024 15.24")</f>
        <v>22/10/2024 15.24</v>
      </c>
      <c r="G11" s="42" t="str">
        <f>IFERROR(__xludf.DUMMYFUNCTION("""COMPUTED_VALUE"""),"BN Jual Beli")</f>
        <v>BN Jual Beli</v>
      </c>
      <c r="H11" s="42">
        <f t="shared" si="1"/>
        <v>6</v>
      </c>
    </row>
    <row r="12" ht="22.5" customHeight="1">
      <c r="B12" s="42" t="str">
        <f>IFERROR(__xludf.DUMMYFUNCTION("""COMPUTED_VALUE"""),"L/18/151024/1")</f>
        <v>L/18/151024/1</v>
      </c>
      <c r="C12" s="42" t="str">
        <f>IFERROR(__xludf.DUMMYFUNCTION("""COMPUTED_VALUE"""),"HM 1527/RAJABASA NUNYAI (SUPER PRIORITAS)")</f>
        <v>HM 1527/RAJABASA NUNYAI (SUPER PRIORITAS)</v>
      </c>
      <c r="D12" s="42" t="str">
        <f>IFERROR(__xludf.DUMMYFUNCTION("""COMPUTED_VALUE"""),"Berry")</f>
        <v>Berry</v>
      </c>
      <c r="E12" s="42" t="str">
        <f>IFERROR(__xludf.DUMMYFUNCTION("""COMPUTED_VALUE"""),"DISERAHKAN")</f>
        <v>DISERAHKAN</v>
      </c>
      <c r="F12" s="48" t="str">
        <f>IFERROR(__xludf.DUMMYFUNCTION("""COMPUTED_VALUE"""),"16/10/2024 08.23")</f>
        <v>16/10/2024 08.23</v>
      </c>
      <c r="G12" s="42" t="str">
        <f>IFERROR(__xludf.DUMMYFUNCTION("""COMPUTED_VALUE"""),"BN JUAL BELI")</f>
        <v>BN JUAL BELI</v>
      </c>
      <c r="H12" s="42">
        <f t="shared" si="1"/>
        <v>7</v>
      </c>
    </row>
    <row r="13" ht="22.5" customHeight="1">
      <c r="B13" s="42" t="str">
        <f>IFERROR(__xludf.DUMMYFUNCTION("""COMPUTED_VALUE"""),"L/20/151024/1")</f>
        <v>L/20/151024/1</v>
      </c>
      <c r="C13" s="42" t="str">
        <f>IFERROR(__xludf.DUMMYFUNCTION("""COMPUTED_VALUE"""),"NIB 0801000023950/SUKARAME")</f>
        <v>NIB 0801000023950/SUKARAME</v>
      </c>
      <c r="D13" s="42"/>
      <c r="E13" s="42"/>
      <c r="F13" s="48" t="str">
        <f>IFERROR(__xludf.DUMMYFUNCTION("""COMPUTED_VALUE"""),"")</f>
        <v/>
      </c>
      <c r="G13" s="42" t="str">
        <f>IFERROR(__xludf.DUMMYFUNCTION("""COMPUTED_VALUE"""),"GANTI NAMA")</f>
        <v>GANTI NAMA</v>
      </c>
      <c r="H13" s="42">
        <f t="shared" si="1"/>
        <v>7</v>
      </c>
    </row>
    <row r="14" ht="22.5" customHeight="1">
      <c r="B14" s="42" t="str">
        <f>IFERROR(__xludf.DUMMYFUNCTION("""COMPUTED_VALUE"""),"K/21/151024/1")</f>
        <v>K/21/151024/1</v>
      </c>
      <c r="C14" s="42" t="str">
        <f>IFERROR(__xludf.DUMMYFUNCTION("""COMPUTED_VALUE"""),"M. 652/ PINANG JAYA")</f>
        <v>M. 652/ PINANG JAYA</v>
      </c>
      <c r="D14" s="42"/>
      <c r="E14" s="42" t="str">
        <f>IFERROR(__xludf.DUMMYFUNCTION("""COMPUTED_VALUE"""),"PROSES")</f>
        <v>PROSES</v>
      </c>
      <c r="F14" s="48" t="str">
        <f>IFERROR(__xludf.DUMMYFUNCTION("""COMPUTED_VALUE"""),"")</f>
        <v/>
      </c>
      <c r="G14" s="42" t="str">
        <f>IFERROR(__xludf.DUMMYFUNCTION("""COMPUTED_VALUE"""),"BN JUAL BELI")</f>
        <v>BN JUAL BELI</v>
      </c>
      <c r="H14" s="42">
        <f t="shared" si="1"/>
        <v>7</v>
      </c>
    </row>
    <row r="15" ht="22.5" customHeight="1">
      <c r="B15" s="42" t="str">
        <f>IFERROR(__xludf.DUMMYFUNCTION("""COMPUTED_VALUE"""),"L/26/151024/1")</f>
        <v>L/26/151024/1</v>
      </c>
      <c r="C15" s="42" t="str">
        <f>IFERROR(__xludf.DUMMYFUNCTION("""COMPUTED_VALUE"""),"HM 401/KALI BALAU KENCANA")</f>
        <v>HM 401/KALI BALAU KENCANA</v>
      </c>
      <c r="D15" s="42" t="str">
        <f>IFERROR(__xludf.DUMMYFUNCTION("""COMPUTED_VALUE"""),"Berry")</f>
        <v>Berry</v>
      </c>
      <c r="E15" s="42" t="str">
        <f>IFERROR(__xludf.DUMMYFUNCTION("""COMPUTED_VALUE"""),"DISERAHKAN")</f>
        <v>DISERAHKAN</v>
      </c>
      <c r="F15" s="48" t="str">
        <f>IFERROR(__xludf.DUMMYFUNCTION("""COMPUTED_VALUE"""),"16/10/2024 08.24")</f>
        <v>16/10/2024 08.24</v>
      </c>
      <c r="G15" s="42" t="str">
        <f>IFERROR(__xludf.DUMMYFUNCTION("""COMPUTED_VALUE"""),"ROYA")</f>
        <v>ROYA</v>
      </c>
      <c r="H15" s="42">
        <f t="shared" si="1"/>
        <v>8</v>
      </c>
    </row>
    <row r="16" ht="22.5" customHeight="1">
      <c r="B16" s="42" t="str">
        <f>IFERROR(__xludf.DUMMYFUNCTION("""COMPUTED_VALUE"""),"K/36/151024/1")</f>
        <v>K/36/151024/1</v>
      </c>
      <c r="C16" s="42" t="str">
        <f>IFERROR(__xludf.DUMMYFUNCTION("""COMPUTED_VALUE"""),"M.4791/BERINGIN RAYA-SEKARANG;B.1135/SUMBERREJO-DAHULU")</f>
        <v>M.4791/BERINGIN RAYA-SEKARANG;B.1135/SUMBERREJO-DAHULU</v>
      </c>
      <c r="D16" s="42"/>
      <c r="E16" s="42" t="str">
        <f>IFERROR(__xludf.DUMMYFUNCTION("""COMPUTED_VALUE"""),"PROSES")</f>
        <v>PROSES</v>
      </c>
      <c r="F16" s="48" t="str">
        <f>IFERROR(__xludf.DUMMYFUNCTION("""COMPUTED_VALUE"""),"")</f>
        <v/>
      </c>
      <c r="G16" s="42" t="str">
        <f>IFERROR(__xludf.DUMMYFUNCTION("""COMPUTED_VALUE"""),"PERALIHAN LELANG")</f>
        <v>PERALIHAN LELANG</v>
      </c>
      <c r="H16" s="42">
        <f t="shared" si="1"/>
        <v>8</v>
      </c>
    </row>
    <row r="17" ht="22.5" customHeight="1">
      <c r="B17" s="42" t="str">
        <f>IFERROR(__xludf.DUMMYFUNCTION("""COMPUTED_VALUE"""),"L/35/151024/1")</f>
        <v>L/35/151024/1</v>
      </c>
      <c r="C17" s="42" t="str">
        <f>IFERROR(__xludf.DUMMYFUNCTION("""COMPUTED_VALUE"""),"HM 479/HARAPAN JAYA (DAHULU)-HM 49/KORPRI JAYA (SEKARANG)")</f>
        <v>HM 479/HARAPAN JAYA (DAHULU)-HM 49/KORPRI JAYA (SEKARANG)</v>
      </c>
      <c r="D17" s="42" t="str">
        <f>IFERROR(__xludf.DUMMYFUNCTION("""COMPUTED_VALUE"""),"David")</f>
        <v>David</v>
      </c>
      <c r="E17" s="42" t="str">
        <f>IFERROR(__xludf.DUMMYFUNCTION("""COMPUTED_VALUE"""),"DISERAHKAN")</f>
        <v>DISERAHKAN</v>
      </c>
      <c r="F17" s="48" t="str">
        <f>IFERROR(__xludf.DUMMYFUNCTION("""COMPUTED_VALUE"""),"16/10/2024 08.21")</f>
        <v>16/10/2024 08.21</v>
      </c>
      <c r="G17" s="42" t="str">
        <f>IFERROR(__xludf.DUMMYFUNCTION("""COMPUTED_VALUE"""),"BN PUTUSAN PENGADILAN (AHLI WARIS)")</f>
        <v>BN PUTUSAN PENGADILAN (AHLI WARIS)</v>
      </c>
      <c r="H17" s="42">
        <f t="shared" si="1"/>
        <v>9</v>
      </c>
    </row>
    <row r="18" ht="22.5" customHeight="1">
      <c r="B18" s="42" t="str">
        <f>IFERROR(__xludf.DUMMYFUNCTION("""COMPUTED_VALUE"""),"L/43/151024/1")</f>
        <v>L/43/151024/1</v>
      </c>
      <c r="C18" s="42" t="str">
        <f>IFERROR(__xludf.DUMMYFUNCTION("""COMPUTED_VALUE"""),"HM 4010/TANJUNG SENANG")</f>
        <v>HM 4010/TANJUNG SENANG</v>
      </c>
      <c r="D18" s="42" t="str">
        <f>IFERROR(__xludf.DUMMYFUNCTION("""COMPUTED_VALUE"""),"Berry")</f>
        <v>Berry</v>
      </c>
      <c r="E18" s="42" t="str">
        <f>IFERROR(__xludf.DUMMYFUNCTION("""COMPUTED_VALUE"""),"DISERAHKAN")</f>
        <v>DISERAHKAN</v>
      </c>
      <c r="F18" s="48" t="str">
        <f>IFERROR(__xludf.DUMMYFUNCTION("""COMPUTED_VALUE"""),"16/10/2024 08.23")</f>
        <v>16/10/2024 08.23</v>
      </c>
      <c r="G18" s="42" t="str">
        <f>IFERROR(__xludf.DUMMYFUNCTION("""COMPUTED_VALUE"""),"ROYA")</f>
        <v>ROYA</v>
      </c>
      <c r="H18" s="42">
        <f t="shared" si="1"/>
        <v>10</v>
      </c>
    </row>
    <row r="19" ht="22.5" customHeight="1">
      <c r="B19" s="42" t="str">
        <f>IFERROR(__xludf.DUMMYFUNCTION("""COMPUTED_VALUE"""),"K/41/151024/2")</f>
        <v>K/41/151024/2</v>
      </c>
      <c r="C19" s="42" t="str">
        <f>IFERROR(__xludf.DUMMYFUNCTION("""COMPUTED_VALUE"""),"M. 11294/ Labuhan Ratu")</f>
        <v>M. 11294/ Labuhan Ratu</v>
      </c>
      <c r="D19" s="42" t="str">
        <f>IFERROR(__xludf.DUMMYFUNCTION("""COMPUTED_VALUE"""),"David")</f>
        <v>David</v>
      </c>
      <c r="E19" s="42" t="str">
        <f>IFERROR(__xludf.DUMMYFUNCTION("""COMPUTED_VALUE"""),"DISERAHKAN")</f>
        <v>DISERAHKAN</v>
      </c>
      <c r="F19" s="48" t="str">
        <f>IFERROR(__xludf.DUMMYFUNCTION("""COMPUTED_VALUE"""),"16/10/2024 08.22")</f>
        <v>16/10/2024 08.22</v>
      </c>
      <c r="G19" s="42" t="str">
        <f>IFERROR(__xludf.DUMMYFUNCTION("""COMPUTED_VALUE"""),"BN Jual Beli")</f>
        <v>BN Jual Beli</v>
      </c>
      <c r="H19" s="42">
        <f t="shared" si="1"/>
        <v>11</v>
      </c>
    </row>
    <row r="20" ht="22.5" customHeight="1">
      <c r="B20" s="42" t="str">
        <f>IFERROR(__xludf.DUMMYFUNCTION("""COMPUTED_VALUE"""),"K/42/151024/3")</f>
        <v>K/42/151024/3</v>
      </c>
      <c r="C20" s="42" t="str">
        <f>IFERROR(__xludf.DUMMYFUNCTION("""COMPUTED_VALUE"""),"M. 2589/ Kota Baru")</f>
        <v>M. 2589/ Kota Baru</v>
      </c>
      <c r="D20" s="42" t="str">
        <f>IFERROR(__xludf.DUMMYFUNCTION("""COMPUTED_VALUE"""),"Berry")</f>
        <v>Berry</v>
      </c>
      <c r="E20" s="42" t="str">
        <f>IFERROR(__xludf.DUMMYFUNCTION("""COMPUTED_VALUE"""),"DISERAHKAN")</f>
        <v>DISERAHKAN</v>
      </c>
      <c r="F20" s="48" t="str">
        <f>IFERROR(__xludf.DUMMYFUNCTION("""COMPUTED_VALUE"""),"16/10/2024 08.23")</f>
        <v>16/10/2024 08.23</v>
      </c>
      <c r="G20" s="42" t="str">
        <f>IFERROR(__xludf.DUMMYFUNCTION("""COMPUTED_VALUE"""),"BN Kewarisan")</f>
        <v>BN Kewarisan</v>
      </c>
      <c r="H20" s="42">
        <f t="shared" si="1"/>
        <v>12</v>
      </c>
    </row>
    <row r="21" ht="22.5" customHeight="1">
      <c r="B21" s="42" t="str">
        <f>IFERROR(__xludf.DUMMYFUNCTION("""COMPUTED_VALUE"""),"L/49/151024/1")</f>
        <v>L/49/151024/1</v>
      </c>
      <c r="C21" s="42" t="str">
        <f>IFERROR(__xludf.DUMMYFUNCTION("""COMPUTED_VALUE"""),"B.238/BERINGIN RAYA;B.238/BERINGIN JAYA-DAHULU")</f>
        <v>B.238/BERINGIN RAYA;B.238/BERINGIN JAYA-DAHULU</v>
      </c>
      <c r="D21" s="42" t="str">
        <f>IFERROR(__xludf.DUMMYFUNCTION("""COMPUTED_VALUE"""),"Berry")</f>
        <v>Berry</v>
      </c>
      <c r="E21" s="42" t="str">
        <f>IFERROR(__xludf.DUMMYFUNCTION("""COMPUTED_VALUE"""),"DISERAHKAN")</f>
        <v>DISERAHKAN</v>
      </c>
      <c r="F21" s="48" t="str">
        <f>IFERROR(__xludf.DUMMYFUNCTION("""COMPUTED_VALUE"""),"16/10/2024 08.22")</f>
        <v>16/10/2024 08.22</v>
      </c>
      <c r="G21" s="42" t="str">
        <f>IFERROR(__xludf.DUMMYFUNCTION("""COMPUTED_VALUE"""),"PERUBAHAN HAK")</f>
        <v>PERUBAHAN HAK</v>
      </c>
      <c r="H21" s="42">
        <f t="shared" si="1"/>
        <v>13</v>
      </c>
    </row>
    <row r="22" ht="22.5" customHeight="1">
      <c r="B22" s="42" t="str">
        <f>IFERROR(__xludf.DUMMYFUNCTION("""COMPUTED_VALUE"""),"K/59/151024/1")</f>
        <v>K/59/151024/1</v>
      </c>
      <c r="C22" s="42" t="str">
        <f>IFERROR(__xludf.DUMMYFUNCTION("""COMPUTED_VALUE"""),"B.522/BERINGIN JAYA")</f>
        <v>B.522/BERINGIN JAYA</v>
      </c>
      <c r="D22" s="42" t="str">
        <f>IFERROR(__xludf.DUMMYFUNCTION("""COMPUTED_VALUE"""),"David")</f>
        <v>David</v>
      </c>
      <c r="E22" s="42" t="str">
        <f>IFERROR(__xludf.DUMMYFUNCTION("""COMPUTED_VALUE"""),"DISERAHKAN")</f>
        <v>DISERAHKAN</v>
      </c>
      <c r="F22" s="48" t="str">
        <f>IFERROR(__xludf.DUMMYFUNCTION("""COMPUTED_VALUE"""),"17/10/2024 14.03")</f>
        <v>17/10/2024 14.03</v>
      </c>
      <c r="G22" s="42" t="str">
        <f>IFERROR(__xludf.DUMMYFUNCTION("""COMPUTED_VALUE"""),"PERALIHAN JUAL BELI")</f>
        <v>PERALIHAN JUAL BELI</v>
      </c>
      <c r="H22" s="42">
        <f t="shared" si="1"/>
        <v>14</v>
      </c>
    </row>
    <row r="23" ht="22.5" customHeight="1">
      <c r="B23" s="42" t="str">
        <f>IFERROR(__xludf.DUMMYFUNCTION("""COMPUTED_VALUE"""),"L/4/161024/1")</f>
        <v>L/4/161024/1</v>
      </c>
      <c r="C23" s="42" t="str">
        <f>IFERROR(__xludf.DUMMYFUNCTION("""COMPUTED_VALUE"""),"B.3464/SUKABUMI")</f>
        <v>B.3464/SUKABUMI</v>
      </c>
      <c r="D23" s="42"/>
      <c r="E23" s="42"/>
      <c r="F23" s="48" t="str">
        <f>IFERROR(__xludf.DUMMYFUNCTION("""COMPUTED_VALUE"""),"")</f>
        <v/>
      </c>
      <c r="G23" s="42" t="str">
        <f>IFERROR(__xludf.DUMMYFUNCTION("""COMPUTED_VALUE"""),"PENGUKURAN UNTUK PEMBAHARUAN SERTIPIKAT")</f>
        <v>PENGUKURAN UNTUK PEMBAHARUAN SERTIPIKAT</v>
      </c>
      <c r="H23" s="42">
        <f t="shared" si="1"/>
        <v>14</v>
      </c>
    </row>
    <row r="24" ht="22.5" customHeight="1">
      <c r="B24" s="42" t="str">
        <f>IFERROR(__xludf.DUMMYFUNCTION("""COMPUTED_VALUE"""),"K/12/161024/3")</f>
        <v>K/12/161024/3</v>
      </c>
      <c r="C24" s="42" t="str">
        <f>IFERROR(__xludf.DUMMYFUNCTION("""COMPUTED_VALUE"""),"B.545/GUNUNG SULAH")</f>
        <v>B.545/GUNUNG SULAH</v>
      </c>
      <c r="D24" s="42"/>
      <c r="E24" s="42" t="str">
        <f>IFERROR(__xludf.DUMMYFUNCTION("""COMPUTED_VALUE"""),"PROSES")</f>
        <v>PROSES</v>
      </c>
      <c r="F24" s="48" t="str">
        <f>IFERROR(__xludf.DUMMYFUNCTION("""COMPUTED_VALUE"""),"")</f>
        <v/>
      </c>
      <c r="G24" s="42" t="str">
        <f>IFERROR(__xludf.DUMMYFUNCTION("""COMPUTED_VALUE"""),"PERALIHAN JUAL BELI")</f>
        <v>PERALIHAN JUAL BELI</v>
      </c>
      <c r="H24" s="42">
        <f t="shared" si="1"/>
        <v>14</v>
      </c>
    </row>
    <row r="25" ht="22.5" customHeight="1">
      <c r="B25" s="42" t="str">
        <f>IFERROR(__xludf.DUMMYFUNCTION("""COMPUTED_VALUE"""),"K/13/161024/1")</f>
        <v>K/13/161024/1</v>
      </c>
      <c r="C25" s="42" t="str">
        <f>IFERROR(__xludf.DUMMYFUNCTION("""COMPUTED_VALUE"""),"M. 1186/ Enggal")</f>
        <v>M. 1186/ Enggal</v>
      </c>
      <c r="D25" s="42" t="str">
        <f>IFERROR(__xludf.DUMMYFUNCTION("""COMPUTED_VALUE"""),"David")</f>
        <v>David</v>
      </c>
      <c r="E25" s="42" t="str">
        <f>IFERROR(__xludf.DUMMYFUNCTION("""COMPUTED_VALUE"""),"DISERAHKAN")</f>
        <v>DISERAHKAN</v>
      </c>
      <c r="F25" s="48" t="str">
        <f>IFERROR(__xludf.DUMMYFUNCTION("""COMPUTED_VALUE"""),"17/10/2024 14.03")</f>
        <v>17/10/2024 14.03</v>
      </c>
      <c r="G25" s="42" t="str">
        <f>IFERROR(__xludf.DUMMYFUNCTION("""COMPUTED_VALUE"""),"BN Jual Beli")</f>
        <v>BN Jual Beli</v>
      </c>
      <c r="H25" s="42">
        <f t="shared" si="1"/>
        <v>15</v>
      </c>
    </row>
    <row r="26" ht="22.5" customHeight="1">
      <c r="B26" s="42" t="str">
        <f>IFERROR(__xludf.DUMMYFUNCTION("""COMPUTED_VALUE"""),"L/16/161024/1")</f>
        <v>L/16/161024/1</v>
      </c>
      <c r="C26" s="42" t="str">
        <f>IFERROR(__xludf.DUMMYFUNCTION("""COMPUTED_VALUE"""),"M.1095/NOG")</f>
        <v>M.1095/NOG</v>
      </c>
      <c r="D26" s="42" t="str">
        <f>IFERROR(__xludf.DUMMYFUNCTION("""COMPUTED_VALUE"""),"David")</f>
        <v>David</v>
      </c>
      <c r="E26" s="42" t="str">
        <f>IFERROR(__xludf.DUMMYFUNCTION("""COMPUTED_VALUE"""),"DISERAHKAN")</f>
        <v>DISERAHKAN</v>
      </c>
      <c r="F26" s="48" t="str">
        <f>IFERROR(__xludf.DUMMYFUNCTION("""COMPUTED_VALUE"""),"17/10/2024 10.00")</f>
        <v>17/10/2024 10.00</v>
      </c>
      <c r="G26" s="42" t="str">
        <f>IFERROR(__xludf.DUMMYFUNCTION("""COMPUTED_VALUE"""),"ROYA")</f>
        <v>ROYA</v>
      </c>
      <c r="H26" s="42">
        <f t="shared" si="1"/>
        <v>16</v>
      </c>
    </row>
    <row r="27" ht="22.5" customHeight="1">
      <c r="B27" s="42" t="str">
        <f>IFERROR(__xludf.DUMMYFUNCTION("""COMPUTED_VALUE"""),"K/25/161024/1")</f>
        <v>K/25/161024/1</v>
      </c>
      <c r="C27" s="42" t="str">
        <f>IFERROR(__xludf.DUMMYFUNCTION("""COMPUTED_VALUE"""),"M. 1443/ Batu Putuk")</f>
        <v>M. 1443/ Batu Putuk</v>
      </c>
      <c r="D27" s="42" t="str">
        <f>IFERROR(__xludf.DUMMYFUNCTION("""COMPUTED_VALUE"""),"")</f>
        <v/>
      </c>
      <c r="E27" s="42" t="str">
        <f>IFERROR(__xludf.DUMMYFUNCTION("""COMPUTED_VALUE"""),"")</f>
        <v/>
      </c>
      <c r="F27" s="48" t="str">
        <f>IFERROR(__xludf.DUMMYFUNCTION("""COMPUTED_VALUE"""),"")</f>
        <v/>
      </c>
      <c r="G27" s="42" t="str">
        <f>IFERROR(__xludf.DUMMYFUNCTION("""COMPUTED_VALUE"""),"Hapus BPHTB")</f>
        <v>Hapus BPHTB</v>
      </c>
      <c r="H27" s="42">
        <f t="shared" si="1"/>
        <v>16</v>
      </c>
    </row>
    <row r="28" ht="22.5" customHeight="1">
      <c r="B28" s="42" t="str">
        <f>IFERROR(__xludf.DUMMYFUNCTION("""COMPUTED_VALUE"""),"K/27/161024/1")</f>
        <v>K/27/161024/1</v>
      </c>
      <c r="C28" s="42" t="str">
        <f>IFERROR(__xludf.DUMMYFUNCTION("""COMPUTED_VALUE"""),"M. 12564/ Rajabasa Nunyai; 1137/ Rajabasa Dahulu")</f>
        <v>M. 12564/ Rajabasa Nunyai; 1137/ Rajabasa Dahulu</v>
      </c>
      <c r="D28" s="42" t="str">
        <f>IFERROR(__xludf.DUMMYFUNCTION("""COMPUTED_VALUE"""),"Sahelia")</f>
        <v>Sahelia</v>
      </c>
      <c r="E28" s="42" t="str">
        <f>IFERROR(__xludf.DUMMYFUNCTION("""COMPUTED_VALUE"""),"DISERAHKAN")</f>
        <v>DISERAHKAN</v>
      </c>
      <c r="F28" s="48" t="str">
        <f>IFERROR(__xludf.DUMMYFUNCTION("""COMPUTED_VALUE"""),"05/11/2024 10.06")</f>
        <v>05/11/2024 10.06</v>
      </c>
      <c r="G28" s="42" t="str">
        <f>IFERROR(__xludf.DUMMYFUNCTION("""COMPUTED_VALUE"""),"BN Jual Beli")</f>
        <v>BN Jual Beli</v>
      </c>
      <c r="H28" s="42">
        <f t="shared" si="1"/>
        <v>17</v>
      </c>
    </row>
    <row r="29" ht="22.5" customHeight="1">
      <c r="B29" s="42" t="str">
        <f>IFERROR(__xludf.DUMMYFUNCTION("""COMPUTED_VALUE"""),"K/30/161024/1")</f>
        <v>K/30/161024/1</v>
      </c>
      <c r="C29" s="42" t="str">
        <f>IFERROR(__xludf.DUMMYFUNCTION("""COMPUTED_VALUE"""),"M. 4485/ Beringin Raya; B. 1808/ Beringin Raya")</f>
        <v>M. 4485/ Beringin Raya; B. 1808/ Beringin Raya</v>
      </c>
      <c r="D29" s="42" t="str">
        <f>IFERROR(__xludf.DUMMYFUNCTION("""COMPUTED_VALUE"""),"Sahelia")</f>
        <v>Sahelia</v>
      </c>
      <c r="E29" s="42" t="str">
        <f>IFERROR(__xludf.DUMMYFUNCTION("""COMPUTED_VALUE"""),"DISERAHKAN BT")</f>
        <v>DISERAHKAN BT</v>
      </c>
      <c r="F29" s="48" t="str">
        <f>IFERROR(__xludf.DUMMYFUNCTION("""COMPUTED_VALUE"""),"12/11/2024 13.59")</f>
        <v>12/11/2024 13.59</v>
      </c>
      <c r="G29" s="42" t="str">
        <f>IFERROR(__xludf.DUMMYFUNCTION("""COMPUTED_VALUE"""),"BN Jual Beli")</f>
        <v>BN Jual Beli</v>
      </c>
      <c r="H29" s="42">
        <f t="shared" si="1"/>
        <v>17</v>
      </c>
    </row>
    <row r="30" ht="22.5" customHeight="1">
      <c r="B30" s="42" t="str">
        <f>IFERROR(__xludf.DUMMYFUNCTION("""COMPUTED_VALUE"""),"K/38/161024/1")</f>
        <v>K/38/161024/1</v>
      </c>
      <c r="C30" s="42" t="str">
        <f>IFERROR(__xludf.DUMMYFUNCTION("""COMPUTED_VALUE"""),"M. 2904/ Gedong Air")</f>
        <v>M. 2904/ Gedong Air</v>
      </c>
      <c r="D30" s="42"/>
      <c r="E30" s="42"/>
      <c r="F30" s="48" t="str">
        <f>IFERROR(__xludf.DUMMYFUNCTION("""COMPUTED_VALUE"""),"")</f>
        <v/>
      </c>
      <c r="G30" s="42" t="str">
        <f>IFERROR(__xludf.DUMMYFUNCTION("""COMPUTED_VALUE"""),"Hapus BPHTB")</f>
        <v>Hapus BPHTB</v>
      </c>
      <c r="H30" s="42">
        <f t="shared" si="1"/>
        <v>17</v>
      </c>
    </row>
    <row r="31" ht="22.5" customHeight="1">
      <c r="B31" s="42" t="str">
        <f>IFERROR(__xludf.DUMMYFUNCTION("""COMPUTED_VALUE"""),"L/6/171024/1")</f>
        <v>L/6/171024/1</v>
      </c>
      <c r="C31" s="42" t="str">
        <f>IFERROR(__xludf.DUMMYFUNCTION("""COMPUTED_VALUE"""),"M.13036/SUKABUMI")</f>
        <v>M.13036/SUKABUMI</v>
      </c>
      <c r="D31" s="42" t="str">
        <f>IFERROR(__xludf.DUMMYFUNCTION("""COMPUTED_VALUE"""),"Berry")</f>
        <v>Berry</v>
      </c>
      <c r="E31" s="42" t="str">
        <f>IFERROR(__xludf.DUMMYFUNCTION("""COMPUTED_VALUE"""),"DISERAHKAN")</f>
        <v>DISERAHKAN</v>
      </c>
      <c r="F31" s="48" t="str">
        <f>IFERROR(__xludf.DUMMYFUNCTION("""COMPUTED_VALUE"""),"17/10/2024 15.15")</f>
        <v>17/10/2024 15.15</v>
      </c>
      <c r="G31" s="42" t="str">
        <f>IFERROR(__xludf.DUMMYFUNCTION("""COMPUTED_VALUE"""),"ROYA")</f>
        <v>ROYA</v>
      </c>
      <c r="H31" s="42">
        <f t="shared" si="1"/>
        <v>18</v>
      </c>
    </row>
    <row r="32" ht="22.5" customHeight="1">
      <c r="B32" s="42" t="str">
        <f>IFERROR(__xludf.DUMMYFUNCTION("""COMPUTED_VALUE"""),"L/11/171024/1")</f>
        <v>L/11/171024/1</v>
      </c>
      <c r="C32" s="42" t="str">
        <f>IFERROR(__xludf.DUMMYFUNCTION("""COMPUTED_VALUE"""),"HGB 416/WAY KANDIS")</f>
        <v>HGB 416/WAY KANDIS</v>
      </c>
      <c r="D32" s="42" t="str">
        <f>IFERROR(__xludf.DUMMYFUNCTION("""COMPUTED_VALUE"""),"Berry")</f>
        <v>Berry</v>
      </c>
      <c r="E32" s="42" t="str">
        <f>IFERROR(__xludf.DUMMYFUNCTION("""COMPUTED_VALUE"""),"DISERAHKAN")</f>
        <v>DISERAHKAN</v>
      </c>
      <c r="F32" s="48" t="str">
        <f>IFERROR(__xludf.DUMMYFUNCTION("""COMPUTED_VALUE"""),"17/10/2024 15.15")</f>
        <v>17/10/2024 15.15</v>
      </c>
      <c r="G32" s="42" t="str">
        <f>IFERROR(__xludf.DUMMYFUNCTION("""COMPUTED_VALUE"""),"ROYA")</f>
        <v>ROYA</v>
      </c>
      <c r="H32" s="42">
        <f t="shared" si="1"/>
        <v>19</v>
      </c>
    </row>
    <row r="33" ht="22.5" customHeight="1">
      <c r="B33" s="42" t="str">
        <f>IFERROR(__xludf.DUMMYFUNCTION("""COMPUTED_VALUE"""),"K/12/171024/3")</f>
        <v>K/12/171024/3</v>
      </c>
      <c r="C33" s="42" t="str">
        <f>IFERROR(__xludf.DUMMYFUNCTION("""COMPUTED_VALUE"""),"M. 243/ Pinang Jaya")</f>
        <v>M. 243/ Pinang Jaya</v>
      </c>
      <c r="D33" s="42" t="str">
        <f>IFERROR(__xludf.DUMMYFUNCTION("""COMPUTED_VALUE"""),"Berry")</f>
        <v>Berry</v>
      </c>
      <c r="E33" s="42" t="str">
        <f>IFERROR(__xludf.DUMMYFUNCTION("""COMPUTED_VALUE"""),"DISERAHKAN")</f>
        <v>DISERAHKAN</v>
      </c>
      <c r="F33" s="48" t="str">
        <f>IFERROR(__xludf.DUMMYFUNCTION("""COMPUTED_VALUE"""),"17/10/2024 15.15")</f>
        <v>17/10/2024 15.15</v>
      </c>
      <c r="G33" s="42" t="str">
        <f>IFERROR(__xludf.DUMMYFUNCTION("""COMPUTED_VALUE"""),"BN Jual beli")</f>
        <v>BN Jual beli</v>
      </c>
      <c r="H33" s="42">
        <f t="shared" si="1"/>
        <v>20</v>
      </c>
    </row>
    <row r="34" ht="22.5" customHeight="1">
      <c r="B34" s="42" t="str">
        <f>IFERROR(__xludf.DUMMYFUNCTION("""COMPUTED_VALUE"""),"K/14/171024/5")</f>
        <v>K/14/171024/5</v>
      </c>
      <c r="C34" s="42" t="str">
        <f>IFERROR(__xludf.DUMMYFUNCTION("""COMPUTED_VALUE"""),"M. 2465/ Pinang jaya")</f>
        <v>M. 2465/ Pinang jaya</v>
      </c>
      <c r="D34" s="42" t="str">
        <f>IFERROR(__xludf.DUMMYFUNCTION("""COMPUTED_VALUE"""),"David")</f>
        <v>David</v>
      </c>
      <c r="E34" s="42" t="str">
        <f>IFERROR(__xludf.DUMMYFUNCTION("""COMPUTED_VALUE"""),"DISERAHKAN")</f>
        <v>DISERAHKAN</v>
      </c>
      <c r="F34" s="48" t="str">
        <f>IFERROR(__xludf.DUMMYFUNCTION("""COMPUTED_VALUE"""),"17/10/2024 15.19")</f>
        <v>17/10/2024 15.19</v>
      </c>
      <c r="G34" s="42" t="str">
        <f>IFERROR(__xludf.DUMMYFUNCTION("""COMPUTED_VALUE"""),"BN Jual Beli")</f>
        <v>BN Jual Beli</v>
      </c>
      <c r="H34" s="42">
        <f t="shared" si="1"/>
        <v>21</v>
      </c>
    </row>
    <row r="35" ht="22.5" customHeight="1">
      <c r="B35" s="42" t="str">
        <f>IFERROR(__xludf.DUMMYFUNCTION("""COMPUTED_VALUE"""),"L/35/171024/1")</f>
        <v>L/35/171024/1</v>
      </c>
      <c r="C35" s="42" t="str">
        <f>IFERROR(__xludf.DUMMYFUNCTION("""COMPUTED_VALUE"""),"HM 296/RAJABASA RAYA")</f>
        <v>HM 296/RAJABASA RAYA</v>
      </c>
      <c r="D35" s="42" t="str">
        <f>IFERROR(__xludf.DUMMYFUNCTION("""COMPUTED_VALUE"""),"Berry")</f>
        <v>Berry</v>
      </c>
      <c r="E35" s="42" t="str">
        <f>IFERROR(__xludf.DUMMYFUNCTION("""COMPUTED_VALUE"""),"DISERAHKAN")</f>
        <v>DISERAHKAN</v>
      </c>
      <c r="F35" s="48" t="str">
        <f>IFERROR(__xludf.DUMMYFUNCTION("""COMPUTED_VALUE"""),"21/10/2024 11.42")</f>
        <v>21/10/2024 11.42</v>
      </c>
      <c r="G35" s="42" t="str">
        <f>IFERROR(__xludf.DUMMYFUNCTION("""COMPUTED_VALUE"""),"ROYA")</f>
        <v>ROYA</v>
      </c>
      <c r="H35" s="42">
        <f t="shared" si="1"/>
        <v>22</v>
      </c>
    </row>
    <row r="36" ht="22.5" customHeight="1">
      <c r="B36" s="42" t="str">
        <f>IFERROR(__xludf.DUMMYFUNCTION("""COMPUTED_VALUE"""),"L/40/171024/1")</f>
        <v>L/40/171024/1</v>
      </c>
      <c r="C36" s="42" t="str">
        <f>IFERROR(__xludf.DUMMYFUNCTION("""COMPUTED_VALUE"""),"HM 1375/TANJUNG SENENG")</f>
        <v>HM 1375/TANJUNG SENENG</v>
      </c>
      <c r="D36" s="42" t="str">
        <f>IFERROR(__xludf.DUMMYFUNCTION("""COMPUTED_VALUE"""),"Berry")</f>
        <v>Berry</v>
      </c>
      <c r="E36" s="42" t="str">
        <f>IFERROR(__xludf.DUMMYFUNCTION("""COMPUTED_VALUE"""),"DISERAHKAN")</f>
        <v>DISERAHKAN</v>
      </c>
      <c r="F36" s="48" t="str">
        <f>IFERROR(__xludf.DUMMYFUNCTION("""COMPUTED_VALUE"""),"21/10/2024 11.42")</f>
        <v>21/10/2024 11.42</v>
      </c>
      <c r="G36" s="42" t="str">
        <f>IFERROR(__xludf.DUMMYFUNCTION("""COMPUTED_VALUE"""),"ROYA")</f>
        <v>ROYA</v>
      </c>
      <c r="H36" s="42">
        <f t="shared" si="1"/>
        <v>23</v>
      </c>
    </row>
    <row r="37" ht="22.5" customHeight="1">
      <c r="B37" s="42" t="str">
        <f>IFERROR(__xludf.DUMMYFUNCTION("""COMPUTED_VALUE"""),"K/42/171024/1")</f>
        <v>K/42/171024/1</v>
      </c>
      <c r="C37" s="42" t="str">
        <f>IFERROR(__xludf.DUMMYFUNCTION("""COMPUTED_VALUE"""),"B. 649/ Sumber Agung")</f>
        <v>B. 649/ Sumber Agung</v>
      </c>
      <c r="D37" s="42" t="str">
        <f>IFERROR(__xludf.DUMMYFUNCTION("""COMPUTED_VALUE"""),"Berry")</f>
        <v>Berry</v>
      </c>
      <c r="E37" s="42" t="str">
        <f>IFERROR(__xludf.DUMMYFUNCTION("""COMPUTED_VALUE"""),"DISERAHKAN")</f>
        <v>DISERAHKAN</v>
      </c>
      <c r="F37" s="48" t="str">
        <f>IFERROR(__xludf.DUMMYFUNCTION("""COMPUTED_VALUE"""),"21/10/2024 11.42")</f>
        <v>21/10/2024 11.42</v>
      </c>
      <c r="G37" s="42" t="str">
        <f>IFERROR(__xludf.DUMMYFUNCTION("""COMPUTED_VALUE"""),"BN Jual Beli")</f>
        <v>BN Jual Beli</v>
      </c>
      <c r="H37" s="42">
        <f t="shared" si="1"/>
        <v>24</v>
      </c>
    </row>
    <row r="38" ht="22.5" customHeight="1">
      <c r="B38" s="42" t="str">
        <f>IFERROR(__xludf.DUMMYFUNCTION("""COMPUTED_VALUE"""),"L/44/171024/1")</f>
        <v>L/44/171024/1</v>
      </c>
      <c r="C38" s="42" t="str">
        <f>IFERROR(__xludf.DUMMYFUNCTION("""COMPUTED_VALUE"""),"HM 16138/SUKARAME I")</f>
        <v>HM 16138/SUKARAME I</v>
      </c>
      <c r="D38" s="42" t="str">
        <f>IFERROR(__xludf.DUMMYFUNCTION("""COMPUTED_VALUE"""),"Berry")</f>
        <v>Berry</v>
      </c>
      <c r="E38" s="42" t="str">
        <f>IFERROR(__xludf.DUMMYFUNCTION("""COMPUTED_VALUE"""),"DISERAHKAN")</f>
        <v>DISERAHKAN</v>
      </c>
      <c r="F38" s="48" t="str">
        <f>IFERROR(__xludf.DUMMYFUNCTION("""COMPUTED_VALUE"""),"21/10/2024 11.42")</f>
        <v>21/10/2024 11.42</v>
      </c>
      <c r="G38" s="42" t="str">
        <f>IFERROR(__xludf.DUMMYFUNCTION("""COMPUTED_VALUE"""),"ROYA")</f>
        <v>ROYA</v>
      </c>
      <c r="H38" s="42">
        <f t="shared" si="1"/>
        <v>25</v>
      </c>
    </row>
    <row r="39" ht="22.5" customHeight="1">
      <c r="B39" s="42" t="str">
        <f>IFERROR(__xludf.DUMMYFUNCTION("""COMPUTED_VALUE"""),"K/56/171024/1")</f>
        <v>K/56/171024/1</v>
      </c>
      <c r="C39" s="42" t="str">
        <f>IFERROR(__xludf.DUMMYFUNCTION("""COMPUTED_VALUE"""),"M. 377/ ENGGAL")</f>
        <v>M. 377/ ENGGAL</v>
      </c>
      <c r="D39" s="42" t="str">
        <f>IFERROR(__xludf.DUMMYFUNCTION("""COMPUTED_VALUE"""),"Berry")</f>
        <v>Berry</v>
      </c>
      <c r="E39" s="42" t="str">
        <f>IFERROR(__xludf.DUMMYFUNCTION("""COMPUTED_VALUE"""),"DISERAHKAN")</f>
        <v>DISERAHKAN</v>
      </c>
      <c r="F39" s="48" t="str">
        <f>IFERROR(__xludf.DUMMYFUNCTION("""COMPUTED_VALUE"""),"21/10/2024 11.42")</f>
        <v>21/10/2024 11.42</v>
      </c>
      <c r="G39" s="42" t="str">
        <f>IFERROR(__xludf.DUMMYFUNCTION("""COMPUTED_VALUE"""),"ROYA")</f>
        <v>ROYA</v>
      </c>
      <c r="H39" s="42">
        <f t="shared" si="1"/>
        <v>26</v>
      </c>
    </row>
    <row r="40" ht="22.5" customHeight="1">
      <c r="B40" s="42" t="str">
        <f>IFERROR(__xludf.DUMMYFUNCTION("""COMPUTED_VALUE"""),"L/57/181024/1")</f>
        <v>L/57/181024/1</v>
      </c>
      <c r="C40" s="42" t="str">
        <f>IFERROR(__xludf.DUMMYFUNCTION("""COMPUTED_VALUE"""),"M.13833/RAJABASA")</f>
        <v>M.13833/RAJABASA</v>
      </c>
      <c r="D40" s="42" t="str">
        <f>IFERROR(__xludf.DUMMYFUNCTION("""COMPUTED_VALUE"""),"Berry")</f>
        <v>Berry</v>
      </c>
      <c r="E40" s="42" t="str">
        <f>IFERROR(__xludf.DUMMYFUNCTION("""COMPUTED_VALUE"""),"DISERAHKAN")</f>
        <v>DISERAHKAN</v>
      </c>
      <c r="F40" s="48" t="str">
        <f>IFERROR(__xludf.DUMMYFUNCTION("""COMPUTED_VALUE"""),"21/10/2024 11.42")</f>
        <v>21/10/2024 11.42</v>
      </c>
      <c r="G40" s="42" t="str">
        <f>IFERROR(__xludf.DUMMYFUNCTION("""COMPUTED_VALUE"""),"ROYA")</f>
        <v>ROYA</v>
      </c>
      <c r="H40" s="42">
        <f t="shared" si="1"/>
        <v>27</v>
      </c>
    </row>
    <row r="41" ht="22.5" customHeight="1">
      <c r="B41" s="42" t="str">
        <f>IFERROR(__xludf.DUMMYFUNCTION("""COMPUTED_VALUE"""),"K/6/181024/1")</f>
        <v>K/6/181024/1</v>
      </c>
      <c r="C41" s="42" t="str">
        <f>IFERROR(__xludf.DUMMYFUNCTION("""COMPUTED_VALUE"""),"B. 653; 654/ Pesawahan dan SHT 1213/2008 dan SHT 3013/2006")</f>
        <v>B. 653; 654/ Pesawahan dan SHT 1213/2008 dan SHT 3013/2006</v>
      </c>
      <c r="D41" s="42" t="str">
        <f>IFERROR(__xludf.DUMMYFUNCTION("""COMPUTED_VALUE"""),"David")</f>
        <v>David</v>
      </c>
      <c r="E41" s="42" t="str">
        <f>IFERROR(__xludf.DUMMYFUNCTION("""COMPUTED_VALUE"""),"DISERAHKAN")</f>
        <v>DISERAHKAN</v>
      </c>
      <c r="F41" s="48" t="str">
        <f>IFERROR(__xludf.DUMMYFUNCTION("""COMPUTED_VALUE"""),"21/10/2024 11.42")</f>
        <v>21/10/2024 11.42</v>
      </c>
      <c r="G41" s="42" t="str">
        <f>IFERROR(__xludf.DUMMYFUNCTION("""COMPUTED_VALUE"""),"Roya")</f>
        <v>Roya</v>
      </c>
      <c r="H41" s="42">
        <f t="shared" si="1"/>
        <v>28</v>
      </c>
    </row>
    <row r="42" ht="22.5" customHeight="1">
      <c r="B42" s="42" t="str">
        <f>IFERROR(__xludf.DUMMYFUNCTION("""COMPUTED_VALUE"""),"L/10/181024/1")</f>
        <v>L/10/181024/1</v>
      </c>
      <c r="C42" s="42" t="str">
        <f>IFERROR(__xludf.DUMMYFUNCTION("""COMPUTED_VALUE"""),"HGB.4629/BERINGIN RAYA")</f>
        <v>HGB.4629/BERINGIN RAYA</v>
      </c>
      <c r="D42" s="42" t="str">
        <f>IFERROR(__xludf.DUMMYFUNCTION("""COMPUTED_VALUE"""),"David")</f>
        <v>David</v>
      </c>
      <c r="E42" s="42" t="str">
        <f>IFERROR(__xludf.DUMMYFUNCTION("""COMPUTED_VALUE"""),"DISERAHKAN")</f>
        <v>DISERAHKAN</v>
      </c>
      <c r="F42" s="48" t="str">
        <f>IFERROR(__xludf.DUMMYFUNCTION("""COMPUTED_VALUE"""),"23/10/2024 09.15")</f>
        <v>23/10/2024 09.15</v>
      </c>
      <c r="G42" s="42" t="str">
        <f>IFERROR(__xludf.DUMMYFUNCTION("""COMPUTED_VALUE"""),"SERTIPIKAT HILANG")</f>
        <v>SERTIPIKAT HILANG</v>
      </c>
      <c r="H42" s="42">
        <f t="shared" si="1"/>
        <v>29</v>
      </c>
    </row>
    <row r="43" ht="22.5" customHeight="1">
      <c r="B43" s="42" t="str">
        <f>IFERROR(__xludf.DUMMYFUNCTION("""COMPUTED_VALUE"""),"K/11/181024/1")</f>
        <v>K/11/181024/1</v>
      </c>
      <c r="C43" s="42" t="str">
        <f>IFERROR(__xludf.DUMMYFUNCTION("""COMPUTED_VALUE"""),"M.1637/BUMI KEDAMAIAN-SEKARANG;M.13670/KEDAMAIAN-DAHULU")</f>
        <v>M.1637/BUMI KEDAMAIAN-SEKARANG;M.13670/KEDAMAIAN-DAHULU</v>
      </c>
      <c r="D43" s="42"/>
      <c r="E43" s="42" t="str">
        <f>IFERROR(__xludf.DUMMYFUNCTION("""COMPUTED_VALUE"""),"PROSES")</f>
        <v>PROSES</v>
      </c>
      <c r="F43" s="48" t="str">
        <f>IFERROR(__xludf.DUMMYFUNCTION("""COMPUTED_VALUE"""),"")</f>
        <v/>
      </c>
      <c r="G43" s="42" t="str">
        <f>IFERROR(__xludf.DUMMYFUNCTION("""COMPUTED_VALUE"""),"PEMECAHAN")</f>
        <v>PEMECAHAN</v>
      </c>
      <c r="H43" s="42">
        <f t="shared" si="1"/>
        <v>29</v>
      </c>
    </row>
    <row r="44" ht="22.5" customHeight="1">
      <c r="B44" s="42" t="str">
        <f>IFERROR(__xludf.DUMMYFUNCTION("""COMPUTED_VALUE"""),"K/23/181024/1")</f>
        <v>K/23/181024/1</v>
      </c>
      <c r="C44" s="42" t="str">
        <f>IFERROR(__xludf.DUMMYFUNCTION("""COMPUTED_VALUE"""),"M. 224/ Kampung Baru Raya")</f>
        <v>M. 224/ Kampung Baru Raya</v>
      </c>
      <c r="D44" s="42"/>
      <c r="E44" s="42" t="str">
        <f>IFERROR(__xludf.DUMMYFUNCTION("""COMPUTED_VALUE"""),"PROSES")</f>
        <v>PROSES</v>
      </c>
      <c r="F44" s="48" t="str">
        <f>IFERROR(__xludf.DUMMYFUNCTION("""COMPUTED_VALUE"""),"")</f>
        <v/>
      </c>
      <c r="G44" s="42" t="str">
        <f>IFERROR(__xludf.DUMMYFUNCTION("""COMPUTED_VALUE"""),"BN Jual Beli")</f>
        <v>BN Jual Beli</v>
      </c>
      <c r="H44" s="42">
        <f t="shared" si="1"/>
        <v>29</v>
      </c>
    </row>
    <row r="45" ht="22.5" customHeight="1">
      <c r="B45" s="42" t="str">
        <f>IFERROR(__xludf.DUMMYFUNCTION("""COMPUTED_VALUE"""),"K/29/181024/1")</f>
        <v>K/29/181024/1</v>
      </c>
      <c r="C45" s="42" t="str">
        <f>IFERROR(__xludf.DUMMYFUNCTION("""COMPUTED_VALUE"""),"B. 02/ Gunung Mas")</f>
        <v>B. 02/ Gunung Mas</v>
      </c>
      <c r="D45" s="42"/>
      <c r="E45" s="42"/>
      <c r="F45" s="48" t="str">
        <f>IFERROR(__xludf.DUMMYFUNCTION("""COMPUTED_VALUE"""),"")</f>
        <v/>
      </c>
      <c r="G45" s="42" t="str">
        <f>IFERROR(__xludf.DUMMYFUNCTION("""COMPUTED_VALUE"""),"Pengukuran Hgb Berakhir")</f>
        <v>Pengukuran Hgb Berakhir</v>
      </c>
      <c r="H45" s="42">
        <f t="shared" si="1"/>
        <v>29</v>
      </c>
    </row>
    <row r="46" ht="22.5" customHeight="1">
      <c r="B46" s="42" t="str">
        <f>IFERROR(__xludf.DUMMYFUNCTION("""COMPUTED_VALUE"""),"K/33/181024/1")</f>
        <v>K/33/181024/1</v>
      </c>
      <c r="C46" s="42" t="str">
        <f>IFERROR(__xludf.DUMMYFUNCTION("""COMPUTED_VALUE"""),"M.3314/KOTA KARANG")</f>
        <v>M.3314/KOTA KARANG</v>
      </c>
      <c r="D46" s="42" t="str">
        <f>IFERROR(__xludf.DUMMYFUNCTION("""COMPUTED_VALUE"""),"Sahelia")</f>
        <v>Sahelia</v>
      </c>
      <c r="E46" s="42" t="str">
        <f>IFERROR(__xludf.DUMMYFUNCTION("""COMPUTED_VALUE"""),"DISERAHKAN")</f>
        <v>DISERAHKAN</v>
      </c>
      <c r="F46" s="48" t="str">
        <f>IFERROR(__xludf.DUMMYFUNCTION("""COMPUTED_VALUE"""),"07/11/2024 14.13")</f>
        <v>07/11/2024 14.13</v>
      </c>
      <c r="G46" s="42" t="str">
        <f>IFERROR(__xludf.DUMMYFUNCTION("""COMPUTED_VALUE"""),"PERALIHAN JUAL BELI")</f>
        <v>PERALIHAN JUAL BELI</v>
      </c>
      <c r="H46" s="42">
        <f t="shared" si="1"/>
        <v>30</v>
      </c>
    </row>
    <row r="47" ht="22.5" customHeight="1">
      <c r="B47" s="42" t="str">
        <f>IFERROR(__xludf.DUMMYFUNCTION("""COMPUTED_VALUE"""),"K/34/181024/2")</f>
        <v>K/34/181024/2</v>
      </c>
      <c r="C47" s="42" t="str">
        <f>IFERROR(__xludf.DUMMYFUNCTION("""COMPUTED_VALUE"""),"M.1552/PESAWAHAN")</f>
        <v>M.1552/PESAWAHAN</v>
      </c>
      <c r="D47" s="42" t="str">
        <f>IFERROR(__xludf.DUMMYFUNCTION("""COMPUTED_VALUE"""),"David")</f>
        <v>David</v>
      </c>
      <c r="E47" s="42" t="str">
        <f>IFERROR(__xludf.DUMMYFUNCTION("""COMPUTED_VALUE"""),"DISERAHKAN")</f>
        <v>DISERAHKAN</v>
      </c>
      <c r="F47" s="48" t="str">
        <f>IFERROR(__xludf.DUMMYFUNCTION("""COMPUTED_VALUE"""),"21/10/2024 11.42")</f>
        <v>21/10/2024 11.42</v>
      </c>
      <c r="G47" s="42" t="str">
        <f>IFERROR(__xludf.DUMMYFUNCTION("""COMPUTED_VALUE"""),"PERALIHAN JUAL BELI")</f>
        <v>PERALIHAN JUAL BELI</v>
      </c>
      <c r="H47" s="42">
        <f t="shared" si="1"/>
        <v>31</v>
      </c>
    </row>
    <row r="48" ht="22.5" customHeight="1">
      <c r="B48" s="42" t="str">
        <f>IFERROR(__xludf.DUMMYFUNCTION("""COMPUTED_VALUE"""),"K/43/181024/1")</f>
        <v>K/43/181024/1</v>
      </c>
      <c r="C48" s="42" t="str">
        <f>IFERROR(__xludf.DUMMYFUNCTION("""COMPUTED_VALUE"""),"M. 3058/ Gunung Terang")</f>
        <v>M. 3058/ Gunung Terang</v>
      </c>
      <c r="D48" s="42"/>
      <c r="E48" s="42"/>
      <c r="F48" s="48" t="str">
        <f>IFERROR(__xludf.DUMMYFUNCTION("""COMPUTED_VALUE"""),"")</f>
        <v/>
      </c>
      <c r="G48" s="42" t="str">
        <f>IFERROR(__xludf.DUMMYFUNCTION("""COMPUTED_VALUE"""),"Hapus BPHTB")</f>
        <v>Hapus BPHTB</v>
      </c>
      <c r="H48" s="42">
        <f t="shared" si="1"/>
        <v>31</v>
      </c>
    </row>
    <row r="49" ht="22.5" customHeight="1">
      <c r="B49" s="42" t="str">
        <f>IFERROR(__xludf.DUMMYFUNCTION("""COMPUTED_VALUE"""),"K/45/181024/1")</f>
        <v>K/45/181024/1</v>
      </c>
      <c r="C49" s="42" t="str">
        <f>IFERROR(__xludf.DUMMYFUNCTION("""COMPUTED_VALUE"""),"M.2473/RAJABASA JAYA")</f>
        <v>M.2473/RAJABASA JAYA</v>
      </c>
      <c r="D49" s="42" t="str">
        <f>IFERROR(__xludf.DUMMYFUNCTION("""COMPUTED_VALUE"""),"Bayu")</f>
        <v>Bayu</v>
      </c>
      <c r="E49" s="42" t="str">
        <f>IFERROR(__xludf.DUMMYFUNCTION("""COMPUTED_VALUE"""),"DISERAHKAN")</f>
        <v>DISERAHKAN</v>
      </c>
      <c r="F49" s="48" t="str">
        <f>IFERROR(__xludf.DUMMYFUNCTION("""COMPUTED_VALUE"""),"22/10/2024 09.02")</f>
        <v>22/10/2024 09.02</v>
      </c>
      <c r="G49" s="42" t="str">
        <f>IFERROR(__xludf.DUMMYFUNCTION("""COMPUTED_VALUE"""),"KEWARISAN")</f>
        <v>KEWARISAN</v>
      </c>
      <c r="H49" s="42">
        <f t="shared" si="1"/>
        <v>32</v>
      </c>
    </row>
    <row r="50" ht="22.5" customHeight="1">
      <c r="B50" s="42" t="str">
        <f>IFERROR(__xludf.DUMMYFUNCTION("""COMPUTED_VALUE"""),"K/46/181024/2")</f>
        <v>K/46/181024/2</v>
      </c>
      <c r="C50" s="42" t="str">
        <f>IFERROR(__xludf.DUMMYFUNCTION("""COMPUTED_VALUE"""),"M.598/GUNUNG TERANG")</f>
        <v>M.598/GUNUNG TERANG</v>
      </c>
      <c r="D50" s="42" t="str">
        <f>IFERROR(__xludf.DUMMYFUNCTION("""COMPUTED_VALUE"""),"Bayu")</f>
        <v>Bayu</v>
      </c>
      <c r="E50" s="42" t="str">
        <f>IFERROR(__xludf.DUMMYFUNCTION("""COMPUTED_VALUE"""),"DISERAHKAN")</f>
        <v>DISERAHKAN</v>
      </c>
      <c r="F50" s="48" t="str">
        <f>IFERROR(__xludf.DUMMYFUNCTION("""COMPUTED_VALUE"""),"22/10/2024 09.02")</f>
        <v>22/10/2024 09.02</v>
      </c>
      <c r="G50" s="42" t="str">
        <f>IFERROR(__xludf.DUMMYFUNCTION("""COMPUTED_VALUE"""),"KEWARISAN")</f>
        <v>KEWARISAN</v>
      </c>
      <c r="H50" s="42">
        <f t="shared" si="1"/>
        <v>33</v>
      </c>
    </row>
    <row r="51" ht="22.5" customHeight="1">
      <c r="B51" s="42" t="str">
        <f>IFERROR(__xludf.DUMMYFUNCTION("""COMPUTED_VALUE"""),"L/50/191024/1")</f>
        <v>L/50/191024/1</v>
      </c>
      <c r="C51" s="42" t="str">
        <f>IFERROR(__xludf.DUMMYFUNCTION("""COMPUTED_VALUE"""),"M.3937/WAY KANDIS")</f>
        <v>M.3937/WAY KANDIS</v>
      </c>
      <c r="D51" s="42"/>
      <c r="E51" s="42" t="str">
        <f>IFERROR(__xludf.DUMMYFUNCTION("""COMPUTED_VALUE"""),"PROSES")</f>
        <v>PROSES</v>
      </c>
      <c r="F51" s="48" t="str">
        <f>IFERROR(__xludf.DUMMYFUNCTION("""COMPUTED_VALUE"""),"")</f>
        <v/>
      </c>
      <c r="G51" s="42" t="str">
        <f>IFERROR(__xludf.DUMMYFUNCTION("""COMPUTED_VALUE"""),"ROYA")</f>
        <v>ROYA</v>
      </c>
      <c r="H51" s="42">
        <f t="shared" si="1"/>
        <v>33</v>
      </c>
    </row>
    <row r="52" ht="22.5" customHeight="1">
      <c r="B52" s="42" t="str">
        <f>IFERROR(__xludf.DUMMYFUNCTION("""COMPUTED_VALUE"""),"K/2/211024/1")</f>
        <v>K/2/211024/1</v>
      </c>
      <c r="C52" s="42" t="str">
        <f>IFERROR(__xludf.DUMMYFUNCTION("""COMPUTED_VALUE"""),"M. 2888/ Sukarame Baru - sekarang; M. 17475/ Sukarame I -dahulu")</f>
        <v>M. 2888/ Sukarame Baru - sekarang; M. 17475/ Sukarame I -dahulu</v>
      </c>
      <c r="D52" s="42" t="str">
        <f>IFERROR(__xludf.DUMMYFUNCTION("""COMPUTED_VALUE"""),"")</f>
        <v/>
      </c>
      <c r="E52" s="42" t="str">
        <f>IFERROR(__xludf.DUMMYFUNCTION("""COMPUTED_VALUE"""),"")</f>
        <v/>
      </c>
      <c r="F52" s="48" t="str">
        <f>IFERROR(__xludf.DUMMYFUNCTION("""COMPUTED_VALUE"""),"")</f>
        <v/>
      </c>
      <c r="G52" s="42" t="str">
        <f>IFERROR(__xludf.DUMMYFUNCTION("""COMPUTED_VALUE"""),"BN Hibah")</f>
        <v>BN Hibah</v>
      </c>
      <c r="H52" s="42">
        <f t="shared" si="1"/>
        <v>33</v>
      </c>
    </row>
    <row r="53" ht="22.5" customHeight="1">
      <c r="B53" s="42" t="str">
        <f>IFERROR(__xludf.DUMMYFUNCTION("""COMPUTED_VALUE"""),"L/7/211024/1")</f>
        <v>L/7/211024/1</v>
      </c>
      <c r="C53" s="42" t="str">
        <f>IFERROR(__xludf.DUMMYFUNCTION("""COMPUTED_VALUE"""),"NIB 08010000029980/WAY GUBAK")</f>
        <v>NIB 08010000029980/WAY GUBAK</v>
      </c>
      <c r="D53" s="42"/>
      <c r="E53" s="42"/>
      <c r="F53" s="48" t="str">
        <f>IFERROR(__xludf.DUMMYFUNCTION("""COMPUTED_VALUE"""),"")</f>
        <v/>
      </c>
      <c r="G53" s="42" t="str">
        <f>IFERROR(__xludf.DUMMYFUNCTION("""COMPUTED_VALUE"""),"BALIK NAMA LELANG")</f>
        <v>BALIK NAMA LELANG</v>
      </c>
      <c r="H53" s="42">
        <f t="shared" si="1"/>
        <v>33</v>
      </c>
    </row>
    <row r="54" ht="22.5" customHeight="1">
      <c r="B54" s="42" t="str">
        <f>IFERROR(__xludf.DUMMYFUNCTION("""COMPUTED_VALUE"""),"L/8/211024/1")</f>
        <v>L/8/211024/1</v>
      </c>
      <c r="C54" s="42" t="str">
        <f>IFERROR(__xludf.DUMMYFUNCTION("""COMPUTED_VALUE"""),"HM 15995/SUKARAME I")</f>
        <v>HM 15995/SUKARAME I</v>
      </c>
      <c r="D54" s="42" t="str">
        <f>IFERROR(__xludf.DUMMYFUNCTION("""COMPUTED_VALUE"""),"Berry")</f>
        <v>Berry</v>
      </c>
      <c r="E54" s="42" t="str">
        <f>IFERROR(__xludf.DUMMYFUNCTION("""COMPUTED_VALUE"""),"DISERAHKAN")</f>
        <v>DISERAHKAN</v>
      </c>
      <c r="F54" s="48" t="str">
        <f>IFERROR(__xludf.DUMMYFUNCTION("""COMPUTED_VALUE"""),"22/10/2024 09.52")</f>
        <v>22/10/2024 09.52</v>
      </c>
      <c r="G54" s="42" t="str">
        <f>IFERROR(__xludf.DUMMYFUNCTION("""COMPUTED_VALUE"""),"ROYA")</f>
        <v>ROYA</v>
      </c>
      <c r="H54" s="42">
        <f t="shared" si="1"/>
        <v>34</v>
      </c>
    </row>
    <row r="55" ht="22.5" customHeight="1">
      <c r="B55" s="42" t="str">
        <f>IFERROR(__xludf.DUMMYFUNCTION("""COMPUTED_VALUE"""),"L/9/211024/1")</f>
        <v>L/9/211024/1</v>
      </c>
      <c r="C55" s="42" t="str">
        <f>IFERROR(__xludf.DUMMYFUNCTION("""COMPUTED_VALUE"""),"HM 2993/CAMPANG RAYA-SEKARANG;HGB 2402/CAMPANG RAYA-DAHULU")</f>
        <v>HM 2993/CAMPANG RAYA-SEKARANG;HGB 2402/CAMPANG RAYA-DAHULU</v>
      </c>
      <c r="D55" s="42" t="str">
        <f>IFERROR(__xludf.DUMMYFUNCTION("""COMPUTED_VALUE"""),"Berry")</f>
        <v>Berry</v>
      </c>
      <c r="E55" s="42" t="str">
        <f>IFERROR(__xludf.DUMMYFUNCTION("""COMPUTED_VALUE"""),"DISERAHKAN")</f>
        <v>DISERAHKAN</v>
      </c>
      <c r="F55" s="48" t="str">
        <f>IFERROR(__xludf.DUMMYFUNCTION("""COMPUTED_VALUE"""),"22/10/2024 09.53")</f>
        <v>22/10/2024 09.53</v>
      </c>
      <c r="G55" s="42" t="str">
        <f>IFERROR(__xludf.DUMMYFUNCTION("""COMPUTED_VALUE"""),"ROYA")</f>
        <v>ROYA</v>
      </c>
      <c r="H55" s="42">
        <f t="shared" si="1"/>
        <v>35</v>
      </c>
    </row>
    <row r="56" ht="22.5" customHeight="1">
      <c r="B56" s="42" t="str">
        <f>IFERROR(__xludf.DUMMYFUNCTION("""COMPUTED_VALUE"""),"K/14/211024/1")</f>
        <v>K/14/211024/1</v>
      </c>
      <c r="C56" s="42" t="str">
        <f>IFERROR(__xludf.DUMMYFUNCTION("""COMPUTED_VALUE"""),"M. 11632/ Sukarame")</f>
        <v>M. 11632/ Sukarame</v>
      </c>
      <c r="D56" s="42" t="str">
        <f>IFERROR(__xludf.DUMMYFUNCTION("""COMPUTED_VALUE"""),"Berry")</f>
        <v>Berry</v>
      </c>
      <c r="E56" s="42" t="str">
        <f>IFERROR(__xludf.DUMMYFUNCTION("""COMPUTED_VALUE"""),"DISERAHKAN")</f>
        <v>DISERAHKAN</v>
      </c>
      <c r="F56" s="48" t="str">
        <f>IFERROR(__xludf.DUMMYFUNCTION("""COMPUTED_VALUE"""),"22/10/2024 09.55")</f>
        <v>22/10/2024 09.55</v>
      </c>
      <c r="G56" s="42" t="str">
        <f>IFERROR(__xludf.DUMMYFUNCTION("""COMPUTED_VALUE"""),"BN Jual Beli")</f>
        <v>BN Jual Beli</v>
      </c>
      <c r="H56" s="42">
        <f t="shared" si="1"/>
        <v>36</v>
      </c>
    </row>
    <row r="57" ht="22.5" customHeight="1">
      <c r="B57" s="42" t="str">
        <f>IFERROR(__xludf.DUMMYFUNCTION("""COMPUTED_VALUE"""),"K/16/211024/2")</f>
        <v>K/16/211024/2</v>
      </c>
      <c r="C57" s="42" t="str">
        <f>IFERROR(__xludf.DUMMYFUNCTION("""COMPUTED_VALUE"""),"M. 467/ Sumur Putri")</f>
        <v>M. 467/ Sumur Putri</v>
      </c>
      <c r="D57" s="42" t="str">
        <f>IFERROR(__xludf.DUMMYFUNCTION("""COMPUTED_VALUE"""),"Berry")</f>
        <v>Berry</v>
      </c>
      <c r="E57" s="42" t="str">
        <f>IFERROR(__xludf.DUMMYFUNCTION("""COMPUTED_VALUE"""),"DISERAHKAN")</f>
        <v>DISERAHKAN</v>
      </c>
      <c r="F57" s="48" t="str">
        <f>IFERROR(__xludf.DUMMYFUNCTION("""COMPUTED_VALUE"""),"22/10/2024 09.55")</f>
        <v>22/10/2024 09.55</v>
      </c>
      <c r="G57" s="42" t="str">
        <f>IFERROR(__xludf.DUMMYFUNCTION("""COMPUTED_VALUE"""),"BN Jual Beli")</f>
        <v>BN Jual Beli</v>
      </c>
      <c r="H57" s="42">
        <f t="shared" si="1"/>
        <v>37</v>
      </c>
    </row>
    <row r="58" ht="22.5" customHeight="1">
      <c r="B58" s="42" t="str">
        <f>IFERROR(__xludf.DUMMYFUNCTION("""COMPUTED_VALUE"""),"K/20/211024/3")</f>
        <v>K/20/211024/3</v>
      </c>
      <c r="C58" s="42" t="str">
        <f>IFERROR(__xludf.DUMMYFUNCTION("""COMPUTED_VALUE"""),"M. 2226/ kedaung")</f>
        <v>M. 2226/ kedaung</v>
      </c>
      <c r="D58" s="42" t="str">
        <f>IFERROR(__xludf.DUMMYFUNCTION("""COMPUTED_VALUE"""),"Berry")</f>
        <v>Berry</v>
      </c>
      <c r="E58" s="42" t="str">
        <f>IFERROR(__xludf.DUMMYFUNCTION("""COMPUTED_VALUE"""),"DISERAHKAN")</f>
        <v>DISERAHKAN</v>
      </c>
      <c r="F58" s="48" t="str">
        <f>IFERROR(__xludf.DUMMYFUNCTION("""COMPUTED_VALUE"""),"22/10/2024 09.58")</f>
        <v>22/10/2024 09.58</v>
      </c>
      <c r="G58" s="42" t="str">
        <f>IFERROR(__xludf.DUMMYFUNCTION("""COMPUTED_VALUE"""),"BN Jual Beli")</f>
        <v>BN Jual Beli</v>
      </c>
      <c r="H58" s="42">
        <f t="shared" si="1"/>
        <v>38</v>
      </c>
    </row>
    <row r="59" ht="22.5" customHeight="1">
      <c r="B59" s="42" t="str">
        <f>IFERROR(__xludf.DUMMYFUNCTION("""COMPUTED_VALUE"""),"L/23/211024/1")</f>
        <v>L/23/211024/1</v>
      </c>
      <c r="C59" s="42" t="str">
        <f>IFERROR(__xludf.DUMMYFUNCTION("""COMPUTED_VALUE"""),"HGB 3764/BERINGIN RAYA")</f>
        <v>HGB 3764/BERINGIN RAYA</v>
      </c>
      <c r="D59" s="42" t="str">
        <f>IFERROR(__xludf.DUMMYFUNCTION("""COMPUTED_VALUE"""),"David")</f>
        <v>David</v>
      </c>
      <c r="E59" s="42" t="str">
        <f>IFERROR(__xludf.DUMMYFUNCTION("""COMPUTED_VALUE"""),"DISERAHKAN")</f>
        <v>DISERAHKAN</v>
      </c>
      <c r="F59" s="48" t="str">
        <f>IFERROR(__xludf.DUMMYFUNCTION("""COMPUTED_VALUE"""),"22/10/2024 10.08")</f>
        <v>22/10/2024 10.08</v>
      </c>
      <c r="G59" s="42" t="str">
        <f>IFERROR(__xludf.DUMMYFUNCTION("""COMPUTED_VALUE"""),"PH")</f>
        <v>PH</v>
      </c>
      <c r="H59" s="42">
        <f t="shared" si="1"/>
        <v>39</v>
      </c>
    </row>
    <row r="60" ht="22.5" customHeight="1">
      <c r="B60" s="42" t="str">
        <f>IFERROR(__xludf.DUMMYFUNCTION("""COMPUTED_VALUE"""),"L/28/211024/1")</f>
        <v>L/28/211024/1</v>
      </c>
      <c r="C60" s="42" t="str">
        <f>IFERROR(__xludf.DUMMYFUNCTION("""COMPUTED_VALUE"""),"HM 2414/KUPANG TEBA")</f>
        <v>HM 2414/KUPANG TEBA</v>
      </c>
      <c r="D60" s="42" t="str">
        <f>IFERROR(__xludf.DUMMYFUNCTION("""COMPUTED_VALUE"""),"David")</f>
        <v>David</v>
      </c>
      <c r="E60" s="42" t="str">
        <f>IFERROR(__xludf.DUMMYFUNCTION("""COMPUTED_VALUE"""),"DISERAHKAN")</f>
        <v>DISERAHKAN</v>
      </c>
      <c r="F60" s="48" t="str">
        <f>IFERROR(__xludf.DUMMYFUNCTION("""COMPUTED_VALUE"""),"22/10/2024 10.03")</f>
        <v>22/10/2024 10.03</v>
      </c>
      <c r="G60" s="42" t="str">
        <f>IFERROR(__xludf.DUMMYFUNCTION("""COMPUTED_VALUE"""),"ROYA")</f>
        <v>ROYA</v>
      </c>
      <c r="H60" s="42">
        <f t="shared" si="1"/>
        <v>40</v>
      </c>
    </row>
    <row r="61" ht="22.5" customHeight="1">
      <c r="B61" s="42" t="str">
        <f>IFERROR(__xludf.DUMMYFUNCTION("""COMPUTED_VALUE"""),"L/33/211024/1")</f>
        <v>L/33/211024/1</v>
      </c>
      <c r="C61" s="42" t="str">
        <f>IFERROR(__xludf.DUMMYFUNCTION("""COMPUTED_VALUE"""),"HM 180/PINANG JAYA")</f>
        <v>HM 180/PINANG JAYA</v>
      </c>
      <c r="D61" s="42" t="str">
        <f>IFERROR(__xludf.DUMMYFUNCTION("""COMPUTED_VALUE"""),"David")</f>
        <v>David</v>
      </c>
      <c r="E61" s="42" t="str">
        <f>IFERROR(__xludf.DUMMYFUNCTION("""COMPUTED_VALUE"""),"DISERAHKAN")</f>
        <v>DISERAHKAN</v>
      </c>
      <c r="F61" s="48" t="str">
        <f>IFERROR(__xludf.DUMMYFUNCTION("""COMPUTED_VALUE"""),"22/10/2024 10.05")</f>
        <v>22/10/2024 10.05</v>
      </c>
      <c r="G61" s="42" t="str">
        <f>IFERROR(__xludf.DUMMYFUNCTION("""COMPUTED_VALUE"""),"ROYA")</f>
        <v>ROYA</v>
      </c>
      <c r="H61" s="42">
        <f t="shared" si="1"/>
        <v>41</v>
      </c>
    </row>
    <row r="62" ht="22.5" customHeight="1">
      <c r="B62" s="42" t="str">
        <f>IFERROR(__xludf.DUMMYFUNCTION("""COMPUTED_VALUE"""),"K/38/211024/1")</f>
        <v>K/38/211024/1</v>
      </c>
      <c r="C62" s="42" t="str">
        <f>IFERROR(__xludf.DUMMYFUNCTION("""COMPUTED_VALUE"""),"PBT 26/2024 KEL. WAY LAGA")</f>
        <v>PBT 26/2024 KEL. WAY LAGA</v>
      </c>
      <c r="D62" s="42"/>
      <c r="E62" s="42"/>
      <c r="F62" s="48" t="str">
        <f>IFERROR(__xludf.DUMMYFUNCTION("""COMPUTED_VALUE"""),"")</f>
        <v/>
      </c>
      <c r="G62" s="42" t="str">
        <f>IFERROR(__xludf.DUMMYFUNCTION("""COMPUTED_VALUE"""),"PERMOHONAN SK")</f>
        <v>PERMOHONAN SK</v>
      </c>
      <c r="H62" s="42">
        <f t="shared" si="1"/>
        <v>41</v>
      </c>
    </row>
    <row r="63" ht="22.5" customHeight="1">
      <c r="B63" s="42" t="str">
        <f>IFERROR(__xludf.DUMMYFUNCTION("""COMPUTED_VALUE"""),"L/40/211024/1")</f>
        <v>L/40/211024/1</v>
      </c>
      <c r="C63" s="42" t="str">
        <f>IFERROR(__xludf.DUMMYFUNCTION("""COMPUTED_VALUE"""),"HM 101/KEMILING RAYA")</f>
        <v>HM 101/KEMILING RAYA</v>
      </c>
      <c r="D63" s="42" t="str">
        <f>IFERROR(__xludf.DUMMYFUNCTION("""COMPUTED_VALUE"""),"David")</f>
        <v>David</v>
      </c>
      <c r="E63" s="42" t="str">
        <f>IFERROR(__xludf.DUMMYFUNCTION("""COMPUTED_VALUE"""),"DISERAHKAN")</f>
        <v>DISERAHKAN</v>
      </c>
      <c r="F63" s="48" t="str">
        <f>IFERROR(__xludf.DUMMYFUNCTION("""COMPUTED_VALUE"""),"22/10/2024 10.05")</f>
        <v>22/10/2024 10.05</v>
      </c>
      <c r="G63" s="42" t="str">
        <f>IFERROR(__xludf.DUMMYFUNCTION("""COMPUTED_VALUE"""),"ROYA LELANG")</f>
        <v>ROYA LELANG</v>
      </c>
      <c r="H63" s="42">
        <f t="shared" si="1"/>
        <v>42</v>
      </c>
    </row>
    <row r="64" ht="22.5" customHeight="1">
      <c r="B64" s="42" t="str">
        <f>IFERROR(__xludf.DUMMYFUNCTION("""COMPUTED_VALUE"""),"K/39/211024/2")</f>
        <v>K/39/211024/2</v>
      </c>
      <c r="C64" s="42" t="str">
        <f>IFERROR(__xludf.DUMMYFUNCTION("""COMPUTED_VALUE"""),"PBT 27/2024 KEL. WAY GUBAK")</f>
        <v>PBT 27/2024 KEL. WAY GUBAK</v>
      </c>
      <c r="D64" s="42"/>
      <c r="E64" s="42"/>
      <c r="F64" s="48" t="str">
        <f>IFERROR(__xludf.DUMMYFUNCTION("""COMPUTED_VALUE"""),"")</f>
        <v/>
      </c>
      <c r="G64" s="42" t="str">
        <f>IFERROR(__xludf.DUMMYFUNCTION("""COMPUTED_VALUE"""),"PERMOHONAN SK")</f>
        <v>PERMOHONAN SK</v>
      </c>
      <c r="H64" s="42">
        <f t="shared" si="1"/>
        <v>42</v>
      </c>
    </row>
    <row r="65" ht="22.5" customHeight="1">
      <c r="B65" s="42" t="str">
        <f>IFERROR(__xludf.DUMMYFUNCTION("""COMPUTED_VALUE"""),"K/45/211024/1")</f>
        <v>K/45/211024/1</v>
      </c>
      <c r="C65" s="42" t="str">
        <f>IFERROR(__xludf.DUMMYFUNCTION("""COMPUTED_VALUE"""),"M. 2245/ Sukarame Baru; B. 4947/Sukarame-dahulu")</f>
        <v>M. 2245/ Sukarame Baru; B. 4947/Sukarame-dahulu</v>
      </c>
      <c r="D65" s="42"/>
      <c r="E65" s="42" t="str">
        <f>IFERROR(__xludf.DUMMYFUNCTION("""COMPUTED_VALUE"""),"DISERAHKAN")</f>
        <v>DISERAHKAN</v>
      </c>
      <c r="F65" s="48" t="str">
        <f>IFERROR(__xludf.DUMMYFUNCTION("""COMPUTED_VALUE"""),"19/11/2024 13.41")</f>
        <v>19/11/2024 13.41</v>
      </c>
      <c r="G65" s="42" t="str">
        <f>IFERROR(__xludf.DUMMYFUNCTION("""COMPUTED_VALUE"""),"BN Jual Beli")</f>
        <v>BN Jual Beli</v>
      </c>
      <c r="H65" s="42">
        <f t="shared" si="1"/>
        <v>43</v>
      </c>
    </row>
    <row r="66" ht="22.5" customHeight="1">
      <c r="B66" s="42" t="str">
        <f>IFERROR(__xludf.DUMMYFUNCTION("""COMPUTED_VALUE"""),"K/47/211024/1")</f>
        <v>K/47/211024/1</v>
      </c>
      <c r="C66" s="42" t="str">
        <f>IFERROR(__xludf.DUMMYFUNCTION("""COMPUTED_VALUE"""),"M.2704/SUKARAME BARU-SEKARANG;B.986/SUKARAME -DAHULU")</f>
        <v>M.2704/SUKARAME BARU-SEKARANG;B.986/SUKARAME -DAHULU</v>
      </c>
      <c r="D66" s="42" t="str">
        <f>IFERROR(__xludf.DUMMYFUNCTION("""COMPUTED_VALUE"""),"David")</f>
        <v>David</v>
      </c>
      <c r="E66" s="42" t="str">
        <f>IFERROR(__xludf.DUMMYFUNCTION("""COMPUTED_VALUE"""),"DISERAHKAN")</f>
        <v>DISERAHKAN</v>
      </c>
      <c r="F66" s="48" t="str">
        <f>IFERROR(__xludf.DUMMYFUNCTION("""COMPUTED_VALUE"""),"22/10/2024 10.07")</f>
        <v>22/10/2024 10.07</v>
      </c>
      <c r="G66" s="42" t="str">
        <f>IFERROR(__xludf.DUMMYFUNCTION("""COMPUTED_VALUE"""),"PERALIHAN JUAL BELI")</f>
        <v>PERALIHAN JUAL BELI</v>
      </c>
      <c r="H66" s="42">
        <f t="shared" si="1"/>
        <v>44</v>
      </c>
    </row>
    <row r="67" ht="22.5" customHeight="1">
      <c r="B67" s="42" t="str">
        <f>IFERROR(__xludf.DUMMYFUNCTION("""COMPUTED_VALUE"""),"K/48/211024/1")</f>
        <v>K/48/211024/1</v>
      </c>
      <c r="C67" s="42" t="str">
        <f>IFERROR(__xludf.DUMMYFUNCTION("""COMPUTED_VALUE"""),"M. 240/ Kemiling Permai")</f>
        <v>M. 240/ Kemiling Permai</v>
      </c>
      <c r="D67" s="42" t="str">
        <f>IFERROR(__xludf.DUMMYFUNCTION("""COMPUTED_VALUE"""),"David")</f>
        <v>David</v>
      </c>
      <c r="E67" s="42" t="str">
        <f>IFERROR(__xludf.DUMMYFUNCTION("""COMPUTED_VALUE"""),"DISERAHKAN")</f>
        <v>DISERAHKAN</v>
      </c>
      <c r="F67" s="48" t="str">
        <f>IFERROR(__xludf.DUMMYFUNCTION("""COMPUTED_VALUE"""),"22/10/2024 10.07")</f>
        <v>22/10/2024 10.07</v>
      </c>
      <c r="G67" s="42" t="str">
        <f>IFERROR(__xludf.DUMMYFUNCTION("""COMPUTED_VALUE"""),"BN Jual Beli")</f>
        <v>BN Jual Beli</v>
      </c>
      <c r="H67" s="42">
        <f t="shared" si="1"/>
        <v>45</v>
      </c>
    </row>
    <row r="68" ht="22.5" customHeight="1">
      <c r="B68" s="42" t="str">
        <f>IFERROR(__xludf.DUMMYFUNCTION("""COMPUTED_VALUE"""),"K/50/211024/1")</f>
        <v>K/50/211024/1</v>
      </c>
      <c r="C68" s="42" t="str">
        <f>IFERROR(__xludf.DUMMYFUNCTION("""COMPUTED_VALUE"""),"M. 13651/ Labuhan Ratu; SHT 2739/2019")</f>
        <v>M. 13651/ Labuhan Ratu; SHT 2739/2019</v>
      </c>
      <c r="D68" s="42"/>
      <c r="E68" s="42" t="str">
        <f>IFERROR(__xludf.DUMMYFUNCTION("""COMPUTED_VALUE"""),"PROSES")</f>
        <v>PROSES</v>
      </c>
      <c r="F68" s="48" t="str">
        <f>IFERROR(__xludf.DUMMYFUNCTION("""COMPUTED_VALUE"""),"")</f>
        <v/>
      </c>
      <c r="G68" s="42" t="str">
        <f>IFERROR(__xludf.DUMMYFUNCTION("""COMPUTED_VALUE"""),"Roya")</f>
        <v>Roya</v>
      </c>
      <c r="H68" s="42">
        <f t="shared" si="1"/>
        <v>45</v>
      </c>
    </row>
    <row r="69" ht="22.5" customHeight="1">
      <c r="B69" s="42" t="str">
        <f>IFERROR(__xludf.DUMMYFUNCTION("""COMPUTED_VALUE"""),"K/2/221024/2")</f>
        <v>K/2/221024/2</v>
      </c>
      <c r="C69" s="42" t="str">
        <f>IFERROR(__xludf.DUMMYFUNCTION("""COMPUTED_VALUE"""),"M. 1556/ Bumi Waras")</f>
        <v>M. 1556/ Bumi Waras</v>
      </c>
      <c r="D69" s="42" t="str">
        <f>IFERROR(__xludf.DUMMYFUNCTION("""COMPUTED_VALUE"""),"Berry")</f>
        <v>Berry</v>
      </c>
      <c r="E69" s="42" t="str">
        <f>IFERROR(__xludf.DUMMYFUNCTION("""COMPUTED_VALUE"""),"DISERAHKAN")</f>
        <v>DISERAHKAN</v>
      </c>
      <c r="F69" s="48" t="str">
        <f>IFERROR(__xludf.DUMMYFUNCTION("""COMPUTED_VALUE"""),"23/10/2024 09.03")</f>
        <v>23/10/2024 09.03</v>
      </c>
      <c r="G69" s="42" t="str">
        <f>IFERROR(__xludf.DUMMYFUNCTION("""COMPUTED_VALUE"""),"Roya")</f>
        <v>Roya</v>
      </c>
      <c r="H69" s="42">
        <f t="shared" si="1"/>
        <v>46</v>
      </c>
    </row>
    <row r="70" ht="22.5" customHeight="1">
      <c r="B70" s="42" t="str">
        <f>IFERROR(__xludf.DUMMYFUNCTION("""COMPUTED_VALUE"""),"L/4/221024/1")</f>
        <v>L/4/221024/1</v>
      </c>
      <c r="C70" s="42" t="str">
        <f>IFERROR(__xludf.DUMMYFUNCTION("""COMPUTED_VALUE"""),"HM 3875/LANGKAPURA")</f>
        <v>HM 3875/LANGKAPURA</v>
      </c>
      <c r="D70" s="42" t="str">
        <f>IFERROR(__xludf.DUMMYFUNCTION("""COMPUTED_VALUE"""),"Berry")</f>
        <v>Berry</v>
      </c>
      <c r="E70" s="42" t="str">
        <f>IFERROR(__xludf.DUMMYFUNCTION("""COMPUTED_VALUE"""),"DISERAHKAN")</f>
        <v>DISERAHKAN</v>
      </c>
      <c r="F70" s="48" t="str">
        <f>IFERROR(__xludf.DUMMYFUNCTION("""COMPUTED_VALUE"""),"23/10/2024 09.03")</f>
        <v>23/10/2024 09.03</v>
      </c>
      <c r="G70" s="42" t="str">
        <f>IFERROR(__xludf.DUMMYFUNCTION("""COMPUTED_VALUE"""),"BN WARIS")</f>
        <v>BN WARIS</v>
      </c>
      <c r="H70" s="42">
        <f t="shared" si="1"/>
        <v>47</v>
      </c>
    </row>
    <row r="71" ht="22.5" customHeight="1">
      <c r="B71" s="42" t="str">
        <f>IFERROR(__xludf.DUMMYFUNCTION("""COMPUTED_VALUE"""),"L/6/221024/1")</f>
        <v>L/6/221024/1</v>
      </c>
      <c r="C71" s="42" t="str">
        <f>IFERROR(__xludf.DUMMYFUNCTION("""COMPUTED_VALUE"""),"SHGB.262/KAMPUNG BARU DAN SHGB.258/KAMPUNG BARU")</f>
        <v>SHGB.262/KAMPUNG BARU DAN SHGB.258/KAMPUNG BARU</v>
      </c>
      <c r="D71" s="42"/>
      <c r="E71" s="42" t="str">
        <f>IFERROR(__xludf.DUMMYFUNCTION("""COMPUTED_VALUE"""),"DISERAHKAN")</f>
        <v>DISERAHKAN</v>
      </c>
      <c r="F71" s="48">
        <f>IFERROR(__xludf.DUMMYFUNCTION("""COMPUTED_VALUE"""),45763.432306689814)</f>
        <v>45763.43231</v>
      </c>
      <c r="G71" s="42" t="str">
        <f>IFERROR(__xludf.DUMMYFUNCTION("""COMPUTED_VALUE"""),"ROYA")</f>
        <v>ROYA</v>
      </c>
      <c r="H71" s="42">
        <f t="shared" si="1"/>
        <v>48</v>
      </c>
    </row>
    <row r="72" ht="22.5" customHeight="1">
      <c r="B72" s="42" t="str">
        <f>IFERROR(__xludf.DUMMYFUNCTION("""COMPUTED_VALUE"""),"L/8/221024/1")</f>
        <v>L/8/221024/1</v>
      </c>
      <c r="C72" s="42" t="str">
        <f>IFERROR(__xludf.DUMMYFUNCTION("""COMPUTED_VALUE"""),"HGB 143/KAMPUNG BARU")</f>
        <v>HGB 143/KAMPUNG BARU</v>
      </c>
      <c r="D72" s="42" t="str">
        <f>IFERROR(__xludf.DUMMYFUNCTION("""COMPUTED_VALUE"""),"Berry")</f>
        <v>Berry</v>
      </c>
      <c r="E72" s="42" t="str">
        <f>IFERROR(__xludf.DUMMYFUNCTION("""COMPUTED_VALUE"""),"DISERAHKAN")</f>
        <v>DISERAHKAN</v>
      </c>
      <c r="F72" s="48" t="str">
        <f>IFERROR(__xludf.DUMMYFUNCTION("""COMPUTED_VALUE"""),"23/10/2024 09.03")</f>
        <v>23/10/2024 09.03</v>
      </c>
      <c r="G72" s="42" t="str">
        <f>IFERROR(__xludf.DUMMYFUNCTION("""COMPUTED_VALUE"""),"ROYA")</f>
        <v>ROYA</v>
      </c>
      <c r="H72" s="42">
        <f t="shared" si="1"/>
        <v>49</v>
      </c>
    </row>
    <row r="73" ht="22.5" customHeight="1">
      <c r="B73" s="42" t="str">
        <f>IFERROR(__xludf.DUMMYFUNCTION("""COMPUTED_VALUE"""),"K/9/221024/1")</f>
        <v>K/9/221024/1</v>
      </c>
      <c r="C73" s="42" t="str">
        <f>IFERROR(__xludf.DUMMYFUNCTION("""COMPUTED_VALUE"""),"M.26/LANGKAPURA BARU-SEKARANG;B.113/LANGKAPURA-DAHULU")</f>
        <v>M.26/LANGKAPURA BARU-SEKARANG;B.113/LANGKAPURA-DAHULU</v>
      </c>
      <c r="D73" s="42" t="str">
        <f>IFERROR(__xludf.DUMMYFUNCTION("""COMPUTED_VALUE"""),"David")</f>
        <v>David</v>
      </c>
      <c r="E73" s="42" t="str">
        <f>IFERROR(__xludf.DUMMYFUNCTION("""COMPUTED_VALUE"""),"DISERAHKAN")</f>
        <v>DISERAHKAN</v>
      </c>
      <c r="F73" s="48" t="str">
        <f>IFERROR(__xludf.DUMMYFUNCTION("""COMPUTED_VALUE"""),"23/10/2024 09.06")</f>
        <v>23/10/2024 09.06</v>
      </c>
      <c r="G73" s="42" t="str">
        <f>IFERROR(__xludf.DUMMYFUNCTION("""COMPUTED_VALUE"""),"ROYA")</f>
        <v>ROYA</v>
      </c>
      <c r="H73" s="42">
        <f t="shared" si="1"/>
        <v>50</v>
      </c>
    </row>
    <row r="74" ht="22.5" customHeight="1">
      <c r="B74" s="42" t="str">
        <f>IFERROR(__xludf.DUMMYFUNCTION("""COMPUTED_VALUE"""),"L/12/221024/1")</f>
        <v>L/12/221024/1</v>
      </c>
      <c r="C74" s="42" t="str">
        <f>IFERROR(__xludf.DUMMYFUNCTION("""COMPUTED_VALUE"""),"HM 769/WHP")</f>
        <v>HM 769/WHP</v>
      </c>
      <c r="D74" s="42" t="str">
        <f>IFERROR(__xludf.DUMMYFUNCTION("""COMPUTED_VALUE"""),"Sahelia")</f>
        <v>Sahelia</v>
      </c>
      <c r="E74" s="42" t="str">
        <f>IFERROR(__xludf.DUMMYFUNCTION("""COMPUTED_VALUE"""),"DISERAHKAN BT")</f>
        <v>DISERAHKAN BT</v>
      </c>
      <c r="F74" s="48" t="str">
        <f>IFERROR(__xludf.DUMMYFUNCTION("""COMPUTED_VALUE"""),"05/11/2024 16.33")</f>
        <v>05/11/2024 16.33</v>
      </c>
      <c r="G74" s="42" t="str">
        <f>IFERROR(__xludf.DUMMYFUNCTION("""COMPUTED_VALUE"""),"ROYA")</f>
        <v>ROYA</v>
      </c>
      <c r="H74" s="42">
        <f t="shared" si="1"/>
        <v>50</v>
      </c>
    </row>
    <row r="75" ht="22.5" customHeight="1">
      <c r="B75" s="42" t="str">
        <f>IFERROR(__xludf.DUMMYFUNCTION("""COMPUTED_VALUE"""),"L/11/221024/1")</f>
        <v>L/11/221024/1</v>
      </c>
      <c r="C75" s="42" t="str">
        <f>IFERROR(__xludf.DUMMYFUNCTION("""COMPUTED_VALUE"""),"M.12607/RAJABASA;B.1164/RAJABASA-DAHULU")</f>
        <v>M.12607/RAJABASA;B.1164/RAJABASA-DAHULU</v>
      </c>
      <c r="D75" s="42" t="str">
        <f>IFERROR(__xludf.DUMMYFUNCTION("""COMPUTED_VALUE"""),"David")</f>
        <v>David</v>
      </c>
      <c r="E75" s="42" t="str">
        <f>IFERROR(__xludf.DUMMYFUNCTION("""COMPUTED_VALUE"""),"DISERAHKAN")</f>
        <v>DISERAHKAN</v>
      </c>
      <c r="F75" s="48" t="str">
        <f>IFERROR(__xludf.DUMMYFUNCTION("""COMPUTED_VALUE"""),"23/10/2024 09.08")</f>
        <v>23/10/2024 09.08</v>
      </c>
      <c r="G75" s="42" t="str">
        <f>IFERROR(__xludf.DUMMYFUNCTION("""COMPUTED_VALUE"""),"ROYA")</f>
        <v>ROYA</v>
      </c>
      <c r="H75" s="42">
        <f t="shared" si="1"/>
        <v>51</v>
      </c>
    </row>
    <row r="76" ht="22.5" customHeight="1">
      <c r="B76" s="42" t="str">
        <f>IFERROR(__xludf.DUMMYFUNCTION("""COMPUTED_VALUE"""),"K/14/221024/2")</f>
        <v>K/14/221024/2</v>
      </c>
      <c r="C76" s="42" t="str">
        <f>IFERROR(__xludf.DUMMYFUNCTION("""COMPUTED_VALUE"""),"M. 3903/ Way Kandis")</f>
        <v>M. 3903/ Way Kandis</v>
      </c>
      <c r="D76" s="42" t="str">
        <f>IFERROR(__xludf.DUMMYFUNCTION("""COMPUTED_VALUE"""),"David")</f>
        <v>David</v>
      </c>
      <c r="E76" s="42" t="str">
        <f>IFERROR(__xludf.DUMMYFUNCTION("""COMPUTED_VALUE"""),"DISERAHKAN")</f>
        <v>DISERAHKAN</v>
      </c>
      <c r="F76" s="48" t="str">
        <f>IFERROR(__xludf.DUMMYFUNCTION("""COMPUTED_VALUE"""),"23/10/2024 09.08")</f>
        <v>23/10/2024 09.08</v>
      </c>
      <c r="G76" s="42" t="str">
        <f>IFERROR(__xludf.DUMMYFUNCTION("""COMPUTED_VALUE"""),"BN Waris")</f>
        <v>BN Waris</v>
      </c>
      <c r="H76" s="42">
        <f t="shared" si="1"/>
        <v>52</v>
      </c>
    </row>
    <row r="77" ht="22.5" customHeight="1">
      <c r="B77" s="42" t="str">
        <f>IFERROR(__xludf.DUMMYFUNCTION("""COMPUTED_VALUE"""),"K/39/221024/1")</f>
        <v>K/39/221024/1</v>
      </c>
      <c r="C77" s="42" t="str">
        <f>IFERROR(__xludf.DUMMYFUNCTION("""COMPUTED_VALUE"""),"M. 6475/ Way Kandis")</f>
        <v>M. 6475/ Way Kandis</v>
      </c>
      <c r="D77" s="42" t="str">
        <f>IFERROR(__xludf.DUMMYFUNCTION("""COMPUTED_VALUE"""),"Sahelia")</f>
        <v>Sahelia</v>
      </c>
      <c r="E77" s="42" t="str">
        <f>IFERROR(__xludf.DUMMYFUNCTION("""COMPUTED_VALUE"""),"DISERAHKAN")</f>
        <v>DISERAHKAN</v>
      </c>
      <c r="F77" s="48" t="str">
        <f>IFERROR(__xludf.DUMMYFUNCTION("""COMPUTED_VALUE"""),"12/11/2024 14.00")</f>
        <v>12/11/2024 14.00</v>
      </c>
      <c r="G77" s="42" t="str">
        <f>IFERROR(__xludf.DUMMYFUNCTION("""COMPUTED_VALUE"""),"BN Jual Beli")</f>
        <v>BN Jual Beli</v>
      </c>
      <c r="H77" s="42">
        <f t="shared" si="1"/>
        <v>53</v>
      </c>
    </row>
    <row r="78" ht="22.5" customHeight="1">
      <c r="B78" s="42" t="str">
        <f>IFERROR(__xludf.DUMMYFUNCTION("""COMPUTED_VALUE"""),"K/45/221024/1")</f>
        <v>K/45/221024/1</v>
      </c>
      <c r="C78" s="42" t="str">
        <f>IFERROR(__xludf.DUMMYFUNCTION("""COMPUTED_VALUE"""),"M. 543/ Sumur Putri")</f>
        <v>M. 543/ Sumur Putri</v>
      </c>
      <c r="D78" s="42" t="str">
        <f>IFERROR(__xludf.DUMMYFUNCTION("""COMPUTED_VALUE"""),"David")</f>
        <v>David</v>
      </c>
      <c r="E78" s="42" t="str">
        <f>IFERROR(__xludf.DUMMYFUNCTION("""COMPUTED_VALUE"""),"DISERAHKAN")</f>
        <v>DISERAHKAN</v>
      </c>
      <c r="F78" s="48" t="str">
        <f>IFERROR(__xludf.DUMMYFUNCTION("""COMPUTED_VALUE"""),"23/10/2024 09.13")</f>
        <v>23/10/2024 09.13</v>
      </c>
      <c r="G78" s="42" t="str">
        <f>IFERROR(__xludf.DUMMYFUNCTION("""COMPUTED_VALUE"""),"Roya")</f>
        <v>Roya</v>
      </c>
      <c r="H78" s="42">
        <f t="shared" si="1"/>
        <v>54</v>
      </c>
    </row>
    <row r="79" ht="22.5" customHeight="1">
      <c r="B79" s="42" t="str">
        <f>IFERROR(__xludf.DUMMYFUNCTION("""COMPUTED_VALUE"""),"K/3/231024/1")</f>
        <v>K/3/231024/1</v>
      </c>
      <c r="C79" s="42" t="str">
        <f>IFERROR(__xludf.DUMMYFUNCTION("""COMPUTED_VALUE"""),"M. 1186/ Teluk betung")</f>
        <v>M. 1186/ Teluk betung</v>
      </c>
      <c r="D79" s="42" t="str">
        <f>IFERROR(__xludf.DUMMYFUNCTION("""COMPUTED_VALUE"""),"Rahma")</f>
        <v>Rahma</v>
      </c>
      <c r="E79" s="42" t="str">
        <f>IFERROR(__xludf.DUMMYFUNCTION("""COMPUTED_VALUE"""),"DISERAHKAN")</f>
        <v>DISERAHKAN</v>
      </c>
      <c r="F79" s="48" t="str">
        <f>IFERROR(__xludf.DUMMYFUNCTION("""COMPUTED_VALUE"""),"23/10/2024 14.14")</f>
        <v>23/10/2024 14.14</v>
      </c>
      <c r="G79" s="42" t="str">
        <f>IFERROR(__xludf.DUMMYFUNCTION("""COMPUTED_VALUE"""),"BN Hibah")</f>
        <v>BN Hibah</v>
      </c>
      <c r="H79" s="42">
        <f t="shared" si="1"/>
        <v>55</v>
      </c>
    </row>
    <row r="80" ht="22.5" customHeight="1">
      <c r="B80" s="42" t="str">
        <f>IFERROR(__xludf.DUMMYFUNCTION("""COMPUTED_VALUE"""),"K/5/231024/1")</f>
        <v>K/5/231024/1</v>
      </c>
      <c r="C80" s="42" t="str">
        <f>IFERROR(__xludf.DUMMYFUNCTION("""COMPUTED_VALUE"""),"M. 1046/ Kupang Teba")</f>
        <v>M. 1046/ Kupang Teba</v>
      </c>
      <c r="D80" s="42" t="str">
        <f>IFERROR(__xludf.DUMMYFUNCTION("""COMPUTED_VALUE"""),"Rahma")</f>
        <v>Rahma</v>
      </c>
      <c r="E80" s="42" t="str">
        <f>IFERROR(__xludf.DUMMYFUNCTION("""COMPUTED_VALUE"""),"DISERAHKAN")</f>
        <v>DISERAHKAN</v>
      </c>
      <c r="F80" s="48" t="str">
        <f>IFERROR(__xludf.DUMMYFUNCTION("""COMPUTED_VALUE"""),"23/10/2024 14.15")</f>
        <v>23/10/2024 14.15</v>
      </c>
      <c r="G80" s="42" t="str">
        <f>IFERROR(__xludf.DUMMYFUNCTION("""COMPUTED_VALUE"""),"Roya")</f>
        <v>Roya</v>
      </c>
      <c r="H80" s="42">
        <f t="shared" si="1"/>
        <v>56</v>
      </c>
    </row>
    <row r="81" ht="22.5" customHeight="1">
      <c r="B81" s="42" t="str">
        <f>IFERROR(__xludf.DUMMYFUNCTION("""COMPUTED_VALUE"""),"K/6/231024/1")</f>
        <v>K/6/231024/1</v>
      </c>
      <c r="C81" s="42" t="str">
        <f>IFERROR(__xludf.DUMMYFUNCTION("""COMPUTED_VALUE"""),"M. 149/ Bakung")</f>
        <v>M. 149/ Bakung</v>
      </c>
      <c r="D81" s="42"/>
      <c r="E81" s="42" t="str">
        <f>IFERROR(__xludf.DUMMYFUNCTION("""COMPUTED_VALUE"""),"PROSES")</f>
        <v>PROSES</v>
      </c>
      <c r="F81" s="48" t="str">
        <f>IFERROR(__xludf.DUMMYFUNCTION("""COMPUTED_VALUE"""),"")</f>
        <v/>
      </c>
      <c r="G81" s="42" t="str">
        <f>IFERROR(__xludf.DUMMYFUNCTION("""COMPUTED_VALUE"""),"Pemecahan")</f>
        <v>Pemecahan</v>
      </c>
      <c r="H81" s="42">
        <f t="shared" si="1"/>
        <v>56</v>
      </c>
    </row>
    <row r="82" ht="22.5" customHeight="1">
      <c r="B82" s="42" t="str">
        <f>IFERROR(__xludf.DUMMYFUNCTION("""COMPUTED_VALUE"""),"K/13/231024/1")</f>
        <v>K/13/231024/1</v>
      </c>
      <c r="C82" s="42" t="str">
        <f>IFERROR(__xludf.DUMMYFUNCTION("""COMPUTED_VALUE"""),"B. 645/ Jagabaya III; 216/Sukarame-dahulu")</f>
        <v>B. 645/ Jagabaya III; 216/Sukarame-dahulu</v>
      </c>
      <c r="D82" s="42" t="str">
        <f>IFERROR(__xludf.DUMMYFUNCTION("""COMPUTED_VALUE"""),"Rahma")</f>
        <v>Rahma</v>
      </c>
      <c r="E82" s="42" t="str">
        <f>IFERROR(__xludf.DUMMYFUNCTION("""COMPUTED_VALUE"""),"DISERAHKAN")</f>
        <v>DISERAHKAN</v>
      </c>
      <c r="F82" s="48" t="str">
        <f>IFERROR(__xludf.DUMMYFUNCTION("""COMPUTED_VALUE"""),"23/10/2024 14.26")</f>
        <v>23/10/2024 14.26</v>
      </c>
      <c r="G82" s="42" t="str">
        <f>IFERROR(__xludf.DUMMYFUNCTION("""COMPUTED_VALUE"""),"Perubahan Hak")</f>
        <v>Perubahan Hak</v>
      </c>
      <c r="H82" s="42">
        <f t="shared" si="1"/>
        <v>57</v>
      </c>
    </row>
    <row r="83" ht="22.5" customHeight="1">
      <c r="B83" s="42" t="str">
        <f>IFERROR(__xludf.DUMMYFUNCTION("""COMPUTED_VALUE"""),"K/15/231024/1")</f>
        <v>K/15/231024/1</v>
      </c>
      <c r="C83" s="42" t="str">
        <f>IFERROR(__xludf.DUMMYFUNCTION("""COMPUTED_VALUE"""),"M. 8119/ Sukabumi")</f>
        <v>M. 8119/ Sukabumi</v>
      </c>
      <c r="D83" s="42" t="str">
        <f>IFERROR(__xludf.DUMMYFUNCTION("""COMPUTED_VALUE"""),"Rahma")</f>
        <v>Rahma</v>
      </c>
      <c r="E83" s="42" t="str">
        <f>IFERROR(__xludf.DUMMYFUNCTION("""COMPUTED_VALUE"""),"DISERAHKAN BT")</f>
        <v>DISERAHKAN BT</v>
      </c>
      <c r="F83" s="48" t="str">
        <f>IFERROR(__xludf.DUMMYFUNCTION("""COMPUTED_VALUE"""),"23/10/2024 14.35")</f>
        <v>23/10/2024 14.35</v>
      </c>
      <c r="G83" s="42" t="str">
        <f>IFERROR(__xludf.DUMMYFUNCTION("""COMPUTED_VALUE"""),"BN Jual Beli")</f>
        <v>BN Jual Beli</v>
      </c>
      <c r="H83" s="42">
        <f t="shared" si="1"/>
        <v>57</v>
      </c>
    </row>
    <row r="84" ht="22.5" customHeight="1">
      <c r="B84" s="42" t="str">
        <f>IFERROR(__xludf.DUMMYFUNCTION("""COMPUTED_VALUE"""),"L/16/231024/1")</f>
        <v>L/16/231024/1</v>
      </c>
      <c r="C84" s="42" t="str">
        <f>IFERROR(__xludf.DUMMYFUNCTION("""COMPUTED_VALUE"""),"M.3338/SUKADANA HAM")</f>
        <v>M.3338/SUKADANA HAM</v>
      </c>
      <c r="D84" s="42" t="str">
        <f>IFERROR(__xludf.DUMMYFUNCTION("""COMPUTED_VALUE"""),"Rahma")</f>
        <v>Rahma</v>
      </c>
      <c r="E84" s="42" t="str">
        <f>IFERROR(__xludf.DUMMYFUNCTION("""COMPUTED_VALUE"""),"DISERAHKAN")</f>
        <v>DISERAHKAN</v>
      </c>
      <c r="F84" s="48" t="str">
        <f>IFERROR(__xludf.DUMMYFUNCTION("""COMPUTED_VALUE"""),"23/10/2024 14.26")</f>
        <v>23/10/2024 14.26</v>
      </c>
      <c r="G84" s="42" t="str">
        <f>IFERROR(__xludf.DUMMYFUNCTION("""COMPUTED_VALUE"""),"SERTIPIKAT HILANG")</f>
        <v>SERTIPIKAT HILANG</v>
      </c>
      <c r="H84" s="42">
        <f t="shared" si="1"/>
        <v>58</v>
      </c>
    </row>
    <row r="85" ht="22.5" customHeight="1">
      <c r="B85" s="42" t="str">
        <f>IFERROR(__xludf.DUMMYFUNCTION("""COMPUTED_VALUE"""),"L/17/231024/2")</f>
        <v>L/17/231024/2</v>
      </c>
      <c r="C85" s="42" t="str">
        <f>IFERROR(__xludf.DUMMYFUNCTION("""COMPUTED_VALUE"""),"M.3337/SUKADANA HAM")</f>
        <v>M.3337/SUKADANA HAM</v>
      </c>
      <c r="D85" s="42" t="str">
        <f>IFERROR(__xludf.DUMMYFUNCTION("""COMPUTED_VALUE"""),"Rahma")</f>
        <v>Rahma</v>
      </c>
      <c r="E85" s="42" t="str">
        <f>IFERROR(__xludf.DUMMYFUNCTION("""COMPUTED_VALUE"""),"DISERAHKAN")</f>
        <v>DISERAHKAN</v>
      </c>
      <c r="F85" s="48" t="str">
        <f>IFERROR(__xludf.DUMMYFUNCTION("""COMPUTED_VALUE"""),"23/10/2024 14.26")</f>
        <v>23/10/2024 14.26</v>
      </c>
      <c r="G85" s="42" t="str">
        <f>IFERROR(__xludf.DUMMYFUNCTION("""COMPUTED_VALUE"""),"SERTIPIKAT HILANG")</f>
        <v>SERTIPIKAT HILANG</v>
      </c>
      <c r="H85" s="42">
        <f t="shared" si="1"/>
        <v>59</v>
      </c>
    </row>
    <row r="86" ht="22.5" customHeight="1">
      <c r="B86" s="42" t="str">
        <f>IFERROR(__xludf.DUMMYFUNCTION("""COMPUTED_VALUE"""),"L/19/231024/1")</f>
        <v>L/19/231024/1</v>
      </c>
      <c r="C86" s="42" t="str">
        <f>IFERROR(__xludf.DUMMYFUNCTION("""COMPUTED_VALUE"""),"HM 409/KBK")</f>
        <v>HM 409/KBK</v>
      </c>
      <c r="D86" s="42"/>
      <c r="E86" s="42" t="str">
        <f>IFERROR(__xludf.DUMMYFUNCTION("""COMPUTED_VALUE"""),"PROSES")</f>
        <v>PROSES</v>
      </c>
      <c r="F86" s="48" t="str">
        <f>IFERROR(__xludf.DUMMYFUNCTION("""COMPUTED_VALUE"""),"")</f>
        <v/>
      </c>
      <c r="G86" s="42" t="str">
        <f>IFERROR(__xludf.DUMMYFUNCTION("""COMPUTED_VALUE"""),"ROYA")</f>
        <v>ROYA</v>
      </c>
      <c r="H86" s="42">
        <f t="shared" si="1"/>
        <v>59</v>
      </c>
    </row>
    <row r="87" ht="22.5" customHeight="1">
      <c r="B87" s="42" t="str">
        <f>IFERROR(__xludf.DUMMYFUNCTION("""COMPUTED_VALUE"""),"K/30/231024/1")</f>
        <v>K/30/231024/1</v>
      </c>
      <c r="C87" s="42" t="str">
        <f>IFERROR(__xludf.DUMMYFUNCTION("""COMPUTED_VALUE"""),"NIBEL M.661/BILABONG JAYA")</f>
        <v>NIBEL M.661/BILABONG JAYA</v>
      </c>
      <c r="D87" s="42"/>
      <c r="E87" s="42"/>
      <c r="F87" s="48" t="str">
        <f>IFERROR(__xludf.DUMMYFUNCTION("""COMPUTED_VALUE"""),"")</f>
        <v/>
      </c>
      <c r="G87" s="42" t="str">
        <f>IFERROR(__xludf.DUMMYFUNCTION("""COMPUTED_VALUE"""),"BN JUAL BELI")</f>
        <v>BN JUAL BELI</v>
      </c>
      <c r="H87" s="42">
        <f t="shared" si="1"/>
        <v>59</v>
      </c>
    </row>
    <row r="88" ht="22.5" customHeight="1">
      <c r="B88" s="42" t="str">
        <f>IFERROR(__xludf.DUMMYFUNCTION("""COMPUTED_VALUE"""),"L/32/231024/1")</f>
        <v>L/32/231024/1</v>
      </c>
      <c r="C88" s="42" t="str">
        <f>IFERROR(__xludf.DUMMYFUNCTION("""COMPUTED_VALUE"""),"B.1072/CAMPANG JAYA")</f>
        <v>B.1072/CAMPANG JAYA</v>
      </c>
      <c r="D88" s="42"/>
      <c r="E88" s="42" t="str">
        <f>IFERROR(__xludf.DUMMYFUNCTION("""COMPUTED_VALUE"""),"PROSES")</f>
        <v>PROSES</v>
      </c>
      <c r="F88" s="48" t="str">
        <f>IFERROR(__xludf.DUMMYFUNCTION("""COMPUTED_VALUE"""),"")</f>
        <v/>
      </c>
      <c r="G88" s="42" t="str">
        <f>IFERROR(__xludf.DUMMYFUNCTION("""COMPUTED_VALUE"""),"PERUBAHAN HAK")</f>
        <v>PERUBAHAN HAK</v>
      </c>
      <c r="H88" s="42">
        <f t="shared" si="1"/>
        <v>59</v>
      </c>
    </row>
    <row r="89" ht="22.5" customHeight="1">
      <c r="B89" s="42" t="str">
        <f>IFERROR(__xludf.DUMMYFUNCTION("""COMPUTED_VALUE"""),"L/37/231024/1")</f>
        <v>L/37/231024/1</v>
      </c>
      <c r="C89" s="42" t="str">
        <f>IFERROR(__xludf.DUMMYFUNCTION("""COMPUTED_VALUE"""),"HM 1642/KOTA KARANG")</f>
        <v>HM 1642/KOTA KARANG</v>
      </c>
      <c r="D89" s="42" t="str">
        <f>IFERROR(__xludf.DUMMYFUNCTION("""COMPUTED_VALUE"""),"Rahma")</f>
        <v>Rahma</v>
      </c>
      <c r="E89" s="42" t="str">
        <f>IFERROR(__xludf.DUMMYFUNCTION("""COMPUTED_VALUE"""),"DISERAHKAN")</f>
        <v>DISERAHKAN</v>
      </c>
      <c r="F89" s="48" t="str">
        <f>IFERROR(__xludf.DUMMYFUNCTION("""COMPUTED_VALUE"""),"23/10/2024 16.40")</f>
        <v>23/10/2024 16.40</v>
      </c>
      <c r="G89" s="42" t="str">
        <f>IFERROR(__xludf.DUMMYFUNCTION("""COMPUTED_VALUE"""),"ROYA")</f>
        <v>ROYA</v>
      </c>
      <c r="H89" s="42">
        <f t="shared" si="1"/>
        <v>60</v>
      </c>
    </row>
    <row r="90" ht="22.5" customHeight="1">
      <c r="B90" s="42" t="str">
        <f>IFERROR(__xludf.DUMMYFUNCTION("""COMPUTED_VALUE"""),"L/41/231024/1")</f>
        <v>L/41/231024/1</v>
      </c>
      <c r="C90" s="42" t="str">
        <f>IFERROR(__xludf.DUMMYFUNCTION("""COMPUTED_VALUE"""),"M.1801/KELAPA TIGA")</f>
        <v>M.1801/KELAPA TIGA</v>
      </c>
      <c r="D90" s="42"/>
      <c r="E90" s="42" t="str">
        <f>IFERROR(__xludf.DUMMYFUNCTION("""COMPUTED_VALUE"""),"PROSES")</f>
        <v>PROSES</v>
      </c>
      <c r="F90" s="48" t="str">
        <f>IFERROR(__xludf.DUMMYFUNCTION("""COMPUTED_VALUE"""),"")</f>
        <v/>
      </c>
      <c r="G90" s="42" t="str">
        <f>IFERROR(__xludf.DUMMYFUNCTION("""COMPUTED_VALUE"""),"ROYA")</f>
        <v>ROYA</v>
      </c>
      <c r="H90" s="42">
        <f t="shared" si="1"/>
        <v>60</v>
      </c>
    </row>
    <row r="91" ht="22.5" customHeight="1">
      <c r="B91" s="42" t="str">
        <f>IFERROR(__xludf.DUMMYFUNCTION("""COMPUTED_VALUE"""),"K/42/231024/1")</f>
        <v>K/42/231024/1</v>
      </c>
      <c r="C91" s="42" t="str">
        <f>IFERROR(__xludf.DUMMYFUNCTION("""COMPUTED_VALUE"""),"M.1878/KEDAUNG")</f>
        <v>M.1878/KEDAUNG</v>
      </c>
      <c r="D91" s="42" t="str">
        <f>IFERROR(__xludf.DUMMYFUNCTION("""COMPUTED_VALUE"""),"Rahma")</f>
        <v>Rahma</v>
      </c>
      <c r="E91" s="42" t="str">
        <f>IFERROR(__xludf.DUMMYFUNCTION("""COMPUTED_VALUE"""),"DISERAHKAN")</f>
        <v>DISERAHKAN</v>
      </c>
      <c r="F91" s="48" t="str">
        <f>IFERROR(__xludf.DUMMYFUNCTION("""COMPUTED_VALUE"""),"23/10/2024 16.41")</f>
        <v>23/10/2024 16.41</v>
      </c>
      <c r="G91" s="42" t="str">
        <f>IFERROR(__xludf.DUMMYFUNCTION("""COMPUTED_VALUE"""),"BN JUAL BELI")</f>
        <v>BN JUAL BELI</v>
      </c>
      <c r="H91" s="42">
        <f t="shared" si="1"/>
        <v>61</v>
      </c>
    </row>
    <row r="92" ht="22.5" customHeight="1">
      <c r="B92" s="42" t="str">
        <f>IFERROR(__xludf.DUMMYFUNCTION("""COMPUTED_VALUE"""),"K/9/241024/1")</f>
        <v>K/9/241024/1</v>
      </c>
      <c r="C92" s="42" t="str">
        <f>IFERROR(__xludf.DUMMYFUNCTION("""COMPUTED_VALUE"""),"M. 9800/ Kedamaian; SHT 2878/2017 dan SHT 1059/20211")</f>
        <v>M. 9800/ Kedamaian; SHT 2878/2017 dan SHT 1059/20211</v>
      </c>
      <c r="D92" s="42" t="str">
        <f>IFERROR(__xludf.DUMMYFUNCTION("""COMPUTED_VALUE"""),"Berry")</f>
        <v>Berry</v>
      </c>
      <c r="E92" s="42" t="str">
        <f>IFERROR(__xludf.DUMMYFUNCTION("""COMPUTED_VALUE"""),"DISERAHKAN")</f>
        <v>DISERAHKAN</v>
      </c>
      <c r="F92" s="48" t="str">
        <f>IFERROR(__xludf.DUMMYFUNCTION("""COMPUTED_VALUE"""),"24/10/2024 15.51")</f>
        <v>24/10/2024 15.51</v>
      </c>
      <c r="G92" s="42" t="str">
        <f>IFERROR(__xludf.DUMMYFUNCTION("""COMPUTED_VALUE"""),"Roya")</f>
        <v>Roya</v>
      </c>
      <c r="H92" s="42">
        <f t="shared" si="1"/>
        <v>62</v>
      </c>
    </row>
    <row r="93" ht="22.5" customHeight="1">
      <c r="B93" s="42" t="str">
        <f>IFERROR(__xludf.DUMMYFUNCTION("""COMPUTED_VALUE"""),"K/11/241024/1")</f>
        <v>K/11/241024/1</v>
      </c>
      <c r="C93" s="42" t="str">
        <f>IFERROR(__xludf.DUMMYFUNCTION("""COMPUTED_VALUE"""),"M. 2231/ Durian Payung")</f>
        <v>M. 2231/ Durian Payung</v>
      </c>
      <c r="D93" s="42"/>
      <c r="E93" s="42" t="str">
        <f>IFERROR(__xludf.DUMMYFUNCTION("""COMPUTED_VALUE"""),"DISERAHKAN")</f>
        <v>DISERAHKAN</v>
      </c>
      <c r="F93" s="48">
        <f>IFERROR(__xludf.DUMMYFUNCTION("""COMPUTED_VALUE"""),45691.45237719908)</f>
        <v>45691.45238</v>
      </c>
      <c r="G93" s="42" t="str">
        <f>IFERROR(__xludf.DUMMYFUNCTION("""COMPUTED_VALUE"""),"BN Waris")</f>
        <v>BN Waris</v>
      </c>
      <c r="H93" s="42">
        <f t="shared" si="1"/>
        <v>63</v>
      </c>
    </row>
    <row r="94" ht="22.5" customHeight="1">
      <c r="B94" s="42" t="str">
        <f>IFERROR(__xludf.DUMMYFUNCTION("""COMPUTED_VALUE"""),"L/14/241024/1")</f>
        <v>L/14/241024/1</v>
      </c>
      <c r="C94" s="42" t="str">
        <f>IFERROR(__xludf.DUMMYFUNCTION("""COMPUTED_VALUE"""),"M.16877/SUKARAME I")</f>
        <v>M.16877/SUKARAME I</v>
      </c>
      <c r="D94" s="42" t="str">
        <f>IFERROR(__xludf.DUMMYFUNCTION("""COMPUTED_VALUE"""),"David")</f>
        <v>David</v>
      </c>
      <c r="E94" s="42" t="str">
        <f>IFERROR(__xludf.DUMMYFUNCTION("""COMPUTED_VALUE"""),"DISERAHKAN")</f>
        <v>DISERAHKAN</v>
      </c>
      <c r="F94" s="48" t="str">
        <f>IFERROR(__xludf.DUMMYFUNCTION("""COMPUTED_VALUE"""),"24/10/2024 16.08")</f>
        <v>24/10/2024 16.08</v>
      </c>
      <c r="G94" s="42" t="str">
        <f>IFERROR(__xludf.DUMMYFUNCTION("""COMPUTED_VALUE"""),"ROYA")</f>
        <v>ROYA</v>
      </c>
      <c r="H94" s="42">
        <f t="shared" si="1"/>
        <v>64</v>
      </c>
    </row>
    <row r="95" ht="22.5" customHeight="1">
      <c r="B95" s="42" t="str">
        <f>IFERROR(__xludf.DUMMYFUNCTION("""COMPUTED_VALUE"""),"L/15/241024/1")</f>
        <v>L/15/241024/1</v>
      </c>
      <c r="C95" s="42" t="str">
        <f>IFERROR(__xludf.DUMMYFUNCTION("""COMPUTED_VALUE"""),"HM 5933/WAY KANDIS")</f>
        <v>HM 5933/WAY KANDIS</v>
      </c>
      <c r="D95" s="42"/>
      <c r="E95" s="42"/>
      <c r="F95" s="48" t="str">
        <f>IFERROR(__xludf.DUMMYFUNCTION("""COMPUTED_VALUE"""),"")</f>
        <v/>
      </c>
      <c r="G95" s="42" t="str">
        <f>IFERROR(__xludf.DUMMYFUNCTION("""COMPUTED_VALUE"""),"PTPGT")</f>
        <v>PTPGT</v>
      </c>
      <c r="H95" s="42">
        <f t="shared" si="1"/>
        <v>64</v>
      </c>
    </row>
    <row r="96" ht="22.5" customHeight="1">
      <c r="B96" s="42" t="str">
        <f>IFERROR(__xludf.DUMMYFUNCTION("""COMPUTED_VALUE"""),"L/18/241024/1")</f>
        <v>L/18/241024/1</v>
      </c>
      <c r="C96" s="42" t="str">
        <f>IFERROR(__xludf.DUMMYFUNCTION("""COMPUTED_VALUE"""),"M.1248/SUKARAME BARU")</f>
        <v>M.1248/SUKARAME BARU</v>
      </c>
      <c r="D96" s="42"/>
      <c r="E96" s="42"/>
      <c r="F96" s="48" t="str">
        <f>IFERROR(__xludf.DUMMYFUNCTION("""COMPUTED_VALUE"""),"")</f>
        <v/>
      </c>
      <c r="G96" s="42" t="str">
        <f>IFERROR(__xludf.DUMMYFUNCTION("""COMPUTED_VALUE"""),"SITA")</f>
        <v>SITA</v>
      </c>
      <c r="H96" s="42">
        <f t="shared" si="1"/>
        <v>64</v>
      </c>
    </row>
    <row r="97" ht="22.5" customHeight="1">
      <c r="B97" s="42" t="str">
        <f>IFERROR(__xludf.DUMMYFUNCTION("""COMPUTED_VALUE"""),"L/19/241024/2")</f>
        <v>L/19/241024/2</v>
      </c>
      <c r="C97" s="42" t="str">
        <f>IFERROR(__xludf.DUMMYFUNCTION("""COMPUTED_VALUE"""),"M.1249/SUKARAME BARU")</f>
        <v>M.1249/SUKARAME BARU</v>
      </c>
      <c r="D97" s="42"/>
      <c r="E97" s="42"/>
      <c r="F97" s="48" t="str">
        <f>IFERROR(__xludf.DUMMYFUNCTION("""COMPUTED_VALUE"""),"")</f>
        <v/>
      </c>
      <c r="G97" s="42" t="str">
        <f>IFERROR(__xludf.DUMMYFUNCTION("""COMPUTED_VALUE"""),"SITA")</f>
        <v>SITA</v>
      </c>
      <c r="H97" s="42">
        <f t="shared" si="1"/>
        <v>64</v>
      </c>
    </row>
    <row r="98" ht="22.5" customHeight="1">
      <c r="B98" s="42" t="str">
        <f>IFERROR(__xludf.DUMMYFUNCTION("""COMPUTED_VALUE"""),"L/22/241024/1")</f>
        <v>L/22/241024/1</v>
      </c>
      <c r="C98" s="42" t="str">
        <f>IFERROR(__xludf.DUMMYFUNCTION("""COMPUTED_VALUE"""),"HM 1366/KALIAWI")</f>
        <v>HM 1366/KALIAWI</v>
      </c>
      <c r="D98" s="42" t="str">
        <f>IFERROR(__xludf.DUMMYFUNCTION("""COMPUTED_VALUE"""),"David")</f>
        <v>David</v>
      </c>
      <c r="E98" s="42" t="str">
        <f>IFERROR(__xludf.DUMMYFUNCTION("""COMPUTED_VALUE"""),"DISERAHKAN")</f>
        <v>DISERAHKAN</v>
      </c>
      <c r="F98" s="48" t="str">
        <f>IFERROR(__xludf.DUMMYFUNCTION("""COMPUTED_VALUE"""),"24/10/2024 16.09")</f>
        <v>24/10/2024 16.09</v>
      </c>
      <c r="G98" s="42" t="str">
        <f>IFERROR(__xludf.DUMMYFUNCTION("""COMPUTED_VALUE"""),"ROYA")</f>
        <v>ROYA</v>
      </c>
      <c r="H98" s="42">
        <f t="shared" si="1"/>
        <v>65</v>
      </c>
    </row>
    <row r="99" ht="22.5" customHeight="1">
      <c r="B99" s="42" t="str">
        <f>IFERROR(__xludf.DUMMYFUNCTION("""COMPUTED_VALUE"""),"K/24/241024/1")</f>
        <v>K/24/241024/1</v>
      </c>
      <c r="C99" s="42" t="str">
        <f>IFERROR(__xludf.DUMMYFUNCTION("""COMPUTED_VALUE"""),"NIBEL B.2466/SUKABUMI")</f>
        <v>NIBEL B.2466/SUKABUMI</v>
      </c>
      <c r="D99" s="42"/>
      <c r="E99" s="42"/>
      <c r="F99" s="48" t="str">
        <f>IFERROR(__xludf.DUMMYFUNCTION("""COMPUTED_VALUE"""),"")</f>
        <v/>
      </c>
      <c r="G99" s="42" t="str">
        <f>IFERROR(__xludf.DUMMYFUNCTION("""COMPUTED_VALUE"""),"PENINGKATAN")</f>
        <v>PENINGKATAN</v>
      </c>
      <c r="H99" s="42">
        <f t="shared" si="1"/>
        <v>65</v>
      </c>
    </row>
    <row r="100" ht="22.5" customHeight="1">
      <c r="B100" s="42" t="str">
        <f>IFERROR(__xludf.DUMMYFUNCTION("""COMPUTED_VALUE"""),"L/27/241024/1")</f>
        <v>L/27/241024/1</v>
      </c>
      <c r="C100" s="42" t="str">
        <f>IFERROR(__xludf.DUMMYFUNCTION("""COMPUTED_VALUE"""),"HM 1540/SUKARAME BARU")</f>
        <v>HM 1540/SUKARAME BARU</v>
      </c>
      <c r="D100" s="42"/>
      <c r="E100" s="42"/>
      <c r="F100" s="48" t="str">
        <f>IFERROR(__xludf.DUMMYFUNCTION("""COMPUTED_VALUE"""),"")</f>
        <v/>
      </c>
      <c r="G100" s="42" t="str">
        <f>IFERROR(__xludf.DUMMYFUNCTION("""COMPUTED_VALUE"""),"SKPT INFORMASI")</f>
        <v>SKPT INFORMASI</v>
      </c>
      <c r="H100" s="42">
        <f t="shared" si="1"/>
        <v>65</v>
      </c>
    </row>
    <row r="101" ht="22.5" customHeight="1">
      <c r="B101" s="42" t="str">
        <f>IFERROR(__xludf.DUMMYFUNCTION("""COMPUTED_VALUE"""),"L/31/241024/1")</f>
        <v>L/31/241024/1</v>
      </c>
      <c r="C101" s="42" t="str">
        <f>IFERROR(__xludf.DUMMYFUNCTION("""COMPUTED_VALUE"""),"B.311/PEMATANG WANGI;B.546/TJ SENANG-DAHULU")</f>
        <v>B.311/PEMATANG WANGI;B.546/TJ SENANG-DAHULU</v>
      </c>
      <c r="D101" s="42" t="str">
        <f>IFERROR(__xludf.DUMMYFUNCTION("""COMPUTED_VALUE"""),"David")</f>
        <v>David</v>
      </c>
      <c r="E101" s="42" t="str">
        <f>IFERROR(__xludf.DUMMYFUNCTION("""COMPUTED_VALUE"""),"DISERAHKAN")</f>
        <v>DISERAHKAN</v>
      </c>
      <c r="F101" s="48" t="str">
        <f>IFERROR(__xludf.DUMMYFUNCTION("""COMPUTED_VALUE"""),"24/10/2024 16.11")</f>
        <v>24/10/2024 16.11</v>
      </c>
      <c r="G101" s="42" t="str">
        <f>IFERROR(__xludf.DUMMYFUNCTION("""COMPUTED_VALUE"""),"PERUBAHAN HAK")</f>
        <v>PERUBAHAN HAK</v>
      </c>
      <c r="H101" s="42">
        <f t="shared" si="1"/>
        <v>66</v>
      </c>
    </row>
    <row r="102" ht="22.5" customHeight="1">
      <c r="B102" s="42" t="str">
        <f>IFERROR(__xludf.DUMMYFUNCTION("""COMPUTED_VALUE"""),"K/32/241024/1")</f>
        <v>K/32/241024/1</v>
      </c>
      <c r="C102" s="42" t="str">
        <f>IFERROR(__xludf.DUMMYFUNCTION("""COMPUTED_VALUE"""),"M. 1120/ Sukajawa")</f>
        <v>M. 1120/ Sukajawa</v>
      </c>
      <c r="D102" s="42" t="str">
        <f>IFERROR(__xludf.DUMMYFUNCTION("""COMPUTED_VALUE"""),"David")</f>
        <v>David</v>
      </c>
      <c r="E102" s="42" t="str">
        <f>IFERROR(__xludf.DUMMYFUNCTION("""COMPUTED_VALUE"""),"DISERAHKAN")</f>
        <v>DISERAHKAN</v>
      </c>
      <c r="F102" s="48" t="str">
        <f>IFERROR(__xludf.DUMMYFUNCTION("""COMPUTED_VALUE"""),"24/10/2024 16.12")</f>
        <v>24/10/2024 16.12</v>
      </c>
      <c r="G102" s="42" t="str">
        <f>IFERROR(__xludf.DUMMYFUNCTION("""COMPUTED_VALUE"""),"roya")</f>
        <v>roya</v>
      </c>
      <c r="H102" s="42">
        <f t="shared" si="1"/>
        <v>67</v>
      </c>
    </row>
    <row r="103" ht="22.5" customHeight="1">
      <c r="B103" s="42" t="str">
        <f>IFERROR(__xludf.DUMMYFUNCTION("""COMPUTED_VALUE"""),"K/36/241024/1")</f>
        <v>K/36/241024/1</v>
      </c>
      <c r="C103" s="42" t="str">
        <f>IFERROR(__xludf.DUMMYFUNCTION("""COMPUTED_VALUE"""),"Tanah mentah")</f>
        <v>Tanah mentah</v>
      </c>
      <c r="D103" s="42"/>
      <c r="E103" s="42"/>
      <c r="F103" s="48" t="str">
        <f>IFERROR(__xludf.DUMMYFUNCTION("""COMPUTED_VALUE"""),"")</f>
        <v/>
      </c>
      <c r="G103" s="42" t="str">
        <f>IFERROR(__xludf.DUMMYFUNCTION("""COMPUTED_VALUE"""),"Pengukuran Pertama Kali")</f>
        <v>Pengukuran Pertama Kali</v>
      </c>
      <c r="H103" s="42">
        <f t="shared" si="1"/>
        <v>67</v>
      </c>
    </row>
    <row r="104" ht="22.5" customHeight="1">
      <c r="B104" s="42" t="str">
        <f>IFERROR(__xludf.DUMMYFUNCTION("""COMPUTED_VALUE"""),"K/37/241024/2")</f>
        <v>K/37/241024/2</v>
      </c>
      <c r="C104" s="42" t="str">
        <f>IFERROR(__xludf.DUMMYFUNCTION("""COMPUTED_VALUE"""),"Tanah Mentah")</f>
        <v>Tanah Mentah</v>
      </c>
      <c r="D104" s="42"/>
      <c r="E104" s="42"/>
      <c r="F104" s="48" t="str">
        <f>IFERROR(__xludf.DUMMYFUNCTION("""COMPUTED_VALUE"""),"")</f>
        <v/>
      </c>
      <c r="G104" s="42" t="str">
        <f>IFERROR(__xludf.DUMMYFUNCTION("""COMPUTED_VALUE"""),"Pengukuran Pertama Kali")</f>
        <v>Pengukuran Pertama Kali</v>
      </c>
      <c r="H104" s="42">
        <f t="shared" si="1"/>
        <v>67</v>
      </c>
    </row>
    <row r="105" ht="22.5" customHeight="1">
      <c r="B105" s="42" t="str">
        <f>IFERROR(__xludf.DUMMYFUNCTION("""COMPUTED_VALUE"""),"K/40/241024/1")</f>
        <v>K/40/241024/1</v>
      </c>
      <c r="C105" s="42" t="str">
        <f>IFERROR(__xludf.DUMMYFUNCTION("""COMPUTED_VALUE"""),"M.852/KEMILING RAYA")</f>
        <v>M.852/KEMILING RAYA</v>
      </c>
      <c r="D105" s="42"/>
      <c r="E105" s="42"/>
      <c r="F105" s="48" t="str">
        <f>IFERROR(__xludf.DUMMYFUNCTION("""COMPUTED_VALUE"""),"")</f>
        <v/>
      </c>
      <c r="G105" s="42" t="str">
        <f>IFERROR(__xludf.DUMMYFUNCTION("""COMPUTED_VALUE"""),"HAPUS BPHTB")</f>
        <v>HAPUS BPHTB</v>
      </c>
      <c r="H105" s="42">
        <f t="shared" si="1"/>
        <v>67</v>
      </c>
    </row>
    <row r="106" ht="22.5" customHeight="1">
      <c r="B106" s="42" t="str">
        <f>IFERROR(__xludf.DUMMYFUNCTION("""COMPUTED_VALUE"""),"K/41/241024/1")</f>
        <v>K/41/241024/1</v>
      </c>
      <c r="C106" s="42" t="str">
        <f>IFERROR(__xludf.DUMMYFUNCTION("""COMPUTED_VALUE"""),"HMASRS/64/I/MASRS/Tanjung karang")</f>
        <v>HMASRS/64/I/MASRS/Tanjung karang</v>
      </c>
      <c r="D106" s="42" t="str">
        <f>IFERROR(__xludf.DUMMYFUNCTION("""COMPUTED_VALUE"""),"Berry")</f>
        <v>Berry</v>
      </c>
      <c r="E106" s="42" t="str">
        <f>IFERROR(__xludf.DUMMYFUNCTION("""COMPUTED_VALUE"""),"DISERAHKAN")</f>
        <v>DISERAHKAN</v>
      </c>
      <c r="F106" s="48" t="str">
        <f>IFERROR(__xludf.DUMMYFUNCTION("""COMPUTED_VALUE"""),"24/10/2024 16.23")</f>
        <v>24/10/2024 16.23</v>
      </c>
      <c r="G106" s="42" t="str">
        <f>IFERROR(__xludf.DUMMYFUNCTION("""COMPUTED_VALUE"""),"BN Waris")</f>
        <v>BN Waris</v>
      </c>
      <c r="H106" s="42">
        <f t="shared" si="1"/>
        <v>68</v>
      </c>
    </row>
    <row r="107" ht="22.5" customHeight="1">
      <c r="B107" s="42" t="str">
        <f>IFERROR(__xludf.DUMMYFUNCTION("""COMPUTED_VALUE"""),"K/49/241024/2")</f>
        <v>K/49/241024/2</v>
      </c>
      <c r="C107" s="42" t="str">
        <f>IFERROR(__xludf.DUMMYFUNCTION("""COMPUTED_VALUE"""),"M. 16581/ Sukabumi")</f>
        <v>M. 16581/ Sukabumi</v>
      </c>
      <c r="D107" s="42" t="str">
        <f>IFERROR(__xludf.DUMMYFUNCTION("""COMPUTED_VALUE"""),"David")</f>
        <v>David</v>
      </c>
      <c r="E107" s="42" t="str">
        <f>IFERROR(__xludf.DUMMYFUNCTION("""COMPUTED_VALUE"""),"DISERAHKAN")</f>
        <v>DISERAHKAN</v>
      </c>
      <c r="F107" s="48" t="str">
        <f>IFERROR(__xludf.DUMMYFUNCTION("""COMPUTED_VALUE"""),"24/10/2024 16.21")</f>
        <v>24/10/2024 16.21</v>
      </c>
      <c r="G107" s="42" t="str">
        <f>IFERROR(__xludf.DUMMYFUNCTION("""COMPUTED_VALUE"""),"BN Jual Beli")</f>
        <v>BN Jual Beli</v>
      </c>
      <c r="H107" s="42">
        <f t="shared" si="1"/>
        <v>69</v>
      </c>
    </row>
    <row r="108" ht="22.5" customHeight="1">
      <c r="B108" s="42" t="str">
        <f>IFERROR(__xludf.DUMMYFUNCTION("""COMPUTED_VALUE"""),"K/1/251024/1")</f>
        <v>K/1/251024/1</v>
      </c>
      <c r="C108" s="42" t="str">
        <f>IFERROR(__xludf.DUMMYFUNCTION("""COMPUTED_VALUE"""),"M. 2799/ Sumberrejo")</f>
        <v>M. 2799/ Sumberrejo</v>
      </c>
      <c r="D108" s="42"/>
      <c r="E108" s="42"/>
      <c r="F108" s="48" t="str">
        <f>IFERROR(__xludf.DUMMYFUNCTION("""COMPUTED_VALUE"""),"")</f>
        <v/>
      </c>
      <c r="G108" s="42" t="str">
        <f>IFERROR(__xludf.DUMMYFUNCTION("""COMPUTED_VALUE"""),"PTPGT Pemecahan")</f>
        <v>PTPGT Pemecahan</v>
      </c>
      <c r="H108" s="42">
        <f t="shared" si="1"/>
        <v>69</v>
      </c>
    </row>
    <row r="109" ht="22.5" customHeight="1">
      <c r="B109" s="42" t="str">
        <f>IFERROR(__xludf.DUMMYFUNCTION("""COMPUTED_VALUE"""),"K/2/251024/2")</f>
        <v>K/2/251024/2</v>
      </c>
      <c r="C109" s="42" t="str">
        <f>IFERROR(__xludf.DUMMYFUNCTION("""COMPUTED_VALUE"""),"M. 2798/ Sumberrejo")</f>
        <v>M. 2798/ Sumberrejo</v>
      </c>
      <c r="D109" s="42"/>
      <c r="E109" s="42"/>
      <c r="F109" s="48" t="str">
        <f>IFERROR(__xludf.DUMMYFUNCTION("""COMPUTED_VALUE"""),"")</f>
        <v/>
      </c>
      <c r="G109" s="42" t="str">
        <f>IFERROR(__xludf.DUMMYFUNCTION("""COMPUTED_VALUE"""),"PTPGT Pemecahan")</f>
        <v>PTPGT Pemecahan</v>
      </c>
      <c r="H109" s="42">
        <f t="shared" si="1"/>
        <v>69</v>
      </c>
    </row>
    <row r="110" ht="22.5" customHeight="1">
      <c r="B110" s="42" t="str">
        <f>IFERROR(__xludf.DUMMYFUNCTION("""COMPUTED_VALUE"""),"L/4/251024/1")</f>
        <v>L/4/251024/1</v>
      </c>
      <c r="C110" s="42" t="str">
        <f>IFERROR(__xludf.DUMMYFUNCTION("""COMPUTED_VALUE"""),"NIB 2765/PWH")</f>
        <v>NIB 2765/PWH</v>
      </c>
      <c r="D110" s="42"/>
      <c r="E110" s="42"/>
      <c r="F110" s="48" t="str">
        <f>IFERROR(__xludf.DUMMYFUNCTION("""COMPUTED_VALUE"""),"")</f>
        <v/>
      </c>
      <c r="G110" s="42" t="str">
        <f>IFERROR(__xludf.DUMMYFUNCTION("""COMPUTED_VALUE"""),"BN WARIS")</f>
        <v>BN WARIS</v>
      </c>
      <c r="H110" s="42">
        <f t="shared" si="1"/>
        <v>69</v>
      </c>
    </row>
    <row r="111" ht="22.5" customHeight="1">
      <c r="B111" s="42" t="str">
        <f>IFERROR(__xludf.DUMMYFUNCTION("""COMPUTED_VALUE"""),"L/9/251024/1")</f>
        <v>L/9/251024/1</v>
      </c>
      <c r="C111" s="42" t="str">
        <f>IFERROR(__xludf.DUMMYFUNCTION("""COMPUTED_VALUE"""),"HM 12867/TANJUNG BARU")</f>
        <v>HM 12867/TANJUNG BARU</v>
      </c>
      <c r="D111" s="42" t="str">
        <f>IFERROR(__xludf.DUMMYFUNCTION("""COMPUTED_VALUE"""),"Berry")</f>
        <v>Berry</v>
      </c>
      <c r="E111" s="42" t="str">
        <f>IFERROR(__xludf.DUMMYFUNCTION("""COMPUTED_VALUE"""),"DISERAHKAN")</f>
        <v>DISERAHKAN</v>
      </c>
      <c r="F111" s="48" t="str">
        <f>IFERROR(__xludf.DUMMYFUNCTION("""COMPUTED_VALUE"""),"28/10/2024 10.07")</f>
        <v>28/10/2024 10.07</v>
      </c>
      <c r="G111" s="42" t="str">
        <f>IFERROR(__xludf.DUMMYFUNCTION("""COMPUTED_VALUE"""),"ROYA")</f>
        <v>ROYA</v>
      </c>
      <c r="H111" s="42">
        <f t="shared" si="1"/>
        <v>70</v>
      </c>
    </row>
    <row r="112" ht="22.5" customHeight="1">
      <c r="B112" s="42" t="str">
        <f>IFERROR(__xludf.DUMMYFUNCTION("""COMPUTED_VALUE"""),"L/10/251024/1")</f>
        <v>L/10/251024/1</v>
      </c>
      <c r="C112" s="42" t="str">
        <f>IFERROR(__xludf.DUMMYFUNCTION("""COMPUTED_VALUE"""),"M.14233/SEGALA MIDER")</f>
        <v>M.14233/SEGALA MIDER</v>
      </c>
      <c r="D112" s="42" t="str">
        <f>IFERROR(__xludf.DUMMYFUNCTION("""COMPUTED_VALUE"""),"Berry")</f>
        <v>Berry</v>
      </c>
      <c r="E112" s="42" t="str">
        <f>IFERROR(__xludf.DUMMYFUNCTION("""COMPUTED_VALUE"""),"DISERAHKAN")</f>
        <v>DISERAHKAN</v>
      </c>
      <c r="F112" s="48" t="str">
        <f>IFERROR(__xludf.DUMMYFUNCTION("""COMPUTED_VALUE"""),"28/10/2024 10.09")</f>
        <v>28/10/2024 10.09</v>
      </c>
      <c r="G112" s="42" t="str">
        <f>IFERROR(__xludf.DUMMYFUNCTION("""COMPUTED_VALUE"""),"PEMECAHAN")</f>
        <v>PEMECAHAN</v>
      </c>
      <c r="H112" s="42">
        <f t="shared" si="1"/>
        <v>71</v>
      </c>
    </row>
    <row r="113" ht="22.5" customHeight="1">
      <c r="B113" s="42" t="str">
        <f>IFERROR(__xludf.DUMMYFUNCTION("""COMPUTED_VALUE"""),"K/13/251024/1")</f>
        <v>K/13/251024/1</v>
      </c>
      <c r="C113" s="42" t="str">
        <f>IFERROR(__xludf.DUMMYFUNCTION("""COMPUTED_VALUE"""),"M.990/DURIAN PAYUNG")</f>
        <v>M.990/DURIAN PAYUNG</v>
      </c>
      <c r="D113" s="42" t="str">
        <f>IFERROR(__xludf.DUMMYFUNCTION("""COMPUTED_VALUE"""),"Berry")</f>
        <v>Berry</v>
      </c>
      <c r="E113" s="42" t="str">
        <f>IFERROR(__xludf.DUMMYFUNCTION("""COMPUTED_VALUE"""),"DISERAHKAN")</f>
        <v>DISERAHKAN</v>
      </c>
      <c r="F113" s="48" t="str">
        <f>IFERROR(__xludf.DUMMYFUNCTION("""COMPUTED_VALUE"""),"28/10/2024 10.10")</f>
        <v>28/10/2024 10.10</v>
      </c>
      <c r="G113" s="42" t="str">
        <f>IFERROR(__xludf.DUMMYFUNCTION("""COMPUTED_VALUE"""),"ROYA")</f>
        <v>ROYA</v>
      </c>
      <c r="H113" s="42">
        <f t="shared" si="1"/>
        <v>72</v>
      </c>
    </row>
    <row r="114" ht="22.5" customHeight="1">
      <c r="B114" s="42" t="str">
        <f>IFERROR(__xludf.DUMMYFUNCTION("""COMPUTED_VALUE"""),"L/15/251024/1")</f>
        <v>L/15/251024/1</v>
      </c>
      <c r="C114" s="42" t="str">
        <f>IFERROR(__xludf.DUMMYFUNCTION("""COMPUTED_VALUE"""),"SIDODADI")</f>
        <v>SIDODADI</v>
      </c>
      <c r="D114" s="42"/>
      <c r="E114" s="42"/>
      <c r="F114" s="48" t="str">
        <f>IFERROR(__xludf.DUMMYFUNCTION("""COMPUTED_VALUE"""),"")</f>
        <v/>
      </c>
      <c r="G114" s="42" t="str">
        <f>IFERROR(__xludf.DUMMYFUNCTION("""COMPUTED_VALUE"""),"ASPEK")</f>
        <v>ASPEK</v>
      </c>
      <c r="H114" s="42">
        <f t="shared" si="1"/>
        <v>72</v>
      </c>
    </row>
    <row r="115" ht="22.5" customHeight="1">
      <c r="B115" s="42" t="str">
        <f>IFERROR(__xludf.DUMMYFUNCTION("""COMPUTED_VALUE"""),"K/19/251024/1")</f>
        <v>K/19/251024/1</v>
      </c>
      <c r="C115" s="42" t="str">
        <f>IFERROR(__xludf.DUMMYFUNCTION("""COMPUTED_VALUE"""),"M.1833/RAJABASA JAYA")</f>
        <v>M.1833/RAJABASA JAYA</v>
      </c>
      <c r="D115" s="42"/>
      <c r="E115" s="42"/>
      <c r="F115" s="48" t="str">
        <f>IFERROR(__xludf.DUMMYFUNCTION("""COMPUTED_VALUE"""),"")</f>
        <v/>
      </c>
      <c r="G115" s="42" t="str">
        <f>IFERROR(__xludf.DUMMYFUNCTION("""COMPUTED_VALUE"""),"HAPUS BPHTB")</f>
        <v>HAPUS BPHTB</v>
      </c>
      <c r="H115" s="42">
        <f t="shared" si="1"/>
        <v>72</v>
      </c>
    </row>
    <row r="116" ht="22.5" customHeight="1">
      <c r="B116" s="42" t="str">
        <f>IFERROR(__xludf.DUMMYFUNCTION("""COMPUTED_VALUE"""),"L/26/251024/1")</f>
        <v>L/26/251024/1</v>
      </c>
      <c r="C116" s="42" t="str">
        <f>IFERROR(__xludf.DUMMYFUNCTION("""COMPUTED_VALUE"""),"M.15567/SUKARAME I")</f>
        <v>M.15567/SUKARAME I</v>
      </c>
      <c r="D116" s="42" t="str">
        <f>IFERROR(__xludf.DUMMYFUNCTION("""COMPUTED_VALUE"""),"David")</f>
        <v>David</v>
      </c>
      <c r="E116" s="42" t="str">
        <f>IFERROR(__xludf.DUMMYFUNCTION("""COMPUTED_VALUE"""),"DISERAHKAN")</f>
        <v>DISERAHKAN</v>
      </c>
      <c r="F116" s="48" t="str">
        <f>IFERROR(__xludf.DUMMYFUNCTION("""COMPUTED_VALUE"""),"29/10/2024 09.47")</f>
        <v>29/10/2024 09.47</v>
      </c>
      <c r="G116" s="42" t="str">
        <f>IFERROR(__xludf.DUMMYFUNCTION("""COMPUTED_VALUE"""),"ROYA")</f>
        <v>ROYA</v>
      </c>
      <c r="H116" s="42">
        <f t="shared" si="1"/>
        <v>73</v>
      </c>
    </row>
    <row r="117" ht="22.5" customHeight="1">
      <c r="B117" s="42" t="str">
        <f>IFERROR(__xludf.DUMMYFUNCTION("""COMPUTED_VALUE"""),"L/32/251024/1")</f>
        <v>L/32/251024/1</v>
      </c>
      <c r="C117" s="42" t="str">
        <f>IFERROR(__xludf.DUMMYFUNCTION("""COMPUTED_VALUE"""),"PBT243/2023")</f>
        <v>PBT243/2023</v>
      </c>
      <c r="D117" s="42"/>
      <c r="E117" s="42"/>
      <c r="F117" s="48" t="str">
        <f>IFERROR(__xludf.DUMMYFUNCTION("""COMPUTED_VALUE"""),"")</f>
        <v/>
      </c>
      <c r="G117" s="42" t="str">
        <f>IFERROR(__xludf.DUMMYFUNCTION("""COMPUTED_VALUE"""),"PENDAFTARAN SK HAK")</f>
        <v>PENDAFTARAN SK HAK</v>
      </c>
      <c r="H117" s="42">
        <f t="shared" si="1"/>
        <v>73</v>
      </c>
    </row>
    <row r="118" ht="22.5" customHeight="1">
      <c r="B118" s="42" t="str">
        <f>IFERROR(__xludf.DUMMYFUNCTION("""COMPUTED_VALUE"""),"K/31/251024/2")</f>
        <v>K/31/251024/2</v>
      </c>
      <c r="C118" s="42" t="str">
        <f>IFERROR(__xludf.DUMMYFUNCTION("""COMPUTED_VALUE"""),"B. 503/ Gunung Sulah")</f>
        <v>B. 503/ Gunung Sulah</v>
      </c>
      <c r="D118" s="42" t="str">
        <f>IFERROR(__xludf.DUMMYFUNCTION("""COMPUTED_VALUE"""),"David")</f>
        <v>David</v>
      </c>
      <c r="E118" s="42" t="str">
        <f>IFERROR(__xludf.DUMMYFUNCTION("""COMPUTED_VALUE"""),"DISERAHKAN BT")</f>
        <v>DISERAHKAN BT</v>
      </c>
      <c r="F118" s="48" t="str">
        <f>IFERROR(__xludf.DUMMYFUNCTION("""COMPUTED_VALUE"""),"28/10/2024 13.05")</f>
        <v>28/10/2024 13.05</v>
      </c>
      <c r="G118" s="42" t="str">
        <f>IFERROR(__xludf.DUMMYFUNCTION("""COMPUTED_VALUE"""),"Perubahan Hak")</f>
        <v>Perubahan Hak</v>
      </c>
      <c r="H118" s="42">
        <f t="shared" si="1"/>
        <v>73</v>
      </c>
    </row>
    <row r="119" ht="22.5" customHeight="1">
      <c r="B119" s="42" t="str">
        <f>IFERROR(__xludf.DUMMYFUNCTION("""COMPUTED_VALUE"""),"L/34/251024/1")</f>
        <v>L/34/251024/1</v>
      </c>
      <c r="C119" s="42" t="str">
        <f>IFERROR(__xludf.DUMMYFUNCTION("""COMPUTED_VALUE"""),"HGB 254/CAMPANG RAYA")</f>
        <v>HGB 254/CAMPANG RAYA</v>
      </c>
      <c r="D119" s="42" t="str">
        <f>IFERROR(__xludf.DUMMYFUNCTION("""COMPUTED_VALUE"""),"David")</f>
        <v>David</v>
      </c>
      <c r="E119" s="42" t="str">
        <f>IFERROR(__xludf.DUMMYFUNCTION("""COMPUTED_VALUE"""),"DISERAHKAN")</f>
        <v>DISERAHKAN</v>
      </c>
      <c r="F119" s="48" t="str">
        <f>IFERROR(__xludf.DUMMYFUNCTION("""COMPUTED_VALUE"""),"28/10/2024 10.12")</f>
        <v>28/10/2024 10.12</v>
      </c>
      <c r="G119" s="42" t="str">
        <f>IFERROR(__xludf.DUMMYFUNCTION("""COMPUTED_VALUE"""),"ROYA")</f>
        <v>ROYA</v>
      </c>
      <c r="H119" s="42">
        <f t="shared" si="1"/>
        <v>74</v>
      </c>
    </row>
    <row r="120" ht="22.5" customHeight="1">
      <c r="B120" s="42" t="str">
        <f>IFERROR(__xludf.DUMMYFUNCTION("""COMPUTED_VALUE"""),"K/35/251024/1")</f>
        <v>K/35/251024/1</v>
      </c>
      <c r="C120" s="42" t="str">
        <f>IFERROR(__xludf.DUMMYFUNCTION("""COMPUTED_VALUE"""),"M.11312/KEDAMAIAN")</f>
        <v>M.11312/KEDAMAIAN</v>
      </c>
      <c r="D120" s="42"/>
      <c r="E120" s="42"/>
      <c r="F120" s="48" t="str">
        <f>IFERROR(__xludf.DUMMYFUNCTION("""COMPUTED_VALUE"""),"")</f>
        <v/>
      </c>
      <c r="G120" s="42" t="str">
        <f>IFERROR(__xludf.DUMMYFUNCTION("""COMPUTED_VALUE"""),"SKPT")</f>
        <v>SKPT</v>
      </c>
      <c r="H120" s="42">
        <f t="shared" si="1"/>
        <v>74</v>
      </c>
    </row>
    <row r="121" ht="22.5" customHeight="1">
      <c r="B121" s="42" t="str">
        <f>IFERROR(__xludf.DUMMYFUNCTION("""COMPUTED_VALUE"""),"K/36/251024/2")</f>
        <v>K/36/251024/2</v>
      </c>
      <c r="C121" s="42" t="str">
        <f>IFERROR(__xludf.DUMMYFUNCTION("""COMPUTED_VALUE"""),"M.1268/BUMI WARAS")</f>
        <v>M.1268/BUMI WARAS</v>
      </c>
      <c r="D121" s="42"/>
      <c r="E121" s="42"/>
      <c r="F121" s="48" t="str">
        <f>IFERROR(__xludf.DUMMYFUNCTION("""COMPUTED_VALUE"""),"")</f>
        <v/>
      </c>
      <c r="G121" s="42" t="str">
        <f>IFERROR(__xludf.DUMMYFUNCTION("""COMPUTED_VALUE"""),"SKPT")</f>
        <v>SKPT</v>
      </c>
      <c r="H121" s="42">
        <f t="shared" si="1"/>
        <v>74</v>
      </c>
    </row>
    <row r="122" ht="22.5" customHeight="1">
      <c r="B122" s="42" t="str">
        <f>IFERROR(__xludf.DUMMYFUNCTION("""COMPUTED_VALUE"""),"K/37/251024/1")</f>
        <v>K/37/251024/1</v>
      </c>
      <c r="C122" s="42" t="str">
        <f>IFERROR(__xludf.DUMMYFUNCTION("""COMPUTED_VALUE"""),"M. 3227/Gunung Terang")</f>
        <v>M. 3227/Gunung Terang</v>
      </c>
      <c r="D122" s="42" t="str">
        <f>IFERROR(__xludf.DUMMYFUNCTION("""COMPUTED_VALUE"""),"David")</f>
        <v>David</v>
      </c>
      <c r="E122" s="42" t="str">
        <f>IFERROR(__xludf.DUMMYFUNCTION("""COMPUTED_VALUE"""),"DISERAHKAN")</f>
        <v>DISERAHKAN</v>
      </c>
      <c r="F122" s="48" t="str">
        <f>IFERROR(__xludf.DUMMYFUNCTION("""COMPUTED_VALUE"""),"29/10/2024 10.02")</f>
        <v>29/10/2024 10.02</v>
      </c>
      <c r="G122" s="42" t="str">
        <f>IFERROR(__xludf.DUMMYFUNCTION("""COMPUTED_VALUE"""),"BN Jual Beli")</f>
        <v>BN Jual Beli</v>
      </c>
      <c r="H122" s="42">
        <f t="shared" si="1"/>
        <v>75</v>
      </c>
    </row>
    <row r="123" ht="22.5" customHeight="1">
      <c r="B123" s="42" t="str">
        <f>IFERROR(__xludf.DUMMYFUNCTION("""COMPUTED_VALUE"""),"K/46/251024/1")</f>
        <v>K/46/251024/1</v>
      </c>
      <c r="C123" s="42" t="str">
        <f>IFERROR(__xludf.DUMMYFUNCTION("""COMPUTED_VALUE"""),"M. 4231/ Rajabasa Jaya; 10134/ Rajabasa-dahulu")</f>
        <v>M. 4231/ Rajabasa Jaya; 10134/ Rajabasa-dahulu</v>
      </c>
      <c r="D123" s="42"/>
      <c r="E123" s="42"/>
      <c r="F123" s="48" t="str">
        <f>IFERROR(__xludf.DUMMYFUNCTION("""COMPUTED_VALUE"""),"")</f>
        <v/>
      </c>
      <c r="G123" s="42" t="str">
        <f>IFERROR(__xludf.DUMMYFUNCTION("""COMPUTED_VALUE"""),"SKPT Lelang")</f>
        <v>SKPT Lelang</v>
      </c>
      <c r="H123" s="42">
        <f t="shared" si="1"/>
        <v>75</v>
      </c>
    </row>
    <row r="124" ht="22.5" customHeight="1">
      <c r="B124" s="42" t="str">
        <f>IFERROR(__xludf.DUMMYFUNCTION("""COMPUTED_VALUE"""),"L/49/251024/1")</f>
        <v>L/49/251024/1</v>
      </c>
      <c r="C124" s="42" t="str">
        <f>IFERROR(__xludf.DUMMYFUNCTION("""COMPUTED_VALUE"""),"B.355 DAN B.356/LABUHAN RATU")</f>
        <v>B.355 DAN B.356/LABUHAN RATU</v>
      </c>
      <c r="D124" s="42" t="str">
        <f>IFERROR(__xludf.DUMMYFUNCTION("""COMPUTED_VALUE"""),"David")</f>
        <v>David</v>
      </c>
      <c r="E124" s="42" t="str">
        <f>IFERROR(__xludf.DUMMYFUNCTION("""COMPUTED_VALUE"""),"DISERAHKAN")</f>
        <v>DISERAHKAN</v>
      </c>
      <c r="F124" s="48" t="str">
        <f>IFERROR(__xludf.DUMMYFUNCTION("""COMPUTED_VALUE"""),"28/10/2024 10.14")</f>
        <v>28/10/2024 10.14</v>
      </c>
      <c r="G124" s="42" t="str">
        <f>IFERROR(__xludf.DUMMYFUNCTION("""COMPUTED_VALUE"""),"ROYA")</f>
        <v>ROYA</v>
      </c>
      <c r="H124" s="42">
        <f t="shared" si="1"/>
        <v>76</v>
      </c>
    </row>
    <row r="125" ht="22.5" customHeight="1">
      <c r="B125" s="42" t="str">
        <f>IFERROR(__xludf.DUMMYFUNCTION("""COMPUTED_VALUE"""),"K/47/251024/2")</f>
        <v>K/47/251024/2</v>
      </c>
      <c r="C125" s="42" t="str">
        <f>IFERROR(__xludf.DUMMYFUNCTION("""COMPUTED_VALUE"""),"M. 3605/ Rajabasa Jaya; M. 10913/ Rajabasa")</f>
        <v>M. 3605/ Rajabasa Jaya; M. 10913/ Rajabasa</v>
      </c>
      <c r="D125" s="42"/>
      <c r="E125" s="42"/>
      <c r="F125" s="48" t="str">
        <f>IFERROR(__xludf.DUMMYFUNCTION("""COMPUTED_VALUE"""),"")</f>
        <v/>
      </c>
      <c r="G125" s="42" t="str">
        <f>IFERROR(__xludf.DUMMYFUNCTION("""COMPUTED_VALUE"""),"SKPT Lelang")</f>
        <v>SKPT Lelang</v>
      </c>
      <c r="H125" s="42">
        <f t="shared" si="1"/>
        <v>76</v>
      </c>
    </row>
    <row r="126" ht="22.5" customHeight="1">
      <c r="B126" s="42" t="str">
        <f>IFERROR(__xludf.DUMMYFUNCTION("""COMPUTED_VALUE"""),"K/54/251024/1")</f>
        <v>K/54/251024/1</v>
      </c>
      <c r="C126" s="42" t="str">
        <f>IFERROR(__xludf.DUMMYFUNCTION("""COMPUTED_VALUE"""),"M.1393/SUKAJAWA")</f>
        <v>M.1393/SUKAJAWA</v>
      </c>
      <c r="D126" s="42"/>
      <c r="E126" s="42"/>
      <c r="F126" s="48" t="str">
        <f>IFERROR(__xludf.DUMMYFUNCTION("""COMPUTED_VALUE"""),"")</f>
        <v/>
      </c>
      <c r="G126" s="42" t="str">
        <f>IFERROR(__xludf.DUMMYFUNCTION("""COMPUTED_VALUE"""),"SITA")</f>
        <v>SITA</v>
      </c>
      <c r="H126" s="42">
        <f t="shared" si="1"/>
        <v>76</v>
      </c>
    </row>
    <row r="127" ht="22.5" customHeight="1">
      <c r="B127" s="42" t="str">
        <f>IFERROR(__xludf.DUMMYFUNCTION("""COMPUTED_VALUE"""),"K/55/251024/2")</f>
        <v>K/55/251024/2</v>
      </c>
      <c r="C127" s="42" t="str">
        <f>IFERROR(__xludf.DUMMYFUNCTION("""COMPUTED_VALUE"""),"M.1741/SUKAJAWA")</f>
        <v>M.1741/SUKAJAWA</v>
      </c>
      <c r="D127" s="42"/>
      <c r="E127" s="42"/>
      <c r="F127" s="48" t="str">
        <f>IFERROR(__xludf.DUMMYFUNCTION("""COMPUTED_VALUE"""),"")</f>
        <v/>
      </c>
      <c r="G127" s="42" t="str">
        <f>IFERROR(__xludf.DUMMYFUNCTION("""COMPUTED_VALUE"""),"SITA")</f>
        <v>SITA</v>
      </c>
      <c r="H127" s="42">
        <f t="shared" si="1"/>
        <v>76</v>
      </c>
    </row>
    <row r="128" ht="22.5" customHeight="1">
      <c r="B128" s="42" t="str">
        <f>IFERROR(__xludf.DUMMYFUNCTION("""COMPUTED_VALUE"""),"L/26/251024/1")</f>
        <v>L/26/251024/1</v>
      </c>
      <c r="C128" s="42" t="str">
        <f>IFERROR(__xludf.DUMMYFUNCTION("""COMPUTED_VALUE"""),"M.15567/S I")</f>
        <v>M.15567/S I</v>
      </c>
      <c r="D128" s="42" t="str">
        <f>IFERROR(__xludf.DUMMYFUNCTION("""COMPUTED_VALUE"""),"David")</f>
        <v>David</v>
      </c>
      <c r="E128" s="42" t="str">
        <f>IFERROR(__xludf.DUMMYFUNCTION("""COMPUTED_VALUE"""),"DISERAHKAN")</f>
        <v>DISERAHKAN</v>
      </c>
      <c r="F128" s="48" t="str">
        <f>IFERROR(__xludf.DUMMYFUNCTION("""COMPUTED_VALUE"""),"29/10/2024 09.47")</f>
        <v>29/10/2024 09.47</v>
      </c>
      <c r="G128" s="42" t="str">
        <f>IFERROR(__xludf.DUMMYFUNCTION("""COMPUTED_VALUE"""),"ROYA")</f>
        <v>ROYA</v>
      </c>
      <c r="H128" s="42">
        <f t="shared" si="1"/>
        <v>77</v>
      </c>
    </row>
    <row r="129" ht="22.5" customHeight="1">
      <c r="B129" s="42" t="str">
        <f>IFERROR(__xludf.DUMMYFUNCTION("""COMPUTED_VALUE"""),"L/1/261024/1")</f>
        <v>L/1/261024/1</v>
      </c>
      <c r="C129" s="42" t="str">
        <f>IFERROR(__xludf.DUMMYFUNCTION("""COMPUTED_VALUE"""),"HGB 208/PWK")</f>
        <v>HGB 208/PWK</v>
      </c>
      <c r="D129" s="42" t="str">
        <f>IFERROR(__xludf.DUMMYFUNCTION("""COMPUTED_VALUE"""),"David")</f>
        <v>David</v>
      </c>
      <c r="E129" s="42" t="str">
        <f>IFERROR(__xludf.DUMMYFUNCTION("""COMPUTED_VALUE"""),"DISERAHKAN")</f>
        <v>DISERAHKAN</v>
      </c>
      <c r="F129" s="48" t="str">
        <f>IFERROR(__xludf.DUMMYFUNCTION("""COMPUTED_VALUE"""),"29/10/2024 09.47")</f>
        <v>29/10/2024 09.47</v>
      </c>
      <c r="G129" s="42" t="str">
        <f>IFERROR(__xludf.DUMMYFUNCTION("""COMPUTED_VALUE"""),"ROYA")</f>
        <v>ROYA</v>
      </c>
      <c r="H129" s="42">
        <f t="shared" si="1"/>
        <v>78</v>
      </c>
    </row>
    <row r="130" ht="22.5" customHeight="1">
      <c r="B130" s="42" t="str">
        <f>IFERROR(__xludf.DUMMYFUNCTION("""COMPUTED_VALUE"""),"K/1/281024/1")</f>
        <v>K/1/281024/1</v>
      </c>
      <c r="C130" s="42" t="str">
        <f>IFERROR(__xludf.DUMMYFUNCTION("""COMPUTED_VALUE"""),"B. 770/ SUMUR PUTRI")</f>
        <v>B. 770/ SUMUR PUTRI</v>
      </c>
      <c r="D130" s="42" t="str">
        <f>IFERROR(__xludf.DUMMYFUNCTION("""COMPUTED_VALUE"""),"David")</f>
        <v>David</v>
      </c>
      <c r="E130" s="42" t="str">
        <f>IFERROR(__xludf.DUMMYFUNCTION("""COMPUTED_VALUE"""),"PROSES")</f>
        <v>PROSES</v>
      </c>
      <c r="F130" s="48" t="str">
        <f>IFERROR(__xludf.DUMMYFUNCTION("""COMPUTED_VALUE"""),"")</f>
        <v/>
      </c>
      <c r="G130" s="42" t="str">
        <f>IFERROR(__xludf.DUMMYFUNCTION("""COMPUTED_VALUE"""),"BN JUAL BELI")</f>
        <v>BN JUAL BELI</v>
      </c>
      <c r="H130" s="42">
        <f t="shared" si="1"/>
        <v>78</v>
      </c>
    </row>
    <row r="131" ht="22.5" customHeight="1">
      <c r="B131" s="42" t="str">
        <f>IFERROR(__xludf.DUMMYFUNCTION("""COMPUTED_VALUE"""),"L/2/281024/1")</f>
        <v>L/2/281024/1</v>
      </c>
      <c r="C131" s="42" t="str">
        <f>IFERROR(__xludf.DUMMYFUNCTION("""COMPUTED_VALUE"""),"TANJUNG AGUNG")</f>
        <v>TANJUNG AGUNG</v>
      </c>
      <c r="D131" s="42"/>
      <c r="E131" s="42"/>
      <c r="F131" s="48" t="str">
        <f>IFERROR(__xludf.DUMMYFUNCTION("""COMPUTED_VALUE"""),"")</f>
        <v/>
      </c>
      <c r="G131" s="42" t="str">
        <f>IFERROR(__xludf.DUMMYFUNCTION("""COMPUTED_VALUE"""),"PERTAMA KALI")</f>
        <v>PERTAMA KALI</v>
      </c>
      <c r="H131" s="42">
        <f t="shared" si="1"/>
        <v>78</v>
      </c>
    </row>
    <row r="132" ht="22.5" customHeight="1">
      <c r="B132" s="42" t="str">
        <f>IFERROR(__xludf.DUMMYFUNCTION("""COMPUTED_VALUE"""),"L/6/281024/1")</f>
        <v>L/6/281024/1</v>
      </c>
      <c r="C132" s="42" t="str">
        <f>IFERROR(__xludf.DUMMYFUNCTION("""COMPUTED_VALUE"""),"HM 8198/SUKABUMI")</f>
        <v>HM 8198/SUKABUMI</v>
      </c>
      <c r="D132" s="42" t="str">
        <f>IFERROR(__xludf.DUMMYFUNCTION("""COMPUTED_VALUE"""),"David")</f>
        <v>David</v>
      </c>
      <c r="E132" s="42" t="str">
        <f>IFERROR(__xludf.DUMMYFUNCTION("""COMPUTED_VALUE"""),"DISERAHKAN BT")</f>
        <v>DISERAHKAN BT</v>
      </c>
      <c r="F132" s="48" t="str">
        <f>IFERROR(__xludf.DUMMYFUNCTION("""COMPUTED_VALUE"""),"29/10/2024 09.49")</f>
        <v>29/10/2024 09.49</v>
      </c>
      <c r="G132" s="42" t="str">
        <f>IFERROR(__xludf.DUMMYFUNCTION("""COMPUTED_VALUE"""),"BN LELANG")</f>
        <v>BN LELANG</v>
      </c>
      <c r="H132" s="42">
        <f t="shared" si="1"/>
        <v>78</v>
      </c>
    </row>
    <row r="133" ht="22.5" customHeight="1">
      <c r="B133" s="42" t="str">
        <f>IFERROR(__xludf.DUMMYFUNCTION("""COMPUTED_VALUE"""),"K/7/281024/1")</f>
        <v>K/7/281024/1</v>
      </c>
      <c r="C133" s="42" t="str">
        <f>IFERROR(__xludf.DUMMYFUNCTION("""COMPUTED_VALUE"""),"Nibel. M. 1226/ Gulak Galik")</f>
        <v>Nibel. M. 1226/ Gulak Galik</v>
      </c>
      <c r="D133" s="42"/>
      <c r="E133" s="42"/>
      <c r="F133" s="48" t="str">
        <f>IFERROR(__xludf.DUMMYFUNCTION("""COMPUTED_VALUE"""),"")</f>
        <v/>
      </c>
      <c r="G133" s="42" t="str">
        <f>IFERROR(__xludf.DUMMYFUNCTION("""COMPUTED_VALUE"""),"BN Hibah")</f>
        <v>BN Hibah</v>
      </c>
      <c r="H133" s="42">
        <f t="shared" si="1"/>
        <v>78</v>
      </c>
    </row>
    <row r="134" ht="22.5" customHeight="1">
      <c r="B134" s="42" t="str">
        <f>IFERROR(__xludf.DUMMYFUNCTION("""COMPUTED_VALUE"""),"K/13/281024/1")</f>
        <v>K/13/281024/1</v>
      </c>
      <c r="C134" s="42" t="str">
        <f>IFERROR(__xludf.DUMMYFUNCTION("""COMPUTED_VALUE"""),"M. 1317/ Kupang Teba")</f>
        <v>M. 1317/ Kupang Teba</v>
      </c>
      <c r="D134" s="42" t="str">
        <f>IFERROR(__xludf.DUMMYFUNCTION("""COMPUTED_VALUE"""),"David")</f>
        <v>David</v>
      </c>
      <c r="E134" s="42" t="str">
        <f>IFERROR(__xludf.DUMMYFUNCTION("""COMPUTED_VALUE"""),"DISERAHKAN")</f>
        <v>DISERAHKAN</v>
      </c>
      <c r="F134" s="48" t="str">
        <f>IFERROR(__xludf.DUMMYFUNCTION("""COMPUTED_VALUE"""),"29/10/2024 09.52")</f>
        <v>29/10/2024 09.52</v>
      </c>
      <c r="G134" s="42" t="str">
        <f>IFERROR(__xludf.DUMMYFUNCTION("""COMPUTED_VALUE"""),"Roya")</f>
        <v>Roya</v>
      </c>
      <c r="H134" s="42">
        <f t="shared" si="1"/>
        <v>79</v>
      </c>
    </row>
    <row r="135" ht="22.5" customHeight="1">
      <c r="B135" s="42" t="str">
        <f>IFERROR(__xludf.DUMMYFUNCTION("""COMPUTED_VALUE"""),"K/15/281024/1")</f>
        <v>K/15/281024/1</v>
      </c>
      <c r="C135" s="42" t="str">
        <f>IFERROR(__xludf.DUMMYFUNCTION("""COMPUTED_VALUE"""),"Nibel 2342/ Sumur Putri")</f>
        <v>Nibel 2342/ Sumur Putri</v>
      </c>
      <c r="D135" s="42" t="str">
        <f>IFERROR(__xludf.DUMMYFUNCTION("""COMPUTED_VALUE"""),"David")</f>
        <v>David</v>
      </c>
      <c r="E135" s="42" t="str">
        <f>IFERROR(__xludf.DUMMYFUNCTION("""COMPUTED_VALUE"""),"DISERAHKAN")</f>
        <v>DISERAHKAN</v>
      </c>
      <c r="F135" s="48" t="str">
        <f>IFERROR(__xludf.DUMMYFUNCTION("""COMPUTED_VALUE"""),"29/10/2024 09.53")</f>
        <v>29/10/2024 09.53</v>
      </c>
      <c r="G135" s="42" t="str">
        <f>IFERROR(__xludf.DUMMYFUNCTION("""COMPUTED_VALUE"""),"Perubahan Hak")</f>
        <v>Perubahan Hak</v>
      </c>
      <c r="H135" s="42">
        <f t="shared" si="1"/>
        <v>80</v>
      </c>
    </row>
    <row r="136" ht="22.5" customHeight="1">
      <c r="B136" s="42" t="str">
        <f>IFERROR(__xludf.DUMMYFUNCTION("""COMPUTED_VALUE"""),"L/16/281024/1")</f>
        <v>L/16/281024/1</v>
      </c>
      <c r="C136" s="42" t="str">
        <f>IFERROR(__xludf.DUMMYFUNCTION("""COMPUTED_VALUE"""),"M.739/NOG")</f>
        <v>M.739/NOG</v>
      </c>
      <c r="D136" s="42" t="str">
        <f>IFERROR(__xludf.DUMMYFUNCTION("""COMPUTED_VALUE"""),"David")</f>
        <v>David</v>
      </c>
      <c r="E136" s="42" t="str">
        <f>IFERROR(__xludf.DUMMYFUNCTION("""COMPUTED_VALUE"""),"DISERAHKAN")</f>
        <v>DISERAHKAN</v>
      </c>
      <c r="F136" s="48" t="str">
        <f>IFERROR(__xludf.DUMMYFUNCTION("""COMPUTED_VALUE"""),"29/10/2024 09.52")</f>
        <v>29/10/2024 09.52</v>
      </c>
      <c r="G136" s="42" t="str">
        <f>IFERROR(__xludf.DUMMYFUNCTION("""COMPUTED_VALUE"""),"ROYA")</f>
        <v>ROYA</v>
      </c>
      <c r="H136" s="42">
        <f t="shared" si="1"/>
        <v>81</v>
      </c>
    </row>
    <row r="137" ht="22.5" customHeight="1">
      <c r="B137" s="42" t="str">
        <f>IFERROR(__xludf.DUMMYFUNCTION("""COMPUTED_VALUE"""),"K/15/281024/1")</f>
        <v>K/15/281024/1</v>
      </c>
      <c r="C137" s="42" t="str">
        <f>IFERROR(__xludf.DUMMYFUNCTION("""COMPUTED_VALUE"""),"M. 9417/ Sidodadi")</f>
        <v>M. 9417/ Sidodadi</v>
      </c>
      <c r="D137" s="42" t="str">
        <f>IFERROR(__xludf.DUMMYFUNCTION("""COMPUTED_VALUE"""),"David")</f>
        <v>David</v>
      </c>
      <c r="E137" s="42" t="str">
        <f>IFERROR(__xludf.DUMMYFUNCTION("""COMPUTED_VALUE"""),"DISERAHKAN")</f>
        <v>DISERAHKAN</v>
      </c>
      <c r="F137" s="48" t="str">
        <f>IFERROR(__xludf.DUMMYFUNCTION("""COMPUTED_VALUE"""),"29/10/2024 09.53")</f>
        <v>29/10/2024 09.53</v>
      </c>
      <c r="G137" s="42" t="str">
        <f>IFERROR(__xludf.DUMMYFUNCTION("""COMPUTED_VALUE"""),"BN WARIS")</f>
        <v>BN WARIS</v>
      </c>
      <c r="H137" s="42">
        <f t="shared" si="1"/>
        <v>82</v>
      </c>
    </row>
    <row r="138" ht="22.5" customHeight="1">
      <c r="B138" s="42" t="str">
        <f>IFERROR(__xludf.DUMMYFUNCTION("""COMPUTED_VALUE"""),"K/19/281024/1")</f>
        <v>K/19/281024/1</v>
      </c>
      <c r="C138" s="42" t="str">
        <f>IFERROR(__xludf.DUMMYFUNCTION("""COMPUTED_VALUE"""),"M.231/CAMPANG JAYA-SEKARANG;M.231/NUSANTARA PERMAI-DAHULU")</f>
        <v>M.231/CAMPANG JAYA-SEKARANG;M.231/NUSANTARA PERMAI-DAHULU</v>
      </c>
      <c r="D138" s="42" t="str">
        <f>IFERROR(__xludf.DUMMYFUNCTION("""COMPUTED_VALUE"""),"David")</f>
        <v>David</v>
      </c>
      <c r="E138" s="42" t="str">
        <f>IFERROR(__xludf.DUMMYFUNCTION("""COMPUTED_VALUE"""),"DISERAHKAN")</f>
        <v>DISERAHKAN</v>
      </c>
      <c r="F138" s="48" t="str">
        <f>IFERROR(__xludf.DUMMYFUNCTION("""COMPUTED_VALUE"""),"29/10/2024 09.53")</f>
        <v>29/10/2024 09.53</v>
      </c>
      <c r="G138" s="42" t="str">
        <f>IFERROR(__xludf.DUMMYFUNCTION("""COMPUTED_VALUE"""),"BN JUAL BELI")</f>
        <v>BN JUAL BELI</v>
      </c>
      <c r="H138" s="42">
        <f t="shared" si="1"/>
        <v>83</v>
      </c>
    </row>
    <row r="139" ht="22.5" customHeight="1">
      <c r="B139" s="42" t="str">
        <f>IFERROR(__xludf.DUMMYFUNCTION("""COMPUTED_VALUE"""),"L/22/281024/1")</f>
        <v>L/22/281024/1</v>
      </c>
      <c r="C139" s="42" t="str">
        <f>IFERROR(__xludf.DUMMYFUNCTION("""COMPUTED_VALUE"""),"HGB 3734/BERINGIN RAYA")</f>
        <v>HGB 3734/BERINGIN RAYA</v>
      </c>
      <c r="D139" s="42" t="str">
        <f>IFERROR(__xludf.DUMMYFUNCTION("""COMPUTED_VALUE"""),"Berry")</f>
        <v>Berry</v>
      </c>
      <c r="E139" s="42" t="str">
        <f>IFERROR(__xludf.DUMMYFUNCTION("""COMPUTED_VALUE"""),"DISERAHKAN")</f>
        <v>DISERAHKAN</v>
      </c>
      <c r="F139" s="48" t="str">
        <f>IFERROR(__xludf.DUMMYFUNCTION("""COMPUTED_VALUE"""),"29/10/2024 09.55")</f>
        <v>29/10/2024 09.55</v>
      </c>
      <c r="G139" s="42" t="str">
        <f>IFERROR(__xludf.DUMMYFUNCTION("""COMPUTED_VALUE"""),"PH")</f>
        <v>PH</v>
      </c>
      <c r="H139" s="42">
        <f t="shared" si="1"/>
        <v>84</v>
      </c>
    </row>
    <row r="140" ht="22.5" customHeight="1">
      <c r="B140" s="42" t="str">
        <f>IFERROR(__xludf.DUMMYFUNCTION("""COMPUTED_VALUE"""),"K/27/281024/1")</f>
        <v>K/27/281024/1</v>
      </c>
      <c r="C140" s="42" t="str">
        <f>IFERROR(__xludf.DUMMYFUNCTION("""COMPUTED_VALUE"""),"B. 835/ Perumnas Way Kandis; B. 309/ Way Kandis")</f>
        <v>B. 835/ Perumnas Way Kandis; B. 309/ Way Kandis</v>
      </c>
      <c r="D140" s="42" t="str">
        <f>IFERROR(__xludf.DUMMYFUNCTION("""COMPUTED_VALUE"""),"Berry")</f>
        <v>Berry</v>
      </c>
      <c r="E140" s="42" t="str">
        <f>IFERROR(__xludf.DUMMYFUNCTION("""COMPUTED_VALUE"""),"DISERAHKAN")</f>
        <v>DISERAHKAN</v>
      </c>
      <c r="F140" s="48" t="str">
        <f>IFERROR(__xludf.DUMMYFUNCTION("""COMPUTED_VALUE"""),"29/10/2024 09.56")</f>
        <v>29/10/2024 09.56</v>
      </c>
      <c r="G140" s="42" t="str">
        <f>IFERROR(__xludf.DUMMYFUNCTION("""COMPUTED_VALUE"""),"Perubahan Hak")</f>
        <v>Perubahan Hak</v>
      </c>
      <c r="H140" s="42">
        <f t="shared" si="1"/>
        <v>85</v>
      </c>
    </row>
    <row r="141" ht="22.5" customHeight="1">
      <c r="B141" s="42" t="str">
        <f>IFERROR(__xludf.DUMMYFUNCTION("""COMPUTED_VALUE"""),"L/31/281024/1")</f>
        <v>L/31/281024/1</v>
      </c>
      <c r="C141" s="42" t="str">
        <f>IFERROR(__xludf.DUMMYFUNCTION("""COMPUTED_VALUE"""),"M.2112 SUMBEREJO/KEMILING")</f>
        <v>M.2112 SUMBEREJO/KEMILING</v>
      </c>
      <c r="D141" s="42" t="str">
        <f>IFERROR(__xludf.DUMMYFUNCTION("""COMPUTED_VALUE"""),"Berry")</f>
        <v>Berry</v>
      </c>
      <c r="E141" s="42" t="str">
        <f>IFERROR(__xludf.DUMMYFUNCTION("""COMPUTED_VALUE"""),"DISERAHKAN")</f>
        <v>DISERAHKAN</v>
      </c>
      <c r="F141" s="48" t="str">
        <f>IFERROR(__xludf.DUMMYFUNCTION("""COMPUTED_VALUE"""),"29/10/2024 09.56")</f>
        <v>29/10/2024 09.56</v>
      </c>
      <c r="G141" s="42" t="str">
        <f>IFERROR(__xludf.DUMMYFUNCTION("""COMPUTED_VALUE"""),"ROYA")</f>
        <v>ROYA</v>
      </c>
      <c r="H141" s="42">
        <f t="shared" si="1"/>
        <v>86</v>
      </c>
    </row>
    <row r="142" ht="22.5" customHeight="1">
      <c r="B142" s="42" t="str">
        <f>IFERROR(__xludf.DUMMYFUNCTION("""COMPUTED_VALUE"""),"L/32/281024/1")</f>
        <v>L/32/281024/1</v>
      </c>
      <c r="C142" s="42" t="str">
        <f>IFERROR(__xludf.DUMMYFUNCTION("""COMPUTED_VALUE"""),"B.244/LRR;B.28/LR-DAHULU")</f>
        <v>B.244/LRR;B.28/LR-DAHULU</v>
      </c>
      <c r="D142" s="42" t="str">
        <f>IFERROR(__xludf.DUMMYFUNCTION("""COMPUTED_VALUE"""),"Berry")</f>
        <v>Berry</v>
      </c>
      <c r="E142" s="42" t="str">
        <f>IFERROR(__xludf.DUMMYFUNCTION("""COMPUTED_VALUE"""),"DISERAHKAN BT")</f>
        <v>DISERAHKAN BT</v>
      </c>
      <c r="F142" s="48" t="str">
        <f>IFERROR(__xludf.DUMMYFUNCTION("""COMPUTED_VALUE"""),"29/10/2024 09.57")</f>
        <v>29/10/2024 09.57</v>
      </c>
      <c r="G142" s="42" t="str">
        <f>IFERROR(__xludf.DUMMYFUNCTION("""COMPUTED_VALUE"""),"PERUBAHAN HAK")</f>
        <v>PERUBAHAN HAK</v>
      </c>
      <c r="H142" s="42">
        <f t="shared" si="1"/>
        <v>86</v>
      </c>
    </row>
    <row r="143" ht="22.5" customHeight="1">
      <c r="B143" s="42" t="str">
        <f>IFERROR(__xludf.DUMMYFUNCTION("""COMPUTED_VALUE"""),"L/33/281024/2")</f>
        <v>L/33/281024/2</v>
      </c>
      <c r="C143" s="42" t="str">
        <f>IFERROR(__xludf.DUMMYFUNCTION("""COMPUTED_VALUE"""),"B.161/LRR;B.161/LR-DAHULU")</f>
        <v>B.161/LRR;B.161/LR-DAHULU</v>
      </c>
      <c r="D143" s="42" t="str">
        <f>IFERROR(__xludf.DUMMYFUNCTION("""COMPUTED_VALUE"""),"Berry")</f>
        <v>Berry</v>
      </c>
      <c r="E143" s="42" t="str">
        <f>IFERROR(__xludf.DUMMYFUNCTION("""COMPUTED_VALUE"""),"DISERAHKAN")</f>
        <v>DISERAHKAN</v>
      </c>
      <c r="F143" s="48" t="str">
        <f>IFERROR(__xludf.DUMMYFUNCTION("""COMPUTED_VALUE"""),"29/10/2024 09.58")</f>
        <v>29/10/2024 09.58</v>
      </c>
      <c r="G143" s="42" t="str">
        <f>IFERROR(__xludf.DUMMYFUNCTION("""COMPUTED_VALUE"""),"PERUBAHAN HAK")</f>
        <v>PERUBAHAN HAK</v>
      </c>
      <c r="H143" s="42">
        <f t="shared" si="1"/>
        <v>87</v>
      </c>
    </row>
    <row r="144" ht="22.5" customHeight="1">
      <c r="B144" s="42" t="str">
        <f>IFERROR(__xludf.DUMMYFUNCTION("""COMPUTED_VALUE"""),"L/2/291024/1")</f>
        <v>L/2/291024/1</v>
      </c>
      <c r="C144" s="42" t="str">
        <f>IFERROR(__xludf.DUMMYFUNCTION("""COMPUTED_VALUE"""),"HM 208/KUPANG RAYA")</f>
        <v>HM 208/KUPANG RAYA</v>
      </c>
      <c r="D144" s="42" t="str">
        <f>IFERROR(__xludf.DUMMYFUNCTION("""COMPUTED_VALUE"""),"David")</f>
        <v>David</v>
      </c>
      <c r="E144" s="42" t="str">
        <f>IFERROR(__xludf.DUMMYFUNCTION("""COMPUTED_VALUE"""),"DISERAHKAN")</f>
        <v>DISERAHKAN</v>
      </c>
      <c r="F144" s="48" t="str">
        <f>IFERROR(__xludf.DUMMYFUNCTION("""COMPUTED_VALUE"""),"30/10/2024 10.54")</f>
        <v>30/10/2024 10.54</v>
      </c>
      <c r="G144" s="42" t="str">
        <f>IFERROR(__xludf.DUMMYFUNCTION("""COMPUTED_VALUE"""),"ROYA")</f>
        <v>ROYA</v>
      </c>
      <c r="H144" s="42">
        <f t="shared" si="1"/>
        <v>88</v>
      </c>
    </row>
    <row r="145" ht="22.5" customHeight="1">
      <c r="B145" s="42" t="str">
        <f>IFERROR(__xludf.DUMMYFUNCTION("""COMPUTED_VALUE"""),"L/16/291024/1")</f>
        <v>L/16/291024/1</v>
      </c>
      <c r="C145" s="42" t="str">
        <f>IFERROR(__xludf.DUMMYFUNCTION("""COMPUTED_VALUE"""),"M.715/PINANG JAYA")</f>
        <v>M.715/PINANG JAYA</v>
      </c>
      <c r="D145" s="42" t="str">
        <f>IFERROR(__xludf.DUMMYFUNCTION("""COMPUTED_VALUE"""),"David")</f>
        <v>David</v>
      </c>
      <c r="E145" s="42" t="str">
        <f>IFERROR(__xludf.DUMMYFUNCTION("""COMPUTED_VALUE"""),"DISERAHKAN SU")</f>
        <v>DISERAHKAN SU</v>
      </c>
      <c r="F145" s="48" t="str">
        <f>IFERROR(__xludf.DUMMYFUNCTION("""COMPUTED_VALUE"""),"30/10/2024 11.00")</f>
        <v>30/10/2024 11.00</v>
      </c>
      <c r="G145" s="42" t="str">
        <f>IFERROR(__xludf.DUMMYFUNCTION("""COMPUTED_VALUE"""),"ROYA")</f>
        <v>ROYA</v>
      </c>
      <c r="H145" s="42">
        <f t="shared" si="1"/>
        <v>88</v>
      </c>
    </row>
    <row r="146" ht="22.5" customHeight="1">
      <c r="B146" s="42" t="str">
        <f>IFERROR(__xludf.DUMMYFUNCTION("""COMPUTED_VALUE"""),"L/23/291024/1")</f>
        <v>L/23/291024/1</v>
      </c>
      <c r="C146" s="42" t="str">
        <f>IFERROR(__xludf.DUMMYFUNCTION("""COMPUTED_VALUE"""),"M.2281/SU HAM")</f>
        <v>M.2281/SU HAM</v>
      </c>
      <c r="D146" s="42" t="str">
        <f>IFERROR(__xludf.DUMMYFUNCTION("""COMPUTED_VALUE"""),"David")</f>
        <v>David</v>
      </c>
      <c r="E146" s="42" t="str">
        <f>IFERROR(__xludf.DUMMYFUNCTION("""COMPUTED_VALUE"""),"DISERAHKAN")</f>
        <v>DISERAHKAN</v>
      </c>
      <c r="F146" s="48" t="str">
        <f>IFERROR(__xludf.DUMMYFUNCTION("""COMPUTED_VALUE"""),"30/10/2024 11.00")</f>
        <v>30/10/2024 11.00</v>
      </c>
      <c r="G146" s="42" t="str">
        <f>IFERROR(__xludf.DUMMYFUNCTION("""COMPUTED_VALUE"""),"ROYA")</f>
        <v>ROYA</v>
      </c>
      <c r="H146" s="42">
        <f t="shared" si="1"/>
        <v>89</v>
      </c>
    </row>
    <row r="147" ht="22.5" customHeight="1">
      <c r="B147" s="42" t="str">
        <f>IFERROR(__xludf.DUMMYFUNCTION("""COMPUTED_VALUE"""),"K/21/291024/1")</f>
        <v>K/21/291024/1</v>
      </c>
      <c r="C147" s="42" t="str">
        <f>IFERROR(__xludf.DUMMYFUNCTION("""COMPUTED_VALUE"""),"Nibel. B. 1478/ Kemiling Permai")</f>
        <v>Nibel. B. 1478/ Kemiling Permai</v>
      </c>
      <c r="D147" s="42"/>
      <c r="E147" s="42"/>
      <c r="F147" s="48" t="str">
        <f>IFERROR(__xludf.DUMMYFUNCTION("""COMPUTED_VALUE"""),"")</f>
        <v/>
      </c>
      <c r="G147" s="42" t="str">
        <f>IFERROR(__xludf.DUMMYFUNCTION("""COMPUTED_VALUE"""),"Perubahan Hak")</f>
        <v>Perubahan Hak</v>
      </c>
      <c r="H147" s="42">
        <f t="shared" si="1"/>
        <v>89</v>
      </c>
    </row>
    <row r="148" ht="22.5" customHeight="1">
      <c r="B148" s="42" t="str">
        <f>IFERROR(__xludf.DUMMYFUNCTION("""COMPUTED_VALUE"""),"K/24/291024/1")</f>
        <v>K/24/291024/1</v>
      </c>
      <c r="C148" s="42" t="str">
        <f>IFERROR(__xludf.DUMMYFUNCTION("""COMPUTED_VALUE"""),"B.1138/KEMILING PERMAI")</f>
        <v>B.1138/KEMILING PERMAI</v>
      </c>
      <c r="D148" s="42" t="str">
        <f>IFERROR(__xludf.DUMMYFUNCTION("""COMPUTED_VALUE"""),"David")</f>
        <v>David</v>
      </c>
      <c r="E148" s="42" t="str">
        <f>IFERROR(__xludf.DUMMYFUNCTION("""COMPUTED_VALUE"""),"DISERAHKAN")</f>
        <v>DISERAHKAN</v>
      </c>
      <c r="F148" s="48" t="str">
        <f>IFERROR(__xludf.DUMMYFUNCTION("""COMPUTED_VALUE"""),"30/10/2024 11.01")</f>
        <v>30/10/2024 11.01</v>
      </c>
      <c r="G148" s="42" t="str">
        <f>IFERROR(__xludf.DUMMYFUNCTION("""COMPUTED_VALUE"""),"BN JUAL BELI")</f>
        <v>BN JUAL BELI</v>
      </c>
      <c r="H148" s="42">
        <f t="shared" si="1"/>
        <v>90</v>
      </c>
    </row>
    <row r="149" ht="22.5" customHeight="1">
      <c r="B149" s="42" t="str">
        <f>IFERROR(__xludf.DUMMYFUNCTION("""COMPUTED_VALUE"""),"K/26/291024/1")</f>
        <v>K/26/291024/1</v>
      </c>
      <c r="C149" s="42" t="str">
        <f>IFERROR(__xludf.DUMMYFUNCTION("""COMPUTED_VALUE"""),"M. 3082/ Labuhan Dalam")</f>
        <v>M. 3082/ Labuhan Dalam</v>
      </c>
      <c r="D149" s="42" t="str">
        <f>IFERROR(__xludf.DUMMYFUNCTION("""COMPUTED_VALUE"""),"Berry")</f>
        <v>Berry</v>
      </c>
      <c r="E149" s="42" t="str">
        <f>IFERROR(__xludf.DUMMYFUNCTION("""COMPUTED_VALUE"""),"DISERAHKAN")</f>
        <v>DISERAHKAN</v>
      </c>
      <c r="F149" s="48" t="str">
        <f>IFERROR(__xludf.DUMMYFUNCTION("""COMPUTED_VALUE"""),"30/10/2024 11.02")</f>
        <v>30/10/2024 11.02</v>
      </c>
      <c r="G149" s="42" t="str">
        <f>IFERROR(__xludf.DUMMYFUNCTION("""COMPUTED_VALUE"""),"BN Jual Beli")</f>
        <v>BN Jual Beli</v>
      </c>
      <c r="H149" s="42">
        <f t="shared" si="1"/>
        <v>91</v>
      </c>
    </row>
    <row r="150" ht="22.5" customHeight="1">
      <c r="B150" s="42" t="str">
        <f>IFERROR(__xludf.DUMMYFUNCTION("""COMPUTED_VALUE"""),"L/27/291024/1")</f>
        <v>L/27/291024/1</v>
      </c>
      <c r="C150" s="42" t="str">
        <f>IFERROR(__xludf.DUMMYFUNCTION("""COMPUTED_VALUE"""),"HM 1472/DURIAN PAYUNG")</f>
        <v>HM 1472/DURIAN PAYUNG</v>
      </c>
      <c r="D150" s="42" t="str">
        <f>IFERROR(__xludf.DUMMYFUNCTION("""COMPUTED_VALUE"""),"Berry")</f>
        <v>Berry</v>
      </c>
      <c r="E150" s="42" t="str">
        <f>IFERROR(__xludf.DUMMYFUNCTION("""COMPUTED_VALUE"""),"DISERAHKAN")</f>
        <v>DISERAHKAN</v>
      </c>
      <c r="F150" s="48" t="str">
        <f>IFERROR(__xludf.DUMMYFUNCTION("""COMPUTED_VALUE"""),"30/10/2024 11.03")</f>
        <v>30/10/2024 11.03</v>
      </c>
      <c r="G150" s="42" t="str">
        <f>IFERROR(__xludf.DUMMYFUNCTION("""COMPUTED_VALUE"""),"ROYA")</f>
        <v>ROYA</v>
      </c>
      <c r="H150" s="42">
        <f t="shared" si="1"/>
        <v>92</v>
      </c>
    </row>
    <row r="151" ht="22.5" customHeight="1">
      <c r="B151" s="42" t="str">
        <f>IFERROR(__xludf.DUMMYFUNCTION("""COMPUTED_VALUE"""),"L/28/291024/1")</f>
        <v>L/28/291024/1</v>
      </c>
      <c r="C151" s="42" t="str">
        <f>IFERROR(__xludf.DUMMYFUNCTION("""COMPUTED_VALUE"""),"M.13498/SUKABUMI;B.2732/SUKABUMI-DAHULU")</f>
        <v>M.13498/SUKABUMI;B.2732/SUKABUMI-DAHULU</v>
      </c>
      <c r="D151" s="42" t="str">
        <f>IFERROR(__xludf.DUMMYFUNCTION("""COMPUTED_VALUE"""),"Berry")</f>
        <v>Berry</v>
      </c>
      <c r="E151" s="42" t="str">
        <f>IFERROR(__xludf.DUMMYFUNCTION("""COMPUTED_VALUE"""),"DISERAHKAN")</f>
        <v>DISERAHKAN</v>
      </c>
      <c r="F151" s="48">
        <f>IFERROR(__xludf.DUMMYFUNCTION("""COMPUTED_VALUE"""),45691.62656108796)</f>
        <v>45691.62656</v>
      </c>
      <c r="G151" s="42" t="str">
        <f>IFERROR(__xludf.DUMMYFUNCTION("""COMPUTED_VALUE"""),"ROYA")</f>
        <v>ROYA</v>
      </c>
      <c r="H151" s="42">
        <f t="shared" si="1"/>
        <v>93</v>
      </c>
    </row>
    <row r="152" ht="22.5" customHeight="1">
      <c r="B152" s="42" t="str">
        <f>IFERROR(__xludf.DUMMYFUNCTION("""COMPUTED_VALUE"""),"K/33/291024/1")</f>
        <v>K/33/291024/1</v>
      </c>
      <c r="C152" s="42" t="str">
        <f>IFERROR(__xludf.DUMMYFUNCTION("""COMPUTED_VALUE"""),"M. 1126/ Gotong Royong")</f>
        <v>M. 1126/ Gotong Royong</v>
      </c>
      <c r="D152" s="42" t="str">
        <f>IFERROR(__xludf.DUMMYFUNCTION("""COMPUTED_VALUE"""),"Berry")</f>
        <v>Berry</v>
      </c>
      <c r="E152" s="42" t="str">
        <f>IFERROR(__xludf.DUMMYFUNCTION("""COMPUTED_VALUE"""),"DISERAHKAN")</f>
        <v>DISERAHKAN</v>
      </c>
      <c r="F152" s="48" t="str">
        <f>IFERROR(__xludf.DUMMYFUNCTION("""COMPUTED_VALUE"""),"30/10/2024 11.04")</f>
        <v>30/10/2024 11.04</v>
      </c>
      <c r="G152" s="42" t="str">
        <f>IFERROR(__xludf.DUMMYFUNCTION("""COMPUTED_VALUE"""),"BN Waris")</f>
        <v>BN Waris</v>
      </c>
      <c r="H152" s="42">
        <f t="shared" si="1"/>
        <v>94</v>
      </c>
    </row>
    <row r="153" ht="22.5" customHeight="1">
      <c r="B153" s="42" t="str">
        <f>IFERROR(__xludf.DUMMYFUNCTION("""COMPUTED_VALUE"""),"K/34/291024/1")</f>
        <v>K/34/291024/1</v>
      </c>
      <c r="C153" s="42" t="str">
        <f>IFERROR(__xludf.DUMMYFUNCTION("""COMPUTED_VALUE"""),"M. 1279/ SUKAJAWA")</f>
        <v>M. 1279/ SUKAJAWA</v>
      </c>
      <c r="D153" s="42" t="str">
        <f>IFERROR(__xludf.DUMMYFUNCTION("""COMPUTED_VALUE"""),"Berry")</f>
        <v>Berry</v>
      </c>
      <c r="E153" s="42" t="str">
        <f>IFERROR(__xludf.DUMMYFUNCTION("""COMPUTED_VALUE"""),"DISERAHKAN")</f>
        <v>DISERAHKAN</v>
      </c>
      <c r="F153" s="48" t="str">
        <f>IFERROR(__xludf.DUMMYFUNCTION("""COMPUTED_VALUE"""),"30/10/2024 11.04")</f>
        <v>30/10/2024 11.04</v>
      </c>
      <c r="G153" s="42" t="str">
        <f>IFERROR(__xludf.DUMMYFUNCTION("""COMPUTED_VALUE"""),"ROYA")</f>
        <v>ROYA</v>
      </c>
      <c r="H153" s="42">
        <f t="shared" si="1"/>
        <v>95</v>
      </c>
    </row>
    <row r="154" ht="22.5" customHeight="1">
      <c r="B154" s="42" t="str">
        <f>IFERROR(__xludf.DUMMYFUNCTION("""COMPUTED_VALUE"""),"L/38/291024/1")</f>
        <v>L/38/291024/1</v>
      </c>
      <c r="C154" s="42" t="str">
        <f>IFERROR(__xludf.DUMMYFUNCTION("""COMPUTED_VALUE"""),"HM 29/RAJABASA NUNYAI")</f>
        <v>HM 29/RAJABASA NUNYAI</v>
      </c>
      <c r="D154" s="42" t="str">
        <f>IFERROR(__xludf.DUMMYFUNCTION("""COMPUTED_VALUE"""),"Berry")</f>
        <v>Berry</v>
      </c>
      <c r="E154" s="42" t="str">
        <f>IFERROR(__xludf.DUMMYFUNCTION("""COMPUTED_VALUE"""),"DISERAHKAN")</f>
        <v>DISERAHKAN</v>
      </c>
      <c r="F154" s="48" t="str">
        <f>IFERROR(__xludf.DUMMYFUNCTION("""COMPUTED_VALUE"""),"30/10/2024 11.05")</f>
        <v>30/10/2024 11.05</v>
      </c>
      <c r="G154" s="42" t="str">
        <f>IFERROR(__xludf.DUMMYFUNCTION("""COMPUTED_VALUE"""),"ROYA")</f>
        <v>ROYA</v>
      </c>
      <c r="H154" s="42">
        <f t="shared" si="1"/>
        <v>96</v>
      </c>
    </row>
    <row r="155" ht="22.5" customHeight="1">
      <c r="B155" s="42" t="str">
        <f>IFERROR(__xludf.DUMMYFUNCTION("""COMPUTED_VALUE"""),"K/42/291024/4")</f>
        <v>K/42/291024/4</v>
      </c>
      <c r="C155" s="42" t="str">
        <f>IFERROR(__xludf.DUMMYFUNCTION("""COMPUTED_VALUE"""),"M.600/RAJABASA NUNYAI")</f>
        <v>M.600/RAJABASA NUNYAI</v>
      </c>
      <c r="D155" s="42" t="str">
        <f>IFERROR(__xludf.DUMMYFUNCTION("""COMPUTED_VALUE"""),"Berry")</f>
        <v>Berry</v>
      </c>
      <c r="E155" s="42" t="str">
        <f>IFERROR(__xludf.DUMMYFUNCTION("""COMPUTED_VALUE"""),"DISERAHKAN")</f>
        <v>DISERAHKAN</v>
      </c>
      <c r="F155" s="48" t="str">
        <f>IFERROR(__xludf.DUMMYFUNCTION("""COMPUTED_VALUE"""),"30/10/2024 11.06")</f>
        <v>30/10/2024 11.06</v>
      </c>
      <c r="G155" s="42" t="str">
        <f>IFERROR(__xludf.DUMMYFUNCTION("""COMPUTED_VALUE"""),"BN LELANG")</f>
        <v>BN LELANG</v>
      </c>
      <c r="H155" s="42">
        <f t="shared" si="1"/>
        <v>97</v>
      </c>
    </row>
    <row r="156" ht="22.5" customHeight="1">
      <c r="B156" s="42" t="str">
        <f>IFERROR(__xludf.DUMMYFUNCTION("""COMPUTED_VALUE"""),"L/48/291024/1")</f>
        <v>L/48/291024/1</v>
      </c>
      <c r="C156" s="42" t="str">
        <f>IFERROR(__xludf.DUMMYFUNCTION("""COMPUTED_VALUE"""),"HM 2643/GUNUNG TERANG")</f>
        <v>HM 2643/GUNUNG TERANG</v>
      </c>
      <c r="D156" s="42" t="str">
        <f>IFERROR(__xludf.DUMMYFUNCTION("""COMPUTED_VALUE"""),"Berry")</f>
        <v>Berry</v>
      </c>
      <c r="E156" s="42" t="str">
        <f>IFERROR(__xludf.DUMMYFUNCTION("""COMPUTED_VALUE"""),"DISERAHKAN")</f>
        <v>DISERAHKAN</v>
      </c>
      <c r="F156" s="48" t="str">
        <f>IFERROR(__xludf.DUMMYFUNCTION("""COMPUTED_VALUE"""),"30/10/2024 11.06")</f>
        <v>30/10/2024 11.06</v>
      </c>
      <c r="G156" s="42" t="str">
        <f>IFERROR(__xludf.DUMMYFUNCTION("""COMPUTED_VALUE"""),"ROYA")</f>
        <v>ROYA</v>
      </c>
      <c r="H156" s="42">
        <f t="shared" si="1"/>
        <v>98</v>
      </c>
    </row>
    <row r="157" ht="22.5" customHeight="1">
      <c r="B157" s="42" t="str">
        <f>IFERROR(__xludf.DUMMYFUNCTION("""COMPUTED_VALUE"""),"L/1/301024/1")</f>
        <v>L/1/301024/1</v>
      </c>
      <c r="C157" s="42" t="str">
        <f>IFERROR(__xludf.DUMMYFUNCTION("""COMPUTED_VALUE"""),"HM 2509/WAY KANDIS")</f>
        <v>HM 2509/WAY KANDIS</v>
      </c>
      <c r="D157" s="42" t="str">
        <f>IFERROR(__xludf.DUMMYFUNCTION("""COMPUTED_VALUE"""),"David")</f>
        <v>David</v>
      </c>
      <c r="E157" s="42" t="str">
        <f>IFERROR(__xludf.DUMMYFUNCTION("""COMPUTED_VALUE"""),"DISERAHKAN")</f>
        <v>DISERAHKAN</v>
      </c>
      <c r="F157" s="48" t="str">
        <f>IFERROR(__xludf.DUMMYFUNCTION("""COMPUTED_VALUE"""),"31/10/2024 09.37")</f>
        <v>31/10/2024 09.37</v>
      </c>
      <c r="G157" s="42" t="str">
        <f>IFERROR(__xludf.DUMMYFUNCTION("""COMPUTED_VALUE"""),"ROYA")</f>
        <v>ROYA</v>
      </c>
      <c r="H157" s="42">
        <f t="shared" si="1"/>
        <v>99</v>
      </c>
    </row>
    <row r="158" ht="22.5" customHeight="1">
      <c r="B158" s="42" t="str">
        <f>IFERROR(__xludf.DUMMYFUNCTION("""COMPUTED_VALUE"""),"L/1/301024/2")</f>
        <v>L/1/301024/2</v>
      </c>
      <c r="C158" s="42" t="str">
        <f>IFERROR(__xludf.DUMMYFUNCTION("""COMPUTED_VALUE"""),"HM 2000/WAY KANDIS")</f>
        <v>HM 2000/WAY KANDIS</v>
      </c>
      <c r="D158" s="42" t="str">
        <f>IFERROR(__xludf.DUMMYFUNCTION("""COMPUTED_VALUE"""),"David")</f>
        <v>David</v>
      </c>
      <c r="E158" s="42" t="str">
        <f>IFERROR(__xludf.DUMMYFUNCTION("""COMPUTED_VALUE"""),"DISERAHKAN")</f>
        <v>DISERAHKAN</v>
      </c>
      <c r="F158" s="48" t="str">
        <f>IFERROR(__xludf.DUMMYFUNCTION("""COMPUTED_VALUE"""),"31/10/2024 09.37")</f>
        <v>31/10/2024 09.37</v>
      </c>
      <c r="G158" s="42" t="str">
        <f>IFERROR(__xludf.DUMMYFUNCTION("""COMPUTED_VALUE"""),"ROYA")</f>
        <v>ROYA</v>
      </c>
      <c r="H158" s="42">
        <f t="shared" si="1"/>
        <v>100</v>
      </c>
    </row>
    <row r="159" ht="22.5" customHeight="1">
      <c r="B159" s="42" t="str">
        <f>IFERROR(__xludf.DUMMYFUNCTION("""COMPUTED_VALUE"""),"L/6/301024/1")</f>
        <v>L/6/301024/1</v>
      </c>
      <c r="C159" s="42" t="str">
        <f>IFERROR(__xludf.DUMMYFUNCTION("""COMPUTED_VALUE"""),"M.217/TJ RAYA")</f>
        <v>M.217/TJ RAYA</v>
      </c>
      <c r="D159" s="42" t="str">
        <f>IFERROR(__xludf.DUMMYFUNCTION("""COMPUTED_VALUE"""),"David")</f>
        <v>David</v>
      </c>
      <c r="E159" s="42" t="str">
        <f>IFERROR(__xludf.DUMMYFUNCTION("""COMPUTED_VALUE"""),"DISERAHKAN")</f>
        <v>DISERAHKAN</v>
      </c>
      <c r="F159" s="48" t="str">
        <f>IFERROR(__xludf.DUMMYFUNCTION("""COMPUTED_VALUE"""),"31/10/2024 09.39")</f>
        <v>31/10/2024 09.39</v>
      </c>
      <c r="G159" s="42" t="str">
        <f>IFERROR(__xludf.DUMMYFUNCTION("""COMPUTED_VALUE"""),"ROYA")</f>
        <v>ROYA</v>
      </c>
      <c r="H159" s="42">
        <f t="shared" si="1"/>
        <v>101</v>
      </c>
    </row>
    <row r="160" ht="22.5" customHeight="1">
      <c r="B160" s="42" t="str">
        <f>IFERROR(__xludf.DUMMYFUNCTION("""COMPUTED_VALUE"""),"L/15/301024/1")</f>
        <v>L/15/301024/1</v>
      </c>
      <c r="C160" s="42" t="str">
        <f>IFERROR(__xludf.DUMMYFUNCTION("""COMPUTED_VALUE"""),"HM 617/SUKARAJA")</f>
        <v>HM 617/SUKARAJA</v>
      </c>
      <c r="D160" s="42" t="str">
        <f>IFERROR(__xludf.DUMMYFUNCTION("""COMPUTED_VALUE"""),"David")</f>
        <v>David</v>
      </c>
      <c r="E160" s="42" t="str">
        <f>IFERROR(__xludf.DUMMYFUNCTION("""COMPUTED_VALUE"""),"DISERAHKAN")</f>
        <v>DISERAHKAN</v>
      </c>
      <c r="F160" s="48" t="str">
        <f>IFERROR(__xludf.DUMMYFUNCTION("""COMPUTED_VALUE"""),"31/10/2024 09.40")</f>
        <v>31/10/2024 09.40</v>
      </c>
      <c r="G160" s="42" t="str">
        <f>IFERROR(__xludf.DUMMYFUNCTION("""COMPUTED_VALUE"""),"ROYA LELANG")</f>
        <v>ROYA LELANG</v>
      </c>
      <c r="H160" s="42">
        <f t="shared" si="1"/>
        <v>102</v>
      </c>
    </row>
    <row r="161" ht="22.5" customHeight="1">
      <c r="B161" s="42" t="str">
        <f>IFERROR(__xludf.DUMMYFUNCTION("""COMPUTED_VALUE"""),"L/16/301024/1")</f>
        <v>L/16/301024/1</v>
      </c>
      <c r="C161" s="42" t="str">
        <f>IFERROR(__xludf.DUMMYFUNCTION("""COMPUTED_VALUE"""),"HM 2070/PWH")</f>
        <v>HM 2070/PWH</v>
      </c>
      <c r="D161" s="42" t="str">
        <f>IFERROR(__xludf.DUMMYFUNCTION("""COMPUTED_VALUE"""),"Berry")</f>
        <v>Berry</v>
      </c>
      <c r="E161" s="42" t="str">
        <f>IFERROR(__xludf.DUMMYFUNCTION("""COMPUTED_VALUE"""),"DISERAHKAN BT")</f>
        <v>DISERAHKAN BT</v>
      </c>
      <c r="F161" s="48" t="str">
        <f>IFERROR(__xludf.DUMMYFUNCTION("""COMPUTED_VALUE"""),"31/10/2024 09.41")</f>
        <v>31/10/2024 09.41</v>
      </c>
      <c r="G161" s="42" t="str">
        <f>IFERROR(__xludf.DUMMYFUNCTION("""COMPUTED_VALUE"""),"ROYA")</f>
        <v>ROYA</v>
      </c>
      <c r="H161" s="42">
        <f t="shared" si="1"/>
        <v>102</v>
      </c>
    </row>
    <row r="162" ht="22.5" customHeight="1">
      <c r="B162" s="42" t="str">
        <f>IFERROR(__xludf.DUMMYFUNCTION("""COMPUTED_VALUE"""),"K/18/301024/1")</f>
        <v>K/18/301024/1</v>
      </c>
      <c r="C162" s="42" t="str">
        <f>IFERROR(__xludf.DUMMYFUNCTION("""COMPUTED_VALUE"""),"M.9567/SUKABUMI")</f>
        <v>M.9567/SUKABUMI</v>
      </c>
      <c r="D162" s="42"/>
      <c r="E162" s="42" t="str">
        <f>IFERROR(__xludf.DUMMYFUNCTION("""COMPUTED_VALUE"""),"DISERAHKAN")</f>
        <v>DISERAHKAN</v>
      </c>
      <c r="F162" s="48">
        <f>IFERROR(__xludf.DUMMYFUNCTION("""COMPUTED_VALUE"""),45700.58939356482)</f>
        <v>45700.58939</v>
      </c>
      <c r="G162" s="42" t="str">
        <f>IFERROR(__xludf.DUMMYFUNCTION("""COMPUTED_VALUE"""),"TITAWATI CS/HENGKI KURNIAWAN")</f>
        <v>TITAWATI CS/HENGKI KURNIAWAN</v>
      </c>
      <c r="H162" s="42">
        <f t="shared" si="1"/>
        <v>103</v>
      </c>
    </row>
    <row r="163" ht="22.5" customHeight="1">
      <c r="B163" s="42" t="str">
        <f>IFERROR(__xludf.DUMMYFUNCTION("""COMPUTED_VALUE"""),"L/21/301024/1")</f>
        <v>L/21/301024/1</v>
      </c>
      <c r="C163" s="42" t="str">
        <f>IFERROR(__xludf.DUMMYFUNCTION("""COMPUTED_VALUE"""),"M.12717/S I")</f>
        <v>M.12717/S I</v>
      </c>
      <c r="D163" s="42"/>
      <c r="E163" s="42"/>
      <c r="F163" s="48" t="str">
        <f>IFERROR(__xludf.DUMMYFUNCTION("""COMPUTED_VALUE"""),"")</f>
        <v/>
      </c>
      <c r="G163" s="42" t="str">
        <f>IFERROR(__xludf.DUMMYFUNCTION("""COMPUTED_VALUE"""),"SKPT INFORMASI")</f>
        <v>SKPT INFORMASI</v>
      </c>
      <c r="H163" s="42">
        <f t="shared" si="1"/>
        <v>103</v>
      </c>
    </row>
    <row r="164" ht="22.5" customHeight="1">
      <c r="B164" s="42" t="str">
        <f>IFERROR(__xludf.DUMMYFUNCTION("""COMPUTED_VALUE"""),"L/22/301024/1")</f>
        <v>L/22/301024/1</v>
      </c>
      <c r="C164" s="42" t="str">
        <f>IFERROR(__xludf.DUMMYFUNCTION("""COMPUTED_VALUE"""),"HM 11867/LABUHAN RATU")</f>
        <v>HM 11867/LABUHAN RATU</v>
      </c>
      <c r="D164" s="42" t="str">
        <f>IFERROR(__xludf.DUMMYFUNCTION("""COMPUTED_VALUE"""),"Berry")</f>
        <v>Berry</v>
      </c>
      <c r="E164" s="42" t="str">
        <f>IFERROR(__xludf.DUMMYFUNCTION("""COMPUTED_VALUE"""),"DISERAHKAN")</f>
        <v>DISERAHKAN</v>
      </c>
      <c r="F164" s="48" t="str">
        <f>IFERROR(__xludf.DUMMYFUNCTION("""COMPUTED_VALUE"""),"31/10/2024 09.43")</f>
        <v>31/10/2024 09.43</v>
      </c>
      <c r="G164" s="42" t="str">
        <f>IFERROR(__xludf.DUMMYFUNCTION("""COMPUTED_VALUE"""),"ROYA")</f>
        <v>ROYA</v>
      </c>
      <c r="H164" s="42">
        <f t="shared" si="1"/>
        <v>104</v>
      </c>
    </row>
    <row r="165" ht="22.5" customHeight="1">
      <c r="B165" s="42" t="str">
        <f>IFERROR(__xludf.DUMMYFUNCTION("""COMPUTED_VALUE"""),"K/31/301024/1")</f>
        <v>K/31/301024/1</v>
      </c>
      <c r="C165" s="42" t="str">
        <f>IFERROR(__xludf.DUMMYFUNCTION("""COMPUTED_VALUE"""),"M.12541/TANJUNG BARU")</f>
        <v>M.12541/TANJUNG BARU</v>
      </c>
      <c r="D165" s="42"/>
      <c r="E165" s="42"/>
      <c r="F165" s="48" t="str">
        <f>IFERROR(__xludf.DUMMYFUNCTION("""COMPUTED_VALUE"""),"")</f>
        <v/>
      </c>
      <c r="G165" s="42" t="str">
        <f>IFERROR(__xludf.DUMMYFUNCTION("""COMPUTED_VALUE"""),"SKPT")</f>
        <v>SKPT</v>
      </c>
      <c r="H165" s="42">
        <f t="shared" si="1"/>
        <v>104</v>
      </c>
    </row>
    <row r="166" ht="22.5" customHeight="1">
      <c r="B166" s="42" t="str">
        <f>IFERROR(__xludf.DUMMYFUNCTION("""COMPUTED_VALUE"""),"K/32/301024/2")</f>
        <v>K/32/301024/2</v>
      </c>
      <c r="C166" s="42" t="str">
        <f>IFERROR(__xludf.DUMMYFUNCTION("""COMPUTED_VALUE"""),"M.9564/TANJUNG BARU")</f>
        <v>M.9564/TANJUNG BARU</v>
      </c>
      <c r="D166" s="42"/>
      <c r="E166" s="42"/>
      <c r="F166" s="48" t="str">
        <f>IFERROR(__xludf.DUMMYFUNCTION("""COMPUTED_VALUE"""),"")</f>
        <v/>
      </c>
      <c r="G166" s="42" t="str">
        <f>IFERROR(__xludf.DUMMYFUNCTION("""COMPUTED_VALUE"""),"SKPT")</f>
        <v>SKPT</v>
      </c>
      <c r="H166" s="42">
        <f t="shared" si="1"/>
        <v>104</v>
      </c>
    </row>
    <row r="167" ht="22.5" customHeight="1">
      <c r="B167" s="42" t="str">
        <f>IFERROR(__xludf.DUMMYFUNCTION("""COMPUTED_VALUE"""),"L/38/301024/1")</f>
        <v>L/38/301024/1</v>
      </c>
      <c r="C167" s="42" t="str">
        <f>IFERROR(__xludf.DUMMYFUNCTION("""COMPUTED_VALUE"""),"HM 1869/TANJUNG SENANG")</f>
        <v>HM 1869/TANJUNG SENANG</v>
      </c>
      <c r="D167" s="42" t="str">
        <f>IFERROR(__xludf.DUMMYFUNCTION("""COMPUTED_VALUE"""),"Berry")</f>
        <v>Berry</v>
      </c>
      <c r="E167" s="42" t="str">
        <f>IFERROR(__xludf.DUMMYFUNCTION("""COMPUTED_VALUE"""),"DISERAHKAN")</f>
        <v>DISERAHKAN</v>
      </c>
      <c r="F167" s="48" t="str">
        <f>IFERROR(__xludf.DUMMYFUNCTION("""COMPUTED_VALUE"""),"31/10/2024 09.46")</f>
        <v>31/10/2024 09.46</v>
      </c>
      <c r="G167" s="42" t="str">
        <f>IFERROR(__xludf.DUMMYFUNCTION("""COMPUTED_VALUE"""),"ROYA")</f>
        <v>ROYA</v>
      </c>
      <c r="H167" s="42">
        <f t="shared" si="1"/>
        <v>105</v>
      </c>
    </row>
    <row r="168" ht="22.5" customHeight="1">
      <c r="B168" s="42" t="str">
        <f>IFERROR(__xludf.DUMMYFUNCTION("""COMPUTED_VALUE"""),"L/39/301024/1")</f>
        <v>L/39/301024/1</v>
      </c>
      <c r="C168" s="42" t="str">
        <f>IFERROR(__xludf.DUMMYFUNCTION("""COMPUTED_VALUE"""),"M.11011/KEDAMAIAN- HT 5445/2014")</f>
        <v>M.11011/KEDAMAIAN- HT 5445/2014</v>
      </c>
      <c r="D168" s="42" t="str">
        <f>IFERROR(__xludf.DUMMYFUNCTION("""COMPUTED_VALUE"""),"Berry")</f>
        <v>Berry</v>
      </c>
      <c r="E168" s="42" t="str">
        <f>IFERROR(__xludf.DUMMYFUNCTION("""COMPUTED_VALUE"""),"DISERAHKAN")</f>
        <v>DISERAHKAN</v>
      </c>
      <c r="F168" s="48" t="str">
        <f>IFERROR(__xludf.DUMMYFUNCTION("""COMPUTED_VALUE"""),"31/10/2024 09.46")</f>
        <v>31/10/2024 09.46</v>
      </c>
      <c r="G168" s="42" t="str">
        <f>IFERROR(__xludf.DUMMYFUNCTION("""COMPUTED_VALUE"""),"ROYA")</f>
        <v>ROYA</v>
      </c>
      <c r="H168" s="42">
        <f t="shared" si="1"/>
        <v>106</v>
      </c>
    </row>
    <row r="169" ht="22.5" customHeight="1">
      <c r="B169" s="42" t="str">
        <f>IFERROR(__xludf.DUMMYFUNCTION("""COMPUTED_VALUE"""),"L/1/311024/1")</f>
        <v>L/1/311024/1</v>
      </c>
      <c r="C169" s="42" t="str">
        <f>IFERROR(__xludf.DUMMYFUNCTION("""COMPUTED_VALUE"""),"B.1037/CAMPANG JAYA;B.1083/CAMPANG RAYA-DAHULU")</f>
        <v>B.1037/CAMPANG JAYA;B.1083/CAMPANG RAYA-DAHULU</v>
      </c>
      <c r="D169" s="42" t="str">
        <f>IFERROR(__xludf.DUMMYFUNCTION("""COMPUTED_VALUE"""),"Berry")</f>
        <v>Berry</v>
      </c>
      <c r="E169" s="42" t="str">
        <f>IFERROR(__xludf.DUMMYFUNCTION("""COMPUTED_VALUE"""),"DISERAHKAN")</f>
        <v>DISERAHKAN</v>
      </c>
      <c r="F169" s="48" t="str">
        <f>IFERROR(__xludf.DUMMYFUNCTION("""COMPUTED_VALUE"""),"04/11/2024 09.08")</f>
        <v>04/11/2024 09.08</v>
      </c>
      <c r="G169" s="42" t="str">
        <f>IFERROR(__xludf.DUMMYFUNCTION("""COMPUTED_VALUE"""),"PERUBAHAN HAK")</f>
        <v>PERUBAHAN HAK</v>
      </c>
      <c r="H169" s="42">
        <f t="shared" si="1"/>
        <v>107</v>
      </c>
    </row>
    <row r="170" ht="22.5" customHeight="1">
      <c r="B170" s="42" t="str">
        <f>IFERROR(__xludf.DUMMYFUNCTION("""COMPUTED_VALUE"""),"K/3/311024/1")</f>
        <v>K/3/311024/1</v>
      </c>
      <c r="C170" s="42" t="str">
        <f>IFERROR(__xludf.DUMMYFUNCTION("""COMPUTED_VALUE"""),"M. 5834/ Way Kandis")</f>
        <v>M. 5834/ Way Kandis</v>
      </c>
      <c r="D170" s="42"/>
      <c r="E170" s="42"/>
      <c r="F170" s="48" t="str">
        <f>IFERROR(__xludf.DUMMYFUNCTION("""COMPUTED_VALUE"""),"")</f>
        <v/>
      </c>
      <c r="G170" s="42" t="str">
        <f>IFERROR(__xludf.DUMMYFUNCTION("""COMPUTED_VALUE"""),"HAPUS BPHTB")</f>
        <v>HAPUS BPHTB</v>
      </c>
      <c r="H170" s="42">
        <f t="shared" si="1"/>
        <v>107</v>
      </c>
    </row>
    <row r="171" ht="22.5" customHeight="1">
      <c r="B171" s="42" t="str">
        <f>IFERROR(__xludf.DUMMYFUNCTION("""COMPUTED_VALUE"""),"L/11/311024/1")</f>
        <v>L/11/311024/1</v>
      </c>
      <c r="C171" s="42" t="str">
        <f>IFERROR(__xludf.DUMMYFUNCTION("""COMPUTED_VALUE"""),"HM 1362/WHP")</f>
        <v>HM 1362/WHP</v>
      </c>
      <c r="D171" s="42" t="str">
        <f>IFERROR(__xludf.DUMMYFUNCTION("""COMPUTED_VALUE"""),"Bayu")</f>
        <v>Bayu</v>
      </c>
      <c r="E171" s="42" t="str">
        <f>IFERROR(__xludf.DUMMYFUNCTION("""COMPUTED_VALUE"""),"PROSES")</f>
        <v>PROSES</v>
      </c>
      <c r="F171" s="48" t="str">
        <f>IFERROR(__xludf.DUMMYFUNCTION("""COMPUTED_VALUE"""),"")</f>
        <v/>
      </c>
      <c r="G171" s="42" t="str">
        <f>IFERROR(__xludf.DUMMYFUNCTION("""COMPUTED_VALUE"""),"ROYA")</f>
        <v>ROYA</v>
      </c>
      <c r="H171" s="42">
        <f t="shared" si="1"/>
        <v>107</v>
      </c>
    </row>
    <row r="172" ht="22.5" customHeight="1">
      <c r="B172" s="42" t="str">
        <f>IFERROR(__xludf.DUMMYFUNCTION("""COMPUTED_VALUE"""),"L/12/311024/1")</f>
        <v>L/12/311024/1</v>
      </c>
      <c r="C172" s="42" t="str">
        <f>IFERROR(__xludf.DUMMYFUNCTION("""COMPUTED_VALUE"""),"HM 13738/SUKABUMI")</f>
        <v>HM 13738/SUKABUMI</v>
      </c>
      <c r="D172" s="42" t="str">
        <f>IFERROR(__xludf.DUMMYFUNCTION("""COMPUTED_VALUE"""),"Pras")</f>
        <v>Pras</v>
      </c>
      <c r="E172" s="42" t="str">
        <f>IFERROR(__xludf.DUMMYFUNCTION("""COMPUTED_VALUE"""),"DISERAHKAN")</f>
        <v>DISERAHKAN</v>
      </c>
      <c r="F172" s="48">
        <f>IFERROR(__xludf.DUMMYFUNCTION("""COMPUTED_VALUE"""),45758.486277407406)</f>
        <v>45758.48628</v>
      </c>
      <c r="G172" s="42" t="str">
        <f>IFERROR(__xludf.DUMMYFUNCTION("""COMPUTED_VALUE"""),"ROYA")</f>
        <v>ROYA</v>
      </c>
      <c r="H172" s="42">
        <f t="shared" si="1"/>
        <v>108</v>
      </c>
    </row>
    <row r="173" ht="22.5" customHeight="1">
      <c r="B173" s="42" t="str">
        <f>IFERROR(__xludf.DUMMYFUNCTION("""COMPUTED_VALUE"""),"L/18/311024/1")</f>
        <v>L/18/311024/1</v>
      </c>
      <c r="C173" s="42" t="str">
        <f>IFERROR(__xludf.DUMMYFUNCTION("""COMPUTED_VALUE"""),"HM 1915/GUNUNG TERANG")</f>
        <v>HM 1915/GUNUNG TERANG</v>
      </c>
      <c r="D173" s="42" t="str">
        <f>IFERROR(__xludf.DUMMYFUNCTION("""COMPUTED_VALUE"""),"Berry")</f>
        <v>Berry</v>
      </c>
      <c r="E173" s="42" t="str">
        <f>IFERROR(__xludf.DUMMYFUNCTION("""COMPUTED_VALUE"""),"DISERAHKAN")</f>
        <v>DISERAHKAN</v>
      </c>
      <c r="F173" s="48" t="str">
        <f>IFERROR(__xludf.DUMMYFUNCTION("""COMPUTED_VALUE"""),"04/11/2024 09.10")</f>
        <v>04/11/2024 09.10</v>
      </c>
      <c r="G173" s="42" t="str">
        <f>IFERROR(__xludf.DUMMYFUNCTION("""COMPUTED_VALUE"""),"ROYA")</f>
        <v>ROYA</v>
      </c>
      <c r="H173" s="42">
        <f t="shared" si="1"/>
        <v>109</v>
      </c>
    </row>
    <row r="174" ht="22.5" customHeight="1">
      <c r="B174" s="42" t="str">
        <f>IFERROR(__xludf.DUMMYFUNCTION("""COMPUTED_VALUE"""),"L/19/311024/1")</f>
        <v>L/19/311024/1</v>
      </c>
      <c r="C174" s="42" t="str">
        <f>IFERROR(__xludf.DUMMYFUNCTION("""COMPUTED_VALUE"""),"M.2510/KP;B.175/KP-DAHULU")</f>
        <v>M.2510/KP;B.175/KP-DAHULU</v>
      </c>
      <c r="D174" s="42" t="str">
        <f>IFERROR(__xludf.DUMMYFUNCTION("""COMPUTED_VALUE"""),"Berry")</f>
        <v>Berry</v>
      </c>
      <c r="E174" s="42" t="str">
        <f>IFERROR(__xludf.DUMMYFUNCTION("""COMPUTED_VALUE"""),"PROSES")</f>
        <v>PROSES</v>
      </c>
      <c r="F174" s="48" t="str">
        <f>IFERROR(__xludf.DUMMYFUNCTION("""COMPUTED_VALUE"""),"")</f>
        <v/>
      </c>
      <c r="G174" s="42" t="str">
        <f>IFERROR(__xludf.DUMMYFUNCTION("""COMPUTED_VALUE"""),"ROYA")</f>
        <v>ROYA</v>
      </c>
      <c r="H174" s="42">
        <f t="shared" si="1"/>
        <v>109</v>
      </c>
    </row>
    <row r="175" ht="22.5" customHeight="1">
      <c r="B175" s="42" t="str">
        <f>IFERROR(__xludf.DUMMYFUNCTION("""COMPUTED_VALUE"""),"K/22/311024/1")</f>
        <v>K/22/311024/1</v>
      </c>
      <c r="C175" s="42" t="str">
        <f>IFERROR(__xludf.DUMMYFUNCTION("""COMPUTED_VALUE"""),"B.698/NEGERI OLOK GADING")</f>
        <v>B.698/NEGERI OLOK GADING</v>
      </c>
      <c r="D175" s="42" t="str">
        <f>IFERROR(__xludf.DUMMYFUNCTION("""COMPUTED_VALUE"""),"Berry")</f>
        <v>Berry</v>
      </c>
      <c r="E175" s="42" t="str">
        <f>IFERROR(__xludf.DUMMYFUNCTION("""COMPUTED_VALUE"""),"DISERAHKAN")</f>
        <v>DISERAHKAN</v>
      </c>
      <c r="F175" s="48" t="str">
        <f>IFERROR(__xludf.DUMMYFUNCTION("""COMPUTED_VALUE"""),"04/11/2024 09.11")</f>
        <v>04/11/2024 09.11</v>
      </c>
      <c r="G175" s="42" t="str">
        <f>IFERROR(__xludf.DUMMYFUNCTION("""COMPUTED_VALUE"""),"PENINGKATAN")</f>
        <v>PENINGKATAN</v>
      </c>
      <c r="H175" s="42">
        <f t="shared" si="1"/>
        <v>110</v>
      </c>
    </row>
    <row r="176" ht="22.5" customHeight="1">
      <c r="B176" s="42" t="str">
        <f>IFERROR(__xludf.DUMMYFUNCTION("""COMPUTED_VALUE"""),"K/23/311024/1")</f>
        <v>K/23/311024/1</v>
      </c>
      <c r="C176" s="42" t="str">
        <f>IFERROR(__xludf.DUMMYFUNCTION("""COMPUTED_VALUE"""),"M.3135/TANJUNG SENENG")</f>
        <v>M.3135/TANJUNG SENENG</v>
      </c>
      <c r="D176" s="42" t="str">
        <f>IFERROR(__xludf.DUMMYFUNCTION("""COMPUTED_VALUE"""),"Bayu")</f>
        <v>Bayu</v>
      </c>
      <c r="E176" s="42" t="str">
        <f>IFERROR(__xludf.DUMMYFUNCTION("""COMPUTED_VALUE"""),"DISERAHKAN")</f>
        <v>DISERAHKAN</v>
      </c>
      <c r="F176" s="48" t="str">
        <f>IFERROR(__xludf.DUMMYFUNCTION("""COMPUTED_VALUE"""),"01/11/2024 15.42")</f>
        <v>01/11/2024 15.42</v>
      </c>
      <c r="G176" s="42" t="str">
        <f>IFERROR(__xludf.DUMMYFUNCTION("""COMPUTED_VALUE"""),"ROYA")</f>
        <v>ROYA</v>
      </c>
      <c r="H176" s="42">
        <f t="shared" si="1"/>
        <v>111</v>
      </c>
    </row>
    <row r="177" ht="22.5" customHeight="1">
      <c r="B177" s="42" t="str">
        <f>IFERROR(__xludf.DUMMYFUNCTION("""COMPUTED_VALUE"""),"L/26/311024/1")</f>
        <v>L/26/311024/1</v>
      </c>
      <c r="C177" s="42" t="str">
        <f>IFERROR(__xludf.DUMMYFUNCTION("""COMPUTED_VALUE"""),"HGB 138/KEMILING PERMAI")</f>
        <v>HGB 138/KEMILING PERMAI</v>
      </c>
      <c r="D177" s="42" t="str">
        <f>IFERROR(__xludf.DUMMYFUNCTION("""COMPUTED_VALUE"""),"Berry")</f>
        <v>Berry</v>
      </c>
      <c r="E177" s="42" t="str">
        <f>IFERROR(__xludf.DUMMYFUNCTION("""COMPUTED_VALUE"""),"DISERAHKAN")</f>
        <v>DISERAHKAN</v>
      </c>
      <c r="F177" s="48">
        <f>IFERROR(__xludf.DUMMYFUNCTION("""COMPUTED_VALUE"""),45687.40337518518)</f>
        <v>45687.40338</v>
      </c>
      <c r="G177" s="42" t="str">
        <f>IFERROR(__xludf.DUMMYFUNCTION("""COMPUTED_VALUE"""),"ROYA")</f>
        <v>ROYA</v>
      </c>
      <c r="H177" s="42">
        <f t="shared" si="1"/>
        <v>112</v>
      </c>
    </row>
    <row r="178" ht="22.5" customHeight="1">
      <c r="B178" s="42" t="str">
        <f>IFERROR(__xludf.DUMMYFUNCTION("""COMPUTED_VALUE"""),"L/27/311024/1")</f>
        <v>L/27/311024/1</v>
      </c>
      <c r="C178" s="42" t="str">
        <f>IFERROR(__xludf.DUMMYFUNCTION("""COMPUTED_VALUE"""),"M.2818/GU.T;B.92/GU.T-DAHULU")</f>
        <v>M.2818/GU.T;B.92/GU.T-DAHULU</v>
      </c>
      <c r="D178" s="42" t="str">
        <f>IFERROR(__xludf.DUMMYFUNCTION("""COMPUTED_VALUE"""),"Berry")</f>
        <v>Berry</v>
      </c>
      <c r="E178" s="42" t="str">
        <f>IFERROR(__xludf.DUMMYFUNCTION("""COMPUTED_VALUE"""),"DISERAHKAN BT")</f>
        <v>DISERAHKAN BT</v>
      </c>
      <c r="F178" s="48" t="str">
        <f>IFERROR(__xludf.DUMMYFUNCTION("""COMPUTED_VALUE"""),"04/11/2024 09.12")</f>
        <v>04/11/2024 09.12</v>
      </c>
      <c r="G178" s="42" t="str">
        <f>IFERROR(__xludf.DUMMYFUNCTION("""COMPUTED_VALUE"""),"ROYA")</f>
        <v>ROYA</v>
      </c>
      <c r="H178" s="42">
        <f t="shared" si="1"/>
        <v>112</v>
      </c>
    </row>
    <row r="179" ht="22.5" customHeight="1">
      <c r="B179" s="42" t="str">
        <f>IFERROR(__xludf.DUMMYFUNCTION("""COMPUTED_VALUE"""),"K/28/311024/1")</f>
        <v>K/28/311024/1</v>
      </c>
      <c r="C179" s="42" t="str">
        <f>IFERROR(__xludf.DUMMYFUNCTION("""COMPUTED_VALUE"""),"M. 1546/ Sukabumi")</f>
        <v>M. 1546/ Sukabumi</v>
      </c>
      <c r="D179" s="42" t="str">
        <f>IFERROR(__xludf.DUMMYFUNCTION("""COMPUTED_VALUE"""),"Berry")</f>
        <v>Berry</v>
      </c>
      <c r="E179" s="42" t="str">
        <f>IFERROR(__xludf.DUMMYFUNCTION("""COMPUTED_VALUE"""),"DISERAHKAN BT")</f>
        <v>DISERAHKAN BT</v>
      </c>
      <c r="F179" s="48" t="str">
        <f>IFERROR(__xludf.DUMMYFUNCTION("""COMPUTED_VALUE"""),"04/11/2024 09.13")</f>
        <v>04/11/2024 09.13</v>
      </c>
      <c r="G179" s="42" t="str">
        <f>IFERROR(__xludf.DUMMYFUNCTION("""COMPUTED_VALUE"""),"Perubahan Hak")</f>
        <v>Perubahan Hak</v>
      </c>
      <c r="H179" s="42">
        <f t="shared" si="1"/>
        <v>112</v>
      </c>
    </row>
    <row r="180" ht="22.5" customHeight="1">
      <c r="B180" s="42" t="str">
        <f>IFERROR(__xludf.DUMMYFUNCTION("""COMPUTED_VALUE"""),"K/29/311024/1")</f>
        <v>K/29/311024/1</v>
      </c>
      <c r="C180" s="42" t="str">
        <f>IFERROR(__xludf.DUMMYFUNCTION("""COMPUTED_VALUE"""),"B. 1655/ KANGKUNG")</f>
        <v>B. 1655/ KANGKUNG</v>
      </c>
      <c r="D180" s="42" t="str">
        <f>IFERROR(__xludf.DUMMYFUNCTION("""COMPUTED_VALUE"""),"Sahelia")</f>
        <v>Sahelia</v>
      </c>
      <c r="E180" s="42" t="str">
        <f>IFERROR(__xludf.DUMMYFUNCTION("""COMPUTED_VALUE"""),"DISERAHKAN")</f>
        <v>DISERAHKAN</v>
      </c>
      <c r="F180" s="48" t="str">
        <f>IFERROR(__xludf.DUMMYFUNCTION("""COMPUTED_VALUE"""),"08/11/2024 14.43")</f>
        <v>08/11/2024 14.43</v>
      </c>
      <c r="G180" s="42" t="str">
        <f>IFERROR(__xludf.DUMMYFUNCTION("""COMPUTED_VALUE"""),"BN PHB")</f>
        <v>BN PHB</v>
      </c>
      <c r="H180" s="42">
        <f t="shared" si="1"/>
        <v>113</v>
      </c>
    </row>
    <row r="181" ht="22.5" customHeight="1">
      <c r="B181" s="42" t="str">
        <f>IFERROR(__xludf.DUMMYFUNCTION("""COMPUTED_VALUE"""),"K/30/311024/2")</f>
        <v>K/30/311024/2</v>
      </c>
      <c r="C181" s="42" t="str">
        <f>IFERROR(__xludf.DUMMYFUNCTION("""COMPUTED_VALUE"""),"M. 520/ Gunung Agung")</f>
        <v>M. 520/ Gunung Agung</v>
      </c>
      <c r="D181" s="42" t="str">
        <f>IFERROR(__xludf.DUMMYFUNCTION("""COMPUTED_VALUE"""),"Berry")</f>
        <v>Berry</v>
      </c>
      <c r="E181" s="42" t="str">
        <f>IFERROR(__xludf.DUMMYFUNCTION("""COMPUTED_VALUE"""),"DISERAHKAN")</f>
        <v>DISERAHKAN</v>
      </c>
      <c r="F181" s="48" t="str">
        <f>IFERROR(__xludf.DUMMYFUNCTION("""COMPUTED_VALUE"""),"04/11/2024 09.14")</f>
        <v>04/11/2024 09.14</v>
      </c>
      <c r="G181" s="42" t="str">
        <f>IFERROR(__xludf.DUMMYFUNCTION("""COMPUTED_VALUE"""),"BN JUAL BELI")</f>
        <v>BN JUAL BELI</v>
      </c>
      <c r="H181" s="42">
        <f t="shared" si="1"/>
        <v>114</v>
      </c>
    </row>
    <row r="182" ht="22.5" customHeight="1">
      <c r="B182" s="42" t="str">
        <f>IFERROR(__xludf.DUMMYFUNCTION("""COMPUTED_VALUE"""),"K/36/311024/1")</f>
        <v>K/36/311024/1</v>
      </c>
      <c r="C182" s="42" t="str">
        <f>IFERROR(__xludf.DUMMYFUNCTION("""COMPUTED_VALUE"""),"B.571/NUSANTARA PERMAI-SEKARANG;B.616/CAMPANG RAYA-DAHULU")</f>
        <v>B.571/NUSANTARA PERMAI-SEKARANG;B.616/CAMPANG RAYA-DAHULU</v>
      </c>
      <c r="D182" s="42" t="str">
        <f>IFERROR(__xludf.DUMMYFUNCTION("""COMPUTED_VALUE"""),"David")</f>
        <v>David</v>
      </c>
      <c r="E182" s="42" t="str">
        <f>IFERROR(__xludf.DUMMYFUNCTION("""COMPUTED_VALUE"""),"DISERAHKAN")</f>
        <v>DISERAHKAN</v>
      </c>
      <c r="F182" s="48" t="str">
        <f>IFERROR(__xludf.DUMMYFUNCTION("""COMPUTED_VALUE"""),"04/11/2024 09.17")</f>
        <v>04/11/2024 09.17</v>
      </c>
      <c r="G182" s="42" t="str">
        <f>IFERROR(__xludf.DUMMYFUNCTION("""COMPUTED_VALUE"""),"PENINGKATAN")</f>
        <v>PENINGKATAN</v>
      </c>
      <c r="H182" s="42">
        <f t="shared" si="1"/>
        <v>115</v>
      </c>
    </row>
    <row r="183" ht="22.5" customHeight="1">
      <c r="B183" s="42" t="str">
        <f>IFERROR(__xludf.DUMMYFUNCTION("""COMPUTED_VALUE"""),"K/38/311024/1")</f>
        <v>K/38/311024/1</v>
      </c>
      <c r="C183" s="42" t="str">
        <f>IFERROR(__xludf.DUMMYFUNCTION("""COMPUTED_VALUE"""),"M. 2181/ Kemiling Permai; SHT 1853/2019")</f>
        <v>M. 2181/ Kemiling Permai; SHT 1853/2019</v>
      </c>
      <c r="D183" s="42" t="str">
        <f>IFERROR(__xludf.DUMMYFUNCTION("""COMPUTED_VALUE"""),"David")</f>
        <v>David</v>
      </c>
      <c r="E183" s="42" t="str">
        <f>IFERROR(__xludf.DUMMYFUNCTION("""COMPUTED_VALUE"""),"DISERAHKAN")</f>
        <v>DISERAHKAN</v>
      </c>
      <c r="F183" s="48" t="str">
        <f>IFERROR(__xludf.DUMMYFUNCTION("""COMPUTED_VALUE"""),"13/11/2024 14.14")</f>
        <v>13/11/2024 14.14</v>
      </c>
      <c r="G183" s="42" t="str">
        <f>IFERROR(__xludf.DUMMYFUNCTION("""COMPUTED_VALUE"""),"Ganti Nama Kreditur")</f>
        <v>Ganti Nama Kreditur</v>
      </c>
      <c r="H183" s="42">
        <f t="shared" si="1"/>
        <v>116</v>
      </c>
    </row>
    <row r="184" ht="22.5" customHeight="1">
      <c r="B184" s="42" t="str">
        <f>IFERROR(__xludf.DUMMYFUNCTION("""COMPUTED_VALUE"""),"K/39/311024/1")</f>
        <v>K/39/311024/1</v>
      </c>
      <c r="C184" s="42" t="str">
        <f>IFERROR(__xludf.DUMMYFUNCTION("""COMPUTED_VALUE"""),"M.183/LABUHAN RATU RAYA")</f>
        <v>M.183/LABUHAN RATU RAYA</v>
      </c>
      <c r="D184" s="42" t="str">
        <f>IFERROR(__xludf.DUMMYFUNCTION("""COMPUTED_VALUE"""),"David")</f>
        <v>David</v>
      </c>
      <c r="E184" s="42" t="str">
        <f>IFERROR(__xludf.DUMMYFUNCTION("""COMPUTED_VALUE"""),"DISERAHKAN")</f>
        <v>DISERAHKAN</v>
      </c>
      <c r="F184" s="48" t="str">
        <f>IFERROR(__xludf.DUMMYFUNCTION("""COMPUTED_VALUE"""),"04/11/2024 09.20")</f>
        <v>04/11/2024 09.20</v>
      </c>
      <c r="G184" s="42" t="str">
        <f>IFERROR(__xludf.DUMMYFUNCTION("""COMPUTED_VALUE"""),"BN JUAL BELI")</f>
        <v>BN JUAL BELI</v>
      </c>
      <c r="H184" s="42">
        <f t="shared" si="1"/>
        <v>117</v>
      </c>
    </row>
    <row r="185" ht="22.5" customHeight="1">
      <c r="B185" s="42" t="str">
        <f>IFERROR(__xludf.DUMMYFUNCTION("""COMPUTED_VALUE"""),"K/40/311024/2")</f>
        <v>K/40/311024/2</v>
      </c>
      <c r="C185" s="42" t="str">
        <f>IFERROR(__xludf.DUMMYFUNCTION("""COMPUTED_VALUE"""),"M.1183/PERUMNAS WAY KANDIS")</f>
        <v>M.1183/PERUMNAS WAY KANDIS</v>
      </c>
      <c r="D185" s="42" t="str">
        <f>IFERROR(__xludf.DUMMYFUNCTION("""COMPUTED_VALUE"""),"David")</f>
        <v>David</v>
      </c>
      <c r="E185" s="42" t="str">
        <f>IFERROR(__xludf.DUMMYFUNCTION("""COMPUTED_VALUE"""),"DISERAHKAN")</f>
        <v>DISERAHKAN</v>
      </c>
      <c r="F185" s="48" t="str">
        <f>IFERROR(__xludf.DUMMYFUNCTION("""COMPUTED_VALUE"""),"04/11/2024 09.22")</f>
        <v>04/11/2024 09.22</v>
      </c>
      <c r="G185" s="42" t="str">
        <f>IFERROR(__xludf.DUMMYFUNCTION("""COMPUTED_VALUE"""),"BN JUAL BELI")</f>
        <v>BN JUAL BELI</v>
      </c>
      <c r="H185" s="42">
        <f t="shared" si="1"/>
        <v>118</v>
      </c>
    </row>
    <row r="186" ht="22.5" customHeight="1">
      <c r="B186" s="42" t="str">
        <f>IFERROR(__xludf.DUMMYFUNCTION("""COMPUTED_VALUE"""),"K/42/311024/1")</f>
        <v>K/42/311024/1</v>
      </c>
      <c r="C186" s="42" t="str">
        <f>IFERROR(__xludf.DUMMYFUNCTION("""COMPUTED_VALUE"""),"M. 1333/ SEPANG JAYA")</f>
        <v>M. 1333/ SEPANG JAYA</v>
      </c>
      <c r="D186" s="42" t="str">
        <f>IFERROR(__xludf.DUMMYFUNCTION("""COMPUTED_VALUE"""),"David")</f>
        <v>David</v>
      </c>
      <c r="E186" s="42" t="str">
        <f>IFERROR(__xludf.DUMMYFUNCTION("""COMPUTED_VALUE"""),"DISERAHKAN")</f>
        <v>DISERAHKAN</v>
      </c>
      <c r="F186" s="48" t="str">
        <f>IFERROR(__xludf.DUMMYFUNCTION("""COMPUTED_VALUE"""),"04/11/2024 09.23")</f>
        <v>04/11/2024 09.23</v>
      </c>
      <c r="G186" s="42" t="str">
        <f>IFERROR(__xludf.DUMMYFUNCTION("""COMPUTED_VALUE"""),"ROYA")</f>
        <v>ROYA</v>
      </c>
      <c r="H186" s="42">
        <f t="shared" si="1"/>
        <v>119</v>
      </c>
    </row>
    <row r="187" ht="22.5" customHeight="1">
      <c r="B187" s="42" t="str">
        <f>IFERROR(__xludf.DUMMYFUNCTION("""COMPUTED_VALUE"""),"L/46/311024/1")</f>
        <v>L/46/311024/1</v>
      </c>
      <c r="C187" s="42" t="str">
        <f>IFERROR(__xludf.DUMMYFUNCTION("""COMPUTED_VALUE"""),"M.1462/SS.B")</f>
        <v>M.1462/SS.B</v>
      </c>
      <c r="D187" s="42" t="str">
        <f>IFERROR(__xludf.DUMMYFUNCTION("""COMPUTED_VALUE"""),"David")</f>
        <v>David</v>
      </c>
      <c r="E187" s="42" t="str">
        <f>IFERROR(__xludf.DUMMYFUNCTION("""COMPUTED_VALUE"""),"DISERAHKAN")</f>
        <v>DISERAHKAN</v>
      </c>
      <c r="F187" s="48" t="str">
        <f>IFERROR(__xludf.DUMMYFUNCTION("""COMPUTED_VALUE"""),"04/11/2024 09.24")</f>
        <v>04/11/2024 09.24</v>
      </c>
      <c r="G187" s="42" t="str">
        <f>IFERROR(__xludf.DUMMYFUNCTION("""COMPUTED_VALUE"""),"ROYA")</f>
        <v>ROYA</v>
      </c>
      <c r="H187" s="42">
        <f t="shared" si="1"/>
        <v>120</v>
      </c>
    </row>
    <row r="188" ht="22.5" customHeight="1">
      <c r="B188" s="42" t="str">
        <f>IFERROR(__xludf.DUMMYFUNCTION("""COMPUTED_VALUE"""),"L/54/311024/1")</f>
        <v>L/54/311024/1</v>
      </c>
      <c r="C188" s="42" t="str">
        <f>IFERROR(__xludf.DUMMYFUNCTION("""COMPUTED_VALUE"""),"NIB 1772/SUKARAME")</f>
        <v>NIB 1772/SUKARAME</v>
      </c>
      <c r="D188" s="42"/>
      <c r="E188" s="42"/>
      <c r="F188" s="48" t="str">
        <f>IFERROR(__xludf.DUMMYFUNCTION("""COMPUTED_VALUE"""),"")</f>
        <v/>
      </c>
      <c r="G188" s="42" t="str">
        <f>IFERROR(__xludf.DUMMYFUNCTION("""COMPUTED_VALUE"""),"BN LELANG")</f>
        <v>BN LELANG</v>
      </c>
      <c r="H188" s="42">
        <f t="shared" si="1"/>
        <v>120</v>
      </c>
    </row>
    <row r="189" ht="22.5" customHeight="1">
      <c r="B189" s="42" t="str">
        <f>IFERROR(__xludf.DUMMYFUNCTION("""COMPUTED_VALUE"""),"K/57/311024/1")</f>
        <v>K/57/311024/1</v>
      </c>
      <c r="C189" s="42" t="str">
        <f>IFERROR(__xludf.DUMMYFUNCTION("""COMPUTED_VALUE"""),"B. 581/ Sumber Agung")</f>
        <v>B. 581/ Sumber Agung</v>
      </c>
      <c r="D189" s="42" t="str">
        <f>IFERROR(__xludf.DUMMYFUNCTION("""COMPUTED_VALUE"""),"David")</f>
        <v>David</v>
      </c>
      <c r="E189" s="42" t="str">
        <f>IFERROR(__xludf.DUMMYFUNCTION("""COMPUTED_VALUE"""),"DISERAHKAN")</f>
        <v>DISERAHKAN</v>
      </c>
      <c r="F189" s="48" t="str">
        <f>IFERROR(__xludf.DUMMYFUNCTION("""COMPUTED_VALUE"""),"04/11/2024 09.27")</f>
        <v>04/11/2024 09.27</v>
      </c>
      <c r="G189" s="42" t="str">
        <f>IFERROR(__xludf.DUMMYFUNCTION("""COMPUTED_VALUE"""),"BN JUAL BELI")</f>
        <v>BN JUAL BELI</v>
      </c>
      <c r="H189" s="42">
        <f t="shared" si="1"/>
        <v>121</v>
      </c>
    </row>
    <row r="190" ht="22.5" customHeight="1">
      <c r="B190" s="42" t="str">
        <f>IFERROR(__xludf.DUMMYFUNCTION("""COMPUTED_VALUE"""),"K/60/311024/1")</f>
        <v>K/60/311024/1</v>
      </c>
      <c r="C190" s="42" t="str">
        <f>IFERROR(__xludf.DUMMYFUNCTION("""COMPUTED_VALUE"""),"M. 12416/ Sukabumi; B. 4544/ Sukabumi")</f>
        <v>M. 12416/ Sukabumi; B. 4544/ Sukabumi</v>
      </c>
      <c r="D190" s="42" t="str">
        <f>IFERROR(__xludf.DUMMYFUNCTION("""COMPUTED_VALUE"""),"David")</f>
        <v>David</v>
      </c>
      <c r="E190" s="42" t="str">
        <f>IFERROR(__xludf.DUMMYFUNCTION("""COMPUTED_VALUE"""),"DISERAHKAN SU")</f>
        <v>DISERAHKAN SU</v>
      </c>
      <c r="F190" s="48" t="str">
        <f>IFERROR(__xludf.DUMMYFUNCTION("""COMPUTED_VALUE"""),"04/11/2024 09.29")</f>
        <v>04/11/2024 09.29</v>
      </c>
      <c r="G190" s="42" t="str">
        <f>IFERROR(__xludf.DUMMYFUNCTION("""COMPUTED_VALUE"""),"BN Jual Beli")</f>
        <v>BN Jual Beli</v>
      </c>
      <c r="H190" s="42">
        <f t="shared" si="1"/>
        <v>121</v>
      </c>
    </row>
    <row r="191" ht="22.5" customHeight="1">
      <c r="B191" s="42" t="str">
        <f>IFERROR(__xludf.DUMMYFUNCTION("""COMPUTED_VALUE"""),"K/62/311024/3")</f>
        <v>K/62/311024/3</v>
      </c>
      <c r="C191" s="42" t="str">
        <f>IFERROR(__xludf.DUMMYFUNCTION("""COMPUTED_VALUE"""),"B. 578/ Sumber Agung")</f>
        <v>B. 578/ Sumber Agung</v>
      </c>
      <c r="D191" s="42" t="str">
        <f>IFERROR(__xludf.DUMMYFUNCTION("""COMPUTED_VALUE"""),"David")</f>
        <v>David</v>
      </c>
      <c r="E191" s="42" t="str">
        <f>IFERROR(__xludf.DUMMYFUNCTION("""COMPUTED_VALUE"""),"DISERAHKAN")</f>
        <v>DISERAHKAN</v>
      </c>
      <c r="F191" s="48" t="str">
        <f>IFERROR(__xludf.DUMMYFUNCTION("""COMPUTED_VALUE"""),"04/11/2024 09.29")</f>
        <v>04/11/2024 09.29</v>
      </c>
      <c r="G191" s="42" t="str">
        <f>IFERROR(__xludf.DUMMYFUNCTION("""COMPUTED_VALUE"""),"bn jual beli")</f>
        <v>bn jual beli</v>
      </c>
      <c r="H191" s="42">
        <f t="shared" si="1"/>
        <v>122</v>
      </c>
    </row>
    <row r="192" ht="22.5" customHeight="1">
      <c r="B192" s="42" t="str">
        <f>IFERROR(__xludf.DUMMYFUNCTION("""COMPUTED_VALUE"""),"K/66/311024/1")</f>
        <v>K/66/311024/1</v>
      </c>
      <c r="C192" s="42" t="str">
        <f>IFERROR(__xludf.DUMMYFUNCTION("""COMPUTED_VALUE"""),"M. 1871/ Tanjung Seneng")</f>
        <v>M. 1871/ Tanjung Seneng</v>
      </c>
      <c r="D192" s="42" t="str">
        <f>IFERROR(__xludf.DUMMYFUNCTION("""COMPUTED_VALUE"""),"David")</f>
        <v>David</v>
      </c>
      <c r="E192" s="42" t="str">
        <f>IFERROR(__xludf.DUMMYFUNCTION("""COMPUTED_VALUE"""),"PROSES")</f>
        <v>PROSES</v>
      </c>
      <c r="F192" s="48" t="str">
        <f>IFERROR(__xludf.DUMMYFUNCTION("""COMPUTED_VALUE"""),"")</f>
        <v/>
      </c>
      <c r="G192" s="42" t="str">
        <f>IFERROR(__xludf.DUMMYFUNCTION("""COMPUTED_VALUE"""),"BN LELANG")</f>
        <v>BN LELANG</v>
      </c>
      <c r="H192" s="42">
        <f t="shared" si="1"/>
        <v>122</v>
      </c>
    </row>
    <row r="193" ht="22.5" customHeight="1">
      <c r="B193" s="42" t="str">
        <f>IFERROR(__xludf.DUMMYFUNCTION("""COMPUTED_VALUE"""),"K/67/311024/1")</f>
        <v>K/67/311024/1</v>
      </c>
      <c r="C193" s="42" t="str">
        <f>IFERROR(__xludf.DUMMYFUNCTION("""COMPUTED_VALUE"""),"M.2446/RAJABASA JAYA")</f>
        <v>M.2446/RAJABASA JAYA</v>
      </c>
      <c r="D193" s="42" t="str">
        <f>IFERROR(__xludf.DUMMYFUNCTION("""COMPUTED_VALUE"""),"David")</f>
        <v>David</v>
      </c>
      <c r="E193" s="42" t="str">
        <f>IFERROR(__xludf.DUMMYFUNCTION("""COMPUTED_VALUE"""),"DISERAHKAN")</f>
        <v>DISERAHKAN</v>
      </c>
      <c r="F193" s="48" t="str">
        <f>IFERROR(__xludf.DUMMYFUNCTION("""COMPUTED_VALUE"""),"04/11/2024 09.31")</f>
        <v>04/11/2024 09.31</v>
      </c>
      <c r="G193" s="42" t="str">
        <f>IFERROR(__xludf.DUMMYFUNCTION("""COMPUTED_VALUE"""),"BN JUAL BELI")</f>
        <v>BN JUAL BELI</v>
      </c>
      <c r="H193" s="42">
        <f t="shared" si="1"/>
        <v>123</v>
      </c>
    </row>
    <row r="194" ht="22.5" customHeight="1">
      <c r="B194" s="42" t="str">
        <f>IFERROR(__xludf.DUMMYFUNCTION("""COMPUTED_VALUE"""),"K/69/311024/3")</f>
        <v>K/69/311024/3</v>
      </c>
      <c r="C194" s="42" t="str">
        <f>IFERROR(__xludf.DUMMYFUNCTION("""COMPUTED_VALUE"""),"M.10150/SUKAMENANTI")</f>
        <v>M.10150/SUKAMENANTI</v>
      </c>
      <c r="D194" s="42" t="str">
        <f>IFERROR(__xludf.DUMMYFUNCTION("""COMPUTED_VALUE"""),"David")</f>
        <v>David</v>
      </c>
      <c r="E194" s="42" t="str">
        <f>IFERROR(__xludf.DUMMYFUNCTION("""COMPUTED_VALUE"""),"PROSES")</f>
        <v>PROSES</v>
      </c>
      <c r="F194" s="48" t="str">
        <f>IFERROR(__xludf.DUMMYFUNCTION("""COMPUTED_VALUE"""),"")</f>
        <v/>
      </c>
      <c r="G194" s="42" t="str">
        <f>IFERROR(__xludf.DUMMYFUNCTION("""COMPUTED_VALUE"""),"BN JUAL BELI")</f>
        <v>BN JUAL BELI</v>
      </c>
      <c r="H194" s="42">
        <f t="shared" si="1"/>
        <v>123</v>
      </c>
    </row>
    <row r="195" ht="22.5" customHeight="1">
      <c r="B195" s="42" t="str">
        <f>IFERROR(__xludf.DUMMYFUNCTION("""COMPUTED_VALUE"""),"L/2/11124/1")</f>
        <v>L/2/11124/1</v>
      </c>
      <c r="C195" s="42" t="str">
        <f>IFERROR(__xludf.DUMMYFUNCTION("""COMPUTED_VALUE"""),"HGB 403/SUKARAME BARU")</f>
        <v>HGB 403/SUKARAME BARU</v>
      </c>
      <c r="D195" s="42" t="str">
        <f>IFERROR(__xludf.DUMMYFUNCTION("""COMPUTED_VALUE"""),"Berry")</f>
        <v>Berry</v>
      </c>
      <c r="E195" s="42" t="str">
        <f>IFERROR(__xludf.DUMMYFUNCTION("""COMPUTED_VALUE"""),"DISERAHKAN")</f>
        <v>DISERAHKAN</v>
      </c>
      <c r="F195" s="48" t="str">
        <f>IFERROR(__xludf.DUMMYFUNCTION("""COMPUTED_VALUE"""),"04/11/2024 11.08")</f>
        <v>04/11/2024 11.08</v>
      </c>
      <c r="G195" s="42" t="str">
        <f>IFERROR(__xludf.DUMMYFUNCTION("""COMPUTED_VALUE"""),"PERUBAHAN HAK")</f>
        <v>PERUBAHAN HAK</v>
      </c>
      <c r="H195" s="42">
        <f t="shared" si="1"/>
        <v>124</v>
      </c>
    </row>
    <row r="196" ht="22.5" customHeight="1">
      <c r="B196" s="42" t="str">
        <f>IFERROR(__xludf.DUMMYFUNCTION("""COMPUTED_VALUE"""),"L/12/011124/1")</f>
        <v>L/12/011124/1</v>
      </c>
      <c r="C196" s="42" t="str">
        <f>IFERROR(__xludf.DUMMYFUNCTION("""COMPUTED_VALUE"""),"SUMBER AGUNG, KEMILING")</f>
        <v>SUMBER AGUNG, KEMILING</v>
      </c>
      <c r="D196" s="42"/>
      <c r="E196" s="42"/>
      <c r="F196" s="48" t="str">
        <f>IFERROR(__xludf.DUMMYFUNCTION("""COMPUTED_VALUE"""),"")</f>
        <v/>
      </c>
      <c r="G196" s="42" t="str">
        <f>IFERROR(__xludf.DUMMYFUNCTION("""COMPUTED_VALUE"""),"TANAH MENTAH")</f>
        <v>TANAH MENTAH</v>
      </c>
      <c r="H196" s="42">
        <f t="shared" si="1"/>
        <v>124</v>
      </c>
    </row>
    <row r="197" ht="22.5" customHeight="1">
      <c r="B197" s="42" t="str">
        <f>IFERROR(__xludf.DUMMYFUNCTION("""COMPUTED_VALUE"""),"K/15/011124/2")</f>
        <v>K/15/011124/2</v>
      </c>
      <c r="C197" s="42" t="str">
        <f>IFERROR(__xludf.DUMMYFUNCTION("""COMPUTED_VALUE"""),"B. 127/ Nusantara Permai")</f>
        <v>B. 127/ Nusantara Permai</v>
      </c>
      <c r="D197" s="42" t="str">
        <f>IFERROR(__xludf.DUMMYFUNCTION("""COMPUTED_VALUE"""),"Berry")</f>
        <v>Berry</v>
      </c>
      <c r="E197" s="42" t="str">
        <f>IFERROR(__xludf.DUMMYFUNCTION("""COMPUTED_VALUE"""),"DISERAHKAN")</f>
        <v>DISERAHKAN</v>
      </c>
      <c r="F197" s="48" t="str">
        <f>IFERROR(__xludf.DUMMYFUNCTION("""COMPUTED_VALUE"""),"04/11/2024 11.11")</f>
        <v>04/11/2024 11.11</v>
      </c>
      <c r="G197" s="42" t="str">
        <f>IFERROR(__xludf.DUMMYFUNCTION("""COMPUTED_VALUE"""),"BN Jual Beli")</f>
        <v>BN Jual Beli</v>
      </c>
      <c r="H197" s="42">
        <f t="shared" si="1"/>
        <v>125</v>
      </c>
    </row>
    <row r="198" ht="22.5" customHeight="1">
      <c r="B198" s="42" t="str">
        <f>IFERROR(__xludf.DUMMYFUNCTION("""COMPUTED_VALUE"""),"L/18/011124/1")</f>
        <v>L/18/011124/1</v>
      </c>
      <c r="C198" s="42" t="str">
        <f>IFERROR(__xludf.DUMMYFUNCTION("""COMPUTED_VALUE"""),"HM 1095/GEDONG AIR")</f>
        <v>HM 1095/GEDONG AIR</v>
      </c>
      <c r="D198" s="42" t="str">
        <f>IFERROR(__xludf.DUMMYFUNCTION("""COMPUTED_VALUE"""),"Berry")</f>
        <v>Berry</v>
      </c>
      <c r="E198" s="42" t="str">
        <f>IFERROR(__xludf.DUMMYFUNCTION("""COMPUTED_VALUE"""),"DISERAHKAN")</f>
        <v>DISERAHKAN</v>
      </c>
      <c r="F198" s="48" t="str">
        <f>IFERROR(__xludf.DUMMYFUNCTION("""COMPUTED_VALUE"""),"04/11/2024 11.11")</f>
        <v>04/11/2024 11.11</v>
      </c>
      <c r="G198" s="42" t="str">
        <f>IFERROR(__xludf.DUMMYFUNCTION("""COMPUTED_VALUE"""),"ROYA")</f>
        <v>ROYA</v>
      </c>
      <c r="H198" s="42">
        <f t="shared" si="1"/>
        <v>126</v>
      </c>
    </row>
    <row r="199" ht="22.5" customHeight="1">
      <c r="B199" s="42" t="str">
        <f>IFERROR(__xludf.DUMMYFUNCTION("""COMPUTED_VALUE"""),"L/13/301024/1")</f>
        <v>L/13/301024/1</v>
      </c>
      <c r="C199" s="42" t="str">
        <f>IFERROR(__xludf.DUMMYFUNCTION("""COMPUTED_VALUE"""),"M.15228/S I")</f>
        <v>M.15228/S I</v>
      </c>
      <c r="D199" s="42" t="str">
        <f>IFERROR(__xludf.DUMMYFUNCTION("""COMPUTED_VALUE"""),"Berry")</f>
        <v>Berry</v>
      </c>
      <c r="E199" s="42" t="str">
        <f>IFERROR(__xludf.DUMMYFUNCTION("""COMPUTED_VALUE"""),"DISERAHKAN")</f>
        <v>DISERAHKAN</v>
      </c>
      <c r="F199" s="48" t="str">
        <f>IFERROR(__xludf.DUMMYFUNCTION("""COMPUTED_VALUE"""),"04/11/2024 11.12")</f>
        <v>04/11/2024 11.12</v>
      </c>
      <c r="G199" s="42" t="str">
        <f>IFERROR(__xludf.DUMMYFUNCTION("""COMPUTED_VALUE"""),"ROYA")</f>
        <v>ROYA</v>
      </c>
      <c r="H199" s="42">
        <f t="shared" si="1"/>
        <v>127</v>
      </c>
    </row>
    <row r="200" ht="22.5" customHeight="1">
      <c r="B200" s="42" t="str">
        <f>IFERROR(__xludf.DUMMYFUNCTION("""COMPUTED_VALUE"""),"K/20/011124/1")</f>
        <v>K/20/011124/1</v>
      </c>
      <c r="C200" s="42" t="str">
        <f>IFERROR(__xludf.DUMMYFUNCTION("""COMPUTED_VALUE"""),"Nibel 2191/ Gunung Terang")</f>
        <v>Nibel 2191/ Gunung Terang</v>
      </c>
      <c r="D200" s="42"/>
      <c r="E200" s="42"/>
      <c r="F200" s="48" t="str">
        <f>IFERROR(__xludf.DUMMYFUNCTION("""COMPUTED_VALUE"""),"")</f>
        <v/>
      </c>
      <c r="G200" s="42" t="str">
        <f>IFERROR(__xludf.DUMMYFUNCTION("""COMPUTED_VALUE"""),"BN JUAL BELI")</f>
        <v>BN JUAL BELI</v>
      </c>
      <c r="H200" s="42">
        <f t="shared" si="1"/>
        <v>127</v>
      </c>
    </row>
    <row r="201" ht="22.5" customHeight="1">
      <c r="B201" s="42" t="str">
        <f>IFERROR(__xludf.DUMMYFUNCTION("""COMPUTED_VALUE"""),"K/26/011124/1")</f>
        <v>K/26/011124/1</v>
      </c>
      <c r="C201" s="42" t="str">
        <f>IFERROR(__xludf.DUMMYFUNCTION("""COMPUTED_VALUE"""),"M.5014/RAJABASA JAYA-SEKARANG;M.9263/RAJABASA-DAHULU")</f>
        <v>M.5014/RAJABASA JAYA-SEKARANG;M.9263/RAJABASA-DAHULU</v>
      </c>
      <c r="D201" s="42" t="str">
        <f>IFERROR(__xludf.DUMMYFUNCTION("""COMPUTED_VALUE"""),"David")</f>
        <v>David</v>
      </c>
      <c r="E201" s="42" t="str">
        <f>IFERROR(__xludf.DUMMYFUNCTION("""COMPUTED_VALUE"""),"DISERAHKAN")</f>
        <v>DISERAHKAN</v>
      </c>
      <c r="F201" s="48" t="str">
        <f>IFERROR(__xludf.DUMMYFUNCTION("""COMPUTED_VALUE"""),"04/11/2024 11.13")</f>
        <v>04/11/2024 11.13</v>
      </c>
      <c r="G201" s="42" t="str">
        <f>IFERROR(__xludf.DUMMYFUNCTION("""COMPUTED_VALUE"""),"BN JUAL BELI")</f>
        <v>BN JUAL BELI</v>
      </c>
      <c r="H201" s="42">
        <f t="shared" si="1"/>
        <v>128</v>
      </c>
    </row>
    <row r="202" ht="22.5" customHeight="1">
      <c r="B202" s="42" t="str">
        <f>IFERROR(__xludf.DUMMYFUNCTION("""COMPUTED_VALUE"""),"K/27/011124/1")</f>
        <v>K/27/011124/1</v>
      </c>
      <c r="C202" s="42" t="str">
        <f>IFERROR(__xludf.DUMMYFUNCTION("""COMPUTED_VALUE"""),"M. 639/ PEMATANG WANGI")</f>
        <v>M. 639/ PEMATANG WANGI</v>
      </c>
      <c r="D202" s="42" t="str">
        <f>IFERROR(__xludf.DUMMYFUNCTION("""COMPUTED_VALUE"""),"David")</f>
        <v>David</v>
      </c>
      <c r="E202" s="42" t="str">
        <f>IFERROR(__xludf.DUMMYFUNCTION("""COMPUTED_VALUE"""),"DISERAHKAN")</f>
        <v>DISERAHKAN</v>
      </c>
      <c r="F202" s="48" t="str">
        <f>IFERROR(__xludf.DUMMYFUNCTION("""COMPUTED_VALUE"""),"04/11/2024 11.13")</f>
        <v>04/11/2024 11.13</v>
      </c>
      <c r="G202" s="42" t="str">
        <f>IFERROR(__xludf.DUMMYFUNCTION("""COMPUTED_VALUE"""),"BN JUAL BELI")</f>
        <v>BN JUAL BELI</v>
      </c>
      <c r="H202" s="42">
        <f t="shared" si="1"/>
        <v>129</v>
      </c>
    </row>
    <row r="203" ht="22.5" customHeight="1">
      <c r="B203" s="42" t="str">
        <f>IFERROR(__xludf.DUMMYFUNCTION("""COMPUTED_VALUE"""),"K/30/011124/1")</f>
        <v>K/30/011124/1</v>
      </c>
      <c r="C203" s="42" t="str">
        <f>IFERROR(__xludf.DUMMYFUNCTION("""COMPUTED_VALUE"""),"PBT. 87/2024")</f>
        <v>PBT. 87/2024</v>
      </c>
      <c r="D203" s="42"/>
      <c r="E203" s="42"/>
      <c r="F203" s="48" t="str">
        <f>IFERROR(__xludf.DUMMYFUNCTION("""COMPUTED_VALUE"""),"")</f>
        <v/>
      </c>
      <c r="G203" s="42" t="str">
        <f>IFERROR(__xludf.DUMMYFUNCTION("""COMPUTED_VALUE"""),"PTPGT (Pertama Kali)")</f>
        <v>PTPGT (Pertama Kali)</v>
      </c>
      <c r="H203" s="42">
        <f t="shared" si="1"/>
        <v>129</v>
      </c>
    </row>
    <row r="204" ht="22.5" customHeight="1">
      <c r="B204" s="42" t="str">
        <f>IFERROR(__xludf.DUMMYFUNCTION("""COMPUTED_VALUE"""),"K/32/011124/1")</f>
        <v>K/32/011124/1</v>
      </c>
      <c r="C204" s="42" t="str">
        <f>IFERROR(__xludf.DUMMYFUNCTION("""COMPUTED_VALUE"""),"B.1127/KEMILING PERMAI")</f>
        <v>B.1127/KEMILING PERMAI</v>
      </c>
      <c r="D204" s="42" t="str">
        <f>IFERROR(__xludf.DUMMYFUNCTION("""COMPUTED_VALUE"""),"David")</f>
        <v>David</v>
      </c>
      <c r="E204" s="42" t="str">
        <f>IFERROR(__xludf.DUMMYFUNCTION("""COMPUTED_VALUE"""),"DISERAHKAN")</f>
        <v>DISERAHKAN</v>
      </c>
      <c r="F204" s="48" t="str">
        <f>IFERROR(__xludf.DUMMYFUNCTION("""COMPUTED_VALUE"""),"04/11/2024 11.14")</f>
        <v>04/11/2024 11.14</v>
      </c>
      <c r="G204" s="42" t="str">
        <f>IFERROR(__xludf.DUMMYFUNCTION("""COMPUTED_VALUE"""),"BN JUAL BELI")</f>
        <v>BN JUAL BELI</v>
      </c>
      <c r="H204" s="42">
        <f t="shared" si="1"/>
        <v>130</v>
      </c>
    </row>
    <row r="205" ht="22.5" customHeight="1">
      <c r="B205" s="42" t="str">
        <f>IFERROR(__xludf.DUMMYFUNCTION("""COMPUTED_VALUE"""),"K/36/011124/2")</f>
        <v>K/36/011124/2</v>
      </c>
      <c r="C205" s="42" t="str">
        <f>IFERROR(__xludf.DUMMYFUNCTION("""COMPUTED_VALUE"""),"Nibel 626/ Campang Raya")</f>
        <v>Nibel 626/ Campang Raya</v>
      </c>
      <c r="D205" s="42"/>
      <c r="E205" s="42"/>
      <c r="F205" s="48" t="str">
        <f>IFERROR(__xludf.DUMMYFUNCTION("""COMPUTED_VALUE"""),"")</f>
        <v/>
      </c>
      <c r="G205" s="42" t="str">
        <f>IFERROR(__xludf.DUMMYFUNCTION("""COMPUTED_VALUE"""),"BN JUAL BELI")</f>
        <v>BN JUAL BELI</v>
      </c>
      <c r="H205" s="42">
        <f t="shared" si="1"/>
        <v>130</v>
      </c>
    </row>
    <row r="206" ht="22.5" customHeight="1">
      <c r="B206" s="42" t="str">
        <f>IFERROR(__xludf.DUMMYFUNCTION("""COMPUTED_VALUE"""),"K/38/011124/2")</f>
        <v>K/38/011124/2</v>
      </c>
      <c r="C206" s="42" t="str">
        <f>IFERROR(__xludf.DUMMYFUNCTION("""COMPUTED_VALUE"""),"M. 141/ Talang (gedung pakuon Talang)")</f>
        <v>M. 141/ Talang (gedung pakuon Talang)</v>
      </c>
      <c r="D206" s="42" t="str">
        <f>IFERROR(__xludf.DUMMYFUNCTION("""COMPUTED_VALUE"""),"David")</f>
        <v>David</v>
      </c>
      <c r="E206" s="42" t="str">
        <f>IFERROR(__xludf.DUMMYFUNCTION("""COMPUTED_VALUE"""),"DISERAHKAN")</f>
        <v>DISERAHKAN</v>
      </c>
      <c r="F206" s="48" t="str">
        <f>IFERROR(__xludf.DUMMYFUNCTION("""COMPUTED_VALUE"""),"04/11/2024 15.48")</f>
        <v>04/11/2024 15.48</v>
      </c>
      <c r="G206" s="42" t="str">
        <f>IFERROR(__xludf.DUMMYFUNCTION("""COMPUTED_VALUE"""),"BN Jual Beli")</f>
        <v>BN Jual Beli</v>
      </c>
      <c r="H206" s="42">
        <f t="shared" si="1"/>
        <v>131</v>
      </c>
    </row>
    <row r="207" ht="22.5" customHeight="1">
      <c r="B207" s="42" t="str">
        <f>IFERROR(__xludf.DUMMYFUNCTION("""COMPUTED_VALUE"""),"K/5/041124/1")</f>
        <v>K/5/041124/1</v>
      </c>
      <c r="C207" s="42" t="str">
        <f>IFERROR(__xludf.DUMMYFUNCTION("""COMPUTED_VALUE"""),"M. 2126/ Kangkung")</f>
        <v>M. 2126/ Kangkung</v>
      </c>
      <c r="D207" s="42" t="str">
        <f>IFERROR(__xludf.DUMMYFUNCTION("""COMPUTED_VALUE"""),"Berry")</f>
        <v>Berry</v>
      </c>
      <c r="E207" s="42" t="str">
        <f>IFERROR(__xludf.DUMMYFUNCTION("""COMPUTED_VALUE"""),"PROSES")</f>
        <v>PROSES</v>
      </c>
      <c r="F207" s="48" t="str">
        <f>IFERROR(__xludf.DUMMYFUNCTION("""COMPUTED_VALUE"""),"")</f>
        <v/>
      </c>
      <c r="G207" s="42" t="str">
        <f>IFERROR(__xludf.DUMMYFUNCTION("""COMPUTED_VALUE"""),"BN Waris")</f>
        <v>BN Waris</v>
      </c>
      <c r="H207" s="42">
        <f t="shared" si="1"/>
        <v>131</v>
      </c>
    </row>
    <row r="208" ht="22.5" customHeight="1">
      <c r="B208" s="42" t="str">
        <f>IFERROR(__xludf.DUMMYFUNCTION("""COMPUTED_VALUE"""),"L/63/311024/1")</f>
        <v>L/63/311024/1</v>
      </c>
      <c r="C208" s="42" t="str">
        <f>IFERROR(__xludf.DUMMYFUNCTION("""COMPUTED_VALUE"""),"B.764/WAY KANDIS")</f>
        <v>B.764/WAY KANDIS</v>
      </c>
      <c r="D208" s="42" t="str">
        <f>IFERROR(__xludf.DUMMYFUNCTION("""COMPUTED_VALUE"""),"Berry")</f>
        <v>Berry</v>
      </c>
      <c r="E208" s="42" t="str">
        <f>IFERROR(__xludf.DUMMYFUNCTION("""COMPUTED_VALUE"""),"DISERAHKAN")</f>
        <v>DISERAHKAN</v>
      </c>
      <c r="F208" s="48" t="str">
        <f>IFERROR(__xludf.DUMMYFUNCTION("""COMPUTED_VALUE"""),"05/11/2024 16.21")</f>
        <v>05/11/2024 16.21</v>
      </c>
      <c r="G208" s="42" t="str">
        <f>IFERROR(__xludf.DUMMYFUNCTION("""COMPUTED_VALUE"""),"ROYA")</f>
        <v>ROYA</v>
      </c>
      <c r="H208" s="42">
        <f t="shared" si="1"/>
        <v>132</v>
      </c>
    </row>
    <row r="209" ht="22.5" customHeight="1">
      <c r="B209" s="42" t="str">
        <f>IFERROR(__xludf.DUMMYFUNCTION("""COMPUTED_VALUE"""),"L/24/041124/1")</f>
        <v>L/24/041124/1</v>
      </c>
      <c r="C209" s="42" t="str">
        <f>IFERROR(__xludf.DUMMYFUNCTION("""COMPUTED_VALUE"""),"M.11580/SEGALA MIDER")</f>
        <v>M.11580/SEGALA MIDER</v>
      </c>
      <c r="D209" s="42" t="str">
        <f>IFERROR(__xludf.DUMMYFUNCTION("""COMPUTED_VALUE"""),"Berry")</f>
        <v>Berry</v>
      </c>
      <c r="E209" s="42" t="str">
        <f>IFERROR(__xludf.DUMMYFUNCTION("""COMPUTED_VALUE"""),"DISERAHKAN")</f>
        <v>DISERAHKAN</v>
      </c>
      <c r="F209" s="48" t="str">
        <f>IFERROR(__xludf.DUMMYFUNCTION("""COMPUTED_VALUE"""),"05/11/2024 16.24")</f>
        <v>05/11/2024 16.24</v>
      </c>
      <c r="G209" s="42" t="str">
        <f>IFERROR(__xludf.DUMMYFUNCTION("""COMPUTED_VALUE"""),"ROYA")</f>
        <v>ROYA</v>
      </c>
      <c r="H209" s="42">
        <f t="shared" si="1"/>
        <v>133</v>
      </c>
    </row>
    <row r="210" ht="22.5" customHeight="1">
      <c r="B210" s="42" t="str">
        <f>IFERROR(__xludf.DUMMYFUNCTION("""COMPUTED_VALUE"""),"L/30/041124/1")</f>
        <v>L/30/041124/1</v>
      </c>
      <c r="C210" s="42" t="str">
        <f>IFERROR(__xludf.DUMMYFUNCTION("""COMPUTED_VALUE"""),"M.13763/RAJABASA")</f>
        <v>M.13763/RAJABASA</v>
      </c>
      <c r="D210" s="42" t="str">
        <f>IFERROR(__xludf.DUMMYFUNCTION("""COMPUTED_VALUE"""),"Berry")</f>
        <v>Berry</v>
      </c>
      <c r="E210" s="42" t="str">
        <f>IFERROR(__xludf.DUMMYFUNCTION("""COMPUTED_VALUE"""),"DISERAHKAN")</f>
        <v>DISERAHKAN</v>
      </c>
      <c r="F210" s="48" t="str">
        <f>IFERROR(__xludf.DUMMYFUNCTION("""COMPUTED_VALUE"""),"05/11/2024 16.25")</f>
        <v>05/11/2024 16.25</v>
      </c>
      <c r="G210" s="42" t="str">
        <f>IFERROR(__xludf.DUMMYFUNCTION("""COMPUTED_VALUE"""),"ROYA")</f>
        <v>ROYA</v>
      </c>
      <c r="H210" s="42">
        <f t="shared" si="1"/>
        <v>134</v>
      </c>
    </row>
    <row r="211" ht="22.5" customHeight="1">
      <c r="B211" s="42" t="str">
        <f>IFERROR(__xludf.DUMMYFUNCTION("""COMPUTED_VALUE"""),"L/31/041124/1")</f>
        <v>L/31/041124/1</v>
      </c>
      <c r="C211" s="42" t="str">
        <f>IFERROR(__xludf.DUMMYFUNCTION("""COMPUTED_VALUE"""),"B.1202/SUKABUMI INDAH-SEKARANG; B.1339/SUKABUMI-DAHULU")</f>
        <v>B.1202/SUKABUMI INDAH-SEKARANG; B.1339/SUKABUMI-DAHULU</v>
      </c>
      <c r="D211" s="42" t="str">
        <f>IFERROR(__xludf.DUMMYFUNCTION("""COMPUTED_VALUE"""),"David")</f>
        <v>David</v>
      </c>
      <c r="E211" s="42" t="str">
        <f>IFERROR(__xludf.DUMMYFUNCTION("""COMPUTED_VALUE"""),"DISERAHKAN")</f>
        <v>DISERAHKAN</v>
      </c>
      <c r="F211" s="48" t="str">
        <f>IFERROR(__xludf.DUMMYFUNCTION("""COMPUTED_VALUE"""),"06/11/2024 13.33")</f>
        <v>06/11/2024 13.33</v>
      </c>
      <c r="G211" s="42" t="str">
        <f>IFERROR(__xludf.DUMMYFUNCTION("""COMPUTED_VALUE"""),"PERUBAHAN HAK")</f>
        <v>PERUBAHAN HAK</v>
      </c>
      <c r="H211" s="42">
        <f t="shared" si="1"/>
        <v>135</v>
      </c>
    </row>
    <row r="212" ht="22.5" customHeight="1">
      <c r="B212" s="42" t="str">
        <f>IFERROR(__xludf.DUMMYFUNCTION("""COMPUTED_VALUE"""),"K/35/041124/1")</f>
        <v>K/35/041124/1</v>
      </c>
      <c r="C212" s="42" t="str">
        <f>IFERROR(__xludf.DUMMYFUNCTION("""COMPUTED_VALUE"""),"M. 9268/ Sidodadi")</f>
        <v>M. 9268/ Sidodadi</v>
      </c>
      <c r="D212" s="42" t="str">
        <f>IFERROR(__xludf.DUMMYFUNCTION("""COMPUTED_VALUE"""),"David")</f>
        <v>David</v>
      </c>
      <c r="E212" s="42" t="str">
        <f>IFERROR(__xludf.DUMMYFUNCTION("""COMPUTED_VALUE"""),"DISERAHKAN")</f>
        <v>DISERAHKAN</v>
      </c>
      <c r="F212" s="48" t="str">
        <f>IFERROR(__xludf.DUMMYFUNCTION("""COMPUTED_VALUE"""),"05/11/2024 16.27")</f>
        <v>05/11/2024 16.27</v>
      </c>
      <c r="G212" s="42" t="str">
        <f>IFERROR(__xludf.DUMMYFUNCTION("""COMPUTED_VALUE"""),"roya")</f>
        <v>roya</v>
      </c>
      <c r="H212" s="42">
        <f t="shared" si="1"/>
        <v>136</v>
      </c>
    </row>
    <row r="213" ht="22.5" customHeight="1">
      <c r="B213" s="42" t="str">
        <f>IFERROR(__xludf.DUMMYFUNCTION("""COMPUTED_VALUE"""),"K/36/041124/2")</f>
        <v>K/36/041124/2</v>
      </c>
      <c r="C213" s="42" t="str">
        <f>IFERROR(__xludf.DUMMYFUNCTION("""COMPUTED_VALUE"""),"M. 10227/ Segala Mider")</f>
        <v>M. 10227/ Segala Mider</v>
      </c>
      <c r="D213" s="42" t="str">
        <f>IFERROR(__xludf.DUMMYFUNCTION("""COMPUTED_VALUE"""),"David")</f>
        <v>David</v>
      </c>
      <c r="E213" s="42" t="str">
        <f>IFERROR(__xludf.DUMMYFUNCTION("""COMPUTED_VALUE"""),"DISERAHKAN")</f>
        <v>DISERAHKAN</v>
      </c>
      <c r="F213" s="48" t="str">
        <f>IFERROR(__xludf.DUMMYFUNCTION("""COMPUTED_VALUE"""),"05/11/2024 16.28")</f>
        <v>05/11/2024 16.28</v>
      </c>
      <c r="G213" s="42" t="str">
        <f>IFERROR(__xludf.DUMMYFUNCTION("""COMPUTED_VALUE"""),"roya")</f>
        <v>roya</v>
      </c>
      <c r="H213" s="42">
        <f t="shared" si="1"/>
        <v>137</v>
      </c>
    </row>
    <row r="214" ht="22.5" customHeight="1">
      <c r="B214" s="42" t="str">
        <f>IFERROR(__xludf.DUMMYFUNCTION("""COMPUTED_VALUE"""),"K/37/041124/3")</f>
        <v>K/37/041124/3</v>
      </c>
      <c r="C214" s="42" t="str">
        <f>IFERROR(__xludf.DUMMYFUNCTION("""COMPUTED_VALUE"""),"M. 12471/ Kedamaian")</f>
        <v>M. 12471/ Kedamaian</v>
      </c>
      <c r="D214" s="42" t="str">
        <f>IFERROR(__xludf.DUMMYFUNCTION("""COMPUTED_VALUE"""),"Pras")</f>
        <v>Pras</v>
      </c>
      <c r="E214" s="42" t="str">
        <f>IFERROR(__xludf.DUMMYFUNCTION("""COMPUTED_VALUE"""),"DISERAHKAN")</f>
        <v>DISERAHKAN</v>
      </c>
      <c r="F214" s="48" t="str">
        <f>IFERROR(__xludf.DUMMYFUNCTION("""COMPUTED_VALUE"""),"06/11/2024 13.46")</f>
        <v>06/11/2024 13.46</v>
      </c>
      <c r="G214" s="42" t="str">
        <f>IFERROR(__xludf.DUMMYFUNCTION("""COMPUTED_VALUE"""),"PENATAAN BATAS")</f>
        <v>PENATAAN BATAS</v>
      </c>
      <c r="H214" s="42">
        <f t="shared" si="1"/>
        <v>138</v>
      </c>
    </row>
    <row r="215" ht="22.5" customHeight="1">
      <c r="B215" s="42" t="str">
        <f>IFERROR(__xludf.DUMMYFUNCTION("""COMPUTED_VALUE"""),"K/39/041124/1")</f>
        <v>K/39/041124/1</v>
      </c>
      <c r="C215" s="42" t="str">
        <f>IFERROR(__xludf.DUMMYFUNCTION("""COMPUTED_VALUE"""),"M.1773/SUKAJAWA")</f>
        <v>M.1773/SUKAJAWA</v>
      </c>
      <c r="D215" s="42" t="str">
        <f>IFERROR(__xludf.DUMMYFUNCTION("""COMPUTED_VALUE"""),"David")</f>
        <v>David</v>
      </c>
      <c r="E215" s="42" t="str">
        <f>IFERROR(__xludf.DUMMYFUNCTION("""COMPUTED_VALUE"""),"DISERAHKAN")</f>
        <v>DISERAHKAN</v>
      </c>
      <c r="F215" s="48" t="str">
        <f>IFERROR(__xludf.DUMMYFUNCTION("""COMPUTED_VALUE"""),"05/11/2024 16.29")</f>
        <v>05/11/2024 16.29</v>
      </c>
      <c r="G215" s="42" t="str">
        <f>IFERROR(__xludf.DUMMYFUNCTION("""COMPUTED_VALUE"""),"BN JUAL BELI")</f>
        <v>BN JUAL BELI</v>
      </c>
      <c r="H215" s="42">
        <f t="shared" si="1"/>
        <v>139</v>
      </c>
    </row>
    <row r="216" ht="22.5" customHeight="1">
      <c r="B216" s="42" t="str">
        <f>IFERROR(__xludf.DUMMYFUNCTION("""COMPUTED_VALUE"""),"L/40/041124/1")</f>
        <v>L/40/041124/1</v>
      </c>
      <c r="C216" s="42" t="str">
        <f>IFERROR(__xludf.DUMMYFUNCTION("""COMPUTED_VALUE"""),"M.1706/PERUMNAS WAY HALIM")</f>
        <v>M.1706/PERUMNAS WAY HALIM</v>
      </c>
      <c r="D216" s="42" t="str">
        <f>IFERROR(__xludf.DUMMYFUNCTION("""COMPUTED_VALUE"""),"David")</f>
        <v>David</v>
      </c>
      <c r="E216" s="42" t="str">
        <f>IFERROR(__xludf.DUMMYFUNCTION("""COMPUTED_VALUE"""),"PROSES")</f>
        <v>PROSES</v>
      </c>
      <c r="F216" s="48" t="str">
        <f>IFERROR(__xludf.DUMMYFUNCTION("""COMPUTED_VALUE"""),"")</f>
        <v/>
      </c>
      <c r="G216" s="42" t="str">
        <f>IFERROR(__xludf.DUMMYFUNCTION("""COMPUTED_VALUE"""),"ROYA")</f>
        <v>ROYA</v>
      </c>
      <c r="H216" s="42">
        <f t="shared" si="1"/>
        <v>139</v>
      </c>
    </row>
    <row r="217" ht="22.5" customHeight="1">
      <c r="B217" s="42" t="str">
        <f>IFERROR(__xludf.DUMMYFUNCTION("""COMPUTED_VALUE"""),"L/42/041124/1")</f>
        <v>L/42/041124/1</v>
      </c>
      <c r="C217" s="42" t="str">
        <f>IFERROR(__xludf.DUMMYFUNCTION("""COMPUTED_VALUE"""),"B.661/SUKABUMI INDAH")</f>
        <v>B.661/SUKABUMI INDAH</v>
      </c>
      <c r="D217" s="42" t="str">
        <f>IFERROR(__xludf.DUMMYFUNCTION("""COMPUTED_VALUE"""),"David")</f>
        <v>David</v>
      </c>
      <c r="E217" s="42" t="str">
        <f>IFERROR(__xludf.DUMMYFUNCTION("""COMPUTED_VALUE"""),"DISERAHKAN")</f>
        <v>DISERAHKAN</v>
      </c>
      <c r="F217" s="48" t="str">
        <f>IFERROR(__xludf.DUMMYFUNCTION("""COMPUTED_VALUE"""),"05/11/2024 16.29")</f>
        <v>05/11/2024 16.29</v>
      </c>
      <c r="G217" s="42" t="str">
        <f>IFERROR(__xludf.DUMMYFUNCTION("""COMPUTED_VALUE"""),"ROYA")</f>
        <v>ROYA</v>
      </c>
      <c r="H217" s="42">
        <f t="shared" si="1"/>
        <v>140</v>
      </c>
    </row>
    <row r="218" ht="22.5" customHeight="1">
      <c r="B218" s="42" t="str">
        <f>IFERROR(__xludf.DUMMYFUNCTION("""COMPUTED_VALUE"""),"K/43/041124/1")</f>
        <v>K/43/041124/1</v>
      </c>
      <c r="C218" s="42" t="str">
        <f>IFERROR(__xludf.DUMMYFUNCTION("""COMPUTED_VALUE"""),"M. 2684/ Pinang Jaya-sekarang; B. 12782/ Pinang Jaya")</f>
        <v>M. 2684/ Pinang Jaya-sekarang; B. 12782/ Pinang Jaya</v>
      </c>
      <c r="D218" s="42" t="str">
        <f>IFERROR(__xludf.DUMMYFUNCTION("""COMPUTED_VALUE"""),"David")</f>
        <v>David</v>
      </c>
      <c r="E218" s="42" t="str">
        <f>IFERROR(__xludf.DUMMYFUNCTION("""COMPUTED_VALUE"""),"DISERAHKAN")</f>
        <v>DISERAHKAN</v>
      </c>
      <c r="F218" s="48" t="str">
        <f>IFERROR(__xludf.DUMMYFUNCTION("""COMPUTED_VALUE"""),"13/11/2024 10.45")</f>
        <v>13/11/2024 10.45</v>
      </c>
      <c r="G218" s="42" t="str">
        <f>IFERROR(__xludf.DUMMYFUNCTION("""COMPUTED_VALUE"""),"BN Lelang")</f>
        <v>BN Lelang</v>
      </c>
      <c r="H218" s="42">
        <f t="shared" si="1"/>
        <v>141</v>
      </c>
    </row>
    <row r="219" ht="22.5" customHeight="1">
      <c r="B219" s="42" t="str">
        <f>IFERROR(__xludf.DUMMYFUNCTION("""COMPUTED_VALUE"""),"K/48/041124/2")</f>
        <v>K/48/041124/2</v>
      </c>
      <c r="C219" s="42" t="str">
        <f>IFERROR(__xludf.DUMMYFUNCTION("""COMPUTED_VALUE"""),"M. 1113/ Pematang Wangi; M. 3217/ Tanjung Senang-dahulu")</f>
        <v>M. 1113/ Pematang Wangi; M. 3217/ Tanjung Senang-dahulu</v>
      </c>
      <c r="D219" s="42" t="str">
        <f>IFERROR(__xludf.DUMMYFUNCTION("""COMPUTED_VALUE"""),"David")</f>
        <v>David</v>
      </c>
      <c r="E219" s="42" t="str">
        <f>IFERROR(__xludf.DUMMYFUNCTION("""COMPUTED_VALUE"""),"DISERAHKAN")</f>
        <v>DISERAHKAN</v>
      </c>
      <c r="F219" s="48" t="str">
        <f>IFERROR(__xludf.DUMMYFUNCTION("""COMPUTED_VALUE"""),"12/11/2024 13.58")</f>
        <v>12/11/2024 13.58</v>
      </c>
      <c r="G219" s="42" t="str">
        <f>IFERROR(__xludf.DUMMYFUNCTION("""COMPUTED_VALUE"""),"BN Jual Beli")</f>
        <v>BN Jual Beli</v>
      </c>
      <c r="H219" s="42">
        <f t="shared" si="1"/>
        <v>142</v>
      </c>
    </row>
    <row r="220" ht="22.5" customHeight="1">
      <c r="B220" s="42" t="str">
        <f>IFERROR(__xludf.DUMMYFUNCTION("""COMPUTED_VALUE"""),"L/8/051124/1")</f>
        <v>L/8/051124/1</v>
      </c>
      <c r="C220" s="42" t="str">
        <f>IFERROR(__xludf.DUMMYFUNCTION("""COMPUTED_VALUE"""),"M.1311 /GUNUNG SULAH")</f>
        <v>M.1311 /GUNUNG SULAH</v>
      </c>
      <c r="D220" s="42" t="str">
        <f>IFERROR(__xludf.DUMMYFUNCTION("""COMPUTED_VALUE"""),"David")</f>
        <v>David</v>
      </c>
      <c r="E220" s="42" t="str">
        <f>IFERROR(__xludf.DUMMYFUNCTION("""COMPUTED_VALUE"""),"DISERAHKAN BT")</f>
        <v>DISERAHKAN BT</v>
      </c>
      <c r="F220" s="48" t="str">
        <f>IFERROR(__xludf.DUMMYFUNCTION("""COMPUTED_VALUE"""),"06/11/2024 13.34")</f>
        <v>06/11/2024 13.34</v>
      </c>
      <c r="G220" s="42" t="str">
        <f>IFERROR(__xludf.DUMMYFUNCTION("""COMPUTED_VALUE"""),"SERTIFIKAT PENGGANTI KARENA HILANG")</f>
        <v>SERTIFIKAT PENGGANTI KARENA HILANG</v>
      </c>
      <c r="H220" s="42">
        <f t="shared" si="1"/>
        <v>142</v>
      </c>
    </row>
    <row r="221" ht="22.5" customHeight="1">
      <c r="B221" s="42" t="str">
        <f>IFERROR(__xludf.DUMMYFUNCTION("""COMPUTED_VALUE"""),"K/7/051124/2")</f>
        <v>K/7/051124/2</v>
      </c>
      <c r="C221" s="42" t="str">
        <f>IFERROR(__xludf.DUMMYFUNCTION("""COMPUTED_VALUE"""),"m.1815/RAJABASA NUNYAI_SEKARANG;b.1210/RAJABASA-DAHULU")</f>
        <v>m.1815/RAJABASA NUNYAI_SEKARANG;b.1210/RAJABASA-DAHULU</v>
      </c>
      <c r="D221" s="42" t="str">
        <f>IFERROR(__xludf.DUMMYFUNCTION("""COMPUTED_VALUE"""),"David")</f>
        <v>David</v>
      </c>
      <c r="E221" s="42" t="str">
        <f>IFERROR(__xludf.DUMMYFUNCTION("""COMPUTED_VALUE"""),"DISERAHKAN")</f>
        <v>DISERAHKAN</v>
      </c>
      <c r="F221" s="48" t="str">
        <f>IFERROR(__xludf.DUMMYFUNCTION("""COMPUTED_VALUE"""),"13/11/2024 10.45")</f>
        <v>13/11/2024 10.45</v>
      </c>
      <c r="G221" s="42" t="str">
        <f>IFERROR(__xludf.DUMMYFUNCTION("""COMPUTED_VALUE"""),"BN JUAL BELI")</f>
        <v>BN JUAL BELI</v>
      </c>
      <c r="H221" s="42">
        <f t="shared" si="1"/>
        <v>143</v>
      </c>
    </row>
    <row r="222" ht="22.5" customHeight="1">
      <c r="B222" s="42" t="str">
        <f>IFERROR(__xludf.DUMMYFUNCTION("""COMPUTED_VALUE"""),"K/5/051124/1")</f>
        <v>K/5/051124/1</v>
      </c>
      <c r="C222" s="42" t="str">
        <f>IFERROR(__xludf.DUMMYFUNCTION("""COMPUTED_VALUE"""),"M. 4226/ LANGKAPURA")</f>
        <v>M. 4226/ LANGKAPURA</v>
      </c>
      <c r="D222" s="42" t="str">
        <f>IFERROR(__xludf.DUMMYFUNCTION("""COMPUTED_VALUE"""),"David")</f>
        <v>David</v>
      </c>
      <c r="E222" s="42" t="str">
        <f>IFERROR(__xludf.DUMMYFUNCTION("""COMPUTED_VALUE"""),"PROSES")</f>
        <v>PROSES</v>
      </c>
      <c r="F222" s="48" t="str">
        <f>IFERROR(__xludf.DUMMYFUNCTION("""COMPUTED_VALUE"""),"")</f>
        <v/>
      </c>
      <c r="G222" s="42" t="str">
        <f>IFERROR(__xludf.DUMMYFUNCTION("""COMPUTED_VALUE"""),"SERTIPKAT HILANG")</f>
        <v>SERTIPKAT HILANG</v>
      </c>
      <c r="H222" s="42">
        <f t="shared" si="1"/>
        <v>143</v>
      </c>
    </row>
    <row r="223" ht="22.5" customHeight="1">
      <c r="B223" s="42" t="str">
        <f>IFERROR(__xludf.DUMMYFUNCTION("""COMPUTED_VALUE"""),"L/18/051124/1")</f>
        <v>L/18/051124/1</v>
      </c>
      <c r="C223" s="42" t="str">
        <f>IFERROR(__xludf.DUMMYFUNCTION("""COMPUTED_VALUE"""),"M.4410/BERINGIN RAYA")</f>
        <v>M.4410/BERINGIN RAYA</v>
      </c>
      <c r="D223" s="42" t="str">
        <f>IFERROR(__xludf.DUMMYFUNCTION("""COMPUTED_VALUE"""),"David")</f>
        <v>David</v>
      </c>
      <c r="E223" s="42" t="str">
        <f>IFERROR(__xludf.DUMMYFUNCTION("""COMPUTED_VALUE"""),"DISERAHKAN")</f>
        <v>DISERAHKAN</v>
      </c>
      <c r="F223" s="48" t="str">
        <f>IFERROR(__xludf.DUMMYFUNCTION("""COMPUTED_VALUE"""),"06/11/2024 13.38")</f>
        <v>06/11/2024 13.38</v>
      </c>
      <c r="G223" s="42" t="str">
        <f>IFERROR(__xludf.DUMMYFUNCTION("""COMPUTED_VALUE"""),"ROYA")</f>
        <v>ROYA</v>
      </c>
      <c r="H223" s="42">
        <f t="shared" si="1"/>
        <v>144</v>
      </c>
    </row>
    <row r="224" ht="22.5" customHeight="1">
      <c r="B224" s="42" t="str">
        <f>IFERROR(__xludf.DUMMYFUNCTION("""COMPUTED_VALUE"""),"K/23/051124/1")</f>
        <v>K/23/051124/1</v>
      </c>
      <c r="C224" s="42" t="str">
        <f>IFERROR(__xludf.DUMMYFUNCTION("""COMPUTED_VALUE"""),"Nibel 641/ Gunung Sulah")</f>
        <v>Nibel 641/ Gunung Sulah</v>
      </c>
      <c r="D224" s="42"/>
      <c r="E224" s="42"/>
      <c r="F224" s="48" t="str">
        <f>IFERROR(__xludf.DUMMYFUNCTION("""COMPUTED_VALUE"""),"")</f>
        <v/>
      </c>
      <c r="G224" s="42" t="str">
        <f>IFERROR(__xludf.DUMMYFUNCTION("""COMPUTED_VALUE"""),"BN JUAL BELI")</f>
        <v>BN JUAL BELI</v>
      </c>
      <c r="H224" s="42">
        <f t="shared" si="1"/>
        <v>144</v>
      </c>
    </row>
    <row r="225" ht="22.5" customHeight="1">
      <c r="B225" s="42" t="str">
        <f>IFERROR(__xludf.DUMMYFUNCTION("""COMPUTED_VALUE"""),"K/26/051124/1")</f>
        <v>K/26/051124/1</v>
      </c>
      <c r="C225" s="42" t="str">
        <f>IFERROR(__xludf.DUMMYFUNCTION("""COMPUTED_VALUE"""),"M. 14387/ Rajabasa; SHT 2838/ 2018")</f>
        <v>M. 14387/ Rajabasa; SHT 2838/ 2018</v>
      </c>
      <c r="D225" s="42" t="str">
        <f>IFERROR(__xludf.DUMMYFUNCTION("""COMPUTED_VALUE"""),"David")</f>
        <v>David</v>
      </c>
      <c r="E225" s="42" t="str">
        <f>IFERROR(__xludf.DUMMYFUNCTION("""COMPUTED_VALUE"""),"PROSES")</f>
        <v>PROSES</v>
      </c>
      <c r="F225" s="48" t="str">
        <f>IFERROR(__xludf.DUMMYFUNCTION("""COMPUTED_VALUE"""),"")</f>
        <v/>
      </c>
      <c r="G225" s="42" t="str">
        <f>IFERROR(__xludf.DUMMYFUNCTION("""COMPUTED_VALUE"""),"Roya")</f>
        <v>Roya</v>
      </c>
      <c r="H225" s="42">
        <f t="shared" si="1"/>
        <v>144</v>
      </c>
    </row>
    <row r="226" ht="22.5" customHeight="1">
      <c r="B226" s="42" t="str">
        <f>IFERROR(__xludf.DUMMYFUNCTION("""COMPUTED_VALUE"""),"L/31/051124/1")</f>
        <v>L/31/051124/1</v>
      </c>
      <c r="C226" s="42" t="str">
        <f>IFERROR(__xludf.DUMMYFUNCTION("""COMPUTED_VALUE"""),"M.286/LABUHAN RATU RAYA")</f>
        <v>M.286/LABUHAN RATU RAYA</v>
      </c>
      <c r="D226" s="42" t="str">
        <f>IFERROR(__xludf.DUMMYFUNCTION("""COMPUTED_VALUE"""),"Berry")</f>
        <v>Berry</v>
      </c>
      <c r="E226" s="42" t="str">
        <f>IFERROR(__xludf.DUMMYFUNCTION("""COMPUTED_VALUE"""),"DISERAHKAN")</f>
        <v>DISERAHKAN</v>
      </c>
      <c r="F226" s="48" t="str">
        <f>IFERROR(__xludf.DUMMYFUNCTION("""COMPUTED_VALUE"""),"06/11/2024 13.42")</f>
        <v>06/11/2024 13.42</v>
      </c>
      <c r="G226" s="42" t="str">
        <f>IFERROR(__xludf.DUMMYFUNCTION("""COMPUTED_VALUE"""),"ROYA")</f>
        <v>ROYA</v>
      </c>
      <c r="H226" s="42">
        <f t="shared" si="1"/>
        <v>145</v>
      </c>
    </row>
    <row r="227" ht="22.5" customHeight="1">
      <c r="B227" s="42" t="str">
        <f>IFERROR(__xludf.DUMMYFUNCTION("""COMPUTED_VALUE"""),"L/33/051124/1")</f>
        <v>L/33/051124/1</v>
      </c>
      <c r="C227" s="42" t="str">
        <f>IFERROR(__xludf.DUMMYFUNCTION("""COMPUTED_VALUE"""),"M.154/SUSUNAN BARU")</f>
        <v>M.154/SUSUNAN BARU</v>
      </c>
      <c r="D227" s="42" t="str">
        <f>IFERROR(__xludf.DUMMYFUNCTION("""COMPUTED_VALUE"""),"Berry")</f>
        <v>Berry</v>
      </c>
      <c r="E227" s="42" t="str">
        <f>IFERROR(__xludf.DUMMYFUNCTION("""COMPUTED_VALUE"""),"PROSES")</f>
        <v>PROSES</v>
      </c>
      <c r="F227" s="48" t="str">
        <f>IFERROR(__xludf.DUMMYFUNCTION("""COMPUTED_VALUE"""),"")</f>
        <v/>
      </c>
      <c r="G227" s="42" t="str">
        <f>IFERROR(__xludf.DUMMYFUNCTION("""COMPUTED_VALUE"""),"SERTIPIKAT PENGGANTI KARENA HILANG")</f>
        <v>SERTIPIKAT PENGGANTI KARENA HILANG</v>
      </c>
      <c r="H227" s="42">
        <f t="shared" si="1"/>
        <v>145</v>
      </c>
    </row>
    <row r="228" ht="22.5" customHeight="1">
      <c r="B228" s="42" t="str">
        <f>IFERROR(__xludf.DUMMYFUNCTION("""COMPUTED_VALUE"""),"K/38/051124/1")</f>
        <v>K/38/051124/1</v>
      </c>
      <c r="C228" s="42" t="str">
        <f>IFERROR(__xludf.DUMMYFUNCTION("""COMPUTED_VALUE"""),"M.573/PERUMNAS WAY KANDIS-SEKARANG;B.419/WAY KANDIS")</f>
        <v>M.573/PERUMNAS WAY KANDIS-SEKARANG;B.419/WAY KANDIS</v>
      </c>
      <c r="D228" s="42" t="str">
        <f>IFERROR(__xludf.DUMMYFUNCTION("""COMPUTED_VALUE"""),"Berry")</f>
        <v>Berry</v>
      </c>
      <c r="E228" s="42" t="str">
        <f>IFERROR(__xludf.DUMMYFUNCTION("""COMPUTED_VALUE"""),"DISERAHKAN")</f>
        <v>DISERAHKAN</v>
      </c>
      <c r="F228" s="48" t="str">
        <f>IFERROR(__xludf.DUMMYFUNCTION("""COMPUTED_VALUE"""),"06/11/2024 13.41")</f>
        <v>06/11/2024 13.41</v>
      </c>
      <c r="G228" s="42" t="str">
        <f>IFERROR(__xludf.DUMMYFUNCTION("""COMPUTED_VALUE"""),"BN JUAL BELI")</f>
        <v>BN JUAL BELI</v>
      </c>
      <c r="H228" s="42">
        <f t="shared" si="1"/>
        <v>146</v>
      </c>
    </row>
    <row r="229" ht="22.5" customHeight="1">
      <c r="B229" s="42" t="str">
        <f>IFERROR(__xludf.DUMMYFUNCTION("""COMPUTED_VALUE"""),"K/36/051124/2")</f>
        <v>K/36/051124/2</v>
      </c>
      <c r="C229" s="42" t="str">
        <f>IFERROR(__xludf.DUMMYFUNCTION("""COMPUTED_VALUE"""),"M. 2167/ Labuhan Dalam")</f>
        <v>M. 2167/ Labuhan Dalam</v>
      </c>
      <c r="D229" s="42"/>
      <c r="E229" s="42"/>
      <c r="F229" s="48" t="str">
        <f>IFERROR(__xludf.DUMMYFUNCTION("""COMPUTED_VALUE"""),"")</f>
        <v/>
      </c>
      <c r="G229" s="42" t="str">
        <f>IFERROR(__xludf.DUMMYFUNCTION("""COMPUTED_VALUE"""),"HAPUS BPHTB")</f>
        <v>HAPUS BPHTB</v>
      </c>
      <c r="H229" s="42">
        <f t="shared" si="1"/>
        <v>146</v>
      </c>
    </row>
    <row r="230" ht="22.5" customHeight="1">
      <c r="B230" s="42" t="str">
        <f>IFERROR(__xludf.DUMMYFUNCTION("""COMPUTED_VALUE"""),"L/45/051124/1")</f>
        <v>L/45/051124/1</v>
      </c>
      <c r="C230" s="42" t="str">
        <f>IFERROR(__xludf.DUMMYFUNCTION("""COMPUTED_VALUE"""),"SURABAYA")</f>
        <v>SURABAYA</v>
      </c>
      <c r="D230" s="42"/>
      <c r="E230" s="42"/>
      <c r="F230" s="48" t="str">
        <f>IFERROR(__xludf.DUMMYFUNCTION("""COMPUTED_VALUE"""),"")</f>
        <v/>
      </c>
      <c r="G230" s="42" t="str">
        <f>IFERROR(__xludf.DUMMYFUNCTION("""COMPUTED_VALUE"""),"ASPEK")</f>
        <v>ASPEK</v>
      </c>
      <c r="H230" s="42">
        <f t="shared" si="1"/>
        <v>146</v>
      </c>
    </row>
    <row r="231" ht="22.5" customHeight="1">
      <c r="B231" s="42" t="str">
        <f>IFERROR(__xludf.DUMMYFUNCTION("""COMPUTED_VALUE"""),"L/49/051124/1")</f>
        <v>L/49/051124/1</v>
      </c>
      <c r="C231" s="42" t="str">
        <f>IFERROR(__xludf.DUMMYFUNCTION("""COMPUTED_VALUE"""),"M.1669/KALIAWI")</f>
        <v>M.1669/KALIAWI</v>
      </c>
      <c r="D231" s="42" t="str">
        <f>IFERROR(__xludf.DUMMYFUNCTION("""COMPUTED_VALUE"""),"Berry")</f>
        <v>Berry</v>
      </c>
      <c r="E231" s="42" t="str">
        <f>IFERROR(__xludf.DUMMYFUNCTION("""COMPUTED_VALUE"""),"DISERAHKAN")</f>
        <v>DISERAHKAN</v>
      </c>
      <c r="F231" s="48" t="str">
        <f>IFERROR(__xludf.DUMMYFUNCTION("""COMPUTED_VALUE"""),"06/11/2024 13.43")</f>
        <v>06/11/2024 13.43</v>
      </c>
      <c r="G231" s="42" t="str">
        <f>IFERROR(__xludf.DUMMYFUNCTION("""COMPUTED_VALUE"""),"ROYA")</f>
        <v>ROYA</v>
      </c>
      <c r="H231" s="42">
        <f t="shared" si="1"/>
        <v>147</v>
      </c>
    </row>
    <row r="232" ht="22.5" customHeight="1">
      <c r="B232" s="42" t="str">
        <f>IFERROR(__xludf.DUMMYFUNCTION("""COMPUTED_VALUE"""),"K/3/061124/2")</f>
        <v>K/3/061124/2</v>
      </c>
      <c r="C232" s="42" t="str">
        <f>IFERROR(__xludf.DUMMYFUNCTION("""COMPUTED_VALUE"""),"M.1588/SUMUR BATU")</f>
        <v>M.1588/SUMUR BATU</v>
      </c>
      <c r="D232" s="42"/>
      <c r="E232" s="42"/>
      <c r="F232" s="48" t="str">
        <f>IFERROR(__xludf.DUMMYFUNCTION("""COMPUTED_VALUE"""),"")</f>
        <v/>
      </c>
      <c r="G232" s="42" t="str">
        <f>IFERROR(__xludf.DUMMYFUNCTION("""COMPUTED_VALUE"""),"PENGUKURAN ULANG")</f>
        <v>PENGUKURAN ULANG</v>
      </c>
      <c r="H232" s="42">
        <f t="shared" si="1"/>
        <v>147</v>
      </c>
    </row>
    <row r="233" ht="22.5" customHeight="1">
      <c r="B233" s="42" t="str">
        <f>IFERROR(__xludf.DUMMYFUNCTION("""COMPUTED_VALUE"""),"L/7/061124/1")</f>
        <v>L/7/061124/1</v>
      </c>
      <c r="C233" s="42" t="str">
        <f>IFERROR(__xludf.DUMMYFUNCTION("""COMPUTED_VALUE"""),"HM 1120/BUMI KEDAMAIAN")</f>
        <v>HM 1120/BUMI KEDAMAIAN</v>
      </c>
      <c r="D233" s="42"/>
      <c r="E233" s="42"/>
      <c r="F233" s="48" t="str">
        <f>IFERROR(__xludf.DUMMYFUNCTION("""COMPUTED_VALUE"""),"")</f>
        <v/>
      </c>
      <c r="G233" s="42" t="str">
        <f>IFERROR(__xludf.DUMMYFUNCTION("""COMPUTED_VALUE"""),"BLOKIR")</f>
        <v>BLOKIR</v>
      </c>
      <c r="H233" s="42">
        <f t="shared" si="1"/>
        <v>147</v>
      </c>
    </row>
    <row r="234" ht="22.5" customHeight="1">
      <c r="B234" s="42" t="str">
        <f>IFERROR(__xludf.DUMMYFUNCTION("""COMPUTED_VALUE"""),"L/13/061124/1")</f>
        <v>L/13/061124/1</v>
      </c>
      <c r="C234" s="42" t="str">
        <f>IFERROR(__xludf.DUMMYFUNCTION("""COMPUTED_VALUE"""),"RAJABASA JAYA")</f>
        <v>RAJABASA JAYA</v>
      </c>
      <c r="D234" s="42"/>
      <c r="E234" s="42"/>
      <c r="F234" s="48" t="str">
        <f>IFERROR(__xludf.DUMMYFUNCTION("""COMPUTED_VALUE"""),"")</f>
        <v/>
      </c>
      <c r="G234" s="42" t="str">
        <f>IFERROR(__xludf.DUMMYFUNCTION("""COMPUTED_VALUE"""),"PERTAMA KALI")</f>
        <v>PERTAMA KALI</v>
      </c>
      <c r="H234" s="42">
        <f t="shared" si="1"/>
        <v>147</v>
      </c>
    </row>
    <row r="235" ht="22.5" customHeight="1">
      <c r="B235" s="42" t="str">
        <f>IFERROR(__xludf.DUMMYFUNCTION("""COMPUTED_VALUE"""),"L/18/061124/1")</f>
        <v>L/18/061124/1</v>
      </c>
      <c r="C235" s="42" t="str">
        <f>IFERROR(__xludf.DUMMYFUNCTION("""COMPUTED_VALUE"""),"HM 13595/SUKABUMI")</f>
        <v>HM 13595/SUKABUMI</v>
      </c>
      <c r="D235" s="42" t="str">
        <f>IFERROR(__xludf.DUMMYFUNCTION("""COMPUTED_VALUE"""),"Berry")</f>
        <v>Berry</v>
      </c>
      <c r="E235" s="42" t="str">
        <f>IFERROR(__xludf.DUMMYFUNCTION("""COMPUTED_VALUE"""),"DISERAHKAN")</f>
        <v>DISERAHKAN</v>
      </c>
      <c r="F235" s="48" t="str">
        <f>IFERROR(__xludf.DUMMYFUNCTION("""COMPUTED_VALUE"""),"08/11/2024 14.56")</f>
        <v>08/11/2024 14.56</v>
      </c>
      <c r="G235" s="42" t="str">
        <f>IFERROR(__xludf.DUMMYFUNCTION("""COMPUTED_VALUE"""),"ROYA")</f>
        <v>ROYA</v>
      </c>
      <c r="H235" s="42">
        <f t="shared" si="1"/>
        <v>148</v>
      </c>
    </row>
    <row r="236" ht="22.5" customHeight="1">
      <c r="B236" s="42" t="str">
        <f>IFERROR(__xludf.DUMMYFUNCTION("""COMPUTED_VALUE"""),"L/20/061124/1")</f>
        <v>L/20/061124/1</v>
      </c>
      <c r="C236" s="42" t="str">
        <f>IFERROR(__xludf.DUMMYFUNCTION("""COMPUTED_VALUE"""),"HM 2606/WAY KANDIS")</f>
        <v>HM 2606/WAY KANDIS</v>
      </c>
      <c r="D236" s="42"/>
      <c r="E236" s="42"/>
      <c r="F236" s="48" t="str">
        <f>IFERROR(__xludf.DUMMYFUNCTION("""COMPUTED_VALUE"""),"")</f>
        <v/>
      </c>
      <c r="G236" s="42" t="str">
        <f>IFERROR(__xludf.DUMMYFUNCTION("""COMPUTED_VALUE"""),"PTPGT")</f>
        <v>PTPGT</v>
      </c>
      <c r="H236" s="42">
        <f t="shared" si="1"/>
        <v>148</v>
      </c>
    </row>
    <row r="237" ht="22.5" customHeight="1">
      <c r="B237" s="42" t="str">
        <f>IFERROR(__xludf.DUMMYFUNCTION("""COMPUTED_VALUE"""),"L/22/061124/1")</f>
        <v>L/22/061124/1</v>
      </c>
      <c r="C237" s="42" t="str">
        <f>IFERROR(__xludf.DUMMYFUNCTION("""COMPUTED_VALUE"""),"HGB 216/RAJABASA PEMUKA")</f>
        <v>HGB 216/RAJABASA PEMUKA</v>
      </c>
      <c r="D237" s="42" t="str">
        <f>IFERROR(__xludf.DUMMYFUNCTION("""COMPUTED_VALUE"""),"Berry")</f>
        <v>Berry</v>
      </c>
      <c r="E237" s="42" t="str">
        <f>IFERROR(__xludf.DUMMYFUNCTION("""COMPUTED_VALUE"""),"PROSES")</f>
        <v>PROSES</v>
      </c>
      <c r="F237" s="48" t="str">
        <f>IFERROR(__xludf.DUMMYFUNCTION("""COMPUTED_VALUE"""),"")</f>
        <v/>
      </c>
      <c r="G237" s="42" t="str">
        <f>IFERROR(__xludf.DUMMYFUNCTION("""COMPUTED_VALUE"""),"PERUBAHAN HAK")</f>
        <v>PERUBAHAN HAK</v>
      </c>
      <c r="H237" s="42">
        <f t="shared" si="1"/>
        <v>148</v>
      </c>
    </row>
    <row r="238" ht="22.5" customHeight="1">
      <c r="B238" s="42" t="str">
        <f>IFERROR(__xludf.DUMMYFUNCTION("""COMPUTED_VALUE"""),"K/24/061124/1")</f>
        <v>K/24/061124/1</v>
      </c>
      <c r="C238" s="42" t="str">
        <f>IFERROR(__xludf.DUMMYFUNCTION("""COMPUTED_VALUE"""),"B. 388/ Panjang Utara")</f>
        <v>B. 388/ Panjang Utara</v>
      </c>
      <c r="D238" s="42" t="str">
        <f>IFERROR(__xludf.DUMMYFUNCTION("""COMPUTED_VALUE"""),"Berry")</f>
        <v>Berry</v>
      </c>
      <c r="E238" s="42" t="str">
        <f>IFERROR(__xludf.DUMMYFUNCTION("""COMPUTED_VALUE"""),"DISERAHKAN")</f>
        <v>DISERAHKAN</v>
      </c>
      <c r="F238" s="48" t="str">
        <f>IFERROR(__xludf.DUMMYFUNCTION("""COMPUTED_VALUE"""),"08/11/2024 14.58")</f>
        <v>08/11/2024 14.58</v>
      </c>
      <c r="G238" s="42" t="str">
        <f>IFERROR(__xludf.DUMMYFUNCTION("""COMPUTED_VALUE"""),"PERUBAHAN HAK")</f>
        <v>PERUBAHAN HAK</v>
      </c>
      <c r="H238" s="42">
        <f t="shared" si="1"/>
        <v>149</v>
      </c>
    </row>
    <row r="239" ht="22.5" customHeight="1">
      <c r="B239" s="42" t="str">
        <f>IFERROR(__xludf.DUMMYFUNCTION("""COMPUTED_VALUE"""),"L//061124/1")</f>
        <v>L//061124/1</v>
      </c>
      <c r="C239" s="42" t="str">
        <f>IFERROR(__xludf.DUMMYFUNCTION("""COMPUTED_VALUE"""),"BATU PUTUK")</f>
        <v>BATU PUTUK</v>
      </c>
      <c r="D239" s="42"/>
      <c r="E239" s="42"/>
      <c r="F239" s="48" t="str">
        <f>IFERROR(__xludf.DUMMYFUNCTION("""COMPUTED_VALUE"""),"")</f>
        <v/>
      </c>
      <c r="G239" s="42" t="str">
        <f>IFERROR(__xludf.DUMMYFUNCTION("""COMPUTED_VALUE"""),"TANAH MENTAH")</f>
        <v>TANAH MENTAH</v>
      </c>
      <c r="H239" s="42">
        <f t="shared" si="1"/>
        <v>149</v>
      </c>
    </row>
    <row r="240" ht="22.5" customHeight="1">
      <c r="B240" s="42" t="str">
        <f>IFERROR(__xludf.DUMMYFUNCTION("""COMPUTED_VALUE"""),"L/28/061124/3")</f>
        <v>L/28/061124/3</v>
      </c>
      <c r="C240" s="42" t="str">
        <f>IFERROR(__xludf.DUMMYFUNCTION("""COMPUTED_VALUE"""),"BATU PUTU")</f>
        <v>BATU PUTU</v>
      </c>
      <c r="D240" s="42"/>
      <c r="E240" s="42"/>
      <c r="F240" s="48" t="str">
        <f>IFERROR(__xludf.DUMMYFUNCTION("""COMPUTED_VALUE"""),"")</f>
        <v/>
      </c>
      <c r="G240" s="42" t="str">
        <f>IFERROR(__xludf.DUMMYFUNCTION("""COMPUTED_VALUE"""),"TANAH MENTAH")</f>
        <v>TANAH MENTAH</v>
      </c>
      <c r="H240" s="42">
        <f t="shared" si="1"/>
        <v>149</v>
      </c>
    </row>
    <row r="241" ht="22.5" customHeight="1">
      <c r="B241" s="42" t="str">
        <f>IFERROR(__xludf.DUMMYFUNCTION("""COMPUTED_VALUE"""),"L/37/061124/1")</f>
        <v>L/37/061124/1</v>
      </c>
      <c r="C241" s="42" t="str">
        <f>IFERROR(__xludf.DUMMYFUNCTION("""COMPUTED_VALUE"""),"HGB 811/KETEGUHAN")</f>
        <v>HGB 811/KETEGUHAN</v>
      </c>
      <c r="D241" s="42" t="str">
        <f>IFERROR(__xludf.DUMMYFUNCTION("""COMPUTED_VALUE"""),"Berry")</f>
        <v>Berry</v>
      </c>
      <c r="E241" s="42" t="str">
        <f>IFERROR(__xludf.DUMMYFUNCTION("""COMPUTED_VALUE"""),"DISERAHKAN")</f>
        <v>DISERAHKAN</v>
      </c>
      <c r="F241" s="48" t="str">
        <f>IFERROR(__xludf.DUMMYFUNCTION("""COMPUTED_VALUE"""),"08/11/2024 15.00")</f>
        <v>08/11/2024 15.00</v>
      </c>
      <c r="G241" s="42" t="str">
        <f>IFERROR(__xludf.DUMMYFUNCTION("""COMPUTED_VALUE"""),"PH")</f>
        <v>PH</v>
      </c>
      <c r="H241" s="42">
        <f t="shared" si="1"/>
        <v>150</v>
      </c>
    </row>
    <row r="242" ht="22.5" customHeight="1">
      <c r="B242" s="42" t="str">
        <f>IFERROR(__xludf.DUMMYFUNCTION("""COMPUTED_VALUE"""),"L/41/061124/1")</f>
        <v>L/41/061124/1</v>
      </c>
      <c r="C242" s="42" t="str">
        <f>IFERROR(__xludf.DUMMYFUNCTION("""COMPUTED_VALUE"""),"HM 13950/SUKABUMI")</f>
        <v>HM 13950/SUKABUMI</v>
      </c>
      <c r="D242" s="42"/>
      <c r="E242" s="42"/>
      <c r="F242" s="48" t="str">
        <f>IFERROR(__xludf.DUMMYFUNCTION("""COMPUTED_VALUE"""),"")</f>
        <v/>
      </c>
      <c r="G242" s="42" t="str">
        <f>IFERROR(__xludf.DUMMYFUNCTION("""COMPUTED_VALUE"""),"PTPGT")</f>
        <v>PTPGT</v>
      </c>
      <c r="H242" s="42">
        <f t="shared" si="1"/>
        <v>150</v>
      </c>
    </row>
    <row r="243" ht="22.5" customHeight="1">
      <c r="B243" s="42" t="str">
        <f>IFERROR(__xludf.DUMMYFUNCTION("""COMPUTED_VALUE"""),"K/42/061124/1")</f>
        <v>K/42/061124/1</v>
      </c>
      <c r="C243" s="42" t="str">
        <f>IFERROR(__xludf.DUMMYFUNCTION("""COMPUTED_VALUE"""),"M. 2206/ Perumnas Way Halim")</f>
        <v>M. 2206/ Perumnas Way Halim</v>
      </c>
      <c r="D243" s="42" t="str">
        <f>IFERROR(__xludf.DUMMYFUNCTION("""COMPUTED_VALUE"""),"Berry")</f>
        <v>Berry</v>
      </c>
      <c r="E243" s="42" t="str">
        <f>IFERROR(__xludf.DUMMYFUNCTION("""COMPUTED_VALUE"""),"DISERAHKAN")</f>
        <v>DISERAHKAN</v>
      </c>
      <c r="F243" s="48" t="str">
        <f>IFERROR(__xludf.DUMMYFUNCTION("""COMPUTED_VALUE"""),"08/11/2024 15.01")</f>
        <v>08/11/2024 15.01</v>
      </c>
      <c r="G243" s="42" t="str">
        <f>IFERROR(__xludf.DUMMYFUNCTION("""COMPUTED_VALUE"""),"BN JUAL BELI")</f>
        <v>BN JUAL BELI</v>
      </c>
      <c r="H243" s="42">
        <f t="shared" si="1"/>
        <v>151</v>
      </c>
    </row>
    <row r="244" ht="22.5" customHeight="1">
      <c r="B244" s="42" t="str">
        <f>IFERROR(__xludf.DUMMYFUNCTION("""COMPUTED_VALUE"""),"K/40/311024/2")</f>
        <v>K/40/311024/2</v>
      </c>
      <c r="C244" s="42" t="str">
        <f>IFERROR(__xludf.DUMMYFUNCTION("""COMPUTED_VALUE"""),"M.1183/PERUMNAS WAY KANDIS")</f>
        <v>M.1183/PERUMNAS WAY KANDIS</v>
      </c>
      <c r="D244" s="42" t="str">
        <f>IFERROR(__xludf.DUMMYFUNCTION("""COMPUTED_VALUE"""),"David")</f>
        <v>David</v>
      </c>
      <c r="E244" s="42" t="str">
        <f>IFERROR(__xludf.DUMMYFUNCTION("""COMPUTED_VALUE"""),"DISERAHKAN")</f>
        <v>DISERAHKAN</v>
      </c>
      <c r="F244" s="48" t="str">
        <f>IFERROR(__xludf.DUMMYFUNCTION("""COMPUTED_VALUE"""),"04/11/2024 09.22")</f>
        <v>04/11/2024 09.22</v>
      </c>
      <c r="G244" s="42" t="str">
        <f>IFERROR(__xludf.DUMMYFUNCTION("""COMPUTED_VALUE"""),"BN JUAL BELI")</f>
        <v>BN JUAL BELI</v>
      </c>
      <c r="H244" s="42">
        <f t="shared" si="1"/>
        <v>152</v>
      </c>
    </row>
    <row r="245" ht="22.5" customHeight="1">
      <c r="B245" s="42" t="str">
        <f>IFERROR(__xludf.DUMMYFUNCTION("""COMPUTED_VALUE"""),"K/48/061124/2")</f>
        <v>K/48/061124/2</v>
      </c>
      <c r="C245" s="42" t="str">
        <f>IFERROR(__xludf.DUMMYFUNCTION("""COMPUTED_VALUE"""),"M.3451/KOTABARU-SEKARANG;B.211/KOTA BARU-DAHULU")</f>
        <v>M.3451/KOTABARU-SEKARANG;B.211/KOTA BARU-DAHULU</v>
      </c>
      <c r="D245" s="42" t="str">
        <f>IFERROR(__xludf.DUMMYFUNCTION("""COMPUTED_VALUE"""),"Berry")</f>
        <v>Berry</v>
      </c>
      <c r="E245" s="42" t="str">
        <f>IFERROR(__xludf.DUMMYFUNCTION("""COMPUTED_VALUE"""),"DISERAHKAN")</f>
        <v>DISERAHKAN</v>
      </c>
      <c r="F245" s="48" t="str">
        <f>IFERROR(__xludf.DUMMYFUNCTION("""COMPUTED_VALUE"""),"08/11/2024 15.02")</f>
        <v>08/11/2024 15.02</v>
      </c>
      <c r="G245" s="42" t="str">
        <f>IFERROR(__xludf.DUMMYFUNCTION("""COMPUTED_VALUE"""),"BN JUAL BELI")</f>
        <v>BN JUAL BELI</v>
      </c>
      <c r="H245" s="42">
        <f t="shared" si="1"/>
        <v>153</v>
      </c>
    </row>
    <row r="246" ht="22.5" customHeight="1">
      <c r="B246" s="42" t="str">
        <f>IFERROR(__xludf.DUMMYFUNCTION("""COMPUTED_VALUE"""),"K/39/061124/1")</f>
        <v>K/39/061124/1</v>
      </c>
      <c r="C246" s="42" t="str">
        <f>IFERROR(__xludf.DUMMYFUNCTION("""COMPUTED_VALUE"""),"PBT. 148/2024")</f>
        <v>PBT. 148/2024</v>
      </c>
      <c r="D246" s="42"/>
      <c r="E246" s="42"/>
      <c r="F246" s="48" t="str">
        <f>IFERROR(__xludf.DUMMYFUNCTION("""COMPUTED_VALUE"""),"")</f>
        <v/>
      </c>
      <c r="G246" s="42" t="str">
        <f>IFERROR(__xludf.DUMMYFUNCTION("""COMPUTED_VALUE"""),"PTPGT (Pertama Kali)")</f>
        <v>PTPGT (Pertama Kali)</v>
      </c>
      <c r="H246" s="42">
        <f t="shared" si="1"/>
        <v>153</v>
      </c>
    </row>
    <row r="247" ht="22.5" customHeight="1">
      <c r="B247" s="42" t="str">
        <f>IFERROR(__xludf.DUMMYFUNCTION("""COMPUTED_VALUE"""),"K/53/061124/1")</f>
        <v>K/53/061124/1</v>
      </c>
      <c r="C247" s="42" t="str">
        <f>IFERROR(__xludf.DUMMYFUNCTION("""COMPUTED_VALUE"""),"M.11612/SEGALA MIDER")</f>
        <v>M.11612/SEGALA MIDER</v>
      </c>
      <c r="D247" s="42" t="str">
        <f>IFERROR(__xludf.DUMMYFUNCTION("""COMPUTED_VALUE"""),"David")</f>
        <v>David</v>
      </c>
      <c r="E247" s="42" t="str">
        <f>IFERROR(__xludf.DUMMYFUNCTION("""COMPUTED_VALUE"""),"DISERAHKAN")</f>
        <v>DISERAHKAN</v>
      </c>
      <c r="F247" s="48" t="str">
        <f>IFERROR(__xludf.DUMMYFUNCTION("""COMPUTED_VALUE"""),"08/11/2024 15.06")</f>
        <v>08/11/2024 15.06</v>
      </c>
      <c r="G247" s="42" t="str">
        <f>IFERROR(__xludf.DUMMYFUNCTION("""COMPUTED_VALUE"""),"ROYA")</f>
        <v>ROYA</v>
      </c>
      <c r="H247" s="42">
        <f t="shared" si="1"/>
        <v>154</v>
      </c>
    </row>
    <row r="248" ht="22.5" customHeight="1">
      <c r="B248" s="42" t="str">
        <f>IFERROR(__xludf.DUMMYFUNCTION("""COMPUTED_VALUE"""),"K/54/061124/1")</f>
        <v>K/54/061124/1</v>
      </c>
      <c r="C248" s="42" t="str">
        <f>IFERROR(__xludf.DUMMYFUNCTION("""COMPUTED_VALUE"""),"B. 121/ Kupang Kota")</f>
        <v>B. 121/ Kupang Kota</v>
      </c>
      <c r="D248" s="42"/>
      <c r="E248" s="42"/>
      <c r="F248" s="48" t="str">
        <f>IFERROR(__xludf.DUMMYFUNCTION("""COMPUTED_VALUE"""),"")</f>
        <v/>
      </c>
      <c r="G248" s="42" t="str">
        <f>IFERROR(__xludf.DUMMYFUNCTION("""COMPUTED_VALUE"""),"PTPGT (Perpanjangan)")</f>
        <v>PTPGT (Perpanjangan)</v>
      </c>
      <c r="H248" s="42">
        <f t="shared" si="1"/>
        <v>154</v>
      </c>
    </row>
    <row r="249" ht="22.5" customHeight="1">
      <c r="B249" s="42" t="str">
        <f>IFERROR(__xludf.DUMMYFUNCTION("""COMPUTED_VALUE"""),"K/55/061124/2")</f>
        <v>K/55/061124/2</v>
      </c>
      <c r="C249" s="42" t="str">
        <f>IFERROR(__xludf.DUMMYFUNCTION("""COMPUTED_VALUE"""),"B. 120/ Kupang Kota	")</f>
        <v>B. 120/ Kupang Kota	</v>
      </c>
      <c r="D249" s="42"/>
      <c r="E249" s="42"/>
      <c r="F249" s="48" t="str">
        <f>IFERROR(__xludf.DUMMYFUNCTION("""COMPUTED_VALUE"""),"")</f>
        <v/>
      </c>
      <c r="G249" s="42" t="str">
        <f>IFERROR(__xludf.DUMMYFUNCTION("""COMPUTED_VALUE"""),"PTPGT (Perpanjangan)")</f>
        <v>PTPGT (Perpanjangan)</v>
      </c>
      <c r="H249" s="42">
        <f t="shared" si="1"/>
        <v>154</v>
      </c>
    </row>
    <row r="250" ht="22.5" customHeight="1">
      <c r="B250" s="42" t="str">
        <f>IFERROR(__xludf.DUMMYFUNCTION("""COMPUTED_VALUE"""),"K/49/061124/3")</f>
        <v>K/49/061124/3</v>
      </c>
      <c r="C250" s="42" t="str">
        <f>IFERROR(__xludf.DUMMYFUNCTION("""COMPUTED_VALUE"""),"B.1777/JAGABAYA II-SEKARANG;B.354/JAGABAYA III-DAHULU")</f>
        <v>B.1777/JAGABAYA II-SEKARANG;B.354/JAGABAYA III-DAHULU</v>
      </c>
      <c r="D250" s="42" t="str">
        <f>IFERROR(__xludf.DUMMYFUNCTION("""COMPUTED_VALUE"""),"David")</f>
        <v>David</v>
      </c>
      <c r="E250" s="42" t="str">
        <f>IFERROR(__xludf.DUMMYFUNCTION("""COMPUTED_VALUE"""),"DISERAHKAN BT")</f>
        <v>DISERAHKAN BT</v>
      </c>
      <c r="F250" s="48" t="str">
        <f>IFERROR(__xludf.DUMMYFUNCTION("""COMPUTED_VALUE"""),"08/11/2024 15.06")</f>
        <v>08/11/2024 15.06</v>
      </c>
      <c r="G250" s="42" t="str">
        <f>IFERROR(__xludf.DUMMYFUNCTION("""COMPUTED_VALUE"""),"PH")</f>
        <v>PH</v>
      </c>
      <c r="H250" s="42">
        <f t="shared" si="1"/>
        <v>154</v>
      </c>
    </row>
    <row r="251" ht="22.5" customHeight="1">
      <c r="B251" s="42" t="str">
        <f>IFERROR(__xludf.DUMMYFUNCTION("""COMPUTED_VALUE"""),"K/3/071124/1")</f>
        <v>K/3/071124/1</v>
      </c>
      <c r="C251" s="42" t="str">
        <f>IFERROR(__xludf.DUMMYFUNCTION("""COMPUTED_VALUE"""),"M.1615/SUKABUMI INDAH")</f>
        <v>M.1615/SUKABUMI INDAH</v>
      </c>
      <c r="D251" s="42" t="str">
        <f>IFERROR(__xludf.DUMMYFUNCTION("""COMPUTED_VALUE"""),"David")</f>
        <v>David</v>
      </c>
      <c r="E251" s="42" t="str">
        <f>IFERROR(__xludf.DUMMYFUNCTION("""COMPUTED_VALUE"""),"DISERAHKAN")</f>
        <v>DISERAHKAN</v>
      </c>
      <c r="F251" s="48" t="str">
        <f>IFERROR(__xludf.DUMMYFUNCTION("""COMPUTED_VALUE"""),"09/12/2024 14.08")</f>
        <v>09/12/2024 14.08</v>
      </c>
      <c r="G251" s="42" t="str">
        <f>IFERROR(__xludf.DUMMYFUNCTION("""COMPUTED_VALUE"""),"BN AKTA JUAL BELI")</f>
        <v>BN AKTA JUAL BELI</v>
      </c>
      <c r="H251" s="42">
        <f t="shared" si="1"/>
        <v>155</v>
      </c>
    </row>
    <row r="252" ht="22.5" customHeight="1">
      <c r="B252" s="42" t="str">
        <f>IFERROR(__xludf.DUMMYFUNCTION("""COMPUTED_VALUE"""),"K/6/071124/1")</f>
        <v>K/6/071124/1</v>
      </c>
      <c r="C252" s="42" t="str">
        <f>IFERROR(__xludf.DUMMYFUNCTION("""COMPUTED_VALUE"""),"B.798/SUMUR PUTRI")</f>
        <v>B.798/SUMUR PUTRI</v>
      </c>
      <c r="D252" s="42" t="str">
        <f>IFERROR(__xludf.DUMMYFUNCTION("""COMPUTED_VALUE"""),"David")</f>
        <v>David</v>
      </c>
      <c r="E252" s="42" t="str">
        <f>IFERROR(__xludf.DUMMYFUNCTION("""COMPUTED_VALUE"""),"DISERAHKAN")</f>
        <v>DISERAHKAN</v>
      </c>
      <c r="F252" s="48" t="str">
        <f>IFERROR(__xludf.DUMMYFUNCTION("""COMPUTED_VALUE"""),"08/11/2024 15.09")</f>
        <v>08/11/2024 15.09</v>
      </c>
      <c r="G252" s="42" t="str">
        <f>IFERROR(__xludf.DUMMYFUNCTION("""COMPUTED_VALUE"""),"BN JUAL BELI")</f>
        <v>BN JUAL BELI</v>
      </c>
      <c r="H252" s="42">
        <f t="shared" si="1"/>
        <v>156</v>
      </c>
    </row>
    <row r="253" ht="22.5" customHeight="1">
      <c r="B253" s="42" t="str">
        <f>IFERROR(__xludf.DUMMYFUNCTION("""COMPUTED_VALUE"""),"K/8/071124/1")</f>
        <v>K/8/071124/1</v>
      </c>
      <c r="C253" s="42" t="str">
        <f>IFERROR(__xludf.DUMMYFUNCTION("""COMPUTED_VALUE"""),"Nibel. B. 2237/ Sukarame")</f>
        <v>Nibel. B. 2237/ Sukarame</v>
      </c>
      <c r="D253" s="42"/>
      <c r="E253" s="42"/>
      <c r="F253" s="48" t="str">
        <f>IFERROR(__xludf.DUMMYFUNCTION("""COMPUTED_VALUE"""),"")</f>
        <v/>
      </c>
      <c r="G253" s="42" t="str">
        <f>IFERROR(__xludf.DUMMYFUNCTION("""COMPUTED_VALUE"""),"BN Lelang")</f>
        <v>BN Lelang</v>
      </c>
      <c r="H253" s="42">
        <f t="shared" si="1"/>
        <v>156</v>
      </c>
    </row>
    <row r="254" ht="22.5" customHeight="1">
      <c r="B254" s="42" t="str">
        <f>IFERROR(__xludf.DUMMYFUNCTION("""COMPUTED_VALUE"""),"K/16/071124/2")</f>
        <v>K/16/071124/2</v>
      </c>
      <c r="C254" s="42" t="str">
        <f>IFERROR(__xludf.DUMMYFUNCTION("""COMPUTED_VALUE"""),"M.4696/SUKADANAHAM")</f>
        <v>M.4696/SUKADANAHAM</v>
      </c>
      <c r="D254" s="42" t="str">
        <f>IFERROR(__xludf.DUMMYFUNCTION("""COMPUTED_VALUE"""),"David")</f>
        <v>David</v>
      </c>
      <c r="E254" s="42" t="str">
        <f>IFERROR(__xludf.DUMMYFUNCTION("""COMPUTED_VALUE"""),"DISERAHKAN")</f>
        <v>DISERAHKAN</v>
      </c>
      <c r="F254" s="48" t="str">
        <f>IFERROR(__xludf.DUMMYFUNCTION("""COMPUTED_VALUE"""),"08/11/2024 15.12")</f>
        <v>08/11/2024 15.12</v>
      </c>
      <c r="G254" s="42" t="str">
        <f>IFERROR(__xludf.DUMMYFUNCTION("""COMPUTED_VALUE"""),"BN JUAL BELI")</f>
        <v>BN JUAL BELI</v>
      </c>
      <c r="H254" s="42">
        <f t="shared" si="1"/>
        <v>157</v>
      </c>
    </row>
    <row r="255" ht="22.5" customHeight="1">
      <c r="B255" s="42" t="str">
        <f>IFERROR(__xludf.DUMMYFUNCTION("""COMPUTED_VALUE"""),"K/18/071124/4")</f>
        <v>K/18/071124/4</v>
      </c>
      <c r="C255" s="42" t="str">
        <f>IFERROR(__xludf.DUMMYFUNCTION("""COMPUTED_VALUE"""),"M.2475/PINANG JAYA")</f>
        <v>M.2475/PINANG JAYA</v>
      </c>
      <c r="D255" s="42" t="str">
        <f>IFERROR(__xludf.DUMMYFUNCTION("""COMPUTED_VALUE"""),"David")</f>
        <v>David</v>
      </c>
      <c r="E255" s="42" t="str">
        <f>IFERROR(__xludf.DUMMYFUNCTION("""COMPUTED_VALUE"""),"DISERAHKAN")</f>
        <v>DISERAHKAN</v>
      </c>
      <c r="F255" s="48" t="str">
        <f>IFERROR(__xludf.DUMMYFUNCTION("""COMPUTED_VALUE"""),"08/11/2024 15.13")</f>
        <v>08/11/2024 15.13</v>
      </c>
      <c r="G255" s="42" t="str">
        <f>IFERROR(__xludf.DUMMYFUNCTION("""COMPUTED_VALUE"""),"BN JUAL BELI")</f>
        <v>BN JUAL BELI</v>
      </c>
      <c r="H255" s="42">
        <f t="shared" si="1"/>
        <v>158</v>
      </c>
    </row>
    <row r="256" ht="22.5" customHeight="1">
      <c r="B256" s="42" t="str">
        <f>IFERROR(__xludf.DUMMYFUNCTION("""COMPUTED_VALUE"""),"K/20/071124/1")</f>
        <v>K/20/071124/1</v>
      </c>
      <c r="C256" s="42" t="str">
        <f>IFERROR(__xludf.DUMMYFUNCTION("""COMPUTED_VALUE"""),"M. 141/ PERUMNAS WAY KANDIS-SEKARANG; B. 250/ WAY KANDIS-DAHULU")</f>
        <v>M. 141/ PERUMNAS WAY KANDIS-SEKARANG; B. 250/ WAY KANDIS-DAHULU</v>
      </c>
      <c r="D256" s="42" t="str">
        <f>IFERROR(__xludf.DUMMYFUNCTION("""COMPUTED_VALUE"""),"David")</f>
        <v>David</v>
      </c>
      <c r="E256" s="42" t="str">
        <f>IFERROR(__xludf.DUMMYFUNCTION("""COMPUTED_VALUE"""),"PROSES")</f>
        <v>PROSES</v>
      </c>
      <c r="F256" s="48" t="str">
        <f>IFERROR(__xludf.DUMMYFUNCTION("""COMPUTED_VALUE"""),"")</f>
        <v/>
      </c>
      <c r="G256" s="42" t="str">
        <f>IFERROR(__xludf.DUMMYFUNCTION("""COMPUTED_VALUE"""),"BN JUAL BELI")</f>
        <v>BN JUAL BELI</v>
      </c>
      <c r="H256" s="42">
        <f t="shared" si="1"/>
        <v>158</v>
      </c>
    </row>
    <row r="257" ht="22.5" customHeight="1">
      <c r="B257" s="42" t="str">
        <f>IFERROR(__xludf.DUMMYFUNCTION("""COMPUTED_VALUE"""),"K/21/071124/1")</f>
        <v>K/21/071124/1</v>
      </c>
      <c r="C257" s="42" t="str">
        <f>IFERROR(__xludf.DUMMYFUNCTION("""COMPUTED_VALUE"""),"M. 4901/ Langkapura")</f>
        <v>M. 4901/ Langkapura</v>
      </c>
      <c r="D257" s="42"/>
      <c r="E257" s="42"/>
      <c r="F257" s="48" t="str">
        <f>IFERROR(__xludf.DUMMYFUNCTION("""COMPUTED_VALUE"""),"")</f>
        <v/>
      </c>
      <c r="G257" s="42" t="str">
        <f>IFERROR(__xludf.DUMMYFUNCTION("""COMPUTED_VALUE"""),"Hapus BPHTB")</f>
        <v>Hapus BPHTB</v>
      </c>
      <c r="H257" s="42">
        <f t="shared" si="1"/>
        <v>158</v>
      </c>
    </row>
    <row r="258" ht="22.5" customHeight="1">
      <c r="B258" s="42" t="str">
        <f>IFERROR(__xludf.DUMMYFUNCTION("""COMPUTED_VALUE"""),"L/22/071124/1")</f>
        <v>L/22/071124/1</v>
      </c>
      <c r="C258" s="42" t="str">
        <f>IFERROR(__xludf.DUMMYFUNCTION("""COMPUTED_VALUE"""),"HM 2435/PANJANG UTARA")</f>
        <v>HM 2435/PANJANG UTARA</v>
      </c>
      <c r="D258" s="42" t="str">
        <f>IFERROR(__xludf.DUMMYFUNCTION("""COMPUTED_VALUE"""),"David")</f>
        <v>David</v>
      </c>
      <c r="E258" s="42" t="str">
        <f>IFERROR(__xludf.DUMMYFUNCTION("""COMPUTED_VALUE"""),"DISERAHKAN")</f>
        <v>DISERAHKAN</v>
      </c>
      <c r="F258" s="48" t="str">
        <f>IFERROR(__xludf.DUMMYFUNCTION("""COMPUTED_VALUE"""),"08/11/2024 15.14")</f>
        <v>08/11/2024 15.14</v>
      </c>
      <c r="G258" s="42" t="str">
        <f>IFERROR(__xludf.DUMMYFUNCTION("""COMPUTED_VALUE"""),"BN HIBAH")</f>
        <v>BN HIBAH</v>
      </c>
      <c r="H258" s="42">
        <f t="shared" si="1"/>
        <v>159</v>
      </c>
    </row>
    <row r="259" ht="22.5" customHeight="1">
      <c r="B259" s="42" t="str">
        <f>IFERROR(__xludf.DUMMYFUNCTION("""COMPUTED_VALUE"""),"K/23/071124/1")</f>
        <v>K/23/071124/1</v>
      </c>
      <c r="C259" s="42" t="str">
        <f>IFERROR(__xludf.DUMMYFUNCTION("""COMPUTED_VALUE"""),"M. 16717/ Sukarame I")</f>
        <v>M. 16717/ Sukarame I</v>
      </c>
      <c r="D259" s="42" t="str">
        <f>IFERROR(__xludf.DUMMYFUNCTION("""COMPUTED_VALUE"""),"David")</f>
        <v>David</v>
      </c>
      <c r="E259" s="42" t="str">
        <f>IFERROR(__xludf.DUMMYFUNCTION("""COMPUTED_VALUE"""),"DISERAHKAN")</f>
        <v>DISERAHKAN</v>
      </c>
      <c r="F259" s="48" t="str">
        <f>IFERROR(__xludf.DUMMYFUNCTION("""COMPUTED_VALUE"""),"08/11/2024 15.14")</f>
        <v>08/11/2024 15.14</v>
      </c>
      <c r="G259" s="42" t="str">
        <f>IFERROR(__xludf.DUMMYFUNCTION("""COMPUTED_VALUE"""),"ROYA")</f>
        <v>ROYA</v>
      </c>
      <c r="H259" s="42">
        <f t="shared" si="1"/>
        <v>160</v>
      </c>
    </row>
    <row r="260" ht="22.5" customHeight="1">
      <c r="B260" s="42" t="str">
        <f>IFERROR(__xludf.DUMMYFUNCTION("""COMPUTED_VALUE"""),"L/25/071124/1")</f>
        <v>L/25/071124/1</v>
      </c>
      <c r="C260" s="42" t="str">
        <f>IFERROR(__xludf.DUMMYFUNCTION("""COMPUTED_VALUE"""),"TANJUNG AGUNG")</f>
        <v>TANJUNG AGUNG</v>
      </c>
      <c r="D260" s="42"/>
      <c r="E260" s="42"/>
      <c r="F260" s="48" t="str">
        <f>IFERROR(__xludf.DUMMYFUNCTION("""COMPUTED_VALUE"""),"")</f>
        <v/>
      </c>
      <c r="G260" s="42" t="str">
        <f>IFERROR(__xludf.DUMMYFUNCTION("""COMPUTED_VALUE"""),"PERTAMA KALI")</f>
        <v>PERTAMA KALI</v>
      </c>
      <c r="H260" s="42">
        <f t="shared" si="1"/>
        <v>160</v>
      </c>
    </row>
    <row r="261" ht="22.5" customHeight="1">
      <c r="B261" s="42" t="str">
        <f>IFERROR(__xludf.DUMMYFUNCTION("""COMPUTED_VALUE"""),"K/29/071124/1")</f>
        <v>K/29/071124/1</v>
      </c>
      <c r="C261" s="42" t="str">
        <f>IFERROR(__xludf.DUMMYFUNCTION("""COMPUTED_VALUE"""),"M. 439/KALIAWI PERSADA-SEKARANG;B.41/SUKADANA HAM-DAHULU")</f>
        <v>M. 439/KALIAWI PERSADA-SEKARANG;B.41/SUKADANA HAM-DAHULU</v>
      </c>
      <c r="D261" s="42" t="str">
        <f>IFERROR(__xludf.DUMMYFUNCTION("""COMPUTED_VALUE"""),"David")</f>
        <v>David</v>
      </c>
      <c r="E261" s="42" t="str">
        <f>IFERROR(__xludf.DUMMYFUNCTION("""COMPUTED_VALUE"""),"PROSES")</f>
        <v>PROSES</v>
      </c>
      <c r="F261" s="48" t="str">
        <f>IFERROR(__xludf.DUMMYFUNCTION("""COMPUTED_VALUE"""),"")</f>
        <v/>
      </c>
      <c r="G261" s="42" t="str">
        <f>IFERROR(__xludf.DUMMYFUNCTION("""COMPUTED_VALUE"""),"BN JUAL BELI")</f>
        <v>BN JUAL BELI</v>
      </c>
      <c r="H261" s="42">
        <f t="shared" si="1"/>
        <v>160</v>
      </c>
    </row>
    <row r="262" ht="22.5" customHeight="1">
      <c r="B262" s="42" t="str">
        <f>IFERROR(__xludf.DUMMYFUNCTION("""COMPUTED_VALUE"""),"K/32/071124/1")</f>
        <v>K/32/071124/1</v>
      </c>
      <c r="C262" s="42" t="str">
        <f>IFERROR(__xludf.DUMMYFUNCTION("""COMPUTED_VALUE"""),"M. 12112/TANJUNG BARU")</f>
        <v>M. 12112/TANJUNG BARU</v>
      </c>
      <c r="D262" s="42" t="str">
        <f>IFERROR(__xludf.DUMMYFUNCTION("""COMPUTED_VALUE"""),"David")</f>
        <v>David</v>
      </c>
      <c r="E262" s="42" t="str">
        <f>IFERROR(__xludf.DUMMYFUNCTION("""COMPUTED_VALUE"""),"DISERAHKAN")</f>
        <v>DISERAHKAN</v>
      </c>
      <c r="F262" s="48" t="str">
        <f>IFERROR(__xludf.DUMMYFUNCTION("""COMPUTED_VALUE"""),"08/11/2024 15.20")</f>
        <v>08/11/2024 15.20</v>
      </c>
      <c r="G262" s="42" t="str">
        <f>IFERROR(__xludf.DUMMYFUNCTION("""COMPUTED_VALUE"""),"ROYA")</f>
        <v>ROYA</v>
      </c>
      <c r="H262" s="42">
        <f t="shared" si="1"/>
        <v>161</v>
      </c>
    </row>
    <row r="263" ht="22.5" customHeight="1">
      <c r="B263" s="42" t="str">
        <f>IFERROR(__xludf.DUMMYFUNCTION("""COMPUTED_VALUE"""),"L/34/071124/1")</f>
        <v>L/34/071124/1</v>
      </c>
      <c r="C263" s="42" t="str">
        <f>IFERROR(__xludf.DUMMYFUNCTION("""COMPUTED_VALUE"""),"HM 15030/SUKARAME I (SHM TETANGGA)")</f>
        <v>HM 15030/SUKARAME I (SHM TETANGGA)</v>
      </c>
      <c r="D263" s="42" t="str">
        <f>IFERROR(__xludf.DUMMYFUNCTION("""COMPUTED_VALUE"""),"David")</f>
        <v>David</v>
      </c>
      <c r="E263" s="42" t="str">
        <f>IFERROR(__xludf.DUMMYFUNCTION("""COMPUTED_VALUE"""),"PROSES")</f>
        <v>PROSES</v>
      </c>
      <c r="F263" s="48" t="str">
        <f>IFERROR(__xludf.DUMMYFUNCTION("""COMPUTED_VALUE"""),"")</f>
        <v/>
      </c>
      <c r="G263" s="42" t="str">
        <f>IFERROR(__xludf.DUMMYFUNCTION("""COMPUTED_VALUE"""),"SERTIPIKAT HILANG")</f>
        <v>SERTIPIKAT HILANG</v>
      </c>
      <c r="H263" s="42">
        <f t="shared" si="1"/>
        <v>161</v>
      </c>
    </row>
    <row r="264" ht="22.5" customHeight="1">
      <c r="B264" s="42" t="str">
        <f>IFERROR(__xludf.DUMMYFUNCTION("""COMPUTED_VALUE"""),"K/35/071124/1")</f>
        <v>K/35/071124/1</v>
      </c>
      <c r="C264" s="42" t="str">
        <f>IFERROR(__xludf.DUMMYFUNCTION("""COMPUTED_VALUE"""),"M. 10980/ Segala Mider")</f>
        <v>M. 10980/ Segala Mider</v>
      </c>
      <c r="D264" s="42" t="str">
        <f>IFERROR(__xludf.DUMMYFUNCTION("""COMPUTED_VALUE"""),"David")</f>
        <v>David</v>
      </c>
      <c r="E264" s="42" t="str">
        <f>IFERROR(__xludf.DUMMYFUNCTION("""COMPUTED_VALUE"""),"DISERAHKAN")</f>
        <v>DISERAHKAN</v>
      </c>
      <c r="F264" s="48" t="str">
        <f>IFERROR(__xludf.DUMMYFUNCTION("""COMPUTED_VALUE"""),"08/11/2024 15.17")</f>
        <v>08/11/2024 15.17</v>
      </c>
      <c r="G264" s="42" t="str">
        <f>IFERROR(__xludf.DUMMYFUNCTION("""COMPUTED_VALUE"""),"MUHAMMAD ARFAN")</f>
        <v>MUHAMMAD ARFAN</v>
      </c>
      <c r="H264" s="42">
        <f t="shared" si="1"/>
        <v>162</v>
      </c>
    </row>
    <row r="265" ht="22.5" customHeight="1">
      <c r="B265" s="42" t="str">
        <f>IFERROR(__xludf.DUMMYFUNCTION("""COMPUTED_VALUE"""),"K/41/071124/1")</f>
        <v>K/41/071124/1</v>
      </c>
      <c r="C265" s="42" t="str">
        <f>IFERROR(__xludf.DUMMYFUNCTION("""COMPUTED_VALUE"""),"M. 1254/ Langkapura Baru")</f>
        <v>M. 1254/ Langkapura Baru</v>
      </c>
      <c r="D265" s="42" t="str">
        <f>IFERROR(__xludf.DUMMYFUNCTION("""COMPUTED_VALUE"""),"David")</f>
        <v>David</v>
      </c>
      <c r="E265" s="42" t="str">
        <f>IFERROR(__xludf.DUMMYFUNCTION("""COMPUTED_VALUE"""),"PROSES")</f>
        <v>PROSES</v>
      </c>
      <c r="F265" s="48" t="str">
        <f>IFERROR(__xludf.DUMMYFUNCTION("""COMPUTED_VALUE"""),"")</f>
        <v/>
      </c>
      <c r="G265" s="42" t="str">
        <f>IFERROR(__xludf.DUMMYFUNCTION("""COMPUTED_VALUE"""),"BN JUAL BELI")</f>
        <v>BN JUAL BELI</v>
      </c>
      <c r="H265" s="42">
        <f t="shared" si="1"/>
        <v>162</v>
      </c>
    </row>
    <row r="266" ht="22.5" customHeight="1">
      <c r="B266" s="42" t="str">
        <f>IFERROR(__xludf.DUMMYFUNCTION("""COMPUTED_VALUE"""),"K/33/071124/2")</f>
        <v>K/33/071124/2</v>
      </c>
      <c r="C266" s="42" t="str">
        <f>IFERROR(__xludf.DUMMYFUNCTION("""COMPUTED_VALUE"""),"M. 676/BUMI KEDAMAIAN")</f>
        <v>M. 676/BUMI KEDAMAIAN</v>
      </c>
      <c r="D266" s="42" t="str">
        <f>IFERROR(__xludf.DUMMYFUNCTION("""COMPUTED_VALUE"""),"David")</f>
        <v>David</v>
      </c>
      <c r="E266" s="42" t="str">
        <f>IFERROR(__xludf.DUMMYFUNCTION("""COMPUTED_VALUE"""),"DISERAHKAN")</f>
        <v>DISERAHKAN</v>
      </c>
      <c r="F266" s="48" t="str">
        <f>IFERROR(__xludf.DUMMYFUNCTION("""COMPUTED_VALUE"""),"18/12/2024 10.55")</f>
        <v>18/12/2024 10.55</v>
      </c>
      <c r="G266" s="42" t="str">
        <f>IFERROR(__xludf.DUMMYFUNCTION("""COMPUTED_VALUE"""),"BN WARIS")</f>
        <v>BN WARIS</v>
      </c>
      <c r="H266" s="42">
        <f t="shared" si="1"/>
        <v>163</v>
      </c>
    </row>
    <row r="267" ht="22.5" customHeight="1">
      <c r="B267" s="42" t="str">
        <f>IFERROR(__xludf.DUMMYFUNCTION("""COMPUTED_VALUE"""),"K/1/081124/1")</f>
        <v>K/1/081124/1</v>
      </c>
      <c r="C267" s="42" t="str">
        <f>IFERROR(__xludf.DUMMYFUNCTION("""COMPUTED_VALUE"""),"M.1419/SUSUNAN BARU")</f>
        <v>M.1419/SUSUNAN BARU</v>
      </c>
      <c r="D267" s="42" t="str">
        <f>IFERROR(__xludf.DUMMYFUNCTION("""COMPUTED_VALUE"""),"David")</f>
        <v>David</v>
      </c>
      <c r="E267" s="42" t="str">
        <f>IFERROR(__xludf.DUMMYFUNCTION("""COMPUTED_VALUE"""),"PROSES")</f>
        <v>PROSES</v>
      </c>
      <c r="F267" s="48" t="str">
        <f>IFERROR(__xludf.DUMMYFUNCTION("""COMPUTED_VALUE"""),"")</f>
        <v/>
      </c>
      <c r="G267" s="42" t="str">
        <f>IFERROR(__xludf.DUMMYFUNCTION("""COMPUTED_VALUE"""),"BN JUAL BELI")</f>
        <v>BN JUAL BELI</v>
      </c>
      <c r="H267" s="42">
        <f t="shared" si="1"/>
        <v>163</v>
      </c>
    </row>
    <row r="268" ht="22.5" customHeight="1">
      <c r="B268" s="42" t="str">
        <f>IFERROR(__xludf.DUMMYFUNCTION("""COMPUTED_VALUE"""),"L/3/081124/1")</f>
        <v>L/3/081124/1</v>
      </c>
      <c r="C268" s="42" t="str">
        <f>IFERROR(__xludf.DUMMYFUNCTION("""COMPUTED_VALUE"""),"HM 10617/KEDAMAIAN (SHM TETANGGA)")</f>
        <v>HM 10617/KEDAMAIAN (SHM TETANGGA)</v>
      </c>
      <c r="D268" s="42" t="str">
        <f>IFERROR(__xludf.DUMMYFUNCTION("""COMPUTED_VALUE"""),"David")</f>
        <v>David</v>
      </c>
      <c r="E268" s="42" t="str">
        <f>IFERROR(__xludf.DUMMYFUNCTION("""COMPUTED_VALUE"""),"DISERAHKAN")</f>
        <v>DISERAHKAN</v>
      </c>
      <c r="F268" s="48" t="str">
        <f>IFERROR(__xludf.DUMMYFUNCTION("""COMPUTED_VALUE"""),"11/11/2024 15.10")</f>
        <v>11/11/2024 15.10</v>
      </c>
      <c r="G268" s="42" t="str">
        <f>IFERROR(__xludf.DUMMYFUNCTION("""COMPUTED_VALUE"""),"SERTIPIKAT HILANG")</f>
        <v>SERTIPIKAT HILANG</v>
      </c>
      <c r="H268" s="42">
        <f t="shared" si="1"/>
        <v>164</v>
      </c>
    </row>
    <row r="269" ht="22.5" customHeight="1">
      <c r="B269" s="42" t="str">
        <f>IFERROR(__xludf.DUMMYFUNCTION("""COMPUTED_VALUE"""),"L/5/081124/1")</f>
        <v>L/5/081124/1</v>
      </c>
      <c r="C269" s="42" t="str">
        <f>IFERROR(__xludf.DUMMYFUNCTION("""COMPUTED_VALUE"""),"HM 12327/LABUHAN RATU")</f>
        <v>HM 12327/LABUHAN RATU</v>
      </c>
      <c r="D269" s="42" t="str">
        <f>IFERROR(__xludf.DUMMYFUNCTION("""COMPUTED_VALUE"""),"David")</f>
        <v>David</v>
      </c>
      <c r="E269" s="42" t="str">
        <f>IFERROR(__xludf.DUMMYFUNCTION("""COMPUTED_VALUE"""),"PROSES")</f>
        <v>PROSES</v>
      </c>
      <c r="F269" s="48" t="str">
        <f>IFERROR(__xludf.DUMMYFUNCTION("""COMPUTED_VALUE"""),"")</f>
        <v/>
      </c>
      <c r="G269" s="42" t="str">
        <f>IFERROR(__xludf.DUMMYFUNCTION("""COMPUTED_VALUE"""),"ROYA")</f>
        <v>ROYA</v>
      </c>
      <c r="H269" s="42">
        <f t="shared" si="1"/>
        <v>164</v>
      </c>
    </row>
    <row r="270" ht="22.5" customHeight="1">
      <c r="B270" s="42" t="str">
        <f>IFERROR(__xludf.DUMMYFUNCTION("""COMPUTED_VALUE"""),"K/7/081124/1")</f>
        <v>K/7/081124/1</v>
      </c>
      <c r="C270" s="42" t="str">
        <f>IFERROR(__xludf.DUMMYFUNCTION("""COMPUTED_VALUE"""),"M. 103329/ Segala Mider")</f>
        <v>M. 103329/ Segala Mider</v>
      </c>
      <c r="D270" s="42" t="str">
        <f>IFERROR(__xludf.DUMMYFUNCTION("""COMPUTED_VALUE"""),"David")</f>
        <v>David</v>
      </c>
      <c r="E270" s="42" t="str">
        <f>IFERROR(__xludf.DUMMYFUNCTION("""COMPUTED_VALUE"""),"DISERAHKAN")</f>
        <v>DISERAHKAN</v>
      </c>
      <c r="F270" s="48" t="str">
        <f>IFERROR(__xludf.DUMMYFUNCTION("""COMPUTED_VALUE"""),"11/11/2024 15.12")</f>
        <v>11/11/2024 15.12</v>
      </c>
      <c r="G270" s="42" t="str">
        <f>IFERROR(__xludf.DUMMYFUNCTION("""COMPUTED_VALUE"""),"BN JUAL BELI")</f>
        <v>BN JUAL BELI</v>
      </c>
      <c r="H270" s="42">
        <f t="shared" si="1"/>
        <v>165</v>
      </c>
    </row>
    <row r="271" ht="22.5" customHeight="1">
      <c r="B271" s="42" t="str">
        <f>IFERROR(__xludf.DUMMYFUNCTION("""COMPUTED_VALUE"""),"L/9/081124/1")</f>
        <v>L/9/081124/1</v>
      </c>
      <c r="C271" s="42" t="str">
        <f>IFERROR(__xludf.DUMMYFUNCTION("""COMPUTED_VALUE"""),"GM 613/PEMATANG WANGI")</f>
        <v>GM 613/PEMATANG WANGI</v>
      </c>
      <c r="D271" s="42" t="str">
        <f>IFERROR(__xludf.DUMMYFUNCTION("""COMPUTED_VALUE"""),"David")</f>
        <v>David</v>
      </c>
      <c r="E271" s="42" t="str">
        <f>IFERROR(__xludf.DUMMYFUNCTION("""COMPUTED_VALUE"""),"DISERAHKAN BT")</f>
        <v>DISERAHKAN BT</v>
      </c>
      <c r="F271" s="48" t="str">
        <f>IFERROR(__xludf.DUMMYFUNCTION("""COMPUTED_VALUE"""),"11/11/2024 15.13")</f>
        <v>11/11/2024 15.13</v>
      </c>
      <c r="G271" s="42" t="str">
        <f>IFERROR(__xludf.DUMMYFUNCTION("""COMPUTED_VALUE"""),"SULYA YENTY")</f>
        <v>SULYA YENTY</v>
      </c>
      <c r="H271" s="42">
        <f t="shared" si="1"/>
        <v>165</v>
      </c>
    </row>
    <row r="272" ht="22.5" customHeight="1">
      <c r="B272" s="42" t="str">
        <f>IFERROR(__xludf.DUMMYFUNCTION("""COMPUTED_VALUE"""),"L/11/081124/1")</f>
        <v>L/11/081124/1</v>
      </c>
      <c r="C272" s="42" t="str">
        <f>IFERROR(__xludf.DUMMYFUNCTION("""COMPUTED_VALUE"""),"HM 837/SUKARAME BARU")</f>
        <v>HM 837/SUKARAME BARU</v>
      </c>
      <c r="D272" s="42" t="str">
        <f>IFERROR(__xludf.DUMMYFUNCTION("""COMPUTED_VALUE"""),"David")</f>
        <v>David</v>
      </c>
      <c r="E272" s="42" t="str">
        <f>IFERROR(__xludf.DUMMYFUNCTION("""COMPUTED_VALUE"""),"PROSES")</f>
        <v>PROSES</v>
      </c>
      <c r="F272" s="48" t="str">
        <f>IFERROR(__xludf.DUMMYFUNCTION("""COMPUTED_VALUE"""),"")</f>
        <v/>
      </c>
      <c r="G272" s="42" t="str">
        <f>IFERROR(__xludf.DUMMYFUNCTION("""COMPUTED_VALUE"""),"ROYA LELANG")</f>
        <v>ROYA LELANG</v>
      </c>
      <c r="H272" s="42">
        <f t="shared" si="1"/>
        <v>165</v>
      </c>
    </row>
    <row r="273" ht="22.5" customHeight="1">
      <c r="B273" s="42" t="str">
        <f>IFERROR(__xludf.DUMMYFUNCTION("""COMPUTED_VALUE"""),"L/13/081124/1")</f>
        <v>L/13/081124/1</v>
      </c>
      <c r="C273" s="42" t="str">
        <f>IFERROR(__xludf.DUMMYFUNCTION("""COMPUTED_VALUE"""),"HM 271/RAJABSA NUNYAI")</f>
        <v>HM 271/RAJABSA NUNYAI</v>
      </c>
      <c r="D273" s="42" t="str">
        <f>IFERROR(__xludf.DUMMYFUNCTION("""COMPUTED_VALUE"""),"David")</f>
        <v>David</v>
      </c>
      <c r="E273" s="42" t="str">
        <f>IFERROR(__xludf.DUMMYFUNCTION("""COMPUTED_VALUE"""),"DISERAHKAN")</f>
        <v>DISERAHKAN</v>
      </c>
      <c r="F273" s="48" t="str">
        <f>IFERROR(__xludf.DUMMYFUNCTION("""COMPUTED_VALUE"""),"11/11/2024 15.17")</f>
        <v>11/11/2024 15.17</v>
      </c>
      <c r="G273" s="42" t="str">
        <f>IFERROR(__xludf.DUMMYFUNCTION("""COMPUTED_VALUE"""),"ROYA")</f>
        <v>ROYA</v>
      </c>
      <c r="H273" s="42">
        <f t="shared" si="1"/>
        <v>166</v>
      </c>
    </row>
    <row r="274" ht="22.5" customHeight="1">
      <c r="B274" s="42" t="str">
        <f>IFERROR(__xludf.DUMMYFUNCTION("""COMPUTED_VALUE"""),"L/17/081124/1")</f>
        <v>L/17/081124/1</v>
      </c>
      <c r="C274" s="42" t="str">
        <f>IFERROR(__xludf.DUMMYFUNCTION("""COMPUTED_VALUE"""),"HM 1134/GULAK GALIK")</f>
        <v>HM 1134/GULAK GALIK</v>
      </c>
      <c r="D274" s="42" t="str">
        <f>IFERROR(__xludf.DUMMYFUNCTION("""COMPUTED_VALUE"""),"David")</f>
        <v>David</v>
      </c>
      <c r="E274" s="42" t="str">
        <f>IFERROR(__xludf.DUMMYFUNCTION("""COMPUTED_VALUE"""),"DISERAHKAN")</f>
        <v>DISERAHKAN</v>
      </c>
      <c r="F274" s="48" t="str">
        <f>IFERROR(__xludf.DUMMYFUNCTION("""COMPUTED_VALUE"""),"12/11/2024 10.44")</f>
        <v>12/11/2024 10.44</v>
      </c>
      <c r="G274" s="42" t="str">
        <f>IFERROR(__xludf.DUMMYFUNCTION("""COMPUTED_VALUE"""),"PENATAAN BATAS")</f>
        <v>PENATAAN BATAS</v>
      </c>
      <c r="H274" s="42">
        <f t="shared" si="1"/>
        <v>167</v>
      </c>
    </row>
    <row r="275" ht="22.5" customHeight="1">
      <c r="B275" s="42" t="str">
        <f>IFERROR(__xludf.DUMMYFUNCTION("""COMPUTED_VALUE"""),"K/19/081124/1")</f>
        <v>K/19/081124/1</v>
      </c>
      <c r="C275" s="42" t="str">
        <f>IFERROR(__xludf.DUMMYFUNCTION("""COMPUTED_VALUE"""),"Nibel 8260/ Negeri Olok gading")</f>
        <v>Nibel 8260/ Negeri Olok gading</v>
      </c>
      <c r="D275" s="42"/>
      <c r="E275" s="42"/>
      <c r="F275" s="48" t="str">
        <f>IFERROR(__xludf.DUMMYFUNCTION("""COMPUTED_VALUE"""),"")</f>
        <v/>
      </c>
      <c r="G275" s="42" t="str">
        <f>IFERROR(__xludf.DUMMYFUNCTION("""COMPUTED_VALUE"""),"BN LELANG")</f>
        <v>BN LELANG</v>
      </c>
      <c r="H275" s="42">
        <f t="shared" si="1"/>
        <v>167</v>
      </c>
    </row>
    <row r="276" ht="22.5" customHeight="1">
      <c r="B276" s="42" t="str">
        <f>IFERROR(__xludf.DUMMYFUNCTION("""COMPUTED_VALUE"""),"L/27/081124/1")</f>
        <v>L/27/081124/1</v>
      </c>
      <c r="C276" s="42" t="str">
        <f>IFERROR(__xludf.DUMMYFUNCTION("""COMPUTED_VALUE"""),"HM 683/JAGABAYA III")</f>
        <v>HM 683/JAGABAYA III</v>
      </c>
      <c r="D276" s="42" t="str">
        <f>IFERROR(__xludf.DUMMYFUNCTION("""COMPUTED_VALUE"""),"Berry")</f>
        <v>Berry</v>
      </c>
      <c r="E276" s="42" t="str">
        <f>IFERROR(__xludf.DUMMYFUNCTION("""COMPUTED_VALUE"""),"DISERAHKAN BT")</f>
        <v>DISERAHKAN BT</v>
      </c>
      <c r="F276" s="48" t="str">
        <f>IFERROR(__xludf.DUMMYFUNCTION("""COMPUTED_VALUE"""),"11/11/2024 15.20")</f>
        <v>11/11/2024 15.20</v>
      </c>
      <c r="G276" s="42" t="str">
        <f>IFERROR(__xludf.DUMMYFUNCTION("""COMPUTED_VALUE"""),"ROYA")</f>
        <v>ROYA</v>
      </c>
      <c r="H276" s="42">
        <f t="shared" si="1"/>
        <v>167</v>
      </c>
    </row>
    <row r="277" ht="22.5" customHeight="1">
      <c r="B277" s="42" t="str">
        <f>IFERROR(__xludf.DUMMYFUNCTION("""COMPUTED_VALUE"""),"K/36/081124/1")</f>
        <v>K/36/081124/1</v>
      </c>
      <c r="C277" s="42" t="str">
        <f>IFERROR(__xludf.DUMMYFUNCTION("""COMPUTED_VALUE"""),"M. 6416/WAY KANDIS")</f>
        <v>M. 6416/WAY KANDIS</v>
      </c>
      <c r="D277" s="42" t="str">
        <f>IFERROR(__xludf.DUMMYFUNCTION("""COMPUTED_VALUE"""),"Berry")</f>
        <v>Berry</v>
      </c>
      <c r="E277" s="42" t="str">
        <f>IFERROR(__xludf.DUMMYFUNCTION("""COMPUTED_VALUE"""),"DISERAHKAN")</f>
        <v>DISERAHKAN</v>
      </c>
      <c r="F277" s="48" t="str">
        <f>IFERROR(__xludf.DUMMYFUNCTION("""COMPUTED_VALUE"""),"11/11/2024 15.25")</f>
        <v>11/11/2024 15.25</v>
      </c>
      <c r="G277" s="42" t="str">
        <f>IFERROR(__xludf.DUMMYFUNCTION("""COMPUTED_VALUE"""),"BN JUAL BELI")</f>
        <v>BN JUAL BELI</v>
      </c>
      <c r="H277" s="42">
        <f t="shared" si="1"/>
        <v>168</v>
      </c>
    </row>
    <row r="278" ht="22.5" customHeight="1">
      <c r="B278" s="42" t="str">
        <f>IFERROR(__xludf.DUMMYFUNCTION("""COMPUTED_VALUE"""),"K/46/081124/1")</f>
        <v>K/46/081124/1</v>
      </c>
      <c r="C278" s="42" t="str">
        <f>IFERROR(__xludf.DUMMYFUNCTION("""COMPUTED_VALUE"""),"M. 1450/ Kupang Teba")</f>
        <v>M. 1450/ Kupang Teba</v>
      </c>
      <c r="D278" s="42" t="str">
        <f>IFERROR(__xludf.DUMMYFUNCTION("""COMPUTED_VALUE"""),"Berry")</f>
        <v>Berry</v>
      </c>
      <c r="E278" s="42" t="str">
        <f>IFERROR(__xludf.DUMMYFUNCTION("""COMPUTED_VALUE"""),"DISERAHKAN")</f>
        <v>DISERAHKAN</v>
      </c>
      <c r="F278" s="48" t="str">
        <f>IFERROR(__xludf.DUMMYFUNCTION("""COMPUTED_VALUE"""),"11/11/2024 15.27")</f>
        <v>11/11/2024 15.27</v>
      </c>
      <c r="G278" s="42" t="str">
        <f>IFERROR(__xludf.DUMMYFUNCTION("""COMPUTED_VALUE"""),"BN Jual Beli")</f>
        <v>BN Jual Beli</v>
      </c>
      <c r="H278" s="42">
        <f t="shared" si="1"/>
        <v>169</v>
      </c>
    </row>
    <row r="279" ht="22.5" customHeight="1">
      <c r="B279" s="42" t="str">
        <f>IFERROR(__xludf.DUMMYFUNCTION("""COMPUTED_VALUE"""),"K/49/081124/1")</f>
        <v>K/49/081124/1</v>
      </c>
      <c r="C279" s="42" t="str">
        <f>IFERROR(__xludf.DUMMYFUNCTION("""COMPUTED_VALUE"""),"M. 3492/ Kota Baru")</f>
        <v>M. 3492/ Kota Baru</v>
      </c>
      <c r="D279" s="42" t="str">
        <f>IFERROR(__xludf.DUMMYFUNCTION("""COMPUTED_VALUE"""),"Berry")</f>
        <v>Berry</v>
      </c>
      <c r="E279" s="42" t="str">
        <f>IFERROR(__xludf.DUMMYFUNCTION("""COMPUTED_VALUE"""),"DISERAHKAN")</f>
        <v>DISERAHKAN</v>
      </c>
      <c r="F279" s="48" t="str">
        <f>IFERROR(__xludf.DUMMYFUNCTION("""COMPUTED_VALUE"""),"11/11/2024 15.28")</f>
        <v>11/11/2024 15.28</v>
      </c>
      <c r="G279" s="42" t="str">
        <f>IFERROR(__xludf.DUMMYFUNCTION("""COMPUTED_VALUE"""),"BN JUAL BELI")</f>
        <v>BN JUAL BELI</v>
      </c>
      <c r="H279" s="42">
        <f t="shared" si="1"/>
        <v>170</v>
      </c>
    </row>
    <row r="280" ht="22.5" customHeight="1">
      <c r="B280" s="42" t="str">
        <f>IFERROR(__xludf.DUMMYFUNCTION("""COMPUTED_VALUE"""),"K/50/081124/1")</f>
        <v>K/50/081124/1</v>
      </c>
      <c r="C280" s="42" t="str">
        <f>IFERROR(__xludf.DUMMYFUNCTION("""COMPUTED_VALUE"""),"B. 1183/ Sukabumi Indah")</f>
        <v>B. 1183/ Sukabumi Indah</v>
      </c>
      <c r="D280" s="42"/>
      <c r="E280" s="42"/>
      <c r="F280" s="48" t="str">
        <f>IFERROR(__xludf.DUMMYFUNCTION("""COMPUTED_VALUE"""),"")</f>
        <v/>
      </c>
      <c r="G280" s="42" t="str">
        <f>IFERROR(__xludf.DUMMYFUNCTION("""COMPUTED_VALUE"""),"Pengukuran HGB Berakhir")</f>
        <v>Pengukuran HGB Berakhir</v>
      </c>
      <c r="H280" s="42">
        <f t="shared" si="1"/>
        <v>170</v>
      </c>
    </row>
    <row r="281" ht="22.5" customHeight="1">
      <c r="B281" s="42" t="str">
        <f>IFERROR(__xludf.DUMMYFUNCTION("""COMPUTED_VALUE"""),"K/51/081124/1")</f>
        <v>K/51/081124/1</v>
      </c>
      <c r="C281" s="42" t="str">
        <f>IFERROR(__xludf.DUMMYFUNCTION("""COMPUTED_VALUE"""),"M. 541/ SAWAH LAMA")</f>
        <v>M. 541/ SAWAH LAMA</v>
      </c>
      <c r="D281" s="42" t="str">
        <f>IFERROR(__xludf.DUMMYFUNCTION("""COMPUTED_VALUE"""),"Berry")</f>
        <v>Berry</v>
      </c>
      <c r="E281" s="42" t="str">
        <f>IFERROR(__xludf.DUMMYFUNCTION("""COMPUTED_VALUE"""),"DISERAHKAN")</f>
        <v>DISERAHKAN</v>
      </c>
      <c r="F281" s="48" t="str">
        <f>IFERROR(__xludf.DUMMYFUNCTION("""COMPUTED_VALUE"""),"11/11/2024 15.28")</f>
        <v>11/11/2024 15.28</v>
      </c>
      <c r="G281" s="42" t="str">
        <f>IFERROR(__xludf.DUMMYFUNCTION("""COMPUTED_VALUE"""),"BN HIBAH")</f>
        <v>BN HIBAH</v>
      </c>
      <c r="H281" s="42">
        <f t="shared" si="1"/>
        <v>171</v>
      </c>
    </row>
    <row r="282" ht="22.5" customHeight="1">
      <c r="B282" s="42" t="str">
        <f>IFERROR(__xludf.DUMMYFUNCTION("""COMPUTED_VALUE"""),"L/3/111124/1")</f>
        <v>L/3/111124/1</v>
      </c>
      <c r="C282" s="42" t="str">
        <f>IFERROR(__xludf.DUMMYFUNCTION("""COMPUTED_VALUE"""),"HM 11988/LABUHAN RATU")</f>
        <v>HM 11988/LABUHAN RATU</v>
      </c>
      <c r="D282" s="42" t="str">
        <f>IFERROR(__xludf.DUMMYFUNCTION("""COMPUTED_VALUE"""),"Berry")</f>
        <v>Berry</v>
      </c>
      <c r="E282" s="42" t="str">
        <f>IFERROR(__xludf.DUMMYFUNCTION("""COMPUTED_VALUE"""),"DISERAHKAN")</f>
        <v>DISERAHKAN</v>
      </c>
      <c r="F282" s="48" t="str">
        <f>IFERROR(__xludf.DUMMYFUNCTION("""COMPUTED_VALUE"""),"20/11/2024 11.17")</f>
        <v>20/11/2024 11.17</v>
      </c>
      <c r="G282" s="42" t="str">
        <f>IFERROR(__xludf.DUMMYFUNCTION("""COMPUTED_VALUE"""),"ROYA")</f>
        <v>ROYA</v>
      </c>
      <c r="H282" s="42">
        <f t="shared" si="1"/>
        <v>172</v>
      </c>
    </row>
    <row r="283" ht="22.5" customHeight="1">
      <c r="B283" s="42" t="str">
        <f>IFERROR(__xludf.DUMMYFUNCTION("""COMPUTED_VALUE"""),"K/8/111124/1")</f>
        <v>K/8/111124/1</v>
      </c>
      <c r="C283" s="42" t="str">
        <f>IFERROR(__xludf.DUMMYFUNCTION("""COMPUTED_VALUE"""),"M. 3347/ Kemiling Raya")</f>
        <v>M. 3347/ Kemiling Raya</v>
      </c>
      <c r="D283" s="42" t="str">
        <f>IFERROR(__xludf.DUMMYFUNCTION("""COMPUTED_VALUE"""),"Berry")</f>
        <v>Berry</v>
      </c>
      <c r="E283" s="42" t="str">
        <f>IFERROR(__xludf.DUMMYFUNCTION("""COMPUTED_VALUE"""),"PROSES")</f>
        <v>PROSES</v>
      </c>
      <c r="F283" s="48" t="str">
        <f>IFERROR(__xludf.DUMMYFUNCTION("""COMPUTED_VALUE"""),"")</f>
        <v/>
      </c>
      <c r="G283" s="42" t="str">
        <f>IFERROR(__xludf.DUMMYFUNCTION("""COMPUTED_VALUE"""),"BN Jual Beli")</f>
        <v>BN Jual Beli</v>
      </c>
      <c r="H283" s="42">
        <f t="shared" si="1"/>
        <v>172</v>
      </c>
    </row>
    <row r="284" ht="22.5" customHeight="1">
      <c r="B284" s="42" t="str">
        <f>IFERROR(__xludf.DUMMYFUNCTION("""COMPUTED_VALUE"""),"K/10/111124/1")</f>
        <v>K/10/111124/1</v>
      </c>
      <c r="C284" s="42" t="str">
        <f>IFERROR(__xludf.DUMMYFUNCTION("""COMPUTED_VALUE"""),"M. 10853/ Jagabaya II")</f>
        <v>M. 10853/ Jagabaya II</v>
      </c>
      <c r="D284" s="42" t="str">
        <f>IFERROR(__xludf.DUMMYFUNCTION("""COMPUTED_VALUE"""),"Berry")</f>
        <v>Berry</v>
      </c>
      <c r="E284" s="42" t="str">
        <f>IFERROR(__xludf.DUMMYFUNCTION("""COMPUTED_VALUE"""),"DISERAHKAN")</f>
        <v>DISERAHKAN</v>
      </c>
      <c r="F284" s="48" t="str">
        <f>IFERROR(__xludf.DUMMYFUNCTION("""COMPUTED_VALUE"""),"12/11/2024 10.35")</f>
        <v>12/11/2024 10.35</v>
      </c>
      <c r="G284" s="42" t="str">
        <f>IFERROR(__xludf.DUMMYFUNCTION("""COMPUTED_VALUE"""),"ROYA")</f>
        <v>ROYA</v>
      </c>
      <c r="H284" s="42">
        <f t="shared" si="1"/>
        <v>173</v>
      </c>
    </row>
    <row r="285" ht="22.5" customHeight="1">
      <c r="B285" s="42" t="str">
        <f>IFERROR(__xludf.DUMMYFUNCTION("""COMPUTED_VALUE"""),"K/17/111124/1")</f>
        <v>K/17/111124/1</v>
      </c>
      <c r="C285" s="42" t="str">
        <f>IFERROR(__xludf.DUMMYFUNCTION("""COMPUTED_VALUE"""),"M. 657/ Kangkung")</f>
        <v>M. 657/ Kangkung</v>
      </c>
      <c r="D285" s="42" t="str">
        <f>IFERROR(__xludf.DUMMYFUNCTION("""COMPUTED_VALUE"""),"Berry")</f>
        <v>Berry</v>
      </c>
      <c r="E285" s="42" t="str">
        <f>IFERROR(__xludf.DUMMYFUNCTION("""COMPUTED_VALUE"""),"PROSES")</f>
        <v>PROSES</v>
      </c>
      <c r="F285" s="48" t="str">
        <f>IFERROR(__xludf.DUMMYFUNCTION("""COMPUTED_VALUE"""),"")</f>
        <v/>
      </c>
      <c r="G285" s="42" t="str">
        <f>IFERROR(__xludf.DUMMYFUNCTION("""COMPUTED_VALUE"""),"BN Jual Beli")</f>
        <v>BN Jual Beli</v>
      </c>
      <c r="H285" s="42">
        <f t="shared" si="1"/>
        <v>173</v>
      </c>
    </row>
    <row r="286" ht="22.5" customHeight="1">
      <c r="B286" s="42" t="str">
        <f>IFERROR(__xludf.DUMMYFUNCTION("""COMPUTED_VALUE"""),"K/25/111124/1")</f>
        <v>K/25/111124/1</v>
      </c>
      <c r="C286" s="42" t="str">
        <f>IFERROR(__xludf.DUMMYFUNCTION("""COMPUTED_VALUE"""),"Nibel 3510/ Rajabasa Pemuka")</f>
        <v>Nibel 3510/ Rajabasa Pemuka</v>
      </c>
      <c r="D286" s="42"/>
      <c r="E286" s="42"/>
      <c r="F286" s="48" t="str">
        <f>IFERROR(__xludf.DUMMYFUNCTION("""COMPUTED_VALUE"""),"")</f>
        <v/>
      </c>
      <c r="G286" s="42" t="str">
        <f>IFERROR(__xludf.DUMMYFUNCTION("""COMPUTED_VALUE"""),"BN JUAL BELI")</f>
        <v>BN JUAL BELI</v>
      </c>
      <c r="H286" s="42">
        <f t="shared" si="1"/>
        <v>173</v>
      </c>
    </row>
    <row r="287" ht="22.5" customHeight="1">
      <c r="B287" s="42" t="str">
        <f>IFERROR(__xludf.DUMMYFUNCTION("""COMPUTED_VALUE"""),"K/23/111124/1")</f>
        <v>K/23/111124/1</v>
      </c>
      <c r="C287" s="42" t="str">
        <f>IFERROR(__xludf.DUMMYFUNCTION("""COMPUTED_VALUE"""),"HMASRS. 152/SUMUR PUTRI")</f>
        <v>HMASRS. 152/SUMUR PUTRI</v>
      </c>
      <c r="D287" s="42" t="str">
        <f>IFERROR(__xludf.DUMMYFUNCTION("""COMPUTED_VALUE"""),"David")</f>
        <v>David</v>
      </c>
      <c r="E287" s="42" t="str">
        <f>IFERROR(__xludf.DUMMYFUNCTION("""COMPUTED_VALUE"""),"DISERAHKAN")</f>
        <v>DISERAHKAN</v>
      </c>
      <c r="F287" s="48" t="str">
        <f>IFERROR(__xludf.DUMMYFUNCTION("""COMPUTED_VALUE"""),"12/11/2024 10.44")</f>
        <v>12/11/2024 10.44</v>
      </c>
      <c r="G287" s="42" t="str">
        <f>IFERROR(__xludf.DUMMYFUNCTION("""COMPUTED_VALUE"""),"BN JUAL BELI")</f>
        <v>BN JUAL BELI</v>
      </c>
      <c r="H287" s="42">
        <f t="shared" si="1"/>
        <v>174</v>
      </c>
    </row>
    <row r="288" ht="22.5" customHeight="1">
      <c r="B288" s="42" t="str">
        <f>IFERROR(__xludf.DUMMYFUNCTION("""COMPUTED_VALUE"""),"K/28/111124/1")</f>
        <v>K/28/111124/1</v>
      </c>
      <c r="C288" s="42" t="str">
        <f>IFERROR(__xludf.DUMMYFUNCTION("""COMPUTED_VALUE"""),"M.1280/KELAPA TIGA")</f>
        <v>M.1280/KELAPA TIGA</v>
      </c>
      <c r="D288" s="42" t="str">
        <f>IFERROR(__xludf.DUMMYFUNCTION("""COMPUTED_VALUE"""),"David")</f>
        <v>David</v>
      </c>
      <c r="E288" s="42" t="str">
        <f>IFERROR(__xludf.DUMMYFUNCTION("""COMPUTED_VALUE"""),"DISERAHKAN")</f>
        <v>DISERAHKAN</v>
      </c>
      <c r="F288" s="48" t="str">
        <f>IFERROR(__xludf.DUMMYFUNCTION("""COMPUTED_VALUE"""),"12/11/2024 10.39")</f>
        <v>12/11/2024 10.39</v>
      </c>
      <c r="G288" s="42" t="str">
        <f>IFERROR(__xludf.DUMMYFUNCTION("""COMPUTED_VALUE"""),"KEWARISAN")</f>
        <v>KEWARISAN</v>
      </c>
      <c r="H288" s="42">
        <f t="shared" si="1"/>
        <v>175</v>
      </c>
    </row>
    <row r="289" ht="22.5" customHeight="1">
      <c r="B289" s="42" t="str">
        <f>IFERROR(__xludf.DUMMYFUNCTION("""COMPUTED_VALUE"""),"K/27/111124/1")</f>
        <v>K/27/111124/1</v>
      </c>
      <c r="C289" s="42" t="str">
        <f>IFERROR(__xludf.DUMMYFUNCTION("""COMPUTED_VALUE"""),"M. 1467; 1474/ Tanjung Karang; SHT 5221/2017 dan 2980/2017 dan 3713/2017 dan 3715/2017 dan 2985/2017")</f>
        <v>M. 1467; 1474/ Tanjung Karang; SHT 5221/2017 dan 2980/2017 dan 3713/2017 dan 3715/2017 dan 2985/2017</v>
      </c>
      <c r="D289" s="42"/>
      <c r="E289" s="42" t="str">
        <f>IFERROR(__xludf.DUMMYFUNCTION("""COMPUTED_VALUE"""),"PROSES")</f>
        <v>PROSES</v>
      </c>
      <c r="F289" s="48" t="str">
        <f>IFERROR(__xludf.DUMMYFUNCTION("""COMPUTED_VALUE"""),"")</f>
        <v/>
      </c>
      <c r="G289" s="42" t="str">
        <f>IFERROR(__xludf.DUMMYFUNCTION("""COMPUTED_VALUE"""),"Ganti Nama Kreditur")</f>
        <v>Ganti Nama Kreditur</v>
      </c>
      <c r="H289" s="42">
        <f t="shared" si="1"/>
        <v>175</v>
      </c>
    </row>
    <row r="290" ht="22.5" customHeight="1">
      <c r="B290" s="42" t="str">
        <f>IFERROR(__xludf.DUMMYFUNCTION("""COMPUTED_VALUE"""),"K/35/111124/1")</f>
        <v>K/35/111124/1</v>
      </c>
      <c r="C290" s="42" t="str">
        <f>IFERROR(__xludf.DUMMYFUNCTION("""COMPUTED_VALUE"""),"NIBEL M. 2683/ PENENGAHAN RAYA")</f>
        <v>NIBEL M. 2683/ PENENGAHAN RAYA</v>
      </c>
      <c r="D290" s="42"/>
      <c r="E290" s="42"/>
      <c r="F290" s="48" t="str">
        <f>IFERROR(__xludf.DUMMYFUNCTION("""COMPUTED_VALUE"""),"")</f>
        <v/>
      </c>
      <c r="G290" s="42" t="str">
        <f>IFERROR(__xludf.DUMMYFUNCTION("""COMPUTED_VALUE"""),"BN APHB")</f>
        <v>BN APHB</v>
      </c>
      <c r="H290" s="42">
        <f t="shared" si="1"/>
        <v>175</v>
      </c>
    </row>
    <row r="291" ht="22.5" customHeight="1">
      <c r="B291" s="42" t="str">
        <f>IFERROR(__xludf.DUMMYFUNCTION("""COMPUTED_VALUE"""),"L/36/111124/1")</f>
        <v>L/36/111124/1</v>
      </c>
      <c r="C291" s="42" t="str">
        <f>IFERROR(__xludf.DUMMYFUNCTION("""COMPUTED_VALUE"""),"HM 1934/PENGAJARAN")</f>
        <v>HM 1934/PENGAJARAN</v>
      </c>
      <c r="D291" s="42" t="str">
        <f>IFERROR(__xludf.DUMMYFUNCTION("""COMPUTED_VALUE"""),"David")</f>
        <v>David</v>
      </c>
      <c r="E291" s="42" t="str">
        <f>IFERROR(__xludf.DUMMYFUNCTION("""COMPUTED_VALUE"""),"DISERAHKAN")</f>
        <v>DISERAHKAN</v>
      </c>
      <c r="F291" s="48" t="str">
        <f>IFERROR(__xludf.DUMMYFUNCTION("""COMPUTED_VALUE"""),"12/11/2024 10.41")</f>
        <v>12/11/2024 10.41</v>
      </c>
      <c r="G291" s="42" t="str">
        <f>IFERROR(__xludf.DUMMYFUNCTION("""COMPUTED_VALUE"""),"BN WARIS")</f>
        <v>BN WARIS</v>
      </c>
      <c r="H291" s="42">
        <f t="shared" si="1"/>
        <v>176</v>
      </c>
    </row>
    <row r="292" ht="22.5" customHeight="1">
      <c r="B292" s="42" t="str">
        <f>IFERROR(__xludf.DUMMYFUNCTION("""COMPUTED_VALUE"""),"L/37/111124/1")</f>
        <v>L/37/111124/1</v>
      </c>
      <c r="C292" s="42" t="str">
        <f>IFERROR(__xludf.DUMMYFUNCTION("""COMPUTED_VALUE"""),"HM 17234/SUKARAME")</f>
        <v>HM 17234/SUKARAME</v>
      </c>
      <c r="D292" s="42" t="str">
        <f>IFERROR(__xludf.DUMMYFUNCTION("""COMPUTED_VALUE"""),"David")</f>
        <v>David</v>
      </c>
      <c r="E292" s="42" t="str">
        <f>IFERROR(__xludf.DUMMYFUNCTION("""COMPUTED_VALUE"""),"DISERAHKAN")</f>
        <v>DISERAHKAN</v>
      </c>
      <c r="F292" s="48" t="str">
        <f>IFERROR(__xludf.DUMMYFUNCTION("""COMPUTED_VALUE"""),"20/11/2024 11.17")</f>
        <v>20/11/2024 11.17</v>
      </c>
      <c r="G292" s="42" t="str">
        <f>IFERROR(__xludf.DUMMYFUNCTION("""COMPUTED_VALUE"""),"ROYA")</f>
        <v>ROYA</v>
      </c>
      <c r="H292" s="42">
        <f t="shared" si="1"/>
        <v>177</v>
      </c>
    </row>
    <row r="293" ht="22.5" customHeight="1">
      <c r="B293" s="42" t="str">
        <f>IFERROR(__xludf.DUMMYFUNCTION("""COMPUTED_VALUE"""),"K/39/111124/1")</f>
        <v>K/39/111124/1</v>
      </c>
      <c r="C293" s="42" t="str">
        <f>IFERROR(__xludf.DUMMYFUNCTION("""COMPUTED_VALUE"""),"M. 1775/ Rajabasa Pemuka")</f>
        <v>M. 1775/ Rajabasa Pemuka</v>
      </c>
      <c r="D293" s="42" t="str">
        <f>IFERROR(__xludf.DUMMYFUNCTION("""COMPUTED_VALUE"""),"David")</f>
        <v>David</v>
      </c>
      <c r="E293" s="42" t="str">
        <f>IFERROR(__xludf.DUMMYFUNCTION("""COMPUTED_VALUE"""),"DISERAHKAN")</f>
        <v>DISERAHKAN</v>
      </c>
      <c r="F293" s="48" t="str">
        <f>IFERROR(__xludf.DUMMYFUNCTION("""COMPUTED_VALUE"""),"28/11/2024 13.50")</f>
        <v>28/11/2024 13.50</v>
      </c>
      <c r="G293" s="42" t="str">
        <f>IFERROR(__xludf.DUMMYFUNCTION("""COMPUTED_VALUE"""),"BN JUAL BELI")</f>
        <v>BN JUAL BELI</v>
      </c>
      <c r="H293" s="42">
        <f t="shared" si="1"/>
        <v>178</v>
      </c>
    </row>
    <row r="294" ht="22.5" customHeight="1">
      <c r="B294" s="42" t="str">
        <f>IFERROR(__xludf.DUMMYFUNCTION("""COMPUTED_VALUE"""),"K/40/111124/1")</f>
        <v>K/40/111124/1</v>
      </c>
      <c r="C294" s="42" t="str">
        <f>IFERROR(__xludf.DUMMYFUNCTION("""COMPUTED_VALUE"""),"M.868/BAKUNG")</f>
        <v>M.868/BAKUNG</v>
      </c>
      <c r="D294" s="42" t="str">
        <f>IFERROR(__xludf.DUMMYFUNCTION("""COMPUTED_VALUE"""),"David")</f>
        <v>David</v>
      </c>
      <c r="E294" s="42" t="str">
        <f>IFERROR(__xludf.DUMMYFUNCTION("""COMPUTED_VALUE"""),"DISERAHKAN")</f>
        <v>DISERAHKAN</v>
      </c>
      <c r="F294" s="48" t="str">
        <f>IFERROR(__xludf.DUMMYFUNCTION("""COMPUTED_VALUE"""),"12/11/2024 10.42")</f>
        <v>12/11/2024 10.42</v>
      </c>
      <c r="G294" s="42" t="str">
        <f>IFERROR(__xludf.DUMMYFUNCTION("""COMPUTED_VALUE"""),"KEWARISAN")</f>
        <v>KEWARISAN</v>
      </c>
      <c r="H294" s="42">
        <f t="shared" si="1"/>
        <v>179</v>
      </c>
    </row>
    <row r="295" ht="22.5" customHeight="1">
      <c r="B295" s="42" t="str">
        <f>IFERROR(__xludf.DUMMYFUNCTION("""COMPUTED_VALUE"""),"L/41/111124/1")</f>
        <v>L/41/111124/1</v>
      </c>
      <c r="C295" s="42" t="str">
        <f>IFERROR(__xludf.DUMMYFUNCTION("""COMPUTED_VALUE"""),"HM 4762/TANJUNG SENANG")</f>
        <v>HM 4762/TANJUNG SENANG</v>
      </c>
      <c r="D295" s="42" t="str">
        <f>IFERROR(__xludf.DUMMYFUNCTION("""COMPUTED_VALUE"""),"David")</f>
        <v>David</v>
      </c>
      <c r="E295" s="42" t="str">
        <f>IFERROR(__xludf.DUMMYFUNCTION("""COMPUTED_VALUE"""),"DISERAHKAN")</f>
        <v>DISERAHKAN</v>
      </c>
      <c r="F295" s="48">
        <f>IFERROR(__xludf.DUMMYFUNCTION("""COMPUTED_VALUE"""),45758.48534168981)</f>
        <v>45758.48534</v>
      </c>
      <c r="G295" s="42" t="str">
        <f>IFERROR(__xludf.DUMMYFUNCTION("""COMPUTED_VALUE"""),"ROYA")</f>
        <v>ROYA</v>
      </c>
      <c r="H295" s="42">
        <f t="shared" si="1"/>
        <v>180</v>
      </c>
    </row>
    <row r="296" ht="22.5" customHeight="1">
      <c r="B296" s="42" t="str">
        <f>IFERROR(__xludf.DUMMYFUNCTION("""COMPUTED_VALUE"""),"K/34/111124/1")</f>
        <v>K/34/111124/1</v>
      </c>
      <c r="C296" s="42" t="str">
        <f>IFERROR(__xludf.DUMMYFUNCTION("""COMPUTED_VALUE"""),"M. 1320/ Gedong Air")</f>
        <v>M. 1320/ Gedong Air</v>
      </c>
      <c r="D296" s="42" t="str">
        <f>IFERROR(__xludf.DUMMYFUNCTION("""COMPUTED_VALUE"""),"David")</f>
        <v>David</v>
      </c>
      <c r="E296" s="42" t="str">
        <f>IFERROR(__xludf.DUMMYFUNCTION("""COMPUTED_VALUE"""),"DISERAHKAN")</f>
        <v>DISERAHKAN</v>
      </c>
      <c r="F296" s="48" t="str">
        <f>IFERROR(__xludf.DUMMYFUNCTION("""COMPUTED_VALUE"""),"13/11/2024 15.57")</f>
        <v>13/11/2024 15.57</v>
      </c>
      <c r="G296" s="42" t="str">
        <f>IFERROR(__xludf.DUMMYFUNCTION("""COMPUTED_VALUE"""),"BN Jual Beli")</f>
        <v>BN Jual Beli</v>
      </c>
      <c r="H296" s="42">
        <f t="shared" si="1"/>
        <v>181</v>
      </c>
    </row>
    <row r="297" ht="22.5" customHeight="1">
      <c r="B297" s="42" t="str">
        <f>IFERROR(__xludf.DUMMYFUNCTION("""COMPUTED_VALUE"""),"K/7/121124/1")</f>
        <v>K/7/121124/1</v>
      </c>
      <c r="C297" s="42" t="str">
        <f>IFERROR(__xludf.DUMMYFUNCTION("""COMPUTED_VALUE"""),"M. 1103/ Sukamaju")</f>
        <v>M. 1103/ Sukamaju</v>
      </c>
      <c r="D297" s="42" t="str">
        <f>IFERROR(__xludf.DUMMYFUNCTION("""COMPUTED_VALUE"""),"David")</f>
        <v>David</v>
      </c>
      <c r="E297" s="42" t="str">
        <f>IFERROR(__xludf.DUMMYFUNCTION("""COMPUTED_VALUE"""),"PROSES")</f>
        <v>PROSES</v>
      </c>
      <c r="F297" s="48" t="str">
        <f>IFERROR(__xludf.DUMMYFUNCTION("""COMPUTED_VALUE"""),"")</f>
        <v/>
      </c>
      <c r="G297" s="42" t="str">
        <f>IFERROR(__xludf.DUMMYFUNCTION("""COMPUTED_VALUE"""),"BN Waris")</f>
        <v>BN Waris</v>
      </c>
      <c r="H297" s="42">
        <f t="shared" si="1"/>
        <v>181</v>
      </c>
    </row>
    <row r="298" ht="22.5" customHeight="1">
      <c r="B298" s="42" t="str">
        <f>IFERROR(__xludf.DUMMYFUNCTION("""COMPUTED_VALUE"""),"K/9/121124/2")</f>
        <v>K/9/121124/2</v>
      </c>
      <c r="C298" s="42" t="str">
        <f>IFERROR(__xludf.DUMMYFUNCTION("""COMPUTED_VALUE"""),"Nibel 2551/ Bumi raya")</f>
        <v>Nibel 2551/ Bumi raya</v>
      </c>
      <c r="D298" s="42"/>
      <c r="E298" s="42"/>
      <c r="F298" s="48" t="str">
        <f>IFERROR(__xludf.DUMMYFUNCTION("""COMPUTED_VALUE"""),"")</f>
        <v/>
      </c>
      <c r="G298" s="42" t="str">
        <f>IFERROR(__xludf.DUMMYFUNCTION("""COMPUTED_VALUE"""),"BN PHB")</f>
        <v>BN PHB</v>
      </c>
      <c r="H298" s="42">
        <f t="shared" si="1"/>
        <v>181</v>
      </c>
    </row>
    <row r="299" ht="22.5" customHeight="1">
      <c r="B299" s="42" t="str">
        <f>IFERROR(__xludf.DUMMYFUNCTION("""COMPUTED_VALUE"""),"K/14/121124/1")</f>
        <v>K/14/121124/1</v>
      </c>
      <c r="C299" s="42" t="str">
        <f>IFERROR(__xludf.DUMMYFUNCTION("""COMPUTED_VALUE"""),"M. 1004/ Gunung Agung-SEKARANG; M. 9784/ SEGALA MIDER-DAHULU")</f>
        <v>M. 1004/ Gunung Agung-SEKARANG; M. 9784/ SEGALA MIDER-DAHULU</v>
      </c>
      <c r="D299" s="42" t="str">
        <f>IFERROR(__xludf.DUMMYFUNCTION("""COMPUTED_VALUE"""),"David")</f>
        <v>David</v>
      </c>
      <c r="E299" s="42" t="str">
        <f>IFERROR(__xludf.DUMMYFUNCTION("""COMPUTED_VALUE"""),"PROSES")</f>
        <v>PROSES</v>
      </c>
      <c r="F299" s="48" t="str">
        <f>IFERROR(__xludf.DUMMYFUNCTION("""COMPUTED_VALUE"""),"")</f>
        <v/>
      </c>
      <c r="G299" s="42" t="str">
        <f>IFERROR(__xludf.DUMMYFUNCTION("""COMPUTED_VALUE"""),"BN HIBAH")</f>
        <v>BN HIBAH</v>
      </c>
      <c r="H299" s="42">
        <f t="shared" si="1"/>
        <v>181</v>
      </c>
    </row>
    <row r="300" ht="22.5" customHeight="1">
      <c r="B300" s="42" t="str">
        <f>IFERROR(__xludf.DUMMYFUNCTION("""COMPUTED_VALUE"""),"K/19/121124/1")</f>
        <v>K/19/121124/1</v>
      </c>
      <c r="C300" s="42" t="str">
        <f>IFERROR(__xludf.DUMMYFUNCTION("""COMPUTED_VALUE"""),"B. 225/ LABUHAN RATU RAYA")</f>
        <v>B. 225/ LABUHAN RATU RAYA</v>
      </c>
      <c r="D300" s="42" t="str">
        <f>IFERROR(__xludf.DUMMYFUNCTION("""COMPUTED_VALUE"""),"David")</f>
        <v>David</v>
      </c>
      <c r="E300" s="42" t="str">
        <f>IFERROR(__xludf.DUMMYFUNCTION("""COMPUTED_VALUE"""),"PROSES")</f>
        <v>PROSES</v>
      </c>
      <c r="F300" s="48" t="str">
        <f>IFERROR(__xludf.DUMMYFUNCTION("""COMPUTED_VALUE"""),"")</f>
        <v/>
      </c>
      <c r="G300" s="42" t="str">
        <f>IFERROR(__xludf.DUMMYFUNCTION("""COMPUTED_VALUE"""),"PH")</f>
        <v>PH</v>
      </c>
      <c r="H300" s="42">
        <f t="shared" si="1"/>
        <v>181</v>
      </c>
    </row>
    <row r="301" ht="22.5" customHeight="1">
      <c r="B301" s="42" t="str">
        <f>IFERROR(__xludf.DUMMYFUNCTION("""COMPUTED_VALUE"""),"K/19/121124/1")</f>
        <v>K/19/121124/1</v>
      </c>
      <c r="C301" s="42" t="str">
        <f>IFERROR(__xludf.DUMMYFUNCTION("""COMPUTED_VALUE"""),"B. 225 / LABUHAN RATU RAYA")</f>
        <v>B. 225 / LABUHAN RATU RAYA</v>
      </c>
      <c r="D301" s="42" t="str">
        <f>IFERROR(__xludf.DUMMYFUNCTION("""COMPUTED_VALUE"""),"David")</f>
        <v>David</v>
      </c>
      <c r="E301" s="42" t="str">
        <f>IFERROR(__xludf.DUMMYFUNCTION("""COMPUTED_VALUE"""),"PROSES")</f>
        <v>PROSES</v>
      </c>
      <c r="F301" s="48" t="str">
        <f>IFERROR(__xludf.DUMMYFUNCTION("""COMPUTED_VALUE"""),"")</f>
        <v/>
      </c>
      <c r="G301" s="42" t="str">
        <f>IFERROR(__xludf.DUMMYFUNCTION("""COMPUTED_VALUE"""),"PH")</f>
        <v>PH</v>
      </c>
      <c r="H301" s="42">
        <f t="shared" si="1"/>
        <v>181</v>
      </c>
    </row>
    <row r="302" ht="22.5" customHeight="1">
      <c r="B302" s="42" t="str">
        <f>IFERROR(__xludf.DUMMYFUNCTION("""COMPUTED_VALUE"""),"L/22/121124/1")</f>
        <v>L/22/121124/1</v>
      </c>
      <c r="C302" s="42" t="str">
        <f>IFERROR(__xludf.DUMMYFUNCTION("""COMPUTED_VALUE"""),"KEMILING PERMAI")</f>
        <v>KEMILING PERMAI</v>
      </c>
      <c r="D302" s="42"/>
      <c r="E302" s="42"/>
      <c r="F302" s="48" t="str">
        <f>IFERROR(__xludf.DUMMYFUNCTION("""COMPUTED_VALUE"""),"")</f>
        <v/>
      </c>
      <c r="G302" s="42" t="str">
        <f>IFERROR(__xludf.DUMMYFUNCTION("""COMPUTED_VALUE"""),"PERMOHONAN SK")</f>
        <v>PERMOHONAN SK</v>
      </c>
      <c r="H302" s="42">
        <f t="shared" si="1"/>
        <v>181</v>
      </c>
    </row>
    <row r="303" ht="22.5" customHeight="1">
      <c r="B303" s="42" t="str">
        <f>IFERROR(__xludf.DUMMYFUNCTION("""COMPUTED_VALUE"""),"K/19/121124/1")</f>
        <v>K/19/121124/1</v>
      </c>
      <c r="C303" s="42" t="str">
        <f>IFERROR(__xludf.DUMMYFUNCTION("""COMPUTED_VALUE"""),"B.225/LABUHAN RATU RAYA")</f>
        <v>B.225/LABUHAN RATU RAYA</v>
      </c>
      <c r="D303" s="42" t="str">
        <f>IFERROR(__xludf.DUMMYFUNCTION("""COMPUTED_VALUE"""),"David")</f>
        <v>David</v>
      </c>
      <c r="E303" s="42" t="str">
        <f>IFERROR(__xludf.DUMMYFUNCTION("""COMPUTED_VALUE"""),"PROSES")</f>
        <v>PROSES</v>
      </c>
      <c r="F303" s="48" t="str">
        <f>IFERROR(__xludf.DUMMYFUNCTION("""COMPUTED_VALUE"""),"")</f>
        <v/>
      </c>
      <c r="G303" s="42" t="str">
        <f>IFERROR(__xludf.DUMMYFUNCTION("""COMPUTED_VALUE"""),"PH")</f>
        <v>PH</v>
      </c>
      <c r="H303" s="42">
        <f t="shared" si="1"/>
        <v>181</v>
      </c>
    </row>
    <row r="304" ht="22.5" customHeight="1">
      <c r="B304" s="42" t="str">
        <f>IFERROR(__xludf.DUMMYFUNCTION("""COMPUTED_VALUE"""),"K/25/121124/1")</f>
        <v>K/25/121124/1</v>
      </c>
      <c r="C304" s="42" t="str">
        <f>IFERROR(__xludf.DUMMYFUNCTION("""COMPUTED_VALUE"""),"M. 2237/LANGKAPURA")</f>
        <v>M. 2237/LANGKAPURA</v>
      </c>
      <c r="D304" s="42" t="str">
        <f>IFERROR(__xludf.DUMMYFUNCTION("""COMPUTED_VALUE"""),"David")</f>
        <v>David</v>
      </c>
      <c r="E304" s="42" t="str">
        <f>IFERROR(__xludf.DUMMYFUNCTION("""COMPUTED_VALUE"""),"DISERAHKAN")</f>
        <v>DISERAHKAN</v>
      </c>
      <c r="F304" s="48" t="str">
        <f>IFERROR(__xludf.DUMMYFUNCTION("""COMPUTED_VALUE"""),"14/11/2024 08.37")</f>
        <v>14/11/2024 08.37</v>
      </c>
      <c r="G304" s="42" t="str">
        <f>IFERROR(__xludf.DUMMYFUNCTION("""COMPUTED_VALUE"""),"ROYA")</f>
        <v>ROYA</v>
      </c>
      <c r="H304" s="42">
        <f t="shared" si="1"/>
        <v>182</v>
      </c>
    </row>
    <row r="305" ht="22.5" customHeight="1">
      <c r="B305" s="42" t="str">
        <f>IFERROR(__xludf.DUMMYFUNCTION("""COMPUTED_VALUE"""),"L/27/121124/1")</f>
        <v>L/27/121124/1</v>
      </c>
      <c r="C305" s="42" t="str">
        <f>IFERROR(__xludf.DUMMYFUNCTION("""COMPUTED_VALUE"""),"HM 10312/SUKABUMI")</f>
        <v>HM 10312/SUKABUMI</v>
      </c>
      <c r="D305" s="42"/>
      <c r="E305" s="42"/>
      <c r="F305" s="48" t="str">
        <f>IFERROR(__xludf.DUMMYFUNCTION("""COMPUTED_VALUE"""),"")</f>
        <v/>
      </c>
      <c r="G305" s="42" t="str">
        <f>IFERROR(__xludf.DUMMYFUNCTION("""COMPUTED_VALUE"""),"PTPGT")</f>
        <v>PTPGT</v>
      </c>
      <c r="H305" s="42">
        <f t="shared" si="1"/>
        <v>182</v>
      </c>
    </row>
    <row r="306" ht="22.5" customHeight="1">
      <c r="B306" s="42" t="str">
        <f>IFERROR(__xludf.DUMMYFUNCTION("""COMPUTED_VALUE"""),"L/29/121124/1")</f>
        <v>L/29/121124/1</v>
      </c>
      <c r="C306" s="42" t="str">
        <f>IFERROR(__xludf.DUMMYFUNCTION("""COMPUTED_VALUE"""),"HM 358/WHP")</f>
        <v>HM 358/WHP</v>
      </c>
      <c r="D306" s="42" t="str">
        <f>IFERROR(__xludf.DUMMYFUNCTION("""COMPUTED_VALUE"""),"Berry")</f>
        <v>Berry</v>
      </c>
      <c r="E306" s="42" t="str">
        <f>IFERROR(__xludf.DUMMYFUNCTION("""COMPUTED_VALUE"""),"DISERAHKAN BT")</f>
        <v>DISERAHKAN BT</v>
      </c>
      <c r="F306" s="48" t="str">
        <f>IFERROR(__xludf.DUMMYFUNCTION("""COMPUTED_VALUE"""),"20/11/2024 15.12")</f>
        <v>20/11/2024 15.12</v>
      </c>
      <c r="G306" s="42" t="str">
        <f>IFERROR(__xludf.DUMMYFUNCTION("""COMPUTED_VALUE"""),"ROYA")</f>
        <v>ROYA</v>
      </c>
      <c r="H306" s="42">
        <f t="shared" si="1"/>
        <v>182</v>
      </c>
    </row>
    <row r="307" ht="22.5" customHeight="1">
      <c r="B307" s="42" t="str">
        <f>IFERROR(__xludf.DUMMYFUNCTION("""COMPUTED_VALUE"""),"K/31/121124/2")</f>
        <v>K/31/121124/2</v>
      </c>
      <c r="C307" s="42" t="str">
        <f>IFERROR(__xludf.DUMMYFUNCTION("""COMPUTED_VALUE"""),"M.14216/RAJABASA")</f>
        <v>M.14216/RAJABASA</v>
      </c>
      <c r="D307" s="42" t="str">
        <f>IFERROR(__xludf.DUMMYFUNCTION("""COMPUTED_VALUE"""),"Berry")</f>
        <v>Berry</v>
      </c>
      <c r="E307" s="42" t="str">
        <f>IFERROR(__xludf.DUMMYFUNCTION("""COMPUTED_VALUE"""),"PROSES")</f>
        <v>PROSES</v>
      </c>
      <c r="F307" s="48" t="str">
        <f>IFERROR(__xludf.DUMMYFUNCTION("""COMPUTED_VALUE"""),"")</f>
        <v/>
      </c>
      <c r="G307" s="42" t="str">
        <f>IFERROR(__xludf.DUMMYFUNCTION("""COMPUTED_VALUE"""),"ROYA")</f>
        <v>ROYA</v>
      </c>
      <c r="H307" s="42">
        <f t="shared" si="1"/>
        <v>182</v>
      </c>
    </row>
    <row r="308" ht="22.5" customHeight="1">
      <c r="B308" s="42" t="str">
        <f>IFERROR(__xludf.DUMMYFUNCTION("""COMPUTED_VALUE"""),"L/33/121124/1")</f>
        <v>L/33/121124/1</v>
      </c>
      <c r="C308" s="42" t="str">
        <f>IFERROR(__xludf.DUMMYFUNCTION("""COMPUTED_VALUE"""),"HM 838/PINANG JAYA")</f>
        <v>HM 838/PINANG JAYA</v>
      </c>
      <c r="D308" s="42" t="str">
        <f>IFERROR(__xludf.DUMMYFUNCTION("""COMPUTED_VALUE"""),"Berry")</f>
        <v>Berry</v>
      </c>
      <c r="E308" s="42" t="str">
        <f>IFERROR(__xludf.DUMMYFUNCTION("""COMPUTED_VALUE"""),"DISERAHKAN")</f>
        <v>DISERAHKAN</v>
      </c>
      <c r="F308" s="48" t="str">
        <f>IFERROR(__xludf.DUMMYFUNCTION("""COMPUTED_VALUE"""),"13/11/2024 16.09")</f>
        <v>13/11/2024 16.09</v>
      </c>
      <c r="G308" s="42" t="str">
        <f>IFERROR(__xludf.DUMMYFUNCTION("""COMPUTED_VALUE"""),"ROYA")</f>
        <v>ROYA</v>
      </c>
      <c r="H308" s="42">
        <f t="shared" si="1"/>
        <v>183</v>
      </c>
    </row>
    <row r="309" ht="22.5" customHeight="1">
      <c r="B309" s="42" t="str">
        <f>IFERROR(__xludf.DUMMYFUNCTION("""COMPUTED_VALUE"""),"L/37/121124/1")</f>
        <v>L/37/121124/1</v>
      </c>
      <c r="C309" s="42" t="str">
        <f>IFERROR(__xludf.DUMMYFUNCTION("""COMPUTED_VALUE"""),"NIB7348/TANJUNG BARU")</f>
        <v>NIB7348/TANJUNG BARU</v>
      </c>
      <c r="D309" s="42"/>
      <c r="E309" s="42"/>
      <c r="F309" s="48" t="str">
        <f>IFERROR(__xludf.DUMMYFUNCTION("""COMPUTED_VALUE"""),"")</f>
        <v/>
      </c>
      <c r="G309" s="42" t="str">
        <f>IFERROR(__xludf.DUMMYFUNCTION("""COMPUTED_VALUE"""),"PH")</f>
        <v>PH</v>
      </c>
      <c r="H309" s="42">
        <f t="shared" si="1"/>
        <v>183</v>
      </c>
    </row>
    <row r="310" ht="22.5" customHeight="1">
      <c r="B310" s="42" t="str">
        <f>IFERROR(__xludf.DUMMYFUNCTION("""COMPUTED_VALUE"""),"K/38/121124/1")</f>
        <v>K/38/121124/1</v>
      </c>
      <c r="C310" s="42" t="str">
        <f>IFERROR(__xludf.DUMMYFUNCTION("""COMPUTED_VALUE"""),"M. 1833/ Rajabasa Jaya")</f>
        <v>M. 1833/ Rajabasa Jaya</v>
      </c>
      <c r="D310" s="42" t="str">
        <f>IFERROR(__xludf.DUMMYFUNCTION("""COMPUTED_VALUE"""),"Berry")</f>
        <v>Berry</v>
      </c>
      <c r="E310" s="42" t="str">
        <f>IFERROR(__xludf.DUMMYFUNCTION("""COMPUTED_VALUE"""),"PROSES")</f>
        <v>PROSES</v>
      </c>
      <c r="F310" s="48" t="str">
        <f>IFERROR(__xludf.DUMMYFUNCTION("""COMPUTED_VALUE"""),"")</f>
        <v/>
      </c>
      <c r="G310" s="42" t="str">
        <f>IFERROR(__xludf.DUMMYFUNCTION("""COMPUTED_VALUE"""),"Penataan Batas")</f>
        <v>Penataan Batas</v>
      </c>
      <c r="H310" s="42">
        <f t="shared" si="1"/>
        <v>183</v>
      </c>
    </row>
    <row r="311" ht="22.5" customHeight="1">
      <c r="B311" s="42" t="str">
        <f>IFERROR(__xludf.DUMMYFUNCTION("""COMPUTED_VALUE"""),"L/39/121124/1")</f>
        <v>L/39/121124/1</v>
      </c>
      <c r="C311" s="42" t="str">
        <f>IFERROR(__xludf.DUMMYFUNCTION("""COMPUTED_VALUE"""),"HM 614/RAJABASA PEMUKA")</f>
        <v>HM 614/RAJABASA PEMUKA</v>
      </c>
      <c r="D311" s="42" t="str">
        <f>IFERROR(__xludf.DUMMYFUNCTION("""COMPUTED_VALUE"""),"Berry")</f>
        <v>Berry</v>
      </c>
      <c r="E311" s="42" t="str">
        <f>IFERROR(__xludf.DUMMYFUNCTION("""COMPUTED_VALUE"""),"DISERAHKAN")</f>
        <v>DISERAHKAN</v>
      </c>
      <c r="F311" s="48" t="str">
        <f>IFERROR(__xludf.DUMMYFUNCTION("""COMPUTED_VALUE"""),"13/11/2024 16.10")</f>
        <v>13/11/2024 16.10</v>
      </c>
      <c r="G311" s="42" t="str">
        <f>IFERROR(__xludf.DUMMYFUNCTION("""COMPUTED_VALUE"""),"ROYA")</f>
        <v>ROYA</v>
      </c>
      <c r="H311" s="42">
        <f t="shared" si="1"/>
        <v>184</v>
      </c>
    </row>
    <row r="312" ht="22.5" customHeight="1">
      <c r="B312" s="42" t="str">
        <f>IFERROR(__xludf.DUMMYFUNCTION("""COMPUTED_VALUE"""),"K/43/121124/4")</f>
        <v>K/43/121124/4</v>
      </c>
      <c r="C312" s="42" t="str">
        <f>IFERROR(__xludf.DUMMYFUNCTION("""COMPUTED_VALUE"""),"Nibel 367/ Gunung Sulah")</f>
        <v>Nibel 367/ Gunung Sulah</v>
      </c>
      <c r="D312" s="42"/>
      <c r="E312" s="42"/>
      <c r="F312" s="48" t="str">
        <f>IFERROR(__xludf.DUMMYFUNCTION("""COMPUTED_VALUE"""),"")</f>
        <v/>
      </c>
      <c r="G312" s="42" t="str">
        <f>IFERROR(__xludf.DUMMYFUNCTION("""COMPUTED_VALUE"""),"BN JUAL BELI")</f>
        <v>BN JUAL BELI</v>
      </c>
      <c r="H312" s="42">
        <f t="shared" si="1"/>
        <v>184</v>
      </c>
    </row>
    <row r="313" ht="22.5" customHeight="1">
      <c r="B313" s="42" t="str">
        <f>IFERROR(__xludf.DUMMYFUNCTION("""COMPUTED_VALUE"""),"L/46/121124/1")</f>
        <v>L/46/121124/1</v>
      </c>
      <c r="C313" s="42" t="str">
        <f>IFERROR(__xludf.DUMMYFUNCTION("""COMPUTED_VALUE"""),"HM 755/RAJABASA RAYA")</f>
        <v>HM 755/RAJABASA RAYA</v>
      </c>
      <c r="D313" s="42" t="str">
        <f>IFERROR(__xludf.DUMMYFUNCTION("""COMPUTED_VALUE"""),"Berry")</f>
        <v>Berry</v>
      </c>
      <c r="E313" s="42" t="str">
        <f>IFERROR(__xludf.DUMMYFUNCTION("""COMPUTED_VALUE"""),"DISERAHKAN SU")</f>
        <v>DISERAHKAN SU</v>
      </c>
      <c r="F313" s="48" t="str">
        <f>IFERROR(__xludf.DUMMYFUNCTION("""COMPUTED_VALUE"""),"14/11/2024 08.37")</f>
        <v>14/11/2024 08.37</v>
      </c>
      <c r="G313" s="42" t="str">
        <f>IFERROR(__xludf.DUMMYFUNCTION("""COMPUTED_VALUE"""),"ROYA")</f>
        <v>ROYA</v>
      </c>
      <c r="H313" s="42">
        <f t="shared" si="1"/>
        <v>184</v>
      </c>
    </row>
    <row r="314" ht="22.5" customHeight="1">
      <c r="B314" s="42" t="str">
        <f>IFERROR(__xludf.DUMMYFUNCTION("""COMPUTED_VALUE"""),"K/47/121124/1")</f>
        <v>K/47/121124/1</v>
      </c>
      <c r="C314" s="42" t="str">
        <f>IFERROR(__xludf.DUMMYFUNCTION("""COMPUTED_VALUE"""),"M. 4936/ SUKADANA HAM")</f>
        <v>M. 4936/ SUKADANA HAM</v>
      </c>
      <c r="D314" s="42" t="str">
        <f>IFERROR(__xludf.DUMMYFUNCTION("""COMPUTED_VALUE"""),"Berry")</f>
        <v>Berry</v>
      </c>
      <c r="E314" s="42" t="str">
        <f>IFERROR(__xludf.DUMMYFUNCTION("""COMPUTED_VALUE"""),"DISERAHKAN")</f>
        <v>DISERAHKAN</v>
      </c>
      <c r="F314" s="48" t="str">
        <f>IFERROR(__xludf.DUMMYFUNCTION("""COMPUTED_VALUE"""),"14/11/2024 08.37")</f>
        <v>14/11/2024 08.37</v>
      </c>
      <c r="G314" s="42" t="str">
        <f>IFERROR(__xludf.DUMMYFUNCTION("""COMPUTED_VALUE"""),"BN JUAL BELI")</f>
        <v>BN JUAL BELI</v>
      </c>
      <c r="H314" s="42">
        <f t="shared" si="1"/>
        <v>185</v>
      </c>
    </row>
    <row r="315" ht="22.5" customHeight="1">
      <c r="B315" s="42" t="str">
        <f>IFERROR(__xludf.DUMMYFUNCTION("""COMPUTED_VALUE"""),"L/48/121124/1")</f>
        <v>L/48/121124/1</v>
      </c>
      <c r="C315" s="42" t="str">
        <f>IFERROR(__xludf.DUMMYFUNCTION("""COMPUTED_VALUE"""),"HGB 836/PWK")</f>
        <v>HGB 836/PWK</v>
      </c>
      <c r="D315" s="42" t="str">
        <f>IFERROR(__xludf.DUMMYFUNCTION("""COMPUTED_VALUE"""),"Berry")</f>
        <v>Berry</v>
      </c>
      <c r="E315" s="42" t="str">
        <f>IFERROR(__xludf.DUMMYFUNCTION("""COMPUTED_VALUE"""),"PROSES")</f>
        <v>PROSES</v>
      </c>
      <c r="F315" s="48" t="str">
        <f>IFERROR(__xludf.DUMMYFUNCTION("""COMPUTED_VALUE"""),"")</f>
        <v/>
      </c>
      <c r="G315" s="42" t="str">
        <f>IFERROR(__xludf.DUMMYFUNCTION("""COMPUTED_VALUE"""),"PERUBAHAN HAK")</f>
        <v>PERUBAHAN HAK</v>
      </c>
      <c r="H315" s="42">
        <f t="shared" si="1"/>
        <v>185</v>
      </c>
    </row>
    <row r="316" ht="22.5" customHeight="1">
      <c r="B316" s="42" t="str">
        <f>IFERROR(__xludf.DUMMYFUNCTION("""COMPUTED_VALUE"""),"L/6/131124/1")</f>
        <v>L/6/131124/1</v>
      </c>
      <c r="C316" s="42" t="str">
        <f>IFERROR(__xludf.DUMMYFUNCTION("""COMPUTED_VALUE"""),"SUKARAME")</f>
        <v>SUKARAME</v>
      </c>
      <c r="D316" s="42"/>
      <c r="E316" s="42"/>
      <c r="F316" s="48" t="str">
        <f>IFERROR(__xludf.DUMMYFUNCTION("""COMPUTED_VALUE"""),"")</f>
        <v/>
      </c>
      <c r="G316" s="42" t="str">
        <f>IFERROR(__xludf.DUMMYFUNCTION("""COMPUTED_VALUE"""),"TANAH MENTAH")</f>
        <v>TANAH MENTAH</v>
      </c>
      <c r="H316" s="42">
        <f t="shared" si="1"/>
        <v>185</v>
      </c>
    </row>
    <row r="317" ht="22.5" customHeight="1">
      <c r="B317" s="42" t="str">
        <f>IFERROR(__xludf.DUMMYFUNCTION("""COMPUTED_VALUE"""),"L/8/131124/1")</f>
        <v>L/8/131124/1</v>
      </c>
      <c r="C317" s="42" t="str">
        <f>IFERROR(__xludf.DUMMYFUNCTION("""COMPUTED_VALUE"""),"HGB 836/PWK")</f>
        <v>HGB 836/PWK</v>
      </c>
      <c r="D317" s="42" t="str">
        <f>IFERROR(__xludf.DUMMYFUNCTION("""COMPUTED_VALUE"""),"David")</f>
        <v>David</v>
      </c>
      <c r="E317" s="42" t="str">
        <f>IFERROR(__xludf.DUMMYFUNCTION("""COMPUTED_VALUE"""),"PROSES")</f>
        <v>PROSES</v>
      </c>
      <c r="F317" s="48" t="str">
        <f>IFERROR(__xludf.DUMMYFUNCTION("""COMPUTED_VALUE"""),"")</f>
        <v/>
      </c>
      <c r="G317" s="42" t="str">
        <f>IFERROR(__xludf.DUMMYFUNCTION("""COMPUTED_VALUE"""),"PH")</f>
        <v>PH</v>
      </c>
      <c r="H317" s="42">
        <f t="shared" si="1"/>
        <v>185</v>
      </c>
    </row>
    <row r="318" ht="22.5" customHeight="1">
      <c r="B318" s="42" t="str">
        <f>IFERROR(__xludf.DUMMYFUNCTION("""COMPUTED_VALUE"""),"L/9/131124/1")</f>
        <v>L/9/131124/1</v>
      </c>
      <c r="C318" s="42" t="str">
        <f>IFERROR(__xludf.DUMMYFUNCTION("""COMPUTED_VALUE"""),"HM 11474/KEDAMAIAN (SHM TETANGGA)")</f>
        <v>HM 11474/KEDAMAIAN (SHM TETANGGA)</v>
      </c>
      <c r="D318" s="42"/>
      <c r="E318" s="42"/>
      <c r="F318" s="48" t="str">
        <f>IFERROR(__xludf.DUMMYFUNCTION("""COMPUTED_VALUE"""),"")</f>
        <v/>
      </c>
      <c r="G318" s="42" t="str">
        <f>IFERROR(__xludf.DUMMYFUNCTION("""COMPUTED_VALUE"""),"SERTIPIKAT HILANG")</f>
        <v>SERTIPIKAT HILANG</v>
      </c>
      <c r="H318" s="42">
        <f t="shared" si="1"/>
        <v>185</v>
      </c>
    </row>
    <row r="319" ht="22.5" customHeight="1">
      <c r="B319" s="42" t="str">
        <f>IFERROR(__xludf.DUMMYFUNCTION("""COMPUTED_VALUE"""),"K/3/131124/3")</f>
        <v>K/3/131124/3</v>
      </c>
      <c r="C319" s="42" t="str">
        <f>IFERROR(__xludf.DUMMYFUNCTION("""COMPUTED_VALUE"""),"M. 1714/ Sukamaju")</f>
        <v>M. 1714/ Sukamaju</v>
      </c>
      <c r="D319" s="42"/>
      <c r="E319" s="42"/>
      <c r="F319" s="48" t="str">
        <f>IFERROR(__xludf.DUMMYFUNCTION("""COMPUTED_VALUE"""),"")</f>
        <v/>
      </c>
      <c r="G319" s="42" t="str">
        <f>IFERROR(__xludf.DUMMYFUNCTION("""COMPUTED_VALUE"""),"SKPT Lelang")</f>
        <v>SKPT Lelang</v>
      </c>
      <c r="H319" s="42">
        <f t="shared" si="1"/>
        <v>185</v>
      </c>
    </row>
    <row r="320" ht="22.5" customHeight="1">
      <c r="B320" s="42" t="str">
        <f>IFERROR(__xludf.DUMMYFUNCTION("""COMPUTED_VALUE"""),"K/10/131124/1")</f>
        <v>K/10/131124/1</v>
      </c>
      <c r="C320" s="42" t="str">
        <f>IFERROR(__xludf.DUMMYFUNCTION("""COMPUTED_VALUE"""),"M. 1193/ Sukadana Ham")</f>
        <v>M. 1193/ Sukadana Ham</v>
      </c>
      <c r="D320" s="42" t="str">
        <f>IFERROR(__xludf.DUMMYFUNCTION("""COMPUTED_VALUE"""),"David")</f>
        <v>David</v>
      </c>
      <c r="E320" s="42" t="str">
        <f>IFERROR(__xludf.DUMMYFUNCTION("""COMPUTED_VALUE"""),"DISERAHKAN")</f>
        <v>DISERAHKAN</v>
      </c>
      <c r="F320" s="48" t="str">
        <f>IFERROR(__xludf.DUMMYFUNCTION("""COMPUTED_VALUE"""),"18/11/2024 10.31")</f>
        <v>18/11/2024 10.31</v>
      </c>
      <c r="G320" s="42" t="str">
        <f>IFERROR(__xludf.DUMMYFUNCTION("""COMPUTED_VALUE"""),"BN Jual Beli")</f>
        <v>BN Jual Beli</v>
      </c>
      <c r="H320" s="42">
        <f t="shared" si="1"/>
        <v>186</v>
      </c>
    </row>
    <row r="321" ht="22.5" customHeight="1">
      <c r="B321" s="42" t="str">
        <f>IFERROR(__xludf.DUMMYFUNCTION("""COMPUTED_VALUE"""),"L/12/131124/1")</f>
        <v>L/12/131124/1</v>
      </c>
      <c r="C321" s="42" t="str">
        <f>IFERROR(__xludf.DUMMYFUNCTION("""COMPUTED_VALUE"""),"HM 1424/BAKUNG &amp; HM 1423/BAKUNG")</f>
        <v>HM 1424/BAKUNG &amp; HM 1423/BAKUNG</v>
      </c>
      <c r="D321" s="42" t="str">
        <f>IFERROR(__xludf.DUMMYFUNCTION("""COMPUTED_VALUE"""),"David")</f>
        <v>David</v>
      </c>
      <c r="E321" s="42" t="str">
        <f>IFERROR(__xludf.DUMMYFUNCTION("""COMPUTED_VALUE"""),"DISERAHKAN BT")</f>
        <v>DISERAHKAN BT</v>
      </c>
      <c r="F321" s="48" t="str">
        <f>IFERROR(__xludf.DUMMYFUNCTION("""COMPUTED_VALUE"""),"18/11/2024 10.34")</f>
        <v>18/11/2024 10.34</v>
      </c>
      <c r="G321" s="42" t="str">
        <f>IFERROR(__xludf.DUMMYFUNCTION("""COMPUTED_VALUE"""),"ROYA")</f>
        <v>ROYA</v>
      </c>
      <c r="H321" s="42">
        <f t="shared" si="1"/>
        <v>186</v>
      </c>
    </row>
    <row r="322" ht="22.5" customHeight="1">
      <c r="B322" s="42" t="str">
        <f>IFERROR(__xludf.DUMMYFUNCTION("""COMPUTED_VALUE"""),"K/13/131124/1")</f>
        <v>K/13/131124/1</v>
      </c>
      <c r="C322" s="42" t="str">
        <f>IFERROR(__xludf.DUMMYFUNCTION("""COMPUTED_VALUE"""),"M. 2268/ Campang Jaya-SEKARANG; m. 1520/ CAMPANG RAYA-DULU")</f>
        <v>M. 2268/ Campang Jaya-SEKARANG; m. 1520/ CAMPANG RAYA-DULU</v>
      </c>
      <c r="D322" s="42" t="str">
        <f>IFERROR(__xludf.DUMMYFUNCTION("""COMPUTED_VALUE"""),"David")</f>
        <v>David</v>
      </c>
      <c r="E322" s="42" t="str">
        <f>IFERROR(__xludf.DUMMYFUNCTION("""COMPUTED_VALUE"""),"DISERAHKAN")</f>
        <v>DISERAHKAN</v>
      </c>
      <c r="F322" s="48" t="str">
        <f>IFERROR(__xludf.DUMMYFUNCTION("""COMPUTED_VALUE"""),"18/11/2024 10.36")</f>
        <v>18/11/2024 10.36</v>
      </c>
      <c r="G322" s="42" t="str">
        <f>IFERROR(__xludf.DUMMYFUNCTION("""COMPUTED_VALUE"""),"BN JUAL BELI")</f>
        <v>BN JUAL BELI</v>
      </c>
      <c r="H322" s="42">
        <f t="shared" si="1"/>
        <v>187</v>
      </c>
    </row>
    <row r="323" ht="22.5" customHeight="1">
      <c r="B323" s="42" t="str">
        <f>IFERROR(__xludf.DUMMYFUNCTION("""COMPUTED_VALUE"""),"K/14/131124/2")</f>
        <v>K/14/131124/2</v>
      </c>
      <c r="C323" s="42" t="str">
        <f>IFERROR(__xludf.DUMMYFUNCTION("""COMPUTED_VALUE"""),"M. 346/ Sawah Lama")</f>
        <v>M. 346/ Sawah Lama</v>
      </c>
      <c r="D323" s="42" t="str">
        <f>IFERROR(__xludf.DUMMYFUNCTION("""COMPUTED_VALUE"""),"David")</f>
        <v>David</v>
      </c>
      <c r="E323" s="42" t="str">
        <f>IFERROR(__xludf.DUMMYFUNCTION("""COMPUTED_VALUE"""),"DISERAHKAN")</f>
        <v>DISERAHKAN</v>
      </c>
      <c r="F323" s="48" t="str">
        <f>IFERROR(__xludf.DUMMYFUNCTION("""COMPUTED_VALUE"""),"18/11/2024 10.37")</f>
        <v>18/11/2024 10.37</v>
      </c>
      <c r="G323" s="42" t="str">
        <f>IFERROR(__xludf.DUMMYFUNCTION("""COMPUTED_VALUE"""),"BN JUAL JUAL BELI")</f>
        <v>BN JUAL JUAL BELI</v>
      </c>
      <c r="H323" s="42">
        <f t="shared" si="1"/>
        <v>188</v>
      </c>
    </row>
    <row r="324" ht="22.5" customHeight="1">
      <c r="B324" s="42" t="str">
        <f>IFERROR(__xludf.DUMMYFUNCTION("""COMPUTED_VALUE"""),"K/15/131124/3")</f>
        <v>K/15/131124/3</v>
      </c>
      <c r="C324" s="42" t="str">
        <f>IFERROR(__xludf.DUMMYFUNCTION("""COMPUTED_VALUE"""),"M. 86/ Sawah Brebes")</f>
        <v>M. 86/ Sawah Brebes</v>
      </c>
      <c r="D324" s="42" t="str">
        <f>IFERROR(__xludf.DUMMYFUNCTION("""COMPUTED_VALUE"""),"David")</f>
        <v>David</v>
      </c>
      <c r="E324" s="42" t="str">
        <f>IFERROR(__xludf.DUMMYFUNCTION("""COMPUTED_VALUE"""),"DISERAHKAN")</f>
        <v>DISERAHKAN</v>
      </c>
      <c r="F324" s="48" t="str">
        <f>IFERROR(__xludf.DUMMYFUNCTION("""COMPUTED_VALUE"""),"18/11/2024 10.37")</f>
        <v>18/11/2024 10.37</v>
      </c>
      <c r="G324" s="42" t="str">
        <f>IFERROR(__xludf.DUMMYFUNCTION("""COMPUTED_VALUE"""),"BN JUAL BELI")</f>
        <v>BN JUAL BELI</v>
      </c>
      <c r="H324" s="42">
        <f t="shared" si="1"/>
        <v>189</v>
      </c>
    </row>
    <row r="325" ht="22.5" customHeight="1">
      <c r="B325" s="42" t="str">
        <f>IFERROR(__xludf.DUMMYFUNCTION("""COMPUTED_VALUE"""),"K/17/131124/1")</f>
        <v>K/17/131124/1</v>
      </c>
      <c r="C325" s="42" t="str">
        <f>IFERROR(__xludf.DUMMYFUNCTION("""COMPUTED_VALUE"""),"M. 468/SUMUR PUTRI")</f>
        <v>M. 468/SUMUR PUTRI</v>
      </c>
      <c r="D325" s="42" t="str">
        <f>IFERROR(__xludf.DUMMYFUNCTION("""COMPUTED_VALUE"""),"David")</f>
        <v>David</v>
      </c>
      <c r="E325" s="42" t="str">
        <f>IFERROR(__xludf.DUMMYFUNCTION("""COMPUTED_VALUE"""),"PROSES")</f>
        <v>PROSES</v>
      </c>
      <c r="F325" s="48" t="str">
        <f>IFERROR(__xludf.DUMMYFUNCTION("""COMPUTED_VALUE"""),"")</f>
        <v/>
      </c>
      <c r="G325" s="42" t="str">
        <f>IFERROR(__xludf.DUMMYFUNCTION("""COMPUTED_VALUE"""),"BN JUAL BELI")</f>
        <v>BN JUAL BELI</v>
      </c>
      <c r="H325" s="42">
        <f t="shared" si="1"/>
        <v>189</v>
      </c>
    </row>
    <row r="326" ht="22.5" customHeight="1">
      <c r="B326" s="42" t="str">
        <f>IFERROR(__xludf.DUMMYFUNCTION("""COMPUTED_VALUE"""),"L/18/131124/1")</f>
        <v>L/18/131124/1</v>
      </c>
      <c r="C326" s="42" t="str">
        <f>IFERROR(__xludf.DUMMYFUNCTION("""COMPUTED_VALUE"""),"HGB 706/CAMPANG RAYA")</f>
        <v>HGB 706/CAMPANG RAYA</v>
      </c>
      <c r="D326" s="42"/>
      <c r="E326" s="42"/>
      <c r="F326" s="48" t="str">
        <f>IFERROR(__xludf.DUMMYFUNCTION("""COMPUTED_VALUE"""),"")</f>
        <v/>
      </c>
      <c r="G326" s="42" t="str">
        <f>IFERROR(__xludf.DUMMYFUNCTION("""COMPUTED_VALUE"""),"SKPT INFORMASI")</f>
        <v>SKPT INFORMASI</v>
      </c>
      <c r="H326" s="42">
        <f t="shared" si="1"/>
        <v>189</v>
      </c>
    </row>
    <row r="327" ht="22.5" customHeight="1">
      <c r="B327" s="42" t="str">
        <f>IFERROR(__xludf.DUMMYFUNCTION("""COMPUTED_VALUE"""),"K/19/131124/1")</f>
        <v>K/19/131124/1</v>
      </c>
      <c r="C327" s="42" t="str">
        <f>IFERROR(__xludf.DUMMYFUNCTION("""COMPUTED_VALUE"""),"M. 1845/ Kaliawi")</f>
        <v>M. 1845/ Kaliawi</v>
      </c>
      <c r="D327" s="42" t="str">
        <f>IFERROR(__xludf.DUMMYFUNCTION("""COMPUTED_VALUE"""),"David")</f>
        <v>David</v>
      </c>
      <c r="E327" s="42" t="str">
        <f>IFERROR(__xludf.DUMMYFUNCTION("""COMPUTED_VALUE"""),"DISERAHKAN")</f>
        <v>DISERAHKAN</v>
      </c>
      <c r="F327" s="48" t="str">
        <f>IFERROR(__xludf.DUMMYFUNCTION("""COMPUTED_VALUE"""),"18/11/2024 09.52")</f>
        <v>18/11/2024 09.52</v>
      </c>
      <c r="G327" s="42" t="str">
        <f>IFERROR(__xludf.DUMMYFUNCTION("""COMPUTED_VALUE"""),"BN Waris")</f>
        <v>BN Waris</v>
      </c>
      <c r="H327" s="42">
        <f t="shared" si="1"/>
        <v>190</v>
      </c>
    </row>
    <row r="328" ht="22.5" customHeight="1">
      <c r="B328" s="42" t="str">
        <f>IFERROR(__xludf.DUMMYFUNCTION("""COMPUTED_VALUE"""),"K/21/131124/1")</f>
        <v>K/21/131124/1</v>
      </c>
      <c r="C328" s="42" t="str">
        <f>IFERROR(__xludf.DUMMYFUNCTION("""COMPUTED_VALUE"""),"M.10630/SIDODADI")</f>
        <v>M.10630/SIDODADI</v>
      </c>
      <c r="D328" s="42" t="str">
        <f>IFERROR(__xludf.DUMMYFUNCTION("""COMPUTED_VALUE"""),"David")</f>
        <v>David</v>
      </c>
      <c r="E328" s="42" t="str">
        <f>IFERROR(__xludf.DUMMYFUNCTION("""COMPUTED_VALUE"""),"PROSES")</f>
        <v>PROSES</v>
      </c>
      <c r="F328" s="48" t="str">
        <f>IFERROR(__xludf.DUMMYFUNCTION("""COMPUTED_VALUE"""),"")</f>
        <v/>
      </c>
      <c r="G328" s="42" t="str">
        <f>IFERROR(__xludf.DUMMYFUNCTION("""COMPUTED_VALUE"""),"KEWARISAN")</f>
        <v>KEWARISAN</v>
      </c>
      <c r="H328" s="42">
        <f t="shared" si="1"/>
        <v>190</v>
      </c>
    </row>
    <row r="329" ht="22.5" customHeight="1">
      <c r="B329" s="42" t="str">
        <f>IFERROR(__xludf.DUMMYFUNCTION("""COMPUTED_VALUE"""),"L/25/131124/1")</f>
        <v>L/25/131124/1</v>
      </c>
      <c r="C329" s="42" t="str">
        <f>IFERROR(__xludf.DUMMYFUNCTION("""COMPUTED_VALUE"""),"HM 1075/RAJABASA RAYA")</f>
        <v>HM 1075/RAJABASA RAYA</v>
      </c>
      <c r="D329" s="42" t="str">
        <f>IFERROR(__xludf.DUMMYFUNCTION("""COMPUTED_VALUE"""),"David")</f>
        <v>David</v>
      </c>
      <c r="E329" s="42" t="str">
        <f>IFERROR(__xludf.DUMMYFUNCTION("""COMPUTED_VALUE"""),"PROSES")</f>
        <v>PROSES</v>
      </c>
      <c r="F329" s="48" t="str">
        <f>IFERROR(__xludf.DUMMYFUNCTION("""COMPUTED_VALUE"""),"")</f>
        <v/>
      </c>
      <c r="G329" s="42" t="str">
        <f>IFERROR(__xludf.DUMMYFUNCTION("""COMPUTED_VALUE"""),"ROYA")</f>
        <v>ROYA</v>
      </c>
      <c r="H329" s="42">
        <f t="shared" si="1"/>
        <v>190</v>
      </c>
    </row>
    <row r="330" ht="22.5" customHeight="1">
      <c r="B330" s="42" t="str">
        <f>IFERROR(__xludf.DUMMYFUNCTION("""COMPUTED_VALUE"""),"K/28/131124/2")</f>
        <v>K/28/131124/2</v>
      </c>
      <c r="C330" s="42" t="str">
        <f>IFERROR(__xludf.DUMMYFUNCTION("""COMPUTED_VALUE"""),"M. 1635 / PANJANG SELATAN")</f>
        <v>M. 1635 / PANJANG SELATAN</v>
      </c>
      <c r="D330" s="42" t="str">
        <f>IFERROR(__xludf.DUMMYFUNCTION("""COMPUTED_VALUE"""),"David")</f>
        <v>David</v>
      </c>
      <c r="E330" s="42" t="str">
        <f>IFERROR(__xludf.DUMMYFUNCTION("""COMPUTED_VALUE"""),"PROSES")</f>
        <v>PROSES</v>
      </c>
      <c r="F330" s="48" t="str">
        <f>IFERROR(__xludf.DUMMYFUNCTION("""COMPUTED_VALUE"""),"")</f>
        <v/>
      </c>
      <c r="G330" s="42" t="str">
        <f>IFERROR(__xludf.DUMMYFUNCTION("""COMPUTED_VALUE"""),"ROYA")</f>
        <v>ROYA</v>
      </c>
      <c r="H330" s="42">
        <f t="shared" si="1"/>
        <v>190</v>
      </c>
    </row>
    <row r="331" ht="22.5" customHeight="1">
      <c r="B331" s="42" t="str">
        <f>IFERROR(__xludf.DUMMYFUNCTION("""COMPUTED_VALUE"""),"K/29/131124/1")</f>
        <v>K/29/131124/1</v>
      </c>
      <c r="C331" s="42" t="str">
        <f>IFERROR(__xludf.DUMMYFUNCTION("""COMPUTED_VALUE"""),"M. 1200 / GULAK GALIK-SEKARANG;M. 66/SUMUR BATU-DAHULU")</f>
        <v>M. 1200 / GULAK GALIK-SEKARANG;M. 66/SUMUR BATU-DAHULU</v>
      </c>
      <c r="D331" s="42" t="str">
        <f>IFERROR(__xludf.DUMMYFUNCTION("""COMPUTED_VALUE"""),"David")</f>
        <v>David</v>
      </c>
      <c r="E331" s="42" t="str">
        <f>IFERROR(__xludf.DUMMYFUNCTION("""COMPUTED_VALUE"""),"PROSES")</f>
        <v>PROSES</v>
      </c>
      <c r="F331" s="48" t="str">
        <f>IFERROR(__xludf.DUMMYFUNCTION("""COMPUTED_VALUE"""),"")</f>
        <v/>
      </c>
      <c r="G331" s="42" t="str">
        <f>IFERROR(__xludf.DUMMYFUNCTION("""COMPUTED_VALUE"""),"BN JUAL BELI")</f>
        <v>BN JUAL BELI</v>
      </c>
      <c r="H331" s="42">
        <f t="shared" si="1"/>
        <v>190</v>
      </c>
    </row>
    <row r="332" ht="22.5" customHeight="1">
      <c r="B332" s="42" t="str">
        <f>IFERROR(__xludf.DUMMYFUNCTION("""COMPUTED_VALUE"""),"L/32/131124/1")</f>
        <v>L/32/131124/1</v>
      </c>
      <c r="C332" s="42" t="str">
        <f>IFERROR(__xludf.DUMMYFUNCTION("""COMPUTED_VALUE"""),"HM 380/SUKARAJA")</f>
        <v>HM 380/SUKARAJA</v>
      </c>
      <c r="D332" s="42"/>
      <c r="E332" s="42"/>
      <c r="F332" s="48" t="str">
        <f>IFERROR(__xludf.DUMMYFUNCTION("""COMPUTED_VALUE"""),"")</f>
        <v/>
      </c>
      <c r="G332" s="42" t="str">
        <f>IFERROR(__xludf.DUMMYFUNCTION("""COMPUTED_VALUE"""),"BLOKIR")</f>
        <v>BLOKIR</v>
      </c>
      <c r="H332" s="42">
        <f t="shared" si="1"/>
        <v>190</v>
      </c>
    </row>
    <row r="333" ht="22.5" customHeight="1">
      <c r="B333" s="42" t="str">
        <f>IFERROR(__xludf.DUMMYFUNCTION("""COMPUTED_VALUE"""),"K/34/131124/1")</f>
        <v>K/34/131124/1</v>
      </c>
      <c r="C333" s="42" t="str">
        <f>IFERROR(__xludf.DUMMYFUNCTION("""COMPUTED_VALUE"""),"M. 4728/ Langkapura")</f>
        <v>M. 4728/ Langkapura</v>
      </c>
      <c r="D333" s="42" t="str">
        <f>IFERROR(__xludf.DUMMYFUNCTION("""COMPUTED_VALUE"""),"David")</f>
        <v>David</v>
      </c>
      <c r="E333" s="42" t="str">
        <f>IFERROR(__xludf.DUMMYFUNCTION("""COMPUTED_VALUE"""),"DISERAHKAN")</f>
        <v>DISERAHKAN</v>
      </c>
      <c r="F333" s="48" t="str">
        <f>IFERROR(__xludf.DUMMYFUNCTION("""COMPUTED_VALUE"""),"18/11/2024 10.48")</f>
        <v>18/11/2024 10.48</v>
      </c>
      <c r="G333" s="42" t="str">
        <f>IFERROR(__xludf.DUMMYFUNCTION("""COMPUTED_VALUE"""),"BN JUAL BELI")</f>
        <v>BN JUAL BELI</v>
      </c>
      <c r="H333" s="42">
        <f t="shared" si="1"/>
        <v>191</v>
      </c>
    </row>
    <row r="334" ht="22.5" customHeight="1">
      <c r="B334" s="42" t="str">
        <f>IFERROR(__xludf.DUMMYFUNCTION("""COMPUTED_VALUE"""),"K/35/131124/2")</f>
        <v>K/35/131124/2</v>
      </c>
      <c r="C334" s="42" t="str">
        <f>IFERROR(__xludf.DUMMYFUNCTION("""COMPUTED_VALUE"""),"M. 10668/ Kedaton")</f>
        <v>M. 10668/ Kedaton</v>
      </c>
      <c r="D334" s="42" t="str">
        <f>IFERROR(__xludf.DUMMYFUNCTION("""COMPUTED_VALUE"""),"David")</f>
        <v>David</v>
      </c>
      <c r="E334" s="42" t="str">
        <f>IFERROR(__xludf.DUMMYFUNCTION("""COMPUTED_VALUE"""),"PROSES")</f>
        <v>PROSES</v>
      </c>
      <c r="F334" s="48" t="str">
        <f>IFERROR(__xludf.DUMMYFUNCTION("""COMPUTED_VALUE"""),"")</f>
        <v/>
      </c>
      <c r="G334" s="42" t="str">
        <f>IFERROR(__xludf.DUMMYFUNCTION("""COMPUTED_VALUE"""),"BN HIBAH")</f>
        <v>BN HIBAH</v>
      </c>
      <c r="H334" s="42">
        <f t="shared" si="1"/>
        <v>191</v>
      </c>
    </row>
    <row r="335" ht="22.5" customHeight="1">
      <c r="B335" s="42" t="str">
        <f>IFERROR(__xludf.DUMMYFUNCTION("""COMPUTED_VALUE"""),"L/33/131124/2")</f>
        <v>L/33/131124/2</v>
      </c>
      <c r="C335" s="42" t="str">
        <f>IFERROR(__xludf.DUMMYFUNCTION("""COMPUTED_VALUE"""),"HM 381/SUKARAJA")</f>
        <v>HM 381/SUKARAJA</v>
      </c>
      <c r="D335" s="42"/>
      <c r="E335" s="42"/>
      <c r="F335" s="48" t="str">
        <f>IFERROR(__xludf.DUMMYFUNCTION("""COMPUTED_VALUE"""),"")</f>
        <v/>
      </c>
      <c r="G335" s="42" t="str">
        <f>IFERROR(__xludf.DUMMYFUNCTION("""COMPUTED_VALUE"""),"BLOKIR")</f>
        <v>BLOKIR</v>
      </c>
      <c r="H335" s="42">
        <f t="shared" si="1"/>
        <v>191</v>
      </c>
    </row>
    <row r="336" ht="22.5" customHeight="1">
      <c r="B336" s="42" t="str">
        <f>IFERROR(__xludf.DUMMYFUNCTION("""COMPUTED_VALUE"""),"K/37/131124/1")</f>
        <v>K/37/131124/1</v>
      </c>
      <c r="C336" s="42" t="str">
        <f>IFERROR(__xludf.DUMMYFUNCTION("""COMPUTED_VALUE"""),"M. 9123 / TANJUNG BARU")</f>
        <v>M. 9123 / TANJUNG BARU</v>
      </c>
      <c r="D336" s="42" t="str">
        <f>IFERROR(__xludf.DUMMYFUNCTION("""COMPUTED_VALUE"""),"David")</f>
        <v>David</v>
      </c>
      <c r="E336" s="42" t="str">
        <f>IFERROR(__xludf.DUMMYFUNCTION("""COMPUTED_VALUE"""),"PROSES")</f>
        <v>PROSES</v>
      </c>
      <c r="F336" s="48" t="str">
        <f>IFERROR(__xludf.DUMMYFUNCTION("""COMPUTED_VALUE"""),"")</f>
        <v/>
      </c>
      <c r="G336" s="42" t="str">
        <f>IFERROR(__xludf.DUMMYFUNCTION("""COMPUTED_VALUE"""),"BN JUAL BELI")</f>
        <v>BN JUAL BELI</v>
      </c>
      <c r="H336" s="42">
        <f t="shared" si="1"/>
        <v>191</v>
      </c>
    </row>
    <row r="337" ht="22.5" customHeight="1">
      <c r="B337" s="42" t="str">
        <f>IFERROR(__xludf.DUMMYFUNCTION("""COMPUTED_VALUE"""),"L/1/141124/1")</f>
        <v>L/1/141124/1</v>
      </c>
      <c r="C337" s="42" t="str">
        <f>IFERROR(__xludf.DUMMYFUNCTION("""COMPUTED_VALUE"""),"NIB 9499/SUKARAME BARU")</f>
        <v>NIB 9499/SUKARAME BARU</v>
      </c>
      <c r="D337" s="42"/>
      <c r="E337" s="42"/>
      <c r="F337" s="48" t="str">
        <f>IFERROR(__xludf.DUMMYFUNCTION("""COMPUTED_VALUE"""),"")</f>
        <v/>
      </c>
      <c r="G337" s="42" t="str">
        <f>IFERROR(__xludf.DUMMYFUNCTION("""COMPUTED_VALUE"""),"BN LELANG")</f>
        <v>BN LELANG</v>
      </c>
      <c r="H337" s="42">
        <f t="shared" si="1"/>
        <v>191</v>
      </c>
    </row>
    <row r="338" ht="22.5" customHeight="1">
      <c r="B338" s="42" t="str">
        <f>IFERROR(__xludf.DUMMYFUNCTION("""COMPUTED_VALUE"""),"L/5/141124/1")</f>
        <v>L/5/141124/1</v>
      </c>
      <c r="C338" s="42" t="str">
        <f>IFERROR(__xludf.DUMMYFUNCTION("""COMPUTED_VALUE"""),"HM 9337/SEGALA MIDER")</f>
        <v>HM 9337/SEGALA MIDER</v>
      </c>
      <c r="D338" s="42" t="str">
        <f>IFERROR(__xludf.DUMMYFUNCTION("""COMPUTED_VALUE"""),"David")</f>
        <v>David</v>
      </c>
      <c r="E338" s="42" t="str">
        <f>IFERROR(__xludf.DUMMYFUNCTION("""COMPUTED_VALUE"""),"DISERAHKAN")</f>
        <v>DISERAHKAN</v>
      </c>
      <c r="F338" s="48" t="str">
        <f>IFERROR(__xludf.DUMMYFUNCTION("""COMPUTED_VALUE"""),"18/11/2024 10.50")</f>
        <v>18/11/2024 10.50</v>
      </c>
      <c r="G338" s="42" t="str">
        <f>IFERROR(__xludf.DUMMYFUNCTION("""COMPUTED_VALUE"""),"ROYA WARIS")</f>
        <v>ROYA WARIS</v>
      </c>
      <c r="H338" s="42">
        <f t="shared" si="1"/>
        <v>192</v>
      </c>
    </row>
    <row r="339" ht="22.5" customHeight="1">
      <c r="B339" s="42" t="str">
        <f>IFERROR(__xludf.DUMMYFUNCTION("""COMPUTED_VALUE"""),"K/3/141124/2")</f>
        <v>K/3/141124/2</v>
      </c>
      <c r="C339" s="42" t="str">
        <f>IFERROR(__xludf.DUMMYFUNCTION("""COMPUTED_VALUE"""),"M. 10144/ Kampung Baru")</f>
        <v>M. 10144/ Kampung Baru</v>
      </c>
      <c r="D339" s="42" t="str">
        <f>IFERROR(__xludf.DUMMYFUNCTION("""COMPUTED_VALUE"""),"David")</f>
        <v>David</v>
      </c>
      <c r="E339" s="42" t="str">
        <f>IFERROR(__xludf.DUMMYFUNCTION("""COMPUTED_VALUE"""),"DISERAHKAN")</f>
        <v>DISERAHKAN</v>
      </c>
      <c r="F339" s="48" t="str">
        <f>IFERROR(__xludf.DUMMYFUNCTION("""COMPUTED_VALUE"""),"20/11/2024 15.12")</f>
        <v>20/11/2024 15.12</v>
      </c>
      <c r="G339" s="42" t="str">
        <f>IFERROR(__xludf.DUMMYFUNCTION("""COMPUTED_VALUE"""),"ROYA")</f>
        <v>ROYA</v>
      </c>
      <c r="H339" s="42">
        <f t="shared" si="1"/>
        <v>193</v>
      </c>
    </row>
    <row r="340" ht="22.5" customHeight="1">
      <c r="B340" s="42" t="str">
        <f>IFERROR(__xludf.DUMMYFUNCTION("""COMPUTED_VALUE"""),"K/6/141124/1")</f>
        <v>K/6/141124/1</v>
      </c>
      <c r="C340" s="42" t="str">
        <f>IFERROR(__xludf.DUMMYFUNCTION("""COMPUTED_VALUE"""),"M. 6925/TANJUNG SENANG")</f>
        <v>M. 6925/TANJUNG SENANG</v>
      </c>
      <c r="D340" s="42" t="str">
        <f>IFERROR(__xludf.DUMMYFUNCTION("""COMPUTED_VALUE"""),"David")</f>
        <v>David</v>
      </c>
      <c r="E340" s="42" t="str">
        <f>IFERROR(__xludf.DUMMYFUNCTION("""COMPUTED_VALUE"""),"DISERAHKAN")</f>
        <v>DISERAHKAN</v>
      </c>
      <c r="F340" s="48" t="str">
        <f>IFERROR(__xludf.DUMMYFUNCTION("""COMPUTED_VALUE"""),"18/11/2024 10.52")</f>
        <v>18/11/2024 10.52</v>
      </c>
      <c r="G340" s="42" t="str">
        <f>IFERROR(__xludf.DUMMYFUNCTION("""COMPUTED_VALUE"""),"BN JUAL BELI")</f>
        <v>BN JUAL BELI</v>
      </c>
      <c r="H340" s="42">
        <f t="shared" si="1"/>
        <v>194</v>
      </c>
    </row>
    <row r="341" ht="22.5" customHeight="1">
      <c r="B341" s="42" t="str">
        <f>IFERROR(__xludf.DUMMYFUNCTION("""COMPUTED_VALUE"""),"L/10/141124/1")</f>
        <v>L/10/141124/1</v>
      </c>
      <c r="C341" s="42" t="str">
        <f>IFERROR(__xludf.DUMMYFUNCTION("""COMPUTED_VALUE"""),"HM 17408/SUKARAME")</f>
        <v>HM 17408/SUKARAME</v>
      </c>
      <c r="D341" s="42" t="str">
        <f>IFERROR(__xludf.DUMMYFUNCTION("""COMPUTED_VALUE"""),"David")</f>
        <v>David</v>
      </c>
      <c r="E341" s="42" t="str">
        <f>IFERROR(__xludf.DUMMYFUNCTION("""COMPUTED_VALUE"""),"DISERAHKAN")</f>
        <v>DISERAHKAN</v>
      </c>
      <c r="F341" s="48" t="str">
        <f>IFERROR(__xludf.DUMMYFUNCTION("""COMPUTED_VALUE"""),"18/11/2024 10.52")</f>
        <v>18/11/2024 10.52</v>
      </c>
      <c r="G341" s="42" t="str">
        <f>IFERROR(__xludf.DUMMYFUNCTION("""COMPUTED_VALUE"""),"ROYA")</f>
        <v>ROYA</v>
      </c>
      <c r="H341" s="42">
        <f t="shared" si="1"/>
        <v>195</v>
      </c>
    </row>
    <row r="342" ht="22.5" customHeight="1">
      <c r="B342" s="42" t="str">
        <f>IFERROR(__xludf.DUMMYFUNCTION("""COMPUTED_VALUE"""),"K/9/141124/1")</f>
        <v>K/9/141124/1</v>
      </c>
      <c r="C342" s="42" t="str">
        <f>IFERROR(__xludf.DUMMYFUNCTION("""COMPUTED_VALUE"""),"M. 740/ Perwata")</f>
        <v>M. 740/ Perwata</v>
      </c>
      <c r="D342" s="42" t="str">
        <f>IFERROR(__xludf.DUMMYFUNCTION("""COMPUTED_VALUE"""),"David")</f>
        <v>David</v>
      </c>
      <c r="E342" s="42" t="str">
        <f>IFERROR(__xludf.DUMMYFUNCTION("""COMPUTED_VALUE"""),"PROSES")</f>
        <v>PROSES</v>
      </c>
      <c r="F342" s="48" t="str">
        <f>IFERROR(__xludf.DUMMYFUNCTION("""COMPUTED_VALUE"""),"")</f>
        <v/>
      </c>
      <c r="G342" s="42" t="str">
        <f>IFERROR(__xludf.DUMMYFUNCTION("""COMPUTED_VALUE"""),"BN JUAL BELI")</f>
        <v>BN JUAL BELI</v>
      </c>
      <c r="H342" s="42">
        <f t="shared" si="1"/>
        <v>195</v>
      </c>
    </row>
    <row r="343" ht="22.5" customHeight="1">
      <c r="B343" s="42" t="str">
        <f>IFERROR(__xludf.DUMMYFUNCTION("""COMPUTED_VALUE"""),"L/17/141124/1")</f>
        <v>L/17/141124/1</v>
      </c>
      <c r="C343" s="42" t="str">
        <f>IFERROR(__xludf.DUMMYFUNCTION("""COMPUTED_VALUE"""),"HM 13818/SUKABUMI")</f>
        <v>HM 13818/SUKABUMI</v>
      </c>
      <c r="D343" s="42" t="str">
        <f>IFERROR(__xludf.DUMMYFUNCTION("""COMPUTED_VALUE"""),"Berry")</f>
        <v>Berry</v>
      </c>
      <c r="E343" s="42" t="str">
        <f>IFERROR(__xludf.DUMMYFUNCTION("""COMPUTED_VALUE"""),"PROSES")</f>
        <v>PROSES</v>
      </c>
      <c r="F343" s="48" t="str">
        <f>IFERROR(__xludf.DUMMYFUNCTION("""COMPUTED_VALUE"""),"")</f>
        <v/>
      </c>
      <c r="G343" s="42" t="str">
        <f>IFERROR(__xludf.DUMMYFUNCTION("""COMPUTED_VALUE"""),"ROYA")</f>
        <v>ROYA</v>
      </c>
      <c r="H343" s="42">
        <f t="shared" si="1"/>
        <v>195</v>
      </c>
    </row>
    <row r="344" ht="22.5" customHeight="1">
      <c r="B344" s="42" t="str">
        <f>IFERROR(__xludf.DUMMYFUNCTION("""COMPUTED_VALUE"""),"L/18/141124/1")</f>
        <v>L/18/141124/1</v>
      </c>
      <c r="C344" s="42" t="str">
        <f>IFERROR(__xludf.DUMMYFUNCTION("""COMPUTED_VALUE"""),"HM 17028/SUKARAME")</f>
        <v>HM 17028/SUKARAME</v>
      </c>
      <c r="D344" s="42" t="str">
        <f>IFERROR(__xludf.DUMMYFUNCTION("""COMPUTED_VALUE"""),"Berry")</f>
        <v>Berry</v>
      </c>
      <c r="E344" s="42" t="str">
        <f>IFERROR(__xludf.DUMMYFUNCTION("""COMPUTED_VALUE"""),"DISERAHKAN")</f>
        <v>DISERAHKAN</v>
      </c>
      <c r="F344" s="48" t="str">
        <f>IFERROR(__xludf.DUMMYFUNCTION("""COMPUTED_VALUE"""),"18/11/2024 10.57")</f>
        <v>18/11/2024 10.57</v>
      </c>
      <c r="G344" s="42" t="str">
        <f>IFERROR(__xludf.DUMMYFUNCTION("""COMPUTED_VALUE"""),"ROYA")</f>
        <v>ROYA</v>
      </c>
      <c r="H344" s="42">
        <f t="shared" si="1"/>
        <v>196</v>
      </c>
    </row>
    <row r="345" ht="22.5" customHeight="1">
      <c r="B345" s="42" t="str">
        <f>IFERROR(__xludf.DUMMYFUNCTION("""COMPUTED_VALUE"""),"K/24/141124/1")</f>
        <v>K/24/141124/1</v>
      </c>
      <c r="C345" s="42" t="str">
        <f>IFERROR(__xludf.DUMMYFUNCTION("""COMPUTED_VALUE"""),"M. 2871/ Sukarame Baru")</f>
        <v>M. 2871/ Sukarame Baru</v>
      </c>
      <c r="D345" s="42" t="str">
        <f>IFERROR(__xludf.DUMMYFUNCTION("""COMPUTED_VALUE"""),"Berry")</f>
        <v>Berry</v>
      </c>
      <c r="E345" s="42" t="str">
        <f>IFERROR(__xludf.DUMMYFUNCTION("""COMPUTED_VALUE"""),"PROSES")</f>
        <v>PROSES</v>
      </c>
      <c r="F345" s="48" t="str">
        <f>IFERROR(__xludf.DUMMYFUNCTION("""COMPUTED_VALUE"""),"")</f>
        <v/>
      </c>
      <c r="G345" s="42" t="str">
        <f>IFERROR(__xludf.DUMMYFUNCTION("""COMPUTED_VALUE"""),"BN Jual Beli")</f>
        <v>BN Jual Beli</v>
      </c>
      <c r="H345" s="42">
        <f t="shared" si="1"/>
        <v>196</v>
      </c>
    </row>
    <row r="346" ht="22.5" customHeight="1">
      <c r="B346" s="42" t="str">
        <f>IFERROR(__xludf.DUMMYFUNCTION("""COMPUTED_VALUE"""),"K/25/141124/1")</f>
        <v>K/25/141124/1</v>
      </c>
      <c r="C346" s="42" t="str">
        <f>IFERROR(__xludf.DUMMYFUNCTION("""COMPUTED_VALUE"""),"M. 6036/WAY KANDIS")</f>
        <v>M. 6036/WAY KANDIS</v>
      </c>
      <c r="D346" s="42" t="str">
        <f>IFERROR(__xludf.DUMMYFUNCTION("""COMPUTED_VALUE"""),"Berry")</f>
        <v>Berry</v>
      </c>
      <c r="E346" s="42" t="str">
        <f>IFERROR(__xludf.DUMMYFUNCTION("""COMPUTED_VALUE"""),"DISERAHKAN")</f>
        <v>DISERAHKAN</v>
      </c>
      <c r="F346" s="48" t="str">
        <f>IFERROR(__xludf.DUMMYFUNCTION("""COMPUTED_VALUE"""),"18/11/2024 10.59")</f>
        <v>18/11/2024 10.59</v>
      </c>
      <c r="G346" s="42" t="str">
        <f>IFERROR(__xludf.DUMMYFUNCTION("""COMPUTED_VALUE"""),"BN JUAL BELI")</f>
        <v>BN JUAL BELI</v>
      </c>
      <c r="H346" s="42">
        <f t="shared" si="1"/>
        <v>197</v>
      </c>
    </row>
    <row r="347" ht="22.5" customHeight="1">
      <c r="B347" s="42" t="str">
        <f>IFERROR(__xludf.DUMMYFUNCTION("""COMPUTED_VALUE"""),"L/26/141124/1")</f>
        <v>L/26/141124/1</v>
      </c>
      <c r="C347" s="42" t="str">
        <f>IFERROR(__xludf.DUMMYFUNCTION("""COMPUTED_VALUE"""),"HM 2548/WAY KANDIS")</f>
        <v>HM 2548/WAY KANDIS</v>
      </c>
      <c r="D347" s="42" t="str">
        <f>IFERROR(__xludf.DUMMYFUNCTION("""COMPUTED_VALUE"""),"Berry")</f>
        <v>Berry</v>
      </c>
      <c r="E347" s="42" t="str">
        <f>IFERROR(__xludf.DUMMYFUNCTION("""COMPUTED_VALUE"""),"DISERAHKAN")</f>
        <v>DISERAHKAN</v>
      </c>
      <c r="F347" s="48" t="str">
        <f>IFERROR(__xludf.DUMMYFUNCTION("""COMPUTED_VALUE"""),"18/11/2024 11.00")</f>
        <v>18/11/2024 11.00</v>
      </c>
      <c r="G347" s="42" t="str">
        <f>IFERROR(__xludf.DUMMYFUNCTION("""COMPUTED_VALUE"""),"ROYA")</f>
        <v>ROYA</v>
      </c>
      <c r="H347" s="42">
        <f t="shared" si="1"/>
        <v>198</v>
      </c>
    </row>
    <row r="348" ht="22.5" customHeight="1">
      <c r="B348" s="42" t="str">
        <f>IFERROR(__xludf.DUMMYFUNCTION("""COMPUTED_VALUE"""),"K/30/141124/1")</f>
        <v>K/30/141124/1</v>
      </c>
      <c r="C348" s="42" t="str">
        <f>IFERROR(__xludf.DUMMYFUNCTION("""COMPUTED_VALUE"""),"PBT. NO 24/2024/KEMILING PERMAI")</f>
        <v>PBT. NO 24/2024/KEMILING PERMAI</v>
      </c>
      <c r="D348" s="42"/>
      <c r="E348" s="42"/>
      <c r="F348" s="48" t="str">
        <f>IFERROR(__xludf.DUMMYFUNCTION("""COMPUTED_VALUE"""),"")</f>
        <v/>
      </c>
      <c r="G348" s="42" t="str">
        <f>IFERROR(__xludf.DUMMYFUNCTION("""COMPUTED_VALUE"""),"PTPGT")</f>
        <v>PTPGT</v>
      </c>
      <c r="H348" s="42">
        <f t="shared" si="1"/>
        <v>198</v>
      </c>
    </row>
    <row r="349" ht="22.5" customHeight="1">
      <c r="B349" s="42" t="str">
        <f>IFERROR(__xludf.DUMMYFUNCTION("""COMPUTED_VALUE"""),"L/31/141124/1")</f>
        <v>L/31/141124/1</v>
      </c>
      <c r="C349" s="42" t="str">
        <f>IFERROR(__xludf.DUMMYFUNCTION("""COMPUTED_VALUE"""),"HM 2692/KOTA BARU")</f>
        <v>HM 2692/KOTA BARU</v>
      </c>
      <c r="D349" s="42"/>
      <c r="E349" s="42"/>
      <c r="F349" s="48" t="str">
        <f>IFERROR(__xludf.DUMMYFUNCTION("""COMPUTED_VALUE"""),"")</f>
        <v/>
      </c>
      <c r="G349" s="42" t="str">
        <f>IFERROR(__xludf.DUMMYFUNCTION("""COMPUTED_VALUE"""),"PTPGT")</f>
        <v>PTPGT</v>
      </c>
      <c r="H349" s="42">
        <f t="shared" si="1"/>
        <v>198</v>
      </c>
    </row>
    <row r="350" ht="22.5" customHeight="1">
      <c r="B350" s="42" t="str">
        <f>IFERROR(__xludf.DUMMYFUNCTION("""COMPUTED_VALUE"""),"K/36/141124/1")</f>
        <v>K/36/141124/1</v>
      </c>
      <c r="C350" s="42" t="str">
        <f>IFERROR(__xludf.DUMMYFUNCTION("""COMPUTED_VALUE"""),"B. 387/ Telukbetung")</f>
        <v>B. 387/ Telukbetung</v>
      </c>
      <c r="D350" s="42"/>
      <c r="E350" s="42"/>
      <c r="F350" s="48" t="str">
        <f>IFERROR(__xludf.DUMMYFUNCTION("""COMPUTED_VALUE"""),"")</f>
        <v/>
      </c>
      <c r="G350" s="42" t="str">
        <f>IFERROR(__xludf.DUMMYFUNCTION("""COMPUTED_VALUE"""),"SKPT Lelang")</f>
        <v>SKPT Lelang</v>
      </c>
      <c r="H350" s="42">
        <f t="shared" si="1"/>
        <v>198</v>
      </c>
    </row>
    <row r="351" ht="22.5" customHeight="1">
      <c r="B351" s="42" t="str">
        <f>IFERROR(__xludf.DUMMYFUNCTION("""COMPUTED_VALUE"""),"K/37/141124/2")</f>
        <v>K/37/141124/2</v>
      </c>
      <c r="C351" s="42" t="str">
        <f>IFERROR(__xludf.DUMMYFUNCTION("""COMPUTED_VALUE"""),"B. 384/ Telukbetung")</f>
        <v>B. 384/ Telukbetung</v>
      </c>
      <c r="D351" s="42"/>
      <c r="E351" s="42"/>
      <c r="F351" s="48" t="str">
        <f>IFERROR(__xludf.DUMMYFUNCTION("""COMPUTED_VALUE"""),"")</f>
        <v/>
      </c>
      <c r="G351" s="42" t="str">
        <f>IFERROR(__xludf.DUMMYFUNCTION("""COMPUTED_VALUE"""),"SKPT LELANG")</f>
        <v>SKPT LELANG</v>
      </c>
      <c r="H351" s="42">
        <f t="shared" si="1"/>
        <v>198</v>
      </c>
    </row>
    <row r="352" ht="22.5" customHeight="1">
      <c r="B352" s="42" t="str">
        <f>IFERROR(__xludf.DUMMYFUNCTION("""COMPUTED_VALUE"""),"K/38/141124/3")</f>
        <v>K/38/141124/3</v>
      </c>
      <c r="C352" s="42" t="str">
        <f>IFERROR(__xludf.DUMMYFUNCTION("""COMPUTED_VALUE"""),"M. 1252/ Kangkung")</f>
        <v>M. 1252/ Kangkung</v>
      </c>
      <c r="D352" s="42"/>
      <c r="E352" s="42"/>
      <c r="F352" s="48" t="str">
        <f>IFERROR(__xludf.DUMMYFUNCTION("""COMPUTED_VALUE"""),"")</f>
        <v/>
      </c>
      <c r="G352" s="42" t="str">
        <f>IFERROR(__xludf.DUMMYFUNCTION("""COMPUTED_VALUE"""),"SKPT LELANG")</f>
        <v>SKPT LELANG</v>
      </c>
      <c r="H352" s="42">
        <f t="shared" si="1"/>
        <v>198</v>
      </c>
    </row>
    <row r="353" ht="22.5" customHeight="1">
      <c r="B353" s="42" t="str">
        <f>IFERROR(__xludf.DUMMYFUNCTION("""COMPUTED_VALUE"""),"K/39/141124/4")</f>
        <v>K/39/141124/4</v>
      </c>
      <c r="C353" s="42" t="str">
        <f>IFERROR(__xludf.DUMMYFUNCTION("""COMPUTED_VALUE"""),"M. 385/ Sukaraja")</f>
        <v>M. 385/ Sukaraja</v>
      </c>
      <c r="D353" s="42"/>
      <c r="E353" s="42"/>
      <c r="F353" s="48" t="str">
        <f>IFERROR(__xludf.DUMMYFUNCTION("""COMPUTED_VALUE"""),"")</f>
        <v/>
      </c>
      <c r="G353" s="42" t="str">
        <f>IFERROR(__xludf.DUMMYFUNCTION("""COMPUTED_VALUE"""),"SKPT LELANG")</f>
        <v>SKPT LELANG</v>
      </c>
      <c r="H353" s="42">
        <f t="shared" si="1"/>
        <v>198</v>
      </c>
    </row>
    <row r="354" ht="22.5" customHeight="1">
      <c r="B354" s="42" t="str">
        <f>IFERROR(__xludf.DUMMYFUNCTION("""COMPUTED_VALUE"""),"K/40/141124/5")</f>
        <v>K/40/141124/5</v>
      </c>
      <c r="C354" s="42" t="str">
        <f>IFERROR(__xludf.DUMMYFUNCTION("""COMPUTED_VALUE"""),"M. 2806/ Beringin Raya")</f>
        <v>M. 2806/ Beringin Raya</v>
      </c>
      <c r="D354" s="42"/>
      <c r="E354" s="42"/>
      <c r="F354" s="48" t="str">
        <f>IFERROR(__xludf.DUMMYFUNCTION("""COMPUTED_VALUE"""),"")</f>
        <v/>
      </c>
      <c r="G354" s="42" t="str">
        <f>IFERROR(__xludf.DUMMYFUNCTION("""COMPUTED_VALUE"""),"SKPT LELANG")</f>
        <v>SKPT LELANG</v>
      </c>
      <c r="H354" s="42">
        <f t="shared" si="1"/>
        <v>198</v>
      </c>
    </row>
    <row r="355" ht="22.5" customHeight="1">
      <c r="B355" s="42" t="str">
        <f>IFERROR(__xludf.DUMMYFUNCTION("""COMPUTED_VALUE"""),"K/44/141124/1")</f>
        <v>K/44/141124/1</v>
      </c>
      <c r="C355" s="42" t="str">
        <f>IFERROR(__xludf.DUMMYFUNCTION("""COMPUTED_VALUE"""),"M. 26/ Kampung Baru Raya")</f>
        <v>M. 26/ Kampung Baru Raya</v>
      </c>
      <c r="D355" s="42" t="str">
        <f>IFERROR(__xludf.DUMMYFUNCTION("""COMPUTED_VALUE"""),"Berry")</f>
        <v>Berry</v>
      </c>
      <c r="E355" s="42" t="str">
        <f>IFERROR(__xludf.DUMMYFUNCTION("""COMPUTED_VALUE"""),"DISERAHKAN")</f>
        <v>DISERAHKAN</v>
      </c>
      <c r="F355" s="48" t="str">
        <f>IFERROR(__xludf.DUMMYFUNCTION("""COMPUTED_VALUE"""),"18/11/2024 11.05")</f>
        <v>18/11/2024 11.05</v>
      </c>
      <c r="G355" s="42" t="str">
        <f>IFERROR(__xludf.DUMMYFUNCTION("""COMPUTED_VALUE"""),"ROYA")</f>
        <v>ROYA</v>
      </c>
      <c r="H355" s="42">
        <f t="shared" si="1"/>
        <v>199</v>
      </c>
    </row>
    <row r="356" ht="22.5" customHeight="1">
      <c r="B356" s="42" t="str">
        <f>IFERROR(__xludf.DUMMYFUNCTION("""COMPUTED_VALUE"""),"K/45/141124/2")</f>
        <v>K/45/141124/2</v>
      </c>
      <c r="C356" s="42" t="str">
        <f>IFERROR(__xludf.DUMMYFUNCTION("""COMPUTED_VALUE"""),"M. 88/ Kampung Baru Raya")</f>
        <v>M. 88/ Kampung Baru Raya</v>
      </c>
      <c r="D356" s="42" t="str">
        <f>IFERROR(__xludf.DUMMYFUNCTION("""COMPUTED_VALUE"""),"Berry")</f>
        <v>Berry</v>
      </c>
      <c r="E356" s="42" t="str">
        <f>IFERROR(__xludf.DUMMYFUNCTION("""COMPUTED_VALUE"""),"DISERAHKAN BT")</f>
        <v>DISERAHKAN BT</v>
      </c>
      <c r="F356" s="48" t="str">
        <f>IFERROR(__xludf.DUMMYFUNCTION("""COMPUTED_VALUE"""),"18/11/2024 11.05")</f>
        <v>18/11/2024 11.05</v>
      </c>
      <c r="G356" s="42" t="str">
        <f>IFERROR(__xludf.DUMMYFUNCTION("""COMPUTED_VALUE"""),"ROYA")</f>
        <v>ROYA</v>
      </c>
      <c r="H356" s="42">
        <f t="shared" si="1"/>
        <v>199</v>
      </c>
    </row>
    <row r="357" ht="22.5" customHeight="1">
      <c r="B357" s="42" t="str">
        <f>IFERROR(__xludf.DUMMYFUNCTION("""COMPUTED_VALUE"""),"K/49/141124/1")</f>
        <v>K/49/141124/1</v>
      </c>
      <c r="C357" s="42" t="str">
        <f>IFERROR(__xludf.DUMMYFUNCTION("""COMPUTED_VALUE"""),"WAY GUBAK")</f>
        <v>WAY GUBAK</v>
      </c>
      <c r="D357" s="42"/>
      <c r="E357" s="42"/>
      <c r="F357" s="48" t="str">
        <f>IFERROR(__xludf.DUMMYFUNCTION("""COMPUTED_VALUE"""),"")</f>
        <v/>
      </c>
      <c r="G357" s="42" t="str">
        <f>IFERROR(__xludf.DUMMYFUNCTION("""COMPUTED_VALUE"""),"TANAH MENTAH")</f>
        <v>TANAH MENTAH</v>
      </c>
      <c r="H357" s="42">
        <f t="shared" si="1"/>
        <v>199</v>
      </c>
    </row>
    <row r="358" ht="22.5" customHeight="1">
      <c r="B358" s="42" t="str">
        <f>IFERROR(__xludf.DUMMYFUNCTION("""COMPUTED_VALUE"""),"L/3/151124/1")</f>
        <v>L/3/151124/1</v>
      </c>
      <c r="C358" s="42" t="str">
        <f>IFERROR(__xludf.DUMMYFUNCTION("""COMPUTED_VALUE"""),"HGB 4020/SUKABUMI")</f>
        <v>HGB 4020/SUKABUMI</v>
      </c>
      <c r="D358" s="42" t="str">
        <f>IFERROR(__xludf.DUMMYFUNCTION("""COMPUTED_VALUE"""),"Berry")</f>
        <v>Berry</v>
      </c>
      <c r="E358" s="42" t="str">
        <f>IFERROR(__xludf.DUMMYFUNCTION("""COMPUTED_VALUE"""),"DISERAHKAN")</f>
        <v>DISERAHKAN</v>
      </c>
      <c r="F358" s="48" t="str">
        <f>IFERROR(__xludf.DUMMYFUNCTION("""COMPUTED_VALUE"""),"18/11/2024 11.07")</f>
        <v>18/11/2024 11.07</v>
      </c>
      <c r="G358" s="42" t="str">
        <f>IFERROR(__xludf.DUMMYFUNCTION("""COMPUTED_VALUE"""),"ROYA")</f>
        <v>ROYA</v>
      </c>
      <c r="H358" s="42">
        <f t="shared" si="1"/>
        <v>200</v>
      </c>
    </row>
    <row r="359" ht="22.5" customHeight="1">
      <c r="B359" s="42" t="str">
        <f>IFERROR(__xludf.DUMMYFUNCTION("""COMPUTED_VALUE"""),"K/4/151124/1")</f>
        <v>K/4/151124/1</v>
      </c>
      <c r="C359" s="42" t="str">
        <f>IFERROR(__xludf.DUMMYFUNCTION("""COMPUTED_VALUE"""),"M.4148/LANGKAPURA")</f>
        <v>M.4148/LANGKAPURA</v>
      </c>
      <c r="D359" s="42" t="str">
        <f>IFERROR(__xludf.DUMMYFUNCTION("""COMPUTED_VALUE"""),"Berry")</f>
        <v>Berry</v>
      </c>
      <c r="E359" s="42" t="str">
        <f>IFERROR(__xludf.DUMMYFUNCTION("""COMPUTED_VALUE"""),"DISERAHKAN")</f>
        <v>DISERAHKAN</v>
      </c>
      <c r="F359" s="48" t="str">
        <f>IFERROR(__xludf.DUMMYFUNCTION("""COMPUTED_VALUE"""),"18/11/2024 11.07")</f>
        <v>18/11/2024 11.07</v>
      </c>
      <c r="G359" s="42" t="str">
        <f>IFERROR(__xludf.DUMMYFUNCTION("""COMPUTED_VALUE"""),"ROYA")</f>
        <v>ROYA</v>
      </c>
      <c r="H359" s="42">
        <f t="shared" si="1"/>
        <v>201</v>
      </c>
    </row>
    <row r="360" ht="22.5" customHeight="1">
      <c r="B360" s="42" t="str">
        <f>IFERROR(__xludf.DUMMYFUNCTION("""COMPUTED_VALUE"""),"L/5/151124/1")</f>
        <v>L/5/151124/1</v>
      </c>
      <c r="C360" s="42" t="str">
        <f>IFERROR(__xludf.DUMMYFUNCTION("""COMPUTED_VALUE"""),"3960/KEMILING PERMAI")</f>
        <v>3960/KEMILING PERMAI</v>
      </c>
      <c r="D360" s="42"/>
      <c r="E360" s="42"/>
      <c r="F360" s="48" t="str">
        <f>IFERROR(__xludf.DUMMYFUNCTION("""COMPUTED_VALUE"""),"")</f>
        <v/>
      </c>
      <c r="G360" s="42" t="str">
        <f>IFERROR(__xludf.DUMMYFUNCTION("""COMPUTED_VALUE"""),"PTPGT")</f>
        <v>PTPGT</v>
      </c>
      <c r="H360" s="42">
        <f t="shared" si="1"/>
        <v>201</v>
      </c>
    </row>
    <row r="361" ht="22.5" customHeight="1">
      <c r="B361" s="42" t="str">
        <f>IFERROR(__xludf.DUMMYFUNCTION("""COMPUTED_VALUE"""),"K/7/151124/1")</f>
        <v>K/7/151124/1</v>
      </c>
      <c r="C361" s="42" t="str">
        <f>IFERROR(__xludf.DUMMYFUNCTION("""COMPUTED_VALUE"""),"B. 1290/ Campang Raya")</f>
        <v>B. 1290/ Campang Raya</v>
      </c>
      <c r="D361" s="42"/>
      <c r="E361" s="42"/>
      <c r="F361" s="48" t="str">
        <f>IFERROR(__xludf.DUMMYFUNCTION("""COMPUTED_VALUE"""),"")</f>
        <v/>
      </c>
      <c r="G361" s="42" t="str">
        <f>IFERROR(__xludf.DUMMYFUNCTION("""COMPUTED_VALUE"""),"SKPT LELANG")</f>
        <v>SKPT LELANG</v>
      </c>
      <c r="H361" s="42">
        <f t="shared" si="1"/>
        <v>201</v>
      </c>
    </row>
    <row r="362" ht="22.5" customHeight="1">
      <c r="B362" s="42" t="str">
        <f>IFERROR(__xludf.DUMMYFUNCTION("""COMPUTED_VALUE"""),"K/8/151124/2")</f>
        <v>K/8/151124/2</v>
      </c>
      <c r="C362" s="42" t="str">
        <f>IFERROR(__xludf.DUMMYFUNCTION("""COMPUTED_VALUE"""),"M. 2001/ Tanjung Seneng")</f>
        <v>M. 2001/ Tanjung Seneng</v>
      </c>
      <c r="D362" s="42" t="str">
        <f>IFERROR(__xludf.DUMMYFUNCTION("""COMPUTED_VALUE"""),"Berry")</f>
        <v>Berry</v>
      </c>
      <c r="E362" s="42" t="str">
        <f>IFERROR(__xludf.DUMMYFUNCTION("""COMPUTED_VALUE"""),"PROSES")</f>
        <v>PROSES</v>
      </c>
      <c r="F362" s="48" t="str">
        <f>IFERROR(__xludf.DUMMYFUNCTION("""COMPUTED_VALUE"""),"")</f>
        <v/>
      </c>
      <c r="G362" s="42" t="str">
        <f>IFERROR(__xludf.DUMMYFUNCTION("""COMPUTED_VALUE"""),"PENATAAN BATAS")</f>
        <v>PENATAAN BATAS</v>
      </c>
      <c r="H362" s="42">
        <f t="shared" si="1"/>
        <v>201</v>
      </c>
    </row>
    <row r="363" ht="22.5" customHeight="1">
      <c r="B363" s="42" t="str">
        <f>IFERROR(__xludf.DUMMYFUNCTION("""COMPUTED_VALUE"""),"L/6/151124/1")</f>
        <v>L/6/151124/1</v>
      </c>
      <c r="C363" s="42" t="str">
        <f>IFERROR(__xludf.DUMMYFUNCTION("""COMPUTED_VALUE"""),"HM 605/SUMBER REJO")</f>
        <v>HM 605/SUMBER REJO</v>
      </c>
      <c r="D363" s="42" t="str">
        <f>IFERROR(__xludf.DUMMYFUNCTION("""COMPUTED_VALUE"""),"Berry")</f>
        <v>Berry</v>
      </c>
      <c r="E363" s="42" t="str">
        <f>IFERROR(__xludf.DUMMYFUNCTION("""COMPUTED_VALUE"""),"DISERAHKAN")</f>
        <v>DISERAHKAN</v>
      </c>
      <c r="F363" s="48" t="str">
        <f>IFERROR(__xludf.DUMMYFUNCTION("""COMPUTED_VALUE"""),"18/11/2024 11.08")</f>
        <v>18/11/2024 11.08</v>
      </c>
      <c r="G363" s="42" t="str">
        <f>IFERROR(__xludf.DUMMYFUNCTION("""COMPUTED_VALUE"""),"ROYA")</f>
        <v>ROYA</v>
      </c>
      <c r="H363" s="42">
        <f t="shared" si="1"/>
        <v>202</v>
      </c>
    </row>
    <row r="364" ht="22.5" customHeight="1">
      <c r="B364" s="42" t="str">
        <f>IFERROR(__xludf.DUMMYFUNCTION("""COMPUTED_VALUE"""),"L/9/151124/1")</f>
        <v>L/9/151124/1</v>
      </c>
      <c r="C364" s="42" t="str">
        <f>IFERROR(__xludf.DUMMYFUNCTION("""COMPUTED_VALUE"""),"HM 3174/GUNUNG TERANG")</f>
        <v>HM 3174/GUNUNG TERANG</v>
      </c>
      <c r="D364" s="42"/>
      <c r="E364" s="42"/>
      <c r="F364" s="48" t="str">
        <f>IFERROR(__xludf.DUMMYFUNCTION("""COMPUTED_VALUE"""),"")</f>
        <v/>
      </c>
      <c r="G364" s="42" t="str">
        <f>IFERROR(__xludf.DUMMYFUNCTION("""COMPUTED_VALUE"""),"HAPUS BPHTB")</f>
        <v>HAPUS BPHTB</v>
      </c>
      <c r="H364" s="42">
        <f t="shared" si="1"/>
        <v>202</v>
      </c>
    </row>
    <row r="365" ht="22.5" customHeight="1">
      <c r="B365" s="42" t="str">
        <f>IFERROR(__xludf.DUMMYFUNCTION("""COMPUTED_VALUE"""),"K/12/151124/1")</f>
        <v>K/12/151124/1</v>
      </c>
      <c r="C365" s="42" t="str">
        <f>IFERROR(__xludf.DUMMYFUNCTION("""COMPUTED_VALUE"""),"M. 1436/ Kuripan")</f>
        <v>M. 1436/ Kuripan</v>
      </c>
      <c r="D365" s="42"/>
      <c r="E365" s="42"/>
      <c r="F365" s="48" t="str">
        <f>IFERROR(__xludf.DUMMYFUNCTION("""COMPUTED_VALUE"""),"")</f>
        <v/>
      </c>
      <c r="G365" s="42" t="str">
        <f>IFERROR(__xludf.DUMMYFUNCTION("""COMPUTED_VALUE"""),"SKPT LELANG")</f>
        <v>SKPT LELANG</v>
      </c>
      <c r="H365" s="42">
        <f t="shared" si="1"/>
        <v>202</v>
      </c>
    </row>
    <row r="366" ht="22.5" customHeight="1">
      <c r="B366" s="42" t="str">
        <f>IFERROR(__xludf.DUMMYFUNCTION("""COMPUTED_VALUE"""),"K/14/151124/3")</f>
        <v>K/14/151124/3</v>
      </c>
      <c r="C366" s="42" t="str">
        <f>IFERROR(__xludf.DUMMYFUNCTION("""COMPUTED_VALUE"""),"M. 295/ Tanjung Raya")</f>
        <v>M. 295/ Tanjung Raya</v>
      </c>
      <c r="D366" s="42"/>
      <c r="E366" s="42"/>
      <c r="F366" s="48" t="str">
        <f>IFERROR(__xludf.DUMMYFUNCTION("""COMPUTED_VALUE"""),"")</f>
        <v/>
      </c>
      <c r="G366" s="42" t="str">
        <f>IFERROR(__xludf.DUMMYFUNCTION("""COMPUTED_VALUE"""),"SKPT LELANG")</f>
        <v>SKPT LELANG</v>
      </c>
      <c r="H366" s="42">
        <f t="shared" si="1"/>
        <v>202</v>
      </c>
    </row>
    <row r="367" ht="22.5" customHeight="1">
      <c r="B367" s="42" t="str">
        <f>IFERROR(__xludf.DUMMYFUNCTION("""COMPUTED_VALUE"""),"K/16/151124/1")</f>
        <v>K/16/151124/1</v>
      </c>
      <c r="C367" s="42" t="str">
        <f>IFERROR(__xludf.DUMMYFUNCTION("""COMPUTED_VALUE"""),"M.10613/KEDAMAIAN")</f>
        <v>M.10613/KEDAMAIAN</v>
      </c>
      <c r="D367" s="42" t="str">
        <f>IFERROR(__xludf.DUMMYFUNCTION("""COMPUTED_VALUE"""),"Berry")</f>
        <v>Berry</v>
      </c>
      <c r="E367" s="42" t="str">
        <f>IFERROR(__xludf.DUMMYFUNCTION("""COMPUTED_VALUE"""),"DISERAHKAN")</f>
        <v>DISERAHKAN</v>
      </c>
      <c r="F367" s="48">
        <f>IFERROR(__xludf.DUMMYFUNCTION("""COMPUTED_VALUE"""),45828.54127410879)</f>
        <v>45828.54127</v>
      </c>
      <c r="G367" s="42" t="str">
        <f>IFERROR(__xludf.DUMMYFUNCTION("""COMPUTED_VALUE"""),"BN WARIS")</f>
        <v>BN WARIS</v>
      </c>
      <c r="H367" s="42">
        <f t="shared" si="1"/>
        <v>203</v>
      </c>
    </row>
    <row r="368" ht="22.5" customHeight="1">
      <c r="B368" s="42" t="str">
        <f>IFERROR(__xludf.DUMMYFUNCTION("""COMPUTED_VALUE"""),"K/17/151124/1")</f>
        <v>K/17/151124/1</v>
      </c>
      <c r="C368" s="42" t="str">
        <f>IFERROR(__xludf.DUMMYFUNCTION("""COMPUTED_VALUE"""),"M.944/SUKAMAJU")</f>
        <v>M.944/SUKAMAJU</v>
      </c>
      <c r="D368" s="42"/>
      <c r="E368" s="42"/>
      <c r="F368" s="48" t="str">
        <f>IFERROR(__xludf.DUMMYFUNCTION("""COMPUTED_VALUE"""),"")</f>
        <v/>
      </c>
      <c r="G368" s="42" t="str">
        <f>IFERROR(__xludf.DUMMYFUNCTION("""COMPUTED_VALUE"""),"BUKA BLOKIR")</f>
        <v>BUKA BLOKIR</v>
      </c>
      <c r="H368" s="42">
        <f t="shared" si="1"/>
        <v>203</v>
      </c>
    </row>
    <row r="369" ht="22.5" customHeight="1">
      <c r="B369" s="42" t="str">
        <f>IFERROR(__xludf.DUMMYFUNCTION("""COMPUTED_VALUE"""),"K/24/151124/1")</f>
        <v>K/24/151124/1</v>
      </c>
      <c r="C369" s="42" t="str">
        <f>IFERROR(__xludf.DUMMYFUNCTION("""COMPUTED_VALUE"""),"M. 1717/SUMBERREJO SEJAHTERA")</f>
        <v>M. 1717/SUMBERREJO SEJAHTERA</v>
      </c>
      <c r="D369" s="42" t="str">
        <f>IFERROR(__xludf.DUMMYFUNCTION("""COMPUTED_VALUE"""),"Berry")</f>
        <v>Berry</v>
      </c>
      <c r="E369" s="42" t="str">
        <f>IFERROR(__xludf.DUMMYFUNCTION("""COMPUTED_VALUE"""),"DISERAHKAN")</f>
        <v>DISERAHKAN</v>
      </c>
      <c r="F369" s="48" t="str">
        <f>IFERROR(__xludf.DUMMYFUNCTION("""COMPUTED_VALUE"""),"18/11/2024 11.10")</f>
        <v>18/11/2024 11.10</v>
      </c>
      <c r="G369" s="42" t="str">
        <f>IFERROR(__xludf.DUMMYFUNCTION("""COMPUTED_VALUE"""),"BN JUAL BELI")</f>
        <v>BN JUAL BELI</v>
      </c>
      <c r="H369" s="42">
        <f t="shared" si="1"/>
        <v>204</v>
      </c>
    </row>
    <row r="370" ht="22.5" customHeight="1">
      <c r="B370" s="42" t="str">
        <f>IFERROR(__xludf.DUMMYFUNCTION("""COMPUTED_VALUE"""),"K/31/151124/1")</f>
        <v>K/31/151124/1</v>
      </c>
      <c r="C370" s="42" t="str">
        <f>IFERROR(__xludf.DUMMYFUNCTION("""COMPUTED_VALUE"""),"M. 1050/ Kaliawi")</f>
        <v>M. 1050/ Kaliawi</v>
      </c>
      <c r="D370" s="42" t="str">
        <f>IFERROR(__xludf.DUMMYFUNCTION("""COMPUTED_VALUE"""),"Bayu")</f>
        <v>Bayu</v>
      </c>
      <c r="E370" s="42" t="str">
        <f>IFERROR(__xludf.DUMMYFUNCTION("""COMPUTED_VALUE"""),"DISERAHKAN")</f>
        <v>DISERAHKAN</v>
      </c>
      <c r="F370" s="48" t="str">
        <f>IFERROR(__xludf.DUMMYFUNCTION("""COMPUTED_VALUE"""),"18/11/2024 11.11")</f>
        <v>18/11/2024 11.11</v>
      </c>
      <c r="G370" s="42" t="str">
        <f>IFERROR(__xludf.DUMMYFUNCTION("""COMPUTED_VALUE"""),"BN Waris")</f>
        <v>BN Waris</v>
      </c>
      <c r="H370" s="42">
        <f t="shared" si="1"/>
        <v>205</v>
      </c>
    </row>
    <row r="371" ht="22.5" customHeight="1">
      <c r="B371" s="42" t="str">
        <f>IFERROR(__xludf.DUMMYFUNCTION("""COMPUTED_VALUE"""),"L/34/151124/1")</f>
        <v>L/34/151124/1</v>
      </c>
      <c r="C371" s="42" t="str">
        <f>IFERROR(__xludf.DUMMYFUNCTION("""COMPUTED_VALUE"""),"NIB 2708/NUSANTARA PERMAI")</f>
        <v>NIB 2708/NUSANTARA PERMAI</v>
      </c>
      <c r="D371" s="42"/>
      <c r="E371" s="42"/>
      <c r="F371" s="48" t="str">
        <f>IFERROR(__xludf.DUMMYFUNCTION("""COMPUTED_VALUE"""),"")</f>
        <v/>
      </c>
      <c r="G371" s="42" t="str">
        <f>IFERROR(__xludf.DUMMYFUNCTION("""COMPUTED_VALUE"""),"BN LELANG")</f>
        <v>BN LELANG</v>
      </c>
      <c r="H371" s="42">
        <f t="shared" si="1"/>
        <v>205</v>
      </c>
    </row>
    <row r="372" ht="22.5" customHeight="1">
      <c r="B372" s="42" t="str">
        <f>IFERROR(__xludf.DUMMYFUNCTION("""COMPUTED_VALUE"""),"L/36/151124/1")</f>
        <v>L/36/151124/1</v>
      </c>
      <c r="C372" s="42" t="str">
        <f>IFERROR(__xludf.DUMMYFUNCTION("""COMPUTED_VALUE"""),"HGB 1204/SUKABUMI INDAH")</f>
        <v>HGB 1204/SUKABUMI INDAH</v>
      </c>
      <c r="D372" s="42" t="str">
        <f>IFERROR(__xludf.DUMMYFUNCTION("""COMPUTED_VALUE"""),"Berry")</f>
        <v>Berry</v>
      </c>
      <c r="E372" s="42" t="str">
        <f>IFERROR(__xludf.DUMMYFUNCTION("""COMPUTED_VALUE"""),"PROSES")</f>
        <v>PROSES</v>
      </c>
      <c r="F372" s="48" t="str">
        <f>IFERROR(__xludf.DUMMYFUNCTION("""COMPUTED_VALUE"""),"")</f>
        <v/>
      </c>
      <c r="G372" s="42" t="str">
        <f>IFERROR(__xludf.DUMMYFUNCTION("""COMPUTED_VALUE"""),"PERUBAHAN HAK")</f>
        <v>PERUBAHAN HAK</v>
      </c>
      <c r="H372" s="42">
        <f t="shared" si="1"/>
        <v>205</v>
      </c>
    </row>
    <row r="373" ht="22.5" customHeight="1">
      <c r="B373" s="42" t="str">
        <f>IFERROR(__xludf.DUMMYFUNCTION("""COMPUTED_VALUE"""),"K/37/151124/1")</f>
        <v>K/37/151124/1</v>
      </c>
      <c r="C373" s="42" t="str">
        <f>IFERROR(__xludf.DUMMYFUNCTION("""COMPUTED_VALUE"""),"PBT 47/2024 Sukarame")</f>
        <v>PBT 47/2024 Sukarame</v>
      </c>
      <c r="D373" s="42"/>
      <c r="E373" s="42"/>
      <c r="F373" s="48" t="str">
        <f>IFERROR(__xludf.DUMMYFUNCTION("""COMPUTED_VALUE"""),"")</f>
        <v/>
      </c>
      <c r="G373" s="42" t="str">
        <f>IFERROR(__xludf.DUMMYFUNCTION("""COMPUTED_VALUE"""),"PTPGT Pertama Kali")</f>
        <v>PTPGT Pertama Kali</v>
      </c>
      <c r="H373" s="42">
        <f t="shared" si="1"/>
        <v>205</v>
      </c>
    </row>
    <row r="374" ht="22.5" customHeight="1">
      <c r="B374" s="42" t="str">
        <f>IFERROR(__xludf.DUMMYFUNCTION("""COMPUTED_VALUE"""),"L/39/151124/1")</f>
        <v>L/39/151124/1</v>
      </c>
      <c r="C374" s="42" t="str">
        <f>IFERROR(__xludf.DUMMYFUNCTION("""COMPUTED_VALUE"""),"HGB 172/LABUHAN DALAM")</f>
        <v>HGB 172/LABUHAN DALAM</v>
      </c>
      <c r="D374" s="42" t="str">
        <f>IFERROR(__xludf.DUMMYFUNCTION("""COMPUTED_VALUE"""),"Berry")</f>
        <v>Berry</v>
      </c>
      <c r="E374" s="42" t="str">
        <f>IFERROR(__xludf.DUMMYFUNCTION("""COMPUTED_VALUE"""),"DISERAHKAN")</f>
        <v>DISERAHKAN</v>
      </c>
      <c r="F374" s="48" t="str">
        <f>IFERROR(__xludf.DUMMYFUNCTION("""COMPUTED_VALUE"""),"19/11/2024 10.48")</f>
        <v>19/11/2024 10.48</v>
      </c>
      <c r="G374" s="42" t="str">
        <f>IFERROR(__xludf.DUMMYFUNCTION("""COMPUTED_VALUE"""),"ROYA")</f>
        <v>ROYA</v>
      </c>
      <c r="H374" s="42">
        <f t="shared" si="1"/>
        <v>206</v>
      </c>
    </row>
    <row r="375" ht="22.5" customHeight="1">
      <c r="B375" s="42" t="str">
        <f>IFERROR(__xludf.DUMMYFUNCTION("""COMPUTED_VALUE"""),"K/43/151124/1")</f>
        <v>K/43/151124/1</v>
      </c>
      <c r="C375" s="42" t="str">
        <f>IFERROR(__xludf.DUMMYFUNCTION("""COMPUTED_VALUE"""),"Nibel B. 2838/ Kampung Baru Raya")</f>
        <v>Nibel B. 2838/ Kampung Baru Raya</v>
      </c>
      <c r="D375" s="42"/>
      <c r="E375" s="42"/>
      <c r="F375" s="48" t="str">
        <f>IFERROR(__xludf.DUMMYFUNCTION("""COMPUTED_VALUE"""),"")</f>
        <v/>
      </c>
      <c r="G375" s="42" t="str">
        <f>IFERROR(__xludf.DUMMYFUNCTION("""COMPUTED_VALUE"""),"Perubahan Hak")</f>
        <v>Perubahan Hak</v>
      </c>
      <c r="H375" s="42">
        <f t="shared" si="1"/>
        <v>206</v>
      </c>
    </row>
    <row r="376" ht="22.5" customHeight="1">
      <c r="B376" s="42" t="str">
        <f>IFERROR(__xludf.DUMMYFUNCTION("""COMPUTED_VALUE"""),"L/45/151124/1")</f>
        <v>L/45/151124/1</v>
      </c>
      <c r="C376" s="42" t="str">
        <f>IFERROR(__xludf.DUMMYFUNCTION("""COMPUTED_VALUE"""),"HGB 1677/SUKARAME")</f>
        <v>HGB 1677/SUKARAME</v>
      </c>
      <c r="D376" s="42" t="str">
        <f>IFERROR(__xludf.DUMMYFUNCTION("""COMPUTED_VALUE"""),"Berry")</f>
        <v>Berry</v>
      </c>
      <c r="E376" s="42" t="str">
        <f>IFERROR(__xludf.DUMMYFUNCTION("""COMPUTED_VALUE"""),"DISERAHKAN")</f>
        <v>DISERAHKAN</v>
      </c>
      <c r="F376" s="48" t="str">
        <f>IFERROR(__xludf.DUMMYFUNCTION("""COMPUTED_VALUE"""),"19/11/2024 10.50")</f>
        <v>19/11/2024 10.50</v>
      </c>
      <c r="G376" s="42" t="str">
        <f>IFERROR(__xludf.DUMMYFUNCTION("""COMPUTED_VALUE"""),"B JUAL - BELI")</f>
        <v>B JUAL - BELI</v>
      </c>
      <c r="H376" s="42">
        <f t="shared" si="1"/>
        <v>207</v>
      </c>
    </row>
    <row r="377" ht="22.5" customHeight="1">
      <c r="B377" s="42" t="str">
        <f>IFERROR(__xludf.DUMMYFUNCTION("""COMPUTED_VALUE"""),"K/60/151124/2")</f>
        <v>K/60/151124/2</v>
      </c>
      <c r="C377" s="42" t="str">
        <f>IFERROR(__xludf.DUMMYFUNCTION("""COMPUTED_VALUE"""),"M. 6414/ Gunung Sulah")</f>
        <v>M. 6414/ Gunung Sulah</v>
      </c>
      <c r="D377" s="42" t="str">
        <f>IFERROR(__xludf.DUMMYFUNCTION("""COMPUTED_VALUE"""),"Berry")</f>
        <v>Berry</v>
      </c>
      <c r="E377" s="42" t="str">
        <f>IFERROR(__xludf.DUMMYFUNCTION("""COMPUTED_VALUE"""),"DISERAHKAN")</f>
        <v>DISERAHKAN</v>
      </c>
      <c r="F377" s="48">
        <f>IFERROR(__xludf.DUMMYFUNCTION("""COMPUTED_VALUE"""),45771.60852380787)</f>
        <v>45771.60852</v>
      </c>
      <c r="G377" s="42" t="str">
        <f>IFERROR(__xludf.DUMMYFUNCTION("""COMPUTED_VALUE"""),"BN Jual Beli")</f>
        <v>BN Jual Beli</v>
      </c>
      <c r="H377" s="42">
        <f t="shared" si="1"/>
        <v>208</v>
      </c>
    </row>
    <row r="378" ht="22.5" customHeight="1">
      <c r="B378" s="42" t="str">
        <f>IFERROR(__xludf.DUMMYFUNCTION("""COMPUTED_VALUE"""),"L/1/161124/1")</f>
        <v>L/1/161124/1</v>
      </c>
      <c r="C378" s="42" t="str">
        <f>IFERROR(__xludf.DUMMYFUNCTION("""COMPUTED_VALUE"""),"NIB 3420/TANJUNG SENANG")</f>
        <v>NIB 3420/TANJUNG SENANG</v>
      </c>
      <c r="D378" s="42"/>
      <c r="E378" s="42"/>
      <c r="F378" s="48" t="str">
        <f>IFERROR(__xludf.DUMMYFUNCTION("""COMPUTED_VALUE"""),"")</f>
        <v/>
      </c>
      <c r="G378" s="42" t="str">
        <f>IFERROR(__xludf.DUMMYFUNCTION("""COMPUTED_VALUE"""),"BN LELANG")</f>
        <v>BN LELANG</v>
      </c>
      <c r="H378" s="42">
        <f t="shared" si="1"/>
        <v>208</v>
      </c>
    </row>
    <row r="379" ht="22.5" customHeight="1">
      <c r="B379" s="42" t="str">
        <f>IFERROR(__xludf.DUMMYFUNCTION("""COMPUTED_VALUE"""),"L/4/161124/1")</f>
        <v>L/4/161124/1</v>
      </c>
      <c r="C379" s="42" t="str">
        <f>IFERROR(__xludf.DUMMYFUNCTION("""COMPUTED_VALUE"""),"HGB 50/DURIAN PAYUNG")</f>
        <v>HGB 50/DURIAN PAYUNG</v>
      </c>
      <c r="D379" s="42" t="str">
        <f>IFERROR(__xludf.DUMMYFUNCTION("""COMPUTED_VALUE"""),"Berry")</f>
        <v>Berry</v>
      </c>
      <c r="E379" s="42" t="str">
        <f>IFERROR(__xludf.DUMMYFUNCTION("""COMPUTED_VALUE"""),"DISERAHKAN")</f>
        <v>DISERAHKAN</v>
      </c>
      <c r="F379" s="48" t="str">
        <f>IFERROR(__xludf.DUMMYFUNCTION("""COMPUTED_VALUE"""),"19/11/2024 10.56")</f>
        <v>19/11/2024 10.56</v>
      </c>
      <c r="G379" s="42" t="str">
        <f>IFERROR(__xludf.DUMMYFUNCTION("""COMPUTED_VALUE"""),"ROYA")</f>
        <v>ROYA</v>
      </c>
      <c r="H379" s="42">
        <f t="shared" si="1"/>
        <v>209</v>
      </c>
    </row>
    <row r="380" ht="22.5" customHeight="1">
      <c r="B380" s="42" t="str">
        <f>IFERROR(__xludf.DUMMYFUNCTION("""COMPUTED_VALUE"""),"L/5/161124/1")</f>
        <v>L/5/161124/1</v>
      </c>
      <c r="C380" s="42" t="str">
        <f>IFERROR(__xludf.DUMMYFUNCTION("""COMPUTED_VALUE"""),"HM 691/DURIAN PAYUNG")</f>
        <v>HM 691/DURIAN PAYUNG</v>
      </c>
      <c r="D380" s="42" t="str">
        <f>IFERROR(__xludf.DUMMYFUNCTION("""COMPUTED_VALUE"""),"Berry")</f>
        <v>Berry</v>
      </c>
      <c r="E380" s="42" t="str">
        <f>IFERROR(__xludf.DUMMYFUNCTION("""COMPUTED_VALUE"""),"PROSES")</f>
        <v>PROSES</v>
      </c>
      <c r="F380" s="48" t="str">
        <f>IFERROR(__xludf.DUMMYFUNCTION("""COMPUTED_VALUE"""),"")</f>
        <v/>
      </c>
      <c r="G380" s="42" t="str">
        <f>IFERROR(__xludf.DUMMYFUNCTION("""COMPUTED_VALUE"""),"ROYA")</f>
        <v>ROYA</v>
      </c>
      <c r="H380" s="42">
        <f t="shared" si="1"/>
        <v>209</v>
      </c>
    </row>
    <row r="381" ht="22.5" customHeight="1">
      <c r="B381" s="42" t="str">
        <f>IFERROR(__xludf.DUMMYFUNCTION("""COMPUTED_VALUE"""),"K/1/181124/1")</f>
        <v>K/1/181124/1</v>
      </c>
      <c r="C381" s="42" t="str">
        <f>IFERROR(__xludf.DUMMYFUNCTION("""COMPUTED_VALUE"""),"M. 2077/ Campang Jaya")</f>
        <v>M. 2077/ Campang Jaya</v>
      </c>
      <c r="D381" s="42" t="str">
        <f>IFERROR(__xludf.DUMMYFUNCTION("""COMPUTED_VALUE"""),"Berry")</f>
        <v>Berry</v>
      </c>
      <c r="E381" s="42" t="str">
        <f>IFERROR(__xludf.DUMMYFUNCTION("""COMPUTED_VALUE"""),"PROSES")</f>
        <v>PROSES</v>
      </c>
      <c r="F381" s="48" t="str">
        <f>IFERROR(__xludf.DUMMYFUNCTION("""COMPUTED_VALUE"""),"")</f>
        <v/>
      </c>
      <c r="G381" s="42" t="str">
        <f>IFERROR(__xludf.DUMMYFUNCTION("""COMPUTED_VALUE"""),"BN JUAL BELI")</f>
        <v>BN JUAL BELI</v>
      </c>
      <c r="H381" s="42">
        <f t="shared" si="1"/>
        <v>209</v>
      </c>
    </row>
    <row r="382" ht="22.5" customHeight="1">
      <c r="B382" s="42" t="str">
        <f>IFERROR(__xludf.DUMMYFUNCTION("""COMPUTED_VALUE"""),"K/2/181124/2")</f>
        <v>K/2/181124/2</v>
      </c>
      <c r="C382" s="42" t="str">
        <f>IFERROR(__xludf.DUMMYFUNCTION("""COMPUTED_VALUE"""),"M. 80/ Tanjung Gading")</f>
        <v>M. 80/ Tanjung Gading</v>
      </c>
      <c r="D382" s="42" t="str">
        <f>IFERROR(__xludf.DUMMYFUNCTION("""COMPUTED_VALUE"""),"Berry")</f>
        <v>Berry</v>
      </c>
      <c r="E382" s="42" t="str">
        <f>IFERROR(__xludf.DUMMYFUNCTION("""COMPUTED_VALUE"""),"DISERAHKAN BT")</f>
        <v>DISERAHKAN BT</v>
      </c>
      <c r="F382" s="48" t="str">
        <f>IFERROR(__xludf.DUMMYFUNCTION("""COMPUTED_VALUE"""),"19/11/2024 10.57")</f>
        <v>19/11/2024 10.57</v>
      </c>
      <c r="G382" s="42" t="str">
        <f>IFERROR(__xludf.DUMMYFUNCTION("""COMPUTED_VALUE"""),"ROYA")</f>
        <v>ROYA</v>
      </c>
      <c r="H382" s="42">
        <f t="shared" si="1"/>
        <v>209</v>
      </c>
    </row>
    <row r="383" ht="22.5" customHeight="1">
      <c r="B383" s="42" t="str">
        <f>IFERROR(__xludf.DUMMYFUNCTION("""COMPUTED_VALUE"""),"L/5/181124/1")</f>
        <v>L/5/181124/1</v>
      </c>
      <c r="C383" s="42" t="str">
        <f>IFERROR(__xludf.DUMMYFUNCTION("""COMPUTED_VALUE"""),"HM 636/SUMUR BATU")</f>
        <v>HM 636/SUMUR BATU</v>
      </c>
      <c r="D383" s="42" t="str">
        <f>IFERROR(__xludf.DUMMYFUNCTION("""COMPUTED_VALUE"""),"Berry")</f>
        <v>Berry</v>
      </c>
      <c r="E383" s="42" t="str">
        <f>IFERROR(__xludf.DUMMYFUNCTION("""COMPUTED_VALUE"""),"DISERAHKAN")</f>
        <v>DISERAHKAN</v>
      </c>
      <c r="F383" s="48" t="str">
        <f>IFERROR(__xludf.DUMMYFUNCTION("""COMPUTED_VALUE"""),"19/11/2024 10.57")</f>
        <v>19/11/2024 10.57</v>
      </c>
      <c r="G383" s="42" t="str">
        <f>IFERROR(__xludf.DUMMYFUNCTION("""COMPUTED_VALUE"""),"ROYA")</f>
        <v>ROYA</v>
      </c>
      <c r="H383" s="42">
        <f t="shared" si="1"/>
        <v>210</v>
      </c>
    </row>
    <row r="384" ht="22.5" customHeight="1">
      <c r="B384" s="42" t="str">
        <f>IFERROR(__xludf.DUMMYFUNCTION("""COMPUTED_VALUE"""),"K/3/181124/1")</f>
        <v>K/3/181124/1</v>
      </c>
      <c r="C384" s="42" t="str">
        <f>IFERROR(__xludf.DUMMYFUNCTION("""COMPUTED_VALUE"""),"M. 253/ Bumi Kedmaian")</f>
        <v>M. 253/ Bumi Kedmaian</v>
      </c>
      <c r="D384" s="42" t="str">
        <f>IFERROR(__xludf.DUMMYFUNCTION("""COMPUTED_VALUE"""),"Berry")</f>
        <v>Berry</v>
      </c>
      <c r="E384" s="42" t="str">
        <f>IFERROR(__xludf.DUMMYFUNCTION("""COMPUTED_VALUE"""),"DISERAHKAN BT")</f>
        <v>DISERAHKAN BT</v>
      </c>
      <c r="F384" s="48" t="str">
        <f>IFERROR(__xludf.DUMMYFUNCTION("""COMPUTED_VALUE"""),"19/11/2024 10.58")</f>
        <v>19/11/2024 10.58</v>
      </c>
      <c r="G384" s="42" t="str">
        <f>IFERROR(__xludf.DUMMYFUNCTION("""COMPUTED_VALUE"""),"BN WARIS")</f>
        <v>BN WARIS</v>
      </c>
      <c r="H384" s="42">
        <f t="shared" si="1"/>
        <v>210</v>
      </c>
    </row>
    <row r="385" ht="22.5" customHeight="1">
      <c r="B385" s="42" t="str">
        <f>IFERROR(__xludf.DUMMYFUNCTION("""COMPUTED_VALUE"""),"K/4/181124/2")</f>
        <v>K/4/181124/2</v>
      </c>
      <c r="C385" s="42" t="str">
        <f>IFERROR(__xludf.DUMMYFUNCTION("""COMPUTED_VALUE"""),"M. 254/ Bumi Kedamaian")</f>
        <v>M. 254/ Bumi Kedamaian</v>
      </c>
      <c r="D385" s="42" t="str">
        <f>IFERROR(__xludf.DUMMYFUNCTION("""COMPUTED_VALUE"""),"Berry")</f>
        <v>Berry</v>
      </c>
      <c r="E385" s="42" t="str">
        <f>IFERROR(__xludf.DUMMYFUNCTION("""COMPUTED_VALUE"""),"DISERAHKAN BT")</f>
        <v>DISERAHKAN BT</v>
      </c>
      <c r="F385" s="48" t="str">
        <f>IFERROR(__xludf.DUMMYFUNCTION("""COMPUTED_VALUE"""),"19/11/2024 11.02")</f>
        <v>19/11/2024 11.02</v>
      </c>
      <c r="G385" s="42" t="str">
        <f>IFERROR(__xludf.DUMMYFUNCTION("""COMPUTED_VALUE"""),"BN WARIS")</f>
        <v>BN WARIS</v>
      </c>
      <c r="H385" s="42">
        <f t="shared" si="1"/>
        <v>210</v>
      </c>
    </row>
    <row r="386" ht="22.5" customHeight="1">
      <c r="B386" s="42" t="str">
        <f>IFERROR(__xludf.DUMMYFUNCTION("""COMPUTED_VALUE"""),"L/6/181124/1")</f>
        <v>L/6/181124/1</v>
      </c>
      <c r="C386" s="42" t="str">
        <f>IFERROR(__xludf.DUMMYFUNCTION("""COMPUTED_VALUE"""),"HM 17410/SUKARAME")</f>
        <v>HM 17410/SUKARAME</v>
      </c>
      <c r="D386" s="42" t="str">
        <f>IFERROR(__xludf.DUMMYFUNCTION("""COMPUTED_VALUE"""),"Berry")</f>
        <v>Berry</v>
      </c>
      <c r="E386" s="42" t="str">
        <f>IFERROR(__xludf.DUMMYFUNCTION("""COMPUTED_VALUE"""),"PROSES")</f>
        <v>PROSES</v>
      </c>
      <c r="F386" s="48" t="str">
        <f>IFERROR(__xludf.DUMMYFUNCTION("""COMPUTED_VALUE"""),"")</f>
        <v/>
      </c>
      <c r="G386" s="42" t="str">
        <f>IFERROR(__xludf.DUMMYFUNCTION("""COMPUTED_VALUE"""),"ROYA")</f>
        <v>ROYA</v>
      </c>
      <c r="H386" s="42">
        <f t="shared" si="1"/>
        <v>210</v>
      </c>
    </row>
    <row r="387" ht="22.5" customHeight="1">
      <c r="B387" s="42" t="str">
        <f>IFERROR(__xludf.DUMMYFUNCTION("""COMPUTED_VALUE"""),"L/8/181124/1")</f>
        <v>L/8/181124/1</v>
      </c>
      <c r="C387" s="42" t="str">
        <f>IFERROR(__xludf.DUMMYFUNCTION("""COMPUTED_VALUE"""),"HM 12132/KEDAMAIAN")</f>
        <v>HM 12132/KEDAMAIAN</v>
      </c>
      <c r="D387" s="42" t="str">
        <f>IFERROR(__xludf.DUMMYFUNCTION("""COMPUTED_VALUE"""),"David")</f>
        <v>David</v>
      </c>
      <c r="E387" s="42" t="str">
        <f>IFERROR(__xludf.DUMMYFUNCTION("""COMPUTED_VALUE"""),"DISERAHKAN")</f>
        <v>DISERAHKAN</v>
      </c>
      <c r="F387" s="48" t="str">
        <f>IFERROR(__xludf.DUMMYFUNCTION("""COMPUTED_VALUE"""),"19/11/2024 11.03")</f>
        <v>19/11/2024 11.03</v>
      </c>
      <c r="G387" s="42" t="str">
        <f>IFERROR(__xludf.DUMMYFUNCTION("""COMPUTED_VALUE"""),"TONY")</f>
        <v>TONY</v>
      </c>
      <c r="H387" s="42">
        <f t="shared" si="1"/>
        <v>211</v>
      </c>
    </row>
    <row r="388" ht="22.5" customHeight="1">
      <c r="B388" s="42" t="str">
        <f>IFERROR(__xludf.DUMMYFUNCTION("""COMPUTED_VALUE"""),"K/11/181124/1")</f>
        <v>K/11/181124/1</v>
      </c>
      <c r="C388" s="42" t="str">
        <f>IFERROR(__xludf.DUMMYFUNCTION("""COMPUTED_VALUE"""),"M.1758/KUPANG KOTA")</f>
        <v>M.1758/KUPANG KOTA</v>
      </c>
      <c r="D388" s="42"/>
      <c r="E388" s="42"/>
      <c r="F388" s="48" t="str">
        <f>IFERROR(__xludf.DUMMYFUNCTION("""COMPUTED_VALUE"""),"")</f>
        <v/>
      </c>
      <c r="G388" s="42" t="str">
        <f>IFERROR(__xludf.DUMMYFUNCTION("""COMPUTED_VALUE"""),"HAPUS BPHTB")</f>
        <v>HAPUS BPHTB</v>
      </c>
      <c r="H388" s="42">
        <f t="shared" si="1"/>
        <v>211</v>
      </c>
    </row>
    <row r="389" ht="22.5" customHeight="1">
      <c r="B389" s="42" t="str">
        <f>IFERROR(__xludf.DUMMYFUNCTION("""COMPUTED_VALUE"""),"K/13/181124/1")</f>
        <v>K/13/181124/1</v>
      </c>
      <c r="C389" s="42" t="str">
        <f>IFERROR(__xludf.DUMMYFUNCTION("""COMPUTED_VALUE"""),"M. 1048/ Pematang Wangi")</f>
        <v>M. 1048/ Pematang Wangi</v>
      </c>
      <c r="D389" s="42" t="str">
        <f>IFERROR(__xludf.DUMMYFUNCTION("""COMPUTED_VALUE"""),"David")</f>
        <v>David</v>
      </c>
      <c r="E389" s="42" t="str">
        <f>IFERROR(__xludf.DUMMYFUNCTION("""COMPUTED_VALUE"""),"DISERAHKAN")</f>
        <v>DISERAHKAN</v>
      </c>
      <c r="F389" s="48" t="str">
        <f>IFERROR(__xludf.DUMMYFUNCTION("""COMPUTED_VALUE"""),"19/11/2024 11.04")</f>
        <v>19/11/2024 11.04</v>
      </c>
      <c r="G389" s="42" t="str">
        <f>IFERROR(__xludf.DUMMYFUNCTION("""COMPUTED_VALUE"""),"BN Jual Beli")</f>
        <v>BN Jual Beli</v>
      </c>
      <c r="H389" s="42">
        <f t="shared" si="1"/>
        <v>212</v>
      </c>
    </row>
    <row r="390" ht="22.5" customHeight="1">
      <c r="B390" s="42" t="str">
        <f>IFERROR(__xludf.DUMMYFUNCTION("""COMPUTED_VALUE"""),"L/14/181124/1")</f>
        <v>L/14/181124/1</v>
      </c>
      <c r="C390" s="42" t="str">
        <f>IFERROR(__xludf.DUMMYFUNCTION("""COMPUTED_VALUE"""),"HM 18712/SUKARAME")</f>
        <v>HM 18712/SUKARAME</v>
      </c>
      <c r="D390" s="42" t="str">
        <f>IFERROR(__xludf.DUMMYFUNCTION("""COMPUTED_VALUE"""),"David")</f>
        <v>David</v>
      </c>
      <c r="E390" s="42" t="str">
        <f>IFERROR(__xludf.DUMMYFUNCTION("""COMPUTED_VALUE"""),"DISERAHKAN")</f>
        <v>DISERAHKAN</v>
      </c>
      <c r="F390" s="48" t="str">
        <f>IFERROR(__xludf.DUMMYFUNCTION("""COMPUTED_VALUE"""),"19/11/2024 11.05")</f>
        <v>19/11/2024 11.05</v>
      </c>
      <c r="G390" s="42" t="str">
        <f>IFERROR(__xludf.DUMMYFUNCTION("""COMPUTED_VALUE"""),"ROYA")</f>
        <v>ROYA</v>
      </c>
      <c r="H390" s="42">
        <f t="shared" si="1"/>
        <v>213</v>
      </c>
    </row>
    <row r="391" ht="22.5" customHeight="1">
      <c r="B391" s="42" t="str">
        <f>IFERROR(__xludf.DUMMYFUNCTION("""COMPUTED_VALUE"""),"K/23/181124/1")</f>
        <v>K/23/181124/1</v>
      </c>
      <c r="C391" s="42" t="str">
        <f>IFERROR(__xludf.DUMMYFUNCTION("""COMPUTED_VALUE"""),"B. 201/LABUHAN DALAM")</f>
        <v>B. 201/LABUHAN DALAM</v>
      </c>
      <c r="D391" s="42" t="str">
        <f>IFERROR(__xludf.DUMMYFUNCTION("""COMPUTED_VALUE"""),"David")</f>
        <v>David</v>
      </c>
      <c r="E391" s="42" t="str">
        <f>IFERROR(__xludf.DUMMYFUNCTION("""COMPUTED_VALUE"""),"DISERAHKAN")</f>
        <v>DISERAHKAN</v>
      </c>
      <c r="F391" s="48" t="str">
        <f>IFERROR(__xludf.DUMMYFUNCTION("""COMPUTED_VALUE"""),"19/11/2024 11.08")</f>
        <v>19/11/2024 11.08</v>
      </c>
      <c r="G391" s="42" t="str">
        <f>IFERROR(__xludf.DUMMYFUNCTION("""COMPUTED_VALUE"""),"BN JUAL BELI")</f>
        <v>BN JUAL BELI</v>
      </c>
      <c r="H391" s="42">
        <f t="shared" si="1"/>
        <v>214</v>
      </c>
    </row>
    <row r="392" ht="22.5" customHeight="1">
      <c r="B392" s="42" t="str">
        <f>IFERROR(__xludf.DUMMYFUNCTION("""COMPUTED_VALUE"""),"K/24/181124/2")</f>
        <v>K/24/181124/2</v>
      </c>
      <c r="C392" s="42" t="str">
        <f>IFERROR(__xludf.DUMMYFUNCTION("""COMPUTED_VALUE"""),"B.202/LABUHAN DALAM")</f>
        <v>B.202/LABUHAN DALAM</v>
      </c>
      <c r="D392" s="42" t="str">
        <f>IFERROR(__xludf.DUMMYFUNCTION("""COMPUTED_VALUE"""),"David")</f>
        <v>David</v>
      </c>
      <c r="E392" s="42" t="str">
        <f>IFERROR(__xludf.DUMMYFUNCTION("""COMPUTED_VALUE"""),"DISERAHKAN")</f>
        <v>DISERAHKAN</v>
      </c>
      <c r="F392" s="48" t="str">
        <f>IFERROR(__xludf.DUMMYFUNCTION("""COMPUTED_VALUE"""),"19/11/2024 11.08")</f>
        <v>19/11/2024 11.08</v>
      </c>
      <c r="G392" s="42" t="str">
        <f>IFERROR(__xludf.DUMMYFUNCTION("""COMPUTED_VALUE"""),"BN JUAL BELI")</f>
        <v>BN JUAL BELI</v>
      </c>
      <c r="H392" s="42">
        <f t="shared" si="1"/>
        <v>215</v>
      </c>
    </row>
    <row r="393" ht="22.5" customHeight="1">
      <c r="B393" s="42" t="str">
        <f>IFERROR(__xludf.DUMMYFUNCTION("""COMPUTED_VALUE"""),"K/25/181124/3")</f>
        <v>K/25/181124/3</v>
      </c>
      <c r="C393" s="42" t="str">
        <f>IFERROR(__xludf.DUMMYFUNCTION("""COMPUTED_VALUE"""),"B.4381/SUKARAME-SEKARANG;B.4381/SUKARAME I-DAHULU")</f>
        <v>B.4381/SUKARAME-SEKARANG;B.4381/SUKARAME I-DAHULU</v>
      </c>
      <c r="D393" s="42" t="str">
        <f>IFERROR(__xludf.DUMMYFUNCTION("""COMPUTED_VALUE"""),"David")</f>
        <v>David</v>
      </c>
      <c r="E393" s="42" t="str">
        <f>IFERROR(__xludf.DUMMYFUNCTION("""COMPUTED_VALUE"""),"PROSES")</f>
        <v>PROSES</v>
      </c>
      <c r="F393" s="48" t="str">
        <f>IFERROR(__xludf.DUMMYFUNCTION("""COMPUTED_VALUE"""),"")</f>
        <v/>
      </c>
      <c r="G393" s="42" t="str">
        <f>IFERROR(__xludf.DUMMYFUNCTION("""COMPUTED_VALUE"""),"BN JUAL BELI")</f>
        <v>BN JUAL BELI</v>
      </c>
      <c r="H393" s="42">
        <f t="shared" si="1"/>
        <v>215</v>
      </c>
    </row>
    <row r="394" ht="22.5" customHeight="1">
      <c r="B394" s="42" t="str">
        <f>IFERROR(__xludf.DUMMYFUNCTION("""COMPUTED_VALUE"""),"L/28/181124/1")</f>
        <v>L/28/181124/1</v>
      </c>
      <c r="C394" s="42" t="str">
        <f>IFERROR(__xludf.DUMMYFUNCTION("""COMPUTED_VALUE"""),"HGB 220/BAKUNG")</f>
        <v>HGB 220/BAKUNG</v>
      </c>
      <c r="D394" s="42" t="str">
        <f>IFERROR(__xludf.DUMMYFUNCTION("""COMPUTED_VALUE"""),"David")</f>
        <v>David</v>
      </c>
      <c r="E394" s="42" t="str">
        <f>IFERROR(__xludf.DUMMYFUNCTION("""COMPUTED_VALUE"""),"DISERAHKAN")</f>
        <v>DISERAHKAN</v>
      </c>
      <c r="F394" s="48" t="str">
        <f>IFERROR(__xludf.DUMMYFUNCTION("""COMPUTED_VALUE"""),"19/11/2024 11.09")</f>
        <v>19/11/2024 11.09</v>
      </c>
      <c r="G394" s="42" t="str">
        <f>IFERROR(__xludf.DUMMYFUNCTION("""COMPUTED_VALUE"""),"PH")</f>
        <v>PH</v>
      </c>
      <c r="H394" s="42">
        <f t="shared" si="1"/>
        <v>216</v>
      </c>
    </row>
    <row r="395" ht="22.5" customHeight="1">
      <c r="B395" s="42" t="str">
        <f>IFERROR(__xludf.DUMMYFUNCTION("""COMPUTED_VALUE"""),"L/36/181124/1")</f>
        <v>L/36/181124/1</v>
      </c>
      <c r="C395" s="42" t="str">
        <f>IFERROR(__xludf.DUMMYFUNCTION("""COMPUTED_VALUE"""),"NIB 9365/BUMI WARAS")</f>
        <v>NIB 9365/BUMI WARAS</v>
      </c>
      <c r="D395" s="42"/>
      <c r="E395" s="42"/>
      <c r="F395" s="48" t="str">
        <f>IFERROR(__xludf.DUMMYFUNCTION("""COMPUTED_VALUE"""),"")</f>
        <v/>
      </c>
      <c r="G395" s="42" t="str">
        <f>IFERROR(__xludf.DUMMYFUNCTION("""COMPUTED_VALUE"""),"BN LELANG")</f>
        <v>BN LELANG</v>
      </c>
      <c r="H395" s="42">
        <f t="shared" si="1"/>
        <v>216</v>
      </c>
    </row>
    <row r="396" ht="22.5" customHeight="1">
      <c r="B396" s="42" t="str">
        <f>IFERROR(__xludf.DUMMYFUNCTION("""COMPUTED_VALUE"""),"K/30/181124/1")</f>
        <v>K/30/181124/1</v>
      </c>
      <c r="C396" s="42" t="str">
        <f>IFERROR(__xludf.DUMMYFUNCTION("""COMPUTED_VALUE"""),"Nibel 409/ Kemiling Permai")</f>
        <v>Nibel 409/ Kemiling Permai</v>
      </c>
      <c r="D396" s="42"/>
      <c r="E396" s="42"/>
      <c r="F396" s="48" t="str">
        <f>IFERROR(__xludf.DUMMYFUNCTION("""COMPUTED_VALUE"""),"")</f>
        <v/>
      </c>
      <c r="G396" s="42" t="str">
        <f>IFERROR(__xludf.DUMMYFUNCTION("""COMPUTED_VALUE"""),"BN JUAL BELI")</f>
        <v>BN JUAL BELI</v>
      </c>
      <c r="H396" s="42">
        <f t="shared" si="1"/>
        <v>216</v>
      </c>
    </row>
    <row r="397" ht="22.5" customHeight="1">
      <c r="B397" s="42" t="str">
        <f>IFERROR(__xludf.DUMMYFUNCTION("""COMPUTED_VALUE"""),"K/37/181124/1")</f>
        <v>K/37/181124/1</v>
      </c>
      <c r="C397" s="42" t="str">
        <f>IFERROR(__xludf.DUMMYFUNCTION("""COMPUTED_VALUE"""),"M. 1061/ Sukamaju")</f>
        <v>M. 1061/ Sukamaju</v>
      </c>
      <c r="D397" s="42" t="str">
        <f>IFERROR(__xludf.DUMMYFUNCTION("""COMPUTED_VALUE"""),"David")</f>
        <v>David</v>
      </c>
      <c r="E397" s="42" t="str">
        <f>IFERROR(__xludf.DUMMYFUNCTION("""COMPUTED_VALUE"""),"DISERAHKAN")</f>
        <v>DISERAHKAN</v>
      </c>
      <c r="F397" s="48">
        <f>IFERROR(__xludf.DUMMYFUNCTION("""COMPUTED_VALUE"""),45758.48514564815)</f>
        <v>45758.48515</v>
      </c>
      <c r="G397" s="42" t="str">
        <f>IFERROR(__xludf.DUMMYFUNCTION("""COMPUTED_VALUE"""),"ROYA")</f>
        <v>ROYA</v>
      </c>
      <c r="H397" s="42">
        <f t="shared" si="1"/>
        <v>217</v>
      </c>
    </row>
    <row r="398" ht="22.5" customHeight="1">
      <c r="B398" s="42" t="str">
        <f>IFERROR(__xludf.DUMMYFUNCTION("""COMPUTED_VALUE"""),"L/38/181124/1")</f>
        <v>L/38/181124/1</v>
      </c>
      <c r="C398" s="42" t="str">
        <f>IFERROR(__xludf.DUMMYFUNCTION("""COMPUTED_VALUE"""),"HM 9634/SURABAYA")</f>
        <v>HM 9634/SURABAYA</v>
      </c>
      <c r="D398" s="42" t="str">
        <f>IFERROR(__xludf.DUMMYFUNCTION("""COMPUTED_VALUE"""),"David")</f>
        <v>David</v>
      </c>
      <c r="E398" s="42" t="str">
        <f>IFERROR(__xludf.DUMMYFUNCTION("""COMPUTED_VALUE"""),"DISERAHKAN")</f>
        <v>DISERAHKAN</v>
      </c>
      <c r="F398" s="48" t="str">
        <f>IFERROR(__xludf.DUMMYFUNCTION("""COMPUTED_VALUE"""),"19/11/2024 11.10")</f>
        <v>19/11/2024 11.10</v>
      </c>
      <c r="G398" s="42" t="str">
        <f>IFERROR(__xludf.DUMMYFUNCTION("""COMPUTED_VALUE"""),"SUPRIYANTO")</f>
        <v>SUPRIYANTO</v>
      </c>
      <c r="H398" s="42">
        <f t="shared" si="1"/>
        <v>218</v>
      </c>
    </row>
    <row r="399" ht="22.5" customHeight="1">
      <c r="B399" s="42" t="str">
        <f>IFERROR(__xludf.DUMMYFUNCTION("""COMPUTED_VALUE"""),"K/41/181124/2")</f>
        <v>K/41/181124/2</v>
      </c>
      <c r="C399" s="42" t="str">
        <f>IFERROR(__xludf.DUMMYFUNCTION("""COMPUTED_VALUE"""),"NIBEL M.365/GUNUNG SULAH")</f>
        <v>NIBEL M.365/GUNUNG SULAH</v>
      </c>
      <c r="D399" s="42"/>
      <c r="E399" s="42"/>
      <c r="F399" s="48" t="str">
        <f>IFERROR(__xludf.DUMMYFUNCTION("""COMPUTED_VALUE"""),"")</f>
        <v/>
      </c>
      <c r="G399" s="42" t="str">
        <f>IFERROR(__xludf.DUMMYFUNCTION("""COMPUTED_VALUE"""),"BN JUAL BELI")</f>
        <v>BN JUAL BELI</v>
      </c>
      <c r="H399" s="42">
        <f t="shared" si="1"/>
        <v>218</v>
      </c>
    </row>
    <row r="400" ht="22.5" customHeight="1">
      <c r="B400" s="42" t="str">
        <f>IFERROR(__xludf.DUMMYFUNCTION("""COMPUTED_VALUE"""),"K/42/181124/1")</f>
        <v>K/42/181124/1</v>
      </c>
      <c r="C400" s="42" t="str">
        <f>IFERROR(__xludf.DUMMYFUNCTION("""COMPUTED_VALUE"""),"Nibel 3172/ Sumur Putri")</f>
        <v>Nibel 3172/ Sumur Putri</v>
      </c>
      <c r="D400" s="42"/>
      <c r="E400" s="42"/>
      <c r="F400" s="48" t="str">
        <f>IFERROR(__xludf.DUMMYFUNCTION("""COMPUTED_VALUE"""),"")</f>
        <v/>
      </c>
      <c r="G400" s="42" t="str">
        <f>IFERROR(__xludf.DUMMYFUNCTION("""COMPUTED_VALUE"""),"PERUBAHAN HAK")</f>
        <v>PERUBAHAN HAK</v>
      </c>
      <c r="H400" s="42">
        <f t="shared" si="1"/>
        <v>218</v>
      </c>
    </row>
    <row r="401" ht="22.5" customHeight="1">
      <c r="B401" s="42" t="str">
        <f>IFERROR(__xludf.DUMMYFUNCTION("""COMPUTED_VALUE"""),"K/49/181124/1")</f>
        <v>K/49/181124/1</v>
      </c>
      <c r="C401" s="42" t="str">
        <f>IFERROR(__xludf.DUMMYFUNCTION("""COMPUTED_VALUE"""),"B.1319/NEGERI OLOK GADING")</f>
        <v>B.1319/NEGERI OLOK GADING</v>
      </c>
      <c r="D401" s="42" t="str">
        <f>IFERROR(__xludf.DUMMYFUNCTION("""COMPUTED_VALUE"""),"David")</f>
        <v>David</v>
      </c>
      <c r="E401" s="42" t="str">
        <f>IFERROR(__xludf.DUMMYFUNCTION("""COMPUTED_VALUE"""),"DISERAHKAN")</f>
        <v>DISERAHKAN</v>
      </c>
      <c r="F401" s="48" t="str">
        <f>IFERROR(__xludf.DUMMYFUNCTION("""COMPUTED_VALUE"""),"19/11/2024 11.12")</f>
        <v>19/11/2024 11.12</v>
      </c>
      <c r="G401" s="42" t="str">
        <f>IFERROR(__xludf.DUMMYFUNCTION("""COMPUTED_VALUE"""),"BN LELANG")</f>
        <v>BN LELANG</v>
      </c>
      <c r="H401" s="42">
        <f t="shared" si="1"/>
        <v>219</v>
      </c>
    </row>
    <row r="402" ht="22.5" customHeight="1">
      <c r="B402" s="42" t="str">
        <f>IFERROR(__xludf.DUMMYFUNCTION("""COMPUTED_VALUE"""),"L/50/181124/1")</f>
        <v>L/50/181124/1</v>
      </c>
      <c r="C402" s="42" t="str">
        <f>IFERROR(__xludf.DUMMYFUNCTION("""COMPUTED_VALUE"""),"HM 802/JAGABAYA III")</f>
        <v>HM 802/JAGABAYA III</v>
      </c>
      <c r="D402" s="42" t="str">
        <f>IFERROR(__xludf.DUMMYFUNCTION("""COMPUTED_VALUE"""),"David")</f>
        <v>David</v>
      </c>
      <c r="E402" s="42" t="str">
        <f>IFERROR(__xludf.DUMMYFUNCTION("""COMPUTED_VALUE"""),"PROSES")</f>
        <v>PROSES</v>
      </c>
      <c r="F402" s="48" t="str">
        <f>IFERROR(__xludf.DUMMYFUNCTION("""COMPUTED_VALUE"""),"")</f>
        <v/>
      </c>
      <c r="G402" s="42" t="str">
        <f>IFERROR(__xludf.DUMMYFUNCTION("""COMPUTED_VALUE"""),"ROYA")</f>
        <v>ROYA</v>
      </c>
      <c r="H402" s="42">
        <f t="shared" si="1"/>
        <v>219</v>
      </c>
    </row>
    <row r="403" ht="22.5" customHeight="1">
      <c r="B403" s="42" t="str">
        <f>IFERROR(__xludf.DUMMYFUNCTION("""COMPUTED_VALUE"""),"L/54/181124/1")</f>
        <v>L/54/181124/1</v>
      </c>
      <c r="C403" s="42" t="str">
        <f>IFERROR(__xludf.DUMMYFUNCTION("""COMPUTED_VALUE"""),"HM 13892/SEGALA MIDER")</f>
        <v>HM 13892/SEGALA MIDER</v>
      </c>
      <c r="D403" s="42"/>
      <c r="E403" s="42"/>
      <c r="F403" s="48" t="str">
        <f>IFERROR(__xludf.DUMMYFUNCTION("""COMPUTED_VALUE"""),"")</f>
        <v/>
      </c>
      <c r="G403" s="42" t="str">
        <f>IFERROR(__xludf.DUMMYFUNCTION("""COMPUTED_VALUE"""),"HAPUS BPHTB")</f>
        <v>HAPUS BPHTB</v>
      </c>
      <c r="H403" s="42">
        <f t="shared" si="1"/>
        <v>219</v>
      </c>
    </row>
    <row r="404" ht="22.5" customHeight="1">
      <c r="B404" s="42" t="str">
        <f>IFERROR(__xludf.DUMMYFUNCTION("""COMPUTED_VALUE"""),"K/56/181124/1")</f>
        <v>K/56/181124/1</v>
      </c>
      <c r="C404" s="42" t="str">
        <f>IFERROR(__xludf.DUMMYFUNCTION("""COMPUTED_VALUE"""),"M.4198/KETEGUHAN")</f>
        <v>M.4198/KETEGUHAN</v>
      </c>
      <c r="D404" s="42" t="str">
        <f>IFERROR(__xludf.DUMMYFUNCTION("""COMPUTED_VALUE"""),"David")</f>
        <v>David</v>
      </c>
      <c r="E404" s="42" t="str">
        <f>IFERROR(__xludf.DUMMYFUNCTION("""COMPUTED_VALUE"""),"DISERAHKAN")</f>
        <v>DISERAHKAN</v>
      </c>
      <c r="F404" s="48" t="str">
        <f>IFERROR(__xludf.DUMMYFUNCTION("""COMPUTED_VALUE"""),"19/11/2024 11.14")</f>
        <v>19/11/2024 11.14</v>
      </c>
      <c r="G404" s="42" t="str">
        <f>IFERROR(__xludf.DUMMYFUNCTION("""COMPUTED_VALUE"""),"BN JUAL BELI")</f>
        <v>BN JUAL BELI</v>
      </c>
      <c r="H404" s="42">
        <f t="shared" si="1"/>
        <v>220</v>
      </c>
    </row>
    <row r="405" ht="22.5" customHeight="1">
      <c r="B405" s="42" t="str">
        <f>IFERROR(__xludf.DUMMYFUNCTION("""COMPUTED_VALUE"""),"K/57/181124/2")</f>
        <v>K/57/181124/2</v>
      </c>
      <c r="C405" s="42" t="str">
        <f>IFERROR(__xludf.DUMMYFUNCTION("""COMPUTED_VALUE"""),"M.2396/CAMPANG JAYA")</f>
        <v>M.2396/CAMPANG JAYA</v>
      </c>
      <c r="D405" s="42" t="str">
        <f>IFERROR(__xludf.DUMMYFUNCTION("""COMPUTED_VALUE"""),"David")</f>
        <v>David</v>
      </c>
      <c r="E405" s="42" t="str">
        <f>IFERROR(__xludf.DUMMYFUNCTION("""COMPUTED_VALUE"""),"DISERAHKAN")</f>
        <v>DISERAHKAN</v>
      </c>
      <c r="F405" s="48">
        <f>IFERROR(__xludf.DUMMYFUNCTION("""COMPUTED_VALUE"""),45694.48134711805)</f>
        <v>45694.48135</v>
      </c>
      <c r="G405" s="42" t="str">
        <f>IFERROR(__xludf.DUMMYFUNCTION("""COMPUTED_VALUE"""),"BN JUAL BELI")</f>
        <v>BN JUAL BELI</v>
      </c>
      <c r="H405" s="42">
        <f t="shared" si="1"/>
        <v>221</v>
      </c>
    </row>
    <row r="406" ht="22.5" customHeight="1">
      <c r="B406" s="42" t="str">
        <f>IFERROR(__xludf.DUMMYFUNCTION("""COMPUTED_VALUE"""),"K/62/181124/1")</f>
        <v>K/62/181124/1</v>
      </c>
      <c r="C406" s="42" t="str">
        <f>IFERROR(__xludf.DUMMYFUNCTION("""COMPUTED_VALUE"""),"Nibel B. 2716/ Sumber Agung")</f>
        <v>Nibel B. 2716/ Sumber Agung</v>
      </c>
      <c r="D406" s="42"/>
      <c r="E406" s="42"/>
      <c r="F406" s="48" t="str">
        <f>IFERROR(__xludf.DUMMYFUNCTION("""COMPUTED_VALUE"""),"")</f>
        <v/>
      </c>
      <c r="G406" s="42" t="str">
        <f>IFERROR(__xludf.DUMMYFUNCTION("""COMPUTED_VALUE"""),"Perubahan Hak")</f>
        <v>Perubahan Hak</v>
      </c>
      <c r="H406" s="42">
        <f t="shared" si="1"/>
        <v>221</v>
      </c>
    </row>
    <row r="407" ht="22.5" customHeight="1">
      <c r="B407" s="42" t="str">
        <f>IFERROR(__xludf.DUMMYFUNCTION("""COMPUTED_VALUE"""),"K/4/191124/1")</f>
        <v>K/4/191124/1</v>
      </c>
      <c r="C407" s="42" t="str">
        <f>IFERROR(__xludf.DUMMYFUNCTION("""COMPUTED_VALUE"""),"Nibel 389/ kemiling Permai")</f>
        <v>Nibel 389/ kemiling Permai</v>
      </c>
      <c r="D407" s="42"/>
      <c r="E407" s="42"/>
      <c r="F407" s="48" t="str">
        <f>IFERROR(__xludf.DUMMYFUNCTION("""COMPUTED_VALUE"""),"")</f>
        <v/>
      </c>
      <c r="G407" s="42" t="str">
        <f>IFERROR(__xludf.DUMMYFUNCTION("""COMPUTED_VALUE"""),"BN JUAL BELI")</f>
        <v>BN JUAL BELI</v>
      </c>
      <c r="H407" s="42">
        <f t="shared" si="1"/>
        <v>221</v>
      </c>
    </row>
    <row r="408" ht="22.5" customHeight="1">
      <c r="B408" s="42" t="str">
        <f>IFERROR(__xludf.DUMMYFUNCTION("""COMPUTED_VALUE"""),"L/6/191124/1")</f>
        <v>L/6/191124/1</v>
      </c>
      <c r="C408" s="42" t="str">
        <f>IFERROR(__xludf.DUMMYFUNCTION("""COMPUTED_VALUE"""),"HM 117/SUKAMAJU")</f>
        <v>HM 117/SUKAMAJU</v>
      </c>
      <c r="D408" s="42"/>
      <c r="E408" s="42"/>
      <c r="F408" s="48" t="str">
        <f>IFERROR(__xludf.DUMMYFUNCTION("""COMPUTED_VALUE"""),"")</f>
        <v/>
      </c>
      <c r="G408" s="42" t="str">
        <f>IFERROR(__xludf.DUMMYFUNCTION("""COMPUTED_VALUE"""),"BLOKIR")</f>
        <v>BLOKIR</v>
      </c>
      <c r="H408" s="42">
        <f t="shared" si="1"/>
        <v>221</v>
      </c>
    </row>
    <row r="409" ht="22.5" customHeight="1">
      <c r="B409" s="42" t="str">
        <f>IFERROR(__xludf.DUMMYFUNCTION("""COMPUTED_VALUE"""),"L/9/191124/1")</f>
        <v>L/9/191124/1</v>
      </c>
      <c r="C409" s="42" t="str">
        <f>IFERROR(__xludf.DUMMYFUNCTION("""COMPUTED_VALUE"""),"HGB 1072/SUKABUMI INDAH")</f>
        <v>HGB 1072/SUKABUMI INDAH</v>
      </c>
      <c r="D409" s="42" t="str">
        <f>IFERROR(__xludf.DUMMYFUNCTION("""COMPUTED_VALUE"""),"David")</f>
        <v>David</v>
      </c>
      <c r="E409" s="42" t="str">
        <f>IFERROR(__xludf.DUMMYFUNCTION("""COMPUTED_VALUE"""),"DISERAHKAN")</f>
        <v>DISERAHKAN</v>
      </c>
      <c r="F409" s="48" t="str">
        <f>IFERROR(__xludf.DUMMYFUNCTION("""COMPUTED_VALUE"""),"16/12/2024 16.00")</f>
        <v>16/12/2024 16.00</v>
      </c>
      <c r="G409" s="42" t="str">
        <f>IFERROR(__xludf.DUMMYFUNCTION("""COMPUTED_VALUE"""),"PH")</f>
        <v>PH</v>
      </c>
      <c r="H409" s="42">
        <f t="shared" si="1"/>
        <v>222</v>
      </c>
    </row>
    <row r="410" ht="22.5" customHeight="1">
      <c r="B410" s="42" t="str">
        <f>IFERROR(__xludf.DUMMYFUNCTION("""COMPUTED_VALUE"""),"K/13/191124/1")</f>
        <v>K/13/191124/1</v>
      </c>
      <c r="C410" s="42" t="str">
        <f>IFERROR(__xludf.DUMMYFUNCTION("""COMPUTED_VALUE"""),"M. 1282/ Sukabumi Indah")</f>
        <v>M. 1282/ Sukabumi Indah</v>
      </c>
      <c r="D410" s="42" t="str">
        <f>IFERROR(__xludf.DUMMYFUNCTION("""COMPUTED_VALUE"""),"David")</f>
        <v>David</v>
      </c>
      <c r="E410" s="42" t="str">
        <f>IFERROR(__xludf.DUMMYFUNCTION("""COMPUTED_VALUE"""),"DISERAHKAN")</f>
        <v>DISERAHKAN</v>
      </c>
      <c r="F410" s="48" t="str">
        <f>IFERROR(__xludf.DUMMYFUNCTION("""COMPUTED_VALUE"""),"20/11/2024 15.12")</f>
        <v>20/11/2024 15.12</v>
      </c>
      <c r="G410" s="42" t="str">
        <f>IFERROR(__xludf.DUMMYFUNCTION("""COMPUTED_VALUE"""),"BN Jual Beli")</f>
        <v>BN Jual Beli</v>
      </c>
      <c r="H410" s="42">
        <f t="shared" si="1"/>
        <v>223</v>
      </c>
    </row>
    <row r="411" ht="22.5" customHeight="1">
      <c r="B411" s="42" t="str">
        <f>IFERROR(__xludf.DUMMYFUNCTION("""COMPUTED_VALUE"""),"K/14/191124/2")</f>
        <v>K/14/191124/2</v>
      </c>
      <c r="C411" s="42" t="str">
        <f>IFERROR(__xludf.DUMMYFUNCTION("""COMPUTED_VALUE"""),"M. 5046/ Langkapura; SHT 3779/2018")</f>
        <v>M. 5046/ Langkapura; SHT 3779/2018</v>
      </c>
      <c r="D411" s="42" t="str">
        <f>IFERROR(__xludf.DUMMYFUNCTION("""COMPUTED_VALUE"""),"David")</f>
        <v>David</v>
      </c>
      <c r="E411" s="42" t="str">
        <f>IFERROR(__xludf.DUMMYFUNCTION("""COMPUTED_VALUE"""),"DISERAHKAN")</f>
        <v>DISERAHKAN</v>
      </c>
      <c r="F411" s="48" t="str">
        <f>IFERROR(__xludf.DUMMYFUNCTION("""COMPUTED_VALUE"""),"20/11/2024 15.12")</f>
        <v>20/11/2024 15.12</v>
      </c>
      <c r="G411" s="42" t="str">
        <f>IFERROR(__xludf.DUMMYFUNCTION("""COMPUTED_VALUE"""),"Roya")</f>
        <v>Roya</v>
      </c>
      <c r="H411" s="42">
        <f t="shared" si="1"/>
        <v>224</v>
      </c>
    </row>
    <row r="412" ht="22.5" customHeight="1">
      <c r="B412" s="42" t="str">
        <f>IFERROR(__xludf.DUMMYFUNCTION("""COMPUTED_VALUE"""),"K/15/191124/1")</f>
        <v>K/15/191124/1</v>
      </c>
      <c r="C412" s="42" t="str">
        <f>IFERROR(__xludf.DUMMYFUNCTION("""COMPUTED_VALUE"""),"B. 3584/ Sukabumi")</f>
        <v>B. 3584/ Sukabumi</v>
      </c>
      <c r="D412" s="42"/>
      <c r="E412" s="42"/>
      <c r="F412" s="48" t="str">
        <f>IFERROR(__xludf.DUMMYFUNCTION("""COMPUTED_VALUE"""),"")</f>
        <v/>
      </c>
      <c r="G412" s="42" t="str">
        <f>IFERROR(__xludf.DUMMYFUNCTION("""COMPUTED_VALUE"""),"SKPT LELANG")</f>
        <v>SKPT LELANG</v>
      </c>
      <c r="H412" s="42">
        <f t="shared" si="1"/>
        <v>224</v>
      </c>
    </row>
    <row r="413" ht="22.5" customHeight="1">
      <c r="B413" s="42" t="str">
        <f>IFERROR(__xludf.DUMMYFUNCTION("""COMPUTED_VALUE"""),"K/18/191124/1")</f>
        <v>K/18/191124/1</v>
      </c>
      <c r="C413" s="42" t="str">
        <f>IFERROR(__xludf.DUMMYFUNCTION("""COMPUTED_VALUE"""),"M.1142/WAY HALIM PERMAI")</f>
        <v>M.1142/WAY HALIM PERMAI</v>
      </c>
      <c r="D413" s="42" t="str">
        <f>IFERROR(__xludf.DUMMYFUNCTION("""COMPUTED_VALUE"""),"David")</f>
        <v>David</v>
      </c>
      <c r="E413" s="42" t="str">
        <f>IFERROR(__xludf.DUMMYFUNCTION("""COMPUTED_VALUE"""),"DISERAHKAN SU")</f>
        <v>DISERAHKAN SU</v>
      </c>
      <c r="F413" s="48" t="str">
        <f>IFERROR(__xludf.DUMMYFUNCTION("""COMPUTED_VALUE"""),"20/11/2024 15.12")</f>
        <v>20/11/2024 15.12</v>
      </c>
      <c r="G413" s="42" t="str">
        <f>IFERROR(__xludf.DUMMYFUNCTION("""COMPUTED_VALUE"""),"BN JUAL BELI")</f>
        <v>BN JUAL BELI</v>
      </c>
      <c r="H413" s="42">
        <f t="shared" si="1"/>
        <v>224</v>
      </c>
    </row>
    <row r="414" ht="22.5" customHeight="1">
      <c r="B414" s="42" t="str">
        <f>IFERROR(__xludf.DUMMYFUNCTION("""COMPUTED_VALUE"""),"K/19/191124/1")</f>
        <v>K/19/191124/1</v>
      </c>
      <c r="C414" s="42" t="str">
        <f>IFERROR(__xludf.DUMMYFUNCTION("""COMPUTED_VALUE"""),"M. 939/WAY LAGA")</f>
        <v>M. 939/WAY LAGA</v>
      </c>
      <c r="D414" s="42" t="str">
        <f>IFERROR(__xludf.DUMMYFUNCTION("""COMPUTED_VALUE"""),"David")</f>
        <v>David</v>
      </c>
      <c r="E414" s="42" t="str">
        <f>IFERROR(__xludf.DUMMYFUNCTION("""COMPUTED_VALUE"""),"DISERAHKAN")</f>
        <v>DISERAHKAN</v>
      </c>
      <c r="F414" s="48">
        <f>IFERROR(__xludf.DUMMYFUNCTION("""COMPUTED_VALUE"""),45687.40965983796)</f>
        <v>45687.40966</v>
      </c>
      <c r="G414" s="42" t="str">
        <f>IFERROR(__xludf.DUMMYFUNCTION("""COMPUTED_VALUE"""),"ROYA")</f>
        <v>ROYA</v>
      </c>
      <c r="H414" s="42">
        <f t="shared" si="1"/>
        <v>225</v>
      </c>
    </row>
    <row r="415" ht="22.5" customHeight="1">
      <c r="B415" s="42" t="str">
        <f>IFERROR(__xludf.DUMMYFUNCTION("""COMPUTED_VALUE"""),"L/20/191124/1")</f>
        <v>L/20/191124/1</v>
      </c>
      <c r="C415" s="42" t="str">
        <f>IFERROR(__xludf.DUMMYFUNCTION("""COMPUTED_VALUE"""),"NIB 3714/GUNUNG SULAH")</f>
        <v>NIB 3714/GUNUNG SULAH</v>
      </c>
      <c r="D415" s="42"/>
      <c r="E415" s="42" t="str">
        <f>IFERROR(__xludf.DUMMYFUNCTION("""COMPUTED_VALUE"""),"DISERAHKAN")</f>
        <v>DISERAHKAN</v>
      </c>
      <c r="F415" s="48" t="str">
        <f>IFERROR(__xludf.DUMMYFUNCTION("""COMPUTED_VALUE"""),"16/12/2024 16.31")</f>
        <v>16/12/2024 16.31</v>
      </c>
      <c r="G415" s="42" t="str">
        <f>IFERROR(__xludf.DUMMYFUNCTION("""COMPUTED_VALUE"""),"PH")</f>
        <v>PH</v>
      </c>
      <c r="H415" s="42">
        <f t="shared" si="1"/>
        <v>226</v>
      </c>
    </row>
    <row r="416" ht="22.5" customHeight="1">
      <c r="B416" s="42" t="str">
        <f>IFERROR(__xludf.DUMMYFUNCTION("""COMPUTED_VALUE"""),"K/26/191124/1")</f>
        <v>K/26/191124/1</v>
      </c>
      <c r="C416" s="42" t="str">
        <f>IFERROR(__xludf.DUMMYFUNCTION("""COMPUTED_VALUE"""),"M.3972/RAJABASA JAYA")</f>
        <v>M.3972/RAJABASA JAYA</v>
      </c>
      <c r="D416" s="42"/>
      <c r="E416" s="42" t="str">
        <f>IFERROR(__xludf.DUMMYFUNCTION("""COMPUTED_VALUE"""),"DISERAHKAN")</f>
        <v>DISERAHKAN</v>
      </c>
      <c r="F416" s="48" t="str">
        <f>IFERROR(__xludf.DUMMYFUNCTION("""COMPUTED_VALUE"""),"19/11/2024 15.00")</f>
        <v>19/11/2024 15.00</v>
      </c>
      <c r="G416" s="42" t="str">
        <f>IFERROR(__xludf.DUMMYFUNCTION("""COMPUTED_VALUE"""),"KEWARISAN")</f>
        <v>KEWARISAN</v>
      </c>
      <c r="H416" s="42">
        <f t="shared" si="1"/>
        <v>227</v>
      </c>
    </row>
    <row r="417" ht="22.5" customHeight="1">
      <c r="B417" s="42" t="str">
        <f>IFERROR(__xludf.DUMMYFUNCTION("""COMPUTED_VALUE"""),"K/28/191124/1")</f>
        <v>K/28/191124/1</v>
      </c>
      <c r="C417" s="42" t="str">
        <f>IFERROR(__xludf.DUMMYFUNCTION("""COMPUTED_VALUE"""),"M. 815/ Pelita")</f>
        <v>M. 815/ Pelita</v>
      </c>
      <c r="D417" s="42"/>
      <c r="E417" s="42"/>
      <c r="F417" s="48" t="str">
        <f>IFERROR(__xludf.DUMMYFUNCTION("""COMPUTED_VALUE"""),"")</f>
        <v/>
      </c>
      <c r="G417" s="42" t="str">
        <f>IFERROR(__xludf.DUMMYFUNCTION("""COMPUTED_VALUE"""),"Ganti Nama")</f>
        <v>Ganti Nama</v>
      </c>
      <c r="H417" s="42">
        <f t="shared" si="1"/>
        <v>227</v>
      </c>
    </row>
    <row r="418" ht="22.5" customHeight="1">
      <c r="B418" s="42" t="str">
        <f>IFERROR(__xludf.DUMMYFUNCTION("""COMPUTED_VALUE"""),"K/27/191124/2")</f>
        <v>K/27/191124/2</v>
      </c>
      <c r="C418" s="42" t="str">
        <f>IFERROR(__xludf.DUMMYFUNCTION("""COMPUTED_VALUE"""),"M.1003/GUNUNG AGUNG-SEKARANG;M.1012/SEGALA MIDER-DAHULU")</f>
        <v>M.1003/GUNUNG AGUNG-SEKARANG;M.1012/SEGALA MIDER-DAHULU</v>
      </c>
      <c r="D418" s="42" t="str">
        <f>IFERROR(__xludf.DUMMYFUNCTION("""COMPUTED_VALUE"""),"David")</f>
        <v>David</v>
      </c>
      <c r="E418" s="42" t="str">
        <f>IFERROR(__xludf.DUMMYFUNCTION("""COMPUTED_VALUE"""),"PROSES")</f>
        <v>PROSES</v>
      </c>
      <c r="F418" s="48" t="str">
        <f>IFERROR(__xludf.DUMMYFUNCTION("""COMPUTED_VALUE"""),"")</f>
        <v/>
      </c>
      <c r="G418" s="42" t="str">
        <f>IFERROR(__xludf.DUMMYFUNCTION("""COMPUTED_VALUE"""),"KEWARISAN")</f>
        <v>KEWARISAN</v>
      </c>
      <c r="H418" s="42">
        <f t="shared" si="1"/>
        <v>227</v>
      </c>
    </row>
    <row r="419" ht="22.5" customHeight="1">
      <c r="B419" s="42" t="str">
        <f>IFERROR(__xludf.DUMMYFUNCTION("""COMPUTED_VALUE"""),"L/39/191124/1")</f>
        <v>L/39/191124/1</v>
      </c>
      <c r="C419" s="42" t="str">
        <f>IFERROR(__xludf.DUMMYFUNCTION("""COMPUTED_VALUE"""),"HM 3180/KOTA BARU (BATAL, Menolak Menjadi Elektronik)")</f>
        <v>HM 3180/KOTA BARU (BATAL, Menolak Menjadi Elektronik)</v>
      </c>
      <c r="D419" s="42" t="str">
        <f>IFERROR(__xludf.DUMMYFUNCTION("""COMPUTED_VALUE"""),"Berry")</f>
        <v>Berry</v>
      </c>
      <c r="E419" s="42" t="str">
        <f>IFERROR(__xludf.DUMMYFUNCTION("""COMPUTED_VALUE"""),"DISERAHKAN")</f>
        <v>DISERAHKAN</v>
      </c>
      <c r="F419" s="48" t="str">
        <f>IFERROR(__xludf.DUMMYFUNCTION("""COMPUTED_VALUE"""),"20/11/2024 15.12")</f>
        <v>20/11/2024 15.12</v>
      </c>
      <c r="G419" s="42" t="str">
        <f>IFERROR(__xludf.DUMMYFUNCTION("""COMPUTED_VALUE"""),"ROYA")</f>
        <v>ROYA</v>
      </c>
      <c r="H419" s="42">
        <f t="shared" si="1"/>
        <v>228</v>
      </c>
    </row>
    <row r="420" ht="22.5" customHeight="1">
      <c r="B420" s="42" t="str">
        <f>IFERROR(__xludf.DUMMYFUNCTION("""COMPUTED_VALUE"""),"K/40/191124/1")</f>
        <v>K/40/191124/1</v>
      </c>
      <c r="C420" s="42" t="str">
        <f>IFERROR(__xludf.DUMMYFUNCTION("""COMPUTED_VALUE"""),"M. 10206/ Segala Mider")</f>
        <v>M. 10206/ Segala Mider</v>
      </c>
      <c r="D420" s="42" t="str">
        <f>IFERROR(__xludf.DUMMYFUNCTION("""COMPUTED_VALUE"""),"Berry")</f>
        <v>Berry</v>
      </c>
      <c r="E420" s="42" t="str">
        <f>IFERROR(__xludf.DUMMYFUNCTION("""COMPUTED_VALUE"""),"DISERAHKAN")</f>
        <v>DISERAHKAN</v>
      </c>
      <c r="F420" s="48" t="str">
        <f>IFERROR(__xludf.DUMMYFUNCTION("""COMPUTED_VALUE"""),"20/11/2024 15.12")</f>
        <v>20/11/2024 15.12</v>
      </c>
      <c r="G420" s="42" t="str">
        <f>IFERROR(__xludf.DUMMYFUNCTION("""COMPUTED_VALUE"""),"BN Waris")</f>
        <v>BN Waris</v>
      </c>
      <c r="H420" s="42">
        <f t="shared" si="1"/>
        <v>229</v>
      </c>
    </row>
    <row r="421" ht="22.5" customHeight="1">
      <c r="B421" s="42" t="str">
        <f>IFERROR(__xludf.DUMMYFUNCTION("""COMPUTED_VALUE"""),"K/41/191124/2")</f>
        <v>K/41/191124/2</v>
      </c>
      <c r="C421" s="42" t="str">
        <f>IFERROR(__xludf.DUMMYFUNCTION("""COMPUTED_VALUE"""),"M. 14241/ Sukarame")</f>
        <v>M. 14241/ Sukarame</v>
      </c>
      <c r="D421" s="42" t="str">
        <f>IFERROR(__xludf.DUMMYFUNCTION("""COMPUTED_VALUE"""),"Berry")</f>
        <v>Berry</v>
      </c>
      <c r="E421" s="42" t="str">
        <f>IFERROR(__xludf.DUMMYFUNCTION("""COMPUTED_VALUE"""),"DISERAHKAN")</f>
        <v>DISERAHKAN</v>
      </c>
      <c r="F421" s="48" t="str">
        <f>IFERROR(__xludf.DUMMYFUNCTION("""COMPUTED_VALUE"""),"20/11/2024 15.12")</f>
        <v>20/11/2024 15.12</v>
      </c>
      <c r="G421" s="42" t="str">
        <f>IFERROR(__xludf.DUMMYFUNCTION("""COMPUTED_VALUE"""),"Roya")</f>
        <v>Roya</v>
      </c>
      <c r="H421" s="42">
        <f t="shared" si="1"/>
        <v>230</v>
      </c>
    </row>
    <row r="422" ht="22.5" customHeight="1">
      <c r="B422" s="42" t="str">
        <f>IFERROR(__xludf.DUMMYFUNCTION("""COMPUTED_VALUE"""),"K/34/191124/1")</f>
        <v>K/34/191124/1</v>
      </c>
      <c r="C422" s="42" t="str">
        <f>IFERROR(__xludf.DUMMYFUNCTION("""COMPUTED_VALUE"""),"M. 11038/ Jagabaya II")</f>
        <v>M. 11038/ Jagabaya II</v>
      </c>
      <c r="D422" s="42"/>
      <c r="E422" s="42"/>
      <c r="F422" s="48" t="str">
        <f>IFERROR(__xludf.DUMMYFUNCTION("""COMPUTED_VALUE"""),"")</f>
        <v/>
      </c>
      <c r="G422" s="42" t="str">
        <f>IFERROR(__xludf.DUMMYFUNCTION("""COMPUTED_VALUE"""),"SKPT LELANG")</f>
        <v>SKPT LELANG</v>
      </c>
      <c r="H422" s="42">
        <f t="shared" si="1"/>
        <v>230</v>
      </c>
    </row>
    <row r="423" ht="22.5" customHeight="1">
      <c r="B423" s="42" t="str">
        <f>IFERROR(__xludf.DUMMYFUNCTION("""COMPUTED_VALUE"""),"K/38/191124/5")</f>
        <v>K/38/191124/5</v>
      </c>
      <c r="C423" s="42" t="str">
        <f>IFERROR(__xludf.DUMMYFUNCTION("""COMPUTED_VALUE"""),"M. 1101/ Sumur Batu")</f>
        <v>M. 1101/ Sumur Batu</v>
      </c>
      <c r="D423" s="42"/>
      <c r="E423" s="42"/>
      <c r="F423" s="48" t="str">
        <f>IFERROR(__xludf.DUMMYFUNCTION("""COMPUTED_VALUE"""),"")</f>
        <v/>
      </c>
      <c r="G423" s="42" t="str">
        <f>IFERROR(__xludf.DUMMYFUNCTION("""COMPUTED_VALUE"""),"SKPT LELANG")</f>
        <v>SKPT LELANG</v>
      </c>
      <c r="H423" s="42">
        <f t="shared" si="1"/>
        <v>230</v>
      </c>
    </row>
    <row r="424" ht="22.5" customHeight="1">
      <c r="B424" s="42" t="str">
        <f>IFERROR(__xludf.DUMMYFUNCTION("""COMPUTED_VALUE"""),"K/44/191124/2")</f>
        <v>K/44/191124/2</v>
      </c>
      <c r="C424" s="42" t="str">
        <f>IFERROR(__xludf.DUMMYFUNCTION("""COMPUTED_VALUE"""),"M.220/BATU PUTU")</f>
        <v>M.220/BATU PUTU</v>
      </c>
      <c r="D424" s="42" t="str">
        <f>IFERROR(__xludf.DUMMYFUNCTION("""COMPUTED_VALUE"""),"Berry")</f>
        <v>Berry</v>
      </c>
      <c r="E424" s="42" t="str">
        <f>IFERROR(__xludf.DUMMYFUNCTION("""COMPUTED_VALUE"""),"DISERAHKAN")</f>
        <v>DISERAHKAN</v>
      </c>
      <c r="F424" s="48" t="str">
        <f>IFERROR(__xludf.DUMMYFUNCTION("""COMPUTED_VALUE"""),"20/11/2024 15.12")</f>
        <v>20/11/2024 15.12</v>
      </c>
      <c r="G424" s="42" t="str">
        <f>IFERROR(__xludf.DUMMYFUNCTION("""COMPUTED_VALUE"""),"KEWARISAN")</f>
        <v>KEWARISAN</v>
      </c>
      <c r="H424" s="42">
        <f t="shared" si="1"/>
        <v>231</v>
      </c>
    </row>
    <row r="425" ht="22.5" customHeight="1">
      <c r="B425" s="42" t="str">
        <f>IFERROR(__xludf.DUMMYFUNCTION("""COMPUTED_VALUE"""),"L/45/191124/1")</f>
        <v>L/45/191124/1</v>
      </c>
      <c r="C425" s="42" t="str">
        <f>IFERROR(__xludf.DUMMYFUNCTION("""COMPUTED_VALUE"""),"HM 13671/KEDAMAIAN")</f>
        <v>HM 13671/KEDAMAIAN</v>
      </c>
      <c r="D425" s="42" t="str">
        <f>IFERROR(__xludf.DUMMYFUNCTION("""COMPUTED_VALUE"""),"Berry")</f>
        <v>Berry</v>
      </c>
      <c r="E425" s="42" t="str">
        <f>IFERROR(__xludf.DUMMYFUNCTION("""COMPUTED_VALUE"""),"DISERAHKAN")</f>
        <v>DISERAHKAN</v>
      </c>
      <c r="F425" s="48" t="str">
        <f>IFERROR(__xludf.DUMMYFUNCTION("""COMPUTED_VALUE"""),"26/11/2024 12.03")</f>
        <v>26/11/2024 12.03</v>
      </c>
      <c r="G425" s="42" t="str">
        <f>IFERROR(__xludf.DUMMYFUNCTION("""COMPUTED_VALUE"""),"ROYA")</f>
        <v>ROYA</v>
      </c>
      <c r="H425" s="42">
        <f t="shared" si="1"/>
        <v>232</v>
      </c>
    </row>
    <row r="426" ht="22.5" customHeight="1">
      <c r="B426" s="42" t="str">
        <f>IFERROR(__xludf.DUMMYFUNCTION("""COMPUTED_VALUE"""),"L/51/191124/1")</f>
        <v>L/51/191124/1</v>
      </c>
      <c r="C426" s="42" t="str">
        <f>IFERROR(__xludf.DUMMYFUNCTION("""COMPUTED_VALUE"""),"HM 360/PESAWAHAN")</f>
        <v>HM 360/PESAWAHAN</v>
      </c>
      <c r="D426" s="42" t="str">
        <f>IFERROR(__xludf.DUMMYFUNCTION("""COMPUTED_VALUE"""),"Berry")</f>
        <v>Berry</v>
      </c>
      <c r="E426" s="42" t="str">
        <f>IFERROR(__xludf.DUMMYFUNCTION("""COMPUTED_VALUE"""),"DISERAHKAN BT")</f>
        <v>DISERAHKAN BT</v>
      </c>
      <c r="F426" s="48" t="str">
        <f>IFERROR(__xludf.DUMMYFUNCTION("""COMPUTED_VALUE"""),"20/11/2024 15.12")</f>
        <v>20/11/2024 15.12</v>
      </c>
      <c r="G426" s="42" t="str">
        <f>IFERROR(__xludf.DUMMYFUNCTION("""COMPUTED_VALUE"""),"ROYA")</f>
        <v>ROYA</v>
      </c>
      <c r="H426" s="42">
        <f t="shared" si="1"/>
        <v>232</v>
      </c>
    </row>
    <row r="427" ht="22.5" customHeight="1">
      <c r="B427" s="42" t="str">
        <f>IFERROR(__xludf.DUMMYFUNCTION("""COMPUTED_VALUE"""),"K/50/191124/2")</f>
        <v>K/50/191124/2</v>
      </c>
      <c r="C427" s="42" t="str">
        <f>IFERROR(__xludf.DUMMYFUNCTION("""COMPUTED_VALUE"""),"M.44/BILABONG JAYA")</f>
        <v>M.44/BILABONG JAYA</v>
      </c>
      <c r="D427" s="42" t="str">
        <f>IFERROR(__xludf.DUMMYFUNCTION("""COMPUTED_VALUE"""),"Berry")</f>
        <v>Berry</v>
      </c>
      <c r="E427" s="42" t="str">
        <f>IFERROR(__xludf.DUMMYFUNCTION("""COMPUTED_VALUE"""),"DISERAHKAN")</f>
        <v>DISERAHKAN</v>
      </c>
      <c r="F427" s="48" t="str">
        <f>IFERROR(__xludf.DUMMYFUNCTION("""COMPUTED_VALUE"""),"20/11/2024 15.12")</f>
        <v>20/11/2024 15.12</v>
      </c>
      <c r="G427" s="42" t="str">
        <f>IFERROR(__xludf.DUMMYFUNCTION("""COMPUTED_VALUE"""),"BN JUAL BELI")</f>
        <v>BN JUAL BELI</v>
      </c>
      <c r="H427" s="42">
        <f t="shared" si="1"/>
        <v>233</v>
      </c>
    </row>
    <row r="428" ht="22.5" customHeight="1">
      <c r="B428" s="42" t="str">
        <f>IFERROR(__xludf.DUMMYFUNCTION("""COMPUTED_VALUE"""),"L/52/191124/1")</f>
        <v>L/52/191124/1</v>
      </c>
      <c r="C428" s="42" t="str">
        <f>IFERROR(__xludf.DUMMYFUNCTION("""COMPUTED_VALUE"""),"HM 9009/SUKABUMI")</f>
        <v>HM 9009/SUKABUMI</v>
      </c>
      <c r="D428" s="42" t="str">
        <f>IFERROR(__xludf.DUMMYFUNCTION("""COMPUTED_VALUE"""),"Berry")</f>
        <v>Berry</v>
      </c>
      <c r="E428" s="42" t="str">
        <f>IFERROR(__xludf.DUMMYFUNCTION("""COMPUTED_VALUE"""),"DISERAHKAN")</f>
        <v>DISERAHKAN</v>
      </c>
      <c r="F428" s="48" t="str">
        <f>IFERROR(__xludf.DUMMYFUNCTION("""COMPUTED_VALUE"""),"20/11/2024 15.12")</f>
        <v>20/11/2024 15.12</v>
      </c>
      <c r="G428" s="42" t="str">
        <f>IFERROR(__xludf.DUMMYFUNCTION("""COMPUTED_VALUE"""),"ROYA")</f>
        <v>ROYA</v>
      </c>
      <c r="H428" s="42">
        <f t="shared" si="1"/>
        <v>234</v>
      </c>
    </row>
    <row r="429" ht="22.5" customHeight="1">
      <c r="B429" s="42" t="str">
        <f>IFERROR(__xludf.DUMMYFUNCTION("""COMPUTED_VALUE"""),"K/54/191124/2")</f>
        <v>K/54/191124/2</v>
      </c>
      <c r="C429" s="42" t="str">
        <f>IFERROR(__xludf.DUMMYFUNCTION("""COMPUTED_VALUE"""),"M. 1974/ Jagabaya III")</f>
        <v>M. 1974/ Jagabaya III</v>
      </c>
      <c r="D429" s="42" t="str">
        <f>IFERROR(__xludf.DUMMYFUNCTION("""COMPUTED_VALUE"""),"Berry")</f>
        <v>Berry</v>
      </c>
      <c r="E429" s="42" t="str">
        <f>IFERROR(__xludf.DUMMYFUNCTION("""COMPUTED_VALUE"""),"DISERAHKAN")</f>
        <v>DISERAHKAN</v>
      </c>
      <c r="F429" s="48">
        <f>IFERROR(__xludf.DUMMYFUNCTION("""COMPUTED_VALUE"""),45677.423178125)</f>
        <v>45677.42318</v>
      </c>
      <c r="G429" s="42" t="str">
        <f>IFERROR(__xludf.DUMMYFUNCTION("""COMPUTED_VALUE"""),"BN WARIS")</f>
        <v>BN WARIS</v>
      </c>
      <c r="H429" s="42">
        <f t="shared" si="1"/>
        <v>235</v>
      </c>
    </row>
    <row r="430" ht="22.5" customHeight="1">
      <c r="B430" s="42" t="str">
        <f>IFERROR(__xludf.DUMMYFUNCTION("""COMPUTED_VALUE"""),"K/55/191124/1")</f>
        <v>K/55/191124/1</v>
      </c>
      <c r="C430" s="42" t="str">
        <f>IFERROR(__xludf.DUMMYFUNCTION("""COMPUTED_VALUE"""),"B.725/SUMUR PUTRI")</f>
        <v>B.725/SUMUR PUTRI</v>
      </c>
      <c r="D430" s="42" t="str">
        <f>IFERROR(__xludf.DUMMYFUNCTION("""COMPUTED_VALUE"""),"Berry")</f>
        <v>Berry</v>
      </c>
      <c r="E430" s="42" t="str">
        <f>IFERROR(__xludf.DUMMYFUNCTION("""COMPUTED_VALUE"""),"DISERAHKAN")</f>
        <v>DISERAHKAN</v>
      </c>
      <c r="F430" s="48" t="str">
        <f>IFERROR(__xludf.DUMMYFUNCTION("""COMPUTED_VALUE"""),"20/11/2024 15.12")</f>
        <v>20/11/2024 15.12</v>
      </c>
      <c r="G430" s="42" t="str">
        <f>IFERROR(__xludf.DUMMYFUNCTION("""COMPUTED_VALUE"""),"BN JUAL BELI")</f>
        <v>BN JUAL BELI</v>
      </c>
      <c r="H430" s="42">
        <f t="shared" si="1"/>
        <v>236</v>
      </c>
    </row>
    <row r="431" ht="22.5" customHeight="1">
      <c r="B431" s="42" t="str">
        <f>IFERROR(__xludf.DUMMYFUNCTION("""COMPUTED_VALUE"""),"K/4/201124/1")</f>
        <v>K/4/201124/1</v>
      </c>
      <c r="C431" s="42" t="str">
        <f>IFERROR(__xludf.DUMMYFUNCTION("""COMPUTED_VALUE"""),"M.191/BATU PUTU")</f>
        <v>M.191/BATU PUTU</v>
      </c>
      <c r="D431" s="42" t="str">
        <f>IFERROR(__xludf.DUMMYFUNCTION("""COMPUTED_VALUE"""),"Berry")</f>
        <v>Berry</v>
      </c>
      <c r="E431" s="42" t="str">
        <f>IFERROR(__xludf.DUMMYFUNCTION("""COMPUTED_VALUE"""),"PROSES")</f>
        <v>PROSES</v>
      </c>
      <c r="F431" s="48" t="str">
        <f>IFERROR(__xludf.DUMMYFUNCTION("""COMPUTED_VALUE"""),"")</f>
        <v/>
      </c>
      <c r="G431" s="42" t="str">
        <f>IFERROR(__xludf.DUMMYFUNCTION("""COMPUTED_VALUE"""),"BN JUAL BELI")</f>
        <v>BN JUAL BELI</v>
      </c>
      <c r="H431" s="42">
        <f t="shared" si="1"/>
        <v>236</v>
      </c>
    </row>
    <row r="432" ht="22.5" customHeight="1">
      <c r="B432" s="42" t="str">
        <f>IFERROR(__xludf.DUMMYFUNCTION("""COMPUTED_VALUE"""),"L/5/201124/1")</f>
        <v>L/5/201124/1</v>
      </c>
      <c r="C432" s="42" t="str">
        <f>IFERROR(__xludf.DUMMYFUNCTION("""COMPUTED_VALUE"""),"HM10219/GEDONG MENENG")</f>
        <v>HM10219/GEDONG MENENG</v>
      </c>
      <c r="D432" s="42" t="str">
        <f>IFERROR(__xludf.DUMMYFUNCTION("""COMPUTED_VALUE"""),"Berry")</f>
        <v>Berry</v>
      </c>
      <c r="E432" s="42" t="str">
        <f>IFERROR(__xludf.DUMMYFUNCTION("""COMPUTED_VALUE"""),"PROSES")</f>
        <v>PROSES</v>
      </c>
      <c r="F432" s="48" t="str">
        <f>IFERROR(__xludf.DUMMYFUNCTION("""COMPUTED_VALUE"""),"")</f>
        <v/>
      </c>
      <c r="G432" s="42" t="str">
        <f>IFERROR(__xludf.DUMMYFUNCTION("""COMPUTED_VALUE"""),"BN WARIS")</f>
        <v>BN WARIS</v>
      </c>
      <c r="H432" s="42">
        <f t="shared" si="1"/>
        <v>236</v>
      </c>
    </row>
    <row r="433" ht="22.5" customHeight="1">
      <c r="B433" s="42" t="str">
        <f>IFERROR(__xludf.DUMMYFUNCTION("""COMPUTED_VALUE"""),"L/6/201124/1")</f>
        <v>L/6/201124/1</v>
      </c>
      <c r="C433" s="42" t="str">
        <f>IFERROR(__xludf.DUMMYFUNCTION("""COMPUTED_VALUE"""),"HM 2606/WAY KANDIS")</f>
        <v>HM 2606/WAY KANDIS</v>
      </c>
      <c r="D433" s="42" t="str">
        <f>IFERROR(__xludf.DUMMYFUNCTION("""COMPUTED_VALUE"""),"Berry")</f>
        <v>Berry</v>
      </c>
      <c r="E433" s="42" t="str">
        <f>IFERROR(__xludf.DUMMYFUNCTION("""COMPUTED_VALUE"""),"DISERAHKAN")</f>
        <v>DISERAHKAN</v>
      </c>
      <c r="F433" s="48" t="str">
        <f>IFERROR(__xludf.DUMMYFUNCTION("""COMPUTED_VALUE"""),"21/11/2024 16.19")</f>
        <v>21/11/2024 16.19</v>
      </c>
      <c r="G433" s="42" t="str">
        <f>IFERROR(__xludf.DUMMYFUNCTION("""COMPUTED_VALUE"""),"HM 2606/WAY KANDIS")</f>
        <v>HM 2606/WAY KANDIS</v>
      </c>
      <c r="H433" s="42">
        <f t="shared" si="1"/>
        <v>237</v>
      </c>
    </row>
    <row r="434" ht="22.5" customHeight="1">
      <c r="B434" s="42" t="str">
        <f>IFERROR(__xludf.DUMMYFUNCTION("""COMPUTED_VALUE"""),"K/7/201124/1")</f>
        <v>K/7/201124/1</v>
      </c>
      <c r="C434" s="42" t="str">
        <f>IFERROR(__xludf.DUMMYFUNCTION("""COMPUTED_VALUE"""),"M.487/NUSANTARA PERMAI")</f>
        <v>M.487/NUSANTARA PERMAI</v>
      </c>
      <c r="D434" s="42" t="str">
        <f>IFERROR(__xludf.DUMMYFUNCTION("""COMPUTED_VALUE"""),"Berry")</f>
        <v>Berry</v>
      </c>
      <c r="E434" s="42" t="str">
        <f>IFERROR(__xludf.DUMMYFUNCTION("""COMPUTED_VALUE"""),"PROSES")</f>
        <v>PROSES</v>
      </c>
      <c r="F434" s="48" t="str">
        <f>IFERROR(__xludf.DUMMYFUNCTION("""COMPUTED_VALUE"""),"")</f>
        <v/>
      </c>
      <c r="G434" s="42" t="str">
        <f>IFERROR(__xludf.DUMMYFUNCTION("""COMPUTED_VALUE"""),"BN JUAL BELI")</f>
        <v>BN JUAL BELI</v>
      </c>
      <c r="H434" s="42">
        <f t="shared" si="1"/>
        <v>237</v>
      </c>
    </row>
    <row r="435" ht="22.5" customHeight="1">
      <c r="B435" s="42" t="str">
        <f>IFERROR(__xludf.DUMMYFUNCTION("""COMPUTED_VALUE"""),"K/9/201124/2")</f>
        <v>K/9/201124/2</v>
      </c>
      <c r="C435" s="42" t="str">
        <f>IFERROR(__xludf.DUMMYFUNCTION("""COMPUTED_VALUE"""),"B. 2679/ Campang Raya")</f>
        <v>B. 2679/ Campang Raya</v>
      </c>
      <c r="D435" s="42" t="str">
        <f>IFERROR(__xludf.DUMMYFUNCTION("""COMPUTED_VALUE"""),"Berry")</f>
        <v>Berry</v>
      </c>
      <c r="E435" s="42" t="str">
        <f>IFERROR(__xludf.DUMMYFUNCTION("""COMPUTED_VALUE"""),"DISERAHKAN")</f>
        <v>DISERAHKAN</v>
      </c>
      <c r="F435" s="48" t="str">
        <f>IFERROR(__xludf.DUMMYFUNCTION("""COMPUTED_VALUE"""),"21/11/2024 16.20")</f>
        <v>21/11/2024 16.20</v>
      </c>
      <c r="G435" s="42" t="str">
        <f>IFERROR(__xludf.DUMMYFUNCTION("""COMPUTED_VALUE"""),"BN Jual Beli")</f>
        <v>BN Jual Beli</v>
      </c>
      <c r="H435" s="42">
        <f t="shared" si="1"/>
        <v>238</v>
      </c>
    </row>
    <row r="436" ht="22.5" customHeight="1">
      <c r="B436" s="42" t="str">
        <f>IFERROR(__xludf.DUMMYFUNCTION("""COMPUTED_VALUE"""),"K/11/201124/1")</f>
        <v>K/11/201124/1</v>
      </c>
      <c r="C436" s="42" t="str">
        <f>IFERROR(__xludf.DUMMYFUNCTION("""COMPUTED_VALUE"""),"B. 312/ Pematang Wangi-sekarang; B. 201/ Tanjung Seneng")</f>
        <v>B. 312/ Pematang Wangi-sekarang; B. 201/ Tanjung Seneng</v>
      </c>
      <c r="D436" s="42" t="str">
        <f>IFERROR(__xludf.DUMMYFUNCTION("""COMPUTED_VALUE"""),"Berry")</f>
        <v>Berry</v>
      </c>
      <c r="E436" s="42" t="str">
        <f>IFERROR(__xludf.DUMMYFUNCTION("""COMPUTED_VALUE"""),"PROSES")</f>
        <v>PROSES</v>
      </c>
      <c r="F436" s="48" t="str">
        <f>IFERROR(__xludf.DUMMYFUNCTION("""COMPUTED_VALUE"""),"")</f>
        <v/>
      </c>
      <c r="G436" s="42" t="str">
        <f>IFERROR(__xludf.DUMMYFUNCTION("""COMPUTED_VALUE"""),"PERUBAHAN HAK")</f>
        <v>PERUBAHAN HAK</v>
      </c>
      <c r="H436" s="42">
        <f t="shared" si="1"/>
        <v>238</v>
      </c>
    </row>
    <row r="437" ht="22.5" customHeight="1">
      <c r="B437" s="42" t="str">
        <f>IFERROR(__xludf.DUMMYFUNCTION("""COMPUTED_VALUE"""),"K/21/201124/2")</f>
        <v>K/21/201124/2</v>
      </c>
      <c r="C437" s="42" t="str">
        <f>IFERROR(__xludf.DUMMYFUNCTION("""COMPUTED_VALUE"""),"M. 1280/ Kangkung")</f>
        <v>M. 1280/ Kangkung</v>
      </c>
      <c r="D437" s="42"/>
      <c r="E437" s="42"/>
      <c r="F437" s="48" t="str">
        <f>IFERROR(__xludf.DUMMYFUNCTION("""COMPUTED_VALUE"""),"")</f>
        <v/>
      </c>
      <c r="G437" s="42" t="str">
        <f>IFERROR(__xludf.DUMMYFUNCTION("""COMPUTED_VALUE"""),"SKPT LELANG")</f>
        <v>SKPT LELANG</v>
      </c>
      <c r="H437" s="42">
        <f t="shared" si="1"/>
        <v>238</v>
      </c>
    </row>
    <row r="438" ht="22.5" customHeight="1">
      <c r="B438" s="42" t="str">
        <f>IFERROR(__xludf.DUMMYFUNCTION("""COMPUTED_VALUE"""),"L/22/201124/1")</f>
        <v>L/22/201124/1</v>
      </c>
      <c r="C438" s="42" t="str">
        <f>IFERROR(__xludf.DUMMYFUNCTION("""COMPUTED_VALUE"""),"HM 10385/KEDAMAIAN")</f>
        <v>HM 10385/KEDAMAIAN</v>
      </c>
      <c r="D438" s="42" t="str">
        <f>IFERROR(__xludf.DUMMYFUNCTION("""COMPUTED_VALUE"""),"Berry")</f>
        <v>Berry</v>
      </c>
      <c r="E438" s="42" t="str">
        <f>IFERROR(__xludf.DUMMYFUNCTION("""COMPUTED_VALUE"""),"DISERAHKAN")</f>
        <v>DISERAHKAN</v>
      </c>
      <c r="F438" s="48" t="str">
        <f>IFERROR(__xludf.DUMMYFUNCTION("""COMPUTED_VALUE"""),"21/11/2024 16.22")</f>
        <v>21/11/2024 16.22</v>
      </c>
      <c r="G438" s="42" t="str">
        <f>IFERROR(__xludf.DUMMYFUNCTION("""COMPUTED_VALUE"""),"SERTIPIKAT HILANG")</f>
        <v>SERTIPIKAT HILANG</v>
      </c>
      <c r="H438" s="42">
        <f t="shared" si="1"/>
        <v>239</v>
      </c>
    </row>
    <row r="439" ht="22.5" customHeight="1">
      <c r="B439" s="42" t="str">
        <f>IFERROR(__xludf.DUMMYFUNCTION("""COMPUTED_VALUE"""),"K/23/201124/1")</f>
        <v>K/23/201124/1</v>
      </c>
      <c r="C439" s="42" t="str">
        <f>IFERROR(__xludf.DUMMYFUNCTION("""COMPUTED_VALUE"""),"M. 1432/ Sumur Putri")</f>
        <v>M. 1432/ Sumur Putri</v>
      </c>
      <c r="D439" s="42" t="str">
        <f>IFERROR(__xludf.DUMMYFUNCTION("""COMPUTED_VALUE"""),"Berry")</f>
        <v>Berry</v>
      </c>
      <c r="E439" s="42" t="str">
        <f>IFERROR(__xludf.DUMMYFUNCTION("""COMPUTED_VALUE"""),"DISERAHKAN")</f>
        <v>DISERAHKAN</v>
      </c>
      <c r="F439" s="48" t="str">
        <f>IFERROR(__xludf.DUMMYFUNCTION("""COMPUTED_VALUE"""),"21/11/2024 16.23")</f>
        <v>21/11/2024 16.23</v>
      </c>
      <c r="G439" s="42" t="str">
        <f>IFERROR(__xludf.DUMMYFUNCTION("""COMPUTED_VALUE"""),"BN Jual Beli")</f>
        <v>BN Jual Beli</v>
      </c>
      <c r="H439" s="42">
        <f t="shared" si="1"/>
        <v>240</v>
      </c>
    </row>
    <row r="440" ht="22.5" customHeight="1">
      <c r="B440" s="42" t="str">
        <f>IFERROR(__xludf.DUMMYFUNCTION("""COMPUTED_VALUE"""),"K/24/201124/1")</f>
        <v>K/24/201124/1</v>
      </c>
      <c r="C440" s="42" t="str">
        <f>IFERROR(__xludf.DUMMYFUNCTION("""COMPUTED_VALUE"""),"M. 1423/ Kuripan")</f>
        <v>M. 1423/ Kuripan</v>
      </c>
      <c r="D440" s="42" t="str">
        <f>IFERROR(__xludf.DUMMYFUNCTION("""COMPUTED_VALUE"""),"David")</f>
        <v>David</v>
      </c>
      <c r="E440" s="42" t="str">
        <f>IFERROR(__xludf.DUMMYFUNCTION("""COMPUTED_VALUE"""),"DISERAHKAN")</f>
        <v>DISERAHKAN</v>
      </c>
      <c r="F440" s="48" t="str">
        <f>IFERROR(__xludf.DUMMYFUNCTION("""COMPUTED_VALUE"""),"21/11/2024 16.23")</f>
        <v>21/11/2024 16.23</v>
      </c>
      <c r="G440" s="42" t="str">
        <f>IFERROR(__xludf.DUMMYFUNCTION("""COMPUTED_VALUE"""),"BN WARIS")</f>
        <v>BN WARIS</v>
      </c>
      <c r="H440" s="42">
        <f t="shared" si="1"/>
        <v>241</v>
      </c>
    </row>
    <row r="441" ht="22.5" customHeight="1">
      <c r="B441" s="42" t="str">
        <f>IFERROR(__xludf.DUMMYFUNCTION("""COMPUTED_VALUE"""),"K/29/201124/2")</f>
        <v>K/29/201124/2</v>
      </c>
      <c r="C441" s="42" t="str">
        <f>IFERROR(__xludf.DUMMYFUNCTION("""COMPUTED_VALUE"""),"M.150/GEDONG AIR")</f>
        <v>M.150/GEDONG AIR</v>
      </c>
      <c r="D441" s="42" t="str">
        <f>IFERROR(__xludf.DUMMYFUNCTION("""COMPUTED_VALUE"""),"David")</f>
        <v>David</v>
      </c>
      <c r="E441" s="42" t="str">
        <f>IFERROR(__xludf.DUMMYFUNCTION("""COMPUTED_VALUE"""),"DISERAHKAN")</f>
        <v>DISERAHKAN</v>
      </c>
      <c r="F441" s="48" t="str">
        <f>IFERROR(__xludf.DUMMYFUNCTION("""COMPUTED_VALUE"""),"26/11/2024 12.03")</f>
        <v>26/11/2024 12.03</v>
      </c>
      <c r="G441" s="42" t="str">
        <f>IFERROR(__xludf.DUMMYFUNCTION("""COMPUTED_VALUE"""),"BN JUAL BELI")</f>
        <v>BN JUAL BELI</v>
      </c>
      <c r="H441" s="42">
        <f t="shared" si="1"/>
        <v>242</v>
      </c>
    </row>
    <row r="442" ht="22.5" customHeight="1">
      <c r="B442" s="42" t="str">
        <f>IFERROR(__xludf.DUMMYFUNCTION("""COMPUTED_VALUE"""),"K/33/201124/1")</f>
        <v>K/33/201124/1</v>
      </c>
      <c r="C442" s="42" t="str">
        <f>IFERROR(__xludf.DUMMYFUNCTION("""COMPUTED_VALUE"""),"M.6409/GUNUNG SULAH")</f>
        <v>M.6409/GUNUNG SULAH</v>
      </c>
      <c r="D442" s="42" t="str">
        <f>IFERROR(__xludf.DUMMYFUNCTION("""COMPUTED_VALUE"""),"David")</f>
        <v>David</v>
      </c>
      <c r="E442" s="42" t="str">
        <f>IFERROR(__xludf.DUMMYFUNCTION("""COMPUTED_VALUE"""),"DISERAHKAN")</f>
        <v>DISERAHKAN</v>
      </c>
      <c r="F442" s="48" t="str">
        <f>IFERROR(__xludf.DUMMYFUNCTION("""COMPUTED_VALUE"""),"21/11/2024 16.25")</f>
        <v>21/11/2024 16.25</v>
      </c>
      <c r="G442" s="42" t="str">
        <f>IFERROR(__xludf.DUMMYFUNCTION("""COMPUTED_VALUE"""),"BN JUAL BELI")</f>
        <v>BN JUAL BELI</v>
      </c>
      <c r="H442" s="42">
        <f t="shared" si="1"/>
        <v>243</v>
      </c>
    </row>
    <row r="443" ht="22.5" customHeight="1">
      <c r="B443" s="42" t="str">
        <f>IFERROR(__xludf.DUMMYFUNCTION("""COMPUTED_VALUE"""),"K/34/201124/2")</f>
        <v>K/34/201124/2</v>
      </c>
      <c r="C443" s="42" t="str">
        <f>IFERROR(__xludf.DUMMYFUNCTION("""COMPUTED_VALUE"""),"M.6410/GUNUNG SULAH")</f>
        <v>M.6410/GUNUNG SULAH</v>
      </c>
      <c r="D443" s="42" t="str">
        <f>IFERROR(__xludf.DUMMYFUNCTION("""COMPUTED_VALUE"""),"David")</f>
        <v>David</v>
      </c>
      <c r="E443" s="42" t="str">
        <f>IFERROR(__xludf.DUMMYFUNCTION("""COMPUTED_VALUE"""),"DISERAHKAN")</f>
        <v>DISERAHKAN</v>
      </c>
      <c r="F443" s="48" t="str">
        <f>IFERROR(__xludf.DUMMYFUNCTION("""COMPUTED_VALUE"""),"21/11/2024 16.25")</f>
        <v>21/11/2024 16.25</v>
      </c>
      <c r="G443" s="42" t="str">
        <f>IFERROR(__xludf.DUMMYFUNCTION("""COMPUTED_VALUE"""),"BN JUAL BELI")</f>
        <v>BN JUAL BELI</v>
      </c>
      <c r="H443" s="42">
        <f t="shared" si="1"/>
        <v>244</v>
      </c>
    </row>
    <row r="444" ht="22.5" customHeight="1">
      <c r="B444" s="42" t="str">
        <f>IFERROR(__xludf.DUMMYFUNCTION("""COMPUTED_VALUE"""),"K/39/201124/1")</f>
        <v>K/39/201124/1</v>
      </c>
      <c r="C444" s="42" t="str">
        <f>IFERROR(__xludf.DUMMYFUNCTION("""COMPUTED_VALUE"""),"M.352/TANJUNG SENENG")</f>
        <v>M.352/TANJUNG SENENG</v>
      </c>
      <c r="D444" s="42" t="str">
        <f>IFERROR(__xludf.DUMMYFUNCTION("""COMPUTED_VALUE"""),"David")</f>
        <v>David</v>
      </c>
      <c r="E444" s="42" t="str">
        <f>IFERROR(__xludf.DUMMYFUNCTION("""COMPUTED_VALUE"""),"DISERAHKAN")</f>
        <v>DISERAHKAN</v>
      </c>
      <c r="F444" s="48" t="str">
        <f>IFERROR(__xludf.DUMMYFUNCTION("""COMPUTED_VALUE"""),"26/11/2024 12.03")</f>
        <v>26/11/2024 12.03</v>
      </c>
      <c r="G444" s="42" t="str">
        <f>IFERROR(__xludf.DUMMYFUNCTION("""COMPUTED_VALUE"""),"PEMECAHAN")</f>
        <v>PEMECAHAN</v>
      </c>
      <c r="H444" s="42">
        <f t="shared" si="1"/>
        <v>245</v>
      </c>
    </row>
    <row r="445" ht="22.5" customHeight="1">
      <c r="B445" s="42" t="str">
        <f>IFERROR(__xludf.DUMMYFUNCTION("""COMPUTED_VALUE"""),"K/42/201124/1")</f>
        <v>K/42/201124/1</v>
      </c>
      <c r="C445" s="42" t="str">
        <f>IFERROR(__xludf.DUMMYFUNCTION("""COMPUTED_VALUE"""),"M.1458/PANJANG SELATAN")</f>
        <v>M.1458/PANJANG SELATAN</v>
      </c>
      <c r="D445" s="42" t="str">
        <f>IFERROR(__xludf.DUMMYFUNCTION("""COMPUTED_VALUE"""),"David")</f>
        <v>David</v>
      </c>
      <c r="E445" s="42" t="str">
        <f>IFERROR(__xludf.DUMMYFUNCTION("""COMPUTED_VALUE"""),"DISERAHKAN")</f>
        <v>DISERAHKAN</v>
      </c>
      <c r="F445" s="48" t="str">
        <f>IFERROR(__xludf.DUMMYFUNCTION("""COMPUTED_VALUE"""),"21/11/2024 16.27")</f>
        <v>21/11/2024 16.27</v>
      </c>
      <c r="G445" s="42" t="str">
        <f>IFERROR(__xludf.DUMMYFUNCTION("""COMPUTED_VALUE"""),"KEWARISAN")</f>
        <v>KEWARISAN</v>
      </c>
      <c r="H445" s="42">
        <f t="shared" si="1"/>
        <v>246</v>
      </c>
    </row>
    <row r="446" ht="22.5" customHeight="1">
      <c r="B446" s="42" t="str">
        <f>IFERROR(__xludf.DUMMYFUNCTION("""COMPUTED_VALUE"""),"K/44/201124/1")</f>
        <v>K/44/201124/1</v>
      </c>
      <c r="C446" s="42" t="str">
        <f>IFERROR(__xludf.DUMMYFUNCTION("""COMPUTED_VALUE"""),"NIBEL B.2431/SUMBER AGUNG")</f>
        <v>NIBEL B.2431/SUMBER AGUNG</v>
      </c>
      <c r="D446" s="42"/>
      <c r="E446" s="42"/>
      <c r="F446" s="48" t="str">
        <f>IFERROR(__xludf.DUMMYFUNCTION("""COMPUTED_VALUE"""),"")</f>
        <v/>
      </c>
      <c r="G446" s="42" t="str">
        <f>IFERROR(__xludf.DUMMYFUNCTION("""COMPUTED_VALUE"""),"PENINGKATAN")</f>
        <v>PENINGKATAN</v>
      </c>
      <c r="H446" s="42">
        <f t="shared" si="1"/>
        <v>246</v>
      </c>
    </row>
    <row r="447" ht="22.5" customHeight="1">
      <c r="B447" s="42" t="str">
        <f>IFERROR(__xludf.DUMMYFUNCTION("""COMPUTED_VALUE"""),"L/3/211124/1")</f>
        <v>L/3/211124/1</v>
      </c>
      <c r="C447" s="42" t="str">
        <f>IFERROR(__xludf.DUMMYFUNCTION("""COMPUTED_VALUE"""),"HM 1926/PENGAJARAN")</f>
        <v>HM 1926/PENGAJARAN</v>
      </c>
      <c r="D447" s="42" t="str">
        <f>IFERROR(__xludf.DUMMYFUNCTION("""COMPUTED_VALUE"""),"David")</f>
        <v>David</v>
      </c>
      <c r="E447" s="42" t="str">
        <f>IFERROR(__xludf.DUMMYFUNCTION("""COMPUTED_VALUE"""),"DISERAHKAN")</f>
        <v>DISERAHKAN</v>
      </c>
      <c r="F447" s="48" t="str">
        <f>IFERROR(__xludf.DUMMYFUNCTION("""COMPUTED_VALUE"""),"25/11/2024 11.02")</f>
        <v>25/11/2024 11.02</v>
      </c>
      <c r="G447" s="42" t="str">
        <f>IFERROR(__xludf.DUMMYFUNCTION("""COMPUTED_VALUE"""),"ROYA")</f>
        <v>ROYA</v>
      </c>
      <c r="H447" s="42">
        <f t="shared" si="1"/>
        <v>247</v>
      </c>
    </row>
    <row r="448" ht="22.5" customHeight="1">
      <c r="B448" s="42" t="str">
        <f>IFERROR(__xludf.DUMMYFUNCTION("""COMPUTED_VALUE"""),"K/5/211124/2")</f>
        <v>K/5/211124/2</v>
      </c>
      <c r="C448" s="42" t="str">
        <f>IFERROR(__xludf.DUMMYFUNCTION("""COMPUTED_VALUE"""),"M. 1010/ Jagabaya III")</f>
        <v>M. 1010/ Jagabaya III</v>
      </c>
      <c r="D448" s="42" t="str">
        <f>IFERROR(__xludf.DUMMYFUNCTION("""COMPUTED_VALUE"""),"David")</f>
        <v>David</v>
      </c>
      <c r="E448" s="42" t="str">
        <f>IFERROR(__xludf.DUMMYFUNCTION("""COMPUTED_VALUE"""),"DISERAHKAN")</f>
        <v>DISERAHKAN</v>
      </c>
      <c r="F448" s="48" t="str">
        <f>IFERROR(__xludf.DUMMYFUNCTION("""COMPUTED_VALUE"""),"26/11/2024 12.03")</f>
        <v>26/11/2024 12.03</v>
      </c>
      <c r="G448" s="42" t="str">
        <f>IFERROR(__xludf.DUMMYFUNCTION("""COMPUTED_VALUE"""),"BN Jual Beli")</f>
        <v>BN Jual Beli</v>
      </c>
      <c r="H448" s="42">
        <f t="shared" si="1"/>
        <v>248</v>
      </c>
    </row>
    <row r="449" ht="22.5" customHeight="1">
      <c r="B449" s="42" t="str">
        <f>IFERROR(__xludf.DUMMYFUNCTION("""COMPUTED_VALUE"""),"K/7/211124/1")</f>
        <v>K/7/211124/1</v>
      </c>
      <c r="C449" s="42" t="str">
        <f>IFERROR(__xludf.DUMMYFUNCTION("""COMPUTED_VALUE"""),"Nibel 6217.3/ TANJUNG KARANG")</f>
        <v>Nibel 6217.3/ TANJUNG KARANG</v>
      </c>
      <c r="D449" s="42"/>
      <c r="E449" s="42"/>
      <c r="F449" s="48" t="str">
        <f>IFERROR(__xludf.DUMMYFUNCTION("""COMPUTED_VALUE"""),"")</f>
        <v/>
      </c>
      <c r="G449" s="42" t="str">
        <f>IFERROR(__xludf.DUMMYFUNCTION("""COMPUTED_VALUE"""),"PERPANJANGAN RUMAH SUSUN")</f>
        <v>PERPANJANGAN RUMAH SUSUN</v>
      </c>
      <c r="H449" s="42">
        <f t="shared" si="1"/>
        <v>248</v>
      </c>
    </row>
    <row r="450" ht="22.5" customHeight="1">
      <c r="B450" s="42" t="str">
        <f>IFERROR(__xludf.DUMMYFUNCTION("""COMPUTED_VALUE"""),"L/9/211124/1")</f>
        <v>L/9/211124/1</v>
      </c>
      <c r="C450" s="42" t="str">
        <f>IFERROR(__xludf.DUMMYFUNCTION("""COMPUTED_VALUE"""),"HGB 94/RAJABASA")</f>
        <v>HGB 94/RAJABASA</v>
      </c>
      <c r="D450" s="42"/>
      <c r="E450" s="42"/>
      <c r="F450" s="48" t="str">
        <f>IFERROR(__xludf.DUMMYFUNCTION("""COMPUTED_VALUE"""),"")</f>
        <v/>
      </c>
      <c r="G450" s="42" t="str">
        <f>IFERROR(__xludf.DUMMYFUNCTION("""COMPUTED_VALUE"""),"SKPT INFORMASI")</f>
        <v>SKPT INFORMASI</v>
      </c>
      <c r="H450" s="42">
        <f t="shared" si="1"/>
        <v>248</v>
      </c>
    </row>
    <row r="451" ht="22.5" customHeight="1">
      <c r="B451" s="42" t="str">
        <f>IFERROR(__xludf.DUMMYFUNCTION("""COMPUTED_VALUE"""),"L/10/211124/1")</f>
        <v>L/10/211124/1</v>
      </c>
      <c r="C451" s="42" t="str">
        <f>IFERROR(__xludf.DUMMYFUNCTION("""COMPUTED_VALUE"""),"HM 8969/GEDUNG MENENG")</f>
        <v>HM 8969/GEDUNG MENENG</v>
      </c>
      <c r="D451" s="42" t="str">
        <f>IFERROR(__xludf.DUMMYFUNCTION("""COMPUTED_VALUE"""),"David")</f>
        <v>David</v>
      </c>
      <c r="E451" s="42" t="str">
        <f>IFERROR(__xludf.DUMMYFUNCTION("""COMPUTED_VALUE"""),"DISERAHKAN")</f>
        <v>DISERAHKAN</v>
      </c>
      <c r="F451" s="48" t="str">
        <f>IFERROR(__xludf.DUMMYFUNCTION("""COMPUTED_VALUE"""),"25/11/2024 11.02")</f>
        <v>25/11/2024 11.02</v>
      </c>
      <c r="G451" s="42" t="str">
        <f>IFERROR(__xludf.DUMMYFUNCTION("""COMPUTED_VALUE"""),"ROYA")</f>
        <v>ROYA</v>
      </c>
      <c r="H451" s="42">
        <f t="shared" si="1"/>
        <v>249</v>
      </c>
    </row>
    <row r="452" ht="22.5" customHeight="1">
      <c r="B452" s="42" t="str">
        <f>IFERROR(__xludf.DUMMYFUNCTION("""COMPUTED_VALUE"""),"K/12/211124/2")</f>
        <v>K/12/211124/2</v>
      </c>
      <c r="C452" s="42" t="str">
        <f>IFERROR(__xludf.DUMMYFUNCTION("""COMPUTED_VALUE"""),"M.2876/KOTA BARU")</f>
        <v>M.2876/KOTA BARU</v>
      </c>
      <c r="D452" s="42" t="str">
        <f>IFERROR(__xludf.DUMMYFUNCTION("""COMPUTED_VALUE"""),"David")</f>
        <v>David</v>
      </c>
      <c r="E452" s="42" t="str">
        <f>IFERROR(__xludf.DUMMYFUNCTION("""COMPUTED_VALUE"""),"PROSES")</f>
        <v>PROSES</v>
      </c>
      <c r="F452" s="48" t="str">
        <f>IFERROR(__xludf.DUMMYFUNCTION("""COMPUTED_VALUE"""),"")</f>
        <v/>
      </c>
      <c r="G452" s="42" t="str">
        <f>IFERROR(__xludf.DUMMYFUNCTION("""COMPUTED_VALUE"""),"BN JUAL BELI")</f>
        <v>BN JUAL BELI</v>
      </c>
      <c r="H452" s="42">
        <f t="shared" si="1"/>
        <v>249</v>
      </c>
    </row>
    <row r="453" ht="22.5" customHeight="1">
      <c r="B453" s="42" t="str">
        <f>IFERROR(__xludf.DUMMYFUNCTION("""COMPUTED_VALUE"""),"K/20/211124/2")</f>
        <v>K/20/211124/2</v>
      </c>
      <c r="C453" s="42" t="str">
        <f>IFERROR(__xludf.DUMMYFUNCTION("""COMPUTED_VALUE"""),"M. 13159/ KEDAMAIAN")</f>
        <v>M. 13159/ KEDAMAIAN</v>
      </c>
      <c r="D453" s="42"/>
      <c r="E453" s="42"/>
      <c r="F453" s="48" t="str">
        <f>IFERROR(__xludf.DUMMYFUNCTION("""COMPUTED_VALUE"""),"")</f>
        <v/>
      </c>
      <c r="G453" s="42" t="str">
        <f>IFERROR(__xludf.DUMMYFUNCTION("""COMPUTED_VALUE"""),"GANTI KECAMATAN")</f>
        <v>GANTI KECAMATAN</v>
      </c>
      <c r="H453" s="42">
        <f t="shared" si="1"/>
        <v>249</v>
      </c>
    </row>
    <row r="454" ht="22.5" customHeight="1">
      <c r="B454" s="42" t="str">
        <f>IFERROR(__xludf.DUMMYFUNCTION("""COMPUTED_VALUE"""),"K/21/211124/3")</f>
        <v>K/21/211124/3</v>
      </c>
      <c r="C454" s="42" t="str">
        <f>IFERROR(__xludf.DUMMYFUNCTION("""COMPUTED_VALUE"""),"M. 119/ PASIR GINTUNG/SUKAJAWA")</f>
        <v>M. 119/ PASIR GINTUNG/SUKAJAWA</v>
      </c>
      <c r="D454" s="42"/>
      <c r="E454" s="42"/>
      <c r="F454" s="48" t="str">
        <f>IFERROR(__xludf.DUMMYFUNCTION("""COMPUTED_VALUE"""),"")</f>
        <v/>
      </c>
      <c r="G454" s="42" t="str">
        <f>IFERROR(__xludf.DUMMYFUNCTION("""COMPUTED_VALUE"""),"GANTI KELURAHAN")</f>
        <v>GANTI KELURAHAN</v>
      </c>
      <c r="H454" s="42">
        <f t="shared" si="1"/>
        <v>249</v>
      </c>
    </row>
    <row r="455" ht="22.5" customHeight="1">
      <c r="B455" s="42" t="str">
        <f>IFERROR(__xludf.DUMMYFUNCTION("""COMPUTED_VALUE"""),"L/22/211124/1")</f>
        <v>L/22/211124/1</v>
      </c>
      <c r="C455" s="42" t="str">
        <f>IFERROR(__xludf.DUMMYFUNCTION("""COMPUTED_VALUE"""),"HM 10312/SUKABUMI")</f>
        <v>HM 10312/SUKABUMI</v>
      </c>
      <c r="D455" s="42" t="str">
        <f>IFERROR(__xludf.DUMMYFUNCTION("""COMPUTED_VALUE"""),"David")</f>
        <v>David</v>
      </c>
      <c r="E455" s="42" t="str">
        <f>IFERROR(__xludf.DUMMYFUNCTION("""COMPUTED_VALUE"""),"PROSES")</f>
        <v>PROSES</v>
      </c>
      <c r="F455" s="48" t="str">
        <f>IFERROR(__xludf.DUMMYFUNCTION("""COMPUTED_VALUE"""),"")</f>
        <v/>
      </c>
      <c r="G455" s="42" t="str">
        <f>IFERROR(__xludf.DUMMYFUNCTION("""COMPUTED_VALUE"""),"PEMECAHAN")</f>
        <v>PEMECAHAN</v>
      </c>
      <c r="H455" s="42">
        <f t="shared" si="1"/>
        <v>249</v>
      </c>
    </row>
    <row r="456" ht="22.5" customHeight="1">
      <c r="B456" s="42" t="str">
        <f>IFERROR(__xludf.DUMMYFUNCTION("""COMPUTED_VALUE"""),"K/24/211124/2")</f>
        <v>K/24/211124/2</v>
      </c>
      <c r="C456" s="42" t="str">
        <f>IFERROR(__xludf.DUMMYFUNCTION("""COMPUTED_VALUE"""),"M. 2273/ Rajabasa Raya")</f>
        <v>M. 2273/ Rajabasa Raya</v>
      </c>
      <c r="D456" s="42" t="str">
        <f>IFERROR(__xludf.DUMMYFUNCTION("""COMPUTED_VALUE"""),"David")</f>
        <v>David</v>
      </c>
      <c r="E456" s="42" t="str">
        <f>IFERROR(__xludf.DUMMYFUNCTION("""COMPUTED_VALUE"""),"DISERAHKAN")</f>
        <v>DISERAHKAN</v>
      </c>
      <c r="F456" s="48" t="str">
        <f>IFERROR(__xludf.DUMMYFUNCTION("""COMPUTED_VALUE"""),"26/11/2024 12.03")</f>
        <v>26/11/2024 12.03</v>
      </c>
      <c r="G456" s="42" t="str">
        <f>IFERROR(__xludf.DUMMYFUNCTION("""COMPUTED_VALUE"""),"BN JUAL BELI")</f>
        <v>BN JUAL BELI</v>
      </c>
      <c r="H456" s="42">
        <f t="shared" si="1"/>
        <v>250</v>
      </c>
    </row>
    <row r="457" ht="22.5" customHeight="1">
      <c r="B457" s="42" t="str">
        <f>IFERROR(__xludf.DUMMYFUNCTION("""COMPUTED_VALUE"""),"L/27/211124/1")</f>
        <v>L/27/211124/1</v>
      </c>
      <c r="C457" s="42" t="str">
        <f>IFERROR(__xludf.DUMMYFUNCTION("""COMPUTED_VALUE"""),"HGB 177/PINANG JAYA")</f>
        <v>HGB 177/PINANG JAYA</v>
      </c>
      <c r="D457" s="42" t="str">
        <f>IFERROR(__xludf.DUMMYFUNCTION("""COMPUTED_VALUE"""),"David")</f>
        <v>David</v>
      </c>
      <c r="E457" s="42" t="str">
        <f>IFERROR(__xludf.DUMMYFUNCTION("""COMPUTED_VALUE"""),"PROSES")</f>
        <v>PROSES</v>
      </c>
      <c r="F457" s="48" t="str">
        <f>IFERROR(__xludf.DUMMYFUNCTION("""COMPUTED_VALUE"""),"")</f>
        <v/>
      </c>
      <c r="G457" s="42" t="str">
        <f>IFERROR(__xludf.DUMMYFUNCTION("""COMPUTED_VALUE"""),"PH")</f>
        <v>PH</v>
      </c>
      <c r="H457" s="42">
        <f t="shared" si="1"/>
        <v>250</v>
      </c>
    </row>
    <row r="458" ht="22.5" customHeight="1">
      <c r="B458" s="42" t="str">
        <f>IFERROR(__xludf.DUMMYFUNCTION("""COMPUTED_VALUE"""),"L/31/211124/1")</f>
        <v>L/31/211124/1</v>
      </c>
      <c r="C458" s="42" t="str">
        <f>IFERROR(__xludf.DUMMYFUNCTION("""COMPUTED_VALUE"""),"HM 11937/SEGALA MIDER")</f>
        <v>HM 11937/SEGALA MIDER</v>
      </c>
      <c r="D458" s="42" t="str">
        <f>IFERROR(__xludf.DUMMYFUNCTION("""COMPUTED_VALUE"""),"David")</f>
        <v>David</v>
      </c>
      <c r="E458" s="42" t="str">
        <f>IFERROR(__xludf.DUMMYFUNCTION("""COMPUTED_VALUE"""),"DISERAHKAN")</f>
        <v>DISERAHKAN</v>
      </c>
      <c r="F458" s="48">
        <f>IFERROR(__xludf.DUMMYFUNCTION("""COMPUTED_VALUE"""),45687.413186770835)</f>
        <v>45687.41319</v>
      </c>
      <c r="G458" s="42" t="str">
        <f>IFERROR(__xludf.DUMMYFUNCTION("""COMPUTED_VALUE"""),"ROYA")</f>
        <v>ROYA</v>
      </c>
      <c r="H458" s="42">
        <f t="shared" si="1"/>
        <v>251</v>
      </c>
    </row>
    <row r="459" ht="22.5" customHeight="1">
      <c r="B459" s="42" t="str">
        <f>IFERROR(__xludf.DUMMYFUNCTION("""COMPUTED_VALUE"""),"K/30/211124/1")</f>
        <v>K/30/211124/1</v>
      </c>
      <c r="C459" s="42" t="str">
        <f>IFERROR(__xludf.DUMMYFUNCTION("""COMPUTED_VALUE"""),"B. 745/ Sumur Putri")</f>
        <v>B. 745/ Sumur Putri</v>
      </c>
      <c r="D459" s="42" t="str">
        <f>IFERROR(__xludf.DUMMYFUNCTION("""COMPUTED_VALUE"""),"David")</f>
        <v>David</v>
      </c>
      <c r="E459" s="42" t="str">
        <f>IFERROR(__xludf.DUMMYFUNCTION("""COMPUTED_VALUE"""),"DISERAHKAN")</f>
        <v>DISERAHKAN</v>
      </c>
      <c r="F459" s="48" t="str">
        <f>IFERROR(__xludf.DUMMYFUNCTION("""COMPUTED_VALUE"""),"25/11/2024 11.02")</f>
        <v>25/11/2024 11.02</v>
      </c>
      <c r="G459" s="42" t="str">
        <f>IFERROR(__xludf.DUMMYFUNCTION("""COMPUTED_VALUE"""),"BN JUAL BELI")</f>
        <v>BN JUAL BELI</v>
      </c>
      <c r="H459" s="42">
        <f t="shared" si="1"/>
        <v>252</v>
      </c>
    </row>
    <row r="460" ht="22.5" customHeight="1">
      <c r="B460" s="42" t="str">
        <f>IFERROR(__xludf.DUMMYFUNCTION("""COMPUTED_VALUE"""),"L/34/211124/1")</f>
        <v>L/34/211124/1</v>
      </c>
      <c r="C460" s="42" t="str">
        <f>IFERROR(__xludf.DUMMYFUNCTION("""COMPUTED_VALUE"""),"HM 116/SUMBEREJO")</f>
        <v>HM 116/SUMBEREJO</v>
      </c>
      <c r="D460" s="42" t="str">
        <f>IFERROR(__xludf.DUMMYFUNCTION("""COMPUTED_VALUE"""),"David")</f>
        <v>David</v>
      </c>
      <c r="E460" s="42" t="str">
        <f>IFERROR(__xludf.DUMMYFUNCTION("""COMPUTED_VALUE"""),"DISERAHKAN")</f>
        <v>DISERAHKAN</v>
      </c>
      <c r="F460" s="48">
        <f>IFERROR(__xludf.DUMMYFUNCTION("""COMPUTED_VALUE"""),45691.624688275464)</f>
        <v>45691.62469</v>
      </c>
      <c r="G460" s="42" t="str">
        <f>IFERROR(__xludf.DUMMYFUNCTION("""COMPUTED_VALUE"""),"ROYA")</f>
        <v>ROYA</v>
      </c>
      <c r="H460" s="42">
        <f t="shared" si="1"/>
        <v>253</v>
      </c>
    </row>
    <row r="461" ht="22.5" customHeight="1">
      <c r="B461" s="42" t="str">
        <f>IFERROR(__xludf.DUMMYFUNCTION("""COMPUTED_VALUE"""),"K/35/211124/1")</f>
        <v>K/35/211124/1</v>
      </c>
      <c r="C461" s="42" t="str">
        <f>IFERROR(__xludf.DUMMYFUNCTION("""COMPUTED_VALUE"""),"PBT 94/2024")</f>
        <v>PBT 94/2024</v>
      </c>
      <c r="D461" s="42"/>
      <c r="E461" s="42"/>
      <c r="F461" s="48" t="str">
        <f>IFERROR(__xludf.DUMMYFUNCTION("""COMPUTED_VALUE"""),"")</f>
        <v/>
      </c>
      <c r="G461" s="42" t="str">
        <f>IFERROR(__xludf.DUMMYFUNCTION("""COMPUTED_VALUE"""),"PTPGT HGB BERAKHIR")</f>
        <v>PTPGT HGB BERAKHIR</v>
      </c>
      <c r="H461" s="42">
        <f t="shared" si="1"/>
        <v>253</v>
      </c>
    </row>
    <row r="462" ht="22.5" customHeight="1">
      <c r="B462" s="42" t="str">
        <f>IFERROR(__xludf.DUMMYFUNCTION("""COMPUTED_VALUE"""),"K/36/211124/1")</f>
        <v>K/36/211124/1</v>
      </c>
      <c r="C462" s="42" t="str">
        <f>IFERROR(__xludf.DUMMYFUNCTION("""COMPUTED_VALUE"""),"M. 5630/ Langkapura")</f>
        <v>M. 5630/ Langkapura</v>
      </c>
      <c r="D462" s="42" t="str">
        <f>IFERROR(__xludf.DUMMYFUNCTION("""COMPUTED_VALUE"""),"David")</f>
        <v>David</v>
      </c>
      <c r="E462" s="42" t="str">
        <f>IFERROR(__xludf.DUMMYFUNCTION("""COMPUTED_VALUE"""),"PROSES")</f>
        <v>PROSES</v>
      </c>
      <c r="F462" s="48" t="str">
        <f>IFERROR(__xludf.DUMMYFUNCTION("""COMPUTED_VALUE"""),"")</f>
        <v/>
      </c>
      <c r="G462" s="42" t="str">
        <f>IFERROR(__xludf.DUMMYFUNCTION("""COMPUTED_VALUE"""),"BN Jual Beli")</f>
        <v>BN Jual Beli</v>
      </c>
      <c r="H462" s="42">
        <f t="shared" si="1"/>
        <v>253</v>
      </c>
    </row>
    <row r="463" ht="22.5" customHeight="1">
      <c r="B463" s="42" t="str">
        <f>IFERROR(__xludf.DUMMYFUNCTION("""COMPUTED_VALUE"""),"L/37/211124/1")</f>
        <v>L/37/211124/1</v>
      </c>
      <c r="C463" s="42" t="str">
        <f>IFERROR(__xludf.DUMMYFUNCTION("""COMPUTED_VALUE"""),"HM 16855/SUKARAME")</f>
        <v>HM 16855/SUKARAME</v>
      </c>
      <c r="D463" s="42" t="str">
        <f>IFERROR(__xludf.DUMMYFUNCTION("""COMPUTED_VALUE"""),"David")</f>
        <v>David</v>
      </c>
      <c r="E463" s="42" t="str">
        <f>IFERROR(__xludf.DUMMYFUNCTION("""COMPUTED_VALUE"""),"DISERAHKAN")</f>
        <v>DISERAHKAN</v>
      </c>
      <c r="F463" s="48" t="str">
        <f>IFERROR(__xludf.DUMMYFUNCTION("""COMPUTED_VALUE"""),"25/11/2024 11.02")</f>
        <v>25/11/2024 11.02</v>
      </c>
      <c r="G463" s="42" t="str">
        <f>IFERROR(__xludf.DUMMYFUNCTION("""COMPUTED_VALUE"""),"ROYA")</f>
        <v>ROYA</v>
      </c>
      <c r="H463" s="42">
        <f t="shared" si="1"/>
        <v>254</v>
      </c>
    </row>
    <row r="464" ht="22.5" customHeight="1">
      <c r="B464" s="42" t="str">
        <f>IFERROR(__xludf.DUMMYFUNCTION("""COMPUTED_VALUE"""),"K/40/211124/1")</f>
        <v>K/40/211124/1</v>
      </c>
      <c r="C464" s="42" t="str">
        <f>IFERROR(__xludf.DUMMYFUNCTION("""COMPUTED_VALUE"""),"PBT. 196/2024")</f>
        <v>PBT. 196/2024</v>
      </c>
      <c r="D464" s="42"/>
      <c r="E464" s="42"/>
      <c r="F464" s="48" t="str">
        <f>IFERROR(__xludf.DUMMYFUNCTION("""COMPUTED_VALUE"""),"")</f>
        <v/>
      </c>
      <c r="G464" s="42" t="str">
        <f>IFERROR(__xludf.DUMMYFUNCTION("""COMPUTED_VALUE"""),"PTPGT (Pertama Kali)")</f>
        <v>PTPGT (Pertama Kali)</v>
      </c>
      <c r="H464" s="42">
        <f t="shared" si="1"/>
        <v>254</v>
      </c>
    </row>
    <row r="465" ht="22.5" customHeight="1">
      <c r="B465" s="42" t="str">
        <f>IFERROR(__xludf.DUMMYFUNCTION("""COMPUTED_VALUE"""),"K/41/211124/1")</f>
        <v>K/41/211124/1</v>
      </c>
      <c r="C465" s="42" t="str">
        <f>IFERROR(__xludf.DUMMYFUNCTION("""COMPUTED_VALUE"""),"M. 984/ Sukarame Baru")</f>
        <v>M. 984/ Sukarame Baru</v>
      </c>
      <c r="D465" s="42" t="str">
        <f>IFERROR(__xludf.DUMMYFUNCTION("""COMPUTED_VALUE"""),"David")</f>
        <v>David</v>
      </c>
      <c r="E465" s="42" t="str">
        <f>IFERROR(__xludf.DUMMYFUNCTION("""COMPUTED_VALUE"""),"DISERAHKAN")</f>
        <v>DISERAHKAN</v>
      </c>
      <c r="F465" s="48" t="str">
        <f>IFERROR(__xludf.DUMMYFUNCTION("""COMPUTED_VALUE"""),"25/11/2024 11.02")</f>
        <v>25/11/2024 11.02</v>
      </c>
      <c r="G465" s="42" t="str">
        <f>IFERROR(__xludf.DUMMYFUNCTION("""COMPUTED_VALUE"""),"BN Jual Beli")</f>
        <v>BN Jual Beli</v>
      </c>
      <c r="H465" s="42">
        <f t="shared" si="1"/>
        <v>255</v>
      </c>
    </row>
    <row r="466" ht="22.5" customHeight="1">
      <c r="B466" s="42" t="str">
        <f>IFERROR(__xludf.DUMMYFUNCTION("""COMPUTED_VALUE"""),"L/42/211124/1")</f>
        <v>L/42/211124/1</v>
      </c>
      <c r="C466" s="42" t="str">
        <f>IFERROR(__xludf.DUMMYFUNCTION("""COMPUTED_VALUE"""),"HM 2474/SUKADANA HAM")</f>
        <v>HM 2474/SUKADANA HAM</v>
      </c>
      <c r="D466" s="42" t="str">
        <f>IFERROR(__xludf.DUMMYFUNCTION("""COMPUTED_VALUE"""),"David")</f>
        <v>David</v>
      </c>
      <c r="E466" s="42" t="str">
        <f>IFERROR(__xludf.DUMMYFUNCTION("""COMPUTED_VALUE"""),"DISERAHKAN BT")</f>
        <v>DISERAHKAN BT</v>
      </c>
      <c r="F466" s="48" t="str">
        <f>IFERROR(__xludf.DUMMYFUNCTION("""COMPUTED_VALUE"""),"29/11/2024 16.01")</f>
        <v>29/11/2024 16.01</v>
      </c>
      <c r="G466" s="42" t="str">
        <f>IFERROR(__xludf.DUMMYFUNCTION("""COMPUTED_VALUE"""),"ROYA")</f>
        <v>ROYA</v>
      </c>
      <c r="H466" s="42">
        <f t="shared" si="1"/>
        <v>255</v>
      </c>
    </row>
    <row r="467" ht="22.5" customHeight="1">
      <c r="B467" s="42" t="str">
        <f>IFERROR(__xludf.DUMMYFUNCTION("""COMPUTED_VALUE"""),"K/45/211124/1")</f>
        <v>K/45/211124/1</v>
      </c>
      <c r="C467" s="42" t="str">
        <f>IFERROR(__xludf.DUMMYFUNCTION("""COMPUTED_VALUE"""),"M. 17127/ Sukarame I")</f>
        <v>M. 17127/ Sukarame I</v>
      </c>
      <c r="D467" s="42" t="str">
        <f>IFERROR(__xludf.DUMMYFUNCTION("""COMPUTED_VALUE"""),"David")</f>
        <v>David</v>
      </c>
      <c r="E467" s="42" t="str">
        <f>IFERROR(__xludf.DUMMYFUNCTION("""COMPUTED_VALUE"""),"DISERAHKAN BT")</f>
        <v>DISERAHKAN BT</v>
      </c>
      <c r="F467" s="48" t="str">
        <f>IFERROR(__xludf.DUMMYFUNCTION("""COMPUTED_VALUE"""),"29/11/2024 16.01")</f>
        <v>29/11/2024 16.01</v>
      </c>
      <c r="G467" s="42" t="str">
        <f>IFERROR(__xludf.DUMMYFUNCTION("""COMPUTED_VALUE"""),"ROYA")</f>
        <v>ROYA</v>
      </c>
      <c r="H467" s="42">
        <f t="shared" si="1"/>
        <v>255</v>
      </c>
    </row>
    <row r="468" ht="22.5" customHeight="1">
      <c r="B468" s="42" t="str">
        <f>IFERROR(__xludf.DUMMYFUNCTION("""COMPUTED_VALUE"""),"K/46/211124/1")</f>
        <v>K/46/211124/1</v>
      </c>
      <c r="C468" s="42" t="str">
        <f>IFERROR(__xludf.DUMMYFUNCTION("""COMPUTED_VALUE"""),"M. 2199/ Rajabasa Raya")</f>
        <v>M. 2199/ Rajabasa Raya</v>
      </c>
      <c r="D468" s="42" t="str">
        <f>IFERROR(__xludf.DUMMYFUNCTION("""COMPUTED_VALUE"""),"David")</f>
        <v>David</v>
      </c>
      <c r="E468" s="42" t="str">
        <f>IFERROR(__xludf.DUMMYFUNCTION("""COMPUTED_VALUE"""),"DISERAHKAN SU")</f>
        <v>DISERAHKAN SU</v>
      </c>
      <c r="F468" s="48" t="str">
        <f>IFERROR(__xludf.DUMMYFUNCTION("""COMPUTED_VALUE"""),"25/11/2024 11.02")</f>
        <v>25/11/2024 11.02</v>
      </c>
      <c r="G468" s="42" t="str">
        <f>IFERROR(__xludf.DUMMYFUNCTION("""COMPUTED_VALUE"""),"BN WARIS")</f>
        <v>BN WARIS</v>
      </c>
      <c r="H468" s="42">
        <f t="shared" si="1"/>
        <v>255</v>
      </c>
    </row>
    <row r="469" ht="22.5" customHeight="1">
      <c r="B469" s="42" t="str">
        <f>IFERROR(__xludf.DUMMYFUNCTION("""COMPUTED_VALUE"""),"K/47/211124/1")</f>
        <v>K/47/211124/1</v>
      </c>
      <c r="C469" s="42" t="str">
        <f>IFERROR(__xludf.DUMMYFUNCTION("""COMPUTED_VALUE"""),"M. 2395/ Sukarame Baru")</f>
        <v>M. 2395/ Sukarame Baru</v>
      </c>
      <c r="D469" s="42" t="str">
        <f>IFERROR(__xludf.DUMMYFUNCTION("""COMPUTED_VALUE"""),"David")</f>
        <v>David</v>
      </c>
      <c r="E469" s="42" t="str">
        <f>IFERROR(__xludf.DUMMYFUNCTION("""COMPUTED_VALUE"""),"DISERAHKAN")</f>
        <v>DISERAHKAN</v>
      </c>
      <c r="F469" s="48" t="str">
        <f>IFERROR(__xludf.DUMMYFUNCTION("""COMPUTED_VALUE"""),"25/11/2024 11.02")</f>
        <v>25/11/2024 11.02</v>
      </c>
      <c r="G469" s="42" t="str">
        <f>IFERROR(__xludf.DUMMYFUNCTION("""COMPUTED_VALUE"""),"BN Jual Beli")</f>
        <v>BN Jual Beli</v>
      </c>
      <c r="H469" s="42">
        <f t="shared" si="1"/>
        <v>256</v>
      </c>
    </row>
    <row r="470" ht="22.5" customHeight="1">
      <c r="B470" s="42" t="str">
        <f>IFERROR(__xludf.DUMMYFUNCTION("""COMPUTED_VALUE"""),"K/51/211124/1")</f>
        <v>K/51/211124/1</v>
      </c>
      <c r="C470" s="42" t="str">
        <f>IFERROR(__xludf.DUMMYFUNCTION("""COMPUTED_VALUE"""),"M.1079/JAGABAYA III-SEKARANG;B.564/JAGABAYA III-DAHULU")</f>
        <v>M.1079/JAGABAYA III-SEKARANG;B.564/JAGABAYA III-DAHULU</v>
      </c>
      <c r="D470" s="42"/>
      <c r="E470" s="42"/>
      <c r="F470" s="48" t="str">
        <f>IFERROR(__xludf.DUMMYFUNCTION("""COMPUTED_VALUE"""),"")</f>
        <v/>
      </c>
      <c r="G470" s="42" t="str">
        <f>IFERROR(__xludf.DUMMYFUNCTION("""COMPUTED_VALUE"""),"PENGECEKAN")</f>
        <v>PENGECEKAN</v>
      </c>
      <c r="H470" s="42">
        <f t="shared" si="1"/>
        <v>256</v>
      </c>
    </row>
    <row r="471" ht="22.5" customHeight="1">
      <c r="B471" s="42" t="str">
        <f>IFERROR(__xludf.DUMMYFUNCTION("""COMPUTED_VALUE"""),"K/50/211124/2")</f>
        <v>K/50/211124/2</v>
      </c>
      <c r="C471" s="42" t="str">
        <f>IFERROR(__xludf.DUMMYFUNCTION("""COMPUTED_VALUE"""),"M. 581/ P W K")</f>
        <v>M. 581/ P W K</v>
      </c>
      <c r="D471" s="42"/>
      <c r="E471" s="42"/>
      <c r="F471" s="48" t="str">
        <f>IFERROR(__xludf.DUMMYFUNCTION("""COMPUTED_VALUE"""),"")</f>
        <v/>
      </c>
      <c r="G471" s="42" t="str">
        <f>IFERROR(__xludf.DUMMYFUNCTION("""COMPUTED_VALUE"""),"Entry BT")</f>
        <v>Entry BT</v>
      </c>
      <c r="H471" s="42">
        <f t="shared" si="1"/>
        <v>256</v>
      </c>
    </row>
    <row r="472" ht="22.5" customHeight="1">
      <c r="B472" s="42" t="str">
        <f>IFERROR(__xludf.DUMMYFUNCTION("""COMPUTED_VALUE"""),"K/2/221124/2")</f>
        <v>K/2/221124/2</v>
      </c>
      <c r="C472" s="42" t="str">
        <f>IFERROR(__xludf.DUMMYFUNCTION("""COMPUTED_VALUE"""),"M. 2345/ Sukamaju")</f>
        <v>M. 2345/ Sukamaju</v>
      </c>
      <c r="D472" s="42" t="str">
        <f>IFERROR(__xludf.DUMMYFUNCTION("""COMPUTED_VALUE"""),"David")</f>
        <v>David</v>
      </c>
      <c r="E472" s="42" t="str">
        <f>IFERROR(__xludf.DUMMYFUNCTION("""COMPUTED_VALUE"""),"DISERAHKAN")</f>
        <v>DISERAHKAN</v>
      </c>
      <c r="F472" s="48" t="str">
        <f>IFERROR(__xludf.DUMMYFUNCTION("""COMPUTED_VALUE"""),"26/11/2024 10.13")</f>
        <v>26/11/2024 10.13</v>
      </c>
      <c r="G472" s="42" t="str">
        <f>IFERROR(__xludf.DUMMYFUNCTION("""COMPUTED_VALUE"""),"BN JUAL BELI")</f>
        <v>BN JUAL BELI</v>
      </c>
      <c r="H472" s="42">
        <f t="shared" si="1"/>
        <v>257</v>
      </c>
    </row>
    <row r="473" ht="22.5" customHeight="1">
      <c r="B473" s="42" t="str">
        <f>IFERROR(__xludf.DUMMYFUNCTION("""COMPUTED_VALUE"""),"L/4/221124/1")</f>
        <v>L/4/221124/1</v>
      </c>
      <c r="C473" s="42" t="str">
        <f>IFERROR(__xludf.DUMMYFUNCTION("""COMPUTED_VALUE"""),"HM 13950/SUKABUMI")</f>
        <v>HM 13950/SUKABUMI</v>
      </c>
      <c r="D473" s="42" t="str">
        <f>IFERROR(__xludf.DUMMYFUNCTION("""COMPUTED_VALUE"""),"David")</f>
        <v>David</v>
      </c>
      <c r="E473" s="42" t="str">
        <f>IFERROR(__xludf.DUMMYFUNCTION("""COMPUTED_VALUE"""),"PROSES")</f>
        <v>PROSES</v>
      </c>
      <c r="F473" s="48" t="str">
        <f>IFERROR(__xludf.DUMMYFUNCTION("""COMPUTED_VALUE"""),"")</f>
        <v/>
      </c>
      <c r="G473" s="42" t="str">
        <f>IFERROR(__xludf.DUMMYFUNCTION("""COMPUTED_VALUE"""),"PEMECAHAN")</f>
        <v>PEMECAHAN</v>
      </c>
      <c r="H473" s="42">
        <f t="shared" si="1"/>
        <v>257</v>
      </c>
    </row>
    <row r="474" ht="22.5" customHeight="1">
      <c r="B474" s="42" t="str">
        <f>IFERROR(__xludf.DUMMYFUNCTION("""COMPUTED_VALUE"""),"K/5/221124/1")</f>
        <v>K/5/221124/1</v>
      </c>
      <c r="C474" s="42" t="str">
        <f>IFERROR(__xludf.DUMMYFUNCTION("""COMPUTED_VALUE"""),"M.1217/SRENGSEM")</f>
        <v>M.1217/SRENGSEM</v>
      </c>
      <c r="D474" s="42" t="str">
        <f>IFERROR(__xludf.DUMMYFUNCTION("""COMPUTED_VALUE"""),"David")</f>
        <v>David</v>
      </c>
      <c r="E474" s="42" t="str">
        <f>IFERROR(__xludf.DUMMYFUNCTION("""COMPUTED_VALUE"""),"DISERAHKAN")</f>
        <v>DISERAHKAN</v>
      </c>
      <c r="F474" s="48" t="str">
        <f>IFERROR(__xludf.DUMMYFUNCTION("""COMPUTED_VALUE"""),"26/11/2024 10.14")</f>
        <v>26/11/2024 10.14</v>
      </c>
      <c r="G474" s="42" t="str">
        <f>IFERROR(__xludf.DUMMYFUNCTION("""COMPUTED_VALUE"""),"BN WARIS")</f>
        <v>BN WARIS</v>
      </c>
      <c r="H474" s="42">
        <f t="shared" si="1"/>
        <v>258</v>
      </c>
    </row>
    <row r="475" ht="22.5" customHeight="1">
      <c r="B475" s="42" t="str">
        <f>IFERROR(__xludf.DUMMYFUNCTION("""COMPUTED_VALUE"""),"K/7/221124/1")</f>
        <v>K/7/221124/1</v>
      </c>
      <c r="C475" s="42" t="str">
        <f>IFERROR(__xludf.DUMMYFUNCTION("""COMPUTED_VALUE"""),"M. 897/ Sumber rejo")</f>
        <v>M. 897/ Sumber rejo</v>
      </c>
      <c r="D475" s="42" t="str">
        <f>IFERROR(__xludf.DUMMYFUNCTION("""COMPUTED_VALUE"""),"David")</f>
        <v>David</v>
      </c>
      <c r="E475" s="42" t="str">
        <f>IFERROR(__xludf.DUMMYFUNCTION("""COMPUTED_VALUE"""),"DISERAHKAN")</f>
        <v>DISERAHKAN</v>
      </c>
      <c r="F475" s="48" t="str">
        <f>IFERROR(__xludf.DUMMYFUNCTION("""COMPUTED_VALUE"""),"26/11/2024 10.14")</f>
        <v>26/11/2024 10.14</v>
      </c>
      <c r="G475" s="42" t="str">
        <f>IFERROR(__xludf.DUMMYFUNCTION("""COMPUTED_VALUE"""),"ROYA")</f>
        <v>ROYA</v>
      </c>
      <c r="H475" s="42">
        <f t="shared" si="1"/>
        <v>259</v>
      </c>
    </row>
    <row r="476" ht="22.5" customHeight="1">
      <c r="B476" s="42" t="str">
        <f>IFERROR(__xludf.DUMMYFUNCTION("""COMPUTED_VALUE"""),"K/9/221124/1")</f>
        <v>K/9/221124/1</v>
      </c>
      <c r="C476" s="42" t="str">
        <f>IFERROR(__xludf.DUMMYFUNCTION("""COMPUTED_VALUE"""),"M.13904/TANJUNG BARU")</f>
        <v>M.13904/TANJUNG BARU</v>
      </c>
      <c r="D476" s="42"/>
      <c r="E476" s="42"/>
      <c r="F476" s="48" t="str">
        <f>IFERROR(__xludf.DUMMYFUNCTION("""COMPUTED_VALUE"""),"")</f>
        <v/>
      </c>
      <c r="G476" s="42" t="str">
        <f>IFERROR(__xludf.DUMMYFUNCTION("""COMPUTED_VALUE"""),"HAPUS BPHTB")</f>
        <v>HAPUS BPHTB</v>
      </c>
      <c r="H476" s="42">
        <f t="shared" si="1"/>
        <v>259</v>
      </c>
    </row>
    <row r="477" ht="22.5" customHeight="1">
      <c r="B477" s="42" t="str">
        <f>IFERROR(__xludf.DUMMYFUNCTION("""COMPUTED_VALUE"""),"K/8/221124/2")</f>
        <v>K/8/221124/2</v>
      </c>
      <c r="C477" s="42" t="str">
        <f>IFERROR(__xludf.DUMMYFUNCTION("""COMPUTED_VALUE"""),"NIBEL 2681/ SUKARAME")</f>
        <v>NIBEL 2681/ SUKARAME</v>
      </c>
      <c r="D477" s="42"/>
      <c r="E477" s="42"/>
      <c r="F477" s="48" t="str">
        <f>IFERROR(__xludf.DUMMYFUNCTION("""COMPUTED_VALUE"""),"")</f>
        <v/>
      </c>
      <c r="G477" s="42" t="str">
        <f>IFERROR(__xludf.DUMMYFUNCTION("""COMPUTED_VALUE"""),"GANTI KELURAHAN")</f>
        <v>GANTI KELURAHAN</v>
      </c>
      <c r="H477" s="42">
        <f t="shared" si="1"/>
        <v>259</v>
      </c>
    </row>
    <row r="478" ht="22.5" customHeight="1">
      <c r="B478" s="42" t="str">
        <f>IFERROR(__xludf.DUMMYFUNCTION("""COMPUTED_VALUE"""),"K/11/221124/1")</f>
        <v>K/11/221124/1</v>
      </c>
      <c r="C478" s="42" t="str">
        <f>IFERROR(__xludf.DUMMYFUNCTION("""COMPUTED_VALUE"""),"M. 3265/SUKADANA HAM")</f>
        <v>M. 3265/SUKADANA HAM</v>
      </c>
      <c r="D478" s="42" t="str">
        <f>IFERROR(__xludf.DUMMYFUNCTION("""COMPUTED_VALUE"""),"David")</f>
        <v>David</v>
      </c>
      <c r="E478" s="42" t="str">
        <f>IFERROR(__xludf.DUMMYFUNCTION("""COMPUTED_VALUE"""),"DISERAHKAN")</f>
        <v>DISERAHKAN</v>
      </c>
      <c r="F478" s="48" t="str">
        <f>IFERROR(__xludf.DUMMYFUNCTION("""COMPUTED_VALUE"""),"26/11/2024 10.15")</f>
        <v>26/11/2024 10.15</v>
      </c>
      <c r="G478" s="42" t="str">
        <f>IFERROR(__xludf.DUMMYFUNCTION("""COMPUTED_VALUE"""),"BN JUAL BELI")</f>
        <v>BN JUAL BELI</v>
      </c>
      <c r="H478" s="42">
        <f t="shared" si="1"/>
        <v>260</v>
      </c>
    </row>
    <row r="479" ht="22.5" customHeight="1">
      <c r="B479" s="42" t="str">
        <f>IFERROR(__xludf.DUMMYFUNCTION("""COMPUTED_VALUE"""),"L/13/221124/1")</f>
        <v>L/13/221124/1</v>
      </c>
      <c r="C479" s="42" t="str">
        <f>IFERROR(__xludf.DUMMYFUNCTION("""COMPUTED_VALUE"""),"HM 3585/GUNUNG TERANG")</f>
        <v>HM 3585/GUNUNG TERANG</v>
      </c>
      <c r="D479" s="42" t="str">
        <f>IFERROR(__xludf.DUMMYFUNCTION("""COMPUTED_VALUE"""),"David")</f>
        <v>David</v>
      </c>
      <c r="E479" s="42" t="str">
        <f>IFERROR(__xludf.DUMMYFUNCTION("""COMPUTED_VALUE"""),"PROSES")</f>
        <v>PROSES</v>
      </c>
      <c r="F479" s="48" t="str">
        <f>IFERROR(__xludf.DUMMYFUNCTION("""COMPUTED_VALUE"""),"")</f>
        <v/>
      </c>
      <c r="G479" s="42" t="str">
        <f>IFERROR(__xludf.DUMMYFUNCTION("""COMPUTED_VALUE"""),"ROYA")</f>
        <v>ROYA</v>
      </c>
      <c r="H479" s="42">
        <f t="shared" si="1"/>
        <v>260</v>
      </c>
    </row>
    <row r="480" ht="22.5" customHeight="1">
      <c r="B480" s="42" t="str">
        <f>IFERROR(__xludf.DUMMYFUNCTION("""COMPUTED_VALUE"""),"K/12/221124/2")</f>
        <v>K/12/221124/2</v>
      </c>
      <c r="C480" s="42" t="str">
        <f>IFERROR(__xludf.DUMMYFUNCTION("""COMPUTED_VALUE"""),"M. 1912/SUKABUMI INDAH")</f>
        <v>M. 1912/SUKABUMI INDAH</v>
      </c>
      <c r="D480" s="42" t="str">
        <f>IFERROR(__xludf.DUMMYFUNCTION("""COMPUTED_VALUE"""),"David")</f>
        <v>David</v>
      </c>
      <c r="E480" s="42" t="str">
        <f>IFERROR(__xludf.DUMMYFUNCTION("""COMPUTED_VALUE"""),"DISERAHKAN")</f>
        <v>DISERAHKAN</v>
      </c>
      <c r="F480" s="48" t="str">
        <f>IFERROR(__xludf.DUMMYFUNCTION("""COMPUTED_VALUE"""),"26/11/2024 10.15")</f>
        <v>26/11/2024 10.15</v>
      </c>
      <c r="G480" s="42" t="str">
        <f>IFERROR(__xludf.DUMMYFUNCTION("""COMPUTED_VALUE"""),"BN JUAL BELI")</f>
        <v>BN JUAL BELI</v>
      </c>
      <c r="H480" s="42">
        <f t="shared" si="1"/>
        <v>261</v>
      </c>
    </row>
    <row r="481" ht="22.5" customHeight="1">
      <c r="B481" s="42" t="str">
        <f>IFERROR(__xludf.DUMMYFUNCTION("""COMPUTED_VALUE"""),"L/16/221124/1")</f>
        <v>L/16/221124/1</v>
      </c>
      <c r="C481" s="42" t="str">
        <f>IFERROR(__xludf.DUMMYFUNCTION("""COMPUTED_VALUE"""),"HM 3088/WAY KANDIS")</f>
        <v>HM 3088/WAY KANDIS</v>
      </c>
      <c r="D481" s="42"/>
      <c r="E481" s="42"/>
      <c r="F481" s="48" t="str">
        <f>IFERROR(__xludf.DUMMYFUNCTION("""COMPUTED_VALUE"""),"")</f>
        <v/>
      </c>
      <c r="G481" s="42" t="str">
        <f>IFERROR(__xludf.DUMMYFUNCTION("""COMPUTED_VALUE"""),"SKPT INFORMASI")</f>
        <v>SKPT INFORMASI</v>
      </c>
      <c r="H481" s="42">
        <f t="shared" si="1"/>
        <v>261</v>
      </c>
    </row>
    <row r="482" ht="22.5" customHeight="1">
      <c r="B482" s="42" t="str">
        <f>IFERROR(__xludf.DUMMYFUNCTION("""COMPUTED_VALUE"""),"L/20/221124/1")</f>
        <v>L/20/221124/1</v>
      </c>
      <c r="C482" s="42" t="str">
        <f>IFERROR(__xludf.DUMMYFUNCTION("""COMPUTED_VALUE"""),"HGB 5267/BERINGIN RAYA")</f>
        <v>HGB 5267/BERINGIN RAYA</v>
      </c>
      <c r="D482" s="42" t="str">
        <f>IFERROR(__xludf.DUMMYFUNCTION("""COMPUTED_VALUE"""),"David")</f>
        <v>David</v>
      </c>
      <c r="E482" s="42" t="str">
        <f>IFERROR(__xludf.DUMMYFUNCTION("""COMPUTED_VALUE"""),"DISERAHKAN")</f>
        <v>DISERAHKAN</v>
      </c>
      <c r="F482" s="48" t="str">
        <f>IFERROR(__xludf.DUMMYFUNCTION("""COMPUTED_VALUE"""),"26/11/2024 10.16")</f>
        <v>26/11/2024 10.16</v>
      </c>
      <c r="G482" s="42" t="str">
        <f>IFERROR(__xludf.DUMMYFUNCTION("""COMPUTED_VALUE"""),"ROYA")</f>
        <v>ROYA</v>
      </c>
      <c r="H482" s="42">
        <f t="shared" si="1"/>
        <v>262</v>
      </c>
    </row>
    <row r="483" ht="22.5" customHeight="1">
      <c r="B483" s="42" t="str">
        <f>IFERROR(__xludf.DUMMYFUNCTION("""COMPUTED_VALUE"""),"K/18/221124/2")</f>
        <v>K/18/221124/2</v>
      </c>
      <c r="C483" s="42" t="str">
        <f>IFERROR(__xludf.DUMMYFUNCTION("""COMPUTED_VALUE"""),"M. 12400/KEDATON")</f>
        <v>M. 12400/KEDATON</v>
      </c>
      <c r="D483" s="42" t="str">
        <f>IFERROR(__xludf.DUMMYFUNCTION("""COMPUTED_VALUE"""),"David")</f>
        <v>David</v>
      </c>
      <c r="E483" s="42" t="str">
        <f>IFERROR(__xludf.DUMMYFUNCTION("""COMPUTED_VALUE"""),"PROSES")</f>
        <v>PROSES</v>
      </c>
      <c r="F483" s="48" t="str">
        <f>IFERROR(__xludf.DUMMYFUNCTION("""COMPUTED_VALUE"""),"")</f>
        <v/>
      </c>
      <c r="G483" s="42" t="str">
        <f>IFERROR(__xludf.DUMMYFUNCTION("""COMPUTED_VALUE"""),"ROYA")</f>
        <v>ROYA</v>
      </c>
      <c r="H483" s="42">
        <f t="shared" si="1"/>
        <v>262</v>
      </c>
    </row>
    <row r="484" ht="22.5" customHeight="1">
      <c r="B484" s="42" t="str">
        <f>IFERROR(__xludf.DUMMYFUNCTION("""COMPUTED_VALUE"""),"K/22/221124/1")</f>
        <v>K/22/221124/1</v>
      </c>
      <c r="C484" s="42" t="str">
        <f>IFERROR(__xludf.DUMMYFUNCTION("""COMPUTED_VALUE"""),"M.371/WAY HALIM PERMAI-SEKARANG;B.91/JAGABAYA II-DAHULU")</f>
        <v>M.371/WAY HALIM PERMAI-SEKARANG;B.91/JAGABAYA II-DAHULU</v>
      </c>
      <c r="D484" s="42" t="str">
        <f>IFERROR(__xludf.DUMMYFUNCTION("""COMPUTED_VALUE"""),"David")</f>
        <v>David</v>
      </c>
      <c r="E484" s="42" t="str">
        <f>IFERROR(__xludf.DUMMYFUNCTION("""COMPUTED_VALUE"""),"DISERAHKAN BT")</f>
        <v>DISERAHKAN BT</v>
      </c>
      <c r="F484" s="48" t="str">
        <f>IFERROR(__xludf.DUMMYFUNCTION("""COMPUTED_VALUE"""),"02/12/2024 09.58")</f>
        <v>02/12/2024 09.58</v>
      </c>
      <c r="G484" s="42" t="str">
        <f>IFERROR(__xludf.DUMMYFUNCTION("""COMPUTED_VALUE"""),"BN HIBAH")</f>
        <v>BN HIBAH</v>
      </c>
      <c r="H484" s="42">
        <f t="shared" si="1"/>
        <v>262</v>
      </c>
    </row>
    <row r="485" ht="22.5" customHeight="1">
      <c r="B485" s="42" t="str">
        <f>IFERROR(__xludf.DUMMYFUNCTION("""COMPUTED_VALUE"""),"K/23/221124/1")</f>
        <v>K/23/221124/1</v>
      </c>
      <c r="C485" s="42" t="str">
        <f>IFERROR(__xludf.DUMMYFUNCTION("""COMPUTED_VALUE"""),"M. 1238/ sukamaju")</f>
        <v>M. 1238/ sukamaju</v>
      </c>
      <c r="D485" s="42"/>
      <c r="E485" s="42"/>
      <c r="F485" s="48" t="str">
        <f>IFERROR(__xludf.DUMMYFUNCTION("""COMPUTED_VALUE"""),"")</f>
        <v/>
      </c>
      <c r="G485" s="42" t="str">
        <f>IFERROR(__xludf.DUMMYFUNCTION("""COMPUTED_VALUE"""),"GANTI KELURAHAN")</f>
        <v>GANTI KELURAHAN</v>
      </c>
      <c r="H485" s="42">
        <f t="shared" si="1"/>
        <v>262</v>
      </c>
    </row>
    <row r="486" ht="22.5" customHeight="1">
      <c r="B486" s="42" t="str">
        <f>IFERROR(__xludf.DUMMYFUNCTION("""COMPUTED_VALUE"""),"K/26/221124/1")</f>
        <v>K/26/221124/1</v>
      </c>
      <c r="C486" s="42" t="str">
        <f>IFERROR(__xludf.DUMMYFUNCTION("""COMPUTED_VALUE"""),"M.2329/SEPANG JAYA-SEKARANG;M.10676/KEDATON-DAHULU")</f>
        <v>M.2329/SEPANG JAYA-SEKARANG;M.10676/KEDATON-DAHULU</v>
      </c>
      <c r="D486" s="42" t="str">
        <f>IFERROR(__xludf.DUMMYFUNCTION("""COMPUTED_VALUE"""),"David")</f>
        <v>David</v>
      </c>
      <c r="E486" s="42" t="str">
        <f>IFERROR(__xludf.DUMMYFUNCTION("""COMPUTED_VALUE"""),"DISERAHKAN")</f>
        <v>DISERAHKAN</v>
      </c>
      <c r="F486" s="48" t="str">
        <f>IFERROR(__xludf.DUMMYFUNCTION("""COMPUTED_VALUE"""),"02/12/2024 09.56")</f>
        <v>02/12/2024 09.56</v>
      </c>
      <c r="G486" s="42" t="str">
        <f>IFERROR(__xludf.DUMMYFUNCTION("""COMPUTED_VALUE"""),"BN JUAL BELI")</f>
        <v>BN JUAL BELI</v>
      </c>
      <c r="H486" s="42">
        <f t="shared" si="1"/>
        <v>263</v>
      </c>
    </row>
    <row r="487" ht="22.5" customHeight="1">
      <c r="B487" s="42" t="str">
        <f>IFERROR(__xludf.DUMMYFUNCTION("""COMPUTED_VALUE"""),"K/27/221124/1")</f>
        <v>K/27/221124/1</v>
      </c>
      <c r="C487" s="42" t="str">
        <f>IFERROR(__xludf.DUMMYFUNCTION("""COMPUTED_VALUE"""),"M. 16734/ Sukabumi")</f>
        <v>M. 16734/ Sukabumi</v>
      </c>
      <c r="D487" s="42" t="str">
        <f>IFERROR(__xludf.DUMMYFUNCTION("""COMPUTED_VALUE"""),"David")</f>
        <v>David</v>
      </c>
      <c r="E487" s="42" t="str">
        <f>IFERROR(__xludf.DUMMYFUNCTION("""COMPUTED_VALUE"""),"PROSES")</f>
        <v>PROSES</v>
      </c>
      <c r="F487" s="48" t="str">
        <f>IFERROR(__xludf.DUMMYFUNCTION("""COMPUTED_VALUE"""),"")</f>
        <v/>
      </c>
      <c r="G487" s="42" t="str">
        <f>IFERROR(__xludf.DUMMYFUNCTION("""COMPUTED_VALUE"""),"BN Jual Beli")</f>
        <v>BN Jual Beli</v>
      </c>
      <c r="H487" s="42">
        <f t="shared" si="1"/>
        <v>263</v>
      </c>
    </row>
    <row r="488" ht="22.5" customHeight="1">
      <c r="B488" s="42" t="str">
        <f>IFERROR(__xludf.DUMMYFUNCTION("""COMPUTED_VALUE"""),"K/22/221124/1")</f>
        <v>K/22/221124/1</v>
      </c>
      <c r="C488" s="42" t="str">
        <f>IFERROR(__xludf.DUMMYFUNCTION("""COMPUTED_VALUE"""),"M. 1395/WAY HALIM PERMAI")</f>
        <v>M. 1395/WAY HALIM PERMAI</v>
      </c>
      <c r="D488" s="42" t="str">
        <f>IFERROR(__xludf.DUMMYFUNCTION("""COMPUTED_VALUE"""),"David")</f>
        <v>David</v>
      </c>
      <c r="E488" s="42" t="str">
        <f>IFERROR(__xludf.DUMMYFUNCTION("""COMPUTED_VALUE"""),"DISERAHKAN BT")</f>
        <v>DISERAHKAN BT</v>
      </c>
      <c r="F488" s="48" t="str">
        <f>IFERROR(__xludf.DUMMYFUNCTION("""COMPUTED_VALUE"""),"02/12/2024 09.58")</f>
        <v>02/12/2024 09.58</v>
      </c>
      <c r="G488" s="42" t="str">
        <f>IFERROR(__xludf.DUMMYFUNCTION("""COMPUTED_VALUE"""),"PENGECEKAN")</f>
        <v>PENGECEKAN</v>
      </c>
      <c r="H488" s="42">
        <f t="shared" si="1"/>
        <v>263</v>
      </c>
    </row>
    <row r="489" ht="22.5" customHeight="1">
      <c r="B489" s="42" t="str">
        <f>IFERROR(__xludf.DUMMYFUNCTION("""COMPUTED_VALUE"""),"K/31/221124/1")</f>
        <v>K/31/221124/1</v>
      </c>
      <c r="C489" s="42" t="str">
        <f>IFERROR(__xludf.DUMMYFUNCTION("""COMPUTED_VALUE"""),"M. 3312/ Kota Karang")</f>
        <v>M. 3312/ Kota Karang</v>
      </c>
      <c r="D489" s="42" t="str">
        <f>IFERROR(__xludf.DUMMYFUNCTION("""COMPUTED_VALUE"""),"David")</f>
        <v>David</v>
      </c>
      <c r="E489" s="42" t="str">
        <f>IFERROR(__xludf.DUMMYFUNCTION("""COMPUTED_VALUE"""),"DISERAHKAN")</f>
        <v>DISERAHKAN</v>
      </c>
      <c r="F489" s="48">
        <f>IFERROR(__xludf.DUMMYFUNCTION("""COMPUTED_VALUE"""),45667.35285255787)</f>
        <v>45667.35285</v>
      </c>
      <c r="G489" s="42" t="str">
        <f>IFERROR(__xludf.DUMMYFUNCTION("""COMPUTED_VALUE"""),"BN JUAL BELI")</f>
        <v>BN JUAL BELI</v>
      </c>
      <c r="H489" s="42">
        <f t="shared" si="1"/>
        <v>264</v>
      </c>
    </row>
    <row r="490" ht="22.5" customHeight="1">
      <c r="B490" s="42" t="str">
        <f>IFERROR(__xludf.DUMMYFUNCTION("""COMPUTED_VALUE"""),"K/34/221124/1")</f>
        <v>K/34/221124/1</v>
      </c>
      <c r="C490" s="42" t="str">
        <f>IFERROR(__xludf.DUMMYFUNCTION("""COMPUTED_VALUE"""),"B.703/SUMUR PUTRI")</f>
        <v>B.703/SUMUR PUTRI</v>
      </c>
      <c r="D490" s="42" t="str">
        <f>IFERROR(__xludf.DUMMYFUNCTION("""COMPUTED_VALUE"""),"David")</f>
        <v>David</v>
      </c>
      <c r="E490" s="42" t="str">
        <f>IFERROR(__xludf.DUMMYFUNCTION("""COMPUTED_VALUE"""),"DISERAHKAN")</f>
        <v>DISERAHKAN</v>
      </c>
      <c r="F490" s="48" t="str">
        <f>IFERROR(__xludf.DUMMYFUNCTION("""COMPUTED_VALUE"""),"26/11/2024 10.20")</f>
        <v>26/11/2024 10.20</v>
      </c>
      <c r="G490" s="42" t="str">
        <f>IFERROR(__xludf.DUMMYFUNCTION("""COMPUTED_VALUE"""),"BN JUAL BELI")</f>
        <v>BN JUAL BELI</v>
      </c>
      <c r="H490" s="42">
        <f t="shared" si="1"/>
        <v>265</v>
      </c>
    </row>
    <row r="491" ht="22.5" customHeight="1">
      <c r="B491" s="42" t="str">
        <f>IFERROR(__xludf.DUMMYFUNCTION("""COMPUTED_VALUE"""),"K/39/221124/1")</f>
        <v>K/39/221124/1</v>
      </c>
      <c r="C491" s="42" t="str">
        <f>IFERROR(__xludf.DUMMYFUNCTION("""COMPUTED_VALUE"""),"M. 381/ Batu Putuk; sht 603/2016")</f>
        <v>M. 381/ Batu Putuk; sht 603/2016</v>
      </c>
      <c r="D491" s="42" t="str">
        <f>IFERROR(__xludf.DUMMYFUNCTION("""COMPUTED_VALUE"""),"David")</f>
        <v>David</v>
      </c>
      <c r="E491" s="42" t="str">
        <f>IFERROR(__xludf.DUMMYFUNCTION("""COMPUTED_VALUE"""),"DISERAHKAN")</f>
        <v>DISERAHKAN</v>
      </c>
      <c r="F491" s="48" t="str">
        <f>IFERROR(__xludf.DUMMYFUNCTION("""COMPUTED_VALUE"""),"26/11/2024 10.20")</f>
        <v>26/11/2024 10.20</v>
      </c>
      <c r="G491" s="42" t="str">
        <f>IFERROR(__xludf.DUMMYFUNCTION("""COMPUTED_VALUE"""),"Roya")</f>
        <v>Roya</v>
      </c>
      <c r="H491" s="42">
        <f t="shared" si="1"/>
        <v>266</v>
      </c>
    </row>
    <row r="492" ht="22.5" customHeight="1">
      <c r="B492" s="42" t="str">
        <f>IFERROR(__xludf.DUMMYFUNCTION("""COMPUTED_VALUE"""),"K/38/221124/2")</f>
        <v>K/38/221124/2</v>
      </c>
      <c r="C492" s="42" t="str">
        <f>IFERROR(__xludf.DUMMYFUNCTION("""COMPUTED_VALUE"""),"B. 616/ Sumber Agung")</f>
        <v>B. 616/ Sumber Agung</v>
      </c>
      <c r="D492" s="42" t="str">
        <f>IFERROR(__xludf.DUMMYFUNCTION("""COMPUTED_VALUE"""),"David")</f>
        <v>David</v>
      </c>
      <c r="E492" s="42" t="str">
        <f>IFERROR(__xludf.DUMMYFUNCTION("""COMPUTED_VALUE"""),"DISERAHKAN")</f>
        <v>DISERAHKAN</v>
      </c>
      <c r="F492" s="48" t="str">
        <f>IFERROR(__xludf.DUMMYFUNCTION("""COMPUTED_VALUE"""),"26/11/2024 10.21")</f>
        <v>26/11/2024 10.21</v>
      </c>
      <c r="G492" s="42" t="str">
        <f>IFERROR(__xludf.DUMMYFUNCTION("""COMPUTED_VALUE"""),"BN JUAL BELI")</f>
        <v>BN JUAL BELI</v>
      </c>
      <c r="H492" s="42">
        <f t="shared" si="1"/>
        <v>267</v>
      </c>
    </row>
    <row r="493" ht="22.5" customHeight="1">
      <c r="B493" s="42" t="str">
        <f>IFERROR(__xludf.DUMMYFUNCTION("""COMPUTED_VALUE"""),"K/42/221124/1")</f>
        <v>K/42/221124/1</v>
      </c>
      <c r="C493" s="42" t="str">
        <f>IFERROR(__xludf.DUMMYFUNCTION("""COMPUTED_VALUE"""),"M.2013/LABUHAN RATU RAYA")</f>
        <v>M.2013/LABUHAN RATU RAYA</v>
      </c>
      <c r="D493" s="42" t="str">
        <f>IFERROR(__xludf.DUMMYFUNCTION("""COMPUTED_VALUE"""),"David")</f>
        <v>David</v>
      </c>
      <c r="E493" s="42" t="str">
        <f>IFERROR(__xludf.DUMMYFUNCTION("""COMPUTED_VALUE"""),"DISERAHKAN")</f>
        <v>DISERAHKAN</v>
      </c>
      <c r="F493" s="48">
        <f>IFERROR(__xludf.DUMMYFUNCTION("""COMPUTED_VALUE"""),45673.43404315972)</f>
        <v>45673.43404</v>
      </c>
      <c r="G493" s="42" t="str">
        <f>IFERROR(__xludf.DUMMYFUNCTION("""COMPUTED_VALUE"""),"BN JUAL BELI")</f>
        <v>BN JUAL BELI</v>
      </c>
      <c r="H493" s="42">
        <f t="shared" si="1"/>
        <v>268</v>
      </c>
    </row>
    <row r="494" ht="22.5" customHeight="1">
      <c r="B494" s="42" t="str">
        <f>IFERROR(__xludf.DUMMYFUNCTION("""COMPUTED_VALUE"""),"K/1/251124/1")</f>
        <v>K/1/251124/1</v>
      </c>
      <c r="C494" s="42" t="str">
        <f>IFERROR(__xludf.DUMMYFUNCTION("""COMPUTED_VALUE"""),"PBT 45/2024")</f>
        <v>PBT 45/2024</v>
      </c>
      <c r="D494" s="42"/>
      <c r="E494" s="42"/>
      <c r="F494" s="48" t="str">
        <f>IFERROR(__xludf.DUMMYFUNCTION("""COMPUTED_VALUE"""),"")</f>
        <v/>
      </c>
      <c r="G494" s="42" t="str">
        <f>IFERROR(__xludf.DUMMYFUNCTION("""COMPUTED_VALUE"""),"PERMOHONAN SK")</f>
        <v>PERMOHONAN SK</v>
      </c>
      <c r="H494" s="42">
        <f t="shared" si="1"/>
        <v>268</v>
      </c>
    </row>
    <row r="495" ht="22.5" customHeight="1">
      <c r="B495" s="42" t="str">
        <f>IFERROR(__xludf.DUMMYFUNCTION("""COMPUTED_VALUE"""),"K/2/251124/2")</f>
        <v>K/2/251124/2</v>
      </c>
      <c r="C495" s="42" t="str">
        <f>IFERROR(__xludf.DUMMYFUNCTION("""COMPUTED_VALUE"""),"PBT 46/2024")</f>
        <v>PBT 46/2024</v>
      </c>
      <c r="D495" s="42"/>
      <c r="E495" s="42"/>
      <c r="F495" s="48" t="str">
        <f>IFERROR(__xludf.DUMMYFUNCTION("""COMPUTED_VALUE"""),"")</f>
        <v/>
      </c>
      <c r="G495" s="42" t="str">
        <f>IFERROR(__xludf.DUMMYFUNCTION("""COMPUTED_VALUE"""),"PERMOHONAN SK")</f>
        <v>PERMOHONAN SK</v>
      </c>
      <c r="H495" s="42">
        <f t="shared" si="1"/>
        <v>268</v>
      </c>
    </row>
    <row r="496" ht="22.5" customHeight="1">
      <c r="B496" s="42" t="str">
        <f>IFERROR(__xludf.DUMMYFUNCTION("""COMPUTED_VALUE"""),"L/4/251124/1")</f>
        <v>L/4/251124/1</v>
      </c>
      <c r="C496" s="42" t="str">
        <f>IFERROR(__xludf.DUMMYFUNCTION("""COMPUTED_VALUE"""),"HM 4986/BERINGIN RAYA")</f>
        <v>HM 4986/BERINGIN RAYA</v>
      </c>
      <c r="D496" s="42" t="str">
        <f>IFERROR(__xludf.DUMMYFUNCTION("""COMPUTED_VALUE"""),"David")</f>
        <v>David</v>
      </c>
      <c r="E496" s="42" t="str">
        <f>IFERROR(__xludf.DUMMYFUNCTION("""COMPUTED_VALUE"""),"PROSES")</f>
        <v>PROSES</v>
      </c>
      <c r="F496" s="48" t="str">
        <f>IFERROR(__xludf.DUMMYFUNCTION("""COMPUTED_VALUE"""),"")</f>
        <v/>
      </c>
      <c r="G496" s="42" t="str">
        <f>IFERROR(__xludf.DUMMYFUNCTION("""COMPUTED_VALUE"""),"GANTI BALNGKO")</f>
        <v>GANTI BALNGKO</v>
      </c>
      <c r="H496" s="42">
        <f t="shared" si="1"/>
        <v>268</v>
      </c>
    </row>
    <row r="497" ht="22.5" customHeight="1">
      <c r="B497" s="42" t="str">
        <f>IFERROR(__xludf.DUMMYFUNCTION("""COMPUTED_VALUE"""),"K/11/251124/1")</f>
        <v>K/11/251124/1</v>
      </c>
      <c r="C497" s="42" t="str">
        <f>IFERROR(__xludf.DUMMYFUNCTION("""COMPUTED_VALUE"""),"M. 6487/ Way Kandis")</f>
        <v>M. 6487/ Way Kandis</v>
      </c>
      <c r="D497" s="42" t="str">
        <f>IFERROR(__xludf.DUMMYFUNCTION("""COMPUTED_VALUE"""),"Berry")</f>
        <v>Berry</v>
      </c>
      <c r="E497" s="42" t="str">
        <f>IFERROR(__xludf.DUMMYFUNCTION("""COMPUTED_VALUE"""),"DISERAHKAN")</f>
        <v>DISERAHKAN</v>
      </c>
      <c r="F497" s="48">
        <f>IFERROR(__xludf.DUMMYFUNCTION("""COMPUTED_VALUE"""),45812.60709447917)</f>
        <v>45812.60709</v>
      </c>
      <c r="G497" s="42" t="str">
        <f>IFERROR(__xludf.DUMMYFUNCTION("""COMPUTED_VALUE"""),"BN Jual Beli")</f>
        <v>BN Jual Beli</v>
      </c>
      <c r="H497" s="42">
        <f t="shared" si="1"/>
        <v>269</v>
      </c>
    </row>
    <row r="498" ht="22.5" customHeight="1">
      <c r="B498" s="42" t="str">
        <f>IFERROR(__xludf.DUMMYFUNCTION("""COMPUTED_VALUE"""),"K/15/251124/3")</f>
        <v>K/15/251124/3</v>
      </c>
      <c r="C498" s="42" t="str">
        <f>IFERROR(__xludf.DUMMYFUNCTION("""COMPUTED_VALUE"""),"B.345/KANGKUNG")</f>
        <v>B.345/KANGKUNG</v>
      </c>
      <c r="D498" s="42"/>
      <c r="E498" s="42" t="str">
        <f>IFERROR(__xludf.DUMMYFUNCTION("""COMPUTED_VALUE"""),"DISERAHKAN")</f>
        <v>DISERAHKAN</v>
      </c>
      <c r="F498" s="48">
        <f>IFERROR(__xludf.DUMMYFUNCTION("""COMPUTED_VALUE"""),45709.69178196759)</f>
        <v>45709.69178</v>
      </c>
      <c r="G498" s="42" t="str">
        <f>IFERROR(__xludf.DUMMYFUNCTION("""COMPUTED_VALUE"""),"GANTI NAMA +ROYA")</f>
        <v>GANTI NAMA +ROYA</v>
      </c>
      <c r="H498" s="42">
        <f t="shared" si="1"/>
        <v>270</v>
      </c>
    </row>
    <row r="499" ht="22.5" customHeight="1">
      <c r="B499" s="42" t="str">
        <f>IFERROR(__xludf.DUMMYFUNCTION("""COMPUTED_VALUE"""),"K/12/251124/1")</f>
        <v>K/12/251124/1</v>
      </c>
      <c r="C499" s="42" t="str">
        <f>IFERROR(__xludf.DUMMYFUNCTION("""COMPUTED_VALUE"""),"M. 915/ SUSUNAN BARU")</f>
        <v>M. 915/ SUSUNAN BARU</v>
      </c>
      <c r="D499" s="42"/>
      <c r="E499" s="42"/>
      <c r="F499" s="48" t="str">
        <f>IFERROR(__xludf.DUMMYFUNCTION("""COMPUTED_VALUE"""),"")</f>
        <v/>
      </c>
      <c r="G499" s="42" t="str">
        <f>IFERROR(__xludf.DUMMYFUNCTION("""COMPUTED_VALUE"""),"GANTI KELURAHAN")</f>
        <v>GANTI KELURAHAN</v>
      </c>
      <c r="H499" s="42">
        <f t="shared" si="1"/>
        <v>270</v>
      </c>
    </row>
    <row r="500" ht="22.5" customHeight="1">
      <c r="B500" s="42" t="str">
        <f>IFERROR(__xludf.DUMMYFUNCTION("""COMPUTED_VALUE"""),"L/16/251124/1")</f>
        <v>L/16/251124/1</v>
      </c>
      <c r="C500" s="42" t="str">
        <f>IFERROR(__xludf.DUMMYFUNCTION("""COMPUTED_VALUE"""),"HM 10000")</f>
        <v>HM 10000</v>
      </c>
      <c r="D500" s="42"/>
      <c r="E500" s="42" t="str">
        <f>IFERROR(__xludf.DUMMYFUNCTION("""COMPUTED_VALUE"""),"DISERAHKAN BT")</f>
        <v>DISERAHKAN BT</v>
      </c>
      <c r="F500" s="48" t="str">
        <f>IFERROR(__xludf.DUMMYFUNCTION("""COMPUTED_VALUE"""),"29/11/2024 16.01")</f>
        <v>29/11/2024 16.01</v>
      </c>
      <c r="G500" s="42" t="str">
        <f>IFERROR(__xludf.DUMMYFUNCTION("""COMPUTED_VALUE"""),"ROYA")</f>
        <v>ROYA</v>
      </c>
      <c r="H500" s="42">
        <f t="shared" si="1"/>
        <v>270</v>
      </c>
    </row>
    <row r="501" ht="22.5" customHeight="1">
      <c r="B501" s="42" t="str">
        <f>IFERROR(__xludf.DUMMYFUNCTION("""COMPUTED_VALUE"""),"K/26/251124/2")</f>
        <v>K/26/251124/2</v>
      </c>
      <c r="C501" s="42" t="str">
        <f>IFERROR(__xludf.DUMMYFUNCTION("""COMPUTED_VALUE"""),"M.1380/RAJABASA RAYA")</f>
        <v>M.1380/RAJABASA RAYA</v>
      </c>
      <c r="D501" s="42" t="str">
        <f>IFERROR(__xludf.DUMMYFUNCTION("""COMPUTED_VALUE"""),"Berry")</f>
        <v>Berry</v>
      </c>
      <c r="E501" s="42" t="str">
        <f>IFERROR(__xludf.DUMMYFUNCTION("""COMPUTED_VALUE"""),"DISERAHKAN")</f>
        <v>DISERAHKAN</v>
      </c>
      <c r="F501" s="48">
        <f>IFERROR(__xludf.DUMMYFUNCTION("""COMPUTED_VALUE"""),45673.43404315972)</f>
        <v>45673.43404</v>
      </c>
      <c r="G501" s="42" t="str">
        <f>IFERROR(__xludf.DUMMYFUNCTION("""COMPUTED_VALUE"""),"BN JUAL BELI")</f>
        <v>BN JUAL BELI</v>
      </c>
      <c r="H501" s="42">
        <f t="shared" si="1"/>
        <v>271</v>
      </c>
    </row>
    <row r="502" ht="22.5" customHeight="1">
      <c r="B502" s="42" t="str">
        <f>IFERROR(__xludf.DUMMYFUNCTION("""COMPUTED_VALUE"""),"L/23/251124/1")</f>
        <v>L/23/251124/1</v>
      </c>
      <c r="C502" s="42" t="str">
        <f>IFERROR(__xludf.DUMMYFUNCTION("""COMPUTED_VALUE"""),"HM 87/PALAPA")</f>
        <v>HM 87/PALAPA</v>
      </c>
      <c r="D502" s="42" t="str">
        <f>IFERROR(__xludf.DUMMYFUNCTION("""COMPUTED_VALUE"""),"Berry")</f>
        <v>Berry</v>
      </c>
      <c r="E502" s="42" t="str">
        <f>IFERROR(__xludf.DUMMYFUNCTION("""COMPUTED_VALUE"""),"DISERAHKAN")</f>
        <v>DISERAHKAN</v>
      </c>
      <c r="F502" s="48" t="str">
        <f>IFERROR(__xludf.DUMMYFUNCTION("""COMPUTED_VALUE"""),"26/11/2024 12.03")</f>
        <v>26/11/2024 12.03</v>
      </c>
      <c r="G502" s="42" t="str">
        <f>IFERROR(__xludf.DUMMYFUNCTION("""COMPUTED_VALUE"""),"ROYA LELANG")</f>
        <v>ROYA LELANG</v>
      </c>
      <c r="H502" s="42">
        <f t="shared" si="1"/>
        <v>272</v>
      </c>
    </row>
    <row r="503" ht="22.5" customHeight="1">
      <c r="B503" s="42" t="str">
        <f>IFERROR(__xludf.DUMMYFUNCTION("""COMPUTED_VALUE"""),"L/24/251124/2")</f>
        <v>L/24/251124/2</v>
      </c>
      <c r="C503" s="42" t="str">
        <f>IFERROR(__xludf.DUMMYFUNCTION("""COMPUTED_VALUE"""),"HM 86/PALAPA")</f>
        <v>HM 86/PALAPA</v>
      </c>
      <c r="D503" s="42" t="str">
        <f>IFERROR(__xludf.DUMMYFUNCTION("""COMPUTED_VALUE"""),"Berry")</f>
        <v>Berry</v>
      </c>
      <c r="E503" s="42" t="str">
        <f>IFERROR(__xludf.DUMMYFUNCTION("""COMPUTED_VALUE"""),"DISERAHKAN")</f>
        <v>DISERAHKAN</v>
      </c>
      <c r="F503" s="48" t="str">
        <f>IFERROR(__xludf.DUMMYFUNCTION("""COMPUTED_VALUE"""),"26/11/2024 12.03")</f>
        <v>26/11/2024 12.03</v>
      </c>
      <c r="G503" s="42" t="str">
        <f>IFERROR(__xludf.DUMMYFUNCTION("""COMPUTED_VALUE"""),"ROYA LELANG")</f>
        <v>ROYA LELANG</v>
      </c>
      <c r="H503" s="42">
        <f t="shared" si="1"/>
        <v>273</v>
      </c>
    </row>
    <row r="504" ht="22.5" customHeight="1">
      <c r="B504" s="42" t="str">
        <f>IFERROR(__xludf.DUMMYFUNCTION("""COMPUTED_VALUE"""),"L/29/251124/1")</f>
        <v>L/29/251124/1</v>
      </c>
      <c r="C504" s="42" t="str">
        <f>IFERROR(__xludf.DUMMYFUNCTION("""COMPUTED_VALUE"""),"HM 15181/SUKABUMI")</f>
        <v>HM 15181/SUKABUMI</v>
      </c>
      <c r="D504" s="42" t="str">
        <f>IFERROR(__xludf.DUMMYFUNCTION("""COMPUTED_VALUE"""),"Berry")</f>
        <v>Berry</v>
      </c>
      <c r="E504" s="42" t="str">
        <f>IFERROR(__xludf.DUMMYFUNCTION("""COMPUTED_VALUE"""),"DISERAHKAN")</f>
        <v>DISERAHKAN</v>
      </c>
      <c r="F504" s="48" t="str">
        <f>IFERROR(__xludf.DUMMYFUNCTION("""COMPUTED_VALUE"""),"26/11/2024 12.03")</f>
        <v>26/11/2024 12.03</v>
      </c>
      <c r="G504" s="42" t="str">
        <f>IFERROR(__xludf.DUMMYFUNCTION("""COMPUTED_VALUE"""),"BN LELANG")</f>
        <v>BN LELANG</v>
      </c>
      <c r="H504" s="42">
        <f t="shared" si="1"/>
        <v>274</v>
      </c>
    </row>
    <row r="505" ht="22.5" customHeight="1">
      <c r="B505" s="42" t="str">
        <f>IFERROR(__xludf.DUMMYFUNCTION("""COMPUTED_VALUE"""),"K/28/251124/1")</f>
        <v>K/28/251124/1</v>
      </c>
      <c r="C505" s="42" t="str">
        <f>IFERROR(__xludf.DUMMYFUNCTION("""COMPUTED_VALUE"""),"P. 24/ Sukarame")</f>
        <v>P. 24/ Sukarame</v>
      </c>
      <c r="D505" s="42" t="str">
        <f>IFERROR(__xludf.DUMMYFUNCTION("""COMPUTED_VALUE"""),"Berry")</f>
        <v>Berry</v>
      </c>
      <c r="E505" s="42" t="str">
        <f>IFERROR(__xludf.DUMMYFUNCTION("""COMPUTED_VALUE"""),"PROSES")</f>
        <v>PROSES</v>
      </c>
      <c r="F505" s="48" t="str">
        <f>IFERROR(__xludf.DUMMYFUNCTION("""COMPUTED_VALUE"""),"")</f>
        <v/>
      </c>
      <c r="G505" s="42" t="str">
        <f>IFERROR(__xludf.DUMMYFUNCTION("""COMPUTED_VALUE"""),"PEMISAHAN BIDANG")</f>
        <v>PEMISAHAN BIDANG</v>
      </c>
      <c r="H505" s="42">
        <f t="shared" si="1"/>
        <v>274</v>
      </c>
    </row>
    <row r="506" ht="22.5" customHeight="1">
      <c r="B506" s="42" t="str">
        <f>IFERROR(__xludf.DUMMYFUNCTION("""COMPUTED_VALUE"""),"K/27/251124/1")</f>
        <v>K/27/251124/1</v>
      </c>
      <c r="C506" s="42" t="str">
        <f>IFERROR(__xludf.DUMMYFUNCTION("""COMPUTED_VALUE"""),"M.1227/SUKARAME")</f>
        <v>M.1227/SUKARAME</v>
      </c>
      <c r="D506" s="42" t="str">
        <f>IFERROR(__xludf.DUMMYFUNCTION("""COMPUTED_VALUE"""),"Berry")</f>
        <v>Berry</v>
      </c>
      <c r="E506" s="42" t="str">
        <f>IFERROR(__xludf.DUMMYFUNCTION("""COMPUTED_VALUE"""),"DISERAHKAN")</f>
        <v>DISERAHKAN</v>
      </c>
      <c r="F506" s="48">
        <f>IFERROR(__xludf.DUMMYFUNCTION("""COMPUTED_VALUE"""),45673.45500268519)</f>
        <v>45673.455</v>
      </c>
      <c r="G506" s="42" t="str">
        <f>IFERROR(__xludf.DUMMYFUNCTION("""COMPUTED_VALUE"""),"BN JUAL BELI")</f>
        <v>BN JUAL BELI</v>
      </c>
      <c r="H506" s="42">
        <f t="shared" si="1"/>
        <v>275</v>
      </c>
    </row>
    <row r="507" ht="22.5" customHeight="1">
      <c r="B507" s="42" t="str">
        <f>IFERROR(__xludf.DUMMYFUNCTION("""COMPUTED_VALUE"""),"K/34/251124/1")</f>
        <v>K/34/251124/1</v>
      </c>
      <c r="C507" s="42" t="str">
        <f>IFERROR(__xludf.DUMMYFUNCTION("""COMPUTED_VALUE"""),"WAY KANDIS")</f>
        <v>WAY KANDIS</v>
      </c>
      <c r="D507" s="42"/>
      <c r="E507" s="42"/>
      <c r="F507" s="48" t="str">
        <f>IFERROR(__xludf.DUMMYFUNCTION("""COMPUTED_VALUE"""),"")</f>
        <v/>
      </c>
      <c r="G507" s="42" t="str">
        <f>IFERROR(__xludf.DUMMYFUNCTION("""COMPUTED_VALUE"""),"PENGUKURAN DAN PEMETAAN KADASTRAL")</f>
        <v>PENGUKURAN DAN PEMETAAN KADASTRAL</v>
      </c>
      <c r="H507" s="42">
        <f t="shared" si="1"/>
        <v>275</v>
      </c>
    </row>
    <row r="508" ht="22.5" customHeight="1">
      <c r="B508" s="42" t="str">
        <f>IFERROR(__xludf.DUMMYFUNCTION("""COMPUTED_VALUE"""),"K/35/251124/2")</f>
        <v>K/35/251124/2</v>
      </c>
      <c r="C508" s="42" t="str">
        <f>IFERROR(__xludf.DUMMYFUNCTION("""COMPUTED_VALUE"""),"WAY KANDIS")</f>
        <v>WAY KANDIS</v>
      </c>
      <c r="D508" s="42"/>
      <c r="E508" s="42"/>
      <c r="F508" s="48" t="str">
        <f>IFERROR(__xludf.DUMMYFUNCTION("""COMPUTED_VALUE"""),"")</f>
        <v/>
      </c>
      <c r="G508" s="42" t="str">
        <f>IFERROR(__xludf.DUMMYFUNCTION("""COMPUTED_VALUE"""),"PENGUKURAN DAN PEMETAAN KADASTRAL")</f>
        <v>PENGUKURAN DAN PEMETAAN KADASTRAL</v>
      </c>
      <c r="H508" s="42">
        <f t="shared" si="1"/>
        <v>275</v>
      </c>
    </row>
    <row r="509" ht="22.5" customHeight="1">
      <c r="B509" s="42" t="str">
        <f>IFERROR(__xludf.DUMMYFUNCTION("""COMPUTED_VALUE"""),"L/39/251124/1")</f>
        <v>L/39/251124/1</v>
      </c>
      <c r="C509" s="42" t="str">
        <f>IFERROR(__xludf.DUMMYFUNCTION("""COMPUTED_VALUE"""),"HM 1348/KALIAWI")</f>
        <v>HM 1348/KALIAWI</v>
      </c>
      <c r="D509" s="42" t="str">
        <f>IFERROR(__xludf.DUMMYFUNCTION("""COMPUTED_VALUE"""),"Berry")</f>
        <v>Berry</v>
      </c>
      <c r="E509" s="42" t="str">
        <f>IFERROR(__xludf.DUMMYFUNCTION("""COMPUTED_VALUE"""),"DISERAHKAN")</f>
        <v>DISERAHKAN</v>
      </c>
      <c r="F509" s="48" t="str">
        <f>IFERROR(__xludf.DUMMYFUNCTION("""COMPUTED_VALUE"""),"26/11/2024 12.03")</f>
        <v>26/11/2024 12.03</v>
      </c>
      <c r="G509" s="42" t="str">
        <f>IFERROR(__xludf.DUMMYFUNCTION("""COMPUTED_VALUE"""),"SERTIPIKAT HILANG")</f>
        <v>SERTIPIKAT HILANG</v>
      </c>
      <c r="H509" s="42">
        <f t="shared" si="1"/>
        <v>276</v>
      </c>
    </row>
    <row r="510" ht="22.5" customHeight="1">
      <c r="B510" s="42" t="str">
        <f>IFERROR(__xludf.DUMMYFUNCTION("""COMPUTED_VALUE"""),"K/43/251124/1")</f>
        <v>K/43/251124/1</v>
      </c>
      <c r="C510" s="42" t="str">
        <f>IFERROR(__xludf.DUMMYFUNCTION("""COMPUTED_VALUE"""),"M.5177/RAJABASA JAYA")</f>
        <v>M.5177/RAJABASA JAYA</v>
      </c>
      <c r="D510" s="42" t="str">
        <f>IFERROR(__xludf.DUMMYFUNCTION("""COMPUTED_VALUE"""),"Berry")</f>
        <v>Berry</v>
      </c>
      <c r="E510" s="42" t="str">
        <f>IFERROR(__xludf.DUMMYFUNCTION("""COMPUTED_VALUE"""),"PROSES")</f>
        <v>PROSES</v>
      </c>
      <c r="F510" s="48" t="str">
        <f>IFERROR(__xludf.DUMMYFUNCTION("""COMPUTED_VALUE"""),"")</f>
        <v/>
      </c>
      <c r="G510" s="42" t="str">
        <f>IFERROR(__xludf.DUMMYFUNCTION("""COMPUTED_VALUE"""),"BN JUAL BELI")</f>
        <v>BN JUAL BELI</v>
      </c>
      <c r="H510" s="42">
        <f t="shared" si="1"/>
        <v>276</v>
      </c>
    </row>
    <row r="511" ht="22.5" customHeight="1">
      <c r="B511" s="42" t="str">
        <f>IFERROR(__xludf.DUMMYFUNCTION("""COMPUTED_VALUE"""),"K/48/251124/1")</f>
        <v>K/48/251124/1</v>
      </c>
      <c r="C511" s="42" t="str">
        <f>IFERROR(__xludf.DUMMYFUNCTION("""COMPUTED_VALUE"""),"M.37/PEMATANG WANGI")</f>
        <v>M.37/PEMATANG WANGI</v>
      </c>
      <c r="D511" s="42" t="str">
        <f>IFERROR(__xludf.DUMMYFUNCTION("""COMPUTED_VALUE"""),"Berry")</f>
        <v>Berry</v>
      </c>
      <c r="E511" s="42" t="str">
        <f>IFERROR(__xludf.DUMMYFUNCTION("""COMPUTED_VALUE"""),"DISERAHKAN")</f>
        <v>DISERAHKAN</v>
      </c>
      <c r="F511" s="48" t="str">
        <f>IFERROR(__xludf.DUMMYFUNCTION("""COMPUTED_VALUE"""),"26/11/2024 12.03")</f>
        <v>26/11/2024 12.03</v>
      </c>
      <c r="G511" s="42" t="str">
        <f>IFERROR(__xludf.DUMMYFUNCTION("""COMPUTED_VALUE"""),"BN JUAL BELI")</f>
        <v>BN JUAL BELI</v>
      </c>
      <c r="H511" s="42">
        <f t="shared" si="1"/>
        <v>277</v>
      </c>
    </row>
    <row r="512" ht="22.5" customHeight="1">
      <c r="B512" s="42" t="str">
        <f>IFERROR(__xludf.DUMMYFUNCTION("""COMPUTED_VALUE"""),"K/56/251124/2")</f>
        <v>K/56/251124/2</v>
      </c>
      <c r="C512" s="42" t="str">
        <f>IFERROR(__xludf.DUMMYFUNCTION("""COMPUTED_VALUE"""),"M.4941/TANJUNG SENANG")</f>
        <v>M.4941/TANJUNG SENANG</v>
      </c>
      <c r="D512" s="42" t="str">
        <f>IFERROR(__xludf.DUMMYFUNCTION("""COMPUTED_VALUE"""),"Berry")</f>
        <v>Berry</v>
      </c>
      <c r="E512" s="42" t="str">
        <f>IFERROR(__xludf.DUMMYFUNCTION("""COMPUTED_VALUE"""),"DISERAHKAN")</f>
        <v>DISERAHKAN</v>
      </c>
      <c r="F512" s="48" t="str">
        <f>IFERROR(__xludf.DUMMYFUNCTION("""COMPUTED_VALUE"""),"26/11/2024 12.03")</f>
        <v>26/11/2024 12.03</v>
      </c>
      <c r="G512" s="42" t="str">
        <f>IFERROR(__xludf.DUMMYFUNCTION("""COMPUTED_VALUE"""),"BN JUAL BELI")</f>
        <v>BN JUAL BELI</v>
      </c>
      <c r="H512" s="42">
        <f t="shared" si="1"/>
        <v>278</v>
      </c>
    </row>
    <row r="513" ht="22.5" customHeight="1">
      <c r="B513" s="42" t="str">
        <f>IFERROR(__xludf.DUMMYFUNCTION("""COMPUTED_VALUE"""),"K/59/251124/1")</f>
        <v>K/59/251124/1</v>
      </c>
      <c r="C513" s="42" t="str">
        <f>IFERROR(__xludf.DUMMYFUNCTION("""COMPUTED_VALUE"""),"M.902/NEGERI OLOK GADING-SEKARANG;B.724/NEGERI OLOK GADING-DAHULU")</f>
        <v>M.902/NEGERI OLOK GADING-SEKARANG;B.724/NEGERI OLOK GADING-DAHULU</v>
      </c>
      <c r="D513" s="42" t="str">
        <f>IFERROR(__xludf.DUMMYFUNCTION("""COMPUTED_VALUE"""),"Berry")</f>
        <v>Berry</v>
      </c>
      <c r="E513" s="42" t="str">
        <f>IFERROR(__xludf.DUMMYFUNCTION("""COMPUTED_VALUE"""),"DISERAHKAN")</f>
        <v>DISERAHKAN</v>
      </c>
      <c r="F513" s="48" t="str">
        <f>IFERROR(__xludf.DUMMYFUNCTION("""COMPUTED_VALUE"""),"26/11/2024 12.03")</f>
        <v>26/11/2024 12.03</v>
      </c>
      <c r="G513" s="42" t="str">
        <f>IFERROR(__xludf.DUMMYFUNCTION("""COMPUTED_VALUE"""),"BN JUAL BELI")</f>
        <v>BN JUAL BELI</v>
      </c>
      <c r="H513" s="42">
        <f t="shared" si="1"/>
        <v>279</v>
      </c>
    </row>
    <row r="514" ht="22.5" customHeight="1">
      <c r="B514" s="42" t="str">
        <f>IFERROR(__xludf.DUMMYFUNCTION("""COMPUTED_VALUE"""),"K/57/251124/3")</f>
        <v>K/57/251124/3</v>
      </c>
      <c r="C514" s="42" t="str">
        <f>IFERROR(__xludf.DUMMYFUNCTION("""COMPUTED_VALUE"""),"M. 6814/TANJUNG SENANG")</f>
        <v>M. 6814/TANJUNG SENANG</v>
      </c>
      <c r="D514" s="42" t="str">
        <f>IFERROR(__xludf.DUMMYFUNCTION("""COMPUTED_VALUE"""),"Berry")</f>
        <v>Berry</v>
      </c>
      <c r="E514" s="42" t="str">
        <f>IFERROR(__xludf.DUMMYFUNCTION("""COMPUTED_VALUE"""),"DISERAHKAN")</f>
        <v>DISERAHKAN</v>
      </c>
      <c r="F514" s="48" t="str">
        <f>IFERROR(__xludf.DUMMYFUNCTION("""COMPUTED_VALUE"""),"26/11/2024 12.03")</f>
        <v>26/11/2024 12.03</v>
      </c>
      <c r="G514" s="42" t="str">
        <f>IFERROR(__xludf.DUMMYFUNCTION("""COMPUTED_VALUE"""),"BN JUAL BELI")</f>
        <v>BN JUAL BELI</v>
      </c>
      <c r="H514" s="42">
        <f t="shared" si="1"/>
        <v>280</v>
      </c>
    </row>
    <row r="515" ht="22.5" customHeight="1">
      <c r="B515" s="42" t="str">
        <f>IFERROR(__xludf.DUMMYFUNCTION("""COMPUTED_VALUE"""),"L/60/251124/1")</f>
        <v>L/60/251124/1</v>
      </c>
      <c r="C515" s="42" t="str">
        <f>IFERROR(__xludf.DUMMYFUNCTION("""COMPUTED_VALUE"""),"JAGABAYA")</f>
        <v>JAGABAYA</v>
      </c>
      <c r="D515" s="42"/>
      <c r="E515" s="42"/>
      <c r="F515" s="48" t="str">
        <f>IFERROR(__xludf.DUMMYFUNCTION("""COMPUTED_VALUE"""),"")</f>
        <v/>
      </c>
      <c r="G515" s="42" t="str">
        <f>IFERROR(__xludf.DUMMYFUNCTION("""COMPUTED_VALUE"""),"SERTIPIKAT HILANG")</f>
        <v>SERTIPIKAT HILANG</v>
      </c>
      <c r="H515" s="42">
        <f t="shared" si="1"/>
        <v>280</v>
      </c>
    </row>
    <row r="516" ht="22.5" customHeight="1">
      <c r="B516" s="42" t="str">
        <f>IFERROR(__xludf.DUMMYFUNCTION("""COMPUTED_VALUE"""),"K/61/251124/1")</f>
        <v>K/61/251124/1</v>
      </c>
      <c r="C516" s="42" t="str">
        <f>IFERROR(__xludf.DUMMYFUNCTION("""COMPUTED_VALUE"""),"M. 2492/ Kemiling Permai")</f>
        <v>M. 2492/ Kemiling Permai</v>
      </c>
      <c r="D516" s="42" t="str">
        <f>IFERROR(__xludf.DUMMYFUNCTION("""COMPUTED_VALUE"""),"Berry")</f>
        <v>Berry</v>
      </c>
      <c r="E516" s="42" t="str">
        <f>IFERROR(__xludf.DUMMYFUNCTION("""COMPUTED_VALUE"""),"DISERAHKAN")</f>
        <v>DISERAHKAN</v>
      </c>
      <c r="F516" s="48">
        <f>IFERROR(__xludf.DUMMYFUNCTION("""COMPUTED_VALUE"""),45673.43404315972)</f>
        <v>45673.43404</v>
      </c>
      <c r="G516" s="42" t="str">
        <f>IFERROR(__xludf.DUMMYFUNCTION("""COMPUTED_VALUE"""),"BN JUAL BELI")</f>
        <v>BN JUAL BELI</v>
      </c>
      <c r="H516" s="42">
        <f t="shared" si="1"/>
        <v>281</v>
      </c>
    </row>
    <row r="517" ht="22.5" customHeight="1">
      <c r="B517" s="42" t="str">
        <f>IFERROR(__xludf.DUMMYFUNCTION("""COMPUTED_VALUE"""),"K/62/251124/2")</f>
        <v>K/62/251124/2</v>
      </c>
      <c r="C517" s="42" t="str">
        <f>IFERROR(__xludf.DUMMYFUNCTION("""COMPUTED_VALUE"""),"M. 2758/ Gedong Air")</f>
        <v>M. 2758/ Gedong Air</v>
      </c>
      <c r="D517" s="42"/>
      <c r="E517" s="42"/>
      <c r="F517" s="48" t="str">
        <f>IFERROR(__xludf.DUMMYFUNCTION("""COMPUTED_VALUE"""),"")</f>
        <v/>
      </c>
      <c r="G517" s="42" t="str">
        <f>IFERROR(__xludf.DUMMYFUNCTION("""COMPUTED_VALUE"""),"HAPUS BPHTB")</f>
        <v>HAPUS BPHTB</v>
      </c>
      <c r="H517" s="42">
        <f t="shared" si="1"/>
        <v>281</v>
      </c>
    </row>
    <row r="518" ht="22.5" customHeight="1">
      <c r="B518" s="42" t="str">
        <f>IFERROR(__xludf.DUMMYFUNCTION("""COMPUTED_VALUE"""),"K/63/251124/1")</f>
        <v>K/63/251124/1</v>
      </c>
      <c r="C518" s="42" t="str">
        <f>IFERROR(__xludf.DUMMYFUNCTION("""COMPUTED_VALUE"""),"M.1803/RAJABASA NYUNYAI-SEKARANG;M.11924/RAJABASA-DAHULU")</f>
        <v>M.1803/RAJABASA NYUNYAI-SEKARANG;M.11924/RAJABASA-DAHULU</v>
      </c>
      <c r="D518" s="42" t="str">
        <f>IFERROR(__xludf.DUMMYFUNCTION("""COMPUTED_VALUE"""),"Berry")</f>
        <v>Berry</v>
      </c>
      <c r="E518" s="42" t="str">
        <f>IFERROR(__xludf.DUMMYFUNCTION("""COMPUTED_VALUE"""),"DISERAHKAN")</f>
        <v>DISERAHKAN</v>
      </c>
      <c r="F518" s="48">
        <f>IFERROR(__xludf.DUMMYFUNCTION("""COMPUTED_VALUE"""),45691.45500019676)</f>
        <v>45691.455</v>
      </c>
      <c r="G518" s="42" t="str">
        <f>IFERROR(__xludf.DUMMYFUNCTION("""COMPUTED_VALUE"""),"BN JUAL BELI")</f>
        <v>BN JUAL BELI</v>
      </c>
      <c r="H518" s="42">
        <f t="shared" si="1"/>
        <v>282</v>
      </c>
    </row>
    <row r="519" ht="22.5" customHeight="1">
      <c r="B519" s="42" t="str">
        <f>IFERROR(__xludf.DUMMYFUNCTION("""COMPUTED_VALUE"""),"K/58/251124/4")</f>
        <v>K/58/251124/4</v>
      </c>
      <c r="C519" s="42" t="str">
        <f>IFERROR(__xludf.DUMMYFUNCTION("""COMPUTED_VALUE"""),"M.5493/WAY KANDIS")</f>
        <v>M.5493/WAY KANDIS</v>
      </c>
      <c r="D519" s="42" t="str">
        <f>IFERROR(__xludf.DUMMYFUNCTION("""COMPUTED_VALUE"""),"Berry")</f>
        <v>Berry</v>
      </c>
      <c r="E519" s="42" t="str">
        <f>IFERROR(__xludf.DUMMYFUNCTION("""COMPUTED_VALUE"""),"DISERAHKAN")</f>
        <v>DISERAHKAN</v>
      </c>
      <c r="F519" s="48" t="str">
        <f>IFERROR(__xludf.DUMMYFUNCTION("""COMPUTED_VALUE"""),"26/11/2024 12.03")</f>
        <v>26/11/2024 12.03</v>
      </c>
      <c r="G519" s="42" t="str">
        <f>IFERROR(__xludf.DUMMYFUNCTION("""COMPUTED_VALUE"""),"BN JUAL BELI")</f>
        <v>BN JUAL BELI</v>
      </c>
      <c r="H519" s="42">
        <f t="shared" si="1"/>
        <v>283</v>
      </c>
    </row>
    <row r="520" ht="22.5" customHeight="1">
      <c r="B520" s="42" t="str">
        <f>IFERROR(__xludf.DUMMYFUNCTION("""COMPUTED_VALUE"""),"K/64/251124/1")</f>
        <v>K/64/251124/1</v>
      </c>
      <c r="C520" s="42" t="str">
        <f>IFERROR(__xludf.DUMMYFUNCTION("""COMPUTED_VALUE"""),"M. 3177/ KEMILING PERMAI")</f>
        <v>M. 3177/ KEMILING PERMAI</v>
      </c>
      <c r="D520" s="42"/>
      <c r="E520" s="42"/>
      <c r="F520" s="48" t="str">
        <f>IFERROR(__xludf.DUMMYFUNCTION("""COMPUTED_VALUE"""),"")</f>
        <v/>
      </c>
      <c r="G520" s="42" t="str">
        <f>IFERROR(__xludf.DUMMYFUNCTION("""COMPUTED_VALUE"""),"PLOTTING")</f>
        <v>PLOTTING</v>
      </c>
      <c r="H520" s="42">
        <f t="shared" si="1"/>
        <v>283</v>
      </c>
    </row>
    <row r="521" ht="22.5" customHeight="1">
      <c r="B521" s="42" t="str">
        <f>IFERROR(__xludf.DUMMYFUNCTION("""COMPUTED_VALUE"""),"K/65/251124/1")</f>
        <v>K/65/251124/1</v>
      </c>
      <c r="C521" s="42" t="str">
        <f>IFERROR(__xludf.DUMMYFUNCTION("""COMPUTED_VALUE"""),"M.111/SUMBERREJO SEJAHTERA")</f>
        <v>M.111/SUMBERREJO SEJAHTERA</v>
      </c>
      <c r="D521" s="42" t="str">
        <f>IFERROR(__xludf.DUMMYFUNCTION("""COMPUTED_VALUE"""),"Berry")</f>
        <v>Berry</v>
      </c>
      <c r="E521" s="42" t="str">
        <f>IFERROR(__xludf.DUMMYFUNCTION("""COMPUTED_VALUE"""),"DISERAHKAN SU")</f>
        <v>DISERAHKAN SU</v>
      </c>
      <c r="F521" s="48" t="str">
        <f>IFERROR(__xludf.DUMMYFUNCTION("""COMPUTED_VALUE"""),"26/11/2024 12.03")</f>
        <v>26/11/2024 12.03</v>
      </c>
      <c r="G521" s="42" t="str">
        <f>IFERROR(__xludf.DUMMYFUNCTION("""COMPUTED_VALUE"""),"ROYA")</f>
        <v>ROYA</v>
      </c>
      <c r="H521" s="42">
        <f t="shared" si="1"/>
        <v>283</v>
      </c>
    </row>
    <row r="522" ht="22.5" customHeight="1">
      <c r="B522" s="42" t="str">
        <f>IFERROR(__xludf.DUMMYFUNCTION("""COMPUTED_VALUE"""),"K/52/251124/4")</f>
        <v>K/52/251124/4</v>
      </c>
      <c r="C522" s="42" t="str">
        <f>IFERROR(__xludf.DUMMYFUNCTION("""COMPUTED_VALUE"""),"B. 788/ Keteguhan")</f>
        <v>B. 788/ Keteguhan</v>
      </c>
      <c r="D522" s="42" t="str">
        <f>IFERROR(__xludf.DUMMYFUNCTION("""COMPUTED_VALUE"""),"Berry")</f>
        <v>Berry</v>
      </c>
      <c r="E522" s="42" t="str">
        <f>IFERROR(__xludf.DUMMYFUNCTION("""COMPUTED_VALUE"""),"PROSES")</f>
        <v>PROSES</v>
      </c>
      <c r="F522" s="48" t="str">
        <f>IFERROR(__xludf.DUMMYFUNCTION("""COMPUTED_VALUE"""),"")</f>
        <v/>
      </c>
      <c r="G522" s="42" t="str">
        <f>IFERROR(__xludf.DUMMYFUNCTION("""COMPUTED_VALUE"""),"Pemisahan")</f>
        <v>Pemisahan</v>
      </c>
      <c r="H522" s="42">
        <f t="shared" si="1"/>
        <v>283</v>
      </c>
    </row>
    <row r="523" ht="22.5" customHeight="1">
      <c r="B523" s="42" t="str">
        <f>IFERROR(__xludf.DUMMYFUNCTION("""COMPUTED_VALUE"""),"K/2/261124/1")</f>
        <v>K/2/261124/1</v>
      </c>
      <c r="C523" s="42" t="str">
        <f>IFERROR(__xludf.DUMMYFUNCTION("""COMPUTED_VALUE"""),"M.1350/TANJUNG SENENG")</f>
        <v>M.1350/TANJUNG SENENG</v>
      </c>
      <c r="D523" s="42" t="str">
        <f>IFERROR(__xludf.DUMMYFUNCTION("""COMPUTED_VALUE"""),"David")</f>
        <v>David</v>
      </c>
      <c r="E523" s="42" t="str">
        <f>IFERROR(__xludf.DUMMYFUNCTION("""COMPUTED_VALUE"""),"DISERAHKAN")</f>
        <v>DISERAHKAN</v>
      </c>
      <c r="F523" s="48" t="str">
        <f>IFERROR(__xludf.DUMMYFUNCTION("""COMPUTED_VALUE"""),"28/11/2024 14.05")</f>
        <v>28/11/2024 14.05</v>
      </c>
      <c r="G523" s="42" t="str">
        <f>IFERROR(__xludf.DUMMYFUNCTION("""COMPUTED_VALUE"""),"BN JUAL BELI")</f>
        <v>BN JUAL BELI</v>
      </c>
      <c r="H523" s="42">
        <f t="shared" si="1"/>
        <v>284</v>
      </c>
    </row>
    <row r="524" ht="22.5" customHeight="1">
      <c r="B524" s="42" t="str">
        <f>IFERROR(__xludf.DUMMYFUNCTION("""COMPUTED_VALUE"""),"L/7/261124/1")</f>
        <v>L/7/261124/1</v>
      </c>
      <c r="C524" s="42" t="str">
        <f>IFERROR(__xludf.DUMMYFUNCTION("""COMPUTED_VALUE"""),"HM 1387/SUKABUMI INDAH")</f>
        <v>HM 1387/SUKABUMI INDAH</v>
      </c>
      <c r="D524" s="42" t="str">
        <f>IFERROR(__xludf.DUMMYFUNCTION("""COMPUTED_VALUE"""),"David")</f>
        <v>David</v>
      </c>
      <c r="E524" s="42" t="str">
        <f>IFERROR(__xludf.DUMMYFUNCTION("""COMPUTED_VALUE"""),"PROSES")</f>
        <v>PROSES</v>
      </c>
      <c r="F524" s="48" t="str">
        <f>IFERROR(__xludf.DUMMYFUNCTION("""COMPUTED_VALUE"""),"")</f>
        <v/>
      </c>
      <c r="G524" s="42" t="str">
        <f>IFERROR(__xludf.DUMMYFUNCTION("""COMPUTED_VALUE"""),"ROYA")</f>
        <v>ROYA</v>
      </c>
      <c r="H524" s="42">
        <f t="shared" si="1"/>
        <v>284</v>
      </c>
    </row>
    <row r="525" ht="22.5" customHeight="1">
      <c r="B525" s="42" t="str">
        <f>IFERROR(__xludf.DUMMYFUNCTION("""COMPUTED_VALUE"""),"K/8/261124/1")</f>
        <v>K/8/261124/1</v>
      </c>
      <c r="C525" s="42" t="str">
        <f>IFERROR(__xludf.DUMMYFUNCTION("""COMPUTED_VALUE"""),"M. 1500/ Susunan Baru")</f>
        <v>M. 1500/ Susunan Baru</v>
      </c>
      <c r="D525" s="42"/>
      <c r="E525" s="42"/>
      <c r="F525" s="48" t="str">
        <f>IFERROR(__xludf.DUMMYFUNCTION("""COMPUTED_VALUE"""),"")</f>
        <v/>
      </c>
      <c r="G525" s="42" t="str">
        <f>IFERROR(__xludf.DUMMYFUNCTION("""COMPUTED_VALUE"""),"SKPT LELANG")</f>
        <v>SKPT LELANG</v>
      </c>
      <c r="H525" s="42">
        <f t="shared" si="1"/>
        <v>284</v>
      </c>
    </row>
    <row r="526" ht="22.5" customHeight="1">
      <c r="B526" s="42" t="str">
        <f>IFERROR(__xludf.DUMMYFUNCTION("""COMPUTED_VALUE"""),"K/9/261124/2")</f>
        <v>K/9/261124/2</v>
      </c>
      <c r="C526" s="42" t="str">
        <f>IFERROR(__xludf.DUMMYFUNCTION("""COMPUTED_VALUE"""),"M. 1501/ Susunan Baru")</f>
        <v>M. 1501/ Susunan Baru</v>
      </c>
      <c r="D526" s="42"/>
      <c r="E526" s="42"/>
      <c r="F526" s="48" t="str">
        <f>IFERROR(__xludf.DUMMYFUNCTION("""COMPUTED_VALUE"""),"")</f>
        <v/>
      </c>
      <c r="G526" s="42" t="str">
        <f>IFERROR(__xludf.DUMMYFUNCTION("""COMPUTED_VALUE"""),"SKPT LELANG")</f>
        <v>SKPT LELANG</v>
      </c>
      <c r="H526" s="42">
        <f t="shared" si="1"/>
        <v>284</v>
      </c>
    </row>
    <row r="527" ht="22.5" customHeight="1">
      <c r="B527" s="42" t="str">
        <f>IFERROR(__xludf.DUMMYFUNCTION("""COMPUTED_VALUE"""),"L/13/261124/1")</f>
        <v>L/13/261124/1</v>
      </c>
      <c r="C527" s="42" t="str">
        <f>IFERROR(__xludf.DUMMYFUNCTION("""COMPUTED_VALUE"""),"HGB 555/BAKUNG")</f>
        <v>HGB 555/BAKUNG</v>
      </c>
      <c r="D527" s="42" t="str">
        <f>IFERROR(__xludf.DUMMYFUNCTION("""COMPUTED_VALUE"""),"David")</f>
        <v>David</v>
      </c>
      <c r="E527" s="42" t="str">
        <f>IFERROR(__xludf.DUMMYFUNCTION("""COMPUTED_VALUE"""),"PROSES")</f>
        <v>PROSES</v>
      </c>
      <c r="F527" s="48" t="str">
        <f>IFERROR(__xludf.DUMMYFUNCTION("""COMPUTED_VALUE"""),"")</f>
        <v/>
      </c>
      <c r="G527" s="42" t="str">
        <f>IFERROR(__xludf.DUMMYFUNCTION("""COMPUTED_VALUE"""),"PH")</f>
        <v>PH</v>
      </c>
      <c r="H527" s="42">
        <f t="shared" si="1"/>
        <v>284</v>
      </c>
    </row>
    <row r="528" ht="22.5" customHeight="1">
      <c r="B528" s="42" t="str">
        <f>IFERROR(__xludf.DUMMYFUNCTION("""COMPUTED_VALUE"""),"K/10/261124/3")</f>
        <v>K/10/261124/3</v>
      </c>
      <c r="C528" s="42" t="str">
        <f>IFERROR(__xludf.DUMMYFUNCTION("""COMPUTED_VALUE"""),"M. 1499/ Susunan Baru")</f>
        <v>M. 1499/ Susunan Baru</v>
      </c>
      <c r="D528" s="42"/>
      <c r="E528" s="42"/>
      <c r="F528" s="48" t="str">
        <f>IFERROR(__xludf.DUMMYFUNCTION("""COMPUTED_VALUE"""),"")</f>
        <v/>
      </c>
      <c r="G528" s="42" t="str">
        <f>IFERROR(__xludf.DUMMYFUNCTION("""COMPUTED_VALUE"""),"SKPT LELANG")</f>
        <v>SKPT LELANG</v>
      </c>
      <c r="H528" s="42">
        <f t="shared" si="1"/>
        <v>284</v>
      </c>
    </row>
    <row r="529" ht="22.5" customHeight="1">
      <c r="B529" s="42" t="str">
        <f>IFERROR(__xludf.DUMMYFUNCTION("""COMPUTED_VALUE"""),"K/11/261124/4")</f>
        <v>K/11/261124/4</v>
      </c>
      <c r="C529" s="42" t="str">
        <f>IFERROR(__xludf.DUMMYFUNCTION("""COMPUTED_VALUE"""),"M. 1549/ Susunan Baru")</f>
        <v>M. 1549/ Susunan Baru</v>
      </c>
      <c r="D529" s="42"/>
      <c r="E529" s="42"/>
      <c r="F529" s="48" t="str">
        <f>IFERROR(__xludf.DUMMYFUNCTION("""COMPUTED_VALUE"""),"")</f>
        <v/>
      </c>
      <c r="G529" s="42" t="str">
        <f>IFERROR(__xludf.DUMMYFUNCTION("""COMPUTED_VALUE"""),"SKPT LELANG")</f>
        <v>SKPT LELANG</v>
      </c>
      <c r="H529" s="42">
        <f t="shared" si="1"/>
        <v>284</v>
      </c>
    </row>
    <row r="530" ht="22.5" customHeight="1">
      <c r="B530" s="42" t="str">
        <f>IFERROR(__xludf.DUMMYFUNCTION("""COMPUTED_VALUE"""),"K/12/261124/5")</f>
        <v>K/12/261124/5</v>
      </c>
      <c r="C530" s="42" t="str">
        <f>IFERROR(__xludf.DUMMYFUNCTION("""COMPUTED_VALUE"""),"M. 1550/ SUSUNAN BARU")</f>
        <v>M. 1550/ SUSUNAN BARU</v>
      </c>
      <c r="D530" s="42"/>
      <c r="E530" s="42"/>
      <c r="F530" s="48" t="str">
        <f>IFERROR(__xludf.DUMMYFUNCTION("""COMPUTED_VALUE"""),"")</f>
        <v/>
      </c>
      <c r="G530" s="42" t="str">
        <f>IFERROR(__xludf.DUMMYFUNCTION("""COMPUTED_VALUE"""),"SKPT LELANG")</f>
        <v>SKPT LELANG</v>
      </c>
      <c r="H530" s="42">
        <f t="shared" si="1"/>
        <v>284</v>
      </c>
    </row>
    <row r="531" ht="22.5" customHeight="1">
      <c r="B531" s="42" t="str">
        <f>IFERROR(__xludf.DUMMYFUNCTION("""COMPUTED_VALUE"""),"K/15/261124/1")</f>
        <v>K/15/261124/1</v>
      </c>
      <c r="C531" s="42" t="str">
        <f>IFERROR(__xludf.DUMMYFUNCTION("""COMPUTED_VALUE"""),"M. 2212/ Susunan Baru")</f>
        <v>M. 2212/ Susunan Baru</v>
      </c>
      <c r="D531" s="42"/>
      <c r="E531" s="42"/>
      <c r="F531" s="48" t="str">
        <f>IFERROR(__xludf.DUMMYFUNCTION("""COMPUTED_VALUE"""),"")</f>
        <v/>
      </c>
      <c r="G531" s="42" t="str">
        <f>IFERROR(__xludf.DUMMYFUNCTION("""COMPUTED_VALUE"""),"SKPT LELANG")</f>
        <v>SKPT LELANG</v>
      </c>
      <c r="H531" s="42">
        <f t="shared" si="1"/>
        <v>284</v>
      </c>
    </row>
    <row r="532" ht="22.5" customHeight="1">
      <c r="B532" s="42" t="str">
        <f>IFERROR(__xludf.DUMMYFUNCTION("""COMPUTED_VALUE"""),"K/16/261124/2")</f>
        <v>K/16/261124/2</v>
      </c>
      <c r="C532" s="42" t="str">
        <f>IFERROR(__xludf.DUMMYFUNCTION("""COMPUTED_VALUE"""),"M. 131/ Bilabong Jaya")</f>
        <v>M. 131/ Bilabong Jaya</v>
      </c>
      <c r="D532" s="42"/>
      <c r="E532" s="42"/>
      <c r="F532" s="48" t="str">
        <f>IFERROR(__xludf.DUMMYFUNCTION("""COMPUTED_VALUE"""),"")</f>
        <v/>
      </c>
      <c r="G532" s="42" t="str">
        <f>IFERROR(__xludf.DUMMYFUNCTION("""COMPUTED_VALUE"""),"SKPT LELANG")</f>
        <v>SKPT LELANG</v>
      </c>
      <c r="H532" s="42">
        <f t="shared" si="1"/>
        <v>284</v>
      </c>
    </row>
    <row r="533" ht="22.5" customHeight="1">
      <c r="B533" s="42" t="str">
        <f>IFERROR(__xludf.DUMMYFUNCTION("""COMPUTED_VALUE"""),"K/18/261124/1")</f>
        <v>K/18/261124/1</v>
      </c>
      <c r="C533" s="42" t="str">
        <f>IFERROR(__xludf.DUMMYFUNCTION("""COMPUTED_VALUE"""),"M. 6040/ Way Kandis")</f>
        <v>M. 6040/ Way Kandis</v>
      </c>
      <c r="D533" s="42" t="str">
        <f>IFERROR(__xludf.DUMMYFUNCTION("""COMPUTED_VALUE"""),"David")</f>
        <v>David</v>
      </c>
      <c r="E533" s="42" t="str">
        <f>IFERROR(__xludf.DUMMYFUNCTION("""COMPUTED_VALUE"""),"DISERAHKAN")</f>
        <v>DISERAHKAN</v>
      </c>
      <c r="F533" s="48" t="str">
        <f>IFERROR(__xludf.DUMMYFUNCTION("""COMPUTED_VALUE"""),"28/11/2024 14.07")</f>
        <v>28/11/2024 14.07</v>
      </c>
      <c r="G533" s="42" t="str">
        <f>IFERROR(__xludf.DUMMYFUNCTION("""COMPUTED_VALUE"""),"BN Jual Beli")</f>
        <v>BN Jual Beli</v>
      </c>
      <c r="H533" s="42">
        <f t="shared" si="1"/>
        <v>285</v>
      </c>
    </row>
    <row r="534" ht="22.5" customHeight="1">
      <c r="B534" s="42" t="str">
        <f>IFERROR(__xludf.DUMMYFUNCTION("""COMPUTED_VALUE"""),"K/19/261124/2")</f>
        <v>K/19/261124/2</v>
      </c>
      <c r="C534" s="42" t="str">
        <f>IFERROR(__xludf.DUMMYFUNCTION("""COMPUTED_VALUE"""),"M. 6403/ Gunung Sulah")</f>
        <v>M. 6403/ Gunung Sulah</v>
      </c>
      <c r="D534" s="42" t="str">
        <f>IFERROR(__xludf.DUMMYFUNCTION("""COMPUTED_VALUE"""),"David")</f>
        <v>David</v>
      </c>
      <c r="E534" s="42" t="str">
        <f>IFERROR(__xludf.DUMMYFUNCTION("""COMPUTED_VALUE"""),"DISERAHKAN")</f>
        <v>DISERAHKAN</v>
      </c>
      <c r="F534" s="48" t="str">
        <f>IFERROR(__xludf.DUMMYFUNCTION("""COMPUTED_VALUE"""),"23/12/2024 10.39")</f>
        <v>23/12/2024 10.39</v>
      </c>
      <c r="G534" s="42" t="str">
        <f>IFERROR(__xludf.DUMMYFUNCTION("""COMPUTED_VALUE"""),"BN PHB")</f>
        <v>BN PHB</v>
      </c>
      <c r="H534" s="42">
        <f t="shared" si="1"/>
        <v>286</v>
      </c>
    </row>
    <row r="535" ht="22.5" customHeight="1">
      <c r="B535" s="42" t="str">
        <f>IFERROR(__xludf.DUMMYFUNCTION("""COMPUTED_VALUE"""),"K/26/261124/1")</f>
        <v>K/26/261124/1</v>
      </c>
      <c r="C535" s="42" t="str">
        <f>IFERROR(__xludf.DUMMYFUNCTION("""COMPUTED_VALUE"""),"NIBEL M.5020/SUKABUMI")</f>
        <v>NIBEL M.5020/SUKABUMI</v>
      </c>
      <c r="D535" s="42"/>
      <c r="E535" s="42"/>
      <c r="F535" s="48" t="str">
        <f>IFERROR(__xludf.DUMMYFUNCTION("""COMPUTED_VALUE"""),"")</f>
        <v/>
      </c>
      <c r="G535" s="42" t="str">
        <f>IFERROR(__xludf.DUMMYFUNCTION("""COMPUTED_VALUE"""),"BN WARIS")</f>
        <v>BN WARIS</v>
      </c>
      <c r="H535" s="42">
        <f t="shared" si="1"/>
        <v>286</v>
      </c>
    </row>
    <row r="536" ht="22.5" customHeight="1">
      <c r="B536" s="42" t="str">
        <f>IFERROR(__xludf.DUMMYFUNCTION("""COMPUTED_VALUE"""),"K/25/261124/3")</f>
        <v>K/25/261124/3</v>
      </c>
      <c r="C536" s="42" t="str">
        <f>IFERROR(__xludf.DUMMYFUNCTION("""COMPUTED_VALUE"""),"B. 74/ korpri Jaya")</f>
        <v>B. 74/ korpri Jaya</v>
      </c>
      <c r="D536" s="42" t="str">
        <f>IFERROR(__xludf.DUMMYFUNCTION("""COMPUTED_VALUE"""),"David")</f>
        <v>David</v>
      </c>
      <c r="E536" s="42" t="str">
        <f>IFERROR(__xludf.DUMMYFUNCTION("""COMPUTED_VALUE"""),"DISERAHKAN")</f>
        <v>DISERAHKAN</v>
      </c>
      <c r="F536" s="48" t="str">
        <f>IFERROR(__xludf.DUMMYFUNCTION("""COMPUTED_VALUE"""),"28/11/2024 14.09")</f>
        <v>28/11/2024 14.09</v>
      </c>
      <c r="G536" s="42" t="str">
        <f>IFERROR(__xludf.DUMMYFUNCTION("""COMPUTED_VALUE"""),"PERUBAHAN HAK")</f>
        <v>PERUBAHAN HAK</v>
      </c>
      <c r="H536" s="42">
        <f t="shared" si="1"/>
        <v>287</v>
      </c>
    </row>
    <row r="537" ht="22.5" customHeight="1">
      <c r="B537" s="42" t="str">
        <f>IFERROR(__xludf.DUMMYFUNCTION("""COMPUTED_VALUE"""),"L/32/261124/1")</f>
        <v>L/32/261124/1</v>
      </c>
      <c r="C537" s="42" t="str">
        <f>IFERROR(__xludf.DUMMYFUNCTION("""COMPUTED_VALUE"""),"HM 11065/LABUHAN RATU")</f>
        <v>HM 11065/LABUHAN RATU</v>
      </c>
      <c r="D537" s="42" t="str">
        <f>IFERROR(__xludf.DUMMYFUNCTION("""COMPUTED_VALUE"""),"David")</f>
        <v>David</v>
      </c>
      <c r="E537" s="42" t="str">
        <f>IFERROR(__xludf.DUMMYFUNCTION("""COMPUTED_VALUE"""),"DISERAHKAN")</f>
        <v>DISERAHKAN</v>
      </c>
      <c r="F537" s="48" t="str">
        <f>IFERROR(__xludf.DUMMYFUNCTION("""COMPUTED_VALUE"""),"28/11/2024 14.09")</f>
        <v>28/11/2024 14.09</v>
      </c>
      <c r="G537" s="42" t="str">
        <f>IFERROR(__xludf.DUMMYFUNCTION("""COMPUTED_VALUE"""),"ROYA")</f>
        <v>ROYA</v>
      </c>
      <c r="H537" s="42">
        <f t="shared" si="1"/>
        <v>288</v>
      </c>
    </row>
    <row r="538" ht="22.5" customHeight="1">
      <c r="B538" s="42" t="str">
        <f>IFERROR(__xludf.DUMMYFUNCTION("""COMPUTED_VALUE"""),"K/28/261124/1")</f>
        <v>K/28/261124/1</v>
      </c>
      <c r="C538" s="42" t="str">
        <f>IFERROR(__xludf.DUMMYFUNCTION("""COMPUTED_VALUE"""),"B,567/NUSANTARA PERMAI-SEKARANG;B.2095/CAMPANG RAYA-DAHULU")</f>
        <v>B,567/NUSANTARA PERMAI-SEKARANG;B.2095/CAMPANG RAYA-DAHULU</v>
      </c>
      <c r="D538" s="42" t="str">
        <f>IFERROR(__xludf.DUMMYFUNCTION("""COMPUTED_VALUE"""),"David")</f>
        <v>David</v>
      </c>
      <c r="E538" s="42" t="str">
        <f>IFERROR(__xludf.DUMMYFUNCTION("""COMPUTED_VALUE"""),"DISERAHKAN")</f>
        <v>DISERAHKAN</v>
      </c>
      <c r="F538" s="48" t="str">
        <f>IFERROR(__xludf.DUMMYFUNCTION("""COMPUTED_VALUE"""),"02/12/2024 09.57")</f>
        <v>02/12/2024 09.57</v>
      </c>
      <c r="G538" s="42" t="str">
        <f>IFERROR(__xludf.DUMMYFUNCTION("""COMPUTED_VALUE"""),"BN JUAL BELI")</f>
        <v>BN JUAL BELI</v>
      </c>
      <c r="H538" s="42">
        <f t="shared" si="1"/>
        <v>289</v>
      </c>
    </row>
    <row r="539" ht="22.5" customHeight="1">
      <c r="B539" s="42" t="str">
        <f>IFERROR(__xludf.DUMMYFUNCTION("""COMPUTED_VALUE"""),"L/34/261124/1")</f>
        <v>L/34/261124/1</v>
      </c>
      <c r="C539" s="42" t="str">
        <f>IFERROR(__xludf.DUMMYFUNCTION("""COMPUTED_VALUE"""),"TANJUNG SENANG")</f>
        <v>TANJUNG SENANG</v>
      </c>
      <c r="D539" s="42"/>
      <c r="E539" s="42"/>
      <c r="F539" s="48" t="str">
        <f>IFERROR(__xludf.DUMMYFUNCTION("""COMPUTED_VALUE"""),"")</f>
        <v/>
      </c>
      <c r="G539" s="42" t="str">
        <f>IFERROR(__xludf.DUMMYFUNCTION("""COMPUTED_VALUE"""),"PERMOHONAN SK")</f>
        <v>PERMOHONAN SK</v>
      </c>
      <c r="H539" s="42">
        <f t="shared" si="1"/>
        <v>289</v>
      </c>
    </row>
    <row r="540" ht="22.5" customHeight="1">
      <c r="B540" s="42" t="str">
        <f>IFERROR(__xludf.DUMMYFUNCTION("""COMPUTED_VALUE"""),"L/36/261124/1")</f>
        <v>L/36/261124/1</v>
      </c>
      <c r="C540" s="42" t="str">
        <f>IFERROR(__xludf.DUMMYFUNCTION("""COMPUTED_VALUE"""),"HM 1594/LANGKAPURA")</f>
        <v>HM 1594/LANGKAPURA</v>
      </c>
      <c r="D540" s="42" t="str">
        <f>IFERROR(__xludf.DUMMYFUNCTION("""COMPUTED_VALUE"""),"David")</f>
        <v>David</v>
      </c>
      <c r="E540" s="42" t="str">
        <f>IFERROR(__xludf.DUMMYFUNCTION("""COMPUTED_VALUE"""),"DISERAHKAN")</f>
        <v>DISERAHKAN</v>
      </c>
      <c r="F540" s="48" t="str">
        <f>IFERROR(__xludf.DUMMYFUNCTION("""COMPUTED_VALUE"""),"28/11/2024 14.10")</f>
        <v>28/11/2024 14.10</v>
      </c>
      <c r="G540" s="42" t="str">
        <f>IFERROR(__xludf.DUMMYFUNCTION("""COMPUTED_VALUE"""),"ROYA")</f>
        <v>ROYA</v>
      </c>
      <c r="H540" s="42">
        <f t="shared" si="1"/>
        <v>290</v>
      </c>
    </row>
    <row r="541" ht="22.5" customHeight="1">
      <c r="B541" s="42" t="str">
        <f>IFERROR(__xludf.DUMMYFUNCTION("""COMPUTED_VALUE"""),"L/41/261124/1")</f>
        <v>L/41/261124/1</v>
      </c>
      <c r="C541" s="42" t="str">
        <f>IFERROR(__xludf.DUMMYFUNCTION("""COMPUTED_VALUE"""),"HM 1401/KURIPAN")</f>
        <v>HM 1401/KURIPAN</v>
      </c>
      <c r="D541" s="42" t="str">
        <f>IFERROR(__xludf.DUMMYFUNCTION("""COMPUTED_VALUE"""),"David")</f>
        <v>David</v>
      </c>
      <c r="E541" s="42" t="str">
        <f>IFERROR(__xludf.DUMMYFUNCTION("""COMPUTED_VALUE"""),"DISERAHKAN")</f>
        <v>DISERAHKAN</v>
      </c>
      <c r="F541" s="48" t="str">
        <f>IFERROR(__xludf.DUMMYFUNCTION("""COMPUTED_VALUE"""),"28/11/2024 14.10")</f>
        <v>28/11/2024 14.10</v>
      </c>
      <c r="G541" s="42" t="str">
        <f>IFERROR(__xludf.DUMMYFUNCTION("""COMPUTED_VALUE"""),"BN WARIS")</f>
        <v>BN WARIS</v>
      </c>
      <c r="H541" s="42">
        <f t="shared" si="1"/>
        <v>291</v>
      </c>
    </row>
    <row r="542" ht="22.5" customHeight="1">
      <c r="B542" s="42" t="str">
        <f>IFERROR(__xludf.DUMMYFUNCTION("""COMPUTED_VALUE"""),"K/40/261124/4")</f>
        <v>K/40/261124/4</v>
      </c>
      <c r="C542" s="42" t="str">
        <f>IFERROR(__xludf.DUMMYFUNCTION("""COMPUTED_VALUE"""),"M. 168/ Tanjung Senang")</f>
        <v>M. 168/ Tanjung Senang</v>
      </c>
      <c r="D542" s="42" t="str">
        <f>IFERROR(__xludf.DUMMYFUNCTION("""COMPUTED_VALUE"""),"David")</f>
        <v>David</v>
      </c>
      <c r="E542" s="42" t="str">
        <f>IFERROR(__xludf.DUMMYFUNCTION("""COMPUTED_VALUE"""),"DISERAHKAN")</f>
        <v>DISERAHKAN</v>
      </c>
      <c r="F542" s="48" t="str">
        <f>IFERROR(__xludf.DUMMYFUNCTION("""COMPUTED_VALUE"""),"02/12/2024 09.51")</f>
        <v>02/12/2024 09.51</v>
      </c>
      <c r="G542" s="42" t="str">
        <f>IFERROR(__xludf.DUMMYFUNCTION("""COMPUTED_VALUE"""),"BN waris")</f>
        <v>BN waris</v>
      </c>
      <c r="H542" s="42">
        <f t="shared" si="1"/>
        <v>292</v>
      </c>
    </row>
    <row r="543" ht="22.5" customHeight="1">
      <c r="B543" s="42" t="str">
        <f>IFERROR(__xludf.DUMMYFUNCTION("""COMPUTED_VALUE"""),"K/43/261124/1")</f>
        <v>K/43/261124/1</v>
      </c>
      <c r="C543" s="42" t="str">
        <f>IFERROR(__xludf.DUMMYFUNCTION("""COMPUTED_VALUE"""),"M. 11831; 11689/ Labuhan Ratu")</f>
        <v>M. 11831; 11689/ Labuhan Ratu</v>
      </c>
      <c r="D543" s="42"/>
      <c r="E543" s="42"/>
      <c r="F543" s="48" t="str">
        <f>IFERROR(__xludf.DUMMYFUNCTION("""COMPUTED_VALUE"""),"")</f>
        <v/>
      </c>
      <c r="G543" s="42" t="str">
        <f>IFERROR(__xludf.DUMMYFUNCTION("""COMPUTED_VALUE"""),"Pencabutan Perkara")</f>
        <v>Pencabutan Perkara</v>
      </c>
      <c r="H543" s="42">
        <f t="shared" si="1"/>
        <v>292</v>
      </c>
    </row>
    <row r="544" ht="22.5" customHeight="1">
      <c r="B544" s="42" t="str">
        <f>IFERROR(__xludf.DUMMYFUNCTION("""COMPUTED_VALUE"""),"K/46/261124/2")</f>
        <v>K/46/261124/2</v>
      </c>
      <c r="C544" s="42" t="str">
        <f>IFERROR(__xludf.DUMMYFUNCTION("""COMPUTED_VALUE"""),"M.2421/WAY KANDIS")</f>
        <v>M.2421/WAY KANDIS</v>
      </c>
      <c r="D544" s="42" t="str">
        <f>IFERROR(__xludf.DUMMYFUNCTION("""COMPUTED_VALUE"""),"Berry")</f>
        <v>Berry</v>
      </c>
      <c r="E544" s="42" t="str">
        <f>IFERROR(__xludf.DUMMYFUNCTION("""COMPUTED_VALUE"""),"DISERAHKAN")</f>
        <v>DISERAHKAN</v>
      </c>
      <c r="F544" s="48" t="str">
        <f>IFERROR(__xludf.DUMMYFUNCTION("""COMPUTED_VALUE"""),"28/11/2024 14.11")</f>
        <v>28/11/2024 14.11</v>
      </c>
      <c r="G544" s="42" t="str">
        <f>IFERROR(__xludf.DUMMYFUNCTION("""COMPUTED_VALUE"""),"ROYA")</f>
        <v>ROYA</v>
      </c>
      <c r="H544" s="42">
        <f t="shared" si="1"/>
        <v>293</v>
      </c>
    </row>
    <row r="545" ht="22.5" customHeight="1">
      <c r="B545" s="42" t="str">
        <f>IFERROR(__xludf.DUMMYFUNCTION("""COMPUTED_VALUE"""),"L/53/261124/1")</f>
        <v>L/53/261124/1</v>
      </c>
      <c r="C545" s="42" t="str">
        <f>IFERROR(__xludf.DUMMYFUNCTION("""COMPUTED_VALUE"""),"HM 11096/JAGABAYA II")</f>
        <v>HM 11096/JAGABAYA II</v>
      </c>
      <c r="D545" s="42" t="str">
        <f>IFERROR(__xludf.DUMMYFUNCTION("""COMPUTED_VALUE"""),"Berry")</f>
        <v>Berry</v>
      </c>
      <c r="E545" s="42" t="str">
        <f>IFERROR(__xludf.DUMMYFUNCTION("""COMPUTED_VALUE"""),"PROSES")</f>
        <v>PROSES</v>
      </c>
      <c r="F545" s="48" t="str">
        <f>IFERROR(__xludf.DUMMYFUNCTION("""COMPUTED_VALUE"""),"")</f>
        <v/>
      </c>
      <c r="G545" s="42" t="str">
        <f>IFERROR(__xludf.DUMMYFUNCTION("""COMPUTED_VALUE"""),"ROYA")</f>
        <v>ROYA</v>
      </c>
      <c r="H545" s="42">
        <f t="shared" si="1"/>
        <v>293</v>
      </c>
    </row>
    <row r="546" ht="22.5" customHeight="1">
      <c r="B546" s="42" t="str">
        <f>IFERROR(__xludf.DUMMYFUNCTION("""COMPUTED_VALUE"""),"K/55/261124/1")</f>
        <v>K/55/261124/1</v>
      </c>
      <c r="C546" s="42" t="str">
        <f>IFERROR(__xludf.DUMMYFUNCTION("""COMPUTED_VALUE"""),"M. 612/ PALAPA")</f>
        <v>M. 612/ PALAPA</v>
      </c>
      <c r="D546" s="42"/>
      <c r="E546" s="42"/>
      <c r="F546" s="48" t="str">
        <f>IFERROR(__xludf.DUMMYFUNCTION("""COMPUTED_VALUE"""),"")</f>
        <v/>
      </c>
      <c r="G546" s="42" t="str">
        <f>IFERROR(__xludf.DUMMYFUNCTION("""COMPUTED_VALUE"""),"GANTI KECAMATAN")</f>
        <v>GANTI KECAMATAN</v>
      </c>
      <c r="H546" s="42">
        <f t="shared" si="1"/>
        <v>293</v>
      </c>
    </row>
    <row r="547" ht="22.5" customHeight="1">
      <c r="B547" s="42" t="str">
        <f>IFERROR(__xludf.DUMMYFUNCTION("""COMPUTED_VALUE"""),"K/58/261124/4")</f>
        <v>K/58/261124/4</v>
      </c>
      <c r="C547" s="42" t="str">
        <f>IFERROR(__xludf.DUMMYFUNCTION("""COMPUTED_VALUE"""),"M. 132/ Sumur Putri")</f>
        <v>M. 132/ Sumur Putri</v>
      </c>
      <c r="D547" s="42" t="str">
        <f>IFERROR(__xludf.DUMMYFUNCTION("""COMPUTED_VALUE"""),"Berry")</f>
        <v>Berry</v>
      </c>
      <c r="E547" s="42" t="str">
        <f>IFERROR(__xludf.DUMMYFUNCTION("""COMPUTED_VALUE"""),"DISERAHKAN SU")</f>
        <v>DISERAHKAN SU</v>
      </c>
      <c r="F547" s="48" t="str">
        <f>IFERROR(__xludf.DUMMYFUNCTION("""COMPUTED_VALUE"""),"28/11/2024 14.17")</f>
        <v>28/11/2024 14.17</v>
      </c>
      <c r="G547" s="42" t="str">
        <f>IFERROR(__xludf.DUMMYFUNCTION("""COMPUTED_VALUE"""),"ROYA")</f>
        <v>ROYA</v>
      </c>
      <c r="H547" s="42">
        <f t="shared" si="1"/>
        <v>293</v>
      </c>
    </row>
    <row r="548" ht="22.5" customHeight="1">
      <c r="B548" s="42" t="str">
        <f>IFERROR(__xludf.DUMMYFUNCTION("""COMPUTED_VALUE"""),"K/59/261124/5")</f>
        <v>K/59/261124/5</v>
      </c>
      <c r="C548" s="42" t="str">
        <f>IFERROR(__xludf.DUMMYFUNCTION("""COMPUTED_VALUE"""),"M. 819/ Kemiling Raya")</f>
        <v>M. 819/ Kemiling Raya</v>
      </c>
      <c r="D548" s="42" t="str">
        <f>IFERROR(__xludf.DUMMYFUNCTION("""COMPUTED_VALUE"""),"Berry")</f>
        <v>Berry</v>
      </c>
      <c r="E548" s="42" t="str">
        <f>IFERROR(__xludf.DUMMYFUNCTION("""COMPUTED_VALUE"""),"PROSES")</f>
        <v>PROSES</v>
      </c>
      <c r="F548" s="48" t="str">
        <f>IFERROR(__xludf.DUMMYFUNCTION("""COMPUTED_VALUE"""),"")</f>
        <v/>
      </c>
      <c r="G548" s="42" t="str">
        <f>IFERROR(__xludf.DUMMYFUNCTION("""COMPUTED_VALUE"""),"PENGUKURAN ULANG")</f>
        <v>PENGUKURAN ULANG</v>
      </c>
      <c r="H548" s="42">
        <f t="shared" si="1"/>
        <v>293</v>
      </c>
    </row>
    <row r="549" ht="22.5" customHeight="1">
      <c r="B549" s="42" t="str">
        <f>IFERROR(__xludf.DUMMYFUNCTION("""COMPUTED_VALUE"""),"K/60/261124/1")</f>
        <v>K/60/261124/1</v>
      </c>
      <c r="C549" s="42" t="str">
        <f>IFERROR(__xludf.DUMMYFUNCTION("""COMPUTED_VALUE"""),"M. 2017/ Kota Baru")</f>
        <v>M. 2017/ Kota Baru</v>
      </c>
      <c r="D549" s="42" t="str">
        <f>IFERROR(__xludf.DUMMYFUNCTION("""COMPUTED_VALUE"""),"Berry")</f>
        <v>Berry</v>
      </c>
      <c r="E549" s="42" t="str">
        <f>IFERROR(__xludf.DUMMYFUNCTION("""COMPUTED_VALUE"""),"DISERAHKAN")</f>
        <v>DISERAHKAN</v>
      </c>
      <c r="F549" s="48" t="str">
        <f>IFERROR(__xludf.DUMMYFUNCTION("""COMPUTED_VALUE"""),"28/11/2024 14.13")</f>
        <v>28/11/2024 14.13</v>
      </c>
      <c r="G549" s="42" t="str">
        <f>IFERROR(__xludf.DUMMYFUNCTION("""COMPUTED_VALUE"""),"BN JUAL BELI")</f>
        <v>BN JUAL BELI</v>
      </c>
      <c r="H549" s="42">
        <f t="shared" si="1"/>
        <v>294</v>
      </c>
    </row>
    <row r="550" ht="22.5" customHeight="1">
      <c r="B550" s="42" t="str">
        <f>IFERROR(__xludf.DUMMYFUNCTION("""COMPUTED_VALUE"""),"K/66/261124/1")</f>
        <v>K/66/261124/1</v>
      </c>
      <c r="C550" s="42" t="str">
        <f>IFERROR(__xludf.DUMMYFUNCTION("""COMPUTED_VALUE"""),"M.19618/SUKARAME-SEKARANG;B.1143/SUKARAME I-DAHULU")</f>
        <v>M.19618/SUKARAME-SEKARANG;B.1143/SUKARAME I-DAHULU</v>
      </c>
      <c r="D550" s="42" t="str">
        <f>IFERROR(__xludf.DUMMYFUNCTION("""COMPUTED_VALUE"""),"Berry")</f>
        <v>Berry</v>
      </c>
      <c r="E550" s="42" t="str">
        <f>IFERROR(__xludf.DUMMYFUNCTION("""COMPUTED_VALUE"""),"DISERAHKAN")</f>
        <v>DISERAHKAN</v>
      </c>
      <c r="F550" s="48" t="str">
        <f>IFERROR(__xludf.DUMMYFUNCTION("""COMPUTED_VALUE"""),"28/11/2024 14.14")</f>
        <v>28/11/2024 14.14</v>
      </c>
      <c r="G550" s="42" t="str">
        <f>IFERROR(__xludf.DUMMYFUNCTION("""COMPUTED_VALUE"""),"BN JUAL BELI")</f>
        <v>BN JUAL BELI</v>
      </c>
      <c r="H550" s="42">
        <f t="shared" si="1"/>
        <v>295</v>
      </c>
    </row>
    <row r="551" ht="22.5" customHeight="1">
      <c r="B551" s="42" t="str">
        <f>IFERROR(__xludf.DUMMYFUNCTION("""COMPUTED_VALUE"""),"K/64/261124/2")</f>
        <v>K/64/261124/2</v>
      </c>
      <c r="C551" s="42" t="str">
        <f>IFERROR(__xludf.DUMMYFUNCTION("""COMPUTED_VALUE"""),"B.454/NUSANTARA PERMAI")</f>
        <v>B.454/NUSANTARA PERMAI</v>
      </c>
      <c r="D551" s="42" t="str">
        <f>IFERROR(__xludf.DUMMYFUNCTION("""COMPUTED_VALUE"""),"Berry")</f>
        <v>Berry</v>
      </c>
      <c r="E551" s="42" t="str">
        <f>IFERROR(__xludf.DUMMYFUNCTION("""COMPUTED_VALUE"""),"PROSES")</f>
        <v>PROSES</v>
      </c>
      <c r="F551" s="48" t="str">
        <f>IFERROR(__xludf.DUMMYFUNCTION("""COMPUTED_VALUE"""),"")</f>
        <v/>
      </c>
      <c r="G551" s="42" t="str">
        <f>IFERROR(__xludf.DUMMYFUNCTION("""COMPUTED_VALUE"""),"PENINGKATAN HAK")</f>
        <v>PENINGKATAN HAK</v>
      </c>
      <c r="H551" s="42">
        <f t="shared" si="1"/>
        <v>295</v>
      </c>
    </row>
    <row r="552" ht="22.5" customHeight="1">
      <c r="B552" s="42" t="str">
        <f>IFERROR(__xludf.DUMMYFUNCTION("""COMPUTED_VALUE"""),"K/65/261124/3")</f>
        <v>K/65/261124/3</v>
      </c>
      <c r="C552" s="42" t="str">
        <f>IFERROR(__xludf.DUMMYFUNCTION("""COMPUTED_VALUE"""),"M. 3445/ Beringin raya")</f>
        <v>M. 3445/ Beringin raya</v>
      </c>
      <c r="D552" s="42" t="str">
        <f>IFERROR(__xludf.DUMMYFUNCTION("""COMPUTED_VALUE"""),"Berry")</f>
        <v>Berry</v>
      </c>
      <c r="E552" s="42" t="str">
        <f>IFERROR(__xludf.DUMMYFUNCTION("""COMPUTED_VALUE"""),"DISERAHKAN SU")</f>
        <v>DISERAHKAN SU</v>
      </c>
      <c r="F552" s="48" t="str">
        <f>IFERROR(__xludf.DUMMYFUNCTION("""COMPUTED_VALUE"""),"28/11/2024 14.15")</f>
        <v>28/11/2024 14.15</v>
      </c>
      <c r="G552" s="42" t="str">
        <f>IFERROR(__xludf.DUMMYFUNCTION("""COMPUTED_VALUE"""),"BN JUAL BELI")</f>
        <v>BN JUAL BELI</v>
      </c>
      <c r="H552" s="42">
        <f t="shared" si="1"/>
        <v>295</v>
      </c>
    </row>
    <row r="553" ht="22.5" customHeight="1">
      <c r="B553" s="42" t="str">
        <f>IFERROR(__xludf.DUMMYFUNCTION("""COMPUTED_VALUE"""),"L/54/261124/2")</f>
        <v>L/54/261124/2</v>
      </c>
      <c r="C553" s="42" t="str">
        <f>IFERROR(__xludf.DUMMYFUNCTION("""COMPUTED_VALUE"""),"HM 12100/JAGABAYA II")</f>
        <v>HM 12100/JAGABAYA II</v>
      </c>
      <c r="D553" s="42" t="str">
        <f>IFERROR(__xludf.DUMMYFUNCTION("""COMPUTED_VALUE"""),"Berry")</f>
        <v>Berry</v>
      </c>
      <c r="E553" s="42" t="str">
        <f>IFERROR(__xludf.DUMMYFUNCTION("""COMPUTED_VALUE"""),"DISERAHKAN")</f>
        <v>DISERAHKAN</v>
      </c>
      <c r="F553" s="48" t="str">
        <f>IFERROR(__xludf.DUMMYFUNCTION("""COMPUTED_VALUE"""),"28/11/2024 14.15")</f>
        <v>28/11/2024 14.15</v>
      </c>
      <c r="G553" s="42" t="str">
        <f>IFERROR(__xludf.DUMMYFUNCTION("""COMPUTED_VALUE"""),"ROYA")</f>
        <v>ROYA</v>
      </c>
      <c r="H553" s="42">
        <f t="shared" si="1"/>
        <v>296</v>
      </c>
    </row>
    <row r="554" ht="22.5" customHeight="1">
      <c r="B554" s="42" t="str">
        <f>IFERROR(__xludf.DUMMYFUNCTION("""COMPUTED_VALUE"""),"K/68/261124/1")</f>
        <v>K/68/261124/1</v>
      </c>
      <c r="C554" s="42" t="str">
        <f>IFERROR(__xludf.DUMMYFUNCTION("""COMPUTED_VALUE"""),"M. 6428/ way Kandis")</f>
        <v>M. 6428/ way Kandis</v>
      </c>
      <c r="D554" s="42" t="str">
        <f>IFERROR(__xludf.DUMMYFUNCTION("""COMPUTED_VALUE"""),"Berry")</f>
        <v>Berry</v>
      </c>
      <c r="E554" s="42" t="str">
        <f>IFERROR(__xludf.DUMMYFUNCTION("""COMPUTED_VALUE"""),"DISERAHKAN")</f>
        <v>DISERAHKAN</v>
      </c>
      <c r="F554" s="48" t="str">
        <f>IFERROR(__xludf.DUMMYFUNCTION("""COMPUTED_VALUE"""),"28/11/2024 14.15")</f>
        <v>28/11/2024 14.15</v>
      </c>
      <c r="G554" s="42" t="str">
        <f>IFERROR(__xludf.DUMMYFUNCTION("""COMPUTED_VALUE"""),"BN JUAL BELI")</f>
        <v>BN JUAL BELI</v>
      </c>
      <c r="H554" s="42">
        <f t="shared" si="1"/>
        <v>297</v>
      </c>
    </row>
    <row r="555" ht="22.5" customHeight="1">
      <c r="B555" s="42" t="str">
        <f>IFERROR(__xludf.DUMMYFUNCTION("""COMPUTED_VALUE"""),"K/69/261124/2")</f>
        <v>K/69/261124/2</v>
      </c>
      <c r="C555" s="42" t="str">
        <f>IFERROR(__xludf.DUMMYFUNCTION("""COMPUTED_VALUE"""),"M. 1615/ Bumi Kedamaian")</f>
        <v>M. 1615/ Bumi Kedamaian</v>
      </c>
      <c r="D555" s="42" t="str">
        <f>IFERROR(__xludf.DUMMYFUNCTION("""COMPUTED_VALUE"""),"Berry")</f>
        <v>Berry</v>
      </c>
      <c r="E555" s="42" t="str">
        <f>IFERROR(__xludf.DUMMYFUNCTION("""COMPUTED_VALUE"""),"DISERAHKAN")</f>
        <v>DISERAHKAN</v>
      </c>
      <c r="F555" s="48">
        <f>IFERROR(__xludf.DUMMYFUNCTION("""COMPUTED_VALUE"""),45775.60170489583)</f>
        <v>45775.6017</v>
      </c>
      <c r="G555" s="42" t="str">
        <f>IFERROR(__xludf.DUMMYFUNCTION("""COMPUTED_VALUE"""),"BN WARIS")</f>
        <v>BN WARIS</v>
      </c>
      <c r="H555" s="42">
        <f t="shared" si="1"/>
        <v>298</v>
      </c>
    </row>
    <row r="556" ht="22.5" customHeight="1">
      <c r="B556" s="42" t="str">
        <f>IFERROR(__xludf.DUMMYFUNCTION("""COMPUTED_VALUE"""),"K/70/261124/1")</f>
        <v>K/70/261124/1</v>
      </c>
      <c r="C556" s="42" t="str">
        <f>IFERROR(__xludf.DUMMYFUNCTION("""COMPUTED_VALUE"""),"M. 6200/ Way Kandis")</f>
        <v>M. 6200/ Way Kandis</v>
      </c>
      <c r="D556" s="42" t="str">
        <f>IFERROR(__xludf.DUMMYFUNCTION("""COMPUTED_VALUE"""),"Berry")</f>
        <v>Berry</v>
      </c>
      <c r="E556" s="42" t="str">
        <f>IFERROR(__xludf.DUMMYFUNCTION("""COMPUTED_VALUE"""),"DISERAHKAN")</f>
        <v>DISERAHKAN</v>
      </c>
      <c r="F556" s="48">
        <f>IFERROR(__xludf.DUMMYFUNCTION("""COMPUTED_VALUE"""),45733.599469849534)</f>
        <v>45733.59947</v>
      </c>
      <c r="G556" s="42" t="str">
        <f>IFERROR(__xludf.DUMMYFUNCTION("""COMPUTED_VALUE"""),"BN Jual Beli")</f>
        <v>BN Jual Beli</v>
      </c>
      <c r="H556" s="42">
        <f t="shared" si="1"/>
        <v>299</v>
      </c>
    </row>
    <row r="557" ht="22.5" customHeight="1">
      <c r="B557" s="42" t="str">
        <f>IFERROR(__xludf.DUMMYFUNCTION("""COMPUTED_VALUE"""),"K/71/261124/2")</f>
        <v>K/71/261124/2</v>
      </c>
      <c r="C557" s="42" t="str">
        <f>IFERROR(__xludf.DUMMYFUNCTION("""COMPUTED_VALUE"""),"M. 6198/ Way Kandis")</f>
        <v>M. 6198/ Way Kandis</v>
      </c>
      <c r="D557" s="42" t="str">
        <f>IFERROR(__xludf.DUMMYFUNCTION("""COMPUTED_VALUE"""),"Berry")</f>
        <v>Berry</v>
      </c>
      <c r="E557" s="42" t="str">
        <f>IFERROR(__xludf.DUMMYFUNCTION("""COMPUTED_VALUE"""),"DISERAHKAN")</f>
        <v>DISERAHKAN</v>
      </c>
      <c r="F557" s="48">
        <f>IFERROR(__xludf.DUMMYFUNCTION("""COMPUTED_VALUE"""),45733.59855274306)</f>
        <v>45733.59855</v>
      </c>
      <c r="G557" s="42" t="str">
        <f>IFERROR(__xludf.DUMMYFUNCTION("""COMPUTED_VALUE"""),"BN Jual Beli")</f>
        <v>BN Jual Beli</v>
      </c>
      <c r="H557" s="42">
        <f t="shared" si="1"/>
        <v>300</v>
      </c>
    </row>
    <row r="558" ht="22.5" customHeight="1">
      <c r="B558" s="42" t="str">
        <f>IFERROR(__xludf.DUMMYFUNCTION("""COMPUTED_VALUE"""),"K/1/281124/1")</f>
        <v>K/1/281124/1</v>
      </c>
      <c r="C558" s="42" t="str">
        <f>IFERROR(__xludf.DUMMYFUNCTION("""COMPUTED_VALUE"""),"M. 209/ Bumi Raya")</f>
        <v>M. 209/ Bumi Raya</v>
      </c>
      <c r="D558" s="42" t="str">
        <f>IFERROR(__xludf.DUMMYFUNCTION("""COMPUTED_VALUE"""),"Berry")</f>
        <v>Berry</v>
      </c>
      <c r="E558" s="42" t="str">
        <f>IFERROR(__xludf.DUMMYFUNCTION("""COMPUTED_VALUE"""),"DISERAHKAN")</f>
        <v>DISERAHKAN</v>
      </c>
      <c r="F558" s="48">
        <f>IFERROR(__xludf.DUMMYFUNCTION("""COMPUTED_VALUE"""),0.0)</f>
        <v>0</v>
      </c>
      <c r="G558" s="42" t="str">
        <f>IFERROR(__xludf.DUMMYFUNCTION("""COMPUTED_VALUE"""),"BN WARIS")</f>
        <v>BN WARIS</v>
      </c>
      <c r="H558" s="42">
        <f t="shared" si="1"/>
        <v>301</v>
      </c>
    </row>
    <row r="559" ht="22.5" customHeight="1">
      <c r="B559" s="42" t="str">
        <f>IFERROR(__xludf.DUMMYFUNCTION("""COMPUTED_VALUE"""),"K/2/281124/2")</f>
        <v>K/2/281124/2</v>
      </c>
      <c r="C559" s="42" t="str">
        <f>IFERROR(__xludf.DUMMYFUNCTION("""COMPUTED_VALUE"""),"M. 208/ Bumi Raya")</f>
        <v>M. 208/ Bumi Raya</v>
      </c>
      <c r="D559" s="42" t="str">
        <f>IFERROR(__xludf.DUMMYFUNCTION("""COMPUTED_VALUE"""),"Berry")</f>
        <v>Berry</v>
      </c>
      <c r="E559" s="42" t="str">
        <f>IFERROR(__xludf.DUMMYFUNCTION("""COMPUTED_VALUE"""),"DISERAHKAN")</f>
        <v>DISERAHKAN</v>
      </c>
      <c r="F559" s="48">
        <f>IFERROR(__xludf.DUMMYFUNCTION("""COMPUTED_VALUE"""),0.0)</f>
        <v>0</v>
      </c>
      <c r="G559" s="42" t="str">
        <f>IFERROR(__xludf.DUMMYFUNCTION("""COMPUTED_VALUE"""),"BN WARIS")</f>
        <v>BN WARIS</v>
      </c>
      <c r="H559" s="42">
        <f t="shared" si="1"/>
        <v>302</v>
      </c>
    </row>
    <row r="560" ht="22.5" customHeight="1">
      <c r="B560" s="42" t="str">
        <f>IFERROR(__xludf.DUMMYFUNCTION("""COMPUTED_VALUE"""),"K/3/281124/3")</f>
        <v>K/3/281124/3</v>
      </c>
      <c r="C560" s="42" t="str">
        <f>IFERROR(__xludf.DUMMYFUNCTION("""COMPUTED_VALUE"""),"M. 210/ Bumi Raya")</f>
        <v>M. 210/ Bumi Raya</v>
      </c>
      <c r="D560" s="42" t="str">
        <f>IFERROR(__xludf.DUMMYFUNCTION("""COMPUTED_VALUE"""),"Berry")</f>
        <v>Berry</v>
      </c>
      <c r="E560" s="42" t="str">
        <f>IFERROR(__xludf.DUMMYFUNCTION("""COMPUTED_VALUE"""),"PROSES")</f>
        <v>PROSES</v>
      </c>
      <c r="F560" s="48" t="str">
        <f>IFERROR(__xludf.DUMMYFUNCTION("""COMPUTED_VALUE"""),"")</f>
        <v/>
      </c>
      <c r="G560" s="42" t="str">
        <f>IFERROR(__xludf.DUMMYFUNCTION("""COMPUTED_VALUE"""),"BN WARIS")</f>
        <v>BN WARIS</v>
      </c>
      <c r="H560" s="42">
        <f t="shared" si="1"/>
        <v>302</v>
      </c>
    </row>
    <row r="561" ht="22.5" customHeight="1">
      <c r="B561" s="42" t="str">
        <f>IFERROR(__xludf.DUMMYFUNCTION("""COMPUTED_VALUE"""),"K/4/281124/1")</f>
        <v>K/4/281124/1</v>
      </c>
      <c r="C561" s="42" t="str">
        <f>IFERROR(__xludf.DUMMYFUNCTION("""COMPUTED_VALUE"""),"M.1285/PINANG JAYA")</f>
        <v>M.1285/PINANG JAYA</v>
      </c>
      <c r="D561" s="42"/>
      <c r="E561" s="42"/>
      <c r="F561" s="48" t="str">
        <f>IFERROR(__xludf.DUMMYFUNCTION("""COMPUTED_VALUE"""),"")</f>
        <v/>
      </c>
      <c r="G561" s="42" t="str">
        <f>IFERROR(__xludf.DUMMYFUNCTION("""COMPUTED_VALUE"""),"HAPUS BPHTB")</f>
        <v>HAPUS BPHTB</v>
      </c>
      <c r="H561" s="42">
        <f t="shared" si="1"/>
        <v>302</v>
      </c>
    </row>
    <row r="562" ht="22.5" customHeight="1">
      <c r="B562" s="42" t="str">
        <f>IFERROR(__xludf.DUMMYFUNCTION("""COMPUTED_VALUE"""),"L/5/281124/1")</f>
        <v>L/5/281124/1</v>
      </c>
      <c r="C562" s="42" t="str">
        <f>IFERROR(__xludf.DUMMYFUNCTION("""COMPUTED_VALUE"""),"HGB 60/BUMI KEDAMAIAN")</f>
        <v>HGB 60/BUMI KEDAMAIAN</v>
      </c>
      <c r="D562" s="42" t="str">
        <f>IFERROR(__xludf.DUMMYFUNCTION("""COMPUTED_VALUE"""),"Berry")</f>
        <v>Berry</v>
      </c>
      <c r="E562" s="42" t="str">
        <f>IFERROR(__xludf.DUMMYFUNCTION("""COMPUTED_VALUE"""),"DISERAHKAN BT")</f>
        <v>DISERAHKAN BT</v>
      </c>
      <c r="F562" s="48" t="str">
        <f>IFERROR(__xludf.DUMMYFUNCTION("""COMPUTED_VALUE"""),"02/12/2024 09.27")</f>
        <v>02/12/2024 09.27</v>
      </c>
      <c r="G562" s="42" t="str">
        <f>IFERROR(__xludf.DUMMYFUNCTION("""COMPUTED_VALUE"""),"PH")</f>
        <v>PH</v>
      </c>
      <c r="H562" s="42">
        <f t="shared" si="1"/>
        <v>302</v>
      </c>
    </row>
    <row r="563" ht="22.5" customHeight="1">
      <c r="B563" s="42" t="str">
        <f>IFERROR(__xludf.DUMMYFUNCTION("""COMPUTED_VALUE"""),"K/8/281124/1")</f>
        <v>K/8/281124/1</v>
      </c>
      <c r="C563" s="42" t="str">
        <f>IFERROR(__xludf.DUMMYFUNCTION("""COMPUTED_VALUE"""),"M. 1646/ Bumi Kedamaian")</f>
        <v>M. 1646/ Bumi Kedamaian</v>
      </c>
      <c r="D563" s="42" t="str">
        <f>IFERROR(__xludf.DUMMYFUNCTION("""COMPUTED_VALUE"""),"Berry")</f>
        <v>Berry</v>
      </c>
      <c r="E563" s="42" t="str">
        <f>IFERROR(__xludf.DUMMYFUNCTION("""COMPUTED_VALUE"""),"PROSES")</f>
        <v>PROSES</v>
      </c>
      <c r="F563" s="48" t="str">
        <f>IFERROR(__xludf.DUMMYFUNCTION("""COMPUTED_VALUE"""),"")</f>
        <v/>
      </c>
      <c r="G563" s="42" t="str">
        <f>IFERROR(__xludf.DUMMYFUNCTION("""COMPUTED_VALUE"""),"BN Jual Beli")</f>
        <v>BN Jual Beli</v>
      </c>
      <c r="H563" s="42">
        <f t="shared" si="1"/>
        <v>302</v>
      </c>
    </row>
    <row r="564" ht="22.5" customHeight="1">
      <c r="B564" s="42" t="str">
        <f>IFERROR(__xludf.DUMMYFUNCTION("""COMPUTED_VALUE"""),"K/7/281124/1")</f>
        <v>K/7/281124/1</v>
      </c>
      <c r="C564" s="42" t="str">
        <f>IFERROR(__xludf.DUMMYFUNCTION("""COMPUTED_VALUE"""),"M. 1182/ Sukajawa")</f>
        <v>M. 1182/ Sukajawa</v>
      </c>
      <c r="D564" s="42" t="str">
        <f>IFERROR(__xludf.DUMMYFUNCTION("""COMPUTED_VALUE"""),"Berry")</f>
        <v>Berry</v>
      </c>
      <c r="E564" s="42" t="str">
        <f>IFERROR(__xludf.DUMMYFUNCTION("""COMPUTED_VALUE"""),"DISERAHKAN")</f>
        <v>DISERAHKAN</v>
      </c>
      <c r="F564" s="48" t="str">
        <f>IFERROR(__xludf.DUMMYFUNCTION("""COMPUTED_VALUE"""),"02/12/2024 09.29")</f>
        <v>02/12/2024 09.29</v>
      </c>
      <c r="G564" s="42" t="str">
        <f>IFERROR(__xludf.DUMMYFUNCTION("""COMPUTED_VALUE"""),"BN WARIS")</f>
        <v>BN WARIS</v>
      </c>
      <c r="H564" s="42">
        <f t="shared" si="1"/>
        <v>303</v>
      </c>
    </row>
    <row r="565" ht="22.5" customHeight="1">
      <c r="B565" s="42" t="str">
        <f>IFERROR(__xludf.DUMMYFUNCTION("""COMPUTED_VALUE"""),"L/10/281124/1")</f>
        <v>L/10/281124/1</v>
      </c>
      <c r="C565" s="42" t="str">
        <f>IFERROR(__xludf.DUMMYFUNCTION("""COMPUTED_VALUE"""),"SEGALA MIDER")</f>
        <v>SEGALA MIDER</v>
      </c>
      <c r="D565" s="42"/>
      <c r="E565" s="42"/>
      <c r="F565" s="48" t="str">
        <f>IFERROR(__xludf.DUMMYFUNCTION("""COMPUTED_VALUE"""),"")</f>
        <v/>
      </c>
      <c r="G565" s="42" t="str">
        <f>IFERROR(__xludf.DUMMYFUNCTION("""COMPUTED_VALUE"""),"TANAH MENTAH")</f>
        <v>TANAH MENTAH</v>
      </c>
      <c r="H565" s="42">
        <f t="shared" si="1"/>
        <v>303</v>
      </c>
    </row>
    <row r="566" ht="22.5" customHeight="1">
      <c r="B566" s="42" t="str">
        <f>IFERROR(__xludf.DUMMYFUNCTION("""COMPUTED_VALUE"""),"K/11/281124/1")</f>
        <v>K/11/281124/1</v>
      </c>
      <c r="C566" s="42" t="str">
        <f>IFERROR(__xludf.DUMMYFUNCTION("""COMPUTED_VALUE"""),"M.2969/RAJABASA JAYA")</f>
        <v>M.2969/RAJABASA JAYA</v>
      </c>
      <c r="D566" s="42" t="str">
        <f>IFERROR(__xludf.DUMMYFUNCTION("""COMPUTED_VALUE"""),"Berry")</f>
        <v>Berry</v>
      </c>
      <c r="E566" s="42" t="str">
        <f>IFERROR(__xludf.DUMMYFUNCTION("""COMPUTED_VALUE"""),"DISERAHKAN")</f>
        <v>DISERAHKAN</v>
      </c>
      <c r="F566" s="48">
        <f>IFERROR(__xludf.DUMMYFUNCTION("""COMPUTED_VALUE"""),45667.35682582176)</f>
        <v>45667.35683</v>
      </c>
      <c r="G566" s="42" t="str">
        <f>IFERROR(__xludf.DUMMYFUNCTION("""COMPUTED_VALUE"""),"BN JUAL BELI")</f>
        <v>BN JUAL BELI</v>
      </c>
      <c r="H566" s="42">
        <f t="shared" si="1"/>
        <v>304</v>
      </c>
    </row>
    <row r="567" ht="22.5" customHeight="1">
      <c r="B567" s="42" t="str">
        <f>IFERROR(__xludf.DUMMYFUNCTION("""COMPUTED_VALUE"""),"K/13/281124/1")</f>
        <v>K/13/281124/1</v>
      </c>
      <c r="C567" s="42" t="str">
        <f>IFERROR(__xludf.DUMMYFUNCTION("""COMPUTED_VALUE"""),"M.66/TANJUNG AGUNG RAYA")</f>
        <v>M.66/TANJUNG AGUNG RAYA</v>
      </c>
      <c r="D567" s="42" t="str">
        <f>IFERROR(__xludf.DUMMYFUNCTION("""COMPUTED_VALUE"""),"Berry")</f>
        <v>Berry</v>
      </c>
      <c r="E567" s="42" t="str">
        <f>IFERROR(__xludf.DUMMYFUNCTION("""COMPUTED_VALUE"""),"PROSES")</f>
        <v>PROSES</v>
      </c>
      <c r="F567" s="48" t="str">
        <f>IFERROR(__xludf.DUMMYFUNCTION("""COMPUTED_VALUE"""),"")</f>
        <v/>
      </c>
      <c r="G567" s="42" t="str">
        <f>IFERROR(__xludf.DUMMYFUNCTION("""COMPUTED_VALUE"""),"BN WARIS")</f>
        <v>BN WARIS</v>
      </c>
      <c r="H567" s="42">
        <f t="shared" si="1"/>
        <v>304</v>
      </c>
    </row>
    <row r="568" ht="22.5" customHeight="1">
      <c r="B568" s="42" t="str">
        <f>IFERROR(__xludf.DUMMYFUNCTION("""COMPUTED_VALUE"""),"K/14/281124/2")</f>
        <v>K/14/281124/2</v>
      </c>
      <c r="C568" s="42" t="str">
        <f>IFERROR(__xludf.DUMMYFUNCTION("""COMPUTED_VALUE"""),"M. 1764/ Rajabasa Pemuka; M. 11947/ Rajabasa-dahulu; B. 71/ Rajabasa-dahulu")</f>
        <v>M. 1764/ Rajabasa Pemuka; M. 11947/ Rajabasa-dahulu; B. 71/ Rajabasa-dahulu</v>
      </c>
      <c r="D568" s="42" t="str">
        <f>IFERROR(__xludf.DUMMYFUNCTION("""COMPUTED_VALUE"""),"Berry")</f>
        <v>Berry</v>
      </c>
      <c r="E568" s="42" t="str">
        <f>IFERROR(__xludf.DUMMYFUNCTION("""COMPUTED_VALUE"""),"PROSES")</f>
        <v>PROSES</v>
      </c>
      <c r="F568" s="48" t="str">
        <f>IFERROR(__xludf.DUMMYFUNCTION("""COMPUTED_VALUE"""),"")</f>
        <v/>
      </c>
      <c r="G568" s="42" t="str">
        <f>IFERROR(__xludf.DUMMYFUNCTION("""COMPUTED_VALUE"""),"BN Hibah")</f>
        <v>BN Hibah</v>
      </c>
      <c r="H568" s="42">
        <f t="shared" si="1"/>
        <v>304</v>
      </c>
    </row>
    <row r="569" ht="22.5" customHeight="1">
      <c r="B569" s="42" t="str">
        <f>IFERROR(__xludf.DUMMYFUNCTION("""COMPUTED_VALUE"""),"K/15/281124/1")</f>
        <v>K/15/281124/1</v>
      </c>
      <c r="C569" s="42" t="str">
        <f>IFERROR(__xludf.DUMMYFUNCTION("""COMPUTED_VALUE"""),"M. 10209/ Jagabaya II")</f>
        <v>M. 10209/ Jagabaya II</v>
      </c>
      <c r="D569" s="42" t="str">
        <f>IFERROR(__xludf.DUMMYFUNCTION("""COMPUTED_VALUE"""),"Berry")</f>
        <v>Berry</v>
      </c>
      <c r="E569" s="42" t="str">
        <f>IFERROR(__xludf.DUMMYFUNCTION("""COMPUTED_VALUE"""),"DISERAHKAN")</f>
        <v>DISERAHKAN</v>
      </c>
      <c r="F569" s="48" t="str">
        <f>IFERROR(__xludf.DUMMYFUNCTION("""COMPUTED_VALUE"""),"02/12/2024 09.33")</f>
        <v>02/12/2024 09.33</v>
      </c>
      <c r="G569" s="42" t="str">
        <f>IFERROR(__xludf.DUMMYFUNCTION("""COMPUTED_VALUE"""),"BN Waris")</f>
        <v>BN Waris</v>
      </c>
      <c r="H569" s="42">
        <f t="shared" si="1"/>
        <v>305</v>
      </c>
    </row>
    <row r="570" ht="22.5" customHeight="1">
      <c r="B570" s="42" t="str">
        <f>IFERROR(__xludf.DUMMYFUNCTION("""COMPUTED_VALUE"""),"K/16/281124/2")</f>
        <v>K/16/281124/2</v>
      </c>
      <c r="C570" s="42" t="str">
        <f>IFERROR(__xludf.DUMMYFUNCTION("""COMPUTED_VALUE"""),"M. 10188/ Jagabaya II")</f>
        <v>M. 10188/ Jagabaya II</v>
      </c>
      <c r="D570" s="42" t="str">
        <f>IFERROR(__xludf.DUMMYFUNCTION("""COMPUTED_VALUE"""),"Berry")</f>
        <v>Berry</v>
      </c>
      <c r="E570" s="42" t="str">
        <f>IFERROR(__xludf.DUMMYFUNCTION("""COMPUTED_VALUE"""),"DISERAHKAN")</f>
        <v>DISERAHKAN</v>
      </c>
      <c r="F570" s="48" t="str">
        <f>IFERROR(__xludf.DUMMYFUNCTION("""COMPUTED_VALUE"""),"02/12/2024 09.34")</f>
        <v>02/12/2024 09.34</v>
      </c>
      <c r="G570" s="42" t="str">
        <f>IFERROR(__xludf.DUMMYFUNCTION("""COMPUTED_VALUE"""),"BN Waris")</f>
        <v>BN Waris</v>
      </c>
      <c r="H570" s="42">
        <f t="shared" si="1"/>
        <v>306</v>
      </c>
    </row>
    <row r="571" ht="22.5" customHeight="1">
      <c r="B571" s="42" t="str">
        <f>IFERROR(__xludf.DUMMYFUNCTION("""COMPUTED_VALUE"""),"K/17/281124/1")</f>
        <v>K/17/281124/1</v>
      </c>
      <c r="C571" s="42" t="str">
        <f>IFERROR(__xludf.DUMMYFUNCTION("""COMPUTED_VALUE"""),"B. 66/ Korpri Jaya")</f>
        <v>B. 66/ Korpri Jaya</v>
      </c>
      <c r="D571" s="42" t="str">
        <f>IFERROR(__xludf.DUMMYFUNCTION("""COMPUTED_VALUE"""),"Berry")</f>
        <v>Berry</v>
      </c>
      <c r="E571" s="42" t="str">
        <f>IFERROR(__xludf.DUMMYFUNCTION("""COMPUTED_VALUE"""),"DISERAHKAN")</f>
        <v>DISERAHKAN</v>
      </c>
      <c r="F571" s="48" t="str">
        <f>IFERROR(__xludf.DUMMYFUNCTION("""COMPUTED_VALUE"""),"02/12/2024 09.35")</f>
        <v>02/12/2024 09.35</v>
      </c>
      <c r="G571" s="42" t="str">
        <f>IFERROR(__xludf.DUMMYFUNCTION("""COMPUTED_VALUE"""),"BN JUAL BELI")</f>
        <v>BN JUAL BELI</v>
      </c>
      <c r="H571" s="42">
        <f t="shared" si="1"/>
        <v>307</v>
      </c>
    </row>
    <row r="572" ht="22.5" customHeight="1">
      <c r="B572" s="42" t="str">
        <f>IFERROR(__xludf.DUMMYFUNCTION("""COMPUTED_VALUE"""),"K/19/281124/3")</f>
        <v>K/19/281124/3</v>
      </c>
      <c r="C572" s="42" t="str">
        <f>IFERROR(__xludf.DUMMYFUNCTION("""COMPUTED_VALUE"""),"M. 909/ Korpri Jaya")</f>
        <v>M. 909/ Korpri Jaya</v>
      </c>
      <c r="D572" s="42" t="str">
        <f>IFERROR(__xludf.DUMMYFUNCTION("""COMPUTED_VALUE"""),"David")</f>
        <v>David</v>
      </c>
      <c r="E572" s="42" t="str">
        <f>IFERROR(__xludf.DUMMYFUNCTION("""COMPUTED_VALUE"""),"DISERAHKAN")</f>
        <v>DISERAHKAN</v>
      </c>
      <c r="F572" s="48" t="str">
        <f>IFERROR(__xludf.DUMMYFUNCTION("""COMPUTED_VALUE"""),"02/12/2024 09.38")</f>
        <v>02/12/2024 09.38</v>
      </c>
      <c r="G572" s="42" t="str">
        <f>IFERROR(__xludf.DUMMYFUNCTION("""COMPUTED_VALUE"""),"BN JUAL BELI")</f>
        <v>BN JUAL BELI</v>
      </c>
      <c r="H572" s="42">
        <f t="shared" si="1"/>
        <v>308</v>
      </c>
    </row>
    <row r="573" ht="22.5" customHeight="1">
      <c r="B573" s="42" t="str">
        <f>IFERROR(__xludf.DUMMYFUNCTION("""COMPUTED_VALUE"""),"K/25/281124/1")</f>
        <v>K/25/281124/1</v>
      </c>
      <c r="C573" s="42" t="str">
        <f>IFERROR(__xludf.DUMMYFUNCTION("""COMPUTED_VALUE"""),"M.11397/SEGALA MIDER")</f>
        <v>M.11397/SEGALA MIDER</v>
      </c>
      <c r="D573" s="42" t="str">
        <f>IFERROR(__xludf.DUMMYFUNCTION("""COMPUTED_VALUE"""),"David")</f>
        <v>David</v>
      </c>
      <c r="E573" s="42" t="str">
        <f>IFERROR(__xludf.DUMMYFUNCTION("""COMPUTED_VALUE"""),"DISERAHKAN")</f>
        <v>DISERAHKAN</v>
      </c>
      <c r="F573" s="48" t="str">
        <f>IFERROR(__xludf.DUMMYFUNCTION("""COMPUTED_VALUE"""),"02/12/2024 09.38")</f>
        <v>02/12/2024 09.38</v>
      </c>
      <c r="G573" s="42" t="str">
        <f>IFERROR(__xludf.DUMMYFUNCTION("""COMPUTED_VALUE"""),"ROYA")</f>
        <v>ROYA</v>
      </c>
      <c r="H573" s="42">
        <f t="shared" si="1"/>
        <v>309</v>
      </c>
    </row>
    <row r="574" ht="22.5" customHeight="1">
      <c r="B574" s="42" t="str">
        <f>IFERROR(__xludf.DUMMYFUNCTION("""COMPUTED_VALUE"""),"K/24/281124/1")</f>
        <v>K/24/281124/1</v>
      </c>
      <c r="C574" s="42" t="str">
        <f>IFERROR(__xludf.DUMMYFUNCTION("""COMPUTED_VALUE"""),"M. 216/ Bumi Raya")</f>
        <v>M. 216/ Bumi Raya</v>
      </c>
      <c r="D574" s="42" t="str">
        <f>IFERROR(__xludf.DUMMYFUNCTION("""COMPUTED_VALUE"""),"David")</f>
        <v>David</v>
      </c>
      <c r="E574" s="42" t="str">
        <f>IFERROR(__xludf.DUMMYFUNCTION("""COMPUTED_VALUE"""),"DISERAHKAN")</f>
        <v>DISERAHKAN</v>
      </c>
      <c r="F574" s="48">
        <f>IFERROR(__xludf.DUMMYFUNCTION("""COMPUTED_VALUE"""),0.0)</f>
        <v>0</v>
      </c>
      <c r="G574" s="42" t="str">
        <f>IFERROR(__xludf.DUMMYFUNCTION("""COMPUTED_VALUE"""),"BN WARIS")</f>
        <v>BN WARIS</v>
      </c>
      <c r="H574" s="42">
        <f t="shared" si="1"/>
        <v>310</v>
      </c>
    </row>
    <row r="575" ht="22.5" customHeight="1">
      <c r="B575" s="42" t="str">
        <f>IFERROR(__xludf.DUMMYFUNCTION("""COMPUTED_VALUE"""),"K/26/281124/1")</f>
        <v>K/26/281124/1</v>
      </c>
      <c r="C575" s="42" t="str">
        <f>IFERROR(__xludf.DUMMYFUNCTION("""COMPUTED_VALUE"""),"M. 2250/ Sukarame Baru")</f>
        <v>M. 2250/ Sukarame Baru</v>
      </c>
      <c r="D575" s="42" t="str">
        <f>IFERROR(__xludf.DUMMYFUNCTION("""COMPUTED_VALUE"""),"David")</f>
        <v>David</v>
      </c>
      <c r="E575" s="42" t="str">
        <f>IFERROR(__xludf.DUMMYFUNCTION("""COMPUTED_VALUE"""),"DISERAHKAN")</f>
        <v>DISERAHKAN</v>
      </c>
      <c r="F575" s="48" t="str">
        <f>IFERROR(__xludf.DUMMYFUNCTION("""COMPUTED_VALUE"""),"02/12/2024 09.39")</f>
        <v>02/12/2024 09.39</v>
      </c>
      <c r="G575" s="42" t="str">
        <f>IFERROR(__xludf.DUMMYFUNCTION("""COMPUTED_VALUE"""),"BN Jual Beli")</f>
        <v>BN Jual Beli</v>
      </c>
      <c r="H575" s="42">
        <f t="shared" si="1"/>
        <v>311</v>
      </c>
    </row>
    <row r="576" ht="22.5" customHeight="1">
      <c r="B576" s="42" t="str">
        <f>IFERROR(__xludf.DUMMYFUNCTION("""COMPUTED_VALUE"""),"K/30/281124/1")</f>
        <v>K/30/281124/1</v>
      </c>
      <c r="C576" s="42" t="str">
        <f>IFERROR(__xludf.DUMMYFUNCTION("""COMPUTED_VALUE"""),"M.10776/SIDODADI-SEKARANG;M.9026/SIDODADI-DAHULU")</f>
        <v>M.10776/SIDODADI-SEKARANG;M.9026/SIDODADI-DAHULU</v>
      </c>
      <c r="D576" s="42" t="str">
        <f>IFERROR(__xludf.DUMMYFUNCTION("""COMPUTED_VALUE"""),"David")</f>
        <v>David</v>
      </c>
      <c r="E576" s="42" t="str">
        <f>IFERROR(__xludf.DUMMYFUNCTION("""COMPUTED_VALUE"""),"PROSES")</f>
        <v>PROSES</v>
      </c>
      <c r="F576" s="48" t="str">
        <f>IFERROR(__xludf.DUMMYFUNCTION("""COMPUTED_VALUE"""),"")</f>
        <v/>
      </c>
      <c r="G576" s="42" t="str">
        <f>IFERROR(__xludf.DUMMYFUNCTION("""COMPUTED_VALUE"""),"KEWARISAN")</f>
        <v>KEWARISAN</v>
      </c>
      <c r="H576" s="42">
        <f t="shared" si="1"/>
        <v>311</v>
      </c>
    </row>
    <row r="577" ht="22.5" customHeight="1">
      <c r="B577" s="42" t="str">
        <f>IFERROR(__xludf.DUMMYFUNCTION("""COMPUTED_VALUE"""),"K/34/281124/2")</f>
        <v>K/34/281124/2</v>
      </c>
      <c r="C577" s="42" t="str">
        <f>IFERROR(__xludf.DUMMYFUNCTION("""COMPUTED_VALUE"""),"M.562/GUNUNG TERANG")</f>
        <v>M.562/GUNUNG TERANG</v>
      </c>
      <c r="D577" s="42" t="str">
        <f>IFERROR(__xludf.DUMMYFUNCTION("""COMPUTED_VALUE"""),"David")</f>
        <v>David</v>
      </c>
      <c r="E577" s="42" t="str">
        <f>IFERROR(__xludf.DUMMYFUNCTION("""COMPUTED_VALUE"""),"DISERAHKAN")</f>
        <v>DISERAHKAN</v>
      </c>
      <c r="F577" s="48" t="str">
        <f>IFERROR(__xludf.DUMMYFUNCTION("""COMPUTED_VALUE"""),"02/12/2024 09.40")</f>
        <v>02/12/2024 09.40</v>
      </c>
      <c r="G577" s="42" t="str">
        <f>IFERROR(__xludf.DUMMYFUNCTION("""COMPUTED_VALUE"""),"KEWARISAN")</f>
        <v>KEWARISAN</v>
      </c>
      <c r="H577" s="42">
        <f t="shared" si="1"/>
        <v>312</v>
      </c>
    </row>
    <row r="578" ht="22.5" customHeight="1">
      <c r="B578" s="42" t="str">
        <f>IFERROR(__xludf.DUMMYFUNCTION("""COMPUTED_VALUE"""),"K/31/281124/1")</f>
        <v>K/31/281124/1</v>
      </c>
      <c r="C578" s="42" t="str">
        <f>IFERROR(__xludf.DUMMYFUNCTION("""COMPUTED_VALUE"""),"M. 1523/ Enggal")</f>
        <v>M. 1523/ Enggal</v>
      </c>
      <c r="D578" s="42"/>
      <c r="E578" s="42"/>
      <c r="F578" s="48" t="str">
        <f>IFERROR(__xludf.DUMMYFUNCTION("""COMPUTED_VALUE"""),"")</f>
        <v/>
      </c>
      <c r="G578" s="42" t="str">
        <f>IFERROR(__xludf.DUMMYFUNCTION("""COMPUTED_VALUE"""),"SKPT LELANG")</f>
        <v>SKPT LELANG</v>
      </c>
      <c r="H578" s="42">
        <f t="shared" si="1"/>
        <v>312</v>
      </c>
    </row>
    <row r="579" ht="22.5" customHeight="1">
      <c r="B579" s="42" t="str">
        <f>IFERROR(__xludf.DUMMYFUNCTION("""COMPUTED_VALUE"""),"K/28/281124/2")</f>
        <v>K/28/281124/2</v>
      </c>
      <c r="C579" s="42" t="str">
        <f>IFERROR(__xludf.DUMMYFUNCTION("""COMPUTED_VALUE"""),"M.545/CAMPANG RAYA")</f>
        <v>M.545/CAMPANG RAYA</v>
      </c>
      <c r="D579" s="42" t="str">
        <f>IFERROR(__xludf.DUMMYFUNCTION("""COMPUTED_VALUE"""),"David")</f>
        <v>David</v>
      </c>
      <c r="E579" s="42" t="str">
        <f>IFERROR(__xludf.DUMMYFUNCTION("""COMPUTED_VALUE"""),"DISERAHKAN")</f>
        <v>DISERAHKAN</v>
      </c>
      <c r="F579" s="48" t="str">
        <f>IFERROR(__xludf.DUMMYFUNCTION("""COMPUTED_VALUE"""),"02/12/2024 09.41")</f>
        <v>02/12/2024 09.41</v>
      </c>
      <c r="G579" s="42" t="str">
        <f>IFERROR(__xludf.DUMMYFUNCTION("""COMPUTED_VALUE"""),"ROYA")</f>
        <v>ROYA</v>
      </c>
      <c r="H579" s="42">
        <f t="shared" si="1"/>
        <v>313</v>
      </c>
    </row>
    <row r="580" ht="22.5" customHeight="1">
      <c r="B580" s="42" t="str">
        <f>IFERROR(__xludf.DUMMYFUNCTION("""COMPUTED_VALUE"""),"K/36/281124/1")</f>
        <v>K/36/281124/1</v>
      </c>
      <c r="C580" s="42" t="str">
        <f>IFERROR(__xludf.DUMMYFUNCTION("""COMPUTED_VALUE"""),"M.3204/LABUHAN DALAM-SEKARANG;B.215/LABUHAN DALAM-DAHULU")</f>
        <v>M.3204/LABUHAN DALAM-SEKARANG;B.215/LABUHAN DALAM-DAHULU</v>
      </c>
      <c r="D580" s="42" t="str">
        <f>IFERROR(__xludf.DUMMYFUNCTION("""COMPUTED_VALUE"""),"David")</f>
        <v>David</v>
      </c>
      <c r="E580" s="42" t="str">
        <f>IFERROR(__xludf.DUMMYFUNCTION("""COMPUTED_VALUE"""),"DISERAHKAN")</f>
        <v>DISERAHKAN</v>
      </c>
      <c r="F580" s="48">
        <f>IFERROR(__xludf.DUMMYFUNCTION("""COMPUTED_VALUE"""),45673.43404315972)</f>
        <v>45673.43404</v>
      </c>
      <c r="G580" s="42" t="str">
        <f>IFERROR(__xludf.DUMMYFUNCTION("""COMPUTED_VALUE"""),"BN JUAL BELI")</f>
        <v>BN JUAL BELI</v>
      </c>
      <c r="H580" s="42">
        <f t="shared" si="1"/>
        <v>314</v>
      </c>
    </row>
    <row r="581" ht="22.5" customHeight="1">
      <c r="B581" s="42" t="str">
        <f>IFERROR(__xludf.DUMMYFUNCTION("""COMPUTED_VALUE"""),"K/37/281124/2")</f>
        <v>K/37/281124/2</v>
      </c>
      <c r="C581" s="42" t="str">
        <f>IFERROR(__xludf.DUMMYFUNCTION("""COMPUTED_VALUE"""),"B.953/BERINGIN JAYA")</f>
        <v>B.953/BERINGIN JAYA</v>
      </c>
      <c r="D581" s="42" t="str">
        <f>IFERROR(__xludf.DUMMYFUNCTION("""COMPUTED_VALUE"""),"David")</f>
        <v>David</v>
      </c>
      <c r="E581" s="42" t="str">
        <f>IFERROR(__xludf.DUMMYFUNCTION("""COMPUTED_VALUE"""),"DISERAHKAN")</f>
        <v>DISERAHKAN</v>
      </c>
      <c r="F581" s="48" t="str">
        <f>IFERROR(__xludf.DUMMYFUNCTION("""COMPUTED_VALUE"""),"02/12/2024 09.41")</f>
        <v>02/12/2024 09.41</v>
      </c>
      <c r="G581" s="42" t="str">
        <f>IFERROR(__xludf.DUMMYFUNCTION("""COMPUTED_VALUE"""),"BN JUAL BELI")</f>
        <v>BN JUAL BELI</v>
      </c>
      <c r="H581" s="42">
        <f t="shared" si="1"/>
        <v>315</v>
      </c>
    </row>
    <row r="582" ht="22.5" customHeight="1">
      <c r="B582" s="42" t="str">
        <f>IFERROR(__xludf.DUMMYFUNCTION("""COMPUTED_VALUE"""),"K/43/281124/1")</f>
        <v>K/43/281124/1</v>
      </c>
      <c r="C582" s="42" t="str">
        <f>IFERROR(__xludf.DUMMYFUNCTION("""COMPUTED_VALUE"""),"M. 72/ Way Dadi Baru")</f>
        <v>M. 72/ Way Dadi Baru</v>
      </c>
      <c r="D582" s="42" t="str">
        <f>IFERROR(__xludf.DUMMYFUNCTION("""COMPUTED_VALUE"""),"David")</f>
        <v>David</v>
      </c>
      <c r="E582" s="42" t="str">
        <f>IFERROR(__xludf.DUMMYFUNCTION("""COMPUTED_VALUE"""),"DISERAHKAN")</f>
        <v>DISERAHKAN</v>
      </c>
      <c r="F582" s="48" t="str">
        <f>IFERROR(__xludf.DUMMYFUNCTION("""COMPUTED_VALUE"""),"02/12/2024 09.44")</f>
        <v>02/12/2024 09.44</v>
      </c>
      <c r="G582" s="42" t="str">
        <f>IFERROR(__xludf.DUMMYFUNCTION("""COMPUTED_VALUE"""),"BN JUAL BELI")</f>
        <v>BN JUAL BELI</v>
      </c>
      <c r="H582" s="42">
        <f t="shared" si="1"/>
        <v>316</v>
      </c>
    </row>
    <row r="583" ht="22.5" customHeight="1">
      <c r="B583" s="42" t="str">
        <f>IFERROR(__xludf.DUMMYFUNCTION("""COMPUTED_VALUE"""),"L/44/281124/1")</f>
        <v>L/44/281124/1</v>
      </c>
      <c r="C583" s="42" t="str">
        <f>IFERROR(__xludf.DUMMYFUNCTION("""COMPUTED_VALUE"""),"HM 758/KEPILING PERMAI")</f>
        <v>HM 758/KEPILING PERMAI</v>
      </c>
      <c r="D583" s="42" t="str">
        <f>IFERROR(__xludf.DUMMYFUNCTION("""COMPUTED_VALUE"""),"David")</f>
        <v>David</v>
      </c>
      <c r="E583" s="42" t="str">
        <f>IFERROR(__xludf.DUMMYFUNCTION("""COMPUTED_VALUE"""),"DISERAHKAN")</f>
        <v>DISERAHKAN</v>
      </c>
      <c r="F583" s="48" t="str">
        <f>IFERROR(__xludf.DUMMYFUNCTION("""COMPUTED_VALUE"""),"02/12/2024 09.44")</f>
        <v>02/12/2024 09.44</v>
      </c>
      <c r="G583" s="42" t="str">
        <f>IFERROR(__xludf.DUMMYFUNCTION("""COMPUTED_VALUE"""),"ROYA")</f>
        <v>ROYA</v>
      </c>
      <c r="H583" s="42">
        <f t="shared" si="1"/>
        <v>317</v>
      </c>
    </row>
    <row r="584" ht="22.5" customHeight="1">
      <c r="B584" s="42" t="str">
        <f>IFERROR(__xludf.DUMMYFUNCTION("""COMPUTED_VALUE"""),"K/38/281124/1")</f>
        <v>K/38/281124/1</v>
      </c>
      <c r="C584" s="42" t="str">
        <f>IFERROR(__xludf.DUMMYFUNCTION("""COMPUTED_VALUE"""),"M.1793/KEMILING PERMAI")</f>
        <v>M.1793/KEMILING PERMAI</v>
      </c>
      <c r="D584" s="42"/>
      <c r="E584" s="42"/>
      <c r="F584" s="48" t="str">
        <f>IFERROR(__xludf.DUMMYFUNCTION("""COMPUTED_VALUE"""),"")</f>
        <v/>
      </c>
      <c r="G584" s="42" t="str">
        <f>IFERROR(__xludf.DUMMYFUNCTION("""COMPUTED_VALUE"""),"PLOTING")</f>
        <v>PLOTING</v>
      </c>
      <c r="H584" s="42">
        <f t="shared" si="1"/>
        <v>317</v>
      </c>
    </row>
    <row r="585" ht="22.5" customHeight="1">
      <c r="B585" s="42" t="str">
        <f>IFERROR(__xludf.DUMMYFUNCTION("""COMPUTED_VALUE"""),"K/3/291124/1")</f>
        <v>K/3/291124/1</v>
      </c>
      <c r="C585" s="42" t="str">
        <f>IFERROR(__xludf.DUMMYFUNCTION("""COMPUTED_VALUE"""),"B.262/JAGABAYA III-SEKARANG;B.80/TANJUNG BARU-DAHULU")</f>
        <v>B.262/JAGABAYA III-SEKARANG;B.80/TANJUNG BARU-DAHULU</v>
      </c>
      <c r="D585" s="42"/>
      <c r="E585" s="42"/>
      <c r="F585" s="48" t="str">
        <f>IFERROR(__xludf.DUMMYFUNCTION("""COMPUTED_VALUE"""),"")</f>
        <v/>
      </c>
      <c r="G585" s="42" t="str">
        <f>IFERROR(__xludf.DUMMYFUNCTION("""COMPUTED_VALUE"""),"GANTI NAMA")</f>
        <v>GANTI NAMA</v>
      </c>
      <c r="H585" s="42">
        <f t="shared" si="1"/>
        <v>317</v>
      </c>
    </row>
    <row r="586" ht="22.5" customHeight="1">
      <c r="B586" s="42" t="str">
        <f>IFERROR(__xludf.DUMMYFUNCTION("""COMPUTED_VALUE"""),"L/4/291124/1")</f>
        <v>L/4/291124/1</v>
      </c>
      <c r="C586" s="42" t="str">
        <f>IFERROR(__xludf.DUMMYFUNCTION("""COMPUTED_VALUE"""),"HM 1061/GUNUNG SULAH")</f>
        <v>HM 1061/GUNUNG SULAH</v>
      </c>
      <c r="D586" s="42" t="str">
        <f>IFERROR(__xludf.DUMMYFUNCTION("""COMPUTED_VALUE"""),"Berry")</f>
        <v>Berry</v>
      </c>
      <c r="E586" s="42" t="str">
        <f>IFERROR(__xludf.DUMMYFUNCTION("""COMPUTED_VALUE"""),"PROSES")</f>
        <v>PROSES</v>
      </c>
      <c r="F586" s="48" t="str">
        <f>IFERROR(__xludf.DUMMYFUNCTION("""COMPUTED_VALUE"""),"")</f>
        <v/>
      </c>
      <c r="G586" s="42" t="str">
        <f>IFERROR(__xludf.DUMMYFUNCTION("""COMPUTED_VALUE"""),"ROYA")</f>
        <v>ROYA</v>
      </c>
      <c r="H586" s="42">
        <f t="shared" si="1"/>
        <v>317</v>
      </c>
    </row>
    <row r="587" ht="22.5" customHeight="1">
      <c r="B587" s="42" t="str">
        <f>IFERROR(__xludf.DUMMYFUNCTION("""COMPUTED_VALUE"""),"K/2/291124/2")</f>
        <v>K/2/291124/2</v>
      </c>
      <c r="C587" s="42" t="str">
        <f>IFERROR(__xludf.DUMMYFUNCTION("""COMPUTED_VALUE"""),"Nibel. M. 3505/ Campang Raya")</f>
        <v>Nibel. M. 3505/ Campang Raya</v>
      </c>
      <c r="D587" s="42"/>
      <c r="E587" s="42"/>
      <c r="F587" s="48" t="str">
        <f>IFERROR(__xludf.DUMMYFUNCTION("""COMPUTED_VALUE"""),"")</f>
        <v/>
      </c>
      <c r="G587" s="42" t="str">
        <f>IFERROR(__xludf.DUMMYFUNCTION("""COMPUTED_VALUE"""),"BN Lelanga")</f>
        <v>BN Lelanga</v>
      </c>
      <c r="H587" s="42">
        <f t="shared" si="1"/>
        <v>317</v>
      </c>
    </row>
    <row r="588" ht="22.5" customHeight="1">
      <c r="B588" s="42" t="str">
        <f>IFERROR(__xludf.DUMMYFUNCTION("""COMPUTED_VALUE"""),"L/5/291124/1")</f>
        <v>L/5/291124/1</v>
      </c>
      <c r="C588" s="42" t="str">
        <f>IFERROR(__xludf.DUMMYFUNCTION("""COMPUTED_VALUE"""),"HM 4439/BERINGIN RAYA")</f>
        <v>HM 4439/BERINGIN RAYA</v>
      </c>
      <c r="D588" s="42" t="str">
        <f>IFERROR(__xludf.DUMMYFUNCTION("""COMPUTED_VALUE"""),"Berry")</f>
        <v>Berry</v>
      </c>
      <c r="E588" s="42" t="str">
        <f>IFERROR(__xludf.DUMMYFUNCTION("""COMPUTED_VALUE"""),"DISERAHKAN")</f>
        <v>DISERAHKAN</v>
      </c>
      <c r="F588" s="48" t="str">
        <f>IFERROR(__xludf.DUMMYFUNCTION("""COMPUTED_VALUE"""),"02/12/2024 15.01")</f>
        <v>02/12/2024 15.01</v>
      </c>
      <c r="G588" s="42" t="str">
        <f>IFERROR(__xludf.DUMMYFUNCTION("""COMPUTED_VALUE"""),"ROYA")</f>
        <v>ROYA</v>
      </c>
      <c r="H588" s="42">
        <f t="shared" si="1"/>
        <v>318</v>
      </c>
    </row>
    <row r="589" ht="22.5" customHeight="1">
      <c r="B589" s="42" t="str">
        <f>IFERROR(__xludf.DUMMYFUNCTION("""COMPUTED_VALUE"""),"K/6/291124/1")</f>
        <v>K/6/291124/1</v>
      </c>
      <c r="C589" s="42" t="str">
        <f>IFERROR(__xludf.DUMMYFUNCTION("""COMPUTED_VALUE"""),"B.737/NOG")</f>
        <v>B.737/NOG</v>
      </c>
      <c r="D589" s="42" t="str">
        <f>IFERROR(__xludf.DUMMYFUNCTION("""COMPUTED_VALUE"""),"Berry")</f>
        <v>Berry</v>
      </c>
      <c r="E589" s="42" t="str">
        <f>IFERROR(__xludf.DUMMYFUNCTION("""COMPUTED_VALUE"""),"DISERAHKAN")</f>
        <v>DISERAHKAN</v>
      </c>
      <c r="F589" s="48" t="str">
        <f>IFERROR(__xludf.DUMMYFUNCTION("""COMPUTED_VALUE"""),"02/12/2024 15.01")</f>
        <v>02/12/2024 15.01</v>
      </c>
      <c r="G589" s="42" t="str">
        <f>IFERROR(__xludf.DUMMYFUNCTION("""COMPUTED_VALUE"""),"ROYA")</f>
        <v>ROYA</v>
      </c>
      <c r="H589" s="42">
        <f t="shared" si="1"/>
        <v>319</v>
      </c>
    </row>
    <row r="590" ht="22.5" customHeight="1">
      <c r="B590" s="42" t="str">
        <f>IFERROR(__xludf.DUMMYFUNCTION("""COMPUTED_VALUE"""),"K/7/291124/2")</f>
        <v>K/7/291124/2</v>
      </c>
      <c r="C590" s="42" t="str">
        <f>IFERROR(__xludf.DUMMYFUNCTION("""COMPUTED_VALUE"""),"B.562/NUSANTARA PERMAI-SEKARANG;B.127/CAMPANG JAYA-DAHULU")</f>
        <v>B.562/NUSANTARA PERMAI-SEKARANG;B.127/CAMPANG JAYA-DAHULU</v>
      </c>
      <c r="D590" s="42" t="str">
        <f>IFERROR(__xludf.DUMMYFUNCTION("""COMPUTED_VALUE"""),"Berry")</f>
        <v>Berry</v>
      </c>
      <c r="E590" s="42" t="str">
        <f>IFERROR(__xludf.DUMMYFUNCTION("""COMPUTED_VALUE"""),"PROSES")</f>
        <v>PROSES</v>
      </c>
      <c r="F590" s="48" t="str">
        <f>IFERROR(__xludf.DUMMYFUNCTION("""COMPUTED_VALUE"""),"")</f>
        <v/>
      </c>
      <c r="G590" s="42" t="str">
        <f>IFERROR(__xludf.DUMMYFUNCTION("""COMPUTED_VALUE"""),"PERPANJANGAN")</f>
        <v>PERPANJANGAN</v>
      </c>
      <c r="H590" s="42">
        <f t="shared" si="1"/>
        <v>319</v>
      </c>
    </row>
    <row r="591" ht="22.5" customHeight="1">
      <c r="B591" s="42" t="str">
        <f>IFERROR(__xludf.DUMMYFUNCTION("""COMPUTED_VALUE"""),"K/8/291124/1")</f>
        <v>K/8/291124/1</v>
      </c>
      <c r="C591" s="42" t="str">
        <f>IFERROR(__xludf.DUMMYFUNCTION("""COMPUTED_VALUE"""),"M. 6411/ Way Kandis")</f>
        <v>M. 6411/ Way Kandis</v>
      </c>
      <c r="D591" s="42" t="str">
        <f>IFERROR(__xludf.DUMMYFUNCTION("""COMPUTED_VALUE"""),"Berry")</f>
        <v>Berry</v>
      </c>
      <c r="E591" s="42" t="str">
        <f>IFERROR(__xludf.DUMMYFUNCTION("""COMPUTED_VALUE"""),"DISERAHKAN")</f>
        <v>DISERAHKAN</v>
      </c>
      <c r="F591" s="48" t="str">
        <f>IFERROR(__xludf.DUMMYFUNCTION("""COMPUTED_VALUE"""),"02/12/2024 15.02")</f>
        <v>02/12/2024 15.02</v>
      </c>
      <c r="G591" s="42" t="str">
        <f>IFERROR(__xludf.DUMMYFUNCTION("""COMPUTED_VALUE"""),"BN JUAL BELI")</f>
        <v>BN JUAL BELI</v>
      </c>
      <c r="H591" s="42">
        <f t="shared" si="1"/>
        <v>320</v>
      </c>
    </row>
    <row r="592" ht="22.5" customHeight="1">
      <c r="B592" s="42" t="str">
        <f>IFERROR(__xludf.DUMMYFUNCTION("""COMPUTED_VALUE"""),"K/11/291124/1")</f>
        <v>K/11/291124/1</v>
      </c>
      <c r="C592" s="42" t="str">
        <f>IFERROR(__xludf.DUMMYFUNCTION("""COMPUTED_VALUE"""),"M. 1933/ Sukarame Baru")</f>
        <v>M. 1933/ Sukarame Baru</v>
      </c>
      <c r="D592" s="42" t="str">
        <f>IFERROR(__xludf.DUMMYFUNCTION("""COMPUTED_VALUE"""),"Berry")</f>
        <v>Berry</v>
      </c>
      <c r="E592" s="42" t="str">
        <f>IFERROR(__xludf.DUMMYFUNCTION("""COMPUTED_VALUE"""),"DISERAHKAN")</f>
        <v>DISERAHKAN</v>
      </c>
      <c r="F592" s="48" t="str">
        <f>IFERROR(__xludf.DUMMYFUNCTION("""COMPUTED_VALUE"""),"02/12/2024 15.02")</f>
        <v>02/12/2024 15.02</v>
      </c>
      <c r="G592" s="42" t="str">
        <f>IFERROR(__xludf.DUMMYFUNCTION("""COMPUTED_VALUE"""),"BN Jual Beli")</f>
        <v>BN Jual Beli</v>
      </c>
      <c r="H592" s="42">
        <f t="shared" si="1"/>
        <v>321</v>
      </c>
    </row>
    <row r="593" ht="22.5" customHeight="1">
      <c r="B593" s="42" t="str">
        <f>IFERROR(__xludf.DUMMYFUNCTION("""COMPUTED_VALUE"""),"K/12/291124/1")</f>
        <v>K/12/291124/1</v>
      </c>
      <c r="C593" s="42" t="str">
        <f>IFERROR(__xludf.DUMMYFUNCTION("""COMPUTED_VALUE"""),"M.834/DURIAN PAYUNG")</f>
        <v>M.834/DURIAN PAYUNG</v>
      </c>
      <c r="D593" s="42" t="str">
        <f>IFERROR(__xludf.DUMMYFUNCTION("""COMPUTED_VALUE"""),"Berry")</f>
        <v>Berry</v>
      </c>
      <c r="E593" s="42" t="str">
        <f>IFERROR(__xludf.DUMMYFUNCTION("""COMPUTED_VALUE"""),"DISERAHKAN")</f>
        <v>DISERAHKAN</v>
      </c>
      <c r="F593" s="48" t="str">
        <f>IFERROR(__xludf.DUMMYFUNCTION("""COMPUTED_VALUE"""),"02/12/2024 15.02")</f>
        <v>02/12/2024 15.02</v>
      </c>
      <c r="G593" s="42" t="str">
        <f>IFERROR(__xludf.DUMMYFUNCTION("""COMPUTED_VALUE"""),"ROYA")</f>
        <v>ROYA</v>
      </c>
      <c r="H593" s="42">
        <f t="shared" si="1"/>
        <v>322</v>
      </c>
    </row>
    <row r="594" ht="22.5" customHeight="1">
      <c r="B594" s="42" t="str">
        <f>IFERROR(__xludf.DUMMYFUNCTION("""COMPUTED_VALUE"""),"L/19/291124/1")</f>
        <v>L/19/291124/1</v>
      </c>
      <c r="C594" s="42" t="str">
        <f>IFERROR(__xludf.DUMMYFUNCTION("""COMPUTED_VALUE"""),"HM 11000/SEGALA MIDER")</f>
        <v>HM 11000/SEGALA MIDER</v>
      </c>
      <c r="D594" s="42" t="str">
        <f>IFERROR(__xludf.DUMMYFUNCTION("""COMPUTED_VALUE"""),"Pras")</f>
        <v>Pras</v>
      </c>
      <c r="E594" s="42" t="str">
        <f>IFERROR(__xludf.DUMMYFUNCTION("""COMPUTED_VALUE"""),"DISERAHKAN")</f>
        <v>DISERAHKAN</v>
      </c>
      <c r="F594" s="48" t="str">
        <f>IFERROR(__xludf.DUMMYFUNCTION("""COMPUTED_VALUE"""),"02/12/2024 15.03")</f>
        <v>02/12/2024 15.03</v>
      </c>
      <c r="G594" s="42" t="str">
        <f>IFERROR(__xludf.DUMMYFUNCTION("""COMPUTED_VALUE"""),"BN WARIS")</f>
        <v>BN WARIS</v>
      </c>
      <c r="H594" s="42">
        <f t="shared" si="1"/>
        <v>323</v>
      </c>
    </row>
    <row r="595" ht="22.5" customHeight="1">
      <c r="B595" s="42" t="str">
        <f>IFERROR(__xludf.DUMMYFUNCTION("""COMPUTED_VALUE"""),"K/13/291124/2")</f>
        <v>K/13/291124/2</v>
      </c>
      <c r="C595" s="42" t="str">
        <f>IFERROR(__xludf.DUMMYFUNCTION("""COMPUTED_VALUE"""),"M.12552/TANJUNG BARU")</f>
        <v>M.12552/TANJUNG BARU</v>
      </c>
      <c r="D595" s="42" t="str">
        <f>IFERROR(__xludf.DUMMYFUNCTION("""COMPUTED_VALUE"""),"Berry")</f>
        <v>Berry</v>
      </c>
      <c r="E595" s="42" t="str">
        <f>IFERROR(__xludf.DUMMYFUNCTION("""COMPUTED_VALUE"""),"DISERAHKAN")</f>
        <v>DISERAHKAN</v>
      </c>
      <c r="F595" s="48" t="str">
        <f>IFERROR(__xludf.DUMMYFUNCTION("""COMPUTED_VALUE"""),"02/12/2024 15.03")</f>
        <v>02/12/2024 15.03</v>
      </c>
      <c r="G595" s="42" t="str">
        <f>IFERROR(__xludf.DUMMYFUNCTION("""COMPUTED_VALUE"""),"ROYA")</f>
        <v>ROYA</v>
      </c>
      <c r="H595" s="42">
        <f t="shared" si="1"/>
        <v>324</v>
      </c>
    </row>
    <row r="596" ht="22.5" customHeight="1">
      <c r="B596" s="42" t="str">
        <f>IFERROR(__xludf.DUMMYFUNCTION("""COMPUTED_VALUE"""),"K/26/291124/1")</f>
        <v>K/26/291124/1</v>
      </c>
      <c r="C596" s="42" t="str">
        <f>IFERROR(__xludf.DUMMYFUNCTION("""COMPUTED_VALUE"""),"M. 1006/ PENGAJARAN")</f>
        <v>M. 1006/ PENGAJARAN</v>
      </c>
      <c r="D596" s="42"/>
      <c r="E596" s="42"/>
      <c r="F596" s="48" t="str">
        <f>IFERROR(__xludf.DUMMYFUNCTION("""COMPUTED_VALUE"""),"")</f>
        <v/>
      </c>
      <c r="G596" s="42" t="str">
        <f>IFERROR(__xludf.DUMMYFUNCTION("""COMPUTED_VALUE"""),"PLOTTING")</f>
        <v>PLOTTING</v>
      </c>
      <c r="H596" s="42">
        <f t="shared" si="1"/>
        <v>324</v>
      </c>
    </row>
    <row r="597" ht="22.5" customHeight="1">
      <c r="B597" s="42" t="str">
        <f>IFERROR(__xludf.DUMMYFUNCTION("""COMPUTED_VALUE"""),"K/27/291124/1")</f>
        <v>K/27/291124/1</v>
      </c>
      <c r="C597" s="42" t="str">
        <f>IFERROR(__xludf.DUMMYFUNCTION("""COMPUTED_VALUE"""),"B.1221/KEMILING PERMAI")</f>
        <v>B.1221/KEMILING PERMAI</v>
      </c>
      <c r="D597" s="42" t="str">
        <f>IFERROR(__xludf.DUMMYFUNCTION("""COMPUTED_VALUE"""),"Berry")</f>
        <v>Berry</v>
      </c>
      <c r="E597" s="42" t="str">
        <f>IFERROR(__xludf.DUMMYFUNCTION("""COMPUTED_VALUE"""),"DISERAHKAN")</f>
        <v>DISERAHKAN</v>
      </c>
      <c r="F597" s="48" t="str">
        <f>IFERROR(__xludf.DUMMYFUNCTION("""COMPUTED_VALUE"""),"02/12/2024 15.04")</f>
        <v>02/12/2024 15.04</v>
      </c>
      <c r="G597" s="42" t="str">
        <f>IFERROR(__xludf.DUMMYFUNCTION("""COMPUTED_VALUE"""),"BN JUAL BELI")</f>
        <v>BN JUAL BELI</v>
      </c>
      <c r="H597" s="42">
        <f t="shared" si="1"/>
        <v>325</v>
      </c>
    </row>
    <row r="598" ht="22.5" customHeight="1">
      <c r="B598" s="42" t="str">
        <f>IFERROR(__xludf.DUMMYFUNCTION("""COMPUTED_VALUE"""),"K/29/291124/3")</f>
        <v>K/29/291124/3</v>
      </c>
      <c r="C598" s="42" t="str">
        <f>IFERROR(__xludf.DUMMYFUNCTION("""COMPUTED_VALUE"""),"B.705/KEMILING PERMAI")</f>
        <v>B.705/KEMILING PERMAI</v>
      </c>
      <c r="D598" s="42" t="str">
        <f>IFERROR(__xludf.DUMMYFUNCTION("""COMPUTED_VALUE"""),"Berry")</f>
        <v>Berry</v>
      </c>
      <c r="E598" s="42" t="str">
        <f>IFERROR(__xludf.DUMMYFUNCTION("""COMPUTED_VALUE"""),"DISERAHKAN")</f>
        <v>DISERAHKAN</v>
      </c>
      <c r="F598" s="48" t="str">
        <f>IFERROR(__xludf.DUMMYFUNCTION("""COMPUTED_VALUE"""),"02/12/2024 15.04")</f>
        <v>02/12/2024 15.04</v>
      </c>
      <c r="G598" s="42" t="str">
        <f>IFERROR(__xludf.DUMMYFUNCTION("""COMPUTED_VALUE"""),"BN JUAL BELI")</f>
        <v>BN JUAL BELI</v>
      </c>
      <c r="H598" s="42">
        <f t="shared" si="1"/>
        <v>326</v>
      </c>
    </row>
    <row r="599" ht="22.5" customHeight="1">
      <c r="B599" s="42" t="str">
        <f>IFERROR(__xludf.DUMMYFUNCTION("""COMPUTED_VALUE"""),"K/30/291124/1")</f>
        <v>K/30/291124/1</v>
      </c>
      <c r="C599" s="42" t="str">
        <f>IFERROR(__xludf.DUMMYFUNCTION("""COMPUTED_VALUE"""),"M. 1115/ Pematang Wangi")</f>
        <v>M. 1115/ Pematang Wangi</v>
      </c>
      <c r="D599" s="42" t="str">
        <f>IFERROR(__xludf.DUMMYFUNCTION("""COMPUTED_VALUE"""),"Berry")</f>
        <v>Berry</v>
      </c>
      <c r="E599" s="42" t="str">
        <f>IFERROR(__xludf.DUMMYFUNCTION("""COMPUTED_VALUE"""),"PROSES")</f>
        <v>PROSES</v>
      </c>
      <c r="F599" s="48" t="str">
        <f>IFERROR(__xludf.DUMMYFUNCTION("""COMPUTED_VALUE"""),"")</f>
        <v/>
      </c>
      <c r="G599" s="42" t="str">
        <f>IFERROR(__xludf.DUMMYFUNCTION("""COMPUTED_VALUE"""),"BN JUAL BELI")</f>
        <v>BN JUAL BELI</v>
      </c>
      <c r="H599" s="42">
        <f t="shared" si="1"/>
        <v>326</v>
      </c>
    </row>
    <row r="600" ht="22.5" customHeight="1">
      <c r="B600" s="42" t="str">
        <f>IFERROR(__xludf.DUMMYFUNCTION("""COMPUTED_VALUE"""),"K/32/291124/2")</f>
        <v>K/32/291124/2</v>
      </c>
      <c r="C600" s="42" t="str">
        <f>IFERROR(__xludf.DUMMYFUNCTION("""COMPUTED_VALUE"""),"M.1793/KEMILING PERMAI")</f>
        <v>M.1793/KEMILING PERMAI</v>
      </c>
      <c r="D600" s="42"/>
      <c r="E600" s="42"/>
      <c r="F600" s="48" t="str">
        <f>IFERROR(__xludf.DUMMYFUNCTION("""COMPUTED_VALUE"""),"")</f>
        <v/>
      </c>
      <c r="G600" s="42" t="str">
        <f>IFERROR(__xludf.DUMMYFUNCTION("""COMPUTED_VALUE"""),"PLOTING")</f>
        <v>PLOTING</v>
      </c>
      <c r="H600" s="42">
        <f t="shared" si="1"/>
        <v>326</v>
      </c>
    </row>
    <row r="601" ht="22.5" customHeight="1">
      <c r="B601" s="42" t="str">
        <f>IFERROR(__xludf.DUMMYFUNCTION("""COMPUTED_VALUE"""),"K/34/291124/1")</f>
        <v>K/34/291124/1</v>
      </c>
      <c r="C601" s="42" t="str">
        <f>IFERROR(__xludf.DUMMYFUNCTION("""COMPUTED_VALUE"""),"M.18/WAY HALIM PERMAI")</f>
        <v>M.18/WAY HALIM PERMAI</v>
      </c>
      <c r="D601" s="42" t="str">
        <f>IFERROR(__xludf.DUMMYFUNCTION("""COMPUTED_VALUE"""),"Berry")</f>
        <v>Berry</v>
      </c>
      <c r="E601" s="42" t="str">
        <f>IFERROR(__xludf.DUMMYFUNCTION("""COMPUTED_VALUE"""),"PROSES")</f>
        <v>PROSES</v>
      </c>
      <c r="F601" s="48" t="str">
        <f>IFERROR(__xludf.DUMMYFUNCTION("""COMPUTED_VALUE"""),"")</f>
        <v/>
      </c>
      <c r="G601" s="42" t="str">
        <f>IFERROR(__xludf.DUMMYFUNCTION("""COMPUTED_VALUE"""),"BN WARIS")</f>
        <v>BN WARIS</v>
      </c>
      <c r="H601" s="42">
        <f t="shared" si="1"/>
        <v>326</v>
      </c>
    </row>
    <row r="602" ht="22.5" customHeight="1">
      <c r="B602" s="42" t="str">
        <f>IFERROR(__xludf.DUMMYFUNCTION("""COMPUTED_VALUE"""),"K/35/291124/1")</f>
        <v>K/35/291124/1</v>
      </c>
      <c r="C602" s="42" t="str">
        <f>IFERROR(__xludf.DUMMYFUNCTION("""COMPUTED_VALUE"""),"B.702/SUMUR PUTRI")</f>
        <v>B.702/SUMUR PUTRI</v>
      </c>
      <c r="D602" s="42" t="str">
        <f>IFERROR(__xludf.DUMMYFUNCTION("""COMPUTED_VALUE"""),"Berry")</f>
        <v>Berry</v>
      </c>
      <c r="E602" s="42" t="str">
        <f>IFERROR(__xludf.DUMMYFUNCTION("""COMPUTED_VALUE"""),"DISERAHKAN")</f>
        <v>DISERAHKAN</v>
      </c>
      <c r="F602" s="48" t="str">
        <f>IFERROR(__xludf.DUMMYFUNCTION("""COMPUTED_VALUE"""),"02/12/2024 15.05")</f>
        <v>02/12/2024 15.05</v>
      </c>
      <c r="G602" s="42" t="str">
        <f>IFERROR(__xludf.DUMMYFUNCTION("""COMPUTED_VALUE"""),"BN JUAL BELI")</f>
        <v>BN JUAL BELI</v>
      </c>
      <c r="H602" s="42">
        <f t="shared" si="1"/>
        <v>327</v>
      </c>
    </row>
    <row r="603" ht="22.5" customHeight="1">
      <c r="B603" s="42" t="str">
        <f>IFERROR(__xludf.DUMMYFUNCTION("""COMPUTED_VALUE"""),"L/38/291124/1")</f>
        <v>L/38/291124/1</v>
      </c>
      <c r="C603" s="42" t="str">
        <f>IFERROR(__xludf.DUMMYFUNCTION("""COMPUTED_VALUE"""),"HM 829/GUNUNG AGUNG")</f>
        <v>HM 829/GUNUNG AGUNG</v>
      </c>
      <c r="D603" s="42" t="str">
        <f>IFERROR(__xludf.DUMMYFUNCTION("""COMPUTED_VALUE"""),"Berry")</f>
        <v>Berry</v>
      </c>
      <c r="E603" s="42" t="str">
        <f>IFERROR(__xludf.DUMMYFUNCTION("""COMPUTED_VALUE"""),"DISERAHKAN")</f>
        <v>DISERAHKAN</v>
      </c>
      <c r="F603" s="48" t="str">
        <f>IFERROR(__xludf.DUMMYFUNCTION("""COMPUTED_VALUE"""),"02/12/2024 15.06")</f>
        <v>02/12/2024 15.06</v>
      </c>
      <c r="G603" s="42" t="str">
        <f>IFERROR(__xludf.DUMMYFUNCTION("""COMPUTED_VALUE"""),"PEMECAHAN")</f>
        <v>PEMECAHAN</v>
      </c>
      <c r="H603" s="42">
        <f t="shared" si="1"/>
        <v>328</v>
      </c>
    </row>
    <row r="604" ht="22.5" customHeight="1">
      <c r="B604" s="42" t="str">
        <f>IFERROR(__xludf.DUMMYFUNCTION("""COMPUTED_VALUE"""),"K/39/291124/1")</f>
        <v>K/39/291124/1</v>
      </c>
      <c r="C604" s="42" t="str">
        <f>IFERROR(__xludf.DUMMYFUNCTION("""COMPUTED_VALUE"""),"M. 10080/ Surabaya")</f>
        <v>M. 10080/ Surabaya</v>
      </c>
      <c r="D604" s="42"/>
      <c r="E604" s="42"/>
      <c r="F604" s="48" t="str">
        <f>IFERROR(__xludf.DUMMYFUNCTION("""COMPUTED_VALUE"""),"")</f>
        <v/>
      </c>
      <c r="G604" s="42" t="str">
        <f>IFERROR(__xludf.DUMMYFUNCTION("""COMPUTED_VALUE"""),"HAPUS BPHTB")</f>
        <v>HAPUS BPHTB</v>
      </c>
      <c r="H604" s="42">
        <f t="shared" si="1"/>
        <v>328</v>
      </c>
    </row>
    <row r="605" ht="22.5" customHeight="1">
      <c r="B605" s="42" t="str">
        <f>IFERROR(__xludf.DUMMYFUNCTION("""COMPUTED_VALUE"""),"L/40/291124/1")</f>
        <v>L/40/291124/1</v>
      </c>
      <c r="C605" s="42" t="str">
        <f>IFERROR(__xludf.DUMMYFUNCTION("""COMPUTED_VALUE"""),"HM 12271/LABUHAN RATU (SHM TETANGGA)")</f>
        <v>HM 12271/LABUHAN RATU (SHM TETANGGA)</v>
      </c>
      <c r="D605" s="42"/>
      <c r="E605" s="42"/>
      <c r="F605" s="48" t="str">
        <f>IFERROR(__xludf.DUMMYFUNCTION("""COMPUTED_VALUE"""),"")</f>
        <v/>
      </c>
      <c r="G605" s="42" t="str">
        <f>IFERROR(__xludf.DUMMYFUNCTION("""COMPUTED_VALUE"""),"SERTIPIKAT HILANG")</f>
        <v>SERTIPIKAT HILANG</v>
      </c>
      <c r="H605" s="42">
        <f t="shared" si="1"/>
        <v>328</v>
      </c>
    </row>
    <row r="606" ht="22.5" customHeight="1">
      <c r="B606" s="42" t="str">
        <f>IFERROR(__xludf.DUMMYFUNCTION("""COMPUTED_VALUE"""),"K/47/291124/1")</f>
        <v>K/47/291124/1</v>
      </c>
      <c r="C606" s="42" t="str">
        <f>IFERROR(__xludf.DUMMYFUNCTION("""COMPUTED_VALUE"""),"M. 4433/ Gunung Terang")</f>
        <v>M. 4433/ Gunung Terang</v>
      </c>
      <c r="D606" s="42" t="str">
        <f>IFERROR(__xludf.DUMMYFUNCTION("""COMPUTED_VALUE"""),"Berry")</f>
        <v>Berry</v>
      </c>
      <c r="E606" s="42" t="str">
        <f>IFERROR(__xludf.DUMMYFUNCTION("""COMPUTED_VALUE"""),"DISERAHKAN")</f>
        <v>DISERAHKAN</v>
      </c>
      <c r="F606" s="48" t="str">
        <f>IFERROR(__xludf.DUMMYFUNCTION("""COMPUTED_VALUE"""),"02/12/2024 15.06")</f>
        <v>02/12/2024 15.06</v>
      </c>
      <c r="G606" s="42" t="str">
        <f>IFERROR(__xludf.DUMMYFUNCTION("""COMPUTED_VALUE"""),"BN Jual Beli")</f>
        <v>BN Jual Beli</v>
      </c>
      <c r="H606" s="42">
        <f t="shared" si="1"/>
        <v>329</v>
      </c>
    </row>
    <row r="607" ht="22.5" customHeight="1">
      <c r="B607" s="42" t="str">
        <f>IFERROR(__xludf.DUMMYFUNCTION("""COMPUTED_VALUE"""),"K/45/291124/4")</f>
        <v>K/45/291124/4</v>
      </c>
      <c r="C607" s="42" t="str">
        <f>IFERROR(__xludf.DUMMYFUNCTION("""COMPUTED_VALUE"""),"M. 300/ Way Laga")</f>
        <v>M. 300/ Way Laga</v>
      </c>
      <c r="D607" s="42"/>
      <c r="E607" s="42"/>
      <c r="F607" s="48" t="str">
        <f>IFERROR(__xludf.DUMMYFUNCTION("""COMPUTED_VALUE"""),"")</f>
        <v/>
      </c>
      <c r="G607" s="42" t="str">
        <f>IFERROR(__xludf.DUMMYFUNCTION("""COMPUTED_VALUE"""),"SKPT LELANG")</f>
        <v>SKPT LELANG</v>
      </c>
      <c r="H607" s="42">
        <f t="shared" si="1"/>
        <v>329</v>
      </c>
    </row>
    <row r="608" ht="22.5" customHeight="1">
      <c r="B608" s="42" t="str">
        <f>IFERROR(__xludf.DUMMYFUNCTION("""COMPUTED_VALUE"""),"K/46/291124/5")</f>
        <v>K/46/291124/5</v>
      </c>
      <c r="C608" s="42" t="str">
        <f>IFERROR(__xludf.DUMMYFUNCTION("""COMPUTED_VALUE"""),"M. 301/ Way laga")</f>
        <v>M. 301/ Way laga</v>
      </c>
      <c r="D608" s="42"/>
      <c r="E608" s="42"/>
      <c r="F608" s="48" t="str">
        <f>IFERROR(__xludf.DUMMYFUNCTION("""COMPUTED_VALUE"""),"")</f>
        <v/>
      </c>
      <c r="G608" s="42" t="str">
        <f>IFERROR(__xludf.DUMMYFUNCTION("""COMPUTED_VALUE"""),"SKPT LELANG")</f>
        <v>SKPT LELANG</v>
      </c>
      <c r="H608" s="42">
        <f t="shared" si="1"/>
        <v>329</v>
      </c>
    </row>
    <row r="609" ht="22.5" customHeight="1">
      <c r="B609" s="42" t="str">
        <f>IFERROR(__xludf.DUMMYFUNCTION("""COMPUTED_VALUE"""),"L/1/021224/1")</f>
        <v>L/1/021224/1</v>
      </c>
      <c r="C609" s="42" t="str">
        <f>IFERROR(__xludf.DUMMYFUNCTION("""COMPUTED_VALUE"""),"HM 4888/BERINGIN RAYA")</f>
        <v>HM 4888/BERINGIN RAYA</v>
      </c>
      <c r="D609" s="42" t="str">
        <f>IFERROR(__xludf.DUMMYFUNCTION("""COMPUTED_VALUE"""),"Berry")</f>
        <v>Berry</v>
      </c>
      <c r="E609" s="42" t="str">
        <f>IFERROR(__xludf.DUMMYFUNCTION("""COMPUTED_VALUE"""),"PROSES")</f>
        <v>PROSES</v>
      </c>
      <c r="F609" s="48" t="str">
        <f>IFERROR(__xludf.DUMMYFUNCTION("""COMPUTED_VALUE"""),"")</f>
        <v/>
      </c>
      <c r="G609" s="42" t="str">
        <f>IFERROR(__xludf.DUMMYFUNCTION("""COMPUTED_VALUE"""),"ROYA WARIS")</f>
        <v>ROYA WARIS</v>
      </c>
      <c r="H609" s="42">
        <f t="shared" si="1"/>
        <v>329</v>
      </c>
    </row>
    <row r="610" ht="22.5" customHeight="1">
      <c r="B610" s="42" t="str">
        <f>IFERROR(__xludf.DUMMYFUNCTION("""COMPUTED_VALUE"""),"K/2/021224/1")</f>
        <v>K/2/021224/1</v>
      </c>
      <c r="C610" s="42" t="str">
        <f>IFERROR(__xludf.DUMMYFUNCTION("""COMPUTED_VALUE"""),"M.948/SUSUNAN BARU-SEKARANG;B.424/SUSUNAN BARU-DAHULU")</f>
        <v>M.948/SUSUNAN BARU-SEKARANG;B.424/SUSUNAN BARU-DAHULU</v>
      </c>
      <c r="D610" s="42" t="str">
        <f>IFERROR(__xludf.DUMMYFUNCTION("""COMPUTED_VALUE"""),"Berry")</f>
        <v>Berry</v>
      </c>
      <c r="E610" s="42" t="str">
        <f>IFERROR(__xludf.DUMMYFUNCTION("""COMPUTED_VALUE"""),"DISERAHKAN")</f>
        <v>DISERAHKAN</v>
      </c>
      <c r="F610" s="48" t="str">
        <f>IFERROR(__xludf.DUMMYFUNCTION("""COMPUTED_VALUE"""),"02/12/2024 15.07")</f>
        <v>02/12/2024 15.07</v>
      </c>
      <c r="G610" s="42" t="str">
        <f>IFERROR(__xludf.DUMMYFUNCTION("""COMPUTED_VALUE"""),"ROYA")</f>
        <v>ROYA</v>
      </c>
      <c r="H610" s="42">
        <f t="shared" si="1"/>
        <v>330</v>
      </c>
    </row>
    <row r="611" ht="22.5" customHeight="1">
      <c r="B611" s="42" t="str">
        <f>IFERROR(__xludf.DUMMYFUNCTION("""COMPUTED_VALUE"""),"L/3/021224/1")</f>
        <v>L/3/021224/1</v>
      </c>
      <c r="C611" s="42" t="str">
        <f>IFERROR(__xludf.DUMMYFUNCTION("""COMPUTED_VALUE"""),"NIB 7396/GULAK GALIK")</f>
        <v>NIB 7396/GULAK GALIK</v>
      </c>
      <c r="D611" s="42"/>
      <c r="E611" s="42"/>
      <c r="F611" s="48" t="str">
        <f>IFERROR(__xludf.DUMMYFUNCTION("""COMPUTED_VALUE"""),"")</f>
        <v/>
      </c>
      <c r="G611" s="42" t="str">
        <f>IFERROR(__xludf.DUMMYFUNCTION("""COMPUTED_VALUE"""),"BN LELANG")</f>
        <v>BN LELANG</v>
      </c>
      <c r="H611" s="42">
        <f t="shared" si="1"/>
        <v>330</v>
      </c>
    </row>
    <row r="612" ht="22.5" customHeight="1">
      <c r="B612" s="42" t="str">
        <f>IFERROR(__xludf.DUMMYFUNCTION("""COMPUTED_VALUE"""),"K/5/021224/1")</f>
        <v>K/5/021224/1</v>
      </c>
      <c r="C612" s="42" t="str">
        <f>IFERROR(__xludf.DUMMYFUNCTION("""COMPUTED_VALUE"""),"M. 299/ Way Laga")</f>
        <v>M. 299/ Way Laga</v>
      </c>
      <c r="D612" s="42"/>
      <c r="E612" s="42"/>
      <c r="F612" s="48" t="str">
        <f>IFERROR(__xludf.DUMMYFUNCTION("""COMPUTED_VALUE"""),"")</f>
        <v/>
      </c>
      <c r="G612" s="42" t="str">
        <f>IFERROR(__xludf.DUMMYFUNCTION("""COMPUTED_VALUE"""),"SKPT LELANG")</f>
        <v>SKPT LELANG</v>
      </c>
      <c r="H612" s="42">
        <f t="shared" si="1"/>
        <v>330</v>
      </c>
    </row>
    <row r="613" ht="22.5" customHeight="1">
      <c r="B613" s="42" t="str">
        <f>IFERROR(__xludf.DUMMYFUNCTION("""COMPUTED_VALUE"""),"K/6/021224/2")</f>
        <v>K/6/021224/2</v>
      </c>
      <c r="C613" s="42" t="str">
        <f>IFERROR(__xludf.DUMMYFUNCTION("""COMPUTED_VALUE"""),"M. 298/ Way Laga")</f>
        <v>M. 298/ Way Laga</v>
      </c>
      <c r="D613" s="42"/>
      <c r="E613" s="42"/>
      <c r="F613" s="48" t="str">
        <f>IFERROR(__xludf.DUMMYFUNCTION("""COMPUTED_VALUE"""),"")</f>
        <v/>
      </c>
      <c r="G613" s="42" t="str">
        <f>IFERROR(__xludf.DUMMYFUNCTION("""COMPUTED_VALUE"""),"SKPT LELANG")</f>
        <v>SKPT LELANG</v>
      </c>
      <c r="H613" s="42">
        <f t="shared" si="1"/>
        <v>330</v>
      </c>
    </row>
    <row r="614" ht="22.5" customHeight="1">
      <c r="B614" s="42" t="str">
        <f>IFERROR(__xludf.DUMMYFUNCTION("""COMPUTED_VALUE"""),"K/7/021224/1")</f>
        <v>K/7/021224/1</v>
      </c>
      <c r="C614" s="42" t="str">
        <f>IFERROR(__xludf.DUMMYFUNCTION("""COMPUTED_VALUE"""),"M.10074/KEDAMAIAN")</f>
        <v>M.10074/KEDAMAIAN</v>
      </c>
      <c r="D614" s="42"/>
      <c r="E614" s="42"/>
      <c r="F614" s="48" t="str">
        <f>IFERROR(__xludf.DUMMYFUNCTION("""COMPUTED_VALUE"""),"")</f>
        <v/>
      </c>
      <c r="G614" s="42" t="str">
        <f>IFERROR(__xludf.DUMMYFUNCTION("""COMPUTED_VALUE"""),"PTPGT")</f>
        <v>PTPGT</v>
      </c>
      <c r="H614" s="42">
        <f t="shared" si="1"/>
        <v>330</v>
      </c>
    </row>
    <row r="615" ht="22.5" customHeight="1">
      <c r="B615" s="42" t="str">
        <f>IFERROR(__xludf.DUMMYFUNCTION("""COMPUTED_VALUE"""),"K/8/021224/1")</f>
        <v>K/8/021224/1</v>
      </c>
      <c r="C615" s="42" t="str">
        <f>IFERROR(__xludf.DUMMYFUNCTION("""COMPUTED_VALUE"""),"M. 440/ Kaliawi Persada")</f>
        <v>M. 440/ Kaliawi Persada</v>
      </c>
      <c r="D615" s="42" t="str">
        <f>IFERROR(__xludf.DUMMYFUNCTION("""COMPUTED_VALUE"""),"Berry")</f>
        <v>Berry</v>
      </c>
      <c r="E615" s="42" t="str">
        <f>IFERROR(__xludf.DUMMYFUNCTION("""COMPUTED_VALUE"""),"PROSES")</f>
        <v>PROSES</v>
      </c>
      <c r="F615" s="48" t="str">
        <f>IFERROR(__xludf.DUMMYFUNCTION("""COMPUTED_VALUE"""),"")</f>
        <v/>
      </c>
      <c r="G615" s="42" t="str">
        <f>IFERROR(__xludf.DUMMYFUNCTION("""COMPUTED_VALUE"""),"BN HIBAH")</f>
        <v>BN HIBAH</v>
      </c>
      <c r="H615" s="42">
        <f t="shared" si="1"/>
        <v>330</v>
      </c>
    </row>
    <row r="616" ht="22.5" customHeight="1">
      <c r="B616" s="42" t="str">
        <f>IFERROR(__xludf.DUMMYFUNCTION("""COMPUTED_VALUE"""),"K/11/021224/1")</f>
        <v>K/11/021224/1</v>
      </c>
      <c r="C616" s="42" t="str">
        <f>IFERROR(__xludf.DUMMYFUNCTION("""COMPUTED_VALUE"""),"NIBEL B. 1410/KEMILING PERMAI")</f>
        <v>NIBEL B. 1410/KEMILING PERMAI</v>
      </c>
      <c r="D616" s="42"/>
      <c r="E616" s="42"/>
      <c r="F616" s="48" t="str">
        <f>IFERROR(__xludf.DUMMYFUNCTION("""COMPUTED_VALUE"""),"")</f>
        <v/>
      </c>
      <c r="G616" s="42" t="str">
        <f>IFERROR(__xludf.DUMMYFUNCTION("""COMPUTED_VALUE"""),"PENINGKATAN HAK")</f>
        <v>PENINGKATAN HAK</v>
      </c>
      <c r="H616" s="42">
        <f t="shared" si="1"/>
        <v>330</v>
      </c>
    </row>
    <row r="617" ht="22.5" customHeight="1">
      <c r="B617" s="42" t="str">
        <f>IFERROR(__xludf.DUMMYFUNCTION("""COMPUTED_VALUE"""),"L/13/021224/1")</f>
        <v>L/13/021224/1</v>
      </c>
      <c r="C617" s="42" t="str">
        <f>IFERROR(__xludf.DUMMYFUNCTION("""COMPUTED_VALUE"""),"HM 13229/SEGALA MIDER")</f>
        <v>HM 13229/SEGALA MIDER</v>
      </c>
      <c r="D617" s="42" t="str">
        <f>IFERROR(__xludf.DUMMYFUNCTION("""COMPUTED_VALUE"""),"Berry")</f>
        <v>Berry</v>
      </c>
      <c r="E617" s="42" t="str">
        <f>IFERROR(__xludf.DUMMYFUNCTION("""COMPUTED_VALUE"""),"DISERAHKAN")</f>
        <v>DISERAHKAN</v>
      </c>
      <c r="F617" s="48" t="str">
        <f>IFERROR(__xludf.DUMMYFUNCTION("""COMPUTED_VALUE"""),"04/12/2024 09.26")</f>
        <v>04/12/2024 09.26</v>
      </c>
      <c r="G617" s="42" t="str">
        <f>IFERROR(__xludf.DUMMYFUNCTION("""COMPUTED_VALUE"""),"BN WARIS")</f>
        <v>BN WARIS</v>
      </c>
      <c r="H617" s="42">
        <f t="shared" si="1"/>
        <v>331</v>
      </c>
    </row>
    <row r="618" ht="22.5" customHeight="1">
      <c r="B618" s="42" t="str">
        <f>IFERROR(__xludf.DUMMYFUNCTION("""COMPUTED_VALUE"""),"L/17/021224/1")</f>
        <v>L/17/021224/1</v>
      </c>
      <c r="C618" s="42" t="str">
        <f>IFERROR(__xludf.DUMMYFUNCTION("""COMPUTED_VALUE"""),"HGB 349/RAJABASA PEMUKA")</f>
        <v>HGB 349/RAJABASA PEMUKA</v>
      </c>
      <c r="D618" s="42" t="str">
        <f>IFERROR(__xludf.DUMMYFUNCTION("""COMPUTED_VALUE"""),"Berry")</f>
        <v>Berry</v>
      </c>
      <c r="E618" s="42" t="str">
        <f>IFERROR(__xludf.DUMMYFUNCTION("""COMPUTED_VALUE"""),"PROSES")</f>
        <v>PROSES</v>
      </c>
      <c r="F618" s="48" t="str">
        <f>IFERROR(__xludf.DUMMYFUNCTION("""COMPUTED_VALUE"""),"")</f>
        <v/>
      </c>
      <c r="G618" s="42" t="str">
        <f>IFERROR(__xludf.DUMMYFUNCTION("""COMPUTED_VALUE"""),"PH")</f>
        <v>PH</v>
      </c>
      <c r="H618" s="42">
        <f t="shared" si="1"/>
        <v>331</v>
      </c>
    </row>
    <row r="619" ht="22.5" customHeight="1">
      <c r="B619" s="42" t="str">
        <f>IFERROR(__xludf.DUMMYFUNCTION("""COMPUTED_VALUE"""),"L/18/021224/1")</f>
        <v>L/18/021224/1</v>
      </c>
      <c r="C619" s="42" t="str">
        <f>IFERROR(__xludf.DUMMYFUNCTION("""COMPUTED_VALUE"""),"HGB 1864/SUKABUMI")</f>
        <v>HGB 1864/SUKABUMI</v>
      </c>
      <c r="D619" s="42" t="str">
        <f>IFERROR(__xludf.DUMMYFUNCTION("""COMPUTED_VALUE"""),"Berry")</f>
        <v>Berry</v>
      </c>
      <c r="E619" s="42" t="str">
        <f>IFERROR(__xludf.DUMMYFUNCTION("""COMPUTED_VALUE"""),"DISERAHKAN")</f>
        <v>DISERAHKAN</v>
      </c>
      <c r="F619" s="48" t="str">
        <f>IFERROR(__xludf.DUMMYFUNCTION("""COMPUTED_VALUE"""),"04/12/2024 09.27")</f>
        <v>04/12/2024 09.27</v>
      </c>
      <c r="G619" s="42" t="str">
        <f>IFERROR(__xludf.DUMMYFUNCTION("""COMPUTED_VALUE"""),"ROYA")</f>
        <v>ROYA</v>
      </c>
      <c r="H619" s="42">
        <f t="shared" si="1"/>
        <v>332</v>
      </c>
    </row>
    <row r="620" ht="22.5" customHeight="1">
      <c r="B620" s="42" t="str">
        <f>IFERROR(__xludf.DUMMYFUNCTION("""COMPUTED_VALUE"""),"L/19/021224/1")</f>
        <v>L/19/021224/1</v>
      </c>
      <c r="C620" s="42" t="str">
        <f>IFERROR(__xludf.DUMMYFUNCTION("""COMPUTED_VALUE"""),"HM 563/NOG")</f>
        <v>HM 563/NOG</v>
      </c>
      <c r="D620" s="42" t="str">
        <f>IFERROR(__xludf.DUMMYFUNCTION("""COMPUTED_VALUE"""),"Berry")</f>
        <v>Berry</v>
      </c>
      <c r="E620" s="42" t="str">
        <f>IFERROR(__xludf.DUMMYFUNCTION("""COMPUTED_VALUE"""),"PROSES")</f>
        <v>PROSES</v>
      </c>
      <c r="F620" s="48" t="str">
        <f>IFERROR(__xludf.DUMMYFUNCTION("""COMPUTED_VALUE"""),"")</f>
        <v/>
      </c>
      <c r="G620" s="42" t="str">
        <f>IFERROR(__xludf.DUMMYFUNCTION("""COMPUTED_VALUE"""),"ROYA")</f>
        <v>ROYA</v>
      </c>
      <c r="H620" s="42">
        <f t="shared" si="1"/>
        <v>332</v>
      </c>
    </row>
    <row r="621" ht="22.5" customHeight="1">
      <c r="B621" s="42" t="str">
        <f>IFERROR(__xludf.DUMMYFUNCTION("""COMPUTED_VALUE"""),"L/21/021224/1")</f>
        <v>L/21/021224/1</v>
      </c>
      <c r="C621" s="42" t="str">
        <f>IFERROR(__xludf.DUMMYFUNCTION("""COMPUTED_VALUE"""),"HM 32/WAY HALIM PERMAI")</f>
        <v>HM 32/WAY HALIM PERMAI</v>
      </c>
      <c r="D621" s="42" t="str">
        <f>IFERROR(__xludf.DUMMYFUNCTION("""COMPUTED_VALUE"""),"Berry")</f>
        <v>Berry</v>
      </c>
      <c r="E621" s="42" t="str">
        <f>IFERROR(__xludf.DUMMYFUNCTION("""COMPUTED_VALUE"""),"PROSES")</f>
        <v>PROSES</v>
      </c>
      <c r="F621" s="48" t="str">
        <f>IFERROR(__xludf.DUMMYFUNCTION("""COMPUTED_VALUE"""),"")</f>
        <v/>
      </c>
      <c r="G621" s="42" t="str">
        <f>IFERROR(__xludf.DUMMYFUNCTION("""COMPUTED_VALUE"""),"BN WARIS")</f>
        <v>BN WARIS</v>
      </c>
      <c r="H621" s="42">
        <f t="shared" si="1"/>
        <v>332</v>
      </c>
    </row>
    <row r="622" ht="22.5" customHeight="1">
      <c r="B622" s="42" t="str">
        <f>IFERROR(__xludf.DUMMYFUNCTION("""COMPUTED_VALUE"""),"K/22/021224/1")</f>
        <v>K/22/021224/1</v>
      </c>
      <c r="C622" s="42" t="str">
        <f>IFERROR(__xludf.DUMMYFUNCTION("""COMPUTED_VALUE"""),"M.1542/SUKABUMI INDAH-SEKARANG;M.14829/SKABUMI-DAHULU")</f>
        <v>M.1542/SUKABUMI INDAH-SEKARANG;M.14829/SKABUMI-DAHULU</v>
      </c>
      <c r="D622" s="42" t="str">
        <f>IFERROR(__xludf.DUMMYFUNCTION("""COMPUTED_VALUE"""),"Berry")</f>
        <v>Berry</v>
      </c>
      <c r="E622" s="42" t="str">
        <f>IFERROR(__xludf.DUMMYFUNCTION("""COMPUTED_VALUE"""),"DISERAHKAN")</f>
        <v>DISERAHKAN</v>
      </c>
      <c r="F622" s="48" t="str">
        <f>IFERROR(__xludf.DUMMYFUNCTION("""COMPUTED_VALUE"""),"04/12/2024 09.30")</f>
        <v>04/12/2024 09.30</v>
      </c>
      <c r="G622" s="42" t="str">
        <f>IFERROR(__xludf.DUMMYFUNCTION("""COMPUTED_VALUE"""),"BN JUAL BELI")</f>
        <v>BN JUAL BELI</v>
      </c>
      <c r="H622" s="42">
        <f t="shared" si="1"/>
        <v>333</v>
      </c>
    </row>
    <row r="623" ht="22.5" customHeight="1">
      <c r="B623" s="42" t="str">
        <f>IFERROR(__xludf.DUMMYFUNCTION("""COMPUTED_VALUE"""),"K/16/021224/2")</f>
        <v>K/16/021224/2</v>
      </c>
      <c r="C623" s="42" t="str">
        <f>IFERROR(__xludf.DUMMYFUNCTION("""COMPUTED_VALUE"""),"M. 1062/ Kangkung; SHT peringkat I -VII")</f>
        <v>M. 1062/ Kangkung; SHT peringkat I -VII</v>
      </c>
      <c r="D623" s="42" t="str">
        <f>IFERROR(__xludf.DUMMYFUNCTION("""COMPUTED_VALUE"""),"Berry")</f>
        <v>Berry</v>
      </c>
      <c r="E623" s="42" t="str">
        <f>IFERROR(__xludf.DUMMYFUNCTION("""COMPUTED_VALUE"""),"DISERAHKAN")</f>
        <v>DISERAHKAN</v>
      </c>
      <c r="F623" s="48">
        <f>IFERROR(__xludf.DUMMYFUNCTION("""COMPUTED_VALUE"""),45758.486580324075)</f>
        <v>45758.48658</v>
      </c>
      <c r="G623" s="42" t="str">
        <f>IFERROR(__xludf.DUMMYFUNCTION("""COMPUTED_VALUE"""),"Roya")</f>
        <v>Roya</v>
      </c>
      <c r="H623" s="42">
        <f t="shared" si="1"/>
        <v>334</v>
      </c>
    </row>
    <row r="624" ht="22.5" customHeight="1">
      <c r="B624" s="42" t="str">
        <f>IFERROR(__xludf.DUMMYFUNCTION("""COMPUTED_VALUE"""),"K/15/021224/1")</f>
        <v>K/15/021224/1</v>
      </c>
      <c r="C624" s="42" t="str">
        <f>IFERROR(__xludf.DUMMYFUNCTION("""COMPUTED_VALUE"""),"M. 1061/ Kangkung; SHT peringkat I-IX")</f>
        <v>M. 1061/ Kangkung; SHT peringkat I-IX</v>
      </c>
      <c r="D624" s="42" t="str">
        <f>IFERROR(__xludf.DUMMYFUNCTION("""COMPUTED_VALUE"""),"Berry")</f>
        <v>Berry</v>
      </c>
      <c r="E624" s="42" t="str">
        <f>IFERROR(__xludf.DUMMYFUNCTION("""COMPUTED_VALUE"""),"DISERAHKAN")</f>
        <v>DISERAHKAN</v>
      </c>
      <c r="F624" s="48">
        <f>IFERROR(__xludf.DUMMYFUNCTION("""COMPUTED_VALUE"""),45719.63329353009)</f>
        <v>45719.63329</v>
      </c>
      <c r="G624" s="42" t="str">
        <f>IFERROR(__xludf.DUMMYFUNCTION("""COMPUTED_VALUE"""),"Roya")</f>
        <v>Roya</v>
      </c>
      <c r="H624" s="42">
        <f t="shared" si="1"/>
        <v>335</v>
      </c>
    </row>
    <row r="625" ht="22.5" customHeight="1">
      <c r="B625" s="42" t="str">
        <f>IFERROR(__xludf.DUMMYFUNCTION("""COMPUTED_VALUE"""),"K/25/021224/1")</f>
        <v>K/25/021224/1</v>
      </c>
      <c r="C625" s="42" t="str">
        <f>IFERROR(__xludf.DUMMYFUNCTION("""COMPUTED_VALUE"""),"PBT. 170/2024 (Rajabasa)")</f>
        <v>PBT. 170/2024 (Rajabasa)</v>
      </c>
      <c r="D625" s="42"/>
      <c r="E625" s="42"/>
      <c r="F625" s="48" t="str">
        <f>IFERROR(__xludf.DUMMYFUNCTION("""COMPUTED_VALUE"""),"")</f>
        <v/>
      </c>
      <c r="G625" s="42" t="str">
        <f>IFERROR(__xludf.DUMMYFUNCTION("""COMPUTED_VALUE"""),"PTPGT (Prtama Kali)")</f>
        <v>PTPGT (Prtama Kali)</v>
      </c>
      <c r="H625" s="42">
        <f t="shared" si="1"/>
        <v>335</v>
      </c>
    </row>
    <row r="626" ht="22.5" customHeight="1">
      <c r="B626" s="42" t="str">
        <f>IFERROR(__xludf.DUMMYFUNCTION("""COMPUTED_VALUE"""),"K/27/021224/1")</f>
        <v>K/27/021224/1</v>
      </c>
      <c r="C626" s="42" t="str">
        <f>IFERROR(__xludf.DUMMYFUNCTION("""COMPUTED_VALUE"""),"M. 3647/ Gunung Terang")</f>
        <v>M. 3647/ Gunung Terang</v>
      </c>
      <c r="D626" s="42" t="str">
        <f>IFERROR(__xludf.DUMMYFUNCTION("""COMPUTED_VALUE"""),"Berry")</f>
        <v>Berry</v>
      </c>
      <c r="E626" s="42" t="str">
        <f>IFERROR(__xludf.DUMMYFUNCTION("""COMPUTED_VALUE"""),"DISERAHKAN")</f>
        <v>DISERAHKAN</v>
      </c>
      <c r="F626" s="48" t="str">
        <f>IFERROR(__xludf.DUMMYFUNCTION("""COMPUTED_VALUE"""),"04/12/2024 09.31")</f>
        <v>04/12/2024 09.31</v>
      </c>
      <c r="G626" s="42" t="str">
        <f>IFERROR(__xludf.DUMMYFUNCTION("""COMPUTED_VALUE"""),"BN Waris")</f>
        <v>BN Waris</v>
      </c>
      <c r="H626" s="42">
        <f t="shared" si="1"/>
        <v>336</v>
      </c>
    </row>
    <row r="627" ht="22.5" customHeight="1">
      <c r="B627" s="42" t="str">
        <f>IFERROR(__xludf.DUMMYFUNCTION("""COMPUTED_VALUE"""),"K/28/021224/2")</f>
        <v>K/28/021224/2</v>
      </c>
      <c r="C627" s="42" t="str">
        <f>IFERROR(__xludf.DUMMYFUNCTION("""COMPUTED_VALUE"""),"M. 420/ Rajabasa Nunyai")</f>
        <v>M. 420/ Rajabasa Nunyai</v>
      </c>
      <c r="D627" s="42" t="str">
        <f>IFERROR(__xludf.DUMMYFUNCTION("""COMPUTED_VALUE"""),"Berry")</f>
        <v>Berry</v>
      </c>
      <c r="E627" s="42" t="str">
        <f>IFERROR(__xludf.DUMMYFUNCTION("""COMPUTED_VALUE"""),"DISERAHKAN")</f>
        <v>DISERAHKAN</v>
      </c>
      <c r="F627" s="48" t="str">
        <f>IFERROR(__xludf.DUMMYFUNCTION("""COMPUTED_VALUE"""),"04/12/2024 09.32")</f>
        <v>04/12/2024 09.32</v>
      </c>
      <c r="G627" s="42" t="str">
        <f>IFERROR(__xludf.DUMMYFUNCTION("""COMPUTED_VALUE"""),"BN Waris")</f>
        <v>BN Waris</v>
      </c>
      <c r="H627" s="42">
        <f t="shared" si="1"/>
        <v>337</v>
      </c>
    </row>
    <row r="628" ht="22.5" customHeight="1">
      <c r="B628" s="42" t="str">
        <f>IFERROR(__xludf.DUMMYFUNCTION("""COMPUTED_VALUE"""),"K/33/021224/1")</f>
        <v>K/33/021224/1</v>
      </c>
      <c r="C628" s="42" t="str">
        <f>IFERROR(__xludf.DUMMYFUNCTION("""COMPUTED_VALUE"""),"M.542/KORPRI RAYA-SEKARANG;M.11104/SUKAARME I-DAHULU")</f>
        <v>M.542/KORPRI RAYA-SEKARANG;M.11104/SUKAARME I-DAHULU</v>
      </c>
      <c r="D628" s="42" t="str">
        <f>IFERROR(__xludf.DUMMYFUNCTION("""COMPUTED_VALUE"""),"Berry")</f>
        <v>Berry</v>
      </c>
      <c r="E628" s="42" t="str">
        <f>IFERROR(__xludf.DUMMYFUNCTION("""COMPUTED_VALUE"""),"PROSES")</f>
        <v>PROSES</v>
      </c>
      <c r="F628" s="48" t="str">
        <f>IFERROR(__xludf.DUMMYFUNCTION("""COMPUTED_VALUE"""),"")</f>
        <v/>
      </c>
      <c r="G628" s="42" t="str">
        <f>IFERROR(__xludf.DUMMYFUNCTION("""COMPUTED_VALUE"""),"BN JUAL BELI")</f>
        <v>BN JUAL BELI</v>
      </c>
      <c r="H628" s="42">
        <f t="shared" si="1"/>
        <v>337</v>
      </c>
    </row>
    <row r="629" ht="22.5" customHeight="1">
      <c r="B629" s="42" t="str">
        <f>IFERROR(__xludf.DUMMYFUNCTION("""COMPUTED_VALUE"""),"L/38/021224/1")</f>
        <v>L/38/021224/1</v>
      </c>
      <c r="C629" s="42" t="str">
        <f>IFERROR(__xludf.DUMMYFUNCTION("""COMPUTED_VALUE"""),"M 810/GEDONG AIR")</f>
        <v>M 810/GEDONG AIR</v>
      </c>
      <c r="D629" s="42"/>
      <c r="E629" s="42"/>
      <c r="F629" s="48" t="str">
        <f>IFERROR(__xludf.DUMMYFUNCTION("""COMPUTED_VALUE"""),"")</f>
        <v/>
      </c>
      <c r="G629" s="42" t="str">
        <f>IFERROR(__xludf.DUMMYFUNCTION("""COMPUTED_VALUE"""),"PTPGT")</f>
        <v>PTPGT</v>
      </c>
      <c r="H629" s="42">
        <f t="shared" si="1"/>
        <v>337</v>
      </c>
    </row>
    <row r="630" ht="22.5" customHeight="1">
      <c r="B630" s="42" t="str">
        <f>IFERROR(__xludf.DUMMYFUNCTION("""COMPUTED_VALUE"""),"K/36/021224/1")</f>
        <v>K/36/021224/1</v>
      </c>
      <c r="C630" s="42" t="str">
        <f>IFERROR(__xludf.DUMMYFUNCTION("""COMPUTED_VALUE"""),"M. 1395/ Way Halim Permai")</f>
        <v>M. 1395/ Way Halim Permai</v>
      </c>
      <c r="D630" s="42" t="str">
        <f>IFERROR(__xludf.DUMMYFUNCTION("""COMPUTED_VALUE"""),"Berry")</f>
        <v>Berry</v>
      </c>
      <c r="E630" s="42" t="str">
        <f>IFERROR(__xludf.DUMMYFUNCTION("""COMPUTED_VALUE"""),"PROSES")</f>
        <v>PROSES</v>
      </c>
      <c r="F630" s="48" t="str">
        <f>IFERROR(__xludf.DUMMYFUNCTION("""COMPUTED_VALUE"""),"")</f>
        <v/>
      </c>
      <c r="G630" s="42" t="str">
        <f>IFERROR(__xludf.DUMMYFUNCTION("""COMPUTED_VALUE"""),"BN Jual Beli")</f>
        <v>BN Jual Beli</v>
      </c>
      <c r="H630" s="42">
        <f t="shared" si="1"/>
        <v>337</v>
      </c>
    </row>
    <row r="631" ht="22.5" customHeight="1">
      <c r="B631" s="42" t="str">
        <f>IFERROR(__xludf.DUMMYFUNCTION("""COMPUTED_VALUE"""),"K/39/021224/1")</f>
        <v>K/39/021224/1</v>
      </c>
      <c r="C631" s="42" t="str">
        <f>IFERROR(__xludf.DUMMYFUNCTION("""COMPUTED_VALUE"""),"M. 1600/ Kangkung")</f>
        <v>M. 1600/ Kangkung</v>
      </c>
      <c r="D631" s="42" t="str">
        <f>IFERROR(__xludf.DUMMYFUNCTION("""COMPUTED_VALUE"""),"Berry")</f>
        <v>Berry</v>
      </c>
      <c r="E631" s="42" t="str">
        <f>IFERROR(__xludf.DUMMYFUNCTION("""COMPUTED_VALUE"""),"PROSES")</f>
        <v>PROSES</v>
      </c>
      <c r="F631" s="48" t="str">
        <f>IFERROR(__xludf.DUMMYFUNCTION("""COMPUTED_VALUE"""),"")</f>
        <v/>
      </c>
      <c r="G631" s="42" t="str">
        <f>IFERROR(__xludf.DUMMYFUNCTION("""COMPUTED_VALUE"""),"BN JUAL BELI")</f>
        <v>BN JUAL BELI</v>
      </c>
      <c r="H631" s="42">
        <f t="shared" si="1"/>
        <v>337</v>
      </c>
    </row>
    <row r="632" ht="22.5" customHeight="1">
      <c r="B632" s="42" t="str">
        <f>IFERROR(__xludf.DUMMYFUNCTION("""COMPUTED_VALUE"""),"L/3/301124/3")</f>
        <v>L/3/301124/3</v>
      </c>
      <c r="C632" s="42" t="str">
        <f>IFERROR(__xludf.DUMMYFUNCTION("""COMPUTED_VALUE"""),"M.949/DURIAN PAYUNG")</f>
        <v>M.949/DURIAN PAYUNG</v>
      </c>
      <c r="D632" s="42" t="str">
        <f>IFERROR(__xludf.DUMMYFUNCTION("""COMPUTED_VALUE"""),"Berry")</f>
        <v>Berry</v>
      </c>
      <c r="E632" s="42" t="str">
        <f>IFERROR(__xludf.DUMMYFUNCTION("""COMPUTED_VALUE"""),"PROSES")</f>
        <v>PROSES</v>
      </c>
      <c r="F632" s="48" t="str">
        <f>IFERROR(__xludf.DUMMYFUNCTION("""COMPUTED_VALUE"""),"")</f>
        <v/>
      </c>
      <c r="G632" s="42" t="str">
        <f>IFERROR(__xludf.DUMMYFUNCTION("""COMPUTED_VALUE"""),"ROYA")</f>
        <v>ROYA</v>
      </c>
      <c r="H632" s="42">
        <f t="shared" si="1"/>
        <v>337</v>
      </c>
    </row>
    <row r="633" ht="22.5" customHeight="1">
      <c r="B633" s="42" t="str">
        <f>IFERROR(__xludf.DUMMYFUNCTION("""COMPUTED_VALUE"""),"L/4/301124/4")</f>
        <v>L/4/301124/4</v>
      </c>
      <c r="C633" s="42" t="str">
        <f>IFERROR(__xludf.DUMMYFUNCTION("""COMPUTED_VALUE"""),"M.973/DURIAN PAYUNG")</f>
        <v>M.973/DURIAN PAYUNG</v>
      </c>
      <c r="D633" s="42" t="str">
        <f>IFERROR(__xludf.DUMMYFUNCTION("""COMPUTED_VALUE"""),"Berry")</f>
        <v>Berry</v>
      </c>
      <c r="E633" s="42" t="str">
        <f>IFERROR(__xludf.DUMMYFUNCTION("""COMPUTED_VALUE"""),"PROSES")</f>
        <v>PROSES</v>
      </c>
      <c r="F633" s="48" t="str">
        <f>IFERROR(__xludf.DUMMYFUNCTION("""COMPUTED_VALUE"""),"")</f>
        <v/>
      </c>
      <c r="G633" s="42" t="str">
        <f>IFERROR(__xludf.DUMMYFUNCTION("""COMPUTED_VALUE"""),"ROYA")</f>
        <v>ROYA</v>
      </c>
      <c r="H633" s="42">
        <f t="shared" si="1"/>
        <v>337</v>
      </c>
    </row>
    <row r="634" ht="22.5" customHeight="1">
      <c r="B634" s="42" t="str">
        <f>IFERROR(__xludf.DUMMYFUNCTION("""COMPUTED_VALUE"""),"L/1/031224/1")</f>
        <v>L/1/031224/1</v>
      </c>
      <c r="C634" s="42" t="str">
        <f>IFERROR(__xludf.DUMMYFUNCTION("""COMPUTED_VALUE"""),"ENGGAL")</f>
        <v>ENGGAL</v>
      </c>
      <c r="D634" s="42"/>
      <c r="E634" s="42"/>
      <c r="F634" s="48" t="str">
        <f>IFERROR(__xludf.DUMMYFUNCTION("""COMPUTED_VALUE"""),"")</f>
        <v/>
      </c>
      <c r="G634" s="42" t="str">
        <f>IFERROR(__xludf.DUMMYFUNCTION("""COMPUTED_VALUE"""),"PERMOHONAN SK")</f>
        <v>PERMOHONAN SK</v>
      </c>
      <c r="H634" s="42">
        <f t="shared" si="1"/>
        <v>337</v>
      </c>
    </row>
    <row r="635" ht="22.5" customHeight="1">
      <c r="B635" s="42" t="str">
        <f>IFERROR(__xludf.DUMMYFUNCTION("""COMPUTED_VALUE"""),"K/4/031224/1")</f>
        <v>K/4/031224/1</v>
      </c>
      <c r="C635" s="42" t="str">
        <f>IFERROR(__xludf.DUMMYFUNCTION("""COMPUTED_VALUE"""),"M.922/KUPANG TEBA")</f>
        <v>M.922/KUPANG TEBA</v>
      </c>
      <c r="D635" s="42" t="str">
        <f>IFERROR(__xludf.DUMMYFUNCTION("""COMPUTED_VALUE"""),"Berry")</f>
        <v>Berry</v>
      </c>
      <c r="E635" s="42" t="str">
        <f>IFERROR(__xludf.DUMMYFUNCTION("""COMPUTED_VALUE"""),"PROSES")</f>
        <v>PROSES</v>
      </c>
      <c r="F635" s="48" t="str">
        <f>IFERROR(__xludf.DUMMYFUNCTION("""COMPUTED_VALUE"""),"")</f>
        <v/>
      </c>
      <c r="G635" s="42" t="str">
        <f>IFERROR(__xludf.DUMMYFUNCTION("""COMPUTED_VALUE"""),"BN JUAL BELI")</f>
        <v>BN JUAL BELI</v>
      </c>
      <c r="H635" s="42">
        <f t="shared" si="1"/>
        <v>337</v>
      </c>
    </row>
    <row r="636" ht="22.5" customHeight="1">
      <c r="B636" s="42" t="str">
        <f>IFERROR(__xludf.DUMMYFUNCTION("""COMPUTED_VALUE"""),"K/2/031224/1")</f>
        <v>K/2/031224/1</v>
      </c>
      <c r="C636" s="42" t="str">
        <f>IFERROR(__xludf.DUMMYFUNCTION("""COMPUTED_VALUE"""),"M. 1037/ Kaliawi")</f>
        <v>M. 1037/ Kaliawi</v>
      </c>
      <c r="D636" s="42" t="str">
        <f>IFERROR(__xludf.DUMMYFUNCTION("""COMPUTED_VALUE"""),"Berry")</f>
        <v>Berry</v>
      </c>
      <c r="E636" s="42" t="str">
        <f>IFERROR(__xludf.DUMMYFUNCTION("""COMPUTED_VALUE"""),"DISERAHKAN")</f>
        <v>DISERAHKAN</v>
      </c>
      <c r="F636" s="48" t="str">
        <f>IFERROR(__xludf.DUMMYFUNCTION("""COMPUTED_VALUE"""),"05/12/2024 08.17")</f>
        <v>05/12/2024 08.17</v>
      </c>
      <c r="G636" s="42" t="str">
        <f>IFERROR(__xludf.DUMMYFUNCTION("""COMPUTED_VALUE"""),"ROYA")</f>
        <v>ROYA</v>
      </c>
      <c r="H636" s="42">
        <f t="shared" si="1"/>
        <v>338</v>
      </c>
    </row>
    <row r="637" ht="22.5" customHeight="1">
      <c r="B637" s="42" t="str">
        <f>IFERROR(__xludf.DUMMYFUNCTION("""COMPUTED_VALUE"""),"L/8/031224/1")</f>
        <v>L/8/031224/1</v>
      </c>
      <c r="C637" s="42" t="str">
        <f>IFERROR(__xludf.DUMMYFUNCTION("""COMPUTED_VALUE"""),"HM 2692/KOTA BARU")</f>
        <v>HM 2692/KOTA BARU</v>
      </c>
      <c r="D637" s="42" t="str">
        <f>IFERROR(__xludf.DUMMYFUNCTION("""COMPUTED_VALUE"""),"Berry")</f>
        <v>Berry</v>
      </c>
      <c r="E637" s="42" t="str">
        <f>IFERROR(__xludf.DUMMYFUNCTION("""COMPUTED_VALUE"""),"DISERAHKAN")</f>
        <v>DISERAHKAN</v>
      </c>
      <c r="F637" s="48" t="str">
        <f>IFERROR(__xludf.DUMMYFUNCTION("""COMPUTED_VALUE"""),"05/12/2024 08.17")</f>
        <v>05/12/2024 08.17</v>
      </c>
      <c r="G637" s="42" t="str">
        <f>IFERROR(__xludf.DUMMYFUNCTION("""COMPUTED_VALUE"""),"PEMECAHAN")</f>
        <v>PEMECAHAN</v>
      </c>
      <c r="H637" s="42">
        <f t="shared" si="1"/>
        <v>339</v>
      </c>
    </row>
    <row r="638" ht="22.5" customHeight="1">
      <c r="B638" s="42" t="str">
        <f>IFERROR(__xludf.DUMMYFUNCTION("""COMPUTED_VALUE"""),"K/09/031224/2")</f>
        <v>K/09/031224/2</v>
      </c>
      <c r="C638" s="42" t="str">
        <f>IFERROR(__xludf.DUMMYFUNCTION("""COMPUTED_VALUE"""),"M.2619/PINANG JAYA")</f>
        <v>M.2619/PINANG JAYA</v>
      </c>
      <c r="D638" s="42" t="str">
        <f>IFERROR(__xludf.DUMMYFUNCTION("""COMPUTED_VALUE"""),"Berry")</f>
        <v>Berry</v>
      </c>
      <c r="E638" s="42" t="str">
        <f>IFERROR(__xludf.DUMMYFUNCTION("""COMPUTED_VALUE"""),"DISERAHKAN")</f>
        <v>DISERAHKAN</v>
      </c>
      <c r="F638" s="48" t="str">
        <f>IFERROR(__xludf.DUMMYFUNCTION("""COMPUTED_VALUE"""),"05/12/2024 08.17")</f>
        <v>05/12/2024 08.17</v>
      </c>
      <c r="G638" s="42" t="str">
        <f>IFERROR(__xludf.DUMMYFUNCTION("""COMPUTED_VALUE"""),"BN JUAL BELI")</f>
        <v>BN JUAL BELI</v>
      </c>
      <c r="H638" s="42">
        <f t="shared" si="1"/>
        <v>340</v>
      </c>
    </row>
    <row r="639" ht="22.5" customHeight="1">
      <c r="B639" s="42" t="str">
        <f>IFERROR(__xludf.DUMMYFUNCTION("""COMPUTED_VALUE"""),"K/11/031224/3")</f>
        <v>K/11/031224/3</v>
      </c>
      <c r="C639" s="42" t="str">
        <f>IFERROR(__xludf.DUMMYFUNCTION("""COMPUTED_VALUE"""),"M.2867/KETEGUHAN-SEKARANG;B.867/KETEGUHAN-DAHULU")</f>
        <v>M.2867/KETEGUHAN-SEKARANG;B.867/KETEGUHAN-DAHULU</v>
      </c>
      <c r="D639" s="42" t="str">
        <f>IFERROR(__xludf.DUMMYFUNCTION("""COMPUTED_VALUE"""),"Berry")</f>
        <v>Berry</v>
      </c>
      <c r="E639" s="42" t="str">
        <f>IFERROR(__xludf.DUMMYFUNCTION("""COMPUTED_VALUE"""),"DISERAHKAN")</f>
        <v>DISERAHKAN</v>
      </c>
      <c r="F639" s="48" t="str">
        <f>IFERROR(__xludf.DUMMYFUNCTION("""COMPUTED_VALUE"""),"05/12/2024 08.17")</f>
        <v>05/12/2024 08.17</v>
      </c>
      <c r="G639" s="42" t="str">
        <f>IFERROR(__xludf.DUMMYFUNCTION("""COMPUTED_VALUE"""),"ROYA")</f>
        <v>ROYA</v>
      </c>
      <c r="H639" s="42">
        <f t="shared" si="1"/>
        <v>341</v>
      </c>
    </row>
    <row r="640" ht="22.5" customHeight="1">
      <c r="B640" s="42" t="str">
        <f>IFERROR(__xludf.DUMMYFUNCTION("""COMPUTED_VALUE"""),"K/16/031224/2")</f>
        <v>K/16/031224/2</v>
      </c>
      <c r="C640" s="42" t="str">
        <f>IFERROR(__xludf.DUMMYFUNCTION("""COMPUTED_VALUE"""),"M.4902/LANGKAPURA")</f>
        <v>M.4902/LANGKAPURA</v>
      </c>
      <c r="D640" s="42"/>
      <c r="E640" s="42"/>
      <c r="F640" s="48" t="str">
        <f>IFERROR(__xludf.DUMMYFUNCTION("""COMPUTED_VALUE"""),"")</f>
        <v/>
      </c>
      <c r="G640" s="42" t="str">
        <f>IFERROR(__xludf.DUMMYFUNCTION("""COMPUTED_VALUE"""),"HAPUS BPHTB")</f>
        <v>HAPUS BPHTB</v>
      </c>
      <c r="H640" s="42">
        <f t="shared" si="1"/>
        <v>341</v>
      </c>
    </row>
    <row r="641" ht="22.5" customHeight="1">
      <c r="B641" s="42" t="str">
        <f>IFERROR(__xludf.DUMMYFUNCTION("""COMPUTED_VALUE"""),"L/20/031224/1")</f>
        <v>L/20/031224/1</v>
      </c>
      <c r="C641" s="42" t="str">
        <f>IFERROR(__xludf.DUMMYFUNCTION("""COMPUTED_VALUE"""),"HGB 838/PWK")</f>
        <v>HGB 838/PWK</v>
      </c>
      <c r="D641" s="42" t="str">
        <f>IFERROR(__xludf.DUMMYFUNCTION("""COMPUTED_VALUE"""),"Berry")</f>
        <v>Berry</v>
      </c>
      <c r="E641" s="42" t="str">
        <f>IFERROR(__xludf.DUMMYFUNCTION("""COMPUTED_VALUE"""),"PROSES")</f>
        <v>PROSES</v>
      </c>
      <c r="F641" s="48" t="str">
        <f>IFERROR(__xludf.DUMMYFUNCTION("""COMPUTED_VALUE"""),"")</f>
        <v/>
      </c>
      <c r="G641" s="42" t="str">
        <f>IFERROR(__xludf.DUMMYFUNCTION("""COMPUTED_VALUE"""),"PERUBAHAN HAK")</f>
        <v>PERUBAHAN HAK</v>
      </c>
      <c r="H641" s="42">
        <f t="shared" si="1"/>
        <v>341</v>
      </c>
    </row>
    <row r="642" ht="22.5" customHeight="1">
      <c r="B642" s="42" t="str">
        <f>IFERROR(__xludf.DUMMYFUNCTION("""COMPUTED_VALUE"""),"K/19/031224/1")</f>
        <v>K/19/031224/1</v>
      </c>
      <c r="C642" s="42" t="str">
        <f>IFERROR(__xludf.DUMMYFUNCTION("""COMPUTED_VALUE"""),"M.1763/SEPANG JAYA")</f>
        <v>M.1763/SEPANG JAYA</v>
      </c>
      <c r="D642" s="42" t="str">
        <f>IFERROR(__xludf.DUMMYFUNCTION("""COMPUTED_VALUE"""),"Berry")</f>
        <v>Berry</v>
      </c>
      <c r="E642" s="42" t="str">
        <f>IFERROR(__xludf.DUMMYFUNCTION("""COMPUTED_VALUE"""),"DISERAHKAN")</f>
        <v>DISERAHKAN</v>
      </c>
      <c r="F642" s="48" t="str">
        <f>IFERROR(__xludf.DUMMYFUNCTION("""COMPUTED_VALUE"""),"05/12/2024 08.17")</f>
        <v>05/12/2024 08.17</v>
      </c>
      <c r="G642" s="42" t="str">
        <f>IFERROR(__xludf.DUMMYFUNCTION("""COMPUTED_VALUE"""),"KEWARISAN")</f>
        <v>KEWARISAN</v>
      </c>
      <c r="H642" s="42">
        <f t="shared" si="1"/>
        <v>342</v>
      </c>
    </row>
    <row r="643" ht="22.5" customHeight="1">
      <c r="B643" s="42" t="str">
        <f>IFERROR(__xludf.DUMMYFUNCTION("""COMPUTED_VALUE"""),"K/21/031224/1")</f>
        <v>K/21/031224/1</v>
      </c>
      <c r="C643" s="42" t="str">
        <f>IFERROR(__xludf.DUMMYFUNCTION("""COMPUTED_VALUE"""),"M. 3350/ Kemiling Permai")</f>
        <v>M. 3350/ Kemiling Permai</v>
      </c>
      <c r="D643" s="42" t="str">
        <f>IFERROR(__xludf.DUMMYFUNCTION("""COMPUTED_VALUE"""),"Berry")</f>
        <v>Berry</v>
      </c>
      <c r="E643" s="42" t="str">
        <f>IFERROR(__xludf.DUMMYFUNCTION("""COMPUTED_VALUE"""),"DISERAHKAN")</f>
        <v>DISERAHKAN</v>
      </c>
      <c r="F643" s="48" t="str">
        <f>IFERROR(__xludf.DUMMYFUNCTION("""COMPUTED_VALUE"""),"05/12/2024 08.17")</f>
        <v>05/12/2024 08.17</v>
      </c>
      <c r="G643" s="42" t="str">
        <f>IFERROR(__xludf.DUMMYFUNCTION("""COMPUTED_VALUE"""),"BN JUAL BELI")</f>
        <v>BN JUAL BELI</v>
      </c>
      <c r="H643" s="42">
        <f t="shared" si="1"/>
        <v>343</v>
      </c>
    </row>
    <row r="644" ht="22.5" customHeight="1">
      <c r="B644" s="42" t="str">
        <f>IFERROR(__xludf.DUMMYFUNCTION("""COMPUTED_VALUE"""),"K/23/031224/1")</f>
        <v>K/23/031224/1</v>
      </c>
      <c r="C644" s="42" t="str">
        <f>IFERROR(__xludf.DUMMYFUNCTION("""COMPUTED_VALUE"""),"M.9026/LABUUHAN RATU")</f>
        <v>M.9026/LABUUHAN RATU</v>
      </c>
      <c r="D644" s="42" t="str">
        <f>IFERROR(__xludf.DUMMYFUNCTION("""COMPUTED_VALUE"""),"Berry")</f>
        <v>Berry</v>
      </c>
      <c r="E644" s="42" t="str">
        <f>IFERROR(__xludf.DUMMYFUNCTION("""COMPUTED_VALUE"""),"DISERAHKAN")</f>
        <v>DISERAHKAN</v>
      </c>
      <c r="F644" s="48" t="str">
        <f>IFERROR(__xludf.DUMMYFUNCTION("""COMPUTED_VALUE"""),"05/12/2024 08.17")</f>
        <v>05/12/2024 08.17</v>
      </c>
      <c r="G644" s="42" t="str">
        <f>IFERROR(__xludf.DUMMYFUNCTION("""COMPUTED_VALUE"""),"ROYA KEWARISAN")</f>
        <v>ROYA KEWARISAN</v>
      </c>
      <c r="H644" s="42">
        <f t="shared" si="1"/>
        <v>344</v>
      </c>
    </row>
    <row r="645" ht="22.5" customHeight="1">
      <c r="B645" s="42" t="str">
        <f>IFERROR(__xludf.DUMMYFUNCTION("""COMPUTED_VALUE"""),"K/25/031224/2")</f>
        <v>K/25/031224/2</v>
      </c>
      <c r="C645" s="42" t="str">
        <f>IFERROR(__xludf.DUMMYFUNCTION("""COMPUTED_VALUE"""),"M. 6251/ Way Kandis")</f>
        <v>M. 6251/ Way Kandis</v>
      </c>
      <c r="D645" s="42" t="str">
        <f>IFERROR(__xludf.DUMMYFUNCTION("""COMPUTED_VALUE"""),"Berry")</f>
        <v>Berry</v>
      </c>
      <c r="E645" s="42" t="str">
        <f>IFERROR(__xludf.DUMMYFUNCTION("""COMPUTED_VALUE"""),"DISERAHKAN")</f>
        <v>DISERAHKAN</v>
      </c>
      <c r="F645" s="48" t="str">
        <f>IFERROR(__xludf.DUMMYFUNCTION("""COMPUTED_VALUE"""),"05/12/2024 08.17")</f>
        <v>05/12/2024 08.17</v>
      </c>
      <c r="G645" s="42" t="str">
        <f>IFERROR(__xludf.DUMMYFUNCTION("""COMPUTED_VALUE"""),"BN JUAL BELI")</f>
        <v>BN JUAL BELI</v>
      </c>
      <c r="H645" s="42">
        <f t="shared" si="1"/>
        <v>345</v>
      </c>
    </row>
    <row r="646" ht="22.5" customHeight="1">
      <c r="B646" s="42" t="str">
        <f>IFERROR(__xludf.DUMMYFUNCTION("""COMPUTED_VALUE"""),"L/28/031224/1")</f>
        <v>L/28/031224/1</v>
      </c>
      <c r="C646" s="42" t="str">
        <f>IFERROR(__xludf.DUMMYFUNCTION("""COMPUTED_VALUE"""),"HM 116/SUKABUMI INDAH")</f>
        <v>HM 116/SUKABUMI INDAH</v>
      </c>
      <c r="D646" s="42" t="str">
        <f>IFERROR(__xludf.DUMMYFUNCTION("""COMPUTED_VALUE"""),"Berry")</f>
        <v>Berry</v>
      </c>
      <c r="E646" s="42" t="str">
        <f>IFERROR(__xludf.DUMMYFUNCTION("""COMPUTED_VALUE"""),"DISERAHKAN")</f>
        <v>DISERAHKAN</v>
      </c>
      <c r="F646" s="48">
        <f>IFERROR(__xludf.DUMMYFUNCTION("""COMPUTED_VALUE"""),45698.614612708334)</f>
        <v>45698.61461</v>
      </c>
      <c r="G646" s="42" t="str">
        <f>IFERROR(__xludf.DUMMYFUNCTION("""COMPUTED_VALUE"""),"BN WARIS")</f>
        <v>BN WARIS</v>
      </c>
      <c r="H646" s="42">
        <f t="shared" si="1"/>
        <v>346</v>
      </c>
    </row>
    <row r="647" ht="22.5" customHeight="1">
      <c r="B647" s="42" t="str">
        <f>IFERROR(__xludf.DUMMYFUNCTION("""COMPUTED_VALUE"""),"K/26/031224/3")</f>
        <v>K/26/031224/3</v>
      </c>
      <c r="C647" s="42" t="str">
        <f>IFERROR(__xludf.DUMMYFUNCTION("""COMPUTED_VALUE"""),"M. 646/ Perwata")</f>
        <v>M. 646/ Perwata</v>
      </c>
      <c r="D647" s="42" t="str">
        <f>IFERROR(__xludf.DUMMYFUNCTION("""COMPUTED_VALUE"""),"Berry")</f>
        <v>Berry</v>
      </c>
      <c r="E647" s="42" t="str">
        <f>IFERROR(__xludf.DUMMYFUNCTION("""COMPUTED_VALUE"""),"DISERAHKAN")</f>
        <v>DISERAHKAN</v>
      </c>
      <c r="F647" s="48" t="str">
        <f>IFERROR(__xludf.DUMMYFUNCTION("""COMPUTED_VALUE"""),"05/12/2024 08.17")</f>
        <v>05/12/2024 08.17</v>
      </c>
      <c r="G647" s="42" t="str">
        <f>IFERROR(__xludf.DUMMYFUNCTION("""COMPUTED_VALUE"""),"BN JUAL BELI")</f>
        <v>BN JUAL BELI</v>
      </c>
      <c r="H647" s="42">
        <f t="shared" si="1"/>
        <v>347</v>
      </c>
    </row>
    <row r="648" ht="22.5" customHeight="1">
      <c r="B648" s="42" t="str">
        <f>IFERROR(__xludf.DUMMYFUNCTION("""COMPUTED_VALUE"""),"L/32/031224/1")</f>
        <v>L/32/031224/1</v>
      </c>
      <c r="C648" s="42" t="str">
        <f>IFERROR(__xludf.DUMMYFUNCTION("""COMPUTED_VALUE"""),"RAJABASA NUNYAI")</f>
        <v>RAJABASA NUNYAI</v>
      </c>
      <c r="D648" s="42"/>
      <c r="E648" s="42"/>
      <c r="F648" s="48" t="str">
        <f>IFERROR(__xludf.DUMMYFUNCTION("""COMPUTED_VALUE"""),"")</f>
        <v/>
      </c>
      <c r="G648" s="42" t="str">
        <f>IFERROR(__xludf.DUMMYFUNCTION("""COMPUTED_VALUE"""),"TANAH MENTAH")</f>
        <v>TANAH MENTAH</v>
      </c>
      <c r="H648" s="42">
        <f t="shared" si="1"/>
        <v>347</v>
      </c>
    </row>
    <row r="649" ht="22.5" customHeight="1">
      <c r="B649" s="42" t="str">
        <f>IFERROR(__xludf.DUMMYFUNCTION("""COMPUTED_VALUE"""),"K/33/031224/1")</f>
        <v>K/33/031224/1</v>
      </c>
      <c r="C649" s="42" t="str">
        <f>IFERROR(__xludf.DUMMYFUNCTION("""COMPUTED_VALUE"""),"M. 2846/ durian Payung")</f>
        <v>M. 2846/ durian Payung</v>
      </c>
      <c r="D649" s="42" t="str">
        <f>IFERROR(__xludf.DUMMYFUNCTION("""COMPUTED_VALUE"""),"Berry")</f>
        <v>Berry</v>
      </c>
      <c r="E649" s="42" t="str">
        <f>IFERROR(__xludf.DUMMYFUNCTION("""COMPUTED_VALUE"""),"PROSES")</f>
        <v>PROSES</v>
      </c>
      <c r="F649" s="48" t="str">
        <f>IFERROR(__xludf.DUMMYFUNCTION("""COMPUTED_VALUE"""),"")</f>
        <v/>
      </c>
      <c r="G649" s="42" t="str">
        <f>IFERROR(__xludf.DUMMYFUNCTION("""COMPUTED_VALUE"""),"BN WARIS")</f>
        <v>BN WARIS</v>
      </c>
      <c r="H649" s="42">
        <f t="shared" si="1"/>
        <v>347</v>
      </c>
    </row>
    <row r="650" ht="22.5" customHeight="1">
      <c r="B650" s="42" t="str">
        <f>IFERROR(__xludf.DUMMYFUNCTION("""COMPUTED_VALUE"""),"K/37/031224/1")</f>
        <v>K/37/031224/1</v>
      </c>
      <c r="C650" s="42" t="str">
        <f>IFERROR(__xludf.DUMMYFUNCTION("""COMPUTED_VALUE"""),"M. 2092/ Keteguhan")</f>
        <v>M. 2092/ Keteguhan</v>
      </c>
      <c r="D650" s="42" t="str">
        <f>IFERROR(__xludf.DUMMYFUNCTION("""COMPUTED_VALUE"""),"Berry")</f>
        <v>Berry</v>
      </c>
      <c r="E650" s="42" t="str">
        <f>IFERROR(__xludf.DUMMYFUNCTION("""COMPUTED_VALUE"""),"DISERAHKAN")</f>
        <v>DISERAHKAN</v>
      </c>
      <c r="F650" s="48">
        <f>IFERROR(__xludf.DUMMYFUNCTION("""COMPUTED_VALUE"""),45694.5894862037)</f>
        <v>45694.58949</v>
      </c>
      <c r="G650" s="42" t="str">
        <f>IFERROR(__xludf.DUMMYFUNCTION("""COMPUTED_VALUE"""),"BN Jual Beli")</f>
        <v>BN Jual Beli</v>
      </c>
      <c r="H650" s="42">
        <f t="shared" si="1"/>
        <v>348</v>
      </c>
    </row>
    <row r="651" ht="22.5" customHeight="1">
      <c r="B651" s="42" t="str">
        <f>IFERROR(__xludf.DUMMYFUNCTION("""COMPUTED_VALUE"""),"K/38/031224/2")</f>
        <v>K/38/031224/2</v>
      </c>
      <c r="C651" s="42" t="str">
        <f>IFERROR(__xludf.DUMMYFUNCTION("""COMPUTED_VALUE"""),"M. 2146/ Pengajaran")</f>
        <v>M. 2146/ Pengajaran</v>
      </c>
      <c r="D651" s="42" t="str">
        <f>IFERROR(__xludf.DUMMYFUNCTION("""COMPUTED_VALUE"""),"Berry")</f>
        <v>Berry</v>
      </c>
      <c r="E651" s="42" t="str">
        <f>IFERROR(__xludf.DUMMYFUNCTION("""COMPUTED_VALUE"""),"PROSES")</f>
        <v>PROSES</v>
      </c>
      <c r="F651" s="48" t="str">
        <f>IFERROR(__xludf.DUMMYFUNCTION("""COMPUTED_VALUE"""),"")</f>
        <v/>
      </c>
      <c r="G651" s="42" t="str">
        <f>IFERROR(__xludf.DUMMYFUNCTION("""COMPUTED_VALUE"""),"BN Jual Beli")</f>
        <v>BN Jual Beli</v>
      </c>
      <c r="H651" s="42">
        <f t="shared" si="1"/>
        <v>348</v>
      </c>
    </row>
    <row r="652" ht="22.5" customHeight="1">
      <c r="B652" s="42" t="str">
        <f>IFERROR(__xludf.DUMMYFUNCTION("""COMPUTED_VALUE"""),"K/36/031224/2")</f>
        <v>K/36/031224/2</v>
      </c>
      <c r="C652" s="42" t="str">
        <f>IFERROR(__xludf.DUMMYFUNCTION("""COMPUTED_VALUE"""),"M.15640/KALI BALAU KENCANA-SEKARANG;M.3724/SUKARAME I-DAHULU")</f>
        <v>M.15640/KALI BALAU KENCANA-SEKARANG;M.3724/SUKARAME I-DAHULU</v>
      </c>
      <c r="D652" s="42"/>
      <c r="E652" s="42"/>
      <c r="F652" s="48" t="str">
        <f>IFERROR(__xludf.DUMMYFUNCTION("""COMPUTED_VALUE"""),"")</f>
        <v/>
      </c>
      <c r="G652" s="42" t="str">
        <f>IFERROR(__xludf.DUMMYFUNCTION("""COMPUTED_VALUE"""),"SERTIPIKAT HILANG")</f>
        <v>SERTIPIKAT HILANG</v>
      </c>
      <c r="H652" s="42">
        <f t="shared" si="1"/>
        <v>348</v>
      </c>
    </row>
    <row r="653" ht="22.5" customHeight="1">
      <c r="B653" s="42" t="str">
        <f>IFERROR(__xludf.DUMMYFUNCTION("""COMPUTED_VALUE"""),"K/40/031224/1")</f>
        <v>K/40/031224/1</v>
      </c>
      <c r="C653" s="42" t="str">
        <f>IFERROR(__xludf.DUMMYFUNCTION("""COMPUTED_VALUE"""),"NIBEL B. 3412/LABUHAN RATU RAYA")</f>
        <v>NIBEL B. 3412/LABUHAN RATU RAYA</v>
      </c>
      <c r="D653" s="42"/>
      <c r="E653" s="42"/>
      <c r="F653" s="48" t="str">
        <f>IFERROR(__xludf.DUMMYFUNCTION("""COMPUTED_VALUE"""),"")</f>
        <v/>
      </c>
      <c r="G653" s="42" t="str">
        <f>IFERROR(__xludf.DUMMYFUNCTION("""COMPUTED_VALUE"""),"BN WARIS")</f>
        <v>BN WARIS</v>
      </c>
      <c r="H653" s="42">
        <f t="shared" si="1"/>
        <v>348</v>
      </c>
    </row>
    <row r="654" ht="22.5" customHeight="1">
      <c r="B654" s="42" t="str">
        <f>IFERROR(__xludf.DUMMYFUNCTION("""COMPUTED_VALUE"""),"K/44/031224/1")</f>
        <v>K/44/031224/1</v>
      </c>
      <c r="C654" s="42" t="str">
        <f>IFERROR(__xludf.DUMMYFUNCTION("""COMPUTED_VALUE"""),"B.253/NUSANTARA PERMAI")</f>
        <v>B.253/NUSANTARA PERMAI</v>
      </c>
      <c r="D654" s="42" t="str">
        <f>IFERROR(__xludf.DUMMYFUNCTION("""COMPUTED_VALUE"""),"Berry")</f>
        <v>Berry</v>
      </c>
      <c r="E654" s="42" t="str">
        <f>IFERROR(__xludf.DUMMYFUNCTION("""COMPUTED_VALUE"""),"DISERAHKAN")</f>
        <v>DISERAHKAN</v>
      </c>
      <c r="F654" s="48" t="str">
        <f>IFERROR(__xludf.DUMMYFUNCTION("""COMPUTED_VALUE"""),"05/12/2024 08.17")</f>
        <v>05/12/2024 08.17</v>
      </c>
      <c r="G654" s="42" t="str">
        <f>IFERROR(__xludf.DUMMYFUNCTION("""COMPUTED_VALUE"""),"BN JUAL BELI")</f>
        <v>BN JUAL BELI</v>
      </c>
      <c r="H654" s="42">
        <f t="shared" si="1"/>
        <v>349</v>
      </c>
    </row>
    <row r="655" ht="22.5" customHeight="1">
      <c r="B655" s="42" t="str">
        <f>IFERROR(__xludf.DUMMYFUNCTION("""COMPUTED_VALUE"""),"K/42/031224/1")</f>
        <v>K/42/031224/1</v>
      </c>
      <c r="C655" s="42" t="str">
        <f>IFERROR(__xludf.DUMMYFUNCTION("""COMPUTED_VALUE"""),"M. 13769/ SEGALA MIDER")</f>
        <v>M. 13769/ SEGALA MIDER</v>
      </c>
      <c r="D655" s="42" t="str">
        <f>IFERROR(__xludf.DUMMYFUNCTION("""COMPUTED_VALUE"""),"Berry")</f>
        <v>Berry</v>
      </c>
      <c r="E655" s="42" t="str">
        <f>IFERROR(__xludf.DUMMYFUNCTION("""COMPUTED_VALUE"""),"DISERAHKAN")</f>
        <v>DISERAHKAN</v>
      </c>
      <c r="F655" s="48">
        <f>IFERROR(__xludf.DUMMYFUNCTION("""COMPUTED_VALUE"""),45758.486947233796)</f>
        <v>45758.48695</v>
      </c>
      <c r="G655" s="42" t="str">
        <f>IFERROR(__xludf.DUMMYFUNCTION("""COMPUTED_VALUE"""),"ROYA")</f>
        <v>ROYA</v>
      </c>
      <c r="H655" s="42">
        <f t="shared" si="1"/>
        <v>350</v>
      </c>
    </row>
    <row r="656" ht="22.5" customHeight="1">
      <c r="B656" s="42" t="str">
        <f>IFERROR(__xludf.DUMMYFUNCTION("""COMPUTED_VALUE"""),"K/47/031224/1")</f>
        <v>K/47/031224/1</v>
      </c>
      <c r="C656" s="42" t="str">
        <f>IFERROR(__xludf.DUMMYFUNCTION("""COMPUTED_VALUE"""),"B. 354/ Kangkung")</f>
        <v>B. 354/ Kangkung</v>
      </c>
      <c r="D656" s="42"/>
      <c r="E656" s="42"/>
      <c r="F656" s="48" t="str">
        <f>IFERROR(__xludf.DUMMYFUNCTION("""COMPUTED_VALUE"""),"")</f>
        <v/>
      </c>
      <c r="G656" s="42" t="str">
        <f>IFERROR(__xludf.DUMMYFUNCTION("""COMPUTED_VALUE"""),"Permohonan SK")</f>
        <v>Permohonan SK</v>
      </c>
      <c r="H656" s="42">
        <f t="shared" si="1"/>
        <v>350</v>
      </c>
    </row>
    <row r="657" ht="22.5" customHeight="1">
      <c r="B657" s="42" t="str">
        <f>IFERROR(__xludf.DUMMYFUNCTION("""COMPUTED_VALUE"""),"K/48/031224/1")</f>
        <v>K/48/031224/1</v>
      </c>
      <c r="C657" s="42" t="str">
        <f>IFERROR(__xludf.DUMMYFUNCTION("""COMPUTED_VALUE"""),"NIBEL M. 3311/LABUHAN RATU RAYA")</f>
        <v>NIBEL M. 3311/LABUHAN RATU RAYA</v>
      </c>
      <c r="D657" s="42"/>
      <c r="E657" s="42"/>
      <c r="F657" s="48" t="str">
        <f>IFERROR(__xludf.DUMMYFUNCTION("""COMPUTED_VALUE"""),"")</f>
        <v/>
      </c>
      <c r="G657" s="42" t="str">
        <f>IFERROR(__xludf.DUMMYFUNCTION("""COMPUTED_VALUE"""),"PEMECAHAN")</f>
        <v>PEMECAHAN</v>
      </c>
      <c r="H657" s="42">
        <f t="shared" si="1"/>
        <v>350</v>
      </c>
    </row>
    <row r="658" ht="22.5" customHeight="1">
      <c r="B658" s="42" t="str">
        <f>IFERROR(__xludf.DUMMYFUNCTION("""COMPUTED_VALUE"""),"K/49/031224/1")</f>
        <v>K/49/031224/1</v>
      </c>
      <c r="C658" s="42" t="str">
        <f>IFERROR(__xludf.DUMMYFUNCTION("""COMPUTED_VALUE"""),"M. 1117/PEMATANG WANGI")</f>
        <v>M. 1117/PEMATANG WANGI</v>
      </c>
      <c r="D658" s="42" t="str">
        <f>IFERROR(__xludf.DUMMYFUNCTION("""COMPUTED_VALUE"""),"Berry")</f>
        <v>Berry</v>
      </c>
      <c r="E658" s="42" t="str">
        <f>IFERROR(__xludf.DUMMYFUNCTION("""COMPUTED_VALUE"""),"PROSES")</f>
        <v>PROSES</v>
      </c>
      <c r="F658" s="48" t="str">
        <f>IFERROR(__xludf.DUMMYFUNCTION("""COMPUTED_VALUE"""),"")</f>
        <v/>
      </c>
      <c r="G658" s="42" t="str">
        <f>IFERROR(__xludf.DUMMYFUNCTION("""COMPUTED_VALUE"""),"BN JUAL BELI")</f>
        <v>BN JUAL BELI</v>
      </c>
      <c r="H658" s="42">
        <f t="shared" si="1"/>
        <v>350</v>
      </c>
    </row>
    <row r="659" ht="22.5" customHeight="1">
      <c r="B659" s="42" t="str">
        <f>IFERROR(__xludf.DUMMYFUNCTION("""COMPUTED_VALUE"""),"L/3/041224/1")</f>
        <v>L/3/041224/1</v>
      </c>
      <c r="C659" s="42" t="str">
        <f>IFERROR(__xludf.DUMMYFUNCTION("""COMPUTED_VALUE"""),"HGB 937/JAGABAYA III")</f>
        <v>HGB 937/JAGABAYA III</v>
      </c>
      <c r="D659" s="42"/>
      <c r="E659" s="42" t="str">
        <f>IFERROR(__xludf.DUMMYFUNCTION("""COMPUTED_VALUE"""),"DISERAHKAN")</f>
        <v>DISERAHKAN</v>
      </c>
      <c r="F659" s="48" t="str">
        <f>IFERROR(__xludf.DUMMYFUNCTION("""COMPUTED_VALUE"""),"16/12/2024 16.01")</f>
        <v>16/12/2024 16.01</v>
      </c>
      <c r="G659" s="42" t="str">
        <f>IFERROR(__xludf.DUMMYFUNCTION("""COMPUTED_VALUE"""),"LILY KURNIATI")</f>
        <v>LILY KURNIATI</v>
      </c>
      <c r="H659" s="42">
        <f t="shared" si="1"/>
        <v>351</v>
      </c>
    </row>
    <row r="660" ht="22.5" customHeight="1">
      <c r="B660" s="42" t="str">
        <f>IFERROR(__xludf.DUMMYFUNCTION("""COMPUTED_VALUE"""),"K/4/041224/1")</f>
        <v>K/4/041224/1</v>
      </c>
      <c r="C660" s="42" t="str">
        <f>IFERROR(__xludf.DUMMYFUNCTION("""COMPUTED_VALUE"""),"M. 10450/ Sukabumi")</f>
        <v>M. 10450/ Sukabumi</v>
      </c>
      <c r="D660" s="42" t="str">
        <f>IFERROR(__xludf.DUMMYFUNCTION("""COMPUTED_VALUE"""),"Berry")</f>
        <v>Berry</v>
      </c>
      <c r="E660" s="42" t="str">
        <f>IFERROR(__xludf.DUMMYFUNCTION("""COMPUTED_VALUE"""),"DISERAHKAN")</f>
        <v>DISERAHKAN</v>
      </c>
      <c r="F660" s="48" t="str">
        <f>IFERROR(__xludf.DUMMYFUNCTION("""COMPUTED_VALUE"""),"05/12/2024 08.17")</f>
        <v>05/12/2024 08.17</v>
      </c>
      <c r="G660" s="42" t="str">
        <f>IFERROR(__xludf.DUMMYFUNCTION("""COMPUTED_VALUE"""),"ROYA")</f>
        <v>ROYA</v>
      </c>
      <c r="H660" s="42">
        <f t="shared" si="1"/>
        <v>352</v>
      </c>
    </row>
    <row r="661" ht="22.5" customHeight="1">
      <c r="B661" s="42" t="str">
        <f>IFERROR(__xludf.DUMMYFUNCTION("""COMPUTED_VALUE"""),"L/6/041224/1")</f>
        <v>L/6/041224/1</v>
      </c>
      <c r="C661" s="42" t="str">
        <f>IFERROR(__xludf.DUMMYFUNCTION("""COMPUTED_VALUE"""),"HM 2025/NOG")</f>
        <v>HM 2025/NOG</v>
      </c>
      <c r="D661" s="42" t="str">
        <f>IFERROR(__xludf.DUMMYFUNCTION("""COMPUTED_VALUE"""),"Berry")</f>
        <v>Berry</v>
      </c>
      <c r="E661" s="42" t="str">
        <f>IFERROR(__xludf.DUMMYFUNCTION("""COMPUTED_VALUE"""),"DISERAHKAN")</f>
        <v>DISERAHKAN</v>
      </c>
      <c r="F661" s="48" t="str">
        <f>IFERROR(__xludf.DUMMYFUNCTION("""COMPUTED_VALUE"""),"05/12/2024 08.17")</f>
        <v>05/12/2024 08.17</v>
      </c>
      <c r="G661" s="42" t="str">
        <f>IFERROR(__xludf.DUMMYFUNCTION("""COMPUTED_VALUE"""),"ROYA")</f>
        <v>ROYA</v>
      </c>
      <c r="H661" s="42">
        <f t="shared" si="1"/>
        <v>353</v>
      </c>
    </row>
    <row r="662" ht="22.5" customHeight="1">
      <c r="B662" s="42" t="str">
        <f>IFERROR(__xludf.DUMMYFUNCTION("""COMPUTED_VALUE"""),"K/7/041224/1")</f>
        <v>K/7/041224/1</v>
      </c>
      <c r="C662" s="42" t="str">
        <f>IFERROR(__xludf.DUMMYFUNCTION("""COMPUTED_VALUE"""),"M. 2421/ Kedaung")</f>
        <v>M. 2421/ Kedaung</v>
      </c>
      <c r="D662" s="42" t="str">
        <f>IFERROR(__xludf.DUMMYFUNCTION("""COMPUTED_VALUE"""),"Berry")</f>
        <v>Berry</v>
      </c>
      <c r="E662" s="42" t="str">
        <f>IFERROR(__xludf.DUMMYFUNCTION("""COMPUTED_VALUE"""),"PROSES")</f>
        <v>PROSES</v>
      </c>
      <c r="F662" s="48" t="str">
        <f>IFERROR(__xludf.DUMMYFUNCTION("""COMPUTED_VALUE"""),"")</f>
        <v/>
      </c>
      <c r="G662" s="42" t="str">
        <f>IFERROR(__xludf.DUMMYFUNCTION("""COMPUTED_VALUE"""),"BN JUAL BELI")</f>
        <v>BN JUAL BELI</v>
      </c>
      <c r="H662" s="42">
        <f t="shared" si="1"/>
        <v>353</v>
      </c>
    </row>
    <row r="663" ht="22.5" customHeight="1">
      <c r="B663" s="42" t="str">
        <f>IFERROR(__xludf.DUMMYFUNCTION("""COMPUTED_VALUE"""),"K/8/041224/1")</f>
        <v>K/8/041224/1</v>
      </c>
      <c r="C663" s="42" t="str">
        <f>IFERROR(__xludf.DUMMYFUNCTION("""COMPUTED_VALUE"""),"M.1619/PERUMNAS WAY HALIM-SEKARANG;B.715/PERUMNAS WAY HALIM")</f>
        <v>M.1619/PERUMNAS WAY HALIM-SEKARANG;B.715/PERUMNAS WAY HALIM</v>
      </c>
      <c r="D663" s="42" t="str">
        <f>IFERROR(__xludf.DUMMYFUNCTION("""COMPUTED_VALUE"""),"Berry")</f>
        <v>Berry</v>
      </c>
      <c r="E663" s="42" t="str">
        <f>IFERROR(__xludf.DUMMYFUNCTION("""COMPUTED_VALUE"""),"DISERAHKAN")</f>
        <v>DISERAHKAN</v>
      </c>
      <c r="F663" s="48" t="str">
        <f>IFERROR(__xludf.DUMMYFUNCTION("""COMPUTED_VALUE"""),"05/12/2024 16.45")</f>
        <v>05/12/2024 16.45</v>
      </c>
      <c r="G663" s="42" t="str">
        <f>IFERROR(__xludf.DUMMYFUNCTION("""COMPUTED_VALUE"""),"ROYA")</f>
        <v>ROYA</v>
      </c>
      <c r="H663" s="42">
        <f t="shared" si="1"/>
        <v>354</v>
      </c>
    </row>
    <row r="664" ht="22.5" customHeight="1">
      <c r="B664" s="42" t="str">
        <f>IFERROR(__xludf.DUMMYFUNCTION("""COMPUTED_VALUE"""),"K/9/041224/1")</f>
        <v>K/9/041224/1</v>
      </c>
      <c r="C664" s="42" t="str">
        <f>IFERROR(__xludf.DUMMYFUNCTION("""COMPUTED_VALUE"""),"M. 1345/ Sukarame Baru")</f>
        <v>M. 1345/ Sukarame Baru</v>
      </c>
      <c r="D664" s="42" t="str">
        <f>IFERROR(__xludf.DUMMYFUNCTION("""COMPUTED_VALUE"""),"Berry")</f>
        <v>Berry</v>
      </c>
      <c r="E664" s="42" t="str">
        <f>IFERROR(__xludf.DUMMYFUNCTION("""COMPUTED_VALUE"""),"DISERAHKAN")</f>
        <v>DISERAHKAN</v>
      </c>
      <c r="F664" s="48" t="str">
        <f>IFERROR(__xludf.DUMMYFUNCTION("""COMPUTED_VALUE"""),"05/12/2024 16.46")</f>
        <v>05/12/2024 16.46</v>
      </c>
      <c r="G664" s="42" t="str">
        <f>IFERROR(__xludf.DUMMYFUNCTION("""COMPUTED_VALUE"""),"BN JUAL BELI")</f>
        <v>BN JUAL BELI</v>
      </c>
      <c r="H664" s="42">
        <f t="shared" si="1"/>
        <v>355</v>
      </c>
    </row>
    <row r="665" ht="22.5" customHeight="1">
      <c r="B665" s="42" t="str">
        <f>IFERROR(__xludf.DUMMYFUNCTION("""COMPUTED_VALUE"""),"K/10/041224/2")</f>
        <v>K/10/041224/2</v>
      </c>
      <c r="C665" s="42" t="str">
        <f>IFERROR(__xludf.DUMMYFUNCTION("""COMPUTED_VALUE"""),"M. 13514/ Sukabumi")</f>
        <v>M. 13514/ Sukabumi</v>
      </c>
      <c r="D665" s="42" t="str">
        <f>IFERROR(__xludf.DUMMYFUNCTION("""COMPUTED_VALUE"""),"Berry")</f>
        <v>Berry</v>
      </c>
      <c r="E665" s="42" t="str">
        <f>IFERROR(__xludf.DUMMYFUNCTION("""COMPUTED_VALUE"""),"DISERAHKAN")</f>
        <v>DISERAHKAN</v>
      </c>
      <c r="F665" s="48" t="str">
        <f>IFERROR(__xludf.DUMMYFUNCTION("""COMPUTED_VALUE"""),"05/12/2024 16.48")</f>
        <v>05/12/2024 16.48</v>
      </c>
      <c r="G665" s="42" t="str">
        <f>IFERROR(__xludf.DUMMYFUNCTION("""COMPUTED_VALUE"""),"BN JUAL BELI")</f>
        <v>BN JUAL BELI</v>
      </c>
      <c r="H665" s="42">
        <f t="shared" si="1"/>
        <v>356</v>
      </c>
    </row>
    <row r="666" ht="22.5" customHeight="1">
      <c r="B666" s="42" t="str">
        <f>IFERROR(__xludf.DUMMYFUNCTION("""COMPUTED_VALUE"""),"K/11/041224/1")</f>
        <v>K/11/041224/1</v>
      </c>
      <c r="C666" s="42" t="str">
        <f>IFERROR(__xludf.DUMMYFUNCTION("""COMPUTED_VALUE"""),"M.12453/KEDAMAIAN")</f>
        <v>M.12453/KEDAMAIAN</v>
      </c>
      <c r="D666" s="42"/>
      <c r="E666" s="42"/>
      <c r="F666" s="48" t="str">
        <f>IFERROR(__xludf.DUMMYFUNCTION("""COMPUTED_VALUE"""),"")</f>
        <v/>
      </c>
      <c r="G666" s="42" t="str">
        <f>IFERROR(__xludf.DUMMYFUNCTION("""COMPUTED_VALUE"""),"BLOKIR")</f>
        <v>BLOKIR</v>
      </c>
      <c r="H666" s="42">
        <f t="shared" si="1"/>
        <v>356</v>
      </c>
    </row>
    <row r="667" ht="22.5" customHeight="1">
      <c r="B667" s="42" t="str">
        <f>IFERROR(__xludf.DUMMYFUNCTION("""COMPUTED_VALUE"""),"K/12/041224/1")</f>
        <v>K/12/041224/1</v>
      </c>
      <c r="C667" s="42" t="str">
        <f>IFERROR(__xludf.DUMMYFUNCTION("""COMPUTED_VALUE"""),"B. 339/ Rajabasa Pemuka")</f>
        <v>B. 339/ Rajabasa Pemuka</v>
      </c>
      <c r="D667" s="42" t="str">
        <f>IFERROR(__xludf.DUMMYFUNCTION("""COMPUTED_VALUE"""),"Berry")</f>
        <v>Berry</v>
      </c>
      <c r="E667" s="42" t="str">
        <f>IFERROR(__xludf.DUMMYFUNCTION("""COMPUTED_VALUE"""),"PROSES")</f>
        <v>PROSES</v>
      </c>
      <c r="F667" s="48" t="str">
        <f>IFERROR(__xludf.DUMMYFUNCTION("""COMPUTED_VALUE"""),"")</f>
        <v/>
      </c>
      <c r="G667" s="42" t="str">
        <f>IFERROR(__xludf.DUMMYFUNCTION("""COMPUTED_VALUE"""),"BN Hibah")</f>
        <v>BN Hibah</v>
      </c>
      <c r="H667" s="42">
        <f t="shared" si="1"/>
        <v>356</v>
      </c>
    </row>
    <row r="668" ht="22.5" customHeight="1">
      <c r="B668" s="42" t="str">
        <f>IFERROR(__xludf.DUMMYFUNCTION("""COMPUTED_VALUE"""),"K/17/041224/1")</f>
        <v>K/17/041224/1</v>
      </c>
      <c r="C668" s="42" t="str">
        <f>IFERROR(__xludf.DUMMYFUNCTION("""COMPUTED_VALUE"""),"M. 6581/ Sidodadi")</f>
        <v>M. 6581/ Sidodadi</v>
      </c>
      <c r="D668" s="42"/>
      <c r="E668" s="42"/>
      <c r="F668" s="48" t="str">
        <f>IFERROR(__xludf.DUMMYFUNCTION("""COMPUTED_VALUE"""),"")</f>
        <v/>
      </c>
      <c r="G668" s="42" t="str">
        <f>IFERROR(__xludf.DUMMYFUNCTION("""COMPUTED_VALUE"""),"PLOTTING")</f>
        <v>PLOTTING</v>
      </c>
      <c r="H668" s="42">
        <f t="shared" si="1"/>
        <v>356</v>
      </c>
    </row>
    <row r="669" ht="22.5" customHeight="1">
      <c r="B669" s="42" t="str">
        <f>IFERROR(__xludf.DUMMYFUNCTION("""COMPUTED_VALUE"""),"K/18/041224/2")</f>
        <v>K/18/041224/2</v>
      </c>
      <c r="C669" s="42" t="str">
        <f>IFERROR(__xludf.DUMMYFUNCTION("""COMPUTED_VALUE"""),"M. 9984/ Sidodadi")</f>
        <v>M. 9984/ Sidodadi</v>
      </c>
      <c r="D669" s="42"/>
      <c r="E669" s="42"/>
      <c r="F669" s="48" t="str">
        <f>IFERROR(__xludf.DUMMYFUNCTION("""COMPUTED_VALUE"""),"")</f>
        <v/>
      </c>
      <c r="G669" s="42" t="str">
        <f>IFERROR(__xludf.DUMMYFUNCTION("""COMPUTED_VALUE"""),"PLOTTING")</f>
        <v>PLOTTING</v>
      </c>
      <c r="H669" s="42">
        <f t="shared" si="1"/>
        <v>356</v>
      </c>
    </row>
    <row r="670" ht="22.5" customHeight="1">
      <c r="B670" s="42" t="str">
        <f>IFERROR(__xludf.DUMMYFUNCTION("""COMPUTED_VALUE"""),"K/19/041224/3")</f>
        <v>K/19/041224/3</v>
      </c>
      <c r="C670" s="42" t="str">
        <f>IFERROR(__xludf.DUMMYFUNCTION("""COMPUTED_VALUE"""),"M. 233/ Kedaton")</f>
        <v>M. 233/ Kedaton</v>
      </c>
      <c r="D670" s="42"/>
      <c r="E670" s="42"/>
      <c r="F670" s="48" t="str">
        <f>IFERROR(__xludf.DUMMYFUNCTION("""COMPUTED_VALUE"""),"")</f>
        <v/>
      </c>
      <c r="G670" s="42" t="str">
        <f>IFERROR(__xludf.DUMMYFUNCTION("""COMPUTED_VALUE"""),"GANTI KELURAHAN")</f>
        <v>GANTI KELURAHAN</v>
      </c>
      <c r="H670" s="42">
        <f t="shared" si="1"/>
        <v>356</v>
      </c>
    </row>
    <row r="671" ht="22.5" customHeight="1">
      <c r="B671" s="42" t="str">
        <f>IFERROR(__xludf.DUMMYFUNCTION("""COMPUTED_VALUE"""),"K/13/041224/2")</f>
        <v>K/13/041224/2</v>
      </c>
      <c r="C671" s="42" t="str">
        <f>IFERROR(__xludf.DUMMYFUNCTION("""COMPUTED_VALUE"""),"B. 341/ Rajabasa Pemuka")</f>
        <v>B. 341/ Rajabasa Pemuka</v>
      </c>
      <c r="D671" s="42" t="str">
        <f>IFERROR(__xludf.DUMMYFUNCTION("""COMPUTED_VALUE"""),"Berry")</f>
        <v>Berry</v>
      </c>
      <c r="E671" s="42" t="str">
        <f>IFERROR(__xludf.DUMMYFUNCTION("""COMPUTED_VALUE"""),"PROSES")</f>
        <v>PROSES</v>
      </c>
      <c r="F671" s="48" t="str">
        <f>IFERROR(__xludf.DUMMYFUNCTION("""COMPUTED_VALUE"""),"")</f>
        <v/>
      </c>
      <c r="G671" s="42" t="str">
        <f>IFERROR(__xludf.DUMMYFUNCTION("""COMPUTED_VALUE"""),"BN Hibah")</f>
        <v>BN Hibah</v>
      </c>
      <c r="H671" s="42">
        <f t="shared" si="1"/>
        <v>356</v>
      </c>
    </row>
    <row r="672" ht="22.5" customHeight="1">
      <c r="B672" s="42" t="str">
        <f>IFERROR(__xludf.DUMMYFUNCTION("""COMPUTED_VALUE"""),"K/14/041224/3")</f>
        <v>K/14/041224/3</v>
      </c>
      <c r="C672" s="42" t="str">
        <f>IFERROR(__xludf.DUMMYFUNCTION("""COMPUTED_VALUE"""),"B. 345/ Rajabasa Pemuka")</f>
        <v>B. 345/ Rajabasa Pemuka</v>
      </c>
      <c r="D672" s="42" t="str">
        <f>IFERROR(__xludf.DUMMYFUNCTION("""COMPUTED_VALUE"""),"Berry")</f>
        <v>Berry</v>
      </c>
      <c r="E672" s="42" t="str">
        <f>IFERROR(__xludf.DUMMYFUNCTION("""COMPUTED_VALUE"""),"PROSES")</f>
        <v>PROSES</v>
      </c>
      <c r="F672" s="48" t="str">
        <f>IFERROR(__xludf.DUMMYFUNCTION("""COMPUTED_VALUE"""),"")</f>
        <v/>
      </c>
      <c r="G672" s="42" t="str">
        <f>IFERROR(__xludf.DUMMYFUNCTION("""COMPUTED_VALUE"""),"BN Hibah")</f>
        <v>BN Hibah</v>
      </c>
      <c r="H672" s="42">
        <f t="shared" si="1"/>
        <v>356</v>
      </c>
    </row>
    <row r="673" ht="22.5" customHeight="1">
      <c r="B673" s="42" t="str">
        <f>IFERROR(__xludf.DUMMYFUNCTION("""COMPUTED_VALUE"""),"K/15/041224/4")</f>
        <v>K/15/041224/4</v>
      </c>
      <c r="C673" s="42" t="str">
        <f>IFERROR(__xludf.DUMMYFUNCTION("""COMPUTED_VALUE"""),"B. 338/ Rajabasa Pemuka")</f>
        <v>B. 338/ Rajabasa Pemuka</v>
      </c>
      <c r="D673" s="42" t="str">
        <f>IFERROR(__xludf.DUMMYFUNCTION("""COMPUTED_VALUE"""),"Berry")</f>
        <v>Berry</v>
      </c>
      <c r="E673" s="42" t="str">
        <f>IFERROR(__xludf.DUMMYFUNCTION("""COMPUTED_VALUE"""),"PROSES")</f>
        <v>PROSES</v>
      </c>
      <c r="F673" s="48" t="str">
        <f>IFERROR(__xludf.DUMMYFUNCTION("""COMPUTED_VALUE"""),"")</f>
        <v/>
      </c>
      <c r="G673" s="42" t="str">
        <f>IFERROR(__xludf.DUMMYFUNCTION("""COMPUTED_VALUE"""),"BN Hibah")</f>
        <v>BN Hibah</v>
      </c>
      <c r="H673" s="42">
        <f t="shared" si="1"/>
        <v>356</v>
      </c>
    </row>
    <row r="674" ht="22.5" customHeight="1">
      <c r="B674" s="42" t="str">
        <f>IFERROR(__xludf.DUMMYFUNCTION("""COMPUTED_VALUE"""),"K/16/041224/5")</f>
        <v>K/16/041224/5</v>
      </c>
      <c r="C674" s="42" t="str">
        <f>IFERROR(__xludf.DUMMYFUNCTION("""COMPUTED_VALUE"""),"B. 343/ Rajabasa Pemuka")</f>
        <v>B. 343/ Rajabasa Pemuka</v>
      </c>
      <c r="D674" s="42" t="str">
        <f>IFERROR(__xludf.DUMMYFUNCTION("""COMPUTED_VALUE"""),"Berry")</f>
        <v>Berry</v>
      </c>
      <c r="E674" s="42" t="str">
        <f>IFERROR(__xludf.DUMMYFUNCTION("""COMPUTED_VALUE"""),"PROSES")</f>
        <v>PROSES</v>
      </c>
      <c r="F674" s="48" t="str">
        <f>IFERROR(__xludf.DUMMYFUNCTION("""COMPUTED_VALUE"""),"")</f>
        <v/>
      </c>
      <c r="G674" s="42" t="str">
        <f>IFERROR(__xludf.DUMMYFUNCTION("""COMPUTED_VALUE"""),"BN Hibah")</f>
        <v>BN Hibah</v>
      </c>
      <c r="H674" s="42">
        <f t="shared" si="1"/>
        <v>356</v>
      </c>
    </row>
    <row r="675" ht="22.5" customHeight="1">
      <c r="B675" s="42" t="str">
        <f>IFERROR(__xludf.DUMMYFUNCTION("""COMPUTED_VALUE"""),"K/21/041224/1")</f>
        <v>K/21/041224/1</v>
      </c>
      <c r="C675" s="42" t="str">
        <f>IFERROR(__xludf.DUMMYFUNCTION("""COMPUTED_VALUE"""),"M.3122/KOTA BARU")</f>
        <v>M.3122/KOTA BARU</v>
      </c>
      <c r="D675" s="42" t="str">
        <f>IFERROR(__xludf.DUMMYFUNCTION("""COMPUTED_VALUE"""),"Berry")</f>
        <v>Berry</v>
      </c>
      <c r="E675" s="42" t="str">
        <f>IFERROR(__xludf.DUMMYFUNCTION("""COMPUTED_VALUE"""),"DISERAHKAN")</f>
        <v>DISERAHKAN</v>
      </c>
      <c r="F675" s="48" t="str">
        <f>IFERROR(__xludf.DUMMYFUNCTION("""COMPUTED_VALUE"""),"05/12/2024 16.50")</f>
        <v>05/12/2024 16.50</v>
      </c>
      <c r="G675" s="42" t="str">
        <f>IFERROR(__xludf.DUMMYFUNCTION("""COMPUTED_VALUE"""),"BN JUAL BELI")</f>
        <v>BN JUAL BELI</v>
      </c>
      <c r="H675" s="42">
        <f t="shared" si="1"/>
        <v>357</v>
      </c>
    </row>
    <row r="676" ht="22.5" customHeight="1">
      <c r="B676" s="42" t="str">
        <f>IFERROR(__xludf.DUMMYFUNCTION("""COMPUTED_VALUE"""),"K/22/041224/1")</f>
        <v>K/22/041224/1</v>
      </c>
      <c r="C676" s="42" t="str">
        <f>IFERROR(__xludf.DUMMYFUNCTION("""COMPUTED_VALUE"""),"M. 13785/ Sukabumi")</f>
        <v>M. 13785/ Sukabumi</v>
      </c>
      <c r="D676" s="42"/>
      <c r="E676" s="42"/>
      <c r="F676" s="48" t="str">
        <f>IFERROR(__xludf.DUMMYFUNCTION("""COMPUTED_VALUE"""),"")</f>
        <v/>
      </c>
      <c r="G676" s="42" t="str">
        <f>IFERROR(__xludf.DUMMYFUNCTION("""COMPUTED_VALUE"""),"PLOTTING")</f>
        <v>PLOTTING</v>
      </c>
      <c r="H676" s="42">
        <f t="shared" si="1"/>
        <v>357</v>
      </c>
    </row>
    <row r="677" ht="22.5" customHeight="1">
      <c r="B677" s="42" t="str">
        <f>IFERROR(__xludf.DUMMYFUNCTION("""COMPUTED_VALUE"""),"K/23/041224/2")</f>
        <v>K/23/041224/2</v>
      </c>
      <c r="C677" s="42" t="str">
        <f>IFERROR(__xludf.DUMMYFUNCTION("""COMPUTED_VALUE"""),"M. 10374/ Sidodadi")</f>
        <v>M. 10374/ Sidodadi</v>
      </c>
      <c r="D677" s="42"/>
      <c r="E677" s="42"/>
      <c r="F677" s="48" t="str">
        <f>IFERROR(__xludf.DUMMYFUNCTION("""COMPUTED_VALUE"""),"")</f>
        <v/>
      </c>
      <c r="G677" s="42" t="str">
        <f>IFERROR(__xludf.DUMMYFUNCTION("""COMPUTED_VALUE"""),"PLOTTING")</f>
        <v>PLOTTING</v>
      </c>
      <c r="H677" s="42">
        <f t="shared" si="1"/>
        <v>357</v>
      </c>
    </row>
    <row r="678" ht="22.5" customHeight="1">
      <c r="B678" s="42" t="str">
        <f>IFERROR(__xludf.DUMMYFUNCTION("""COMPUTED_VALUE"""),"K/24/041224/1")</f>
        <v>K/24/041224/1</v>
      </c>
      <c r="C678" s="42" t="str">
        <f>IFERROR(__xludf.DUMMYFUNCTION("""COMPUTED_VALUE"""),"Sporadik Suriawan/ Tanjung Baru")</f>
        <v>Sporadik Suriawan/ Tanjung Baru</v>
      </c>
      <c r="D678" s="42"/>
      <c r="E678" s="42"/>
      <c r="F678" s="48" t="str">
        <f>IFERROR(__xludf.DUMMYFUNCTION("""COMPUTED_VALUE"""),"")</f>
        <v/>
      </c>
      <c r="G678" s="42" t="str">
        <f>IFERROR(__xludf.DUMMYFUNCTION("""COMPUTED_VALUE"""),"Pengukuran Pertama Kali")</f>
        <v>Pengukuran Pertama Kali</v>
      </c>
      <c r="H678" s="42">
        <f t="shared" si="1"/>
        <v>357</v>
      </c>
    </row>
    <row r="679" ht="22.5" customHeight="1">
      <c r="B679" s="42" t="str">
        <f>IFERROR(__xludf.DUMMYFUNCTION("""COMPUTED_VALUE"""),"K/25/041224/1")</f>
        <v>K/25/041224/1</v>
      </c>
      <c r="C679" s="42" t="str">
        <f>IFERROR(__xludf.DUMMYFUNCTION("""COMPUTED_VALUE"""),"M.2682/GEDONG AIR")</f>
        <v>M.2682/GEDONG AIR</v>
      </c>
      <c r="D679" s="42" t="str">
        <f>IFERROR(__xludf.DUMMYFUNCTION("""COMPUTED_VALUE"""),"Berry")</f>
        <v>Berry</v>
      </c>
      <c r="E679" s="42" t="str">
        <f>IFERROR(__xludf.DUMMYFUNCTION("""COMPUTED_VALUE"""),"PROSES")</f>
        <v>PROSES</v>
      </c>
      <c r="F679" s="48" t="str">
        <f>IFERROR(__xludf.DUMMYFUNCTION("""COMPUTED_VALUE"""),"")</f>
        <v/>
      </c>
      <c r="G679" s="42" t="str">
        <f>IFERROR(__xludf.DUMMYFUNCTION("""COMPUTED_VALUE"""),"BN JUAL BELI")</f>
        <v>BN JUAL BELI</v>
      </c>
      <c r="H679" s="42">
        <f t="shared" si="1"/>
        <v>357</v>
      </c>
    </row>
    <row r="680" ht="22.5" customHeight="1">
      <c r="B680" s="42" t="str">
        <f>IFERROR(__xludf.DUMMYFUNCTION("""COMPUTED_VALUE"""),"K/27/041224/1")</f>
        <v>K/27/041224/1</v>
      </c>
      <c r="C680" s="42" t="str">
        <f>IFERROR(__xludf.DUMMYFUNCTION("""COMPUTED_VALUE"""),"M. 12/ Perwata")</f>
        <v>M. 12/ Perwata</v>
      </c>
      <c r="D680" s="42" t="str">
        <f>IFERROR(__xludf.DUMMYFUNCTION("""COMPUTED_VALUE"""),"Berry")</f>
        <v>Berry</v>
      </c>
      <c r="E680" s="42" t="str">
        <f>IFERROR(__xludf.DUMMYFUNCTION("""COMPUTED_VALUE"""),"PROSES")</f>
        <v>PROSES</v>
      </c>
      <c r="F680" s="48" t="str">
        <f>IFERROR(__xludf.DUMMYFUNCTION("""COMPUTED_VALUE"""),"")</f>
        <v/>
      </c>
      <c r="G680" s="42" t="str">
        <f>IFERROR(__xludf.DUMMYFUNCTION("""COMPUTED_VALUE"""),"BN WARIS")</f>
        <v>BN WARIS</v>
      </c>
      <c r="H680" s="42">
        <f t="shared" si="1"/>
        <v>357</v>
      </c>
    </row>
    <row r="681" ht="22.5" customHeight="1">
      <c r="B681" s="42" t="str">
        <f>IFERROR(__xludf.DUMMYFUNCTION("""COMPUTED_VALUE"""),"L/28/041224/1")</f>
        <v>L/28/041224/1</v>
      </c>
      <c r="C681" s="42" t="str">
        <f>IFERROR(__xludf.DUMMYFUNCTION("""COMPUTED_VALUE"""),"KEMILING RAYA")</f>
        <v>KEMILING RAYA</v>
      </c>
      <c r="D681" s="42"/>
      <c r="E681" s="42"/>
      <c r="F681" s="48" t="str">
        <f>IFERROR(__xludf.DUMMYFUNCTION("""COMPUTED_VALUE"""),"")</f>
        <v/>
      </c>
      <c r="G681" s="42" t="str">
        <f>IFERROR(__xludf.DUMMYFUNCTION("""COMPUTED_VALUE"""),"TANAH MENTAH")</f>
        <v>TANAH MENTAH</v>
      </c>
      <c r="H681" s="42">
        <f t="shared" si="1"/>
        <v>357</v>
      </c>
    </row>
    <row r="682" ht="22.5" customHeight="1">
      <c r="B682" s="42" t="str">
        <f>IFERROR(__xludf.DUMMYFUNCTION("""COMPUTED_VALUE"""),"K/30/041224/2")</f>
        <v>K/30/041224/2</v>
      </c>
      <c r="C682" s="42" t="str">
        <f>IFERROR(__xludf.DUMMYFUNCTION("""COMPUTED_VALUE"""),"M. 853/ Batu Putuk")</f>
        <v>M. 853/ Batu Putuk</v>
      </c>
      <c r="D682" s="42" t="str">
        <f>IFERROR(__xludf.DUMMYFUNCTION("""COMPUTED_VALUE"""),"Berry")</f>
        <v>Berry</v>
      </c>
      <c r="E682" s="42" t="str">
        <f>IFERROR(__xludf.DUMMYFUNCTION("""COMPUTED_VALUE"""),"DISERAHKAN")</f>
        <v>DISERAHKAN</v>
      </c>
      <c r="F682" s="48" t="str">
        <f>IFERROR(__xludf.DUMMYFUNCTION("""COMPUTED_VALUE"""),"05/12/2024 16.51")</f>
        <v>05/12/2024 16.51</v>
      </c>
      <c r="G682" s="42" t="str">
        <f>IFERROR(__xludf.DUMMYFUNCTION("""COMPUTED_VALUE"""),"BN Jual Beli")</f>
        <v>BN Jual Beli</v>
      </c>
      <c r="H682" s="42">
        <f t="shared" si="1"/>
        <v>358</v>
      </c>
    </row>
    <row r="683" ht="22.5" customHeight="1">
      <c r="B683" s="42" t="str">
        <f>IFERROR(__xludf.DUMMYFUNCTION("""COMPUTED_VALUE"""),"K/32/041224/1")</f>
        <v>K/32/041224/1</v>
      </c>
      <c r="C683" s="42" t="str">
        <f>IFERROR(__xludf.DUMMYFUNCTION("""COMPUTED_VALUE"""),"M. 1005/GUNUNG AGUNG-SEKARANG;M.10292/SEGALA MIDER-DAHULU;")</f>
        <v>M. 1005/GUNUNG AGUNG-SEKARANG;M.10292/SEGALA MIDER-DAHULU;</v>
      </c>
      <c r="D683" s="42" t="str">
        <f>IFERROR(__xludf.DUMMYFUNCTION("""COMPUTED_VALUE"""),"Berry")</f>
        <v>Berry</v>
      </c>
      <c r="E683" s="42" t="str">
        <f>IFERROR(__xludf.DUMMYFUNCTION("""COMPUTED_VALUE"""),"PROSES")</f>
        <v>PROSES</v>
      </c>
      <c r="F683" s="48" t="str">
        <f>IFERROR(__xludf.DUMMYFUNCTION("""COMPUTED_VALUE"""),"")</f>
        <v/>
      </c>
      <c r="G683" s="42" t="str">
        <f>IFERROR(__xludf.DUMMYFUNCTION("""COMPUTED_VALUE"""),"BN WARIS")</f>
        <v>BN WARIS</v>
      </c>
      <c r="H683" s="42">
        <f t="shared" si="1"/>
        <v>358</v>
      </c>
    </row>
    <row r="684" ht="22.5" customHeight="1">
      <c r="B684" s="42" t="str">
        <f>IFERROR(__xludf.DUMMYFUNCTION("""COMPUTED_VALUE"""),"L/38/041224/1")</f>
        <v>L/38/041224/1</v>
      </c>
      <c r="C684" s="42" t="str">
        <f>IFERROR(__xludf.DUMMYFUNCTION("""COMPUTED_VALUE"""),"NIB 2573/LABUIHAN RATU RAYA")</f>
        <v>NIB 2573/LABUIHAN RATU RAYA</v>
      </c>
      <c r="D684" s="42"/>
      <c r="E684" s="42"/>
      <c r="F684" s="48" t="str">
        <f>IFERROR(__xludf.DUMMYFUNCTION("""COMPUTED_VALUE"""),"")</f>
        <v/>
      </c>
      <c r="G684" s="42" t="str">
        <f>IFERROR(__xludf.DUMMYFUNCTION("""COMPUTED_VALUE"""),"BN LELANG")</f>
        <v>BN LELANG</v>
      </c>
      <c r="H684" s="42">
        <f t="shared" si="1"/>
        <v>358</v>
      </c>
    </row>
    <row r="685" ht="22.5" customHeight="1">
      <c r="B685" s="42" t="str">
        <f>IFERROR(__xludf.DUMMYFUNCTION("""COMPUTED_VALUE"""),"K/39/041224/4")</f>
        <v>K/39/041224/4</v>
      </c>
      <c r="C685" s="42" t="str">
        <f>IFERROR(__xludf.DUMMYFUNCTION("""COMPUTED_VALUE"""),"KEMILING PERMAI")</f>
        <v>KEMILING PERMAI</v>
      </c>
      <c r="D685" s="42"/>
      <c r="E685" s="42"/>
      <c r="F685" s="48" t="str">
        <f>IFERROR(__xludf.DUMMYFUNCTION("""COMPUTED_VALUE"""),"")</f>
        <v/>
      </c>
      <c r="G685" s="42" t="str">
        <f>IFERROR(__xludf.DUMMYFUNCTION("""COMPUTED_VALUE"""),"TANAH MENTAH")</f>
        <v>TANAH MENTAH</v>
      </c>
      <c r="H685" s="42">
        <f t="shared" si="1"/>
        <v>358</v>
      </c>
    </row>
    <row r="686" ht="22.5" customHeight="1">
      <c r="B686" s="42" t="str">
        <f>IFERROR(__xludf.DUMMYFUNCTION("""COMPUTED_VALUE"""),"K/40/041224/5")</f>
        <v>K/40/041224/5</v>
      </c>
      <c r="C686" s="42" t="str">
        <f>IFERROR(__xludf.DUMMYFUNCTION("""COMPUTED_VALUE"""),"KEMILING PERMAI")</f>
        <v>KEMILING PERMAI</v>
      </c>
      <c r="D686" s="42"/>
      <c r="E686" s="42"/>
      <c r="F686" s="48" t="str">
        <f>IFERROR(__xludf.DUMMYFUNCTION("""COMPUTED_VALUE"""),"")</f>
        <v/>
      </c>
      <c r="G686" s="42" t="str">
        <f>IFERROR(__xludf.DUMMYFUNCTION("""COMPUTED_VALUE"""),"TANAH MENTAH")</f>
        <v>TANAH MENTAH</v>
      </c>
      <c r="H686" s="42">
        <f t="shared" si="1"/>
        <v>358</v>
      </c>
    </row>
    <row r="687" ht="22.5" customHeight="1">
      <c r="B687" s="42" t="str">
        <f>IFERROR(__xludf.DUMMYFUNCTION("""COMPUTED_VALUE"""),"K/34/041224/2")</f>
        <v>K/34/041224/2</v>
      </c>
      <c r="C687" s="42" t="str">
        <f>IFERROR(__xludf.DUMMYFUNCTION("""COMPUTED_VALUE"""),"M.957/LANGKAPURA")</f>
        <v>M.957/LANGKAPURA</v>
      </c>
      <c r="D687" s="42" t="str">
        <f>IFERROR(__xludf.DUMMYFUNCTION("""COMPUTED_VALUE"""),"Berry")</f>
        <v>Berry</v>
      </c>
      <c r="E687" s="42" t="str">
        <f>IFERROR(__xludf.DUMMYFUNCTION("""COMPUTED_VALUE"""),"DISERAHKAN")</f>
        <v>DISERAHKAN</v>
      </c>
      <c r="F687" s="48" t="str">
        <f>IFERROR(__xludf.DUMMYFUNCTION("""COMPUTED_VALUE"""),"05/12/2024 16.52")</f>
        <v>05/12/2024 16.52</v>
      </c>
      <c r="G687" s="42" t="str">
        <f>IFERROR(__xludf.DUMMYFUNCTION("""COMPUTED_VALUE"""),"ROYA")</f>
        <v>ROYA</v>
      </c>
      <c r="H687" s="42">
        <f t="shared" si="1"/>
        <v>359</v>
      </c>
    </row>
    <row r="688" ht="22.5" customHeight="1">
      <c r="B688" s="42" t="str">
        <f>IFERROR(__xludf.DUMMYFUNCTION("""COMPUTED_VALUE"""),"K/42/041224/1")</f>
        <v>K/42/041224/1</v>
      </c>
      <c r="C688" s="42" t="str">
        <f>IFERROR(__xludf.DUMMYFUNCTION("""COMPUTED_VALUE"""),"M.63/TANJUNG AGUNG RAYA-SEKARANG;M.63/TANJUNG AGUNG-DAHULU;")</f>
        <v>M.63/TANJUNG AGUNG RAYA-SEKARANG;M.63/TANJUNG AGUNG-DAHULU;</v>
      </c>
      <c r="D688" s="42" t="str">
        <f>IFERROR(__xludf.DUMMYFUNCTION("""COMPUTED_VALUE"""),"Berry")</f>
        <v>Berry</v>
      </c>
      <c r="E688" s="42" t="str">
        <f>IFERROR(__xludf.DUMMYFUNCTION("""COMPUTED_VALUE"""),"PROSES")</f>
        <v>PROSES</v>
      </c>
      <c r="F688" s="48" t="str">
        <f>IFERROR(__xludf.DUMMYFUNCTION("""COMPUTED_VALUE"""),"")</f>
        <v/>
      </c>
      <c r="G688" s="42" t="str">
        <f>IFERROR(__xludf.DUMMYFUNCTION("""COMPUTED_VALUE"""),"BN JUAL BELI")</f>
        <v>BN JUAL BELI</v>
      </c>
      <c r="H688" s="42">
        <f t="shared" si="1"/>
        <v>359</v>
      </c>
    </row>
    <row r="689" ht="22.5" customHeight="1">
      <c r="B689" s="42" t="str">
        <f>IFERROR(__xludf.DUMMYFUNCTION("""COMPUTED_VALUE"""),"L/45/041224/1")</f>
        <v>L/45/041224/1</v>
      </c>
      <c r="C689" s="42" t="str">
        <f>IFERROR(__xludf.DUMMYFUNCTION("""COMPUTED_VALUE"""),"HM 13379/RAJABASA")</f>
        <v>HM 13379/RAJABASA</v>
      </c>
      <c r="D689" s="42" t="str">
        <f>IFERROR(__xludf.DUMMYFUNCTION("""COMPUTED_VALUE"""),"Berry")</f>
        <v>Berry</v>
      </c>
      <c r="E689" s="42" t="str">
        <f>IFERROR(__xludf.DUMMYFUNCTION("""COMPUTED_VALUE"""),"DISERAHKAN")</f>
        <v>DISERAHKAN</v>
      </c>
      <c r="F689" s="48">
        <f>IFERROR(__xludf.DUMMYFUNCTION("""COMPUTED_VALUE"""),45702.61824116898)</f>
        <v>45702.61824</v>
      </c>
      <c r="G689" s="42" t="str">
        <f>IFERROR(__xludf.DUMMYFUNCTION("""COMPUTED_VALUE"""),"ROYA")</f>
        <v>ROYA</v>
      </c>
      <c r="H689" s="42">
        <f t="shared" si="1"/>
        <v>360</v>
      </c>
    </row>
    <row r="690" ht="22.5" customHeight="1">
      <c r="B690" s="42" t="str">
        <f>IFERROR(__xludf.DUMMYFUNCTION("""COMPUTED_VALUE"""),"K/43/041224/1")</f>
        <v>K/43/041224/1</v>
      </c>
      <c r="C690" s="42" t="str">
        <f>IFERROR(__xludf.DUMMYFUNCTION("""COMPUTED_VALUE"""),"PBT NO. 101/2024 KEMILING RAYA")</f>
        <v>PBT NO. 101/2024 KEMILING RAYA</v>
      </c>
      <c r="D690" s="42"/>
      <c r="E690" s="42"/>
      <c r="F690" s="48" t="str">
        <f>IFERROR(__xludf.DUMMYFUNCTION("""COMPUTED_VALUE"""),"")</f>
        <v/>
      </c>
      <c r="G690" s="42" t="str">
        <f>IFERROR(__xludf.DUMMYFUNCTION("""COMPUTED_VALUE"""),"PERMOHONAN SK")</f>
        <v>PERMOHONAN SK</v>
      </c>
      <c r="H690" s="42">
        <f t="shared" si="1"/>
        <v>360</v>
      </c>
    </row>
    <row r="691" ht="22.5" customHeight="1">
      <c r="B691" s="42" t="str">
        <f>IFERROR(__xludf.DUMMYFUNCTION("""COMPUTED_VALUE"""),"K/44/041224/2")</f>
        <v>K/44/041224/2</v>
      </c>
      <c r="C691" s="42" t="str">
        <f>IFERROR(__xludf.DUMMYFUNCTION("""COMPUTED_VALUE"""),"PBT. NO.102/2024 / KEMILING RAYA")</f>
        <v>PBT. NO.102/2024 / KEMILING RAYA</v>
      </c>
      <c r="D691" s="42"/>
      <c r="E691" s="42"/>
      <c r="F691" s="48" t="str">
        <f>IFERROR(__xludf.DUMMYFUNCTION("""COMPUTED_VALUE"""),"")</f>
        <v/>
      </c>
      <c r="G691" s="42" t="str">
        <f>IFERROR(__xludf.DUMMYFUNCTION("""COMPUTED_VALUE"""),"PERMOHONAN SK")</f>
        <v>PERMOHONAN SK</v>
      </c>
      <c r="H691" s="42">
        <f t="shared" si="1"/>
        <v>360</v>
      </c>
    </row>
    <row r="692" ht="22.5" customHeight="1">
      <c r="B692" s="42" t="str">
        <f>IFERROR(__xludf.DUMMYFUNCTION("""COMPUTED_VALUE"""),"K/46/041224/1")</f>
        <v>K/46/041224/1</v>
      </c>
      <c r="C692" s="42" t="str">
        <f>IFERROR(__xludf.DUMMYFUNCTION("""COMPUTED_VALUE"""),"B.599/SUMBER AGUNG")</f>
        <v>B.599/SUMBER AGUNG</v>
      </c>
      <c r="D692" s="42" t="str">
        <f>IFERROR(__xludf.DUMMYFUNCTION("""COMPUTED_VALUE"""),"Berry")</f>
        <v>Berry</v>
      </c>
      <c r="E692" s="42" t="str">
        <f>IFERROR(__xludf.DUMMYFUNCTION("""COMPUTED_VALUE"""),"DISERAHKAN")</f>
        <v>DISERAHKAN</v>
      </c>
      <c r="F692" s="48" t="str">
        <f>IFERROR(__xludf.DUMMYFUNCTION("""COMPUTED_VALUE"""),"05/12/2024 16.53")</f>
        <v>05/12/2024 16.53</v>
      </c>
      <c r="G692" s="42" t="str">
        <f>IFERROR(__xludf.DUMMYFUNCTION("""COMPUTED_VALUE"""),"BN JUAL BELI")</f>
        <v>BN JUAL BELI</v>
      </c>
      <c r="H692" s="42">
        <f t="shared" si="1"/>
        <v>361</v>
      </c>
    </row>
    <row r="693" ht="22.5" customHeight="1">
      <c r="B693" s="42" t="str">
        <f>IFERROR(__xludf.DUMMYFUNCTION("""COMPUTED_VALUE"""),"K/47/041224/2")</f>
        <v>K/47/041224/2</v>
      </c>
      <c r="C693" s="42" t="str">
        <f>IFERROR(__xludf.DUMMYFUNCTION("""COMPUTED_VALUE"""),"B.691/KEMILING PERMAI")</f>
        <v>B.691/KEMILING PERMAI</v>
      </c>
      <c r="D693" s="42" t="str">
        <f>IFERROR(__xludf.DUMMYFUNCTION("""COMPUTED_VALUE"""),"Berry")</f>
        <v>Berry</v>
      </c>
      <c r="E693" s="42" t="str">
        <f>IFERROR(__xludf.DUMMYFUNCTION("""COMPUTED_VALUE"""),"DISERAHKAN")</f>
        <v>DISERAHKAN</v>
      </c>
      <c r="F693" s="48" t="str">
        <f>IFERROR(__xludf.DUMMYFUNCTION("""COMPUTED_VALUE"""),"05/12/2024 16.53")</f>
        <v>05/12/2024 16.53</v>
      </c>
      <c r="G693" s="42" t="str">
        <f>IFERROR(__xludf.DUMMYFUNCTION("""COMPUTED_VALUE"""),"BN JUAL BELI")</f>
        <v>BN JUAL BELI</v>
      </c>
      <c r="H693" s="42">
        <f t="shared" si="1"/>
        <v>362</v>
      </c>
    </row>
    <row r="694" ht="22.5" customHeight="1">
      <c r="B694" s="42" t="str">
        <f>IFERROR(__xludf.DUMMYFUNCTION("""COMPUTED_VALUE"""),"K/1/051224/1")</f>
        <v>K/1/051224/1</v>
      </c>
      <c r="C694" s="42" t="str">
        <f>IFERROR(__xludf.DUMMYFUNCTION("""COMPUTED_VALUE"""),"M. 5062/ Rajabasa Jaya")</f>
        <v>M. 5062/ Rajabasa Jaya</v>
      </c>
      <c r="D694" s="42" t="str">
        <f>IFERROR(__xludf.DUMMYFUNCTION("""COMPUTED_VALUE"""),"Berry")</f>
        <v>Berry</v>
      </c>
      <c r="E694" s="42" t="str">
        <f>IFERROR(__xludf.DUMMYFUNCTION("""COMPUTED_VALUE"""),"DISERAHKAN BT")</f>
        <v>DISERAHKAN BT</v>
      </c>
      <c r="F694" s="48" t="str">
        <f>IFERROR(__xludf.DUMMYFUNCTION("""COMPUTED_VALUE"""),"09/12/2024 09.57")</f>
        <v>09/12/2024 09.57</v>
      </c>
      <c r="G694" s="42" t="str">
        <f>IFERROR(__xludf.DUMMYFUNCTION("""COMPUTED_VALUE"""),"BN WARIS")</f>
        <v>BN WARIS</v>
      </c>
      <c r="H694" s="42">
        <f t="shared" si="1"/>
        <v>362</v>
      </c>
    </row>
    <row r="695" ht="22.5" customHeight="1">
      <c r="B695" s="42" t="str">
        <f>IFERROR(__xludf.DUMMYFUNCTION("""COMPUTED_VALUE"""),"K/2/051224/1")</f>
        <v>K/2/051224/1</v>
      </c>
      <c r="C695" s="42" t="str">
        <f>IFERROR(__xludf.DUMMYFUNCTION("""COMPUTED_VALUE"""),"B. 2161/ Sukabumi")</f>
        <v>B. 2161/ Sukabumi</v>
      </c>
      <c r="D695" s="42" t="str">
        <f>IFERROR(__xludf.DUMMYFUNCTION("""COMPUTED_VALUE"""),"Berry")</f>
        <v>Berry</v>
      </c>
      <c r="E695" s="42" t="str">
        <f>IFERROR(__xludf.DUMMYFUNCTION("""COMPUTED_VALUE"""),"PROSES")</f>
        <v>PROSES</v>
      </c>
      <c r="F695" s="48" t="str">
        <f>IFERROR(__xludf.DUMMYFUNCTION("""COMPUTED_VALUE"""),"")</f>
        <v/>
      </c>
      <c r="G695" s="42" t="str">
        <f>IFERROR(__xludf.DUMMYFUNCTION("""COMPUTED_VALUE"""),"Perubahan Hak")</f>
        <v>Perubahan Hak</v>
      </c>
      <c r="H695" s="42">
        <f t="shared" si="1"/>
        <v>362</v>
      </c>
    </row>
    <row r="696" ht="22.5" customHeight="1">
      <c r="B696" s="42" t="str">
        <f>IFERROR(__xludf.DUMMYFUNCTION("""COMPUTED_VALUE"""),"K/3/051224/1")</f>
        <v>K/3/051224/1</v>
      </c>
      <c r="C696" s="42" t="str">
        <f>IFERROR(__xludf.DUMMYFUNCTION("""COMPUTED_VALUE"""),"M. 529/ Bakung")</f>
        <v>M. 529/ Bakung</v>
      </c>
      <c r="D696" s="42" t="str">
        <f>IFERROR(__xludf.DUMMYFUNCTION("""COMPUTED_VALUE"""),"Berry")</f>
        <v>Berry</v>
      </c>
      <c r="E696" s="42" t="str">
        <f>IFERROR(__xludf.DUMMYFUNCTION("""COMPUTED_VALUE"""),"DISERAHKAN")</f>
        <v>DISERAHKAN</v>
      </c>
      <c r="F696" s="48">
        <f>IFERROR(__xludf.DUMMYFUNCTION("""COMPUTED_VALUE"""),45673.43404315972)</f>
        <v>45673.43404</v>
      </c>
      <c r="G696" s="42" t="str">
        <f>IFERROR(__xludf.DUMMYFUNCTION("""COMPUTED_VALUE"""),"BN Jual Beli")</f>
        <v>BN Jual Beli</v>
      </c>
      <c r="H696" s="42">
        <f t="shared" si="1"/>
        <v>363</v>
      </c>
    </row>
    <row r="697" ht="22.5" customHeight="1">
      <c r="B697" s="42" t="str">
        <f>IFERROR(__xludf.DUMMYFUNCTION("""COMPUTED_VALUE"""),"L/4/051224/1")</f>
        <v>L/4/051224/1</v>
      </c>
      <c r="C697" s="42" t="str">
        <f>IFERROR(__xludf.DUMMYFUNCTION("""COMPUTED_VALUE"""),"HGB 191/PINANG JAYA")</f>
        <v>HGB 191/PINANG JAYA</v>
      </c>
      <c r="D697" s="42" t="str">
        <f>IFERROR(__xludf.DUMMYFUNCTION("""COMPUTED_VALUE"""),"Berry")</f>
        <v>Berry</v>
      </c>
      <c r="E697" s="42" t="str">
        <f>IFERROR(__xludf.DUMMYFUNCTION("""COMPUTED_VALUE"""),"PROSES")</f>
        <v>PROSES</v>
      </c>
      <c r="F697" s="48" t="str">
        <f>IFERROR(__xludf.DUMMYFUNCTION("""COMPUTED_VALUE"""),"")</f>
        <v/>
      </c>
      <c r="G697" s="42" t="str">
        <f>IFERROR(__xludf.DUMMYFUNCTION("""COMPUTED_VALUE"""),"PH")</f>
        <v>PH</v>
      </c>
      <c r="H697" s="42">
        <f t="shared" si="1"/>
        <v>363</v>
      </c>
    </row>
    <row r="698" ht="22.5" customHeight="1">
      <c r="B698" s="42" t="str">
        <f>IFERROR(__xludf.DUMMYFUNCTION("""COMPUTED_VALUE"""),"L/6/051224/1")</f>
        <v>L/6/051224/1</v>
      </c>
      <c r="C698" s="42" t="str">
        <f>IFERROR(__xludf.DUMMYFUNCTION("""COMPUTED_VALUE"""),"HGB 303/NUSANTARA PERMAI")</f>
        <v>HGB 303/NUSANTARA PERMAI</v>
      </c>
      <c r="D698" s="42" t="str">
        <f>IFERROR(__xludf.DUMMYFUNCTION("""COMPUTED_VALUE"""),"Berry")</f>
        <v>Berry</v>
      </c>
      <c r="E698" s="42" t="str">
        <f>IFERROR(__xludf.DUMMYFUNCTION("""COMPUTED_VALUE"""),"DISERAHKAN")</f>
        <v>DISERAHKAN</v>
      </c>
      <c r="F698" s="48" t="str">
        <f>IFERROR(__xludf.DUMMYFUNCTION("""COMPUTED_VALUE"""),"09/12/2024 09.58")</f>
        <v>09/12/2024 09.58</v>
      </c>
      <c r="G698" s="42" t="str">
        <f>IFERROR(__xludf.DUMMYFUNCTION("""COMPUTED_VALUE"""),"PH")</f>
        <v>PH</v>
      </c>
      <c r="H698" s="42">
        <f t="shared" si="1"/>
        <v>364</v>
      </c>
    </row>
    <row r="699" ht="22.5" customHeight="1">
      <c r="B699" s="42" t="str">
        <f>IFERROR(__xludf.DUMMYFUNCTION("""COMPUTED_VALUE"""),"L/7/051224/2")</f>
        <v>L/7/051224/2</v>
      </c>
      <c r="C699" s="42" t="str">
        <f>IFERROR(__xludf.DUMMYFUNCTION("""COMPUTED_VALUE"""),"HGB 320/NUSANTARA PERMAI")</f>
        <v>HGB 320/NUSANTARA PERMAI</v>
      </c>
      <c r="D699" s="42" t="str">
        <f>IFERROR(__xludf.DUMMYFUNCTION("""COMPUTED_VALUE"""),"Berry")</f>
        <v>Berry</v>
      </c>
      <c r="E699" s="42" t="str">
        <f>IFERROR(__xludf.DUMMYFUNCTION("""COMPUTED_VALUE"""),"DISERAHKAN")</f>
        <v>DISERAHKAN</v>
      </c>
      <c r="F699" s="48" t="str">
        <f>IFERROR(__xludf.DUMMYFUNCTION("""COMPUTED_VALUE"""),"09/12/2024 09.59")</f>
        <v>09/12/2024 09.59</v>
      </c>
      <c r="G699" s="42" t="str">
        <f>IFERROR(__xludf.DUMMYFUNCTION("""COMPUTED_VALUE"""),"PH")</f>
        <v>PH</v>
      </c>
      <c r="H699" s="42">
        <f t="shared" si="1"/>
        <v>365</v>
      </c>
    </row>
    <row r="700" ht="22.5" customHeight="1">
      <c r="B700" s="42" t="str">
        <f>IFERROR(__xludf.DUMMYFUNCTION("""COMPUTED_VALUE"""),"K/9/051224/2")</f>
        <v>K/9/051224/2</v>
      </c>
      <c r="C700" s="42" t="str">
        <f>IFERROR(__xludf.DUMMYFUNCTION("""COMPUTED_VALUE"""),"M.2623/PINANG JAYA")</f>
        <v>M.2623/PINANG JAYA</v>
      </c>
      <c r="D700" s="42" t="str">
        <f>IFERROR(__xludf.DUMMYFUNCTION("""COMPUTED_VALUE"""),"Berry")</f>
        <v>Berry</v>
      </c>
      <c r="E700" s="42" t="str">
        <f>IFERROR(__xludf.DUMMYFUNCTION("""COMPUTED_VALUE"""),"DISERAHKAN")</f>
        <v>DISERAHKAN</v>
      </c>
      <c r="F700" s="48" t="str">
        <f>IFERROR(__xludf.DUMMYFUNCTION("""COMPUTED_VALUE"""),"09/12/2024 09.59")</f>
        <v>09/12/2024 09.59</v>
      </c>
      <c r="G700" s="42" t="str">
        <f>IFERROR(__xludf.DUMMYFUNCTION("""COMPUTED_VALUE"""),"BN JUAL BELI")</f>
        <v>BN JUAL BELI</v>
      </c>
      <c r="H700" s="42">
        <f t="shared" si="1"/>
        <v>366</v>
      </c>
    </row>
    <row r="701" ht="22.5" customHeight="1">
      <c r="B701" s="42" t="str">
        <f>IFERROR(__xludf.DUMMYFUNCTION("""COMPUTED_VALUE"""),"K/12/051224/1")</f>
        <v>K/12/051224/1</v>
      </c>
      <c r="C701" s="42" t="str">
        <f>IFERROR(__xludf.DUMMYFUNCTION("""COMPUTED_VALUE"""),"M. 2337/ Langkapura")</f>
        <v>M. 2337/ Langkapura</v>
      </c>
      <c r="D701" s="42" t="str">
        <f>IFERROR(__xludf.DUMMYFUNCTION("""COMPUTED_VALUE"""),"Berry")</f>
        <v>Berry</v>
      </c>
      <c r="E701" s="42" t="str">
        <f>IFERROR(__xludf.DUMMYFUNCTION("""COMPUTED_VALUE"""),"DISERAHKAN")</f>
        <v>DISERAHKAN</v>
      </c>
      <c r="F701" s="48" t="str">
        <f>IFERROR(__xludf.DUMMYFUNCTION("""COMPUTED_VALUE"""),"09/12/2024 10.00")</f>
        <v>09/12/2024 10.00</v>
      </c>
      <c r="G701" s="42" t="str">
        <f>IFERROR(__xludf.DUMMYFUNCTION("""COMPUTED_VALUE"""),"BN Jual Beli")</f>
        <v>BN Jual Beli</v>
      </c>
      <c r="H701" s="42">
        <f t="shared" si="1"/>
        <v>367</v>
      </c>
    </row>
    <row r="702" ht="22.5" customHeight="1">
      <c r="B702" s="42" t="str">
        <f>IFERROR(__xludf.DUMMYFUNCTION("""COMPUTED_VALUE"""),"L/16/051224/1")</f>
        <v>L/16/051224/1</v>
      </c>
      <c r="C702" s="42" t="str">
        <f>IFERROR(__xludf.DUMMYFUNCTION("""COMPUTED_VALUE"""),"HM 406/LABUHAN DALAM")</f>
        <v>HM 406/LABUHAN DALAM</v>
      </c>
      <c r="D702" s="42" t="str">
        <f>IFERROR(__xludf.DUMMYFUNCTION("""COMPUTED_VALUE"""),"Berry")</f>
        <v>Berry</v>
      </c>
      <c r="E702" s="42" t="str">
        <f>IFERROR(__xludf.DUMMYFUNCTION("""COMPUTED_VALUE"""),"DISERAHKAN")</f>
        <v>DISERAHKAN</v>
      </c>
      <c r="F702" s="48" t="str">
        <f>IFERROR(__xludf.DUMMYFUNCTION("""COMPUTED_VALUE"""),"09/12/2024 10.00")</f>
        <v>09/12/2024 10.00</v>
      </c>
      <c r="G702" s="42" t="str">
        <f>IFERROR(__xludf.DUMMYFUNCTION("""COMPUTED_VALUE"""),"ROYA")</f>
        <v>ROYA</v>
      </c>
      <c r="H702" s="42">
        <f t="shared" si="1"/>
        <v>368</v>
      </c>
    </row>
    <row r="703" ht="22.5" customHeight="1">
      <c r="B703" s="42" t="str">
        <f>IFERROR(__xludf.DUMMYFUNCTION("""COMPUTED_VALUE"""),"K/14/051224/1")</f>
        <v>K/14/051224/1</v>
      </c>
      <c r="C703" s="42" t="str">
        <f>IFERROR(__xludf.DUMMYFUNCTION("""COMPUTED_VALUE"""),"M.1393/SUKAJAWA")</f>
        <v>M.1393/SUKAJAWA</v>
      </c>
      <c r="D703" s="42"/>
      <c r="E703" s="42"/>
      <c r="F703" s="48" t="str">
        <f>IFERROR(__xludf.DUMMYFUNCTION("""COMPUTED_VALUE"""),"")</f>
        <v/>
      </c>
      <c r="G703" s="42" t="str">
        <f>IFERROR(__xludf.DUMMYFUNCTION("""COMPUTED_VALUE"""),"SKPT LELANG")</f>
        <v>SKPT LELANG</v>
      </c>
      <c r="H703" s="42">
        <f t="shared" si="1"/>
        <v>368</v>
      </c>
    </row>
    <row r="704" ht="22.5" customHeight="1">
      <c r="B704" s="42" t="str">
        <f>IFERROR(__xludf.DUMMYFUNCTION("""COMPUTED_VALUE"""),"K/15/051224/2")</f>
        <v>K/15/051224/2</v>
      </c>
      <c r="C704" s="42" t="str">
        <f>IFERROR(__xludf.DUMMYFUNCTION("""COMPUTED_VALUE"""),"M.1741/SUKAJAWA")</f>
        <v>M.1741/SUKAJAWA</v>
      </c>
      <c r="D704" s="42"/>
      <c r="E704" s="42"/>
      <c r="F704" s="48" t="str">
        <f>IFERROR(__xludf.DUMMYFUNCTION("""COMPUTED_VALUE"""),"")</f>
        <v/>
      </c>
      <c r="G704" s="42" t="str">
        <f>IFERROR(__xludf.DUMMYFUNCTION("""COMPUTED_VALUE"""),"SKPT LELANG")</f>
        <v>SKPT LELANG</v>
      </c>
      <c r="H704" s="42">
        <f t="shared" si="1"/>
        <v>368</v>
      </c>
    </row>
    <row r="705" ht="22.5" customHeight="1">
      <c r="B705" s="42" t="str">
        <f>IFERROR(__xludf.DUMMYFUNCTION("""COMPUTED_VALUE"""),"L/18/051224/1")</f>
        <v>L/18/051224/1</v>
      </c>
      <c r="C705" s="42" t="str">
        <f>IFERROR(__xludf.DUMMYFUNCTION("""COMPUTED_VALUE"""),"HM 16505/SUKARAME")</f>
        <v>HM 16505/SUKARAME</v>
      </c>
      <c r="D705" s="42" t="str">
        <f>IFERROR(__xludf.DUMMYFUNCTION("""COMPUTED_VALUE"""),"Berry")</f>
        <v>Berry</v>
      </c>
      <c r="E705" s="42" t="str">
        <f>IFERROR(__xludf.DUMMYFUNCTION("""COMPUTED_VALUE"""),"DISERAHKAN")</f>
        <v>DISERAHKAN</v>
      </c>
      <c r="F705" s="48" t="str">
        <f>IFERROR(__xludf.DUMMYFUNCTION("""COMPUTED_VALUE"""),"09/12/2024 10.01")</f>
        <v>09/12/2024 10.01</v>
      </c>
      <c r="G705" s="42" t="str">
        <f>IFERROR(__xludf.DUMMYFUNCTION("""COMPUTED_VALUE"""),"ROYA")</f>
        <v>ROYA</v>
      </c>
      <c r="H705" s="42">
        <f t="shared" si="1"/>
        <v>369</v>
      </c>
    </row>
    <row r="706" ht="22.5" customHeight="1">
      <c r="B706" s="42" t="str">
        <f>IFERROR(__xludf.DUMMYFUNCTION("""COMPUTED_VALUE"""),"K/17/051224/1")</f>
        <v>K/17/051224/1</v>
      </c>
      <c r="C706" s="42" t="str">
        <f>IFERROR(__xludf.DUMMYFUNCTION("""COMPUTED_VALUE"""),"M. 14955/ Rajabasa")</f>
        <v>M. 14955/ Rajabasa</v>
      </c>
      <c r="D706" s="42" t="str">
        <f>IFERROR(__xludf.DUMMYFUNCTION("""COMPUTED_VALUE"""),"Berry")</f>
        <v>Berry</v>
      </c>
      <c r="E706" s="42" t="str">
        <f>IFERROR(__xludf.DUMMYFUNCTION("""COMPUTED_VALUE"""),"DISERAHKAN")</f>
        <v>DISERAHKAN</v>
      </c>
      <c r="F706" s="48" t="str">
        <f>IFERROR(__xludf.DUMMYFUNCTION("""COMPUTED_VALUE"""),"09/12/2024 10.02")</f>
        <v>09/12/2024 10.02</v>
      </c>
      <c r="G706" s="42" t="str">
        <f>IFERROR(__xludf.DUMMYFUNCTION("""COMPUTED_VALUE"""),"BN Jual Beli")</f>
        <v>BN Jual Beli</v>
      </c>
      <c r="H706" s="42">
        <f t="shared" si="1"/>
        <v>370</v>
      </c>
    </row>
    <row r="707" ht="22.5" customHeight="1">
      <c r="B707" s="42" t="str">
        <f>IFERROR(__xludf.DUMMYFUNCTION("""COMPUTED_VALUE"""),"K/20/051224/2")</f>
        <v>K/20/051224/2</v>
      </c>
      <c r="C707" s="42" t="str">
        <f>IFERROR(__xludf.DUMMYFUNCTION("""COMPUTED_VALUE"""),"M. 11265/ Tanjung Baru")</f>
        <v>M. 11265/ Tanjung Baru</v>
      </c>
      <c r="D707" s="42" t="str">
        <f>IFERROR(__xludf.DUMMYFUNCTION("""COMPUTED_VALUE"""),"Berry")</f>
        <v>Berry</v>
      </c>
      <c r="E707" s="42" t="str">
        <f>IFERROR(__xludf.DUMMYFUNCTION("""COMPUTED_VALUE"""),"DISERAHKAN")</f>
        <v>DISERAHKAN</v>
      </c>
      <c r="F707" s="48" t="str">
        <f>IFERROR(__xludf.DUMMYFUNCTION("""COMPUTED_VALUE"""),"09/12/2024 10.02")</f>
        <v>09/12/2024 10.02</v>
      </c>
      <c r="G707" s="42" t="str">
        <f>IFERROR(__xludf.DUMMYFUNCTION("""COMPUTED_VALUE"""),"BN Jual Beli")</f>
        <v>BN Jual Beli</v>
      </c>
      <c r="H707" s="42">
        <f t="shared" si="1"/>
        <v>371</v>
      </c>
    </row>
    <row r="708" ht="22.5" customHeight="1">
      <c r="B708" s="42" t="str">
        <f>IFERROR(__xludf.DUMMYFUNCTION("""COMPUTED_VALUE"""),"L/21/051224/1")</f>
        <v>L/21/051224/1</v>
      </c>
      <c r="C708" s="42" t="str">
        <f>IFERROR(__xludf.DUMMYFUNCTION("""COMPUTED_VALUE"""),"HM 419/KALI BALAU KENCANA")</f>
        <v>HM 419/KALI BALAU KENCANA</v>
      </c>
      <c r="D708" s="42" t="str">
        <f>IFERROR(__xludf.DUMMYFUNCTION("""COMPUTED_VALUE"""),"Berry")</f>
        <v>Berry</v>
      </c>
      <c r="E708" s="42" t="str">
        <f>IFERROR(__xludf.DUMMYFUNCTION("""COMPUTED_VALUE"""),"DISERAHKAN")</f>
        <v>DISERAHKAN</v>
      </c>
      <c r="F708" s="48" t="str">
        <f>IFERROR(__xludf.DUMMYFUNCTION("""COMPUTED_VALUE"""),"09/12/2024 10.02")</f>
        <v>09/12/2024 10.02</v>
      </c>
      <c r="G708" s="42" t="str">
        <f>IFERROR(__xludf.DUMMYFUNCTION("""COMPUTED_VALUE"""),"ROYA")</f>
        <v>ROYA</v>
      </c>
      <c r="H708" s="42">
        <f t="shared" si="1"/>
        <v>372</v>
      </c>
    </row>
    <row r="709" ht="22.5" customHeight="1">
      <c r="B709" s="42" t="str">
        <f>IFERROR(__xludf.DUMMYFUNCTION("""COMPUTED_VALUE"""),"K/22/051224/4")</f>
        <v>K/22/051224/4</v>
      </c>
      <c r="C709" s="42" t="str">
        <f>IFERROR(__xludf.DUMMYFUNCTION("""COMPUTED_VALUE"""),"M.9662/KEDAMAIAN")</f>
        <v>M.9662/KEDAMAIAN</v>
      </c>
      <c r="D709" s="42" t="str">
        <f>IFERROR(__xludf.DUMMYFUNCTION("""COMPUTED_VALUE"""),"Berry")</f>
        <v>Berry</v>
      </c>
      <c r="E709" s="42" t="str">
        <f>IFERROR(__xludf.DUMMYFUNCTION("""COMPUTED_VALUE"""),"DISERAHKAN")</f>
        <v>DISERAHKAN</v>
      </c>
      <c r="F709" s="48">
        <f>IFERROR(__xludf.DUMMYFUNCTION("""COMPUTED_VALUE"""),0.0)</f>
        <v>0</v>
      </c>
      <c r="G709" s="42" t="str">
        <f>IFERROR(__xludf.DUMMYFUNCTION("""COMPUTED_VALUE"""),"KEWARISAN")</f>
        <v>KEWARISAN</v>
      </c>
      <c r="H709" s="42">
        <f t="shared" si="1"/>
        <v>373</v>
      </c>
    </row>
    <row r="710" ht="22.5" customHeight="1">
      <c r="B710" s="42" t="str">
        <f>IFERROR(__xludf.DUMMYFUNCTION("""COMPUTED_VALUE"""),"K/23/051224/5")</f>
        <v>K/23/051224/5</v>
      </c>
      <c r="C710" s="42" t="str">
        <f>IFERROR(__xludf.DUMMYFUNCTION("""COMPUTED_VALUE"""),"M.484/KEDAUNG")</f>
        <v>M.484/KEDAUNG</v>
      </c>
      <c r="D710" s="42" t="str">
        <f>IFERROR(__xludf.DUMMYFUNCTION("""COMPUTED_VALUE"""),"Berry")</f>
        <v>Berry</v>
      </c>
      <c r="E710" s="42" t="str">
        <f>IFERROR(__xludf.DUMMYFUNCTION("""COMPUTED_VALUE"""),"PROSES")</f>
        <v>PROSES</v>
      </c>
      <c r="F710" s="48" t="str">
        <f>IFERROR(__xludf.DUMMYFUNCTION("""COMPUTED_VALUE"""),"")</f>
        <v/>
      </c>
      <c r="G710" s="42" t="str">
        <f>IFERROR(__xludf.DUMMYFUNCTION("""COMPUTED_VALUE"""),"BN JUAL BELI")</f>
        <v>BN JUAL BELI</v>
      </c>
      <c r="H710" s="42">
        <f t="shared" si="1"/>
        <v>373</v>
      </c>
    </row>
    <row r="711" ht="22.5" customHeight="1">
      <c r="B711" s="42" t="str">
        <f>IFERROR(__xludf.DUMMYFUNCTION("""COMPUTED_VALUE"""),"K/24/051224/1")</f>
        <v>K/24/051224/1</v>
      </c>
      <c r="C711" s="42" t="str">
        <f>IFERROR(__xludf.DUMMYFUNCTION("""COMPUTED_VALUE"""),"M. 650/ kemiling raya")</f>
        <v>M. 650/ kemiling raya</v>
      </c>
      <c r="D711" s="42"/>
      <c r="E711" s="42"/>
      <c r="F711" s="48" t="str">
        <f>IFERROR(__xludf.DUMMYFUNCTION("""COMPUTED_VALUE"""),"")</f>
        <v/>
      </c>
      <c r="G711" s="42" t="str">
        <f>IFERROR(__xludf.DUMMYFUNCTION("""COMPUTED_VALUE"""),"HAPUS BPHTB")</f>
        <v>HAPUS BPHTB</v>
      </c>
      <c r="H711" s="42">
        <f t="shared" si="1"/>
        <v>373</v>
      </c>
    </row>
    <row r="712" ht="22.5" customHeight="1">
      <c r="B712" s="42" t="str">
        <f>IFERROR(__xludf.DUMMYFUNCTION("""COMPUTED_VALUE"""),"K/25/051224/1")</f>
        <v>K/25/051224/1</v>
      </c>
      <c r="C712" s="42" t="str">
        <f>IFERROR(__xludf.DUMMYFUNCTION("""COMPUTED_VALUE"""),"B. 120/ Kupang Kota")</f>
        <v>B. 120/ Kupang Kota</v>
      </c>
      <c r="D712" s="42"/>
      <c r="E712" s="42"/>
      <c r="F712" s="48" t="str">
        <f>IFERROR(__xludf.DUMMYFUNCTION("""COMPUTED_VALUE"""),"")</f>
        <v/>
      </c>
      <c r="G712" s="42" t="str">
        <f>IFERROR(__xludf.DUMMYFUNCTION("""COMPUTED_VALUE"""),"Permohonan SK")</f>
        <v>Permohonan SK</v>
      </c>
      <c r="H712" s="42">
        <f t="shared" si="1"/>
        <v>373</v>
      </c>
    </row>
    <row r="713" ht="22.5" customHeight="1">
      <c r="B713" s="42" t="str">
        <f>IFERROR(__xludf.DUMMYFUNCTION("""COMPUTED_VALUE"""),"K/26/051224/2")</f>
        <v>K/26/051224/2</v>
      </c>
      <c r="C713" s="42" t="str">
        <f>IFERROR(__xludf.DUMMYFUNCTION("""COMPUTED_VALUE"""),"B. 121/ Kupang Kota")</f>
        <v>B. 121/ Kupang Kota</v>
      </c>
      <c r="D713" s="42"/>
      <c r="E713" s="42"/>
      <c r="F713" s="48" t="str">
        <f>IFERROR(__xludf.DUMMYFUNCTION("""COMPUTED_VALUE"""),"")</f>
        <v/>
      </c>
      <c r="G713" s="42" t="str">
        <f>IFERROR(__xludf.DUMMYFUNCTION("""COMPUTED_VALUE"""),"Permohonan SK")</f>
        <v>Permohonan SK</v>
      </c>
      <c r="H713" s="42">
        <f t="shared" si="1"/>
        <v>373</v>
      </c>
    </row>
    <row r="714" ht="22.5" customHeight="1">
      <c r="B714" s="42" t="str">
        <f>IFERROR(__xludf.DUMMYFUNCTION("""COMPUTED_VALUE"""),"K/28/051224/1")</f>
        <v>K/28/051224/1</v>
      </c>
      <c r="C714" s="42" t="str">
        <f>IFERROR(__xludf.DUMMYFUNCTION("""COMPUTED_VALUE"""),"M.16726/SUKABUMI")</f>
        <v>M.16726/SUKABUMI</v>
      </c>
      <c r="D714" s="42"/>
      <c r="E714" s="42"/>
      <c r="F714" s="48" t="str">
        <f>IFERROR(__xludf.DUMMYFUNCTION("""COMPUTED_VALUE"""),"")</f>
        <v/>
      </c>
      <c r="G714" s="42" t="str">
        <f>IFERROR(__xludf.DUMMYFUNCTION("""COMPUTED_VALUE"""),"PTPGT")</f>
        <v>PTPGT</v>
      </c>
      <c r="H714" s="42">
        <f t="shared" si="1"/>
        <v>373</v>
      </c>
    </row>
    <row r="715" ht="22.5" customHeight="1">
      <c r="B715" s="42" t="str">
        <f>IFERROR(__xludf.DUMMYFUNCTION("""COMPUTED_VALUE"""),"K/34/051224/2")</f>
        <v>K/34/051224/2</v>
      </c>
      <c r="C715" s="42" t="str">
        <f>IFERROR(__xludf.DUMMYFUNCTION("""COMPUTED_VALUE"""),"M.1980/LABUHAN RATU RAYA")</f>
        <v>M.1980/LABUHAN RATU RAYA</v>
      </c>
      <c r="D715" s="42" t="str">
        <f>IFERROR(__xludf.DUMMYFUNCTION("""COMPUTED_VALUE"""),"Berry")</f>
        <v>Berry</v>
      </c>
      <c r="E715" s="42" t="str">
        <f>IFERROR(__xludf.DUMMYFUNCTION("""COMPUTED_VALUE"""),"DISERAHKAN")</f>
        <v>DISERAHKAN</v>
      </c>
      <c r="F715" s="48" t="str">
        <f>IFERROR(__xludf.DUMMYFUNCTION("""COMPUTED_VALUE"""),"09/12/2024 10.03")</f>
        <v>09/12/2024 10.03</v>
      </c>
      <c r="G715" s="42" t="str">
        <f>IFERROR(__xludf.DUMMYFUNCTION("""COMPUTED_VALUE"""),"BN JUAL BELI")</f>
        <v>BN JUAL BELI</v>
      </c>
      <c r="H715" s="42">
        <f t="shared" si="1"/>
        <v>374</v>
      </c>
    </row>
    <row r="716" ht="22.5" customHeight="1">
      <c r="B716" s="42" t="str">
        <f>IFERROR(__xludf.DUMMYFUNCTION("""COMPUTED_VALUE"""),"K/35/051224/3")</f>
        <v>K/35/051224/3</v>
      </c>
      <c r="C716" s="42" t="str">
        <f>IFERROR(__xludf.DUMMYFUNCTION("""COMPUTED_VALUE"""),"M.6262/WAY KANDIS")</f>
        <v>M.6262/WAY KANDIS</v>
      </c>
      <c r="D716" s="42" t="str">
        <f>IFERROR(__xludf.DUMMYFUNCTION("""COMPUTED_VALUE"""),"Berry")</f>
        <v>Berry</v>
      </c>
      <c r="E716" s="42" t="str">
        <f>IFERROR(__xludf.DUMMYFUNCTION("""COMPUTED_VALUE"""),"DISERAHKAN")</f>
        <v>DISERAHKAN</v>
      </c>
      <c r="F716" s="48" t="str">
        <f>IFERROR(__xludf.DUMMYFUNCTION("""COMPUTED_VALUE"""),"09/12/2024 10.03")</f>
        <v>09/12/2024 10.03</v>
      </c>
      <c r="G716" s="42" t="str">
        <f>IFERROR(__xludf.DUMMYFUNCTION("""COMPUTED_VALUE"""),"BN JUAL BELI")</f>
        <v>BN JUAL BELI</v>
      </c>
      <c r="H716" s="42">
        <f t="shared" si="1"/>
        <v>375</v>
      </c>
    </row>
    <row r="717" ht="22.5" customHeight="1">
      <c r="B717" s="42" t="str">
        <f>IFERROR(__xludf.DUMMYFUNCTION("""COMPUTED_VALUE"""),"K/29/051224/1")</f>
        <v>K/29/051224/1</v>
      </c>
      <c r="C717" s="42" t="str">
        <f>IFERROR(__xludf.DUMMYFUNCTION("""COMPUTED_VALUE"""),"B. 342/ Rajabasa Pemuka")</f>
        <v>B. 342/ Rajabasa Pemuka</v>
      </c>
      <c r="D717" s="42" t="str">
        <f>IFERROR(__xludf.DUMMYFUNCTION("""COMPUTED_VALUE"""),"Berry")</f>
        <v>Berry</v>
      </c>
      <c r="E717" s="42" t="str">
        <f>IFERROR(__xludf.DUMMYFUNCTION("""COMPUTED_VALUE"""),"PROSES")</f>
        <v>PROSES</v>
      </c>
      <c r="F717" s="48" t="str">
        <f>IFERROR(__xludf.DUMMYFUNCTION("""COMPUTED_VALUE"""),"")</f>
        <v/>
      </c>
      <c r="G717" s="42" t="str">
        <f>IFERROR(__xludf.DUMMYFUNCTION("""COMPUTED_VALUE"""),"BN Hibah")</f>
        <v>BN Hibah</v>
      </c>
      <c r="H717" s="42">
        <f t="shared" si="1"/>
        <v>375</v>
      </c>
    </row>
    <row r="718" ht="22.5" customHeight="1">
      <c r="B718" s="42" t="str">
        <f>IFERROR(__xludf.DUMMYFUNCTION("""COMPUTED_VALUE"""),"K/30/051224/2")</f>
        <v>K/30/051224/2</v>
      </c>
      <c r="C718" s="42" t="str">
        <f>IFERROR(__xludf.DUMMYFUNCTION("""COMPUTED_VALUE"""),"B. 334/ Rajabasa pemuka")</f>
        <v>B. 334/ Rajabasa pemuka</v>
      </c>
      <c r="D718" s="42" t="str">
        <f>IFERROR(__xludf.DUMMYFUNCTION("""COMPUTED_VALUE"""),"Berry")</f>
        <v>Berry</v>
      </c>
      <c r="E718" s="42" t="str">
        <f>IFERROR(__xludf.DUMMYFUNCTION("""COMPUTED_VALUE"""),"PROSES")</f>
        <v>PROSES</v>
      </c>
      <c r="F718" s="48" t="str">
        <f>IFERROR(__xludf.DUMMYFUNCTION("""COMPUTED_VALUE"""),"")</f>
        <v/>
      </c>
      <c r="G718" s="42" t="str">
        <f>IFERROR(__xludf.DUMMYFUNCTION("""COMPUTED_VALUE"""),"BN Hibah")</f>
        <v>BN Hibah</v>
      </c>
      <c r="H718" s="42">
        <f t="shared" si="1"/>
        <v>375</v>
      </c>
    </row>
    <row r="719" ht="22.5" customHeight="1">
      <c r="B719" s="42" t="str">
        <f>IFERROR(__xludf.DUMMYFUNCTION("""COMPUTED_VALUE"""),"K/31/051224/1")</f>
        <v>K/31/051224/1</v>
      </c>
      <c r="C719" s="42" t="str">
        <f>IFERROR(__xludf.DUMMYFUNCTION("""COMPUTED_VALUE"""),"B. 336/ Rajabasa Pemuka")</f>
        <v>B. 336/ Rajabasa Pemuka</v>
      </c>
      <c r="D719" s="42" t="str">
        <f>IFERROR(__xludf.DUMMYFUNCTION("""COMPUTED_VALUE"""),"Berry")</f>
        <v>Berry</v>
      </c>
      <c r="E719" s="42" t="str">
        <f>IFERROR(__xludf.DUMMYFUNCTION("""COMPUTED_VALUE"""),"PROSES")</f>
        <v>PROSES</v>
      </c>
      <c r="F719" s="48" t="str">
        <f>IFERROR(__xludf.DUMMYFUNCTION("""COMPUTED_VALUE"""),"")</f>
        <v/>
      </c>
      <c r="G719" s="42" t="str">
        <f>IFERROR(__xludf.DUMMYFUNCTION("""COMPUTED_VALUE"""),"BN Hibah")</f>
        <v>BN Hibah</v>
      </c>
      <c r="H719" s="42">
        <f t="shared" si="1"/>
        <v>375</v>
      </c>
    </row>
    <row r="720" ht="22.5" customHeight="1">
      <c r="B720" s="42" t="str">
        <f>IFERROR(__xludf.DUMMYFUNCTION("""COMPUTED_VALUE"""),"K/32/051224/4")</f>
        <v>K/32/051224/4</v>
      </c>
      <c r="C720" s="42" t="str">
        <f>IFERROR(__xludf.DUMMYFUNCTION("""COMPUTED_VALUE"""),"B. 340/ Rajabasa Pemuka")</f>
        <v>B. 340/ Rajabasa Pemuka</v>
      </c>
      <c r="D720" s="42" t="str">
        <f>IFERROR(__xludf.DUMMYFUNCTION("""COMPUTED_VALUE"""),"Berry")</f>
        <v>Berry</v>
      </c>
      <c r="E720" s="42" t="str">
        <f>IFERROR(__xludf.DUMMYFUNCTION("""COMPUTED_VALUE"""),"PROSES")</f>
        <v>PROSES</v>
      </c>
      <c r="F720" s="48" t="str">
        <f>IFERROR(__xludf.DUMMYFUNCTION("""COMPUTED_VALUE"""),"")</f>
        <v/>
      </c>
      <c r="G720" s="42" t="str">
        <f>IFERROR(__xludf.DUMMYFUNCTION("""COMPUTED_VALUE"""),"BN Hibah")</f>
        <v>BN Hibah</v>
      </c>
      <c r="H720" s="42">
        <f t="shared" si="1"/>
        <v>375</v>
      </c>
    </row>
    <row r="721" ht="22.5" customHeight="1">
      <c r="B721" s="42" t="str">
        <f>IFERROR(__xludf.DUMMYFUNCTION("""COMPUTED_VALUE"""),"K/36/051224/1")</f>
        <v>K/36/051224/1</v>
      </c>
      <c r="C721" s="42" t="str">
        <f>IFERROR(__xludf.DUMMYFUNCTION("""COMPUTED_VALUE"""),"M. 13980/ Tanjung Baru")</f>
        <v>M. 13980/ Tanjung Baru</v>
      </c>
      <c r="D721" s="42" t="str">
        <f>IFERROR(__xludf.DUMMYFUNCTION("""COMPUTED_VALUE"""),"Berry")</f>
        <v>Berry</v>
      </c>
      <c r="E721" s="42" t="str">
        <f>IFERROR(__xludf.DUMMYFUNCTION("""COMPUTED_VALUE"""),"DISERAHKAN")</f>
        <v>DISERAHKAN</v>
      </c>
      <c r="F721" s="48" t="str">
        <f>IFERROR(__xludf.DUMMYFUNCTION("""COMPUTED_VALUE"""),"09/12/2024 10.04")</f>
        <v>09/12/2024 10.04</v>
      </c>
      <c r="G721" s="42" t="str">
        <f>IFERROR(__xludf.DUMMYFUNCTION("""COMPUTED_VALUE"""),"BN JUAL BELI")</f>
        <v>BN JUAL BELI</v>
      </c>
      <c r="H721" s="42">
        <f t="shared" si="1"/>
        <v>376</v>
      </c>
    </row>
    <row r="722" ht="22.5" customHeight="1">
      <c r="B722" s="42" t="str">
        <f>IFERROR(__xludf.DUMMYFUNCTION("""COMPUTED_VALUE"""),"K/1/061224/1")</f>
        <v>K/1/061224/1</v>
      </c>
      <c r="C722" s="42" t="str">
        <f>IFERROR(__xludf.DUMMYFUNCTION("""COMPUTED_VALUE"""),"M. 4592/ Gunung Terang")</f>
        <v>M. 4592/ Gunung Terang</v>
      </c>
      <c r="D722" s="42" t="str">
        <f>IFERROR(__xludf.DUMMYFUNCTION("""COMPUTED_VALUE"""),"Berry")</f>
        <v>Berry</v>
      </c>
      <c r="E722" s="42" t="str">
        <f>IFERROR(__xludf.DUMMYFUNCTION("""COMPUTED_VALUE"""),"DISERAHKAN")</f>
        <v>DISERAHKAN</v>
      </c>
      <c r="F722" s="48">
        <f>IFERROR(__xludf.DUMMYFUNCTION("""COMPUTED_VALUE"""),45673.43404315972)</f>
        <v>45673.43404</v>
      </c>
      <c r="G722" s="42" t="str">
        <f>IFERROR(__xludf.DUMMYFUNCTION("""COMPUTED_VALUE"""),"BN JUAL BELI")</f>
        <v>BN JUAL BELI</v>
      </c>
      <c r="H722" s="42">
        <f t="shared" si="1"/>
        <v>377</v>
      </c>
    </row>
    <row r="723" ht="22.5" customHeight="1">
      <c r="B723" s="42" t="str">
        <f>IFERROR(__xludf.DUMMYFUNCTION("""COMPUTED_VALUE"""),"K/2/061224/2")</f>
        <v>K/2/061224/2</v>
      </c>
      <c r="C723" s="42" t="str">
        <f>IFERROR(__xludf.DUMMYFUNCTION("""COMPUTED_VALUE"""),"M. 4547/ Gunung Terang")</f>
        <v>M. 4547/ Gunung Terang</v>
      </c>
      <c r="D723" s="42" t="str">
        <f>IFERROR(__xludf.DUMMYFUNCTION("""COMPUTED_VALUE"""),"Berry")</f>
        <v>Berry</v>
      </c>
      <c r="E723" s="42" t="str">
        <f>IFERROR(__xludf.DUMMYFUNCTION("""COMPUTED_VALUE"""),"DISERAHKAN")</f>
        <v>DISERAHKAN</v>
      </c>
      <c r="F723" s="48">
        <f>IFERROR(__xludf.DUMMYFUNCTION("""COMPUTED_VALUE"""),45673.43404315972)</f>
        <v>45673.43404</v>
      </c>
      <c r="G723" s="42" t="str">
        <f>IFERROR(__xludf.DUMMYFUNCTION("""COMPUTED_VALUE"""),"BN JUAL BELI")</f>
        <v>BN JUAL BELI</v>
      </c>
      <c r="H723" s="42">
        <f t="shared" si="1"/>
        <v>378</v>
      </c>
    </row>
    <row r="724" ht="22.5" customHeight="1">
      <c r="B724" s="42" t="str">
        <f>IFERROR(__xludf.DUMMYFUNCTION("""COMPUTED_VALUE"""),"K/3/061224/1")</f>
        <v>K/3/061224/1</v>
      </c>
      <c r="C724" s="42" t="str">
        <f>IFERROR(__xludf.DUMMYFUNCTION("""COMPUTED_VALUE"""),"B. 375/ Sumur Putri")</f>
        <v>B. 375/ Sumur Putri</v>
      </c>
      <c r="D724" s="42" t="str">
        <f>IFERROR(__xludf.DUMMYFUNCTION("""COMPUTED_VALUE"""),"Berry")</f>
        <v>Berry</v>
      </c>
      <c r="E724" s="42" t="str">
        <f>IFERROR(__xludf.DUMMYFUNCTION("""COMPUTED_VALUE"""),"DISERAHKAN")</f>
        <v>DISERAHKAN</v>
      </c>
      <c r="F724" s="48" t="str">
        <f>IFERROR(__xludf.DUMMYFUNCTION("""COMPUTED_VALUE"""),"09/12/2024 16.09")</f>
        <v>09/12/2024 16.09</v>
      </c>
      <c r="G724" s="42" t="str">
        <f>IFERROR(__xludf.DUMMYFUNCTION("""COMPUTED_VALUE"""),"BN JUAL BELI")</f>
        <v>BN JUAL BELI</v>
      </c>
      <c r="H724" s="42">
        <f t="shared" si="1"/>
        <v>379</v>
      </c>
    </row>
    <row r="725" ht="22.5" customHeight="1">
      <c r="B725" s="42" t="str">
        <f>IFERROR(__xludf.DUMMYFUNCTION("""COMPUTED_VALUE"""),"K/8/061224/1")</f>
        <v>K/8/061224/1</v>
      </c>
      <c r="C725" s="42" t="str">
        <f>IFERROR(__xludf.DUMMYFUNCTION("""COMPUTED_VALUE"""),"M. 2874/ Way Laga")</f>
        <v>M. 2874/ Way Laga</v>
      </c>
      <c r="D725" s="42" t="str">
        <f>IFERROR(__xludf.DUMMYFUNCTION("""COMPUTED_VALUE"""),"Berry")</f>
        <v>Berry</v>
      </c>
      <c r="E725" s="42" t="str">
        <f>IFERROR(__xludf.DUMMYFUNCTION("""COMPUTED_VALUE"""),"PROSES")</f>
        <v>PROSES</v>
      </c>
      <c r="F725" s="48" t="str">
        <f>IFERROR(__xludf.DUMMYFUNCTION("""COMPUTED_VALUE"""),"")</f>
        <v/>
      </c>
      <c r="G725" s="42" t="str">
        <f>IFERROR(__xludf.DUMMYFUNCTION("""COMPUTED_VALUE"""),"BN HIBAH")</f>
        <v>BN HIBAH</v>
      </c>
      <c r="H725" s="42">
        <f t="shared" si="1"/>
        <v>379</v>
      </c>
    </row>
    <row r="726" ht="22.5" customHeight="1">
      <c r="B726" s="42" t="str">
        <f>IFERROR(__xludf.DUMMYFUNCTION("""COMPUTED_VALUE"""),"L/11/061224/1")</f>
        <v>L/11/061224/1</v>
      </c>
      <c r="C726" s="42" t="str">
        <f>IFERROR(__xludf.DUMMYFUNCTION("""COMPUTED_VALUE"""),"HGB 234/GEDUNG MENENG")</f>
        <v>HGB 234/GEDUNG MENENG</v>
      </c>
      <c r="D726" s="42" t="str">
        <f>IFERROR(__xludf.DUMMYFUNCTION("""COMPUTED_VALUE"""),"Berry")</f>
        <v>Berry</v>
      </c>
      <c r="E726" s="42" t="str">
        <f>IFERROR(__xludf.DUMMYFUNCTION("""COMPUTED_VALUE"""),"PROSES")</f>
        <v>PROSES</v>
      </c>
      <c r="F726" s="48" t="str">
        <f>IFERROR(__xludf.DUMMYFUNCTION("""COMPUTED_VALUE"""),"")</f>
        <v/>
      </c>
      <c r="G726" s="42" t="str">
        <f>IFERROR(__xludf.DUMMYFUNCTION("""COMPUTED_VALUE"""),"ROYA")</f>
        <v>ROYA</v>
      </c>
      <c r="H726" s="42">
        <f t="shared" si="1"/>
        <v>379</v>
      </c>
    </row>
    <row r="727" ht="22.5" customHeight="1">
      <c r="B727" s="42" t="str">
        <f>IFERROR(__xludf.DUMMYFUNCTION("""COMPUTED_VALUE"""),"K/10/061224/1")</f>
        <v>K/10/061224/1</v>
      </c>
      <c r="C727" s="42" t="str">
        <f>IFERROR(__xludf.DUMMYFUNCTION("""COMPUTED_VALUE"""),"NIBEL B. 8356/SUKARAME BARU")</f>
        <v>NIBEL B. 8356/SUKARAME BARU</v>
      </c>
      <c r="D727" s="42"/>
      <c r="E727" s="42"/>
      <c r="F727" s="48" t="str">
        <f>IFERROR(__xludf.DUMMYFUNCTION("""COMPUTED_VALUE"""),"")</f>
        <v/>
      </c>
      <c r="G727" s="42" t="str">
        <f>IFERROR(__xludf.DUMMYFUNCTION("""COMPUTED_VALUE"""),"PENINGKATAN HAK")</f>
        <v>PENINGKATAN HAK</v>
      </c>
      <c r="H727" s="42">
        <f t="shared" si="1"/>
        <v>379</v>
      </c>
    </row>
    <row r="728" ht="22.5" customHeight="1">
      <c r="B728" s="42" t="str">
        <f>IFERROR(__xludf.DUMMYFUNCTION("""COMPUTED_VALUE"""),"K/4/061224/1")</f>
        <v>K/4/061224/1</v>
      </c>
      <c r="C728" s="42" t="str">
        <f>IFERROR(__xludf.DUMMYFUNCTION("""COMPUTED_VALUE"""),"B. 110/ Bumi Waras")</f>
        <v>B. 110/ Bumi Waras</v>
      </c>
      <c r="D728" s="42" t="str">
        <f>IFERROR(__xludf.DUMMYFUNCTION("""COMPUTED_VALUE"""),"Berry")</f>
        <v>Berry</v>
      </c>
      <c r="E728" s="42" t="str">
        <f>IFERROR(__xludf.DUMMYFUNCTION("""COMPUTED_VALUE"""),"DISERAHKAN")</f>
        <v>DISERAHKAN</v>
      </c>
      <c r="F728" s="48" t="str">
        <f>IFERROR(__xludf.DUMMYFUNCTION("""COMPUTED_VALUE"""),"13/12/2024 14.19")</f>
        <v>13/12/2024 14.19</v>
      </c>
      <c r="G728" s="42" t="str">
        <f>IFERROR(__xludf.DUMMYFUNCTION("""COMPUTED_VALUE"""),"BN Jual Beli")</f>
        <v>BN Jual Beli</v>
      </c>
      <c r="H728" s="42">
        <f t="shared" si="1"/>
        <v>380</v>
      </c>
    </row>
    <row r="729" ht="22.5" customHeight="1">
      <c r="B729" s="42" t="str">
        <f>IFERROR(__xludf.DUMMYFUNCTION("""COMPUTED_VALUE"""),"K/13/061224/1")</f>
        <v>K/13/061224/1</v>
      </c>
      <c r="C729" s="42" t="str">
        <f>IFERROR(__xludf.DUMMYFUNCTION("""COMPUTED_VALUE"""),"B. 66/ Pengajaran")</f>
        <v>B. 66/ Pengajaran</v>
      </c>
      <c r="D729" s="42" t="str">
        <f>IFERROR(__xludf.DUMMYFUNCTION("""COMPUTED_VALUE"""),"Berry")</f>
        <v>Berry</v>
      </c>
      <c r="E729" s="42" t="str">
        <f>IFERROR(__xludf.DUMMYFUNCTION("""COMPUTED_VALUE"""),"DISERAHKAN")</f>
        <v>DISERAHKAN</v>
      </c>
      <c r="F729" s="48" t="str">
        <f>IFERROR(__xludf.DUMMYFUNCTION("""COMPUTED_VALUE"""),"09/12/2024 16.11")</f>
        <v>09/12/2024 16.11</v>
      </c>
      <c r="G729" s="42" t="str">
        <f>IFERROR(__xludf.DUMMYFUNCTION("""COMPUTED_VALUE"""),"Roya")</f>
        <v>Roya</v>
      </c>
      <c r="H729" s="42">
        <f t="shared" si="1"/>
        <v>381</v>
      </c>
    </row>
    <row r="730" ht="22.5" customHeight="1">
      <c r="B730" s="42" t="str">
        <f>IFERROR(__xludf.DUMMYFUNCTION("""COMPUTED_VALUE"""),"K/15/061224/1")</f>
        <v>K/15/061224/1</v>
      </c>
      <c r="C730" s="42" t="str">
        <f>IFERROR(__xludf.DUMMYFUNCTION("""COMPUTED_VALUE"""),"M. 2154/ Kedaung")</f>
        <v>M. 2154/ Kedaung</v>
      </c>
      <c r="D730" s="42" t="str">
        <f>IFERROR(__xludf.DUMMYFUNCTION("""COMPUTED_VALUE"""),"Berry")</f>
        <v>Berry</v>
      </c>
      <c r="E730" s="42" t="str">
        <f>IFERROR(__xludf.DUMMYFUNCTION("""COMPUTED_VALUE"""),"DISERAHKAN")</f>
        <v>DISERAHKAN</v>
      </c>
      <c r="F730" s="48" t="str">
        <f>IFERROR(__xludf.DUMMYFUNCTION("""COMPUTED_VALUE"""),"09/12/2024 16.11")</f>
        <v>09/12/2024 16.11</v>
      </c>
      <c r="G730" s="42" t="str">
        <f>IFERROR(__xludf.DUMMYFUNCTION("""COMPUTED_VALUE"""),"BN JUAL BELI")</f>
        <v>BN JUAL BELI</v>
      </c>
      <c r="H730" s="42">
        <f t="shared" si="1"/>
        <v>382</v>
      </c>
    </row>
    <row r="731" ht="22.5" customHeight="1">
      <c r="B731" s="42" t="str">
        <f>IFERROR(__xludf.DUMMYFUNCTION("""COMPUTED_VALUE"""),"K/16/061224/1")</f>
        <v>K/16/061224/1</v>
      </c>
      <c r="C731" s="42" t="str">
        <f>IFERROR(__xludf.DUMMYFUNCTION("""COMPUTED_VALUE"""),"NIBEL M. 6439/KOTA KARANG RAYA")</f>
        <v>NIBEL M. 6439/KOTA KARANG RAYA</v>
      </c>
      <c r="D731" s="42"/>
      <c r="E731" s="42"/>
      <c r="F731" s="48" t="str">
        <f>IFERROR(__xludf.DUMMYFUNCTION("""COMPUTED_VALUE"""),"")</f>
        <v/>
      </c>
      <c r="G731" s="42" t="str">
        <f>IFERROR(__xludf.DUMMYFUNCTION("""COMPUTED_VALUE"""),"BN JUAL BELI")</f>
        <v>BN JUAL BELI</v>
      </c>
      <c r="H731" s="42">
        <f t="shared" si="1"/>
        <v>382</v>
      </c>
    </row>
    <row r="732" ht="22.5" customHeight="1">
      <c r="B732" s="42" t="str">
        <f>IFERROR(__xludf.DUMMYFUNCTION("""COMPUTED_VALUE"""),"K/18/061224/1")</f>
        <v>K/18/061224/1</v>
      </c>
      <c r="C732" s="42" t="str">
        <f>IFERROR(__xludf.DUMMYFUNCTION("""COMPUTED_VALUE"""),"M. 139/ Bumi Kedamaian")</f>
        <v>M. 139/ Bumi Kedamaian</v>
      </c>
      <c r="D732" s="42"/>
      <c r="E732" s="42"/>
      <c r="F732" s="48" t="str">
        <f>IFERROR(__xludf.DUMMYFUNCTION("""COMPUTED_VALUE"""),"")</f>
        <v/>
      </c>
      <c r="G732" s="42" t="str">
        <f>IFERROR(__xludf.DUMMYFUNCTION("""COMPUTED_VALUE"""),"SKPT LELANG")</f>
        <v>SKPT LELANG</v>
      </c>
      <c r="H732" s="42">
        <f t="shared" si="1"/>
        <v>382</v>
      </c>
    </row>
    <row r="733" ht="22.5" customHeight="1">
      <c r="B733" s="42" t="str">
        <f>IFERROR(__xludf.DUMMYFUNCTION("""COMPUTED_VALUE"""),"K/19/061224/1")</f>
        <v>K/19/061224/1</v>
      </c>
      <c r="C733" s="42" t="str">
        <f>IFERROR(__xludf.DUMMYFUNCTION("""COMPUTED_VALUE"""),"M. 308/ Campang Jaya")</f>
        <v>M. 308/ Campang Jaya</v>
      </c>
      <c r="D733" s="42" t="str">
        <f>IFERROR(__xludf.DUMMYFUNCTION("""COMPUTED_VALUE"""),"Berry")</f>
        <v>Berry</v>
      </c>
      <c r="E733" s="42" t="str">
        <f>IFERROR(__xludf.DUMMYFUNCTION("""COMPUTED_VALUE"""),"DISERAHKAN")</f>
        <v>DISERAHKAN</v>
      </c>
      <c r="F733" s="48" t="str">
        <f>IFERROR(__xludf.DUMMYFUNCTION("""COMPUTED_VALUE"""),"09/12/2024 16.12")</f>
        <v>09/12/2024 16.12</v>
      </c>
      <c r="G733" s="42" t="str">
        <f>IFERROR(__xludf.DUMMYFUNCTION("""COMPUTED_VALUE"""),"BN Jual Beli")</f>
        <v>BN Jual Beli</v>
      </c>
      <c r="H733" s="42">
        <f t="shared" si="1"/>
        <v>383</v>
      </c>
    </row>
    <row r="734" ht="22.5" customHeight="1">
      <c r="B734" s="42" t="str">
        <f>IFERROR(__xludf.DUMMYFUNCTION("""COMPUTED_VALUE"""),"L/20/061224/1")</f>
        <v>L/20/061224/1</v>
      </c>
      <c r="C734" s="42" t="str">
        <f>IFERROR(__xludf.DUMMYFUNCTION("""COMPUTED_VALUE"""),"HGB 3464/SUKABUMI")</f>
        <v>HGB 3464/SUKABUMI</v>
      </c>
      <c r="D734" s="42"/>
      <c r="E734" s="42"/>
      <c r="F734" s="48" t="str">
        <f>IFERROR(__xludf.DUMMYFUNCTION("""COMPUTED_VALUE"""),"")</f>
        <v/>
      </c>
      <c r="G734" s="42" t="str">
        <f>IFERROR(__xludf.DUMMYFUNCTION("""COMPUTED_VALUE"""),"ASPEK (HGB MATI)")</f>
        <v>ASPEK (HGB MATI)</v>
      </c>
      <c r="H734" s="42">
        <f t="shared" si="1"/>
        <v>383</v>
      </c>
    </row>
    <row r="735" ht="22.5" customHeight="1">
      <c r="B735" s="42" t="str">
        <f>IFERROR(__xludf.DUMMYFUNCTION("""COMPUTED_VALUE"""),"K/23/061224/2")</f>
        <v>K/23/061224/2</v>
      </c>
      <c r="C735" s="42" t="str">
        <f>IFERROR(__xludf.DUMMYFUNCTION("""COMPUTED_VALUE"""),"M. 5074/ Rajabasa Jaya")</f>
        <v>M. 5074/ Rajabasa Jaya</v>
      </c>
      <c r="D735" s="42" t="str">
        <f>IFERROR(__xludf.DUMMYFUNCTION("""COMPUTED_VALUE"""),"Berry")</f>
        <v>Berry</v>
      </c>
      <c r="E735" s="42" t="str">
        <f>IFERROR(__xludf.DUMMYFUNCTION("""COMPUTED_VALUE"""),"DISERAHKAN")</f>
        <v>DISERAHKAN</v>
      </c>
      <c r="F735" s="48" t="str">
        <f>IFERROR(__xludf.DUMMYFUNCTION("""COMPUTED_VALUE"""),"09/12/2024 16.12")</f>
        <v>09/12/2024 16.12</v>
      </c>
      <c r="G735" s="42" t="str">
        <f>IFERROR(__xludf.DUMMYFUNCTION("""COMPUTED_VALUE"""),"BN Jual Beli")</f>
        <v>BN Jual Beli</v>
      </c>
      <c r="H735" s="42">
        <f t="shared" si="1"/>
        <v>384</v>
      </c>
    </row>
    <row r="736" ht="22.5" customHeight="1">
      <c r="B736" s="42" t="str">
        <f>IFERROR(__xludf.DUMMYFUNCTION("""COMPUTED_VALUE"""),"K/21/061224/1")</f>
        <v>K/21/061224/1</v>
      </c>
      <c r="C736" s="42" t="str">
        <f>IFERROR(__xludf.DUMMYFUNCTION("""COMPUTED_VALUE"""),"B. 348/ Rajabasa Pemuka")</f>
        <v>B. 348/ Rajabasa Pemuka</v>
      </c>
      <c r="D736" s="42" t="str">
        <f>IFERROR(__xludf.DUMMYFUNCTION("""COMPUTED_VALUE"""),"Berry")</f>
        <v>Berry</v>
      </c>
      <c r="E736" s="42" t="str">
        <f>IFERROR(__xludf.DUMMYFUNCTION("""COMPUTED_VALUE"""),"PROSES")</f>
        <v>PROSES</v>
      </c>
      <c r="F736" s="48" t="str">
        <f>IFERROR(__xludf.DUMMYFUNCTION("""COMPUTED_VALUE"""),"")</f>
        <v/>
      </c>
      <c r="G736" s="42" t="str">
        <f>IFERROR(__xludf.DUMMYFUNCTION("""COMPUTED_VALUE"""),"BN HIBAH")</f>
        <v>BN HIBAH</v>
      </c>
      <c r="H736" s="42">
        <f t="shared" si="1"/>
        <v>384</v>
      </c>
    </row>
    <row r="737" ht="22.5" customHeight="1">
      <c r="B737" s="42" t="str">
        <f>IFERROR(__xludf.DUMMYFUNCTION("""COMPUTED_VALUE"""),"K/22/061224/2")</f>
        <v>K/22/061224/2</v>
      </c>
      <c r="C737" s="42" t="str">
        <f>IFERROR(__xludf.DUMMYFUNCTION("""COMPUTED_VALUE"""),"B. 337/ Rajabasa Pemuka")</f>
        <v>B. 337/ Rajabasa Pemuka</v>
      </c>
      <c r="D737" s="42" t="str">
        <f>IFERROR(__xludf.DUMMYFUNCTION("""COMPUTED_VALUE"""),"Berry")</f>
        <v>Berry</v>
      </c>
      <c r="E737" s="42" t="str">
        <f>IFERROR(__xludf.DUMMYFUNCTION("""COMPUTED_VALUE"""),"PROSES")</f>
        <v>PROSES</v>
      </c>
      <c r="F737" s="48" t="str">
        <f>IFERROR(__xludf.DUMMYFUNCTION("""COMPUTED_VALUE"""),"")</f>
        <v/>
      </c>
      <c r="G737" s="42" t="str">
        <f>IFERROR(__xludf.DUMMYFUNCTION("""COMPUTED_VALUE"""),"BN JUAL BELI")</f>
        <v>BN JUAL BELI</v>
      </c>
      <c r="H737" s="42">
        <f t="shared" si="1"/>
        <v>384</v>
      </c>
    </row>
    <row r="738" ht="22.5" customHeight="1">
      <c r="B738" s="42" t="str">
        <f>IFERROR(__xludf.DUMMYFUNCTION("""COMPUTED_VALUE"""),"L/24/061224/1")</f>
        <v>L/24/061224/1</v>
      </c>
      <c r="C738" s="42" t="str">
        <f>IFERROR(__xludf.DUMMYFUNCTION("""COMPUTED_VALUE"""),"LANGKAPURA")</f>
        <v>LANGKAPURA</v>
      </c>
      <c r="D738" s="42"/>
      <c r="E738" s="42"/>
      <c r="F738" s="48" t="str">
        <f>IFERROR(__xludf.DUMMYFUNCTION("""COMPUTED_VALUE"""),"")</f>
        <v/>
      </c>
      <c r="G738" s="42" t="str">
        <f>IFERROR(__xludf.DUMMYFUNCTION("""COMPUTED_VALUE"""),"ASPEK")</f>
        <v>ASPEK</v>
      </c>
      <c r="H738" s="42">
        <f t="shared" si="1"/>
        <v>384</v>
      </c>
    </row>
    <row r="739" ht="22.5" customHeight="1">
      <c r="B739" s="42" t="str">
        <f>IFERROR(__xludf.DUMMYFUNCTION("""COMPUTED_VALUE"""),"L/26/061224/1")</f>
        <v>L/26/061224/1</v>
      </c>
      <c r="C739" s="42" t="str">
        <f>IFERROR(__xludf.DUMMYFUNCTION("""COMPUTED_VALUE"""),"HM 11871/RAJABASA")</f>
        <v>HM 11871/RAJABASA</v>
      </c>
      <c r="D739" s="42" t="str">
        <f>IFERROR(__xludf.DUMMYFUNCTION("""COMPUTED_VALUE"""),"Berry")</f>
        <v>Berry</v>
      </c>
      <c r="E739" s="42" t="str">
        <f>IFERROR(__xludf.DUMMYFUNCTION("""COMPUTED_VALUE"""),"DISERAHKAN")</f>
        <v>DISERAHKAN</v>
      </c>
      <c r="F739" s="48" t="str">
        <f>IFERROR(__xludf.DUMMYFUNCTION("""COMPUTED_VALUE"""),"13/12/2024 14.18")</f>
        <v>13/12/2024 14.18</v>
      </c>
      <c r="G739" s="42" t="str">
        <f>IFERROR(__xludf.DUMMYFUNCTION("""COMPUTED_VALUE"""),"ROYA")</f>
        <v>ROYA</v>
      </c>
      <c r="H739" s="42">
        <f t="shared" si="1"/>
        <v>385</v>
      </c>
    </row>
    <row r="740" ht="22.5" customHeight="1">
      <c r="B740" s="42" t="str">
        <f>IFERROR(__xludf.DUMMYFUNCTION("""COMPUTED_VALUE"""),"K/25/061224/1")</f>
        <v>K/25/061224/1</v>
      </c>
      <c r="C740" s="42" t="str">
        <f>IFERROR(__xludf.DUMMYFUNCTION("""COMPUTED_VALUE"""),"M. 1399/ Kupang Kota")</f>
        <v>M. 1399/ Kupang Kota</v>
      </c>
      <c r="D740" s="42" t="str">
        <f>IFERROR(__xludf.DUMMYFUNCTION("""COMPUTED_VALUE"""),"Berry")</f>
        <v>Berry</v>
      </c>
      <c r="E740" s="42" t="str">
        <f>IFERROR(__xludf.DUMMYFUNCTION("""COMPUTED_VALUE"""),"DISERAHKAN")</f>
        <v>DISERAHKAN</v>
      </c>
      <c r="F740" s="48" t="str">
        <f>IFERROR(__xludf.DUMMYFUNCTION("""COMPUTED_VALUE"""),"09/12/2024 16.13")</f>
        <v>09/12/2024 16.13</v>
      </c>
      <c r="G740" s="42" t="str">
        <f>IFERROR(__xludf.DUMMYFUNCTION("""COMPUTED_VALUE"""),"BN Waris")</f>
        <v>BN Waris</v>
      </c>
      <c r="H740" s="42">
        <f t="shared" si="1"/>
        <v>386</v>
      </c>
    </row>
    <row r="741" ht="22.5" customHeight="1">
      <c r="B741" s="42" t="str">
        <f>IFERROR(__xludf.DUMMYFUNCTION("""COMPUTED_VALUE"""),"K/27/061224/2")</f>
        <v>K/27/061224/2</v>
      </c>
      <c r="C741" s="42" t="str">
        <f>IFERROR(__xludf.DUMMYFUNCTION("""COMPUTED_VALUE"""),"M. 2829/ Gunung Terang")</f>
        <v>M. 2829/ Gunung Terang</v>
      </c>
      <c r="D741" s="42" t="str">
        <f>IFERROR(__xludf.DUMMYFUNCTION("""COMPUTED_VALUE"""),"Berry")</f>
        <v>Berry</v>
      </c>
      <c r="E741" s="42" t="str">
        <f>IFERROR(__xludf.DUMMYFUNCTION("""COMPUTED_VALUE"""),"DISERAHKAN BT")</f>
        <v>DISERAHKAN BT</v>
      </c>
      <c r="F741" s="48" t="str">
        <f>IFERROR(__xludf.DUMMYFUNCTION("""COMPUTED_VALUE"""),"09/12/2024 16.14")</f>
        <v>09/12/2024 16.14</v>
      </c>
      <c r="G741" s="42" t="str">
        <f>IFERROR(__xludf.DUMMYFUNCTION("""COMPUTED_VALUE"""),"BN Waris")</f>
        <v>BN Waris</v>
      </c>
      <c r="H741" s="42">
        <f t="shared" si="1"/>
        <v>386</v>
      </c>
    </row>
    <row r="742" ht="22.5" customHeight="1">
      <c r="B742" s="42" t="str">
        <f>IFERROR(__xludf.DUMMYFUNCTION("""COMPUTED_VALUE"""),"K/30/061224/1")</f>
        <v>K/30/061224/1</v>
      </c>
      <c r="C742" s="42" t="str">
        <f>IFERROR(__xludf.DUMMYFUNCTION("""COMPUTED_VALUE"""),"M. 1631/ Kuripan")</f>
        <v>M. 1631/ Kuripan</v>
      </c>
      <c r="D742" s="42" t="str">
        <f>IFERROR(__xludf.DUMMYFUNCTION("""COMPUTED_VALUE"""),"Berry")</f>
        <v>Berry</v>
      </c>
      <c r="E742" s="42" t="str">
        <f>IFERROR(__xludf.DUMMYFUNCTION("""COMPUTED_VALUE"""),"DISERAHKAN")</f>
        <v>DISERAHKAN</v>
      </c>
      <c r="F742" s="48" t="str">
        <f>IFERROR(__xludf.DUMMYFUNCTION("""COMPUTED_VALUE"""),"09/12/2024 16.14")</f>
        <v>09/12/2024 16.14</v>
      </c>
      <c r="G742" s="42" t="str">
        <f>IFERROR(__xludf.DUMMYFUNCTION("""COMPUTED_VALUE"""),"ROYA")</f>
        <v>ROYA</v>
      </c>
      <c r="H742" s="42">
        <f t="shared" si="1"/>
        <v>387</v>
      </c>
    </row>
    <row r="743" ht="22.5" customHeight="1">
      <c r="B743" s="42" t="str">
        <f>IFERROR(__xludf.DUMMYFUNCTION("""COMPUTED_VALUE"""),"K/31/061224/1")</f>
        <v>K/31/061224/1</v>
      </c>
      <c r="C743" s="42" t="str">
        <f>IFERROR(__xludf.DUMMYFUNCTION("""COMPUTED_VALUE"""),"M.4740/ SUKADANA HAM")</f>
        <v>M.4740/ SUKADANA HAM</v>
      </c>
      <c r="D743" s="42" t="str">
        <f>IFERROR(__xludf.DUMMYFUNCTION("""COMPUTED_VALUE"""),"David")</f>
        <v>David</v>
      </c>
      <c r="E743" s="42" t="str">
        <f>IFERROR(__xludf.DUMMYFUNCTION("""COMPUTED_VALUE"""),"PROSES")</f>
        <v>PROSES</v>
      </c>
      <c r="F743" s="48" t="str">
        <f>IFERROR(__xludf.DUMMYFUNCTION("""COMPUTED_VALUE"""),"")</f>
        <v/>
      </c>
      <c r="G743" s="42" t="str">
        <f>IFERROR(__xludf.DUMMYFUNCTION("""COMPUTED_VALUE"""),"BN JUAL BELI")</f>
        <v>BN JUAL BELI</v>
      </c>
      <c r="H743" s="42">
        <f t="shared" si="1"/>
        <v>387</v>
      </c>
    </row>
    <row r="744" ht="22.5" customHeight="1">
      <c r="B744" s="42" t="str">
        <f>IFERROR(__xludf.DUMMYFUNCTION("""COMPUTED_VALUE"""),"K/32/061224/2")</f>
        <v>K/32/061224/2</v>
      </c>
      <c r="C744" s="42" t="str">
        <f>IFERROR(__xludf.DUMMYFUNCTION("""COMPUTED_VALUE"""),"M.2474/ PINANG JAYA")</f>
        <v>M.2474/ PINANG JAYA</v>
      </c>
      <c r="D744" s="42" t="str">
        <f>IFERROR(__xludf.DUMMYFUNCTION("""COMPUTED_VALUE"""),"David")</f>
        <v>David</v>
      </c>
      <c r="E744" s="42" t="str">
        <f>IFERROR(__xludf.DUMMYFUNCTION("""COMPUTED_VALUE"""),"DISERAHKAN")</f>
        <v>DISERAHKAN</v>
      </c>
      <c r="F744" s="48" t="str">
        <f>IFERROR(__xludf.DUMMYFUNCTION("""COMPUTED_VALUE"""),"09/12/2024 16.14")</f>
        <v>09/12/2024 16.14</v>
      </c>
      <c r="G744" s="42" t="str">
        <f>IFERROR(__xludf.DUMMYFUNCTION("""COMPUTED_VALUE"""),"BN JUAL BELI")</f>
        <v>BN JUAL BELI</v>
      </c>
      <c r="H744" s="42">
        <f t="shared" si="1"/>
        <v>388</v>
      </c>
    </row>
    <row r="745" ht="22.5" customHeight="1">
      <c r="B745" s="42" t="str">
        <f>IFERROR(__xludf.DUMMYFUNCTION("""COMPUTED_VALUE"""),"K/34/061224/1")</f>
        <v>K/34/061224/1</v>
      </c>
      <c r="C745" s="42" t="str">
        <f>IFERROR(__xludf.DUMMYFUNCTION("""COMPUTED_VALUE"""),"M. 221/ Kampung Baru Raya")</f>
        <v>M. 221/ Kampung Baru Raya</v>
      </c>
      <c r="D745" s="42" t="str">
        <f>IFERROR(__xludf.DUMMYFUNCTION("""COMPUTED_VALUE"""),"David")</f>
        <v>David</v>
      </c>
      <c r="E745" s="42" t="str">
        <f>IFERROR(__xludf.DUMMYFUNCTION("""COMPUTED_VALUE"""),"DISERAHKAN")</f>
        <v>DISERAHKAN</v>
      </c>
      <c r="F745" s="48" t="str">
        <f>IFERROR(__xludf.DUMMYFUNCTION("""COMPUTED_VALUE"""),"10/12/2024 16.24")</f>
        <v>10/12/2024 16.24</v>
      </c>
      <c r="G745" s="42" t="str">
        <f>IFERROR(__xludf.DUMMYFUNCTION("""COMPUTED_VALUE"""),"BN Jual Beli")</f>
        <v>BN Jual Beli</v>
      </c>
      <c r="H745" s="42">
        <f t="shared" si="1"/>
        <v>389</v>
      </c>
    </row>
    <row r="746" ht="22.5" customHeight="1">
      <c r="B746" s="42" t="str">
        <f>IFERROR(__xludf.DUMMYFUNCTION("""COMPUTED_VALUE"""),"K/35/061224/2")</f>
        <v>K/35/061224/2</v>
      </c>
      <c r="C746" s="42" t="str">
        <f>IFERROR(__xludf.DUMMYFUNCTION("""COMPUTED_VALUE"""),"M. 478/ Korpri Raya")</f>
        <v>M. 478/ Korpri Raya</v>
      </c>
      <c r="D746" s="42" t="str">
        <f>IFERROR(__xludf.DUMMYFUNCTION("""COMPUTED_VALUE"""),"David")</f>
        <v>David</v>
      </c>
      <c r="E746" s="42" t="str">
        <f>IFERROR(__xludf.DUMMYFUNCTION("""COMPUTED_VALUE"""),"DISERAHKAN")</f>
        <v>DISERAHKAN</v>
      </c>
      <c r="F746" s="48" t="str">
        <f>IFERROR(__xludf.DUMMYFUNCTION("""COMPUTED_VALUE"""),"09/12/2024 16.15")</f>
        <v>09/12/2024 16.15</v>
      </c>
      <c r="G746" s="42" t="str">
        <f>IFERROR(__xludf.DUMMYFUNCTION("""COMPUTED_VALUE"""),"BN Jual Beli")</f>
        <v>BN Jual Beli</v>
      </c>
      <c r="H746" s="42">
        <f t="shared" si="1"/>
        <v>390</v>
      </c>
    </row>
    <row r="747" ht="22.5" customHeight="1">
      <c r="B747" s="42" t="str">
        <f>IFERROR(__xludf.DUMMYFUNCTION("""COMPUTED_VALUE"""),"L/38/061224/1")</f>
        <v>L/38/061224/1</v>
      </c>
      <c r="C747" s="42" t="str">
        <f>IFERROR(__xludf.DUMMYFUNCTION("""COMPUTED_VALUE"""),"HM 135/SUKARAME BARU")</f>
        <v>HM 135/SUKARAME BARU</v>
      </c>
      <c r="D747" s="42" t="str">
        <f>IFERROR(__xludf.DUMMYFUNCTION("""COMPUTED_VALUE"""),"David")</f>
        <v>David</v>
      </c>
      <c r="E747" s="42" t="str">
        <f>IFERROR(__xludf.DUMMYFUNCTION("""COMPUTED_VALUE"""),"DISERAHKAN")</f>
        <v>DISERAHKAN</v>
      </c>
      <c r="F747" s="48" t="str">
        <f>IFERROR(__xludf.DUMMYFUNCTION("""COMPUTED_VALUE"""),"16/12/2024 16.31")</f>
        <v>16/12/2024 16.31</v>
      </c>
      <c r="G747" s="42" t="str">
        <f>IFERROR(__xludf.DUMMYFUNCTION("""COMPUTED_VALUE"""),"ROYA")</f>
        <v>ROYA</v>
      </c>
      <c r="H747" s="42">
        <f t="shared" si="1"/>
        <v>391</v>
      </c>
    </row>
    <row r="748" ht="22.5" customHeight="1">
      <c r="B748" s="42" t="str">
        <f>IFERROR(__xludf.DUMMYFUNCTION("""COMPUTED_VALUE"""),"K/39/061224/1")</f>
        <v>K/39/061224/1</v>
      </c>
      <c r="C748" s="42" t="str">
        <f>IFERROR(__xludf.DUMMYFUNCTION("""COMPUTED_VALUE"""),"M. 6250/ Way Kandis")</f>
        <v>M. 6250/ Way Kandis</v>
      </c>
      <c r="D748" s="42" t="str">
        <f>IFERROR(__xludf.DUMMYFUNCTION("""COMPUTED_VALUE"""),"David")</f>
        <v>David</v>
      </c>
      <c r="E748" s="42" t="str">
        <f>IFERROR(__xludf.DUMMYFUNCTION("""COMPUTED_VALUE"""),"DISERAHKAN")</f>
        <v>DISERAHKAN</v>
      </c>
      <c r="F748" s="48" t="str">
        <f>IFERROR(__xludf.DUMMYFUNCTION("""COMPUTED_VALUE"""),"09/12/2024 16.16")</f>
        <v>09/12/2024 16.16</v>
      </c>
      <c r="G748" s="42" t="str">
        <f>IFERROR(__xludf.DUMMYFUNCTION("""COMPUTED_VALUE"""),"BN JUAL BELI")</f>
        <v>BN JUAL BELI</v>
      </c>
      <c r="H748" s="42">
        <f t="shared" si="1"/>
        <v>392</v>
      </c>
    </row>
    <row r="749" ht="22.5" customHeight="1">
      <c r="B749" s="42" t="str">
        <f>IFERROR(__xludf.DUMMYFUNCTION("""COMPUTED_VALUE"""),"K/40/061224/2")</f>
        <v>K/40/061224/2</v>
      </c>
      <c r="C749" s="42" t="str">
        <f>IFERROR(__xludf.DUMMYFUNCTION("""COMPUTED_VALUE"""),"M. 6397/ Way Kandis")</f>
        <v>M. 6397/ Way Kandis</v>
      </c>
      <c r="D749" s="42" t="str">
        <f>IFERROR(__xludf.DUMMYFUNCTION("""COMPUTED_VALUE"""),"David")</f>
        <v>David</v>
      </c>
      <c r="E749" s="42" t="str">
        <f>IFERROR(__xludf.DUMMYFUNCTION("""COMPUTED_VALUE"""),"DISERAHKAN")</f>
        <v>DISERAHKAN</v>
      </c>
      <c r="F749" s="48" t="str">
        <f>IFERROR(__xludf.DUMMYFUNCTION("""COMPUTED_VALUE"""),"09/12/2024 16.16")</f>
        <v>09/12/2024 16.16</v>
      </c>
      <c r="G749" s="42" t="str">
        <f>IFERROR(__xludf.DUMMYFUNCTION("""COMPUTED_VALUE"""),"BN JUAL BELI")</f>
        <v>BN JUAL BELI</v>
      </c>
      <c r="H749" s="42">
        <f t="shared" si="1"/>
        <v>393</v>
      </c>
    </row>
    <row r="750" ht="22.5" customHeight="1">
      <c r="B750" s="42" t="str">
        <f>IFERROR(__xludf.DUMMYFUNCTION("""COMPUTED_VALUE"""),"K/44/061224/1")</f>
        <v>K/44/061224/1</v>
      </c>
      <c r="C750" s="42" t="str">
        <f>IFERROR(__xludf.DUMMYFUNCTION("""COMPUTED_VALUE"""),"M. 561/ Korpri Raya")</f>
        <v>M. 561/ Korpri Raya</v>
      </c>
      <c r="D750" s="42" t="str">
        <f>IFERROR(__xludf.DUMMYFUNCTION("""COMPUTED_VALUE"""),"David")</f>
        <v>David</v>
      </c>
      <c r="E750" s="42" t="str">
        <f>IFERROR(__xludf.DUMMYFUNCTION("""COMPUTED_VALUE"""),"DISERAHKAN")</f>
        <v>DISERAHKAN</v>
      </c>
      <c r="F750" s="48" t="str">
        <f>IFERROR(__xludf.DUMMYFUNCTION("""COMPUTED_VALUE"""),"13/12/2024 14.19")</f>
        <v>13/12/2024 14.19</v>
      </c>
      <c r="G750" s="42" t="str">
        <f>IFERROR(__xludf.DUMMYFUNCTION("""COMPUTED_VALUE"""),"BN Jual Beli")</f>
        <v>BN Jual Beli</v>
      </c>
      <c r="H750" s="42">
        <f t="shared" si="1"/>
        <v>394</v>
      </c>
    </row>
    <row r="751" ht="22.5" customHeight="1">
      <c r="B751" s="42" t="str">
        <f>IFERROR(__xludf.DUMMYFUNCTION("""COMPUTED_VALUE"""),"L/45/061224/1")</f>
        <v>L/45/061224/1</v>
      </c>
      <c r="C751" s="42" t="str">
        <f>IFERROR(__xludf.DUMMYFUNCTION("""COMPUTED_VALUE"""),"HGB 840/PWK")</f>
        <v>HGB 840/PWK</v>
      </c>
      <c r="D751" s="42" t="str">
        <f>IFERROR(__xludf.DUMMYFUNCTION("""COMPUTED_VALUE"""),"David")</f>
        <v>David</v>
      </c>
      <c r="E751" s="42" t="str">
        <f>IFERROR(__xludf.DUMMYFUNCTION("""COMPUTED_VALUE"""),"PROSES")</f>
        <v>PROSES</v>
      </c>
      <c r="F751" s="48" t="str">
        <f>IFERROR(__xludf.DUMMYFUNCTION("""COMPUTED_VALUE"""),"")</f>
        <v/>
      </c>
      <c r="G751" s="42" t="str">
        <f>IFERROR(__xludf.DUMMYFUNCTION("""COMPUTED_VALUE"""),"PH")</f>
        <v>PH</v>
      </c>
      <c r="H751" s="42">
        <f t="shared" si="1"/>
        <v>394</v>
      </c>
    </row>
    <row r="752" ht="22.5" customHeight="1">
      <c r="B752" s="42" t="str">
        <f>IFERROR(__xludf.DUMMYFUNCTION("""COMPUTED_VALUE"""),"K/42/061224/4")</f>
        <v>K/42/061224/4</v>
      </c>
      <c r="C752" s="42" t="str">
        <f>IFERROR(__xludf.DUMMYFUNCTION("""COMPUTED_VALUE"""),"M. 3389/ Sukadanaham")</f>
        <v>M. 3389/ Sukadanaham</v>
      </c>
      <c r="D752" s="42"/>
      <c r="E752" s="42"/>
      <c r="F752" s="48" t="str">
        <f>IFERROR(__xludf.DUMMYFUNCTION("""COMPUTED_VALUE"""),"")</f>
        <v/>
      </c>
      <c r="G752" s="42" t="str">
        <f>IFERROR(__xludf.DUMMYFUNCTION("""COMPUTED_VALUE"""),"HAPUS BPHTB")</f>
        <v>HAPUS BPHTB</v>
      </c>
      <c r="H752" s="42">
        <f t="shared" si="1"/>
        <v>394</v>
      </c>
    </row>
    <row r="753" ht="22.5" customHeight="1">
      <c r="B753" s="42" t="str">
        <f>IFERROR(__xludf.DUMMYFUNCTION("""COMPUTED_VALUE"""),"K/43/061224/5")</f>
        <v>K/43/061224/5</v>
      </c>
      <c r="C753" s="42" t="str">
        <f>IFERROR(__xludf.DUMMYFUNCTION("""COMPUTED_VALUE"""),"M. 13925/ Tanjung Baru")</f>
        <v>M. 13925/ Tanjung Baru</v>
      </c>
      <c r="D753" s="42"/>
      <c r="E753" s="42"/>
      <c r="F753" s="48" t="str">
        <f>IFERROR(__xludf.DUMMYFUNCTION("""COMPUTED_VALUE"""),"")</f>
        <v/>
      </c>
      <c r="G753" s="42" t="str">
        <f>IFERROR(__xludf.DUMMYFUNCTION("""COMPUTED_VALUE"""),"HAPUS BPHTB")</f>
        <v>HAPUS BPHTB</v>
      </c>
      <c r="H753" s="42">
        <f t="shared" si="1"/>
        <v>394</v>
      </c>
    </row>
    <row r="754" ht="22.5" customHeight="1">
      <c r="B754" s="42" t="str">
        <f>IFERROR(__xludf.DUMMYFUNCTION("""COMPUTED_VALUE"""),"K/46/061224/1")</f>
        <v>K/46/061224/1</v>
      </c>
      <c r="C754" s="42" t="str">
        <f>IFERROR(__xludf.DUMMYFUNCTION("""COMPUTED_VALUE"""),"M.692/KANGKUNG")</f>
        <v>M.692/KANGKUNG</v>
      </c>
      <c r="D754" s="42"/>
      <c r="E754" s="42"/>
      <c r="F754" s="48" t="str">
        <f>IFERROR(__xludf.DUMMYFUNCTION("""COMPUTED_VALUE"""),"")</f>
        <v/>
      </c>
      <c r="G754" s="42" t="str">
        <f>IFERROR(__xludf.DUMMYFUNCTION("""COMPUTED_VALUE"""),"SKPT LELANG")</f>
        <v>SKPT LELANG</v>
      </c>
      <c r="H754" s="42">
        <f t="shared" si="1"/>
        <v>394</v>
      </c>
    </row>
    <row r="755" ht="22.5" customHeight="1">
      <c r="B755" s="42" t="str">
        <f>IFERROR(__xludf.DUMMYFUNCTION("""COMPUTED_VALUE"""),"K/47/061224/1")</f>
        <v>K/47/061224/1</v>
      </c>
      <c r="C755" s="42" t="str">
        <f>IFERROR(__xludf.DUMMYFUNCTION("""COMPUTED_VALUE"""),"M. 2323/ SUKARAME II")</f>
        <v>M. 2323/ SUKARAME II</v>
      </c>
      <c r="D755" s="42"/>
      <c r="E755" s="42"/>
      <c r="F755" s="48" t="str">
        <f>IFERROR(__xludf.DUMMYFUNCTION("""COMPUTED_VALUE"""),"")</f>
        <v/>
      </c>
      <c r="G755" s="42" t="str">
        <f>IFERROR(__xludf.DUMMYFUNCTION("""COMPUTED_VALUE"""),"PENGECEKKAN")</f>
        <v>PENGECEKKAN</v>
      </c>
      <c r="H755" s="42">
        <f t="shared" si="1"/>
        <v>394</v>
      </c>
    </row>
    <row r="756" ht="22.5" customHeight="1">
      <c r="B756" s="42" t="str">
        <f>IFERROR(__xludf.DUMMYFUNCTION("""COMPUTED_VALUE"""),"K/48/061224/1")</f>
        <v>K/48/061224/1</v>
      </c>
      <c r="C756" s="42" t="str">
        <f>IFERROR(__xludf.DUMMYFUNCTION("""COMPUTED_VALUE"""),"B. 637/ Kemiling Permai")</f>
        <v>B. 637/ Kemiling Permai</v>
      </c>
      <c r="D756" s="42" t="str">
        <f>IFERROR(__xludf.DUMMYFUNCTION("""COMPUTED_VALUE"""),"David")</f>
        <v>David</v>
      </c>
      <c r="E756" s="42" t="str">
        <f>IFERROR(__xludf.DUMMYFUNCTION("""COMPUTED_VALUE"""),"DISERAHKAN")</f>
        <v>DISERAHKAN</v>
      </c>
      <c r="F756" s="48" t="str">
        <f>IFERROR(__xludf.DUMMYFUNCTION("""COMPUTED_VALUE"""),"09/12/2024 16.16")</f>
        <v>09/12/2024 16.16</v>
      </c>
      <c r="G756" s="42" t="str">
        <f>IFERROR(__xludf.DUMMYFUNCTION("""COMPUTED_VALUE"""),"BN Jual Beli")</f>
        <v>BN Jual Beli</v>
      </c>
      <c r="H756" s="42">
        <f t="shared" si="1"/>
        <v>395</v>
      </c>
    </row>
    <row r="757" ht="22.5" customHeight="1">
      <c r="B757" s="42" t="str">
        <f>IFERROR(__xludf.DUMMYFUNCTION("""COMPUTED_VALUE"""),"K/49/061224/2")</f>
        <v>K/49/061224/2</v>
      </c>
      <c r="C757" s="42" t="str">
        <f>IFERROR(__xludf.DUMMYFUNCTION("""COMPUTED_VALUE"""),"B. 1216/ Kemiling Permai")</f>
        <v>B. 1216/ Kemiling Permai</v>
      </c>
      <c r="D757" s="42" t="str">
        <f>IFERROR(__xludf.DUMMYFUNCTION("""COMPUTED_VALUE"""),"David")</f>
        <v>David</v>
      </c>
      <c r="E757" s="42" t="str">
        <f>IFERROR(__xludf.DUMMYFUNCTION("""COMPUTED_VALUE"""),"PROSES")</f>
        <v>PROSES</v>
      </c>
      <c r="F757" s="48" t="str">
        <f>IFERROR(__xludf.DUMMYFUNCTION("""COMPUTED_VALUE"""),"")</f>
        <v/>
      </c>
      <c r="G757" s="42" t="str">
        <f>IFERROR(__xludf.DUMMYFUNCTION("""COMPUTED_VALUE"""),"BN Jual Beli")</f>
        <v>BN Jual Beli</v>
      </c>
      <c r="H757" s="42">
        <f t="shared" si="1"/>
        <v>395</v>
      </c>
    </row>
    <row r="758" ht="22.5" customHeight="1">
      <c r="B758" s="42" t="str">
        <f>IFERROR(__xludf.DUMMYFUNCTION("""COMPUTED_VALUE"""),"L/1/071224/1")</f>
        <v>L/1/071224/1</v>
      </c>
      <c r="C758" s="42" t="str">
        <f>IFERROR(__xludf.DUMMYFUNCTION("""COMPUTED_VALUE"""),"HGB 5174/BERINGIN RAYA")</f>
        <v>HGB 5174/BERINGIN RAYA</v>
      </c>
      <c r="D758" s="42" t="str">
        <f>IFERROR(__xludf.DUMMYFUNCTION("""COMPUTED_VALUE"""),"David")</f>
        <v>David</v>
      </c>
      <c r="E758" s="42" t="str">
        <f>IFERROR(__xludf.DUMMYFUNCTION("""COMPUTED_VALUE"""),"PROSES")</f>
        <v>PROSES</v>
      </c>
      <c r="F758" s="48" t="str">
        <f>IFERROR(__xludf.DUMMYFUNCTION("""COMPUTED_VALUE"""),"")</f>
        <v/>
      </c>
      <c r="G758" s="42" t="str">
        <f>IFERROR(__xludf.DUMMYFUNCTION("""COMPUTED_VALUE"""),"PH")</f>
        <v>PH</v>
      </c>
      <c r="H758" s="42">
        <f t="shared" si="1"/>
        <v>395</v>
      </c>
    </row>
    <row r="759" ht="22.5" customHeight="1">
      <c r="B759" s="42" t="str">
        <f>IFERROR(__xludf.DUMMYFUNCTION("""COMPUTED_VALUE"""),"L/2/071224/1")</f>
        <v>L/2/071224/1</v>
      </c>
      <c r="C759" s="42" t="str">
        <f>IFERROR(__xludf.DUMMYFUNCTION("""COMPUTED_VALUE"""),"HM 10313/SUKABUMI")</f>
        <v>HM 10313/SUKABUMI</v>
      </c>
      <c r="D759" s="42"/>
      <c r="E759" s="42"/>
      <c r="F759" s="48" t="str">
        <f>IFERROR(__xludf.DUMMYFUNCTION("""COMPUTED_VALUE"""),"")</f>
        <v/>
      </c>
      <c r="G759" s="42" t="str">
        <f>IFERROR(__xludf.DUMMYFUNCTION("""COMPUTED_VALUE"""),"PTPGT")</f>
        <v>PTPGT</v>
      </c>
      <c r="H759" s="42">
        <f t="shared" si="1"/>
        <v>395</v>
      </c>
    </row>
    <row r="760" ht="22.5" customHeight="1">
      <c r="B760" s="42" t="str">
        <f>IFERROR(__xludf.DUMMYFUNCTION("""COMPUTED_VALUE"""),"K/3/091224/1")</f>
        <v>K/3/091224/1</v>
      </c>
      <c r="C760" s="42" t="str">
        <f>IFERROR(__xludf.DUMMYFUNCTION("""COMPUTED_VALUE"""),"M.19454/SUKARAME")</f>
        <v>M.19454/SUKARAME</v>
      </c>
      <c r="D760" s="42" t="str">
        <f>IFERROR(__xludf.DUMMYFUNCTION("""COMPUTED_VALUE"""),"David")</f>
        <v>David</v>
      </c>
      <c r="E760" s="42" t="str">
        <f>IFERROR(__xludf.DUMMYFUNCTION("""COMPUTED_VALUE"""),"DISERAHKAN")</f>
        <v>DISERAHKAN</v>
      </c>
      <c r="F760" s="48" t="str">
        <f>IFERROR(__xludf.DUMMYFUNCTION("""COMPUTED_VALUE"""),"09/12/2024 16.17")</f>
        <v>09/12/2024 16.17</v>
      </c>
      <c r="G760" s="42" t="str">
        <f>IFERROR(__xludf.DUMMYFUNCTION("""COMPUTED_VALUE"""),"KEWARISAN")</f>
        <v>KEWARISAN</v>
      </c>
      <c r="H760" s="42">
        <f t="shared" si="1"/>
        <v>396</v>
      </c>
    </row>
    <row r="761" ht="22.5" customHeight="1">
      <c r="B761" s="42" t="str">
        <f>IFERROR(__xludf.DUMMYFUNCTION("""COMPUTED_VALUE"""),"L/4/091224/1")</f>
        <v>L/4/091224/1</v>
      </c>
      <c r="C761" s="42" t="str">
        <f>IFERROR(__xludf.DUMMYFUNCTION("""COMPUTED_VALUE"""),"HM 1117/SUKARAME II")</f>
        <v>HM 1117/SUKARAME II</v>
      </c>
      <c r="D761" s="42" t="str">
        <f>IFERROR(__xludf.DUMMYFUNCTION("""COMPUTED_VALUE"""),"David")</f>
        <v>David</v>
      </c>
      <c r="E761" s="42" t="str">
        <f>IFERROR(__xludf.DUMMYFUNCTION("""COMPUTED_VALUE"""),"PROSES")</f>
        <v>PROSES</v>
      </c>
      <c r="F761" s="48" t="str">
        <f>IFERROR(__xludf.DUMMYFUNCTION("""COMPUTED_VALUE"""),"")</f>
        <v/>
      </c>
      <c r="G761" s="42" t="str">
        <f>IFERROR(__xludf.DUMMYFUNCTION("""COMPUTED_VALUE"""),"PENATAAN BATAS")</f>
        <v>PENATAAN BATAS</v>
      </c>
      <c r="H761" s="42">
        <f t="shared" si="1"/>
        <v>396</v>
      </c>
    </row>
    <row r="762" ht="22.5" customHeight="1">
      <c r="B762" s="42" t="str">
        <f>IFERROR(__xludf.DUMMYFUNCTION("""COMPUTED_VALUE"""),"K/5/091224/1")</f>
        <v>K/5/091224/1</v>
      </c>
      <c r="C762" s="42" t="str">
        <f>IFERROR(__xludf.DUMMYFUNCTION("""COMPUTED_VALUE"""),"M. 5161/ Rajabasa Jaya")</f>
        <v>M. 5161/ Rajabasa Jaya</v>
      </c>
      <c r="D762" s="42" t="str">
        <f>IFERROR(__xludf.DUMMYFUNCTION("""COMPUTED_VALUE"""),"David")</f>
        <v>David</v>
      </c>
      <c r="E762" s="42" t="str">
        <f>IFERROR(__xludf.DUMMYFUNCTION("""COMPUTED_VALUE"""),"PROSES")</f>
        <v>PROSES</v>
      </c>
      <c r="F762" s="48" t="str">
        <f>IFERROR(__xludf.DUMMYFUNCTION("""COMPUTED_VALUE"""),"")</f>
        <v/>
      </c>
      <c r="G762" s="42" t="str">
        <f>IFERROR(__xludf.DUMMYFUNCTION("""COMPUTED_VALUE"""),"BN Waris")</f>
        <v>BN Waris</v>
      </c>
      <c r="H762" s="42">
        <f t="shared" si="1"/>
        <v>396</v>
      </c>
    </row>
    <row r="763" ht="22.5" customHeight="1">
      <c r="B763" s="42" t="str">
        <f>IFERROR(__xludf.DUMMYFUNCTION("""COMPUTED_VALUE"""),"K/8/091224/1")</f>
        <v>K/8/091224/1</v>
      </c>
      <c r="C763" s="42" t="str">
        <f>IFERROR(__xludf.DUMMYFUNCTION("""COMPUTED_VALUE"""),"B. 917/ Beringin Jaya")</f>
        <v>B. 917/ Beringin Jaya</v>
      </c>
      <c r="D763" s="42" t="str">
        <f>IFERROR(__xludf.DUMMYFUNCTION("""COMPUTED_VALUE"""),"David")</f>
        <v>David</v>
      </c>
      <c r="E763" s="42" t="str">
        <f>IFERROR(__xludf.DUMMYFUNCTION("""COMPUTED_VALUE"""),"DISERAHKAN")</f>
        <v>DISERAHKAN</v>
      </c>
      <c r="F763" s="48" t="str">
        <f>IFERROR(__xludf.DUMMYFUNCTION("""COMPUTED_VALUE"""),"09/12/2024 16.18")</f>
        <v>09/12/2024 16.18</v>
      </c>
      <c r="G763" s="42" t="str">
        <f>IFERROR(__xludf.DUMMYFUNCTION("""COMPUTED_VALUE"""),"BN JUAL BELI")</f>
        <v>BN JUAL BELI</v>
      </c>
      <c r="H763" s="42">
        <f t="shared" si="1"/>
        <v>397</v>
      </c>
    </row>
    <row r="764" ht="22.5" customHeight="1">
      <c r="B764" s="42" t="str">
        <f>IFERROR(__xludf.DUMMYFUNCTION("""COMPUTED_VALUE"""),"L/10/091224/1")</f>
        <v>L/10/091224/1</v>
      </c>
      <c r="C764" s="42" t="str">
        <f>IFERROR(__xludf.DUMMYFUNCTION("""COMPUTED_VALUE"""),"HM 1146/GEDONG AIR")</f>
        <v>HM 1146/GEDONG AIR</v>
      </c>
      <c r="D764" s="42" t="str">
        <f>IFERROR(__xludf.DUMMYFUNCTION("""COMPUTED_VALUE"""),"Berry")</f>
        <v>Berry</v>
      </c>
      <c r="E764" s="42" t="str">
        <f>IFERROR(__xludf.DUMMYFUNCTION("""COMPUTED_VALUE"""),"DISERAHKAN")</f>
        <v>DISERAHKAN</v>
      </c>
      <c r="F764" s="48" t="str">
        <f>IFERROR(__xludf.DUMMYFUNCTION("""COMPUTED_VALUE"""),"10/12/2024 16.18")</f>
        <v>10/12/2024 16.18</v>
      </c>
      <c r="G764" s="42" t="str">
        <f>IFERROR(__xludf.DUMMYFUNCTION("""COMPUTED_VALUE"""),"BN WARIS")</f>
        <v>BN WARIS</v>
      </c>
      <c r="H764" s="42">
        <f t="shared" si="1"/>
        <v>398</v>
      </c>
    </row>
    <row r="765" ht="22.5" customHeight="1">
      <c r="B765" s="42" t="str">
        <f>IFERROR(__xludf.DUMMYFUNCTION("""COMPUTED_VALUE"""),"L/12/091224/1")</f>
        <v>L/12/091224/1</v>
      </c>
      <c r="C765" s="42" t="str">
        <f>IFERROR(__xludf.DUMMYFUNCTION("""COMPUTED_VALUE"""),"HM 1146/GEDONG AIR")</f>
        <v>HM 1146/GEDONG AIR</v>
      </c>
      <c r="D765" s="42"/>
      <c r="E765" s="42"/>
      <c r="F765" s="48" t="str">
        <f>IFERROR(__xludf.DUMMYFUNCTION("""COMPUTED_VALUE"""),"")</f>
        <v/>
      </c>
      <c r="G765" s="42" t="str">
        <f>IFERROR(__xludf.DUMMYFUNCTION("""COMPUTED_VALUE"""),"BN WARIS")</f>
        <v>BN WARIS</v>
      </c>
      <c r="H765" s="42">
        <f t="shared" si="1"/>
        <v>398</v>
      </c>
    </row>
    <row r="766" ht="22.5" customHeight="1">
      <c r="B766" s="42" t="str">
        <f>IFERROR(__xludf.DUMMYFUNCTION("""COMPUTED_VALUE"""),"K/16/091224/4")</f>
        <v>K/16/091224/4</v>
      </c>
      <c r="C766" s="42" t="str">
        <f>IFERROR(__xludf.DUMMYFUNCTION("""COMPUTED_VALUE"""),"M. 1057/ PWH")</f>
        <v>M. 1057/ PWH</v>
      </c>
      <c r="D766" s="42" t="str">
        <f>IFERROR(__xludf.DUMMYFUNCTION("""COMPUTED_VALUE"""),"Berry")</f>
        <v>Berry</v>
      </c>
      <c r="E766" s="42" t="str">
        <f>IFERROR(__xludf.DUMMYFUNCTION("""COMPUTED_VALUE"""),"DISERAHKAN")</f>
        <v>DISERAHKAN</v>
      </c>
      <c r="F766" s="48" t="str">
        <f>IFERROR(__xludf.DUMMYFUNCTION("""COMPUTED_VALUE"""),"10/12/2024 16.19")</f>
        <v>10/12/2024 16.19</v>
      </c>
      <c r="G766" s="42" t="str">
        <f>IFERROR(__xludf.DUMMYFUNCTION("""COMPUTED_VALUE"""),"Roya")</f>
        <v>Roya</v>
      </c>
      <c r="H766" s="42">
        <f t="shared" si="1"/>
        <v>399</v>
      </c>
    </row>
    <row r="767" ht="22.5" customHeight="1">
      <c r="B767" s="42" t="str">
        <f>IFERROR(__xludf.DUMMYFUNCTION("""COMPUTED_VALUE"""),"L/17/091224/1")</f>
        <v>L/17/091224/1</v>
      </c>
      <c r="C767" s="42" t="str">
        <f>IFERROR(__xludf.DUMMYFUNCTION("""COMPUTED_VALUE"""),"HM 926/SS")</f>
        <v>HM 926/SS</v>
      </c>
      <c r="D767" s="42" t="str">
        <f>IFERROR(__xludf.DUMMYFUNCTION("""COMPUTED_VALUE"""),"Berry")</f>
        <v>Berry</v>
      </c>
      <c r="E767" s="42" t="str">
        <f>IFERROR(__xludf.DUMMYFUNCTION("""COMPUTED_VALUE"""),"PROSES")</f>
        <v>PROSES</v>
      </c>
      <c r="F767" s="48" t="str">
        <f>IFERROR(__xludf.DUMMYFUNCTION("""COMPUTED_VALUE"""),"")</f>
        <v/>
      </c>
      <c r="G767" s="42" t="str">
        <f>IFERROR(__xludf.DUMMYFUNCTION("""COMPUTED_VALUE"""),"PENATAAN BATAS")</f>
        <v>PENATAAN BATAS</v>
      </c>
      <c r="H767" s="42">
        <f t="shared" si="1"/>
        <v>399</v>
      </c>
    </row>
    <row r="768" ht="22.5" customHeight="1">
      <c r="B768" s="42" t="str">
        <f>IFERROR(__xludf.DUMMYFUNCTION("""COMPUTED_VALUE"""),"K/15/091224/3")</f>
        <v>K/15/091224/3</v>
      </c>
      <c r="C768" s="42" t="str">
        <f>IFERROR(__xludf.DUMMYFUNCTION("""COMPUTED_VALUE"""),"M. 968/ PWH")</f>
        <v>M. 968/ PWH</v>
      </c>
      <c r="D768" s="42" t="str">
        <f>IFERROR(__xludf.DUMMYFUNCTION("""COMPUTED_VALUE"""),"Berry")</f>
        <v>Berry</v>
      </c>
      <c r="E768" s="42" t="str">
        <f>IFERROR(__xludf.DUMMYFUNCTION("""COMPUTED_VALUE"""),"DISERAHKAN")</f>
        <v>DISERAHKAN</v>
      </c>
      <c r="F768" s="48" t="str">
        <f>IFERROR(__xludf.DUMMYFUNCTION("""COMPUTED_VALUE"""),"10/12/2024 16.19")</f>
        <v>10/12/2024 16.19</v>
      </c>
      <c r="G768" s="42" t="str">
        <f>IFERROR(__xludf.DUMMYFUNCTION("""COMPUTED_VALUE"""),"Roya")</f>
        <v>Roya</v>
      </c>
      <c r="H768" s="42">
        <f t="shared" si="1"/>
        <v>400</v>
      </c>
    </row>
    <row r="769" ht="22.5" customHeight="1">
      <c r="B769" s="42" t="str">
        <f>IFERROR(__xludf.DUMMYFUNCTION("""COMPUTED_VALUE"""),"K/14/091224/2")</f>
        <v>K/14/091224/2</v>
      </c>
      <c r="C769" s="42" t="str">
        <f>IFERROR(__xludf.DUMMYFUNCTION("""COMPUTED_VALUE"""),"M. 839/ PWH")</f>
        <v>M. 839/ PWH</v>
      </c>
      <c r="D769" s="42" t="str">
        <f>IFERROR(__xludf.DUMMYFUNCTION("""COMPUTED_VALUE"""),"Berry")</f>
        <v>Berry</v>
      </c>
      <c r="E769" s="42" t="str">
        <f>IFERROR(__xludf.DUMMYFUNCTION("""COMPUTED_VALUE"""),"DISERAHKAN")</f>
        <v>DISERAHKAN</v>
      </c>
      <c r="F769" s="48" t="str">
        <f>IFERROR(__xludf.DUMMYFUNCTION("""COMPUTED_VALUE"""),"10/12/2024 16.19")</f>
        <v>10/12/2024 16.19</v>
      </c>
      <c r="G769" s="42" t="str">
        <f>IFERROR(__xludf.DUMMYFUNCTION("""COMPUTED_VALUE"""),"Roya")</f>
        <v>Roya</v>
      </c>
      <c r="H769" s="42">
        <f t="shared" si="1"/>
        <v>401</v>
      </c>
    </row>
    <row r="770" ht="22.5" customHeight="1">
      <c r="B770" s="42" t="str">
        <f>IFERROR(__xludf.DUMMYFUNCTION("""COMPUTED_VALUE"""),"K/20/091224/1")</f>
        <v>K/20/091224/1</v>
      </c>
      <c r="C770" s="42" t="str">
        <f>IFERROR(__xludf.DUMMYFUNCTION("""COMPUTED_VALUE"""),"M.9464/LABUHAN RATU")</f>
        <v>M.9464/LABUHAN RATU</v>
      </c>
      <c r="D770" s="42"/>
      <c r="E770" s="42"/>
      <c r="F770" s="48" t="str">
        <f>IFERROR(__xludf.DUMMYFUNCTION("""COMPUTED_VALUE"""),"")</f>
        <v/>
      </c>
      <c r="G770" s="42" t="str">
        <f>IFERROR(__xludf.DUMMYFUNCTION("""COMPUTED_VALUE"""),"SKPT LELANG")</f>
        <v>SKPT LELANG</v>
      </c>
      <c r="H770" s="42">
        <f t="shared" si="1"/>
        <v>401</v>
      </c>
    </row>
    <row r="771" ht="22.5" customHeight="1">
      <c r="B771" s="42" t="str">
        <f>IFERROR(__xludf.DUMMYFUNCTION("""COMPUTED_VALUE"""),"K/21/091224/2")</f>
        <v>K/21/091224/2</v>
      </c>
      <c r="C771" s="42" t="str">
        <f>IFERROR(__xludf.DUMMYFUNCTION("""COMPUTED_VALUE"""),"M.14764/SUKABUMI")</f>
        <v>M.14764/SUKABUMI</v>
      </c>
      <c r="D771" s="42"/>
      <c r="E771" s="42"/>
      <c r="F771" s="48" t="str">
        <f>IFERROR(__xludf.DUMMYFUNCTION("""COMPUTED_VALUE"""),"")</f>
        <v/>
      </c>
      <c r="G771" s="42" t="str">
        <f>IFERROR(__xludf.DUMMYFUNCTION("""COMPUTED_VALUE"""),"SKPT LELANG")</f>
        <v>SKPT LELANG</v>
      </c>
      <c r="H771" s="42">
        <f t="shared" si="1"/>
        <v>401</v>
      </c>
    </row>
    <row r="772" ht="22.5" customHeight="1">
      <c r="B772" s="42" t="str">
        <f>IFERROR(__xludf.DUMMYFUNCTION("""COMPUTED_VALUE"""),"K/22/091224/1")</f>
        <v>K/22/091224/1</v>
      </c>
      <c r="C772" s="42" t="str">
        <f>IFERROR(__xludf.DUMMYFUNCTION("""COMPUTED_VALUE"""),"M. 5877/ Labuhan ratu")</f>
        <v>M. 5877/ Labuhan ratu</v>
      </c>
      <c r="D772" s="42" t="str">
        <f>IFERROR(__xludf.DUMMYFUNCTION("""COMPUTED_VALUE"""),"Berry")</f>
        <v>Berry</v>
      </c>
      <c r="E772" s="42" t="str">
        <f>IFERROR(__xludf.DUMMYFUNCTION("""COMPUTED_VALUE"""),"DISERAHKAN BT")</f>
        <v>DISERAHKAN BT</v>
      </c>
      <c r="F772" s="48" t="str">
        <f>IFERROR(__xludf.DUMMYFUNCTION("""COMPUTED_VALUE"""),"10/12/2024 16.20")</f>
        <v>10/12/2024 16.20</v>
      </c>
      <c r="G772" s="42" t="str">
        <f>IFERROR(__xludf.DUMMYFUNCTION("""COMPUTED_VALUE"""),"BN JUAL BELI")</f>
        <v>BN JUAL BELI</v>
      </c>
      <c r="H772" s="42">
        <f t="shared" si="1"/>
        <v>401</v>
      </c>
    </row>
    <row r="773" ht="22.5" customHeight="1">
      <c r="B773" s="42" t="str">
        <f>IFERROR(__xludf.DUMMYFUNCTION("""COMPUTED_VALUE"""),"L/23/091224/1")</f>
        <v>L/23/091224/1</v>
      </c>
      <c r="C773" s="42" t="str">
        <f>IFERROR(__xludf.DUMMYFUNCTION("""COMPUTED_VALUE"""),"HM 14213/RAJABASA")</f>
        <v>HM 14213/RAJABASA</v>
      </c>
      <c r="D773" s="42" t="str">
        <f>IFERROR(__xludf.DUMMYFUNCTION("""COMPUTED_VALUE"""),"Berry")</f>
        <v>Berry</v>
      </c>
      <c r="E773" s="42" t="str">
        <f>IFERROR(__xludf.DUMMYFUNCTION("""COMPUTED_VALUE"""),"PROSES")</f>
        <v>PROSES</v>
      </c>
      <c r="F773" s="48" t="str">
        <f>IFERROR(__xludf.DUMMYFUNCTION("""COMPUTED_VALUE"""),"")</f>
        <v/>
      </c>
      <c r="G773" s="42" t="str">
        <f>IFERROR(__xludf.DUMMYFUNCTION("""COMPUTED_VALUE"""),"BN LELANG")</f>
        <v>BN LELANG</v>
      </c>
      <c r="H773" s="42">
        <f t="shared" si="1"/>
        <v>401</v>
      </c>
    </row>
    <row r="774" ht="22.5" customHeight="1">
      <c r="B774" s="42" t="str">
        <f>IFERROR(__xludf.DUMMYFUNCTION("""COMPUTED_VALUE"""),"L/24/091224/1")</f>
        <v>L/24/091224/1</v>
      </c>
      <c r="C774" s="42" t="str">
        <f>IFERROR(__xludf.DUMMYFUNCTION("""COMPUTED_VALUE"""),"HGB 1739/SUKARAME")</f>
        <v>HGB 1739/SUKARAME</v>
      </c>
      <c r="D774" s="42" t="str">
        <f>IFERROR(__xludf.DUMMYFUNCTION("""COMPUTED_VALUE"""),"Berry")</f>
        <v>Berry</v>
      </c>
      <c r="E774" s="42" t="str">
        <f>IFERROR(__xludf.DUMMYFUNCTION("""COMPUTED_VALUE"""),"DISERAHKAN")</f>
        <v>DISERAHKAN</v>
      </c>
      <c r="F774" s="48" t="str">
        <f>IFERROR(__xludf.DUMMYFUNCTION("""COMPUTED_VALUE"""),"10/12/2024 16.20")</f>
        <v>10/12/2024 16.20</v>
      </c>
      <c r="G774" s="42" t="str">
        <f>IFERROR(__xludf.DUMMYFUNCTION("""COMPUTED_VALUE"""),"PH")</f>
        <v>PH</v>
      </c>
      <c r="H774" s="42">
        <f t="shared" si="1"/>
        <v>402</v>
      </c>
    </row>
    <row r="775" ht="22.5" customHeight="1">
      <c r="B775" s="42" t="str">
        <f>IFERROR(__xludf.DUMMYFUNCTION("""COMPUTED_VALUE"""),"L/25/091224/1")</f>
        <v>L/25/091224/1</v>
      </c>
      <c r="C775" s="42" t="str">
        <f>IFERROR(__xludf.DUMMYFUNCTION("""COMPUTED_VALUE"""),"NIB 13436/PALAPA")</f>
        <v>NIB 13436/PALAPA</v>
      </c>
      <c r="D775" s="42"/>
      <c r="E775" s="42"/>
      <c r="F775" s="48" t="str">
        <f>IFERROR(__xludf.DUMMYFUNCTION("""COMPUTED_VALUE"""),"")</f>
        <v/>
      </c>
      <c r="G775" s="42" t="str">
        <f>IFERROR(__xludf.DUMMYFUNCTION("""COMPUTED_VALUE"""),"BN LELANG")</f>
        <v>BN LELANG</v>
      </c>
      <c r="H775" s="42">
        <f t="shared" si="1"/>
        <v>402</v>
      </c>
    </row>
    <row r="776" ht="22.5" customHeight="1">
      <c r="B776" s="42" t="str">
        <f>IFERROR(__xludf.DUMMYFUNCTION("""COMPUTED_VALUE"""),"L/26/091224/2")</f>
        <v>L/26/091224/2</v>
      </c>
      <c r="C776" s="42" t="str">
        <f>IFERROR(__xludf.DUMMYFUNCTION("""COMPUTED_VALUE"""),"NIB 13019/PALAPA")</f>
        <v>NIB 13019/PALAPA</v>
      </c>
      <c r="D776" s="42"/>
      <c r="E776" s="42"/>
      <c r="F776" s="48" t="str">
        <f>IFERROR(__xludf.DUMMYFUNCTION("""COMPUTED_VALUE"""),"")</f>
        <v/>
      </c>
      <c r="G776" s="42" t="str">
        <f>IFERROR(__xludf.DUMMYFUNCTION("""COMPUTED_VALUE"""),"BN LELANG")</f>
        <v>BN LELANG</v>
      </c>
      <c r="H776" s="42">
        <f t="shared" si="1"/>
        <v>402</v>
      </c>
    </row>
    <row r="777" ht="22.5" customHeight="1">
      <c r="B777" s="42" t="str">
        <f>IFERROR(__xludf.DUMMYFUNCTION("""COMPUTED_VALUE"""),"L/27/091224/1")</f>
        <v>L/27/091224/1</v>
      </c>
      <c r="C777" s="42" t="str">
        <f>IFERROR(__xludf.DUMMYFUNCTION("""COMPUTED_VALUE"""),"HM 1433/SUKARAME BARU")</f>
        <v>HM 1433/SUKARAME BARU</v>
      </c>
      <c r="D777" s="42" t="str">
        <f>IFERROR(__xludf.DUMMYFUNCTION("""COMPUTED_VALUE"""),"David")</f>
        <v>David</v>
      </c>
      <c r="E777" s="42" t="str">
        <f>IFERROR(__xludf.DUMMYFUNCTION("""COMPUTED_VALUE"""),"DISERAHKAN")</f>
        <v>DISERAHKAN</v>
      </c>
      <c r="F777" s="48">
        <f>IFERROR(__xludf.DUMMYFUNCTION("""COMPUTED_VALUE"""),45695.561638032406)</f>
        <v>45695.56164</v>
      </c>
      <c r="G777" s="42" t="str">
        <f>IFERROR(__xludf.DUMMYFUNCTION("""COMPUTED_VALUE"""),"ROYA")</f>
        <v>ROYA</v>
      </c>
      <c r="H777" s="42">
        <f t="shared" si="1"/>
        <v>403</v>
      </c>
    </row>
    <row r="778" ht="22.5" customHeight="1">
      <c r="B778" s="42" t="str">
        <f>IFERROR(__xludf.DUMMYFUNCTION("""COMPUTED_VALUE"""),"K/28/091224/1")</f>
        <v>K/28/091224/1</v>
      </c>
      <c r="C778" s="42" t="str">
        <f>IFERROR(__xludf.DUMMYFUNCTION("""COMPUTED_VALUE"""),"M. 1262/ Langkapura Baru")</f>
        <v>M. 1262/ Langkapura Baru</v>
      </c>
      <c r="D778" s="42" t="str">
        <f>IFERROR(__xludf.DUMMYFUNCTION("""COMPUTED_VALUE"""),"David")</f>
        <v>David</v>
      </c>
      <c r="E778" s="42" t="str">
        <f>IFERROR(__xludf.DUMMYFUNCTION("""COMPUTED_VALUE"""),"PROSES")</f>
        <v>PROSES</v>
      </c>
      <c r="F778" s="48" t="str">
        <f>IFERROR(__xludf.DUMMYFUNCTION("""COMPUTED_VALUE"""),"")</f>
        <v/>
      </c>
      <c r="G778" s="42" t="str">
        <f>IFERROR(__xludf.DUMMYFUNCTION("""COMPUTED_VALUE"""),"BN HIBAH")</f>
        <v>BN HIBAH</v>
      </c>
      <c r="H778" s="42">
        <f t="shared" si="1"/>
        <v>403</v>
      </c>
    </row>
    <row r="779" ht="22.5" customHeight="1">
      <c r="B779" s="42" t="str">
        <f>IFERROR(__xludf.DUMMYFUNCTION("""COMPUTED_VALUE"""),"L/30/091224/1")</f>
        <v>L/30/091224/1</v>
      </c>
      <c r="C779" s="42" t="str">
        <f>IFERROR(__xludf.DUMMYFUNCTION("""COMPUTED_VALUE"""),"HM 11152/JAGABAYA II")</f>
        <v>HM 11152/JAGABAYA II</v>
      </c>
      <c r="D779" s="42" t="str">
        <f>IFERROR(__xludf.DUMMYFUNCTION("""COMPUTED_VALUE"""),"David")</f>
        <v>David</v>
      </c>
      <c r="E779" s="42" t="str">
        <f>IFERROR(__xludf.DUMMYFUNCTION("""COMPUTED_VALUE"""),"PROSES")</f>
        <v>PROSES</v>
      </c>
      <c r="F779" s="48" t="str">
        <f>IFERROR(__xludf.DUMMYFUNCTION("""COMPUTED_VALUE"""),"")</f>
        <v/>
      </c>
      <c r="G779" s="42" t="str">
        <f>IFERROR(__xludf.DUMMYFUNCTION("""COMPUTED_VALUE"""),"ROYA WARIS")</f>
        <v>ROYA WARIS</v>
      </c>
      <c r="H779" s="42">
        <f t="shared" si="1"/>
        <v>403</v>
      </c>
    </row>
    <row r="780" ht="22.5" customHeight="1">
      <c r="B780" s="42" t="str">
        <f>IFERROR(__xludf.DUMMYFUNCTION("""COMPUTED_VALUE"""),"K/31/091224/1")</f>
        <v>K/31/091224/1</v>
      </c>
      <c r="C780" s="42" t="str">
        <f>IFERROR(__xludf.DUMMYFUNCTION("""COMPUTED_VALUE"""),"M. 6440/ Way Kandis")</f>
        <v>M. 6440/ Way Kandis</v>
      </c>
      <c r="D780" s="42" t="str">
        <f>IFERROR(__xludf.DUMMYFUNCTION("""COMPUTED_VALUE"""),"David")</f>
        <v>David</v>
      </c>
      <c r="E780" s="42" t="str">
        <f>IFERROR(__xludf.DUMMYFUNCTION("""COMPUTED_VALUE"""),"PROSES")</f>
        <v>PROSES</v>
      </c>
      <c r="F780" s="48" t="str">
        <f>IFERROR(__xludf.DUMMYFUNCTION("""COMPUTED_VALUE"""),"")</f>
        <v/>
      </c>
      <c r="G780" s="42" t="str">
        <f>IFERROR(__xludf.DUMMYFUNCTION("""COMPUTED_VALUE"""),"BN Jual Beli")</f>
        <v>BN Jual Beli</v>
      </c>
      <c r="H780" s="42">
        <f t="shared" si="1"/>
        <v>403</v>
      </c>
    </row>
    <row r="781" ht="22.5" customHeight="1">
      <c r="B781" s="42" t="str">
        <f>IFERROR(__xludf.DUMMYFUNCTION("""COMPUTED_VALUE"""),"L/35/091224/1")</f>
        <v>L/35/091224/1</v>
      </c>
      <c r="C781" s="42" t="str">
        <f>IFERROR(__xludf.DUMMYFUNCTION("""COMPUTED_VALUE"""),"HGB 5174/BERINGIN RAYA")</f>
        <v>HGB 5174/BERINGIN RAYA</v>
      </c>
      <c r="D781" s="42" t="str">
        <f>IFERROR(__xludf.DUMMYFUNCTION("""COMPUTED_VALUE"""),"David")</f>
        <v>David</v>
      </c>
      <c r="E781" s="42" t="str">
        <f>IFERROR(__xludf.DUMMYFUNCTION("""COMPUTED_VALUE"""),"PROSES")</f>
        <v>PROSES</v>
      </c>
      <c r="F781" s="48" t="str">
        <f>IFERROR(__xludf.DUMMYFUNCTION("""COMPUTED_VALUE"""),"")</f>
        <v/>
      </c>
      <c r="G781" s="42" t="str">
        <f>IFERROR(__xludf.DUMMYFUNCTION("""COMPUTED_VALUE"""),"PH")</f>
        <v>PH</v>
      </c>
      <c r="H781" s="42">
        <f t="shared" si="1"/>
        <v>403</v>
      </c>
    </row>
    <row r="782" ht="22.5" customHeight="1">
      <c r="B782" s="42" t="str">
        <f>IFERROR(__xludf.DUMMYFUNCTION("""COMPUTED_VALUE"""),"K/32/091224/1")</f>
        <v>K/32/091224/1</v>
      </c>
      <c r="C782" s="42" t="str">
        <f>IFERROR(__xludf.DUMMYFUNCTION("""COMPUTED_VALUE"""),"Nibel 6975/ pematang wangi")</f>
        <v>Nibel 6975/ pematang wangi</v>
      </c>
      <c r="D782" s="42"/>
      <c r="E782" s="42"/>
      <c r="F782" s="48" t="str">
        <f>IFERROR(__xludf.DUMMYFUNCTION("""COMPUTED_VALUE"""),"")</f>
        <v/>
      </c>
      <c r="G782" s="42" t="str">
        <f>IFERROR(__xludf.DUMMYFUNCTION("""COMPUTED_VALUE"""),"PERUBAHAN HAK")</f>
        <v>PERUBAHAN HAK</v>
      </c>
      <c r="H782" s="42">
        <f t="shared" si="1"/>
        <v>403</v>
      </c>
    </row>
    <row r="783" ht="22.5" customHeight="1">
      <c r="B783" s="42" t="str">
        <f>IFERROR(__xludf.DUMMYFUNCTION("""COMPUTED_VALUE"""),"K/33/091224/2")</f>
        <v>K/33/091224/2</v>
      </c>
      <c r="C783" s="42" t="str">
        <f>IFERROR(__xludf.DUMMYFUNCTION("""COMPUTED_VALUE"""),"B. 914/ Beringin Jaya")</f>
        <v>B. 914/ Beringin Jaya</v>
      </c>
      <c r="D783" s="42" t="str">
        <f>IFERROR(__xludf.DUMMYFUNCTION("""COMPUTED_VALUE"""),"David")</f>
        <v>David</v>
      </c>
      <c r="E783" s="42" t="str">
        <f>IFERROR(__xludf.DUMMYFUNCTION("""COMPUTED_VALUE"""),"DISERAHKAN")</f>
        <v>DISERAHKAN</v>
      </c>
      <c r="F783" s="48" t="str">
        <f>IFERROR(__xludf.DUMMYFUNCTION("""COMPUTED_VALUE"""),"10/12/2024 16.23")</f>
        <v>10/12/2024 16.23</v>
      </c>
      <c r="G783" s="42" t="str">
        <f>IFERROR(__xludf.DUMMYFUNCTION("""COMPUTED_VALUE"""),"BN JUAL BELI")</f>
        <v>BN JUAL BELI</v>
      </c>
      <c r="H783" s="42">
        <f t="shared" si="1"/>
        <v>404</v>
      </c>
    </row>
    <row r="784" ht="22.5" customHeight="1">
      <c r="B784" s="42" t="str">
        <f>IFERROR(__xludf.DUMMYFUNCTION("""COMPUTED_VALUE"""),"K/34/091224/3")</f>
        <v>K/34/091224/3</v>
      </c>
      <c r="C784" s="42" t="str">
        <f>IFERROR(__xludf.DUMMYFUNCTION("""COMPUTED_VALUE"""),"B. 945/ Beringin Jaya")</f>
        <v>B. 945/ Beringin Jaya</v>
      </c>
      <c r="D784" s="42" t="str">
        <f>IFERROR(__xludf.DUMMYFUNCTION("""COMPUTED_VALUE"""),"David")</f>
        <v>David</v>
      </c>
      <c r="E784" s="42" t="str">
        <f>IFERROR(__xludf.DUMMYFUNCTION("""COMPUTED_VALUE"""),"DISERAHKAN")</f>
        <v>DISERAHKAN</v>
      </c>
      <c r="F784" s="48" t="str">
        <f>IFERROR(__xludf.DUMMYFUNCTION("""COMPUTED_VALUE"""),"10/12/2024 16.23")</f>
        <v>10/12/2024 16.23</v>
      </c>
      <c r="G784" s="42" t="str">
        <f>IFERROR(__xludf.DUMMYFUNCTION("""COMPUTED_VALUE"""),"BN JUAL BELI")</f>
        <v>BN JUAL BELI</v>
      </c>
      <c r="H784" s="42">
        <f t="shared" si="1"/>
        <v>405</v>
      </c>
    </row>
    <row r="785" ht="22.5" customHeight="1">
      <c r="B785" s="42" t="str">
        <f>IFERROR(__xludf.DUMMYFUNCTION("""COMPUTED_VALUE"""),"K/36/091224/1")</f>
        <v>K/36/091224/1</v>
      </c>
      <c r="C785" s="42" t="str">
        <f>IFERROR(__xludf.DUMMYFUNCTION("""COMPUTED_VALUE"""),"M. 11585/ Segala Mider")</f>
        <v>M. 11585/ Segala Mider</v>
      </c>
      <c r="D785" s="42"/>
      <c r="E785" s="42"/>
      <c r="F785" s="48" t="str">
        <f>IFERROR(__xludf.DUMMYFUNCTION("""COMPUTED_VALUE"""),"")</f>
        <v/>
      </c>
      <c r="G785" s="42" t="str">
        <f>IFERROR(__xludf.DUMMYFUNCTION("""COMPUTED_VALUE"""),"Blokir")</f>
        <v>Blokir</v>
      </c>
      <c r="H785" s="42">
        <f t="shared" si="1"/>
        <v>405</v>
      </c>
    </row>
    <row r="786" ht="22.5" customHeight="1">
      <c r="B786" s="42" t="str">
        <f>IFERROR(__xludf.DUMMYFUNCTION("""COMPUTED_VALUE"""),"K/38/091224/1")</f>
        <v>K/38/091224/1</v>
      </c>
      <c r="C786" s="42" t="str">
        <f>IFERROR(__xludf.DUMMYFUNCTION("""COMPUTED_VALUE"""),"M. 12916/ Sukarame I")</f>
        <v>M. 12916/ Sukarame I</v>
      </c>
      <c r="D786" s="42"/>
      <c r="E786" s="42"/>
      <c r="F786" s="48" t="str">
        <f>IFERROR(__xludf.DUMMYFUNCTION("""COMPUTED_VALUE"""),"")</f>
        <v/>
      </c>
      <c r="G786" s="42" t="str">
        <f>IFERROR(__xludf.DUMMYFUNCTION("""COMPUTED_VALUE"""),"GANTI KELURAHAN")</f>
        <v>GANTI KELURAHAN</v>
      </c>
      <c r="H786" s="42">
        <f t="shared" si="1"/>
        <v>405</v>
      </c>
    </row>
    <row r="787" ht="22.5" customHeight="1">
      <c r="B787" s="42" t="str">
        <f>IFERROR(__xludf.DUMMYFUNCTION("""COMPUTED_VALUE"""),"K/29/091224/1")</f>
        <v>K/29/091224/1</v>
      </c>
      <c r="C787" s="42" t="str">
        <f>IFERROR(__xludf.DUMMYFUNCTION("""COMPUTED_VALUE"""),"M.2203/SUKARAME BARU")</f>
        <v>M.2203/SUKARAME BARU</v>
      </c>
      <c r="D787" s="42" t="str">
        <f>IFERROR(__xludf.DUMMYFUNCTION("""COMPUTED_VALUE"""),"David")</f>
        <v>David</v>
      </c>
      <c r="E787" s="42" t="str">
        <f>IFERROR(__xludf.DUMMYFUNCTION("""COMPUTED_VALUE"""),"DISERAHKAN")</f>
        <v>DISERAHKAN</v>
      </c>
      <c r="F787" s="48" t="str">
        <f>IFERROR(__xludf.DUMMYFUNCTION("""COMPUTED_VALUE"""),"10/12/2024 16.23")</f>
        <v>10/12/2024 16.23</v>
      </c>
      <c r="G787" s="42" t="str">
        <f>IFERROR(__xludf.DUMMYFUNCTION("""COMPUTED_VALUE"""),"BN JUAL BELI")</f>
        <v>BN JUAL BELI</v>
      </c>
      <c r="H787" s="42">
        <f t="shared" si="1"/>
        <v>406</v>
      </c>
    </row>
    <row r="788" ht="22.5" customHeight="1">
      <c r="B788" s="42" t="str">
        <f>IFERROR(__xludf.DUMMYFUNCTION("""COMPUTED_VALUE"""),"K/39/091224/1")</f>
        <v>K/39/091224/1</v>
      </c>
      <c r="C788" s="42" t="str">
        <f>IFERROR(__xludf.DUMMYFUNCTION("""COMPUTED_VALUE"""),"M.1344/BAKUNG")</f>
        <v>M.1344/BAKUNG</v>
      </c>
      <c r="D788" s="42" t="str">
        <f>IFERROR(__xludf.DUMMYFUNCTION("""COMPUTED_VALUE"""),"David")</f>
        <v>David</v>
      </c>
      <c r="E788" s="42" t="str">
        <f>IFERROR(__xludf.DUMMYFUNCTION("""COMPUTED_VALUE"""),"DISERAHKAN")</f>
        <v>DISERAHKAN</v>
      </c>
      <c r="F788" s="48" t="str">
        <f>IFERROR(__xludf.DUMMYFUNCTION("""COMPUTED_VALUE"""),"10/12/2024 16.23")</f>
        <v>10/12/2024 16.23</v>
      </c>
      <c r="G788" s="42" t="str">
        <f>IFERROR(__xludf.DUMMYFUNCTION("""COMPUTED_VALUE"""),"BN JUAL BELI")</f>
        <v>BN JUAL BELI</v>
      </c>
      <c r="H788" s="42">
        <f t="shared" si="1"/>
        <v>407</v>
      </c>
    </row>
    <row r="789" ht="22.5" customHeight="1">
      <c r="B789" s="42" t="str">
        <f>IFERROR(__xludf.DUMMYFUNCTION("""COMPUTED_VALUE"""),"K/41/091224/1")</f>
        <v>K/41/091224/1</v>
      </c>
      <c r="C789" s="42" t="str">
        <f>IFERROR(__xludf.DUMMYFUNCTION("""COMPUTED_VALUE"""),"M.566/KORPRI RAYA-SEKARANG;M.11116/SUKARAME I-DAHULU")</f>
        <v>M.566/KORPRI RAYA-SEKARANG;M.11116/SUKARAME I-DAHULU</v>
      </c>
      <c r="D789" s="42" t="str">
        <f>IFERROR(__xludf.DUMMYFUNCTION("""COMPUTED_VALUE"""),"David")</f>
        <v>David</v>
      </c>
      <c r="E789" s="42" t="str">
        <f>IFERROR(__xludf.DUMMYFUNCTION("""COMPUTED_VALUE"""),"DISERAHKAN")</f>
        <v>DISERAHKAN</v>
      </c>
      <c r="F789" s="48" t="str">
        <f>IFERROR(__xludf.DUMMYFUNCTION("""COMPUTED_VALUE"""),"13/12/2024 14.20")</f>
        <v>13/12/2024 14.20</v>
      </c>
      <c r="G789" s="42" t="str">
        <f>IFERROR(__xludf.DUMMYFUNCTION("""COMPUTED_VALUE"""),"BN JUAL BELI")</f>
        <v>BN JUAL BELI</v>
      </c>
      <c r="H789" s="42">
        <f t="shared" si="1"/>
        <v>408</v>
      </c>
    </row>
    <row r="790" ht="22.5" customHeight="1">
      <c r="B790" s="42" t="str">
        <f>IFERROR(__xludf.DUMMYFUNCTION("""COMPUTED_VALUE"""),"L/42/091224/1")</f>
        <v>L/42/091224/1</v>
      </c>
      <c r="C790" s="42" t="str">
        <f>IFERROR(__xludf.DUMMYFUNCTION("""COMPUTED_VALUE"""),"HGB 839/PWK")</f>
        <v>HGB 839/PWK</v>
      </c>
      <c r="D790" s="42" t="str">
        <f>IFERROR(__xludf.DUMMYFUNCTION("""COMPUTED_VALUE"""),"David")</f>
        <v>David</v>
      </c>
      <c r="E790" s="42" t="str">
        <f>IFERROR(__xludf.DUMMYFUNCTION("""COMPUTED_VALUE"""),"DISERAHKAN")</f>
        <v>DISERAHKAN</v>
      </c>
      <c r="F790" s="48" t="str">
        <f>IFERROR(__xludf.DUMMYFUNCTION("""COMPUTED_VALUE"""),"16/12/2024 16.01")</f>
        <v>16/12/2024 16.01</v>
      </c>
      <c r="G790" s="42" t="str">
        <f>IFERROR(__xludf.DUMMYFUNCTION("""COMPUTED_VALUE"""),"PH")</f>
        <v>PH</v>
      </c>
      <c r="H790" s="42">
        <f t="shared" si="1"/>
        <v>409</v>
      </c>
    </row>
    <row r="791" ht="22.5" customHeight="1">
      <c r="B791" s="42" t="str">
        <f>IFERROR(__xludf.DUMMYFUNCTION("""COMPUTED_VALUE"""),"K/43/091224/1")</f>
        <v>K/43/091224/1</v>
      </c>
      <c r="C791" s="42" t="str">
        <f>IFERROR(__xludf.DUMMYFUNCTION("""COMPUTED_VALUE"""),"M.5681/WAY KANDIS")</f>
        <v>M.5681/WAY KANDIS</v>
      </c>
      <c r="D791" s="42"/>
      <c r="E791" s="42"/>
      <c r="F791" s="48" t="str">
        <f>IFERROR(__xludf.DUMMYFUNCTION("""COMPUTED_VALUE"""),"")</f>
        <v/>
      </c>
      <c r="G791" s="42" t="str">
        <f>IFERROR(__xludf.DUMMYFUNCTION("""COMPUTED_VALUE"""),"BLOKIR")</f>
        <v>BLOKIR</v>
      </c>
      <c r="H791" s="42">
        <f t="shared" si="1"/>
        <v>409</v>
      </c>
    </row>
    <row r="792" ht="22.5" customHeight="1">
      <c r="B792" s="42" t="str">
        <f>IFERROR(__xludf.DUMMYFUNCTION("""COMPUTED_VALUE"""),"K/44/091224/1")</f>
        <v>K/44/091224/1</v>
      </c>
      <c r="C792" s="42" t="str">
        <f>IFERROR(__xludf.DUMMYFUNCTION("""COMPUTED_VALUE"""),"B. 70/ Sukaraja")</f>
        <v>B. 70/ Sukaraja</v>
      </c>
      <c r="D792" s="42"/>
      <c r="E792" s="42"/>
      <c r="F792" s="48" t="str">
        <f>IFERROR(__xludf.DUMMYFUNCTION("""COMPUTED_VALUE"""),"")</f>
        <v/>
      </c>
      <c r="G792" s="42" t="str">
        <f>IFERROR(__xludf.DUMMYFUNCTION("""COMPUTED_VALUE"""),"BLOKIR")</f>
        <v>BLOKIR</v>
      </c>
      <c r="H792" s="42">
        <f t="shared" si="1"/>
        <v>409</v>
      </c>
    </row>
    <row r="793" ht="22.5" customHeight="1">
      <c r="B793" s="42" t="str">
        <f>IFERROR(__xludf.DUMMYFUNCTION("""COMPUTED_VALUE"""),"K/1/101224/1")</f>
        <v>K/1/101224/1</v>
      </c>
      <c r="C793" s="42" t="str">
        <f>IFERROR(__xludf.DUMMYFUNCTION("""COMPUTED_VALUE"""),"M. 9545/ Jagabaya II")</f>
        <v>M. 9545/ Jagabaya II</v>
      </c>
      <c r="D793" s="42" t="str">
        <f>IFERROR(__xludf.DUMMYFUNCTION("""COMPUTED_VALUE"""),"David")</f>
        <v>David</v>
      </c>
      <c r="E793" s="42" t="str">
        <f>IFERROR(__xludf.DUMMYFUNCTION("""COMPUTED_VALUE"""),"DISERAHKAN")</f>
        <v>DISERAHKAN</v>
      </c>
      <c r="F793" s="48" t="str">
        <f>IFERROR(__xludf.DUMMYFUNCTION("""COMPUTED_VALUE"""),"13/12/2024 14.08")</f>
        <v>13/12/2024 14.08</v>
      </c>
      <c r="G793" s="42" t="str">
        <f>IFERROR(__xludf.DUMMYFUNCTION("""COMPUTED_VALUE"""),"ROYA")</f>
        <v>ROYA</v>
      </c>
      <c r="H793" s="42">
        <f t="shared" si="1"/>
        <v>410</v>
      </c>
    </row>
    <row r="794" ht="22.5" customHeight="1">
      <c r="B794" s="42" t="str">
        <f>IFERROR(__xludf.DUMMYFUNCTION("""COMPUTED_VALUE"""),"L/6/101224/1")</f>
        <v>L/6/101224/1</v>
      </c>
      <c r="C794" s="42" t="str">
        <f>IFERROR(__xludf.DUMMYFUNCTION("""COMPUTED_VALUE"""),"HM 897/TANJUNG RAYA")</f>
        <v>HM 897/TANJUNG RAYA</v>
      </c>
      <c r="D794" s="42" t="str">
        <f>IFERROR(__xludf.DUMMYFUNCTION("""COMPUTED_VALUE"""),"David")</f>
        <v>David</v>
      </c>
      <c r="E794" s="42" t="str">
        <f>IFERROR(__xludf.DUMMYFUNCTION("""COMPUTED_VALUE"""),"DISERAHKAN")</f>
        <v>DISERAHKAN</v>
      </c>
      <c r="F794" s="48" t="str">
        <f>IFERROR(__xludf.DUMMYFUNCTION("""COMPUTED_VALUE"""),"13/12/2024 14.09")</f>
        <v>13/12/2024 14.09</v>
      </c>
      <c r="G794" s="42" t="str">
        <f>IFERROR(__xludf.DUMMYFUNCTION("""COMPUTED_VALUE"""),"ROYA")</f>
        <v>ROYA</v>
      </c>
      <c r="H794" s="42">
        <f t="shared" si="1"/>
        <v>411</v>
      </c>
    </row>
    <row r="795" ht="22.5" customHeight="1">
      <c r="B795" s="42" t="str">
        <f>IFERROR(__xludf.DUMMYFUNCTION("""COMPUTED_VALUE"""),"K/8/101224/1")</f>
        <v>K/8/101224/1</v>
      </c>
      <c r="C795" s="42" t="str">
        <f>IFERROR(__xludf.DUMMYFUNCTION("""COMPUTED_VALUE"""),"M. 158/ Beringin Jaya")</f>
        <v>M. 158/ Beringin Jaya</v>
      </c>
      <c r="D795" s="42" t="str">
        <f>IFERROR(__xludf.DUMMYFUNCTION("""COMPUTED_VALUE"""),"David")</f>
        <v>David</v>
      </c>
      <c r="E795" s="42" t="str">
        <f>IFERROR(__xludf.DUMMYFUNCTION("""COMPUTED_VALUE"""),"DISERAHKAN")</f>
        <v>DISERAHKAN</v>
      </c>
      <c r="F795" s="48" t="str">
        <f>IFERROR(__xludf.DUMMYFUNCTION("""COMPUTED_VALUE"""),"13/12/2024 14.09")</f>
        <v>13/12/2024 14.09</v>
      </c>
      <c r="G795" s="42" t="str">
        <f>IFERROR(__xludf.DUMMYFUNCTION("""COMPUTED_VALUE"""),"BN Jual Beli")</f>
        <v>BN Jual Beli</v>
      </c>
      <c r="H795" s="42">
        <f t="shared" si="1"/>
        <v>412</v>
      </c>
    </row>
    <row r="796" ht="22.5" customHeight="1">
      <c r="B796" s="42" t="str">
        <f>IFERROR(__xludf.DUMMYFUNCTION("""COMPUTED_VALUE"""),"K/11/101224/1")</f>
        <v>K/11/101224/1</v>
      </c>
      <c r="C796" s="42" t="str">
        <f>IFERROR(__xludf.DUMMYFUNCTION("""COMPUTED_VALUE"""),"M.4707/SUKADANAHAM")</f>
        <v>M.4707/SUKADANAHAM</v>
      </c>
      <c r="D796" s="42" t="str">
        <f>IFERROR(__xludf.DUMMYFUNCTION("""COMPUTED_VALUE"""),"David")</f>
        <v>David</v>
      </c>
      <c r="E796" s="42" t="str">
        <f>IFERROR(__xludf.DUMMYFUNCTION("""COMPUTED_VALUE"""),"DISERAHKAN")</f>
        <v>DISERAHKAN</v>
      </c>
      <c r="F796" s="48" t="str">
        <f>IFERROR(__xludf.DUMMYFUNCTION("""COMPUTED_VALUE"""),"13/12/2024 14.10")</f>
        <v>13/12/2024 14.10</v>
      </c>
      <c r="G796" s="42" t="str">
        <f>IFERROR(__xludf.DUMMYFUNCTION("""COMPUTED_VALUE"""),"BN JUAL BELI")</f>
        <v>BN JUAL BELI</v>
      </c>
      <c r="H796" s="42">
        <f t="shared" si="1"/>
        <v>413</v>
      </c>
    </row>
    <row r="797" ht="22.5" customHeight="1">
      <c r="B797" s="42" t="str">
        <f>IFERROR(__xludf.DUMMYFUNCTION("""COMPUTED_VALUE"""),"K/12/101224/2")</f>
        <v>K/12/101224/2</v>
      </c>
      <c r="C797" s="42" t="str">
        <f>IFERROR(__xludf.DUMMYFUNCTION("""COMPUTED_VALUE"""),"M.4664/SUKADANAHAM")</f>
        <v>M.4664/SUKADANAHAM</v>
      </c>
      <c r="D797" s="42" t="str">
        <f>IFERROR(__xludf.DUMMYFUNCTION("""COMPUTED_VALUE"""),"David")</f>
        <v>David</v>
      </c>
      <c r="E797" s="42" t="str">
        <f>IFERROR(__xludf.DUMMYFUNCTION("""COMPUTED_VALUE"""),"DISERAHKAN")</f>
        <v>DISERAHKAN</v>
      </c>
      <c r="F797" s="48" t="str">
        <f>IFERROR(__xludf.DUMMYFUNCTION("""COMPUTED_VALUE"""),"13/12/2024 14.10")</f>
        <v>13/12/2024 14.10</v>
      </c>
      <c r="G797" s="42" t="str">
        <f>IFERROR(__xludf.DUMMYFUNCTION("""COMPUTED_VALUE"""),"BN JUAL BELI")</f>
        <v>BN JUAL BELI</v>
      </c>
      <c r="H797" s="42">
        <f t="shared" si="1"/>
        <v>414</v>
      </c>
    </row>
    <row r="798" ht="22.5" customHeight="1">
      <c r="B798" s="42" t="str">
        <f>IFERROR(__xludf.DUMMYFUNCTION("""COMPUTED_VALUE"""),"K/13/101224/3")</f>
        <v>K/13/101224/3</v>
      </c>
      <c r="C798" s="42" t="str">
        <f>IFERROR(__xludf.DUMMYFUNCTION("""COMPUTED_VALUE"""),"M.997/GEDONG AIR")</f>
        <v>M.997/GEDONG AIR</v>
      </c>
      <c r="D798" s="42" t="str">
        <f>IFERROR(__xludf.DUMMYFUNCTION("""COMPUTED_VALUE"""),"David")</f>
        <v>David</v>
      </c>
      <c r="E798" s="42" t="str">
        <f>IFERROR(__xludf.DUMMYFUNCTION("""COMPUTED_VALUE"""),"DISERAHKAN")</f>
        <v>DISERAHKAN</v>
      </c>
      <c r="F798" s="48" t="str">
        <f>IFERROR(__xludf.DUMMYFUNCTION("""COMPUTED_VALUE"""),"13/12/2024 14.10")</f>
        <v>13/12/2024 14.10</v>
      </c>
      <c r="G798" s="42" t="str">
        <f>IFERROR(__xludf.DUMMYFUNCTION("""COMPUTED_VALUE"""),"KEWARISAN")</f>
        <v>KEWARISAN</v>
      </c>
      <c r="H798" s="42">
        <f t="shared" si="1"/>
        <v>415</v>
      </c>
    </row>
    <row r="799" ht="22.5" customHeight="1">
      <c r="B799" s="42" t="str">
        <f>IFERROR(__xludf.DUMMYFUNCTION("""COMPUTED_VALUE"""),"K/14/101224/4")</f>
        <v>K/14/101224/4</v>
      </c>
      <c r="C799" s="42" t="str">
        <f>IFERROR(__xludf.DUMMYFUNCTION("""COMPUTED_VALUE"""),"M.2702/SUMBERREJO-SEKARANG;B.787/SUMBERREJO-DAHULU")</f>
        <v>M.2702/SUMBERREJO-SEKARANG;B.787/SUMBERREJO-DAHULU</v>
      </c>
      <c r="D799" s="42" t="str">
        <f>IFERROR(__xludf.DUMMYFUNCTION("""COMPUTED_VALUE"""),"David")</f>
        <v>David</v>
      </c>
      <c r="E799" s="42" t="str">
        <f>IFERROR(__xludf.DUMMYFUNCTION("""COMPUTED_VALUE"""),"DISERAHKAN BT")</f>
        <v>DISERAHKAN BT</v>
      </c>
      <c r="F799" s="48" t="str">
        <f>IFERROR(__xludf.DUMMYFUNCTION("""COMPUTED_VALUE"""),"13/12/2024 14.11")</f>
        <v>13/12/2024 14.11</v>
      </c>
      <c r="G799" s="42" t="str">
        <f>IFERROR(__xludf.DUMMYFUNCTION("""COMPUTED_VALUE"""),"ROYA")</f>
        <v>ROYA</v>
      </c>
      <c r="H799" s="42">
        <f t="shared" si="1"/>
        <v>415</v>
      </c>
    </row>
    <row r="800" ht="22.5" customHeight="1">
      <c r="B800" s="42" t="str">
        <f>IFERROR(__xludf.DUMMYFUNCTION("""COMPUTED_VALUE"""),"K/9/101224/1")</f>
        <v>K/9/101224/1</v>
      </c>
      <c r="C800" s="42" t="str">
        <f>IFERROR(__xludf.DUMMYFUNCTION("""COMPUTED_VALUE"""),"M. 59/ K B K")</f>
        <v>M. 59/ K B K</v>
      </c>
      <c r="D800" s="42" t="str">
        <f>IFERROR(__xludf.DUMMYFUNCTION("""COMPUTED_VALUE"""),"David")</f>
        <v>David</v>
      </c>
      <c r="E800" s="42" t="str">
        <f>IFERROR(__xludf.DUMMYFUNCTION("""COMPUTED_VALUE"""),"DISERAHKAN BT")</f>
        <v>DISERAHKAN BT</v>
      </c>
      <c r="F800" s="48">
        <f>IFERROR(__xludf.DUMMYFUNCTION("""COMPUTED_VALUE"""),45702.61824116898)</f>
        <v>45702.61824</v>
      </c>
      <c r="G800" s="42" t="str">
        <f>IFERROR(__xludf.DUMMYFUNCTION("""COMPUTED_VALUE"""),"Roya")</f>
        <v>Roya</v>
      </c>
      <c r="H800" s="42">
        <f t="shared" si="1"/>
        <v>415</v>
      </c>
    </row>
    <row r="801" ht="22.5" customHeight="1">
      <c r="B801" s="42" t="str">
        <f>IFERROR(__xludf.DUMMYFUNCTION("""COMPUTED_VALUE"""),"K/10/101224/2")</f>
        <v>K/10/101224/2</v>
      </c>
      <c r="C801" s="42" t="str">
        <f>IFERROR(__xludf.DUMMYFUNCTION("""COMPUTED_VALUE"""),"Nibel. B. 3389/ Sumur Putri")</f>
        <v>Nibel. B. 3389/ Sumur Putri</v>
      </c>
      <c r="D801" s="42"/>
      <c r="E801" s="42"/>
      <c r="F801" s="48" t="str">
        <f>IFERROR(__xludf.DUMMYFUNCTION("""COMPUTED_VALUE"""),"")</f>
        <v/>
      </c>
      <c r="G801" s="42" t="str">
        <f>IFERROR(__xludf.DUMMYFUNCTION("""COMPUTED_VALUE"""),"Perubahan Hak")</f>
        <v>Perubahan Hak</v>
      </c>
      <c r="H801" s="42">
        <f t="shared" si="1"/>
        <v>415</v>
      </c>
    </row>
    <row r="802" ht="22.5" customHeight="1">
      <c r="B802" s="42" t="str">
        <f>IFERROR(__xludf.DUMMYFUNCTION("""COMPUTED_VALUE"""),"K/15/101224/1")</f>
        <v>K/15/101224/1</v>
      </c>
      <c r="C802" s="42" t="str">
        <f>IFERROR(__xludf.DUMMYFUNCTION("""COMPUTED_VALUE"""),"M. 703/ Gunung Agung")</f>
        <v>M. 703/ Gunung Agung</v>
      </c>
      <c r="D802" s="42"/>
      <c r="E802" s="42"/>
      <c r="F802" s="48" t="str">
        <f>IFERROR(__xludf.DUMMYFUNCTION("""COMPUTED_VALUE"""),"")</f>
        <v/>
      </c>
      <c r="G802" s="42" t="str">
        <f>IFERROR(__xludf.DUMMYFUNCTION("""COMPUTED_VALUE"""),"SKPT LELANG")</f>
        <v>SKPT LELANG</v>
      </c>
      <c r="H802" s="42">
        <f t="shared" si="1"/>
        <v>415</v>
      </c>
    </row>
    <row r="803" ht="22.5" customHeight="1">
      <c r="B803" s="42" t="str">
        <f>IFERROR(__xludf.DUMMYFUNCTION("""COMPUTED_VALUE"""),"K/16/101224/1")</f>
        <v>K/16/101224/1</v>
      </c>
      <c r="C803" s="42" t="str">
        <f>IFERROR(__xludf.DUMMYFUNCTION("""COMPUTED_VALUE"""),"M. 10204/ Rajabasa Jaya")</f>
        <v>M. 10204/ Rajabasa Jaya</v>
      </c>
      <c r="D803" s="42" t="str">
        <f>IFERROR(__xludf.DUMMYFUNCTION("""COMPUTED_VALUE"""),"David")</f>
        <v>David</v>
      </c>
      <c r="E803" s="42" t="str">
        <f>IFERROR(__xludf.DUMMYFUNCTION("""COMPUTED_VALUE"""),"PROSES")</f>
        <v>PROSES</v>
      </c>
      <c r="F803" s="48" t="str">
        <f>IFERROR(__xludf.DUMMYFUNCTION("""COMPUTED_VALUE"""),"")</f>
        <v/>
      </c>
      <c r="G803" s="42" t="str">
        <f>IFERROR(__xludf.DUMMYFUNCTION("""COMPUTED_VALUE"""),"BN LELANG")</f>
        <v>BN LELANG</v>
      </c>
      <c r="H803" s="42">
        <f t="shared" si="1"/>
        <v>415</v>
      </c>
    </row>
    <row r="804" ht="22.5" customHeight="1">
      <c r="B804" s="42" t="str">
        <f>IFERROR(__xludf.DUMMYFUNCTION("""COMPUTED_VALUE"""),"K/19/101224/1")</f>
        <v>K/19/101224/1</v>
      </c>
      <c r="C804" s="42" t="str">
        <f>IFERROR(__xludf.DUMMYFUNCTION("""COMPUTED_VALUE"""),"M. 1651/ Sumberejo Sejahtera")</f>
        <v>M. 1651/ Sumberejo Sejahtera</v>
      </c>
      <c r="D804" s="42" t="str">
        <f>IFERROR(__xludf.DUMMYFUNCTION("""COMPUTED_VALUE"""),"David")</f>
        <v>David</v>
      </c>
      <c r="E804" s="42" t="str">
        <f>IFERROR(__xludf.DUMMYFUNCTION("""COMPUTED_VALUE"""),"DISERAHKAN BT")</f>
        <v>DISERAHKAN BT</v>
      </c>
      <c r="F804" s="48" t="str">
        <f>IFERROR(__xludf.DUMMYFUNCTION("""COMPUTED_VALUE"""),"13/12/2024 14.12")</f>
        <v>13/12/2024 14.12</v>
      </c>
      <c r="G804" s="42" t="str">
        <f>IFERROR(__xludf.DUMMYFUNCTION("""COMPUTED_VALUE"""),"BN Jual Beli")</f>
        <v>BN Jual Beli</v>
      </c>
      <c r="H804" s="42">
        <f t="shared" si="1"/>
        <v>415</v>
      </c>
    </row>
    <row r="805" ht="22.5" customHeight="1">
      <c r="B805" s="42" t="str">
        <f>IFERROR(__xludf.DUMMYFUNCTION("""COMPUTED_VALUE"""),"K/17/101224/1")</f>
        <v>K/17/101224/1</v>
      </c>
      <c r="C805" s="42" t="str">
        <f>IFERROR(__xludf.DUMMYFUNCTION("""COMPUTED_VALUE"""),"B. 22/ Labuhan Ratu")</f>
        <v>B. 22/ Labuhan Ratu</v>
      </c>
      <c r="D805" s="42"/>
      <c r="E805" s="42"/>
      <c r="F805" s="48" t="str">
        <f>IFERROR(__xludf.DUMMYFUNCTION("""COMPUTED_VALUE"""),"")</f>
        <v/>
      </c>
      <c r="G805" s="42" t="str">
        <f>IFERROR(__xludf.DUMMYFUNCTION("""COMPUTED_VALUE"""),"SKPT LELANG")</f>
        <v>SKPT LELANG</v>
      </c>
      <c r="H805" s="42">
        <f t="shared" si="1"/>
        <v>415</v>
      </c>
    </row>
    <row r="806" ht="22.5" customHeight="1">
      <c r="B806" s="42" t="str">
        <f>IFERROR(__xludf.DUMMYFUNCTION("""COMPUTED_VALUE"""),"K/20/101224/1")</f>
        <v>K/20/101224/1</v>
      </c>
      <c r="C806" s="42" t="str">
        <f>IFERROR(__xludf.DUMMYFUNCTION("""COMPUTED_VALUE"""),"M. 9517/ jagabaya II")</f>
        <v>M. 9517/ jagabaya II</v>
      </c>
      <c r="D806" s="42"/>
      <c r="E806" s="42"/>
      <c r="F806" s="48" t="str">
        <f>IFERROR(__xludf.DUMMYFUNCTION("""COMPUTED_VALUE"""),"")</f>
        <v/>
      </c>
      <c r="G806" s="42" t="str">
        <f>IFERROR(__xludf.DUMMYFUNCTION("""COMPUTED_VALUE"""),"SKPT LELANG")</f>
        <v>SKPT LELANG</v>
      </c>
      <c r="H806" s="42">
        <f t="shared" si="1"/>
        <v>415</v>
      </c>
    </row>
    <row r="807" ht="22.5" customHeight="1">
      <c r="B807" s="42" t="str">
        <f>IFERROR(__xludf.DUMMYFUNCTION("""COMPUTED_VALUE"""),"K/21/101224/2")</f>
        <v>K/21/101224/2</v>
      </c>
      <c r="C807" s="42" t="str">
        <f>IFERROR(__xludf.DUMMYFUNCTION("""COMPUTED_VALUE"""),"M. 1597/ Jagabaya III")</f>
        <v>M. 1597/ Jagabaya III</v>
      </c>
      <c r="D807" s="42"/>
      <c r="E807" s="42"/>
      <c r="F807" s="48" t="str">
        <f>IFERROR(__xludf.DUMMYFUNCTION("""COMPUTED_VALUE"""),"")</f>
        <v/>
      </c>
      <c r="G807" s="42" t="str">
        <f>IFERROR(__xludf.DUMMYFUNCTION("""COMPUTED_VALUE"""),"SKPT LELANG")</f>
        <v>SKPT LELANG</v>
      </c>
      <c r="H807" s="42">
        <f t="shared" si="1"/>
        <v>415</v>
      </c>
    </row>
    <row r="808" ht="22.5" customHeight="1">
      <c r="B808" s="42" t="str">
        <f>IFERROR(__xludf.DUMMYFUNCTION("""COMPUTED_VALUE"""),"K/22/101224/3")</f>
        <v>K/22/101224/3</v>
      </c>
      <c r="C808" s="42" t="str">
        <f>IFERROR(__xludf.DUMMYFUNCTION("""COMPUTED_VALUE"""),"M. 9977/ Kedamaian")</f>
        <v>M. 9977/ Kedamaian</v>
      </c>
      <c r="D808" s="42"/>
      <c r="E808" s="42"/>
      <c r="F808" s="48" t="str">
        <f>IFERROR(__xludf.DUMMYFUNCTION("""COMPUTED_VALUE"""),"")</f>
        <v/>
      </c>
      <c r="G808" s="42" t="str">
        <f>IFERROR(__xludf.DUMMYFUNCTION("""COMPUTED_VALUE"""),"SKPT LELANG")</f>
        <v>SKPT LELANG</v>
      </c>
      <c r="H808" s="42">
        <f t="shared" si="1"/>
        <v>415</v>
      </c>
    </row>
    <row r="809" ht="22.5" customHeight="1">
      <c r="B809" s="42" t="str">
        <f>IFERROR(__xludf.DUMMYFUNCTION("""COMPUTED_VALUE"""),"K/27/101224/4")</f>
        <v>K/27/101224/4</v>
      </c>
      <c r="C809" s="42" t="str">
        <f>IFERROR(__xludf.DUMMYFUNCTION("""COMPUTED_VALUE"""),"M.3004/SUKARAME BARU-SEKARANG;M.13031/SUKARAME I-DAHULU")</f>
        <v>M.3004/SUKARAME BARU-SEKARANG;M.13031/SUKARAME I-DAHULU</v>
      </c>
      <c r="D809" s="42" t="str">
        <f>IFERROR(__xludf.DUMMYFUNCTION("""COMPUTED_VALUE"""),"David")</f>
        <v>David</v>
      </c>
      <c r="E809" s="42" t="str">
        <f>IFERROR(__xludf.DUMMYFUNCTION("""COMPUTED_VALUE"""),"PROSES")</f>
        <v>PROSES</v>
      </c>
      <c r="F809" s="48" t="str">
        <f>IFERROR(__xludf.DUMMYFUNCTION("""COMPUTED_VALUE"""),"")</f>
        <v/>
      </c>
      <c r="G809" s="42" t="str">
        <f>IFERROR(__xludf.DUMMYFUNCTION("""COMPUTED_VALUE"""),"KEWARISAN")</f>
        <v>KEWARISAN</v>
      </c>
      <c r="H809" s="42">
        <f t="shared" si="1"/>
        <v>415</v>
      </c>
    </row>
    <row r="810" ht="22.5" customHeight="1">
      <c r="B810" s="42" t="str">
        <f>IFERROR(__xludf.DUMMYFUNCTION("""COMPUTED_VALUE"""),"K/28/101224/1")</f>
        <v>K/28/101224/1</v>
      </c>
      <c r="C810" s="42" t="str">
        <f>IFERROR(__xludf.DUMMYFUNCTION("""COMPUTED_VALUE"""),"NIBEL M.9104/KORPRI RAYA")</f>
        <v>NIBEL M.9104/KORPRI RAYA</v>
      </c>
      <c r="D810" s="42"/>
      <c r="E810" s="42"/>
      <c r="F810" s="48" t="str">
        <f>IFERROR(__xludf.DUMMYFUNCTION("""COMPUTED_VALUE"""),"")</f>
        <v/>
      </c>
      <c r="G810" s="42" t="str">
        <f>IFERROR(__xludf.DUMMYFUNCTION("""COMPUTED_VALUE"""),"BN JUAL BELI")</f>
        <v>BN JUAL BELI</v>
      </c>
      <c r="H810" s="42">
        <f t="shared" si="1"/>
        <v>415</v>
      </c>
    </row>
    <row r="811" ht="22.5" customHeight="1">
      <c r="B811" s="42" t="str">
        <f>IFERROR(__xludf.DUMMYFUNCTION("""COMPUTED_VALUE"""),"K/29/101224/1")</f>
        <v>K/29/101224/1</v>
      </c>
      <c r="C811" s="42" t="str">
        <f>IFERROR(__xludf.DUMMYFUNCTION("""COMPUTED_VALUE"""),"B.2115/SUKARAME I")</f>
        <v>B.2115/SUKARAME I</v>
      </c>
      <c r="D811" s="42"/>
      <c r="E811" s="42"/>
      <c r="F811" s="48" t="str">
        <f>IFERROR(__xludf.DUMMYFUNCTION("""COMPUTED_VALUE"""),"")</f>
        <v/>
      </c>
      <c r="G811" s="42" t="str">
        <f>IFERROR(__xludf.DUMMYFUNCTION("""COMPUTED_VALUE"""),"SITA")</f>
        <v>SITA</v>
      </c>
      <c r="H811" s="42">
        <f t="shared" si="1"/>
        <v>415</v>
      </c>
    </row>
    <row r="812" ht="22.5" customHeight="1">
      <c r="B812" s="42" t="str">
        <f>IFERROR(__xludf.DUMMYFUNCTION("""COMPUTED_VALUE"""),"K/34/101224/1")</f>
        <v>K/34/101224/1</v>
      </c>
      <c r="C812" s="42" t="str">
        <f>IFERROR(__xludf.DUMMYFUNCTION("""COMPUTED_VALUE"""),"M. 1928/ Rajabasa Jaya")</f>
        <v>M. 1928/ Rajabasa Jaya</v>
      </c>
      <c r="D812" s="42" t="str">
        <f>IFERROR(__xludf.DUMMYFUNCTION("""COMPUTED_VALUE"""),"David")</f>
        <v>David</v>
      </c>
      <c r="E812" s="42" t="str">
        <f>IFERROR(__xludf.DUMMYFUNCTION("""COMPUTED_VALUE"""),"PROSES")</f>
        <v>PROSES</v>
      </c>
      <c r="F812" s="48" t="str">
        <f>IFERROR(__xludf.DUMMYFUNCTION("""COMPUTED_VALUE"""),"")</f>
        <v/>
      </c>
      <c r="G812" s="42" t="str">
        <f>IFERROR(__xludf.DUMMYFUNCTION("""COMPUTED_VALUE"""),"PENGUKURAN ULANG")</f>
        <v>PENGUKURAN ULANG</v>
      </c>
      <c r="H812" s="42">
        <f t="shared" si="1"/>
        <v>415</v>
      </c>
    </row>
    <row r="813" ht="22.5" customHeight="1">
      <c r="B813" s="42" t="str">
        <f>IFERROR(__xludf.DUMMYFUNCTION("""COMPUTED_VALUE"""),"K/35/101224/1")</f>
        <v>K/35/101224/1</v>
      </c>
      <c r="C813" s="42" t="str">
        <f>IFERROR(__xludf.DUMMYFUNCTION("""COMPUTED_VALUE"""),"M.2722/SUKARAME BARU")</f>
        <v>M.2722/SUKARAME BARU</v>
      </c>
      <c r="D813" s="42" t="str">
        <f>IFERROR(__xludf.DUMMYFUNCTION("""COMPUTED_VALUE"""),"David")</f>
        <v>David</v>
      </c>
      <c r="E813" s="42" t="str">
        <f>IFERROR(__xludf.DUMMYFUNCTION("""COMPUTED_VALUE"""),"DISERAHKAN")</f>
        <v>DISERAHKAN</v>
      </c>
      <c r="F813" s="48" t="str">
        <f>IFERROR(__xludf.DUMMYFUNCTION("""COMPUTED_VALUE"""),"13/12/2024 14.14")</f>
        <v>13/12/2024 14.14</v>
      </c>
      <c r="G813" s="42" t="str">
        <f>IFERROR(__xludf.DUMMYFUNCTION("""COMPUTED_VALUE"""),"BN JUAL BELI")</f>
        <v>BN JUAL BELI</v>
      </c>
      <c r="H813" s="42">
        <f t="shared" si="1"/>
        <v>416</v>
      </c>
    </row>
    <row r="814" ht="22.5" customHeight="1">
      <c r="B814" s="42" t="str">
        <f>IFERROR(__xludf.DUMMYFUNCTION("""COMPUTED_VALUE"""),"K/36/101224/1")</f>
        <v>K/36/101224/1</v>
      </c>
      <c r="C814" s="42" t="str">
        <f>IFERROR(__xludf.DUMMYFUNCTION("""COMPUTED_VALUE"""),"Nibel 8618/ Kemiling Permai")</f>
        <v>Nibel 8618/ Kemiling Permai</v>
      </c>
      <c r="D814" s="42"/>
      <c r="E814" s="42"/>
      <c r="F814" s="48" t="str">
        <f>IFERROR(__xludf.DUMMYFUNCTION("""COMPUTED_VALUE"""),"")</f>
        <v/>
      </c>
      <c r="G814" s="42" t="str">
        <f>IFERROR(__xludf.DUMMYFUNCTION("""COMPUTED_VALUE"""),"PERUBAHAN HAK")</f>
        <v>PERUBAHAN HAK</v>
      </c>
      <c r="H814" s="42">
        <f t="shared" si="1"/>
        <v>416</v>
      </c>
    </row>
    <row r="815" ht="22.5" customHeight="1">
      <c r="B815" s="42" t="str">
        <f>IFERROR(__xludf.DUMMYFUNCTION("""COMPUTED_VALUE"""),"L/38/101224/1")</f>
        <v>L/38/101224/1</v>
      </c>
      <c r="C815" s="42" t="str">
        <f>IFERROR(__xludf.DUMMYFUNCTION("""COMPUTED_VALUE"""),"HM 3876/TANJUNG SENANG")</f>
        <v>HM 3876/TANJUNG SENANG</v>
      </c>
      <c r="D815" s="42" t="str">
        <f>IFERROR(__xludf.DUMMYFUNCTION("""COMPUTED_VALUE"""),"David")</f>
        <v>David</v>
      </c>
      <c r="E815" s="42" t="str">
        <f>IFERROR(__xludf.DUMMYFUNCTION("""COMPUTED_VALUE"""),"DISERAHKAN")</f>
        <v>DISERAHKAN</v>
      </c>
      <c r="F815" s="48" t="str">
        <f>IFERROR(__xludf.DUMMYFUNCTION("""COMPUTED_VALUE"""),"13/12/2024 14.15")</f>
        <v>13/12/2024 14.15</v>
      </c>
      <c r="G815" s="42" t="str">
        <f>IFERROR(__xludf.DUMMYFUNCTION("""COMPUTED_VALUE"""),"PENATAAN BATAS")</f>
        <v>PENATAAN BATAS</v>
      </c>
      <c r="H815" s="42">
        <f t="shared" si="1"/>
        <v>417</v>
      </c>
    </row>
    <row r="816" ht="22.5" customHeight="1">
      <c r="B816" s="42" t="str">
        <f>IFERROR(__xludf.DUMMYFUNCTION("""COMPUTED_VALUE"""),"K/30/101224/1")</f>
        <v>K/30/101224/1</v>
      </c>
      <c r="C816" s="42" t="str">
        <f>IFERROR(__xludf.DUMMYFUNCTION("""COMPUTED_VALUE"""),"M.2160/ Gunung Terang")</f>
        <v>M.2160/ Gunung Terang</v>
      </c>
      <c r="D816" s="42" t="str">
        <f>IFERROR(__xludf.DUMMYFUNCTION("""COMPUTED_VALUE"""),"David")</f>
        <v>David</v>
      </c>
      <c r="E816" s="42" t="str">
        <f>IFERROR(__xludf.DUMMYFUNCTION("""COMPUTED_VALUE"""),"DISERAHKAN")</f>
        <v>DISERAHKAN</v>
      </c>
      <c r="F816" s="48" t="str">
        <f>IFERROR(__xludf.DUMMYFUNCTION("""COMPUTED_VALUE"""),"13/12/2024 14.16")</f>
        <v>13/12/2024 14.16</v>
      </c>
      <c r="G816" s="42" t="str">
        <f>IFERROR(__xludf.DUMMYFUNCTION("""COMPUTED_VALUE"""),"Roya")</f>
        <v>Roya</v>
      </c>
      <c r="H816" s="42">
        <f t="shared" si="1"/>
        <v>418</v>
      </c>
    </row>
    <row r="817" ht="22.5" customHeight="1">
      <c r="B817" s="42" t="str">
        <f>IFERROR(__xludf.DUMMYFUNCTION("""COMPUTED_VALUE"""),"L/39/101224/2")</f>
        <v>L/39/101224/2</v>
      </c>
      <c r="C817" s="42" t="str">
        <f>IFERROR(__xludf.DUMMYFUNCTION("""COMPUTED_VALUE"""),"HM 3877/TANJUNG SENANG")</f>
        <v>HM 3877/TANJUNG SENANG</v>
      </c>
      <c r="D817" s="42" t="str">
        <f>IFERROR(__xludf.DUMMYFUNCTION("""COMPUTED_VALUE"""),"David")</f>
        <v>David</v>
      </c>
      <c r="E817" s="42" t="str">
        <f>IFERROR(__xludf.DUMMYFUNCTION("""COMPUTED_VALUE"""),"DISERAHKAN")</f>
        <v>DISERAHKAN</v>
      </c>
      <c r="F817" s="48" t="str">
        <f>IFERROR(__xludf.DUMMYFUNCTION("""COMPUTED_VALUE"""),"13/12/2024 14.16")</f>
        <v>13/12/2024 14.16</v>
      </c>
      <c r="G817" s="42" t="str">
        <f>IFERROR(__xludf.DUMMYFUNCTION("""COMPUTED_VALUE"""),"PENATAAN BATAS")</f>
        <v>PENATAAN BATAS</v>
      </c>
      <c r="H817" s="42">
        <f t="shared" si="1"/>
        <v>419</v>
      </c>
    </row>
    <row r="818" ht="22.5" customHeight="1">
      <c r="B818" s="42" t="str">
        <f>IFERROR(__xludf.DUMMYFUNCTION("""COMPUTED_VALUE"""),"K/37/101224/2")</f>
        <v>K/37/101224/2</v>
      </c>
      <c r="C818" s="42" t="str">
        <f>IFERROR(__xludf.DUMMYFUNCTION("""COMPUTED_VALUE"""),"M. 2339/ Kedaung")</f>
        <v>M. 2339/ Kedaung</v>
      </c>
      <c r="D818" s="42" t="str">
        <f>IFERROR(__xludf.DUMMYFUNCTION("""COMPUTED_VALUE"""),"David")</f>
        <v>David</v>
      </c>
      <c r="E818" s="42" t="str">
        <f>IFERROR(__xludf.DUMMYFUNCTION("""COMPUTED_VALUE"""),"DISERAHKAN")</f>
        <v>DISERAHKAN</v>
      </c>
      <c r="F818" s="48" t="str">
        <f>IFERROR(__xludf.DUMMYFUNCTION("""COMPUTED_VALUE"""),"13/12/2024 14.17")</f>
        <v>13/12/2024 14.17</v>
      </c>
      <c r="G818" s="42" t="str">
        <f>IFERROR(__xludf.DUMMYFUNCTION("""COMPUTED_VALUE"""),"BN JUAL BELI")</f>
        <v>BN JUAL BELI</v>
      </c>
      <c r="H818" s="42">
        <f t="shared" si="1"/>
        <v>420</v>
      </c>
    </row>
    <row r="819" ht="22.5" customHeight="1">
      <c r="B819" s="42" t="str">
        <f>IFERROR(__xludf.DUMMYFUNCTION("""COMPUTED_VALUE"""),"L/31/101224/1")</f>
        <v>L/31/101224/1</v>
      </c>
      <c r="C819" s="42" t="str">
        <f>IFERROR(__xludf.DUMMYFUNCTION("""COMPUTED_VALUE"""),"HM 1818/LABUHAN DALAM")</f>
        <v>HM 1818/LABUHAN DALAM</v>
      </c>
      <c r="D819" s="42" t="str">
        <f>IFERROR(__xludf.DUMMYFUNCTION("""COMPUTED_VALUE"""),"David")</f>
        <v>David</v>
      </c>
      <c r="E819" s="42" t="str">
        <f>IFERROR(__xludf.DUMMYFUNCTION("""COMPUTED_VALUE"""),"DISERAHKAN")</f>
        <v>DISERAHKAN</v>
      </c>
      <c r="F819" s="48">
        <f>IFERROR(__xludf.DUMMYFUNCTION("""COMPUTED_VALUE"""),45715.40060137732)</f>
        <v>45715.4006</v>
      </c>
      <c r="G819" s="42" t="str">
        <f>IFERROR(__xludf.DUMMYFUNCTION("""COMPUTED_VALUE"""),"ROYA")</f>
        <v>ROYA</v>
      </c>
      <c r="H819" s="42">
        <f t="shared" si="1"/>
        <v>421</v>
      </c>
    </row>
    <row r="820" ht="22.5" customHeight="1">
      <c r="B820" s="42" t="str">
        <f>IFERROR(__xludf.DUMMYFUNCTION("""COMPUTED_VALUE"""),"L/1/111224/1")</f>
        <v>L/1/111224/1</v>
      </c>
      <c r="C820" s="42" t="str">
        <f>IFERROR(__xludf.DUMMYFUNCTION("""COMPUTED_VALUE"""),"HM 12803/SUKARAME")</f>
        <v>HM 12803/SUKARAME</v>
      </c>
      <c r="D820" s="42" t="str">
        <f>IFERROR(__xludf.DUMMYFUNCTION("""COMPUTED_VALUE"""),"David")</f>
        <v>David</v>
      </c>
      <c r="E820" s="42" t="str">
        <f>IFERROR(__xludf.DUMMYFUNCTION("""COMPUTED_VALUE"""),"DISERAHKAN")</f>
        <v>DISERAHKAN</v>
      </c>
      <c r="F820" s="48" t="str">
        <f>IFERROR(__xludf.DUMMYFUNCTION("""COMPUTED_VALUE"""),"16/12/2024 16.53")</f>
        <v>16/12/2024 16.53</v>
      </c>
      <c r="G820" s="42" t="str">
        <f>IFERROR(__xludf.DUMMYFUNCTION("""COMPUTED_VALUE"""),"ROYA")</f>
        <v>ROYA</v>
      </c>
      <c r="H820" s="42">
        <f t="shared" si="1"/>
        <v>422</v>
      </c>
    </row>
    <row r="821" ht="22.5" customHeight="1">
      <c r="B821" s="42" t="str">
        <f>IFERROR(__xludf.DUMMYFUNCTION("""COMPUTED_VALUE"""),"K/3/111224/2")</f>
        <v>K/3/111224/2</v>
      </c>
      <c r="C821" s="42" t="str">
        <f>IFERROR(__xludf.DUMMYFUNCTION("""COMPUTED_VALUE"""),"M. 10242/ Sukabumi")</f>
        <v>M. 10242/ Sukabumi</v>
      </c>
      <c r="D821" s="42" t="str">
        <f>IFERROR(__xludf.DUMMYFUNCTION("""COMPUTED_VALUE"""),"David")</f>
        <v>David</v>
      </c>
      <c r="E821" s="42" t="str">
        <f>IFERROR(__xludf.DUMMYFUNCTION("""COMPUTED_VALUE"""),"DISERAHKAN")</f>
        <v>DISERAHKAN</v>
      </c>
      <c r="F821" s="48" t="str">
        <f>IFERROR(__xludf.DUMMYFUNCTION("""COMPUTED_VALUE"""),"16/12/2024 16.54")</f>
        <v>16/12/2024 16.54</v>
      </c>
      <c r="G821" s="42" t="str">
        <f>IFERROR(__xludf.DUMMYFUNCTION("""COMPUTED_VALUE"""),"Roya")</f>
        <v>Roya</v>
      </c>
      <c r="H821" s="42">
        <f t="shared" si="1"/>
        <v>423</v>
      </c>
    </row>
    <row r="822" ht="22.5" customHeight="1">
      <c r="B822" s="42" t="str">
        <f>IFERROR(__xludf.DUMMYFUNCTION("""COMPUTED_VALUE"""),"K/5/111224/1")</f>
        <v>K/5/111224/1</v>
      </c>
      <c r="C822" s="42" t="str">
        <f>IFERROR(__xludf.DUMMYFUNCTION("""COMPUTED_VALUE"""),"M. 1673/ Rajabasa Raya")</f>
        <v>M. 1673/ Rajabasa Raya</v>
      </c>
      <c r="D822" s="42" t="str">
        <f>IFERROR(__xludf.DUMMYFUNCTION("""COMPUTED_VALUE"""),"David")</f>
        <v>David</v>
      </c>
      <c r="E822" s="42" t="str">
        <f>IFERROR(__xludf.DUMMYFUNCTION("""COMPUTED_VALUE"""),"DISERAHKAN")</f>
        <v>DISERAHKAN</v>
      </c>
      <c r="F822" s="48" t="str">
        <f>IFERROR(__xludf.DUMMYFUNCTION("""COMPUTED_VALUE"""),"16/12/2024 16.54")</f>
        <v>16/12/2024 16.54</v>
      </c>
      <c r="G822" s="42" t="str">
        <f>IFERROR(__xludf.DUMMYFUNCTION("""COMPUTED_VALUE"""),"BN HIBAH")</f>
        <v>BN HIBAH</v>
      </c>
      <c r="H822" s="42">
        <f t="shared" si="1"/>
        <v>424</v>
      </c>
    </row>
    <row r="823" ht="22.5" customHeight="1">
      <c r="B823" s="42" t="str">
        <f>IFERROR(__xludf.DUMMYFUNCTION("""COMPUTED_VALUE"""),"L/7/111224/1")</f>
        <v>L/7/111224/1</v>
      </c>
      <c r="C823" s="42" t="str">
        <f>IFERROR(__xludf.DUMMYFUNCTION("""COMPUTED_VALUE"""),"HGB 3657/SUKABUMI")</f>
        <v>HGB 3657/SUKABUMI</v>
      </c>
      <c r="D823" s="42"/>
      <c r="E823" s="42" t="str">
        <f>IFERROR(__xludf.DUMMYFUNCTION("""COMPUTED_VALUE"""),"DISERAHKAN")</f>
        <v>DISERAHKAN</v>
      </c>
      <c r="F823" s="48" t="str">
        <f>IFERROR(__xludf.DUMMYFUNCTION("""COMPUTED_VALUE"""),"16/12/2024 16.46")</f>
        <v>16/12/2024 16.46</v>
      </c>
      <c r="G823" s="42" t="str">
        <f>IFERROR(__xludf.DUMMYFUNCTION("""COMPUTED_VALUE"""),"ROYA")</f>
        <v>ROYA</v>
      </c>
      <c r="H823" s="42">
        <f t="shared" si="1"/>
        <v>425</v>
      </c>
    </row>
    <row r="824" ht="22.5" customHeight="1">
      <c r="B824" s="42" t="str">
        <f>IFERROR(__xludf.DUMMYFUNCTION("""COMPUTED_VALUE"""),"K/9/111224/2")</f>
        <v>K/9/111224/2</v>
      </c>
      <c r="C824" s="42" t="str">
        <f>IFERROR(__xludf.DUMMYFUNCTION("""COMPUTED_VALUE"""),"Nibel 1499/ Gunung Terang")</f>
        <v>Nibel 1499/ Gunung Terang</v>
      </c>
      <c r="D824" s="42"/>
      <c r="E824" s="42"/>
      <c r="F824" s="48" t="str">
        <f>IFERROR(__xludf.DUMMYFUNCTION("""COMPUTED_VALUE"""),"")</f>
        <v/>
      </c>
      <c r="G824" s="42" t="str">
        <f>IFERROR(__xludf.DUMMYFUNCTION("""COMPUTED_VALUE"""),"BN HIBAH")</f>
        <v>BN HIBAH</v>
      </c>
      <c r="H824" s="42">
        <f t="shared" si="1"/>
        <v>425</v>
      </c>
    </row>
    <row r="825" ht="22.5" customHeight="1">
      <c r="B825" s="42" t="str">
        <f>IFERROR(__xludf.DUMMYFUNCTION("""COMPUTED_VALUE"""),"K/6/111224/3")</f>
        <v>K/6/111224/3</v>
      </c>
      <c r="C825" s="42" t="str">
        <f>IFERROR(__xludf.DUMMYFUNCTION("""COMPUTED_VALUE"""),"M. 1760/ Rajabasa Nunyai")</f>
        <v>M. 1760/ Rajabasa Nunyai</v>
      </c>
      <c r="D825" s="42" t="str">
        <f>IFERROR(__xludf.DUMMYFUNCTION("""COMPUTED_VALUE"""),"David")</f>
        <v>David</v>
      </c>
      <c r="E825" s="42" t="str">
        <f>IFERROR(__xludf.DUMMYFUNCTION("""COMPUTED_VALUE"""),"DISERAHKAN")</f>
        <v>DISERAHKAN</v>
      </c>
      <c r="F825" s="48" t="str">
        <f>IFERROR(__xludf.DUMMYFUNCTION("""COMPUTED_VALUE"""),"16/12/2024 16.55")</f>
        <v>16/12/2024 16.55</v>
      </c>
      <c r="G825" s="42" t="str">
        <f>IFERROR(__xludf.DUMMYFUNCTION("""COMPUTED_VALUE"""),"BN Jual Beli")</f>
        <v>BN Jual Beli</v>
      </c>
      <c r="H825" s="42">
        <f t="shared" si="1"/>
        <v>426</v>
      </c>
    </row>
    <row r="826" ht="22.5" customHeight="1">
      <c r="B826" s="42" t="str">
        <f>IFERROR(__xludf.DUMMYFUNCTION("""COMPUTED_VALUE"""),"K/11/111224/4")</f>
        <v>K/11/111224/4</v>
      </c>
      <c r="C826" s="42" t="str">
        <f>IFERROR(__xludf.DUMMYFUNCTION("""COMPUTED_VALUE"""),"Nibel 3696/ Beringin Raya")</f>
        <v>Nibel 3696/ Beringin Raya</v>
      </c>
      <c r="D826" s="42"/>
      <c r="E826" s="42"/>
      <c r="F826" s="48" t="str">
        <f>IFERROR(__xludf.DUMMYFUNCTION("""COMPUTED_VALUE"""),"")</f>
        <v/>
      </c>
      <c r="G826" s="42" t="str">
        <f>IFERROR(__xludf.DUMMYFUNCTION("""COMPUTED_VALUE"""),"BN JUAL BELI")</f>
        <v>BN JUAL BELI</v>
      </c>
      <c r="H826" s="42">
        <f t="shared" si="1"/>
        <v>426</v>
      </c>
    </row>
    <row r="827" ht="22.5" customHeight="1">
      <c r="B827" s="42" t="str">
        <f>IFERROR(__xludf.DUMMYFUNCTION("""COMPUTED_VALUE"""),"L/13/111224/1")</f>
        <v>L/13/111224/1</v>
      </c>
      <c r="C827" s="42" t="str">
        <f>IFERROR(__xludf.DUMMYFUNCTION("""COMPUTED_VALUE"""),"HM 521/GULAK GALIK")</f>
        <v>HM 521/GULAK GALIK</v>
      </c>
      <c r="D827" s="42" t="str">
        <f>IFERROR(__xludf.DUMMYFUNCTION("""COMPUTED_VALUE"""),"David")</f>
        <v>David</v>
      </c>
      <c r="E827" s="42" t="str">
        <f>IFERROR(__xludf.DUMMYFUNCTION("""COMPUTED_VALUE"""),"DISERAHKAN")</f>
        <v>DISERAHKAN</v>
      </c>
      <c r="F827" s="48" t="str">
        <f>IFERROR(__xludf.DUMMYFUNCTION("""COMPUTED_VALUE"""),"16/12/2024 17.15")</f>
        <v>16/12/2024 17.15</v>
      </c>
      <c r="G827" s="42" t="str">
        <f>IFERROR(__xludf.DUMMYFUNCTION("""COMPUTED_VALUE"""),"ROYA")</f>
        <v>ROYA</v>
      </c>
      <c r="H827" s="42">
        <f t="shared" si="1"/>
        <v>427</v>
      </c>
    </row>
    <row r="828" ht="22.5" customHeight="1">
      <c r="B828" s="42" t="str">
        <f>IFERROR(__xludf.DUMMYFUNCTION("""COMPUTED_VALUE"""),"K/15/111224/1")</f>
        <v>K/15/111224/1</v>
      </c>
      <c r="C828" s="42" t="str">
        <f>IFERROR(__xludf.DUMMYFUNCTION("""COMPUTED_VALUE"""),"M. 154/ Rajabasa Pemuka")</f>
        <v>M. 154/ Rajabasa Pemuka</v>
      </c>
      <c r="D828" s="42" t="str">
        <f>IFERROR(__xludf.DUMMYFUNCTION("""COMPUTED_VALUE"""),"David")</f>
        <v>David</v>
      </c>
      <c r="E828" s="42" t="str">
        <f>IFERROR(__xludf.DUMMYFUNCTION("""COMPUTED_VALUE"""),"DISERAHKAN")</f>
        <v>DISERAHKAN</v>
      </c>
      <c r="F828" s="48" t="str">
        <f>IFERROR(__xludf.DUMMYFUNCTION("""COMPUTED_VALUE"""),"16/12/2024 16.55")</f>
        <v>16/12/2024 16.55</v>
      </c>
      <c r="G828" s="42" t="str">
        <f>IFERROR(__xludf.DUMMYFUNCTION("""COMPUTED_VALUE"""),"BN JUAL BELI")</f>
        <v>BN JUAL BELI</v>
      </c>
      <c r="H828" s="42">
        <f t="shared" si="1"/>
        <v>428</v>
      </c>
    </row>
    <row r="829" ht="22.5" customHeight="1">
      <c r="B829" s="42" t="str">
        <f>IFERROR(__xludf.DUMMYFUNCTION("""COMPUTED_VALUE"""),"K/16/111224/2")</f>
        <v>K/16/111224/2</v>
      </c>
      <c r="C829" s="42" t="str">
        <f>IFERROR(__xludf.DUMMYFUNCTION("""COMPUTED_VALUE"""),"Nibel 6440/ Rajabasa Pemuka")</f>
        <v>Nibel 6440/ Rajabasa Pemuka</v>
      </c>
      <c r="D829" s="42"/>
      <c r="E829" s="42"/>
      <c r="F829" s="48" t="str">
        <f>IFERROR(__xludf.DUMMYFUNCTION("""COMPUTED_VALUE"""),"")</f>
        <v/>
      </c>
      <c r="G829" s="42" t="str">
        <f>IFERROR(__xludf.DUMMYFUNCTION("""COMPUTED_VALUE"""),"BN JUAL BELI")</f>
        <v>BN JUAL BELI</v>
      </c>
      <c r="H829" s="42">
        <f t="shared" si="1"/>
        <v>428</v>
      </c>
    </row>
    <row r="830" ht="22.5" customHeight="1">
      <c r="B830" s="42" t="str">
        <f>IFERROR(__xludf.DUMMYFUNCTION("""COMPUTED_VALUE"""),"L/17/111224/1")</f>
        <v>L/17/111224/1</v>
      </c>
      <c r="C830" s="42" t="str">
        <f>IFERROR(__xludf.DUMMYFUNCTION("""COMPUTED_VALUE"""),"HGB 175/SS")</f>
        <v>HGB 175/SS</v>
      </c>
      <c r="D830" s="42" t="str">
        <f>IFERROR(__xludf.DUMMYFUNCTION("""COMPUTED_VALUE"""),"David")</f>
        <v>David</v>
      </c>
      <c r="E830" s="42" t="str">
        <f>IFERROR(__xludf.DUMMYFUNCTION("""COMPUTED_VALUE"""),"PROSES")</f>
        <v>PROSES</v>
      </c>
      <c r="F830" s="48" t="str">
        <f>IFERROR(__xludf.DUMMYFUNCTION("""COMPUTED_VALUE"""),"")</f>
        <v/>
      </c>
      <c r="G830" s="42" t="str">
        <f>IFERROR(__xludf.DUMMYFUNCTION("""COMPUTED_VALUE"""),"BN WARIS")</f>
        <v>BN WARIS</v>
      </c>
      <c r="H830" s="42">
        <f t="shared" si="1"/>
        <v>428</v>
      </c>
    </row>
    <row r="831" ht="22.5" customHeight="1">
      <c r="B831" s="42" t="str">
        <f>IFERROR(__xludf.DUMMYFUNCTION("""COMPUTED_VALUE"""),"K/18/111224/1")</f>
        <v>K/18/111224/1</v>
      </c>
      <c r="C831" s="42" t="str">
        <f>IFERROR(__xludf.DUMMYFUNCTION("""COMPUTED_VALUE"""),"M. 11125/ Sukarame I")</f>
        <v>M. 11125/ Sukarame I</v>
      </c>
      <c r="D831" s="42"/>
      <c r="E831" s="42"/>
      <c r="F831" s="48" t="str">
        <f>IFERROR(__xludf.DUMMYFUNCTION("""COMPUTED_VALUE"""),"")</f>
        <v/>
      </c>
      <c r="G831" s="42" t="str">
        <f>IFERROR(__xludf.DUMMYFUNCTION("""COMPUTED_VALUE"""),"PLOTTING")</f>
        <v>PLOTTING</v>
      </c>
      <c r="H831" s="42">
        <f t="shared" si="1"/>
        <v>428</v>
      </c>
    </row>
    <row r="832" ht="22.5" customHeight="1">
      <c r="B832" s="42" t="str">
        <f>IFERROR(__xludf.DUMMYFUNCTION("""COMPUTED_VALUE"""),"K/21/111224/3")</f>
        <v>K/21/111224/3</v>
      </c>
      <c r="C832" s="42" t="str">
        <f>IFERROR(__xludf.DUMMYFUNCTION("""COMPUTED_VALUE"""),"M. 2380/ Sukarame Baru")</f>
        <v>M. 2380/ Sukarame Baru</v>
      </c>
      <c r="D832" s="42" t="str">
        <f>IFERROR(__xludf.DUMMYFUNCTION("""COMPUTED_VALUE"""),"David")</f>
        <v>David</v>
      </c>
      <c r="E832" s="42" t="str">
        <f>IFERROR(__xludf.DUMMYFUNCTION("""COMPUTED_VALUE"""),"PROSES")</f>
        <v>PROSES</v>
      </c>
      <c r="F832" s="48" t="str">
        <f>IFERROR(__xludf.DUMMYFUNCTION("""COMPUTED_VALUE"""),"")</f>
        <v/>
      </c>
      <c r="G832" s="42" t="str">
        <f>IFERROR(__xludf.DUMMYFUNCTION("""COMPUTED_VALUE"""),"BN Jual Beli")</f>
        <v>BN Jual Beli</v>
      </c>
      <c r="H832" s="42">
        <f t="shared" si="1"/>
        <v>428</v>
      </c>
    </row>
    <row r="833" ht="22.5" customHeight="1">
      <c r="B833" s="42" t="str">
        <f>IFERROR(__xludf.DUMMYFUNCTION("""COMPUTED_VALUE"""),"L/24/111224/1")</f>
        <v>L/24/111224/1</v>
      </c>
      <c r="C833" s="42" t="str">
        <f>IFERROR(__xludf.DUMMYFUNCTION("""COMPUTED_VALUE"""),"KEDATON")</f>
        <v>KEDATON</v>
      </c>
      <c r="D833" s="42"/>
      <c r="E833" s="42"/>
      <c r="F833" s="48" t="str">
        <f>IFERROR(__xludf.DUMMYFUNCTION("""COMPUTED_VALUE"""),"")</f>
        <v/>
      </c>
      <c r="G833" s="42" t="str">
        <f>IFERROR(__xludf.DUMMYFUNCTION("""COMPUTED_VALUE"""),"PERMOHONAN SK")</f>
        <v>PERMOHONAN SK</v>
      </c>
      <c r="H833" s="42">
        <f t="shared" si="1"/>
        <v>428</v>
      </c>
    </row>
    <row r="834" ht="22.5" customHeight="1">
      <c r="B834" s="42" t="str">
        <f>IFERROR(__xludf.DUMMYFUNCTION("""COMPUTED_VALUE"""),"L/25/111224/1")</f>
        <v>L/25/111224/1</v>
      </c>
      <c r="C834" s="42" t="str">
        <f>IFERROR(__xludf.DUMMYFUNCTION("""COMPUTED_VALUE"""),"HM 1201/KOTA BARU")</f>
        <v>HM 1201/KOTA BARU</v>
      </c>
      <c r="D834" s="42" t="str">
        <f>IFERROR(__xludf.DUMMYFUNCTION("""COMPUTED_VALUE"""),"David")</f>
        <v>David</v>
      </c>
      <c r="E834" s="42" t="str">
        <f>IFERROR(__xludf.DUMMYFUNCTION("""COMPUTED_VALUE"""),"DISERAHKAN")</f>
        <v>DISERAHKAN</v>
      </c>
      <c r="F834" s="48" t="str">
        <f>IFERROR(__xludf.DUMMYFUNCTION("""COMPUTED_VALUE"""),"16/12/2024 16.57")</f>
        <v>16/12/2024 16.57</v>
      </c>
      <c r="G834" s="42" t="str">
        <f>IFERROR(__xludf.DUMMYFUNCTION("""COMPUTED_VALUE"""),"ROYA")</f>
        <v>ROYA</v>
      </c>
      <c r="H834" s="42">
        <f t="shared" si="1"/>
        <v>429</v>
      </c>
    </row>
    <row r="835" ht="22.5" customHeight="1">
      <c r="B835" s="42" t="str">
        <f>IFERROR(__xludf.DUMMYFUNCTION("""COMPUTED_VALUE"""),"K/26/111224/1")</f>
        <v>K/26/111224/1</v>
      </c>
      <c r="C835" s="42" t="str">
        <f>IFERROR(__xludf.DUMMYFUNCTION("""COMPUTED_VALUE"""),"M.4338/WAY KANDIS")</f>
        <v>M.4338/WAY KANDIS</v>
      </c>
      <c r="D835" s="42"/>
      <c r="E835" s="42"/>
      <c r="F835" s="48" t="str">
        <f>IFERROR(__xludf.DUMMYFUNCTION("""COMPUTED_VALUE"""),"")</f>
        <v/>
      </c>
      <c r="G835" s="42" t="str">
        <f>IFERROR(__xludf.DUMMYFUNCTION("""COMPUTED_VALUE"""),"HAPUS BPHTB")</f>
        <v>HAPUS BPHTB</v>
      </c>
      <c r="H835" s="42">
        <f t="shared" si="1"/>
        <v>429</v>
      </c>
    </row>
    <row r="836" ht="22.5" customHeight="1">
      <c r="B836" s="42" t="str">
        <f>IFERROR(__xludf.DUMMYFUNCTION("""COMPUTED_VALUE"""),"K/14/111224/1")</f>
        <v>K/14/111224/1</v>
      </c>
      <c r="C836" s="42" t="str">
        <f>IFERROR(__xludf.DUMMYFUNCTION("""COMPUTED_VALUE"""),"M.149/SUKARAME BARU")</f>
        <v>M.149/SUKARAME BARU</v>
      </c>
      <c r="D836" s="42" t="str">
        <f>IFERROR(__xludf.DUMMYFUNCTION("""COMPUTED_VALUE"""),"David")</f>
        <v>David</v>
      </c>
      <c r="E836" s="42" t="str">
        <f>IFERROR(__xludf.DUMMYFUNCTION("""COMPUTED_VALUE"""),"PROSES")</f>
        <v>PROSES</v>
      </c>
      <c r="F836" s="48" t="str">
        <f>IFERROR(__xludf.DUMMYFUNCTION("""COMPUTED_VALUE"""),"")</f>
        <v/>
      </c>
      <c r="G836" s="42" t="str">
        <f>IFERROR(__xludf.DUMMYFUNCTION("""COMPUTED_VALUE"""),"ROYA")</f>
        <v>ROYA</v>
      </c>
      <c r="H836" s="42">
        <f t="shared" si="1"/>
        <v>429</v>
      </c>
    </row>
    <row r="837" ht="22.5" customHeight="1">
      <c r="B837" s="42" t="str">
        <f>IFERROR(__xludf.DUMMYFUNCTION("""COMPUTED_VALUE"""),"L/29/111224/1")</f>
        <v>L/29/111224/1</v>
      </c>
      <c r="C837" s="42" t="str">
        <f>IFERROR(__xludf.DUMMYFUNCTION("""COMPUTED_VALUE"""),"HGB 170/PINANG JAYA")</f>
        <v>HGB 170/PINANG JAYA</v>
      </c>
      <c r="D837" s="42" t="str">
        <f>IFERROR(__xludf.DUMMYFUNCTION("""COMPUTED_VALUE"""),"David")</f>
        <v>David</v>
      </c>
      <c r="E837" s="42" t="str">
        <f>IFERROR(__xludf.DUMMYFUNCTION("""COMPUTED_VALUE"""),"DISERAHKAN")</f>
        <v>DISERAHKAN</v>
      </c>
      <c r="F837" s="48">
        <f>IFERROR(__xludf.DUMMYFUNCTION("""COMPUTED_VALUE"""),45671.70236833333)</f>
        <v>45671.70237</v>
      </c>
      <c r="G837" s="42" t="str">
        <f>IFERROR(__xludf.DUMMYFUNCTION("""COMPUTED_VALUE"""),"PH")</f>
        <v>PH</v>
      </c>
      <c r="H837" s="42">
        <f t="shared" si="1"/>
        <v>430</v>
      </c>
    </row>
    <row r="838" ht="22.5" customHeight="1">
      <c r="B838" s="42" t="str">
        <f>IFERROR(__xludf.DUMMYFUNCTION("""COMPUTED_VALUE"""),"K/30/111224/1")</f>
        <v>K/30/111224/1</v>
      </c>
      <c r="C838" s="42" t="str">
        <f>IFERROR(__xludf.DUMMYFUNCTION("""COMPUTED_VALUE"""),"M. 2373/ Kedaung")</f>
        <v>M. 2373/ Kedaung</v>
      </c>
      <c r="D838" s="42" t="str">
        <f>IFERROR(__xludf.DUMMYFUNCTION("""COMPUTED_VALUE"""),"David")</f>
        <v>David</v>
      </c>
      <c r="E838" s="42" t="str">
        <f>IFERROR(__xludf.DUMMYFUNCTION("""COMPUTED_VALUE"""),"PROSES")</f>
        <v>PROSES</v>
      </c>
      <c r="F838" s="48" t="str">
        <f>IFERROR(__xludf.DUMMYFUNCTION("""COMPUTED_VALUE"""),"")</f>
        <v/>
      </c>
      <c r="G838" s="42" t="str">
        <f>IFERROR(__xludf.DUMMYFUNCTION("""COMPUTED_VALUE"""),"BN JUAL HIBAH")</f>
        <v>BN JUAL HIBAH</v>
      </c>
      <c r="H838" s="42">
        <f t="shared" si="1"/>
        <v>430</v>
      </c>
    </row>
    <row r="839" ht="22.5" customHeight="1">
      <c r="B839" s="42" t="str">
        <f>IFERROR(__xludf.DUMMYFUNCTION("""COMPUTED_VALUE"""),"K/32/111224/1")</f>
        <v>K/32/111224/1</v>
      </c>
      <c r="C839" s="42" t="str">
        <f>IFERROR(__xludf.DUMMYFUNCTION("""COMPUTED_VALUE"""),"M. 6460/ Way Kandis")</f>
        <v>M. 6460/ Way Kandis</v>
      </c>
      <c r="D839" s="42" t="str">
        <f>IFERROR(__xludf.DUMMYFUNCTION("""COMPUTED_VALUE"""),"David")</f>
        <v>David</v>
      </c>
      <c r="E839" s="42" t="str">
        <f>IFERROR(__xludf.DUMMYFUNCTION("""COMPUTED_VALUE"""),"DISERAHKAN")</f>
        <v>DISERAHKAN</v>
      </c>
      <c r="F839" s="48" t="str">
        <f>IFERROR(__xludf.DUMMYFUNCTION("""COMPUTED_VALUE"""),"16/12/2024 16.58")</f>
        <v>16/12/2024 16.58</v>
      </c>
      <c r="G839" s="42" t="str">
        <f>IFERROR(__xludf.DUMMYFUNCTION("""COMPUTED_VALUE"""),"BN Jual Beli")</f>
        <v>BN Jual Beli</v>
      </c>
      <c r="H839" s="42">
        <f t="shared" si="1"/>
        <v>431</v>
      </c>
    </row>
    <row r="840" ht="22.5" customHeight="1">
      <c r="B840" s="42" t="str">
        <f>IFERROR(__xludf.DUMMYFUNCTION("""COMPUTED_VALUE"""),"K/33/111224/2")</f>
        <v>K/33/111224/2</v>
      </c>
      <c r="C840" s="42" t="str">
        <f>IFERROR(__xludf.DUMMYFUNCTION("""COMPUTED_VALUE"""),"M. 6463/ Way Kandis")</f>
        <v>M. 6463/ Way Kandis</v>
      </c>
      <c r="D840" s="42" t="str">
        <f>IFERROR(__xludf.DUMMYFUNCTION("""COMPUTED_VALUE"""),"David")</f>
        <v>David</v>
      </c>
      <c r="E840" s="42" t="str">
        <f>IFERROR(__xludf.DUMMYFUNCTION("""COMPUTED_VALUE"""),"DISERAHKAN")</f>
        <v>DISERAHKAN</v>
      </c>
      <c r="F840" s="48" t="str">
        <f>IFERROR(__xludf.DUMMYFUNCTION("""COMPUTED_VALUE"""),"16/12/2024 16.58")</f>
        <v>16/12/2024 16.58</v>
      </c>
      <c r="G840" s="42" t="str">
        <f>IFERROR(__xludf.DUMMYFUNCTION("""COMPUTED_VALUE"""),"BN Jual Beli")</f>
        <v>BN Jual Beli</v>
      </c>
      <c r="H840" s="42">
        <f t="shared" si="1"/>
        <v>432</v>
      </c>
    </row>
    <row r="841" ht="22.5" customHeight="1">
      <c r="B841" s="42" t="str">
        <f>IFERROR(__xludf.DUMMYFUNCTION("""COMPUTED_VALUE"""),"L/35/111224/1")</f>
        <v>L/35/111224/1</v>
      </c>
      <c r="C841" s="42" t="str">
        <f>IFERROR(__xludf.DUMMYFUNCTION("""COMPUTED_VALUE"""),"PEMATANG WANGI")</f>
        <v>PEMATANG WANGI</v>
      </c>
      <c r="D841" s="42"/>
      <c r="E841" s="42"/>
      <c r="F841" s="48" t="str">
        <f>IFERROR(__xludf.DUMMYFUNCTION("""COMPUTED_VALUE"""),"")</f>
        <v/>
      </c>
      <c r="G841" s="42" t="str">
        <f>IFERROR(__xludf.DUMMYFUNCTION("""COMPUTED_VALUE"""),"ASPEK")</f>
        <v>ASPEK</v>
      </c>
      <c r="H841" s="42">
        <f t="shared" si="1"/>
        <v>432</v>
      </c>
    </row>
    <row r="842" ht="22.5" customHeight="1">
      <c r="B842" s="42" t="str">
        <f>IFERROR(__xludf.DUMMYFUNCTION("""COMPUTED_VALUE"""),"L/36/111224/1")</f>
        <v>L/36/111224/1</v>
      </c>
      <c r="C842" s="42" t="str">
        <f>IFERROR(__xludf.DUMMYFUNCTION("""COMPUTED_VALUE"""),"NIB 2436/SUKAMENANTI")</f>
        <v>NIB 2436/SUKAMENANTI</v>
      </c>
      <c r="D842" s="42"/>
      <c r="E842" s="42"/>
      <c r="F842" s="48" t="str">
        <f>IFERROR(__xludf.DUMMYFUNCTION("""COMPUTED_VALUE"""),"")</f>
        <v/>
      </c>
      <c r="G842" s="42" t="str">
        <f>IFERROR(__xludf.DUMMYFUNCTION("""COMPUTED_VALUE"""),"BN WARIS")</f>
        <v>BN WARIS</v>
      </c>
      <c r="H842" s="42">
        <f t="shared" si="1"/>
        <v>432</v>
      </c>
    </row>
    <row r="843" ht="22.5" customHeight="1">
      <c r="B843" s="42" t="str">
        <f>IFERROR(__xludf.DUMMYFUNCTION("""COMPUTED_VALUE"""),"K/37/111224/1")</f>
        <v>K/37/111224/1</v>
      </c>
      <c r="C843" s="42" t="str">
        <f>IFERROR(__xludf.DUMMYFUNCTION("""COMPUTED_VALUE"""),"M. 483/ Langkapura Baru")</f>
        <v>M. 483/ Langkapura Baru</v>
      </c>
      <c r="D843" s="42"/>
      <c r="E843" s="42"/>
      <c r="F843" s="48" t="str">
        <f>IFERROR(__xludf.DUMMYFUNCTION("""COMPUTED_VALUE"""),"")</f>
        <v/>
      </c>
      <c r="G843" s="42" t="str">
        <f>IFERROR(__xludf.DUMMYFUNCTION("""COMPUTED_VALUE"""),"HAPUS BPHTB")</f>
        <v>HAPUS BPHTB</v>
      </c>
      <c r="H843" s="42">
        <f t="shared" si="1"/>
        <v>432</v>
      </c>
    </row>
    <row r="844" ht="22.5" customHeight="1">
      <c r="B844" s="42" t="str">
        <f>IFERROR(__xludf.DUMMYFUNCTION("""COMPUTED_VALUE"""),"L/39/111224/1")</f>
        <v>L/39/111224/1</v>
      </c>
      <c r="C844" s="42" t="str">
        <f>IFERROR(__xludf.DUMMYFUNCTION("""COMPUTED_VALUE"""),"KEBON JERUK")</f>
        <v>KEBON JERUK</v>
      </c>
      <c r="D844" s="42"/>
      <c r="E844" s="42"/>
      <c r="F844" s="48" t="str">
        <f>IFERROR(__xludf.DUMMYFUNCTION("""COMPUTED_VALUE"""),"")</f>
        <v/>
      </c>
      <c r="G844" s="42" t="str">
        <f>IFERROR(__xludf.DUMMYFUNCTION("""COMPUTED_VALUE"""),"TANAH MENTAH")</f>
        <v>TANAH MENTAH</v>
      </c>
      <c r="H844" s="42">
        <f t="shared" si="1"/>
        <v>432</v>
      </c>
    </row>
    <row r="845" ht="22.5" customHeight="1">
      <c r="B845" s="42" t="str">
        <f>IFERROR(__xludf.DUMMYFUNCTION("""COMPUTED_VALUE"""),"K/40/111224/1")</f>
        <v>K/40/111224/1</v>
      </c>
      <c r="C845" s="42" t="str">
        <f>IFERROR(__xludf.DUMMYFUNCTION("""COMPUTED_VALUE"""),"M. 2275/ Way Laga")</f>
        <v>M. 2275/ Way Laga</v>
      </c>
      <c r="D845" s="42"/>
      <c r="E845" s="42"/>
      <c r="F845" s="48" t="str">
        <f>IFERROR(__xludf.DUMMYFUNCTION("""COMPUTED_VALUE"""),"")</f>
        <v/>
      </c>
      <c r="G845" s="42" t="str">
        <f>IFERROR(__xludf.DUMMYFUNCTION("""COMPUTED_VALUE"""),"HAPUS BPHTB")</f>
        <v>HAPUS BPHTB</v>
      </c>
      <c r="H845" s="42">
        <f t="shared" si="1"/>
        <v>432</v>
      </c>
    </row>
    <row r="846" ht="22.5" customHeight="1">
      <c r="B846" s="42" t="str">
        <f>IFERROR(__xludf.DUMMYFUNCTION("""COMPUTED_VALUE"""),"K/41/111224/1")</f>
        <v>K/41/111224/1</v>
      </c>
      <c r="C846" s="42" t="str">
        <f>IFERROR(__xludf.DUMMYFUNCTION("""COMPUTED_VALUE"""),"M. 2330/ Sepang Jaya")</f>
        <v>M. 2330/ Sepang Jaya</v>
      </c>
      <c r="D846" s="42"/>
      <c r="E846" s="42"/>
      <c r="F846" s="48" t="str">
        <f>IFERROR(__xludf.DUMMYFUNCTION("""COMPUTED_VALUE"""),"")</f>
        <v/>
      </c>
      <c r="G846" s="42" t="str">
        <f>IFERROR(__xludf.DUMMYFUNCTION("""COMPUTED_VALUE"""),"Pengecekan")</f>
        <v>Pengecekan</v>
      </c>
      <c r="H846" s="42">
        <f t="shared" si="1"/>
        <v>432</v>
      </c>
    </row>
    <row r="847" ht="22.5" customHeight="1">
      <c r="B847" s="42" t="str">
        <f>IFERROR(__xludf.DUMMYFUNCTION("""COMPUTED_VALUE"""),"L/44/111224/1")</f>
        <v>L/44/111224/1</v>
      </c>
      <c r="C847" s="42" t="str">
        <f>IFERROR(__xludf.DUMMYFUNCTION("""COMPUTED_VALUE"""),"HGB 637/CAMPANG RAYA")</f>
        <v>HGB 637/CAMPANG RAYA</v>
      </c>
      <c r="D847" s="42" t="str">
        <f>IFERROR(__xludf.DUMMYFUNCTION("""COMPUTED_VALUE"""),"David")</f>
        <v>David</v>
      </c>
      <c r="E847" s="42" t="str">
        <f>IFERROR(__xludf.DUMMYFUNCTION("""COMPUTED_VALUE"""),"DISERAHKAN")</f>
        <v>DISERAHKAN</v>
      </c>
      <c r="F847" s="48" t="str">
        <f>IFERROR(__xludf.DUMMYFUNCTION("""COMPUTED_VALUE"""),"16/12/2024 16.58")</f>
        <v>16/12/2024 16.58</v>
      </c>
      <c r="G847" s="42" t="str">
        <f>IFERROR(__xludf.DUMMYFUNCTION("""COMPUTED_VALUE"""),"PH")</f>
        <v>PH</v>
      </c>
      <c r="H847" s="42">
        <f t="shared" si="1"/>
        <v>433</v>
      </c>
    </row>
    <row r="848" ht="22.5" customHeight="1">
      <c r="B848" s="42" t="str">
        <f>IFERROR(__xludf.DUMMYFUNCTION("""COMPUTED_VALUE"""),"L/47/111224/1")</f>
        <v>L/47/111224/1</v>
      </c>
      <c r="C848" s="42" t="str">
        <f>IFERROR(__xludf.DUMMYFUNCTION("""COMPUTED_VALUE"""),"HM 1626/LABUHAN DALAM")</f>
        <v>HM 1626/LABUHAN DALAM</v>
      </c>
      <c r="D848" s="42"/>
      <c r="E848" s="42" t="str">
        <f>IFERROR(__xludf.DUMMYFUNCTION("""COMPUTED_VALUE"""),"DISERAHKAN")</f>
        <v>DISERAHKAN</v>
      </c>
      <c r="F848" s="48" t="str">
        <f>IFERROR(__xludf.DUMMYFUNCTION("""COMPUTED_VALUE"""),"16/12/2024 16.46")</f>
        <v>16/12/2024 16.46</v>
      </c>
      <c r="G848" s="42" t="str">
        <f>IFERROR(__xludf.DUMMYFUNCTION("""COMPUTED_VALUE"""),"ROYA WARIS")</f>
        <v>ROYA WARIS</v>
      </c>
      <c r="H848" s="42">
        <f t="shared" si="1"/>
        <v>434</v>
      </c>
    </row>
    <row r="849" ht="22.5" customHeight="1">
      <c r="B849" s="42" t="str">
        <f>IFERROR(__xludf.DUMMYFUNCTION("""COMPUTED_VALUE"""),"K/45/111224/1")</f>
        <v>K/45/111224/1</v>
      </c>
      <c r="C849" s="42" t="str">
        <f>IFERROR(__xludf.DUMMYFUNCTION("""COMPUTED_VALUE"""),"NIBEL M. 1763/PERUMNAS WAY HALIM")</f>
        <v>NIBEL M. 1763/PERUMNAS WAY HALIM</v>
      </c>
      <c r="D849" s="42"/>
      <c r="E849" s="42"/>
      <c r="F849" s="48" t="str">
        <f>IFERROR(__xludf.DUMMYFUNCTION("""COMPUTED_VALUE"""),"")</f>
        <v/>
      </c>
      <c r="G849" s="42" t="str">
        <f>IFERROR(__xludf.DUMMYFUNCTION("""COMPUTED_VALUE"""),"BN JUAL BELI")</f>
        <v>BN JUAL BELI</v>
      </c>
      <c r="H849" s="42">
        <f t="shared" si="1"/>
        <v>434</v>
      </c>
    </row>
    <row r="850" ht="22.5" customHeight="1">
      <c r="B850" s="42" t="str">
        <f>IFERROR(__xludf.DUMMYFUNCTION("""COMPUTED_VALUE"""),"K/46/111224/2")</f>
        <v>K/46/111224/2</v>
      </c>
      <c r="C850" s="42" t="str">
        <f>IFERROR(__xludf.DUMMYFUNCTION("""COMPUTED_VALUE"""),"M.5548/WAY KANDIS")</f>
        <v>M.5548/WAY KANDIS</v>
      </c>
      <c r="D850" s="42" t="str">
        <f>IFERROR(__xludf.DUMMYFUNCTION("""COMPUTED_VALUE"""),"David")</f>
        <v>David</v>
      </c>
      <c r="E850" s="42" t="str">
        <f>IFERROR(__xludf.DUMMYFUNCTION("""COMPUTED_VALUE"""),"DISERAHKAN")</f>
        <v>DISERAHKAN</v>
      </c>
      <c r="F850" s="48" t="str">
        <f>IFERROR(__xludf.DUMMYFUNCTION("""COMPUTED_VALUE"""),"16/12/2024 16.59")</f>
        <v>16/12/2024 16.59</v>
      </c>
      <c r="G850" s="42" t="str">
        <f>IFERROR(__xludf.DUMMYFUNCTION("""COMPUTED_VALUE"""),"BN JUAL BELI")</f>
        <v>BN JUAL BELI</v>
      </c>
      <c r="H850" s="42">
        <f t="shared" si="1"/>
        <v>435</v>
      </c>
    </row>
    <row r="851" ht="22.5" customHeight="1">
      <c r="B851" s="42" t="str">
        <f>IFERROR(__xludf.DUMMYFUNCTION("""COMPUTED_VALUE"""),"K/49/111224/2")</f>
        <v>K/49/111224/2</v>
      </c>
      <c r="C851" s="42" t="str">
        <f>IFERROR(__xludf.DUMMYFUNCTION("""COMPUTED_VALUE"""),"M. 5059/ Rajabasa Jaya")</f>
        <v>M. 5059/ Rajabasa Jaya</v>
      </c>
      <c r="D851" s="42"/>
      <c r="E851" s="42"/>
      <c r="F851" s="48" t="str">
        <f>IFERROR(__xludf.DUMMYFUNCTION("""COMPUTED_VALUE"""),"")</f>
        <v/>
      </c>
      <c r="G851" s="42" t="str">
        <f>IFERROR(__xludf.DUMMYFUNCTION("""COMPUTED_VALUE"""),"PTPGT PEMECAHAN")</f>
        <v>PTPGT PEMECAHAN</v>
      </c>
      <c r="H851" s="42">
        <f t="shared" si="1"/>
        <v>435</v>
      </c>
    </row>
    <row r="852" ht="22.5" customHeight="1">
      <c r="B852" s="42" t="str">
        <f>IFERROR(__xludf.DUMMYFUNCTION("""COMPUTED_VALUE"""),"K/51/111224/1")</f>
        <v>K/51/111224/1</v>
      </c>
      <c r="C852" s="42" t="str">
        <f>IFERROR(__xludf.DUMMYFUNCTION("""COMPUTED_VALUE"""),"M.1536/GUNUNG TERANG-SEKARANG;B.134/GUNUNG TERANG-DAHULU")</f>
        <v>M.1536/GUNUNG TERANG-SEKARANG;B.134/GUNUNG TERANG-DAHULU</v>
      </c>
      <c r="D852" s="42" t="str">
        <f>IFERROR(__xludf.DUMMYFUNCTION("""COMPUTED_VALUE"""),"David")</f>
        <v>David</v>
      </c>
      <c r="E852" s="42" t="str">
        <f>IFERROR(__xludf.DUMMYFUNCTION("""COMPUTED_VALUE"""),"DISERAHKAN BT")</f>
        <v>DISERAHKAN BT</v>
      </c>
      <c r="F852" s="48" t="str">
        <f>IFERROR(__xludf.DUMMYFUNCTION("""COMPUTED_VALUE"""),"16/12/2024 17.00")</f>
        <v>16/12/2024 17.00</v>
      </c>
      <c r="G852" s="42" t="str">
        <f>IFERROR(__xludf.DUMMYFUNCTION("""COMPUTED_VALUE"""),"KEWARISAN")</f>
        <v>KEWARISAN</v>
      </c>
      <c r="H852" s="42">
        <f t="shared" si="1"/>
        <v>435</v>
      </c>
    </row>
    <row r="853" ht="22.5" customHeight="1">
      <c r="B853" s="42" t="str">
        <f>IFERROR(__xludf.DUMMYFUNCTION("""COMPUTED_VALUE"""),"K/1/121224/1")</f>
        <v>K/1/121224/1</v>
      </c>
      <c r="C853" s="42" t="str">
        <f>IFERROR(__xludf.DUMMYFUNCTION("""COMPUTED_VALUE"""),"M. 228/ Pidada")</f>
        <v>M. 228/ Pidada</v>
      </c>
      <c r="D853" s="42" t="str">
        <f>IFERROR(__xludf.DUMMYFUNCTION("""COMPUTED_VALUE"""),"David")</f>
        <v>David</v>
      </c>
      <c r="E853" s="42" t="str">
        <f>IFERROR(__xludf.DUMMYFUNCTION("""COMPUTED_VALUE"""),"DISERAHKAN")</f>
        <v>DISERAHKAN</v>
      </c>
      <c r="F853" s="48" t="str">
        <f>IFERROR(__xludf.DUMMYFUNCTION("""COMPUTED_VALUE"""),"16/12/2024 17.00")</f>
        <v>16/12/2024 17.00</v>
      </c>
      <c r="G853" s="42" t="str">
        <f>IFERROR(__xludf.DUMMYFUNCTION("""COMPUTED_VALUE"""),"BN Jual Beli")</f>
        <v>BN Jual Beli</v>
      </c>
      <c r="H853" s="42">
        <f t="shared" si="1"/>
        <v>436</v>
      </c>
    </row>
    <row r="854" ht="22.5" customHeight="1">
      <c r="B854" s="42" t="str">
        <f>IFERROR(__xludf.DUMMYFUNCTION("""COMPUTED_VALUE"""),"K/2/121224/1")</f>
        <v>K/2/121224/1</v>
      </c>
      <c r="C854" s="42" t="str">
        <f>IFERROR(__xludf.DUMMYFUNCTION("""COMPUTED_VALUE"""),"M.16656/SUKABUMI")</f>
        <v>M.16656/SUKABUMI</v>
      </c>
      <c r="D854" s="42" t="str">
        <f>IFERROR(__xludf.DUMMYFUNCTION("""COMPUTED_VALUE"""),"David")</f>
        <v>David</v>
      </c>
      <c r="E854" s="42" t="str">
        <f>IFERROR(__xludf.DUMMYFUNCTION("""COMPUTED_VALUE"""),"DISERAHKAN")</f>
        <v>DISERAHKAN</v>
      </c>
      <c r="F854" s="48" t="str">
        <f>IFERROR(__xludf.DUMMYFUNCTION("""COMPUTED_VALUE"""),"16/12/2024 17.00")</f>
        <v>16/12/2024 17.00</v>
      </c>
      <c r="G854" s="42" t="str">
        <f>IFERROR(__xludf.DUMMYFUNCTION("""COMPUTED_VALUE"""),"BN JUAL BELI")</f>
        <v>BN JUAL BELI</v>
      </c>
      <c r="H854" s="42">
        <f t="shared" si="1"/>
        <v>437</v>
      </c>
    </row>
    <row r="855" ht="22.5" customHeight="1">
      <c r="B855" s="42" t="str">
        <f>IFERROR(__xludf.DUMMYFUNCTION("""COMPUTED_VALUE"""),"K/3/121224/2")</f>
        <v>K/3/121224/2</v>
      </c>
      <c r="C855" s="42" t="str">
        <f>IFERROR(__xludf.DUMMYFUNCTION("""COMPUTED_VALUE"""),"M.7025/TANJUNG SENENG")</f>
        <v>M.7025/TANJUNG SENENG</v>
      </c>
      <c r="D855" s="42" t="str">
        <f>IFERROR(__xludf.DUMMYFUNCTION("""COMPUTED_VALUE"""),"David")</f>
        <v>David</v>
      </c>
      <c r="E855" s="42" t="str">
        <f>IFERROR(__xludf.DUMMYFUNCTION("""COMPUTED_VALUE"""),"PROSES")</f>
        <v>PROSES</v>
      </c>
      <c r="F855" s="48" t="str">
        <f>IFERROR(__xludf.DUMMYFUNCTION("""COMPUTED_VALUE"""),"")</f>
        <v/>
      </c>
      <c r="G855" s="42" t="str">
        <f>IFERROR(__xludf.DUMMYFUNCTION("""COMPUTED_VALUE"""),"BN JUAL BELI")</f>
        <v>BN JUAL BELI</v>
      </c>
      <c r="H855" s="42">
        <f t="shared" si="1"/>
        <v>437</v>
      </c>
    </row>
    <row r="856" ht="22.5" customHeight="1">
      <c r="B856" s="42" t="str">
        <f>IFERROR(__xludf.DUMMYFUNCTION("""COMPUTED_VALUE"""),"L/6/121224/1")</f>
        <v>L/6/121224/1</v>
      </c>
      <c r="C856" s="42" t="str">
        <f>IFERROR(__xludf.DUMMYFUNCTION("""COMPUTED_VALUE"""),"SRENGSEM")</f>
        <v>SRENGSEM</v>
      </c>
      <c r="D856" s="42"/>
      <c r="E856" s="42"/>
      <c r="F856" s="48" t="str">
        <f>IFERROR(__xludf.DUMMYFUNCTION("""COMPUTED_VALUE"""),"")</f>
        <v/>
      </c>
      <c r="G856" s="42" t="str">
        <f>IFERROR(__xludf.DUMMYFUNCTION("""COMPUTED_VALUE"""),"ASPEK")</f>
        <v>ASPEK</v>
      </c>
      <c r="H856" s="42">
        <f t="shared" si="1"/>
        <v>437</v>
      </c>
    </row>
    <row r="857" ht="22.5" customHeight="1">
      <c r="B857" s="42" t="str">
        <f>IFERROR(__xludf.DUMMYFUNCTION("""COMPUTED_VALUE"""),"K/10/121224/1")</f>
        <v>K/10/121224/1</v>
      </c>
      <c r="C857" s="42" t="str">
        <f>IFERROR(__xludf.DUMMYFUNCTION("""COMPUTED_VALUE"""),"M.1362/PENGAJARAN")</f>
        <v>M.1362/PENGAJARAN</v>
      </c>
      <c r="D857" s="42"/>
      <c r="E857" s="42"/>
      <c r="F857" s="48" t="str">
        <f>IFERROR(__xludf.DUMMYFUNCTION("""COMPUTED_VALUE"""),"")</f>
        <v/>
      </c>
      <c r="G857" s="42" t="str">
        <f>IFERROR(__xludf.DUMMYFUNCTION("""COMPUTED_VALUE"""),"PENGECEKAN")</f>
        <v>PENGECEKAN</v>
      </c>
      <c r="H857" s="42">
        <f t="shared" si="1"/>
        <v>437</v>
      </c>
    </row>
    <row r="858" ht="22.5" customHeight="1">
      <c r="B858" s="42" t="str">
        <f>IFERROR(__xludf.DUMMYFUNCTION("""COMPUTED_VALUE"""),"L/12/121224/1")</f>
        <v>L/12/121224/1</v>
      </c>
      <c r="C858" s="42" t="str">
        <f>IFERROR(__xludf.DUMMYFUNCTION("""COMPUTED_VALUE"""),"HGB 837/PWK")</f>
        <v>HGB 837/PWK</v>
      </c>
      <c r="D858" s="42" t="str">
        <f>IFERROR(__xludf.DUMMYFUNCTION("""COMPUTED_VALUE"""),"David")</f>
        <v>David</v>
      </c>
      <c r="E858" s="42" t="str">
        <f>IFERROR(__xludf.DUMMYFUNCTION("""COMPUTED_VALUE"""),"PROSES")</f>
        <v>PROSES</v>
      </c>
      <c r="F858" s="48" t="str">
        <f>IFERROR(__xludf.DUMMYFUNCTION("""COMPUTED_VALUE"""),"")</f>
        <v/>
      </c>
      <c r="G858" s="42" t="str">
        <f>IFERROR(__xludf.DUMMYFUNCTION("""COMPUTED_VALUE"""),"PH")</f>
        <v>PH</v>
      </c>
      <c r="H858" s="42">
        <f t="shared" si="1"/>
        <v>437</v>
      </c>
    </row>
    <row r="859" ht="22.5" customHeight="1">
      <c r="B859" s="42" t="str">
        <f>IFERROR(__xludf.DUMMYFUNCTION("""COMPUTED_VALUE"""),"K/13/121224/1")</f>
        <v>K/13/121224/1</v>
      </c>
      <c r="C859" s="42" t="str">
        <f>IFERROR(__xludf.DUMMYFUNCTION("""COMPUTED_VALUE"""),"M. 1345/ Way Halim Permai")</f>
        <v>M. 1345/ Way Halim Permai</v>
      </c>
      <c r="D859" s="42" t="str">
        <f>IFERROR(__xludf.DUMMYFUNCTION("""COMPUTED_VALUE"""),"David")</f>
        <v>David</v>
      </c>
      <c r="E859" s="42" t="str">
        <f>IFERROR(__xludf.DUMMYFUNCTION("""COMPUTED_VALUE"""),"PROSES")</f>
        <v>PROSES</v>
      </c>
      <c r="F859" s="48" t="str">
        <f>IFERROR(__xludf.DUMMYFUNCTION("""COMPUTED_VALUE"""),"")</f>
        <v/>
      </c>
      <c r="G859" s="42" t="str">
        <f>IFERROR(__xludf.DUMMYFUNCTION("""COMPUTED_VALUE"""),"BN Jual Beli")</f>
        <v>BN Jual Beli</v>
      </c>
      <c r="H859" s="42">
        <f t="shared" si="1"/>
        <v>437</v>
      </c>
    </row>
    <row r="860" ht="22.5" customHeight="1">
      <c r="B860" s="42" t="str">
        <f>IFERROR(__xludf.DUMMYFUNCTION("""COMPUTED_VALUE"""),"K/16/121224/1")</f>
        <v>K/16/121224/1</v>
      </c>
      <c r="C860" s="42" t="str">
        <f>IFERROR(__xludf.DUMMYFUNCTION("""COMPUTED_VALUE"""),"M.1234/RAJABASA PEMUKA")</f>
        <v>M.1234/RAJABASA PEMUKA</v>
      </c>
      <c r="D860" s="42" t="str">
        <f>IFERROR(__xludf.DUMMYFUNCTION("""COMPUTED_VALUE"""),"David")</f>
        <v>David</v>
      </c>
      <c r="E860" s="42" t="str">
        <f>IFERROR(__xludf.DUMMYFUNCTION("""COMPUTED_VALUE"""),"DISERAHKAN")</f>
        <v>DISERAHKAN</v>
      </c>
      <c r="F860" s="48" t="str">
        <f>IFERROR(__xludf.DUMMYFUNCTION("""COMPUTED_VALUE"""),"16/12/2024 17.01")</f>
        <v>16/12/2024 17.01</v>
      </c>
      <c r="G860" s="42" t="str">
        <f>IFERROR(__xludf.DUMMYFUNCTION("""COMPUTED_VALUE"""),"BN JUAL BELI")</f>
        <v>BN JUAL BELI</v>
      </c>
      <c r="H860" s="42">
        <f t="shared" si="1"/>
        <v>438</v>
      </c>
    </row>
    <row r="861" ht="22.5" customHeight="1">
      <c r="B861" s="42" t="str">
        <f>IFERROR(__xludf.DUMMYFUNCTION("""COMPUTED_VALUE"""),"K/17/121224/2")</f>
        <v>K/17/121224/2</v>
      </c>
      <c r="C861" s="42" t="str">
        <f>IFERROR(__xludf.DUMMYFUNCTION("""COMPUTED_VALUE"""),"M.1688/KOTA BARU")</f>
        <v>M.1688/KOTA BARU</v>
      </c>
      <c r="D861" s="42" t="str">
        <f>IFERROR(__xludf.DUMMYFUNCTION("""COMPUTED_VALUE"""),"David")</f>
        <v>David</v>
      </c>
      <c r="E861" s="42" t="str">
        <f>IFERROR(__xludf.DUMMYFUNCTION("""COMPUTED_VALUE"""),"DISERAHKAN")</f>
        <v>DISERAHKAN</v>
      </c>
      <c r="F861" s="48" t="str">
        <f>IFERROR(__xludf.DUMMYFUNCTION("""COMPUTED_VALUE"""),"16/12/2024 17.02")</f>
        <v>16/12/2024 17.02</v>
      </c>
      <c r="G861" s="42" t="str">
        <f>IFERROR(__xludf.DUMMYFUNCTION("""COMPUTED_VALUE"""),"BN JUAL BELI")</f>
        <v>BN JUAL BELI</v>
      </c>
      <c r="H861" s="42">
        <f t="shared" si="1"/>
        <v>439</v>
      </c>
    </row>
    <row r="862" ht="22.5" customHeight="1">
      <c r="B862" s="42" t="str">
        <f>IFERROR(__xludf.DUMMYFUNCTION("""COMPUTED_VALUE"""),"L/19/121224/1")</f>
        <v>L/19/121224/1</v>
      </c>
      <c r="C862" s="42" t="str">
        <f>IFERROR(__xludf.DUMMYFUNCTION("""COMPUTED_VALUE"""),"HM 1430/WHP")</f>
        <v>HM 1430/WHP</v>
      </c>
      <c r="D862" s="42" t="str">
        <f>IFERROR(__xludf.DUMMYFUNCTION("""COMPUTED_VALUE"""),"David")</f>
        <v>David</v>
      </c>
      <c r="E862" s="42" t="str">
        <f>IFERROR(__xludf.DUMMYFUNCTION("""COMPUTED_VALUE"""),"DISERAHKAN")</f>
        <v>DISERAHKAN</v>
      </c>
      <c r="F862" s="48" t="str">
        <f>IFERROR(__xludf.DUMMYFUNCTION("""COMPUTED_VALUE"""),"16/12/2024 17.02")</f>
        <v>16/12/2024 17.02</v>
      </c>
      <c r="G862" s="42" t="str">
        <f>IFERROR(__xludf.DUMMYFUNCTION("""COMPUTED_VALUE"""),"ROYA")</f>
        <v>ROYA</v>
      </c>
      <c r="H862" s="42">
        <f t="shared" si="1"/>
        <v>440</v>
      </c>
    </row>
    <row r="863" ht="22.5" customHeight="1">
      <c r="B863" s="42" t="str">
        <f>IFERROR(__xludf.DUMMYFUNCTION("""COMPUTED_VALUE"""),"K/22/121224/1")</f>
        <v>K/22/121224/1</v>
      </c>
      <c r="C863" s="42" t="str">
        <f>IFERROR(__xludf.DUMMYFUNCTION("""COMPUTED_VALUE"""),"M.2092/KETEGUHAN")</f>
        <v>M.2092/KETEGUHAN</v>
      </c>
      <c r="D863" s="42"/>
      <c r="E863" s="42"/>
      <c r="F863" s="48" t="str">
        <f>IFERROR(__xludf.DUMMYFUNCTION("""COMPUTED_VALUE"""),"")</f>
        <v/>
      </c>
      <c r="G863" s="42" t="str">
        <f>IFERROR(__xludf.DUMMYFUNCTION("""COMPUTED_VALUE"""),"GANTI NAMA")</f>
        <v>GANTI NAMA</v>
      </c>
      <c r="H863" s="42">
        <f t="shared" si="1"/>
        <v>440</v>
      </c>
    </row>
    <row r="864" ht="22.5" customHeight="1">
      <c r="B864" s="42" t="str">
        <f>IFERROR(__xludf.DUMMYFUNCTION("""COMPUTED_VALUE"""),"K/20/121224/1")</f>
        <v>K/20/121224/1</v>
      </c>
      <c r="C864" s="42" t="str">
        <f>IFERROR(__xludf.DUMMYFUNCTION("""COMPUTED_VALUE"""),"M. 1942/ Sukabumi Indah")</f>
        <v>M. 1942/ Sukabumi Indah</v>
      </c>
      <c r="D864" s="42" t="str">
        <f>IFERROR(__xludf.DUMMYFUNCTION("""COMPUTED_VALUE"""),"David")</f>
        <v>David</v>
      </c>
      <c r="E864" s="42" t="str">
        <f>IFERROR(__xludf.DUMMYFUNCTION("""COMPUTED_VALUE"""),"PROSES")</f>
        <v>PROSES</v>
      </c>
      <c r="F864" s="48" t="str">
        <f>IFERROR(__xludf.DUMMYFUNCTION("""COMPUTED_VALUE"""),"")</f>
        <v/>
      </c>
      <c r="G864" s="42" t="str">
        <f>IFERROR(__xludf.DUMMYFUNCTION("""COMPUTED_VALUE"""),"BN Jual Beliq")</f>
        <v>BN Jual Beliq</v>
      </c>
      <c r="H864" s="42">
        <f t="shared" si="1"/>
        <v>440</v>
      </c>
    </row>
    <row r="865" ht="22.5" customHeight="1">
      <c r="B865" s="42" t="str">
        <f>IFERROR(__xludf.DUMMYFUNCTION("""COMPUTED_VALUE"""),"K/21/121224/1")</f>
        <v>K/21/121224/1</v>
      </c>
      <c r="C865" s="42" t="str">
        <f>IFERROR(__xludf.DUMMYFUNCTION("""COMPUTED_VALUE"""),"B. 365/ Kali Balau Kencana")</f>
        <v>B. 365/ Kali Balau Kencana</v>
      </c>
      <c r="D865" s="42" t="str">
        <f>IFERROR(__xludf.DUMMYFUNCTION("""COMPUTED_VALUE"""),"David")</f>
        <v>David</v>
      </c>
      <c r="E865" s="42" t="str">
        <f>IFERROR(__xludf.DUMMYFUNCTION("""COMPUTED_VALUE"""),"PROSES")</f>
        <v>PROSES</v>
      </c>
      <c r="F865" s="48" t="str">
        <f>IFERROR(__xludf.DUMMYFUNCTION("""COMPUTED_VALUE"""),"")</f>
        <v/>
      </c>
      <c r="G865" s="42" t="str">
        <f>IFERROR(__xludf.DUMMYFUNCTION("""COMPUTED_VALUE"""),"Perubahan Hak")</f>
        <v>Perubahan Hak</v>
      </c>
      <c r="H865" s="42">
        <f t="shared" si="1"/>
        <v>440</v>
      </c>
    </row>
    <row r="866" ht="22.5" customHeight="1">
      <c r="B866" s="42" t="str">
        <f>IFERROR(__xludf.DUMMYFUNCTION("""COMPUTED_VALUE"""),"K/25/121224/1")</f>
        <v>K/25/121224/1</v>
      </c>
      <c r="C866" s="42" t="str">
        <f>IFERROR(__xludf.DUMMYFUNCTION("""COMPUTED_VALUE"""),"B. 77/ Srb (PBT. 94/2024)")</f>
        <v>B. 77/ Srb (PBT. 94/2024)</v>
      </c>
      <c r="D866" s="42"/>
      <c r="E866" s="42"/>
      <c r="F866" s="48" t="str">
        <f>IFERROR(__xludf.DUMMYFUNCTION("""COMPUTED_VALUE"""),"")</f>
        <v/>
      </c>
      <c r="G866" s="42" t="str">
        <f>IFERROR(__xludf.DUMMYFUNCTION("""COMPUTED_VALUE"""),"Permohonan SK")</f>
        <v>Permohonan SK</v>
      </c>
      <c r="H866" s="42">
        <f t="shared" si="1"/>
        <v>440</v>
      </c>
    </row>
    <row r="867" ht="22.5" customHeight="1">
      <c r="B867" s="42" t="str">
        <f>IFERROR(__xludf.DUMMYFUNCTION("""COMPUTED_VALUE"""),"K/30/121224/3")</f>
        <v>K/30/121224/3</v>
      </c>
      <c r="C867" s="42" t="str">
        <f>IFERROR(__xludf.DUMMYFUNCTION("""COMPUTED_VALUE"""),"B.667/SUMBER AGUNG")</f>
        <v>B.667/SUMBER AGUNG</v>
      </c>
      <c r="D867" s="42" t="str">
        <f>IFERROR(__xludf.DUMMYFUNCTION("""COMPUTED_VALUE"""),"David")</f>
        <v>David</v>
      </c>
      <c r="E867" s="42" t="str">
        <f>IFERROR(__xludf.DUMMYFUNCTION("""COMPUTED_VALUE"""),"DISERAHKAN")</f>
        <v>DISERAHKAN</v>
      </c>
      <c r="F867" s="48" t="str">
        <f>IFERROR(__xludf.DUMMYFUNCTION("""COMPUTED_VALUE"""),"16/12/2024 17.03")</f>
        <v>16/12/2024 17.03</v>
      </c>
      <c r="G867" s="42" t="str">
        <f>IFERROR(__xludf.DUMMYFUNCTION("""COMPUTED_VALUE"""),"BN JUAL BELI")</f>
        <v>BN JUAL BELI</v>
      </c>
      <c r="H867" s="42">
        <f t="shared" si="1"/>
        <v>441</v>
      </c>
    </row>
    <row r="868" ht="22.5" customHeight="1">
      <c r="B868" s="42" t="str">
        <f>IFERROR(__xludf.DUMMYFUNCTION("""COMPUTED_VALUE"""),"K/31/121224/4")</f>
        <v>K/31/121224/4</v>
      </c>
      <c r="C868" s="42" t="str">
        <f>IFERROR(__xludf.DUMMYFUNCTION("""COMPUTED_VALUE"""),"B.635/KEMILING PERMAI")</f>
        <v>B.635/KEMILING PERMAI</v>
      </c>
      <c r="D868" s="42" t="str">
        <f>IFERROR(__xludf.DUMMYFUNCTION("""COMPUTED_VALUE"""),"Berry")</f>
        <v>Berry</v>
      </c>
      <c r="E868" s="42" t="str">
        <f>IFERROR(__xludf.DUMMYFUNCTION("""COMPUTED_VALUE"""),"DISERAHKAN")</f>
        <v>DISERAHKAN</v>
      </c>
      <c r="F868" s="48" t="str">
        <f>IFERROR(__xludf.DUMMYFUNCTION("""COMPUTED_VALUE"""),"16/12/2024 17.04")</f>
        <v>16/12/2024 17.04</v>
      </c>
      <c r="G868" s="42" t="str">
        <f>IFERROR(__xludf.DUMMYFUNCTION("""COMPUTED_VALUE"""),"BN JUAL BELI")</f>
        <v>BN JUAL BELI</v>
      </c>
      <c r="H868" s="42">
        <f t="shared" si="1"/>
        <v>442</v>
      </c>
    </row>
    <row r="869" ht="22.5" customHeight="1">
      <c r="B869" s="42" t="str">
        <f>IFERROR(__xludf.DUMMYFUNCTION("""COMPUTED_VALUE"""),"K/27/121224/1")</f>
        <v>K/27/121224/1</v>
      </c>
      <c r="C869" s="42" t="str">
        <f>IFERROR(__xludf.DUMMYFUNCTION("""COMPUTED_VALUE"""),"M. 4614/ Sukadana Ham")</f>
        <v>M. 4614/ Sukadana Ham</v>
      </c>
      <c r="D869" s="42" t="str">
        <f>IFERROR(__xludf.DUMMYFUNCTION("""COMPUTED_VALUE"""),"Berry")</f>
        <v>Berry</v>
      </c>
      <c r="E869" s="42" t="str">
        <f>IFERROR(__xludf.DUMMYFUNCTION("""COMPUTED_VALUE"""),"DISERAHKAN")</f>
        <v>DISERAHKAN</v>
      </c>
      <c r="F869" s="48" t="str">
        <f>IFERROR(__xludf.DUMMYFUNCTION("""COMPUTED_VALUE"""),"16/12/2024 17.04")</f>
        <v>16/12/2024 17.04</v>
      </c>
      <c r="G869" s="42" t="str">
        <f>IFERROR(__xludf.DUMMYFUNCTION("""COMPUTED_VALUE"""),"BN Jual Beli")</f>
        <v>BN Jual Beli</v>
      </c>
      <c r="H869" s="42">
        <f t="shared" si="1"/>
        <v>443</v>
      </c>
    </row>
    <row r="870" ht="22.5" customHeight="1">
      <c r="B870" s="42" t="str">
        <f>IFERROR(__xludf.DUMMYFUNCTION("""COMPUTED_VALUE"""),"K/1/131224/1")</f>
        <v>K/1/131224/1</v>
      </c>
      <c r="C870" s="42" t="str">
        <f>IFERROR(__xludf.DUMMYFUNCTION("""COMPUTED_VALUE"""),"B. 33/SUKAMAJU")</f>
        <v>B. 33/SUKAMAJU</v>
      </c>
      <c r="D870" s="42"/>
      <c r="E870" s="42"/>
      <c r="F870" s="48" t="str">
        <f>IFERROR(__xludf.DUMMYFUNCTION("""COMPUTED_VALUE"""),"")</f>
        <v/>
      </c>
      <c r="G870" s="42" t="str">
        <f>IFERROR(__xludf.DUMMYFUNCTION("""COMPUTED_VALUE"""),"SKPT LELANG")</f>
        <v>SKPT LELANG</v>
      </c>
      <c r="H870" s="42">
        <f t="shared" si="1"/>
        <v>443</v>
      </c>
    </row>
    <row r="871" ht="22.5" customHeight="1">
      <c r="B871" s="42" t="str">
        <f>IFERROR(__xludf.DUMMYFUNCTION("""COMPUTED_VALUE"""),"K/2/131224/2")</f>
        <v>K/2/131224/2</v>
      </c>
      <c r="C871" s="42" t="str">
        <f>IFERROR(__xludf.DUMMYFUNCTION("""COMPUTED_VALUE"""),"B.23/SUKAMAJU")</f>
        <v>B.23/SUKAMAJU</v>
      </c>
      <c r="D871" s="42"/>
      <c r="E871" s="42"/>
      <c r="F871" s="48" t="str">
        <f>IFERROR(__xludf.DUMMYFUNCTION("""COMPUTED_VALUE"""),"")</f>
        <v/>
      </c>
      <c r="G871" s="42" t="str">
        <f>IFERROR(__xludf.DUMMYFUNCTION("""COMPUTED_VALUE"""),"SKPT LELANG")</f>
        <v>SKPT LELANG</v>
      </c>
      <c r="H871" s="42">
        <f t="shared" si="1"/>
        <v>443</v>
      </c>
    </row>
    <row r="872" ht="22.5" customHeight="1">
      <c r="B872" s="42" t="str">
        <f>IFERROR(__xludf.DUMMYFUNCTION("""COMPUTED_VALUE"""),"K/3/131224/1")</f>
        <v>K/3/131224/1</v>
      </c>
      <c r="C872" s="42" t="str">
        <f>IFERROR(__xludf.DUMMYFUNCTION("""COMPUTED_VALUE"""),"M.1355/KUPANGKOTA")</f>
        <v>M.1355/KUPANGKOTA</v>
      </c>
      <c r="D872" s="42" t="str">
        <f>IFERROR(__xludf.DUMMYFUNCTION("""COMPUTED_VALUE"""),"Berry")</f>
        <v>Berry</v>
      </c>
      <c r="E872" s="42" t="str">
        <f>IFERROR(__xludf.DUMMYFUNCTION("""COMPUTED_VALUE"""),"PROSES")</f>
        <v>PROSES</v>
      </c>
      <c r="F872" s="48" t="str">
        <f>IFERROR(__xludf.DUMMYFUNCTION("""COMPUTED_VALUE"""),"")</f>
        <v/>
      </c>
      <c r="G872" s="42" t="str">
        <f>IFERROR(__xludf.DUMMYFUNCTION("""COMPUTED_VALUE"""),"BN WARIS")</f>
        <v>BN WARIS</v>
      </c>
      <c r="H872" s="42">
        <f t="shared" si="1"/>
        <v>443</v>
      </c>
    </row>
    <row r="873" ht="22.5" customHeight="1">
      <c r="B873" s="42" t="str">
        <f>IFERROR(__xludf.DUMMYFUNCTION("""COMPUTED_VALUE"""),"K/4/131224/1")</f>
        <v>K/4/131224/1</v>
      </c>
      <c r="C873" s="42" t="str">
        <f>IFERROR(__xludf.DUMMYFUNCTION("""COMPUTED_VALUE"""),"M. 1113/ Sepang Jaya")</f>
        <v>M. 1113/ Sepang Jaya</v>
      </c>
      <c r="D873" s="42" t="str">
        <f>IFERROR(__xludf.DUMMYFUNCTION("""COMPUTED_VALUE"""),"Berry")</f>
        <v>Berry</v>
      </c>
      <c r="E873" s="42" t="str">
        <f>IFERROR(__xludf.DUMMYFUNCTION("""COMPUTED_VALUE"""),"DISERAHKAN")</f>
        <v>DISERAHKAN</v>
      </c>
      <c r="F873" s="48">
        <f>IFERROR(__xludf.DUMMYFUNCTION("""COMPUTED_VALUE"""),45673.43404315972)</f>
        <v>45673.43404</v>
      </c>
      <c r="G873" s="42" t="str">
        <f>IFERROR(__xludf.DUMMYFUNCTION("""COMPUTED_VALUE"""),"BN Jual Beli")</f>
        <v>BN Jual Beli</v>
      </c>
      <c r="H873" s="42">
        <f t="shared" si="1"/>
        <v>444</v>
      </c>
    </row>
    <row r="874" ht="22.5" customHeight="1">
      <c r="B874" s="42" t="str">
        <f>IFERROR(__xludf.DUMMYFUNCTION("""COMPUTED_VALUE"""),"K/5/131224/1")</f>
        <v>K/5/131224/1</v>
      </c>
      <c r="C874" s="42" t="str">
        <f>IFERROR(__xludf.DUMMYFUNCTION("""COMPUTED_VALUE"""),"M. 778/GEDONG AIR")</f>
        <v>M. 778/GEDONG AIR</v>
      </c>
      <c r="D874" s="42"/>
      <c r="E874" s="42"/>
      <c r="F874" s="48" t="str">
        <f>IFERROR(__xludf.DUMMYFUNCTION("""COMPUTED_VALUE"""),"")</f>
        <v/>
      </c>
      <c r="G874" s="42" t="str">
        <f>IFERROR(__xludf.DUMMYFUNCTION("""COMPUTED_VALUE"""),"PTPGT")</f>
        <v>PTPGT</v>
      </c>
      <c r="H874" s="42">
        <f t="shared" si="1"/>
        <v>444</v>
      </c>
    </row>
    <row r="875" ht="22.5" customHeight="1">
      <c r="B875" s="42" t="str">
        <f>IFERROR(__xludf.DUMMYFUNCTION("""COMPUTED_VALUE"""),"K/7/131224/1")</f>
        <v>K/7/131224/1</v>
      </c>
      <c r="C875" s="42" t="str">
        <f>IFERROR(__xludf.DUMMYFUNCTION("""COMPUTED_VALUE"""),"M. 168/ Kaliawi")</f>
        <v>M. 168/ Kaliawi</v>
      </c>
      <c r="D875" s="42" t="str">
        <f>IFERROR(__xludf.DUMMYFUNCTION("""COMPUTED_VALUE"""),"Berry")</f>
        <v>Berry</v>
      </c>
      <c r="E875" s="42" t="str">
        <f>IFERROR(__xludf.DUMMYFUNCTION("""COMPUTED_VALUE"""),"PROSES")</f>
        <v>PROSES</v>
      </c>
      <c r="F875" s="48" t="str">
        <f>IFERROR(__xludf.DUMMYFUNCTION("""COMPUTED_VALUE"""),"")</f>
        <v/>
      </c>
      <c r="G875" s="42" t="str">
        <f>IFERROR(__xludf.DUMMYFUNCTION("""COMPUTED_VALUE"""),"BN Waris")</f>
        <v>BN Waris</v>
      </c>
      <c r="H875" s="42">
        <f t="shared" si="1"/>
        <v>444</v>
      </c>
    </row>
    <row r="876" ht="22.5" customHeight="1">
      <c r="B876" s="42" t="str">
        <f>IFERROR(__xludf.DUMMYFUNCTION("""COMPUTED_VALUE"""),"K/11/131224/1")</f>
        <v>K/11/131224/1</v>
      </c>
      <c r="C876" s="42" t="str">
        <f>IFERROR(__xludf.DUMMYFUNCTION("""COMPUTED_VALUE"""),"M.926/TELUKBETUNG")</f>
        <v>M.926/TELUKBETUNG</v>
      </c>
      <c r="D876" s="42"/>
      <c r="E876" s="42"/>
      <c r="F876" s="48" t="str">
        <f>IFERROR(__xludf.DUMMYFUNCTION("""COMPUTED_VALUE"""),"")</f>
        <v/>
      </c>
      <c r="G876" s="42" t="str">
        <f>IFERROR(__xludf.DUMMYFUNCTION("""COMPUTED_VALUE"""),"SKPT LELANG")</f>
        <v>SKPT LELANG</v>
      </c>
      <c r="H876" s="42">
        <f t="shared" si="1"/>
        <v>444</v>
      </c>
    </row>
    <row r="877" ht="22.5" customHeight="1">
      <c r="B877" s="42" t="str">
        <f>IFERROR(__xludf.DUMMYFUNCTION("""COMPUTED_VALUE"""),"K/12/131224/2")</f>
        <v>K/12/131224/2</v>
      </c>
      <c r="C877" s="42" t="str">
        <f>IFERROR(__xludf.DUMMYFUNCTION("""COMPUTED_VALUE"""),"B.259/TELUKBETUNG")</f>
        <v>B.259/TELUKBETUNG</v>
      </c>
      <c r="D877" s="42"/>
      <c r="E877" s="42"/>
      <c r="F877" s="48" t="str">
        <f>IFERROR(__xludf.DUMMYFUNCTION("""COMPUTED_VALUE"""),"")</f>
        <v/>
      </c>
      <c r="G877" s="42" t="str">
        <f>IFERROR(__xludf.DUMMYFUNCTION("""COMPUTED_VALUE"""),"SKPT LELANG")</f>
        <v>SKPT LELANG</v>
      </c>
      <c r="H877" s="42">
        <f t="shared" si="1"/>
        <v>444</v>
      </c>
    </row>
    <row r="878" ht="22.5" customHeight="1">
      <c r="B878" s="42" t="str">
        <f>IFERROR(__xludf.DUMMYFUNCTION("""COMPUTED_VALUE"""),"K/8/131224/2")</f>
        <v>K/8/131224/2</v>
      </c>
      <c r="C878" s="42" t="str">
        <f>IFERROR(__xludf.DUMMYFUNCTION("""COMPUTED_VALUE"""),"M. 854/ Kaliawi")</f>
        <v>M. 854/ Kaliawi</v>
      </c>
      <c r="D878" s="42" t="str">
        <f>IFERROR(__xludf.DUMMYFUNCTION("""COMPUTED_VALUE"""),"Berry")</f>
        <v>Berry</v>
      </c>
      <c r="E878" s="42" t="str">
        <f>IFERROR(__xludf.DUMMYFUNCTION("""COMPUTED_VALUE"""),"PROSES")</f>
        <v>PROSES</v>
      </c>
      <c r="F878" s="48" t="str">
        <f>IFERROR(__xludf.DUMMYFUNCTION("""COMPUTED_VALUE"""),"")</f>
        <v/>
      </c>
      <c r="G878" s="42" t="str">
        <f>IFERROR(__xludf.DUMMYFUNCTION("""COMPUTED_VALUE"""),"Bn Waris")</f>
        <v>Bn Waris</v>
      </c>
      <c r="H878" s="42">
        <f t="shared" si="1"/>
        <v>444</v>
      </c>
    </row>
    <row r="879" ht="22.5" customHeight="1">
      <c r="B879" s="42" t="str">
        <f>IFERROR(__xludf.DUMMYFUNCTION("""COMPUTED_VALUE"""),"K/10/131224/2")</f>
        <v>K/10/131224/2</v>
      </c>
      <c r="C879" s="42" t="str">
        <f>IFERROR(__xludf.DUMMYFUNCTION("""COMPUTED_VALUE"""),"M. 4673/ Sukadana Ham")</f>
        <v>M. 4673/ Sukadana Ham</v>
      </c>
      <c r="D879" s="42" t="str">
        <f>IFERROR(__xludf.DUMMYFUNCTION("""COMPUTED_VALUE"""),"Berry")</f>
        <v>Berry</v>
      </c>
      <c r="E879" s="42" t="str">
        <f>IFERROR(__xludf.DUMMYFUNCTION("""COMPUTED_VALUE"""),"DISERAHKAN")</f>
        <v>DISERAHKAN</v>
      </c>
      <c r="F879" s="48" t="str">
        <f>IFERROR(__xludf.DUMMYFUNCTION("""COMPUTED_VALUE"""),"16/12/2024 17.05")</f>
        <v>16/12/2024 17.05</v>
      </c>
      <c r="G879" s="42" t="str">
        <f>IFERROR(__xludf.DUMMYFUNCTION("""COMPUTED_VALUE"""),"BN Jual Beli")</f>
        <v>BN Jual Beli</v>
      </c>
      <c r="H879" s="42">
        <f t="shared" si="1"/>
        <v>445</v>
      </c>
    </row>
    <row r="880" ht="22.5" customHeight="1">
      <c r="B880" s="42" t="str">
        <f>IFERROR(__xludf.DUMMYFUNCTION("""COMPUTED_VALUE"""),"K/14/131224/2")</f>
        <v>K/14/131224/2</v>
      </c>
      <c r="C880" s="42" t="str">
        <f>IFERROR(__xludf.DUMMYFUNCTION("""COMPUTED_VALUE"""),"B.794/SUMUR PUTRI")</f>
        <v>B.794/SUMUR PUTRI</v>
      </c>
      <c r="D880" s="42" t="str">
        <f>IFERROR(__xludf.DUMMYFUNCTION("""COMPUTED_VALUE"""),"Berry")</f>
        <v>Berry</v>
      </c>
      <c r="E880" s="42" t="str">
        <f>IFERROR(__xludf.DUMMYFUNCTION("""COMPUTED_VALUE"""),"DISERAHKAN")</f>
        <v>DISERAHKAN</v>
      </c>
      <c r="F880" s="48" t="str">
        <f>IFERROR(__xludf.DUMMYFUNCTION("""COMPUTED_VALUE"""),"16/12/2024 17.06")</f>
        <v>16/12/2024 17.06</v>
      </c>
      <c r="G880" s="42" t="str">
        <f>IFERROR(__xludf.DUMMYFUNCTION("""COMPUTED_VALUE"""),"BN JUAL BELI")</f>
        <v>BN JUAL BELI</v>
      </c>
      <c r="H880" s="42">
        <f t="shared" si="1"/>
        <v>446</v>
      </c>
    </row>
    <row r="881" ht="22.5" customHeight="1">
      <c r="B881" s="42" t="str">
        <f>IFERROR(__xludf.DUMMYFUNCTION("""COMPUTED_VALUE"""),"K/15/131224/3")</f>
        <v>K/15/131224/3</v>
      </c>
      <c r="C881" s="42" t="str">
        <f>IFERROR(__xludf.DUMMYFUNCTION("""COMPUTED_VALUE"""),"B.802/SUMUR PUTRI")</f>
        <v>B.802/SUMUR PUTRI</v>
      </c>
      <c r="D881" s="42" t="str">
        <f>IFERROR(__xludf.DUMMYFUNCTION("""COMPUTED_VALUE"""),"Berry")</f>
        <v>Berry</v>
      </c>
      <c r="E881" s="42" t="str">
        <f>IFERROR(__xludf.DUMMYFUNCTION("""COMPUTED_VALUE"""),"PROSES")</f>
        <v>PROSES</v>
      </c>
      <c r="F881" s="48" t="str">
        <f>IFERROR(__xludf.DUMMYFUNCTION("""COMPUTED_VALUE"""),"")</f>
        <v/>
      </c>
      <c r="G881" s="42" t="str">
        <f>IFERROR(__xludf.DUMMYFUNCTION("""COMPUTED_VALUE"""),"BN JUAL BELI")</f>
        <v>BN JUAL BELI</v>
      </c>
      <c r="H881" s="42">
        <f t="shared" si="1"/>
        <v>446</v>
      </c>
    </row>
    <row r="882" ht="22.5" customHeight="1">
      <c r="B882" s="42" t="str">
        <f>IFERROR(__xludf.DUMMYFUNCTION("""COMPUTED_VALUE"""),"K/16/131224/1")</f>
        <v>K/16/131224/1</v>
      </c>
      <c r="C882" s="42" t="str">
        <f>IFERROR(__xludf.DUMMYFUNCTION("""COMPUTED_VALUE"""),"B.820/PERUMNAS WAY KANDIS-SEKARANG;B.579/WAY KANDIS-DAHULU")</f>
        <v>B.820/PERUMNAS WAY KANDIS-SEKARANG;B.579/WAY KANDIS-DAHULU</v>
      </c>
      <c r="D882" s="42" t="str">
        <f>IFERROR(__xludf.DUMMYFUNCTION("""COMPUTED_VALUE"""),"Berry")</f>
        <v>Berry</v>
      </c>
      <c r="E882" s="42" t="str">
        <f>IFERROR(__xludf.DUMMYFUNCTION("""COMPUTED_VALUE"""),"DISERAHKAN")</f>
        <v>DISERAHKAN</v>
      </c>
      <c r="F882" s="48">
        <f>IFERROR(__xludf.DUMMYFUNCTION("""COMPUTED_VALUE"""),0.0)</f>
        <v>0</v>
      </c>
      <c r="G882" s="42" t="str">
        <f>IFERROR(__xludf.DUMMYFUNCTION("""COMPUTED_VALUE"""),"BN JUAL BELI")</f>
        <v>BN JUAL BELI</v>
      </c>
      <c r="H882" s="42">
        <f t="shared" si="1"/>
        <v>447</v>
      </c>
    </row>
    <row r="883" ht="22.5" customHeight="1">
      <c r="B883" s="42" t="str">
        <f>IFERROR(__xludf.DUMMYFUNCTION("""COMPUTED_VALUE"""),"K/17/131224/2")</f>
        <v>K/17/131224/2</v>
      </c>
      <c r="C883" s="42" t="str">
        <f>IFERROR(__xludf.DUMMYFUNCTION("""COMPUTED_VALUE"""),"B.1128/KEMILING PERMAI")</f>
        <v>B.1128/KEMILING PERMAI</v>
      </c>
      <c r="D883" s="42" t="str">
        <f>IFERROR(__xludf.DUMMYFUNCTION("""COMPUTED_VALUE"""),"Berry")</f>
        <v>Berry</v>
      </c>
      <c r="E883" s="42" t="str">
        <f>IFERROR(__xludf.DUMMYFUNCTION("""COMPUTED_VALUE"""),"DISERAHKAN")</f>
        <v>DISERAHKAN</v>
      </c>
      <c r="F883" s="48" t="str">
        <f>IFERROR(__xludf.DUMMYFUNCTION("""COMPUTED_VALUE"""),"16/12/2024 17.07")</f>
        <v>16/12/2024 17.07</v>
      </c>
      <c r="G883" s="42" t="str">
        <f>IFERROR(__xludf.DUMMYFUNCTION("""COMPUTED_VALUE"""),"BN JUAL BELI")</f>
        <v>BN JUAL BELI</v>
      </c>
      <c r="H883" s="42">
        <f t="shared" si="1"/>
        <v>448</v>
      </c>
    </row>
    <row r="884" ht="22.5" customHeight="1">
      <c r="B884" s="42" t="str">
        <f>IFERROR(__xludf.DUMMYFUNCTION("""COMPUTED_VALUE"""),"K/18/131224/3")</f>
        <v>K/18/131224/3</v>
      </c>
      <c r="C884" s="42" t="str">
        <f>IFERROR(__xludf.DUMMYFUNCTION("""COMPUTED_VALUE"""),"M.1805/WAY GUBAK")</f>
        <v>M.1805/WAY GUBAK</v>
      </c>
      <c r="D884" s="42" t="str">
        <f>IFERROR(__xludf.DUMMYFUNCTION("""COMPUTED_VALUE"""),"Berry")</f>
        <v>Berry</v>
      </c>
      <c r="E884" s="42" t="str">
        <f>IFERROR(__xludf.DUMMYFUNCTION("""COMPUTED_VALUE"""),"DISERAHKAN")</f>
        <v>DISERAHKAN</v>
      </c>
      <c r="F884" s="48">
        <f>IFERROR(__xludf.DUMMYFUNCTION("""COMPUTED_VALUE"""),0.0)</f>
        <v>0</v>
      </c>
      <c r="G884" s="42" t="str">
        <f>IFERROR(__xludf.DUMMYFUNCTION("""COMPUTED_VALUE"""),"BN JUAL BELI")</f>
        <v>BN JUAL BELI</v>
      </c>
      <c r="H884" s="42">
        <f t="shared" si="1"/>
        <v>449</v>
      </c>
    </row>
    <row r="885" ht="22.5" customHeight="1">
      <c r="B885" s="42" t="str">
        <f>IFERROR(__xludf.DUMMYFUNCTION("""COMPUTED_VALUE"""),"K/19/131224/4")</f>
        <v>K/19/131224/4</v>
      </c>
      <c r="C885" s="42" t="str">
        <f>IFERROR(__xludf.DUMMYFUNCTION("""COMPUTED_VALUE"""),"M.2970/SUKARAME BARU")</f>
        <v>M.2970/SUKARAME BARU</v>
      </c>
      <c r="D885" s="42" t="str">
        <f>IFERROR(__xludf.DUMMYFUNCTION("""COMPUTED_VALUE"""),"Berry")</f>
        <v>Berry</v>
      </c>
      <c r="E885" s="42" t="str">
        <f>IFERROR(__xludf.DUMMYFUNCTION("""COMPUTED_VALUE"""),"DISERAHKAN")</f>
        <v>DISERAHKAN</v>
      </c>
      <c r="F885" s="48">
        <f>IFERROR(__xludf.DUMMYFUNCTION("""COMPUTED_VALUE"""),0.0)</f>
        <v>0</v>
      </c>
      <c r="G885" s="42" t="str">
        <f>IFERROR(__xludf.DUMMYFUNCTION("""COMPUTED_VALUE"""),"BN JUAL BELI")</f>
        <v>BN JUAL BELI</v>
      </c>
      <c r="H885" s="42">
        <f t="shared" si="1"/>
        <v>450</v>
      </c>
    </row>
    <row r="886" ht="22.5" customHeight="1">
      <c r="B886" s="42" t="str">
        <f>IFERROR(__xludf.DUMMYFUNCTION("""COMPUTED_VALUE"""),"K/20/131224/1")</f>
        <v>K/20/131224/1</v>
      </c>
      <c r="C886" s="42" t="str">
        <f>IFERROR(__xludf.DUMMYFUNCTION("""COMPUTED_VALUE"""),"M. 2274/ Campang Jaya")</f>
        <v>M. 2274/ Campang Jaya</v>
      </c>
      <c r="D886" s="42" t="str">
        <f>IFERROR(__xludf.DUMMYFUNCTION("""COMPUTED_VALUE"""),"Berry")</f>
        <v>Berry</v>
      </c>
      <c r="E886" s="42" t="str">
        <f>IFERROR(__xludf.DUMMYFUNCTION("""COMPUTED_VALUE"""),"DISERAHKAN")</f>
        <v>DISERAHKAN</v>
      </c>
      <c r="F886" s="48" t="str">
        <f>IFERROR(__xludf.DUMMYFUNCTION("""COMPUTED_VALUE"""),"16/12/2024 17.09")</f>
        <v>16/12/2024 17.09</v>
      </c>
      <c r="G886" s="42" t="str">
        <f>IFERROR(__xludf.DUMMYFUNCTION("""COMPUTED_VALUE"""),"BN Jual Beli")</f>
        <v>BN Jual Beli</v>
      </c>
      <c r="H886" s="42">
        <f t="shared" si="1"/>
        <v>451</v>
      </c>
    </row>
    <row r="887" ht="22.5" customHeight="1">
      <c r="B887" s="42" t="str">
        <f>IFERROR(__xludf.DUMMYFUNCTION("""COMPUTED_VALUE"""),"K/23/131224/1")</f>
        <v>K/23/131224/1</v>
      </c>
      <c r="C887" s="42" t="str">
        <f>IFERROR(__xludf.DUMMYFUNCTION("""COMPUTED_VALUE"""),"M.3344/CAMPANG RAYA")</f>
        <v>M.3344/CAMPANG RAYA</v>
      </c>
      <c r="D887" s="42" t="str">
        <f>IFERROR(__xludf.DUMMYFUNCTION("""COMPUTED_VALUE"""),"Berry")</f>
        <v>Berry</v>
      </c>
      <c r="E887" s="42" t="str">
        <f>IFERROR(__xludf.DUMMYFUNCTION("""COMPUTED_VALUE"""),"DISERAHKAN")</f>
        <v>DISERAHKAN</v>
      </c>
      <c r="F887" s="48" t="str">
        <f>IFERROR(__xludf.DUMMYFUNCTION("""COMPUTED_VALUE"""),"16/12/2024 17.10")</f>
        <v>16/12/2024 17.10</v>
      </c>
      <c r="G887" s="42" t="str">
        <f>IFERROR(__xludf.DUMMYFUNCTION("""COMPUTED_VALUE"""),"BN JUAL BELI")</f>
        <v>BN JUAL BELI</v>
      </c>
      <c r="H887" s="42">
        <f t="shared" si="1"/>
        <v>452</v>
      </c>
    </row>
    <row r="888" ht="22.5" customHeight="1">
      <c r="B888" s="42" t="str">
        <f>IFERROR(__xludf.DUMMYFUNCTION("""COMPUTED_VALUE"""),"K/25/131224/2")</f>
        <v>K/25/131224/2</v>
      </c>
      <c r="C888" s="42" t="str">
        <f>IFERROR(__xludf.DUMMYFUNCTION("""COMPUTED_VALUE"""),"NIBEL M 2704/LANGKAPURA")</f>
        <v>NIBEL M 2704/LANGKAPURA</v>
      </c>
      <c r="D888" s="42"/>
      <c r="E888" s="42"/>
      <c r="F888" s="48" t="str">
        <f>IFERROR(__xludf.DUMMYFUNCTION("""COMPUTED_VALUE"""),"")</f>
        <v/>
      </c>
      <c r="G888" s="42" t="str">
        <f>IFERROR(__xludf.DUMMYFUNCTION("""COMPUTED_VALUE"""),"BN JUAL BELI")</f>
        <v>BN JUAL BELI</v>
      </c>
      <c r="H888" s="42">
        <f t="shared" si="1"/>
        <v>452</v>
      </c>
    </row>
    <row r="889" ht="22.5" customHeight="1">
      <c r="B889" s="42" t="str">
        <f>IFERROR(__xludf.DUMMYFUNCTION("""COMPUTED_VALUE"""),"K/26/131224/1")</f>
        <v>K/26/131224/1</v>
      </c>
      <c r="C889" s="42" t="str">
        <f>IFERROR(__xludf.DUMMYFUNCTION("""COMPUTED_VALUE"""),"M. 1488/ Bumi Kedamaian")</f>
        <v>M. 1488/ Bumi Kedamaian</v>
      </c>
      <c r="D889" s="42" t="str">
        <f>IFERROR(__xludf.DUMMYFUNCTION("""COMPUTED_VALUE"""),"Berry")</f>
        <v>Berry</v>
      </c>
      <c r="E889" s="42" t="str">
        <f>IFERROR(__xludf.DUMMYFUNCTION("""COMPUTED_VALUE"""),"DISERAHKAN")</f>
        <v>DISERAHKAN</v>
      </c>
      <c r="F889" s="48" t="str">
        <f>IFERROR(__xludf.DUMMYFUNCTION("""COMPUTED_VALUE"""),"16/12/2024 17.10")</f>
        <v>16/12/2024 17.10</v>
      </c>
      <c r="G889" s="42" t="str">
        <f>IFERROR(__xludf.DUMMYFUNCTION("""COMPUTED_VALUE"""),"BN Jual Beli")</f>
        <v>BN Jual Beli</v>
      </c>
      <c r="H889" s="42">
        <f t="shared" si="1"/>
        <v>453</v>
      </c>
    </row>
    <row r="890" ht="22.5" customHeight="1">
      <c r="B890" s="42" t="str">
        <f>IFERROR(__xludf.DUMMYFUNCTION("""COMPUTED_VALUE"""),"K/27/131224/2")</f>
        <v>K/27/131224/2</v>
      </c>
      <c r="C890" s="42" t="str">
        <f>IFERROR(__xludf.DUMMYFUNCTION("""COMPUTED_VALUE"""),"M. 367/ Sukamenanti Baru")</f>
        <v>M. 367/ Sukamenanti Baru</v>
      </c>
      <c r="D890" s="42" t="str">
        <f>IFERROR(__xludf.DUMMYFUNCTION("""COMPUTED_VALUE"""),"Berry")</f>
        <v>Berry</v>
      </c>
      <c r="E890" s="42" t="str">
        <f>IFERROR(__xludf.DUMMYFUNCTION("""COMPUTED_VALUE"""),"DISERAHKAN")</f>
        <v>DISERAHKAN</v>
      </c>
      <c r="F890" s="48">
        <f>IFERROR(__xludf.DUMMYFUNCTION("""COMPUTED_VALUE"""),0.0)</f>
        <v>0</v>
      </c>
      <c r="G890" s="42" t="str">
        <f>IFERROR(__xludf.DUMMYFUNCTION("""COMPUTED_VALUE"""),"BN Jual Beli")</f>
        <v>BN Jual Beli</v>
      </c>
      <c r="H890" s="42">
        <f t="shared" si="1"/>
        <v>454</v>
      </c>
    </row>
    <row r="891" ht="22.5" customHeight="1">
      <c r="B891" s="42" t="str">
        <f>IFERROR(__xludf.DUMMYFUNCTION("""COMPUTED_VALUE"""),"K/28/131224/3")</f>
        <v>K/28/131224/3</v>
      </c>
      <c r="C891" s="42" t="str">
        <f>IFERROR(__xludf.DUMMYFUNCTION("""COMPUTED_VALUE"""),"M. 2569/ Pinang Jaya")</f>
        <v>M. 2569/ Pinang Jaya</v>
      </c>
      <c r="D891" s="42" t="str">
        <f>IFERROR(__xludf.DUMMYFUNCTION("""COMPUTED_VALUE"""),"Berry")</f>
        <v>Berry</v>
      </c>
      <c r="E891" s="42" t="str">
        <f>IFERROR(__xludf.DUMMYFUNCTION("""COMPUTED_VALUE"""),"DISERAHKAN")</f>
        <v>DISERAHKAN</v>
      </c>
      <c r="F891" s="48" t="str">
        <f>IFERROR(__xludf.DUMMYFUNCTION("""COMPUTED_VALUE"""),"16/12/2024 17.11")</f>
        <v>16/12/2024 17.11</v>
      </c>
      <c r="G891" s="42" t="str">
        <f>IFERROR(__xludf.DUMMYFUNCTION("""COMPUTED_VALUE"""),"BN Jual Beli")</f>
        <v>BN Jual Beli</v>
      </c>
      <c r="H891" s="42">
        <f t="shared" si="1"/>
        <v>455</v>
      </c>
    </row>
    <row r="892" ht="22.5" customHeight="1">
      <c r="B892" s="42" t="str">
        <f>IFERROR(__xludf.DUMMYFUNCTION("""COMPUTED_VALUE"""),"L/29/131224/1")</f>
        <v>L/29/131224/1</v>
      </c>
      <c r="C892" s="42" t="str">
        <f>IFERROR(__xludf.DUMMYFUNCTION("""COMPUTED_VALUE"""),"HM 466/GUNUNG MAS")</f>
        <v>HM 466/GUNUNG MAS</v>
      </c>
      <c r="D892" s="42" t="str">
        <f>IFERROR(__xludf.DUMMYFUNCTION("""COMPUTED_VALUE"""),"Berry")</f>
        <v>Berry</v>
      </c>
      <c r="E892" s="42" t="str">
        <f>IFERROR(__xludf.DUMMYFUNCTION("""COMPUTED_VALUE"""),"PROSES")</f>
        <v>PROSES</v>
      </c>
      <c r="F892" s="48" t="str">
        <f>IFERROR(__xludf.DUMMYFUNCTION("""COMPUTED_VALUE"""),"")</f>
        <v/>
      </c>
      <c r="G892" s="42" t="str">
        <f>IFERROR(__xludf.DUMMYFUNCTION("""COMPUTED_VALUE"""),"BN JUAL - BELI")</f>
        <v>BN JUAL - BELI</v>
      </c>
      <c r="H892" s="42">
        <f t="shared" si="1"/>
        <v>455</v>
      </c>
    </row>
    <row r="893" ht="22.5" customHeight="1">
      <c r="B893" s="42" t="str">
        <f>IFERROR(__xludf.DUMMYFUNCTION("""COMPUTED_VALUE"""),"K/30/131224/1")</f>
        <v>K/30/131224/1</v>
      </c>
      <c r="C893" s="42" t="str">
        <f>IFERROR(__xludf.DUMMYFUNCTION("""COMPUTED_VALUE"""),"M.3254/SUKADANAHAM")</f>
        <v>M.3254/SUKADANAHAM</v>
      </c>
      <c r="D893" s="42" t="str">
        <f>IFERROR(__xludf.DUMMYFUNCTION("""COMPUTED_VALUE"""),"Berry")</f>
        <v>Berry</v>
      </c>
      <c r="E893" s="42" t="str">
        <f>IFERROR(__xludf.DUMMYFUNCTION("""COMPUTED_VALUE"""),"PROSES")</f>
        <v>PROSES</v>
      </c>
      <c r="F893" s="48" t="str">
        <f>IFERROR(__xludf.DUMMYFUNCTION("""COMPUTED_VALUE"""),"")</f>
        <v/>
      </c>
      <c r="G893" s="42" t="str">
        <f>IFERROR(__xludf.DUMMYFUNCTION("""COMPUTED_VALUE"""),"BN JUAL BELI")</f>
        <v>BN JUAL BELI</v>
      </c>
      <c r="H893" s="42">
        <f t="shared" si="1"/>
        <v>455</v>
      </c>
    </row>
    <row r="894" ht="22.5" customHeight="1">
      <c r="B894" s="42" t="str">
        <f>IFERROR(__xludf.DUMMYFUNCTION("""COMPUTED_VALUE"""),"K/31/131224/2")</f>
        <v>K/31/131224/2</v>
      </c>
      <c r="C894" s="42" t="str">
        <f>IFERROR(__xludf.DUMMYFUNCTION("""COMPUTED_VALUE"""),"M.1195/SUKADANAHAM")</f>
        <v>M.1195/SUKADANAHAM</v>
      </c>
      <c r="D894" s="42" t="str">
        <f>IFERROR(__xludf.DUMMYFUNCTION("""COMPUTED_VALUE"""),"Berry")</f>
        <v>Berry</v>
      </c>
      <c r="E894" s="42" t="str">
        <f>IFERROR(__xludf.DUMMYFUNCTION("""COMPUTED_VALUE"""),"DISERAHKAN")</f>
        <v>DISERAHKAN</v>
      </c>
      <c r="F894" s="48" t="str">
        <f>IFERROR(__xludf.DUMMYFUNCTION("""COMPUTED_VALUE"""),"16/12/2024 17.11")</f>
        <v>16/12/2024 17.11</v>
      </c>
      <c r="G894" s="42" t="str">
        <f>IFERROR(__xludf.DUMMYFUNCTION("""COMPUTED_VALUE"""),"BN JUAL BELI")</f>
        <v>BN JUAL BELI</v>
      </c>
      <c r="H894" s="42">
        <f t="shared" si="1"/>
        <v>456</v>
      </c>
    </row>
    <row r="895" ht="22.5" customHeight="1">
      <c r="B895" s="42" t="str">
        <f>IFERROR(__xludf.DUMMYFUNCTION("""COMPUTED_VALUE"""),"K/33/131224/1")</f>
        <v>K/33/131224/1</v>
      </c>
      <c r="C895" s="42" t="str">
        <f>IFERROR(__xludf.DUMMYFUNCTION("""COMPUTED_VALUE"""),"B. 686/ Kemiling Permai")</f>
        <v>B. 686/ Kemiling Permai</v>
      </c>
      <c r="D895" s="42" t="str">
        <f>IFERROR(__xludf.DUMMYFUNCTION("""COMPUTED_VALUE"""),"Berry")</f>
        <v>Berry</v>
      </c>
      <c r="E895" s="42" t="str">
        <f>IFERROR(__xludf.DUMMYFUNCTION("""COMPUTED_VALUE"""),"DISERAHKAN")</f>
        <v>DISERAHKAN</v>
      </c>
      <c r="F895" s="48" t="str">
        <f>IFERROR(__xludf.DUMMYFUNCTION("""COMPUTED_VALUE"""),"16/12/2024 17.12")</f>
        <v>16/12/2024 17.12</v>
      </c>
      <c r="G895" s="42" t="str">
        <f>IFERROR(__xludf.DUMMYFUNCTION("""COMPUTED_VALUE"""),"BN Jual Beli")</f>
        <v>BN Jual Beli</v>
      </c>
      <c r="H895" s="42">
        <f t="shared" si="1"/>
        <v>457</v>
      </c>
    </row>
    <row r="896" ht="22.5" customHeight="1">
      <c r="B896" s="42" t="str">
        <f>IFERROR(__xludf.DUMMYFUNCTION("""COMPUTED_VALUE"""),"K/34/131224/1")</f>
        <v>K/34/131224/1</v>
      </c>
      <c r="C896" s="42" t="str">
        <f>IFERROR(__xludf.DUMMYFUNCTION("""COMPUTED_VALUE"""),"M.5925/TANJUNG SENANG")</f>
        <v>M.5925/TANJUNG SENANG</v>
      </c>
      <c r="D896" s="42" t="str">
        <f>IFERROR(__xludf.DUMMYFUNCTION("""COMPUTED_VALUE"""),"Berry")</f>
        <v>Berry</v>
      </c>
      <c r="E896" s="42" t="str">
        <f>IFERROR(__xludf.DUMMYFUNCTION("""COMPUTED_VALUE"""),"DISERAHKAN")</f>
        <v>DISERAHKAN</v>
      </c>
      <c r="F896" s="48">
        <f>IFERROR(__xludf.DUMMYFUNCTION("""COMPUTED_VALUE"""),0.0)</f>
        <v>0</v>
      </c>
      <c r="G896" s="42" t="str">
        <f>IFERROR(__xludf.DUMMYFUNCTION("""COMPUTED_VALUE"""),"BN JUAL BELI")</f>
        <v>BN JUAL BELI</v>
      </c>
      <c r="H896" s="42">
        <f t="shared" si="1"/>
        <v>458</v>
      </c>
    </row>
    <row r="897" ht="22.5" customHeight="1">
      <c r="B897" s="42" t="str">
        <f>IFERROR(__xludf.DUMMYFUNCTION("""COMPUTED_VALUE"""),"K/35/131224/2")</f>
        <v>K/35/131224/2</v>
      </c>
      <c r="C897" s="42" t="str">
        <f>IFERROR(__xludf.DUMMYFUNCTION("""COMPUTED_VALUE"""),"M.5947/TANJUNG SENANG")</f>
        <v>M.5947/TANJUNG SENANG</v>
      </c>
      <c r="D897" s="42" t="str">
        <f>IFERROR(__xludf.DUMMYFUNCTION("""COMPUTED_VALUE"""),"Berry")</f>
        <v>Berry</v>
      </c>
      <c r="E897" s="42" t="str">
        <f>IFERROR(__xludf.DUMMYFUNCTION("""COMPUTED_VALUE"""),"DISERAHKAN")</f>
        <v>DISERAHKAN</v>
      </c>
      <c r="F897" s="48" t="str">
        <f>IFERROR(__xludf.DUMMYFUNCTION("""COMPUTED_VALUE"""),"16/12/2024 17.12")</f>
        <v>16/12/2024 17.12</v>
      </c>
      <c r="G897" s="42" t="str">
        <f>IFERROR(__xludf.DUMMYFUNCTION("""COMPUTED_VALUE"""),"BN JUAL BELI")</f>
        <v>BN JUAL BELI</v>
      </c>
      <c r="H897" s="42">
        <f t="shared" si="1"/>
        <v>459</v>
      </c>
    </row>
    <row r="898" ht="22.5" customHeight="1">
      <c r="B898" s="42" t="str">
        <f>IFERROR(__xludf.DUMMYFUNCTION("""COMPUTED_VALUE"""),"K/38/131224/3")</f>
        <v>K/38/131224/3</v>
      </c>
      <c r="C898" s="42" t="str">
        <f>IFERROR(__xludf.DUMMYFUNCTION("""COMPUTED_VALUE"""),"M.1627/KEMILING RAYA-SEKARANG;M.3258/SUMBERREJO KEMILING-DAHULU")</f>
        <v>M.1627/KEMILING RAYA-SEKARANG;M.3258/SUMBERREJO KEMILING-DAHULU</v>
      </c>
      <c r="D898" s="42" t="str">
        <f>IFERROR(__xludf.DUMMYFUNCTION("""COMPUTED_VALUE"""),"Berry")</f>
        <v>Berry</v>
      </c>
      <c r="E898" s="42" t="str">
        <f>IFERROR(__xludf.DUMMYFUNCTION("""COMPUTED_VALUE"""),"PROSES")</f>
        <v>PROSES</v>
      </c>
      <c r="F898" s="48" t="str">
        <f>IFERROR(__xludf.DUMMYFUNCTION("""COMPUTED_VALUE"""),"")</f>
        <v/>
      </c>
      <c r="G898" s="42" t="str">
        <f>IFERROR(__xludf.DUMMYFUNCTION("""COMPUTED_VALUE"""),"BN JUAL BELI")</f>
        <v>BN JUAL BELI</v>
      </c>
      <c r="H898" s="42">
        <f t="shared" si="1"/>
        <v>459</v>
      </c>
    </row>
    <row r="899" ht="22.5" customHeight="1">
      <c r="B899" s="42" t="str">
        <f>IFERROR(__xludf.DUMMYFUNCTION("""COMPUTED_VALUE"""),"L/39/141224/PELATARAN")</f>
        <v>L/39/141224/PELATARAN</v>
      </c>
      <c r="C899" s="42" t="str">
        <f>IFERROR(__xludf.DUMMYFUNCTION("""COMPUTED_VALUE"""),"M.2398/SUKAJAWA")</f>
        <v>M.2398/SUKAJAWA</v>
      </c>
      <c r="D899" s="42" t="str">
        <f>IFERROR(__xludf.DUMMYFUNCTION("""COMPUTED_VALUE"""),"Berry")</f>
        <v>Berry</v>
      </c>
      <c r="E899" s="42" t="str">
        <f>IFERROR(__xludf.DUMMYFUNCTION("""COMPUTED_VALUE"""),"DISERAHKAN")</f>
        <v>DISERAHKAN</v>
      </c>
      <c r="F899" s="48" t="str">
        <f>IFERROR(__xludf.DUMMYFUNCTION("""COMPUTED_VALUE"""),"16/12/2024 17.14")</f>
        <v>16/12/2024 17.14</v>
      </c>
      <c r="G899" s="42" t="str">
        <f>IFERROR(__xludf.DUMMYFUNCTION("""COMPUTED_VALUE"""),"ROYA")</f>
        <v>ROYA</v>
      </c>
      <c r="H899" s="42">
        <f t="shared" si="1"/>
        <v>460</v>
      </c>
    </row>
    <row r="900" ht="22.5" customHeight="1">
      <c r="B900" s="42" t="str">
        <f>IFERROR(__xludf.DUMMYFUNCTION("""COMPUTED_VALUE"""),"L/1/151224/1")</f>
        <v>L/1/151224/1</v>
      </c>
      <c r="C900" s="42" t="str">
        <f>IFERROR(__xludf.DUMMYFUNCTION("""COMPUTED_VALUE"""),"M. 1375/ Sukabumi Indah")</f>
        <v>M. 1375/ Sukabumi Indah</v>
      </c>
      <c r="D900" s="42" t="str">
        <f>IFERROR(__xludf.DUMMYFUNCTION("""COMPUTED_VALUE"""),"Berry")</f>
        <v>Berry</v>
      </c>
      <c r="E900" s="42" t="str">
        <f>IFERROR(__xludf.DUMMYFUNCTION("""COMPUTED_VALUE"""),"PROSES")</f>
        <v>PROSES</v>
      </c>
      <c r="F900" s="48" t="str">
        <f>IFERROR(__xludf.DUMMYFUNCTION("""COMPUTED_VALUE"""),"")</f>
        <v/>
      </c>
      <c r="G900" s="42" t="str">
        <f>IFERROR(__xludf.DUMMYFUNCTION("""COMPUTED_VALUE"""),"Roya")</f>
        <v>Roya</v>
      </c>
      <c r="H900" s="42">
        <f t="shared" si="1"/>
        <v>460</v>
      </c>
    </row>
    <row r="901" ht="22.5" customHeight="1">
      <c r="B901" s="42" t="str">
        <f>IFERROR(__xludf.DUMMYFUNCTION("""COMPUTED_VALUE"""),"L/1/161224/1")</f>
        <v>L/1/161224/1</v>
      </c>
      <c r="C901" s="42" t="str">
        <f>IFERROR(__xludf.DUMMYFUNCTION("""COMPUTED_VALUE"""),"HM 8575/SUKARAME")</f>
        <v>HM 8575/SUKARAME</v>
      </c>
      <c r="D901" s="42" t="str">
        <f>IFERROR(__xludf.DUMMYFUNCTION("""COMPUTED_VALUE"""),"Berry")</f>
        <v>Berry</v>
      </c>
      <c r="E901" s="42" t="str">
        <f>IFERROR(__xludf.DUMMYFUNCTION("""COMPUTED_VALUE"""),"DISERAHKAN BT")</f>
        <v>DISERAHKAN BT</v>
      </c>
      <c r="F901" s="48" t="str">
        <f>IFERROR(__xludf.DUMMYFUNCTION("""COMPUTED_VALUE"""),"16/12/2024 17.14")</f>
        <v>16/12/2024 17.14</v>
      </c>
      <c r="G901" s="42" t="str">
        <f>IFERROR(__xludf.DUMMYFUNCTION("""COMPUTED_VALUE"""),"ROYA")</f>
        <v>ROYA</v>
      </c>
      <c r="H901" s="42">
        <f t="shared" si="1"/>
        <v>460</v>
      </c>
    </row>
    <row r="902" ht="22.5" customHeight="1">
      <c r="B902" s="42" t="str">
        <f>IFERROR(__xludf.DUMMYFUNCTION("""COMPUTED_VALUE"""),"K/2/161224/1")</f>
        <v>K/2/161224/1</v>
      </c>
      <c r="C902" s="42" t="str">
        <f>IFERROR(__xludf.DUMMYFUNCTION("""COMPUTED_VALUE"""),"M.581/GULAK GALIK")</f>
        <v>M.581/GULAK GALIK</v>
      </c>
      <c r="D902" s="42" t="str">
        <f>IFERROR(__xludf.DUMMYFUNCTION("""COMPUTED_VALUE"""),"Berry")</f>
        <v>Berry</v>
      </c>
      <c r="E902" s="42" t="str">
        <f>IFERROR(__xludf.DUMMYFUNCTION("""COMPUTED_VALUE"""),"DISERAHKAN")</f>
        <v>DISERAHKAN</v>
      </c>
      <c r="F902" s="48" t="str">
        <f>IFERROR(__xludf.DUMMYFUNCTION("""COMPUTED_VALUE"""),"18/12/2024 16.29")</f>
        <v>18/12/2024 16.29</v>
      </c>
      <c r="G902" s="42" t="str">
        <f>IFERROR(__xludf.DUMMYFUNCTION("""COMPUTED_VALUE"""),"ROYA")</f>
        <v>ROYA</v>
      </c>
      <c r="H902" s="42">
        <f t="shared" si="1"/>
        <v>461</v>
      </c>
    </row>
    <row r="903" ht="22.5" customHeight="1">
      <c r="B903" s="42" t="str">
        <f>IFERROR(__xludf.DUMMYFUNCTION("""COMPUTED_VALUE"""),"K/4/161224/2")</f>
        <v>K/4/161224/2</v>
      </c>
      <c r="C903" s="42" t="str">
        <f>IFERROR(__xludf.DUMMYFUNCTION("""COMPUTED_VALUE"""),"M.16759/SUKABUMI")</f>
        <v>M.16759/SUKABUMI</v>
      </c>
      <c r="D903" s="42" t="str">
        <f>IFERROR(__xludf.DUMMYFUNCTION("""COMPUTED_VALUE"""),"Berry")</f>
        <v>Berry</v>
      </c>
      <c r="E903" s="42" t="str">
        <f>IFERROR(__xludf.DUMMYFUNCTION("""COMPUTED_VALUE"""),"PROSES")</f>
        <v>PROSES</v>
      </c>
      <c r="F903" s="48" t="str">
        <f>IFERROR(__xludf.DUMMYFUNCTION("""COMPUTED_VALUE"""),"")</f>
        <v/>
      </c>
      <c r="G903" s="42" t="str">
        <f>IFERROR(__xludf.DUMMYFUNCTION("""COMPUTED_VALUE"""),"BN APHB")</f>
        <v>BN APHB</v>
      </c>
      <c r="H903" s="42">
        <f t="shared" si="1"/>
        <v>461</v>
      </c>
    </row>
    <row r="904" ht="22.5" customHeight="1">
      <c r="B904" s="42" t="str">
        <f>IFERROR(__xludf.DUMMYFUNCTION("""COMPUTED_VALUE"""),"K/5/161224/3")</f>
        <v>K/5/161224/3</v>
      </c>
      <c r="C904" s="42" t="str">
        <f>IFERROR(__xludf.DUMMYFUNCTION("""COMPUTED_VALUE"""),"M.16761/SUKABUMI")</f>
        <v>M.16761/SUKABUMI</v>
      </c>
      <c r="D904" s="42" t="str">
        <f>IFERROR(__xludf.DUMMYFUNCTION("""COMPUTED_VALUE"""),"Berry")</f>
        <v>Berry</v>
      </c>
      <c r="E904" s="42" t="str">
        <f>IFERROR(__xludf.DUMMYFUNCTION("""COMPUTED_VALUE"""),"DISERAHKAN")</f>
        <v>DISERAHKAN</v>
      </c>
      <c r="F904" s="48">
        <f>IFERROR(__xludf.DUMMYFUNCTION("""COMPUTED_VALUE"""),0.0)</f>
        <v>0</v>
      </c>
      <c r="G904" s="42" t="str">
        <f>IFERROR(__xludf.DUMMYFUNCTION("""COMPUTED_VALUE"""),"BN APHB")</f>
        <v>BN APHB</v>
      </c>
      <c r="H904" s="42">
        <f t="shared" si="1"/>
        <v>462</v>
      </c>
    </row>
    <row r="905" ht="22.5" customHeight="1">
      <c r="B905" s="42" t="str">
        <f>IFERROR(__xludf.DUMMYFUNCTION("""COMPUTED_VALUE"""),"K/6/161224/4")</f>
        <v>K/6/161224/4</v>
      </c>
      <c r="C905" s="42" t="str">
        <f>IFERROR(__xludf.DUMMYFUNCTION("""COMPUTED_VALUE"""),"M.4602/GUNUNG TERANG")</f>
        <v>M.4602/GUNUNG TERANG</v>
      </c>
      <c r="D905" s="42" t="str">
        <f>IFERROR(__xludf.DUMMYFUNCTION("""COMPUTED_VALUE"""),"Berry")</f>
        <v>Berry</v>
      </c>
      <c r="E905" s="42" t="str">
        <f>IFERROR(__xludf.DUMMYFUNCTION("""COMPUTED_VALUE"""),"PROSES")</f>
        <v>PROSES</v>
      </c>
      <c r="F905" s="48" t="str">
        <f>IFERROR(__xludf.DUMMYFUNCTION("""COMPUTED_VALUE"""),"")</f>
        <v/>
      </c>
      <c r="G905" s="42" t="str">
        <f>IFERROR(__xludf.DUMMYFUNCTION("""COMPUTED_VALUE"""),"BN APHB")</f>
        <v>BN APHB</v>
      </c>
      <c r="H905" s="42">
        <f t="shared" si="1"/>
        <v>462</v>
      </c>
    </row>
    <row r="906" ht="22.5" customHeight="1">
      <c r="B906" s="42" t="str">
        <f>IFERROR(__xludf.DUMMYFUNCTION("""COMPUTED_VALUE"""),"K/7/161224/5")</f>
        <v>K/7/161224/5</v>
      </c>
      <c r="C906" s="42" t="str">
        <f>IFERROR(__xludf.DUMMYFUNCTION("""COMPUTED_VALUE"""),"M.4603/GUNUNG TERANG")</f>
        <v>M.4603/GUNUNG TERANG</v>
      </c>
      <c r="D906" s="42" t="str">
        <f>IFERROR(__xludf.DUMMYFUNCTION("""COMPUTED_VALUE"""),"Berry")</f>
        <v>Berry</v>
      </c>
      <c r="E906" s="42" t="str">
        <f>IFERROR(__xludf.DUMMYFUNCTION("""COMPUTED_VALUE"""),"DISERAHKAN")</f>
        <v>DISERAHKAN</v>
      </c>
      <c r="F906" s="48">
        <f>IFERROR(__xludf.DUMMYFUNCTION("""COMPUTED_VALUE"""),45722.50142865741)</f>
        <v>45722.50143</v>
      </c>
      <c r="G906" s="42" t="str">
        <f>IFERROR(__xludf.DUMMYFUNCTION("""COMPUTED_VALUE"""),"BN APHB")</f>
        <v>BN APHB</v>
      </c>
      <c r="H906" s="42">
        <f t="shared" si="1"/>
        <v>463</v>
      </c>
    </row>
    <row r="907" ht="22.5" customHeight="1">
      <c r="B907" s="42" t="str">
        <f>IFERROR(__xludf.DUMMYFUNCTION("""COMPUTED_VALUE"""),"K/10/161224/1")</f>
        <v>K/10/161224/1</v>
      </c>
      <c r="C907" s="42" t="str">
        <f>IFERROR(__xludf.DUMMYFUNCTION("""COMPUTED_VALUE"""),"M. 4231/ Rajabasa Jaya")</f>
        <v>M. 4231/ Rajabasa Jaya</v>
      </c>
      <c r="D907" s="42"/>
      <c r="E907" s="42"/>
      <c r="F907" s="48" t="str">
        <f>IFERROR(__xludf.DUMMYFUNCTION("""COMPUTED_VALUE"""),"")</f>
        <v/>
      </c>
      <c r="G907" s="42" t="str">
        <f>IFERROR(__xludf.DUMMYFUNCTION("""COMPUTED_VALUE"""),"SKPT LELANG")</f>
        <v>SKPT LELANG</v>
      </c>
      <c r="H907" s="42">
        <f t="shared" si="1"/>
        <v>463</v>
      </c>
    </row>
    <row r="908" ht="22.5" customHeight="1">
      <c r="B908" s="42" t="str">
        <f>IFERROR(__xludf.DUMMYFUNCTION("""COMPUTED_VALUE"""),"K/11/161224/2")</f>
        <v>K/11/161224/2</v>
      </c>
      <c r="C908" s="42" t="str">
        <f>IFERROR(__xludf.DUMMYFUNCTION("""COMPUTED_VALUE"""),"M. 3605/ Rajabasa Jaya")</f>
        <v>M. 3605/ Rajabasa Jaya</v>
      </c>
      <c r="D908" s="42"/>
      <c r="E908" s="42"/>
      <c r="F908" s="48" t="str">
        <f>IFERROR(__xludf.DUMMYFUNCTION("""COMPUTED_VALUE"""),"")</f>
        <v/>
      </c>
      <c r="G908" s="42" t="str">
        <f>IFERROR(__xludf.DUMMYFUNCTION("""COMPUTED_VALUE"""),"SKPT LELANG")</f>
        <v>SKPT LELANG</v>
      </c>
      <c r="H908" s="42">
        <f t="shared" si="1"/>
        <v>463</v>
      </c>
    </row>
    <row r="909" ht="22.5" customHeight="1">
      <c r="B909" s="42" t="str">
        <f>IFERROR(__xludf.DUMMYFUNCTION("""COMPUTED_VALUE"""),"L/12/161224/")</f>
        <v>L/12/161224/</v>
      </c>
      <c r="C909" s="42" t="str">
        <f>IFERROR(__xludf.DUMMYFUNCTION("""COMPUTED_VALUE"""),"HM 3794/WAY KANDIS")</f>
        <v>HM 3794/WAY KANDIS</v>
      </c>
      <c r="D909" s="42" t="str">
        <f>IFERROR(__xludf.DUMMYFUNCTION("""COMPUTED_VALUE"""),"Berry")</f>
        <v>Berry</v>
      </c>
      <c r="E909" s="42" t="str">
        <f>IFERROR(__xludf.DUMMYFUNCTION("""COMPUTED_VALUE"""),"DISERAHKAN")</f>
        <v>DISERAHKAN</v>
      </c>
      <c r="F909" s="48" t="str">
        <f>IFERROR(__xludf.DUMMYFUNCTION("""COMPUTED_VALUE"""),"18/12/2024 16.30")</f>
        <v>18/12/2024 16.30</v>
      </c>
      <c r="G909" s="42" t="str">
        <f>IFERROR(__xludf.DUMMYFUNCTION("""COMPUTED_VALUE"""),"ROYA")</f>
        <v>ROYA</v>
      </c>
      <c r="H909" s="42">
        <f t="shared" si="1"/>
        <v>464</v>
      </c>
    </row>
    <row r="910" ht="22.5" customHeight="1">
      <c r="B910" s="42" t="str">
        <f>IFERROR(__xludf.DUMMYFUNCTION("""COMPUTED_VALUE"""),"K/9/161224/1")</f>
        <v>K/9/161224/1</v>
      </c>
      <c r="C910" s="42" t="str">
        <f>IFERROR(__xludf.DUMMYFUNCTION("""COMPUTED_VALUE"""),"M. 435/ Enggal")</f>
        <v>M. 435/ Enggal</v>
      </c>
      <c r="D910" s="42" t="str">
        <f>IFERROR(__xludf.DUMMYFUNCTION("""COMPUTED_VALUE"""),"Berry")</f>
        <v>Berry</v>
      </c>
      <c r="E910" s="42" t="str">
        <f>IFERROR(__xludf.DUMMYFUNCTION("""COMPUTED_VALUE"""),"DISERAHKAN")</f>
        <v>DISERAHKAN</v>
      </c>
      <c r="F910" s="48" t="str">
        <f>IFERROR(__xludf.DUMMYFUNCTION("""COMPUTED_VALUE"""),"18/12/2024 16.31")</f>
        <v>18/12/2024 16.31</v>
      </c>
      <c r="G910" s="42" t="str">
        <f>IFERROR(__xludf.DUMMYFUNCTION("""COMPUTED_VALUE"""),"Roya")</f>
        <v>Roya</v>
      </c>
      <c r="H910" s="42">
        <f t="shared" si="1"/>
        <v>465</v>
      </c>
    </row>
    <row r="911" ht="22.5" customHeight="1">
      <c r="B911" s="42" t="str">
        <f>IFERROR(__xludf.DUMMYFUNCTION("""COMPUTED_VALUE"""),"K/8/161224/1")</f>
        <v>K/8/161224/1</v>
      </c>
      <c r="C911" s="42" t="str">
        <f>IFERROR(__xludf.DUMMYFUNCTION("""COMPUTED_VALUE"""),"M. 1921/ Kedaung")</f>
        <v>M. 1921/ Kedaung</v>
      </c>
      <c r="D911" s="42" t="str">
        <f>IFERROR(__xludf.DUMMYFUNCTION("""COMPUTED_VALUE"""),"Berry")</f>
        <v>Berry</v>
      </c>
      <c r="E911" s="42" t="str">
        <f>IFERROR(__xludf.DUMMYFUNCTION("""COMPUTED_VALUE"""),"PROSES")</f>
        <v>PROSES</v>
      </c>
      <c r="F911" s="48" t="str">
        <f>IFERROR(__xludf.DUMMYFUNCTION("""COMPUTED_VALUE"""),"")</f>
        <v/>
      </c>
      <c r="G911" s="42" t="str">
        <f>IFERROR(__xludf.DUMMYFUNCTION("""COMPUTED_VALUE"""),"BN Jual Beli")</f>
        <v>BN Jual Beli</v>
      </c>
      <c r="H911" s="42">
        <f t="shared" si="1"/>
        <v>465</v>
      </c>
    </row>
    <row r="912" ht="22.5" customHeight="1">
      <c r="B912" s="42" t="str">
        <f>IFERROR(__xludf.DUMMYFUNCTION("""COMPUTED_VALUE"""),"L/14/161224/1")</f>
        <v>L/14/161224/1</v>
      </c>
      <c r="C912" s="42" t="str">
        <f>IFERROR(__xludf.DUMMYFUNCTION("""COMPUTED_VALUE"""),"HM 13195/SUKABUMI")</f>
        <v>HM 13195/SUKABUMI</v>
      </c>
      <c r="D912" s="42" t="str">
        <f>IFERROR(__xludf.DUMMYFUNCTION("""COMPUTED_VALUE"""),"Berry")</f>
        <v>Berry</v>
      </c>
      <c r="E912" s="42" t="str">
        <f>IFERROR(__xludf.DUMMYFUNCTION("""COMPUTED_VALUE"""),"PROSES")</f>
        <v>PROSES</v>
      </c>
      <c r="F912" s="48" t="str">
        <f>IFERROR(__xludf.DUMMYFUNCTION("""COMPUTED_VALUE"""),"")</f>
        <v/>
      </c>
      <c r="G912" s="42" t="str">
        <f>IFERROR(__xludf.DUMMYFUNCTION("""COMPUTED_VALUE"""),"ROYA")</f>
        <v>ROYA</v>
      </c>
      <c r="H912" s="42">
        <f t="shared" si="1"/>
        <v>465</v>
      </c>
    </row>
    <row r="913" ht="22.5" customHeight="1">
      <c r="B913" s="42" t="str">
        <f>IFERROR(__xludf.DUMMYFUNCTION("""COMPUTED_VALUE"""),"K/15/161224/1")</f>
        <v>K/15/161224/1</v>
      </c>
      <c r="C913" s="42" t="str">
        <f>IFERROR(__xludf.DUMMYFUNCTION("""COMPUTED_VALUE"""),"M. 1018/ Kali Balau Kencana")</f>
        <v>M. 1018/ Kali Balau Kencana</v>
      </c>
      <c r="D913" s="42" t="str">
        <f>IFERROR(__xludf.DUMMYFUNCTION("""COMPUTED_VALUE"""),"Berry")</f>
        <v>Berry</v>
      </c>
      <c r="E913" s="42" t="str">
        <f>IFERROR(__xludf.DUMMYFUNCTION("""COMPUTED_VALUE"""),"DISERAHKAN")</f>
        <v>DISERAHKAN</v>
      </c>
      <c r="F913" s="48" t="str">
        <f>IFERROR(__xludf.DUMMYFUNCTION("""COMPUTED_VALUE"""),"18/12/2024 16.31")</f>
        <v>18/12/2024 16.31</v>
      </c>
      <c r="G913" s="42" t="str">
        <f>IFERROR(__xludf.DUMMYFUNCTION("""COMPUTED_VALUE"""),"BN HIBAH")</f>
        <v>BN HIBAH</v>
      </c>
      <c r="H913" s="42">
        <f t="shared" si="1"/>
        <v>466</v>
      </c>
    </row>
    <row r="914" ht="22.5" customHeight="1">
      <c r="B914" s="42" t="str">
        <f>IFERROR(__xludf.DUMMYFUNCTION("""COMPUTED_VALUE"""),"K/16/161224/2")</f>
        <v>K/16/161224/2</v>
      </c>
      <c r="C914" s="42" t="str">
        <f>IFERROR(__xludf.DUMMYFUNCTION("""COMPUTED_VALUE"""),"M. 1019/ Kali Balau Kencana")</f>
        <v>M. 1019/ Kali Balau Kencana</v>
      </c>
      <c r="D914" s="42" t="str">
        <f>IFERROR(__xludf.DUMMYFUNCTION("""COMPUTED_VALUE"""),"Berry")</f>
        <v>Berry</v>
      </c>
      <c r="E914" s="42" t="str">
        <f>IFERROR(__xludf.DUMMYFUNCTION("""COMPUTED_VALUE"""),"DISERAHKAN")</f>
        <v>DISERAHKAN</v>
      </c>
      <c r="F914" s="48" t="str">
        <f>IFERROR(__xludf.DUMMYFUNCTION("""COMPUTED_VALUE"""),"18/12/2024 16.32")</f>
        <v>18/12/2024 16.32</v>
      </c>
      <c r="G914" s="42" t="str">
        <f>IFERROR(__xludf.DUMMYFUNCTION("""COMPUTED_VALUE"""),"BN HIBAH")</f>
        <v>BN HIBAH</v>
      </c>
      <c r="H914" s="42">
        <f t="shared" si="1"/>
        <v>467</v>
      </c>
    </row>
    <row r="915" ht="22.5" customHeight="1">
      <c r="B915" s="42" t="str">
        <f>IFERROR(__xludf.DUMMYFUNCTION("""COMPUTED_VALUE"""),"L/18/161224/1")</f>
        <v>L/18/161224/1</v>
      </c>
      <c r="C915" s="42" t="str">
        <f>IFERROR(__xludf.DUMMYFUNCTION("""COMPUTED_VALUE"""),"HM 2538/KUPANG TEBA")</f>
        <v>HM 2538/KUPANG TEBA</v>
      </c>
      <c r="D915" s="42" t="str">
        <f>IFERROR(__xludf.DUMMYFUNCTION("""COMPUTED_VALUE"""),"Berry")</f>
        <v>Berry</v>
      </c>
      <c r="E915" s="42" t="str">
        <f>IFERROR(__xludf.DUMMYFUNCTION("""COMPUTED_VALUE"""),"PROSES")</f>
        <v>PROSES</v>
      </c>
      <c r="F915" s="48" t="str">
        <f>IFERROR(__xludf.DUMMYFUNCTION("""COMPUTED_VALUE"""),"")</f>
        <v/>
      </c>
      <c r="G915" s="42" t="str">
        <f>IFERROR(__xludf.DUMMYFUNCTION("""COMPUTED_VALUE"""),"ROYA")</f>
        <v>ROYA</v>
      </c>
      <c r="H915" s="42">
        <f t="shared" si="1"/>
        <v>467</v>
      </c>
    </row>
    <row r="916" ht="22.5" customHeight="1">
      <c r="B916" s="42" t="str">
        <f>IFERROR(__xludf.DUMMYFUNCTION("""COMPUTED_VALUE"""),"L/20/161224/1")</f>
        <v>L/20/161224/1</v>
      </c>
      <c r="C916" s="42" t="str">
        <f>IFERROR(__xludf.DUMMYFUNCTION("""COMPUTED_VALUE"""),"HGB 41/GEDONG AIR")</f>
        <v>HGB 41/GEDONG AIR</v>
      </c>
      <c r="D916" s="42"/>
      <c r="E916" s="42"/>
      <c r="F916" s="48" t="str">
        <f>IFERROR(__xludf.DUMMYFUNCTION("""COMPUTED_VALUE"""),"")</f>
        <v/>
      </c>
      <c r="G916" s="42" t="str">
        <f>IFERROR(__xludf.DUMMYFUNCTION("""COMPUTED_VALUE"""),"TANAH MENTAH (HGB MATI)")</f>
        <v>TANAH MENTAH (HGB MATI)</v>
      </c>
      <c r="H916" s="42">
        <f t="shared" si="1"/>
        <v>467</v>
      </c>
    </row>
    <row r="917" ht="22.5" customHeight="1">
      <c r="B917" s="42" t="str">
        <f>IFERROR(__xludf.DUMMYFUNCTION("""COMPUTED_VALUE"""),"K/23/161224/4")</f>
        <v>K/23/161224/4</v>
      </c>
      <c r="C917" s="42" t="str">
        <f>IFERROR(__xludf.DUMMYFUNCTION("""COMPUTED_VALUE"""),"M. 1021/ Kali Balau Kencana")</f>
        <v>M. 1021/ Kali Balau Kencana</v>
      </c>
      <c r="D917" s="42" t="str">
        <f>IFERROR(__xludf.DUMMYFUNCTION("""COMPUTED_VALUE"""),"Berry")</f>
        <v>Berry</v>
      </c>
      <c r="E917" s="42" t="str">
        <f>IFERROR(__xludf.DUMMYFUNCTION("""COMPUTED_VALUE"""),"DISERAHKAN")</f>
        <v>DISERAHKAN</v>
      </c>
      <c r="F917" s="48" t="str">
        <f>IFERROR(__xludf.DUMMYFUNCTION("""COMPUTED_VALUE"""),"18/12/2024 16.32")</f>
        <v>18/12/2024 16.32</v>
      </c>
      <c r="G917" s="42" t="str">
        <f>IFERROR(__xludf.DUMMYFUNCTION("""COMPUTED_VALUE"""),"BN HIBAH")</f>
        <v>BN HIBAH</v>
      </c>
      <c r="H917" s="42">
        <f t="shared" si="1"/>
        <v>468</v>
      </c>
    </row>
    <row r="918" ht="22.5" customHeight="1">
      <c r="B918" s="42" t="str">
        <f>IFERROR(__xludf.DUMMYFUNCTION("""COMPUTED_VALUE"""),"K/22/161224/3")</f>
        <v>K/22/161224/3</v>
      </c>
      <c r="C918" s="42" t="str">
        <f>IFERROR(__xludf.DUMMYFUNCTION("""COMPUTED_VALUE"""),"M. 1020/ Kali Balau Kencana")</f>
        <v>M. 1020/ Kali Balau Kencana</v>
      </c>
      <c r="D918" s="42" t="str">
        <f>IFERROR(__xludf.DUMMYFUNCTION("""COMPUTED_VALUE"""),"Berry")</f>
        <v>Berry</v>
      </c>
      <c r="E918" s="42" t="str">
        <f>IFERROR(__xludf.DUMMYFUNCTION("""COMPUTED_VALUE"""),"DISERAHKAN")</f>
        <v>DISERAHKAN</v>
      </c>
      <c r="F918" s="48" t="str">
        <f>IFERROR(__xludf.DUMMYFUNCTION("""COMPUTED_VALUE"""),"18/12/2024 16.32")</f>
        <v>18/12/2024 16.32</v>
      </c>
      <c r="G918" s="42" t="str">
        <f>IFERROR(__xludf.DUMMYFUNCTION("""COMPUTED_VALUE"""),"BN WARIS")</f>
        <v>BN WARIS</v>
      </c>
      <c r="H918" s="42">
        <f t="shared" si="1"/>
        <v>469</v>
      </c>
    </row>
    <row r="919" ht="22.5" customHeight="1">
      <c r="B919" s="42" t="str">
        <f>IFERROR(__xludf.DUMMYFUNCTION("""COMPUTED_VALUE"""),"K/25/161224/1")</f>
        <v>K/25/161224/1</v>
      </c>
      <c r="C919" s="42" t="str">
        <f>IFERROR(__xludf.DUMMYFUNCTION("""COMPUTED_VALUE"""),"M. 2655/ Gunung Terang")</f>
        <v>M. 2655/ Gunung Terang</v>
      </c>
      <c r="D919" s="42" t="str">
        <f>IFERROR(__xludf.DUMMYFUNCTION("""COMPUTED_VALUE"""),"Berry")</f>
        <v>Berry</v>
      </c>
      <c r="E919" s="42" t="str">
        <f>IFERROR(__xludf.DUMMYFUNCTION("""COMPUTED_VALUE"""),"DISERAHKAN")</f>
        <v>DISERAHKAN</v>
      </c>
      <c r="F919" s="48">
        <f>IFERROR(__xludf.DUMMYFUNCTION("""COMPUTED_VALUE"""),45769.60071184028)</f>
        <v>45769.60071</v>
      </c>
      <c r="G919" s="42" t="str">
        <f>IFERROR(__xludf.DUMMYFUNCTION("""COMPUTED_VALUE"""),"ROYA")</f>
        <v>ROYA</v>
      </c>
      <c r="H919" s="42">
        <f t="shared" si="1"/>
        <v>470</v>
      </c>
    </row>
    <row r="920" ht="22.5" customHeight="1">
      <c r="B920" s="42" t="str">
        <f>IFERROR(__xludf.DUMMYFUNCTION("""COMPUTED_VALUE"""),"K/27/161224/1")</f>
        <v>K/27/161224/1</v>
      </c>
      <c r="C920" s="42" t="str">
        <f>IFERROR(__xludf.DUMMYFUNCTION("""COMPUTED_VALUE"""),"M. 60/ Teluk Betung")</f>
        <v>M. 60/ Teluk Betung</v>
      </c>
      <c r="D920" s="42" t="str">
        <f>IFERROR(__xludf.DUMMYFUNCTION("""COMPUTED_VALUE"""),"Berry")</f>
        <v>Berry</v>
      </c>
      <c r="E920" s="42" t="str">
        <f>IFERROR(__xludf.DUMMYFUNCTION("""COMPUTED_VALUE"""),"DISERAHKAN")</f>
        <v>DISERAHKAN</v>
      </c>
      <c r="F920" s="48">
        <f>IFERROR(__xludf.DUMMYFUNCTION("""COMPUTED_VALUE"""),45691.45338723379)</f>
        <v>45691.45339</v>
      </c>
      <c r="G920" s="42" t="str">
        <f>IFERROR(__xludf.DUMMYFUNCTION("""COMPUTED_VALUE"""),"BN JUAL BELI")</f>
        <v>BN JUAL BELI</v>
      </c>
      <c r="H920" s="42">
        <f t="shared" si="1"/>
        <v>471</v>
      </c>
    </row>
    <row r="921" ht="22.5" customHeight="1">
      <c r="B921" s="42" t="str">
        <f>IFERROR(__xludf.DUMMYFUNCTION("""COMPUTED_VALUE"""),"K/28/161224/1")</f>
        <v>K/28/161224/1</v>
      </c>
      <c r="C921" s="42" t="str">
        <f>IFERROR(__xludf.DUMMYFUNCTION("""COMPUTED_VALUE"""),"M.5633/LANGKAPURA-SEKARANG;M.03780/GUNUNG TERANG-DAHULU")</f>
        <v>M.5633/LANGKAPURA-SEKARANG;M.03780/GUNUNG TERANG-DAHULU</v>
      </c>
      <c r="D921" s="42" t="str">
        <f>IFERROR(__xludf.DUMMYFUNCTION("""COMPUTED_VALUE"""),"Berry")</f>
        <v>Berry</v>
      </c>
      <c r="E921" s="42" t="str">
        <f>IFERROR(__xludf.DUMMYFUNCTION("""COMPUTED_VALUE"""),"PROSES")</f>
        <v>PROSES</v>
      </c>
      <c r="F921" s="48" t="str">
        <f>IFERROR(__xludf.DUMMYFUNCTION("""COMPUTED_VALUE"""),"")</f>
        <v/>
      </c>
      <c r="G921" s="42" t="str">
        <f>IFERROR(__xludf.DUMMYFUNCTION("""COMPUTED_VALUE"""),"BN JUAL BELI")</f>
        <v>BN JUAL BELI</v>
      </c>
      <c r="H921" s="42">
        <f t="shared" si="1"/>
        <v>471</v>
      </c>
    </row>
    <row r="922" ht="22.5" customHeight="1">
      <c r="B922" s="42" t="str">
        <f>IFERROR(__xludf.DUMMYFUNCTION("""COMPUTED_VALUE"""),"L/35/161224/1")</f>
        <v>L/35/161224/1</v>
      </c>
      <c r="C922" s="42" t="str">
        <f>IFERROR(__xludf.DUMMYFUNCTION("""COMPUTED_VALUE"""),"SUKARAME BARU")</f>
        <v>SUKARAME BARU</v>
      </c>
      <c r="D922" s="42"/>
      <c r="E922" s="42"/>
      <c r="F922" s="48" t="str">
        <f>IFERROR(__xludf.DUMMYFUNCTION("""COMPUTED_VALUE"""),"")</f>
        <v/>
      </c>
      <c r="G922" s="42" t="str">
        <f>IFERROR(__xludf.DUMMYFUNCTION("""COMPUTED_VALUE"""),"PENDAFTARAN SK")</f>
        <v>PENDAFTARAN SK</v>
      </c>
      <c r="H922" s="42">
        <f t="shared" si="1"/>
        <v>471</v>
      </c>
    </row>
    <row r="923" ht="22.5" customHeight="1">
      <c r="B923" s="42" t="str">
        <f>IFERROR(__xludf.DUMMYFUNCTION("""COMPUTED_VALUE"""),"K/36/161224/1")</f>
        <v>K/36/161224/1</v>
      </c>
      <c r="C923" s="42" t="str">
        <f>IFERROR(__xludf.DUMMYFUNCTION("""COMPUTED_VALUE"""),"M. 4439/ Langkapura")</f>
        <v>M. 4439/ Langkapura</v>
      </c>
      <c r="D923" s="42" t="str">
        <f>IFERROR(__xludf.DUMMYFUNCTION("""COMPUTED_VALUE"""),"Berry")</f>
        <v>Berry</v>
      </c>
      <c r="E923" s="42" t="str">
        <f>IFERROR(__xludf.DUMMYFUNCTION("""COMPUTED_VALUE"""),"DISERAHKAN")</f>
        <v>DISERAHKAN</v>
      </c>
      <c r="F923" s="48" t="str">
        <f>IFERROR(__xludf.DUMMYFUNCTION("""COMPUTED_VALUE"""),"18/12/2024 16.33")</f>
        <v>18/12/2024 16.33</v>
      </c>
      <c r="G923" s="42" t="str">
        <f>IFERROR(__xludf.DUMMYFUNCTION("""COMPUTED_VALUE"""),"BN Hibah")</f>
        <v>BN Hibah</v>
      </c>
      <c r="H923" s="42">
        <f t="shared" si="1"/>
        <v>472</v>
      </c>
    </row>
    <row r="924" ht="22.5" customHeight="1">
      <c r="B924" s="42" t="str">
        <f>IFERROR(__xludf.DUMMYFUNCTION("""COMPUTED_VALUE"""),"K/38/161224/2")</f>
        <v>K/38/161224/2</v>
      </c>
      <c r="C924" s="42" t="str">
        <f>IFERROR(__xludf.DUMMYFUNCTION("""COMPUTED_VALUE"""),"M. 2021/ Durian Payung")</f>
        <v>M. 2021/ Durian Payung</v>
      </c>
      <c r="D924" s="42" t="str">
        <f>IFERROR(__xludf.DUMMYFUNCTION("""COMPUTED_VALUE"""),"Berry")</f>
        <v>Berry</v>
      </c>
      <c r="E924" s="42" t="str">
        <f>IFERROR(__xludf.DUMMYFUNCTION("""COMPUTED_VALUE"""),"DISERAHKAN")</f>
        <v>DISERAHKAN</v>
      </c>
      <c r="F924" s="48" t="str">
        <f>IFERROR(__xludf.DUMMYFUNCTION("""COMPUTED_VALUE"""),"18/12/2024 16.34")</f>
        <v>18/12/2024 16.34</v>
      </c>
      <c r="G924" s="42" t="str">
        <f>IFERROR(__xludf.DUMMYFUNCTION("""COMPUTED_VALUE"""),"BN JUAL BELI")</f>
        <v>BN JUAL BELI</v>
      </c>
      <c r="H924" s="42">
        <f t="shared" si="1"/>
        <v>473</v>
      </c>
    </row>
    <row r="925" ht="22.5" customHeight="1">
      <c r="B925" s="42" t="str">
        <f>IFERROR(__xludf.DUMMYFUNCTION("""COMPUTED_VALUE"""),"L/40/161224/1")</f>
        <v>L/40/161224/1</v>
      </c>
      <c r="C925" s="42" t="str">
        <f>IFERROR(__xludf.DUMMYFUNCTION("""COMPUTED_VALUE"""),"HM 13813/RAJABASA")</f>
        <v>HM 13813/RAJABASA</v>
      </c>
      <c r="D925" s="42" t="str">
        <f>IFERROR(__xludf.DUMMYFUNCTION("""COMPUTED_VALUE"""),"Berry")</f>
        <v>Berry</v>
      </c>
      <c r="E925" s="42" t="str">
        <f>IFERROR(__xludf.DUMMYFUNCTION("""COMPUTED_VALUE"""),"DISERAHKAN")</f>
        <v>DISERAHKAN</v>
      </c>
      <c r="F925" s="48" t="str">
        <f>IFERROR(__xludf.DUMMYFUNCTION("""COMPUTED_VALUE"""),"18/12/2024 16.34")</f>
        <v>18/12/2024 16.34</v>
      </c>
      <c r="G925" s="42" t="str">
        <f>IFERROR(__xludf.DUMMYFUNCTION("""COMPUTED_VALUE"""),"ROYA")</f>
        <v>ROYA</v>
      </c>
      <c r="H925" s="42">
        <f t="shared" si="1"/>
        <v>474</v>
      </c>
    </row>
    <row r="926" ht="22.5" customHeight="1">
      <c r="B926" s="42" t="str">
        <f>IFERROR(__xludf.DUMMYFUNCTION("""COMPUTED_VALUE"""),"K/39/161224/3")</f>
        <v>K/39/161224/3</v>
      </c>
      <c r="C926" s="42" t="str">
        <f>IFERROR(__xludf.DUMMYFUNCTION("""COMPUTED_VALUE"""),"M. 2031/ Durian Payung")</f>
        <v>M. 2031/ Durian Payung</v>
      </c>
      <c r="D926" s="42" t="str">
        <f>IFERROR(__xludf.DUMMYFUNCTION("""COMPUTED_VALUE"""),"Berry")</f>
        <v>Berry</v>
      </c>
      <c r="E926" s="42" t="str">
        <f>IFERROR(__xludf.DUMMYFUNCTION("""COMPUTED_VALUE"""),"DISERAHKAN")</f>
        <v>DISERAHKAN</v>
      </c>
      <c r="F926" s="48" t="str">
        <f>IFERROR(__xludf.DUMMYFUNCTION("""COMPUTED_VALUE"""),"18/12/2024 16.35")</f>
        <v>18/12/2024 16.35</v>
      </c>
      <c r="G926" s="42" t="str">
        <f>IFERROR(__xludf.DUMMYFUNCTION("""COMPUTED_VALUE"""),"BN JUAL BELI")</f>
        <v>BN JUAL BELI</v>
      </c>
      <c r="H926" s="42">
        <f t="shared" si="1"/>
        <v>475</v>
      </c>
    </row>
    <row r="927" ht="22.5" customHeight="1">
      <c r="B927" s="42" t="str">
        <f>IFERROR(__xludf.DUMMYFUNCTION("""COMPUTED_VALUE"""),"K/41/161224/1")</f>
        <v>K/41/161224/1</v>
      </c>
      <c r="C927" s="42" t="str">
        <f>IFERROR(__xludf.DUMMYFUNCTION("""COMPUTED_VALUE"""),"M.16597/SUKABUMI")</f>
        <v>M.16597/SUKABUMI</v>
      </c>
      <c r="D927" s="42" t="str">
        <f>IFERROR(__xludf.DUMMYFUNCTION("""COMPUTED_VALUE"""),"Berry")</f>
        <v>Berry</v>
      </c>
      <c r="E927" s="42" t="str">
        <f>IFERROR(__xludf.DUMMYFUNCTION("""COMPUTED_VALUE"""),"DISERAHKAN")</f>
        <v>DISERAHKAN</v>
      </c>
      <c r="F927" s="48" t="str">
        <f>IFERROR(__xludf.DUMMYFUNCTION("""COMPUTED_VALUE"""),"18/12/2024 16.35")</f>
        <v>18/12/2024 16.35</v>
      </c>
      <c r="G927" s="42" t="str">
        <f>IFERROR(__xludf.DUMMYFUNCTION("""COMPUTED_VALUE"""),"BN JUAL BELI")</f>
        <v>BN JUAL BELI</v>
      </c>
      <c r="H927" s="42">
        <f t="shared" si="1"/>
        <v>476</v>
      </c>
    </row>
    <row r="928" ht="22.5" customHeight="1">
      <c r="B928" s="42" t="str">
        <f>IFERROR(__xludf.DUMMYFUNCTION("""COMPUTED_VALUE"""),"K/42/161224/1")</f>
        <v>K/42/161224/1</v>
      </c>
      <c r="C928" s="42" t="str">
        <f>IFERROR(__xludf.DUMMYFUNCTION("""COMPUTED_VALUE"""),"B.213/KOTA KARANG")</f>
        <v>B.213/KOTA KARANG</v>
      </c>
      <c r="D928" s="42"/>
      <c r="E928" s="42"/>
      <c r="F928" s="48" t="str">
        <f>IFERROR(__xludf.DUMMYFUNCTION("""COMPUTED_VALUE"""),"")</f>
        <v/>
      </c>
      <c r="G928" s="42" t="str">
        <f>IFERROR(__xludf.DUMMYFUNCTION("""COMPUTED_VALUE"""),"PERMOHONAN SK PERPANJANGAN")</f>
        <v>PERMOHONAN SK PERPANJANGAN</v>
      </c>
      <c r="H928" s="42">
        <f t="shared" si="1"/>
        <v>476</v>
      </c>
    </row>
    <row r="929" ht="22.5" customHeight="1">
      <c r="B929" s="42" t="str">
        <f>IFERROR(__xludf.DUMMYFUNCTION("""COMPUTED_VALUE"""),"K/34/161224/2")</f>
        <v>K/34/161224/2</v>
      </c>
      <c r="C929" s="42" t="str">
        <f>IFERROR(__xludf.DUMMYFUNCTION("""COMPUTED_VALUE"""),"M.5631/LANGKAPURA-SEKARANG-M.3781/GUNUNG TERANG-DAHULU")</f>
        <v>M.5631/LANGKAPURA-SEKARANG-M.3781/GUNUNG TERANG-DAHULU</v>
      </c>
      <c r="D929" s="42" t="str">
        <f>IFERROR(__xludf.DUMMYFUNCTION("""COMPUTED_VALUE"""),"Berry")</f>
        <v>Berry</v>
      </c>
      <c r="E929" s="42" t="str">
        <f>IFERROR(__xludf.DUMMYFUNCTION("""COMPUTED_VALUE"""),"PROSES")</f>
        <v>PROSES</v>
      </c>
      <c r="F929" s="48" t="str">
        <f>IFERROR(__xludf.DUMMYFUNCTION("""COMPUTED_VALUE"""),"")</f>
        <v/>
      </c>
      <c r="G929" s="42" t="str">
        <f>IFERROR(__xludf.DUMMYFUNCTION("""COMPUTED_VALUE"""),"BN JUAL BELI")</f>
        <v>BN JUAL BELI</v>
      </c>
      <c r="H929" s="42">
        <f t="shared" si="1"/>
        <v>476</v>
      </c>
    </row>
    <row r="930" ht="22.5" customHeight="1">
      <c r="B930" s="42" t="str">
        <f>IFERROR(__xludf.DUMMYFUNCTION("""COMPUTED_VALUE"""),"K/44/161224/1")</f>
        <v>K/44/161224/1</v>
      </c>
      <c r="C930" s="42" t="str">
        <f>IFERROR(__xludf.DUMMYFUNCTION("""COMPUTED_VALUE"""),"M. 1662/Kaliawi")</f>
        <v>M. 1662/Kaliawi</v>
      </c>
      <c r="D930" s="42" t="str">
        <f>IFERROR(__xludf.DUMMYFUNCTION("""COMPUTED_VALUE"""),"Berry")</f>
        <v>Berry</v>
      </c>
      <c r="E930" s="42" t="str">
        <f>IFERROR(__xludf.DUMMYFUNCTION("""COMPUTED_VALUE"""),"DISERAHKAN")</f>
        <v>DISERAHKAN</v>
      </c>
      <c r="F930" s="48" t="str">
        <f>IFERROR(__xludf.DUMMYFUNCTION("""COMPUTED_VALUE"""),"18/12/2024 16.35")</f>
        <v>18/12/2024 16.35</v>
      </c>
      <c r="G930" s="42" t="str">
        <f>IFERROR(__xludf.DUMMYFUNCTION("""COMPUTED_VALUE"""),"Roya")</f>
        <v>Roya</v>
      </c>
      <c r="H930" s="42">
        <f t="shared" si="1"/>
        <v>477</v>
      </c>
    </row>
    <row r="931" ht="22.5" customHeight="1">
      <c r="B931" s="42" t="str">
        <f>IFERROR(__xludf.DUMMYFUNCTION("""COMPUTED_VALUE"""),"K/45/161224/1")</f>
        <v>K/45/161224/1</v>
      </c>
      <c r="C931" s="42" t="str">
        <f>IFERROR(__xludf.DUMMYFUNCTION("""COMPUTED_VALUE"""),"B. 352/ Kemiling permai")</f>
        <v>B. 352/ Kemiling permai</v>
      </c>
      <c r="D931" s="42" t="str">
        <f>IFERROR(__xludf.DUMMYFUNCTION("""COMPUTED_VALUE"""),"Berry")</f>
        <v>Berry</v>
      </c>
      <c r="E931" s="42" t="str">
        <f>IFERROR(__xludf.DUMMYFUNCTION("""COMPUTED_VALUE"""),"DISERAHKAN")</f>
        <v>DISERAHKAN</v>
      </c>
      <c r="F931" s="48" t="str">
        <f>IFERROR(__xludf.DUMMYFUNCTION("""COMPUTED_VALUE"""),"18/12/2024 16.36")</f>
        <v>18/12/2024 16.36</v>
      </c>
      <c r="G931" s="42" t="str">
        <f>IFERROR(__xludf.DUMMYFUNCTION("""COMPUTED_VALUE"""),"BN JUAL BELI")</f>
        <v>BN JUAL BELI</v>
      </c>
      <c r="H931" s="42">
        <f t="shared" si="1"/>
        <v>478</v>
      </c>
    </row>
    <row r="932" ht="22.5" customHeight="1">
      <c r="B932" s="42" t="str">
        <f>IFERROR(__xludf.DUMMYFUNCTION("""COMPUTED_VALUE"""),"K/43/161224/1")</f>
        <v>K/43/161224/1</v>
      </c>
      <c r="C932" s="42" t="str">
        <f>IFERROR(__xludf.DUMMYFUNCTION("""COMPUTED_VALUE"""),"M.2624/WAY KANDIS")</f>
        <v>M.2624/WAY KANDIS</v>
      </c>
      <c r="D932" s="42" t="str">
        <f>IFERROR(__xludf.DUMMYFUNCTION("""COMPUTED_VALUE"""),"Berry")</f>
        <v>Berry</v>
      </c>
      <c r="E932" s="42" t="str">
        <f>IFERROR(__xludf.DUMMYFUNCTION("""COMPUTED_VALUE"""),"DISERAHKAN")</f>
        <v>DISERAHKAN</v>
      </c>
      <c r="F932" s="48" t="str">
        <f>IFERROR(__xludf.DUMMYFUNCTION("""COMPUTED_VALUE"""),"18/12/2024 16.36")</f>
        <v>18/12/2024 16.36</v>
      </c>
      <c r="G932" s="42" t="str">
        <f>IFERROR(__xludf.DUMMYFUNCTION("""COMPUTED_VALUE"""),"BN JUAL BELI")</f>
        <v>BN JUAL BELI</v>
      </c>
      <c r="H932" s="42">
        <f t="shared" si="1"/>
        <v>479</v>
      </c>
    </row>
    <row r="933" ht="22.5" customHeight="1">
      <c r="B933" s="42" t="str">
        <f>IFERROR(__xludf.DUMMYFUNCTION("""COMPUTED_VALUE"""),"K/1/171224/1")</f>
        <v>K/1/171224/1</v>
      </c>
      <c r="C933" s="42" t="str">
        <f>IFERROR(__xludf.DUMMYFUNCTION("""COMPUTED_VALUE"""),"M.2654/KOTA BARU")</f>
        <v>M.2654/KOTA BARU</v>
      </c>
      <c r="D933" s="42" t="str">
        <f>IFERROR(__xludf.DUMMYFUNCTION("""COMPUTED_VALUE"""),"Berry")</f>
        <v>Berry</v>
      </c>
      <c r="E933" s="42" t="str">
        <f>IFERROR(__xludf.DUMMYFUNCTION("""COMPUTED_VALUE"""),"DISERAHKAN")</f>
        <v>DISERAHKAN</v>
      </c>
      <c r="F933" s="48" t="str">
        <f>IFERROR(__xludf.DUMMYFUNCTION("""COMPUTED_VALUE"""),"18/12/2024 16.36")</f>
        <v>18/12/2024 16.36</v>
      </c>
      <c r="G933" s="42" t="str">
        <f>IFERROR(__xludf.DUMMYFUNCTION("""COMPUTED_VALUE"""),"ROYA")</f>
        <v>ROYA</v>
      </c>
      <c r="H933" s="42">
        <f t="shared" si="1"/>
        <v>480</v>
      </c>
    </row>
    <row r="934" ht="22.5" customHeight="1">
      <c r="B934" s="42" t="str">
        <f>IFERROR(__xludf.DUMMYFUNCTION("""COMPUTED_VALUE"""),"K/2/171224/2")</f>
        <v>K/2/171224/2</v>
      </c>
      <c r="C934" s="42" t="str">
        <f>IFERROR(__xludf.DUMMYFUNCTION("""COMPUTED_VALUE"""),"M.53/BATU PUTU")</f>
        <v>M.53/BATU PUTU</v>
      </c>
      <c r="D934" s="42" t="str">
        <f>IFERROR(__xludf.DUMMYFUNCTION("""COMPUTED_VALUE"""),"Berry")</f>
        <v>Berry</v>
      </c>
      <c r="E934" s="42" t="str">
        <f>IFERROR(__xludf.DUMMYFUNCTION("""COMPUTED_VALUE"""),"PROSES")</f>
        <v>PROSES</v>
      </c>
      <c r="F934" s="48" t="str">
        <f>IFERROR(__xludf.DUMMYFUNCTION("""COMPUTED_VALUE"""),"")</f>
        <v/>
      </c>
      <c r="G934" s="42" t="str">
        <f>IFERROR(__xludf.DUMMYFUNCTION("""COMPUTED_VALUE"""),"ROYA")</f>
        <v>ROYA</v>
      </c>
      <c r="H934" s="42">
        <f t="shared" si="1"/>
        <v>480</v>
      </c>
    </row>
    <row r="935" ht="22.5" customHeight="1">
      <c r="B935" s="42" t="str">
        <f>IFERROR(__xludf.DUMMYFUNCTION("""COMPUTED_VALUE"""),"L/3/171224/1")</f>
        <v>L/3/171224/1</v>
      </c>
      <c r="C935" s="42" t="str">
        <f>IFERROR(__xludf.DUMMYFUNCTION("""COMPUTED_VALUE"""),"HM 12616/RAJABASA")</f>
        <v>HM 12616/RAJABASA</v>
      </c>
      <c r="D935" s="42" t="str">
        <f>IFERROR(__xludf.DUMMYFUNCTION("""COMPUTED_VALUE"""),"David")</f>
        <v>David</v>
      </c>
      <c r="E935" s="42" t="str">
        <f>IFERROR(__xludf.DUMMYFUNCTION("""COMPUTED_VALUE"""),"DISERAHKAN")</f>
        <v>DISERAHKAN</v>
      </c>
      <c r="F935" s="48" t="str">
        <f>IFERROR(__xludf.DUMMYFUNCTION("""COMPUTED_VALUE"""),"18/12/2024 16.37")</f>
        <v>18/12/2024 16.37</v>
      </c>
      <c r="G935" s="42" t="str">
        <f>IFERROR(__xludf.DUMMYFUNCTION("""COMPUTED_VALUE"""),"ROYA")</f>
        <v>ROYA</v>
      </c>
      <c r="H935" s="42">
        <f t="shared" si="1"/>
        <v>481</v>
      </c>
    </row>
    <row r="936" ht="22.5" customHeight="1">
      <c r="B936" s="42" t="str">
        <f>IFERROR(__xludf.DUMMYFUNCTION("""COMPUTED_VALUE"""),"K/4/171224/1")</f>
        <v>K/4/171224/1</v>
      </c>
      <c r="C936" s="42" t="str">
        <f>IFERROR(__xludf.DUMMYFUNCTION("""COMPUTED_VALUE"""),"NIBEL M. 891/BUMI WARAS")</f>
        <v>NIBEL M. 891/BUMI WARAS</v>
      </c>
      <c r="D936" s="42"/>
      <c r="E936" s="42"/>
      <c r="F936" s="48" t="str">
        <f>IFERROR(__xludf.DUMMYFUNCTION("""COMPUTED_VALUE"""),"")</f>
        <v/>
      </c>
      <c r="G936" s="42" t="str">
        <f>IFERROR(__xludf.DUMMYFUNCTION("""COMPUTED_VALUE"""),"BN JUAL BELI")</f>
        <v>BN JUAL BELI</v>
      </c>
      <c r="H936" s="42">
        <f t="shared" si="1"/>
        <v>481</v>
      </c>
    </row>
    <row r="937" ht="22.5" customHeight="1">
      <c r="B937" s="42" t="str">
        <f>IFERROR(__xludf.DUMMYFUNCTION("""COMPUTED_VALUE"""),"K/5/171224/2")</f>
        <v>K/5/171224/2</v>
      </c>
      <c r="C937" s="42" t="str">
        <f>IFERROR(__xludf.DUMMYFUNCTION("""COMPUTED_VALUE"""),"NIBEL M. 893/BUMI WARAS")</f>
        <v>NIBEL M. 893/BUMI WARAS</v>
      </c>
      <c r="D937" s="42"/>
      <c r="E937" s="42"/>
      <c r="F937" s="48" t="str">
        <f>IFERROR(__xludf.DUMMYFUNCTION("""COMPUTED_VALUE"""),"")</f>
        <v/>
      </c>
      <c r="G937" s="42" t="str">
        <f>IFERROR(__xludf.DUMMYFUNCTION("""COMPUTED_VALUE"""),"BN JUAL BELI")</f>
        <v>BN JUAL BELI</v>
      </c>
      <c r="H937" s="42">
        <f t="shared" si="1"/>
        <v>481</v>
      </c>
    </row>
    <row r="938" ht="22.5" customHeight="1">
      <c r="B938" s="42" t="str">
        <f>IFERROR(__xludf.DUMMYFUNCTION("""COMPUTED_VALUE"""),"L/9/171224/1")</f>
        <v>L/9/171224/1</v>
      </c>
      <c r="C938" s="42" t="str">
        <f>IFERROR(__xludf.DUMMYFUNCTION("""COMPUTED_VALUE"""),"HM 3840/KETEGUHAN")</f>
        <v>HM 3840/KETEGUHAN</v>
      </c>
      <c r="D938" s="42"/>
      <c r="E938" s="42"/>
      <c r="F938" s="48" t="str">
        <f>IFERROR(__xludf.DUMMYFUNCTION("""COMPUTED_VALUE"""),"")</f>
        <v/>
      </c>
      <c r="G938" s="42" t="str">
        <f>IFERROR(__xludf.DUMMYFUNCTION("""COMPUTED_VALUE"""),"HAPUS BPHTB")</f>
        <v>HAPUS BPHTB</v>
      </c>
      <c r="H938" s="42">
        <f t="shared" si="1"/>
        <v>481</v>
      </c>
    </row>
    <row r="939" ht="22.5" customHeight="1">
      <c r="B939" s="42" t="str">
        <f>IFERROR(__xludf.DUMMYFUNCTION("""COMPUTED_VALUE"""),"K/10/171224/1")</f>
        <v>K/10/171224/1</v>
      </c>
      <c r="C939" s="42" t="str">
        <f>IFERROR(__xludf.DUMMYFUNCTION("""COMPUTED_VALUE"""),"M. 13163/ Kedamaian")</f>
        <v>M. 13163/ Kedamaian</v>
      </c>
      <c r="D939" s="42" t="str">
        <f>IFERROR(__xludf.DUMMYFUNCTION("""COMPUTED_VALUE"""),"David")</f>
        <v>David</v>
      </c>
      <c r="E939" s="42" t="str">
        <f>IFERROR(__xludf.DUMMYFUNCTION("""COMPUTED_VALUE"""),"DISERAHKAN")</f>
        <v>DISERAHKAN</v>
      </c>
      <c r="F939" s="48">
        <f>IFERROR(__xludf.DUMMYFUNCTION("""COMPUTED_VALUE"""),0.0)</f>
        <v>0</v>
      </c>
      <c r="G939" s="42" t="str">
        <f>IFERROR(__xludf.DUMMYFUNCTION("""COMPUTED_VALUE"""),"BN Jual Beli")</f>
        <v>BN Jual Beli</v>
      </c>
      <c r="H939" s="42">
        <f t="shared" si="1"/>
        <v>482</v>
      </c>
    </row>
    <row r="940" ht="22.5" customHeight="1">
      <c r="B940" s="42" t="str">
        <f>IFERROR(__xludf.DUMMYFUNCTION("""COMPUTED_VALUE"""),"K/11/171224/1")</f>
        <v>K/11/171224/1</v>
      </c>
      <c r="C940" s="42" t="str">
        <f>IFERROR(__xludf.DUMMYFUNCTION("""COMPUTED_VALUE"""),"M.6406/WAY KANDIS")</f>
        <v>M.6406/WAY KANDIS</v>
      </c>
      <c r="D940" s="42" t="str">
        <f>IFERROR(__xludf.DUMMYFUNCTION("""COMPUTED_VALUE"""),"David")</f>
        <v>David</v>
      </c>
      <c r="E940" s="42" t="str">
        <f>IFERROR(__xludf.DUMMYFUNCTION("""COMPUTED_VALUE"""),"PROSES")</f>
        <v>PROSES</v>
      </c>
      <c r="F940" s="48" t="str">
        <f>IFERROR(__xludf.DUMMYFUNCTION("""COMPUTED_VALUE"""),"")</f>
        <v/>
      </c>
      <c r="G940" s="42" t="str">
        <f>IFERROR(__xludf.DUMMYFUNCTION("""COMPUTED_VALUE"""),"BN JUAL BELI")</f>
        <v>BN JUAL BELI</v>
      </c>
      <c r="H940" s="42">
        <f t="shared" si="1"/>
        <v>482</v>
      </c>
    </row>
    <row r="941" ht="22.5" customHeight="1">
      <c r="B941" s="42" t="str">
        <f>IFERROR(__xludf.DUMMYFUNCTION("""COMPUTED_VALUE"""),"K/6/171224/3")</f>
        <v>K/6/171224/3</v>
      </c>
      <c r="C941" s="42" t="str">
        <f>IFERROR(__xludf.DUMMYFUNCTION("""COMPUTED_VALUE"""),"NIBEL M. 892/BUMI WARAS")</f>
        <v>NIBEL M. 892/BUMI WARAS</v>
      </c>
      <c r="D941" s="42"/>
      <c r="E941" s="42"/>
      <c r="F941" s="48" t="str">
        <f>IFERROR(__xludf.DUMMYFUNCTION("""COMPUTED_VALUE"""),"")</f>
        <v/>
      </c>
      <c r="G941" s="42" t="str">
        <f>IFERROR(__xludf.DUMMYFUNCTION("""COMPUTED_VALUE"""),"BN JUAL BELI")</f>
        <v>BN JUAL BELI</v>
      </c>
      <c r="H941" s="42">
        <f t="shared" si="1"/>
        <v>482</v>
      </c>
    </row>
    <row r="942" ht="22.5" customHeight="1">
      <c r="B942" s="42" t="str">
        <f>IFERROR(__xludf.DUMMYFUNCTION("""COMPUTED_VALUE"""),"K/13/171224/1")</f>
        <v>K/13/171224/1</v>
      </c>
      <c r="C942" s="42" t="str">
        <f>IFERROR(__xludf.DUMMYFUNCTION("""COMPUTED_VALUE"""),"M.1602/SUSUNAN BARU")</f>
        <v>M.1602/SUSUNAN BARU</v>
      </c>
      <c r="D942" s="42" t="str">
        <f>IFERROR(__xludf.DUMMYFUNCTION("""COMPUTED_VALUE"""),"David")</f>
        <v>David</v>
      </c>
      <c r="E942" s="42" t="str">
        <f>IFERROR(__xludf.DUMMYFUNCTION("""COMPUTED_VALUE"""),"PROSES")</f>
        <v>PROSES</v>
      </c>
      <c r="F942" s="48" t="str">
        <f>IFERROR(__xludf.DUMMYFUNCTION("""COMPUTED_VALUE"""),"")</f>
        <v/>
      </c>
      <c r="G942" s="42" t="str">
        <f>IFERROR(__xludf.DUMMYFUNCTION("""COMPUTED_VALUE"""),"ROYA")</f>
        <v>ROYA</v>
      </c>
      <c r="H942" s="42">
        <f t="shared" si="1"/>
        <v>482</v>
      </c>
    </row>
    <row r="943" ht="22.5" customHeight="1">
      <c r="B943" s="42" t="str">
        <f>IFERROR(__xludf.DUMMYFUNCTION("""COMPUTED_VALUE"""),"K/15/171224/1")</f>
        <v>K/15/171224/1</v>
      </c>
      <c r="C943" s="42" t="str">
        <f>IFERROR(__xludf.DUMMYFUNCTION("""COMPUTED_VALUE"""),"B.265/LABUHAN RATU RAYA-SEKARANG;B.277/LABUHAN RATU-DAHULU")</f>
        <v>B.265/LABUHAN RATU RAYA-SEKARANG;B.277/LABUHAN RATU-DAHULU</v>
      </c>
      <c r="D943" s="42" t="str">
        <f>IFERROR(__xludf.DUMMYFUNCTION("""COMPUTED_VALUE"""),"David")</f>
        <v>David</v>
      </c>
      <c r="E943" s="42" t="str">
        <f>IFERROR(__xludf.DUMMYFUNCTION("""COMPUTED_VALUE"""),"DISERAHKAN BT")</f>
        <v>DISERAHKAN BT</v>
      </c>
      <c r="F943" s="48" t="str">
        <f>IFERROR(__xludf.DUMMYFUNCTION("""COMPUTED_VALUE"""),"18/12/2024 16.40")</f>
        <v>18/12/2024 16.40</v>
      </c>
      <c r="G943" s="42" t="str">
        <f>IFERROR(__xludf.DUMMYFUNCTION("""COMPUTED_VALUE"""),"BN JUAL BELI")</f>
        <v>BN JUAL BELI</v>
      </c>
      <c r="H943" s="42">
        <f t="shared" si="1"/>
        <v>482</v>
      </c>
    </row>
    <row r="944" ht="22.5" customHeight="1">
      <c r="B944" s="42" t="str">
        <f>IFERROR(__xludf.DUMMYFUNCTION("""COMPUTED_VALUE"""),"K/14/171224/1")</f>
        <v>K/14/171224/1</v>
      </c>
      <c r="C944" s="42" t="str">
        <f>IFERROR(__xludf.DUMMYFUNCTION("""COMPUTED_VALUE"""),"PBT 59/2024")</f>
        <v>PBT 59/2024</v>
      </c>
      <c r="D944" s="42"/>
      <c r="E944" s="42"/>
      <c r="F944" s="48" t="str">
        <f>IFERROR(__xludf.DUMMYFUNCTION("""COMPUTED_VALUE"""),"")</f>
        <v/>
      </c>
      <c r="G944" s="42" t="str">
        <f>IFERROR(__xludf.DUMMYFUNCTION("""COMPUTED_VALUE"""),"PERMOHONAN SK")</f>
        <v>PERMOHONAN SK</v>
      </c>
      <c r="H944" s="42">
        <f t="shared" si="1"/>
        <v>482</v>
      </c>
    </row>
    <row r="945" ht="22.5" customHeight="1">
      <c r="B945" s="42" t="str">
        <f>IFERROR(__xludf.DUMMYFUNCTION("""COMPUTED_VALUE"""),"L/18/171224/1")</f>
        <v>L/18/171224/1</v>
      </c>
      <c r="C945" s="42" t="str">
        <f>IFERROR(__xludf.DUMMYFUNCTION("""COMPUTED_VALUE"""),"HGB 1476/CAMPANG RAYA")</f>
        <v>HGB 1476/CAMPANG RAYA</v>
      </c>
      <c r="D945" s="42" t="str">
        <f>IFERROR(__xludf.DUMMYFUNCTION("""COMPUTED_VALUE"""),"David")</f>
        <v>David</v>
      </c>
      <c r="E945" s="42" t="str">
        <f>IFERROR(__xludf.DUMMYFUNCTION("""COMPUTED_VALUE"""),"DISERAHKAN")</f>
        <v>DISERAHKAN</v>
      </c>
      <c r="F945" s="48" t="str">
        <f>IFERROR(__xludf.DUMMYFUNCTION("""COMPUTED_VALUE"""),"18/12/2024 16.41")</f>
        <v>18/12/2024 16.41</v>
      </c>
      <c r="G945" s="42" t="str">
        <f>IFERROR(__xludf.DUMMYFUNCTION("""COMPUTED_VALUE"""),"ROYA")</f>
        <v>ROYA</v>
      </c>
      <c r="H945" s="42">
        <f t="shared" si="1"/>
        <v>483</v>
      </c>
    </row>
    <row r="946" ht="22.5" customHeight="1">
      <c r="B946" s="42" t="str">
        <f>IFERROR(__xludf.DUMMYFUNCTION("""COMPUTED_VALUE"""),"K/17/171224/1")</f>
        <v>K/17/171224/1</v>
      </c>
      <c r="C946" s="42" t="str">
        <f>IFERROR(__xludf.DUMMYFUNCTION("""COMPUTED_VALUE"""),"NIBEL M.11434/NUSANTARA PERMAI")</f>
        <v>NIBEL M.11434/NUSANTARA PERMAI</v>
      </c>
      <c r="D946" s="42"/>
      <c r="E946" s="42"/>
      <c r="F946" s="48" t="str">
        <f>IFERROR(__xludf.DUMMYFUNCTION("""COMPUTED_VALUE"""),"")</f>
        <v/>
      </c>
      <c r="G946" s="42" t="str">
        <f>IFERROR(__xludf.DUMMYFUNCTION("""COMPUTED_VALUE"""),"BN JUAL BELI")</f>
        <v>BN JUAL BELI</v>
      </c>
      <c r="H946" s="42">
        <f t="shared" si="1"/>
        <v>483</v>
      </c>
    </row>
    <row r="947" ht="22.5" customHeight="1">
      <c r="B947" s="42" t="str">
        <f>IFERROR(__xludf.DUMMYFUNCTION("""COMPUTED_VALUE"""),"L/20/171224/1")</f>
        <v>L/20/171224/1</v>
      </c>
      <c r="C947" s="42" t="str">
        <f>IFERROR(__xludf.DUMMYFUNCTION("""COMPUTED_VALUE"""),"HM 12942/SUKABUMI")</f>
        <v>HM 12942/SUKABUMI</v>
      </c>
      <c r="D947" s="42" t="str">
        <f>IFERROR(__xludf.DUMMYFUNCTION("""COMPUTED_VALUE"""),"David")</f>
        <v>David</v>
      </c>
      <c r="E947" s="42" t="str">
        <f>IFERROR(__xludf.DUMMYFUNCTION("""COMPUTED_VALUE"""),"PROSES")</f>
        <v>PROSES</v>
      </c>
      <c r="F947" s="48" t="str">
        <f>IFERROR(__xludf.DUMMYFUNCTION("""COMPUTED_VALUE"""),"")</f>
        <v/>
      </c>
      <c r="G947" s="42" t="str">
        <f>IFERROR(__xludf.DUMMYFUNCTION("""COMPUTED_VALUE"""),"ROYA")</f>
        <v>ROYA</v>
      </c>
      <c r="H947" s="42">
        <f t="shared" si="1"/>
        <v>483</v>
      </c>
    </row>
    <row r="948" ht="22.5" customHeight="1">
      <c r="B948" s="42" t="str">
        <f>IFERROR(__xludf.DUMMYFUNCTION("""COMPUTED_VALUE"""),"K/21/171224/1")</f>
        <v>K/21/171224/1</v>
      </c>
      <c r="C948" s="42" t="str">
        <f>IFERROR(__xludf.DUMMYFUNCTION("""COMPUTED_VALUE"""),"M.10130/SUKABUMI")</f>
        <v>M.10130/SUKABUMI</v>
      </c>
      <c r="D948" s="42" t="str">
        <f>IFERROR(__xludf.DUMMYFUNCTION("""COMPUTED_VALUE"""),"David")</f>
        <v>David</v>
      </c>
      <c r="E948" s="42" t="str">
        <f>IFERROR(__xludf.DUMMYFUNCTION("""COMPUTED_VALUE"""),"DISERAHKAN")</f>
        <v>DISERAHKAN</v>
      </c>
      <c r="F948" s="48">
        <f>IFERROR(__xludf.DUMMYFUNCTION("""COMPUTED_VALUE"""),0.0)</f>
        <v>0</v>
      </c>
      <c r="G948" s="42" t="str">
        <f>IFERROR(__xludf.DUMMYFUNCTION("""COMPUTED_VALUE"""),"BN JUAL BELI")</f>
        <v>BN JUAL BELI</v>
      </c>
      <c r="H948" s="42">
        <f t="shared" si="1"/>
        <v>484</v>
      </c>
    </row>
    <row r="949" ht="22.5" customHeight="1">
      <c r="B949" s="42" t="str">
        <f>IFERROR(__xludf.DUMMYFUNCTION("""COMPUTED_VALUE"""),"K/22/171224/2")</f>
        <v>K/22/171224/2</v>
      </c>
      <c r="C949" s="42" t="str">
        <f>IFERROR(__xludf.DUMMYFUNCTION("""COMPUTED_VALUE"""),"M.567/KORPRI RAYA-SEKARANG;M.10866/SUKARAME I")</f>
        <v>M.567/KORPRI RAYA-SEKARANG;M.10866/SUKARAME I</v>
      </c>
      <c r="D949" s="42" t="str">
        <f>IFERROR(__xludf.DUMMYFUNCTION("""COMPUTED_VALUE"""),"David")</f>
        <v>David</v>
      </c>
      <c r="E949" s="42" t="str">
        <f>IFERROR(__xludf.DUMMYFUNCTION("""COMPUTED_VALUE"""),"PROSES")</f>
        <v>PROSES</v>
      </c>
      <c r="F949" s="48" t="str">
        <f>IFERROR(__xludf.DUMMYFUNCTION("""COMPUTED_VALUE"""),"")</f>
        <v/>
      </c>
      <c r="G949" s="42" t="str">
        <f>IFERROR(__xludf.DUMMYFUNCTION("""COMPUTED_VALUE"""),"BN JUAL BELI")</f>
        <v>BN JUAL BELI</v>
      </c>
      <c r="H949" s="42">
        <f t="shared" si="1"/>
        <v>484</v>
      </c>
    </row>
    <row r="950" ht="22.5" customHeight="1">
      <c r="B950" s="42" t="str">
        <f>IFERROR(__xludf.DUMMYFUNCTION("""COMPUTED_VALUE"""),"K/25/171224/1")</f>
        <v>K/25/171224/1</v>
      </c>
      <c r="C950" s="42" t="str">
        <f>IFERROR(__xludf.DUMMYFUNCTION("""COMPUTED_VALUE"""),"M. 13780/ Segala Mider")</f>
        <v>M. 13780/ Segala Mider</v>
      </c>
      <c r="D950" s="42"/>
      <c r="E950" s="42"/>
      <c r="F950" s="48" t="str">
        <f>IFERROR(__xludf.DUMMYFUNCTION("""COMPUTED_VALUE"""),"")</f>
        <v/>
      </c>
      <c r="G950" s="42" t="str">
        <f>IFERROR(__xludf.DUMMYFUNCTION("""COMPUTED_VALUE"""),"SKPT LELANG")</f>
        <v>SKPT LELANG</v>
      </c>
      <c r="H950" s="42">
        <f t="shared" si="1"/>
        <v>484</v>
      </c>
    </row>
    <row r="951" ht="22.5" customHeight="1">
      <c r="B951" s="42" t="str">
        <f>IFERROR(__xludf.DUMMYFUNCTION("""COMPUTED_VALUE"""),"K/26/171224/1")</f>
        <v>K/26/171224/1</v>
      </c>
      <c r="C951" s="42" t="str">
        <f>IFERROR(__xludf.DUMMYFUNCTION("""COMPUTED_VALUE"""),"M. 2052/ Labuhan Ratu")</f>
        <v>M. 2052/ Labuhan Ratu</v>
      </c>
      <c r="D951" s="42" t="str">
        <f>IFERROR(__xludf.DUMMYFUNCTION("""COMPUTED_VALUE"""),"David")</f>
        <v>David</v>
      </c>
      <c r="E951" s="42" t="str">
        <f>IFERROR(__xludf.DUMMYFUNCTION("""COMPUTED_VALUE"""),"DISERAHKAN")</f>
        <v>DISERAHKAN</v>
      </c>
      <c r="F951" s="48">
        <f>IFERROR(__xludf.DUMMYFUNCTION("""COMPUTED_VALUE"""),45708.465838055556)</f>
        <v>45708.46584</v>
      </c>
      <c r="G951" s="42" t="str">
        <f>IFERROR(__xludf.DUMMYFUNCTION("""COMPUTED_VALUE"""),"BN WARIS")</f>
        <v>BN WARIS</v>
      </c>
      <c r="H951" s="42">
        <f t="shared" si="1"/>
        <v>485</v>
      </c>
    </row>
    <row r="952" ht="22.5" customHeight="1">
      <c r="B952" s="42" t="str">
        <f>IFERROR(__xludf.DUMMYFUNCTION("""COMPUTED_VALUE"""),"K/27/171224/2")</f>
        <v>K/27/171224/2</v>
      </c>
      <c r="C952" s="42" t="str">
        <f>IFERROR(__xludf.DUMMYFUNCTION("""COMPUTED_VALUE"""),"M. 2268/ Rajabasa Raya")</f>
        <v>M. 2268/ Rajabasa Raya</v>
      </c>
      <c r="D952" s="42" t="str">
        <f>IFERROR(__xludf.DUMMYFUNCTION("""COMPUTED_VALUE"""),"David")</f>
        <v>David</v>
      </c>
      <c r="E952" s="42" t="str">
        <f>IFERROR(__xludf.DUMMYFUNCTION("""COMPUTED_VALUE"""),"DISERAHKAN")</f>
        <v>DISERAHKAN</v>
      </c>
      <c r="F952" s="48">
        <f>IFERROR(__xludf.DUMMYFUNCTION("""COMPUTED_VALUE"""),45694.600254386576)</f>
        <v>45694.60025</v>
      </c>
      <c r="G952" s="42" t="str">
        <f>IFERROR(__xludf.DUMMYFUNCTION("""COMPUTED_VALUE"""),"BN WARIS")</f>
        <v>BN WARIS</v>
      </c>
      <c r="H952" s="42">
        <f t="shared" si="1"/>
        <v>486</v>
      </c>
    </row>
    <row r="953" ht="22.5" customHeight="1">
      <c r="B953" s="42" t="str">
        <f>IFERROR(__xludf.DUMMYFUNCTION("""COMPUTED_VALUE"""),"L/30/171224/1")</f>
        <v>L/30/171224/1</v>
      </c>
      <c r="C953" s="42" t="str">
        <f>IFERROR(__xludf.DUMMYFUNCTION("""COMPUTED_VALUE"""),"HM 844/PENENGAHAN RAYA")</f>
        <v>HM 844/PENENGAHAN RAYA</v>
      </c>
      <c r="D953" s="42" t="str">
        <f>IFERROR(__xludf.DUMMYFUNCTION("""COMPUTED_VALUE"""),"David")</f>
        <v>David</v>
      </c>
      <c r="E953" s="42" t="str">
        <f>IFERROR(__xludf.DUMMYFUNCTION("""COMPUTED_VALUE"""),"DISERAHKAN")</f>
        <v>DISERAHKAN</v>
      </c>
      <c r="F953" s="48" t="str">
        <f>IFERROR(__xludf.DUMMYFUNCTION("""COMPUTED_VALUE"""),"18/12/2024 16.43")</f>
        <v>18/12/2024 16.43</v>
      </c>
      <c r="G953" s="42" t="str">
        <f>IFERROR(__xludf.DUMMYFUNCTION("""COMPUTED_VALUE"""),"ROYA")</f>
        <v>ROYA</v>
      </c>
      <c r="H953" s="42">
        <f t="shared" si="1"/>
        <v>487</v>
      </c>
    </row>
    <row r="954" ht="22.5" customHeight="1">
      <c r="B954" s="42" t="str">
        <f>IFERROR(__xludf.DUMMYFUNCTION("""COMPUTED_VALUE"""),"K/28/171224/3")</f>
        <v>K/28/171224/3</v>
      </c>
      <c r="C954" s="42" t="str">
        <f>IFERROR(__xludf.DUMMYFUNCTION("""COMPUTED_VALUE"""),"M. 2803/ Sukarame Baru")</f>
        <v>M. 2803/ Sukarame Baru</v>
      </c>
      <c r="D954" s="42" t="str">
        <f>IFERROR(__xludf.DUMMYFUNCTION("""COMPUTED_VALUE"""),"David")</f>
        <v>David</v>
      </c>
      <c r="E954" s="42" t="str">
        <f>IFERROR(__xludf.DUMMYFUNCTION("""COMPUTED_VALUE"""),"DISERAHKAN")</f>
        <v>DISERAHKAN</v>
      </c>
      <c r="F954" s="48" t="str">
        <f>IFERROR(__xludf.DUMMYFUNCTION("""COMPUTED_VALUE"""),"18/12/2024 16.44")</f>
        <v>18/12/2024 16.44</v>
      </c>
      <c r="G954" s="42" t="str">
        <f>IFERROR(__xludf.DUMMYFUNCTION("""COMPUTED_VALUE"""),"BN JUAL BELI")</f>
        <v>BN JUAL BELI</v>
      </c>
      <c r="H954" s="42">
        <f t="shared" si="1"/>
        <v>488</v>
      </c>
    </row>
    <row r="955" ht="22.5" customHeight="1">
      <c r="B955" s="42" t="str">
        <f>IFERROR(__xludf.DUMMYFUNCTION("""COMPUTED_VALUE"""),"K/29/171224/4")</f>
        <v>K/29/171224/4</v>
      </c>
      <c r="C955" s="42" t="str">
        <f>IFERROR(__xludf.DUMMYFUNCTION("""COMPUTED_VALUE"""),"M. 2802/ Sukarame Baru")</f>
        <v>M. 2802/ Sukarame Baru</v>
      </c>
      <c r="D955" s="42" t="str">
        <f>IFERROR(__xludf.DUMMYFUNCTION("""COMPUTED_VALUE"""),"David")</f>
        <v>David</v>
      </c>
      <c r="E955" s="42" t="str">
        <f>IFERROR(__xludf.DUMMYFUNCTION("""COMPUTED_VALUE"""),"DISERAHKAN")</f>
        <v>DISERAHKAN</v>
      </c>
      <c r="F955" s="48" t="str">
        <f>IFERROR(__xludf.DUMMYFUNCTION("""COMPUTED_VALUE"""),"18/12/2024 16.44")</f>
        <v>18/12/2024 16.44</v>
      </c>
      <c r="G955" s="42" t="str">
        <f>IFERROR(__xludf.DUMMYFUNCTION("""COMPUTED_VALUE"""),"BN JUAL BELI")</f>
        <v>BN JUAL BELI</v>
      </c>
      <c r="H955" s="42">
        <f t="shared" si="1"/>
        <v>489</v>
      </c>
    </row>
    <row r="956" ht="22.5" customHeight="1">
      <c r="B956" s="42" t="str">
        <f>IFERROR(__xludf.DUMMYFUNCTION("""COMPUTED_VALUE"""),"K/32/171224/2")</f>
        <v>K/32/171224/2</v>
      </c>
      <c r="C956" s="42" t="str">
        <f>IFERROR(__xludf.DUMMYFUNCTION("""COMPUTED_VALUE"""),"M. 5552/ Way Kandis")</f>
        <v>M. 5552/ Way Kandis</v>
      </c>
      <c r="D956" s="42" t="str">
        <f>IFERROR(__xludf.DUMMYFUNCTION("""COMPUTED_VALUE"""),"David")</f>
        <v>David</v>
      </c>
      <c r="E956" s="42" t="str">
        <f>IFERROR(__xludf.DUMMYFUNCTION("""COMPUTED_VALUE"""),"DISERAHKAN")</f>
        <v>DISERAHKAN</v>
      </c>
      <c r="F956" s="48" t="str">
        <f>IFERROR(__xludf.DUMMYFUNCTION("""COMPUTED_VALUE"""),"18/12/2024 16.44")</f>
        <v>18/12/2024 16.44</v>
      </c>
      <c r="G956" s="42" t="str">
        <f>IFERROR(__xludf.DUMMYFUNCTION("""COMPUTED_VALUE"""),"BN JUAL BELI")</f>
        <v>BN JUAL BELI</v>
      </c>
      <c r="H956" s="42">
        <f t="shared" si="1"/>
        <v>490</v>
      </c>
    </row>
    <row r="957" ht="22.5" customHeight="1">
      <c r="B957" s="42" t="str">
        <f>IFERROR(__xludf.DUMMYFUNCTION("""COMPUTED_VALUE"""),"K/33/171224/1")</f>
        <v>K/33/171224/1</v>
      </c>
      <c r="C957" s="42" t="str">
        <f>IFERROR(__xludf.DUMMYFUNCTION("""COMPUTED_VALUE"""),"Nibel 3070.1/ Keteguhan")</f>
        <v>Nibel 3070.1/ Keteguhan</v>
      </c>
      <c r="D957" s="42"/>
      <c r="E957" s="42"/>
      <c r="F957" s="48" t="str">
        <f>IFERROR(__xludf.DUMMYFUNCTION("""COMPUTED_VALUE"""),"")</f>
        <v/>
      </c>
      <c r="G957" s="42" t="str">
        <f>IFERROR(__xludf.DUMMYFUNCTION("""COMPUTED_VALUE"""),"PERUBAHAN HAK")</f>
        <v>PERUBAHAN HAK</v>
      </c>
      <c r="H957" s="42">
        <f t="shared" si="1"/>
        <v>490</v>
      </c>
    </row>
    <row r="958" ht="22.5" customHeight="1">
      <c r="B958" s="42" t="str">
        <f>IFERROR(__xludf.DUMMYFUNCTION("""COMPUTED_VALUE"""),"K/35/171224/1")</f>
        <v>K/35/171224/1</v>
      </c>
      <c r="C958" s="42" t="str">
        <f>IFERROR(__xludf.DUMMYFUNCTION("""COMPUTED_VALUE"""),"M.1638/KEMILING RAYA-SEKARANG;M.878/KEMILING PERMAI-DAHULU;")</f>
        <v>M.1638/KEMILING RAYA-SEKARANG;M.878/KEMILING PERMAI-DAHULU;</v>
      </c>
      <c r="D958" s="42" t="str">
        <f>IFERROR(__xludf.DUMMYFUNCTION("""COMPUTED_VALUE"""),"David")</f>
        <v>David</v>
      </c>
      <c r="E958" s="42" t="str">
        <f>IFERROR(__xludf.DUMMYFUNCTION("""COMPUTED_VALUE"""),"PROSES")</f>
        <v>PROSES</v>
      </c>
      <c r="F958" s="48" t="str">
        <f>IFERROR(__xludf.DUMMYFUNCTION("""COMPUTED_VALUE"""),"")</f>
        <v/>
      </c>
      <c r="G958" s="42" t="str">
        <f>IFERROR(__xludf.DUMMYFUNCTION("""COMPUTED_VALUE"""),"PENGUKURAN ULANG")</f>
        <v>PENGUKURAN ULANG</v>
      </c>
      <c r="H958" s="42">
        <f t="shared" si="1"/>
        <v>490</v>
      </c>
    </row>
    <row r="959" ht="22.5" customHeight="1">
      <c r="B959" s="42" t="str">
        <f>IFERROR(__xludf.DUMMYFUNCTION("""COMPUTED_VALUE"""),"K/36/171224/2")</f>
        <v>K/36/171224/2</v>
      </c>
      <c r="C959" s="42" t="str">
        <f>IFERROR(__xludf.DUMMYFUNCTION("""COMPUTED_VALUE"""),"M. 1637/KEMILING RAYA-SEKARANG;M.2295/SUMBEREJO KEMILING-DAHULU;")</f>
        <v>M. 1637/KEMILING RAYA-SEKARANG;M.2295/SUMBEREJO KEMILING-DAHULU;</v>
      </c>
      <c r="D959" s="42" t="str">
        <f>IFERROR(__xludf.DUMMYFUNCTION("""COMPUTED_VALUE"""),"David")</f>
        <v>David</v>
      </c>
      <c r="E959" s="42" t="str">
        <f>IFERROR(__xludf.DUMMYFUNCTION("""COMPUTED_VALUE"""),"PROSES")</f>
        <v>PROSES</v>
      </c>
      <c r="F959" s="48" t="str">
        <f>IFERROR(__xludf.DUMMYFUNCTION("""COMPUTED_VALUE"""),"")</f>
        <v/>
      </c>
      <c r="G959" s="42" t="str">
        <f>IFERROR(__xludf.DUMMYFUNCTION("""COMPUTED_VALUE"""),"PENGUKURAN ULANG")</f>
        <v>PENGUKURAN ULANG</v>
      </c>
      <c r="H959" s="42">
        <f t="shared" si="1"/>
        <v>490</v>
      </c>
    </row>
    <row r="960" ht="22.5" customHeight="1">
      <c r="B960" s="42" t="str">
        <f>IFERROR(__xludf.DUMMYFUNCTION("""COMPUTED_VALUE"""),"K/38/171224/2")</f>
        <v>K/38/171224/2</v>
      </c>
      <c r="C960" s="42" t="str">
        <f>IFERROR(__xludf.DUMMYFUNCTION("""COMPUTED_VALUE"""),"M.4725/LANGKAPURA")</f>
        <v>M.4725/LANGKAPURA</v>
      </c>
      <c r="D960" s="42" t="str">
        <f>IFERROR(__xludf.DUMMYFUNCTION("""COMPUTED_VALUE"""),"David")</f>
        <v>David</v>
      </c>
      <c r="E960" s="42" t="str">
        <f>IFERROR(__xludf.DUMMYFUNCTION("""COMPUTED_VALUE"""),"PROSES")</f>
        <v>PROSES</v>
      </c>
      <c r="F960" s="48" t="str">
        <f>IFERROR(__xludf.DUMMYFUNCTION("""COMPUTED_VALUE"""),"")</f>
        <v/>
      </c>
      <c r="G960" s="42" t="str">
        <f>IFERROR(__xludf.DUMMYFUNCTION("""COMPUTED_VALUE"""),"BN JUAL BELI")</f>
        <v>BN JUAL BELI</v>
      </c>
      <c r="H960" s="42">
        <f t="shared" si="1"/>
        <v>490</v>
      </c>
    </row>
    <row r="961" ht="22.5" customHeight="1">
      <c r="B961" s="42" t="str">
        <f>IFERROR(__xludf.DUMMYFUNCTION("""COMPUTED_VALUE"""),"K/39/171224/1")</f>
        <v>K/39/171224/1</v>
      </c>
      <c r="C961" s="42" t="str">
        <f>IFERROR(__xludf.DUMMYFUNCTION("""COMPUTED_VALUE"""),"M. 1422/ KBK")</f>
        <v>M. 1422/ KBK</v>
      </c>
      <c r="D961" s="42"/>
      <c r="E961" s="42"/>
      <c r="F961" s="48" t="str">
        <f>IFERROR(__xludf.DUMMYFUNCTION("""COMPUTED_VALUE"""),"")</f>
        <v/>
      </c>
      <c r="G961" s="42" t="str">
        <f>IFERROR(__xludf.DUMMYFUNCTION("""COMPUTED_VALUE"""),"Hapus BPHTB")</f>
        <v>Hapus BPHTB</v>
      </c>
      <c r="H961" s="42">
        <f t="shared" si="1"/>
        <v>490</v>
      </c>
    </row>
    <row r="962" ht="22.5" customHeight="1">
      <c r="B962" s="42" t="str">
        <f>IFERROR(__xludf.DUMMYFUNCTION("""COMPUTED_VALUE"""),"K/41/171224/1")</f>
        <v>K/41/171224/1</v>
      </c>
      <c r="C962" s="42" t="str">
        <f>IFERROR(__xludf.DUMMYFUNCTION("""COMPUTED_VALUE"""),"M. 3349/ Kemiling Permai")</f>
        <v>M. 3349/ Kemiling Permai</v>
      </c>
      <c r="D962" s="42" t="str">
        <f>IFERROR(__xludf.DUMMYFUNCTION("""COMPUTED_VALUE"""),"David")</f>
        <v>David</v>
      </c>
      <c r="E962" s="42" t="str">
        <f>IFERROR(__xludf.DUMMYFUNCTION("""COMPUTED_VALUE"""),"PROSES")</f>
        <v>PROSES</v>
      </c>
      <c r="F962" s="48" t="str">
        <f>IFERROR(__xludf.DUMMYFUNCTION("""COMPUTED_VALUE"""),"")</f>
        <v/>
      </c>
      <c r="G962" s="42" t="str">
        <f>IFERROR(__xludf.DUMMYFUNCTION("""COMPUTED_VALUE"""),"BN Hibah")</f>
        <v>BN Hibah</v>
      </c>
      <c r="H962" s="42">
        <f t="shared" si="1"/>
        <v>490</v>
      </c>
    </row>
    <row r="963" ht="22.5" customHeight="1">
      <c r="B963" s="42" t="str">
        <f>IFERROR(__xludf.DUMMYFUNCTION("""COMPUTED_VALUE"""),"K/43/171224/1")</f>
        <v>K/43/171224/1</v>
      </c>
      <c r="C963" s="42" t="str">
        <f>IFERROR(__xludf.DUMMYFUNCTION("""COMPUTED_VALUE"""),"M. 1923/ Rajabasa Raya")</f>
        <v>M. 1923/ Rajabasa Raya</v>
      </c>
      <c r="D963" s="42" t="str">
        <f>IFERROR(__xludf.DUMMYFUNCTION("""COMPUTED_VALUE"""),"David")</f>
        <v>David</v>
      </c>
      <c r="E963" s="42" t="str">
        <f>IFERROR(__xludf.DUMMYFUNCTION("""COMPUTED_VALUE"""),"DISERAHKAN")</f>
        <v>DISERAHKAN</v>
      </c>
      <c r="F963" s="48" t="str">
        <f>IFERROR(__xludf.DUMMYFUNCTION("""COMPUTED_VALUE"""),"18/12/2024 16.46")</f>
        <v>18/12/2024 16.46</v>
      </c>
      <c r="G963" s="42" t="str">
        <f>IFERROR(__xludf.DUMMYFUNCTION("""COMPUTED_VALUE"""),"BN JUAL BELI")</f>
        <v>BN JUAL BELI</v>
      </c>
      <c r="H963" s="42">
        <f t="shared" si="1"/>
        <v>491</v>
      </c>
    </row>
    <row r="964" ht="22.5" customHeight="1">
      <c r="B964" s="42" t="str">
        <f>IFERROR(__xludf.DUMMYFUNCTION("""COMPUTED_VALUE"""),"K/44/171224/2")</f>
        <v>K/44/171224/2</v>
      </c>
      <c r="C964" s="42" t="str">
        <f>IFERROR(__xludf.DUMMYFUNCTION("""COMPUTED_VALUE"""),"Nibel 12/ Kemiling Permai")</f>
        <v>Nibel 12/ Kemiling Permai</v>
      </c>
      <c r="D964" s="42"/>
      <c r="E964" s="42"/>
      <c r="F964" s="48" t="str">
        <f>IFERROR(__xludf.DUMMYFUNCTION("""COMPUTED_VALUE"""),"")</f>
        <v/>
      </c>
      <c r="G964" s="42" t="str">
        <f>IFERROR(__xludf.DUMMYFUNCTION("""COMPUTED_VALUE"""),"PERUBAHAN HAK")</f>
        <v>PERUBAHAN HAK</v>
      </c>
      <c r="H964" s="42">
        <f t="shared" si="1"/>
        <v>491</v>
      </c>
    </row>
    <row r="965" ht="22.5" customHeight="1">
      <c r="B965" s="42" t="str">
        <f>IFERROR(__xludf.DUMMYFUNCTION("""COMPUTED_VALUE"""),"K/40/171224/1")</f>
        <v>K/40/171224/1</v>
      </c>
      <c r="C965" s="42" t="str">
        <f>IFERROR(__xludf.DUMMYFUNCTION("""COMPUTED_VALUE"""),"M.1817/RAJABASA NUNYAI-SEKARANG;M.12856/RAJABASA NUNYAI-DAHULU")</f>
        <v>M.1817/RAJABASA NUNYAI-SEKARANG;M.12856/RAJABASA NUNYAI-DAHULU</v>
      </c>
      <c r="D965" s="42"/>
      <c r="E965" s="42"/>
      <c r="F965" s="48" t="str">
        <f>IFERROR(__xludf.DUMMYFUNCTION("""COMPUTED_VALUE"""),"")</f>
        <v/>
      </c>
      <c r="G965" s="42" t="str">
        <f>IFERROR(__xludf.DUMMYFUNCTION("""COMPUTED_VALUE"""),"BN HIBAH")</f>
        <v>BN HIBAH</v>
      </c>
      <c r="H965" s="42">
        <f t="shared" si="1"/>
        <v>491</v>
      </c>
    </row>
    <row r="966" ht="22.5" customHeight="1">
      <c r="B966" s="42" t="str">
        <f>IFERROR(__xludf.DUMMYFUNCTION("""COMPUTED_VALUE"""),"L/1/181224/1")</f>
        <v>L/1/181224/1</v>
      </c>
      <c r="C966" s="42" t="str">
        <f>IFERROR(__xludf.DUMMYFUNCTION("""COMPUTED_VALUE"""),"HGB 749/RAJABASA")</f>
        <v>HGB 749/RAJABASA</v>
      </c>
      <c r="D966" s="42"/>
      <c r="E966" s="42"/>
      <c r="F966" s="48" t="str">
        <f>IFERROR(__xludf.DUMMYFUNCTION("""COMPUTED_VALUE"""),"")</f>
        <v/>
      </c>
      <c r="G966" s="42" t="str">
        <f>IFERROR(__xludf.DUMMYFUNCTION("""COMPUTED_VALUE"""),"SKPT INFORMASI")</f>
        <v>SKPT INFORMASI</v>
      </c>
      <c r="H966" s="42">
        <f t="shared" si="1"/>
        <v>491</v>
      </c>
    </row>
    <row r="967" ht="22.5" customHeight="1">
      <c r="B967" s="42" t="str">
        <f>IFERROR(__xludf.DUMMYFUNCTION("""COMPUTED_VALUE"""),"L/5/181224/1")</f>
        <v>L/5/181224/1</v>
      </c>
      <c r="C967" s="42" t="str">
        <f>IFERROR(__xludf.DUMMYFUNCTION("""COMPUTED_VALUE"""),"HGB 2875/SUKABUMI")</f>
        <v>HGB 2875/SUKABUMI</v>
      </c>
      <c r="D967" s="42"/>
      <c r="E967" s="42"/>
      <c r="F967" s="48" t="str">
        <f>IFERROR(__xludf.DUMMYFUNCTION("""COMPUTED_VALUE"""),"")</f>
        <v/>
      </c>
      <c r="G967" s="42" t="str">
        <f>IFERROR(__xludf.DUMMYFUNCTION("""COMPUTED_VALUE"""),"PH")</f>
        <v>PH</v>
      </c>
      <c r="H967" s="42">
        <f t="shared" si="1"/>
        <v>491</v>
      </c>
    </row>
    <row r="968" ht="22.5" customHeight="1">
      <c r="B968" s="42" t="str">
        <f>IFERROR(__xludf.DUMMYFUNCTION("""COMPUTED_VALUE"""),"K/7/181224/1")</f>
        <v>K/7/181224/1</v>
      </c>
      <c r="C968" s="42" t="str">
        <f>IFERROR(__xludf.DUMMYFUNCTION("""COMPUTED_VALUE"""),"M. 16189/ Sukarame")</f>
        <v>M. 16189/ Sukarame</v>
      </c>
      <c r="D968" s="42"/>
      <c r="E968" s="42"/>
      <c r="F968" s="48" t="str">
        <f>IFERROR(__xludf.DUMMYFUNCTION("""COMPUTED_VALUE"""),"")</f>
        <v/>
      </c>
      <c r="G968" s="42" t="str">
        <f>IFERROR(__xludf.DUMMYFUNCTION("""COMPUTED_VALUE"""),"BN JUAL BELI")</f>
        <v>BN JUAL BELI</v>
      </c>
      <c r="H968" s="42">
        <f t="shared" si="1"/>
        <v>491</v>
      </c>
    </row>
    <row r="969" ht="22.5" customHeight="1">
      <c r="B969" s="42" t="str">
        <f>IFERROR(__xludf.DUMMYFUNCTION("""COMPUTED_VALUE"""),"K/9/181224/1")</f>
        <v>K/9/181224/1</v>
      </c>
      <c r="C969" s="42" t="str">
        <f>IFERROR(__xludf.DUMMYFUNCTION("""COMPUTED_VALUE"""),"B.609/SUMBER AGUNG")</f>
        <v>B.609/SUMBER AGUNG</v>
      </c>
      <c r="D969" s="42"/>
      <c r="E969" s="42"/>
      <c r="F969" s="48" t="str">
        <f>IFERROR(__xludf.DUMMYFUNCTION("""COMPUTED_VALUE"""),"")</f>
        <v/>
      </c>
      <c r="G969" s="42" t="str">
        <f>IFERROR(__xludf.DUMMYFUNCTION("""COMPUTED_VALUE"""),"BN JUAL BELI")</f>
        <v>BN JUAL BELI</v>
      </c>
      <c r="H969" s="42">
        <f t="shared" si="1"/>
        <v>491</v>
      </c>
    </row>
    <row r="970" ht="22.5" customHeight="1">
      <c r="B970" s="42" t="str">
        <f>IFERROR(__xludf.DUMMYFUNCTION("""COMPUTED_VALUE"""),"K/8/181224/1")</f>
        <v>K/8/181224/1</v>
      </c>
      <c r="C970" s="42" t="str">
        <f>IFERROR(__xludf.DUMMYFUNCTION("""COMPUTED_VALUE"""),"M. 2313/ Sukamaju")</f>
        <v>M. 2313/ Sukamaju</v>
      </c>
      <c r="D970" s="42"/>
      <c r="E970" s="42"/>
      <c r="F970" s="48" t="str">
        <f>IFERROR(__xludf.DUMMYFUNCTION("""COMPUTED_VALUE"""),"")</f>
        <v/>
      </c>
      <c r="G970" s="42" t="str">
        <f>IFERROR(__xludf.DUMMYFUNCTION("""COMPUTED_VALUE"""),"BN Jual Beli")</f>
        <v>BN Jual Beli</v>
      </c>
      <c r="H970" s="42">
        <f t="shared" si="1"/>
        <v>491</v>
      </c>
    </row>
    <row r="971" ht="22.5" customHeight="1">
      <c r="B971" s="42" t="str">
        <f>IFERROR(__xludf.DUMMYFUNCTION("""COMPUTED_VALUE"""),"K/10/181224/2")</f>
        <v>K/10/181224/2</v>
      </c>
      <c r="C971" s="42" t="str">
        <f>IFERROR(__xludf.DUMMYFUNCTION("""COMPUTED_VALUE"""),"B.625/SUMBER AGUNG")</f>
        <v>B.625/SUMBER AGUNG</v>
      </c>
      <c r="D971" s="42"/>
      <c r="E971" s="42"/>
      <c r="F971" s="48" t="str">
        <f>IFERROR(__xludf.DUMMYFUNCTION("""COMPUTED_VALUE"""),"")</f>
        <v/>
      </c>
      <c r="G971" s="42" t="str">
        <f>IFERROR(__xludf.DUMMYFUNCTION("""COMPUTED_VALUE"""),"BN JUAL BELI")</f>
        <v>BN JUAL BELI</v>
      </c>
      <c r="H971" s="42">
        <f t="shared" si="1"/>
        <v>491</v>
      </c>
    </row>
    <row r="972" ht="22.5" customHeight="1">
      <c r="B972" s="42" t="str">
        <f>IFERROR(__xludf.DUMMYFUNCTION("""COMPUTED_VALUE"""),"L/11/181224/1")</f>
        <v>L/11/181224/1</v>
      </c>
      <c r="C972" s="42" t="str">
        <f>IFERROR(__xludf.DUMMYFUNCTION("""COMPUTED_VALUE"""),"HGB 98/PINANG JAYA")</f>
        <v>HGB 98/PINANG JAYA</v>
      </c>
      <c r="D972" s="42"/>
      <c r="E972" s="42"/>
      <c r="F972" s="48" t="str">
        <f>IFERROR(__xludf.DUMMYFUNCTION("""COMPUTED_VALUE"""),"")</f>
        <v/>
      </c>
      <c r="G972" s="42" t="str">
        <f>IFERROR(__xludf.DUMMYFUNCTION("""COMPUTED_VALUE"""),"PH")</f>
        <v>PH</v>
      </c>
      <c r="H972" s="42">
        <f t="shared" si="1"/>
        <v>491</v>
      </c>
    </row>
    <row r="973" ht="22.5" customHeight="1">
      <c r="B973" s="42" t="str">
        <f>IFERROR(__xludf.DUMMYFUNCTION("""COMPUTED_VALUE"""),"K/12/181224/1")</f>
        <v>K/12/181224/1</v>
      </c>
      <c r="C973" s="42" t="str">
        <f>IFERROR(__xludf.DUMMYFUNCTION("""COMPUTED_VALUE"""),"M. 4224/ Langkapura")</f>
        <v>M. 4224/ Langkapura</v>
      </c>
      <c r="D973" s="42"/>
      <c r="E973" s="42"/>
      <c r="F973" s="48" t="str">
        <f>IFERROR(__xludf.DUMMYFUNCTION("""COMPUTED_VALUE"""),"")</f>
        <v/>
      </c>
      <c r="G973" s="42" t="str">
        <f>IFERROR(__xludf.DUMMYFUNCTION("""COMPUTED_VALUE"""),"S. Hilang")</f>
        <v>S. Hilang</v>
      </c>
      <c r="H973" s="42">
        <f t="shared" si="1"/>
        <v>491</v>
      </c>
    </row>
    <row r="974" ht="22.5" customHeight="1">
      <c r="B974" s="42" t="str">
        <f>IFERROR(__xludf.DUMMYFUNCTION("""COMPUTED_VALUE"""),"K/13/181224/1")</f>
        <v>K/13/181224/1</v>
      </c>
      <c r="C974" s="42" t="str">
        <f>IFERROR(__xludf.DUMMYFUNCTION("""COMPUTED_VALUE"""),"M. 5168/ Tanjung Senang")</f>
        <v>M. 5168/ Tanjung Senang</v>
      </c>
      <c r="D974" s="42"/>
      <c r="E974" s="42" t="str">
        <f>IFERROR(__xludf.DUMMYFUNCTION("""COMPUTED_VALUE"""),"DISERAHKAN")</f>
        <v>DISERAHKAN</v>
      </c>
      <c r="F974" s="48">
        <f>IFERROR(__xludf.DUMMYFUNCTION("""COMPUTED_VALUE"""),45687.414427337964)</f>
        <v>45687.41443</v>
      </c>
      <c r="G974" s="42" t="str">
        <f>IFERROR(__xludf.DUMMYFUNCTION("""COMPUTED_VALUE"""),"ROYA")</f>
        <v>ROYA</v>
      </c>
      <c r="H974" s="42">
        <f t="shared" si="1"/>
        <v>492</v>
      </c>
    </row>
    <row r="975" ht="22.5" customHeight="1">
      <c r="B975" s="42" t="str">
        <f>IFERROR(__xludf.DUMMYFUNCTION("""COMPUTED_VALUE"""),"K/17/181224/1")</f>
        <v>K/17/181224/1</v>
      </c>
      <c r="C975" s="42" t="str">
        <f>IFERROR(__xludf.DUMMYFUNCTION("""COMPUTED_VALUE"""),"M.1114/LANGKAPURA")</f>
        <v>M.1114/LANGKAPURA</v>
      </c>
      <c r="D975" s="42" t="str">
        <f>IFERROR(__xludf.DUMMYFUNCTION("""COMPUTED_VALUE"""),"Berry")</f>
        <v>Berry</v>
      </c>
      <c r="E975" s="42" t="str">
        <f>IFERROR(__xludf.DUMMYFUNCTION("""COMPUTED_VALUE"""),"DISERAHKAN")</f>
        <v>DISERAHKAN</v>
      </c>
      <c r="F975" s="48">
        <f>IFERROR(__xludf.DUMMYFUNCTION("""COMPUTED_VALUE"""),45664.697774050925)</f>
        <v>45664.69777</v>
      </c>
      <c r="G975" s="42" t="str">
        <f>IFERROR(__xludf.DUMMYFUNCTION("""COMPUTED_VALUE"""),"HIBAH")</f>
        <v>HIBAH</v>
      </c>
      <c r="H975" s="42">
        <f t="shared" si="1"/>
        <v>493</v>
      </c>
    </row>
    <row r="976" ht="22.5" customHeight="1">
      <c r="B976" s="42" t="str">
        <f>IFERROR(__xludf.DUMMYFUNCTION("""COMPUTED_VALUE"""),"K/14/181224/1")</f>
        <v>K/14/181224/1</v>
      </c>
      <c r="C976" s="42" t="str">
        <f>IFERROR(__xludf.DUMMYFUNCTION("""COMPUTED_VALUE"""),"B.342/RAJABASA NUNYAI")</f>
        <v>B.342/RAJABASA NUNYAI</v>
      </c>
      <c r="D976" s="42"/>
      <c r="E976" s="42"/>
      <c r="F976" s="48" t="str">
        <f>IFERROR(__xludf.DUMMYFUNCTION("""COMPUTED_VALUE"""),"")</f>
        <v/>
      </c>
      <c r="G976" s="42" t="str">
        <f>IFERROR(__xludf.DUMMYFUNCTION("""COMPUTED_VALUE"""),"BN JUAL BELI")</f>
        <v>BN JUAL BELI</v>
      </c>
      <c r="H976" s="42">
        <f t="shared" si="1"/>
        <v>493</v>
      </c>
    </row>
    <row r="977" ht="22.5" customHeight="1">
      <c r="B977" s="42" t="str">
        <f>IFERROR(__xludf.DUMMYFUNCTION("""COMPUTED_VALUE"""),"K/18/181224/2")</f>
        <v>K/18/181224/2</v>
      </c>
      <c r="C977" s="42" t="str">
        <f>IFERROR(__xludf.DUMMYFUNCTION("""COMPUTED_VALUE"""),"M.1001/LANGKAPURA")</f>
        <v>M.1001/LANGKAPURA</v>
      </c>
      <c r="D977" s="42"/>
      <c r="E977" s="42" t="str">
        <f>IFERROR(__xludf.DUMMYFUNCTION("""COMPUTED_VALUE"""),"DISERAHKAN")</f>
        <v>DISERAHKAN</v>
      </c>
      <c r="F977" s="48">
        <f>IFERROR(__xludf.DUMMYFUNCTION("""COMPUTED_VALUE"""),45673.43404317129)</f>
        <v>45673.43404</v>
      </c>
      <c r="G977" s="42" t="str">
        <f>IFERROR(__xludf.DUMMYFUNCTION("""COMPUTED_VALUE"""),"HIBAH")</f>
        <v>HIBAH</v>
      </c>
      <c r="H977" s="42">
        <f t="shared" si="1"/>
        <v>494</v>
      </c>
    </row>
    <row r="978" ht="22.5" customHeight="1">
      <c r="B978" s="42" t="str">
        <f>IFERROR(__xludf.DUMMYFUNCTION("""COMPUTED_VALUE"""),"K/15/181224/2")</f>
        <v>K/15/181224/2</v>
      </c>
      <c r="C978" s="42" t="str">
        <f>IFERROR(__xludf.DUMMYFUNCTION("""COMPUTED_VALUE"""),"B.329/RAJABASA NUNYAI")</f>
        <v>B.329/RAJABASA NUNYAI</v>
      </c>
      <c r="D978" s="42"/>
      <c r="E978" s="42"/>
      <c r="F978" s="48" t="str">
        <f>IFERROR(__xludf.DUMMYFUNCTION("""COMPUTED_VALUE"""),"")</f>
        <v/>
      </c>
      <c r="G978" s="42" t="str">
        <f>IFERROR(__xludf.DUMMYFUNCTION("""COMPUTED_VALUE"""),"BN JUAL BELI")</f>
        <v>BN JUAL BELI</v>
      </c>
      <c r="H978" s="42">
        <f t="shared" si="1"/>
        <v>494</v>
      </c>
    </row>
    <row r="979" ht="22.5" customHeight="1">
      <c r="B979" s="42" t="str">
        <f>IFERROR(__xludf.DUMMYFUNCTION("""COMPUTED_VALUE"""),"K/16/181224/3")</f>
        <v>K/16/181224/3</v>
      </c>
      <c r="C979" s="42" t="str">
        <f>IFERROR(__xludf.DUMMYFUNCTION("""COMPUTED_VALUE"""),"B.328/RAJABASA NUNYAI")</f>
        <v>B.328/RAJABASA NUNYAI</v>
      </c>
      <c r="D979" s="42"/>
      <c r="E979" s="42"/>
      <c r="F979" s="48" t="str">
        <f>IFERROR(__xludf.DUMMYFUNCTION("""COMPUTED_VALUE"""),"")</f>
        <v/>
      </c>
      <c r="G979" s="42" t="str">
        <f>IFERROR(__xludf.DUMMYFUNCTION("""COMPUTED_VALUE"""),"BN JUAL BELI")</f>
        <v>BN JUAL BELI</v>
      </c>
      <c r="H979" s="42">
        <f t="shared" si="1"/>
        <v>494</v>
      </c>
    </row>
    <row r="980" ht="22.5" customHeight="1">
      <c r="B980" s="42" t="str">
        <f>IFERROR(__xludf.DUMMYFUNCTION("""COMPUTED_VALUE"""),"K/20/181224/2")</f>
        <v>K/20/181224/2</v>
      </c>
      <c r="C980" s="42" t="str">
        <f>IFERROR(__xludf.DUMMYFUNCTION("""COMPUTED_VALUE"""),"Nibel 11702/ Bakung")</f>
        <v>Nibel 11702/ Bakung</v>
      </c>
      <c r="D980" s="42"/>
      <c r="E980" s="42"/>
      <c r="F980" s="48" t="str">
        <f>IFERROR(__xludf.DUMMYFUNCTION("""COMPUTED_VALUE"""),"")</f>
        <v/>
      </c>
      <c r="G980" s="42" t="str">
        <f>IFERROR(__xludf.DUMMYFUNCTION("""COMPUTED_VALUE"""),"PERUBAHAN HAK")</f>
        <v>PERUBAHAN HAK</v>
      </c>
      <c r="H980" s="42">
        <f t="shared" si="1"/>
        <v>494</v>
      </c>
    </row>
    <row r="981" ht="22.5" customHeight="1">
      <c r="B981" s="42" t="str">
        <f>IFERROR(__xludf.DUMMYFUNCTION("""COMPUTED_VALUE"""),"L/25/181224/1")</f>
        <v>L/25/181224/1</v>
      </c>
      <c r="C981" s="42" t="str">
        <f>IFERROR(__xludf.DUMMYFUNCTION("""COMPUTED_VALUE"""),"NIB 761/SUKARAME BARU")</f>
        <v>NIB 761/SUKARAME BARU</v>
      </c>
      <c r="D981" s="42"/>
      <c r="E981" s="42"/>
      <c r="F981" s="48" t="str">
        <f>IFERROR(__xludf.DUMMYFUNCTION("""COMPUTED_VALUE"""),"")</f>
        <v/>
      </c>
      <c r="G981" s="42" t="str">
        <f>IFERROR(__xludf.DUMMYFUNCTION("""COMPUTED_VALUE"""),"BN LELANG")</f>
        <v>BN LELANG</v>
      </c>
      <c r="H981" s="42">
        <f t="shared" si="1"/>
        <v>494</v>
      </c>
    </row>
    <row r="982" ht="22.5" customHeight="1">
      <c r="B982" s="42" t="str">
        <f>IFERROR(__xludf.DUMMYFUNCTION("""COMPUTED_VALUE"""),"K/26/181224/1")</f>
        <v>K/26/181224/1</v>
      </c>
      <c r="C982" s="42" t="str">
        <f>IFERROR(__xludf.DUMMYFUNCTION("""COMPUTED_VALUE"""),"Nibel. M. 5444/ K B K")</f>
        <v>Nibel. M. 5444/ K B K</v>
      </c>
      <c r="D982" s="42"/>
      <c r="E982" s="42"/>
      <c r="F982" s="48" t="str">
        <f>IFERROR(__xludf.DUMMYFUNCTION("""COMPUTED_VALUE"""),"")</f>
        <v/>
      </c>
      <c r="G982" s="42" t="str">
        <f>IFERROR(__xludf.DUMMYFUNCTION("""COMPUTED_VALUE"""),"BN Jual Beli")</f>
        <v>BN Jual Beli</v>
      </c>
      <c r="H982" s="42">
        <f t="shared" si="1"/>
        <v>494</v>
      </c>
    </row>
    <row r="983" ht="22.5" customHeight="1">
      <c r="B983" s="42" t="str">
        <f>IFERROR(__xludf.DUMMYFUNCTION("""COMPUTED_VALUE"""),"K/27/181224/1")</f>
        <v>K/27/181224/1</v>
      </c>
      <c r="C983" s="42" t="str">
        <f>IFERROR(__xludf.DUMMYFUNCTION("""COMPUTED_VALUE"""),"B.1369/KEMILING PERMAI")</f>
        <v>B.1369/KEMILING PERMAI</v>
      </c>
      <c r="D983" s="42" t="str">
        <f>IFERROR(__xludf.DUMMYFUNCTION("""COMPUTED_VALUE"""),"David")</f>
        <v>David</v>
      </c>
      <c r="E983" s="42" t="str">
        <f>IFERROR(__xludf.DUMMYFUNCTION("""COMPUTED_VALUE"""),"DISERAHKAN")</f>
        <v>DISERAHKAN</v>
      </c>
      <c r="F983" s="48">
        <f>IFERROR(__xludf.DUMMYFUNCTION("""COMPUTED_VALUE"""),45664.69848034722)</f>
        <v>45664.69848</v>
      </c>
      <c r="G983" s="42" t="str">
        <f>IFERROR(__xludf.DUMMYFUNCTION("""COMPUTED_VALUE"""),"BN JUAL BELI")</f>
        <v>BN JUAL BELI</v>
      </c>
      <c r="H983" s="42">
        <f t="shared" si="1"/>
        <v>495</v>
      </c>
    </row>
    <row r="984" ht="22.5" customHeight="1">
      <c r="B984" s="42" t="str">
        <f>IFERROR(__xludf.DUMMYFUNCTION("""COMPUTED_VALUE"""),"K/28/181224/1")</f>
        <v>K/28/181224/1</v>
      </c>
      <c r="C984" s="42" t="str">
        <f>IFERROR(__xludf.DUMMYFUNCTION("""COMPUTED_VALUE"""),"M.3239/LABUHAN DALAM")</f>
        <v>M.3239/LABUHAN DALAM</v>
      </c>
      <c r="D984" s="42"/>
      <c r="E984" s="42" t="str">
        <f>IFERROR(__xludf.DUMMYFUNCTION("""COMPUTED_VALUE"""),"DISERAHKAN")</f>
        <v>DISERAHKAN</v>
      </c>
      <c r="F984" s="48">
        <f>IFERROR(__xludf.DUMMYFUNCTION("""COMPUTED_VALUE"""),45673.44256417824)</f>
        <v>45673.44256</v>
      </c>
      <c r="G984" s="42" t="str">
        <f>IFERROR(__xludf.DUMMYFUNCTION("""COMPUTED_VALUE"""),"BN JUAL BELI")</f>
        <v>BN JUAL BELI</v>
      </c>
      <c r="H984" s="42">
        <f t="shared" si="1"/>
        <v>496</v>
      </c>
    </row>
    <row r="985" ht="22.5" customHeight="1">
      <c r="B985" s="42" t="str">
        <f>IFERROR(__xludf.DUMMYFUNCTION("""COMPUTED_VALUE"""),"K/29/181224/2")</f>
        <v>K/29/181224/2</v>
      </c>
      <c r="C985" s="42" t="str">
        <f>IFERROR(__xludf.DUMMYFUNCTION("""COMPUTED_VALUE"""),"M.1574/KEMILING RAYA")</f>
        <v>M.1574/KEMILING RAYA</v>
      </c>
      <c r="D985" s="42"/>
      <c r="E985" s="42"/>
      <c r="F985" s="48" t="str">
        <f>IFERROR(__xludf.DUMMYFUNCTION("""COMPUTED_VALUE"""),"")</f>
        <v/>
      </c>
      <c r="G985" s="42" t="str">
        <f>IFERROR(__xludf.DUMMYFUNCTION("""COMPUTED_VALUE"""),"BN JUAL BELI")</f>
        <v>BN JUAL BELI</v>
      </c>
      <c r="H985" s="42">
        <f t="shared" si="1"/>
        <v>496</v>
      </c>
    </row>
    <row r="986" ht="22.5" customHeight="1">
      <c r="B986" s="42" t="str">
        <f>IFERROR(__xludf.DUMMYFUNCTION("""COMPUTED_VALUE"""),"K/31/181224/1")</f>
        <v>K/31/181224/1</v>
      </c>
      <c r="C986" s="42" t="str">
        <f>IFERROR(__xludf.DUMMYFUNCTION("""COMPUTED_VALUE"""),"Nibel 9370/ Tanjung Senang")</f>
        <v>Nibel 9370/ Tanjung Senang</v>
      </c>
      <c r="D986" s="42"/>
      <c r="E986" s="42"/>
      <c r="F986" s="48" t="str">
        <f>IFERROR(__xludf.DUMMYFUNCTION("""COMPUTED_VALUE"""),"")</f>
        <v/>
      </c>
      <c r="G986" s="42" t="str">
        <f>IFERROR(__xludf.DUMMYFUNCTION("""COMPUTED_VALUE"""),"BN WARIS")</f>
        <v>BN WARIS</v>
      </c>
      <c r="H986" s="42">
        <f t="shared" si="1"/>
        <v>496</v>
      </c>
    </row>
    <row r="987" ht="22.5" customHeight="1">
      <c r="B987" s="42" t="str">
        <f>IFERROR(__xludf.DUMMYFUNCTION("""COMPUTED_VALUE"""),"K/30/181224/1")</f>
        <v>K/30/181224/1</v>
      </c>
      <c r="C987" s="42" t="str">
        <f>IFERROR(__xludf.DUMMYFUNCTION("""COMPUTED_VALUE"""),"M.233/CAMPANG JAYA")</f>
        <v>M.233/CAMPANG JAYA</v>
      </c>
      <c r="D987" s="42"/>
      <c r="E987" s="42"/>
      <c r="F987" s="48" t="str">
        <f>IFERROR(__xludf.DUMMYFUNCTION("""COMPUTED_VALUE"""),"")</f>
        <v/>
      </c>
      <c r="G987" s="42" t="str">
        <f>IFERROR(__xludf.DUMMYFUNCTION("""COMPUTED_VALUE"""),"BN JUAL BELI")</f>
        <v>BN JUAL BELI</v>
      </c>
      <c r="H987" s="42">
        <f t="shared" si="1"/>
        <v>496</v>
      </c>
    </row>
    <row r="988" ht="22.5" customHeight="1">
      <c r="B988" s="42" t="str">
        <f>IFERROR(__xludf.DUMMYFUNCTION("""COMPUTED_VALUE"""),"K/33/181224/1")</f>
        <v>K/33/181224/1</v>
      </c>
      <c r="C988" s="42" t="str">
        <f>IFERROR(__xludf.DUMMYFUNCTION("""COMPUTED_VALUE"""),"B. 122 /RAJABASA RAYA-SEKARANG; B.348/RAJABASA-DAHULU;")</f>
        <v>B. 122 /RAJABASA RAYA-SEKARANG; B.348/RAJABASA-DAHULU;</v>
      </c>
      <c r="D988" s="42"/>
      <c r="E988" s="42"/>
      <c r="F988" s="48" t="str">
        <f>IFERROR(__xludf.DUMMYFUNCTION("""COMPUTED_VALUE"""),"")</f>
        <v/>
      </c>
      <c r="G988" s="42" t="str">
        <f>IFERROR(__xludf.DUMMYFUNCTION("""COMPUTED_VALUE"""),"PENINGKATAN HAK")</f>
        <v>PENINGKATAN HAK</v>
      </c>
      <c r="H988" s="42">
        <f t="shared" si="1"/>
        <v>496</v>
      </c>
    </row>
    <row r="989" ht="22.5" customHeight="1">
      <c r="B989" s="42" t="str">
        <f>IFERROR(__xludf.DUMMYFUNCTION("""COMPUTED_VALUE"""),"K/34/181224/1")</f>
        <v>K/34/181224/1</v>
      </c>
      <c r="C989" s="42" t="str">
        <f>IFERROR(__xludf.DUMMYFUNCTION("""COMPUTED_VALUE"""),"M. 719/ Gunung Agung")</f>
        <v>M. 719/ Gunung Agung</v>
      </c>
      <c r="D989" s="42"/>
      <c r="E989" s="42"/>
      <c r="F989" s="48" t="str">
        <f>IFERROR(__xludf.DUMMYFUNCTION("""COMPUTED_VALUE"""),"")</f>
        <v/>
      </c>
      <c r="G989" s="42" t="str">
        <f>IFERROR(__xludf.DUMMYFUNCTION("""COMPUTED_VALUE"""),"BN Jual Beli")</f>
        <v>BN Jual Beli</v>
      </c>
      <c r="H989" s="42">
        <f t="shared" si="1"/>
        <v>496</v>
      </c>
    </row>
    <row r="990" ht="22.5" customHeight="1">
      <c r="B990" s="42" t="str">
        <f>IFERROR(__xludf.DUMMYFUNCTION("""COMPUTED_VALUE"""),"K/35/181224/2")</f>
        <v>K/35/181224/2</v>
      </c>
      <c r="C990" s="42" t="str">
        <f>IFERROR(__xludf.DUMMYFUNCTION("""COMPUTED_VALUE"""),"M. 10491/ Kampung Baru")</f>
        <v>M. 10491/ Kampung Baru</v>
      </c>
      <c r="D990" s="42"/>
      <c r="E990" s="42"/>
      <c r="F990" s="48" t="str">
        <f>IFERROR(__xludf.DUMMYFUNCTION("""COMPUTED_VALUE"""),"")</f>
        <v/>
      </c>
      <c r="G990" s="42" t="str">
        <f>IFERROR(__xludf.DUMMYFUNCTION("""COMPUTED_VALUE"""),"BN Jual Beli")</f>
        <v>BN Jual Beli</v>
      </c>
      <c r="H990" s="42">
        <f t="shared" si="1"/>
        <v>496</v>
      </c>
    </row>
    <row r="991" ht="22.5" customHeight="1">
      <c r="B991" s="42" t="str">
        <f>IFERROR(__xludf.DUMMYFUNCTION("""COMPUTED_VALUE"""),"K/36/181224/3")</f>
        <v>K/36/181224/3</v>
      </c>
      <c r="C991" s="42" t="str">
        <f>IFERROR(__xludf.DUMMYFUNCTION("""COMPUTED_VALUE"""),"M. 5287/ Langkapura")</f>
        <v>M. 5287/ Langkapura</v>
      </c>
      <c r="D991" s="42"/>
      <c r="E991" s="42" t="str">
        <f>IFERROR(__xludf.DUMMYFUNCTION("""COMPUTED_VALUE"""),"DISERAHKAN")</f>
        <v>DISERAHKAN</v>
      </c>
      <c r="F991" s="48">
        <f>IFERROR(__xludf.DUMMYFUNCTION("""COMPUTED_VALUE"""),45713.70619657407)</f>
        <v>45713.7062</v>
      </c>
      <c r="G991" s="42" t="str">
        <f>IFERROR(__xludf.DUMMYFUNCTION("""COMPUTED_VALUE"""),"BN Jual Beli")</f>
        <v>BN Jual Beli</v>
      </c>
      <c r="H991" s="42">
        <f t="shared" si="1"/>
        <v>497</v>
      </c>
    </row>
    <row r="992" ht="22.5" customHeight="1">
      <c r="B992" s="42" t="str">
        <f>IFERROR(__xludf.DUMMYFUNCTION("""COMPUTED_VALUE"""),"K/38/181224/1")</f>
        <v>K/38/181224/1</v>
      </c>
      <c r="C992" s="42" t="str">
        <f>IFERROR(__xludf.DUMMYFUNCTION("""COMPUTED_VALUE"""),"M.471/KOTA SEPANG-SEKARANG; M.9885/KEDATON-DAHULU")</f>
        <v>M.471/KOTA SEPANG-SEKARANG; M.9885/KEDATON-DAHULU</v>
      </c>
      <c r="D992" s="42" t="str">
        <f>IFERROR(__xludf.DUMMYFUNCTION("""COMPUTED_VALUE"""),"Berry")</f>
        <v>Berry</v>
      </c>
      <c r="E992" s="42" t="str">
        <f>IFERROR(__xludf.DUMMYFUNCTION("""COMPUTED_VALUE"""),"DISERAHKAN")</f>
        <v>DISERAHKAN</v>
      </c>
      <c r="F992" s="48">
        <f>IFERROR(__xludf.DUMMYFUNCTION("""COMPUTED_VALUE"""),45664.698006805556)</f>
        <v>45664.69801</v>
      </c>
      <c r="G992" s="42" t="str">
        <f>IFERROR(__xludf.DUMMYFUNCTION("""COMPUTED_VALUE"""),"KEWARISAN")</f>
        <v>KEWARISAN</v>
      </c>
      <c r="H992" s="42">
        <f t="shared" si="1"/>
        <v>498</v>
      </c>
    </row>
    <row r="993" ht="22.5" customHeight="1">
      <c r="B993" s="42" t="str">
        <f>IFERROR(__xludf.DUMMYFUNCTION("""COMPUTED_VALUE"""),"K/41/181224/3")</f>
        <v>K/41/181224/3</v>
      </c>
      <c r="C993" s="42" t="str">
        <f>IFERROR(__xludf.DUMMYFUNCTION("""COMPUTED_VALUE"""),"M. 1658/ Kemiling Permai")</f>
        <v>M. 1658/ Kemiling Permai</v>
      </c>
      <c r="D993" s="42"/>
      <c r="E993" s="42"/>
      <c r="F993" s="48" t="str">
        <f>IFERROR(__xludf.DUMMYFUNCTION("""COMPUTED_VALUE"""),"")</f>
        <v/>
      </c>
      <c r="G993" s="42" t="str">
        <f>IFERROR(__xludf.DUMMYFUNCTION("""COMPUTED_VALUE"""),"Ploting")</f>
        <v>Ploting</v>
      </c>
      <c r="H993" s="42">
        <f t="shared" si="1"/>
        <v>498</v>
      </c>
    </row>
    <row r="994" ht="22.5" customHeight="1">
      <c r="B994" s="42" t="str">
        <f>IFERROR(__xludf.DUMMYFUNCTION("""COMPUTED_VALUE"""),"K/39/181224/1")</f>
        <v>K/39/181224/1</v>
      </c>
      <c r="C994" s="42" t="str">
        <f>IFERROR(__xludf.DUMMYFUNCTION("""COMPUTED_VALUE"""),"M. 5620/ Langkapura")</f>
        <v>M. 5620/ Langkapura</v>
      </c>
      <c r="D994" s="42"/>
      <c r="E994" s="42" t="str">
        <f>IFERROR(__xludf.DUMMYFUNCTION("""COMPUTED_VALUE"""),"DISERAHKAN")</f>
        <v>DISERAHKAN</v>
      </c>
      <c r="F994" s="48">
        <f>IFERROR(__xludf.DUMMYFUNCTION("""COMPUTED_VALUE"""),45673.44379150463)</f>
        <v>45673.44379</v>
      </c>
      <c r="G994" s="42" t="str">
        <f>IFERROR(__xludf.DUMMYFUNCTION("""COMPUTED_VALUE"""),"BN Jual Beli")</f>
        <v>BN Jual Beli</v>
      </c>
      <c r="H994" s="42">
        <f t="shared" si="1"/>
        <v>499</v>
      </c>
    </row>
    <row r="995" ht="22.5" customHeight="1">
      <c r="B995" s="42" t="str">
        <f>IFERROR(__xludf.DUMMYFUNCTION("""COMPUTED_VALUE"""),"K/37/181224/1")</f>
        <v>K/37/181224/1</v>
      </c>
      <c r="C995" s="42" t="str">
        <f>IFERROR(__xludf.DUMMYFUNCTION("""COMPUTED_VALUE"""),"M. 268/ Kaliawi Persada")</f>
        <v>M. 268/ Kaliawi Persada</v>
      </c>
      <c r="D995" s="42"/>
      <c r="E995" s="42"/>
      <c r="F995" s="48" t="str">
        <f>IFERROR(__xludf.DUMMYFUNCTION("""COMPUTED_VALUE"""),"")</f>
        <v/>
      </c>
      <c r="G995" s="42" t="str">
        <f>IFERROR(__xludf.DUMMYFUNCTION("""COMPUTED_VALUE"""),"HAPUS BPHTB")</f>
        <v>HAPUS BPHTB</v>
      </c>
      <c r="H995" s="42">
        <f t="shared" si="1"/>
        <v>499</v>
      </c>
    </row>
    <row r="996" ht="22.5" customHeight="1">
      <c r="B996" s="42" t="str">
        <f>IFERROR(__xludf.DUMMYFUNCTION("""COMPUTED_VALUE"""),"L/44/181224/1")</f>
        <v>L/44/181224/1</v>
      </c>
      <c r="C996" s="42" t="str">
        <f>IFERROR(__xludf.DUMMYFUNCTION("""COMPUTED_VALUE"""),"HGB 698/TANJUNG BARU")</f>
        <v>HGB 698/TANJUNG BARU</v>
      </c>
      <c r="D996" s="42"/>
      <c r="E996" s="42"/>
      <c r="F996" s="48" t="str">
        <f>IFERROR(__xludf.DUMMYFUNCTION("""COMPUTED_VALUE"""),"")</f>
        <v/>
      </c>
      <c r="G996" s="42" t="str">
        <f>IFERROR(__xludf.DUMMYFUNCTION("""COMPUTED_VALUE"""),"GANDES")</f>
        <v>GANDES</v>
      </c>
      <c r="H996" s="42">
        <f t="shared" si="1"/>
        <v>499</v>
      </c>
    </row>
    <row r="997" ht="22.5" customHeight="1">
      <c r="B997" s="42" t="str">
        <f>IFERROR(__xludf.DUMMYFUNCTION("""COMPUTED_VALUE"""),"K/43/181224/2")</f>
        <v>K/43/181224/2</v>
      </c>
      <c r="C997" s="42" t="str">
        <f>IFERROR(__xludf.DUMMYFUNCTION("""COMPUTED_VALUE"""),"M. 1372/ Sukarame Baru")</f>
        <v>M. 1372/ Sukarame Baru</v>
      </c>
      <c r="D997" s="42"/>
      <c r="E997" s="42"/>
      <c r="F997" s="48" t="str">
        <f>IFERROR(__xludf.DUMMYFUNCTION("""COMPUTED_VALUE"""),"")</f>
        <v/>
      </c>
      <c r="G997" s="42" t="str">
        <f>IFERROR(__xludf.DUMMYFUNCTION("""COMPUTED_VALUE"""),"BN JUAL BELI")</f>
        <v>BN JUAL BELI</v>
      </c>
      <c r="H997" s="42">
        <f t="shared" si="1"/>
        <v>499</v>
      </c>
    </row>
    <row r="998" ht="22.5" customHeight="1">
      <c r="B998" s="42" t="str">
        <f>IFERROR(__xludf.DUMMYFUNCTION("""COMPUTED_VALUE"""),"K/45/181224/1")</f>
        <v>K/45/181224/1</v>
      </c>
      <c r="C998" s="42" t="str">
        <f>IFERROR(__xludf.DUMMYFUNCTION("""COMPUTED_VALUE"""),"M. 1648/ Bumi Kedamaian")</f>
        <v>M. 1648/ Bumi Kedamaian</v>
      </c>
      <c r="D998" s="42"/>
      <c r="E998" s="42"/>
      <c r="F998" s="48" t="str">
        <f>IFERROR(__xludf.DUMMYFUNCTION("""COMPUTED_VALUE"""),"")</f>
        <v/>
      </c>
      <c r="G998" s="42" t="str">
        <f>IFERROR(__xludf.DUMMYFUNCTION("""COMPUTED_VALUE"""),"BN Jual Beli")</f>
        <v>BN Jual Beli</v>
      </c>
      <c r="H998" s="42">
        <f t="shared" si="1"/>
        <v>499</v>
      </c>
    </row>
    <row r="999" ht="22.5" customHeight="1">
      <c r="B999" s="42" t="str">
        <f>IFERROR(__xludf.DUMMYFUNCTION("""COMPUTED_VALUE"""),"K/50/181224/1")</f>
        <v>K/50/181224/1</v>
      </c>
      <c r="C999" s="42" t="str">
        <f>IFERROR(__xludf.DUMMYFUNCTION("""COMPUTED_VALUE"""),"M. 2327/ Sepang Jaya")</f>
        <v>M. 2327/ Sepang Jaya</v>
      </c>
      <c r="D999" s="42"/>
      <c r="E999" s="42"/>
      <c r="F999" s="48" t="str">
        <f>IFERROR(__xludf.DUMMYFUNCTION("""COMPUTED_VALUE"""),"")</f>
        <v/>
      </c>
      <c r="G999" s="42" t="str">
        <f>IFERROR(__xludf.DUMMYFUNCTION("""COMPUTED_VALUE"""),"BN JUAL BELI")</f>
        <v>BN JUAL BELI</v>
      </c>
      <c r="H999" s="42">
        <f t="shared" si="1"/>
        <v>499</v>
      </c>
    </row>
    <row r="1000" ht="22.5" customHeight="1">
      <c r="B1000" s="42" t="str">
        <f>IFERROR(__xludf.DUMMYFUNCTION("""COMPUTED_VALUE"""),"K/52/181224/1")</f>
        <v>K/52/181224/1</v>
      </c>
      <c r="C1000" s="42" t="str">
        <f>IFERROR(__xludf.DUMMYFUNCTION("""COMPUTED_VALUE"""),"M. 11875/SUKARAME")</f>
        <v>M. 11875/SUKARAME</v>
      </c>
      <c r="D1000" s="42"/>
      <c r="E1000" s="42"/>
      <c r="F1000" s="48" t="str">
        <f>IFERROR(__xludf.DUMMYFUNCTION("""COMPUTED_VALUE"""),"")</f>
        <v/>
      </c>
      <c r="G1000" s="42" t="str">
        <f>IFERROR(__xludf.DUMMYFUNCTION("""COMPUTED_VALUE"""),"BN WARIS")</f>
        <v>BN WARIS</v>
      </c>
      <c r="H1000" s="42">
        <f t="shared" si="1"/>
        <v>499</v>
      </c>
    </row>
    <row r="1001" ht="22.5" customHeight="1">
      <c r="B1001" s="42" t="str">
        <f>IFERROR(__xludf.DUMMYFUNCTION("""COMPUTED_VALUE"""),"K/1/191224/1")</f>
        <v>K/1/191224/1</v>
      </c>
      <c r="C1001" s="42" t="str">
        <f>IFERROR(__xludf.DUMMYFUNCTION("""COMPUTED_VALUE"""),"M. 1313,1312/ GOTONG ROYONG")</f>
        <v>M. 1313,1312/ GOTONG ROYONG</v>
      </c>
      <c r="D1001" s="42"/>
      <c r="E1001" s="42"/>
      <c r="F1001" s="48" t="str">
        <f>IFERROR(__xludf.DUMMYFUNCTION("""COMPUTED_VALUE"""),"")</f>
        <v/>
      </c>
      <c r="G1001" s="42" t="str">
        <f>IFERROR(__xludf.DUMMYFUNCTION("""COMPUTED_VALUE"""),"ROYA")</f>
        <v>ROYA</v>
      </c>
      <c r="H1001" s="42">
        <f t="shared" si="1"/>
        <v>499</v>
      </c>
    </row>
    <row r="1002" ht="22.5" customHeight="1">
      <c r="B1002" s="42" t="str">
        <f>IFERROR(__xludf.DUMMYFUNCTION("""COMPUTED_VALUE"""),"K/2/191224/1")</f>
        <v>K/2/191224/1</v>
      </c>
      <c r="C1002" s="42" t="str">
        <f>IFERROR(__xludf.DUMMYFUNCTION("""COMPUTED_VALUE"""),"M. 2981/ Labuhan Dalam")</f>
        <v>M. 2981/ Labuhan Dalam</v>
      </c>
      <c r="D1002" s="42"/>
      <c r="E1002" s="42"/>
      <c r="F1002" s="48" t="str">
        <f>IFERROR(__xludf.DUMMYFUNCTION("""COMPUTED_VALUE"""),"")</f>
        <v/>
      </c>
      <c r="G1002" s="42" t="str">
        <f>IFERROR(__xludf.DUMMYFUNCTION("""COMPUTED_VALUE"""),"BN Jual Beli")</f>
        <v>BN Jual Beli</v>
      </c>
      <c r="H1002" s="42">
        <f t="shared" si="1"/>
        <v>499</v>
      </c>
    </row>
    <row r="1003" ht="22.5" customHeight="1">
      <c r="B1003" s="42" t="str">
        <f>IFERROR(__xludf.DUMMYFUNCTION("""COMPUTED_VALUE"""),"L/3/191224/1")</f>
        <v>L/3/191224/1</v>
      </c>
      <c r="C1003" s="42" t="str">
        <f>IFERROR(__xludf.DUMMYFUNCTION("""COMPUTED_VALUE"""),"SIDODADI")</f>
        <v>SIDODADI</v>
      </c>
      <c r="D1003" s="42"/>
      <c r="E1003" s="42"/>
      <c r="F1003" s="48" t="str">
        <f>IFERROR(__xludf.DUMMYFUNCTION("""COMPUTED_VALUE"""),"")</f>
        <v/>
      </c>
      <c r="G1003" s="42" t="str">
        <f>IFERROR(__xludf.DUMMYFUNCTION("""COMPUTED_VALUE"""),"PERMOHONAN SK")</f>
        <v>PERMOHONAN SK</v>
      </c>
      <c r="H1003" s="42">
        <f t="shared" si="1"/>
        <v>499</v>
      </c>
    </row>
    <row r="1004" ht="22.5" customHeight="1">
      <c r="B1004" s="42" t="str">
        <f>IFERROR(__xludf.DUMMYFUNCTION("""COMPUTED_VALUE"""),"K/5/191224/1")</f>
        <v>K/5/191224/1</v>
      </c>
      <c r="C1004" s="42" t="str">
        <f>IFERROR(__xludf.DUMMYFUNCTION("""COMPUTED_VALUE"""),"M. 6407/GUNUNG SULAH")</f>
        <v>M. 6407/GUNUNG SULAH</v>
      </c>
      <c r="D1004" s="42"/>
      <c r="E1004" s="42"/>
      <c r="F1004" s="48" t="str">
        <f>IFERROR(__xludf.DUMMYFUNCTION("""COMPUTED_VALUE"""),"")</f>
        <v/>
      </c>
      <c r="G1004" s="42" t="str">
        <f>IFERROR(__xludf.DUMMYFUNCTION("""COMPUTED_VALUE"""),"BN JUAL BELI")</f>
        <v>BN JUAL BELI</v>
      </c>
      <c r="H1004" s="42">
        <f t="shared" si="1"/>
        <v>499</v>
      </c>
    </row>
    <row r="1005" ht="22.5" customHeight="1">
      <c r="B1005" s="42" t="str">
        <f>IFERROR(__xludf.DUMMYFUNCTION("""COMPUTED_VALUE"""),"L/6/191224/1")</f>
        <v>L/6/191224/1</v>
      </c>
      <c r="C1005" s="42" t="str">
        <f>IFERROR(__xludf.DUMMYFUNCTION("""COMPUTED_VALUE"""),"HGB 227/KEMILING PERMAI")</f>
        <v>HGB 227/KEMILING PERMAI</v>
      </c>
      <c r="D1005" s="42"/>
      <c r="E1005" s="42"/>
      <c r="F1005" s="48" t="str">
        <f>IFERROR(__xludf.DUMMYFUNCTION("""COMPUTED_VALUE"""),"")</f>
        <v/>
      </c>
      <c r="G1005" s="42" t="str">
        <f>IFERROR(__xludf.DUMMYFUNCTION("""COMPUTED_VALUE"""),"ROYA")</f>
        <v>ROYA</v>
      </c>
      <c r="H1005" s="42">
        <f t="shared" si="1"/>
        <v>499</v>
      </c>
    </row>
    <row r="1006" ht="22.5" customHeight="1">
      <c r="B1006" s="42" t="str">
        <f>IFERROR(__xludf.DUMMYFUNCTION("""COMPUTED_VALUE"""),"K/8/191224/1")</f>
        <v>K/8/191224/1</v>
      </c>
      <c r="C1006" s="42" t="str">
        <f>IFERROR(__xludf.DUMMYFUNCTION("""COMPUTED_VALUE"""),"M. 339/ RAJABASA RAYA")</f>
        <v>M. 339/ RAJABASA RAYA</v>
      </c>
      <c r="D1006" s="42"/>
      <c r="E1006" s="42"/>
      <c r="F1006" s="48" t="str">
        <f>IFERROR(__xludf.DUMMYFUNCTION("""COMPUTED_VALUE"""),"")</f>
        <v/>
      </c>
      <c r="G1006" s="42" t="str">
        <f>IFERROR(__xludf.DUMMYFUNCTION("""COMPUTED_VALUE"""),"BN JUAL BELI")</f>
        <v>BN JUAL BELI</v>
      </c>
      <c r="H1006" s="42">
        <f t="shared" si="1"/>
        <v>499</v>
      </c>
    </row>
    <row r="1007" ht="22.5" customHeight="1">
      <c r="B1007" s="42" t="str">
        <f>IFERROR(__xludf.DUMMYFUNCTION("""COMPUTED_VALUE"""),"K/9/191224/1")</f>
        <v>K/9/191224/1</v>
      </c>
      <c r="C1007" s="42" t="str">
        <f>IFERROR(__xludf.DUMMYFUNCTION("""COMPUTED_VALUE"""),"M. 1758/ Rajabasa Pemuka")</f>
        <v>M. 1758/ Rajabasa Pemuka</v>
      </c>
      <c r="D1007" s="42"/>
      <c r="E1007" s="42"/>
      <c r="F1007" s="48" t="str">
        <f>IFERROR(__xludf.DUMMYFUNCTION("""COMPUTED_VALUE"""),"")</f>
        <v/>
      </c>
      <c r="G1007" s="42" t="str">
        <f>IFERROR(__xludf.DUMMYFUNCTION("""COMPUTED_VALUE"""),"BN JUAL BELI")</f>
        <v>BN JUAL BELI</v>
      </c>
      <c r="H1007" s="42">
        <f t="shared" si="1"/>
        <v>499</v>
      </c>
    </row>
    <row r="1008" ht="22.5" customHeight="1">
      <c r="B1008" s="42" t="str">
        <f>IFERROR(__xludf.DUMMYFUNCTION("""COMPUTED_VALUE"""),"K/10/191224/1")</f>
        <v>K/10/191224/1</v>
      </c>
      <c r="C1008" s="42" t="str">
        <f>IFERROR(__xludf.DUMMYFUNCTION("""COMPUTED_VALUE"""),"M. 2462/ Sukamaju")</f>
        <v>M. 2462/ Sukamaju</v>
      </c>
      <c r="D1008" s="42"/>
      <c r="E1008" s="42"/>
      <c r="F1008" s="48" t="str">
        <f>IFERROR(__xludf.DUMMYFUNCTION("""COMPUTED_VALUE"""),"")</f>
        <v/>
      </c>
      <c r="G1008" s="42" t="str">
        <f>IFERROR(__xludf.DUMMYFUNCTION("""COMPUTED_VALUE"""),"PTPGT (pemecahan)")</f>
        <v>PTPGT (pemecahan)</v>
      </c>
      <c r="H1008" s="42">
        <f t="shared" si="1"/>
        <v>499</v>
      </c>
    </row>
    <row r="1009" ht="22.5" customHeight="1">
      <c r="B1009" s="42" t="str">
        <f>IFERROR(__xludf.DUMMYFUNCTION("""COMPUTED_VALUE"""),"K/11/191224/1")</f>
        <v>K/11/191224/1</v>
      </c>
      <c r="C1009" s="42" t="str">
        <f>IFERROR(__xludf.DUMMYFUNCTION("""COMPUTED_VALUE"""),"M. 1263/ Langkapura Baru")</f>
        <v>M. 1263/ Langkapura Baru</v>
      </c>
      <c r="D1009" s="42" t="str">
        <f>IFERROR(__xludf.DUMMYFUNCTION("""COMPUTED_VALUE"""),"Berry")</f>
        <v>Berry</v>
      </c>
      <c r="E1009" s="42" t="str">
        <f>IFERROR(__xludf.DUMMYFUNCTION("""COMPUTED_VALUE"""),"DISERAHKAN")</f>
        <v>DISERAHKAN</v>
      </c>
      <c r="F1009" s="48">
        <f>IFERROR(__xludf.DUMMYFUNCTION("""COMPUTED_VALUE"""),45664.6974741088)</f>
        <v>45664.69747</v>
      </c>
      <c r="G1009" s="42" t="str">
        <f>IFERROR(__xludf.DUMMYFUNCTION("""COMPUTED_VALUE"""),"BN WARIS")</f>
        <v>BN WARIS</v>
      </c>
      <c r="H1009" s="42">
        <f t="shared" si="1"/>
        <v>500</v>
      </c>
    </row>
    <row r="1010" ht="22.5" customHeight="1">
      <c r="B1010" s="42" t="str">
        <f>IFERROR(__xludf.DUMMYFUNCTION("""COMPUTED_VALUE"""),"K/14/191224/4")</f>
        <v>K/14/191224/4</v>
      </c>
      <c r="C1010" s="42" t="str">
        <f>IFERROR(__xludf.DUMMYFUNCTION("""COMPUTED_VALUE"""),"Nibel 2095/ Sukadana Ham")</f>
        <v>Nibel 2095/ Sukadana Ham</v>
      </c>
      <c r="D1010" s="42"/>
      <c r="E1010" s="42"/>
      <c r="F1010" s="48" t="str">
        <f>IFERROR(__xludf.DUMMYFUNCTION("""COMPUTED_VALUE"""),"")</f>
        <v/>
      </c>
      <c r="G1010" s="42" t="str">
        <f>IFERROR(__xludf.DUMMYFUNCTION("""COMPUTED_VALUE"""),"BN JUAL BELI")</f>
        <v>BN JUAL BELI</v>
      </c>
      <c r="H1010" s="42">
        <f t="shared" si="1"/>
        <v>500</v>
      </c>
    </row>
    <row r="1011" ht="22.5" customHeight="1">
      <c r="B1011" s="42" t="str">
        <f>IFERROR(__xludf.DUMMYFUNCTION("""COMPUTED_VALUE"""),"K/18/191224/1")</f>
        <v>K/18/191224/1</v>
      </c>
      <c r="C1011" s="42" t="str">
        <f>IFERROR(__xludf.DUMMYFUNCTION("""COMPUTED_VALUE"""),"B. 3646/ Sukarame")</f>
        <v>B. 3646/ Sukarame</v>
      </c>
      <c r="D1011" s="42"/>
      <c r="E1011" s="42"/>
      <c r="F1011" s="48" t="str">
        <f>IFERROR(__xludf.DUMMYFUNCTION("""COMPUTED_VALUE"""),"")</f>
        <v/>
      </c>
      <c r="G1011" s="42" t="str">
        <f>IFERROR(__xludf.DUMMYFUNCTION("""COMPUTED_VALUE"""),"PENGECEKKAN")</f>
        <v>PENGECEKKAN</v>
      </c>
      <c r="H1011" s="42">
        <f t="shared" si="1"/>
        <v>500</v>
      </c>
    </row>
    <row r="1012" ht="22.5" customHeight="1">
      <c r="B1012" s="42" t="str">
        <f>IFERROR(__xludf.DUMMYFUNCTION("""COMPUTED_VALUE"""),"K/16/191224/1")</f>
        <v>K/16/191224/1</v>
      </c>
      <c r="C1012" s="42" t="str">
        <f>IFERROR(__xludf.DUMMYFUNCTION("""COMPUTED_VALUE"""),"NIBEL M. 1906/SUKARAME BARU")</f>
        <v>NIBEL M. 1906/SUKARAME BARU</v>
      </c>
      <c r="D1012" s="42"/>
      <c r="E1012" s="42"/>
      <c r="F1012" s="48" t="str">
        <f>IFERROR(__xludf.DUMMYFUNCTION("""COMPUTED_VALUE"""),"")</f>
        <v/>
      </c>
      <c r="G1012" s="42" t="str">
        <f>IFERROR(__xludf.DUMMYFUNCTION("""COMPUTED_VALUE"""),"BN JUAL BELI")</f>
        <v>BN JUAL BELI</v>
      </c>
      <c r="H1012" s="42">
        <f t="shared" si="1"/>
        <v>500</v>
      </c>
    </row>
    <row r="1013" ht="22.5" customHeight="1">
      <c r="B1013" s="42" t="str">
        <f>IFERROR(__xludf.DUMMYFUNCTION("""COMPUTED_VALUE"""),"K/19/191224/1")</f>
        <v>K/19/191224/1</v>
      </c>
      <c r="C1013" s="42" t="str">
        <f>IFERROR(__xludf.DUMMYFUNCTION("""COMPUTED_VALUE"""),"M.959/LANGKAPURA")</f>
        <v>M.959/LANGKAPURA</v>
      </c>
      <c r="D1013" s="42"/>
      <c r="E1013" s="42"/>
      <c r="F1013" s="48" t="str">
        <f>IFERROR(__xludf.DUMMYFUNCTION("""COMPUTED_VALUE"""),"")</f>
        <v/>
      </c>
      <c r="G1013" s="42" t="str">
        <f>IFERROR(__xludf.DUMMYFUNCTION("""COMPUTED_VALUE"""),"BN HIBAH")</f>
        <v>BN HIBAH</v>
      </c>
      <c r="H1013" s="42">
        <f t="shared" si="1"/>
        <v>500</v>
      </c>
    </row>
    <row r="1014" ht="22.5" customHeight="1">
      <c r="B1014" s="42" t="str">
        <f>IFERROR(__xludf.DUMMYFUNCTION("""COMPUTED_VALUE"""),"K/50/191224/1")</f>
        <v>K/50/191224/1</v>
      </c>
      <c r="C1014" s="42" t="str">
        <f>IFERROR(__xludf.DUMMYFUNCTION("""COMPUTED_VALUE"""),"M.699/RAJABASA RAYA")</f>
        <v>M.699/RAJABASA RAYA</v>
      </c>
      <c r="D1014" s="42"/>
      <c r="E1014" s="42" t="str">
        <f>IFERROR(__xludf.DUMMYFUNCTION("""COMPUTED_VALUE"""),"DISERAHKAN")</f>
        <v>DISERAHKAN</v>
      </c>
      <c r="F1014" s="48">
        <f>IFERROR(__xludf.DUMMYFUNCTION("""COMPUTED_VALUE"""),45687.42514233796)</f>
        <v>45687.42514</v>
      </c>
      <c r="G1014" s="42" t="str">
        <f>IFERROR(__xludf.DUMMYFUNCTION("""COMPUTED_VALUE"""),"ROYA")</f>
        <v>ROYA</v>
      </c>
      <c r="H1014" s="42">
        <f t="shared" si="1"/>
        <v>501</v>
      </c>
    </row>
    <row r="1015" ht="22.5" customHeight="1">
      <c r="B1015" s="42" t="str">
        <f>IFERROR(__xludf.DUMMYFUNCTION("""COMPUTED_VALUE"""),"L/20/191224/1")</f>
        <v>L/20/191224/1</v>
      </c>
      <c r="C1015" s="42" t="str">
        <f>IFERROR(__xludf.DUMMYFUNCTION("""COMPUTED_VALUE"""),"HM 2122/BAKUNG")</f>
        <v>HM 2122/BAKUNG</v>
      </c>
      <c r="D1015" s="42"/>
      <c r="E1015" s="42"/>
      <c r="F1015" s="48" t="str">
        <f>IFERROR(__xludf.DUMMYFUNCTION("""COMPUTED_VALUE"""),"")</f>
        <v/>
      </c>
      <c r="G1015" s="42" t="str">
        <f>IFERROR(__xludf.DUMMYFUNCTION("""COMPUTED_VALUE"""),"BN WARIS")</f>
        <v>BN WARIS</v>
      </c>
      <c r="H1015" s="42">
        <f t="shared" si="1"/>
        <v>501</v>
      </c>
    </row>
    <row r="1016" ht="22.5" customHeight="1">
      <c r="B1016" s="42" t="str">
        <f>IFERROR(__xludf.DUMMYFUNCTION("""COMPUTED_VALUE"""),"L/25/191224/1")</f>
        <v>L/25/191224/1</v>
      </c>
      <c r="C1016" s="42" t="str">
        <f>IFERROR(__xludf.DUMMYFUNCTION("""COMPUTED_VALUE"""),"HM 9706/KAMPUNG BARU")</f>
        <v>HM 9706/KAMPUNG BARU</v>
      </c>
      <c r="D1016" s="42" t="str">
        <f>IFERROR(__xludf.DUMMYFUNCTION("""COMPUTED_VALUE"""),"David")</f>
        <v>David</v>
      </c>
      <c r="E1016" s="42" t="str">
        <f>IFERROR(__xludf.DUMMYFUNCTION("""COMPUTED_VALUE"""),"DISERAHKAN")</f>
        <v>DISERAHKAN</v>
      </c>
      <c r="F1016" s="48">
        <f>IFERROR(__xludf.DUMMYFUNCTION("""COMPUTED_VALUE"""),45819.37955354167)</f>
        <v>45819.37955</v>
      </c>
      <c r="G1016" s="42" t="str">
        <f>IFERROR(__xludf.DUMMYFUNCTION("""COMPUTED_VALUE"""),"ROYA")</f>
        <v>ROYA</v>
      </c>
      <c r="H1016" s="42">
        <f t="shared" si="1"/>
        <v>502</v>
      </c>
    </row>
    <row r="1017" ht="22.5" customHeight="1">
      <c r="B1017" s="42" t="str">
        <f>IFERROR(__xludf.DUMMYFUNCTION("""COMPUTED_VALUE"""),"K/21/191224/1")</f>
        <v>K/21/191224/1</v>
      </c>
      <c r="C1017" s="42" t="str">
        <f>IFERROR(__xludf.DUMMYFUNCTION("""COMPUTED_VALUE"""),"B. 5631/ Beringin Raya; B. 1269/ Sumberrejo-dahulu")</f>
        <v>B. 5631/ Beringin Raya; B. 1269/ Sumberrejo-dahulu</v>
      </c>
      <c r="D1017" s="42"/>
      <c r="E1017" s="42"/>
      <c r="F1017" s="48" t="str">
        <f>IFERROR(__xludf.DUMMYFUNCTION("""COMPUTED_VALUE"""),"")</f>
        <v/>
      </c>
      <c r="G1017" s="42" t="str">
        <f>IFERROR(__xludf.DUMMYFUNCTION("""COMPUTED_VALUE"""),"Perubahan Hak")</f>
        <v>Perubahan Hak</v>
      </c>
      <c r="H1017" s="42">
        <f t="shared" si="1"/>
        <v>502</v>
      </c>
    </row>
    <row r="1018" ht="22.5" customHeight="1">
      <c r="B1018" s="42" t="str">
        <f>IFERROR(__xludf.DUMMYFUNCTION("""COMPUTED_VALUE"""),"K/22/191224/2")</f>
        <v>K/22/191224/2</v>
      </c>
      <c r="C1018" s="42" t="str">
        <f>IFERROR(__xludf.DUMMYFUNCTION("""COMPUTED_VALUE"""),"M. 169/ Tanjung Raya; SHT 889/2011")</f>
        <v>M. 169/ Tanjung Raya; SHT 889/2011</v>
      </c>
      <c r="D1018" s="42"/>
      <c r="E1018" s="42" t="str">
        <f>IFERROR(__xludf.DUMMYFUNCTION("""COMPUTED_VALUE"""),"DISERAHKAN")</f>
        <v>DISERAHKAN</v>
      </c>
      <c r="F1018" s="48">
        <f>IFERROR(__xludf.DUMMYFUNCTION("""COMPUTED_VALUE"""),45687.400652627315)</f>
        <v>45687.40065</v>
      </c>
      <c r="G1018" s="42" t="str">
        <f>IFERROR(__xludf.DUMMYFUNCTION("""COMPUTED_VALUE"""),"Roya")</f>
        <v>Roya</v>
      </c>
      <c r="H1018" s="42">
        <f t="shared" si="1"/>
        <v>503</v>
      </c>
    </row>
    <row r="1019" ht="22.5" customHeight="1">
      <c r="B1019" s="42" t="str">
        <f>IFERROR(__xludf.DUMMYFUNCTION("""COMPUTED_VALUE"""),"L/49/181224/1")</f>
        <v>L/49/181224/1</v>
      </c>
      <c r="C1019" s="42" t="str">
        <f>IFERROR(__xludf.DUMMYFUNCTION("""COMPUTED_VALUE"""),"HM 567/SUMBEREJO S")</f>
        <v>HM 567/SUMBEREJO S</v>
      </c>
      <c r="D1019" s="42"/>
      <c r="E1019" s="42" t="str">
        <f>IFERROR(__xludf.DUMMYFUNCTION("""COMPUTED_VALUE"""),"DISERAHKAN")</f>
        <v>DISERAHKAN</v>
      </c>
      <c r="F1019" s="48">
        <f>IFERROR(__xludf.DUMMYFUNCTION("""COMPUTED_VALUE"""),45687.400697997684)</f>
        <v>45687.4007</v>
      </c>
      <c r="G1019" s="42" t="str">
        <f>IFERROR(__xludf.DUMMYFUNCTION("""COMPUTED_VALUE"""),"ROYA")</f>
        <v>ROYA</v>
      </c>
      <c r="H1019" s="42">
        <f t="shared" si="1"/>
        <v>504</v>
      </c>
    </row>
    <row r="1020" ht="22.5" customHeight="1">
      <c r="B1020" s="42" t="str">
        <f>IFERROR(__xludf.DUMMYFUNCTION("""COMPUTED_VALUE"""),"L/31/191224/1")</f>
        <v>L/31/191224/1</v>
      </c>
      <c r="C1020" s="42" t="str">
        <f>IFERROR(__xludf.DUMMYFUNCTION("""COMPUTED_VALUE"""),"HGB 94/RAJABASA RAYA")</f>
        <v>HGB 94/RAJABASA RAYA</v>
      </c>
      <c r="D1020" s="42"/>
      <c r="E1020" s="42"/>
      <c r="F1020" s="48" t="str">
        <f>IFERROR(__xludf.DUMMYFUNCTION("""COMPUTED_VALUE"""),"")</f>
        <v/>
      </c>
      <c r="G1020" s="42" t="str">
        <f>IFERROR(__xludf.DUMMYFUNCTION("""COMPUTED_VALUE"""),"ASPEK HGB MATI")</f>
        <v>ASPEK HGB MATI</v>
      </c>
      <c r="H1020" s="42">
        <f t="shared" si="1"/>
        <v>504</v>
      </c>
    </row>
    <row r="1021" ht="22.5" customHeight="1">
      <c r="B1021" s="42" t="str">
        <f>IFERROR(__xludf.DUMMYFUNCTION("""COMPUTED_VALUE"""),"K/27/191224/1")</f>
        <v>K/27/191224/1</v>
      </c>
      <c r="C1021" s="42" t="str">
        <f>IFERROR(__xludf.DUMMYFUNCTION("""COMPUTED_VALUE"""),"M. 729/ Beringin Jaya")</f>
        <v>M. 729/ Beringin Jaya</v>
      </c>
      <c r="D1021" s="42"/>
      <c r="E1021" s="42"/>
      <c r="F1021" s="48" t="str">
        <f>IFERROR(__xludf.DUMMYFUNCTION("""COMPUTED_VALUE"""),"")</f>
        <v/>
      </c>
      <c r="G1021" s="42" t="str">
        <f>IFERROR(__xludf.DUMMYFUNCTION("""COMPUTED_VALUE"""),"BN Jual Beli")</f>
        <v>BN Jual Beli</v>
      </c>
      <c r="H1021" s="42">
        <f t="shared" si="1"/>
        <v>504</v>
      </c>
    </row>
    <row r="1022" ht="22.5" customHeight="1">
      <c r="B1022" s="42" t="str">
        <f>IFERROR(__xludf.DUMMYFUNCTION("""COMPUTED_VALUE"""),"K/28/191224/2")</f>
        <v>K/28/191224/2</v>
      </c>
      <c r="C1022" s="42" t="str">
        <f>IFERROR(__xludf.DUMMYFUNCTION("""COMPUTED_VALUE"""),"M. 663/ Tanjung Gading")</f>
        <v>M. 663/ Tanjung Gading</v>
      </c>
      <c r="D1022" s="42"/>
      <c r="E1022" s="42"/>
      <c r="F1022" s="48" t="str">
        <f>IFERROR(__xludf.DUMMYFUNCTION("""COMPUTED_VALUE"""),"")</f>
        <v/>
      </c>
      <c r="G1022" s="42" t="str">
        <f>IFERROR(__xludf.DUMMYFUNCTION("""COMPUTED_VALUE"""),"BN Jual Beli")</f>
        <v>BN Jual Beli</v>
      </c>
      <c r="H1022" s="42">
        <f t="shared" si="1"/>
        <v>504</v>
      </c>
    </row>
    <row r="1023" ht="22.5" customHeight="1">
      <c r="B1023" s="42" t="str">
        <f>IFERROR(__xludf.DUMMYFUNCTION("""COMPUTED_VALUE"""),"K/29/191224/1")</f>
        <v>K/29/191224/1</v>
      </c>
      <c r="C1023" s="42" t="str">
        <f>IFERROR(__xludf.DUMMYFUNCTION("""COMPUTED_VALUE"""),"Nibel. M. 15806/ Jagabaya III")</f>
        <v>Nibel. M. 15806/ Jagabaya III</v>
      </c>
      <c r="D1023" s="42"/>
      <c r="E1023" s="42"/>
      <c r="F1023" s="48" t="str">
        <f>IFERROR(__xludf.DUMMYFUNCTION("""COMPUTED_VALUE"""),"")</f>
        <v/>
      </c>
      <c r="G1023" s="42" t="str">
        <f>IFERROR(__xludf.DUMMYFUNCTION("""COMPUTED_VALUE"""),"BN Jual Beli")</f>
        <v>BN Jual Beli</v>
      </c>
      <c r="H1023" s="42">
        <f t="shared" si="1"/>
        <v>504</v>
      </c>
    </row>
    <row r="1024" ht="22.5" customHeight="1">
      <c r="B1024" s="42" t="str">
        <f>IFERROR(__xludf.DUMMYFUNCTION("""COMPUTED_VALUE"""),"K/32/191224/1")</f>
        <v>K/32/191224/1</v>
      </c>
      <c r="C1024" s="42" t="str">
        <f>IFERROR(__xludf.DUMMYFUNCTION("""COMPUTED_VALUE"""),"Nibel 16343/ Gunung Agung")</f>
        <v>Nibel 16343/ Gunung Agung</v>
      </c>
      <c r="D1024" s="42"/>
      <c r="E1024" s="42"/>
      <c r="F1024" s="48" t="str">
        <f>IFERROR(__xludf.DUMMYFUNCTION("""COMPUTED_VALUE"""),"")</f>
        <v/>
      </c>
      <c r="G1024" s="42" t="str">
        <f>IFERROR(__xludf.DUMMYFUNCTION("""COMPUTED_VALUE"""),"BN JUAL BELI")</f>
        <v>BN JUAL BELI</v>
      </c>
      <c r="H1024" s="42">
        <f t="shared" si="1"/>
        <v>504</v>
      </c>
    </row>
    <row r="1025" ht="22.5" customHeight="1">
      <c r="B1025" s="42" t="str">
        <f>IFERROR(__xludf.DUMMYFUNCTION("""COMPUTED_VALUE"""),"K/30/191224/2")</f>
        <v>K/30/191224/2</v>
      </c>
      <c r="C1025" s="42" t="str">
        <f>IFERROR(__xludf.DUMMYFUNCTION("""COMPUTED_VALUE"""),"Nibel. M. 15807/ Jagabaya III")</f>
        <v>Nibel. M. 15807/ Jagabaya III</v>
      </c>
      <c r="D1025" s="42"/>
      <c r="E1025" s="42"/>
      <c r="F1025" s="48" t="str">
        <f>IFERROR(__xludf.DUMMYFUNCTION("""COMPUTED_VALUE"""),"")</f>
        <v/>
      </c>
      <c r="G1025" s="42" t="str">
        <f>IFERROR(__xludf.DUMMYFUNCTION("""COMPUTED_VALUE"""),"BN Jual Beli")</f>
        <v>BN Jual Beli</v>
      </c>
      <c r="H1025" s="42">
        <f t="shared" si="1"/>
        <v>504</v>
      </c>
    </row>
    <row r="1026" ht="22.5" customHeight="1">
      <c r="B1026" s="42" t="str">
        <f>IFERROR(__xludf.DUMMYFUNCTION("""COMPUTED_VALUE"""),"K/33/191224/2")</f>
        <v>K/33/191224/2</v>
      </c>
      <c r="C1026" s="42" t="str">
        <f>IFERROR(__xludf.DUMMYFUNCTION("""COMPUTED_VALUE"""),"M. 2852/ Sukarame Baru")</f>
        <v>M. 2852/ Sukarame Baru</v>
      </c>
      <c r="D1026" s="42"/>
      <c r="E1026" s="42"/>
      <c r="F1026" s="48" t="str">
        <f>IFERROR(__xludf.DUMMYFUNCTION("""COMPUTED_VALUE"""),"")</f>
        <v/>
      </c>
      <c r="G1026" s="42" t="str">
        <f>IFERROR(__xludf.DUMMYFUNCTION("""COMPUTED_VALUE"""),"BN JUAL BELI")</f>
        <v>BN JUAL BELI</v>
      </c>
      <c r="H1026" s="42">
        <f t="shared" si="1"/>
        <v>504</v>
      </c>
    </row>
    <row r="1027" ht="22.5" customHeight="1">
      <c r="B1027" s="42" t="str">
        <f>IFERROR(__xludf.DUMMYFUNCTION("""COMPUTED_VALUE"""),"K/34/191224/1")</f>
        <v>K/34/191224/1</v>
      </c>
      <c r="C1027" s="42" t="str">
        <f>IFERROR(__xludf.DUMMYFUNCTION("""COMPUTED_VALUE"""),"M. 1128/ sumberrejo")</f>
        <v>M. 1128/ sumberrejo</v>
      </c>
      <c r="D1027" s="42"/>
      <c r="E1027" s="42" t="str">
        <f>IFERROR(__xludf.DUMMYFUNCTION("""COMPUTED_VALUE"""),"DISERAHKAN")</f>
        <v>DISERAHKAN</v>
      </c>
      <c r="F1027" s="48">
        <f>IFERROR(__xludf.DUMMYFUNCTION("""COMPUTED_VALUE"""),45687.40433052083)</f>
        <v>45687.40433</v>
      </c>
      <c r="G1027" s="42" t="str">
        <f>IFERROR(__xludf.DUMMYFUNCTION("""COMPUTED_VALUE"""),"ROYA")</f>
        <v>ROYA</v>
      </c>
      <c r="H1027" s="42">
        <f t="shared" si="1"/>
        <v>505</v>
      </c>
    </row>
    <row r="1028" ht="22.5" customHeight="1">
      <c r="B1028" s="42" t="str">
        <f>IFERROR(__xludf.DUMMYFUNCTION("""COMPUTED_VALUE"""),"K/36/191224/3")</f>
        <v>K/36/191224/3</v>
      </c>
      <c r="C1028" s="42" t="str">
        <f>IFERROR(__xludf.DUMMYFUNCTION("""COMPUTED_VALUE"""),"M. 4493/ Sukadana Ham")</f>
        <v>M. 4493/ Sukadana Ham</v>
      </c>
      <c r="D1028" s="42"/>
      <c r="E1028" s="42"/>
      <c r="F1028" s="48" t="str">
        <f>IFERROR(__xludf.DUMMYFUNCTION("""COMPUTED_VALUE"""),"")</f>
        <v/>
      </c>
      <c r="G1028" s="42" t="str">
        <f>IFERROR(__xludf.DUMMYFUNCTION("""COMPUTED_VALUE"""),"BN Jual Beli")</f>
        <v>BN Jual Beli</v>
      </c>
      <c r="H1028" s="42">
        <f t="shared" si="1"/>
        <v>505</v>
      </c>
    </row>
    <row r="1029" ht="22.5" customHeight="1">
      <c r="B1029" s="42" t="str">
        <f>IFERROR(__xludf.DUMMYFUNCTION("""COMPUTED_VALUE"""),"K/37/191224/4")</f>
        <v>K/37/191224/4</v>
      </c>
      <c r="C1029" s="42" t="str">
        <f>IFERROR(__xludf.DUMMYFUNCTION("""COMPUTED_VALUE"""),"M. 566/ Pinang Jaya")</f>
        <v>M. 566/ Pinang Jaya</v>
      </c>
      <c r="D1029" s="42"/>
      <c r="E1029" s="42"/>
      <c r="F1029" s="48" t="str">
        <f>IFERROR(__xludf.DUMMYFUNCTION("""COMPUTED_VALUE"""),"")</f>
        <v/>
      </c>
      <c r="G1029" s="42" t="str">
        <f>IFERROR(__xludf.DUMMYFUNCTION("""COMPUTED_VALUE"""),"BN Jual Beli")</f>
        <v>BN Jual Beli</v>
      </c>
      <c r="H1029" s="42">
        <f t="shared" si="1"/>
        <v>505</v>
      </c>
    </row>
    <row r="1030" ht="22.5" customHeight="1">
      <c r="B1030" s="42" t="str">
        <f>IFERROR(__xludf.DUMMYFUNCTION("""COMPUTED_VALUE"""),"K/38/191224/5")</f>
        <v>K/38/191224/5</v>
      </c>
      <c r="C1030" s="42" t="str">
        <f>IFERROR(__xludf.DUMMYFUNCTION("""COMPUTED_VALUE"""),"M. 2616/ Sumber Agung")</f>
        <v>M. 2616/ Sumber Agung</v>
      </c>
      <c r="D1030" s="42"/>
      <c r="E1030" s="42"/>
      <c r="F1030" s="48" t="str">
        <f>IFERROR(__xludf.DUMMYFUNCTION("""COMPUTED_VALUE"""),"")</f>
        <v/>
      </c>
      <c r="G1030" s="42" t="str">
        <f>IFERROR(__xludf.DUMMYFUNCTION("""COMPUTED_VALUE"""),"BN Jual Beli")</f>
        <v>BN Jual Beli</v>
      </c>
      <c r="H1030" s="42">
        <f t="shared" si="1"/>
        <v>505</v>
      </c>
    </row>
    <row r="1031" ht="22.5" customHeight="1">
      <c r="B1031" s="42" t="str">
        <f>IFERROR(__xludf.DUMMYFUNCTION("""COMPUTED_VALUE"""),"K/35/191224/1")</f>
        <v>K/35/191224/1</v>
      </c>
      <c r="C1031" s="42" t="str">
        <f>IFERROR(__xludf.DUMMYFUNCTION("""COMPUTED_VALUE"""),"M. 1416/ Sukamaju")</f>
        <v>M. 1416/ Sukamaju</v>
      </c>
      <c r="D1031" s="42"/>
      <c r="E1031" s="42"/>
      <c r="F1031" s="48" t="str">
        <f>IFERROR(__xludf.DUMMYFUNCTION("""COMPUTED_VALUE"""),"")</f>
        <v/>
      </c>
      <c r="G1031" s="42" t="str">
        <f>IFERROR(__xludf.DUMMYFUNCTION("""COMPUTED_VALUE"""),"BN Jual Beli")</f>
        <v>BN Jual Beli</v>
      </c>
      <c r="H1031" s="42">
        <f t="shared" si="1"/>
        <v>505</v>
      </c>
    </row>
    <row r="1032" ht="22.5" customHeight="1">
      <c r="B1032" s="42" t="str">
        <f>IFERROR(__xludf.DUMMYFUNCTION("""COMPUTED_VALUE"""),"K/40/191224/1")</f>
        <v>K/40/191224/1</v>
      </c>
      <c r="C1032" s="42" t="str">
        <f>IFERROR(__xludf.DUMMYFUNCTION("""COMPUTED_VALUE"""),"M. 1762/ Rajabasa Nunyai")</f>
        <v>M. 1762/ Rajabasa Nunyai</v>
      </c>
      <c r="D1032" s="42"/>
      <c r="E1032" s="42"/>
      <c r="F1032" s="48" t="str">
        <f>IFERROR(__xludf.DUMMYFUNCTION("""COMPUTED_VALUE"""),"")</f>
        <v/>
      </c>
      <c r="G1032" s="42" t="str">
        <f>IFERROR(__xludf.DUMMYFUNCTION("""COMPUTED_VALUE"""),"BN JUAL BELI")</f>
        <v>BN JUAL BELI</v>
      </c>
      <c r="H1032" s="42">
        <f t="shared" si="1"/>
        <v>505</v>
      </c>
    </row>
    <row r="1033" ht="22.5" customHeight="1">
      <c r="B1033" s="42" t="str">
        <f>IFERROR(__xludf.DUMMYFUNCTION("""COMPUTED_VALUE"""),"K/41/191224/1")</f>
        <v>K/41/191224/1</v>
      </c>
      <c r="C1033" s="42" t="str">
        <f>IFERROR(__xludf.DUMMYFUNCTION("""COMPUTED_VALUE"""),"M. 1689/ Rajabasa Raya")</f>
        <v>M. 1689/ Rajabasa Raya</v>
      </c>
      <c r="D1033" s="42"/>
      <c r="E1033" s="42"/>
      <c r="F1033" s="48" t="str">
        <f>IFERROR(__xludf.DUMMYFUNCTION("""COMPUTED_VALUE"""),"")</f>
        <v/>
      </c>
      <c r="G1033" s="42" t="str">
        <f>IFERROR(__xludf.DUMMYFUNCTION("""COMPUTED_VALUE"""),"BN JUAL BELI")</f>
        <v>BN JUAL BELI</v>
      </c>
      <c r="H1033" s="42">
        <f t="shared" si="1"/>
        <v>505</v>
      </c>
    </row>
    <row r="1034" ht="22.5" customHeight="1">
      <c r="B1034" s="42" t="str">
        <f>IFERROR(__xludf.DUMMYFUNCTION("""COMPUTED_VALUE"""),"K/46/191224/1")</f>
        <v>K/46/191224/1</v>
      </c>
      <c r="C1034" s="42" t="str">
        <f>IFERROR(__xludf.DUMMYFUNCTION("""COMPUTED_VALUE"""),"M.11875/SEGALA MIDER")</f>
        <v>M.11875/SEGALA MIDER</v>
      </c>
      <c r="D1034" s="42"/>
      <c r="E1034" s="42"/>
      <c r="F1034" s="48" t="str">
        <f>IFERROR(__xludf.DUMMYFUNCTION("""COMPUTED_VALUE"""),"")</f>
        <v/>
      </c>
      <c r="G1034" s="42" t="str">
        <f>IFERROR(__xludf.DUMMYFUNCTION("""COMPUTED_VALUE"""),"BN JUAL BELI")</f>
        <v>BN JUAL BELI</v>
      </c>
      <c r="H1034" s="42">
        <f t="shared" si="1"/>
        <v>505</v>
      </c>
    </row>
    <row r="1035" ht="22.5" customHeight="1">
      <c r="B1035" s="42" t="str">
        <f>IFERROR(__xludf.DUMMYFUNCTION("""COMPUTED_VALUE"""),"K/47/191224/2")</f>
        <v>K/47/191224/2</v>
      </c>
      <c r="C1035" s="42" t="str">
        <f>IFERROR(__xludf.DUMMYFUNCTION("""COMPUTED_VALUE"""),"M.1891/BERINGIN JAYA")</f>
        <v>M.1891/BERINGIN JAYA</v>
      </c>
      <c r="D1035" s="42"/>
      <c r="E1035" s="42"/>
      <c r="F1035" s="48" t="str">
        <f>IFERROR(__xludf.DUMMYFUNCTION("""COMPUTED_VALUE"""),"")</f>
        <v/>
      </c>
      <c r="G1035" s="42" t="str">
        <f>IFERROR(__xludf.DUMMYFUNCTION("""COMPUTED_VALUE"""),"PEMECAHAN")</f>
        <v>PEMECAHAN</v>
      </c>
      <c r="H1035" s="42">
        <f t="shared" si="1"/>
        <v>505</v>
      </c>
    </row>
    <row r="1036" ht="22.5" customHeight="1">
      <c r="B1036" s="42" t="str">
        <f>IFERROR(__xludf.DUMMYFUNCTION("""COMPUTED_VALUE"""),"K/49/191224/1")</f>
        <v>K/49/191224/1</v>
      </c>
      <c r="C1036" s="42" t="str">
        <f>IFERROR(__xludf.DUMMYFUNCTION("""COMPUTED_VALUE"""),"M. 1025/ Bumi Kedamaian")</f>
        <v>M. 1025/ Bumi Kedamaian</v>
      </c>
      <c r="D1036" s="42"/>
      <c r="E1036" s="42"/>
      <c r="F1036" s="48" t="str">
        <f>IFERROR(__xludf.DUMMYFUNCTION("""COMPUTED_VALUE"""),"")</f>
        <v/>
      </c>
      <c r="G1036" s="42" t="str">
        <f>IFERROR(__xludf.DUMMYFUNCTION("""COMPUTED_VALUE"""),"BN JUAL BELI")</f>
        <v>BN JUAL BELI</v>
      </c>
      <c r="H1036" s="42">
        <f t="shared" si="1"/>
        <v>505</v>
      </c>
    </row>
    <row r="1037" ht="22.5" customHeight="1">
      <c r="B1037" s="42" t="str">
        <f>IFERROR(__xludf.DUMMYFUNCTION("""COMPUTED_VALUE"""),"K/48/191224/3")</f>
        <v>K/48/191224/3</v>
      </c>
      <c r="C1037" s="42" t="str">
        <f>IFERROR(__xludf.DUMMYFUNCTION("""COMPUTED_VALUE"""),"M.2129/GEDONG AIR")</f>
        <v>M.2129/GEDONG AIR</v>
      </c>
      <c r="D1037" s="42"/>
      <c r="E1037" s="42"/>
      <c r="F1037" s="48" t="str">
        <f>IFERROR(__xludf.DUMMYFUNCTION("""COMPUTED_VALUE"""),"")</f>
        <v/>
      </c>
      <c r="G1037" s="42" t="str">
        <f>IFERROR(__xludf.DUMMYFUNCTION("""COMPUTED_VALUE"""),"PEMECAHAN")</f>
        <v>PEMECAHAN</v>
      </c>
      <c r="H1037" s="42">
        <f t="shared" si="1"/>
        <v>505</v>
      </c>
    </row>
    <row r="1038" ht="22.5" customHeight="1">
      <c r="B1038" s="42" t="str">
        <f>IFERROR(__xludf.DUMMYFUNCTION("""COMPUTED_VALUE"""),"K/1/201224/1")</f>
        <v>K/1/201224/1</v>
      </c>
      <c r="C1038" s="42" t="str">
        <f>IFERROR(__xludf.DUMMYFUNCTION("""COMPUTED_VALUE"""),"M. 2463/ Beringin Raya")</f>
        <v>M. 2463/ Beringin Raya</v>
      </c>
      <c r="D1038" s="42"/>
      <c r="E1038" s="42" t="str">
        <f>IFERROR(__xludf.DUMMYFUNCTION("""COMPUTED_VALUE"""),"DISERAHKAN")</f>
        <v>DISERAHKAN</v>
      </c>
      <c r="F1038" s="48">
        <f>IFERROR(__xludf.DUMMYFUNCTION("""COMPUTED_VALUE"""),45666.705789768515)</f>
        <v>45666.70579</v>
      </c>
      <c r="G1038" s="42" t="str">
        <f>IFERROR(__xludf.DUMMYFUNCTION("""COMPUTED_VALUE"""),"BN JUAL BELI")</f>
        <v>BN JUAL BELI</v>
      </c>
      <c r="H1038" s="42">
        <f t="shared" si="1"/>
        <v>506</v>
      </c>
    </row>
    <row r="1039" ht="22.5" customHeight="1">
      <c r="B1039" s="42" t="str">
        <f>IFERROR(__xludf.DUMMYFUNCTION("""COMPUTED_VALUE"""),"K/2/201224/1")</f>
        <v>K/2/201224/1</v>
      </c>
      <c r="C1039" s="42" t="str">
        <f>IFERROR(__xludf.DUMMYFUNCTION("""COMPUTED_VALUE"""),"B. 675/ Sumber Agung")</f>
        <v>B. 675/ Sumber Agung</v>
      </c>
      <c r="D1039" s="42"/>
      <c r="E1039" s="42"/>
      <c r="F1039" s="48" t="str">
        <f>IFERROR(__xludf.DUMMYFUNCTION("""COMPUTED_VALUE"""),"")</f>
        <v/>
      </c>
      <c r="G1039" s="42" t="str">
        <f>IFERROR(__xludf.DUMMYFUNCTION("""COMPUTED_VALUE"""),"BN Jual Beli")</f>
        <v>BN Jual Beli</v>
      </c>
      <c r="H1039" s="42">
        <f t="shared" si="1"/>
        <v>506</v>
      </c>
    </row>
    <row r="1040" ht="22.5" customHeight="1">
      <c r="B1040" s="42" t="str">
        <f>IFERROR(__xludf.DUMMYFUNCTION("""COMPUTED_VALUE"""),"K/3/201224/1")</f>
        <v>K/3/201224/1</v>
      </c>
      <c r="C1040" s="42" t="str">
        <f>IFERROR(__xludf.DUMMYFUNCTION("""COMPUTED_VALUE"""),"M. 12682/ Kedamaian")</f>
        <v>M. 12682/ Kedamaian</v>
      </c>
      <c r="D1040" s="42"/>
      <c r="E1040" s="42" t="str">
        <f>IFERROR(__xludf.DUMMYFUNCTION("""COMPUTED_VALUE"""),"DISERAHKAN")</f>
        <v>DISERAHKAN</v>
      </c>
      <c r="F1040" s="48">
        <f>IFERROR(__xludf.DUMMYFUNCTION("""COMPUTED_VALUE"""),45680.37424578704)</f>
        <v>45680.37425</v>
      </c>
      <c r="G1040" s="42" t="str">
        <f>IFERROR(__xludf.DUMMYFUNCTION("""COMPUTED_VALUE"""),"BN JUAL BELI")</f>
        <v>BN JUAL BELI</v>
      </c>
      <c r="H1040" s="42">
        <f t="shared" si="1"/>
        <v>507</v>
      </c>
    </row>
    <row r="1041" ht="22.5" customHeight="1">
      <c r="B1041" s="42" t="str">
        <f>IFERROR(__xludf.DUMMYFUNCTION("""COMPUTED_VALUE"""),"L/4/201224/1")</f>
        <v>L/4/201224/1</v>
      </c>
      <c r="C1041" s="42" t="str">
        <f>IFERROR(__xludf.DUMMYFUNCTION("""COMPUTED_VALUE"""),"HGB 242/JAGABAYA II")</f>
        <v>HGB 242/JAGABAYA II</v>
      </c>
      <c r="D1041" s="42"/>
      <c r="E1041" s="42"/>
      <c r="F1041" s="48" t="str">
        <f>IFERROR(__xludf.DUMMYFUNCTION("""COMPUTED_VALUE"""),"")</f>
        <v/>
      </c>
      <c r="G1041" s="42" t="str">
        <f>IFERROR(__xludf.DUMMYFUNCTION("""COMPUTED_VALUE"""),"PERTAMA KALI (HGB MATI)")</f>
        <v>PERTAMA KALI (HGB MATI)</v>
      </c>
      <c r="H1041" s="42">
        <f t="shared" si="1"/>
        <v>507</v>
      </c>
    </row>
    <row r="1042" ht="22.5" customHeight="1">
      <c r="B1042" s="42" t="str">
        <f>IFERROR(__xludf.DUMMYFUNCTION("""COMPUTED_VALUE"""),"K/5/201224/1")</f>
        <v>K/5/201224/1</v>
      </c>
      <c r="C1042" s="42" t="str">
        <f>IFERROR(__xludf.DUMMYFUNCTION("""COMPUTED_VALUE"""),"B. 645/ Jagabaya III; B. 4216/ Sukarame-dahulu")</f>
        <v>B. 645/ Jagabaya III; B. 4216/ Sukarame-dahulu</v>
      </c>
      <c r="D1042" s="42"/>
      <c r="E1042" s="42" t="str">
        <f>IFERROR(__xludf.DUMMYFUNCTION("""COMPUTED_VALUE"""),"DISERAHKAN")</f>
        <v>DISERAHKAN</v>
      </c>
      <c r="F1042" s="48">
        <f>IFERROR(__xludf.DUMMYFUNCTION("""COMPUTED_VALUE"""),45671.703139687495)</f>
        <v>45671.70314</v>
      </c>
      <c r="G1042" s="42" t="str">
        <f>IFERROR(__xludf.DUMMYFUNCTION("""COMPUTED_VALUE"""),"Perubahan Hak")</f>
        <v>Perubahan Hak</v>
      </c>
      <c r="H1042" s="42">
        <f t="shared" si="1"/>
        <v>508</v>
      </c>
    </row>
    <row r="1043" ht="22.5" customHeight="1">
      <c r="B1043" s="42" t="str">
        <f>IFERROR(__xludf.DUMMYFUNCTION("""COMPUTED_VALUE"""),"K/6/201224/2")</f>
        <v>K/6/201224/2</v>
      </c>
      <c r="C1043" s="42" t="str">
        <f>IFERROR(__xludf.DUMMYFUNCTION("""COMPUTED_VALUE"""),"Nibel. B. 8291/ Sukabumi")</f>
        <v>Nibel. B. 8291/ Sukabumi</v>
      </c>
      <c r="D1043" s="42"/>
      <c r="E1043" s="42"/>
      <c r="F1043" s="48" t="str">
        <f>IFERROR(__xludf.DUMMYFUNCTION("""COMPUTED_VALUE"""),"")</f>
        <v/>
      </c>
      <c r="G1043" s="42" t="str">
        <f>IFERROR(__xludf.DUMMYFUNCTION("""COMPUTED_VALUE"""),"Perubahan Hak")</f>
        <v>Perubahan Hak</v>
      </c>
      <c r="H1043" s="42">
        <f t="shared" si="1"/>
        <v>508</v>
      </c>
    </row>
    <row r="1044" ht="22.5" customHeight="1">
      <c r="B1044" s="42" t="str">
        <f>IFERROR(__xludf.DUMMYFUNCTION("""COMPUTED_VALUE"""),"K/7/201224/1")</f>
        <v>K/7/201224/1</v>
      </c>
      <c r="C1044" s="42" t="str">
        <f>IFERROR(__xludf.DUMMYFUNCTION("""COMPUTED_VALUE"""),"M. 865/ Tanjung Gading")</f>
        <v>M. 865/ Tanjung Gading</v>
      </c>
      <c r="D1044" s="42"/>
      <c r="E1044" s="42" t="str">
        <f>IFERROR(__xludf.DUMMYFUNCTION("""COMPUTED_VALUE"""),"DISERAHKAN")</f>
        <v>DISERAHKAN</v>
      </c>
      <c r="F1044" s="48">
        <f>IFERROR(__xludf.DUMMYFUNCTION("""COMPUTED_VALUE"""),45741.52592716435)</f>
        <v>45741.52593</v>
      </c>
      <c r="G1044" s="42" t="str">
        <f>IFERROR(__xludf.DUMMYFUNCTION("""COMPUTED_VALUE"""),"ROYA")</f>
        <v>ROYA</v>
      </c>
      <c r="H1044" s="42">
        <f t="shared" si="1"/>
        <v>509</v>
      </c>
    </row>
    <row r="1045" ht="22.5" customHeight="1">
      <c r="B1045" s="42" t="str">
        <f>IFERROR(__xludf.DUMMYFUNCTION("""COMPUTED_VALUE"""),"K/15/201224/1")</f>
        <v>K/15/201224/1</v>
      </c>
      <c r="C1045" s="42" t="str">
        <f>IFERROR(__xludf.DUMMYFUNCTION("""COMPUTED_VALUE"""),"B. 1001/ Campang Jaya")</f>
        <v>B. 1001/ Campang Jaya</v>
      </c>
      <c r="D1045" s="42"/>
      <c r="E1045" s="42" t="str">
        <f>IFERROR(__xludf.DUMMYFUNCTION("""COMPUTED_VALUE"""),"DISERAHKAN")</f>
        <v>DISERAHKAN</v>
      </c>
      <c r="F1045" s="48">
        <f>IFERROR(__xludf.DUMMYFUNCTION("""COMPUTED_VALUE"""),45666.705789768515)</f>
        <v>45666.70579</v>
      </c>
      <c r="G1045" s="42" t="str">
        <f>IFERROR(__xludf.DUMMYFUNCTION("""COMPUTED_VALUE"""),"BN Jual Beli")</f>
        <v>BN Jual Beli</v>
      </c>
      <c r="H1045" s="42">
        <f t="shared" si="1"/>
        <v>510</v>
      </c>
    </row>
    <row r="1046" ht="22.5" customHeight="1">
      <c r="B1046" s="42" t="str">
        <f>IFERROR(__xludf.DUMMYFUNCTION("""COMPUTED_VALUE"""),"K/16/201224/2")</f>
        <v>K/16/201224/2</v>
      </c>
      <c r="C1046" s="42" t="str">
        <f>IFERROR(__xludf.DUMMYFUNCTION("""COMPUTED_VALUE"""),"M. 1986/ Gunung Terang")</f>
        <v>M. 1986/ Gunung Terang</v>
      </c>
      <c r="D1046" s="42"/>
      <c r="E1046" s="42"/>
      <c r="F1046" s="48" t="str">
        <f>IFERROR(__xludf.DUMMYFUNCTION("""COMPUTED_VALUE"""),"")</f>
        <v/>
      </c>
      <c r="G1046" s="42" t="str">
        <f>IFERROR(__xludf.DUMMYFUNCTION("""COMPUTED_VALUE"""),"BN Jual Beli")</f>
        <v>BN Jual Beli</v>
      </c>
      <c r="H1046" s="42">
        <f t="shared" si="1"/>
        <v>510</v>
      </c>
    </row>
    <row r="1047" ht="22.5" customHeight="1">
      <c r="B1047" s="42" t="str">
        <f>IFERROR(__xludf.DUMMYFUNCTION("""COMPUTED_VALUE"""),"L/19/201224/1")</f>
        <v>L/19/201224/1</v>
      </c>
      <c r="C1047" s="42" t="str">
        <f>IFERROR(__xludf.DUMMYFUNCTION("""COMPUTED_VALUE"""),"HM 11633/SUKABUMI")</f>
        <v>HM 11633/SUKABUMI</v>
      </c>
      <c r="D1047" s="42"/>
      <c r="E1047" s="42"/>
      <c r="F1047" s="48" t="str">
        <f>IFERROR(__xludf.DUMMYFUNCTION("""COMPUTED_VALUE"""),"")</f>
        <v/>
      </c>
      <c r="G1047" s="42" t="str">
        <f>IFERROR(__xludf.DUMMYFUNCTION("""COMPUTED_VALUE"""),"PTPGT")</f>
        <v>PTPGT</v>
      </c>
      <c r="H1047" s="42">
        <f t="shared" si="1"/>
        <v>510</v>
      </c>
    </row>
    <row r="1048" ht="22.5" customHeight="1">
      <c r="B1048" s="42" t="str">
        <f>IFERROR(__xludf.DUMMYFUNCTION("""COMPUTED_VALUE"""),"K/21/201224/1")</f>
        <v>K/21/201224/1</v>
      </c>
      <c r="C1048" s="42" t="str">
        <f>IFERROR(__xludf.DUMMYFUNCTION("""COMPUTED_VALUE"""),"M. 234/ Sukarame II")</f>
        <v>M. 234/ Sukarame II</v>
      </c>
      <c r="D1048" s="42"/>
      <c r="E1048" s="42"/>
      <c r="F1048" s="48" t="str">
        <f>IFERROR(__xludf.DUMMYFUNCTION("""COMPUTED_VALUE"""),"")</f>
        <v/>
      </c>
      <c r="G1048" s="42" t="str">
        <f>IFERROR(__xludf.DUMMYFUNCTION("""COMPUTED_VALUE"""),"PTPGT (Pemisahan)")</f>
        <v>PTPGT (Pemisahan)</v>
      </c>
      <c r="H1048" s="42">
        <f t="shared" si="1"/>
        <v>510</v>
      </c>
    </row>
    <row r="1049" ht="22.5" customHeight="1">
      <c r="B1049" s="42" t="str">
        <f>IFERROR(__xludf.DUMMYFUNCTION("""COMPUTED_VALUE"""),"K/22/201224/1")</f>
        <v>K/22/201224/1</v>
      </c>
      <c r="C1049" s="42" t="str">
        <f>IFERROR(__xludf.DUMMYFUNCTION("""COMPUTED_VALUE"""),"M. 14704/ Sukarame")</f>
        <v>M. 14704/ Sukarame</v>
      </c>
      <c r="D1049" s="42"/>
      <c r="E1049" s="42"/>
      <c r="F1049" s="48" t="str">
        <f>IFERROR(__xludf.DUMMYFUNCTION("""COMPUTED_VALUE"""),"")</f>
        <v/>
      </c>
      <c r="G1049" s="42" t="str">
        <f>IFERROR(__xludf.DUMMYFUNCTION("""COMPUTED_VALUE"""),"BN JUAL BELI")</f>
        <v>BN JUAL BELI</v>
      </c>
      <c r="H1049" s="42">
        <f t="shared" si="1"/>
        <v>510</v>
      </c>
    </row>
    <row r="1050" ht="22.5" customHeight="1">
      <c r="B1050" s="42" t="str">
        <f>IFERROR(__xludf.DUMMYFUNCTION("""COMPUTED_VALUE"""),"K/24/201224/1")</f>
        <v>K/24/201224/1</v>
      </c>
      <c r="C1050" s="42" t="str">
        <f>IFERROR(__xludf.DUMMYFUNCTION("""COMPUTED_VALUE"""),"Nibel 3696/ Beringin Raya")</f>
        <v>Nibel 3696/ Beringin Raya</v>
      </c>
      <c r="D1050" s="42"/>
      <c r="E1050" s="42"/>
      <c r="F1050" s="48" t="str">
        <f>IFERROR(__xludf.DUMMYFUNCTION("""COMPUTED_VALUE"""),"")</f>
        <v/>
      </c>
      <c r="G1050" s="42" t="str">
        <f>IFERROR(__xludf.DUMMYFUNCTION("""COMPUTED_VALUE"""),"GANTI KELURAHAN")</f>
        <v>GANTI KELURAHAN</v>
      </c>
      <c r="H1050" s="42">
        <f t="shared" si="1"/>
        <v>510</v>
      </c>
    </row>
    <row r="1051" ht="22.5" customHeight="1">
      <c r="B1051" s="42" t="str">
        <f>IFERROR(__xludf.DUMMYFUNCTION("""COMPUTED_VALUE"""),"K/25/201224/1")</f>
        <v>K/25/201224/1</v>
      </c>
      <c r="C1051" s="42" t="str">
        <f>IFERROR(__xludf.DUMMYFUNCTION("""COMPUTED_VALUE"""),"Nibel 2558/ Pesawahan")</f>
        <v>Nibel 2558/ Pesawahan</v>
      </c>
      <c r="D1051" s="42"/>
      <c r="E1051" s="42"/>
      <c r="F1051" s="48" t="str">
        <f>IFERROR(__xludf.DUMMYFUNCTION("""COMPUTED_VALUE"""),"")</f>
        <v/>
      </c>
      <c r="G1051" s="42" t="str">
        <f>IFERROR(__xludf.DUMMYFUNCTION("""COMPUTED_VALUE"""),"SKPT LELANG")</f>
        <v>SKPT LELANG</v>
      </c>
      <c r="H1051" s="42">
        <f t="shared" si="1"/>
        <v>510</v>
      </c>
    </row>
    <row r="1052" ht="22.5" customHeight="1">
      <c r="B1052" s="42" t="str">
        <f>IFERROR(__xludf.DUMMYFUNCTION("""COMPUTED_VALUE"""),"K/26/201224/2")</f>
        <v>K/26/201224/2</v>
      </c>
      <c r="C1052" s="42" t="str">
        <f>IFERROR(__xludf.DUMMYFUNCTION("""COMPUTED_VALUE"""),"M. 15531/ Sukabumi")</f>
        <v>M. 15531/ Sukabumi</v>
      </c>
      <c r="D1052" s="42"/>
      <c r="E1052" s="42"/>
      <c r="F1052" s="48" t="str">
        <f>IFERROR(__xludf.DUMMYFUNCTION("""COMPUTED_VALUE"""),"")</f>
        <v/>
      </c>
      <c r="G1052" s="42" t="str">
        <f>IFERROR(__xludf.DUMMYFUNCTION("""COMPUTED_VALUE"""),"BN JUAL BELI")</f>
        <v>BN JUAL BELI</v>
      </c>
      <c r="H1052" s="42">
        <f t="shared" si="1"/>
        <v>510</v>
      </c>
    </row>
    <row r="1053" ht="22.5" customHeight="1">
      <c r="B1053" s="42" t="str">
        <f>IFERROR(__xludf.DUMMYFUNCTION("""COMPUTED_VALUE"""),"L/28/201224/1")</f>
        <v>L/28/201224/1</v>
      </c>
      <c r="C1053" s="42" t="str">
        <f>IFERROR(__xludf.DUMMYFUNCTION("""COMPUTED_VALUE"""),"HM 1090/KEDAUNG")</f>
        <v>HM 1090/KEDAUNG</v>
      </c>
      <c r="D1053" s="42"/>
      <c r="E1053" s="42"/>
      <c r="F1053" s="48" t="str">
        <f>IFERROR(__xludf.DUMMYFUNCTION("""COMPUTED_VALUE"""),"")</f>
        <v/>
      </c>
      <c r="G1053" s="42" t="str">
        <f>IFERROR(__xludf.DUMMYFUNCTION("""COMPUTED_VALUE"""),"BN JUAL - BELI")</f>
        <v>BN JUAL - BELI</v>
      </c>
      <c r="H1053" s="42">
        <f t="shared" si="1"/>
        <v>510</v>
      </c>
    </row>
    <row r="1054" ht="22.5" customHeight="1">
      <c r="B1054" s="42" t="str">
        <f>IFERROR(__xludf.DUMMYFUNCTION("""COMPUTED_VALUE"""),"K/27/201224/3")</f>
        <v>K/27/201224/3</v>
      </c>
      <c r="C1054" s="42" t="str">
        <f>IFERROR(__xludf.DUMMYFUNCTION("""COMPUTED_VALUE"""),"M. 1765/ Rajabasa Nunyai")</f>
        <v>M. 1765/ Rajabasa Nunyai</v>
      </c>
      <c r="D1054" s="42"/>
      <c r="E1054" s="42"/>
      <c r="F1054" s="48" t="str">
        <f>IFERROR(__xludf.DUMMYFUNCTION("""COMPUTED_VALUE"""),"")</f>
        <v/>
      </c>
      <c r="G1054" s="42" t="str">
        <f>IFERROR(__xludf.DUMMYFUNCTION("""COMPUTED_VALUE"""),"BN JUAL BELI")</f>
        <v>BN JUAL BELI</v>
      </c>
      <c r="H1054" s="42">
        <f t="shared" si="1"/>
        <v>510</v>
      </c>
    </row>
    <row r="1055" ht="22.5" customHeight="1">
      <c r="B1055" s="42" t="str">
        <f>IFERROR(__xludf.DUMMYFUNCTION("""COMPUTED_VALUE"""),"K/23/201224/1")</f>
        <v>K/23/201224/1</v>
      </c>
      <c r="C1055" s="42" t="str">
        <f>IFERROR(__xludf.DUMMYFUNCTION("""COMPUTED_VALUE"""),"B.71/SUKARAJA")</f>
        <v>B.71/SUKARAJA</v>
      </c>
      <c r="D1055" s="42"/>
      <c r="E1055" s="42"/>
      <c r="F1055" s="48" t="str">
        <f>IFERROR(__xludf.DUMMYFUNCTION("""COMPUTED_VALUE"""),"")</f>
        <v/>
      </c>
      <c r="G1055" s="42" t="str">
        <f>IFERROR(__xludf.DUMMYFUNCTION("""COMPUTED_VALUE"""),"BLOKIR")</f>
        <v>BLOKIR</v>
      </c>
      <c r="H1055" s="42">
        <f t="shared" si="1"/>
        <v>510</v>
      </c>
    </row>
    <row r="1056" ht="22.5" customHeight="1">
      <c r="B1056" s="42" t="str">
        <f>IFERROR(__xludf.DUMMYFUNCTION("""COMPUTED_VALUE"""),"K/33/201224/1")</f>
        <v>K/33/201224/1</v>
      </c>
      <c r="C1056" s="42" t="str">
        <f>IFERROR(__xludf.DUMMYFUNCTION("""COMPUTED_VALUE"""),"NIBEL M. 2592/ BERINGIN RAYA")</f>
        <v>NIBEL M. 2592/ BERINGIN RAYA</v>
      </c>
      <c r="D1056" s="42"/>
      <c r="E1056" s="42"/>
      <c r="F1056" s="48" t="str">
        <f>IFERROR(__xludf.DUMMYFUNCTION("""COMPUTED_VALUE"""),"")</f>
        <v/>
      </c>
      <c r="G1056" s="42" t="str">
        <f>IFERROR(__xludf.DUMMYFUNCTION("""COMPUTED_VALUE"""),"BN JUAL BELI")</f>
        <v>BN JUAL BELI</v>
      </c>
      <c r="H1056" s="42">
        <f t="shared" si="1"/>
        <v>510</v>
      </c>
    </row>
    <row r="1057" ht="22.5" customHeight="1">
      <c r="B1057" s="42" t="str">
        <f>IFERROR(__xludf.DUMMYFUNCTION("""COMPUTED_VALUE"""),"L/34/201224/1")</f>
        <v>L/34/201224/1</v>
      </c>
      <c r="C1057" s="42" t="str">
        <f>IFERROR(__xludf.DUMMYFUNCTION("""COMPUTED_VALUE"""),"HM 2460/KEMILING PERMAI")</f>
        <v>HM 2460/KEMILING PERMAI</v>
      </c>
      <c r="D1057" s="42"/>
      <c r="E1057" s="42" t="str">
        <f>IFERROR(__xludf.DUMMYFUNCTION("""COMPUTED_VALUE"""),"DISERAHKAN")</f>
        <v>DISERAHKAN</v>
      </c>
      <c r="F1057" s="48">
        <f>IFERROR(__xludf.DUMMYFUNCTION("""COMPUTED_VALUE"""),45763.43861981481)</f>
        <v>45763.43862</v>
      </c>
      <c r="G1057" s="42" t="str">
        <f>IFERROR(__xludf.DUMMYFUNCTION("""COMPUTED_VALUE"""),"ROYA")</f>
        <v>ROYA</v>
      </c>
      <c r="H1057" s="42">
        <f t="shared" si="1"/>
        <v>511</v>
      </c>
    </row>
    <row r="1058" ht="22.5" customHeight="1">
      <c r="B1058" s="42" t="str">
        <f>IFERROR(__xludf.DUMMYFUNCTION("""COMPUTED_VALUE"""),"K/29/201224/1")</f>
        <v>K/29/201224/1</v>
      </c>
      <c r="C1058" s="42" t="str">
        <f>IFERROR(__xludf.DUMMYFUNCTION("""COMPUTED_VALUE"""),"M. 487/ Kupang Teba")</f>
        <v>M. 487/ Kupang Teba</v>
      </c>
      <c r="D1058" s="42"/>
      <c r="E1058" s="42"/>
      <c r="F1058" s="48" t="str">
        <f>IFERROR(__xludf.DUMMYFUNCTION("""COMPUTED_VALUE"""),"")</f>
        <v/>
      </c>
      <c r="G1058" s="42" t="str">
        <f>IFERROR(__xludf.DUMMYFUNCTION("""COMPUTED_VALUE"""),"BN Hibah")</f>
        <v>BN Hibah</v>
      </c>
      <c r="H1058" s="42">
        <f t="shared" si="1"/>
        <v>511</v>
      </c>
    </row>
    <row r="1059" ht="22.5" customHeight="1">
      <c r="B1059" s="42" t="str">
        <f>IFERROR(__xludf.DUMMYFUNCTION("""COMPUTED_VALUE"""),"K/30/201224/2")</f>
        <v>K/30/201224/2</v>
      </c>
      <c r="C1059" s="42" t="str">
        <f>IFERROR(__xludf.DUMMYFUNCTION("""COMPUTED_VALUE"""),"M. 1164/ Kupang Teba")</f>
        <v>M. 1164/ Kupang Teba</v>
      </c>
      <c r="D1059" s="42"/>
      <c r="E1059" s="42"/>
      <c r="F1059" s="48" t="str">
        <f>IFERROR(__xludf.DUMMYFUNCTION("""COMPUTED_VALUE"""),"")</f>
        <v/>
      </c>
      <c r="G1059" s="42" t="str">
        <f>IFERROR(__xludf.DUMMYFUNCTION("""COMPUTED_VALUE"""),"BN Hibah")</f>
        <v>BN Hibah</v>
      </c>
      <c r="H1059" s="42">
        <f t="shared" si="1"/>
        <v>511</v>
      </c>
    </row>
    <row r="1060" ht="22.5" customHeight="1">
      <c r="B1060" s="42" t="str">
        <f>IFERROR(__xludf.DUMMYFUNCTION("""COMPUTED_VALUE"""),"K/31/201224/3")</f>
        <v>K/31/201224/3</v>
      </c>
      <c r="C1060" s="42" t="str">
        <f>IFERROR(__xludf.DUMMYFUNCTION("""COMPUTED_VALUE"""),"M. 339/ Pesawahan")</f>
        <v>M. 339/ Pesawahan</v>
      </c>
      <c r="D1060" s="42"/>
      <c r="E1060" s="42"/>
      <c r="F1060" s="48" t="str">
        <f>IFERROR(__xludf.DUMMYFUNCTION("""COMPUTED_VALUE"""),"")</f>
        <v/>
      </c>
      <c r="G1060" s="42" t="str">
        <f>IFERROR(__xludf.DUMMYFUNCTION("""COMPUTED_VALUE"""),"BN Waris")</f>
        <v>BN Waris</v>
      </c>
      <c r="H1060" s="42">
        <f t="shared" si="1"/>
        <v>511</v>
      </c>
    </row>
    <row r="1061" ht="22.5" customHeight="1">
      <c r="B1061" s="42" t="str">
        <f>IFERROR(__xludf.DUMMYFUNCTION("""COMPUTED_VALUE"""),"K/32/201224/4")</f>
        <v>K/32/201224/4</v>
      </c>
      <c r="C1061" s="42" t="str">
        <f>IFERROR(__xludf.DUMMYFUNCTION("""COMPUTED_VALUE"""),"B. 599/ Pesawahan")</f>
        <v>B. 599/ Pesawahan</v>
      </c>
      <c r="D1061" s="42"/>
      <c r="E1061" s="42"/>
      <c r="F1061" s="48" t="str">
        <f>IFERROR(__xludf.DUMMYFUNCTION("""COMPUTED_VALUE"""),"")</f>
        <v/>
      </c>
      <c r="G1061" s="42" t="str">
        <f>IFERROR(__xludf.DUMMYFUNCTION("""COMPUTED_VALUE"""),"BN Waris")</f>
        <v>BN Waris</v>
      </c>
      <c r="H1061" s="42">
        <f t="shared" si="1"/>
        <v>511</v>
      </c>
    </row>
    <row r="1062" ht="22.5" customHeight="1">
      <c r="B1062" s="42" t="str">
        <f>IFERROR(__xludf.DUMMYFUNCTION("""COMPUTED_VALUE"""),"K/36/201224/1")</f>
        <v>K/36/201224/1</v>
      </c>
      <c r="C1062" s="42" t="str">
        <f>IFERROR(__xludf.DUMMYFUNCTION("""COMPUTED_VALUE"""),"B.1205/SUKABUMI INDAH")</f>
        <v>B.1205/SUKABUMI INDAH</v>
      </c>
      <c r="D1062" s="42"/>
      <c r="E1062" s="42"/>
      <c r="F1062" s="48" t="str">
        <f>IFERROR(__xludf.DUMMYFUNCTION("""COMPUTED_VALUE"""),"")</f>
        <v/>
      </c>
      <c r="G1062" s="42" t="str">
        <f>IFERROR(__xludf.DUMMYFUNCTION("""COMPUTED_VALUE"""),"PENINGKATAN HAK")</f>
        <v>PENINGKATAN HAK</v>
      </c>
      <c r="H1062" s="42">
        <f t="shared" si="1"/>
        <v>511</v>
      </c>
    </row>
    <row r="1063" ht="22.5" customHeight="1">
      <c r="B1063" s="42" t="str">
        <f>IFERROR(__xludf.DUMMYFUNCTION("""COMPUTED_VALUE"""),"L/37/201224/1")</f>
        <v>L/37/201224/1</v>
      </c>
      <c r="C1063" s="42" t="str">
        <f>IFERROR(__xludf.DUMMYFUNCTION("""COMPUTED_VALUE"""),"HM 724/GOTONG ROYONG")</f>
        <v>HM 724/GOTONG ROYONG</v>
      </c>
      <c r="D1063" s="42"/>
      <c r="E1063" s="42"/>
      <c r="F1063" s="48" t="str">
        <f>IFERROR(__xludf.DUMMYFUNCTION("""COMPUTED_VALUE"""),"")</f>
        <v/>
      </c>
      <c r="G1063" s="42" t="str">
        <f>IFERROR(__xludf.DUMMYFUNCTION("""COMPUTED_VALUE"""),"BLOKIR")</f>
        <v>BLOKIR</v>
      </c>
      <c r="H1063" s="42">
        <f t="shared" si="1"/>
        <v>511</v>
      </c>
    </row>
    <row r="1064" ht="22.5" customHeight="1">
      <c r="B1064" s="42" t="str">
        <f>IFERROR(__xludf.DUMMYFUNCTION("""COMPUTED_VALUE"""),"L/38/201224/2")</f>
        <v>L/38/201224/2</v>
      </c>
      <c r="C1064" s="42" t="str">
        <f>IFERROR(__xludf.DUMMYFUNCTION("""COMPUTED_VALUE"""),"HM 723/GOTONG ROYONG")</f>
        <v>HM 723/GOTONG ROYONG</v>
      </c>
      <c r="D1064" s="42"/>
      <c r="E1064" s="42"/>
      <c r="F1064" s="48" t="str">
        <f>IFERROR(__xludf.DUMMYFUNCTION("""COMPUTED_VALUE"""),"")</f>
        <v/>
      </c>
      <c r="G1064" s="42" t="str">
        <f>IFERROR(__xludf.DUMMYFUNCTION("""COMPUTED_VALUE"""),"BLOKIR")</f>
        <v>BLOKIR</v>
      </c>
      <c r="H1064" s="42">
        <f t="shared" si="1"/>
        <v>511</v>
      </c>
    </row>
    <row r="1065" ht="22.5" customHeight="1">
      <c r="B1065" s="42" t="str">
        <f>IFERROR(__xludf.DUMMYFUNCTION("""COMPUTED_VALUE"""),"L/35/201224/1")</f>
        <v>L/35/201224/1</v>
      </c>
      <c r="C1065" s="42" t="str">
        <f>IFERROR(__xludf.DUMMYFUNCTION("""COMPUTED_VALUE"""),"HM 378/SUMUR PUTRI")</f>
        <v>HM 378/SUMUR PUTRI</v>
      </c>
      <c r="D1065" s="42"/>
      <c r="E1065" s="42" t="str">
        <f>IFERROR(__xludf.DUMMYFUNCTION("""COMPUTED_VALUE"""),"DISERAHKAN")</f>
        <v>DISERAHKAN</v>
      </c>
      <c r="F1065" s="48">
        <f>IFERROR(__xludf.DUMMYFUNCTION("""COMPUTED_VALUE"""),45694.623721157404)</f>
        <v>45694.62372</v>
      </c>
      <c r="G1065" s="42" t="str">
        <f>IFERROR(__xludf.DUMMYFUNCTION("""COMPUTED_VALUE"""),"ROYA")</f>
        <v>ROYA</v>
      </c>
      <c r="H1065" s="42">
        <f t="shared" si="1"/>
        <v>512</v>
      </c>
    </row>
    <row r="1066" ht="22.5" customHeight="1">
      <c r="B1066" s="42" t="str">
        <f>IFERROR(__xludf.DUMMYFUNCTION("""COMPUTED_VALUE"""),"K/39/201224/1")</f>
        <v>K/39/201224/1</v>
      </c>
      <c r="C1066" s="42" t="str">
        <f>IFERROR(__xludf.DUMMYFUNCTION("""COMPUTED_VALUE"""),"Nibel. B. 3053/ Sukarame Baru")</f>
        <v>Nibel. B. 3053/ Sukarame Baru</v>
      </c>
      <c r="D1066" s="42"/>
      <c r="E1066" s="42"/>
      <c r="F1066" s="48" t="str">
        <f>IFERROR(__xludf.DUMMYFUNCTION("""COMPUTED_VALUE"""),"")</f>
        <v/>
      </c>
      <c r="G1066" s="42" t="str">
        <f>IFERROR(__xludf.DUMMYFUNCTION("""COMPUTED_VALUE"""),"Perubahan Hak")</f>
        <v>Perubahan Hak</v>
      </c>
      <c r="H1066" s="42">
        <f t="shared" si="1"/>
        <v>512</v>
      </c>
    </row>
    <row r="1067" ht="22.5" customHeight="1">
      <c r="B1067" s="42" t="str">
        <f>IFERROR(__xludf.DUMMYFUNCTION("""COMPUTED_VALUE"""),"L/1/211224/1")</f>
        <v>L/1/211224/1</v>
      </c>
      <c r="C1067" s="42" t="str">
        <f>IFERROR(__xludf.DUMMYFUNCTION("""COMPUTED_VALUE"""),"M.5859/GUNUNG SULAH")</f>
        <v>M.5859/GUNUNG SULAH</v>
      </c>
      <c r="D1067" s="42"/>
      <c r="E1067" s="42"/>
      <c r="F1067" s="48" t="str">
        <f>IFERROR(__xludf.DUMMYFUNCTION("""COMPUTED_VALUE"""),"")</f>
        <v/>
      </c>
      <c r="G1067" s="42" t="str">
        <f>IFERROR(__xludf.DUMMYFUNCTION("""COMPUTED_VALUE"""),"GANDES")</f>
        <v>GANDES</v>
      </c>
      <c r="H1067" s="42">
        <f t="shared" si="1"/>
        <v>512</v>
      </c>
    </row>
    <row r="1068" ht="22.5" customHeight="1">
      <c r="B1068" s="42" t="str">
        <f>IFERROR(__xludf.DUMMYFUNCTION("""COMPUTED_VALUE"""),"L/1/221224/PELATARAN")</f>
        <v>L/1/221224/PELATARAN</v>
      </c>
      <c r="C1068" s="42" t="str">
        <f>IFERROR(__xludf.DUMMYFUNCTION("""COMPUTED_VALUE"""),"M.17032/SUKARAME I-SEKARANG;B.4078/SUKARAME I-DAHULU;")</f>
        <v>M.17032/SUKARAME I-SEKARANG;B.4078/SUKARAME I-DAHULU;</v>
      </c>
      <c r="D1068" s="42"/>
      <c r="E1068" s="42" t="str">
        <f>IFERROR(__xludf.DUMMYFUNCTION("""COMPUTED_VALUE"""),"DISERAHKAN")</f>
        <v>DISERAHKAN</v>
      </c>
      <c r="F1068" s="48">
        <f>IFERROR(__xludf.DUMMYFUNCTION("""COMPUTED_VALUE"""),45758.48814324074)</f>
        <v>45758.48814</v>
      </c>
      <c r="G1068" s="42" t="str">
        <f>IFERROR(__xludf.DUMMYFUNCTION("""COMPUTED_VALUE"""),"ROYA")</f>
        <v>ROYA</v>
      </c>
      <c r="H1068" s="42">
        <f t="shared" si="1"/>
        <v>513</v>
      </c>
    </row>
    <row r="1069" ht="22.5" customHeight="1">
      <c r="B1069" s="42" t="str">
        <f>IFERROR(__xludf.DUMMYFUNCTION("""COMPUTED_VALUE"""),"K/1/231224/1")</f>
        <v>K/1/231224/1</v>
      </c>
      <c r="C1069" s="42" t="str">
        <f>IFERROR(__xludf.DUMMYFUNCTION("""COMPUTED_VALUE"""),"M. 224/ Tanjungraya")</f>
        <v>M. 224/ Tanjungraya</v>
      </c>
      <c r="D1069" s="42"/>
      <c r="E1069" s="42"/>
      <c r="F1069" s="48" t="str">
        <f>IFERROR(__xludf.DUMMYFUNCTION("""COMPUTED_VALUE"""),"")</f>
        <v/>
      </c>
      <c r="G1069" s="42" t="str">
        <f>IFERROR(__xludf.DUMMYFUNCTION("""COMPUTED_VALUE"""),"BN JUAL BELI")</f>
        <v>BN JUAL BELI</v>
      </c>
      <c r="H1069" s="42">
        <f t="shared" si="1"/>
        <v>513</v>
      </c>
    </row>
    <row r="1070" ht="22.5" customHeight="1">
      <c r="B1070" s="42" t="str">
        <f>IFERROR(__xludf.DUMMYFUNCTION("""COMPUTED_VALUE"""),"K/2/231224/1")</f>
        <v>K/2/231224/1</v>
      </c>
      <c r="C1070" s="42" t="str">
        <f>IFERROR(__xludf.DUMMYFUNCTION("""COMPUTED_VALUE"""),"M. 293/ Pahoman")</f>
        <v>M. 293/ Pahoman</v>
      </c>
      <c r="D1070" s="42"/>
      <c r="E1070" s="42" t="str">
        <f>IFERROR(__xludf.DUMMYFUNCTION("""COMPUTED_VALUE"""),"DISERAHKAN")</f>
        <v>DISERAHKAN</v>
      </c>
      <c r="F1070" s="48">
        <f>IFERROR(__xludf.DUMMYFUNCTION("""COMPUTED_VALUE"""),45700.43277575231)</f>
        <v>45700.43278</v>
      </c>
      <c r="G1070" s="42" t="str">
        <f>IFERROR(__xludf.DUMMYFUNCTION("""COMPUTED_VALUE"""),"Roya")</f>
        <v>Roya</v>
      </c>
      <c r="H1070" s="42">
        <f t="shared" si="1"/>
        <v>514</v>
      </c>
    </row>
    <row r="1071" ht="22.5" customHeight="1">
      <c r="B1071" s="42" t="str">
        <f>IFERROR(__xludf.DUMMYFUNCTION("""COMPUTED_VALUE"""),"K/3/231224/1")</f>
        <v>K/3/231224/1</v>
      </c>
      <c r="C1071" s="42" t="str">
        <f>IFERROR(__xludf.DUMMYFUNCTION("""COMPUTED_VALUE"""),"M.1208/SUKADANAHAM")</f>
        <v>M.1208/SUKADANAHAM</v>
      </c>
      <c r="D1071" s="42"/>
      <c r="E1071" s="42"/>
      <c r="F1071" s="48" t="str">
        <f>IFERROR(__xludf.DUMMYFUNCTION("""COMPUTED_VALUE"""),"")</f>
        <v/>
      </c>
      <c r="G1071" s="42" t="str">
        <f>IFERROR(__xludf.DUMMYFUNCTION("""COMPUTED_VALUE"""),"SERTIPIKAT HILANG")</f>
        <v>SERTIPIKAT HILANG</v>
      </c>
      <c r="H1071" s="42">
        <f t="shared" si="1"/>
        <v>514</v>
      </c>
    </row>
    <row r="1072" ht="22.5" customHeight="1">
      <c r="B1072" s="42" t="str">
        <f>IFERROR(__xludf.DUMMYFUNCTION("""COMPUTED_VALUE"""),"L/4/231224/1")</f>
        <v>L/4/231224/1</v>
      </c>
      <c r="C1072" s="42" t="str">
        <f>IFERROR(__xludf.DUMMYFUNCTION("""COMPUTED_VALUE"""),"HM 12528/RAJABASA")</f>
        <v>HM 12528/RAJABASA</v>
      </c>
      <c r="D1072" s="42"/>
      <c r="E1072" s="42"/>
      <c r="F1072" s="48" t="str">
        <f>IFERROR(__xludf.DUMMYFUNCTION("""COMPUTED_VALUE"""),"")</f>
        <v/>
      </c>
      <c r="G1072" s="42" t="str">
        <f>IFERROR(__xludf.DUMMYFUNCTION("""COMPUTED_VALUE"""),"ROYA")</f>
        <v>ROYA</v>
      </c>
      <c r="H1072" s="42">
        <f t="shared" si="1"/>
        <v>514</v>
      </c>
    </row>
    <row r="1073" ht="22.5" customHeight="1">
      <c r="B1073" s="42" t="str">
        <f>IFERROR(__xludf.DUMMYFUNCTION("""COMPUTED_VALUE"""),"L/5/231224/1")</f>
        <v>L/5/231224/1</v>
      </c>
      <c r="C1073" s="42" t="str">
        <f>IFERROR(__xludf.DUMMYFUNCTION("""COMPUTED_VALUE"""),"HM 739/RAJABASA NUNYAI")</f>
        <v>HM 739/RAJABASA NUNYAI</v>
      </c>
      <c r="D1073" s="42"/>
      <c r="E1073" s="42" t="str">
        <f>IFERROR(__xludf.DUMMYFUNCTION("""COMPUTED_VALUE"""),"DISERAHKAN")</f>
        <v>DISERAHKAN</v>
      </c>
      <c r="F1073" s="48">
        <f>IFERROR(__xludf.DUMMYFUNCTION("""COMPUTED_VALUE"""),45763.43940016204)</f>
        <v>45763.4394</v>
      </c>
      <c r="G1073" s="42" t="str">
        <f>IFERROR(__xludf.DUMMYFUNCTION("""COMPUTED_VALUE"""),"ROYA")</f>
        <v>ROYA</v>
      </c>
      <c r="H1073" s="42">
        <f t="shared" si="1"/>
        <v>515</v>
      </c>
    </row>
    <row r="1074" ht="22.5" customHeight="1">
      <c r="B1074" s="42" t="str">
        <f>IFERROR(__xludf.DUMMYFUNCTION("""COMPUTED_VALUE"""),"K/6/231224/1")</f>
        <v>K/6/231224/1</v>
      </c>
      <c r="C1074" s="42" t="str">
        <f>IFERROR(__xludf.DUMMYFUNCTION("""COMPUTED_VALUE"""),"B. 867/ Pesawahan")</f>
        <v>B. 867/ Pesawahan</v>
      </c>
      <c r="D1074" s="42"/>
      <c r="E1074" s="42" t="str">
        <f>IFERROR(__xludf.DUMMYFUNCTION("""COMPUTED_VALUE"""),"DISERAHKAN")</f>
        <v>DISERAHKAN</v>
      </c>
      <c r="F1074" s="48">
        <f>IFERROR(__xludf.DUMMYFUNCTION("""COMPUTED_VALUE"""),45691.62744939815)</f>
        <v>45691.62745</v>
      </c>
      <c r="G1074" s="42" t="str">
        <f>IFERROR(__xludf.DUMMYFUNCTION("""COMPUTED_VALUE"""),"ROYA")</f>
        <v>ROYA</v>
      </c>
      <c r="H1074" s="42">
        <f t="shared" si="1"/>
        <v>516</v>
      </c>
    </row>
    <row r="1075" ht="22.5" customHeight="1">
      <c r="B1075" s="42" t="str">
        <f>IFERROR(__xludf.DUMMYFUNCTION("""COMPUTED_VALUE"""),"L/7/231224/1")</f>
        <v>L/7/231224/1</v>
      </c>
      <c r="C1075" s="42" t="str">
        <f>IFERROR(__xludf.DUMMYFUNCTION("""COMPUTED_VALUE"""),"HM 1024/PANJNAG UTARA")</f>
        <v>HM 1024/PANJNAG UTARA</v>
      </c>
      <c r="D1075" s="42"/>
      <c r="E1075" s="42"/>
      <c r="F1075" s="48" t="str">
        <f>IFERROR(__xludf.DUMMYFUNCTION("""COMPUTED_VALUE"""),"")</f>
        <v/>
      </c>
      <c r="G1075" s="42" t="str">
        <f>IFERROR(__xludf.DUMMYFUNCTION("""COMPUTED_VALUE"""),"PEMECAHAN")</f>
        <v>PEMECAHAN</v>
      </c>
      <c r="H1075" s="42">
        <f t="shared" si="1"/>
        <v>516</v>
      </c>
    </row>
    <row r="1076" ht="22.5" customHeight="1">
      <c r="B1076" s="42" t="str">
        <f>IFERROR(__xludf.DUMMYFUNCTION("""COMPUTED_VALUE"""),"K/8/231224/1")</f>
        <v>K/8/231224/1</v>
      </c>
      <c r="C1076" s="42" t="str">
        <f>IFERROR(__xludf.DUMMYFUNCTION("""COMPUTED_VALUE"""),"M. 1245/ NOG; B. 749/NOG-dahulu")</f>
        <v>M. 1245/ NOG; B. 749/NOG-dahulu</v>
      </c>
      <c r="D1076" s="42"/>
      <c r="E1076" s="42" t="str">
        <f>IFERROR(__xludf.DUMMYFUNCTION("""COMPUTED_VALUE"""),"DISERAHKAN")</f>
        <v>DISERAHKAN</v>
      </c>
      <c r="F1076" s="48">
        <f>IFERROR(__xludf.DUMMYFUNCTION("""COMPUTED_VALUE"""),45687.41387293981)</f>
        <v>45687.41387</v>
      </c>
      <c r="G1076" s="42" t="str">
        <f>IFERROR(__xludf.DUMMYFUNCTION("""COMPUTED_VALUE"""),"Roya")</f>
        <v>Roya</v>
      </c>
      <c r="H1076" s="42">
        <f t="shared" si="1"/>
        <v>517</v>
      </c>
    </row>
    <row r="1077" ht="22.5" customHeight="1">
      <c r="B1077" s="42" t="str">
        <f>IFERROR(__xludf.DUMMYFUNCTION("""COMPUTED_VALUE"""),"K/9/231224/1")</f>
        <v>K/9/231224/1</v>
      </c>
      <c r="C1077" s="42" t="str">
        <f>IFERROR(__xludf.DUMMYFUNCTION("""COMPUTED_VALUE"""),"TANAH MENTAH")</f>
        <v>TANAH MENTAH</v>
      </c>
      <c r="D1077" s="42"/>
      <c r="E1077" s="42"/>
      <c r="F1077" s="48" t="str">
        <f>IFERROR(__xludf.DUMMYFUNCTION("""COMPUTED_VALUE"""),"")</f>
        <v/>
      </c>
      <c r="G1077" s="42" t="str">
        <f>IFERROR(__xludf.DUMMYFUNCTION("""COMPUTED_VALUE"""),"PENGUKURAN PERTAMA KALO")</f>
        <v>PENGUKURAN PERTAMA KALO</v>
      </c>
      <c r="H1077" s="42">
        <f t="shared" si="1"/>
        <v>517</v>
      </c>
    </row>
    <row r="1078" ht="22.5" customHeight="1">
      <c r="B1078" s="42" t="str">
        <f>IFERROR(__xludf.DUMMYFUNCTION("""COMPUTED_VALUE"""),"L/10/231224/1")</f>
        <v>L/10/231224/1</v>
      </c>
      <c r="C1078" s="42" t="str">
        <f>IFERROR(__xludf.DUMMYFUNCTION("""COMPUTED_VALUE"""),"HM 3142/TANJUNG SENANG")</f>
        <v>HM 3142/TANJUNG SENANG</v>
      </c>
      <c r="D1078" s="42"/>
      <c r="E1078" s="42"/>
      <c r="F1078" s="48" t="str">
        <f>IFERROR(__xludf.DUMMYFUNCTION("""COMPUTED_VALUE"""),"")</f>
        <v/>
      </c>
      <c r="G1078" s="42" t="str">
        <f>IFERROR(__xludf.DUMMYFUNCTION("""COMPUTED_VALUE"""),"PENATAAN BATAS")</f>
        <v>PENATAAN BATAS</v>
      </c>
      <c r="H1078" s="42">
        <f t="shared" si="1"/>
        <v>517</v>
      </c>
    </row>
    <row r="1079" ht="22.5" customHeight="1">
      <c r="B1079" s="42" t="str">
        <f>IFERROR(__xludf.DUMMYFUNCTION("""COMPUTED_VALUE"""),"L/13/231224/1")</f>
        <v>L/13/231224/1</v>
      </c>
      <c r="C1079" s="42" t="str">
        <f>IFERROR(__xludf.DUMMYFUNCTION("""COMPUTED_VALUE"""),"HM 72/PEMATANG WANGI")</f>
        <v>HM 72/PEMATANG WANGI</v>
      </c>
      <c r="D1079" s="42"/>
      <c r="E1079" s="42"/>
      <c r="F1079" s="48" t="str">
        <f>IFERROR(__xludf.DUMMYFUNCTION("""COMPUTED_VALUE"""),"")</f>
        <v/>
      </c>
      <c r="G1079" s="42" t="str">
        <f>IFERROR(__xludf.DUMMYFUNCTION("""COMPUTED_VALUE"""),"GANTI NAMA &amp; TGL LAHIR")</f>
        <v>GANTI NAMA &amp; TGL LAHIR</v>
      </c>
      <c r="H1079" s="42">
        <f t="shared" si="1"/>
        <v>517</v>
      </c>
    </row>
    <row r="1080" ht="22.5" customHeight="1">
      <c r="B1080" s="42" t="str">
        <f>IFERROR(__xludf.DUMMYFUNCTION("""COMPUTED_VALUE"""),"K/14/231224/1")</f>
        <v>K/14/231224/1</v>
      </c>
      <c r="C1080" s="42" t="str">
        <f>IFERROR(__xludf.DUMMYFUNCTION("""COMPUTED_VALUE"""),"M.9826/KALI BALAU KENCANA-SEKARANG;M9826/TANJUNG BARU-DAHULU")</f>
        <v>M.9826/KALI BALAU KENCANA-SEKARANG;M9826/TANJUNG BARU-DAHULU</v>
      </c>
      <c r="D1080" s="42"/>
      <c r="E1080" s="42"/>
      <c r="F1080" s="48" t="str">
        <f>IFERROR(__xludf.DUMMYFUNCTION("""COMPUTED_VALUE"""),"")</f>
        <v/>
      </c>
      <c r="G1080" s="42" t="str">
        <f>IFERROR(__xludf.DUMMYFUNCTION("""COMPUTED_VALUE"""),"BN JUAL BELI")</f>
        <v>BN JUAL BELI</v>
      </c>
      <c r="H1080" s="42">
        <f t="shared" si="1"/>
        <v>517</v>
      </c>
    </row>
    <row r="1081" ht="22.5" customHeight="1">
      <c r="B1081" s="42" t="str">
        <f>IFERROR(__xludf.DUMMYFUNCTION("""COMPUTED_VALUE"""),"L/17/231224/1")</f>
        <v>L/17/231224/1</v>
      </c>
      <c r="C1081" s="42" t="str">
        <f>IFERROR(__xludf.DUMMYFUNCTION("""COMPUTED_VALUE"""),"HM 12131/KEDAMAIAN")</f>
        <v>HM 12131/KEDAMAIAN</v>
      </c>
      <c r="D1081" s="42"/>
      <c r="E1081" s="42"/>
      <c r="F1081" s="48" t="str">
        <f>IFERROR(__xludf.DUMMYFUNCTION("""COMPUTED_VALUE"""),"")</f>
        <v/>
      </c>
      <c r="G1081" s="42" t="str">
        <f>IFERROR(__xludf.DUMMYFUNCTION("""COMPUTED_VALUE"""),"ROYA")</f>
        <v>ROYA</v>
      </c>
      <c r="H1081" s="42">
        <f t="shared" si="1"/>
        <v>517</v>
      </c>
    </row>
    <row r="1082" ht="22.5" customHeight="1">
      <c r="B1082" s="42" t="str">
        <f>IFERROR(__xludf.DUMMYFUNCTION("""COMPUTED_VALUE"""),"K/15/231224/1")</f>
        <v>K/15/231224/1</v>
      </c>
      <c r="C1082" s="42" t="str">
        <f>IFERROR(__xludf.DUMMYFUNCTION("""COMPUTED_VALUE"""),"Nibel 8536/ Segala Mider")</f>
        <v>Nibel 8536/ Segala Mider</v>
      </c>
      <c r="D1082" s="42"/>
      <c r="E1082" s="42"/>
      <c r="F1082" s="48" t="str">
        <f>IFERROR(__xludf.DUMMYFUNCTION("""COMPUTED_VALUE"""),"")</f>
        <v/>
      </c>
      <c r="G1082" s="42" t="str">
        <f>IFERROR(__xludf.DUMMYFUNCTION("""COMPUTED_VALUE"""),"BN PHB")</f>
        <v>BN PHB</v>
      </c>
      <c r="H1082" s="42">
        <f t="shared" si="1"/>
        <v>517</v>
      </c>
    </row>
    <row r="1083" ht="22.5" customHeight="1">
      <c r="B1083" s="42" t="str">
        <f>IFERROR(__xludf.DUMMYFUNCTION("""COMPUTED_VALUE"""),"K/16/231224/2")</f>
        <v>K/16/231224/2</v>
      </c>
      <c r="C1083" s="42" t="str">
        <f>IFERROR(__xludf.DUMMYFUNCTION("""COMPUTED_VALUE"""),"M. 3212/ Rajabasa Jaya")</f>
        <v>M. 3212/ Rajabasa Jaya</v>
      </c>
      <c r="D1083" s="42"/>
      <c r="E1083" s="42" t="str">
        <f>IFERROR(__xludf.DUMMYFUNCTION("""COMPUTED_VALUE"""),"DISERAHKAN")</f>
        <v>DISERAHKAN</v>
      </c>
      <c r="F1083" s="48">
        <f>IFERROR(__xludf.DUMMYFUNCTION("""COMPUTED_VALUE"""),45666.705789768515)</f>
        <v>45666.70579</v>
      </c>
      <c r="G1083" s="42" t="str">
        <f>IFERROR(__xludf.DUMMYFUNCTION("""COMPUTED_VALUE"""),"BN JUAL BELI")</f>
        <v>BN JUAL BELI</v>
      </c>
      <c r="H1083" s="42">
        <f t="shared" si="1"/>
        <v>518</v>
      </c>
    </row>
    <row r="1084" ht="22.5" customHeight="1">
      <c r="B1084" s="42" t="str">
        <f>IFERROR(__xludf.DUMMYFUNCTION("""COMPUTED_VALUE"""),"K/20/231224/1")</f>
        <v>K/20/231224/1</v>
      </c>
      <c r="C1084" s="42" t="str">
        <f>IFERROR(__xludf.DUMMYFUNCTION("""COMPUTED_VALUE"""),"Nibel 10772/ Sumur Putri")</f>
        <v>Nibel 10772/ Sumur Putri</v>
      </c>
      <c r="D1084" s="42"/>
      <c r="E1084" s="42"/>
      <c r="F1084" s="48" t="str">
        <f>IFERROR(__xludf.DUMMYFUNCTION("""COMPUTED_VALUE"""),"")</f>
        <v/>
      </c>
      <c r="G1084" s="42" t="str">
        <f>IFERROR(__xludf.DUMMYFUNCTION("""COMPUTED_VALUE"""),"PERUBAHAN HAK")</f>
        <v>PERUBAHAN HAK</v>
      </c>
      <c r="H1084" s="42">
        <f t="shared" si="1"/>
        <v>518</v>
      </c>
    </row>
    <row r="1085" ht="22.5" customHeight="1">
      <c r="B1085" s="42" t="str">
        <f>IFERROR(__xludf.DUMMYFUNCTION("""COMPUTED_VALUE"""),"K/19/231224/1")</f>
        <v>K/19/231224/1</v>
      </c>
      <c r="C1085" s="42" t="str">
        <f>IFERROR(__xludf.DUMMYFUNCTION("""COMPUTED_VALUE"""),"B.313/PAMATANG WANGI-SEKARANG;B.701/TANJUNG SENENG-DAHULU")</f>
        <v>B.313/PAMATANG WANGI-SEKARANG;B.701/TANJUNG SENENG-DAHULU</v>
      </c>
      <c r="D1085" s="42"/>
      <c r="E1085" s="42"/>
      <c r="F1085" s="48" t="str">
        <f>IFERROR(__xludf.DUMMYFUNCTION("""COMPUTED_VALUE"""),"")</f>
        <v/>
      </c>
      <c r="G1085" s="42" t="str">
        <f>IFERROR(__xludf.DUMMYFUNCTION("""COMPUTED_VALUE"""),"PENINGKATAN HAK")</f>
        <v>PENINGKATAN HAK</v>
      </c>
      <c r="H1085" s="42">
        <f t="shared" si="1"/>
        <v>518</v>
      </c>
    </row>
    <row r="1086" ht="22.5" customHeight="1">
      <c r="B1086" s="42" t="str">
        <f>IFERROR(__xludf.DUMMYFUNCTION("""COMPUTED_VALUE"""),"L/22/231224/1")</f>
        <v>L/22/231224/1</v>
      </c>
      <c r="C1086" s="42" t="str">
        <f>IFERROR(__xludf.DUMMYFUNCTION("""COMPUTED_VALUE"""),"HM 1597/JAGABAYA III")</f>
        <v>HM 1597/JAGABAYA III</v>
      </c>
      <c r="D1086" s="42"/>
      <c r="E1086" s="42"/>
      <c r="F1086" s="48" t="str">
        <f>IFERROR(__xludf.DUMMYFUNCTION("""COMPUTED_VALUE"""),"")</f>
        <v/>
      </c>
      <c r="G1086" s="42" t="str">
        <f>IFERROR(__xludf.DUMMYFUNCTION("""COMPUTED_VALUE"""),"BLOKIR")</f>
        <v>BLOKIR</v>
      </c>
      <c r="H1086" s="42">
        <f t="shared" si="1"/>
        <v>518</v>
      </c>
    </row>
    <row r="1087" ht="22.5" customHeight="1">
      <c r="B1087" s="42" t="str">
        <f>IFERROR(__xludf.DUMMYFUNCTION("""COMPUTED_VALUE"""),"K/23/231224/1")</f>
        <v>K/23/231224/1</v>
      </c>
      <c r="C1087" s="42" t="str">
        <f>IFERROR(__xludf.DUMMYFUNCTION("""COMPUTED_VALUE"""),"M. 12695/ Rajabasa")</f>
        <v>M. 12695/ Rajabasa</v>
      </c>
      <c r="D1087" s="42"/>
      <c r="E1087" s="42"/>
      <c r="F1087" s="48" t="str">
        <f>IFERROR(__xludf.DUMMYFUNCTION("""COMPUTED_VALUE"""),"")</f>
        <v/>
      </c>
      <c r="G1087" s="42" t="str">
        <f>IFERROR(__xludf.DUMMYFUNCTION("""COMPUTED_VALUE"""),"Gandes")</f>
        <v>Gandes</v>
      </c>
      <c r="H1087" s="42">
        <f t="shared" si="1"/>
        <v>518</v>
      </c>
    </row>
    <row r="1088" ht="22.5" customHeight="1">
      <c r="B1088" s="42" t="str">
        <f>IFERROR(__xludf.DUMMYFUNCTION("""COMPUTED_VALUE"""),"K/24/231224/2")</f>
        <v>K/24/231224/2</v>
      </c>
      <c r="C1088" s="42" t="str">
        <f>IFERROR(__xludf.DUMMYFUNCTION("""COMPUTED_VALUE"""),"M. 460/ Gunung Terang")</f>
        <v>M. 460/ Gunung Terang</v>
      </c>
      <c r="D1088" s="42"/>
      <c r="E1088" s="42" t="str">
        <f>IFERROR(__xludf.DUMMYFUNCTION("""COMPUTED_VALUE"""),"DISERAHKAN")</f>
        <v>DISERAHKAN</v>
      </c>
      <c r="F1088" s="48">
        <f>IFERROR(__xludf.DUMMYFUNCTION("""COMPUTED_VALUE"""),45708.596795405094)</f>
        <v>45708.5968</v>
      </c>
      <c r="G1088" s="42" t="str">
        <f>IFERROR(__xludf.DUMMYFUNCTION("""COMPUTED_VALUE"""),"Roya")</f>
        <v>Roya</v>
      </c>
      <c r="H1088" s="42">
        <f t="shared" si="1"/>
        <v>519</v>
      </c>
    </row>
    <row r="1089" ht="22.5" customHeight="1">
      <c r="B1089" s="42" t="str">
        <f>IFERROR(__xludf.DUMMYFUNCTION("""COMPUTED_VALUE"""),"K/25/231224/3")</f>
        <v>K/25/231224/3</v>
      </c>
      <c r="C1089" s="42" t="str">
        <f>IFERROR(__xludf.DUMMYFUNCTION("""COMPUTED_VALUE"""),"B. 1701/ Sukarame")</f>
        <v>B. 1701/ Sukarame</v>
      </c>
      <c r="D1089" s="42"/>
      <c r="E1089" s="42" t="str">
        <f>IFERROR(__xludf.DUMMYFUNCTION("""COMPUTED_VALUE"""),"DISERAHKAN")</f>
        <v>DISERAHKAN</v>
      </c>
      <c r="F1089" s="48">
        <f>IFERROR(__xludf.DUMMYFUNCTION("""COMPUTED_VALUE"""),45666.705789768515)</f>
        <v>45666.70579</v>
      </c>
      <c r="G1089" s="42" t="str">
        <f>IFERROR(__xludf.DUMMYFUNCTION("""COMPUTED_VALUE"""),"BN Jual Beli")</f>
        <v>BN Jual Beli</v>
      </c>
      <c r="H1089" s="42">
        <f t="shared" si="1"/>
        <v>520</v>
      </c>
    </row>
    <row r="1090" ht="22.5" customHeight="1">
      <c r="B1090" s="42" t="str">
        <f>IFERROR(__xludf.DUMMYFUNCTION("""COMPUTED_VALUE"""),"K/26/231224/3")</f>
        <v>K/26/231224/3</v>
      </c>
      <c r="C1090" s="42" t="str">
        <f>IFERROR(__xludf.DUMMYFUNCTION("""COMPUTED_VALUE"""),"Nibel 13079/ Kota Karang")</f>
        <v>Nibel 13079/ Kota Karang</v>
      </c>
      <c r="D1090" s="42"/>
      <c r="E1090" s="42"/>
      <c r="F1090" s="48" t="str">
        <f>IFERROR(__xludf.DUMMYFUNCTION("""COMPUTED_VALUE"""),"")</f>
        <v/>
      </c>
      <c r="G1090" s="42" t="str">
        <f>IFERROR(__xludf.DUMMYFUNCTION("""COMPUTED_VALUE"""),"BN WARIS")</f>
        <v>BN WARIS</v>
      </c>
      <c r="H1090" s="42">
        <f t="shared" si="1"/>
        <v>520</v>
      </c>
    </row>
    <row r="1091" ht="22.5" customHeight="1">
      <c r="B1091" s="42" t="str">
        <f>IFERROR(__xludf.DUMMYFUNCTION("""COMPUTED_VALUE"""),"K/27/231224/1")</f>
        <v>K/27/231224/1</v>
      </c>
      <c r="C1091" s="42" t="str">
        <f>IFERROR(__xludf.DUMMYFUNCTION("""COMPUTED_VALUE"""),"M. 5224/ Labuhan Ratu")</f>
        <v>M. 5224/ Labuhan Ratu</v>
      </c>
      <c r="D1091" s="42"/>
      <c r="E1091" s="42"/>
      <c r="F1091" s="48" t="str">
        <f>IFERROR(__xludf.DUMMYFUNCTION("""COMPUTED_VALUE"""),"")</f>
        <v/>
      </c>
      <c r="G1091" s="42" t="str">
        <f>IFERROR(__xludf.DUMMYFUNCTION("""COMPUTED_VALUE"""),"SITA")</f>
        <v>SITA</v>
      </c>
      <c r="H1091" s="42">
        <f t="shared" si="1"/>
        <v>520</v>
      </c>
    </row>
    <row r="1092" ht="22.5" customHeight="1">
      <c r="B1092" s="42" t="str">
        <f>IFERROR(__xludf.DUMMYFUNCTION("""COMPUTED_VALUE"""),"K/28/231224/2")</f>
        <v>K/28/231224/2</v>
      </c>
      <c r="C1092" s="42" t="str">
        <f>IFERROR(__xludf.DUMMYFUNCTION("""COMPUTED_VALUE"""),"M. 6666/ Tanjung Baru")</f>
        <v>M. 6666/ Tanjung Baru</v>
      </c>
      <c r="D1092" s="42"/>
      <c r="E1092" s="42"/>
      <c r="F1092" s="48" t="str">
        <f>IFERROR(__xludf.DUMMYFUNCTION("""COMPUTED_VALUE"""),"")</f>
        <v/>
      </c>
      <c r="G1092" s="42" t="str">
        <f>IFERROR(__xludf.DUMMYFUNCTION("""COMPUTED_VALUE"""),"SITA")</f>
        <v>SITA</v>
      </c>
      <c r="H1092" s="42">
        <f t="shared" si="1"/>
        <v>520</v>
      </c>
    </row>
    <row r="1093" ht="22.5" customHeight="1">
      <c r="B1093" s="42" t="str">
        <f>IFERROR(__xludf.DUMMYFUNCTION("""COMPUTED_VALUE"""),"K/29/231224/3")</f>
        <v>K/29/231224/3</v>
      </c>
      <c r="C1093" s="42" t="str">
        <f>IFERROR(__xludf.DUMMYFUNCTION("""COMPUTED_VALUE"""),"M. 268/ Kupang Kota")</f>
        <v>M. 268/ Kupang Kota</v>
      </c>
      <c r="D1093" s="42"/>
      <c r="E1093" s="42"/>
      <c r="F1093" s="48" t="str">
        <f>IFERROR(__xludf.DUMMYFUNCTION("""COMPUTED_VALUE"""),"")</f>
        <v/>
      </c>
      <c r="G1093" s="42" t="str">
        <f>IFERROR(__xludf.DUMMYFUNCTION("""COMPUTED_VALUE"""),"SITA")</f>
        <v>SITA</v>
      </c>
      <c r="H1093" s="42">
        <f t="shared" si="1"/>
        <v>520</v>
      </c>
    </row>
    <row r="1094" ht="22.5" customHeight="1">
      <c r="B1094" s="42" t="str">
        <f>IFERROR(__xludf.DUMMYFUNCTION("""COMPUTED_VALUE"""),"K/30/231224/1")</f>
        <v>K/30/231224/1</v>
      </c>
      <c r="C1094" s="42" t="str">
        <f>IFERROR(__xludf.DUMMYFUNCTION("""COMPUTED_VALUE"""),"M. 687/ Pahoman")</f>
        <v>M. 687/ Pahoman</v>
      </c>
      <c r="D1094" s="42"/>
      <c r="E1094" s="42"/>
      <c r="F1094" s="48" t="str">
        <f>IFERROR(__xludf.DUMMYFUNCTION("""COMPUTED_VALUE"""),"")</f>
        <v/>
      </c>
      <c r="G1094" s="42" t="str">
        <f>IFERROR(__xludf.DUMMYFUNCTION("""COMPUTED_VALUE"""),"Roya")</f>
        <v>Roya</v>
      </c>
      <c r="H1094" s="42">
        <f t="shared" si="1"/>
        <v>520</v>
      </c>
    </row>
    <row r="1095" ht="22.5" customHeight="1">
      <c r="B1095" s="42" t="str">
        <f>IFERROR(__xludf.DUMMYFUNCTION("""COMPUTED_VALUE"""),"K/31/231224/2")</f>
        <v>K/31/231224/2</v>
      </c>
      <c r="C1095" s="42" t="str">
        <f>IFERROR(__xludf.DUMMYFUNCTION("""COMPUTED_VALUE"""),"M. 429/ Kaliawi Persada")</f>
        <v>M. 429/ Kaliawi Persada</v>
      </c>
      <c r="D1095" s="42"/>
      <c r="E1095" s="42"/>
      <c r="F1095" s="48" t="str">
        <f>IFERROR(__xludf.DUMMYFUNCTION("""COMPUTED_VALUE"""),"")</f>
        <v/>
      </c>
      <c r="G1095" s="42" t="str">
        <f>IFERROR(__xludf.DUMMYFUNCTION("""COMPUTED_VALUE"""),"BN Jual Beli")</f>
        <v>BN Jual Beli</v>
      </c>
      <c r="H1095" s="42">
        <f t="shared" si="1"/>
        <v>520</v>
      </c>
    </row>
    <row r="1096" ht="22.5" customHeight="1">
      <c r="B1096" s="42" t="str">
        <f>IFERROR(__xludf.DUMMYFUNCTION("""COMPUTED_VALUE"""),"K/32/231224/3")</f>
        <v>K/32/231224/3</v>
      </c>
      <c r="C1096" s="42" t="str">
        <f>IFERROR(__xludf.DUMMYFUNCTION("""COMPUTED_VALUE"""),"M. 428/ Kaliawi Persada")</f>
        <v>M. 428/ Kaliawi Persada</v>
      </c>
      <c r="D1096" s="42"/>
      <c r="E1096" s="42"/>
      <c r="F1096" s="48" t="str">
        <f>IFERROR(__xludf.DUMMYFUNCTION("""COMPUTED_VALUE"""),"")</f>
        <v/>
      </c>
      <c r="G1096" s="42" t="str">
        <f>IFERROR(__xludf.DUMMYFUNCTION("""COMPUTED_VALUE"""),"BN Jual Beli")</f>
        <v>BN Jual Beli</v>
      </c>
      <c r="H1096" s="42">
        <f t="shared" si="1"/>
        <v>520</v>
      </c>
    </row>
    <row r="1097" ht="22.5" customHeight="1">
      <c r="B1097" s="42" t="str">
        <f>IFERROR(__xludf.DUMMYFUNCTION("""COMPUTED_VALUE"""),"K/35/231224/1")</f>
        <v>K/35/231224/1</v>
      </c>
      <c r="C1097" s="42" t="str">
        <f>IFERROR(__xludf.DUMMYFUNCTION("""COMPUTED_VALUE"""),"M. 1285/ Gotong Royong")</f>
        <v>M. 1285/ Gotong Royong</v>
      </c>
      <c r="D1097" s="42"/>
      <c r="E1097" s="42"/>
      <c r="F1097" s="48" t="str">
        <f>IFERROR(__xludf.DUMMYFUNCTION("""COMPUTED_VALUE"""),"")</f>
        <v/>
      </c>
      <c r="G1097" s="42" t="str">
        <f>IFERROR(__xludf.DUMMYFUNCTION("""COMPUTED_VALUE"""),"Roya")</f>
        <v>Roya</v>
      </c>
      <c r="H1097" s="42">
        <f t="shared" si="1"/>
        <v>520</v>
      </c>
    </row>
    <row r="1098" ht="22.5" customHeight="1">
      <c r="B1098" s="42" t="str">
        <f>IFERROR(__xludf.DUMMYFUNCTION("""COMPUTED_VALUE"""),"K/36/231224/2")</f>
        <v>K/36/231224/2</v>
      </c>
      <c r="C1098" s="42" t="str">
        <f>IFERROR(__xludf.DUMMYFUNCTION("""COMPUTED_VALUE"""),"M. 1286/ Gotong Royong")</f>
        <v>M. 1286/ Gotong Royong</v>
      </c>
      <c r="D1098" s="42"/>
      <c r="E1098" s="42"/>
      <c r="F1098" s="48" t="str">
        <f>IFERROR(__xludf.DUMMYFUNCTION("""COMPUTED_VALUE"""),"")</f>
        <v/>
      </c>
      <c r="G1098" s="42" t="str">
        <f>IFERROR(__xludf.DUMMYFUNCTION("""COMPUTED_VALUE"""),"Roya")</f>
        <v>Roya</v>
      </c>
      <c r="H1098" s="42">
        <f t="shared" si="1"/>
        <v>520</v>
      </c>
    </row>
    <row r="1099" ht="22.5" customHeight="1">
      <c r="B1099" s="42" t="str">
        <f>IFERROR(__xludf.DUMMYFUNCTION("""COMPUTED_VALUE"""),"K/39/231224/1")</f>
        <v>K/39/231224/1</v>
      </c>
      <c r="C1099" s="42" t="str">
        <f>IFERROR(__xludf.DUMMYFUNCTION("""COMPUTED_VALUE"""),"M. 772/ Perwata")</f>
        <v>M. 772/ Perwata</v>
      </c>
      <c r="D1099" s="42"/>
      <c r="E1099" s="42"/>
      <c r="F1099" s="48" t="str">
        <f>IFERROR(__xludf.DUMMYFUNCTION("""COMPUTED_VALUE"""),"")</f>
        <v/>
      </c>
      <c r="G1099" s="42" t="str">
        <f>IFERROR(__xludf.DUMMYFUNCTION("""COMPUTED_VALUE"""),"BN JUAL BELI")</f>
        <v>BN JUAL BELI</v>
      </c>
      <c r="H1099" s="42">
        <f t="shared" si="1"/>
        <v>520</v>
      </c>
    </row>
    <row r="1100" ht="22.5" customHeight="1">
      <c r="B1100" s="42" t="str">
        <f>IFERROR(__xludf.DUMMYFUNCTION("""COMPUTED_VALUE"""),"K/41/231224/1")</f>
        <v>K/41/231224/1</v>
      </c>
      <c r="C1100" s="42" t="str">
        <f>IFERROR(__xludf.DUMMYFUNCTION("""COMPUTED_VALUE"""),"NIBEL M 15178/SEGALA MIDER")</f>
        <v>NIBEL M 15178/SEGALA MIDER</v>
      </c>
      <c r="D1100" s="42"/>
      <c r="E1100" s="42"/>
      <c r="F1100" s="48" t="str">
        <f>IFERROR(__xludf.DUMMYFUNCTION("""COMPUTED_VALUE"""),"")</f>
        <v/>
      </c>
      <c r="G1100" s="42" t="str">
        <f>IFERROR(__xludf.DUMMYFUNCTION("""COMPUTED_VALUE"""),"HIBAH")</f>
        <v>HIBAH</v>
      </c>
      <c r="H1100" s="42">
        <f t="shared" si="1"/>
        <v>520</v>
      </c>
    </row>
    <row r="1101" ht="22.5" customHeight="1">
      <c r="B1101" s="42" t="str">
        <f>IFERROR(__xludf.DUMMYFUNCTION("""COMPUTED_VALUE"""),"K/40/231224/2")</f>
        <v>K/40/231224/2</v>
      </c>
      <c r="C1101" s="42" t="str">
        <f>IFERROR(__xludf.DUMMYFUNCTION("""COMPUTED_VALUE"""),"M. 773/ Perwata")</f>
        <v>M. 773/ Perwata</v>
      </c>
      <c r="D1101" s="42"/>
      <c r="E1101" s="42"/>
      <c r="F1101" s="48" t="str">
        <f>IFERROR(__xludf.DUMMYFUNCTION("""COMPUTED_VALUE"""),"")</f>
        <v/>
      </c>
      <c r="G1101" s="42" t="str">
        <f>IFERROR(__xludf.DUMMYFUNCTION("""COMPUTED_VALUE"""),"BN JUAL BELI")</f>
        <v>BN JUAL BELI</v>
      </c>
      <c r="H1101" s="42">
        <f t="shared" si="1"/>
        <v>520</v>
      </c>
    </row>
    <row r="1102" ht="22.5" customHeight="1">
      <c r="B1102" s="42" t="str">
        <f>IFERROR(__xludf.DUMMYFUNCTION("""COMPUTED_VALUE"""),"K/42/231224/1")</f>
        <v>K/42/231224/1</v>
      </c>
      <c r="C1102" s="42" t="str">
        <f>IFERROR(__xludf.DUMMYFUNCTION("""COMPUTED_VALUE"""),"M. 6418/ Gunung Sulah")</f>
        <v>M. 6418/ Gunung Sulah</v>
      </c>
      <c r="D1102" s="42"/>
      <c r="E1102" s="42"/>
      <c r="F1102" s="48" t="str">
        <f>IFERROR(__xludf.DUMMYFUNCTION("""COMPUTED_VALUE"""),"")</f>
        <v/>
      </c>
      <c r="G1102" s="42" t="str">
        <f>IFERROR(__xludf.DUMMYFUNCTION("""COMPUTED_VALUE"""),"BN Jual Beli")</f>
        <v>BN Jual Beli</v>
      </c>
      <c r="H1102" s="42">
        <f t="shared" si="1"/>
        <v>520</v>
      </c>
    </row>
    <row r="1103" ht="22.5" customHeight="1">
      <c r="B1103" s="42" t="str">
        <f>IFERROR(__xludf.DUMMYFUNCTION("""COMPUTED_VALUE"""),"K/43/231224/2")</f>
        <v>K/43/231224/2</v>
      </c>
      <c r="C1103" s="42" t="str">
        <f>IFERROR(__xludf.DUMMYFUNCTION("""COMPUTED_VALUE"""),"M. 5839/ Tanjung Senang")</f>
        <v>M. 5839/ Tanjung Senang</v>
      </c>
      <c r="D1103" s="42"/>
      <c r="E1103" s="42"/>
      <c r="F1103" s="48" t="str">
        <f>IFERROR(__xludf.DUMMYFUNCTION("""COMPUTED_VALUE"""),"")</f>
        <v/>
      </c>
      <c r="G1103" s="42" t="str">
        <f>IFERROR(__xludf.DUMMYFUNCTION("""COMPUTED_VALUE"""),"BN Jual Beli")</f>
        <v>BN Jual Beli</v>
      </c>
      <c r="H1103" s="42">
        <f t="shared" si="1"/>
        <v>520</v>
      </c>
    </row>
    <row r="1104" ht="22.5" customHeight="1">
      <c r="B1104" s="42" t="str">
        <f>IFERROR(__xludf.DUMMYFUNCTION("""COMPUTED_VALUE"""),"L/46/231224/1")</f>
        <v>L/46/231224/1</v>
      </c>
      <c r="C1104" s="42" t="str">
        <f>IFERROR(__xludf.DUMMYFUNCTION("""COMPUTED_VALUE"""),"HM 10313/SUKABUMI")</f>
        <v>HM 10313/SUKABUMI</v>
      </c>
      <c r="D1104" s="42"/>
      <c r="E1104" s="42"/>
      <c r="F1104" s="48" t="str">
        <f>IFERROR(__xludf.DUMMYFUNCTION("""COMPUTED_VALUE"""),"")</f>
        <v/>
      </c>
      <c r="G1104" s="42" t="str">
        <f>IFERROR(__xludf.DUMMYFUNCTION("""COMPUTED_VALUE"""),"PEMECAHAN")</f>
        <v>PEMECAHAN</v>
      </c>
      <c r="H1104" s="42">
        <f t="shared" si="1"/>
        <v>520</v>
      </c>
    </row>
    <row r="1105" ht="22.5" customHeight="1">
      <c r="B1105" s="42" t="str">
        <f>IFERROR(__xludf.DUMMYFUNCTION("""COMPUTED_VALUE"""),"K/12/231224/1")</f>
        <v>K/12/231224/1</v>
      </c>
      <c r="C1105" s="42" t="str">
        <f>IFERROR(__xludf.DUMMYFUNCTION("""COMPUTED_VALUE"""),"M. 03/ Sepang Jaya")</f>
        <v>M. 03/ Sepang Jaya</v>
      </c>
      <c r="D1105" s="42"/>
      <c r="E1105" s="42"/>
      <c r="F1105" s="48" t="str">
        <f>IFERROR(__xludf.DUMMYFUNCTION("""COMPUTED_VALUE"""),"")</f>
        <v/>
      </c>
      <c r="G1105" s="42" t="str">
        <f>IFERROR(__xludf.DUMMYFUNCTION("""COMPUTED_VALUE"""),"BN Waris")</f>
        <v>BN Waris</v>
      </c>
      <c r="H1105" s="42">
        <f t="shared" si="1"/>
        <v>520</v>
      </c>
    </row>
    <row r="1106" ht="22.5" customHeight="1">
      <c r="B1106" s="42" t="str">
        <f>IFERROR(__xludf.DUMMYFUNCTION("""COMPUTED_VALUE"""),"L/48/231224/1")</f>
        <v>L/48/231224/1</v>
      </c>
      <c r="C1106" s="42" t="str">
        <f>IFERROR(__xludf.DUMMYFUNCTION("""COMPUTED_VALUE"""),"SUKABUMI INDAH")</f>
        <v>SUKABUMI INDAH</v>
      </c>
      <c r="D1106" s="42"/>
      <c r="E1106" s="42"/>
      <c r="F1106" s="48" t="str">
        <f>IFERROR(__xludf.DUMMYFUNCTION("""COMPUTED_VALUE"""),"")</f>
        <v/>
      </c>
      <c r="G1106" s="42" t="str">
        <f>IFERROR(__xludf.DUMMYFUNCTION("""COMPUTED_VALUE"""),"PENDAFTARAN SK")</f>
        <v>PENDAFTARAN SK</v>
      </c>
      <c r="H1106" s="42">
        <f t="shared" si="1"/>
        <v>520</v>
      </c>
    </row>
    <row r="1107" ht="22.5" customHeight="1">
      <c r="B1107" s="42" t="str">
        <f>IFERROR(__xludf.DUMMYFUNCTION("""COMPUTED_VALUE"""),"K/47/231224/1")</f>
        <v>K/47/231224/1</v>
      </c>
      <c r="C1107" s="42" t="str">
        <f>IFERROR(__xludf.DUMMYFUNCTION("""COMPUTED_VALUE"""),"M. 1389/ Rajabasa Pemuka")</f>
        <v>M. 1389/ Rajabasa Pemuka</v>
      </c>
      <c r="D1107" s="42"/>
      <c r="E1107" s="42" t="str">
        <f>IFERROR(__xludf.DUMMYFUNCTION("""COMPUTED_VALUE"""),"DISERAHKAN")</f>
        <v>DISERAHKAN</v>
      </c>
      <c r="F1107" s="48">
        <f>IFERROR(__xludf.DUMMYFUNCTION("""COMPUTED_VALUE"""),45666.705789768515)</f>
        <v>45666.70579</v>
      </c>
      <c r="G1107" s="42" t="str">
        <f>IFERROR(__xludf.DUMMYFUNCTION("""COMPUTED_VALUE"""),"BN JUAL BELI")</f>
        <v>BN JUAL BELI</v>
      </c>
      <c r="H1107" s="42">
        <f t="shared" si="1"/>
        <v>521</v>
      </c>
    </row>
    <row r="1108" ht="22.5" customHeight="1">
      <c r="B1108" s="42" t="str">
        <f>IFERROR(__xludf.DUMMYFUNCTION("""COMPUTED_VALUE"""),"L/51/231224/1")</f>
        <v>L/51/231224/1</v>
      </c>
      <c r="C1108" s="42" t="str">
        <f>IFERROR(__xludf.DUMMYFUNCTION("""COMPUTED_VALUE"""),"HM 1634/PANJANMG UTARA")</f>
        <v>HM 1634/PANJANMG UTARA</v>
      </c>
      <c r="D1108" s="42"/>
      <c r="E1108" s="42"/>
      <c r="F1108" s="48" t="str">
        <f>IFERROR(__xludf.DUMMYFUNCTION("""COMPUTED_VALUE"""),"")</f>
        <v/>
      </c>
      <c r="G1108" s="42" t="str">
        <f>IFERROR(__xludf.DUMMYFUNCTION("""COMPUTED_VALUE"""),"PTPGT")</f>
        <v>PTPGT</v>
      </c>
      <c r="H1108" s="42">
        <f t="shared" si="1"/>
        <v>521</v>
      </c>
    </row>
    <row r="1109" ht="22.5" customHeight="1">
      <c r="B1109" s="42" t="str">
        <f>IFERROR(__xludf.DUMMYFUNCTION("""COMPUTED_VALUE"""),"K/52/231224/1")</f>
        <v>K/52/231224/1</v>
      </c>
      <c r="C1109" s="42" t="str">
        <f>IFERROR(__xludf.DUMMYFUNCTION("""COMPUTED_VALUE"""),"M. 859/ Rajabasa Jaya")</f>
        <v>M. 859/ Rajabasa Jaya</v>
      </c>
      <c r="D1109" s="42"/>
      <c r="E1109" s="42"/>
      <c r="F1109" s="48" t="str">
        <f>IFERROR(__xludf.DUMMYFUNCTION("""COMPUTED_VALUE"""),"")</f>
        <v/>
      </c>
      <c r="G1109" s="42" t="str">
        <f>IFERROR(__xludf.DUMMYFUNCTION("""COMPUTED_VALUE"""),"Wakaf")</f>
        <v>Wakaf</v>
      </c>
      <c r="H1109" s="42">
        <f t="shared" si="1"/>
        <v>521</v>
      </c>
    </row>
    <row r="1110" ht="22.5" customHeight="1">
      <c r="B1110" s="42" t="str">
        <f>IFERROR(__xludf.DUMMYFUNCTION("""COMPUTED_VALUE"""),"K/53/231224/1")</f>
        <v>K/53/231224/1</v>
      </c>
      <c r="C1110" s="42" t="str">
        <f>IFERROR(__xludf.DUMMYFUNCTION("""COMPUTED_VALUE"""),"M. 7065/ Tanjung Senang")</f>
        <v>M. 7065/ Tanjung Senang</v>
      </c>
      <c r="D1110" s="42"/>
      <c r="E1110" s="42" t="str">
        <f>IFERROR(__xludf.DUMMYFUNCTION("""COMPUTED_VALUE"""),"DISERAHKAN")</f>
        <v>DISERAHKAN</v>
      </c>
      <c r="F1110" s="48">
        <f>IFERROR(__xludf.DUMMYFUNCTION("""COMPUTED_VALUE"""),45667.356489247686)</f>
        <v>45667.35649</v>
      </c>
      <c r="G1110" s="42" t="str">
        <f>IFERROR(__xludf.DUMMYFUNCTION("""COMPUTED_VALUE"""),"BN JUAL BELI")</f>
        <v>BN JUAL BELI</v>
      </c>
      <c r="H1110" s="42">
        <f t="shared" si="1"/>
        <v>522</v>
      </c>
    </row>
    <row r="1111" ht="22.5" customHeight="1">
      <c r="B1111" s="42" t="str">
        <f>IFERROR(__xludf.DUMMYFUNCTION("""COMPUTED_VALUE"""),"L/54/231224/1")</f>
        <v>L/54/231224/1</v>
      </c>
      <c r="C1111" s="42" t="str">
        <f>IFERROR(__xludf.DUMMYFUNCTION("""COMPUTED_VALUE"""),"HM 15157/SUKARAME")</f>
        <v>HM 15157/SUKARAME</v>
      </c>
      <c r="D1111" s="42"/>
      <c r="E1111" s="42"/>
      <c r="F1111" s="48" t="str">
        <f>IFERROR(__xludf.DUMMYFUNCTION("""COMPUTED_VALUE"""),"")</f>
        <v/>
      </c>
      <c r="G1111" s="42" t="str">
        <f>IFERROR(__xludf.DUMMYFUNCTION("""COMPUTED_VALUE"""),"ROYA")</f>
        <v>ROYA</v>
      </c>
      <c r="H1111" s="42">
        <f t="shared" si="1"/>
        <v>522</v>
      </c>
    </row>
    <row r="1112" ht="22.5" customHeight="1">
      <c r="B1112" s="42" t="str">
        <f>IFERROR(__xludf.DUMMYFUNCTION("""COMPUTED_VALUE"""),"L/59/231224/1")</f>
        <v>L/59/231224/1</v>
      </c>
      <c r="C1112" s="42" t="str">
        <f>IFERROR(__xludf.DUMMYFUNCTION("""COMPUTED_VALUE"""),"HM 15157/SUKARAME")</f>
        <v>HM 15157/SUKARAME</v>
      </c>
      <c r="D1112" s="42"/>
      <c r="E1112" s="42" t="str">
        <f>IFERROR(__xludf.DUMMYFUNCTION("""COMPUTED_VALUE"""),"DISERAHKAN")</f>
        <v>DISERAHKAN</v>
      </c>
      <c r="F1112" s="48">
        <f>IFERROR(__xludf.DUMMYFUNCTION("""COMPUTED_VALUE"""),45763.43901299768)</f>
        <v>45763.43901</v>
      </c>
      <c r="G1112" s="42" t="str">
        <f>IFERROR(__xludf.DUMMYFUNCTION("""COMPUTED_VALUE"""),"ROYA")</f>
        <v>ROYA</v>
      </c>
      <c r="H1112" s="42">
        <f t="shared" si="1"/>
        <v>523</v>
      </c>
    </row>
    <row r="1113" ht="22.5" customHeight="1">
      <c r="B1113" s="42" t="str">
        <f>IFERROR(__xludf.DUMMYFUNCTION("""COMPUTED_VALUE"""),"K/60/231224/1")</f>
        <v>K/60/231224/1</v>
      </c>
      <c r="C1113" s="42" t="str">
        <f>IFERROR(__xludf.DUMMYFUNCTION("""COMPUTED_VALUE"""),"M.2615/PINANG JAYA")</f>
        <v>M.2615/PINANG JAYA</v>
      </c>
      <c r="D1113" s="42"/>
      <c r="E1113" s="42"/>
      <c r="F1113" s="48" t="str">
        <f>IFERROR(__xludf.DUMMYFUNCTION("""COMPUTED_VALUE"""),"")</f>
        <v/>
      </c>
      <c r="G1113" s="42" t="str">
        <f>IFERROR(__xludf.DUMMYFUNCTION("""COMPUTED_VALUE"""),"BN JUAL BELI")</f>
        <v>BN JUAL BELI</v>
      </c>
      <c r="H1113" s="42">
        <f t="shared" si="1"/>
        <v>523</v>
      </c>
    </row>
    <row r="1114" ht="22.5" customHeight="1">
      <c r="B1114" s="42" t="str">
        <f>IFERROR(__xludf.DUMMYFUNCTION("""COMPUTED_VALUE"""),"K/61/231224/2")</f>
        <v>K/61/231224/2</v>
      </c>
      <c r="C1114" s="42" t="str">
        <f>IFERROR(__xludf.DUMMYFUNCTION("""COMPUTED_VALUE"""),"M.56/TANJUNG GADING")</f>
        <v>M.56/TANJUNG GADING</v>
      </c>
      <c r="D1114" s="42"/>
      <c r="E1114" s="42" t="str">
        <f>IFERROR(__xludf.DUMMYFUNCTION("""COMPUTED_VALUE"""),"DISERAHKAN")</f>
        <v>DISERAHKAN</v>
      </c>
      <c r="F1114" s="48">
        <f>IFERROR(__xludf.DUMMYFUNCTION("""COMPUTED_VALUE"""),45763.43980733796)</f>
        <v>45763.43981</v>
      </c>
      <c r="G1114" s="42" t="str">
        <f>IFERROR(__xludf.DUMMYFUNCTION("""COMPUTED_VALUE"""),"ROYA")</f>
        <v>ROYA</v>
      </c>
      <c r="H1114" s="42">
        <f t="shared" si="1"/>
        <v>524</v>
      </c>
    </row>
    <row r="1115" ht="22.5" customHeight="1">
      <c r="B1115" s="42" t="str">
        <f>IFERROR(__xludf.DUMMYFUNCTION("""COMPUTED_VALUE"""),"K/58/231224/1")</f>
        <v>K/58/231224/1</v>
      </c>
      <c r="C1115" s="42" t="str">
        <f>IFERROR(__xludf.DUMMYFUNCTION("""COMPUTED_VALUE"""),"M. 3104/ Kemiling Permai")</f>
        <v>M. 3104/ Kemiling Permai</v>
      </c>
      <c r="D1115" s="42"/>
      <c r="E1115" s="42"/>
      <c r="F1115" s="48" t="str">
        <f>IFERROR(__xludf.DUMMYFUNCTION("""COMPUTED_VALUE"""),"")</f>
        <v/>
      </c>
      <c r="G1115" s="42" t="str">
        <f>IFERROR(__xludf.DUMMYFUNCTION("""COMPUTED_VALUE"""),"BN Lelang")</f>
        <v>BN Lelang</v>
      </c>
      <c r="H1115" s="42">
        <f t="shared" si="1"/>
        <v>524</v>
      </c>
    </row>
    <row r="1116" ht="22.5" customHeight="1">
      <c r="B1116" s="42" t="str">
        <f>IFERROR(__xludf.DUMMYFUNCTION("""COMPUTED_VALUE"""),"K/57/231224/1")</f>
        <v>K/57/231224/1</v>
      </c>
      <c r="C1116" s="42" t="str">
        <f>IFERROR(__xludf.DUMMYFUNCTION("""COMPUTED_VALUE"""),"M. 1517/ Sepang Jaya")</f>
        <v>M. 1517/ Sepang Jaya</v>
      </c>
      <c r="D1116" s="42"/>
      <c r="E1116" s="42"/>
      <c r="F1116" s="48" t="str">
        <f>IFERROR(__xludf.DUMMYFUNCTION("""COMPUTED_VALUE"""),"")</f>
        <v/>
      </c>
      <c r="G1116" s="42" t="str">
        <f>IFERROR(__xludf.DUMMYFUNCTION("""COMPUTED_VALUE"""),"Roya")</f>
        <v>Roya</v>
      </c>
      <c r="H1116" s="42">
        <f t="shared" si="1"/>
        <v>524</v>
      </c>
    </row>
    <row r="1117" ht="22.5" customHeight="1">
      <c r="B1117" s="42" t="str">
        <f>IFERROR(__xludf.DUMMYFUNCTION("""COMPUTED_VALUE"""),"K/55/231224/1")</f>
        <v>K/55/231224/1</v>
      </c>
      <c r="C1117" s="42" t="str">
        <f>IFERROR(__xludf.DUMMYFUNCTION("""COMPUTED_VALUE"""),"Nibel 3339/ Gunung Terang")</f>
        <v>Nibel 3339/ Gunung Terang</v>
      </c>
      <c r="D1117" s="42"/>
      <c r="E1117" s="42"/>
      <c r="F1117" s="48" t="str">
        <f>IFERROR(__xludf.DUMMYFUNCTION("""COMPUTED_VALUE"""),"")</f>
        <v/>
      </c>
      <c r="G1117" s="42" t="str">
        <f>IFERROR(__xludf.DUMMYFUNCTION("""COMPUTED_VALUE"""),"PTPGT PEMECHAN")</f>
        <v>PTPGT PEMECHAN</v>
      </c>
      <c r="H1117" s="42">
        <f t="shared" si="1"/>
        <v>524</v>
      </c>
    </row>
    <row r="1118" ht="22.5" customHeight="1">
      <c r="B1118" s="42" t="str">
        <f>IFERROR(__xludf.DUMMYFUNCTION("""COMPUTED_VALUE"""),"K/56/231224/1")</f>
        <v>K/56/231224/1</v>
      </c>
      <c r="C1118" s="42" t="str">
        <f>IFERROR(__xludf.DUMMYFUNCTION("""COMPUTED_VALUE"""),"B. 2017; 2018/ Sukarame")</f>
        <v>B. 2017; 2018/ Sukarame</v>
      </c>
      <c r="D1118" s="42"/>
      <c r="E1118" s="42" t="str">
        <f>IFERROR(__xludf.DUMMYFUNCTION("""COMPUTED_VALUE"""),"DISERAHKAN")</f>
        <v>DISERAHKAN</v>
      </c>
      <c r="F1118" s="48">
        <f>IFERROR(__xludf.DUMMYFUNCTION("""COMPUTED_VALUE"""),45708.59811989583)</f>
        <v>45708.59812</v>
      </c>
      <c r="G1118" s="42" t="str">
        <f>IFERROR(__xludf.DUMMYFUNCTION("""COMPUTED_VALUE"""),"Roya")</f>
        <v>Roya</v>
      </c>
      <c r="H1118" s="42">
        <f t="shared" si="1"/>
        <v>525</v>
      </c>
    </row>
    <row r="1119" ht="22.5" customHeight="1">
      <c r="B1119" s="42" t="str">
        <f>IFERROR(__xludf.DUMMYFUNCTION("""COMPUTED_VALUE"""),"K/62/231224/1")</f>
        <v>K/62/231224/1</v>
      </c>
      <c r="C1119" s="42" t="str">
        <f>IFERROR(__xludf.DUMMYFUNCTION("""COMPUTED_VALUE"""),"M. 1748/ Batu Putuk")</f>
        <v>M. 1748/ Batu Putuk</v>
      </c>
      <c r="D1119" s="42"/>
      <c r="E1119" s="42"/>
      <c r="F1119" s="48" t="str">
        <f>IFERROR(__xludf.DUMMYFUNCTION("""COMPUTED_VALUE"""),"")</f>
        <v/>
      </c>
      <c r="G1119" s="42" t="str">
        <f>IFERROR(__xludf.DUMMYFUNCTION("""COMPUTED_VALUE"""),"Hapus BPHTB")</f>
        <v>Hapus BPHTB</v>
      </c>
      <c r="H1119" s="42">
        <f t="shared" si="1"/>
        <v>525</v>
      </c>
    </row>
    <row r="1120" ht="22.5" customHeight="1">
      <c r="B1120" s="42" t="str">
        <f>IFERROR(__xludf.DUMMYFUNCTION("""COMPUTED_VALUE"""),"K/1/241224/1")</f>
        <v>K/1/241224/1</v>
      </c>
      <c r="C1120" s="42" t="str">
        <f>IFERROR(__xludf.DUMMYFUNCTION("""COMPUTED_VALUE"""),"B. 413/ Gedung Meneng")</f>
        <v>B. 413/ Gedung Meneng</v>
      </c>
      <c r="D1120" s="42"/>
      <c r="E1120" s="42" t="str">
        <f>IFERROR(__xludf.DUMMYFUNCTION("""COMPUTED_VALUE"""),"DISERAHKAN")</f>
        <v>DISERAHKAN</v>
      </c>
      <c r="F1120" s="48">
        <f>IFERROR(__xludf.DUMMYFUNCTION("""COMPUTED_VALUE"""),45671.70327991898)</f>
        <v>45671.70328</v>
      </c>
      <c r="G1120" s="42" t="str">
        <f>IFERROR(__xludf.DUMMYFUNCTION("""COMPUTED_VALUE"""),"Perubahan Hak")</f>
        <v>Perubahan Hak</v>
      </c>
      <c r="H1120" s="42">
        <f t="shared" si="1"/>
        <v>526</v>
      </c>
    </row>
    <row r="1121" ht="22.5" customHeight="1">
      <c r="B1121" s="42" t="str">
        <f>IFERROR(__xludf.DUMMYFUNCTION("""COMPUTED_VALUE"""),"K/2/241224/1")</f>
        <v>K/2/241224/1</v>
      </c>
      <c r="C1121" s="42" t="str">
        <f>IFERROR(__xludf.DUMMYFUNCTION("""COMPUTED_VALUE"""),"M.1476/ Panjang Utara")</f>
        <v>M.1476/ Panjang Utara</v>
      </c>
      <c r="D1121" s="42"/>
      <c r="E1121" s="42"/>
      <c r="F1121" s="48" t="str">
        <f>IFERROR(__xludf.DUMMYFUNCTION("""COMPUTED_VALUE"""),"")</f>
        <v/>
      </c>
      <c r="G1121" s="42" t="str">
        <f>IFERROR(__xludf.DUMMYFUNCTION("""COMPUTED_VALUE"""),"GANTI BLANKO SERTIPIKAT HILANG")</f>
        <v>GANTI BLANKO SERTIPIKAT HILANG</v>
      </c>
      <c r="H1121" s="42">
        <f t="shared" si="1"/>
        <v>526</v>
      </c>
    </row>
    <row r="1122" ht="22.5" customHeight="1">
      <c r="B1122" s="42" t="str">
        <f>IFERROR(__xludf.DUMMYFUNCTION("""COMPUTED_VALUE"""),"K/4/241224/1")</f>
        <v>K/4/241224/1</v>
      </c>
      <c r="C1122" s="42" t="str">
        <f>IFERROR(__xludf.DUMMYFUNCTION("""COMPUTED_VALUE"""),"Nibel. M. 503/ Rajabasa Nunyai")</f>
        <v>Nibel. M. 503/ Rajabasa Nunyai</v>
      </c>
      <c r="D1122" s="42"/>
      <c r="E1122" s="42"/>
      <c r="F1122" s="48" t="str">
        <f>IFERROR(__xludf.DUMMYFUNCTION("""COMPUTED_VALUE"""),"")</f>
        <v/>
      </c>
      <c r="G1122" s="42" t="str">
        <f>IFERROR(__xludf.DUMMYFUNCTION("""COMPUTED_VALUE"""),"BN Jual Beli")</f>
        <v>BN Jual Beli</v>
      </c>
      <c r="H1122" s="42">
        <f t="shared" si="1"/>
        <v>526</v>
      </c>
    </row>
    <row r="1123" ht="22.5" customHeight="1">
      <c r="B1123" s="42" t="str">
        <f>IFERROR(__xludf.DUMMYFUNCTION("""COMPUTED_VALUE"""),"K/5/241224/1")</f>
        <v>K/5/241224/1</v>
      </c>
      <c r="C1123" s="42" t="str">
        <f>IFERROR(__xludf.DUMMYFUNCTION("""COMPUTED_VALUE"""),"M.1640/WAY LAGA")</f>
        <v>M.1640/WAY LAGA</v>
      </c>
      <c r="D1123" s="42"/>
      <c r="E1123" s="42"/>
      <c r="F1123" s="48" t="str">
        <f>IFERROR(__xludf.DUMMYFUNCTION("""COMPUTED_VALUE"""),"")</f>
        <v/>
      </c>
      <c r="G1123" s="42" t="str">
        <f>IFERROR(__xludf.DUMMYFUNCTION("""COMPUTED_VALUE"""),"BN JUAL BELI")</f>
        <v>BN JUAL BELI</v>
      </c>
      <c r="H1123" s="42">
        <f t="shared" si="1"/>
        <v>526</v>
      </c>
    </row>
    <row r="1124" ht="22.5" customHeight="1">
      <c r="B1124" s="42" t="str">
        <f>IFERROR(__xludf.DUMMYFUNCTION("""COMPUTED_VALUE"""),"K/6/241224/2")</f>
        <v>K/6/241224/2</v>
      </c>
      <c r="C1124" s="42" t="str">
        <f>IFERROR(__xludf.DUMMYFUNCTION("""COMPUTED_VALUE"""),"M.1639/WAY LAGA")</f>
        <v>M.1639/WAY LAGA</v>
      </c>
      <c r="D1124" s="42"/>
      <c r="E1124" s="42" t="str">
        <f>IFERROR(__xludf.DUMMYFUNCTION("""COMPUTED_VALUE"""),"DISERAHKAN")</f>
        <v>DISERAHKAN</v>
      </c>
      <c r="F1124" s="48">
        <f>IFERROR(__xludf.DUMMYFUNCTION("""COMPUTED_VALUE"""),45673.43404317129)</f>
        <v>45673.43404</v>
      </c>
      <c r="G1124" s="42" t="str">
        <f>IFERROR(__xludf.DUMMYFUNCTION("""COMPUTED_VALUE"""),"BN JUAL BELI")</f>
        <v>BN JUAL BELI</v>
      </c>
      <c r="H1124" s="42">
        <f t="shared" si="1"/>
        <v>527</v>
      </c>
    </row>
    <row r="1125" ht="22.5" customHeight="1">
      <c r="B1125" s="42" t="str">
        <f>IFERROR(__xludf.DUMMYFUNCTION("""COMPUTED_VALUE"""),"L/8/241224/1")</f>
        <v>L/8/241224/1</v>
      </c>
      <c r="C1125" s="42" t="str">
        <f>IFERROR(__xludf.DUMMYFUNCTION("""COMPUTED_VALUE"""),"HM 9966/KEDAMAIAN")</f>
        <v>HM 9966/KEDAMAIAN</v>
      </c>
      <c r="D1125" s="42"/>
      <c r="E1125" s="42" t="str">
        <f>IFERROR(__xludf.DUMMYFUNCTION("""COMPUTED_VALUE"""),"DISERAHKAN")</f>
        <v>DISERAHKAN</v>
      </c>
      <c r="F1125" s="48">
        <f>IFERROR(__xludf.DUMMYFUNCTION("""COMPUTED_VALUE"""),45687.41935914352)</f>
        <v>45687.41936</v>
      </c>
      <c r="G1125" s="42" t="str">
        <f>IFERROR(__xludf.DUMMYFUNCTION("""COMPUTED_VALUE"""),"ROYA")</f>
        <v>ROYA</v>
      </c>
      <c r="H1125" s="42">
        <f t="shared" si="1"/>
        <v>528</v>
      </c>
    </row>
    <row r="1126" ht="22.5" customHeight="1">
      <c r="B1126" s="42" t="str">
        <f>IFERROR(__xludf.DUMMYFUNCTION("""COMPUTED_VALUE"""),"K/7/241224/3")</f>
        <v>K/7/241224/3</v>
      </c>
      <c r="C1126" s="42" t="str">
        <f>IFERROR(__xludf.DUMMYFUNCTION("""COMPUTED_VALUE"""),"M.1855/WAY KANDIS")</f>
        <v>M.1855/WAY KANDIS</v>
      </c>
      <c r="D1126" s="42"/>
      <c r="E1126" s="42"/>
      <c r="F1126" s="48" t="str">
        <f>IFERROR(__xludf.DUMMYFUNCTION("""COMPUTED_VALUE"""),"")</f>
        <v/>
      </c>
      <c r="G1126" s="42" t="str">
        <f>IFERROR(__xludf.DUMMYFUNCTION("""COMPUTED_VALUE"""),"BN JUAL BELI")</f>
        <v>BN JUAL BELI</v>
      </c>
      <c r="H1126" s="42">
        <f t="shared" si="1"/>
        <v>528</v>
      </c>
    </row>
    <row r="1127" ht="22.5" customHeight="1">
      <c r="B1127" s="42" t="str">
        <f>IFERROR(__xludf.DUMMYFUNCTION("""COMPUTED_VALUE"""),"K/9/241224/1")</f>
        <v>K/9/241224/1</v>
      </c>
      <c r="C1127" s="42" t="str">
        <f>IFERROR(__xludf.DUMMYFUNCTION("""COMPUTED_VALUE"""),"M. 58/ Campang Jaya")</f>
        <v>M. 58/ Campang Jaya</v>
      </c>
      <c r="D1127" s="42"/>
      <c r="E1127" s="42"/>
      <c r="F1127" s="48" t="str">
        <f>IFERROR(__xludf.DUMMYFUNCTION("""COMPUTED_VALUE"""),"")</f>
        <v/>
      </c>
      <c r="G1127" s="42" t="str">
        <f>IFERROR(__xludf.DUMMYFUNCTION("""COMPUTED_VALUE"""),"BN JUAL BELI")</f>
        <v>BN JUAL BELI</v>
      </c>
      <c r="H1127" s="42">
        <f t="shared" si="1"/>
        <v>528</v>
      </c>
    </row>
    <row r="1128" ht="22.5" customHeight="1">
      <c r="B1128" s="42" t="str">
        <f>IFERROR(__xludf.DUMMYFUNCTION("""COMPUTED_VALUE"""),"K/10/241224/1")</f>
        <v>K/10/241224/1</v>
      </c>
      <c r="C1128" s="42" t="str">
        <f>IFERROR(__xludf.DUMMYFUNCTION("""COMPUTED_VALUE"""),"M.75/SUKARAME BARU-SEKARANG;M.749/SUKARAME I-DAHULU")</f>
        <v>M.75/SUKARAME BARU-SEKARANG;M.749/SUKARAME I-DAHULU</v>
      </c>
      <c r="D1128" s="42"/>
      <c r="E1128" s="42"/>
      <c r="F1128" s="48" t="str">
        <f>IFERROR(__xludf.DUMMYFUNCTION("""COMPUTED_VALUE"""),"")</f>
        <v/>
      </c>
      <c r="G1128" s="42" t="str">
        <f>IFERROR(__xludf.DUMMYFUNCTION("""COMPUTED_VALUE"""),"KEWARISAN")</f>
        <v>KEWARISAN</v>
      </c>
      <c r="H1128" s="42">
        <f t="shared" si="1"/>
        <v>528</v>
      </c>
    </row>
    <row r="1129" ht="22.5" customHeight="1">
      <c r="B1129" s="42" t="str">
        <f>IFERROR(__xludf.DUMMYFUNCTION("""COMPUTED_VALUE"""),"K/11/241224/2")</f>
        <v>K/11/241224/2</v>
      </c>
      <c r="C1129" s="42" t="str">
        <f>IFERROR(__xludf.DUMMYFUNCTION("""COMPUTED_VALUE"""),"M.74/SUKARAME BARU-SEKARANG;B.2056/SUKARAME I")</f>
        <v>M.74/SUKARAME BARU-SEKARANG;B.2056/SUKARAME I</v>
      </c>
      <c r="D1129" s="42"/>
      <c r="E1129" s="42"/>
      <c r="F1129" s="48" t="str">
        <f>IFERROR(__xludf.DUMMYFUNCTION("""COMPUTED_VALUE"""),"")</f>
        <v/>
      </c>
      <c r="G1129" s="42" t="str">
        <f>IFERROR(__xludf.DUMMYFUNCTION("""COMPUTED_VALUE"""),"KEWARISAN")</f>
        <v>KEWARISAN</v>
      </c>
      <c r="H1129" s="42">
        <f t="shared" si="1"/>
        <v>528</v>
      </c>
    </row>
    <row r="1130" ht="22.5" customHeight="1">
      <c r="B1130" s="42" t="str">
        <f>IFERROR(__xludf.DUMMYFUNCTION("""COMPUTED_VALUE"""),"L/12/241224/1")</f>
        <v>L/12/241224/1</v>
      </c>
      <c r="C1130" s="42" t="str">
        <f>IFERROR(__xludf.DUMMYFUNCTION("""COMPUTED_VALUE"""),"HGB 475/NUSANTARA PERMAI")</f>
        <v>HGB 475/NUSANTARA PERMAI</v>
      </c>
      <c r="D1130" s="42"/>
      <c r="E1130" s="42" t="str">
        <f>IFERROR(__xludf.DUMMYFUNCTION("""COMPUTED_VALUE"""),"DISERAHKAN")</f>
        <v>DISERAHKAN</v>
      </c>
      <c r="F1130" s="48">
        <f>IFERROR(__xludf.DUMMYFUNCTION("""COMPUTED_VALUE"""),45671.70274363426)</f>
        <v>45671.70274</v>
      </c>
      <c r="G1130" s="42" t="str">
        <f>IFERROR(__xludf.DUMMYFUNCTION("""COMPUTED_VALUE"""),"PH")</f>
        <v>PH</v>
      </c>
      <c r="H1130" s="42">
        <f t="shared" si="1"/>
        <v>529</v>
      </c>
    </row>
    <row r="1131" ht="22.5" customHeight="1">
      <c r="B1131" s="42" t="str">
        <f>IFERROR(__xludf.DUMMYFUNCTION("""COMPUTED_VALUE"""),"K/14/241224/2")</f>
        <v>K/14/241224/2</v>
      </c>
      <c r="C1131" s="42" t="str">
        <f>IFERROR(__xludf.DUMMYFUNCTION("""COMPUTED_VALUE"""),"M. 1264/ Rawa Laut")</f>
        <v>M. 1264/ Rawa Laut</v>
      </c>
      <c r="D1131" s="42"/>
      <c r="E1131" s="42" t="str">
        <f>IFERROR(__xludf.DUMMYFUNCTION("""COMPUTED_VALUE"""),"DISERAHKAN")</f>
        <v>DISERAHKAN</v>
      </c>
      <c r="F1131" s="48">
        <f>IFERROR(__xludf.DUMMYFUNCTION("""COMPUTED_VALUE"""),45695.37827061342)</f>
        <v>45695.37827</v>
      </c>
      <c r="G1131" s="42" t="str">
        <f>IFERROR(__xludf.DUMMYFUNCTION("""COMPUTED_VALUE"""),"ROYA")</f>
        <v>ROYA</v>
      </c>
      <c r="H1131" s="42">
        <f t="shared" si="1"/>
        <v>530</v>
      </c>
    </row>
    <row r="1132" ht="22.5" customHeight="1">
      <c r="B1132" s="42" t="str">
        <f>IFERROR(__xludf.DUMMYFUNCTION("""COMPUTED_VALUE"""),"K/15/241224/1")</f>
        <v>K/15/241224/1</v>
      </c>
      <c r="C1132" s="42" t="str">
        <f>IFERROR(__xludf.DUMMYFUNCTION("""COMPUTED_VALUE"""),"M. 1766/ Gedong Air")</f>
        <v>M. 1766/ Gedong Air</v>
      </c>
      <c r="D1132" s="42"/>
      <c r="E1132" s="42"/>
      <c r="F1132" s="48" t="str">
        <f>IFERROR(__xludf.DUMMYFUNCTION("""COMPUTED_VALUE"""),"")</f>
        <v/>
      </c>
      <c r="G1132" s="42" t="str">
        <f>IFERROR(__xludf.DUMMYFUNCTION("""COMPUTED_VALUE"""),"PTPGT (Pemecahan)")</f>
        <v>PTPGT (Pemecahan)</v>
      </c>
      <c r="H1132" s="42">
        <f t="shared" si="1"/>
        <v>530</v>
      </c>
    </row>
    <row r="1133" ht="22.5" customHeight="1">
      <c r="B1133" s="42" t="str">
        <f>IFERROR(__xludf.DUMMYFUNCTION("""COMPUTED_VALUE"""),"K/16/241224/1")</f>
        <v>K/16/241224/1</v>
      </c>
      <c r="C1133" s="42" t="str">
        <f>IFERROR(__xludf.DUMMYFUNCTION("""COMPUTED_VALUE"""),"M. 1422/ Gunung Sulah")</f>
        <v>M. 1422/ Gunung Sulah</v>
      </c>
      <c r="D1133" s="42"/>
      <c r="E1133" s="42"/>
      <c r="F1133" s="48" t="str">
        <f>IFERROR(__xludf.DUMMYFUNCTION("""COMPUTED_VALUE"""),"")</f>
        <v/>
      </c>
      <c r="G1133" s="42" t="str">
        <f>IFERROR(__xludf.DUMMYFUNCTION("""COMPUTED_VALUE"""),"BN JUAL BELI")</f>
        <v>BN JUAL BELI</v>
      </c>
      <c r="H1133" s="42">
        <f t="shared" si="1"/>
        <v>530</v>
      </c>
    </row>
    <row r="1134" ht="22.5" customHeight="1">
      <c r="B1134" s="42" t="str">
        <f>IFERROR(__xludf.DUMMYFUNCTION("""COMPUTED_VALUE"""),"L/17/241224/1")</f>
        <v>L/17/241224/1</v>
      </c>
      <c r="C1134" s="42" t="str">
        <f>IFERROR(__xludf.DUMMYFUNCTION("""COMPUTED_VALUE"""),"HM 306/GUNUNG AGUNG")</f>
        <v>HM 306/GUNUNG AGUNG</v>
      </c>
      <c r="D1134" s="42"/>
      <c r="E1134" s="42" t="str">
        <f>IFERROR(__xludf.DUMMYFUNCTION("""COMPUTED_VALUE"""),"DISERAHKAN")</f>
        <v>DISERAHKAN</v>
      </c>
      <c r="F1134" s="48">
        <f>IFERROR(__xludf.DUMMYFUNCTION("""COMPUTED_VALUE"""),45687.41067591435)</f>
        <v>45687.41068</v>
      </c>
      <c r="G1134" s="42" t="str">
        <f>IFERROR(__xludf.DUMMYFUNCTION("""COMPUTED_VALUE"""),"ROYA")</f>
        <v>ROYA</v>
      </c>
      <c r="H1134" s="42">
        <f t="shared" si="1"/>
        <v>531</v>
      </c>
    </row>
    <row r="1135" ht="22.5" customHeight="1">
      <c r="B1135" s="42" t="str">
        <f>IFERROR(__xludf.DUMMYFUNCTION("""COMPUTED_VALUE"""),"K/18/241224/1")</f>
        <v>K/18/241224/1</v>
      </c>
      <c r="C1135" s="42" t="str">
        <f>IFERROR(__xludf.DUMMYFUNCTION("""COMPUTED_VALUE"""),"Nibel 16466/ Bumi Raya")</f>
        <v>Nibel 16466/ Bumi Raya</v>
      </c>
      <c r="D1135" s="42"/>
      <c r="E1135" s="42"/>
      <c r="F1135" s="48" t="str">
        <f>IFERROR(__xludf.DUMMYFUNCTION("""COMPUTED_VALUE"""),"")</f>
        <v/>
      </c>
      <c r="G1135" s="42" t="str">
        <f>IFERROR(__xludf.DUMMYFUNCTION("""COMPUTED_VALUE"""),"BN JUAL BELI")</f>
        <v>BN JUAL BELI</v>
      </c>
      <c r="H1135" s="42">
        <f t="shared" si="1"/>
        <v>531</v>
      </c>
    </row>
    <row r="1136" ht="22.5" customHeight="1">
      <c r="B1136" s="42" t="str">
        <f>IFERROR(__xludf.DUMMYFUNCTION("""COMPUTED_VALUE"""),"K/19/241224/1")</f>
        <v>K/19/241224/1</v>
      </c>
      <c r="C1136" s="42" t="str">
        <f>IFERROR(__xludf.DUMMYFUNCTION("""COMPUTED_VALUE"""),"M. 10658/ Kedamaian")</f>
        <v>M. 10658/ Kedamaian</v>
      </c>
      <c r="D1136" s="42"/>
      <c r="E1136" s="42"/>
      <c r="F1136" s="48" t="str">
        <f>IFERROR(__xludf.DUMMYFUNCTION("""COMPUTED_VALUE"""),"")</f>
        <v/>
      </c>
      <c r="G1136" s="42" t="str">
        <f>IFERROR(__xludf.DUMMYFUNCTION("""COMPUTED_VALUE"""),"BN HIBAH")</f>
        <v>BN HIBAH</v>
      </c>
      <c r="H1136" s="42">
        <f t="shared" si="1"/>
        <v>531</v>
      </c>
    </row>
    <row r="1137" ht="22.5" customHeight="1">
      <c r="B1137" s="42" t="str">
        <f>IFERROR(__xludf.DUMMYFUNCTION("""COMPUTED_VALUE"""),"K/20/241224/2")</f>
        <v>K/20/241224/2</v>
      </c>
      <c r="C1137" s="42" t="str">
        <f>IFERROR(__xludf.DUMMYFUNCTION("""COMPUTED_VALUE"""),"M. 10655/ Kedamaian")</f>
        <v>M. 10655/ Kedamaian</v>
      </c>
      <c r="D1137" s="42"/>
      <c r="E1137" s="42" t="str">
        <f>IFERROR(__xludf.DUMMYFUNCTION("""COMPUTED_VALUE"""),"DISERAHKAN")</f>
        <v>DISERAHKAN</v>
      </c>
      <c r="F1137" s="48">
        <f>IFERROR(__xludf.DUMMYFUNCTION("""COMPUTED_VALUE"""),45672.41902037037)</f>
        <v>45672.41902</v>
      </c>
      <c r="G1137" s="42" t="str">
        <f>IFERROR(__xludf.DUMMYFUNCTION("""COMPUTED_VALUE"""),"BN HIBAH")</f>
        <v>BN HIBAH</v>
      </c>
      <c r="H1137" s="42">
        <f t="shared" si="1"/>
        <v>532</v>
      </c>
    </row>
    <row r="1138" ht="22.5" customHeight="1">
      <c r="B1138" s="42" t="str">
        <f>IFERROR(__xludf.DUMMYFUNCTION("""COMPUTED_VALUE"""),"K/21/241224/2")</f>
        <v>K/21/241224/2</v>
      </c>
      <c r="C1138" s="42" t="str">
        <f>IFERROR(__xludf.DUMMYFUNCTION("""COMPUTED_VALUE"""),"M. 1132/ Kota Baru")</f>
        <v>M. 1132/ Kota Baru</v>
      </c>
      <c r="D1138" s="42"/>
      <c r="E1138" s="42"/>
      <c r="F1138" s="48" t="str">
        <f>IFERROR(__xludf.DUMMYFUNCTION("""COMPUTED_VALUE"""),"")</f>
        <v/>
      </c>
      <c r="G1138" s="42" t="str">
        <f>IFERROR(__xludf.DUMMYFUNCTION("""COMPUTED_VALUE"""),"BN Hibah")</f>
        <v>BN Hibah</v>
      </c>
      <c r="H1138" s="42">
        <f t="shared" si="1"/>
        <v>532</v>
      </c>
    </row>
    <row r="1139" ht="22.5" customHeight="1">
      <c r="B1139" s="42" t="str">
        <f>IFERROR(__xludf.DUMMYFUNCTION("""COMPUTED_VALUE"""),"K/22/241224/1")</f>
        <v>K/22/241224/1</v>
      </c>
      <c r="C1139" s="42" t="str">
        <f>IFERROR(__xludf.DUMMYFUNCTION("""COMPUTED_VALUE"""),"M. 695/ Rajabasa Nunyai")</f>
        <v>M. 695/ Rajabasa Nunyai</v>
      </c>
      <c r="D1139" s="42"/>
      <c r="E1139" s="42"/>
      <c r="F1139" s="48" t="str">
        <f>IFERROR(__xludf.DUMMYFUNCTION("""COMPUTED_VALUE"""),"")</f>
        <v/>
      </c>
      <c r="G1139" s="42" t="str">
        <f>IFERROR(__xludf.DUMMYFUNCTION("""COMPUTED_VALUE"""),"BN Jual Beli")</f>
        <v>BN Jual Beli</v>
      </c>
      <c r="H1139" s="42">
        <f t="shared" si="1"/>
        <v>532</v>
      </c>
    </row>
    <row r="1140" ht="22.5" customHeight="1">
      <c r="B1140" s="42" t="str">
        <f>IFERROR(__xludf.DUMMYFUNCTION("""COMPUTED_VALUE"""),"K/23/241224/1")</f>
        <v>K/23/241224/1</v>
      </c>
      <c r="C1140" s="42" t="str">
        <f>IFERROR(__xludf.DUMMYFUNCTION("""COMPUTED_VALUE"""),"M. 1940/ Sumberrejo sejahtera")</f>
        <v>M. 1940/ Sumberrejo sejahtera</v>
      </c>
      <c r="D1140" s="42"/>
      <c r="E1140" s="42"/>
      <c r="F1140" s="48" t="str">
        <f>IFERROR(__xludf.DUMMYFUNCTION("""COMPUTED_VALUE"""),"")</f>
        <v/>
      </c>
      <c r="G1140" s="42" t="str">
        <f>IFERROR(__xludf.DUMMYFUNCTION("""COMPUTED_VALUE"""),"GANTI BLANKO RUSAK")</f>
        <v>GANTI BLANKO RUSAK</v>
      </c>
      <c r="H1140" s="42">
        <f t="shared" si="1"/>
        <v>532</v>
      </c>
    </row>
    <row r="1141" ht="22.5" customHeight="1">
      <c r="B1141" s="42" t="str">
        <f>IFERROR(__xludf.DUMMYFUNCTION("""COMPUTED_VALUE"""),"L/24/241224/1")</f>
        <v>L/24/241224/1</v>
      </c>
      <c r="C1141" s="42" t="str">
        <f>IFERROR(__xludf.DUMMYFUNCTION("""COMPUTED_VALUE"""),"HM 9674/KEDATON")</f>
        <v>HM 9674/KEDATON</v>
      </c>
      <c r="D1141" s="42"/>
      <c r="E1141" s="42"/>
      <c r="F1141" s="48" t="str">
        <f>IFERROR(__xludf.DUMMYFUNCTION("""COMPUTED_VALUE"""),"")</f>
        <v/>
      </c>
      <c r="G1141" s="42" t="str">
        <f>IFERROR(__xludf.DUMMYFUNCTION("""COMPUTED_VALUE"""),"BN WARIS")</f>
        <v>BN WARIS</v>
      </c>
      <c r="H1141" s="42">
        <f t="shared" si="1"/>
        <v>532</v>
      </c>
    </row>
    <row r="1142" ht="22.5" customHeight="1">
      <c r="B1142" s="42" t="str">
        <f>IFERROR(__xludf.DUMMYFUNCTION("""COMPUTED_VALUE"""),"K/25/241224/1")</f>
        <v>K/25/241224/1</v>
      </c>
      <c r="C1142" s="42" t="str">
        <f>IFERROR(__xludf.DUMMYFUNCTION("""COMPUTED_VALUE"""),"M. 737/ Perumnas Way Kandis")</f>
        <v>M. 737/ Perumnas Way Kandis</v>
      </c>
      <c r="D1142" s="42"/>
      <c r="E1142" s="42"/>
      <c r="F1142" s="48" t="str">
        <f>IFERROR(__xludf.DUMMYFUNCTION("""COMPUTED_VALUE"""),"")</f>
        <v/>
      </c>
      <c r="G1142" s="42" t="str">
        <f>IFERROR(__xludf.DUMMYFUNCTION("""COMPUTED_VALUE"""),"BN JUAL BELI")</f>
        <v>BN JUAL BELI</v>
      </c>
      <c r="H1142" s="42">
        <f t="shared" si="1"/>
        <v>532</v>
      </c>
    </row>
    <row r="1143" ht="22.5" customHeight="1">
      <c r="B1143" s="42" t="str">
        <f>IFERROR(__xludf.DUMMYFUNCTION("""COMPUTED_VALUE"""),"K/26/241224/1")</f>
        <v>K/26/241224/1</v>
      </c>
      <c r="C1143" s="42" t="str">
        <f>IFERROR(__xludf.DUMMYFUNCTION("""COMPUTED_VALUE"""),"M. 2069/ L R R; 11973/ Labuhan Ratu-dahulu")</f>
        <v>M. 2069/ L R R; 11973/ Labuhan Ratu-dahulu</v>
      </c>
      <c r="D1143" s="42"/>
      <c r="E1143" s="42"/>
      <c r="F1143" s="48" t="str">
        <f>IFERROR(__xludf.DUMMYFUNCTION("""COMPUTED_VALUE"""),"")</f>
        <v/>
      </c>
      <c r="G1143" s="42" t="str">
        <f>IFERROR(__xludf.DUMMYFUNCTION("""COMPUTED_VALUE"""),"PTPGT (Pemecahan)")</f>
        <v>PTPGT (Pemecahan)</v>
      </c>
      <c r="H1143" s="42">
        <f t="shared" si="1"/>
        <v>532</v>
      </c>
    </row>
    <row r="1144" ht="22.5" customHeight="1">
      <c r="B1144" s="42" t="str">
        <f>IFERROR(__xludf.DUMMYFUNCTION("""COMPUTED_VALUE"""),"K/29/241224/1")</f>
        <v>K/29/241224/1</v>
      </c>
      <c r="C1144" s="42" t="str">
        <f>IFERROR(__xludf.DUMMYFUNCTION("""COMPUTED_VALUE"""),"M. 1425/ Bumi Kedamaian")</f>
        <v>M. 1425/ Bumi Kedamaian</v>
      </c>
      <c r="D1144" s="42"/>
      <c r="E1144" s="42"/>
      <c r="F1144" s="48" t="str">
        <f>IFERROR(__xludf.DUMMYFUNCTION("""COMPUTED_VALUE"""),"")</f>
        <v/>
      </c>
      <c r="G1144" s="42" t="str">
        <f>IFERROR(__xludf.DUMMYFUNCTION("""COMPUTED_VALUE"""),"BN JUAL BELI")</f>
        <v>BN JUAL BELI</v>
      </c>
      <c r="H1144" s="42">
        <f t="shared" si="1"/>
        <v>532</v>
      </c>
    </row>
    <row r="1145" ht="22.5" customHeight="1">
      <c r="B1145" s="42" t="str">
        <f>IFERROR(__xludf.DUMMYFUNCTION("""COMPUTED_VALUE"""),"K/40/241224/1")</f>
        <v>K/40/241224/1</v>
      </c>
      <c r="C1145" s="42" t="str">
        <f>IFERROR(__xludf.DUMMYFUNCTION("""COMPUTED_VALUE"""),"M. 2229/ Sukadana Ham")</f>
        <v>M. 2229/ Sukadana Ham</v>
      </c>
      <c r="D1145" s="42"/>
      <c r="E1145" s="42" t="str">
        <f>IFERROR(__xludf.DUMMYFUNCTION("""COMPUTED_VALUE"""),"DISERAHKAN")</f>
        <v>DISERAHKAN</v>
      </c>
      <c r="F1145" s="48">
        <f>IFERROR(__xludf.DUMMYFUNCTION("""COMPUTED_VALUE"""),45719.64010243055)</f>
        <v>45719.6401</v>
      </c>
      <c r="G1145" s="42" t="str">
        <f>IFERROR(__xludf.DUMMYFUNCTION("""COMPUTED_VALUE"""),"Roya")</f>
        <v>Roya</v>
      </c>
      <c r="H1145" s="42">
        <f t="shared" si="1"/>
        <v>533</v>
      </c>
    </row>
    <row r="1146" ht="22.5" customHeight="1">
      <c r="B1146" s="42" t="str">
        <f>IFERROR(__xludf.DUMMYFUNCTION("""COMPUTED_VALUE"""),"K/32/241224/2")</f>
        <v>K/32/241224/2</v>
      </c>
      <c r="C1146" s="42" t="str">
        <f>IFERROR(__xludf.DUMMYFUNCTION("""COMPUTED_VALUE"""),"NIBEL M.1747/SIDODADI")</f>
        <v>NIBEL M.1747/SIDODADI</v>
      </c>
      <c r="D1146" s="42"/>
      <c r="E1146" s="42"/>
      <c r="F1146" s="48" t="str">
        <f>IFERROR(__xludf.DUMMYFUNCTION("""COMPUTED_VALUE"""),"")</f>
        <v/>
      </c>
      <c r="G1146" s="42" t="str">
        <f>IFERROR(__xludf.DUMMYFUNCTION("""COMPUTED_VALUE"""),"BN JUAL BELI")</f>
        <v>BN JUAL BELI</v>
      </c>
      <c r="H1146" s="42">
        <f t="shared" si="1"/>
        <v>533</v>
      </c>
    </row>
    <row r="1147" ht="22.5" customHeight="1">
      <c r="B1147" s="42" t="str">
        <f>IFERROR(__xludf.DUMMYFUNCTION("""COMPUTED_VALUE"""),"K/34/241224/2")</f>
        <v>K/34/241224/2</v>
      </c>
      <c r="C1147" s="42" t="str">
        <f>IFERROR(__xludf.DUMMYFUNCTION("""COMPUTED_VALUE"""),"M. 10731/ segala Mider")</f>
        <v>M. 10731/ segala Mider</v>
      </c>
      <c r="D1147" s="42"/>
      <c r="E1147" s="42"/>
      <c r="F1147" s="48" t="str">
        <f>IFERROR(__xludf.DUMMYFUNCTION("""COMPUTED_VALUE"""),"")</f>
        <v/>
      </c>
      <c r="G1147" s="42" t="str">
        <f>IFERROR(__xludf.DUMMYFUNCTION("""COMPUTED_VALUE"""),"GANTI KELURAHAN")</f>
        <v>GANTI KELURAHAN</v>
      </c>
      <c r="H1147" s="42">
        <f t="shared" si="1"/>
        <v>533</v>
      </c>
    </row>
    <row r="1148" ht="22.5" customHeight="1">
      <c r="B1148" s="42" t="str">
        <f>IFERROR(__xludf.DUMMYFUNCTION("""COMPUTED_VALUE"""),"K/36/241224/1")</f>
        <v>K/36/241224/1</v>
      </c>
      <c r="C1148" s="42" t="str">
        <f>IFERROR(__xludf.DUMMYFUNCTION("""COMPUTED_VALUE"""),"Nibel. M. 864/ Rajabasa Raya")</f>
        <v>Nibel. M. 864/ Rajabasa Raya</v>
      </c>
      <c r="D1148" s="42"/>
      <c r="E1148" s="42"/>
      <c r="F1148" s="48" t="str">
        <f>IFERROR(__xludf.DUMMYFUNCTION("""COMPUTED_VALUE"""),"")</f>
        <v/>
      </c>
      <c r="G1148" s="42" t="str">
        <f>IFERROR(__xludf.DUMMYFUNCTION("""COMPUTED_VALUE"""),"BN Jual Beli")</f>
        <v>BN Jual Beli</v>
      </c>
      <c r="H1148" s="42">
        <f t="shared" si="1"/>
        <v>533</v>
      </c>
    </row>
    <row r="1149" ht="22.5" customHeight="1">
      <c r="B1149" s="42" t="str">
        <f>IFERROR(__xludf.DUMMYFUNCTION("""COMPUTED_VALUE"""),"K/35/241224/1")</f>
        <v>K/35/241224/1</v>
      </c>
      <c r="C1149" s="42" t="str">
        <f>IFERROR(__xludf.DUMMYFUNCTION("""COMPUTED_VALUE"""),"M. 1928/ Campang Jaya")</f>
        <v>M. 1928/ Campang Jaya</v>
      </c>
      <c r="D1149" s="42"/>
      <c r="E1149" s="42"/>
      <c r="F1149" s="48" t="str">
        <f>IFERROR(__xludf.DUMMYFUNCTION("""COMPUTED_VALUE"""),"")</f>
        <v/>
      </c>
      <c r="G1149" s="42" t="str">
        <f>IFERROR(__xludf.DUMMYFUNCTION("""COMPUTED_VALUE"""),"BN Jual Beli")</f>
        <v>BN Jual Beli</v>
      </c>
      <c r="H1149" s="42">
        <f t="shared" si="1"/>
        <v>533</v>
      </c>
    </row>
    <row r="1150" ht="22.5" customHeight="1">
      <c r="B1150" s="42" t="str">
        <f>IFERROR(__xludf.DUMMYFUNCTION("""COMPUTED_VALUE"""),"K/41/241224/1")</f>
        <v>K/41/241224/1</v>
      </c>
      <c r="C1150" s="42" t="str">
        <f>IFERROR(__xludf.DUMMYFUNCTION("""COMPUTED_VALUE"""),"B. 629/ Sukarame Baru")</f>
        <v>B. 629/ Sukarame Baru</v>
      </c>
      <c r="D1150" s="42"/>
      <c r="E1150" s="42"/>
      <c r="F1150" s="48" t="str">
        <f>IFERROR(__xludf.DUMMYFUNCTION("""COMPUTED_VALUE"""),"")</f>
        <v/>
      </c>
      <c r="G1150" s="42" t="str">
        <f>IFERROR(__xludf.DUMMYFUNCTION("""COMPUTED_VALUE"""),"Perubahan Hak")</f>
        <v>Perubahan Hak</v>
      </c>
      <c r="H1150" s="42">
        <f t="shared" si="1"/>
        <v>533</v>
      </c>
    </row>
    <row r="1151" ht="22.5" customHeight="1">
      <c r="B1151" s="42" t="str">
        <f>IFERROR(__xludf.DUMMYFUNCTION("""COMPUTED_VALUE"""),"K/37/241224/1")</f>
        <v>K/37/241224/1</v>
      </c>
      <c r="C1151" s="42" t="str">
        <f>IFERROR(__xludf.DUMMYFUNCTION("""COMPUTED_VALUE"""),"NIBEL M 2672/TANJUNG SENENG")</f>
        <v>NIBEL M 2672/TANJUNG SENENG</v>
      </c>
      <c r="D1151" s="42"/>
      <c r="E1151" s="42"/>
      <c r="F1151" s="48" t="str">
        <f>IFERROR(__xludf.DUMMYFUNCTION("""COMPUTED_VALUE"""),"")</f>
        <v/>
      </c>
      <c r="G1151" s="42" t="str">
        <f>IFERROR(__xludf.DUMMYFUNCTION("""COMPUTED_VALUE"""),"PEMECAHAN")</f>
        <v>PEMECAHAN</v>
      </c>
      <c r="H1151" s="42">
        <f t="shared" si="1"/>
        <v>533</v>
      </c>
    </row>
    <row r="1152" ht="22.5" customHeight="1">
      <c r="B1152" s="42" t="str">
        <f>IFERROR(__xludf.DUMMYFUNCTION("""COMPUTED_VALUE"""),"K/42/241224/1")</f>
        <v>K/42/241224/1</v>
      </c>
      <c r="C1152" s="42" t="str">
        <f>IFERROR(__xludf.DUMMYFUNCTION("""COMPUTED_VALUE"""),"M. 2260/ N O G")</f>
        <v>M. 2260/ N O G</v>
      </c>
      <c r="D1152" s="42"/>
      <c r="E1152" s="42" t="str">
        <f>IFERROR(__xludf.DUMMYFUNCTION("""COMPUTED_VALUE"""),"DISERAHKAN")</f>
        <v>DISERAHKAN</v>
      </c>
      <c r="F1152" s="48">
        <f>IFERROR(__xludf.DUMMYFUNCTION("""COMPUTED_VALUE"""),45666.705789768515)</f>
        <v>45666.70579</v>
      </c>
      <c r="G1152" s="42" t="str">
        <f>IFERROR(__xludf.DUMMYFUNCTION("""COMPUTED_VALUE"""),"BN Jual Beli")</f>
        <v>BN Jual Beli</v>
      </c>
      <c r="H1152" s="42">
        <f t="shared" si="1"/>
        <v>534</v>
      </c>
    </row>
    <row r="1153" ht="22.5" customHeight="1">
      <c r="B1153" s="42" t="str">
        <f>IFERROR(__xludf.DUMMYFUNCTION("""COMPUTED_VALUE"""),"K/38/241224/1")</f>
        <v>K/38/241224/1</v>
      </c>
      <c r="C1153" s="42" t="str">
        <f>IFERROR(__xludf.DUMMYFUNCTION("""COMPUTED_VALUE"""),"M. 107/ Palapa")</f>
        <v>M. 107/ Palapa</v>
      </c>
      <c r="D1153" s="42"/>
      <c r="E1153" s="42"/>
      <c r="F1153" s="48" t="str">
        <f>IFERROR(__xludf.DUMMYFUNCTION("""COMPUTED_VALUE"""),"")</f>
        <v/>
      </c>
      <c r="G1153" s="42" t="str">
        <f>IFERROR(__xludf.DUMMYFUNCTION("""COMPUTED_VALUE"""),"BN WARIS")</f>
        <v>BN WARIS</v>
      </c>
      <c r="H1153" s="42">
        <f t="shared" si="1"/>
        <v>534</v>
      </c>
    </row>
    <row r="1154" ht="22.5" customHeight="1">
      <c r="B1154" s="42" t="str">
        <f>IFERROR(__xludf.DUMMYFUNCTION("""COMPUTED_VALUE"""),"K/1/271224/1")</f>
        <v>K/1/271224/1</v>
      </c>
      <c r="C1154" s="42" t="str">
        <f>IFERROR(__xludf.DUMMYFUNCTION("""COMPUTED_VALUE"""),"M. 12291/ Segala Mider")</f>
        <v>M. 12291/ Segala Mider</v>
      </c>
      <c r="D1154" s="42"/>
      <c r="E1154" s="42"/>
      <c r="F1154" s="48" t="str">
        <f>IFERROR(__xludf.DUMMYFUNCTION("""COMPUTED_VALUE"""),"")</f>
        <v/>
      </c>
      <c r="G1154" s="42" t="str">
        <f>IFERROR(__xludf.DUMMYFUNCTION("""COMPUTED_VALUE"""),"ROYA")</f>
        <v>ROYA</v>
      </c>
      <c r="H1154" s="42">
        <f t="shared" si="1"/>
        <v>534</v>
      </c>
    </row>
    <row r="1155" ht="22.5" customHeight="1">
      <c r="B1155" s="42" t="str">
        <f>IFERROR(__xludf.DUMMYFUNCTION("""COMPUTED_VALUE"""),"K/30/241224/1")</f>
        <v>K/30/241224/1</v>
      </c>
      <c r="C1155" s="42" t="str">
        <f>IFERROR(__xludf.DUMMYFUNCTION("""COMPUTED_VALUE"""),"M. 2371/ Sukamaju")</f>
        <v>M. 2371/ Sukamaju</v>
      </c>
      <c r="D1155" s="42"/>
      <c r="E1155" s="42"/>
      <c r="F1155" s="48" t="str">
        <f>IFERROR(__xludf.DUMMYFUNCTION("""COMPUTED_VALUE"""),"")</f>
        <v/>
      </c>
      <c r="G1155" s="42" t="str">
        <f>IFERROR(__xludf.DUMMYFUNCTION("""COMPUTED_VALUE"""),"ROYA")</f>
        <v>ROYA</v>
      </c>
      <c r="H1155" s="42">
        <f t="shared" si="1"/>
        <v>534</v>
      </c>
    </row>
    <row r="1156" ht="22.5" customHeight="1">
      <c r="B1156" s="42" t="str">
        <f>IFERROR(__xludf.DUMMYFUNCTION("""COMPUTED_VALUE"""),"K/3/271224/1")</f>
        <v>K/3/271224/1</v>
      </c>
      <c r="C1156" s="42" t="str">
        <f>IFERROR(__xludf.DUMMYFUNCTION("""COMPUTED_VALUE"""),"BERINGIN RAYA")</f>
        <v>BERINGIN RAYA</v>
      </c>
      <c r="D1156" s="42"/>
      <c r="E1156" s="42"/>
      <c r="F1156" s="48" t="str">
        <f>IFERROR(__xludf.DUMMYFUNCTION("""COMPUTED_VALUE"""),"")</f>
        <v/>
      </c>
      <c r="G1156" s="42" t="str">
        <f>IFERROR(__xludf.DUMMYFUNCTION("""COMPUTED_VALUE"""),"PENGUKURAN TANAH MENTAH")</f>
        <v>PENGUKURAN TANAH MENTAH</v>
      </c>
      <c r="H1156" s="42">
        <f t="shared" si="1"/>
        <v>534</v>
      </c>
    </row>
    <row r="1157" ht="22.5" customHeight="1">
      <c r="B1157" s="42" t="str">
        <f>IFERROR(__xludf.DUMMYFUNCTION("""COMPUTED_VALUE"""),"L/6/271224/1")</f>
        <v>L/6/271224/1</v>
      </c>
      <c r="C1157" s="42" t="str">
        <f>IFERROR(__xludf.DUMMYFUNCTION("""COMPUTED_VALUE"""),"HGB 507/GUNUNG SULAH")</f>
        <v>HGB 507/GUNUNG SULAH</v>
      </c>
      <c r="D1157" s="42"/>
      <c r="E1157" s="42" t="str">
        <f>IFERROR(__xludf.DUMMYFUNCTION("""COMPUTED_VALUE"""),"DISERAHKAN")</f>
        <v>DISERAHKAN</v>
      </c>
      <c r="F1157" s="48">
        <f>IFERROR(__xludf.DUMMYFUNCTION("""COMPUTED_VALUE"""),45741.532125972226)</f>
        <v>45741.53213</v>
      </c>
      <c r="G1157" s="42" t="str">
        <f>IFERROR(__xludf.DUMMYFUNCTION("""COMPUTED_VALUE"""),"ROYA")</f>
        <v>ROYA</v>
      </c>
      <c r="H1157" s="42">
        <f t="shared" si="1"/>
        <v>535</v>
      </c>
    </row>
    <row r="1158" ht="22.5" customHeight="1">
      <c r="B1158" s="42" t="str">
        <f>IFERROR(__xludf.DUMMYFUNCTION("""COMPUTED_VALUE"""),"K/7/271224/1")</f>
        <v>K/7/271224/1</v>
      </c>
      <c r="C1158" s="42" t="str">
        <f>IFERROR(__xludf.DUMMYFUNCTION("""COMPUTED_VALUE"""),"M.873/CAMPANG RAYA")</f>
        <v>M.873/CAMPANG RAYA</v>
      </c>
      <c r="D1158" s="42"/>
      <c r="E1158" s="42" t="str">
        <f>IFERROR(__xludf.DUMMYFUNCTION("""COMPUTED_VALUE"""),"DISERAHKAN")</f>
        <v>DISERAHKAN</v>
      </c>
      <c r="F1158" s="48">
        <f>IFERROR(__xludf.DUMMYFUNCTION("""COMPUTED_VALUE"""),45707.68660501158)</f>
        <v>45707.68661</v>
      </c>
      <c r="G1158" s="42" t="str">
        <f>IFERROR(__xludf.DUMMYFUNCTION("""COMPUTED_VALUE"""),"ROYA")</f>
        <v>ROYA</v>
      </c>
      <c r="H1158" s="42">
        <f t="shared" si="1"/>
        <v>536</v>
      </c>
    </row>
    <row r="1159" ht="22.5" customHeight="1">
      <c r="B1159" s="42" t="str">
        <f>IFERROR(__xludf.DUMMYFUNCTION("""COMPUTED_VALUE"""),"K/8/271224/1")</f>
        <v>K/8/271224/1</v>
      </c>
      <c r="C1159" s="42" t="str">
        <f>IFERROR(__xludf.DUMMYFUNCTION("""COMPUTED_VALUE"""),"M. 585/ Kemiling Raya")</f>
        <v>M. 585/ Kemiling Raya</v>
      </c>
      <c r="D1159" s="42"/>
      <c r="E1159" s="42"/>
      <c r="F1159" s="48" t="str">
        <f>IFERROR(__xludf.DUMMYFUNCTION("""COMPUTED_VALUE"""),"")</f>
        <v/>
      </c>
      <c r="G1159" s="42" t="str">
        <f>IFERROR(__xludf.DUMMYFUNCTION("""COMPUTED_VALUE"""),"PLOTTING")</f>
        <v>PLOTTING</v>
      </c>
      <c r="H1159" s="42">
        <f t="shared" si="1"/>
        <v>536</v>
      </c>
    </row>
    <row r="1160" ht="22.5" customHeight="1">
      <c r="B1160" s="42" t="str">
        <f>IFERROR(__xludf.DUMMYFUNCTION("""COMPUTED_VALUE"""),"L/9/271224/1")</f>
        <v>L/9/271224/1</v>
      </c>
      <c r="C1160" s="42" t="str">
        <f>IFERROR(__xludf.DUMMYFUNCTION("""COMPUTED_VALUE"""),"HGB 119/LANGKAPURA")</f>
        <v>HGB 119/LANGKAPURA</v>
      </c>
      <c r="D1160" s="42" t="str">
        <f>IFERROR(__xludf.DUMMYFUNCTION("""COMPUTED_VALUE"""),"David")</f>
        <v>David</v>
      </c>
      <c r="E1160" s="42" t="str">
        <f>IFERROR(__xludf.DUMMYFUNCTION("""COMPUTED_VALUE"""),"DISERAHKAN")</f>
        <v>DISERAHKAN</v>
      </c>
      <c r="F1160" s="48">
        <f>IFERROR(__xludf.DUMMYFUNCTION("""COMPUTED_VALUE"""),45839.431820763886)</f>
        <v>45839.43182</v>
      </c>
      <c r="G1160" s="42" t="str">
        <f>IFERROR(__xludf.DUMMYFUNCTION("""COMPUTED_VALUE"""),"ROYA")</f>
        <v>ROYA</v>
      </c>
      <c r="H1160" s="42">
        <f t="shared" si="1"/>
        <v>537</v>
      </c>
    </row>
    <row r="1161" ht="22.5" customHeight="1">
      <c r="B1161" s="42" t="str">
        <f>IFERROR(__xludf.DUMMYFUNCTION("""COMPUTED_VALUE"""),"K/10/271224/1")</f>
        <v>K/10/271224/1</v>
      </c>
      <c r="C1161" s="42" t="str">
        <f>IFERROR(__xludf.DUMMYFUNCTION("""COMPUTED_VALUE"""),"B.3561/KALI BALAU KENCANA-SEKARANG;B.3561/SUKARAME I")</f>
        <v>B.3561/KALI BALAU KENCANA-SEKARANG;B.3561/SUKARAME I</v>
      </c>
      <c r="D1161" s="42"/>
      <c r="E1161" s="42"/>
      <c r="F1161" s="48" t="str">
        <f>IFERROR(__xludf.DUMMYFUNCTION("""COMPUTED_VALUE"""),"")</f>
        <v/>
      </c>
      <c r="G1161" s="42" t="str">
        <f>IFERROR(__xludf.DUMMYFUNCTION("""COMPUTED_VALUE"""),"BN JUAL BELI")</f>
        <v>BN JUAL BELI</v>
      </c>
      <c r="H1161" s="42">
        <f t="shared" si="1"/>
        <v>537</v>
      </c>
    </row>
    <row r="1162" ht="22.5" customHeight="1">
      <c r="B1162" s="42" t="str">
        <f>IFERROR(__xludf.DUMMYFUNCTION("""COMPUTED_VALUE"""),"K/11/271224/1")</f>
        <v>K/11/271224/1</v>
      </c>
      <c r="C1162" s="42" t="str">
        <f>IFERROR(__xludf.DUMMYFUNCTION("""COMPUTED_VALUE"""),"B. 5018/ Sukarame")</f>
        <v>B. 5018/ Sukarame</v>
      </c>
      <c r="D1162" s="42"/>
      <c r="E1162" s="42" t="str">
        <f>IFERROR(__xludf.DUMMYFUNCTION("""COMPUTED_VALUE"""),"DISERAHKAN")</f>
        <v>DISERAHKAN</v>
      </c>
      <c r="F1162" s="48">
        <f>IFERROR(__xludf.DUMMYFUNCTION("""COMPUTED_VALUE"""),45672.41972913194)</f>
        <v>45672.41973</v>
      </c>
      <c r="G1162" s="42" t="str">
        <f>IFERROR(__xludf.DUMMYFUNCTION("""COMPUTED_VALUE"""),"BN JUAL BELI")</f>
        <v>BN JUAL BELI</v>
      </c>
      <c r="H1162" s="42">
        <f t="shared" si="1"/>
        <v>538</v>
      </c>
    </row>
    <row r="1163" ht="22.5" customHeight="1">
      <c r="B1163" s="42" t="str">
        <f>IFERROR(__xludf.DUMMYFUNCTION("""COMPUTED_VALUE"""),"K/12/271224/1")</f>
        <v>K/12/271224/1</v>
      </c>
      <c r="C1163" s="42" t="str">
        <f>IFERROR(__xludf.DUMMYFUNCTION("""COMPUTED_VALUE"""),"B. 276/ Campang Raya")</f>
        <v>B. 276/ Campang Raya</v>
      </c>
      <c r="D1163" s="42"/>
      <c r="E1163" s="42"/>
      <c r="F1163" s="48" t="str">
        <f>IFERROR(__xludf.DUMMYFUNCTION("""COMPUTED_VALUE"""),"")</f>
        <v/>
      </c>
      <c r="G1163" s="42" t="str">
        <f>IFERROR(__xludf.DUMMYFUNCTION("""COMPUTED_VALUE"""),"GANTI KELURAHAN")</f>
        <v>GANTI KELURAHAN</v>
      </c>
      <c r="H1163" s="42">
        <f t="shared" si="1"/>
        <v>538</v>
      </c>
    </row>
    <row r="1164" ht="22.5" customHeight="1">
      <c r="B1164" s="42" t="str">
        <f>IFERROR(__xludf.DUMMYFUNCTION("""COMPUTED_VALUE"""),"K/14/271224/1")</f>
        <v>K/14/271224/1</v>
      </c>
      <c r="C1164" s="42" t="str">
        <f>IFERROR(__xludf.DUMMYFUNCTION("""COMPUTED_VALUE"""),"M. 116/ Way Tataan")</f>
        <v>M. 116/ Way Tataan</v>
      </c>
      <c r="D1164" s="42"/>
      <c r="E1164" s="42" t="str">
        <f>IFERROR(__xludf.DUMMYFUNCTION("""COMPUTED_VALUE"""),"DISERAHKAN")</f>
        <v>DISERAHKAN</v>
      </c>
      <c r="F1164" s="48">
        <f>IFERROR(__xludf.DUMMYFUNCTION("""COMPUTED_VALUE"""),45722.49656238426)</f>
        <v>45722.49656</v>
      </c>
      <c r="G1164" s="42" t="str">
        <f>IFERROR(__xludf.DUMMYFUNCTION("""COMPUTED_VALUE"""),"Roya")</f>
        <v>Roya</v>
      </c>
      <c r="H1164" s="42">
        <f t="shared" si="1"/>
        <v>539</v>
      </c>
    </row>
    <row r="1165" ht="22.5" customHeight="1">
      <c r="B1165" s="42" t="str">
        <f>IFERROR(__xludf.DUMMYFUNCTION("""COMPUTED_VALUE"""),"K/13/271224/2")</f>
        <v>K/13/271224/2</v>
      </c>
      <c r="C1165" s="42" t="str">
        <f>IFERROR(__xludf.DUMMYFUNCTION("""COMPUTED_VALUE"""),"Nibel 138/ Sukarame")</f>
        <v>Nibel 138/ Sukarame</v>
      </c>
      <c r="D1165" s="42"/>
      <c r="E1165" s="42"/>
      <c r="F1165" s="48" t="str">
        <f>IFERROR(__xludf.DUMMYFUNCTION("""COMPUTED_VALUE"""),"")</f>
        <v/>
      </c>
      <c r="G1165" s="42" t="str">
        <f>IFERROR(__xludf.DUMMYFUNCTION("""COMPUTED_VALUE"""),"BN JUAL BELI")</f>
        <v>BN JUAL BELI</v>
      </c>
      <c r="H1165" s="42">
        <f t="shared" si="1"/>
        <v>539</v>
      </c>
    </row>
    <row r="1166" ht="22.5" customHeight="1">
      <c r="B1166" s="42" t="str">
        <f>IFERROR(__xludf.DUMMYFUNCTION("""COMPUTED_VALUE"""),"K/18/271224/1")</f>
        <v>K/18/271224/1</v>
      </c>
      <c r="C1166" s="42" t="str">
        <f>IFERROR(__xludf.DUMMYFUNCTION("""COMPUTED_VALUE"""),"Nibel 1993/ Palapa")</f>
        <v>Nibel 1993/ Palapa</v>
      </c>
      <c r="D1166" s="42"/>
      <c r="E1166" s="42"/>
      <c r="F1166" s="48" t="str">
        <f>IFERROR(__xludf.DUMMYFUNCTION("""COMPUTED_VALUE"""),"")</f>
        <v/>
      </c>
      <c r="G1166" s="42" t="str">
        <f>IFERROR(__xludf.DUMMYFUNCTION("""COMPUTED_VALUE"""),"BN JUAL BELI")</f>
        <v>BN JUAL BELI</v>
      </c>
      <c r="H1166" s="42">
        <f t="shared" si="1"/>
        <v>539</v>
      </c>
    </row>
    <row r="1167" ht="22.5" customHeight="1">
      <c r="B1167" s="42" t="str">
        <f>IFERROR(__xludf.DUMMYFUNCTION("""COMPUTED_VALUE"""),"K/23/271224/1")</f>
        <v>K/23/271224/1</v>
      </c>
      <c r="C1167" s="42" t="str">
        <f>IFERROR(__xludf.DUMMYFUNCTION("""COMPUTED_VALUE"""),"B. 513/ Sukarame Baru")</f>
        <v>B. 513/ Sukarame Baru</v>
      </c>
      <c r="D1167" s="42"/>
      <c r="E1167" s="42"/>
      <c r="F1167" s="48" t="str">
        <f>IFERROR(__xludf.DUMMYFUNCTION("""COMPUTED_VALUE"""),"")</f>
        <v/>
      </c>
      <c r="G1167" s="42" t="str">
        <f>IFERROR(__xludf.DUMMYFUNCTION("""COMPUTED_VALUE"""),"BN JUAL BELI")</f>
        <v>BN JUAL BELI</v>
      </c>
      <c r="H1167" s="42">
        <f t="shared" si="1"/>
        <v>539</v>
      </c>
    </row>
    <row r="1168" ht="22.5" customHeight="1">
      <c r="B1168" s="42" t="str">
        <f>IFERROR(__xludf.DUMMYFUNCTION("""COMPUTED_VALUE"""),"K/24/271224/2")</f>
        <v>K/24/271224/2</v>
      </c>
      <c r="C1168" s="42" t="str">
        <f>IFERROR(__xludf.DUMMYFUNCTION("""COMPUTED_VALUE"""),"B. 512/ Sukarame Baru")</f>
        <v>B. 512/ Sukarame Baru</v>
      </c>
      <c r="D1168" s="42"/>
      <c r="E1168" s="42"/>
      <c r="F1168" s="48" t="str">
        <f>IFERROR(__xludf.DUMMYFUNCTION("""COMPUTED_VALUE"""),"")</f>
        <v/>
      </c>
      <c r="G1168" s="42" t="str">
        <f>IFERROR(__xludf.DUMMYFUNCTION("""COMPUTED_VALUE"""),"BN JUAL BELI")</f>
        <v>BN JUAL BELI</v>
      </c>
      <c r="H1168" s="42">
        <f t="shared" si="1"/>
        <v>539</v>
      </c>
    </row>
    <row r="1169" ht="22.5" customHeight="1">
      <c r="B1169" s="42" t="str">
        <f>IFERROR(__xludf.DUMMYFUNCTION("""COMPUTED_VALUE"""),"K/25/271224/3")</f>
        <v>K/25/271224/3</v>
      </c>
      <c r="C1169" s="42" t="str">
        <f>IFERROR(__xludf.DUMMYFUNCTION("""COMPUTED_VALUE"""),"Nibel 704/ Kota Sepang")</f>
        <v>Nibel 704/ Kota Sepang</v>
      </c>
      <c r="D1169" s="42"/>
      <c r="E1169" s="42"/>
      <c r="F1169" s="48" t="str">
        <f>IFERROR(__xludf.DUMMYFUNCTION("""COMPUTED_VALUE"""),"")</f>
        <v/>
      </c>
      <c r="G1169" s="42" t="str">
        <f>IFERROR(__xludf.DUMMYFUNCTION("""COMPUTED_VALUE"""),"BN JUAL BELI")</f>
        <v>BN JUAL BELI</v>
      </c>
      <c r="H1169" s="42">
        <f t="shared" si="1"/>
        <v>539</v>
      </c>
    </row>
    <row r="1170" ht="22.5" customHeight="1">
      <c r="B1170" s="42" t="str">
        <f>IFERROR(__xludf.DUMMYFUNCTION("""COMPUTED_VALUE"""),"K/26/271224/4")</f>
        <v>K/26/271224/4</v>
      </c>
      <c r="C1170" s="42" t="str">
        <f>IFERROR(__xludf.DUMMYFUNCTION("""COMPUTED_VALUE"""),"M. 635/ Tanjung Raya")</f>
        <v>M. 635/ Tanjung Raya</v>
      </c>
      <c r="D1170" s="42"/>
      <c r="E1170" s="42"/>
      <c r="F1170" s="48" t="str">
        <f>IFERROR(__xludf.DUMMYFUNCTION("""COMPUTED_VALUE"""),"")</f>
        <v/>
      </c>
      <c r="G1170" s="42" t="str">
        <f>IFERROR(__xludf.DUMMYFUNCTION("""COMPUTED_VALUE"""),"BN JUAL BELI")</f>
        <v>BN JUAL BELI</v>
      </c>
      <c r="H1170" s="42">
        <f t="shared" si="1"/>
        <v>539</v>
      </c>
    </row>
    <row r="1171" ht="22.5" customHeight="1">
      <c r="B1171" s="42" t="str">
        <f>IFERROR(__xludf.DUMMYFUNCTION("""COMPUTED_VALUE"""),"K/27/271224/5")</f>
        <v>K/27/271224/5</v>
      </c>
      <c r="C1171" s="42" t="str">
        <f>IFERROR(__xludf.DUMMYFUNCTION("""COMPUTED_VALUE"""),"Nibel 10768/ Kaliawi")</f>
        <v>Nibel 10768/ Kaliawi</v>
      </c>
      <c r="D1171" s="42"/>
      <c r="E1171" s="42"/>
      <c r="F1171" s="48" t="str">
        <f>IFERROR(__xludf.DUMMYFUNCTION("""COMPUTED_VALUE"""),"")</f>
        <v/>
      </c>
      <c r="G1171" s="42" t="str">
        <f>IFERROR(__xludf.DUMMYFUNCTION("""COMPUTED_VALUE"""),"BN JUAL BELI")</f>
        <v>BN JUAL BELI</v>
      </c>
      <c r="H1171" s="42">
        <f t="shared" si="1"/>
        <v>539</v>
      </c>
    </row>
    <row r="1172" ht="22.5" customHeight="1">
      <c r="B1172" s="42" t="str">
        <f>IFERROR(__xludf.DUMMYFUNCTION("""COMPUTED_VALUE"""),"K/28/271224/1")</f>
        <v>K/28/271224/1</v>
      </c>
      <c r="C1172" s="42" t="str">
        <f>IFERROR(__xludf.DUMMYFUNCTION("""COMPUTED_VALUE"""),"M. 1337/ Kaliawi")</f>
        <v>M. 1337/ Kaliawi</v>
      </c>
      <c r="D1172" s="42"/>
      <c r="E1172" s="42"/>
      <c r="F1172" s="48" t="str">
        <f>IFERROR(__xludf.DUMMYFUNCTION("""COMPUTED_VALUE"""),"")</f>
        <v/>
      </c>
      <c r="G1172" s="42" t="str">
        <f>IFERROR(__xludf.DUMMYFUNCTION("""COMPUTED_VALUE"""),"BN Jual Beli")</f>
        <v>BN Jual Beli</v>
      </c>
      <c r="H1172" s="42">
        <f t="shared" si="1"/>
        <v>539</v>
      </c>
    </row>
    <row r="1173" ht="22.5" customHeight="1">
      <c r="B1173" s="42" t="str">
        <f>IFERROR(__xludf.DUMMYFUNCTION("""COMPUTED_VALUE"""),"K/29/271224/1")</f>
        <v>K/29/271224/1</v>
      </c>
      <c r="C1173" s="42" t="str">
        <f>IFERROR(__xludf.DUMMYFUNCTION("""COMPUTED_VALUE"""),"M. 2058/ Labuhan Dalam")</f>
        <v>M. 2058/ Labuhan Dalam</v>
      </c>
      <c r="D1173" s="42"/>
      <c r="E1173" s="42" t="str">
        <f>IFERROR(__xludf.DUMMYFUNCTION("""COMPUTED_VALUE"""),"DISERAHKAN")</f>
        <v>DISERAHKAN</v>
      </c>
      <c r="F1173" s="48">
        <f>IFERROR(__xludf.DUMMYFUNCTION("""COMPUTED_VALUE"""),45694.63044085648)</f>
        <v>45694.63044</v>
      </c>
      <c r="G1173" s="42" t="str">
        <f>IFERROR(__xludf.DUMMYFUNCTION("""COMPUTED_VALUE"""),"ROYA")</f>
        <v>ROYA</v>
      </c>
      <c r="H1173" s="42">
        <f t="shared" si="1"/>
        <v>540</v>
      </c>
    </row>
    <row r="1174" ht="22.5" customHeight="1">
      <c r="B1174" s="42" t="str">
        <f>IFERROR(__xludf.DUMMYFUNCTION("""COMPUTED_VALUE"""),"K/30/271224/2")</f>
        <v>K/30/271224/2</v>
      </c>
      <c r="C1174" s="42" t="str">
        <f>IFERROR(__xludf.DUMMYFUNCTION("""COMPUTED_VALUE"""),"Nibel 3074/ Keteguhan")</f>
        <v>Nibel 3074/ Keteguhan</v>
      </c>
      <c r="D1174" s="42"/>
      <c r="E1174" s="42"/>
      <c r="F1174" s="48" t="str">
        <f>IFERROR(__xludf.DUMMYFUNCTION("""COMPUTED_VALUE"""),"")</f>
        <v/>
      </c>
      <c r="G1174" s="42" t="str">
        <f>IFERROR(__xludf.DUMMYFUNCTION("""COMPUTED_VALUE"""),"BN JUAL BELI")</f>
        <v>BN JUAL BELI</v>
      </c>
      <c r="H1174" s="42">
        <f t="shared" si="1"/>
        <v>540</v>
      </c>
    </row>
    <row r="1175" ht="22.5" customHeight="1">
      <c r="B1175" s="42" t="str">
        <f>IFERROR(__xludf.DUMMYFUNCTION("""COMPUTED_VALUE"""),"K/31/271224/3")</f>
        <v>K/31/271224/3</v>
      </c>
      <c r="C1175" s="42" t="str">
        <f>IFERROR(__xludf.DUMMYFUNCTION("""COMPUTED_VALUE"""),"Nibel 16360/ Labuhan Ratu")</f>
        <v>Nibel 16360/ Labuhan Ratu</v>
      </c>
      <c r="D1175" s="42"/>
      <c r="E1175" s="42"/>
      <c r="F1175" s="48" t="str">
        <f>IFERROR(__xludf.DUMMYFUNCTION("""COMPUTED_VALUE"""),"")</f>
        <v/>
      </c>
      <c r="G1175" s="42" t="str">
        <f>IFERROR(__xludf.DUMMYFUNCTION("""COMPUTED_VALUE"""),"BN HIBAH")</f>
        <v>BN HIBAH</v>
      </c>
      <c r="H1175" s="42">
        <f t="shared" si="1"/>
        <v>540</v>
      </c>
    </row>
    <row r="1176" ht="22.5" customHeight="1">
      <c r="B1176" s="42" t="str">
        <f>IFERROR(__xludf.DUMMYFUNCTION("""COMPUTED_VALUE"""),"K/32/271224/1")</f>
        <v>K/32/271224/1</v>
      </c>
      <c r="C1176" s="42" t="str">
        <f>IFERROR(__xludf.DUMMYFUNCTION("""COMPUTED_VALUE"""),"M.1260/KOTA KARANG")</f>
        <v>M.1260/KOTA KARANG</v>
      </c>
      <c r="D1176" s="42"/>
      <c r="E1176" s="42" t="str">
        <f>IFERROR(__xludf.DUMMYFUNCTION("""COMPUTED_VALUE"""),"DISERAHKAN")</f>
        <v>DISERAHKAN</v>
      </c>
      <c r="F1176" s="48">
        <f>IFERROR(__xludf.DUMMYFUNCTION("""COMPUTED_VALUE"""),45687.40807326389)</f>
        <v>45687.40807</v>
      </c>
      <c r="G1176" s="42" t="str">
        <f>IFERROR(__xludf.DUMMYFUNCTION("""COMPUTED_VALUE"""),"ROYA")</f>
        <v>ROYA</v>
      </c>
      <c r="H1176" s="42">
        <f t="shared" si="1"/>
        <v>541</v>
      </c>
    </row>
    <row r="1177" ht="22.5" customHeight="1">
      <c r="B1177" s="42" t="str">
        <f>IFERROR(__xludf.DUMMYFUNCTION("""COMPUTED_VALUE"""),"K/35/271224/1")</f>
        <v>K/35/271224/1</v>
      </c>
      <c r="C1177" s="42" t="str">
        <f>IFERROR(__xludf.DUMMYFUNCTION("""COMPUTED_VALUE"""),"M. 5920/ Way Kandis")</f>
        <v>M. 5920/ Way Kandis</v>
      </c>
      <c r="D1177" s="42"/>
      <c r="E1177" s="42"/>
      <c r="F1177" s="48" t="str">
        <f>IFERROR(__xludf.DUMMYFUNCTION("""COMPUTED_VALUE"""),"")</f>
        <v/>
      </c>
      <c r="G1177" s="42" t="str">
        <f>IFERROR(__xludf.DUMMYFUNCTION("""COMPUTED_VALUE"""),"BN JUAL BELI")</f>
        <v>BN JUAL BELI</v>
      </c>
      <c r="H1177" s="42">
        <f t="shared" si="1"/>
        <v>541</v>
      </c>
    </row>
    <row r="1178" ht="22.5" customHeight="1">
      <c r="B1178" s="42" t="str">
        <f>IFERROR(__xludf.DUMMYFUNCTION("""COMPUTED_VALUE"""),"K/36/271224/2")</f>
        <v>K/36/271224/2</v>
      </c>
      <c r="C1178" s="42" t="str">
        <f>IFERROR(__xludf.DUMMYFUNCTION("""COMPUTED_VALUE"""),"B. 618/ Beringin Raya")</f>
        <v>B. 618/ Beringin Raya</v>
      </c>
      <c r="D1178" s="42"/>
      <c r="E1178" s="42"/>
      <c r="F1178" s="48" t="str">
        <f>IFERROR(__xludf.DUMMYFUNCTION("""COMPUTED_VALUE"""),"")</f>
        <v/>
      </c>
      <c r="G1178" s="42" t="str">
        <f>IFERROR(__xludf.DUMMYFUNCTION("""COMPUTED_VALUE"""),"PLOTTING")</f>
        <v>PLOTTING</v>
      </c>
      <c r="H1178" s="42">
        <f t="shared" si="1"/>
        <v>541</v>
      </c>
    </row>
    <row r="1179" ht="22.5" customHeight="1">
      <c r="B1179" s="42" t="str">
        <f>IFERROR(__xludf.DUMMYFUNCTION("""COMPUTED_VALUE"""),"L/37/271224/1")</f>
        <v>L/37/271224/1</v>
      </c>
      <c r="C1179" s="42" t="str">
        <f>IFERROR(__xludf.DUMMYFUNCTION("""COMPUTED_VALUE"""),"HM 555/KORPRI RAYA")</f>
        <v>HM 555/KORPRI RAYA</v>
      </c>
      <c r="D1179" s="42"/>
      <c r="E1179" s="42" t="str">
        <f>IFERROR(__xludf.DUMMYFUNCTION("""COMPUTED_VALUE"""),"DISERAHKAN")</f>
        <v>DISERAHKAN</v>
      </c>
      <c r="F1179" s="48">
        <f>IFERROR(__xludf.DUMMYFUNCTION("""COMPUTED_VALUE"""),45666.705789768515)</f>
        <v>45666.70579</v>
      </c>
      <c r="G1179" s="42" t="str">
        <f>IFERROR(__xludf.DUMMYFUNCTION("""COMPUTED_VALUE"""),"BN WARIS")</f>
        <v>BN WARIS</v>
      </c>
      <c r="H1179" s="42">
        <f t="shared" si="1"/>
        <v>542</v>
      </c>
    </row>
    <row r="1180" ht="22.5" customHeight="1">
      <c r="B1180" s="42" t="str">
        <f>IFERROR(__xludf.DUMMYFUNCTION("""COMPUTED_VALUE"""),"K/33/271224/1")</f>
        <v>K/33/271224/1</v>
      </c>
      <c r="C1180" s="42" t="str">
        <f>IFERROR(__xludf.DUMMYFUNCTION("""COMPUTED_VALUE"""),"M. 12408/ Sukabumi")</f>
        <v>M. 12408/ Sukabumi</v>
      </c>
      <c r="D1180" s="42"/>
      <c r="E1180" s="42"/>
      <c r="F1180" s="48" t="str">
        <f>IFERROR(__xludf.DUMMYFUNCTION("""COMPUTED_VALUE"""),"")</f>
        <v/>
      </c>
      <c r="G1180" s="42" t="str">
        <f>IFERROR(__xludf.DUMMYFUNCTION("""COMPUTED_VALUE"""),"BN Jual Beli")</f>
        <v>BN Jual Beli</v>
      </c>
      <c r="H1180" s="42">
        <f t="shared" si="1"/>
        <v>542</v>
      </c>
    </row>
    <row r="1181" ht="22.5" customHeight="1">
      <c r="B1181" s="42" t="str">
        <f>IFERROR(__xludf.DUMMYFUNCTION("""COMPUTED_VALUE"""),"K/34/271224/2")</f>
        <v>K/34/271224/2</v>
      </c>
      <c r="C1181" s="42" t="str">
        <f>IFERROR(__xludf.DUMMYFUNCTION("""COMPUTED_VALUE"""),"M. 12539/ Sukabumi")</f>
        <v>M. 12539/ Sukabumi</v>
      </c>
      <c r="D1181" s="42"/>
      <c r="E1181" s="42"/>
      <c r="F1181" s="48" t="str">
        <f>IFERROR(__xludf.DUMMYFUNCTION("""COMPUTED_VALUE"""),"")</f>
        <v/>
      </c>
      <c r="G1181" s="42" t="str">
        <f>IFERROR(__xludf.DUMMYFUNCTION("""COMPUTED_VALUE"""),"BN Jual Beli")</f>
        <v>BN Jual Beli</v>
      </c>
      <c r="H1181" s="42">
        <f t="shared" si="1"/>
        <v>542</v>
      </c>
    </row>
    <row r="1182" ht="22.5" customHeight="1">
      <c r="B1182" s="42" t="str">
        <f>IFERROR(__xludf.DUMMYFUNCTION("""COMPUTED_VALUE"""),"L/1/281224/1")</f>
        <v>L/1/281224/1</v>
      </c>
      <c r="C1182" s="42" t="str">
        <f>IFERROR(__xludf.DUMMYFUNCTION("""COMPUTED_VALUE"""),"HGB 1353/TANJUNG SENANG")</f>
        <v>HGB 1353/TANJUNG SENANG</v>
      </c>
      <c r="D1182" s="42"/>
      <c r="E1182" s="42"/>
      <c r="F1182" s="48" t="str">
        <f>IFERROR(__xludf.DUMMYFUNCTION("""COMPUTED_VALUE"""),"")</f>
        <v/>
      </c>
      <c r="G1182" s="42" t="str">
        <f>IFERROR(__xludf.DUMMYFUNCTION("""COMPUTED_VALUE"""),"ASPEK (HGB MATI)")</f>
        <v>ASPEK (HGB MATI)</v>
      </c>
      <c r="H1182" s="42">
        <f t="shared" si="1"/>
        <v>542</v>
      </c>
    </row>
    <row r="1183" ht="22.5" customHeight="1">
      <c r="B1183" s="42" t="str">
        <f>IFERROR(__xludf.DUMMYFUNCTION("""COMPUTED_VALUE"""),"L/2/301224/1")</f>
        <v>L/2/301224/1</v>
      </c>
      <c r="C1183" s="42" t="str">
        <f>IFERROR(__xludf.DUMMYFUNCTION("""COMPUTED_VALUE"""),"HM 2409/KEMILING PERMAI")</f>
        <v>HM 2409/KEMILING PERMAI</v>
      </c>
      <c r="D1183" s="42"/>
      <c r="E1183" s="42" t="str">
        <f>IFERROR(__xludf.DUMMYFUNCTION("""COMPUTED_VALUE"""),"DISERAHKAN")</f>
        <v>DISERAHKAN</v>
      </c>
      <c r="F1183" s="48">
        <f>IFERROR(__xludf.DUMMYFUNCTION("""COMPUTED_VALUE"""),45708.5973196875)</f>
        <v>45708.59732</v>
      </c>
      <c r="G1183" s="42" t="str">
        <f>IFERROR(__xludf.DUMMYFUNCTION("""COMPUTED_VALUE"""),"ROYA")</f>
        <v>ROYA</v>
      </c>
      <c r="H1183" s="42">
        <f t="shared" si="1"/>
        <v>543</v>
      </c>
    </row>
    <row r="1184" ht="22.5" customHeight="1">
      <c r="B1184" s="42" t="str">
        <f>IFERROR(__xludf.DUMMYFUNCTION("""COMPUTED_VALUE"""),"K/3/301224/1")</f>
        <v>K/3/301224/1</v>
      </c>
      <c r="C1184" s="42" t="str">
        <f>IFERROR(__xludf.DUMMYFUNCTION("""COMPUTED_VALUE"""),"M. 10029/ Kampung Baru ; SHT942/2019 &amp; SHT 5875/2016")</f>
        <v>M. 10029/ Kampung Baru ; SHT942/2019 &amp; SHT 5875/2016</v>
      </c>
      <c r="D1184" s="42"/>
      <c r="E1184" s="42" t="str">
        <f>IFERROR(__xludf.DUMMYFUNCTION("""COMPUTED_VALUE"""),"DISERAHKAN")</f>
        <v>DISERAHKAN</v>
      </c>
      <c r="F1184" s="48">
        <f>IFERROR(__xludf.DUMMYFUNCTION("""COMPUTED_VALUE"""),45687.42549863426)</f>
        <v>45687.4255</v>
      </c>
      <c r="G1184" s="42" t="str">
        <f>IFERROR(__xludf.DUMMYFUNCTION("""COMPUTED_VALUE"""),"Roya")</f>
        <v>Roya</v>
      </c>
      <c r="H1184" s="42">
        <f t="shared" si="1"/>
        <v>544</v>
      </c>
    </row>
    <row r="1185" ht="22.5" customHeight="1">
      <c r="B1185" s="42" t="str">
        <f>IFERROR(__xludf.DUMMYFUNCTION("""COMPUTED_VALUE"""),"K/4/301224/2")</f>
        <v>K/4/301224/2</v>
      </c>
      <c r="C1185" s="42" t="str">
        <f>IFERROR(__xludf.DUMMYFUNCTION("""COMPUTED_VALUE"""),"M. 1942/ Panjang Utara")</f>
        <v>M. 1942/ Panjang Utara</v>
      </c>
      <c r="D1185" s="42"/>
      <c r="E1185" s="42"/>
      <c r="F1185" s="48" t="str">
        <f>IFERROR(__xludf.DUMMYFUNCTION("""COMPUTED_VALUE"""),"")</f>
        <v/>
      </c>
      <c r="G1185" s="42" t="str">
        <f>IFERROR(__xludf.DUMMYFUNCTION("""COMPUTED_VALUE"""),"BN Jual Beli")</f>
        <v>BN Jual Beli</v>
      </c>
      <c r="H1185" s="42">
        <f t="shared" si="1"/>
        <v>544</v>
      </c>
    </row>
    <row r="1186" ht="22.5" customHeight="1">
      <c r="B1186" s="42" t="str">
        <f>IFERROR(__xludf.DUMMYFUNCTION("""COMPUTED_VALUE"""),"K/8/301224/1")</f>
        <v>K/8/301224/1</v>
      </c>
      <c r="C1186" s="42" t="str">
        <f>IFERROR(__xludf.DUMMYFUNCTION("""COMPUTED_VALUE"""),"B. 680/ Sumber Agung")</f>
        <v>B. 680/ Sumber Agung</v>
      </c>
      <c r="D1186" s="42"/>
      <c r="E1186" s="42"/>
      <c r="F1186" s="48" t="str">
        <f>IFERROR(__xludf.DUMMYFUNCTION("""COMPUTED_VALUE"""),"")</f>
        <v/>
      </c>
      <c r="G1186" s="42" t="str">
        <f>IFERROR(__xludf.DUMMYFUNCTION("""COMPUTED_VALUE"""),"BN JUAL BELI")</f>
        <v>BN JUAL BELI</v>
      </c>
      <c r="H1186" s="42">
        <f t="shared" si="1"/>
        <v>544</v>
      </c>
    </row>
    <row r="1187" ht="22.5" customHeight="1">
      <c r="B1187" s="42" t="str">
        <f>IFERROR(__xludf.DUMMYFUNCTION("""COMPUTED_VALUE"""),"K/9/301224/2")</f>
        <v>K/9/301224/2</v>
      </c>
      <c r="C1187" s="42" t="str">
        <f>IFERROR(__xludf.DUMMYFUNCTION("""COMPUTED_VALUE"""),"B. 679/ Sumber Agung")</f>
        <v>B. 679/ Sumber Agung</v>
      </c>
      <c r="D1187" s="42"/>
      <c r="E1187" s="42" t="str">
        <f>IFERROR(__xludf.DUMMYFUNCTION("""COMPUTED_VALUE"""),"DISERAHKAN")</f>
        <v>DISERAHKAN</v>
      </c>
      <c r="F1187" s="48">
        <f>IFERROR(__xludf.DUMMYFUNCTION("""COMPUTED_VALUE"""),45707.670426157405)</f>
        <v>45707.67043</v>
      </c>
      <c r="G1187" s="42" t="str">
        <f>IFERROR(__xludf.DUMMYFUNCTION("""COMPUTED_VALUE"""),"BN JUAL BELI")</f>
        <v>BN JUAL BELI</v>
      </c>
      <c r="H1187" s="42">
        <f t="shared" si="1"/>
        <v>545</v>
      </c>
    </row>
    <row r="1188" ht="22.5" customHeight="1">
      <c r="B1188" s="42" t="str">
        <f>IFERROR(__xludf.DUMMYFUNCTION("""COMPUTED_VALUE"""),"K/7/301224/3")</f>
        <v>K/7/301224/3</v>
      </c>
      <c r="C1188" s="42" t="str">
        <f>IFERROR(__xludf.DUMMYFUNCTION("""COMPUTED_VALUE"""),"M. 863/ Korpri Jaya")</f>
        <v>M. 863/ Korpri Jaya</v>
      </c>
      <c r="D1188" s="42"/>
      <c r="E1188" s="42"/>
      <c r="F1188" s="48" t="str">
        <f>IFERROR(__xludf.DUMMYFUNCTION("""COMPUTED_VALUE"""),"")</f>
        <v/>
      </c>
      <c r="G1188" s="42" t="str">
        <f>IFERROR(__xludf.DUMMYFUNCTION("""COMPUTED_VALUE"""),"BN Jual Beli")</f>
        <v>BN Jual Beli</v>
      </c>
      <c r="H1188" s="42">
        <f t="shared" si="1"/>
        <v>545</v>
      </c>
    </row>
    <row r="1189" ht="22.5" customHeight="1">
      <c r="B1189" s="42" t="str">
        <f>IFERROR(__xludf.DUMMYFUNCTION("""COMPUTED_VALUE"""),"K/5/301224/1")</f>
        <v>K/5/301224/1</v>
      </c>
      <c r="C1189" s="42" t="str">
        <f>IFERROR(__xludf.DUMMYFUNCTION("""COMPUTED_VALUE"""),"M. 865/ Korpri Jaya")</f>
        <v>M. 865/ Korpri Jaya</v>
      </c>
      <c r="D1189" s="42"/>
      <c r="E1189" s="42"/>
      <c r="F1189" s="48" t="str">
        <f>IFERROR(__xludf.DUMMYFUNCTION("""COMPUTED_VALUE"""),"")</f>
        <v/>
      </c>
      <c r="G1189" s="42" t="str">
        <f>IFERROR(__xludf.DUMMYFUNCTION("""COMPUTED_VALUE"""),"BN Jual Beli")</f>
        <v>BN Jual Beli</v>
      </c>
      <c r="H1189" s="42">
        <f t="shared" si="1"/>
        <v>545</v>
      </c>
    </row>
    <row r="1190" ht="22.5" customHeight="1">
      <c r="B1190" s="42" t="str">
        <f>IFERROR(__xludf.DUMMYFUNCTION("""COMPUTED_VALUE"""),"K/10/301224/3")</f>
        <v>K/10/301224/3</v>
      </c>
      <c r="C1190" s="42" t="str">
        <f>IFERROR(__xludf.DUMMYFUNCTION("""COMPUTED_VALUE"""),"B. 1432/ Negeri Olok Gading")</f>
        <v>B. 1432/ Negeri Olok Gading</v>
      </c>
      <c r="D1190" s="42"/>
      <c r="E1190" s="42" t="str">
        <f>IFERROR(__xludf.DUMMYFUNCTION("""COMPUTED_VALUE"""),"DISERAHKAN")</f>
        <v>DISERAHKAN</v>
      </c>
      <c r="F1190" s="48">
        <f>IFERROR(__xludf.DUMMYFUNCTION("""COMPUTED_VALUE"""),45702.420389618055)</f>
        <v>45702.42039</v>
      </c>
      <c r="G1190" s="42" t="str">
        <f>IFERROR(__xludf.DUMMYFUNCTION("""COMPUTED_VALUE"""),"BN JUAL BELI")</f>
        <v>BN JUAL BELI</v>
      </c>
      <c r="H1190" s="42">
        <f t="shared" si="1"/>
        <v>546</v>
      </c>
    </row>
    <row r="1191" ht="22.5" customHeight="1">
      <c r="B1191" s="42" t="str">
        <f>IFERROR(__xludf.DUMMYFUNCTION("""COMPUTED_VALUE"""),"K/6/301224/2")</f>
        <v>K/6/301224/2</v>
      </c>
      <c r="C1191" s="42" t="str">
        <f>IFERROR(__xludf.DUMMYFUNCTION("""COMPUTED_VALUE"""),"M. 869/ Korpri Jaya")</f>
        <v>M. 869/ Korpri Jaya</v>
      </c>
      <c r="D1191" s="42"/>
      <c r="E1191" s="42"/>
      <c r="F1191" s="48" t="str">
        <f>IFERROR(__xludf.DUMMYFUNCTION("""COMPUTED_VALUE"""),"")</f>
        <v/>
      </c>
      <c r="G1191" s="42" t="str">
        <f>IFERROR(__xludf.DUMMYFUNCTION("""COMPUTED_VALUE"""),"BN Jual Beli")</f>
        <v>BN Jual Beli</v>
      </c>
      <c r="H1191" s="42">
        <f t="shared" si="1"/>
        <v>546</v>
      </c>
    </row>
    <row r="1192" ht="22.5" customHeight="1">
      <c r="B1192" s="42" t="str">
        <f>IFERROR(__xludf.DUMMYFUNCTION("""COMPUTED_VALUE"""),"K/11/301224/4")</f>
        <v>K/11/301224/4</v>
      </c>
      <c r="C1192" s="42" t="str">
        <f>IFERROR(__xludf.DUMMYFUNCTION("""COMPUTED_VALUE"""),"B. 641/ Sumber Agung")</f>
        <v>B. 641/ Sumber Agung</v>
      </c>
      <c r="D1192" s="42"/>
      <c r="E1192" s="42"/>
      <c r="F1192" s="48" t="str">
        <f>IFERROR(__xludf.DUMMYFUNCTION("""COMPUTED_VALUE"""),"")</f>
        <v/>
      </c>
      <c r="G1192" s="42" t="str">
        <f>IFERROR(__xludf.DUMMYFUNCTION("""COMPUTED_VALUE"""),"BN JUAL BELI")</f>
        <v>BN JUAL BELI</v>
      </c>
      <c r="H1192" s="42">
        <f t="shared" si="1"/>
        <v>546</v>
      </c>
    </row>
    <row r="1193" ht="22.5" customHeight="1">
      <c r="B1193" s="42" t="str">
        <f>IFERROR(__xludf.DUMMYFUNCTION("""COMPUTED_VALUE"""),"K/1/301224/1")</f>
        <v>K/1/301224/1</v>
      </c>
      <c r="C1193" s="42" t="str">
        <f>IFERROR(__xludf.DUMMYFUNCTION("""COMPUTED_VALUE"""),"M. 767/ Sumber Agung")</f>
        <v>M. 767/ Sumber Agung</v>
      </c>
      <c r="D1193" s="42"/>
      <c r="E1193" s="42"/>
      <c r="F1193" s="48" t="str">
        <f>IFERROR(__xludf.DUMMYFUNCTION("""COMPUTED_VALUE"""),"")</f>
        <v/>
      </c>
      <c r="G1193" s="42" t="str">
        <f>IFERROR(__xludf.DUMMYFUNCTION("""COMPUTED_VALUE"""),"PENYELENGGARA KEBIJAKAN")</f>
        <v>PENYELENGGARA KEBIJAKAN</v>
      </c>
      <c r="H1193" s="42">
        <f t="shared" si="1"/>
        <v>546</v>
      </c>
    </row>
    <row r="1194" ht="22.5" customHeight="1">
      <c r="B1194" s="42" t="str">
        <f>IFERROR(__xludf.DUMMYFUNCTION("""COMPUTED_VALUE"""),"K/12/301224/1")</f>
        <v>K/12/301224/1</v>
      </c>
      <c r="C1194" s="42" t="str">
        <f>IFERROR(__xludf.DUMMYFUNCTION("""COMPUTED_VALUE"""),"M. 944/ Kemiling Permai")</f>
        <v>M. 944/ Kemiling Permai</v>
      </c>
      <c r="D1194" s="42"/>
      <c r="E1194" s="42"/>
      <c r="F1194" s="48" t="str">
        <f>IFERROR(__xludf.DUMMYFUNCTION("""COMPUTED_VALUE"""),"")</f>
        <v/>
      </c>
      <c r="G1194" s="42" t="str">
        <f>IFERROR(__xludf.DUMMYFUNCTION("""COMPUTED_VALUE"""),"BN JUAL BELI")</f>
        <v>BN JUAL BELI</v>
      </c>
      <c r="H1194" s="42">
        <f t="shared" si="1"/>
        <v>546</v>
      </c>
    </row>
    <row r="1195" ht="22.5" customHeight="1">
      <c r="B1195" s="42" t="str">
        <f>IFERROR(__xludf.DUMMYFUNCTION("""COMPUTED_VALUE"""),"K/14/301225/1")</f>
        <v>K/14/301225/1</v>
      </c>
      <c r="C1195" s="42" t="str">
        <f>IFERROR(__xludf.DUMMYFUNCTION("""COMPUTED_VALUE"""),"M.3218/GEDONG AIR")</f>
        <v>M.3218/GEDONG AIR</v>
      </c>
      <c r="D1195" s="42"/>
      <c r="E1195" s="42"/>
      <c r="F1195" s="48" t="str">
        <f>IFERROR(__xludf.DUMMYFUNCTION("""COMPUTED_VALUE"""),"")</f>
        <v/>
      </c>
      <c r="G1195" s="42" t="str">
        <f>IFERROR(__xludf.DUMMYFUNCTION("""COMPUTED_VALUE"""),"BN JUAL BELI")</f>
        <v>BN JUAL BELI</v>
      </c>
      <c r="H1195" s="42">
        <f t="shared" si="1"/>
        <v>546</v>
      </c>
    </row>
    <row r="1196" ht="22.5" customHeight="1">
      <c r="B1196" s="42" t="str">
        <f>IFERROR(__xludf.DUMMYFUNCTION("""COMPUTED_VALUE"""),"K/15/301225/1")</f>
        <v>K/15/301225/1</v>
      </c>
      <c r="C1196" s="42" t="str">
        <f>IFERROR(__xludf.DUMMYFUNCTION("""COMPUTED_VALUE"""),"M. 38/ Pinang Jaya")</f>
        <v>M. 38/ Pinang Jaya</v>
      </c>
      <c r="D1196" s="42"/>
      <c r="E1196" s="42" t="str">
        <f>IFERROR(__xludf.DUMMYFUNCTION("""COMPUTED_VALUE"""),"DISERAHKAN")</f>
        <v>DISERAHKAN</v>
      </c>
      <c r="F1196" s="48">
        <f>IFERROR(__xludf.DUMMYFUNCTION("""COMPUTED_VALUE"""),45694.6315953125)</f>
        <v>45694.6316</v>
      </c>
      <c r="G1196" s="42" t="str">
        <f>IFERROR(__xludf.DUMMYFUNCTION("""COMPUTED_VALUE"""),"ROYA")</f>
        <v>ROYA</v>
      </c>
      <c r="H1196" s="42">
        <f t="shared" si="1"/>
        <v>547</v>
      </c>
    </row>
    <row r="1197" ht="22.5" customHeight="1">
      <c r="B1197" s="42" t="str">
        <f>IFERROR(__xludf.DUMMYFUNCTION("""COMPUTED_VALUE"""),"L/17/301225/1")</f>
        <v>L/17/301225/1</v>
      </c>
      <c r="C1197" s="42" t="str">
        <f>IFERROR(__xludf.DUMMYFUNCTION("""COMPUTED_VALUE"""),"HM 239/SUKARAME BARU")</f>
        <v>HM 239/SUKARAME BARU</v>
      </c>
      <c r="D1197" s="42"/>
      <c r="E1197" s="42"/>
      <c r="F1197" s="48" t="str">
        <f>IFERROR(__xludf.DUMMYFUNCTION("""COMPUTED_VALUE"""),"")</f>
        <v/>
      </c>
      <c r="G1197" s="42" t="str">
        <f>IFERROR(__xludf.DUMMYFUNCTION("""COMPUTED_VALUE"""),"BUKA BLOKIR")</f>
        <v>BUKA BLOKIR</v>
      </c>
      <c r="H1197" s="42">
        <f t="shared" si="1"/>
        <v>547</v>
      </c>
    </row>
    <row r="1198" ht="22.5" customHeight="1">
      <c r="B1198" s="42" t="str">
        <f>IFERROR(__xludf.DUMMYFUNCTION("""COMPUTED_VALUE"""),"K/16/301224/1")</f>
        <v>K/16/301224/1</v>
      </c>
      <c r="C1198" s="42" t="str">
        <f>IFERROR(__xludf.DUMMYFUNCTION("""COMPUTED_VALUE"""),"B. 270/ Sumber Rejo")</f>
        <v>B. 270/ Sumber Rejo</v>
      </c>
      <c r="D1198" s="42"/>
      <c r="E1198" s="42"/>
      <c r="F1198" s="48" t="str">
        <f>IFERROR(__xludf.DUMMYFUNCTION("""COMPUTED_VALUE"""),"")</f>
        <v/>
      </c>
      <c r="G1198" s="42" t="str">
        <f>IFERROR(__xludf.DUMMYFUNCTION("""COMPUTED_VALUE"""),"Pengukuran HGB Berakhir")</f>
        <v>Pengukuran HGB Berakhir</v>
      </c>
      <c r="H1198" s="42">
        <f t="shared" si="1"/>
        <v>547</v>
      </c>
    </row>
    <row r="1199" ht="22.5" customHeight="1">
      <c r="B1199" s="42" t="str">
        <f>IFERROR(__xludf.DUMMYFUNCTION("""COMPUTED_VALUE"""),"K/18/301225/1")</f>
        <v>K/18/301225/1</v>
      </c>
      <c r="C1199" s="42" t="str">
        <f>IFERROR(__xludf.DUMMYFUNCTION("""COMPUTED_VALUE"""),"Nibel 16665/ Labuhan Ratu Raya")</f>
        <v>Nibel 16665/ Labuhan Ratu Raya</v>
      </c>
      <c r="D1199" s="42"/>
      <c r="E1199" s="42"/>
      <c r="F1199" s="48" t="str">
        <f>IFERROR(__xludf.DUMMYFUNCTION("""COMPUTED_VALUE"""),"")</f>
        <v/>
      </c>
      <c r="G1199" s="42" t="str">
        <f>IFERROR(__xludf.DUMMYFUNCTION("""COMPUTED_VALUE"""),"BN LELANG")</f>
        <v>BN LELANG</v>
      </c>
      <c r="H1199" s="42">
        <f t="shared" si="1"/>
        <v>547</v>
      </c>
    </row>
    <row r="1200" ht="22.5" customHeight="1">
      <c r="B1200" s="42" t="str">
        <f>IFERROR(__xludf.DUMMYFUNCTION("""COMPUTED_VALUE"""),"K/19/301225/1")</f>
        <v>K/19/301225/1</v>
      </c>
      <c r="C1200" s="42" t="str">
        <f>IFERROR(__xludf.DUMMYFUNCTION("""COMPUTED_VALUE"""),"M. 11007/ Labuhan ratu")</f>
        <v>M. 11007/ Labuhan ratu</v>
      </c>
      <c r="D1200" s="42"/>
      <c r="E1200" s="42" t="str">
        <f>IFERROR(__xludf.DUMMYFUNCTION("""COMPUTED_VALUE"""),"DISERAHKAN")</f>
        <v>DISERAHKAN</v>
      </c>
      <c r="F1200" s="48">
        <f>IFERROR(__xludf.DUMMYFUNCTION("""COMPUTED_VALUE"""),45687.41802657407)</f>
        <v>45687.41803</v>
      </c>
      <c r="G1200" s="42" t="str">
        <f>IFERROR(__xludf.DUMMYFUNCTION("""COMPUTED_VALUE"""),"ROYA")</f>
        <v>ROYA</v>
      </c>
      <c r="H1200" s="42">
        <f t="shared" si="1"/>
        <v>548</v>
      </c>
    </row>
    <row r="1201" ht="22.5" customHeight="1">
      <c r="B1201" s="42" t="str">
        <f>IFERROR(__xludf.DUMMYFUNCTION("""COMPUTED_VALUE"""),"K/20/301225/1")</f>
        <v>K/20/301225/1</v>
      </c>
      <c r="C1201" s="42" t="str">
        <f>IFERROR(__xludf.DUMMYFUNCTION("""COMPUTED_VALUE"""),"B.673/NUSANTARA PERMAI-DSEKARANG;B.673/CAMPANG RAYA-DAHULU")</f>
        <v>B.673/NUSANTARA PERMAI-DSEKARANG;B.673/CAMPANG RAYA-DAHULU</v>
      </c>
      <c r="D1201" s="42"/>
      <c r="E1201" s="42"/>
      <c r="F1201" s="48" t="str">
        <f>IFERROR(__xludf.DUMMYFUNCTION("""COMPUTED_VALUE"""),"")</f>
        <v/>
      </c>
      <c r="G1201" s="42" t="str">
        <f>IFERROR(__xludf.DUMMYFUNCTION("""COMPUTED_VALUE"""),"PERUBAHAN HAK")</f>
        <v>PERUBAHAN HAK</v>
      </c>
      <c r="H1201" s="42">
        <f t="shared" si="1"/>
        <v>548</v>
      </c>
    </row>
    <row r="1202" ht="22.5" customHeight="1">
      <c r="B1202" s="42" t="str">
        <f>IFERROR(__xludf.DUMMYFUNCTION("""COMPUTED_VALUE"""),"K/21/301225/1")</f>
        <v>K/21/301225/1</v>
      </c>
      <c r="C1202" s="42" t="str">
        <f>IFERROR(__xludf.DUMMYFUNCTION("""COMPUTED_VALUE"""),"M. 2423/ Kedaung")</f>
        <v>M. 2423/ Kedaung</v>
      </c>
      <c r="D1202" s="42"/>
      <c r="E1202" s="42" t="str">
        <f>IFERROR(__xludf.DUMMYFUNCTION("""COMPUTED_VALUE"""),"DISERAHKAN")</f>
        <v>DISERAHKAN</v>
      </c>
      <c r="F1202" s="48">
        <f>IFERROR(__xludf.DUMMYFUNCTION("""COMPUTED_VALUE"""),45666.705789768515)</f>
        <v>45666.70579</v>
      </c>
      <c r="G1202" s="42" t="str">
        <f>IFERROR(__xludf.DUMMYFUNCTION("""COMPUTED_VALUE"""),"BN JUAL BELI")</f>
        <v>BN JUAL BELI</v>
      </c>
      <c r="H1202" s="42">
        <f t="shared" si="1"/>
        <v>549</v>
      </c>
    </row>
    <row r="1203" ht="22.5" customHeight="1">
      <c r="B1203" s="42" t="str">
        <f>IFERROR(__xludf.DUMMYFUNCTION("""COMPUTED_VALUE"""),"K/22/301225/2")</f>
        <v>K/22/301225/2</v>
      </c>
      <c r="C1203" s="42" t="str">
        <f>IFERROR(__xludf.DUMMYFUNCTION("""COMPUTED_VALUE"""),"M. 2416/ Kedaung")</f>
        <v>M. 2416/ Kedaung</v>
      </c>
      <c r="D1203" s="42"/>
      <c r="E1203" s="42"/>
      <c r="F1203" s="48" t="str">
        <f>IFERROR(__xludf.DUMMYFUNCTION("""COMPUTED_VALUE"""),"")</f>
        <v/>
      </c>
      <c r="G1203" s="42" t="str">
        <f>IFERROR(__xludf.DUMMYFUNCTION("""COMPUTED_VALUE"""),"BN JUAL BELI")</f>
        <v>BN JUAL BELI</v>
      </c>
      <c r="H1203" s="42">
        <f t="shared" si="1"/>
        <v>549</v>
      </c>
    </row>
    <row r="1204" ht="22.5" customHeight="1">
      <c r="B1204" s="42" t="str">
        <f>IFERROR(__xludf.DUMMYFUNCTION("""COMPUTED_VALUE"""),"L/23/301225/1")</f>
        <v>L/23/301225/1</v>
      </c>
      <c r="C1204" s="42" t="str">
        <f>IFERROR(__xludf.DUMMYFUNCTION("""COMPUTED_VALUE"""),"HGB 347/RAJABASA PEMUKA")</f>
        <v>HGB 347/RAJABASA PEMUKA</v>
      </c>
      <c r="D1204" s="42"/>
      <c r="E1204" s="42"/>
      <c r="F1204" s="48" t="str">
        <f>IFERROR(__xludf.DUMMYFUNCTION("""COMPUTED_VALUE"""),"")</f>
        <v/>
      </c>
      <c r="G1204" s="42" t="str">
        <f>IFERROR(__xludf.DUMMYFUNCTION("""COMPUTED_VALUE"""),"PH")</f>
        <v>PH</v>
      </c>
      <c r="H1204" s="42">
        <f t="shared" si="1"/>
        <v>549</v>
      </c>
    </row>
    <row r="1205" ht="22.5" customHeight="1">
      <c r="B1205" s="42" t="str">
        <f>IFERROR(__xludf.DUMMYFUNCTION("""COMPUTED_VALUE"""),"K/24/301224/1")</f>
        <v>K/24/301224/1</v>
      </c>
      <c r="C1205" s="42" t="str">
        <f>IFERROR(__xludf.DUMMYFUNCTION("""COMPUTED_VALUE"""),"M. 1441/ Sukarame II")</f>
        <v>M. 1441/ Sukarame II</v>
      </c>
      <c r="D1205" s="42"/>
      <c r="E1205" s="42"/>
      <c r="F1205" s="48" t="str">
        <f>IFERROR(__xludf.DUMMYFUNCTION("""COMPUTED_VALUE"""),"")</f>
        <v/>
      </c>
      <c r="G1205" s="42" t="str">
        <f>IFERROR(__xludf.DUMMYFUNCTION("""COMPUTED_VALUE"""),"BN Jual Beli")</f>
        <v>BN Jual Beli</v>
      </c>
      <c r="H1205" s="42">
        <f t="shared" si="1"/>
        <v>549</v>
      </c>
    </row>
    <row r="1206" ht="22.5" customHeight="1">
      <c r="B1206" s="42" t="str">
        <f>IFERROR(__xludf.DUMMYFUNCTION("""COMPUTED_VALUE"""),"K/25/301224/1")</f>
        <v>K/25/301224/1</v>
      </c>
      <c r="C1206" s="42" t="str">
        <f>IFERROR(__xludf.DUMMYFUNCTION("""COMPUTED_VALUE"""),"M.1814/PERUMNAS WAY HALIM-SEKARANG;B.1136/KEDATON-DAHULU")</f>
        <v>M.1814/PERUMNAS WAY HALIM-SEKARANG;B.1136/KEDATON-DAHULU</v>
      </c>
      <c r="D1206" s="42"/>
      <c r="E1206" s="42" t="str">
        <f>IFERROR(__xludf.DUMMYFUNCTION("""COMPUTED_VALUE"""),"DISERAHKAN")</f>
        <v>DISERAHKAN</v>
      </c>
      <c r="F1206" s="48">
        <f>IFERROR(__xludf.DUMMYFUNCTION("""COMPUTED_VALUE"""),45666.705789768515)</f>
        <v>45666.70579</v>
      </c>
      <c r="G1206" s="42" t="str">
        <f>IFERROR(__xludf.DUMMYFUNCTION("""COMPUTED_VALUE"""),"BN JUAL BELI")</f>
        <v>BN JUAL BELI</v>
      </c>
      <c r="H1206" s="42">
        <f t="shared" si="1"/>
        <v>550</v>
      </c>
    </row>
    <row r="1207" ht="22.5" customHeight="1">
      <c r="B1207" s="42" t="str">
        <f>IFERROR(__xludf.DUMMYFUNCTION("""COMPUTED_VALUE"""),"K/26/301224/2")</f>
        <v>K/26/301224/2</v>
      </c>
      <c r="C1207" s="42" t="str">
        <f>IFERROR(__xludf.DUMMYFUNCTION("""COMPUTED_VALUE"""),"M.1653/KOTA BARU")</f>
        <v>M.1653/KOTA BARU</v>
      </c>
      <c r="D1207" s="42"/>
      <c r="E1207" s="42"/>
      <c r="F1207" s="48" t="str">
        <f>IFERROR(__xludf.DUMMYFUNCTION("""COMPUTED_VALUE"""),"")</f>
        <v/>
      </c>
      <c r="G1207" s="42" t="str">
        <f>IFERROR(__xludf.DUMMYFUNCTION("""COMPUTED_VALUE"""),"BN JUAL BELI")</f>
        <v>BN JUAL BELI</v>
      </c>
      <c r="H1207" s="42">
        <f t="shared" si="1"/>
        <v>550</v>
      </c>
    </row>
    <row r="1208" ht="22.5" customHeight="1">
      <c r="B1208" s="42" t="str">
        <f>IFERROR(__xludf.DUMMYFUNCTION("""COMPUTED_VALUE"""),"K/27/301224/3")</f>
        <v>K/27/301224/3</v>
      </c>
      <c r="C1208" s="42" t="str">
        <f>IFERROR(__xludf.DUMMYFUNCTION("""COMPUTED_VALUE"""),"M.15004/RAJABASA")</f>
        <v>M.15004/RAJABASA</v>
      </c>
      <c r="D1208" s="42"/>
      <c r="E1208" s="42"/>
      <c r="F1208" s="48" t="str">
        <f>IFERROR(__xludf.DUMMYFUNCTION("""COMPUTED_VALUE"""),"")</f>
        <v/>
      </c>
      <c r="G1208" s="42" t="str">
        <f>IFERROR(__xludf.DUMMYFUNCTION("""COMPUTED_VALUE"""),"BN JUAL BELI")</f>
        <v>BN JUAL BELI</v>
      </c>
      <c r="H1208" s="42">
        <f t="shared" si="1"/>
        <v>550</v>
      </c>
    </row>
    <row r="1209" ht="22.5" customHeight="1">
      <c r="B1209" s="42" t="str">
        <f>IFERROR(__xludf.DUMMYFUNCTION("""COMPUTED_VALUE"""),"K/28/301224/4")</f>
        <v>K/28/301224/4</v>
      </c>
      <c r="C1209" s="42" t="str">
        <f>IFERROR(__xludf.DUMMYFUNCTION("""COMPUTED_VALUE"""),"M.11678/SUKABUMI-SEKARANG;B.2076/SUKABUMI-DAHULU")</f>
        <v>M.11678/SUKABUMI-SEKARANG;B.2076/SUKABUMI-DAHULU</v>
      </c>
      <c r="D1209" s="42"/>
      <c r="E1209" s="42" t="str">
        <f>IFERROR(__xludf.DUMMYFUNCTION("""COMPUTED_VALUE"""),"DISERAHKAN")</f>
        <v>DISERAHKAN</v>
      </c>
      <c r="F1209" s="48">
        <f>IFERROR(__xludf.DUMMYFUNCTION("""COMPUTED_VALUE"""),45694.63586059028)</f>
        <v>45694.63586</v>
      </c>
      <c r="G1209" s="42" t="str">
        <f>IFERROR(__xludf.DUMMYFUNCTION("""COMPUTED_VALUE"""),"ROYA")</f>
        <v>ROYA</v>
      </c>
      <c r="H1209" s="42">
        <f t="shared" si="1"/>
        <v>551</v>
      </c>
    </row>
    <row r="1210" ht="22.5" customHeight="1">
      <c r="B1210" s="42" t="str">
        <f>IFERROR(__xludf.DUMMYFUNCTION("""COMPUTED_VALUE"""),"K/29/301224/1")</f>
        <v>K/29/301224/1</v>
      </c>
      <c r="C1210" s="42" t="str">
        <f>IFERROR(__xludf.DUMMYFUNCTION("""COMPUTED_VALUE"""),"Nibel 1944/ Sumberrejo")</f>
        <v>Nibel 1944/ Sumberrejo</v>
      </c>
      <c r="D1210" s="42"/>
      <c r="E1210" s="42"/>
      <c r="F1210" s="48" t="str">
        <f>IFERROR(__xludf.DUMMYFUNCTION("""COMPUTED_VALUE"""),"")</f>
        <v/>
      </c>
      <c r="G1210" s="42" t="str">
        <f>IFERROR(__xludf.DUMMYFUNCTION("""COMPUTED_VALUE"""),"BN JUAL BELI")</f>
        <v>BN JUAL BELI</v>
      </c>
      <c r="H1210" s="42">
        <f t="shared" si="1"/>
        <v>551</v>
      </c>
    </row>
    <row r="1211" ht="22.5" customHeight="1">
      <c r="B1211" s="42" t="str">
        <f>IFERROR(__xludf.DUMMYFUNCTION("""COMPUTED_VALUE"""),"K/30/301224/1")</f>
        <v>K/30/301224/1</v>
      </c>
      <c r="C1211" s="42" t="str">
        <f>IFERROR(__xludf.DUMMYFUNCTION("""COMPUTED_VALUE"""),"M. 545/ Way Halim Permai")</f>
        <v>M. 545/ Way Halim Permai</v>
      </c>
      <c r="D1211" s="42"/>
      <c r="E1211" s="42"/>
      <c r="F1211" s="48" t="str">
        <f>IFERROR(__xludf.DUMMYFUNCTION("""COMPUTED_VALUE"""),"")</f>
        <v/>
      </c>
      <c r="G1211" s="42" t="str">
        <f>IFERROR(__xludf.DUMMYFUNCTION("""COMPUTED_VALUE"""),"GANTI KELURAHAN")</f>
        <v>GANTI KELURAHAN</v>
      </c>
      <c r="H1211" s="42">
        <f t="shared" si="1"/>
        <v>551</v>
      </c>
    </row>
    <row r="1212" ht="22.5" customHeight="1">
      <c r="B1212" s="42" t="str">
        <f>IFERROR(__xludf.DUMMYFUNCTION("""COMPUTED_VALUE"""),"K/31/301224/1")</f>
        <v>K/31/301224/1</v>
      </c>
      <c r="C1212" s="42" t="str">
        <f>IFERROR(__xludf.DUMMYFUNCTION("""COMPUTED_VALUE"""),"M.16182/SUKARAME I")</f>
        <v>M.16182/SUKARAME I</v>
      </c>
      <c r="D1212" s="42"/>
      <c r="E1212" s="42"/>
      <c r="F1212" s="48" t="str">
        <f>IFERROR(__xludf.DUMMYFUNCTION("""COMPUTED_VALUE"""),"")</f>
        <v/>
      </c>
      <c r="G1212" s="42" t="str">
        <f>IFERROR(__xludf.DUMMYFUNCTION("""COMPUTED_VALUE"""),"BN JUAL BELI")</f>
        <v>BN JUAL BELI</v>
      </c>
      <c r="H1212" s="42">
        <f t="shared" si="1"/>
        <v>551</v>
      </c>
    </row>
    <row r="1213" ht="22.5" customHeight="1">
      <c r="B1213" s="42" t="str">
        <f>IFERROR(__xludf.DUMMYFUNCTION("""COMPUTED_VALUE"""),"K/32/301224/1")</f>
        <v>K/32/301224/1</v>
      </c>
      <c r="C1213" s="42" t="str">
        <f>IFERROR(__xludf.DUMMYFUNCTION("""COMPUTED_VALUE"""),"M. 13781/ Kedamaian")</f>
        <v>M. 13781/ Kedamaian</v>
      </c>
      <c r="D1213" s="42"/>
      <c r="E1213" s="42" t="str">
        <f>IFERROR(__xludf.DUMMYFUNCTION("""COMPUTED_VALUE"""),"DISERAHKAN")</f>
        <v>DISERAHKAN</v>
      </c>
      <c r="F1213" s="48">
        <f>IFERROR(__xludf.DUMMYFUNCTION("""COMPUTED_VALUE"""),45694.6308046875)</f>
        <v>45694.6308</v>
      </c>
      <c r="G1213" s="42" t="str">
        <f>IFERROR(__xludf.DUMMYFUNCTION("""COMPUTED_VALUE"""),"ROYA")</f>
        <v>ROYA</v>
      </c>
      <c r="H1213" s="42">
        <f t="shared" si="1"/>
        <v>552</v>
      </c>
    </row>
    <row r="1214" ht="22.5" customHeight="1">
      <c r="B1214" s="42" t="str">
        <f>IFERROR(__xludf.DUMMYFUNCTION("""COMPUTED_VALUE"""),"K/33/301224/2")</f>
        <v>K/33/301224/2</v>
      </c>
      <c r="C1214" s="42" t="str">
        <f>IFERROR(__xludf.DUMMYFUNCTION("""COMPUTED_VALUE"""),"M. 112/ Rajabasa Pemuka")</f>
        <v>M. 112/ Rajabasa Pemuka</v>
      </c>
      <c r="D1214" s="42"/>
      <c r="E1214" s="42"/>
      <c r="F1214" s="48" t="str">
        <f>IFERROR(__xludf.DUMMYFUNCTION("""COMPUTED_VALUE"""),"")</f>
        <v/>
      </c>
      <c r="G1214" s="42" t="str">
        <f>IFERROR(__xludf.DUMMYFUNCTION("""COMPUTED_VALUE"""),"GANTI KELURAHAN")</f>
        <v>GANTI KELURAHAN</v>
      </c>
      <c r="H1214" s="42">
        <f t="shared" si="1"/>
        <v>552</v>
      </c>
    </row>
    <row r="1215" ht="22.5" customHeight="1">
      <c r="B1215" s="42" t="str">
        <f>IFERROR(__xludf.DUMMYFUNCTION("""COMPUTED_VALUE"""),"K/35/301224/1")</f>
        <v>K/35/301224/1</v>
      </c>
      <c r="C1215" s="42" t="str">
        <f>IFERROR(__xludf.DUMMYFUNCTION("""COMPUTED_VALUE"""),"M. 1536/ Bakung")</f>
        <v>M. 1536/ Bakung</v>
      </c>
      <c r="D1215" s="42"/>
      <c r="E1215" s="42"/>
      <c r="F1215" s="48" t="str">
        <f>IFERROR(__xludf.DUMMYFUNCTION("""COMPUTED_VALUE"""),"")</f>
        <v/>
      </c>
      <c r="G1215" s="42" t="str">
        <f>IFERROR(__xludf.DUMMYFUNCTION("""COMPUTED_VALUE"""),"Hapus BHTB")</f>
        <v>Hapus BHTB</v>
      </c>
      <c r="H1215" s="42">
        <f t="shared" si="1"/>
        <v>552</v>
      </c>
    </row>
    <row r="1216" ht="22.5" customHeight="1">
      <c r="B1216" s="42" t="str">
        <f>IFERROR(__xludf.DUMMYFUNCTION("""COMPUTED_VALUE"""),"K/34/301224/3")</f>
        <v>K/34/301224/3</v>
      </c>
      <c r="C1216" s="42" t="str">
        <f>IFERROR(__xludf.DUMMYFUNCTION("""COMPUTED_VALUE"""),"M. 113/ Rajabasa Pemuka")</f>
        <v>M. 113/ Rajabasa Pemuka</v>
      </c>
      <c r="D1216" s="42"/>
      <c r="E1216" s="42"/>
      <c r="F1216" s="48" t="str">
        <f>IFERROR(__xludf.DUMMYFUNCTION("""COMPUTED_VALUE"""),"")</f>
        <v/>
      </c>
      <c r="G1216" s="42" t="str">
        <f>IFERROR(__xludf.DUMMYFUNCTION("""COMPUTED_VALUE"""),"GANTI KELURAHAN")</f>
        <v>GANTI KELURAHAN</v>
      </c>
      <c r="H1216" s="42">
        <f t="shared" si="1"/>
        <v>552</v>
      </c>
    </row>
    <row r="1217" ht="22.5" customHeight="1">
      <c r="B1217" s="42" t="str">
        <f>IFERROR(__xludf.DUMMYFUNCTION("""COMPUTED_VALUE"""),"K/36/301224/1")</f>
        <v>K/36/301224/1</v>
      </c>
      <c r="C1217" s="42" t="str">
        <f>IFERROR(__xludf.DUMMYFUNCTION("""COMPUTED_VALUE"""),"M. 2424/ Susunan Baru")</f>
        <v>M. 2424/ Susunan Baru</v>
      </c>
      <c r="D1217" s="42" t="str">
        <f>IFERROR(__xludf.DUMMYFUNCTION("""COMPUTED_VALUE"""),"Berry")</f>
        <v>Berry</v>
      </c>
      <c r="E1217" s="42" t="str">
        <f>IFERROR(__xludf.DUMMYFUNCTION("""COMPUTED_VALUE"""),"DISERAHKAN")</f>
        <v>DISERAHKAN</v>
      </c>
      <c r="F1217" s="48">
        <f>IFERROR(__xludf.DUMMYFUNCTION("""COMPUTED_VALUE"""),0.0)</f>
        <v>0</v>
      </c>
      <c r="G1217" s="42" t="str">
        <f>IFERROR(__xludf.DUMMYFUNCTION("""COMPUTED_VALUE"""),"BN Jual Beli")</f>
        <v>BN Jual Beli</v>
      </c>
      <c r="H1217" s="42">
        <f t="shared" si="1"/>
        <v>553</v>
      </c>
    </row>
    <row r="1218" ht="22.5" customHeight="1">
      <c r="B1218" s="42" t="str">
        <f>IFERROR(__xludf.DUMMYFUNCTION("""COMPUTED_VALUE"""),"K/37/301224/2")</f>
        <v>K/37/301224/2</v>
      </c>
      <c r="C1218" s="42" t="str">
        <f>IFERROR(__xludf.DUMMYFUNCTION("""COMPUTED_VALUE"""),"M. 377/ Korpri Raya")</f>
        <v>M. 377/ Korpri Raya</v>
      </c>
      <c r="D1218" s="42" t="str">
        <f>IFERROR(__xludf.DUMMYFUNCTION("""COMPUTED_VALUE"""),"Berry")</f>
        <v>Berry</v>
      </c>
      <c r="E1218" s="42" t="str">
        <f>IFERROR(__xludf.DUMMYFUNCTION("""COMPUTED_VALUE"""),"DISERAHKAN")</f>
        <v>DISERAHKAN</v>
      </c>
      <c r="F1218" s="48">
        <f>IFERROR(__xludf.DUMMYFUNCTION("""COMPUTED_VALUE"""),0.0)</f>
        <v>0</v>
      </c>
      <c r="G1218" s="42" t="str">
        <f>IFERROR(__xludf.DUMMYFUNCTION("""COMPUTED_VALUE"""),"BN Jual Beli")</f>
        <v>BN Jual Beli</v>
      </c>
      <c r="H1218" s="42">
        <f t="shared" si="1"/>
        <v>554</v>
      </c>
    </row>
    <row r="1219" ht="22.5" customHeight="1">
      <c r="B1219" s="42" t="str">
        <f>IFERROR(__xludf.DUMMYFUNCTION("""COMPUTED_VALUE"""),"K/38/301224/3")</f>
        <v>K/38/301224/3</v>
      </c>
      <c r="C1219" s="42" t="str">
        <f>IFERROR(__xludf.DUMMYFUNCTION("""COMPUTED_VALUE"""),"B. 614/ Campang Jaya")</f>
        <v>B. 614/ Campang Jaya</v>
      </c>
      <c r="D1219" s="42" t="str">
        <f>IFERROR(__xludf.DUMMYFUNCTION("""COMPUTED_VALUE"""),"Berry")</f>
        <v>Berry</v>
      </c>
      <c r="E1219" s="42" t="str">
        <f>IFERROR(__xludf.DUMMYFUNCTION("""COMPUTED_VALUE"""),"DISERAHKAN")</f>
        <v>DISERAHKAN</v>
      </c>
      <c r="F1219" s="48">
        <f>IFERROR(__xludf.DUMMYFUNCTION("""COMPUTED_VALUE"""),0.0)</f>
        <v>0</v>
      </c>
      <c r="G1219" s="42" t="str">
        <f>IFERROR(__xludf.DUMMYFUNCTION("""COMPUTED_VALUE"""),"Roya")</f>
        <v>Roya</v>
      </c>
      <c r="H1219" s="42">
        <f t="shared" si="1"/>
        <v>555</v>
      </c>
    </row>
    <row r="1220" ht="22.5" customHeight="1">
      <c r="B1220" s="42" t="str">
        <f>IFERROR(__xludf.DUMMYFUNCTION("""COMPUTED_VALUE"""),"K/39/301224/1")</f>
        <v>K/39/301224/1</v>
      </c>
      <c r="C1220" s="42" t="str">
        <f>IFERROR(__xludf.DUMMYFUNCTION("""COMPUTED_VALUE"""),"M. 4532/ Rajabasa Jaya")</f>
        <v>M. 4532/ Rajabasa Jaya</v>
      </c>
      <c r="D1220" s="42" t="str">
        <f>IFERROR(__xludf.DUMMYFUNCTION("""COMPUTED_VALUE"""),"Berry")</f>
        <v>Berry</v>
      </c>
      <c r="E1220" s="42" t="str">
        <f>IFERROR(__xludf.DUMMYFUNCTION("""COMPUTED_VALUE"""),"DISERAHKAN")</f>
        <v>DISERAHKAN</v>
      </c>
      <c r="F1220" s="48">
        <f>IFERROR(__xludf.DUMMYFUNCTION("""COMPUTED_VALUE"""),0.0)</f>
        <v>0</v>
      </c>
      <c r="G1220" s="42" t="str">
        <f>IFERROR(__xludf.DUMMYFUNCTION("""COMPUTED_VALUE"""),"BN JUAL BELI")</f>
        <v>BN JUAL BELI</v>
      </c>
      <c r="H1220" s="42">
        <f t="shared" si="1"/>
        <v>556</v>
      </c>
    </row>
    <row r="1221" ht="22.5" customHeight="1">
      <c r="B1221" s="42" t="str">
        <f>IFERROR(__xludf.DUMMYFUNCTION("""COMPUTED_VALUE"""),"L/41/301224/1")</f>
        <v>L/41/301224/1</v>
      </c>
      <c r="C1221" s="42" t="str">
        <f>IFERROR(__xludf.DUMMYFUNCTION("""COMPUTED_VALUE"""),"HM 3715/CAMPANG RAYA")</f>
        <v>HM 3715/CAMPANG RAYA</v>
      </c>
      <c r="D1221" s="42" t="str">
        <f>IFERROR(__xludf.DUMMYFUNCTION("""COMPUTED_VALUE"""),"Berry")</f>
        <v>Berry</v>
      </c>
      <c r="E1221" s="42" t="str">
        <f>IFERROR(__xludf.DUMMYFUNCTION("""COMPUTED_VALUE"""),"DISERAHKAN")</f>
        <v>DISERAHKAN</v>
      </c>
      <c r="F1221" s="48">
        <f>IFERROR(__xludf.DUMMYFUNCTION("""COMPUTED_VALUE"""),45687.40748716435)</f>
        <v>45687.40749</v>
      </c>
      <c r="G1221" s="42" t="str">
        <f>IFERROR(__xludf.DUMMYFUNCTION("""COMPUTED_VALUE"""),"ROYA")</f>
        <v>ROYA</v>
      </c>
      <c r="H1221" s="42">
        <f t="shared" si="1"/>
        <v>557</v>
      </c>
    </row>
    <row r="1222" ht="22.5" customHeight="1">
      <c r="B1222" s="42" t="str">
        <f>IFERROR(__xludf.DUMMYFUNCTION("""COMPUTED_VALUE"""),"K/40/301224/2")</f>
        <v>K/40/301224/2</v>
      </c>
      <c r="C1222" s="42" t="str">
        <f>IFERROR(__xludf.DUMMYFUNCTION("""COMPUTED_VALUE"""),"Nibel 2698/ Sukabumi")</f>
        <v>Nibel 2698/ Sukabumi</v>
      </c>
      <c r="D1222" s="42"/>
      <c r="E1222" s="42"/>
      <c r="F1222" s="48" t="str">
        <f>IFERROR(__xludf.DUMMYFUNCTION("""COMPUTED_VALUE"""),"")</f>
        <v/>
      </c>
      <c r="G1222" s="42" t="str">
        <f>IFERROR(__xludf.DUMMYFUNCTION("""COMPUTED_VALUE"""),"BN JUAL BELI")</f>
        <v>BN JUAL BELI</v>
      </c>
      <c r="H1222" s="42">
        <f t="shared" si="1"/>
        <v>557</v>
      </c>
    </row>
    <row r="1223" ht="22.5" customHeight="1">
      <c r="B1223" s="42" t="str">
        <f>IFERROR(__xludf.DUMMYFUNCTION("""COMPUTED_VALUE"""),"K/42/301224/1")</f>
        <v>K/42/301224/1</v>
      </c>
      <c r="C1223" s="42" t="str">
        <f>IFERROR(__xludf.DUMMYFUNCTION("""COMPUTED_VALUE"""),"M. 16762/ Sukabumi")</f>
        <v>M. 16762/ Sukabumi</v>
      </c>
      <c r="D1223" s="42" t="str">
        <f>IFERROR(__xludf.DUMMYFUNCTION("""COMPUTED_VALUE"""),"Berry")</f>
        <v>Berry</v>
      </c>
      <c r="E1223" s="42" t="str">
        <f>IFERROR(__xludf.DUMMYFUNCTION("""COMPUTED_VALUE"""),"PROSES")</f>
        <v>PROSES</v>
      </c>
      <c r="F1223" s="48" t="str">
        <f>IFERROR(__xludf.DUMMYFUNCTION("""COMPUTED_VALUE"""),"")</f>
        <v/>
      </c>
      <c r="G1223" s="42" t="str">
        <f>IFERROR(__xludf.DUMMYFUNCTION("""COMPUTED_VALUE"""),"BN Jual Beli")</f>
        <v>BN Jual Beli</v>
      </c>
      <c r="H1223" s="42">
        <f t="shared" si="1"/>
        <v>557</v>
      </c>
    </row>
    <row r="1224" ht="22.5" customHeight="1">
      <c r="B1224" s="42" t="str">
        <f>IFERROR(__xludf.DUMMYFUNCTION("""COMPUTED_VALUE"""),"K/44/301224/1")</f>
        <v>K/44/301224/1</v>
      </c>
      <c r="C1224" s="42" t="str">
        <f>IFERROR(__xludf.DUMMYFUNCTION("""COMPUTED_VALUE"""),"M.5004/RAJABASA JAYA")</f>
        <v>M.5004/RAJABASA JAYA</v>
      </c>
      <c r="D1224" s="42" t="str">
        <f>IFERROR(__xludf.DUMMYFUNCTION("""COMPUTED_VALUE"""),"Berry")</f>
        <v>Berry</v>
      </c>
      <c r="E1224" s="42" t="str">
        <f>IFERROR(__xludf.DUMMYFUNCTION("""COMPUTED_VALUE"""),"DISERAHKAN")</f>
        <v>DISERAHKAN</v>
      </c>
      <c r="F1224" s="48">
        <f>IFERROR(__xludf.DUMMYFUNCTION("""COMPUTED_VALUE"""),0.0)</f>
        <v>0</v>
      </c>
      <c r="G1224" s="42" t="str">
        <f>IFERROR(__xludf.DUMMYFUNCTION("""COMPUTED_VALUE"""),"BN JUAL BELI")</f>
        <v>BN JUAL BELI</v>
      </c>
      <c r="H1224" s="42">
        <f t="shared" si="1"/>
        <v>558</v>
      </c>
    </row>
    <row r="1225" ht="22.5" customHeight="1">
      <c r="B1225" s="42" t="str">
        <f>IFERROR(__xludf.DUMMYFUNCTION("""COMPUTED_VALUE"""),"L/46/301224/1")</f>
        <v>L/46/301224/1</v>
      </c>
      <c r="C1225" s="42" t="str">
        <f>IFERROR(__xludf.DUMMYFUNCTION("""COMPUTED_VALUE"""),"HM 2213/KELAPA TIGA")</f>
        <v>HM 2213/KELAPA TIGA</v>
      </c>
      <c r="D1225" s="42" t="str">
        <f>IFERROR(__xludf.DUMMYFUNCTION("""COMPUTED_VALUE"""),"Berry")</f>
        <v>Berry</v>
      </c>
      <c r="E1225" s="42" t="str">
        <f>IFERROR(__xludf.DUMMYFUNCTION("""COMPUTED_VALUE"""),"DISERAHKAN")</f>
        <v>DISERAHKAN</v>
      </c>
      <c r="F1225" s="48">
        <f>IFERROR(__xludf.DUMMYFUNCTION("""COMPUTED_VALUE"""),0.0)</f>
        <v>0</v>
      </c>
      <c r="G1225" s="42" t="str">
        <f>IFERROR(__xludf.DUMMYFUNCTION("""COMPUTED_VALUE"""),"ROYA")</f>
        <v>ROYA</v>
      </c>
      <c r="H1225" s="42">
        <f t="shared" si="1"/>
        <v>559</v>
      </c>
    </row>
    <row r="1226" ht="22.5" customHeight="1">
      <c r="B1226" s="42" t="str">
        <f>IFERROR(__xludf.DUMMYFUNCTION("""COMPUTED_VALUE"""),"K/47/301224/1")</f>
        <v>K/47/301224/1</v>
      </c>
      <c r="C1226" s="42" t="str">
        <f>IFERROR(__xludf.DUMMYFUNCTION("""COMPUTED_VALUE"""),"M.878/RAJABASA PEMUKA")</f>
        <v>M.878/RAJABASA PEMUKA</v>
      </c>
      <c r="D1226" s="42" t="str">
        <f>IFERROR(__xludf.DUMMYFUNCTION("""COMPUTED_VALUE"""),"Berry")</f>
        <v>Berry</v>
      </c>
      <c r="E1226" s="42" t="str">
        <f>IFERROR(__xludf.DUMMYFUNCTION("""COMPUTED_VALUE"""),"DISERAHKAN")</f>
        <v>DISERAHKAN</v>
      </c>
      <c r="F1226" s="48">
        <f>IFERROR(__xludf.DUMMYFUNCTION("""COMPUTED_VALUE"""),0.0)</f>
        <v>0</v>
      </c>
      <c r="G1226" s="42" t="str">
        <f>IFERROR(__xludf.DUMMYFUNCTION("""COMPUTED_VALUE"""),"ROYA")</f>
        <v>ROYA</v>
      </c>
      <c r="H1226" s="42">
        <f t="shared" si="1"/>
        <v>560</v>
      </c>
    </row>
    <row r="1227" ht="22.5" customHeight="1">
      <c r="B1227" s="42" t="str">
        <f>IFERROR(__xludf.DUMMYFUNCTION("""COMPUTED_VALUE"""),"K/48/301224/1")</f>
        <v>K/48/301224/1</v>
      </c>
      <c r="C1227" s="42" t="str">
        <f>IFERROR(__xludf.DUMMYFUNCTION("""COMPUTED_VALUE"""),"B. 795/ Sumur Putri")</f>
        <v>B. 795/ Sumur Putri</v>
      </c>
      <c r="D1227" s="42" t="str">
        <f>IFERROR(__xludf.DUMMYFUNCTION("""COMPUTED_VALUE"""),"Berry")</f>
        <v>Berry</v>
      </c>
      <c r="E1227" s="42" t="str">
        <f>IFERROR(__xludf.DUMMYFUNCTION("""COMPUTED_VALUE"""),"DISERAHKAN")</f>
        <v>DISERAHKAN</v>
      </c>
      <c r="F1227" s="48">
        <f>IFERROR(__xludf.DUMMYFUNCTION("""COMPUTED_VALUE"""),0.0)</f>
        <v>0</v>
      </c>
      <c r="G1227" s="42" t="str">
        <f>IFERROR(__xludf.DUMMYFUNCTION("""COMPUTED_VALUE"""),"BN JUAL BELI")</f>
        <v>BN JUAL BELI</v>
      </c>
      <c r="H1227" s="42">
        <f t="shared" si="1"/>
        <v>561</v>
      </c>
    </row>
    <row r="1228" ht="22.5" customHeight="1">
      <c r="B1228" s="42" t="str">
        <f>IFERROR(__xludf.DUMMYFUNCTION("""COMPUTED_VALUE"""),"K/50/301224/1")</f>
        <v>K/50/301224/1</v>
      </c>
      <c r="C1228" s="42" t="str">
        <f>IFERROR(__xludf.DUMMYFUNCTION("""COMPUTED_VALUE"""),"M.3932/SUKADANAHAM")</f>
        <v>M.3932/SUKADANAHAM</v>
      </c>
      <c r="D1228" s="42" t="str">
        <f>IFERROR(__xludf.DUMMYFUNCTION("""COMPUTED_VALUE"""),"Berry")</f>
        <v>Berry</v>
      </c>
      <c r="E1228" s="42" t="str">
        <f>IFERROR(__xludf.DUMMYFUNCTION("""COMPUTED_VALUE"""),"DISERAHKAN")</f>
        <v>DISERAHKAN</v>
      </c>
      <c r="F1228" s="48">
        <f>IFERROR(__xludf.DUMMYFUNCTION("""COMPUTED_VALUE"""),0.0)</f>
        <v>0</v>
      </c>
      <c r="G1228" s="42" t="str">
        <f>IFERROR(__xludf.DUMMYFUNCTION("""COMPUTED_VALUE"""),"PEMECAHAN")</f>
        <v>PEMECAHAN</v>
      </c>
      <c r="H1228" s="42">
        <f t="shared" si="1"/>
        <v>562</v>
      </c>
    </row>
    <row r="1229" ht="22.5" customHeight="1">
      <c r="B1229" s="42" t="str">
        <f>IFERROR(__xludf.DUMMYFUNCTION("""COMPUTED_VALUE"""),"K/49/301224/2")</f>
        <v>K/49/301224/2</v>
      </c>
      <c r="C1229" s="42" t="str">
        <f>IFERROR(__xludf.DUMMYFUNCTION("""COMPUTED_VALUE"""),"B. 601/ Sumur Putri")</f>
        <v>B. 601/ Sumur Putri</v>
      </c>
      <c r="D1229" s="42" t="str">
        <f>IFERROR(__xludf.DUMMYFUNCTION("""COMPUTED_VALUE"""),"Berry")</f>
        <v>Berry</v>
      </c>
      <c r="E1229" s="42" t="str">
        <f>IFERROR(__xludf.DUMMYFUNCTION("""COMPUTED_VALUE"""),"DISERAHKAN")</f>
        <v>DISERAHKAN</v>
      </c>
      <c r="F1229" s="48">
        <f>IFERROR(__xludf.DUMMYFUNCTION("""COMPUTED_VALUE"""),0.0)</f>
        <v>0</v>
      </c>
      <c r="G1229" s="42" t="str">
        <f>IFERROR(__xludf.DUMMYFUNCTION("""COMPUTED_VALUE"""),"BN JUAL BELI")</f>
        <v>BN JUAL BELI</v>
      </c>
      <c r="H1229" s="42">
        <f t="shared" si="1"/>
        <v>563</v>
      </c>
    </row>
    <row r="1230" ht="22.5" customHeight="1">
      <c r="B1230" s="42" t="str">
        <f>IFERROR(__xludf.DUMMYFUNCTION("""COMPUTED_VALUE"""),"K/45/301224/1")</f>
        <v>K/45/301224/1</v>
      </c>
      <c r="C1230" s="42" t="str">
        <f>IFERROR(__xludf.DUMMYFUNCTION("""COMPUTED_VALUE"""),"M. 3240/ Gedong Air")</f>
        <v>M. 3240/ Gedong Air</v>
      </c>
      <c r="D1230" s="42" t="str">
        <f>IFERROR(__xludf.DUMMYFUNCTION("""COMPUTED_VALUE"""),"Berry")</f>
        <v>Berry</v>
      </c>
      <c r="E1230" s="42" t="str">
        <f>IFERROR(__xludf.DUMMYFUNCTION("""COMPUTED_VALUE"""),"DISERAHKAN")</f>
        <v>DISERAHKAN</v>
      </c>
      <c r="F1230" s="48">
        <f>IFERROR(__xludf.DUMMYFUNCTION("""COMPUTED_VALUE"""),0.0)</f>
        <v>0</v>
      </c>
      <c r="G1230" s="42" t="str">
        <f>IFERROR(__xludf.DUMMYFUNCTION("""COMPUTED_VALUE"""),"BN Jual Beli")</f>
        <v>BN Jual Beli</v>
      </c>
      <c r="H1230" s="42">
        <f t="shared" si="1"/>
        <v>564</v>
      </c>
    </row>
    <row r="1231" ht="22.5" customHeight="1">
      <c r="B1231" s="42" t="str">
        <f>IFERROR(__xludf.DUMMYFUNCTION("""COMPUTED_VALUE"""),"K/51/301224/1")</f>
        <v>K/51/301224/1</v>
      </c>
      <c r="C1231" s="42" t="str">
        <f>IFERROR(__xludf.DUMMYFUNCTION("""COMPUTED_VALUE"""),"M 426/TANJUNG KARANG")</f>
        <v>M 426/TANJUNG KARANG</v>
      </c>
      <c r="D1231" s="42" t="str">
        <f>IFERROR(__xludf.DUMMYFUNCTION("""COMPUTED_VALUE"""),"Berry")</f>
        <v>Berry</v>
      </c>
      <c r="E1231" s="42" t="str">
        <f>IFERROR(__xludf.DUMMYFUNCTION("""COMPUTED_VALUE"""),"PROSES")</f>
        <v>PROSES</v>
      </c>
      <c r="F1231" s="48" t="str">
        <f>IFERROR(__xludf.DUMMYFUNCTION("""COMPUTED_VALUE"""),"")</f>
        <v/>
      </c>
      <c r="G1231" s="42" t="str">
        <f>IFERROR(__xludf.DUMMYFUNCTION("""COMPUTED_VALUE"""),"KEWARISAN")</f>
        <v>KEWARISAN</v>
      </c>
      <c r="H1231" s="42">
        <f t="shared" si="1"/>
        <v>564</v>
      </c>
    </row>
    <row r="1232" ht="22.5" customHeight="1">
      <c r="B1232" s="42" t="str">
        <f>IFERROR(__xludf.DUMMYFUNCTION("""COMPUTED_VALUE"""),"L/52/301224/1")</f>
        <v>L/52/301224/1</v>
      </c>
      <c r="C1232" s="42" t="str">
        <f>IFERROR(__xludf.DUMMYFUNCTION("""COMPUTED_VALUE"""),"HGB 3464/SUKABUMI")</f>
        <v>HGB 3464/SUKABUMI</v>
      </c>
      <c r="D1232" s="42"/>
      <c r="E1232" s="42"/>
      <c r="F1232" s="48" t="str">
        <f>IFERROR(__xludf.DUMMYFUNCTION("""COMPUTED_VALUE"""),"")</f>
        <v/>
      </c>
      <c r="G1232" s="42" t="str">
        <f>IFERROR(__xludf.DUMMYFUNCTION("""COMPUTED_VALUE"""),"PERMOHONAN SK")</f>
        <v>PERMOHONAN SK</v>
      </c>
      <c r="H1232" s="42">
        <f t="shared" si="1"/>
        <v>564</v>
      </c>
    </row>
    <row r="1233" ht="22.5" customHeight="1">
      <c r="B1233" s="42" t="str">
        <f>IFERROR(__xludf.DUMMYFUNCTION("""COMPUTED_VALUE"""),"K/59/301224/1")</f>
        <v>K/59/301224/1</v>
      </c>
      <c r="C1233" s="42" t="str">
        <f>IFERROR(__xludf.DUMMYFUNCTION("""COMPUTED_VALUE"""),"HM 1410/PERUMNAS WAY HALIM")</f>
        <v>HM 1410/PERUMNAS WAY HALIM</v>
      </c>
      <c r="D1233" s="42" t="str">
        <f>IFERROR(__xludf.DUMMYFUNCTION("""COMPUTED_VALUE"""),"Berry")</f>
        <v>Berry</v>
      </c>
      <c r="E1233" s="42" t="str">
        <f>IFERROR(__xludf.DUMMYFUNCTION("""COMPUTED_VALUE"""),"DISERAHKAN")</f>
        <v>DISERAHKAN</v>
      </c>
      <c r="F1233" s="48">
        <f>IFERROR(__xludf.DUMMYFUNCTION("""COMPUTED_VALUE"""),45691.62773818287)</f>
        <v>45691.62774</v>
      </c>
      <c r="G1233" s="42" t="str">
        <f>IFERROR(__xludf.DUMMYFUNCTION("""COMPUTED_VALUE"""),"ROYA")</f>
        <v>ROYA</v>
      </c>
      <c r="H1233" s="42">
        <f t="shared" si="1"/>
        <v>565</v>
      </c>
    </row>
    <row r="1234" ht="22.5" customHeight="1">
      <c r="B1234" s="42" t="str">
        <f>IFERROR(__xludf.DUMMYFUNCTION("""COMPUTED_VALUE"""),"K/59/301224/1")</f>
        <v>K/59/301224/1</v>
      </c>
      <c r="C1234" s="42" t="str">
        <f>IFERROR(__xludf.DUMMYFUNCTION("""COMPUTED_VALUE"""),"HM 1410/PWH")</f>
        <v>HM 1410/PWH</v>
      </c>
      <c r="D1234" s="42" t="str">
        <f>IFERROR(__xludf.DUMMYFUNCTION("""COMPUTED_VALUE"""),"Berry")</f>
        <v>Berry</v>
      </c>
      <c r="E1234" s="42" t="str">
        <f>IFERROR(__xludf.DUMMYFUNCTION("""COMPUTED_VALUE"""),"DISERAHKAN BT")</f>
        <v>DISERAHKAN BT</v>
      </c>
      <c r="F1234" s="48">
        <f>IFERROR(__xludf.DUMMYFUNCTION("""COMPUTED_VALUE"""),45687.38160008102)</f>
        <v>45687.3816</v>
      </c>
      <c r="G1234" s="42" t="str">
        <f>IFERROR(__xludf.DUMMYFUNCTION("""COMPUTED_VALUE"""),"ROYA")</f>
        <v>ROYA</v>
      </c>
      <c r="H1234" s="42">
        <f t="shared" si="1"/>
        <v>565</v>
      </c>
    </row>
    <row r="1235" ht="22.5" customHeight="1">
      <c r="B1235" s="42" t="str">
        <f>IFERROR(__xludf.DUMMYFUNCTION("""COMPUTED_VALUE"""),"K/58/301224/1")</f>
        <v>K/58/301224/1</v>
      </c>
      <c r="C1235" s="42" t="str">
        <f>IFERROR(__xludf.DUMMYFUNCTION("""COMPUTED_VALUE"""),"Nibel. M. 2368/ Talang")</f>
        <v>Nibel. M. 2368/ Talang</v>
      </c>
      <c r="D1235" s="42"/>
      <c r="E1235" s="42"/>
      <c r="F1235" s="48" t="str">
        <f>IFERROR(__xludf.DUMMYFUNCTION("""COMPUTED_VALUE"""),"")</f>
        <v/>
      </c>
      <c r="G1235" s="42" t="str">
        <f>IFERROR(__xludf.DUMMYFUNCTION("""COMPUTED_VALUE"""),"BN PHB")</f>
        <v>BN PHB</v>
      </c>
      <c r="H1235" s="42">
        <f t="shared" si="1"/>
        <v>565</v>
      </c>
    </row>
    <row r="1236" ht="22.5" customHeight="1">
      <c r="B1236" s="42" t="str">
        <f>IFERROR(__xludf.DUMMYFUNCTION("""COMPUTED_VALUE"""),"K/53/301224/1")</f>
        <v>K/53/301224/1</v>
      </c>
      <c r="C1236" s="42" t="str">
        <f>IFERROR(__xludf.DUMMYFUNCTION("""COMPUTED_VALUE"""),"M. 1628/ Sukarame baru")</f>
        <v>M. 1628/ Sukarame baru</v>
      </c>
      <c r="D1236" s="42" t="str">
        <f>IFERROR(__xludf.DUMMYFUNCTION("""COMPUTED_VALUE"""),"Berry")</f>
        <v>Berry</v>
      </c>
      <c r="E1236" s="42" t="str">
        <f>IFERROR(__xludf.DUMMYFUNCTION("""COMPUTED_VALUE"""),"DISERAHKAN")</f>
        <v>DISERAHKAN</v>
      </c>
      <c r="F1236" s="48">
        <f>IFERROR(__xludf.DUMMYFUNCTION("""COMPUTED_VALUE"""),0.0)</f>
        <v>0</v>
      </c>
      <c r="G1236" s="42" t="str">
        <f>IFERROR(__xludf.DUMMYFUNCTION("""COMPUTED_VALUE"""),"BN Jual Beli")</f>
        <v>BN Jual Beli</v>
      </c>
      <c r="H1236" s="42">
        <f t="shared" si="1"/>
        <v>566</v>
      </c>
    </row>
    <row r="1237" ht="22.5" customHeight="1">
      <c r="B1237" s="42" t="str">
        <f>IFERROR(__xludf.DUMMYFUNCTION("""COMPUTED_VALUE"""),"K/54/301224/2")</f>
        <v>K/54/301224/2</v>
      </c>
      <c r="C1237" s="42" t="str">
        <f>IFERROR(__xludf.DUMMYFUNCTION("""COMPUTED_VALUE"""),"M. 19262/ Sukarame")</f>
        <v>M. 19262/ Sukarame</v>
      </c>
      <c r="D1237" s="42" t="str">
        <f>IFERROR(__xludf.DUMMYFUNCTION("""COMPUTED_VALUE"""),"Berry")</f>
        <v>Berry</v>
      </c>
      <c r="E1237" s="42" t="str">
        <f>IFERROR(__xludf.DUMMYFUNCTION("""COMPUTED_VALUE"""),"DISERAHKAN")</f>
        <v>DISERAHKAN</v>
      </c>
      <c r="F1237" s="48">
        <f>IFERROR(__xludf.DUMMYFUNCTION("""COMPUTED_VALUE"""),0.0)</f>
        <v>0</v>
      </c>
      <c r="G1237" s="42" t="str">
        <f>IFERROR(__xludf.DUMMYFUNCTION("""COMPUTED_VALUE"""),"BN Jual Beli")</f>
        <v>BN Jual Beli</v>
      </c>
      <c r="H1237" s="42">
        <f t="shared" si="1"/>
        <v>567</v>
      </c>
    </row>
    <row r="1238" ht="22.5" customHeight="1">
      <c r="B1238" s="42" t="str">
        <f>IFERROR(__xludf.DUMMYFUNCTION("""COMPUTED_VALUE"""),"K/55/301224/3")</f>
        <v>K/55/301224/3</v>
      </c>
      <c r="C1238" s="42" t="str">
        <f>IFERROR(__xludf.DUMMYFUNCTION("""COMPUTED_VALUE"""),"M. 3932/ Way Kandis")</f>
        <v>M. 3932/ Way Kandis</v>
      </c>
      <c r="D1238" s="42" t="str">
        <f>IFERROR(__xludf.DUMMYFUNCTION("""COMPUTED_VALUE"""),"Berry")</f>
        <v>Berry</v>
      </c>
      <c r="E1238" s="42" t="str">
        <f>IFERROR(__xludf.DUMMYFUNCTION("""COMPUTED_VALUE"""),"DISERAHKAN")</f>
        <v>DISERAHKAN</v>
      </c>
      <c r="F1238" s="48">
        <f>IFERROR(__xludf.DUMMYFUNCTION("""COMPUTED_VALUE"""),0.0)</f>
        <v>0</v>
      </c>
      <c r="G1238" s="42" t="str">
        <f>IFERROR(__xludf.DUMMYFUNCTION("""COMPUTED_VALUE"""),"BN Jual Beli")</f>
        <v>BN Jual Beli</v>
      </c>
      <c r="H1238" s="42">
        <f t="shared" si="1"/>
        <v>568</v>
      </c>
    </row>
    <row r="1239" ht="22.5" customHeight="1">
      <c r="B1239" s="42" t="str">
        <f>IFERROR(__xludf.DUMMYFUNCTION("""COMPUTED_VALUE"""),"K/56/301224/4")</f>
        <v>K/56/301224/4</v>
      </c>
      <c r="C1239" s="42" t="str">
        <f>IFERROR(__xludf.DUMMYFUNCTION("""COMPUTED_VALUE"""),"M. 2478/ Kemiling Permai")</f>
        <v>M. 2478/ Kemiling Permai</v>
      </c>
      <c r="D1239" s="42" t="str">
        <f>IFERROR(__xludf.DUMMYFUNCTION("""COMPUTED_VALUE"""),"Berry")</f>
        <v>Berry</v>
      </c>
      <c r="E1239" s="42" t="str">
        <f>IFERROR(__xludf.DUMMYFUNCTION("""COMPUTED_VALUE"""),"DISERAHKAN")</f>
        <v>DISERAHKAN</v>
      </c>
      <c r="F1239" s="48">
        <f>IFERROR(__xludf.DUMMYFUNCTION("""COMPUTED_VALUE"""),0.0)</f>
        <v>0</v>
      </c>
      <c r="G1239" s="42" t="str">
        <f>IFERROR(__xludf.DUMMYFUNCTION("""COMPUTED_VALUE"""),"BN Jual Beli")</f>
        <v>BN Jual Beli</v>
      </c>
      <c r="H1239" s="42">
        <f t="shared" si="1"/>
        <v>569</v>
      </c>
    </row>
    <row r="1240" ht="22.5" customHeight="1">
      <c r="B1240" s="42" t="str">
        <f>IFERROR(__xludf.DUMMYFUNCTION("""COMPUTED_VALUE"""),"K/57/301224/5")</f>
        <v>K/57/301224/5</v>
      </c>
      <c r="C1240" s="42" t="str">
        <f>IFERROR(__xludf.DUMMYFUNCTION("""COMPUTED_VALUE"""),"M. 1028/ Gotong Royong")</f>
        <v>M. 1028/ Gotong Royong</v>
      </c>
      <c r="D1240" s="42" t="str">
        <f>IFERROR(__xludf.DUMMYFUNCTION("""COMPUTED_VALUE"""),"Berry")</f>
        <v>Berry</v>
      </c>
      <c r="E1240" s="42" t="str">
        <f>IFERROR(__xludf.DUMMYFUNCTION("""COMPUTED_VALUE"""),"DISERAHKAN SU")</f>
        <v>DISERAHKAN SU</v>
      </c>
      <c r="F1240" s="48">
        <f>IFERROR(__xludf.DUMMYFUNCTION("""COMPUTED_VALUE"""),0.0)</f>
        <v>0</v>
      </c>
      <c r="G1240" s="42" t="str">
        <f>IFERROR(__xludf.DUMMYFUNCTION("""COMPUTED_VALUE"""),"BN Jual Beli")</f>
        <v>BN Jual Beli</v>
      </c>
      <c r="H1240" s="42">
        <f t="shared" si="1"/>
        <v>569</v>
      </c>
    </row>
    <row r="1241" ht="22.5" customHeight="1">
      <c r="B1241" s="42" t="str">
        <f>IFERROR(__xludf.DUMMYFUNCTION("""COMPUTED_VALUE"""),"L/1/311224/1")</f>
        <v>L/1/311224/1</v>
      </c>
      <c r="C1241" s="42" t="str">
        <f>IFERROR(__xludf.DUMMYFUNCTION("""COMPUTED_VALUE"""),"HM 1867/RAJABASA RAYA")</f>
        <v>HM 1867/RAJABASA RAYA</v>
      </c>
      <c r="D1241" s="42"/>
      <c r="E1241" s="42"/>
      <c r="F1241" s="48" t="str">
        <f>IFERROR(__xludf.DUMMYFUNCTION("""COMPUTED_VALUE"""),"")</f>
        <v/>
      </c>
      <c r="G1241" s="42" t="str">
        <f>IFERROR(__xludf.DUMMYFUNCTION("""COMPUTED_VALUE"""),"BLOKIR")</f>
        <v>BLOKIR</v>
      </c>
      <c r="H1241" s="42">
        <f t="shared" si="1"/>
        <v>569</v>
      </c>
    </row>
    <row r="1242" ht="22.5" customHeight="1">
      <c r="B1242" s="42" t="str">
        <f>IFERROR(__xludf.DUMMYFUNCTION("""COMPUTED_VALUE"""),"K/2/311224/1")</f>
        <v>K/2/311224/1</v>
      </c>
      <c r="C1242" s="42" t="str">
        <f>IFERROR(__xludf.DUMMYFUNCTION("""COMPUTED_VALUE"""),"Nibel. M. 3443/ Susunan Baru")</f>
        <v>Nibel. M. 3443/ Susunan Baru</v>
      </c>
      <c r="D1242" s="42"/>
      <c r="E1242" s="42"/>
      <c r="F1242" s="48" t="str">
        <f>IFERROR(__xludf.DUMMYFUNCTION("""COMPUTED_VALUE"""),"")</f>
        <v/>
      </c>
      <c r="G1242" s="42" t="str">
        <f>IFERROR(__xludf.DUMMYFUNCTION("""COMPUTED_VALUE"""),"PTPGT (Pemecahan)")</f>
        <v>PTPGT (Pemecahan)</v>
      </c>
      <c r="H1242" s="42">
        <f t="shared" si="1"/>
        <v>569</v>
      </c>
    </row>
    <row r="1243" ht="22.5" customHeight="1">
      <c r="B1243" s="42" t="str">
        <f>IFERROR(__xludf.DUMMYFUNCTION("""COMPUTED_VALUE"""),"K/3/311224/1")</f>
        <v>K/3/311224/1</v>
      </c>
      <c r="C1243" s="42" t="str">
        <f>IFERROR(__xludf.DUMMYFUNCTION("""COMPUTED_VALUE"""),"M. 1193/ SUSUNAN BARU")</f>
        <v>M. 1193/ SUSUNAN BARU</v>
      </c>
      <c r="D1243" s="42"/>
      <c r="E1243" s="42"/>
      <c r="F1243" s="48" t="str">
        <f>IFERROR(__xludf.DUMMYFUNCTION("""COMPUTED_VALUE"""),"")</f>
        <v/>
      </c>
      <c r="G1243" s="42" t="str">
        <f>IFERROR(__xludf.DUMMYFUNCTION("""COMPUTED_VALUE"""),"GANTI KELURAHAN")</f>
        <v>GANTI KELURAHAN</v>
      </c>
      <c r="H1243" s="42">
        <f t="shared" si="1"/>
        <v>569</v>
      </c>
    </row>
    <row r="1244" ht="22.5" customHeight="1">
      <c r="B1244" s="42" t="str">
        <f>IFERROR(__xludf.DUMMYFUNCTION("""COMPUTED_VALUE"""),"K/5/311224/1")</f>
        <v>K/5/311224/1</v>
      </c>
      <c r="C1244" s="42" t="str">
        <f>IFERROR(__xludf.DUMMYFUNCTION("""COMPUTED_VALUE"""),"M. 10542/ KEDATON")</f>
        <v>M. 10542/ KEDATON</v>
      </c>
      <c r="D1244" s="42"/>
      <c r="E1244" s="42"/>
      <c r="F1244" s="48" t="str">
        <f>IFERROR(__xludf.DUMMYFUNCTION("""COMPUTED_VALUE"""),"")</f>
        <v/>
      </c>
      <c r="G1244" s="42" t="str">
        <f>IFERROR(__xludf.DUMMYFUNCTION("""COMPUTED_VALUE"""),"PLOTTING")</f>
        <v>PLOTTING</v>
      </c>
      <c r="H1244" s="42">
        <f t="shared" si="1"/>
        <v>569</v>
      </c>
    </row>
    <row r="1245" ht="22.5" customHeight="1">
      <c r="B1245" s="42" t="str">
        <f>IFERROR(__xludf.DUMMYFUNCTION("""COMPUTED_VALUE"""),"K/6/311224/2")</f>
        <v>K/6/311224/2</v>
      </c>
      <c r="C1245" s="42" t="str">
        <f>IFERROR(__xludf.DUMMYFUNCTION("""COMPUTED_VALUE"""),"M. 1758/ Kupang Kota")</f>
        <v>M. 1758/ Kupang Kota</v>
      </c>
      <c r="D1245" s="42" t="str">
        <f>IFERROR(__xludf.DUMMYFUNCTION("""COMPUTED_VALUE"""),"David")</f>
        <v>David</v>
      </c>
      <c r="E1245" s="42" t="str">
        <f>IFERROR(__xludf.DUMMYFUNCTION("""COMPUTED_VALUE"""),"DISERAHKAN")</f>
        <v>DISERAHKAN</v>
      </c>
      <c r="F1245" s="48">
        <f>IFERROR(__xludf.DUMMYFUNCTION("""COMPUTED_VALUE"""),45672.41847778935)</f>
        <v>45672.41848</v>
      </c>
      <c r="G1245" s="42" t="str">
        <f>IFERROR(__xludf.DUMMYFUNCTION("""COMPUTED_VALUE"""),"BN JUAL BELI")</f>
        <v>BN JUAL BELI</v>
      </c>
      <c r="H1245" s="42">
        <f t="shared" si="1"/>
        <v>570</v>
      </c>
    </row>
    <row r="1246" ht="22.5" customHeight="1">
      <c r="B1246" s="42" t="str">
        <f>IFERROR(__xludf.DUMMYFUNCTION("""COMPUTED_VALUE"""),"L/7/311224/1")</f>
        <v>L/7/311224/1</v>
      </c>
      <c r="C1246" s="42" t="str">
        <f>IFERROR(__xludf.DUMMYFUNCTION("""COMPUTED_VALUE"""),"HM 714/SUMUR PUTRI")</f>
        <v>HM 714/SUMUR PUTRI</v>
      </c>
      <c r="D1246" s="42" t="str">
        <f>IFERROR(__xludf.DUMMYFUNCTION("""COMPUTED_VALUE"""),"David")</f>
        <v>David</v>
      </c>
      <c r="E1246" s="42" t="str">
        <f>IFERROR(__xludf.DUMMYFUNCTION("""COMPUTED_VALUE"""),"DISERAHKAN")</f>
        <v>DISERAHKAN</v>
      </c>
      <c r="F1246" s="48">
        <f>IFERROR(__xludf.DUMMYFUNCTION("""COMPUTED_VALUE"""),0.0)</f>
        <v>0</v>
      </c>
      <c r="G1246" s="42" t="str">
        <f>IFERROR(__xludf.DUMMYFUNCTION("""COMPUTED_VALUE"""),"ROYA")</f>
        <v>ROYA</v>
      </c>
      <c r="H1246" s="42">
        <f t="shared" si="1"/>
        <v>571</v>
      </c>
    </row>
    <row r="1247" ht="22.5" customHeight="1">
      <c r="B1247" s="42" t="str">
        <f>IFERROR(__xludf.DUMMYFUNCTION("""COMPUTED_VALUE"""),"K/8/311224/1")</f>
        <v>K/8/311224/1</v>
      </c>
      <c r="C1247" s="42" t="str">
        <f>IFERROR(__xludf.DUMMYFUNCTION("""COMPUTED_VALUE"""),"M. 24/ Talang")</f>
        <v>M. 24/ Talang</v>
      </c>
      <c r="D1247" s="42" t="str">
        <f>IFERROR(__xludf.DUMMYFUNCTION("""COMPUTED_VALUE"""),"David")</f>
        <v>David</v>
      </c>
      <c r="E1247" s="42" t="str">
        <f>IFERROR(__xludf.DUMMYFUNCTION("""COMPUTED_VALUE"""),"DISERAHKAN")</f>
        <v>DISERAHKAN</v>
      </c>
      <c r="F1247" s="48">
        <f>IFERROR(__xludf.DUMMYFUNCTION("""COMPUTED_VALUE"""),45667.35758488426)</f>
        <v>45667.35758</v>
      </c>
      <c r="G1247" s="42" t="str">
        <f>IFERROR(__xludf.DUMMYFUNCTION("""COMPUTED_VALUE"""),"BN Jual Beli")</f>
        <v>BN Jual Beli</v>
      </c>
      <c r="H1247" s="42">
        <f t="shared" si="1"/>
        <v>572</v>
      </c>
    </row>
    <row r="1248" ht="22.5" customHeight="1">
      <c r="B1248" s="42" t="str">
        <f>IFERROR(__xludf.DUMMYFUNCTION("""COMPUTED_VALUE"""),"K/9/311224/1")</f>
        <v>K/9/311224/1</v>
      </c>
      <c r="C1248" s="42" t="str">
        <f>IFERROR(__xludf.DUMMYFUNCTION("""COMPUTED_VALUE"""),"M. 1638/ Durian Payung")</f>
        <v>M. 1638/ Durian Payung</v>
      </c>
      <c r="D1248" s="42" t="str">
        <f>IFERROR(__xludf.DUMMYFUNCTION("""COMPUTED_VALUE"""),"David")</f>
        <v>David</v>
      </c>
      <c r="E1248" s="42" t="str">
        <f>IFERROR(__xludf.DUMMYFUNCTION("""COMPUTED_VALUE"""),"DISERAHKAN")</f>
        <v>DISERAHKAN</v>
      </c>
      <c r="F1248" s="48">
        <f>IFERROR(__xludf.DUMMYFUNCTION("""COMPUTED_VALUE"""),0.0)</f>
        <v>0</v>
      </c>
      <c r="G1248" s="42" t="str">
        <f>IFERROR(__xludf.DUMMYFUNCTION("""COMPUTED_VALUE"""),"BN JUAL BELI")</f>
        <v>BN JUAL BELI</v>
      </c>
      <c r="H1248" s="42">
        <f t="shared" si="1"/>
        <v>573</v>
      </c>
    </row>
    <row r="1249" ht="22.5" customHeight="1">
      <c r="B1249" s="42" t="str">
        <f>IFERROR(__xludf.DUMMYFUNCTION("""COMPUTED_VALUE"""),"K/10/311224/1")</f>
        <v>K/10/311224/1</v>
      </c>
      <c r="C1249" s="42" t="str">
        <f>IFERROR(__xludf.DUMMYFUNCTION("""COMPUTED_VALUE"""),"B.1192/SUKABUMI INDAH-SEKARANG;B.2500/SUKABUMI")</f>
        <v>B.1192/SUKABUMI INDAH-SEKARANG;B.2500/SUKABUMI</v>
      </c>
      <c r="D1249" s="42" t="str">
        <f>IFERROR(__xludf.DUMMYFUNCTION("""COMPUTED_VALUE"""),"David")</f>
        <v>David</v>
      </c>
      <c r="E1249" s="42" t="str">
        <f>IFERROR(__xludf.DUMMYFUNCTION("""COMPUTED_VALUE"""),"DISERAHKAN")</f>
        <v>DISERAHKAN</v>
      </c>
      <c r="F1249" s="48">
        <f>IFERROR(__xludf.DUMMYFUNCTION("""COMPUTED_VALUE"""),45667.353165555556)</f>
        <v>45667.35317</v>
      </c>
      <c r="G1249" s="42" t="str">
        <f>IFERROR(__xludf.DUMMYFUNCTION("""COMPUTED_VALUE"""),"BN JUAL BELI")</f>
        <v>BN JUAL BELI</v>
      </c>
      <c r="H1249" s="42">
        <f t="shared" si="1"/>
        <v>574</v>
      </c>
    </row>
    <row r="1250" ht="22.5" customHeight="1">
      <c r="B1250" s="42" t="str">
        <f>IFERROR(__xludf.DUMMYFUNCTION("""COMPUTED_VALUE"""),"K/13/311224/1")</f>
        <v>K/13/311224/1</v>
      </c>
      <c r="C1250" s="42" t="str">
        <f>IFERROR(__xludf.DUMMYFUNCTION("""COMPUTED_VALUE"""),"M. 14137/ Labuhan Ratu")</f>
        <v>M. 14137/ Labuhan Ratu</v>
      </c>
      <c r="D1250" s="42" t="str">
        <f>IFERROR(__xludf.DUMMYFUNCTION("""COMPUTED_VALUE"""),"David")</f>
        <v>David</v>
      </c>
      <c r="E1250" s="42" t="str">
        <f>IFERROR(__xludf.DUMMYFUNCTION("""COMPUTED_VALUE"""),"PROSES")</f>
        <v>PROSES</v>
      </c>
      <c r="F1250" s="48" t="str">
        <f>IFERROR(__xludf.DUMMYFUNCTION("""COMPUTED_VALUE"""),"")</f>
        <v/>
      </c>
      <c r="G1250" s="42" t="str">
        <f>IFERROR(__xludf.DUMMYFUNCTION("""COMPUTED_VALUE"""),"BN JUAL BELI")</f>
        <v>BN JUAL BELI</v>
      </c>
      <c r="H1250" s="42">
        <f t="shared" si="1"/>
        <v>574</v>
      </c>
    </row>
    <row r="1251" ht="22.5" customHeight="1">
      <c r="B1251" s="42" t="str">
        <f>IFERROR(__xludf.DUMMYFUNCTION("""COMPUTED_VALUE"""),"L/15/311224/1")</f>
        <v>L/15/311224/1</v>
      </c>
      <c r="C1251" s="42" t="str">
        <f>IFERROR(__xludf.DUMMYFUNCTION("""COMPUTED_VALUE"""),"NIB 16419/TANJUNG SENANG")</f>
        <v>NIB 16419/TANJUNG SENANG</v>
      </c>
      <c r="D1251" s="42"/>
      <c r="E1251" s="42"/>
      <c r="F1251" s="48" t="str">
        <f>IFERROR(__xludf.DUMMYFUNCTION("""COMPUTED_VALUE"""),"")</f>
        <v/>
      </c>
      <c r="G1251" s="42" t="str">
        <f>IFERROR(__xludf.DUMMYFUNCTION("""COMPUTED_VALUE"""),"BN WARIS")</f>
        <v>BN WARIS</v>
      </c>
      <c r="H1251" s="42">
        <f t="shared" si="1"/>
        <v>574</v>
      </c>
    </row>
    <row r="1252" ht="22.5" customHeight="1">
      <c r="B1252" s="42" t="str">
        <f>IFERROR(__xludf.DUMMYFUNCTION("""COMPUTED_VALUE"""),"K/14/311224/1")</f>
        <v>K/14/311224/1</v>
      </c>
      <c r="C1252" s="42" t="str">
        <f>IFERROR(__xludf.DUMMYFUNCTION("""COMPUTED_VALUE"""),"M. 1351/ Way Halim Permai")</f>
        <v>M. 1351/ Way Halim Permai</v>
      </c>
      <c r="D1252" s="42"/>
      <c r="E1252" s="42"/>
      <c r="F1252" s="48" t="str">
        <f>IFERROR(__xludf.DUMMYFUNCTION("""COMPUTED_VALUE"""),"")</f>
        <v/>
      </c>
      <c r="G1252" s="42" t="str">
        <f>IFERROR(__xludf.DUMMYFUNCTION("""COMPUTED_VALUE"""),"GANTI KECAMATAN")</f>
        <v>GANTI KECAMATAN</v>
      </c>
      <c r="H1252" s="42">
        <f t="shared" si="1"/>
        <v>574</v>
      </c>
    </row>
    <row r="1253" ht="22.5" customHeight="1">
      <c r="B1253" s="42" t="str">
        <f>IFERROR(__xludf.DUMMYFUNCTION("""COMPUTED_VALUE"""),"K/16/311224/1")</f>
        <v>K/16/311224/1</v>
      </c>
      <c r="C1253" s="42" t="str">
        <f>IFERROR(__xludf.DUMMYFUNCTION("""COMPUTED_VALUE"""),"M. 2666/ Sumber Agung")</f>
        <v>M. 2666/ Sumber Agung</v>
      </c>
      <c r="D1253" s="42"/>
      <c r="E1253" s="42"/>
      <c r="F1253" s="48" t="str">
        <f>IFERROR(__xludf.DUMMYFUNCTION("""COMPUTED_VALUE"""),"")</f>
        <v/>
      </c>
      <c r="G1253" s="42" t="str">
        <f>IFERROR(__xludf.DUMMYFUNCTION("""COMPUTED_VALUE"""),"PTPGT PEMECAHAN")</f>
        <v>PTPGT PEMECAHAN</v>
      </c>
      <c r="H1253" s="42">
        <f t="shared" si="1"/>
        <v>574</v>
      </c>
    </row>
    <row r="1254" ht="22.5" customHeight="1">
      <c r="B1254" s="42" t="str">
        <f>IFERROR(__xludf.DUMMYFUNCTION("""COMPUTED_VALUE"""),"K/17/311224/1")</f>
        <v>K/17/311224/1</v>
      </c>
      <c r="C1254" s="42" t="str">
        <f>IFERROR(__xludf.DUMMYFUNCTION("""COMPUTED_VALUE"""),"NIBEL M 7287/KEMILING PERMAI")</f>
        <v>NIBEL M 7287/KEMILING PERMAI</v>
      </c>
      <c r="D1254" s="42"/>
      <c r="E1254" s="42"/>
      <c r="F1254" s="48" t="str">
        <f>IFERROR(__xludf.DUMMYFUNCTION("""COMPUTED_VALUE"""),"")</f>
        <v/>
      </c>
      <c r="G1254" s="42" t="str">
        <f>IFERROR(__xludf.DUMMYFUNCTION("""COMPUTED_VALUE"""),"BN JUAL BELI")</f>
        <v>BN JUAL BELI</v>
      </c>
      <c r="H1254" s="42">
        <f t="shared" si="1"/>
        <v>574</v>
      </c>
    </row>
    <row r="1255" ht="22.5" customHeight="1">
      <c r="B1255" s="42" t="str">
        <f>IFERROR(__xludf.DUMMYFUNCTION("""COMPUTED_VALUE"""),"L/18/311224/1")</f>
        <v>L/18/311224/1</v>
      </c>
      <c r="C1255" s="42" t="str">
        <f>IFERROR(__xludf.DUMMYFUNCTION("""COMPUTED_VALUE"""),"HM 869/TALANG")</f>
        <v>HM 869/TALANG</v>
      </c>
      <c r="D1255" s="42" t="str">
        <f>IFERROR(__xludf.DUMMYFUNCTION("""COMPUTED_VALUE"""),"David")</f>
        <v>David</v>
      </c>
      <c r="E1255" s="42" t="str">
        <f>IFERROR(__xludf.DUMMYFUNCTION("""COMPUTED_VALUE"""),"DISERAHKAN")</f>
        <v>DISERAHKAN</v>
      </c>
      <c r="F1255" s="48">
        <f>IFERROR(__xludf.DUMMYFUNCTION("""COMPUTED_VALUE"""),0.0)</f>
        <v>0</v>
      </c>
      <c r="G1255" s="42" t="str">
        <f>IFERROR(__xludf.DUMMYFUNCTION("""COMPUTED_VALUE"""),"ROYA")</f>
        <v>ROYA</v>
      </c>
      <c r="H1255" s="42">
        <f t="shared" si="1"/>
        <v>575</v>
      </c>
    </row>
    <row r="1256" ht="22.5" customHeight="1">
      <c r="B1256" s="42" t="str">
        <f>IFERROR(__xludf.DUMMYFUNCTION("""COMPUTED_VALUE"""),"K/19/311224/1")</f>
        <v>K/19/311224/1</v>
      </c>
      <c r="C1256" s="42" t="str">
        <f>IFERROR(__xludf.DUMMYFUNCTION("""COMPUTED_VALUE"""),"M. 80/ Tanjung Gading")</f>
        <v>M. 80/ Tanjung Gading</v>
      </c>
      <c r="D1256" s="42" t="str">
        <f>IFERROR(__xludf.DUMMYFUNCTION("""COMPUTED_VALUE"""),"David")</f>
        <v>David</v>
      </c>
      <c r="E1256" s="42" t="str">
        <f>IFERROR(__xludf.DUMMYFUNCTION("""COMPUTED_VALUE"""),"DISERAHKAN BT")</f>
        <v>DISERAHKAN BT</v>
      </c>
      <c r="F1256" s="48">
        <f>IFERROR(__xludf.DUMMYFUNCTION("""COMPUTED_VALUE"""),45694.629219780094)</f>
        <v>45694.62922</v>
      </c>
      <c r="G1256" s="42" t="str">
        <f>IFERROR(__xludf.DUMMYFUNCTION("""COMPUTED_VALUE"""),"ROYA")</f>
        <v>ROYA</v>
      </c>
      <c r="H1256" s="42">
        <f t="shared" si="1"/>
        <v>575</v>
      </c>
    </row>
    <row r="1257" ht="22.5" customHeight="1">
      <c r="B1257" s="42" t="str">
        <f>IFERROR(__xludf.DUMMYFUNCTION("""COMPUTED_VALUE"""),"K/20/311224/2")</f>
        <v>K/20/311224/2</v>
      </c>
      <c r="C1257" s="42" t="str">
        <f>IFERROR(__xludf.DUMMYFUNCTION("""COMPUTED_VALUE"""),"M. 438/ Perumnas Way Halim")</f>
        <v>M. 438/ Perumnas Way Halim</v>
      </c>
      <c r="D1257" s="42" t="str">
        <f>IFERROR(__xludf.DUMMYFUNCTION("""COMPUTED_VALUE"""),"David")</f>
        <v>David</v>
      </c>
      <c r="E1257" s="42" t="str">
        <f>IFERROR(__xludf.DUMMYFUNCTION("""COMPUTED_VALUE"""),"DISERAHKAN")</f>
        <v>DISERAHKAN</v>
      </c>
      <c r="F1257" s="48">
        <f>IFERROR(__xludf.DUMMYFUNCTION("""COMPUTED_VALUE"""),0.0)</f>
        <v>0</v>
      </c>
      <c r="G1257" s="42" t="str">
        <f>IFERROR(__xludf.DUMMYFUNCTION("""COMPUTED_VALUE"""),"BN JUAL BELI")</f>
        <v>BN JUAL BELI</v>
      </c>
      <c r="H1257" s="42">
        <f t="shared" si="1"/>
        <v>576</v>
      </c>
    </row>
    <row r="1258" ht="22.5" customHeight="1">
      <c r="B1258" s="42" t="str">
        <f>IFERROR(__xludf.DUMMYFUNCTION("""COMPUTED_VALUE"""),"K/22/311224/1")</f>
        <v>K/22/311224/1</v>
      </c>
      <c r="C1258" s="42" t="str">
        <f>IFERROR(__xludf.DUMMYFUNCTION("""COMPUTED_VALUE"""),"M.4528/RAJABASA JAYA")</f>
        <v>M.4528/RAJABASA JAYA</v>
      </c>
      <c r="D1258" s="42" t="str">
        <f>IFERROR(__xludf.DUMMYFUNCTION("""COMPUTED_VALUE"""),"David")</f>
        <v>David</v>
      </c>
      <c r="E1258" s="42" t="str">
        <f>IFERROR(__xludf.DUMMYFUNCTION("""COMPUTED_VALUE"""),"DISERAHKAN")</f>
        <v>DISERAHKAN</v>
      </c>
      <c r="F1258" s="48">
        <f>IFERROR(__xludf.DUMMYFUNCTION("""COMPUTED_VALUE"""),0.0)</f>
        <v>0</v>
      </c>
      <c r="G1258" s="42" t="str">
        <f>IFERROR(__xludf.DUMMYFUNCTION("""COMPUTED_VALUE"""),"BN JUAL BELI")</f>
        <v>BN JUAL BELI</v>
      </c>
      <c r="H1258" s="42">
        <f t="shared" si="1"/>
        <v>577</v>
      </c>
    </row>
    <row r="1259" ht="22.5" customHeight="1">
      <c r="B1259" s="42" t="str">
        <f>IFERROR(__xludf.DUMMYFUNCTION("""COMPUTED_VALUE"""),"K/24/311224/1")</f>
        <v>K/24/311224/1</v>
      </c>
      <c r="C1259" s="42" t="str">
        <f>IFERROR(__xludf.DUMMYFUNCTION("""COMPUTED_VALUE"""),"Nibel 6762/ Durian Payung")</f>
        <v>Nibel 6762/ Durian Payung</v>
      </c>
      <c r="D1259" s="42"/>
      <c r="E1259" s="42"/>
      <c r="F1259" s="48" t="str">
        <f>IFERROR(__xludf.DUMMYFUNCTION("""COMPUTED_VALUE"""),"")</f>
        <v/>
      </c>
      <c r="G1259" s="42" t="str">
        <f>IFERROR(__xludf.DUMMYFUNCTION("""COMPUTED_VALUE"""),"BN JUAL BELI")</f>
        <v>BN JUAL BELI</v>
      </c>
      <c r="H1259" s="42">
        <f t="shared" si="1"/>
        <v>577</v>
      </c>
    </row>
    <row r="1260" ht="22.5" customHeight="1">
      <c r="B1260" s="42" t="str">
        <f>IFERROR(__xludf.DUMMYFUNCTION("""COMPUTED_VALUE"""),"K/26/311224/1")</f>
        <v>K/26/311224/1</v>
      </c>
      <c r="C1260" s="42" t="str">
        <f>IFERROR(__xludf.DUMMYFUNCTION("""COMPUTED_VALUE"""),"M.2999/GEDONG AIR")</f>
        <v>M.2999/GEDONG AIR</v>
      </c>
      <c r="D1260" s="42" t="str">
        <f>IFERROR(__xludf.DUMMYFUNCTION("""COMPUTED_VALUE"""),"David")</f>
        <v>David</v>
      </c>
      <c r="E1260" s="42" t="str">
        <f>IFERROR(__xludf.DUMMYFUNCTION("""COMPUTED_VALUE"""),"DISERAHKAN")</f>
        <v>DISERAHKAN</v>
      </c>
      <c r="F1260" s="48">
        <f>IFERROR(__xludf.DUMMYFUNCTION("""COMPUTED_VALUE"""),0.0)</f>
        <v>0</v>
      </c>
      <c r="G1260" s="42" t="str">
        <f>IFERROR(__xludf.DUMMYFUNCTION("""COMPUTED_VALUE"""),"APHB")</f>
        <v>APHB</v>
      </c>
      <c r="H1260" s="42">
        <f t="shared" si="1"/>
        <v>578</v>
      </c>
    </row>
    <row r="1261" ht="22.5" customHeight="1">
      <c r="B1261" s="42" t="str">
        <f>IFERROR(__xludf.DUMMYFUNCTION("""COMPUTED_VALUE"""),"K/27/311224/2")</f>
        <v>K/27/311224/2</v>
      </c>
      <c r="C1261" s="42" t="str">
        <f>IFERROR(__xludf.DUMMYFUNCTION("""COMPUTED_VALUE"""),"M.3019/GEDONG AIR")</f>
        <v>M.3019/GEDONG AIR</v>
      </c>
      <c r="D1261" s="42" t="str">
        <f>IFERROR(__xludf.DUMMYFUNCTION("""COMPUTED_VALUE"""),"David")</f>
        <v>David</v>
      </c>
      <c r="E1261" s="42" t="str">
        <f>IFERROR(__xludf.DUMMYFUNCTION("""COMPUTED_VALUE"""),"DISERAHKAN")</f>
        <v>DISERAHKAN</v>
      </c>
      <c r="F1261" s="48">
        <f>IFERROR(__xludf.DUMMYFUNCTION("""COMPUTED_VALUE"""),0.0)</f>
        <v>0</v>
      </c>
      <c r="G1261" s="42" t="str">
        <f>IFERROR(__xludf.DUMMYFUNCTION("""COMPUTED_VALUE"""),"HIBAH")</f>
        <v>HIBAH</v>
      </c>
      <c r="H1261" s="42">
        <f t="shared" si="1"/>
        <v>579</v>
      </c>
    </row>
    <row r="1262" ht="22.5" customHeight="1">
      <c r="B1262" s="42" t="str">
        <f>IFERROR(__xludf.DUMMYFUNCTION("""COMPUTED_VALUE"""),"K/28/311224/3")</f>
        <v>K/28/311224/3</v>
      </c>
      <c r="C1262" s="42" t="str">
        <f>IFERROR(__xludf.DUMMYFUNCTION("""COMPUTED_VALUE"""),"M.3017/GEDONG AIR")</f>
        <v>M.3017/GEDONG AIR</v>
      </c>
      <c r="D1262" s="42" t="str">
        <f>IFERROR(__xludf.DUMMYFUNCTION("""COMPUTED_VALUE"""),"David")</f>
        <v>David</v>
      </c>
      <c r="E1262" s="42" t="str">
        <f>IFERROR(__xludf.DUMMYFUNCTION("""COMPUTED_VALUE"""),"DISERAHKAN")</f>
        <v>DISERAHKAN</v>
      </c>
      <c r="F1262" s="48">
        <f>IFERROR(__xludf.DUMMYFUNCTION("""COMPUTED_VALUE"""),0.0)</f>
        <v>0</v>
      </c>
      <c r="G1262" s="42" t="str">
        <f>IFERROR(__xludf.DUMMYFUNCTION("""COMPUTED_VALUE"""),"HIBAH")</f>
        <v>HIBAH</v>
      </c>
      <c r="H1262" s="42">
        <f t="shared" si="1"/>
        <v>580</v>
      </c>
    </row>
    <row r="1263" ht="22.5" customHeight="1">
      <c r="B1263" s="42" t="str">
        <f>IFERROR(__xludf.DUMMYFUNCTION("""COMPUTED_VALUE"""),"K/29/311224/4")</f>
        <v>K/29/311224/4</v>
      </c>
      <c r="C1263" s="42" t="str">
        <f>IFERROR(__xludf.DUMMYFUNCTION("""COMPUTED_VALUE"""),"M.3028/GEDONG AIR")</f>
        <v>M.3028/GEDONG AIR</v>
      </c>
      <c r="D1263" s="42" t="str">
        <f>IFERROR(__xludf.DUMMYFUNCTION("""COMPUTED_VALUE"""),"David")</f>
        <v>David</v>
      </c>
      <c r="E1263" s="42" t="str">
        <f>IFERROR(__xludf.DUMMYFUNCTION("""COMPUTED_VALUE"""),"DISERAHKAN")</f>
        <v>DISERAHKAN</v>
      </c>
      <c r="F1263" s="48">
        <f>IFERROR(__xludf.DUMMYFUNCTION("""COMPUTED_VALUE"""),0.0)</f>
        <v>0</v>
      </c>
      <c r="G1263" s="42" t="str">
        <f>IFERROR(__xludf.DUMMYFUNCTION("""COMPUTED_VALUE"""),"HIBAH")</f>
        <v>HIBAH</v>
      </c>
      <c r="H1263" s="42">
        <f t="shared" si="1"/>
        <v>581</v>
      </c>
    </row>
    <row r="1264" ht="22.5" customHeight="1">
      <c r="B1264" s="42" t="str">
        <f>IFERROR(__xludf.DUMMYFUNCTION("""COMPUTED_VALUE"""),"K/30/311224/5")</f>
        <v>K/30/311224/5</v>
      </c>
      <c r="C1264" s="42" t="str">
        <f>IFERROR(__xludf.DUMMYFUNCTION("""COMPUTED_VALUE"""),"M 3020/GEDONG AIR")</f>
        <v>M 3020/GEDONG AIR</v>
      </c>
      <c r="D1264" s="42" t="str">
        <f>IFERROR(__xludf.DUMMYFUNCTION("""COMPUTED_VALUE"""),"David")</f>
        <v>David</v>
      </c>
      <c r="E1264" s="42" t="str">
        <f>IFERROR(__xludf.DUMMYFUNCTION("""COMPUTED_VALUE"""),"DISERAHKAN")</f>
        <v>DISERAHKAN</v>
      </c>
      <c r="F1264" s="48">
        <f>IFERROR(__xludf.DUMMYFUNCTION("""COMPUTED_VALUE"""),0.0)</f>
        <v>0</v>
      </c>
      <c r="G1264" s="42" t="str">
        <f>IFERROR(__xludf.DUMMYFUNCTION("""COMPUTED_VALUE"""),"HIBAH")</f>
        <v>HIBAH</v>
      </c>
      <c r="H1264" s="42">
        <f t="shared" si="1"/>
        <v>582</v>
      </c>
    </row>
    <row r="1265" ht="22.5" customHeight="1">
      <c r="B1265" s="42" t="str">
        <f>IFERROR(__xludf.DUMMYFUNCTION("""COMPUTED_VALUE"""),"K/31/311224/1")</f>
        <v>K/31/311224/1</v>
      </c>
      <c r="C1265" s="42" t="str">
        <f>IFERROR(__xludf.DUMMYFUNCTION("""COMPUTED_VALUE"""),"M. 2640/ Sumber Agung")</f>
        <v>M. 2640/ Sumber Agung</v>
      </c>
      <c r="D1265" s="42" t="str">
        <f>IFERROR(__xludf.DUMMYFUNCTION("""COMPUTED_VALUE"""),"David")</f>
        <v>David</v>
      </c>
      <c r="E1265" s="42" t="str">
        <f>IFERROR(__xludf.DUMMYFUNCTION("""COMPUTED_VALUE"""),"DISERAHKAN")</f>
        <v>DISERAHKAN</v>
      </c>
      <c r="F1265" s="48">
        <f>IFERROR(__xludf.DUMMYFUNCTION("""COMPUTED_VALUE"""),45666.705789768515)</f>
        <v>45666.70579</v>
      </c>
      <c r="G1265" s="42" t="str">
        <f>IFERROR(__xludf.DUMMYFUNCTION("""COMPUTED_VALUE"""),"BN Jual Beli")</f>
        <v>BN Jual Beli</v>
      </c>
      <c r="H1265" s="42">
        <f t="shared" si="1"/>
        <v>583</v>
      </c>
    </row>
    <row r="1266" ht="22.5" customHeight="1">
      <c r="B1266" s="42" t="str">
        <f>IFERROR(__xludf.DUMMYFUNCTION("""COMPUTED_VALUE"""),"K/32/311224/2")</f>
        <v>K/32/311224/2</v>
      </c>
      <c r="C1266" s="42" t="str">
        <f>IFERROR(__xludf.DUMMYFUNCTION("""COMPUTED_VALUE"""),"M. 2642/ Sumber Agung")</f>
        <v>M. 2642/ Sumber Agung</v>
      </c>
      <c r="D1266" s="42" t="str">
        <f>IFERROR(__xludf.DUMMYFUNCTION("""COMPUTED_VALUE"""),"David")</f>
        <v>David</v>
      </c>
      <c r="E1266" s="42" t="str">
        <f>IFERROR(__xludf.DUMMYFUNCTION("""COMPUTED_VALUE"""),"DISERAHKAN")</f>
        <v>DISERAHKAN</v>
      </c>
      <c r="F1266" s="48">
        <f>IFERROR(__xludf.DUMMYFUNCTION("""COMPUTED_VALUE"""),45667.352545891204)</f>
        <v>45667.35255</v>
      </c>
      <c r="G1266" s="42" t="str">
        <f>IFERROR(__xludf.DUMMYFUNCTION("""COMPUTED_VALUE"""),"BN Jual Beli")</f>
        <v>BN Jual Beli</v>
      </c>
      <c r="H1266" s="42">
        <f t="shared" si="1"/>
        <v>584</v>
      </c>
    </row>
    <row r="1267" ht="22.5" customHeight="1">
      <c r="B1267" s="42" t="str">
        <f>IFERROR(__xludf.DUMMYFUNCTION("""COMPUTED_VALUE"""),"K/25/311224/1")</f>
        <v>K/25/311224/1</v>
      </c>
      <c r="C1267" s="42" t="str">
        <f>IFERROR(__xludf.DUMMYFUNCTION("""COMPUTED_VALUE"""),"Nibel 786/ Segala Mider")</f>
        <v>Nibel 786/ Segala Mider</v>
      </c>
      <c r="D1267" s="42"/>
      <c r="E1267" s="42"/>
      <c r="F1267" s="48" t="str">
        <f>IFERROR(__xludf.DUMMYFUNCTION("""COMPUTED_VALUE"""),"")</f>
        <v/>
      </c>
      <c r="G1267" s="42" t="str">
        <f>IFERROR(__xludf.DUMMYFUNCTION("""COMPUTED_VALUE"""),"BN HIBAH")</f>
        <v>BN HIBAH</v>
      </c>
      <c r="H1267" s="42">
        <f t="shared" si="1"/>
        <v>584</v>
      </c>
    </row>
    <row r="1268" ht="22.5" customHeight="1">
      <c r="B1268" s="42" t="str">
        <f>IFERROR(__xludf.DUMMYFUNCTION("""COMPUTED_VALUE"""),"K/35/311224/1")</f>
        <v>K/35/311224/1</v>
      </c>
      <c r="C1268" s="42" t="str">
        <f>IFERROR(__xludf.DUMMYFUNCTION("""COMPUTED_VALUE"""),"M.9766/SIDODADI")</f>
        <v>M.9766/SIDODADI</v>
      </c>
      <c r="D1268" s="42" t="str">
        <f>IFERROR(__xludf.DUMMYFUNCTION("""COMPUTED_VALUE"""),"David")</f>
        <v>David</v>
      </c>
      <c r="E1268" s="42" t="str">
        <f>IFERROR(__xludf.DUMMYFUNCTION("""COMPUTED_VALUE"""),"DISERAHKAN")</f>
        <v>DISERAHKAN</v>
      </c>
      <c r="F1268" s="48">
        <f>IFERROR(__xludf.DUMMYFUNCTION("""COMPUTED_VALUE"""),0.0)</f>
        <v>0</v>
      </c>
      <c r="G1268" s="42" t="str">
        <f>IFERROR(__xludf.DUMMYFUNCTION("""COMPUTED_VALUE"""),"KEWARISAN")</f>
        <v>KEWARISAN</v>
      </c>
      <c r="H1268" s="42">
        <f t="shared" si="1"/>
        <v>585</v>
      </c>
    </row>
    <row r="1269" ht="22.5" customHeight="1">
      <c r="B1269" s="42" t="str">
        <f>IFERROR(__xludf.DUMMYFUNCTION("""COMPUTED_VALUE"""),"K/34/311224/1")</f>
        <v>K/34/311224/1</v>
      </c>
      <c r="C1269" s="42" t="str">
        <f>IFERROR(__xludf.DUMMYFUNCTION("""COMPUTED_VALUE"""),"M. 1861/ Susunan Baru")</f>
        <v>M. 1861/ Susunan Baru</v>
      </c>
      <c r="D1269" s="42" t="str">
        <f>IFERROR(__xludf.DUMMYFUNCTION("""COMPUTED_VALUE"""),"David")</f>
        <v>David</v>
      </c>
      <c r="E1269" s="42" t="str">
        <f>IFERROR(__xludf.DUMMYFUNCTION("""COMPUTED_VALUE"""),"DISERAHKAN")</f>
        <v>DISERAHKAN</v>
      </c>
      <c r="F1269" s="48">
        <f>IFERROR(__xludf.DUMMYFUNCTION("""COMPUTED_VALUE"""),45673.434043182875)</f>
        <v>45673.43404</v>
      </c>
      <c r="G1269" s="42" t="str">
        <f>IFERROR(__xludf.DUMMYFUNCTION("""COMPUTED_VALUE"""),"BN HIBAH")</f>
        <v>BN HIBAH</v>
      </c>
      <c r="H1269" s="42">
        <f t="shared" si="1"/>
        <v>586</v>
      </c>
    </row>
    <row r="1270" ht="22.5" customHeight="1">
      <c r="B1270" s="42" t="str">
        <f>IFERROR(__xludf.DUMMYFUNCTION("""COMPUTED_VALUE"""),"L/36/311224/1")</f>
        <v>L/36/311224/1</v>
      </c>
      <c r="C1270" s="42" t="str">
        <f>IFERROR(__xludf.DUMMYFUNCTION("""COMPUTED_VALUE"""),"NIB 1420/SUKABUMI INDAH")</f>
        <v>NIB 1420/SUKABUMI INDAH</v>
      </c>
      <c r="D1270" s="42"/>
      <c r="E1270" s="42"/>
      <c r="F1270" s="48" t="str">
        <f>IFERROR(__xludf.DUMMYFUNCTION("""COMPUTED_VALUE"""),"")</f>
        <v/>
      </c>
      <c r="G1270" s="42" t="str">
        <f>IFERROR(__xludf.DUMMYFUNCTION("""COMPUTED_VALUE"""),"SKPT INFORMASI (HGB MATI)")</f>
        <v>SKPT INFORMASI (HGB MATI)</v>
      </c>
      <c r="H1270" s="42">
        <f t="shared" si="1"/>
        <v>586</v>
      </c>
    </row>
    <row r="1271" ht="22.5" customHeight="1">
      <c r="B1271" s="42" t="str">
        <f>IFERROR(__xludf.DUMMYFUNCTION("""COMPUTED_VALUE"""),"K/37/311224/1")</f>
        <v>K/37/311224/1</v>
      </c>
      <c r="C1271" s="42" t="str">
        <f>IFERROR(__xludf.DUMMYFUNCTION("""COMPUTED_VALUE"""),"M. 1560/ Labuhan Dalam")</f>
        <v>M. 1560/ Labuhan Dalam</v>
      </c>
      <c r="D1271" s="42" t="str">
        <f>IFERROR(__xludf.DUMMYFUNCTION("""COMPUTED_VALUE"""),"David")</f>
        <v>David</v>
      </c>
      <c r="E1271" s="42" t="str">
        <f>IFERROR(__xludf.DUMMYFUNCTION("""COMPUTED_VALUE"""),"DISERAHKAN")</f>
        <v>DISERAHKAN</v>
      </c>
      <c r="F1271" s="48">
        <f>IFERROR(__xludf.DUMMYFUNCTION("""COMPUTED_VALUE"""),0.0)</f>
        <v>0</v>
      </c>
      <c r="G1271" s="42" t="str">
        <f>IFERROR(__xludf.DUMMYFUNCTION("""COMPUTED_VALUE"""),"BN Jual Beli")</f>
        <v>BN Jual Beli</v>
      </c>
      <c r="H1271" s="42">
        <f t="shared" si="1"/>
        <v>587</v>
      </c>
    </row>
    <row r="1272" ht="22.5" customHeight="1">
      <c r="B1272" s="42" t="str">
        <f>IFERROR(__xludf.DUMMYFUNCTION("""COMPUTED_VALUE"""),"K/40/311224/1")</f>
        <v>K/40/311224/1</v>
      </c>
      <c r="C1272" s="42" t="str">
        <f>IFERROR(__xludf.DUMMYFUNCTION("""COMPUTED_VALUE"""),"M.2143/BAKUNG")</f>
        <v>M.2143/BAKUNG</v>
      </c>
      <c r="D1272" s="42" t="str">
        <f>IFERROR(__xludf.DUMMYFUNCTION("""COMPUTED_VALUE"""),"David")</f>
        <v>David</v>
      </c>
      <c r="E1272" s="42" t="str">
        <f>IFERROR(__xludf.DUMMYFUNCTION("""COMPUTED_VALUE"""),"DISERAHKAN")</f>
        <v>DISERAHKAN</v>
      </c>
      <c r="F1272" s="48">
        <f>IFERROR(__xludf.DUMMYFUNCTION("""COMPUTED_VALUE"""),0.0)</f>
        <v>0</v>
      </c>
      <c r="G1272" s="42" t="str">
        <f>IFERROR(__xludf.DUMMYFUNCTION("""COMPUTED_VALUE"""),"BN JUAL BELI")</f>
        <v>BN JUAL BELI</v>
      </c>
      <c r="H1272" s="42">
        <f t="shared" si="1"/>
        <v>588</v>
      </c>
    </row>
    <row r="1273" ht="22.5" customHeight="1">
      <c r="B1273" s="42" t="str">
        <f>IFERROR(__xludf.DUMMYFUNCTION("""COMPUTED_VALUE"""),"K/38/311224/2")</f>
        <v>K/38/311224/2</v>
      </c>
      <c r="C1273" s="42" t="str">
        <f>IFERROR(__xludf.DUMMYFUNCTION("""COMPUTED_VALUE"""),"M. 968/ Labuhan Dalam")</f>
        <v>M. 968/ Labuhan Dalam</v>
      </c>
      <c r="D1273" s="42" t="str">
        <f>IFERROR(__xludf.DUMMYFUNCTION("""COMPUTED_VALUE"""),"David")</f>
        <v>David</v>
      </c>
      <c r="E1273" s="42" t="str">
        <f>IFERROR(__xludf.DUMMYFUNCTION("""COMPUTED_VALUE"""),"DISERAHKAN")</f>
        <v>DISERAHKAN</v>
      </c>
      <c r="F1273" s="48">
        <f>IFERROR(__xludf.DUMMYFUNCTION("""COMPUTED_VALUE"""),0.0)</f>
        <v>0</v>
      </c>
      <c r="G1273" s="42" t="str">
        <f>IFERROR(__xludf.DUMMYFUNCTION("""COMPUTED_VALUE"""),"BN Jual Beli")</f>
        <v>BN Jual Beli</v>
      </c>
      <c r="H1273" s="42">
        <f t="shared" si="1"/>
        <v>589</v>
      </c>
    </row>
    <row r="1274" ht="22.5" customHeight="1">
      <c r="B1274" s="42" t="str">
        <f>IFERROR(__xludf.DUMMYFUNCTION("""COMPUTED_VALUE"""),"K/39/311224/3")</f>
        <v>K/39/311224/3</v>
      </c>
      <c r="C1274" s="42" t="str">
        <f>IFERROR(__xludf.DUMMYFUNCTION("""COMPUTED_VALUE"""),"M. 1553/ Labuhan Dalam")</f>
        <v>M. 1553/ Labuhan Dalam</v>
      </c>
      <c r="D1274" s="42" t="str">
        <f>IFERROR(__xludf.DUMMYFUNCTION("""COMPUTED_VALUE"""),"David")</f>
        <v>David</v>
      </c>
      <c r="E1274" s="42" t="str">
        <f>IFERROR(__xludf.DUMMYFUNCTION("""COMPUTED_VALUE"""),"DISERAHKAN")</f>
        <v>DISERAHKAN</v>
      </c>
      <c r="F1274" s="48">
        <f>IFERROR(__xludf.DUMMYFUNCTION("""COMPUTED_VALUE"""),0.0)</f>
        <v>0</v>
      </c>
      <c r="G1274" s="42" t="str">
        <f>IFERROR(__xludf.DUMMYFUNCTION("""COMPUTED_VALUE"""),"BN Jual Beli")</f>
        <v>BN Jual Beli</v>
      </c>
      <c r="H1274" s="42">
        <f t="shared" si="1"/>
        <v>590</v>
      </c>
    </row>
    <row r="1275" ht="22.5" customHeight="1">
      <c r="B1275" s="42" t="str">
        <f>IFERROR(__xludf.DUMMYFUNCTION("""COMPUTED_VALUE"""),"K/41/311224/1")</f>
        <v>K/41/311224/1</v>
      </c>
      <c r="C1275" s="42" t="str">
        <f>IFERROR(__xludf.DUMMYFUNCTION("""COMPUTED_VALUE"""),"M. 1363/ kali Balau Kencana")</f>
        <v>M. 1363/ kali Balau Kencana</v>
      </c>
      <c r="D1275" s="42" t="str">
        <f>IFERROR(__xludf.DUMMYFUNCTION("""COMPUTED_VALUE"""),"David")</f>
        <v>David</v>
      </c>
      <c r="E1275" s="42" t="str">
        <f>IFERROR(__xludf.DUMMYFUNCTION("""COMPUTED_VALUE"""),"DISERAHKAN")</f>
        <v>DISERAHKAN</v>
      </c>
      <c r="F1275" s="48">
        <f>IFERROR(__xludf.DUMMYFUNCTION("""COMPUTED_VALUE"""),0.0)</f>
        <v>0</v>
      </c>
      <c r="G1275" s="42" t="str">
        <f>IFERROR(__xludf.DUMMYFUNCTION("""COMPUTED_VALUE"""),"BN JUAL BELI")</f>
        <v>BN JUAL BELI</v>
      </c>
      <c r="H1275" s="42">
        <f t="shared" si="1"/>
        <v>591</v>
      </c>
    </row>
    <row r="1276" ht="22.5" customHeight="1">
      <c r="B1276" s="42" t="str">
        <f>IFERROR(__xludf.DUMMYFUNCTION("""COMPUTED_VALUE"""),"K/9/141024/1")</f>
        <v>K/9/141024/1</v>
      </c>
      <c r="C1276" s="42" t="str">
        <f>IFERROR(__xludf.DUMMYFUNCTION("""COMPUTED_VALUE"""),"M.11980/JAGABAYA II")</f>
        <v>M.11980/JAGABAYA II</v>
      </c>
      <c r="D1276" s="42"/>
      <c r="E1276" s="42"/>
      <c r="F1276" s="48" t="str">
        <f>IFERROR(__xludf.DUMMYFUNCTION("""COMPUTED_VALUE"""),"")</f>
        <v/>
      </c>
      <c r="G1276" s="42" t="str">
        <f>IFERROR(__xludf.DUMMYFUNCTION("""COMPUTED_VALUE"""),"ROYA")</f>
        <v>ROYA</v>
      </c>
      <c r="H1276" s="42">
        <f t="shared" si="1"/>
        <v>591</v>
      </c>
    </row>
    <row r="1277" ht="22.5" customHeight="1">
      <c r="B1277" s="42" t="str">
        <f>IFERROR(__xludf.DUMMYFUNCTION("""COMPUTED_VALUE"""),"K/44/151024/1")</f>
        <v>K/44/151024/1</v>
      </c>
      <c r="C1277" s="42" t="str">
        <f>IFERROR(__xludf.DUMMYFUNCTION("""COMPUTED_VALUE"""),"M.1375/PERUMNAS WAY HALIM-SEKARANG;B.2097/KEDATON-DAHULU")</f>
        <v>M.1375/PERUMNAS WAY HALIM-SEKARANG;B.2097/KEDATON-DAHULU</v>
      </c>
      <c r="D1277" s="42"/>
      <c r="E1277" s="42"/>
      <c r="F1277" s="48" t="str">
        <f>IFERROR(__xludf.DUMMYFUNCTION("""COMPUTED_VALUE"""),"")</f>
        <v/>
      </c>
      <c r="G1277" s="42" t="str">
        <f>IFERROR(__xludf.DUMMYFUNCTION("""COMPUTED_VALUE"""),"SKPT")</f>
        <v>SKPT</v>
      </c>
      <c r="H1277" s="42">
        <f t="shared" si="1"/>
        <v>591</v>
      </c>
    </row>
    <row r="1278" ht="22.5" customHeight="1">
      <c r="B1278" s="42" t="str">
        <f>IFERROR(__xludf.DUMMYFUNCTION("""COMPUTED_VALUE"""),"K/53/221024/3")</f>
        <v>K/53/221024/3</v>
      </c>
      <c r="C1278" s="42" t="str">
        <f>IFERROR(__xludf.DUMMYFUNCTION("""COMPUTED_VALUE"""),"M. 1992/ L R R")</f>
        <v>M. 1992/ L R R</v>
      </c>
      <c r="D1278" s="42"/>
      <c r="E1278" s="42"/>
      <c r="F1278" s="48" t="str">
        <f>IFERROR(__xludf.DUMMYFUNCTION("""COMPUTED_VALUE"""),"")</f>
        <v/>
      </c>
      <c r="G1278" s="42" t="str">
        <f>IFERROR(__xludf.DUMMYFUNCTION("""COMPUTED_VALUE"""),"BN Jual Beli")</f>
        <v>BN Jual Beli</v>
      </c>
      <c r="H1278" s="42">
        <f t="shared" si="1"/>
        <v>591</v>
      </c>
    </row>
    <row r="1279" ht="22.5" customHeight="1">
      <c r="B1279" s="42" t="str">
        <f>IFERROR(__xludf.DUMMYFUNCTION("""COMPUTED_VALUE"""),"K/44/231024/1")</f>
        <v>K/44/231024/1</v>
      </c>
      <c r="C1279" s="42" t="str">
        <f>IFERROR(__xludf.DUMMYFUNCTION("""COMPUTED_VALUE"""),"M. 11085/ Kedamaian; SHT 4351/2015")</f>
        <v>M. 11085/ Kedamaian; SHT 4351/2015</v>
      </c>
      <c r="D1279" s="42"/>
      <c r="E1279" s="42"/>
      <c r="F1279" s="48" t="str">
        <f>IFERROR(__xludf.DUMMYFUNCTION("""COMPUTED_VALUE"""),"")</f>
        <v/>
      </c>
      <c r="G1279" s="42" t="str">
        <f>IFERROR(__xludf.DUMMYFUNCTION("""COMPUTED_VALUE"""),"Roya")</f>
        <v>Roya</v>
      </c>
      <c r="H1279" s="42">
        <f t="shared" si="1"/>
        <v>591</v>
      </c>
    </row>
    <row r="1280" ht="22.5" customHeight="1">
      <c r="B1280" s="42" t="str">
        <f>IFERROR(__xludf.DUMMYFUNCTION("""COMPUTED_VALUE"""),"K/49/231024/1")</f>
        <v>K/49/231024/1</v>
      </c>
      <c r="C1280" s="42" t="str">
        <f>IFERROR(__xludf.DUMMYFUNCTION("""COMPUTED_VALUE"""),"M. 2278/ Rajabasa Jaya")</f>
        <v>M. 2278/ Rajabasa Jaya</v>
      </c>
      <c r="D1280" s="42"/>
      <c r="E1280" s="42"/>
      <c r="F1280" s="48" t="str">
        <f>IFERROR(__xludf.DUMMYFUNCTION("""COMPUTED_VALUE"""),"")</f>
        <v/>
      </c>
      <c r="G1280" s="42" t="str">
        <f>IFERROR(__xludf.DUMMYFUNCTION("""COMPUTED_VALUE"""),"BN JUAL BELI")</f>
        <v>BN JUAL BELI</v>
      </c>
      <c r="H1280" s="42">
        <f t="shared" si="1"/>
        <v>591</v>
      </c>
    </row>
    <row r="1281" ht="22.5" customHeight="1">
      <c r="B1281" s="42" t="str">
        <f>IFERROR(__xludf.DUMMYFUNCTION("""COMPUTED_VALUE"""),"K/23/241024/1")</f>
        <v>K/23/241024/1</v>
      </c>
      <c r="C1281" s="42" t="str">
        <f>IFERROR(__xludf.DUMMYFUNCTION("""COMPUTED_VALUE"""),"M. 16697/ Sukabumi")</f>
        <v>M. 16697/ Sukabumi</v>
      </c>
      <c r="D1281" s="42"/>
      <c r="E1281" s="42"/>
      <c r="F1281" s="48" t="str">
        <f>IFERROR(__xludf.DUMMYFUNCTION("""COMPUTED_VALUE"""),"")</f>
        <v/>
      </c>
      <c r="G1281" s="42" t="str">
        <f>IFERROR(__xludf.DUMMYFUNCTION("""COMPUTED_VALUE"""),"BN Jual Beli")</f>
        <v>BN Jual Beli</v>
      </c>
      <c r="H1281" s="42">
        <f t="shared" si="1"/>
        <v>591</v>
      </c>
    </row>
    <row r="1282" ht="22.5" customHeight="1">
      <c r="B1282" s="42" t="str">
        <f>IFERROR(__xludf.DUMMYFUNCTION("""COMPUTED_VALUE"""),"K/43/241024/1")</f>
        <v>K/43/241024/1</v>
      </c>
      <c r="C1282" s="42" t="str">
        <f>IFERROR(__xludf.DUMMYFUNCTION("""COMPUTED_VALUE"""),"M.2065/GUNUNG TERANG")</f>
        <v>M.2065/GUNUNG TERANG</v>
      </c>
      <c r="D1282" s="42"/>
      <c r="E1282" s="42"/>
      <c r="F1282" s="48" t="str">
        <f>IFERROR(__xludf.DUMMYFUNCTION("""COMPUTED_VALUE"""),"")</f>
        <v/>
      </c>
      <c r="G1282" s="42" t="str">
        <f>IFERROR(__xludf.DUMMYFUNCTION("""COMPUTED_VALUE"""),"ROYA")</f>
        <v>ROYA</v>
      </c>
      <c r="H1282" s="42">
        <f t="shared" si="1"/>
        <v>591</v>
      </c>
    </row>
    <row r="1283" ht="22.5" customHeight="1">
      <c r="B1283" s="42" t="str">
        <f>IFERROR(__xludf.DUMMYFUNCTION("""COMPUTED_VALUE"""),"K/21/251024/1")</f>
        <v>K/21/251024/1</v>
      </c>
      <c r="C1283" s="42" t="str">
        <f>IFERROR(__xludf.DUMMYFUNCTION("""COMPUTED_VALUE"""),"M. 1360/ Tanjungkarang")</f>
        <v>M. 1360/ Tanjungkarang</v>
      </c>
      <c r="D1283" s="42"/>
      <c r="E1283" s="42"/>
      <c r="F1283" s="48" t="str">
        <f>IFERROR(__xludf.DUMMYFUNCTION("""COMPUTED_VALUE"""),"")</f>
        <v/>
      </c>
      <c r="G1283" s="42" t="str">
        <f>IFERROR(__xludf.DUMMYFUNCTION("""COMPUTED_VALUE"""),"SKPT LELANG")</f>
        <v>SKPT LELANG</v>
      </c>
      <c r="H1283" s="42">
        <f t="shared" si="1"/>
        <v>591</v>
      </c>
    </row>
    <row r="1284" ht="22.5" customHeight="1">
      <c r="B1284" s="42" t="str">
        <f>IFERROR(__xludf.DUMMYFUNCTION("""COMPUTED_VALUE"""),"K/22/251024/2")</f>
        <v>K/22/251024/2</v>
      </c>
      <c r="C1284" s="42" t="str">
        <f>IFERROR(__xludf.DUMMYFUNCTION("""COMPUTED_VALUE"""),"M. 63/ Labuhan Dalam")</f>
        <v>M. 63/ Labuhan Dalam</v>
      </c>
      <c r="D1284" s="42"/>
      <c r="E1284" s="42"/>
      <c r="F1284" s="48" t="str">
        <f>IFERROR(__xludf.DUMMYFUNCTION("""COMPUTED_VALUE"""),"")</f>
        <v/>
      </c>
      <c r="G1284" s="42" t="str">
        <f>IFERROR(__xludf.DUMMYFUNCTION("""COMPUTED_VALUE"""),"SKPT LELANG")</f>
        <v>SKPT LELANG</v>
      </c>
      <c r="H1284" s="42">
        <f t="shared" si="1"/>
        <v>591</v>
      </c>
    </row>
    <row r="1285" ht="22.5" customHeight="1">
      <c r="B1285" s="42" t="str">
        <f>IFERROR(__xludf.DUMMYFUNCTION("""COMPUTED_VALUE"""),"K/29/291024/1")</f>
        <v>K/29/291024/1</v>
      </c>
      <c r="C1285" s="42" t="str">
        <f>IFERROR(__xludf.DUMMYFUNCTION("""COMPUTED_VALUE"""),"M. 9298/ Rajabasa")</f>
        <v>M. 9298/ Rajabasa</v>
      </c>
      <c r="D1285" s="42"/>
      <c r="E1285" s="42"/>
      <c r="F1285" s="48" t="str">
        <f>IFERROR(__xludf.DUMMYFUNCTION("""COMPUTED_VALUE"""),"")</f>
        <v/>
      </c>
      <c r="G1285" s="42" t="str">
        <f>IFERROR(__xludf.DUMMYFUNCTION("""COMPUTED_VALUE"""),"Roya")</f>
        <v>Roya</v>
      </c>
      <c r="H1285" s="42">
        <f t="shared" si="1"/>
        <v>591</v>
      </c>
    </row>
    <row r="1286" ht="22.5" customHeight="1">
      <c r="B1286" s="42" t="str">
        <f>IFERROR(__xludf.DUMMYFUNCTION("""COMPUTED_VALUE"""),"K/10/311024/4")</f>
        <v>K/10/311024/4</v>
      </c>
      <c r="C1286" s="42" t="str">
        <f>IFERROR(__xludf.DUMMYFUNCTION("""COMPUTED_VALUE"""),"M.1563/KEMILING PERMAI")</f>
        <v>M.1563/KEMILING PERMAI</v>
      </c>
      <c r="D1286" s="42"/>
      <c r="E1286" s="42"/>
      <c r="F1286" s="48" t="str">
        <f>IFERROR(__xludf.DUMMYFUNCTION("""COMPUTED_VALUE"""),"")</f>
        <v/>
      </c>
      <c r="G1286" s="42" t="str">
        <f>IFERROR(__xludf.DUMMYFUNCTION("""COMPUTED_VALUE"""),"KEWARISAN")</f>
        <v>KEWARISAN</v>
      </c>
      <c r="H1286" s="42">
        <f t="shared" si="1"/>
        <v>591</v>
      </c>
    </row>
    <row r="1287" ht="22.5" customHeight="1">
      <c r="B1287" s="42" t="str">
        <f>IFERROR(__xludf.DUMMYFUNCTION("""COMPUTED_VALUE"""),"K/39/011124/3")</f>
        <v>K/39/011124/3</v>
      </c>
      <c r="C1287" s="42" t="str">
        <f>IFERROR(__xludf.DUMMYFUNCTION("""COMPUTED_VALUE"""),"M. 963; 932/ Pengajaran; SHT2637/2017 dan SHT 2144/2017")</f>
        <v>M. 963; 932/ Pengajaran; SHT2637/2017 dan SHT 2144/2017</v>
      </c>
      <c r="D1287" s="42"/>
      <c r="E1287" s="42"/>
      <c r="F1287" s="48" t="str">
        <f>IFERROR(__xludf.DUMMYFUNCTION("""COMPUTED_VALUE"""),"")</f>
        <v/>
      </c>
      <c r="G1287" s="42" t="str">
        <f>IFERROR(__xludf.DUMMYFUNCTION("""COMPUTED_VALUE"""),"Roya")</f>
        <v>Roya</v>
      </c>
      <c r="H1287" s="42">
        <f t="shared" si="1"/>
        <v>591</v>
      </c>
    </row>
    <row r="1288" ht="22.5" customHeight="1">
      <c r="B1288" s="42" t="str">
        <f>IFERROR(__xludf.DUMMYFUNCTION("""COMPUTED_VALUE"""),"K/50/041124/1")</f>
        <v>K/50/041124/1</v>
      </c>
      <c r="C1288" s="42" t="str">
        <f>IFERROR(__xludf.DUMMYFUNCTION("""COMPUTED_VALUE"""),"M. 884/ SUMBER AGUNG")</f>
        <v>M. 884/ SUMBER AGUNG</v>
      </c>
      <c r="D1288" s="42"/>
      <c r="E1288" s="42"/>
      <c r="F1288" s="48" t="str">
        <f>IFERROR(__xludf.DUMMYFUNCTION("""COMPUTED_VALUE"""),"")</f>
        <v/>
      </c>
      <c r="G1288" s="42" t="str">
        <f>IFERROR(__xludf.DUMMYFUNCTION("""COMPUTED_VALUE"""),"BN JUAL BELI")</f>
        <v>BN JUAL BELI</v>
      </c>
      <c r="H1288" s="42">
        <f t="shared" si="1"/>
        <v>591</v>
      </c>
    </row>
    <row r="1289" ht="22.5" customHeight="1">
      <c r="B1289" s="42" t="str">
        <f>IFERROR(__xludf.DUMMYFUNCTION("""COMPUTED_VALUE"""),"K/64/051124/1")</f>
        <v>K/64/051124/1</v>
      </c>
      <c r="C1289" s="42" t="str">
        <f>IFERROR(__xludf.DUMMYFUNCTION("""COMPUTED_VALUE"""),"M. 11579/ Rajabasa")</f>
        <v>M. 11579/ Rajabasa</v>
      </c>
      <c r="D1289" s="42"/>
      <c r="E1289" s="42"/>
      <c r="F1289" s="48" t="str">
        <f>IFERROR(__xludf.DUMMYFUNCTION("""COMPUTED_VALUE"""),"")</f>
        <v/>
      </c>
      <c r="G1289" s="42" t="str">
        <f>IFERROR(__xludf.DUMMYFUNCTION("""COMPUTED_VALUE"""),"SKPT INFORMASI")</f>
        <v>SKPT INFORMASI</v>
      </c>
      <c r="H1289" s="42">
        <f t="shared" si="1"/>
        <v>591</v>
      </c>
    </row>
    <row r="1290" ht="22.5" customHeight="1">
      <c r="B1290" s="42" t="str">
        <f>IFERROR(__xludf.DUMMYFUNCTION("""COMPUTED_VALUE"""),"K/42/081124/1")</f>
        <v>K/42/081124/1</v>
      </c>
      <c r="C1290" s="42" t="str">
        <f>IFERROR(__xludf.DUMMYFUNCTION("""COMPUTED_VALUE"""),"M.4432/GUNUNG TERANG")</f>
        <v>M.4432/GUNUNG TERANG</v>
      </c>
      <c r="D1290" s="42"/>
      <c r="E1290" s="42"/>
      <c r="F1290" s="48" t="str">
        <f>IFERROR(__xludf.DUMMYFUNCTION("""COMPUTED_VALUE"""),"")</f>
        <v/>
      </c>
      <c r="G1290" s="42" t="str">
        <f>IFERROR(__xludf.DUMMYFUNCTION("""COMPUTED_VALUE"""),"KEWARISAN")</f>
        <v>KEWARISAN</v>
      </c>
      <c r="H1290" s="42">
        <f t="shared" si="1"/>
        <v>591</v>
      </c>
    </row>
    <row r="1291" ht="22.5" customHeight="1">
      <c r="B1291" s="42" t="str">
        <f>IFERROR(__xludf.DUMMYFUNCTION("""COMPUTED_VALUE"""),"K/20/131124/1")</f>
        <v>K/20/131124/1</v>
      </c>
      <c r="C1291" s="42" t="str">
        <f>IFERROR(__xludf.DUMMYFUNCTION("""COMPUTED_VALUE"""),"M. 942/ Sumur Putri")</f>
        <v>M. 942/ Sumur Putri</v>
      </c>
      <c r="D1291" s="42"/>
      <c r="E1291" s="42"/>
      <c r="F1291" s="48" t="str">
        <f>IFERROR(__xludf.DUMMYFUNCTION("""COMPUTED_VALUE"""),"")</f>
        <v/>
      </c>
      <c r="G1291" s="42" t="str">
        <f>IFERROR(__xludf.DUMMYFUNCTION("""COMPUTED_VALUE"""),"BN JUAL BELI")</f>
        <v>BN JUAL BELI</v>
      </c>
      <c r="H1291" s="42">
        <f t="shared" si="1"/>
        <v>591</v>
      </c>
    </row>
    <row r="1292" ht="22.5" customHeight="1">
      <c r="B1292" s="42" t="str">
        <f>IFERROR(__xludf.DUMMYFUNCTION("""COMPUTED_VALUE"""),"K/17/181124/2")</f>
        <v>K/17/181124/2</v>
      </c>
      <c r="C1292" s="42" t="str">
        <f>IFERROR(__xludf.DUMMYFUNCTION("""COMPUTED_VALUE"""),"Nibel. B. 403/ Kemiling Permai")</f>
        <v>Nibel. B. 403/ Kemiling Permai</v>
      </c>
      <c r="D1292" s="42"/>
      <c r="E1292" s="42"/>
      <c r="F1292" s="48" t="str">
        <f>IFERROR(__xludf.DUMMYFUNCTION("""COMPUTED_VALUE"""),"")</f>
        <v/>
      </c>
      <c r="G1292" s="42" t="str">
        <f>IFERROR(__xludf.DUMMYFUNCTION("""COMPUTED_VALUE"""),"BN Jual Beli")</f>
        <v>BN Jual Beli</v>
      </c>
      <c r="H1292" s="42">
        <f t="shared" si="1"/>
        <v>591</v>
      </c>
    </row>
    <row r="1293" ht="22.5" customHeight="1">
      <c r="B1293" s="42" t="str">
        <f>IFERROR(__xludf.DUMMYFUNCTION("""COMPUTED_VALUE"""),"K/52/181124/2")</f>
        <v>K/52/181124/2</v>
      </c>
      <c r="C1293" s="42" t="str">
        <f>IFERROR(__xludf.DUMMYFUNCTION("""COMPUTED_VALUE"""),"B. 625/ Kemiling Permai")</f>
        <v>B. 625/ Kemiling Permai</v>
      </c>
      <c r="D1293" s="42"/>
      <c r="E1293" s="42"/>
      <c r="F1293" s="48" t="str">
        <f>IFERROR(__xludf.DUMMYFUNCTION("""COMPUTED_VALUE"""),"")</f>
        <v/>
      </c>
      <c r="G1293" s="42" t="str">
        <f>IFERROR(__xludf.DUMMYFUNCTION("""COMPUTED_VALUE"""),"BN JUAL BELI")</f>
        <v>BN JUAL BELI</v>
      </c>
      <c r="H1293" s="42">
        <f t="shared" si="1"/>
        <v>591</v>
      </c>
    </row>
    <row r="1294" ht="22.5" customHeight="1">
      <c r="B1294" s="42" t="str">
        <f>IFERROR(__xludf.DUMMYFUNCTION("""COMPUTED_VALUE"""),"K/1/211124/1")</f>
        <v>K/1/211124/1</v>
      </c>
      <c r="C1294" s="42" t="str">
        <f>IFERROR(__xludf.DUMMYFUNCTION("""COMPUTED_VALUE"""),"M. 807/ Negeri Olok Gading")</f>
        <v>M. 807/ Negeri Olok Gading</v>
      </c>
      <c r="D1294" s="42"/>
      <c r="E1294" s="42"/>
      <c r="F1294" s="48" t="str">
        <f>IFERROR(__xludf.DUMMYFUNCTION("""COMPUTED_VALUE"""),"")</f>
        <v/>
      </c>
      <c r="G1294" s="42" t="str">
        <f>IFERROR(__xludf.DUMMYFUNCTION("""COMPUTED_VALUE"""),"BN JUAL BELI")</f>
        <v>BN JUAL BELI</v>
      </c>
      <c r="H1294" s="42">
        <f t="shared" si="1"/>
        <v>591</v>
      </c>
    </row>
    <row r="1295" ht="22.5" customHeight="1">
      <c r="B1295" s="42" t="str">
        <f>IFERROR(__xludf.DUMMYFUNCTION("""COMPUTED_VALUE"""),"K/47/251124/2")</f>
        <v>K/47/251124/2</v>
      </c>
      <c r="C1295" s="42" t="str">
        <f>IFERROR(__xludf.DUMMYFUNCTION("""COMPUTED_VALUE"""),"Nibel. M. 10937/ Sepang Jaya")</f>
        <v>Nibel. M. 10937/ Sepang Jaya</v>
      </c>
      <c r="D1295" s="42"/>
      <c r="E1295" s="42"/>
      <c r="F1295" s="48" t="str">
        <f>IFERROR(__xludf.DUMMYFUNCTION("""COMPUTED_VALUE"""),"")</f>
        <v/>
      </c>
      <c r="G1295" s="42" t="str">
        <f>IFERROR(__xludf.DUMMYFUNCTION("""COMPUTED_VALUE"""),"BN Jual Beli")</f>
        <v>BN Jual Beli</v>
      </c>
      <c r="H1295" s="42">
        <f t="shared" si="1"/>
        <v>591</v>
      </c>
    </row>
    <row r="1296" ht="22.5" customHeight="1">
      <c r="B1296" s="42" t="str">
        <f>IFERROR(__xludf.DUMMYFUNCTION("""COMPUTED_VALUE"""),"K/56/261124/2")</f>
        <v>K/56/261124/2</v>
      </c>
      <c r="C1296" s="42" t="str">
        <f>IFERROR(__xludf.DUMMYFUNCTION("""COMPUTED_VALUE"""),"Nibel 408/ Kemiling Permai")</f>
        <v>Nibel 408/ Kemiling Permai</v>
      </c>
      <c r="D1296" s="42"/>
      <c r="E1296" s="42"/>
      <c r="F1296" s="48" t="str">
        <f>IFERROR(__xludf.DUMMYFUNCTION("""COMPUTED_VALUE"""),"")</f>
        <v/>
      </c>
      <c r="G1296" s="42" t="str">
        <f>IFERROR(__xludf.DUMMYFUNCTION("""COMPUTED_VALUE"""),"BN JUAL BELI")</f>
        <v>BN JUAL BELI</v>
      </c>
      <c r="H1296" s="42">
        <f t="shared" si="1"/>
        <v>591</v>
      </c>
    </row>
    <row r="1297" ht="22.5" customHeight="1">
      <c r="B1297" s="42" t="str">
        <f>IFERROR(__xludf.DUMMYFUNCTION("""COMPUTED_VALUE"""),"K/14/021224/1")</f>
        <v>K/14/021224/1</v>
      </c>
      <c r="C1297" s="42" t="str">
        <f>IFERROR(__xludf.DUMMYFUNCTION("""COMPUTED_VALUE"""),"M.3464/GUNUNG TERANG")</f>
        <v>M.3464/GUNUNG TERANG</v>
      </c>
      <c r="D1297" s="42"/>
      <c r="E1297" s="42"/>
      <c r="F1297" s="48" t="str">
        <f>IFERROR(__xludf.DUMMYFUNCTION("""COMPUTED_VALUE"""),"")</f>
        <v/>
      </c>
      <c r="G1297" s="42" t="str">
        <f>IFERROR(__xludf.DUMMYFUNCTION("""COMPUTED_VALUE"""),"PEMECAHAN")</f>
        <v>PEMECAHAN</v>
      </c>
      <c r="H1297" s="42">
        <f t="shared" si="1"/>
        <v>591</v>
      </c>
    </row>
    <row r="1298" ht="22.5" customHeight="1">
      <c r="B1298" s="42" t="str">
        <f>IFERROR(__xludf.DUMMYFUNCTION("""COMPUTED_VALUE"""),"K/20/2012124/1")</f>
        <v>K/20/2012124/1</v>
      </c>
      <c r="C1298" s="42" t="str">
        <f>IFERROR(__xludf.DUMMYFUNCTION("""COMPUTED_VALUE"""),"M. 4391/ Tanjung Seneng")</f>
        <v>M. 4391/ Tanjung Seneng</v>
      </c>
      <c r="D1298" s="42"/>
      <c r="E1298" s="42" t="str">
        <f>IFERROR(__xludf.DUMMYFUNCTION("""COMPUTED_VALUE"""),"DISERAHKAN")</f>
        <v>DISERAHKAN</v>
      </c>
      <c r="F1298" s="48">
        <f>IFERROR(__xludf.DUMMYFUNCTION("""COMPUTED_VALUE"""),45691.62873664351)</f>
        <v>45691.62874</v>
      </c>
      <c r="G1298" s="42" t="str">
        <f>IFERROR(__xludf.DUMMYFUNCTION("""COMPUTED_VALUE"""),"Roya")</f>
        <v>Roya</v>
      </c>
      <c r="H1298" s="42">
        <f t="shared" si="1"/>
        <v>592</v>
      </c>
    </row>
    <row r="1299" ht="22.5" customHeight="1">
      <c r="B1299" s="42" t="str">
        <f>IFERROR(__xludf.DUMMYFUNCTION("""COMPUTED_VALUE"""),"K/1/020125/1")</f>
        <v>K/1/020125/1</v>
      </c>
      <c r="C1299" s="42" t="str">
        <f>IFERROR(__xludf.DUMMYFUNCTION("""COMPUTED_VALUE"""),"M. 3025/ Gedong Air")</f>
        <v>M. 3025/ Gedong Air</v>
      </c>
      <c r="D1299" s="42" t="str">
        <f>IFERROR(__xludf.DUMMYFUNCTION("""COMPUTED_VALUE"""),"Berry")</f>
        <v>Berry</v>
      </c>
      <c r="E1299" s="42" t="str">
        <f>IFERROR(__xludf.DUMMYFUNCTION("""COMPUTED_VALUE"""),"DISERAHKAN")</f>
        <v>DISERAHKAN</v>
      </c>
      <c r="F1299" s="48">
        <f>IFERROR(__xludf.DUMMYFUNCTION("""COMPUTED_VALUE"""),0.0)</f>
        <v>0</v>
      </c>
      <c r="G1299" s="42" t="str">
        <f>IFERROR(__xludf.DUMMYFUNCTION("""COMPUTED_VALUE"""),"BN HIBAH")</f>
        <v>BN HIBAH</v>
      </c>
      <c r="H1299" s="42">
        <f t="shared" si="1"/>
        <v>593</v>
      </c>
    </row>
    <row r="1300" ht="22.5" customHeight="1">
      <c r="B1300" s="42" t="str">
        <f>IFERROR(__xludf.DUMMYFUNCTION("""COMPUTED_VALUE"""),"K/2/020125/2")</f>
        <v>K/2/020125/2</v>
      </c>
      <c r="C1300" s="42" t="str">
        <f>IFERROR(__xludf.DUMMYFUNCTION("""COMPUTED_VALUE"""),"M. 3016/ Gedong Air")</f>
        <v>M. 3016/ Gedong Air</v>
      </c>
      <c r="D1300" s="42" t="str">
        <f>IFERROR(__xludf.DUMMYFUNCTION("""COMPUTED_VALUE"""),"Berry")</f>
        <v>Berry</v>
      </c>
      <c r="E1300" s="42" t="str">
        <f>IFERROR(__xludf.DUMMYFUNCTION("""COMPUTED_VALUE"""),"DISERAHKAN")</f>
        <v>DISERAHKAN</v>
      </c>
      <c r="F1300" s="48">
        <f>IFERROR(__xludf.DUMMYFUNCTION("""COMPUTED_VALUE"""),0.0)</f>
        <v>0</v>
      </c>
      <c r="G1300" s="42" t="str">
        <f>IFERROR(__xludf.DUMMYFUNCTION("""COMPUTED_VALUE"""),"BNHIBAH")</f>
        <v>BNHIBAH</v>
      </c>
      <c r="H1300" s="42">
        <f t="shared" si="1"/>
        <v>594</v>
      </c>
    </row>
    <row r="1301" ht="22.5" customHeight="1">
      <c r="B1301" s="42" t="str">
        <f>IFERROR(__xludf.DUMMYFUNCTION("""COMPUTED_VALUE"""),"K/4/020125/1")</f>
        <v>K/4/020125/1</v>
      </c>
      <c r="C1301" s="42" t="str">
        <f>IFERROR(__xludf.DUMMYFUNCTION("""COMPUTED_VALUE"""),"B. 3472/ Sukarame")</f>
        <v>B. 3472/ Sukarame</v>
      </c>
      <c r="D1301" s="42" t="str">
        <f>IFERROR(__xludf.DUMMYFUNCTION("""COMPUTED_VALUE"""),"Berry")</f>
        <v>Berry</v>
      </c>
      <c r="E1301" s="42" t="str">
        <f>IFERROR(__xludf.DUMMYFUNCTION("""COMPUTED_VALUE"""),"DISERAHKAN")</f>
        <v>DISERAHKAN</v>
      </c>
      <c r="F1301" s="48">
        <f>IFERROR(__xludf.DUMMYFUNCTION("""COMPUTED_VALUE"""),0.0)</f>
        <v>0</v>
      </c>
      <c r="G1301" s="42" t="str">
        <f>IFERROR(__xludf.DUMMYFUNCTION("""COMPUTED_VALUE"""),"Roya")</f>
        <v>Roya</v>
      </c>
      <c r="H1301" s="42">
        <f t="shared" si="1"/>
        <v>595</v>
      </c>
    </row>
    <row r="1302" ht="22.5" customHeight="1">
      <c r="B1302" s="42" t="str">
        <f>IFERROR(__xludf.DUMMYFUNCTION("""COMPUTED_VALUE"""),"K/3/020125/1")</f>
        <v>K/3/020125/1</v>
      </c>
      <c r="C1302" s="42" t="str">
        <f>IFERROR(__xludf.DUMMYFUNCTION("""COMPUTED_VALUE"""),"Nibel 2254/ Sukabumi")</f>
        <v>Nibel 2254/ Sukabumi</v>
      </c>
      <c r="D1302" s="42"/>
      <c r="E1302" s="42"/>
      <c r="F1302" s="48" t="str">
        <f>IFERROR(__xludf.DUMMYFUNCTION("""COMPUTED_VALUE"""),"")</f>
        <v/>
      </c>
      <c r="G1302" s="42" t="str">
        <f>IFERROR(__xludf.DUMMYFUNCTION("""COMPUTED_VALUE"""),"PERMOHONAN SK PEMBAHARUAN")</f>
        <v>PERMOHONAN SK PEMBAHARUAN</v>
      </c>
      <c r="H1302" s="42">
        <f t="shared" si="1"/>
        <v>595</v>
      </c>
    </row>
    <row r="1303" ht="22.5" customHeight="1">
      <c r="B1303" s="42" t="str">
        <f>IFERROR(__xludf.DUMMYFUNCTION("""COMPUTED_VALUE"""),"K/6/020125/1")</f>
        <v>K/6/020125/1</v>
      </c>
      <c r="C1303" s="42" t="str">
        <f>IFERROR(__xludf.DUMMYFUNCTION("""COMPUTED_VALUE"""),"M. 1469/ Pinang Jaya")</f>
        <v>M. 1469/ Pinang Jaya</v>
      </c>
      <c r="D1303" s="42" t="str">
        <f>IFERROR(__xludf.DUMMYFUNCTION("""COMPUTED_VALUE"""),"Berry")</f>
        <v>Berry</v>
      </c>
      <c r="E1303" s="42" t="str">
        <f>IFERROR(__xludf.DUMMYFUNCTION("""COMPUTED_VALUE"""),"DISERAHKAN")</f>
        <v>DISERAHKAN</v>
      </c>
      <c r="F1303" s="48">
        <f>IFERROR(__xludf.DUMMYFUNCTION("""COMPUTED_VALUE"""),0.0)</f>
        <v>0</v>
      </c>
      <c r="G1303" s="42" t="str">
        <f>IFERROR(__xludf.DUMMYFUNCTION("""COMPUTED_VALUE"""),"BN JUAL BELI")</f>
        <v>BN JUAL BELI</v>
      </c>
      <c r="H1303" s="42">
        <f t="shared" si="1"/>
        <v>596</v>
      </c>
    </row>
    <row r="1304" ht="22.5" customHeight="1">
      <c r="B1304" s="42" t="str">
        <f>IFERROR(__xludf.DUMMYFUNCTION("""COMPUTED_VALUE"""),"K/5/020125/1")</f>
        <v>K/5/020125/1</v>
      </c>
      <c r="C1304" s="42" t="str">
        <f>IFERROR(__xludf.DUMMYFUNCTION("""COMPUTED_VALUE"""),"M. 3689/ Sukadana Ham")</f>
        <v>M. 3689/ Sukadana Ham</v>
      </c>
      <c r="D1304" s="42"/>
      <c r="E1304" s="42"/>
      <c r="F1304" s="48" t="str">
        <f>IFERROR(__xludf.DUMMYFUNCTION("""COMPUTED_VALUE"""),"")</f>
        <v/>
      </c>
      <c r="G1304" s="42" t="str">
        <f>IFERROR(__xludf.DUMMYFUNCTION("""COMPUTED_VALUE"""),"Hapus BHTB")</f>
        <v>Hapus BHTB</v>
      </c>
      <c r="H1304" s="42">
        <f t="shared" si="1"/>
        <v>596</v>
      </c>
    </row>
    <row r="1305" ht="22.5" customHeight="1">
      <c r="B1305" s="42" t="str">
        <f>IFERROR(__xludf.DUMMYFUNCTION("""COMPUTED_VALUE"""),"K/7/020125/1")</f>
        <v>K/7/020125/1</v>
      </c>
      <c r="C1305" s="42" t="str">
        <f>IFERROR(__xludf.DUMMYFUNCTION("""COMPUTED_VALUE"""),"M. 8667/ Keteguhan")</f>
        <v>M. 8667/ Keteguhan</v>
      </c>
      <c r="D1305" s="42"/>
      <c r="E1305" s="42"/>
      <c r="F1305" s="48" t="str">
        <f>IFERROR(__xludf.DUMMYFUNCTION("""COMPUTED_VALUE"""),"")</f>
        <v/>
      </c>
      <c r="G1305" s="42" t="str">
        <f>IFERROR(__xludf.DUMMYFUNCTION("""COMPUTED_VALUE"""),"PLOTTING")</f>
        <v>PLOTTING</v>
      </c>
      <c r="H1305" s="42">
        <f t="shared" si="1"/>
        <v>596</v>
      </c>
    </row>
    <row r="1306" ht="22.5" customHeight="1">
      <c r="B1306" s="42" t="str">
        <f>IFERROR(__xludf.DUMMYFUNCTION("""COMPUTED_VALUE"""),"K/9/020125/1")</f>
        <v>K/9/020125/1</v>
      </c>
      <c r="C1306" s="42" t="str">
        <f>IFERROR(__xludf.DUMMYFUNCTION("""COMPUTED_VALUE"""),"Nibel. B. 624/ Labuhan Ratu Raya")</f>
        <v>Nibel. B. 624/ Labuhan Ratu Raya</v>
      </c>
      <c r="D1306" s="42"/>
      <c r="E1306" s="42"/>
      <c r="F1306" s="48" t="str">
        <f>IFERROR(__xludf.DUMMYFUNCTION("""COMPUTED_VALUE"""),"")</f>
        <v/>
      </c>
      <c r="G1306" s="42" t="str">
        <f>IFERROR(__xludf.DUMMYFUNCTION("""COMPUTED_VALUE"""),"Perubahan Hak")</f>
        <v>Perubahan Hak</v>
      </c>
      <c r="H1306" s="42">
        <f t="shared" si="1"/>
        <v>596</v>
      </c>
    </row>
    <row r="1307" ht="22.5" customHeight="1">
      <c r="B1307" s="42" t="str">
        <f>IFERROR(__xludf.DUMMYFUNCTION("""COMPUTED_VALUE"""),"K/8/020125/1")</f>
        <v>K/8/020125/1</v>
      </c>
      <c r="C1307" s="42" t="str">
        <f>IFERROR(__xludf.DUMMYFUNCTION("""COMPUTED_VALUE"""),"M. 1820/ Rajabasa Nunyai")</f>
        <v>M. 1820/ Rajabasa Nunyai</v>
      </c>
      <c r="D1307" s="42" t="str">
        <f>IFERROR(__xludf.DUMMYFUNCTION("""COMPUTED_VALUE"""),"Berry")</f>
        <v>Berry</v>
      </c>
      <c r="E1307" s="42" t="str">
        <f>IFERROR(__xludf.DUMMYFUNCTION("""COMPUTED_VALUE"""),"PROSES")</f>
        <v>PROSES</v>
      </c>
      <c r="F1307" s="48" t="str">
        <f>IFERROR(__xludf.DUMMYFUNCTION("""COMPUTED_VALUE"""),"")</f>
        <v/>
      </c>
      <c r="G1307" s="42" t="str">
        <f>IFERROR(__xludf.DUMMYFUNCTION("""COMPUTED_VALUE"""),"BN HIBAH")</f>
        <v>BN HIBAH</v>
      </c>
      <c r="H1307" s="42">
        <f t="shared" si="1"/>
        <v>596</v>
      </c>
    </row>
    <row r="1308" ht="22.5" customHeight="1">
      <c r="B1308" s="42" t="str">
        <f>IFERROR(__xludf.DUMMYFUNCTION("""COMPUTED_VALUE"""),"K/10/020125/1")</f>
        <v>K/10/020125/1</v>
      </c>
      <c r="C1308" s="42" t="str">
        <f>IFERROR(__xludf.DUMMYFUNCTION("""COMPUTED_VALUE"""),"Nibel 3439/ Sepang Jaya")</f>
        <v>Nibel 3439/ Sepang Jaya</v>
      </c>
      <c r="D1308" s="42"/>
      <c r="E1308" s="42"/>
      <c r="F1308" s="48" t="str">
        <f>IFERROR(__xludf.DUMMYFUNCTION("""COMPUTED_VALUE"""),"")</f>
        <v/>
      </c>
      <c r="G1308" s="42" t="str">
        <f>IFERROR(__xludf.DUMMYFUNCTION("""COMPUTED_VALUE"""),"BN JUAL BELI")</f>
        <v>BN JUAL BELI</v>
      </c>
      <c r="H1308" s="42">
        <f t="shared" si="1"/>
        <v>596</v>
      </c>
    </row>
    <row r="1309" ht="22.5" customHeight="1">
      <c r="B1309" s="42" t="str">
        <f>IFERROR(__xludf.DUMMYFUNCTION("""COMPUTED_VALUE"""),"L/11/020125/1")</f>
        <v>L/11/020125/1</v>
      </c>
      <c r="C1309" s="42" t="str">
        <f>IFERROR(__xludf.DUMMYFUNCTION("""COMPUTED_VALUE"""),"HM 2379/PANJANG UTARA")</f>
        <v>HM 2379/PANJANG UTARA</v>
      </c>
      <c r="D1309" s="42" t="str">
        <f>IFERROR(__xludf.DUMMYFUNCTION("""COMPUTED_VALUE"""),"Berry")</f>
        <v>Berry</v>
      </c>
      <c r="E1309" s="42" t="str">
        <f>IFERROR(__xludf.DUMMYFUNCTION("""COMPUTED_VALUE"""),"DISERAHKAN")</f>
        <v>DISERAHKAN</v>
      </c>
      <c r="F1309" s="48">
        <f>IFERROR(__xludf.DUMMYFUNCTION("""COMPUTED_VALUE"""),0.0)</f>
        <v>0</v>
      </c>
      <c r="G1309" s="42" t="str">
        <f>IFERROR(__xludf.DUMMYFUNCTION("""COMPUTED_VALUE"""),"ROYA WARIS")</f>
        <v>ROYA WARIS</v>
      </c>
      <c r="H1309" s="42">
        <f t="shared" si="1"/>
        <v>597</v>
      </c>
    </row>
    <row r="1310" ht="22.5" customHeight="1">
      <c r="B1310" s="42" t="str">
        <f>IFERROR(__xludf.DUMMYFUNCTION("""COMPUTED_VALUE"""),"K/12/020125/1")</f>
        <v>K/12/020125/1</v>
      </c>
      <c r="C1310" s="42" t="str">
        <f>IFERROR(__xludf.DUMMYFUNCTION("""COMPUTED_VALUE"""),"Nibel 14/ Kemiling Permai")</f>
        <v>Nibel 14/ Kemiling Permai</v>
      </c>
      <c r="D1310" s="42"/>
      <c r="E1310" s="42"/>
      <c r="F1310" s="48" t="str">
        <f>IFERROR(__xludf.DUMMYFUNCTION("""COMPUTED_VALUE"""),"")</f>
        <v/>
      </c>
      <c r="G1310" s="42" t="str">
        <f>IFERROR(__xludf.DUMMYFUNCTION("""COMPUTED_VALUE"""),"PERUBAHAN HAK")</f>
        <v>PERUBAHAN HAK</v>
      </c>
      <c r="H1310" s="42">
        <f t="shared" si="1"/>
        <v>597</v>
      </c>
    </row>
    <row r="1311" ht="22.5" customHeight="1">
      <c r="B1311" s="42" t="str">
        <f>IFERROR(__xludf.DUMMYFUNCTION("""COMPUTED_VALUE"""),"L/14/020125/1")</f>
        <v>L/14/020125/1</v>
      </c>
      <c r="C1311" s="42" t="str">
        <f>IFERROR(__xludf.DUMMYFUNCTION("""COMPUTED_VALUE"""),"HM 134/GUNUNG TERANG")</f>
        <v>HM 134/GUNUNG TERANG</v>
      </c>
      <c r="D1311" s="42" t="str">
        <f>IFERROR(__xludf.DUMMYFUNCTION("""COMPUTED_VALUE"""),"Berry")</f>
        <v>Berry</v>
      </c>
      <c r="E1311" s="42" t="str">
        <f>IFERROR(__xludf.DUMMYFUNCTION("""COMPUTED_VALUE"""),"DISERAHKAN")</f>
        <v>DISERAHKAN</v>
      </c>
      <c r="F1311" s="48">
        <f>IFERROR(__xludf.DUMMYFUNCTION("""COMPUTED_VALUE"""),0.0)</f>
        <v>0</v>
      </c>
      <c r="G1311" s="42" t="str">
        <f>IFERROR(__xludf.DUMMYFUNCTION("""COMPUTED_VALUE"""),"ROYA")</f>
        <v>ROYA</v>
      </c>
      <c r="H1311" s="42">
        <f t="shared" si="1"/>
        <v>598</v>
      </c>
    </row>
    <row r="1312" ht="22.5" customHeight="1">
      <c r="B1312" s="42" t="str">
        <f>IFERROR(__xludf.DUMMYFUNCTION("""COMPUTED_VALUE"""),"K/13/020125/2")</f>
        <v>K/13/020125/2</v>
      </c>
      <c r="C1312" s="42" t="str">
        <f>IFERROR(__xludf.DUMMYFUNCTION("""COMPUTED_VALUE"""),"Nibel 2783/ Kemiling Permai")</f>
        <v>Nibel 2783/ Kemiling Permai</v>
      </c>
      <c r="D1312" s="42"/>
      <c r="E1312" s="42"/>
      <c r="F1312" s="48" t="str">
        <f>IFERROR(__xludf.DUMMYFUNCTION("""COMPUTED_VALUE"""),"")</f>
        <v/>
      </c>
      <c r="G1312" s="42" t="str">
        <f>IFERROR(__xludf.DUMMYFUNCTION("""COMPUTED_VALUE"""),"PERUBAHAN HAK")</f>
        <v>PERUBAHAN HAK</v>
      </c>
      <c r="H1312" s="42">
        <f t="shared" si="1"/>
        <v>598</v>
      </c>
    </row>
    <row r="1313" ht="22.5" customHeight="1">
      <c r="B1313" s="42" t="str">
        <f>IFERROR(__xludf.DUMMYFUNCTION("""COMPUTED_VALUE"""),"K/15/020125/1")</f>
        <v>K/15/020125/1</v>
      </c>
      <c r="C1313" s="42" t="str">
        <f>IFERROR(__xludf.DUMMYFUNCTION("""COMPUTED_VALUE"""),"M. 1457/ Kota Karang")</f>
        <v>M. 1457/ Kota Karang</v>
      </c>
      <c r="D1313" s="42"/>
      <c r="E1313" s="42"/>
      <c r="F1313" s="48" t="str">
        <f>IFERROR(__xludf.DUMMYFUNCTION("""COMPUTED_VALUE"""),"")</f>
        <v/>
      </c>
      <c r="G1313" s="42" t="str">
        <f>IFERROR(__xludf.DUMMYFUNCTION("""COMPUTED_VALUE"""),"PLOTTING")</f>
        <v>PLOTTING</v>
      </c>
      <c r="H1313" s="42">
        <f t="shared" si="1"/>
        <v>598</v>
      </c>
    </row>
    <row r="1314" ht="22.5" customHeight="1">
      <c r="B1314" s="42" t="str">
        <f>IFERROR(__xludf.DUMMYFUNCTION("""COMPUTED_VALUE"""),"K/18/020125/1")</f>
        <v>K/18/020125/1</v>
      </c>
      <c r="C1314" s="42" t="str">
        <f>IFERROR(__xludf.DUMMYFUNCTION("""COMPUTED_VALUE"""),"B. 865/ Keteguhan")</f>
        <v>B. 865/ Keteguhan</v>
      </c>
      <c r="D1314" s="42" t="str">
        <f>IFERROR(__xludf.DUMMYFUNCTION("""COMPUTED_VALUE"""),"Berry")</f>
        <v>Berry</v>
      </c>
      <c r="E1314" s="42" t="str">
        <f>IFERROR(__xludf.DUMMYFUNCTION("""COMPUTED_VALUE"""),"DISERAHKAN SU")</f>
        <v>DISERAHKAN SU</v>
      </c>
      <c r="F1314" s="48">
        <f>IFERROR(__xludf.DUMMYFUNCTION("""COMPUTED_VALUE"""),0.0)</f>
        <v>0</v>
      </c>
      <c r="G1314" s="42" t="str">
        <f>IFERROR(__xludf.DUMMYFUNCTION("""COMPUTED_VALUE"""),"ROYA")</f>
        <v>ROYA</v>
      </c>
      <c r="H1314" s="42">
        <f t="shared" si="1"/>
        <v>598</v>
      </c>
    </row>
    <row r="1315" ht="22.5" customHeight="1">
      <c r="B1315" s="42" t="str">
        <f>IFERROR(__xludf.DUMMYFUNCTION("""COMPUTED_VALUE"""),"L/19/020125/1")</f>
        <v>L/19/020125/1</v>
      </c>
      <c r="C1315" s="42" t="str">
        <f>IFERROR(__xludf.DUMMYFUNCTION("""COMPUTED_VALUE"""),"NIB 13600/SUKABUMI INDAH")</f>
        <v>NIB 13600/SUKABUMI INDAH</v>
      </c>
      <c r="D1315" s="42"/>
      <c r="E1315" s="42"/>
      <c r="F1315" s="48" t="str">
        <f>IFERROR(__xludf.DUMMYFUNCTION("""COMPUTED_VALUE"""),"")</f>
        <v/>
      </c>
      <c r="G1315" s="42" t="str">
        <f>IFERROR(__xludf.DUMMYFUNCTION("""COMPUTED_VALUE"""),"PH")</f>
        <v>PH</v>
      </c>
      <c r="H1315" s="42">
        <f t="shared" si="1"/>
        <v>598</v>
      </c>
    </row>
    <row r="1316" ht="22.5" customHeight="1">
      <c r="B1316" s="42" t="str">
        <f>IFERROR(__xludf.DUMMYFUNCTION("""COMPUTED_VALUE"""),"K/16/020125/1")</f>
        <v>K/16/020125/1</v>
      </c>
      <c r="C1316" s="42" t="str">
        <f>IFERROR(__xludf.DUMMYFUNCTION("""COMPUTED_VALUE"""),"M. 1141/ Bumi Kedamaian")</f>
        <v>M. 1141/ Bumi Kedamaian</v>
      </c>
      <c r="D1316" s="42" t="str">
        <f>IFERROR(__xludf.DUMMYFUNCTION("""COMPUTED_VALUE"""),"Berry")</f>
        <v>Berry</v>
      </c>
      <c r="E1316" s="42" t="str">
        <f>IFERROR(__xludf.DUMMYFUNCTION("""COMPUTED_VALUE"""),"DISERAHKAN")</f>
        <v>DISERAHKAN</v>
      </c>
      <c r="F1316" s="48">
        <f>IFERROR(__xludf.DUMMYFUNCTION("""COMPUTED_VALUE"""),0.0)</f>
        <v>0</v>
      </c>
      <c r="G1316" s="42" t="str">
        <f>IFERROR(__xludf.DUMMYFUNCTION("""COMPUTED_VALUE"""),"BN Jual Beli")</f>
        <v>BN Jual Beli</v>
      </c>
      <c r="H1316" s="42">
        <f t="shared" si="1"/>
        <v>599</v>
      </c>
    </row>
    <row r="1317" ht="22.5" customHeight="1">
      <c r="B1317" s="42" t="str">
        <f>IFERROR(__xludf.DUMMYFUNCTION("""COMPUTED_VALUE"""),"K/17/020125/2")</f>
        <v>K/17/020125/2</v>
      </c>
      <c r="C1317" s="42" t="str">
        <f>IFERROR(__xludf.DUMMYFUNCTION("""COMPUTED_VALUE"""),"M. 1449/ Bumi Kedamaian")</f>
        <v>M. 1449/ Bumi Kedamaian</v>
      </c>
      <c r="D1317" s="42" t="str">
        <f>IFERROR(__xludf.DUMMYFUNCTION("""COMPUTED_VALUE"""),"Berry")</f>
        <v>Berry</v>
      </c>
      <c r="E1317" s="42" t="str">
        <f>IFERROR(__xludf.DUMMYFUNCTION("""COMPUTED_VALUE"""),"DISERAHKAN")</f>
        <v>DISERAHKAN</v>
      </c>
      <c r="F1317" s="48">
        <f>IFERROR(__xludf.DUMMYFUNCTION("""COMPUTED_VALUE"""),0.0)</f>
        <v>0</v>
      </c>
      <c r="G1317" s="42" t="str">
        <f>IFERROR(__xludf.DUMMYFUNCTION("""COMPUTED_VALUE"""),"BN Jual Beli")</f>
        <v>BN Jual Beli</v>
      </c>
      <c r="H1317" s="42">
        <f t="shared" si="1"/>
        <v>600</v>
      </c>
    </row>
    <row r="1318" ht="22.5" customHeight="1">
      <c r="B1318" s="42" t="str">
        <f>IFERROR(__xludf.DUMMYFUNCTION("""COMPUTED_VALUE"""),"K/20/020125/1")</f>
        <v>K/20/020125/1</v>
      </c>
      <c r="C1318" s="42" t="str">
        <f>IFERROR(__xludf.DUMMYFUNCTION("""COMPUTED_VALUE"""),"B. 1746/ Sukarame")</f>
        <v>B. 1746/ Sukarame</v>
      </c>
      <c r="D1318" s="42" t="str">
        <f>IFERROR(__xludf.DUMMYFUNCTION("""COMPUTED_VALUE"""),"Berry")</f>
        <v>Berry</v>
      </c>
      <c r="E1318" s="42" t="str">
        <f>IFERROR(__xludf.DUMMYFUNCTION("""COMPUTED_VALUE"""),"DISERAHKAN")</f>
        <v>DISERAHKAN</v>
      </c>
      <c r="F1318" s="48">
        <f>IFERROR(__xludf.DUMMYFUNCTION("""COMPUTED_VALUE"""),45672.4177184838)</f>
        <v>45672.41772</v>
      </c>
      <c r="G1318" s="42" t="str">
        <f>IFERROR(__xludf.DUMMYFUNCTION("""COMPUTED_VALUE"""),"BN JUAL BELI")</f>
        <v>BN JUAL BELI</v>
      </c>
      <c r="H1318" s="42">
        <f t="shared" si="1"/>
        <v>601</v>
      </c>
    </row>
    <row r="1319" ht="22.5" customHeight="1">
      <c r="B1319" s="42" t="str">
        <f>IFERROR(__xludf.DUMMYFUNCTION("""COMPUTED_VALUE"""),"K/21/020125/1")</f>
        <v>K/21/020125/1</v>
      </c>
      <c r="C1319" s="42" t="str">
        <f>IFERROR(__xludf.DUMMYFUNCTION("""COMPUTED_VALUE"""),"B. 1746/ Sukarame")</f>
        <v>B. 1746/ Sukarame</v>
      </c>
      <c r="D1319" s="42" t="str">
        <f>IFERROR(__xludf.DUMMYFUNCTION("""COMPUTED_VALUE"""),"Berry")</f>
        <v>Berry</v>
      </c>
      <c r="E1319" s="42" t="str">
        <f>IFERROR(__xludf.DUMMYFUNCTION("""COMPUTED_VALUE"""),"DISERAHKAN")</f>
        <v>DISERAHKAN</v>
      </c>
      <c r="F1319" s="48">
        <f>IFERROR(__xludf.DUMMYFUNCTION("""COMPUTED_VALUE"""),0.0)</f>
        <v>0</v>
      </c>
      <c r="G1319" s="42" t="str">
        <f>IFERROR(__xludf.DUMMYFUNCTION("""COMPUTED_VALUE"""),"BN Waris")</f>
        <v>BN Waris</v>
      </c>
      <c r="H1319" s="42">
        <f t="shared" si="1"/>
        <v>602</v>
      </c>
    </row>
    <row r="1320" ht="22.5" customHeight="1">
      <c r="B1320" s="42" t="str">
        <f>IFERROR(__xludf.DUMMYFUNCTION("""COMPUTED_VALUE"""),"L/24/020125/1")</f>
        <v>L/24/020125/1</v>
      </c>
      <c r="C1320" s="42" t="str">
        <f>IFERROR(__xludf.DUMMYFUNCTION("""COMPUTED_VALUE"""),"HGB 99/PINANG JAYA")</f>
        <v>HGB 99/PINANG JAYA</v>
      </c>
      <c r="D1320" s="42" t="str">
        <f>IFERROR(__xludf.DUMMYFUNCTION("""COMPUTED_VALUE"""),"Berry")</f>
        <v>Berry</v>
      </c>
      <c r="E1320" s="42" t="str">
        <f>IFERROR(__xludf.DUMMYFUNCTION("""COMPUTED_VALUE"""),"PROSES")</f>
        <v>PROSES</v>
      </c>
      <c r="F1320" s="48" t="str">
        <f>IFERROR(__xludf.DUMMYFUNCTION("""COMPUTED_VALUE"""),"")</f>
        <v/>
      </c>
      <c r="G1320" s="42" t="str">
        <f>IFERROR(__xludf.DUMMYFUNCTION("""COMPUTED_VALUE"""),"PH")</f>
        <v>PH</v>
      </c>
      <c r="H1320" s="42">
        <f t="shared" si="1"/>
        <v>602</v>
      </c>
    </row>
    <row r="1321" ht="22.5" customHeight="1">
      <c r="B1321" s="42" t="str">
        <f>IFERROR(__xludf.DUMMYFUNCTION("""COMPUTED_VALUE"""),"K/22/020125/1")</f>
        <v>K/22/020125/1</v>
      </c>
      <c r="C1321" s="42" t="str">
        <f>IFERROR(__xludf.DUMMYFUNCTION("""COMPUTED_VALUE"""),"M. 709/ Pahoman")</f>
        <v>M. 709/ Pahoman</v>
      </c>
      <c r="D1321" s="42" t="str">
        <f>IFERROR(__xludf.DUMMYFUNCTION("""COMPUTED_VALUE"""),"Berry")</f>
        <v>Berry</v>
      </c>
      <c r="E1321" s="42" t="str">
        <f>IFERROR(__xludf.DUMMYFUNCTION("""COMPUTED_VALUE"""),"DISERAHKAN")</f>
        <v>DISERAHKAN</v>
      </c>
      <c r="F1321" s="48">
        <f>IFERROR(__xludf.DUMMYFUNCTION("""COMPUTED_VALUE"""),45670.711253587964)</f>
        <v>45670.71125</v>
      </c>
      <c r="G1321" s="42" t="str">
        <f>IFERROR(__xludf.DUMMYFUNCTION("""COMPUTED_VALUE"""),"BN Jual Beli")</f>
        <v>BN Jual Beli</v>
      </c>
      <c r="H1321" s="42">
        <f t="shared" si="1"/>
        <v>603</v>
      </c>
    </row>
    <row r="1322" ht="22.5" customHeight="1">
      <c r="B1322" s="42" t="str">
        <f>IFERROR(__xludf.DUMMYFUNCTION("""COMPUTED_VALUE"""),"K/23/020125/2")</f>
        <v>K/23/020125/2</v>
      </c>
      <c r="C1322" s="42" t="str">
        <f>IFERROR(__xludf.DUMMYFUNCTION("""COMPUTED_VALUE"""),"M. 168/ Perumnas Way Kandis")</f>
        <v>M. 168/ Perumnas Way Kandis</v>
      </c>
      <c r="D1322" s="42" t="str">
        <f>IFERROR(__xludf.DUMMYFUNCTION("""COMPUTED_VALUE"""),"Berry")</f>
        <v>Berry</v>
      </c>
      <c r="E1322" s="42" t="str">
        <f>IFERROR(__xludf.DUMMYFUNCTION("""COMPUTED_VALUE"""),"DISERAHKAN BT")</f>
        <v>DISERAHKAN BT</v>
      </c>
      <c r="F1322" s="48">
        <f>IFERROR(__xludf.DUMMYFUNCTION("""COMPUTED_VALUE"""),0.0)</f>
        <v>0</v>
      </c>
      <c r="G1322" s="42" t="str">
        <f>IFERROR(__xludf.DUMMYFUNCTION("""COMPUTED_VALUE"""),"BN Jual Beli")</f>
        <v>BN Jual Beli</v>
      </c>
      <c r="H1322" s="42">
        <f t="shared" si="1"/>
        <v>603</v>
      </c>
    </row>
    <row r="1323" ht="22.5" customHeight="1">
      <c r="B1323" s="42" t="str">
        <f>IFERROR(__xludf.DUMMYFUNCTION("""COMPUTED_VALUE"""),"K/25/020125/1")</f>
        <v>K/25/020125/1</v>
      </c>
      <c r="C1323" s="42" t="str">
        <f>IFERROR(__xludf.DUMMYFUNCTION("""COMPUTED_VALUE"""),"M. 659, 658/ Pinang Jaya")</f>
        <v>M. 659, 658/ Pinang Jaya</v>
      </c>
      <c r="D1323" s="42" t="str">
        <f>IFERROR(__xludf.DUMMYFUNCTION("""COMPUTED_VALUE"""),"Berry")</f>
        <v>Berry</v>
      </c>
      <c r="E1323" s="42" t="str">
        <f>IFERROR(__xludf.DUMMYFUNCTION("""COMPUTED_VALUE"""),"DISERAHKAN")</f>
        <v>DISERAHKAN</v>
      </c>
      <c r="F1323" s="48">
        <f>IFERROR(__xludf.DUMMYFUNCTION("""COMPUTED_VALUE"""),0.0)</f>
        <v>0</v>
      </c>
      <c r="G1323" s="42" t="str">
        <f>IFERROR(__xludf.DUMMYFUNCTION("""COMPUTED_VALUE"""),"BN JUAL BELI")</f>
        <v>BN JUAL BELI</v>
      </c>
      <c r="H1323" s="42">
        <f t="shared" si="1"/>
        <v>604</v>
      </c>
    </row>
    <row r="1324" ht="22.5" customHeight="1">
      <c r="B1324" s="42" t="str">
        <f>IFERROR(__xludf.DUMMYFUNCTION("""COMPUTED_VALUE"""),"K/26/020125/1")</f>
        <v>K/26/020125/1</v>
      </c>
      <c r="C1324" s="42" t="str">
        <f>IFERROR(__xludf.DUMMYFUNCTION("""COMPUTED_VALUE"""),"B. 230/ Gunung Terang")</f>
        <v>B. 230/ Gunung Terang</v>
      </c>
      <c r="D1324" s="42" t="str">
        <f>IFERROR(__xludf.DUMMYFUNCTION("""COMPUTED_VALUE"""),"Berry")</f>
        <v>Berry</v>
      </c>
      <c r="E1324" s="42" t="str">
        <f>IFERROR(__xludf.DUMMYFUNCTION("""COMPUTED_VALUE"""),"DISERAHKAN")</f>
        <v>DISERAHKAN</v>
      </c>
      <c r="F1324" s="48">
        <f>IFERROR(__xludf.DUMMYFUNCTION("""COMPUTED_VALUE"""),0.0)</f>
        <v>0</v>
      </c>
      <c r="G1324" s="42" t="str">
        <f>IFERROR(__xludf.DUMMYFUNCTION("""COMPUTED_VALUE"""),"BN JUAL BELI")</f>
        <v>BN JUAL BELI</v>
      </c>
      <c r="H1324" s="42">
        <f t="shared" si="1"/>
        <v>605</v>
      </c>
    </row>
    <row r="1325" ht="22.5" customHeight="1">
      <c r="B1325" s="42" t="str">
        <f>IFERROR(__xludf.DUMMYFUNCTION("""COMPUTED_VALUE"""),"K/27/020125/3")</f>
        <v>K/27/020125/3</v>
      </c>
      <c r="C1325" s="42" t="str">
        <f>IFERROR(__xludf.DUMMYFUNCTION("""COMPUTED_VALUE"""),"M. 1434/ Sumur Putri")</f>
        <v>M. 1434/ Sumur Putri</v>
      </c>
      <c r="D1325" s="42" t="str">
        <f>IFERROR(__xludf.DUMMYFUNCTION("""COMPUTED_VALUE"""),"Berry")</f>
        <v>Berry</v>
      </c>
      <c r="E1325" s="42" t="str">
        <f>IFERROR(__xludf.DUMMYFUNCTION("""COMPUTED_VALUE"""),"DISERAHKAN BT")</f>
        <v>DISERAHKAN BT</v>
      </c>
      <c r="F1325" s="48">
        <f>IFERROR(__xludf.DUMMYFUNCTION("""COMPUTED_VALUE"""),0.0)</f>
        <v>0</v>
      </c>
      <c r="G1325" s="42" t="str">
        <f>IFERROR(__xludf.DUMMYFUNCTION("""COMPUTED_VALUE"""),"BN Jual Beli")</f>
        <v>BN Jual Beli</v>
      </c>
      <c r="H1325" s="42">
        <f t="shared" si="1"/>
        <v>605</v>
      </c>
    </row>
    <row r="1326" ht="22.5" customHeight="1">
      <c r="B1326" s="42" t="str">
        <f>IFERROR(__xludf.DUMMYFUNCTION("""COMPUTED_VALUE"""),"K/28/020125/4")</f>
        <v>K/28/020125/4</v>
      </c>
      <c r="C1326" s="42" t="str">
        <f>IFERROR(__xludf.DUMMYFUNCTION("""COMPUTED_VALUE"""),"M. 11632/ Segala Mider")</f>
        <v>M. 11632/ Segala Mider</v>
      </c>
      <c r="D1326" s="42" t="str">
        <f>IFERROR(__xludf.DUMMYFUNCTION("""COMPUTED_VALUE"""),"Berry")</f>
        <v>Berry</v>
      </c>
      <c r="E1326" s="42" t="str">
        <f>IFERROR(__xludf.DUMMYFUNCTION("""COMPUTED_VALUE"""),"DISERAHKAN")</f>
        <v>DISERAHKAN</v>
      </c>
      <c r="F1326" s="48">
        <f>IFERROR(__xludf.DUMMYFUNCTION("""COMPUTED_VALUE"""),0.0)</f>
        <v>0</v>
      </c>
      <c r="G1326" s="42" t="str">
        <f>IFERROR(__xludf.DUMMYFUNCTION("""COMPUTED_VALUE"""),"BN Jual Beli")</f>
        <v>BN Jual Beli</v>
      </c>
      <c r="H1326" s="42">
        <f t="shared" si="1"/>
        <v>606</v>
      </c>
    </row>
    <row r="1327" ht="22.5" customHeight="1">
      <c r="B1327" s="42" t="str">
        <f>IFERROR(__xludf.DUMMYFUNCTION("""COMPUTED_VALUE"""),"K/29/020125/1")</f>
        <v>K/29/020125/1</v>
      </c>
      <c r="C1327" s="42" t="str">
        <f>IFERROR(__xludf.DUMMYFUNCTION("""COMPUTED_VALUE"""),"M. 5415/ Way Kandis")</f>
        <v>M. 5415/ Way Kandis</v>
      </c>
      <c r="D1327" s="42" t="str">
        <f>IFERROR(__xludf.DUMMYFUNCTION("""COMPUTED_VALUE"""),"Berry")</f>
        <v>Berry</v>
      </c>
      <c r="E1327" s="42" t="str">
        <f>IFERROR(__xludf.DUMMYFUNCTION("""COMPUTED_VALUE"""),"DISERAHKAN")</f>
        <v>DISERAHKAN</v>
      </c>
      <c r="F1327" s="48">
        <f>IFERROR(__xludf.DUMMYFUNCTION("""COMPUTED_VALUE"""),45672.417026863426)</f>
        <v>45672.41703</v>
      </c>
      <c r="G1327" s="42" t="str">
        <f>IFERROR(__xludf.DUMMYFUNCTION("""COMPUTED_VALUE"""),"BN JUAL BELI")</f>
        <v>BN JUAL BELI</v>
      </c>
      <c r="H1327" s="42">
        <f t="shared" si="1"/>
        <v>607</v>
      </c>
    </row>
    <row r="1328" ht="22.5" customHeight="1">
      <c r="B1328" s="42" t="str">
        <f>IFERROR(__xludf.DUMMYFUNCTION("""COMPUTED_VALUE"""),"K/30/020125/2")</f>
        <v>K/30/020125/2</v>
      </c>
      <c r="C1328" s="42" t="str">
        <f>IFERROR(__xludf.DUMMYFUNCTION("""COMPUTED_VALUE"""),"M. 2664/ Sumber Agung")</f>
        <v>M. 2664/ Sumber Agung</v>
      </c>
      <c r="D1328" s="42" t="str">
        <f>IFERROR(__xludf.DUMMYFUNCTION("""COMPUTED_VALUE"""),"Berry")</f>
        <v>Berry</v>
      </c>
      <c r="E1328" s="42" t="str">
        <f>IFERROR(__xludf.DUMMYFUNCTION("""COMPUTED_VALUE"""),"PROSES")</f>
        <v>PROSES</v>
      </c>
      <c r="F1328" s="48" t="str">
        <f>IFERROR(__xludf.DUMMYFUNCTION("""COMPUTED_VALUE"""),"")</f>
        <v/>
      </c>
      <c r="G1328" s="42" t="str">
        <f>IFERROR(__xludf.DUMMYFUNCTION("""COMPUTED_VALUE"""),"BN WARIS")</f>
        <v>BN WARIS</v>
      </c>
      <c r="H1328" s="42">
        <f t="shared" si="1"/>
        <v>607</v>
      </c>
    </row>
    <row r="1329" ht="22.5" customHeight="1">
      <c r="B1329" s="42" t="str">
        <f>IFERROR(__xludf.DUMMYFUNCTION("""COMPUTED_VALUE"""),"K/31/020125/1")</f>
        <v>K/31/020125/1</v>
      </c>
      <c r="C1329" s="42" t="str">
        <f>IFERROR(__xludf.DUMMYFUNCTION("""COMPUTED_VALUE"""),"M. 930/ Durian Payung")</f>
        <v>M. 930/ Durian Payung</v>
      </c>
      <c r="D1329" s="42" t="str">
        <f>IFERROR(__xludf.DUMMYFUNCTION("""COMPUTED_VALUE"""),"Berry")</f>
        <v>Berry</v>
      </c>
      <c r="E1329" s="42" t="str">
        <f>IFERROR(__xludf.DUMMYFUNCTION("""COMPUTED_VALUE"""),"DISERAHKAN")</f>
        <v>DISERAHKAN</v>
      </c>
      <c r="F1329" s="48">
        <f>IFERROR(__xludf.DUMMYFUNCTION("""COMPUTED_VALUE"""),0.0)</f>
        <v>0</v>
      </c>
      <c r="G1329" s="42" t="str">
        <f>IFERROR(__xludf.DUMMYFUNCTION("""COMPUTED_VALUE"""),"BN HIBAH")</f>
        <v>BN HIBAH</v>
      </c>
      <c r="H1329" s="42">
        <f t="shared" si="1"/>
        <v>608</v>
      </c>
    </row>
    <row r="1330" ht="22.5" customHeight="1">
      <c r="B1330" s="42" t="str">
        <f>IFERROR(__xludf.DUMMYFUNCTION("""COMPUTED_VALUE"""),"K/32/020125/2")</f>
        <v>K/32/020125/2</v>
      </c>
      <c r="C1330" s="42" t="str">
        <f>IFERROR(__xludf.DUMMYFUNCTION("""COMPUTED_VALUE"""),"Nibel 16339/ Way Laga")</f>
        <v>Nibel 16339/ Way Laga</v>
      </c>
      <c r="D1330" s="42"/>
      <c r="E1330" s="42"/>
      <c r="F1330" s="48" t="str">
        <f>IFERROR(__xludf.DUMMYFUNCTION("""COMPUTED_VALUE"""),"")</f>
        <v/>
      </c>
      <c r="G1330" s="42" t="str">
        <f>IFERROR(__xludf.DUMMYFUNCTION("""COMPUTED_VALUE"""),"BN HIBAH")</f>
        <v>BN HIBAH</v>
      </c>
      <c r="H1330" s="42">
        <f t="shared" si="1"/>
        <v>608</v>
      </c>
    </row>
    <row r="1331" ht="22.5" customHeight="1">
      <c r="B1331" s="42" t="str">
        <f>IFERROR(__xludf.DUMMYFUNCTION("""COMPUTED_VALUE"""),"L/35/020125/1")</f>
        <v>L/35/020125/1</v>
      </c>
      <c r="C1331" s="42" t="str">
        <f>IFERROR(__xludf.DUMMYFUNCTION("""COMPUTED_VALUE"""),"HM 1900/SUKABUMI INDAH")</f>
        <v>HM 1900/SUKABUMI INDAH</v>
      </c>
      <c r="D1331" s="42"/>
      <c r="E1331" s="42"/>
      <c r="F1331" s="48" t="str">
        <f>IFERROR(__xludf.DUMMYFUNCTION("""COMPUTED_VALUE"""),"")</f>
        <v/>
      </c>
      <c r="G1331" s="42" t="str">
        <f>IFERROR(__xludf.DUMMYFUNCTION("""COMPUTED_VALUE"""),"GANTI BLANKO")</f>
        <v>GANTI BLANKO</v>
      </c>
      <c r="H1331" s="42">
        <f t="shared" si="1"/>
        <v>608</v>
      </c>
    </row>
    <row r="1332" ht="22.5" customHeight="1">
      <c r="B1332" s="42" t="str">
        <f>IFERROR(__xludf.DUMMYFUNCTION("""COMPUTED_VALUE"""),"L/36/020125/1")</f>
        <v>L/36/020125/1</v>
      </c>
      <c r="C1332" s="42" t="str">
        <f>IFERROR(__xludf.DUMMYFUNCTION("""COMPUTED_VALUE"""),"NIB 8407/PWK")</f>
        <v>NIB 8407/PWK</v>
      </c>
      <c r="D1332" s="42"/>
      <c r="E1332" s="42"/>
      <c r="F1332" s="48" t="str">
        <f>IFERROR(__xludf.DUMMYFUNCTION("""COMPUTED_VALUE"""),"")</f>
        <v/>
      </c>
      <c r="G1332" s="42" t="str">
        <f>IFERROR(__xludf.DUMMYFUNCTION("""COMPUTED_VALUE"""),"PH")</f>
        <v>PH</v>
      </c>
      <c r="H1332" s="42">
        <f t="shared" si="1"/>
        <v>608</v>
      </c>
    </row>
    <row r="1333" ht="22.5" customHeight="1">
      <c r="B1333" s="42" t="str">
        <f>IFERROR(__xludf.DUMMYFUNCTION("""COMPUTED_VALUE"""),"K/33/020125/3")</f>
        <v>K/33/020125/3</v>
      </c>
      <c r="C1333" s="42" t="str">
        <f>IFERROR(__xludf.DUMMYFUNCTION("""COMPUTED_VALUE"""),"Nibel 16340/ Way Laga")</f>
        <v>Nibel 16340/ Way Laga</v>
      </c>
      <c r="D1333" s="42"/>
      <c r="E1333" s="42"/>
      <c r="F1333" s="48" t="str">
        <f>IFERROR(__xludf.DUMMYFUNCTION("""COMPUTED_VALUE"""),"")</f>
        <v/>
      </c>
      <c r="G1333" s="42" t="str">
        <f>IFERROR(__xludf.DUMMYFUNCTION("""COMPUTED_VALUE"""),"BN HIBAH")</f>
        <v>BN HIBAH</v>
      </c>
      <c r="H1333" s="42">
        <f t="shared" si="1"/>
        <v>608</v>
      </c>
    </row>
    <row r="1334" ht="22.5" customHeight="1">
      <c r="B1334" s="42" t="str">
        <f>IFERROR(__xludf.DUMMYFUNCTION("""COMPUTED_VALUE"""),"K/34/020125/4")</f>
        <v>K/34/020125/4</v>
      </c>
      <c r="C1334" s="42" t="str">
        <f>IFERROR(__xludf.DUMMYFUNCTION("""COMPUTED_VALUE"""),"M. 1160/ Bumi Kedamaian")</f>
        <v>M. 1160/ Bumi Kedamaian</v>
      </c>
      <c r="D1334" s="42" t="str">
        <f>IFERROR(__xludf.DUMMYFUNCTION("""COMPUTED_VALUE"""),"Berry")</f>
        <v>Berry</v>
      </c>
      <c r="E1334" s="42" t="str">
        <f>IFERROR(__xludf.DUMMYFUNCTION("""COMPUTED_VALUE"""),"DISERAHKAN")</f>
        <v>DISERAHKAN</v>
      </c>
      <c r="F1334" s="48">
        <f>IFERROR(__xludf.DUMMYFUNCTION("""COMPUTED_VALUE"""),0.0)</f>
        <v>0</v>
      </c>
      <c r="G1334" s="42" t="str">
        <f>IFERROR(__xludf.DUMMYFUNCTION("""COMPUTED_VALUE"""),"BN JUAL BELI")</f>
        <v>BN JUAL BELI</v>
      </c>
      <c r="H1334" s="42">
        <f t="shared" si="1"/>
        <v>609</v>
      </c>
    </row>
    <row r="1335" ht="22.5" customHeight="1">
      <c r="B1335" s="42" t="str">
        <f>IFERROR(__xludf.DUMMYFUNCTION("""COMPUTED_VALUE"""),"L/37/020125/1")</f>
        <v>L/37/020125/1</v>
      </c>
      <c r="C1335" s="42" t="str">
        <f>IFERROR(__xludf.DUMMYFUNCTION("""COMPUTED_VALUE"""),"HM 1255/SUKARAME")</f>
        <v>HM 1255/SUKARAME</v>
      </c>
      <c r="D1335" s="42" t="str">
        <f>IFERROR(__xludf.DUMMYFUNCTION("""COMPUTED_VALUE"""),"Berry")</f>
        <v>Berry</v>
      </c>
      <c r="E1335" s="42" t="str">
        <f>IFERROR(__xludf.DUMMYFUNCTION("""COMPUTED_VALUE"""),"PROSES")</f>
        <v>PROSES</v>
      </c>
      <c r="F1335" s="48" t="str">
        <f>IFERROR(__xludf.DUMMYFUNCTION("""COMPUTED_VALUE"""),"")</f>
        <v/>
      </c>
      <c r="G1335" s="42" t="str">
        <f>IFERROR(__xludf.DUMMYFUNCTION("""COMPUTED_VALUE"""),"ROYA")</f>
        <v>ROYA</v>
      </c>
      <c r="H1335" s="42">
        <f t="shared" si="1"/>
        <v>609</v>
      </c>
    </row>
    <row r="1336" ht="22.5" customHeight="1">
      <c r="B1336" s="42" t="str">
        <f>IFERROR(__xludf.DUMMYFUNCTION("""COMPUTED_VALUE"""),"K/1/030125/1")</f>
        <v>K/1/030125/1</v>
      </c>
      <c r="C1336" s="42" t="str">
        <f>IFERROR(__xludf.DUMMYFUNCTION("""COMPUTED_VALUE"""),"M.2636/PINANG JAYA")</f>
        <v>M.2636/PINANG JAYA</v>
      </c>
      <c r="D1336" s="42" t="str">
        <f>IFERROR(__xludf.DUMMYFUNCTION("""COMPUTED_VALUE"""),"Berry")</f>
        <v>Berry</v>
      </c>
      <c r="E1336" s="42" t="str">
        <f>IFERROR(__xludf.DUMMYFUNCTION("""COMPUTED_VALUE"""),"DISERAHKAN")</f>
        <v>DISERAHKAN</v>
      </c>
      <c r="F1336" s="48">
        <f>IFERROR(__xludf.DUMMYFUNCTION("""COMPUTED_VALUE"""),0.0)</f>
        <v>0</v>
      </c>
      <c r="G1336" s="42" t="str">
        <f>IFERROR(__xludf.DUMMYFUNCTION("""COMPUTED_VALUE"""),"BN JUAL BELI")</f>
        <v>BN JUAL BELI</v>
      </c>
      <c r="H1336" s="42">
        <f t="shared" si="1"/>
        <v>610</v>
      </c>
    </row>
    <row r="1337" ht="22.5" customHeight="1">
      <c r="B1337" s="42" t="str">
        <f>IFERROR(__xludf.DUMMYFUNCTION("""COMPUTED_VALUE"""),"K/2/030125/2")</f>
        <v>K/2/030125/2</v>
      </c>
      <c r="C1337" s="42" t="str">
        <f>IFERROR(__xludf.DUMMYFUNCTION("""COMPUTED_VALUE"""),"M.2633/PINANG JAYA")</f>
        <v>M.2633/PINANG JAYA</v>
      </c>
      <c r="D1337" s="42" t="str">
        <f>IFERROR(__xludf.DUMMYFUNCTION("""COMPUTED_VALUE"""),"Berry")</f>
        <v>Berry</v>
      </c>
      <c r="E1337" s="42" t="str">
        <f>IFERROR(__xludf.DUMMYFUNCTION("""COMPUTED_VALUE"""),"DISERAHKAN")</f>
        <v>DISERAHKAN</v>
      </c>
      <c r="F1337" s="48">
        <f>IFERROR(__xludf.DUMMYFUNCTION("""COMPUTED_VALUE"""),0.0)</f>
        <v>0</v>
      </c>
      <c r="G1337" s="42" t="str">
        <f>IFERROR(__xludf.DUMMYFUNCTION("""COMPUTED_VALUE"""),"BN JUAL BELI")</f>
        <v>BN JUAL BELI</v>
      </c>
      <c r="H1337" s="42">
        <f t="shared" si="1"/>
        <v>611</v>
      </c>
    </row>
    <row r="1338" ht="22.5" customHeight="1">
      <c r="B1338" s="42" t="str">
        <f>IFERROR(__xludf.DUMMYFUNCTION("""COMPUTED_VALUE"""),"K/3/030125/3")</f>
        <v>K/3/030125/3</v>
      </c>
      <c r="C1338" s="42" t="str">
        <f>IFERROR(__xludf.DUMMYFUNCTION("""COMPUTED_VALUE"""),"M.10005/SUKAMENANTI")</f>
        <v>M.10005/SUKAMENANTI</v>
      </c>
      <c r="D1338" s="42"/>
      <c r="E1338" s="42"/>
      <c r="F1338" s="48" t="str">
        <f>IFERROR(__xludf.DUMMYFUNCTION("""COMPUTED_VALUE"""),"")</f>
        <v/>
      </c>
      <c r="G1338" s="42" t="str">
        <f>IFERROR(__xludf.DUMMYFUNCTION("""COMPUTED_VALUE"""),"PLOTING")</f>
        <v>PLOTING</v>
      </c>
      <c r="H1338" s="42">
        <f t="shared" si="1"/>
        <v>611</v>
      </c>
    </row>
    <row r="1339" ht="22.5" customHeight="1">
      <c r="B1339" s="42" t="str">
        <f>IFERROR(__xludf.DUMMYFUNCTION("""COMPUTED_VALUE"""),"L/4/030125/1")</f>
        <v>L/4/030125/1</v>
      </c>
      <c r="C1339" s="42" t="str">
        <f>IFERROR(__xludf.DUMMYFUNCTION("""COMPUTED_VALUE"""),"NIB 16644/SUKABUMI")</f>
        <v>NIB 16644/SUKABUMI</v>
      </c>
      <c r="D1339" s="42"/>
      <c r="E1339" s="42"/>
      <c r="F1339" s="48" t="str">
        <f>IFERROR(__xludf.DUMMYFUNCTION("""COMPUTED_VALUE"""),"")</f>
        <v/>
      </c>
      <c r="G1339" s="42" t="str">
        <f>IFERROR(__xludf.DUMMYFUNCTION("""COMPUTED_VALUE"""),"GANDES")</f>
        <v>GANDES</v>
      </c>
      <c r="H1339" s="42">
        <f t="shared" si="1"/>
        <v>611</v>
      </c>
    </row>
    <row r="1340" ht="22.5" customHeight="1">
      <c r="B1340" s="42" t="str">
        <f>IFERROR(__xludf.DUMMYFUNCTION("""COMPUTED_VALUE"""),"K/5/030125/1")</f>
        <v>K/5/030125/1</v>
      </c>
      <c r="C1340" s="42" t="str">
        <f>IFERROR(__xludf.DUMMYFUNCTION("""COMPUTED_VALUE"""),"M. 4902/ Langkapura")</f>
        <v>M. 4902/ Langkapura</v>
      </c>
      <c r="D1340" s="42" t="str">
        <f>IFERROR(__xludf.DUMMYFUNCTION("""COMPUTED_VALUE"""),"Berry")</f>
        <v>Berry</v>
      </c>
      <c r="E1340" s="42" t="str">
        <f>IFERROR(__xludf.DUMMYFUNCTION("""COMPUTED_VALUE"""),"DISERAHKAN")</f>
        <v>DISERAHKAN</v>
      </c>
      <c r="F1340" s="48">
        <f>IFERROR(__xludf.DUMMYFUNCTION("""COMPUTED_VALUE"""),45667.35728872685)</f>
        <v>45667.35729</v>
      </c>
      <c r="G1340" s="42" t="str">
        <f>IFERROR(__xludf.DUMMYFUNCTION("""COMPUTED_VALUE"""),"BN JUAL BELI")</f>
        <v>BN JUAL BELI</v>
      </c>
      <c r="H1340" s="42">
        <f t="shared" si="1"/>
        <v>612</v>
      </c>
    </row>
    <row r="1341" ht="22.5" customHeight="1">
      <c r="B1341" s="42" t="str">
        <f>IFERROR(__xludf.DUMMYFUNCTION("""COMPUTED_VALUE"""),"K/6/030125/2")</f>
        <v>K/6/030125/2</v>
      </c>
      <c r="C1341" s="42" t="str">
        <f>IFERROR(__xludf.DUMMYFUNCTION("""COMPUTED_VALUE"""),"M. 832/ Gunung Sulah")</f>
        <v>M. 832/ Gunung Sulah</v>
      </c>
      <c r="D1341" s="42" t="str">
        <f>IFERROR(__xludf.DUMMYFUNCTION("""COMPUTED_VALUE"""),"Berry")</f>
        <v>Berry</v>
      </c>
      <c r="E1341" s="42" t="str">
        <f>IFERROR(__xludf.DUMMYFUNCTION("""COMPUTED_VALUE"""),"PROSES")</f>
        <v>PROSES</v>
      </c>
      <c r="F1341" s="48" t="str">
        <f>IFERROR(__xludf.DUMMYFUNCTION("""COMPUTED_VALUE"""),"")</f>
        <v/>
      </c>
      <c r="G1341" s="42" t="str">
        <f>IFERROR(__xludf.DUMMYFUNCTION("""COMPUTED_VALUE"""),"BN JUAL BELI")</f>
        <v>BN JUAL BELI</v>
      </c>
      <c r="H1341" s="42">
        <f t="shared" si="1"/>
        <v>612</v>
      </c>
    </row>
    <row r="1342" ht="22.5" customHeight="1">
      <c r="B1342" s="42" t="str">
        <f>IFERROR(__xludf.DUMMYFUNCTION("""COMPUTED_VALUE"""),"K/7/030125/1")</f>
        <v>K/7/030125/1</v>
      </c>
      <c r="C1342" s="42" t="str">
        <f>IFERROR(__xludf.DUMMYFUNCTION("""COMPUTED_VALUE"""),"NIBEL M.16675/GUNUNG TERANG")</f>
        <v>NIBEL M.16675/GUNUNG TERANG</v>
      </c>
      <c r="D1342" s="42"/>
      <c r="E1342" s="42"/>
      <c r="F1342" s="48" t="str">
        <f>IFERROR(__xludf.DUMMYFUNCTION("""COMPUTED_VALUE"""),"")</f>
        <v/>
      </c>
      <c r="G1342" s="42" t="str">
        <f>IFERROR(__xludf.DUMMYFUNCTION("""COMPUTED_VALUE"""),"BN JUAL BELI")</f>
        <v>BN JUAL BELI</v>
      </c>
      <c r="H1342" s="42">
        <f t="shared" si="1"/>
        <v>612</v>
      </c>
    </row>
    <row r="1343" ht="22.5" customHeight="1">
      <c r="B1343" s="42" t="str">
        <f>IFERROR(__xludf.DUMMYFUNCTION("""COMPUTED_VALUE"""),"K/8/030125/1")</f>
        <v>K/8/030125/1</v>
      </c>
      <c r="C1343" s="42" t="str">
        <f>IFERROR(__xludf.DUMMYFUNCTION("""COMPUTED_VALUE"""),"B.3646/SUKARAME I")</f>
        <v>B.3646/SUKARAME I</v>
      </c>
      <c r="D1343" s="42" t="str">
        <f>IFERROR(__xludf.DUMMYFUNCTION("""COMPUTED_VALUE"""),"Berry")</f>
        <v>Berry</v>
      </c>
      <c r="E1343" s="42" t="str">
        <f>IFERROR(__xludf.DUMMYFUNCTION("""COMPUTED_VALUE"""),"DISERAHKAN")</f>
        <v>DISERAHKAN</v>
      </c>
      <c r="F1343" s="48">
        <f>IFERROR(__xludf.DUMMYFUNCTION("""COMPUTED_VALUE"""),0.0)</f>
        <v>0</v>
      </c>
      <c r="G1343" s="42" t="str">
        <f>IFERROR(__xludf.DUMMYFUNCTION("""COMPUTED_VALUE"""),"BN JUAL BELI")</f>
        <v>BN JUAL BELI</v>
      </c>
      <c r="H1343" s="42">
        <f t="shared" si="1"/>
        <v>613</v>
      </c>
    </row>
    <row r="1344" ht="22.5" customHeight="1">
      <c r="B1344" s="42" t="str">
        <f>IFERROR(__xludf.DUMMYFUNCTION("""COMPUTED_VALUE"""),"K/9/030125/1")</f>
        <v>K/9/030125/1</v>
      </c>
      <c r="C1344" s="42" t="str">
        <f>IFERROR(__xludf.DUMMYFUNCTION("""COMPUTED_VALUE"""),"M. 16242/ Sukabumi")</f>
        <v>M. 16242/ Sukabumi</v>
      </c>
      <c r="D1344" s="42" t="str">
        <f>IFERROR(__xludf.DUMMYFUNCTION("""COMPUTED_VALUE"""),"Berry")</f>
        <v>Berry</v>
      </c>
      <c r="E1344" s="42" t="str">
        <f>IFERROR(__xludf.DUMMYFUNCTION("""COMPUTED_VALUE"""),"DISERAHKAN")</f>
        <v>DISERAHKAN</v>
      </c>
      <c r="F1344" s="48">
        <f>IFERROR(__xludf.DUMMYFUNCTION("""COMPUTED_VALUE"""),0.0)</f>
        <v>0</v>
      </c>
      <c r="G1344" s="42" t="str">
        <f>IFERROR(__xludf.DUMMYFUNCTION("""COMPUTED_VALUE"""),"BN JUAL BELI")</f>
        <v>BN JUAL BELI</v>
      </c>
      <c r="H1344" s="42">
        <f t="shared" si="1"/>
        <v>614</v>
      </c>
    </row>
    <row r="1345" ht="22.5" customHeight="1">
      <c r="B1345" s="42" t="str">
        <f>IFERROR(__xludf.DUMMYFUNCTION("""COMPUTED_VALUE"""),"K/10/030125/1")</f>
        <v>K/10/030125/1</v>
      </c>
      <c r="C1345" s="42" t="str">
        <f>IFERROR(__xludf.DUMMYFUNCTION("""COMPUTED_VALUE"""),"B. 223/ Sukadana Ham")</f>
        <v>B. 223/ Sukadana Ham</v>
      </c>
      <c r="D1345" s="42"/>
      <c r="E1345" s="42"/>
      <c r="F1345" s="48" t="str">
        <f>IFERROR(__xludf.DUMMYFUNCTION("""COMPUTED_VALUE"""),"")</f>
        <v/>
      </c>
      <c r="G1345" s="42" t="str">
        <f>IFERROR(__xludf.DUMMYFUNCTION("""COMPUTED_VALUE"""),"Pendaftaran SK")</f>
        <v>Pendaftaran SK</v>
      </c>
      <c r="H1345" s="42">
        <f t="shared" si="1"/>
        <v>614</v>
      </c>
    </row>
    <row r="1346" ht="22.5" customHeight="1">
      <c r="B1346" s="42" t="str">
        <f>IFERROR(__xludf.DUMMYFUNCTION("""COMPUTED_VALUE"""),"K/11/030125/1")</f>
        <v>K/11/030125/1</v>
      </c>
      <c r="C1346" s="42" t="str">
        <f>IFERROR(__xludf.DUMMYFUNCTION("""COMPUTED_VALUE"""),"NIBEL M 2877/GEDONG MENENG ")</f>
        <v>NIBEL M 2877/GEDONG MENENG </v>
      </c>
      <c r="D1346" s="42"/>
      <c r="E1346" s="42"/>
      <c r="F1346" s="48" t="str">
        <f>IFERROR(__xludf.DUMMYFUNCTION("""COMPUTED_VALUE"""),"")</f>
        <v/>
      </c>
      <c r="G1346" s="42" t="str">
        <f>IFERROR(__xludf.DUMMYFUNCTION("""COMPUTED_VALUE"""),"APHB")</f>
        <v>APHB</v>
      </c>
      <c r="H1346" s="42">
        <f t="shared" si="1"/>
        <v>614</v>
      </c>
    </row>
    <row r="1347" ht="22.5" customHeight="1">
      <c r="B1347" s="42" t="str">
        <f>IFERROR(__xludf.DUMMYFUNCTION("""COMPUTED_VALUE"""),"K/12/030125/1")</f>
        <v>K/12/030125/1</v>
      </c>
      <c r="C1347" s="42" t="str">
        <f>IFERROR(__xludf.DUMMYFUNCTION("""COMPUTED_VALUE"""),"M. 1131/ Kedaung")</f>
        <v>M. 1131/ Kedaung</v>
      </c>
      <c r="D1347" s="42" t="str">
        <f>IFERROR(__xludf.DUMMYFUNCTION("""COMPUTED_VALUE"""),"Berry")</f>
        <v>Berry</v>
      </c>
      <c r="E1347" s="42" t="str">
        <f>IFERROR(__xludf.DUMMYFUNCTION("""COMPUTED_VALUE"""),"DISERAHKAN")</f>
        <v>DISERAHKAN</v>
      </c>
      <c r="F1347" s="48">
        <f>IFERROR(__xludf.DUMMYFUNCTION("""COMPUTED_VALUE"""),0.0)</f>
        <v>0</v>
      </c>
      <c r="G1347" s="42" t="str">
        <f>IFERROR(__xludf.DUMMYFUNCTION("""COMPUTED_VALUE"""),"BN Jual Beli")</f>
        <v>BN Jual Beli</v>
      </c>
      <c r="H1347" s="42">
        <f t="shared" si="1"/>
        <v>615</v>
      </c>
    </row>
    <row r="1348" ht="22.5" customHeight="1">
      <c r="B1348" s="42" t="str">
        <f>IFERROR(__xludf.DUMMYFUNCTION("""COMPUTED_VALUE"""),"K/13/030125/1")</f>
        <v>K/13/030125/1</v>
      </c>
      <c r="C1348" s="42" t="str">
        <f>IFERROR(__xludf.DUMMYFUNCTION("""COMPUTED_VALUE"""),"M. 71/ Sawah Lama")</f>
        <v>M. 71/ Sawah Lama</v>
      </c>
      <c r="D1348" s="42" t="str">
        <f>IFERROR(__xludf.DUMMYFUNCTION("""COMPUTED_VALUE"""),"Berry")</f>
        <v>Berry</v>
      </c>
      <c r="E1348" s="42" t="str">
        <f>IFERROR(__xludf.DUMMYFUNCTION("""COMPUTED_VALUE"""),"DISERAHKAN BT")</f>
        <v>DISERAHKAN BT</v>
      </c>
      <c r="F1348" s="48">
        <f>IFERROR(__xludf.DUMMYFUNCTION("""COMPUTED_VALUE"""),45694.59900277777)</f>
        <v>45694.599</v>
      </c>
      <c r="G1348" s="42" t="str">
        <f>IFERROR(__xludf.DUMMYFUNCTION("""COMPUTED_VALUE"""),"BN WARIS")</f>
        <v>BN WARIS</v>
      </c>
      <c r="H1348" s="42">
        <f t="shared" si="1"/>
        <v>615</v>
      </c>
    </row>
    <row r="1349" ht="22.5" customHeight="1">
      <c r="B1349" s="42" t="str">
        <f>IFERROR(__xludf.DUMMYFUNCTION("""COMPUTED_VALUE"""),"K/16/030125/1")</f>
        <v>K/16/030125/1</v>
      </c>
      <c r="C1349" s="42" t="str">
        <f>IFERROR(__xludf.DUMMYFUNCTION("""COMPUTED_VALUE"""),"M.1610/KURIPAN")</f>
        <v>M.1610/KURIPAN</v>
      </c>
      <c r="D1349" s="42" t="str">
        <f>IFERROR(__xludf.DUMMYFUNCTION("""COMPUTED_VALUE"""),"Berry")</f>
        <v>Berry</v>
      </c>
      <c r="E1349" s="42" t="str">
        <f>IFERROR(__xludf.DUMMYFUNCTION("""COMPUTED_VALUE"""),"DISERAHKAN")</f>
        <v>DISERAHKAN</v>
      </c>
      <c r="F1349" s="48">
        <f>IFERROR(__xludf.DUMMYFUNCTION("""COMPUTED_VALUE"""),0.0)</f>
        <v>0</v>
      </c>
      <c r="G1349" s="42" t="str">
        <f>IFERROR(__xludf.DUMMYFUNCTION("""COMPUTED_VALUE"""),"PEMECAHAN")</f>
        <v>PEMECAHAN</v>
      </c>
      <c r="H1349" s="42">
        <f t="shared" si="1"/>
        <v>616</v>
      </c>
    </row>
    <row r="1350" ht="22.5" customHeight="1">
      <c r="B1350" s="42" t="str">
        <f>IFERROR(__xludf.DUMMYFUNCTION("""COMPUTED_VALUE"""),"K/14/030125/2")</f>
        <v>K/14/030125/2</v>
      </c>
      <c r="C1350" s="42" t="str">
        <f>IFERROR(__xludf.DUMMYFUNCTION("""COMPUTED_VALUE"""),"M. 1599/ susunan Baru")</f>
        <v>M. 1599/ susunan Baru</v>
      </c>
      <c r="D1350" s="42" t="str">
        <f>IFERROR(__xludf.DUMMYFUNCTION("""COMPUTED_VALUE"""),"Berry")</f>
        <v>Berry</v>
      </c>
      <c r="E1350" s="42" t="str">
        <f>IFERROR(__xludf.DUMMYFUNCTION("""COMPUTED_VALUE"""),"DISERAHKAN")</f>
        <v>DISERAHKAN</v>
      </c>
      <c r="F1350" s="48">
        <f>IFERROR(__xludf.DUMMYFUNCTION("""COMPUTED_VALUE"""),0.0)</f>
        <v>0</v>
      </c>
      <c r="G1350" s="42" t="str">
        <f>IFERROR(__xludf.DUMMYFUNCTION("""COMPUTED_VALUE"""),"BN JUAL BELI")</f>
        <v>BN JUAL BELI</v>
      </c>
      <c r="H1350" s="42">
        <f t="shared" si="1"/>
        <v>617</v>
      </c>
    </row>
    <row r="1351" ht="22.5" customHeight="1">
      <c r="B1351" s="42" t="str">
        <f>IFERROR(__xludf.DUMMYFUNCTION("""COMPUTED_VALUE"""),"K/15/030125/3")</f>
        <v>K/15/030125/3</v>
      </c>
      <c r="C1351" s="42" t="str">
        <f>IFERROR(__xludf.DUMMYFUNCTION("""COMPUTED_VALUE"""),"M. 222/ Bilabong Jaya")</f>
        <v>M. 222/ Bilabong Jaya</v>
      </c>
      <c r="D1351" s="42" t="str">
        <f>IFERROR(__xludf.DUMMYFUNCTION("""COMPUTED_VALUE"""),"David")</f>
        <v>David</v>
      </c>
      <c r="E1351" s="42" t="str">
        <f>IFERROR(__xludf.DUMMYFUNCTION("""COMPUTED_VALUE"""),"DISERAHKAN")</f>
        <v>DISERAHKAN</v>
      </c>
      <c r="F1351" s="48">
        <f>IFERROR(__xludf.DUMMYFUNCTION("""COMPUTED_VALUE"""),45672.41875324074)</f>
        <v>45672.41875</v>
      </c>
      <c r="G1351" s="42" t="str">
        <f>IFERROR(__xludf.DUMMYFUNCTION("""COMPUTED_VALUE"""),"BN JUAL BELI")</f>
        <v>BN JUAL BELI</v>
      </c>
      <c r="H1351" s="42">
        <f t="shared" si="1"/>
        <v>618</v>
      </c>
    </row>
    <row r="1352" ht="22.5" customHeight="1">
      <c r="B1352" s="42" t="str">
        <f>IFERROR(__xludf.DUMMYFUNCTION("""COMPUTED_VALUE"""),"K/17/030125/1")</f>
        <v>K/17/030125/1</v>
      </c>
      <c r="C1352" s="42" t="str">
        <f>IFERROR(__xludf.DUMMYFUNCTION("""COMPUTED_VALUE"""),"M. 86/ Sawah Brebes")</f>
        <v>M. 86/ Sawah Brebes</v>
      </c>
      <c r="D1352" s="42" t="str">
        <f>IFERROR(__xludf.DUMMYFUNCTION("""COMPUTED_VALUE"""),"David")</f>
        <v>David</v>
      </c>
      <c r="E1352" s="42" t="str">
        <f>IFERROR(__xludf.DUMMYFUNCTION("""COMPUTED_VALUE"""),"PROSES")</f>
        <v>PROSES</v>
      </c>
      <c r="F1352" s="48" t="str">
        <f>IFERROR(__xludf.DUMMYFUNCTION("""COMPUTED_VALUE"""),"")</f>
        <v/>
      </c>
      <c r="G1352" s="42" t="str">
        <f>IFERROR(__xludf.DUMMYFUNCTION("""COMPUTED_VALUE"""),"BN JUAL BELI")</f>
        <v>BN JUAL BELI</v>
      </c>
      <c r="H1352" s="42">
        <f t="shared" si="1"/>
        <v>618</v>
      </c>
    </row>
    <row r="1353" ht="22.5" customHeight="1">
      <c r="B1353" s="42" t="str">
        <f>IFERROR(__xludf.DUMMYFUNCTION("""COMPUTED_VALUE"""),"K/18/030125/1")</f>
        <v>K/18/030125/1</v>
      </c>
      <c r="C1353" s="42" t="str">
        <f>IFERROR(__xludf.DUMMYFUNCTION("""COMPUTED_VALUE"""),"M. 11148/ Kedaton")</f>
        <v>M. 11148/ Kedaton</v>
      </c>
      <c r="D1353" s="42"/>
      <c r="E1353" s="42"/>
      <c r="F1353" s="48" t="str">
        <f>IFERROR(__xludf.DUMMYFUNCTION("""COMPUTED_VALUE"""),"")</f>
        <v/>
      </c>
      <c r="G1353" s="42" t="str">
        <f>IFERROR(__xludf.DUMMYFUNCTION("""COMPUTED_VALUE"""),"GANTI KELURAHAN")</f>
        <v>GANTI KELURAHAN</v>
      </c>
      <c r="H1353" s="42">
        <f t="shared" si="1"/>
        <v>618</v>
      </c>
    </row>
    <row r="1354" ht="22.5" customHeight="1">
      <c r="B1354" s="42" t="str">
        <f>IFERROR(__xludf.DUMMYFUNCTION("""COMPUTED_VALUE"""),"K/19/030125/1")</f>
        <v>K/19/030125/1</v>
      </c>
      <c r="C1354" s="42" t="str">
        <f>IFERROR(__xludf.DUMMYFUNCTION("""COMPUTED_VALUE"""),"M. 3058/ Rajabasa Jaya")</f>
        <v>M. 3058/ Rajabasa Jaya</v>
      </c>
      <c r="D1354" s="42"/>
      <c r="E1354" s="42"/>
      <c r="F1354" s="48" t="str">
        <f>IFERROR(__xludf.DUMMYFUNCTION("""COMPUTED_VALUE"""),"")</f>
        <v/>
      </c>
      <c r="G1354" s="42" t="str">
        <f>IFERROR(__xludf.DUMMYFUNCTION("""COMPUTED_VALUE"""),"Hapus BPHTB")</f>
        <v>Hapus BPHTB</v>
      </c>
      <c r="H1354" s="42">
        <f t="shared" si="1"/>
        <v>618</v>
      </c>
    </row>
    <row r="1355" ht="22.5" customHeight="1">
      <c r="B1355" s="42" t="str">
        <f>IFERROR(__xludf.DUMMYFUNCTION("""COMPUTED_VALUE"""),"L/21/030125/1")</f>
        <v>L/21/030125/1</v>
      </c>
      <c r="C1355" s="42" t="str">
        <f>IFERROR(__xludf.DUMMYFUNCTION("""COMPUTED_VALUE"""),"HM 12545/KEDAMAIAN")</f>
        <v>HM 12545/KEDAMAIAN</v>
      </c>
      <c r="D1355" s="42"/>
      <c r="E1355" s="42"/>
      <c r="F1355" s="48" t="str">
        <f>IFERROR(__xludf.DUMMYFUNCTION("""COMPUTED_VALUE"""),"")</f>
        <v/>
      </c>
      <c r="G1355" s="42" t="str">
        <f>IFERROR(__xludf.DUMMYFUNCTION("""COMPUTED_VALUE"""),"BLOKIR")</f>
        <v>BLOKIR</v>
      </c>
      <c r="H1355" s="42">
        <f t="shared" si="1"/>
        <v>618</v>
      </c>
    </row>
    <row r="1356" ht="22.5" customHeight="1">
      <c r="B1356" s="42" t="str">
        <f>IFERROR(__xludf.DUMMYFUNCTION("""COMPUTED_VALUE"""),"L/22/030125/2")</f>
        <v>L/22/030125/2</v>
      </c>
      <c r="C1356" s="42" t="str">
        <f>IFERROR(__xludf.DUMMYFUNCTION("""COMPUTED_VALUE"""),"HM 12544/KEDAMAIAN")</f>
        <v>HM 12544/KEDAMAIAN</v>
      </c>
      <c r="D1356" s="42"/>
      <c r="E1356" s="42"/>
      <c r="F1356" s="48" t="str">
        <f>IFERROR(__xludf.DUMMYFUNCTION("""COMPUTED_VALUE"""),"")</f>
        <v/>
      </c>
      <c r="G1356" s="42" t="str">
        <f>IFERROR(__xludf.DUMMYFUNCTION("""COMPUTED_VALUE"""),"BLOKIR")</f>
        <v>BLOKIR</v>
      </c>
      <c r="H1356" s="42">
        <f t="shared" si="1"/>
        <v>618</v>
      </c>
    </row>
    <row r="1357" ht="22.5" customHeight="1">
      <c r="B1357" s="42" t="str">
        <f>IFERROR(__xludf.DUMMYFUNCTION("""COMPUTED_VALUE"""),"L/23/030125/3")</f>
        <v>L/23/030125/3</v>
      </c>
      <c r="C1357" s="42" t="str">
        <f>IFERROR(__xludf.DUMMYFUNCTION("""COMPUTED_VALUE"""),"HM 10975/KEDAMAIAN")</f>
        <v>HM 10975/KEDAMAIAN</v>
      </c>
      <c r="D1357" s="42"/>
      <c r="E1357" s="42"/>
      <c r="F1357" s="48" t="str">
        <f>IFERROR(__xludf.DUMMYFUNCTION("""COMPUTED_VALUE"""),"")</f>
        <v/>
      </c>
      <c r="G1357" s="42" t="str">
        <f>IFERROR(__xludf.DUMMYFUNCTION("""COMPUTED_VALUE"""),"BLOKIR")</f>
        <v>BLOKIR</v>
      </c>
      <c r="H1357" s="42">
        <f t="shared" si="1"/>
        <v>618</v>
      </c>
    </row>
    <row r="1358" ht="22.5" customHeight="1">
      <c r="B1358" s="42" t="str">
        <f>IFERROR(__xludf.DUMMYFUNCTION("""COMPUTED_VALUE"""),"L/24/030125/4")</f>
        <v>L/24/030125/4</v>
      </c>
      <c r="C1358" s="42" t="str">
        <f>IFERROR(__xludf.DUMMYFUNCTION("""COMPUTED_VALUE"""),"HM 10977/KEDAMAIAN")</f>
        <v>HM 10977/KEDAMAIAN</v>
      </c>
      <c r="D1358" s="42"/>
      <c r="E1358" s="42"/>
      <c r="F1358" s="48" t="str">
        <f>IFERROR(__xludf.DUMMYFUNCTION("""COMPUTED_VALUE"""),"")</f>
        <v/>
      </c>
      <c r="G1358" s="42" t="str">
        <f>IFERROR(__xludf.DUMMYFUNCTION("""COMPUTED_VALUE"""),"BLOKIR")</f>
        <v>BLOKIR</v>
      </c>
      <c r="H1358" s="42">
        <f t="shared" si="1"/>
        <v>618</v>
      </c>
    </row>
    <row r="1359" ht="22.5" customHeight="1">
      <c r="B1359" s="42" t="str">
        <f>IFERROR(__xludf.DUMMYFUNCTION("""COMPUTED_VALUE"""),"K/20/030125/2")</f>
        <v>K/20/030125/2</v>
      </c>
      <c r="C1359" s="42" t="str">
        <f>IFERROR(__xludf.DUMMYFUNCTION("""COMPUTED_VALUE"""),"M. 1559/ Gedong Air")</f>
        <v>M. 1559/ Gedong Air</v>
      </c>
      <c r="D1359" s="42" t="str">
        <f>IFERROR(__xludf.DUMMYFUNCTION("""COMPUTED_VALUE"""),"David")</f>
        <v>David</v>
      </c>
      <c r="E1359" s="42" t="str">
        <f>IFERROR(__xludf.DUMMYFUNCTION("""COMPUTED_VALUE"""),"DISERAHKAN")</f>
        <v>DISERAHKAN</v>
      </c>
      <c r="F1359" s="48">
        <f>IFERROR(__xludf.DUMMYFUNCTION("""COMPUTED_VALUE"""),0.0)</f>
        <v>0</v>
      </c>
      <c r="G1359" s="42" t="str">
        <f>IFERROR(__xludf.DUMMYFUNCTION("""COMPUTED_VALUE"""),"Roya")</f>
        <v>Roya</v>
      </c>
      <c r="H1359" s="42">
        <f t="shared" si="1"/>
        <v>619</v>
      </c>
    </row>
    <row r="1360" ht="22.5" customHeight="1">
      <c r="B1360" s="42" t="str">
        <f>IFERROR(__xludf.DUMMYFUNCTION("""COMPUTED_VALUE"""),"L/26/030125/1")</f>
        <v>L/26/030125/1</v>
      </c>
      <c r="C1360" s="42" t="str">
        <f>IFERROR(__xludf.DUMMYFUNCTION("""COMPUTED_VALUE"""),"HM 3137/WAY KANDIS")</f>
        <v>HM 3137/WAY KANDIS</v>
      </c>
      <c r="D1360" s="42" t="str">
        <f>IFERROR(__xludf.DUMMYFUNCTION("""COMPUTED_VALUE"""),"David")</f>
        <v>David</v>
      </c>
      <c r="E1360" s="42" t="str">
        <f>IFERROR(__xludf.DUMMYFUNCTION("""COMPUTED_VALUE"""),"DISERAHKAN")</f>
        <v>DISERAHKAN</v>
      </c>
      <c r="F1360" s="48">
        <f>IFERROR(__xludf.DUMMYFUNCTION("""COMPUTED_VALUE"""),0.0)</f>
        <v>0</v>
      </c>
      <c r="G1360" s="42" t="str">
        <f>IFERROR(__xludf.DUMMYFUNCTION("""COMPUTED_VALUE"""),"ROYA")</f>
        <v>ROYA</v>
      </c>
      <c r="H1360" s="42">
        <f t="shared" si="1"/>
        <v>620</v>
      </c>
    </row>
    <row r="1361" ht="22.5" customHeight="1">
      <c r="B1361" s="42" t="str">
        <f>IFERROR(__xludf.DUMMYFUNCTION("""COMPUTED_VALUE"""),"K/27/030125/1")</f>
        <v>K/27/030125/1</v>
      </c>
      <c r="C1361" s="42" t="str">
        <f>IFERROR(__xludf.DUMMYFUNCTION("""COMPUTED_VALUE"""),"PLOTING")</f>
        <v>PLOTING</v>
      </c>
      <c r="D1361" s="42"/>
      <c r="E1361" s="42"/>
      <c r="F1361" s="48" t="str">
        <f>IFERROR(__xludf.DUMMYFUNCTION("""COMPUTED_VALUE"""),"")</f>
        <v/>
      </c>
      <c r="G1361" s="42" t="str">
        <f>IFERROR(__xludf.DUMMYFUNCTION("""COMPUTED_VALUE"""),"PLOTING")</f>
        <v>PLOTING</v>
      </c>
      <c r="H1361" s="42">
        <f t="shared" si="1"/>
        <v>620</v>
      </c>
    </row>
    <row r="1362" ht="22.5" customHeight="1">
      <c r="B1362" s="42" t="str">
        <f>IFERROR(__xludf.DUMMYFUNCTION("""COMPUTED_VALUE"""),"K/28/030125/1")</f>
        <v>K/28/030125/1</v>
      </c>
      <c r="C1362" s="42" t="str">
        <f>IFERROR(__xludf.DUMMYFUNCTION("""COMPUTED_VALUE"""),"M.1346/KURIPAN")</f>
        <v>M.1346/KURIPAN</v>
      </c>
      <c r="D1362" s="42" t="str">
        <f>IFERROR(__xludf.DUMMYFUNCTION("""COMPUTED_VALUE"""),"David")</f>
        <v>David</v>
      </c>
      <c r="E1362" s="42" t="str">
        <f>IFERROR(__xludf.DUMMYFUNCTION("""COMPUTED_VALUE"""),"DISERAHKAN")</f>
        <v>DISERAHKAN</v>
      </c>
      <c r="F1362" s="48">
        <f>IFERROR(__xludf.DUMMYFUNCTION("""COMPUTED_VALUE"""),0.0)</f>
        <v>0</v>
      </c>
      <c r="G1362" s="42" t="str">
        <f>IFERROR(__xludf.DUMMYFUNCTION("""COMPUTED_VALUE"""),"BN JUAL BELI")</f>
        <v>BN JUAL BELI</v>
      </c>
      <c r="H1362" s="42">
        <f t="shared" si="1"/>
        <v>621</v>
      </c>
    </row>
    <row r="1363" ht="22.5" customHeight="1">
      <c r="B1363" s="42" t="str">
        <f>IFERROR(__xludf.DUMMYFUNCTION("""COMPUTED_VALUE"""),"L/29/030125/1")</f>
        <v>L/29/030125/1</v>
      </c>
      <c r="C1363" s="42" t="str">
        <f>IFERROR(__xludf.DUMMYFUNCTION("""COMPUTED_VALUE"""),"HM 2689/KETEGUHAN")</f>
        <v>HM 2689/KETEGUHAN</v>
      </c>
      <c r="D1363" s="42" t="str">
        <f>IFERROR(__xludf.DUMMYFUNCTION("""COMPUTED_VALUE"""),"David")</f>
        <v>David</v>
      </c>
      <c r="E1363" s="42" t="str">
        <f>IFERROR(__xludf.DUMMYFUNCTION("""COMPUTED_VALUE"""),"DISERAHKAN")</f>
        <v>DISERAHKAN</v>
      </c>
      <c r="F1363" s="48">
        <f>IFERROR(__xludf.DUMMYFUNCTION("""COMPUTED_VALUE"""),0.0)</f>
        <v>0</v>
      </c>
      <c r="G1363" s="42" t="str">
        <f>IFERROR(__xludf.DUMMYFUNCTION("""COMPUTED_VALUE"""),"ROYA")</f>
        <v>ROYA</v>
      </c>
      <c r="H1363" s="42">
        <f t="shared" si="1"/>
        <v>622</v>
      </c>
    </row>
    <row r="1364" ht="22.5" customHeight="1">
      <c r="B1364" s="42" t="str">
        <f>IFERROR(__xludf.DUMMYFUNCTION("""COMPUTED_VALUE"""),"L/30/030125/2")</f>
        <v>L/30/030125/2</v>
      </c>
      <c r="C1364" s="42" t="str">
        <f>IFERROR(__xludf.DUMMYFUNCTION("""COMPUTED_VALUE"""),"HM 4001/KETEGUHAN")</f>
        <v>HM 4001/KETEGUHAN</v>
      </c>
      <c r="D1364" s="42" t="str">
        <f>IFERROR(__xludf.DUMMYFUNCTION("""COMPUTED_VALUE"""),"David")</f>
        <v>David</v>
      </c>
      <c r="E1364" s="42" t="str">
        <f>IFERROR(__xludf.DUMMYFUNCTION("""COMPUTED_VALUE"""),"DISERAHKAN")</f>
        <v>DISERAHKAN</v>
      </c>
      <c r="F1364" s="48">
        <f>IFERROR(__xludf.DUMMYFUNCTION("""COMPUTED_VALUE"""),0.0)</f>
        <v>0</v>
      </c>
      <c r="G1364" s="42" t="str">
        <f>IFERROR(__xludf.DUMMYFUNCTION("""COMPUTED_VALUE"""),"ROYA")</f>
        <v>ROYA</v>
      </c>
      <c r="H1364" s="42">
        <f t="shared" si="1"/>
        <v>623</v>
      </c>
    </row>
    <row r="1365" ht="22.5" customHeight="1">
      <c r="B1365" s="42" t="str">
        <f>IFERROR(__xludf.DUMMYFUNCTION("""COMPUTED_VALUE"""),"L/32/030125/1")</f>
        <v>L/32/030125/1</v>
      </c>
      <c r="C1365" s="42" t="str">
        <f>IFERROR(__xludf.DUMMYFUNCTION("""COMPUTED_VALUE"""),"HM 801/BERINGIN JAYA")</f>
        <v>HM 801/BERINGIN JAYA</v>
      </c>
      <c r="D1365" s="42" t="str">
        <f>IFERROR(__xludf.DUMMYFUNCTION("""COMPUTED_VALUE"""),"David")</f>
        <v>David</v>
      </c>
      <c r="E1365" s="42" t="str">
        <f>IFERROR(__xludf.DUMMYFUNCTION("""COMPUTED_VALUE"""),"DISERAHKAN")</f>
        <v>DISERAHKAN</v>
      </c>
      <c r="F1365" s="48">
        <f>IFERROR(__xludf.DUMMYFUNCTION("""COMPUTED_VALUE"""),45687.408967256946)</f>
        <v>45687.40897</v>
      </c>
      <c r="G1365" s="42" t="str">
        <f>IFERROR(__xludf.DUMMYFUNCTION("""COMPUTED_VALUE"""),"ROYA")</f>
        <v>ROYA</v>
      </c>
      <c r="H1365" s="42">
        <f t="shared" si="1"/>
        <v>624</v>
      </c>
    </row>
    <row r="1366" ht="22.5" customHeight="1">
      <c r="B1366" s="42" t="str">
        <f>IFERROR(__xludf.DUMMYFUNCTION("""COMPUTED_VALUE"""),"L/33/030125/1")</f>
        <v>L/33/030125/1</v>
      </c>
      <c r="C1366" s="42" t="str">
        <f>IFERROR(__xludf.DUMMYFUNCTION("""COMPUTED_VALUE"""),"HM 11852/KEDAMAIAN")</f>
        <v>HM 11852/KEDAMAIAN</v>
      </c>
      <c r="D1366" s="42" t="str">
        <f>IFERROR(__xludf.DUMMYFUNCTION("""COMPUTED_VALUE"""),"David")</f>
        <v>David</v>
      </c>
      <c r="E1366" s="42" t="str">
        <f>IFERROR(__xludf.DUMMYFUNCTION("""COMPUTED_VALUE"""),"DISERAHKAN")</f>
        <v>DISERAHKAN</v>
      </c>
      <c r="F1366" s="48">
        <f>IFERROR(__xludf.DUMMYFUNCTION("""COMPUTED_VALUE"""),0.0)</f>
        <v>0</v>
      </c>
      <c r="G1366" s="42" t="str">
        <f>IFERROR(__xludf.DUMMYFUNCTION("""COMPUTED_VALUE"""),"ROYA")</f>
        <v>ROYA</v>
      </c>
      <c r="H1366" s="42">
        <f t="shared" si="1"/>
        <v>625</v>
      </c>
    </row>
    <row r="1367" ht="22.5" customHeight="1">
      <c r="B1367" s="42" t="str">
        <f>IFERROR(__xludf.DUMMYFUNCTION("""COMPUTED_VALUE"""),"K/31/030125/1")</f>
        <v>K/31/030125/1</v>
      </c>
      <c r="C1367" s="42" t="str">
        <f>IFERROR(__xludf.DUMMYFUNCTION("""COMPUTED_VALUE"""),"M. 301/ Perumnas Way Kandis")</f>
        <v>M. 301/ Perumnas Way Kandis</v>
      </c>
      <c r="D1367" s="42" t="str">
        <f>IFERROR(__xludf.DUMMYFUNCTION("""COMPUTED_VALUE"""),"David")</f>
        <v>David</v>
      </c>
      <c r="E1367" s="42" t="str">
        <f>IFERROR(__xludf.DUMMYFUNCTION("""COMPUTED_VALUE"""),"DISERAHKAN")</f>
        <v>DISERAHKAN</v>
      </c>
      <c r="F1367" s="48">
        <f>IFERROR(__xludf.DUMMYFUNCTION("""COMPUTED_VALUE"""),45667.35402158565)</f>
        <v>45667.35402</v>
      </c>
      <c r="G1367" s="42" t="str">
        <f>IFERROR(__xludf.DUMMYFUNCTION("""COMPUTED_VALUE"""),"BN WARIS")</f>
        <v>BN WARIS</v>
      </c>
      <c r="H1367" s="42">
        <f t="shared" si="1"/>
        <v>626</v>
      </c>
    </row>
    <row r="1368" ht="22.5" customHeight="1">
      <c r="B1368" s="42" t="str">
        <f>IFERROR(__xludf.DUMMYFUNCTION("""COMPUTED_VALUE"""),"L/34/030125/6")</f>
        <v>L/34/030125/6</v>
      </c>
      <c r="C1368" s="42" t="str">
        <f>IFERROR(__xludf.DUMMYFUNCTION("""COMPUTED_VALUE"""),"M.1897/BERINGINJAYA")</f>
        <v>M.1897/BERINGINJAYA</v>
      </c>
      <c r="D1368" s="42" t="str">
        <f>IFERROR(__xludf.DUMMYFUNCTION("""COMPUTED_VALUE"""),"David")</f>
        <v>David</v>
      </c>
      <c r="E1368" s="42" t="str">
        <f>IFERROR(__xludf.DUMMYFUNCTION("""COMPUTED_VALUE"""),"PROSES")</f>
        <v>PROSES</v>
      </c>
      <c r="F1368" s="48" t="str">
        <f>IFERROR(__xludf.DUMMYFUNCTION("""COMPUTED_VALUE"""),"")</f>
        <v/>
      </c>
      <c r="G1368" s="42" t="str">
        <f>IFERROR(__xludf.DUMMYFUNCTION("""COMPUTED_VALUE"""),"PERALIHAN HAK WARIS")</f>
        <v>PERALIHAN HAK WARIS</v>
      </c>
      <c r="H1368" s="42">
        <f t="shared" si="1"/>
        <v>626</v>
      </c>
    </row>
    <row r="1369" ht="22.5" customHeight="1">
      <c r="B1369" s="42" t="str">
        <f>IFERROR(__xludf.DUMMYFUNCTION("""COMPUTED_VALUE"""),"L/1/050125/1")</f>
        <v>L/1/050125/1</v>
      </c>
      <c r="C1369" s="42" t="str">
        <f>IFERROR(__xludf.DUMMYFUNCTION("""COMPUTED_VALUE"""),"M. 435/ Way Dadi")</f>
        <v>M. 435/ Way Dadi</v>
      </c>
      <c r="D1369" s="42" t="str">
        <f>IFERROR(__xludf.DUMMYFUNCTION("""COMPUTED_VALUE"""),"David")</f>
        <v>David</v>
      </c>
      <c r="E1369" s="42" t="str">
        <f>IFERROR(__xludf.DUMMYFUNCTION("""COMPUTED_VALUE"""),"DISERAHKAN")</f>
        <v>DISERAHKAN</v>
      </c>
      <c r="F1369" s="48">
        <f>IFERROR(__xludf.DUMMYFUNCTION("""COMPUTED_VALUE"""),45665.64802018518)</f>
        <v>45665.64802</v>
      </c>
      <c r="G1369" s="42" t="str">
        <f>IFERROR(__xludf.DUMMYFUNCTION("""COMPUTED_VALUE"""),"Roya")</f>
        <v>Roya</v>
      </c>
      <c r="H1369" s="42">
        <f t="shared" si="1"/>
        <v>627</v>
      </c>
    </row>
    <row r="1370" ht="22.5" customHeight="1">
      <c r="B1370" s="42" t="str">
        <f>IFERROR(__xludf.DUMMYFUNCTION("""COMPUTED_VALUE"""),"K/1/060125/1")</f>
        <v>K/1/060125/1</v>
      </c>
      <c r="C1370" s="42" t="str">
        <f>IFERROR(__xludf.DUMMYFUNCTION("""COMPUTED_VALUE"""),"M. 108/ Talang")</f>
        <v>M. 108/ Talang</v>
      </c>
      <c r="D1370" s="42"/>
      <c r="E1370" s="42"/>
      <c r="F1370" s="48" t="str">
        <f>IFERROR(__xludf.DUMMYFUNCTION("""COMPUTED_VALUE"""),"")</f>
        <v/>
      </c>
      <c r="G1370" s="42" t="str">
        <f>IFERROR(__xludf.DUMMYFUNCTION("""COMPUTED_VALUE"""),"PTPGT (Pemecahan)")</f>
        <v>PTPGT (Pemecahan)</v>
      </c>
      <c r="H1370" s="42">
        <f t="shared" si="1"/>
        <v>627</v>
      </c>
    </row>
    <row r="1371" ht="22.5" customHeight="1">
      <c r="B1371" s="42" t="str">
        <f>IFERROR(__xludf.DUMMYFUNCTION("""COMPUTED_VALUE"""),"L/3/060125/1")</f>
        <v>L/3/060125/1</v>
      </c>
      <c r="C1371" s="42" t="str">
        <f>IFERROR(__xludf.DUMMYFUNCTION("""COMPUTED_VALUE"""),"HM 437/PWK")</f>
        <v>HM 437/PWK</v>
      </c>
      <c r="D1371" s="42" t="str">
        <f>IFERROR(__xludf.DUMMYFUNCTION("""COMPUTED_VALUE"""),"David")</f>
        <v>David</v>
      </c>
      <c r="E1371" s="42" t="str">
        <f>IFERROR(__xludf.DUMMYFUNCTION("""COMPUTED_VALUE"""),"DISERAHKAN")</f>
        <v>DISERAHKAN</v>
      </c>
      <c r="F1371" s="48">
        <f>IFERROR(__xludf.DUMMYFUNCTION("""COMPUTED_VALUE"""),45665.648163854166)</f>
        <v>45665.64816</v>
      </c>
      <c r="G1371" s="42" t="str">
        <f>IFERROR(__xludf.DUMMYFUNCTION("""COMPUTED_VALUE"""),"ROYA")</f>
        <v>ROYA</v>
      </c>
      <c r="H1371" s="42">
        <f t="shared" si="1"/>
        <v>628</v>
      </c>
    </row>
    <row r="1372" ht="22.5" customHeight="1">
      <c r="B1372" s="42" t="str">
        <f>IFERROR(__xludf.DUMMYFUNCTION("""COMPUTED_VALUE"""),"K/2/060125/1")</f>
        <v>K/2/060125/1</v>
      </c>
      <c r="C1372" s="42" t="str">
        <f>IFERROR(__xludf.DUMMYFUNCTION("""COMPUTED_VALUE"""),"M. 14016/ Segala Mider")</f>
        <v>M. 14016/ Segala Mider</v>
      </c>
      <c r="D1372" s="42" t="str">
        <f>IFERROR(__xludf.DUMMYFUNCTION("""COMPUTED_VALUE"""),"David")</f>
        <v>David</v>
      </c>
      <c r="E1372" s="42" t="str">
        <f>IFERROR(__xludf.DUMMYFUNCTION("""COMPUTED_VALUE"""),"DISERAHKAN")</f>
        <v>DISERAHKAN</v>
      </c>
      <c r="F1372" s="48">
        <f>IFERROR(__xludf.DUMMYFUNCTION("""COMPUTED_VALUE"""),45672.416706979166)</f>
        <v>45672.41671</v>
      </c>
      <c r="G1372" s="42" t="str">
        <f>IFERROR(__xludf.DUMMYFUNCTION("""COMPUTED_VALUE"""),"BN JUAL BELI")</f>
        <v>BN JUAL BELI</v>
      </c>
      <c r="H1372" s="42">
        <f t="shared" si="1"/>
        <v>629</v>
      </c>
    </row>
    <row r="1373" ht="22.5" customHeight="1">
      <c r="B1373" s="42" t="str">
        <f>IFERROR(__xludf.DUMMYFUNCTION("""COMPUTED_VALUE"""),"K/4/060125/1")</f>
        <v>K/4/060125/1</v>
      </c>
      <c r="C1373" s="42" t="str">
        <f>IFERROR(__xludf.DUMMYFUNCTION("""COMPUTED_VALUE"""),"M. 37/ Labuhan Dalam")</f>
        <v>M. 37/ Labuhan Dalam</v>
      </c>
      <c r="D1373" s="42" t="str">
        <f>IFERROR(__xludf.DUMMYFUNCTION("""COMPUTED_VALUE"""),"David")</f>
        <v>David</v>
      </c>
      <c r="E1373" s="42" t="str">
        <f>IFERROR(__xludf.DUMMYFUNCTION("""COMPUTED_VALUE"""),"PROSES")</f>
        <v>PROSES</v>
      </c>
      <c r="F1373" s="48" t="str">
        <f>IFERROR(__xludf.DUMMYFUNCTION("""COMPUTED_VALUE"""),"")</f>
        <v/>
      </c>
      <c r="G1373" s="42" t="str">
        <f>IFERROR(__xludf.DUMMYFUNCTION("""COMPUTED_VALUE"""),"Pemecahan")</f>
        <v>Pemecahan</v>
      </c>
      <c r="H1373" s="42">
        <f t="shared" si="1"/>
        <v>629</v>
      </c>
    </row>
    <row r="1374" ht="22.5" customHeight="1">
      <c r="B1374" s="42" t="str">
        <f>IFERROR(__xludf.DUMMYFUNCTION("""COMPUTED_VALUE"""),"K/5/060125/1")</f>
        <v>K/5/060125/1</v>
      </c>
      <c r="C1374" s="42" t="str">
        <f>IFERROR(__xludf.DUMMYFUNCTION("""COMPUTED_VALUE"""),"M. 22/ Kupang Teba ")</f>
        <v>M. 22/ Kupang Teba </v>
      </c>
      <c r="D1374" s="42"/>
      <c r="E1374" s="42" t="str">
        <f>IFERROR(__xludf.DUMMYFUNCTION("""COMPUTED_VALUE"""),"DISERAHKAN")</f>
        <v>DISERAHKAN</v>
      </c>
      <c r="F1374" s="48">
        <f>IFERROR(__xludf.DUMMYFUNCTION("""COMPUTED_VALUE"""),45664.61404644676)</f>
        <v>45664.61405</v>
      </c>
      <c r="G1374" s="42" t="str">
        <f>IFERROR(__xludf.DUMMYFUNCTION("""COMPUTED_VALUE"""),"Roya")</f>
        <v>Roya</v>
      </c>
      <c r="H1374" s="42">
        <f t="shared" si="1"/>
        <v>630</v>
      </c>
    </row>
    <row r="1375" ht="22.5" customHeight="1">
      <c r="B1375" s="42" t="str">
        <f>IFERROR(__xludf.DUMMYFUNCTION("""COMPUTED_VALUE"""),"K/6/060125/1")</f>
        <v>K/6/060125/1</v>
      </c>
      <c r="C1375" s="42" t="str">
        <f>IFERROR(__xludf.DUMMYFUNCTION("""COMPUTED_VALUE"""),"M. 14604/ Sukabumi")</f>
        <v>M. 14604/ Sukabumi</v>
      </c>
      <c r="D1375" s="42" t="str">
        <f>IFERROR(__xludf.DUMMYFUNCTION("""COMPUTED_VALUE"""),"David")</f>
        <v>David</v>
      </c>
      <c r="E1375" s="42" t="str">
        <f>IFERROR(__xludf.DUMMYFUNCTION("""COMPUTED_VALUE"""),"DISERAHKAN")</f>
        <v>DISERAHKAN</v>
      </c>
      <c r="F1375" s="48">
        <f>IFERROR(__xludf.DUMMYFUNCTION("""COMPUTED_VALUE"""),45793.3938102199)</f>
        <v>45793.39381</v>
      </c>
      <c r="G1375" s="42" t="str">
        <f>IFERROR(__xludf.DUMMYFUNCTION("""COMPUTED_VALUE"""),"HAPUS BPHTB")</f>
        <v>HAPUS BPHTB</v>
      </c>
      <c r="H1375" s="42">
        <f t="shared" si="1"/>
        <v>631</v>
      </c>
    </row>
    <row r="1376" ht="22.5" customHeight="1">
      <c r="B1376" s="42" t="str">
        <f>IFERROR(__xludf.DUMMYFUNCTION("""COMPUTED_VALUE"""),"L/7/060125/1")</f>
        <v>L/7/060125/1</v>
      </c>
      <c r="C1376" s="42" t="str">
        <f>IFERROR(__xludf.DUMMYFUNCTION("""COMPUTED_VALUE"""),"HM 12325/LABUHAN RATU")</f>
        <v>HM 12325/LABUHAN RATU</v>
      </c>
      <c r="D1376" s="42" t="str">
        <f>IFERROR(__xludf.DUMMYFUNCTION("""COMPUTED_VALUE"""),"David")</f>
        <v>David</v>
      </c>
      <c r="E1376" s="42" t="str">
        <f>IFERROR(__xludf.DUMMYFUNCTION("""COMPUTED_VALUE"""),"DISERAHKAN")</f>
        <v>DISERAHKAN</v>
      </c>
      <c r="F1376" s="48">
        <f>IFERROR(__xludf.DUMMYFUNCTION("""COMPUTED_VALUE"""),45695.560592939815)</f>
        <v>45695.56059</v>
      </c>
      <c r="G1376" s="42" t="str">
        <f>IFERROR(__xludf.DUMMYFUNCTION("""COMPUTED_VALUE"""),"ROYA")</f>
        <v>ROYA</v>
      </c>
      <c r="H1376" s="42">
        <f t="shared" si="1"/>
        <v>632</v>
      </c>
    </row>
    <row r="1377" ht="22.5" customHeight="1">
      <c r="B1377" s="42" t="str">
        <f>IFERROR(__xludf.DUMMYFUNCTION("""COMPUTED_VALUE"""),"K/8/060125/1")</f>
        <v>K/8/060125/1</v>
      </c>
      <c r="C1377" s="42" t="str">
        <f>IFERROR(__xludf.DUMMYFUNCTION("""COMPUTED_VALUE"""),"NIBEL B 400/KEMILING PERMAI")</f>
        <v>NIBEL B 400/KEMILING PERMAI</v>
      </c>
      <c r="D1377" s="42"/>
      <c r="E1377" s="42"/>
      <c r="F1377" s="48" t="str">
        <f>IFERROR(__xludf.DUMMYFUNCTION("""COMPUTED_VALUE"""),"")</f>
        <v/>
      </c>
      <c r="G1377" s="42" t="str">
        <f>IFERROR(__xludf.DUMMYFUNCTION("""COMPUTED_VALUE"""),"BN JUAL BELI")</f>
        <v>BN JUAL BELI</v>
      </c>
      <c r="H1377" s="42">
        <f t="shared" si="1"/>
        <v>632</v>
      </c>
    </row>
    <row r="1378" ht="22.5" customHeight="1">
      <c r="B1378" s="42" t="str">
        <f>IFERROR(__xludf.DUMMYFUNCTION("""COMPUTED_VALUE"""),"K/9/060125/2")</f>
        <v>K/9/060125/2</v>
      </c>
      <c r="C1378" s="42" t="str">
        <f>IFERROR(__xludf.DUMMYFUNCTION("""COMPUTED_VALUE"""),"NIBEL B 415/KEMILING PERMAI")</f>
        <v>NIBEL B 415/KEMILING PERMAI</v>
      </c>
      <c r="D1378" s="42"/>
      <c r="E1378" s="42"/>
      <c r="F1378" s="48" t="str">
        <f>IFERROR(__xludf.DUMMYFUNCTION("""COMPUTED_VALUE"""),"")</f>
        <v/>
      </c>
      <c r="G1378" s="42" t="str">
        <f>IFERROR(__xludf.DUMMYFUNCTION("""COMPUTED_VALUE"""),"BN JUAL BELI")</f>
        <v>BN JUAL BELI</v>
      </c>
      <c r="H1378" s="42">
        <f t="shared" si="1"/>
        <v>632</v>
      </c>
    </row>
    <row r="1379" ht="22.5" customHeight="1">
      <c r="B1379" s="42" t="str">
        <f>IFERROR(__xludf.DUMMYFUNCTION("""COMPUTED_VALUE"""),"K/10/060125/1")</f>
        <v>K/10/060125/1</v>
      </c>
      <c r="C1379" s="42" t="str">
        <f>IFERROR(__xludf.DUMMYFUNCTION("""COMPUTED_VALUE"""),"M. 269/ Kebon Jeruk")</f>
        <v>M. 269/ Kebon Jeruk</v>
      </c>
      <c r="D1379" s="42" t="str">
        <f>IFERROR(__xludf.DUMMYFUNCTION("""COMPUTED_VALUE"""),"David")</f>
        <v>David</v>
      </c>
      <c r="E1379" s="42" t="str">
        <f>IFERROR(__xludf.DUMMYFUNCTION("""COMPUTED_VALUE"""),"DISERAHKAN BT")</f>
        <v>DISERAHKAN BT</v>
      </c>
      <c r="F1379" s="48">
        <f>IFERROR(__xludf.DUMMYFUNCTION("""COMPUTED_VALUE"""),45694.59334170139)</f>
        <v>45694.59334</v>
      </c>
      <c r="G1379" s="42" t="str">
        <f>IFERROR(__xludf.DUMMYFUNCTION("""COMPUTED_VALUE"""),"BN Waris")</f>
        <v>BN Waris</v>
      </c>
      <c r="H1379" s="42">
        <f t="shared" si="1"/>
        <v>632</v>
      </c>
    </row>
    <row r="1380" ht="22.5" customHeight="1">
      <c r="B1380" s="42" t="str">
        <f>IFERROR(__xludf.DUMMYFUNCTION("""COMPUTED_VALUE"""),"K/11/060125/1")</f>
        <v>K/11/060125/1</v>
      </c>
      <c r="C1380" s="42" t="str">
        <f>IFERROR(__xludf.DUMMYFUNCTION("""COMPUTED_VALUE"""),"M. 2401/ Campang Jaya")</f>
        <v>M. 2401/ Campang Jaya</v>
      </c>
      <c r="D1380" s="42" t="str">
        <f>IFERROR(__xludf.DUMMYFUNCTION("""COMPUTED_VALUE"""),"David")</f>
        <v>David</v>
      </c>
      <c r="E1380" s="42" t="str">
        <f>IFERROR(__xludf.DUMMYFUNCTION("""COMPUTED_VALUE"""),"DISERAHKAN")</f>
        <v>DISERAHKAN</v>
      </c>
      <c r="F1380" s="48">
        <f>IFERROR(__xludf.DUMMYFUNCTION("""COMPUTED_VALUE"""),45672.41940780093)</f>
        <v>45672.41941</v>
      </c>
      <c r="G1380" s="42" t="str">
        <f>IFERROR(__xludf.DUMMYFUNCTION("""COMPUTED_VALUE"""),"BN JUAL BELI")</f>
        <v>BN JUAL BELI</v>
      </c>
      <c r="H1380" s="42">
        <f t="shared" si="1"/>
        <v>633</v>
      </c>
    </row>
    <row r="1381" ht="22.5" customHeight="1">
      <c r="B1381" s="42" t="str">
        <f>IFERROR(__xludf.DUMMYFUNCTION("""COMPUTED_VALUE"""),"K/12/060125/1")</f>
        <v>K/12/060125/1</v>
      </c>
      <c r="C1381" s="42" t="str">
        <f>IFERROR(__xludf.DUMMYFUNCTION("""COMPUTED_VALUE"""),"M. 16726/ Sukabumi")</f>
        <v>M. 16726/ Sukabumi</v>
      </c>
      <c r="D1381" s="42" t="str">
        <f>IFERROR(__xludf.DUMMYFUNCTION("""COMPUTED_VALUE"""),"David")</f>
        <v>David</v>
      </c>
      <c r="E1381" s="42" t="str">
        <f>IFERROR(__xludf.DUMMYFUNCTION("""COMPUTED_VALUE"""),"PROSES")</f>
        <v>PROSES</v>
      </c>
      <c r="F1381" s="48" t="str">
        <f>IFERROR(__xludf.DUMMYFUNCTION("""COMPUTED_VALUE"""),"")</f>
        <v/>
      </c>
      <c r="G1381" s="42" t="str">
        <f>IFERROR(__xludf.DUMMYFUNCTION("""COMPUTED_VALUE"""),"Pemecahan")</f>
        <v>Pemecahan</v>
      </c>
      <c r="H1381" s="42">
        <f t="shared" si="1"/>
        <v>633</v>
      </c>
    </row>
    <row r="1382" ht="22.5" customHeight="1">
      <c r="B1382" s="42" t="str">
        <f>IFERROR(__xludf.DUMMYFUNCTION("""COMPUTED_VALUE"""),"L/13/060125/1")</f>
        <v>L/13/060125/1</v>
      </c>
      <c r="C1382" s="42" t="str">
        <f>IFERROR(__xludf.DUMMYFUNCTION("""COMPUTED_VALUE"""),"HGB 5060/BERINGIN RAYA")</f>
        <v>HGB 5060/BERINGIN RAYA</v>
      </c>
      <c r="D1382" s="42" t="str">
        <f>IFERROR(__xludf.DUMMYFUNCTION("""COMPUTED_VALUE"""),"David")</f>
        <v>David</v>
      </c>
      <c r="E1382" s="42" t="str">
        <f>IFERROR(__xludf.DUMMYFUNCTION("""COMPUTED_VALUE"""),"PROSES")</f>
        <v>PROSES</v>
      </c>
      <c r="F1382" s="48" t="str">
        <f>IFERROR(__xludf.DUMMYFUNCTION("""COMPUTED_VALUE"""),"")</f>
        <v/>
      </c>
      <c r="G1382" s="42" t="str">
        <f>IFERROR(__xludf.DUMMYFUNCTION("""COMPUTED_VALUE"""),"PH")</f>
        <v>PH</v>
      </c>
      <c r="H1382" s="42">
        <f t="shared" si="1"/>
        <v>633</v>
      </c>
    </row>
    <row r="1383" ht="22.5" customHeight="1">
      <c r="B1383" s="42" t="str">
        <f>IFERROR(__xludf.DUMMYFUNCTION("""COMPUTED_VALUE"""),"K/14/060125/1")</f>
        <v>K/14/060125/1</v>
      </c>
      <c r="C1383" s="42" t="str">
        <f>IFERROR(__xludf.DUMMYFUNCTION("""COMPUTED_VALUE"""),"M.14948/RAJABASA")</f>
        <v>M.14948/RAJABASA</v>
      </c>
      <c r="D1383" s="42" t="str">
        <f>IFERROR(__xludf.DUMMYFUNCTION("""COMPUTED_VALUE"""),"David")</f>
        <v>David</v>
      </c>
      <c r="E1383" s="42" t="str">
        <f>IFERROR(__xludf.DUMMYFUNCTION("""COMPUTED_VALUE"""),"DISERAHKAN")</f>
        <v>DISERAHKAN</v>
      </c>
      <c r="F1383" s="48">
        <f>IFERROR(__xludf.DUMMYFUNCTION("""COMPUTED_VALUE"""),45665.64924763889)</f>
        <v>45665.64925</v>
      </c>
      <c r="G1383" s="42" t="str">
        <f>IFERROR(__xludf.DUMMYFUNCTION("""COMPUTED_VALUE"""),"BN JUAL BELI")</f>
        <v>BN JUAL BELI</v>
      </c>
      <c r="H1383" s="42">
        <f t="shared" si="1"/>
        <v>634</v>
      </c>
    </row>
    <row r="1384" ht="22.5" customHeight="1">
      <c r="B1384" s="42" t="str">
        <f>IFERROR(__xludf.DUMMYFUNCTION("""COMPUTED_VALUE"""),"K/15/060125/2")</f>
        <v>K/15/060125/2</v>
      </c>
      <c r="C1384" s="42" t="str">
        <f>IFERROR(__xludf.DUMMYFUNCTION("""COMPUTED_VALUE"""),"M.11871/LABUHAN RATU")</f>
        <v>M.11871/LABUHAN RATU</v>
      </c>
      <c r="D1384" s="42" t="str">
        <f>IFERROR(__xludf.DUMMYFUNCTION("""COMPUTED_VALUE"""),"David")</f>
        <v>David</v>
      </c>
      <c r="E1384" s="42" t="str">
        <f>IFERROR(__xludf.DUMMYFUNCTION("""COMPUTED_VALUE"""),"DISERAHKAN")</f>
        <v>DISERAHKAN</v>
      </c>
      <c r="F1384" s="48">
        <f>IFERROR(__xludf.DUMMYFUNCTION("""COMPUTED_VALUE"""),45665.64935422454)</f>
        <v>45665.64935</v>
      </c>
      <c r="G1384" s="42" t="str">
        <f>IFERROR(__xludf.DUMMYFUNCTION("""COMPUTED_VALUE"""),"ROYA")</f>
        <v>ROYA</v>
      </c>
      <c r="H1384" s="42">
        <f t="shared" si="1"/>
        <v>635</v>
      </c>
    </row>
    <row r="1385" ht="22.5" customHeight="1">
      <c r="B1385" s="42" t="str">
        <f>IFERROR(__xludf.DUMMYFUNCTION("""COMPUTED_VALUE"""),"K/16/060125/1")</f>
        <v>K/16/060125/1</v>
      </c>
      <c r="C1385" s="42" t="str">
        <f>IFERROR(__xludf.DUMMYFUNCTION("""COMPUTED_VALUE"""),"B. 498/ Kedamaian")</f>
        <v>B. 498/ Kedamaian</v>
      </c>
      <c r="D1385" s="42" t="str">
        <f>IFERROR(__xludf.DUMMYFUNCTION("""COMPUTED_VALUE"""),"Berry")</f>
        <v>Berry</v>
      </c>
      <c r="E1385" s="42" t="str">
        <f>IFERROR(__xludf.DUMMYFUNCTION("""COMPUTED_VALUE"""),"DISERAHKAN")</f>
        <v>DISERAHKAN</v>
      </c>
      <c r="F1385" s="48">
        <f>IFERROR(__xludf.DUMMYFUNCTION("""COMPUTED_VALUE"""),45665.64950561343)</f>
        <v>45665.64951</v>
      </c>
      <c r="G1385" s="42" t="str">
        <f>IFERROR(__xludf.DUMMYFUNCTION("""COMPUTED_VALUE"""),"ROYA LELANG")</f>
        <v>ROYA LELANG</v>
      </c>
      <c r="H1385" s="42">
        <f t="shared" si="1"/>
        <v>636</v>
      </c>
    </row>
    <row r="1386" ht="22.5" customHeight="1">
      <c r="B1386" s="42" t="str">
        <f>IFERROR(__xludf.DUMMYFUNCTION("""COMPUTED_VALUE"""),"K/17/060125/2")</f>
        <v>K/17/060125/2</v>
      </c>
      <c r="C1386" s="42" t="str">
        <f>IFERROR(__xludf.DUMMYFUNCTION("""COMPUTED_VALUE"""),"M. 10490/ Sukarame")</f>
        <v>M. 10490/ Sukarame</v>
      </c>
      <c r="D1386" s="42" t="str">
        <f>IFERROR(__xludf.DUMMYFUNCTION("""COMPUTED_VALUE"""),"Berry")</f>
        <v>Berry</v>
      </c>
      <c r="E1386" s="42" t="str">
        <f>IFERROR(__xludf.DUMMYFUNCTION("""COMPUTED_VALUE"""),"DISERAHKAN")</f>
        <v>DISERAHKAN</v>
      </c>
      <c r="F1386" s="48">
        <f>IFERROR(__xludf.DUMMYFUNCTION("""COMPUTED_VALUE"""),45665.64989399306)</f>
        <v>45665.64989</v>
      </c>
      <c r="G1386" s="42" t="str">
        <f>IFERROR(__xludf.DUMMYFUNCTION("""COMPUTED_VALUE"""),"ROYA LELANG")</f>
        <v>ROYA LELANG</v>
      </c>
      <c r="H1386" s="42">
        <f t="shared" si="1"/>
        <v>637</v>
      </c>
    </row>
    <row r="1387" ht="22.5" customHeight="1">
      <c r="B1387" s="42" t="str">
        <f>IFERROR(__xludf.DUMMYFUNCTION("""COMPUTED_VALUE"""),"L/19/060125/1")</f>
        <v>L/19/060125/1</v>
      </c>
      <c r="C1387" s="42" t="str">
        <f>IFERROR(__xludf.DUMMYFUNCTION("""COMPUTED_VALUE"""),"HGB 1464/CAMPANG RAYA")</f>
        <v>HGB 1464/CAMPANG RAYA</v>
      </c>
      <c r="D1387" s="42" t="str">
        <f>IFERROR(__xludf.DUMMYFUNCTION("""COMPUTED_VALUE"""),"Berry")</f>
        <v>Berry</v>
      </c>
      <c r="E1387" s="42" t="str">
        <f>IFERROR(__xludf.DUMMYFUNCTION("""COMPUTED_VALUE"""),"DISERAHKAN")</f>
        <v>DISERAHKAN</v>
      </c>
      <c r="F1387" s="48">
        <f>IFERROR(__xludf.DUMMYFUNCTION("""COMPUTED_VALUE"""),45665.650250555555)</f>
        <v>45665.65025</v>
      </c>
      <c r="G1387" s="42" t="str">
        <f>IFERROR(__xludf.DUMMYFUNCTION("""COMPUTED_VALUE"""),"ROYA")</f>
        <v>ROYA</v>
      </c>
      <c r="H1387" s="42">
        <f t="shared" si="1"/>
        <v>638</v>
      </c>
    </row>
    <row r="1388" ht="22.5" customHeight="1">
      <c r="B1388" s="42" t="str">
        <f>IFERROR(__xludf.DUMMYFUNCTION("""COMPUTED_VALUE"""),"K/20/060125/1")</f>
        <v>K/20/060125/1</v>
      </c>
      <c r="C1388" s="42" t="str">
        <f>IFERROR(__xludf.DUMMYFUNCTION("""COMPUTED_VALUE"""),"Nibel 3412/ Labuhan Ratu Raya")</f>
        <v>Nibel 3412/ Labuhan Ratu Raya</v>
      </c>
      <c r="D1388" s="42"/>
      <c r="E1388" s="42"/>
      <c r="F1388" s="48" t="str">
        <f>IFERROR(__xludf.DUMMYFUNCTION("""COMPUTED_VALUE"""),"")</f>
        <v/>
      </c>
      <c r="G1388" s="42" t="str">
        <f>IFERROR(__xludf.DUMMYFUNCTION("""COMPUTED_VALUE"""),"PERUBAHAN HAK")</f>
        <v>PERUBAHAN HAK</v>
      </c>
      <c r="H1388" s="42">
        <f t="shared" si="1"/>
        <v>638</v>
      </c>
    </row>
    <row r="1389" ht="22.5" customHeight="1">
      <c r="B1389" s="42" t="str">
        <f>IFERROR(__xludf.DUMMYFUNCTION("""COMPUTED_VALUE"""),"K/21/060125/1")</f>
        <v>K/21/060125/1</v>
      </c>
      <c r="C1389" s="42" t="str">
        <f>IFERROR(__xludf.DUMMYFUNCTION("""COMPUTED_VALUE"""),"NIBEL M 3472/KEDAMAIAN")</f>
        <v>NIBEL M 3472/KEDAMAIAN</v>
      </c>
      <c r="D1389" s="42"/>
      <c r="E1389" s="42"/>
      <c r="F1389" s="48" t="str">
        <f>IFERROR(__xludf.DUMMYFUNCTION("""COMPUTED_VALUE"""),"")</f>
        <v/>
      </c>
      <c r="G1389" s="42" t="str">
        <f>IFERROR(__xludf.DUMMYFUNCTION("""COMPUTED_VALUE"""),"KEWARISAN")</f>
        <v>KEWARISAN</v>
      </c>
      <c r="H1389" s="42">
        <f t="shared" si="1"/>
        <v>638</v>
      </c>
    </row>
    <row r="1390" ht="22.5" customHeight="1">
      <c r="B1390" s="42" t="str">
        <f>IFERROR(__xludf.DUMMYFUNCTION("""COMPUTED_VALUE"""),"K/22/060125/2")</f>
        <v>K/22/060125/2</v>
      </c>
      <c r="C1390" s="42" t="str">
        <f>IFERROR(__xludf.DUMMYFUNCTION("""COMPUTED_VALUE"""),"NIBEL M 3470/KEDAMAIAN")</f>
        <v>NIBEL M 3470/KEDAMAIAN</v>
      </c>
      <c r="D1390" s="42"/>
      <c r="E1390" s="42"/>
      <c r="F1390" s="48" t="str">
        <f>IFERROR(__xludf.DUMMYFUNCTION("""COMPUTED_VALUE"""),"")</f>
        <v/>
      </c>
      <c r="G1390" s="42" t="str">
        <f>IFERROR(__xludf.DUMMYFUNCTION("""COMPUTED_VALUE"""),"KEWARISAN")</f>
        <v>KEWARISAN</v>
      </c>
      <c r="H1390" s="42">
        <f t="shared" si="1"/>
        <v>638</v>
      </c>
    </row>
    <row r="1391" ht="22.5" customHeight="1">
      <c r="B1391" s="42" t="str">
        <f>IFERROR(__xludf.DUMMYFUNCTION("""COMPUTED_VALUE"""),"K/18/060125/1")</f>
        <v>K/18/060125/1</v>
      </c>
      <c r="C1391" s="42" t="str">
        <f>IFERROR(__xludf.DUMMYFUNCTION("""COMPUTED_VALUE"""),"Nibel. B. 3474/ Labuhan Ratu Raya")</f>
        <v>Nibel. B. 3474/ Labuhan Ratu Raya</v>
      </c>
      <c r="D1391" s="42"/>
      <c r="E1391" s="42"/>
      <c r="F1391" s="48" t="str">
        <f>IFERROR(__xludf.DUMMYFUNCTION("""COMPUTED_VALUE"""),"")</f>
        <v/>
      </c>
      <c r="G1391" s="42" t="str">
        <f>IFERROR(__xludf.DUMMYFUNCTION("""COMPUTED_VALUE"""),"BN Lelang")</f>
        <v>BN Lelang</v>
      </c>
      <c r="H1391" s="42">
        <f t="shared" si="1"/>
        <v>638</v>
      </c>
    </row>
    <row r="1392" ht="22.5" customHeight="1">
      <c r="B1392" s="42" t="str">
        <f>IFERROR(__xludf.DUMMYFUNCTION("""COMPUTED_VALUE"""),"L/23/060125/1")</f>
        <v>L/23/060125/1</v>
      </c>
      <c r="C1392" s="42" t="str">
        <f>IFERROR(__xludf.DUMMYFUNCTION("""COMPUTED_VALUE"""),"HM 369/KUPANG RAYA")</f>
        <v>HM 369/KUPANG RAYA</v>
      </c>
      <c r="D1392" s="42" t="str">
        <f>IFERROR(__xludf.DUMMYFUNCTION("""COMPUTED_VALUE"""),"Berry")</f>
        <v>Berry</v>
      </c>
      <c r="E1392" s="42" t="str">
        <f>IFERROR(__xludf.DUMMYFUNCTION("""COMPUTED_VALUE"""),"DISERAHKAN")</f>
        <v>DISERAHKAN</v>
      </c>
      <c r="F1392" s="48">
        <f>IFERROR(__xludf.DUMMYFUNCTION("""COMPUTED_VALUE"""),45665.650529189814)</f>
        <v>45665.65053</v>
      </c>
      <c r="G1392" s="42" t="str">
        <f>IFERROR(__xludf.DUMMYFUNCTION("""COMPUTED_VALUE"""),"ROYA")</f>
        <v>ROYA</v>
      </c>
      <c r="H1392" s="42">
        <f t="shared" si="1"/>
        <v>639</v>
      </c>
    </row>
    <row r="1393" ht="22.5" customHeight="1">
      <c r="B1393" s="42" t="str">
        <f>IFERROR(__xludf.DUMMYFUNCTION("""COMPUTED_VALUE"""),"L/26/060125/1")</f>
        <v>L/26/060125/1</v>
      </c>
      <c r="C1393" s="42" t="str">
        <f>IFERROR(__xludf.DUMMYFUNCTION("""COMPUTED_VALUE"""),"HM 378/SUKABUMI INDAH")</f>
        <v>HM 378/SUKABUMI INDAH</v>
      </c>
      <c r="D1393" s="42"/>
      <c r="E1393" s="42"/>
      <c r="F1393" s="48" t="str">
        <f>IFERROR(__xludf.DUMMYFUNCTION("""COMPUTED_VALUE"""),"")</f>
        <v/>
      </c>
      <c r="G1393" s="42" t="str">
        <f>IFERROR(__xludf.DUMMYFUNCTION("""COMPUTED_VALUE"""),"BLOKIR")</f>
        <v>BLOKIR</v>
      </c>
      <c r="H1393" s="42">
        <f t="shared" si="1"/>
        <v>639</v>
      </c>
    </row>
    <row r="1394" ht="22.5" customHeight="1">
      <c r="B1394" s="42" t="str">
        <f>IFERROR(__xludf.DUMMYFUNCTION("""COMPUTED_VALUE"""),"K/24/060125/1")</f>
        <v>K/24/060125/1</v>
      </c>
      <c r="C1394" s="42" t="str">
        <f>IFERROR(__xludf.DUMMYFUNCTION("""COMPUTED_VALUE"""),"Nibel 2649/ Susunan Baru")</f>
        <v>Nibel 2649/ Susunan Baru</v>
      </c>
      <c r="D1394" s="42"/>
      <c r="E1394" s="42"/>
      <c r="F1394" s="48" t="str">
        <f>IFERROR(__xludf.DUMMYFUNCTION("""COMPUTED_VALUE"""),"")</f>
        <v/>
      </c>
      <c r="G1394" s="42" t="str">
        <f>IFERROR(__xludf.DUMMYFUNCTION("""COMPUTED_VALUE"""),"BN JUAL BELI")</f>
        <v>BN JUAL BELI</v>
      </c>
      <c r="H1394" s="42">
        <f t="shared" si="1"/>
        <v>639</v>
      </c>
    </row>
    <row r="1395" ht="22.5" customHeight="1">
      <c r="B1395" s="42" t="str">
        <f>IFERROR(__xludf.DUMMYFUNCTION("""COMPUTED_VALUE"""),"K/25/060125/1")</f>
        <v>K/25/060125/1</v>
      </c>
      <c r="C1395" s="42" t="str">
        <f>IFERROR(__xludf.DUMMYFUNCTION("""COMPUTED_VALUE"""),"M. 2749/ Campang Raya")</f>
        <v>M. 2749/ Campang Raya</v>
      </c>
      <c r="D1395" s="42"/>
      <c r="E1395" s="42"/>
      <c r="F1395" s="48" t="str">
        <f>IFERROR(__xludf.DUMMYFUNCTION("""COMPUTED_VALUE"""),"")</f>
        <v/>
      </c>
      <c r="G1395" s="42" t="str">
        <f>IFERROR(__xludf.DUMMYFUNCTION("""COMPUTED_VALUE"""),"SKPT Lelang")</f>
        <v>SKPT Lelang</v>
      </c>
      <c r="H1395" s="42">
        <f t="shared" si="1"/>
        <v>639</v>
      </c>
    </row>
    <row r="1396" ht="22.5" customHeight="1">
      <c r="B1396" s="42" t="str">
        <f>IFERROR(__xludf.DUMMYFUNCTION("""COMPUTED_VALUE"""),"K/27/060125/1")</f>
        <v>K/27/060125/1</v>
      </c>
      <c r="C1396" s="42" t="str">
        <f>IFERROR(__xludf.DUMMYFUNCTION("""COMPUTED_VALUE"""),"NIBEL B 2423/SUKAMAJU")</f>
        <v>NIBEL B 2423/SUKAMAJU</v>
      </c>
      <c r="D1396" s="42"/>
      <c r="E1396" s="42"/>
      <c r="F1396" s="48" t="str">
        <f>IFERROR(__xludf.DUMMYFUNCTION("""COMPUTED_VALUE"""),"")</f>
        <v/>
      </c>
      <c r="G1396" s="42" t="str">
        <f>IFERROR(__xludf.DUMMYFUNCTION("""COMPUTED_VALUE"""),"LELANG")</f>
        <v>LELANG</v>
      </c>
      <c r="H1396" s="42">
        <f t="shared" si="1"/>
        <v>639</v>
      </c>
    </row>
    <row r="1397" ht="22.5" customHeight="1">
      <c r="B1397" s="42" t="str">
        <f>IFERROR(__xludf.DUMMYFUNCTION("""COMPUTED_VALUE"""),"K/28/060125/1")</f>
        <v>K/28/060125/1</v>
      </c>
      <c r="C1397" s="42" t="str">
        <f>IFERROR(__xludf.DUMMYFUNCTION("""COMPUTED_VALUE"""),"M. 2330/ Sepang Jaya")</f>
        <v>M. 2330/ Sepang Jaya</v>
      </c>
      <c r="D1397" s="42" t="str">
        <f>IFERROR(__xludf.DUMMYFUNCTION("""COMPUTED_VALUE"""),"Berry")</f>
        <v>Berry</v>
      </c>
      <c r="E1397" s="42" t="str">
        <f>IFERROR(__xludf.DUMMYFUNCTION("""COMPUTED_VALUE"""),"DISERAHKAN")</f>
        <v>DISERAHKAN</v>
      </c>
      <c r="F1397" s="48">
        <f>IFERROR(__xludf.DUMMYFUNCTION("""COMPUTED_VALUE"""),45673.44575920139)</f>
        <v>45673.44576</v>
      </c>
      <c r="G1397" s="42" t="str">
        <f>IFERROR(__xludf.DUMMYFUNCTION("""COMPUTED_VALUE"""),"BN HIBAH")</f>
        <v>BN HIBAH</v>
      </c>
      <c r="H1397" s="42">
        <f t="shared" si="1"/>
        <v>640</v>
      </c>
    </row>
    <row r="1398" ht="22.5" customHeight="1">
      <c r="B1398" s="42" t="str">
        <f>IFERROR(__xludf.DUMMYFUNCTION("""COMPUTED_VALUE"""),"K/29/060125/1")</f>
        <v>K/29/060125/1</v>
      </c>
      <c r="C1398" s="42" t="str">
        <f>IFERROR(__xludf.DUMMYFUNCTION("""COMPUTED_VALUE"""),"M. 17183/ Sukarame ")</f>
        <v>M. 17183/ Sukarame </v>
      </c>
      <c r="D1398" s="42" t="str">
        <f>IFERROR(__xludf.DUMMYFUNCTION("""COMPUTED_VALUE"""),"Berry")</f>
        <v>Berry</v>
      </c>
      <c r="E1398" s="42" t="str">
        <f>IFERROR(__xludf.DUMMYFUNCTION("""COMPUTED_VALUE"""),"DISERAHKAN")</f>
        <v>DISERAHKAN</v>
      </c>
      <c r="F1398" s="48">
        <f>IFERROR(__xludf.DUMMYFUNCTION("""COMPUTED_VALUE"""),45665.65093299768)</f>
        <v>45665.65093</v>
      </c>
      <c r="G1398" s="42" t="str">
        <f>IFERROR(__xludf.DUMMYFUNCTION("""COMPUTED_VALUE"""),"Roya")</f>
        <v>Roya</v>
      </c>
      <c r="H1398" s="42">
        <f t="shared" si="1"/>
        <v>641</v>
      </c>
    </row>
    <row r="1399" ht="22.5" customHeight="1">
      <c r="B1399" s="42" t="str">
        <f>IFERROR(__xludf.DUMMYFUNCTION("""COMPUTED_VALUE"""),"K/30/060125/2")</f>
        <v>K/30/060125/2</v>
      </c>
      <c r="C1399" s="42" t="str">
        <f>IFERROR(__xludf.DUMMYFUNCTION("""COMPUTED_VALUE"""),"M. 1837/ Langkapura")</f>
        <v>M. 1837/ Langkapura</v>
      </c>
      <c r="D1399" s="42" t="str">
        <f>IFERROR(__xludf.DUMMYFUNCTION("""COMPUTED_VALUE"""),"Berry")</f>
        <v>Berry</v>
      </c>
      <c r="E1399" s="42" t="str">
        <f>IFERROR(__xludf.DUMMYFUNCTION("""COMPUTED_VALUE"""),"DISERAHKAN")</f>
        <v>DISERAHKAN</v>
      </c>
      <c r="F1399" s="48">
        <f>IFERROR(__xludf.DUMMYFUNCTION("""COMPUTED_VALUE"""),45665.65115002315)</f>
        <v>45665.65115</v>
      </c>
      <c r="G1399" s="42" t="str">
        <f>IFERROR(__xludf.DUMMYFUNCTION("""COMPUTED_VALUE"""),"Roya")</f>
        <v>Roya</v>
      </c>
      <c r="H1399" s="42">
        <f t="shared" si="1"/>
        <v>642</v>
      </c>
    </row>
    <row r="1400" ht="22.5" customHeight="1">
      <c r="B1400" s="42" t="str">
        <f>IFERROR(__xludf.DUMMYFUNCTION("""COMPUTED_VALUE"""),"K/31/060125/1")</f>
        <v>K/31/060125/1</v>
      </c>
      <c r="C1400" s="42" t="str">
        <f>IFERROR(__xludf.DUMMYFUNCTION("""COMPUTED_VALUE"""),"M. 378/ Sumur Putri")</f>
        <v>M. 378/ Sumur Putri</v>
      </c>
      <c r="D1400" s="42"/>
      <c r="E1400" s="42"/>
      <c r="F1400" s="48" t="str">
        <f>IFERROR(__xludf.DUMMYFUNCTION("""COMPUTED_VALUE"""),"")</f>
        <v/>
      </c>
      <c r="G1400" s="42" t="str">
        <f>IFERROR(__xludf.DUMMYFUNCTION("""COMPUTED_VALUE"""),"Blokir")</f>
        <v>Blokir</v>
      </c>
      <c r="H1400" s="42">
        <f t="shared" si="1"/>
        <v>642</v>
      </c>
    </row>
    <row r="1401" ht="22.5" customHeight="1">
      <c r="B1401" s="42" t="str">
        <f>IFERROR(__xludf.DUMMYFUNCTION("""COMPUTED_VALUE"""),"K/32/060125/1")</f>
        <v>K/32/060125/1</v>
      </c>
      <c r="C1401" s="42" t="str">
        <f>IFERROR(__xludf.DUMMYFUNCTION("""COMPUTED_VALUE"""),"M. 5337/ Langkapura")</f>
        <v>M. 5337/ Langkapura</v>
      </c>
      <c r="D1401" s="42" t="str">
        <f>IFERROR(__xludf.DUMMYFUNCTION("""COMPUTED_VALUE"""),"Berry")</f>
        <v>Berry</v>
      </c>
      <c r="E1401" s="42" t="str">
        <f>IFERROR(__xludf.DUMMYFUNCTION("""COMPUTED_VALUE"""),"DISERAHKAN")</f>
        <v>DISERAHKAN</v>
      </c>
      <c r="F1401" s="48">
        <f>IFERROR(__xludf.DUMMYFUNCTION("""COMPUTED_VALUE"""),45665.651397152775)</f>
        <v>45665.6514</v>
      </c>
      <c r="G1401" s="42" t="str">
        <f>IFERROR(__xludf.DUMMYFUNCTION("""COMPUTED_VALUE"""),"BN JUAL BELI")</f>
        <v>BN JUAL BELI</v>
      </c>
      <c r="H1401" s="42">
        <f t="shared" si="1"/>
        <v>643</v>
      </c>
    </row>
    <row r="1402" ht="22.5" customHeight="1">
      <c r="B1402" s="42" t="str">
        <f>IFERROR(__xludf.DUMMYFUNCTION("""COMPUTED_VALUE"""),"K/33/060125/2")</f>
        <v>K/33/060125/2</v>
      </c>
      <c r="C1402" s="42" t="str">
        <f>IFERROR(__xludf.DUMMYFUNCTION("""COMPUTED_VALUE"""),"M. 19039/ Sukarame")</f>
        <v>M. 19039/ Sukarame</v>
      </c>
      <c r="D1402" s="42" t="str">
        <f>IFERROR(__xludf.DUMMYFUNCTION("""COMPUTED_VALUE"""),"Berry")</f>
        <v>Berry</v>
      </c>
      <c r="E1402" s="42" t="str">
        <f>IFERROR(__xludf.DUMMYFUNCTION("""COMPUTED_VALUE"""),"DISERAHKAN")</f>
        <v>DISERAHKAN</v>
      </c>
      <c r="F1402" s="48">
        <f>IFERROR(__xludf.DUMMYFUNCTION("""COMPUTED_VALUE"""),45665.6515537963)</f>
        <v>45665.65155</v>
      </c>
      <c r="G1402" s="42" t="str">
        <f>IFERROR(__xludf.DUMMYFUNCTION("""COMPUTED_VALUE"""),"BN JUAL BELI")</f>
        <v>BN JUAL BELI</v>
      </c>
      <c r="H1402" s="42">
        <f t="shared" si="1"/>
        <v>644</v>
      </c>
    </row>
    <row r="1403" ht="22.5" customHeight="1">
      <c r="B1403" s="42" t="str">
        <f>IFERROR(__xludf.DUMMYFUNCTION("""COMPUTED_VALUE"""),"K/34/060125/3")</f>
        <v>K/34/060125/3</v>
      </c>
      <c r="C1403" s="42" t="str">
        <f>IFERROR(__xludf.DUMMYFUNCTION("""COMPUTED_VALUE"""),"M. 1860/ jagabaya III")</f>
        <v>M. 1860/ jagabaya III</v>
      </c>
      <c r="D1403" s="42" t="str">
        <f>IFERROR(__xludf.DUMMYFUNCTION("""COMPUTED_VALUE"""),"Berry")</f>
        <v>Berry</v>
      </c>
      <c r="E1403" s="42" t="str">
        <f>IFERROR(__xludf.DUMMYFUNCTION("""COMPUTED_VALUE"""),"DISERAHKAN")</f>
        <v>DISERAHKAN</v>
      </c>
      <c r="F1403" s="48">
        <f>IFERROR(__xludf.DUMMYFUNCTION("""COMPUTED_VALUE"""),45665.65172820602)</f>
        <v>45665.65173</v>
      </c>
      <c r="G1403" s="42" t="str">
        <f>IFERROR(__xludf.DUMMYFUNCTION("""COMPUTED_VALUE"""),"BAN JUAL BELI")</f>
        <v>BAN JUAL BELI</v>
      </c>
      <c r="H1403" s="42">
        <f t="shared" si="1"/>
        <v>645</v>
      </c>
    </row>
    <row r="1404" ht="22.5" customHeight="1">
      <c r="B1404" s="42" t="str">
        <f>IFERROR(__xludf.DUMMYFUNCTION("""COMPUTED_VALUE"""),"K/35/060125/4")</f>
        <v>K/35/060125/4</v>
      </c>
      <c r="C1404" s="42" t="str">
        <f>IFERROR(__xludf.DUMMYFUNCTION("""COMPUTED_VALUE"""),"M. 1896/ Jagabaya III")</f>
        <v>M. 1896/ Jagabaya III</v>
      </c>
      <c r="D1404" s="42" t="str">
        <f>IFERROR(__xludf.DUMMYFUNCTION("""COMPUTED_VALUE"""),"Berry")</f>
        <v>Berry</v>
      </c>
      <c r="E1404" s="42" t="str">
        <f>IFERROR(__xludf.DUMMYFUNCTION("""COMPUTED_VALUE"""),"DISERAHKAN")</f>
        <v>DISERAHKAN</v>
      </c>
      <c r="F1404" s="48">
        <f>IFERROR(__xludf.DUMMYFUNCTION("""COMPUTED_VALUE"""),45665.651856909724)</f>
        <v>45665.65186</v>
      </c>
      <c r="G1404" s="42" t="str">
        <f>IFERROR(__xludf.DUMMYFUNCTION("""COMPUTED_VALUE"""),"BN JUAL BELI")</f>
        <v>BN JUAL BELI</v>
      </c>
      <c r="H1404" s="42">
        <f t="shared" si="1"/>
        <v>646</v>
      </c>
    </row>
    <row r="1405" ht="22.5" customHeight="1">
      <c r="B1405" s="42" t="str">
        <f>IFERROR(__xludf.DUMMYFUNCTION("""COMPUTED_VALUE"""),"K/36/060125/5")</f>
        <v>K/36/060125/5</v>
      </c>
      <c r="C1405" s="42" t="str">
        <f>IFERROR(__xludf.DUMMYFUNCTION("""COMPUTED_VALUE"""),"M. 1976/ Jagabaya III")</f>
        <v>M. 1976/ Jagabaya III</v>
      </c>
      <c r="D1405" s="42" t="str">
        <f>IFERROR(__xludf.DUMMYFUNCTION("""COMPUTED_VALUE"""),"Berry")</f>
        <v>Berry</v>
      </c>
      <c r="E1405" s="42" t="str">
        <f>IFERROR(__xludf.DUMMYFUNCTION("""COMPUTED_VALUE"""),"DISERAHKAN")</f>
        <v>DISERAHKAN</v>
      </c>
      <c r="F1405" s="48">
        <f>IFERROR(__xludf.DUMMYFUNCTION("""COMPUTED_VALUE"""),45672.417347395836)</f>
        <v>45672.41735</v>
      </c>
      <c r="G1405" s="42" t="str">
        <f>IFERROR(__xludf.DUMMYFUNCTION("""COMPUTED_VALUE"""),"BN JUAL BELI")</f>
        <v>BN JUAL BELI</v>
      </c>
      <c r="H1405" s="42">
        <f t="shared" si="1"/>
        <v>647</v>
      </c>
    </row>
    <row r="1406" ht="22.5" customHeight="1">
      <c r="B1406" s="42" t="str">
        <f>IFERROR(__xludf.DUMMYFUNCTION("""COMPUTED_VALUE"""),"K/1/070125/1")</f>
        <v>K/1/070125/1</v>
      </c>
      <c r="C1406" s="42" t="str">
        <f>IFERROR(__xludf.DUMMYFUNCTION("""COMPUTED_VALUE"""),"M. 604/ tanjung Agung")</f>
        <v>M. 604/ tanjung Agung</v>
      </c>
      <c r="D1406" s="42"/>
      <c r="E1406" s="42"/>
      <c r="F1406" s="48" t="str">
        <f>IFERROR(__xludf.DUMMYFUNCTION("""COMPUTED_VALUE"""),"")</f>
        <v/>
      </c>
      <c r="G1406" s="42" t="str">
        <f>IFERROR(__xludf.DUMMYFUNCTION("""COMPUTED_VALUE"""),"BLOKIR")</f>
        <v>BLOKIR</v>
      </c>
      <c r="H1406" s="42">
        <f t="shared" si="1"/>
        <v>647</v>
      </c>
    </row>
    <row r="1407" ht="22.5" customHeight="1">
      <c r="B1407" s="42" t="str">
        <f>IFERROR(__xludf.DUMMYFUNCTION("""COMPUTED_VALUE"""),"K/2/070125/1")</f>
        <v>K/2/070125/1</v>
      </c>
      <c r="C1407" s="42" t="str">
        <f>IFERROR(__xludf.DUMMYFUNCTION("""COMPUTED_VALUE"""),"M. 425/ Teluk betung")</f>
        <v>M. 425/ Teluk betung</v>
      </c>
      <c r="D1407" s="42" t="str">
        <f>IFERROR(__xludf.DUMMYFUNCTION("""COMPUTED_VALUE"""),"Berry")</f>
        <v>Berry</v>
      </c>
      <c r="E1407" s="42" t="str">
        <f>IFERROR(__xludf.DUMMYFUNCTION("""COMPUTED_VALUE"""),"DISERAHKAN")</f>
        <v>DISERAHKAN</v>
      </c>
      <c r="F1407" s="48">
        <f>IFERROR(__xludf.DUMMYFUNCTION("""COMPUTED_VALUE"""),45728.44894743056)</f>
        <v>45728.44895</v>
      </c>
      <c r="G1407" s="42" t="str">
        <f>IFERROR(__xludf.DUMMYFUNCTION("""COMPUTED_VALUE"""),"BN WARIS")</f>
        <v>BN WARIS</v>
      </c>
      <c r="H1407" s="42">
        <f t="shared" si="1"/>
        <v>648</v>
      </c>
    </row>
    <row r="1408" ht="22.5" customHeight="1">
      <c r="B1408" s="42" t="str">
        <f>IFERROR(__xludf.DUMMYFUNCTION("""COMPUTED_VALUE"""),"K/3/070125/1")</f>
        <v>K/3/070125/1</v>
      </c>
      <c r="C1408" s="42" t="str">
        <f>IFERROR(__xludf.DUMMYFUNCTION("""COMPUTED_VALUE"""),"M. 304/ Pahoman")</f>
        <v>M. 304/ Pahoman</v>
      </c>
      <c r="D1408" s="42" t="str">
        <f>IFERROR(__xludf.DUMMYFUNCTION("""COMPUTED_VALUE"""),"Berry")</f>
        <v>Berry</v>
      </c>
      <c r="E1408" s="42" t="str">
        <f>IFERROR(__xludf.DUMMYFUNCTION("""COMPUTED_VALUE"""),"DISERAHKAN")</f>
        <v>DISERAHKAN</v>
      </c>
      <c r="F1408" s="48">
        <f>IFERROR(__xludf.DUMMYFUNCTION("""COMPUTED_VALUE"""),45672.41813842593)</f>
        <v>45672.41814</v>
      </c>
      <c r="G1408" s="42" t="str">
        <f>IFERROR(__xludf.DUMMYFUNCTION("""COMPUTED_VALUE"""),"BN JUAL BELI")</f>
        <v>BN JUAL BELI</v>
      </c>
      <c r="H1408" s="42">
        <f t="shared" si="1"/>
        <v>649</v>
      </c>
    </row>
    <row r="1409" ht="22.5" customHeight="1">
      <c r="B1409" s="42" t="str">
        <f>IFERROR(__xludf.DUMMYFUNCTION("""COMPUTED_VALUE"""),"L/4/070125/1")</f>
        <v>L/4/070125/1</v>
      </c>
      <c r="C1409" s="42" t="str">
        <f>IFERROR(__xludf.DUMMYFUNCTION("""COMPUTED_VALUE"""),"SRENGSEM")</f>
        <v>SRENGSEM</v>
      </c>
      <c r="D1409" s="42"/>
      <c r="E1409" s="42"/>
      <c r="F1409" s="48" t="str">
        <f>IFERROR(__xludf.DUMMYFUNCTION("""COMPUTED_VALUE"""),"")</f>
        <v/>
      </c>
      <c r="G1409" s="42" t="str">
        <f>IFERROR(__xludf.DUMMYFUNCTION("""COMPUTED_VALUE"""),"PENDAFTARAN HAK")</f>
        <v>PENDAFTARAN HAK</v>
      </c>
      <c r="H1409" s="42">
        <f t="shared" si="1"/>
        <v>649</v>
      </c>
    </row>
    <row r="1410" ht="22.5" customHeight="1">
      <c r="B1410" s="42" t="str">
        <f>IFERROR(__xludf.DUMMYFUNCTION("""COMPUTED_VALUE"""),"K/5/070125/1")</f>
        <v>K/5/070125/1</v>
      </c>
      <c r="C1410" s="42" t="str">
        <f>IFERROR(__xludf.DUMMYFUNCTION("""COMPUTED_VALUE"""),"M. 141/ Kelapa Tiga Permai")</f>
        <v>M. 141/ Kelapa Tiga Permai</v>
      </c>
      <c r="D1410" s="42" t="str">
        <f>IFERROR(__xludf.DUMMYFUNCTION("""COMPUTED_VALUE"""),"Berry")</f>
        <v>Berry</v>
      </c>
      <c r="E1410" s="42" t="str">
        <f>IFERROR(__xludf.DUMMYFUNCTION("""COMPUTED_VALUE"""),"PROSES")</f>
        <v>PROSES</v>
      </c>
      <c r="F1410" s="48" t="str">
        <f>IFERROR(__xludf.DUMMYFUNCTION("""COMPUTED_VALUE"""),"")</f>
        <v/>
      </c>
      <c r="G1410" s="42" t="str">
        <f>IFERROR(__xludf.DUMMYFUNCTION("""COMPUTED_VALUE"""),"BN Jual Beli")</f>
        <v>BN Jual Beli</v>
      </c>
      <c r="H1410" s="42">
        <f t="shared" si="1"/>
        <v>649</v>
      </c>
    </row>
    <row r="1411" ht="22.5" customHeight="1">
      <c r="B1411" s="42" t="str">
        <f>IFERROR(__xludf.DUMMYFUNCTION("""COMPUTED_VALUE"""),"L/6/070125/1")</f>
        <v>L/6/070125/1</v>
      </c>
      <c r="C1411" s="42" t="str">
        <f>IFERROR(__xludf.DUMMYFUNCTION("""COMPUTED_VALUE"""),"HGB 326/WAY KANDIS")</f>
        <v>HGB 326/WAY KANDIS</v>
      </c>
      <c r="D1411" s="42" t="str">
        <f>IFERROR(__xludf.DUMMYFUNCTION("""COMPUTED_VALUE"""),"Berry")</f>
        <v>Berry</v>
      </c>
      <c r="E1411" s="42" t="str">
        <f>IFERROR(__xludf.DUMMYFUNCTION("""COMPUTED_VALUE"""),"DISERAHKAN")</f>
        <v>DISERAHKAN</v>
      </c>
      <c r="F1411" s="48">
        <f>IFERROR(__xludf.DUMMYFUNCTION("""COMPUTED_VALUE"""),45758.48604853009)</f>
        <v>45758.48605</v>
      </c>
      <c r="G1411" s="42" t="str">
        <f>IFERROR(__xludf.DUMMYFUNCTION("""COMPUTED_VALUE"""),"ROYA")</f>
        <v>ROYA</v>
      </c>
      <c r="H1411" s="42">
        <f t="shared" si="1"/>
        <v>650</v>
      </c>
    </row>
    <row r="1412" ht="22.5" customHeight="1">
      <c r="B1412" s="42" t="str">
        <f>IFERROR(__xludf.DUMMYFUNCTION("""COMPUTED_VALUE"""),"K/7/070125/1")</f>
        <v>K/7/070125/1</v>
      </c>
      <c r="C1412" s="42" t="str">
        <f>IFERROR(__xludf.DUMMYFUNCTION("""COMPUTED_VALUE"""),"M. 1163/ Bumi Kedamaian")</f>
        <v>M. 1163/ Bumi Kedamaian</v>
      </c>
      <c r="D1412" s="42" t="str">
        <f>IFERROR(__xludf.DUMMYFUNCTION("""COMPUTED_VALUE"""),"Berry")</f>
        <v>Berry</v>
      </c>
      <c r="E1412" s="42" t="str">
        <f>IFERROR(__xludf.DUMMYFUNCTION("""COMPUTED_VALUE"""),"DISERAHKAN")</f>
        <v>DISERAHKAN</v>
      </c>
      <c r="F1412" s="48">
        <f>IFERROR(__xludf.DUMMYFUNCTION("""COMPUTED_VALUE"""),45670.440861863426)</f>
        <v>45670.44086</v>
      </c>
      <c r="G1412" s="42" t="str">
        <f>IFERROR(__xludf.DUMMYFUNCTION("""COMPUTED_VALUE"""),"BN Jual Beli")</f>
        <v>BN Jual Beli</v>
      </c>
      <c r="H1412" s="42">
        <f t="shared" si="1"/>
        <v>651</v>
      </c>
    </row>
    <row r="1413" ht="22.5" customHeight="1">
      <c r="B1413" s="42" t="str">
        <f>IFERROR(__xludf.DUMMYFUNCTION("""COMPUTED_VALUE"""),"K/8/070125/1")</f>
        <v>K/8/070125/1</v>
      </c>
      <c r="C1413" s="42" t="str">
        <f>IFERROR(__xludf.DUMMYFUNCTION("""COMPUTED_VALUE"""),"M. 11129/ Tanjung Baru")</f>
        <v>M. 11129/ Tanjung Baru</v>
      </c>
      <c r="D1413" s="42" t="str">
        <f>IFERROR(__xludf.DUMMYFUNCTION("""COMPUTED_VALUE"""),"Berry")</f>
        <v>Berry</v>
      </c>
      <c r="E1413" s="42" t="str">
        <f>IFERROR(__xludf.DUMMYFUNCTION("""COMPUTED_VALUE"""),"DISERAHKAN")</f>
        <v>DISERAHKAN</v>
      </c>
      <c r="F1413" s="48">
        <f>IFERROR(__xludf.DUMMYFUNCTION("""COMPUTED_VALUE"""),45670.440861863426)</f>
        <v>45670.44086</v>
      </c>
      <c r="G1413" s="42" t="str">
        <f>IFERROR(__xludf.DUMMYFUNCTION("""COMPUTED_VALUE"""),"Roya")</f>
        <v>Roya</v>
      </c>
      <c r="H1413" s="42">
        <f t="shared" si="1"/>
        <v>652</v>
      </c>
    </row>
    <row r="1414" ht="22.5" customHeight="1">
      <c r="B1414" s="42" t="str">
        <f>IFERROR(__xludf.DUMMYFUNCTION("""COMPUTED_VALUE"""),"L/10/070125/1")</f>
        <v>L/10/070125/1</v>
      </c>
      <c r="C1414" s="42" t="str">
        <f>IFERROR(__xludf.DUMMYFUNCTION("""COMPUTED_VALUE"""),"HM 506/KUPANG KOTA")</f>
        <v>HM 506/KUPANG KOTA</v>
      </c>
      <c r="D1414" s="42" t="str">
        <f>IFERROR(__xludf.DUMMYFUNCTION("""COMPUTED_VALUE"""),"Berry")</f>
        <v>Berry</v>
      </c>
      <c r="E1414" s="42" t="str">
        <f>IFERROR(__xludf.DUMMYFUNCTION("""COMPUTED_VALUE"""),"DISERAHKAN")</f>
        <v>DISERAHKAN</v>
      </c>
      <c r="F1414" s="48">
        <f>IFERROR(__xludf.DUMMYFUNCTION("""COMPUTED_VALUE"""),45670.440861863426)</f>
        <v>45670.44086</v>
      </c>
      <c r="G1414" s="42" t="str">
        <f>IFERROR(__xludf.DUMMYFUNCTION("""COMPUTED_VALUE"""),"ROYA")</f>
        <v>ROYA</v>
      </c>
      <c r="H1414" s="42">
        <f t="shared" si="1"/>
        <v>653</v>
      </c>
    </row>
    <row r="1415" ht="22.5" customHeight="1">
      <c r="B1415" s="42" t="str">
        <f>IFERROR(__xludf.DUMMYFUNCTION("""COMPUTED_VALUE""")," K/9/070125/1")</f>
        <v> K/9/070125/1</v>
      </c>
      <c r="C1415" s="42" t="str">
        <f>IFERROR(__xludf.DUMMYFUNCTION("""COMPUTED_VALUE"""),"B. 490/ sumur Putri")</f>
        <v>B. 490/ sumur Putri</v>
      </c>
      <c r="D1415" s="42" t="str">
        <f>IFERROR(__xludf.DUMMYFUNCTION("""COMPUTED_VALUE"""),"Berry")</f>
        <v>Berry</v>
      </c>
      <c r="E1415" s="42" t="str">
        <f>IFERROR(__xludf.DUMMYFUNCTION("""COMPUTED_VALUE"""),"DISERAHKAN")</f>
        <v>DISERAHKAN</v>
      </c>
      <c r="F1415" s="48">
        <f>IFERROR(__xludf.DUMMYFUNCTION("""COMPUTED_VALUE"""),45702.409086898144)</f>
        <v>45702.40909</v>
      </c>
      <c r="G1415" s="42" t="str">
        <f>IFERROR(__xludf.DUMMYFUNCTION("""COMPUTED_VALUE"""),"BN JUAL BELI")</f>
        <v>BN JUAL BELI</v>
      </c>
      <c r="H1415" s="42">
        <f t="shared" si="1"/>
        <v>654</v>
      </c>
    </row>
    <row r="1416" ht="22.5" customHeight="1">
      <c r="B1416" s="42" t="str">
        <f>IFERROR(__xludf.DUMMYFUNCTION("""COMPUTED_VALUE"""),"K/11/070125/1")</f>
        <v>K/11/070125/1</v>
      </c>
      <c r="C1416" s="42" t="str">
        <f>IFERROR(__xludf.DUMMYFUNCTION("""COMPUTED_VALUE"""),"M. 1044/ Tanjung Gading")</f>
        <v>M. 1044/ Tanjung Gading</v>
      </c>
      <c r="D1416" s="42"/>
      <c r="E1416" s="42"/>
      <c r="F1416" s="48" t="str">
        <f>IFERROR(__xludf.DUMMYFUNCTION("""COMPUTED_VALUE"""),"")</f>
        <v/>
      </c>
      <c r="G1416" s="42" t="str">
        <f>IFERROR(__xludf.DUMMYFUNCTION("""COMPUTED_VALUE"""),"SKPT LELANG")</f>
        <v>SKPT LELANG</v>
      </c>
      <c r="H1416" s="42">
        <f t="shared" si="1"/>
        <v>654</v>
      </c>
    </row>
    <row r="1417" ht="22.5" customHeight="1">
      <c r="B1417" s="42" t="str">
        <f>IFERROR(__xludf.DUMMYFUNCTION("""COMPUTED_VALUE"""),"K/12/070125/2")</f>
        <v>K/12/070125/2</v>
      </c>
      <c r="C1417" s="42" t="str">
        <f>IFERROR(__xludf.DUMMYFUNCTION("""COMPUTED_VALUE"""),"M. 1042/ Tanjung Gading")</f>
        <v>M. 1042/ Tanjung Gading</v>
      </c>
      <c r="D1417" s="42"/>
      <c r="E1417" s="42"/>
      <c r="F1417" s="48" t="str">
        <f>IFERROR(__xludf.DUMMYFUNCTION("""COMPUTED_VALUE"""),"")</f>
        <v/>
      </c>
      <c r="G1417" s="42" t="str">
        <f>IFERROR(__xludf.DUMMYFUNCTION("""COMPUTED_VALUE"""),"SKPT LELANG")</f>
        <v>SKPT LELANG</v>
      </c>
      <c r="H1417" s="42">
        <f t="shared" si="1"/>
        <v>654</v>
      </c>
    </row>
    <row r="1418" ht="22.5" customHeight="1">
      <c r="B1418" s="42" t="str">
        <f>IFERROR(__xludf.DUMMYFUNCTION("""COMPUTED_VALUE"""),"K/13/070125/3")</f>
        <v>K/13/070125/3</v>
      </c>
      <c r="C1418" s="42" t="str">
        <f>IFERROR(__xludf.DUMMYFUNCTION("""COMPUTED_VALUE"""),"M. 1043/ Tanjung Gading")</f>
        <v>M. 1043/ Tanjung Gading</v>
      </c>
      <c r="D1418" s="42"/>
      <c r="E1418" s="42"/>
      <c r="F1418" s="48" t="str">
        <f>IFERROR(__xludf.DUMMYFUNCTION("""COMPUTED_VALUE"""),"")</f>
        <v/>
      </c>
      <c r="G1418" s="42" t="str">
        <f>IFERROR(__xludf.DUMMYFUNCTION("""COMPUTED_VALUE"""),"SKPT LELANG")</f>
        <v>SKPT LELANG</v>
      </c>
      <c r="H1418" s="42">
        <f t="shared" si="1"/>
        <v>654</v>
      </c>
    </row>
    <row r="1419" ht="22.5" customHeight="1">
      <c r="B1419" s="42" t="str">
        <f>IFERROR(__xludf.DUMMYFUNCTION("""COMPUTED_VALUE"""),"K/14/070125/1")</f>
        <v>K/14/070125/1</v>
      </c>
      <c r="C1419" s="42" t="str">
        <f>IFERROR(__xludf.DUMMYFUNCTION("""COMPUTED_VALUE"""),"M. 1517/ Rajabasa Nunyai")</f>
        <v>M. 1517/ Rajabasa Nunyai</v>
      </c>
      <c r="D1419" s="42" t="str">
        <f>IFERROR(__xludf.DUMMYFUNCTION("""COMPUTED_VALUE"""),"Berry")</f>
        <v>Berry</v>
      </c>
      <c r="E1419" s="42" t="str">
        <f>IFERROR(__xludf.DUMMYFUNCTION("""COMPUTED_VALUE"""),"DISERAHKAN")</f>
        <v>DISERAHKAN</v>
      </c>
      <c r="F1419" s="48">
        <f>IFERROR(__xludf.DUMMYFUNCTION("""COMPUTED_VALUE"""),45670.440861863426)</f>
        <v>45670.44086</v>
      </c>
      <c r="G1419" s="42" t="str">
        <f>IFERROR(__xludf.DUMMYFUNCTION("""COMPUTED_VALUE"""),"BN Jual Beli")</f>
        <v>BN Jual Beli</v>
      </c>
      <c r="H1419" s="42">
        <f t="shared" si="1"/>
        <v>655</v>
      </c>
    </row>
    <row r="1420" ht="22.5" customHeight="1">
      <c r="B1420" s="42" t="str">
        <f>IFERROR(__xludf.DUMMYFUNCTION("""COMPUTED_VALUE"""),"K/15/070125/1")</f>
        <v>K/15/070125/1</v>
      </c>
      <c r="C1420" s="42" t="str">
        <f>IFERROR(__xludf.DUMMYFUNCTION("""COMPUTED_VALUE"""),"NIBEL M 3493/KEMILING RAYA")</f>
        <v>NIBEL M 3493/KEMILING RAYA</v>
      </c>
      <c r="D1420" s="42"/>
      <c r="E1420" s="42"/>
      <c r="F1420" s="48" t="str">
        <f>IFERROR(__xludf.DUMMYFUNCTION("""COMPUTED_VALUE"""),"")</f>
        <v/>
      </c>
      <c r="G1420" s="42" t="str">
        <f>IFERROR(__xludf.DUMMYFUNCTION("""COMPUTED_VALUE"""),"PTPGT")</f>
        <v>PTPGT</v>
      </c>
      <c r="H1420" s="42">
        <f t="shared" si="1"/>
        <v>655</v>
      </c>
    </row>
    <row r="1421" ht="22.5" customHeight="1">
      <c r="B1421" s="42" t="str">
        <f>IFERROR(__xludf.DUMMYFUNCTION("""COMPUTED_VALUE"""),"K/16/070125/1")</f>
        <v>K/16/070125/1</v>
      </c>
      <c r="C1421" s="42" t="str">
        <f>IFERROR(__xludf.DUMMYFUNCTION("""COMPUTED_VALUE"""),"M. 13252/ Sukarame I")</f>
        <v>M. 13252/ Sukarame I</v>
      </c>
      <c r="D1421" s="42" t="str">
        <f>IFERROR(__xludf.DUMMYFUNCTION("""COMPUTED_VALUE"""),"Berry")</f>
        <v>Berry</v>
      </c>
      <c r="E1421" s="42" t="str">
        <f>IFERROR(__xludf.DUMMYFUNCTION("""COMPUTED_VALUE"""),"DISERAHKAN")</f>
        <v>DISERAHKAN</v>
      </c>
      <c r="F1421" s="48">
        <f>IFERROR(__xludf.DUMMYFUNCTION("""COMPUTED_VALUE"""),45670.440861863426)</f>
        <v>45670.44086</v>
      </c>
      <c r="G1421" s="42" t="str">
        <f>IFERROR(__xludf.DUMMYFUNCTION("""COMPUTED_VALUE"""),"ROYA")</f>
        <v>ROYA</v>
      </c>
      <c r="H1421" s="42">
        <f t="shared" si="1"/>
        <v>656</v>
      </c>
    </row>
    <row r="1422" ht="22.5" customHeight="1">
      <c r="B1422" s="42" t="str">
        <f>IFERROR(__xludf.DUMMYFUNCTION("""COMPUTED_VALUE"""),"K/17/070125/1")</f>
        <v>K/17/070125/1</v>
      </c>
      <c r="C1422" s="42" t="str">
        <f>IFERROR(__xludf.DUMMYFUNCTION("""COMPUTED_VALUE"""),"M. 4014/ Rajabasa Jaya")</f>
        <v>M. 4014/ Rajabasa Jaya</v>
      </c>
      <c r="D1422" s="42" t="str">
        <f>IFERROR(__xludf.DUMMYFUNCTION("""COMPUTED_VALUE"""),"Berry")</f>
        <v>Berry</v>
      </c>
      <c r="E1422" s="42" t="str">
        <f>IFERROR(__xludf.DUMMYFUNCTION("""COMPUTED_VALUE"""),"DISERAHKAN")</f>
        <v>DISERAHKAN</v>
      </c>
      <c r="F1422" s="48">
        <f>IFERROR(__xludf.DUMMYFUNCTION("""COMPUTED_VALUE"""),45670.440861863426)</f>
        <v>45670.44086</v>
      </c>
      <c r="G1422" s="42" t="str">
        <f>IFERROR(__xludf.DUMMYFUNCTION("""COMPUTED_VALUE"""),"Pemecahan")</f>
        <v>Pemecahan</v>
      </c>
      <c r="H1422" s="42">
        <f t="shared" si="1"/>
        <v>657</v>
      </c>
    </row>
    <row r="1423" ht="22.5" customHeight="1">
      <c r="B1423" s="42" t="str">
        <f>IFERROR(__xludf.DUMMYFUNCTION("""COMPUTED_VALUE"""),"K/18/070125/2")</f>
        <v>K/18/070125/2</v>
      </c>
      <c r="C1423" s="42" t="str">
        <f>IFERROR(__xludf.DUMMYFUNCTION("""COMPUTED_VALUE"""),"M. 5059/ Rajabasa Jaya")</f>
        <v>M. 5059/ Rajabasa Jaya</v>
      </c>
      <c r="D1423" s="42" t="str">
        <f>IFERROR(__xludf.DUMMYFUNCTION("""COMPUTED_VALUE"""),"Berry")</f>
        <v>Berry</v>
      </c>
      <c r="E1423" s="42" t="str">
        <f>IFERROR(__xludf.DUMMYFUNCTION("""COMPUTED_VALUE"""),"DISERAHKAN")</f>
        <v>DISERAHKAN</v>
      </c>
      <c r="F1423" s="48">
        <f>IFERROR(__xludf.DUMMYFUNCTION("""COMPUTED_VALUE"""),45670.440861863426)</f>
        <v>45670.44086</v>
      </c>
      <c r="G1423" s="42" t="str">
        <f>IFERROR(__xludf.DUMMYFUNCTION("""COMPUTED_VALUE"""),"Pemecahan")</f>
        <v>Pemecahan</v>
      </c>
      <c r="H1423" s="42">
        <f t="shared" si="1"/>
        <v>658</v>
      </c>
    </row>
    <row r="1424" ht="22.5" customHeight="1">
      <c r="B1424" s="42" t="str">
        <f>IFERROR(__xludf.DUMMYFUNCTION("""COMPUTED_VALUE"""),"L/20/070125/1")</f>
        <v>L/20/070125/1</v>
      </c>
      <c r="C1424" s="42" t="str">
        <f>IFERROR(__xludf.DUMMYFUNCTION("""COMPUTED_VALUE"""),"HM 10983/SUKARAME")</f>
        <v>HM 10983/SUKARAME</v>
      </c>
      <c r="D1424" s="42" t="str">
        <f>IFERROR(__xludf.DUMMYFUNCTION("""COMPUTED_VALUE"""),"Berry")</f>
        <v>Berry</v>
      </c>
      <c r="E1424" s="42" t="str">
        <f>IFERROR(__xludf.DUMMYFUNCTION("""COMPUTED_VALUE"""),"DISERAHKAN")</f>
        <v>DISERAHKAN</v>
      </c>
      <c r="F1424" s="48">
        <f>IFERROR(__xludf.DUMMYFUNCTION("""COMPUTED_VALUE"""),45670.440861863426)</f>
        <v>45670.44086</v>
      </c>
      <c r="G1424" s="42" t="str">
        <f>IFERROR(__xludf.DUMMYFUNCTION("""COMPUTED_VALUE"""),"BN WARIS")</f>
        <v>BN WARIS</v>
      </c>
      <c r="H1424" s="42">
        <f t="shared" si="1"/>
        <v>659</v>
      </c>
    </row>
    <row r="1425" ht="22.5" customHeight="1">
      <c r="B1425" s="42" t="str">
        <f>IFERROR(__xludf.DUMMYFUNCTION("""COMPUTED_VALUE"""),"K/19/070125/1")</f>
        <v>K/19/070125/1</v>
      </c>
      <c r="C1425" s="42" t="str">
        <f>IFERROR(__xludf.DUMMYFUNCTION("""COMPUTED_VALUE"""),"M. 37/ Rajabasa Pemuka")</f>
        <v>M. 37/ Rajabasa Pemuka</v>
      </c>
      <c r="D1425" s="42" t="str">
        <f>IFERROR(__xludf.DUMMYFUNCTION("""COMPUTED_VALUE"""),"Berry")</f>
        <v>Berry</v>
      </c>
      <c r="E1425" s="42" t="str">
        <f>IFERROR(__xludf.DUMMYFUNCTION("""COMPUTED_VALUE"""),"DISERAHKAN")</f>
        <v>DISERAHKAN</v>
      </c>
      <c r="F1425" s="48">
        <f>IFERROR(__xludf.DUMMYFUNCTION("""COMPUTED_VALUE"""),45670.440861863426)</f>
        <v>45670.44086</v>
      </c>
      <c r="G1425" s="42" t="str">
        <f>IFERROR(__xludf.DUMMYFUNCTION("""COMPUTED_VALUE"""),"ROYA")</f>
        <v>ROYA</v>
      </c>
      <c r="H1425" s="42">
        <f t="shared" si="1"/>
        <v>660</v>
      </c>
    </row>
    <row r="1426" ht="22.5" customHeight="1">
      <c r="B1426" s="42" t="str">
        <f>IFERROR(__xludf.DUMMYFUNCTION("""COMPUTED_VALUE"""),"K/21/070125/1")</f>
        <v>K/21/070125/1</v>
      </c>
      <c r="C1426" s="42" t="str">
        <f>IFERROR(__xludf.DUMMYFUNCTION("""COMPUTED_VALUE"""),"M. 11580/ Sukarame")</f>
        <v>M. 11580/ Sukarame</v>
      </c>
      <c r="D1426" s="42" t="str">
        <f>IFERROR(__xludf.DUMMYFUNCTION("""COMPUTED_VALUE"""),"David")</f>
        <v>David</v>
      </c>
      <c r="E1426" s="42" t="str">
        <f>IFERROR(__xludf.DUMMYFUNCTION("""COMPUTED_VALUE"""),"PROSES")</f>
        <v>PROSES</v>
      </c>
      <c r="F1426" s="48" t="str">
        <f>IFERROR(__xludf.DUMMYFUNCTION("""COMPUTED_VALUE"""),"")</f>
        <v/>
      </c>
      <c r="G1426" s="42" t="str">
        <f>IFERROR(__xludf.DUMMYFUNCTION("""COMPUTED_VALUE"""),"BN HIBAH")</f>
        <v>BN HIBAH</v>
      </c>
      <c r="H1426" s="42">
        <f t="shared" si="1"/>
        <v>660</v>
      </c>
    </row>
    <row r="1427" ht="22.5" customHeight="1">
      <c r="B1427" s="42" t="str">
        <f>IFERROR(__xludf.DUMMYFUNCTION("""COMPUTED_VALUE"""),"L/1/080125/1")</f>
        <v>L/1/080125/1</v>
      </c>
      <c r="C1427" s="42" t="str">
        <f>IFERROR(__xludf.DUMMYFUNCTION("""COMPUTED_VALUE"""),"TANJUNG SENANG")</f>
        <v>TANJUNG SENANG</v>
      </c>
      <c r="D1427" s="42"/>
      <c r="E1427" s="42"/>
      <c r="F1427" s="48" t="str">
        <f>IFERROR(__xludf.DUMMYFUNCTION("""COMPUTED_VALUE"""),"")</f>
        <v/>
      </c>
      <c r="G1427" s="42" t="str">
        <f>IFERROR(__xludf.DUMMYFUNCTION("""COMPUTED_VALUE"""),"ASPEK")</f>
        <v>ASPEK</v>
      </c>
      <c r="H1427" s="42">
        <f t="shared" si="1"/>
        <v>660</v>
      </c>
    </row>
    <row r="1428" ht="22.5" customHeight="1">
      <c r="B1428" s="42" t="str">
        <f>IFERROR(__xludf.DUMMYFUNCTION("""COMPUTED_VALUE"""),"L/2/080125/1")</f>
        <v>L/2/080125/1</v>
      </c>
      <c r="C1428" s="42" t="str">
        <f>IFERROR(__xludf.DUMMYFUNCTION("""COMPUTED_VALUE"""),"HGB 678/KEDAMAIAN")</f>
        <v>HGB 678/KEDAMAIAN</v>
      </c>
      <c r="D1428" s="42" t="str">
        <f>IFERROR(__xludf.DUMMYFUNCTION("""COMPUTED_VALUE"""),"David")</f>
        <v>David</v>
      </c>
      <c r="E1428" s="42" t="str">
        <f>IFERROR(__xludf.DUMMYFUNCTION("""COMPUTED_VALUE"""),"DISERAHKAN")</f>
        <v>DISERAHKAN</v>
      </c>
      <c r="F1428" s="48">
        <f>IFERROR(__xludf.DUMMYFUNCTION("""COMPUTED_VALUE"""),45671.44495278935)</f>
        <v>45671.44495</v>
      </c>
      <c r="G1428" s="42" t="str">
        <f>IFERROR(__xludf.DUMMYFUNCTION("""COMPUTED_VALUE"""),"PH")</f>
        <v>PH</v>
      </c>
      <c r="H1428" s="42">
        <f t="shared" si="1"/>
        <v>661</v>
      </c>
    </row>
    <row r="1429" ht="22.5" customHeight="1">
      <c r="B1429" s="42" t="str">
        <f>IFERROR(__xludf.DUMMYFUNCTION("""COMPUTED_VALUE"""),"K/3/080125/1")</f>
        <v>K/3/080125/1</v>
      </c>
      <c r="C1429" s="42" t="str">
        <f>IFERROR(__xludf.DUMMYFUNCTION("""COMPUTED_VALUE"""),"M.15007/RAJABASA")</f>
        <v>M.15007/RAJABASA</v>
      </c>
      <c r="D1429" s="42" t="str">
        <f>IFERROR(__xludf.DUMMYFUNCTION("""COMPUTED_VALUE"""),"David")</f>
        <v>David</v>
      </c>
      <c r="E1429" s="42" t="str">
        <f>IFERROR(__xludf.DUMMYFUNCTION("""COMPUTED_VALUE"""),"DISERAHKAN")</f>
        <v>DISERAHKAN</v>
      </c>
      <c r="F1429" s="48">
        <f>IFERROR(__xludf.DUMMYFUNCTION("""COMPUTED_VALUE"""),45671.43989185186)</f>
        <v>45671.43989</v>
      </c>
      <c r="G1429" s="42" t="str">
        <f>IFERROR(__xludf.DUMMYFUNCTION("""COMPUTED_VALUE"""),"BN JUAL BELI")</f>
        <v>BN JUAL BELI</v>
      </c>
      <c r="H1429" s="42">
        <f t="shared" si="1"/>
        <v>662</v>
      </c>
    </row>
    <row r="1430" ht="22.5" customHeight="1">
      <c r="B1430" s="42" t="str">
        <f>IFERROR(__xludf.DUMMYFUNCTION("""COMPUTED_VALUE"""),"L/5/080125/1")</f>
        <v>L/5/080125/1</v>
      </c>
      <c r="C1430" s="42" t="str">
        <f>IFERROR(__xludf.DUMMYFUNCTION("""COMPUTED_VALUE"""),"HM 1762/SUSUNAN BARU")</f>
        <v>HM 1762/SUSUNAN BARU</v>
      </c>
      <c r="D1430" s="42" t="str">
        <f>IFERROR(__xludf.DUMMYFUNCTION("""COMPUTED_VALUE"""),"David")</f>
        <v>David</v>
      </c>
      <c r="E1430" s="42" t="str">
        <f>IFERROR(__xludf.DUMMYFUNCTION("""COMPUTED_VALUE"""),"DISERAHKAN")</f>
        <v>DISERAHKAN</v>
      </c>
      <c r="F1430" s="48">
        <f>IFERROR(__xludf.DUMMYFUNCTION("""COMPUTED_VALUE"""),45670.440861863426)</f>
        <v>45670.44086</v>
      </c>
      <c r="G1430" s="42" t="str">
        <f>IFERROR(__xludf.DUMMYFUNCTION("""COMPUTED_VALUE"""),"ROYA")</f>
        <v>ROYA</v>
      </c>
      <c r="H1430" s="42">
        <f t="shared" si="1"/>
        <v>663</v>
      </c>
    </row>
    <row r="1431" ht="22.5" customHeight="1">
      <c r="B1431" s="42" t="str">
        <f>IFERROR(__xludf.DUMMYFUNCTION("""COMPUTED_VALUE"""),"L/6/080125/1")</f>
        <v>L/6/080125/1</v>
      </c>
      <c r="C1431" s="42" t="str">
        <f>IFERROR(__xludf.DUMMYFUNCTION("""COMPUTED_VALUE"""),"NIB 13444/PWK")</f>
        <v>NIB 13444/PWK</v>
      </c>
      <c r="D1431" s="42"/>
      <c r="E1431" s="42"/>
      <c r="F1431" s="48" t="str">
        <f>IFERROR(__xludf.DUMMYFUNCTION("""COMPUTED_VALUE"""),"")</f>
        <v/>
      </c>
      <c r="G1431" s="42" t="str">
        <f>IFERROR(__xludf.DUMMYFUNCTION("""COMPUTED_VALUE"""),"PH")</f>
        <v>PH</v>
      </c>
      <c r="H1431" s="42">
        <f t="shared" si="1"/>
        <v>663</v>
      </c>
    </row>
    <row r="1432" ht="22.5" customHeight="1">
      <c r="B1432" s="42" t="str">
        <f>IFERROR(__xludf.DUMMYFUNCTION("""COMPUTED_VALUE"""),"K/4/080125/1")</f>
        <v>K/4/080125/1</v>
      </c>
      <c r="C1432" s="42" t="str">
        <f>IFERROR(__xludf.DUMMYFUNCTION("""COMPUTED_VALUE"""),"M. 949/ Langkapura")</f>
        <v>M. 949/ Langkapura</v>
      </c>
      <c r="D1432" s="42" t="str">
        <f>IFERROR(__xludf.DUMMYFUNCTION("""COMPUTED_VALUE"""),"David")</f>
        <v>David</v>
      </c>
      <c r="E1432" s="42" t="str">
        <f>IFERROR(__xludf.DUMMYFUNCTION("""COMPUTED_VALUE"""),"DISERAHKAN")</f>
        <v>DISERAHKAN</v>
      </c>
      <c r="F1432" s="48">
        <f>IFERROR(__xludf.DUMMYFUNCTION("""COMPUTED_VALUE"""),45671.439462511575)</f>
        <v>45671.43946</v>
      </c>
      <c r="G1432" s="42" t="str">
        <f>IFERROR(__xludf.DUMMYFUNCTION("""COMPUTED_VALUE"""),"ROYA")</f>
        <v>ROYA</v>
      </c>
      <c r="H1432" s="42">
        <f t="shared" si="1"/>
        <v>664</v>
      </c>
    </row>
    <row r="1433" ht="22.5" customHeight="1">
      <c r="B1433" s="42" t="str">
        <f>IFERROR(__xludf.DUMMYFUNCTION("""COMPUTED_VALUE"""),"L/7/080125/1")</f>
        <v>L/7/080125/1</v>
      </c>
      <c r="C1433" s="42" t="str">
        <f>IFERROR(__xludf.DUMMYFUNCTION("""COMPUTED_VALUE"""),"HM 1163/SUKABUMI")</f>
        <v>HM 1163/SUKABUMI</v>
      </c>
      <c r="D1433" s="42" t="str">
        <f>IFERROR(__xludf.DUMMYFUNCTION("""COMPUTED_VALUE"""),"David")</f>
        <v>David</v>
      </c>
      <c r="E1433" s="42" t="str">
        <f>IFERROR(__xludf.DUMMYFUNCTION("""COMPUTED_VALUE"""),"PROSES")</f>
        <v>PROSES</v>
      </c>
      <c r="F1433" s="48" t="str">
        <f>IFERROR(__xludf.DUMMYFUNCTION("""COMPUTED_VALUE"""),"")</f>
        <v/>
      </c>
      <c r="G1433" s="42" t="str">
        <f>IFERROR(__xludf.DUMMYFUNCTION("""COMPUTED_VALUE"""),"PEMECAHAN")</f>
        <v>PEMECAHAN</v>
      </c>
      <c r="H1433" s="42">
        <f t="shared" si="1"/>
        <v>664</v>
      </c>
    </row>
    <row r="1434" ht="22.5" customHeight="1">
      <c r="B1434" s="42" t="str">
        <f>IFERROR(__xludf.DUMMYFUNCTION("""COMPUTED_VALUE"""),"L/8/080125/1")</f>
        <v>L/8/080125/1</v>
      </c>
      <c r="C1434" s="42" t="str">
        <f>IFERROR(__xludf.DUMMYFUNCTION("""COMPUTED_VALUE"""),"LABUHAN DALAM")</f>
        <v>LABUHAN DALAM</v>
      </c>
      <c r="D1434" s="42"/>
      <c r="E1434" s="42"/>
      <c r="F1434" s="48" t="str">
        <f>IFERROR(__xludf.DUMMYFUNCTION("""COMPUTED_VALUE"""),"")</f>
        <v/>
      </c>
      <c r="G1434" s="42" t="str">
        <f>IFERROR(__xludf.DUMMYFUNCTION("""COMPUTED_VALUE"""),"TANAH MENTAH")</f>
        <v>TANAH MENTAH</v>
      </c>
      <c r="H1434" s="42">
        <f t="shared" si="1"/>
        <v>664</v>
      </c>
    </row>
    <row r="1435" ht="22.5" customHeight="1">
      <c r="B1435" s="42" t="str">
        <f>IFERROR(__xludf.DUMMYFUNCTION("""COMPUTED_VALUE"""),"K/11/080125/1")</f>
        <v>K/11/080125/1</v>
      </c>
      <c r="C1435" s="42" t="str">
        <f>IFERROR(__xludf.DUMMYFUNCTION("""COMPUTED_VALUE"""),"M.4214/GUNUNG TERANG")</f>
        <v>M.4214/GUNUNG TERANG</v>
      </c>
      <c r="D1435" s="42"/>
      <c r="E1435" s="42"/>
      <c r="F1435" s="48" t="str">
        <f>IFERROR(__xludf.DUMMYFUNCTION("""COMPUTED_VALUE"""),"")</f>
        <v/>
      </c>
      <c r="G1435" s="42" t="str">
        <f>IFERROR(__xludf.DUMMYFUNCTION("""COMPUTED_VALUE"""),"PTPGT")</f>
        <v>PTPGT</v>
      </c>
      <c r="H1435" s="42">
        <f t="shared" si="1"/>
        <v>664</v>
      </c>
    </row>
    <row r="1436" ht="22.5" customHeight="1">
      <c r="B1436" s="42" t="str">
        <f>IFERROR(__xludf.DUMMYFUNCTION("""COMPUTED_VALUE"""),"K/12/080125/1")</f>
        <v>K/12/080125/1</v>
      </c>
      <c r="C1436" s="42" t="str">
        <f>IFERROR(__xludf.DUMMYFUNCTION("""COMPUTED_VALUE"""),"M.1514/SRENGSEM")</f>
        <v>M.1514/SRENGSEM</v>
      </c>
      <c r="D1436" s="42" t="str">
        <f>IFERROR(__xludf.DUMMYFUNCTION("""COMPUTED_VALUE"""),"David")</f>
        <v>David</v>
      </c>
      <c r="E1436" s="42" t="str">
        <f>IFERROR(__xludf.DUMMYFUNCTION("""COMPUTED_VALUE"""),"DISERAHKAN")</f>
        <v>DISERAHKAN</v>
      </c>
      <c r="F1436" s="48">
        <f>IFERROR(__xludf.DUMMYFUNCTION("""COMPUTED_VALUE"""),45670.440861863426)</f>
        <v>45670.44086</v>
      </c>
      <c r="G1436" s="42" t="str">
        <f>IFERROR(__xludf.DUMMYFUNCTION("""COMPUTED_VALUE"""),"PEMISAHAN")</f>
        <v>PEMISAHAN</v>
      </c>
      <c r="H1436" s="42">
        <f t="shared" si="1"/>
        <v>665</v>
      </c>
    </row>
    <row r="1437" ht="22.5" customHeight="1">
      <c r="B1437" s="42" t="str">
        <f>IFERROR(__xludf.DUMMYFUNCTION("""COMPUTED_VALUE"""),"K/9/080125/1")</f>
        <v>K/9/080125/1</v>
      </c>
      <c r="C1437" s="42" t="str">
        <f>IFERROR(__xludf.DUMMYFUNCTION("""COMPUTED_VALUE"""),"M. 10069/ Sidodadi")</f>
        <v>M. 10069/ Sidodadi</v>
      </c>
      <c r="D1437" s="42" t="str">
        <f>IFERROR(__xludf.DUMMYFUNCTION("""COMPUTED_VALUE"""),"David")</f>
        <v>David</v>
      </c>
      <c r="E1437" s="42" t="str">
        <f>IFERROR(__xludf.DUMMYFUNCTION("""COMPUTED_VALUE"""),"DISERAHKAN")</f>
        <v>DISERAHKAN</v>
      </c>
      <c r="F1437" s="48">
        <f>IFERROR(__xludf.DUMMYFUNCTION("""COMPUTED_VALUE"""),45670.440861863426)</f>
        <v>45670.44086</v>
      </c>
      <c r="G1437" s="42" t="str">
        <f>IFERROR(__xludf.DUMMYFUNCTION("""COMPUTED_VALUE"""),"BN Waris")</f>
        <v>BN Waris</v>
      </c>
      <c r="H1437" s="42">
        <f t="shared" si="1"/>
        <v>666</v>
      </c>
    </row>
    <row r="1438" ht="22.5" customHeight="1">
      <c r="B1438" s="42" t="str">
        <f>IFERROR(__xludf.DUMMYFUNCTION("""COMPUTED_VALUE"""),"K/10/080125/2")</f>
        <v>K/10/080125/2</v>
      </c>
      <c r="C1438" s="42" t="str">
        <f>IFERROR(__xludf.DUMMYFUNCTION("""COMPUTED_VALUE"""),"M. 9984/ Sidodadi")</f>
        <v>M. 9984/ Sidodadi</v>
      </c>
      <c r="D1438" s="42" t="str">
        <f>IFERROR(__xludf.DUMMYFUNCTION("""COMPUTED_VALUE"""),"David")</f>
        <v>David</v>
      </c>
      <c r="E1438" s="42" t="str">
        <f>IFERROR(__xludf.DUMMYFUNCTION("""COMPUTED_VALUE"""),"DISERAHKAN")</f>
        <v>DISERAHKAN</v>
      </c>
      <c r="F1438" s="48">
        <f>IFERROR(__xludf.DUMMYFUNCTION("""COMPUTED_VALUE"""),45670.440861863426)</f>
        <v>45670.44086</v>
      </c>
      <c r="G1438" s="42" t="str">
        <f>IFERROR(__xludf.DUMMYFUNCTION("""COMPUTED_VALUE"""),"BN Waris")</f>
        <v>BN Waris</v>
      </c>
      <c r="H1438" s="42">
        <f t="shared" si="1"/>
        <v>667</v>
      </c>
    </row>
    <row r="1439" ht="22.5" customHeight="1">
      <c r="B1439" s="42" t="str">
        <f>IFERROR(__xludf.DUMMYFUNCTION("""COMPUTED_VALUE"""),"K/13/080125/1")</f>
        <v>K/13/080125/1</v>
      </c>
      <c r="C1439" s="42" t="str">
        <f>IFERROR(__xludf.DUMMYFUNCTION("""COMPUTED_VALUE"""),"M. 2851/ Sukarame II")</f>
        <v>M. 2851/ Sukarame II</v>
      </c>
      <c r="D1439" s="42" t="str">
        <f>IFERROR(__xludf.DUMMYFUNCTION("""COMPUTED_VALUE"""),"David")</f>
        <v>David</v>
      </c>
      <c r="E1439" s="42" t="str">
        <f>IFERROR(__xludf.DUMMYFUNCTION("""COMPUTED_VALUE"""),"DISERAHKAN")</f>
        <v>DISERAHKAN</v>
      </c>
      <c r="F1439" s="48">
        <f>IFERROR(__xludf.DUMMYFUNCTION("""COMPUTED_VALUE"""),45670.440861863426)</f>
        <v>45670.44086</v>
      </c>
      <c r="G1439" s="42" t="str">
        <f>IFERROR(__xludf.DUMMYFUNCTION("""COMPUTED_VALUE"""),"BN Jual Beli")</f>
        <v>BN Jual Beli</v>
      </c>
      <c r="H1439" s="42">
        <f t="shared" si="1"/>
        <v>668</v>
      </c>
    </row>
    <row r="1440" ht="22.5" customHeight="1">
      <c r="B1440" s="42" t="str">
        <f>IFERROR(__xludf.DUMMYFUNCTION("""COMPUTED_VALUE"""),"K/14/080125/1")</f>
        <v>K/14/080125/1</v>
      </c>
      <c r="C1440" s="42" t="str">
        <f>IFERROR(__xludf.DUMMYFUNCTION("""COMPUTED_VALUE"""),"B. 129/ Nusantara Permai")</f>
        <v>B. 129/ Nusantara Permai</v>
      </c>
      <c r="D1440" s="42" t="str">
        <f>IFERROR(__xludf.DUMMYFUNCTION("""COMPUTED_VALUE"""),"David")</f>
        <v>David</v>
      </c>
      <c r="E1440" s="42" t="str">
        <f>IFERROR(__xludf.DUMMYFUNCTION("""COMPUTED_VALUE"""),"DISERAHKAN")</f>
        <v>DISERAHKAN</v>
      </c>
      <c r="F1440" s="48">
        <f>IFERROR(__xludf.DUMMYFUNCTION("""COMPUTED_VALUE"""),45670.440861863426)</f>
        <v>45670.44086</v>
      </c>
      <c r="G1440" s="42" t="str">
        <f>IFERROR(__xludf.DUMMYFUNCTION("""COMPUTED_VALUE"""),"BN JUAL BELI")</f>
        <v>BN JUAL BELI</v>
      </c>
      <c r="H1440" s="42">
        <f t="shared" si="1"/>
        <v>669</v>
      </c>
    </row>
    <row r="1441" ht="22.5" customHeight="1">
      <c r="B1441" s="42" t="str">
        <f>IFERROR(__xludf.DUMMYFUNCTION("""COMPUTED_VALUE"""),"K/15/080125/1")</f>
        <v>K/15/080125/1</v>
      </c>
      <c r="C1441" s="42" t="str">
        <f>IFERROR(__xludf.DUMMYFUNCTION("""COMPUTED_VALUE"""),"M. 942/ Korpri Jaya")</f>
        <v>M. 942/ Korpri Jaya</v>
      </c>
      <c r="D1441" s="42" t="str">
        <f>IFERROR(__xludf.DUMMYFUNCTION("""COMPUTED_VALUE"""),"David")</f>
        <v>David</v>
      </c>
      <c r="E1441" s="42" t="str">
        <f>IFERROR(__xludf.DUMMYFUNCTION("""COMPUTED_VALUE"""),"PROSES")</f>
        <v>PROSES</v>
      </c>
      <c r="F1441" s="48" t="str">
        <f>IFERROR(__xludf.DUMMYFUNCTION("""COMPUTED_VALUE"""),"")</f>
        <v/>
      </c>
      <c r="G1441" s="42" t="str">
        <f>IFERROR(__xludf.DUMMYFUNCTION("""COMPUTED_VALUE"""),"BN Jual Beli")</f>
        <v>BN Jual Beli</v>
      </c>
      <c r="H1441" s="42">
        <f t="shared" si="1"/>
        <v>669</v>
      </c>
    </row>
    <row r="1442" ht="22.5" customHeight="1">
      <c r="B1442" s="42" t="str">
        <f>IFERROR(__xludf.DUMMYFUNCTION("""COMPUTED_VALUE"""),"K/16/080125/1")</f>
        <v>K/16/080125/1</v>
      </c>
      <c r="C1442" s="42" t="str">
        <f>IFERROR(__xludf.DUMMYFUNCTION("""COMPUTED_VALUE"""),"M.120/GEDONG MENENG BARU")</f>
        <v>M.120/GEDONG MENENG BARU</v>
      </c>
      <c r="D1442" s="42" t="str">
        <f>IFERROR(__xludf.DUMMYFUNCTION("""COMPUTED_VALUE"""),"David")</f>
        <v>David</v>
      </c>
      <c r="E1442" s="42" t="str">
        <f>IFERROR(__xludf.DUMMYFUNCTION("""COMPUTED_VALUE"""),"PROSES")</f>
        <v>PROSES</v>
      </c>
      <c r="F1442" s="48" t="str">
        <f>IFERROR(__xludf.DUMMYFUNCTION("""COMPUTED_VALUE"""),"")</f>
        <v/>
      </c>
      <c r="G1442" s="42" t="str">
        <f>IFERROR(__xludf.DUMMYFUNCTION("""COMPUTED_VALUE"""),"KEWARISAN")</f>
        <v>KEWARISAN</v>
      </c>
      <c r="H1442" s="42">
        <f t="shared" si="1"/>
        <v>669</v>
      </c>
    </row>
    <row r="1443" ht="22.5" customHeight="1">
      <c r="B1443" s="42" t="str">
        <f>IFERROR(__xludf.DUMMYFUNCTION("""COMPUTED_VALUE"""),"K/17/080125/2")</f>
        <v>K/17/080125/2</v>
      </c>
      <c r="C1443" s="42" t="str">
        <f>IFERROR(__xludf.DUMMYFUNCTION("""COMPUTED_VALUE"""),"M.2037/RAJABASA JAYA")</f>
        <v>M.2037/RAJABASA JAYA</v>
      </c>
      <c r="D1443" s="42"/>
      <c r="E1443" s="42"/>
      <c r="F1443" s="48" t="str">
        <f>IFERROR(__xludf.DUMMYFUNCTION("""COMPUTED_VALUE"""),"")</f>
        <v/>
      </c>
      <c r="G1443" s="42" t="str">
        <f>IFERROR(__xludf.DUMMYFUNCTION("""COMPUTED_VALUE"""),"HAPUS BPHTB")</f>
        <v>HAPUS BPHTB</v>
      </c>
      <c r="H1443" s="42">
        <f t="shared" si="1"/>
        <v>669</v>
      </c>
    </row>
    <row r="1444" ht="22.5" customHeight="1">
      <c r="B1444" s="42" t="str">
        <f>IFERROR(__xludf.DUMMYFUNCTION("""COMPUTED_VALUE"""),"K/18/080125/1")</f>
        <v>K/18/080125/1</v>
      </c>
      <c r="C1444" s="42" t="str">
        <f>IFERROR(__xludf.DUMMYFUNCTION("""COMPUTED_VALUE"""),"Nibel. B. 11768/ Kemiling Permai")</f>
        <v>Nibel. B. 11768/ Kemiling Permai</v>
      </c>
      <c r="D1444" s="42"/>
      <c r="E1444" s="42"/>
      <c r="F1444" s="48" t="str">
        <f>IFERROR(__xludf.DUMMYFUNCTION("""COMPUTED_VALUE"""),"")</f>
        <v/>
      </c>
      <c r="G1444" s="42" t="str">
        <f>IFERROR(__xludf.DUMMYFUNCTION("""COMPUTED_VALUE"""),"Perubahan Hak")</f>
        <v>Perubahan Hak</v>
      </c>
      <c r="H1444" s="42">
        <f t="shared" si="1"/>
        <v>669</v>
      </c>
    </row>
    <row r="1445" ht="22.5" customHeight="1">
      <c r="B1445" s="42" t="str">
        <f>IFERROR(__xludf.DUMMYFUNCTION("""COMPUTED_VALUE"""),"K/19/080125/2")</f>
        <v>K/19/080125/2</v>
      </c>
      <c r="C1445" s="42" t="str">
        <f>IFERROR(__xludf.DUMMYFUNCTION("""COMPUTED_VALUE"""),"Nibel. B. 11875/ Kemiling Permai")</f>
        <v>Nibel. B. 11875/ Kemiling Permai</v>
      </c>
      <c r="D1445" s="42"/>
      <c r="E1445" s="42"/>
      <c r="F1445" s="48" t="str">
        <f>IFERROR(__xludf.DUMMYFUNCTION("""COMPUTED_VALUE"""),"")</f>
        <v/>
      </c>
      <c r="G1445" s="42" t="str">
        <f>IFERROR(__xludf.DUMMYFUNCTION("""COMPUTED_VALUE"""),"Perubahan Hak")</f>
        <v>Perubahan Hak</v>
      </c>
      <c r="H1445" s="42">
        <f t="shared" si="1"/>
        <v>669</v>
      </c>
    </row>
    <row r="1446" ht="22.5" customHeight="1">
      <c r="B1446" s="42" t="str">
        <f>IFERROR(__xludf.DUMMYFUNCTION("""COMPUTED_VALUE"""),"K/20/080125/1")</f>
        <v>K/20/080125/1</v>
      </c>
      <c r="C1446" s="42" t="str">
        <f>IFERROR(__xludf.DUMMYFUNCTION("""COMPUTED_VALUE"""),"M. 1167/ Perumnas Way kandis")</f>
        <v>M. 1167/ Perumnas Way kandis</v>
      </c>
      <c r="D1446" s="42" t="str">
        <f>IFERROR(__xludf.DUMMYFUNCTION("""COMPUTED_VALUE"""),"David")</f>
        <v>David</v>
      </c>
      <c r="E1446" s="42" t="str">
        <f>IFERROR(__xludf.DUMMYFUNCTION("""COMPUTED_VALUE"""),"DISERAHKAN")</f>
        <v>DISERAHKAN</v>
      </c>
      <c r="F1446" s="48">
        <f>IFERROR(__xludf.DUMMYFUNCTION("""COMPUTED_VALUE"""),45670.440861863426)</f>
        <v>45670.44086</v>
      </c>
      <c r="G1446" s="42" t="str">
        <f>IFERROR(__xludf.DUMMYFUNCTION("""COMPUTED_VALUE"""),"BN WARIS")</f>
        <v>BN WARIS</v>
      </c>
      <c r="H1446" s="42">
        <f t="shared" si="1"/>
        <v>670</v>
      </c>
    </row>
    <row r="1447" ht="22.5" customHeight="1">
      <c r="B1447" s="42" t="str">
        <f>IFERROR(__xludf.DUMMYFUNCTION("""COMPUTED_VALUE"""),"K/21/080125/1")</f>
        <v>K/21/080125/1</v>
      </c>
      <c r="C1447" s="42" t="str">
        <f>IFERROR(__xludf.DUMMYFUNCTION("""COMPUTED_VALUE"""),"Nibel 3607/ Kupang Teba")</f>
        <v>Nibel 3607/ Kupang Teba</v>
      </c>
      <c r="D1447" s="42"/>
      <c r="E1447" s="42"/>
      <c r="F1447" s="48" t="str">
        <f>IFERROR(__xludf.DUMMYFUNCTION("""COMPUTED_VALUE"""),"")</f>
        <v/>
      </c>
      <c r="G1447" s="42" t="str">
        <f>IFERROR(__xludf.DUMMYFUNCTION("""COMPUTED_VALUE"""),"BN JUAL BELI")</f>
        <v>BN JUAL BELI</v>
      </c>
      <c r="H1447" s="42">
        <f t="shared" si="1"/>
        <v>670</v>
      </c>
    </row>
    <row r="1448" ht="22.5" customHeight="1">
      <c r="B1448" s="42" t="str">
        <f>IFERROR(__xludf.DUMMYFUNCTION("""COMPUTED_VALUE"""),"L/1/090125/1")</f>
        <v>L/1/090125/1</v>
      </c>
      <c r="C1448" s="42" t="str">
        <f>IFERROR(__xludf.DUMMYFUNCTION("""COMPUTED_VALUE"""),"LANGKAPURA")</f>
        <v>LANGKAPURA</v>
      </c>
      <c r="D1448" s="42"/>
      <c r="E1448" s="42"/>
      <c r="F1448" s="48" t="str">
        <f>IFERROR(__xludf.DUMMYFUNCTION("""COMPUTED_VALUE"""),"")</f>
        <v/>
      </c>
      <c r="G1448" s="42" t="str">
        <f>IFERROR(__xludf.DUMMYFUNCTION("""COMPUTED_VALUE"""),"TANAH MENTAH")</f>
        <v>TANAH MENTAH</v>
      </c>
      <c r="H1448" s="42">
        <f t="shared" si="1"/>
        <v>670</v>
      </c>
    </row>
    <row r="1449" ht="22.5" customHeight="1">
      <c r="B1449" s="42" t="str">
        <f>IFERROR(__xludf.DUMMYFUNCTION("""COMPUTED_VALUE"""),"K/2/090125/1")</f>
        <v>K/2/090125/1</v>
      </c>
      <c r="C1449" s="42" t="str">
        <f>IFERROR(__xludf.DUMMYFUNCTION("""COMPUTED_VALUE"""),"Nibel 13190/ Sumur Putri")</f>
        <v>Nibel 13190/ Sumur Putri</v>
      </c>
      <c r="D1449" s="42"/>
      <c r="E1449" s="42"/>
      <c r="F1449" s="48" t="str">
        <f>IFERROR(__xludf.DUMMYFUNCTION("""COMPUTED_VALUE"""),"")</f>
        <v/>
      </c>
      <c r="G1449" s="42" t="str">
        <f>IFERROR(__xludf.DUMMYFUNCTION("""COMPUTED_VALUE"""),"PERUBAHAN HAK")</f>
        <v>PERUBAHAN HAK</v>
      </c>
      <c r="H1449" s="42">
        <f t="shared" si="1"/>
        <v>670</v>
      </c>
    </row>
    <row r="1450" ht="22.5" customHeight="1">
      <c r="B1450" s="42" t="str">
        <f>IFERROR(__xludf.DUMMYFUNCTION("""COMPUTED_VALUE"""),"K/3/090125/2")</f>
        <v>K/3/090125/2</v>
      </c>
      <c r="C1450" s="42" t="str">
        <f>IFERROR(__xludf.DUMMYFUNCTION("""COMPUTED_VALUE"""),"Nibel 16051/ Sumur Putri")</f>
        <v>Nibel 16051/ Sumur Putri</v>
      </c>
      <c r="D1450" s="42"/>
      <c r="E1450" s="42"/>
      <c r="F1450" s="48" t="str">
        <f>IFERROR(__xludf.DUMMYFUNCTION("""COMPUTED_VALUE"""),"")</f>
        <v/>
      </c>
      <c r="G1450" s="42" t="str">
        <f>IFERROR(__xludf.DUMMYFUNCTION("""COMPUTED_VALUE"""),"PERUBAHAN HAK")</f>
        <v>PERUBAHAN HAK</v>
      </c>
      <c r="H1450" s="42">
        <f t="shared" si="1"/>
        <v>670</v>
      </c>
    </row>
    <row r="1451" ht="22.5" customHeight="1">
      <c r="B1451" s="42" t="str">
        <f>IFERROR(__xludf.DUMMYFUNCTION("""COMPUTED_VALUE"""),"K/5/090125/1")</f>
        <v>K/5/090125/1</v>
      </c>
      <c r="C1451" s="42" t="str">
        <f>IFERROR(__xludf.DUMMYFUNCTION("""COMPUTED_VALUE"""),"M. 1929/ Sumber Agung")</f>
        <v>M. 1929/ Sumber Agung</v>
      </c>
      <c r="D1451" s="42"/>
      <c r="E1451" s="42"/>
      <c r="F1451" s="48" t="str">
        <f>IFERROR(__xludf.DUMMYFUNCTION("""COMPUTED_VALUE"""),"")</f>
        <v/>
      </c>
      <c r="G1451" s="42" t="str">
        <f>IFERROR(__xludf.DUMMYFUNCTION("""COMPUTED_VALUE"""),"Hapus BPHTB")</f>
        <v>Hapus BPHTB</v>
      </c>
      <c r="H1451" s="42">
        <f t="shared" si="1"/>
        <v>670</v>
      </c>
    </row>
    <row r="1452" ht="22.5" customHeight="1">
      <c r="B1452" s="42" t="str">
        <f>IFERROR(__xludf.DUMMYFUNCTION("""COMPUTED_VALUE"""),"K/4/090125/3")</f>
        <v>K/4/090125/3</v>
      </c>
      <c r="C1452" s="42" t="str">
        <f>IFERROR(__xludf.DUMMYFUNCTION("""COMPUTED_VALUE"""),"M. 1314/ Tanjungkarang")</f>
        <v>M. 1314/ Tanjungkarang</v>
      </c>
      <c r="D1452" s="42" t="str">
        <f>IFERROR(__xludf.DUMMYFUNCTION("""COMPUTED_VALUE"""),"Berry")</f>
        <v>Berry</v>
      </c>
      <c r="E1452" s="42" t="str">
        <f>IFERROR(__xludf.DUMMYFUNCTION("""COMPUTED_VALUE"""),"DISERAHKAN")</f>
        <v>DISERAHKAN</v>
      </c>
      <c r="F1452" s="48">
        <f>IFERROR(__xludf.DUMMYFUNCTION("""COMPUTED_VALUE"""),45671.42957304398)</f>
        <v>45671.42957</v>
      </c>
      <c r="G1452" s="42" t="str">
        <f>IFERROR(__xludf.DUMMYFUNCTION("""COMPUTED_VALUE"""),"BN JUAL BELI")</f>
        <v>BN JUAL BELI</v>
      </c>
      <c r="H1452" s="42">
        <f t="shared" si="1"/>
        <v>671</v>
      </c>
    </row>
    <row r="1453" ht="22.5" customHeight="1">
      <c r="B1453" s="42" t="str">
        <f>IFERROR(__xludf.DUMMYFUNCTION("""COMPUTED_VALUE"""),"K/6/090125/1")</f>
        <v>K/6/090125/1</v>
      </c>
      <c r="C1453" s="42" t="str">
        <f>IFERROR(__xludf.DUMMYFUNCTION("""COMPUTED_VALUE"""),"M 894/KUPANG KOTA")</f>
        <v>M 894/KUPANG KOTA</v>
      </c>
      <c r="D1453" s="42"/>
      <c r="E1453" s="42"/>
      <c r="F1453" s="48" t="str">
        <f>IFERROR(__xludf.DUMMYFUNCTION("""COMPUTED_VALUE"""),"")</f>
        <v/>
      </c>
      <c r="G1453" s="42" t="str">
        <f>IFERROR(__xludf.DUMMYFUNCTION("""COMPUTED_VALUE"""),"SKPT LELANG")</f>
        <v>SKPT LELANG</v>
      </c>
      <c r="H1453" s="42">
        <f t="shared" si="1"/>
        <v>671</v>
      </c>
    </row>
    <row r="1454" ht="22.5" customHeight="1">
      <c r="B1454" s="42" t="str">
        <f>IFERROR(__xludf.DUMMYFUNCTION("""COMPUTED_VALUE"""),"K/7/090125/2")</f>
        <v>K/7/090125/2</v>
      </c>
      <c r="C1454" s="42" t="str">
        <f>IFERROR(__xludf.DUMMYFUNCTION("""COMPUTED_VALUE"""),"M.1548/KUPANG KOTA")</f>
        <v>M.1548/KUPANG KOTA</v>
      </c>
      <c r="D1454" s="42"/>
      <c r="E1454" s="42"/>
      <c r="F1454" s="48" t="str">
        <f>IFERROR(__xludf.DUMMYFUNCTION("""COMPUTED_VALUE"""),"")</f>
        <v/>
      </c>
      <c r="G1454" s="42" t="str">
        <f>IFERROR(__xludf.DUMMYFUNCTION("""COMPUTED_VALUE"""),"SKPT LELANG")</f>
        <v>SKPT LELANG</v>
      </c>
      <c r="H1454" s="42">
        <f t="shared" si="1"/>
        <v>671</v>
      </c>
    </row>
    <row r="1455" ht="22.5" customHeight="1">
      <c r="B1455" s="42" t="str">
        <f>IFERROR(__xludf.DUMMYFUNCTION("""COMPUTED_VALUE"""),"K/8/090125/3")</f>
        <v>K/8/090125/3</v>
      </c>
      <c r="C1455" s="42" t="str">
        <f>IFERROR(__xludf.DUMMYFUNCTION("""COMPUTED_VALUE"""),"M.410/KUPANG KOTA")</f>
        <v>M.410/KUPANG KOTA</v>
      </c>
      <c r="D1455" s="42"/>
      <c r="E1455" s="42"/>
      <c r="F1455" s="48" t="str">
        <f>IFERROR(__xludf.DUMMYFUNCTION("""COMPUTED_VALUE"""),"")</f>
        <v/>
      </c>
      <c r="G1455" s="42" t="str">
        <f>IFERROR(__xludf.DUMMYFUNCTION("""COMPUTED_VALUE"""),"SKPT LELANG")</f>
        <v>SKPT LELANG</v>
      </c>
      <c r="H1455" s="42">
        <f t="shared" si="1"/>
        <v>671</v>
      </c>
    </row>
    <row r="1456" ht="22.5" customHeight="1">
      <c r="B1456" s="42" t="str">
        <f>IFERROR(__xludf.DUMMYFUNCTION("""COMPUTED_VALUE"""),"K/9/090125/4")</f>
        <v>K/9/090125/4</v>
      </c>
      <c r="C1456" s="42" t="str">
        <f>IFERROR(__xludf.DUMMYFUNCTION("""COMPUTED_VALUE"""),"M.12177/RAJABASA")</f>
        <v>M.12177/RAJABASA</v>
      </c>
      <c r="D1456" s="42"/>
      <c r="E1456" s="42"/>
      <c r="F1456" s="48" t="str">
        <f>IFERROR(__xludf.DUMMYFUNCTION("""COMPUTED_VALUE"""),"")</f>
        <v/>
      </c>
      <c r="G1456" s="42" t="str">
        <f>IFERROR(__xludf.DUMMYFUNCTION("""COMPUTED_VALUE"""),"SKPT LELANG")</f>
        <v>SKPT LELANG</v>
      </c>
      <c r="H1456" s="42">
        <f t="shared" si="1"/>
        <v>671</v>
      </c>
    </row>
    <row r="1457" ht="22.5" customHeight="1">
      <c r="B1457" s="42" t="str">
        <f>IFERROR(__xludf.DUMMYFUNCTION("""COMPUTED_VALUE"""),"K/10/090125/1")</f>
        <v>K/10/090125/1</v>
      </c>
      <c r="C1457" s="42" t="str">
        <f>IFERROR(__xludf.DUMMYFUNCTION("""COMPUTED_VALUE"""),"Nibel M. 7933/ Sukarame Baru")</f>
        <v>Nibel M. 7933/ Sukarame Baru</v>
      </c>
      <c r="D1457" s="42"/>
      <c r="E1457" s="42"/>
      <c r="F1457" s="48" t="str">
        <f>IFERROR(__xludf.DUMMYFUNCTION("""COMPUTED_VALUE"""),"")</f>
        <v/>
      </c>
      <c r="G1457" s="42" t="str">
        <f>IFERROR(__xludf.DUMMYFUNCTION("""COMPUTED_VALUE"""),"BN Jual Beli")</f>
        <v>BN Jual Beli</v>
      </c>
      <c r="H1457" s="42">
        <f t="shared" si="1"/>
        <v>671</v>
      </c>
    </row>
    <row r="1458" ht="22.5" customHeight="1">
      <c r="B1458" s="42" t="str">
        <f>IFERROR(__xludf.DUMMYFUNCTION("""COMPUTED_VALUE"""),"L/11/090125/1")</f>
        <v>L/11/090125/1</v>
      </c>
      <c r="C1458" s="42" t="str">
        <f>IFERROR(__xludf.DUMMYFUNCTION("""COMPUTED_VALUE"""),"HM 2986/KEMILING PERMAI")</f>
        <v>HM 2986/KEMILING PERMAI</v>
      </c>
      <c r="D1458" s="42"/>
      <c r="E1458" s="42"/>
      <c r="F1458" s="48" t="str">
        <f>IFERROR(__xludf.DUMMYFUNCTION("""COMPUTED_VALUE"""),"")</f>
        <v/>
      </c>
      <c r="G1458" s="42" t="str">
        <f>IFERROR(__xludf.DUMMYFUNCTION("""COMPUTED_VALUE"""),"BLOKIR")</f>
        <v>BLOKIR</v>
      </c>
      <c r="H1458" s="42">
        <f t="shared" si="1"/>
        <v>671</v>
      </c>
    </row>
    <row r="1459" ht="22.5" customHeight="1">
      <c r="B1459" s="42" t="str">
        <f>IFERROR(__xludf.DUMMYFUNCTION("""COMPUTED_VALUE"""),"K/12/090125/1")</f>
        <v>K/12/090125/1</v>
      </c>
      <c r="C1459" s="42" t="str">
        <f>IFERROR(__xludf.DUMMYFUNCTION("""COMPUTED_VALUE"""),"B. 1115/ Keteguhan")</f>
        <v>B. 1115/ Keteguhan</v>
      </c>
      <c r="D1459" s="42" t="str">
        <f>IFERROR(__xludf.DUMMYFUNCTION("""COMPUTED_VALUE"""),"Berry")</f>
        <v>Berry</v>
      </c>
      <c r="E1459" s="42" t="str">
        <f>IFERROR(__xludf.DUMMYFUNCTION("""COMPUTED_VALUE"""),"DISERAHKAN")</f>
        <v>DISERAHKAN</v>
      </c>
      <c r="F1459" s="48">
        <f>IFERROR(__xludf.DUMMYFUNCTION("""COMPUTED_VALUE"""),45671.43000877315)</f>
        <v>45671.43001</v>
      </c>
      <c r="G1459" s="42" t="str">
        <f>IFERROR(__xludf.DUMMYFUNCTION("""COMPUTED_VALUE"""),"BN Jual Beli")</f>
        <v>BN Jual Beli</v>
      </c>
      <c r="H1459" s="42">
        <f t="shared" si="1"/>
        <v>672</v>
      </c>
    </row>
    <row r="1460" ht="22.5" customHeight="1">
      <c r="B1460" s="42" t="str">
        <f>IFERROR(__xludf.DUMMYFUNCTION("""COMPUTED_VALUE"""),"K/14/090125/1")</f>
        <v>K/14/090125/1</v>
      </c>
      <c r="C1460" s="42" t="str">
        <f>IFERROR(__xludf.DUMMYFUNCTION("""COMPUTED_VALUE"""),"NIbel 387/ Kemiling Permai")</f>
        <v>NIbel 387/ Kemiling Permai</v>
      </c>
      <c r="D1460" s="42"/>
      <c r="E1460" s="42"/>
      <c r="F1460" s="48" t="str">
        <f>IFERROR(__xludf.DUMMYFUNCTION("""COMPUTED_VALUE"""),"")</f>
        <v/>
      </c>
      <c r="G1460" s="42" t="str">
        <f>IFERROR(__xludf.DUMMYFUNCTION("""COMPUTED_VALUE"""),"BN JUAL BELI")</f>
        <v>BN JUAL BELI</v>
      </c>
      <c r="H1460" s="42">
        <f t="shared" si="1"/>
        <v>672</v>
      </c>
    </row>
    <row r="1461" ht="22.5" customHeight="1">
      <c r="B1461" s="42" t="str">
        <f>IFERROR(__xludf.DUMMYFUNCTION("""COMPUTED_VALUE"""),"K/16/090125/1")</f>
        <v>K/16/090125/1</v>
      </c>
      <c r="C1461" s="42" t="str">
        <f>IFERROR(__xludf.DUMMYFUNCTION("""COMPUTED_VALUE"""),"Nibel. M. 16264/ Palapa")</f>
        <v>Nibel. M. 16264/ Palapa</v>
      </c>
      <c r="D1461" s="42"/>
      <c r="E1461" s="42"/>
      <c r="F1461" s="48" t="str">
        <f>IFERROR(__xludf.DUMMYFUNCTION("""COMPUTED_VALUE"""),"")</f>
        <v/>
      </c>
      <c r="G1461" s="42" t="str">
        <f>IFERROR(__xludf.DUMMYFUNCTION("""COMPUTED_VALUE"""),"BN Lelang")</f>
        <v>BN Lelang</v>
      </c>
      <c r="H1461" s="42">
        <f t="shared" si="1"/>
        <v>672</v>
      </c>
    </row>
    <row r="1462" ht="22.5" customHeight="1">
      <c r="B1462" s="42" t="str">
        <f>IFERROR(__xludf.DUMMYFUNCTION("""COMPUTED_VALUE"""),"K/15/090125/2")</f>
        <v>K/15/090125/2</v>
      </c>
      <c r="C1462" s="42" t="str">
        <f>IFERROR(__xludf.DUMMYFUNCTION("""COMPUTED_VALUE"""),"Nibel 444/ Kemiling Permai")</f>
        <v>Nibel 444/ Kemiling Permai</v>
      </c>
      <c r="D1462" s="42"/>
      <c r="E1462" s="42"/>
      <c r="F1462" s="48" t="str">
        <f>IFERROR(__xludf.DUMMYFUNCTION("""COMPUTED_VALUE"""),"")</f>
        <v/>
      </c>
      <c r="G1462" s="42" t="str">
        <f>IFERROR(__xludf.DUMMYFUNCTION("""COMPUTED_VALUE"""),"BN JUAL BELI")</f>
        <v>BN JUAL BELI</v>
      </c>
      <c r="H1462" s="42">
        <f t="shared" si="1"/>
        <v>672</v>
      </c>
    </row>
    <row r="1463" ht="22.5" customHeight="1">
      <c r="B1463" s="42" t="str">
        <f>IFERROR(__xludf.DUMMYFUNCTION("""COMPUTED_VALUE"""),"L/17/090125/1")</f>
        <v>L/17/090125/1</v>
      </c>
      <c r="C1463" s="42" t="str">
        <f>IFERROR(__xludf.DUMMYFUNCTION("""COMPUTED_VALUE"""),"HM 681/GUNUNG AGUNG")</f>
        <v>HM 681/GUNUNG AGUNG</v>
      </c>
      <c r="D1463" s="42" t="str">
        <f>IFERROR(__xludf.DUMMYFUNCTION("""COMPUTED_VALUE"""),"Berry")</f>
        <v>Berry</v>
      </c>
      <c r="E1463" s="42" t="str">
        <f>IFERROR(__xludf.DUMMYFUNCTION("""COMPUTED_VALUE"""),"DISERAHKAN")</f>
        <v>DISERAHKAN</v>
      </c>
      <c r="F1463" s="48">
        <f>IFERROR(__xludf.DUMMYFUNCTION("""COMPUTED_VALUE"""),45671.43039310185)</f>
        <v>45671.43039</v>
      </c>
      <c r="G1463" s="42" t="str">
        <f>IFERROR(__xludf.DUMMYFUNCTION("""COMPUTED_VALUE"""),"ROYA")</f>
        <v>ROYA</v>
      </c>
      <c r="H1463" s="42">
        <f t="shared" si="1"/>
        <v>673</v>
      </c>
    </row>
    <row r="1464" ht="22.5" customHeight="1">
      <c r="B1464" s="42" t="str">
        <f>IFERROR(__xludf.DUMMYFUNCTION("""COMPUTED_VALUE"""),"K/18/090125/1")</f>
        <v>K/18/090125/1</v>
      </c>
      <c r="C1464" s="42" t="str">
        <f>IFERROR(__xludf.DUMMYFUNCTION("""COMPUTED_VALUE"""),"B. 92/ Sukarame")</f>
        <v>B. 92/ Sukarame</v>
      </c>
      <c r="D1464" s="42"/>
      <c r="E1464" s="42"/>
      <c r="F1464" s="48" t="str">
        <f>IFERROR(__xludf.DUMMYFUNCTION("""COMPUTED_VALUE"""),"")</f>
        <v/>
      </c>
      <c r="G1464" s="42" t="str">
        <f>IFERROR(__xludf.DUMMYFUNCTION("""COMPUTED_VALUE"""),"SKPT Informasi")</f>
        <v>SKPT Informasi</v>
      </c>
      <c r="H1464" s="42">
        <f t="shared" si="1"/>
        <v>673</v>
      </c>
    </row>
    <row r="1465" ht="22.5" customHeight="1">
      <c r="B1465" s="42" t="str">
        <f>IFERROR(__xludf.DUMMYFUNCTION("""COMPUTED_VALUE"""),"K/23/090125/1")</f>
        <v>K/23/090125/1</v>
      </c>
      <c r="C1465" s="42" t="str">
        <f>IFERROR(__xludf.DUMMYFUNCTION("""COMPUTED_VALUE"""),"M. 16439/ Sukabumi")</f>
        <v>M. 16439/ Sukabumi</v>
      </c>
      <c r="D1465" s="42" t="str">
        <f>IFERROR(__xludf.DUMMYFUNCTION("""COMPUTED_VALUE"""),"Berry")</f>
        <v>Berry</v>
      </c>
      <c r="E1465" s="42" t="str">
        <f>IFERROR(__xludf.DUMMYFUNCTION("""COMPUTED_VALUE"""),"DISERAHKAN")</f>
        <v>DISERAHKAN</v>
      </c>
      <c r="F1465" s="48">
        <f>IFERROR(__xludf.DUMMYFUNCTION("""COMPUTED_VALUE"""),45671.43080608796)</f>
        <v>45671.43081</v>
      </c>
      <c r="G1465" s="42" t="str">
        <f>IFERROR(__xludf.DUMMYFUNCTION("""COMPUTED_VALUE"""),"BN JUAL BELI")</f>
        <v>BN JUAL BELI</v>
      </c>
      <c r="H1465" s="42">
        <f t="shared" si="1"/>
        <v>674</v>
      </c>
    </row>
    <row r="1466" ht="22.5" customHeight="1">
      <c r="B1466" s="42" t="str">
        <f>IFERROR(__xludf.DUMMYFUNCTION("""COMPUTED_VALUE"""),"K/25/090125/1")</f>
        <v>K/25/090125/1</v>
      </c>
      <c r="C1466" s="42" t="str">
        <f>IFERROR(__xludf.DUMMYFUNCTION("""COMPUTED_VALUE"""),"M.9772/SUKABUMI")</f>
        <v>M.9772/SUKABUMI</v>
      </c>
      <c r="D1466" s="42" t="str">
        <f>IFERROR(__xludf.DUMMYFUNCTION("""COMPUTED_VALUE"""),"Berry")</f>
        <v>Berry</v>
      </c>
      <c r="E1466" s="42" t="str">
        <f>IFERROR(__xludf.DUMMYFUNCTION("""COMPUTED_VALUE"""),"DISERAHKAN")</f>
        <v>DISERAHKAN</v>
      </c>
      <c r="F1466" s="48">
        <f>IFERROR(__xludf.DUMMYFUNCTION("""COMPUTED_VALUE"""),45673.444736018515)</f>
        <v>45673.44474</v>
      </c>
      <c r="G1466" s="42" t="str">
        <f>IFERROR(__xludf.DUMMYFUNCTION("""COMPUTED_VALUE"""),"BN JUAL BELI")</f>
        <v>BN JUAL BELI</v>
      </c>
      <c r="H1466" s="42">
        <f t="shared" si="1"/>
        <v>675</v>
      </c>
    </row>
    <row r="1467" ht="22.5" customHeight="1">
      <c r="B1467" s="42" t="str">
        <f>IFERROR(__xludf.DUMMYFUNCTION("""COMPUTED_VALUE"""),"K/24/090125/2")</f>
        <v>K/24/090125/2</v>
      </c>
      <c r="C1467" s="42" t="str">
        <f>IFERROR(__xludf.DUMMYFUNCTION("""COMPUTED_VALUE"""),"M. 4531/ Rajabsa Jaya")</f>
        <v>M. 4531/ Rajabsa Jaya</v>
      </c>
      <c r="D1467" s="42" t="str">
        <f>IFERROR(__xludf.DUMMYFUNCTION("""COMPUTED_VALUE"""),"Berry")</f>
        <v>Berry</v>
      </c>
      <c r="E1467" s="42" t="str">
        <f>IFERROR(__xludf.DUMMYFUNCTION("""COMPUTED_VALUE"""),"DISERAHKAN")</f>
        <v>DISERAHKAN</v>
      </c>
      <c r="F1467" s="48">
        <f>IFERROR(__xludf.DUMMYFUNCTION("""COMPUTED_VALUE"""),45671.431171122684)</f>
        <v>45671.43117</v>
      </c>
      <c r="G1467" s="42" t="str">
        <f>IFERROR(__xludf.DUMMYFUNCTION("""COMPUTED_VALUE"""),"BN JUAL BELI")</f>
        <v>BN JUAL BELI</v>
      </c>
      <c r="H1467" s="42">
        <f t="shared" si="1"/>
        <v>676</v>
      </c>
    </row>
    <row r="1468" ht="22.5" customHeight="1">
      <c r="B1468" s="42" t="str">
        <f>IFERROR(__xludf.DUMMYFUNCTION("""COMPUTED_VALUE"""),"K/20/090125/1")</f>
        <v>K/20/090125/1</v>
      </c>
      <c r="C1468" s="42" t="str">
        <f>IFERROR(__xludf.DUMMYFUNCTION("""COMPUTED_VALUE"""),"M. 220/ Beringin Jaya")</f>
        <v>M. 220/ Beringin Jaya</v>
      </c>
      <c r="D1468" s="42" t="str">
        <f>IFERROR(__xludf.DUMMYFUNCTION("""COMPUTED_VALUE"""),"Berry")</f>
        <v>Berry</v>
      </c>
      <c r="E1468" s="42" t="str">
        <f>IFERROR(__xludf.DUMMYFUNCTION("""COMPUTED_VALUE"""),"DISERAHKAN")</f>
        <v>DISERAHKAN</v>
      </c>
      <c r="F1468" s="48">
        <f>IFERROR(__xludf.DUMMYFUNCTION("""COMPUTED_VALUE"""),45671.43138596065)</f>
        <v>45671.43139</v>
      </c>
      <c r="G1468" s="42" t="str">
        <f>IFERROR(__xludf.DUMMYFUNCTION("""COMPUTED_VALUE"""),"Roya")</f>
        <v>Roya</v>
      </c>
      <c r="H1468" s="42">
        <f t="shared" si="1"/>
        <v>677</v>
      </c>
    </row>
    <row r="1469" ht="22.5" customHeight="1">
      <c r="B1469" s="42" t="str">
        <f>IFERROR(__xludf.DUMMYFUNCTION("""COMPUTED_VALUE"""),"K/21/090125/2")</f>
        <v>K/21/090125/2</v>
      </c>
      <c r="C1469" s="42" t="str">
        <f>IFERROR(__xludf.DUMMYFUNCTION("""COMPUTED_VALUE"""),"M. 15119/ Sukarame")</f>
        <v>M. 15119/ Sukarame</v>
      </c>
      <c r="D1469" s="42" t="str">
        <f>IFERROR(__xludf.DUMMYFUNCTION("""COMPUTED_VALUE"""),"Berry")</f>
        <v>Berry</v>
      </c>
      <c r="E1469" s="42" t="str">
        <f>IFERROR(__xludf.DUMMYFUNCTION("""COMPUTED_VALUE"""),"DISERAHKAN BT")</f>
        <v>DISERAHKAN BT</v>
      </c>
      <c r="F1469" s="48">
        <f>IFERROR(__xludf.DUMMYFUNCTION("""COMPUTED_VALUE"""),45671.43157199074)</f>
        <v>45671.43157</v>
      </c>
      <c r="G1469" s="42" t="str">
        <f>IFERROR(__xludf.DUMMYFUNCTION("""COMPUTED_VALUE"""),"BN Jual Beli")</f>
        <v>BN Jual Beli</v>
      </c>
      <c r="H1469" s="42">
        <f t="shared" si="1"/>
        <v>677</v>
      </c>
    </row>
    <row r="1470" ht="22.5" customHeight="1">
      <c r="B1470" s="42" t="str">
        <f>IFERROR(__xludf.DUMMYFUNCTION("""COMPUTED_VALUE"""),"K/22/090125/3")</f>
        <v>K/22/090125/3</v>
      </c>
      <c r="C1470" s="42" t="str">
        <f>IFERROR(__xludf.DUMMYFUNCTION("""COMPUTED_VALUE"""),"Nibel. M. 16856/ Pahoman")</f>
        <v>Nibel. M. 16856/ Pahoman</v>
      </c>
      <c r="D1470" s="42"/>
      <c r="E1470" s="42"/>
      <c r="F1470" s="48" t="str">
        <f>IFERROR(__xludf.DUMMYFUNCTION("""COMPUTED_VALUE"""),"")</f>
        <v/>
      </c>
      <c r="G1470" s="42" t="str">
        <f>IFERROR(__xludf.DUMMYFUNCTION("""COMPUTED_VALUE"""),"BN Jual Beli")</f>
        <v>BN Jual Beli</v>
      </c>
      <c r="H1470" s="42">
        <f t="shared" si="1"/>
        <v>677</v>
      </c>
    </row>
    <row r="1471" ht="22.5" customHeight="1">
      <c r="B1471" s="42" t="str">
        <f>IFERROR(__xludf.DUMMYFUNCTION("""COMPUTED_VALUE"""),"K/26/090125/1")</f>
        <v>K/26/090125/1</v>
      </c>
      <c r="C1471" s="42" t="str">
        <f>IFERROR(__xludf.DUMMYFUNCTION("""COMPUTED_VALUE"""),"M.5144/RAJABASA JAYA")</f>
        <v>M.5144/RAJABASA JAYA</v>
      </c>
      <c r="D1471" s="42" t="str">
        <f>IFERROR(__xludf.DUMMYFUNCTION("""COMPUTED_VALUE"""),"Berry")</f>
        <v>Berry</v>
      </c>
      <c r="E1471" s="42" t="str">
        <f>IFERROR(__xludf.DUMMYFUNCTION("""COMPUTED_VALUE"""),"PROSES")</f>
        <v>PROSES</v>
      </c>
      <c r="F1471" s="48" t="str">
        <f>IFERROR(__xludf.DUMMYFUNCTION("""COMPUTED_VALUE"""),"")</f>
        <v/>
      </c>
      <c r="G1471" s="42" t="str">
        <f>IFERROR(__xludf.DUMMYFUNCTION("""COMPUTED_VALUE"""),"BN JUAL BELI")</f>
        <v>BN JUAL BELI</v>
      </c>
      <c r="H1471" s="42">
        <f t="shared" si="1"/>
        <v>677</v>
      </c>
    </row>
    <row r="1472" ht="22.5" customHeight="1">
      <c r="B1472" s="42" t="str">
        <f>IFERROR(__xludf.DUMMYFUNCTION("""COMPUTED_VALUE"""),"K/27/090125/1")</f>
        <v>K/27/090125/1</v>
      </c>
      <c r="C1472" s="42" t="str">
        <f>IFERROR(__xludf.DUMMYFUNCTION("""COMPUTED_VALUE"""),"M. 16666/ Sukabumi")</f>
        <v>M. 16666/ Sukabumi</v>
      </c>
      <c r="D1472" s="42" t="str">
        <f>IFERROR(__xludf.DUMMYFUNCTION("""COMPUTED_VALUE"""),"Berry")</f>
        <v>Berry</v>
      </c>
      <c r="E1472" s="42" t="str">
        <f>IFERROR(__xludf.DUMMYFUNCTION("""COMPUTED_VALUE"""),"DISERAHKAN")</f>
        <v>DISERAHKAN</v>
      </c>
      <c r="F1472" s="48">
        <f>IFERROR(__xludf.DUMMYFUNCTION("""COMPUTED_VALUE"""),45671.43204908565)</f>
        <v>45671.43205</v>
      </c>
      <c r="G1472" s="42" t="str">
        <f>IFERROR(__xludf.DUMMYFUNCTION("""COMPUTED_VALUE"""),"BN JUAL BELI")</f>
        <v>BN JUAL BELI</v>
      </c>
      <c r="H1472" s="42">
        <f t="shared" si="1"/>
        <v>678</v>
      </c>
    </row>
    <row r="1473" ht="22.5" customHeight="1">
      <c r="B1473" s="42" t="str">
        <f>IFERROR(__xludf.DUMMYFUNCTION("""COMPUTED_VALUE"""),"L/29/090125/1")</f>
        <v>L/29/090125/1</v>
      </c>
      <c r="C1473" s="42" t="str">
        <f>IFERROR(__xludf.DUMMYFUNCTION("""COMPUTED_VALUE"""),"BUMI WARAS")</f>
        <v>BUMI WARAS</v>
      </c>
      <c r="D1473" s="42"/>
      <c r="E1473" s="42"/>
      <c r="F1473" s="48" t="str">
        <f>IFERROR(__xludf.DUMMYFUNCTION("""COMPUTED_VALUE"""),"")</f>
        <v/>
      </c>
      <c r="G1473" s="42" t="str">
        <f>IFERROR(__xludf.DUMMYFUNCTION("""COMPUTED_VALUE"""),"TANAH MENTAH")</f>
        <v>TANAH MENTAH</v>
      </c>
      <c r="H1473" s="42">
        <f t="shared" si="1"/>
        <v>678</v>
      </c>
    </row>
    <row r="1474" ht="22.5" customHeight="1">
      <c r="B1474" s="42" t="str">
        <f>IFERROR(__xludf.DUMMYFUNCTION("""COMPUTED_VALUE"""),"L/30/090125/1")</f>
        <v>L/30/090125/1</v>
      </c>
      <c r="C1474" s="42" t="str">
        <f>IFERROR(__xludf.DUMMYFUNCTION("""COMPUTED_VALUE"""),"HM 2595/KOTA BARU")</f>
        <v>HM 2595/KOTA BARU</v>
      </c>
      <c r="D1474" s="42" t="str">
        <f>IFERROR(__xludf.DUMMYFUNCTION("""COMPUTED_VALUE"""),"Berry")</f>
        <v>Berry</v>
      </c>
      <c r="E1474" s="42" t="str">
        <f>IFERROR(__xludf.DUMMYFUNCTION("""COMPUTED_VALUE"""),"DISERAHKAN")</f>
        <v>DISERAHKAN</v>
      </c>
      <c r="F1474" s="48">
        <f>IFERROR(__xludf.DUMMYFUNCTION("""COMPUTED_VALUE"""),45671.43216709491)</f>
        <v>45671.43217</v>
      </c>
      <c r="G1474" s="42" t="str">
        <f>IFERROR(__xludf.DUMMYFUNCTION("""COMPUTED_VALUE"""),"ROYA")</f>
        <v>ROYA</v>
      </c>
      <c r="H1474" s="42">
        <f t="shared" si="1"/>
        <v>679</v>
      </c>
    </row>
    <row r="1475" ht="22.5" customHeight="1">
      <c r="B1475" s="42" t="str">
        <f>IFERROR(__xludf.DUMMYFUNCTION("""COMPUTED_VALUE"""),"K/28/090125/2")</f>
        <v>K/28/090125/2</v>
      </c>
      <c r="C1475" s="42" t="str">
        <f>IFERROR(__xludf.DUMMYFUNCTION("""COMPUTED_VALUE"""),"M. 16665/ Sukabumi")</f>
        <v>M. 16665/ Sukabumi</v>
      </c>
      <c r="D1475" s="42" t="str">
        <f>IFERROR(__xludf.DUMMYFUNCTION("""COMPUTED_VALUE"""),"Berry")</f>
        <v>Berry</v>
      </c>
      <c r="E1475" s="42" t="str">
        <f>IFERROR(__xludf.DUMMYFUNCTION("""COMPUTED_VALUE"""),"DISERAHKAN")</f>
        <v>DISERAHKAN</v>
      </c>
      <c r="F1475" s="48">
        <f>IFERROR(__xludf.DUMMYFUNCTION("""COMPUTED_VALUE"""),45671.43245826389)</f>
        <v>45671.43246</v>
      </c>
      <c r="G1475" s="42" t="str">
        <f>IFERROR(__xludf.DUMMYFUNCTION("""COMPUTED_VALUE"""),"BN JUAL BELI")</f>
        <v>BN JUAL BELI</v>
      </c>
      <c r="H1475" s="42">
        <f t="shared" si="1"/>
        <v>680</v>
      </c>
    </row>
    <row r="1476" ht="22.5" customHeight="1">
      <c r="B1476" s="42" t="str">
        <f>IFERROR(__xludf.DUMMYFUNCTION("""COMPUTED_VALUE"""),"L/31/090125/1")</f>
        <v>L/31/090125/1</v>
      </c>
      <c r="C1476" s="42" t="str">
        <f>IFERROR(__xludf.DUMMYFUNCTION("""COMPUTED_VALUE"""),"HGB 698/TANJUNG BARU")</f>
        <v>HGB 698/TANJUNG BARU</v>
      </c>
      <c r="D1476" s="42" t="str">
        <f>IFERROR(__xludf.DUMMYFUNCTION("""COMPUTED_VALUE"""),"Berry")</f>
        <v>Berry</v>
      </c>
      <c r="E1476" s="42" t="str">
        <f>IFERROR(__xludf.DUMMYFUNCTION("""COMPUTED_VALUE"""),"PROSES")</f>
        <v>PROSES</v>
      </c>
      <c r="F1476" s="48" t="str">
        <f>IFERROR(__xludf.DUMMYFUNCTION("""COMPUTED_VALUE"""),"")</f>
        <v/>
      </c>
      <c r="G1476" s="42" t="str">
        <f>IFERROR(__xludf.DUMMYFUNCTION("""COMPUTED_VALUE"""),"PH")</f>
        <v>PH</v>
      </c>
      <c r="H1476" s="42">
        <f t="shared" si="1"/>
        <v>680</v>
      </c>
    </row>
    <row r="1477" ht="22.5" customHeight="1">
      <c r="B1477" s="42" t="str">
        <f>IFERROR(__xludf.DUMMYFUNCTION("""COMPUTED_VALUE"""),"L/32/090125/1")</f>
        <v>L/32/090125/1</v>
      </c>
      <c r="C1477" s="42" t="str">
        <f>IFERROR(__xludf.DUMMYFUNCTION("""COMPUTED_VALUE"""),"HM 5202/BERINGIN RAYA")</f>
        <v>HM 5202/BERINGIN RAYA</v>
      </c>
      <c r="D1477" s="42" t="str">
        <f>IFERROR(__xludf.DUMMYFUNCTION("""COMPUTED_VALUE"""),"Berry")</f>
        <v>Berry</v>
      </c>
      <c r="E1477" s="42" t="str">
        <f>IFERROR(__xludf.DUMMYFUNCTION("""COMPUTED_VALUE"""),"DISERAHKAN")</f>
        <v>DISERAHKAN</v>
      </c>
      <c r="F1477" s="48">
        <f>IFERROR(__xludf.DUMMYFUNCTION("""COMPUTED_VALUE"""),45723.5455203125)</f>
        <v>45723.54552</v>
      </c>
      <c r="G1477" s="42" t="str">
        <f>IFERROR(__xludf.DUMMYFUNCTION("""COMPUTED_VALUE"""),"ROYA")</f>
        <v>ROYA</v>
      </c>
      <c r="H1477" s="42">
        <f t="shared" si="1"/>
        <v>681</v>
      </c>
    </row>
    <row r="1478" ht="22.5" customHeight="1">
      <c r="B1478" s="42" t="str">
        <f>IFERROR(__xludf.DUMMYFUNCTION("""COMPUTED_VALUE"""),"K/33/090125/1")</f>
        <v>K/33/090125/1</v>
      </c>
      <c r="C1478" s="42" t="str">
        <f>IFERROR(__xludf.DUMMYFUNCTION("""COMPUTED_VALUE"""),"M. 16490/ Sukarame")</f>
        <v>M. 16490/ Sukarame</v>
      </c>
      <c r="D1478" s="42" t="str">
        <f>IFERROR(__xludf.DUMMYFUNCTION("""COMPUTED_VALUE"""),"David")</f>
        <v>David</v>
      </c>
      <c r="E1478" s="42" t="str">
        <f>IFERROR(__xludf.DUMMYFUNCTION("""COMPUTED_VALUE"""),"DISERAHKAN")</f>
        <v>DISERAHKAN</v>
      </c>
      <c r="F1478" s="48">
        <f>IFERROR(__xludf.DUMMYFUNCTION("""COMPUTED_VALUE"""),45719.63700267361)</f>
        <v>45719.637</v>
      </c>
      <c r="G1478" s="42" t="str">
        <f>IFERROR(__xludf.DUMMYFUNCTION("""COMPUTED_VALUE"""),"BN JUAL BELI")</f>
        <v>BN JUAL BELI</v>
      </c>
      <c r="H1478" s="42">
        <f t="shared" si="1"/>
        <v>682</v>
      </c>
    </row>
    <row r="1479" ht="22.5" customHeight="1">
      <c r="B1479" s="42" t="str">
        <f>IFERROR(__xludf.DUMMYFUNCTION("""COMPUTED_VALUE"""),"L/34/090125/1")</f>
        <v>L/34/090125/1</v>
      </c>
      <c r="C1479" s="42" t="str">
        <f>IFERROR(__xludf.DUMMYFUNCTION("""COMPUTED_VALUE"""),"HM 9783/LABUHAN RATU")</f>
        <v>HM 9783/LABUHAN RATU</v>
      </c>
      <c r="D1479" s="42"/>
      <c r="E1479" s="42"/>
      <c r="F1479" s="48" t="str">
        <f>IFERROR(__xludf.DUMMYFUNCTION("""COMPUTED_VALUE"""),"")</f>
        <v/>
      </c>
      <c r="G1479" s="42" t="str">
        <f>IFERROR(__xludf.DUMMYFUNCTION("""COMPUTED_VALUE"""),"SERTIPIKAT HILANG")</f>
        <v>SERTIPIKAT HILANG</v>
      </c>
      <c r="H1479" s="42">
        <f t="shared" si="1"/>
        <v>682</v>
      </c>
    </row>
    <row r="1480" ht="22.5" customHeight="1">
      <c r="B1480" s="42" t="str">
        <f>IFERROR(__xludf.DUMMYFUNCTION("""COMPUTED_VALUE"""),"L/35/090125/1")</f>
        <v>L/35/090125/1</v>
      </c>
      <c r="C1480" s="42" t="str">
        <f>IFERROR(__xludf.DUMMYFUNCTION("""COMPUTED_VALUE"""),"HM 14146/SUKARAME")</f>
        <v>HM 14146/SUKARAME</v>
      </c>
      <c r="D1480" s="42" t="str">
        <f>IFERROR(__xludf.DUMMYFUNCTION("""COMPUTED_VALUE"""),"David")</f>
        <v>David</v>
      </c>
      <c r="E1480" s="42" t="str">
        <f>IFERROR(__xludf.DUMMYFUNCTION("""COMPUTED_VALUE"""),"DISERAHKAN")</f>
        <v>DISERAHKAN</v>
      </c>
      <c r="F1480" s="48">
        <f>IFERROR(__xludf.DUMMYFUNCTION("""COMPUTED_VALUE"""),45671.435621979166)</f>
        <v>45671.43562</v>
      </c>
      <c r="G1480" s="42" t="str">
        <f>IFERROR(__xludf.DUMMYFUNCTION("""COMPUTED_VALUE"""),"ROYA")</f>
        <v>ROYA</v>
      </c>
      <c r="H1480" s="42">
        <f t="shared" si="1"/>
        <v>683</v>
      </c>
    </row>
    <row r="1481" ht="22.5" customHeight="1">
      <c r="B1481" s="42" t="str">
        <f>IFERROR(__xludf.DUMMYFUNCTION("""COMPUTED_VALUE"""),"K/36/090125/1")</f>
        <v>K/36/090125/1</v>
      </c>
      <c r="C1481" s="42" t="str">
        <f>IFERROR(__xludf.DUMMYFUNCTION("""COMPUTED_VALUE"""),"M. 464/ Rajabasa Nunyai")</f>
        <v>M. 464/ Rajabasa Nunyai</v>
      </c>
      <c r="D1481" s="42" t="str">
        <f>IFERROR(__xludf.DUMMYFUNCTION("""COMPUTED_VALUE"""),"David")</f>
        <v>David</v>
      </c>
      <c r="E1481" s="42" t="str">
        <f>IFERROR(__xludf.DUMMYFUNCTION("""COMPUTED_VALUE"""),"DISERAHKAN BT")</f>
        <v>DISERAHKAN BT</v>
      </c>
      <c r="F1481" s="48">
        <f>IFERROR(__xludf.DUMMYFUNCTION("""COMPUTED_VALUE"""),45671.435750150464)</f>
        <v>45671.43575</v>
      </c>
      <c r="G1481" s="42" t="str">
        <f>IFERROR(__xludf.DUMMYFUNCTION("""COMPUTED_VALUE"""),"BN Waris")</f>
        <v>BN Waris</v>
      </c>
      <c r="H1481" s="42">
        <f t="shared" si="1"/>
        <v>683</v>
      </c>
    </row>
    <row r="1482" ht="22.5" customHeight="1">
      <c r="B1482" s="42" t="str">
        <f>IFERROR(__xludf.DUMMYFUNCTION("""COMPUTED_VALUE"""),"L/1/100125/1")</f>
        <v>L/1/100125/1</v>
      </c>
      <c r="C1482" s="42" t="str">
        <f>IFERROR(__xludf.DUMMYFUNCTION("""COMPUTED_VALUE"""),"HM 10167/RAJABASA")</f>
        <v>HM 10167/RAJABASA</v>
      </c>
      <c r="D1482" s="42"/>
      <c r="E1482" s="42"/>
      <c r="F1482" s="48" t="str">
        <f>IFERROR(__xludf.DUMMYFUNCTION("""COMPUTED_VALUE"""),"")</f>
        <v/>
      </c>
      <c r="G1482" s="42" t="str">
        <f>IFERROR(__xludf.DUMMYFUNCTION("""COMPUTED_VALUE"""),"SKPT INFORMASI")</f>
        <v>SKPT INFORMASI</v>
      </c>
      <c r="H1482" s="42">
        <f t="shared" si="1"/>
        <v>683</v>
      </c>
    </row>
    <row r="1483" ht="22.5" customHeight="1">
      <c r="B1483" s="42" t="str">
        <f>IFERROR(__xludf.DUMMYFUNCTION("""COMPUTED_VALUE"""),"K/2/100125/1")</f>
        <v>K/2/100125/1</v>
      </c>
      <c r="C1483" s="42" t="str">
        <f>IFERROR(__xludf.DUMMYFUNCTION("""COMPUTED_VALUE"""),"NIBEL B13227/SUKABUMI INDAH")</f>
        <v>NIBEL B13227/SUKABUMI INDAH</v>
      </c>
      <c r="D1483" s="42"/>
      <c r="E1483" s="42"/>
      <c r="F1483" s="48" t="str">
        <f>IFERROR(__xludf.DUMMYFUNCTION("""COMPUTED_VALUE"""),"")</f>
        <v/>
      </c>
      <c r="G1483" s="42" t="str">
        <f>IFERROR(__xludf.DUMMYFUNCTION("""COMPUTED_VALUE"""),"PERUBAHAN HAK")</f>
        <v>PERUBAHAN HAK</v>
      </c>
      <c r="H1483" s="42">
        <f t="shared" si="1"/>
        <v>683</v>
      </c>
    </row>
    <row r="1484" ht="22.5" customHeight="1">
      <c r="B1484" s="42" t="str">
        <f>IFERROR(__xludf.DUMMYFUNCTION("""COMPUTED_VALUE"""),"K/3/100125/1")</f>
        <v>K/3/100125/1</v>
      </c>
      <c r="C1484" s="42" t="str">
        <f>IFERROR(__xludf.DUMMYFUNCTION("""COMPUTED_VALUE"""),"M. 2507/ Sumber Rejo")</f>
        <v>M. 2507/ Sumber Rejo</v>
      </c>
      <c r="D1484" s="42" t="str">
        <f>IFERROR(__xludf.DUMMYFUNCTION("""COMPUTED_VALUE"""),"David")</f>
        <v>David</v>
      </c>
      <c r="E1484" s="42" t="str">
        <f>IFERROR(__xludf.DUMMYFUNCTION("""COMPUTED_VALUE"""),"DISERAHKAN")</f>
        <v>DISERAHKAN</v>
      </c>
      <c r="F1484" s="48">
        <f>IFERROR(__xludf.DUMMYFUNCTION("""COMPUTED_VALUE"""),45671.43652425926)</f>
        <v>45671.43652</v>
      </c>
      <c r="G1484" s="42" t="str">
        <f>IFERROR(__xludf.DUMMYFUNCTION("""COMPUTED_VALUE"""),"Roya")</f>
        <v>Roya</v>
      </c>
      <c r="H1484" s="42">
        <f t="shared" si="1"/>
        <v>684</v>
      </c>
    </row>
    <row r="1485" ht="22.5" customHeight="1">
      <c r="B1485" s="42" t="str">
        <f>IFERROR(__xludf.DUMMYFUNCTION("""COMPUTED_VALUE"""),"L/4/100125/1")</f>
        <v>L/4/100125/1</v>
      </c>
      <c r="C1485" s="42" t="str">
        <f>IFERROR(__xludf.DUMMYFUNCTION("""COMPUTED_VALUE"""),"HM 381/GEDONG AIR")</f>
        <v>HM 381/GEDONG AIR</v>
      </c>
      <c r="D1485" s="42" t="str">
        <f>IFERROR(__xludf.DUMMYFUNCTION("""COMPUTED_VALUE"""),"David")</f>
        <v>David</v>
      </c>
      <c r="E1485" s="42" t="str">
        <f>IFERROR(__xludf.DUMMYFUNCTION("""COMPUTED_VALUE"""),"DISERAHKAN")</f>
        <v>DISERAHKAN</v>
      </c>
      <c r="F1485" s="48">
        <f>IFERROR(__xludf.DUMMYFUNCTION("""COMPUTED_VALUE"""),45671.43660162037)</f>
        <v>45671.4366</v>
      </c>
      <c r="G1485" s="42" t="str">
        <f>IFERROR(__xludf.DUMMYFUNCTION("""COMPUTED_VALUE"""),"ROYA")</f>
        <v>ROYA</v>
      </c>
      <c r="H1485" s="42">
        <f t="shared" si="1"/>
        <v>685</v>
      </c>
    </row>
    <row r="1486" ht="22.5" customHeight="1">
      <c r="B1486" s="42" t="str">
        <f>IFERROR(__xludf.DUMMYFUNCTION("""COMPUTED_VALUE"""),"L/5/100125/1")</f>
        <v>L/5/100125/1</v>
      </c>
      <c r="C1486" s="42" t="str">
        <f>IFERROR(__xludf.DUMMYFUNCTION("""COMPUTED_VALUE"""),"HM 97/SUKARAME BARU")</f>
        <v>HM 97/SUKARAME BARU</v>
      </c>
      <c r="D1486" s="42" t="str">
        <f>IFERROR(__xludf.DUMMYFUNCTION("""COMPUTED_VALUE"""),"David")</f>
        <v>David</v>
      </c>
      <c r="E1486" s="42" t="str">
        <f>IFERROR(__xludf.DUMMYFUNCTION("""COMPUTED_VALUE"""),"DISERAHKAN")</f>
        <v>DISERAHKAN</v>
      </c>
      <c r="F1486" s="48">
        <f>IFERROR(__xludf.DUMMYFUNCTION("""COMPUTED_VALUE"""),45763.44475571759)</f>
        <v>45763.44476</v>
      </c>
      <c r="G1486" s="42" t="str">
        <f>IFERROR(__xludf.DUMMYFUNCTION("""COMPUTED_VALUE"""),"ROYA LELANG")</f>
        <v>ROYA LELANG</v>
      </c>
      <c r="H1486" s="42">
        <f t="shared" si="1"/>
        <v>686</v>
      </c>
    </row>
    <row r="1487" ht="22.5" customHeight="1">
      <c r="B1487" s="42" t="str">
        <f>IFERROR(__xludf.DUMMYFUNCTION("""COMPUTED_VALUE"""),"L/6/100125/1")</f>
        <v>L/6/100125/1</v>
      </c>
      <c r="C1487" s="42" t="str">
        <f>IFERROR(__xludf.DUMMYFUNCTION("""COMPUTED_VALUE"""),"HGB 130/PWK")</f>
        <v>HGB 130/PWK</v>
      </c>
      <c r="D1487" s="42" t="str">
        <f>IFERROR(__xludf.DUMMYFUNCTION("""COMPUTED_VALUE"""),"David")</f>
        <v>David</v>
      </c>
      <c r="E1487" s="42" t="str">
        <f>IFERROR(__xludf.DUMMYFUNCTION("""COMPUTED_VALUE"""),"DISERAHKAN")</f>
        <v>DISERAHKAN</v>
      </c>
      <c r="F1487" s="48">
        <f>IFERROR(__xludf.DUMMYFUNCTION("""COMPUTED_VALUE"""),45715.40016048611)</f>
        <v>45715.40016</v>
      </c>
      <c r="G1487" s="42" t="str">
        <f>IFERROR(__xludf.DUMMYFUNCTION("""COMPUTED_VALUE"""),"ROYA")</f>
        <v>ROYA</v>
      </c>
      <c r="H1487" s="42">
        <f t="shared" si="1"/>
        <v>687</v>
      </c>
    </row>
    <row r="1488" ht="22.5" customHeight="1">
      <c r="B1488" s="42" t="str">
        <f>IFERROR(__xludf.DUMMYFUNCTION("""COMPUTED_VALUE"""),"K/7/100125/1")</f>
        <v>K/7/100125/1</v>
      </c>
      <c r="C1488" s="42" t="str">
        <f>IFERROR(__xludf.DUMMYFUNCTION("""COMPUTED_VALUE"""),"M. 1291/ Pinang Jaya")</f>
        <v>M. 1291/ Pinang Jaya</v>
      </c>
      <c r="D1488" s="42"/>
      <c r="E1488" s="42"/>
      <c r="F1488" s="48" t="str">
        <f>IFERROR(__xludf.DUMMYFUNCTION("""COMPUTED_VALUE"""),"")</f>
        <v/>
      </c>
      <c r="G1488" s="42" t="str">
        <f>IFERROR(__xludf.DUMMYFUNCTION("""COMPUTED_VALUE"""),"HAPUS BPHTB")</f>
        <v>HAPUS BPHTB</v>
      </c>
      <c r="H1488" s="42">
        <f t="shared" si="1"/>
        <v>687</v>
      </c>
    </row>
    <row r="1489" ht="22.5" customHeight="1">
      <c r="B1489" s="42" t="str">
        <f>IFERROR(__xludf.DUMMYFUNCTION("""COMPUTED_VALUE"""),"K/9/100125/1")</f>
        <v>K/9/100125/1</v>
      </c>
      <c r="C1489" s="42" t="str">
        <f>IFERROR(__xludf.DUMMYFUNCTION("""COMPUTED_VALUE"""),"M. 5512/ Langkapura")</f>
        <v>M. 5512/ Langkapura</v>
      </c>
      <c r="D1489" s="42" t="str">
        <f>IFERROR(__xludf.DUMMYFUNCTION("""COMPUTED_VALUE"""),"David")</f>
        <v>David</v>
      </c>
      <c r="E1489" s="42" t="str">
        <f>IFERROR(__xludf.DUMMYFUNCTION("""COMPUTED_VALUE"""),"DISERAHKAN")</f>
        <v>DISERAHKAN</v>
      </c>
      <c r="F1489" s="48">
        <f>IFERROR(__xludf.DUMMYFUNCTION("""COMPUTED_VALUE"""),45671.43729637731)</f>
        <v>45671.4373</v>
      </c>
      <c r="G1489" s="42" t="str">
        <f>IFERROR(__xludf.DUMMYFUNCTION("""COMPUTED_VALUE"""),"BN Jual Beli")</f>
        <v>BN Jual Beli</v>
      </c>
      <c r="H1489" s="42">
        <f t="shared" si="1"/>
        <v>688</v>
      </c>
    </row>
    <row r="1490" ht="22.5" customHeight="1">
      <c r="B1490" s="42" t="str">
        <f>IFERROR(__xludf.DUMMYFUNCTION("""COMPUTED_VALUE"""),"K/10/100125/1")</f>
        <v>K/10/100125/1</v>
      </c>
      <c r="C1490" s="42" t="str">
        <f>IFERROR(__xludf.DUMMYFUNCTION("""COMPUTED_VALUE"""),"M.6572/TANJUNG SENENG")</f>
        <v>M.6572/TANJUNG SENENG</v>
      </c>
      <c r="D1490" s="42" t="str">
        <f>IFERROR(__xludf.DUMMYFUNCTION("""COMPUTED_VALUE"""),"David")</f>
        <v>David</v>
      </c>
      <c r="E1490" s="42" t="str">
        <f>IFERROR(__xludf.DUMMYFUNCTION("""COMPUTED_VALUE"""),"DISERAHKAN")</f>
        <v>DISERAHKAN</v>
      </c>
      <c r="F1490" s="48">
        <f>IFERROR(__xludf.DUMMYFUNCTION("""COMPUTED_VALUE"""),45671.43756527778)</f>
        <v>45671.43757</v>
      </c>
      <c r="G1490" s="42" t="str">
        <f>IFERROR(__xludf.DUMMYFUNCTION("""COMPUTED_VALUE"""),"BN JUAL BELI")</f>
        <v>BN JUAL BELI</v>
      </c>
      <c r="H1490" s="42">
        <f t="shared" si="1"/>
        <v>689</v>
      </c>
    </row>
    <row r="1491" ht="22.5" customHeight="1">
      <c r="B1491" s="42" t="str">
        <f>IFERROR(__xludf.DUMMYFUNCTION("""COMPUTED_VALUE"""),"K/11/100125/1")</f>
        <v>K/11/100125/1</v>
      </c>
      <c r="C1491" s="42" t="str">
        <f>IFERROR(__xludf.DUMMYFUNCTION("""COMPUTED_VALUE"""),"NIBEL M 10875/CAMPANG RAYA")</f>
        <v>NIBEL M 10875/CAMPANG RAYA</v>
      </c>
      <c r="D1491" s="42"/>
      <c r="E1491" s="42"/>
      <c r="F1491" s="48" t="str">
        <f>IFERROR(__xludf.DUMMYFUNCTION("""COMPUTED_VALUE"""),"")</f>
        <v/>
      </c>
      <c r="G1491" s="42" t="str">
        <f>IFERROR(__xludf.DUMMYFUNCTION("""COMPUTED_VALUE"""),"KEWARISAN")</f>
        <v>KEWARISAN</v>
      </c>
      <c r="H1491" s="42">
        <f t="shared" si="1"/>
        <v>689</v>
      </c>
    </row>
    <row r="1492" ht="22.5" customHeight="1">
      <c r="B1492" s="42" t="str">
        <f>IFERROR(__xludf.DUMMYFUNCTION("""COMPUTED_VALUE"""),"K/12/100125/1")</f>
        <v>K/12/100125/1</v>
      </c>
      <c r="C1492" s="42" t="str">
        <f>IFERROR(__xludf.DUMMYFUNCTION("""COMPUTED_VALUE"""),"M. 4358/ Tanjung Senang")</f>
        <v>M. 4358/ Tanjung Senang</v>
      </c>
      <c r="D1492" s="42"/>
      <c r="E1492" s="42"/>
      <c r="F1492" s="48" t="str">
        <f>IFERROR(__xludf.DUMMYFUNCTION("""COMPUTED_VALUE"""),"")</f>
        <v/>
      </c>
      <c r="G1492" s="42" t="str">
        <f>IFERROR(__xludf.DUMMYFUNCTION("""COMPUTED_VALUE"""),"SKPT Lelang")</f>
        <v>SKPT Lelang</v>
      </c>
      <c r="H1492" s="42">
        <f t="shared" si="1"/>
        <v>689</v>
      </c>
    </row>
    <row r="1493" ht="22.5" customHeight="1">
      <c r="B1493" s="42" t="str">
        <f>IFERROR(__xludf.DUMMYFUNCTION("""COMPUTED_VALUE"""),"K/13/100125/2")</f>
        <v>K/13/100125/2</v>
      </c>
      <c r="C1493" s="42" t="str">
        <f>IFERROR(__xludf.DUMMYFUNCTION("""COMPUTED_VALUE"""),"Nibel. M. 10863/ Kemiling Permai")</f>
        <v>Nibel. M. 10863/ Kemiling Permai</v>
      </c>
      <c r="D1493" s="42"/>
      <c r="E1493" s="42"/>
      <c r="F1493" s="48" t="str">
        <f>IFERROR(__xludf.DUMMYFUNCTION("""COMPUTED_VALUE"""),"")</f>
        <v/>
      </c>
      <c r="G1493" s="42" t="str">
        <f>IFERROR(__xludf.DUMMYFUNCTION("""COMPUTED_VALUE"""),"SKPT Lelang")</f>
        <v>SKPT Lelang</v>
      </c>
      <c r="H1493" s="42">
        <f t="shared" si="1"/>
        <v>689</v>
      </c>
    </row>
    <row r="1494" ht="22.5" customHeight="1">
      <c r="B1494" s="42" t="str">
        <f>IFERROR(__xludf.DUMMYFUNCTION("""COMPUTED_VALUE"""),"K/8/100125/1")</f>
        <v>K/8/100125/1</v>
      </c>
      <c r="C1494" s="42" t="str">
        <f>IFERROR(__xludf.DUMMYFUNCTION("""COMPUTED_VALUE"""),"M. 1008/ Gunung Agung")</f>
        <v>M. 1008/ Gunung Agung</v>
      </c>
      <c r="D1494" s="42" t="str">
        <f>IFERROR(__xludf.DUMMYFUNCTION("""COMPUTED_VALUE"""),"David")</f>
        <v>David</v>
      </c>
      <c r="E1494" s="42" t="str">
        <f>IFERROR(__xludf.DUMMYFUNCTION("""COMPUTED_VALUE"""),"DISERAHKAN")</f>
        <v>DISERAHKAN</v>
      </c>
      <c r="F1494" s="48">
        <f>IFERROR(__xludf.DUMMYFUNCTION("""COMPUTED_VALUE"""),45736.60950048611)</f>
        <v>45736.6095</v>
      </c>
      <c r="G1494" s="42" t="str">
        <f>IFERROR(__xludf.DUMMYFUNCTION("""COMPUTED_VALUE"""),"BN WARIS")</f>
        <v>BN WARIS</v>
      </c>
      <c r="H1494" s="42">
        <f t="shared" si="1"/>
        <v>690</v>
      </c>
    </row>
    <row r="1495" ht="22.5" customHeight="1">
      <c r="B1495" s="42" t="str">
        <f>IFERROR(__xludf.DUMMYFUNCTION("""COMPUTED_VALUE"""),"K/14/100125/1")</f>
        <v>K/14/100125/1</v>
      </c>
      <c r="C1495" s="42" t="str">
        <f>IFERROR(__xludf.DUMMYFUNCTION("""COMPUTED_VALUE"""),"M. 1031/ Sumberejo Sejahtera")</f>
        <v>M. 1031/ Sumberejo Sejahtera</v>
      </c>
      <c r="D1495" s="42" t="str">
        <f>IFERROR(__xludf.DUMMYFUNCTION("""COMPUTED_VALUE"""),"David")</f>
        <v>David</v>
      </c>
      <c r="E1495" s="42" t="str">
        <f>IFERROR(__xludf.DUMMYFUNCTION("""COMPUTED_VALUE"""),"PROSES")</f>
        <v>PROSES</v>
      </c>
      <c r="F1495" s="48" t="str">
        <f>IFERROR(__xludf.DUMMYFUNCTION("""COMPUTED_VALUE"""),"")</f>
        <v/>
      </c>
      <c r="G1495" s="42" t="str">
        <f>IFERROR(__xludf.DUMMYFUNCTION("""COMPUTED_VALUE"""),"BN Waris")</f>
        <v>BN Waris</v>
      </c>
      <c r="H1495" s="42">
        <f t="shared" si="1"/>
        <v>690</v>
      </c>
    </row>
    <row r="1496" ht="22.5" customHeight="1">
      <c r="B1496" s="42" t="str">
        <f>IFERROR(__xludf.DUMMYFUNCTION("""COMPUTED_VALUE"""),"K/1/130125/1")</f>
        <v>K/1/130125/1</v>
      </c>
      <c r="C1496" s="42" t="str">
        <f>IFERROR(__xludf.DUMMYFUNCTION("""COMPUTED_VALUE"""),"M. 13959/ Kedamaian")</f>
        <v>M. 13959/ Kedamaian</v>
      </c>
      <c r="D1496" s="42" t="str">
        <f>IFERROR(__xludf.DUMMYFUNCTION("""COMPUTED_VALUE"""),"David")</f>
        <v>David</v>
      </c>
      <c r="E1496" s="42" t="str">
        <f>IFERROR(__xludf.DUMMYFUNCTION("""COMPUTED_VALUE"""),"DISERAHKAN")</f>
        <v>DISERAHKAN</v>
      </c>
      <c r="F1496" s="48">
        <f>IFERROR(__xludf.DUMMYFUNCTION("""COMPUTED_VALUE"""),45671.43814300926)</f>
        <v>45671.43814</v>
      </c>
      <c r="G1496" s="42" t="str">
        <f>IFERROR(__xludf.DUMMYFUNCTION("""COMPUTED_VALUE"""),"Roya")</f>
        <v>Roya</v>
      </c>
      <c r="H1496" s="42">
        <f t="shared" si="1"/>
        <v>691</v>
      </c>
    </row>
    <row r="1497" ht="22.5" customHeight="1">
      <c r="B1497" s="42" t="str">
        <f>IFERROR(__xludf.DUMMYFUNCTION("""COMPUTED_VALUE"""),"L/3/130125/1")</f>
        <v>L/3/130125/1</v>
      </c>
      <c r="C1497" s="42" t="str">
        <f>IFERROR(__xludf.DUMMYFUNCTION("""COMPUTED_VALUE"""),"HM 11321,11322/SUKABUMI")</f>
        <v>HM 11321,11322/SUKABUMI</v>
      </c>
      <c r="D1497" s="42" t="str">
        <f>IFERROR(__xludf.DUMMYFUNCTION("""COMPUTED_VALUE"""),"David")</f>
        <v>David</v>
      </c>
      <c r="E1497" s="42" t="str">
        <f>IFERROR(__xludf.DUMMYFUNCTION("""COMPUTED_VALUE"""),"DISERAHKAN")</f>
        <v>DISERAHKAN</v>
      </c>
      <c r="F1497" s="48">
        <f>IFERROR(__xludf.DUMMYFUNCTION("""COMPUTED_VALUE"""),45671.43844457176)</f>
        <v>45671.43844</v>
      </c>
      <c r="G1497" s="42" t="str">
        <f>IFERROR(__xludf.DUMMYFUNCTION("""COMPUTED_VALUE"""),"ROYA")</f>
        <v>ROYA</v>
      </c>
      <c r="H1497" s="42">
        <f t="shared" si="1"/>
        <v>692</v>
      </c>
    </row>
    <row r="1498" ht="22.5" customHeight="1">
      <c r="B1498" s="42" t="str">
        <f>IFERROR(__xludf.DUMMYFUNCTION("""COMPUTED_VALUE"""),"L/1/110125/PELATARAN")</f>
        <v>L/1/110125/PELATARAN</v>
      </c>
      <c r="C1498" s="42" t="str">
        <f>IFERROR(__xludf.DUMMYFUNCTION("""COMPUTED_VALUE"""),"M. 13754/LABUHAN RATU")</f>
        <v>M. 13754/LABUHAN RATU</v>
      </c>
      <c r="D1498" s="42" t="str">
        <f>IFERROR(__xludf.DUMMYFUNCTION("""COMPUTED_VALUE"""),"David")</f>
        <v>David</v>
      </c>
      <c r="E1498" s="42" t="str">
        <f>IFERROR(__xludf.DUMMYFUNCTION("""COMPUTED_VALUE"""),"DISERAHKAN")</f>
        <v>DISERAHKAN</v>
      </c>
      <c r="F1498" s="48">
        <f>IFERROR(__xludf.DUMMYFUNCTION("""COMPUTED_VALUE"""),45705.592556539355)</f>
        <v>45705.59256</v>
      </c>
      <c r="G1498" s="42" t="str">
        <f>IFERROR(__xludf.DUMMYFUNCTION("""COMPUTED_VALUE"""),"ROYA")</f>
        <v>ROYA</v>
      </c>
      <c r="H1498" s="42">
        <f t="shared" si="1"/>
        <v>693</v>
      </c>
    </row>
    <row r="1499" ht="22.5" customHeight="1">
      <c r="B1499" s="42" t="str">
        <f>IFERROR(__xludf.DUMMYFUNCTION("""COMPUTED_VALUE"""),"L/5/130129/1")</f>
        <v>L/5/130129/1</v>
      </c>
      <c r="C1499" s="42" t="str">
        <f>IFERROR(__xludf.DUMMYFUNCTION("""COMPUTED_VALUE"""),"HM 1446/DURIAN PAYUNG")</f>
        <v>HM 1446/DURIAN PAYUNG</v>
      </c>
      <c r="D1499" s="42"/>
      <c r="E1499" s="42"/>
      <c r="F1499" s="48" t="str">
        <f>IFERROR(__xludf.DUMMYFUNCTION("""COMPUTED_VALUE"""),"")</f>
        <v/>
      </c>
      <c r="G1499" s="42" t="str">
        <f>IFERROR(__xludf.DUMMYFUNCTION("""COMPUTED_VALUE"""),"SERTIPIKAT HILANG")</f>
        <v>SERTIPIKAT HILANG</v>
      </c>
      <c r="H1499" s="42">
        <f t="shared" si="1"/>
        <v>693</v>
      </c>
    </row>
    <row r="1500" ht="22.5" customHeight="1">
      <c r="B1500" s="42" t="str">
        <f>IFERROR(__xludf.DUMMYFUNCTION("""COMPUTED_VALUE"""),"K/6/130130/1")</f>
        <v>K/6/130130/1</v>
      </c>
      <c r="C1500" s="42" t="str">
        <f>IFERROR(__xludf.DUMMYFUNCTION("""COMPUTED_VALUE"""),"M. 1147/ sepang Jaya")</f>
        <v>M. 1147/ sepang Jaya</v>
      </c>
      <c r="D1500" s="42" t="str">
        <f>IFERROR(__xludf.DUMMYFUNCTION("""COMPUTED_VALUE"""),"Berry")</f>
        <v>Berry</v>
      </c>
      <c r="E1500" s="42" t="str">
        <f>IFERROR(__xludf.DUMMYFUNCTION("""COMPUTED_VALUE"""),"DISERAHKAN")</f>
        <v>DISERAHKAN</v>
      </c>
      <c r="F1500" s="48">
        <f>IFERROR(__xludf.DUMMYFUNCTION("""COMPUTED_VALUE"""),45672.45766155093)</f>
        <v>45672.45766</v>
      </c>
      <c r="G1500" s="42" t="str">
        <f>IFERROR(__xludf.DUMMYFUNCTION("""COMPUTED_VALUE"""),"ROYA")</f>
        <v>ROYA</v>
      </c>
      <c r="H1500" s="42">
        <f t="shared" si="1"/>
        <v>694</v>
      </c>
    </row>
    <row r="1501" ht="22.5" customHeight="1">
      <c r="B1501" s="42" t="str">
        <f>IFERROR(__xludf.DUMMYFUNCTION("""COMPUTED_VALUE"""),"K/7/130125/1")</f>
        <v>K/7/130125/1</v>
      </c>
      <c r="C1501" s="42" t="str">
        <f>IFERROR(__xludf.DUMMYFUNCTION("""COMPUTED_VALUE"""),"M.2245/SUKARAME II")</f>
        <v>M.2245/SUKARAME II</v>
      </c>
      <c r="D1501" s="42"/>
      <c r="E1501" s="42"/>
      <c r="F1501" s="48" t="str">
        <f>IFERROR(__xludf.DUMMYFUNCTION("""COMPUTED_VALUE"""),"")</f>
        <v/>
      </c>
      <c r="G1501" s="42" t="str">
        <f>IFERROR(__xludf.DUMMYFUNCTION("""COMPUTED_VALUE"""),"PTPGT")</f>
        <v>PTPGT</v>
      </c>
      <c r="H1501" s="42">
        <f t="shared" si="1"/>
        <v>694</v>
      </c>
    </row>
    <row r="1502" ht="22.5" customHeight="1">
      <c r="B1502" s="42" t="str">
        <f>IFERROR(__xludf.DUMMYFUNCTION("""COMPUTED_VALUE"""),"L/8/130125/1")</f>
        <v>L/8/130125/1</v>
      </c>
      <c r="C1502" s="42" t="str">
        <f>IFERROR(__xludf.DUMMYFUNCTION("""COMPUTED_VALUE"""),"HGB 1767/SUKARAME")</f>
        <v>HGB 1767/SUKARAME</v>
      </c>
      <c r="D1502" s="42" t="str">
        <f>IFERROR(__xludf.DUMMYFUNCTION("""COMPUTED_VALUE"""),"Berry")</f>
        <v>Berry</v>
      </c>
      <c r="E1502" s="42" t="str">
        <f>IFERROR(__xludf.DUMMYFUNCTION("""COMPUTED_VALUE"""),"DISERAHKAN")</f>
        <v>DISERAHKAN</v>
      </c>
      <c r="F1502" s="48">
        <f>IFERROR(__xludf.DUMMYFUNCTION("""COMPUTED_VALUE"""),45691.45584953704)</f>
        <v>45691.45585</v>
      </c>
      <c r="G1502" s="42" t="str">
        <f>IFERROR(__xludf.DUMMYFUNCTION("""COMPUTED_VALUE"""),"BN WARIS")</f>
        <v>BN WARIS</v>
      </c>
      <c r="H1502" s="42">
        <f t="shared" si="1"/>
        <v>695</v>
      </c>
    </row>
    <row r="1503" ht="22.5" customHeight="1">
      <c r="B1503" s="42" t="str">
        <f>IFERROR(__xludf.DUMMYFUNCTION("""COMPUTED_VALUE"""),"K/9/130125/1")</f>
        <v>K/9/130125/1</v>
      </c>
      <c r="C1503" s="42" t="str">
        <f>IFERROR(__xludf.DUMMYFUNCTION("""COMPUTED_VALUE"""),"M. 501/ Campang Jaya")</f>
        <v>M. 501/ Campang Jaya</v>
      </c>
      <c r="D1503" s="42" t="str">
        <f>IFERROR(__xludf.DUMMYFUNCTION("""COMPUTED_VALUE"""),"Berry")</f>
        <v>Berry</v>
      </c>
      <c r="E1503" s="42" t="str">
        <f>IFERROR(__xludf.DUMMYFUNCTION("""COMPUTED_VALUE"""),"PROSES")</f>
        <v>PROSES</v>
      </c>
      <c r="F1503" s="48" t="str">
        <f>IFERROR(__xludf.DUMMYFUNCTION("""COMPUTED_VALUE"""),"")</f>
        <v/>
      </c>
      <c r="G1503" s="42" t="str">
        <f>IFERROR(__xludf.DUMMYFUNCTION("""COMPUTED_VALUE"""),"BN Jual Beli")</f>
        <v>BN Jual Beli</v>
      </c>
      <c r="H1503" s="42">
        <f t="shared" si="1"/>
        <v>695</v>
      </c>
    </row>
    <row r="1504" ht="22.5" customHeight="1">
      <c r="B1504" s="42" t="str">
        <f>IFERROR(__xludf.DUMMYFUNCTION("""COMPUTED_VALUE"""),"L/10/130125/1")</f>
        <v>L/10/130125/1</v>
      </c>
      <c r="C1504" s="42" t="str">
        <f>IFERROR(__xludf.DUMMYFUNCTION("""COMPUTED_VALUE"""),"HM 4257/WAY KANDIS")</f>
        <v>HM 4257/WAY KANDIS</v>
      </c>
      <c r="D1504" s="42" t="str">
        <f>IFERROR(__xludf.DUMMYFUNCTION("""COMPUTED_VALUE"""),"Berry")</f>
        <v>Berry</v>
      </c>
      <c r="E1504" s="42" t="str">
        <f>IFERROR(__xludf.DUMMYFUNCTION("""COMPUTED_VALUE"""),"DISERAHKAN")</f>
        <v>DISERAHKAN</v>
      </c>
      <c r="F1504" s="48">
        <f>IFERROR(__xludf.DUMMYFUNCTION("""COMPUTED_VALUE"""),45672.45803487269)</f>
        <v>45672.45803</v>
      </c>
      <c r="G1504" s="42" t="str">
        <f>IFERROR(__xludf.DUMMYFUNCTION("""COMPUTED_VALUE"""),"ROYA")</f>
        <v>ROYA</v>
      </c>
      <c r="H1504" s="42">
        <f t="shared" si="1"/>
        <v>696</v>
      </c>
    </row>
    <row r="1505" ht="22.5" customHeight="1">
      <c r="B1505" s="42" t="str">
        <f>IFERROR(__xludf.DUMMYFUNCTION("""COMPUTED_VALUE"""),"L/2/110125/PELATARAN")</f>
        <v>L/2/110125/PELATARAN</v>
      </c>
      <c r="C1505" s="42" t="str">
        <f>IFERROR(__xludf.DUMMYFUNCTION("""COMPUTED_VALUE"""),"B.267/SUMBER AGUNG")</f>
        <v>B.267/SUMBER AGUNG</v>
      </c>
      <c r="D1505" s="42" t="str">
        <f>IFERROR(__xludf.DUMMYFUNCTION("""COMPUTED_VALUE"""),"Berry")</f>
        <v>Berry</v>
      </c>
      <c r="E1505" s="42" t="str">
        <f>IFERROR(__xludf.DUMMYFUNCTION("""COMPUTED_VALUE"""),"DISERAHKAN")</f>
        <v>DISERAHKAN</v>
      </c>
      <c r="F1505" s="48">
        <f>IFERROR(__xludf.DUMMYFUNCTION("""COMPUTED_VALUE"""),45672.45829472222)</f>
        <v>45672.45829</v>
      </c>
      <c r="G1505" s="42" t="str">
        <f>IFERROR(__xludf.DUMMYFUNCTION("""COMPUTED_VALUE"""),"PENINGKATAN HAK")</f>
        <v>PENINGKATAN HAK</v>
      </c>
      <c r="H1505" s="42">
        <f t="shared" si="1"/>
        <v>697</v>
      </c>
    </row>
    <row r="1506" ht="22.5" customHeight="1">
      <c r="B1506" s="42" t="str">
        <f>IFERROR(__xludf.DUMMYFUNCTION("""COMPUTED_VALUE"""),"L/11/130125/1")</f>
        <v>L/11/130125/1</v>
      </c>
      <c r="C1506" s="42" t="str">
        <f>IFERROR(__xludf.DUMMYFUNCTION("""COMPUTED_VALUE"""),"HM 1983/SUMBER REJO")</f>
        <v>HM 1983/SUMBER REJO</v>
      </c>
      <c r="D1506" s="42"/>
      <c r="E1506" s="42"/>
      <c r="F1506" s="48" t="str">
        <f>IFERROR(__xludf.DUMMYFUNCTION("""COMPUTED_VALUE"""),"")</f>
        <v/>
      </c>
      <c r="G1506" s="42" t="str">
        <f>IFERROR(__xludf.DUMMYFUNCTION("""COMPUTED_VALUE"""),"PENGHAPUSAN BPHTB")</f>
        <v>PENGHAPUSAN BPHTB</v>
      </c>
      <c r="H1506" s="42">
        <f t="shared" si="1"/>
        <v>697</v>
      </c>
    </row>
    <row r="1507" ht="22.5" customHeight="1">
      <c r="B1507" s="42" t="str">
        <f>IFERROR(__xludf.DUMMYFUNCTION("""COMPUTED_VALUE"""),"L/14/130125/1")</f>
        <v>L/14/130125/1</v>
      </c>
      <c r="C1507" s="42" t="str">
        <f>IFERROR(__xludf.DUMMYFUNCTION("""COMPUTED_VALUE"""),"HM 16056/SUKARAME")</f>
        <v>HM 16056/SUKARAME</v>
      </c>
      <c r="D1507" s="42" t="str">
        <f>IFERROR(__xludf.DUMMYFUNCTION("""COMPUTED_VALUE"""),"Berry")</f>
        <v>Berry</v>
      </c>
      <c r="E1507" s="42" t="str">
        <f>IFERROR(__xludf.DUMMYFUNCTION("""COMPUTED_VALUE"""),"DISERAHKAN")</f>
        <v>DISERAHKAN</v>
      </c>
      <c r="F1507" s="48">
        <f>IFERROR(__xludf.DUMMYFUNCTION("""COMPUTED_VALUE"""),45672.4584658449)</f>
        <v>45672.45847</v>
      </c>
      <c r="G1507" s="42" t="str">
        <f>IFERROR(__xludf.DUMMYFUNCTION("""COMPUTED_VALUE"""),"ROYA")</f>
        <v>ROYA</v>
      </c>
      <c r="H1507" s="42">
        <f t="shared" si="1"/>
        <v>698</v>
      </c>
    </row>
    <row r="1508" ht="22.5" customHeight="1">
      <c r="B1508" s="42" t="str">
        <f>IFERROR(__xludf.DUMMYFUNCTION("""COMPUTED_VALUE"""),"K/13/130125/1")</f>
        <v>K/13/130125/1</v>
      </c>
      <c r="C1508" s="42" t="str">
        <f>IFERROR(__xludf.DUMMYFUNCTION("""COMPUTED_VALUE"""),"M. 410/ Kaliawi Persada")</f>
        <v>M. 410/ Kaliawi Persada</v>
      </c>
      <c r="D1508" s="42"/>
      <c r="E1508" s="42"/>
      <c r="F1508" s="48" t="str">
        <f>IFERROR(__xludf.DUMMYFUNCTION("""COMPUTED_VALUE"""),"")</f>
        <v/>
      </c>
      <c r="G1508" s="42" t="str">
        <f>IFERROR(__xludf.DUMMYFUNCTION("""COMPUTED_VALUE"""),"SKPT LELANG")</f>
        <v>SKPT LELANG</v>
      </c>
      <c r="H1508" s="42">
        <f t="shared" si="1"/>
        <v>698</v>
      </c>
    </row>
    <row r="1509" ht="22.5" customHeight="1">
      <c r="B1509" s="42" t="str">
        <f>IFERROR(__xludf.DUMMYFUNCTION("""COMPUTED_VALUE"""),"K/15/130125/1")</f>
        <v>K/15/130125/1</v>
      </c>
      <c r="C1509" s="42" t="str">
        <f>IFERROR(__xludf.DUMMYFUNCTION("""COMPUTED_VALUE"""),"M. 13875/ Kedamaian")</f>
        <v>M. 13875/ Kedamaian</v>
      </c>
      <c r="D1509" s="42" t="str">
        <f>IFERROR(__xludf.DUMMYFUNCTION("""COMPUTED_VALUE"""),"Berry")</f>
        <v>Berry</v>
      </c>
      <c r="E1509" s="42" t="str">
        <f>IFERROR(__xludf.DUMMYFUNCTION("""COMPUTED_VALUE"""),"DISERAHKAN")</f>
        <v>DISERAHKAN</v>
      </c>
      <c r="F1509" s="48">
        <f>IFERROR(__xludf.DUMMYFUNCTION("""COMPUTED_VALUE"""),45672.458696331014)</f>
        <v>45672.4587</v>
      </c>
      <c r="G1509" s="42" t="str">
        <f>IFERROR(__xludf.DUMMYFUNCTION("""COMPUTED_VALUE"""),"ROYA")</f>
        <v>ROYA</v>
      </c>
      <c r="H1509" s="42">
        <f t="shared" si="1"/>
        <v>699</v>
      </c>
    </row>
    <row r="1510" ht="22.5" customHeight="1">
      <c r="B1510" s="42" t="str">
        <f>IFERROR(__xludf.DUMMYFUNCTION("""COMPUTED_VALUE"""),"K/8/130125/1")</f>
        <v>K/8/130125/1</v>
      </c>
      <c r="C1510" s="42" t="str">
        <f>IFERROR(__xludf.DUMMYFUNCTION("""COMPUTED_VALUE"""),"NIBEL M 8656 CAMPANG JAYA")</f>
        <v>NIBEL M 8656 CAMPANG JAYA</v>
      </c>
      <c r="D1510" s="42"/>
      <c r="E1510" s="42"/>
      <c r="F1510" s="48" t="str">
        <f>IFERROR(__xludf.DUMMYFUNCTION("""COMPUTED_VALUE"""),"")</f>
        <v/>
      </c>
      <c r="G1510" s="42" t="str">
        <f>IFERROR(__xludf.DUMMYFUNCTION("""COMPUTED_VALUE"""),"PEMECAHAN")</f>
        <v>PEMECAHAN</v>
      </c>
      <c r="H1510" s="42">
        <f t="shared" si="1"/>
        <v>699</v>
      </c>
    </row>
    <row r="1511" ht="22.5" customHeight="1">
      <c r="B1511" s="42" t="str">
        <f>IFERROR(__xludf.DUMMYFUNCTION("""COMPUTED_VALUE"""),"K/16/130125/1")</f>
        <v>K/16/130125/1</v>
      </c>
      <c r="C1511" s="42" t="str">
        <f>IFERROR(__xludf.DUMMYFUNCTION("""COMPUTED_VALUE"""),"M. 956/ Durian Payung")</f>
        <v>M. 956/ Durian Payung</v>
      </c>
      <c r="D1511" s="42" t="str">
        <f>IFERROR(__xludf.DUMMYFUNCTION("""COMPUTED_VALUE"""),"Berry")</f>
        <v>Berry</v>
      </c>
      <c r="E1511" s="42" t="str">
        <f>IFERROR(__xludf.DUMMYFUNCTION("""COMPUTED_VALUE"""),"DISERAHKAN")</f>
        <v>DISERAHKAN</v>
      </c>
      <c r="F1511" s="48">
        <f>IFERROR(__xludf.DUMMYFUNCTION("""COMPUTED_VALUE"""),45672.45893170139)</f>
        <v>45672.45893</v>
      </c>
      <c r="G1511" s="42" t="str">
        <f>IFERROR(__xludf.DUMMYFUNCTION("""COMPUTED_VALUE"""),"BN WARIS")</f>
        <v>BN WARIS</v>
      </c>
      <c r="H1511" s="42">
        <f t="shared" si="1"/>
        <v>700</v>
      </c>
    </row>
    <row r="1512" ht="22.5" customHeight="1">
      <c r="B1512" s="42" t="str">
        <f>IFERROR(__xludf.DUMMYFUNCTION("""COMPUTED_VALUE"""),"K/17/130125/2")</f>
        <v>K/17/130125/2</v>
      </c>
      <c r="C1512" s="42" t="str">
        <f>IFERROR(__xludf.DUMMYFUNCTION("""COMPUTED_VALUE"""),"M. 11739/ Rajabasa")</f>
        <v>M. 11739/ Rajabasa</v>
      </c>
      <c r="D1512" s="42" t="str">
        <f>IFERROR(__xludf.DUMMYFUNCTION("""COMPUTED_VALUE"""),"Berry")</f>
        <v>Berry</v>
      </c>
      <c r="E1512" s="42" t="str">
        <f>IFERROR(__xludf.DUMMYFUNCTION("""COMPUTED_VALUE"""),"DISERAHKAN")</f>
        <v>DISERAHKAN</v>
      </c>
      <c r="F1512" s="48">
        <f>IFERROR(__xludf.DUMMYFUNCTION("""COMPUTED_VALUE"""),45672.45907524305)</f>
        <v>45672.45908</v>
      </c>
      <c r="G1512" s="42" t="str">
        <f>IFERROR(__xludf.DUMMYFUNCTION("""COMPUTED_VALUE"""),"JUAL BELI")</f>
        <v>JUAL BELI</v>
      </c>
      <c r="H1512" s="42">
        <f t="shared" si="1"/>
        <v>701</v>
      </c>
    </row>
    <row r="1513" ht="22.5" customHeight="1">
      <c r="B1513" s="42" t="str">
        <f>IFERROR(__xludf.DUMMYFUNCTION("""COMPUTED_VALUE"""),"K/18/130125/3")</f>
        <v>K/18/130125/3</v>
      </c>
      <c r="C1513" s="42" t="str">
        <f>IFERROR(__xludf.DUMMYFUNCTION("""COMPUTED_VALUE"""),"M. 13/ Gedung Meneng")</f>
        <v>M. 13/ Gedung Meneng</v>
      </c>
      <c r="D1513" s="42" t="str">
        <f>IFERROR(__xludf.DUMMYFUNCTION("""COMPUTED_VALUE"""),"Berry")</f>
        <v>Berry</v>
      </c>
      <c r="E1513" s="42" t="str">
        <f>IFERROR(__xludf.DUMMYFUNCTION("""COMPUTED_VALUE"""),"DISERAHKAN")</f>
        <v>DISERAHKAN</v>
      </c>
      <c r="F1513" s="48">
        <f>IFERROR(__xludf.DUMMYFUNCTION("""COMPUTED_VALUE"""),45705.59234290509)</f>
        <v>45705.59234</v>
      </c>
      <c r="G1513" s="42" t="str">
        <f>IFERROR(__xludf.DUMMYFUNCTION("""COMPUTED_VALUE"""),"ROYA")</f>
        <v>ROYA</v>
      </c>
      <c r="H1513" s="42">
        <f t="shared" si="1"/>
        <v>702</v>
      </c>
    </row>
    <row r="1514" ht="22.5" customHeight="1">
      <c r="B1514" s="42" t="str">
        <f>IFERROR(__xludf.DUMMYFUNCTION("""COMPUTED_VALUE"""),"K/20/130125/1")</f>
        <v>K/20/130125/1</v>
      </c>
      <c r="C1514" s="42" t="str">
        <f>IFERROR(__xludf.DUMMYFUNCTION("""COMPUTED_VALUE"""),"M.4589/WAY KANDIS")</f>
        <v>M.4589/WAY KANDIS</v>
      </c>
      <c r="D1514" s="42" t="str">
        <f>IFERROR(__xludf.DUMMYFUNCTION("""COMPUTED_VALUE"""),"Berry")</f>
        <v>Berry</v>
      </c>
      <c r="E1514" s="42" t="str">
        <f>IFERROR(__xludf.DUMMYFUNCTION("""COMPUTED_VALUE"""),"DISERAHKAN SU")</f>
        <v>DISERAHKAN SU</v>
      </c>
      <c r="F1514" s="48">
        <f>IFERROR(__xludf.DUMMYFUNCTION("""COMPUTED_VALUE"""),45672.459367986114)</f>
        <v>45672.45937</v>
      </c>
      <c r="G1514" s="42" t="str">
        <f>IFERROR(__xludf.DUMMYFUNCTION("""COMPUTED_VALUE"""),"BN JUAL BELI")</f>
        <v>BN JUAL BELI</v>
      </c>
      <c r="H1514" s="42">
        <f t="shared" si="1"/>
        <v>702</v>
      </c>
    </row>
    <row r="1515" ht="22.5" customHeight="1">
      <c r="B1515" s="42" t="str">
        <f>IFERROR(__xludf.DUMMYFUNCTION("""COMPUTED_VALUE"""),"K/19/130125/4")</f>
        <v>K/19/130125/4</v>
      </c>
      <c r="C1515" s="42" t="str">
        <f>IFERROR(__xludf.DUMMYFUNCTION("""COMPUTED_VALUE"""),"M. 12016/ Labuhan Ratu")</f>
        <v>M. 12016/ Labuhan Ratu</v>
      </c>
      <c r="D1515" s="42" t="str">
        <f>IFERROR(__xludf.DUMMYFUNCTION("""COMPUTED_VALUE"""),"Berry")</f>
        <v>Berry</v>
      </c>
      <c r="E1515" s="42" t="str">
        <f>IFERROR(__xludf.DUMMYFUNCTION("""COMPUTED_VALUE"""),"DISERAHKAN")</f>
        <v>DISERAHKAN</v>
      </c>
      <c r="F1515" s="48">
        <f>IFERROR(__xludf.DUMMYFUNCTION("""COMPUTED_VALUE"""),45672.459487291664)</f>
        <v>45672.45949</v>
      </c>
      <c r="G1515" s="42" t="str">
        <f>IFERROR(__xludf.DUMMYFUNCTION("""COMPUTED_VALUE"""),"ROYA")</f>
        <v>ROYA</v>
      </c>
      <c r="H1515" s="42">
        <f t="shared" si="1"/>
        <v>703</v>
      </c>
    </row>
    <row r="1516" ht="22.5" customHeight="1">
      <c r="B1516" s="42" t="str">
        <f>IFERROR(__xludf.DUMMYFUNCTION("""COMPUTED_VALUE"""),"L/24/130125/1")</f>
        <v>L/24/130125/1</v>
      </c>
      <c r="C1516" s="42" t="str">
        <f>IFERROR(__xludf.DUMMYFUNCTION("""COMPUTED_VALUE"""),"NIB 16678/SUKARAME BARU")</f>
        <v>NIB 16678/SUKARAME BARU</v>
      </c>
      <c r="D1516" s="42"/>
      <c r="E1516" s="42"/>
      <c r="F1516" s="48" t="str">
        <f>IFERROR(__xludf.DUMMYFUNCTION("""COMPUTED_VALUE"""),"")</f>
        <v/>
      </c>
      <c r="G1516" s="42" t="str">
        <f>IFERROR(__xludf.DUMMYFUNCTION("""COMPUTED_VALUE"""),"SKPT INFORMASI")</f>
        <v>SKPT INFORMASI</v>
      </c>
      <c r="H1516" s="42">
        <f t="shared" si="1"/>
        <v>703</v>
      </c>
    </row>
    <row r="1517" ht="22.5" customHeight="1">
      <c r="B1517" s="42" t="str">
        <f>IFERROR(__xludf.DUMMYFUNCTION("""COMPUTED_VALUE"""),"K/21/130125/1")</f>
        <v>K/21/130125/1</v>
      </c>
      <c r="C1517" s="42" t="str">
        <f>IFERROR(__xludf.DUMMYFUNCTION("""COMPUTED_VALUE"""),"M. 802/ Jagabaya III")</f>
        <v>M. 802/ Jagabaya III</v>
      </c>
      <c r="D1517" s="42" t="str">
        <f>IFERROR(__xludf.DUMMYFUNCTION("""COMPUTED_VALUE"""),"Berry")</f>
        <v>Berry</v>
      </c>
      <c r="E1517" s="42" t="str">
        <f>IFERROR(__xludf.DUMMYFUNCTION("""COMPUTED_VALUE"""),"DISERAHKAN")</f>
        <v>DISERAHKAN</v>
      </c>
      <c r="F1517" s="48">
        <f>IFERROR(__xludf.DUMMYFUNCTION("""COMPUTED_VALUE"""),45763.44292640046)</f>
        <v>45763.44293</v>
      </c>
      <c r="G1517" s="42" t="str">
        <f>IFERROR(__xludf.DUMMYFUNCTION("""COMPUTED_VALUE"""),"Roya")</f>
        <v>Roya</v>
      </c>
      <c r="H1517" s="42">
        <f t="shared" si="1"/>
        <v>704</v>
      </c>
    </row>
    <row r="1518" ht="22.5" customHeight="1">
      <c r="B1518" s="42" t="str">
        <f>IFERROR(__xludf.DUMMYFUNCTION("""COMPUTED_VALUE"""),"K/25/130125/1")</f>
        <v>K/25/130125/1</v>
      </c>
      <c r="C1518" s="42" t="str">
        <f>IFERROR(__xludf.DUMMYFUNCTION("""COMPUTED_VALUE"""),"Nibel 11877/ Tanjung Senang")</f>
        <v>Nibel 11877/ Tanjung Senang</v>
      </c>
      <c r="D1518" s="42"/>
      <c r="E1518" s="42"/>
      <c r="F1518" s="48" t="str">
        <f>IFERROR(__xludf.DUMMYFUNCTION("""COMPUTED_VALUE"""),"")</f>
        <v/>
      </c>
      <c r="G1518" s="42" t="str">
        <f>IFERROR(__xludf.DUMMYFUNCTION("""COMPUTED_VALUE"""),"BN JUAL BELI")</f>
        <v>BN JUAL BELI</v>
      </c>
      <c r="H1518" s="42">
        <f t="shared" si="1"/>
        <v>704</v>
      </c>
    </row>
    <row r="1519" ht="22.5" customHeight="1">
      <c r="B1519" s="42" t="str">
        <f>IFERROR(__xludf.DUMMYFUNCTION("""COMPUTED_VALUE"""),"K/22/130125/2")</f>
        <v>K/22/130125/2</v>
      </c>
      <c r="C1519" s="42" t="str">
        <f>IFERROR(__xludf.DUMMYFUNCTION("""COMPUTED_VALUE"""),"M. 186/ Korpri Jaya")</f>
        <v>M. 186/ Korpri Jaya</v>
      </c>
      <c r="D1519" s="42" t="str">
        <f>IFERROR(__xludf.DUMMYFUNCTION("""COMPUTED_VALUE"""),"Berry")</f>
        <v>Berry</v>
      </c>
      <c r="E1519" s="42" t="str">
        <f>IFERROR(__xludf.DUMMYFUNCTION("""COMPUTED_VALUE"""),"DISERAHKAN")</f>
        <v>DISERAHKAN</v>
      </c>
      <c r="F1519" s="48">
        <f>IFERROR(__xludf.DUMMYFUNCTION("""COMPUTED_VALUE"""),45672.459786886575)</f>
        <v>45672.45979</v>
      </c>
      <c r="G1519" s="42" t="str">
        <f>IFERROR(__xludf.DUMMYFUNCTION("""COMPUTED_VALUE"""),"Roya")</f>
        <v>Roya</v>
      </c>
      <c r="H1519" s="42">
        <f t="shared" si="1"/>
        <v>705</v>
      </c>
    </row>
    <row r="1520" ht="22.5" customHeight="1">
      <c r="B1520" s="42" t="str">
        <f>IFERROR(__xludf.DUMMYFUNCTION("""COMPUTED_VALUE"""),"K/26/130125/2")</f>
        <v>K/26/130125/2</v>
      </c>
      <c r="C1520" s="42" t="str">
        <f>IFERROR(__xludf.DUMMYFUNCTION("""COMPUTED_VALUE"""),"M. 2822/ Way Laga")</f>
        <v>M. 2822/ Way Laga</v>
      </c>
      <c r="D1520" s="42" t="str">
        <f>IFERROR(__xludf.DUMMYFUNCTION("""COMPUTED_VALUE"""),"Berry")</f>
        <v>Berry</v>
      </c>
      <c r="E1520" s="42" t="str">
        <f>IFERROR(__xludf.DUMMYFUNCTION("""COMPUTED_VALUE"""),"DISERAHKAN")</f>
        <v>DISERAHKAN</v>
      </c>
      <c r="F1520" s="48">
        <f>IFERROR(__xludf.DUMMYFUNCTION("""COMPUTED_VALUE"""),45672.45995553241)</f>
        <v>45672.45996</v>
      </c>
      <c r="G1520" s="42" t="str">
        <f>IFERROR(__xludf.DUMMYFUNCTION("""COMPUTED_VALUE"""),"BN WARIS")</f>
        <v>BN WARIS</v>
      </c>
      <c r="H1520" s="42">
        <f t="shared" si="1"/>
        <v>706</v>
      </c>
    </row>
    <row r="1521" ht="22.5" customHeight="1">
      <c r="B1521" s="42" t="str">
        <f>IFERROR(__xludf.DUMMYFUNCTION("""COMPUTED_VALUE"""),"K/27/130125/1")</f>
        <v>K/27/130125/1</v>
      </c>
      <c r="C1521" s="42" t="str">
        <f>IFERROR(__xludf.DUMMYFUNCTION("""COMPUTED_VALUE"""),"Nibe. M. 3116/ Durian Payung")</f>
        <v>Nibe. M. 3116/ Durian Payung</v>
      </c>
      <c r="D1521" s="42"/>
      <c r="E1521" s="42"/>
      <c r="F1521" s="48" t="str">
        <f>IFERROR(__xludf.DUMMYFUNCTION("""COMPUTED_VALUE"""),"")</f>
        <v/>
      </c>
      <c r="G1521" s="42" t="str">
        <f>IFERROR(__xludf.DUMMYFUNCTION("""COMPUTED_VALUE"""),"BN Hibah")</f>
        <v>BN Hibah</v>
      </c>
      <c r="H1521" s="42">
        <f t="shared" si="1"/>
        <v>706</v>
      </c>
    </row>
    <row r="1522" ht="22.5" customHeight="1">
      <c r="B1522" s="42" t="str">
        <f>IFERROR(__xludf.DUMMYFUNCTION("""COMPUTED_VALUE"""),"K/28/130125/1")</f>
        <v>K/28/130125/1</v>
      </c>
      <c r="C1522" s="42" t="str">
        <f>IFERROR(__xludf.DUMMYFUNCTION("""COMPUTED_VALUE"""),"M. 818/ Pasir Gintung")</f>
        <v>M. 818/ Pasir Gintung</v>
      </c>
      <c r="D1522" s="42" t="str">
        <f>IFERROR(__xludf.DUMMYFUNCTION("""COMPUTED_VALUE"""),"Berry")</f>
        <v>Berry</v>
      </c>
      <c r="E1522" s="42" t="str">
        <f>IFERROR(__xludf.DUMMYFUNCTION("""COMPUTED_VALUE"""),"DISERAHKAN")</f>
        <v>DISERAHKAN</v>
      </c>
      <c r="F1522" s="48">
        <f>IFERROR(__xludf.DUMMYFUNCTION("""COMPUTED_VALUE"""),45672.460099421296)</f>
        <v>45672.4601</v>
      </c>
      <c r="G1522" s="42" t="str">
        <f>IFERROR(__xludf.DUMMYFUNCTION("""COMPUTED_VALUE"""),"BN JUAL BELI")</f>
        <v>BN JUAL BELI</v>
      </c>
      <c r="H1522" s="42">
        <f t="shared" si="1"/>
        <v>707</v>
      </c>
    </row>
    <row r="1523" ht="22.5" customHeight="1">
      <c r="B1523" s="42" t="str">
        <f>IFERROR(__xludf.DUMMYFUNCTION("""COMPUTED_VALUE"""),"K/23/130125/2")</f>
        <v>K/23/130125/2</v>
      </c>
      <c r="C1523" s="42" t="str">
        <f>IFERROR(__xludf.DUMMYFUNCTION("""COMPUTED_VALUE"""),"M. 15 / SEPANG JAYA")</f>
        <v>M. 15 / SEPANG JAYA</v>
      </c>
      <c r="D1523" s="42" t="str">
        <f>IFERROR(__xludf.DUMMYFUNCTION("""COMPUTED_VALUE"""),"Berry")</f>
        <v>Berry</v>
      </c>
      <c r="E1523" s="42" t="str">
        <f>IFERROR(__xludf.DUMMYFUNCTION("""COMPUTED_VALUE"""),"PROSES")</f>
        <v>PROSES</v>
      </c>
      <c r="F1523" s="48" t="str">
        <f>IFERROR(__xludf.DUMMYFUNCTION("""COMPUTED_VALUE"""),"")</f>
        <v/>
      </c>
      <c r="G1523" s="42" t="str">
        <f>IFERROR(__xludf.DUMMYFUNCTION("""COMPUTED_VALUE"""),"BN HIBAH")</f>
        <v>BN HIBAH</v>
      </c>
      <c r="H1523" s="42">
        <f t="shared" si="1"/>
        <v>707</v>
      </c>
    </row>
    <row r="1524" ht="22.5" customHeight="1">
      <c r="B1524" s="42" t="str">
        <f>IFERROR(__xludf.DUMMYFUNCTION("""COMPUTED_VALUE"""),"K/29/130125/1")</f>
        <v>K/29/130125/1</v>
      </c>
      <c r="C1524" s="42" t="str">
        <f>IFERROR(__xludf.DUMMYFUNCTION("""COMPUTED_VALUE"""),"M.9251/LABUHANRATU")</f>
        <v>M.9251/LABUHANRATU</v>
      </c>
      <c r="D1524" s="42" t="str">
        <f>IFERROR(__xludf.DUMMYFUNCTION("""COMPUTED_VALUE"""),"Berry")</f>
        <v>Berry</v>
      </c>
      <c r="E1524" s="42" t="str">
        <f>IFERROR(__xludf.DUMMYFUNCTION("""COMPUTED_VALUE"""),"DISERAHKAN")</f>
        <v>DISERAHKAN</v>
      </c>
      <c r="F1524" s="48">
        <f>IFERROR(__xludf.DUMMYFUNCTION("""COMPUTED_VALUE"""),45758.484173993056)</f>
        <v>45758.48417</v>
      </c>
      <c r="G1524" s="42" t="str">
        <f>IFERROR(__xludf.DUMMYFUNCTION("""COMPUTED_VALUE"""),"ROYA")</f>
        <v>ROYA</v>
      </c>
      <c r="H1524" s="42">
        <f t="shared" si="1"/>
        <v>708</v>
      </c>
    </row>
    <row r="1525" ht="22.5" customHeight="1">
      <c r="B1525" s="42" t="str">
        <f>IFERROR(__xludf.DUMMYFUNCTION("""COMPUTED_VALUE"""),"K/30/130125/1")</f>
        <v>K/30/130125/1</v>
      </c>
      <c r="C1525" s="42" t="str">
        <f>IFERROR(__xludf.DUMMYFUNCTION("""COMPUTED_VALUE"""),"M. 570/ Sukarame Baru")</f>
        <v>M. 570/ Sukarame Baru</v>
      </c>
      <c r="D1525" s="42"/>
      <c r="E1525" s="42"/>
      <c r="F1525" s="48" t="str">
        <f>IFERROR(__xludf.DUMMYFUNCTION("""COMPUTED_VALUE"""),"")</f>
        <v/>
      </c>
      <c r="G1525" s="42" t="str">
        <f>IFERROR(__xludf.DUMMYFUNCTION("""COMPUTED_VALUE"""),"PTPGT (Pemisahan)")</f>
        <v>PTPGT (Pemisahan)</v>
      </c>
      <c r="H1525" s="42">
        <f t="shared" si="1"/>
        <v>708</v>
      </c>
    </row>
    <row r="1526" ht="22.5" customHeight="1">
      <c r="B1526" s="42" t="str">
        <f>IFERROR(__xludf.DUMMYFUNCTION("""COMPUTED_VALUE"""),"K/31/130125/1")</f>
        <v>K/31/130125/1</v>
      </c>
      <c r="C1526" s="42" t="str">
        <f>IFERROR(__xludf.DUMMYFUNCTION("""COMPUTED_VALUE"""),"M. 14260/ Segala Mider")</f>
        <v>M. 14260/ Segala Mider</v>
      </c>
      <c r="D1526" s="42" t="str">
        <f>IFERROR(__xludf.DUMMYFUNCTION("""COMPUTED_VALUE"""),"Berry")</f>
        <v>Berry</v>
      </c>
      <c r="E1526" s="42" t="str">
        <f>IFERROR(__xludf.DUMMYFUNCTION("""COMPUTED_VALUE"""),"DISERAHKAN BT")</f>
        <v>DISERAHKAN BT</v>
      </c>
      <c r="F1526" s="48">
        <f>IFERROR(__xludf.DUMMYFUNCTION("""COMPUTED_VALUE"""),45672.46041505787)</f>
        <v>45672.46042</v>
      </c>
      <c r="G1526" s="42" t="str">
        <f>IFERROR(__xludf.DUMMYFUNCTION("""COMPUTED_VALUE"""),"BN Waris")</f>
        <v>BN Waris</v>
      </c>
      <c r="H1526" s="42">
        <f t="shared" si="1"/>
        <v>708</v>
      </c>
    </row>
    <row r="1527" ht="22.5" customHeight="1">
      <c r="B1527" s="42" t="str">
        <f>IFERROR(__xludf.DUMMYFUNCTION("""COMPUTED_VALUE"""),"K/33/130125/1")</f>
        <v>K/33/130125/1</v>
      </c>
      <c r="C1527" s="42" t="str">
        <f>IFERROR(__xludf.DUMMYFUNCTION("""COMPUTED_VALUE"""),"M. 15329/ Sukarame")</f>
        <v>M. 15329/ Sukarame</v>
      </c>
      <c r="D1527" s="42" t="str">
        <f>IFERROR(__xludf.DUMMYFUNCTION("""COMPUTED_VALUE"""),"Berry")</f>
        <v>Berry</v>
      </c>
      <c r="E1527" s="42" t="str">
        <f>IFERROR(__xludf.DUMMYFUNCTION("""COMPUTED_VALUE"""),"DISERAHKAN")</f>
        <v>DISERAHKAN</v>
      </c>
      <c r="F1527" s="48">
        <f>IFERROR(__xludf.DUMMYFUNCTION("""COMPUTED_VALUE"""),45708.60191960648)</f>
        <v>45708.60192</v>
      </c>
      <c r="G1527" s="42" t="str">
        <f>IFERROR(__xludf.DUMMYFUNCTION("""COMPUTED_VALUE"""),"Roya")</f>
        <v>Roya</v>
      </c>
      <c r="H1527" s="42">
        <f t="shared" si="1"/>
        <v>709</v>
      </c>
    </row>
    <row r="1528" ht="22.5" customHeight="1">
      <c r="B1528" s="42" t="str">
        <f>IFERROR(__xludf.DUMMYFUNCTION("""COMPUTED_VALUE"""),"L/34/130125/1")</f>
        <v>L/34/130125/1</v>
      </c>
      <c r="C1528" s="42" t="str">
        <f>IFERROR(__xludf.DUMMYFUNCTION("""COMPUTED_VALUE"""),"HM 1025/LABUHAN DALAM")</f>
        <v>HM 1025/LABUHAN DALAM</v>
      </c>
      <c r="D1528" s="42" t="str">
        <f>IFERROR(__xludf.DUMMYFUNCTION("""COMPUTED_VALUE"""),"David")</f>
        <v>David</v>
      </c>
      <c r="E1528" s="42" t="str">
        <f>IFERROR(__xludf.DUMMYFUNCTION("""COMPUTED_VALUE"""),"DISERAHKAN")</f>
        <v>DISERAHKAN</v>
      </c>
      <c r="F1528" s="48">
        <f>IFERROR(__xludf.DUMMYFUNCTION("""COMPUTED_VALUE"""),45715.403369074076)</f>
        <v>45715.40337</v>
      </c>
      <c r="G1528" s="42" t="str">
        <f>IFERROR(__xludf.DUMMYFUNCTION("""COMPUTED_VALUE"""),"ROYA")</f>
        <v>ROYA</v>
      </c>
      <c r="H1528" s="42">
        <f t="shared" si="1"/>
        <v>710</v>
      </c>
    </row>
    <row r="1529" ht="22.5" customHeight="1">
      <c r="B1529" s="42" t="str">
        <f>IFERROR(__xludf.DUMMYFUNCTION("""COMPUTED_VALUE"""),"K/32/130125/1")</f>
        <v>K/32/130125/1</v>
      </c>
      <c r="C1529" s="42" t="str">
        <f>IFERROR(__xludf.DUMMYFUNCTION("""COMPUTED_VALUE"""),"NIBEL B. 1746/KEMILING PERMAI")</f>
        <v>NIBEL B. 1746/KEMILING PERMAI</v>
      </c>
      <c r="D1529" s="42"/>
      <c r="E1529" s="42"/>
      <c r="F1529" s="48" t="str">
        <f>IFERROR(__xludf.DUMMYFUNCTION("""COMPUTED_VALUE"""),"")</f>
        <v/>
      </c>
      <c r="G1529" s="42" t="str">
        <f>IFERROR(__xludf.DUMMYFUNCTION("""COMPUTED_VALUE"""),"PENINGKATAN HAK")</f>
        <v>PENINGKATAN HAK</v>
      </c>
      <c r="H1529" s="42">
        <f t="shared" si="1"/>
        <v>710</v>
      </c>
    </row>
    <row r="1530" ht="22.5" customHeight="1">
      <c r="B1530" s="42" t="str">
        <f>IFERROR(__xludf.DUMMYFUNCTION("""COMPUTED_VALUE"""),"K/34/130125/1")</f>
        <v>K/34/130125/1</v>
      </c>
      <c r="C1530" s="42" t="str">
        <f>IFERROR(__xludf.DUMMYFUNCTION("""COMPUTED_VALUE"""),"M.957/GOTONG ROYONG")</f>
        <v>M.957/GOTONG ROYONG</v>
      </c>
      <c r="D1530" s="42"/>
      <c r="E1530" s="42"/>
      <c r="F1530" s="48" t="str">
        <f>IFERROR(__xludf.DUMMYFUNCTION("""COMPUTED_VALUE"""),"")</f>
        <v/>
      </c>
      <c r="G1530" s="42" t="str">
        <f>IFERROR(__xludf.DUMMYFUNCTION("""COMPUTED_VALUE"""),"BLOKIR")</f>
        <v>BLOKIR</v>
      </c>
      <c r="H1530" s="42">
        <f t="shared" si="1"/>
        <v>710</v>
      </c>
    </row>
    <row r="1531" ht="22.5" customHeight="1">
      <c r="B1531" s="42" t="str">
        <f>IFERROR(__xludf.DUMMYFUNCTION("""COMPUTED_VALUE"""),"K/35/130125/2")</f>
        <v>K/35/130125/2</v>
      </c>
      <c r="C1531" s="42" t="str">
        <f>IFERROR(__xludf.DUMMYFUNCTION("""COMPUTED_VALUE"""),"M.599/GOTONG ROYONG")</f>
        <v>M.599/GOTONG ROYONG</v>
      </c>
      <c r="D1531" s="42"/>
      <c r="E1531" s="42"/>
      <c r="F1531" s="48" t="str">
        <f>IFERROR(__xludf.DUMMYFUNCTION("""COMPUTED_VALUE"""),"")</f>
        <v/>
      </c>
      <c r="G1531" s="42" t="str">
        <f>IFERROR(__xludf.DUMMYFUNCTION("""COMPUTED_VALUE"""),"BLOKIR")</f>
        <v>BLOKIR</v>
      </c>
      <c r="H1531" s="42">
        <f t="shared" si="1"/>
        <v>710</v>
      </c>
    </row>
    <row r="1532" ht="22.5" customHeight="1">
      <c r="B1532" s="42" t="str">
        <f>IFERROR(__xludf.DUMMYFUNCTION("""COMPUTED_VALUE"""),"K/36/130125/3")</f>
        <v>K/36/130125/3</v>
      </c>
      <c r="C1532" s="42" t="str">
        <f>IFERROR(__xludf.DUMMYFUNCTION("""COMPUTED_VALUE"""),"M.1061/GOTONG ROYONG")</f>
        <v>M.1061/GOTONG ROYONG</v>
      </c>
      <c r="D1532" s="42"/>
      <c r="E1532" s="42"/>
      <c r="F1532" s="48" t="str">
        <f>IFERROR(__xludf.DUMMYFUNCTION("""COMPUTED_VALUE"""),"")</f>
        <v/>
      </c>
      <c r="G1532" s="42" t="str">
        <f>IFERROR(__xludf.DUMMYFUNCTION("""COMPUTED_VALUE"""),"BLOKIR")</f>
        <v>BLOKIR</v>
      </c>
      <c r="H1532" s="42">
        <f t="shared" si="1"/>
        <v>710</v>
      </c>
    </row>
    <row r="1533" ht="22.5" customHeight="1">
      <c r="B1533" s="42" t="str">
        <f>IFERROR(__xludf.DUMMYFUNCTION("""COMPUTED_VALUE"""),"K/37/130125/4")</f>
        <v>K/37/130125/4</v>
      </c>
      <c r="C1533" s="42" t="str">
        <f>IFERROR(__xludf.DUMMYFUNCTION("""COMPUTED_VALUE"""),"M.1352/GOTONG ROYONG")</f>
        <v>M.1352/GOTONG ROYONG</v>
      </c>
      <c r="D1533" s="42"/>
      <c r="E1533" s="42"/>
      <c r="F1533" s="48" t="str">
        <f>IFERROR(__xludf.DUMMYFUNCTION("""COMPUTED_VALUE"""),"")</f>
        <v/>
      </c>
      <c r="G1533" s="42" t="str">
        <f>IFERROR(__xludf.DUMMYFUNCTION("""COMPUTED_VALUE"""),"BLOKIR")</f>
        <v>BLOKIR</v>
      </c>
      <c r="H1533" s="42">
        <f t="shared" si="1"/>
        <v>710</v>
      </c>
    </row>
    <row r="1534" ht="22.5" customHeight="1">
      <c r="B1534" s="42" t="str">
        <f>IFERROR(__xludf.DUMMYFUNCTION("""COMPUTED_VALUE"""),"K/38/130125/5")</f>
        <v>K/38/130125/5</v>
      </c>
      <c r="C1534" s="42" t="str">
        <f>IFERROR(__xludf.DUMMYFUNCTION("""COMPUTED_VALUE"""),"M.644/GOTONG ROYONG")</f>
        <v>M.644/GOTONG ROYONG</v>
      </c>
      <c r="D1534" s="42"/>
      <c r="E1534" s="42"/>
      <c r="F1534" s="48" t="str">
        <f>IFERROR(__xludf.DUMMYFUNCTION("""COMPUTED_VALUE"""),"")</f>
        <v/>
      </c>
      <c r="G1534" s="42" t="str">
        <f>IFERROR(__xludf.DUMMYFUNCTION("""COMPUTED_VALUE"""),"BLOKIR")</f>
        <v>BLOKIR</v>
      </c>
      <c r="H1534" s="42">
        <f t="shared" si="1"/>
        <v>710</v>
      </c>
    </row>
    <row r="1535" ht="22.5" customHeight="1">
      <c r="B1535" s="42" t="str">
        <f>IFERROR(__xludf.DUMMYFUNCTION("""COMPUTED_VALUE"""),"K/39/130125/1")</f>
        <v>K/39/130125/1</v>
      </c>
      <c r="C1535" s="42" t="str">
        <f>IFERROR(__xludf.DUMMYFUNCTION("""COMPUTED_VALUE"""),"B.273/TELUK BETUNG")</f>
        <v>B.273/TELUK BETUNG</v>
      </c>
      <c r="D1535" s="42" t="str">
        <f>IFERROR(__xludf.DUMMYFUNCTION("""COMPUTED_VALUE"""),"David")</f>
        <v>David</v>
      </c>
      <c r="E1535" s="42" t="str">
        <f>IFERROR(__xludf.DUMMYFUNCTION("""COMPUTED_VALUE"""),"DISERAHKAN")</f>
        <v>DISERAHKAN</v>
      </c>
      <c r="F1535" s="48">
        <f>IFERROR(__xludf.DUMMYFUNCTION("""COMPUTED_VALUE"""),45694.6015815162)</f>
        <v>45694.60158</v>
      </c>
      <c r="G1535" s="42" t="str">
        <f>IFERROR(__xludf.DUMMYFUNCTION("""COMPUTED_VALUE"""),"BN JUAL BELI")</f>
        <v>BN JUAL BELI</v>
      </c>
      <c r="H1535" s="42">
        <f t="shared" si="1"/>
        <v>711</v>
      </c>
    </row>
    <row r="1536" ht="22.5" customHeight="1">
      <c r="B1536" s="42" t="str">
        <f>IFERROR(__xludf.DUMMYFUNCTION("""COMPUTED_VALUE"""),"K/40/130125/2")</f>
        <v>K/40/130125/2</v>
      </c>
      <c r="C1536" s="42" t="str">
        <f>IFERROR(__xludf.DUMMYFUNCTION("""COMPUTED_VALUE"""),"B.270/TELUK BETUNG")</f>
        <v>B.270/TELUK BETUNG</v>
      </c>
      <c r="D1536" s="42" t="str">
        <f>IFERROR(__xludf.DUMMYFUNCTION("""COMPUTED_VALUE"""),"David")</f>
        <v>David</v>
      </c>
      <c r="E1536" s="42" t="str">
        <f>IFERROR(__xludf.DUMMYFUNCTION("""COMPUTED_VALUE"""),"DISERAHKAN")</f>
        <v>DISERAHKAN</v>
      </c>
      <c r="F1536" s="48">
        <f>IFERROR(__xludf.DUMMYFUNCTION("""COMPUTED_VALUE"""),45691.450723437505)</f>
        <v>45691.45072</v>
      </c>
      <c r="G1536" s="42" t="str">
        <f>IFERROR(__xludf.DUMMYFUNCTION("""COMPUTED_VALUE"""),"BN JUAL BELI")</f>
        <v>BN JUAL BELI</v>
      </c>
      <c r="H1536" s="42">
        <f t="shared" si="1"/>
        <v>712</v>
      </c>
    </row>
    <row r="1537" ht="22.5" customHeight="1">
      <c r="B1537" s="42" t="str">
        <f>IFERROR(__xludf.DUMMYFUNCTION("""COMPUTED_VALUE"""),"K/41/130125/1")</f>
        <v>K/41/130125/1</v>
      </c>
      <c r="C1537" s="42" t="str">
        <f>IFERROR(__xludf.DUMMYFUNCTION("""COMPUTED_VALUE"""),"M. 4033/ Tanjung Seneng")</f>
        <v>M. 4033/ Tanjung Seneng</v>
      </c>
      <c r="D1537" s="42" t="str">
        <f>IFERROR(__xludf.DUMMYFUNCTION("""COMPUTED_VALUE"""),"David")</f>
        <v>David</v>
      </c>
      <c r="E1537" s="42" t="str">
        <f>IFERROR(__xludf.DUMMYFUNCTION("""COMPUTED_VALUE"""),"PROSES")</f>
        <v>PROSES</v>
      </c>
      <c r="F1537" s="48" t="str">
        <f>IFERROR(__xludf.DUMMYFUNCTION("""COMPUTED_VALUE"""),"")</f>
        <v/>
      </c>
      <c r="G1537" s="42" t="str">
        <f>IFERROR(__xludf.DUMMYFUNCTION("""COMPUTED_VALUE"""),"ROYA")</f>
        <v>ROYA</v>
      </c>
      <c r="H1537" s="42">
        <f t="shared" si="1"/>
        <v>712</v>
      </c>
    </row>
    <row r="1538" ht="22.5" customHeight="1">
      <c r="B1538" s="42" t="str">
        <f>IFERROR(__xludf.DUMMYFUNCTION("""COMPUTED_VALUE"""),"L/1/140125/1")</f>
        <v>L/1/140125/1</v>
      </c>
      <c r="C1538" s="42" t="str">
        <f>IFERROR(__xludf.DUMMYFUNCTION("""COMPUTED_VALUE"""),"HM 119/GEDONG MENENG BARU")</f>
        <v>HM 119/GEDONG MENENG BARU</v>
      </c>
      <c r="D1538" s="42"/>
      <c r="E1538" s="42"/>
      <c r="F1538" s="48" t="str">
        <f>IFERROR(__xludf.DUMMYFUNCTION("""COMPUTED_VALUE"""),"")</f>
        <v/>
      </c>
      <c r="G1538" s="42" t="str">
        <f>IFERROR(__xludf.DUMMYFUNCTION("""COMPUTED_VALUE"""),"GANTI BLANGKO")</f>
        <v>GANTI BLANGKO</v>
      </c>
      <c r="H1538" s="42">
        <f t="shared" si="1"/>
        <v>712</v>
      </c>
    </row>
    <row r="1539" ht="22.5" customHeight="1">
      <c r="B1539" s="42" t="str">
        <f>IFERROR(__xludf.DUMMYFUNCTION("""COMPUTED_VALUE"""),"K/2/140125/1")</f>
        <v>K/2/140125/1</v>
      </c>
      <c r="C1539" s="42" t="str">
        <f>IFERROR(__xludf.DUMMYFUNCTION("""COMPUTED_VALUE"""),"M.11502/KEDAMAIAN")</f>
        <v>M.11502/KEDAMAIAN</v>
      </c>
      <c r="D1539" s="42" t="str">
        <f>IFERROR(__xludf.DUMMYFUNCTION("""COMPUTED_VALUE"""),"David")</f>
        <v>David</v>
      </c>
      <c r="E1539" s="42" t="str">
        <f>IFERROR(__xludf.DUMMYFUNCTION("""COMPUTED_VALUE"""),"DISERAHKAN")</f>
        <v>DISERAHKAN</v>
      </c>
      <c r="F1539" s="48">
        <f>IFERROR(__xludf.DUMMYFUNCTION("""COMPUTED_VALUE"""),45680.37494422453)</f>
        <v>45680.37494</v>
      </c>
      <c r="G1539" s="42" t="str">
        <f>IFERROR(__xludf.DUMMYFUNCTION("""COMPUTED_VALUE"""),"KEWARISAN")</f>
        <v>KEWARISAN</v>
      </c>
      <c r="H1539" s="42">
        <f t="shared" si="1"/>
        <v>713</v>
      </c>
    </row>
    <row r="1540" ht="22.5" customHeight="1">
      <c r="B1540" s="42" t="str">
        <f>IFERROR(__xludf.DUMMYFUNCTION("""COMPUTED_VALUE"""),"L/4/140125/1")</f>
        <v>L/4/140125/1</v>
      </c>
      <c r="C1540" s="42" t="str">
        <f>IFERROR(__xludf.DUMMYFUNCTION("""COMPUTED_VALUE"""),"HM 3557/TANJUNG SENANG")</f>
        <v>HM 3557/TANJUNG SENANG</v>
      </c>
      <c r="D1540" s="42" t="str">
        <f>IFERROR(__xludf.DUMMYFUNCTION("""COMPUTED_VALUE"""),"David")</f>
        <v>David</v>
      </c>
      <c r="E1540" s="42" t="str">
        <f>IFERROR(__xludf.DUMMYFUNCTION("""COMPUTED_VALUE"""),"DISERAHKAN")</f>
        <v>DISERAHKAN</v>
      </c>
      <c r="F1540" s="48">
        <f>IFERROR(__xludf.DUMMYFUNCTION("""COMPUTED_VALUE"""),45672.461989166666)</f>
        <v>45672.46199</v>
      </c>
      <c r="G1540" s="42" t="str">
        <f>IFERROR(__xludf.DUMMYFUNCTION("""COMPUTED_VALUE"""),"ROYA")</f>
        <v>ROYA</v>
      </c>
      <c r="H1540" s="42">
        <f t="shared" si="1"/>
        <v>714</v>
      </c>
    </row>
    <row r="1541" ht="22.5" customHeight="1">
      <c r="B1541" s="42" t="str">
        <f>IFERROR(__xludf.DUMMYFUNCTION("""COMPUTED_VALUE"""),"L/5/140125/1")</f>
        <v>L/5/140125/1</v>
      </c>
      <c r="C1541" s="42" t="str">
        <f>IFERROR(__xludf.DUMMYFUNCTION("""COMPUTED_VALUE"""),"HGB 1101/SUKARAME")</f>
        <v>HGB 1101/SUKARAME</v>
      </c>
      <c r="D1541" s="42"/>
      <c r="E1541" s="42"/>
      <c r="F1541" s="48" t="str">
        <f>IFERROR(__xludf.DUMMYFUNCTION("""COMPUTED_VALUE"""),"")</f>
        <v/>
      </c>
      <c r="G1541" s="42" t="str">
        <f>IFERROR(__xludf.DUMMYFUNCTION("""COMPUTED_VALUE"""),"SKPT INFORMASI")</f>
        <v>SKPT INFORMASI</v>
      </c>
      <c r="H1541" s="42">
        <f t="shared" si="1"/>
        <v>714</v>
      </c>
    </row>
    <row r="1542" ht="22.5" customHeight="1">
      <c r="B1542" s="42" t="str">
        <f>IFERROR(__xludf.DUMMYFUNCTION("""COMPUTED_VALUE"""),"K/6/140125/1")</f>
        <v>K/6/140125/1</v>
      </c>
      <c r="C1542" s="42" t="str">
        <f>IFERROR(__xludf.DUMMYFUNCTION("""COMPUTED_VALUE"""),"Nibel. B. 16205/ Sukabumi Indah")</f>
        <v>Nibel. B. 16205/ Sukabumi Indah</v>
      </c>
      <c r="D1542" s="42"/>
      <c r="E1542" s="42"/>
      <c r="F1542" s="48" t="str">
        <f>IFERROR(__xludf.DUMMYFUNCTION("""COMPUTED_VALUE"""),"")</f>
        <v/>
      </c>
      <c r="G1542" s="42" t="str">
        <f>IFERROR(__xludf.DUMMYFUNCTION("""COMPUTED_VALUE"""),"Perubahan Hak")</f>
        <v>Perubahan Hak</v>
      </c>
      <c r="H1542" s="42">
        <f t="shared" si="1"/>
        <v>714</v>
      </c>
    </row>
    <row r="1543" ht="22.5" customHeight="1">
      <c r="B1543" s="42" t="str">
        <f>IFERROR(__xludf.DUMMYFUNCTION("""COMPUTED_VALUE"""),"K/3/140125/1")</f>
        <v>K/3/140125/1</v>
      </c>
      <c r="C1543" s="42" t="str">
        <f>IFERROR(__xludf.DUMMYFUNCTION("""COMPUTED_VALUE"""),"M. 1014/ Gunung Agung")</f>
        <v>M. 1014/ Gunung Agung</v>
      </c>
      <c r="D1543" s="42"/>
      <c r="E1543" s="42"/>
      <c r="F1543" s="48" t="str">
        <f>IFERROR(__xludf.DUMMYFUNCTION("""COMPUTED_VALUE"""),"")</f>
        <v/>
      </c>
      <c r="G1543" s="42" t="str">
        <f>IFERROR(__xludf.DUMMYFUNCTION("""COMPUTED_VALUE"""),"PTPGT PEMECAHAN")</f>
        <v>PTPGT PEMECAHAN</v>
      </c>
      <c r="H1543" s="42">
        <f t="shared" si="1"/>
        <v>714</v>
      </c>
    </row>
    <row r="1544" ht="22.5" customHeight="1">
      <c r="B1544" s="42" t="str">
        <f>IFERROR(__xludf.DUMMYFUNCTION("""COMPUTED_VALUE"""),"K/7/140125/1")</f>
        <v>K/7/140125/1</v>
      </c>
      <c r="C1544" s="42" t="str">
        <f>IFERROR(__xludf.DUMMYFUNCTION("""COMPUTED_VALUE"""),"M.3768/SUKADANA HAM")</f>
        <v>M.3768/SUKADANA HAM</v>
      </c>
      <c r="D1544" s="42"/>
      <c r="E1544" s="42"/>
      <c r="F1544" s="48" t="str">
        <f>IFERROR(__xludf.DUMMYFUNCTION("""COMPUTED_VALUE"""),"")</f>
        <v/>
      </c>
      <c r="G1544" s="42" t="str">
        <f>IFERROR(__xludf.DUMMYFUNCTION("""COMPUTED_VALUE"""),"HAPUS BPHTB")</f>
        <v>HAPUS BPHTB</v>
      </c>
      <c r="H1544" s="42">
        <f t="shared" si="1"/>
        <v>714</v>
      </c>
    </row>
    <row r="1545" ht="22.5" customHeight="1">
      <c r="B1545" s="42" t="str">
        <f>IFERROR(__xludf.DUMMYFUNCTION("""COMPUTED_VALUE"""),"L/8/140125/1")</f>
        <v>L/8/140125/1</v>
      </c>
      <c r="C1545" s="42" t="str">
        <f>IFERROR(__xludf.DUMMYFUNCTION("""COMPUTED_VALUE"""),"HM 14542/RAJABASA")</f>
        <v>HM 14542/RAJABASA</v>
      </c>
      <c r="D1545" s="42" t="str">
        <f>IFERROR(__xludf.DUMMYFUNCTION("""COMPUTED_VALUE"""),"David")</f>
        <v>David</v>
      </c>
      <c r="E1545" s="42" t="str">
        <f>IFERROR(__xludf.DUMMYFUNCTION("""COMPUTED_VALUE"""),"DISERAHKAN")</f>
        <v>DISERAHKAN</v>
      </c>
      <c r="F1545" s="48">
        <f>IFERROR(__xludf.DUMMYFUNCTION("""COMPUTED_VALUE"""),45758.48677931713)</f>
        <v>45758.48678</v>
      </c>
      <c r="G1545" s="42" t="str">
        <f>IFERROR(__xludf.DUMMYFUNCTION("""COMPUTED_VALUE"""),"ROYA")</f>
        <v>ROYA</v>
      </c>
      <c r="H1545" s="42">
        <f t="shared" si="1"/>
        <v>715</v>
      </c>
    </row>
    <row r="1546" ht="22.5" customHeight="1">
      <c r="B1546" s="42" t="str">
        <f>IFERROR(__xludf.DUMMYFUNCTION("""COMPUTED_VALUE"""),"K/9/140125/1")</f>
        <v>K/9/140125/1</v>
      </c>
      <c r="C1546" s="42" t="str">
        <f>IFERROR(__xludf.DUMMYFUNCTION("""COMPUTED_VALUE"""),"M.1647/RAJABASA RAYA")</f>
        <v>M.1647/RAJABASA RAYA</v>
      </c>
      <c r="D1546" s="42"/>
      <c r="E1546" s="42"/>
      <c r="F1546" s="48" t="str">
        <f>IFERROR(__xludf.DUMMYFUNCTION("""COMPUTED_VALUE"""),"")</f>
        <v/>
      </c>
      <c r="G1546" s="42" t="str">
        <f>IFERROR(__xludf.DUMMYFUNCTION("""COMPUTED_VALUE"""),"HAPUS BPHTB")</f>
        <v>HAPUS BPHTB</v>
      </c>
      <c r="H1546" s="42">
        <f t="shared" si="1"/>
        <v>715</v>
      </c>
    </row>
    <row r="1547" ht="22.5" customHeight="1">
      <c r="B1547" s="42" t="str">
        <f>IFERROR(__xludf.DUMMYFUNCTION("""COMPUTED_VALUE"""),"K/4/140125/1")</f>
        <v>K/4/140125/1</v>
      </c>
      <c r="C1547" s="42" t="str">
        <f>IFERROR(__xludf.DUMMYFUNCTION("""COMPUTED_VALUE"""),"M. 40/ Tanjungkarang")</f>
        <v>M. 40/ Tanjungkarang</v>
      </c>
      <c r="D1547" s="42" t="str">
        <f>IFERROR(__xludf.DUMMYFUNCTION("""COMPUTED_VALUE"""),"David")</f>
        <v>David</v>
      </c>
      <c r="E1547" s="42" t="str">
        <f>IFERROR(__xludf.DUMMYFUNCTION("""COMPUTED_VALUE"""),"DISERAHKAN")</f>
        <v>DISERAHKAN</v>
      </c>
      <c r="F1547" s="48">
        <f>IFERROR(__xludf.DUMMYFUNCTION("""COMPUTED_VALUE"""),45694.588025034725)</f>
        <v>45694.58803</v>
      </c>
      <c r="G1547" s="42" t="str">
        <f>IFERROR(__xludf.DUMMYFUNCTION("""COMPUTED_VALUE"""),"BN WARIS")</f>
        <v>BN WARIS</v>
      </c>
      <c r="H1547" s="42">
        <f t="shared" si="1"/>
        <v>716</v>
      </c>
    </row>
    <row r="1548" ht="22.5" customHeight="1">
      <c r="B1548" s="42" t="str">
        <f>IFERROR(__xludf.DUMMYFUNCTION("""COMPUTED_VALUE"""),"K/10/140125/1")</f>
        <v>K/10/140125/1</v>
      </c>
      <c r="C1548" s="42" t="str">
        <f>IFERROR(__xludf.DUMMYFUNCTION("""COMPUTED_VALUE"""),"Nibel. M. 3561/ Kedaung")</f>
        <v>Nibel. M. 3561/ Kedaung</v>
      </c>
      <c r="D1548" s="42"/>
      <c r="E1548" s="42"/>
      <c r="F1548" s="48" t="str">
        <f>IFERROR(__xludf.DUMMYFUNCTION("""COMPUTED_VALUE"""),"")</f>
        <v/>
      </c>
      <c r="G1548" s="42" t="str">
        <f>IFERROR(__xludf.DUMMYFUNCTION("""COMPUTED_VALUE"""),"PTPGT (Pemecahan)")</f>
        <v>PTPGT (Pemecahan)</v>
      </c>
      <c r="H1548" s="42">
        <f t="shared" si="1"/>
        <v>716</v>
      </c>
    </row>
    <row r="1549" ht="22.5" customHeight="1">
      <c r="B1549" s="42" t="str">
        <f>IFERROR(__xludf.DUMMYFUNCTION("""COMPUTED_VALUE"""),"K/11/140125/1")</f>
        <v>K/11/140125/1</v>
      </c>
      <c r="C1549" s="42" t="str">
        <f>IFERROR(__xludf.DUMMYFUNCTION("""COMPUTED_VALUE"""),"M. 758/ Kemiling Permai")</f>
        <v>M. 758/ Kemiling Permai</v>
      </c>
      <c r="D1549" s="42" t="str">
        <f>IFERROR(__xludf.DUMMYFUNCTION("""COMPUTED_VALUE"""),"David")</f>
        <v>David</v>
      </c>
      <c r="E1549" s="42" t="str">
        <f>IFERROR(__xludf.DUMMYFUNCTION("""COMPUTED_VALUE"""),"DISERAHKAN")</f>
        <v>DISERAHKAN</v>
      </c>
      <c r="F1549" s="48">
        <f>IFERROR(__xludf.DUMMYFUNCTION("""COMPUTED_VALUE"""),45721.40891586806)</f>
        <v>45721.40892</v>
      </c>
      <c r="G1549" s="42" t="str">
        <f>IFERROR(__xludf.DUMMYFUNCTION("""COMPUTED_VALUE"""),"ROYA")</f>
        <v>ROYA</v>
      </c>
      <c r="H1549" s="42">
        <f t="shared" si="1"/>
        <v>717</v>
      </c>
    </row>
    <row r="1550" ht="22.5" customHeight="1">
      <c r="B1550" s="42" t="str">
        <f>IFERROR(__xludf.DUMMYFUNCTION("""COMPUTED_VALUE"""),"K/12/140125/1")</f>
        <v>K/12/140125/1</v>
      </c>
      <c r="C1550" s="42" t="str">
        <f>IFERROR(__xludf.DUMMYFUNCTION("""COMPUTED_VALUE"""),"M. 15191/ Sukabumi")</f>
        <v>M. 15191/ Sukabumi</v>
      </c>
      <c r="D1550" s="42" t="str">
        <f>IFERROR(__xludf.DUMMYFUNCTION("""COMPUTED_VALUE"""),"David")</f>
        <v>David</v>
      </c>
      <c r="E1550" s="42" t="str">
        <f>IFERROR(__xludf.DUMMYFUNCTION("""COMPUTED_VALUE"""),"PROSES")</f>
        <v>PROSES</v>
      </c>
      <c r="F1550" s="48" t="str">
        <f>IFERROR(__xludf.DUMMYFUNCTION("""COMPUTED_VALUE"""),"")</f>
        <v/>
      </c>
      <c r="G1550" s="42" t="str">
        <f>IFERROR(__xludf.DUMMYFUNCTION("""COMPUTED_VALUE"""),"BN Waris")</f>
        <v>BN Waris</v>
      </c>
      <c r="H1550" s="42">
        <f t="shared" si="1"/>
        <v>717</v>
      </c>
    </row>
    <row r="1551" ht="22.5" customHeight="1">
      <c r="B1551" s="42" t="str">
        <f>IFERROR(__xludf.DUMMYFUNCTION("""COMPUTED_VALUE"""),"K/13/140125/1")</f>
        <v>K/13/140125/1</v>
      </c>
      <c r="C1551" s="42" t="str">
        <f>IFERROR(__xludf.DUMMYFUNCTION("""COMPUTED_VALUE"""),"M.1142/SEPANG JAYA")</f>
        <v>M.1142/SEPANG JAYA</v>
      </c>
      <c r="D1551" s="42" t="str">
        <f>IFERROR(__xludf.DUMMYFUNCTION("""COMPUTED_VALUE"""),"David")</f>
        <v>David</v>
      </c>
      <c r="E1551" s="42" t="str">
        <f>IFERROR(__xludf.DUMMYFUNCTION("""COMPUTED_VALUE"""),"DISERAHKAN")</f>
        <v>DISERAHKAN</v>
      </c>
      <c r="F1551" s="48">
        <f>IFERROR(__xludf.DUMMYFUNCTION("""COMPUTED_VALUE"""),45672.46267355324)</f>
        <v>45672.46267</v>
      </c>
      <c r="G1551" s="42" t="str">
        <f>IFERROR(__xludf.DUMMYFUNCTION("""COMPUTED_VALUE"""),"ROYA ")</f>
        <v>ROYA </v>
      </c>
      <c r="H1551" s="42">
        <f t="shared" si="1"/>
        <v>718</v>
      </c>
    </row>
    <row r="1552" ht="22.5" customHeight="1">
      <c r="B1552" s="42" t="str">
        <f>IFERROR(__xludf.DUMMYFUNCTION("""COMPUTED_VALUE"""),"K/14/140125/1")</f>
        <v>K/14/140125/1</v>
      </c>
      <c r="C1552" s="42" t="str">
        <f>IFERROR(__xludf.DUMMYFUNCTION("""COMPUTED_VALUE"""),"M. 06/ Sukarame II")</f>
        <v>M. 06/ Sukarame II</v>
      </c>
      <c r="D1552" s="42" t="str">
        <f>IFERROR(__xludf.DUMMYFUNCTION("""COMPUTED_VALUE"""),"David")</f>
        <v>David</v>
      </c>
      <c r="E1552" s="42" t="str">
        <f>IFERROR(__xludf.DUMMYFUNCTION("""COMPUTED_VALUE"""),"DISERAHKAN")</f>
        <v>DISERAHKAN</v>
      </c>
      <c r="F1552" s="48">
        <f>IFERROR(__xludf.DUMMYFUNCTION("""COMPUTED_VALUE"""),45672.46278969907)</f>
        <v>45672.46279</v>
      </c>
      <c r="G1552" s="42" t="str">
        <f>IFERROR(__xludf.DUMMYFUNCTION("""COMPUTED_VALUE"""),"Ganti Nama HT")</f>
        <v>Ganti Nama HT</v>
      </c>
      <c r="H1552" s="42">
        <f t="shared" si="1"/>
        <v>719</v>
      </c>
    </row>
    <row r="1553" ht="22.5" customHeight="1">
      <c r="B1553" s="42" t="str">
        <f>IFERROR(__xludf.DUMMYFUNCTION("""COMPUTED_VALUE"""),"K/15/140125/2")</f>
        <v>K/15/140125/2</v>
      </c>
      <c r="C1553" s="42" t="str">
        <f>IFERROR(__xludf.DUMMYFUNCTION("""COMPUTED_VALUE"""),"M. 301/ Sukarame II")</f>
        <v>M. 301/ Sukarame II</v>
      </c>
      <c r="D1553" s="42" t="str">
        <f>IFERROR(__xludf.DUMMYFUNCTION("""COMPUTED_VALUE"""),"David")</f>
        <v>David</v>
      </c>
      <c r="E1553" s="42" t="str">
        <f>IFERROR(__xludf.DUMMYFUNCTION("""COMPUTED_VALUE"""),"DISERAHKAN")</f>
        <v>DISERAHKAN</v>
      </c>
      <c r="F1553" s="48">
        <f>IFERROR(__xludf.DUMMYFUNCTION("""COMPUTED_VALUE"""),45672.46281224537)</f>
        <v>45672.46281</v>
      </c>
      <c r="G1553" s="42" t="str">
        <f>IFERROR(__xludf.DUMMYFUNCTION("""COMPUTED_VALUE"""),"Ganti Nama HT")</f>
        <v>Ganti Nama HT</v>
      </c>
      <c r="H1553" s="42">
        <f t="shared" si="1"/>
        <v>720</v>
      </c>
    </row>
    <row r="1554" ht="22.5" customHeight="1">
      <c r="B1554" s="42" t="str">
        <f>IFERROR(__xludf.DUMMYFUNCTION("""COMPUTED_VALUE"""),"L/16/140125/1")</f>
        <v>L/16/140125/1</v>
      </c>
      <c r="C1554" s="42" t="str">
        <f>IFERROR(__xludf.DUMMYFUNCTION("""COMPUTED_VALUE"""),"HM 2665/SUMBER AGUNG")</f>
        <v>HM 2665/SUMBER AGUNG</v>
      </c>
      <c r="D1554" s="42" t="str">
        <f>IFERROR(__xludf.DUMMYFUNCTION("""COMPUTED_VALUE"""),"David")</f>
        <v>David</v>
      </c>
      <c r="E1554" s="42" t="str">
        <f>IFERROR(__xludf.DUMMYFUNCTION("""COMPUTED_VALUE"""),"DISERAHKAN")</f>
        <v>DISERAHKAN</v>
      </c>
      <c r="F1554" s="48">
        <f>IFERROR(__xludf.DUMMYFUNCTION("""COMPUTED_VALUE"""),45691.455593287035)</f>
        <v>45691.45559</v>
      </c>
      <c r="G1554" s="42" t="str">
        <f>IFERROR(__xludf.DUMMYFUNCTION("""COMPUTED_VALUE"""),"BN PUTUSAN PENGADILAN")</f>
        <v>BN PUTUSAN PENGADILAN</v>
      </c>
      <c r="H1554" s="42">
        <f t="shared" si="1"/>
        <v>721</v>
      </c>
    </row>
    <row r="1555" ht="22.5" customHeight="1">
      <c r="B1555" s="42" t="str">
        <f>IFERROR(__xludf.DUMMYFUNCTION("""COMPUTED_VALUE"""),"L/17/140125/1")</f>
        <v>L/17/140125/1</v>
      </c>
      <c r="C1555" s="42" t="str">
        <f>IFERROR(__xludf.DUMMYFUNCTION("""COMPUTED_VALUE"""),"HGB 915/KETEGUHAN")</f>
        <v>HGB 915/KETEGUHAN</v>
      </c>
      <c r="D1555" s="42" t="str">
        <f>IFERROR(__xludf.DUMMYFUNCTION("""COMPUTED_VALUE"""),"David")</f>
        <v>David</v>
      </c>
      <c r="E1555" s="42" t="str">
        <f>IFERROR(__xludf.DUMMYFUNCTION("""COMPUTED_VALUE"""),"DISERAHKAN")</f>
        <v>DISERAHKAN</v>
      </c>
      <c r="F1555" s="48">
        <f>IFERROR(__xludf.DUMMYFUNCTION("""COMPUTED_VALUE"""),45672.463198530095)</f>
        <v>45672.4632</v>
      </c>
      <c r="G1555" s="42" t="str">
        <f>IFERROR(__xludf.DUMMYFUNCTION("""COMPUTED_VALUE"""),"PH")</f>
        <v>PH</v>
      </c>
      <c r="H1555" s="42">
        <f t="shared" si="1"/>
        <v>722</v>
      </c>
    </row>
    <row r="1556" ht="22.5" customHeight="1">
      <c r="B1556" s="42" t="str">
        <f>IFERROR(__xludf.DUMMYFUNCTION("""COMPUTED_VALUE"""),"K/18/140125/1")</f>
        <v>K/18/140125/1</v>
      </c>
      <c r="C1556" s="42" t="str">
        <f>IFERROR(__xludf.DUMMYFUNCTION("""COMPUTED_VALUE"""),"Nibel 16060/ Sumur Putri")</f>
        <v>Nibel 16060/ Sumur Putri</v>
      </c>
      <c r="D1556" s="42"/>
      <c r="E1556" s="42"/>
      <c r="F1556" s="48" t="str">
        <f>IFERROR(__xludf.DUMMYFUNCTION("""COMPUTED_VALUE"""),"")</f>
        <v/>
      </c>
      <c r="G1556" s="42" t="str">
        <f>IFERROR(__xludf.DUMMYFUNCTION("""COMPUTED_VALUE"""),"PERUBAHAN HAK")</f>
        <v>PERUBAHAN HAK</v>
      </c>
      <c r="H1556" s="42">
        <f t="shared" si="1"/>
        <v>722</v>
      </c>
    </row>
    <row r="1557" ht="22.5" customHeight="1">
      <c r="B1557" s="42" t="str">
        <f>IFERROR(__xludf.DUMMYFUNCTION("""COMPUTED_VALUE"""),"L/22/140125/1")</f>
        <v>L/22/140125/1</v>
      </c>
      <c r="C1557" s="42" t="str">
        <f>IFERROR(__xludf.DUMMYFUNCTION("""COMPUTED_VALUE"""),"HM 3507/CAMPANG RAYA")</f>
        <v>HM 3507/CAMPANG RAYA</v>
      </c>
      <c r="D1557" s="42" t="str">
        <f>IFERROR(__xludf.DUMMYFUNCTION("""COMPUTED_VALUE"""),"David")</f>
        <v>David</v>
      </c>
      <c r="E1557" s="42" t="str">
        <f>IFERROR(__xludf.DUMMYFUNCTION("""COMPUTED_VALUE"""),"DISERAHKAN")</f>
        <v>DISERAHKAN</v>
      </c>
      <c r="F1557" s="48">
        <f>IFERROR(__xludf.DUMMYFUNCTION("""COMPUTED_VALUE"""),45708.6023474074)</f>
        <v>45708.60235</v>
      </c>
      <c r="G1557" s="42" t="str">
        <f>IFERROR(__xludf.DUMMYFUNCTION("""COMPUTED_VALUE"""),"ROYA")</f>
        <v>ROYA</v>
      </c>
      <c r="H1557" s="42">
        <f t="shared" si="1"/>
        <v>723</v>
      </c>
    </row>
    <row r="1558" ht="22.5" customHeight="1">
      <c r="B1558" s="42" t="str">
        <f>IFERROR(__xludf.DUMMYFUNCTION("""COMPUTED_VALUE"""),"K/19/140125/2")</f>
        <v>K/19/140125/2</v>
      </c>
      <c r="C1558" s="42" t="str">
        <f>IFERROR(__xludf.DUMMYFUNCTION("""COMPUTED_VALUE"""),"Nibel 16026/ Sumur Putri")</f>
        <v>Nibel 16026/ Sumur Putri</v>
      </c>
      <c r="D1558" s="42"/>
      <c r="E1558" s="42"/>
      <c r="F1558" s="48" t="str">
        <f>IFERROR(__xludf.DUMMYFUNCTION("""COMPUTED_VALUE"""),"")</f>
        <v/>
      </c>
      <c r="G1558" s="42" t="str">
        <f>IFERROR(__xludf.DUMMYFUNCTION("""COMPUTED_VALUE"""),"PERUBAHAN HAK")</f>
        <v>PERUBAHAN HAK</v>
      </c>
      <c r="H1558" s="42">
        <f t="shared" si="1"/>
        <v>723</v>
      </c>
    </row>
    <row r="1559" ht="22.5" customHeight="1">
      <c r="B1559" s="42" t="str">
        <f>IFERROR(__xludf.DUMMYFUNCTION("""COMPUTED_VALUE"""),"K/20/140125/3")</f>
        <v>K/20/140125/3</v>
      </c>
      <c r="C1559" s="42" t="str">
        <f>IFERROR(__xludf.DUMMYFUNCTION("""COMPUTED_VALUE"""),"Nibel 16476/ Sumur Putri")</f>
        <v>Nibel 16476/ Sumur Putri</v>
      </c>
      <c r="D1559" s="42"/>
      <c r="E1559" s="42"/>
      <c r="F1559" s="48" t="str">
        <f>IFERROR(__xludf.DUMMYFUNCTION("""COMPUTED_VALUE"""),"")</f>
        <v/>
      </c>
      <c r="G1559" s="42" t="str">
        <f>IFERROR(__xludf.DUMMYFUNCTION("""COMPUTED_VALUE"""),"perubahan hak")</f>
        <v>perubahan hak</v>
      </c>
      <c r="H1559" s="42">
        <f t="shared" si="1"/>
        <v>723</v>
      </c>
    </row>
    <row r="1560" ht="22.5" customHeight="1">
      <c r="B1560" s="42" t="str">
        <f>IFERROR(__xludf.DUMMYFUNCTION("""COMPUTED_VALUE"""),"K/23/140125/1")</f>
        <v>K/23/140125/1</v>
      </c>
      <c r="C1560" s="42" t="str">
        <f>IFERROR(__xludf.DUMMYFUNCTION("""COMPUTED_VALUE"""),"NIBEL B 16094/KOTA BARU")</f>
        <v>NIBEL B 16094/KOTA BARU</v>
      </c>
      <c r="D1560" s="42"/>
      <c r="E1560" s="42"/>
      <c r="F1560" s="48" t="str">
        <f>IFERROR(__xludf.DUMMYFUNCTION("""COMPUTED_VALUE"""),"")</f>
        <v/>
      </c>
      <c r="G1560" s="42" t="str">
        <f>IFERROR(__xludf.DUMMYFUNCTION("""COMPUTED_VALUE"""),"SKPT INFORMASI")</f>
        <v>SKPT INFORMASI</v>
      </c>
      <c r="H1560" s="42">
        <f t="shared" si="1"/>
        <v>723</v>
      </c>
    </row>
    <row r="1561" ht="22.5" customHeight="1">
      <c r="B1561" s="42" t="str">
        <f>IFERROR(__xludf.DUMMYFUNCTION("""COMPUTED_VALUE"""),"K/21/140125/4")</f>
        <v>K/21/140125/4</v>
      </c>
      <c r="C1561" s="42" t="str">
        <f>IFERROR(__xludf.DUMMYFUNCTION("""COMPUTED_VALUE"""),"Nibel 12586/ Sumur Putri")</f>
        <v>Nibel 12586/ Sumur Putri</v>
      </c>
      <c r="D1561" s="42"/>
      <c r="E1561" s="42"/>
      <c r="F1561" s="48" t="str">
        <f>IFERROR(__xludf.DUMMYFUNCTION("""COMPUTED_VALUE"""),"")</f>
        <v/>
      </c>
      <c r="G1561" s="42" t="str">
        <f>IFERROR(__xludf.DUMMYFUNCTION("""COMPUTED_VALUE"""),"PERUBAHAN HAK")</f>
        <v>PERUBAHAN HAK</v>
      </c>
      <c r="H1561" s="42">
        <f t="shared" si="1"/>
        <v>723</v>
      </c>
    </row>
    <row r="1562" ht="22.5" customHeight="1">
      <c r="B1562" s="42" t="str">
        <f>IFERROR(__xludf.DUMMYFUNCTION("""COMPUTED_VALUE"""),"K/24/140125/1")</f>
        <v>K/24/140125/1</v>
      </c>
      <c r="C1562" s="42" t="str">
        <f>IFERROR(__xludf.DUMMYFUNCTION("""COMPUTED_VALUE"""),"M. 2162/ Bakung")</f>
        <v>M. 2162/ Bakung</v>
      </c>
      <c r="D1562" s="42" t="str">
        <f>IFERROR(__xludf.DUMMYFUNCTION("""COMPUTED_VALUE"""),"David")</f>
        <v>David</v>
      </c>
      <c r="E1562" s="42" t="str">
        <f>IFERROR(__xludf.DUMMYFUNCTION("""COMPUTED_VALUE"""),"DISERAHKAN")</f>
        <v>DISERAHKAN</v>
      </c>
      <c r="F1562" s="48">
        <f>IFERROR(__xludf.DUMMYFUNCTION("""COMPUTED_VALUE"""),45720.4392022338)</f>
        <v>45720.4392</v>
      </c>
      <c r="G1562" s="42" t="str">
        <f>IFERROR(__xludf.DUMMYFUNCTION("""COMPUTED_VALUE"""),"BN Jual Beli")</f>
        <v>BN Jual Beli</v>
      </c>
      <c r="H1562" s="42">
        <f t="shared" si="1"/>
        <v>724</v>
      </c>
    </row>
    <row r="1563" ht="22.5" customHeight="1">
      <c r="B1563" s="42" t="str">
        <f>IFERROR(__xludf.DUMMYFUNCTION("""COMPUTED_VALUE"""),"L/25/140125/1")</f>
        <v>L/25/140125/1</v>
      </c>
      <c r="C1563" s="42" t="str">
        <f>IFERROR(__xludf.DUMMYFUNCTION("""COMPUTED_VALUE"""),"HM 11445/RAJABASA")</f>
        <v>HM 11445/RAJABASA</v>
      </c>
      <c r="D1563" s="42" t="str">
        <f>IFERROR(__xludf.DUMMYFUNCTION("""COMPUTED_VALUE"""),"David")</f>
        <v>David</v>
      </c>
      <c r="E1563" s="42" t="str">
        <f>IFERROR(__xludf.DUMMYFUNCTION("""COMPUTED_VALUE"""),"DISERAHKAN")</f>
        <v>DISERAHKAN</v>
      </c>
      <c r="F1563" s="48">
        <f>IFERROR(__xludf.DUMMYFUNCTION("""COMPUTED_VALUE"""),45672.4636084838)</f>
        <v>45672.46361</v>
      </c>
      <c r="G1563" s="42" t="str">
        <f>IFERROR(__xludf.DUMMYFUNCTION("""COMPUTED_VALUE"""),"ROYA")</f>
        <v>ROYA</v>
      </c>
      <c r="H1563" s="42">
        <f t="shared" si="1"/>
        <v>725</v>
      </c>
    </row>
    <row r="1564" ht="22.5" customHeight="1">
      <c r="B1564" s="42" t="str">
        <f>IFERROR(__xludf.DUMMYFUNCTION("""COMPUTED_VALUE"""),"L/26/140125/1")</f>
        <v>L/26/140125/1</v>
      </c>
      <c r="C1564" s="42" t="str">
        <f>IFERROR(__xludf.DUMMYFUNCTION("""COMPUTED_VALUE"""),"HM 13476/SEGALA MIDER")</f>
        <v>HM 13476/SEGALA MIDER</v>
      </c>
      <c r="D1564" s="42" t="str">
        <f>IFERROR(__xludf.DUMMYFUNCTION("""COMPUTED_VALUE"""),"David")</f>
        <v>David</v>
      </c>
      <c r="E1564" s="42" t="str">
        <f>IFERROR(__xludf.DUMMYFUNCTION("""COMPUTED_VALUE"""),"DISERAHKAN")</f>
        <v>DISERAHKAN</v>
      </c>
      <c r="F1564" s="48">
        <f>IFERROR(__xludf.DUMMYFUNCTION("""COMPUTED_VALUE"""),45672.46363347222)</f>
        <v>45672.46363</v>
      </c>
      <c r="G1564" s="42" t="str">
        <f>IFERROR(__xludf.DUMMYFUNCTION("""COMPUTED_VALUE"""),"ROYA")</f>
        <v>ROYA</v>
      </c>
      <c r="H1564" s="42">
        <f t="shared" si="1"/>
        <v>726</v>
      </c>
    </row>
    <row r="1565" ht="22.5" customHeight="1">
      <c r="B1565" s="42" t="str">
        <f>IFERROR(__xludf.DUMMYFUNCTION("""COMPUTED_VALUE"""),"L/27/140125/1")</f>
        <v>L/27/140125/1</v>
      </c>
      <c r="C1565" s="42" t="str">
        <f>IFERROR(__xludf.DUMMYFUNCTION("""COMPUTED_VALUE"""),"NIB 584/KETEGUHAN")</f>
        <v>NIB 584/KETEGUHAN</v>
      </c>
      <c r="D1565" s="42"/>
      <c r="E1565" s="42"/>
      <c r="F1565" s="48" t="str">
        <f>IFERROR(__xludf.DUMMYFUNCTION("""COMPUTED_VALUE"""),"")</f>
        <v/>
      </c>
      <c r="G1565" s="42" t="str">
        <f>IFERROR(__xludf.DUMMYFUNCTION("""COMPUTED_VALUE"""),"PH")</f>
        <v>PH</v>
      </c>
      <c r="H1565" s="42">
        <f t="shared" si="1"/>
        <v>726</v>
      </c>
    </row>
    <row r="1566" ht="22.5" customHeight="1">
      <c r="B1566" s="42" t="str">
        <f>IFERROR(__xludf.DUMMYFUNCTION("""COMPUTED_VALUE"""),"K/1/150125/1")</f>
        <v>K/1/150125/1</v>
      </c>
      <c r="C1566" s="42" t="str">
        <f>IFERROR(__xludf.DUMMYFUNCTION("""COMPUTED_VALUE"""),"B. 1935/ Sukabumi")</f>
        <v>B. 1935/ Sukabumi</v>
      </c>
      <c r="D1566" s="42" t="str">
        <f>IFERROR(__xludf.DUMMYFUNCTION("""COMPUTED_VALUE"""),"David")</f>
        <v>David</v>
      </c>
      <c r="E1566" s="42" t="str">
        <f>IFERROR(__xludf.DUMMYFUNCTION("""COMPUTED_VALUE"""),"DISERAHKAN")</f>
        <v>DISERAHKAN</v>
      </c>
      <c r="F1566" s="48">
        <f>IFERROR(__xludf.DUMMYFUNCTION("""COMPUTED_VALUE"""),45677.6226071875)</f>
        <v>45677.62261</v>
      </c>
      <c r="G1566" s="42" t="str">
        <f>IFERROR(__xludf.DUMMYFUNCTION("""COMPUTED_VALUE"""),"Perubahan Hak")</f>
        <v>Perubahan Hak</v>
      </c>
      <c r="H1566" s="42">
        <f t="shared" si="1"/>
        <v>727</v>
      </c>
    </row>
    <row r="1567" ht="22.5" customHeight="1">
      <c r="B1567" s="42" t="str">
        <f>IFERROR(__xludf.DUMMYFUNCTION("""COMPUTED_VALUE"""),"K/2/150125/1")</f>
        <v>K/2/150125/1</v>
      </c>
      <c r="C1567" s="42" t="str">
        <f>IFERROR(__xludf.DUMMYFUNCTION("""COMPUTED_VALUE"""),"NIBEL M 16864/SUKAMAJU")</f>
        <v>NIBEL M 16864/SUKAMAJU</v>
      </c>
      <c r="D1567" s="42"/>
      <c r="E1567" s="42"/>
      <c r="F1567" s="48" t="str">
        <f>IFERROR(__xludf.DUMMYFUNCTION("""COMPUTED_VALUE"""),"")</f>
        <v/>
      </c>
      <c r="G1567" s="42" t="str">
        <f>IFERROR(__xludf.DUMMYFUNCTION("""COMPUTED_VALUE"""),"LELANG")</f>
        <v>LELANG</v>
      </c>
      <c r="H1567" s="42">
        <f t="shared" si="1"/>
        <v>727</v>
      </c>
    </row>
    <row r="1568" ht="22.5" customHeight="1">
      <c r="B1568" s="42" t="str">
        <f>IFERROR(__xludf.DUMMYFUNCTION("""COMPUTED_VALUE"""),"K/4/150125/1")</f>
        <v>K/4/150125/1</v>
      </c>
      <c r="C1568" s="42" t="str">
        <f>IFERROR(__xludf.DUMMYFUNCTION("""COMPUTED_VALUE"""),"B. 156/ Sukaraja")</f>
        <v>B. 156/ Sukaraja</v>
      </c>
      <c r="D1568" s="42" t="str">
        <f>IFERROR(__xludf.DUMMYFUNCTION("""COMPUTED_VALUE"""),"David")</f>
        <v>David</v>
      </c>
      <c r="E1568" s="42" t="str">
        <f>IFERROR(__xludf.DUMMYFUNCTION("""COMPUTED_VALUE"""),"DISERAHKAN")</f>
        <v>DISERAHKAN</v>
      </c>
      <c r="F1568" s="48">
        <f>IFERROR(__xludf.DUMMYFUNCTION("""COMPUTED_VALUE"""),45677.622786631946)</f>
        <v>45677.62279</v>
      </c>
      <c r="G1568" s="42" t="str">
        <f>IFERROR(__xludf.DUMMYFUNCTION("""COMPUTED_VALUE"""),"BN JUAL BELI")</f>
        <v>BN JUAL BELI</v>
      </c>
      <c r="H1568" s="42">
        <f t="shared" si="1"/>
        <v>728</v>
      </c>
    </row>
    <row r="1569" ht="22.5" customHeight="1">
      <c r="B1569" s="42" t="str">
        <f>IFERROR(__xludf.DUMMYFUNCTION("""COMPUTED_VALUE"""),"K/3/150125/1")</f>
        <v>K/3/150125/1</v>
      </c>
      <c r="C1569" s="42" t="str">
        <f>IFERROR(__xludf.DUMMYFUNCTION("""COMPUTED_VALUE"""),"Nibel. B. 8002/ Sukabumi Indah")</f>
        <v>Nibel. B. 8002/ Sukabumi Indah</v>
      </c>
      <c r="D1569" s="42"/>
      <c r="E1569" s="42"/>
      <c r="F1569" s="48" t="str">
        <f>IFERROR(__xludf.DUMMYFUNCTION("""COMPUTED_VALUE"""),"")</f>
        <v/>
      </c>
      <c r="G1569" s="42" t="str">
        <f>IFERROR(__xludf.DUMMYFUNCTION("""COMPUTED_VALUE"""),"Perubahan Hak")</f>
        <v>Perubahan Hak</v>
      </c>
      <c r="H1569" s="42">
        <f t="shared" si="1"/>
        <v>728</v>
      </c>
    </row>
    <row r="1570" ht="22.5" customHeight="1">
      <c r="B1570" s="42" t="str">
        <f>IFERROR(__xludf.DUMMYFUNCTION("""COMPUTED_VALUE"""),"K/5/150125/1")</f>
        <v>K/5/150125/1</v>
      </c>
      <c r="C1570" s="42" t="str">
        <f>IFERROR(__xludf.DUMMYFUNCTION("""COMPUTED_VALUE"""),"NIBEL B 199/KETEGUHAN")</f>
        <v>NIBEL B 199/KETEGUHAN</v>
      </c>
      <c r="D1570" s="42"/>
      <c r="E1570" s="42"/>
      <c r="F1570" s="48" t="str">
        <f>IFERROR(__xludf.DUMMYFUNCTION("""COMPUTED_VALUE"""),"")</f>
        <v/>
      </c>
      <c r="G1570" s="42" t="str">
        <f>IFERROR(__xludf.DUMMYFUNCTION("""COMPUTED_VALUE"""),"PERUBAHAN HAK")</f>
        <v>PERUBAHAN HAK</v>
      </c>
      <c r="H1570" s="42">
        <f t="shared" si="1"/>
        <v>728</v>
      </c>
    </row>
    <row r="1571" ht="22.5" customHeight="1">
      <c r="B1571" s="42" t="str">
        <f>IFERROR(__xludf.DUMMYFUNCTION("""COMPUTED_VALUE"""),"K/6/150125/2")</f>
        <v>K/6/150125/2</v>
      </c>
      <c r="C1571" s="42" t="str">
        <f>IFERROR(__xludf.DUMMYFUNCTION("""COMPUTED_VALUE"""),"NIBEL B 201/KETEGUHAN")</f>
        <v>NIBEL B 201/KETEGUHAN</v>
      </c>
      <c r="D1571" s="42"/>
      <c r="E1571" s="42"/>
      <c r="F1571" s="48" t="str">
        <f>IFERROR(__xludf.DUMMYFUNCTION("""COMPUTED_VALUE"""),"")</f>
        <v/>
      </c>
      <c r="G1571" s="42" t="str">
        <f>IFERROR(__xludf.DUMMYFUNCTION("""COMPUTED_VALUE"""),"PERUBAHAN HAK")</f>
        <v>PERUBAHAN HAK</v>
      </c>
      <c r="H1571" s="42">
        <f t="shared" si="1"/>
        <v>728</v>
      </c>
    </row>
    <row r="1572" ht="22.5" customHeight="1">
      <c r="B1572" s="42" t="str">
        <f>IFERROR(__xludf.DUMMYFUNCTION("""COMPUTED_VALUE"""),"K/7/150125/3")</f>
        <v>K/7/150125/3</v>
      </c>
      <c r="C1572" s="42" t="str">
        <f>IFERROR(__xludf.DUMMYFUNCTION("""COMPUTED_VALUE"""),"NIBEL B 200/KETEGUHAN")</f>
        <v>NIBEL B 200/KETEGUHAN</v>
      </c>
      <c r="D1572" s="42"/>
      <c r="E1572" s="42"/>
      <c r="F1572" s="48" t="str">
        <f>IFERROR(__xludf.DUMMYFUNCTION("""COMPUTED_VALUE"""),"")</f>
        <v/>
      </c>
      <c r="G1572" s="42" t="str">
        <f>IFERROR(__xludf.DUMMYFUNCTION("""COMPUTED_VALUE"""),"PERUBAHAN HAK")</f>
        <v>PERUBAHAN HAK</v>
      </c>
      <c r="H1572" s="42">
        <f t="shared" si="1"/>
        <v>728</v>
      </c>
    </row>
    <row r="1573" ht="22.5" customHeight="1">
      <c r="B1573" s="42" t="str">
        <f>IFERROR(__xludf.DUMMYFUNCTION("""COMPUTED_VALUE"""),"L/11/150125/1")</f>
        <v>L/11/150125/1</v>
      </c>
      <c r="C1573" s="42" t="str">
        <f>IFERROR(__xludf.DUMMYFUNCTION("""COMPUTED_VALUE"""),"HM 12302/JAGABAYA II")</f>
        <v>HM 12302/JAGABAYA II</v>
      </c>
      <c r="D1573" s="42" t="str">
        <f>IFERROR(__xludf.DUMMYFUNCTION("""COMPUTED_VALUE"""),"David")</f>
        <v>David</v>
      </c>
      <c r="E1573" s="42" t="str">
        <f>IFERROR(__xludf.DUMMYFUNCTION("""COMPUTED_VALUE"""),"PROSES")</f>
        <v>PROSES</v>
      </c>
      <c r="F1573" s="48" t="str">
        <f>IFERROR(__xludf.DUMMYFUNCTION("""COMPUTED_VALUE"""),"")</f>
        <v/>
      </c>
      <c r="G1573" s="42" t="str">
        <f>IFERROR(__xludf.DUMMYFUNCTION("""COMPUTED_VALUE"""),"PEMECAHAN")</f>
        <v>PEMECAHAN</v>
      </c>
      <c r="H1573" s="42">
        <f t="shared" si="1"/>
        <v>728</v>
      </c>
    </row>
    <row r="1574" ht="22.5" customHeight="1">
      <c r="B1574" s="42" t="str">
        <f>IFERROR(__xludf.DUMMYFUNCTION("""COMPUTED_VALUE"""),"K/8/150125/1")</f>
        <v>K/8/150125/1</v>
      </c>
      <c r="C1574" s="42" t="str">
        <f>IFERROR(__xludf.DUMMYFUNCTION("""COMPUTED_VALUE"""),"B. 1364/ KEMILING RAYA")</f>
        <v>B. 1364/ KEMILING RAYA</v>
      </c>
      <c r="D1574" s="42" t="str">
        <f>IFERROR(__xludf.DUMMYFUNCTION("""COMPUTED_VALUE"""),"David")</f>
        <v>David</v>
      </c>
      <c r="E1574" s="42" t="str">
        <f>IFERROR(__xludf.DUMMYFUNCTION("""COMPUTED_VALUE"""),"PROSES")</f>
        <v>PROSES</v>
      </c>
      <c r="F1574" s="48" t="str">
        <f>IFERROR(__xludf.DUMMYFUNCTION("""COMPUTED_VALUE"""),"")</f>
        <v/>
      </c>
      <c r="G1574" s="42" t="str">
        <f>IFERROR(__xludf.DUMMYFUNCTION("""COMPUTED_VALUE"""),"PERUBAHAN HAK")</f>
        <v>PERUBAHAN HAK</v>
      </c>
      <c r="H1574" s="42">
        <f t="shared" si="1"/>
        <v>728</v>
      </c>
    </row>
    <row r="1575" ht="22.5" customHeight="1">
      <c r="B1575" s="42" t="str">
        <f>IFERROR(__xludf.DUMMYFUNCTION("""COMPUTED_VALUE"""),"K/9/150125/2")</f>
        <v>K/9/150125/2</v>
      </c>
      <c r="C1575" s="42" t="str">
        <f>IFERROR(__xludf.DUMMYFUNCTION("""COMPUTED_VALUE"""),"NIBEL 16284/ KEMILING PERMAI")</f>
        <v>NIBEL 16284/ KEMILING PERMAI</v>
      </c>
      <c r="D1575" s="42"/>
      <c r="E1575" s="42"/>
      <c r="F1575" s="48" t="str">
        <f>IFERROR(__xludf.DUMMYFUNCTION("""COMPUTED_VALUE"""),"")</f>
        <v/>
      </c>
      <c r="G1575" s="42" t="str">
        <f>IFERROR(__xludf.DUMMYFUNCTION("""COMPUTED_VALUE"""),"PERUBAHAN HAK")</f>
        <v>PERUBAHAN HAK</v>
      </c>
      <c r="H1575" s="42">
        <f t="shared" si="1"/>
        <v>728</v>
      </c>
    </row>
    <row r="1576" ht="22.5" customHeight="1">
      <c r="B1576" s="42" t="str">
        <f>IFERROR(__xludf.DUMMYFUNCTION("""COMPUTED_VALUE"""),"K/10/150125/3")</f>
        <v>K/10/150125/3</v>
      </c>
      <c r="C1576" s="42" t="str">
        <f>IFERROR(__xludf.DUMMYFUNCTION("""COMPUTED_VALUE""")," ")</f>
        <v> </v>
      </c>
      <c r="D1576" s="42"/>
      <c r="E1576" s="42"/>
      <c r="F1576" s="48" t="str">
        <f>IFERROR(__xludf.DUMMYFUNCTION("""COMPUTED_VALUE"""),"")</f>
        <v/>
      </c>
      <c r="G1576" s="42" t="str">
        <f>IFERROR(__xludf.DUMMYFUNCTION("""COMPUTED_VALUE"""),"  ")</f>
        <v>  </v>
      </c>
      <c r="H1576" s="42">
        <f t="shared" si="1"/>
        <v>728</v>
      </c>
    </row>
    <row r="1577" ht="22.5" customHeight="1">
      <c r="B1577" s="42" t="str">
        <f>IFERROR(__xludf.DUMMYFUNCTION("""COMPUTED_VALUE"""),"K/12/150125/1")</f>
        <v>K/12/150125/1</v>
      </c>
      <c r="C1577" s="42" t="str">
        <f>IFERROR(__xludf.DUMMYFUNCTION("""COMPUTED_VALUE"""),"M. 10005/ Sukamenanti")</f>
        <v>M. 10005/ Sukamenanti</v>
      </c>
      <c r="D1577" s="42" t="str">
        <f>IFERROR(__xludf.DUMMYFUNCTION("""COMPUTED_VALUE"""),"David")</f>
        <v>David</v>
      </c>
      <c r="E1577" s="42" t="str">
        <f>IFERROR(__xludf.DUMMYFUNCTION("""COMPUTED_VALUE"""),"DISERAHKAN")</f>
        <v>DISERAHKAN</v>
      </c>
      <c r="F1577" s="48">
        <f>IFERROR(__xludf.DUMMYFUNCTION("""COMPUTED_VALUE"""),45677.62334122685)</f>
        <v>45677.62334</v>
      </c>
      <c r="G1577" s="42" t="str">
        <f>IFERROR(__xludf.DUMMYFUNCTION("""COMPUTED_VALUE"""),"BN Waris")</f>
        <v>BN Waris</v>
      </c>
      <c r="H1577" s="42">
        <f t="shared" si="1"/>
        <v>729</v>
      </c>
    </row>
    <row r="1578" ht="22.5" customHeight="1">
      <c r="B1578" s="42" t="str">
        <f>IFERROR(__xludf.DUMMYFUNCTION("""COMPUTED_VALUE"""),"L/17/150125/1")</f>
        <v>L/17/150125/1</v>
      </c>
      <c r="C1578" s="42" t="str">
        <f>IFERROR(__xludf.DUMMYFUNCTION("""COMPUTED_VALUE"""),"HM 12010/SUKABUMI")</f>
        <v>HM 12010/SUKABUMI</v>
      </c>
      <c r="D1578" s="42" t="str">
        <f>IFERROR(__xludf.DUMMYFUNCTION("""COMPUTED_VALUE"""),"David")</f>
        <v>David</v>
      </c>
      <c r="E1578" s="42" t="str">
        <f>IFERROR(__xludf.DUMMYFUNCTION("""COMPUTED_VALUE"""),"DISERAHKAN")</f>
        <v>DISERAHKAN</v>
      </c>
      <c r="F1578" s="48">
        <f>IFERROR(__xludf.DUMMYFUNCTION("""COMPUTED_VALUE"""),45677.623469479164)</f>
        <v>45677.62347</v>
      </c>
      <c r="G1578" s="42" t="str">
        <f>IFERROR(__xludf.DUMMYFUNCTION("""COMPUTED_VALUE"""),"ROYA")</f>
        <v>ROYA</v>
      </c>
      <c r="H1578" s="42">
        <f t="shared" si="1"/>
        <v>730</v>
      </c>
    </row>
    <row r="1579" ht="22.5" customHeight="1">
      <c r="B1579" s="42" t="str">
        <f>IFERROR(__xludf.DUMMYFUNCTION("""COMPUTED_VALUE"""),"K/15/150125/1")</f>
        <v>K/15/150125/1</v>
      </c>
      <c r="C1579" s="42" t="str">
        <f>IFERROR(__xludf.DUMMYFUNCTION("""COMPUTED_VALUE"""),"M. 877/ Kupang Kota")</f>
        <v>M. 877/ Kupang Kota</v>
      </c>
      <c r="D1579" s="42" t="str">
        <f>IFERROR(__xludf.DUMMYFUNCTION("""COMPUTED_VALUE"""),"David")</f>
        <v>David</v>
      </c>
      <c r="E1579" s="42" t="str">
        <f>IFERROR(__xludf.DUMMYFUNCTION("""COMPUTED_VALUE"""),"DISERAHKAN")</f>
        <v>DISERAHKAN</v>
      </c>
      <c r="F1579" s="48">
        <f>IFERROR(__xludf.DUMMYFUNCTION("""COMPUTED_VALUE"""),45677.62360335648)</f>
        <v>45677.6236</v>
      </c>
      <c r="G1579" s="42" t="str">
        <f>IFERROR(__xludf.DUMMYFUNCTION("""COMPUTED_VALUE"""),"BN Waris")</f>
        <v>BN Waris</v>
      </c>
      <c r="H1579" s="42">
        <f t="shared" si="1"/>
        <v>731</v>
      </c>
    </row>
    <row r="1580" ht="22.5" customHeight="1">
      <c r="B1580" s="42" t="str">
        <f>IFERROR(__xludf.DUMMYFUNCTION("""COMPUTED_VALUE"""),"K/16/150125/2")</f>
        <v>K/16/150125/2</v>
      </c>
      <c r="C1580" s="42" t="str">
        <f>IFERROR(__xludf.DUMMYFUNCTION("""COMPUTED_VALUE"""),"M. 11177/ Segala Mider")</f>
        <v>M. 11177/ Segala Mider</v>
      </c>
      <c r="D1580" s="42" t="str">
        <f>IFERROR(__xludf.DUMMYFUNCTION("""COMPUTED_VALUE"""),"David")</f>
        <v>David</v>
      </c>
      <c r="E1580" s="42" t="str">
        <f>IFERROR(__xludf.DUMMYFUNCTION("""COMPUTED_VALUE"""),"DISERAHKAN")</f>
        <v>DISERAHKAN</v>
      </c>
      <c r="F1580" s="48">
        <f>IFERROR(__xludf.DUMMYFUNCTION("""COMPUTED_VALUE"""),45677.623733298606)</f>
        <v>45677.62373</v>
      </c>
      <c r="G1580" s="42" t="str">
        <f>IFERROR(__xludf.DUMMYFUNCTION("""COMPUTED_VALUE"""),"BN Jual Beli")</f>
        <v>BN Jual Beli</v>
      </c>
      <c r="H1580" s="42">
        <f t="shared" si="1"/>
        <v>732</v>
      </c>
    </row>
    <row r="1581" ht="22.5" customHeight="1">
      <c r="B1581" s="42" t="str">
        <f>IFERROR(__xludf.DUMMYFUNCTION("""COMPUTED_VALUE"""),"K/14/150125/2")</f>
        <v>K/14/150125/2</v>
      </c>
      <c r="C1581" s="42" t="str">
        <f>IFERROR(__xludf.DUMMYFUNCTION("""COMPUTED_VALUE"""),"B. 2621/ Sukarame")</f>
        <v>B. 2621/ Sukarame</v>
      </c>
      <c r="D1581" s="42"/>
      <c r="E1581" s="42" t="str">
        <f>IFERROR(__xludf.DUMMYFUNCTION("""COMPUTED_VALUE"""),"DISERAHKAN")</f>
        <v>DISERAHKAN</v>
      </c>
      <c r="F1581" s="48">
        <f>IFERROR(__xludf.DUMMYFUNCTION("""COMPUTED_VALUE"""),45677.594454351856)</f>
        <v>45677.59445</v>
      </c>
      <c r="G1581" s="42" t="str">
        <f>IFERROR(__xludf.DUMMYFUNCTION("""COMPUTED_VALUE"""),"Roya")</f>
        <v>Roya</v>
      </c>
      <c r="H1581" s="42">
        <f t="shared" si="1"/>
        <v>733</v>
      </c>
    </row>
    <row r="1582" ht="22.5" customHeight="1">
      <c r="B1582" s="42" t="str">
        <f>IFERROR(__xludf.DUMMYFUNCTION("""COMPUTED_VALUE"""),"K/13/150125/1")</f>
        <v>K/13/150125/1</v>
      </c>
      <c r="C1582" s="42" t="str">
        <f>IFERROR(__xludf.DUMMYFUNCTION("""COMPUTED_VALUE"""),"M. 844/ Bumi Kedamaian")</f>
        <v>M. 844/ Bumi Kedamaian</v>
      </c>
      <c r="D1582" s="42" t="str">
        <f>IFERROR(__xludf.DUMMYFUNCTION("""COMPUTED_VALUE"""),"David")</f>
        <v>David</v>
      </c>
      <c r="E1582" s="42" t="str">
        <f>IFERROR(__xludf.DUMMYFUNCTION("""COMPUTED_VALUE"""),"PROSES")</f>
        <v>PROSES</v>
      </c>
      <c r="F1582" s="48" t="str">
        <f>IFERROR(__xludf.DUMMYFUNCTION("""COMPUTED_VALUE"""),"")</f>
        <v/>
      </c>
      <c r="G1582" s="42" t="str">
        <f>IFERROR(__xludf.DUMMYFUNCTION("""COMPUTED_VALUE"""),"BN Jual Beli")</f>
        <v>BN Jual Beli</v>
      </c>
      <c r="H1582" s="42">
        <f t="shared" si="1"/>
        <v>733</v>
      </c>
    </row>
    <row r="1583" ht="22.5" customHeight="1">
      <c r="B1583" s="42" t="str">
        <f>IFERROR(__xludf.DUMMYFUNCTION("""COMPUTED_VALUE"""),"L/18/150125/1")</f>
        <v>L/18/150125/1</v>
      </c>
      <c r="C1583" s="42" t="str">
        <f>IFERROR(__xludf.DUMMYFUNCTION("""COMPUTED_VALUE"""),"HGB 831/PWK")</f>
        <v>HGB 831/PWK</v>
      </c>
      <c r="D1583" s="42" t="str">
        <f>IFERROR(__xludf.DUMMYFUNCTION("""COMPUTED_VALUE"""),"David")</f>
        <v>David</v>
      </c>
      <c r="E1583" s="42" t="str">
        <f>IFERROR(__xludf.DUMMYFUNCTION("""COMPUTED_VALUE"""),"PROSES")</f>
        <v>PROSES</v>
      </c>
      <c r="F1583" s="48" t="str">
        <f>IFERROR(__xludf.DUMMYFUNCTION("""COMPUTED_VALUE"""),"")</f>
        <v/>
      </c>
      <c r="G1583" s="42" t="str">
        <f>IFERROR(__xludf.DUMMYFUNCTION("""COMPUTED_VALUE"""),"PH")</f>
        <v>PH</v>
      </c>
      <c r="H1583" s="42">
        <f t="shared" si="1"/>
        <v>733</v>
      </c>
    </row>
    <row r="1584" ht="22.5" customHeight="1">
      <c r="B1584" s="42" t="str">
        <f>IFERROR(__xludf.DUMMYFUNCTION("""COMPUTED_VALUE"""),"L/19/150125/1")</f>
        <v>L/19/150125/1</v>
      </c>
      <c r="C1584" s="42" t="str">
        <f>IFERROR(__xludf.DUMMYFUNCTION("""COMPUTED_VALUE"""),"HM 3136/SUKADANA HAM")</f>
        <v>HM 3136/SUKADANA HAM</v>
      </c>
      <c r="D1584" s="42" t="str">
        <f>IFERROR(__xludf.DUMMYFUNCTION("""COMPUTED_VALUE"""),"David")</f>
        <v>David</v>
      </c>
      <c r="E1584" s="42" t="str">
        <f>IFERROR(__xludf.DUMMYFUNCTION("""COMPUTED_VALUE"""),"PROSES")</f>
        <v>PROSES</v>
      </c>
      <c r="F1584" s="48" t="str">
        <f>IFERROR(__xludf.DUMMYFUNCTION("""COMPUTED_VALUE"""),"")</f>
        <v/>
      </c>
      <c r="G1584" s="42" t="str">
        <f>IFERROR(__xludf.DUMMYFUNCTION("""COMPUTED_VALUE"""),"PENATAAN BATAS")</f>
        <v>PENATAAN BATAS</v>
      </c>
      <c r="H1584" s="42">
        <f t="shared" si="1"/>
        <v>733</v>
      </c>
    </row>
    <row r="1585" ht="22.5" customHeight="1">
      <c r="B1585" s="42" t="str">
        <f>IFERROR(__xludf.DUMMYFUNCTION("""COMPUTED_VALUE"""),"K/20/150125/1")</f>
        <v>K/20/150125/1</v>
      </c>
      <c r="C1585" s="42" t="str">
        <f>IFERROR(__xludf.DUMMYFUNCTION("""COMPUTED_VALUE"""),"M. 8951/ Surabaya")</f>
        <v>M. 8951/ Surabaya</v>
      </c>
      <c r="D1585" s="42" t="str">
        <f>IFERROR(__xludf.DUMMYFUNCTION("""COMPUTED_VALUE"""),"David")</f>
        <v>David</v>
      </c>
      <c r="E1585" s="42" t="str">
        <f>IFERROR(__xludf.DUMMYFUNCTION("""COMPUTED_VALUE"""),"DISERAHKAN BT")</f>
        <v>DISERAHKAN BT</v>
      </c>
      <c r="F1585" s="48">
        <f>IFERROR(__xludf.DUMMYFUNCTION("""COMPUTED_VALUE"""),45702.427935115746)</f>
        <v>45702.42794</v>
      </c>
      <c r="G1585" s="42" t="str">
        <f>IFERROR(__xludf.DUMMYFUNCTION("""COMPUTED_VALUE"""),"BN Waris")</f>
        <v>BN Waris</v>
      </c>
      <c r="H1585" s="42">
        <f t="shared" si="1"/>
        <v>733</v>
      </c>
    </row>
    <row r="1586" ht="22.5" customHeight="1">
      <c r="B1586" s="42" t="str">
        <f>IFERROR(__xludf.DUMMYFUNCTION("""COMPUTED_VALUE"""),"K/21/150125/1")</f>
        <v>K/21/150125/1</v>
      </c>
      <c r="C1586" s="42" t="str">
        <f>IFERROR(__xludf.DUMMYFUNCTION("""COMPUTED_VALUE"""),"M.17679/SUKARAME I")</f>
        <v>M.17679/SUKARAME I</v>
      </c>
      <c r="D1586" s="42" t="str">
        <f>IFERROR(__xludf.DUMMYFUNCTION("""COMPUTED_VALUE"""),"David")</f>
        <v>David</v>
      </c>
      <c r="E1586" s="42" t="str">
        <f>IFERROR(__xludf.DUMMYFUNCTION("""COMPUTED_VALUE"""),"DISERAHKAN")</f>
        <v>DISERAHKAN</v>
      </c>
      <c r="F1586" s="48">
        <f>IFERROR(__xludf.DUMMYFUNCTION("""COMPUTED_VALUE"""),45677.62442216435)</f>
        <v>45677.62442</v>
      </c>
      <c r="G1586" s="42" t="str">
        <f>IFERROR(__xludf.DUMMYFUNCTION("""COMPUTED_VALUE"""),"ROYA")</f>
        <v>ROYA</v>
      </c>
      <c r="H1586" s="42">
        <f t="shared" si="1"/>
        <v>734</v>
      </c>
    </row>
    <row r="1587" ht="22.5" customHeight="1">
      <c r="B1587" s="42" t="str">
        <f>IFERROR(__xludf.DUMMYFUNCTION("""COMPUTED_VALUE"""),"L/23/150125/1")</f>
        <v>L/23/150125/1</v>
      </c>
      <c r="C1587" s="42" t="str">
        <f>IFERROR(__xludf.DUMMYFUNCTION("""COMPUTED_VALUE"""),"HM 1106/CAMPANG RAYA")</f>
        <v>HM 1106/CAMPANG RAYA</v>
      </c>
      <c r="D1587" s="42"/>
      <c r="E1587" s="42"/>
      <c r="F1587" s="48" t="str">
        <f>IFERROR(__xludf.DUMMYFUNCTION("""COMPUTED_VALUE"""),"")</f>
        <v/>
      </c>
      <c r="G1587" s="42" t="str">
        <f>IFERROR(__xludf.DUMMYFUNCTION("""COMPUTED_VALUE"""),"SERTIPIKAT HILANG")</f>
        <v>SERTIPIKAT HILANG</v>
      </c>
      <c r="H1587" s="42">
        <f t="shared" si="1"/>
        <v>734</v>
      </c>
    </row>
    <row r="1588" ht="22.5" customHeight="1">
      <c r="B1588" s="42" t="str">
        <f>IFERROR(__xludf.DUMMYFUNCTION("""COMPUTED_VALUE"""),"K/22/150125/1")</f>
        <v>K/22/150125/1</v>
      </c>
      <c r="C1588" s="42" t="str">
        <f>IFERROR(__xludf.DUMMYFUNCTION("""COMPUTED_VALUE"""),"M. 13680/ Labuhan Ratu")</f>
        <v>M. 13680/ Labuhan Ratu</v>
      </c>
      <c r="D1588" s="42" t="str">
        <f>IFERROR(__xludf.DUMMYFUNCTION("""COMPUTED_VALUE"""),"David")</f>
        <v>David</v>
      </c>
      <c r="E1588" s="42" t="str">
        <f>IFERROR(__xludf.DUMMYFUNCTION("""COMPUTED_VALUE"""),"PROSES")</f>
        <v>PROSES</v>
      </c>
      <c r="F1588" s="48" t="str">
        <f>IFERROR(__xludf.DUMMYFUNCTION("""COMPUTED_VALUE"""),"")</f>
        <v/>
      </c>
      <c r="G1588" s="42" t="str">
        <f>IFERROR(__xludf.DUMMYFUNCTION("""COMPUTED_VALUE"""),"Roya")</f>
        <v>Roya</v>
      </c>
      <c r="H1588" s="42">
        <f t="shared" si="1"/>
        <v>734</v>
      </c>
    </row>
    <row r="1589" ht="22.5" customHeight="1">
      <c r="B1589" s="42" t="str">
        <f>IFERROR(__xludf.DUMMYFUNCTION("""COMPUTED_VALUE"""),"L/24/150125/1")</f>
        <v>L/24/150125/1</v>
      </c>
      <c r="C1589" s="42" t="str">
        <f>IFERROR(__xludf.DUMMYFUNCTION("""COMPUTED_VALUE"""),"HM 14848/SUKARAME")</f>
        <v>HM 14848/SUKARAME</v>
      </c>
      <c r="D1589" s="42"/>
      <c r="E1589" s="42"/>
      <c r="F1589" s="48" t="str">
        <f>IFERROR(__xludf.DUMMYFUNCTION("""COMPUTED_VALUE"""),"")</f>
        <v/>
      </c>
      <c r="G1589" s="42" t="str">
        <f>IFERROR(__xludf.DUMMYFUNCTION("""COMPUTED_VALUE"""),"SKPT INFORMASI")</f>
        <v>SKPT INFORMASI</v>
      </c>
      <c r="H1589" s="42">
        <f t="shared" si="1"/>
        <v>734</v>
      </c>
    </row>
    <row r="1590" ht="22.5" customHeight="1">
      <c r="B1590" s="42" t="str">
        <f>IFERROR(__xludf.DUMMYFUNCTION("""COMPUTED_VALUE"""),"L/1/160125/1")</f>
        <v>L/1/160125/1</v>
      </c>
      <c r="C1590" s="42" t="str">
        <f>IFERROR(__xludf.DUMMYFUNCTION("""COMPUTED_VALUE"""),"HM 1012/GOTONG ROYONG")</f>
        <v>HM 1012/GOTONG ROYONG</v>
      </c>
      <c r="D1590" s="42" t="str">
        <f>IFERROR(__xludf.DUMMYFUNCTION("""COMPUTED_VALUE"""),"David")</f>
        <v>David</v>
      </c>
      <c r="E1590" s="42" t="str">
        <f>IFERROR(__xludf.DUMMYFUNCTION("""COMPUTED_VALUE"""),"DISERAHKAN")</f>
        <v>DISERAHKAN</v>
      </c>
      <c r="F1590" s="48">
        <f>IFERROR(__xludf.DUMMYFUNCTION("""COMPUTED_VALUE"""),45677.624586805556)</f>
        <v>45677.62459</v>
      </c>
      <c r="G1590" s="42" t="str">
        <f>IFERROR(__xludf.DUMMYFUNCTION("""COMPUTED_VALUE"""),"BN WARIS")</f>
        <v>BN WARIS</v>
      </c>
      <c r="H1590" s="42">
        <f t="shared" si="1"/>
        <v>735</v>
      </c>
    </row>
    <row r="1591" ht="22.5" customHeight="1">
      <c r="B1591" s="42" t="str">
        <f>IFERROR(__xludf.DUMMYFUNCTION("""COMPUTED_VALUE"""),"K/2/160125/1")</f>
        <v>K/2/160125/1</v>
      </c>
      <c r="C1591" s="42" t="str">
        <f>IFERROR(__xludf.DUMMYFUNCTION("""COMPUTED_VALUE"""),"Nibel 8621/ Kemiling Permai")</f>
        <v>Nibel 8621/ Kemiling Permai</v>
      </c>
      <c r="D1591" s="42"/>
      <c r="E1591" s="42"/>
      <c r="F1591" s="48" t="str">
        <f>IFERROR(__xludf.DUMMYFUNCTION("""COMPUTED_VALUE"""),"")</f>
        <v/>
      </c>
      <c r="G1591" s="42" t="str">
        <f>IFERROR(__xludf.DUMMYFUNCTION("""COMPUTED_VALUE"""),"PERUBAHAN HAK")</f>
        <v>PERUBAHAN HAK</v>
      </c>
      <c r="H1591" s="42">
        <f t="shared" si="1"/>
        <v>735</v>
      </c>
    </row>
    <row r="1592" ht="22.5" customHeight="1">
      <c r="B1592" s="42" t="str">
        <f>IFERROR(__xludf.DUMMYFUNCTION("""COMPUTED_VALUE"""),"L/3/160125/1")</f>
        <v>L/3/160125/1</v>
      </c>
      <c r="C1592" s="42" t="str">
        <f>IFERROR(__xludf.DUMMYFUNCTION("""COMPUTED_VALUE"""),"HM 1164/KOTA BARU")</f>
        <v>HM 1164/KOTA BARU</v>
      </c>
      <c r="D1592" s="42" t="str">
        <f>IFERROR(__xludf.DUMMYFUNCTION("""COMPUTED_VALUE"""),"Berry")</f>
        <v>Berry</v>
      </c>
      <c r="E1592" s="42" t="str">
        <f>IFERROR(__xludf.DUMMYFUNCTION("""COMPUTED_VALUE"""),"DISERAHKAN")</f>
        <v>DISERAHKAN</v>
      </c>
      <c r="F1592" s="48">
        <f>IFERROR(__xludf.DUMMYFUNCTION("""COMPUTED_VALUE"""),45677.62522782407)</f>
        <v>45677.62523</v>
      </c>
      <c r="G1592" s="42" t="str">
        <f>IFERROR(__xludf.DUMMYFUNCTION("""COMPUTED_VALUE"""),"BN WARIS")</f>
        <v>BN WARIS</v>
      </c>
      <c r="H1592" s="42">
        <f t="shared" si="1"/>
        <v>736</v>
      </c>
    </row>
    <row r="1593" ht="22.5" customHeight="1">
      <c r="B1593" s="42" t="str">
        <f>IFERROR(__xludf.DUMMYFUNCTION("""COMPUTED_VALUE"""),"L/4/160125/1")</f>
        <v>L/4/160125/1</v>
      </c>
      <c r="C1593" s="42" t="str">
        <f>IFERROR(__xludf.DUMMYFUNCTION("""COMPUTED_VALUE"""),"HM 16098/SUKARAME")</f>
        <v>HM 16098/SUKARAME</v>
      </c>
      <c r="D1593" s="42" t="str">
        <f>IFERROR(__xludf.DUMMYFUNCTION("""COMPUTED_VALUE"""),"Berry")</f>
        <v>Berry</v>
      </c>
      <c r="E1593" s="42" t="str">
        <f>IFERROR(__xludf.DUMMYFUNCTION("""COMPUTED_VALUE"""),"DISERAHKAN")</f>
        <v>DISERAHKAN</v>
      </c>
      <c r="F1593" s="48">
        <f>IFERROR(__xludf.DUMMYFUNCTION("""COMPUTED_VALUE"""),45715.40372674768)</f>
        <v>45715.40373</v>
      </c>
      <c r="G1593" s="42" t="str">
        <f>IFERROR(__xludf.DUMMYFUNCTION("""COMPUTED_VALUE"""),"ROYA")</f>
        <v>ROYA</v>
      </c>
      <c r="H1593" s="42">
        <f t="shared" si="1"/>
        <v>737</v>
      </c>
    </row>
    <row r="1594" ht="22.5" customHeight="1">
      <c r="B1594" s="42" t="str">
        <f>IFERROR(__xludf.DUMMYFUNCTION("""COMPUTED_VALUE"""),"K/5/160125/1")</f>
        <v>K/5/160125/1</v>
      </c>
      <c r="C1594" s="42" t="str">
        <f>IFERROR(__xludf.DUMMYFUNCTION("""COMPUTED_VALUE"""),"Nibel 13351/ Rajabasa Jaya")</f>
        <v>Nibel 13351/ Rajabasa Jaya</v>
      </c>
      <c r="D1594" s="42"/>
      <c r="E1594" s="42"/>
      <c r="F1594" s="48" t="str">
        <f>IFERROR(__xludf.DUMMYFUNCTION("""COMPUTED_VALUE"""),"")</f>
        <v/>
      </c>
      <c r="G1594" s="42" t="str">
        <f>IFERROR(__xludf.DUMMYFUNCTION("""COMPUTED_VALUE"""),"PTPGT PERUBAHAN HAK")</f>
        <v>PTPGT PERUBAHAN HAK</v>
      </c>
      <c r="H1594" s="42">
        <f t="shared" si="1"/>
        <v>737</v>
      </c>
    </row>
    <row r="1595" ht="22.5" customHeight="1">
      <c r="B1595" s="42" t="str">
        <f>IFERROR(__xludf.DUMMYFUNCTION("""COMPUTED_VALUE"""),"K/6/160125/1")</f>
        <v>K/6/160125/1</v>
      </c>
      <c r="C1595" s="42" t="str">
        <f>IFERROR(__xludf.DUMMYFUNCTION("""COMPUTED_VALUE"""),"M.2962/GEDONG AIR")</f>
        <v>M.2962/GEDONG AIR</v>
      </c>
      <c r="D1595" s="42"/>
      <c r="E1595" s="42"/>
      <c r="F1595" s="48" t="str">
        <f>IFERROR(__xludf.DUMMYFUNCTION("""COMPUTED_VALUE"""),"")</f>
        <v/>
      </c>
      <c r="G1595" s="42" t="str">
        <f>IFERROR(__xludf.DUMMYFUNCTION("""COMPUTED_VALUE"""),"HAPUS BPHTB")</f>
        <v>HAPUS BPHTB</v>
      </c>
      <c r="H1595" s="42">
        <f t="shared" si="1"/>
        <v>737</v>
      </c>
    </row>
    <row r="1596" ht="22.5" customHeight="1">
      <c r="B1596" s="42" t="str">
        <f>IFERROR(__xludf.DUMMYFUNCTION("""COMPUTED_VALUE"""),"K/7/160125/1")</f>
        <v>K/7/160125/1</v>
      </c>
      <c r="C1596" s="42" t="str">
        <f>IFERROR(__xludf.DUMMYFUNCTION("""COMPUTED_VALUE"""),"M. 13979/ Sukabumi")</f>
        <v>M. 13979/ Sukabumi</v>
      </c>
      <c r="D1596" s="42" t="str">
        <f>IFERROR(__xludf.DUMMYFUNCTION("""COMPUTED_VALUE"""),"Berry")</f>
        <v>Berry</v>
      </c>
      <c r="E1596" s="42" t="str">
        <f>IFERROR(__xludf.DUMMYFUNCTION("""COMPUTED_VALUE"""),"DISERAHKAN")</f>
        <v>DISERAHKAN</v>
      </c>
      <c r="F1596" s="48">
        <f>IFERROR(__xludf.DUMMYFUNCTION("""COMPUTED_VALUE"""),45677.62561212963)</f>
        <v>45677.62561</v>
      </c>
      <c r="G1596" s="42" t="str">
        <f>IFERROR(__xludf.DUMMYFUNCTION("""COMPUTED_VALUE"""),"ROYA")</f>
        <v>ROYA</v>
      </c>
      <c r="H1596" s="42">
        <f t="shared" si="1"/>
        <v>738</v>
      </c>
    </row>
    <row r="1597" ht="22.5" customHeight="1">
      <c r="B1597" s="42" t="str">
        <f>IFERROR(__xludf.DUMMYFUNCTION("""COMPUTED_VALUE"""),"K/8/160125/1")</f>
        <v>K/8/160125/1</v>
      </c>
      <c r="C1597" s="42" t="str">
        <f>IFERROR(__xludf.DUMMYFUNCTION("""COMPUTED_VALUE"""),"B. 04/SUMBER AGUNG")</f>
        <v>B. 04/SUMBER AGUNG</v>
      </c>
      <c r="D1597" s="42"/>
      <c r="E1597" s="42"/>
      <c r="F1597" s="48" t="str">
        <f>IFERROR(__xludf.DUMMYFUNCTION("""COMPUTED_VALUE"""),"")</f>
        <v/>
      </c>
      <c r="G1597" s="42" t="str">
        <f>IFERROR(__xludf.DUMMYFUNCTION("""COMPUTED_VALUE"""),"PERMOHONAN SK PERPANJANGAN ")</f>
        <v>PERMOHONAN SK PERPANJANGAN </v>
      </c>
      <c r="H1597" s="42">
        <f t="shared" si="1"/>
        <v>738</v>
      </c>
    </row>
    <row r="1598" ht="22.5" customHeight="1">
      <c r="B1598" s="42" t="str">
        <f>IFERROR(__xludf.DUMMYFUNCTION("""COMPUTED_VALUE"""),"L/13/160125/1")</f>
        <v>L/13/160125/1</v>
      </c>
      <c r="C1598" s="42" t="str">
        <f>IFERROR(__xludf.DUMMYFUNCTION("""COMPUTED_VALUE"""),"HM 1088/PWH")</f>
        <v>HM 1088/PWH</v>
      </c>
      <c r="D1598" s="42" t="str">
        <f>IFERROR(__xludf.DUMMYFUNCTION("""COMPUTED_VALUE"""),"Berry")</f>
        <v>Berry</v>
      </c>
      <c r="E1598" s="42" t="str">
        <f>IFERROR(__xludf.DUMMYFUNCTION("""COMPUTED_VALUE"""),"DISERAHKAN")</f>
        <v>DISERAHKAN</v>
      </c>
      <c r="F1598" s="48">
        <f>IFERROR(__xludf.DUMMYFUNCTION("""COMPUTED_VALUE"""),45677.625761041665)</f>
        <v>45677.62576</v>
      </c>
      <c r="G1598" s="42" t="str">
        <f>IFERROR(__xludf.DUMMYFUNCTION("""COMPUTED_VALUE"""),"ROYA")</f>
        <v>ROYA</v>
      </c>
      <c r="H1598" s="42">
        <f t="shared" si="1"/>
        <v>739</v>
      </c>
    </row>
    <row r="1599" ht="22.5" customHeight="1">
      <c r="B1599" s="42" t="str">
        <f>IFERROR(__xludf.DUMMYFUNCTION("""COMPUTED_VALUE"""),"K/9/160125/1")</f>
        <v>K/9/160125/1</v>
      </c>
      <c r="C1599" s="42" t="str">
        <f>IFERROR(__xludf.DUMMYFUNCTION("""COMPUTED_VALUE"""),"M.1177/GULAK GALIK")</f>
        <v>M.1177/GULAK GALIK</v>
      </c>
      <c r="D1599" s="42" t="str">
        <f>IFERROR(__xludf.DUMMYFUNCTION("""COMPUTED_VALUE"""),"Berry")</f>
        <v>Berry</v>
      </c>
      <c r="E1599" s="42" t="str">
        <f>IFERROR(__xludf.DUMMYFUNCTION("""COMPUTED_VALUE"""),"DISERAHKAN")</f>
        <v>DISERAHKAN</v>
      </c>
      <c r="F1599" s="48">
        <f>IFERROR(__xludf.DUMMYFUNCTION("""COMPUTED_VALUE"""),45677.62602026621)</f>
        <v>45677.62602</v>
      </c>
      <c r="G1599" s="42" t="str">
        <f>IFERROR(__xludf.DUMMYFUNCTION("""COMPUTED_VALUE"""),"APHB")</f>
        <v>APHB</v>
      </c>
      <c r="H1599" s="42">
        <f t="shared" si="1"/>
        <v>740</v>
      </c>
    </row>
    <row r="1600" ht="22.5" customHeight="1">
      <c r="B1600" s="42" t="str">
        <f>IFERROR(__xludf.DUMMYFUNCTION("""COMPUTED_VALUE"""),"K/12/160125/1")</f>
        <v>K/12/160125/1</v>
      </c>
      <c r="C1600" s="42" t="str">
        <f>IFERROR(__xludf.DUMMYFUNCTION("""COMPUTED_VALUE"""),"M. 2976; 2813; 2977/ Sukarame II")</f>
        <v>M. 2976; 2813; 2977/ Sukarame II</v>
      </c>
      <c r="D1600" s="42" t="str">
        <f>IFERROR(__xludf.DUMMYFUNCTION("""COMPUTED_VALUE"""),"Berry")</f>
        <v>Berry</v>
      </c>
      <c r="E1600" s="42" t="str">
        <f>IFERROR(__xludf.DUMMYFUNCTION("""COMPUTED_VALUE"""),"DISERAHKAN")</f>
        <v>DISERAHKAN</v>
      </c>
      <c r="F1600" s="48">
        <f>IFERROR(__xludf.DUMMYFUNCTION("""COMPUTED_VALUE"""),45677.626600601856)</f>
        <v>45677.6266</v>
      </c>
      <c r="G1600" s="42" t="str">
        <f>IFERROR(__xludf.DUMMYFUNCTION("""COMPUTED_VALUE"""),"Penggabungan")</f>
        <v>Penggabungan</v>
      </c>
      <c r="H1600" s="42">
        <f t="shared" si="1"/>
        <v>741</v>
      </c>
    </row>
    <row r="1601" ht="22.5" customHeight="1">
      <c r="B1601" s="42" t="str">
        <f>IFERROR(__xludf.DUMMYFUNCTION("""COMPUTED_VALUE"""),"K/10/160125/2")</f>
        <v>K/10/160125/2</v>
      </c>
      <c r="C1601" s="42" t="str">
        <f>IFERROR(__xludf.DUMMYFUNCTION("""COMPUTED_VALUE"""),"M.447/KORPRI RAYA")</f>
        <v>M.447/KORPRI RAYA</v>
      </c>
      <c r="D1601" s="42" t="str">
        <f>IFERROR(__xludf.DUMMYFUNCTION("""COMPUTED_VALUE"""),"Berry")</f>
        <v>Berry</v>
      </c>
      <c r="E1601" s="42" t="str">
        <f>IFERROR(__xludf.DUMMYFUNCTION("""COMPUTED_VALUE"""),"DISERAHKAN BT")</f>
        <v>DISERAHKAN BT</v>
      </c>
      <c r="F1601" s="48">
        <f>IFERROR(__xludf.DUMMYFUNCTION("""COMPUTED_VALUE"""),45677.6267859375)</f>
        <v>45677.62679</v>
      </c>
      <c r="G1601" s="42" t="str">
        <f>IFERROR(__xludf.DUMMYFUNCTION("""COMPUTED_VALUE"""),"APHB")</f>
        <v>APHB</v>
      </c>
      <c r="H1601" s="42">
        <f t="shared" si="1"/>
        <v>741</v>
      </c>
    </row>
    <row r="1602" ht="22.5" customHeight="1">
      <c r="B1602" s="42" t="str">
        <f>IFERROR(__xludf.DUMMYFUNCTION("""COMPUTED_VALUE"""),"K/11/160125/3")</f>
        <v>K/11/160125/3</v>
      </c>
      <c r="C1602" s="42" t="str">
        <f>IFERROR(__xludf.DUMMYFUNCTION("""COMPUTED_VALUE"""),"M.9908/LABUHAN RATU")</f>
        <v>M.9908/LABUHAN RATU</v>
      </c>
      <c r="D1602" s="42" t="str">
        <f>IFERROR(__xludf.DUMMYFUNCTION("""COMPUTED_VALUE"""),"Berry")</f>
        <v>Berry</v>
      </c>
      <c r="E1602" s="42" t="str">
        <f>IFERROR(__xludf.DUMMYFUNCTION("""COMPUTED_VALUE"""),"DISERAHKAN")</f>
        <v>DISERAHKAN</v>
      </c>
      <c r="F1602" s="48">
        <f>IFERROR(__xludf.DUMMYFUNCTION("""COMPUTED_VALUE"""),45677.62694761574)</f>
        <v>45677.62695</v>
      </c>
      <c r="G1602" s="42" t="str">
        <f>IFERROR(__xludf.DUMMYFUNCTION("""COMPUTED_VALUE"""),"APHB")</f>
        <v>APHB</v>
      </c>
      <c r="H1602" s="42">
        <f t="shared" si="1"/>
        <v>742</v>
      </c>
    </row>
    <row r="1603" ht="22.5" customHeight="1">
      <c r="B1603" s="42" t="str">
        <f>IFERROR(__xludf.DUMMYFUNCTION("""COMPUTED_VALUE"""),"K/14/160125/1")</f>
        <v>K/14/160125/1</v>
      </c>
      <c r="C1603" s="42" t="str">
        <f>IFERROR(__xludf.DUMMYFUNCTION("""COMPUTED_VALUE"""),"M.6180/WAY KANDIS")</f>
        <v>M.6180/WAY KANDIS</v>
      </c>
      <c r="D1603" s="42" t="str">
        <f>IFERROR(__xludf.DUMMYFUNCTION("""COMPUTED_VALUE"""),"Berry")</f>
        <v>Berry</v>
      </c>
      <c r="E1603" s="42" t="str">
        <f>IFERROR(__xludf.DUMMYFUNCTION("""COMPUTED_VALUE"""),"DISERAHKAN")</f>
        <v>DISERAHKAN</v>
      </c>
      <c r="F1603" s="48">
        <f>IFERROR(__xludf.DUMMYFUNCTION("""COMPUTED_VALUE"""),45677.62711631945)</f>
        <v>45677.62712</v>
      </c>
      <c r="G1603" s="42" t="str">
        <f>IFERROR(__xludf.DUMMYFUNCTION("""COMPUTED_VALUE"""),"KEWARISAN")</f>
        <v>KEWARISAN</v>
      </c>
      <c r="H1603" s="42">
        <f t="shared" si="1"/>
        <v>743</v>
      </c>
    </row>
    <row r="1604" ht="22.5" customHeight="1">
      <c r="B1604" s="42" t="str">
        <f>IFERROR(__xludf.DUMMYFUNCTION("""COMPUTED_VALUE"""),"K/16/160125/2")</f>
        <v>K/16/160125/2</v>
      </c>
      <c r="C1604" s="42" t="str">
        <f>IFERROR(__xludf.DUMMYFUNCTION("""COMPUTED_VALUE"""),"Nibel. M. 16904/ N O G")</f>
        <v>Nibel. M. 16904/ N O G</v>
      </c>
      <c r="D1604" s="42"/>
      <c r="E1604" s="42"/>
      <c r="F1604" s="48" t="str">
        <f>IFERROR(__xludf.DUMMYFUNCTION("""COMPUTED_VALUE"""),"")</f>
        <v/>
      </c>
      <c r="G1604" s="42" t="str">
        <f>IFERROR(__xludf.DUMMYFUNCTION("""COMPUTED_VALUE"""),"BN Jual Beli")</f>
        <v>BN Jual Beli</v>
      </c>
      <c r="H1604" s="42">
        <f t="shared" si="1"/>
        <v>743</v>
      </c>
    </row>
    <row r="1605" ht="22.5" customHeight="1">
      <c r="B1605" s="42" t="str">
        <f>IFERROR(__xludf.DUMMYFUNCTION("""COMPUTED_VALUE"""),"K/15/160125/1")</f>
        <v>K/15/160125/1</v>
      </c>
      <c r="C1605" s="42" t="str">
        <f>IFERROR(__xludf.DUMMYFUNCTION("""COMPUTED_VALUE"""),"M. 1367/ Gunung Sulah")</f>
        <v>M. 1367/ Gunung Sulah</v>
      </c>
      <c r="D1605" s="42" t="str">
        <f>IFERROR(__xludf.DUMMYFUNCTION("""COMPUTED_VALUE"""),"Berry")</f>
        <v>Berry</v>
      </c>
      <c r="E1605" s="42" t="str">
        <f>IFERROR(__xludf.DUMMYFUNCTION("""COMPUTED_VALUE"""),"DISERAHKAN BT")</f>
        <v>DISERAHKAN BT</v>
      </c>
      <c r="F1605" s="48">
        <f>IFERROR(__xludf.DUMMYFUNCTION("""COMPUTED_VALUE"""),45723.54219611111)</f>
        <v>45723.5422</v>
      </c>
      <c r="G1605" s="42" t="str">
        <f>IFERROR(__xludf.DUMMYFUNCTION("""COMPUTED_VALUE"""),"Roya")</f>
        <v>Roya</v>
      </c>
      <c r="H1605" s="42">
        <f t="shared" si="1"/>
        <v>743</v>
      </c>
    </row>
    <row r="1606" ht="22.5" customHeight="1">
      <c r="B1606" s="42" t="str">
        <f>IFERROR(__xludf.DUMMYFUNCTION("""COMPUTED_VALUE"""),"K/17/160125/1")</f>
        <v>K/17/160125/1</v>
      </c>
      <c r="C1606" s="42" t="str">
        <f>IFERROR(__xludf.DUMMYFUNCTION("""COMPUTED_VALUE"""),"M. 16977/ Sukarame I")</f>
        <v>M. 16977/ Sukarame I</v>
      </c>
      <c r="D1606" s="42" t="str">
        <f>IFERROR(__xludf.DUMMYFUNCTION("""COMPUTED_VALUE"""),"Berry")</f>
        <v>Berry</v>
      </c>
      <c r="E1606" s="42" t="str">
        <f>IFERROR(__xludf.DUMMYFUNCTION("""COMPUTED_VALUE"""),"DISERAHKAN")</f>
        <v>DISERAHKAN</v>
      </c>
      <c r="F1606" s="48">
        <f>IFERROR(__xludf.DUMMYFUNCTION("""COMPUTED_VALUE"""),45763.44555704861)</f>
        <v>45763.44556</v>
      </c>
      <c r="G1606" s="42" t="str">
        <f>IFERROR(__xludf.DUMMYFUNCTION("""COMPUTED_VALUE"""),"ROYA")</f>
        <v>ROYA</v>
      </c>
      <c r="H1606" s="42">
        <f t="shared" si="1"/>
        <v>744</v>
      </c>
    </row>
    <row r="1607" ht="22.5" customHeight="1">
      <c r="B1607" s="42" t="str">
        <f>IFERROR(__xludf.DUMMYFUNCTION("""COMPUTED_VALUE"""),"L/1/170125/1")</f>
        <v>L/1/170125/1</v>
      </c>
      <c r="C1607" s="42" t="str">
        <f>IFERROR(__xludf.DUMMYFUNCTION("""COMPUTED_VALUE"""),"HM 1441/LABUHAN DALAM")</f>
        <v>HM 1441/LABUHAN DALAM</v>
      </c>
      <c r="D1607" s="42" t="str">
        <f>IFERROR(__xludf.DUMMYFUNCTION("""COMPUTED_VALUE"""),"Berry")</f>
        <v>Berry</v>
      </c>
      <c r="E1607" s="42" t="str">
        <f>IFERROR(__xludf.DUMMYFUNCTION("""COMPUTED_VALUE"""),"DISERAHKAN")</f>
        <v>DISERAHKAN</v>
      </c>
      <c r="F1607" s="48">
        <f>IFERROR(__xludf.DUMMYFUNCTION("""COMPUTED_VALUE"""),45700.59026203703)</f>
        <v>45700.59026</v>
      </c>
      <c r="G1607" s="42" t="str">
        <f>IFERROR(__xludf.DUMMYFUNCTION("""COMPUTED_VALUE"""),"ROYA")</f>
        <v>ROYA</v>
      </c>
      <c r="H1607" s="42">
        <f t="shared" si="1"/>
        <v>745</v>
      </c>
    </row>
    <row r="1608" ht="22.5" customHeight="1">
      <c r="B1608" s="42" t="str">
        <f>IFERROR(__xludf.DUMMYFUNCTION("""COMPUTED_VALUE"""),"K/2/170125/1")</f>
        <v>K/2/170125/1</v>
      </c>
      <c r="C1608" s="42" t="str">
        <f>IFERROR(__xludf.DUMMYFUNCTION("""COMPUTED_VALUE"""),"M. 177/ Pesawahan")</f>
        <v>M. 177/ Pesawahan</v>
      </c>
      <c r="D1608" s="42" t="str">
        <f>IFERROR(__xludf.DUMMYFUNCTION("""COMPUTED_VALUE"""),"Berry")</f>
        <v>Berry</v>
      </c>
      <c r="E1608" s="42" t="str">
        <f>IFERROR(__xludf.DUMMYFUNCTION("""COMPUTED_VALUE"""),"DISERAHKAN BT")</f>
        <v>DISERAHKAN BT</v>
      </c>
      <c r="F1608" s="48">
        <f>IFERROR(__xludf.DUMMYFUNCTION("""COMPUTED_VALUE"""),45677.627476388894)</f>
        <v>45677.62748</v>
      </c>
      <c r="G1608" s="42" t="str">
        <f>IFERROR(__xludf.DUMMYFUNCTION("""COMPUTED_VALUE"""),"BN WARIS")</f>
        <v>BN WARIS</v>
      </c>
      <c r="H1608" s="42">
        <f t="shared" si="1"/>
        <v>745</v>
      </c>
    </row>
    <row r="1609" ht="22.5" customHeight="1">
      <c r="B1609" s="42" t="str">
        <f>IFERROR(__xludf.DUMMYFUNCTION("""COMPUTED_VALUE"""),"L/4/170125/1")</f>
        <v>L/4/170125/1</v>
      </c>
      <c r="C1609" s="42" t="str">
        <f>IFERROR(__xludf.DUMMYFUNCTION("""COMPUTED_VALUE"""),"HM 12591/SUKARAME")</f>
        <v>HM 12591/SUKARAME</v>
      </c>
      <c r="D1609" s="42" t="str">
        <f>IFERROR(__xludf.DUMMYFUNCTION("""COMPUTED_VALUE"""),"Berry")</f>
        <v>Berry</v>
      </c>
      <c r="E1609" s="42" t="str">
        <f>IFERROR(__xludf.DUMMYFUNCTION("""COMPUTED_VALUE"""),"DISERAHKAN")</f>
        <v>DISERAHKAN</v>
      </c>
      <c r="F1609" s="48">
        <f>IFERROR(__xludf.DUMMYFUNCTION("""COMPUTED_VALUE"""),45677.62815979167)</f>
        <v>45677.62816</v>
      </c>
      <c r="G1609" s="42" t="str">
        <f>IFERROR(__xludf.DUMMYFUNCTION("""COMPUTED_VALUE"""),"ROYA LELANG")</f>
        <v>ROYA LELANG</v>
      </c>
      <c r="H1609" s="42">
        <f t="shared" si="1"/>
        <v>746</v>
      </c>
    </row>
    <row r="1610" ht="22.5" customHeight="1">
      <c r="B1610" s="42" t="str">
        <f>IFERROR(__xludf.DUMMYFUNCTION("""COMPUTED_VALUE"""),"K/5/170125/1")</f>
        <v>K/5/170125/1</v>
      </c>
      <c r="C1610" s="42" t="str">
        <f>IFERROR(__xludf.DUMMYFUNCTION("""COMPUTED_VALUE"""),"M. 1652/ Bumi Kedamaian")</f>
        <v>M. 1652/ Bumi Kedamaian</v>
      </c>
      <c r="D1610" s="42" t="str">
        <f>IFERROR(__xludf.DUMMYFUNCTION("""COMPUTED_VALUE"""),"Berry")</f>
        <v>Berry</v>
      </c>
      <c r="E1610" s="42" t="str">
        <f>IFERROR(__xludf.DUMMYFUNCTION("""COMPUTED_VALUE"""),"PROSES")</f>
        <v>PROSES</v>
      </c>
      <c r="F1610" s="48" t="str">
        <f>IFERROR(__xludf.DUMMYFUNCTION("""COMPUTED_VALUE"""),"")</f>
        <v/>
      </c>
      <c r="G1610" s="42" t="str">
        <f>IFERROR(__xludf.DUMMYFUNCTION("""COMPUTED_VALUE"""),"BN JUAL BELI")</f>
        <v>BN JUAL BELI</v>
      </c>
      <c r="H1610" s="42">
        <f t="shared" si="1"/>
        <v>746</v>
      </c>
    </row>
    <row r="1611" ht="22.5" customHeight="1">
      <c r="B1611" s="42" t="str">
        <f>IFERROR(__xludf.DUMMYFUNCTION("""COMPUTED_VALUE"""),"K/6/170125/1")</f>
        <v>K/6/170125/1</v>
      </c>
      <c r="C1611" s="42" t="str">
        <f>IFERROR(__xludf.DUMMYFUNCTION("""COMPUTED_VALUE"""),"M. 169/ Kemiling raya")</f>
        <v>M. 169/ Kemiling raya</v>
      </c>
      <c r="D1611" s="42" t="str">
        <f>IFERROR(__xludf.DUMMYFUNCTION("""COMPUTED_VALUE"""),"Berry")</f>
        <v>Berry</v>
      </c>
      <c r="E1611" s="42" t="str">
        <f>IFERROR(__xludf.DUMMYFUNCTION("""COMPUTED_VALUE"""),"DISERAHKAN")</f>
        <v>DISERAHKAN</v>
      </c>
      <c r="F1611" s="48">
        <f>IFERROR(__xludf.DUMMYFUNCTION("""COMPUTED_VALUE"""),45677.62809940972)</f>
        <v>45677.6281</v>
      </c>
      <c r="G1611" s="42" t="str">
        <f>IFERROR(__xludf.DUMMYFUNCTION("""COMPUTED_VALUE"""),"BN JUAL BELI")</f>
        <v>BN JUAL BELI</v>
      </c>
      <c r="H1611" s="42">
        <f t="shared" si="1"/>
        <v>747</v>
      </c>
    </row>
    <row r="1612" ht="22.5" customHeight="1">
      <c r="B1612" s="42" t="str">
        <f>IFERROR(__xludf.DUMMYFUNCTION("""COMPUTED_VALUE"""),"L/7/170125/1")</f>
        <v>L/7/170125/1</v>
      </c>
      <c r="C1612" s="42" t="str">
        <f>IFERROR(__xludf.DUMMYFUNCTION("""COMPUTED_VALUE"""),"NIB 5526/GUNUNG TERANG")</f>
        <v>NIB 5526/GUNUNG TERANG</v>
      </c>
      <c r="D1612" s="42"/>
      <c r="E1612" s="42"/>
      <c r="F1612" s="48" t="str">
        <f>IFERROR(__xludf.DUMMYFUNCTION("""COMPUTED_VALUE"""),"")</f>
        <v/>
      </c>
      <c r="G1612" s="42" t="str">
        <f>IFERROR(__xludf.DUMMYFUNCTION("""COMPUTED_VALUE"""),"PENATAAN BATAS")</f>
        <v>PENATAAN BATAS</v>
      </c>
      <c r="H1612" s="42">
        <f t="shared" si="1"/>
        <v>747</v>
      </c>
    </row>
    <row r="1613" ht="22.5" customHeight="1">
      <c r="B1613" s="42" t="str">
        <f>IFERROR(__xludf.DUMMYFUNCTION("""COMPUTED_VALUE"""),"K/3/170125/1")</f>
        <v>K/3/170125/1</v>
      </c>
      <c r="C1613" s="42" t="str">
        <f>IFERROR(__xludf.DUMMYFUNCTION("""COMPUTED_VALUE"""),"M.396/WAY GUBAK")</f>
        <v>M.396/WAY GUBAK</v>
      </c>
      <c r="D1613" s="42" t="str">
        <f>IFERROR(__xludf.DUMMYFUNCTION("""COMPUTED_VALUE"""),"David")</f>
        <v>David</v>
      </c>
      <c r="E1613" s="42" t="str">
        <f>IFERROR(__xludf.DUMMYFUNCTION("""COMPUTED_VALUE"""),"PROSES")</f>
        <v>PROSES</v>
      </c>
      <c r="F1613" s="48" t="str">
        <f>IFERROR(__xludf.DUMMYFUNCTION("""COMPUTED_VALUE"""),"")</f>
        <v/>
      </c>
      <c r="G1613" s="42" t="str">
        <f>IFERROR(__xludf.DUMMYFUNCTION("""COMPUTED_VALUE"""),"PENATAAN BATAS")</f>
        <v>PENATAAN BATAS</v>
      </c>
      <c r="H1613" s="42">
        <f t="shared" si="1"/>
        <v>747</v>
      </c>
    </row>
    <row r="1614" ht="22.5" customHeight="1">
      <c r="B1614" s="42" t="str">
        <f>IFERROR(__xludf.DUMMYFUNCTION("""COMPUTED_VALUE"""),"L/8/170125/1")</f>
        <v>L/8/170125/1</v>
      </c>
      <c r="C1614" s="42" t="str">
        <f>IFERROR(__xludf.DUMMYFUNCTION("""COMPUTED_VALUE"""),"HM 10599/GEDUNG MENENG")</f>
        <v>HM 10599/GEDUNG MENENG</v>
      </c>
      <c r="D1614" s="42" t="str">
        <f>IFERROR(__xludf.DUMMYFUNCTION("""COMPUTED_VALUE"""),"David")</f>
        <v>David</v>
      </c>
      <c r="E1614" s="42" t="str">
        <f>IFERROR(__xludf.DUMMYFUNCTION("""COMPUTED_VALUE"""),"DISERAHKAN")</f>
        <v>DISERAHKAN</v>
      </c>
      <c r="F1614" s="48">
        <f>IFERROR(__xludf.DUMMYFUNCTION("""COMPUTED_VALUE"""),45700.59047616898)</f>
        <v>45700.59048</v>
      </c>
      <c r="G1614" s="42" t="str">
        <f>IFERROR(__xludf.DUMMYFUNCTION("""COMPUTED_VALUE"""),"ROYA")</f>
        <v>ROYA</v>
      </c>
      <c r="H1614" s="42">
        <f t="shared" si="1"/>
        <v>748</v>
      </c>
    </row>
    <row r="1615" ht="22.5" customHeight="1">
      <c r="B1615" s="42" t="str">
        <f>IFERROR(__xludf.DUMMYFUNCTION("""COMPUTED_VALUE"""),"L/9/170125/1")</f>
        <v>L/9/170125/1</v>
      </c>
      <c r="C1615" s="42" t="str">
        <f>IFERROR(__xludf.DUMMYFUNCTION("""COMPUTED_VALUE"""),"HM 313/KOTA SEPANG")</f>
        <v>HM 313/KOTA SEPANG</v>
      </c>
      <c r="D1615" s="42"/>
      <c r="E1615" s="42"/>
      <c r="F1615" s="48" t="str">
        <f>IFERROR(__xludf.DUMMYFUNCTION("""COMPUTED_VALUE"""),"")</f>
        <v/>
      </c>
      <c r="G1615" s="42" t="str">
        <f>IFERROR(__xludf.DUMMYFUNCTION("""COMPUTED_VALUE"""),"SKPT INFORMASI")</f>
        <v>SKPT INFORMASI</v>
      </c>
      <c r="H1615" s="42">
        <f t="shared" si="1"/>
        <v>748</v>
      </c>
    </row>
    <row r="1616" ht="22.5" customHeight="1">
      <c r="B1616" s="42" t="str">
        <f>IFERROR(__xludf.DUMMYFUNCTION("""COMPUTED_VALUE"""),"K/10/170125/1")</f>
        <v>K/10/170125/1</v>
      </c>
      <c r="C1616" s="42" t="str">
        <f>IFERROR(__xludf.DUMMYFUNCTION("""COMPUTED_VALUE"""),"NIbel 16995/ Pengajaran")</f>
        <v>NIbel 16995/ Pengajaran</v>
      </c>
      <c r="D1616" s="42"/>
      <c r="E1616" s="42"/>
      <c r="F1616" s="48" t="str">
        <f>IFERROR(__xludf.DUMMYFUNCTION("""COMPUTED_VALUE"""),"")</f>
        <v/>
      </c>
      <c r="G1616" s="42" t="str">
        <f>IFERROR(__xludf.DUMMYFUNCTION("""COMPUTED_VALUE"""),"PERUBAHAN HAK")</f>
        <v>PERUBAHAN HAK</v>
      </c>
      <c r="H1616" s="42">
        <f t="shared" si="1"/>
        <v>748</v>
      </c>
    </row>
    <row r="1617" ht="22.5" customHeight="1">
      <c r="B1617" s="42" t="str">
        <f>IFERROR(__xludf.DUMMYFUNCTION("""COMPUTED_VALUE"""),"L/11/170125/1")</f>
        <v>L/11/170125/1</v>
      </c>
      <c r="C1617" s="42" t="str">
        <f>IFERROR(__xludf.DUMMYFUNCTION("""COMPUTED_VALUE"""),"HM 12526/KEDAMAIAN")</f>
        <v>HM 12526/KEDAMAIAN</v>
      </c>
      <c r="D1617" s="42" t="str">
        <f>IFERROR(__xludf.DUMMYFUNCTION("""COMPUTED_VALUE"""),"David")</f>
        <v>David</v>
      </c>
      <c r="E1617" s="42" t="str">
        <f>IFERROR(__xludf.DUMMYFUNCTION("""COMPUTED_VALUE"""),"DISERAHKAN")</f>
        <v>DISERAHKAN</v>
      </c>
      <c r="F1617" s="48">
        <f>IFERROR(__xludf.DUMMYFUNCTION("""COMPUTED_VALUE"""),45678.447160868054)</f>
        <v>45678.44716</v>
      </c>
      <c r="G1617" s="42" t="str">
        <f>IFERROR(__xludf.DUMMYFUNCTION("""COMPUTED_VALUE"""),"ROYA")</f>
        <v>ROYA</v>
      </c>
      <c r="H1617" s="42">
        <f t="shared" si="1"/>
        <v>749</v>
      </c>
    </row>
    <row r="1618" ht="22.5" customHeight="1">
      <c r="B1618" s="42" t="str">
        <f>IFERROR(__xludf.DUMMYFUNCTION("""COMPUTED_VALUE"""),"K/10/100125/1")</f>
        <v>K/10/100125/1</v>
      </c>
      <c r="C1618" s="42" t="str">
        <f>IFERROR(__xludf.DUMMYFUNCTION("""COMPUTED_VALUE"""),"M.6572/TANJUNG SENENG")</f>
        <v>M.6572/TANJUNG SENENG</v>
      </c>
      <c r="D1618" s="42" t="str">
        <f>IFERROR(__xludf.DUMMYFUNCTION("""COMPUTED_VALUE"""),"David")</f>
        <v>David</v>
      </c>
      <c r="E1618" s="42" t="str">
        <f>IFERROR(__xludf.DUMMYFUNCTION("""COMPUTED_VALUE"""),"PROSES")</f>
        <v>PROSES</v>
      </c>
      <c r="F1618" s="48" t="str">
        <f>IFERROR(__xludf.DUMMYFUNCTION("""COMPUTED_VALUE"""),"")</f>
        <v/>
      </c>
      <c r="G1618" s="42" t="str">
        <f>IFERROR(__xludf.DUMMYFUNCTION("""COMPUTED_VALUE"""),"BN JUAL BELI")</f>
        <v>BN JUAL BELI</v>
      </c>
      <c r="H1618" s="42">
        <f t="shared" si="1"/>
        <v>749</v>
      </c>
    </row>
    <row r="1619" ht="22.5" customHeight="1">
      <c r="B1619" s="42" t="str">
        <f>IFERROR(__xludf.DUMMYFUNCTION("""COMPUTED_VALUE"""),"L/12/170125/1")</f>
        <v>L/12/170125/1</v>
      </c>
      <c r="C1619" s="42" t="str">
        <f>IFERROR(__xludf.DUMMYFUNCTION("""COMPUTED_VALUE"""),"HM 1700/GUNUNG TERANG")</f>
        <v>HM 1700/GUNUNG TERANG</v>
      </c>
      <c r="D1619" s="42" t="str">
        <f>IFERROR(__xludf.DUMMYFUNCTION("""COMPUTED_VALUE"""),"David")</f>
        <v>David</v>
      </c>
      <c r="E1619" s="42" t="str">
        <f>IFERROR(__xludf.DUMMYFUNCTION("""COMPUTED_VALUE"""),"DISERAHKAN")</f>
        <v>DISERAHKAN</v>
      </c>
      <c r="F1619" s="48">
        <f>IFERROR(__xludf.DUMMYFUNCTION("""COMPUTED_VALUE"""),45678.44764341435)</f>
        <v>45678.44764</v>
      </c>
      <c r="G1619" s="42" t="str">
        <f>IFERROR(__xludf.DUMMYFUNCTION("""COMPUTED_VALUE"""),"ROYA")</f>
        <v>ROYA</v>
      </c>
      <c r="H1619" s="42">
        <f t="shared" si="1"/>
        <v>750</v>
      </c>
    </row>
    <row r="1620" ht="22.5" customHeight="1">
      <c r="B1620" s="42" t="str">
        <f>IFERROR(__xludf.DUMMYFUNCTION("""COMPUTED_VALUE"""),"K/13/170125/1")</f>
        <v>K/13/170125/1</v>
      </c>
      <c r="C1620" s="42" t="str">
        <f>IFERROR(__xludf.DUMMYFUNCTION("""COMPUTED_VALUE"""),"M. 2200/ Sumber Rejo")</f>
        <v>M. 2200/ Sumber Rejo</v>
      </c>
      <c r="D1620" s="42"/>
      <c r="E1620" s="42"/>
      <c r="F1620" s="48" t="str">
        <f>IFERROR(__xludf.DUMMYFUNCTION("""COMPUTED_VALUE"""),"")</f>
        <v/>
      </c>
      <c r="G1620" s="42" t="str">
        <f>IFERROR(__xludf.DUMMYFUNCTION("""COMPUTED_VALUE"""),"Hapus BPHTB")</f>
        <v>Hapus BPHTB</v>
      </c>
      <c r="H1620" s="42">
        <f t="shared" si="1"/>
        <v>750</v>
      </c>
    </row>
    <row r="1621" ht="22.5" customHeight="1">
      <c r="B1621" s="42" t="str">
        <f>IFERROR(__xludf.DUMMYFUNCTION("""COMPUTED_VALUE"""),"L/14/170125/1")</f>
        <v>L/14/170125/1</v>
      </c>
      <c r="C1621" s="42" t="str">
        <f>IFERROR(__xludf.DUMMYFUNCTION("""COMPUTED_VALUE"""),"HM 3852/WAY KANDIS")</f>
        <v>HM 3852/WAY KANDIS</v>
      </c>
      <c r="D1621" s="42" t="str">
        <f>IFERROR(__xludf.DUMMYFUNCTION("""COMPUTED_VALUE"""),"David")</f>
        <v>David</v>
      </c>
      <c r="E1621" s="42" t="str">
        <f>IFERROR(__xludf.DUMMYFUNCTION("""COMPUTED_VALUE"""),"DISERAHKAN BT")</f>
        <v>DISERAHKAN BT</v>
      </c>
      <c r="F1621" s="48">
        <f>IFERROR(__xludf.DUMMYFUNCTION("""COMPUTED_VALUE"""),45678.447878032406)</f>
        <v>45678.44788</v>
      </c>
      <c r="G1621" s="42" t="str">
        <f>IFERROR(__xludf.DUMMYFUNCTION("""COMPUTED_VALUE"""),"ROYA")</f>
        <v>ROYA</v>
      </c>
      <c r="H1621" s="42">
        <f t="shared" si="1"/>
        <v>750</v>
      </c>
    </row>
    <row r="1622" ht="22.5" customHeight="1">
      <c r="B1622" s="42" t="str">
        <f>IFERROR(__xludf.DUMMYFUNCTION("""COMPUTED_VALUE"""),"L/15/170125/1")</f>
        <v>L/15/170125/1</v>
      </c>
      <c r="C1622" s="42" t="str">
        <f>IFERROR(__xludf.DUMMYFUNCTION("""COMPUTED_VALUE"""),"HGB 2406/CAMPANG JAYA")</f>
        <v>HGB 2406/CAMPANG JAYA</v>
      </c>
      <c r="D1622" s="42"/>
      <c r="E1622" s="42"/>
      <c r="F1622" s="48" t="str">
        <f>IFERROR(__xludf.DUMMYFUNCTION("""COMPUTED_VALUE"""),"")</f>
        <v/>
      </c>
      <c r="G1622" s="42" t="str">
        <f>IFERROR(__xludf.DUMMYFUNCTION("""COMPUTED_VALUE"""),"ASPEK")</f>
        <v>ASPEK</v>
      </c>
      <c r="H1622" s="42">
        <f t="shared" si="1"/>
        <v>750</v>
      </c>
    </row>
    <row r="1623" ht="22.5" customHeight="1">
      <c r="B1623" s="42" t="str">
        <f>IFERROR(__xludf.DUMMYFUNCTION("""COMPUTED_VALUE"""),"K/16/170125/1")</f>
        <v>K/16/170125/1</v>
      </c>
      <c r="C1623" s="42" t="str">
        <f>IFERROR(__xludf.DUMMYFUNCTION("""COMPUTED_VALUE"""),"Nibel M. 9866/ Korpri Jaya")</f>
        <v>Nibel M. 9866/ Korpri Jaya</v>
      </c>
      <c r="D1623" s="42"/>
      <c r="E1623" s="42"/>
      <c r="F1623" s="48" t="str">
        <f>IFERROR(__xludf.DUMMYFUNCTION("""COMPUTED_VALUE"""),"")</f>
        <v/>
      </c>
      <c r="G1623" s="42" t="str">
        <f>IFERROR(__xludf.DUMMYFUNCTION("""COMPUTED_VALUE"""),"BN Jual Beli")</f>
        <v>BN Jual Beli</v>
      </c>
      <c r="H1623" s="42">
        <f t="shared" si="1"/>
        <v>750</v>
      </c>
    </row>
    <row r="1624" ht="22.5" customHeight="1">
      <c r="B1624" s="42" t="str">
        <f>IFERROR(__xludf.DUMMYFUNCTION("""COMPUTED_VALUE"""),"K/17/170125/1")</f>
        <v>K/17/170125/1</v>
      </c>
      <c r="C1624" s="42" t="str">
        <f>IFERROR(__xludf.DUMMYFUNCTION("""COMPUTED_VALUE"""),"M.3003/SUKARAME BARU")</f>
        <v>M.3003/SUKARAME BARU</v>
      </c>
      <c r="D1624" s="42" t="str">
        <f>IFERROR(__xludf.DUMMYFUNCTION("""COMPUTED_VALUE"""),"David")</f>
        <v>David</v>
      </c>
      <c r="E1624" s="42" t="str">
        <f>IFERROR(__xludf.DUMMYFUNCTION("""COMPUTED_VALUE"""),"PROSES")</f>
        <v>PROSES</v>
      </c>
      <c r="F1624" s="48" t="str">
        <f>IFERROR(__xludf.DUMMYFUNCTION("""COMPUTED_VALUE"""),"")</f>
        <v/>
      </c>
      <c r="G1624" s="42" t="str">
        <f>IFERROR(__xludf.DUMMYFUNCTION("""COMPUTED_VALUE"""),"BN WARIS")</f>
        <v>BN WARIS</v>
      </c>
      <c r="H1624" s="42">
        <f t="shared" si="1"/>
        <v>750</v>
      </c>
    </row>
    <row r="1625" ht="22.5" customHeight="1">
      <c r="B1625" s="42" t="str">
        <f>IFERROR(__xludf.DUMMYFUNCTION("""COMPUTED_VALUE"""),"K/18/170125/2")</f>
        <v>K/18/170125/2</v>
      </c>
      <c r="C1625" s="42" t="str">
        <f>IFERROR(__xludf.DUMMYFUNCTION("""COMPUTED_VALUE"""),"NIBEL M. 16929/LABUHAN RATU")</f>
        <v>NIBEL M. 16929/LABUHAN RATU</v>
      </c>
      <c r="D1625" s="42"/>
      <c r="E1625" s="42"/>
      <c r="F1625" s="48" t="str">
        <f>IFERROR(__xludf.DUMMYFUNCTION("""COMPUTED_VALUE"""),"")</f>
        <v/>
      </c>
      <c r="G1625" s="42" t="str">
        <f>IFERROR(__xludf.DUMMYFUNCTION("""COMPUTED_VALUE"""),"BN WARIS")</f>
        <v>BN WARIS</v>
      </c>
      <c r="H1625" s="42">
        <f t="shared" si="1"/>
        <v>750</v>
      </c>
    </row>
    <row r="1626" ht="22.5" customHeight="1">
      <c r="B1626" s="42" t="str">
        <f>IFERROR(__xludf.DUMMYFUNCTION("""COMPUTED_VALUE"""),"L/19/170125/1")</f>
        <v>L/19/170125/1</v>
      </c>
      <c r="C1626" s="42" t="str">
        <f>IFERROR(__xludf.DUMMYFUNCTION("""COMPUTED_VALUE"""),"HM 757/NOG")</f>
        <v>HM 757/NOG</v>
      </c>
      <c r="D1626" s="42" t="str">
        <f>IFERROR(__xludf.DUMMYFUNCTION("""COMPUTED_VALUE"""),"David")</f>
        <v>David</v>
      </c>
      <c r="E1626" s="42" t="str">
        <f>IFERROR(__xludf.DUMMYFUNCTION("""COMPUTED_VALUE"""),"DISERAHKAN BT")</f>
        <v>DISERAHKAN BT</v>
      </c>
      <c r="F1626" s="48">
        <f>IFERROR(__xludf.DUMMYFUNCTION("""COMPUTED_VALUE"""),45678.44822849537)</f>
        <v>45678.44823</v>
      </c>
      <c r="G1626" s="42" t="str">
        <f>IFERROR(__xludf.DUMMYFUNCTION("""COMPUTED_VALUE"""),"ROYA")</f>
        <v>ROYA</v>
      </c>
      <c r="H1626" s="42">
        <f t="shared" si="1"/>
        <v>750</v>
      </c>
    </row>
    <row r="1627" ht="22.5" customHeight="1">
      <c r="B1627" s="42" t="str">
        <f>IFERROR(__xludf.DUMMYFUNCTION("""COMPUTED_VALUE"""),"L/1/180125/1")</f>
        <v>L/1/180125/1</v>
      </c>
      <c r="C1627" s="42" t="str">
        <f>IFERROR(__xludf.DUMMYFUNCTION("""COMPUTED_VALUE"""),"HM 10357/KEDAMAIAN")</f>
        <v>HM 10357/KEDAMAIAN</v>
      </c>
      <c r="D1627" s="42" t="str">
        <f>IFERROR(__xludf.DUMMYFUNCTION("""COMPUTED_VALUE"""),"David")</f>
        <v>David</v>
      </c>
      <c r="E1627" s="42" t="str">
        <f>IFERROR(__xludf.DUMMYFUNCTION("""COMPUTED_VALUE"""),"DISERAHKAN")</f>
        <v>DISERAHKAN</v>
      </c>
      <c r="F1627" s="48">
        <f>IFERROR(__xludf.DUMMYFUNCTION("""COMPUTED_VALUE"""),45678.448408055556)</f>
        <v>45678.44841</v>
      </c>
      <c r="G1627" s="42" t="str">
        <f>IFERROR(__xludf.DUMMYFUNCTION("""COMPUTED_VALUE"""),"ROYA WARIS")</f>
        <v>ROYA WARIS</v>
      </c>
      <c r="H1627" s="42">
        <f t="shared" si="1"/>
        <v>751</v>
      </c>
    </row>
    <row r="1628" ht="22.5" customHeight="1">
      <c r="B1628" s="42" t="str">
        <f>IFERROR(__xludf.DUMMYFUNCTION("""COMPUTED_VALUE"""),"K/2/200125/2")</f>
        <v>K/2/200125/2</v>
      </c>
      <c r="C1628" s="42" t="str">
        <f>IFERROR(__xludf.DUMMYFUNCTION("""COMPUTED_VALUE"""),"TANAH MENTAH")</f>
        <v>TANAH MENTAH</v>
      </c>
      <c r="D1628" s="42"/>
      <c r="E1628" s="42"/>
      <c r="F1628" s="48" t="str">
        <f>IFERROR(__xludf.DUMMYFUNCTION("""COMPUTED_VALUE"""),"")</f>
        <v/>
      </c>
      <c r="G1628" s="42" t="str">
        <f>IFERROR(__xludf.DUMMYFUNCTION("""COMPUTED_VALUE"""),"PENGUKURAN PERTAMA KALI EX PTSL")</f>
        <v>PENGUKURAN PERTAMA KALI EX PTSL</v>
      </c>
      <c r="H1628" s="42">
        <f t="shared" si="1"/>
        <v>751</v>
      </c>
    </row>
    <row r="1629" ht="22.5" customHeight="1">
      <c r="B1629" s="42" t="str">
        <f>IFERROR(__xludf.DUMMYFUNCTION("""COMPUTED_VALUE"""),"K/3/200125/1")</f>
        <v>K/3/200125/1</v>
      </c>
      <c r="C1629" s="42" t="str">
        <f>IFERROR(__xludf.DUMMYFUNCTION("""COMPUTED_VALUE"""),"M. 818/ Sumberrejo sejahtera")</f>
        <v>M. 818/ Sumberrejo sejahtera</v>
      </c>
      <c r="D1629" s="42" t="str">
        <f>IFERROR(__xludf.DUMMYFUNCTION("""COMPUTED_VALUE"""),"David")</f>
        <v>David</v>
      </c>
      <c r="E1629" s="42" t="str">
        <f>IFERROR(__xludf.DUMMYFUNCTION("""COMPUTED_VALUE"""),"PROSES")</f>
        <v>PROSES</v>
      </c>
      <c r="F1629" s="48" t="str">
        <f>IFERROR(__xludf.DUMMYFUNCTION("""COMPUTED_VALUE"""),"")</f>
        <v/>
      </c>
      <c r="G1629" s="42" t="str">
        <f>IFERROR(__xludf.DUMMYFUNCTION("""COMPUTED_VALUE"""),"BN JUAL BELI")</f>
        <v>BN JUAL BELI</v>
      </c>
      <c r="H1629" s="42">
        <f t="shared" si="1"/>
        <v>751</v>
      </c>
    </row>
    <row r="1630" ht="22.5" customHeight="1">
      <c r="B1630" s="42" t="str">
        <f>IFERROR(__xludf.DUMMYFUNCTION("""COMPUTED_VALUE"""),"L/4/200125/1")</f>
        <v>L/4/200125/1</v>
      </c>
      <c r="C1630" s="42" t="str">
        <f>IFERROR(__xludf.DUMMYFUNCTION("""COMPUTED_VALUE"""),"NIB10926/SUKABUMI INDAH")</f>
        <v>NIB10926/SUKABUMI INDAH</v>
      </c>
      <c r="D1630" s="42"/>
      <c r="E1630" s="42"/>
      <c r="F1630" s="48" t="str">
        <f>IFERROR(__xludf.DUMMYFUNCTION("""COMPUTED_VALUE"""),"")</f>
        <v/>
      </c>
      <c r="G1630" s="42" t="str">
        <f>IFERROR(__xludf.DUMMYFUNCTION("""COMPUTED_VALUE"""),"PH")</f>
        <v>PH</v>
      </c>
      <c r="H1630" s="42">
        <f t="shared" si="1"/>
        <v>751</v>
      </c>
    </row>
    <row r="1631" ht="22.5" customHeight="1">
      <c r="B1631" s="42" t="str">
        <f>IFERROR(__xludf.DUMMYFUNCTION("""COMPUTED_VALUE"""),"K/5/200125/1")</f>
        <v>K/5/200125/1</v>
      </c>
      <c r="C1631" s="42" t="str">
        <f>IFERROR(__xludf.DUMMYFUNCTION("""COMPUTED_VALUE"""),"M.394/GUNUNG SULAH")</f>
        <v>M.394/GUNUNG SULAH</v>
      </c>
      <c r="D1631" s="42" t="str">
        <f>IFERROR(__xludf.DUMMYFUNCTION("""COMPUTED_VALUE"""),"David")</f>
        <v>David</v>
      </c>
      <c r="E1631" s="42" t="str">
        <f>IFERROR(__xludf.DUMMYFUNCTION("""COMPUTED_VALUE"""),"DISERAHKAN")</f>
        <v>DISERAHKAN</v>
      </c>
      <c r="F1631" s="48">
        <f>IFERROR(__xludf.DUMMYFUNCTION("""COMPUTED_VALUE"""),45678.44870792824)</f>
        <v>45678.44871</v>
      </c>
      <c r="G1631" s="42" t="str">
        <f>IFERROR(__xludf.DUMMYFUNCTION("""COMPUTED_VALUE"""),"ROYA")</f>
        <v>ROYA</v>
      </c>
      <c r="H1631" s="42">
        <f t="shared" si="1"/>
        <v>752</v>
      </c>
    </row>
    <row r="1632" ht="22.5" customHeight="1">
      <c r="B1632" s="42" t="str">
        <f>IFERROR(__xludf.DUMMYFUNCTION("""COMPUTED_VALUE"""),"K/6/200125/1")</f>
        <v>K/6/200125/1</v>
      </c>
      <c r="C1632" s="42" t="str">
        <f>IFERROR(__xludf.DUMMYFUNCTION("""COMPUTED_VALUE"""),"Nibel. B. 7387/ Rajabasa Raya")</f>
        <v>Nibel. B. 7387/ Rajabasa Raya</v>
      </c>
      <c r="D1632" s="42"/>
      <c r="E1632" s="42"/>
      <c r="F1632" s="48" t="str">
        <f>IFERROR(__xludf.DUMMYFUNCTION("""COMPUTED_VALUE"""),"")</f>
        <v/>
      </c>
      <c r="G1632" s="42" t="str">
        <f>IFERROR(__xludf.DUMMYFUNCTION("""COMPUTED_VALUE"""),"SKPT (Informasi)")</f>
        <v>SKPT (Informasi)</v>
      </c>
      <c r="H1632" s="42">
        <f t="shared" si="1"/>
        <v>752</v>
      </c>
    </row>
    <row r="1633" ht="22.5" customHeight="1">
      <c r="B1633" s="42" t="str">
        <f>IFERROR(__xludf.DUMMYFUNCTION("""COMPUTED_VALUE"""),"K/7/200125/1")</f>
        <v>K/7/200125/1</v>
      </c>
      <c r="C1633" s="42" t="str">
        <f>IFERROR(__xludf.DUMMYFUNCTION("""COMPUTED_VALUE"""),"NIBEL B 6314/LABUHAN RATU RAYA")</f>
        <v>NIBEL B 6314/LABUHAN RATU RAYA</v>
      </c>
      <c r="D1633" s="42"/>
      <c r="E1633" s="42"/>
      <c r="F1633" s="48" t="str">
        <f>IFERROR(__xludf.DUMMYFUNCTION("""COMPUTED_VALUE"""),"")</f>
        <v/>
      </c>
      <c r="G1633" s="42" t="str">
        <f>IFERROR(__xludf.DUMMYFUNCTION("""COMPUTED_VALUE"""),"PERUBAHAN HAK")</f>
        <v>PERUBAHAN HAK</v>
      </c>
      <c r="H1633" s="42">
        <f t="shared" si="1"/>
        <v>752</v>
      </c>
    </row>
    <row r="1634" ht="22.5" customHeight="1">
      <c r="B1634" s="42" t="str">
        <f>IFERROR(__xludf.DUMMYFUNCTION("""COMPUTED_VALUE"""),"K/8/200125/2")</f>
        <v>K/8/200125/2</v>
      </c>
      <c r="C1634" s="42" t="str">
        <f>IFERROR(__xludf.DUMMYFUNCTION("""COMPUTED_VALUE"""),"B.175/LABUHAN RATU RAYA")</f>
        <v>B.175/LABUHAN RATU RAYA</v>
      </c>
      <c r="D1634" s="42" t="str">
        <f>IFERROR(__xludf.DUMMYFUNCTION("""COMPUTED_VALUE"""),"David")</f>
        <v>David</v>
      </c>
      <c r="E1634" s="42" t="str">
        <f>IFERROR(__xludf.DUMMYFUNCTION("""COMPUTED_VALUE"""),"DISERAHKAN")</f>
        <v>DISERAHKAN</v>
      </c>
      <c r="F1634" s="48">
        <f>IFERROR(__xludf.DUMMYFUNCTION("""COMPUTED_VALUE"""),45678.44888019676)</f>
        <v>45678.44888</v>
      </c>
      <c r="G1634" s="42" t="str">
        <f>IFERROR(__xludf.DUMMYFUNCTION("""COMPUTED_VALUE"""),"PERUBAHAN HAK")</f>
        <v>PERUBAHAN HAK</v>
      </c>
      <c r="H1634" s="42">
        <f t="shared" si="1"/>
        <v>753</v>
      </c>
    </row>
    <row r="1635" ht="22.5" customHeight="1">
      <c r="B1635" s="42" t="str">
        <f>IFERROR(__xludf.DUMMYFUNCTION("""COMPUTED_VALUE"""),"K/10/200125/1")</f>
        <v>K/10/200125/1</v>
      </c>
      <c r="C1635" s="42" t="str">
        <f>IFERROR(__xludf.DUMMYFUNCTION("""COMPUTED_VALUE"""),"M. 10934/ Labuhan Ratu")</f>
        <v>M. 10934/ Labuhan Ratu</v>
      </c>
      <c r="D1635" s="42" t="str">
        <f>IFERROR(__xludf.DUMMYFUNCTION("""COMPUTED_VALUE"""),"David")</f>
        <v>David</v>
      </c>
      <c r="E1635" s="42" t="str">
        <f>IFERROR(__xludf.DUMMYFUNCTION("""COMPUTED_VALUE"""),"DISERAHKAN")</f>
        <v>DISERAHKAN</v>
      </c>
      <c r="F1635" s="48">
        <f>IFERROR(__xludf.DUMMYFUNCTION("""COMPUTED_VALUE"""),45705.59312884259)</f>
        <v>45705.59313</v>
      </c>
      <c r="G1635" s="42" t="str">
        <f>IFERROR(__xludf.DUMMYFUNCTION("""COMPUTED_VALUE"""),"ROYA")</f>
        <v>ROYA</v>
      </c>
      <c r="H1635" s="42">
        <f t="shared" si="1"/>
        <v>754</v>
      </c>
    </row>
    <row r="1636" ht="22.5" customHeight="1">
      <c r="B1636" s="42" t="str">
        <f>IFERROR(__xludf.DUMMYFUNCTION("""COMPUTED_VALUE"""),"K/11/200125/1")</f>
        <v>K/11/200125/1</v>
      </c>
      <c r="C1636" s="42" t="str">
        <f>IFERROR(__xludf.DUMMYFUNCTION("""COMPUTED_VALUE"""),"M. 1356/ Durian Payung")</f>
        <v>M. 1356/ Durian Payung</v>
      </c>
      <c r="D1636" s="42" t="str">
        <f>IFERROR(__xludf.DUMMYFUNCTION("""COMPUTED_VALUE"""),"David")</f>
        <v>David</v>
      </c>
      <c r="E1636" s="42" t="str">
        <f>IFERROR(__xludf.DUMMYFUNCTION("""COMPUTED_VALUE"""),"DISERAHKAN")</f>
        <v>DISERAHKAN</v>
      </c>
      <c r="F1636" s="48">
        <f>IFERROR(__xludf.DUMMYFUNCTION("""COMPUTED_VALUE"""),45678.44914916667)</f>
        <v>45678.44915</v>
      </c>
      <c r="G1636" s="42" t="str">
        <f>IFERROR(__xludf.DUMMYFUNCTION("""COMPUTED_VALUE"""),"BN WARIS")</f>
        <v>BN WARIS</v>
      </c>
      <c r="H1636" s="42">
        <f t="shared" si="1"/>
        <v>755</v>
      </c>
    </row>
    <row r="1637" ht="22.5" customHeight="1">
      <c r="B1637" s="42" t="str">
        <f>IFERROR(__xludf.DUMMYFUNCTION("""COMPUTED_VALUE"""),"K/12/200125/1")</f>
        <v>K/12/200125/1</v>
      </c>
      <c r="C1637" s="42" t="str">
        <f>IFERROR(__xludf.DUMMYFUNCTION("""COMPUTED_VALUE"""),"M. 1837/ Way Kandis")</f>
        <v>M. 1837/ Way Kandis</v>
      </c>
      <c r="D1637" s="42" t="str">
        <f>IFERROR(__xludf.DUMMYFUNCTION("""COMPUTED_VALUE"""),"Berry")</f>
        <v>Berry</v>
      </c>
      <c r="E1637" s="42" t="str">
        <f>IFERROR(__xludf.DUMMYFUNCTION("""COMPUTED_VALUE"""),"DISERAHKAN")</f>
        <v>DISERAHKAN</v>
      </c>
      <c r="F1637" s="48">
        <f>IFERROR(__xludf.DUMMYFUNCTION("""COMPUTED_VALUE"""),45678.44976708334)</f>
        <v>45678.44977</v>
      </c>
      <c r="G1637" s="42" t="str">
        <f>IFERROR(__xludf.DUMMYFUNCTION("""COMPUTED_VALUE"""),"PEMISAHAN BIDANG")</f>
        <v>PEMISAHAN BIDANG</v>
      </c>
      <c r="H1637" s="42">
        <f t="shared" si="1"/>
        <v>756</v>
      </c>
    </row>
    <row r="1638" ht="22.5" customHeight="1">
      <c r="B1638" s="42" t="str">
        <f>IFERROR(__xludf.DUMMYFUNCTION("""COMPUTED_VALUE"""),"K/13/200125/1")</f>
        <v>K/13/200125/1</v>
      </c>
      <c r="C1638" s="42" t="str">
        <f>IFERROR(__xludf.DUMMYFUNCTION("""COMPUTED_VALUE"""),"M. 3655/ Langkapura")</f>
        <v>M. 3655/ Langkapura</v>
      </c>
      <c r="D1638" s="42" t="str">
        <f>IFERROR(__xludf.DUMMYFUNCTION("""COMPUTED_VALUE"""),"Berry")</f>
        <v>Berry</v>
      </c>
      <c r="E1638" s="42" t="str">
        <f>IFERROR(__xludf.DUMMYFUNCTION("""COMPUTED_VALUE"""),"DISERAHKAN")</f>
        <v>DISERAHKAN</v>
      </c>
      <c r="F1638" s="48">
        <f>IFERROR(__xludf.DUMMYFUNCTION("""COMPUTED_VALUE"""),45758.48431892361)</f>
        <v>45758.48432</v>
      </c>
      <c r="G1638" s="42" t="str">
        <f>IFERROR(__xludf.DUMMYFUNCTION("""COMPUTED_VALUE"""),"Roya")</f>
        <v>Roya</v>
      </c>
      <c r="H1638" s="42">
        <f t="shared" si="1"/>
        <v>757</v>
      </c>
    </row>
    <row r="1639" ht="22.5" customHeight="1">
      <c r="B1639" s="42" t="str">
        <f>IFERROR(__xludf.DUMMYFUNCTION("""COMPUTED_VALUE"""),"K/9/200125/1")</f>
        <v>K/9/200125/1</v>
      </c>
      <c r="C1639" s="42" t="str">
        <f>IFERROR(__xludf.DUMMYFUNCTION("""COMPUTED_VALUE"""),"M.12989/SUKABUMI, M.12988/SUKABUMI")</f>
        <v>M.12989/SUKABUMI, M.12988/SUKABUMI</v>
      </c>
      <c r="D1639" s="42" t="str">
        <f>IFERROR(__xludf.DUMMYFUNCTION("""COMPUTED_VALUE"""),"Berry")</f>
        <v>Berry</v>
      </c>
      <c r="E1639" s="42" t="str">
        <f>IFERROR(__xludf.DUMMYFUNCTION("""COMPUTED_VALUE"""),"DISERAHKAN")</f>
        <v>DISERAHKAN</v>
      </c>
      <c r="F1639" s="48">
        <f>IFERROR(__xludf.DUMMYFUNCTION("""COMPUTED_VALUE"""),45678.45066630787)</f>
        <v>45678.45067</v>
      </c>
      <c r="G1639" s="42" t="str">
        <f>IFERROR(__xludf.DUMMYFUNCTION("""COMPUTED_VALUE"""),"ROYA")</f>
        <v>ROYA</v>
      </c>
      <c r="H1639" s="42">
        <f t="shared" si="1"/>
        <v>758</v>
      </c>
    </row>
    <row r="1640" ht="22.5" customHeight="1">
      <c r="B1640" s="42" t="str">
        <f>IFERROR(__xludf.DUMMYFUNCTION("""COMPUTED_VALUE"""),"K/14/200125/1")</f>
        <v>K/14/200125/1</v>
      </c>
      <c r="C1640" s="42" t="str">
        <f>IFERROR(__xludf.DUMMYFUNCTION("""COMPUTED_VALUE"""),"M.1634/JAGABAYA III")</f>
        <v>M.1634/JAGABAYA III</v>
      </c>
      <c r="D1640" s="42" t="str">
        <f>IFERROR(__xludf.DUMMYFUNCTION("""COMPUTED_VALUE"""),"Berry")</f>
        <v>Berry</v>
      </c>
      <c r="E1640" s="42" t="str">
        <f>IFERROR(__xludf.DUMMYFUNCTION("""COMPUTED_VALUE"""),"DISERAHKAN")</f>
        <v>DISERAHKAN</v>
      </c>
      <c r="F1640" s="48">
        <f>IFERROR(__xludf.DUMMYFUNCTION("""COMPUTED_VALUE"""),45678.45121008102)</f>
        <v>45678.45121</v>
      </c>
      <c r="G1640" s="42" t="str">
        <f>IFERROR(__xludf.DUMMYFUNCTION("""COMPUTED_VALUE"""),"BN WARIS")</f>
        <v>BN WARIS</v>
      </c>
      <c r="H1640" s="42">
        <f t="shared" si="1"/>
        <v>759</v>
      </c>
    </row>
    <row r="1641" ht="22.5" customHeight="1">
      <c r="B1641" s="42" t="str">
        <f>IFERROR(__xludf.DUMMYFUNCTION("""COMPUTED_VALUE"""),"L/15/200125/1")</f>
        <v>L/15/200125/1</v>
      </c>
      <c r="C1641" s="42" t="str">
        <f>IFERROR(__xludf.DUMMYFUNCTION("""COMPUTED_VALUE"""),"HM 2052/SUKAMAJU")</f>
        <v>HM 2052/SUKAMAJU</v>
      </c>
      <c r="D1641" s="42" t="str">
        <f>IFERROR(__xludf.DUMMYFUNCTION("""COMPUTED_VALUE"""),"Berry")</f>
        <v>Berry</v>
      </c>
      <c r="E1641" s="42" t="str">
        <f>IFERROR(__xludf.DUMMYFUNCTION("""COMPUTED_VALUE"""),"DISERAHKAN")</f>
        <v>DISERAHKAN</v>
      </c>
      <c r="F1641" s="48">
        <f>IFERROR(__xludf.DUMMYFUNCTION("""COMPUTED_VALUE"""),45708.60333707176)</f>
        <v>45708.60334</v>
      </c>
      <c r="G1641" s="42" t="str">
        <f>IFERROR(__xludf.DUMMYFUNCTION("""COMPUTED_VALUE"""),"ROYA")</f>
        <v>ROYA</v>
      </c>
      <c r="H1641" s="42">
        <f t="shared" si="1"/>
        <v>760</v>
      </c>
    </row>
    <row r="1642" ht="22.5" customHeight="1">
      <c r="B1642" s="42" t="str">
        <f>IFERROR(__xludf.DUMMYFUNCTION("""COMPUTED_VALUE"""),"K/16/200125/1")</f>
        <v>K/16/200125/1</v>
      </c>
      <c r="C1642" s="42" t="str">
        <f>IFERROR(__xludf.DUMMYFUNCTION("""COMPUTED_VALUE"""),"M. 4271/ Campang Raya")</f>
        <v>M. 4271/ Campang Raya</v>
      </c>
      <c r="D1642" s="42" t="str">
        <f>IFERROR(__xludf.DUMMYFUNCTION("""COMPUTED_VALUE"""),"Berry")</f>
        <v>Berry</v>
      </c>
      <c r="E1642" s="42" t="str">
        <f>IFERROR(__xludf.DUMMYFUNCTION("""COMPUTED_VALUE"""),"DISERAHKAN")</f>
        <v>DISERAHKAN</v>
      </c>
      <c r="F1642" s="48">
        <f>IFERROR(__xludf.DUMMYFUNCTION("""COMPUTED_VALUE"""),45678.45166092593)</f>
        <v>45678.45166</v>
      </c>
      <c r="G1642" s="42" t="str">
        <f>IFERROR(__xludf.DUMMYFUNCTION("""COMPUTED_VALUE"""),"Roya")</f>
        <v>Roya</v>
      </c>
      <c r="H1642" s="42">
        <f t="shared" si="1"/>
        <v>761</v>
      </c>
    </row>
    <row r="1643" ht="22.5" customHeight="1">
      <c r="B1643" s="42" t="str">
        <f>IFERROR(__xludf.DUMMYFUNCTION("""COMPUTED_VALUE"""),"L/18/200125/1")</f>
        <v>L/18/200125/1</v>
      </c>
      <c r="C1643" s="42" t="str">
        <f>IFERROR(__xludf.DUMMYFUNCTION("""COMPUTED_VALUE"""),"HM 1137/BW")</f>
        <v>HM 1137/BW</v>
      </c>
      <c r="D1643" s="42" t="str">
        <f>IFERROR(__xludf.DUMMYFUNCTION("""COMPUTED_VALUE"""),"Berry")</f>
        <v>Berry</v>
      </c>
      <c r="E1643" s="42" t="str">
        <f>IFERROR(__xludf.DUMMYFUNCTION("""COMPUTED_VALUE"""),"DISERAHKAN")</f>
        <v>DISERAHKAN</v>
      </c>
      <c r="F1643" s="48">
        <f>IFERROR(__xludf.DUMMYFUNCTION("""COMPUTED_VALUE"""),45678.451806956014)</f>
        <v>45678.45181</v>
      </c>
      <c r="G1643" s="42" t="str">
        <f>IFERROR(__xludf.DUMMYFUNCTION("""COMPUTED_VALUE"""),"ROYA")</f>
        <v>ROYA</v>
      </c>
      <c r="H1643" s="42">
        <f t="shared" si="1"/>
        <v>762</v>
      </c>
    </row>
    <row r="1644" ht="22.5" customHeight="1">
      <c r="B1644" s="42" t="str">
        <f>IFERROR(__xludf.DUMMYFUNCTION("""COMPUTED_VALUE"""),"K/20/200125/1")</f>
        <v>K/20/200125/1</v>
      </c>
      <c r="C1644" s="42" t="str">
        <f>IFERROR(__xludf.DUMMYFUNCTION("""COMPUTED_VALUE"""),"M. 12311/ Sukarame I")</f>
        <v>M. 12311/ Sukarame I</v>
      </c>
      <c r="D1644" s="42" t="str">
        <f>IFERROR(__xludf.DUMMYFUNCTION("""COMPUTED_VALUE"""),"Berry")</f>
        <v>Berry</v>
      </c>
      <c r="E1644" s="42" t="str">
        <f>IFERROR(__xludf.DUMMYFUNCTION("""COMPUTED_VALUE"""),"DISERAHKAN")</f>
        <v>DISERAHKAN</v>
      </c>
      <c r="F1644" s="48">
        <f>IFERROR(__xludf.DUMMYFUNCTION("""COMPUTED_VALUE"""),45708.60154510417)</f>
        <v>45708.60155</v>
      </c>
      <c r="G1644" s="42" t="str">
        <f>IFERROR(__xludf.DUMMYFUNCTION("""COMPUTED_VALUE"""),"ROYA")</f>
        <v>ROYA</v>
      </c>
      <c r="H1644" s="42">
        <f t="shared" si="1"/>
        <v>763</v>
      </c>
    </row>
    <row r="1645" ht="22.5" customHeight="1">
      <c r="B1645" s="42" t="str">
        <f>IFERROR(__xludf.DUMMYFUNCTION("""COMPUTED_VALUE"""),"K/17/200125/2")</f>
        <v>K/17/200125/2</v>
      </c>
      <c r="C1645" s="42" t="str">
        <f>IFERROR(__xludf.DUMMYFUNCTION("""COMPUTED_VALUE"""),"B. 1046/ Keteguhan")</f>
        <v>B. 1046/ Keteguhan</v>
      </c>
      <c r="D1645" s="42" t="str">
        <f>IFERROR(__xludf.DUMMYFUNCTION("""COMPUTED_VALUE"""),"Berry")</f>
        <v>Berry</v>
      </c>
      <c r="E1645" s="42" t="str">
        <f>IFERROR(__xludf.DUMMYFUNCTION("""COMPUTED_VALUE"""),"DISERAHKAN")</f>
        <v>DISERAHKAN</v>
      </c>
      <c r="F1645" s="48">
        <f>IFERROR(__xludf.DUMMYFUNCTION("""COMPUTED_VALUE"""),45678.4521678125)</f>
        <v>45678.45217</v>
      </c>
      <c r="G1645" s="42" t="str">
        <f>IFERROR(__xludf.DUMMYFUNCTION("""COMPUTED_VALUE"""),"BN Jual Beli")</f>
        <v>BN Jual Beli</v>
      </c>
      <c r="H1645" s="42">
        <f t="shared" si="1"/>
        <v>764</v>
      </c>
    </row>
    <row r="1646" ht="22.5" customHeight="1">
      <c r="B1646" s="42" t="str">
        <f>IFERROR(__xludf.DUMMYFUNCTION("""COMPUTED_VALUE"""),"K/19/200125/1")</f>
        <v>K/19/200125/1</v>
      </c>
      <c r="C1646" s="42" t="str">
        <f>IFERROR(__xludf.DUMMYFUNCTION("""COMPUTED_VALUE"""),"Nibel. M. 16709/ K B K")</f>
        <v>Nibel. M. 16709/ K B K</v>
      </c>
      <c r="D1646" s="42"/>
      <c r="E1646" s="42"/>
      <c r="F1646" s="48" t="str">
        <f>IFERROR(__xludf.DUMMYFUNCTION("""COMPUTED_VALUE"""),"")</f>
        <v/>
      </c>
      <c r="G1646" s="42" t="str">
        <f>IFERROR(__xludf.DUMMYFUNCTION("""COMPUTED_VALUE"""),"BN Jual Beli")</f>
        <v>BN Jual Beli</v>
      </c>
      <c r="H1646" s="42">
        <f t="shared" si="1"/>
        <v>764</v>
      </c>
    </row>
    <row r="1647" ht="22.5" customHeight="1">
      <c r="B1647" s="42" t="str">
        <f>IFERROR(__xludf.DUMMYFUNCTION("""COMPUTED_VALUE"""),"L/21/200125/1")</f>
        <v>L/21/200125/1</v>
      </c>
      <c r="C1647" s="42" t="str">
        <f>IFERROR(__xludf.DUMMYFUNCTION("""COMPUTED_VALUE"""),"BERINGIN RAYA")</f>
        <v>BERINGIN RAYA</v>
      </c>
      <c r="D1647" s="42"/>
      <c r="E1647" s="42"/>
      <c r="F1647" s="48" t="str">
        <f>IFERROR(__xludf.DUMMYFUNCTION("""COMPUTED_VALUE"""),"")</f>
        <v/>
      </c>
      <c r="G1647" s="42" t="str">
        <f>IFERROR(__xludf.DUMMYFUNCTION("""COMPUTED_VALUE"""),"PENDAFTARAN SK")</f>
        <v>PENDAFTARAN SK</v>
      </c>
      <c r="H1647" s="42">
        <f t="shared" si="1"/>
        <v>764</v>
      </c>
    </row>
    <row r="1648" ht="22.5" customHeight="1">
      <c r="B1648" s="42" t="str">
        <f>IFERROR(__xludf.DUMMYFUNCTION("""COMPUTED_VALUE"""),"L/23/200125/1")</f>
        <v>L/23/200125/1</v>
      </c>
      <c r="C1648" s="42" t="str">
        <f>IFERROR(__xludf.DUMMYFUNCTION("""COMPUTED_VALUE"""),"HM 659/TANJUNG SENANG")</f>
        <v>HM 659/TANJUNG SENANG</v>
      </c>
      <c r="D1648" s="42" t="str">
        <f>IFERROR(__xludf.DUMMYFUNCTION("""COMPUTED_VALUE"""),"Berry")</f>
        <v>Berry</v>
      </c>
      <c r="E1648" s="42" t="str">
        <f>IFERROR(__xludf.DUMMYFUNCTION("""COMPUTED_VALUE"""),"DISERAHKAN")</f>
        <v>DISERAHKAN</v>
      </c>
      <c r="F1648" s="48">
        <f>IFERROR(__xludf.DUMMYFUNCTION("""COMPUTED_VALUE"""),45678.45243532407)</f>
        <v>45678.45244</v>
      </c>
      <c r="G1648" s="42" t="str">
        <f>IFERROR(__xludf.DUMMYFUNCTION("""COMPUTED_VALUE"""),"ROYA")</f>
        <v>ROYA</v>
      </c>
      <c r="H1648" s="42">
        <f t="shared" si="1"/>
        <v>765</v>
      </c>
    </row>
    <row r="1649" ht="22.5" customHeight="1">
      <c r="B1649" s="42" t="str">
        <f>IFERROR(__xludf.DUMMYFUNCTION("""COMPUTED_VALUE"""),"K/22/200125/1")</f>
        <v>K/22/200125/1</v>
      </c>
      <c r="C1649" s="42" t="str">
        <f>IFERROR(__xludf.DUMMYFUNCTION("""COMPUTED_VALUE"""),"M. 246/ Gunung Sulah")</f>
        <v>M. 246/ Gunung Sulah</v>
      </c>
      <c r="D1649" s="42" t="str">
        <f>IFERROR(__xludf.DUMMYFUNCTION("""COMPUTED_VALUE"""),"Berry")</f>
        <v>Berry</v>
      </c>
      <c r="E1649" s="42" t="str">
        <f>IFERROR(__xludf.DUMMYFUNCTION("""COMPUTED_VALUE"""),"DISERAHKAN")</f>
        <v>DISERAHKAN</v>
      </c>
      <c r="F1649" s="48">
        <f>IFERROR(__xludf.DUMMYFUNCTION("""COMPUTED_VALUE"""),45702.42764765046)</f>
        <v>45702.42765</v>
      </c>
      <c r="G1649" s="42" t="str">
        <f>IFERROR(__xludf.DUMMYFUNCTION("""COMPUTED_VALUE"""),"BN Waris")</f>
        <v>BN Waris</v>
      </c>
      <c r="H1649" s="42">
        <f t="shared" si="1"/>
        <v>766</v>
      </c>
    </row>
    <row r="1650" ht="22.5" customHeight="1">
      <c r="B1650" s="42" t="str">
        <f>IFERROR(__xludf.DUMMYFUNCTION("""COMPUTED_VALUE"""),"K/24/200125/1")</f>
        <v>K/24/200125/1</v>
      </c>
      <c r="C1650" s="42" t="str">
        <f>IFERROR(__xludf.DUMMYFUNCTION("""COMPUTED_VALUE"""),"M.4348/GUNUNG TERANG")</f>
        <v>M.4348/GUNUNG TERANG</v>
      </c>
      <c r="D1650" s="42" t="str">
        <f>IFERROR(__xludf.DUMMYFUNCTION("""COMPUTED_VALUE"""),"Berry")</f>
        <v>Berry</v>
      </c>
      <c r="E1650" s="42" t="str">
        <f>IFERROR(__xludf.DUMMYFUNCTION("""COMPUTED_VALUE"""),"DISERAHKAN")</f>
        <v>DISERAHKAN</v>
      </c>
      <c r="F1650" s="48">
        <f>IFERROR(__xludf.DUMMYFUNCTION("""COMPUTED_VALUE"""),45678.45328261574)</f>
        <v>45678.45328</v>
      </c>
      <c r="G1650" s="42" t="str">
        <f>IFERROR(__xludf.DUMMYFUNCTION("""COMPUTED_VALUE"""),"KEWARISAN")</f>
        <v>KEWARISAN</v>
      </c>
      <c r="H1650" s="42">
        <f t="shared" si="1"/>
        <v>767</v>
      </c>
    </row>
    <row r="1651" ht="22.5" customHeight="1">
      <c r="B1651" s="42" t="str">
        <f>IFERROR(__xludf.DUMMYFUNCTION("""COMPUTED_VALUE"""),"L/1/210125/1")</f>
        <v>L/1/210125/1</v>
      </c>
      <c r="C1651" s="42" t="str">
        <f>IFERROR(__xludf.DUMMYFUNCTION("""COMPUTED_VALUE"""),"HM 1050/SUKABUMI INDAH")</f>
        <v>HM 1050/SUKABUMI INDAH</v>
      </c>
      <c r="D1651" s="42" t="str">
        <f>IFERROR(__xludf.DUMMYFUNCTION("""COMPUTED_VALUE"""),"Berry")</f>
        <v>Berry</v>
      </c>
      <c r="E1651" s="42" t="str">
        <f>IFERROR(__xludf.DUMMYFUNCTION("""COMPUTED_VALUE"""),"DISERAHKAN")</f>
        <v>DISERAHKAN</v>
      </c>
      <c r="F1651" s="48">
        <f>IFERROR(__xludf.DUMMYFUNCTION("""COMPUTED_VALUE"""),45678.45349395833)</f>
        <v>45678.45349</v>
      </c>
      <c r="G1651" s="42" t="str">
        <f>IFERROR(__xludf.DUMMYFUNCTION("""COMPUTED_VALUE"""),"ROYA")</f>
        <v>ROYA</v>
      </c>
      <c r="H1651" s="42">
        <f t="shared" si="1"/>
        <v>768</v>
      </c>
    </row>
    <row r="1652" ht="22.5" customHeight="1">
      <c r="B1652" s="42" t="str">
        <f>IFERROR(__xludf.DUMMYFUNCTION("""COMPUTED_VALUE"""),"L/2/210125/1")</f>
        <v>L/2/210125/1</v>
      </c>
      <c r="C1652" s="42" t="str">
        <f>IFERROR(__xludf.DUMMYFUNCTION("""COMPUTED_VALUE"""),"SIDODADI")</f>
        <v>SIDODADI</v>
      </c>
      <c r="D1652" s="42"/>
      <c r="E1652" s="42"/>
      <c r="F1652" s="48" t="str">
        <f>IFERROR(__xludf.DUMMYFUNCTION("""COMPUTED_VALUE"""),"")</f>
        <v/>
      </c>
      <c r="G1652" s="42" t="str">
        <f>IFERROR(__xludf.DUMMYFUNCTION("""COMPUTED_VALUE"""),"ASPEK")</f>
        <v>ASPEK</v>
      </c>
      <c r="H1652" s="42">
        <f t="shared" si="1"/>
        <v>768</v>
      </c>
    </row>
    <row r="1653" ht="22.5" customHeight="1">
      <c r="B1653" s="42" t="str">
        <f>IFERROR(__xludf.DUMMYFUNCTION("""COMPUTED_VALUE"""),"L/3/210125/1")</f>
        <v>L/3/210125/1</v>
      </c>
      <c r="C1653" s="42" t="str">
        <f>IFERROR(__xludf.DUMMYFUNCTION("""COMPUTED_VALUE"""),"HM 2379/BW")</f>
        <v>HM 2379/BW</v>
      </c>
      <c r="D1653" s="42" t="str">
        <f>IFERROR(__xludf.DUMMYFUNCTION("""COMPUTED_VALUE"""),"Berry")</f>
        <v>Berry</v>
      </c>
      <c r="E1653" s="42" t="str">
        <f>IFERROR(__xludf.DUMMYFUNCTION("""COMPUTED_VALUE"""),"DISERAHKAN")</f>
        <v>DISERAHKAN</v>
      </c>
      <c r="F1653" s="48">
        <f>IFERROR(__xludf.DUMMYFUNCTION("""COMPUTED_VALUE"""),45678.4536129051)</f>
        <v>45678.45361</v>
      </c>
      <c r="G1653" s="42" t="str">
        <f>IFERROR(__xludf.DUMMYFUNCTION("""COMPUTED_VALUE"""),"ROYA")</f>
        <v>ROYA</v>
      </c>
      <c r="H1653" s="42">
        <f t="shared" si="1"/>
        <v>769</v>
      </c>
    </row>
    <row r="1654" ht="22.5" customHeight="1">
      <c r="B1654" s="42" t="str">
        <f>IFERROR(__xludf.DUMMYFUNCTION("""COMPUTED_VALUE"""),"K/4/210125/1")</f>
        <v>K/4/210125/1</v>
      </c>
      <c r="C1654" s="42" t="str">
        <f>IFERROR(__xludf.DUMMYFUNCTION("""COMPUTED_VALUE"""),"NIBEL B. 203/KETEGUHAN")</f>
        <v>NIBEL B. 203/KETEGUHAN</v>
      </c>
      <c r="D1654" s="42"/>
      <c r="E1654" s="42"/>
      <c r="F1654" s="48" t="str">
        <f>IFERROR(__xludf.DUMMYFUNCTION("""COMPUTED_VALUE"""),"")</f>
        <v/>
      </c>
      <c r="G1654" s="42" t="str">
        <f>IFERROR(__xludf.DUMMYFUNCTION("""COMPUTED_VALUE"""),"PENINGKATAN HAK")</f>
        <v>PENINGKATAN HAK</v>
      </c>
      <c r="H1654" s="42">
        <f t="shared" si="1"/>
        <v>769</v>
      </c>
    </row>
    <row r="1655" ht="22.5" customHeight="1">
      <c r="B1655" s="42" t="str">
        <f>IFERROR(__xludf.DUMMYFUNCTION("""COMPUTED_VALUE"""),"K/5/210125/2")</f>
        <v>K/5/210125/2</v>
      </c>
      <c r="C1655" s="42" t="str">
        <f>IFERROR(__xludf.DUMMYFUNCTION("""COMPUTED_VALUE"""),"NIBEL B. 204/ KETEGUHAN")</f>
        <v>NIBEL B. 204/ KETEGUHAN</v>
      </c>
      <c r="D1655" s="42"/>
      <c r="E1655" s="42"/>
      <c r="F1655" s="48" t="str">
        <f>IFERROR(__xludf.DUMMYFUNCTION("""COMPUTED_VALUE"""),"")</f>
        <v/>
      </c>
      <c r="G1655" s="42" t="str">
        <f>IFERROR(__xludf.DUMMYFUNCTION("""COMPUTED_VALUE"""),"PENINGKATAN HAK")</f>
        <v>PENINGKATAN HAK</v>
      </c>
      <c r="H1655" s="42">
        <f t="shared" si="1"/>
        <v>769</v>
      </c>
    </row>
    <row r="1656" ht="22.5" customHeight="1">
      <c r="B1656" s="42" t="str">
        <f>IFERROR(__xludf.DUMMYFUNCTION("""COMPUTED_VALUE"""),"L/9/210125/1")</f>
        <v>L/9/210125/1</v>
      </c>
      <c r="C1656" s="42" t="str">
        <f>IFERROR(__xludf.DUMMYFUNCTION("""COMPUTED_VALUE"""),"HM 749/RAJABASA PEMUKA")</f>
        <v>HM 749/RAJABASA PEMUKA</v>
      </c>
      <c r="D1656" s="42" t="str">
        <f>IFERROR(__xludf.DUMMYFUNCTION("""COMPUTED_VALUE"""),"Berry")</f>
        <v>Berry</v>
      </c>
      <c r="E1656" s="42" t="str">
        <f>IFERROR(__xludf.DUMMYFUNCTION("""COMPUTED_VALUE"""),"DISERAHKAN")</f>
        <v>DISERAHKAN</v>
      </c>
      <c r="F1656" s="48">
        <f>IFERROR(__xludf.DUMMYFUNCTION("""COMPUTED_VALUE"""),45719.639059293986)</f>
        <v>45719.63906</v>
      </c>
      <c r="G1656" s="42" t="str">
        <f>IFERROR(__xludf.DUMMYFUNCTION("""COMPUTED_VALUE"""),"ROYA")</f>
        <v>ROYA</v>
      </c>
      <c r="H1656" s="42">
        <f t="shared" si="1"/>
        <v>770</v>
      </c>
    </row>
    <row r="1657" ht="22.5" customHeight="1">
      <c r="B1657" s="42" t="str">
        <f>IFERROR(__xludf.DUMMYFUNCTION("""COMPUTED_VALUE"""),"K/6/210125/1")</f>
        <v>K/6/210125/1</v>
      </c>
      <c r="C1657" s="42" t="str">
        <f>IFERROR(__xludf.DUMMYFUNCTION("""COMPUTED_VALUE"""),"B.1354/NEGERI OLOK GADING")</f>
        <v>B.1354/NEGERI OLOK GADING</v>
      </c>
      <c r="D1657" s="42"/>
      <c r="E1657" s="42"/>
      <c r="F1657" s="48" t="str">
        <f>IFERROR(__xludf.DUMMYFUNCTION("""COMPUTED_VALUE"""),"")</f>
        <v/>
      </c>
      <c r="G1657" s="42" t="str">
        <f>IFERROR(__xludf.DUMMYFUNCTION("""COMPUTED_VALUE"""),"PENDAFTARAN PERPANJANGAN SK ")</f>
        <v>PENDAFTARAN PERPANJANGAN SK </v>
      </c>
      <c r="H1657" s="42">
        <f t="shared" si="1"/>
        <v>770</v>
      </c>
    </row>
    <row r="1658" ht="22.5" customHeight="1">
      <c r="B1658" s="42" t="str">
        <f>IFERROR(__xludf.DUMMYFUNCTION("""COMPUTED_VALUE"""),"K/7/210125/2")</f>
        <v>K/7/210125/2</v>
      </c>
      <c r="C1658" s="42" t="str">
        <f>IFERROR(__xludf.DUMMYFUNCTION("""COMPUTED_VALUE"""),"B.1088/NEGERI OLOK GADING")</f>
        <v>B.1088/NEGERI OLOK GADING</v>
      </c>
      <c r="D1658" s="42"/>
      <c r="E1658" s="42"/>
      <c r="F1658" s="48" t="str">
        <f>IFERROR(__xludf.DUMMYFUNCTION("""COMPUTED_VALUE"""),"")</f>
        <v/>
      </c>
      <c r="G1658" s="42" t="str">
        <f>IFERROR(__xludf.DUMMYFUNCTION("""COMPUTED_VALUE"""),"PENDAFTARAN PERPANJANGAN SK")</f>
        <v>PENDAFTARAN PERPANJANGAN SK</v>
      </c>
      <c r="H1658" s="42">
        <f t="shared" si="1"/>
        <v>770</v>
      </c>
    </row>
    <row r="1659" ht="22.5" customHeight="1">
      <c r="B1659" s="42" t="str">
        <f>IFERROR(__xludf.DUMMYFUNCTION("""COMPUTED_VALUE"""),"K/8/210125/3")</f>
        <v>K/8/210125/3</v>
      </c>
      <c r="C1659" s="42" t="str">
        <f>IFERROR(__xludf.DUMMYFUNCTION("""COMPUTED_VALUE"""),"B.513/NEGERI OLOK GADING")</f>
        <v>B.513/NEGERI OLOK GADING</v>
      </c>
      <c r="D1659" s="42"/>
      <c r="E1659" s="42"/>
      <c r="F1659" s="48" t="str">
        <f>IFERROR(__xludf.DUMMYFUNCTION("""COMPUTED_VALUE"""),"")</f>
        <v/>
      </c>
      <c r="G1659" s="42" t="str">
        <f>IFERROR(__xludf.DUMMYFUNCTION("""COMPUTED_VALUE"""),"PENDAFTARAN PERPANJANGAN SK")</f>
        <v>PENDAFTARAN PERPANJANGAN SK</v>
      </c>
      <c r="H1659" s="42">
        <f t="shared" si="1"/>
        <v>770</v>
      </c>
    </row>
    <row r="1660" ht="22.5" customHeight="1">
      <c r="B1660" s="42" t="str">
        <f>IFERROR(__xludf.DUMMYFUNCTION("""COMPUTED_VALUE"""),"L/10/210125/1")</f>
        <v>L/10/210125/1</v>
      </c>
      <c r="C1660" s="42" t="str">
        <f>IFERROR(__xludf.DUMMYFUNCTION("""COMPUTED_VALUE"""),"HGB 3742/SUKARAME")</f>
        <v>HGB 3742/SUKARAME</v>
      </c>
      <c r="D1660" s="42" t="str">
        <f>IFERROR(__xludf.DUMMYFUNCTION("""COMPUTED_VALUE"""),"Berry")</f>
        <v>Berry</v>
      </c>
      <c r="E1660" s="42" t="str">
        <f>IFERROR(__xludf.DUMMYFUNCTION("""COMPUTED_VALUE"""),"DISERAHKAN")</f>
        <v>DISERAHKAN</v>
      </c>
      <c r="F1660" s="48">
        <f>IFERROR(__xludf.DUMMYFUNCTION("""COMPUTED_VALUE"""),45723.54664681713)</f>
        <v>45723.54665</v>
      </c>
      <c r="G1660" s="42" t="str">
        <f>IFERROR(__xludf.DUMMYFUNCTION("""COMPUTED_VALUE"""),"ROYA")</f>
        <v>ROYA</v>
      </c>
      <c r="H1660" s="42">
        <f t="shared" si="1"/>
        <v>771</v>
      </c>
    </row>
    <row r="1661" ht="22.5" customHeight="1">
      <c r="B1661" s="42" t="str">
        <f>IFERROR(__xludf.DUMMYFUNCTION("""COMPUTED_VALUE"""),"L/11/210125/1")</f>
        <v>L/11/210125/1</v>
      </c>
      <c r="C1661" s="42" t="str">
        <f>IFERROR(__xludf.DUMMYFUNCTION("""COMPUTED_VALUE"""),"HM 11336/JAGABAYA II (SHM TETANGGA)")</f>
        <v>HM 11336/JAGABAYA II (SHM TETANGGA)</v>
      </c>
      <c r="D1661" s="42"/>
      <c r="E1661" s="42"/>
      <c r="F1661" s="48" t="str">
        <f>IFERROR(__xludf.DUMMYFUNCTION("""COMPUTED_VALUE"""),"")</f>
        <v/>
      </c>
      <c r="G1661" s="42" t="str">
        <f>IFERROR(__xludf.DUMMYFUNCTION("""COMPUTED_VALUE"""),"SERTIPIKAT HILANG")</f>
        <v>SERTIPIKAT HILANG</v>
      </c>
      <c r="H1661" s="42">
        <f t="shared" si="1"/>
        <v>771</v>
      </c>
    </row>
    <row r="1662" ht="22.5" customHeight="1">
      <c r="B1662" s="42" t="str">
        <f>IFERROR(__xludf.DUMMYFUNCTION("""COMPUTED_VALUE"""),"K/12/210125/1")</f>
        <v>K/12/210125/1</v>
      </c>
      <c r="C1662" s="42" t="str">
        <f>IFERROR(__xludf.DUMMYFUNCTION("""COMPUTED_VALUE"""),"M. 2385/ Sukajawa")</f>
        <v>M. 2385/ Sukajawa</v>
      </c>
      <c r="D1662" s="42"/>
      <c r="E1662" s="42"/>
      <c r="F1662" s="48" t="str">
        <f>IFERROR(__xludf.DUMMYFUNCTION("""COMPUTED_VALUE"""),"")</f>
        <v/>
      </c>
      <c r="G1662" s="42" t="str">
        <f>IFERROR(__xludf.DUMMYFUNCTION("""COMPUTED_VALUE"""),"HAPUS BPHTB")</f>
        <v>HAPUS BPHTB</v>
      </c>
      <c r="H1662" s="42">
        <f t="shared" si="1"/>
        <v>771</v>
      </c>
    </row>
    <row r="1663" ht="22.5" customHeight="1">
      <c r="B1663" s="42" t="str">
        <f>IFERROR(__xludf.DUMMYFUNCTION("""COMPUTED_VALUE"""),"K/13/210125/1")</f>
        <v>K/13/210125/1</v>
      </c>
      <c r="C1663" s="42" t="str">
        <f>IFERROR(__xludf.DUMMYFUNCTION("""COMPUTED_VALUE"""),"B.2138/SUKARAME I")</f>
        <v>B.2138/SUKARAME I</v>
      </c>
      <c r="D1663" s="42" t="str">
        <f>IFERROR(__xludf.DUMMYFUNCTION("""COMPUTED_VALUE"""),"Berry")</f>
        <v>Berry</v>
      </c>
      <c r="E1663" s="42" t="str">
        <f>IFERROR(__xludf.DUMMYFUNCTION("""COMPUTED_VALUE"""),"DISERAHKAN")</f>
        <v>DISERAHKAN</v>
      </c>
      <c r="F1663" s="48">
        <f>IFERROR(__xludf.DUMMYFUNCTION("""COMPUTED_VALUE"""),45688.65969528935)</f>
        <v>45688.6597</v>
      </c>
      <c r="G1663" s="42" t="str">
        <f>IFERROR(__xludf.DUMMYFUNCTION("""COMPUTED_VALUE"""),"ROYA ")</f>
        <v>ROYA </v>
      </c>
      <c r="H1663" s="42">
        <f t="shared" si="1"/>
        <v>772</v>
      </c>
    </row>
    <row r="1664" ht="22.5" customHeight="1">
      <c r="B1664" s="42" t="str">
        <f>IFERROR(__xludf.DUMMYFUNCTION("""COMPUTED_VALUE"""),"K/14/210125/1")</f>
        <v>K/14/210125/1</v>
      </c>
      <c r="C1664" s="42" t="str">
        <f>IFERROR(__xludf.DUMMYFUNCTION("""COMPUTED_VALUE"""),"M. 2058/ Kangkung")</f>
        <v>M. 2058/ Kangkung</v>
      </c>
      <c r="D1664" s="42"/>
      <c r="E1664" s="42"/>
      <c r="F1664" s="48" t="str">
        <f>IFERROR(__xludf.DUMMYFUNCTION("""COMPUTED_VALUE"""),"")</f>
        <v/>
      </c>
      <c r="G1664" s="42" t="str">
        <f>IFERROR(__xludf.DUMMYFUNCTION("""COMPUTED_VALUE"""),"HAPUS BPHTB")</f>
        <v>HAPUS BPHTB</v>
      </c>
      <c r="H1664" s="42">
        <f t="shared" si="1"/>
        <v>772</v>
      </c>
    </row>
    <row r="1665" ht="22.5" customHeight="1">
      <c r="B1665" s="42" t="str">
        <f>IFERROR(__xludf.DUMMYFUNCTION("""COMPUTED_VALUE"""),"K/15/210125/2")</f>
        <v>K/15/210125/2</v>
      </c>
      <c r="C1665" s="42" t="str">
        <f>IFERROR(__xludf.DUMMYFUNCTION("""COMPUTED_VALUE"""),"M. 53/ Sukarame Baru")</f>
        <v>M. 53/ Sukarame Baru</v>
      </c>
      <c r="D1665" s="42" t="str">
        <f>IFERROR(__xludf.DUMMYFUNCTION("""COMPUTED_VALUE"""),"Berry")</f>
        <v>Berry</v>
      </c>
      <c r="E1665" s="42" t="str">
        <f>IFERROR(__xludf.DUMMYFUNCTION("""COMPUTED_VALUE"""),"DISERAHKAN")</f>
        <v>DISERAHKAN</v>
      </c>
      <c r="F1665" s="48">
        <f>IFERROR(__xludf.DUMMYFUNCTION("""COMPUTED_VALUE"""),45715.40232292824)</f>
        <v>45715.40232</v>
      </c>
      <c r="G1665" s="42" t="str">
        <f>IFERROR(__xludf.DUMMYFUNCTION("""COMPUTED_VALUE"""),"ROYA")</f>
        <v>ROYA</v>
      </c>
      <c r="H1665" s="42">
        <f t="shared" si="1"/>
        <v>773</v>
      </c>
    </row>
    <row r="1666" ht="22.5" customHeight="1">
      <c r="B1666" s="42" t="str">
        <f>IFERROR(__xludf.DUMMYFUNCTION("""COMPUTED_VALUE"""),"K/16/210125/1")</f>
        <v>K/16/210125/1</v>
      </c>
      <c r="C1666" s="42" t="str">
        <f>IFERROR(__xludf.DUMMYFUNCTION("""COMPUTED_VALUE"""),"M. 15949/ Sukarame")</f>
        <v>M. 15949/ Sukarame</v>
      </c>
      <c r="D1666" s="42" t="str">
        <f>IFERROR(__xludf.DUMMYFUNCTION("""COMPUTED_VALUE"""),"Berry")</f>
        <v>Berry</v>
      </c>
      <c r="E1666" s="42" t="str">
        <f>IFERROR(__xludf.DUMMYFUNCTION("""COMPUTED_VALUE"""),"DISERAHKAN")</f>
        <v>DISERAHKAN</v>
      </c>
      <c r="F1666" s="48">
        <f>IFERROR(__xludf.DUMMYFUNCTION("""COMPUTED_VALUE"""),45688.66066613426)</f>
        <v>45688.66067</v>
      </c>
      <c r="G1666" s="42" t="str">
        <f>IFERROR(__xludf.DUMMYFUNCTION("""COMPUTED_VALUE"""),"Roya")</f>
        <v>Roya</v>
      </c>
      <c r="H1666" s="42">
        <f t="shared" si="1"/>
        <v>774</v>
      </c>
    </row>
    <row r="1667" ht="22.5" customHeight="1">
      <c r="B1667" s="42" t="str">
        <f>IFERROR(__xludf.DUMMYFUNCTION("""COMPUTED_VALUE"""),"L/18/210125/1")</f>
        <v>L/18/210125/1</v>
      </c>
      <c r="C1667" s="42" t="str">
        <f>IFERROR(__xludf.DUMMYFUNCTION("""COMPUTED_VALUE"""),"BERINGIN RAYA")</f>
        <v>BERINGIN RAYA</v>
      </c>
      <c r="D1667" s="42"/>
      <c r="E1667" s="42"/>
      <c r="F1667" s="48" t="str">
        <f>IFERROR(__xludf.DUMMYFUNCTION("""COMPUTED_VALUE"""),"")</f>
        <v/>
      </c>
      <c r="G1667" s="42" t="str">
        <f>IFERROR(__xludf.DUMMYFUNCTION("""COMPUTED_VALUE"""),"PENDAFTARAN SK")</f>
        <v>PENDAFTARAN SK</v>
      </c>
      <c r="H1667" s="42">
        <f t="shared" si="1"/>
        <v>774</v>
      </c>
    </row>
    <row r="1668" ht="22.5" customHeight="1">
      <c r="B1668" s="42" t="str">
        <f>IFERROR(__xludf.DUMMYFUNCTION("""COMPUTED_VALUE"""),"L/19/210125/1")</f>
        <v>L/19/210125/1</v>
      </c>
      <c r="C1668" s="42" t="str">
        <f>IFERROR(__xludf.DUMMYFUNCTION("""COMPUTED_VALUE"""),"HM 1811/PENGAJARAN")</f>
        <v>HM 1811/PENGAJARAN</v>
      </c>
      <c r="D1668" s="42"/>
      <c r="E1668" s="42"/>
      <c r="F1668" s="48" t="str">
        <f>IFERROR(__xludf.DUMMYFUNCTION("""COMPUTED_VALUE"""),"")</f>
        <v/>
      </c>
      <c r="G1668" s="42" t="str">
        <f>IFERROR(__xludf.DUMMYFUNCTION("""COMPUTED_VALUE"""),"GANTI BLANGKO")</f>
        <v>GANTI BLANGKO</v>
      </c>
      <c r="H1668" s="42">
        <f t="shared" si="1"/>
        <v>774</v>
      </c>
    </row>
    <row r="1669" ht="22.5" customHeight="1">
      <c r="B1669" s="42" t="str">
        <f>IFERROR(__xludf.DUMMYFUNCTION("""COMPUTED_VALUE"""),"K/20/210125/1")</f>
        <v>K/20/210125/1</v>
      </c>
      <c r="C1669" s="42" t="str">
        <f>IFERROR(__xludf.DUMMYFUNCTION("""COMPUTED_VALUE"""),"NIBEL M. 3630/SUKADANA HAM")</f>
        <v>NIBEL M. 3630/SUKADANA HAM</v>
      </c>
      <c r="D1669" s="42"/>
      <c r="E1669" s="42"/>
      <c r="F1669" s="48" t="str">
        <f>IFERROR(__xludf.DUMMYFUNCTION("""COMPUTED_VALUE"""),"")</f>
        <v/>
      </c>
      <c r="G1669" s="42" t="str">
        <f>IFERROR(__xludf.DUMMYFUNCTION("""COMPUTED_VALUE"""),"PEMECAHAN")</f>
        <v>PEMECAHAN</v>
      </c>
      <c r="H1669" s="42">
        <f t="shared" si="1"/>
        <v>774</v>
      </c>
    </row>
    <row r="1670" ht="22.5" customHeight="1">
      <c r="B1670" s="42" t="str">
        <f>IFERROR(__xludf.DUMMYFUNCTION("""COMPUTED_VALUE"""),"L/21/210125/1")</f>
        <v>L/21/210125/1</v>
      </c>
      <c r="C1670" s="42" t="str">
        <f>IFERROR(__xludf.DUMMYFUNCTION("""COMPUTED_VALUE"""),"HM 12914/SUKARAME")</f>
        <v>HM 12914/SUKARAME</v>
      </c>
      <c r="D1670" s="42" t="str">
        <f>IFERROR(__xludf.DUMMYFUNCTION("""COMPUTED_VALUE"""),"Berry")</f>
        <v>Berry</v>
      </c>
      <c r="E1670" s="42" t="str">
        <f>IFERROR(__xludf.DUMMYFUNCTION("""COMPUTED_VALUE"""),"DISERAHKAN")</f>
        <v>DISERAHKAN</v>
      </c>
      <c r="F1670" s="48">
        <f>IFERROR(__xludf.DUMMYFUNCTION("""COMPUTED_VALUE"""),45688.661015509264)</f>
        <v>45688.66102</v>
      </c>
      <c r="G1670" s="42" t="str">
        <f>IFERROR(__xludf.DUMMYFUNCTION("""COMPUTED_VALUE"""),"ROYA")</f>
        <v>ROYA</v>
      </c>
      <c r="H1670" s="42">
        <f t="shared" si="1"/>
        <v>775</v>
      </c>
    </row>
    <row r="1671" ht="22.5" customHeight="1">
      <c r="B1671" s="42" t="str">
        <f>IFERROR(__xludf.DUMMYFUNCTION("""COMPUTED_VALUE"""),"L/22/210125/1")</f>
        <v>L/22/210125/1</v>
      </c>
      <c r="C1671" s="42" t="str">
        <f>IFERROR(__xludf.DUMMYFUNCTION("""COMPUTED_VALUE"""),"ENGGAL")</f>
        <v>ENGGAL</v>
      </c>
      <c r="D1671" s="42"/>
      <c r="E1671" s="42"/>
      <c r="F1671" s="48" t="str">
        <f>IFERROR(__xludf.DUMMYFUNCTION("""COMPUTED_VALUE"""),"")</f>
        <v/>
      </c>
      <c r="G1671" s="42" t="str">
        <f>IFERROR(__xludf.DUMMYFUNCTION("""COMPUTED_VALUE"""),"ASPEK")</f>
        <v>ASPEK</v>
      </c>
      <c r="H1671" s="42">
        <f t="shared" si="1"/>
        <v>775</v>
      </c>
    </row>
    <row r="1672" ht="22.5" customHeight="1">
      <c r="B1672" s="42" t="str">
        <f>IFERROR(__xludf.DUMMYFUNCTION("""COMPUTED_VALUE"""),"K/23/210125/1")</f>
        <v>K/23/210125/1</v>
      </c>
      <c r="C1672" s="42" t="str">
        <f>IFERROR(__xludf.DUMMYFUNCTION("""COMPUTED_VALUE"""),"Nibel 198/ Keteguhan")</f>
        <v>Nibel 198/ Keteguhan</v>
      </c>
      <c r="D1672" s="42"/>
      <c r="E1672" s="42"/>
      <c r="F1672" s="48" t="str">
        <f>IFERROR(__xludf.DUMMYFUNCTION("""COMPUTED_VALUE"""),"")</f>
        <v/>
      </c>
      <c r="G1672" s="42" t="str">
        <f>IFERROR(__xludf.DUMMYFUNCTION("""COMPUTED_VALUE"""),"PERUBAHAN HAK")</f>
        <v>PERUBAHAN HAK</v>
      </c>
      <c r="H1672" s="42">
        <f t="shared" si="1"/>
        <v>775</v>
      </c>
    </row>
    <row r="1673" ht="22.5" customHeight="1">
      <c r="B1673" s="42" t="str">
        <f>IFERROR(__xludf.DUMMYFUNCTION("""COMPUTED_VALUE"""),"L/25/210125/1")</f>
        <v>L/25/210125/1</v>
      </c>
      <c r="C1673" s="42" t="str">
        <f>IFERROR(__xludf.DUMMYFUNCTION("""COMPUTED_VALUE"""),"HGB 337/BERINGIN JAYA")</f>
        <v>HGB 337/BERINGIN JAYA</v>
      </c>
      <c r="D1673" s="42" t="str">
        <f>IFERROR(__xludf.DUMMYFUNCTION("""COMPUTED_VALUE"""),"Berry")</f>
        <v>Berry</v>
      </c>
      <c r="E1673" s="42" t="str">
        <f>IFERROR(__xludf.DUMMYFUNCTION("""COMPUTED_VALUE"""),"DISERAHKAN BT")</f>
        <v>DISERAHKAN BT</v>
      </c>
      <c r="F1673" s="48">
        <f>IFERROR(__xludf.DUMMYFUNCTION("""COMPUTED_VALUE"""),45720.56586980324)</f>
        <v>45720.56587</v>
      </c>
      <c r="G1673" s="42" t="str">
        <f>IFERROR(__xludf.DUMMYFUNCTION("""COMPUTED_VALUE"""),"ROYA WARIS")</f>
        <v>ROYA WARIS</v>
      </c>
      <c r="H1673" s="42">
        <f t="shared" si="1"/>
        <v>775</v>
      </c>
    </row>
    <row r="1674" ht="22.5" customHeight="1">
      <c r="B1674" s="42" t="str">
        <f>IFERROR(__xludf.DUMMYFUNCTION("""COMPUTED_VALUE"""),"K/24/210125/2")</f>
        <v>K/24/210125/2</v>
      </c>
      <c r="C1674" s="42" t="str">
        <f>IFERROR(__xludf.DUMMYFUNCTION("""COMPUTED_VALUE"""),"Nibel 205/ Keteguhan")</f>
        <v>Nibel 205/ Keteguhan</v>
      </c>
      <c r="D1674" s="42"/>
      <c r="E1674" s="42"/>
      <c r="F1674" s="48" t="str">
        <f>IFERROR(__xludf.DUMMYFUNCTION("""COMPUTED_VALUE"""),"")</f>
        <v/>
      </c>
      <c r="G1674" s="42" t="str">
        <f>IFERROR(__xludf.DUMMYFUNCTION("""COMPUTED_VALUE"""),"PERUBAHAN HAK")</f>
        <v>PERUBAHAN HAK</v>
      </c>
      <c r="H1674" s="42">
        <f t="shared" si="1"/>
        <v>775</v>
      </c>
    </row>
    <row r="1675" ht="22.5" customHeight="1">
      <c r="B1675" s="42" t="str">
        <f>IFERROR(__xludf.DUMMYFUNCTION("""COMPUTED_VALUE"""),"K/26/210125/1")</f>
        <v>K/26/210125/1</v>
      </c>
      <c r="C1675" s="42" t="str">
        <f>IFERROR(__xludf.DUMMYFUNCTION("""COMPUTED_VALUE"""),"M.1355/BATU PUTUK")</f>
        <v>M.1355/BATU PUTUK</v>
      </c>
      <c r="D1675" s="42"/>
      <c r="E1675" s="42"/>
      <c r="F1675" s="48" t="str">
        <f>IFERROR(__xludf.DUMMYFUNCTION("""COMPUTED_VALUE"""),"")</f>
        <v/>
      </c>
      <c r="G1675" s="42" t="str">
        <f>IFERROR(__xludf.DUMMYFUNCTION("""COMPUTED_VALUE"""),"HAPUS BPHTB")</f>
        <v>HAPUS BPHTB</v>
      </c>
      <c r="H1675" s="42">
        <f t="shared" si="1"/>
        <v>775</v>
      </c>
    </row>
    <row r="1676" ht="22.5" customHeight="1">
      <c r="B1676" s="42" t="str">
        <f>IFERROR(__xludf.DUMMYFUNCTION("""COMPUTED_VALUE"""),"L/28/210125/1")</f>
        <v>L/28/210125/1</v>
      </c>
      <c r="C1676" s="42" t="str">
        <f>IFERROR(__xludf.DUMMYFUNCTION("""COMPUTED_VALUE"""),"LABUHAN DALAM")</f>
        <v>LABUHAN DALAM</v>
      </c>
      <c r="D1676" s="42"/>
      <c r="E1676" s="42"/>
      <c r="F1676" s="48" t="str">
        <f>IFERROR(__xludf.DUMMYFUNCTION("""COMPUTED_VALUE"""),"")</f>
        <v/>
      </c>
      <c r="G1676" s="42" t="str">
        <f>IFERROR(__xludf.DUMMYFUNCTION("""COMPUTED_VALUE"""),"PENDAFTARAN SK")</f>
        <v>PENDAFTARAN SK</v>
      </c>
      <c r="H1676" s="42">
        <f t="shared" si="1"/>
        <v>775</v>
      </c>
    </row>
    <row r="1677" ht="22.5" customHeight="1">
      <c r="B1677" s="42" t="str">
        <f>IFERROR(__xludf.DUMMYFUNCTION("""COMPUTED_VALUE"""),"L/29/210125/2")</f>
        <v>L/29/210125/2</v>
      </c>
      <c r="C1677" s="42" t="str">
        <f>IFERROR(__xludf.DUMMYFUNCTION("""COMPUTED_VALUE"""),"LABUHAN DALAM")</f>
        <v>LABUHAN DALAM</v>
      </c>
      <c r="D1677" s="42"/>
      <c r="E1677" s="42"/>
      <c r="F1677" s="48" t="str">
        <f>IFERROR(__xludf.DUMMYFUNCTION("""COMPUTED_VALUE"""),"")</f>
        <v/>
      </c>
      <c r="G1677" s="42" t="str">
        <f>IFERROR(__xludf.DUMMYFUNCTION("""COMPUTED_VALUE"""),"PENDAFTARAN SK")</f>
        <v>PENDAFTARAN SK</v>
      </c>
      <c r="H1677" s="42">
        <f t="shared" si="1"/>
        <v>775</v>
      </c>
    </row>
    <row r="1678" ht="22.5" customHeight="1">
      <c r="B1678" s="42" t="str">
        <f>IFERROR(__xludf.DUMMYFUNCTION("""COMPUTED_VALUE"""),"K/30/210125/1")</f>
        <v>K/30/210125/1</v>
      </c>
      <c r="C1678" s="42" t="str">
        <f>IFERROR(__xludf.DUMMYFUNCTION("""COMPUTED_VALUE"""),"N.672/PERUMNAS WAY KANDIS")</f>
        <v>N.672/PERUMNAS WAY KANDIS</v>
      </c>
      <c r="D1678" s="42"/>
      <c r="E1678" s="42"/>
      <c r="F1678" s="48" t="str">
        <f>IFERROR(__xludf.DUMMYFUNCTION("""COMPUTED_VALUE"""),"")</f>
        <v/>
      </c>
      <c r="G1678" s="42" t="str">
        <f>IFERROR(__xludf.DUMMYFUNCTION("""COMPUTED_VALUE"""),"PTPGT")</f>
        <v>PTPGT</v>
      </c>
      <c r="H1678" s="42">
        <f t="shared" si="1"/>
        <v>775</v>
      </c>
    </row>
    <row r="1679" ht="22.5" customHeight="1">
      <c r="B1679" s="42" t="str">
        <f>IFERROR(__xludf.DUMMYFUNCTION("""COMPUTED_VALUE"""),"K/31/210125/1")</f>
        <v>K/31/210125/1</v>
      </c>
      <c r="C1679" s="42" t="str">
        <f>IFERROR(__xludf.DUMMYFUNCTION("""COMPUTED_VALUE"""),"M. 213/ Nusantara Permai")</f>
        <v>M. 213/ Nusantara Permai</v>
      </c>
      <c r="D1679" s="42" t="str">
        <f>IFERROR(__xludf.DUMMYFUNCTION("""COMPUTED_VALUE"""),"Berry")</f>
        <v>Berry</v>
      </c>
      <c r="E1679" s="42" t="str">
        <f>IFERROR(__xludf.DUMMYFUNCTION("""COMPUTED_VALUE"""),"DISERAHKAN")</f>
        <v>DISERAHKAN</v>
      </c>
      <c r="F1679" s="48">
        <f>IFERROR(__xludf.DUMMYFUNCTION("""COMPUTED_VALUE"""),45700.589685115745)</f>
        <v>45700.58969</v>
      </c>
      <c r="G1679" s="42" t="str">
        <f>IFERROR(__xludf.DUMMYFUNCTION("""COMPUTED_VALUE"""),"ROYA")</f>
        <v>ROYA</v>
      </c>
      <c r="H1679" s="42">
        <f t="shared" si="1"/>
        <v>776</v>
      </c>
    </row>
    <row r="1680" ht="22.5" customHeight="1">
      <c r="B1680" s="42" t="str">
        <f>IFERROR(__xludf.DUMMYFUNCTION("""COMPUTED_VALUE"""),"K/32/210125/2")</f>
        <v>K/32/210125/2</v>
      </c>
      <c r="C1680" s="42" t="str">
        <f>IFERROR(__xludf.DUMMYFUNCTION("""COMPUTED_VALUE"""),"M. 9592/ Rajabasa")</f>
        <v>M. 9592/ Rajabasa</v>
      </c>
      <c r="D1680" s="42" t="str">
        <f>IFERROR(__xludf.DUMMYFUNCTION("""COMPUTED_VALUE"""),"Berry")</f>
        <v>Berry</v>
      </c>
      <c r="E1680" s="42" t="str">
        <f>IFERROR(__xludf.DUMMYFUNCTION("""COMPUTED_VALUE"""),"DISERAHKAN")</f>
        <v>DISERAHKAN</v>
      </c>
      <c r="F1680" s="48">
        <f>IFERROR(__xludf.DUMMYFUNCTION("""COMPUTED_VALUE"""),45691.45721015046)</f>
        <v>45691.45721</v>
      </c>
      <c r="G1680" s="42" t="str">
        <f>IFERROR(__xludf.DUMMYFUNCTION("""COMPUTED_VALUE"""),"BN JUAL BELI")</f>
        <v>BN JUAL BELI</v>
      </c>
      <c r="H1680" s="42">
        <f t="shared" si="1"/>
        <v>777</v>
      </c>
    </row>
    <row r="1681" ht="22.5" customHeight="1">
      <c r="B1681" s="42" t="str">
        <f>IFERROR(__xludf.DUMMYFUNCTION("""COMPUTED_VALUE"""),"K/33/210125/3")</f>
        <v>K/33/210125/3</v>
      </c>
      <c r="C1681" s="42" t="str">
        <f>IFERROR(__xludf.DUMMYFUNCTION("""COMPUTED_VALUE"""),"M. 732/ Sukarame II")</f>
        <v>M. 732/ Sukarame II</v>
      </c>
      <c r="D1681" s="42" t="str">
        <f>IFERROR(__xludf.DUMMYFUNCTION("""COMPUTED_VALUE"""),"Berry")</f>
        <v>Berry</v>
      </c>
      <c r="E1681" s="42" t="str">
        <f>IFERROR(__xludf.DUMMYFUNCTION("""COMPUTED_VALUE"""),"DISERAHKAN")</f>
        <v>DISERAHKAN</v>
      </c>
      <c r="F1681" s="48">
        <f>IFERROR(__xludf.DUMMYFUNCTION("""COMPUTED_VALUE"""),45695.46057052084)</f>
        <v>45695.46057</v>
      </c>
      <c r="G1681" s="42" t="str">
        <f>IFERROR(__xludf.DUMMYFUNCTION("""COMPUTED_VALUE"""),"BN JUAL BELI")</f>
        <v>BN JUAL BELI</v>
      </c>
      <c r="H1681" s="42">
        <f t="shared" si="1"/>
        <v>778</v>
      </c>
    </row>
    <row r="1682" ht="22.5" customHeight="1">
      <c r="B1682" s="42" t="str">
        <f>IFERROR(__xludf.DUMMYFUNCTION("""COMPUTED_VALUE"""),"L/34/210125/1")</f>
        <v>L/34/210125/1</v>
      </c>
      <c r="C1682" s="42" t="str">
        <f>IFERROR(__xludf.DUMMYFUNCTION("""COMPUTED_VALUE"""),"NIB 1222/KETEGUHAN")</f>
        <v>NIB 1222/KETEGUHAN</v>
      </c>
      <c r="D1682" s="42"/>
      <c r="E1682" s="42"/>
      <c r="F1682" s="48" t="str">
        <f>IFERROR(__xludf.DUMMYFUNCTION("""COMPUTED_VALUE"""),"")</f>
        <v/>
      </c>
      <c r="G1682" s="42" t="str">
        <f>IFERROR(__xludf.DUMMYFUNCTION("""COMPUTED_VALUE"""),"PH")</f>
        <v>PH</v>
      </c>
      <c r="H1682" s="42">
        <f t="shared" si="1"/>
        <v>778</v>
      </c>
    </row>
    <row r="1683" ht="22.5" customHeight="1">
      <c r="B1683" s="42" t="str">
        <f>IFERROR(__xludf.DUMMYFUNCTION("""COMPUTED_VALUE"""),"K/35/210125/1")</f>
        <v>K/35/210125/1</v>
      </c>
      <c r="C1683" s="42" t="str">
        <f>IFERROR(__xludf.DUMMYFUNCTION("""COMPUTED_VALUE"""),"M.3316/SUKADANA HAM")</f>
        <v>M.3316/SUKADANA HAM</v>
      </c>
      <c r="D1683" s="42"/>
      <c r="E1683" s="42"/>
      <c r="F1683" s="48" t="str">
        <f>IFERROR(__xludf.DUMMYFUNCTION("""COMPUTED_VALUE"""),"")</f>
        <v/>
      </c>
      <c r="G1683" s="42" t="str">
        <f>IFERROR(__xludf.DUMMYFUNCTION("""COMPUTED_VALUE"""),"HAPUS BPHTB")</f>
        <v>HAPUS BPHTB</v>
      </c>
      <c r="H1683" s="42">
        <f t="shared" si="1"/>
        <v>778</v>
      </c>
    </row>
    <row r="1684" ht="22.5" customHeight="1">
      <c r="B1684" s="42" t="str">
        <f>IFERROR(__xludf.DUMMYFUNCTION("""COMPUTED_VALUE"""),"K/36/210125/1")</f>
        <v>K/36/210125/1</v>
      </c>
      <c r="C1684" s="42" t="str">
        <f>IFERROR(__xludf.DUMMYFUNCTION("""COMPUTED_VALUE"""),"Nibel 6774/ Langkapura")</f>
        <v>Nibel 6774/ Langkapura</v>
      </c>
      <c r="D1684" s="42"/>
      <c r="E1684" s="42"/>
      <c r="F1684" s="48" t="str">
        <f>IFERROR(__xludf.DUMMYFUNCTION("""COMPUTED_VALUE"""),"")</f>
        <v/>
      </c>
      <c r="G1684" s="42" t="str">
        <f>IFERROR(__xludf.DUMMYFUNCTION("""COMPUTED_VALUE"""),"PTPGT PEMECAHAN")</f>
        <v>PTPGT PEMECAHAN</v>
      </c>
      <c r="H1684" s="42">
        <f t="shared" si="1"/>
        <v>778</v>
      </c>
    </row>
    <row r="1685" ht="22.5" customHeight="1">
      <c r="B1685" s="42" t="str">
        <f>IFERROR(__xludf.DUMMYFUNCTION("""COMPUTED_VALUE"""),"K/17/210125/1")</f>
        <v>K/17/210125/1</v>
      </c>
      <c r="C1685" s="42" t="str">
        <f>IFERROR(__xludf.DUMMYFUNCTION("""COMPUTED_VALUE"""),"M. 1422/ K B K")</f>
        <v>M. 1422/ K B K</v>
      </c>
      <c r="D1685" s="42"/>
      <c r="E1685" s="42"/>
      <c r="F1685" s="48" t="str">
        <f>IFERROR(__xludf.DUMMYFUNCTION("""COMPUTED_VALUE"""),"")</f>
        <v/>
      </c>
      <c r="G1685" s="42" t="str">
        <f>IFERROR(__xludf.DUMMYFUNCTION("""COMPUTED_VALUE"""),"PTPGT (Pemecahan)")</f>
        <v>PTPGT (Pemecahan)</v>
      </c>
      <c r="H1685" s="42">
        <f t="shared" si="1"/>
        <v>778</v>
      </c>
    </row>
    <row r="1686" ht="22.5" customHeight="1">
      <c r="B1686" s="42" t="str">
        <f>IFERROR(__xludf.DUMMYFUNCTION("""COMPUTED_VALUE"""),"K/1/220125/1")</f>
        <v>K/1/220125/1</v>
      </c>
      <c r="C1686" s="42" t="str">
        <f>IFERROR(__xludf.DUMMYFUNCTION("""COMPUTED_VALUE"""),"M. 1104/ Sukabumi Indah")</f>
        <v>M. 1104/ Sukabumi Indah</v>
      </c>
      <c r="D1686" s="42" t="str">
        <f>IFERROR(__xludf.DUMMYFUNCTION("""COMPUTED_VALUE"""),"Berry")</f>
        <v>Berry</v>
      </c>
      <c r="E1686" s="42" t="str">
        <f>IFERROR(__xludf.DUMMYFUNCTION("""COMPUTED_VALUE"""),"DISERAHKAN")</f>
        <v>DISERAHKAN</v>
      </c>
      <c r="F1686" s="48">
        <f>IFERROR(__xludf.DUMMYFUNCTION("""COMPUTED_VALUE"""),45734.442972268516)</f>
        <v>45734.44297</v>
      </c>
      <c r="G1686" s="42" t="str">
        <f>IFERROR(__xludf.DUMMYFUNCTION("""COMPUTED_VALUE"""),"Roya")</f>
        <v>Roya</v>
      </c>
      <c r="H1686" s="42">
        <f t="shared" si="1"/>
        <v>779</v>
      </c>
    </row>
    <row r="1687" ht="22.5" customHeight="1">
      <c r="B1687" s="42" t="str">
        <f>IFERROR(__xludf.DUMMYFUNCTION("""COMPUTED_VALUE"""),"L/2/220125/1")</f>
        <v>L/2/220125/1</v>
      </c>
      <c r="C1687" s="42" t="str">
        <f>IFERROR(__xludf.DUMMYFUNCTION("""COMPUTED_VALUE"""),"HM 13435/SEGALA MIDER")</f>
        <v>HM 13435/SEGALA MIDER</v>
      </c>
      <c r="D1687" s="42" t="str">
        <f>IFERROR(__xludf.DUMMYFUNCTION("""COMPUTED_VALUE"""),"Berry")</f>
        <v>Berry</v>
      </c>
      <c r="E1687" s="42" t="str">
        <f>IFERROR(__xludf.DUMMYFUNCTION("""COMPUTED_VALUE"""),"DISERAHKAN")</f>
        <v>DISERAHKAN</v>
      </c>
      <c r="F1687" s="48">
        <f>IFERROR(__xludf.DUMMYFUNCTION("""COMPUTED_VALUE"""),45688.662398472225)</f>
        <v>45688.6624</v>
      </c>
      <c r="G1687" s="42" t="str">
        <f>IFERROR(__xludf.DUMMYFUNCTION("""COMPUTED_VALUE"""),"BN WARIS")</f>
        <v>BN WARIS</v>
      </c>
      <c r="H1687" s="42">
        <f t="shared" si="1"/>
        <v>780</v>
      </c>
    </row>
    <row r="1688" ht="22.5" customHeight="1">
      <c r="B1688" s="42" t="str">
        <f>IFERROR(__xludf.DUMMYFUNCTION("""COMPUTED_VALUE"""),"L/3/220125/1")</f>
        <v>L/3/220125/1</v>
      </c>
      <c r="C1688" s="42" t="str">
        <f>IFERROR(__xludf.DUMMYFUNCTION("""COMPUTED_VALUE"""),"HM 1558/SRENGSEM")</f>
        <v>HM 1558/SRENGSEM</v>
      </c>
      <c r="D1688" s="42" t="str">
        <f>IFERROR(__xludf.DUMMYFUNCTION("""COMPUTED_VALUE"""),"Berry")</f>
        <v>Berry</v>
      </c>
      <c r="E1688" s="42" t="str">
        <f>IFERROR(__xludf.DUMMYFUNCTION("""COMPUTED_VALUE"""),"DISERAHKAN")</f>
        <v>DISERAHKAN</v>
      </c>
      <c r="F1688" s="48">
        <f>IFERROR(__xludf.DUMMYFUNCTION("""COMPUTED_VALUE"""),45688.66275766204)</f>
        <v>45688.66276</v>
      </c>
      <c r="G1688" s="42" t="str">
        <f>IFERROR(__xludf.DUMMYFUNCTION("""COMPUTED_VALUE"""),"BN WARIS")</f>
        <v>BN WARIS</v>
      </c>
      <c r="H1688" s="42">
        <f t="shared" si="1"/>
        <v>781</v>
      </c>
    </row>
    <row r="1689" ht="22.5" customHeight="1">
      <c r="B1689" s="42" t="str">
        <f>IFERROR(__xludf.DUMMYFUNCTION("""COMPUTED_VALUE"""),"K/8/220125/1")</f>
        <v>K/8/220125/1</v>
      </c>
      <c r="C1689" s="42" t="str">
        <f>IFERROR(__xludf.DUMMYFUNCTION("""COMPUTED_VALUE"""),"M.926/RAJABASA PEMUKA")</f>
        <v>M.926/RAJABASA PEMUKA</v>
      </c>
      <c r="D1689" s="42"/>
      <c r="E1689" s="42"/>
      <c r="F1689" s="48" t="str">
        <f>IFERROR(__xludf.DUMMYFUNCTION("""COMPUTED_VALUE"""),"")</f>
        <v/>
      </c>
      <c r="G1689" s="42" t="str">
        <f>IFERROR(__xludf.DUMMYFUNCTION("""COMPUTED_VALUE"""),"HAPUS BPHTB")</f>
        <v>HAPUS BPHTB</v>
      </c>
      <c r="H1689" s="42">
        <f t="shared" si="1"/>
        <v>781</v>
      </c>
    </row>
    <row r="1690" ht="22.5" customHeight="1">
      <c r="B1690" s="42" t="str">
        <f>IFERROR(__xludf.DUMMYFUNCTION("""COMPUTED_VALUE"""),"L/4/220125/2")</f>
        <v>L/4/220125/2</v>
      </c>
      <c r="C1690" s="42" t="str">
        <f>IFERROR(__xludf.DUMMYFUNCTION("""COMPUTED_VALUE"""),"HM 1558/SRENGSEM")</f>
        <v>HM 1558/SRENGSEM</v>
      </c>
      <c r="D1690" s="42" t="str">
        <f>IFERROR(__xludf.DUMMYFUNCTION("""COMPUTED_VALUE"""),"Berry")</f>
        <v>Berry</v>
      </c>
      <c r="E1690" s="42" t="str">
        <f>IFERROR(__xludf.DUMMYFUNCTION("""COMPUTED_VALUE"""),"DISERAHKAN")</f>
        <v>DISERAHKAN</v>
      </c>
      <c r="F1690" s="48">
        <f>IFERROR(__xludf.DUMMYFUNCTION("""COMPUTED_VALUE"""),45688.66291565972)</f>
        <v>45688.66292</v>
      </c>
      <c r="G1690" s="42" t="str">
        <f>IFERROR(__xludf.DUMMYFUNCTION("""COMPUTED_VALUE"""),"BN WARIS")</f>
        <v>BN WARIS</v>
      </c>
      <c r="H1690" s="42">
        <f t="shared" si="1"/>
        <v>782</v>
      </c>
    </row>
    <row r="1691" ht="22.5" customHeight="1">
      <c r="B1691" s="42" t="str">
        <f>IFERROR(__xludf.DUMMYFUNCTION("""COMPUTED_VALUE"""),"L/5/220125/3")</f>
        <v>L/5/220125/3</v>
      </c>
      <c r="C1691" s="42" t="str">
        <f>IFERROR(__xludf.DUMMYFUNCTION("""COMPUTED_VALUE"""),"HM 1559/SRENGSEM")</f>
        <v>HM 1559/SRENGSEM</v>
      </c>
      <c r="D1691" s="42" t="str">
        <f>IFERROR(__xludf.DUMMYFUNCTION("""COMPUTED_VALUE"""),"Berry")</f>
        <v>Berry</v>
      </c>
      <c r="E1691" s="42" t="str">
        <f>IFERROR(__xludf.DUMMYFUNCTION("""COMPUTED_VALUE"""),"DISERAHKAN")</f>
        <v>DISERAHKAN</v>
      </c>
      <c r="F1691" s="48">
        <f>IFERROR(__xludf.DUMMYFUNCTION("""COMPUTED_VALUE"""),45688.66321648148)</f>
        <v>45688.66322</v>
      </c>
      <c r="G1691" s="42" t="str">
        <f>IFERROR(__xludf.DUMMYFUNCTION("""COMPUTED_VALUE"""),"BN WARIS")</f>
        <v>BN WARIS</v>
      </c>
      <c r="H1691" s="42">
        <f t="shared" si="1"/>
        <v>783</v>
      </c>
    </row>
    <row r="1692" ht="22.5" customHeight="1">
      <c r="B1692" s="42" t="str">
        <f>IFERROR(__xludf.DUMMYFUNCTION("""COMPUTED_VALUE"""),"K/9/220125/1")</f>
        <v>K/9/220125/1</v>
      </c>
      <c r="C1692" s="42" t="str">
        <f>IFERROR(__xludf.DUMMYFUNCTION("""COMPUTED_VALUE"""),"Nibel 17386/ Tanjung Senang")</f>
        <v>Nibel 17386/ Tanjung Senang</v>
      </c>
      <c r="D1692" s="42"/>
      <c r="E1692" s="42"/>
      <c r="F1692" s="48" t="str">
        <f>IFERROR(__xludf.DUMMYFUNCTION("""COMPUTED_VALUE"""),"")</f>
        <v/>
      </c>
      <c r="G1692" s="42" t="str">
        <f>IFERROR(__xludf.DUMMYFUNCTION("""COMPUTED_VALUE"""),"BN LELANG")</f>
        <v>BN LELANG</v>
      </c>
      <c r="H1692" s="42">
        <f t="shared" si="1"/>
        <v>783</v>
      </c>
    </row>
    <row r="1693" ht="22.5" customHeight="1">
      <c r="B1693" s="42" t="str">
        <f>IFERROR(__xludf.DUMMYFUNCTION("""COMPUTED_VALUE"""),"L/6/220125/4")</f>
        <v>L/6/220125/4</v>
      </c>
      <c r="C1693" s="42" t="str">
        <f>IFERROR(__xludf.DUMMYFUNCTION("""COMPUTED_VALUE"""),"HM 1173/SRENGSEM")</f>
        <v>HM 1173/SRENGSEM</v>
      </c>
      <c r="D1693" s="42" t="str">
        <f>IFERROR(__xludf.DUMMYFUNCTION("""COMPUTED_VALUE"""),"Berry")</f>
        <v>Berry</v>
      </c>
      <c r="E1693" s="42" t="str">
        <f>IFERROR(__xludf.DUMMYFUNCTION("""COMPUTED_VALUE"""),"DISERAHKAN")</f>
        <v>DISERAHKAN</v>
      </c>
      <c r="F1693" s="48">
        <f>IFERROR(__xludf.DUMMYFUNCTION("""COMPUTED_VALUE"""),45688.663535706015)</f>
        <v>45688.66354</v>
      </c>
      <c r="G1693" s="42" t="str">
        <f>IFERROR(__xludf.DUMMYFUNCTION("""COMPUTED_VALUE"""),"BN WARIS")</f>
        <v>BN WARIS</v>
      </c>
      <c r="H1693" s="42">
        <f t="shared" si="1"/>
        <v>784</v>
      </c>
    </row>
    <row r="1694" ht="22.5" customHeight="1">
      <c r="B1694" s="42" t="str">
        <f>IFERROR(__xludf.DUMMYFUNCTION("""COMPUTED_VALUE"""),"K/12/220125/3")</f>
        <v>K/12/220125/3</v>
      </c>
      <c r="C1694" s="42" t="str">
        <f>IFERROR(__xludf.DUMMYFUNCTION("""COMPUTED_VALUE"""),"M. 11676/ Tanjung Baru")</f>
        <v>M. 11676/ Tanjung Baru</v>
      </c>
      <c r="D1694" s="42" t="str">
        <f>IFERROR(__xludf.DUMMYFUNCTION("""COMPUTED_VALUE"""),"Berry")</f>
        <v>Berry</v>
      </c>
      <c r="E1694" s="42" t="str">
        <f>IFERROR(__xludf.DUMMYFUNCTION("""COMPUTED_VALUE"""),"PROSES")</f>
        <v>PROSES</v>
      </c>
      <c r="F1694" s="48" t="str">
        <f>IFERROR(__xludf.DUMMYFUNCTION("""COMPUTED_VALUE"""),"")</f>
        <v/>
      </c>
      <c r="G1694" s="42" t="str">
        <f>IFERROR(__xludf.DUMMYFUNCTION("""COMPUTED_VALUE"""),"Roya")</f>
        <v>Roya</v>
      </c>
      <c r="H1694" s="42">
        <f t="shared" si="1"/>
        <v>784</v>
      </c>
    </row>
    <row r="1695" ht="22.5" customHeight="1">
      <c r="B1695" s="42" t="str">
        <f>IFERROR(__xludf.DUMMYFUNCTION("""COMPUTED_VALUE"""),"K/13/220125/1")</f>
        <v>K/13/220125/1</v>
      </c>
      <c r="C1695" s="42" t="str">
        <f>IFERROR(__xludf.DUMMYFUNCTION("""COMPUTED_VALUE"""),"B.204/SURABAYA")</f>
        <v>B.204/SURABAYA</v>
      </c>
      <c r="D1695" s="42"/>
      <c r="E1695" s="42"/>
      <c r="F1695" s="48" t="str">
        <f>IFERROR(__xludf.DUMMYFUNCTION("""COMPUTED_VALUE"""),"")</f>
        <v/>
      </c>
      <c r="G1695" s="42" t="str">
        <f>IFERROR(__xludf.DUMMYFUNCTION("""COMPUTED_VALUE"""),"PTPGT")</f>
        <v>PTPGT</v>
      </c>
      <c r="H1695" s="42">
        <f t="shared" si="1"/>
        <v>784</v>
      </c>
    </row>
    <row r="1696" ht="22.5" customHeight="1">
      <c r="B1696" s="42" t="str">
        <f>IFERROR(__xludf.DUMMYFUNCTION("""COMPUTED_VALUE"""),"K/11/220125/2")</f>
        <v>K/11/220125/2</v>
      </c>
      <c r="C1696" s="42" t="str">
        <f>IFERROR(__xludf.DUMMYFUNCTION("""COMPUTED_VALUE"""),"M. 12003/ Tanjung Baru")</f>
        <v>M. 12003/ Tanjung Baru</v>
      </c>
      <c r="D1696" s="42" t="str">
        <f>IFERROR(__xludf.DUMMYFUNCTION("""COMPUTED_VALUE"""),"Berry")</f>
        <v>Berry</v>
      </c>
      <c r="E1696" s="42" t="str">
        <f>IFERROR(__xludf.DUMMYFUNCTION("""COMPUTED_VALUE"""),"DISERAHKAN")</f>
        <v>DISERAHKAN</v>
      </c>
      <c r="F1696" s="48">
        <f>IFERROR(__xludf.DUMMYFUNCTION("""COMPUTED_VALUE"""),45688.66407104167)</f>
        <v>45688.66407</v>
      </c>
      <c r="G1696" s="42" t="str">
        <f>IFERROR(__xludf.DUMMYFUNCTION("""COMPUTED_VALUE"""),"Roya")</f>
        <v>Roya</v>
      </c>
      <c r="H1696" s="42">
        <f t="shared" si="1"/>
        <v>785</v>
      </c>
    </row>
    <row r="1697" ht="22.5" customHeight="1">
      <c r="B1697" s="42" t="str">
        <f>IFERROR(__xludf.DUMMYFUNCTION("""COMPUTED_VALUE"""),"K/10/220125/1")</f>
        <v>K/10/220125/1</v>
      </c>
      <c r="C1697" s="42" t="str">
        <f>IFERROR(__xludf.DUMMYFUNCTION("""COMPUTED_VALUE"""),"M. 495/ Pesawahan")</f>
        <v>M. 495/ Pesawahan</v>
      </c>
      <c r="D1697" s="42" t="str">
        <f>IFERROR(__xludf.DUMMYFUNCTION("""COMPUTED_VALUE"""),"Berry")</f>
        <v>Berry</v>
      </c>
      <c r="E1697" s="42" t="str">
        <f>IFERROR(__xludf.DUMMYFUNCTION("""COMPUTED_VALUE"""),"DISERAHKAN BT")</f>
        <v>DISERAHKAN BT</v>
      </c>
      <c r="F1697" s="48">
        <f>IFERROR(__xludf.DUMMYFUNCTION("""COMPUTED_VALUE"""),45730.60725078704)</f>
        <v>45730.60725</v>
      </c>
      <c r="G1697" s="42" t="str">
        <f>IFERROR(__xludf.DUMMYFUNCTION("""COMPUTED_VALUE"""),"Roya")</f>
        <v>Roya</v>
      </c>
      <c r="H1697" s="42">
        <f t="shared" si="1"/>
        <v>785</v>
      </c>
    </row>
    <row r="1698" ht="22.5" customHeight="1">
      <c r="B1698" s="42" t="str">
        <f>IFERROR(__xludf.DUMMYFUNCTION("""COMPUTED_VALUE"""),"L/14/220125/1")</f>
        <v>L/14/220125/1</v>
      </c>
      <c r="C1698" s="42" t="str">
        <f>IFERROR(__xludf.DUMMYFUNCTION("""COMPUTED_VALUE"""),"HM 353/BERINGIN RAYA")</f>
        <v>HM 353/BERINGIN RAYA</v>
      </c>
      <c r="D1698" s="42"/>
      <c r="E1698" s="42"/>
      <c r="F1698" s="48" t="str">
        <f>IFERROR(__xludf.DUMMYFUNCTION("""COMPUTED_VALUE"""),"")</f>
        <v/>
      </c>
      <c r="G1698" s="42" t="str">
        <f>IFERROR(__xludf.DUMMYFUNCTION("""COMPUTED_VALUE"""),"GANTI BLANGKO")</f>
        <v>GANTI BLANGKO</v>
      </c>
      <c r="H1698" s="42">
        <f t="shared" si="1"/>
        <v>785</v>
      </c>
    </row>
    <row r="1699" ht="22.5" customHeight="1">
      <c r="B1699" s="42" t="str">
        <f>IFERROR(__xludf.DUMMYFUNCTION("""COMPUTED_VALUE"""),"K/15/220125/1")</f>
        <v>K/15/220125/1</v>
      </c>
      <c r="C1699" s="42" t="str">
        <f>IFERROR(__xludf.DUMMYFUNCTION("""COMPUTED_VALUE"""),"M. 2442/ Tanjung Senang")</f>
        <v>M. 2442/ Tanjung Senang</v>
      </c>
      <c r="D1699" s="42"/>
      <c r="E1699" s="42"/>
      <c r="F1699" s="48" t="str">
        <f>IFERROR(__xludf.DUMMYFUNCTION("""COMPUTED_VALUE"""),"")</f>
        <v/>
      </c>
      <c r="G1699" s="42" t="str">
        <f>IFERROR(__xludf.DUMMYFUNCTION("""COMPUTED_VALUE"""),"SKPT Lelang")</f>
        <v>SKPT Lelang</v>
      </c>
      <c r="H1699" s="42">
        <f t="shared" si="1"/>
        <v>785</v>
      </c>
    </row>
    <row r="1700" ht="22.5" customHeight="1">
      <c r="B1700" s="42" t="str">
        <f>IFERROR(__xludf.DUMMYFUNCTION("""COMPUTED_VALUE"""),"K/16/220125/2")</f>
        <v>K/16/220125/2</v>
      </c>
      <c r="C1700" s="42" t="str">
        <f>IFERROR(__xludf.DUMMYFUNCTION("""COMPUTED_VALUE"""),"M. 11594/ Jagabaya II")</f>
        <v>M. 11594/ Jagabaya II</v>
      </c>
      <c r="D1700" s="42"/>
      <c r="E1700" s="42"/>
      <c r="F1700" s="48" t="str">
        <f>IFERROR(__xludf.DUMMYFUNCTION("""COMPUTED_VALUE"""),"")</f>
        <v/>
      </c>
      <c r="G1700" s="42" t="str">
        <f>IFERROR(__xludf.DUMMYFUNCTION("""COMPUTED_VALUE"""),"SKPT Lelang")</f>
        <v>SKPT Lelang</v>
      </c>
      <c r="H1700" s="42">
        <f t="shared" si="1"/>
        <v>785</v>
      </c>
    </row>
    <row r="1701" ht="22.5" customHeight="1">
      <c r="B1701" s="42" t="str">
        <f>IFERROR(__xludf.DUMMYFUNCTION("""COMPUTED_VALUE"""),"K/17/220125/1")</f>
        <v>K/17/220125/1</v>
      </c>
      <c r="C1701" s="42" t="str">
        <f>IFERROR(__xludf.DUMMYFUNCTION("""COMPUTED_VALUE"""),"M. 56/ rawa Laut")</f>
        <v>M. 56/ rawa Laut</v>
      </c>
      <c r="D1701" s="42"/>
      <c r="E1701" s="42"/>
      <c r="F1701" s="48" t="str">
        <f>IFERROR(__xludf.DUMMYFUNCTION("""COMPUTED_VALUE"""),"")</f>
        <v/>
      </c>
      <c r="G1701" s="42" t="str">
        <f>IFERROR(__xludf.DUMMYFUNCTION("""COMPUTED_VALUE"""),"SKPT LELANG")</f>
        <v>SKPT LELANG</v>
      </c>
      <c r="H1701" s="42">
        <f t="shared" si="1"/>
        <v>785</v>
      </c>
    </row>
    <row r="1702" ht="22.5" customHeight="1">
      <c r="B1702" s="42" t="str">
        <f>IFERROR(__xludf.DUMMYFUNCTION("""COMPUTED_VALUE"""),"K/18/220125/2")</f>
        <v>K/18/220125/2</v>
      </c>
      <c r="C1702" s="42" t="str">
        <f>IFERROR(__xludf.DUMMYFUNCTION("""COMPUTED_VALUE"""),"M. 517/ Rawa laut/ kampung baru")</f>
        <v>M. 517/ Rawa laut/ kampung baru</v>
      </c>
      <c r="D1702" s="42"/>
      <c r="E1702" s="42"/>
      <c r="F1702" s="48" t="str">
        <f>IFERROR(__xludf.DUMMYFUNCTION("""COMPUTED_VALUE"""),"")</f>
        <v/>
      </c>
      <c r="G1702" s="42" t="str">
        <f>IFERROR(__xludf.DUMMYFUNCTION("""COMPUTED_VALUE"""),"SKPT LELANG")</f>
        <v>SKPT LELANG</v>
      </c>
      <c r="H1702" s="42">
        <f t="shared" si="1"/>
        <v>785</v>
      </c>
    </row>
    <row r="1703" ht="22.5" customHeight="1">
      <c r="B1703" s="42" t="str">
        <f>IFERROR(__xludf.DUMMYFUNCTION("""COMPUTED_VALUE"""),"K/19/220125/3")</f>
        <v>K/19/220125/3</v>
      </c>
      <c r="C1703" s="42" t="str">
        <f>IFERROR(__xludf.DUMMYFUNCTION("""COMPUTED_VALUE"""),"M. 807/ Perwata")</f>
        <v>M. 807/ Perwata</v>
      </c>
      <c r="D1703" s="42"/>
      <c r="E1703" s="42"/>
      <c r="F1703" s="48" t="str">
        <f>IFERROR(__xludf.DUMMYFUNCTION("""COMPUTED_VALUE"""),"")</f>
        <v/>
      </c>
      <c r="G1703" s="42" t="str">
        <f>IFERROR(__xludf.DUMMYFUNCTION("""COMPUTED_VALUE"""),"SKPT LELANG")</f>
        <v>SKPT LELANG</v>
      </c>
      <c r="H1703" s="42">
        <f t="shared" si="1"/>
        <v>785</v>
      </c>
    </row>
    <row r="1704" ht="22.5" customHeight="1">
      <c r="B1704" s="42" t="str">
        <f>IFERROR(__xludf.DUMMYFUNCTION("""COMPUTED_VALUE"""),"K/20/220125/4")</f>
        <v>K/20/220125/4</v>
      </c>
      <c r="C1704" s="42" t="str">
        <f>IFERROR(__xludf.DUMMYFUNCTION("""COMPUTED_VALUE"""),"M. 779/ Tanjung Seneng")</f>
        <v>M. 779/ Tanjung Seneng</v>
      </c>
      <c r="D1704" s="42"/>
      <c r="E1704" s="42"/>
      <c r="F1704" s="48" t="str">
        <f>IFERROR(__xludf.DUMMYFUNCTION("""COMPUTED_VALUE"""),"")</f>
        <v/>
      </c>
      <c r="G1704" s="42" t="str">
        <f>IFERROR(__xludf.DUMMYFUNCTION("""COMPUTED_VALUE"""),"SKPT LELANG")</f>
        <v>SKPT LELANG</v>
      </c>
      <c r="H1704" s="42">
        <f t="shared" si="1"/>
        <v>785</v>
      </c>
    </row>
    <row r="1705" ht="22.5" customHeight="1">
      <c r="B1705" s="42" t="str">
        <f>IFERROR(__xludf.DUMMYFUNCTION("""COMPUTED_VALUE"""),"K/21/220125/5")</f>
        <v>K/21/220125/5</v>
      </c>
      <c r="C1705" s="42" t="str">
        <f>IFERROR(__xludf.DUMMYFUNCTION("""COMPUTED_VALUE"""),"M. 15249/ sukarame")</f>
        <v>M. 15249/ sukarame</v>
      </c>
      <c r="D1705" s="42"/>
      <c r="E1705" s="42"/>
      <c r="F1705" s="48" t="str">
        <f>IFERROR(__xludf.DUMMYFUNCTION("""COMPUTED_VALUE"""),"")</f>
        <v/>
      </c>
      <c r="G1705" s="42" t="str">
        <f>IFERROR(__xludf.DUMMYFUNCTION("""COMPUTED_VALUE"""),"SKPT LELANG")</f>
        <v>SKPT LELANG</v>
      </c>
      <c r="H1705" s="42">
        <f t="shared" si="1"/>
        <v>785</v>
      </c>
    </row>
    <row r="1706" ht="22.5" customHeight="1">
      <c r="B1706" s="42" t="str">
        <f>IFERROR(__xludf.DUMMYFUNCTION("""COMPUTED_VALUE"""),"K/22/220125/1")</f>
        <v>K/22/220125/1</v>
      </c>
      <c r="C1706" s="42" t="str">
        <f>IFERROR(__xludf.DUMMYFUNCTION("""COMPUTED_VALUE"""),"M.380/SUMBERREJO SEJAHTERA")</f>
        <v>M.380/SUMBERREJO SEJAHTERA</v>
      </c>
      <c r="D1706" s="42" t="str">
        <f>IFERROR(__xludf.DUMMYFUNCTION("""COMPUTED_VALUE"""),"Berry")</f>
        <v>Berry</v>
      </c>
      <c r="E1706" s="42" t="str">
        <f>IFERROR(__xludf.DUMMYFUNCTION("""COMPUTED_VALUE"""),"DISERAHKAN")</f>
        <v>DISERAHKAN</v>
      </c>
      <c r="F1706" s="48">
        <f>IFERROR(__xludf.DUMMYFUNCTION("""COMPUTED_VALUE"""),45719.64059900463)</f>
        <v>45719.6406</v>
      </c>
      <c r="G1706" s="42" t="str">
        <f>IFERROR(__xludf.DUMMYFUNCTION("""COMPUTED_VALUE"""),"ROYA")</f>
        <v>ROYA</v>
      </c>
      <c r="H1706" s="42">
        <f t="shared" si="1"/>
        <v>786</v>
      </c>
    </row>
    <row r="1707" ht="22.5" customHeight="1">
      <c r="B1707" s="42" t="str">
        <f>IFERROR(__xludf.DUMMYFUNCTION("""COMPUTED_VALUE"""),"L/23/220125/1")</f>
        <v>L/23/220125/1</v>
      </c>
      <c r="C1707" s="42" t="str">
        <f>IFERROR(__xludf.DUMMYFUNCTION("""COMPUTED_VALUE"""),"HM 4037/WAY KANDIS")</f>
        <v>HM 4037/WAY KANDIS</v>
      </c>
      <c r="D1707" s="42" t="str">
        <f>IFERROR(__xludf.DUMMYFUNCTION("""COMPUTED_VALUE"""),"Berry")</f>
        <v>Berry</v>
      </c>
      <c r="E1707" s="42" t="str">
        <f>IFERROR(__xludf.DUMMYFUNCTION("""COMPUTED_VALUE"""),"DISERAHKAN")</f>
        <v>DISERAHKAN</v>
      </c>
      <c r="F1707" s="48">
        <f>IFERROR(__xludf.DUMMYFUNCTION("""COMPUTED_VALUE"""),45708.60283362269)</f>
        <v>45708.60283</v>
      </c>
      <c r="G1707" s="42" t="str">
        <f>IFERROR(__xludf.DUMMYFUNCTION("""COMPUTED_VALUE"""),"ROYA")</f>
        <v>ROYA</v>
      </c>
      <c r="H1707" s="42">
        <f t="shared" si="1"/>
        <v>787</v>
      </c>
    </row>
    <row r="1708" ht="22.5" customHeight="1">
      <c r="B1708" s="42" t="str">
        <f>IFERROR(__xludf.DUMMYFUNCTION("""COMPUTED_VALUE"""),"L/24/220125/1")</f>
        <v>L/24/220125/1</v>
      </c>
      <c r="C1708" s="42" t="str">
        <f>IFERROR(__xludf.DUMMYFUNCTION("""COMPUTED_VALUE"""),"HM 12313/LABUHAN RATU")</f>
        <v>HM 12313/LABUHAN RATU</v>
      </c>
      <c r="D1708" s="42" t="str">
        <f>IFERROR(__xludf.DUMMYFUNCTION("""COMPUTED_VALUE"""),"Berry")</f>
        <v>Berry</v>
      </c>
      <c r="E1708" s="42" t="str">
        <f>IFERROR(__xludf.DUMMYFUNCTION("""COMPUTED_VALUE"""),"DISERAHKAN")</f>
        <v>DISERAHKAN</v>
      </c>
      <c r="F1708" s="48">
        <f>IFERROR(__xludf.DUMMYFUNCTION("""COMPUTED_VALUE"""),45715.40183754629)</f>
        <v>45715.40184</v>
      </c>
      <c r="G1708" s="42" t="str">
        <f>IFERROR(__xludf.DUMMYFUNCTION("""COMPUTED_VALUE"""),"ROYA")</f>
        <v>ROYA</v>
      </c>
      <c r="H1708" s="42">
        <f t="shared" si="1"/>
        <v>788</v>
      </c>
    </row>
    <row r="1709" ht="22.5" customHeight="1">
      <c r="B1709" s="42" t="str">
        <f>IFERROR(__xludf.DUMMYFUNCTION("""COMPUTED_VALUE"""),"L/7/220125/5")</f>
        <v>L/7/220125/5</v>
      </c>
      <c r="C1709" s="42" t="str">
        <f>IFERROR(__xludf.DUMMYFUNCTION("""COMPUTED_VALUE"""),"HM 1560/SRENGSEM")</f>
        <v>HM 1560/SRENGSEM</v>
      </c>
      <c r="D1709" s="42" t="str">
        <f>IFERROR(__xludf.DUMMYFUNCTION("""COMPUTED_VALUE"""),"Berry")</f>
        <v>Berry</v>
      </c>
      <c r="E1709" s="42" t="str">
        <f>IFERROR(__xludf.DUMMYFUNCTION("""COMPUTED_VALUE"""),"DISERAHKAN")</f>
        <v>DISERAHKAN</v>
      </c>
      <c r="F1709" s="48">
        <f>IFERROR(__xludf.DUMMYFUNCTION("""COMPUTED_VALUE"""),45688.66478627315)</f>
        <v>45688.66479</v>
      </c>
      <c r="G1709" s="42" t="str">
        <f>IFERROR(__xludf.DUMMYFUNCTION("""COMPUTED_VALUE"""),"BN WARIS")</f>
        <v>BN WARIS</v>
      </c>
      <c r="H1709" s="42">
        <f t="shared" si="1"/>
        <v>789</v>
      </c>
    </row>
    <row r="1710" ht="22.5" customHeight="1">
      <c r="B1710" s="42" t="str">
        <f>IFERROR(__xludf.DUMMYFUNCTION("""COMPUTED_VALUE"""),"L/25/220125/1")</f>
        <v>L/25/220125/1</v>
      </c>
      <c r="C1710" s="42" t="str">
        <f>IFERROR(__xludf.DUMMYFUNCTION("""COMPUTED_VALUE"""),"HM 156/KEMILING RAYA")</f>
        <v>HM 156/KEMILING RAYA</v>
      </c>
      <c r="D1710" s="42" t="str">
        <f>IFERROR(__xludf.DUMMYFUNCTION("""COMPUTED_VALUE"""),"Berry")</f>
        <v>Berry</v>
      </c>
      <c r="E1710" s="42" t="str">
        <f>IFERROR(__xludf.DUMMYFUNCTION("""COMPUTED_VALUE"""),"DISERAHKAN")</f>
        <v>DISERAHKAN</v>
      </c>
      <c r="F1710" s="48">
        <f>IFERROR(__xludf.DUMMYFUNCTION("""COMPUTED_VALUE"""),45688.66498583333)</f>
        <v>45688.66499</v>
      </c>
      <c r="G1710" s="42" t="str">
        <f>IFERROR(__xludf.DUMMYFUNCTION("""COMPUTED_VALUE"""),"ROYA")</f>
        <v>ROYA</v>
      </c>
      <c r="H1710" s="42">
        <f t="shared" si="1"/>
        <v>790</v>
      </c>
    </row>
    <row r="1711" ht="22.5" customHeight="1">
      <c r="B1711" s="42" t="str">
        <f>IFERROR(__xludf.DUMMYFUNCTION("""COMPUTED_VALUE"""),"K/26/220125/1")</f>
        <v>K/26/220125/1</v>
      </c>
      <c r="C1711" s="42" t="str">
        <f>IFERROR(__xludf.DUMMYFUNCTION("""COMPUTED_VALUE"""),"Nibel 3443/ Susunan Baru")</f>
        <v>Nibel 3443/ Susunan Baru</v>
      </c>
      <c r="D1711" s="42"/>
      <c r="E1711" s="42"/>
      <c r="F1711" s="48" t="str">
        <f>IFERROR(__xludf.DUMMYFUNCTION("""COMPUTED_VALUE"""),"")</f>
        <v/>
      </c>
      <c r="G1711" s="42" t="str">
        <f>IFERROR(__xludf.DUMMYFUNCTION("""COMPUTED_VALUE"""),"PEMECAHAN BIDANG")</f>
        <v>PEMECAHAN BIDANG</v>
      </c>
      <c r="H1711" s="42">
        <f t="shared" si="1"/>
        <v>790</v>
      </c>
    </row>
    <row r="1712" ht="22.5" customHeight="1">
      <c r="B1712" s="42" t="str">
        <f>IFERROR(__xludf.DUMMYFUNCTION("""COMPUTED_VALUE"""),"K/27/220125/1")</f>
        <v>K/27/220125/1</v>
      </c>
      <c r="C1712" s="42" t="str">
        <f>IFERROR(__xludf.DUMMYFUNCTION("""COMPUTED_VALUE"""),"M.3651/SURABAYA")</f>
        <v>M.3651/SURABAYA</v>
      </c>
      <c r="D1712" s="42" t="str">
        <f>IFERROR(__xludf.DUMMYFUNCTION("""COMPUTED_VALUE"""),"David")</f>
        <v>David</v>
      </c>
      <c r="E1712" s="42" t="str">
        <f>IFERROR(__xludf.DUMMYFUNCTION("""COMPUTED_VALUE"""),"PROSES")</f>
        <v>PROSES</v>
      </c>
      <c r="F1712" s="48" t="str">
        <f>IFERROR(__xludf.DUMMYFUNCTION("""COMPUTED_VALUE"""),"")</f>
        <v/>
      </c>
      <c r="G1712" s="42" t="str">
        <f>IFERROR(__xludf.DUMMYFUNCTION("""COMPUTED_VALUE"""),"KEWARISAN")</f>
        <v>KEWARISAN</v>
      </c>
      <c r="H1712" s="42">
        <f t="shared" si="1"/>
        <v>790</v>
      </c>
    </row>
    <row r="1713" ht="22.5" customHeight="1">
      <c r="B1713" s="42" t="str">
        <f>IFERROR(__xludf.DUMMYFUNCTION("""COMPUTED_VALUE"""),"L/28/220125/1")</f>
        <v>L/28/220125/1</v>
      </c>
      <c r="C1713" s="42" t="str">
        <f>IFERROR(__xludf.DUMMYFUNCTION("""COMPUTED_VALUE"""),"HM 780/TALANG")</f>
        <v>HM 780/TALANG</v>
      </c>
      <c r="D1713" s="42" t="str">
        <f>IFERROR(__xludf.DUMMYFUNCTION("""COMPUTED_VALUE"""),"David")</f>
        <v>David</v>
      </c>
      <c r="E1713" s="42" t="str">
        <f>IFERROR(__xludf.DUMMYFUNCTION("""COMPUTED_VALUE"""),"DISERAHKAN")</f>
        <v>DISERAHKAN</v>
      </c>
      <c r="F1713" s="48">
        <f>IFERROR(__xludf.DUMMYFUNCTION("""COMPUTED_VALUE"""),45708.603584965276)</f>
        <v>45708.60358</v>
      </c>
      <c r="G1713" s="42" t="str">
        <f>IFERROR(__xludf.DUMMYFUNCTION("""COMPUTED_VALUE"""),"ROYA")</f>
        <v>ROYA</v>
      </c>
      <c r="H1713" s="42">
        <f t="shared" si="1"/>
        <v>791</v>
      </c>
    </row>
    <row r="1714" ht="22.5" customHeight="1">
      <c r="B1714" s="42" t="str">
        <f>IFERROR(__xludf.DUMMYFUNCTION("""COMPUTED_VALUE"""),"K/32/220125/2")</f>
        <v>K/32/220125/2</v>
      </c>
      <c r="C1714" s="42" t="str">
        <f>IFERROR(__xludf.DUMMYFUNCTION("""COMPUTED_VALUE"""),"Nibel. M. 3193/ Sukarame")</f>
        <v>Nibel. M. 3193/ Sukarame</v>
      </c>
      <c r="D1714" s="42"/>
      <c r="E1714" s="42"/>
      <c r="F1714" s="48" t="str">
        <f>IFERROR(__xludf.DUMMYFUNCTION("""COMPUTED_VALUE"""),"")</f>
        <v/>
      </c>
      <c r="G1714" s="42" t="str">
        <f>IFERROR(__xludf.DUMMYFUNCTION("""COMPUTED_VALUE"""),"BN Hibah")</f>
        <v>BN Hibah</v>
      </c>
      <c r="H1714" s="42">
        <f t="shared" si="1"/>
        <v>791</v>
      </c>
    </row>
    <row r="1715" ht="22.5" customHeight="1">
      <c r="B1715" s="42" t="str">
        <f>IFERROR(__xludf.DUMMYFUNCTION("""COMPUTED_VALUE"""),"L/33/220125/1")</f>
        <v>L/33/220125/1</v>
      </c>
      <c r="C1715" s="42" t="str">
        <f>IFERROR(__xludf.DUMMYFUNCTION("""COMPUTED_VALUE"""),"NIB 9468/BAKUNG")</f>
        <v>NIB 9468/BAKUNG</v>
      </c>
      <c r="D1715" s="42"/>
      <c r="E1715" s="42"/>
      <c r="F1715" s="48" t="str">
        <f>IFERROR(__xludf.DUMMYFUNCTION("""COMPUTED_VALUE"""),"")</f>
        <v/>
      </c>
      <c r="G1715" s="42" t="str">
        <f>IFERROR(__xludf.DUMMYFUNCTION("""COMPUTED_VALUE"""),"PH")</f>
        <v>PH</v>
      </c>
      <c r="H1715" s="42">
        <f t="shared" si="1"/>
        <v>791</v>
      </c>
    </row>
    <row r="1716" ht="22.5" customHeight="1">
      <c r="B1716" s="42" t="str">
        <f>IFERROR(__xludf.DUMMYFUNCTION("""COMPUTED_VALUE"""),"K/31/220125/1")</f>
        <v>K/31/220125/1</v>
      </c>
      <c r="C1716" s="42" t="str">
        <f>IFERROR(__xludf.DUMMYFUNCTION("""COMPUTED_VALUE"""),"Nibel. M. 3194/ Sukarame")</f>
        <v>Nibel. M. 3194/ Sukarame</v>
      </c>
      <c r="D1716" s="42"/>
      <c r="E1716" s="42"/>
      <c r="F1716" s="48" t="str">
        <f>IFERROR(__xludf.DUMMYFUNCTION("""COMPUTED_VALUE"""),"")</f>
        <v/>
      </c>
      <c r="G1716" s="42" t="str">
        <f>IFERROR(__xludf.DUMMYFUNCTION("""COMPUTED_VALUE"""),"BN Hibah")</f>
        <v>BN Hibah</v>
      </c>
      <c r="H1716" s="42">
        <f t="shared" si="1"/>
        <v>791</v>
      </c>
    </row>
    <row r="1717" ht="22.5" customHeight="1">
      <c r="B1717" s="42" t="str">
        <f>IFERROR(__xludf.DUMMYFUNCTION("""COMPUTED_VALUE"""),"K/29/220125/1")</f>
        <v>K/29/220125/1</v>
      </c>
      <c r="C1717" s="42" t="str">
        <f>IFERROR(__xludf.DUMMYFUNCTION("""COMPUTED_VALUE"""),"M. 109/ Sepang Jaya")</f>
        <v>M. 109/ Sepang Jaya</v>
      </c>
      <c r="D1717" s="42" t="str">
        <f>IFERROR(__xludf.DUMMYFUNCTION("""COMPUTED_VALUE"""),"David")</f>
        <v>David</v>
      </c>
      <c r="E1717" s="42" t="str">
        <f>IFERROR(__xludf.DUMMYFUNCTION("""COMPUTED_VALUE"""),"DISERAHKAN")</f>
        <v>DISERAHKAN</v>
      </c>
      <c r="F1717" s="48">
        <f>IFERROR(__xludf.DUMMYFUNCTION("""COMPUTED_VALUE"""),45702.42636349537)</f>
        <v>45702.42636</v>
      </c>
      <c r="G1717" s="42" t="str">
        <f>IFERROR(__xludf.DUMMYFUNCTION("""COMPUTED_VALUE"""),"BN Waris")</f>
        <v>BN Waris</v>
      </c>
      <c r="H1717" s="42">
        <f t="shared" si="1"/>
        <v>792</v>
      </c>
    </row>
    <row r="1718" ht="22.5" customHeight="1">
      <c r="B1718" s="42" t="str">
        <f>IFERROR(__xludf.DUMMYFUNCTION("""COMPUTED_VALUE"""),"K/30/220125/1")</f>
        <v>K/30/220125/1</v>
      </c>
      <c r="C1718" s="42" t="str">
        <f>IFERROR(__xludf.DUMMYFUNCTION("""COMPUTED_VALUE"""),"M. 963/ Keteguhan")</f>
        <v>M. 963/ Keteguhan</v>
      </c>
      <c r="D1718" s="42"/>
      <c r="E1718" s="42"/>
      <c r="F1718" s="48" t="str">
        <f>IFERROR(__xludf.DUMMYFUNCTION("""COMPUTED_VALUE"""),"")</f>
        <v/>
      </c>
      <c r="G1718" s="42" t="str">
        <f>IFERROR(__xludf.DUMMYFUNCTION("""COMPUTED_VALUE"""),"PTPGT (Pemecahan)")</f>
        <v>PTPGT (Pemecahan)</v>
      </c>
      <c r="H1718" s="42">
        <f t="shared" si="1"/>
        <v>792</v>
      </c>
    </row>
    <row r="1719" ht="22.5" customHeight="1">
      <c r="B1719" s="42" t="str">
        <f>IFERROR(__xludf.DUMMYFUNCTION("""COMPUTED_VALUE"""),"K/35/220125/1")</f>
        <v>K/35/220125/1</v>
      </c>
      <c r="C1719" s="42" t="str">
        <f>IFERROR(__xludf.DUMMYFUNCTION("""COMPUTED_VALUE"""),"M.9064/SUKAMENANTI")</f>
        <v>M.9064/SUKAMENANTI</v>
      </c>
      <c r="D1719" s="42"/>
      <c r="E1719" s="42"/>
      <c r="F1719" s="48" t="str">
        <f>IFERROR(__xludf.DUMMYFUNCTION("""COMPUTED_VALUE"""),"")</f>
        <v/>
      </c>
      <c r="G1719" s="42" t="str">
        <f>IFERROR(__xludf.DUMMYFUNCTION("""COMPUTED_VALUE"""),"PENATAAN BATAS")</f>
        <v>PENATAAN BATAS</v>
      </c>
      <c r="H1719" s="42">
        <f t="shared" si="1"/>
        <v>792</v>
      </c>
    </row>
    <row r="1720" ht="22.5" customHeight="1">
      <c r="B1720" s="42" t="str">
        <f>IFERROR(__xludf.DUMMYFUNCTION("""COMPUTED_VALUE"""),"K/34/220125/1")</f>
        <v>K/34/220125/1</v>
      </c>
      <c r="C1720" s="42" t="str">
        <f>IFERROR(__xludf.DUMMYFUNCTION("""COMPUTED_VALUE"""),"Nibel. B. 403/ Kemiling Permai")</f>
        <v>Nibel. B. 403/ Kemiling Permai</v>
      </c>
      <c r="D1720" s="42"/>
      <c r="E1720" s="42"/>
      <c r="F1720" s="48" t="str">
        <f>IFERROR(__xludf.DUMMYFUNCTION("""COMPUTED_VALUE"""),"")</f>
        <v/>
      </c>
      <c r="G1720" s="42" t="str">
        <f>IFERROR(__xludf.DUMMYFUNCTION("""COMPUTED_VALUE"""),"Perubahan Hak")</f>
        <v>Perubahan Hak</v>
      </c>
      <c r="H1720" s="42">
        <f t="shared" si="1"/>
        <v>792</v>
      </c>
    </row>
    <row r="1721" ht="22.5" customHeight="1">
      <c r="B1721" s="42" t="str">
        <f>IFERROR(__xludf.DUMMYFUNCTION("""COMPUTED_VALUE"""),"L/1/230125/1")</f>
        <v>L/1/230125/1</v>
      </c>
      <c r="C1721" s="42" t="str">
        <f>IFERROR(__xludf.DUMMYFUNCTION("""COMPUTED_VALUE"""),"HM 420/KORPRI JAYA")</f>
        <v>HM 420/KORPRI JAYA</v>
      </c>
      <c r="D1721" s="42" t="str">
        <f>IFERROR(__xludf.DUMMYFUNCTION("""COMPUTED_VALUE"""),"David")</f>
        <v>David</v>
      </c>
      <c r="E1721" s="42" t="str">
        <f>IFERROR(__xludf.DUMMYFUNCTION("""COMPUTED_VALUE"""),"DISERAHKAN")</f>
        <v>DISERAHKAN</v>
      </c>
      <c r="F1721" s="48">
        <f>IFERROR(__xludf.DUMMYFUNCTION("""COMPUTED_VALUE"""),45763.550750891205)</f>
        <v>45763.55075</v>
      </c>
      <c r="G1721" s="42" t="str">
        <f>IFERROR(__xludf.DUMMYFUNCTION("""COMPUTED_VALUE"""),"ROYA")</f>
        <v>ROYA</v>
      </c>
      <c r="H1721" s="42">
        <f t="shared" si="1"/>
        <v>793</v>
      </c>
    </row>
    <row r="1722" ht="22.5" customHeight="1">
      <c r="B1722" s="42" t="str">
        <f>IFERROR(__xludf.DUMMYFUNCTION("""COMPUTED_VALUE"""),"K/2/230125/1")</f>
        <v>K/2/230125/1</v>
      </c>
      <c r="C1722" s="42" t="str">
        <f>IFERROR(__xludf.DUMMYFUNCTION("""COMPUTED_VALUE"""),"B.921/NEGERI OLOK GADING")</f>
        <v>B.921/NEGERI OLOK GADING</v>
      </c>
      <c r="D1722" s="42"/>
      <c r="E1722" s="42"/>
      <c r="F1722" s="48" t="str">
        <f>IFERROR(__xludf.DUMMYFUNCTION("""COMPUTED_VALUE"""),"")</f>
        <v/>
      </c>
      <c r="G1722" s="42" t="str">
        <f>IFERROR(__xludf.DUMMYFUNCTION("""COMPUTED_VALUE"""),"PTPGT")</f>
        <v>PTPGT</v>
      </c>
      <c r="H1722" s="42">
        <f t="shared" si="1"/>
        <v>793</v>
      </c>
    </row>
    <row r="1723" ht="22.5" customHeight="1">
      <c r="B1723" s="42" t="str">
        <f>IFERROR(__xludf.DUMMYFUNCTION("""COMPUTED_VALUE"""),"K/3/230125/1")</f>
        <v>K/3/230125/1</v>
      </c>
      <c r="C1723" s="42" t="str">
        <f>IFERROR(__xludf.DUMMYFUNCTION("""COMPUTED_VALUE"""),"M. 10542/ Kedaton")</f>
        <v>M. 10542/ Kedaton</v>
      </c>
      <c r="D1723" s="42" t="str">
        <f>IFERROR(__xludf.DUMMYFUNCTION("""COMPUTED_VALUE"""),"David")</f>
        <v>David</v>
      </c>
      <c r="E1723" s="42" t="str">
        <f>IFERROR(__xludf.DUMMYFUNCTION("""COMPUTED_VALUE"""),"DISERAHKAN")</f>
        <v>DISERAHKAN</v>
      </c>
      <c r="F1723" s="48">
        <f>IFERROR(__xludf.DUMMYFUNCTION("""COMPUTED_VALUE"""),45719.638091388886)</f>
        <v>45719.63809</v>
      </c>
      <c r="G1723" s="42" t="str">
        <f>IFERROR(__xludf.DUMMYFUNCTION("""COMPUTED_VALUE"""),"ROYA WARIS")</f>
        <v>ROYA WARIS</v>
      </c>
      <c r="H1723" s="42">
        <f t="shared" si="1"/>
        <v>794</v>
      </c>
    </row>
    <row r="1724" ht="22.5" customHeight="1">
      <c r="B1724" s="42" t="str">
        <f>IFERROR(__xludf.DUMMYFUNCTION("""COMPUTED_VALUE""")," K/4/230125/1")</f>
        <v> K/4/230125/1</v>
      </c>
      <c r="C1724" s="42" t="str">
        <f>IFERROR(__xludf.DUMMYFUNCTION("""COMPUTED_VALUE"""),"M. 2415/ campang Raya")</f>
        <v>M. 2415/ campang Raya</v>
      </c>
      <c r="D1724" s="42"/>
      <c r="E1724" s="42"/>
      <c r="F1724" s="48" t="str">
        <f>IFERROR(__xludf.DUMMYFUNCTION("""COMPUTED_VALUE"""),"")</f>
        <v/>
      </c>
      <c r="G1724" s="42" t="str">
        <f>IFERROR(__xludf.DUMMYFUNCTION("""COMPUTED_VALUE"""),"SKPT LELANG")</f>
        <v>SKPT LELANG</v>
      </c>
      <c r="H1724" s="42">
        <f t="shared" si="1"/>
        <v>794</v>
      </c>
    </row>
    <row r="1725" ht="22.5" customHeight="1">
      <c r="B1725" s="42" t="str">
        <f>IFERROR(__xludf.DUMMYFUNCTION("""COMPUTED_VALUE"""),"K/5/230125/2")</f>
        <v>K/5/230125/2</v>
      </c>
      <c r="C1725" s="42" t="str">
        <f>IFERROR(__xludf.DUMMYFUNCTION("""COMPUTED_VALUE"""),"M. 1771/ Campang Raya")</f>
        <v>M. 1771/ Campang Raya</v>
      </c>
      <c r="D1725" s="42"/>
      <c r="E1725" s="42"/>
      <c r="F1725" s="48" t="str">
        <f>IFERROR(__xludf.DUMMYFUNCTION("""COMPUTED_VALUE"""),"")</f>
        <v/>
      </c>
      <c r="G1725" s="42" t="str">
        <f>IFERROR(__xludf.DUMMYFUNCTION("""COMPUTED_VALUE"""),"SKPT LELANG")</f>
        <v>SKPT LELANG</v>
      </c>
      <c r="H1725" s="42">
        <f t="shared" si="1"/>
        <v>794</v>
      </c>
    </row>
    <row r="1726" ht="22.5" customHeight="1">
      <c r="B1726" s="42" t="str">
        <f>IFERROR(__xludf.DUMMYFUNCTION("""COMPUTED_VALUE"""),"K/6/230125/3")</f>
        <v>K/6/230125/3</v>
      </c>
      <c r="C1726" s="42" t="str">
        <f>IFERROR(__xludf.DUMMYFUNCTION("""COMPUTED_VALUE"""),"M. 1772/ Campang Raya")</f>
        <v>M. 1772/ Campang Raya</v>
      </c>
      <c r="D1726" s="42"/>
      <c r="E1726" s="42"/>
      <c r="F1726" s="48" t="str">
        <f>IFERROR(__xludf.DUMMYFUNCTION("""COMPUTED_VALUE"""),"")</f>
        <v/>
      </c>
      <c r="G1726" s="42" t="str">
        <f>IFERROR(__xludf.DUMMYFUNCTION("""COMPUTED_VALUE"""),"SKPT LELANG")</f>
        <v>SKPT LELANG</v>
      </c>
      <c r="H1726" s="42">
        <f t="shared" si="1"/>
        <v>794</v>
      </c>
    </row>
    <row r="1727" ht="22.5" customHeight="1">
      <c r="B1727" s="42" t="str">
        <f>IFERROR(__xludf.DUMMYFUNCTION("""COMPUTED_VALUE"""),"K/7/230125/4")</f>
        <v>K/7/230125/4</v>
      </c>
      <c r="C1727" s="42" t="str">
        <f>IFERROR(__xludf.DUMMYFUNCTION("""COMPUTED_VALUE"""),"M. 1015/ Campang Raya")</f>
        <v>M. 1015/ Campang Raya</v>
      </c>
      <c r="D1727" s="42"/>
      <c r="E1727" s="42"/>
      <c r="F1727" s="48" t="str">
        <f>IFERROR(__xludf.DUMMYFUNCTION("""COMPUTED_VALUE"""),"")</f>
        <v/>
      </c>
      <c r="G1727" s="42" t="str">
        <f>IFERROR(__xludf.DUMMYFUNCTION("""COMPUTED_VALUE"""),"SKPT LELANG")</f>
        <v>SKPT LELANG</v>
      </c>
      <c r="H1727" s="42">
        <f t="shared" si="1"/>
        <v>794</v>
      </c>
    </row>
    <row r="1728" ht="22.5" customHeight="1">
      <c r="B1728" s="42" t="str">
        <f>IFERROR(__xludf.DUMMYFUNCTION("""COMPUTED_VALUE"""),"L/8/230125/1")</f>
        <v>L/8/230125/1</v>
      </c>
      <c r="C1728" s="42" t="str">
        <f>IFERROR(__xludf.DUMMYFUNCTION("""COMPUTED_VALUE"""),"HM 13435/SEGALA MIDER")</f>
        <v>HM 13435/SEGALA MIDER</v>
      </c>
      <c r="D1728" s="42" t="str">
        <f>IFERROR(__xludf.DUMMYFUNCTION("""COMPUTED_VALUE"""),"David")</f>
        <v>David</v>
      </c>
      <c r="E1728" s="42" t="str">
        <f>IFERROR(__xludf.DUMMYFUNCTION("""COMPUTED_VALUE"""),"PROSES")</f>
        <v>PROSES</v>
      </c>
      <c r="F1728" s="48" t="str">
        <f>IFERROR(__xludf.DUMMYFUNCTION("""COMPUTED_VALUE"""),"")</f>
        <v/>
      </c>
      <c r="G1728" s="42" t="str">
        <f>IFERROR(__xludf.DUMMYFUNCTION("""COMPUTED_VALUE"""),"BN WARIS")</f>
        <v>BN WARIS</v>
      </c>
      <c r="H1728" s="42">
        <f t="shared" si="1"/>
        <v>794</v>
      </c>
    </row>
    <row r="1729" ht="22.5" customHeight="1">
      <c r="B1729" s="42" t="str">
        <f>IFERROR(__xludf.DUMMYFUNCTION("""COMPUTED_VALUE"""),"L/9/230125/1")</f>
        <v>L/9/230125/1</v>
      </c>
      <c r="C1729" s="42" t="str">
        <f>IFERROR(__xludf.DUMMYFUNCTION("""COMPUTED_VALUE"""),"HGB 253/PANJANG UTARA")</f>
        <v>HGB 253/PANJANG UTARA</v>
      </c>
      <c r="D1729" s="42"/>
      <c r="E1729" s="42"/>
      <c r="F1729" s="48" t="str">
        <f>IFERROR(__xludf.DUMMYFUNCTION("""COMPUTED_VALUE"""),"")</f>
        <v/>
      </c>
      <c r="G1729" s="42" t="str">
        <f>IFERROR(__xludf.DUMMYFUNCTION("""COMPUTED_VALUE"""),"SKPT INFORMASI")</f>
        <v>SKPT INFORMASI</v>
      </c>
      <c r="H1729" s="42">
        <f t="shared" si="1"/>
        <v>794</v>
      </c>
    </row>
    <row r="1730" ht="22.5" customHeight="1">
      <c r="B1730" s="42" t="str">
        <f>IFERROR(__xludf.DUMMYFUNCTION("""COMPUTED_VALUE"""),"L/10/230125/1")</f>
        <v>L/10/230125/1</v>
      </c>
      <c r="C1730" s="42" t="str">
        <f>IFERROR(__xludf.DUMMYFUNCTION("""COMPUTED_VALUE"""),"HM 372/KEMILING PERMAI")</f>
        <v>HM 372/KEMILING PERMAI</v>
      </c>
      <c r="D1730" s="42" t="str">
        <f>IFERROR(__xludf.DUMMYFUNCTION("""COMPUTED_VALUE"""),"David")</f>
        <v>David</v>
      </c>
      <c r="E1730" s="42" t="str">
        <f>IFERROR(__xludf.DUMMYFUNCTION("""COMPUTED_VALUE"""),"DISERAHKAN")</f>
        <v>DISERAHKAN</v>
      </c>
      <c r="F1730" s="48">
        <f>IFERROR(__xludf.DUMMYFUNCTION("""COMPUTED_VALUE"""),45695.5610353588)</f>
        <v>45695.56104</v>
      </c>
      <c r="G1730" s="42" t="str">
        <f>IFERROR(__xludf.DUMMYFUNCTION("""COMPUTED_VALUE"""),"ROYA")</f>
        <v>ROYA</v>
      </c>
      <c r="H1730" s="42">
        <f t="shared" si="1"/>
        <v>795</v>
      </c>
    </row>
    <row r="1731" ht="22.5" customHeight="1">
      <c r="B1731" s="42" t="str">
        <f>IFERROR(__xludf.DUMMYFUNCTION("""COMPUTED_VALUE"""),"K/11/230125/1")</f>
        <v>K/11/230125/1</v>
      </c>
      <c r="C1731" s="42" t="str">
        <f>IFERROR(__xludf.DUMMYFUNCTION("""COMPUTED_VALUE"""),"M. 28/ Kali Balau Kencana (4 SHT)")</f>
        <v>M. 28/ Kali Balau Kencana (4 SHT)</v>
      </c>
      <c r="D1731" s="42" t="str">
        <f>IFERROR(__xludf.DUMMYFUNCTION("""COMPUTED_VALUE"""),"David")</f>
        <v>David</v>
      </c>
      <c r="E1731" s="42" t="str">
        <f>IFERROR(__xludf.DUMMYFUNCTION("""COMPUTED_VALUE"""),"DISERAHKAN")</f>
        <v>DISERAHKAN</v>
      </c>
      <c r="F1731" s="48">
        <f>IFERROR(__xludf.DUMMYFUNCTION("""COMPUTED_VALUE"""),45715.40145881944)</f>
        <v>45715.40146</v>
      </c>
      <c r="G1731" s="42" t="str">
        <f>IFERROR(__xludf.DUMMYFUNCTION("""COMPUTED_VALUE"""),"ROYA")</f>
        <v>ROYA</v>
      </c>
      <c r="H1731" s="42">
        <f t="shared" si="1"/>
        <v>796</v>
      </c>
    </row>
    <row r="1732" ht="22.5" customHeight="1">
      <c r="B1732" s="42" t="str">
        <f>IFERROR(__xludf.DUMMYFUNCTION("""COMPUTED_VALUE"""),"K/12/230125/2")</f>
        <v>K/12/230125/2</v>
      </c>
      <c r="C1732" s="42" t="str">
        <f>IFERROR(__xludf.DUMMYFUNCTION("""COMPUTED_VALUE"""),"M. 9273/ Kedamaian (3 SHT)")</f>
        <v>M. 9273/ Kedamaian (3 SHT)</v>
      </c>
      <c r="D1732" s="42"/>
      <c r="E1732" s="42" t="str">
        <f>IFERROR(__xludf.DUMMYFUNCTION("""COMPUTED_VALUE"""),"DISERAHKAN")</f>
        <v>DISERAHKAN</v>
      </c>
      <c r="F1732" s="48">
        <f>IFERROR(__xludf.DUMMYFUNCTION("""COMPUTED_VALUE"""),45769.60071197917)</f>
        <v>45769.60071</v>
      </c>
      <c r="G1732" s="42" t="str">
        <f>IFERROR(__xludf.DUMMYFUNCTION("""COMPUTED_VALUE"""),"PEMECAHAN BIDANG")</f>
        <v>PEMECAHAN BIDANG</v>
      </c>
      <c r="H1732" s="42">
        <f t="shared" si="1"/>
        <v>797</v>
      </c>
    </row>
    <row r="1733" ht="22.5" customHeight="1">
      <c r="B1733" s="42" t="str">
        <f>IFERROR(__xludf.DUMMYFUNCTION("""COMPUTED_VALUE"""),"K/13/230125/3")</f>
        <v>K/13/230125/3</v>
      </c>
      <c r="C1733" s="42" t="str">
        <f>IFERROR(__xludf.DUMMYFUNCTION("""COMPUTED_VALUE"""),"M. 26, 27/ Kali Balau Kencana (4 SHT)")</f>
        <v>M. 26, 27/ Kali Balau Kencana (4 SHT)</v>
      </c>
      <c r="D1733" s="42" t="str">
        <f>IFERROR(__xludf.DUMMYFUNCTION("""COMPUTED_VALUE"""),"David")</f>
        <v>David</v>
      </c>
      <c r="E1733" s="42" t="str">
        <f>IFERROR(__xludf.DUMMYFUNCTION("""COMPUTED_VALUE"""),"DISERAHKAN")</f>
        <v>DISERAHKAN</v>
      </c>
      <c r="F1733" s="48">
        <f>IFERROR(__xludf.DUMMYFUNCTION("""COMPUTED_VALUE"""),45719.63390190972)</f>
        <v>45719.6339</v>
      </c>
      <c r="G1733" s="42" t="str">
        <f>IFERROR(__xludf.DUMMYFUNCTION("""COMPUTED_VALUE"""),"ROYA")</f>
        <v>ROYA</v>
      </c>
      <c r="H1733" s="42">
        <f t="shared" si="1"/>
        <v>798</v>
      </c>
    </row>
    <row r="1734" ht="22.5" customHeight="1">
      <c r="B1734" s="42" t="str">
        <f>IFERROR(__xludf.DUMMYFUNCTION("""COMPUTED_VALUE"""),"K/14/230125/4")</f>
        <v>K/14/230125/4</v>
      </c>
      <c r="C1734" s="42" t="str">
        <f>IFERROR(__xludf.DUMMYFUNCTION("""COMPUTED_VALUE"""),"M. 1157/ Bumi Kedamaian (3 SHT)")</f>
        <v>M. 1157/ Bumi Kedamaian (3 SHT)</v>
      </c>
      <c r="D1734" s="42" t="str">
        <f>IFERROR(__xludf.DUMMYFUNCTION("""COMPUTED_VALUE"""),"David")</f>
        <v>David</v>
      </c>
      <c r="E1734" s="42" t="str">
        <f>IFERROR(__xludf.DUMMYFUNCTION("""COMPUTED_VALUE"""),"PROSES")</f>
        <v>PROSES</v>
      </c>
      <c r="F1734" s="48" t="str">
        <f>IFERROR(__xludf.DUMMYFUNCTION("""COMPUTED_VALUE"""),"")</f>
        <v/>
      </c>
      <c r="G1734" s="42" t="str">
        <f>IFERROR(__xludf.DUMMYFUNCTION("""COMPUTED_VALUE"""),"ROYA")</f>
        <v>ROYA</v>
      </c>
      <c r="H1734" s="42">
        <f t="shared" si="1"/>
        <v>798</v>
      </c>
    </row>
    <row r="1735" ht="22.5" customHeight="1">
      <c r="B1735" s="42" t="str">
        <f>IFERROR(__xludf.DUMMYFUNCTION("""COMPUTED_VALUE"""),"K/15/230125/5")</f>
        <v>K/15/230125/5</v>
      </c>
      <c r="C1735" s="42" t="str">
        <f>IFERROR(__xludf.DUMMYFUNCTION("""COMPUTED_VALUE"""),"M. 215, 327/ Kali Balau Kencana (3 SHT)")</f>
        <v>M. 215, 327/ Kali Balau Kencana (3 SHT)</v>
      </c>
      <c r="D1735" s="42" t="str">
        <f>IFERROR(__xludf.DUMMYFUNCTION("""COMPUTED_VALUE"""),"David")</f>
        <v>David</v>
      </c>
      <c r="E1735" s="42" t="str">
        <f>IFERROR(__xludf.DUMMYFUNCTION("""COMPUTED_VALUE"""),"DISERAHKAN")</f>
        <v>DISERAHKAN</v>
      </c>
      <c r="F1735" s="48">
        <f>IFERROR(__xludf.DUMMYFUNCTION("""COMPUTED_VALUE"""),45769.60071197917)</f>
        <v>45769.60071</v>
      </c>
      <c r="G1735" s="42" t="str">
        <f>IFERROR(__xludf.DUMMYFUNCTION("""COMPUTED_VALUE"""),"ROYA")</f>
        <v>ROYA</v>
      </c>
      <c r="H1735" s="42">
        <f t="shared" si="1"/>
        <v>799</v>
      </c>
    </row>
    <row r="1736" ht="22.5" customHeight="1">
      <c r="B1736" s="42" t="str">
        <f>IFERROR(__xludf.DUMMYFUNCTION("""COMPUTED_VALUE"""),"K/16/230125/1")</f>
        <v>K/16/230125/1</v>
      </c>
      <c r="C1736" s="42" t="str">
        <f>IFERROR(__xludf.DUMMYFUNCTION("""COMPUTED_VALUE"""),"M. 1854/ Beringin Jaya")</f>
        <v>M. 1854/ Beringin Jaya</v>
      </c>
      <c r="D1736" s="42"/>
      <c r="E1736" s="42"/>
      <c r="F1736" s="48" t="str">
        <f>IFERROR(__xludf.DUMMYFUNCTION("""COMPUTED_VALUE"""),"")</f>
        <v/>
      </c>
      <c r="G1736" s="42" t="str">
        <f>IFERROR(__xludf.DUMMYFUNCTION("""COMPUTED_VALUE"""),"PTPGT (Pemecahan)")</f>
        <v>PTPGT (Pemecahan)</v>
      </c>
      <c r="H1736" s="42">
        <f t="shared" si="1"/>
        <v>799</v>
      </c>
    </row>
    <row r="1737" ht="22.5" customHeight="1">
      <c r="B1737" s="42" t="str">
        <f>IFERROR(__xludf.DUMMYFUNCTION("""COMPUTED_VALUE"""),"K/17/230125/2")</f>
        <v>K/17/230125/2</v>
      </c>
      <c r="C1737" s="42" t="str">
        <f>IFERROR(__xludf.DUMMYFUNCTION("""COMPUTED_VALUE"""),"M. 1851/ Beringin Jaya")</f>
        <v>M. 1851/ Beringin Jaya</v>
      </c>
      <c r="D1737" s="42"/>
      <c r="E1737" s="42"/>
      <c r="F1737" s="48" t="str">
        <f>IFERROR(__xludf.DUMMYFUNCTION("""COMPUTED_VALUE"""),"")</f>
        <v/>
      </c>
      <c r="G1737" s="42" t="str">
        <f>IFERROR(__xludf.DUMMYFUNCTION("""COMPUTED_VALUE"""),"PTPGT (Pemecahan)")</f>
        <v>PTPGT (Pemecahan)</v>
      </c>
      <c r="H1737" s="42">
        <f t="shared" si="1"/>
        <v>799</v>
      </c>
    </row>
    <row r="1738" ht="22.5" customHeight="1">
      <c r="B1738" s="42" t="str">
        <f>IFERROR(__xludf.DUMMYFUNCTION("""COMPUTED_VALUE"""),"K/18/230125/1")</f>
        <v>K/18/230125/1</v>
      </c>
      <c r="C1738" s="42" t="str">
        <f>IFERROR(__xludf.DUMMYFUNCTION("""COMPUTED_VALUE"""),"M. 612/ palapa")</f>
        <v>M. 612/ palapa</v>
      </c>
      <c r="D1738" s="42" t="str">
        <f>IFERROR(__xludf.DUMMYFUNCTION("""COMPUTED_VALUE"""),"David")</f>
        <v>David</v>
      </c>
      <c r="E1738" s="42" t="str">
        <f>IFERROR(__xludf.DUMMYFUNCTION("""COMPUTED_VALUE"""),"DISERAHKAN")</f>
        <v>DISERAHKAN</v>
      </c>
      <c r="F1738" s="48">
        <f>IFERROR(__xludf.DUMMYFUNCTION("""COMPUTED_VALUE"""),45695.46205096065)</f>
        <v>45695.46205</v>
      </c>
      <c r="G1738" s="42" t="str">
        <f>IFERROR(__xludf.DUMMYFUNCTION("""COMPUTED_VALUE"""),"BN WARIS")</f>
        <v>BN WARIS</v>
      </c>
      <c r="H1738" s="42">
        <f t="shared" si="1"/>
        <v>800</v>
      </c>
    </row>
    <row r="1739" ht="22.5" customHeight="1">
      <c r="B1739" s="42" t="str">
        <f>IFERROR(__xludf.DUMMYFUNCTION("""COMPUTED_VALUE"""),"L/19/230125/1")</f>
        <v>L/19/230125/1</v>
      </c>
      <c r="C1739" s="42" t="str">
        <f>IFERROR(__xludf.DUMMYFUNCTION("""COMPUTED_VALUE"""),"HM 11547/SUKABUMI")</f>
        <v>HM 11547/SUKABUMI</v>
      </c>
      <c r="D1739" s="42"/>
      <c r="E1739" s="42"/>
      <c r="F1739" s="48" t="str">
        <f>IFERROR(__xludf.DUMMYFUNCTION("""COMPUTED_VALUE"""),"")</f>
        <v/>
      </c>
      <c r="G1739" s="42" t="str">
        <f>IFERROR(__xludf.DUMMYFUNCTION("""COMPUTED_VALUE"""),"PTPGT")</f>
        <v>PTPGT</v>
      </c>
      <c r="H1739" s="42">
        <f t="shared" si="1"/>
        <v>800</v>
      </c>
    </row>
    <row r="1740" ht="22.5" customHeight="1">
      <c r="B1740" s="42" t="str">
        <f>IFERROR(__xludf.DUMMYFUNCTION("""COMPUTED_VALUE"""),"L/20/230125/1")</f>
        <v>L/20/230125/1</v>
      </c>
      <c r="C1740" s="42" t="str">
        <f>IFERROR(__xludf.DUMMYFUNCTION("""COMPUTED_VALUE"""),"TANJUNG BARU")</f>
        <v>TANJUNG BARU</v>
      </c>
      <c r="D1740" s="42"/>
      <c r="E1740" s="42"/>
      <c r="F1740" s="48" t="str">
        <f>IFERROR(__xludf.DUMMYFUNCTION("""COMPUTED_VALUE"""),"")</f>
        <v/>
      </c>
      <c r="G1740" s="42" t="str">
        <f>IFERROR(__xludf.DUMMYFUNCTION("""COMPUTED_VALUE"""),"ASPEK")</f>
        <v>ASPEK</v>
      </c>
      <c r="H1740" s="42">
        <f t="shared" si="1"/>
        <v>800</v>
      </c>
    </row>
    <row r="1741" ht="22.5" customHeight="1">
      <c r="B1741" s="42" t="str">
        <f>IFERROR(__xludf.DUMMYFUNCTION("""COMPUTED_VALUE"""),"K/21/230125/1")</f>
        <v>K/21/230125/1</v>
      </c>
      <c r="C1741" s="42" t="str">
        <f>IFERROR(__xludf.DUMMYFUNCTION("""COMPUTED_VALUE"""),"M.509/PERUMNAS WAY HALIM")</f>
        <v>M.509/PERUMNAS WAY HALIM</v>
      </c>
      <c r="D1741" s="42" t="str">
        <f>IFERROR(__xludf.DUMMYFUNCTION("""COMPUTED_VALUE"""),"David")</f>
        <v>David</v>
      </c>
      <c r="E1741" s="42" t="str">
        <f>IFERROR(__xludf.DUMMYFUNCTION("""COMPUTED_VALUE"""),"DISERAHKAN")</f>
        <v>DISERAHKAN</v>
      </c>
      <c r="F1741" s="48">
        <f>IFERROR(__xludf.DUMMYFUNCTION("""COMPUTED_VALUE"""),45702.426049201385)</f>
        <v>45702.42605</v>
      </c>
      <c r="G1741" s="42" t="str">
        <f>IFERROR(__xludf.DUMMYFUNCTION("""COMPUTED_VALUE"""),"KEWARISAN")</f>
        <v>KEWARISAN</v>
      </c>
      <c r="H1741" s="42">
        <f t="shared" si="1"/>
        <v>801</v>
      </c>
    </row>
    <row r="1742" ht="22.5" customHeight="1">
      <c r="B1742" s="42" t="str">
        <f>IFERROR(__xludf.DUMMYFUNCTION("""COMPUTED_VALUE"""),"K/22/230125/2")</f>
        <v>K/22/230125/2</v>
      </c>
      <c r="C1742" s="42" t="str">
        <f>IFERROR(__xludf.DUMMYFUNCTION("""COMPUTED_VALUE"""),"M.11346/SUKARAME I")</f>
        <v>M.11346/SUKARAME I</v>
      </c>
      <c r="D1742" s="42"/>
      <c r="E1742" s="42"/>
      <c r="F1742" s="48" t="str">
        <f>IFERROR(__xludf.DUMMYFUNCTION("""COMPUTED_VALUE"""),"")</f>
        <v/>
      </c>
      <c r="G1742" s="42" t="str">
        <f>IFERROR(__xludf.DUMMYFUNCTION("""COMPUTED_VALUE"""),"PTPGT")</f>
        <v>PTPGT</v>
      </c>
      <c r="H1742" s="42">
        <f t="shared" si="1"/>
        <v>801</v>
      </c>
    </row>
    <row r="1743" ht="22.5" customHeight="1">
      <c r="B1743" s="42" t="str">
        <f>IFERROR(__xludf.DUMMYFUNCTION("""COMPUTED_VALUE"""),"K/23/230125/1")</f>
        <v>K/23/230125/1</v>
      </c>
      <c r="C1743" s="42" t="str">
        <f>IFERROR(__xludf.DUMMYFUNCTION("""COMPUTED_VALUE"""),"M. 395/ Way Tataan")</f>
        <v>M. 395/ Way Tataan</v>
      </c>
      <c r="D1743" s="42"/>
      <c r="E1743" s="42"/>
      <c r="F1743" s="48" t="str">
        <f>IFERROR(__xludf.DUMMYFUNCTION("""COMPUTED_VALUE"""),"")</f>
        <v/>
      </c>
      <c r="G1743" s="42" t="str">
        <f>IFERROR(__xludf.DUMMYFUNCTION("""COMPUTED_VALUE"""),"HAPUS BPHTB")</f>
        <v>HAPUS BPHTB</v>
      </c>
      <c r="H1743" s="42">
        <f t="shared" si="1"/>
        <v>801</v>
      </c>
    </row>
    <row r="1744" ht="22.5" customHeight="1">
      <c r="B1744" s="42" t="str">
        <f>IFERROR(__xludf.DUMMYFUNCTION("""COMPUTED_VALUE"""),"K/24/230125/2")</f>
        <v>K/24/230125/2</v>
      </c>
      <c r="C1744" s="42" t="str">
        <f>IFERROR(__xludf.DUMMYFUNCTION("""COMPUTED_VALUE"""),"M. 18030/ Sukarame")</f>
        <v>M. 18030/ Sukarame</v>
      </c>
      <c r="D1744" s="42" t="str">
        <f>IFERROR(__xludf.DUMMYFUNCTION("""COMPUTED_VALUE"""),"David")</f>
        <v>David</v>
      </c>
      <c r="E1744" s="42" t="str">
        <f>IFERROR(__xludf.DUMMYFUNCTION("""COMPUTED_VALUE"""),"DISERAHKAN")</f>
        <v>DISERAHKAN</v>
      </c>
      <c r="F1744" s="48">
        <f>IFERROR(__xludf.DUMMYFUNCTION("""COMPUTED_VALUE"""),45698.61379203704)</f>
        <v>45698.61379</v>
      </c>
      <c r="G1744" s="42" t="str">
        <f>IFERROR(__xludf.DUMMYFUNCTION("""COMPUTED_VALUE"""),"BN HIBAH")</f>
        <v>BN HIBAH</v>
      </c>
      <c r="H1744" s="42">
        <f t="shared" si="1"/>
        <v>802</v>
      </c>
    </row>
    <row r="1745" ht="22.5" customHeight="1">
      <c r="B1745" s="42" t="str">
        <f>IFERROR(__xludf.DUMMYFUNCTION("""COMPUTED_VALUE"""),"K/25/230125/3")</f>
        <v>K/25/230125/3</v>
      </c>
      <c r="C1745" s="42" t="str">
        <f>IFERROR(__xludf.DUMMYFUNCTION("""COMPUTED_VALUE"""),"B.59/GEDONG AIR")</f>
        <v>B.59/GEDONG AIR</v>
      </c>
      <c r="D1745" s="42"/>
      <c r="E1745" s="42"/>
      <c r="F1745" s="48" t="str">
        <f>IFERROR(__xludf.DUMMYFUNCTION("""COMPUTED_VALUE"""),"")</f>
        <v/>
      </c>
      <c r="G1745" s="42" t="str">
        <f>IFERROR(__xludf.DUMMYFUNCTION("""COMPUTED_VALUE"""),"TANAH MENTAH")</f>
        <v>TANAH MENTAH</v>
      </c>
      <c r="H1745" s="42">
        <f t="shared" si="1"/>
        <v>802</v>
      </c>
    </row>
    <row r="1746" ht="22.5" customHeight="1">
      <c r="B1746" s="42" t="str">
        <f>IFERROR(__xludf.DUMMYFUNCTION("""COMPUTED_VALUE"""),"K/2/240125/1")</f>
        <v>K/2/240125/1</v>
      </c>
      <c r="C1746" s="42" t="str">
        <f>IFERROR(__xludf.DUMMYFUNCTION("""COMPUTED_VALUE"""),"M. 2227/ Susunan Baru")</f>
        <v>M. 2227/ Susunan Baru</v>
      </c>
      <c r="D1746" s="42" t="str">
        <f>IFERROR(__xludf.DUMMYFUNCTION("""COMPUTED_VALUE"""),"David")</f>
        <v>David</v>
      </c>
      <c r="E1746" s="42" t="str">
        <f>IFERROR(__xludf.DUMMYFUNCTION("""COMPUTED_VALUE"""),"DISERAHKAN")</f>
        <v>DISERAHKAN</v>
      </c>
      <c r="F1746" s="48">
        <f>IFERROR(__xludf.DUMMYFUNCTION("""COMPUTED_VALUE"""),45702.42993741899)</f>
        <v>45702.42994</v>
      </c>
      <c r="G1746" s="42" t="str">
        <f>IFERROR(__xludf.DUMMYFUNCTION("""COMPUTED_VALUE"""),"BN Hibah")</f>
        <v>BN Hibah</v>
      </c>
      <c r="H1746" s="42">
        <f t="shared" si="1"/>
        <v>803</v>
      </c>
    </row>
    <row r="1747" ht="22.5" customHeight="1">
      <c r="B1747" s="42" t="str">
        <f>IFERROR(__xludf.DUMMYFUNCTION("""COMPUTED_VALUE"""),"K/3/240125/1")</f>
        <v>K/3/240125/1</v>
      </c>
      <c r="C1747" s="42" t="str">
        <f>IFERROR(__xludf.DUMMYFUNCTION("""COMPUTED_VALUE"""),"M. 297/ Susunan Baru")</f>
        <v>M. 297/ Susunan Baru</v>
      </c>
      <c r="D1747" s="42"/>
      <c r="E1747" s="42"/>
      <c r="F1747" s="48" t="str">
        <f>IFERROR(__xludf.DUMMYFUNCTION("""COMPUTED_VALUE"""),"")</f>
        <v/>
      </c>
      <c r="G1747" s="42" t="str">
        <f>IFERROR(__xludf.DUMMYFUNCTION("""COMPUTED_VALUE"""),"Pemecahan")</f>
        <v>Pemecahan</v>
      </c>
      <c r="H1747" s="42">
        <f t="shared" si="1"/>
        <v>803</v>
      </c>
    </row>
    <row r="1748" ht="22.5" customHeight="1">
      <c r="B1748" s="42" t="str">
        <f>IFERROR(__xludf.DUMMYFUNCTION("""COMPUTED_VALUE"""),"K/1/240125/1")</f>
        <v>K/1/240125/1</v>
      </c>
      <c r="C1748" s="42" t="str">
        <f>IFERROR(__xludf.DUMMYFUNCTION("""COMPUTED_VALUE"""),"NIBEL M. 17042/JAGABAYA II")</f>
        <v>NIBEL M. 17042/JAGABAYA II</v>
      </c>
      <c r="D1748" s="42"/>
      <c r="E1748" s="42"/>
      <c r="F1748" s="48" t="str">
        <f>IFERROR(__xludf.DUMMYFUNCTION("""COMPUTED_VALUE"""),"")</f>
        <v/>
      </c>
      <c r="G1748" s="42" t="str">
        <f>IFERROR(__xludf.DUMMYFUNCTION("""COMPUTED_VALUE"""),"BN LELANG")</f>
        <v>BN LELANG</v>
      </c>
      <c r="H1748" s="42">
        <f t="shared" si="1"/>
        <v>803</v>
      </c>
    </row>
    <row r="1749" ht="22.5" customHeight="1">
      <c r="B1749" s="42" t="str">
        <f>IFERROR(__xludf.DUMMYFUNCTION("""COMPUTED_VALUE"""),"K/4/240125/1")</f>
        <v>K/4/240125/1</v>
      </c>
      <c r="C1749" s="42" t="str">
        <f>IFERROR(__xludf.DUMMYFUNCTION("""COMPUTED_VALUE"""),"M. 561 / BUMI KEDAMAIAN")</f>
        <v>M. 561 / BUMI KEDAMAIAN</v>
      </c>
      <c r="D1749" s="42"/>
      <c r="E1749" s="42"/>
      <c r="F1749" s="48" t="str">
        <f>IFERROR(__xludf.DUMMYFUNCTION("""COMPUTED_VALUE"""),"")</f>
        <v/>
      </c>
      <c r="G1749" s="42" t="str">
        <f>IFERROR(__xludf.DUMMYFUNCTION("""COMPUTED_VALUE"""),"PTPGT")</f>
        <v>PTPGT</v>
      </c>
      <c r="H1749" s="42">
        <f t="shared" si="1"/>
        <v>803</v>
      </c>
    </row>
    <row r="1750" ht="22.5" customHeight="1">
      <c r="B1750" s="42" t="str">
        <f>IFERROR(__xludf.DUMMYFUNCTION("""COMPUTED_VALUE"""),"L/5/240125/1")</f>
        <v>L/5/240125/1</v>
      </c>
      <c r="C1750" s="42" t="str">
        <f>IFERROR(__xludf.DUMMYFUNCTION("""COMPUTED_VALUE"""),"HMRS 209/TANJUNGKARANG")</f>
        <v>HMRS 209/TANJUNGKARANG</v>
      </c>
      <c r="D1750" s="42" t="str">
        <f>IFERROR(__xludf.DUMMYFUNCTION("""COMPUTED_VALUE"""),"David")</f>
        <v>David</v>
      </c>
      <c r="E1750" s="42" t="str">
        <f>IFERROR(__xludf.DUMMYFUNCTION("""COMPUTED_VALUE"""),"PROSES")</f>
        <v>PROSES</v>
      </c>
      <c r="F1750" s="48" t="str">
        <f>IFERROR(__xludf.DUMMYFUNCTION("""COMPUTED_VALUE"""),"")</f>
        <v/>
      </c>
      <c r="G1750" s="42" t="str">
        <f>IFERROR(__xludf.DUMMYFUNCTION("""COMPUTED_VALUE"""),"ROYA")</f>
        <v>ROYA</v>
      </c>
      <c r="H1750" s="42">
        <f t="shared" si="1"/>
        <v>803</v>
      </c>
    </row>
    <row r="1751" ht="22.5" customHeight="1">
      <c r="B1751" s="42" t="str">
        <f>IFERROR(__xludf.DUMMYFUNCTION("""COMPUTED_VALUE"""),"K/7/240125/1")</f>
        <v>K/7/240125/1</v>
      </c>
      <c r="C1751" s="42" t="str">
        <f>IFERROR(__xludf.DUMMYFUNCTION("""COMPUTED_VALUE"""),"M. 2176/ N O G")</f>
        <v>M. 2176/ N O G</v>
      </c>
      <c r="D1751" s="42" t="str">
        <f>IFERROR(__xludf.DUMMYFUNCTION("""COMPUTED_VALUE"""),"David")</f>
        <v>David</v>
      </c>
      <c r="E1751" s="42" t="str">
        <f>IFERROR(__xludf.DUMMYFUNCTION("""COMPUTED_VALUE"""),"DISERAHKAN")</f>
        <v>DISERAHKAN</v>
      </c>
      <c r="F1751" s="48">
        <f>IFERROR(__xludf.DUMMYFUNCTION("""COMPUTED_VALUE"""),45719.637173634255)</f>
        <v>45719.63717</v>
      </c>
      <c r="G1751" s="42" t="str">
        <f>IFERROR(__xludf.DUMMYFUNCTION("""COMPUTED_VALUE"""),"Roya")</f>
        <v>Roya</v>
      </c>
      <c r="H1751" s="42">
        <f t="shared" si="1"/>
        <v>804</v>
      </c>
    </row>
    <row r="1752" ht="22.5" customHeight="1">
      <c r="B1752" s="42" t="str">
        <f>IFERROR(__xludf.DUMMYFUNCTION("""COMPUTED_VALUE"""),"K/8/240125/1")</f>
        <v>K/8/240125/1</v>
      </c>
      <c r="C1752" s="42" t="str">
        <f>IFERROR(__xludf.DUMMYFUNCTION("""COMPUTED_VALUE"""),"NIBEL M 6352/SUKADANAHAM")</f>
        <v>NIBEL M 6352/SUKADANAHAM</v>
      </c>
      <c r="D1752" s="42"/>
      <c r="E1752" s="42"/>
      <c r="F1752" s="48" t="str">
        <f>IFERROR(__xludf.DUMMYFUNCTION("""COMPUTED_VALUE"""),"")</f>
        <v/>
      </c>
      <c r="G1752" s="42" t="str">
        <f>IFERROR(__xludf.DUMMYFUNCTION("""COMPUTED_VALUE"""),"PEMECAHAN")</f>
        <v>PEMECAHAN</v>
      </c>
      <c r="H1752" s="42">
        <f t="shared" si="1"/>
        <v>804</v>
      </c>
    </row>
    <row r="1753" ht="22.5" customHeight="1">
      <c r="B1753" s="42" t="str">
        <f>IFERROR(__xludf.DUMMYFUNCTION("""COMPUTED_VALUE"""),"K/11/240125/1")</f>
        <v>K/11/240125/1</v>
      </c>
      <c r="C1753" s="42" t="str">
        <f>IFERROR(__xludf.DUMMYFUNCTION("""COMPUTED_VALUE"""),"M. 1286/ N O G")</f>
        <v>M. 1286/ N O G</v>
      </c>
      <c r="D1753" s="42" t="str">
        <f>IFERROR(__xludf.DUMMYFUNCTION("""COMPUTED_VALUE"""),"David")</f>
        <v>David</v>
      </c>
      <c r="E1753" s="42" t="str">
        <f>IFERROR(__xludf.DUMMYFUNCTION("""COMPUTED_VALUE"""),"DISERAHKAN BT")</f>
        <v>DISERAHKAN BT</v>
      </c>
      <c r="F1753" s="48">
        <f>IFERROR(__xludf.DUMMYFUNCTION("""COMPUTED_VALUE"""),45708.60305318287)</f>
        <v>45708.60305</v>
      </c>
      <c r="G1753" s="42" t="str">
        <f>IFERROR(__xludf.DUMMYFUNCTION("""COMPUTED_VALUE"""),"Roya")</f>
        <v>Roya</v>
      </c>
      <c r="H1753" s="42">
        <f t="shared" si="1"/>
        <v>804</v>
      </c>
    </row>
    <row r="1754" ht="22.5" customHeight="1">
      <c r="B1754" s="42" t="str">
        <f>IFERROR(__xludf.DUMMYFUNCTION("""COMPUTED_VALUE"""),"K/9/240125/2")</f>
        <v>K/9/240125/2</v>
      </c>
      <c r="C1754" s="42" t="str">
        <f>IFERROR(__xludf.DUMMYFUNCTION("""COMPUTED_VALUE"""),"NIBEL M 6354/SUKADANAHAM")</f>
        <v>NIBEL M 6354/SUKADANAHAM</v>
      </c>
      <c r="D1754" s="42"/>
      <c r="E1754" s="42"/>
      <c r="F1754" s="48" t="str">
        <f>IFERROR(__xludf.DUMMYFUNCTION("""COMPUTED_VALUE"""),"")</f>
        <v/>
      </c>
      <c r="G1754" s="42" t="str">
        <f>IFERROR(__xludf.DUMMYFUNCTION("""COMPUTED_VALUE"""),"PEMECAHAN")</f>
        <v>PEMECAHAN</v>
      </c>
      <c r="H1754" s="42">
        <f t="shared" si="1"/>
        <v>804</v>
      </c>
    </row>
    <row r="1755" ht="22.5" customHeight="1">
      <c r="B1755" s="42" t="str">
        <f>IFERROR(__xludf.DUMMYFUNCTION("""COMPUTED_VALUE"""),"K/10/240125/3")</f>
        <v>K/10/240125/3</v>
      </c>
      <c r="C1755" s="42" t="str">
        <f>IFERROR(__xludf.DUMMYFUNCTION("""COMPUTED_VALUE"""),"NIBEL M 6355/SUKADANAHAM")</f>
        <v>NIBEL M 6355/SUKADANAHAM</v>
      </c>
      <c r="D1755" s="42"/>
      <c r="E1755" s="42"/>
      <c r="F1755" s="48" t="str">
        <f>IFERROR(__xludf.DUMMYFUNCTION("""COMPUTED_VALUE"""),"")</f>
        <v/>
      </c>
      <c r="G1755" s="42" t="str">
        <f>IFERROR(__xludf.DUMMYFUNCTION("""COMPUTED_VALUE"""),"PEMECAHAN")</f>
        <v>PEMECAHAN</v>
      </c>
      <c r="H1755" s="42">
        <f t="shared" si="1"/>
        <v>804</v>
      </c>
    </row>
    <row r="1756" ht="22.5" customHeight="1">
      <c r="B1756" s="42" t="str">
        <f>IFERROR(__xludf.DUMMYFUNCTION("""COMPUTED_VALUE"""),"K/12/240125/1")</f>
        <v>K/12/240125/1</v>
      </c>
      <c r="C1756" s="42" t="str">
        <f>IFERROR(__xludf.DUMMYFUNCTION("""COMPUTED_VALUE"""),"M.1157/KOTA KARANG ")</f>
        <v>M.1157/KOTA KARANG </v>
      </c>
      <c r="D1756" s="42" t="str">
        <f>IFERROR(__xludf.DUMMYFUNCTION("""COMPUTED_VALUE"""),"David")</f>
        <v>David</v>
      </c>
      <c r="E1756" s="42" t="str">
        <f>IFERROR(__xludf.DUMMYFUNCTION("""COMPUTED_VALUE"""),"DISERAHKAN")</f>
        <v>DISERAHKAN</v>
      </c>
      <c r="F1756" s="48">
        <f>IFERROR(__xludf.DUMMYFUNCTION("""COMPUTED_VALUE"""),45720.56696431713)</f>
        <v>45720.56696</v>
      </c>
      <c r="G1756" s="42" t="str">
        <f>IFERROR(__xludf.DUMMYFUNCTION("""COMPUTED_VALUE"""),"ROYA")</f>
        <v>ROYA</v>
      </c>
      <c r="H1756" s="42">
        <f t="shared" si="1"/>
        <v>805</v>
      </c>
    </row>
    <row r="1757" ht="22.5" customHeight="1">
      <c r="B1757" s="42" t="str">
        <f>IFERROR(__xludf.DUMMYFUNCTION("""COMPUTED_VALUE"""),"K/13/240125/1")</f>
        <v>K/13/240125/1</v>
      </c>
      <c r="C1757" s="42" t="str">
        <f>IFERROR(__xludf.DUMMYFUNCTION("""COMPUTED_VALUE"""),"M.116/SUKABUMI INDAH")</f>
        <v>M.116/SUKABUMI INDAH</v>
      </c>
      <c r="D1757" s="42" t="str">
        <f>IFERROR(__xludf.DUMMYFUNCTION("""COMPUTED_VALUE"""),"David")</f>
        <v>David</v>
      </c>
      <c r="E1757" s="42" t="str">
        <f>IFERROR(__xludf.DUMMYFUNCTION("""COMPUTED_VALUE"""),"PROSES")</f>
        <v>PROSES</v>
      </c>
      <c r="F1757" s="48" t="str">
        <f>IFERROR(__xludf.DUMMYFUNCTION("""COMPUTED_VALUE"""),"")</f>
        <v/>
      </c>
      <c r="G1757" s="42" t="str">
        <f>IFERROR(__xludf.DUMMYFUNCTION("""COMPUTED_VALUE"""),"BN WARIS")</f>
        <v>BN WARIS</v>
      </c>
      <c r="H1757" s="42">
        <f t="shared" si="1"/>
        <v>805</v>
      </c>
    </row>
    <row r="1758" ht="22.5" customHeight="1">
      <c r="B1758" s="42" t="str">
        <f>IFERROR(__xludf.DUMMYFUNCTION("""COMPUTED_VALUE"""),"L/14/240125/1")</f>
        <v>L/14/240125/1</v>
      </c>
      <c r="C1758" s="42" t="str">
        <f>IFERROR(__xludf.DUMMYFUNCTION("""COMPUTED_VALUE"""),"SUKARAME")</f>
        <v>SUKARAME</v>
      </c>
      <c r="D1758" s="42"/>
      <c r="E1758" s="42"/>
      <c r="F1758" s="48" t="str">
        <f>IFERROR(__xludf.DUMMYFUNCTION("""COMPUTED_VALUE"""),"")</f>
        <v/>
      </c>
      <c r="G1758" s="42" t="str">
        <f>IFERROR(__xludf.DUMMYFUNCTION("""COMPUTED_VALUE"""),"PERTAMA KALI")</f>
        <v>PERTAMA KALI</v>
      </c>
      <c r="H1758" s="42">
        <f t="shared" si="1"/>
        <v>805</v>
      </c>
    </row>
    <row r="1759" ht="22.5" customHeight="1">
      <c r="B1759" s="42" t="str">
        <f>IFERROR(__xludf.DUMMYFUNCTION("""COMPUTED_VALUE"""),"L/16/240125/1")</f>
        <v>L/16/240125/1</v>
      </c>
      <c r="C1759" s="42" t="str">
        <f>IFERROR(__xludf.DUMMYFUNCTION("""COMPUTED_VALUE"""),"HM 10586,10587/SIDODADI")</f>
        <v>HM 10586,10587/SIDODADI</v>
      </c>
      <c r="D1759" s="42" t="str">
        <f>IFERROR(__xludf.DUMMYFUNCTION("""COMPUTED_VALUE"""),"David")</f>
        <v>David</v>
      </c>
      <c r="E1759" s="42" t="str">
        <f>IFERROR(__xludf.DUMMYFUNCTION("""COMPUTED_VALUE"""),"DISERAHKAN")</f>
        <v>DISERAHKAN</v>
      </c>
      <c r="F1759" s="48">
        <f>IFERROR(__xludf.DUMMYFUNCTION("""COMPUTED_VALUE"""),45707.672089699074)</f>
        <v>45707.67209</v>
      </c>
      <c r="G1759" s="42" t="str">
        <f>IFERROR(__xludf.DUMMYFUNCTION("""COMPUTED_VALUE"""),"BN TUKAR MENUKAR")</f>
        <v>BN TUKAR MENUKAR</v>
      </c>
      <c r="H1759" s="42">
        <f t="shared" si="1"/>
        <v>806</v>
      </c>
    </row>
    <row r="1760" ht="22.5" customHeight="1">
      <c r="B1760" s="42" t="str">
        <f>IFERROR(__xludf.DUMMYFUNCTION("""COMPUTED_VALUE"""),"K/17/240125/1")</f>
        <v>K/17/240125/1</v>
      </c>
      <c r="C1760" s="42" t="str">
        <f>IFERROR(__xludf.DUMMYFUNCTION("""COMPUTED_VALUE"""),"M.752/SUMBERREJO SEJAHTERA")</f>
        <v>M.752/SUMBERREJO SEJAHTERA</v>
      </c>
      <c r="D1760" s="42"/>
      <c r="E1760" s="42"/>
      <c r="F1760" s="48" t="str">
        <f>IFERROR(__xludf.DUMMYFUNCTION("""COMPUTED_VALUE"""),"")</f>
        <v/>
      </c>
      <c r="G1760" s="42" t="str">
        <f>IFERROR(__xludf.DUMMYFUNCTION("""COMPUTED_VALUE"""),"HAPUS BPHTB")</f>
        <v>HAPUS BPHTB</v>
      </c>
      <c r="H1760" s="42">
        <f t="shared" si="1"/>
        <v>806</v>
      </c>
    </row>
    <row r="1761" ht="22.5" customHeight="1">
      <c r="B1761" s="42" t="str">
        <f>IFERROR(__xludf.DUMMYFUNCTION("""COMPUTED_VALUE"""),"L/18/240125/1")</f>
        <v>L/18/240125/1</v>
      </c>
      <c r="C1761" s="42" t="str">
        <f>IFERROR(__xludf.DUMMYFUNCTION("""COMPUTED_VALUE"""),"NIB 3457/KEMILING PERMAI")</f>
        <v>NIB 3457/KEMILING PERMAI</v>
      </c>
      <c r="D1761" s="42"/>
      <c r="E1761" s="42"/>
      <c r="F1761" s="48" t="str">
        <f>IFERROR(__xludf.DUMMYFUNCTION("""COMPUTED_VALUE"""),"")</f>
        <v/>
      </c>
      <c r="G1761" s="42" t="str">
        <f>IFERROR(__xludf.DUMMYFUNCTION("""COMPUTED_VALUE"""),"PPTPGT")</f>
        <v>PPTPGT</v>
      </c>
      <c r="H1761" s="42">
        <f t="shared" si="1"/>
        <v>806</v>
      </c>
    </row>
    <row r="1762" ht="22.5" customHeight="1">
      <c r="B1762" s="42" t="str">
        <f>IFERROR(__xludf.DUMMYFUNCTION("""COMPUTED_VALUE"""),"K/15/240125/1")</f>
        <v>K/15/240125/1</v>
      </c>
      <c r="C1762" s="42" t="str">
        <f>IFERROR(__xludf.DUMMYFUNCTION("""COMPUTED_VALUE"""),"M.57/GARUNTANG")</f>
        <v>M.57/GARUNTANG</v>
      </c>
      <c r="D1762" s="42"/>
      <c r="E1762" s="42"/>
      <c r="F1762" s="48" t="str">
        <f>IFERROR(__xludf.DUMMYFUNCTION("""COMPUTED_VALUE"""),"")</f>
        <v/>
      </c>
      <c r="G1762" s="42" t="str">
        <f>IFERROR(__xludf.DUMMYFUNCTION("""COMPUTED_VALUE"""),"SKPT LELANG")</f>
        <v>SKPT LELANG</v>
      </c>
      <c r="H1762" s="42">
        <f t="shared" si="1"/>
        <v>806</v>
      </c>
    </row>
    <row r="1763" ht="22.5" customHeight="1">
      <c r="B1763" s="42" t="str">
        <f>IFERROR(__xludf.DUMMYFUNCTION("""COMPUTED_VALUE"""),"K/20/240125/2")</f>
        <v>K/20/240125/2</v>
      </c>
      <c r="C1763" s="42" t="str">
        <f>IFERROR(__xludf.DUMMYFUNCTION("""COMPUTED_VALUE"""),"PBT. 24/2024 / KEMILING PERMAI")</f>
        <v>PBT. 24/2024 / KEMILING PERMAI</v>
      </c>
      <c r="D1763" s="42"/>
      <c r="E1763" s="42"/>
      <c r="F1763" s="48" t="str">
        <f>IFERROR(__xludf.DUMMYFUNCTION("""COMPUTED_VALUE"""),"")</f>
        <v/>
      </c>
      <c r="G1763" s="42" t="str">
        <f>IFERROR(__xludf.DUMMYFUNCTION("""COMPUTED_VALUE"""),"PERMOHONAN SK")</f>
        <v>PERMOHONAN SK</v>
      </c>
      <c r="H1763" s="42">
        <f t="shared" si="1"/>
        <v>806</v>
      </c>
    </row>
    <row r="1764" ht="22.5" customHeight="1">
      <c r="B1764" s="42" t="str">
        <f>IFERROR(__xludf.DUMMYFUNCTION("""COMPUTED_VALUE"""),"K/19/240125/1")</f>
        <v>K/19/240125/1</v>
      </c>
      <c r="C1764" s="42" t="str">
        <f>IFERROR(__xludf.DUMMYFUNCTION("""COMPUTED_VALUE"""),"M. 675/ Bumi Kedamaian")</f>
        <v>M. 675/ Bumi Kedamaian</v>
      </c>
      <c r="D1764" s="42" t="str">
        <f>IFERROR(__xludf.DUMMYFUNCTION("""COMPUTED_VALUE"""),"David")</f>
        <v>David</v>
      </c>
      <c r="E1764" s="42" t="str">
        <f>IFERROR(__xludf.DUMMYFUNCTION("""COMPUTED_VALUE"""),"DISERAHKAN")</f>
        <v>DISERAHKAN</v>
      </c>
      <c r="F1764" s="48">
        <f>IFERROR(__xludf.DUMMYFUNCTION("""COMPUTED_VALUE"""),45702.40935862268)</f>
        <v>45702.40936</v>
      </c>
      <c r="G1764" s="42" t="str">
        <f>IFERROR(__xludf.DUMMYFUNCTION("""COMPUTED_VALUE"""),"Bn Waris")</f>
        <v>Bn Waris</v>
      </c>
      <c r="H1764" s="42">
        <f t="shared" si="1"/>
        <v>807</v>
      </c>
    </row>
    <row r="1765" ht="22.5" customHeight="1">
      <c r="B1765" s="42" t="str">
        <f>IFERROR(__xludf.DUMMYFUNCTION("""COMPUTED_VALUE"""),"K/21/240125/1")</f>
        <v>K/21/240125/1</v>
      </c>
      <c r="C1765" s="42" t="str">
        <f>IFERROR(__xludf.DUMMYFUNCTION("""COMPUTED_VALUE"""),"B.579/NUSANTARA PERMAI")</f>
        <v>B.579/NUSANTARA PERMAI</v>
      </c>
      <c r="D1765" s="42"/>
      <c r="E1765" s="42"/>
      <c r="F1765" s="48" t="str">
        <f>IFERROR(__xludf.DUMMYFUNCTION("""COMPUTED_VALUE"""),"")</f>
        <v/>
      </c>
      <c r="G1765" s="42" t="str">
        <f>IFERROR(__xludf.DUMMYFUNCTION("""COMPUTED_VALUE"""),"PERUBAHAN HAK")</f>
        <v>PERUBAHAN HAK</v>
      </c>
      <c r="H1765" s="42">
        <f t="shared" si="1"/>
        <v>807</v>
      </c>
    </row>
    <row r="1766" ht="22.5" customHeight="1">
      <c r="B1766" s="42" t="str">
        <f>IFERROR(__xludf.DUMMYFUNCTION("""COMPUTED_VALUE"""),"K/22/240125/1")</f>
        <v>K/22/240125/1</v>
      </c>
      <c r="C1766" s="42" t="str">
        <f>IFERROR(__xludf.DUMMYFUNCTION("""COMPUTED_VALUE"""),"M.1766/GEDONG AIR")</f>
        <v>M.1766/GEDONG AIR</v>
      </c>
      <c r="D1766" s="42"/>
      <c r="E1766" s="42"/>
      <c r="F1766" s="48" t="str">
        <f>IFERROR(__xludf.DUMMYFUNCTION("""COMPUTED_VALUE"""),"")</f>
        <v/>
      </c>
      <c r="G1766" s="42" t="str">
        <f>IFERROR(__xludf.DUMMYFUNCTION("""COMPUTED_VALUE"""),"PEMECAHAN")</f>
        <v>PEMECAHAN</v>
      </c>
      <c r="H1766" s="42">
        <f t="shared" si="1"/>
        <v>807</v>
      </c>
    </row>
    <row r="1767" ht="22.5" customHeight="1">
      <c r="B1767" s="42" t="str">
        <f>IFERROR(__xludf.DUMMYFUNCTION("""COMPUTED_VALUE"""),"L/23/240125/1")</f>
        <v>L/23/240125/1</v>
      </c>
      <c r="C1767" s="42" t="str">
        <f>IFERROR(__xludf.DUMMYFUNCTION("""COMPUTED_VALUE"""),"HM 528/BAKUNG")</f>
        <v>HM 528/BAKUNG</v>
      </c>
      <c r="D1767" s="42" t="str">
        <f>IFERROR(__xludf.DUMMYFUNCTION("""COMPUTED_VALUE"""),"David")</f>
        <v>David</v>
      </c>
      <c r="E1767" s="42" t="str">
        <f>IFERROR(__xludf.DUMMYFUNCTION("""COMPUTED_VALUE"""),"DISERAHKAN")</f>
        <v>DISERAHKAN</v>
      </c>
      <c r="F1767" s="48">
        <f>IFERROR(__xludf.DUMMYFUNCTION("""COMPUTED_VALUE"""),45708.59390896991)</f>
        <v>45708.59391</v>
      </c>
      <c r="G1767" s="42" t="str">
        <f>IFERROR(__xludf.DUMMYFUNCTION("""COMPUTED_VALUE"""),"ROYA")</f>
        <v>ROYA</v>
      </c>
      <c r="H1767" s="42">
        <f t="shared" si="1"/>
        <v>808</v>
      </c>
    </row>
    <row r="1768" ht="22.5" customHeight="1">
      <c r="B1768" s="42" t="str">
        <f>IFERROR(__xludf.DUMMYFUNCTION("""COMPUTED_VALUE"""),"K/24/240125/1")</f>
        <v>K/24/240125/1</v>
      </c>
      <c r="C1768" s="42" t="str">
        <f>IFERROR(__xludf.DUMMYFUNCTION("""COMPUTED_VALUE"""),"M. 16099/ Sukarame")</f>
        <v>M. 16099/ Sukarame</v>
      </c>
      <c r="D1768" s="42" t="str">
        <f>IFERROR(__xludf.DUMMYFUNCTION("""COMPUTED_VALUE"""),"David")</f>
        <v>David</v>
      </c>
      <c r="E1768" s="42" t="str">
        <f>IFERROR(__xludf.DUMMYFUNCTION("""COMPUTED_VALUE"""),"DISERAHKAN")</f>
        <v>DISERAHKAN</v>
      </c>
      <c r="F1768" s="48">
        <f>IFERROR(__xludf.DUMMYFUNCTION("""COMPUTED_VALUE"""),45763.44797738426)</f>
        <v>45763.44798</v>
      </c>
      <c r="G1768" s="42" t="str">
        <f>IFERROR(__xludf.DUMMYFUNCTION("""COMPUTED_VALUE"""),"Roya")</f>
        <v>Roya</v>
      </c>
      <c r="H1768" s="42">
        <f t="shared" si="1"/>
        <v>809</v>
      </c>
    </row>
    <row r="1769" ht="22.5" customHeight="1">
      <c r="B1769" s="42" t="str">
        <f>IFERROR(__xludf.DUMMYFUNCTION("""COMPUTED_VALUE"""),"K/1/300125/1")</f>
        <v>K/1/300125/1</v>
      </c>
      <c r="C1769" s="42" t="str">
        <f>IFERROR(__xludf.DUMMYFUNCTION("""COMPUTED_VALUE"""),"M.15589/SUKABUMI DAN M.15642/SUKABUMI")</f>
        <v>M.15589/SUKABUMI DAN M.15642/SUKABUMI</v>
      </c>
      <c r="D1769" s="42"/>
      <c r="E1769" s="42"/>
      <c r="F1769" s="48" t="str">
        <f>IFERROR(__xludf.DUMMYFUNCTION("""COMPUTED_VALUE"""),"")</f>
        <v/>
      </c>
      <c r="G1769" s="42" t="str">
        <f>IFERROR(__xludf.DUMMYFUNCTION("""COMPUTED_VALUE"""),"PENGGABUNGAN")</f>
        <v>PENGGABUNGAN</v>
      </c>
      <c r="H1769" s="42">
        <f t="shared" si="1"/>
        <v>809</v>
      </c>
    </row>
    <row r="1770" ht="22.5" customHeight="1">
      <c r="B1770" s="42" t="str">
        <f>IFERROR(__xludf.DUMMYFUNCTION("""COMPUTED_VALUE"""),"K/2/300125/1")</f>
        <v>K/2/300125/1</v>
      </c>
      <c r="C1770" s="42" t="str">
        <f>IFERROR(__xludf.DUMMYFUNCTION("""COMPUTED_VALUE"""),"Nibel. M. 16428/ Bumi Kedamaian")</f>
        <v>Nibel. M. 16428/ Bumi Kedamaian</v>
      </c>
      <c r="D1770" s="42"/>
      <c r="E1770" s="42"/>
      <c r="F1770" s="48" t="str">
        <f>IFERROR(__xludf.DUMMYFUNCTION("""COMPUTED_VALUE"""),"")</f>
        <v/>
      </c>
      <c r="G1770" s="42" t="str">
        <f>IFERROR(__xludf.DUMMYFUNCTION("""COMPUTED_VALUE"""),"BN Lelang")</f>
        <v>BN Lelang</v>
      </c>
      <c r="H1770" s="42">
        <f t="shared" si="1"/>
        <v>809</v>
      </c>
    </row>
    <row r="1771" ht="22.5" customHeight="1">
      <c r="B1771" s="42" t="str">
        <f>IFERROR(__xludf.DUMMYFUNCTION("""COMPUTED_VALUE"""),"K/3/300125/1")</f>
        <v>K/3/300125/1</v>
      </c>
      <c r="C1771" s="42" t="str">
        <f>IFERROR(__xludf.DUMMYFUNCTION("""COMPUTED_VALUE"""),"M. 770/ Gulak Galik")</f>
        <v>M. 770/ Gulak Galik</v>
      </c>
      <c r="D1771" s="42"/>
      <c r="E1771" s="42" t="str">
        <f>IFERROR(__xludf.DUMMYFUNCTION("""COMPUTED_VALUE"""),"PROSES")</f>
        <v>PROSES</v>
      </c>
      <c r="F1771" s="48" t="str">
        <f>IFERROR(__xludf.DUMMYFUNCTION("""COMPUTED_VALUE"""),"")</f>
        <v/>
      </c>
      <c r="G1771" s="42" t="str">
        <f>IFERROR(__xludf.DUMMYFUNCTION("""COMPUTED_VALUE"""),"ROYA")</f>
        <v>ROYA</v>
      </c>
      <c r="H1771" s="42">
        <f t="shared" si="1"/>
        <v>809</v>
      </c>
    </row>
    <row r="1772" ht="22.5" customHeight="1">
      <c r="B1772" s="42" t="str">
        <f>IFERROR(__xludf.DUMMYFUNCTION("""COMPUTED_VALUE"""),"K/5/300125/1")</f>
        <v>K/5/300125/1</v>
      </c>
      <c r="C1772" s="42" t="str">
        <f>IFERROR(__xludf.DUMMYFUNCTION("""COMPUTED_VALUE"""),"M. 1851/ Labuhan Dalam")</f>
        <v>M. 1851/ Labuhan Dalam</v>
      </c>
      <c r="D1772" s="42"/>
      <c r="E1772" s="42" t="str">
        <f>IFERROR(__xludf.DUMMYFUNCTION("""COMPUTED_VALUE"""),"DISERAHKAN")</f>
        <v>DISERAHKAN</v>
      </c>
      <c r="F1772" s="48">
        <f>IFERROR(__xludf.DUMMYFUNCTION("""COMPUTED_VALUE"""),45712.41313701389)</f>
        <v>45712.41314</v>
      </c>
      <c r="G1772" s="42" t="str">
        <f>IFERROR(__xludf.DUMMYFUNCTION("""COMPUTED_VALUE"""),"BN Lelang")</f>
        <v>BN Lelang</v>
      </c>
      <c r="H1772" s="42">
        <f t="shared" si="1"/>
        <v>810</v>
      </c>
    </row>
    <row r="1773" ht="22.5" customHeight="1">
      <c r="B1773" s="42" t="str">
        <f>IFERROR(__xludf.DUMMYFUNCTION("""COMPUTED_VALUE"""),"K/4/300125/1")</f>
        <v>K/4/300125/1</v>
      </c>
      <c r="C1773" s="42" t="str">
        <f>IFERROR(__xludf.DUMMYFUNCTION("""COMPUTED_VALUE"""),"M. 2057/ Labuhan Dalam")</f>
        <v>M. 2057/ Labuhan Dalam</v>
      </c>
      <c r="D1773" s="42"/>
      <c r="E1773" s="42"/>
      <c r="F1773" s="48" t="str">
        <f>IFERROR(__xludf.DUMMYFUNCTION("""COMPUTED_VALUE"""),"")</f>
        <v/>
      </c>
      <c r="G1773" s="42" t="str">
        <f>IFERROR(__xludf.DUMMYFUNCTION("""COMPUTED_VALUE"""),"SKPT LELANG")</f>
        <v>SKPT LELANG</v>
      </c>
      <c r="H1773" s="42">
        <f t="shared" si="1"/>
        <v>810</v>
      </c>
    </row>
    <row r="1774" ht="22.5" customHeight="1">
      <c r="B1774" s="42" t="str">
        <f>IFERROR(__xludf.DUMMYFUNCTION("""COMPUTED_VALUE"""),"K/6/300125/1")</f>
        <v>K/6/300125/1</v>
      </c>
      <c r="C1774" s="42" t="str">
        <f>IFERROR(__xludf.DUMMYFUNCTION("""COMPUTED_VALUE"""),"M. 1703/ Way Laga")</f>
        <v>M. 1703/ Way Laga</v>
      </c>
      <c r="D1774" s="42"/>
      <c r="E1774" s="42"/>
      <c r="F1774" s="48" t="str">
        <f>IFERROR(__xludf.DUMMYFUNCTION("""COMPUTED_VALUE"""),"")</f>
        <v/>
      </c>
      <c r="G1774" s="42" t="str">
        <f>IFERROR(__xludf.DUMMYFUNCTION("""COMPUTED_VALUE"""),"Hapus BPHTB")</f>
        <v>Hapus BPHTB</v>
      </c>
      <c r="H1774" s="42">
        <f t="shared" si="1"/>
        <v>810</v>
      </c>
    </row>
    <row r="1775" ht="22.5" customHeight="1">
      <c r="B1775" s="42" t="str">
        <f>IFERROR(__xludf.DUMMYFUNCTION("""COMPUTED_VALUE"""),"K/7/300125/1")</f>
        <v>K/7/300125/1</v>
      </c>
      <c r="C1775" s="42" t="str">
        <f>IFERROR(__xludf.DUMMYFUNCTION("""COMPUTED_VALUE"""),"M.10159/KEDAMAIAN DAN M.10803/KEDAMAIAN")</f>
        <v>M.10159/KEDAMAIAN DAN M.10803/KEDAMAIAN</v>
      </c>
      <c r="D1775" s="42"/>
      <c r="E1775" s="42" t="str">
        <f>IFERROR(__xludf.DUMMYFUNCTION("""COMPUTED_VALUE"""),"DISERAHKAN")</f>
        <v>DISERAHKAN</v>
      </c>
      <c r="F1775" s="48">
        <f>IFERROR(__xludf.DUMMYFUNCTION("""COMPUTED_VALUE"""),45715.40267790509)</f>
        <v>45715.40268</v>
      </c>
      <c r="G1775" s="42" t="str">
        <f>IFERROR(__xludf.DUMMYFUNCTION("""COMPUTED_VALUE"""),"ROYA")</f>
        <v>ROYA</v>
      </c>
      <c r="H1775" s="42">
        <f t="shared" si="1"/>
        <v>811</v>
      </c>
    </row>
    <row r="1776" ht="22.5" customHeight="1">
      <c r="B1776" s="42" t="str">
        <f>IFERROR(__xludf.DUMMYFUNCTION("""COMPUTED_VALUE"""),"K/8/300125/1")</f>
        <v>K/8/300125/1</v>
      </c>
      <c r="C1776" s="42" t="str">
        <f>IFERROR(__xludf.DUMMYFUNCTION("""COMPUTED_VALUE"""),"M. 778/ Gedong AIr")</f>
        <v>M. 778/ Gedong AIr</v>
      </c>
      <c r="D1776" s="42"/>
      <c r="E1776" s="42"/>
      <c r="F1776" s="48" t="str">
        <f>IFERROR(__xludf.DUMMYFUNCTION("""COMPUTED_VALUE"""),"")</f>
        <v/>
      </c>
      <c r="G1776" s="42" t="str">
        <f>IFERROR(__xludf.DUMMYFUNCTION("""COMPUTED_VALUE"""),"PEMNECAHAN BIDANG")</f>
        <v>PEMNECAHAN BIDANG</v>
      </c>
      <c r="H1776" s="42">
        <f t="shared" si="1"/>
        <v>811</v>
      </c>
    </row>
    <row r="1777" ht="22.5" customHeight="1">
      <c r="B1777" s="42" t="str">
        <f>IFERROR(__xludf.DUMMYFUNCTION("""COMPUTED_VALUE"""),"L/9/300125/1")</f>
        <v>L/9/300125/1</v>
      </c>
      <c r="C1777" s="42" t="str">
        <f>IFERROR(__xludf.DUMMYFUNCTION("""COMPUTED_VALUE"""),"HM 921/RAJABASA RAYA")</f>
        <v>HM 921/RAJABASA RAYA</v>
      </c>
      <c r="D1777" s="42"/>
      <c r="E1777" s="42" t="str">
        <f>IFERROR(__xludf.DUMMYFUNCTION("""COMPUTED_VALUE"""),"PROSES")</f>
        <v>PROSES</v>
      </c>
      <c r="F1777" s="48" t="str">
        <f>IFERROR(__xludf.DUMMYFUNCTION("""COMPUTED_VALUE"""),"")</f>
        <v/>
      </c>
      <c r="G1777" s="42" t="str">
        <f>IFERROR(__xludf.DUMMYFUNCTION("""COMPUTED_VALUE"""),"ROYA")</f>
        <v>ROYA</v>
      </c>
      <c r="H1777" s="42">
        <f t="shared" si="1"/>
        <v>811</v>
      </c>
    </row>
    <row r="1778" ht="22.5" customHeight="1">
      <c r="B1778" s="42" t="str">
        <f>IFERROR(__xludf.DUMMYFUNCTION("""COMPUTED_VALUE"""),"L/6/240125/2")</f>
        <v>L/6/240125/2</v>
      </c>
      <c r="C1778" s="42" t="str">
        <f>IFERROR(__xludf.DUMMYFUNCTION("""COMPUTED_VALUE"""),"HM 2241/KALIAWI")</f>
        <v>HM 2241/KALIAWI</v>
      </c>
      <c r="D1778" s="42"/>
      <c r="E1778" s="42" t="str">
        <f>IFERROR(__xludf.DUMMYFUNCTION("""COMPUTED_VALUE"""),"DISERAHKAN")</f>
        <v>DISERAHKAN</v>
      </c>
      <c r="F1778" s="48">
        <f>IFERROR(__xludf.DUMMYFUNCTION("""COMPUTED_VALUE"""),45758.48844461805)</f>
        <v>45758.48844</v>
      </c>
      <c r="G1778" s="42" t="str">
        <f>IFERROR(__xludf.DUMMYFUNCTION("""COMPUTED_VALUE"""),"ROYA")</f>
        <v>ROYA</v>
      </c>
      <c r="H1778" s="42">
        <f t="shared" si="1"/>
        <v>812</v>
      </c>
    </row>
    <row r="1779" ht="22.5" customHeight="1">
      <c r="B1779" s="42" t="str">
        <f>IFERROR(__xludf.DUMMYFUNCTION("""COMPUTED_VALUE"""),"K/10/300125/1")</f>
        <v>K/10/300125/1</v>
      </c>
      <c r="C1779" s="42" t="str">
        <f>IFERROR(__xludf.DUMMYFUNCTION("""COMPUTED_VALUE"""),"M. 564/WAY LAGA")</f>
        <v>M. 564/WAY LAGA</v>
      </c>
      <c r="D1779" s="42"/>
      <c r="E1779" s="42"/>
      <c r="F1779" s="48" t="str">
        <f>IFERROR(__xludf.DUMMYFUNCTION("""COMPUTED_VALUE"""),"")</f>
        <v/>
      </c>
      <c r="G1779" s="42" t="str">
        <f>IFERROR(__xludf.DUMMYFUNCTION("""COMPUTED_VALUE"""),"PTPGT")</f>
        <v>PTPGT</v>
      </c>
      <c r="H1779" s="42">
        <f t="shared" si="1"/>
        <v>812</v>
      </c>
    </row>
    <row r="1780" ht="22.5" customHeight="1">
      <c r="B1780" s="42" t="str">
        <f>IFERROR(__xludf.DUMMYFUNCTION("""COMPUTED_VALUE"""),"K/11/300125/1")</f>
        <v>K/11/300125/1</v>
      </c>
      <c r="C1780" s="42" t="str">
        <f>IFERROR(__xludf.DUMMYFUNCTION("""COMPUTED_VALUE"""),"M. 3115/ Way Kandis")</f>
        <v>M. 3115/ Way Kandis</v>
      </c>
      <c r="D1780" s="42"/>
      <c r="E1780" s="42" t="str">
        <f>IFERROR(__xludf.DUMMYFUNCTION("""COMPUTED_VALUE"""),"DISERAHKAN")</f>
        <v>DISERAHKAN</v>
      </c>
      <c r="F1780" s="48">
        <f>IFERROR(__xludf.DUMMYFUNCTION("""COMPUTED_VALUE"""),45708.595494560184)</f>
        <v>45708.59549</v>
      </c>
      <c r="G1780" s="42" t="str">
        <f>IFERROR(__xludf.DUMMYFUNCTION("""COMPUTED_VALUE"""),"Roya")</f>
        <v>Roya</v>
      </c>
      <c r="H1780" s="42">
        <f t="shared" si="1"/>
        <v>813</v>
      </c>
    </row>
    <row r="1781" ht="22.5" customHeight="1">
      <c r="B1781" s="42" t="str">
        <f>IFERROR(__xludf.DUMMYFUNCTION("""COMPUTED_VALUE"""),"L/12/300125/1")</f>
        <v>L/12/300125/1</v>
      </c>
      <c r="C1781" s="42" t="str">
        <f>IFERROR(__xludf.DUMMYFUNCTION("""COMPUTED_VALUE"""),"HM 3174/GUNUNG TERANG")</f>
        <v>HM 3174/GUNUNG TERANG</v>
      </c>
      <c r="D1781" s="42"/>
      <c r="E1781" s="42" t="str">
        <f>IFERROR(__xludf.DUMMYFUNCTION("""COMPUTED_VALUE"""),"DISERAHKAN")</f>
        <v>DISERAHKAN</v>
      </c>
      <c r="F1781" s="48">
        <f>IFERROR(__xludf.DUMMYFUNCTION("""COMPUTED_VALUE"""),45707.67064377315)</f>
        <v>45707.67064</v>
      </c>
      <c r="G1781" s="42" t="str">
        <f>IFERROR(__xludf.DUMMYFUNCTION("""COMPUTED_VALUE"""),"BN WARIS ")</f>
        <v>BN WARIS </v>
      </c>
      <c r="H1781" s="42">
        <f t="shared" si="1"/>
        <v>814</v>
      </c>
    </row>
    <row r="1782" ht="22.5" customHeight="1">
      <c r="B1782" s="42" t="str">
        <f>IFERROR(__xludf.DUMMYFUNCTION("""COMPUTED_VALUE"""),"K/13/300125/1")</f>
        <v>K/13/300125/1</v>
      </c>
      <c r="C1782" s="42" t="str">
        <f>IFERROR(__xludf.DUMMYFUNCTION("""COMPUTED_VALUE"""),"M. 1935/ Sumur Batu")</f>
        <v>M. 1935/ Sumur Batu</v>
      </c>
      <c r="D1782" s="42"/>
      <c r="E1782" s="42"/>
      <c r="F1782" s="48" t="str">
        <f>IFERROR(__xludf.DUMMYFUNCTION("""COMPUTED_VALUE"""),"")</f>
        <v/>
      </c>
      <c r="G1782" s="42" t="str">
        <f>IFERROR(__xludf.DUMMYFUNCTION("""COMPUTED_VALUE"""),"PTPGT PEMECAHAN")</f>
        <v>PTPGT PEMECAHAN</v>
      </c>
      <c r="H1782" s="42">
        <f t="shared" si="1"/>
        <v>814</v>
      </c>
    </row>
    <row r="1783" ht="22.5" customHeight="1">
      <c r="B1783" s="42" t="str">
        <f>IFERROR(__xludf.DUMMYFUNCTION("""COMPUTED_VALUE"""),"K/14/300125/1")</f>
        <v>K/14/300125/1</v>
      </c>
      <c r="C1783" s="42" t="str">
        <f>IFERROR(__xludf.DUMMYFUNCTION("""COMPUTED_VALUE"""),"M. 1791/ Rajabasa Nunyai")</f>
        <v>M. 1791/ Rajabasa Nunyai</v>
      </c>
      <c r="D1783" s="42"/>
      <c r="E1783" s="42" t="str">
        <f>IFERROR(__xludf.DUMMYFUNCTION("""COMPUTED_VALUE"""),"DISERAHKAN BT")</f>
        <v>DISERAHKAN BT</v>
      </c>
      <c r="F1783" s="48">
        <f>IFERROR(__xludf.DUMMYFUNCTION("""COMPUTED_VALUE"""),45694.59213846065)</f>
        <v>45694.59214</v>
      </c>
      <c r="G1783" s="42" t="str">
        <f>IFERROR(__xludf.DUMMYFUNCTION("""COMPUTED_VALUE"""),"BN JUAL BELI")</f>
        <v>BN JUAL BELI</v>
      </c>
      <c r="H1783" s="42">
        <f t="shared" si="1"/>
        <v>814</v>
      </c>
    </row>
    <row r="1784" ht="22.5" customHeight="1">
      <c r="B1784" s="42" t="str">
        <f>IFERROR(__xludf.DUMMYFUNCTION("""COMPUTED_VALUE"""),"K/15/300125/1")</f>
        <v>K/15/300125/1</v>
      </c>
      <c r="C1784" s="42" t="str">
        <f>IFERROR(__xludf.DUMMYFUNCTION("""COMPUTED_VALUE"""),"M. 2070/ Labuhan Ratu Raya")</f>
        <v>M. 2070/ Labuhan Ratu Raya</v>
      </c>
      <c r="D1784" s="42"/>
      <c r="E1784" s="42" t="str">
        <f>IFERROR(__xludf.DUMMYFUNCTION("""COMPUTED_VALUE"""),"DISERAHKAN")</f>
        <v>DISERAHKAN</v>
      </c>
      <c r="F1784" s="48">
        <f>IFERROR(__xludf.DUMMYFUNCTION("""COMPUTED_VALUE"""),45702.42572064815)</f>
        <v>45702.42572</v>
      </c>
      <c r="G1784" s="42" t="str">
        <f>IFERROR(__xludf.DUMMYFUNCTION("""COMPUTED_VALUE"""),"BN Jual Beli")</f>
        <v>BN Jual Beli</v>
      </c>
      <c r="H1784" s="42">
        <f t="shared" si="1"/>
        <v>815</v>
      </c>
    </row>
    <row r="1785" ht="22.5" customHeight="1">
      <c r="B1785" s="42" t="str">
        <f>IFERROR(__xludf.DUMMYFUNCTION("""COMPUTED_VALUE"""),"K/17/300125/1")</f>
        <v>K/17/300125/1</v>
      </c>
      <c r="C1785" s="42" t="str">
        <f>IFERROR(__xludf.DUMMYFUNCTION("""COMPUTED_VALUE"""),"M. 751/ Gunung Sulah")</f>
        <v>M. 751/ Gunung Sulah</v>
      </c>
      <c r="D1785" s="42"/>
      <c r="E1785" s="42" t="str">
        <f>IFERROR(__xludf.DUMMYFUNCTION("""COMPUTED_VALUE"""),"DISERAHKAN")</f>
        <v>DISERAHKAN</v>
      </c>
      <c r="F1785" s="48">
        <f>IFERROR(__xludf.DUMMYFUNCTION("""COMPUTED_VALUE"""),45705.587704328704)</f>
        <v>45705.5877</v>
      </c>
      <c r="G1785" s="42" t="str">
        <f>IFERROR(__xludf.DUMMYFUNCTION("""COMPUTED_VALUE"""),"Roya")</f>
        <v>Roya</v>
      </c>
      <c r="H1785" s="42">
        <f t="shared" si="1"/>
        <v>816</v>
      </c>
    </row>
    <row r="1786" ht="22.5" customHeight="1">
      <c r="B1786" s="42" t="str">
        <f>IFERROR(__xludf.DUMMYFUNCTION("""COMPUTED_VALUE"""),"K/16/300125/1")</f>
        <v>K/16/300125/1</v>
      </c>
      <c r="C1786" s="42" t="str">
        <f>IFERROR(__xludf.DUMMYFUNCTION("""COMPUTED_VALUE"""),"Nibel 672/ Pesawahan")</f>
        <v>Nibel 672/ Pesawahan</v>
      </c>
      <c r="D1786" s="42"/>
      <c r="E1786" s="42"/>
      <c r="F1786" s="48" t="str">
        <f>IFERROR(__xludf.DUMMYFUNCTION("""COMPUTED_VALUE"""),"")</f>
        <v/>
      </c>
      <c r="G1786" s="42" t="str">
        <f>IFERROR(__xludf.DUMMYFUNCTION("""COMPUTED_VALUE"""),"PERMOHONAN SK PEMBAHARUAN HGB")</f>
        <v>PERMOHONAN SK PEMBAHARUAN HGB</v>
      </c>
      <c r="H1786" s="42">
        <f t="shared" si="1"/>
        <v>816</v>
      </c>
    </row>
    <row r="1787" ht="22.5" customHeight="1">
      <c r="B1787" s="42" t="str">
        <f>IFERROR(__xludf.DUMMYFUNCTION("""COMPUTED_VALUE"""),"K/18/300125/1")</f>
        <v>K/18/300125/1</v>
      </c>
      <c r="C1787" s="42" t="str">
        <f>IFERROR(__xludf.DUMMYFUNCTION("""COMPUTED_VALUE"""),"M. 9674/ Sukabumi")</f>
        <v>M. 9674/ Sukabumi</v>
      </c>
      <c r="D1787" s="42"/>
      <c r="E1787" s="42" t="str">
        <f>IFERROR(__xludf.DUMMYFUNCTION("""COMPUTED_VALUE"""),"DISERAHKAN")</f>
        <v>DISERAHKAN</v>
      </c>
      <c r="F1787" s="48">
        <f>IFERROR(__xludf.DUMMYFUNCTION("""COMPUTED_VALUE"""),45694.59134708333)</f>
        <v>45694.59135</v>
      </c>
      <c r="G1787" s="42" t="str">
        <f>IFERROR(__xludf.DUMMYFUNCTION("""COMPUTED_VALUE"""),"BN JUAL BELI")</f>
        <v>BN JUAL BELI</v>
      </c>
      <c r="H1787" s="42">
        <f t="shared" si="1"/>
        <v>817</v>
      </c>
    </row>
    <row r="1788" ht="22.5" customHeight="1">
      <c r="B1788" s="42" t="str">
        <f>IFERROR(__xludf.DUMMYFUNCTION("""COMPUTED_VALUE"""),"K/19/300125/1")</f>
        <v>K/19/300125/1</v>
      </c>
      <c r="C1788" s="42" t="str">
        <f>IFERROR(__xludf.DUMMYFUNCTION("""COMPUTED_VALUE"""),"M. 21/ Bilabong Jaya")</f>
        <v>M. 21/ Bilabong Jaya</v>
      </c>
      <c r="D1788" s="42"/>
      <c r="E1788" s="42" t="str">
        <f>IFERROR(__xludf.DUMMYFUNCTION("""COMPUTED_VALUE"""),"DISERAHKAN")</f>
        <v>DISERAHKAN</v>
      </c>
      <c r="F1788" s="48">
        <f>IFERROR(__xludf.DUMMYFUNCTION("""COMPUTED_VALUE"""),45705.5928630787)</f>
        <v>45705.59286</v>
      </c>
      <c r="G1788" s="42" t="str">
        <f>IFERROR(__xludf.DUMMYFUNCTION("""COMPUTED_VALUE"""),"Roya")</f>
        <v>Roya</v>
      </c>
      <c r="H1788" s="42">
        <f t="shared" si="1"/>
        <v>818</v>
      </c>
    </row>
    <row r="1789" ht="22.5" customHeight="1">
      <c r="B1789" s="42" t="str">
        <f>IFERROR(__xludf.DUMMYFUNCTION("""COMPUTED_VALUE"""),"K/20/300125/1")</f>
        <v>K/20/300125/1</v>
      </c>
      <c r="C1789" s="42" t="str">
        <f>IFERROR(__xludf.DUMMYFUNCTION("""COMPUTED_VALUE"""),"PBT NO. 196/2023 GEDONG MENENG BARU")</f>
        <v>PBT NO. 196/2023 GEDONG MENENG BARU</v>
      </c>
      <c r="D1789" s="42"/>
      <c r="E1789" s="42"/>
      <c r="F1789" s="48" t="str">
        <f>IFERROR(__xludf.DUMMYFUNCTION("""COMPUTED_VALUE"""),"")</f>
        <v/>
      </c>
      <c r="G1789" s="42" t="str">
        <f>IFERROR(__xludf.DUMMYFUNCTION("""COMPUTED_VALUE"""),"PENDAFTARAN SK")</f>
        <v>PENDAFTARAN SK</v>
      </c>
      <c r="H1789" s="42">
        <f t="shared" si="1"/>
        <v>818</v>
      </c>
    </row>
    <row r="1790" ht="22.5" customHeight="1">
      <c r="B1790" s="42" t="str">
        <f>IFERROR(__xludf.DUMMYFUNCTION("""COMPUTED_VALUE"""),"K/21/300125/1")</f>
        <v>K/21/300125/1</v>
      </c>
      <c r="C1790" s="42" t="str">
        <f>IFERROR(__xludf.DUMMYFUNCTION("""COMPUTED_VALUE"""),"M. 127/ Sukarame Baru")</f>
        <v>M. 127/ Sukarame Baru</v>
      </c>
      <c r="D1790" s="42"/>
      <c r="E1790" s="42" t="str">
        <f>IFERROR(__xludf.DUMMYFUNCTION("""COMPUTED_VALUE"""),"DISERAHKAN SU")</f>
        <v>DISERAHKAN SU</v>
      </c>
      <c r="F1790" s="48">
        <f>IFERROR(__xludf.DUMMYFUNCTION("""COMPUTED_VALUE"""),45702.40825204861)</f>
        <v>45702.40825</v>
      </c>
      <c r="G1790" s="42" t="str">
        <f>IFERROR(__xludf.DUMMYFUNCTION("""COMPUTED_VALUE"""),"BN WARIS")</f>
        <v>BN WARIS</v>
      </c>
      <c r="H1790" s="42">
        <f t="shared" si="1"/>
        <v>818</v>
      </c>
    </row>
    <row r="1791" ht="22.5" customHeight="1">
      <c r="B1791" s="42" t="str">
        <f>IFERROR(__xludf.DUMMYFUNCTION("""COMPUTED_VALUE"""),"L/2/310125/1")</f>
        <v>L/2/310125/1</v>
      </c>
      <c r="C1791" s="42" t="str">
        <f>IFERROR(__xludf.DUMMYFUNCTION("""COMPUTED_VALUE"""),"HM 2500/SUKAMAJU")</f>
        <v>HM 2500/SUKAMAJU</v>
      </c>
      <c r="D1791" s="42"/>
      <c r="E1791" s="42"/>
      <c r="F1791" s="48" t="str">
        <f>IFERROR(__xludf.DUMMYFUNCTION("""COMPUTED_VALUE"""),"")</f>
        <v/>
      </c>
      <c r="G1791" s="42" t="str">
        <f>IFERROR(__xludf.DUMMYFUNCTION("""COMPUTED_VALUE"""),"PENGHAPUSAN BPHTB")</f>
        <v>PENGHAPUSAN BPHTB</v>
      </c>
      <c r="H1791" s="42">
        <f t="shared" si="1"/>
        <v>818</v>
      </c>
    </row>
    <row r="1792" ht="22.5" customHeight="1">
      <c r="B1792" s="42" t="str">
        <f>IFERROR(__xludf.DUMMYFUNCTION("""COMPUTED_VALUE"""),"K/1/310125/1")</f>
        <v>K/1/310125/1</v>
      </c>
      <c r="C1792" s="42" t="str">
        <f>IFERROR(__xludf.DUMMYFUNCTION("""COMPUTED_VALUE"""),"M. 925/ Gotong Royong")</f>
        <v>M. 925/ Gotong Royong</v>
      </c>
      <c r="D1792" s="42"/>
      <c r="E1792" s="42" t="str">
        <f>IFERROR(__xludf.DUMMYFUNCTION("""COMPUTED_VALUE"""),"DISERAHKAN")</f>
        <v>DISERAHKAN</v>
      </c>
      <c r="F1792" s="48">
        <f>IFERROR(__xludf.DUMMYFUNCTION("""COMPUTED_VALUE"""),45715.40107591436)</f>
        <v>45715.40108</v>
      </c>
      <c r="G1792" s="42" t="str">
        <f>IFERROR(__xludf.DUMMYFUNCTION("""COMPUTED_VALUE"""),"Roya")</f>
        <v>Roya</v>
      </c>
      <c r="H1792" s="42">
        <f t="shared" si="1"/>
        <v>819</v>
      </c>
    </row>
    <row r="1793" ht="22.5" customHeight="1">
      <c r="B1793" s="42" t="str">
        <f>IFERROR(__xludf.DUMMYFUNCTION("""COMPUTED_VALUE"""),"L/3/310125/1")</f>
        <v>L/3/310125/1</v>
      </c>
      <c r="C1793" s="42" t="str">
        <f>IFERROR(__xludf.DUMMYFUNCTION("""COMPUTED_VALUE"""),"HM 12914/SUKARAME I")</f>
        <v>HM 12914/SUKARAME I</v>
      </c>
      <c r="D1793" s="42"/>
      <c r="E1793" s="42"/>
      <c r="F1793" s="48" t="str">
        <f>IFERROR(__xludf.DUMMYFUNCTION("""COMPUTED_VALUE"""),"")</f>
        <v/>
      </c>
      <c r="G1793" s="42" t="str">
        <f>IFERROR(__xludf.DUMMYFUNCTION("""COMPUTED_VALUE"""),"CABUT BLOKIR")</f>
        <v>CABUT BLOKIR</v>
      </c>
      <c r="H1793" s="42">
        <f t="shared" si="1"/>
        <v>819</v>
      </c>
    </row>
    <row r="1794" ht="22.5" customHeight="1">
      <c r="B1794" s="42" t="str">
        <f>IFERROR(__xludf.DUMMYFUNCTION("""COMPUTED_VALUE"""),"L/4/310125/1")</f>
        <v>L/4/310125/1</v>
      </c>
      <c r="C1794" s="42" t="str">
        <f>IFERROR(__xludf.DUMMYFUNCTION("""COMPUTED_VALUE"""),"HM 9459/RAJABASA")</f>
        <v>HM 9459/RAJABASA</v>
      </c>
      <c r="D1794" s="42"/>
      <c r="E1794" s="42" t="str">
        <f>IFERROR(__xludf.DUMMYFUNCTION("""COMPUTED_VALUE"""),"DISERAHKAN")</f>
        <v>DISERAHKAN</v>
      </c>
      <c r="F1794" s="48">
        <f>IFERROR(__xludf.DUMMYFUNCTION("""COMPUTED_VALUE"""),45708.59569267361)</f>
        <v>45708.59569</v>
      </c>
      <c r="G1794" s="42" t="str">
        <f>IFERROR(__xludf.DUMMYFUNCTION("""COMPUTED_VALUE"""),"ROYA")</f>
        <v>ROYA</v>
      </c>
      <c r="H1794" s="42">
        <f t="shared" si="1"/>
        <v>820</v>
      </c>
    </row>
    <row r="1795" ht="22.5" customHeight="1">
      <c r="B1795" s="42" t="str">
        <f>IFERROR(__xludf.DUMMYFUNCTION("""COMPUTED_VALUE"""),"K/5/310125/1")</f>
        <v>K/5/310125/1</v>
      </c>
      <c r="C1795" s="42" t="str">
        <f>IFERROR(__xludf.DUMMYFUNCTION("""COMPUTED_VALUE"""),"NIBEL B 12312/LABUHAN RATU RAYA")</f>
        <v>NIBEL B 12312/LABUHAN RATU RAYA</v>
      </c>
      <c r="D1795" s="42"/>
      <c r="E1795" s="42"/>
      <c r="F1795" s="48" t="str">
        <f>IFERROR(__xludf.DUMMYFUNCTION("""COMPUTED_VALUE"""),"")</f>
        <v/>
      </c>
      <c r="G1795" s="42" t="str">
        <f>IFERROR(__xludf.DUMMYFUNCTION("""COMPUTED_VALUE"""),"PERUBAHAN HAK")</f>
        <v>PERUBAHAN HAK</v>
      </c>
      <c r="H1795" s="42">
        <f t="shared" si="1"/>
        <v>820</v>
      </c>
    </row>
    <row r="1796" ht="22.5" customHeight="1">
      <c r="B1796" s="42" t="str">
        <f>IFERROR(__xludf.DUMMYFUNCTION("""COMPUTED_VALUE"""),"K/6/310125/1")</f>
        <v>K/6/310125/1</v>
      </c>
      <c r="C1796" s="42" t="str">
        <f>IFERROR(__xludf.DUMMYFUNCTION("""COMPUTED_VALUE"""),"M. 9311/ Tanjung Baru")</f>
        <v>M. 9311/ Tanjung Baru</v>
      </c>
      <c r="D1796" s="42"/>
      <c r="E1796" s="42" t="str">
        <f>IFERROR(__xludf.DUMMYFUNCTION("""COMPUTED_VALUE"""),"DISERAHKAN")</f>
        <v>DISERAHKAN</v>
      </c>
      <c r="F1796" s="48">
        <f>IFERROR(__xludf.DUMMYFUNCTION("""COMPUTED_VALUE"""),45702.39778850695)</f>
        <v>45702.39779</v>
      </c>
      <c r="G1796" s="42" t="str">
        <f>IFERROR(__xludf.DUMMYFUNCTION("""COMPUTED_VALUE"""),"BN WARIS")</f>
        <v>BN WARIS</v>
      </c>
      <c r="H1796" s="42">
        <f t="shared" si="1"/>
        <v>821</v>
      </c>
    </row>
    <row r="1797" ht="22.5" customHeight="1">
      <c r="B1797" s="42" t="str">
        <f>IFERROR(__xludf.DUMMYFUNCTION("""COMPUTED_VALUE"""),"K/7/310125/1")</f>
        <v>K/7/310125/1</v>
      </c>
      <c r="C1797" s="42" t="str">
        <f>IFERROR(__xludf.DUMMYFUNCTION("""COMPUTED_VALUE"""),"NIBEL B 16612/KEMILING PERMAI")</f>
        <v>NIBEL B 16612/KEMILING PERMAI</v>
      </c>
      <c r="D1797" s="42"/>
      <c r="E1797" s="42"/>
      <c r="F1797" s="48" t="str">
        <f>IFERROR(__xludf.DUMMYFUNCTION("""COMPUTED_VALUE"""),"")</f>
        <v/>
      </c>
      <c r="G1797" s="42" t="str">
        <f>IFERROR(__xludf.DUMMYFUNCTION("""COMPUTED_VALUE"""),"PERUBAHAN HAK")</f>
        <v>PERUBAHAN HAK</v>
      </c>
      <c r="H1797" s="42">
        <f t="shared" si="1"/>
        <v>821</v>
      </c>
    </row>
    <row r="1798" ht="22.5" customHeight="1">
      <c r="B1798" s="42" t="str">
        <f>IFERROR(__xludf.DUMMYFUNCTION("""COMPUTED_VALUE"""),"K/8/310125/2")</f>
        <v>K/8/310125/2</v>
      </c>
      <c r="C1798" s="42" t="str">
        <f>IFERROR(__xludf.DUMMYFUNCTION("""COMPUTED_VALUE"""),"NIBEL B 16535/KEMILING PERMAI")</f>
        <v>NIBEL B 16535/KEMILING PERMAI</v>
      </c>
      <c r="D1798" s="42"/>
      <c r="E1798" s="42"/>
      <c r="F1798" s="48" t="str">
        <f>IFERROR(__xludf.DUMMYFUNCTION("""COMPUTED_VALUE"""),"")</f>
        <v/>
      </c>
      <c r="G1798" s="42" t="str">
        <f>IFERROR(__xludf.DUMMYFUNCTION("""COMPUTED_VALUE"""),"PERUBAHAN HAK")</f>
        <v>PERUBAHAN HAK</v>
      </c>
      <c r="H1798" s="42">
        <f t="shared" si="1"/>
        <v>821</v>
      </c>
    </row>
    <row r="1799" ht="22.5" customHeight="1">
      <c r="B1799" s="42" t="str">
        <f>IFERROR(__xludf.DUMMYFUNCTION("""COMPUTED_VALUE"""),"K/9/310125/1")</f>
        <v>K/9/310125/1</v>
      </c>
      <c r="C1799" s="42" t="str">
        <f>IFERROR(__xludf.DUMMYFUNCTION("""COMPUTED_VALUE"""),"Nibel 5317/ Kedaung")</f>
        <v>Nibel 5317/ Kedaung</v>
      </c>
      <c r="D1799" s="42"/>
      <c r="E1799" s="42"/>
      <c r="F1799" s="48" t="str">
        <f>IFERROR(__xludf.DUMMYFUNCTION("""COMPUTED_VALUE"""),"")</f>
        <v/>
      </c>
      <c r="G1799" s="42" t="str">
        <f>IFERROR(__xludf.DUMMYFUNCTION("""COMPUTED_VALUE"""),"BN HIBAH")</f>
        <v>BN HIBAH</v>
      </c>
      <c r="H1799" s="42">
        <f t="shared" si="1"/>
        <v>821</v>
      </c>
    </row>
    <row r="1800" ht="22.5" customHeight="1">
      <c r="B1800" s="42" t="str">
        <f>IFERROR(__xludf.DUMMYFUNCTION("""COMPUTED_VALUE"""),"K/10/310125/1")</f>
        <v>K/10/310125/1</v>
      </c>
      <c r="C1800" s="42" t="str">
        <f>IFERROR(__xludf.DUMMYFUNCTION("""COMPUTED_VALUE"""),"Nibel M. 3561/ Kedaung")</f>
        <v>Nibel M. 3561/ Kedaung</v>
      </c>
      <c r="D1800" s="42"/>
      <c r="E1800" s="42"/>
      <c r="F1800" s="48" t="str">
        <f>IFERROR(__xludf.DUMMYFUNCTION("""COMPUTED_VALUE"""),"")</f>
        <v/>
      </c>
      <c r="G1800" s="42" t="str">
        <f>IFERROR(__xludf.DUMMYFUNCTION("""COMPUTED_VALUE"""),"Pemecahan")</f>
        <v>Pemecahan</v>
      </c>
      <c r="H1800" s="42">
        <f t="shared" si="1"/>
        <v>821</v>
      </c>
    </row>
    <row r="1801" ht="22.5" customHeight="1">
      <c r="B1801" s="42" t="str">
        <f>IFERROR(__xludf.DUMMYFUNCTION("""COMPUTED_VALUE"""),"K/11/310125/2")</f>
        <v>K/11/310125/2</v>
      </c>
      <c r="C1801" s="42" t="str">
        <f>IFERROR(__xludf.DUMMYFUNCTION("""COMPUTED_VALUE"""),"Nibel. M. 3580/ Kedaung")</f>
        <v>Nibel. M. 3580/ Kedaung</v>
      </c>
      <c r="D1801" s="42"/>
      <c r="E1801" s="42"/>
      <c r="F1801" s="48" t="str">
        <f>IFERROR(__xludf.DUMMYFUNCTION("""COMPUTED_VALUE"""),"")</f>
        <v/>
      </c>
      <c r="G1801" s="42" t="str">
        <f>IFERROR(__xludf.DUMMYFUNCTION("""COMPUTED_VALUE"""),"PTPGT (Pemecahan)")</f>
        <v>PTPGT (Pemecahan)</v>
      </c>
      <c r="H1801" s="42">
        <f t="shared" si="1"/>
        <v>821</v>
      </c>
    </row>
    <row r="1802" ht="22.5" customHeight="1">
      <c r="B1802" s="42" t="str">
        <f>IFERROR(__xludf.DUMMYFUNCTION("""COMPUTED_VALUE"""),"K/14/310125/5")</f>
        <v>K/14/310125/5</v>
      </c>
      <c r="C1802" s="42" t="str">
        <f>IFERROR(__xludf.DUMMYFUNCTION("""COMPUTED_VALUE"""),"Nibel. M. 3566/ Kedaung")</f>
        <v>Nibel. M. 3566/ Kedaung</v>
      </c>
      <c r="D1802" s="42"/>
      <c r="E1802" s="42"/>
      <c r="F1802" s="48" t="str">
        <f>IFERROR(__xludf.DUMMYFUNCTION("""COMPUTED_VALUE"""),"")</f>
        <v/>
      </c>
      <c r="G1802" s="42" t="str">
        <f>IFERROR(__xludf.DUMMYFUNCTION("""COMPUTED_VALUE"""),"PTPGT (Pemecahan)")</f>
        <v>PTPGT (Pemecahan)</v>
      </c>
      <c r="H1802" s="42">
        <f t="shared" si="1"/>
        <v>821</v>
      </c>
    </row>
    <row r="1803" ht="22.5" customHeight="1">
      <c r="B1803" s="42" t="str">
        <f>IFERROR(__xludf.DUMMYFUNCTION("""COMPUTED_VALUE"""),"K/11/310125/4")</f>
        <v>K/11/310125/4</v>
      </c>
      <c r="C1803" s="42" t="str">
        <f>IFERROR(__xludf.DUMMYFUNCTION("""COMPUTED_VALUE"""),"Nibel. M. 3565/ Kedaung")</f>
        <v>Nibel. M. 3565/ Kedaung</v>
      </c>
      <c r="D1803" s="42"/>
      <c r="E1803" s="42"/>
      <c r="F1803" s="48" t="str">
        <f>IFERROR(__xludf.DUMMYFUNCTION("""COMPUTED_VALUE"""),"")</f>
        <v/>
      </c>
      <c r="G1803" s="42" t="str">
        <f>IFERROR(__xludf.DUMMYFUNCTION("""COMPUTED_VALUE"""),"PTPGT (Pemecahan)")</f>
        <v>PTPGT (Pemecahan)</v>
      </c>
      <c r="H1803" s="42">
        <f t="shared" si="1"/>
        <v>821</v>
      </c>
    </row>
    <row r="1804" ht="22.5" customHeight="1">
      <c r="B1804" s="42" t="str">
        <f>IFERROR(__xludf.DUMMYFUNCTION("""COMPUTED_VALUE"""),"K/12/310125/3")</f>
        <v>K/12/310125/3</v>
      </c>
      <c r="C1804" s="42" t="str">
        <f>IFERROR(__xludf.DUMMYFUNCTION("""COMPUTED_VALUE"""),"Nibel. M. 3579/ Kedaung")</f>
        <v>Nibel. M. 3579/ Kedaung</v>
      </c>
      <c r="D1804" s="42"/>
      <c r="E1804" s="42"/>
      <c r="F1804" s="48" t="str">
        <f>IFERROR(__xludf.DUMMYFUNCTION("""COMPUTED_VALUE"""),"")</f>
        <v/>
      </c>
      <c r="G1804" s="42" t="str">
        <f>IFERROR(__xludf.DUMMYFUNCTION("""COMPUTED_VALUE"""),"PTPGT (Pemecahan)")</f>
        <v>PTPGT (Pemecahan)</v>
      </c>
      <c r="H1804" s="42">
        <f t="shared" si="1"/>
        <v>821</v>
      </c>
    </row>
    <row r="1805" ht="22.5" customHeight="1">
      <c r="B1805" s="42" t="str">
        <f>IFERROR(__xludf.DUMMYFUNCTION("""COMPUTED_VALUE"""),"K/15/310125/1")</f>
        <v>K/15/310125/1</v>
      </c>
      <c r="C1805" s="42" t="str">
        <f>IFERROR(__xludf.DUMMYFUNCTION("""COMPUTED_VALUE"""),"M.1143/ENGGAL")</f>
        <v>M.1143/ENGGAL</v>
      </c>
      <c r="D1805" s="42"/>
      <c r="E1805" s="42" t="str">
        <f>IFERROR(__xludf.DUMMYFUNCTION("""COMPUTED_VALUE"""),"DISERAHKAN BT")</f>
        <v>DISERAHKAN BT</v>
      </c>
      <c r="F1805" s="48">
        <f>IFERROR(__xludf.DUMMYFUNCTION("""COMPUTED_VALUE"""),45706.45104568287)</f>
        <v>45706.45105</v>
      </c>
      <c r="G1805" s="42" t="str">
        <f>IFERROR(__xludf.DUMMYFUNCTION("""COMPUTED_VALUE"""),"KEWARISAN")</f>
        <v>KEWARISAN</v>
      </c>
      <c r="H1805" s="42">
        <f t="shared" si="1"/>
        <v>821</v>
      </c>
    </row>
    <row r="1806" ht="22.5" customHeight="1">
      <c r="B1806" s="42" t="str">
        <f>IFERROR(__xludf.DUMMYFUNCTION("""COMPUTED_VALUE"""),"K/16/310125/1")</f>
        <v>K/16/310125/1</v>
      </c>
      <c r="C1806" s="42" t="str">
        <f>IFERROR(__xludf.DUMMYFUNCTION("""COMPUTED_VALUE"""),"M. 736/GUNUNG AGUNG")</f>
        <v>M. 736/GUNUNG AGUNG</v>
      </c>
      <c r="D1806" s="42"/>
      <c r="E1806" s="42"/>
      <c r="F1806" s="48" t="str">
        <f>IFERROR(__xludf.DUMMYFUNCTION("""COMPUTED_VALUE"""),"")</f>
        <v/>
      </c>
      <c r="G1806" s="42" t="str">
        <f>IFERROR(__xludf.DUMMYFUNCTION("""COMPUTED_VALUE"""),"HAPUS BPHTB")</f>
        <v>HAPUS BPHTB</v>
      </c>
      <c r="H1806" s="42">
        <f t="shared" si="1"/>
        <v>821</v>
      </c>
    </row>
    <row r="1807" ht="22.5" customHeight="1">
      <c r="B1807" s="42" t="str">
        <f>IFERROR(__xludf.DUMMYFUNCTION("""COMPUTED_VALUE"""),"K/17/310125/1")</f>
        <v>K/17/310125/1</v>
      </c>
      <c r="C1807" s="42" t="str">
        <f>IFERROR(__xludf.DUMMYFUNCTION("""COMPUTED_VALUE"""),"Nibel 6774, 6775/ langkapura")</f>
        <v>Nibel 6774, 6775/ langkapura</v>
      </c>
      <c r="D1807" s="42"/>
      <c r="E1807" s="42"/>
      <c r="F1807" s="48" t="str">
        <f>IFERROR(__xludf.DUMMYFUNCTION("""COMPUTED_VALUE"""),"")</f>
        <v/>
      </c>
      <c r="G1807" s="42" t="str">
        <f>IFERROR(__xludf.DUMMYFUNCTION("""COMPUTED_VALUE"""),"PENGGABUNGAN BIDANG")</f>
        <v>PENGGABUNGAN BIDANG</v>
      </c>
      <c r="H1807" s="42">
        <f t="shared" si="1"/>
        <v>821</v>
      </c>
    </row>
    <row r="1808" ht="22.5" customHeight="1">
      <c r="B1808" s="42" t="str">
        <f>IFERROR(__xludf.DUMMYFUNCTION("""COMPUTED_VALUE"""),"L/18/310125/1")</f>
        <v>L/18/310125/1</v>
      </c>
      <c r="C1808" s="42" t="str">
        <f>IFERROR(__xludf.DUMMYFUNCTION("""COMPUTED_VALUE"""),"NIB 17529/SUMUR PUTRI")</f>
        <v>NIB 17529/SUMUR PUTRI</v>
      </c>
      <c r="D1808" s="42"/>
      <c r="E1808" s="42"/>
      <c r="F1808" s="48" t="str">
        <f>IFERROR(__xludf.DUMMYFUNCTION("""COMPUTED_VALUE"""),"")</f>
        <v/>
      </c>
      <c r="G1808" s="42" t="str">
        <f>IFERROR(__xludf.DUMMYFUNCTION("""COMPUTED_VALUE"""),"NBN LELANG")</f>
        <v>NBN LELANG</v>
      </c>
      <c r="H1808" s="42">
        <f t="shared" si="1"/>
        <v>821</v>
      </c>
    </row>
    <row r="1809" ht="22.5" customHeight="1">
      <c r="B1809" s="42" t="str">
        <f>IFERROR(__xludf.DUMMYFUNCTION("""COMPUTED_VALUE"""),"L/19/310125/PELATARAN")</f>
        <v>L/19/310125/PELATARAN</v>
      </c>
      <c r="C1809" s="42" t="str">
        <f>IFERROR(__xludf.DUMMYFUNCTION("""COMPUTED_VALUE"""),"M.2166/GUNUNG TERANG")</f>
        <v>M.2166/GUNUNG TERANG</v>
      </c>
      <c r="D1809" s="42"/>
      <c r="E1809" s="42" t="str">
        <f>IFERROR(__xludf.DUMMYFUNCTION("""COMPUTED_VALUE"""),"DISERAHKAN")</f>
        <v>DISERAHKAN</v>
      </c>
      <c r="F1809" s="48">
        <f>IFERROR(__xludf.DUMMYFUNCTION("""COMPUTED_VALUE"""),45727.52213628472)</f>
        <v>45727.52214</v>
      </c>
      <c r="G1809" s="42" t="str">
        <f>IFERROR(__xludf.DUMMYFUNCTION("""COMPUTED_VALUE"""),"ROYA")</f>
        <v>ROYA</v>
      </c>
      <c r="H1809" s="42">
        <f t="shared" si="1"/>
        <v>822</v>
      </c>
    </row>
    <row r="1810" ht="22.5" customHeight="1">
      <c r="B1810" s="42" t="str">
        <f>IFERROR(__xludf.DUMMYFUNCTION("""COMPUTED_VALUE"""),"K/1/030225/1")</f>
        <v>K/1/030225/1</v>
      </c>
      <c r="C1810" s="42" t="str">
        <f>IFERROR(__xludf.DUMMYFUNCTION("""COMPUTED_VALUE"""),"M. 757/ Tanjung Raya")</f>
        <v>M. 757/ Tanjung Raya</v>
      </c>
      <c r="D1810" s="42"/>
      <c r="E1810" s="42" t="str">
        <f>IFERROR(__xludf.DUMMYFUNCTION("""COMPUTED_VALUE"""),"DISERAHKAN")</f>
        <v>DISERAHKAN</v>
      </c>
      <c r="F1810" s="48">
        <f>IFERROR(__xludf.DUMMYFUNCTION("""COMPUTED_VALUE"""),45723.54638075232)</f>
        <v>45723.54638</v>
      </c>
      <c r="G1810" s="42" t="str">
        <f>IFERROR(__xludf.DUMMYFUNCTION("""COMPUTED_VALUE"""),"ROYA")</f>
        <v>ROYA</v>
      </c>
      <c r="H1810" s="42">
        <f t="shared" si="1"/>
        <v>823</v>
      </c>
    </row>
    <row r="1811" ht="22.5" customHeight="1">
      <c r="B1811" s="42" t="str">
        <f>IFERROR(__xludf.DUMMYFUNCTION("""COMPUTED_VALUE"""),"K/2/030225/2")</f>
        <v>K/2/030225/2</v>
      </c>
      <c r="C1811" s="42" t="str">
        <f>IFERROR(__xludf.DUMMYFUNCTION("""COMPUTED_VALUE"""),"M. 12395/ Jagabaya III")</f>
        <v>M. 12395/ Jagabaya III</v>
      </c>
      <c r="D1811" s="42"/>
      <c r="E1811" s="42" t="str">
        <f>IFERROR(__xludf.DUMMYFUNCTION("""COMPUTED_VALUE"""),"DISERAHKAN")</f>
        <v>DISERAHKAN</v>
      </c>
      <c r="F1811" s="48">
        <f>IFERROR(__xludf.DUMMYFUNCTION("""COMPUTED_VALUE"""),45695.46235840278)</f>
        <v>45695.46236</v>
      </c>
      <c r="G1811" s="42" t="str">
        <f>IFERROR(__xludf.DUMMYFUNCTION("""COMPUTED_VALUE"""),"BN JUAL BELI")</f>
        <v>BN JUAL BELI</v>
      </c>
      <c r="H1811" s="42">
        <f t="shared" si="1"/>
        <v>824</v>
      </c>
    </row>
    <row r="1812" ht="22.5" customHeight="1">
      <c r="B1812" s="42" t="str">
        <f>IFERROR(__xludf.DUMMYFUNCTION("""COMPUTED_VALUE"""),"L/3/030225/1")</f>
        <v>L/3/030225/1</v>
      </c>
      <c r="C1812" s="42" t="str">
        <f>IFERROR(__xludf.DUMMYFUNCTION("""COMPUTED_VALUE"""),"HM 2605/TANJUNG SENANG")</f>
        <v>HM 2605/TANJUNG SENANG</v>
      </c>
      <c r="D1812" s="42"/>
      <c r="E1812" s="42" t="str">
        <f>IFERROR(__xludf.DUMMYFUNCTION("""COMPUTED_VALUE"""),"DISERAHKAN")</f>
        <v>DISERAHKAN</v>
      </c>
      <c r="F1812" s="48">
        <f>IFERROR(__xludf.DUMMYFUNCTION("""COMPUTED_VALUE"""),45719.63887481482)</f>
        <v>45719.63887</v>
      </c>
      <c r="G1812" s="42" t="str">
        <f>IFERROR(__xludf.DUMMYFUNCTION("""COMPUTED_VALUE"""),"ROYA")</f>
        <v>ROYA</v>
      </c>
      <c r="H1812" s="42">
        <f t="shared" si="1"/>
        <v>825</v>
      </c>
    </row>
    <row r="1813" ht="22.5" customHeight="1">
      <c r="B1813" s="42" t="str">
        <f>IFERROR(__xludf.DUMMYFUNCTION("""COMPUTED_VALUE"""),"L/4/030225/2")</f>
        <v>L/4/030225/2</v>
      </c>
      <c r="C1813" s="42" t="str">
        <f>IFERROR(__xludf.DUMMYFUNCTION("""COMPUTED_VALUE"""),"HM 2626/TANJUNG SENANG")</f>
        <v>HM 2626/TANJUNG SENANG</v>
      </c>
      <c r="D1813" s="42"/>
      <c r="E1813" s="42" t="str">
        <f>IFERROR(__xludf.DUMMYFUNCTION("""COMPUTED_VALUE"""),"DISERAHKAN")</f>
        <v>DISERAHKAN</v>
      </c>
      <c r="F1813" s="48">
        <f>IFERROR(__xludf.DUMMYFUNCTION("""COMPUTED_VALUE"""),45719.6398578125)</f>
        <v>45719.63986</v>
      </c>
      <c r="G1813" s="42" t="str">
        <f>IFERROR(__xludf.DUMMYFUNCTION("""COMPUTED_VALUE"""),"ROYA")</f>
        <v>ROYA</v>
      </c>
      <c r="H1813" s="42">
        <f t="shared" si="1"/>
        <v>826</v>
      </c>
    </row>
    <row r="1814" ht="22.5" customHeight="1">
      <c r="B1814" s="42" t="str">
        <f>IFERROR(__xludf.DUMMYFUNCTION("""COMPUTED_VALUE"""),"K/5/030225/1")</f>
        <v>K/5/030225/1</v>
      </c>
      <c r="C1814" s="42" t="str">
        <f>IFERROR(__xludf.DUMMYFUNCTION("""COMPUTED_VALUE"""),"M. 3483/ Tanjung Senang")</f>
        <v>M. 3483/ Tanjung Senang</v>
      </c>
      <c r="D1814" s="42"/>
      <c r="E1814" s="42"/>
      <c r="F1814" s="48" t="str">
        <f>IFERROR(__xludf.DUMMYFUNCTION("""COMPUTED_VALUE"""),"")</f>
        <v/>
      </c>
      <c r="G1814" s="42" t="str">
        <f>IFERROR(__xludf.DUMMYFUNCTION("""COMPUTED_VALUE"""),"S. Hilang")</f>
        <v>S. Hilang</v>
      </c>
      <c r="H1814" s="42">
        <f t="shared" si="1"/>
        <v>826</v>
      </c>
    </row>
    <row r="1815" ht="22.5" customHeight="1">
      <c r="B1815" s="42" t="str">
        <f>IFERROR(__xludf.DUMMYFUNCTION("""COMPUTED_VALUE"""),"K/6/030225/1")</f>
        <v>K/6/030225/1</v>
      </c>
      <c r="C1815" s="42" t="str">
        <f>IFERROR(__xludf.DUMMYFUNCTION("""COMPUTED_VALUE"""),"PBT. 91/2024 LABUHAN RATU RATA")</f>
        <v>PBT. 91/2024 LABUHAN RATU RATA</v>
      </c>
      <c r="D1815" s="42"/>
      <c r="E1815" s="42"/>
      <c r="F1815" s="48" t="str">
        <f>IFERROR(__xludf.DUMMYFUNCTION("""COMPUTED_VALUE"""),"")</f>
        <v/>
      </c>
      <c r="G1815" s="42" t="str">
        <f>IFERROR(__xludf.DUMMYFUNCTION("""COMPUTED_VALUE"""),"PERMOHONAN SK HAK")</f>
        <v>PERMOHONAN SK HAK</v>
      </c>
      <c r="H1815" s="42">
        <f t="shared" si="1"/>
        <v>826</v>
      </c>
    </row>
    <row r="1816" ht="22.5" customHeight="1">
      <c r="B1816" s="42" t="str">
        <f>IFERROR(__xludf.DUMMYFUNCTION("""COMPUTED_VALUE"""),"L/7/030225/1")</f>
        <v>L/7/030225/1</v>
      </c>
      <c r="C1816" s="42" t="str">
        <f>IFERROR(__xludf.DUMMYFUNCTION("""COMPUTED_VALUE"""),"HM 242/GEDUNG MENENG")</f>
        <v>HM 242/GEDUNG MENENG</v>
      </c>
      <c r="D1816" s="42"/>
      <c r="E1816" s="42" t="str">
        <f>IFERROR(__xludf.DUMMYFUNCTION("""COMPUTED_VALUE"""),"DISERAHKAN")</f>
        <v>DISERAHKAN</v>
      </c>
      <c r="F1816" s="48">
        <f>IFERROR(__xludf.DUMMYFUNCTION("""COMPUTED_VALUE"""),45742.61145403935)</f>
        <v>45742.61145</v>
      </c>
      <c r="G1816" s="42" t="str">
        <f>IFERROR(__xludf.DUMMYFUNCTION("""COMPUTED_VALUE"""),"ROYA")</f>
        <v>ROYA</v>
      </c>
      <c r="H1816" s="42">
        <f t="shared" si="1"/>
        <v>827</v>
      </c>
    </row>
    <row r="1817" ht="22.5" customHeight="1">
      <c r="B1817" s="42" t="str">
        <f>IFERROR(__xludf.DUMMYFUNCTION("""COMPUTED_VALUE"""),"K/8/030225/1")</f>
        <v>K/8/030225/1</v>
      </c>
      <c r="C1817" s="42" t="str">
        <f>IFERROR(__xludf.DUMMYFUNCTION("""COMPUTED_VALUE"""),"M. 1565/ Bumi Kedamaian")</f>
        <v>M. 1565/ Bumi Kedamaian</v>
      </c>
      <c r="D1817" s="42"/>
      <c r="E1817" s="42"/>
      <c r="F1817" s="48" t="str">
        <f>IFERROR(__xludf.DUMMYFUNCTION("""COMPUTED_VALUE"""),"")</f>
        <v/>
      </c>
      <c r="G1817" s="42" t="str">
        <f>IFERROR(__xludf.DUMMYFUNCTION("""COMPUTED_VALUE"""),"PTPTGT PEMECAHAN")</f>
        <v>PTPTGT PEMECAHAN</v>
      </c>
      <c r="H1817" s="42">
        <f t="shared" si="1"/>
        <v>827</v>
      </c>
    </row>
    <row r="1818" ht="22.5" customHeight="1">
      <c r="B1818" s="42" t="str">
        <f>IFERROR(__xludf.DUMMYFUNCTION("""COMPUTED_VALUE"""),"K/9/030225/1")</f>
        <v>K/9/030225/1</v>
      </c>
      <c r="C1818" s="42" t="str">
        <f>IFERROR(__xludf.DUMMYFUNCTION("""COMPUTED_VALUE"""),"M. 777/ Kotabaru")</f>
        <v>M. 777/ Kotabaru</v>
      </c>
      <c r="D1818" s="42"/>
      <c r="E1818" s="42"/>
      <c r="F1818" s="48" t="str">
        <f>IFERROR(__xludf.DUMMYFUNCTION("""COMPUTED_VALUE"""),"")</f>
        <v/>
      </c>
      <c r="G1818" s="42" t="str">
        <f>IFERROR(__xludf.DUMMYFUNCTION("""COMPUTED_VALUE"""),"SKPT LELANG")</f>
        <v>SKPT LELANG</v>
      </c>
      <c r="H1818" s="42">
        <f t="shared" si="1"/>
        <v>827</v>
      </c>
    </row>
    <row r="1819" ht="22.5" customHeight="1">
      <c r="B1819" s="42" t="str">
        <f>IFERROR(__xludf.DUMMYFUNCTION("""COMPUTED_VALUE"""),"L/10/030225/1")</f>
        <v>L/10/030225/1</v>
      </c>
      <c r="C1819" s="42" t="str">
        <f>IFERROR(__xludf.DUMMYFUNCTION("""COMPUTED_VALUE"""),"HM 1716/BAKUNG")</f>
        <v>HM 1716/BAKUNG</v>
      </c>
      <c r="D1819" s="42"/>
      <c r="E1819" s="42" t="str">
        <f>IFERROR(__xludf.DUMMYFUNCTION("""COMPUTED_VALUE"""),"PROSES")</f>
        <v>PROSES</v>
      </c>
      <c r="F1819" s="48" t="str">
        <f>IFERROR(__xludf.DUMMYFUNCTION("""COMPUTED_VALUE"""),"")</f>
        <v/>
      </c>
      <c r="G1819" s="42" t="str">
        <f>IFERROR(__xludf.DUMMYFUNCTION("""COMPUTED_VALUE"""),"BN LELANG")</f>
        <v>BN LELANG</v>
      </c>
      <c r="H1819" s="42">
        <f t="shared" si="1"/>
        <v>827</v>
      </c>
    </row>
    <row r="1820" ht="22.5" customHeight="1">
      <c r="B1820" s="42" t="str">
        <f>IFERROR(__xludf.DUMMYFUNCTION("""COMPUTED_VALUE"""),"K/11/030225/1")</f>
        <v>K/11/030225/1</v>
      </c>
      <c r="C1820" s="42" t="str">
        <f>IFERROR(__xludf.DUMMYFUNCTION("""COMPUTED_VALUE"""),"M. 11862/ Segala Mider")</f>
        <v>M. 11862/ Segala Mider</v>
      </c>
      <c r="D1820" s="42"/>
      <c r="E1820" s="42" t="str">
        <f>IFERROR(__xludf.DUMMYFUNCTION("""COMPUTED_VALUE"""),"DISERAHKAN")</f>
        <v>DISERAHKAN</v>
      </c>
      <c r="F1820" s="48">
        <f>IFERROR(__xludf.DUMMYFUNCTION("""COMPUTED_VALUE"""),45706.455497256946)</f>
        <v>45706.4555</v>
      </c>
      <c r="G1820" s="42" t="str">
        <f>IFERROR(__xludf.DUMMYFUNCTION("""COMPUTED_VALUE"""),"BN WARIS")</f>
        <v>BN WARIS</v>
      </c>
      <c r="H1820" s="42">
        <f t="shared" si="1"/>
        <v>828</v>
      </c>
    </row>
    <row r="1821" ht="22.5" customHeight="1">
      <c r="B1821" s="42" t="str">
        <f>IFERROR(__xludf.DUMMYFUNCTION("""COMPUTED_VALUE"""),"L/12/030225/1")</f>
        <v>L/12/030225/1</v>
      </c>
      <c r="C1821" s="42" t="str">
        <f>IFERROR(__xludf.DUMMYFUNCTION("""COMPUTED_VALUE"""),"HM 3214/LANGKAPURA")</f>
        <v>HM 3214/LANGKAPURA</v>
      </c>
      <c r="D1821" s="42"/>
      <c r="E1821" s="42" t="str">
        <f>IFERROR(__xludf.DUMMYFUNCTION("""COMPUTED_VALUE"""),"DISERAHKAN")</f>
        <v>DISERAHKAN</v>
      </c>
      <c r="F1821" s="48">
        <f>IFERROR(__xludf.DUMMYFUNCTION("""COMPUTED_VALUE"""),45730.60933493056)</f>
        <v>45730.60933</v>
      </c>
      <c r="G1821" s="42" t="str">
        <f>IFERROR(__xludf.DUMMYFUNCTION("""COMPUTED_VALUE"""),"ROYA")</f>
        <v>ROYA</v>
      </c>
      <c r="H1821" s="42">
        <f t="shared" si="1"/>
        <v>829</v>
      </c>
    </row>
    <row r="1822" ht="22.5" customHeight="1">
      <c r="B1822" s="42" t="str">
        <f>IFERROR(__xludf.DUMMYFUNCTION("""COMPUTED_VALUE"""),"L/13/030225/1")</f>
        <v>L/13/030225/1</v>
      </c>
      <c r="C1822" s="42" t="str">
        <f>IFERROR(__xludf.DUMMYFUNCTION("""COMPUTED_VALUE"""),"HM 17571/SUKARAME")</f>
        <v>HM 17571/SUKARAME</v>
      </c>
      <c r="D1822" s="42"/>
      <c r="E1822" s="42" t="str">
        <f>IFERROR(__xludf.DUMMYFUNCTION("""COMPUTED_VALUE"""),"DISERAHKAN")</f>
        <v>DISERAHKAN</v>
      </c>
      <c r="F1822" s="48">
        <f>IFERROR(__xludf.DUMMYFUNCTION("""COMPUTED_VALUE"""),45723.54493512731)</f>
        <v>45723.54494</v>
      </c>
      <c r="G1822" s="42" t="str">
        <f>IFERROR(__xludf.DUMMYFUNCTION("""COMPUTED_VALUE"""),"ROYA")</f>
        <v>ROYA</v>
      </c>
      <c r="H1822" s="42">
        <f t="shared" si="1"/>
        <v>830</v>
      </c>
    </row>
    <row r="1823" ht="22.5" customHeight="1">
      <c r="B1823" s="42" t="str">
        <f>IFERROR(__xludf.DUMMYFUNCTION("""COMPUTED_VALUE"""),"K/14/030225/1")</f>
        <v>K/14/030225/1</v>
      </c>
      <c r="C1823" s="42" t="str">
        <f>IFERROR(__xludf.DUMMYFUNCTION("""COMPUTED_VALUE"""),"Nibel. B. 16544/ Rajabasa Nunyai")</f>
        <v>Nibel. B. 16544/ Rajabasa Nunyai</v>
      </c>
      <c r="D1823" s="42"/>
      <c r="E1823" s="42"/>
      <c r="F1823" s="48" t="str">
        <f>IFERROR(__xludf.DUMMYFUNCTION("""COMPUTED_VALUE"""),"")</f>
        <v/>
      </c>
      <c r="G1823" s="42" t="str">
        <f>IFERROR(__xludf.DUMMYFUNCTION("""COMPUTED_VALUE"""),"Perubahan Hak")</f>
        <v>Perubahan Hak</v>
      </c>
      <c r="H1823" s="42">
        <f t="shared" si="1"/>
        <v>830</v>
      </c>
    </row>
    <row r="1824" ht="22.5" customHeight="1">
      <c r="B1824" s="42" t="str">
        <f>IFERROR(__xludf.DUMMYFUNCTION("""COMPUTED_VALUE"""),"K/15/030225/1")</f>
        <v>K/15/030225/1</v>
      </c>
      <c r="C1824" s="42" t="str">
        <f>IFERROR(__xludf.DUMMYFUNCTION("""COMPUTED_VALUE"""),"B.957/PESAWAHAN")</f>
        <v>B.957/PESAWAHAN</v>
      </c>
      <c r="D1824" s="42"/>
      <c r="E1824" s="42" t="str">
        <f>IFERROR(__xludf.DUMMYFUNCTION("""COMPUTED_VALUE"""),"DISERAHKAN")</f>
        <v>DISERAHKAN</v>
      </c>
      <c r="F1824" s="48">
        <f>IFERROR(__xludf.DUMMYFUNCTION("""COMPUTED_VALUE"""),45720.56505600695)</f>
        <v>45720.56506</v>
      </c>
      <c r="G1824" s="42" t="str">
        <f>IFERROR(__xludf.DUMMYFUNCTION("""COMPUTED_VALUE"""),"ROYA")</f>
        <v>ROYA</v>
      </c>
      <c r="H1824" s="42">
        <f t="shared" si="1"/>
        <v>831</v>
      </c>
    </row>
    <row r="1825" ht="22.5" customHeight="1">
      <c r="B1825" s="42" t="str">
        <f>IFERROR(__xludf.DUMMYFUNCTION("""COMPUTED_VALUE"""),"K/17/030225/3")</f>
        <v>K/17/030225/3</v>
      </c>
      <c r="C1825" s="42" t="str">
        <f>IFERROR(__xludf.DUMMYFUNCTION("""COMPUTED_VALUE"""),"Nibel. M. 196/ Rajabasa Raya")</f>
        <v>Nibel. M. 196/ Rajabasa Raya</v>
      </c>
      <c r="D1825" s="42"/>
      <c r="E1825" s="42"/>
      <c r="F1825" s="48" t="str">
        <f>IFERROR(__xludf.DUMMYFUNCTION("""COMPUTED_VALUE"""),"")</f>
        <v/>
      </c>
      <c r="G1825" s="42" t="str">
        <f>IFERROR(__xludf.DUMMYFUNCTION("""COMPUTED_VALUE"""),"BN Jual Beli")</f>
        <v>BN Jual Beli</v>
      </c>
      <c r="H1825" s="42">
        <f t="shared" si="1"/>
        <v>831</v>
      </c>
    </row>
    <row r="1826" ht="22.5" customHeight="1">
      <c r="B1826" s="42" t="str">
        <f>IFERROR(__xludf.DUMMYFUNCTION("""COMPUTED_VALUE"""),"K/16/030225/2")</f>
        <v>K/16/030225/2</v>
      </c>
      <c r="C1826" s="42" t="str">
        <f>IFERROR(__xludf.DUMMYFUNCTION("""COMPUTED_VALUE"""),"M. 1874/ Sumberrejo Sejahtera")</f>
        <v>M. 1874/ Sumberrejo Sejahtera</v>
      </c>
      <c r="D1826" s="42"/>
      <c r="E1826" s="42" t="str">
        <f>IFERROR(__xludf.DUMMYFUNCTION("""COMPUTED_VALUE"""),"DISERAHKAN")</f>
        <v>DISERAHKAN</v>
      </c>
      <c r="F1826" s="48">
        <f>IFERROR(__xludf.DUMMYFUNCTION("""COMPUTED_VALUE"""),45702.40977842592)</f>
        <v>45702.40978</v>
      </c>
      <c r="G1826" s="42" t="str">
        <f>IFERROR(__xludf.DUMMYFUNCTION("""COMPUTED_VALUE"""),"BN Jual Beli")</f>
        <v>BN Jual Beli</v>
      </c>
      <c r="H1826" s="42">
        <f t="shared" si="1"/>
        <v>832</v>
      </c>
    </row>
    <row r="1827" ht="22.5" customHeight="1">
      <c r="B1827" s="42" t="str">
        <f>IFERROR(__xludf.DUMMYFUNCTION("""COMPUTED_VALUE"""),"L/18/030225/1")</f>
        <v>L/18/030225/1</v>
      </c>
      <c r="C1827" s="42" t="str">
        <f>IFERROR(__xludf.DUMMYFUNCTION("""COMPUTED_VALUE"""),"HM 16749/SUKABUMI")</f>
        <v>HM 16749/SUKABUMI</v>
      </c>
      <c r="D1827" s="42"/>
      <c r="E1827" s="42"/>
      <c r="F1827" s="48" t="str">
        <f>IFERROR(__xludf.DUMMYFUNCTION("""COMPUTED_VALUE"""),"")</f>
        <v/>
      </c>
      <c r="G1827" s="42" t="str">
        <f>IFERROR(__xludf.DUMMYFUNCTION("""COMPUTED_VALUE"""),"PTPGT")</f>
        <v>PTPGT</v>
      </c>
      <c r="H1827" s="42">
        <f t="shared" si="1"/>
        <v>832</v>
      </c>
    </row>
    <row r="1828" ht="22.5" customHeight="1">
      <c r="B1828" s="42" t="str">
        <f>IFERROR(__xludf.DUMMYFUNCTION("""COMPUTED_VALUE"""),"L/20/030225/1")</f>
        <v>L/20/030225/1</v>
      </c>
      <c r="C1828" s="42" t="str">
        <f>IFERROR(__xludf.DUMMYFUNCTION("""COMPUTED_VALUE"""),"HM 14166/SEGALA MIDER")</f>
        <v>HM 14166/SEGALA MIDER</v>
      </c>
      <c r="D1828" s="42"/>
      <c r="E1828" s="42"/>
      <c r="F1828" s="48" t="str">
        <f>IFERROR(__xludf.DUMMYFUNCTION("""COMPUTED_VALUE"""),"")</f>
        <v/>
      </c>
      <c r="G1828" s="42" t="str">
        <f>IFERROR(__xludf.DUMMYFUNCTION("""COMPUTED_VALUE"""),"PTPGT")</f>
        <v>PTPGT</v>
      </c>
      <c r="H1828" s="42">
        <f t="shared" si="1"/>
        <v>832</v>
      </c>
    </row>
    <row r="1829" ht="22.5" customHeight="1">
      <c r="B1829" s="42" t="str">
        <f>IFERROR(__xludf.DUMMYFUNCTION("""COMPUTED_VALUE"""),"K/19/030225/1")</f>
        <v>K/19/030225/1</v>
      </c>
      <c r="C1829" s="42" t="str">
        <f>IFERROR(__xludf.DUMMYFUNCTION("""COMPUTED_VALUE"""),"B. 4401/ Sukabumi")</f>
        <v>B. 4401/ Sukabumi</v>
      </c>
      <c r="D1829" s="42"/>
      <c r="E1829" s="42"/>
      <c r="F1829" s="48" t="str">
        <f>IFERROR(__xludf.DUMMYFUNCTION("""COMPUTED_VALUE"""),"")</f>
        <v/>
      </c>
      <c r="G1829" s="42" t="str">
        <f>IFERROR(__xludf.DUMMYFUNCTION("""COMPUTED_VALUE"""),"Perubahan Hak")</f>
        <v>Perubahan Hak</v>
      </c>
      <c r="H1829" s="42">
        <f t="shared" si="1"/>
        <v>832</v>
      </c>
    </row>
    <row r="1830" ht="22.5" customHeight="1">
      <c r="B1830" s="42" t="str">
        <f>IFERROR(__xludf.DUMMYFUNCTION("""COMPUTED_VALUE"""),"L/21/030225/1")</f>
        <v>L/21/030225/1</v>
      </c>
      <c r="C1830" s="42" t="str">
        <f>IFERROR(__xludf.DUMMYFUNCTION("""COMPUTED_VALUE"""),"HM 981/BATU PUTUK")</f>
        <v>HM 981/BATU PUTUK</v>
      </c>
      <c r="D1830" s="42"/>
      <c r="E1830" s="42"/>
      <c r="F1830" s="48" t="str">
        <f>IFERROR(__xludf.DUMMYFUNCTION("""COMPUTED_VALUE"""),"")</f>
        <v/>
      </c>
      <c r="G1830" s="42" t="str">
        <f>IFERROR(__xludf.DUMMYFUNCTION("""COMPUTED_VALUE"""),"PENATAAN BATAS")</f>
        <v>PENATAAN BATAS</v>
      </c>
      <c r="H1830" s="42">
        <f t="shared" si="1"/>
        <v>832</v>
      </c>
    </row>
    <row r="1831" ht="22.5" customHeight="1">
      <c r="B1831" s="42" t="str">
        <f>IFERROR(__xludf.DUMMYFUNCTION("""COMPUTED_VALUE"""),"L/23/030225/1")</f>
        <v>L/23/030225/1</v>
      </c>
      <c r="C1831" s="42" t="str">
        <f>IFERROR(__xludf.DUMMYFUNCTION("""COMPUTED_VALUE"""),"HM 1042/LABUHAN DALAM")</f>
        <v>HM 1042/LABUHAN DALAM</v>
      </c>
      <c r="D1831" s="42"/>
      <c r="E1831" s="42" t="str">
        <f>IFERROR(__xludf.DUMMYFUNCTION("""COMPUTED_VALUE"""),"DISERAHKAN")</f>
        <v>DISERAHKAN</v>
      </c>
      <c r="F1831" s="48">
        <f>IFERROR(__xludf.DUMMYFUNCTION("""COMPUTED_VALUE"""),45719.63426854167)</f>
        <v>45719.63427</v>
      </c>
      <c r="G1831" s="42" t="str">
        <f>IFERROR(__xludf.DUMMYFUNCTION("""COMPUTED_VALUE"""),"ROYA")</f>
        <v>ROYA</v>
      </c>
      <c r="H1831" s="42">
        <f t="shared" si="1"/>
        <v>833</v>
      </c>
    </row>
    <row r="1832" ht="22.5" customHeight="1">
      <c r="B1832" s="42" t="str">
        <f>IFERROR(__xludf.DUMMYFUNCTION("""COMPUTED_VALUE"""),"K/22/030225/1")</f>
        <v>K/22/030225/1</v>
      </c>
      <c r="C1832" s="42" t="str">
        <f>IFERROR(__xludf.DUMMYFUNCTION("""COMPUTED_VALUE"""),"Nibel. M. 10972/ Rajabasa Jaya")</f>
        <v>Nibel. M. 10972/ Rajabasa Jaya</v>
      </c>
      <c r="D1832" s="42"/>
      <c r="E1832" s="42"/>
      <c r="F1832" s="48" t="str">
        <f>IFERROR(__xludf.DUMMYFUNCTION("""COMPUTED_VALUE"""),"")</f>
        <v/>
      </c>
      <c r="G1832" s="42" t="str">
        <f>IFERROR(__xludf.DUMMYFUNCTION("""COMPUTED_VALUE"""),"BN Jual Beli")</f>
        <v>BN Jual Beli</v>
      </c>
      <c r="H1832" s="42">
        <f t="shared" si="1"/>
        <v>833</v>
      </c>
    </row>
    <row r="1833" ht="22.5" customHeight="1">
      <c r="B1833" s="42" t="str">
        <f>IFERROR(__xludf.DUMMYFUNCTION("""COMPUTED_VALUE"""),"K/24/030225/1")</f>
        <v>K/24/030225/1</v>
      </c>
      <c r="C1833" s="42" t="str">
        <f>IFERROR(__xludf.DUMMYFUNCTION("""COMPUTED_VALUE"""),"M. 2582/ Sukadana Ham")</f>
        <v>M. 2582/ Sukadana Ham</v>
      </c>
      <c r="D1833" s="42"/>
      <c r="E1833" s="42"/>
      <c r="F1833" s="48" t="str">
        <f>IFERROR(__xludf.DUMMYFUNCTION("""COMPUTED_VALUE"""),"")</f>
        <v/>
      </c>
      <c r="G1833" s="42" t="str">
        <f>IFERROR(__xludf.DUMMYFUNCTION("""COMPUTED_VALUE"""),"SKPT LELANG")</f>
        <v>SKPT LELANG</v>
      </c>
      <c r="H1833" s="42">
        <f t="shared" si="1"/>
        <v>833</v>
      </c>
    </row>
    <row r="1834" ht="22.5" customHeight="1">
      <c r="B1834" s="42" t="str">
        <f>IFERROR(__xludf.DUMMYFUNCTION("""COMPUTED_VALUE"""),"K/25/030225/2")</f>
        <v>K/25/030225/2</v>
      </c>
      <c r="C1834" s="42" t="str">
        <f>IFERROR(__xludf.DUMMYFUNCTION("""COMPUTED_VALUE"""),"M. 734/ Perwata")</f>
        <v>M. 734/ Perwata</v>
      </c>
      <c r="D1834" s="42"/>
      <c r="E1834" s="42"/>
      <c r="F1834" s="48" t="str">
        <f>IFERROR(__xludf.DUMMYFUNCTION("""COMPUTED_VALUE"""),"")</f>
        <v/>
      </c>
      <c r="G1834" s="42" t="str">
        <f>IFERROR(__xludf.DUMMYFUNCTION("""COMPUTED_VALUE"""),"SKPT LELANG")</f>
        <v>SKPT LELANG</v>
      </c>
      <c r="H1834" s="42">
        <f t="shared" si="1"/>
        <v>833</v>
      </c>
    </row>
    <row r="1835" ht="22.5" customHeight="1">
      <c r="B1835" s="42" t="str">
        <f>IFERROR(__xludf.DUMMYFUNCTION("""COMPUTED_VALUE"""),"K/28/030225/1")</f>
        <v>K/28/030225/1</v>
      </c>
      <c r="C1835" s="42" t="str">
        <f>IFERROR(__xludf.DUMMYFUNCTION("""COMPUTED_VALUE"""),"M.14642/RAJABASA")</f>
        <v>M.14642/RAJABASA</v>
      </c>
      <c r="D1835" s="42"/>
      <c r="E1835" s="42" t="str">
        <f>IFERROR(__xludf.DUMMYFUNCTION("""COMPUTED_VALUE"""),"DISERAHKAN")</f>
        <v>DISERAHKAN</v>
      </c>
      <c r="F1835" s="48">
        <f>IFERROR(__xludf.DUMMYFUNCTION("""COMPUTED_VALUE"""),45719.637752951385)</f>
        <v>45719.63775</v>
      </c>
      <c r="G1835" s="42" t="str">
        <f>IFERROR(__xludf.DUMMYFUNCTION("""COMPUTED_VALUE"""),"ROYA")</f>
        <v>ROYA</v>
      </c>
      <c r="H1835" s="42">
        <f t="shared" si="1"/>
        <v>834</v>
      </c>
    </row>
    <row r="1836" ht="22.5" customHeight="1">
      <c r="B1836" s="42" t="str">
        <f>IFERROR(__xludf.DUMMYFUNCTION("""COMPUTED_VALUE"""),"K/26/030225/3")</f>
        <v>K/26/030225/3</v>
      </c>
      <c r="C1836" s="42" t="str">
        <f>IFERROR(__xludf.DUMMYFUNCTION("""COMPUTED_VALUE"""),"M. 14618/ Rajabasa")</f>
        <v>M. 14618/ Rajabasa</v>
      </c>
      <c r="D1836" s="42"/>
      <c r="E1836" s="42"/>
      <c r="F1836" s="48" t="str">
        <f>IFERROR(__xludf.DUMMYFUNCTION("""COMPUTED_VALUE"""),"")</f>
        <v/>
      </c>
      <c r="G1836" s="42" t="str">
        <f>IFERROR(__xludf.DUMMYFUNCTION("""COMPUTED_VALUE"""),"SKPT LELANG")</f>
        <v>SKPT LELANG</v>
      </c>
      <c r="H1836" s="42">
        <f t="shared" si="1"/>
        <v>834</v>
      </c>
    </row>
    <row r="1837" ht="22.5" customHeight="1">
      <c r="B1837" s="42" t="str">
        <f>IFERROR(__xludf.DUMMYFUNCTION("""COMPUTED_VALUE"""),"K/27/030225/4")</f>
        <v>K/27/030225/4</v>
      </c>
      <c r="C1837" s="42" t="str">
        <f>IFERROR(__xludf.DUMMYFUNCTION("""COMPUTED_VALUE"""),"M. 1996/ Tanjung Seneng")</f>
        <v>M. 1996/ Tanjung Seneng</v>
      </c>
      <c r="D1837" s="42"/>
      <c r="E1837" s="42"/>
      <c r="F1837" s="48" t="str">
        <f>IFERROR(__xludf.DUMMYFUNCTION("""COMPUTED_VALUE"""),"")</f>
        <v/>
      </c>
      <c r="G1837" s="42" t="str">
        <f>IFERROR(__xludf.DUMMYFUNCTION("""COMPUTED_VALUE"""),"SKPT LELANG")</f>
        <v>SKPT LELANG</v>
      </c>
      <c r="H1837" s="42">
        <f t="shared" si="1"/>
        <v>834</v>
      </c>
    </row>
    <row r="1838" ht="22.5" customHeight="1">
      <c r="B1838" s="42" t="str">
        <f>IFERROR(__xludf.DUMMYFUNCTION("""COMPUTED_VALUE"""),"K/29/030225/1")</f>
        <v>K/29/030225/1</v>
      </c>
      <c r="C1838" s="42" t="str">
        <f>IFERROR(__xludf.DUMMYFUNCTION("""COMPUTED_VALUE"""),"M. 733/ Perwata")</f>
        <v>M. 733/ Perwata</v>
      </c>
      <c r="D1838" s="42"/>
      <c r="E1838" s="42"/>
      <c r="F1838" s="48" t="str">
        <f>IFERROR(__xludf.DUMMYFUNCTION("""COMPUTED_VALUE"""),"")</f>
        <v/>
      </c>
      <c r="G1838" s="42" t="str">
        <f>IFERROR(__xludf.DUMMYFUNCTION("""COMPUTED_VALUE"""),"SKPT LELANG")</f>
        <v>SKPT LELANG</v>
      </c>
      <c r="H1838" s="42">
        <f t="shared" si="1"/>
        <v>834</v>
      </c>
    </row>
    <row r="1839" ht="22.5" customHeight="1">
      <c r="B1839" s="42" t="str">
        <f>IFERROR(__xludf.DUMMYFUNCTION("""COMPUTED_VALUE"""),"K/30/030225/1")</f>
        <v>K/30/030225/1</v>
      </c>
      <c r="C1839" s="42" t="str">
        <f>IFERROR(__xludf.DUMMYFUNCTION("""COMPUTED_VALUE"""),"B. 1094/ Keteguhan")</f>
        <v>B. 1094/ Keteguhan</v>
      </c>
      <c r="D1839" s="42"/>
      <c r="E1839" s="42" t="str">
        <f>IFERROR(__xludf.DUMMYFUNCTION("""COMPUTED_VALUE"""),"DISERAHKAN")</f>
        <v>DISERAHKAN</v>
      </c>
      <c r="F1839" s="48">
        <f>IFERROR(__xludf.DUMMYFUNCTION("""COMPUTED_VALUE"""),45702.43058359953)</f>
        <v>45702.43058</v>
      </c>
      <c r="G1839" s="42" t="str">
        <f>IFERROR(__xludf.DUMMYFUNCTION("""COMPUTED_VALUE"""),"BN Jual Beli")</f>
        <v>BN Jual Beli</v>
      </c>
      <c r="H1839" s="42">
        <f t="shared" si="1"/>
        <v>835</v>
      </c>
    </row>
    <row r="1840" ht="22.5" customHeight="1">
      <c r="B1840" s="42" t="str">
        <f>IFERROR(__xludf.DUMMYFUNCTION("""COMPUTED_VALUE"""),"K/31/030225/1")</f>
        <v>K/31/030225/1</v>
      </c>
      <c r="C1840" s="42" t="str">
        <f>IFERROR(__xludf.DUMMYFUNCTION("""COMPUTED_VALUE"""),"M.1046/SUSUNAN BARU")</f>
        <v>M.1046/SUSUNAN BARU</v>
      </c>
      <c r="D1840" s="42"/>
      <c r="E1840" s="42" t="str">
        <f>IFERROR(__xludf.DUMMYFUNCTION("""COMPUTED_VALUE"""),"DISERAHKAN")</f>
        <v>DISERAHKAN</v>
      </c>
      <c r="F1840" s="48">
        <f>IFERROR(__xludf.DUMMYFUNCTION("""COMPUTED_VALUE"""),45719.64042880787)</f>
        <v>45719.64043</v>
      </c>
      <c r="G1840" s="42" t="str">
        <f>IFERROR(__xludf.DUMMYFUNCTION("""COMPUTED_VALUE"""),"ROYA")</f>
        <v>ROYA</v>
      </c>
      <c r="H1840" s="42">
        <f t="shared" si="1"/>
        <v>836</v>
      </c>
    </row>
    <row r="1841" ht="22.5" customHeight="1">
      <c r="B1841" s="42" t="str">
        <f>IFERROR(__xludf.DUMMYFUNCTION("""COMPUTED_VALUE"""),"K/32/030225/1")</f>
        <v>K/32/030225/1</v>
      </c>
      <c r="C1841" s="42" t="str">
        <f>IFERROR(__xludf.DUMMYFUNCTION("""COMPUTED_VALUE"""),"B.398/KALI BALAU KENCANA")</f>
        <v>B.398/KALI BALAU KENCANA</v>
      </c>
      <c r="D1841" s="42"/>
      <c r="E1841" s="42"/>
      <c r="F1841" s="48" t="str">
        <f>IFERROR(__xludf.DUMMYFUNCTION("""COMPUTED_VALUE"""),"")</f>
        <v/>
      </c>
      <c r="G1841" s="42" t="str">
        <f>IFERROR(__xludf.DUMMYFUNCTION("""COMPUTED_VALUE"""),"PERUBAHAN HAK")</f>
        <v>PERUBAHAN HAK</v>
      </c>
      <c r="H1841" s="42">
        <f t="shared" si="1"/>
        <v>836</v>
      </c>
    </row>
    <row r="1842" ht="22.5" customHeight="1">
      <c r="B1842" s="42" t="str">
        <f>IFERROR(__xludf.DUMMYFUNCTION("""COMPUTED_VALUE"""),"K/33/030225/1")</f>
        <v>K/33/030225/1</v>
      </c>
      <c r="C1842" s="42" t="str">
        <f>IFERROR(__xludf.DUMMYFUNCTION("""COMPUTED_VALUE"""),"M. 1127/ Sukadana Ham")</f>
        <v>M. 1127/ Sukadana Ham</v>
      </c>
      <c r="D1842" s="42"/>
      <c r="E1842" s="42" t="str">
        <f>IFERROR(__xludf.DUMMYFUNCTION("""COMPUTED_VALUE"""),"DISERAHKAN")</f>
        <v>DISERAHKAN</v>
      </c>
      <c r="F1842" s="48">
        <f>IFERROR(__xludf.DUMMYFUNCTION("""COMPUTED_VALUE"""),45771.39398768518)</f>
        <v>45771.39399</v>
      </c>
      <c r="G1842" s="42" t="str">
        <f>IFERROR(__xludf.DUMMYFUNCTION("""COMPUTED_VALUE"""),"Roya Waris")</f>
        <v>Roya Waris</v>
      </c>
      <c r="H1842" s="42">
        <f t="shared" si="1"/>
        <v>837</v>
      </c>
    </row>
    <row r="1843" ht="22.5" customHeight="1">
      <c r="B1843" s="42" t="str">
        <f>IFERROR(__xludf.DUMMYFUNCTION("""COMPUTED_VALUE"""),"L/1/040225/1")</f>
        <v>L/1/040225/1</v>
      </c>
      <c r="C1843" s="42" t="str">
        <f>IFERROR(__xludf.DUMMYFUNCTION("""COMPUTED_VALUE"""),"HM 972/KUPANG TEBA")</f>
        <v>HM 972/KUPANG TEBA</v>
      </c>
      <c r="D1843" s="42"/>
      <c r="E1843" s="42" t="str">
        <f>IFERROR(__xludf.DUMMYFUNCTION("""COMPUTED_VALUE"""),"DISERAHKAN")</f>
        <v>DISERAHKAN</v>
      </c>
      <c r="F1843" s="48">
        <f>IFERROR(__xludf.DUMMYFUNCTION("""COMPUTED_VALUE"""),45708.59421068287)</f>
        <v>45708.59421</v>
      </c>
      <c r="G1843" s="42" t="str">
        <f>IFERROR(__xludf.DUMMYFUNCTION("""COMPUTED_VALUE"""),"ROYA WARIS")</f>
        <v>ROYA WARIS</v>
      </c>
      <c r="H1843" s="42">
        <f t="shared" si="1"/>
        <v>838</v>
      </c>
    </row>
    <row r="1844" ht="22.5" customHeight="1">
      <c r="B1844" s="42" t="str">
        <f>IFERROR(__xludf.DUMMYFUNCTION("""COMPUTED_VALUE"""),"K/2/040225/1")</f>
        <v>K/2/040225/1</v>
      </c>
      <c r="C1844" s="42" t="str">
        <f>IFERROR(__xludf.DUMMYFUNCTION("""COMPUTED_VALUE"""),"M. 3014/ Gedong Air")</f>
        <v>M. 3014/ Gedong Air</v>
      </c>
      <c r="D1844" s="42"/>
      <c r="E1844" s="42" t="str">
        <f>IFERROR(__xludf.DUMMYFUNCTION("""COMPUTED_VALUE"""),"DISERAHKAN")</f>
        <v>DISERAHKAN</v>
      </c>
      <c r="F1844" s="48">
        <f>IFERROR(__xludf.DUMMYFUNCTION("""COMPUTED_VALUE"""),45702.429053182874)</f>
        <v>45702.42905</v>
      </c>
      <c r="G1844" s="42" t="str">
        <f>IFERROR(__xludf.DUMMYFUNCTION("""COMPUTED_VALUE"""),"BN HIBAH")</f>
        <v>BN HIBAH</v>
      </c>
      <c r="H1844" s="42">
        <f t="shared" si="1"/>
        <v>839</v>
      </c>
    </row>
    <row r="1845" ht="22.5" customHeight="1">
      <c r="B1845" s="42" t="str">
        <f>IFERROR(__xludf.DUMMYFUNCTION("""COMPUTED_VALUE"""),"K/3/040225/1")</f>
        <v>K/3/040225/1</v>
      </c>
      <c r="C1845" s="42" t="str">
        <f>IFERROR(__xludf.DUMMYFUNCTION("""COMPUTED_VALUE"""),"Nibel 16547/ Bumi kedamaian")</f>
        <v>Nibel 16547/ Bumi kedamaian</v>
      </c>
      <c r="D1845" s="42"/>
      <c r="E1845" s="42"/>
      <c r="F1845" s="48" t="str">
        <f>IFERROR(__xludf.DUMMYFUNCTION("""COMPUTED_VALUE"""),"")</f>
        <v/>
      </c>
      <c r="G1845" s="42" t="str">
        <f>IFERROR(__xludf.DUMMYFUNCTION("""COMPUTED_VALUE"""),"BN JUAL BELI")</f>
        <v>BN JUAL BELI</v>
      </c>
      <c r="H1845" s="42">
        <f t="shared" si="1"/>
        <v>839</v>
      </c>
    </row>
    <row r="1846" ht="22.5" customHeight="1">
      <c r="B1846" s="42" t="str">
        <f>IFERROR(__xludf.DUMMYFUNCTION("""COMPUTED_VALUE"""),"K/7/040225/1")</f>
        <v>K/7/040225/1</v>
      </c>
      <c r="C1846" s="42" t="str">
        <f>IFERROR(__xludf.DUMMYFUNCTION("""COMPUTED_VALUE"""),"NIBEL  M 1541/NUSANTARA PERMAI")</f>
        <v>NIBEL  M 1541/NUSANTARA PERMAI</v>
      </c>
      <c r="D1846" s="42"/>
      <c r="E1846" s="42"/>
      <c r="F1846" s="48" t="str">
        <f>IFERROR(__xludf.DUMMYFUNCTION("""COMPUTED_VALUE"""),"")</f>
        <v/>
      </c>
      <c r="G1846" s="42" t="str">
        <f>IFERROR(__xludf.DUMMYFUNCTION("""COMPUTED_VALUE"""),"PERALIHAN JUAL BELI")</f>
        <v>PERALIHAN JUAL BELI</v>
      </c>
      <c r="H1846" s="42">
        <f t="shared" si="1"/>
        <v>839</v>
      </c>
    </row>
    <row r="1847" ht="22.5" customHeight="1">
      <c r="B1847" s="42" t="str">
        <f>IFERROR(__xludf.DUMMYFUNCTION("""COMPUTED_VALUE"""),"K/4/040225/2")</f>
        <v>K/4/040225/2</v>
      </c>
      <c r="C1847" s="42" t="str">
        <f>IFERROR(__xludf.DUMMYFUNCTION("""COMPUTED_VALUE"""),"M. 1436/ Rajabasa Pemuka")</f>
        <v>M. 1436/ Rajabasa Pemuka</v>
      </c>
      <c r="D1847" s="42"/>
      <c r="E1847" s="42" t="str">
        <f>IFERROR(__xludf.DUMMYFUNCTION("""COMPUTED_VALUE"""),"DISERAHKAN")</f>
        <v>DISERAHKAN</v>
      </c>
      <c r="F1847" s="48">
        <f>IFERROR(__xludf.DUMMYFUNCTION("""COMPUTED_VALUE"""),45702.39831641204)</f>
        <v>45702.39832</v>
      </c>
      <c r="G1847" s="42" t="str">
        <f>IFERROR(__xludf.DUMMYFUNCTION("""COMPUTED_VALUE"""),"BN JUAL BELI")</f>
        <v>BN JUAL BELI</v>
      </c>
      <c r="H1847" s="42">
        <f t="shared" si="1"/>
        <v>840</v>
      </c>
    </row>
    <row r="1848" ht="22.5" customHeight="1">
      <c r="B1848" s="42" t="str">
        <f>IFERROR(__xludf.DUMMYFUNCTION("""COMPUTED_VALUE"""),"K/8/040225/2")</f>
        <v>K/8/040225/2</v>
      </c>
      <c r="C1848" s="42" t="str">
        <f>IFERROR(__xludf.DUMMYFUNCTION("""COMPUTED_VALUE"""),"M.3027/SUKARAME BARU")</f>
        <v>M.3027/SUKARAME BARU</v>
      </c>
      <c r="D1848" s="42"/>
      <c r="E1848" s="42" t="str">
        <f>IFERROR(__xludf.DUMMYFUNCTION("""COMPUTED_VALUE"""),"DISERAHKAN")</f>
        <v>DISERAHKAN</v>
      </c>
      <c r="F1848" s="48">
        <f>IFERROR(__xludf.DUMMYFUNCTION("""COMPUTED_VALUE"""),45698.61402809028)</f>
        <v>45698.61403</v>
      </c>
      <c r="G1848" s="42" t="str">
        <f>IFERROR(__xludf.DUMMYFUNCTION("""COMPUTED_VALUE"""),"PERALIHAN JUAL BELI")</f>
        <v>PERALIHAN JUAL BELI</v>
      </c>
      <c r="H1848" s="42">
        <f t="shared" si="1"/>
        <v>841</v>
      </c>
    </row>
    <row r="1849" ht="22.5" customHeight="1">
      <c r="B1849" s="42" t="str">
        <f>IFERROR(__xludf.DUMMYFUNCTION("""COMPUTED_VALUE"""),"K/9/040225/3")</f>
        <v>K/9/040225/3</v>
      </c>
      <c r="C1849" s="42" t="str">
        <f>IFERROR(__xludf.DUMMYFUNCTION("""COMPUTED_VALUE"""),"M.658/GUNUNG TERANG")</f>
        <v>M.658/GUNUNG TERANG</v>
      </c>
      <c r="D1849" s="42"/>
      <c r="E1849" s="42" t="str">
        <f>IFERROR(__xludf.DUMMYFUNCTION("""COMPUTED_VALUE"""),"DISERAHKAN")</f>
        <v>DISERAHKAN</v>
      </c>
      <c r="F1849" s="48">
        <f>IFERROR(__xludf.DUMMYFUNCTION("""COMPUTED_VALUE"""),45698.613616111106)</f>
        <v>45698.61362</v>
      </c>
      <c r="G1849" s="42" t="str">
        <f>IFERROR(__xludf.DUMMYFUNCTION("""COMPUTED_VALUE"""),"PERALIHAN JUAL BELI")</f>
        <v>PERALIHAN JUAL BELI</v>
      </c>
      <c r="H1849" s="42">
        <f t="shared" si="1"/>
        <v>842</v>
      </c>
    </row>
    <row r="1850" ht="22.5" customHeight="1">
      <c r="B1850" s="42" t="str">
        <f>IFERROR(__xludf.DUMMYFUNCTION("""COMPUTED_VALUE"""),"K/5/040225/3")</f>
        <v>K/5/040225/3</v>
      </c>
      <c r="C1850" s="42" t="str">
        <f>IFERROR(__xludf.DUMMYFUNCTION("""COMPUTED_VALUE"""),"M. 12735/ Kedaton")</f>
        <v>M. 12735/ Kedaton</v>
      </c>
      <c r="D1850" s="42"/>
      <c r="E1850" s="42" t="str">
        <f>IFERROR(__xludf.DUMMYFUNCTION("""COMPUTED_VALUE"""),"DISERAHKAN")</f>
        <v>DISERAHKAN</v>
      </c>
      <c r="F1850" s="48">
        <f>IFERROR(__xludf.DUMMYFUNCTION("""COMPUTED_VALUE"""),45702.39888518519)</f>
        <v>45702.39889</v>
      </c>
      <c r="G1850" s="42" t="str">
        <f>IFERROR(__xludf.DUMMYFUNCTION("""COMPUTED_VALUE"""),"BN JUAL BELI")</f>
        <v>BN JUAL BELI</v>
      </c>
      <c r="H1850" s="42">
        <f t="shared" si="1"/>
        <v>843</v>
      </c>
    </row>
    <row r="1851" ht="22.5" customHeight="1">
      <c r="B1851" s="42" t="str">
        <f>IFERROR(__xludf.DUMMYFUNCTION("""COMPUTED_VALUE"""),"L/10/040225/1")</f>
        <v>L/10/040225/1</v>
      </c>
      <c r="C1851" s="42" t="str">
        <f>IFERROR(__xludf.DUMMYFUNCTION("""COMPUTED_VALUE"""),"HM 3271/CAMPANG RAYA")</f>
        <v>HM 3271/CAMPANG RAYA</v>
      </c>
      <c r="D1851" s="42"/>
      <c r="E1851" s="42" t="str">
        <f>IFERROR(__xludf.DUMMYFUNCTION("""COMPUTED_VALUE"""),"DISERAHKAN")</f>
        <v>DISERAHKAN</v>
      </c>
      <c r="F1851" s="48">
        <f>IFERROR(__xludf.DUMMYFUNCTION("""COMPUTED_VALUE"""),45719.63499604167)</f>
        <v>45719.635</v>
      </c>
      <c r="G1851" s="42" t="str">
        <f>IFERROR(__xludf.DUMMYFUNCTION("""COMPUTED_VALUE"""),"ROYA WARIS")</f>
        <v>ROYA WARIS</v>
      </c>
      <c r="H1851" s="42">
        <f t="shared" si="1"/>
        <v>844</v>
      </c>
    </row>
    <row r="1852" ht="22.5" customHeight="1">
      <c r="B1852" s="42" t="str">
        <f>IFERROR(__xludf.DUMMYFUNCTION("""COMPUTED_VALUE"""),"K/11/040225/1")</f>
        <v>K/11/040225/1</v>
      </c>
      <c r="C1852" s="42" t="str">
        <f>IFERROR(__xludf.DUMMYFUNCTION("""COMPUTED_VALUE"""),"M.568/KETAPANG")</f>
        <v>M.568/KETAPANG</v>
      </c>
      <c r="D1852" s="42"/>
      <c r="E1852" s="42"/>
      <c r="F1852" s="48" t="str">
        <f>IFERROR(__xludf.DUMMYFUNCTION("""COMPUTED_VALUE"""),"")</f>
        <v/>
      </c>
      <c r="G1852" s="42" t="str">
        <f>IFERROR(__xludf.DUMMYFUNCTION("""COMPUTED_VALUE"""),"HAPUS BPHTB")</f>
        <v>HAPUS BPHTB</v>
      </c>
      <c r="H1852" s="42">
        <f t="shared" si="1"/>
        <v>844</v>
      </c>
    </row>
    <row r="1853" ht="22.5" customHeight="1">
      <c r="B1853" s="42" t="str">
        <f>IFERROR(__xludf.DUMMYFUNCTION("""COMPUTED_VALUE"""),"K/12/040225/1")</f>
        <v>K/12/040225/1</v>
      </c>
      <c r="C1853" s="42" t="str">
        <f>IFERROR(__xludf.DUMMYFUNCTION("""COMPUTED_VALUE"""),"NIBEL B 16087/SUMUR PUTRI")</f>
        <v>NIBEL B 16087/SUMUR PUTRI</v>
      </c>
      <c r="D1853" s="42"/>
      <c r="E1853" s="42"/>
      <c r="F1853" s="48" t="str">
        <f>IFERROR(__xludf.DUMMYFUNCTION("""COMPUTED_VALUE"""),"")</f>
        <v/>
      </c>
      <c r="G1853" s="42" t="str">
        <f>IFERROR(__xludf.DUMMYFUNCTION("""COMPUTED_VALUE"""),"PERUBAHAN HAK")</f>
        <v>PERUBAHAN HAK</v>
      </c>
      <c r="H1853" s="42">
        <f t="shared" si="1"/>
        <v>844</v>
      </c>
    </row>
    <row r="1854" ht="22.5" customHeight="1">
      <c r="B1854" s="42" t="str">
        <f>IFERROR(__xludf.DUMMYFUNCTION("""COMPUTED_VALUE"""),"L/13/040225/1")</f>
        <v>L/13/040225/1</v>
      </c>
      <c r="C1854" s="42" t="str">
        <f>IFERROR(__xludf.DUMMYFUNCTION("""COMPUTED_VALUE"""),"HM 361/RAJABASA JAYA")</f>
        <v>HM 361/RAJABASA JAYA</v>
      </c>
      <c r="D1854" s="42"/>
      <c r="E1854" s="42" t="str">
        <f>IFERROR(__xludf.DUMMYFUNCTION("""COMPUTED_VALUE"""),"DISERAHKAN")</f>
        <v>DISERAHKAN</v>
      </c>
      <c r="F1854" s="48">
        <f>IFERROR(__xludf.DUMMYFUNCTION("""COMPUTED_VALUE"""),45730.37458164352)</f>
        <v>45730.37458</v>
      </c>
      <c r="G1854" s="42" t="str">
        <f>IFERROR(__xludf.DUMMYFUNCTION("""COMPUTED_VALUE"""),"ROYA")</f>
        <v>ROYA</v>
      </c>
      <c r="H1854" s="42">
        <f t="shared" si="1"/>
        <v>845</v>
      </c>
    </row>
    <row r="1855" ht="22.5" customHeight="1">
      <c r="B1855" s="42" t="str">
        <f>IFERROR(__xludf.DUMMYFUNCTION("""COMPUTED_VALUE"""),"K/14/040225/1")</f>
        <v>K/14/040225/1</v>
      </c>
      <c r="C1855" s="42" t="str">
        <f>IFERROR(__xludf.DUMMYFUNCTION("""COMPUTED_VALUE"""),"NIBEL M 16235/PELITA")</f>
        <v>NIBEL M 16235/PELITA</v>
      </c>
      <c r="D1855" s="42"/>
      <c r="E1855" s="42"/>
      <c r="F1855" s="48" t="str">
        <f>IFERROR(__xludf.DUMMYFUNCTION("""COMPUTED_VALUE"""),"")</f>
        <v/>
      </c>
      <c r="G1855" s="42" t="str">
        <f>IFERROR(__xludf.DUMMYFUNCTION("""COMPUTED_VALUE"""),"PERALIHAN JUAL BELI")</f>
        <v>PERALIHAN JUAL BELI</v>
      </c>
      <c r="H1855" s="42">
        <f t="shared" si="1"/>
        <v>845</v>
      </c>
    </row>
    <row r="1856" ht="22.5" customHeight="1">
      <c r="B1856" s="42" t="str">
        <f>IFERROR(__xludf.DUMMYFUNCTION("""COMPUTED_VALUE"""),"K/6/040225/1")</f>
        <v>K/6/040225/1</v>
      </c>
      <c r="C1856" s="42" t="str">
        <f>IFERROR(__xludf.DUMMYFUNCTION("""COMPUTED_VALUE"""),"M. 12056/ Sukabumi")</f>
        <v>M. 12056/ Sukabumi</v>
      </c>
      <c r="D1856" s="42"/>
      <c r="E1856" s="42" t="str">
        <f>IFERROR(__xludf.DUMMYFUNCTION("""COMPUTED_VALUE"""),"DISERAHKAN")</f>
        <v>DISERAHKAN</v>
      </c>
      <c r="F1856" s="48">
        <f>IFERROR(__xludf.DUMMYFUNCTION("""COMPUTED_VALUE"""),45719.63928747685)</f>
        <v>45719.63929</v>
      </c>
      <c r="G1856" s="42" t="str">
        <f>IFERROR(__xludf.DUMMYFUNCTION("""COMPUTED_VALUE"""),"ROYA")</f>
        <v>ROYA</v>
      </c>
      <c r="H1856" s="42">
        <f t="shared" si="1"/>
        <v>846</v>
      </c>
    </row>
    <row r="1857" ht="22.5" customHeight="1">
      <c r="B1857" s="42" t="str">
        <f>IFERROR(__xludf.DUMMYFUNCTION("""COMPUTED_VALUE"""),"L/15/040225/1")</f>
        <v>L/15/040225/1</v>
      </c>
      <c r="C1857" s="42" t="str">
        <f>IFERROR(__xludf.DUMMYFUNCTION("""COMPUTED_VALUE"""),"HGB 1777/SUKARAME")</f>
        <v>HGB 1777/SUKARAME</v>
      </c>
      <c r="D1857" s="42"/>
      <c r="E1857" s="42"/>
      <c r="F1857" s="48" t="str">
        <f>IFERROR(__xludf.DUMMYFUNCTION("""COMPUTED_VALUE"""),"")</f>
        <v/>
      </c>
      <c r="G1857" s="42" t="str">
        <f>IFERROR(__xludf.DUMMYFUNCTION("""COMPUTED_VALUE"""),"PH")</f>
        <v>PH</v>
      </c>
      <c r="H1857" s="42">
        <f t="shared" si="1"/>
        <v>846</v>
      </c>
    </row>
    <row r="1858" ht="22.5" customHeight="1">
      <c r="B1858" s="42" t="str">
        <f>IFERROR(__xludf.DUMMYFUNCTION("""COMPUTED_VALUE"""),"L/16/040225/1")</f>
        <v>L/16/040225/1</v>
      </c>
      <c r="C1858" s="42" t="str">
        <f>IFERROR(__xludf.DUMMYFUNCTION("""COMPUTED_VALUE"""),"HM 226/BILABONG JAYA")</f>
        <v>HM 226/BILABONG JAYA</v>
      </c>
      <c r="D1858" s="42"/>
      <c r="E1858" s="42" t="str">
        <f>IFERROR(__xludf.DUMMYFUNCTION("""COMPUTED_VALUE"""),"DISERAHKAN")</f>
        <v>DISERAHKAN</v>
      </c>
      <c r="F1858" s="48">
        <f>IFERROR(__xludf.DUMMYFUNCTION("""COMPUTED_VALUE"""),45733.41534042824)</f>
        <v>45733.41534</v>
      </c>
      <c r="G1858" s="42" t="str">
        <f>IFERROR(__xludf.DUMMYFUNCTION("""COMPUTED_VALUE"""),"BN JUAL - BELI")</f>
        <v>BN JUAL - BELI</v>
      </c>
      <c r="H1858" s="42">
        <f t="shared" si="1"/>
        <v>847</v>
      </c>
    </row>
    <row r="1859" ht="22.5" customHeight="1">
      <c r="B1859" s="42" t="str">
        <f>IFERROR(__xludf.DUMMYFUNCTION("""COMPUTED_VALUE"""),"K/17/040225/1")</f>
        <v>K/17/040225/1</v>
      </c>
      <c r="C1859" s="42" t="str">
        <f>IFERROR(__xludf.DUMMYFUNCTION("""COMPUTED_VALUE"""),"M. 398; 1322/ Kangkung  dan 998/ Teluk betung")</f>
        <v>M. 398; 1322/ Kangkung  dan 998/ Teluk betung</v>
      </c>
      <c r="D1859" s="42"/>
      <c r="E1859" s="42" t="str">
        <f>IFERROR(__xludf.DUMMYFUNCTION("""COMPUTED_VALUE"""),"PROSES")</f>
        <v>PROSES</v>
      </c>
      <c r="F1859" s="48" t="str">
        <f>IFERROR(__xludf.DUMMYFUNCTION("""COMPUTED_VALUE"""),"")</f>
        <v/>
      </c>
      <c r="G1859" s="42" t="str">
        <f>IFERROR(__xludf.DUMMYFUNCTION("""COMPUTED_VALUE"""),"Roya")</f>
        <v>Roya</v>
      </c>
      <c r="H1859" s="42">
        <f t="shared" si="1"/>
        <v>847</v>
      </c>
    </row>
    <row r="1860" ht="22.5" customHeight="1">
      <c r="B1860" s="42" t="str">
        <f>IFERROR(__xludf.DUMMYFUNCTION("""COMPUTED_VALUE"""),"K/18/040225/1")</f>
        <v>K/18/040225/1</v>
      </c>
      <c r="C1860" s="42" t="str">
        <f>IFERROR(__xludf.DUMMYFUNCTION("""COMPUTED_VALUE"""),"M. 3241/ Gedong Air")</f>
        <v>M. 3241/ Gedong Air</v>
      </c>
      <c r="D1860" s="42"/>
      <c r="E1860" s="42" t="str">
        <f>IFERROR(__xludf.DUMMYFUNCTION("""COMPUTED_VALUE"""),"DISERAHKAN")</f>
        <v>DISERAHKAN</v>
      </c>
      <c r="F1860" s="48">
        <f>IFERROR(__xludf.DUMMYFUNCTION("""COMPUTED_VALUE"""),45708.463432847224)</f>
        <v>45708.46343</v>
      </c>
      <c r="G1860" s="42" t="str">
        <f>IFERROR(__xludf.DUMMYFUNCTION("""COMPUTED_VALUE"""),"BN JUAL BELI")</f>
        <v>BN JUAL BELI</v>
      </c>
      <c r="H1860" s="42">
        <f t="shared" si="1"/>
        <v>848</v>
      </c>
    </row>
    <row r="1861" ht="22.5" customHeight="1">
      <c r="B1861" s="42" t="str">
        <f>IFERROR(__xludf.DUMMYFUNCTION("""COMPUTED_VALUE"""),"K/19/040225/2")</f>
        <v>K/19/040225/2</v>
      </c>
      <c r="C1861" s="42" t="str">
        <f>IFERROR(__xludf.DUMMYFUNCTION("""COMPUTED_VALUE"""),"M. 3238/ Gedong Air")</f>
        <v>M. 3238/ Gedong Air</v>
      </c>
      <c r="D1861" s="42"/>
      <c r="E1861" s="42" t="str">
        <f>IFERROR(__xludf.DUMMYFUNCTION("""COMPUTED_VALUE"""),"DISERAHKAN")</f>
        <v>DISERAHKAN</v>
      </c>
      <c r="F1861" s="48">
        <f>IFERROR(__xludf.DUMMYFUNCTION("""COMPUTED_VALUE"""),45708.46364811342)</f>
        <v>45708.46365</v>
      </c>
      <c r="G1861" s="42" t="str">
        <f>IFERROR(__xludf.DUMMYFUNCTION("""COMPUTED_VALUE"""),"BN JUAL BELI")</f>
        <v>BN JUAL BELI</v>
      </c>
      <c r="H1861" s="42">
        <f t="shared" si="1"/>
        <v>849</v>
      </c>
    </row>
    <row r="1862" ht="22.5" customHeight="1">
      <c r="B1862" s="42" t="str">
        <f>IFERROR(__xludf.DUMMYFUNCTION("""COMPUTED_VALUE"""),"K/20/040225/1")</f>
        <v>K/20/040225/1</v>
      </c>
      <c r="C1862" s="42" t="str">
        <f>IFERROR(__xludf.DUMMYFUNCTION("""COMPUTED_VALUE"""),"B. 113/ Sumber Agung")</f>
        <v>B. 113/ Sumber Agung</v>
      </c>
      <c r="D1862" s="42"/>
      <c r="E1862" s="42"/>
      <c r="F1862" s="48" t="str">
        <f>IFERROR(__xludf.DUMMYFUNCTION("""COMPUTED_VALUE"""),"")</f>
        <v/>
      </c>
      <c r="G1862" s="42" t="str">
        <f>IFERROR(__xludf.DUMMYFUNCTION("""COMPUTED_VALUE"""),"SKPT LELANG")</f>
        <v>SKPT LELANG</v>
      </c>
      <c r="H1862" s="42">
        <f t="shared" si="1"/>
        <v>849</v>
      </c>
    </row>
    <row r="1863" ht="22.5" customHeight="1">
      <c r="B1863" s="42" t="str">
        <f>IFERROR(__xludf.DUMMYFUNCTION("""COMPUTED_VALUE"""),"K/22/040225/1")</f>
        <v>K/22/040225/1</v>
      </c>
      <c r="C1863" s="42" t="str">
        <f>IFERROR(__xludf.DUMMYFUNCTION("""COMPUTED_VALUE"""),"M. 2173/ Susunan Baru")</f>
        <v>M. 2173/ Susunan Baru</v>
      </c>
      <c r="D1863" s="42"/>
      <c r="E1863" s="42" t="str">
        <f>IFERROR(__xludf.DUMMYFUNCTION("""COMPUTED_VALUE"""),"PROSES")</f>
        <v>PROSES</v>
      </c>
      <c r="F1863" s="48" t="str">
        <f>IFERROR(__xludf.DUMMYFUNCTION("""COMPUTED_VALUE"""),"")</f>
        <v/>
      </c>
      <c r="G1863" s="42" t="str">
        <f>IFERROR(__xludf.DUMMYFUNCTION("""COMPUTED_VALUE"""),"BN WARIS")</f>
        <v>BN WARIS</v>
      </c>
      <c r="H1863" s="42">
        <f t="shared" si="1"/>
        <v>849</v>
      </c>
    </row>
    <row r="1864" ht="22.5" customHeight="1">
      <c r="B1864" s="42" t="str">
        <f>IFERROR(__xludf.DUMMYFUNCTION("""COMPUTED_VALUE"""),"K/21/040225/1")</f>
        <v>K/21/040225/1</v>
      </c>
      <c r="C1864" s="42" t="str">
        <f>IFERROR(__xludf.DUMMYFUNCTION("""COMPUTED_VALUE"""),"M. 11047/ Segala Mider")</f>
        <v>M. 11047/ Segala Mider</v>
      </c>
      <c r="D1864" s="42"/>
      <c r="E1864" s="42" t="str">
        <f>IFERROR(__xludf.DUMMYFUNCTION("""COMPUTED_VALUE"""),"DISERAHKAN")</f>
        <v>DISERAHKAN</v>
      </c>
      <c r="F1864" s="48">
        <f>IFERROR(__xludf.DUMMYFUNCTION("""COMPUTED_VALUE"""),45706.45224540509)</f>
        <v>45706.45225</v>
      </c>
      <c r="G1864" s="42" t="str">
        <f>IFERROR(__xludf.DUMMYFUNCTION("""COMPUTED_VALUE"""),"BN Jual Beli")</f>
        <v>BN Jual Beli</v>
      </c>
      <c r="H1864" s="42">
        <f t="shared" si="1"/>
        <v>850</v>
      </c>
    </row>
    <row r="1865" ht="22.5" customHeight="1">
      <c r="B1865" s="42" t="str">
        <f>IFERROR(__xludf.DUMMYFUNCTION("""COMPUTED_VALUE"""),"K/23/040225/1")</f>
        <v>K/23/040225/1</v>
      </c>
      <c r="C1865" s="42" t="str">
        <f>IFERROR(__xludf.DUMMYFUNCTION("""COMPUTED_VALUE"""),"M. 1422/ Kali Balau Kencana")</f>
        <v>M. 1422/ Kali Balau Kencana</v>
      </c>
      <c r="D1865" s="42"/>
      <c r="E1865" s="42"/>
      <c r="F1865" s="48" t="str">
        <f>IFERROR(__xludf.DUMMYFUNCTION("""COMPUTED_VALUE"""),"")</f>
        <v/>
      </c>
      <c r="G1865" s="42" t="str">
        <f>IFERROR(__xludf.DUMMYFUNCTION("""COMPUTED_VALUE"""),"Pemecahan")</f>
        <v>Pemecahan</v>
      </c>
      <c r="H1865" s="42">
        <f t="shared" si="1"/>
        <v>850</v>
      </c>
    </row>
    <row r="1866" ht="22.5" customHeight="1">
      <c r="B1866" s="42" t="str">
        <f>IFERROR(__xludf.DUMMYFUNCTION("""COMPUTED_VALUE"""),"K/24/040225/1")</f>
        <v>K/24/040225/1</v>
      </c>
      <c r="C1866" s="42" t="str">
        <f>IFERROR(__xludf.DUMMYFUNCTION("""COMPUTED_VALUE"""),"Nibel. M. 2689/ Sukarame Baru")</f>
        <v>Nibel. M. 2689/ Sukarame Baru</v>
      </c>
      <c r="D1866" s="42"/>
      <c r="E1866" s="42"/>
      <c r="F1866" s="48" t="str">
        <f>IFERROR(__xludf.DUMMYFUNCTION("""COMPUTED_VALUE"""),"")</f>
        <v/>
      </c>
      <c r="G1866" s="42" t="str">
        <f>IFERROR(__xludf.DUMMYFUNCTION("""COMPUTED_VALUE"""),"BN Jual Beli")</f>
        <v>BN Jual Beli</v>
      </c>
      <c r="H1866" s="42">
        <f t="shared" si="1"/>
        <v>850</v>
      </c>
    </row>
    <row r="1867" ht="22.5" customHeight="1">
      <c r="B1867" s="42" t="str">
        <f>IFERROR(__xludf.DUMMYFUNCTION("""COMPUTED_VALUE"""),"K/25/040225/2")</f>
        <v>K/25/040225/2</v>
      </c>
      <c r="C1867" s="42" t="str">
        <f>IFERROR(__xludf.DUMMYFUNCTION("""COMPUTED_VALUE"""),"M. 1869/ Sumberejo Sejahtera")</f>
        <v>M. 1869/ Sumberejo Sejahtera</v>
      </c>
      <c r="D1867" s="42"/>
      <c r="E1867" s="42" t="str">
        <f>IFERROR(__xludf.DUMMYFUNCTION("""COMPUTED_VALUE"""),"DISERAHKAN")</f>
        <v>DISERAHKAN</v>
      </c>
      <c r="F1867" s="48">
        <f>IFERROR(__xludf.DUMMYFUNCTION("""COMPUTED_VALUE"""),45702.43116371528)</f>
        <v>45702.43116</v>
      </c>
      <c r="G1867" s="42" t="str">
        <f>IFERROR(__xludf.DUMMYFUNCTION("""COMPUTED_VALUE"""),"BN Jual Beli")</f>
        <v>BN Jual Beli</v>
      </c>
      <c r="H1867" s="42">
        <f t="shared" si="1"/>
        <v>851</v>
      </c>
    </row>
    <row r="1868" ht="22.5" customHeight="1">
      <c r="B1868" s="42" t="str">
        <f>IFERROR(__xludf.DUMMYFUNCTION("""COMPUTED_VALUE"""),"K/26/040225/1")</f>
        <v>K/26/040225/1</v>
      </c>
      <c r="C1868" s="42" t="str">
        <f>IFERROR(__xludf.DUMMYFUNCTION("""COMPUTED_VALUE"""),"Nibel 2080/ Sukabumi")</f>
        <v>Nibel 2080/ Sukabumi</v>
      </c>
      <c r="D1868" s="42"/>
      <c r="E1868" s="42"/>
      <c r="F1868" s="48" t="str">
        <f>IFERROR(__xludf.DUMMYFUNCTION("""COMPUTED_VALUE"""),"")</f>
        <v/>
      </c>
      <c r="G1868" s="42" t="str">
        <f>IFERROR(__xludf.DUMMYFUNCTION("""COMPUTED_VALUE"""),"BN JUAL BELI")</f>
        <v>BN JUAL BELI</v>
      </c>
      <c r="H1868" s="42">
        <f t="shared" si="1"/>
        <v>851</v>
      </c>
    </row>
    <row r="1869" ht="22.5" customHeight="1">
      <c r="B1869" s="42" t="str">
        <f>IFERROR(__xludf.DUMMYFUNCTION("""COMPUTED_VALUE"""),"K/27/040225/1")</f>
        <v>K/27/040225/1</v>
      </c>
      <c r="C1869" s="42" t="str">
        <f>IFERROR(__xludf.DUMMYFUNCTION("""COMPUTED_VALUE"""),"Nibel 16438/ Bumi Kedamaian")</f>
        <v>Nibel 16438/ Bumi Kedamaian</v>
      </c>
      <c r="D1869" s="42"/>
      <c r="E1869" s="42"/>
      <c r="F1869" s="48" t="str">
        <f>IFERROR(__xludf.DUMMYFUNCTION("""COMPUTED_VALUE"""),"")</f>
        <v/>
      </c>
      <c r="G1869" s="42" t="str">
        <f>IFERROR(__xludf.DUMMYFUNCTION("""COMPUTED_VALUE"""),"BN JUAL BELI")</f>
        <v>BN JUAL BELI</v>
      </c>
      <c r="H1869" s="42">
        <f t="shared" si="1"/>
        <v>851</v>
      </c>
    </row>
    <row r="1870" ht="22.5" customHeight="1">
      <c r="B1870" s="42" t="str">
        <f>IFERROR(__xludf.DUMMYFUNCTION("""COMPUTED_VALUE"""),"K/28/040225/2")</f>
        <v>K/28/040225/2</v>
      </c>
      <c r="C1870" s="42" t="str">
        <f>IFERROR(__xludf.DUMMYFUNCTION("""COMPUTED_VALUE"""),"M. 368/ Beringin Jaya")</f>
        <v>M. 368/ Beringin Jaya</v>
      </c>
      <c r="D1870" s="42"/>
      <c r="E1870" s="42" t="str">
        <f>IFERROR(__xludf.DUMMYFUNCTION("""COMPUTED_VALUE"""),"DISERAHKAN")</f>
        <v>DISERAHKAN</v>
      </c>
      <c r="F1870" s="48">
        <f>IFERROR(__xludf.DUMMYFUNCTION("""COMPUTED_VALUE"""),45702.40779668982)</f>
        <v>45702.4078</v>
      </c>
      <c r="G1870" s="42" t="str">
        <f>IFERROR(__xludf.DUMMYFUNCTION("""COMPUTED_VALUE"""),"BN JUAL BELI")</f>
        <v>BN JUAL BELI</v>
      </c>
      <c r="H1870" s="42">
        <f t="shared" si="1"/>
        <v>852</v>
      </c>
    </row>
    <row r="1871" ht="22.5" customHeight="1">
      <c r="B1871" s="42" t="str">
        <f>IFERROR(__xludf.DUMMYFUNCTION("""COMPUTED_VALUE"""),"K/30/040225/1")</f>
        <v>K/30/040225/1</v>
      </c>
      <c r="C1871" s="42" t="str">
        <f>IFERROR(__xludf.DUMMYFUNCTION("""COMPUTED_VALUE"""),"M.2666/SUMBER AGUNG")</f>
        <v>M.2666/SUMBER AGUNG</v>
      </c>
      <c r="D1871" s="42"/>
      <c r="E1871" s="42"/>
      <c r="F1871" s="48" t="str">
        <f>IFERROR(__xludf.DUMMYFUNCTION("""COMPUTED_VALUE"""),"")</f>
        <v/>
      </c>
      <c r="G1871" s="42" t="str">
        <f>IFERROR(__xludf.DUMMYFUNCTION("""COMPUTED_VALUE"""),"PEMECAHAN")</f>
        <v>PEMECAHAN</v>
      </c>
      <c r="H1871" s="42">
        <f t="shared" si="1"/>
        <v>852</v>
      </c>
    </row>
    <row r="1872" ht="22.5" customHeight="1">
      <c r="B1872" s="42" t="str">
        <f>IFERROR(__xludf.DUMMYFUNCTION("""COMPUTED_VALUE"""),"K/29/040225/3")</f>
        <v>K/29/040225/3</v>
      </c>
      <c r="C1872" s="42" t="str">
        <f>IFERROR(__xludf.DUMMYFUNCTION("""COMPUTED_VALUE"""),"Nibel 16443/ Bumi Kedamaian")</f>
        <v>Nibel 16443/ Bumi Kedamaian</v>
      </c>
      <c r="D1872" s="42"/>
      <c r="E1872" s="42"/>
      <c r="F1872" s="48" t="str">
        <f>IFERROR(__xludf.DUMMYFUNCTION("""COMPUTED_VALUE"""),"")</f>
        <v/>
      </c>
      <c r="G1872" s="42" t="str">
        <f>IFERROR(__xludf.DUMMYFUNCTION("""COMPUTED_VALUE"""),"BN JUAL BELI")</f>
        <v>BN JUAL BELI</v>
      </c>
      <c r="H1872" s="42">
        <f t="shared" si="1"/>
        <v>852</v>
      </c>
    </row>
    <row r="1873" ht="22.5" customHeight="1">
      <c r="B1873" s="42" t="str">
        <f>IFERROR(__xludf.DUMMYFUNCTION("""COMPUTED_VALUE"""),"K/31/040225/1")</f>
        <v>K/31/040225/1</v>
      </c>
      <c r="C1873" s="42" t="str">
        <f>IFERROR(__xludf.DUMMYFUNCTION("""COMPUTED_VALUE"""),"M. 785/ Pematang Wangi")</f>
        <v>M. 785/ Pematang Wangi</v>
      </c>
      <c r="D1873" s="42"/>
      <c r="E1873" s="42"/>
      <c r="F1873" s="48" t="str">
        <f>IFERROR(__xludf.DUMMYFUNCTION("""COMPUTED_VALUE"""),"")</f>
        <v/>
      </c>
      <c r="G1873" s="42" t="str">
        <f>IFERROR(__xludf.DUMMYFUNCTION("""COMPUTED_VALUE"""),"SKPT Lelang")</f>
        <v>SKPT Lelang</v>
      </c>
      <c r="H1873" s="42">
        <f t="shared" si="1"/>
        <v>852</v>
      </c>
    </row>
    <row r="1874" ht="22.5" customHeight="1">
      <c r="B1874" s="42" t="str">
        <f>IFERROR(__xludf.DUMMYFUNCTION("""COMPUTED_VALUE"""),"K/32/040225/2")</f>
        <v>K/32/040225/2</v>
      </c>
      <c r="C1874" s="42" t="str">
        <f>IFERROR(__xludf.DUMMYFUNCTION("""COMPUTED_VALUE"""),"M. 284/ Langkapura")</f>
        <v>M. 284/ Langkapura</v>
      </c>
      <c r="D1874" s="42"/>
      <c r="E1874" s="42"/>
      <c r="F1874" s="48" t="str">
        <f>IFERROR(__xludf.DUMMYFUNCTION("""COMPUTED_VALUE"""),"")</f>
        <v/>
      </c>
      <c r="G1874" s="42" t="str">
        <f>IFERROR(__xludf.DUMMYFUNCTION("""COMPUTED_VALUE"""),"SKPT Lelang")</f>
        <v>SKPT Lelang</v>
      </c>
      <c r="H1874" s="42">
        <f t="shared" si="1"/>
        <v>852</v>
      </c>
    </row>
    <row r="1875" ht="22.5" customHeight="1">
      <c r="B1875" s="42" t="str">
        <f>IFERROR(__xludf.DUMMYFUNCTION("""COMPUTED_VALUE"""),"K/33/040225/3")</f>
        <v>K/33/040225/3</v>
      </c>
      <c r="C1875" s="42" t="str">
        <f>IFERROR(__xludf.DUMMYFUNCTION("""COMPUTED_VALUE"""),"M. 788/ Pematang Wangi")</f>
        <v>M. 788/ Pematang Wangi</v>
      </c>
      <c r="D1875" s="42"/>
      <c r="E1875" s="42"/>
      <c r="F1875" s="48" t="str">
        <f>IFERROR(__xludf.DUMMYFUNCTION("""COMPUTED_VALUE"""),"")</f>
        <v/>
      </c>
      <c r="G1875" s="42" t="str">
        <f>IFERROR(__xludf.DUMMYFUNCTION("""COMPUTED_VALUE"""),"SKPT Lelang")</f>
        <v>SKPT Lelang</v>
      </c>
      <c r="H1875" s="42">
        <f t="shared" si="1"/>
        <v>852</v>
      </c>
    </row>
    <row r="1876" ht="22.5" customHeight="1">
      <c r="B1876" s="42" t="str">
        <f>IFERROR(__xludf.DUMMYFUNCTION("""COMPUTED_VALUE"""),"K/34/040225/1")</f>
        <v>K/34/040225/1</v>
      </c>
      <c r="C1876" s="42" t="str">
        <f>IFERROR(__xludf.DUMMYFUNCTION("""COMPUTED_VALUE"""),"M. 2920/ Gunung Terang")</f>
        <v>M. 2920/ Gunung Terang</v>
      </c>
      <c r="D1876" s="42"/>
      <c r="E1876" s="42" t="str">
        <f>IFERROR(__xludf.DUMMYFUNCTION("""COMPUTED_VALUE"""),"PROSES")</f>
        <v>PROSES</v>
      </c>
      <c r="F1876" s="48" t="str">
        <f>IFERROR(__xludf.DUMMYFUNCTION("""COMPUTED_VALUE"""),"")</f>
        <v/>
      </c>
      <c r="G1876" s="42" t="str">
        <f>IFERROR(__xludf.DUMMYFUNCTION("""COMPUTED_VALUE"""),"ROYA")</f>
        <v>ROYA</v>
      </c>
      <c r="H1876" s="42">
        <f t="shared" si="1"/>
        <v>852</v>
      </c>
    </row>
    <row r="1877" ht="22.5" customHeight="1">
      <c r="B1877" s="42" t="str">
        <f>IFERROR(__xludf.DUMMYFUNCTION("""COMPUTED_VALUE"""),"K/35/040225/2")</f>
        <v>K/35/040225/2</v>
      </c>
      <c r="C1877" s="42" t="str">
        <f>IFERROR(__xludf.DUMMYFUNCTION("""COMPUTED_VALUE"""),"M. 3763/ Way Kandis")</f>
        <v>M. 3763/ Way Kandis</v>
      </c>
      <c r="D1877" s="42"/>
      <c r="E1877" s="42" t="str">
        <f>IFERROR(__xludf.DUMMYFUNCTION("""COMPUTED_VALUE"""),"DISERAHKAN")</f>
        <v>DISERAHKAN</v>
      </c>
      <c r="F1877" s="48">
        <f>IFERROR(__xludf.DUMMYFUNCTION("""COMPUTED_VALUE"""),45719.63680148148)</f>
        <v>45719.6368</v>
      </c>
      <c r="G1877" s="42" t="str">
        <f>IFERROR(__xludf.DUMMYFUNCTION("""COMPUTED_VALUE"""),"ROYA")</f>
        <v>ROYA</v>
      </c>
      <c r="H1877" s="42">
        <f t="shared" si="1"/>
        <v>853</v>
      </c>
    </row>
    <row r="1878" ht="22.5" customHeight="1">
      <c r="B1878" s="42" t="str">
        <f>IFERROR(__xludf.DUMMYFUNCTION("""COMPUTED_VALUE"""),"K/36/040225/1")</f>
        <v>K/36/040225/1</v>
      </c>
      <c r="C1878" s="42" t="str">
        <f>IFERROR(__xludf.DUMMYFUNCTION("""COMPUTED_VALUE"""),"M.149/KUPANG RAYA")</f>
        <v>M.149/KUPANG RAYA</v>
      </c>
      <c r="D1878" s="42"/>
      <c r="E1878" s="42"/>
      <c r="F1878" s="48" t="str">
        <f>IFERROR(__xludf.DUMMYFUNCTION("""COMPUTED_VALUE"""),"")</f>
        <v/>
      </c>
      <c r="G1878" s="42" t="str">
        <f>IFERROR(__xludf.DUMMYFUNCTION("""COMPUTED_VALUE"""),"SKPT LELANG")</f>
        <v>SKPT LELANG</v>
      </c>
      <c r="H1878" s="42">
        <f t="shared" si="1"/>
        <v>853</v>
      </c>
    </row>
    <row r="1879" ht="22.5" customHeight="1">
      <c r="B1879" s="42" t="str">
        <f>IFERROR(__xludf.DUMMYFUNCTION("""COMPUTED_VALUE"""),"K/1/050225/1")</f>
        <v>K/1/050225/1</v>
      </c>
      <c r="C1879" s="42" t="str">
        <f>IFERROR(__xludf.DUMMYFUNCTION("""COMPUTED_VALUE"""),"M. 1975/ Perumnas Way Halim")</f>
        <v>M. 1975/ Perumnas Way Halim</v>
      </c>
      <c r="D1879" s="42"/>
      <c r="E1879" s="42" t="str">
        <f>IFERROR(__xludf.DUMMYFUNCTION("""COMPUTED_VALUE"""),"PROSES")</f>
        <v>PROSES</v>
      </c>
      <c r="F1879" s="48" t="str">
        <f>IFERROR(__xludf.DUMMYFUNCTION("""COMPUTED_VALUE"""),"")</f>
        <v/>
      </c>
      <c r="G1879" s="42" t="str">
        <f>IFERROR(__xludf.DUMMYFUNCTION("""COMPUTED_VALUE"""),"BN WARIS")</f>
        <v>BN WARIS</v>
      </c>
      <c r="H1879" s="42">
        <f t="shared" si="1"/>
        <v>853</v>
      </c>
    </row>
    <row r="1880" ht="22.5" customHeight="1">
      <c r="B1880" s="42" t="str">
        <f>IFERROR(__xludf.DUMMYFUNCTION("""COMPUTED_VALUE"""),"K/2/050225/1")</f>
        <v>K/2/050225/1</v>
      </c>
      <c r="C1880" s="42" t="str">
        <f>IFERROR(__xludf.DUMMYFUNCTION("""COMPUTED_VALUE"""),"M. 2472/ Kemiling Permai")</f>
        <v>M. 2472/ Kemiling Permai</v>
      </c>
      <c r="D1880" s="42"/>
      <c r="E1880" s="42" t="str">
        <f>IFERROR(__xludf.DUMMYFUNCTION("""COMPUTED_VALUE"""),"DISERAHKAN")</f>
        <v>DISERAHKAN</v>
      </c>
      <c r="F1880" s="48">
        <f>IFERROR(__xludf.DUMMYFUNCTION("""COMPUTED_VALUE"""),45702.49141625)</f>
        <v>45702.49142</v>
      </c>
      <c r="G1880" s="42" t="str">
        <f>IFERROR(__xludf.DUMMYFUNCTION("""COMPUTED_VALUE"""),"BN Jual Beli")</f>
        <v>BN Jual Beli</v>
      </c>
      <c r="H1880" s="42">
        <f t="shared" si="1"/>
        <v>854</v>
      </c>
    </row>
    <row r="1881" ht="22.5" customHeight="1">
      <c r="B1881" s="42" t="str">
        <f>IFERROR(__xludf.DUMMYFUNCTION("""COMPUTED_VALUE"""),"K/3/050225/2")</f>
        <v>K/3/050225/2</v>
      </c>
      <c r="C1881" s="42" t="str">
        <f>IFERROR(__xludf.DUMMYFUNCTION("""COMPUTED_VALUE"""),"M. 979/ Kemiling Raya")</f>
        <v>M. 979/ Kemiling Raya</v>
      </c>
      <c r="D1881" s="42"/>
      <c r="E1881" s="42" t="str">
        <f>IFERROR(__xludf.DUMMYFUNCTION("""COMPUTED_VALUE"""),"DISERAHKAN")</f>
        <v>DISERAHKAN</v>
      </c>
      <c r="F1881" s="48">
        <f>IFERROR(__xludf.DUMMYFUNCTION("""COMPUTED_VALUE"""),45702.49141625)</f>
        <v>45702.49142</v>
      </c>
      <c r="G1881" s="42" t="str">
        <f>IFERROR(__xludf.DUMMYFUNCTION("""COMPUTED_VALUE"""),"BN Jual Beli")</f>
        <v>BN Jual Beli</v>
      </c>
      <c r="H1881" s="42">
        <f t="shared" si="1"/>
        <v>855</v>
      </c>
    </row>
    <row r="1882" ht="22.5" customHeight="1">
      <c r="B1882" s="42" t="str">
        <f>IFERROR(__xludf.DUMMYFUNCTION("""COMPUTED_VALUE"""),"K/4/050225/1")</f>
        <v>K/4/050225/1</v>
      </c>
      <c r="C1882" s="42" t="str">
        <f>IFERROR(__xludf.DUMMYFUNCTION("""COMPUTED_VALUE"""),"NIBEL M. 8625/PERUMNAS WAY KANDIS")</f>
        <v>NIBEL M. 8625/PERUMNAS WAY KANDIS</v>
      </c>
      <c r="D1882" s="42"/>
      <c r="E1882" s="42"/>
      <c r="F1882" s="48" t="str">
        <f>IFERROR(__xludf.DUMMYFUNCTION("""COMPUTED_VALUE"""),"")</f>
        <v/>
      </c>
      <c r="G1882" s="42" t="str">
        <f>IFERROR(__xludf.DUMMYFUNCTION("""COMPUTED_VALUE"""),"BN JUAL BELI")</f>
        <v>BN JUAL BELI</v>
      </c>
      <c r="H1882" s="42">
        <f t="shared" si="1"/>
        <v>855</v>
      </c>
    </row>
    <row r="1883" ht="22.5" customHeight="1">
      <c r="B1883" s="42" t="str">
        <f>IFERROR(__xludf.DUMMYFUNCTION("""COMPUTED_VALUE"""),"K/7/050225/1")</f>
        <v>K/7/050225/1</v>
      </c>
      <c r="C1883" s="42" t="str">
        <f>IFERROR(__xludf.DUMMYFUNCTION("""COMPUTED_VALUE"""),"B.628/SUMBER AGUNG")</f>
        <v>B.628/SUMBER AGUNG</v>
      </c>
      <c r="D1883" s="42"/>
      <c r="E1883" s="42" t="str">
        <f>IFERROR(__xludf.DUMMYFUNCTION("""COMPUTED_VALUE"""),"DISERAHKAN")</f>
        <v>DISERAHKAN</v>
      </c>
      <c r="F1883" s="48">
        <f>IFERROR(__xludf.DUMMYFUNCTION("""COMPUTED_VALUE"""),45708.46452692129)</f>
        <v>45708.46453</v>
      </c>
      <c r="G1883" s="42" t="str">
        <f>IFERROR(__xludf.DUMMYFUNCTION("""COMPUTED_VALUE"""),"PERALIHAN JUAL BELI")</f>
        <v>PERALIHAN JUAL BELI</v>
      </c>
      <c r="H1883" s="42">
        <f t="shared" si="1"/>
        <v>856</v>
      </c>
    </row>
    <row r="1884" ht="22.5" customHeight="1">
      <c r="B1884" s="42" t="str">
        <f>IFERROR(__xludf.DUMMYFUNCTION("""COMPUTED_VALUE"""),"K/5/050225/2")</f>
        <v>K/5/050225/2</v>
      </c>
      <c r="C1884" s="42" t="str">
        <f>IFERROR(__xludf.DUMMYFUNCTION("""COMPUTED_VALUE"""),"M.2295/SEPANG JAYA")</f>
        <v>M.2295/SEPANG JAYA</v>
      </c>
      <c r="D1884" s="42"/>
      <c r="E1884" s="42" t="str">
        <f>IFERROR(__xludf.DUMMYFUNCTION("""COMPUTED_VALUE"""),"DISERAHKAN")</f>
        <v>DISERAHKAN</v>
      </c>
      <c r="F1884" s="48">
        <f>IFERROR(__xludf.DUMMYFUNCTION("""COMPUTED_VALUE"""),45707.67183467593)</f>
        <v>45707.67183</v>
      </c>
      <c r="G1884" s="42" t="str">
        <f>IFERROR(__xludf.DUMMYFUNCTION("""COMPUTED_VALUE"""),"BN JUAL BELI")</f>
        <v>BN JUAL BELI</v>
      </c>
      <c r="H1884" s="42">
        <f t="shared" si="1"/>
        <v>857</v>
      </c>
    </row>
    <row r="1885" ht="22.5" customHeight="1">
      <c r="B1885" s="42" t="str">
        <f>IFERROR(__xludf.DUMMYFUNCTION("""COMPUTED_VALUE"""),"K/8/050225/2")</f>
        <v>K/8/050225/2</v>
      </c>
      <c r="C1885" s="42" t="str">
        <f>IFERROR(__xludf.DUMMYFUNCTION("""COMPUTED_VALUE"""),"B.698/SUMBER AGUNG")</f>
        <v>B.698/SUMBER AGUNG</v>
      </c>
      <c r="D1885" s="42"/>
      <c r="E1885" s="42" t="str">
        <f>IFERROR(__xludf.DUMMYFUNCTION("""COMPUTED_VALUE"""),"DISERAHKAN")</f>
        <v>DISERAHKAN</v>
      </c>
      <c r="F1885" s="48">
        <f>IFERROR(__xludf.DUMMYFUNCTION("""COMPUTED_VALUE"""),45702.431373472224)</f>
        <v>45702.43137</v>
      </c>
      <c r="G1885" s="42" t="str">
        <f>IFERROR(__xludf.DUMMYFUNCTION("""COMPUTED_VALUE"""),"PERALIHAN JUAL BELI")</f>
        <v>PERALIHAN JUAL BELI</v>
      </c>
      <c r="H1885" s="42">
        <f t="shared" si="1"/>
        <v>858</v>
      </c>
    </row>
    <row r="1886" ht="22.5" customHeight="1">
      <c r="B1886" s="42" t="str">
        <f>IFERROR(__xludf.DUMMYFUNCTION("""COMPUTED_VALUE"""),"K/6/050225/3")</f>
        <v>K/6/050225/3</v>
      </c>
      <c r="C1886" s="42" t="str">
        <f>IFERROR(__xludf.DUMMYFUNCTION("""COMPUTED_VALUE"""),"M. 2296/SEPANG JAYA")</f>
        <v>M. 2296/SEPANG JAYA</v>
      </c>
      <c r="D1886" s="42"/>
      <c r="E1886" s="42" t="str">
        <f>IFERROR(__xludf.DUMMYFUNCTION("""COMPUTED_VALUE"""),"DISERAHKAN")</f>
        <v>DISERAHKAN</v>
      </c>
      <c r="F1886" s="48">
        <f>IFERROR(__xludf.DUMMYFUNCTION("""COMPUTED_VALUE"""),45702.42966592593)</f>
        <v>45702.42967</v>
      </c>
      <c r="G1886" s="42" t="str">
        <f>IFERROR(__xludf.DUMMYFUNCTION("""COMPUTED_VALUE"""),"BN JUAL BELI")</f>
        <v>BN JUAL BELI</v>
      </c>
      <c r="H1886" s="42">
        <f t="shared" si="1"/>
        <v>859</v>
      </c>
    </row>
    <row r="1887" ht="22.5" customHeight="1">
      <c r="B1887" s="42" t="str">
        <f>IFERROR(__xludf.DUMMYFUNCTION("""COMPUTED_VALUE"""),"K/9/050225/1")</f>
        <v>K/9/050225/1</v>
      </c>
      <c r="C1887" s="42" t="str">
        <f>IFERROR(__xludf.DUMMYFUNCTION("""COMPUTED_VALUE"""),"M. 2272/ Rajabasa Raya")</f>
        <v>M. 2272/ Rajabasa Raya</v>
      </c>
      <c r="D1887" s="42"/>
      <c r="E1887" s="42" t="str">
        <f>IFERROR(__xludf.DUMMYFUNCTION("""COMPUTED_VALUE"""),"DISERAHKAN")</f>
        <v>DISERAHKAN</v>
      </c>
      <c r="F1887" s="48">
        <f>IFERROR(__xludf.DUMMYFUNCTION("""COMPUTED_VALUE"""),45702.42687947917)</f>
        <v>45702.42688</v>
      </c>
      <c r="G1887" s="42" t="str">
        <f>IFERROR(__xludf.DUMMYFUNCTION("""COMPUTED_VALUE"""),"BN Jual Beli")</f>
        <v>BN Jual Beli</v>
      </c>
      <c r="H1887" s="42">
        <f t="shared" si="1"/>
        <v>860</v>
      </c>
    </row>
    <row r="1888" ht="22.5" customHeight="1">
      <c r="B1888" s="42" t="str">
        <f>IFERROR(__xludf.DUMMYFUNCTION("""COMPUTED_VALUE"""),"L/10/050225/1")</f>
        <v>L/10/050225/1</v>
      </c>
      <c r="C1888" s="42" t="str">
        <f>IFERROR(__xludf.DUMMYFUNCTION("""COMPUTED_VALUE"""),"HM 13384/SUKARAME")</f>
        <v>HM 13384/SUKARAME</v>
      </c>
      <c r="D1888" s="42"/>
      <c r="E1888" s="42" t="str">
        <f>IFERROR(__xludf.DUMMYFUNCTION("""COMPUTED_VALUE"""),"DISERAHKAN")</f>
        <v>DISERAHKAN</v>
      </c>
      <c r="F1888" s="48">
        <f>IFERROR(__xludf.DUMMYFUNCTION("""COMPUTED_VALUE"""),45723.54440704861)</f>
        <v>45723.54441</v>
      </c>
      <c r="G1888" s="42" t="str">
        <f>IFERROR(__xludf.DUMMYFUNCTION("""COMPUTED_VALUE"""),"ROYA")</f>
        <v>ROYA</v>
      </c>
      <c r="H1888" s="42">
        <f t="shared" si="1"/>
        <v>861</v>
      </c>
    </row>
    <row r="1889" ht="22.5" customHeight="1">
      <c r="B1889" s="42" t="str">
        <f>IFERROR(__xludf.DUMMYFUNCTION("""COMPUTED_VALUE"""),"L/15/050225/1")</f>
        <v>L/15/050225/1</v>
      </c>
      <c r="C1889" s="42" t="str">
        <f>IFERROR(__xludf.DUMMYFUNCTION("""COMPUTED_VALUE"""),"HM 136/GEDONG AIR")</f>
        <v>HM 136/GEDONG AIR</v>
      </c>
      <c r="D1889" s="42"/>
      <c r="E1889" s="42" t="str">
        <f>IFERROR(__xludf.DUMMYFUNCTION("""COMPUTED_VALUE"""),"DISERAHKAN")</f>
        <v>DISERAHKAN</v>
      </c>
      <c r="F1889" s="48">
        <f>IFERROR(__xludf.DUMMYFUNCTION("""COMPUTED_VALUE"""),45733.45334287037)</f>
        <v>45733.45334</v>
      </c>
      <c r="G1889" s="42" t="str">
        <f>IFERROR(__xludf.DUMMYFUNCTION("""COMPUTED_VALUE"""),"ROYA")</f>
        <v>ROYA</v>
      </c>
      <c r="H1889" s="42">
        <f t="shared" si="1"/>
        <v>862</v>
      </c>
    </row>
    <row r="1890" ht="22.5" customHeight="1">
      <c r="B1890" s="42" t="str">
        <f>IFERROR(__xludf.DUMMYFUNCTION("""COMPUTED_VALUE"""),"K/14/050225/1")</f>
        <v>K/14/050225/1</v>
      </c>
      <c r="C1890" s="42" t="str">
        <f>IFERROR(__xludf.DUMMYFUNCTION("""COMPUTED_VALUE"""),"Nibel. M. 2188/ Gunung Terang")</f>
        <v>Nibel. M. 2188/ Gunung Terang</v>
      </c>
      <c r="D1890" s="42"/>
      <c r="E1890" s="42"/>
      <c r="F1890" s="48" t="str">
        <f>IFERROR(__xludf.DUMMYFUNCTION("""COMPUTED_VALUE"""),"")</f>
        <v/>
      </c>
      <c r="G1890" s="42" t="str">
        <f>IFERROR(__xludf.DUMMYFUNCTION("""COMPUTED_VALUE"""),"BN Jual Beli")</f>
        <v>BN Jual Beli</v>
      </c>
      <c r="H1890" s="42">
        <f t="shared" si="1"/>
        <v>862</v>
      </c>
    </row>
    <row r="1891" ht="22.5" customHeight="1">
      <c r="B1891" s="42" t="str">
        <f>IFERROR(__xludf.DUMMYFUNCTION("""COMPUTED_VALUE"""),"K/11/050225/1")</f>
        <v>K/11/050225/1</v>
      </c>
      <c r="C1891" s="42" t="str">
        <f>IFERROR(__xludf.DUMMYFUNCTION("""COMPUTED_VALUE"""),"M.1603/TANJUNG SENANG")</f>
        <v>M.1603/TANJUNG SENANG</v>
      </c>
      <c r="D1891" s="42"/>
      <c r="E1891" s="42" t="str">
        <f>IFERROR(__xludf.DUMMYFUNCTION("""COMPUTED_VALUE"""),"DISERAHKAN")</f>
        <v>DISERAHKAN</v>
      </c>
      <c r="F1891" s="48">
        <f>IFERROR(__xludf.DUMMYFUNCTION("""COMPUTED_VALUE"""),45702.43014679398)</f>
        <v>45702.43015</v>
      </c>
      <c r="G1891" s="42" t="str">
        <f>IFERROR(__xludf.DUMMYFUNCTION("""COMPUTED_VALUE"""),"BN JUAL BELI")</f>
        <v>BN JUAL BELI</v>
      </c>
      <c r="H1891" s="42">
        <f t="shared" si="1"/>
        <v>863</v>
      </c>
    </row>
    <row r="1892" ht="22.5" customHeight="1">
      <c r="B1892" s="42" t="str">
        <f>IFERROR(__xludf.DUMMYFUNCTION("""COMPUTED_VALUE"""),"K/17/050225/1")</f>
        <v>K/17/050225/1</v>
      </c>
      <c r="C1892" s="42" t="str">
        <f>IFERROR(__xludf.DUMMYFUNCTION("""COMPUTED_VALUE"""),"NIBEL M. 17196/SUKARAME")</f>
        <v>NIBEL M. 17196/SUKARAME</v>
      </c>
      <c r="D1892" s="42"/>
      <c r="E1892" s="42"/>
      <c r="F1892" s="48" t="str">
        <f>IFERROR(__xludf.DUMMYFUNCTION("""COMPUTED_VALUE"""),"")</f>
        <v/>
      </c>
      <c r="G1892" s="42" t="str">
        <f>IFERROR(__xludf.DUMMYFUNCTION("""COMPUTED_VALUE"""),"PTPGT")</f>
        <v>PTPGT</v>
      </c>
      <c r="H1892" s="42">
        <f t="shared" si="1"/>
        <v>863</v>
      </c>
    </row>
    <row r="1893" ht="22.5" customHeight="1">
      <c r="B1893" s="42" t="str">
        <f>IFERROR(__xludf.DUMMYFUNCTION("""COMPUTED_VALUE"""),"K/16/050225/1")</f>
        <v>K/16/050225/1</v>
      </c>
      <c r="C1893" s="42" t="str">
        <f>IFERROR(__xludf.DUMMYFUNCTION("""COMPUTED_VALUE"""),"Nibel 3493/ Kemiling Raya")</f>
        <v>Nibel 3493/ Kemiling Raya</v>
      </c>
      <c r="D1893" s="42"/>
      <c r="E1893" s="42"/>
      <c r="F1893" s="48" t="str">
        <f>IFERROR(__xludf.DUMMYFUNCTION("""COMPUTED_VALUE"""),"")</f>
        <v/>
      </c>
      <c r="G1893" s="42" t="str">
        <f>IFERROR(__xludf.DUMMYFUNCTION("""COMPUTED_VALUE"""),"PEMECAHAN BIDANG")</f>
        <v>PEMECAHAN BIDANG</v>
      </c>
      <c r="H1893" s="42">
        <f t="shared" si="1"/>
        <v>863</v>
      </c>
    </row>
    <row r="1894" ht="22.5" customHeight="1">
      <c r="B1894" s="42" t="str">
        <f>IFERROR(__xludf.DUMMYFUNCTION("""COMPUTED_VALUE"""),"K/12/050225/2")</f>
        <v>K/12/050225/2</v>
      </c>
      <c r="C1894" s="42" t="str">
        <f>IFERROR(__xludf.DUMMYFUNCTION("""COMPUTED_VALUE"""),"M.1604/TANJUNG SENANG")</f>
        <v>M.1604/TANJUNG SENANG</v>
      </c>
      <c r="D1894" s="42"/>
      <c r="E1894" s="42" t="str">
        <f>IFERROR(__xludf.DUMMYFUNCTION("""COMPUTED_VALUE"""),"DISERAHKAN")</f>
        <v>DISERAHKAN</v>
      </c>
      <c r="F1894" s="48">
        <f>IFERROR(__xludf.DUMMYFUNCTION("""COMPUTED_VALUE"""),45702.43036547454)</f>
        <v>45702.43037</v>
      </c>
      <c r="G1894" s="42" t="str">
        <f>IFERROR(__xludf.DUMMYFUNCTION("""COMPUTED_VALUE"""),"BN JUAL BELI")</f>
        <v>BN JUAL BELI</v>
      </c>
      <c r="H1894" s="42">
        <f t="shared" si="1"/>
        <v>864</v>
      </c>
    </row>
    <row r="1895" ht="22.5" customHeight="1">
      <c r="B1895" s="42" t="str">
        <f>IFERROR(__xludf.DUMMYFUNCTION("""COMPUTED_VALUE"""),"K/13/050225/3")</f>
        <v>K/13/050225/3</v>
      </c>
      <c r="C1895" s="42" t="str">
        <f>IFERROR(__xludf.DUMMYFUNCTION("""COMPUTED_VALUE"""),"M. 1608/TANJUNG SENANG")</f>
        <v>M. 1608/TANJUNG SENANG</v>
      </c>
      <c r="D1895" s="42"/>
      <c r="E1895" s="42" t="str">
        <f>IFERROR(__xludf.DUMMYFUNCTION("""COMPUTED_VALUE"""),"DISERAHKAN")</f>
        <v>DISERAHKAN</v>
      </c>
      <c r="F1895" s="48">
        <f>IFERROR(__xludf.DUMMYFUNCTION("""COMPUTED_VALUE"""),45707.67137069444)</f>
        <v>45707.67137</v>
      </c>
      <c r="G1895" s="42" t="str">
        <f>IFERROR(__xludf.DUMMYFUNCTION("""COMPUTED_VALUE"""),"BN JUAL BELI")</f>
        <v>BN JUAL BELI</v>
      </c>
      <c r="H1895" s="42">
        <f t="shared" si="1"/>
        <v>865</v>
      </c>
    </row>
    <row r="1896" ht="22.5" customHeight="1">
      <c r="B1896" s="42" t="str">
        <f>IFERROR(__xludf.DUMMYFUNCTION("""COMPUTED_VALUE"""),"K/18/050225/1")</f>
        <v>K/18/050225/1</v>
      </c>
      <c r="C1896" s="42" t="str">
        <f>IFERROR(__xludf.DUMMYFUNCTION("""COMPUTED_VALUE"""),"M. 1615/ Rajabasa Nunyai")</f>
        <v>M. 1615/ Rajabasa Nunyai</v>
      </c>
      <c r="D1896" s="42"/>
      <c r="E1896" s="42" t="str">
        <f>IFERROR(__xludf.DUMMYFUNCTION("""COMPUTED_VALUE"""),"DISERAHKAN")</f>
        <v>DISERAHKAN</v>
      </c>
      <c r="F1896" s="48">
        <f>IFERROR(__xludf.DUMMYFUNCTION("""COMPUTED_VALUE"""),45722.50378590278)</f>
        <v>45722.50379</v>
      </c>
      <c r="G1896" s="42" t="str">
        <f>IFERROR(__xludf.DUMMYFUNCTION("""COMPUTED_VALUE"""),"BN JUAL BELI")</f>
        <v>BN JUAL BELI</v>
      </c>
      <c r="H1896" s="42">
        <f t="shared" si="1"/>
        <v>866</v>
      </c>
    </row>
    <row r="1897" ht="22.5" customHeight="1">
      <c r="B1897" s="42" t="str">
        <f>IFERROR(__xludf.DUMMYFUNCTION("""COMPUTED_VALUE"""),"L/21/050225/1")</f>
        <v>L/21/050225/1</v>
      </c>
      <c r="C1897" s="42" t="str">
        <f>IFERROR(__xludf.DUMMYFUNCTION("""COMPUTED_VALUE"""),"HM 1746/LABUHAN RATU R")</f>
        <v>HM 1746/LABUHAN RATU R</v>
      </c>
      <c r="D1897" s="42"/>
      <c r="E1897" s="42"/>
      <c r="F1897" s="48" t="str">
        <f>IFERROR(__xludf.DUMMYFUNCTION("""COMPUTED_VALUE"""),"")</f>
        <v/>
      </c>
      <c r="G1897" s="42" t="str">
        <f>IFERROR(__xludf.DUMMYFUNCTION("""COMPUTED_VALUE"""),"SHM HILANG")</f>
        <v>SHM HILANG</v>
      </c>
      <c r="H1897" s="42">
        <f t="shared" si="1"/>
        <v>866</v>
      </c>
    </row>
    <row r="1898" ht="22.5" customHeight="1">
      <c r="B1898" s="42" t="str">
        <f>IFERROR(__xludf.DUMMYFUNCTION("""COMPUTED_VALUE"""),"K/19/050225/2")</f>
        <v>K/19/050225/2</v>
      </c>
      <c r="C1898" s="42" t="str">
        <f>IFERROR(__xludf.DUMMYFUNCTION("""COMPUTED_VALUE"""),"M. 12856/ Beringin Raya")</f>
        <v>M. 12856/ Beringin Raya</v>
      </c>
      <c r="D1898" s="42"/>
      <c r="E1898" s="42" t="str">
        <f>IFERROR(__xludf.DUMMYFUNCTION("""COMPUTED_VALUE"""),"DISERAHKAN")</f>
        <v>DISERAHKAN</v>
      </c>
      <c r="F1898" s="48">
        <f>IFERROR(__xludf.DUMMYFUNCTION("""COMPUTED_VALUE"""),45723.471908946754)</f>
        <v>45723.47191</v>
      </c>
      <c r="G1898" s="42" t="str">
        <f>IFERROR(__xludf.DUMMYFUNCTION("""COMPUTED_VALUE"""),"BN HIBAH")</f>
        <v>BN HIBAH</v>
      </c>
      <c r="H1898" s="42">
        <f t="shared" si="1"/>
        <v>867</v>
      </c>
    </row>
    <row r="1899" ht="22.5" customHeight="1">
      <c r="B1899" s="42" t="str">
        <f>IFERROR(__xludf.DUMMYFUNCTION("""COMPUTED_VALUE"""),"K/20/050225/3")</f>
        <v>K/20/050225/3</v>
      </c>
      <c r="C1899" s="42" t="str">
        <f>IFERROR(__xludf.DUMMYFUNCTION("""COMPUTED_VALUE"""),"M. 12858/ Beringin Raya")</f>
        <v>M. 12858/ Beringin Raya</v>
      </c>
      <c r="D1899" s="42"/>
      <c r="E1899" s="42" t="str">
        <f>IFERROR(__xludf.DUMMYFUNCTION("""COMPUTED_VALUE"""),"DISERAHKAN")</f>
        <v>DISERAHKAN</v>
      </c>
      <c r="F1899" s="48">
        <f>IFERROR(__xludf.DUMMYFUNCTION("""COMPUTED_VALUE"""),45702.40959604167)</f>
        <v>45702.4096</v>
      </c>
      <c r="G1899" s="42" t="str">
        <f>IFERROR(__xludf.DUMMYFUNCTION("""COMPUTED_VALUE"""),"BN HIBAH")</f>
        <v>BN HIBAH</v>
      </c>
      <c r="H1899" s="42">
        <f t="shared" si="1"/>
        <v>868</v>
      </c>
    </row>
    <row r="1900" ht="22.5" customHeight="1">
      <c r="B1900" s="42" t="str">
        <f>IFERROR(__xludf.DUMMYFUNCTION("""COMPUTED_VALUE"""),"K/22/050225/1")</f>
        <v>K/22/050225/1</v>
      </c>
      <c r="C1900" s="42" t="str">
        <f>IFERROR(__xludf.DUMMYFUNCTION("""COMPUTED_VALUE"""),"NIBEL M. 12357/KORPRI RAYA")</f>
        <v>NIBEL M. 12357/KORPRI RAYA</v>
      </c>
      <c r="D1900" s="42"/>
      <c r="E1900" s="42"/>
      <c r="F1900" s="48" t="str">
        <f>IFERROR(__xludf.DUMMYFUNCTION("""COMPUTED_VALUE"""),"")</f>
        <v/>
      </c>
      <c r="G1900" s="42" t="str">
        <f>IFERROR(__xludf.DUMMYFUNCTION("""COMPUTED_VALUE"""),"BN JUAL BELI")</f>
        <v>BN JUAL BELI</v>
      </c>
      <c r="H1900" s="42">
        <f t="shared" si="1"/>
        <v>868</v>
      </c>
    </row>
    <row r="1901" ht="22.5" customHeight="1">
      <c r="B1901" s="42" t="str">
        <f>IFERROR(__xludf.DUMMYFUNCTION("""COMPUTED_VALUE"""),"K/24/050225/1")</f>
        <v>K/24/050225/1</v>
      </c>
      <c r="C1901" s="42" t="str">
        <f>IFERROR(__xludf.DUMMYFUNCTION("""COMPUTED_VALUE"""),"M. 427/ Kota Sepang")</f>
        <v>M. 427/ Kota Sepang</v>
      </c>
      <c r="D1901" s="42"/>
      <c r="E1901" s="42" t="str">
        <f>IFERROR(__xludf.DUMMYFUNCTION("""COMPUTED_VALUE"""),"DISERAHKAN")</f>
        <v>DISERAHKAN</v>
      </c>
      <c r="F1901" s="48">
        <f>IFERROR(__xludf.DUMMYFUNCTION("""COMPUTED_VALUE"""),45736.60431587963)</f>
        <v>45736.60432</v>
      </c>
      <c r="G1901" s="42" t="str">
        <f>IFERROR(__xludf.DUMMYFUNCTION("""COMPUTED_VALUE"""),"BN JUAL BELI")</f>
        <v>BN JUAL BELI</v>
      </c>
      <c r="H1901" s="42">
        <f t="shared" si="1"/>
        <v>869</v>
      </c>
    </row>
    <row r="1902" ht="22.5" customHeight="1">
      <c r="B1902" s="42" t="str">
        <f>IFERROR(__xludf.DUMMYFUNCTION("""COMPUTED_VALUE"""),"K/25/050225/2")</f>
        <v>K/25/050225/2</v>
      </c>
      <c r="C1902" s="42" t="str">
        <f>IFERROR(__xludf.DUMMYFUNCTION("""COMPUTED_VALUE"""),"B. 158/ Way Laga")</f>
        <v>B. 158/ Way Laga</v>
      </c>
      <c r="D1902" s="42"/>
      <c r="E1902" s="42" t="str">
        <f>IFERROR(__xludf.DUMMYFUNCTION("""COMPUTED_VALUE"""),"DISERAHKAN")</f>
        <v>DISERAHKAN</v>
      </c>
      <c r="F1902" s="48">
        <f>IFERROR(__xludf.DUMMYFUNCTION("""COMPUTED_VALUE"""),45708.46727511574)</f>
        <v>45708.46728</v>
      </c>
      <c r="G1902" s="42" t="str">
        <f>IFERROR(__xludf.DUMMYFUNCTION("""COMPUTED_VALUE"""),"BN JUAL BELI")</f>
        <v>BN JUAL BELI</v>
      </c>
      <c r="H1902" s="42">
        <f t="shared" si="1"/>
        <v>870</v>
      </c>
    </row>
    <row r="1903" ht="22.5" customHeight="1">
      <c r="B1903" s="42" t="str">
        <f>IFERROR(__xludf.DUMMYFUNCTION("""COMPUTED_VALUE"""),"K/26/050225/3")</f>
        <v>K/26/050225/3</v>
      </c>
      <c r="C1903" s="42" t="str">
        <f>IFERROR(__xludf.DUMMYFUNCTION("""COMPUTED_VALUE"""),"Nibel 8254/ Rajabasa Raya")</f>
        <v>Nibel 8254/ Rajabasa Raya</v>
      </c>
      <c r="D1903" s="42"/>
      <c r="E1903" s="42"/>
      <c r="F1903" s="48" t="str">
        <f>IFERROR(__xludf.DUMMYFUNCTION("""COMPUTED_VALUE"""),"")</f>
        <v/>
      </c>
      <c r="G1903" s="42" t="str">
        <f>IFERROR(__xludf.DUMMYFUNCTION("""COMPUTED_VALUE"""),"BN JUAL BELI")</f>
        <v>BN JUAL BELI</v>
      </c>
      <c r="H1903" s="42">
        <f t="shared" si="1"/>
        <v>870</v>
      </c>
    </row>
    <row r="1904" ht="22.5" customHeight="1">
      <c r="B1904" s="42" t="str">
        <f>IFERROR(__xludf.DUMMYFUNCTION("""COMPUTED_VALUE"""),"K/27/050225/4")</f>
        <v>K/27/050225/4</v>
      </c>
      <c r="C1904" s="42" t="str">
        <f>IFERROR(__xludf.DUMMYFUNCTION("""COMPUTED_VALUE"""),"M. 464/ Kota Sepang")</f>
        <v>M. 464/ Kota Sepang</v>
      </c>
      <c r="D1904" s="42"/>
      <c r="E1904" s="42" t="str">
        <f>IFERROR(__xludf.DUMMYFUNCTION("""COMPUTED_VALUE"""),"DISERAHKAN")</f>
        <v>DISERAHKAN</v>
      </c>
      <c r="F1904" s="48">
        <f>IFERROR(__xludf.DUMMYFUNCTION("""COMPUTED_VALUE"""),45702.39803822916)</f>
        <v>45702.39804</v>
      </c>
      <c r="G1904" s="42" t="str">
        <f>IFERROR(__xludf.DUMMYFUNCTION("""COMPUTED_VALUE"""),"BN JUAL BELI")</f>
        <v>BN JUAL BELI</v>
      </c>
      <c r="H1904" s="42">
        <f t="shared" si="1"/>
        <v>871</v>
      </c>
    </row>
    <row r="1905" ht="22.5" customHeight="1">
      <c r="B1905" s="42" t="str">
        <f>IFERROR(__xludf.DUMMYFUNCTION("""COMPUTED_VALUE"""),"K/28/050225/1")</f>
        <v>K/28/050225/1</v>
      </c>
      <c r="C1905" s="42" t="str">
        <f>IFERROR(__xludf.DUMMYFUNCTION("""COMPUTED_VALUE"""),"M. 16760/ Sukabumi")</f>
        <v>M. 16760/ Sukabumi</v>
      </c>
      <c r="D1905" s="42"/>
      <c r="E1905" s="42" t="str">
        <f>IFERROR(__xludf.DUMMYFUNCTION("""COMPUTED_VALUE"""),"DISERAHKAN")</f>
        <v>DISERAHKAN</v>
      </c>
      <c r="F1905" s="48">
        <f>IFERROR(__xludf.DUMMYFUNCTION("""COMPUTED_VALUE"""),45702.430771631945)</f>
        <v>45702.43077</v>
      </c>
      <c r="G1905" s="42" t="str">
        <f>IFERROR(__xludf.DUMMYFUNCTION("""COMPUTED_VALUE"""),"BN Jual Beli")</f>
        <v>BN Jual Beli</v>
      </c>
      <c r="H1905" s="42">
        <f t="shared" si="1"/>
        <v>872</v>
      </c>
    </row>
    <row r="1906" ht="22.5" customHeight="1">
      <c r="B1906" s="42" t="str">
        <f>IFERROR(__xludf.DUMMYFUNCTION("""COMPUTED_VALUE"""),"K/29/050225/1")</f>
        <v>K/29/050225/1</v>
      </c>
      <c r="C1906" s="42" t="str">
        <f>IFERROR(__xludf.DUMMYFUNCTION("""COMPUTED_VALUE"""),"M.15726/SUKABUMI")</f>
        <v>M.15726/SUKABUMI</v>
      </c>
      <c r="D1906" s="42"/>
      <c r="E1906" s="42" t="str">
        <f>IFERROR(__xludf.DUMMYFUNCTION("""COMPUTED_VALUE"""),"DISERAHKAN")</f>
        <v>DISERAHKAN</v>
      </c>
      <c r="F1906" s="48">
        <f>IFERROR(__xludf.DUMMYFUNCTION("""COMPUTED_VALUE"""),45702.398671435185)</f>
        <v>45702.39867</v>
      </c>
      <c r="G1906" s="42" t="str">
        <f>IFERROR(__xludf.DUMMYFUNCTION("""COMPUTED_VALUE"""),"PERALIHAN JUAL BELI")</f>
        <v>PERALIHAN JUAL BELI</v>
      </c>
      <c r="H1906" s="42">
        <f t="shared" si="1"/>
        <v>873</v>
      </c>
    </row>
    <row r="1907" ht="22.5" customHeight="1">
      <c r="B1907" s="42" t="str">
        <f>IFERROR(__xludf.DUMMYFUNCTION("""COMPUTED_VALUE"""),"K/30/050225/1")</f>
        <v>K/30/050225/1</v>
      </c>
      <c r="C1907" s="42" t="str">
        <f>IFERROR(__xludf.DUMMYFUNCTION("""COMPUTED_VALUE"""),"M. 5583/ Langkapura")</f>
        <v>M. 5583/ Langkapura</v>
      </c>
      <c r="D1907" s="42"/>
      <c r="E1907" s="42" t="str">
        <f>IFERROR(__xludf.DUMMYFUNCTION("""COMPUTED_VALUE"""),"DISERAHKAN")</f>
        <v>DISERAHKAN</v>
      </c>
      <c r="F1907" s="48">
        <f>IFERROR(__xludf.DUMMYFUNCTION("""COMPUTED_VALUE"""),45702.43213259259)</f>
        <v>45702.43213</v>
      </c>
      <c r="G1907" s="42" t="str">
        <f>IFERROR(__xludf.DUMMYFUNCTION("""COMPUTED_VALUE"""),"BN JUAL BELI")</f>
        <v>BN JUAL BELI</v>
      </c>
      <c r="H1907" s="42">
        <f t="shared" si="1"/>
        <v>874</v>
      </c>
    </row>
    <row r="1908" ht="22.5" customHeight="1">
      <c r="B1908" s="42" t="str">
        <f>IFERROR(__xludf.DUMMYFUNCTION("""COMPUTED_VALUE"""),"K/23/050225/1")</f>
        <v>K/23/050225/1</v>
      </c>
      <c r="C1908" s="42" t="str">
        <f>IFERROR(__xludf.DUMMYFUNCTION("""COMPUTED_VALUE"""),"NIBEL M.7911/PAHOMAN")</f>
        <v>NIBEL M.7911/PAHOMAN</v>
      </c>
      <c r="D1908" s="42"/>
      <c r="E1908" s="42"/>
      <c r="F1908" s="48" t="str">
        <f>IFERROR(__xludf.DUMMYFUNCTION("""COMPUTED_VALUE"""),"")</f>
        <v/>
      </c>
      <c r="G1908" s="42" t="str">
        <f>IFERROR(__xludf.DUMMYFUNCTION("""COMPUTED_VALUE"""),"BN JUAL BELI")</f>
        <v>BN JUAL BELI</v>
      </c>
      <c r="H1908" s="42">
        <f t="shared" si="1"/>
        <v>874</v>
      </c>
    </row>
    <row r="1909" ht="22.5" customHeight="1">
      <c r="B1909" s="42" t="str">
        <f>IFERROR(__xludf.DUMMYFUNCTION("""COMPUTED_VALUE"""),"K/31/050225/1")</f>
        <v>K/31/050225/1</v>
      </c>
      <c r="C1909" s="42" t="str">
        <f>IFERROR(__xludf.DUMMYFUNCTION("""COMPUTED_VALUE"""),"B. 99/ Labuhan Ratu ")</f>
        <v>B. 99/ Labuhan Ratu </v>
      </c>
      <c r="D1909" s="42"/>
      <c r="E1909" s="42" t="str">
        <f>IFERROR(__xludf.DUMMYFUNCTION("""COMPUTED_VALUE"""),"DISERAHKAN")</f>
        <v>DISERAHKAN</v>
      </c>
      <c r="F1909" s="48">
        <f>IFERROR(__xludf.DUMMYFUNCTION("""COMPUTED_VALUE"""),45719.633529872684)</f>
        <v>45719.63353</v>
      </c>
      <c r="G1909" s="42" t="str">
        <f>IFERROR(__xludf.DUMMYFUNCTION("""COMPUTED_VALUE"""),"ROYA")</f>
        <v>ROYA</v>
      </c>
      <c r="H1909" s="42">
        <f t="shared" si="1"/>
        <v>875</v>
      </c>
    </row>
    <row r="1910" ht="22.5" customHeight="1">
      <c r="B1910" s="42" t="str">
        <f>IFERROR(__xludf.DUMMYFUNCTION("""COMPUTED_VALUE"""),"K/32/050225/2")</f>
        <v>K/32/050225/2</v>
      </c>
      <c r="C1910" s="42" t="str">
        <f>IFERROR(__xludf.DUMMYFUNCTION("""COMPUTED_VALUE"""),"M. 334/ ketapang")</f>
        <v>M. 334/ ketapang</v>
      </c>
      <c r="D1910" s="42"/>
      <c r="E1910" s="42"/>
      <c r="F1910" s="48" t="str">
        <f>IFERROR(__xludf.DUMMYFUNCTION("""COMPUTED_VALUE"""),"")</f>
        <v/>
      </c>
      <c r="G1910" s="42" t="str">
        <f>IFERROR(__xludf.DUMMYFUNCTION("""COMPUTED_VALUE"""),"SERTIPIKAT HILANG")</f>
        <v>SERTIPIKAT HILANG</v>
      </c>
      <c r="H1910" s="42">
        <f t="shared" si="1"/>
        <v>875</v>
      </c>
    </row>
    <row r="1911" ht="22.5" customHeight="1">
      <c r="B1911" s="42" t="str">
        <f>IFERROR(__xludf.DUMMYFUNCTION("""COMPUTED_VALUE"""),"K/33/050225/1")</f>
        <v>K/33/050225/1</v>
      </c>
      <c r="C1911" s="42" t="str">
        <f>IFERROR(__xludf.DUMMYFUNCTION("""COMPUTED_VALUE"""),"M. 2591/ Pinang Jaya")</f>
        <v>M. 2591/ Pinang Jaya</v>
      </c>
      <c r="D1911" s="42"/>
      <c r="E1911" s="42" t="str">
        <f>IFERROR(__xludf.DUMMYFUNCTION("""COMPUTED_VALUE"""),"DISERAHKAN")</f>
        <v>DISERAHKAN</v>
      </c>
      <c r="F1911" s="48">
        <f>IFERROR(__xludf.DUMMYFUNCTION("""COMPUTED_VALUE"""),45706.45594513889)</f>
        <v>45706.45595</v>
      </c>
      <c r="G1911" s="42" t="str">
        <f>IFERROR(__xludf.DUMMYFUNCTION("""COMPUTED_VALUE"""),"BN JUAL BELI")</f>
        <v>BN JUAL BELI</v>
      </c>
      <c r="H1911" s="42">
        <f t="shared" si="1"/>
        <v>876</v>
      </c>
    </row>
    <row r="1912" ht="22.5" customHeight="1">
      <c r="B1912" s="42" t="str">
        <f>IFERROR(__xludf.DUMMYFUNCTION("""COMPUTED_VALUE"""),"L/35/050225/1")</f>
        <v>L/35/050225/1</v>
      </c>
      <c r="C1912" s="42" t="str">
        <f>IFERROR(__xludf.DUMMYFUNCTION("""COMPUTED_VALUE"""),"HM 4026/RAJABASA JAYA")</f>
        <v>HM 4026/RAJABASA JAYA</v>
      </c>
      <c r="D1912" s="42"/>
      <c r="E1912" s="42" t="str">
        <f>IFERROR(__xludf.DUMMYFUNCTION("""COMPUTED_VALUE"""),"PROSES")</f>
        <v>PROSES</v>
      </c>
      <c r="F1912" s="48" t="str">
        <f>IFERROR(__xludf.DUMMYFUNCTION("""COMPUTED_VALUE"""),"")</f>
        <v/>
      </c>
      <c r="G1912" s="42" t="str">
        <f>IFERROR(__xludf.DUMMYFUNCTION("""COMPUTED_VALUE"""),"BN JUAL - BELI")</f>
        <v>BN JUAL - BELI</v>
      </c>
      <c r="H1912" s="42">
        <f t="shared" si="1"/>
        <v>876</v>
      </c>
    </row>
    <row r="1913" ht="22.5" customHeight="1">
      <c r="B1913" s="42" t="str">
        <f>IFERROR(__xludf.DUMMYFUNCTION("""COMPUTED_VALUE"""),"K/36/050225/1")</f>
        <v>K/36/050225/1</v>
      </c>
      <c r="C1913" s="42" t="str">
        <f>IFERROR(__xludf.DUMMYFUNCTION("""COMPUTED_VALUE"""),"NIbel 16920/ Korpri Raya")</f>
        <v>NIbel 16920/ Korpri Raya</v>
      </c>
      <c r="D1913" s="42"/>
      <c r="E1913" s="42"/>
      <c r="F1913" s="48" t="str">
        <f>IFERROR(__xludf.DUMMYFUNCTION("""COMPUTED_VALUE"""),"")</f>
        <v/>
      </c>
      <c r="G1913" s="42" t="str">
        <f>IFERROR(__xludf.DUMMYFUNCTION("""COMPUTED_VALUE"""),"BN JUAL BELI")</f>
        <v>BN JUAL BELI</v>
      </c>
      <c r="H1913" s="42">
        <f t="shared" si="1"/>
        <v>876</v>
      </c>
    </row>
    <row r="1914" ht="22.5" customHeight="1">
      <c r="B1914" s="42" t="str">
        <f>IFERROR(__xludf.DUMMYFUNCTION("""COMPUTED_VALUE"""),"K/37/050225/1")</f>
        <v>K/37/050225/1</v>
      </c>
      <c r="C1914" s="42" t="str">
        <f>IFERROR(__xludf.DUMMYFUNCTION("""COMPUTED_VALUE"""),"M. 12913/ Segala Mider")</f>
        <v>M. 12913/ Segala Mider</v>
      </c>
      <c r="D1914" s="42"/>
      <c r="E1914" s="42" t="str">
        <f>IFERROR(__xludf.DUMMYFUNCTION("""COMPUTED_VALUE"""),"DISERAHKAN")</f>
        <v>DISERAHKAN</v>
      </c>
      <c r="F1914" s="48">
        <f>IFERROR(__xludf.DUMMYFUNCTION("""COMPUTED_VALUE"""),45706.44959626158)</f>
        <v>45706.4496</v>
      </c>
      <c r="G1914" s="42" t="str">
        <f>IFERROR(__xludf.DUMMYFUNCTION("""COMPUTED_VALUE"""),"BN Waris")</f>
        <v>BN Waris</v>
      </c>
      <c r="H1914" s="42">
        <f t="shared" si="1"/>
        <v>877</v>
      </c>
    </row>
    <row r="1915" ht="22.5" customHeight="1">
      <c r="B1915" s="42" t="str">
        <f>IFERROR(__xludf.DUMMYFUNCTION("""COMPUTED_VALUE"""),"K/34/050225/1")</f>
        <v>K/34/050225/1</v>
      </c>
      <c r="C1915" s="42" t="str">
        <f>IFERROR(__xludf.DUMMYFUNCTION("""COMPUTED_VALUE"""),"NIBEL B.133/KELAPA TIGA")</f>
        <v>NIBEL B.133/KELAPA TIGA</v>
      </c>
      <c r="D1915" s="42"/>
      <c r="E1915" s="42"/>
      <c r="F1915" s="48" t="str">
        <f>IFERROR(__xludf.DUMMYFUNCTION("""COMPUTED_VALUE"""),"")</f>
        <v/>
      </c>
      <c r="G1915" s="42" t="str">
        <f>IFERROR(__xludf.DUMMYFUNCTION("""COMPUTED_VALUE"""),"PENDAFTARAN SK")</f>
        <v>PENDAFTARAN SK</v>
      </c>
      <c r="H1915" s="42">
        <f t="shared" si="1"/>
        <v>877</v>
      </c>
    </row>
    <row r="1916" ht="22.5" customHeight="1">
      <c r="B1916" s="42" t="str">
        <f>IFERROR(__xludf.DUMMYFUNCTION("""COMPUTED_VALUE"""),"K/38/050225/1")</f>
        <v>K/38/050225/1</v>
      </c>
      <c r="C1916" s="42" t="str">
        <f>IFERROR(__xludf.DUMMYFUNCTION("""COMPUTED_VALUE"""),"M. 2391/KEDAUNG")</f>
        <v>M. 2391/KEDAUNG</v>
      </c>
      <c r="D1916" s="42"/>
      <c r="E1916" s="42" t="str">
        <f>IFERROR(__xludf.DUMMYFUNCTION("""COMPUTED_VALUE"""),"PROSES")</f>
        <v>PROSES</v>
      </c>
      <c r="F1916" s="48" t="str">
        <f>IFERROR(__xludf.DUMMYFUNCTION("""COMPUTED_VALUE"""),"")</f>
        <v/>
      </c>
      <c r="G1916" s="42" t="str">
        <f>IFERROR(__xludf.DUMMYFUNCTION("""COMPUTED_VALUE"""),"BN JUAL BELI")</f>
        <v>BN JUAL BELI</v>
      </c>
      <c r="H1916" s="42">
        <f t="shared" si="1"/>
        <v>877</v>
      </c>
    </row>
    <row r="1917" ht="22.5" customHeight="1">
      <c r="B1917" s="42" t="str">
        <f>IFERROR(__xludf.DUMMYFUNCTION("""COMPUTED_VALUE"""),"K/39/050225/2")</f>
        <v>K/39/050225/2</v>
      </c>
      <c r="C1917" s="42" t="str">
        <f>IFERROR(__xludf.DUMMYFUNCTION("""COMPUTED_VALUE"""),"M.15696/SUKABUMI")</f>
        <v>M.15696/SUKABUMI</v>
      </c>
      <c r="D1917" s="42"/>
      <c r="E1917" s="42" t="str">
        <f>IFERROR(__xludf.DUMMYFUNCTION("""COMPUTED_VALUE"""),"PROSES")</f>
        <v>PROSES</v>
      </c>
      <c r="F1917" s="48" t="str">
        <f>IFERROR(__xludf.DUMMYFUNCTION("""COMPUTED_VALUE"""),"")</f>
        <v/>
      </c>
      <c r="G1917" s="42" t="str">
        <f>IFERROR(__xludf.DUMMYFUNCTION("""COMPUTED_VALUE"""),"BN JUAL BELI")</f>
        <v>BN JUAL BELI</v>
      </c>
      <c r="H1917" s="42">
        <f t="shared" si="1"/>
        <v>877</v>
      </c>
    </row>
    <row r="1918" ht="22.5" customHeight="1">
      <c r="B1918" s="42" t="str">
        <f>IFERROR(__xludf.DUMMYFUNCTION("""COMPUTED_VALUE"""),"K/41/050225/1")</f>
        <v>K/41/050225/1</v>
      </c>
      <c r="C1918" s="42" t="str">
        <f>IFERROR(__xludf.DUMMYFUNCTION("""COMPUTED_VALUE"""),"NIBEL M 3324/SUKABUMI INDAH")</f>
        <v>NIBEL M 3324/SUKABUMI INDAH</v>
      </c>
      <c r="D1918" s="42"/>
      <c r="E1918" s="42"/>
      <c r="F1918" s="48" t="str">
        <f>IFERROR(__xludf.DUMMYFUNCTION("""COMPUTED_VALUE"""),"")</f>
        <v/>
      </c>
      <c r="G1918" s="42" t="str">
        <f>IFERROR(__xludf.DUMMYFUNCTION("""COMPUTED_VALUE"""),"PERALIHAN JUAL BELI")</f>
        <v>PERALIHAN JUAL BELI</v>
      </c>
      <c r="H1918" s="42">
        <f t="shared" si="1"/>
        <v>877</v>
      </c>
    </row>
    <row r="1919" ht="22.5" customHeight="1">
      <c r="B1919" s="42" t="str">
        <f>IFERROR(__xludf.DUMMYFUNCTION("""COMPUTED_VALUE"""),"L/42/050225/1")</f>
        <v>L/42/050225/1</v>
      </c>
      <c r="C1919" s="42" t="str">
        <f>IFERROR(__xludf.DUMMYFUNCTION("""COMPUTED_VALUE"""),"HM 12/GEDONG MENENG BARU")</f>
        <v>HM 12/GEDONG MENENG BARU</v>
      </c>
      <c r="D1919" s="42"/>
      <c r="E1919" s="42" t="str">
        <f>IFERROR(__xludf.DUMMYFUNCTION("""COMPUTED_VALUE"""),"DISERAHKAN")</f>
        <v>DISERAHKAN</v>
      </c>
      <c r="F1919" s="48">
        <f>IFERROR(__xludf.DUMMYFUNCTION("""COMPUTED_VALUE"""),45712.466558078704)</f>
        <v>45712.46656</v>
      </c>
      <c r="G1919" s="42" t="str">
        <f>IFERROR(__xludf.DUMMYFUNCTION("""COMPUTED_VALUE"""),"ROYA")</f>
        <v>ROYA</v>
      </c>
      <c r="H1919" s="42">
        <f t="shared" si="1"/>
        <v>878</v>
      </c>
    </row>
    <row r="1920" ht="22.5" customHeight="1">
      <c r="B1920" s="42" t="str">
        <f>IFERROR(__xludf.DUMMYFUNCTION("""COMPUTED_VALUE"""),"K/40/050225/1")</f>
        <v>K/40/050225/1</v>
      </c>
      <c r="C1920" s="42" t="str">
        <f>IFERROR(__xludf.DUMMYFUNCTION("""COMPUTED_VALUE"""),"M. 886/ Pelita")</f>
        <v>M. 886/ Pelita</v>
      </c>
      <c r="D1920" s="42"/>
      <c r="E1920" s="42" t="str">
        <f>IFERROR(__xludf.DUMMYFUNCTION("""COMPUTED_VALUE"""),"DISERAHKAN")</f>
        <v>DISERAHKAN</v>
      </c>
      <c r="F1920" s="48">
        <f>IFERROR(__xludf.DUMMYFUNCTION("""COMPUTED_VALUE"""),45706.45139350694)</f>
        <v>45706.45139</v>
      </c>
      <c r="G1920" s="42" t="str">
        <f>IFERROR(__xludf.DUMMYFUNCTION("""COMPUTED_VALUE"""),"BN Jual Beli")</f>
        <v>BN Jual Beli</v>
      </c>
      <c r="H1920" s="42">
        <f t="shared" si="1"/>
        <v>879</v>
      </c>
    </row>
    <row r="1921" ht="22.5" customHeight="1">
      <c r="B1921" s="42" t="str">
        <f>IFERROR(__xludf.DUMMYFUNCTION("""COMPUTED_VALUE"""),"K/44/050225/1")</f>
        <v>K/44/050225/1</v>
      </c>
      <c r="C1921" s="42" t="str">
        <f>IFERROR(__xludf.DUMMYFUNCTION("""COMPUTED_VALUE"""),"Nibel 131/ Gedong Air")</f>
        <v>Nibel 131/ Gedong Air</v>
      </c>
      <c r="D1921" s="42"/>
      <c r="E1921" s="42"/>
      <c r="F1921" s="48" t="str">
        <f>IFERROR(__xludf.DUMMYFUNCTION("""COMPUTED_VALUE"""),"")</f>
        <v/>
      </c>
      <c r="G1921" s="42" t="str">
        <f>IFERROR(__xludf.DUMMYFUNCTION("""COMPUTED_VALUE"""),"BN JUAL BELI")</f>
        <v>BN JUAL BELI</v>
      </c>
      <c r="H1921" s="42">
        <f t="shared" si="1"/>
        <v>879</v>
      </c>
    </row>
    <row r="1922" ht="22.5" customHeight="1">
      <c r="B1922" s="42" t="str">
        <f>IFERROR(__xludf.DUMMYFUNCTION("""COMPUTED_VALUE"""),"K/43/050225/1")</f>
        <v>K/43/050225/1</v>
      </c>
      <c r="C1922" s="42" t="str">
        <f>IFERROR(__xludf.DUMMYFUNCTION("""COMPUTED_VALUE"""),"M.2722/SUMBERREJO")</f>
        <v>M.2722/SUMBERREJO</v>
      </c>
      <c r="D1922" s="42"/>
      <c r="E1922" s="42" t="str">
        <f>IFERROR(__xludf.DUMMYFUNCTION("""COMPUTED_VALUE"""),"DISERAHKAN")</f>
        <v>DISERAHKAN</v>
      </c>
      <c r="F1922" s="48">
        <f>IFERROR(__xludf.DUMMYFUNCTION("""COMPUTED_VALUE"""),45707.67115166667)</f>
        <v>45707.67115</v>
      </c>
      <c r="G1922" s="42" t="str">
        <f>IFERROR(__xludf.DUMMYFUNCTION("""COMPUTED_VALUE"""),"BN JUAL BELI")</f>
        <v>BN JUAL BELI</v>
      </c>
      <c r="H1922" s="42">
        <f t="shared" si="1"/>
        <v>880</v>
      </c>
    </row>
    <row r="1923" ht="22.5" customHeight="1">
      <c r="B1923" s="42" t="str">
        <f>IFERROR(__xludf.DUMMYFUNCTION("""COMPUTED_VALUE"""),"K/45/050225/1")</f>
        <v>K/45/050225/1</v>
      </c>
      <c r="C1923" s="42" t="str">
        <f>IFERROR(__xludf.DUMMYFUNCTION("""COMPUTED_VALUE"""),"M. 2593/ Sukarame II")</f>
        <v>M. 2593/ Sukarame II</v>
      </c>
      <c r="D1923" s="42"/>
      <c r="E1923" s="42" t="str">
        <f>IFERROR(__xludf.DUMMYFUNCTION("""COMPUTED_VALUE"""),"DISERAHKAN")</f>
        <v>DISERAHKAN</v>
      </c>
      <c r="F1923" s="48">
        <f>IFERROR(__xludf.DUMMYFUNCTION("""COMPUTED_VALUE"""),45706.45193005787)</f>
        <v>45706.45193</v>
      </c>
      <c r="G1923" s="42" t="str">
        <f>IFERROR(__xludf.DUMMYFUNCTION("""COMPUTED_VALUE"""),"BN Jual Beli")</f>
        <v>BN Jual Beli</v>
      </c>
      <c r="H1923" s="42">
        <f t="shared" si="1"/>
        <v>881</v>
      </c>
    </row>
    <row r="1924" ht="22.5" customHeight="1">
      <c r="B1924" s="42" t="str">
        <f>IFERROR(__xludf.DUMMYFUNCTION("""COMPUTED_VALUE"""),"K/47/050225/1")</f>
        <v>K/47/050225/1</v>
      </c>
      <c r="C1924" s="42" t="str">
        <f>IFERROR(__xludf.DUMMYFUNCTION("""COMPUTED_VALUE"""),"M.1440/LABUHAN RATU RAYA")</f>
        <v>M.1440/LABUHAN RATU RAYA</v>
      </c>
      <c r="D1924" s="42"/>
      <c r="E1924" s="42" t="str">
        <f>IFERROR(__xludf.DUMMYFUNCTION("""COMPUTED_VALUE"""),"DISERAHKAN")</f>
        <v>DISERAHKAN</v>
      </c>
      <c r="F1924" s="48">
        <f>IFERROR(__xludf.DUMMYFUNCTION("""COMPUTED_VALUE"""),45705.579185995375)</f>
        <v>45705.57919</v>
      </c>
      <c r="G1924" s="42" t="str">
        <f>IFERROR(__xludf.DUMMYFUNCTION("""COMPUTED_VALUE"""),"PERALIHAN JUAL BELI")</f>
        <v>PERALIHAN JUAL BELI</v>
      </c>
      <c r="H1924" s="42">
        <f t="shared" si="1"/>
        <v>882</v>
      </c>
    </row>
    <row r="1925" ht="22.5" customHeight="1">
      <c r="B1925" s="42" t="str">
        <f>IFERROR(__xludf.DUMMYFUNCTION("""COMPUTED_VALUE"""),"K/48/050225/2")</f>
        <v>K/48/050225/2</v>
      </c>
      <c r="C1925" s="42" t="str">
        <f>IFERROR(__xludf.DUMMYFUNCTION("""COMPUTED_VALUE"""),"M.572/KORPRI RAYA")</f>
        <v>M.572/KORPRI RAYA</v>
      </c>
      <c r="D1925" s="42"/>
      <c r="E1925" s="42" t="str">
        <f>IFERROR(__xludf.DUMMYFUNCTION("""COMPUTED_VALUE"""),"DISERAHKAN")</f>
        <v>DISERAHKAN</v>
      </c>
      <c r="F1925" s="48">
        <f>IFERROR(__xludf.DUMMYFUNCTION("""COMPUTED_VALUE"""),45702.39748280092)</f>
        <v>45702.39748</v>
      </c>
      <c r="G1925" s="42" t="str">
        <f>IFERROR(__xludf.DUMMYFUNCTION("""COMPUTED_VALUE"""),"PERALIHAN JUAL BELI")</f>
        <v>PERALIHAN JUAL BELI</v>
      </c>
      <c r="H1925" s="42">
        <f t="shared" si="1"/>
        <v>883</v>
      </c>
    </row>
    <row r="1926" ht="22.5" customHeight="1">
      <c r="B1926" s="42" t="str">
        <f>IFERROR(__xludf.DUMMYFUNCTION("""COMPUTED_VALUE"""),"K/46/050225/3")</f>
        <v>K/46/050225/3</v>
      </c>
      <c r="C1926" s="42" t="str">
        <f>IFERROR(__xludf.DUMMYFUNCTION("""COMPUTED_VALUE"""),"B.5634/BERINGIN RAYA")</f>
        <v>B.5634/BERINGIN RAYA</v>
      </c>
      <c r="D1926" s="42"/>
      <c r="E1926" s="42" t="str">
        <f>IFERROR(__xludf.DUMMYFUNCTION("""COMPUTED_VALUE"""),"PROSES")</f>
        <v>PROSES</v>
      </c>
      <c r="F1926" s="48" t="str">
        <f>IFERROR(__xludf.DUMMYFUNCTION("""COMPUTED_VALUE"""),"")</f>
        <v/>
      </c>
      <c r="G1926" s="42" t="str">
        <f>IFERROR(__xludf.DUMMYFUNCTION("""COMPUTED_VALUE"""),"LELANG")</f>
        <v>LELANG</v>
      </c>
      <c r="H1926" s="42">
        <f t="shared" si="1"/>
        <v>883</v>
      </c>
    </row>
    <row r="1927" ht="22.5" customHeight="1">
      <c r="B1927" s="42" t="str">
        <f>IFERROR(__xludf.DUMMYFUNCTION("""COMPUTED_VALUE"""),"K/1/060225/1")</f>
        <v>K/1/060225/1</v>
      </c>
      <c r="C1927" s="42" t="str">
        <f>IFERROR(__xludf.DUMMYFUNCTION("""COMPUTED_VALUE"""),"M. 1396/ Sumberrejo sejahtera")</f>
        <v>M. 1396/ Sumberrejo sejahtera</v>
      </c>
      <c r="D1927" s="42"/>
      <c r="E1927" s="42" t="str">
        <f>IFERROR(__xludf.DUMMYFUNCTION("""COMPUTED_VALUE"""),"DISERAHKAN")</f>
        <v>DISERAHKAN</v>
      </c>
      <c r="F1927" s="48">
        <f>IFERROR(__xludf.DUMMYFUNCTION("""COMPUTED_VALUE"""),45706.45614702546)</f>
        <v>45706.45615</v>
      </c>
      <c r="G1927" s="42" t="str">
        <f>IFERROR(__xludf.DUMMYFUNCTION("""COMPUTED_VALUE"""),"BN HIBAH")</f>
        <v>BN HIBAH</v>
      </c>
      <c r="H1927" s="42">
        <f t="shared" si="1"/>
        <v>884</v>
      </c>
    </row>
    <row r="1928" ht="22.5" customHeight="1">
      <c r="B1928" s="42" t="str">
        <f>IFERROR(__xludf.DUMMYFUNCTION("""COMPUTED_VALUE"""),"L/2/060225/1")</f>
        <v>L/2/060225/1</v>
      </c>
      <c r="C1928" s="42" t="str">
        <f>IFERROR(__xludf.DUMMYFUNCTION("""COMPUTED_VALUE"""),"SUKARAME")</f>
        <v>SUKARAME</v>
      </c>
      <c r="D1928" s="42"/>
      <c r="E1928" s="42"/>
      <c r="F1928" s="48" t="str">
        <f>IFERROR(__xludf.DUMMYFUNCTION("""COMPUTED_VALUE"""),"")</f>
        <v/>
      </c>
      <c r="G1928" s="42" t="str">
        <f>IFERROR(__xludf.DUMMYFUNCTION("""COMPUTED_VALUE"""),"ASPEK")</f>
        <v>ASPEK</v>
      </c>
      <c r="H1928" s="42">
        <f t="shared" si="1"/>
        <v>884</v>
      </c>
    </row>
    <row r="1929" ht="22.5" customHeight="1">
      <c r="B1929" s="42" t="str">
        <f>IFERROR(__xludf.DUMMYFUNCTION("""COMPUTED_VALUE"""),"K/3/060225/1")</f>
        <v>K/3/060225/1</v>
      </c>
      <c r="C1929" s="42" t="str">
        <f>IFERROR(__xludf.DUMMYFUNCTION("""COMPUTED_VALUE"""),"M. 2064/ Sukarame II")</f>
        <v>M. 2064/ Sukarame II</v>
      </c>
      <c r="D1929" s="42"/>
      <c r="E1929" s="42" t="str">
        <f>IFERROR(__xludf.DUMMYFUNCTION("""COMPUTED_VALUE"""),"DISERAHKAN")</f>
        <v>DISERAHKAN</v>
      </c>
      <c r="F1929" s="48">
        <f>IFERROR(__xludf.DUMMYFUNCTION("""COMPUTED_VALUE"""),45706.45384082176)</f>
        <v>45706.45384</v>
      </c>
      <c r="G1929" s="42" t="str">
        <f>IFERROR(__xludf.DUMMYFUNCTION("""COMPUTED_VALUE"""),"BN JUAL BELI")</f>
        <v>BN JUAL BELI</v>
      </c>
      <c r="H1929" s="42">
        <f t="shared" si="1"/>
        <v>885</v>
      </c>
    </row>
    <row r="1930" ht="22.5" customHeight="1">
      <c r="B1930" s="42" t="str">
        <f>IFERROR(__xludf.DUMMYFUNCTION("""COMPUTED_VALUE"""),"K/4/060225/1")</f>
        <v>K/4/060225/1</v>
      </c>
      <c r="C1930" s="42" t="str">
        <f>IFERROR(__xludf.DUMMYFUNCTION("""COMPUTED_VALUE"""),"M.15026/SUKABUMI")</f>
        <v>M.15026/SUKABUMI</v>
      </c>
      <c r="D1930" s="42"/>
      <c r="E1930" s="42" t="str">
        <f>IFERROR(__xludf.DUMMYFUNCTION("""COMPUTED_VALUE"""),"DISERAHKAN")</f>
        <v>DISERAHKAN</v>
      </c>
      <c r="F1930" s="48">
        <f>IFERROR(__xludf.DUMMYFUNCTION("""COMPUTED_VALUE"""),45705.578975752316)</f>
        <v>45705.57898</v>
      </c>
      <c r="G1930" s="42" t="str">
        <f>IFERROR(__xludf.DUMMYFUNCTION("""COMPUTED_VALUE"""),"PERALIHAN HAK")</f>
        <v>PERALIHAN HAK</v>
      </c>
      <c r="H1930" s="42">
        <f t="shared" si="1"/>
        <v>886</v>
      </c>
    </row>
    <row r="1931" ht="22.5" customHeight="1">
      <c r="B1931" s="42" t="str">
        <f>IFERROR(__xludf.DUMMYFUNCTION("""COMPUTED_VALUE"""),"K/5/060225/2")</f>
        <v>K/5/060225/2</v>
      </c>
      <c r="C1931" s="42" t="str">
        <f>IFERROR(__xludf.DUMMYFUNCTION("""COMPUTED_VALUE"""),"M.78/KOTA SEPANG")</f>
        <v>M.78/KOTA SEPANG</v>
      </c>
      <c r="D1931" s="42"/>
      <c r="E1931" s="42" t="str">
        <f>IFERROR(__xludf.DUMMYFUNCTION("""COMPUTED_VALUE"""),"DISERAHKAN")</f>
        <v>DISERAHKAN</v>
      </c>
      <c r="F1931" s="48">
        <f>IFERROR(__xludf.DUMMYFUNCTION("""COMPUTED_VALUE"""),45706.453577418986)</f>
        <v>45706.45358</v>
      </c>
      <c r="G1931" s="42" t="str">
        <f>IFERROR(__xludf.DUMMYFUNCTION("""COMPUTED_VALUE"""),"PERALIHAN HAK")</f>
        <v>PERALIHAN HAK</v>
      </c>
      <c r="H1931" s="42">
        <f t="shared" si="1"/>
        <v>887</v>
      </c>
    </row>
    <row r="1932" ht="22.5" customHeight="1">
      <c r="B1932" s="42" t="str">
        <f>IFERROR(__xludf.DUMMYFUNCTION("""COMPUTED_VALUE"""),"K/6/060225/3")</f>
        <v>K/6/060225/3</v>
      </c>
      <c r="C1932" s="42" t="str">
        <f>IFERROR(__xludf.DUMMYFUNCTION("""COMPUTED_VALUE"""),"M.14498/RAJABASA")</f>
        <v>M.14498/RAJABASA</v>
      </c>
      <c r="D1932" s="42"/>
      <c r="E1932" s="42" t="str">
        <f>IFERROR(__xludf.DUMMYFUNCTION("""COMPUTED_VALUE"""),"DISERAHKAN")</f>
        <v>DISERAHKAN</v>
      </c>
      <c r="F1932" s="48">
        <f>IFERROR(__xludf.DUMMYFUNCTION("""COMPUTED_VALUE"""),45720.5494178125)</f>
        <v>45720.54942</v>
      </c>
      <c r="G1932" s="42" t="str">
        <f>IFERROR(__xludf.DUMMYFUNCTION("""COMPUTED_VALUE"""),"PERALIHAN HAK ")</f>
        <v>PERALIHAN HAK </v>
      </c>
      <c r="H1932" s="42">
        <f t="shared" si="1"/>
        <v>888</v>
      </c>
    </row>
    <row r="1933" ht="22.5" customHeight="1">
      <c r="B1933" s="42" t="str">
        <f>IFERROR(__xludf.DUMMYFUNCTION("""COMPUTED_VALUE"""),"K/7/060225/4")</f>
        <v>K/7/060225/4</v>
      </c>
      <c r="C1933" s="42" t="str">
        <f>IFERROR(__xludf.DUMMYFUNCTION("""COMPUTED_VALUE"""),"M.3208/LABUHAN DALAM")</f>
        <v>M.3208/LABUHAN DALAM</v>
      </c>
      <c r="D1933" s="42"/>
      <c r="E1933" s="42" t="str">
        <f>IFERROR(__xludf.DUMMYFUNCTION("""COMPUTED_VALUE"""),"DISERAHKAN")</f>
        <v>DISERAHKAN</v>
      </c>
      <c r="F1933" s="48">
        <f>IFERROR(__xludf.DUMMYFUNCTION("""COMPUTED_VALUE"""),45705.578776168986)</f>
        <v>45705.57878</v>
      </c>
      <c r="G1933" s="42" t="str">
        <f>IFERROR(__xludf.DUMMYFUNCTION("""COMPUTED_VALUE"""),"PERALIHAN HAK")</f>
        <v>PERALIHAN HAK</v>
      </c>
      <c r="H1933" s="42">
        <f t="shared" si="1"/>
        <v>889</v>
      </c>
    </row>
    <row r="1934" ht="22.5" customHeight="1">
      <c r="B1934" s="42" t="str">
        <f>IFERROR(__xludf.DUMMYFUNCTION("""COMPUTED_VALUE"""),"K/8/060225/5")</f>
        <v>K/8/060225/5</v>
      </c>
      <c r="C1934" s="42" t="str">
        <f>IFERROR(__xludf.DUMMYFUNCTION("""COMPUTED_VALUE"""),"NIBEL M 2990/WAY KANDIS")</f>
        <v>NIBEL M 2990/WAY KANDIS</v>
      </c>
      <c r="D1934" s="42"/>
      <c r="E1934" s="42"/>
      <c r="F1934" s="48" t="str">
        <f>IFERROR(__xludf.DUMMYFUNCTION("""COMPUTED_VALUE"""),"")</f>
        <v/>
      </c>
      <c r="G1934" s="42" t="str">
        <f>IFERROR(__xludf.DUMMYFUNCTION("""COMPUTED_VALUE"""),"PERALIHAN HAK")</f>
        <v>PERALIHAN HAK</v>
      </c>
      <c r="H1934" s="42">
        <f t="shared" si="1"/>
        <v>889</v>
      </c>
    </row>
    <row r="1935" ht="22.5" customHeight="1">
      <c r="B1935" s="42" t="str">
        <f>IFERROR(__xludf.DUMMYFUNCTION("""COMPUTED_VALUE"""),"L/11/060225/1")</f>
        <v>L/11/060225/1</v>
      </c>
      <c r="C1935" s="42" t="str">
        <f>IFERROR(__xludf.DUMMYFUNCTION("""COMPUTED_VALUE"""),"HM 11091/KEDATON")</f>
        <v>HM 11091/KEDATON</v>
      </c>
      <c r="D1935" s="42"/>
      <c r="E1935" s="42" t="str">
        <f>IFERROR(__xludf.DUMMYFUNCTION("""COMPUTED_VALUE"""),"DISERAHKAN")</f>
        <v>DISERAHKAN</v>
      </c>
      <c r="F1935" s="48">
        <f>IFERROR(__xludf.DUMMYFUNCTION("""COMPUTED_VALUE"""),45719.636180416666)</f>
        <v>45719.63618</v>
      </c>
      <c r="G1935" s="42" t="str">
        <f>IFERROR(__xludf.DUMMYFUNCTION("""COMPUTED_VALUE"""),"ROYA")</f>
        <v>ROYA</v>
      </c>
      <c r="H1935" s="42">
        <f t="shared" si="1"/>
        <v>890</v>
      </c>
    </row>
    <row r="1936" ht="22.5" customHeight="1">
      <c r="B1936" s="42" t="str">
        <f>IFERROR(__xludf.DUMMYFUNCTION("""COMPUTED_VALUE"""),"K/9/060225/1")</f>
        <v>K/9/060225/1</v>
      </c>
      <c r="C1936" s="42" t="str">
        <f>IFERROR(__xludf.DUMMYFUNCTION("""COMPUTED_VALUE"""),"M. 12426/ Sukarame I")</f>
        <v>M. 12426/ Sukarame I</v>
      </c>
      <c r="D1936" s="42"/>
      <c r="E1936" s="42" t="str">
        <f>IFERROR(__xludf.DUMMYFUNCTION("""COMPUTED_VALUE"""),"PROSES")</f>
        <v>PROSES</v>
      </c>
      <c r="F1936" s="48" t="str">
        <f>IFERROR(__xludf.DUMMYFUNCTION("""COMPUTED_VALUE"""),"")</f>
        <v/>
      </c>
      <c r="G1936" s="42" t="str">
        <f>IFERROR(__xludf.DUMMYFUNCTION("""COMPUTED_VALUE"""),"BN JUAL BELI")</f>
        <v>BN JUAL BELI</v>
      </c>
      <c r="H1936" s="42">
        <f t="shared" si="1"/>
        <v>890</v>
      </c>
    </row>
    <row r="1937" ht="22.5" customHeight="1">
      <c r="B1937" s="42" t="str">
        <f>IFERROR(__xludf.DUMMYFUNCTION("""COMPUTED_VALUE"""),"K/10/060225/2")</f>
        <v>K/10/060225/2</v>
      </c>
      <c r="C1937" s="42" t="str">
        <f>IFERROR(__xludf.DUMMYFUNCTION("""COMPUTED_VALUE"""),"M. 1805/ Tanjung Seneng")</f>
        <v>M. 1805/ Tanjung Seneng</v>
      </c>
      <c r="D1937" s="42"/>
      <c r="E1937" s="42" t="str">
        <f>IFERROR(__xludf.DUMMYFUNCTION("""COMPUTED_VALUE"""),"DISERAHKAN")</f>
        <v>DISERAHKAN</v>
      </c>
      <c r="F1937" s="48">
        <f>IFERROR(__xludf.DUMMYFUNCTION("""COMPUTED_VALUE"""),45702.432323981484)</f>
        <v>45702.43232</v>
      </c>
      <c r="G1937" s="42" t="str">
        <f>IFERROR(__xludf.DUMMYFUNCTION("""COMPUTED_VALUE"""),"BN JUAL BELI")</f>
        <v>BN JUAL BELI</v>
      </c>
      <c r="H1937" s="42">
        <f t="shared" si="1"/>
        <v>891</v>
      </c>
    </row>
    <row r="1938" ht="22.5" customHeight="1">
      <c r="B1938" s="42" t="str">
        <f>IFERROR(__xludf.DUMMYFUNCTION("""COMPUTED_VALUE"""),"L/12/060225/1")</f>
        <v>L/12/060225/1</v>
      </c>
      <c r="C1938" s="42" t="str">
        <f>IFERROR(__xludf.DUMMYFUNCTION("""COMPUTED_VALUE"""),"HM 682/SUMUR PUTRI")</f>
        <v>HM 682/SUMUR PUTRI</v>
      </c>
      <c r="D1938" s="42"/>
      <c r="E1938" s="42" t="str">
        <f>IFERROR(__xludf.DUMMYFUNCTION("""COMPUTED_VALUE"""),"DISERAHKAN")</f>
        <v>DISERAHKAN</v>
      </c>
      <c r="F1938" s="48">
        <f>IFERROR(__xludf.DUMMYFUNCTION("""COMPUTED_VALUE"""),45720.565310624996)</f>
        <v>45720.56531</v>
      </c>
      <c r="G1938" s="42" t="str">
        <f>IFERROR(__xludf.DUMMYFUNCTION("""COMPUTED_VALUE"""),"ROYA")</f>
        <v>ROYA</v>
      </c>
      <c r="H1938" s="42">
        <f t="shared" si="1"/>
        <v>892</v>
      </c>
    </row>
    <row r="1939" ht="22.5" customHeight="1">
      <c r="B1939" s="42" t="str">
        <f>IFERROR(__xludf.DUMMYFUNCTION("""COMPUTED_VALUE"""),"K/13/060225/1")</f>
        <v>K/13/060225/1</v>
      </c>
      <c r="C1939" s="42" t="str">
        <f>IFERROR(__xludf.DUMMYFUNCTION("""COMPUTED_VALUE"""),"NIBEL M 13206/GEDONG MENENG")</f>
        <v>NIBEL M 13206/GEDONG MENENG</v>
      </c>
      <c r="D1939" s="42"/>
      <c r="E1939" s="42"/>
      <c r="F1939" s="48" t="str">
        <f>IFERROR(__xludf.DUMMYFUNCTION("""COMPUTED_VALUE"""),"")</f>
        <v/>
      </c>
      <c r="G1939" s="42" t="str">
        <f>IFERROR(__xludf.DUMMYFUNCTION("""COMPUTED_VALUE"""),"PERALIHAN HAK ")</f>
        <v>PERALIHAN HAK </v>
      </c>
      <c r="H1939" s="42">
        <f t="shared" si="1"/>
        <v>892</v>
      </c>
    </row>
    <row r="1940" ht="22.5" customHeight="1">
      <c r="B1940" s="42" t="str">
        <f>IFERROR(__xludf.DUMMYFUNCTION("""COMPUTED_VALUE"""),"K/14/060225/2")</f>
        <v>K/14/060225/2</v>
      </c>
      <c r="C1940" s="42" t="str">
        <f>IFERROR(__xludf.DUMMYFUNCTION("""COMPUTED_VALUE"""),"NIBEL M 3452/GEDONG MENENG")</f>
        <v>NIBEL M 3452/GEDONG MENENG</v>
      </c>
      <c r="D1940" s="42"/>
      <c r="E1940" s="42"/>
      <c r="F1940" s="48" t="str">
        <f>IFERROR(__xludf.DUMMYFUNCTION("""COMPUTED_VALUE"""),"")</f>
        <v/>
      </c>
      <c r="G1940" s="42" t="str">
        <f>IFERROR(__xludf.DUMMYFUNCTION("""COMPUTED_VALUE"""),"PERALIHAN HAK ")</f>
        <v>PERALIHAN HAK </v>
      </c>
      <c r="H1940" s="42">
        <f t="shared" si="1"/>
        <v>892</v>
      </c>
    </row>
    <row r="1941" ht="22.5" customHeight="1">
      <c r="B1941" s="42" t="str">
        <f>IFERROR(__xludf.DUMMYFUNCTION("""COMPUTED_VALUE"""),"L/15/060225/1")</f>
        <v>L/15/060225/1</v>
      </c>
      <c r="C1941" s="42" t="str">
        <f>IFERROR(__xludf.DUMMYFUNCTION("""COMPUTED_VALUE"""),"NIB 16793/SUKABUMI")</f>
        <v>NIB 16793/SUKABUMI</v>
      </c>
      <c r="D1941" s="42"/>
      <c r="E1941" s="42"/>
      <c r="F1941" s="48" t="str">
        <f>IFERROR(__xludf.DUMMYFUNCTION("""COMPUTED_VALUE"""),"")</f>
        <v/>
      </c>
      <c r="G1941" s="42" t="str">
        <f>IFERROR(__xludf.DUMMYFUNCTION("""COMPUTED_VALUE"""),"PH")</f>
        <v>PH</v>
      </c>
      <c r="H1941" s="42">
        <f t="shared" si="1"/>
        <v>892</v>
      </c>
    </row>
    <row r="1942" ht="22.5" customHeight="1">
      <c r="B1942" s="42" t="str">
        <f>IFERROR(__xludf.DUMMYFUNCTION("""COMPUTED_VALUE"""),"K/16/060225/1")</f>
        <v>K/16/060225/1</v>
      </c>
      <c r="C1942" s="42" t="str">
        <f>IFERROR(__xludf.DUMMYFUNCTION("""COMPUTED_VALUE"""),"NIBEL M. 2202/PINANG JAYA")</f>
        <v>NIBEL M. 2202/PINANG JAYA</v>
      </c>
      <c r="D1942" s="42"/>
      <c r="E1942" s="42"/>
      <c r="F1942" s="48" t="str">
        <f>IFERROR(__xludf.DUMMYFUNCTION("""COMPUTED_VALUE"""),"")</f>
        <v/>
      </c>
      <c r="G1942" s="42" t="str">
        <f>IFERROR(__xludf.DUMMYFUNCTION("""COMPUTED_VALUE"""),"PTPGT")</f>
        <v>PTPGT</v>
      </c>
      <c r="H1942" s="42">
        <f t="shared" si="1"/>
        <v>892</v>
      </c>
    </row>
    <row r="1943" ht="22.5" customHeight="1">
      <c r="B1943" s="42" t="str">
        <f>IFERROR(__xludf.DUMMYFUNCTION("""COMPUTED_VALUE"""),"K/17/060225/1")</f>
        <v>K/17/060225/1</v>
      </c>
      <c r="C1943" s="42" t="str">
        <f>IFERROR(__xludf.DUMMYFUNCTION("""COMPUTED_VALUE"""),"B.750/SUMUR PUTRI")</f>
        <v>B.750/SUMUR PUTRI</v>
      </c>
      <c r="D1943" s="42"/>
      <c r="E1943" s="42" t="str">
        <f>IFERROR(__xludf.DUMMYFUNCTION("""COMPUTED_VALUE"""),"DISERAHKAN")</f>
        <v>DISERAHKAN</v>
      </c>
      <c r="F1943" s="48">
        <f>IFERROR(__xludf.DUMMYFUNCTION("""COMPUTED_VALUE"""),45702.42664232639)</f>
        <v>45702.42664</v>
      </c>
      <c r="G1943" s="42" t="str">
        <f>IFERROR(__xludf.DUMMYFUNCTION("""COMPUTED_VALUE"""),"JUAL BELI")</f>
        <v>JUAL BELI</v>
      </c>
      <c r="H1943" s="42">
        <f t="shared" si="1"/>
        <v>893</v>
      </c>
    </row>
    <row r="1944" ht="22.5" customHeight="1">
      <c r="B1944" s="42" t="str">
        <f>IFERROR(__xludf.DUMMYFUNCTION("""COMPUTED_VALUE"""),"L/18/060225/1")</f>
        <v>L/18/060225/1</v>
      </c>
      <c r="C1944" s="42" t="str">
        <f>IFERROR(__xludf.DUMMYFUNCTION("""COMPUTED_VALUE"""),"NIB 16098/SUKARAME")</f>
        <v>NIB 16098/SUKARAME</v>
      </c>
      <c r="D1944" s="42"/>
      <c r="E1944" s="42"/>
      <c r="F1944" s="48" t="str">
        <f>IFERROR(__xludf.DUMMYFUNCTION("""COMPUTED_VALUE"""),"")</f>
        <v/>
      </c>
      <c r="G1944" s="42" t="str">
        <f>IFERROR(__xludf.DUMMYFUNCTION("""COMPUTED_VALUE"""),"PH")</f>
        <v>PH</v>
      </c>
      <c r="H1944" s="42">
        <f t="shared" si="1"/>
        <v>893</v>
      </c>
    </row>
    <row r="1945" ht="22.5" customHeight="1">
      <c r="B1945" s="42" t="str">
        <f>IFERROR(__xludf.DUMMYFUNCTION("""COMPUTED_VALUE"""),"K/19/060225/1")</f>
        <v>K/19/060225/1</v>
      </c>
      <c r="C1945" s="42" t="str">
        <f>IFERROR(__xludf.DUMMYFUNCTION("""COMPUTED_VALUE"""),"NIbel 18132/ Sukamaju")</f>
        <v>NIbel 18132/ Sukamaju</v>
      </c>
      <c r="D1945" s="42"/>
      <c r="E1945" s="42"/>
      <c r="F1945" s="48" t="str">
        <f>IFERROR(__xludf.DUMMYFUNCTION("""COMPUTED_VALUE"""),"")</f>
        <v/>
      </c>
      <c r="G1945" s="42" t="str">
        <f>IFERROR(__xludf.DUMMYFUNCTION("""COMPUTED_VALUE"""),"BN LELANG")</f>
        <v>BN LELANG</v>
      </c>
      <c r="H1945" s="42">
        <f t="shared" si="1"/>
        <v>893</v>
      </c>
    </row>
    <row r="1946" ht="22.5" customHeight="1">
      <c r="B1946" s="42" t="str">
        <f>IFERROR(__xludf.DUMMYFUNCTION("""COMPUTED_VALUE"""),"K/20/060225/2")</f>
        <v>K/20/060225/2</v>
      </c>
      <c r="C1946" s="42" t="str">
        <f>IFERROR(__xludf.DUMMYFUNCTION("""COMPUTED_VALUE"""),"Nibel 18131/ Sumberrejo")</f>
        <v>Nibel 18131/ Sumberrejo</v>
      </c>
      <c r="D1946" s="42"/>
      <c r="E1946" s="42"/>
      <c r="F1946" s="48" t="str">
        <f>IFERROR(__xludf.DUMMYFUNCTION("""COMPUTED_VALUE"""),"")</f>
        <v/>
      </c>
      <c r="G1946" s="42" t="str">
        <f>IFERROR(__xludf.DUMMYFUNCTION("""COMPUTED_VALUE"""),"BN LELANG")</f>
        <v>BN LELANG</v>
      </c>
      <c r="H1946" s="42">
        <f t="shared" si="1"/>
        <v>893</v>
      </c>
    </row>
    <row r="1947" ht="22.5" customHeight="1">
      <c r="B1947" s="42" t="str">
        <f>IFERROR(__xludf.DUMMYFUNCTION("""COMPUTED_VALUE"""),"K/21/060225/1")</f>
        <v>K/21/060225/1</v>
      </c>
      <c r="C1947" s="42" t="str">
        <f>IFERROR(__xludf.DUMMYFUNCTION("""COMPUTED_VALUE"""),"B.195/CAMPANG RAYA")</f>
        <v>B.195/CAMPANG RAYA</v>
      </c>
      <c r="D1947" s="42"/>
      <c r="E1947" s="42"/>
      <c r="F1947" s="48" t="str">
        <f>IFERROR(__xludf.DUMMYFUNCTION("""COMPUTED_VALUE"""),"")</f>
        <v/>
      </c>
      <c r="G1947" s="42" t="str">
        <f>IFERROR(__xludf.DUMMYFUNCTION("""COMPUTED_VALUE"""),"PERUBAHAN HAK")</f>
        <v>PERUBAHAN HAK</v>
      </c>
      <c r="H1947" s="42">
        <f t="shared" si="1"/>
        <v>893</v>
      </c>
    </row>
    <row r="1948" ht="22.5" customHeight="1">
      <c r="B1948" s="42" t="str">
        <f>IFERROR(__xludf.DUMMYFUNCTION("""COMPUTED_VALUE"""),"L/27/060225/1")</f>
        <v>L/27/060225/1</v>
      </c>
      <c r="C1948" s="42" t="str">
        <f>IFERROR(__xludf.DUMMYFUNCTION("""COMPUTED_VALUE"""),"HM 261/PERWATA")</f>
        <v>HM 261/PERWATA</v>
      </c>
      <c r="D1948" s="42"/>
      <c r="E1948" s="42" t="str">
        <f>IFERROR(__xludf.DUMMYFUNCTION("""COMPUTED_VALUE"""),"DISERAHKAN")</f>
        <v>DISERAHKAN</v>
      </c>
      <c r="F1948" s="48">
        <f>IFERROR(__xludf.DUMMYFUNCTION("""COMPUTED_VALUE"""),45722.498580590276)</f>
        <v>45722.49858</v>
      </c>
      <c r="G1948" s="42" t="str">
        <f>IFERROR(__xludf.DUMMYFUNCTION("""COMPUTED_VALUE"""),"ROYA")</f>
        <v>ROYA</v>
      </c>
      <c r="H1948" s="42">
        <f t="shared" si="1"/>
        <v>894</v>
      </c>
    </row>
    <row r="1949" ht="22.5" customHeight="1">
      <c r="B1949" s="42" t="str">
        <f>IFERROR(__xludf.DUMMYFUNCTION("""COMPUTED_VALUE"""),"K/28/060225/1")</f>
        <v>K/28/060225/1</v>
      </c>
      <c r="C1949" s="42" t="str">
        <f>IFERROR(__xludf.DUMMYFUNCTION("""COMPUTED_VALUE"""),"M.578/KUPANG RAYA")</f>
        <v>M.578/KUPANG RAYA</v>
      </c>
      <c r="D1949" s="42"/>
      <c r="E1949" s="42" t="str">
        <f>IFERROR(__xludf.DUMMYFUNCTION("""COMPUTED_VALUE"""),"DISERAHKAN")</f>
        <v>DISERAHKAN</v>
      </c>
      <c r="F1949" s="48">
        <f>IFERROR(__xludf.DUMMYFUNCTION("""COMPUTED_VALUE"""),45707.67095885417)</f>
        <v>45707.67096</v>
      </c>
      <c r="G1949" s="42" t="str">
        <f>IFERROR(__xludf.DUMMYFUNCTION("""COMPUTED_VALUE"""),"BN JUAL BELI")</f>
        <v>BN JUAL BELI</v>
      </c>
      <c r="H1949" s="42">
        <f t="shared" si="1"/>
        <v>895</v>
      </c>
    </row>
    <row r="1950" ht="22.5" customHeight="1">
      <c r="B1950" s="42" t="str">
        <f>IFERROR(__xludf.DUMMYFUNCTION("""COMPUTED_VALUE"""),"K/22/060225/1")</f>
        <v>K/22/060225/1</v>
      </c>
      <c r="C1950" s="42" t="str">
        <f>IFERROR(__xludf.DUMMYFUNCTION("""COMPUTED_VALUE"""),"Nibel 10390/ Beringin Raya")</f>
        <v>Nibel 10390/ Beringin Raya</v>
      </c>
      <c r="D1950" s="42"/>
      <c r="E1950" s="42"/>
      <c r="F1950" s="48" t="str">
        <f>IFERROR(__xludf.DUMMYFUNCTION("""COMPUTED_VALUE"""),"")</f>
        <v/>
      </c>
      <c r="G1950" s="42" t="str">
        <f>IFERROR(__xludf.DUMMYFUNCTION("""COMPUTED_VALUE"""),"BN JUAL BELI")</f>
        <v>BN JUAL BELI</v>
      </c>
      <c r="H1950" s="42">
        <f t="shared" si="1"/>
        <v>895</v>
      </c>
    </row>
    <row r="1951" ht="22.5" customHeight="1">
      <c r="B1951" s="42" t="str">
        <f>IFERROR(__xludf.DUMMYFUNCTION("""COMPUTED_VALUE"""),"K/29/060225/1")</f>
        <v>K/29/060225/1</v>
      </c>
      <c r="C1951" s="42" t="str">
        <f>IFERROR(__xludf.DUMMYFUNCTION("""COMPUTED_VALUE"""),"M.58/LABUHAN RATU RAYA ")</f>
        <v>M.58/LABUHAN RATU RAYA </v>
      </c>
      <c r="D1951" s="42"/>
      <c r="E1951" s="42"/>
      <c r="F1951" s="48" t="str">
        <f>IFERROR(__xludf.DUMMYFUNCTION("""COMPUTED_VALUE"""),"")</f>
        <v/>
      </c>
      <c r="G1951" s="42" t="str">
        <f>IFERROR(__xludf.DUMMYFUNCTION("""COMPUTED_VALUE"""),"GANTI BLANGKO")</f>
        <v>GANTI BLANGKO</v>
      </c>
      <c r="H1951" s="42">
        <f t="shared" si="1"/>
        <v>895</v>
      </c>
    </row>
    <row r="1952" ht="22.5" customHeight="1">
      <c r="B1952" s="42" t="str">
        <f>IFERROR(__xludf.DUMMYFUNCTION("""COMPUTED_VALUE"""),"K/23/060225/2")</f>
        <v>K/23/060225/2</v>
      </c>
      <c r="C1952" s="42" t="str">
        <f>IFERROR(__xludf.DUMMYFUNCTION("""COMPUTED_VALUE"""),"Nibel 1073/ Jagabaya III")</f>
        <v>Nibel 1073/ Jagabaya III</v>
      </c>
      <c r="D1952" s="42"/>
      <c r="E1952" s="42"/>
      <c r="F1952" s="48" t="str">
        <f>IFERROR(__xludf.DUMMYFUNCTION("""COMPUTED_VALUE"""),"")</f>
        <v/>
      </c>
      <c r="G1952" s="42" t="str">
        <f>IFERROR(__xludf.DUMMYFUNCTION("""COMPUTED_VALUE"""),"BN JUAL BELI")</f>
        <v>BN JUAL BELI</v>
      </c>
      <c r="H1952" s="42">
        <f t="shared" si="1"/>
        <v>895</v>
      </c>
    </row>
    <row r="1953" ht="22.5" customHeight="1">
      <c r="B1953" s="42" t="str">
        <f>IFERROR(__xludf.DUMMYFUNCTION("""COMPUTED_VALUE"""),"K/24/060225/3")</f>
        <v>K/24/060225/3</v>
      </c>
      <c r="C1953" s="42" t="str">
        <f>IFERROR(__xludf.DUMMYFUNCTION("""COMPUTED_VALUE"""),"M. 2072/ Labuhan Rau Raya")</f>
        <v>M. 2072/ Labuhan Rau Raya</v>
      </c>
      <c r="D1953" s="42"/>
      <c r="E1953" s="42" t="str">
        <f>IFERROR(__xludf.DUMMYFUNCTION("""COMPUTED_VALUE"""),"DISERAHKAN")</f>
        <v>DISERAHKAN</v>
      </c>
      <c r="F1953" s="48">
        <f>IFERROR(__xludf.DUMMYFUNCTION("""COMPUTED_VALUE"""),45706.45037810185)</f>
        <v>45706.45038</v>
      </c>
      <c r="G1953" s="42" t="str">
        <f>IFERROR(__xludf.DUMMYFUNCTION("""COMPUTED_VALUE"""),"BN JUAL BELI")</f>
        <v>BN JUAL BELI</v>
      </c>
      <c r="H1953" s="42">
        <f t="shared" si="1"/>
        <v>896</v>
      </c>
    </row>
    <row r="1954" ht="22.5" customHeight="1">
      <c r="B1954" s="42" t="str">
        <f>IFERROR(__xludf.DUMMYFUNCTION("""COMPUTED_VALUE"""),"K/25/060225/4")</f>
        <v>K/25/060225/4</v>
      </c>
      <c r="C1954" s="42" t="str">
        <f>IFERROR(__xludf.DUMMYFUNCTION("""COMPUTED_VALUE"""),"M. 11823/ Sukarame I")</f>
        <v>M. 11823/ Sukarame I</v>
      </c>
      <c r="D1954" s="42"/>
      <c r="E1954" s="42" t="str">
        <f>IFERROR(__xludf.DUMMYFUNCTION("""COMPUTED_VALUE"""),"DISERAHKAN")</f>
        <v>DISERAHKAN</v>
      </c>
      <c r="F1954" s="48">
        <f>IFERROR(__xludf.DUMMYFUNCTION("""COMPUTED_VALUE"""),45706.45453479167)</f>
        <v>45706.45453</v>
      </c>
      <c r="G1954" s="42" t="str">
        <f>IFERROR(__xludf.DUMMYFUNCTION("""COMPUTED_VALUE"""),"TANJUNG KARANG")</f>
        <v>TANJUNG KARANG</v>
      </c>
      <c r="H1954" s="42">
        <f t="shared" si="1"/>
        <v>897</v>
      </c>
    </row>
    <row r="1955" ht="22.5" customHeight="1">
      <c r="B1955" s="42" t="str">
        <f>IFERROR(__xludf.DUMMYFUNCTION("""COMPUTED_VALUE"""),"K/26/060225/5")</f>
        <v>K/26/060225/5</v>
      </c>
      <c r="C1955" s="42" t="str">
        <f>IFERROR(__xludf.DUMMYFUNCTION("""COMPUTED_VALUE"""),"M. 19502/ Sukarame")</f>
        <v>M. 19502/ Sukarame</v>
      </c>
      <c r="D1955" s="42"/>
      <c r="E1955" s="42" t="str">
        <f>IFERROR(__xludf.DUMMYFUNCTION("""COMPUTED_VALUE"""),"DISERAHKAN")</f>
        <v>DISERAHKAN</v>
      </c>
      <c r="F1955" s="48">
        <f>IFERROR(__xludf.DUMMYFUNCTION("""COMPUTED_VALUE"""),45706.45512315972)</f>
        <v>45706.45512</v>
      </c>
      <c r="G1955" s="42" t="str">
        <f>IFERROR(__xludf.DUMMYFUNCTION("""COMPUTED_VALUE"""),"BN JUAL BELI")</f>
        <v>BN JUAL BELI</v>
      </c>
      <c r="H1955" s="42">
        <f t="shared" si="1"/>
        <v>898</v>
      </c>
    </row>
    <row r="1956" ht="22.5" customHeight="1">
      <c r="B1956" s="42" t="str">
        <f>IFERROR(__xludf.DUMMYFUNCTION("""COMPUTED_VALUE"""),"K/30/060225/1")</f>
        <v>K/30/060225/1</v>
      </c>
      <c r="C1956" s="42" t="str">
        <f>IFERROR(__xludf.DUMMYFUNCTION("""COMPUTED_VALUE"""),"M.3493/WAY KANDIS")</f>
        <v>M.3493/WAY KANDIS</v>
      </c>
      <c r="D1956" s="42"/>
      <c r="E1956" s="42"/>
      <c r="F1956" s="48" t="str">
        <f>IFERROR(__xludf.DUMMYFUNCTION("""COMPUTED_VALUE"""),"")</f>
        <v/>
      </c>
      <c r="G1956" s="42" t="str">
        <f>IFERROR(__xludf.DUMMYFUNCTION("""COMPUTED_VALUE"""),"PTPGT")</f>
        <v>PTPGT</v>
      </c>
      <c r="H1956" s="42">
        <f t="shared" si="1"/>
        <v>898</v>
      </c>
    </row>
    <row r="1957" ht="22.5" customHeight="1">
      <c r="B1957" s="42" t="str">
        <f>IFERROR(__xludf.DUMMYFUNCTION("""COMPUTED_VALUE"""),"K/32/060225/1")</f>
        <v>K/32/060225/1</v>
      </c>
      <c r="C1957" s="42" t="str">
        <f>IFERROR(__xludf.DUMMYFUNCTION("""COMPUTED_VALUE"""),"NIBEL M 939/KALI BALAU KENCANA")</f>
        <v>NIBEL M 939/KALI BALAU KENCANA</v>
      </c>
      <c r="D1957" s="42"/>
      <c r="E1957" s="42"/>
      <c r="F1957" s="48" t="str">
        <f>IFERROR(__xludf.DUMMYFUNCTION("""COMPUTED_VALUE"""),"")</f>
        <v/>
      </c>
      <c r="G1957" s="42" t="str">
        <f>IFERROR(__xludf.DUMMYFUNCTION("""COMPUTED_VALUE"""),"JUAL BELI")</f>
        <v>JUAL BELI</v>
      </c>
      <c r="H1957" s="42">
        <f t="shared" si="1"/>
        <v>898</v>
      </c>
    </row>
    <row r="1958" ht="22.5" customHeight="1">
      <c r="B1958" s="42" t="str">
        <f>IFERROR(__xludf.DUMMYFUNCTION("""COMPUTED_VALUE"""),"K/33/060225/1")</f>
        <v>K/33/060225/1</v>
      </c>
      <c r="C1958" s="42" t="str">
        <f>IFERROR(__xludf.DUMMYFUNCTION("""COMPUTED_VALUE"""),"M. 1086/ Kupang Teba")</f>
        <v>M. 1086/ Kupang Teba</v>
      </c>
      <c r="D1958" s="42"/>
      <c r="E1958" s="42" t="str">
        <f>IFERROR(__xludf.DUMMYFUNCTION("""COMPUTED_VALUE"""),"DISERAHKAN")</f>
        <v>DISERAHKAN</v>
      </c>
      <c r="F1958" s="48">
        <f>IFERROR(__xludf.DUMMYFUNCTION("""COMPUTED_VALUE"""),45730.60448256944)</f>
        <v>45730.60448</v>
      </c>
      <c r="G1958" s="42" t="str">
        <f>IFERROR(__xludf.DUMMYFUNCTION("""COMPUTED_VALUE"""),"ROYA")</f>
        <v>ROYA</v>
      </c>
      <c r="H1958" s="42">
        <f t="shared" si="1"/>
        <v>899</v>
      </c>
    </row>
    <row r="1959" ht="22.5" customHeight="1">
      <c r="B1959" s="42" t="str">
        <f>IFERROR(__xludf.DUMMYFUNCTION("""COMPUTED_VALUE"""),"K/31/060225/1")</f>
        <v>K/31/060225/1</v>
      </c>
      <c r="C1959" s="42" t="str">
        <f>IFERROR(__xludf.DUMMYFUNCTION("""COMPUTED_VALUE"""),"M.266/CAMPANG JAYA")</f>
        <v>M.266/CAMPANG JAYA</v>
      </c>
      <c r="D1959" s="42"/>
      <c r="E1959" s="42" t="str">
        <f>IFERROR(__xludf.DUMMYFUNCTION("""COMPUTED_VALUE"""),"DISERAHKAN")</f>
        <v>DISERAHKAN</v>
      </c>
      <c r="F1959" s="48">
        <f>IFERROR(__xludf.DUMMYFUNCTION("""COMPUTED_VALUE"""),45707.67301721065)</f>
        <v>45707.67302</v>
      </c>
      <c r="G1959" s="42" t="str">
        <f>IFERROR(__xludf.DUMMYFUNCTION("""COMPUTED_VALUE"""),"BN JUAL BELI")</f>
        <v>BN JUAL BELI</v>
      </c>
      <c r="H1959" s="42">
        <f t="shared" si="1"/>
        <v>900</v>
      </c>
    </row>
    <row r="1960" ht="22.5" customHeight="1">
      <c r="B1960" s="42" t="str">
        <f>IFERROR(__xludf.DUMMYFUNCTION("""COMPUTED_VALUE"""),"K/34/060225/1")</f>
        <v>K/34/060225/1</v>
      </c>
      <c r="C1960" s="42" t="str">
        <f>IFERROR(__xludf.DUMMYFUNCTION("""COMPUTED_VALUE"""),"M. 4825/ Langkapura")</f>
        <v>M. 4825/ Langkapura</v>
      </c>
      <c r="D1960" s="42"/>
      <c r="E1960" s="42"/>
      <c r="F1960" s="48" t="str">
        <f>IFERROR(__xludf.DUMMYFUNCTION("""COMPUTED_VALUE"""),"")</f>
        <v/>
      </c>
      <c r="G1960" s="42" t="str">
        <f>IFERROR(__xludf.DUMMYFUNCTION("""COMPUTED_VALUE"""),"PTPGT PEMECAHAN")</f>
        <v>PTPGT PEMECAHAN</v>
      </c>
      <c r="H1960" s="42">
        <f t="shared" si="1"/>
        <v>900</v>
      </c>
    </row>
    <row r="1961" ht="22.5" customHeight="1">
      <c r="B1961" s="42" t="str">
        <f>IFERROR(__xludf.DUMMYFUNCTION("""COMPUTED_VALUE"""),"K/35/060225/1")</f>
        <v>K/35/060225/1</v>
      </c>
      <c r="C1961" s="42" t="str">
        <f>IFERROR(__xludf.DUMMYFUNCTION("""COMPUTED_VALUE"""),"M. 3097/ Tanjung Seneng")</f>
        <v>M. 3097/ Tanjung Seneng</v>
      </c>
      <c r="D1961" s="42"/>
      <c r="E1961" s="42" t="str">
        <f>IFERROR(__xludf.DUMMYFUNCTION("""COMPUTED_VALUE"""),"DISERAHKAN")</f>
        <v>DISERAHKAN</v>
      </c>
      <c r="F1961" s="48">
        <f>IFERROR(__xludf.DUMMYFUNCTION("""COMPUTED_VALUE"""),45719.63947072916)</f>
        <v>45719.63947</v>
      </c>
      <c r="G1961" s="42" t="str">
        <f>IFERROR(__xludf.DUMMYFUNCTION("""COMPUTED_VALUE"""),"ROYA")</f>
        <v>ROYA</v>
      </c>
      <c r="H1961" s="42">
        <f t="shared" si="1"/>
        <v>901</v>
      </c>
    </row>
    <row r="1962" ht="22.5" customHeight="1">
      <c r="B1962" s="42" t="str">
        <f>IFERROR(__xludf.DUMMYFUNCTION("""COMPUTED_VALUE"""),"K/36/060225/2")</f>
        <v>K/36/060225/2</v>
      </c>
      <c r="C1962" s="42" t="str">
        <f>IFERROR(__xludf.DUMMYFUNCTION("""COMPUTED_VALUE"""),"M. 1742/ sukarame baru ")</f>
        <v>M. 1742/ sukarame baru </v>
      </c>
      <c r="D1962" s="42"/>
      <c r="E1962" s="42" t="str">
        <f>IFERROR(__xludf.DUMMYFUNCTION("""COMPUTED_VALUE"""),"DISERAHKAN")</f>
        <v>DISERAHKAN</v>
      </c>
      <c r="F1962" s="48">
        <f>IFERROR(__xludf.DUMMYFUNCTION("""COMPUTED_VALUE"""),45758.481172280095)</f>
        <v>45758.48117</v>
      </c>
      <c r="G1962" s="42" t="str">
        <f>IFERROR(__xludf.DUMMYFUNCTION("""COMPUTED_VALUE"""),"BN JUAL BELI")</f>
        <v>BN JUAL BELI</v>
      </c>
      <c r="H1962" s="42">
        <f t="shared" si="1"/>
        <v>902</v>
      </c>
    </row>
    <row r="1963" ht="22.5" customHeight="1">
      <c r="B1963" s="42" t="str">
        <f>IFERROR(__xludf.DUMMYFUNCTION("""COMPUTED_VALUE"""),"K/37/060225/1")</f>
        <v>K/37/060225/1</v>
      </c>
      <c r="C1963" s="42" t="str">
        <f>IFERROR(__xludf.DUMMYFUNCTION("""COMPUTED_VALUE"""),"M. 1921/ Rajabasa Raya")</f>
        <v>M. 1921/ Rajabasa Raya</v>
      </c>
      <c r="D1963" s="42"/>
      <c r="E1963" s="42" t="str">
        <f>IFERROR(__xludf.DUMMYFUNCTION("""COMPUTED_VALUE"""),"DISERAHKAN")</f>
        <v>DISERAHKAN</v>
      </c>
      <c r="F1963" s="48">
        <f>IFERROR(__xludf.DUMMYFUNCTION("""COMPUTED_VALUE"""),45706.45531792824)</f>
        <v>45706.45532</v>
      </c>
      <c r="G1963" s="42" t="str">
        <f>IFERROR(__xludf.DUMMYFUNCTION("""COMPUTED_VALUE"""),"BN JUAL BELI")</f>
        <v>BN JUAL BELI</v>
      </c>
      <c r="H1963" s="42">
        <f t="shared" si="1"/>
        <v>903</v>
      </c>
    </row>
    <row r="1964" ht="22.5" customHeight="1">
      <c r="B1964" s="42" t="str">
        <f>IFERROR(__xludf.DUMMYFUNCTION("""COMPUTED_VALUE"""),"K/38/060225/1")</f>
        <v>K/38/060225/1</v>
      </c>
      <c r="C1964" s="42" t="str">
        <f>IFERROR(__xludf.DUMMYFUNCTION("""COMPUTED_VALUE"""),"M. 1509/ Sumur Batu")</f>
        <v>M. 1509/ Sumur Batu</v>
      </c>
      <c r="D1964" s="42"/>
      <c r="E1964" s="42" t="str">
        <f>IFERROR(__xludf.DUMMYFUNCTION("""COMPUTED_VALUE"""),"DISERAHKAN")</f>
        <v>DISERAHKAN</v>
      </c>
      <c r="F1964" s="48">
        <f>IFERROR(__xludf.DUMMYFUNCTION("""COMPUTED_VALUE"""),45708.59517958333)</f>
        <v>45708.59518</v>
      </c>
      <c r="G1964" s="42" t="str">
        <f>IFERROR(__xludf.DUMMYFUNCTION("""COMPUTED_VALUE"""),"ROYA")</f>
        <v>ROYA</v>
      </c>
      <c r="H1964" s="42">
        <f t="shared" si="1"/>
        <v>904</v>
      </c>
    </row>
    <row r="1965" ht="22.5" customHeight="1">
      <c r="B1965" s="42" t="str">
        <f>IFERROR(__xludf.DUMMYFUNCTION("""COMPUTED_VALUE"""),"K/39/060225/2")</f>
        <v>K/39/060225/2</v>
      </c>
      <c r="C1965" s="42" t="str">
        <f>IFERROR(__xludf.DUMMYFUNCTION("""COMPUTED_VALUE"""),"M. 1508/ Sumur Batu")</f>
        <v>M. 1508/ Sumur Batu</v>
      </c>
      <c r="D1965" s="42"/>
      <c r="E1965" s="42" t="str">
        <f>IFERROR(__xludf.DUMMYFUNCTION("""COMPUTED_VALUE"""),"DISERAHKAN")</f>
        <v>DISERAHKAN</v>
      </c>
      <c r="F1965" s="48">
        <f>IFERROR(__xludf.DUMMYFUNCTION("""COMPUTED_VALUE"""),45708.59441856481)</f>
        <v>45708.59442</v>
      </c>
      <c r="G1965" s="42" t="str">
        <f>IFERROR(__xludf.DUMMYFUNCTION("""COMPUTED_VALUE"""),"ROYA")</f>
        <v>ROYA</v>
      </c>
      <c r="H1965" s="42">
        <f t="shared" si="1"/>
        <v>905</v>
      </c>
    </row>
    <row r="1966" ht="22.5" customHeight="1">
      <c r="B1966" s="42" t="str">
        <f>IFERROR(__xludf.DUMMYFUNCTION("""COMPUTED_VALUE"""),"K/41/060225/1")</f>
        <v>K/41/060225/1</v>
      </c>
      <c r="C1966" s="42" t="str">
        <f>IFERROR(__xludf.DUMMYFUNCTION("""COMPUTED_VALUE"""),"B.620/SUMBER AGUNG")</f>
        <v>B.620/SUMBER AGUNG</v>
      </c>
      <c r="D1966" s="42"/>
      <c r="E1966" s="42" t="str">
        <f>IFERROR(__xludf.DUMMYFUNCTION("""COMPUTED_VALUE"""),"DISERAHKAN")</f>
        <v>DISERAHKAN</v>
      </c>
      <c r="F1966" s="48">
        <f>IFERROR(__xludf.DUMMYFUNCTION("""COMPUTED_VALUE"""),45720.43920228009)</f>
        <v>45720.4392</v>
      </c>
      <c r="G1966" s="42" t="str">
        <f>IFERROR(__xludf.DUMMYFUNCTION("""COMPUTED_VALUE"""),"JUAL BELI")</f>
        <v>JUAL BELI</v>
      </c>
      <c r="H1966" s="42">
        <f t="shared" si="1"/>
        <v>906</v>
      </c>
    </row>
    <row r="1967" ht="22.5" customHeight="1">
      <c r="B1967" s="42" t="str">
        <f>IFERROR(__xludf.DUMMYFUNCTION("""COMPUTED_VALUE"""),"L/43/060225/1")</f>
        <v>L/43/060225/1</v>
      </c>
      <c r="C1967" s="42" t="str">
        <f>IFERROR(__xludf.DUMMYFUNCTION("""COMPUTED_VALUE"""),"HGB 3464/SKB")</f>
        <v>HGB 3464/SKB</v>
      </c>
      <c r="D1967" s="42"/>
      <c r="E1967" s="42"/>
      <c r="F1967" s="48" t="str">
        <f>IFERROR(__xludf.DUMMYFUNCTION("""COMPUTED_VALUE"""),"")</f>
        <v/>
      </c>
      <c r="G1967" s="42" t="str">
        <f>IFERROR(__xludf.DUMMYFUNCTION("""COMPUTED_VALUE"""),"PERTAMA KALI")</f>
        <v>PERTAMA KALI</v>
      </c>
      <c r="H1967" s="42">
        <f t="shared" si="1"/>
        <v>906</v>
      </c>
    </row>
    <row r="1968" ht="22.5" customHeight="1">
      <c r="B1968" s="42" t="str">
        <f>IFERROR(__xludf.DUMMYFUNCTION("""COMPUTED_VALUE"""),"K/1/070225/1")</f>
        <v>K/1/070225/1</v>
      </c>
      <c r="C1968" s="42" t="str">
        <f>IFERROR(__xludf.DUMMYFUNCTION("""COMPUTED_VALUE"""),"M. 1193/ Sepang Jaya")</f>
        <v>M. 1193/ Sepang Jaya</v>
      </c>
      <c r="D1968" s="42"/>
      <c r="E1968" s="42" t="str">
        <f>IFERROR(__xludf.DUMMYFUNCTION("""COMPUTED_VALUE"""),"DISERAHKAN")</f>
        <v>DISERAHKAN</v>
      </c>
      <c r="F1968" s="48">
        <f>IFERROR(__xludf.DUMMYFUNCTION("""COMPUTED_VALUE"""),45723.54302678241)</f>
        <v>45723.54303</v>
      </c>
      <c r="G1968" s="42" t="str">
        <f>IFERROR(__xludf.DUMMYFUNCTION("""COMPUTED_VALUE"""),"ROYA")</f>
        <v>ROYA</v>
      </c>
      <c r="H1968" s="42">
        <f t="shared" si="1"/>
        <v>907</v>
      </c>
    </row>
    <row r="1969" ht="22.5" customHeight="1">
      <c r="B1969" s="42" t="str">
        <f>IFERROR(__xludf.DUMMYFUNCTION("""COMPUTED_VALUE"""),"K/2/070225/2")</f>
        <v>K/2/070225/2</v>
      </c>
      <c r="C1969" s="42" t="str">
        <f>IFERROR(__xludf.DUMMYFUNCTION("""COMPUTED_VALUE"""),"M. 9195/ Jagabaya II")</f>
        <v>M. 9195/ Jagabaya II</v>
      </c>
      <c r="D1969" s="42"/>
      <c r="E1969" s="42" t="str">
        <f>IFERROR(__xludf.DUMMYFUNCTION("""COMPUTED_VALUE"""),"DISERAHKAN")</f>
        <v>DISERAHKAN</v>
      </c>
      <c r="F1969" s="48">
        <f>IFERROR(__xludf.DUMMYFUNCTION("""COMPUTED_VALUE"""),45706.45470605324)</f>
        <v>45706.45471</v>
      </c>
      <c r="G1969" s="42" t="str">
        <f>IFERROR(__xludf.DUMMYFUNCTION("""COMPUTED_VALUE"""),"BN JUAL BELI")</f>
        <v>BN JUAL BELI</v>
      </c>
      <c r="H1969" s="42">
        <f t="shared" si="1"/>
        <v>908</v>
      </c>
    </row>
    <row r="1970" ht="22.5" customHeight="1">
      <c r="B1970" s="42" t="str">
        <f>IFERROR(__xludf.DUMMYFUNCTION("""COMPUTED_VALUE"""),"K/3/070225/1")</f>
        <v>K/3/070225/1</v>
      </c>
      <c r="C1970" s="42" t="str">
        <f>IFERROR(__xludf.DUMMYFUNCTION("""COMPUTED_VALUE"""),"Nibel 8389/ Sukadana Ham")</f>
        <v>Nibel 8389/ Sukadana Ham</v>
      </c>
      <c r="D1970" s="42"/>
      <c r="E1970" s="42"/>
      <c r="F1970" s="48" t="str">
        <f>IFERROR(__xludf.DUMMYFUNCTION("""COMPUTED_VALUE"""),"")</f>
        <v/>
      </c>
      <c r="G1970" s="42" t="str">
        <f>IFERROR(__xludf.DUMMYFUNCTION("""COMPUTED_VALUE"""),"SKPT INFORMASI")</f>
        <v>SKPT INFORMASI</v>
      </c>
      <c r="H1970" s="42">
        <f t="shared" si="1"/>
        <v>908</v>
      </c>
    </row>
    <row r="1971" ht="22.5" customHeight="1">
      <c r="B1971" s="42" t="str">
        <f>IFERROR(__xludf.DUMMYFUNCTION("""COMPUTED_VALUE"""),"K/4/070225/1")</f>
        <v>K/4/070225/1</v>
      </c>
      <c r="C1971" s="42" t="str">
        <f>IFERROR(__xludf.DUMMYFUNCTION("""COMPUTED_VALUE"""),"B. 578/ Nusantara Permai")</f>
        <v>B. 578/ Nusantara Permai</v>
      </c>
      <c r="D1971" s="42"/>
      <c r="E1971" s="42" t="str">
        <f>IFERROR(__xludf.DUMMYFUNCTION("""COMPUTED_VALUE"""),"DISERAHKAN")</f>
        <v>DISERAHKAN</v>
      </c>
      <c r="F1971" s="48">
        <f>IFERROR(__xludf.DUMMYFUNCTION("""COMPUTED_VALUE"""),45713.70570474537)</f>
        <v>45713.7057</v>
      </c>
      <c r="G1971" s="42" t="str">
        <f>IFERROR(__xludf.DUMMYFUNCTION("""COMPUTED_VALUE"""),"BN WARIS")</f>
        <v>BN WARIS</v>
      </c>
      <c r="H1971" s="42">
        <f t="shared" si="1"/>
        <v>909</v>
      </c>
    </row>
    <row r="1972" ht="22.5" customHeight="1">
      <c r="B1972" s="42" t="str">
        <f>IFERROR(__xludf.DUMMYFUNCTION("""COMPUTED_VALUE"""),"L/5/070225/1")</f>
        <v>L/5/070225/1</v>
      </c>
      <c r="C1972" s="42" t="str">
        <f>IFERROR(__xludf.DUMMYFUNCTION("""COMPUTED_VALUE""")," M.479/GEDUNG PAKUON")</f>
        <v> M.479/GEDUNG PAKUON</v>
      </c>
      <c r="D1972" s="42"/>
      <c r="E1972" s="42" t="str">
        <f>IFERROR(__xludf.DUMMYFUNCTION("""COMPUTED_VALUE"""),"DISERAHKAN")</f>
        <v>DISERAHKAN</v>
      </c>
      <c r="F1972" s="48">
        <f>IFERROR(__xludf.DUMMYFUNCTION("""COMPUTED_VALUE"""),45730.60765027777)</f>
        <v>45730.60765</v>
      </c>
      <c r="G1972" s="42" t="str">
        <f>IFERROR(__xludf.DUMMYFUNCTION("""COMPUTED_VALUE"""),"ROYA LELANG")</f>
        <v>ROYA LELANG</v>
      </c>
      <c r="H1972" s="42">
        <f t="shared" si="1"/>
        <v>910</v>
      </c>
    </row>
    <row r="1973" ht="22.5" customHeight="1">
      <c r="B1973" s="42" t="str">
        <f>IFERROR(__xludf.DUMMYFUNCTION("""COMPUTED_VALUE"""),"K/6/070225/1")</f>
        <v>K/6/070225/1</v>
      </c>
      <c r="C1973" s="42" t="str">
        <f>IFERROR(__xludf.DUMMYFUNCTION("""COMPUTED_VALUE"""),"M. 3567/SUKADANA HAM")</f>
        <v>M. 3567/SUKADANA HAM</v>
      </c>
      <c r="D1973" s="42"/>
      <c r="E1973" s="42" t="str">
        <f>IFERROR(__xludf.DUMMYFUNCTION("""COMPUTED_VALUE"""),"DISERAHKAN")</f>
        <v>DISERAHKAN</v>
      </c>
      <c r="F1973" s="48">
        <f>IFERROR(__xludf.DUMMYFUNCTION("""COMPUTED_VALUE"""),45702.491416261575)</f>
        <v>45702.49142</v>
      </c>
      <c r="G1973" s="42" t="str">
        <f>IFERROR(__xludf.DUMMYFUNCTION("""COMPUTED_VALUE"""),"JUAL BELI")</f>
        <v>JUAL BELI</v>
      </c>
      <c r="H1973" s="42">
        <f t="shared" si="1"/>
        <v>911</v>
      </c>
    </row>
    <row r="1974" ht="22.5" customHeight="1">
      <c r="B1974" s="42" t="str">
        <f>IFERROR(__xludf.DUMMYFUNCTION("""COMPUTED_VALUE"""),"K/8/070225/1")</f>
        <v>K/8/070225/1</v>
      </c>
      <c r="C1974" s="42" t="str">
        <f>IFERROR(__xludf.DUMMYFUNCTION("""COMPUTED_VALUE"""),"NIbel 3279/ Rajabasa Pemuka")</f>
        <v>NIbel 3279/ Rajabasa Pemuka</v>
      </c>
      <c r="D1974" s="42"/>
      <c r="E1974" s="42"/>
      <c r="F1974" s="48" t="str">
        <f>IFERROR(__xludf.DUMMYFUNCTION("""COMPUTED_VALUE"""),"")</f>
        <v/>
      </c>
      <c r="G1974" s="42" t="str">
        <f>IFERROR(__xludf.DUMMYFUNCTION("""COMPUTED_VALUE"""),"BN JUAL BELI")</f>
        <v>BN JUAL BELI</v>
      </c>
      <c r="H1974" s="42">
        <f t="shared" si="1"/>
        <v>911</v>
      </c>
    </row>
    <row r="1975" ht="22.5" customHeight="1">
      <c r="B1975" s="42" t="str">
        <f>IFERROR(__xludf.DUMMYFUNCTION("""COMPUTED_VALUE"""),"K/9/070225/2")</f>
        <v>K/9/070225/2</v>
      </c>
      <c r="C1975" s="42" t="str">
        <f>IFERROR(__xludf.DUMMYFUNCTION("""COMPUTED_VALUE"""),"Nibel 3281/ Rajabasa Pemuka")</f>
        <v>Nibel 3281/ Rajabasa Pemuka</v>
      </c>
      <c r="D1975" s="42"/>
      <c r="E1975" s="42"/>
      <c r="F1975" s="48" t="str">
        <f>IFERROR(__xludf.DUMMYFUNCTION("""COMPUTED_VALUE"""),"")</f>
        <v/>
      </c>
      <c r="G1975" s="42" t="str">
        <f>IFERROR(__xludf.DUMMYFUNCTION("""COMPUTED_VALUE"""),"BN JUAL BELI")</f>
        <v>BN JUAL BELI</v>
      </c>
      <c r="H1975" s="42">
        <f t="shared" si="1"/>
        <v>911</v>
      </c>
    </row>
    <row r="1976" ht="22.5" customHeight="1">
      <c r="B1976" s="42" t="str">
        <f>IFERROR(__xludf.DUMMYFUNCTION("""COMPUTED_VALUE"""),"K/10/070225/3")</f>
        <v>K/10/070225/3</v>
      </c>
      <c r="C1976" s="42" t="str">
        <f>IFERROR(__xludf.DUMMYFUNCTION("""COMPUTED_VALUE"""),"Nibel 3280/ Rajabasa Pemuka")</f>
        <v>Nibel 3280/ Rajabasa Pemuka</v>
      </c>
      <c r="D1976" s="42"/>
      <c r="E1976" s="42"/>
      <c r="F1976" s="48" t="str">
        <f>IFERROR(__xludf.DUMMYFUNCTION("""COMPUTED_VALUE"""),"")</f>
        <v/>
      </c>
      <c r="G1976" s="42" t="str">
        <f>IFERROR(__xludf.DUMMYFUNCTION("""COMPUTED_VALUE"""),"BN JEAUL BELI")</f>
        <v>BN JEAUL BELI</v>
      </c>
      <c r="H1976" s="42">
        <f t="shared" si="1"/>
        <v>911</v>
      </c>
    </row>
    <row r="1977" ht="22.5" customHeight="1">
      <c r="B1977" s="42" t="str">
        <f>IFERROR(__xludf.DUMMYFUNCTION("""COMPUTED_VALUE"""),"K/14/070225/1")</f>
        <v>K/14/070225/1</v>
      </c>
      <c r="C1977" s="42" t="str">
        <f>IFERROR(__xludf.DUMMYFUNCTION("""COMPUTED_VALUE"""),"1M.1255/GULAK GALIK; 2. M.1254/SUMUR BATU")</f>
        <v>1M.1255/GULAK GALIK; 2. M.1254/SUMUR BATU</v>
      </c>
      <c r="D1977" s="42"/>
      <c r="E1977" s="42" t="str">
        <f>IFERROR(__xludf.DUMMYFUNCTION("""COMPUTED_VALUE"""),"DISERAHKAN")</f>
        <v>DISERAHKAN</v>
      </c>
      <c r="F1977" s="48">
        <f>IFERROR(__xludf.DUMMYFUNCTION("""COMPUTED_VALUE"""),45758.485643900465)</f>
        <v>45758.48564</v>
      </c>
      <c r="G1977" s="42" t="str">
        <f>IFERROR(__xludf.DUMMYFUNCTION("""COMPUTED_VALUE"""),"ROYA")</f>
        <v>ROYA</v>
      </c>
      <c r="H1977" s="42">
        <f t="shared" si="1"/>
        <v>912</v>
      </c>
    </row>
    <row r="1978" ht="22.5" customHeight="1">
      <c r="B1978" s="42" t="str">
        <f>IFERROR(__xludf.DUMMYFUNCTION("""COMPUTED_VALUE"""),"K/15/070225/2")</f>
        <v>K/15/070225/2</v>
      </c>
      <c r="C1978" s="42" t="str">
        <f>IFERROR(__xludf.DUMMYFUNCTION("""COMPUTED_VALUE"""),"B.315/LABUHAN RATU RAYA")</f>
        <v>B.315/LABUHAN RATU RAYA</v>
      </c>
      <c r="D1978" s="42"/>
      <c r="E1978" s="42" t="str">
        <f>IFERROR(__xludf.DUMMYFUNCTION("""COMPUTED_VALUE"""),"DISERAHKAN")</f>
        <v>DISERAHKAN</v>
      </c>
      <c r="F1978" s="48">
        <f>IFERROR(__xludf.DUMMYFUNCTION("""COMPUTED_VALUE"""),45706.452971921295)</f>
        <v>45706.45297</v>
      </c>
      <c r="G1978" s="42" t="str">
        <f>IFERROR(__xludf.DUMMYFUNCTION("""COMPUTED_VALUE"""),"JUAL BELI")</f>
        <v>JUAL BELI</v>
      </c>
      <c r="H1978" s="42">
        <f t="shared" si="1"/>
        <v>913</v>
      </c>
    </row>
    <row r="1979" ht="22.5" customHeight="1">
      <c r="B1979" s="42" t="str">
        <f>IFERROR(__xludf.DUMMYFUNCTION("""COMPUTED_VALUE"""),"K/16/070225/3")</f>
        <v>K/16/070225/3</v>
      </c>
      <c r="C1979" s="42" t="str">
        <f>IFERROR(__xludf.DUMMYFUNCTION("""COMPUTED_VALUE"""),"B.313/LABUHAN RATU RAYA")</f>
        <v>B.313/LABUHAN RATU RAYA</v>
      </c>
      <c r="D1979" s="42"/>
      <c r="E1979" s="42" t="str">
        <f>IFERROR(__xludf.DUMMYFUNCTION("""COMPUTED_VALUE"""),"DISERAHKAN")</f>
        <v>DISERAHKAN</v>
      </c>
      <c r="F1979" s="48">
        <f>IFERROR(__xludf.DUMMYFUNCTION("""COMPUTED_VALUE"""),45705.57714907407)</f>
        <v>45705.57715</v>
      </c>
      <c r="G1979" s="42" t="str">
        <f>IFERROR(__xludf.DUMMYFUNCTION("""COMPUTED_VALUE"""),"JUAL BELI")</f>
        <v>JUAL BELI</v>
      </c>
      <c r="H1979" s="42">
        <f t="shared" si="1"/>
        <v>914</v>
      </c>
    </row>
    <row r="1980" ht="22.5" customHeight="1">
      <c r="B1980" s="42" t="str">
        <f>IFERROR(__xludf.DUMMYFUNCTION("""COMPUTED_VALUE"""),"K/7/070225/1")</f>
        <v>K/7/070225/1</v>
      </c>
      <c r="C1980" s="42" t="str">
        <f>IFERROR(__xludf.DUMMYFUNCTION("""COMPUTED_VALUE"""),"M. 2462/ Sukamaju")</f>
        <v>M. 2462/ Sukamaju</v>
      </c>
      <c r="D1980" s="42"/>
      <c r="E1980" s="42"/>
      <c r="F1980" s="48" t="str">
        <f>IFERROR(__xludf.DUMMYFUNCTION("""COMPUTED_VALUE"""),"")</f>
        <v/>
      </c>
      <c r="G1980" s="42" t="str">
        <f>IFERROR(__xludf.DUMMYFUNCTION("""COMPUTED_VALUE"""),"Pemecahan")</f>
        <v>Pemecahan</v>
      </c>
      <c r="H1980" s="42">
        <f t="shared" si="1"/>
        <v>914</v>
      </c>
    </row>
    <row r="1981" ht="22.5" customHeight="1">
      <c r="B1981" s="42" t="str">
        <f>IFERROR(__xludf.DUMMYFUNCTION("""COMPUTED_VALUE"""),"K/17/070225/4")</f>
        <v>K/17/070225/4</v>
      </c>
      <c r="C1981" s="42" t="str">
        <f>IFERROR(__xludf.DUMMYFUNCTION("""COMPUTED_VALUE"""),"B.314/LABUHAN RATU RAYA")</f>
        <v>B.314/LABUHAN RATU RAYA</v>
      </c>
      <c r="D1981" s="42"/>
      <c r="E1981" s="42" t="str">
        <f>IFERROR(__xludf.DUMMYFUNCTION("""COMPUTED_VALUE"""),"DISERAHKAN")</f>
        <v>DISERAHKAN</v>
      </c>
      <c r="F1981" s="48">
        <f>IFERROR(__xludf.DUMMYFUNCTION("""COMPUTED_VALUE"""),45706.453254155094)</f>
        <v>45706.45325</v>
      </c>
      <c r="G1981" s="42" t="str">
        <f>IFERROR(__xludf.DUMMYFUNCTION("""COMPUTED_VALUE"""),"JUAL BELI")</f>
        <v>JUAL BELI</v>
      </c>
      <c r="H1981" s="42">
        <f t="shared" si="1"/>
        <v>915</v>
      </c>
    </row>
    <row r="1982" ht="22.5" customHeight="1">
      <c r="B1982" s="42" t="str">
        <f>IFERROR(__xludf.DUMMYFUNCTION("""COMPUTED_VALUE"""),"K/13/070225/1")</f>
        <v>K/13/070225/1</v>
      </c>
      <c r="C1982" s="42" t="str">
        <f>IFERROR(__xludf.DUMMYFUNCTION("""COMPUTED_VALUE"""),"M. 2427/ Kangkung")</f>
        <v>M. 2427/ Kangkung</v>
      </c>
      <c r="D1982" s="42"/>
      <c r="E1982" s="42"/>
      <c r="F1982" s="48" t="str">
        <f>IFERROR(__xludf.DUMMYFUNCTION("""COMPUTED_VALUE"""),"")</f>
        <v/>
      </c>
      <c r="G1982" s="42" t="str">
        <f>IFERROR(__xludf.DUMMYFUNCTION("""COMPUTED_VALUE"""),"Hapus BPHTB")</f>
        <v>Hapus BPHTB</v>
      </c>
      <c r="H1982" s="42">
        <f t="shared" si="1"/>
        <v>915</v>
      </c>
    </row>
    <row r="1983" ht="22.5" customHeight="1">
      <c r="B1983" s="42" t="str">
        <f>IFERROR(__xludf.DUMMYFUNCTION("""COMPUTED_VALUE"""),"K/18/070225/5")</f>
        <v>K/18/070225/5</v>
      </c>
      <c r="C1983" s="42" t="str">
        <f>IFERROR(__xludf.DUMMYFUNCTION("""COMPUTED_VALUE"""),"B.716/SUMUR PUTRI")</f>
        <v>B.716/SUMUR PUTRI</v>
      </c>
      <c r="D1983" s="42"/>
      <c r="E1983" s="42" t="str">
        <f>IFERROR(__xludf.DUMMYFUNCTION("""COMPUTED_VALUE"""),"DISERAHKAN")</f>
        <v>DISERAHKAN</v>
      </c>
      <c r="F1983" s="48">
        <f>IFERROR(__xludf.DUMMYFUNCTION("""COMPUTED_VALUE"""),45702.4319271412)</f>
        <v>45702.43193</v>
      </c>
      <c r="G1983" s="42" t="str">
        <f>IFERROR(__xludf.DUMMYFUNCTION("""COMPUTED_VALUE"""),"JUAL BELI")</f>
        <v>JUAL BELI</v>
      </c>
      <c r="H1983" s="42">
        <f t="shared" si="1"/>
        <v>916</v>
      </c>
    </row>
    <row r="1984" ht="22.5" customHeight="1">
      <c r="B1984" s="42" t="str">
        <f>IFERROR(__xludf.DUMMYFUNCTION("""COMPUTED_VALUE"""),"K/19/070225/1")</f>
        <v>K/19/070225/1</v>
      </c>
      <c r="C1984" s="42" t="str">
        <f>IFERROR(__xludf.DUMMYFUNCTION("""COMPUTED_VALUE"""),"M.1351/WAY HALIM PERMAI ")</f>
        <v>M.1351/WAY HALIM PERMAI </v>
      </c>
      <c r="D1984" s="42"/>
      <c r="E1984" s="42" t="str">
        <f>IFERROR(__xludf.DUMMYFUNCTION("""COMPUTED_VALUE"""),"DISERAHKAN")</f>
        <v>DISERAHKAN</v>
      </c>
      <c r="F1984" s="48">
        <f>IFERROR(__xludf.DUMMYFUNCTION("""COMPUTED_VALUE"""),45705.57647024306)</f>
        <v>45705.57647</v>
      </c>
      <c r="G1984" s="42" t="str">
        <f>IFERROR(__xludf.DUMMYFUNCTION("""COMPUTED_VALUE"""),"JUAL BELI")</f>
        <v>JUAL BELI</v>
      </c>
      <c r="H1984" s="42">
        <f t="shared" si="1"/>
        <v>917</v>
      </c>
    </row>
    <row r="1985" ht="22.5" customHeight="1">
      <c r="B1985" s="42" t="str">
        <f>IFERROR(__xludf.DUMMYFUNCTION("""COMPUTED_VALUE"""),"K/20/070225/2")</f>
        <v>K/20/070225/2</v>
      </c>
      <c r="C1985" s="42" t="str">
        <f>IFERROR(__xludf.DUMMYFUNCTION("""COMPUTED_VALUE"""),"NIBEL M 12553/BERINGIN RAYA")</f>
        <v>NIBEL M 12553/BERINGIN RAYA</v>
      </c>
      <c r="D1985" s="42"/>
      <c r="E1985" s="42"/>
      <c r="F1985" s="48" t="str">
        <f>IFERROR(__xludf.DUMMYFUNCTION("""COMPUTED_VALUE"""),"")</f>
        <v/>
      </c>
      <c r="G1985" s="42" t="str">
        <f>IFERROR(__xludf.DUMMYFUNCTION("""COMPUTED_VALUE"""),"JUAL BELI")</f>
        <v>JUAL BELI</v>
      </c>
      <c r="H1985" s="42">
        <f t="shared" si="1"/>
        <v>917</v>
      </c>
    </row>
    <row r="1986" ht="22.5" customHeight="1">
      <c r="B1986" s="42" t="str">
        <f>IFERROR(__xludf.DUMMYFUNCTION("""COMPUTED_VALUE"""),"K/21/070225/3")</f>
        <v>K/21/070225/3</v>
      </c>
      <c r="C1986" s="42" t="str">
        <f>IFERROR(__xludf.DUMMYFUNCTION("""COMPUTED_VALUE"""),"NIBEL M 1778/TANJUNG SENENG")</f>
        <v>NIBEL M 1778/TANJUNG SENENG</v>
      </c>
      <c r="D1986" s="42"/>
      <c r="E1986" s="42"/>
      <c r="F1986" s="48" t="str">
        <f>IFERROR(__xludf.DUMMYFUNCTION("""COMPUTED_VALUE"""),"")</f>
        <v/>
      </c>
      <c r="G1986" s="42" t="str">
        <f>IFERROR(__xludf.DUMMYFUNCTION("""COMPUTED_VALUE"""),"JUAL BELI")</f>
        <v>JUAL BELI</v>
      </c>
      <c r="H1986" s="42">
        <f t="shared" si="1"/>
        <v>917</v>
      </c>
    </row>
    <row r="1987" ht="22.5" customHeight="1">
      <c r="B1987" s="42" t="str">
        <f>IFERROR(__xludf.DUMMYFUNCTION("""COMPUTED_VALUE"""),"K/22/070225/1")</f>
        <v>K/22/070225/1</v>
      </c>
      <c r="C1987" s="42" t="str">
        <f>IFERROR(__xludf.DUMMYFUNCTION("""COMPUTED_VALUE"""),"Nibel. M. 2479/ Kota Baru")</f>
        <v>Nibel. M. 2479/ Kota Baru</v>
      </c>
      <c r="D1987" s="42"/>
      <c r="E1987" s="42"/>
      <c r="F1987" s="48" t="str">
        <f>IFERROR(__xludf.DUMMYFUNCTION("""COMPUTED_VALUE"""),"")</f>
        <v/>
      </c>
      <c r="G1987" s="42" t="str">
        <f>IFERROR(__xludf.DUMMYFUNCTION("""COMPUTED_VALUE"""),"BN Jual Beli")</f>
        <v>BN Jual Beli</v>
      </c>
      <c r="H1987" s="42">
        <f t="shared" si="1"/>
        <v>917</v>
      </c>
    </row>
    <row r="1988" ht="22.5" customHeight="1">
      <c r="B1988" s="42" t="str">
        <f>IFERROR(__xludf.DUMMYFUNCTION("""COMPUTED_VALUE""")," K/23/070225/1")</f>
        <v> K/23/070225/1</v>
      </c>
      <c r="C1988" s="42" t="str">
        <f>IFERROR(__xludf.DUMMYFUNCTION("""COMPUTED_VALUE"""),"M. 2663/ Pinang Jaya")</f>
        <v>M. 2663/ Pinang Jaya</v>
      </c>
      <c r="D1988" s="42"/>
      <c r="E1988" s="42" t="str">
        <f>IFERROR(__xludf.DUMMYFUNCTION("""COMPUTED_VALUE"""),"DISERAHKAN")</f>
        <v>DISERAHKAN</v>
      </c>
      <c r="F1988" s="48">
        <f>IFERROR(__xludf.DUMMYFUNCTION("""COMPUTED_VALUE"""),45702.43159501157)</f>
        <v>45702.4316</v>
      </c>
      <c r="G1988" s="42" t="str">
        <f>IFERROR(__xludf.DUMMYFUNCTION("""COMPUTED_VALUE"""),"BN JUAL BELI")</f>
        <v>BN JUAL BELI</v>
      </c>
      <c r="H1988" s="42">
        <f t="shared" si="1"/>
        <v>918</v>
      </c>
    </row>
    <row r="1989" ht="22.5" customHeight="1">
      <c r="B1989" s="42" t="str">
        <f>IFERROR(__xludf.DUMMYFUNCTION("""COMPUTED_VALUE"""),"K/24/070225/1")</f>
        <v>K/24/070225/1</v>
      </c>
      <c r="C1989" s="42" t="str">
        <f>IFERROR(__xludf.DUMMYFUNCTION("""COMPUTED_VALUE"""),"Nibel 3060/ Perwata")</f>
        <v>Nibel 3060/ Perwata</v>
      </c>
      <c r="D1989" s="42"/>
      <c r="E1989" s="42"/>
      <c r="F1989" s="48" t="str">
        <f>IFERROR(__xludf.DUMMYFUNCTION("""COMPUTED_VALUE"""),"")</f>
        <v/>
      </c>
      <c r="G1989" s="42" t="str">
        <f>IFERROR(__xludf.DUMMYFUNCTION("""COMPUTED_VALUE"""),"BN JUAL BELI")</f>
        <v>BN JUAL BELI</v>
      </c>
      <c r="H1989" s="42">
        <f t="shared" si="1"/>
        <v>918</v>
      </c>
    </row>
    <row r="1990" ht="22.5" customHeight="1">
      <c r="B1990" s="42" t="str">
        <f>IFERROR(__xludf.DUMMYFUNCTION("""COMPUTED_VALUE"""),"K/25/070225/1")</f>
        <v>K/25/070225/1</v>
      </c>
      <c r="C1990" s="42" t="str">
        <f>IFERROR(__xludf.DUMMYFUNCTION("""COMPUTED_VALUE"""),"M. 4320/ Gunung Terang")</f>
        <v>M. 4320/ Gunung Terang</v>
      </c>
      <c r="D1990" s="42"/>
      <c r="E1990" s="42" t="str">
        <f>IFERROR(__xludf.DUMMYFUNCTION("""COMPUTED_VALUE"""),"DISERAHKAN")</f>
        <v>DISERAHKAN</v>
      </c>
      <c r="F1990" s="48">
        <f>IFERROR(__xludf.DUMMYFUNCTION("""COMPUTED_VALUE"""),45706.449814884254)</f>
        <v>45706.44981</v>
      </c>
      <c r="G1990" s="42" t="str">
        <f>IFERROR(__xludf.DUMMYFUNCTION("""COMPUTED_VALUE"""),"BN Jual Beli")</f>
        <v>BN Jual Beli</v>
      </c>
      <c r="H1990" s="42">
        <f t="shared" si="1"/>
        <v>919</v>
      </c>
    </row>
    <row r="1991" ht="22.5" customHeight="1">
      <c r="B1991" s="42" t="str">
        <f>IFERROR(__xludf.DUMMYFUNCTION("""COMPUTED_VALUE"""),"L/26/070225/1")</f>
        <v>L/26/070225/1</v>
      </c>
      <c r="C1991" s="42" t="str">
        <f>IFERROR(__xludf.DUMMYFUNCTION("""COMPUTED_VALUE"""),"B.882/KETEGUHAN")</f>
        <v>B.882/KETEGUHAN</v>
      </c>
      <c r="D1991" s="42"/>
      <c r="E1991" s="42" t="str">
        <f>IFERROR(__xludf.DUMMYFUNCTION("""COMPUTED_VALUE"""),"DISERAHKAN")</f>
        <v>DISERAHKAN</v>
      </c>
      <c r="F1991" s="48">
        <f>IFERROR(__xludf.DUMMYFUNCTION("""COMPUTED_VALUE"""),45730.376354594904)</f>
        <v>45730.37635</v>
      </c>
      <c r="G1991" s="42" t="str">
        <f>IFERROR(__xludf.DUMMYFUNCTION("""COMPUTED_VALUE"""),"ROYA")</f>
        <v>ROYA</v>
      </c>
      <c r="H1991" s="42">
        <f t="shared" si="1"/>
        <v>920</v>
      </c>
    </row>
    <row r="1992" ht="22.5" customHeight="1">
      <c r="B1992" s="42" t="str">
        <f>IFERROR(__xludf.DUMMYFUNCTION("""COMPUTED_VALUE"""),"K/27/070225/1")</f>
        <v>K/27/070225/1</v>
      </c>
      <c r="C1992" s="42" t="str">
        <f>IFERROR(__xludf.DUMMYFUNCTION("""COMPUTED_VALUE"""),"Nibel 10279/ Segala Mider")</f>
        <v>Nibel 10279/ Segala Mider</v>
      </c>
      <c r="D1992" s="42"/>
      <c r="E1992" s="42"/>
      <c r="F1992" s="48" t="str">
        <f>IFERROR(__xludf.DUMMYFUNCTION("""COMPUTED_VALUE"""),"")</f>
        <v/>
      </c>
      <c r="G1992" s="42" t="str">
        <f>IFERROR(__xludf.DUMMYFUNCTION("""COMPUTED_VALUE"""),"BN JUAL BELI")</f>
        <v>BN JUAL BELI</v>
      </c>
      <c r="H1992" s="42">
        <f t="shared" si="1"/>
        <v>920</v>
      </c>
    </row>
    <row r="1993" ht="22.5" customHeight="1">
      <c r="B1993" s="42" t="str">
        <f>IFERROR(__xludf.DUMMYFUNCTION("""COMPUTED_VALUE"""),"K/29/070225/1")</f>
        <v>K/29/070225/1</v>
      </c>
      <c r="C1993" s="42" t="str">
        <f>IFERROR(__xludf.DUMMYFUNCTION("""COMPUTED_VALUE"""),"M.2619/BERINGIN RAYA ")</f>
        <v>M.2619/BERINGIN RAYA </v>
      </c>
      <c r="D1993" s="42"/>
      <c r="E1993" s="42" t="str">
        <f>IFERROR(__xludf.DUMMYFUNCTION("""COMPUTED_VALUE"""),"DISERAHKAN")</f>
        <v>DISERAHKAN</v>
      </c>
      <c r="F1993" s="48">
        <f>IFERROR(__xludf.DUMMYFUNCTION("""COMPUTED_VALUE"""),45705.57665700231)</f>
        <v>45705.57666</v>
      </c>
      <c r="G1993" s="42" t="str">
        <f>IFERROR(__xludf.DUMMYFUNCTION("""COMPUTED_VALUE"""),"JUAL BELI")</f>
        <v>JUAL BELI</v>
      </c>
      <c r="H1993" s="42">
        <f t="shared" si="1"/>
        <v>921</v>
      </c>
    </row>
    <row r="1994" ht="22.5" customHeight="1">
      <c r="B1994" s="42" t="str">
        <f>IFERROR(__xludf.DUMMYFUNCTION("""COMPUTED_VALUE"""),"K/30/070225/2")</f>
        <v>K/30/070225/2</v>
      </c>
      <c r="C1994" s="42" t="str">
        <f>IFERROR(__xludf.DUMMYFUNCTION("""COMPUTED_VALUE"""),"NIBEL M 908/RAJABASA NUNYAI")</f>
        <v>NIBEL M 908/RAJABASA NUNYAI</v>
      </c>
      <c r="D1994" s="42"/>
      <c r="E1994" s="42"/>
      <c r="F1994" s="48" t="str">
        <f>IFERROR(__xludf.DUMMYFUNCTION("""COMPUTED_VALUE"""),"")</f>
        <v/>
      </c>
      <c r="G1994" s="42" t="str">
        <f>IFERROR(__xludf.DUMMYFUNCTION("""COMPUTED_VALUE"""),"JUAL BELI")</f>
        <v>JUAL BELI</v>
      </c>
      <c r="H1994" s="42">
        <f t="shared" si="1"/>
        <v>921</v>
      </c>
    </row>
    <row r="1995" ht="22.5" customHeight="1">
      <c r="B1995" s="42" t="str">
        <f>IFERROR(__xludf.DUMMYFUNCTION("""COMPUTED_VALUE"""),"K/28/070225/1")</f>
        <v>K/28/070225/1</v>
      </c>
      <c r="C1995" s="42" t="str">
        <f>IFERROR(__xludf.DUMMYFUNCTION("""COMPUTED_VALUE"""),"M. 294/ Way Halim Permai")</f>
        <v>M. 294/ Way Halim Permai</v>
      </c>
      <c r="D1995" s="42"/>
      <c r="E1995" s="42" t="str">
        <f>IFERROR(__xludf.DUMMYFUNCTION("""COMPUTED_VALUE"""),"DISERAHKAN")</f>
        <v>DISERAHKAN</v>
      </c>
      <c r="F1995" s="48">
        <f>IFERROR(__xludf.DUMMYFUNCTION("""COMPUTED_VALUE"""),45712.414559641205)</f>
        <v>45712.41456</v>
      </c>
      <c r="G1995" s="42" t="str">
        <f>IFERROR(__xludf.DUMMYFUNCTION("""COMPUTED_VALUE"""),"BN Jual Beli")</f>
        <v>BN Jual Beli</v>
      </c>
      <c r="H1995" s="42">
        <f t="shared" si="1"/>
        <v>922</v>
      </c>
    </row>
    <row r="1996" ht="22.5" customHeight="1">
      <c r="B1996" s="42" t="str">
        <f>IFERROR(__xludf.DUMMYFUNCTION("""COMPUTED_VALUE"""),"K/31/070225/1")</f>
        <v>K/31/070225/1</v>
      </c>
      <c r="C1996" s="42" t="str">
        <f>IFERROR(__xludf.DUMMYFUNCTION("""COMPUTED_VALUE"""),"M. 1051/ Pematang Wangi")</f>
        <v>M. 1051/ Pematang Wangi</v>
      </c>
      <c r="D1996" s="42"/>
      <c r="E1996" s="42" t="str">
        <f>IFERROR(__xludf.DUMMYFUNCTION("""COMPUTED_VALUE"""),"DISERAHKAN")</f>
        <v>DISERAHKAN</v>
      </c>
      <c r="F1996" s="48">
        <f>IFERROR(__xludf.DUMMYFUNCTION("""COMPUTED_VALUE"""),45702.43094896991)</f>
        <v>45702.43095</v>
      </c>
      <c r="G1996" s="42" t="str">
        <f>IFERROR(__xludf.DUMMYFUNCTION("""COMPUTED_VALUE"""),"BN JUAL BELI")</f>
        <v>BN JUAL BELI</v>
      </c>
      <c r="H1996" s="42">
        <f t="shared" si="1"/>
        <v>923</v>
      </c>
    </row>
    <row r="1997" ht="22.5" customHeight="1">
      <c r="B1997" s="42" t="str">
        <f>IFERROR(__xludf.DUMMYFUNCTION("""COMPUTED_VALUE"""),"K/32/070225/2")</f>
        <v>K/32/070225/2</v>
      </c>
      <c r="C1997" s="42" t="str">
        <f>IFERROR(__xludf.DUMMYFUNCTION("""COMPUTED_VALUE"""),"B. 607/ Sumber AGung")</f>
        <v>B. 607/ Sumber AGung</v>
      </c>
      <c r="D1997" s="42"/>
      <c r="E1997" s="42" t="str">
        <f>IFERROR(__xludf.DUMMYFUNCTION("""COMPUTED_VALUE"""),"DISERAHKAN")</f>
        <v>DISERAHKAN</v>
      </c>
      <c r="F1997" s="48">
        <f>IFERROR(__xludf.DUMMYFUNCTION("""COMPUTED_VALUE"""),45702.4292456713)</f>
        <v>45702.42925</v>
      </c>
      <c r="G1997" s="42" t="str">
        <f>IFERROR(__xludf.DUMMYFUNCTION("""COMPUTED_VALUE"""),"BN JUAL BELI")</f>
        <v>BN JUAL BELI</v>
      </c>
      <c r="H1997" s="42">
        <f t="shared" si="1"/>
        <v>924</v>
      </c>
    </row>
    <row r="1998" ht="22.5" customHeight="1">
      <c r="B1998" s="42" t="str">
        <f>IFERROR(__xludf.DUMMYFUNCTION("""COMPUTED_VALUE"""),"K/33/070225/1")</f>
        <v>K/33/070225/1</v>
      </c>
      <c r="C1998" s="42" t="str">
        <f>IFERROR(__xludf.DUMMYFUNCTION("""COMPUTED_VALUE"""),"Nibel. M. 7698/ K B K")</f>
        <v>Nibel. M. 7698/ K B K</v>
      </c>
      <c r="D1998" s="42"/>
      <c r="E1998" s="42"/>
      <c r="F1998" s="48" t="str">
        <f>IFERROR(__xludf.DUMMYFUNCTION("""COMPUTED_VALUE"""),"")</f>
        <v/>
      </c>
      <c r="G1998" s="42" t="str">
        <f>IFERROR(__xludf.DUMMYFUNCTION("""COMPUTED_VALUE"""),"BN Jual Beli")</f>
        <v>BN Jual Beli</v>
      </c>
      <c r="H1998" s="42">
        <f t="shared" si="1"/>
        <v>924</v>
      </c>
    </row>
    <row r="1999" ht="22.5" customHeight="1">
      <c r="B1999" s="42" t="str">
        <f>IFERROR(__xludf.DUMMYFUNCTION("""COMPUTED_VALUE"""),"L/36/070225/1")</f>
        <v>L/36/070225/1</v>
      </c>
      <c r="C1999" s="42" t="str">
        <f>IFERROR(__xludf.DUMMYFUNCTION("""COMPUTED_VALUE"""),"M.1622/KELAPA TIGA")</f>
        <v>M.1622/KELAPA TIGA</v>
      </c>
      <c r="D1999" s="42"/>
      <c r="E1999" s="42"/>
      <c r="F1999" s="48" t="str">
        <f>IFERROR(__xludf.DUMMYFUNCTION("""COMPUTED_VALUE"""),"")</f>
        <v/>
      </c>
      <c r="G1999" s="42" t="str">
        <f>IFERROR(__xludf.DUMMYFUNCTION("""COMPUTED_VALUE"""),"SERTIFIKAT PENGGANTI KARENA  HILANG")</f>
        <v>SERTIFIKAT PENGGANTI KARENA  HILANG</v>
      </c>
      <c r="H1999" s="42">
        <f t="shared" si="1"/>
        <v>924</v>
      </c>
    </row>
    <row r="2000" ht="22.5" customHeight="1">
      <c r="B2000" s="42" t="str">
        <f>IFERROR(__xludf.DUMMYFUNCTION("""COMPUTED_VALUE"""),"K/34/070225/1")</f>
        <v>K/34/070225/1</v>
      </c>
      <c r="C2000" s="42" t="str">
        <f>IFERROR(__xludf.DUMMYFUNCTION("""COMPUTED_VALUE"""),"M. 2499/ Rajabasa Jaya")</f>
        <v>M. 2499/ Rajabasa Jaya</v>
      </c>
      <c r="D2000" s="42"/>
      <c r="E2000" s="42" t="str">
        <f>IFERROR(__xludf.DUMMYFUNCTION("""COMPUTED_VALUE"""),"DISERAHKAN")</f>
        <v>DISERAHKAN</v>
      </c>
      <c r="F2000" s="48">
        <f>IFERROR(__xludf.DUMMYFUNCTION("""COMPUTED_VALUE"""),45727.4981778125)</f>
        <v>45727.49818</v>
      </c>
      <c r="G2000" s="42" t="str">
        <f>IFERROR(__xludf.DUMMYFUNCTION("""COMPUTED_VALUE"""),"BN JUAL BELI")</f>
        <v>BN JUAL BELI</v>
      </c>
      <c r="H2000" s="42">
        <f t="shared" si="1"/>
        <v>925</v>
      </c>
    </row>
    <row r="2001" ht="22.5" customHeight="1">
      <c r="B2001" s="42" t="str">
        <f>IFERROR(__xludf.DUMMYFUNCTION("""COMPUTED_VALUE"""),"K/11/070225/4")</f>
        <v>K/11/070225/4</v>
      </c>
      <c r="C2001" s="42" t="str">
        <f>IFERROR(__xludf.DUMMYFUNCTION("""COMPUTED_VALUE"""),"Nibel 1173/ Rajabsa Jaya")</f>
        <v>Nibel 1173/ Rajabsa Jaya</v>
      </c>
      <c r="D2001" s="42"/>
      <c r="E2001" s="42"/>
      <c r="F2001" s="48" t="str">
        <f>IFERROR(__xludf.DUMMYFUNCTION("""COMPUTED_VALUE"""),"")</f>
        <v/>
      </c>
      <c r="G2001" s="42" t="str">
        <f>IFERROR(__xludf.DUMMYFUNCTION("""COMPUTED_VALUE"""),"BN JUAL BELI")</f>
        <v>BN JUAL BELI</v>
      </c>
      <c r="H2001" s="42">
        <f t="shared" si="1"/>
        <v>925</v>
      </c>
    </row>
    <row r="2002" ht="22.5" customHeight="1">
      <c r="B2002" s="42" t="str">
        <f>IFERROR(__xludf.DUMMYFUNCTION("""COMPUTED_VALUE"""),"K/12/070225/5")</f>
        <v>K/12/070225/5</v>
      </c>
      <c r="C2002" s="42" t="str">
        <f>IFERROR(__xludf.DUMMYFUNCTION("""COMPUTED_VALUE"""),"Nibel 1172/ Rajabasa Jaya")</f>
        <v>Nibel 1172/ Rajabasa Jaya</v>
      </c>
      <c r="D2002" s="42"/>
      <c r="E2002" s="42"/>
      <c r="F2002" s="48" t="str">
        <f>IFERROR(__xludf.DUMMYFUNCTION("""COMPUTED_VALUE"""),"")</f>
        <v/>
      </c>
      <c r="G2002" s="42" t="str">
        <f>IFERROR(__xludf.DUMMYFUNCTION("""COMPUTED_VALUE"""),"BN JUAL BELI")</f>
        <v>BN JUAL BELI</v>
      </c>
      <c r="H2002" s="42">
        <f t="shared" si="1"/>
        <v>925</v>
      </c>
    </row>
    <row r="2003" ht="22.5" customHeight="1">
      <c r="B2003" s="42" t="str">
        <f>IFERROR(__xludf.DUMMYFUNCTION("""COMPUTED_VALUE"""),"K/38/070225/1")</f>
        <v>K/38/070225/1</v>
      </c>
      <c r="C2003" s="42" t="str">
        <f>IFERROR(__xludf.DUMMYFUNCTION("""COMPUTED_VALUE"""),"Nibel 18130/ Gunung Agung")</f>
        <v>Nibel 18130/ Gunung Agung</v>
      </c>
      <c r="D2003" s="42"/>
      <c r="E2003" s="42"/>
      <c r="F2003" s="48" t="str">
        <f>IFERROR(__xludf.DUMMYFUNCTION("""COMPUTED_VALUE"""),"")</f>
        <v/>
      </c>
      <c r="G2003" s="42" t="str">
        <f>IFERROR(__xludf.DUMMYFUNCTION("""COMPUTED_VALUE"""),"BN LELANG")</f>
        <v>BN LELANG</v>
      </c>
      <c r="H2003" s="42">
        <f t="shared" si="1"/>
        <v>925</v>
      </c>
    </row>
    <row r="2004" ht="22.5" customHeight="1">
      <c r="B2004" s="42" t="str">
        <f>IFERROR(__xludf.DUMMYFUNCTION("""COMPUTED_VALUE"""),"K/39/070225/1")</f>
        <v>K/39/070225/1</v>
      </c>
      <c r="C2004" s="42" t="str">
        <f>IFERROR(__xludf.DUMMYFUNCTION("""COMPUTED_VALUE"""),"M. 728/ Labuhan Dalam")</f>
        <v>M. 728/ Labuhan Dalam</v>
      </c>
      <c r="D2004" s="42"/>
      <c r="E2004" s="42" t="str">
        <f>IFERROR(__xludf.DUMMYFUNCTION("""COMPUTED_VALUE"""),"DISERAHKAN")</f>
        <v>DISERAHKAN</v>
      </c>
      <c r="F2004" s="48">
        <f>IFERROR(__xludf.DUMMYFUNCTION("""COMPUTED_VALUE"""),45702.42944409722)</f>
        <v>45702.42944</v>
      </c>
      <c r="G2004" s="42" t="str">
        <f>IFERROR(__xludf.DUMMYFUNCTION("""COMPUTED_VALUE"""),"BN JUAL BELI")</f>
        <v>BN JUAL BELI</v>
      </c>
      <c r="H2004" s="42">
        <f t="shared" si="1"/>
        <v>926</v>
      </c>
    </row>
    <row r="2005" ht="22.5" customHeight="1">
      <c r="B2005" s="42" t="str">
        <f>IFERROR(__xludf.DUMMYFUNCTION("""COMPUTED_VALUE"""),"L/40/070225/1")</f>
        <v>L/40/070225/1</v>
      </c>
      <c r="C2005" s="42" t="str">
        <f>IFERROR(__xludf.DUMMYFUNCTION("""COMPUTED_VALUE"""),"M.153/SUMUR PUTRI")</f>
        <v>M.153/SUMUR PUTRI</v>
      </c>
      <c r="D2005" s="42"/>
      <c r="E2005" s="42" t="str">
        <f>IFERROR(__xludf.DUMMYFUNCTION("""COMPUTED_VALUE"""),"DISERAHKAN")</f>
        <v>DISERAHKAN</v>
      </c>
      <c r="F2005" s="48">
        <f>IFERROR(__xludf.DUMMYFUNCTION("""COMPUTED_VALUE"""),45719.63478232639)</f>
        <v>45719.63478</v>
      </c>
      <c r="G2005" s="42" t="str">
        <f>IFERROR(__xludf.DUMMYFUNCTION("""COMPUTED_VALUE"""),"ROYA")</f>
        <v>ROYA</v>
      </c>
      <c r="H2005" s="42">
        <f t="shared" si="1"/>
        <v>927</v>
      </c>
    </row>
    <row r="2006" ht="22.5" customHeight="1">
      <c r="B2006" s="42" t="str">
        <f>IFERROR(__xludf.DUMMYFUNCTION("""COMPUTED_VALUE"""),"K/35/070225/2")</f>
        <v>K/35/070225/2</v>
      </c>
      <c r="C2006" s="42" t="str">
        <f>IFERROR(__xludf.DUMMYFUNCTION("""COMPUTED_VALUE"""),"M. 2497/ Rajabasa Jaya")</f>
        <v>M. 2497/ Rajabasa Jaya</v>
      </c>
      <c r="D2006" s="42"/>
      <c r="E2006" s="42" t="str">
        <f>IFERROR(__xludf.DUMMYFUNCTION("""COMPUTED_VALUE"""),"DISERAHKAN")</f>
        <v>DISERAHKAN</v>
      </c>
      <c r="F2006" s="48">
        <f>IFERROR(__xludf.DUMMYFUNCTION("""COMPUTED_VALUE"""),45727.49848472222)</f>
        <v>45727.49848</v>
      </c>
      <c r="G2006" s="42" t="str">
        <f>IFERROR(__xludf.DUMMYFUNCTION("""COMPUTED_VALUE"""),"BN JUAL BELI")</f>
        <v>BN JUAL BELI</v>
      </c>
      <c r="H2006" s="42">
        <f t="shared" si="1"/>
        <v>928</v>
      </c>
    </row>
    <row r="2007" ht="22.5" customHeight="1">
      <c r="B2007" s="42" t="str">
        <f>IFERROR(__xludf.DUMMYFUNCTION("""COMPUTED_VALUE"""),"K/41/070225/1")</f>
        <v>K/41/070225/1</v>
      </c>
      <c r="C2007" s="42" t="str">
        <f>IFERROR(__xludf.DUMMYFUNCTION("""COMPUTED_VALUE"""),"M. 1291/ Pinang Jaya")</f>
        <v>M. 1291/ Pinang Jaya</v>
      </c>
      <c r="D2007" s="42"/>
      <c r="E2007" s="42" t="str">
        <f>IFERROR(__xludf.DUMMYFUNCTION("""COMPUTED_VALUE"""),"DISERAHKAN")</f>
        <v>DISERAHKAN</v>
      </c>
      <c r="F2007" s="48">
        <f>IFERROR(__xludf.DUMMYFUNCTION("""COMPUTED_VALUE"""),45706.45004116898)</f>
        <v>45706.45004</v>
      </c>
      <c r="G2007" s="42" t="str">
        <f>IFERROR(__xludf.DUMMYFUNCTION("""COMPUTED_VALUE"""),"BN Jual Beli")</f>
        <v>BN Jual Beli</v>
      </c>
      <c r="H2007" s="42">
        <f t="shared" si="1"/>
        <v>929</v>
      </c>
    </row>
    <row r="2008" ht="22.5" customHeight="1">
      <c r="B2008" s="42" t="str">
        <f>IFERROR(__xludf.DUMMYFUNCTION("""COMPUTED_VALUE"""),"L/1/090225/PELATARAN")</f>
        <v>L/1/090225/PELATARAN</v>
      </c>
      <c r="C2008" s="42" t="str">
        <f>IFERROR(__xludf.DUMMYFUNCTION("""COMPUTED_VALUE"""),"M.12818/SEGALAMIDER")</f>
        <v>M.12818/SEGALAMIDER</v>
      </c>
      <c r="D2008" s="42"/>
      <c r="E2008" s="42"/>
      <c r="F2008" s="48" t="str">
        <f>IFERROR(__xludf.DUMMYFUNCTION("""COMPUTED_VALUE"""),"")</f>
        <v/>
      </c>
      <c r="G2008" s="42" t="str">
        <f>IFERROR(__xludf.DUMMYFUNCTION("""COMPUTED_VALUE"""),"GANTI BLANGKO")</f>
        <v>GANTI BLANGKO</v>
      </c>
      <c r="H2008" s="42">
        <f t="shared" si="1"/>
        <v>929</v>
      </c>
    </row>
    <row r="2009" ht="22.5" customHeight="1">
      <c r="B2009" s="42" t="str">
        <f>IFERROR(__xludf.DUMMYFUNCTION("""COMPUTED_VALUE"""),"K/1/100225/1")</f>
        <v>K/1/100225/1</v>
      </c>
      <c r="C2009" s="42" t="str">
        <f>IFERROR(__xludf.DUMMYFUNCTION("""COMPUTED_VALUE"""),"M. 625/ Rajabasa Jaya")</f>
        <v>M. 625/ Rajabasa Jaya</v>
      </c>
      <c r="D2009" s="42"/>
      <c r="E2009" s="42"/>
      <c r="F2009" s="48" t="str">
        <f>IFERROR(__xludf.DUMMYFUNCTION("""COMPUTED_VALUE"""),"")</f>
        <v/>
      </c>
      <c r="G2009" s="42" t="str">
        <f>IFERROR(__xludf.DUMMYFUNCTION("""COMPUTED_VALUE"""),"BN LELANG")</f>
        <v>BN LELANG</v>
      </c>
      <c r="H2009" s="42">
        <f t="shared" si="1"/>
        <v>929</v>
      </c>
    </row>
    <row r="2010" ht="22.5" customHeight="1">
      <c r="B2010" s="42" t="str">
        <f>IFERROR(__xludf.DUMMYFUNCTION("""COMPUTED_VALUE"""),"K/2/100225/2")</f>
        <v>K/2/100225/2</v>
      </c>
      <c r="C2010" s="42" t="str">
        <f>IFERROR(__xludf.DUMMYFUNCTION("""COMPUTED_VALUE"""),"M. 10245/ Rajabasa jaya")</f>
        <v>M. 10245/ Rajabasa jaya</v>
      </c>
      <c r="D2010" s="42"/>
      <c r="E2010" s="42"/>
      <c r="F2010" s="48" t="str">
        <f>IFERROR(__xludf.DUMMYFUNCTION("""COMPUTED_VALUE"""),"")</f>
        <v/>
      </c>
      <c r="G2010" s="42" t="str">
        <f>IFERROR(__xludf.DUMMYFUNCTION("""COMPUTED_VALUE"""),"BN LELANG")</f>
        <v>BN LELANG</v>
      </c>
      <c r="H2010" s="42">
        <f t="shared" si="1"/>
        <v>929</v>
      </c>
    </row>
    <row r="2011" ht="22.5" customHeight="1">
      <c r="B2011" s="42" t="str">
        <f>IFERROR(__xludf.DUMMYFUNCTION("""COMPUTED_VALUE"""),"K/3/100225/1")</f>
        <v>K/3/100225/1</v>
      </c>
      <c r="C2011" s="42" t="str">
        <f>IFERROR(__xludf.DUMMYFUNCTION("""COMPUTED_VALUE"""),"B.601/SUMBER AGUNG")</f>
        <v>B.601/SUMBER AGUNG</v>
      </c>
      <c r="D2011" s="42"/>
      <c r="E2011" s="42" t="str">
        <f>IFERROR(__xludf.DUMMYFUNCTION("""COMPUTED_VALUE"""),"DISERAHKAN")</f>
        <v>DISERAHKAN</v>
      </c>
      <c r="F2011" s="48">
        <f>IFERROR(__xludf.DUMMYFUNCTION("""COMPUTED_VALUE"""),45720.43920228009)</f>
        <v>45720.4392</v>
      </c>
      <c r="G2011" s="42" t="str">
        <f>IFERROR(__xludf.DUMMYFUNCTION("""COMPUTED_VALUE"""),"JUAL BELI")</f>
        <v>JUAL BELI</v>
      </c>
      <c r="H2011" s="42">
        <f t="shared" si="1"/>
        <v>930</v>
      </c>
    </row>
    <row r="2012" ht="22.5" customHeight="1">
      <c r="B2012" s="42" t="str">
        <f>IFERROR(__xludf.DUMMYFUNCTION("""COMPUTED_VALUE"""),"L/4/100225/1")</f>
        <v>L/4/100225/1</v>
      </c>
      <c r="C2012" s="42" t="str">
        <f>IFERROR(__xludf.DUMMYFUNCTION("""COMPUTED_VALUE"""),"m.11548/KEDAMAIAN")</f>
        <v>m.11548/KEDAMAIAN</v>
      </c>
      <c r="D2012" s="42"/>
      <c r="E2012" s="42"/>
      <c r="F2012" s="48" t="str">
        <f>IFERROR(__xludf.DUMMYFUNCTION("""COMPUTED_VALUE"""),"")</f>
        <v/>
      </c>
      <c r="G2012" s="42" t="str">
        <f>IFERROR(__xludf.DUMMYFUNCTION("""COMPUTED_VALUE"""),"BALIK NAMA WARIS ")</f>
        <v>BALIK NAMA WARIS </v>
      </c>
      <c r="H2012" s="42">
        <f t="shared" si="1"/>
        <v>930</v>
      </c>
    </row>
    <row r="2013" ht="22.5" customHeight="1">
      <c r="B2013" s="42" t="str">
        <f>IFERROR(__xludf.DUMMYFUNCTION("""COMPUTED_VALUE"""),"K/5/100225/1")</f>
        <v>K/5/100225/1</v>
      </c>
      <c r="C2013" s="42" t="str">
        <f>IFERROR(__xludf.DUMMYFUNCTION("""COMPUTED_VALUE"""),"M.13633/SUKABUMI")</f>
        <v>M.13633/SUKABUMI</v>
      </c>
      <c r="D2013" s="42"/>
      <c r="E2013" s="42" t="str">
        <f>IFERROR(__xludf.DUMMYFUNCTION("""COMPUTED_VALUE"""),"DISERAHKAN")</f>
        <v>DISERAHKAN</v>
      </c>
      <c r="F2013" s="48">
        <f>IFERROR(__xludf.DUMMYFUNCTION("""COMPUTED_VALUE"""),45730.60894549769)</f>
        <v>45730.60895</v>
      </c>
      <c r="G2013" s="42" t="str">
        <f>IFERROR(__xludf.DUMMYFUNCTION("""COMPUTED_VALUE"""),"ROYA")</f>
        <v>ROYA</v>
      </c>
      <c r="H2013" s="42">
        <f t="shared" si="1"/>
        <v>931</v>
      </c>
    </row>
    <row r="2014" ht="22.5" customHeight="1">
      <c r="B2014" s="42" t="str">
        <f>IFERROR(__xludf.DUMMYFUNCTION("""COMPUTED_VALUE"""),"L/6/100225/1")</f>
        <v>L/6/100225/1</v>
      </c>
      <c r="C2014" s="42" t="str">
        <f>IFERROR(__xludf.DUMMYFUNCTION("""COMPUTED_VALUE"""),"M.3360/WAY KANDIS ")</f>
        <v>M.3360/WAY KANDIS </v>
      </c>
      <c r="D2014" s="42"/>
      <c r="E2014" s="42" t="str">
        <f>IFERROR(__xludf.DUMMYFUNCTION("""COMPUTED_VALUE"""),"DISERAHKAN")</f>
        <v>DISERAHKAN</v>
      </c>
      <c r="F2014" s="48">
        <f>IFERROR(__xludf.DUMMYFUNCTION("""COMPUTED_VALUE"""),45719.636373877314)</f>
        <v>45719.63637</v>
      </c>
      <c r="G2014" s="42" t="str">
        <f>IFERROR(__xludf.DUMMYFUNCTION("""COMPUTED_VALUE"""),"ROYA")</f>
        <v>ROYA</v>
      </c>
      <c r="H2014" s="42">
        <f t="shared" si="1"/>
        <v>932</v>
      </c>
    </row>
    <row r="2015" ht="22.5" customHeight="1">
      <c r="B2015" s="42" t="str">
        <f>IFERROR(__xludf.DUMMYFUNCTION("""COMPUTED_VALUE"""),"L/7/100225/1")</f>
        <v>L/7/100225/1</v>
      </c>
      <c r="C2015" s="42" t="str">
        <f>IFERROR(__xludf.DUMMYFUNCTION("""COMPUTED_VALUE"""),"M.12300/RAJABASA")</f>
        <v>M.12300/RAJABASA</v>
      </c>
      <c r="D2015" s="42"/>
      <c r="E2015" s="42" t="str">
        <f>IFERROR(__xludf.DUMMYFUNCTION("""COMPUTED_VALUE"""),"DISERAHKAN")</f>
        <v>DISERAHKAN</v>
      </c>
      <c r="F2015" s="48">
        <f>IFERROR(__xludf.DUMMYFUNCTION("""COMPUTED_VALUE"""),45722.49828488426)</f>
        <v>45722.49828</v>
      </c>
      <c r="G2015" s="42" t="str">
        <f>IFERROR(__xludf.DUMMYFUNCTION("""COMPUTED_VALUE"""),"ROYA")</f>
        <v>ROYA</v>
      </c>
      <c r="H2015" s="42">
        <f t="shared" si="1"/>
        <v>933</v>
      </c>
    </row>
    <row r="2016" ht="22.5" customHeight="1">
      <c r="B2016" s="42" t="str">
        <f>IFERROR(__xludf.DUMMYFUNCTION("""COMPUTED_VALUE"""),"L/8/100225/2")</f>
        <v>L/8/100225/2</v>
      </c>
      <c r="C2016" s="42" t="str">
        <f>IFERROR(__xludf.DUMMYFUNCTION("""COMPUTED_VALUE"""),"M.91/RAJABASA RAYA")</f>
        <v>M.91/RAJABASA RAYA</v>
      </c>
      <c r="D2016" s="42"/>
      <c r="E2016" s="42" t="str">
        <f>IFERROR(__xludf.DUMMYFUNCTION("""COMPUTED_VALUE"""),"DISERAHKAN")</f>
        <v>DISERAHKAN</v>
      </c>
      <c r="F2016" s="48">
        <f>IFERROR(__xludf.DUMMYFUNCTION("""COMPUTED_VALUE"""),45722.49783046296)</f>
        <v>45722.49783</v>
      </c>
      <c r="G2016" s="42" t="str">
        <f>IFERROR(__xludf.DUMMYFUNCTION("""COMPUTED_VALUE"""),"ROYA")</f>
        <v>ROYA</v>
      </c>
      <c r="H2016" s="42">
        <f t="shared" si="1"/>
        <v>934</v>
      </c>
    </row>
    <row r="2017" ht="22.5" customHeight="1">
      <c r="B2017" s="42" t="str">
        <f>IFERROR(__xludf.DUMMYFUNCTION("""COMPUTED_VALUE"""),"K/9/100225/1")</f>
        <v>K/9/100225/1</v>
      </c>
      <c r="C2017" s="42" t="str">
        <f>IFERROR(__xludf.DUMMYFUNCTION("""COMPUTED_VALUE"""),"Nibel 6970/Pahoman")</f>
        <v>Nibel 6970/Pahoman</v>
      </c>
      <c r="D2017" s="42"/>
      <c r="E2017" s="42"/>
      <c r="F2017" s="48" t="str">
        <f>IFERROR(__xludf.DUMMYFUNCTION("""COMPUTED_VALUE"""),"")</f>
        <v/>
      </c>
      <c r="G2017" s="42" t="str">
        <f>IFERROR(__xludf.DUMMYFUNCTION("""COMPUTED_VALUE"""),"BN JUAL BELI")</f>
        <v>BN JUAL BELI</v>
      </c>
      <c r="H2017" s="42">
        <f t="shared" si="1"/>
        <v>934</v>
      </c>
    </row>
    <row r="2018" ht="22.5" customHeight="1">
      <c r="B2018" s="42" t="str">
        <f>IFERROR(__xludf.DUMMYFUNCTION("""COMPUTED_VALUE"""),"K/13/100225/4")</f>
        <v>K/13/100225/4</v>
      </c>
      <c r="C2018" s="42" t="str">
        <f>IFERROR(__xludf.DUMMYFUNCTION("""COMPUTED_VALUE"""),"MRS. 70/ Tanjungkarang")</f>
        <v>MRS. 70/ Tanjungkarang</v>
      </c>
      <c r="D2018" s="42"/>
      <c r="E2018" s="42" t="str">
        <f>IFERROR(__xludf.DUMMYFUNCTION("""COMPUTED_VALUE"""),"DISERAHKAN")</f>
        <v>DISERAHKAN</v>
      </c>
      <c r="F2018" s="48">
        <f>IFERROR(__xludf.DUMMYFUNCTION("""COMPUTED_VALUE"""),45734.483158773146)</f>
        <v>45734.48316</v>
      </c>
      <c r="G2018" s="42" t="str">
        <f>IFERROR(__xludf.DUMMYFUNCTION("""COMPUTED_VALUE"""),"BN Jual Beli")</f>
        <v>BN Jual Beli</v>
      </c>
      <c r="H2018" s="42">
        <f t="shared" si="1"/>
        <v>935</v>
      </c>
    </row>
    <row r="2019" ht="22.5" customHeight="1">
      <c r="B2019" s="42" t="str">
        <f>IFERROR(__xludf.DUMMYFUNCTION("""COMPUTED_VALUE"""),"K/12/100225/3")</f>
        <v>K/12/100225/3</v>
      </c>
      <c r="C2019" s="42" t="str">
        <f>IFERROR(__xludf.DUMMYFUNCTION("""COMPUTED_VALUE"""),"MRS. 69/ Tanjungkarang")</f>
        <v>MRS. 69/ Tanjungkarang</v>
      </c>
      <c r="D2019" s="42"/>
      <c r="E2019" s="42" t="str">
        <f>IFERROR(__xludf.DUMMYFUNCTION("""COMPUTED_VALUE"""),"DISERAHKAN")</f>
        <v>DISERAHKAN</v>
      </c>
      <c r="F2019" s="48">
        <f>IFERROR(__xludf.DUMMYFUNCTION("""COMPUTED_VALUE"""),45722.50621521991)</f>
        <v>45722.50622</v>
      </c>
      <c r="G2019" s="42" t="str">
        <f>IFERROR(__xludf.DUMMYFUNCTION("""COMPUTED_VALUE"""),"BN Jual Beli")</f>
        <v>BN Jual Beli</v>
      </c>
      <c r="H2019" s="42">
        <f t="shared" si="1"/>
        <v>936</v>
      </c>
    </row>
    <row r="2020" ht="22.5" customHeight="1">
      <c r="B2020" s="42" t="str">
        <f>IFERROR(__xludf.DUMMYFUNCTION("""COMPUTED_VALUE"""),"K/11/100225/2")</f>
        <v>K/11/100225/2</v>
      </c>
      <c r="C2020" s="42" t="str">
        <f>IFERROR(__xludf.DUMMYFUNCTION("""COMPUTED_VALUE"""),"Nibel. B. 2048/ N O G")</f>
        <v>Nibel. B. 2048/ N O G</v>
      </c>
      <c r="D2020" s="42"/>
      <c r="E2020" s="42"/>
      <c r="F2020" s="48" t="str">
        <f>IFERROR(__xludf.DUMMYFUNCTION("""COMPUTED_VALUE"""),"")</f>
        <v/>
      </c>
      <c r="G2020" s="42" t="str">
        <f>IFERROR(__xludf.DUMMYFUNCTION("""COMPUTED_VALUE"""),"BN Jual Beli")</f>
        <v>BN Jual Beli</v>
      </c>
      <c r="H2020" s="42">
        <f t="shared" si="1"/>
        <v>936</v>
      </c>
    </row>
    <row r="2021" ht="22.5" customHeight="1">
      <c r="B2021" s="42" t="str">
        <f>IFERROR(__xludf.DUMMYFUNCTION("""COMPUTED_VALUE"""),"K/10/100225/1")</f>
        <v>K/10/100225/1</v>
      </c>
      <c r="C2021" s="42" t="str">
        <f>IFERROR(__xludf.DUMMYFUNCTION("""COMPUTED_VALUE"""),"M. 1364/ Durian Payung")</f>
        <v>M. 1364/ Durian Payung</v>
      </c>
      <c r="D2021" s="42"/>
      <c r="E2021" s="42"/>
      <c r="F2021" s="48" t="str">
        <f>IFERROR(__xludf.DUMMYFUNCTION("""COMPUTED_VALUE"""),"")</f>
        <v/>
      </c>
      <c r="G2021" s="42" t="str">
        <f>IFERROR(__xludf.DUMMYFUNCTION("""COMPUTED_VALUE"""),"BN Jual Beli")</f>
        <v>BN Jual Beli</v>
      </c>
      <c r="H2021" s="42">
        <f t="shared" si="1"/>
        <v>936</v>
      </c>
    </row>
    <row r="2022" ht="22.5" customHeight="1">
      <c r="B2022" s="42" t="str">
        <f>IFERROR(__xludf.DUMMYFUNCTION("""COMPUTED_VALUE"""),"K/15/100225/1")</f>
        <v>K/15/100225/1</v>
      </c>
      <c r="C2022" s="42" t="str">
        <f>IFERROR(__xludf.DUMMYFUNCTION("""COMPUTED_VALUE"""),"NIBEL B.202/KETEGUHAN")</f>
        <v>NIBEL B.202/KETEGUHAN</v>
      </c>
      <c r="D2022" s="42"/>
      <c r="E2022" s="42"/>
      <c r="F2022" s="48" t="str">
        <f>IFERROR(__xludf.DUMMYFUNCTION("""COMPUTED_VALUE"""),"")</f>
        <v/>
      </c>
      <c r="G2022" s="42" t="str">
        <f>IFERROR(__xludf.DUMMYFUNCTION("""COMPUTED_VALUE"""),"PERUBAHAN HAK")</f>
        <v>PERUBAHAN HAK</v>
      </c>
      <c r="H2022" s="42">
        <f t="shared" si="1"/>
        <v>936</v>
      </c>
    </row>
    <row r="2023" ht="22.5" customHeight="1">
      <c r="B2023" s="42" t="str">
        <f>IFERROR(__xludf.DUMMYFUNCTION("""COMPUTED_VALUE"""),"K/14/100225/1")</f>
        <v>K/14/100225/1</v>
      </c>
      <c r="C2023" s="42" t="str">
        <f>IFERROR(__xludf.DUMMYFUNCTION("""COMPUTED_VALUE"""),"M. 3143/ Tanjung Seneng")</f>
        <v>M. 3143/ Tanjung Seneng</v>
      </c>
      <c r="D2023" s="42"/>
      <c r="E2023" s="42"/>
      <c r="F2023" s="48" t="str">
        <f>IFERROR(__xludf.DUMMYFUNCTION("""COMPUTED_VALUE"""),"")</f>
        <v/>
      </c>
      <c r="G2023" s="42" t="str">
        <f>IFERROR(__xludf.DUMMYFUNCTION("""COMPUTED_VALUE"""),"PENGUKURAN ULANG/ PENATAAN BATAS")</f>
        <v>PENGUKURAN ULANG/ PENATAAN BATAS</v>
      </c>
      <c r="H2023" s="42">
        <f t="shared" si="1"/>
        <v>936</v>
      </c>
    </row>
    <row r="2024" ht="22.5" customHeight="1">
      <c r="B2024" s="42" t="str">
        <f>IFERROR(__xludf.DUMMYFUNCTION("""COMPUTED_VALUE"""),"K/16/100225/1")</f>
        <v>K/16/100225/1</v>
      </c>
      <c r="C2024" s="42" t="str">
        <f>IFERROR(__xludf.DUMMYFUNCTION("""COMPUTED_VALUE"""),"PBT. 101/2024 / KEMILING RAYA")</f>
        <v>PBT. 101/2024 / KEMILING RAYA</v>
      </c>
      <c r="D2024" s="42"/>
      <c r="E2024" s="42"/>
      <c r="F2024" s="48" t="str">
        <f>IFERROR(__xludf.DUMMYFUNCTION("""COMPUTED_VALUE"""),"")</f>
        <v/>
      </c>
      <c r="G2024" s="42" t="str">
        <f>IFERROR(__xludf.DUMMYFUNCTION("""COMPUTED_VALUE"""),"PENDAFTARAN SK")</f>
        <v>PENDAFTARAN SK</v>
      </c>
      <c r="H2024" s="42">
        <f t="shared" si="1"/>
        <v>936</v>
      </c>
    </row>
    <row r="2025" ht="22.5" customHeight="1">
      <c r="B2025" s="42" t="str">
        <f>IFERROR(__xludf.DUMMYFUNCTION("""COMPUTED_VALUE"""),"K/19/100225/1")</f>
        <v>K/19/100225/1</v>
      </c>
      <c r="C2025" s="42" t="str">
        <f>IFERROR(__xludf.DUMMYFUNCTION("""COMPUTED_VALUE"""),"M.265//BERINGIN RAYA")</f>
        <v>M.265//BERINGIN RAYA</v>
      </c>
      <c r="D2025" s="42"/>
      <c r="E2025" s="42" t="str">
        <f>IFERROR(__xludf.DUMMYFUNCTION("""COMPUTED_VALUE"""),"DISERAHKAN BT")</f>
        <v>DISERAHKAN BT</v>
      </c>
      <c r="F2025" s="48">
        <f>IFERROR(__xludf.DUMMYFUNCTION("""COMPUTED_VALUE"""),45713.708200925925)</f>
        <v>45713.7082</v>
      </c>
      <c r="G2025" s="42" t="str">
        <f>IFERROR(__xludf.DUMMYFUNCTION("""COMPUTED_VALUE"""),"BN WARIS")</f>
        <v>BN WARIS</v>
      </c>
      <c r="H2025" s="42">
        <f t="shared" si="1"/>
        <v>936</v>
      </c>
    </row>
    <row r="2026" ht="22.5" customHeight="1">
      <c r="B2026" s="42" t="str">
        <f>IFERROR(__xludf.DUMMYFUNCTION("""COMPUTED_VALUE"""),"L/20/100225/1")</f>
        <v>L/20/100225/1</v>
      </c>
      <c r="C2026" s="42" t="str">
        <f>IFERROR(__xludf.DUMMYFUNCTION("""COMPUTED_VALUE"""),"B.4946/BERINGIN RAYA")</f>
        <v>B.4946/BERINGIN RAYA</v>
      </c>
      <c r="D2026" s="42"/>
      <c r="E2026" s="42"/>
      <c r="F2026" s="48" t="str">
        <f>IFERROR(__xludf.DUMMYFUNCTION("""COMPUTED_VALUE"""),"")</f>
        <v/>
      </c>
      <c r="G2026" s="42" t="str">
        <f>IFERROR(__xludf.DUMMYFUNCTION("""COMPUTED_VALUE"""),"PH")</f>
        <v>PH</v>
      </c>
      <c r="H2026" s="42">
        <f t="shared" si="1"/>
        <v>936</v>
      </c>
    </row>
    <row r="2027" ht="22.5" customHeight="1">
      <c r="B2027" s="42" t="str">
        <f>IFERROR(__xludf.DUMMYFUNCTION("""COMPUTED_VALUE"""),"K/18/100225/1")</f>
        <v>K/18/100225/1</v>
      </c>
      <c r="C2027" s="42" t="str">
        <f>IFERROR(__xludf.DUMMYFUNCTION("""COMPUTED_VALUE"""),"K/18/100225/1")</f>
        <v>K/18/100225/1</v>
      </c>
      <c r="D2027" s="42"/>
      <c r="E2027" s="42"/>
      <c r="F2027" s="48" t="str">
        <f>IFERROR(__xludf.DUMMYFUNCTION("""COMPUTED_VALUE"""),"")</f>
        <v/>
      </c>
      <c r="G2027" s="42" t="str">
        <f>IFERROR(__xludf.DUMMYFUNCTION("""COMPUTED_VALUE"""),"BN JUAL BELI")</f>
        <v>BN JUAL BELI</v>
      </c>
      <c r="H2027" s="42">
        <f t="shared" si="1"/>
        <v>936</v>
      </c>
    </row>
    <row r="2028" ht="22.5" customHeight="1">
      <c r="B2028" s="42" t="str">
        <f>IFERROR(__xludf.DUMMYFUNCTION("""COMPUTED_VALUE"""),"K/21/100225/1")</f>
        <v>K/21/100225/1</v>
      </c>
      <c r="C2028" s="42" t="str">
        <f>IFERROR(__xludf.DUMMYFUNCTION("""COMPUTED_VALUE"""),"M. 225/ Bilabong Jaya")</f>
        <v>M. 225/ Bilabong Jaya</v>
      </c>
      <c r="D2028" s="42"/>
      <c r="E2028" s="42" t="str">
        <f>IFERROR(__xludf.DUMMYFUNCTION("""COMPUTED_VALUE"""),"DISERAHKAN")</f>
        <v>DISERAHKAN</v>
      </c>
      <c r="F2028" s="48">
        <f>IFERROR(__xludf.DUMMYFUNCTION("""COMPUTED_VALUE"""),45708.46686554398)</f>
        <v>45708.46687</v>
      </c>
      <c r="G2028" s="42" t="str">
        <f>IFERROR(__xludf.DUMMYFUNCTION("""COMPUTED_VALUE"""),"BN JUAL BELI")</f>
        <v>BN JUAL BELI</v>
      </c>
      <c r="H2028" s="42">
        <f t="shared" si="1"/>
        <v>937</v>
      </c>
    </row>
    <row r="2029" ht="22.5" customHeight="1">
      <c r="B2029" s="42" t="str">
        <f>IFERROR(__xludf.DUMMYFUNCTION("""COMPUTED_VALUE"""),"K/22/100225/1")</f>
        <v>K/22/100225/1</v>
      </c>
      <c r="C2029" s="42" t="str">
        <f>IFERROR(__xludf.DUMMYFUNCTION("""COMPUTED_VALUE"""),"Nibel. M. 8263/ Pesawahan")</f>
        <v>Nibel. M. 8263/ Pesawahan</v>
      </c>
      <c r="D2029" s="42"/>
      <c r="E2029" s="42"/>
      <c r="F2029" s="48" t="str">
        <f>IFERROR(__xludf.DUMMYFUNCTION("""COMPUTED_VALUE"""),"")</f>
        <v/>
      </c>
      <c r="G2029" s="42" t="str">
        <f>IFERROR(__xludf.DUMMYFUNCTION("""COMPUTED_VALUE"""),"BN Jual Beli")</f>
        <v>BN Jual Beli</v>
      </c>
      <c r="H2029" s="42">
        <f t="shared" si="1"/>
        <v>937</v>
      </c>
    </row>
    <row r="2030" ht="22.5" customHeight="1">
      <c r="B2030" s="42" t="str">
        <f>IFERROR(__xludf.DUMMYFUNCTION("""COMPUTED_VALUE"""),"K/24/100225/2")</f>
        <v>K/24/100225/2</v>
      </c>
      <c r="C2030" s="42" t="str">
        <f>IFERROR(__xludf.DUMMYFUNCTION("""COMPUTED_VALUE"""),"M.12771/TANJUNG BARU, M.12772/TANJUNG BARU")</f>
        <v>M.12771/TANJUNG BARU, M.12772/TANJUNG BARU</v>
      </c>
      <c r="D2030" s="42"/>
      <c r="E2030" s="42" t="str">
        <f>IFERROR(__xludf.DUMMYFUNCTION("""COMPUTED_VALUE"""),"DISERAHKAN")</f>
        <v>DISERAHKAN</v>
      </c>
      <c r="F2030" s="48">
        <f>IFERROR(__xludf.DUMMYFUNCTION("""COMPUTED_VALUE"""),45727.521315034726)</f>
        <v>45727.52132</v>
      </c>
      <c r="G2030" s="42" t="str">
        <f>IFERROR(__xludf.DUMMYFUNCTION("""COMPUTED_VALUE"""),"ROYA")</f>
        <v>ROYA</v>
      </c>
      <c r="H2030" s="42">
        <f t="shared" si="1"/>
        <v>938</v>
      </c>
    </row>
    <row r="2031" ht="22.5" customHeight="1">
      <c r="B2031" s="42" t="str">
        <f>IFERROR(__xludf.DUMMYFUNCTION("""COMPUTED_VALUE"""),"K/17/100225/2")</f>
        <v>K/17/100225/2</v>
      </c>
      <c r="C2031" s="42" t="str">
        <f>IFERROR(__xludf.DUMMYFUNCTION("""COMPUTED_VALUE"""),"PBT. 102/2024 /KEMILING RAYA")</f>
        <v>PBT. 102/2024 /KEMILING RAYA</v>
      </c>
      <c r="D2031" s="42"/>
      <c r="E2031" s="42"/>
      <c r="F2031" s="48" t="str">
        <f>IFERROR(__xludf.DUMMYFUNCTION("""COMPUTED_VALUE"""),"")</f>
        <v/>
      </c>
      <c r="G2031" s="42" t="str">
        <f>IFERROR(__xludf.DUMMYFUNCTION("""COMPUTED_VALUE"""),"PENDAFTARAN SK")</f>
        <v>PENDAFTARAN SK</v>
      </c>
      <c r="H2031" s="42">
        <f t="shared" si="1"/>
        <v>938</v>
      </c>
    </row>
    <row r="2032" ht="22.5" customHeight="1">
      <c r="B2032" s="42" t="str">
        <f>IFERROR(__xludf.DUMMYFUNCTION("""COMPUTED_VALUE"""),"K/25/100225/1")</f>
        <v>K/25/100225/1</v>
      </c>
      <c r="C2032" s="42" t="str">
        <f>IFERROR(__xludf.DUMMYFUNCTION("""COMPUTED_VALUE"""),"M.1540/BATU PUTUK")</f>
        <v>M.1540/BATU PUTUK</v>
      </c>
      <c r="D2032" s="42"/>
      <c r="E2032" s="42"/>
      <c r="F2032" s="48" t="str">
        <f>IFERROR(__xludf.DUMMYFUNCTION("""COMPUTED_VALUE"""),"")</f>
        <v/>
      </c>
      <c r="G2032" s="42" t="str">
        <f>IFERROR(__xludf.DUMMYFUNCTION("""COMPUTED_VALUE"""),"HAPUS BPHTB ")</f>
        <v>HAPUS BPHTB </v>
      </c>
      <c r="H2032" s="42">
        <f t="shared" si="1"/>
        <v>938</v>
      </c>
    </row>
    <row r="2033" ht="22.5" customHeight="1">
      <c r="B2033" s="42" t="str">
        <f>IFERROR(__xludf.DUMMYFUNCTION("""COMPUTED_VALUE"""),"K/26/100225/1")</f>
        <v>K/26/100225/1</v>
      </c>
      <c r="C2033" s="42" t="str">
        <f>IFERROR(__xludf.DUMMYFUNCTION("""COMPUTED_VALUE"""),"B. 3901/ Beringin Raya")</f>
        <v>B. 3901/ Beringin Raya</v>
      </c>
      <c r="D2033" s="42"/>
      <c r="E2033" s="42"/>
      <c r="F2033" s="48" t="str">
        <f>IFERROR(__xludf.DUMMYFUNCTION("""COMPUTED_VALUE"""),"")</f>
        <v/>
      </c>
      <c r="G2033" s="42" t="str">
        <f>IFERROR(__xludf.DUMMYFUNCTION("""COMPUTED_VALUE"""),"SKPT (Informasi)")</f>
        <v>SKPT (Informasi)</v>
      </c>
      <c r="H2033" s="42">
        <f t="shared" si="1"/>
        <v>938</v>
      </c>
    </row>
    <row r="2034" ht="22.5" customHeight="1">
      <c r="B2034" s="42" t="str">
        <f>IFERROR(__xludf.DUMMYFUNCTION("""COMPUTED_VALUE"""),"K/27/100225/1")</f>
        <v>K/27/100225/1</v>
      </c>
      <c r="C2034" s="42" t="str">
        <f>IFERROR(__xludf.DUMMYFUNCTION("""COMPUTED_VALUE"""),"M.1596/PINANG JAYA")</f>
        <v>M.1596/PINANG JAYA</v>
      </c>
      <c r="D2034" s="42"/>
      <c r="E2034" s="42" t="str">
        <f>IFERROR(__xludf.DUMMYFUNCTION("""COMPUTED_VALUE"""),"DISERAHKAN")</f>
        <v>DISERAHKAN</v>
      </c>
      <c r="F2034" s="48">
        <f>IFERROR(__xludf.DUMMYFUNCTION("""COMPUTED_VALUE"""),45707.671544675926)</f>
        <v>45707.67154</v>
      </c>
      <c r="G2034" s="42" t="str">
        <f>IFERROR(__xludf.DUMMYFUNCTION("""COMPUTED_VALUE"""),"BN JUAL BELI")</f>
        <v>BN JUAL BELI</v>
      </c>
      <c r="H2034" s="42">
        <f t="shared" si="1"/>
        <v>939</v>
      </c>
    </row>
    <row r="2035" ht="22.5" customHeight="1">
      <c r="B2035" s="42" t="str">
        <f>IFERROR(__xludf.DUMMYFUNCTION("""COMPUTED_VALUE"""),"K/30/100225/1")</f>
        <v>K/30/100225/1</v>
      </c>
      <c r="C2035" s="42" t="str">
        <f>IFERROR(__xludf.DUMMYFUNCTION("""COMPUTED_VALUE"""),"M.2493/SUSUNAN BARU")</f>
        <v>M.2493/SUSUNAN BARU</v>
      </c>
      <c r="D2035" s="42"/>
      <c r="E2035" s="42" t="str">
        <f>IFERROR(__xludf.DUMMYFUNCTION("""COMPUTED_VALUE"""),"DISERAHKAN")</f>
        <v>DISERAHKAN</v>
      </c>
      <c r="F2035" s="48">
        <f>IFERROR(__xludf.DUMMYFUNCTION("""COMPUTED_VALUE"""),45705.57753945602)</f>
        <v>45705.57754</v>
      </c>
      <c r="G2035" s="42" t="str">
        <f>IFERROR(__xludf.DUMMYFUNCTION("""COMPUTED_VALUE"""),"JUAL BELI")</f>
        <v>JUAL BELI</v>
      </c>
      <c r="H2035" s="42">
        <f t="shared" si="1"/>
        <v>940</v>
      </c>
    </row>
    <row r="2036" ht="22.5" customHeight="1">
      <c r="B2036" s="42" t="str">
        <f>IFERROR(__xludf.DUMMYFUNCTION("""COMPUTED_VALUE"""),"K/28/100225/2")</f>
        <v>K/28/100225/2</v>
      </c>
      <c r="C2036" s="42" t="str">
        <f>IFERROR(__xludf.DUMMYFUNCTION("""COMPUTED_VALUE"""),"NIBEL M. 16762/ SUMBERREJO SEJAHTERA")</f>
        <v>NIBEL M. 16762/ SUMBERREJO SEJAHTERA</v>
      </c>
      <c r="D2036" s="42"/>
      <c r="E2036" s="42"/>
      <c r="F2036" s="48" t="str">
        <f>IFERROR(__xludf.DUMMYFUNCTION("""COMPUTED_VALUE"""),"")</f>
        <v/>
      </c>
      <c r="G2036" s="42" t="str">
        <f>IFERROR(__xludf.DUMMYFUNCTION("""COMPUTED_VALUE"""),"BN JUAL BELI")</f>
        <v>BN JUAL BELI</v>
      </c>
      <c r="H2036" s="42">
        <f t="shared" si="1"/>
        <v>940</v>
      </c>
    </row>
    <row r="2037" ht="22.5" customHeight="1">
      <c r="B2037" s="42" t="str">
        <f>IFERROR(__xludf.DUMMYFUNCTION("""COMPUTED_VALUE"""),"K/31/100225/1")</f>
        <v>K/31/100225/1</v>
      </c>
      <c r="C2037" s="42" t="str">
        <f>IFERROR(__xludf.DUMMYFUNCTION("""COMPUTED_VALUE"""),"M.4783/LANGKAPURA")</f>
        <v>M.4783/LANGKAPURA</v>
      </c>
      <c r="D2037" s="42"/>
      <c r="E2037" s="42"/>
      <c r="F2037" s="48" t="str">
        <f>IFERROR(__xludf.DUMMYFUNCTION("""COMPUTED_VALUE"""),"")</f>
        <v/>
      </c>
      <c r="G2037" s="42" t="str">
        <f>IFERROR(__xludf.DUMMYFUNCTION("""COMPUTED_VALUE"""),"HAPUS BPHTB")</f>
        <v>HAPUS BPHTB</v>
      </c>
      <c r="H2037" s="42">
        <f t="shared" si="1"/>
        <v>940</v>
      </c>
    </row>
    <row r="2038" ht="22.5" customHeight="1">
      <c r="B2038" s="42" t="str">
        <f>IFERROR(__xludf.DUMMYFUNCTION("""COMPUTED_VALUE"""),"L/32/100225/1")</f>
        <v>L/32/100225/1</v>
      </c>
      <c r="C2038" s="42" t="str">
        <f>IFERROR(__xludf.DUMMYFUNCTION("""COMPUTED_VALUE"""),"M.11217/SUKARAME")</f>
        <v>M.11217/SUKARAME</v>
      </c>
      <c r="D2038" s="42"/>
      <c r="E2038" s="42" t="str">
        <f>IFERROR(__xludf.DUMMYFUNCTION("""COMPUTED_VALUE"""),"DISERAHKAN")</f>
        <v>DISERAHKAN</v>
      </c>
      <c r="F2038" s="48">
        <f>IFERROR(__xludf.DUMMYFUNCTION("""COMPUTED_VALUE"""),45723.54465203704)</f>
        <v>45723.54465</v>
      </c>
      <c r="G2038" s="42" t="str">
        <f>IFERROR(__xludf.DUMMYFUNCTION("""COMPUTED_VALUE"""),"ROYA")</f>
        <v>ROYA</v>
      </c>
      <c r="H2038" s="42">
        <f t="shared" si="1"/>
        <v>941</v>
      </c>
    </row>
    <row r="2039" ht="22.5" customHeight="1">
      <c r="B2039" s="42" t="str">
        <f>IFERROR(__xludf.DUMMYFUNCTION("""COMPUTED_VALUE"""),"K/33/100225/1")</f>
        <v>K/33/100225/1</v>
      </c>
      <c r="C2039" s="42" t="str">
        <f>IFERROR(__xludf.DUMMYFUNCTION("""COMPUTED_VALUE"""),"M. 292/ K B K ")</f>
        <v>M. 292/ K B K </v>
      </c>
      <c r="D2039" s="42"/>
      <c r="E2039" s="42" t="str">
        <f>IFERROR(__xludf.DUMMYFUNCTION("""COMPUTED_VALUE"""),"DISERAHKAN")</f>
        <v>DISERAHKAN</v>
      </c>
      <c r="F2039" s="48">
        <f>IFERROR(__xludf.DUMMYFUNCTION("""COMPUTED_VALUE"""),45706.44923515046)</f>
        <v>45706.44924</v>
      </c>
      <c r="G2039" s="42" t="str">
        <f>IFERROR(__xludf.DUMMYFUNCTION("""COMPUTED_VALUE"""),"BN Jual Beli")</f>
        <v>BN Jual Beli</v>
      </c>
      <c r="H2039" s="42">
        <f t="shared" si="1"/>
        <v>942</v>
      </c>
    </row>
    <row r="2040" ht="22.5" customHeight="1">
      <c r="B2040" s="42" t="str">
        <f>IFERROR(__xludf.DUMMYFUNCTION("""COMPUTED_VALUE"""),"L/35/100225/1")</f>
        <v>L/35/100225/1</v>
      </c>
      <c r="C2040" s="42" t="str">
        <f>IFERROR(__xludf.DUMMYFUNCTION("""COMPUTED_VALUE"""),"M.439/PERUMNASWAYKANDIS")</f>
        <v>M.439/PERUMNASWAYKANDIS</v>
      </c>
      <c r="D2040" s="42"/>
      <c r="E2040" s="42" t="str">
        <f>IFERROR(__xludf.DUMMYFUNCTION("""COMPUTED_VALUE"""),"DISERAHKAN")</f>
        <v>DISERAHKAN</v>
      </c>
      <c r="F2040" s="48">
        <f>IFERROR(__xludf.DUMMYFUNCTION("""COMPUTED_VALUE"""),45758.48720512731)</f>
        <v>45758.48721</v>
      </c>
      <c r="G2040" s="42" t="str">
        <f>IFERROR(__xludf.DUMMYFUNCTION("""COMPUTED_VALUE"""),"ROYA")</f>
        <v>ROYA</v>
      </c>
      <c r="H2040" s="42">
        <f t="shared" si="1"/>
        <v>943</v>
      </c>
    </row>
    <row r="2041" ht="22.5" customHeight="1">
      <c r="B2041" s="42" t="str">
        <f>IFERROR(__xludf.DUMMYFUNCTION("""COMPUTED_VALUE"""),"K/29/100225/3")</f>
        <v>K/29/100225/3</v>
      </c>
      <c r="C2041" s="42" t="str">
        <f>IFERROR(__xludf.DUMMYFUNCTION("""COMPUTED_VALUE"""),"NIBEL M.2988/WAY KANDIS")</f>
        <v>NIBEL M.2988/WAY KANDIS</v>
      </c>
      <c r="D2041" s="42"/>
      <c r="E2041" s="42"/>
      <c r="F2041" s="48" t="str">
        <f>IFERROR(__xludf.DUMMYFUNCTION("""COMPUTED_VALUE"""),"")</f>
        <v/>
      </c>
      <c r="G2041" s="42" t="str">
        <f>IFERROR(__xludf.DUMMYFUNCTION("""COMPUTED_VALUE"""),"BN JUAL BELI")</f>
        <v>BN JUAL BELI</v>
      </c>
      <c r="H2041" s="42">
        <f t="shared" si="1"/>
        <v>943</v>
      </c>
    </row>
    <row r="2042" ht="22.5" customHeight="1">
      <c r="B2042" s="42" t="str">
        <f>IFERROR(__xludf.DUMMYFUNCTION("""COMPUTED_VALUE"""),"L/38/100225/1")</f>
        <v>L/38/100225/1</v>
      </c>
      <c r="C2042" s="42" t="str">
        <f>IFERROR(__xludf.DUMMYFUNCTION("""COMPUTED_VALUE"""),"B.2406/CAMPANG JAYA")</f>
        <v>B.2406/CAMPANG JAYA</v>
      </c>
      <c r="D2042" s="42"/>
      <c r="E2042" s="42"/>
      <c r="F2042" s="48" t="str">
        <f>IFERROR(__xludf.DUMMYFUNCTION("""COMPUTED_VALUE"""),"")</f>
        <v/>
      </c>
      <c r="G2042" s="42" t="str">
        <f>IFERROR(__xludf.DUMMYFUNCTION("""COMPUTED_VALUE"""),"PERMOHONAN SK PEMBAHARUAN HAK")</f>
        <v>PERMOHONAN SK PEMBAHARUAN HAK</v>
      </c>
      <c r="H2042" s="42">
        <f t="shared" si="1"/>
        <v>943</v>
      </c>
    </row>
    <row r="2043" ht="22.5" customHeight="1">
      <c r="B2043" s="42" t="str">
        <f>IFERROR(__xludf.DUMMYFUNCTION("""COMPUTED_VALUE"""),"K/37/100225/1")</f>
        <v>K/37/100225/1</v>
      </c>
      <c r="C2043" s="42" t="str">
        <f>IFERROR(__xludf.DUMMYFUNCTION("""COMPUTED_VALUE"""),"M. 9975/ Sukabumi")</f>
        <v>M. 9975/ Sukabumi</v>
      </c>
      <c r="D2043" s="42"/>
      <c r="E2043" s="42"/>
      <c r="F2043" s="48" t="str">
        <f>IFERROR(__xludf.DUMMYFUNCTION("""COMPUTED_VALUE"""),"")</f>
        <v/>
      </c>
      <c r="G2043" s="42" t="str">
        <f>IFERROR(__xludf.DUMMYFUNCTION("""COMPUTED_VALUE"""),"BN JUAL BELI")</f>
        <v>BN JUAL BELI</v>
      </c>
      <c r="H2043" s="42">
        <f t="shared" si="1"/>
        <v>943</v>
      </c>
    </row>
    <row r="2044" ht="22.5" customHeight="1">
      <c r="B2044" s="42" t="str">
        <f>IFERROR(__xludf.DUMMYFUNCTION("""COMPUTED_VALUE"""),"K/36/100225/1")</f>
        <v>K/36/100225/1</v>
      </c>
      <c r="C2044" s="42" t="str">
        <f>IFERROR(__xludf.DUMMYFUNCTION("""COMPUTED_VALUE"""),"M. 2255/ Rajabasa Raya")</f>
        <v>M. 2255/ Rajabasa Raya</v>
      </c>
      <c r="D2044" s="42"/>
      <c r="E2044" s="42" t="str">
        <f>IFERROR(__xludf.DUMMYFUNCTION("""COMPUTED_VALUE"""),"DISERAHKAN")</f>
        <v>DISERAHKAN</v>
      </c>
      <c r="F2044" s="48">
        <f>IFERROR(__xludf.DUMMYFUNCTION("""COMPUTED_VALUE"""),45706.45253944444)</f>
        <v>45706.45254</v>
      </c>
      <c r="G2044" s="42" t="str">
        <f>IFERROR(__xludf.DUMMYFUNCTION("""COMPUTED_VALUE"""),"BN Jual Beli")</f>
        <v>BN Jual Beli</v>
      </c>
      <c r="H2044" s="42">
        <f t="shared" si="1"/>
        <v>944</v>
      </c>
    </row>
    <row r="2045" ht="22.5" customHeight="1">
      <c r="B2045" s="42" t="str">
        <f>IFERROR(__xludf.DUMMYFUNCTION("""COMPUTED_VALUE"""),"K/41/100225/1")</f>
        <v>K/41/100225/1</v>
      </c>
      <c r="C2045" s="42" t="str">
        <f>IFERROR(__xludf.DUMMYFUNCTION("""COMPUTED_VALUE"""),"Nibel 3133/ Kota Baru")</f>
        <v>Nibel 3133/ Kota Baru</v>
      </c>
      <c r="D2045" s="42"/>
      <c r="E2045" s="42"/>
      <c r="F2045" s="48" t="str">
        <f>IFERROR(__xludf.DUMMYFUNCTION("""COMPUTED_VALUE"""),"")</f>
        <v/>
      </c>
      <c r="G2045" s="42" t="str">
        <f>IFERROR(__xludf.DUMMYFUNCTION("""COMPUTED_VALUE"""),"BN JUAL BELI")</f>
        <v>BN JUAL BELI</v>
      </c>
      <c r="H2045" s="42">
        <f t="shared" si="1"/>
        <v>944</v>
      </c>
    </row>
    <row r="2046" ht="22.5" customHeight="1">
      <c r="B2046" s="42" t="str">
        <f>IFERROR(__xludf.DUMMYFUNCTION("""COMPUTED_VALUE"""),"K/39/100225/1")</f>
        <v>K/39/100225/1</v>
      </c>
      <c r="C2046" s="42" t="str">
        <f>IFERROR(__xludf.DUMMYFUNCTION("""COMPUTED_VALUE"""),"M.1802/RAJABASA JAYA")</f>
        <v>M.1802/RAJABASA JAYA</v>
      </c>
      <c r="D2046" s="42"/>
      <c r="E2046" s="42" t="str">
        <f>IFERROR(__xludf.DUMMYFUNCTION("""COMPUTED_VALUE"""),"DISERAHKAN")</f>
        <v>DISERAHKAN</v>
      </c>
      <c r="F2046" s="48">
        <f>IFERROR(__xludf.DUMMYFUNCTION("""COMPUTED_VALUE"""),45707.67245925926)</f>
        <v>45707.67246</v>
      </c>
      <c r="G2046" s="42" t="str">
        <f>IFERROR(__xludf.DUMMYFUNCTION("""COMPUTED_VALUE"""),"BN JUAL BELI")</f>
        <v>BN JUAL BELI</v>
      </c>
      <c r="H2046" s="42">
        <f t="shared" si="1"/>
        <v>945</v>
      </c>
    </row>
    <row r="2047" ht="22.5" customHeight="1">
      <c r="B2047" s="42" t="str">
        <f>IFERROR(__xludf.DUMMYFUNCTION("""COMPUTED_VALUE"""),"K/42/100225/1")</f>
        <v>K/42/100225/1</v>
      </c>
      <c r="C2047" s="42" t="str">
        <f>IFERROR(__xludf.DUMMYFUNCTION("""COMPUTED_VALUE"""),"B. 1847/ Beringin Raya")</f>
        <v>B. 1847/ Beringin Raya</v>
      </c>
      <c r="D2047" s="42"/>
      <c r="E2047" s="42"/>
      <c r="F2047" s="48" t="str">
        <f>IFERROR(__xludf.DUMMYFUNCTION("""COMPUTED_VALUE"""),"")</f>
        <v/>
      </c>
      <c r="G2047" s="42" t="str">
        <f>IFERROR(__xludf.DUMMYFUNCTION("""COMPUTED_VALUE"""),"PENGUKURAN HGB BERAKHIR")</f>
        <v>PENGUKURAN HGB BERAKHIR</v>
      </c>
      <c r="H2047" s="42">
        <f t="shared" si="1"/>
        <v>945</v>
      </c>
    </row>
    <row r="2048" ht="22.5" customHeight="1">
      <c r="B2048" s="42" t="str">
        <f>IFERROR(__xludf.DUMMYFUNCTION("""COMPUTED_VALUE"""),"K/43/100225/1")</f>
        <v>K/43/100225/1</v>
      </c>
      <c r="C2048" s="42" t="str">
        <f>IFERROR(__xludf.DUMMYFUNCTION("""COMPUTED_VALUE"""),"M. 637/ Gulak Galik")</f>
        <v>M. 637/ Gulak Galik</v>
      </c>
      <c r="D2048" s="42"/>
      <c r="E2048" s="42" t="str">
        <f>IFERROR(__xludf.DUMMYFUNCTION("""COMPUTED_VALUE"""),"DISERAHKAN")</f>
        <v>DISERAHKAN</v>
      </c>
      <c r="F2048" s="48">
        <f>IFERROR(__xludf.DUMMYFUNCTION("""COMPUTED_VALUE"""),45706.454046631945)</f>
        <v>45706.45405</v>
      </c>
      <c r="G2048" s="42" t="str">
        <f>IFERROR(__xludf.DUMMYFUNCTION("""COMPUTED_VALUE"""),"BN JUAL BELI")</f>
        <v>BN JUAL BELI</v>
      </c>
      <c r="H2048" s="42">
        <f t="shared" si="1"/>
        <v>946</v>
      </c>
    </row>
    <row r="2049" ht="22.5" customHeight="1">
      <c r="B2049" s="42" t="str">
        <f>IFERROR(__xludf.DUMMYFUNCTION("""COMPUTED_VALUE"""),"K/44/100225/2")</f>
        <v>K/44/100225/2</v>
      </c>
      <c r="C2049" s="42" t="str">
        <f>IFERROR(__xludf.DUMMYFUNCTION("""COMPUTED_VALUE"""),"B. 948/ Beringin Jaya")</f>
        <v>B. 948/ Beringin Jaya</v>
      </c>
      <c r="D2049" s="42"/>
      <c r="E2049" s="42" t="str">
        <f>IFERROR(__xludf.DUMMYFUNCTION("""COMPUTED_VALUE"""),"DISERAHKAN")</f>
        <v>DISERAHKAN</v>
      </c>
      <c r="F2049" s="48">
        <f>IFERROR(__xludf.DUMMYFUNCTION("""COMPUTED_VALUE"""),45706.45492276621)</f>
        <v>45706.45492</v>
      </c>
      <c r="G2049" s="42" t="str">
        <f>IFERROR(__xludf.DUMMYFUNCTION("""COMPUTED_VALUE"""),"BN JUAL BELI")</f>
        <v>BN JUAL BELI</v>
      </c>
      <c r="H2049" s="42">
        <f t="shared" si="1"/>
        <v>947</v>
      </c>
    </row>
    <row r="2050" ht="22.5" customHeight="1">
      <c r="B2050" s="42" t="str">
        <f>IFERROR(__xludf.DUMMYFUNCTION("""COMPUTED_VALUE"""),"K/47/100225/1")</f>
        <v>K/47/100225/1</v>
      </c>
      <c r="C2050" s="42" t="str">
        <f>IFERROR(__xludf.DUMMYFUNCTION("""COMPUTED_VALUE"""),"M. 764/ Sawah Brebes")</f>
        <v>M. 764/ Sawah Brebes</v>
      </c>
      <c r="D2050" s="42"/>
      <c r="E2050" s="42"/>
      <c r="F2050" s="48" t="str">
        <f>IFERROR(__xludf.DUMMYFUNCTION("""COMPUTED_VALUE"""),"")</f>
        <v/>
      </c>
      <c r="G2050" s="42" t="str">
        <f>IFERROR(__xludf.DUMMYFUNCTION("""COMPUTED_VALUE"""),"BN Hibah")</f>
        <v>BN Hibah</v>
      </c>
      <c r="H2050" s="42">
        <f t="shared" si="1"/>
        <v>947</v>
      </c>
    </row>
    <row r="2051" ht="22.5" customHeight="1">
      <c r="B2051" s="42" t="str">
        <f>IFERROR(__xludf.DUMMYFUNCTION("""COMPUTED_VALUE"""),"K/45/100225/3")</f>
        <v>K/45/100225/3</v>
      </c>
      <c r="C2051" s="42" t="str">
        <f>IFERROR(__xludf.DUMMYFUNCTION("""COMPUTED_VALUE"""),"B. 949/ Beringin Jaya")</f>
        <v>B. 949/ Beringin Jaya</v>
      </c>
      <c r="D2051" s="42"/>
      <c r="E2051" s="42" t="str">
        <f>IFERROR(__xludf.DUMMYFUNCTION("""COMPUTED_VALUE"""),"DISERAHKAN")</f>
        <v>DISERAHKAN</v>
      </c>
      <c r="F2051" s="48">
        <f>IFERROR(__xludf.DUMMYFUNCTION("""COMPUTED_VALUE"""),45706.455731168986)</f>
        <v>45706.45573</v>
      </c>
      <c r="G2051" s="42" t="str">
        <f>IFERROR(__xludf.DUMMYFUNCTION("""COMPUTED_VALUE"""),"BN JUAL BELI")</f>
        <v>BN JUAL BELI</v>
      </c>
      <c r="H2051" s="42">
        <f t="shared" si="1"/>
        <v>948</v>
      </c>
    </row>
    <row r="2052" ht="22.5" customHeight="1">
      <c r="B2052" s="42" t="str">
        <f>IFERROR(__xludf.DUMMYFUNCTION("""COMPUTED_VALUE"""),"K/46/100225/4")</f>
        <v>K/46/100225/4</v>
      </c>
      <c r="C2052" s="42" t="str">
        <f>IFERROR(__xludf.DUMMYFUNCTION("""COMPUTED_VALUE"""),"B. 618/ Sumber Agung")</f>
        <v>B. 618/ Sumber Agung</v>
      </c>
      <c r="D2052" s="42"/>
      <c r="E2052" s="42" t="str">
        <f>IFERROR(__xludf.DUMMYFUNCTION("""COMPUTED_VALUE"""),"DISERAHKAN")</f>
        <v>DISERAHKAN</v>
      </c>
      <c r="F2052" s="48">
        <f>IFERROR(__xludf.DUMMYFUNCTION("""COMPUTED_VALUE"""),45722.50266554398)</f>
        <v>45722.50267</v>
      </c>
      <c r="G2052" s="42" t="str">
        <f>IFERROR(__xludf.DUMMYFUNCTION("""COMPUTED_VALUE"""),"BN JUAL BELI")</f>
        <v>BN JUAL BELI</v>
      </c>
      <c r="H2052" s="42">
        <f t="shared" si="1"/>
        <v>949</v>
      </c>
    </row>
    <row r="2053" ht="22.5" customHeight="1">
      <c r="B2053" s="42" t="str">
        <f>IFERROR(__xludf.DUMMYFUNCTION("""COMPUTED_VALUE"""),"L/50/100225/1")</f>
        <v>L/50/100225/1</v>
      </c>
      <c r="C2053" s="42" t="str">
        <f>IFERROR(__xludf.DUMMYFUNCTION("""COMPUTED_VALUE"""),"m.1923/CAMPANG RAYA")</f>
        <v>m.1923/CAMPANG RAYA</v>
      </c>
      <c r="D2053" s="42"/>
      <c r="E2053" s="42" t="str">
        <f>IFERROR(__xludf.DUMMYFUNCTION("""COMPUTED_VALUE"""),"DISERAHKAN")</f>
        <v>DISERAHKAN</v>
      </c>
      <c r="F2053" s="48">
        <f>IFERROR(__xludf.DUMMYFUNCTION("""COMPUTED_VALUE"""),45719.64083527778)</f>
        <v>45719.64084</v>
      </c>
      <c r="G2053" s="42" t="str">
        <f>IFERROR(__xludf.DUMMYFUNCTION("""COMPUTED_VALUE"""),"ROYA")</f>
        <v>ROYA</v>
      </c>
      <c r="H2053" s="42">
        <f t="shared" si="1"/>
        <v>950</v>
      </c>
    </row>
    <row r="2054" ht="22.5" customHeight="1">
      <c r="B2054" s="42" t="str">
        <f>IFERROR(__xludf.DUMMYFUNCTION("""COMPUTED_VALUE"""),"K/48/100225/1")</f>
        <v>K/48/100225/1</v>
      </c>
      <c r="C2054" s="42" t="str">
        <f>IFERROR(__xludf.DUMMYFUNCTION("""COMPUTED_VALUE"""),"Nibel. M. 17997/ Sumberejo")</f>
        <v>Nibel. M. 17997/ Sumberejo</v>
      </c>
      <c r="D2054" s="42"/>
      <c r="E2054" s="42"/>
      <c r="F2054" s="48" t="str">
        <f>IFERROR(__xludf.DUMMYFUNCTION("""COMPUTED_VALUE"""),"")</f>
        <v/>
      </c>
      <c r="G2054" s="42" t="str">
        <f>IFERROR(__xludf.DUMMYFUNCTION("""COMPUTED_VALUE"""),"BN Jual Beli")</f>
        <v>BN Jual Beli</v>
      </c>
      <c r="H2054" s="42">
        <f t="shared" si="1"/>
        <v>950</v>
      </c>
    </row>
    <row r="2055" ht="22.5" customHeight="1">
      <c r="B2055" s="42" t="str">
        <f>IFERROR(__xludf.DUMMYFUNCTION("""COMPUTED_VALUE"""),"K/49/100225/1")</f>
        <v>K/49/100225/1</v>
      </c>
      <c r="C2055" s="42" t="str">
        <f>IFERROR(__xludf.DUMMYFUNCTION("""COMPUTED_VALUE"""),"Nibel. M. 17423/ Kota Baru")</f>
        <v>Nibel. M. 17423/ Kota Baru</v>
      </c>
      <c r="D2055" s="42"/>
      <c r="E2055" s="42"/>
      <c r="F2055" s="48" t="str">
        <f>IFERROR(__xludf.DUMMYFUNCTION("""COMPUTED_VALUE"""),"")</f>
        <v/>
      </c>
      <c r="G2055" s="42" t="str">
        <f>IFERROR(__xludf.DUMMYFUNCTION("""COMPUTED_VALUE"""),"BN Jual Beli")</f>
        <v>BN Jual Beli</v>
      </c>
      <c r="H2055" s="42">
        <f t="shared" si="1"/>
        <v>950</v>
      </c>
    </row>
    <row r="2056" ht="22.5" customHeight="1">
      <c r="B2056" s="42" t="str">
        <f>IFERROR(__xludf.DUMMYFUNCTION("""COMPUTED_VALUE"""),"AISYAH")</f>
        <v>AISYAH</v>
      </c>
      <c r="C2056" s="42" t="str">
        <f>IFERROR(__xludf.DUMMYFUNCTION("""COMPUTED_VALUE"""),"M. 1983/ RAJABASA JAYA")</f>
        <v>M. 1983/ RAJABASA JAYA</v>
      </c>
      <c r="D2056" s="42"/>
      <c r="E2056" s="42"/>
      <c r="F2056" s="48" t="str">
        <f>IFERROR(__xludf.DUMMYFUNCTION("""COMPUTED_VALUE"""),"")</f>
        <v/>
      </c>
      <c r="G2056" s="42" t="str">
        <f>IFERROR(__xludf.DUMMYFUNCTION("""COMPUTED_VALUE"""),"HAPUS BPHTB")</f>
        <v>HAPUS BPHTB</v>
      </c>
      <c r="H2056" s="42">
        <f t="shared" si="1"/>
        <v>950</v>
      </c>
    </row>
    <row r="2057" ht="22.5" customHeight="1">
      <c r="B2057" s="42" t="str">
        <f>IFERROR(__xludf.DUMMYFUNCTION("""COMPUTED_VALUE"""),"K/51/100225/1")</f>
        <v>K/51/100225/1</v>
      </c>
      <c r="C2057" s="42" t="str">
        <f>IFERROR(__xludf.DUMMYFUNCTION("""COMPUTED_VALUE"""),"M.1473/KUPANG TEBA")</f>
        <v>M.1473/KUPANG TEBA</v>
      </c>
      <c r="D2057" s="42"/>
      <c r="E2057" s="42" t="str">
        <f>IFERROR(__xludf.DUMMYFUNCTION("""COMPUTED_VALUE"""),"DISERAHKAN")</f>
        <v>DISERAHKAN</v>
      </c>
      <c r="F2057" s="48">
        <f>IFERROR(__xludf.DUMMYFUNCTION("""COMPUTED_VALUE"""),45713.70654133102)</f>
        <v>45713.70654</v>
      </c>
      <c r="G2057" s="42" t="str">
        <f>IFERROR(__xludf.DUMMYFUNCTION("""COMPUTED_VALUE"""),"BN JUAL BELI")</f>
        <v>BN JUAL BELI</v>
      </c>
      <c r="H2057" s="42">
        <f t="shared" si="1"/>
        <v>951</v>
      </c>
    </row>
    <row r="2058" ht="22.5" customHeight="1">
      <c r="B2058" s="42" t="str">
        <f>IFERROR(__xludf.DUMMYFUNCTION("""COMPUTED_VALUE"""),"K/52/100225/2")</f>
        <v>K/52/100225/2</v>
      </c>
      <c r="C2058" s="42" t="str">
        <f>IFERROR(__xludf.DUMMYFUNCTION("""COMPUTED_VALUE"""),"NIBEL M.4140/PEMATANG WANGI")</f>
        <v>NIBEL M.4140/PEMATANG WANGI</v>
      </c>
      <c r="D2058" s="42"/>
      <c r="E2058" s="42"/>
      <c r="F2058" s="48" t="str">
        <f>IFERROR(__xludf.DUMMYFUNCTION("""COMPUTED_VALUE"""),"")</f>
        <v/>
      </c>
      <c r="G2058" s="42" t="str">
        <f>IFERROR(__xludf.DUMMYFUNCTION("""COMPUTED_VALUE"""),"BN JUAL BELI")</f>
        <v>BN JUAL BELI</v>
      </c>
      <c r="H2058" s="42">
        <f t="shared" si="1"/>
        <v>951</v>
      </c>
    </row>
    <row r="2059" ht="22.5" customHeight="1">
      <c r="B2059" s="42" t="str">
        <f>IFERROR(__xludf.DUMMYFUNCTION("""COMPUTED_VALUE"""),"K/53/100225/1")</f>
        <v>K/53/100225/1</v>
      </c>
      <c r="C2059" s="42" t="str">
        <f>IFERROR(__xludf.DUMMYFUNCTION("""COMPUTED_VALUE"""),"M. 1154/ Bumi Kedamaian")</f>
        <v>M. 1154/ Bumi Kedamaian</v>
      </c>
      <c r="D2059" s="42"/>
      <c r="E2059" s="42" t="str">
        <f>IFERROR(__xludf.DUMMYFUNCTION("""COMPUTED_VALUE"""),"DISERAHKAN BT")</f>
        <v>DISERAHKAN BT</v>
      </c>
      <c r="F2059" s="48">
        <f>IFERROR(__xludf.DUMMYFUNCTION("""COMPUTED_VALUE"""),45708.464103969905)</f>
        <v>45708.4641</v>
      </c>
      <c r="G2059" s="42" t="str">
        <f>IFERROR(__xludf.DUMMYFUNCTION("""COMPUTED_VALUE"""),"BN JUAL BELI")</f>
        <v>BN JUAL BELI</v>
      </c>
      <c r="H2059" s="42">
        <f t="shared" si="1"/>
        <v>951</v>
      </c>
    </row>
    <row r="2060" ht="22.5" customHeight="1">
      <c r="B2060" s="42" t="str">
        <f>IFERROR(__xludf.DUMMYFUNCTION("""COMPUTED_VALUE"""),"K/54/100225/1")</f>
        <v>K/54/100225/1</v>
      </c>
      <c r="C2060" s="42" t="str">
        <f>IFERROR(__xludf.DUMMYFUNCTION("""COMPUTED_VALUE"""),"M. 1875/RAJABASA JAYA")</f>
        <v>M. 1875/RAJABASA JAYA</v>
      </c>
      <c r="D2060" s="42"/>
      <c r="E2060" s="42" t="str">
        <f>IFERROR(__xludf.DUMMYFUNCTION("""COMPUTED_VALUE"""),"DISERAHKAN")</f>
        <v>DISERAHKAN</v>
      </c>
      <c r="F2060" s="48">
        <f>IFERROR(__xludf.DUMMYFUNCTION("""COMPUTED_VALUE"""),45707.67266494213)</f>
        <v>45707.67266</v>
      </c>
      <c r="G2060" s="42" t="str">
        <f>IFERROR(__xludf.DUMMYFUNCTION("""COMPUTED_VALUE"""),"BN WARIS")</f>
        <v>BN WARIS</v>
      </c>
      <c r="H2060" s="42">
        <f t="shared" si="1"/>
        <v>952</v>
      </c>
    </row>
    <row r="2061" ht="22.5" customHeight="1">
      <c r="B2061" s="42" t="str">
        <f>IFERROR(__xludf.DUMMYFUNCTION("""COMPUTED_VALUE"""),"K/55/100225/2")</f>
        <v>K/55/100225/2</v>
      </c>
      <c r="C2061" s="42" t="str">
        <f>IFERROR(__xludf.DUMMYFUNCTION("""COMPUTED_VALUE"""),"M.202/RAJABASA PEMUKA")</f>
        <v>M.202/RAJABASA PEMUKA</v>
      </c>
      <c r="D2061" s="42"/>
      <c r="E2061" s="42" t="str">
        <f>IFERROR(__xludf.DUMMYFUNCTION("""COMPUTED_VALUE"""),"DISERAHKAN")</f>
        <v>DISERAHKAN</v>
      </c>
      <c r="F2061" s="48">
        <f>IFERROR(__xludf.DUMMYFUNCTION("""COMPUTED_VALUE"""),45707.67330638889)</f>
        <v>45707.67331</v>
      </c>
      <c r="G2061" s="42" t="str">
        <f>IFERROR(__xludf.DUMMYFUNCTION("""COMPUTED_VALUE"""),"BN JUAL BELI")</f>
        <v>BN JUAL BELI</v>
      </c>
      <c r="H2061" s="42">
        <f t="shared" si="1"/>
        <v>953</v>
      </c>
    </row>
    <row r="2062" ht="22.5" customHeight="1">
      <c r="B2062" s="42" t="str">
        <f>IFERROR(__xludf.DUMMYFUNCTION("""COMPUTED_VALUE"""),"K/56/100225/3")</f>
        <v>K/56/100225/3</v>
      </c>
      <c r="C2062" s="42" t="str">
        <f>IFERROR(__xludf.DUMMYFUNCTION("""COMPUTED_VALUE"""),"M.4040/GUNUNG TERANG")</f>
        <v>M.4040/GUNUNG TERANG</v>
      </c>
      <c r="D2062" s="42"/>
      <c r="E2062" s="42"/>
      <c r="F2062" s="48" t="str">
        <f>IFERROR(__xludf.DUMMYFUNCTION("""COMPUTED_VALUE"""),"")</f>
        <v/>
      </c>
      <c r="G2062" s="42" t="str">
        <f>IFERROR(__xludf.DUMMYFUNCTION("""COMPUTED_VALUE"""),"HAPUS BPHTB")</f>
        <v>HAPUS BPHTB</v>
      </c>
      <c r="H2062" s="42">
        <f t="shared" si="1"/>
        <v>953</v>
      </c>
    </row>
    <row r="2063" ht="22.5" customHeight="1">
      <c r="B2063" s="42" t="str">
        <f>IFERROR(__xludf.DUMMYFUNCTION("""COMPUTED_VALUE"""),"L/57/100225/1")</f>
        <v>L/57/100225/1</v>
      </c>
      <c r="C2063" s="42" t="str">
        <f>IFERROR(__xludf.DUMMYFUNCTION("""COMPUTED_VALUE"""),"M.3460/RANJUNG SENANG ")</f>
        <v>M.3460/RANJUNG SENANG </v>
      </c>
      <c r="D2063" s="42"/>
      <c r="E2063" s="42" t="str">
        <f>IFERROR(__xludf.DUMMYFUNCTION("""COMPUTED_VALUE"""),"DISERAHKAN")</f>
        <v>DISERAHKAN</v>
      </c>
      <c r="F2063" s="48">
        <f>IFERROR(__xludf.DUMMYFUNCTION("""COMPUTED_VALUE"""),45730.37502706019)</f>
        <v>45730.37503</v>
      </c>
      <c r="G2063" s="42" t="str">
        <f>IFERROR(__xludf.DUMMYFUNCTION("""COMPUTED_VALUE"""),"ROYA")</f>
        <v>ROYA</v>
      </c>
      <c r="H2063" s="42">
        <f t="shared" si="1"/>
        <v>954</v>
      </c>
    </row>
    <row r="2064" ht="22.5" customHeight="1">
      <c r="B2064" s="42" t="str">
        <f>IFERROR(__xludf.DUMMYFUNCTION("""COMPUTED_VALUE"""),"K/58/100225/1")</f>
        <v>K/58/100225/1</v>
      </c>
      <c r="C2064" s="42" t="str">
        <f>IFERROR(__xludf.DUMMYFUNCTION("""COMPUTED_VALUE"""),"Nibel 17680/ Labuhan ratu raya")</f>
        <v>Nibel 17680/ Labuhan ratu raya</v>
      </c>
      <c r="D2064" s="42"/>
      <c r="E2064" s="42"/>
      <c r="F2064" s="48" t="str">
        <f>IFERROR(__xludf.DUMMYFUNCTION("""COMPUTED_VALUE"""),"")</f>
        <v/>
      </c>
      <c r="G2064" s="42" t="str">
        <f>IFERROR(__xludf.DUMMYFUNCTION("""COMPUTED_VALUE"""),"BN JUAL BELI")</f>
        <v>BN JUAL BELI</v>
      </c>
      <c r="H2064" s="42">
        <f t="shared" si="1"/>
        <v>954</v>
      </c>
    </row>
    <row r="2065" ht="22.5" customHeight="1">
      <c r="B2065" s="42" t="str">
        <f>IFERROR(__xludf.DUMMYFUNCTION("""COMPUTED_VALUE"""),"L/61/100225/1")</f>
        <v>L/61/100225/1</v>
      </c>
      <c r="C2065" s="42" t="str">
        <f>IFERROR(__xludf.DUMMYFUNCTION("""COMPUTED_VALUE"""),"M.5246 / SUKARAME BARU")</f>
        <v>M.5246 / SUKARAME BARU</v>
      </c>
      <c r="D2065" s="42"/>
      <c r="E2065" s="42" t="str">
        <f>IFERROR(__xludf.DUMMYFUNCTION("""COMPUTED_VALUE"""),"DISERAHKAN")</f>
        <v>DISERAHKAN</v>
      </c>
      <c r="F2065" s="48">
        <f>IFERROR(__xludf.DUMMYFUNCTION("""COMPUTED_VALUE"""),45722.49949505787)</f>
        <v>45722.4995</v>
      </c>
      <c r="G2065" s="42" t="str">
        <f>IFERROR(__xludf.DUMMYFUNCTION("""COMPUTED_VALUE"""),"ROYA")</f>
        <v>ROYA</v>
      </c>
      <c r="H2065" s="42">
        <f t="shared" si="1"/>
        <v>955</v>
      </c>
    </row>
    <row r="2066" ht="22.5" customHeight="1">
      <c r="B2066" s="42" t="str">
        <f>IFERROR(__xludf.DUMMYFUNCTION("""COMPUTED_VALUE"""),"K/60/100225/2")</f>
        <v>K/60/100225/2</v>
      </c>
      <c r="C2066" s="42" t="str">
        <f>IFERROR(__xludf.DUMMYFUNCTION("""COMPUTED_VALUE"""),"Nibel. M. 3339/ Gunung Terang")</f>
        <v>Nibel. M. 3339/ Gunung Terang</v>
      </c>
      <c r="D2066" s="42"/>
      <c r="E2066" s="42"/>
      <c r="F2066" s="48" t="str">
        <f>IFERROR(__xludf.DUMMYFUNCTION("""COMPUTED_VALUE"""),"")</f>
        <v/>
      </c>
      <c r="G2066" s="42" t="str">
        <f>IFERROR(__xludf.DUMMYFUNCTION("""COMPUTED_VALUE"""),"Pemisahan")</f>
        <v>Pemisahan</v>
      </c>
      <c r="H2066" s="42">
        <f t="shared" si="1"/>
        <v>955</v>
      </c>
    </row>
    <row r="2067" ht="22.5" customHeight="1">
      <c r="B2067" s="42" t="str">
        <f>IFERROR(__xludf.DUMMYFUNCTION("""COMPUTED_VALUE"""),"K/62/100225/1")</f>
        <v>K/62/100225/1</v>
      </c>
      <c r="C2067" s="42" t="str">
        <f>IFERROR(__xludf.DUMMYFUNCTION("""COMPUTED_VALUE"""),"M.995/SUKARAME BARU")</f>
        <v>M.995/SUKARAME BARU</v>
      </c>
      <c r="D2067" s="42"/>
      <c r="E2067" s="42" t="str">
        <f>IFERROR(__xludf.DUMMYFUNCTION("""COMPUTED_VALUE"""),"DISERAHKAN")</f>
        <v>DISERAHKAN</v>
      </c>
      <c r="F2067" s="48">
        <f>IFERROR(__xludf.DUMMYFUNCTION("""COMPUTED_VALUE"""),45719.63525262731)</f>
        <v>45719.63525</v>
      </c>
      <c r="G2067" s="42" t="str">
        <f>IFERROR(__xludf.DUMMYFUNCTION("""COMPUTED_VALUE"""),"GANTI NAMA HT")</f>
        <v>GANTI NAMA HT</v>
      </c>
      <c r="H2067" s="42">
        <f t="shared" si="1"/>
        <v>956</v>
      </c>
    </row>
    <row r="2068" ht="22.5" customHeight="1">
      <c r="B2068" s="42" t="str">
        <f>IFERROR(__xludf.DUMMYFUNCTION("""COMPUTED_VALUE"""),"K/59/100225/1")</f>
        <v>K/59/100225/1</v>
      </c>
      <c r="C2068" s="42" t="str">
        <f>IFERROR(__xludf.DUMMYFUNCTION("""COMPUTED_VALUE"""),"M. 11877/ Tanjung Senang")</f>
        <v>M. 11877/ Tanjung Senang</v>
      </c>
      <c r="D2068" s="42"/>
      <c r="E2068" s="42"/>
      <c r="F2068" s="48" t="str">
        <f>IFERROR(__xludf.DUMMYFUNCTION("""COMPUTED_VALUE"""),"")</f>
        <v/>
      </c>
      <c r="G2068" s="42" t="str">
        <f>IFERROR(__xludf.DUMMYFUNCTION("""COMPUTED_VALUE"""),"Pemecahan")</f>
        <v>Pemecahan</v>
      </c>
      <c r="H2068" s="42">
        <f t="shared" si="1"/>
        <v>956</v>
      </c>
    </row>
    <row r="2069" ht="22.5" customHeight="1">
      <c r="B2069" s="42" t="str">
        <f>IFERROR(__xludf.DUMMYFUNCTION("""COMPUTED_VALUE"""),"K/2/110225/1")</f>
        <v>K/2/110225/1</v>
      </c>
      <c r="C2069" s="42" t="str">
        <f>IFERROR(__xludf.DUMMYFUNCTION("""COMPUTED_VALUE"""),"M. 289/ Sukaraja")</f>
        <v>M. 289/ Sukaraja</v>
      </c>
      <c r="D2069" s="42"/>
      <c r="E2069" s="42"/>
      <c r="F2069" s="48" t="str">
        <f>IFERROR(__xludf.DUMMYFUNCTION("""COMPUTED_VALUE"""),"")</f>
        <v/>
      </c>
      <c r="G2069" s="42" t="str">
        <f>IFERROR(__xludf.DUMMYFUNCTION("""COMPUTED_VALUE"""),"SKPT LELANG")</f>
        <v>SKPT LELANG</v>
      </c>
      <c r="H2069" s="42">
        <f t="shared" si="1"/>
        <v>956</v>
      </c>
    </row>
    <row r="2070" ht="22.5" customHeight="1">
      <c r="B2070" s="42" t="str">
        <f>IFERROR(__xludf.DUMMYFUNCTION("""COMPUTED_VALUE"""),"K/3/110225/2")</f>
        <v>K/3/110225/2</v>
      </c>
      <c r="C2070" s="42" t="str">
        <f>IFERROR(__xludf.DUMMYFUNCTION("""COMPUTED_VALUE"""),"M. 590/ Sukaraja")</f>
        <v>M. 590/ Sukaraja</v>
      </c>
      <c r="D2070" s="42"/>
      <c r="E2070" s="42"/>
      <c r="F2070" s="48" t="str">
        <f>IFERROR(__xludf.DUMMYFUNCTION("""COMPUTED_VALUE"""),"")</f>
        <v/>
      </c>
      <c r="G2070" s="42" t="str">
        <f>IFERROR(__xludf.DUMMYFUNCTION("""COMPUTED_VALUE"""),"SKPT LELANG")</f>
        <v>SKPT LELANG</v>
      </c>
      <c r="H2070" s="42">
        <f t="shared" si="1"/>
        <v>956</v>
      </c>
    </row>
    <row r="2071" ht="22.5" customHeight="1">
      <c r="B2071" s="42" t="str">
        <f>IFERROR(__xludf.DUMMYFUNCTION("""COMPUTED_VALUE"""),"L/4/110225/1")</f>
        <v>L/4/110225/1</v>
      </c>
      <c r="C2071" s="42" t="str">
        <f>IFERROR(__xludf.DUMMYFUNCTION("""COMPUTED_VALUE"""),"NIBEL 2024/RAJABASA RAYA")</f>
        <v>NIBEL 2024/RAJABASA RAYA</v>
      </c>
      <c r="D2071" s="42"/>
      <c r="E2071" s="42"/>
      <c r="F2071" s="48" t="str">
        <f>IFERROR(__xludf.DUMMYFUNCTION("""COMPUTED_VALUE"""),"")</f>
        <v/>
      </c>
      <c r="G2071" s="42" t="str">
        <f>IFERROR(__xludf.DUMMYFUNCTION("""COMPUTED_VALUE"""),"SKPT")</f>
        <v>SKPT</v>
      </c>
      <c r="H2071" s="42">
        <f t="shared" si="1"/>
        <v>956</v>
      </c>
    </row>
    <row r="2072" ht="22.5" customHeight="1">
      <c r="B2072" s="42" t="str">
        <f>IFERROR(__xludf.DUMMYFUNCTION("""COMPUTED_VALUE"""),"L/5/110225/2")</f>
        <v>L/5/110225/2</v>
      </c>
      <c r="C2072" s="42" t="str">
        <f>IFERROR(__xludf.DUMMYFUNCTION("""COMPUTED_VALUE"""),"NIBEL B.2023/ RAJABSA RAYA")</f>
        <v>NIBEL B.2023/ RAJABSA RAYA</v>
      </c>
      <c r="D2072" s="42"/>
      <c r="E2072" s="42"/>
      <c r="F2072" s="48" t="str">
        <f>IFERROR(__xludf.DUMMYFUNCTION("""COMPUTED_VALUE"""),"")</f>
        <v/>
      </c>
      <c r="G2072" s="42" t="str">
        <f>IFERROR(__xludf.DUMMYFUNCTION("""COMPUTED_VALUE"""),"SKPT")</f>
        <v>SKPT</v>
      </c>
      <c r="H2072" s="42">
        <f t="shared" si="1"/>
        <v>956</v>
      </c>
    </row>
    <row r="2073" ht="22.5" customHeight="1">
      <c r="B2073" s="42" t="str">
        <f>IFERROR(__xludf.DUMMYFUNCTION("""COMPUTED_VALUE"""),"L/8/110225/1")</f>
        <v>L/8/110225/1</v>
      </c>
      <c r="C2073" s="42" t="str">
        <f>IFERROR(__xludf.DUMMYFUNCTION("""COMPUTED_VALUE"""),"M.2115/LABUIHAN DALAM")</f>
        <v>M.2115/LABUIHAN DALAM</v>
      </c>
      <c r="D2073" s="42" t="str">
        <f>IFERROR(__xludf.DUMMYFUNCTION("""COMPUTED_VALUE"""),"Pras")</f>
        <v>Pras</v>
      </c>
      <c r="E2073" s="42" t="str">
        <f>IFERROR(__xludf.DUMMYFUNCTION("""COMPUTED_VALUE"""),"DISERAHKAN")</f>
        <v>DISERAHKAN</v>
      </c>
      <c r="F2073" s="48">
        <f>IFERROR(__xludf.DUMMYFUNCTION("""COMPUTED_VALUE"""),45715.48427226851)</f>
        <v>45715.48427</v>
      </c>
      <c r="G2073" s="42" t="str">
        <f>IFERROR(__xludf.DUMMYFUNCTION("""COMPUTED_VALUE"""),"HAPUS BPHTB PTSL")</f>
        <v>HAPUS BPHTB PTSL</v>
      </c>
      <c r="H2073" s="42">
        <f t="shared" si="1"/>
        <v>957</v>
      </c>
    </row>
    <row r="2074" ht="22.5" customHeight="1">
      <c r="B2074" s="42" t="str">
        <f>IFERROR(__xludf.DUMMYFUNCTION("""COMPUTED_VALUE"""),"K/6/110225/1")</f>
        <v>K/6/110225/1</v>
      </c>
      <c r="C2074" s="42" t="str">
        <f>IFERROR(__xludf.DUMMYFUNCTION("""COMPUTED_VALUE"""),"M. 1963/ Susunan Baru")</f>
        <v>M. 1963/ Susunan Baru</v>
      </c>
      <c r="D2074" s="42"/>
      <c r="E2074" s="42"/>
      <c r="F2074" s="48" t="str">
        <f>IFERROR(__xludf.DUMMYFUNCTION("""COMPUTED_VALUE"""),"")</f>
        <v/>
      </c>
      <c r="G2074" s="42" t="str">
        <f>IFERROR(__xludf.DUMMYFUNCTION("""COMPUTED_VALUE"""),"SKPT Lelang")</f>
        <v>SKPT Lelang</v>
      </c>
      <c r="H2074" s="42">
        <f t="shared" si="1"/>
        <v>957</v>
      </c>
    </row>
    <row r="2075" ht="22.5" customHeight="1">
      <c r="B2075" s="42" t="str">
        <f>IFERROR(__xludf.DUMMYFUNCTION("""COMPUTED_VALUE"""),"K/7/110225/2")</f>
        <v>K/7/110225/2</v>
      </c>
      <c r="C2075" s="42" t="str">
        <f>IFERROR(__xludf.DUMMYFUNCTION("""COMPUTED_VALUE"""),"M. 5149/ Jagabaya II")</f>
        <v>M. 5149/ Jagabaya II</v>
      </c>
      <c r="D2075" s="42" t="str">
        <f>IFERROR(__xludf.DUMMYFUNCTION("""COMPUTED_VALUE"""),"Pras")</f>
        <v>Pras</v>
      </c>
      <c r="E2075" s="42" t="str">
        <f>IFERROR(__xludf.DUMMYFUNCTION("""COMPUTED_VALUE"""),"DISERAHKAN")</f>
        <v>DISERAHKAN</v>
      </c>
      <c r="F2075" s="48">
        <f>IFERROR(__xludf.DUMMYFUNCTION("""COMPUTED_VALUE"""),45715.48395216435)</f>
        <v>45715.48395</v>
      </c>
      <c r="G2075" s="42" t="str">
        <f>IFERROR(__xludf.DUMMYFUNCTION("""COMPUTED_VALUE"""),"SKPT Lelang")</f>
        <v>SKPT Lelang</v>
      </c>
      <c r="H2075" s="42">
        <f t="shared" si="1"/>
        <v>958</v>
      </c>
    </row>
    <row r="2076" ht="22.5" customHeight="1">
      <c r="B2076" s="42" t="str">
        <f>IFERROR(__xludf.DUMMYFUNCTION("""COMPUTED_VALUE"""),"K/9/110225/1")</f>
        <v>K/9/110225/1</v>
      </c>
      <c r="C2076" s="42" t="str">
        <f>IFERROR(__xludf.DUMMYFUNCTION("""COMPUTED_VALUE"""),"M. 14000/ Labuhan Ratu")</f>
        <v>M. 14000/ Labuhan Ratu</v>
      </c>
      <c r="D2076" s="42"/>
      <c r="E2076" s="42"/>
      <c r="F2076" s="48" t="str">
        <f>IFERROR(__xludf.DUMMYFUNCTION("""COMPUTED_VALUE"""),"")</f>
        <v/>
      </c>
      <c r="G2076" s="42" t="str">
        <f>IFERROR(__xludf.DUMMYFUNCTION("""COMPUTED_VALUE"""),"BN JUAL BELI")</f>
        <v>BN JUAL BELI</v>
      </c>
      <c r="H2076" s="42">
        <f t="shared" si="1"/>
        <v>958</v>
      </c>
    </row>
    <row r="2077" ht="22.5" customHeight="1">
      <c r="B2077" s="42" t="str">
        <f>IFERROR(__xludf.DUMMYFUNCTION("""COMPUTED_VALUE"""),"K/10/110225/2")</f>
        <v>K/10/110225/2</v>
      </c>
      <c r="C2077" s="42" t="str">
        <f>IFERROR(__xludf.DUMMYFUNCTION("""COMPUTED_VALUE"""),"M. 1/ Gedong Air")</f>
        <v>M. 1/ Gedong Air</v>
      </c>
      <c r="D2077" s="42"/>
      <c r="E2077" s="42"/>
      <c r="F2077" s="48" t="str">
        <f>IFERROR(__xludf.DUMMYFUNCTION("""COMPUTED_VALUE"""),"")</f>
        <v/>
      </c>
      <c r="G2077" s="42" t="str">
        <f>IFERROR(__xludf.DUMMYFUNCTION("""COMPUTED_VALUE"""),"BN WARISD")</f>
        <v>BN WARISD</v>
      </c>
      <c r="H2077" s="42">
        <f t="shared" si="1"/>
        <v>958</v>
      </c>
    </row>
    <row r="2078" ht="22.5" customHeight="1">
      <c r="B2078" s="42" t="str">
        <f>IFERROR(__xludf.DUMMYFUNCTION("""COMPUTED_VALUE"""),"L/11/110225/1")</f>
        <v>L/11/110225/1</v>
      </c>
      <c r="C2078" s="42" t="str">
        <f>IFERROR(__xludf.DUMMYFUNCTION("""COMPUTED_VALUE"""),"M.2500/SUKAMAJU")</f>
        <v>M.2500/SUKAMAJU</v>
      </c>
      <c r="D2078" s="42"/>
      <c r="E2078" s="42"/>
      <c r="F2078" s="48" t="str">
        <f>IFERROR(__xludf.DUMMYFUNCTION("""COMPUTED_VALUE"""),"")</f>
        <v/>
      </c>
      <c r="G2078" s="42" t="str">
        <f>IFERROR(__xludf.DUMMYFUNCTION("""COMPUTED_VALUE"""),"PTPGT")</f>
        <v>PTPGT</v>
      </c>
      <c r="H2078" s="42">
        <f t="shared" si="1"/>
        <v>958</v>
      </c>
    </row>
    <row r="2079" ht="22.5" customHeight="1">
      <c r="B2079" s="42" t="str">
        <f>IFERROR(__xludf.DUMMYFUNCTION("""COMPUTED_VALUE"""),"K/12/110225/1")</f>
        <v>K/12/110225/1</v>
      </c>
      <c r="C2079" s="42" t="str">
        <f>IFERROR(__xludf.DUMMYFUNCTION("""COMPUTED_VALUE"""),"M. 207/ Korpri Jaya")</f>
        <v>M. 207/ Korpri Jaya</v>
      </c>
      <c r="D2079" s="42"/>
      <c r="E2079" s="42"/>
      <c r="F2079" s="48" t="str">
        <f>IFERROR(__xludf.DUMMYFUNCTION("""COMPUTED_VALUE"""),"")</f>
        <v/>
      </c>
      <c r="G2079" s="42" t="str">
        <f>IFERROR(__xludf.DUMMYFUNCTION("""COMPUTED_VALUE"""),"BN Jual Beli")</f>
        <v>BN Jual Beli</v>
      </c>
      <c r="H2079" s="42">
        <f t="shared" si="1"/>
        <v>958</v>
      </c>
    </row>
    <row r="2080" ht="22.5" customHeight="1">
      <c r="B2080" s="42" t="str">
        <f>IFERROR(__xludf.DUMMYFUNCTION("""COMPUTED_VALUE"""),"L/13/110225/1")</f>
        <v>L/13/110225/1</v>
      </c>
      <c r="C2080" s="42" t="str">
        <f>IFERROR(__xludf.DUMMYFUNCTION("""COMPUTED_VALUE"""),"M.12094/KEDAMAIAN")</f>
        <v>M.12094/KEDAMAIAN</v>
      </c>
      <c r="D2080" s="42"/>
      <c r="E2080" s="42"/>
      <c r="F2080" s="48" t="str">
        <f>IFERROR(__xludf.DUMMYFUNCTION("""COMPUTED_VALUE"""),"")</f>
        <v/>
      </c>
      <c r="G2080" s="42" t="str">
        <f>IFERROR(__xludf.DUMMYFUNCTION("""COMPUTED_VALUE"""),"ROYA")</f>
        <v>ROYA</v>
      </c>
      <c r="H2080" s="42">
        <f t="shared" si="1"/>
        <v>958</v>
      </c>
    </row>
    <row r="2081" ht="22.5" customHeight="1">
      <c r="B2081" s="42" t="str">
        <f>IFERROR(__xludf.DUMMYFUNCTION("""COMPUTED_VALUE"""),"K/14/110225/1")</f>
        <v>K/14/110225/1</v>
      </c>
      <c r="C2081" s="42" t="str">
        <f>IFERROR(__xludf.DUMMYFUNCTION("""COMPUTED_VALUE"""),"M.2172/KOTA KARANG")</f>
        <v>M.2172/KOTA KARANG</v>
      </c>
      <c r="D2081" s="42"/>
      <c r="E2081" s="42" t="str">
        <f>IFERROR(__xludf.DUMMYFUNCTION("""COMPUTED_VALUE"""),"DISERAHKAN")</f>
        <v>DISERAHKAN</v>
      </c>
      <c r="F2081" s="48">
        <f>IFERROR(__xludf.DUMMYFUNCTION("""COMPUTED_VALUE"""),45769.6015562963)</f>
        <v>45769.60156</v>
      </c>
      <c r="G2081" s="42" t="str">
        <f>IFERROR(__xludf.DUMMYFUNCTION("""COMPUTED_VALUE"""),"ROYA")</f>
        <v>ROYA</v>
      </c>
      <c r="H2081" s="42">
        <f t="shared" si="1"/>
        <v>959</v>
      </c>
    </row>
    <row r="2082" ht="22.5" customHeight="1">
      <c r="B2082" s="42" t="str">
        <f>IFERROR(__xludf.DUMMYFUNCTION("""COMPUTED_VALUE"""),"K/15/110225/1")</f>
        <v>K/15/110225/1</v>
      </c>
      <c r="C2082" s="42" t="str">
        <f>IFERROR(__xludf.DUMMYFUNCTION("""COMPUTED_VALUE"""),"M. 2293/ Sepang Jaya")</f>
        <v>M. 2293/ Sepang Jaya</v>
      </c>
      <c r="D2082" s="42"/>
      <c r="E2082" s="42" t="str">
        <f>IFERROR(__xludf.DUMMYFUNCTION("""COMPUTED_VALUE"""),"DISERAHKAN")</f>
        <v>DISERAHKAN</v>
      </c>
      <c r="F2082" s="48">
        <f>IFERROR(__xludf.DUMMYFUNCTION("""COMPUTED_VALUE"""),45720.439202291665)</f>
        <v>45720.4392</v>
      </c>
      <c r="G2082" s="42" t="str">
        <f>IFERROR(__xludf.DUMMYFUNCTION("""COMPUTED_VALUE"""),"BN JUAL BELI")</f>
        <v>BN JUAL BELI</v>
      </c>
      <c r="H2082" s="42">
        <f t="shared" si="1"/>
        <v>960</v>
      </c>
    </row>
    <row r="2083" ht="22.5" customHeight="1">
      <c r="B2083" s="42" t="str">
        <f>IFERROR(__xludf.DUMMYFUNCTION("""COMPUTED_VALUE"""),"K/16/110225/2")</f>
        <v>K/16/110225/2</v>
      </c>
      <c r="C2083" s="42" t="str">
        <f>IFERROR(__xludf.DUMMYFUNCTION("""COMPUTED_VALUE"""),"M. 1461/ Sepang Jaya")</f>
        <v>M. 1461/ Sepang Jaya</v>
      </c>
      <c r="D2083" s="42"/>
      <c r="E2083" s="42" t="str">
        <f>IFERROR(__xludf.DUMMYFUNCTION("""COMPUTED_VALUE"""),"DISERAHKAN")</f>
        <v>DISERAHKAN</v>
      </c>
      <c r="F2083" s="48">
        <f>IFERROR(__xludf.DUMMYFUNCTION("""COMPUTED_VALUE"""),45708.466059687504)</f>
        <v>45708.46606</v>
      </c>
      <c r="G2083" s="42" t="str">
        <f>IFERROR(__xludf.DUMMYFUNCTION("""COMPUTED_VALUE"""),"BN JUAL BELI")</f>
        <v>BN JUAL BELI</v>
      </c>
      <c r="H2083" s="42">
        <f t="shared" si="1"/>
        <v>961</v>
      </c>
    </row>
    <row r="2084" ht="22.5" customHeight="1">
      <c r="B2084" s="42" t="str">
        <f>IFERROR(__xludf.DUMMYFUNCTION("""COMPUTED_VALUE"""),"K/18/110225/1")</f>
        <v>K/18/110225/1</v>
      </c>
      <c r="C2084" s="42" t="str">
        <f>IFERROR(__xludf.DUMMYFUNCTION("""COMPUTED_VALUE"""),"NIBEL M.17678/GUNUNG TERANG")</f>
        <v>NIBEL M.17678/GUNUNG TERANG</v>
      </c>
      <c r="D2084" s="42"/>
      <c r="E2084" s="42"/>
      <c r="F2084" s="48" t="str">
        <f>IFERROR(__xludf.DUMMYFUNCTION("""COMPUTED_VALUE"""),"")</f>
        <v/>
      </c>
      <c r="G2084" s="42" t="str">
        <f>IFERROR(__xludf.DUMMYFUNCTION("""COMPUTED_VALUE"""),"BN JUAL BELI")</f>
        <v>BN JUAL BELI</v>
      </c>
      <c r="H2084" s="42">
        <f t="shared" si="1"/>
        <v>961</v>
      </c>
    </row>
    <row r="2085" ht="22.5" customHeight="1">
      <c r="B2085" s="42" t="str">
        <f>IFERROR(__xludf.DUMMYFUNCTION("""COMPUTED_VALUE"""),"K/17/110225/3")</f>
        <v>K/17/110225/3</v>
      </c>
      <c r="C2085" s="42" t="str">
        <f>IFERROR(__xludf.DUMMYFUNCTION("""COMPUTED_VALUE"""),"Nibel 8118/ Segala Mider")</f>
        <v>Nibel 8118/ Segala Mider</v>
      </c>
      <c r="D2085" s="42"/>
      <c r="E2085" s="42"/>
      <c r="F2085" s="48" t="str">
        <f>IFERROR(__xludf.DUMMYFUNCTION("""COMPUTED_VALUE"""),"")</f>
        <v/>
      </c>
      <c r="G2085" s="42" t="str">
        <f>IFERROR(__xludf.DUMMYFUNCTION("""COMPUTED_VALUE"""),"BN JUAL BELI")</f>
        <v>BN JUAL BELI</v>
      </c>
      <c r="H2085" s="42">
        <f t="shared" si="1"/>
        <v>961</v>
      </c>
    </row>
    <row r="2086" ht="22.5" customHeight="1">
      <c r="B2086" s="42" t="str">
        <f>IFERROR(__xludf.DUMMYFUNCTION("""COMPUTED_VALUE"""),"K/19/110225/1")</f>
        <v>K/19/110225/1</v>
      </c>
      <c r="C2086" s="42" t="str">
        <f>IFERROR(__xludf.DUMMYFUNCTION("""COMPUTED_VALUE"""),"NIBEL B.16941/KEMILING PERMAI")</f>
        <v>NIBEL B.16941/KEMILING PERMAI</v>
      </c>
      <c r="D2086" s="42"/>
      <c r="E2086" s="42"/>
      <c r="F2086" s="48" t="str">
        <f>IFERROR(__xludf.DUMMYFUNCTION("""COMPUTED_VALUE"""),"")</f>
        <v/>
      </c>
      <c r="G2086" s="42" t="str">
        <f>IFERROR(__xludf.DUMMYFUNCTION("""COMPUTED_VALUE"""),"PERUBAHAN HAK")</f>
        <v>PERUBAHAN HAK</v>
      </c>
      <c r="H2086" s="42">
        <f t="shared" si="1"/>
        <v>961</v>
      </c>
    </row>
    <row r="2087" ht="22.5" customHeight="1">
      <c r="B2087" s="42" t="str">
        <f>IFERROR(__xludf.DUMMYFUNCTION("""COMPUTED_VALUE"""),"K/20/110225/2")</f>
        <v>K/20/110225/2</v>
      </c>
      <c r="C2087" s="42" t="str">
        <f>IFERROR(__xludf.DUMMYFUNCTION("""COMPUTED_VALUE"""),"NIBEL B 17266/KEMILING PERMAI")</f>
        <v>NIBEL B 17266/KEMILING PERMAI</v>
      </c>
      <c r="D2087" s="42"/>
      <c r="E2087" s="42"/>
      <c r="F2087" s="48" t="str">
        <f>IFERROR(__xludf.DUMMYFUNCTION("""COMPUTED_VALUE"""),"")</f>
        <v/>
      </c>
      <c r="G2087" s="42" t="str">
        <f>IFERROR(__xludf.DUMMYFUNCTION("""COMPUTED_VALUE"""),"PERUBAHAN HAK")</f>
        <v>PERUBAHAN HAK</v>
      </c>
      <c r="H2087" s="42">
        <f t="shared" si="1"/>
        <v>961</v>
      </c>
    </row>
    <row r="2088" ht="22.5" customHeight="1">
      <c r="B2088" s="42" t="str">
        <f>IFERROR(__xludf.DUMMYFUNCTION("""COMPUTED_VALUE"""),"K/21/110225/3")</f>
        <v>K/21/110225/3</v>
      </c>
      <c r="C2088" s="42" t="str">
        <f>IFERROR(__xludf.DUMMYFUNCTION("""COMPUTED_VALUE"""),"NIBEL B 17288/KEMILING PERMAI")</f>
        <v>NIBEL B 17288/KEMILING PERMAI</v>
      </c>
      <c r="D2088" s="42"/>
      <c r="E2088" s="42"/>
      <c r="F2088" s="48" t="str">
        <f>IFERROR(__xludf.DUMMYFUNCTION("""COMPUTED_VALUE"""),"")</f>
        <v/>
      </c>
      <c r="G2088" s="42" t="str">
        <f>IFERROR(__xludf.DUMMYFUNCTION("""COMPUTED_VALUE"""),"PERUBAHAN HAK")</f>
        <v>PERUBAHAN HAK</v>
      </c>
      <c r="H2088" s="42">
        <f t="shared" si="1"/>
        <v>961</v>
      </c>
    </row>
    <row r="2089" ht="22.5" customHeight="1">
      <c r="B2089" s="42" t="str">
        <f>IFERROR(__xludf.DUMMYFUNCTION("""COMPUTED_VALUE"""),"K/22/110225/1")</f>
        <v>K/22/110225/1</v>
      </c>
      <c r="C2089" s="42" t="str">
        <f>IFERROR(__xludf.DUMMYFUNCTION("""COMPUTED_VALUE"""),"M. 2294/ Rajabasa Raya")</f>
        <v>M. 2294/ Rajabasa Raya</v>
      </c>
      <c r="D2089" s="42"/>
      <c r="E2089" s="42" t="str">
        <f>IFERROR(__xludf.DUMMYFUNCTION("""COMPUTED_VALUE"""),"DISERAHKAN")</f>
        <v>DISERAHKAN</v>
      </c>
      <c r="F2089" s="48">
        <f>IFERROR(__xludf.DUMMYFUNCTION("""COMPUTED_VALUE"""),45720.439202291665)</f>
        <v>45720.4392</v>
      </c>
      <c r="G2089" s="42" t="str">
        <f>IFERROR(__xludf.DUMMYFUNCTION("""COMPUTED_VALUE"""),"BN JUAL BEL")</f>
        <v>BN JUAL BEL</v>
      </c>
      <c r="H2089" s="42">
        <f t="shared" si="1"/>
        <v>962</v>
      </c>
    </row>
    <row r="2090" ht="22.5" customHeight="1">
      <c r="B2090" s="42" t="str">
        <f>IFERROR(__xludf.DUMMYFUNCTION("""COMPUTED_VALUE"""),"K/23/110225/1")</f>
        <v>K/23/110225/1</v>
      </c>
      <c r="C2090" s="42" t="str">
        <f>IFERROR(__xludf.DUMMYFUNCTION("""COMPUTED_VALUE"""),"M. 754/ Rajabasa Raya")</f>
        <v>M. 754/ Rajabasa Raya</v>
      </c>
      <c r="D2090" s="42"/>
      <c r="E2090" s="42" t="str">
        <f>IFERROR(__xludf.DUMMYFUNCTION("""COMPUTED_VALUE"""),"DISERAHKAN")</f>
        <v>DISERAHKAN</v>
      </c>
      <c r="F2090" s="48">
        <f>IFERROR(__xludf.DUMMYFUNCTION("""COMPUTED_VALUE"""),45706.45163872685)</f>
        <v>45706.45164</v>
      </c>
      <c r="G2090" s="42" t="str">
        <f>IFERROR(__xludf.DUMMYFUNCTION("""COMPUTED_VALUE"""),"BN Jual Beli")</f>
        <v>BN Jual Beli</v>
      </c>
      <c r="H2090" s="42">
        <f t="shared" si="1"/>
        <v>963</v>
      </c>
    </row>
    <row r="2091" ht="22.5" customHeight="1">
      <c r="B2091" s="42" t="str">
        <f>IFERROR(__xludf.DUMMYFUNCTION("""COMPUTED_VALUE"""),"K/24/110225/1")</f>
        <v>K/24/110225/1</v>
      </c>
      <c r="C2091" s="42" t="str">
        <f>IFERROR(__xludf.DUMMYFUNCTION("""COMPUTED_VALUE"""),"NIBEL M.17039/KALIAWI")</f>
        <v>NIBEL M.17039/KALIAWI</v>
      </c>
      <c r="D2091" s="42"/>
      <c r="E2091" s="42"/>
      <c r="F2091" s="48" t="str">
        <f>IFERROR(__xludf.DUMMYFUNCTION("""COMPUTED_VALUE"""),"")</f>
        <v/>
      </c>
      <c r="G2091" s="42" t="str">
        <f>IFERROR(__xludf.DUMMYFUNCTION("""COMPUTED_VALUE"""),"BN WARIS")</f>
        <v>BN WARIS</v>
      </c>
      <c r="H2091" s="42">
        <f t="shared" si="1"/>
        <v>963</v>
      </c>
    </row>
    <row r="2092" ht="22.5" customHeight="1">
      <c r="B2092" s="42" t="str">
        <f>IFERROR(__xludf.DUMMYFUNCTION("""COMPUTED_VALUE"""),"K/25/110225/1")</f>
        <v>K/25/110225/1</v>
      </c>
      <c r="C2092" s="42" t="str">
        <f>IFERROR(__xludf.DUMMYFUNCTION("""COMPUTED_VALUE"""),"Nibel 256/ Gunung Agung")</f>
        <v>Nibel 256/ Gunung Agung</v>
      </c>
      <c r="D2092" s="42"/>
      <c r="E2092" s="42"/>
      <c r="F2092" s="48" t="str">
        <f>IFERROR(__xludf.DUMMYFUNCTION("""COMPUTED_VALUE"""),"")</f>
        <v/>
      </c>
      <c r="G2092" s="42" t="str">
        <f>IFERROR(__xludf.DUMMYFUNCTION("""COMPUTED_VALUE"""),"BN HIBAH")</f>
        <v>BN HIBAH</v>
      </c>
      <c r="H2092" s="42">
        <f t="shared" si="1"/>
        <v>963</v>
      </c>
    </row>
    <row r="2093" ht="22.5" customHeight="1">
      <c r="B2093" s="42" t="str">
        <f>IFERROR(__xludf.DUMMYFUNCTION("""COMPUTED_VALUE"""),"K/26/110225/2")</f>
        <v>K/26/110225/2</v>
      </c>
      <c r="C2093" s="42" t="str">
        <f>IFERROR(__xludf.DUMMYFUNCTION("""COMPUTED_VALUE"""),"M. 2267/ Kota Baru")</f>
        <v>M. 2267/ Kota Baru</v>
      </c>
      <c r="D2093" s="42"/>
      <c r="E2093" s="42" t="str">
        <f>IFERROR(__xludf.DUMMYFUNCTION("""COMPUTED_VALUE"""),"DISERAHKAN")</f>
        <v>DISERAHKAN</v>
      </c>
      <c r="F2093" s="48">
        <f>IFERROR(__xludf.DUMMYFUNCTION("""COMPUTED_VALUE"""),45722.49737920139)</f>
        <v>45722.49738</v>
      </c>
      <c r="G2093" s="42" t="str">
        <f>IFERROR(__xludf.DUMMYFUNCTION("""COMPUTED_VALUE"""),"ROYA")</f>
        <v>ROYA</v>
      </c>
      <c r="H2093" s="42">
        <f t="shared" si="1"/>
        <v>964</v>
      </c>
    </row>
    <row r="2094" ht="22.5" customHeight="1">
      <c r="B2094" s="42" t="str">
        <f>IFERROR(__xludf.DUMMYFUNCTION("""COMPUTED_VALUE"""),"K/28/110225/1")</f>
        <v>K/28/110225/1</v>
      </c>
      <c r="C2094" s="42" t="str">
        <f>IFERROR(__xludf.DUMMYFUNCTION("""COMPUTED_VALUE"""),"B.1522/SUKABUMI")</f>
        <v>B.1522/SUKABUMI</v>
      </c>
      <c r="D2094" s="42"/>
      <c r="E2094" s="42"/>
      <c r="F2094" s="48" t="str">
        <f>IFERROR(__xludf.DUMMYFUNCTION("""COMPUTED_VALUE"""),"")</f>
        <v/>
      </c>
      <c r="G2094" s="42" t="str">
        <f>IFERROR(__xludf.DUMMYFUNCTION("""COMPUTED_VALUE"""),"PTPGT")</f>
        <v>PTPGT</v>
      </c>
      <c r="H2094" s="42">
        <f t="shared" si="1"/>
        <v>964</v>
      </c>
    </row>
    <row r="2095" ht="22.5" customHeight="1">
      <c r="B2095" s="42" t="str">
        <f>IFERROR(__xludf.DUMMYFUNCTION("""COMPUTED_VALUE"""),"K/29/110225/1")</f>
        <v>K/29/110225/1</v>
      </c>
      <c r="C2095" s="42" t="str">
        <f>IFERROR(__xludf.DUMMYFUNCTION("""COMPUTED_VALUE"""),"B.3235/SUKABUMI")</f>
        <v>B.3235/SUKABUMI</v>
      </c>
      <c r="D2095" s="42"/>
      <c r="E2095" s="42"/>
      <c r="F2095" s="48" t="str">
        <f>IFERROR(__xludf.DUMMYFUNCTION("""COMPUTED_VALUE"""),"")</f>
        <v/>
      </c>
      <c r="G2095" s="42" t="str">
        <f>IFERROR(__xludf.DUMMYFUNCTION("""COMPUTED_VALUE"""),"PERUBAHAN HAK")</f>
        <v>PERUBAHAN HAK</v>
      </c>
      <c r="H2095" s="42">
        <f t="shared" si="1"/>
        <v>964</v>
      </c>
    </row>
    <row r="2096" ht="22.5" customHeight="1">
      <c r="B2096" s="42" t="str">
        <f>IFERROR(__xludf.DUMMYFUNCTION("""COMPUTED_VALUE"""),"K/30/110225/1")</f>
        <v>K/30/110225/1</v>
      </c>
      <c r="C2096" s="42" t="str">
        <f>IFERROR(__xludf.DUMMYFUNCTION("""COMPUTED_VALUE"""),"M. 6454/ Way Kandis")</f>
        <v>M. 6454/ Way Kandis</v>
      </c>
      <c r="D2096" s="42"/>
      <c r="E2096" s="42" t="str">
        <f>IFERROR(__xludf.DUMMYFUNCTION("""COMPUTED_VALUE"""),"DISERAHKAN")</f>
        <v>DISERAHKAN</v>
      </c>
      <c r="F2096" s="48">
        <f>IFERROR(__xludf.DUMMYFUNCTION("""COMPUTED_VALUE"""),45708.46788467593)</f>
        <v>45708.46788</v>
      </c>
      <c r="G2096" s="42" t="str">
        <f>IFERROR(__xludf.DUMMYFUNCTION("""COMPUTED_VALUE"""),"BN Jual Bli")</f>
        <v>BN Jual Bli</v>
      </c>
      <c r="H2096" s="42">
        <f t="shared" si="1"/>
        <v>965</v>
      </c>
    </row>
    <row r="2097" ht="22.5" customHeight="1">
      <c r="B2097" s="42" t="str">
        <f>IFERROR(__xludf.DUMMYFUNCTION("""COMPUTED_VALUE"""),"K/31/110225/1")</f>
        <v>K/31/110225/1</v>
      </c>
      <c r="C2097" s="42" t="str">
        <f>IFERROR(__xludf.DUMMYFUNCTION("""COMPUTED_VALUE"""),"B.8/PENGAJARAN")</f>
        <v>B.8/PENGAJARAN</v>
      </c>
      <c r="D2097" s="42"/>
      <c r="E2097" s="42" t="str">
        <f>IFERROR(__xludf.DUMMYFUNCTION("""COMPUTED_VALUE"""),"DISERAHKAN BT")</f>
        <v>DISERAHKAN BT</v>
      </c>
      <c r="F2097" s="48">
        <f>IFERROR(__xludf.DUMMYFUNCTION("""COMPUTED_VALUE"""),45727.521852499995)</f>
        <v>45727.52185</v>
      </c>
      <c r="G2097" s="42" t="str">
        <f>IFERROR(__xludf.DUMMYFUNCTION("""COMPUTED_VALUE"""),"ROYA ")</f>
        <v>ROYA </v>
      </c>
      <c r="H2097" s="42">
        <f t="shared" si="1"/>
        <v>965</v>
      </c>
    </row>
    <row r="2098" ht="22.5" customHeight="1">
      <c r="B2098" s="42" t="str">
        <f>IFERROR(__xludf.DUMMYFUNCTION("""COMPUTED_VALUE"""),"K/32/110225/1")</f>
        <v>K/32/110225/1</v>
      </c>
      <c r="C2098" s="42" t="str">
        <f>IFERROR(__xludf.DUMMYFUNCTION("""COMPUTED_VALUE"""),"M. 9368/ Sidodadi")</f>
        <v>M. 9368/ Sidodadi</v>
      </c>
      <c r="D2098" s="42"/>
      <c r="E2098" s="42" t="str">
        <f>IFERROR(__xludf.DUMMYFUNCTION("""COMPUTED_VALUE"""),"DISERAHKAN")</f>
        <v>DISERAHKAN</v>
      </c>
      <c r="F2098" s="48">
        <f>IFERROR(__xludf.DUMMYFUNCTION("""COMPUTED_VALUE"""),45708.46427109954)</f>
        <v>45708.46427</v>
      </c>
      <c r="G2098" s="42" t="str">
        <f>IFERROR(__xludf.DUMMYFUNCTION("""COMPUTED_VALUE"""),"BN HIBAH")</f>
        <v>BN HIBAH</v>
      </c>
      <c r="H2098" s="42">
        <f t="shared" si="1"/>
        <v>966</v>
      </c>
    </row>
    <row r="2099" ht="22.5" customHeight="1">
      <c r="B2099" s="42" t="str">
        <f>IFERROR(__xludf.DUMMYFUNCTION("""COMPUTED_VALUE"""),"K/33/110225/2")</f>
        <v>K/33/110225/2</v>
      </c>
      <c r="C2099" s="42" t="str">
        <f>IFERROR(__xludf.DUMMYFUNCTION("""COMPUTED_VALUE"""),"B. 20/ surabaya (PBT330/2024)")</f>
        <v>B. 20/ surabaya (PBT330/2024)</v>
      </c>
      <c r="D2099" s="42"/>
      <c r="E2099" s="42"/>
      <c r="F2099" s="48" t="str">
        <f>IFERROR(__xludf.DUMMYFUNCTION("""COMPUTED_VALUE"""),"")</f>
        <v/>
      </c>
      <c r="G2099" s="42" t="str">
        <f>IFERROR(__xludf.DUMMYFUNCTION("""COMPUTED_VALUE"""),"PTPGT HGB BERAKHIR")</f>
        <v>PTPGT HGB BERAKHIR</v>
      </c>
      <c r="H2099" s="42">
        <f t="shared" si="1"/>
        <v>966</v>
      </c>
    </row>
    <row r="2100" ht="22.5" customHeight="1">
      <c r="B2100" s="42" t="str">
        <f>IFERROR(__xludf.DUMMYFUNCTION("""COMPUTED_VALUE"""),"K/35/110225/1")</f>
        <v>K/35/110225/1</v>
      </c>
      <c r="C2100" s="42" t="str">
        <f>IFERROR(__xludf.DUMMYFUNCTION("""COMPUTED_VALUE"""),"Nibel. M. 2113/ Sukarame Baru")</f>
        <v>Nibel. M. 2113/ Sukarame Baru</v>
      </c>
      <c r="D2100" s="42"/>
      <c r="E2100" s="42"/>
      <c r="F2100" s="48" t="str">
        <f>IFERROR(__xludf.DUMMYFUNCTION("""COMPUTED_VALUE"""),"")</f>
        <v/>
      </c>
      <c r="G2100" s="42" t="str">
        <f>IFERROR(__xludf.DUMMYFUNCTION("""COMPUTED_VALUE"""),"BN Jual Beli")</f>
        <v>BN Jual Beli</v>
      </c>
      <c r="H2100" s="42">
        <f t="shared" si="1"/>
        <v>966</v>
      </c>
    </row>
    <row r="2101" ht="22.5" customHeight="1">
      <c r="B2101" s="42" t="str">
        <f>IFERROR(__xludf.DUMMYFUNCTION("""COMPUTED_VALUE"""),"K/27/110225/1")</f>
        <v>K/27/110225/1</v>
      </c>
      <c r="C2101" s="42" t="str">
        <f>IFERROR(__xludf.DUMMYFUNCTION("""COMPUTED_VALUE"""),"M.624/SUKARAME II")</f>
        <v>M.624/SUKARAME II</v>
      </c>
      <c r="D2101" s="42"/>
      <c r="E2101" s="42"/>
      <c r="F2101" s="48" t="str">
        <f>IFERROR(__xludf.DUMMYFUNCTION("""COMPUTED_VALUE"""),"")</f>
        <v/>
      </c>
      <c r="G2101" s="42" t="str">
        <f>IFERROR(__xludf.DUMMYFUNCTION("""COMPUTED_VALUE"""),"PTPGT")</f>
        <v>PTPGT</v>
      </c>
      <c r="H2101" s="42">
        <f t="shared" si="1"/>
        <v>966</v>
      </c>
    </row>
    <row r="2102" ht="22.5" customHeight="1">
      <c r="B2102" s="42" t="str">
        <f>IFERROR(__xludf.DUMMYFUNCTION("""COMPUTED_VALUE"""),"K/37/110225/1")</f>
        <v>K/37/110225/1</v>
      </c>
      <c r="C2102" s="42" t="str">
        <f>IFERROR(__xludf.DUMMYFUNCTION("""COMPUTED_VALUE"""),"NIbel 3793/ rajabasa")</f>
        <v>NIbel 3793/ rajabasa</v>
      </c>
      <c r="D2102" s="42"/>
      <c r="E2102" s="42"/>
      <c r="F2102" s="48" t="str">
        <f>IFERROR(__xludf.DUMMYFUNCTION("""COMPUTED_VALUE"""),"")</f>
        <v/>
      </c>
      <c r="G2102" s="42" t="str">
        <f>IFERROR(__xludf.DUMMYFUNCTION("""COMPUTED_VALUE"""),"BN JUAL BELIO")</f>
        <v>BN JUAL BELIO</v>
      </c>
      <c r="H2102" s="42">
        <f t="shared" si="1"/>
        <v>966</v>
      </c>
    </row>
    <row r="2103" ht="22.5" customHeight="1">
      <c r="B2103" s="42" t="str">
        <f>IFERROR(__xludf.DUMMYFUNCTION("""COMPUTED_VALUE"""),"K/38/110225/1")</f>
        <v>K/38/110225/1</v>
      </c>
      <c r="C2103" s="42" t="str">
        <f>IFERROR(__xludf.DUMMYFUNCTION("""COMPUTED_VALUE"""),"B.56/PINANG JAYA")</f>
        <v>B.56/PINANG JAYA</v>
      </c>
      <c r="D2103" s="42"/>
      <c r="E2103" s="42" t="str">
        <f>IFERROR(__xludf.DUMMYFUNCTION("""COMPUTED_VALUE"""),"DISERAHKAN")</f>
        <v>DISERAHKAN</v>
      </c>
      <c r="F2103" s="48">
        <f>IFERROR(__xludf.DUMMYFUNCTION("""COMPUTED_VALUE"""),45722.50210172454)</f>
        <v>45722.5021</v>
      </c>
      <c r="G2103" s="42" t="str">
        <f>IFERROR(__xludf.DUMMYFUNCTION("""COMPUTED_VALUE"""),"BN JUAL BELI")</f>
        <v>BN JUAL BELI</v>
      </c>
      <c r="H2103" s="42">
        <f t="shared" si="1"/>
        <v>967</v>
      </c>
    </row>
    <row r="2104" ht="22.5" customHeight="1">
      <c r="B2104" s="42" t="str">
        <f>IFERROR(__xludf.DUMMYFUNCTION("""COMPUTED_VALUE"""),"K/39/110225/2")</f>
        <v>K/39/110225/2</v>
      </c>
      <c r="C2104" s="42" t="str">
        <f>IFERROR(__xludf.DUMMYFUNCTION("""COMPUTED_VALUE"""),"M.2637/PINANG JAYA")</f>
        <v>M.2637/PINANG JAYA</v>
      </c>
      <c r="D2104" s="42"/>
      <c r="E2104" s="42" t="str">
        <f>IFERROR(__xludf.DUMMYFUNCTION("""COMPUTED_VALUE"""),"DISERAHKAN")</f>
        <v>DISERAHKAN</v>
      </c>
      <c r="F2104" s="48">
        <f>IFERROR(__xludf.DUMMYFUNCTION("""COMPUTED_VALUE"""),45722.50179898148)</f>
        <v>45722.5018</v>
      </c>
      <c r="G2104" s="42" t="str">
        <f>IFERROR(__xludf.DUMMYFUNCTION("""COMPUTED_VALUE"""),"BN JUAL BELI")</f>
        <v>BN JUAL BELI</v>
      </c>
      <c r="H2104" s="42">
        <f t="shared" si="1"/>
        <v>968</v>
      </c>
    </row>
    <row r="2105" ht="22.5" customHeight="1">
      <c r="B2105" s="42" t="str">
        <f>IFERROR(__xludf.DUMMYFUNCTION("""COMPUTED_VALUE"""),"K/40/110225/1")</f>
        <v>K/40/110225/1</v>
      </c>
      <c r="C2105" s="42" t="str">
        <f>IFERROR(__xludf.DUMMYFUNCTION("""COMPUTED_VALUE"""),"NIbel 2566/ rajabasa")</f>
        <v>NIbel 2566/ rajabasa</v>
      </c>
      <c r="D2105" s="42"/>
      <c r="E2105" s="42"/>
      <c r="F2105" s="48" t="str">
        <f>IFERROR(__xludf.DUMMYFUNCTION("""COMPUTED_VALUE"""),"")</f>
        <v/>
      </c>
      <c r="G2105" s="42" t="str">
        <f>IFERROR(__xludf.DUMMYFUNCTION("""COMPUTED_VALUE"""),"BN JUAL BELI")</f>
        <v>BN JUAL BELI</v>
      </c>
      <c r="H2105" s="42">
        <f t="shared" si="1"/>
        <v>968</v>
      </c>
    </row>
    <row r="2106" ht="22.5" customHeight="1">
      <c r="B2106" s="42" t="str">
        <f>IFERROR(__xludf.DUMMYFUNCTION("""COMPUTED_VALUE"""),"K/34/110225/1")</f>
        <v>K/34/110225/1</v>
      </c>
      <c r="C2106" s="42" t="str">
        <f>IFERROR(__xludf.DUMMYFUNCTION("""COMPUTED_VALUE"""),"B. 41/ Sumberejo Sejahtera")</f>
        <v>B. 41/ Sumberejo Sejahtera</v>
      </c>
      <c r="D2106" s="42"/>
      <c r="E2106" s="42" t="str">
        <f>IFERROR(__xludf.DUMMYFUNCTION("""COMPUTED_VALUE"""),"DISERAHKAN")</f>
        <v>DISERAHKAN</v>
      </c>
      <c r="F2106" s="48">
        <f>IFERROR(__xludf.DUMMYFUNCTION("""COMPUTED_VALUE"""),45712.41379101852)</f>
        <v>45712.41379</v>
      </c>
      <c r="G2106" s="42" t="str">
        <f>IFERROR(__xludf.DUMMYFUNCTION("""COMPUTED_VALUE"""),"BN Jual Beli")</f>
        <v>BN Jual Beli</v>
      </c>
      <c r="H2106" s="42">
        <f t="shared" si="1"/>
        <v>969</v>
      </c>
    </row>
    <row r="2107" ht="22.5" customHeight="1">
      <c r="B2107" s="42" t="str">
        <f>IFERROR(__xludf.DUMMYFUNCTION("""COMPUTED_VALUE"""),"K/41/110225/1")</f>
        <v>K/41/110225/1</v>
      </c>
      <c r="C2107" s="42" t="str">
        <f>IFERROR(__xludf.DUMMYFUNCTION("""COMPUTED_VALUE"""),"B.3629/BERINGIN RAYA")</f>
        <v>B.3629/BERINGIN RAYA</v>
      </c>
      <c r="D2107" s="42"/>
      <c r="E2107" s="42" t="str">
        <f>IFERROR(__xludf.DUMMYFUNCTION("""COMPUTED_VALUE"""),"DISERAHKAN")</f>
        <v>DISERAHKAN</v>
      </c>
      <c r="F2107" s="48">
        <f>IFERROR(__xludf.DUMMYFUNCTION("""COMPUTED_VALUE"""),45723.48169826389)</f>
        <v>45723.4817</v>
      </c>
      <c r="G2107" s="42" t="str">
        <f>IFERROR(__xludf.DUMMYFUNCTION("""COMPUTED_VALUE"""),"PERALIHAN JUAL BELI")</f>
        <v>PERALIHAN JUAL BELI</v>
      </c>
      <c r="H2107" s="42">
        <f t="shared" si="1"/>
        <v>970</v>
      </c>
    </row>
    <row r="2108" ht="22.5" customHeight="1">
      <c r="B2108" s="42" t="str">
        <f>IFERROR(__xludf.DUMMYFUNCTION("""COMPUTED_VALUE"""),"K/42/110225/2")</f>
        <v>K/42/110225/2</v>
      </c>
      <c r="C2108" s="42" t="str">
        <f>IFERROR(__xludf.DUMMYFUNCTION("""COMPUTED_VALUE"""),"NIBEL M 3240/LANGKAPURA")</f>
        <v>NIBEL M 3240/LANGKAPURA</v>
      </c>
      <c r="D2108" s="42"/>
      <c r="E2108" s="42"/>
      <c r="F2108" s="48" t="str">
        <f>IFERROR(__xludf.DUMMYFUNCTION("""COMPUTED_VALUE"""),"")</f>
        <v/>
      </c>
      <c r="G2108" s="42" t="str">
        <f>IFERROR(__xludf.DUMMYFUNCTION("""COMPUTED_VALUE"""),"PERALIHAN JUAL BELI")</f>
        <v>PERALIHAN JUAL BELI</v>
      </c>
      <c r="H2108" s="42">
        <f t="shared" si="1"/>
        <v>970</v>
      </c>
    </row>
    <row r="2109" ht="22.5" customHeight="1">
      <c r="B2109" s="42" t="str">
        <f>IFERROR(__xludf.DUMMYFUNCTION("""COMPUTED_VALUE"""),"K/40/100225/2")</f>
        <v>K/40/100225/2</v>
      </c>
      <c r="C2109" s="42" t="str">
        <f>IFERROR(__xludf.DUMMYFUNCTION("""COMPUTED_VALUE"""),"M.1983/RAJABASA JAYA")</f>
        <v>M.1983/RAJABASA JAYA</v>
      </c>
      <c r="D2109" s="42"/>
      <c r="E2109" s="42"/>
      <c r="F2109" s="48" t="str">
        <f>IFERROR(__xludf.DUMMYFUNCTION("""COMPUTED_VALUE"""),"")</f>
        <v/>
      </c>
      <c r="G2109" s="42" t="str">
        <f>IFERROR(__xludf.DUMMYFUNCTION("""COMPUTED_VALUE"""),"HAPUS BPHTB")</f>
        <v>HAPUS BPHTB</v>
      </c>
      <c r="H2109" s="42">
        <f t="shared" si="1"/>
        <v>970</v>
      </c>
    </row>
    <row r="2110" ht="22.5" customHeight="1">
      <c r="B2110" s="42" t="str">
        <f>IFERROR(__xludf.DUMMYFUNCTION("""COMPUTED_VALUE"""),"K/43/110225/1")</f>
        <v>K/43/110225/1</v>
      </c>
      <c r="C2110" s="42" t="str">
        <f>IFERROR(__xludf.DUMMYFUNCTION("""COMPUTED_VALUE"""),"NIBEL M. 10854/WAY HALIM PERMAI")</f>
        <v>NIBEL M. 10854/WAY HALIM PERMAI</v>
      </c>
      <c r="D2110" s="42"/>
      <c r="E2110" s="42"/>
      <c r="F2110" s="48" t="str">
        <f>IFERROR(__xludf.DUMMYFUNCTION("""COMPUTED_VALUE"""),"")</f>
        <v/>
      </c>
      <c r="G2110" s="42" t="str">
        <f>IFERROR(__xludf.DUMMYFUNCTION("""COMPUTED_VALUE"""),"BN JUAL BELI")</f>
        <v>BN JUAL BELI</v>
      </c>
      <c r="H2110" s="42">
        <f t="shared" si="1"/>
        <v>970</v>
      </c>
    </row>
    <row r="2111" ht="22.5" customHeight="1">
      <c r="B2111" s="42" t="str">
        <f>IFERROR(__xludf.DUMMYFUNCTION("""COMPUTED_VALUE"""),"K/44/110225/2")</f>
        <v>K/44/110225/2</v>
      </c>
      <c r="C2111" s="42" t="str">
        <f>IFERROR(__xludf.DUMMYFUNCTION("""COMPUTED_VALUE"""),"NIBEL M. 10845/WAY HALIM PERMAI")</f>
        <v>NIBEL M. 10845/WAY HALIM PERMAI</v>
      </c>
      <c r="D2111" s="42"/>
      <c r="E2111" s="42"/>
      <c r="F2111" s="48" t="str">
        <f>IFERROR(__xludf.DUMMYFUNCTION("""COMPUTED_VALUE"""),"")</f>
        <v/>
      </c>
      <c r="G2111" s="42" t="str">
        <f>IFERROR(__xludf.DUMMYFUNCTION("""COMPUTED_VALUE"""),"BN JUAL BELI")</f>
        <v>BN JUAL BELI</v>
      </c>
      <c r="H2111" s="42">
        <f t="shared" si="1"/>
        <v>970</v>
      </c>
    </row>
    <row r="2112" ht="22.5" customHeight="1">
      <c r="B2112" s="42" t="str">
        <f>IFERROR(__xludf.DUMMYFUNCTION("""COMPUTED_VALUE"""),"K/45/110225/3")</f>
        <v>K/45/110225/3</v>
      </c>
      <c r="C2112" s="42" t="str">
        <f>IFERROR(__xludf.DUMMYFUNCTION("""COMPUTED_VALUE"""),"M. 3234/GEDONG AIR")</f>
        <v>M. 3234/GEDONG AIR</v>
      </c>
      <c r="D2112" s="42"/>
      <c r="E2112" s="42" t="str">
        <f>IFERROR(__xludf.DUMMYFUNCTION("""COMPUTED_VALUE"""),"DISERAHKAN")</f>
        <v>DISERAHKAN</v>
      </c>
      <c r="F2112" s="48">
        <f>IFERROR(__xludf.DUMMYFUNCTION("""COMPUTED_VALUE"""),45712.41098806713)</f>
        <v>45712.41099</v>
      </c>
      <c r="G2112" s="42" t="str">
        <f>IFERROR(__xludf.DUMMYFUNCTION("""COMPUTED_VALUE"""),"BN JUAL BELI")</f>
        <v>BN JUAL BELI</v>
      </c>
      <c r="H2112" s="42">
        <f t="shared" si="1"/>
        <v>971</v>
      </c>
    </row>
    <row r="2113" ht="22.5" customHeight="1">
      <c r="B2113" s="42" t="str">
        <f>IFERROR(__xludf.DUMMYFUNCTION("""COMPUTED_VALUE"""),"K/1/120225/1")</f>
        <v>K/1/120225/1</v>
      </c>
      <c r="C2113" s="42" t="str">
        <f>IFERROR(__xludf.DUMMYFUNCTION("""COMPUTED_VALUE"""),"M. 12985/ Beringin Raya")</f>
        <v>M. 12985/ Beringin Raya</v>
      </c>
      <c r="D2113" s="42"/>
      <c r="E2113" s="42" t="str">
        <f>IFERROR(__xludf.DUMMYFUNCTION("""COMPUTED_VALUE"""),"DISERAHKAN")</f>
        <v>DISERAHKAN</v>
      </c>
      <c r="F2113" s="48">
        <f>IFERROR(__xludf.DUMMYFUNCTION("""COMPUTED_VALUE"""),45712.413366469904)</f>
        <v>45712.41337</v>
      </c>
      <c r="G2113" s="42" t="str">
        <f>IFERROR(__xludf.DUMMYFUNCTION("""COMPUTED_VALUE"""),"BN Jual Beli")</f>
        <v>BN Jual Beli</v>
      </c>
      <c r="H2113" s="42">
        <f t="shared" si="1"/>
        <v>972</v>
      </c>
    </row>
    <row r="2114" ht="22.5" customHeight="1">
      <c r="B2114" s="42" t="str">
        <f>IFERROR(__xludf.DUMMYFUNCTION("""COMPUTED_VALUE"""),"K/2/120225/1")</f>
        <v>K/2/120225/1</v>
      </c>
      <c r="C2114" s="42" t="str">
        <f>IFERROR(__xludf.DUMMYFUNCTION("""COMPUTED_VALUE"""),"M. 5616/ Langkapura")</f>
        <v>M. 5616/ Langkapura</v>
      </c>
      <c r="D2114" s="42"/>
      <c r="E2114" s="42"/>
      <c r="F2114" s="48" t="str">
        <f>IFERROR(__xludf.DUMMYFUNCTION("""COMPUTED_VALUE"""),"")</f>
        <v/>
      </c>
      <c r="G2114" s="42" t="str">
        <f>IFERROR(__xludf.DUMMYFUNCTION("""COMPUTED_VALUE"""),"Bn Jual Beli")</f>
        <v>Bn Jual Beli</v>
      </c>
      <c r="H2114" s="42">
        <f t="shared" si="1"/>
        <v>972</v>
      </c>
    </row>
    <row r="2115" ht="22.5" customHeight="1">
      <c r="B2115" s="42" t="str">
        <f>IFERROR(__xludf.DUMMYFUNCTION("""COMPUTED_VALUE"""),"K/3/120225/1")</f>
        <v>K/3/120225/1</v>
      </c>
      <c r="C2115" s="42" t="str">
        <f>IFERROR(__xludf.DUMMYFUNCTION("""COMPUTED_VALUE"""),"M. 4304/ Way Kandis")</f>
        <v>M. 4304/ Way Kandis</v>
      </c>
      <c r="D2115" s="42"/>
      <c r="E2115" s="42" t="str">
        <f>IFERROR(__xludf.DUMMYFUNCTION("""COMPUTED_VALUE"""),"DISERAHKAN")</f>
        <v>DISERAHKAN</v>
      </c>
      <c r="F2115" s="48">
        <f>IFERROR(__xludf.DUMMYFUNCTION("""COMPUTED_VALUE"""),45727.49644736111)</f>
        <v>45727.49645</v>
      </c>
      <c r="G2115" s="42" t="str">
        <f>IFERROR(__xludf.DUMMYFUNCTION("""COMPUTED_VALUE"""),"BN JUAL BELI")</f>
        <v>BN JUAL BELI</v>
      </c>
      <c r="H2115" s="42">
        <f t="shared" si="1"/>
        <v>973</v>
      </c>
    </row>
    <row r="2116" ht="22.5" customHeight="1">
      <c r="B2116" s="42" t="str">
        <f>IFERROR(__xludf.DUMMYFUNCTION("""COMPUTED_VALUE"""),"L/5/120225/1")</f>
        <v>L/5/120225/1</v>
      </c>
      <c r="C2116" s="42" t="str">
        <f>IFERROR(__xludf.DUMMYFUNCTION("""COMPUTED_VALUE"""),"NIBEL M 17586/GUNUNG TERANG")</f>
        <v>NIBEL M 17586/GUNUNG TERANG</v>
      </c>
      <c r="D2116" s="42"/>
      <c r="E2116" s="42"/>
      <c r="F2116" s="48" t="str">
        <f>IFERROR(__xludf.DUMMYFUNCTION("""COMPUTED_VALUE"""),"")</f>
        <v/>
      </c>
      <c r="G2116" s="42" t="str">
        <f>IFERROR(__xludf.DUMMYFUNCTION("""COMPUTED_VALUE"""),"PTPGT")</f>
        <v>PTPGT</v>
      </c>
      <c r="H2116" s="42">
        <f t="shared" si="1"/>
        <v>973</v>
      </c>
    </row>
    <row r="2117" ht="22.5" customHeight="1">
      <c r="B2117" s="42" t="str">
        <f>IFERROR(__xludf.DUMMYFUNCTION("""COMPUTED_VALUE"""),"L/7/120225/1")</f>
        <v>L/7/120225/1</v>
      </c>
      <c r="C2117" s="42" t="str">
        <f>IFERROR(__xludf.DUMMYFUNCTION("""COMPUTED_VALUE"""),"M.1751/CAMPANG RAYA")</f>
        <v>M.1751/CAMPANG RAYA</v>
      </c>
      <c r="D2117" s="42"/>
      <c r="E2117" s="42"/>
      <c r="F2117" s="48" t="str">
        <f>IFERROR(__xludf.DUMMYFUNCTION("""COMPUTED_VALUE"""),"")</f>
        <v/>
      </c>
      <c r="G2117" s="42" t="str">
        <f>IFERROR(__xludf.DUMMYFUNCTION("""COMPUTED_VALUE"""),"ROYA AHLI WARIS")</f>
        <v>ROYA AHLI WARIS</v>
      </c>
      <c r="H2117" s="42">
        <f t="shared" si="1"/>
        <v>973</v>
      </c>
    </row>
    <row r="2118" ht="22.5" customHeight="1">
      <c r="B2118" s="42" t="str">
        <f>IFERROR(__xludf.DUMMYFUNCTION("""COMPUTED_VALUE"""),"L/8/120225/1")</f>
        <v>L/8/120225/1</v>
      </c>
      <c r="C2118" s="42" t="str">
        <f>IFERROR(__xludf.DUMMYFUNCTION("""COMPUTED_VALUE"""),"M.14477/SUKABUMI")</f>
        <v>M.14477/SUKABUMI</v>
      </c>
      <c r="D2118" s="42"/>
      <c r="E2118" s="42" t="str">
        <f>IFERROR(__xludf.DUMMYFUNCTION("""COMPUTED_VALUE"""),"DISERAHKAN")</f>
        <v>DISERAHKAN</v>
      </c>
      <c r="F2118" s="48">
        <f>IFERROR(__xludf.DUMMYFUNCTION("""COMPUTED_VALUE"""),45719.635481516205)</f>
        <v>45719.63548</v>
      </c>
      <c r="G2118" s="42" t="str">
        <f>IFERROR(__xludf.DUMMYFUNCTION("""COMPUTED_VALUE"""),"ROYA ")</f>
        <v>ROYA </v>
      </c>
      <c r="H2118" s="42">
        <f t="shared" si="1"/>
        <v>974</v>
      </c>
    </row>
    <row r="2119" ht="22.5" customHeight="1">
      <c r="B2119" s="42" t="str">
        <f>IFERROR(__xludf.DUMMYFUNCTION("""COMPUTED_VALUE"""),"K/4/120225/2")</f>
        <v>K/4/120225/2</v>
      </c>
      <c r="C2119" s="42" t="str">
        <f>IFERROR(__xludf.DUMMYFUNCTION("""COMPUTED_VALUE"""),"B. 312/ Sukarame Baru")</f>
        <v>B. 312/ Sukarame Baru</v>
      </c>
      <c r="D2119" s="42"/>
      <c r="E2119" s="42" t="str">
        <f>IFERROR(__xludf.DUMMYFUNCTION("""COMPUTED_VALUE"""),"DISERAHKAN")</f>
        <v>DISERAHKAN</v>
      </c>
      <c r="F2119" s="48">
        <f>IFERROR(__xludf.DUMMYFUNCTION("""COMPUTED_VALUE"""),45708.46385571759)</f>
        <v>45708.46386</v>
      </c>
      <c r="G2119" s="42" t="str">
        <f>IFERROR(__xludf.DUMMYFUNCTION("""COMPUTED_VALUE"""),"BN JUAL BELI")</f>
        <v>BN JUAL BELI</v>
      </c>
      <c r="H2119" s="42">
        <f t="shared" si="1"/>
        <v>975</v>
      </c>
    </row>
    <row r="2120" ht="22.5" customHeight="1">
      <c r="B2120" s="42" t="str">
        <f>IFERROR(__xludf.DUMMYFUNCTION("""COMPUTED_VALUE"""),"K/6/120225/1")</f>
        <v>K/6/120225/1</v>
      </c>
      <c r="C2120" s="42" t="str">
        <f>IFERROR(__xludf.DUMMYFUNCTION("""COMPUTED_VALUE"""),"M.663/NEGERI OLOK GADING")</f>
        <v>M.663/NEGERI OLOK GADING</v>
      </c>
      <c r="D2120" s="42"/>
      <c r="E2120" s="42" t="str">
        <f>IFERROR(__xludf.DUMMYFUNCTION("""COMPUTED_VALUE"""),"DISERAHKAN BT")</f>
        <v>DISERAHKAN BT</v>
      </c>
      <c r="F2120" s="48">
        <f>IFERROR(__xludf.DUMMYFUNCTION("""COMPUTED_VALUE"""),45720.56478353009)</f>
        <v>45720.56478</v>
      </c>
      <c r="G2120" s="42" t="str">
        <f>IFERROR(__xludf.DUMMYFUNCTION("""COMPUTED_VALUE"""),"ROYA")</f>
        <v>ROYA</v>
      </c>
      <c r="H2120" s="42">
        <f t="shared" si="1"/>
        <v>975</v>
      </c>
    </row>
    <row r="2121" ht="22.5" customHeight="1">
      <c r="B2121" s="42" t="str">
        <f>IFERROR(__xludf.DUMMYFUNCTION("""COMPUTED_VALUE"""),"K/9/120225/1")</f>
        <v>K/9/120225/1</v>
      </c>
      <c r="C2121" s="42" t="str">
        <f>IFERROR(__xludf.DUMMYFUNCTION("""COMPUTED_VALUE"""),"M. 2809/ Sukarame Baru")</f>
        <v>M. 2809/ Sukarame Baru</v>
      </c>
      <c r="D2121" s="42"/>
      <c r="E2121" s="42" t="str">
        <f>IFERROR(__xludf.DUMMYFUNCTION("""COMPUTED_VALUE"""),"DISERAHKAN")</f>
        <v>DISERAHKAN</v>
      </c>
      <c r="F2121" s="48">
        <f>IFERROR(__xludf.DUMMYFUNCTION("""COMPUTED_VALUE"""),45708.46642251157)</f>
        <v>45708.46642</v>
      </c>
      <c r="G2121" s="42" t="str">
        <f>IFERROR(__xludf.DUMMYFUNCTION("""COMPUTED_VALUE"""),"BN JUAL BELI")</f>
        <v>BN JUAL BELI</v>
      </c>
      <c r="H2121" s="42">
        <f t="shared" si="1"/>
        <v>976</v>
      </c>
    </row>
    <row r="2122" ht="22.5" customHeight="1">
      <c r="B2122" s="42" t="str">
        <f>IFERROR(__xludf.DUMMYFUNCTION("""COMPUTED_VALUE"""),"K/10/120225/1")</f>
        <v>K/10/120225/1</v>
      </c>
      <c r="C2122" s="42" t="str">
        <f>IFERROR(__xludf.DUMMYFUNCTION("""COMPUTED_VALUE"""),"Nibel. B. 10058/ Way Laga")</f>
        <v>Nibel. B. 10058/ Way Laga</v>
      </c>
      <c r="D2122" s="42"/>
      <c r="E2122" s="42"/>
      <c r="F2122" s="48" t="str">
        <f>IFERROR(__xludf.DUMMYFUNCTION("""COMPUTED_VALUE"""),"")</f>
        <v/>
      </c>
      <c r="G2122" s="42" t="str">
        <f>IFERROR(__xludf.DUMMYFUNCTION("""COMPUTED_VALUE"""),"Perubahan Hak")</f>
        <v>Perubahan Hak</v>
      </c>
      <c r="H2122" s="42">
        <f t="shared" si="1"/>
        <v>976</v>
      </c>
    </row>
    <row r="2123" ht="22.5" customHeight="1">
      <c r="B2123" s="42" t="str">
        <f>IFERROR(__xludf.DUMMYFUNCTION("""COMPUTED_VALUE"""),"K/11/120225/2")</f>
        <v>K/11/120225/2</v>
      </c>
      <c r="C2123" s="42" t="str">
        <f>IFERROR(__xludf.DUMMYFUNCTION("""COMPUTED_VALUE"""),"Nibel. B. 10057/ Way Laga")</f>
        <v>Nibel. B. 10057/ Way Laga</v>
      </c>
      <c r="D2123" s="42"/>
      <c r="E2123" s="42"/>
      <c r="F2123" s="48" t="str">
        <f>IFERROR(__xludf.DUMMYFUNCTION("""COMPUTED_VALUE"""),"")</f>
        <v/>
      </c>
      <c r="G2123" s="42" t="str">
        <f>IFERROR(__xludf.DUMMYFUNCTION("""COMPUTED_VALUE"""),"Perubahan Hak")</f>
        <v>Perubahan Hak</v>
      </c>
      <c r="H2123" s="42">
        <f t="shared" si="1"/>
        <v>976</v>
      </c>
    </row>
    <row r="2124" ht="22.5" customHeight="1">
      <c r="B2124" s="42" t="str">
        <f>IFERROR(__xludf.DUMMYFUNCTION("""COMPUTED_VALUE"""),"L/12/120225/1")</f>
        <v>L/12/120225/1</v>
      </c>
      <c r="C2124" s="42" t="str">
        <f>IFERROR(__xludf.DUMMYFUNCTION("""COMPUTED_VALUE"""),"M.1937/KOTA BARU")</f>
        <v>M.1937/KOTA BARU</v>
      </c>
      <c r="D2124" s="42"/>
      <c r="E2124" s="42" t="str">
        <f>IFERROR(__xludf.DUMMYFUNCTION("""COMPUTED_VALUE"""),"DISERAHKAN")</f>
        <v>DISERAHKAN</v>
      </c>
      <c r="F2124" s="48">
        <f>IFERROR(__xludf.DUMMYFUNCTION("""COMPUTED_VALUE"""),45720.56654322917)</f>
        <v>45720.56654</v>
      </c>
      <c r="G2124" s="42" t="str">
        <f>IFERROR(__xludf.DUMMYFUNCTION("""COMPUTED_VALUE"""),"ROYA")</f>
        <v>ROYA</v>
      </c>
      <c r="H2124" s="42">
        <f t="shared" si="1"/>
        <v>977</v>
      </c>
    </row>
    <row r="2125" ht="22.5" customHeight="1">
      <c r="B2125" s="42" t="str">
        <f>IFERROR(__xludf.DUMMYFUNCTION("""COMPUTED_VALUE"""),"K/13/120225/3")</f>
        <v>K/13/120225/3</v>
      </c>
      <c r="C2125" s="42" t="str">
        <f>IFERROR(__xludf.DUMMYFUNCTION("""COMPUTED_VALUE"""),"M. 1356/ Rawa Laut")</f>
        <v>M. 1356/ Rawa Laut</v>
      </c>
      <c r="D2125" s="42"/>
      <c r="E2125" s="42" t="str">
        <f>IFERROR(__xludf.DUMMYFUNCTION("""COMPUTED_VALUE"""),"DISERAHKAN")</f>
        <v>DISERAHKAN</v>
      </c>
      <c r="F2125" s="48">
        <f>IFERROR(__xludf.DUMMYFUNCTION("""COMPUTED_VALUE"""),45723.54691761574)</f>
        <v>45723.54692</v>
      </c>
      <c r="G2125" s="42" t="str">
        <f>IFERROR(__xludf.DUMMYFUNCTION("""COMPUTED_VALUE"""),"Roya")</f>
        <v>Roya</v>
      </c>
      <c r="H2125" s="42">
        <f t="shared" si="1"/>
        <v>978</v>
      </c>
    </row>
    <row r="2126" ht="22.5" customHeight="1">
      <c r="B2126" s="42" t="str">
        <f>IFERROR(__xludf.DUMMYFUNCTION("""COMPUTED_VALUE"""),"K/14/120225/1")</f>
        <v>K/14/120225/1</v>
      </c>
      <c r="C2126" s="42" t="str">
        <f>IFERROR(__xludf.DUMMYFUNCTION("""COMPUTED_VALUE"""),"M.996/GEDONG AIR")</f>
        <v>M.996/GEDONG AIR</v>
      </c>
      <c r="D2126" s="42"/>
      <c r="E2126" s="42" t="str">
        <f>IFERROR(__xludf.DUMMYFUNCTION("""COMPUTED_VALUE"""),"DISERAHKAN")</f>
        <v>DISERAHKAN</v>
      </c>
      <c r="F2126" s="48">
        <f>IFERROR(__xludf.DUMMYFUNCTION("""COMPUTED_VALUE"""),45712.411190115745)</f>
        <v>45712.41119</v>
      </c>
      <c r="G2126" s="42" t="str">
        <f>IFERROR(__xludf.DUMMYFUNCTION("""COMPUTED_VALUE"""),"BN WARIS")</f>
        <v>BN WARIS</v>
      </c>
      <c r="H2126" s="42">
        <f t="shared" si="1"/>
        <v>979</v>
      </c>
    </row>
    <row r="2127" ht="22.5" customHeight="1">
      <c r="B2127" s="42" t="str">
        <f>IFERROR(__xludf.DUMMYFUNCTION("""COMPUTED_VALUE"""),"K/15/120225/2")</f>
        <v>K/15/120225/2</v>
      </c>
      <c r="C2127" s="42" t="str">
        <f>IFERROR(__xludf.DUMMYFUNCTION("""COMPUTED_VALUE"""),"M.1143/PEMATANG WANGI")</f>
        <v>M.1143/PEMATANG WANGI</v>
      </c>
      <c r="D2127" s="42"/>
      <c r="E2127" s="42"/>
      <c r="F2127" s="48" t="str">
        <f>IFERROR(__xludf.DUMMYFUNCTION("""COMPUTED_VALUE"""),"")</f>
        <v/>
      </c>
      <c r="G2127" s="42" t="str">
        <f>IFERROR(__xludf.DUMMYFUNCTION("""COMPUTED_VALUE"""),"PTPGT")</f>
        <v>PTPGT</v>
      </c>
      <c r="H2127" s="42">
        <f t="shared" si="1"/>
        <v>979</v>
      </c>
    </row>
    <row r="2128" ht="22.5" customHeight="1">
      <c r="B2128" s="42" t="str">
        <f>IFERROR(__xludf.DUMMYFUNCTION("""COMPUTED_VALUE"""),"K/16/120225/1")</f>
        <v>K/16/120225/1</v>
      </c>
      <c r="C2128" s="42" t="str">
        <f>IFERROR(__xludf.DUMMYFUNCTION("""COMPUTED_VALUE"""),"NIBEL B.13079/KOTA KARANG")</f>
        <v>NIBEL B.13079/KOTA KARANG</v>
      </c>
      <c r="D2128" s="42"/>
      <c r="E2128" s="42"/>
      <c r="F2128" s="48" t="str">
        <f>IFERROR(__xludf.DUMMYFUNCTION("""COMPUTED_VALUE"""),"")</f>
        <v/>
      </c>
      <c r="G2128" s="42" t="str">
        <f>IFERROR(__xludf.DUMMYFUNCTION("""COMPUTED_VALUE"""),"PENINGKATAN HAK")</f>
        <v>PENINGKATAN HAK</v>
      </c>
      <c r="H2128" s="42">
        <f t="shared" si="1"/>
        <v>979</v>
      </c>
    </row>
    <row r="2129" ht="22.5" customHeight="1">
      <c r="B2129" s="42" t="str">
        <f>IFERROR(__xludf.DUMMYFUNCTION("""COMPUTED_VALUE"""),"K/17/120225/1")</f>
        <v>K/17/120225/1</v>
      </c>
      <c r="C2129" s="42" t="str">
        <f>IFERROR(__xludf.DUMMYFUNCTION("""COMPUTED_VALUE"""),"NIBEL B. 17676/KETEGUHAN")</f>
        <v>NIBEL B. 17676/KETEGUHAN</v>
      </c>
      <c r="D2129" s="42"/>
      <c r="E2129" s="42"/>
      <c r="F2129" s="48" t="str">
        <f>IFERROR(__xludf.DUMMYFUNCTION("""COMPUTED_VALUE"""),"")</f>
        <v/>
      </c>
      <c r="G2129" s="42" t="str">
        <f>IFERROR(__xludf.DUMMYFUNCTION("""COMPUTED_VALUE"""),"BN LELANG")</f>
        <v>BN LELANG</v>
      </c>
      <c r="H2129" s="42">
        <f t="shared" si="1"/>
        <v>979</v>
      </c>
    </row>
    <row r="2130" ht="22.5" customHeight="1">
      <c r="B2130" s="42" t="str">
        <f>IFERROR(__xludf.DUMMYFUNCTION("""COMPUTED_VALUE"""),"K/18/120225/1")</f>
        <v>K/18/120225/1</v>
      </c>
      <c r="C2130" s="42" t="str">
        <f>IFERROR(__xludf.DUMMYFUNCTION("""COMPUTED_VALUE"""),"B. 897/ Kemiling Permai")</f>
        <v>B. 897/ Kemiling Permai</v>
      </c>
      <c r="D2130" s="42"/>
      <c r="E2130" s="42" t="str">
        <f>IFERROR(__xludf.DUMMYFUNCTION("""COMPUTED_VALUE"""),"DISERAHKAN")</f>
        <v>DISERAHKAN</v>
      </c>
      <c r="F2130" s="48">
        <f>IFERROR(__xludf.DUMMYFUNCTION("""COMPUTED_VALUE"""),45720.439202291665)</f>
        <v>45720.4392</v>
      </c>
      <c r="G2130" s="42" t="str">
        <f>IFERROR(__xludf.DUMMYFUNCTION("""COMPUTED_VALUE"""),"BN Jual Beli")</f>
        <v>BN Jual Beli</v>
      </c>
      <c r="H2130" s="42">
        <f t="shared" si="1"/>
        <v>980</v>
      </c>
    </row>
    <row r="2131" ht="22.5" customHeight="1">
      <c r="B2131" s="42" t="str">
        <f>IFERROR(__xludf.DUMMYFUNCTION("""COMPUTED_VALUE"""),"L/19/120225/1")</f>
        <v>L/19/120225/1</v>
      </c>
      <c r="C2131" s="42" t="str">
        <f>IFERROR(__xludf.DUMMYFUNCTION("""COMPUTED_VALUE"""),"M.12223/LABUHAN RATU")</f>
        <v>M.12223/LABUHAN RATU</v>
      </c>
      <c r="D2131" s="42"/>
      <c r="E2131" s="42" t="str">
        <f>IFERROR(__xludf.DUMMYFUNCTION("""COMPUTED_VALUE"""),"DISERAHKAN")</f>
        <v>DISERAHKAN</v>
      </c>
      <c r="F2131" s="48">
        <f>IFERROR(__xludf.DUMMYFUNCTION("""COMPUTED_VALUE"""),45723.54402479167)</f>
        <v>45723.54402</v>
      </c>
      <c r="G2131" s="42" t="str">
        <f>IFERROR(__xludf.DUMMYFUNCTION("""COMPUTED_VALUE"""),"ROYA")</f>
        <v>ROYA</v>
      </c>
      <c r="H2131" s="42">
        <f t="shared" si="1"/>
        <v>981</v>
      </c>
    </row>
    <row r="2132" ht="22.5" customHeight="1">
      <c r="B2132" s="42" t="str">
        <f>IFERROR(__xludf.DUMMYFUNCTION("""COMPUTED_VALUE"""),"K/20/120225/1")</f>
        <v>K/20/120225/1</v>
      </c>
      <c r="C2132" s="42" t="str">
        <f>IFERROR(__xludf.DUMMYFUNCTION("""COMPUTED_VALUE"""),"M. 1411/ Tanjung Senang")</f>
        <v>M. 1411/ Tanjung Senang</v>
      </c>
      <c r="D2132" s="42"/>
      <c r="E2132" s="42"/>
      <c r="F2132" s="48" t="str">
        <f>IFERROR(__xludf.DUMMYFUNCTION("""COMPUTED_VALUE"""),"")</f>
        <v/>
      </c>
      <c r="G2132" s="42" t="str">
        <f>IFERROR(__xludf.DUMMYFUNCTION("""COMPUTED_VALUE"""),"BN Jual Beli")</f>
        <v>BN Jual Beli</v>
      </c>
      <c r="H2132" s="42">
        <f t="shared" si="1"/>
        <v>981</v>
      </c>
    </row>
    <row r="2133" ht="22.5" customHeight="1">
      <c r="B2133" s="42" t="str">
        <f>IFERROR(__xludf.DUMMYFUNCTION("""COMPUTED_VALUE"""),"K/21/120225/1")</f>
        <v>K/21/120225/1</v>
      </c>
      <c r="C2133" s="42" t="str">
        <f>IFERROR(__xludf.DUMMYFUNCTION("""COMPUTED_VALUE"""),"Nibel 16094/ Kota Baru")</f>
        <v>Nibel 16094/ Kota Baru</v>
      </c>
      <c r="D2133" s="42"/>
      <c r="E2133" s="42"/>
      <c r="F2133" s="48" t="str">
        <f>IFERROR(__xludf.DUMMYFUNCTION("""COMPUTED_VALUE"""),"")</f>
        <v/>
      </c>
      <c r="G2133" s="42" t="str">
        <f>IFERROR(__xludf.DUMMYFUNCTION("""COMPUTED_VALUE"""),"PERMOHONAN SK PERPANJANGAN HGB")</f>
        <v>PERMOHONAN SK PERPANJANGAN HGB</v>
      </c>
      <c r="H2133" s="42">
        <f t="shared" si="1"/>
        <v>981</v>
      </c>
    </row>
    <row r="2134" ht="22.5" customHeight="1">
      <c r="B2134" s="42" t="str">
        <f>IFERROR(__xludf.DUMMYFUNCTION("""COMPUTED_VALUE"""),"K/22/120225/2")</f>
        <v>K/22/120225/2</v>
      </c>
      <c r="C2134" s="42" t="str">
        <f>IFERROR(__xludf.DUMMYFUNCTION("""COMPUTED_VALUE"""),"B. 264/ Labuhan Ratu raya")</f>
        <v>B. 264/ Labuhan Ratu raya</v>
      </c>
      <c r="D2134" s="42"/>
      <c r="E2134" s="42" t="str">
        <f>IFERROR(__xludf.DUMMYFUNCTION("""COMPUTED_VALUE"""),"DISERAHKAN")</f>
        <v>DISERAHKAN</v>
      </c>
      <c r="F2134" s="48">
        <f>IFERROR(__xludf.DUMMYFUNCTION("""COMPUTED_VALUE"""),45720.439202291665)</f>
        <v>45720.4392</v>
      </c>
      <c r="G2134" s="42" t="str">
        <f>IFERROR(__xludf.DUMMYFUNCTION("""COMPUTED_VALUE"""),"BN JUAL BELI")</f>
        <v>BN JUAL BELI</v>
      </c>
      <c r="H2134" s="42">
        <f t="shared" si="1"/>
        <v>982</v>
      </c>
    </row>
    <row r="2135" ht="22.5" customHeight="1">
      <c r="B2135" s="42" t="str">
        <f>IFERROR(__xludf.DUMMYFUNCTION("""COMPUTED_VALUE"""),"K/23/120225/1")</f>
        <v>K/23/120225/1</v>
      </c>
      <c r="C2135" s="42" t="str">
        <f>IFERROR(__xludf.DUMMYFUNCTION("""COMPUTED_VALUE"""),"B. 355/ Way Dadi")</f>
        <v>B. 355/ Way Dadi</v>
      </c>
      <c r="D2135" s="42"/>
      <c r="E2135" s="42" t="str">
        <f>IFERROR(__xludf.DUMMYFUNCTION("""COMPUTED_VALUE"""),"DISERAHKAN")</f>
        <v>DISERAHKAN</v>
      </c>
      <c r="F2135" s="48">
        <f>IFERROR(__xludf.DUMMYFUNCTION("""COMPUTED_VALUE"""),45727.49520754629)</f>
        <v>45727.49521</v>
      </c>
      <c r="G2135" s="42" t="str">
        <f>IFERROR(__xludf.DUMMYFUNCTION("""COMPUTED_VALUE"""),"BN Jual Beli")</f>
        <v>BN Jual Beli</v>
      </c>
      <c r="H2135" s="42">
        <f t="shared" si="1"/>
        <v>983</v>
      </c>
    </row>
    <row r="2136" ht="22.5" customHeight="1">
      <c r="B2136" s="42" t="str">
        <f>IFERROR(__xludf.DUMMYFUNCTION("""COMPUTED_VALUE"""),"K/24/120225/1")</f>
        <v>K/24/120225/1</v>
      </c>
      <c r="C2136" s="42" t="str">
        <f>IFERROR(__xludf.DUMMYFUNCTION("""COMPUTED_VALUE"""),"M. 32/ Campang Jaya")</f>
        <v>M. 32/ Campang Jaya</v>
      </c>
      <c r="D2136" s="42"/>
      <c r="E2136" s="42" t="str">
        <f>IFERROR(__xludf.DUMMYFUNCTION("""COMPUTED_VALUE"""),"DISERAHKAN")</f>
        <v>DISERAHKAN</v>
      </c>
      <c r="F2136" s="48">
        <f>IFERROR(__xludf.DUMMYFUNCTION("""COMPUTED_VALUE"""),45723.543628935186)</f>
        <v>45723.54363</v>
      </c>
      <c r="G2136" s="42" t="str">
        <f>IFERROR(__xludf.DUMMYFUNCTION("""COMPUTED_VALUE"""),"ROYA")</f>
        <v>ROYA</v>
      </c>
      <c r="H2136" s="42">
        <f t="shared" si="1"/>
        <v>984</v>
      </c>
    </row>
    <row r="2137" ht="22.5" customHeight="1">
      <c r="B2137" s="42" t="str">
        <f>IFERROR(__xludf.DUMMYFUNCTION("""COMPUTED_VALUE"""),"K/25/120225/2")</f>
        <v>K/25/120225/2</v>
      </c>
      <c r="C2137" s="42" t="str">
        <f>IFERROR(__xludf.DUMMYFUNCTION("""COMPUTED_VALUE"""),"M. 9633/ Labuhan Ratu")</f>
        <v>M. 9633/ Labuhan Ratu</v>
      </c>
      <c r="D2137" s="42"/>
      <c r="E2137" s="42" t="str">
        <f>IFERROR(__xludf.DUMMYFUNCTION("""COMPUTED_VALUE"""),"DISERAHKAN")</f>
        <v>DISERAHKAN</v>
      </c>
      <c r="F2137" s="48">
        <f>IFERROR(__xludf.DUMMYFUNCTION("""COMPUTED_VALUE"""),45713.70594706018)</f>
        <v>45713.70595</v>
      </c>
      <c r="G2137" s="42" t="str">
        <f>IFERROR(__xludf.DUMMYFUNCTION("""COMPUTED_VALUE"""),"BN JUAL BELI")</f>
        <v>BN JUAL BELI</v>
      </c>
      <c r="H2137" s="42">
        <f t="shared" si="1"/>
        <v>985</v>
      </c>
    </row>
    <row r="2138" ht="22.5" customHeight="1">
      <c r="B2138" s="42" t="str">
        <f>IFERROR(__xludf.DUMMYFUNCTION("""COMPUTED_VALUE"""),"K/27/120225/2")</f>
        <v>K/27/120225/2</v>
      </c>
      <c r="C2138" s="42" t="str">
        <f>IFERROR(__xludf.DUMMYFUNCTION("""COMPUTED_VALUE"""),"M. 1885/ Labuhan Ratu Raya")</f>
        <v>M. 1885/ Labuhan Ratu Raya</v>
      </c>
      <c r="D2138" s="42"/>
      <c r="E2138" s="42" t="str">
        <f>IFERROR(__xludf.DUMMYFUNCTION("""COMPUTED_VALUE"""),"DISERAHKAN")</f>
        <v>DISERAHKAN</v>
      </c>
      <c r="F2138" s="48">
        <f>IFERROR(__xludf.DUMMYFUNCTION("""COMPUTED_VALUE"""),45712.414783263885)</f>
        <v>45712.41478</v>
      </c>
      <c r="G2138" s="42" t="str">
        <f>IFERROR(__xludf.DUMMYFUNCTION("""COMPUTED_VALUE"""),"BN Jual Beli")</f>
        <v>BN Jual Beli</v>
      </c>
      <c r="H2138" s="42">
        <f t="shared" si="1"/>
        <v>986</v>
      </c>
    </row>
    <row r="2139" ht="22.5" customHeight="1">
      <c r="B2139" s="42" t="str">
        <f>IFERROR(__xludf.DUMMYFUNCTION("""COMPUTED_VALUE"""),"K/26/120225/1")</f>
        <v>K/26/120225/1</v>
      </c>
      <c r="C2139" s="42" t="str">
        <f>IFERROR(__xludf.DUMMYFUNCTION("""COMPUTED_VALUE"""),"M. 1987/ Labuhan Ratu Raya")</f>
        <v>M. 1987/ Labuhan Ratu Raya</v>
      </c>
      <c r="D2139" s="42"/>
      <c r="E2139" s="42" t="str">
        <f>IFERROR(__xludf.DUMMYFUNCTION("""COMPUTED_VALUE"""),"DISERAHKAN")</f>
        <v>DISERAHKAN</v>
      </c>
      <c r="F2139" s="48">
        <f>IFERROR(__xludf.DUMMYFUNCTION("""COMPUTED_VALUE"""),45720.439202291665)</f>
        <v>45720.4392</v>
      </c>
      <c r="G2139" s="42" t="str">
        <f>IFERROR(__xludf.DUMMYFUNCTION("""COMPUTED_VALUE"""),"BN Jual Beli")</f>
        <v>BN Jual Beli</v>
      </c>
      <c r="H2139" s="42">
        <f t="shared" si="1"/>
        <v>987</v>
      </c>
    </row>
    <row r="2140" ht="22.5" customHeight="1">
      <c r="B2140" s="42" t="str">
        <f>IFERROR(__xludf.DUMMYFUNCTION("""COMPUTED_VALUE"""),"K/28/120225/1")</f>
        <v>K/28/120225/1</v>
      </c>
      <c r="C2140" s="42" t="str">
        <f>IFERROR(__xludf.DUMMYFUNCTION("""COMPUTED_VALUE"""),"B.617/KEMILING PERMAI")</f>
        <v>B.617/KEMILING PERMAI</v>
      </c>
      <c r="D2140" s="42"/>
      <c r="E2140" s="42" t="str">
        <f>IFERROR(__xludf.DUMMYFUNCTION("""COMPUTED_VALUE"""),"DISERAHKAN")</f>
        <v>DISERAHKAN</v>
      </c>
      <c r="F2140" s="48">
        <f>IFERROR(__xludf.DUMMYFUNCTION("""COMPUTED_VALUE"""),45712.40921005787)</f>
        <v>45712.40921</v>
      </c>
      <c r="G2140" s="42" t="str">
        <f>IFERROR(__xludf.DUMMYFUNCTION("""COMPUTED_VALUE"""),"BN JUAL BELI")</f>
        <v>BN JUAL BELI</v>
      </c>
      <c r="H2140" s="42">
        <f t="shared" si="1"/>
        <v>988</v>
      </c>
    </row>
    <row r="2141" ht="22.5" customHeight="1">
      <c r="B2141" s="42" t="str">
        <f>IFERROR(__xludf.DUMMYFUNCTION("""COMPUTED_VALUE"""),"K/29/120225/2")</f>
        <v>K/29/120225/2</v>
      </c>
      <c r="C2141" s="42" t="str">
        <f>IFERROR(__xludf.DUMMYFUNCTION("""COMPUTED_VALUE"""),"NIBEL B. 16788/KEMILING PERMAI")</f>
        <v>NIBEL B. 16788/KEMILING PERMAI</v>
      </c>
      <c r="D2141" s="42"/>
      <c r="E2141" s="42"/>
      <c r="F2141" s="48" t="str">
        <f>IFERROR(__xludf.DUMMYFUNCTION("""COMPUTED_VALUE"""),"")</f>
        <v/>
      </c>
      <c r="G2141" s="42" t="str">
        <f>IFERROR(__xludf.DUMMYFUNCTION("""COMPUTED_VALUE"""),"PENINGKATAN HAK")</f>
        <v>PENINGKATAN HAK</v>
      </c>
      <c r="H2141" s="42">
        <f t="shared" si="1"/>
        <v>988</v>
      </c>
    </row>
    <row r="2142" ht="22.5" customHeight="1">
      <c r="B2142" s="42" t="str">
        <f>IFERROR(__xludf.DUMMYFUNCTION("""COMPUTED_VALUE"""),"K/31/120225/1")</f>
        <v>K/31/120225/1</v>
      </c>
      <c r="C2142" s="42" t="str">
        <f>IFERROR(__xludf.DUMMYFUNCTION("""COMPUTED_VALUE"""),"PBT 1/2020")</f>
        <v>PBT 1/2020</v>
      </c>
      <c r="D2142" s="42"/>
      <c r="E2142" s="42"/>
      <c r="F2142" s="48" t="str">
        <f>IFERROR(__xludf.DUMMYFUNCTION("""COMPUTED_VALUE"""),"")</f>
        <v/>
      </c>
      <c r="G2142" s="42" t="str">
        <f>IFERROR(__xludf.DUMMYFUNCTION("""COMPUTED_VALUE"""),"PERMOHONAN SK PERTAMA KALI")</f>
        <v>PERMOHONAN SK PERTAMA KALI</v>
      </c>
      <c r="H2142" s="42">
        <f t="shared" si="1"/>
        <v>988</v>
      </c>
    </row>
    <row r="2143" ht="22.5" customHeight="1">
      <c r="B2143" s="42" t="str">
        <f>IFERROR(__xludf.DUMMYFUNCTION("""COMPUTED_VALUE"""),"K/33/120225/1")</f>
        <v>K/33/120225/1</v>
      </c>
      <c r="C2143" s="42" t="str">
        <f>IFERROR(__xludf.DUMMYFUNCTION("""COMPUTED_VALUE"""),"PBT. 5/2025")</f>
        <v>PBT. 5/2025</v>
      </c>
      <c r="D2143" s="42"/>
      <c r="E2143" s="42"/>
      <c r="F2143" s="48" t="str">
        <f>IFERROR(__xludf.DUMMYFUNCTION("""COMPUTED_VALUE"""),"")</f>
        <v/>
      </c>
      <c r="G2143" s="42" t="str">
        <f>IFERROR(__xludf.DUMMYFUNCTION("""COMPUTED_VALUE"""),"PTPGT (Pertama Kali)")</f>
        <v>PTPGT (Pertama Kali)</v>
      </c>
      <c r="H2143" s="42">
        <f t="shared" si="1"/>
        <v>988</v>
      </c>
    </row>
    <row r="2144" ht="22.5" customHeight="1">
      <c r="B2144" s="42" t="str">
        <f>IFERROR(__xludf.DUMMYFUNCTION("""COMPUTED_VALUE"""),"K/32/120225/2")</f>
        <v>K/32/120225/2</v>
      </c>
      <c r="C2144" s="42" t="str">
        <f>IFERROR(__xludf.DUMMYFUNCTION("""COMPUTED_VALUE"""),"PBT 2/2020 (fc)")</f>
        <v>PBT 2/2020 (fc)</v>
      </c>
      <c r="D2144" s="42"/>
      <c r="E2144" s="42"/>
      <c r="F2144" s="48" t="str">
        <f>IFERROR(__xludf.DUMMYFUNCTION("""COMPUTED_VALUE"""),"")</f>
        <v/>
      </c>
      <c r="G2144" s="42" t="str">
        <f>IFERROR(__xludf.DUMMYFUNCTION("""COMPUTED_VALUE"""),"PERMOHONAN SK HAK MILIK PERORANGAN PERTAMA KALI")</f>
        <v>PERMOHONAN SK HAK MILIK PERORANGAN PERTAMA KALI</v>
      </c>
      <c r="H2144" s="42">
        <f t="shared" si="1"/>
        <v>988</v>
      </c>
    </row>
    <row r="2145" ht="22.5" customHeight="1">
      <c r="B2145" s="42" t="str">
        <f>IFERROR(__xludf.DUMMYFUNCTION("""COMPUTED_VALUE"""),"K/30/120225/3")</f>
        <v>K/30/120225/3</v>
      </c>
      <c r="C2145" s="42" t="str">
        <f>IFERROR(__xludf.DUMMYFUNCTION("""COMPUTED_VALUE"""),"B.467/SUBER AGUNG")</f>
        <v>B.467/SUBER AGUNG</v>
      </c>
      <c r="D2145" s="42"/>
      <c r="E2145" s="42" t="str">
        <f>IFERROR(__xludf.DUMMYFUNCTION("""COMPUTED_VALUE"""),"DISERAHKAN")</f>
        <v>DISERAHKAN</v>
      </c>
      <c r="F2145" s="48">
        <f>IFERROR(__xludf.DUMMYFUNCTION("""COMPUTED_VALUE"""),45708.464720497686)</f>
        <v>45708.46472</v>
      </c>
      <c r="G2145" s="42" t="str">
        <f>IFERROR(__xludf.DUMMYFUNCTION("""COMPUTED_VALUE"""),"BN JUAL BELI")</f>
        <v>BN JUAL BELI</v>
      </c>
      <c r="H2145" s="42">
        <f t="shared" si="1"/>
        <v>989</v>
      </c>
    </row>
    <row r="2146" ht="22.5" customHeight="1">
      <c r="B2146" s="42" t="str">
        <f>IFERROR(__xludf.DUMMYFUNCTION("""COMPUTED_VALUE"""),"L/34/120225/1")</f>
        <v>L/34/120225/1</v>
      </c>
      <c r="C2146" s="42" t="str">
        <f>IFERROR(__xludf.DUMMYFUNCTION("""COMPUTED_VALUE"""),"M.1669/KEMILING RAYA")</f>
        <v>M.1669/KEMILING RAYA</v>
      </c>
      <c r="D2146" s="42"/>
      <c r="E2146" s="42"/>
      <c r="F2146" s="48" t="str">
        <f>IFERROR(__xludf.DUMMYFUNCTION("""COMPUTED_VALUE"""),"")</f>
        <v/>
      </c>
      <c r="G2146" s="42" t="str">
        <f>IFERROR(__xludf.DUMMYFUNCTION("""COMPUTED_VALUE"""),"PTPGT")</f>
        <v>PTPGT</v>
      </c>
      <c r="H2146" s="42">
        <f t="shared" si="1"/>
        <v>989</v>
      </c>
    </row>
    <row r="2147" ht="22.5" customHeight="1">
      <c r="B2147" s="42" t="str">
        <f>IFERROR(__xludf.DUMMYFUNCTION("""COMPUTED_VALUE"""),"K/35/120225/1")</f>
        <v>K/35/120225/1</v>
      </c>
      <c r="C2147" s="42" t="str">
        <f>IFERROR(__xludf.DUMMYFUNCTION("""COMPUTED_VALUE"""),"M.1367/KALIAWI")</f>
        <v>M.1367/KALIAWI</v>
      </c>
      <c r="D2147" s="42"/>
      <c r="E2147" s="42" t="str">
        <f>IFERROR(__xludf.DUMMYFUNCTION("""COMPUTED_VALUE"""),"DISERAHKAN")</f>
        <v>DISERAHKAN</v>
      </c>
      <c r="F2147" s="48">
        <f>IFERROR(__xludf.DUMMYFUNCTION("""COMPUTED_VALUE"""),45723.546056747684)</f>
        <v>45723.54606</v>
      </c>
      <c r="G2147" s="42" t="str">
        <f>IFERROR(__xludf.DUMMYFUNCTION("""COMPUTED_VALUE"""),"ROYA")</f>
        <v>ROYA</v>
      </c>
      <c r="H2147" s="42">
        <f t="shared" si="1"/>
        <v>990</v>
      </c>
    </row>
    <row r="2148" ht="22.5" customHeight="1">
      <c r="B2148" s="42" t="str">
        <f>IFERROR(__xludf.DUMMYFUNCTION("""COMPUTED_VALUE"""),"L/36/120225/1")</f>
        <v>L/36/120225/1</v>
      </c>
      <c r="C2148" s="42" t="str">
        <f>IFERROR(__xludf.DUMMYFUNCTION("""COMPUTED_VALUE"""),"NIBEL M 17495/CAMPANG RAYA")</f>
        <v>NIBEL M 17495/CAMPANG RAYA</v>
      </c>
      <c r="D2148" s="42"/>
      <c r="E2148" s="42"/>
      <c r="F2148" s="48" t="str">
        <f>IFERROR(__xludf.DUMMYFUNCTION("""COMPUTED_VALUE"""),"")</f>
        <v/>
      </c>
      <c r="G2148" s="42" t="str">
        <f>IFERROR(__xludf.DUMMYFUNCTION("""COMPUTED_VALUE"""),"KEWARISAN")</f>
        <v>KEWARISAN</v>
      </c>
      <c r="H2148" s="42">
        <f t="shared" si="1"/>
        <v>990</v>
      </c>
    </row>
    <row r="2149" ht="22.5" customHeight="1">
      <c r="B2149" s="42" t="str">
        <f>IFERROR(__xludf.DUMMYFUNCTION("""COMPUTED_VALUE"""),"K/39/120225/1")</f>
        <v>K/39/120225/1</v>
      </c>
      <c r="C2149" s="42" t="str">
        <f>IFERROR(__xludf.DUMMYFUNCTION("""COMPUTED_VALUE"""),"M. 3153/ Gedong Air")</f>
        <v>M. 3153/ Gedong Air</v>
      </c>
      <c r="D2149" s="42"/>
      <c r="E2149" s="42" t="str">
        <f>IFERROR(__xludf.DUMMYFUNCTION("""COMPUTED_VALUE"""),"DISERAHKAN")</f>
        <v>DISERAHKAN</v>
      </c>
      <c r="F2149" s="48">
        <f>IFERROR(__xludf.DUMMYFUNCTION("""COMPUTED_VALUE"""),45727.49494975695)</f>
        <v>45727.49495</v>
      </c>
      <c r="G2149" s="42" t="str">
        <f>IFERROR(__xludf.DUMMYFUNCTION("""COMPUTED_VALUE"""),"BN Waris")</f>
        <v>BN Waris</v>
      </c>
      <c r="H2149" s="42">
        <f t="shared" si="1"/>
        <v>991</v>
      </c>
    </row>
    <row r="2150" ht="22.5" customHeight="1">
      <c r="B2150" s="42" t="str">
        <f>IFERROR(__xludf.DUMMYFUNCTION("""COMPUTED_VALUE"""),"K/40/120225/1")</f>
        <v>K/40/120225/1</v>
      </c>
      <c r="C2150" s="42" t="str">
        <f>IFERROR(__xludf.DUMMYFUNCTION("""COMPUTED_VALUE"""),"M. 9980/ Gedung Meneng")</f>
        <v>M. 9980/ Gedung Meneng</v>
      </c>
      <c r="D2150" s="42"/>
      <c r="E2150" s="42" t="str">
        <f>IFERROR(__xludf.DUMMYFUNCTION("""COMPUTED_VALUE"""),"DISERAHKAN")</f>
        <v>DISERAHKAN</v>
      </c>
      <c r="F2150" s="48">
        <f>IFERROR(__xludf.DUMMYFUNCTION("""COMPUTED_VALUE"""),45720.439202291665)</f>
        <v>45720.4392</v>
      </c>
      <c r="G2150" s="42" t="str">
        <f>IFERROR(__xludf.DUMMYFUNCTION("""COMPUTED_VALUE"""),"BN JUAL BELI")</f>
        <v>BN JUAL BELI</v>
      </c>
      <c r="H2150" s="42">
        <f t="shared" si="1"/>
        <v>992</v>
      </c>
    </row>
    <row r="2151" ht="22.5" customHeight="1">
      <c r="B2151" s="42" t="str">
        <f>IFERROR(__xludf.DUMMYFUNCTION("""COMPUTED_VALUE"""),"K/37/120225/1")</f>
        <v>K/37/120225/1</v>
      </c>
      <c r="C2151" s="42" t="str">
        <f>IFERROR(__xludf.DUMMYFUNCTION("""COMPUTED_VALUE"""),"Nibel. M. 3580/ Kedaung")</f>
        <v>Nibel. M. 3580/ Kedaung</v>
      </c>
      <c r="D2151" s="42"/>
      <c r="E2151" s="42"/>
      <c r="F2151" s="48" t="str">
        <f>IFERROR(__xludf.DUMMYFUNCTION("""COMPUTED_VALUE"""),"")</f>
        <v/>
      </c>
      <c r="G2151" s="42" t="str">
        <f>IFERROR(__xludf.DUMMYFUNCTION("""COMPUTED_VALUE"""),"Pemecahan")</f>
        <v>Pemecahan</v>
      </c>
      <c r="H2151" s="42">
        <f t="shared" si="1"/>
        <v>992</v>
      </c>
    </row>
    <row r="2152" ht="22.5" customHeight="1">
      <c r="B2152" s="42" t="str">
        <f>IFERROR(__xludf.DUMMYFUNCTION("""COMPUTED_VALUE"""),"K/38/120225/2")</f>
        <v>K/38/120225/2</v>
      </c>
      <c r="C2152" s="42" t="str">
        <f>IFERROR(__xludf.DUMMYFUNCTION("""COMPUTED_VALUE"""),"Nibel. M. 3565/ Kedaung")</f>
        <v>Nibel. M. 3565/ Kedaung</v>
      </c>
      <c r="D2152" s="42"/>
      <c r="E2152" s="42"/>
      <c r="F2152" s="48" t="str">
        <f>IFERROR(__xludf.DUMMYFUNCTION("""COMPUTED_VALUE"""),"")</f>
        <v/>
      </c>
      <c r="G2152" s="42" t="str">
        <f>IFERROR(__xludf.DUMMYFUNCTION("""COMPUTED_VALUE"""),"Pemecahan")</f>
        <v>Pemecahan</v>
      </c>
      <c r="H2152" s="42">
        <f t="shared" si="1"/>
        <v>992</v>
      </c>
    </row>
    <row r="2153" ht="22.5" customHeight="1">
      <c r="B2153" s="42" t="str">
        <f>IFERROR(__xludf.DUMMYFUNCTION("""COMPUTED_VALUE"""),"K/41/120225/1")</f>
        <v>K/41/120225/1</v>
      </c>
      <c r="C2153" s="42" t="str">
        <f>IFERROR(__xludf.DUMMYFUNCTION("""COMPUTED_VALUE"""),"M.5298/RAJABASA JAYA")</f>
        <v>M.5298/RAJABASA JAYA</v>
      </c>
      <c r="D2153" s="42"/>
      <c r="E2153" s="42" t="str">
        <f>IFERROR(__xludf.DUMMYFUNCTION("""COMPUTED_VALUE"""),"DISERAHKAN BT")</f>
        <v>DISERAHKAN BT</v>
      </c>
      <c r="F2153" s="48">
        <f>IFERROR(__xludf.DUMMYFUNCTION("""COMPUTED_VALUE"""),45712.43100719908)</f>
        <v>45712.43101</v>
      </c>
      <c r="G2153" s="42" t="str">
        <f>IFERROR(__xludf.DUMMYFUNCTION("""COMPUTED_VALUE"""),"BN JUAL BELI")</f>
        <v>BN JUAL BELI</v>
      </c>
      <c r="H2153" s="42">
        <f t="shared" si="1"/>
        <v>992</v>
      </c>
    </row>
    <row r="2154" ht="22.5" customHeight="1">
      <c r="B2154" s="42" t="str">
        <f>IFERROR(__xludf.DUMMYFUNCTION("""COMPUTED_VALUE"""),"K/44/120225/3")</f>
        <v>K/44/120225/3</v>
      </c>
      <c r="C2154" s="42" t="str">
        <f>IFERROR(__xludf.DUMMYFUNCTION("""COMPUTED_VALUE"""),"M. 1238/ Sumur Batu")</f>
        <v>M. 1238/ Sumur Batu</v>
      </c>
      <c r="D2154" s="42"/>
      <c r="E2154" s="42" t="str">
        <f>IFERROR(__xludf.DUMMYFUNCTION("""COMPUTED_VALUE"""),"DISERAHKAN")</f>
        <v>DISERAHKAN</v>
      </c>
      <c r="F2154" s="48">
        <f>IFERROR(__xludf.DUMMYFUNCTION("""COMPUTED_VALUE"""),45727.521538402776)</f>
        <v>45727.52154</v>
      </c>
      <c r="G2154" s="42" t="str">
        <f>IFERROR(__xludf.DUMMYFUNCTION("""COMPUTED_VALUE"""),"Roy")</f>
        <v>Roy</v>
      </c>
      <c r="H2154" s="42">
        <f t="shared" si="1"/>
        <v>993</v>
      </c>
    </row>
    <row r="2155" ht="22.5" customHeight="1">
      <c r="B2155" s="42" t="str">
        <f>IFERROR(__xludf.DUMMYFUNCTION("""COMPUTED_VALUE"""),"K/43/120225/2")</f>
        <v>K/43/120225/2</v>
      </c>
      <c r="C2155" s="42" t="str">
        <f>IFERROR(__xludf.DUMMYFUNCTION("""COMPUTED_VALUE"""),"B. 28/ Sumur Batu")</f>
        <v>B. 28/ Sumur Batu</v>
      </c>
      <c r="D2155" s="42"/>
      <c r="E2155" s="42" t="str">
        <f>IFERROR(__xludf.DUMMYFUNCTION("""COMPUTED_VALUE"""),"DISERAHKAN")</f>
        <v>DISERAHKAN</v>
      </c>
      <c r="F2155" s="48">
        <f>IFERROR(__xludf.DUMMYFUNCTION("""COMPUTED_VALUE"""),45722.497546122686)</f>
        <v>45722.49755</v>
      </c>
      <c r="G2155" s="42" t="str">
        <f>IFERROR(__xludf.DUMMYFUNCTION("""COMPUTED_VALUE"""),"Roya")</f>
        <v>Roya</v>
      </c>
      <c r="H2155" s="42">
        <f t="shared" si="1"/>
        <v>994</v>
      </c>
    </row>
    <row r="2156" ht="22.5" customHeight="1">
      <c r="B2156" s="42" t="str">
        <f>IFERROR(__xludf.DUMMYFUNCTION("""COMPUTED_VALUE"""),"K/42/120225/1")</f>
        <v>K/42/120225/1</v>
      </c>
      <c r="C2156" s="42" t="str">
        <f>IFERROR(__xludf.DUMMYFUNCTION("""COMPUTED_VALUE"""),"M. 5308/ Surabaya")</f>
        <v>M. 5308/ Surabaya</v>
      </c>
      <c r="D2156" s="42"/>
      <c r="E2156" s="42"/>
      <c r="F2156" s="48" t="str">
        <f>IFERROR(__xludf.DUMMYFUNCTION("""COMPUTED_VALUE"""),"")</f>
        <v/>
      </c>
      <c r="G2156" s="42" t="str">
        <f>IFERROR(__xludf.DUMMYFUNCTION("""COMPUTED_VALUE"""),"BN Hibah")</f>
        <v>BN Hibah</v>
      </c>
      <c r="H2156" s="42">
        <f t="shared" si="1"/>
        <v>994</v>
      </c>
    </row>
    <row r="2157" ht="22.5" customHeight="1">
      <c r="B2157" s="42" t="str">
        <f>IFERROR(__xludf.DUMMYFUNCTION("""COMPUTED_VALUE"""),"K/39/070225/2")</f>
        <v>K/39/070225/2</v>
      </c>
      <c r="C2157" s="42" t="str">
        <f>IFERROR(__xludf.DUMMYFUNCTION("""COMPUTED_VALUE"""),"M. 400/ Kemiling Permai")</f>
        <v>M. 400/ Kemiling Permai</v>
      </c>
      <c r="D2157" s="42"/>
      <c r="E2157" s="42" t="str">
        <f>IFERROR(__xludf.DUMMYFUNCTION("""COMPUTED_VALUE"""),"DISERAHKAN")</f>
        <v>DISERAHKAN</v>
      </c>
      <c r="F2157" s="48">
        <f>IFERROR(__xludf.DUMMYFUNCTION("""COMPUTED_VALUE"""),45706.45428319444)</f>
        <v>45706.45428</v>
      </c>
      <c r="G2157" s="42" t="str">
        <f>IFERROR(__xludf.DUMMYFUNCTION("""COMPUTED_VALUE"""),"BN JUAL BELI")</f>
        <v>BN JUAL BELI</v>
      </c>
      <c r="H2157" s="42">
        <f t="shared" si="1"/>
        <v>995</v>
      </c>
    </row>
    <row r="2158" ht="22.5" customHeight="1">
      <c r="B2158" s="42" t="str">
        <f>IFERROR(__xludf.DUMMYFUNCTION("""COMPUTED_VALUE"""),"L/1/130225/1")</f>
        <v>L/1/130225/1</v>
      </c>
      <c r="C2158" s="42" t="str">
        <f>IFERROR(__xludf.DUMMYFUNCTION("""COMPUTED_VALUE"""),"B.379/GUNUNG SULAH")</f>
        <v>B.379/GUNUNG SULAH</v>
      </c>
      <c r="D2158" s="42"/>
      <c r="E2158" s="42" t="str">
        <f>IFERROR(__xludf.DUMMYFUNCTION("""COMPUTED_VALUE"""),"DISERAHKAN")</f>
        <v>DISERAHKAN</v>
      </c>
      <c r="F2158" s="48">
        <f>IFERROR(__xludf.DUMMYFUNCTION("""COMPUTED_VALUE"""),45730.374267430554)</f>
        <v>45730.37427</v>
      </c>
      <c r="G2158" s="42" t="str">
        <f>IFERROR(__xludf.DUMMYFUNCTION("""COMPUTED_VALUE"""),"ROYA")</f>
        <v>ROYA</v>
      </c>
      <c r="H2158" s="42">
        <f t="shared" si="1"/>
        <v>996</v>
      </c>
    </row>
    <row r="2159" ht="22.5" customHeight="1">
      <c r="B2159" s="42" t="str">
        <f>IFERROR(__xludf.DUMMYFUNCTION("""COMPUTED_VALUE"""),"K/4/130225/1")</f>
        <v>K/4/130225/1</v>
      </c>
      <c r="C2159" s="42" t="str">
        <f>IFERROR(__xludf.DUMMYFUNCTION("""COMPUTED_VALUE"""),"M.10221/GEDONG MENENG")</f>
        <v>M.10221/GEDONG MENENG</v>
      </c>
      <c r="D2159" s="42"/>
      <c r="E2159" s="42" t="str">
        <f>IFERROR(__xludf.DUMMYFUNCTION("""COMPUTED_VALUE"""),"DISERAHKAN")</f>
        <v>DISERAHKAN</v>
      </c>
      <c r="F2159" s="48">
        <f>IFERROR(__xludf.DUMMYFUNCTION("""COMPUTED_VALUE"""),45720.439202291665)</f>
        <v>45720.4392</v>
      </c>
      <c r="G2159" s="42" t="str">
        <f>IFERROR(__xludf.DUMMYFUNCTION("""COMPUTED_VALUE"""),"JUAL BELI")</f>
        <v>JUAL BELI</v>
      </c>
      <c r="H2159" s="42">
        <f t="shared" si="1"/>
        <v>997</v>
      </c>
    </row>
    <row r="2160" ht="22.5" customHeight="1">
      <c r="B2160" s="42" t="str">
        <f>IFERROR(__xludf.DUMMYFUNCTION("""COMPUTED_VALUE"""),"L/6/130225/1")</f>
        <v>L/6/130225/1</v>
      </c>
      <c r="C2160" s="42" t="str">
        <f>IFERROR(__xludf.DUMMYFUNCTION("""COMPUTED_VALUE"""),"M.43/NUSANTARA PERMAI")</f>
        <v>M.43/NUSANTARA PERMAI</v>
      </c>
      <c r="D2160" s="42"/>
      <c r="E2160" s="42" t="str">
        <f>IFERROR(__xludf.DUMMYFUNCTION("""COMPUTED_VALUE"""),"DISERAHKAN")</f>
        <v>DISERAHKAN</v>
      </c>
      <c r="F2160" s="48">
        <f>IFERROR(__xludf.DUMMYFUNCTION("""COMPUTED_VALUE"""),45723.54264983797)</f>
        <v>45723.54265</v>
      </c>
      <c r="G2160" s="42" t="str">
        <f>IFERROR(__xludf.DUMMYFUNCTION("""COMPUTED_VALUE"""),"ROYA")</f>
        <v>ROYA</v>
      </c>
      <c r="H2160" s="42">
        <f t="shared" si="1"/>
        <v>998</v>
      </c>
    </row>
    <row r="2161" ht="22.5" customHeight="1">
      <c r="B2161" s="42" t="str">
        <f>IFERROR(__xludf.DUMMYFUNCTION("""COMPUTED_VALUE"""),"K/2/130225/1")</f>
        <v>K/2/130225/1</v>
      </c>
      <c r="C2161" s="42" t="str">
        <f>IFERROR(__xludf.DUMMYFUNCTION("""COMPUTED_VALUE"""),"B. 662/ Sumber Agung")</f>
        <v>B. 662/ Sumber Agung</v>
      </c>
      <c r="D2161" s="42"/>
      <c r="E2161" s="42" t="str">
        <f>IFERROR(__xludf.DUMMYFUNCTION("""COMPUTED_VALUE"""),"DISERAHKAN")</f>
        <v>DISERAHKAN</v>
      </c>
      <c r="F2161" s="48">
        <f>IFERROR(__xludf.DUMMYFUNCTION("""COMPUTED_VALUE"""),45708.46557354167)</f>
        <v>45708.46557</v>
      </c>
      <c r="G2161" s="42" t="str">
        <f>IFERROR(__xludf.DUMMYFUNCTION("""COMPUTED_VALUE"""),"BN JUAL BELI")</f>
        <v>BN JUAL BELI</v>
      </c>
      <c r="H2161" s="42">
        <f t="shared" si="1"/>
        <v>999</v>
      </c>
    </row>
    <row r="2162" ht="22.5" customHeight="1">
      <c r="B2162" s="42" t="str">
        <f>IFERROR(__xludf.DUMMYFUNCTION("""COMPUTED_VALUE"""),"K/3/130225/2")</f>
        <v>K/3/130225/2</v>
      </c>
      <c r="C2162" s="42" t="str">
        <f>IFERROR(__xludf.DUMMYFUNCTION("""COMPUTED_VALUE"""),"B. 663/ Sumber Agung")</f>
        <v>B. 663/ Sumber Agung</v>
      </c>
      <c r="D2162" s="42"/>
      <c r="E2162" s="42"/>
      <c r="F2162" s="48" t="str">
        <f>IFERROR(__xludf.DUMMYFUNCTION("""COMPUTED_VALUE"""),"")</f>
        <v/>
      </c>
      <c r="G2162" s="42" t="str">
        <f>IFERROR(__xludf.DUMMYFUNCTION("""COMPUTED_VALUE"""),"BN JUAL BELI")</f>
        <v>BN JUAL BELI</v>
      </c>
      <c r="H2162" s="42">
        <f t="shared" si="1"/>
        <v>999</v>
      </c>
    </row>
    <row r="2163" ht="22.5" customHeight="1">
      <c r="B2163" s="42" t="str">
        <f>IFERROR(__xludf.DUMMYFUNCTION("""COMPUTED_VALUE"""),"K/7/130225/3")</f>
        <v>K/7/130225/3</v>
      </c>
      <c r="C2163" s="42" t="str">
        <f>IFERROR(__xludf.DUMMYFUNCTION("""COMPUTED_VALUE"""),"M. 96/ Sumur Putri")</f>
        <v>M. 96/ Sumur Putri</v>
      </c>
      <c r="D2163" s="42"/>
      <c r="E2163" s="42" t="str">
        <f>IFERROR(__xludf.DUMMYFUNCTION("""COMPUTED_VALUE"""),"DISERAHKAN")</f>
        <v>DISERAHKAN</v>
      </c>
      <c r="F2163" s="48">
        <f>IFERROR(__xludf.DUMMYFUNCTION("""COMPUTED_VALUE"""),45708.465102118054)</f>
        <v>45708.4651</v>
      </c>
      <c r="G2163" s="42" t="str">
        <f>IFERROR(__xludf.DUMMYFUNCTION("""COMPUTED_VALUE"""),"BN JUAL BELI")</f>
        <v>BN JUAL BELI</v>
      </c>
      <c r="H2163" s="42">
        <f t="shared" si="1"/>
        <v>1000</v>
      </c>
    </row>
    <row r="2164" ht="22.5" customHeight="1">
      <c r="B2164" s="42" t="str">
        <f>IFERROR(__xludf.DUMMYFUNCTION("""COMPUTED_VALUE"""),"K/8/130225/1")</f>
        <v>K/8/130225/1</v>
      </c>
      <c r="C2164" s="42" t="str">
        <f>IFERROR(__xludf.DUMMYFUNCTION("""COMPUTED_VALUE"""),"M.16664/SUKARAME I")</f>
        <v>M.16664/SUKARAME I</v>
      </c>
      <c r="D2164" s="42"/>
      <c r="E2164" s="42" t="str">
        <f>IFERROR(__xludf.DUMMYFUNCTION("""COMPUTED_VALUE"""),"DISERAHKAN")</f>
        <v>DISERAHKAN</v>
      </c>
      <c r="F2164" s="48">
        <f>IFERROR(__xludf.DUMMYFUNCTION("""COMPUTED_VALUE"""),45712.41139245371)</f>
        <v>45712.41139</v>
      </c>
      <c r="G2164" s="42" t="str">
        <f>IFERROR(__xludf.DUMMYFUNCTION("""COMPUTED_VALUE"""),"ROYA")</f>
        <v>ROYA</v>
      </c>
      <c r="H2164" s="42">
        <f t="shared" si="1"/>
        <v>1001</v>
      </c>
    </row>
    <row r="2165" ht="22.5" customHeight="1">
      <c r="B2165" s="42" t="str">
        <f>IFERROR(__xludf.DUMMYFUNCTION("""COMPUTED_VALUE"""),"K/5/130225/1")</f>
        <v>K/5/130225/1</v>
      </c>
      <c r="C2165" s="42" t="str">
        <f>IFERROR(__xludf.DUMMYFUNCTION("""COMPUTED_VALUE"""),"M.1842/BERINGIN JAYA")</f>
        <v>M.1842/BERINGIN JAYA</v>
      </c>
      <c r="D2165" s="42"/>
      <c r="E2165" s="42" t="str">
        <f>IFERROR(__xludf.DUMMYFUNCTION("""COMPUTED_VALUE"""),"DISERAHKAN")</f>
        <v>DISERAHKAN</v>
      </c>
      <c r="F2165" s="48">
        <f>IFERROR(__xludf.DUMMYFUNCTION("""COMPUTED_VALUE"""),45720.439202291665)</f>
        <v>45720.4392</v>
      </c>
      <c r="G2165" s="42" t="str">
        <f>IFERROR(__xludf.DUMMYFUNCTION("""COMPUTED_VALUE"""),"BN JUAL BELI")</f>
        <v>BN JUAL BELI</v>
      </c>
      <c r="H2165" s="42">
        <f t="shared" si="1"/>
        <v>1002</v>
      </c>
    </row>
    <row r="2166" ht="22.5" customHeight="1">
      <c r="B2166" s="42" t="str">
        <f>IFERROR(__xludf.DUMMYFUNCTION("""COMPUTED_VALUE"""),"K/11/130225/1")</f>
        <v>K/11/130225/1</v>
      </c>
      <c r="C2166" s="42" t="str">
        <f>IFERROR(__xludf.DUMMYFUNCTION("""COMPUTED_VALUE"""),"B. 89/ Pengajaran")</f>
        <v>B. 89/ Pengajaran</v>
      </c>
      <c r="D2166" s="42"/>
      <c r="E2166" s="42" t="str">
        <f>IFERROR(__xludf.DUMMYFUNCTION("""COMPUTED_VALUE"""),"DISERAHKAN")</f>
        <v>DISERAHKAN</v>
      </c>
      <c r="F2166" s="48">
        <f>IFERROR(__xludf.DUMMYFUNCTION("""COMPUTED_VALUE"""),45736.60279001157)</f>
        <v>45736.60279</v>
      </c>
      <c r="G2166" s="42" t="str">
        <f>IFERROR(__xludf.DUMMYFUNCTION("""COMPUTED_VALUE"""),"BN JUAL BELI")</f>
        <v>BN JUAL BELI</v>
      </c>
      <c r="H2166" s="42">
        <f t="shared" si="1"/>
        <v>1003</v>
      </c>
    </row>
    <row r="2167" ht="22.5" customHeight="1">
      <c r="B2167" s="42" t="str">
        <f>IFERROR(__xludf.DUMMYFUNCTION("""COMPUTED_VALUE"""),"L/12/130225/1")</f>
        <v>L/12/130225/1</v>
      </c>
      <c r="C2167" s="42" t="str">
        <f>IFERROR(__xludf.DUMMYFUNCTION("""COMPUTED_VALUE"""),"M.23/KEMILING RAYA")</f>
        <v>M.23/KEMILING RAYA</v>
      </c>
      <c r="D2167" s="42"/>
      <c r="E2167" s="42" t="str">
        <f>IFERROR(__xludf.DUMMYFUNCTION("""COMPUTED_VALUE"""),"DISERAHKAN")</f>
        <v>DISERAHKAN</v>
      </c>
      <c r="F2167" s="48">
        <f>IFERROR(__xludf.DUMMYFUNCTION("""COMPUTED_VALUE"""),45720.56449282407)</f>
        <v>45720.56449</v>
      </c>
      <c r="G2167" s="42" t="str">
        <f>IFERROR(__xludf.DUMMYFUNCTION("""COMPUTED_VALUE"""),"ROYA LELANG")</f>
        <v>ROYA LELANG</v>
      </c>
      <c r="H2167" s="42">
        <f t="shared" si="1"/>
        <v>1004</v>
      </c>
    </row>
    <row r="2168" ht="22.5" customHeight="1">
      <c r="B2168" s="42" t="str">
        <f>IFERROR(__xludf.DUMMYFUNCTION("""COMPUTED_VALUE"""),"K/13/130225/1")</f>
        <v>K/13/130225/1</v>
      </c>
      <c r="C2168" s="42" t="str">
        <f>IFERROR(__xludf.DUMMYFUNCTION("""COMPUTED_VALUE"""),"Nibel 17291/ Kemiling Permai")</f>
        <v>Nibel 17291/ Kemiling Permai</v>
      </c>
      <c r="D2168" s="42"/>
      <c r="E2168" s="42" t="str">
        <f>IFERROR(__xludf.DUMMYFUNCTION("""COMPUTED_VALUE"""),"DISERAHKAN")</f>
        <v>DISERAHKAN</v>
      </c>
      <c r="F2168" s="48">
        <f>IFERROR(__xludf.DUMMYFUNCTION("""COMPUTED_VALUE"""),45708.465343020835)</f>
        <v>45708.46534</v>
      </c>
      <c r="G2168" s="42" t="str">
        <f>IFERROR(__xludf.DUMMYFUNCTION("""COMPUTED_VALUE"""),"PERUBAHAN HAK")</f>
        <v>PERUBAHAN HAK</v>
      </c>
      <c r="H2168" s="42">
        <f t="shared" si="1"/>
        <v>1005</v>
      </c>
    </row>
    <row r="2169" ht="22.5" customHeight="1">
      <c r="B2169" s="42" t="str">
        <f>IFERROR(__xludf.DUMMYFUNCTION("""COMPUTED_VALUE"""),"K/14/130225/2")</f>
        <v>K/14/130225/2</v>
      </c>
      <c r="C2169" s="42" t="str">
        <f>IFERROR(__xludf.DUMMYFUNCTION("""COMPUTED_VALUE"""),"M. 2415/ Sukamaju")</f>
        <v>M. 2415/ Sukamaju</v>
      </c>
      <c r="D2169" s="42"/>
      <c r="E2169" s="42" t="str">
        <f>IFERROR(__xludf.DUMMYFUNCTION("""COMPUTED_VALUE"""),"DISERAHKAN")</f>
        <v>DISERAHKAN</v>
      </c>
      <c r="F2169" s="48">
        <f>IFERROR(__xludf.DUMMYFUNCTION("""COMPUTED_VALUE"""),45730.397267569446)</f>
        <v>45730.39727</v>
      </c>
      <c r="G2169" s="42" t="str">
        <f>IFERROR(__xludf.DUMMYFUNCTION("""COMPUTED_VALUE"""),"BN JUAL BELI")</f>
        <v>BN JUAL BELI</v>
      </c>
      <c r="H2169" s="42">
        <f t="shared" si="1"/>
        <v>1006</v>
      </c>
    </row>
    <row r="2170" ht="22.5" customHeight="1">
      <c r="B2170" s="42" t="str">
        <f>IFERROR(__xludf.DUMMYFUNCTION("""COMPUTED_VALUE"""),"K/15/130225/1")</f>
        <v>K/15/130225/1</v>
      </c>
      <c r="C2170" s="42" t="str">
        <f>IFERROR(__xludf.DUMMYFUNCTION("""COMPUTED_VALUE"""),"M. 410/ Way Dadi")</f>
        <v>M. 410/ Way Dadi</v>
      </c>
      <c r="D2170" s="42"/>
      <c r="E2170" s="42"/>
      <c r="F2170" s="48" t="str">
        <f>IFERROR(__xludf.DUMMYFUNCTION("""COMPUTED_VALUE"""),"")</f>
        <v/>
      </c>
      <c r="G2170" s="42" t="str">
        <f>IFERROR(__xludf.DUMMYFUNCTION("""COMPUTED_VALUE"""),"SKPT LELANG")</f>
        <v>SKPT LELANG</v>
      </c>
      <c r="H2170" s="42">
        <f t="shared" si="1"/>
        <v>1006</v>
      </c>
    </row>
    <row r="2171" ht="22.5" customHeight="1">
      <c r="B2171" s="42" t="str">
        <f>IFERROR(__xludf.DUMMYFUNCTION("""COMPUTED_VALUE"""),"K/16/130225/2")</f>
        <v>K/16/130225/2</v>
      </c>
      <c r="C2171" s="42" t="str">
        <f>IFERROR(__xludf.DUMMYFUNCTION("""COMPUTED_VALUE"""),"M. 1196/ tanjung baru")</f>
        <v>M. 1196/ tanjung baru</v>
      </c>
      <c r="D2171" s="42"/>
      <c r="E2171" s="42"/>
      <c r="F2171" s="48" t="str">
        <f>IFERROR(__xludf.DUMMYFUNCTION("""COMPUTED_VALUE"""),"")</f>
        <v/>
      </c>
      <c r="G2171" s="42" t="str">
        <f>IFERROR(__xludf.DUMMYFUNCTION("""COMPUTED_VALUE"""),"SKPT LELANG")</f>
        <v>SKPT LELANG</v>
      </c>
      <c r="H2171" s="42">
        <f t="shared" si="1"/>
        <v>1006</v>
      </c>
    </row>
    <row r="2172" ht="22.5" customHeight="1">
      <c r="B2172" s="42" t="str">
        <f>IFERROR(__xludf.DUMMYFUNCTION("""COMPUTED_VALUE"""),"K/17/130225/3")</f>
        <v>K/17/130225/3</v>
      </c>
      <c r="C2172" s="42" t="str">
        <f>IFERROR(__xludf.DUMMYFUNCTION("""COMPUTED_VALUE"""),"M. 10522/ Sidodadi")</f>
        <v>M. 10522/ Sidodadi</v>
      </c>
      <c r="D2172" s="42"/>
      <c r="E2172" s="42"/>
      <c r="F2172" s="48" t="str">
        <f>IFERROR(__xludf.DUMMYFUNCTION("""COMPUTED_VALUE"""),"")</f>
        <v/>
      </c>
      <c r="G2172" s="42" t="str">
        <f>IFERROR(__xludf.DUMMYFUNCTION("""COMPUTED_VALUE"""),"SKPT LELANG")</f>
        <v>SKPT LELANG</v>
      </c>
      <c r="H2172" s="42">
        <f t="shared" si="1"/>
        <v>1006</v>
      </c>
    </row>
    <row r="2173" ht="22.5" customHeight="1">
      <c r="B2173" s="42" t="str">
        <f>IFERROR(__xludf.DUMMYFUNCTION("""COMPUTED_VALUE"""),"K/18/130225/4")</f>
        <v>K/18/130225/4</v>
      </c>
      <c r="C2173" s="42" t="str">
        <f>IFERROR(__xludf.DUMMYFUNCTION("""COMPUTED_VALUE"""),"M. 1126/Jagabaya III")</f>
        <v>M. 1126/Jagabaya III</v>
      </c>
      <c r="D2173" s="42"/>
      <c r="E2173" s="42"/>
      <c r="F2173" s="48" t="str">
        <f>IFERROR(__xludf.DUMMYFUNCTION("""COMPUTED_VALUE"""),"")</f>
        <v/>
      </c>
      <c r="G2173" s="42" t="str">
        <f>IFERROR(__xludf.DUMMYFUNCTION("""COMPUTED_VALUE"""),"SKPT LELANG")</f>
        <v>SKPT LELANG</v>
      </c>
      <c r="H2173" s="42">
        <f t="shared" si="1"/>
        <v>1006</v>
      </c>
    </row>
    <row r="2174" ht="22.5" customHeight="1">
      <c r="B2174" s="42" t="str">
        <f>IFERROR(__xludf.DUMMYFUNCTION("""COMPUTED_VALUE"""),"L/20/130225/1")</f>
        <v>L/20/130225/1</v>
      </c>
      <c r="C2174" s="42" t="str">
        <f>IFERROR(__xludf.DUMMYFUNCTION("""COMPUTED_VALUE"""),"SRENGSEM")</f>
        <v>SRENGSEM</v>
      </c>
      <c r="D2174" s="42"/>
      <c r="E2174" s="42"/>
      <c r="F2174" s="48" t="str">
        <f>IFERROR(__xludf.DUMMYFUNCTION("""COMPUTED_VALUE"""),"")</f>
        <v/>
      </c>
      <c r="G2174" s="42" t="str">
        <f>IFERROR(__xludf.DUMMYFUNCTION("""COMPUTED_VALUE"""),"TANAH MENTAH")</f>
        <v>TANAH MENTAH</v>
      </c>
      <c r="H2174" s="42">
        <f t="shared" si="1"/>
        <v>1006</v>
      </c>
    </row>
    <row r="2175" ht="22.5" customHeight="1">
      <c r="B2175" s="42" t="str">
        <f>IFERROR(__xludf.DUMMYFUNCTION("""COMPUTED_VALUE"""),"L/21/130225/1")</f>
        <v>L/21/130225/1</v>
      </c>
      <c r="C2175" s="42" t="str">
        <f>IFERROR(__xludf.DUMMYFUNCTION("""COMPUTED_VALUE"""),"M.14138/SUKARAME I")</f>
        <v>M.14138/SUKARAME I</v>
      </c>
      <c r="D2175" s="42"/>
      <c r="E2175" s="42"/>
      <c r="F2175" s="48" t="str">
        <f>IFERROR(__xludf.DUMMYFUNCTION("""COMPUTED_VALUE"""),"")</f>
        <v/>
      </c>
      <c r="G2175" s="42" t="str">
        <f>IFERROR(__xludf.DUMMYFUNCTION("""COMPUTED_VALUE"""),"PTPGT")</f>
        <v>PTPGT</v>
      </c>
      <c r="H2175" s="42">
        <f t="shared" si="1"/>
        <v>1006</v>
      </c>
    </row>
    <row r="2176" ht="22.5" customHeight="1">
      <c r="B2176" s="42" t="str">
        <f>IFERROR(__xludf.DUMMYFUNCTION("""COMPUTED_VALUE"""),"K/19/130225/1")</f>
        <v>K/19/130225/1</v>
      </c>
      <c r="C2176" s="42" t="str">
        <f>IFERROR(__xludf.DUMMYFUNCTION("""COMPUTED_VALUE"""),"M. 10669/ Segala Mider")</f>
        <v>M. 10669/ Segala Mider</v>
      </c>
      <c r="D2176" s="42"/>
      <c r="E2176" s="42" t="str">
        <f>IFERROR(__xludf.DUMMYFUNCTION("""COMPUTED_VALUE"""),"DISERAHKAN")</f>
        <v>DISERAHKAN</v>
      </c>
      <c r="F2176" s="48">
        <f>IFERROR(__xludf.DUMMYFUNCTION("""COMPUTED_VALUE"""),45712.41430798611)</f>
        <v>45712.41431</v>
      </c>
      <c r="G2176" s="42" t="str">
        <f>IFERROR(__xludf.DUMMYFUNCTION("""COMPUTED_VALUE"""),"BN Hibah")</f>
        <v>BN Hibah</v>
      </c>
      <c r="H2176" s="42">
        <f t="shared" si="1"/>
        <v>1007</v>
      </c>
    </row>
    <row r="2177" ht="22.5" customHeight="1">
      <c r="B2177" s="42" t="str">
        <f>IFERROR(__xludf.DUMMYFUNCTION("""COMPUTED_VALUE"""),"K/22/130225/1")</f>
        <v>K/22/130225/1</v>
      </c>
      <c r="C2177" s="42" t="str">
        <f>IFERROR(__xludf.DUMMYFUNCTION("""COMPUTED_VALUE"""),"M. 1230/ Perumnas Way Kandis")</f>
        <v>M. 1230/ Perumnas Way Kandis</v>
      </c>
      <c r="D2177" s="42"/>
      <c r="E2177" s="42" t="str">
        <f>IFERROR(__xludf.DUMMYFUNCTION("""COMPUTED_VALUE"""),"DISERAHKAN")</f>
        <v>DISERAHKAN</v>
      </c>
      <c r="F2177" s="48">
        <f>IFERROR(__xludf.DUMMYFUNCTION("""COMPUTED_VALUE"""),45712.43079751157)</f>
        <v>45712.4308</v>
      </c>
      <c r="G2177" s="42" t="str">
        <f>IFERROR(__xludf.DUMMYFUNCTION("""COMPUTED_VALUE"""),"BN Jual Beli")</f>
        <v>BN Jual Beli</v>
      </c>
      <c r="H2177" s="42">
        <f t="shared" si="1"/>
        <v>1008</v>
      </c>
    </row>
    <row r="2178" ht="22.5" customHeight="1">
      <c r="B2178" s="42" t="str">
        <f>IFERROR(__xludf.DUMMYFUNCTION("""COMPUTED_VALUE"""),"K/23/130225/2")</f>
        <v>K/23/130225/2</v>
      </c>
      <c r="C2178" s="42" t="str">
        <f>IFERROR(__xludf.DUMMYFUNCTION("""COMPUTED_VALUE"""),"B. 1104/ Keteguhan")</f>
        <v>B. 1104/ Keteguhan</v>
      </c>
      <c r="D2178" s="42"/>
      <c r="E2178" s="42" t="str">
        <f>IFERROR(__xludf.DUMMYFUNCTION("""COMPUTED_VALUE"""),"DISERAHKAN")</f>
        <v>DISERAHKAN</v>
      </c>
      <c r="F2178" s="48">
        <f>IFERROR(__xludf.DUMMYFUNCTION("""COMPUTED_VALUE"""),45712.41400790509)</f>
        <v>45712.41401</v>
      </c>
      <c r="G2178" s="42" t="str">
        <f>IFERROR(__xludf.DUMMYFUNCTION("""COMPUTED_VALUE"""),"BN Jual Beli")</f>
        <v>BN Jual Beli</v>
      </c>
      <c r="H2178" s="42">
        <f t="shared" si="1"/>
        <v>1009</v>
      </c>
    </row>
    <row r="2179" ht="22.5" customHeight="1">
      <c r="B2179" s="42" t="str">
        <f>IFERROR(__xludf.DUMMYFUNCTION("""COMPUTED_VALUE"""),"K/24/130225/1")</f>
        <v>K/24/130225/1</v>
      </c>
      <c r="C2179" s="42" t="str">
        <f>IFERROR(__xludf.DUMMYFUNCTION("""COMPUTED_VALUE"""),"Nibel. M. 654/ Sukabumi Indah")</f>
        <v>Nibel. M. 654/ Sukabumi Indah</v>
      </c>
      <c r="D2179" s="42"/>
      <c r="E2179" s="42"/>
      <c r="F2179" s="48" t="str">
        <f>IFERROR(__xludf.DUMMYFUNCTION("""COMPUTED_VALUE"""),"")</f>
        <v/>
      </c>
      <c r="G2179" s="42" t="str">
        <f>IFERROR(__xludf.DUMMYFUNCTION("""COMPUTED_VALUE"""),"PTPGT (Penurunan)")</f>
        <v>PTPGT (Penurunan)</v>
      </c>
      <c r="H2179" s="42">
        <f t="shared" si="1"/>
        <v>1009</v>
      </c>
    </row>
    <row r="2180" ht="22.5" customHeight="1">
      <c r="B2180" s="42" t="str">
        <f>IFERROR(__xludf.DUMMYFUNCTION("""COMPUTED_VALUE"""),"K/25/130225/1")</f>
        <v>K/25/130225/1</v>
      </c>
      <c r="C2180" s="42" t="str">
        <f>IFERROR(__xludf.DUMMYFUNCTION("""COMPUTED_VALUE"""),"M.4244/GUNUNG TERANG")</f>
        <v>M.4244/GUNUNG TERANG</v>
      </c>
      <c r="D2180" s="42"/>
      <c r="E2180" s="42" t="str">
        <f>IFERROR(__xludf.DUMMYFUNCTION("""COMPUTED_VALUE"""),"DISERAHKAN")</f>
        <v>DISERAHKAN</v>
      </c>
      <c r="F2180" s="48">
        <f>IFERROR(__xludf.DUMMYFUNCTION("""COMPUTED_VALUE"""),45708.46705474537)</f>
        <v>45708.46705</v>
      </c>
      <c r="G2180" s="42" t="str">
        <f>IFERROR(__xludf.DUMMYFUNCTION("""COMPUTED_VALUE"""),"JUAL BELI")</f>
        <v>JUAL BELI</v>
      </c>
      <c r="H2180" s="42">
        <f t="shared" si="1"/>
        <v>1010</v>
      </c>
    </row>
    <row r="2181" ht="22.5" customHeight="1">
      <c r="B2181" s="42" t="str">
        <f>IFERROR(__xludf.DUMMYFUNCTION("""COMPUTED_VALUE"""),"K/26/130225/1")</f>
        <v>K/26/130225/1</v>
      </c>
      <c r="C2181" s="42" t="str">
        <f>IFERROR(__xludf.DUMMYFUNCTION("""COMPUTED_VALUE"""),"M. 354/ Sukarame Baru")</f>
        <v>M. 354/ Sukarame Baru</v>
      </c>
      <c r="D2181" s="42"/>
      <c r="E2181" s="42" t="str">
        <f>IFERROR(__xludf.DUMMYFUNCTION("""COMPUTED_VALUE"""),"DISERAHKAN")</f>
        <v>DISERAHKAN</v>
      </c>
      <c r="F2181" s="48">
        <f>IFERROR(__xludf.DUMMYFUNCTION("""COMPUTED_VALUE"""),45720.439202291665)</f>
        <v>45720.4392</v>
      </c>
      <c r="G2181" s="42" t="str">
        <f>IFERROR(__xludf.DUMMYFUNCTION("""COMPUTED_VALUE"""),"BN Jual Beli")</f>
        <v>BN Jual Beli</v>
      </c>
      <c r="H2181" s="42">
        <f t="shared" si="1"/>
        <v>1011</v>
      </c>
    </row>
    <row r="2182" ht="22.5" customHeight="1">
      <c r="B2182" s="42" t="str">
        <f>IFERROR(__xludf.DUMMYFUNCTION("""COMPUTED_VALUE"""),"K/27/130225/1")</f>
        <v>K/27/130225/1</v>
      </c>
      <c r="C2182" s="42" t="str">
        <f>IFERROR(__xludf.DUMMYFUNCTION("""COMPUTED_VALUE"""),"M. 1183/ Sumber Agung")</f>
        <v>M. 1183/ Sumber Agung</v>
      </c>
      <c r="D2182" s="42"/>
      <c r="E2182" s="42" t="str">
        <f>IFERROR(__xludf.DUMMYFUNCTION("""COMPUTED_VALUE"""),"DISERAHKAN")</f>
        <v>DISERAHKAN</v>
      </c>
      <c r="F2182" s="48">
        <f>IFERROR(__xludf.DUMMYFUNCTION("""COMPUTED_VALUE"""),45708.468168541665)</f>
        <v>45708.46817</v>
      </c>
      <c r="G2182" s="42" t="str">
        <f>IFERROR(__xludf.DUMMYFUNCTION("""COMPUTED_VALUE"""),"BN JUAL BELI")</f>
        <v>BN JUAL BELI</v>
      </c>
      <c r="H2182" s="42">
        <f t="shared" si="1"/>
        <v>1012</v>
      </c>
    </row>
    <row r="2183" ht="22.5" customHeight="1">
      <c r="B2183" s="42" t="str">
        <f>IFERROR(__xludf.DUMMYFUNCTION("""COMPUTED_VALUE"""),"K/28/130225/1")</f>
        <v>K/28/130225/1</v>
      </c>
      <c r="C2183" s="42" t="str">
        <f>IFERROR(__xludf.DUMMYFUNCTION("""COMPUTED_VALUE"""),"M.823/TANJUNG AGUNG")</f>
        <v>M.823/TANJUNG AGUNG</v>
      </c>
      <c r="D2183" s="42"/>
      <c r="E2183" s="42" t="str">
        <f>IFERROR(__xludf.DUMMYFUNCTION("""COMPUTED_VALUE"""),"DISERAHKAN")</f>
        <v>DISERAHKAN</v>
      </c>
      <c r="F2183" s="48">
        <f>IFERROR(__xludf.DUMMYFUNCTION("""COMPUTED_VALUE"""),45730.604811770834)</f>
        <v>45730.60481</v>
      </c>
      <c r="G2183" s="42" t="str">
        <f>IFERROR(__xludf.DUMMYFUNCTION("""COMPUTED_VALUE"""),"ROYA ")</f>
        <v>ROYA </v>
      </c>
      <c r="H2183" s="42">
        <f t="shared" si="1"/>
        <v>1013</v>
      </c>
    </row>
    <row r="2184" ht="22.5" customHeight="1">
      <c r="B2184" s="42" t="str">
        <f>IFERROR(__xludf.DUMMYFUNCTION("""COMPUTED_VALUE"""),"K/29/130225/1")</f>
        <v>K/29/130225/1</v>
      </c>
      <c r="C2184" s="42" t="str">
        <f>IFERROR(__xludf.DUMMYFUNCTION("""COMPUTED_VALUE"""),"M. 824/ Way Halim Permai")</f>
        <v>M. 824/ Way Halim Permai</v>
      </c>
      <c r="D2184" s="42"/>
      <c r="E2184" s="42" t="str">
        <f>IFERROR(__xludf.DUMMYFUNCTION("""COMPUTED_VALUE"""),"DISERAHKAN")</f>
        <v>DISERAHKAN</v>
      </c>
      <c r="F2184" s="48">
        <f>IFERROR(__xludf.DUMMYFUNCTION("""COMPUTED_VALUE"""),45722.50809471065)</f>
        <v>45722.50809</v>
      </c>
      <c r="G2184" s="42" t="str">
        <f>IFERROR(__xludf.DUMMYFUNCTION("""COMPUTED_VALUE"""),"BN Jual Beli")</f>
        <v>BN Jual Beli</v>
      </c>
      <c r="H2184" s="42">
        <f t="shared" si="1"/>
        <v>1014</v>
      </c>
    </row>
    <row r="2185" ht="22.5" customHeight="1">
      <c r="B2185" s="42" t="str">
        <f>IFERROR(__xludf.DUMMYFUNCTION("""COMPUTED_VALUE"""),"L/30/130225/1")</f>
        <v>L/30/130225/1</v>
      </c>
      <c r="C2185" s="42" t="str">
        <f>IFERROR(__xludf.DUMMYFUNCTION("""COMPUTED_VALUE"""),"M.11872/JAGABAYA II")</f>
        <v>M.11872/JAGABAYA II</v>
      </c>
      <c r="D2185" s="42"/>
      <c r="E2185" s="42" t="str">
        <f>IFERROR(__xludf.DUMMYFUNCTION("""COMPUTED_VALUE"""),"DISERAHKAN")</f>
        <v>DISERAHKAN</v>
      </c>
      <c r="F2185" s="48">
        <f>IFERROR(__xludf.DUMMYFUNCTION("""COMPUTED_VALUE"""),45719.63656033565)</f>
        <v>45719.63656</v>
      </c>
      <c r="G2185" s="42" t="str">
        <f>IFERROR(__xludf.DUMMYFUNCTION("""COMPUTED_VALUE"""),"ROYA")</f>
        <v>ROYA</v>
      </c>
      <c r="H2185" s="42">
        <f t="shared" si="1"/>
        <v>1015</v>
      </c>
    </row>
    <row r="2186" ht="22.5" customHeight="1">
      <c r="B2186" s="42" t="str">
        <f>IFERROR(__xludf.DUMMYFUNCTION("""COMPUTED_VALUE"""),"K/32/130225/1")</f>
        <v>K/32/130225/1</v>
      </c>
      <c r="C2186" s="42" t="str">
        <f>IFERROR(__xludf.DUMMYFUNCTION("""COMPUTED_VALUE"""),"M. 9728/ Sidodadi")</f>
        <v>M. 9728/ Sidodadi</v>
      </c>
      <c r="D2186" s="42"/>
      <c r="E2186" s="42" t="str">
        <f>IFERROR(__xludf.DUMMYFUNCTION("""COMPUTED_VALUE"""),"DISERAHKAN")</f>
        <v>DISERAHKAN</v>
      </c>
      <c r="F2186" s="48">
        <f>IFERROR(__xludf.DUMMYFUNCTION("""COMPUTED_VALUE"""),45712.66607927083)</f>
        <v>45712.66608</v>
      </c>
      <c r="G2186" s="42" t="str">
        <f>IFERROR(__xludf.DUMMYFUNCTION("""COMPUTED_VALUE"""),"BN JUAL BELI")</f>
        <v>BN JUAL BELI</v>
      </c>
      <c r="H2186" s="42">
        <f t="shared" si="1"/>
        <v>1016</v>
      </c>
    </row>
    <row r="2187" ht="22.5" customHeight="1">
      <c r="B2187" s="42" t="str">
        <f>IFERROR(__xludf.DUMMYFUNCTION("""COMPUTED_VALUE"""),"K/31/130225/1")</f>
        <v>K/31/130225/1</v>
      </c>
      <c r="C2187" s="42" t="str">
        <f>IFERROR(__xludf.DUMMYFUNCTION("""COMPUTED_VALUE"""),"M. 12038/ Kedamaian")</f>
        <v>M. 12038/ Kedamaian</v>
      </c>
      <c r="D2187" s="42"/>
      <c r="E2187" s="42" t="str">
        <f>IFERROR(__xludf.DUMMYFUNCTION("""COMPUTED_VALUE"""),"DISERAHKAN")</f>
        <v>DISERAHKAN</v>
      </c>
      <c r="F2187" s="48">
        <f>IFERROR(__xludf.DUMMYFUNCTION("""COMPUTED_VALUE"""),45719.63851685185)</f>
        <v>45719.63852</v>
      </c>
      <c r="G2187" s="42" t="str">
        <f>IFERROR(__xludf.DUMMYFUNCTION("""COMPUTED_VALUE"""),"BN Jual Beli")</f>
        <v>BN Jual Beli</v>
      </c>
      <c r="H2187" s="42">
        <f t="shared" si="1"/>
        <v>1017</v>
      </c>
    </row>
    <row r="2188" ht="22.5" customHeight="1">
      <c r="B2188" s="42" t="str">
        <f>IFERROR(__xludf.DUMMYFUNCTION("""COMPUTED_VALUE"""),"L/36/130225/1")</f>
        <v>L/36/130225/1</v>
      </c>
      <c r="C2188" s="42" t="str">
        <f>IFERROR(__xludf.DUMMYFUNCTION("""COMPUTED_VALUE"""),"B.3730/BERINGIN RAYA")</f>
        <v>B.3730/BERINGIN RAYA</v>
      </c>
      <c r="D2188" s="42"/>
      <c r="E2188" s="42"/>
      <c r="F2188" s="48" t="str">
        <f>IFERROR(__xludf.DUMMYFUNCTION("""COMPUTED_VALUE"""),"")</f>
        <v/>
      </c>
      <c r="G2188" s="42" t="str">
        <f>IFERROR(__xludf.DUMMYFUNCTION("""COMPUTED_VALUE"""),"PERUBAHAN HAK")</f>
        <v>PERUBAHAN HAK</v>
      </c>
      <c r="H2188" s="42">
        <f t="shared" si="1"/>
        <v>1017</v>
      </c>
    </row>
    <row r="2189" ht="22.5" customHeight="1">
      <c r="B2189" s="42" t="str">
        <f>IFERROR(__xludf.DUMMYFUNCTION("""COMPUTED_VALUE"""),"K/34/130225/1")</f>
        <v>K/34/130225/1</v>
      </c>
      <c r="C2189" s="42" t="str">
        <f>IFERROR(__xludf.DUMMYFUNCTION("""COMPUTED_VALUE"""),"Nibel 16787/ Sukabumi")</f>
        <v>Nibel 16787/ Sukabumi</v>
      </c>
      <c r="D2189" s="42"/>
      <c r="E2189" s="42"/>
      <c r="F2189" s="48" t="str">
        <f>IFERROR(__xludf.DUMMYFUNCTION("""COMPUTED_VALUE"""),"")</f>
        <v/>
      </c>
      <c r="G2189" s="42" t="str">
        <f>IFERROR(__xludf.DUMMYFUNCTION("""COMPUTED_VALUE"""),"BN JUAL BELI")</f>
        <v>BN JUAL BELI</v>
      </c>
      <c r="H2189" s="42">
        <f t="shared" si="1"/>
        <v>1017</v>
      </c>
    </row>
    <row r="2190" ht="22.5" customHeight="1">
      <c r="B2190" s="42" t="str">
        <f>IFERROR(__xludf.DUMMYFUNCTION("""COMPUTED_VALUE"""),"K/33/130225/1")</f>
        <v>K/33/130225/1</v>
      </c>
      <c r="C2190" s="42" t="str">
        <f>IFERROR(__xludf.DUMMYFUNCTION("""COMPUTED_VALUE"""),"M. 1386/ Gotong Royong")</f>
        <v>M. 1386/ Gotong Royong</v>
      </c>
      <c r="D2190" s="42"/>
      <c r="E2190" s="42"/>
      <c r="F2190" s="48" t="str">
        <f>IFERROR(__xludf.DUMMYFUNCTION("""COMPUTED_VALUE"""),"")</f>
        <v/>
      </c>
      <c r="G2190" s="42" t="str">
        <f>IFERROR(__xludf.DUMMYFUNCTION("""COMPUTED_VALUE"""),"SKPT Lelang")</f>
        <v>SKPT Lelang</v>
      </c>
      <c r="H2190" s="42">
        <f t="shared" si="1"/>
        <v>1017</v>
      </c>
    </row>
    <row r="2191" ht="22.5" customHeight="1">
      <c r="B2191" s="42" t="str">
        <f>IFERROR(__xludf.DUMMYFUNCTION("""COMPUTED_VALUE"""),"K/35/130225/2")</f>
        <v>K/35/130225/2</v>
      </c>
      <c r="C2191" s="42" t="str">
        <f>IFERROR(__xludf.DUMMYFUNCTION("""COMPUTED_VALUE"""),"Nibel 396/ Bumi Waras")</f>
        <v>Nibel 396/ Bumi Waras</v>
      </c>
      <c r="D2191" s="42"/>
      <c r="E2191" s="42"/>
      <c r="F2191" s="48" t="str">
        <f>IFERROR(__xludf.DUMMYFUNCTION("""COMPUTED_VALUE"""),"")</f>
        <v/>
      </c>
      <c r="G2191" s="42" t="str">
        <f>IFERROR(__xludf.DUMMYFUNCTION("""COMPUTED_VALUE"""),"BN JUAL BELI")</f>
        <v>BN JUAL BELI</v>
      </c>
      <c r="H2191" s="42">
        <f t="shared" si="1"/>
        <v>1017</v>
      </c>
    </row>
    <row r="2192" ht="22.5" customHeight="1">
      <c r="B2192" s="42" t="str">
        <f>IFERROR(__xludf.DUMMYFUNCTION("""COMPUTED_VALUE"""),"K/37/130225/1")</f>
        <v>K/37/130225/1</v>
      </c>
      <c r="C2192" s="42" t="str">
        <f>IFERROR(__xludf.DUMMYFUNCTION("""COMPUTED_VALUE"""),"M. 253/  Rajabasa Jaya")</f>
        <v>M. 253/  Rajabasa Jaya</v>
      </c>
      <c r="D2192" s="42"/>
      <c r="E2192" s="42" t="str">
        <f>IFERROR(__xludf.DUMMYFUNCTION("""COMPUTED_VALUE"""),"DISERAHKAN")</f>
        <v>DISERAHKAN</v>
      </c>
      <c r="F2192" s="48">
        <f>IFERROR(__xludf.DUMMYFUNCTION("""COMPUTED_VALUE"""),45719.639640706024)</f>
        <v>45719.63964</v>
      </c>
      <c r="G2192" s="42" t="str">
        <f>IFERROR(__xludf.DUMMYFUNCTION("""COMPUTED_VALUE"""),"ROYA")</f>
        <v>ROYA</v>
      </c>
      <c r="H2192" s="42">
        <f t="shared" si="1"/>
        <v>1018</v>
      </c>
    </row>
    <row r="2193" ht="22.5" customHeight="1">
      <c r="B2193" s="42" t="str">
        <f>IFERROR(__xludf.DUMMYFUNCTION("""COMPUTED_VALUE"""),"K/9/130225/1")</f>
        <v>K/9/130225/1</v>
      </c>
      <c r="C2193" s="42" t="str">
        <f>IFERROR(__xludf.DUMMYFUNCTION("""COMPUTED_VALUE"""),"NIBEL B. 17449/SUKARAME BARU")</f>
        <v>NIBEL B. 17449/SUKARAME BARU</v>
      </c>
      <c r="D2193" s="42"/>
      <c r="E2193" s="42"/>
      <c r="F2193" s="48" t="str">
        <f>IFERROR(__xludf.DUMMYFUNCTION("""COMPUTED_VALUE"""),"")</f>
        <v/>
      </c>
      <c r="G2193" s="42" t="str">
        <f>IFERROR(__xludf.DUMMYFUNCTION("""COMPUTED_VALUE"""),"PERUBAHAN HAK")</f>
        <v>PERUBAHAN HAK</v>
      </c>
      <c r="H2193" s="42">
        <f t="shared" si="1"/>
        <v>1018</v>
      </c>
    </row>
    <row r="2194" ht="22.5" customHeight="1">
      <c r="B2194" s="42" t="str">
        <f>IFERROR(__xludf.DUMMYFUNCTION("""COMPUTED_VALUE"""),"K/39/130225/1")</f>
        <v>K/39/130225/1</v>
      </c>
      <c r="C2194" s="42" t="str">
        <f>IFERROR(__xludf.DUMMYFUNCTION("""COMPUTED_VALUE"""),"M. 1009/ Bumi Waras")</f>
        <v>M. 1009/ Bumi Waras</v>
      </c>
      <c r="D2194" s="42"/>
      <c r="E2194" s="42" t="str">
        <f>IFERROR(__xludf.DUMMYFUNCTION("""COMPUTED_VALUE"""),"DISERAHKAN")</f>
        <v>DISERAHKAN</v>
      </c>
      <c r="F2194" s="48">
        <f>IFERROR(__xludf.DUMMYFUNCTION("""COMPUTED_VALUE"""),45727.497170069444)</f>
        <v>45727.49717</v>
      </c>
      <c r="G2194" s="42" t="str">
        <f>IFERROR(__xludf.DUMMYFUNCTION("""COMPUTED_VALUE"""),"BN Waris")</f>
        <v>BN Waris</v>
      </c>
      <c r="H2194" s="42">
        <f t="shared" si="1"/>
        <v>1019</v>
      </c>
    </row>
    <row r="2195" ht="22.5" customHeight="1">
      <c r="B2195" s="42" t="str">
        <f>IFERROR(__xludf.DUMMYFUNCTION("""COMPUTED_VALUE"""),"K/38/130225/2")</f>
        <v>K/38/130225/2</v>
      </c>
      <c r="C2195" s="42" t="str">
        <f>IFERROR(__xludf.DUMMYFUNCTION("""COMPUTED_VALUE"""),"M. 224/ Pematang Wangi")</f>
        <v>M. 224/ Pematang Wangi</v>
      </c>
      <c r="D2195" s="42"/>
      <c r="E2195" s="42"/>
      <c r="F2195" s="48" t="str">
        <f>IFERROR(__xludf.DUMMYFUNCTION("""COMPUTED_VALUE"""),"")</f>
        <v/>
      </c>
      <c r="G2195" s="42" t="str">
        <f>IFERROR(__xludf.DUMMYFUNCTION("""COMPUTED_VALUE"""),"HAPUS BPHTB")</f>
        <v>HAPUS BPHTB</v>
      </c>
      <c r="H2195" s="42">
        <f t="shared" si="1"/>
        <v>1019</v>
      </c>
    </row>
    <row r="2196" ht="22.5" customHeight="1">
      <c r="B2196" s="42" t="str">
        <f>IFERROR(__xludf.DUMMYFUNCTION("""COMPUTED_VALUE"""),"K/40/130225/1")</f>
        <v>K/40/130225/1</v>
      </c>
      <c r="C2196" s="42" t="str">
        <f>IFERROR(__xludf.DUMMYFUNCTION("""COMPUTED_VALUE"""),"M.1992/WAY KANDIS")</f>
        <v>M.1992/WAY KANDIS</v>
      </c>
      <c r="D2196" s="42"/>
      <c r="E2196" s="42" t="str">
        <f>IFERROR(__xludf.DUMMYFUNCTION("""COMPUTED_VALUE"""),"DISERAHKAN")</f>
        <v>DISERAHKAN</v>
      </c>
      <c r="F2196" s="48">
        <f>IFERROR(__xludf.DUMMYFUNCTION("""COMPUTED_VALUE"""),45712.411950671296)</f>
        <v>45712.41195</v>
      </c>
      <c r="G2196" s="42" t="str">
        <f>IFERROR(__xludf.DUMMYFUNCTION("""COMPUTED_VALUE"""),"BN JUAL BELI")</f>
        <v>BN JUAL BELI</v>
      </c>
      <c r="H2196" s="42">
        <f t="shared" si="1"/>
        <v>1020</v>
      </c>
    </row>
    <row r="2197" ht="22.5" customHeight="1">
      <c r="B2197" s="42" t="str">
        <f>IFERROR(__xludf.DUMMYFUNCTION("""COMPUTED_VALUE"""),"K/41/130225/1")</f>
        <v>K/41/130225/1</v>
      </c>
      <c r="C2197" s="42" t="str">
        <f>IFERROR(__xludf.DUMMYFUNCTION("""COMPUTED_VALUE"""),"M. 1951/ Sumberrejo sejahtera")</f>
        <v>M. 1951/ Sumberrejo sejahtera</v>
      </c>
      <c r="D2197" s="42"/>
      <c r="E2197" s="42" t="str">
        <f>IFERROR(__xludf.DUMMYFUNCTION("""COMPUTED_VALUE"""),"DISERAHKAN")</f>
        <v>DISERAHKAN</v>
      </c>
      <c r="F2197" s="48">
        <f>IFERROR(__xludf.DUMMYFUNCTION("""COMPUTED_VALUE"""),45712.430207233796)</f>
        <v>45712.43021</v>
      </c>
      <c r="G2197" s="42" t="str">
        <f>IFERROR(__xludf.DUMMYFUNCTION("""COMPUTED_VALUE"""),"BN WARIS")</f>
        <v>BN WARIS</v>
      </c>
      <c r="H2197" s="42">
        <f t="shared" si="1"/>
        <v>1021</v>
      </c>
    </row>
    <row r="2198" ht="22.5" customHeight="1">
      <c r="B2198" s="42" t="str">
        <f>IFERROR(__xludf.DUMMYFUNCTION("""COMPUTED_VALUE"""),"K/2/140225/1")</f>
        <v>K/2/140225/1</v>
      </c>
      <c r="C2198" s="42" t="str">
        <f>IFERROR(__xludf.DUMMYFUNCTION("""COMPUTED_VALUE"""),"M. 234/ Sukarame II")</f>
        <v>M. 234/ Sukarame II</v>
      </c>
      <c r="D2198" s="42"/>
      <c r="E2198" s="42"/>
      <c r="F2198" s="48" t="str">
        <f>IFERROR(__xludf.DUMMYFUNCTION("""COMPUTED_VALUE"""),"")</f>
        <v/>
      </c>
      <c r="G2198" s="42" t="str">
        <f>IFERROR(__xludf.DUMMYFUNCTION("""COMPUTED_VALUE"""),"PEMECHAN BIDANG")</f>
        <v>PEMECHAN BIDANG</v>
      </c>
      <c r="H2198" s="42">
        <f t="shared" si="1"/>
        <v>1021</v>
      </c>
    </row>
    <row r="2199" ht="22.5" customHeight="1">
      <c r="B2199" s="42" t="str">
        <f>IFERROR(__xludf.DUMMYFUNCTION("""COMPUTED_VALUE"""),"L/22/140225/1")</f>
        <v>L/22/140225/1</v>
      </c>
      <c r="C2199" s="42" t="str">
        <f>IFERROR(__xludf.DUMMYFUNCTION("""COMPUTED_VALUE"""),"NIBEL M 3479/SUKAMENANTI")</f>
        <v>NIBEL M 3479/SUKAMENANTI</v>
      </c>
      <c r="D2199" s="42"/>
      <c r="E2199" s="42"/>
      <c r="F2199" s="48" t="str">
        <f>IFERROR(__xludf.DUMMYFUNCTION("""COMPUTED_VALUE"""),"")</f>
        <v/>
      </c>
      <c r="G2199" s="42" t="str">
        <f>IFERROR(__xludf.DUMMYFUNCTION("""COMPUTED_VALUE"""),"ROYA")</f>
        <v>ROYA</v>
      </c>
      <c r="H2199" s="42">
        <f t="shared" si="1"/>
        <v>1021</v>
      </c>
    </row>
    <row r="2200" ht="22.5" customHeight="1">
      <c r="B2200" s="42" t="str">
        <f>IFERROR(__xludf.DUMMYFUNCTION("""COMPUTED_VALUE"""),"K/10/130225/2")</f>
        <v>K/10/130225/2</v>
      </c>
      <c r="C2200" s="42" t="str">
        <f>IFERROR(__xludf.DUMMYFUNCTION("""COMPUTED_VALUE"""),"NIBEL B. 17339/SUKARAME BARU")</f>
        <v>NIBEL B. 17339/SUKARAME BARU</v>
      </c>
      <c r="D2200" s="42"/>
      <c r="E2200" s="42"/>
      <c r="F2200" s="48" t="str">
        <f>IFERROR(__xludf.DUMMYFUNCTION("""COMPUTED_VALUE"""),"")</f>
        <v/>
      </c>
      <c r="G2200" s="42" t="str">
        <f>IFERROR(__xludf.DUMMYFUNCTION("""COMPUTED_VALUE"""),"PENINGKATAN HAK")</f>
        <v>PENINGKATAN HAK</v>
      </c>
      <c r="H2200" s="42">
        <f t="shared" si="1"/>
        <v>1021</v>
      </c>
    </row>
    <row r="2201" ht="22.5" customHeight="1">
      <c r="B2201" s="42" t="str">
        <f>IFERROR(__xludf.DUMMYFUNCTION("""COMPUTED_VALUE"""),"K/3/140225/1")</f>
        <v>K/3/140225/1</v>
      </c>
      <c r="C2201" s="42" t="str">
        <f>IFERROR(__xludf.DUMMYFUNCTION("""COMPUTED_VALUE"""),"M. 11384/ Sukarame")</f>
        <v>M. 11384/ Sukarame</v>
      </c>
      <c r="D2201" s="42"/>
      <c r="E2201" s="42" t="str">
        <f>IFERROR(__xludf.DUMMYFUNCTION("""COMPUTED_VALUE"""),"DISERAHKAN")</f>
        <v>DISERAHKAN</v>
      </c>
      <c r="F2201" s="48">
        <f>IFERROR(__xludf.DUMMYFUNCTION("""COMPUTED_VALUE"""),45712.66520284722)</f>
        <v>45712.6652</v>
      </c>
      <c r="G2201" s="42" t="str">
        <f>IFERROR(__xludf.DUMMYFUNCTION("""COMPUTED_VALUE"""),"BN JUAL BELI")</f>
        <v>BN JUAL BELI</v>
      </c>
      <c r="H2201" s="42">
        <f t="shared" si="1"/>
        <v>1022</v>
      </c>
    </row>
    <row r="2202" ht="22.5" customHeight="1">
      <c r="B2202" s="42" t="str">
        <f>IFERROR(__xludf.DUMMYFUNCTION("""COMPUTED_VALUE"""),"K/4/140225/1")</f>
        <v>K/4/140225/1</v>
      </c>
      <c r="C2202" s="42" t="str">
        <f>IFERROR(__xludf.DUMMYFUNCTION("""COMPUTED_VALUE"""),"M. 2217/ Langkapura")</f>
        <v>M. 2217/ Langkapura</v>
      </c>
      <c r="D2202" s="42"/>
      <c r="E2202" s="42" t="str">
        <f>IFERROR(__xludf.DUMMYFUNCTION("""COMPUTED_VALUE"""),"DISERAHKAN")</f>
        <v>DISERAHKAN</v>
      </c>
      <c r="F2202" s="48">
        <f>IFERROR(__xludf.DUMMYFUNCTION("""COMPUTED_VALUE"""),45720.43920230324)</f>
        <v>45720.4392</v>
      </c>
      <c r="G2202" s="42" t="str">
        <f>IFERROR(__xludf.DUMMYFUNCTION("""COMPUTED_VALUE"""),"BN Waris")</f>
        <v>BN Waris</v>
      </c>
      <c r="H2202" s="42">
        <f t="shared" si="1"/>
        <v>1023</v>
      </c>
    </row>
    <row r="2203" ht="22.5" customHeight="1">
      <c r="B2203" s="42" t="str">
        <f>IFERROR(__xludf.DUMMYFUNCTION("""COMPUTED_VALUE"""),"K/5/140225/2")</f>
        <v>K/5/140225/2</v>
      </c>
      <c r="C2203" s="42" t="str">
        <f>IFERROR(__xludf.DUMMYFUNCTION("""COMPUTED_VALUE"""),"M. 238/ Sukarame Baru")</f>
        <v>M. 238/ Sukarame Baru</v>
      </c>
      <c r="D2203" s="42"/>
      <c r="E2203" s="42" t="str">
        <f>IFERROR(__xludf.DUMMYFUNCTION("""COMPUTED_VALUE"""),"DISERAHKAN")</f>
        <v>DISERAHKAN</v>
      </c>
      <c r="F2203" s="48">
        <f>IFERROR(__xludf.DUMMYFUNCTION("""COMPUTED_VALUE"""),45712.4086488426)</f>
        <v>45712.40865</v>
      </c>
      <c r="G2203" s="42" t="str">
        <f>IFERROR(__xludf.DUMMYFUNCTION("""COMPUTED_VALUE"""),"BN Jual Beli")</f>
        <v>BN Jual Beli</v>
      </c>
      <c r="H2203" s="42">
        <f t="shared" si="1"/>
        <v>1024</v>
      </c>
    </row>
    <row r="2204" ht="22.5" customHeight="1">
      <c r="B2204" s="42" t="str">
        <f>IFERROR(__xludf.DUMMYFUNCTION("""COMPUTED_VALUE"""),"L/23/140225/1")</f>
        <v>L/23/140225/1</v>
      </c>
      <c r="C2204" s="42" t="str">
        <f>IFERROR(__xludf.DUMMYFUNCTION("""COMPUTED_VALUE"""),"M.2044/CAMPANG RAYA")</f>
        <v>M.2044/CAMPANG RAYA</v>
      </c>
      <c r="D2204" s="42"/>
      <c r="E2204" s="42" t="str">
        <f>IFERROR(__xludf.DUMMYFUNCTION("""COMPUTED_VALUE"""),"DISERAHKAN")</f>
        <v>DISERAHKAN</v>
      </c>
      <c r="F2204" s="48">
        <f>IFERROR(__xludf.DUMMYFUNCTION("""COMPUTED_VALUE"""),45723.542350578704)</f>
        <v>45723.54235</v>
      </c>
      <c r="G2204" s="42" t="str">
        <f>IFERROR(__xludf.DUMMYFUNCTION("""COMPUTED_VALUE"""),"ROYA")</f>
        <v>ROYA</v>
      </c>
      <c r="H2204" s="42">
        <f t="shared" si="1"/>
        <v>1025</v>
      </c>
    </row>
    <row r="2205" ht="22.5" customHeight="1">
      <c r="B2205" s="42" t="str">
        <f>IFERROR(__xludf.DUMMYFUNCTION("""COMPUTED_VALUE"""),"K/6/140225/1")</f>
        <v>K/6/140225/1</v>
      </c>
      <c r="C2205" s="42" t="str">
        <f>IFERROR(__xludf.DUMMYFUNCTION("""COMPUTED_VALUE"""),"M. 19091/ Sukarame")</f>
        <v>M. 19091/ Sukarame</v>
      </c>
      <c r="D2205" s="42"/>
      <c r="E2205" s="42" t="str">
        <f>IFERROR(__xludf.DUMMYFUNCTION("""COMPUTED_VALUE"""),"DISERAHKAN")</f>
        <v>DISERAHKAN</v>
      </c>
      <c r="F2205" s="48">
        <f>IFERROR(__xludf.DUMMYFUNCTION("""COMPUTED_VALUE"""),45708.466246979166)</f>
        <v>45708.46625</v>
      </c>
      <c r="G2205" s="42" t="str">
        <f>IFERROR(__xludf.DUMMYFUNCTION("""COMPUTED_VALUE"""),"BN JUAL BELI")</f>
        <v>BN JUAL BELI</v>
      </c>
      <c r="H2205" s="42">
        <f t="shared" si="1"/>
        <v>1026</v>
      </c>
    </row>
    <row r="2206" ht="22.5" customHeight="1">
      <c r="B2206" s="42" t="str">
        <f>IFERROR(__xludf.DUMMYFUNCTION("""COMPUTED_VALUE"""),"K/8/140225/1")</f>
        <v>K/8/140225/1</v>
      </c>
      <c r="C2206" s="42" t="str">
        <f>IFERROR(__xludf.DUMMYFUNCTION("""COMPUTED_VALUE"""),"B. 5635/BERINGIN RAYA")</f>
        <v>B. 5635/BERINGIN RAYA</v>
      </c>
      <c r="D2206" s="42"/>
      <c r="E2206" s="42"/>
      <c r="F2206" s="48" t="str">
        <f>IFERROR(__xludf.DUMMYFUNCTION("""COMPUTED_VALUE"""),"")</f>
        <v/>
      </c>
      <c r="G2206" s="42" t="str">
        <f>IFERROR(__xludf.DUMMYFUNCTION("""COMPUTED_VALUE"""),"PENINGKATAN HAK")</f>
        <v>PENINGKATAN HAK</v>
      </c>
      <c r="H2206" s="42">
        <f t="shared" si="1"/>
        <v>1026</v>
      </c>
    </row>
    <row r="2207" ht="22.5" customHeight="1">
      <c r="B2207" s="42" t="str">
        <f>IFERROR(__xludf.DUMMYFUNCTION("""COMPUTED_VALUE"""),"K/9/140225/2")</f>
        <v>K/9/140225/2</v>
      </c>
      <c r="C2207" s="42" t="str">
        <f>IFERROR(__xludf.DUMMYFUNCTION("""COMPUTED_VALUE"""),"M.2259/PERUMNAS WAY HALIM")</f>
        <v>M.2259/PERUMNAS WAY HALIM</v>
      </c>
      <c r="D2207" s="42"/>
      <c r="E2207" s="42" t="str">
        <f>IFERROR(__xludf.DUMMYFUNCTION("""COMPUTED_VALUE"""),"DISERAHKAN")</f>
        <v>DISERAHKAN</v>
      </c>
      <c r="F2207" s="48">
        <f>IFERROR(__xludf.DUMMYFUNCTION("""COMPUTED_VALUE"""),45712.41224784723)</f>
        <v>45712.41225</v>
      </c>
      <c r="G2207" s="42" t="str">
        <f>IFERROR(__xludf.DUMMYFUNCTION("""COMPUTED_VALUE"""),"BN WARIS")</f>
        <v>BN WARIS</v>
      </c>
      <c r="H2207" s="42">
        <f t="shared" si="1"/>
        <v>1027</v>
      </c>
    </row>
    <row r="2208" ht="22.5" customHeight="1">
      <c r="B2208" s="42" t="str">
        <f>IFERROR(__xludf.DUMMYFUNCTION("""COMPUTED_VALUE"""),"L/24/140225/1")</f>
        <v>L/24/140225/1</v>
      </c>
      <c r="C2208" s="42" t="str">
        <f>IFERROR(__xludf.DUMMYFUNCTION("""COMPUTED_VALUE"""),"M.1716/KEMILING PERMAI")</f>
        <v>M.1716/KEMILING PERMAI</v>
      </c>
      <c r="D2208" s="42"/>
      <c r="E2208" s="42" t="str">
        <f>IFERROR(__xludf.DUMMYFUNCTION("""COMPUTED_VALUE"""),"DISERAHKAN")</f>
        <v>DISERAHKAN</v>
      </c>
      <c r="F2208" s="48">
        <f>IFERROR(__xludf.DUMMYFUNCTION("""COMPUTED_VALUE"""),45722.499666724536)</f>
        <v>45722.49967</v>
      </c>
      <c r="G2208" s="42" t="str">
        <f>IFERROR(__xludf.DUMMYFUNCTION("""COMPUTED_VALUE"""),"ROYA")</f>
        <v>ROYA</v>
      </c>
      <c r="H2208" s="42">
        <f t="shared" si="1"/>
        <v>1028</v>
      </c>
    </row>
    <row r="2209" ht="22.5" customHeight="1">
      <c r="B2209" s="42" t="str">
        <f>IFERROR(__xludf.DUMMYFUNCTION("""COMPUTED_VALUE"""),"K/13/140225/1")</f>
        <v>K/13/140225/1</v>
      </c>
      <c r="C2209" s="42" t="str">
        <f>IFERROR(__xludf.DUMMYFUNCTION("""COMPUTED_VALUE"""),"M.4477/GUNUNG TERANG")</f>
        <v>M.4477/GUNUNG TERANG</v>
      </c>
      <c r="D2209" s="42"/>
      <c r="E2209" s="42" t="str">
        <f>IFERROR(__xludf.DUMMYFUNCTION("""COMPUTED_VALUE"""),"DISERAHKAN")</f>
        <v>DISERAHKAN</v>
      </c>
      <c r="F2209" s="48">
        <f>IFERROR(__xludf.DUMMYFUNCTION("""COMPUTED_VALUE"""),45722.50227703704)</f>
        <v>45722.50228</v>
      </c>
      <c r="G2209" s="42" t="str">
        <f>IFERROR(__xludf.DUMMYFUNCTION("""COMPUTED_VALUE"""),"BN JUAL BELI")</f>
        <v>BN JUAL BELI</v>
      </c>
      <c r="H2209" s="42">
        <f t="shared" si="1"/>
        <v>1029</v>
      </c>
    </row>
    <row r="2210" ht="22.5" customHeight="1">
      <c r="B2210" s="42" t="str">
        <f>IFERROR(__xludf.DUMMYFUNCTION("""COMPUTED_VALUE"""),"K/12/140225/1")</f>
        <v>K/12/140225/1</v>
      </c>
      <c r="C2210" s="42" t="str">
        <f>IFERROR(__xludf.DUMMYFUNCTION("""COMPUTED_VALUE"""),"M. 5288/ Langkapura")</f>
        <v>M. 5288/ Langkapura</v>
      </c>
      <c r="D2210" s="42"/>
      <c r="E2210" s="42"/>
      <c r="F2210" s="48" t="str">
        <f>IFERROR(__xludf.DUMMYFUNCTION("""COMPUTED_VALUE"""),"")</f>
        <v/>
      </c>
      <c r="G2210" s="42" t="str">
        <f>IFERROR(__xludf.DUMMYFUNCTION("""COMPUTED_VALUE"""),"BN JUAL BELI")</f>
        <v>BN JUAL BELI</v>
      </c>
      <c r="H2210" s="42">
        <f t="shared" si="1"/>
        <v>1029</v>
      </c>
    </row>
    <row r="2211" ht="22.5" customHeight="1">
      <c r="B2211" s="42" t="str">
        <f>IFERROR(__xludf.DUMMYFUNCTION("""COMPUTED_VALUE"""),"K/14/140225/1")</f>
        <v>K/14/140225/1</v>
      </c>
      <c r="C2211" s="42" t="str">
        <f>IFERROR(__xludf.DUMMYFUNCTION("""COMPUTED_VALUE"""),"M.1088/SRENGSEM")</f>
        <v>M.1088/SRENGSEM</v>
      </c>
      <c r="D2211" s="42"/>
      <c r="E2211" s="42" t="str">
        <f>IFERROR(__xludf.DUMMYFUNCTION("""COMPUTED_VALUE"""),"DISERAHKAN BT")</f>
        <v>DISERAHKAN BT</v>
      </c>
      <c r="F2211" s="48">
        <f>IFERROR(__xludf.DUMMYFUNCTION("""COMPUTED_VALUE"""),45708.4666730787)</f>
        <v>45708.46667</v>
      </c>
      <c r="G2211" s="42" t="str">
        <f>IFERROR(__xludf.DUMMYFUNCTION("""COMPUTED_VALUE"""),"BN JUAL BELI")</f>
        <v>BN JUAL BELI</v>
      </c>
      <c r="H2211" s="42">
        <f t="shared" si="1"/>
        <v>1029</v>
      </c>
    </row>
    <row r="2212" ht="22.5" customHeight="1">
      <c r="B2212" s="42" t="str">
        <f>IFERROR(__xludf.DUMMYFUNCTION("""COMPUTED_VALUE"""),"L/25/140225/1")</f>
        <v>L/25/140225/1</v>
      </c>
      <c r="C2212" s="42" t="str">
        <f>IFERROR(__xludf.DUMMYFUNCTION("""COMPUTED_VALUE"""),"SHM 15890/SUKARAME")</f>
        <v>SHM 15890/SUKARAME</v>
      </c>
      <c r="D2212" s="42"/>
      <c r="E2212" s="42" t="str">
        <f>IFERROR(__xludf.DUMMYFUNCTION("""COMPUTED_VALUE"""),"DISERAHKAN")</f>
        <v>DISERAHKAN</v>
      </c>
      <c r="F2212" s="48">
        <f>IFERROR(__xludf.DUMMYFUNCTION("""COMPUTED_VALUE"""),45769.60071211806)</f>
        <v>45769.60071</v>
      </c>
      <c r="G2212" s="42" t="str">
        <f>IFERROR(__xludf.DUMMYFUNCTION("""COMPUTED_VALUE"""),"ROYA")</f>
        <v>ROYA</v>
      </c>
      <c r="H2212" s="42">
        <f t="shared" si="1"/>
        <v>1030</v>
      </c>
    </row>
    <row r="2213" ht="22.5" customHeight="1">
      <c r="B2213" s="42" t="str">
        <f>IFERROR(__xludf.DUMMYFUNCTION("""COMPUTED_VALUE"""),"K/15/140225/1")</f>
        <v>K/15/140225/1</v>
      </c>
      <c r="C2213" s="42" t="str">
        <f>IFERROR(__xludf.DUMMYFUNCTION("""COMPUTED_VALUE"""),"M. 2162/ Way Halim Permai")</f>
        <v>M. 2162/ Way Halim Permai</v>
      </c>
      <c r="D2213" s="42"/>
      <c r="E2213" s="42"/>
      <c r="F2213" s="48" t="str">
        <f>IFERROR(__xludf.DUMMYFUNCTION("""COMPUTED_VALUE"""),"")</f>
        <v/>
      </c>
      <c r="G2213" s="42" t="str">
        <f>IFERROR(__xludf.DUMMYFUNCTION("""COMPUTED_VALUE"""),"BN jual Beli")</f>
        <v>BN jual Beli</v>
      </c>
      <c r="H2213" s="42">
        <f t="shared" si="1"/>
        <v>1030</v>
      </c>
    </row>
    <row r="2214" ht="22.5" customHeight="1">
      <c r="B2214" s="42" t="str">
        <f>IFERROR(__xludf.DUMMYFUNCTION("""COMPUTED_VALUE"""),"L/7/140225/1")</f>
        <v>L/7/140225/1</v>
      </c>
      <c r="C2214" s="42" t="str">
        <f>IFERROR(__xludf.DUMMYFUNCTION("""COMPUTED_VALUE"""),"M.14070/KEDAMAIAN")</f>
        <v>M.14070/KEDAMAIAN</v>
      </c>
      <c r="D2214" s="42"/>
      <c r="E2214" s="42" t="str">
        <f>IFERROR(__xludf.DUMMYFUNCTION("""COMPUTED_VALUE"""),"DISERAHKAN")</f>
        <v>DISERAHKAN</v>
      </c>
      <c r="F2214" s="48">
        <f>IFERROR(__xludf.DUMMYFUNCTION("""COMPUTED_VALUE"""),45719.63586255787)</f>
        <v>45719.63586</v>
      </c>
      <c r="G2214" s="42" t="str">
        <f>IFERROR(__xludf.DUMMYFUNCTION("""COMPUTED_VALUE"""),"ROYA")</f>
        <v>ROYA</v>
      </c>
      <c r="H2214" s="42">
        <f t="shared" si="1"/>
        <v>1031</v>
      </c>
    </row>
    <row r="2215" ht="22.5" customHeight="1">
      <c r="B2215" s="42" t="str">
        <f>IFERROR(__xludf.DUMMYFUNCTION("""COMPUTED_VALUE"""),"K/10/140225/1")</f>
        <v>K/10/140225/1</v>
      </c>
      <c r="C2215" s="42" t="str">
        <f>IFERROR(__xludf.DUMMYFUNCTION("""COMPUTED_VALUE"""),"Nibel 16665/ Labuhan Ratu Raya")</f>
        <v>Nibel 16665/ Labuhan Ratu Raya</v>
      </c>
      <c r="D2215" s="42"/>
      <c r="E2215" s="42"/>
      <c r="F2215" s="48" t="str">
        <f>IFERROR(__xludf.DUMMYFUNCTION("""COMPUTED_VALUE"""),"")</f>
        <v/>
      </c>
      <c r="G2215" s="42" t="str">
        <f>IFERROR(__xludf.DUMMYFUNCTION("""COMPUTED_VALUE"""),"PERUBAHAN HAK")</f>
        <v>PERUBAHAN HAK</v>
      </c>
      <c r="H2215" s="42">
        <f t="shared" si="1"/>
        <v>1031</v>
      </c>
    </row>
    <row r="2216" ht="22.5" customHeight="1">
      <c r="B2216" s="42" t="str">
        <f>IFERROR(__xludf.DUMMYFUNCTION("""COMPUTED_VALUE"""),"K/16/140225/1")</f>
        <v>K/16/140225/1</v>
      </c>
      <c r="C2216" s="42" t="str">
        <f>IFERROR(__xludf.DUMMYFUNCTION("""COMPUTED_VALUE"""),"Nibel. M. 16499/ P W H")</f>
        <v>Nibel. M. 16499/ P W H</v>
      </c>
      <c r="D2216" s="42"/>
      <c r="E2216" s="42"/>
      <c r="F2216" s="48" t="str">
        <f>IFERROR(__xludf.DUMMYFUNCTION("""COMPUTED_VALUE"""),"")</f>
        <v/>
      </c>
      <c r="G2216" s="42" t="str">
        <f>IFERROR(__xludf.DUMMYFUNCTION("""COMPUTED_VALUE"""),"BN Jual Beli")</f>
        <v>BN Jual Beli</v>
      </c>
      <c r="H2216" s="42">
        <f t="shared" si="1"/>
        <v>1031</v>
      </c>
    </row>
    <row r="2217" ht="22.5" customHeight="1">
      <c r="B2217" s="42" t="str">
        <f>IFERROR(__xludf.DUMMYFUNCTION("""COMPUTED_VALUE"""),"K/11/140225/2")</f>
        <v>K/11/140225/2</v>
      </c>
      <c r="C2217" s="42" t="str">
        <f>IFERROR(__xludf.DUMMYFUNCTION("""COMPUTED_VALUE"""),"Nibel 18297/ Gunung sulah")</f>
        <v>Nibel 18297/ Gunung sulah</v>
      </c>
      <c r="D2217" s="42"/>
      <c r="E2217" s="42"/>
      <c r="F2217" s="48" t="str">
        <f>IFERROR(__xludf.DUMMYFUNCTION("""COMPUTED_VALUE"""),"")</f>
        <v/>
      </c>
      <c r="G2217" s="42" t="str">
        <f>IFERROR(__xludf.DUMMYFUNCTION("""COMPUTED_VALUE"""),"BN LELANG")</f>
        <v>BN LELANG</v>
      </c>
      <c r="H2217" s="42">
        <f t="shared" si="1"/>
        <v>1031</v>
      </c>
    </row>
    <row r="2218" ht="22.5" customHeight="1">
      <c r="B2218" s="42" t="str">
        <f>IFERROR(__xludf.DUMMYFUNCTION("""COMPUTED_VALUE"""),"K/17/140225/1")</f>
        <v>K/17/140225/1</v>
      </c>
      <c r="C2218" s="42" t="str">
        <f>IFERROR(__xludf.DUMMYFUNCTION("""COMPUTED_VALUE"""),"Nibel 18298/ Gunung sulah")</f>
        <v>Nibel 18298/ Gunung sulah</v>
      </c>
      <c r="D2218" s="42"/>
      <c r="E2218" s="42"/>
      <c r="F2218" s="48" t="str">
        <f>IFERROR(__xludf.DUMMYFUNCTION("""COMPUTED_VALUE"""),"")</f>
        <v/>
      </c>
      <c r="G2218" s="42" t="str">
        <f>IFERROR(__xludf.DUMMYFUNCTION("""COMPUTED_VALUE"""),"BN LELANG")</f>
        <v>BN LELANG</v>
      </c>
      <c r="H2218" s="42">
        <f t="shared" si="1"/>
        <v>1031</v>
      </c>
    </row>
    <row r="2219" ht="22.5" customHeight="1">
      <c r="B2219" s="42" t="str">
        <f>IFERROR(__xludf.DUMMYFUNCTION("""COMPUTED_VALUE"""),"K/1/140225/1")</f>
        <v>K/1/140225/1</v>
      </c>
      <c r="C2219" s="42" t="str">
        <f>IFERROR(__xludf.DUMMYFUNCTION("""COMPUTED_VALUE"""),"NIBEL M 1950/JAGABAYA III")</f>
        <v>NIBEL M 1950/JAGABAYA III</v>
      </c>
      <c r="D2219" s="42"/>
      <c r="E2219" s="42"/>
      <c r="F2219" s="48" t="str">
        <f>IFERROR(__xludf.DUMMYFUNCTION("""COMPUTED_VALUE"""),"")</f>
        <v/>
      </c>
      <c r="G2219" s="42" t="str">
        <f>IFERROR(__xludf.DUMMYFUNCTION("""COMPUTED_VALUE"""),"JUAL BELI")</f>
        <v>JUAL BELI</v>
      </c>
      <c r="H2219" s="42">
        <f t="shared" si="1"/>
        <v>1031</v>
      </c>
    </row>
    <row r="2220" ht="22.5" customHeight="1">
      <c r="B2220" s="42" t="str">
        <f>IFERROR(__xludf.DUMMYFUNCTION("""COMPUTED_VALUE"""),"K/19/140225/1")</f>
        <v>K/19/140225/1</v>
      </c>
      <c r="C2220" s="42" t="str">
        <f>IFERROR(__xludf.DUMMYFUNCTION("""COMPUTED_VALUE"""),"M. 2566/ Beringin Raya")</f>
        <v>M. 2566/ Beringin Raya</v>
      </c>
      <c r="D2220" s="42"/>
      <c r="E2220" s="42" t="str">
        <f>IFERROR(__xludf.DUMMYFUNCTION("""COMPUTED_VALUE"""),"DISERAHKAN")</f>
        <v>DISERAHKAN</v>
      </c>
      <c r="F2220" s="48">
        <f>IFERROR(__xludf.DUMMYFUNCTION("""COMPUTED_VALUE"""),45713.706365335645)</f>
        <v>45713.70637</v>
      </c>
      <c r="G2220" s="42" t="str">
        <f>IFERROR(__xludf.DUMMYFUNCTION("""COMPUTED_VALUE"""),"BN JUAL BELI")</f>
        <v>BN JUAL BELI</v>
      </c>
      <c r="H2220" s="42">
        <f t="shared" si="1"/>
        <v>1032</v>
      </c>
    </row>
    <row r="2221" ht="22.5" customHeight="1">
      <c r="B2221" s="42" t="str">
        <f>IFERROR(__xludf.DUMMYFUNCTION("""COMPUTED_VALUE"""),"K/20/140225/1")</f>
        <v>K/20/140225/1</v>
      </c>
      <c r="C2221" s="42" t="str">
        <f>IFERROR(__xludf.DUMMYFUNCTION("""COMPUTED_VALUE"""),"M.2641/PINANG JAYA")</f>
        <v>M.2641/PINANG JAYA</v>
      </c>
      <c r="D2221" s="42"/>
      <c r="E2221" s="42" t="str">
        <f>IFERROR(__xludf.DUMMYFUNCTION("""COMPUTED_VALUE"""),"DISERAHKAN")</f>
        <v>DISERAHKAN</v>
      </c>
      <c r="F2221" s="48">
        <f>IFERROR(__xludf.DUMMYFUNCTION("""COMPUTED_VALUE"""),45712.41280723379)</f>
        <v>45712.41281</v>
      </c>
      <c r="G2221" s="42" t="str">
        <f>IFERROR(__xludf.DUMMYFUNCTION("""COMPUTED_VALUE"""),"JUAL BELI")</f>
        <v>JUAL BELI</v>
      </c>
      <c r="H2221" s="42">
        <f t="shared" si="1"/>
        <v>1033</v>
      </c>
    </row>
    <row r="2222" ht="22.5" customHeight="1">
      <c r="B2222" s="42" t="str">
        <f>IFERROR(__xludf.DUMMYFUNCTION("""COMPUTED_VALUE"""),"K/21/140225/1")</f>
        <v>K/21/140225/1</v>
      </c>
      <c r="C2222" s="42" t="str">
        <f>IFERROR(__xludf.DUMMYFUNCTION("""COMPUTED_VALUE"""),"M. 1813/ Labuhan Dalam")</f>
        <v>M. 1813/ Labuhan Dalam</v>
      </c>
      <c r="D2222" s="42"/>
      <c r="E2222" s="42"/>
      <c r="F2222" s="48" t="str">
        <f>IFERROR(__xludf.DUMMYFUNCTION("""COMPUTED_VALUE"""),"")</f>
        <v/>
      </c>
      <c r="G2222" s="42" t="str">
        <f>IFERROR(__xludf.DUMMYFUNCTION("""COMPUTED_VALUE"""),"PTPGT (Pemecahan)")</f>
        <v>PTPGT (Pemecahan)</v>
      </c>
      <c r="H2222" s="42">
        <f t="shared" si="1"/>
        <v>1033</v>
      </c>
    </row>
    <row r="2223" ht="22.5" customHeight="1">
      <c r="B2223" s="42" t="str">
        <f>IFERROR(__xludf.DUMMYFUNCTION("""COMPUTED_VALUE"""),"K/26/140225/1")</f>
        <v>K/26/140225/1</v>
      </c>
      <c r="C2223" s="42" t="str">
        <f>IFERROR(__xludf.DUMMYFUNCTION("""COMPUTED_VALUE"""),"B. 308/ Labuhan Ratu Raya")</f>
        <v>B. 308/ Labuhan Ratu Raya</v>
      </c>
      <c r="D2223" s="42"/>
      <c r="E2223" s="42" t="str">
        <f>IFERROR(__xludf.DUMMYFUNCTION("""COMPUTED_VALUE"""),"DISERAHKAN")</f>
        <v>DISERAHKAN</v>
      </c>
      <c r="F2223" s="48">
        <f>IFERROR(__xludf.DUMMYFUNCTION("""COMPUTED_VALUE"""),45712.66560450231)</f>
        <v>45712.6656</v>
      </c>
      <c r="G2223" s="42" t="str">
        <f>IFERROR(__xludf.DUMMYFUNCTION("""COMPUTED_VALUE"""),"BN JUALE BELI")</f>
        <v>BN JUALE BELI</v>
      </c>
      <c r="H2223" s="42">
        <f t="shared" si="1"/>
        <v>1034</v>
      </c>
    </row>
    <row r="2224" ht="22.5" customHeight="1">
      <c r="B2224" s="42" t="str">
        <f>IFERROR(__xludf.DUMMYFUNCTION("""COMPUTED_VALUE"""),"L/33/140225/1")</f>
        <v>L/33/140225/1</v>
      </c>
      <c r="C2224" s="42" t="str">
        <f>IFERROR(__xludf.DUMMYFUNCTION("""COMPUTED_VALUE"""),"M.322/SEPANG JAYA")</f>
        <v>M.322/SEPANG JAYA</v>
      </c>
      <c r="D2224" s="42"/>
      <c r="E2224" s="42" t="str">
        <f>IFERROR(__xludf.DUMMYFUNCTION("""COMPUTED_VALUE"""),"DISERAHKAN")</f>
        <v>DISERAHKAN</v>
      </c>
      <c r="F2224" s="48">
        <f>IFERROR(__xludf.DUMMYFUNCTION("""COMPUTED_VALUE"""),45769.60071211806)</f>
        <v>45769.60071</v>
      </c>
      <c r="G2224" s="42" t="str">
        <f>IFERROR(__xludf.DUMMYFUNCTION("""COMPUTED_VALUE"""),"ROYA")</f>
        <v>ROYA</v>
      </c>
      <c r="H2224" s="42">
        <f t="shared" si="1"/>
        <v>1035</v>
      </c>
    </row>
    <row r="2225" ht="22.5" customHeight="1">
      <c r="B2225" s="42" t="str">
        <f>IFERROR(__xludf.DUMMYFUNCTION("""COMPUTED_VALUE"""),"K/27/140225/2")</f>
        <v>K/27/140225/2</v>
      </c>
      <c r="C2225" s="42" t="str">
        <f>IFERROR(__xludf.DUMMYFUNCTION("""COMPUTED_VALUE"""),"B. 307/ Labuhan Ratu Raya")</f>
        <v>B. 307/ Labuhan Ratu Raya</v>
      </c>
      <c r="D2225" s="42"/>
      <c r="E2225" s="42" t="str">
        <f>IFERROR(__xludf.DUMMYFUNCTION("""COMPUTED_VALUE"""),"DISERAHKAN")</f>
        <v>DISERAHKAN</v>
      </c>
      <c r="F2225" s="48">
        <f>IFERROR(__xludf.DUMMYFUNCTION("""COMPUTED_VALUE"""),45720.43920230324)</f>
        <v>45720.4392</v>
      </c>
      <c r="G2225" s="42" t="str">
        <f>IFERROR(__xludf.DUMMYFUNCTION("""COMPUTED_VALUE"""),"BN JUAL BELI")</f>
        <v>BN JUAL BELI</v>
      </c>
      <c r="H2225" s="42">
        <f t="shared" si="1"/>
        <v>1036</v>
      </c>
    </row>
    <row r="2226" ht="22.5" customHeight="1">
      <c r="B2226" s="42" t="str">
        <f>IFERROR(__xludf.DUMMYFUNCTION("""COMPUTED_VALUE"""),"K/31/140225/1")</f>
        <v>K/31/140225/1</v>
      </c>
      <c r="C2226" s="42" t="str">
        <f>IFERROR(__xludf.DUMMYFUNCTION("""COMPUTED_VALUE"""),"M. 396/ Pinang Jaya")</f>
        <v>M. 396/ Pinang Jaya</v>
      </c>
      <c r="D2226" s="42"/>
      <c r="E2226" s="42"/>
      <c r="F2226" s="48" t="str">
        <f>IFERROR(__xludf.DUMMYFUNCTION("""COMPUTED_VALUE"""),"")</f>
        <v/>
      </c>
      <c r="G2226" s="42" t="str">
        <f>IFERROR(__xludf.DUMMYFUNCTION("""COMPUTED_VALUE"""),"PTPGT (Pemecahan)")</f>
        <v>PTPGT (Pemecahan)</v>
      </c>
      <c r="H2226" s="42">
        <f t="shared" si="1"/>
        <v>1036</v>
      </c>
    </row>
    <row r="2227" ht="22.5" customHeight="1">
      <c r="B2227" s="42" t="str">
        <f>IFERROR(__xludf.DUMMYFUNCTION("""COMPUTED_VALUE"""),"K/28/140225/3")</f>
        <v>K/28/140225/3</v>
      </c>
      <c r="C2227" s="42" t="str">
        <f>IFERROR(__xludf.DUMMYFUNCTION("""COMPUTED_VALUE"""),"B. 311/ Labuhan Ratu Raya")</f>
        <v>B. 311/ Labuhan Ratu Raya</v>
      </c>
      <c r="D2227" s="42"/>
      <c r="E2227" s="42" t="str">
        <f>IFERROR(__xludf.DUMMYFUNCTION("""COMPUTED_VALUE"""),"DISERAHKAN")</f>
        <v>DISERAHKAN</v>
      </c>
      <c r="F2227" s="48">
        <f>IFERROR(__xludf.DUMMYFUNCTION("""COMPUTED_VALUE"""),45713.70534512731)</f>
        <v>45713.70535</v>
      </c>
      <c r="G2227" s="42" t="str">
        <f>IFERROR(__xludf.DUMMYFUNCTION("""COMPUTED_VALUE"""),"BN JUAL BELI")</f>
        <v>BN JUAL BELI</v>
      </c>
      <c r="H2227" s="42">
        <f t="shared" si="1"/>
        <v>1037</v>
      </c>
    </row>
    <row r="2228" ht="22.5" customHeight="1">
      <c r="B2228" s="42" t="str">
        <f>IFERROR(__xludf.DUMMYFUNCTION("""COMPUTED_VALUE"""),"K/32/140225/1")</f>
        <v>K/32/140225/1</v>
      </c>
      <c r="C2228" s="42" t="str">
        <f>IFERROR(__xludf.DUMMYFUNCTION("""COMPUTED_VALUE"""),"M. 6581/ Sidodadi")</f>
        <v>M. 6581/ Sidodadi</v>
      </c>
      <c r="D2228" s="42"/>
      <c r="E2228" s="42"/>
      <c r="F2228" s="48" t="str">
        <f>IFERROR(__xludf.DUMMYFUNCTION("""COMPUTED_VALUE"""),"")</f>
        <v/>
      </c>
      <c r="G2228" s="42" t="str">
        <f>IFERROR(__xludf.DUMMYFUNCTION("""COMPUTED_VALUE"""),"BN Waris")</f>
        <v>BN Waris</v>
      </c>
      <c r="H2228" s="42">
        <f t="shared" si="1"/>
        <v>1037</v>
      </c>
    </row>
    <row r="2229" ht="22.5" customHeight="1">
      <c r="B2229" s="42" t="str">
        <f>IFERROR(__xludf.DUMMYFUNCTION("""COMPUTED_VALUE"""),"K/29/140225/4")</f>
        <v>K/29/140225/4</v>
      </c>
      <c r="C2229" s="42" t="str">
        <f>IFERROR(__xludf.DUMMYFUNCTION("""COMPUTED_VALUE"""),"B. 310/ Labuhan Ratu Raya")</f>
        <v>B. 310/ Labuhan Ratu Raya</v>
      </c>
      <c r="D2229" s="42"/>
      <c r="E2229" s="42" t="str">
        <f>IFERROR(__xludf.DUMMYFUNCTION("""COMPUTED_VALUE"""),"DISERAHKAN")</f>
        <v>DISERAHKAN</v>
      </c>
      <c r="F2229" s="48">
        <f>IFERROR(__xludf.DUMMYFUNCTION("""COMPUTED_VALUE"""),45712.66578335648)</f>
        <v>45712.66578</v>
      </c>
      <c r="G2229" s="42" t="str">
        <f>IFERROR(__xludf.DUMMYFUNCTION("""COMPUTED_VALUE"""),"BN JUAL BELI")</f>
        <v>BN JUAL BELI</v>
      </c>
      <c r="H2229" s="42">
        <f t="shared" si="1"/>
        <v>1038</v>
      </c>
    </row>
    <row r="2230" ht="22.5" customHeight="1">
      <c r="B2230" s="42" t="str">
        <f>IFERROR(__xludf.DUMMYFUNCTION("""COMPUTED_VALUE"""),"L/34/140225/1")</f>
        <v>L/34/140225/1</v>
      </c>
      <c r="C2230" s="42" t="str">
        <f>IFERROR(__xludf.DUMMYFUNCTION("""COMPUTED_VALUE"""),"NIBEL M.3457/KEMILING PERMAI")</f>
        <v>NIBEL M.3457/KEMILING PERMAI</v>
      </c>
      <c r="D2230" s="42"/>
      <c r="E2230" s="42"/>
      <c r="F2230" s="48" t="str">
        <f>IFERROR(__xludf.DUMMYFUNCTION("""COMPUTED_VALUE"""),"")</f>
        <v/>
      </c>
      <c r="G2230" s="42" t="str">
        <f>IFERROR(__xludf.DUMMYFUNCTION("""COMPUTED_VALUE"""),"PEMECAHAN")</f>
        <v>PEMECAHAN</v>
      </c>
      <c r="H2230" s="42">
        <f t="shared" si="1"/>
        <v>1038</v>
      </c>
    </row>
    <row r="2231" ht="22.5" customHeight="1">
      <c r="B2231" s="42" t="str">
        <f>IFERROR(__xludf.DUMMYFUNCTION("""COMPUTED_VALUE"""),"K/30/140225/5")</f>
        <v>K/30/140225/5</v>
      </c>
      <c r="C2231" s="42" t="str">
        <f>IFERROR(__xludf.DUMMYFUNCTION("""COMPUTED_VALUE"""),"B. 309/ Labuhan ratu Raya")</f>
        <v>B. 309/ Labuhan ratu Raya</v>
      </c>
      <c r="D2231" s="42"/>
      <c r="E2231" s="42" t="str">
        <f>IFERROR(__xludf.DUMMYFUNCTION("""COMPUTED_VALUE"""),"DISERAHKAN")</f>
        <v>DISERAHKAN</v>
      </c>
      <c r="F2231" s="48">
        <f>IFERROR(__xludf.DUMMYFUNCTION("""COMPUTED_VALUE"""),45712.41165925926)</f>
        <v>45712.41166</v>
      </c>
      <c r="G2231" s="42" t="str">
        <f>IFERROR(__xludf.DUMMYFUNCTION("""COMPUTED_VALUE"""),"BN JUAL BELI")</f>
        <v>BN JUAL BELI</v>
      </c>
      <c r="H2231" s="42">
        <f t="shared" si="1"/>
        <v>1039</v>
      </c>
    </row>
    <row r="2232" ht="22.5" customHeight="1">
      <c r="B2232" s="42" t="str">
        <f>IFERROR(__xludf.DUMMYFUNCTION("""COMPUTED_VALUE"""),"K/35/140225/1")</f>
        <v>K/35/140225/1</v>
      </c>
      <c r="C2232" s="42" t="str">
        <f>IFERROR(__xludf.DUMMYFUNCTION("""COMPUTED_VALUE"""),"NIBEL M 10835/KEMILING PERMAI ")</f>
        <v>NIBEL M 10835/KEMILING PERMAI </v>
      </c>
      <c r="D2232" s="42"/>
      <c r="E2232" s="42"/>
      <c r="F2232" s="48" t="str">
        <f>IFERROR(__xludf.DUMMYFUNCTION("""COMPUTED_VALUE"""),"")</f>
        <v/>
      </c>
      <c r="G2232" s="42" t="str">
        <f>IFERROR(__xludf.DUMMYFUNCTION("""COMPUTED_VALUE"""),"JUAL BELI")</f>
        <v>JUAL BELI</v>
      </c>
      <c r="H2232" s="42">
        <f t="shared" si="1"/>
        <v>1039</v>
      </c>
    </row>
    <row r="2233" ht="22.5" customHeight="1">
      <c r="B2233" s="42" t="str">
        <f>IFERROR(__xludf.DUMMYFUNCTION("""COMPUTED_VALUE"""),"K/36/140225/1")</f>
        <v>K/36/140225/1</v>
      </c>
      <c r="C2233" s="42" t="str">
        <f>IFERROR(__xludf.DUMMYFUNCTION("""COMPUTED_VALUE"""),"M. 16011/ Kali Balau Kencana")</f>
        <v>M. 16011/ Kali Balau Kencana</v>
      </c>
      <c r="D2233" s="42"/>
      <c r="E2233" s="42" t="str">
        <f>IFERROR(__xludf.DUMMYFUNCTION("""COMPUTED_VALUE"""),"DISERAHKAN")</f>
        <v>DISERAHKAN</v>
      </c>
      <c r="F2233" s="48">
        <f>IFERROR(__xludf.DUMMYFUNCTION("""COMPUTED_VALUE"""),45722.49879253472)</f>
        <v>45722.49879</v>
      </c>
      <c r="G2233" s="42" t="str">
        <f>IFERROR(__xludf.DUMMYFUNCTION("""COMPUTED_VALUE"""),"M INTAN HARIS")</f>
        <v>M INTAN HARIS</v>
      </c>
      <c r="H2233" s="42">
        <f t="shared" si="1"/>
        <v>1040</v>
      </c>
    </row>
    <row r="2234" ht="22.5" customHeight="1">
      <c r="B2234" s="42" t="str">
        <f>IFERROR(__xludf.DUMMYFUNCTION("""COMPUTED_VALUE"""),"K/37/140225/1")</f>
        <v>K/37/140225/1</v>
      </c>
      <c r="C2234" s="42" t="str">
        <f>IFERROR(__xludf.DUMMYFUNCTION("""COMPUTED_VALUE"""),"M. 751/ Sukarame Baru")</f>
        <v>M. 751/ Sukarame Baru</v>
      </c>
      <c r="D2234" s="42"/>
      <c r="E2234" s="42" t="str">
        <f>IFERROR(__xludf.DUMMYFUNCTION("""COMPUTED_VALUE"""),"DISERAHKAN")</f>
        <v>DISERAHKAN</v>
      </c>
      <c r="F2234" s="48">
        <f>IFERROR(__xludf.DUMMYFUNCTION("""COMPUTED_VALUE"""),45713.707661238426)</f>
        <v>45713.70766</v>
      </c>
      <c r="G2234" s="42" t="str">
        <f>IFERROR(__xludf.DUMMYFUNCTION("""COMPUTED_VALUE"""),"BN Jual Beli")</f>
        <v>BN Jual Beli</v>
      </c>
      <c r="H2234" s="42">
        <f t="shared" si="1"/>
        <v>1041</v>
      </c>
    </row>
    <row r="2235" ht="22.5" customHeight="1">
      <c r="B2235" s="42" t="str">
        <f>IFERROR(__xludf.DUMMYFUNCTION("""COMPUTED_VALUE"""),"K/39/140225/1")</f>
        <v>K/39/140225/1</v>
      </c>
      <c r="C2235" s="42" t="str">
        <f>IFERROR(__xludf.DUMMYFUNCTION("""COMPUTED_VALUE"""),"M.3263/KOTA KARANG")</f>
        <v>M.3263/KOTA KARANG</v>
      </c>
      <c r="D2235" s="42"/>
      <c r="E2235" s="42" t="str">
        <f>IFERROR(__xludf.DUMMYFUNCTION("""COMPUTED_VALUE"""),"DISERAHKAN")</f>
        <v>DISERAHKAN</v>
      </c>
      <c r="F2235" s="48">
        <f>IFERROR(__xludf.DUMMYFUNCTION("""COMPUTED_VALUE"""),45712.410013773144)</f>
        <v>45712.41001</v>
      </c>
      <c r="G2235" s="42" t="str">
        <f>IFERROR(__xludf.DUMMYFUNCTION("""COMPUTED_VALUE"""),"JUAL BELI")</f>
        <v>JUAL BELI</v>
      </c>
      <c r="H2235" s="42">
        <f t="shared" si="1"/>
        <v>1042</v>
      </c>
    </row>
    <row r="2236" ht="22.5" customHeight="1">
      <c r="B2236" s="42" t="str">
        <f>IFERROR(__xludf.DUMMYFUNCTION("""COMPUTED_VALUE"""),"K/38/140225/1")</f>
        <v>K/38/140225/1</v>
      </c>
      <c r="C2236" s="42" t="str">
        <f>IFERROR(__xludf.DUMMYFUNCTION("""COMPUTED_VALUE"""),"Nibel. B. 439/ Kemiling Permai")</f>
        <v>Nibel. B. 439/ Kemiling Permai</v>
      </c>
      <c r="D2236" s="42"/>
      <c r="E2236" s="42"/>
      <c r="F2236" s="48" t="str">
        <f>IFERROR(__xludf.DUMMYFUNCTION("""COMPUTED_VALUE"""),"")</f>
        <v/>
      </c>
      <c r="G2236" s="42" t="str">
        <f>IFERROR(__xludf.DUMMYFUNCTION("""COMPUTED_VALUE"""),"Perubahan Hak")</f>
        <v>Perubahan Hak</v>
      </c>
      <c r="H2236" s="42">
        <f t="shared" si="1"/>
        <v>1042</v>
      </c>
    </row>
    <row r="2237" ht="22.5" customHeight="1">
      <c r="B2237" s="42" t="str">
        <f>IFERROR(__xludf.DUMMYFUNCTION("""COMPUTED_VALUE"""),"L/1/150225/1")</f>
        <v>L/1/150225/1</v>
      </c>
      <c r="C2237" s="42" t="str">
        <f>IFERROR(__xludf.DUMMYFUNCTION("""COMPUTED_VALUE"""),"M.1089/LABUHAN DALAM DAN M.1369/ LABUHAN DALAM")</f>
        <v>M.1089/LABUHAN DALAM DAN M.1369/ LABUHAN DALAM</v>
      </c>
      <c r="D2237" s="42"/>
      <c r="E2237" s="42" t="str">
        <f>IFERROR(__xludf.DUMMYFUNCTION("""COMPUTED_VALUE"""),"DISERAHKAN")</f>
        <v>DISERAHKAN</v>
      </c>
      <c r="F2237" s="48">
        <f>IFERROR(__xludf.DUMMYFUNCTION("""COMPUTED_VALUE"""),45763.550895636574)</f>
        <v>45763.5509</v>
      </c>
      <c r="G2237" s="42" t="str">
        <f>IFERROR(__xludf.DUMMYFUNCTION("""COMPUTED_VALUE"""),"ROYA")</f>
        <v>ROYA</v>
      </c>
      <c r="H2237" s="42">
        <f t="shared" si="1"/>
        <v>1043</v>
      </c>
    </row>
    <row r="2238" ht="22.5" customHeight="1">
      <c r="B2238" s="42" t="str">
        <f>IFERROR(__xludf.DUMMYFUNCTION("""COMPUTED_VALUE"""),"L/3/150225/1")</f>
        <v>L/3/150225/1</v>
      </c>
      <c r="C2238" s="42" t="str">
        <f>IFERROR(__xludf.DUMMYFUNCTION("""COMPUTED_VALUE"""),"M.13894/TANJUNG BARU")</f>
        <v>M.13894/TANJUNG BARU</v>
      </c>
      <c r="D2238" s="42"/>
      <c r="E2238" s="42"/>
      <c r="F2238" s="48" t="str">
        <f>IFERROR(__xludf.DUMMYFUNCTION("""COMPUTED_VALUE"""),"")</f>
        <v/>
      </c>
      <c r="G2238" s="42" t="str">
        <f>IFERROR(__xludf.DUMMYFUNCTION("""COMPUTED_VALUE"""),"HAPUS BPHTB TERHUTANG PTSL")</f>
        <v>HAPUS BPHTB TERHUTANG PTSL</v>
      </c>
      <c r="H2238" s="42">
        <f t="shared" si="1"/>
        <v>1043</v>
      </c>
    </row>
    <row r="2239" ht="22.5" customHeight="1">
      <c r="B2239" s="42" t="str">
        <f>IFERROR(__xludf.DUMMYFUNCTION("""COMPUTED_VALUE"""),"L/1/160225/1")</f>
        <v>L/1/160225/1</v>
      </c>
      <c r="C2239" s="42" t="str">
        <f>IFERROR(__xludf.DUMMYFUNCTION("""COMPUTED_VALUE"""),"M. 911/ Sukarame Baru")</f>
        <v>M. 911/ Sukarame Baru</v>
      </c>
      <c r="D2239" s="42"/>
      <c r="E2239" s="42" t="str">
        <f>IFERROR(__xludf.DUMMYFUNCTION("""COMPUTED_VALUE"""),"DISERAHKAN")</f>
        <v>DISERAHKAN</v>
      </c>
      <c r="F2239" s="48">
        <f>IFERROR(__xludf.DUMMYFUNCTION("""COMPUTED_VALUE"""),45719.64150629629)</f>
        <v>45719.64151</v>
      </c>
      <c r="G2239" s="42" t="str">
        <f>IFERROR(__xludf.DUMMYFUNCTION("""COMPUTED_VALUE"""),"Roya")</f>
        <v>Roya</v>
      </c>
      <c r="H2239" s="42">
        <f t="shared" si="1"/>
        <v>1044</v>
      </c>
    </row>
    <row r="2240" ht="22.5" customHeight="1">
      <c r="B2240" s="42" t="str">
        <f>IFERROR(__xludf.DUMMYFUNCTION("""COMPUTED_VALUE"""),"K/1/170225/1")</f>
        <v>K/1/170225/1</v>
      </c>
      <c r="C2240" s="42" t="str">
        <f>IFERROR(__xludf.DUMMYFUNCTION("""COMPUTED_VALUE"""),"M. 606/ Tanjung Gading")</f>
        <v>M. 606/ Tanjung Gading</v>
      </c>
      <c r="D2240" s="42"/>
      <c r="E2240" s="42" t="str">
        <f>IFERROR(__xludf.DUMMYFUNCTION("""COMPUTED_VALUE"""),"DISERAHKAN")</f>
        <v>DISERAHKAN</v>
      </c>
      <c r="F2240" s="48">
        <f>IFERROR(__xludf.DUMMYFUNCTION("""COMPUTED_VALUE"""),45720.43920230324)</f>
        <v>45720.4392</v>
      </c>
      <c r="G2240" s="42" t="str">
        <f>IFERROR(__xludf.DUMMYFUNCTION("""COMPUTED_VALUE"""),"BN waris")</f>
        <v>BN waris</v>
      </c>
      <c r="H2240" s="42">
        <f t="shared" si="1"/>
        <v>1045</v>
      </c>
    </row>
    <row r="2241" ht="22.5" customHeight="1">
      <c r="B2241" s="42" t="str">
        <f>IFERROR(__xludf.DUMMYFUNCTION("""COMPUTED_VALUE"""),"L/2/170225/1")</f>
        <v>L/2/170225/1</v>
      </c>
      <c r="C2241" s="42" t="str">
        <f>IFERROR(__xludf.DUMMYFUNCTION("""COMPUTED_VALUE"""),"HM 2007/LABUHAN RATU RAYA")</f>
        <v>HM 2007/LABUHAN RATU RAYA</v>
      </c>
      <c r="D2241" s="42"/>
      <c r="E2241" s="42" t="str">
        <f>IFERROR(__xludf.DUMMYFUNCTION("""COMPUTED_VALUE"""),"DISERAHKAN")</f>
        <v>DISERAHKAN</v>
      </c>
      <c r="F2241" s="48">
        <f>IFERROR(__xludf.DUMMYFUNCTION("""COMPUTED_VALUE"""),45715.64800184028)</f>
        <v>45715.648</v>
      </c>
      <c r="G2241" s="42" t="str">
        <f>IFERROR(__xludf.DUMMYFUNCTION("""COMPUTED_VALUE"""),"BN JUAL-BELI")</f>
        <v>BN JUAL-BELI</v>
      </c>
      <c r="H2241" s="42">
        <f t="shared" si="1"/>
        <v>1046</v>
      </c>
    </row>
    <row r="2242" ht="22.5" customHeight="1">
      <c r="B2242" s="42" t="str">
        <f>IFERROR(__xludf.DUMMYFUNCTION("""COMPUTED_VALUE"""),"L/3/170225/1")</f>
        <v>L/3/170225/1</v>
      </c>
      <c r="C2242" s="42" t="str">
        <f>IFERROR(__xludf.DUMMYFUNCTION("""COMPUTED_VALUE"""),"HM 2275/GUNUNG TERANG")</f>
        <v>HM 2275/GUNUNG TERANG</v>
      </c>
      <c r="D2242" s="42"/>
      <c r="E2242" s="42" t="str">
        <f>IFERROR(__xludf.DUMMYFUNCTION("""COMPUTED_VALUE"""),"DISERAHKAN")</f>
        <v>DISERAHKAN</v>
      </c>
      <c r="F2242" s="48">
        <f>IFERROR(__xludf.DUMMYFUNCTION("""COMPUTED_VALUE"""),45722.498014004625)</f>
        <v>45722.49801</v>
      </c>
      <c r="G2242" s="42" t="str">
        <f>IFERROR(__xludf.DUMMYFUNCTION("""COMPUTED_VALUE"""),"ROYA")</f>
        <v>ROYA</v>
      </c>
      <c r="H2242" s="42">
        <f t="shared" si="1"/>
        <v>1047</v>
      </c>
    </row>
    <row r="2243" ht="22.5" customHeight="1">
      <c r="B2243" s="42" t="str">
        <f>IFERROR(__xludf.DUMMYFUNCTION("""COMPUTED_VALUE"""),"K/4/170225/1")</f>
        <v>K/4/170225/1</v>
      </c>
      <c r="C2243" s="42" t="str">
        <f>IFERROR(__xludf.DUMMYFUNCTION("""COMPUTED_VALUE"""),"PBT. 92/ 2024 (Sukaraja)")</f>
        <v>PBT. 92/ 2024 (Sukaraja)</v>
      </c>
      <c r="D2243" s="42"/>
      <c r="E2243" s="42"/>
      <c r="F2243" s="48" t="str">
        <f>IFERROR(__xludf.DUMMYFUNCTION("""COMPUTED_VALUE"""),"")</f>
        <v/>
      </c>
      <c r="G2243" s="42" t="str">
        <f>IFERROR(__xludf.DUMMYFUNCTION("""COMPUTED_VALUE"""),"Permohonan SK")</f>
        <v>Permohonan SK</v>
      </c>
      <c r="H2243" s="42">
        <f t="shared" si="1"/>
        <v>1047</v>
      </c>
    </row>
    <row r="2244" ht="22.5" customHeight="1">
      <c r="B2244" s="42" t="str">
        <f>IFERROR(__xludf.DUMMYFUNCTION("""COMPUTED_VALUE"""),"K/6/170225/1")</f>
        <v>K/6/170225/1</v>
      </c>
      <c r="C2244" s="42" t="str">
        <f>IFERROR(__xludf.DUMMYFUNCTION("""COMPUTED_VALUE"""),"PBT NO. 401/2021 / LABUHAN DALAM")</f>
        <v>PBT NO. 401/2021 / LABUHAN DALAM</v>
      </c>
      <c r="D2244" s="42"/>
      <c r="E2244" s="42"/>
      <c r="F2244" s="48" t="str">
        <f>IFERROR(__xludf.DUMMYFUNCTION("""COMPUTED_VALUE"""),"")</f>
        <v/>
      </c>
      <c r="G2244" s="42" t="str">
        <f>IFERROR(__xludf.DUMMYFUNCTION("""COMPUTED_VALUE"""),"PERMOHONAN SK")</f>
        <v>PERMOHONAN SK</v>
      </c>
      <c r="H2244" s="42">
        <f t="shared" si="1"/>
        <v>1047</v>
      </c>
    </row>
    <row r="2245" ht="22.5" customHeight="1">
      <c r="B2245" s="42" t="str">
        <f>IFERROR(__xludf.DUMMYFUNCTION("""COMPUTED_VALUE"""),"K/5/170225/1")</f>
        <v>K/5/170225/1</v>
      </c>
      <c r="C2245" s="42" t="str">
        <f>IFERROR(__xludf.DUMMYFUNCTION("""COMPUTED_VALUE"""),"M. 1964/ Pengajaran")</f>
        <v>M. 1964/ Pengajaran</v>
      </c>
      <c r="D2245" s="42"/>
      <c r="E2245" s="42"/>
      <c r="F2245" s="48" t="str">
        <f>IFERROR(__xludf.DUMMYFUNCTION("""COMPUTED_VALUE"""),"")</f>
        <v/>
      </c>
      <c r="G2245" s="42" t="str">
        <f>IFERROR(__xludf.DUMMYFUNCTION("""COMPUTED_VALUE"""),"BN WARIS")</f>
        <v>BN WARIS</v>
      </c>
      <c r="H2245" s="42">
        <f t="shared" si="1"/>
        <v>1047</v>
      </c>
    </row>
    <row r="2246" ht="22.5" customHeight="1">
      <c r="B2246" s="42" t="str">
        <f>IFERROR(__xludf.DUMMYFUNCTION("""COMPUTED_VALUE"""),"L/8/170225/1")</f>
        <v>L/8/170225/1</v>
      </c>
      <c r="C2246" s="42" t="str">
        <f>IFERROR(__xludf.DUMMYFUNCTION("""COMPUTED_VALUE"""),"HM 109/SAWAH LAMA")</f>
        <v>HM 109/SAWAH LAMA</v>
      </c>
      <c r="D2246" s="42"/>
      <c r="E2246" s="42" t="str">
        <f>IFERROR(__xludf.DUMMYFUNCTION("""COMPUTED_VALUE"""),"DISERAHKAN")</f>
        <v>DISERAHKAN</v>
      </c>
      <c r="F2246" s="48">
        <f>IFERROR(__xludf.DUMMYFUNCTION("""COMPUTED_VALUE"""),45730.37606825231)</f>
        <v>45730.37607</v>
      </c>
      <c r="G2246" s="42" t="str">
        <f>IFERROR(__xludf.DUMMYFUNCTION("""COMPUTED_VALUE"""),"ROYA")</f>
        <v>ROYA</v>
      </c>
      <c r="H2246" s="42">
        <f t="shared" si="1"/>
        <v>1048</v>
      </c>
    </row>
    <row r="2247" ht="22.5" customHeight="1">
      <c r="B2247" s="42" t="str">
        <f>IFERROR(__xludf.DUMMYFUNCTION("""COMPUTED_VALUE"""),"K/7/170225/1")</f>
        <v>K/7/170225/1</v>
      </c>
      <c r="C2247" s="42" t="str">
        <f>IFERROR(__xludf.DUMMYFUNCTION("""COMPUTED_VALUE"""),"M. 11205/ Sukabumi")</f>
        <v>M. 11205/ Sukabumi</v>
      </c>
      <c r="D2247" s="42"/>
      <c r="E2247" s="42" t="str">
        <f>IFERROR(__xludf.DUMMYFUNCTION("""COMPUTED_VALUE"""),"DISERAHKAN")</f>
        <v>DISERAHKAN</v>
      </c>
      <c r="F2247" s="48">
        <f>IFERROR(__xludf.DUMMYFUNCTION("""COMPUTED_VALUE"""),45720.5662725463)</f>
        <v>45720.56627</v>
      </c>
      <c r="G2247" s="42" t="str">
        <f>IFERROR(__xludf.DUMMYFUNCTION("""COMPUTED_VALUE"""),"Roya")</f>
        <v>Roya</v>
      </c>
      <c r="H2247" s="42">
        <f t="shared" si="1"/>
        <v>1049</v>
      </c>
    </row>
    <row r="2248" ht="22.5" customHeight="1">
      <c r="B2248" s="42" t="str">
        <f>IFERROR(__xludf.DUMMYFUNCTION("""COMPUTED_VALUE"""),"K/9/170225/1")</f>
        <v>K/9/170225/1</v>
      </c>
      <c r="C2248" s="42" t="str">
        <f>IFERROR(__xludf.DUMMYFUNCTION("""COMPUTED_VALUE"""),"B. 845/ Beringin Jaya")</f>
        <v>B. 845/ Beringin Jaya</v>
      </c>
      <c r="D2248" s="42"/>
      <c r="E2248" s="42" t="str">
        <f>IFERROR(__xludf.DUMMYFUNCTION("""COMPUTED_VALUE"""),"DISERAHKAN")</f>
        <v>DISERAHKAN</v>
      </c>
      <c r="F2248" s="48">
        <f>IFERROR(__xludf.DUMMYFUNCTION("""COMPUTED_VALUE"""),45709.46460122685)</f>
        <v>45709.4646</v>
      </c>
      <c r="G2248" s="42" t="str">
        <f>IFERROR(__xludf.DUMMYFUNCTION("""COMPUTED_VALUE"""),"BN Jual Beli")</f>
        <v>BN Jual Beli</v>
      </c>
      <c r="H2248" s="42">
        <f t="shared" si="1"/>
        <v>1050</v>
      </c>
    </row>
    <row r="2249" ht="22.5" customHeight="1">
      <c r="B2249" s="42" t="str">
        <f>IFERROR(__xludf.DUMMYFUNCTION("""COMPUTED_VALUE"""),"K/10/170225/1")</f>
        <v>K/10/170225/1</v>
      </c>
      <c r="C2249" s="42" t="str">
        <f>IFERROR(__xludf.DUMMYFUNCTION("""COMPUTED_VALUE"""),"M.6876/TANJUNG SENANG")</f>
        <v>M.6876/TANJUNG SENANG</v>
      </c>
      <c r="D2249" s="42"/>
      <c r="E2249" s="42" t="str">
        <f>IFERROR(__xludf.DUMMYFUNCTION("""COMPUTED_VALUE"""),"DISERAHKAN")</f>
        <v>DISERAHKAN</v>
      </c>
      <c r="F2249" s="48">
        <f>IFERROR(__xludf.DUMMYFUNCTION("""COMPUTED_VALUE"""),45758.47346050926)</f>
        <v>45758.47346</v>
      </c>
      <c r="G2249" s="42" t="str">
        <f>IFERROR(__xludf.DUMMYFUNCTION("""COMPUTED_VALUE"""),"BN JUAL BELI")</f>
        <v>BN JUAL BELI</v>
      </c>
      <c r="H2249" s="42">
        <f t="shared" si="1"/>
        <v>1051</v>
      </c>
    </row>
    <row r="2250" ht="22.5" customHeight="1">
      <c r="B2250" s="42" t="str">
        <f>IFERROR(__xludf.DUMMYFUNCTION("""COMPUTED_VALUE"""),"K/11/170225/1")</f>
        <v>K/11/170225/1</v>
      </c>
      <c r="C2250" s="42" t="str">
        <f>IFERROR(__xludf.DUMMYFUNCTION("""COMPUTED_VALUE"""),"B. 100/ Pinang Jaya")</f>
        <v>B. 100/ Pinang Jaya</v>
      </c>
      <c r="D2250" s="42"/>
      <c r="E2250" s="42" t="str">
        <f>IFERROR(__xludf.DUMMYFUNCTION("""COMPUTED_VALUE"""),"DISERAHKAN")</f>
        <v>DISERAHKAN</v>
      </c>
      <c r="F2250" s="48">
        <f>IFERROR(__xludf.DUMMYFUNCTION("""COMPUTED_VALUE"""),45712.66538770833)</f>
        <v>45712.66539</v>
      </c>
      <c r="G2250" s="42" t="str">
        <f>IFERROR(__xludf.DUMMYFUNCTION("""COMPUTED_VALUE"""),"BN JUAL BELI")</f>
        <v>BN JUAL BELI</v>
      </c>
      <c r="H2250" s="42">
        <f t="shared" si="1"/>
        <v>1052</v>
      </c>
    </row>
    <row r="2251" ht="22.5" customHeight="1">
      <c r="B2251" s="42" t="str">
        <f>IFERROR(__xludf.DUMMYFUNCTION("""COMPUTED_VALUE"""),"K/13/170225/2")</f>
        <v>K/13/170225/2</v>
      </c>
      <c r="C2251" s="42" t="str">
        <f>IFERROR(__xludf.DUMMYFUNCTION("""COMPUTED_VALUE"""),"M. 9009/ Sidodadi")</f>
        <v>M. 9009/ Sidodadi</v>
      </c>
      <c r="D2251" s="42"/>
      <c r="E2251" s="42" t="str">
        <f>IFERROR(__xludf.DUMMYFUNCTION("""COMPUTED_VALUE"""),"DISERAHKAN")</f>
        <v>DISERAHKAN</v>
      </c>
      <c r="F2251" s="48">
        <f>IFERROR(__xludf.DUMMYFUNCTION("""COMPUTED_VALUE"""),45730.37381532407)</f>
        <v>45730.37382</v>
      </c>
      <c r="G2251" s="42" t="str">
        <f>IFERROR(__xludf.DUMMYFUNCTION("""COMPUTED_VALUE"""),"Roya")</f>
        <v>Roya</v>
      </c>
      <c r="H2251" s="42">
        <f t="shared" si="1"/>
        <v>1053</v>
      </c>
    </row>
    <row r="2252" ht="22.5" customHeight="1">
      <c r="B2252" s="42" t="str">
        <f>IFERROR(__xludf.DUMMYFUNCTION("""COMPUTED_VALUE"""),"K/14/170225/1")</f>
        <v>K/14/170225/1</v>
      </c>
      <c r="C2252" s="42" t="str">
        <f>IFERROR(__xludf.DUMMYFUNCTION("""COMPUTED_VALUE"""),"M.2394/SUKADANAHAM")</f>
        <v>M.2394/SUKADANAHAM</v>
      </c>
      <c r="D2252" s="42"/>
      <c r="E2252" s="42"/>
      <c r="F2252" s="48" t="str">
        <f>IFERROR(__xludf.DUMMYFUNCTION("""COMPUTED_VALUE"""),"")</f>
        <v/>
      </c>
      <c r="G2252" s="42" t="str">
        <f>IFERROR(__xludf.DUMMYFUNCTION("""COMPUTED_VALUE"""),"SKPT LELANG")</f>
        <v>SKPT LELANG</v>
      </c>
      <c r="H2252" s="42">
        <f t="shared" si="1"/>
        <v>1053</v>
      </c>
    </row>
    <row r="2253" ht="22.5" customHeight="1">
      <c r="B2253" s="42" t="str">
        <f>IFERROR(__xludf.DUMMYFUNCTION("""COMPUTED_VALUE"""),"K/15/170225/1")</f>
        <v>K/15/170225/1</v>
      </c>
      <c r="C2253" s="42" t="str">
        <f>IFERROR(__xludf.DUMMYFUNCTION("""COMPUTED_VALUE"""),"M.8991/RAJABASA")</f>
        <v>M.8991/RAJABASA</v>
      </c>
      <c r="D2253" s="42"/>
      <c r="E2253" s="42"/>
      <c r="F2253" s="48" t="str">
        <f>IFERROR(__xludf.DUMMYFUNCTION("""COMPUTED_VALUE"""),"")</f>
        <v/>
      </c>
      <c r="G2253" s="42" t="str">
        <f>IFERROR(__xludf.DUMMYFUNCTION("""COMPUTED_VALUE"""),"SKPT LELANG")</f>
        <v>SKPT LELANG</v>
      </c>
      <c r="H2253" s="42">
        <f t="shared" si="1"/>
        <v>1053</v>
      </c>
    </row>
    <row r="2254" ht="22.5" customHeight="1">
      <c r="B2254" s="42" t="str">
        <f>IFERROR(__xludf.DUMMYFUNCTION("""COMPUTED_VALUE"""),"L/16/170225/1")</f>
        <v>L/16/170225/1</v>
      </c>
      <c r="C2254" s="42" t="str">
        <f>IFERROR(__xludf.DUMMYFUNCTION("""COMPUTED_VALUE"""),"HM 3736/LANGKAPURA")</f>
        <v>HM 3736/LANGKAPURA</v>
      </c>
      <c r="D2254" s="42"/>
      <c r="E2254" s="42" t="str">
        <f>IFERROR(__xludf.DUMMYFUNCTION("""COMPUTED_VALUE"""),"DISERAHKAN")</f>
        <v>DISERAHKAN</v>
      </c>
      <c r="F2254" s="48">
        <f>IFERROR(__xludf.DUMMYFUNCTION("""COMPUTED_VALUE"""),45719.63565967593)</f>
        <v>45719.63566</v>
      </c>
      <c r="G2254" s="42" t="str">
        <f>IFERROR(__xludf.DUMMYFUNCTION("""COMPUTED_VALUE"""),"ROYA")</f>
        <v>ROYA</v>
      </c>
      <c r="H2254" s="42">
        <f t="shared" si="1"/>
        <v>1054</v>
      </c>
    </row>
    <row r="2255" ht="22.5" customHeight="1">
      <c r="B2255" s="42" t="str">
        <f>IFERROR(__xludf.DUMMYFUNCTION("""COMPUTED_VALUE"""),"K/18/170225/1")</f>
        <v>K/18/170225/1</v>
      </c>
      <c r="C2255" s="42" t="str">
        <f>IFERROR(__xludf.DUMMYFUNCTION("""COMPUTED_VALUE"""),"M. 8135/ Sukabumi")</f>
        <v>M. 8135/ Sukabumi</v>
      </c>
      <c r="D2255" s="42"/>
      <c r="E2255" s="42" t="str">
        <f>IFERROR(__xludf.DUMMYFUNCTION("""COMPUTED_VALUE"""),"DISERAHKAN")</f>
        <v>DISERAHKAN</v>
      </c>
      <c r="F2255" s="48">
        <f>IFERROR(__xludf.DUMMYFUNCTION("""COMPUTED_VALUE"""),45713.70835325231)</f>
        <v>45713.70835</v>
      </c>
      <c r="G2255" s="42" t="str">
        <f>IFERROR(__xludf.DUMMYFUNCTION("""COMPUTED_VALUE"""),"BN Jual Beli")</f>
        <v>BN Jual Beli</v>
      </c>
      <c r="H2255" s="42">
        <f t="shared" si="1"/>
        <v>1055</v>
      </c>
    </row>
    <row r="2256" ht="22.5" customHeight="1">
      <c r="B2256" s="42" t="str">
        <f>IFERROR(__xludf.DUMMYFUNCTION("""COMPUTED_VALUE"""),"K/17/170225/1")</f>
        <v>K/17/170225/1</v>
      </c>
      <c r="C2256" s="42" t="str">
        <f>IFERROR(__xludf.DUMMYFUNCTION("""COMPUTED_VALUE"""),"M.126/TANJUNG KARANG")</f>
        <v>M.126/TANJUNG KARANG</v>
      </c>
      <c r="D2256" s="42"/>
      <c r="E2256" s="42" t="str">
        <f>IFERROR(__xludf.DUMMYFUNCTION("""COMPUTED_VALUE"""),"DISERAHKAN BT")</f>
        <v>DISERAHKAN BT</v>
      </c>
      <c r="F2256" s="48">
        <f>IFERROR(__xludf.DUMMYFUNCTION("""COMPUTED_VALUE"""),45713.70548846065)</f>
        <v>45713.70549</v>
      </c>
      <c r="G2256" s="42" t="str">
        <f>IFERROR(__xludf.DUMMYFUNCTION("""COMPUTED_VALUE"""),"BN JUAL BELI")</f>
        <v>BN JUAL BELI</v>
      </c>
      <c r="H2256" s="42">
        <f t="shared" si="1"/>
        <v>1055</v>
      </c>
    </row>
    <row r="2257" ht="22.5" customHeight="1">
      <c r="B2257" s="42" t="str">
        <f>IFERROR(__xludf.DUMMYFUNCTION("""COMPUTED_VALUE"""),"K/19/170225/1")</f>
        <v>K/19/170225/1</v>
      </c>
      <c r="C2257" s="42" t="str">
        <f>IFERROR(__xludf.DUMMYFUNCTION("""COMPUTED_VALUE"""),"M. 18247/ Sukarame")</f>
        <v>M. 18247/ Sukarame</v>
      </c>
      <c r="D2257" s="42"/>
      <c r="E2257" s="42"/>
      <c r="F2257" s="48" t="str">
        <f>IFERROR(__xludf.DUMMYFUNCTION("""COMPUTED_VALUE"""),"")</f>
        <v/>
      </c>
      <c r="G2257" s="42" t="str">
        <f>IFERROR(__xludf.DUMMYFUNCTION("""COMPUTED_VALUE"""),"JAKARTA")</f>
        <v>JAKARTA</v>
      </c>
      <c r="H2257" s="42">
        <f t="shared" si="1"/>
        <v>1055</v>
      </c>
    </row>
    <row r="2258" ht="22.5" customHeight="1">
      <c r="B2258" s="42" t="str">
        <f>IFERROR(__xludf.DUMMYFUNCTION("""COMPUTED_VALUE"""),"K/20/170225/2")</f>
        <v>K/20/170225/2</v>
      </c>
      <c r="C2258" s="42" t="str">
        <f>IFERROR(__xludf.DUMMYFUNCTION("""COMPUTED_VALUE"""),"M. 18248/ Sukarame")</f>
        <v>M. 18248/ Sukarame</v>
      </c>
      <c r="D2258" s="42"/>
      <c r="E2258" s="42" t="str">
        <f>IFERROR(__xludf.DUMMYFUNCTION("""COMPUTED_VALUE"""),"DISERAHKAN")</f>
        <v>DISERAHKAN</v>
      </c>
      <c r="F2258" s="48">
        <f>IFERROR(__xludf.DUMMYFUNCTION("""COMPUTED_VALUE"""),45713.707901574075)</f>
        <v>45713.7079</v>
      </c>
      <c r="G2258" s="42" t="str">
        <f>IFERROR(__xludf.DUMMYFUNCTION("""COMPUTED_VALUE"""),"BN JUAL BELI")</f>
        <v>BN JUAL BELI</v>
      </c>
      <c r="H2258" s="42">
        <f t="shared" si="1"/>
        <v>1056</v>
      </c>
    </row>
    <row r="2259" ht="22.5" customHeight="1">
      <c r="B2259" s="42" t="str">
        <f>IFERROR(__xludf.DUMMYFUNCTION("""COMPUTED_VALUE"""),"K/21/170225/3")</f>
        <v>K/21/170225/3</v>
      </c>
      <c r="C2259" s="42" t="str">
        <f>IFERROR(__xludf.DUMMYFUNCTION("""COMPUTED_VALUE"""),"M. 1504/ Rawa Laut")</f>
        <v>M. 1504/ Rawa Laut</v>
      </c>
      <c r="D2259" s="42"/>
      <c r="E2259" s="42" t="str">
        <f>IFERROR(__xludf.DUMMYFUNCTION("""COMPUTED_VALUE"""),"DISERAHKAN")</f>
        <v>DISERAHKAN</v>
      </c>
      <c r="F2259" s="48">
        <f>IFERROR(__xludf.DUMMYFUNCTION("""COMPUTED_VALUE"""),45720.43920230324)</f>
        <v>45720.4392</v>
      </c>
      <c r="G2259" s="42" t="str">
        <f>IFERROR(__xludf.DUMMYFUNCTION("""COMPUTED_VALUE"""),"BN JUAL BELI")</f>
        <v>BN JUAL BELI</v>
      </c>
      <c r="H2259" s="42">
        <f t="shared" si="1"/>
        <v>1057</v>
      </c>
    </row>
    <row r="2260" ht="22.5" customHeight="1">
      <c r="B2260" s="42" t="str">
        <f>IFERROR(__xludf.DUMMYFUNCTION("""COMPUTED_VALUE"""),"K/22/170225/1")</f>
        <v>K/22/170225/1</v>
      </c>
      <c r="C2260" s="42" t="str">
        <f>IFERROR(__xludf.DUMMYFUNCTION("""COMPUTED_VALUE"""),"PINANG JAYA")</f>
        <v>PINANG JAYA</v>
      </c>
      <c r="D2260" s="42"/>
      <c r="E2260" s="42"/>
      <c r="F2260" s="48" t="str">
        <f>IFERROR(__xludf.DUMMYFUNCTION("""COMPUTED_VALUE"""),"")</f>
        <v/>
      </c>
      <c r="G2260" s="42" t="str">
        <f>IFERROR(__xludf.DUMMYFUNCTION("""COMPUTED_VALUE"""),"PENDAFTARAN SK")</f>
        <v>PENDAFTARAN SK</v>
      </c>
      <c r="H2260" s="42">
        <f t="shared" si="1"/>
        <v>1057</v>
      </c>
    </row>
    <row r="2261" ht="22.5" customHeight="1">
      <c r="B2261" s="42" t="str">
        <f>IFERROR(__xludf.DUMMYFUNCTION("""COMPUTED_VALUE"""),"K/24/170225/1")</f>
        <v>K/24/170225/1</v>
      </c>
      <c r="C2261" s="42" t="str">
        <f>IFERROR(__xludf.DUMMYFUNCTION("""COMPUTED_VALUE"""),"Nibel. M. 16749/ Kedaton")</f>
        <v>Nibel. M. 16749/ Kedaton</v>
      </c>
      <c r="D2261" s="42"/>
      <c r="E2261" s="42"/>
      <c r="F2261" s="48" t="str">
        <f>IFERROR(__xludf.DUMMYFUNCTION("""COMPUTED_VALUE"""),"")</f>
        <v/>
      </c>
      <c r="G2261" s="42" t="str">
        <f>IFERROR(__xludf.DUMMYFUNCTION("""COMPUTED_VALUE"""),"BN Jual Beli")</f>
        <v>BN Jual Beli</v>
      </c>
      <c r="H2261" s="42">
        <f t="shared" si="1"/>
        <v>1057</v>
      </c>
    </row>
    <row r="2262" ht="22.5" customHeight="1">
      <c r="B2262" s="42" t="str">
        <f>IFERROR(__xludf.DUMMYFUNCTION("""COMPUTED_VALUE"""),"K/23/170225/1")</f>
        <v>K/23/170225/1</v>
      </c>
      <c r="C2262" s="42" t="str">
        <f>IFERROR(__xludf.DUMMYFUNCTION("""COMPUTED_VALUE"""),"M.12196/JAGABAYA II")</f>
        <v>M.12196/JAGABAYA II</v>
      </c>
      <c r="D2262" s="42"/>
      <c r="E2262" s="42" t="str">
        <f>IFERROR(__xludf.DUMMYFUNCTION("""COMPUTED_VALUE"""),"DISERAHKAN")</f>
        <v>DISERAHKAN</v>
      </c>
      <c r="F2262" s="48">
        <f>IFERROR(__xludf.DUMMYFUNCTION("""COMPUTED_VALUE"""),45763.449698067125)</f>
        <v>45763.4497</v>
      </c>
      <c r="G2262" s="42" t="str">
        <f>IFERROR(__xludf.DUMMYFUNCTION("""COMPUTED_VALUE"""),"ROYA")</f>
        <v>ROYA</v>
      </c>
      <c r="H2262" s="42">
        <f t="shared" si="1"/>
        <v>1058</v>
      </c>
    </row>
    <row r="2263" ht="22.5" customHeight="1">
      <c r="B2263" s="42" t="str">
        <f>IFERROR(__xludf.DUMMYFUNCTION("""COMPUTED_VALUE"""),"K/25/170225/1")</f>
        <v>K/25/170225/1</v>
      </c>
      <c r="C2263" s="42" t="str">
        <f>IFERROR(__xludf.DUMMYFUNCTION("""COMPUTED_VALUE"""),"M. 813/ Kedaung")</f>
        <v>M. 813/ Kedaung</v>
      </c>
      <c r="D2263" s="42"/>
      <c r="E2263" s="42" t="str">
        <f>IFERROR(__xludf.DUMMYFUNCTION("""COMPUTED_VALUE"""),"DISERAHKAN")</f>
        <v>DISERAHKAN</v>
      </c>
      <c r="F2263" s="48">
        <f>IFERROR(__xludf.DUMMYFUNCTION("""COMPUTED_VALUE"""),45723.47190900463)</f>
        <v>45723.47191</v>
      </c>
      <c r="G2263" s="42" t="str">
        <f>IFERROR(__xludf.DUMMYFUNCTION("""COMPUTED_VALUE"""),"BN WARIS")</f>
        <v>BN WARIS</v>
      </c>
      <c r="H2263" s="42">
        <f t="shared" si="1"/>
        <v>1059</v>
      </c>
    </row>
    <row r="2264" ht="22.5" customHeight="1">
      <c r="B2264" s="42" t="str">
        <f>IFERROR(__xludf.DUMMYFUNCTION("""COMPUTED_VALUE"""),"K/27/170225/2")</f>
        <v>K/27/170225/2</v>
      </c>
      <c r="C2264" s="42" t="str">
        <f>IFERROR(__xludf.DUMMYFUNCTION("""COMPUTED_VALUE"""),"M. 6478/ Way Kandis")</f>
        <v>M. 6478/ Way Kandis</v>
      </c>
      <c r="D2264" s="42"/>
      <c r="E2264" s="42" t="str">
        <f>IFERROR(__xludf.DUMMYFUNCTION("""COMPUTED_VALUE"""),"DISERAHKAN")</f>
        <v>DISERAHKAN</v>
      </c>
      <c r="F2264" s="48">
        <f>IFERROR(__xludf.DUMMYFUNCTION("""COMPUTED_VALUE"""),45720.43920230324)</f>
        <v>45720.4392</v>
      </c>
      <c r="G2264" s="42" t="str">
        <f>IFERROR(__xludf.DUMMYFUNCTION("""COMPUTED_VALUE"""),"BN Jual Beli")</f>
        <v>BN Jual Beli</v>
      </c>
      <c r="H2264" s="42">
        <f t="shared" si="1"/>
        <v>1060</v>
      </c>
    </row>
    <row r="2265" ht="22.5" customHeight="1">
      <c r="B2265" s="42" t="str">
        <f>IFERROR(__xludf.DUMMYFUNCTION("""COMPUTED_VALUE"""),"K/26/170225/1")</f>
        <v>K/26/170225/1</v>
      </c>
      <c r="C2265" s="42" t="str">
        <f>IFERROR(__xludf.DUMMYFUNCTION("""COMPUTED_VALUE"""),"Nibel. M. 12213/ Kotabaru")</f>
        <v>Nibel. M. 12213/ Kotabaru</v>
      </c>
      <c r="D2265" s="42"/>
      <c r="E2265" s="42"/>
      <c r="F2265" s="48" t="str">
        <f>IFERROR(__xludf.DUMMYFUNCTION("""COMPUTED_VALUE"""),"")</f>
        <v/>
      </c>
      <c r="G2265" s="42" t="str">
        <f>IFERROR(__xludf.DUMMYFUNCTION("""COMPUTED_VALUE"""),"BN Jual Beli")</f>
        <v>BN Jual Beli</v>
      </c>
      <c r="H2265" s="42">
        <f t="shared" si="1"/>
        <v>1060</v>
      </c>
    </row>
    <row r="2266" ht="22.5" customHeight="1">
      <c r="B2266" s="42" t="str">
        <f>IFERROR(__xludf.DUMMYFUNCTION("""COMPUTED_VALUE"""),"L/29/170225/1")</f>
        <v>L/29/170225/1</v>
      </c>
      <c r="C2266" s="42" t="str">
        <f>IFERROR(__xludf.DUMMYFUNCTION("""COMPUTED_VALUE"""),"HM 111/NUSANTARA PERMAI")</f>
        <v>HM 111/NUSANTARA PERMAI</v>
      </c>
      <c r="D2266" s="42"/>
      <c r="E2266" s="42" t="str">
        <f>IFERROR(__xludf.DUMMYFUNCTION("""COMPUTED_VALUE"""),"DISERAHKAN")</f>
        <v>DISERAHKAN</v>
      </c>
      <c r="F2266" s="48">
        <f>IFERROR(__xludf.DUMMYFUNCTION("""COMPUTED_VALUE"""),45719.64128739583)</f>
        <v>45719.64129</v>
      </c>
      <c r="G2266" s="42" t="str">
        <f>IFERROR(__xludf.DUMMYFUNCTION("""COMPUTED_VALUE"""),"ROYA")</f>
        <v>ROYA</v>
      </c>
      <c r="H2266" s="42">
        <f t="shared" si="1"/>
        <v>1061</v>
      </c>
    </row>
    <row r="2267" ht="22.5" customHeight="1">
      <c r="B2267" s="42" t="str">
        <f>IFERROR(__xludf.DUMMYFUNCTION("""COMPUTED_VALUE"""),"K/30/170225/1")</f>
        <v>K/30/170225/1</v>
      </c>
      <c r="C2267" s="42" t="str">
        <f>IFERROR(__xludf.DUMMYFUNCTION("""COMPUTED_VALUE"""),"M. 1867/ Beringin Jaya")</f>
        <v>M. 1867/ Beringin Jaya</v>
      </c>
      <c r="D2267" s="42"/>
      <c r="E2267" s="42" t="str">
        <f>IFERROR(__xludf.DUMMYFUNCTION("""COMPUTED_VALUE"""),"DISERAHKAN BT")</f>
        <v>DISERAHKAN BT</v>
      </c>
      <c r="F2267" s="48">
        <f>IFERROR(__xludf.DUMMYFUNCTION("""COMPUTED_VALUE"""),45712.430531562495)</f>
        <v>45712.43053</v>
      </c>
      <c r="G2267" s="42" t="str">
        <f>IFERROR(__xludf.DUMMYFUNCTION("""COMPUTED_VALUE"""),"Ganti Nama")</f>
        <v>Ganti Nama</v>
      </c>
      <c r="H2267" s="42">
        <f t="shared" si="1"/>
        <v>1061</v>
      </c>
    </row>
    <row r="2268" ht="22.5" customHeight="1">
      <c r="B2268" s="42" t="str">
        <f>IFERROR(__xludf.DUMMYFUNCTION("""COMPUTED_VALUE"""),"K/31/170225/1")</f>
        <v>K/31/170225/1</v>
      </c>
      <c r="C2268" s="42" t="str">
        <f>IFERROR(__xludf.DUMMYFUNCTION("""COMPUTED_VALUE"""),"NIBEL M 17901/LABUHAN RATU")</f>
        <v>NIBEL M 17901/LABUHAN RATU</v>
      </c>
      <c r="D2268" s="42"/>
      <c r="E2268" s="42"/>
      <c r="F2268" s="48" t="str">
        <f>IFERROR(__xludf.DUMMYFUNCTION("""COMPUTED_VALUE"""),"")</f>
        <v/>
      </c>
      <c r="G2268" s="42" t="str">
        <f>IFERROR(__xludf.DUMMYFUNCTION("""COMPUTED_VALUE"""),"PTPGT")</f>
        <v>PTPGT</v>
      </c>
      <c r="H2268" s="42">
        <f t="shared" si="1"/>
        <v>1061</v>
      </c>
    </row>
    <row r="2269" ht="22.5" customHeight="1">
      <c r="B2269" s="42" t="str">
        <f>IFERROR(__xludf.DUMMYFUNCTION("""COMPUTED_VALUE"""),"K/32/170225/1")</f>
        <v>K/32/170225/1</v>
      </c>
      <c r="C2269" s="42" t="str">
        <f>IFERROR(__xludf.DUMMYFUNCTION("""COMPUTED_VALUE"""),"NIBEL M. 7634/GUNUNG TERANG")</f>
        <v>NIBEL M. 7634/GUNUNG TERANG</v>
      </c>
      <c r="D2269" s="42"/>
      <c r="E2269" s="42"/>
      <c r="F2269" s="48" t="str">
        <f>IFERROR(__xludf.DUMMYFUNCTION("""COMPUTED_VALUE"""),"")</f>
        <v/>
      </c>
      <c r="G2269" s="42" t="str">
        <f>IFERROR(__xludf.DUMMYFUNCTION("""COMPUTED_VALUE"""),"BN JUAL BELI")</f>
        <v>BN JUAL BELI</v>
      </c>
      <c r="H2269" s="42">
        <f t="shared" si="1"/>
        <v>1061</v>
      </c>
    </row>
    <row r="2270" ht="22.5" customHeight="1">
      <c r="B2270" s="42" t="str">
        <f>IFERROR(__xludf.DUMMYFUNCTION("""COMPUTED_VALUE"""),"L/33/170225/1")</f>
        <v>L/33/170225/1</v>
      </c>
      <c r="C2270" s="42" t="str">
        <f>IFERROR(__xludf.DUMMYFUNCTION("""COMPUTED_VALUE"""),"HM 465/SUKARAME II")</f>
        <v>HM 465/SUKARAME II</v>
      </c>
      <c r="D2270" s="42"/>
      <c r="E2270" s="42" t="str">
        <f>IFERROR(__xludf.DUMMYFUNCTION("""COMPUTED_VALUE"""),"DISERAHKAN")</f>
        <v>DISERAHKAN</v>
      </c>
      <c r="F2270" s="48">
        <f>IFERROR(__xludf.DUMMYFUNCTION("""COMPUTED_VALUE"""),45719.64102258102)</f>
        <v>45719.64102</v>
      </c>
      <c r="G2270" s="42" t="str">
        <f>IFERROR(__xludf.DUMMYFUNCTION("""COMPUTED_VALUE"""),"ROYA")</f>
        <v>ROYA</v>
      </c>
      <c r="H2270" s="42">
        <f t="shared" si="1"/>
        <v>1062</v>
      </c>
    </row>
    <row r="2271" ht="22.5" customHeight="1">
      <c r="B2271" s="42" t="str">
        <f>IFERROR(__xludf.DUMMYFUNCTION("""COMPUTED_VALUE"""),"L/34/170225/1")</f>
        <v>L/34/170225/1</v>
      </c>
      <c r="C2271" s="42" t="str">
        <f>IFERROR(__xludf.DUMMYFUNCTION("""COMPUTED_VALUE"""),"NIB 18133/SUKARAME BARU")</f>
        <v>NIB 18133/SUKARAME BARU</v>
      </c>
      <c r="D2271" s="42"/>
      <c r="E2271" s="42"/>
      <c r="F2271" s="48" t="str">
        <f>IFERROR(__xludf.DUMMYFUNCTION("""COMPUTED_VALUE"""),"")</f>
        <v/>
      </c>
      <c r="G2271" s="42" t="str">
        <f>IFERROR(__xludf.DUMMYFUNCTION("""COMPUTED_VALUE"""),"BN LELANG")</f>
        <v>BN LELANG</v>
      </c>
      <c r="H2271" s="42">
        <f t="shared" si="1"/>
        <v>1062</v>
      </c>
    </row>
    <row r="2272" ht="22.5" customHeight="1">
      <c r="B2272" s="42" t="str">
        <f>IFERROR(__xludf.DUMMYFUNCTION("""COMPUTED_VALUE"""),"K/35/170225/1")</f>
        <v>K/35/170225/1</v>
      </c>
      <c r="C2272" s="42" t="str">
        <f>IFERROR(__xludf.DUMMYFUNCTION("""COMPUTED_VALUE"""),"P.24/SUKARAME ")</f>
        <v>P.24/SUKARAME </v>
      </c>
      <c r="D2272" s="42"/>
      <c r="E2272" s="42"/>
      <c r="F2272" s="48" t="str">
        <f>IFERROR(__xludf.DUMMYFUNCTION("""COMPUTED_VALUE"""),"")</f>
        <v/>
      </c>
      <c r="G2272" s="42" t="str">
        <f>IFERROR(__xludf.DUMMYFUNCTION("""COMPUTED_VALUE"""),"GANTI NAMA")</f>
        <v>GANTI NAMA</v>
      </c>
      <c r="H2272" s="42">
        <f t="shared" si="1"/>
        <v>1062</v>
      </c>
    </row>
    <row r="2273" ht="22.5" customHeight="1">
      <c r="B2273" s="42" t="str">
        <f>IFERROR(__xludf.DUMMYFUNCTION("""COMPUTED_VALUE"""),"L/1/180225/1")</f>
        <v>L/1/180225/1</v>
      </c>
      <c r="C2273" s="42" t="str">
        <f>IFERROR(__xludf.DUMMYFUNCTION("""COMPUTED_VALUE"""),"HGB 773/SUSUNA BARU")</f>
        <v>HGB 773/SUSUNA BARU</v>
      </c>
      <c r="D2273" s="42"/>
      <c r="E2273" s="42" t="str">
        <f>IFERROR(__xludf.DUMMYFUNCTION("""COMPUTED_VALUE"""),"DISERAHKAN")</f>
        <v>DISERAHKAN</v>
      </c>
      <c r="F2273" s="48">
        <f>IFERROR(__xludf.DUMMYFUNCTION("""COMPUTED_VALUE"""),45723.54581917824)</f>
        <v>45723.54582</v>
      </c>
      <c r="G2273" s="42" t="str">
        <f>IFERROR(__xludf.DUMMYFUNCTION("""COMPUTED_VALUE"""),"ROYA")</f>
        <v>ROYA</v>
      </c>
      <c r="H2273" s="42">
        <f t="shared" si="1"/>
        <v>1063</v>
      </c>
    </row>
    <row r="2274" ht="22.5" customHeight="1">
      <c r="B2274" s="42" t="str">
        <f>IFERROR(__xludf.DUMMYFUNCTION("""COMPUTED_VALUE"""),"K/2/180225/1")</f>
        <v>K/2/180225/1</v>
      </c>
      <c r="C2274" s="42" t="str">
        <f>IFERROR(__xludf.DUMMYFUNCTION("""COMPUTED_VALUE"""),"B. 201/ Sukabumi Indah")</f>
        <v>B. 201/ Sukabumi Indah</v>
      </c>
      <c r="D2274" s="42"/>
      <c r="E2274" s="42"/>
      <c r="F2274" s="48" t="str">
        <f>IFERROR(__xludf.DUMMYFUNCTION("""COMPUTED_VALUE"""),"")</f>
        <v/>
      </c>
      <c r="G2274" s="42" t="str">
        <f>IFERROR(__xludf.DUMMYFUNCTION("""COMPUTED_VALUE"""),"Perubahan Hak")</f>
        <v>Perubahan Hak</v>
      </c>
      <c r="H2274" s="42">
        <f t="shared" si="1"/>
        <v>1063</v>
      </c>
    </row>
    <row r="2275" ht="22.5" customHeight="1">
      <c r="B2275" s="42" t="str">
        <f>IFERROR(__xludf.DUMMYFUNCTION("""COMPUTED_VALUE"""),"L/3/180225/1")</f>
        <v>L/3/180225/1</v>
      </c>
      <c r="C2275" s="42" t="str">
        <f>IFERROR(__xludf.DUMMYFUNCTION("""COMPUTED_VALUE"""),"HM 11547/SUKABUMI")</f>
        <v>HM 11547/SUKABUMI</v>
      </c>
      <c r="D2275" s="42"/>
      <c r="E2275" s="42"/>
      <c r="F2275" s="48" t="str">
        <f>IFERROR(__xludf.DUMMYFUNCTION("""COMPUTED_VALUE"""),"")</f>
        <v/>
      </c>
      <c r="G2275" s="42" t="str">
        <f>IFERROR(__xludf.DUMMYFUNCTION("""COMPUTED_VALUE"""),"PEMECAHAN")</f>
        <v>PEMECAHAN</v>
      </c>
      <c r="H2275" s="42">
        <f t="shared" si="1"/>
        <v>1063</v>
      </c>
    </row>
    <row r="2276" ht="22.5" customHeight="1">
      <c r="B2276" s="42" t="str">
        <f>IFERROR(__xludf.DUMMYFUNCTION("""COMPUTED_VALUE"""),"K/4/180225/1")</f>
        <v>K/4/180225/1</v>
      </c>
      <c r="C2276" s="42" t="str">
        <f>IFERROR(__xludf.DUMMYFUNCTION("""COMPUTED_VALUE"""),"M.116/GEDONG MENENG BARU")</f>
        <v>M.116/GEDONG MENENG BARU</v>
      </c>
      <c r="D2276" s="42"/>
      <c r="E2276" s="42" t="str">
        <f>IFERROR(__xludf.DUMMYFUNCTION("""COMPUTED_VALUE"""),"DISERAHKAN")</f>
        <v>DISERAHKAN</v>
      </c>
      <c r="F2276" s="48">
        <f>IFERROR(__xludf.DUMMYFUNCTION("""COMPUTED_VALUE"""),45712.412553622686)</f>
        <v>45712.41255</v>
      </c>
      <c r="G2276" s="42" t="str">
        <f>IFERROR(__xludf.DUMMYFUNCTION("""COMPUTED_VALUE"""),"JUAL BELI")</f>
        <v>JUAL BELI</v>
      </c>
      <c r="H2276" s="42">
        <f t="shared" si="1"/>
        <v>1064</v>
      </c>
    </row>
    <row r="2277" ht="22.5" customHeight="1">
      <c r="B2277" s="42" t="str">
        <f>IFERROR(__xludf.DUMMYFUNCTION("""COMPUTED_VALUE"""),"K/5/180225/2")</f>
        <v>K/5/180225/2</v>
      </c>
      <c r="C2277" s="42" t="str">
        <f>IFERROR(__xludf.DUMMYFUNCTION("""COMPUTED_VALUE"""),"M.115/GEDONG MENENG BARU")</f>
        <v>M.115/GEDONG MENENG BARU</v>
      </c>
      <c r="D2277" s="42" t="str">
        <f>IFERROR(__xludf.DUMMYFUNCTION("""COMPUTED_VALUE"""),"Berry")</f>
        <v>Berry</v>
      </c>
      <c r="E2277" s="42" t="str">
        <f>IFERROR(__xludf.DUMMYFUNCTION("""COMPUTED_VALUE"""),"DISERAHKAN")</f>
        <v>DISERAHKAN</v>
      </c>
      <c r="F2277" s="48">
        <f>IFERROR(__xludf.DUMMYFUNCTION("""COMPUTED_VALUE"""),45791.655617916666)</f>
        <v>45791.65562</v>
      </c>
      <c r="G2277" s="42" t="str">
        <f>IFERROR(__xludf.DUMMYFUNCTION("""COMPUTED_VALUE"""),"JUAL BELI")</f>
        <v>JUAL BELI</v>
      </c>
      <c r="H2277" s="42">
        <f t="shared" si="1"/>
        <v>1065</v>
      </c>
    </row>
    <row r="2278" ht="22.5" customHeight="1">
      <c r="B2278" s="42" t="str">
        <f>IFERROR(__xludf.DUMMYFUNCTION("""COMPUTED_VALUE"""),"K/6/180225/1")</f>
        <v>K/6/180225/1</v>
      </c>
      <c r="C2278" s="42" t="str">
        <f>IFERROR(__xludf.DUMMYFUNCTION("""COMPUTED_VALUE"""),"Nibel. M. 17457/ Sepang Jaya")</f>
        <v>Nibel. M. 17457/ Sepang Jaya</v>
      </c>
      <c r="D2278" s="42"/>
      <c r="E2278" s="42"/>
      <c r="F2278" s="48" t="str">
        <f>IFERROR(__xludf.DUMMYFUNCTION("""COMPUTED_VALUE"""),"")</f>
        <v/>
      </c>
      <c r="G2278" s="42" t="str">
        <f>IFERROR(__xludf.DUMMYFUNCTION("""COMPUTED_VALUE"""),"PTPGT (Pemecahan)")</f>
        <v>PTPGT (Pemecahan)</v>
      </c>
      <c r="H2278" s="42">
        <f t="shared" si="1"/>
        <v>1065</v>
      </c>
    </row>
    <row r="2279" ht="22.5" customHeight="1">
      <c r="B2279" s="42" t="str">
        <f>IFERROR(__xludf.DUMMYFUNCTION("""COMPUTED_VALUE"""),"L/7/180225/1")</f>
        <v>L/7/180225/1</v>
      </c>
      <c r="C2279" s="42" t="str">
        <f>IFERROR(__xludf.DUMMYFUNCTION("""COMPUTED_VALUE"""),"SUKARAME")</f>
        <v>SUKARAME</v>
      </c>
      <c r="D2279" s="42"/>
      <c r="E2279" s="42"/>
      <c r="F2279" s="48" t="str">
        <f>IFERROR(__xludf.DUMMYFUNCTION("""COMPUTED_VALUE"""),"")</f>
        <v/>
      </c>
      <c r="G2279" s="42" t="str">
        <f>IFERROR(__xludf.DUMMYFUNCTION("""COMPUTED_VALUE"""),"ASPEK")</f>
        <v>ASPEK</v>
      </c>
      <c r="H2279" s="42">
        <f t="shared" si="1"/>
        <v>1065</v>
      </c>
    </row>
    <row r="2280" ht="22.5" customHeight="1">
      <c r="B2280" s="42" t="str">
        <f>IFERROR(__xludf.DUMMYFUNCTION("""COMPUTED_VALUE"""),"K/8/180225/1")</f>
        <v>K/8/180225/1</v>
      </c>
      <c r="C2280" s="42" t="str">
        <f>IFERROR(__xludf.DUMMYFUNCTION("""COMPUTED_VALUE"""),"Nibel 17108/ Pinang Jaya")</f>
        <v>Nibel 17108/ Pinang Jaya</v>
      </c>
      <c r="D2280" s="42"/>
      <c r="E2280" s="42"/>
      <c r="F2280" s="48" t="str">
        <f>IFERROR(__xludf.DUMMYFUNCTION("""COMPUTED_VALUE"""),"")</f>
        <v/>
      </c>
      <c r="G2280" s="42" t="str">
        <f>IFERROR(__xludf.DUMMYFUNCTION("""COMPUTED_VALUE"""),"BN HIBAH")</f>
        <v>BN HIBAH</v>
      </c>
      <c r="H2280" s="42">
        <f t="shared" si="1"/>
        <v>1065</v>
      </c>
    </row>
    <row r="2281" ht="22.5" customHeight="1">
      <c r="B2281" s="42" t="str">
        <f>IFERROR(__xludf.DUMMYFUNCTION("""COMPUTED_VALUE"""),"K/12/180225/4")</f>
        <v>K/12/180225/4</v>
      </c>
      <c r="C2281" s="42" t="str">
        <f>IFERROR(__xludf.DUMMYFUNCTION("""COMPUTED_VALUE"""),"M. 1171/ Gedong Air")</f>
        <v>M. 1171/ Gedong Air</v>
      </c>
      <c r="D2281" s="42"/>
      <c r="E2281" s="42" t="str">
        <f>IFERROR(__xludf.DUMMYFUNCTION("""COMPUTED_VALUE"""),"DISERAHKAN")</f>
        <v>DISERAHKAN</v>
      </c>
      <c r="F2281" s="48">
        <f>IFERROR(__xludf.DUMMYFUNCTION("""COMPUTED_VALUE"""),45720.43920230324)</f>
        <v>45720.4392</v>
      </c>
      <c r="G2281" s="42" t="str">
        <f>IFERROR(__xludf.DUMMYFUNCTION("""COMPUTED_VALUE"""),"BN Jual Neli")</f>
        <v>BN Jual Neli</v>
      </c>
      <c r="H2281" s="42">
        <f t="shared" si="1"/>
        <v>1066</v>
      </c>
    </row>
    <row r="2282" ht="22.5" customHeight="1">
      <c r="B2282" s="42" t="str">
        <f>IFERROR(__xludf.DUMMYFUNCTION("""COMPUTED_VALUE"""),"K/11/180225/3")</f>
        <v>K/11/180225/3</v>
      </c>
      <c r="C2282" s="42" t="str">
        <f>IFERROR(__xludf.DUMMYFUNCTION("""COMPUTED_VALUE"""),"M. 1113/ Tanjungkarang")</f>
        <v>M. 1113/ Tanjungkarang</v>
      </c>
      <c r="D2282" s="42" t="str">
        <f>IFERROR(__xludf.DUMMYFUNCTION("""COMPUTED_VALUE"""),"David")</f>
        <v>David</v>
      </c>
      <c r="E2282" s="42" t="str">
        <f>IFERROR(__xludf.DUMMYFUNCTION("""COMPUTED_VALUE"""),"DISERAHKAN")</f>
        <v>DISERAHKAN</v>
      </c>
      <c r="F2282" s="48">
        <f>IFERROR(__xludf.DUMMYFUNCTION("""COMPUTED_VALUE"""),45832.532248194446)</f>
        <v>45832.53225</v>
      </c>
      <c r="G2282" s="42" t="str">
        <f>IFERROR(__xludf.DUMMYFUNCTION("""COMPUTED_VALUE"""),"Roya")</f>
        <v>Roya</v>
      </c>
      <c r="H2282" s="42">
        <f t="shared" si="1"/>
        <v>1067</v>
      </c>
    </row>
    <row r="2283" ht="22.5" customHeight="1">
      <c r="B2283" s="42" t="str">
        <f>IFERROR(__xludf.DUMMYFUNCTION("""COMPUTED_VALUE"""),"K/10/180225/2")</f>
        <v>K/10/180225/2</v>
      </c>
      <c r="C2283" s="42" t="str">
        <f>IFERROR(__xludf.DUMMYFUNCTION("""COMPUTED_VALUE"""),"M. 1114/ Tanjungkarang")</f>
        <v>M. 1114/ Tanjungkarang</v>
      </c>
      <c r="D2283" s="42"/>
      <c r="E2283" s="42"/>
      <c r="F2283" s="48" t="str">
        <f>IFERROR(__xludf.DUMMYFUNCTION("""COMPUTED_VALUE"""),"")</f>
        <v/>
      </c>
      <c r="G2283" s="42" t="str">
        <f>IFERROR(__xludf.DUMMYFUNCTION("""COMPUTED_VALUE"""),"Roya")</f>
        <v>Roya</v>
      </c>
      <c r="H2283" s="42">
        <f t="shared" si="1"/>
        <v>1067</v>
      </c>
    </row>
    <row r="2284" ht="22.5" customHeight="1">
      <c r="B2284" s="42" t="str">
        <f>IFERROR(__xludf.DUMMYFUNCTION("""COMPUTED_VALUE"""),"L/13/180225/1")</f>
        <v>L/13/180225/1</v>
      </c>
      <c r="C2284" s="42" t="str">
        <f>IFERROR(__xludf.DUMMYFUNCTION("""COMPUTED_VALUE"""),"SUIKARAME")</f>
        <v>SUIKARAME</v>
      </c>
      <c r="D2284" s="42"/>
      <c r="E2284" s="42"/>
      <c r="F2284" s="48" t="str">
        <f>IFERROR(__xludf.DUMMYFUNCTION("""COMPUTED_VALUE"""),"")</f>
        <v/>
      </c>
      <c r="G2284" s="42" t="str">
        <f>IFERROR(__xludf.DUMMYFUNCTION("""COMPUTED_VALUE"""),"PERMOHONAN SK")</f>
        <v>PERMOHONAN SK</v>
      </c>
      <c r="H2284" s="42">
        <f t="shared" si="1"/>
        <v>1067</v>
      </c>
    </row>
    <row r="2285" ht="22.5" customHeight="1">
      <c r="B2285" s="42" t="str">
        <f>IFERROR(__xludf.DUMMYFUNCTION("""COMPUTED_VALUE"""),"K/9/180225/1")</f>
        <v>K/9/180225/1</v>
      </c>
      <c r="C2285" s="42" t="str">
        <f>IFERROR(__xludf.DUMMYFUNCTION("""COMPUTED_VALUE"""),"M. 189/ Garuntang")</f>
        <v>M. 189/ Garuntang</v>
      </c>
      <c r="D2285" s="42"/>
      <c r="E2285" s="42" t="str">
        <f>IFERROR(__xludf.DUMMYFUNCTION("""COMPUTED_VALUE"""),"DISERAHKAN")</f>
        <v>DISERAHKAN</v>
      </c>
      <c r="F2285" s="48">
        <f>IFERROR(__xludf.DUMMYFUNCTION("""COMPUTED_VALUE"""),45769.60071212963)</f>
        <v>45769.60071</v>
      </c>
      <c r="G2285" s="42" t="str">
        <f>IFERROR(__xludf.DUMMYFUNCTION("""COMPUTED_VALUE"""),"Roya")</f>
        <v>Roya</v>
      </c>
      <c r="H2285" s="42">
        <f t="shared" si="1"/>
        <v>1068</v>
      </c>
    </row>
    <row r="2286" ht="22.5" customHeight="1">
      <c r="B2286" s="42" t="str">
        <f>IFERROR(__xludf.DUMMYFUNCTION("""COMPUTED_VALUE"""),"K/14/180225/1")</f>
        <v>K/14/180225/1</v>
      </c>
      <c r="C2286" s="42" t="str">
        <f>IFERROR(__xludf.DUMMYFUNCTION("""COMPUTED_VALUE"""),"M. 2392/ Sukadanaham")</f>
        <v>M. 2392/ Sukadanaham</v>
      </c>
      <c r="D2286" s="42"/>
      <c r="E2286" s="42"/>
      <c r="F2286" s="48" t="str">
        <f>IFERROR(__xludf.DUMMYFUNCTION("""COMPUTED_VALUE"""),"")</f>
        <v/>
      </c>
      <c r="G2286" s="42" t="str">
        <f>IFERROR(__xludf.DUMMYFUNCTION("""COMPUTED_VALUE"""),"SKPT LELANG")</f>
        <v>SKPT LELANG</v>
      </c>
      <c r="H2286" s="42">
        <f t="shared" si="1"/>
        <v>1068</v>
      </c>
    </row>
    <row r="2287" ht="22.5" customHeight="1">
      <c r="B2287" s="42" t="str">
        <f>IFERROR(__xludf.DUMMYFUNCTION("""COMPUTED_VALUE"""),"K/15/180225/2")</f>
        <v>K/15/180225/2</v>
      </c>
      <c r="C2287" s="42" t="str">
        <f>IFERROR(__xludf.DUMMYFUNCTION("""COMPUTED_VALUE"""),"M. 15323/ Sukarame I")</f>
        <v>M. 15323/ Sukarame I</v>
      </c>
      <c r="D2287" s="42"/>
      <c r="E2287" s="42"/>
      <c r="F2287" s="48" t="str">
        <f>IFERROR(__xludf.DUMMYFUNCTION("""COMPUTED_VALUE"""),"")</f>
        <v/>
      </c>
      <c r="G2287" s="42" t="str">
        <f>IFERROR(__xludf.DUMMYFUNCTION("""COMPUTED_VALUE"""),"SKPT LELANG")</f>
        <v>SKPT LELANG</v>
      </c>
      <c r="H2287" s="42">
        <f t="shared" si="1"/>
        <v>1068</v>
      </c>
    </row>
    <row r="2288" ht="22.5" customHeight="1">
      <c r="B2288" s="42" t="str">
        <f>IFERROR(__xludf.DUMMYFUNCTION("""COMPUTED_VALUE"""),"L/16/180225/1")</f>
        <v>L/16/180225/1</v>
      </c>
      <c r="C2288" s="42" t="str">
        <f>IFERROR(__xludf.DUMMYFUNCTION("""COMPUTED_VALUE"""),"HGB 3324/SUKABUMI")</f>
        <v>HGB 3324/SUKABUMI</v>
      </c>
      <c r="D2288" s="42"/>
      <c r="E2288" s="42"/>
      <c r="F2288" s="48" t="str">
        <f>IFERROR(__xludf.DUMMYFUNCTION("""COMPUTED_VALUE"""),"")</f>
        <v/>
      </c>
      <c r="G2288" s="42" t="str">
        <f>IFERROR(__xludf.DUMMYFUNCTION("""COMPUTED_VALUE"""),"PERUBAHAN HAK")</f>
        <v>PERUBAHAN HAK</v>
      </c>
      <c r="H2288" s="42">
        <f t="shared" si="1"/>
        <v>1068</v>
      </c>
    </row>
    <row r="2289" ht="22.5" customHeight="1">
      <c r="B2289" s="42" t="str">
        <f>IFERROR(__xludf.DUMMYFUNCTION("""COMPUTED_VALUE"""),"K/17/180225/1")</f>
        <v>K/17/180225/1</v>
      </c>
      <c r="C2289" s="42" t="str">
        <f>IFERROR(__xludf.DUMMYFUNCTION("""COMPUTED_VALUE"""),"M. 1448/ Sumber rejo")</f>
        <v>M. 1448/ Sumber rejo</v>
      </c>
      <c r="D2289" s="42"/>
      <c r="E2289" s="42"/>
      <c r="F2289" s="48" t="str">
        <f>IFERROR(__xludf.DUMMYFUNCTION("""COMPUTED_VALUE"""),"")</f>
        <v/>
      </c>
      <c r="G2289" s="42" t="str">
        <f>IFERROR(__xludf.DUMMYFUNCTION("""COMPUTED_VALUE"""),"HAPUS BPHTB")</f>
        <v>HAPUS BPHTB</v>
      </c>
      <c r="H2289" s="42">
        <f t="shared" si="1"/>
        <v>1068</v>
      </c>
    </row>
    <row r="2290" ht="22.5" customHeight="1">
      <c r="B2290" s="42" t="str">
        <f>IFERROR(__xludf.DUMMYFUNCTION("""COMPUTED_VALUE"""),"K/18/180225/1")</f>
        <v>K/18/180225/1</v>
      </c>
      <c r="C2290" s="42" t="str">
        <f>IFERROR(__xludf.DUMMYFUNCTION("""COMPUTED_VALUE"""),"M.3013/GEDONG AIR")</f>
        <v>M.3013/GEDONG AIR</v>
      </c>
      <c r="D2290" s="42"/>
      <c r="E2290" s="42" t="str">
        <f>IFERROR(__xludf.DUMMYFUNCTION("""COMPUTED_VALUE"""),"DISERAHKAN")</f>
        <v>DISERAHKAN</v>
      </c>
      <c r="F2290" s="48">
        <f>IFERROR(__xludf.DUMMYFUNCTION("""COMPUTED_VALUE"""),45720.548753703704)</f>
        <v>45720.54875</v>
      </c>
      <c r="G2290" s="42" t="str">
        <f>IFERROR(__xludf.DUMMYFUNCTION("""COMPUTED_VALUE"""),"HIBAH")</f>
        <v>HIBAH</v>
      </c>
      <c r="H2290" s="42">
        <f t="shared" si="1"/>
        <v>1069</v>
      </c>
    </row>
    <row r="2291" ht="22.5" customHeight="1">
      <c r="B2291" s="42" t="str">
        <f>IFERROR(__xludf.DUMMYFUNCTION("""COMPUTED_VALUE"""),"K/19/180225/2")</f>
        <v>K/19/180225/2</v>
      </c>
      <c r="C2291" s="42" t="str">
        <f>IFERROR(__xludf.DUMMYFUNCTION("""COMPUTED_VALUE"""),"M.3021/GEDONG AIR")</f>
        <v>M.3021/GEDONG AIR</v>
      </c>
      <c r="D2291" s="42"/>
      <c r="E2291" s="42" t="str">
        <f>IFERROR(__xludf.DUMMYFUNCTION("""COMPUTED_VALUE"""),"DISERAHKAN")</f>
        <v>DISERAHKAN</v>
      </c>
      <c r="F2291" s="48">
        <f>IFERROR(__xludf.DUMMYFUNCTION("""COMPUTED_VALUE"""),45720.54867366898)</f>
        <v>45720.54867</v>
      </c>
      <c r="G2291" s="42" t="str">
        <f>IFERROR(__xludf.DUMMYFUNCTION("""COMPUTED_VALUE"""),"HIBAH")</f>
        <v>HIBAH</v>
      </c>
      <c r="H2291" s="42">
        <f t="shared" si="1"/>
        <v>1070</v>
      </c>
    </row>
    <row r="2292" ht="22.5" customHeight="1">
      <c r="B2292" s="42" t="str">
        <f>IFERROR(__xludf.DUMMYFUNCTION("""COMPUTED_VALUE"""),"L/21/180225/1")</f>
        <v>L/21/180225/1</v>
      </c>
      <c r="C2292" s="42" t="str">
        <f>IFERROR(__xludf.DUMMYFUNCTION("""COMPUTED_VALUE"""),"HM 16749/SUKABUMI")</f>
        <v>HM 16749/SUKABUMI</v>
      </c>
      <c r="D2292" s="42"/>
      <c r="E2292" s="42"/>
      <c r="F2292" s="48" t="str">
        <f>IFERROR(__xludf.DUMMYFUNCTION("""COMPUTED_VALUE"""),"")</f>
        <v/>
      </c>
      <c r="G2292" s="42" t="str">
        <f>IFERROR(__xludf.DUMMYFUNCTION("""COMPUTED_VALUE"""),"PEMECAHAN")</f>
        <v>PEMECAHAN</v>
      </c>
      <c r="H2292" s="42">
        <f t="shared" si="1"/>
        <v>1070</v>
      </c>
    </row>
    <row r="2293" ht="22.5" customHeight="1">
      <c r="B2293" s="42" t="str">
        <f>IFERROR(__xludf.DUMMYFUNCTION("""COMPUTED_VALUE"""),"K/20/180225/1")</f>
        <v>K/20/180225/1</v>
      </c>
      <c r="C2293" s="42" t="str">
        <f>IFERROR(__xludf.DUMMYFUNCTION("""COMPUTED_VALUE"""),"B. 26/ Surabaya")</f>
        <v>B. 26/ Surabaya</v>
      </c>
      <c r="D2293" s="42"/>
      <c r="E2293" s="42"/>
      <c r="F2293" s="48" t="str">
        <f>IFERROR(__xludf.DUMMYFUNCTION("""COMPUTED_VALUE"""),"")</f>
        <v/>
      </c>
      <c r="G2293" s="42" t="str">
        <f>IFERROR(__xludf.DUMMYFUNCTION("""COMPUTED_VALUE"""),"Pengukuran HGB Berakhir")</f>
        <v>Pengukuran HGB Berakhir</v>
      </c>
      <c r="H2293" s="42">
        <f t="shared" si="1"/>
        <v>1070</v>
      </c>
    </row>
    <row r="2294" ht="22.5" customHeight="1">
      <c r="B2294" s="42" t="str">
        <f>IFERROR(__xludf.DUMMYFUNCTION("""COMPUTED_VALUE"""),"K/22/180225/1")</f>
        <v>K/22/180225/1</v>
      </c>
      <c r="C2294" s="42" t="str">
        <f>IFERROR(__xludf.DUMMYFUNCTION("""COMPUTED_VALUE"""),"PBT NO. 34/2024 / TANJUNG SENANG")</f>
        <v>PBT NO. 34/2024 / TANJUNG SENANG</v>
      </c>
      <c r="D2294" s="42"/>
      <c r="E2294" s="42"/>
      <c r="F2294" s="48" t="str">
        <f>IFERROR(__xludf.DUMMYFUNCTION("""COMPUTED_VALUE"""),"")</f>
        <v/>
      </c>
      <c r="G2294" s="42" t="str">
        <f>IFERROR(__xludf.DUMMYFUNCTION("""COMPUTED_VALUE"""),"PTPGT TAMEN")</f>
        <v>PTPGT TAMEN</v>
      </c>
      <c r="H2294" s="42">
        <f t="shared" si="1"/>
        <v>1070</v>
      </c>
    </row>
    <row r="2295" ht="22.5" customHeight="1">
      <c r="B2295" s="42" t="str">
        <f>IFERROR(__xludf.DUMMYFUNCTION("""COMPUTED_VALUE"""),"K/23/180225/1")</f>
        <v>K/23/180225/1</v>
      </c>
      <c r="C2295" s="42" t="str">
        <f>IFERROR(__xludf.DUMMYFUNCTION("""COMPUTED_VALUE"""),"M.1469/PINANG JAYA ")</f>
        <v>M.1469/PINANG JAYA </v>
      </c>
      <c r="D2295" s="42"/>
      <c r="E2295" s="42" t="str">
        <f>IFERROR(__xludf.DUMMYFUNCTION("""COMPUTED_VALUE"""),"DISERAHKAN")</f>
        <v>DISERAHKAN</v>
      </c>
      <c r="F2295" s="48">
        <f>IFERROR(__xludf.DUMMYFUNCTION("""COMPUTED_VALUE"""),45712.40881158564)</f>
        <v>45712.40881</v>
      </c>
      <c r="G2295" s="42" t="str">
        <f>IFERROR(__xludf.DUMMYFUNCTION("""COMPUTED_VALUE"""),"JUAL BELI")</f>
        <v>JUAL BELI</v>
      </c>
      <c r="H2295" s="42">
        <f t="shared" si="1"/>
        <v>1071</v>
      </c>
    </row>
    <row r="2296" ht="22.5" customHeight="1">
      <c r="B2296" s="42" t="str">
        <f>IFERROR(__xludf.DUMMYFUNCTION("""COMPUTED_VALUE"""),"L/24/180225/1")</f>
        <v>L/24/180225/1</v>
      </c>
      <c r="C2296" s="42" t="str">
        <f>IFERROR(__xludf.DUMMYFUNCTION("""COMPUTED_VALUE"""),"HM 216/SUMUR BATU")</f>
        <v>HM 216/SUMUR BATU</v>
      </c>
      <c r="D2296" s="42"/>
      <c r="E2296" s="42" t="str">
        <f>IFERROR(__xludf.DUMMYFUNCTION("""COMPUTED_VALUE"""),"DISERAHKAN")</f>
        <v>DISERAHKAN</v>
      </c>
      <c r="F2296" s="48">
        <f>IFERROR(__xludf.DUMMYFUNCTION("""COMPUTED_VALUE"""),45734.476223923615)</f>
        <v>45734.47622</v>
      </c>
      <c r="G2296" s="42" t="str">
        <f>IFERROR(__xludf.DUMMYFUNCTION("""COMPUTED_VALUE"""),"BN WARIS")</f>
        <v>BN WARIS</v>
      </c>
      <c r="H2296" s="42">
        <f t="shared" si="1"/>
        <v>1072</v>
      </c>
    </row>
    <row r="2297" ht="22.5" customHeight="1">
      <c r="B2297" s="42" t="str">
        <f>IFERROR(__xludf.DUMMYFUNCTION("""COMPUTED_VALUE"""),"K/25/180225/1")</f>
        <v>K/25/180225/1</v>
      </c>
      <c r="C2297" s="42" t="str">
        <f>IFERROR(__xludf.DUMMYFUNCTION("""COMPUTED_VALUE"""),"M.3242/GEDONG AIR")</f>
        <v>M.3242/GEDONG AIR</v>
      </c>
      <c r="D2297" s="42"/>
      <c r="E2297" s="42" t="str">
        <f>IFERROR(__xludf.DUMMYFUNCTION("""COMPUTED_VALUE"""),"DISERAHKAN")</f>
        <v>DISERAHKAN</v>
      </c>
      <c r="F2297" s="48">
        <f>IFERROR(__xludf.DUMMYFUNCTION("""COMPUTED_VALUE"""),45713.706884467596)</f>
        <v>45713.70688</v>
      </c>
      <c r="G2297" s="42" t="str">
        <f>IFERROR(__xludf.DUMMYFUNCTION("""COMPUTED_VALUE"""),"JUAL BELI")</f>
        <v>JUAL BELI</v>
      </c>
      <c r="H2297" s="42">
        <f t="shared" si="1"/>
        <v>1073</v>
      </c>
    </row>
    <row r="2298" ht="22.5" customHeight="1">
      <c r="B2298" s="42" t="str">
        <f>IFERROR(__xludf.DUMMYFUNCTION("""COMPUTED_VALUE"""),"K/26/180225/2")</f>
        <v>K/26/180225/2</v>
      </c>
      <c r="C2298" s="42" t="str">
        <f>IFERROR(__xludf.DUMMYFUNCTION("""COMPUTED_VALUE"""),"M.3126/GEDONG AIR")</f>
        <v>M.3126/GEDONG AIR</v>
      </c>
      <c r="D2298" s="42"/>
      <c r="E2298" s="42" t="str">
        <f>IFERROR(__xludf.DUMMYFUNCTION("""COMPUTED_VALUE"""),"DISERAHKAN")</f>
        <v>DISERAHKAN</v>
      </c>
      <c r="F2298" s="48">
        <f>IFERROR(__xludf.DUMMYFUNCTION("""COMPUTED_VALUE"""),45777.440295821754)</f>
        <v>45777.4403</v>
      </c>
      <c r="G2298" s="42" t="str">
        <f>IFERROR(__xludf.DUMMYFUNCTION("""COMPUTED_VALUE"""),"JUAL BELI")</f>
        <v>JUAL BELI</v>
      </c>
      <c r="H2298" s="42">
        <f t="shared" si="1"/>
        <v>1074</v>
      </c>
    </row>
    <row r="2299" ht="22.5" customHeight="1">
      <c r="B2299" s="42" t="str">
        <f>IFERROR(__xludf.DUMMYFUNCTION("""COMPUTED_VALUE"""),"L/27/180225/1")</f>
        <v>L/27/180225/1</v>
      </c>
      <c r="C2299" s="42" t="str">
        <f>IFERROR(__xludf.DUMMYFUNCTION("""COMPUTED_VALUE"""),"HGB 32/GUNUNG SULAH")</f>
        <v>HGB 32/GUNUNG SULAH</v>
      </c>
      <c r="D2299" s="42"/>
      <c r="E2299" s="42"/>
      <c r="F2299" s="48" t="str">
        <f>IFERROR(__xludf.DUMMYFUNCTION("""COMPUTED_VALUE"""),"")</f>
        <v/>
      </c>
      <c r="G2299" s="42" t="str">
        <f>IFERROR(__xludf.DUMMYFUNCTION("""COMPUTED_VALUE"""),"PERTAMA KALI")</f>
        <v>PERTAMA KALI</v>
      </c>
      <c r="H2299" s="42">
        <f t="shared" si="1"/>
        <v>1074</v>
      </c>
    </row>
    <row r="2300" ht="22.5" customHeight="1">
      <c r="B2300" s="42" t="str">
        <f>IFERROR(__xludf.DUMMYFUNCTION("""COMPUTED_VALUE"""),"K/28/180225/1")</f>
        <v>K/28/180225/1</v>
      </c>
      <c r="C2300" s="42" t="str">
        <f>IFERROR(__xludf.DUMMYFUNCTION("""COMPUTED_VALUE"""),"M. 561/ bumi kedamaian")</f>
        <v>M. 561/ bumi kedamaian</v>
      </c>
      <c r="D2300" s="42"/>
      <c r="E2300" s="42"/>
      <c r="F2300" s="48" t="str">
        <f>IFERROR(__xludf.DUMMYFUNCTION("""COMPUTED_VALUE"""),"")</f>
        <v/>
      </c>
      <c r="G2300" s="42" t="str">
        <f>IFERROR(__xludf.DUMMYFUNCTION("""COMPUTED_VALUE"""),"PEMECAHAN BIDANG")</f>
        <v>PEMECAHAN BIDANG</v>
      </c>
      <c r="H2300" s="42">
        <f t="shared" si="1"/>
        <v>1074</v>
      </c>
    </row>
    <row r="2301" ht="22.5" customHeight="1">
      <c r="B2301" s="42" t="str">
        <f>IFERROR(__xludf.DUMMYFUNCTION("""COMPUTED_VALUE"""),"L/29/180225/1")</f>
        <v>L/29/180225/1</v>
      </c>
      <c r="C2301" s="42" t="str">
        <f>IFERROR(__xludf.DUMMYFUNCTION("""COMPUTED_VALUE"""),"KEBON JERUK")</f>
        <v>KEBON JERUK</v>
      </c>
      <c r="D2301" s="42"/>
      <c r="E2301" s="42"/>
      <c r="F2301" s="48" t="str">
        <f>IFERROR(__xludf.DUMMYFUNCTION("""COMPUTED_VALUE"""),"")</f>
        <v/>
      </c>
      <c r="G2301" s="42" t="str">
        <f>IFERROR(__xludf.DUMMYFUNCTION("""COMPUTED_VALUE"""),"PERTAMA KALI")</f>
        <v>PERTAMA KALI</v>
      </c>
      <c r="H2301" s="42">
        <f t="shared" si="1"/>
        <v>1074</v>
      </c>
    </row>
    <row r="2302" ht="22.5" customHeight="1">
      <c r="B2302" s="42" t="str">
        <f>IFERROR(__xludf.DUMMYFUNCTION("""COMPUTED_VALUE"""),"K/30/180225/1")</f>
        <v>K/30/180225/1</v>
      </c>
      <c r="C2302" s="42" t="str">
        <f>IFERROR(__xludf.DUMMYFUNCTION("""COMPUTED_VALUE"""),"NIBEL M 2112/SUKARAME BARU")</f>
        <v>NIBEL M 2112/SUKARAME BARU</v>
      </c>
      <c r="D2302" s="42"/>
      <c r="E2302" s="42"/>
      <c r="F2302" s="48" t="str">
        <f>IFERROR(__xludf.DUMMYFUNCTION("""COMPUTED_VALUE"""),"")</f>
        <v/>
      </c>
      <c r="G2302" s="42" t="str">
        <f>IFERROR(__xludf.DUMMYFUNCTION("""COMPUTED_VALUE"""),"JUAL BELI")</f>
        <v>JUAL BELI</v>
      </c>
      <c r="H2302" s="42">
        <f t="shared" si="1"/>
        <v>1074</v>
      </c>
    </row>
    <row r="2303" ht="22.5" customHeight="1">
      <c r="B2303" s="42" t="str">
        <f>IFERROR(__xludf.DUMMYFUNCTION("""COMPUTED_VALUE"""),"K/31/180225/1")</f>
        <v>K/31/180225/1</v>
      </c>
      <c r="C2303" s="42" t="str">
        <f>IFERROR(__xludf.DUMMYFUNCTION("""COMPUTED_VALUE"""),"M. 2069/ Labuhan Ratu Raya")</f>
        <v>M. 2069/ Labuhan Ratu Raya</v>
      </c>
      <c r="D2303" s="42"/>
      <c r="E2303" s="42"/>
      <c r="F2303" s="48" t="str">
        <f>IFERROR(__xludf.DUMMYFUNCTION("""COMPUTED_VALUE"""),"")</f>
        <v/>
      </c>
      <c r="G2303" s="42" t="str">
        <f>IFERROR(__xludf.DUMMYFUNCTION("""COMPUTED_VALUE"""),"Pemecahan")</f>
        <v>Pemecahan</v>
      </c>
      <c r="H2303" s="42">
        <f t="shared" si="1"/>
        <v>1074</v>
      </c>
    </row>
    <row r="2304" ht="22.5" customHeight="1">
      <c r="B2304" s="42" t="str">
        <f>IFERROR(__xludf.DUMMYFUNCTION("""COMPUTED_VALUE"""),"K/32/180225/1")</f>
        <v>K/32/180225/1</v>
      </c>
      <c r="C2304" s="42" t="str">
        <f>IFERROR(__xludf.DUMMYFUNCTION("""COMPUTED_VALUE"""),"M. 1938/ Sukamaju")</f>
        <v>M. 1938/ Sukamaju</v>
      </c>
      <c r="D2304" s="42"/>
      <c r="E2304" s="42" t="str">
        <f>IFERROR(__xludf.DUMMYFUNCTION("""COMPUTED_VALUE"""),"DISERAHKAN")</f>
        <v>DISERAHKAN</v>
      </c>
      <c r="F2304" s="48">
        <f>IFERROR(__xludf.DUMMYFUNCTION("""COMPUTED_VALUE"""),45727.49471537037)</f>
        <v>45727.49472</v>
      </c>
      <c r="G2304" s="42" t="str">
        <f>IFERROR(__xludf.DUMMYFUNCTION("""COMPUTED_VALUE"""),"BN Jual Beli")</f>
        <v>BN Jual Beli</v>
      </c>
      <c r="H2304" s="42">
        <f t="shared" si="1"/>
        <v>1075</v>
      </c>
    </row>
    <row r="2305" ht="22.5" customHeight="1">
      <c r="B2305" s="42" t="str">
        <f>IFERROR(__xludf.DUMMYFUNCTION("""COMPUTED_VALUE"""),"L/1/190225/1")</f>
        <v>L/1/190225/1</v>
      </c>
      <c r="C2305" s="42" t="str">
        <f>IFERROR(__xludf.DUMMYFUNCTION("""COMPUTED_VALUE"""),"HM 260/LABUHAN RATU RAYA")</f>
        <v>HM 260/LABUHAN RATU RAYA</v>
      </c>
      <c r="D2305" s="42"/>
      <c r="E2305" s="42"/>
      <c r="F2305" s="48" t="str">
        <f>IFERROR(__xludf.DUMMYFUNCTION("""COMPUTED_VALUE"""),"")</f>
        <v/>
      </c>
      <c r="G2305" s="42" t="str">
        <f>IFERROR(__xludf.DUMMYFUNCTION("""COMPUTED_VALUE"""),"PTPGT")</f>
        <v>PTPGT</v>
      </c>
      <c r="H2305" s="42">
        <f t="shared" si="1"/>
        <v>1075</v>
      </c>
    </row>
    <row r="2306" ht="22.5" customHeight="1">
      <c r="B2306" s="42" t="str">
        <f>IFERROR(__xludf.DUMMYFUNCTION("""COMPUTED_VALUE"""),"K/2/190225/1")</f>
        <v>K/2/190225/1</v>
      </c>
      <c r="C2306" s="42" t="str">
        <f>IFERROR(__xludf.DUMMYFUNCTION("""COMPUTED_VALUE"""),"NIBEL B 17935/RAJABASA NUNYAI")</f>
        <v>NIBEL B 17935/RAJABASA NUNYAI</v>
      </c>
      <c r="D2306" s="42"/>
      <c r="E2306" s="42"/>
      <c r="F2306" s="48" t="str">
        <f>IFERROR(__xludf.DUMMYFUNCTION("""COMPUTED_VALUE"""),"")</f>
        <v/>
      </c>
      <c r="G2306" s="42" t="str">
        <f>IFERROR(__xludf.DUMMYFUNCTION("""COMPUTED_VALUE"""),"PERUBAHAN HAK ")</f>
        <v>PERUBAHAN HAK </v>
      </c>
      <c r="H2306" s="42">
        <f t="shared" si="1"/>
        <v>1075</v>
      </c>
    </row>
    <row r="2307" ht="22.5" customHeight="1">
      <c r="B2307" s="42" t="str">
        <f>IFERROR(__xludf.DUMMYFUNCTION("""COMPUTED_VALUE"""),"L/3/190225/1")</f>
        <v>L/3/190225/1</v>
      </c>
      <c r="C2307" s="42" t="str">
        <f>IFERROR(__xludf.DUMMYFUNCTION("""COMPUTED_VALUE"""),"HM 4451/RAJABASA JAYA")</f>
        <v>HM 4451/RAJABASA JAYA</v>
      </c>
      <c r="D2307" s="42"/>
      <c r="E2307" s="42" t="str">
        <f>IFERROR(__xludf.DUMMYFUNCTION("""COMPUTED_VALUE"""),"DISERAHKAN")</f>
        <v>DISERAHKAN</v>
      </c>
      <c r="F2307" s="48">
        <f>IFERROR(__xludf.DUMMYFUNCTION("""COMPUTED_VALUE"""),45713.7072285301)</f>
        <v>45713.70723</v>
      </c>
      <c r="G2307" s="42" t="str">
        <f>IFERROR(__xludf.DUMMYFUNCTION("""COMPUTED_VALUE"""),"BN LELANG")</f>
        <v>BN LELANG</v>
      </c>
      <c r="H2307" s="42">
        <f t="shared" si="1"/>
        <v>1076</v>
      </c>
    </row>
    <row r="2308" ht="22.5" customHeight="1">
      <c r="B2308" s="42" t="str">
        <f>IFERROR(__xludf.DUMMYFUNCTION("""COMPUTED_VALUE"""),"K/4/190225/1")</f>
        <v>K/4/190225/1</v>
      </c>
      <c r="C2308" s="42" t="str">
        <f>IFERROR(__xludf.DUMMYFUNCTION("""COMPUTED_VALUE"""),"M. 3355/ Kemiling Permai")</f>
        <v>M. 3355/ Kemiling Permai</v>
      </c>
      <c r="D2308" s="42"/>
      <c r="E2308" s="42" t="str">
        <f>IFERROR(__xludf.DUMMYFUNCTION("""COMPUTED_VALUE"""),"DISERAHKAN")</f>
        <v>DISERAHKAN</v>
      </c>
      <c r="F2308" s="48">
        <f>IFERROR(__xludf.DUMMYFUNCTION("""COMPUTED_VALUE"""),45722.50281523148)</f>
        <v>45722.50282</v>
      </c>
      <c r="G2308" s="42" t="str">
        <f>IFERROR(__xludf.DUMMYFUNCTION("""COMPUTED_VALUE"""),"BN JUAL BELI")</f>
        <v>BN JUAL BELI</v>
      </c>
      <c r="H2308" s="42">
        <f t="shared" si="1"/>
        <v>1077</v>
      </c>
    </row>
    <row r="2309" ht="22.5" customHeight="1">
      <c r="B2309" s="42" t="str">
        <f>IFERROR(__xludf.DUMMYFUNCTION("""COMPUTED_VALUE"""),"L/6/190225/1")</f>
        <v>L/6/190225/1</v>
      </c>
      <c r="C2309" s="42" t="str">
        <f>IFERROR(__xludf.DUMMYFUNCTION("""COMPUTED_VALUE"""),"HM 822/PAHOMAN")</f>
        <v>HM 822/PAHOMAN</v>
      </c>
      <c r="D2309" s="42"/>
      <c r="E2309" s="42" t="str">
        <f>IFERROR(__xludf.DUMMYFUNCTION("""COMPUTED_VALUE"""),"DISERAHKAN")</f>
        <v>DISERAHKAN</v>
      </c>
      <c r="F2309" s="48">
        <f>IFERROR(__xludf.DUMMYFUNCTION("""COMPUTED_VALUE"""),45730.37577210648)</f>
        <v>45730.37577</v>
      </c>
      <c r="G2309" s="42" t="str">
        <f>IFERROR(__xludf.DUMMYFUNCTION("""COMPUTED_VALUE"""),"ROYA")</f>
        <v>ROYA</v>
      </c>
      <c r="H2309" s="42">
        <f t="shared" si="1"/>
        <v>1078</v>
      </c>
    </row>
    <row r="2310" ht="22.5" customHeight="1">
      <c r="B2310" s="42" t="str">
        <f>IFERROR(__xludf.DUMMYFUNCTION("""COMPUTED_VALUE"""),"K/5/190225/1")</f>
        <v>K/5/190225/1</v>
      </c>
      <c r="C2310" s="42" t="str">
        <f>IFERROR(__xludf.DUMMYFUNCTION("""COMPUTED_VALUE"""),"Nibel. M. 3566/ Kedaung")</f>
        <v>Nibel. M. 3566/ Kedaung</v>
      </c>
      <c r="D2310" s="42"/>
      <c r="E2310" s="42"/>
      <c r="F2310" s="48" t="str">
        <f>IFERROR(__xludf.DUMMYFUNCTION("""COMPUTED_VALUE"""),"")</f>
        <v/>
      </c>
      <c r="G2310" s="42" t="str">
        <f>IFERROR(__xludf.DUMMYFUNCTION("""COMPUTED_VALUE"""),"Pemecahan")</f>
        <v>Pemecahan</v>
      </c>
      <c r="H2310" s="42">
        <f t="shared" si="1"/>
        <v>1078</v>
      </c>
    </row>
    <row r="2311" ht="22.5" customHeight="1">
      <c r="B2311" s="42" t="str">
        <f>IFERROR(__xludf.DUMMYFUNCTION("""COMPUTED_VALUE"""),"K/8/190225/1")</f>
        <v>K/8/190225/1</v>
      </c>
      <c r="C2311" s="42" t="str">
        <f>IFERROR(__xludf.DUMMYFUNCTION("""COMPUTED_VALUE"""),"M.1117/KORPRI JAYA")</f>
        <v>M.1117/KORPRI JAYA</v>
      </c>
      <c r="D2311" s="42"/>
      <c r="E2311" s="42"/>
      <c r="F2311" s="48" t="str">
        <f>IFERROR(__xludf.DUMMYFUNCTION("""COMPUTED_VALUE"""),"")</f>
        <v/>
      </c>
      <c r="G2311" s="42" t="str">
        <f>IFERROR(__xludf.DUMMYFUNCTION("""COMPUTED_VALUE"""),"PTPGT")</f>
        <v>PTPGT</v>
      </c>
      <c r="H2311" s="42">
        <f t="shared" si="1"/>
        <v>1078</v>
      </c>
    </row>
    <row r="2312" ht="22.5" customHeight="1">
      <c r="B2312" s="42" t="str">
        <f>IFERROR(__xludf.DUMMYFUNCTION("""COMPUTED_VALUE"""),"K/7/190225/1")</f>
        <v>K/7/190225/1</v>
      </c>
      <c r="C2312" s="42" t="str">
        <f>IFERROR(__xludf.DUMMYFUNCTION("""COMPUTED_VALUE"""),"M. 9620/TANJUNG BARU")</f>
        <v>M. 9620/TANJUNG BARU</v>
      </c>
      <c r="D2312" s="42"/>
      <c r="E2312" s="42" t="str">
        <f>IFERROR(__xludf.DUMMYFUNCTION("""COMPUTED_VALUE"""),"DISERAHKAN")</f>
        <v>DISERAHKAN</v>
      </c>
      <c r="F2312" s="48">
        <f>IFERROR(__xludf.DUMMYFUNCTION("""COMPUTED_VALUE"""),45720.43920230324)</f>
        <v>45720.4392</v>
      </c>
      <c r="G2312" s="42" t="str">
        <f>IFERROR(__xludf.DUMMYFUNCTION("""COMPUTED_VALUE"""),"BN JUAL BELI")</f>
        <v>BN JUAL BELI</v>
      </c>
      <c r="H2312" s="42">
        <f t="shared" si="1"/>
        <v>1079</v>
      </c>
    </row>
    <row r="2313" ht="22.5" customHeight="1">
      <c r="B2313" s="42" t="str">
        <f>IFERROR(__xludf.DUMMYFUNCTION("""COMPUTED_VALUE"""),"L/9/190225/1")</f>
        <v>L/9/190225/1</v>
      </c>
      <c r="C2313" s="42" t="str">
        <f>IFERROR(__xludf.DUMMYFUNCTION("""COMPUTED_VALUE"""),"GUNUNG SULAH")</f>
        <v>GUNUNG SULAH</v>
      </c>
      <c r="D2313" s="42"/>
      <c r="E2313" s="42"/>
      <c r="F2313" s="48" t="str">
        <f>IFERROR(__xludf.DUMMYFUNCTION("""COMPUTED_VALUE"""),"")</f>
        <v/>
      </c>
      <c r="G2313" s="42" t="str">
        <f>IFERROR(__xludf.DUMMYFUNCTION("""COMPUTED_VALUE"""),"ASPEK")</f>
        <v>ASPEK</v>
      </c>
      <c r="H2313" s="42">
        <f t="shared" si="1"/>
        <v>1079</v>
      </c>
    </row>
    <row r="2314" ht="22.5" customHeight="1">
      <c r="B2314" s="42" t="str">
        <f>IFERROR(__xludf.DUMMYFUNCTION("""COMPUTED_VALUE"""),"K/10/190225/1")</f>
        <v>K/10/190225/1</v>
      </c>
      <c r="C2314" s="42" t="str">
        <f>IFERROR(__xludf.DUMMYFUNCTION("""COMPUTED_VALUE"""),"PBT 269/2023")</f>
        <v>PBT 269/2023</v>
      </c>
      <c r="D2314" s="42"/>
      <c r="E2314" s="42"/>
      <c r="F2314" s="48" t="str">
        <f>IFERROR(__xludf.DUMMYFUNCTION("""COMPUTED_VALUE"""),"")</f>
        <v/>
      </c>
      <c r="G2314" s="42" t="str">
        <f>IFERROR(__xludf.DUMMYFUNCTION("""COMPUTED_VALUE"""),"PENDAFTARAN SK")</f>
        <v>PENDAFTARAN SK</v>
      </c>
      <c r="H2314" s="42">
        <f t="shared" si="1"/>
        <v>1079</v>
      </c>
    </row>
    <row r="2315" ht="22.5" customHeight="1">
      <c r="B2315" s="42" t="str">
        <f>IFERROR(__xludf.DUMMYFUNCTION("""COMPUTED_VALUE"""),"K/11/190225/1")</f>
        <v>K/11/190225/1</v>
      </c>
      <c r="C2315" s="42" t="str">
        <f>IFERROR(__xludf.DUMMYFUNCTION("""COMPUTED_VALUE"""),"B.108/SUMBERREJO")</f>
        <v>B.108/SUMBERREJO</v>
      </c>
      <c r="D2315" s="42" t="str">
        <f>IFERROR(__xludf.DUMMYFUNCTION("""COMPUTED_VALUE"""),"Berry")</f>
        <v>Berry</v>
      </c>
      <c r="E2315" s="42" t="str">
        <f>IFERROR(__xludf.DUMMYFUNCTION("""COMPUTED_VALUE"""),"DISERAHKAN")</f>
        <v>DISERAHKAN</v>
      </c>
      <c r="F2315" s="48">
        <f>IFERROR(__xludf.DUMMYFUNCTION("""COMPUTED_VALUE"""),45796.48517126158)</f>
        <v>45796.48517</v>
      </c>
      <c r="G2315" s="42" t="str">
        <f>IFERROR(__xludf.DUMMYFUNCTION("""COMPUTED_VALUE"""),"ROYA")</f>
        <v>ROYA</v>
      </c>
      <c r="H2315" s="42">
        <f t="shared" si="1"/>
        <v>1080</v>
      </c>
    </row>
    <row r="2316" ht="22.5" customHeight="1">
      <c r="B2316" s="42" t="str">
        <f>IFERROR(__xludf.DUMMYFUNCTION("""COMPUTED_VALUE"""),"L/12/190225/1")</f>
        <v>L/12/190225/1</v>
      </c>
      <c r="C2316" s="42" t="str">
        <f>IFERROR(__xludf.DUMMYFUNCTION("""COMPUTED_VALUE"""),"HGB 61/WAY LAGA")</f>
        <v>HGB 61/WAY LAGA</v>
      </c>
      <c r="D2316" s="42"/>
      <c r="E2316" s="42" t="str">
        <f>IFERROR(__xludf.DUMMYFUNCTION("""COMPUTED_VALUE"""),"DISERAHKAN")</f>
        <v>DISERAHKAN</v>
      </c>
      <c r="F2316" s="48">
        <f>IFERROR(__xludf.DUMMYFUNCTION("""COMPUTED_VALUE"""),45713.70673145833)</f>
        <v>45713.70673</v>
      </c>
      <c r="G2316" s="42" t="str">
        <f>IFERROR(__xludf.DUMMYFUNCTION("""COMPUTED_VALUE"""),"BN JUAL- BELI")</f>
        <v>BN JUAL- BELI</v>
      </c>
      <c r="H2316" s="42">
        <f t="shared" si="1"/>
        <v>1081</v>
      </c>
    </row>
    <row r="2317" ht="22.5" customHeight="1">
      <c r="B2317" s="42" t="str">
        <f>IFERROR(__xludf.DUMMYFUNCTION("""COMPUTED_VALUE"""),"K/13/190225/1")</f>
        <v>K/13/190225/1</v>
      </c>
      <c r="C2317" s="42" t="str">
        <f>IFERROR(__xludf.DUMMYFUNCTION("""COMPUTED_VALUE"""),"M. 323/ Talang")</f>
        <v>M. 323/ Talang</v>
      </c>
      <c r="D2317" s="42"/>
      <c r="E2317" s="42"/>
      <c r="F2317" s="48" t="str">
        <f>IFERROR(__xludf.DUMMYFUNCTION("""COMPUTED_VALUE"""),"")</f>
        <v/>
      </c>
      <c r="G2317" s="42" t="str">
        <f>IFERROR(__xludf.DUMMYFUNCTION("""COMPUTED_VALUE"""),"PTPGT (Pemecahan)")</f>
        <v>PTPGT (Pemecahan)</v>
      </c>
      <c r="H2317" s="42">
        <f t="shared" si="1"/>
        <v>1081</v>
      </c>
    </row>
    <row r="2318" ht="22.5" customHeight="1">
      <c r="B2318" s="42" t="str">
        <f>IFERROR(__xludf.DUMMYFUNCTION("""COMPUTED_VALUE"""),"L/14/190225/1")</f>
        <v>L/14/190225/1</v>
      </c>
      <c r="C2318" s="42" t="str">
        <f>IFERROR(__xludf.DUMMYFUNCTION("""COMPUTED_VALUE"""),"HM 1634/PANJANG UTARA")</f>
        <v>HM 1634/PANJANG UTARA</v>
      </c>
      <c r="D2318" s="42"/>
      <c r="E2318" s="42"/>
      <c r="F2318" s="48" t="str">
        <f>IFERROR(__xludf.DUMMYFUNCTION("""COMPUTED_VALUE"""),"")</f>
        <v/>
      </c>
      <c r="G2318" s="42" t="str">
        <f>IFERROR(__xludf.DUMMYFUNCTION("""COMPUTED_VALUE"""),"PEMECAHAN")</f>
        <v>PEMECAHAN</v>
      </c>
      <c r="H2318" s="42">
        <f t="shared" si="1"/>
        <v>1081</v>
      </c>
    </row>
    <row r="2319" ht="22.5" customHeight="1">
      <c r="B2319" s="42" t="str">
        <f>IFERROR(__xludf.DUMMYFUNCTION("""COMPUTED_VALUE"""),"K/15/190225/1")</f>
        <v>K/15/190225/1</v>
      </c>
      <c r="C2319" s="42" t="str">
        <f>IFERROR(__xludf.DUMMYFUNCTION("""COMPUTED_VALUE"""),"M. 9977/ Kedamaian")</f>
        <v>M. 9977/ Kedamaian</v>
      </c>
      <c r="D2319" s="42"/>
      <c r="E2319" s="42"/>
      <c r="F2319" s="48" t="str">
        <f>IFERROR(__xludf.DUMMYFUNCTION("""COMPUTED_VALUE"""),"")</f>
        <v/>
      </c>
      <c r="G2319" s="42" t="str">
        <f>IFERROR(__xludf.DUMMYFUNCTION("""COMPUTED_VALUE"""),"SKPT LELANG")</f>
        <v>SKPT LELANG</v>
      </c>
      <c r="H2319" s="42">
        <f t="shared" si="1"/>
        <v>1081</v>
      </c>
    </row>
    <row r="2320" ht="22.5" customHeight="1">
      <c r="B2320" s="42" t="str">
        <f>IFERROR(__xludf.DUMMYFUNCTION("""COMPUTED_VALUE"""),"K/16/190225/2")</f>
        <v>K/16/190225/2</v>
      </c>
      <c r="C2320" s="42" t="str">
        <f>IFERROR(__xludf.DUMMYFUNCTION("""COMPUTED_VALUE"""),"M. 300/ Way Laga")</f>
        <v>M. 300/ Way Laga</v>
      </c>
      <c r="D2320" s="42"/>
      <c r="E2320" s="42"/>
      <c r="F2320" s="48" t="str">
        <f>IFERROR(__xludf.DUMMYFUNCTION("""COMPUTED_VALUE"""),"")</f>
        <v/>
      </c>
      <c r="G2320" s="42" t="str">
        <f>IFERROR(__xludf.DUMMYFUNCTION("""COMPUTED_VALUE"""),"M. 300/ Way Laga")</f>
        <v>M. 300/ Way Laga</v>
      </c>
      <c r="H2320" s="42">
        <f t="shared" si="1"/>
        <v>1081</v>
      </c>
    </row>
    <row r="2321" ht="22.5" customHeight="1">
      <c r="B2321" s="42" t="str">
        <f>IFERROR(__xludf.DUMMYFUNCTION("""COMPUTED_VALUE"""),"K/17/190225/3")</f>
        <v>K/17/190225/3</v>
      </c>
      <c r="C2321" s="42" t="str">
        <f>IFERROR(__xludf.DUMMYFUNCTION("""COMPUTED_VALUE"""),"M. 298/ Way laga")</f>
        <v>M. 298/ Way laga</v>
      </c>
      <c r="D2321" s="42"/>
      <c r="E2321" s="42"/>
      <c r="F2321" s="48" t="str">
        <f>IFERROR(__xludf.DUMMYFUNCTION("""COMPUTED_VALUE"""),"")</f>
        <v/>
      </c>
      <c r="G2321" s="42" t="str">
        <f>IFERROR(__xludf.DUMMYFUNCTION("""COMPUTED_VALUE"""),"SKPT LELANG")</f>
        <v>SKPT LELANG</v>
      </c>
      <c r="H2321" s="42">
        <f t="shared" si="1"/>
        <v>1081</v>
      </c>
    </row>
    <row r="2322" ht="22.5" customHeight="1">
      <c r="B2322" s="42" t="str">
        <f>IFERROR(__xludf.DUMMYFUNCTION("""COMPUTED_VALUE"""),"K/18/190225/4")</f>
        <v>K/18/190225/4</v>
      </c>
      <c r="C2322" s="42" t="str">
        <f>IFERROR(__xludf.DUMMYFUNCTION("""COMPUTED_VALUE"""),"M. 299/ Way laga")</f>
        <v>M. 299/ Way laga</v>
      </c>
      <c r="D2322" s="42"/>
      <c r="E2322" s="42"/>
      <c r="F2322" s="48" t="str">
        <f>IFERROR(__xludf.DUMMYFUNCTION("""COMPUTED_VALUE"""),"")</f>
        <v/>
      </c>
      <c r="G2322" s="42" t="str">
        <f>IFERROR(__xludf.DUMMYFUNCTION("""COMPUTED_VALUE"""),"SKPT LELANG")</f>
        <v>SKPT LELANG</v>
      </c>
      <c r="H2322" s="42">
        <f t="shared" si="1"/>
        <v>1081</v>
      </c>
    </row>
    <row r="2323" ht="22.5" customHeight="1">
      <c r="B2323" s="42" t="str">
        <f>IFERROR(__xludf.DUMMYFUNCTION("""COMPUTED_VALUE"""),"K/20/190225/1")</f>
        <v>K/20/190225/1</v>
      </c>
      <c r="C2323" s="42" t="str">
        <f>IFERROR(__xludf.DUMMYFUNCTION("""COMPUTED_VALUE"""),"M. 16669/ Sukabumi")</f>
        <v>M. 16669/ Sukabumi</v>
      </c>
      <c r="D2323" s="42"/>
      <c r="E2323" s="42" t="str">
        <f>IFERROR(__xludf.DUMMYFUNCTION("""COMPUTED_VALUE"""),"DISERAHKAN")</f>
        <v>DISERAHKAN</v>
      </c>
      <c r="F2323" s="48">
        <f>IFERROR(__xludf.DUMMYFUNCTION("""COMPUTED_VALUE"""),45722.50600177083)</f>
        <v>45722.506</v>
      </c>
      <c r="G2323" s="42" t="str">
        <f>IFERROR(__xludf.DUMMYFUNCTION("""COMPUTED_VALUE"""),"BN Jual Beli")</f>
        <v>BN Jual Beli</v>
      </c>
      <c r="H2323" s="42">
        <f t="shared" si="1"/>
        <v>1082</v>
      </c>
    </row>
    <row r="2324" ht="22.5" customHeight="1">
      <c r="B2324" s="42" t="str">
        <f>IFERROR(__xludf.DUMMYFUNCTION("""COMPUTED_VALUE"""),"K/19/190225/1")</f>
        <v>K/19/190225/1</v>
      </c>
      <c r="C2324" s="42" t="str">
        <f>IFERROR(__xludf.DUMMYFUNCTION("""COMPUTED_VALUE"""),"B.892/TANJUNG SENENG")</f>
        <v>B.892/TANJUNG SENENG</v>
      </c>
      <c r="D2324" s="42"/>
      <c r="E2324" s="42"/>
      <c r="F2324" s="48" t="str">
        <f>IFERROR(__xludf.DUMMYFUNCTION("""COMPUTED_VALUE"""),"")</f>
        <v/>
      </c>
      <c r="G2324" s="42" t="str">
        <f>IFERROR(__xludf.DUMMYFUNCTION("""COMPUTED_VALUE"""),"TANAH MENTAH")</f>
        <v>TANAH MENTAH</v>
      </c>
      <c r="H2324" s="42">
        <f t="shared" si="1"/>
        <v>1082</v>
      </c>
    </row>
    <row r="2325" ht="22.5" customHeight="1">
      <c r="B2325" s="42" t="str">
        <f>IFERROR(__xludf.DUMMYFUNCTION("""COMPUTED_VALUE"""),"L/21/190225/1")</f>
        <v>L/21/190225/1</v>
      </c>
      <c r="C2325" s="42" t="str">
        <f>IFERROR(__xludf.DUMMYFUNCTION("""COMPUTED_VALUE"""),"HM 3508/GUNUNG TERANG")</f>
        <v>HM 3508/GUNUNG TERANG</v>
      </c>
      <c r="D2325" s="42"/>
      <c r="E2325" s="42" t="str">
        <f>IFERROR(__xludf.DUMMYFUNCTION("""COMPUTED_VALUE"""),"DISERAHKAN")</f>
        <v>DISERAHKAN</v>
      </c>
      <c r="F2325" s="48">
        <f>IFERROR(__xludf.DUMMYFUNCTION("""COMPUTED_VALUE"""),45720.56423364583)</f>
        <v>45720.56423</v>
      </c>
      <c r="G2325" s="42" t="str">
        <f>IFERROR(__xludf.DUMMYFUNCTION("""COMPUTED_VALUE"""),"ROYA")</f>
        <v>ROYA</v>
      </c>
      <c r="H2325" s="42">
        <f t="shared" si="1"/>
        <v>1083</v>
      </c>
    </row>
    <row r="2326" ht="22.5" customHeight="1">
      <c r="B2326" s="42" t="str">
        <f>IFERROR(__xludf.DUMMYFUNCTION("""COMPUTED_VALUE"""),"L/22/190225/1")</f>
        <v>L/22/190225/1</v>
      </c>
      <c r="C2326" s="42" t="str">
        <f>IFERROR(__xludf.DUMMYFUNCTION("""COMPUTED_VALUE"""),"HM 1626/SUMBER AGUNG")</f>
        <v>HM 1626/SUMBER AGUNG</v>
      </c>
      <c r="D2326" s="42"/>
      <c r="E2326" s="42"/>
      <c r="F2326" s="48" t="str">
        <f>IFERROR(__xludf.DUMMYFUNCTION("""COMPUTED_VALUE"""),"")</f>
        <v/>
      </c>
      <c r="G2326" s="42" t="str">
        <f>IFERROR(__xludf.DUMMYFUNCTION("""COMPUTED_VALUE"""),"PENGHAPUSAN BPHTB")</f>
        <v>PENGHAPUSAN BPHTB</v>
      </c>
      <c r="H2326" s="42">
        <f t="shared" si="1"/>
        <v>1083</v>
      </c>
    </row>
    <row r="2327" ht="22.5" customHeight="1">
      <c r="B2327" s="42" t="str">
        <f>IFERROR(__xludf.DUMMYFUNCTION("""COMPUTED_VALUE"""),"K/23/190225/1")</f>
        <v>K/23/190225/1</v>
      </c>
      <c r="C2327" s="42" t="str">
        <f>IFERROR(__xludf.DUMMYFUNCTION("""COMPUTED_VALUE"""),"PBT 28/2025")</f>
        <v>PBT 28/2025</v>
      </c>
      <c r="D2327" s="42"/>
      <c r="E2327" s="42"/>
      <c r="F2327" s="48" t="str">
        <f>IFERROR(__xludf.DUMMYFUNCTION("""COMPUTED_VALUE"""),"")</f>
        <v/>
      </c>
      <c r="G2327" s="42" t="str">
        <f>IFERROR(__xludf.DUMMYFUNCTION("""COMPUTED_VALUE"""),"PTPGT PERTAMA KALI")</f>
        <v>PTPGT PERTAMA KALI</v>
      </c>
      <c r="H2327" s="42">
        <f t="shared" si="1"/>
        <v>1083</v>
      </c>
    </row>
    <row r="2328" ht="22.5" customHeight="1">
      <c r="B2328" s="42" t="str">
        <f>IFERROR(__xludf.DUMMYFUNCTION("""COMPUTED_VALUE"""),"K/26/190225/1")</f>
        <v>K/26/190225/1</v>
      </c>
      <c r="C2328" s="42" t="str">
        <f>IFERROR(__xludf.DUMMYFUNCTION("""COMPUTED_VALUE"""),"M.15677/SUKABUMI")</f>
        <v>M.15677/SUKABUMI</v>
      </c>
      <c r="D2328" s="42"/>
      <c r="E2328" s="42" t="str">
        <f>IFERROR(__xludf.DUMMYFUNCTION("""COMPUTED_VALUE"""),"DISERAHKAN")</f>
        <v>DISERAHKAN</v>
      </c>
      <c r="F2328" s="48">
        <f>IFERROR(__xludf.DUMMYFUNCTION("""COMPUTED_VALUE"""),45720.43920230324)</f>
        <v>45720.4392</v>
      </c>
      <c r="G2328" s="42" t="str">
        <f>IFERROR(__xludf.DUMMYFUNCTION("""COMPUTED_VALUE"""),"BN JUAL BELI")</f>
        <v>BN JUAL BELI</v>
      </c>
      <c r="H2328" s="42">
        <f t="shared" si="1"/>
        <v>1084</v>
      </c>
    </row>
    <row r="2329" ht="22.5" customHeight="1">
      <c r="B2329" s="42" t="str">
        <f>IFERROR(__xludf.DUMMYFUNCTION("""COMPUTED_VALUE"""),"K/27/190225/2")</f>
        <v>K/27/190225/2</v>
      </c>
      <c r="C2329" s="42" t="str">
        <f>IFERROR(__xludf.DUMMYFUNCTION("""COMPUTED_VALUE"""),"M.16547/SUKABUMI")</f>
        <v>M.16547/SUKABUMI</v>
      </c>
      <c r="D2329" s="42"/>
      <c r="E2329" s="42" t="str">
        <f>IFERROR(__xludf.DUMMYFUNCTION("""COMPUTED_VALUE"""),"DISERAHKAN")</f>
        <v>DISERAHKAN</v>
      </c>
      <c r="F2329" s="48">
        <f>IFERROR(__xludf.DUMMYFUNCTION("""COMPUTED_VALUE"""),45713.70607689815)</f>
        <v>45713.70608</v>
      </c>
      <c r="G2329" s="42" t="str">
        <f>IFERROR(__xludf.DUMMYFUNCTION("""COMPUTED_VALUE"""),"BN JUAL BELI")</f>
        <v>BN JUAL BELI</v>
      </c>
      <c r="H2329" s="42">
        <f t="shared" si="1"/>
        <v>1085</v>
      </c>
    </row>
    <row r="2330" ht="22.5" customHeight="1">
      <c r="B2330" s="42" t="str">
        <f>IFERROR(__xludf.DUMMYFUNCTION("""COMPUTED_VALUE"""),"K/28/190225/1")</f>
        <v>K/28/190225/1</v>
      </c>
      <c r="C2330" s="42" t="str">
        <f>IFERROR(__xludf.DUMMYFUNCTION("""COMPUTED_VALUE"""),"Nibel. B. 3074.1/ Keteguhan")</f>
        <v>Nibel. B. 3074.1/ Keteguhan</v>
      </c>
      <c r="D2330" s="42"/>
      <c r="E2330" s="42"/>
      <c r="F2330" s="48" t="str">
        <f>IFERROR(__xludf.DUMMYFUNCTION("""COMPUTED_VALUE"""),"")</f>
        <v/>
      </c>
      <c r="G2330" s="42" t="str">
        <f>IFERROR(__xludf.DUMMYFUNCTION("""COMPUTED_VALUE"""),"Perubahan Hak")</f>
        <v>Perubahan Hak</v>
      </c>
      <c r="H2330" s="42">
        <f t="shared" si="1"/>
        <v>1085</v>
      </c>
    </row>
    <row r="2331" ht="22.5" customHeight="1">
      <c r="B2331" s="42" t="str">
        <f>IFERROR(__xludf.DUMMYFUNCTION("""COMPUTED_VALUE"""),"K/24/190225/2")</f>
        <v>K/24/190225/2</v>
      </c>
      <c r="C2331" s="42" t="str">
        <f>IFERROR(__xludf.DUMMYFUNCTION("""COMPUTED_VALUE"""),"PBT 27/2025")</f>
        <v>PBT 27/2025</v>
      </c>
      <c r="D2331" s="42"/>
      <c r="E2331" s="42"/>
      <c r="F2331" s="48" t="str">
        <f>IFERROR(__xludf.DUMMYFUNCTION("""COMPUTED_VALUE"""),"")</f>
        <v/>
      </c>
      <c r="G2331" s="42" t="str">
        <f>IFERROR(__xludf.DUMMYFUNCTION("""COMPUTED_VALUE"""),"PTPGT PERTAMA KALI")</f>
        <v>PTPGT PERTAMA KALI</v>
      </c>
      <c r="H2331" s="42">
        <f t="shared" si="1"/>
        <v>1085</v>
      </c>
    </row>
    <row r="2332" ht="22.5" customHeight="1">
      <c r="B2332" s="42" t="str">
        <f>IFERROR(__xludf.DUMMYFUNCTION("""COMPUTED_VALUE"""),"L/29/190225/1")</f>
        <v>L/29/190225/1</v>
      </c>
      <c r="C2332" s="42" t="str">
        <f>IFERROR(__xludf.DUMMYFUNCTION("""COMPUTED_VALUE"""),"HM 617/SAWAH LAMA")</f>
        <v>HM 617/SAWAH LAMA</v>
      </c>
      <c r="D2332" s="42"/>
      <c r="E2332" s="42" t="str">
        <f>IFERROR(__xludf.DUMMYFUNCTION("""COMPUTED_VALUE"""),"DISERAHKAN")</f>
        <v>DISERAHKAN</v>
      </c>
      <c r="F2332" s="48">
        <f>IFERROR(__xludf.DUMMYFUNCTION("""COMPUTED_VALUE"""),45721.60329223379)</f>
        <v>45721.60329</v>
      </c>
      <c r="G2332" s="42" t="str">
        <f>IFERROR(__xludf.DUMMYFUNCTION("""COMPUTED_VALUE"""),"ROYA LELANG")</f>
        <v>ROYA LELANG</v>
      </c>
      <c r="H2332" s="42">
        <f t="shared" si="1"/>
        <v>1086</v>
      </c>
    </row>
    <row r="2333" ht="22.5" customHeight="1">
      <c r="B2333" s="42" t="str">
        <f>IFERROR(__xludf.DUMMYFUNCTION("""COMPUTED_VALUE"""),"K/30/190225/1")</f>
        <v>K/30/190225/1</v>
      </c>
      <c r="C2333" s="42" t="str">
        <f>IFERROR(__xludf.DUMMYFUNCTION("""COMPUTED_VALUE"""),"M.1990/LABUHAN RATU RAYA")</f>
        <v>M.1990/LABUHAN RATU RAYA</v>
      </c>
      <c r="D2333" s="42"/>
      <c r="E2333" s="42" t="str">
        <f>IFERROR(__xludf.DUMMYFUNCTION("""COMPUTED_VALUE"""),"DISERAHKAN")</f>
        <v>DISERAHKAN</v>
      </c>
      <c r="F2333" s="48">
        <f>IFERROR(__xludf.DUMMYFUNCTION("""COMPUTED_VALUE"""),45722.50005944444)</f>
        <v>45722.50006</v>
      </c>
      <c r="G2333" s="42" t="str">
        <f>IFERROR(__xludf.DUMMYFUNCTION("""COMPUTED_VALUE"""),"JUAL BELI")</f>
        <v>JUAL BELI</v>
      </c>
      <c r="H2333" s="42">
        <f t="shared" si="1"/>
        <v>1087</v>
      </c>
    </row>
    <row r="2334" ht="22.5" customHeight="1">
      <c r="B2334" s="42" t="str">
        <f>IFERROR(__xludf.DUMMYFUNCTION("""COMPUTED_VALUE"""),"K/25/190225/3")</f>
        <v>K/25/190225/3</v>
      </c>
      <c r="C2334" s="42" t="str">
        <f>IFERROR(__xludf.DUMMYFUNCTION("""COMPUTED_VALUE"""),"PBT 29/2026")</f>
        <v>PBT 29/2026</v>
      </c>
      <c r="D2334" s="42"/>
      <c r="E2334" s="42"/>
      <c r="F2334" s="48" t="str">
        <f>IFERROR(__xludf.DUMMYFUNCTION("""COMPUTED_VALUE"""),"")</f>
        <v/>
      </c>
      <c r="G2334" s="42" t="str">
        <f>IFERROR(__xludf.DUMMYFUNCTION("""COMPUTED_VALUE"""),"PTPGT PERTAMA KALI")</f>
        <v>PTPGT PERTAMA KALI</v>
      </c>
      <c r="H2334" s="42">
        <f t="shared" si="1"/>
        <v>1087</v>
      </c>
    </row>
    <row r="2335" ht="22.5" customHeight="1">
      <c r="B2335" s="42" t="str">
        <f>IFERROR(__xludf.DUMMYFUNCTION("""COMPUTED_VALUE"""),"K/32/190225/1")</f>
        <v>K/32/190225/1</v>
      </c>
      <c r="C2335" s="42" t="str">
        <f>IFERROR(__xludf.DUMMYFUNCTION("""COMPUTED_VALUE"""),"M.4184/CAMPANG RAYA")</f>
        <v>M.4184/CAMPANG RAYA</v>
      </c>
      <c r="D2335" s="42"/>
      <c r="E2335" s="42" t="str">
        <f>IFERROR(__xludf.DUMMYFUNCTION("""COMPUTED_VALUE"""),"DISERAHKAN")</f>
        <v>DISERAHKAN</v>
      </c>
      <c r="F2335" s="48">
        <f>IFERROR(__xludf.DUMMYFUNCTION("""COMPUTED_VALUE"""),45720.43920230324)</f>
        <v>45720.4392</v>
      </c>
      <c r="G2335" s="42" t="str">
        <f>IFERROR(__xludf.DUMMYFUNCTION("""COMPUTED_VALUE"""),"BN JUAL BELI")</f>
        <v>BN JUAL BELI</v>
      </c>
      <c r="H2335" s="42">
        <f t="shared" si="1"/>
        <v>1088</v>
      </c>
    </row>
    <row r="2336" ht="22.5" customHeight="1">
      <c r="B2336" s="42" t="str">
        <f>IFERROR(__xludf.DUMMYFUNCTION("""COMPUTED_VALUE"""),"K/33/190225/2")</f>
        <v>K/33/190225/2</v>
      </c>
      <c r="C2336" s="42" t="str">
        <f>IFERROR(__xludf.DUMMYFUNCTION("""COMPUTED_VALUE"""),"M.5100/RAJABASA JAYA")</f>
        <v>M.5100/RAJABASA JAYA</v>
      </c>
      <c r="D2336" s="42"/>
      <c r="E2336" s="42" t="str">
        <f>IFERROR(__xludf.DUMMYFUNCTION("""COMPUTED_VALUE"""),"DISERAHKAN")</f>
        <v>DISERAHKAN</v>
      </c>
      <c r="F2336" s="48">
        <f>IFERROR(__xludf.DUMMYFUNCTION("""COMPUTED_VALUE"""),45713.707097210645)</f>
        <v>45713.7071</v>
      </c>
      <c r="G2336" s="42" t="str">
        <f>IFERROR(__xludf.DUMMYFUNCTION("""COMPUTED_VALUE"""),"JUAL BELI")</f>
        <v>JUAL BELI</v>
      </c>
      <c r="H2336" s="42">
        <f t="shared" si="1"/>
        <v>1089</v>
      </c>
    </row>
    <row r="2337" ht="22.5" customHeight="1">
      <c r="B2337" s="42" t="str">
        <f>IFERROR(__xludf.DUMMYFUNCTION("""COMPUTED_VALUE"""),"L/34/190225/1")</f>
        <v>L/34/190225/1</v>
      </c>
      <c r="C2337" s="42" t="str">
        <f>IFERROR(__xludf.DUMMYFUNCTION("""COMPUTED_VALUE"""),"HM 2665/CAMPANG RAYA")</f>
        <v>HM 2665/CAMPANG RAYA</v>
      </c>
      <c r="D2337" s="42"/>
      <c r="E2337" s="42"/>
      <c r="F2337" s="48" t="str">
        <f>IFERROR(__xludf.DUMMYFUNCTION("""COMPUTED_VALUE"""),"")</f>
        <v/>
      </c>
      <c r="G2337" s="42" t="str">
        <f>IFERROR(__xludf.DUMMYFUNCTION("""COMPUTED_VALUE"""),"ROYA")</f>
        <v>ROYA</v>
      </c>
      <c r="H2337" s="42">
        <f t="shared" si="1"/>
        <v>1089</v>
      </c>
    </row>
    <row r="2338" ht="22.5" customHeight="1">
      <c r="B2338" s="42" t="str">
        <f>IFERROR(__xludf.DUMMYFUNCTION("""COMPUTED_VALUE"""),"K/33/190225/2")</f>
        <v>K/33/190225/2</v>
      </c>
      <c r="C2338" s="42" t="str">
        <f>IFERROR(__xludf.DUMMYFUNCTION("""COMPUTED_VALUE"""),"B.1223/KEMILING PERMAI")</f>
        <v>B.1223/KEMILING PERMAI</v>
      </c>
      <c r="D2338" s="42"/>
      <c r="E2338" s="42" t="str">
        <f>IFERROR(__xludf.DUMMYFUNCTION("""COMPUTED_VALUE"""),"DISERAHKAN")</f>
        <v>DISERAHKAN</v>
      </c>
      <c r="F2338" s="48">
        <f>IFERROR(__xludf.DUMMYFUNCTION("""COMPUTED_VALUE"""),45743.43580358796)</f>
        <v>45743.4358</v>
      </c>
      <c r="G2338" s="42" t="str">
        <f>IFERROR(__xludf.DUMMYFUNCTION("""COMPUTED_VALUE"""),"BN JUAL BELI")</f>
        <v>BN JUAL BELI</v>
      </c>
      <c r="H2338" s="42">
        <f t="shared" si="1"/>
        <v>1090</v>
      </c>
    </row>
    <row r="2339" ht="22.5" customHeight="1">
      <c r="B2339" s="42" t="str">
        <f>IFERROR(__xludf.DUMMYFUNCTION("""COMPUTED_VALUE"""),"K/35/190225/1")</f>
        <v>K/35/190225/1</v>
      </c>
      <c r="C2339" s="42" t="str">
        <f>IFERROR(__xludf.DUMMYFUNCTION("""COMPUTED_VALUE"""),"M.5608/LANGKAPURA DAN NIBEL M 12752/LANGKAPURA")</f>
        <v>M.5608/LANGKAPURA DAN NIBEL M 12752/LANGKAPURA</v>
      </c>
      <c r="D2339" s="42"/>
      <c r="E2339" s="42"/>
      <c r="F2339" s="48" t="str">
        <f>IFERROR(__xludf.DUMMYFUNCTION("""COMPUTED_VALUE"""),"")</f>
        <v/>
      </c>
      <c r="G2339" s="42" t="str">
        <f>IFERROR(__xludf.DUMMYFUNCTION("""COMPUTED_VALUE"""),"PENGGABUNGAN")</f>
        <v>PENGGABUNGAN</v>
      </c>
      <c r="H2339" s="42">
        <f t="shared" si="1"/>
        <v>1090</v>
      </c>
    </row>
    <row r="2340" ht="22.5" customHeight="1">
      <c r="B2340" s="42" t="str">
        <f>IFERROR(__xludf.DUMMYFUNCTION("""COMPUTED_VALUE"""),"K/36/190225/1")</f>
        <v>K/36/190225/1</v>
      </c>
      <c r="C2340" s="42" t="str">
        <f>IFERROR(__xludf.DUMMYFUNCTION("""COMPUTED_VALUE"""),"M.88/PERUMNAS WAY KANDIS")</f>
        <v>M.88/PERUMNAS WAY KANDIS</v>
      </c>
      <c r="D2340" s="42"/>
      <c r="E2340" s="42" t="str">
        <f>IFERROR(__xludf.DUMMYFUNCTION("""COMPUTED_VALUE"""),"DISERAHKAN")</f>
        <v>DISERAHKAN</v>
      </c>
      <c r="F2340" s="48">
        <f>IFERROR(__xludf.DUMMYFUNCTION("""COMPUTED_VALUE"""),45722.50078181713)</f>
        <v>45722.50078</v>
      </c>
      <c r="G2340" s="42" t="str">
        <f>IFERROR(__xludf.DUMMYFUNCTION("""COMPUTED_VALUE"""),"HIBAH")</f>
        <v>HIBAH</v>
      </c>
      <c r="H2340" s="42">
        <f t="shared" si="1"/>
        <v>1091</v>
      </c>
    </row>
    <row r="2341" ht="22.5" customHeight="1">
      <c r="B2341" s="42" t="str">
        <f>IFERROR(__xludf.DUMMYFUNCTION("""COMPUTED_VALUE"""),"L/39/190225/1")</f>
        <v>L/39/190225/1</v>
      </c>
      <c r="C2341" s="42" t="str">
        <f>IFERROR(__xludf.DUMMYFUNCTION("""COMPUTED_VALUE"""),"HGB 1372/KEMILING PERMAI")</f>
        <v>HGB 1372/KEMILING PERMAI</v>
      </c>
      <c r="D2341" s="42"/>
      <c r="E2341" s="42"/>
      <c r="F2341" s="48" t="str">
        <f>IFERROR(__xludf.DUMMYFUNCTION("""COMPUTED_VALUE"""),"")</f>
        <v/>
      </c>
      <c r="G2341" s="42" t="str">
        <f>IFERROR(__xludf.DUMMYFUNCTION("""COMPUTED_VALUE"""),"PH")</f>
        <v>PH</v>
      </c>
      <c r="H2341" s="42">
        <f t="shared" si="1"/>
        <v>1091</v>
      </c>
    </row>
    <row r="2342" ht="22.5" customHeight="1">
      <c r="B2342" s="42" t="str">
        <f>IFERROR(__xludf.DUMMYFUNCTION("""COMPUTED_VALUE"""),"K/37/190225/1")</f>
        <v>K/37/190225/1</v>
      </c>
      <c r="C2342" s="42" t="str">
        <f>IFERROR(__xludf.DUMMYFUNCTION("""COMPUTED_VALUE"""),"NIbel 16083/ Gunung Terang")</f>
        <v>NIbel 16083/ Gunung Terang</v>
      </c>
      <c r="D2342" s="42"/>
      <c r="E2342" s="42"/>
      <c r="F2342" s="48" t="str">
        <f>IFERROR(__xludf.DUMMYFUNCTION("""COMPUTED_VALUE"""),"")</f>
        <v/>
      </c>
      <c r="G2342" s="42" t="str">
        <f>IFERROR(__xludf.DUMMYFUNCTION("""COMPUTED_VALUE"""),"BN JUAL BELI")</f>
        <v>BN JUAL BELI</v>
      </c>
      <c r="H2342" s="42">
        <f t="shared" si="1"/>
        <v>1091</v>
      </c>
    </row>
    <row r="2343" ht="22.5" customHeight="1">
      <c r="B2343" s="42" t="str">
        <f>IFERROR(__xludf.DUMMYFUNCTION("""COMPUTED_VALUE"""),"K/38/190225/2")</f>
        <v>K/38/190225/2</v>
      </c>
      <c r="C2343" s="42" t="str">
        <f>IFERROR(__xludf.DUMMYFUNCTION("""COMPUTED_VALUE"""),"M. 4346/ Gunung terang")</f>
        <v>M. 4346/ Gunung terang</v>
      </c>
      <c r="D2343" s="42"/>
      <c r="E2343" s="42" t="str">
        <f>IFERROR(__xludf.DUMMYFUNCTION("""COMPUTED_VALUE"""),"DISERAHKAN")</f>
        <v>DISERAHKAN</v>
      </c>
      <c r="F2343" s="48">
        <f>IFERROR(__xludf.DUMMYFUNCTION("""COMPUTED_VALUE"""),45722.50355349537)</f>
        <v>45722.50355</v>
      </c>
      <c r="G2343" s="42" t="str">
        <f>IFERROR(__xludf.DUMMYFUNCTION("""COMPUTED_VALUE"""),"BN WARIS")</f>
        <v>BN WARIS</v>
      </c>
      <c r="H2343" s="42">
        <f t="shared" si="1"/>
        <v>1092</v>
      </c>
    </row>
    <row r="2344" ht="22.5" customHeight="1">
      <c r="B2344" s="42" t="str">
        <f>IFERROR(__xludf.DUMMYFUNCTION("""COMPUTED_VALUE"""),"K/41/190225/1")</f>
        <v>K/41/190225/1</v>
      </c>
      <c r="C2344" s="42" t="str">
        <f>IFERROR(__xludf.DUMMYFUNCTION("""COMPUTED_VALUE"""),"M. 1789/ Way Laga")</f>
        <v>M. 1789/ Way Laga</v>
      </c>
      <c r="D2344" s="42"/>
      <c r="E2344" s="42"/>
      <c r="F2344" s="48" t="str">
        <f>IFERROR(__xludf.DUMMYFUNCTION("""COMPUTED_VALUE"""),"")</f>
        <v/>
      </c>
      <c r="G2344" s="42" t="str">
        <f>IFERROR(__xludf.DUMMYFUNCTION("""COMPUTED_VALUE"""),"Hapus BPHTB")</f>
        <v>Hapus BPHTB</v>
      </c>
      <c r="H2344" s="42">
        <f t="shared" si="1"/>
        <v>1092</v>
      </c>
    </row>
    <row r="2345" ht="22.5" customHeight="1">
      <c r="B2345" s="42" t="str">
        <f>IFERROR(__xludf.DUMMYFUNCTION("""COMPUTED_VALUE"""),"K/40/190225/1")</f>
        <v>K/40/190225/1</v>
      </c>
      <c r="C2345" s="42" t="str">
        <f>IFERROR(__xludf.DUMMYFUNCTION("""COMPUTED_VALUE"""),"Nibel. M. 16733/ Bumi Waras")</f>
        <v>Nibel. M. 16733/ Bumi Waras</v>
      </c>
      <c r="D2345" s="42"/>
      <c r="E2345" s="42"/>
      <c r="F2345" s="48" t="str">
        <f>IFERROR(__xludf.DUMMYFUNCTION("""COMPUTED_VALUE"""),"")</f>
        <v/>
      </c>
      <c r="G2345" s="42" t="str">
        <f>IFERROR(__xludf.DUMMYFUNCTION("""COMPUTED_VALUE"""),"BN Jual Beli")</f>
        <v>BN Jual Beli</v>
      </c>
      <c r="H2345" s="42">
        <f t="shared" si="1"/>
        <v>1092</v>
      </c>
    </row>
    <row r="2346" ht="22.5" customHeight="1">
      <c r="B2346" s="42" t="str">
        <f>IFERROR(__xludf.DUMMYFUNCTION("""COMPUTED_VALUE"""),"L/1/200225/1")</f>
        <v>L/1/200225/1</v>
      </c>
      <c r="C2346" s="42" t="str">
        <f>IFERROR(__xludf.DUMMYFUNCTION("""COMPUTED_VALUE"""),"HM 9150/SEGALA MIDER")</f>
        <v>HM 9150/SEGALA MIDER</v>
      </c>
      <c r="D2346" s="42"/>
      <c r="E2346" s="42"/>
      <c r="F2346" s="48" t="str">
        <f>IFERROR(__xludf.DUMMYFUNCTION("""COMPUTED_VALUE"""),"")</f>
        <v/>
      </c>
      <c r="G2346" s="42" t="str">
        <f>IFERROR(__xludf.DUMMYFUNCTION("""COMPUTED_VALUE"""),"GANTI BLANKO")</f>
        <v>GANTI BLANKO</v>
      </c>
      <c r="H2346" s="42">
        <f t="shared" si="1"/>
        <v>1092</v>
      </c>
    </row>
    <row r="2347" ht="22.5" customHeight="1">
      <c r="B2347" s="42" t="str">
        <f>IFERROR(__xludf.DUMMYFUNCTION("""COMPUTED_VALUE"""),"K/3/200225/1")</f>
        <v>K/3/200225/1</v>
      </c>
      <c r="C2347" s="42" t="str">
        <f>IFERROR(__xludf.DUMMYFUNCTION("""COMPUTED_VALUE"""),"B. 1064/ kemiling Permai")</f>
        <v>B. 1064/ kemiling Permai</v>
      </c>
      <c r="D2347" s="42"/>
      <c r="E2347" s="42" t="str">
        <f>IFERROR(__xludf.DUMMYFUNCTION("""COMPUTED_VALUE"""),"DISERAHKAN")</f>
        <v>DISERAHKAN</v>
      </c>
      <c r="F2347" s="48">
        <f>IFERROR(__xludf.DUMMYFUNCTION("""COMPUTED_VALUE"""),45720.43920230324)</f>
        <v>45720.4392</v>
      </c>
      <c r="G2347" s="42" t="str">
        <f>IFERROR(__xludf.DUMMYFUNCTION("""COMPUTED_VALUE"""),"BN JUAL BELI")</f>
        <v>BN JUAL BELI</v>
      </c>
      <c r="H2347" s="42">
        <f t="shared" si="1"/>
        <v>1093</v>
      </c>
    </row>
    <row r="2348" ht="22.5" customHeight="1">
      <c r="B2348" s="42" t="str">
        <f>IFERROR(__xludf.DUMMYFUNCTION("""COMPUTED_VALUE"""),"K/2/200225/1")</f>
        <v>K/2/200225/1</v>
      </c>
      <c r="C2348" s="42" t="str">
        <f>IFERROR(__xludf.DUMMYFUNCTION("""COMPUTED_VALUE"""),"M. 1193/ Sukamaju")</f>
        <v>M. 1193/ Sukamaju</v>
      </c>
      <c r="D2348" s="42"/>
      <c r="E2348" s="42" t="str">
        <f>IFERROR(__xludf.DUMMYFUNCTION("""COMPUTED_VALUE"""),"DISERAHKAN")</f>
        <v>DISERAHKAN</v>
      </c>
      <c r="F2348" s="48">
        <f>IFERROR(__xludf.DUMMYFUNCTION("""COMPUTED_VALUE"""),45720.43920230324)</f>
        <v>45720.4392</v>
      </c>
      <c r="G2348" s="42" t="str">
        <f>IFERROR(__xludf.DUMMYFUNCTION("""COMPUTED_VALUE"""),"BN Juak Beli")</f>
        <v>BN Juak Beli</v>
      </c>
      <c r="H2348" s="42">
        <f t="shared" si="1"/>
        <v>1094</v>
      </c>
    </row>
    <row r="2349" ht="22.5" customHeight="1">
      <c r="B2349" s="42" t="str">
        <f>IFERROR(__xludf.DUMMYFUNCTION("""COMPUTED_VALUE"""),"K/4/200225/2")</f>
        <v>K/4/200225/2</v>
      </c>
      <c r="C2349" s="42" t="str">
        <f>IFERROR(__xludf.DUMMYFUNCTION("""COMPUTED_VALUE"""),"B. 543/ kemiling Permai")</f>
        <v>B. 543/ kemiling Permai</v>
      </c>
      <c r="D2349" s="42"/>
      <c r="E2349" s="42" t="str">
        <f>IFERROR(__xludf.DUMMYFUNCTION("""COMPUTED_VALUE"""),"DISERAHKAN")</f>
        <v>DISERAHKAN</v>
      </c>
      <c r="F2349" s="48">
        <f>IFERROR(__xludf.DUMMYFUNCTION("""COMPUTED_VALUE"""),45736.60377313657)</f>
        <v>45736.60377</v>
      </c>
      <c r="G2349" s="42" t="str">
        <f>IFERROR(__xludf.DUMMYFUNCTION("""COMPUTED_VALUE"""),"BN JUAL BELI")</f>
        <v>BN JUAL BELI</v>
      </c>
      <c r="H2349" s="42">
        <f t="shared" si="1"/>
        <v>1095</v>
      </c>
    </row>
    <row r="2350" ht="22.5" customHeight="1">
      <c r="B2350" s="42" t="str">
        <f>IFERROR(__xludf.DUMMYFUNCTION("""COMPUTED_VALUE"""),"K/8/200225/2")</f>
        <v>K/8/200225/2</v>
      </c>
      <c r="C2350" s="42" t="str">
        <f>IFERROR(__xludf.DUMMYFUNCTION("""COMPUTED_VALUE"""),"Nibel. M. 2476/ Labuhan Ratu")</f>
        <v>Nibel. M. 2476/ Labuhan Ratu</v>
      </c>
      <c r="D2350" s="42"/>
      <c r="E2350" s="42"/>
      <c r="F2350" s="48" t="str">
        <f>IFERROR(__xludf.DUMMYFUNCTION("""COMPUTED_VALUE"""),"")</f>
        <v/>
      </c>
      <c r="G2350" s="42" t="str">
        <f>IFERROR(__xludf.DUMMYFUNCTION("""COMPUTED_VALUE"""),"BN PHB")</f>
        <v>BN PHB</v>
      </c>
      <c r="H2350" s="42">
        <f t="shared" si="1"/>
        <v>1095</v>
      </c>
    </row>
    <row r="2351" ht="22.5" customHeight="1">
      <c r="B2351" s="42" t="str">
        <f>IFERROR(__xludf.DUMMYFUNCTION("""COMPUTED_VALUE"""),"K/5/200225/3")</f>
        <v>K/5/200225/3</v>
      </c>
      <c r="C2351" s="42" t="str">
        <f>IFERROR(__xludf.DUMMYFUNCTION("""COMPUTED_VALUE"""),"B. 1063/ Kemiling Permai")</f>
        <v>B. 1063/ Kemiling Permai</v>
      </c>
      <c r="D2351" s="42"/>
      <c r="E2351" s="42" t="str">
        <f>IFERROR(__xludf.DUMMYFUNCTION("""COMPUTED_VALUE"""),"DISERAHKAN")</f>
        <v>DISERAHKAN</v>
      </c>
      <c r="F2351" s="48">
        <f>IFERROR(__xludf.DUMMYFUNCTION("""COMPUTED_VALUE"""),45720.43920230324)</f>
        <v>45720.4392</v>
      </c>
      <c r="G2351" s="42" t="str">
        <f>IFERROR(__xludf.DUMMYFUNCTION("""COMPUTED_VALUE"""),"BN JUAL BELI")</f>
        <v>BN JUAL BELI</v>
      </c>
      <c r="H2351" s="42">
        <f t="shared" si="1"/>
        <v>1096</v>
      </c>
    </row>
    <row r="2352" ht="22.5" customHeight="1">
      <c r="B2352" s="42" t="str">
        <f>IFERROR(__xludf.DUMMYFUNCTION("""COMPUTED_VALUE"""),"K/9/200225/3")</f>
        <v>K/9/200225/3</v>
      </c>
      <c r="C2352" s="42" t="str">
        <f>IFERROR(__xludf.DUMMYFUNCTION("""COMPUTED_VALUE"""),"M. 9205/ Gedong Meneng")</f>
        <v>M. 9205/ Gedong Meneng</v>
      </c>
      <c r="D2352" s="42"/>
      <c r="E2352" s="42" t="str">
        <f>IFERROR(__xludf.DUMMYFUNCTION("""COMPUTED_VALUE"""),"DISERAHKAN")</f>
        <v>DISERAHKAN</v>
      </c>
      <c r="F2352" s="48">
        <f>IFERROR(__xludf.DUMMYFUNCTION("""COMPUTED_VALUE"""),45722.508452256945)</f>
        <v>45722.50845</v>
      </c>
      <c r="G2352" s="42" t="str">
        <f>IFERROR(__xludf.DUMMYFUNCTION("""COMPUTED_VALUE"""),"BN Jual Beli")</f>
        <v>BN Jual Beli</v>
      </c>
      <c r="H2352" s="42">
        <f t="shared" si="1"/>
        <v>1097</v>
      </c>
    </row>
    <row r="2353" ht="22.5" customHeight="1">
      <c r="B2353" s="42" t="str">
        <f>IFERROR(__xludf.DUMMYFUNCTION("""COMPUTED_VALUE"""),"K/6/200225/4")</f>
        <v>K/6/200225/4</v>
      </c>
      <c r="C2353" s="42" t="str">
        <f>IFERROR(__xludf.DUMMYFUNCTION("""COMPUTED_VALUE"""),"B. 1009/ kemiling Permai")</f>
        <v>B. 1009/ kemiling Permai</v>
      </c>
      <c r="D2353" s="42"/>
      <c r="E2353" s="42" t="str">
        <f>IFERROR(__xludf.DUMMYFUNCTION("""COMPUTED_VALUE"""),"DISERAHKAN")</f>
        <v>DISERAHKAN</v>
      </c>
      <c r="F2353" s="48">
        <f>IFERROR(__xludf.DUMMYFUNCTION("""COMPUTED_VALUE"""),45720.43920231481)</f>
        <v>45720.4392</v>
      </c>
      <c r="G2353" s="42" t="str">
        <f>IFERROR(__xludf.DUMMYFUNCTION("""COMPUTED_VALUE"""),"BN JUAL BELI")</f>
        <v>BN JUAL BELI</v>
      </c>
      <c r="H2353" s="42">
        <f t="shared" si="1"/>
        <v>1098</v>
      </c>
    </row>
    <row r="2354" ht="22.5" customHeight="1">
      <c r="B2354" s="42" t="str">
        <f>IFERROR(__xludf.DUMMYFUNCTION("""COMPUTED_VALUE"""),"L/7/200225/1")</f>
        <v>L/7/200225/1</v>
      </c>
      <c r="C2354" s="42" t="str">
        <f>IFERROR(__xludf.DUMMYFUNCTION("""COMPUTED_VALUE"""),"HM 2139/RAJABASA RAYA")</f>
        <v>HM 2139/RAJABASA RAYA</v>
      </c>
      <c r="D2354" s="42"/>
      <c r="E2354" s="42" t="str">
        <f>IFERROR(__xludf.DUMMYFUNCTION("""COMPUTED_VALUE"""),"DISERAHKAN")</f>
        <v>DISERAHKAN</v>
      </c>
      <c r="F2354" s="48">
        <f>IFERROR(__xludf.DUMMYFUNCTION("""COMPUTED_VALUE"""),45715.64800184028)</f>
        <v>45715.648</v>
      </c>
      <c r="G2354" s="42" t="str">
        <f>IFERROR(__xludf.DUMMYFUNCTION("""COMPUTED_VALUE"""),"BN JUAL-BELI")</f>
        <v>BN JUAL-BELI</v>
      </c>
      <c r="H2354" s="42">
        <f t="shared" si="1"/>
        <v>1099</v>
      </c>
    </row>
    <row r="2355" ht="22.5" customHeight="1">
      <c r="B2355" s="42" t="str">
        <f>IFERROR(__xludf.DUMMYFUNCTION("""COMPUTED_VALUE"""),"L/10/200225/1")</f>
        <v>L/10/200225/1</v>
      </c>
      <c r="C2355" s="42" t="str">
        <f>IFERROR(__xludf.DUMMYFUNCTION("""COMPUTED_VALUE"""),"HGB 1106/SUKARAME")</f>
        <v>HGB 1106/SUKARAME</v>
      </c>
      <c r="D2355" s="42"/>
      <c r="E2355" s="42"/>
      <c r="F2355" s="48" t="str">
        <f>IFERROR(__xludf.DUMMYFUNCTION("""COMPUTED_VALUE"""),"")</f>
        <v/>
      </c>
      <c r="G2355" s="42" t="str">
        <f>IFERROR(__xludf.DUMMYFUNCTION("""COMPUTED_VALUE"""),"SKPT INFORMASI")</f>
        <v>SKPT INFORMASI</v>
      </c>
      <c r="H2355" s="42">
        <f t="shared" si="1"/>
        <v>1099</v>
      </c>
    </row>
    <row r="2356" ht="22.5" customHeight="1">
      <c r="B2356" s="42" t="str">
        <f>IFERROR(__xludf.DUMMYFUNCTION("""COMPUTED_VALUE"""),"L/11/200225/1")</f>
        <v>L/11/200225/1</v>
      </c>
      <c r="C2356" s="42" t="str">
        <f>IFERROR(__xludf.DUMMYFUNCTION("""COMPUTED_VALUE"""),"HM 9030/KAMPUNG BARU")</f>
        <v>HM 9030/KAMPUNG BARU</v>
      </c>
      <c r="D2356" s="42"/>
      <c r="E2356" s="42" t="str">
        <f>IFERROR(__xludf.DUMMYFUNCTION("""COMPUTED_VALUE"""),"DISERAHKAN")</f>
        <v>DISERAHKAN</v>
      </c>
      <c r="F2356" s="48">
        <f>IFERROR(__xludf.DUMMYFUNCTION("""COMPUTED_VALUE"""),45730.60842834491)</f>
        <v>45730.60843</v>
      </c>
      <c r="G2356" s="42" t="str">
        <f>IFERROR(__xludf.DUMMYFUNCTION("""COMPUTED_VALUE"""),"ROYA")</f>
        <v>ROYA</v>
      </c>
      <c r="H2356" s="42">
        <f t="shared" si="1"/>
        <v>1100</v>
      </c>
    </row>
    <row r="2357" ht="22.5" customHeight="1">
      <c r="B2357" s="42" t="str">
        <f>IFERROR(__xludf.DUMMYFUNCTION("""COMPUTED_VALUE"""),"K/13/200225/1")</f>
        <v>K/13/200225/1</v>
      </c>
      <c r="C2357" s="42" t="str">
        <f>IFERROR(__xludf.DUMMYFUNCTION("""COMPUTED_VALUE"""),"B. 158/ Labuhan Ratu Raya")</f>
        <v>B. 158/ Labuhan Ratu Raya</v>
      </c>
      <c r="D2357" s="42"/>
      <c r="E2357" s="42" t="str">
        <f>IFERROR(__xludf.DUMMYFUNCTION("""COMPUTED_VALUE"""),"DISERAHKAN")</f>
        <v>DISERAHKAN</v>
      </c>
      <c r="F2357" s="48">
        <f>IFERROR(__xludf.DUMMYFUNCTION("""COMPUTED_VALUE"""),45736.60772858796)</f>
        <v>45736.60773</v>
      </c>
      <c r="G2357" s="42" t="str">
        <f>IFERROR(__xludf.DUMMYFUNCTION("""COMPUTED_VALUE"""),"BN JUAL BELI")</f>
        <v>BN JUAL BELI</v>
      </c>
      <c r="H2357" s="42">
        <f t="shared" si="1"/>
        <v>1101</v>
      </c>
    </row>
    <row r="2358" ht="22.5" customHeight="1">
      <c r="B2358" s="42" t="str">
        <f>IFERROR(__xludf.DUMMYFUNCTION("""COMPUTED_VALUE"""),"K/16/200225/1")</f>
        <v>K/16/200225/1</v>
      </c>
      <c r="C2358" s="42" t="str">
        <f>IFERROR(__xludf.DUMMYFUNCTION("""COMPUTED_VALUE"""),"Nibel. M. 1197/ Talang")</f>
        <v>Nibel. M. 1197/ Talang</v>
      </c>
      <c r="D2358" s="42"/>
      <c r="E2358" s="42"/>
      <c r="F2358" s="48" t="str">
        <f>IFERROR(__xludf.DUMMYFUNCTION("""COMPUTED_VALUE"""),"")</f>
        <v/>
      </c>
      <c r="G2358" s="42" t="str">
        <f>IFERROR(__xludf.DUMMYFUNCTION("""COMPUTED_VALUE"""),"BN Jual Beli")</f>
        <v>BN Jual Beli</v>
      </c>
      <c r="H2358" s="42">
        <f t="shared" si="1"/>
        <v>1101</v>
      </c>
    </row>
    <row r="2359" ht="22.5" customHeight="1">
      <c r="B2359" s="42" t="str">
        <f>IFERROR(__xludf.DUMMYFUNCTION("""COMPUTED_VALUE"""),"K/17/200225/1")</f>
        <v>K/17/200225/1</v>
      </c>
      <c r="C2359" s="42" t="str">
        <f>IFERROR(__xludf.DUMMYFUNCTION("""COMPUTED_VALUE"""),"M. 1920; 1921/ Keteguhan")</f>
        <v>M. 1920; 1921/ Keteguhan</v>
      </c>
      <c r="D2359" s="42"/>
      <c r="E2359" s="42" t="str">
        <f>IFERROR(__xludf.DUMMYFUNCTION("""COMPUTED_VALUE"""),"DISERAHKAN")</f>
        <v>DISERAHKAN</v>
      </c>
      <c r="F2359" s="48">
        <f>IFERROR(__xludf.DUMMYFUNCTION("""COMPUTED_VALUE"""),45730.60795091435)</f>
        <v>45730.60795</v>
      </c>
      <c r="G2359" s="42" t="str">
        <f>IFERROR(__xludf.DUMMYFUNCTION("""COMPUTED_VALUE"""),"Roya ")</f>
        <v>Roya </v>
      </c>
      <c r="H2359" s="42">
        <f t="shared" si="1"/>
        <v>1102</v>
      </c>
    </row>
    <row r="2360" ht="22.5" customHeight="1">
      <c r="B2360" s="42" t="str">
        <f>IFERROR(__xludf.DUMMYFUNCTION("""COMPUTED_VALUE"""),"K/14/200225/2")</f>
        <v>K/14/200225/2</v>
      </c>
      <c r="C2360" s="42" t="str">
        <f>IFERROR(__xludf.DUMMYFUNCTION("""COMPUTED_VALUE"""),"Nibel 1015/ Kupang Kota")</f>
        <v>Nibel 1015/ Kupang Kota</v>
      </c>
      <c r="D2360" s="42"/>
      <c r="E2360" s="42"/>
      <c r="F2360" s="48" t="str">
        <f>IFERROR(__xludf.DUMMYFUNCTION("""COMPUTED_VALUE"""),"")</f>
        <v/>
      </c>
      <c r="G2360" s="42" t="str">
        <f>IFERROR(__xludf.DUMMYFUNCTION("""COMPUTED_VALUE"""),"BN JUAL BELI")</f>
        <v>BN JUAL BELI</v>
      </c>
      <c r="H2360" s="42">
        <f t="shared" si="1"/>
        <v>1102</v>
      </c>
    </row>
    <row r="2361" ht="22.5" customHeight="1">
      <c r="B2361" s="42" t="str">
        <f>IFERROR(__xludf.DUMMYFUNCTION("""COMPUTED_VALUE"""),"K/18/200225/1")</f>
        <v>K/18/200225/1</v>
      </c>
      <c r="C2361" s="42" t="str">
        <f>IFERROR(__xludf.DUMMYFUNCTION("""COMPUTED_VALUE"""),"M.2290/DURIAN PAYUNG")</f>
        <v>M.2290/DURIAN PAYUNG</v>
      </c>
      <c r="D2361" s="42"/>
      <c r="E2361" s="42"/>
      <c r="F2361" s="48" t="str">
        <f>IFERROR(__xludf.DUMMYFUNCTION("""COMPUTED_VALUE"""),"")</f>
        <v/>
      </c>
      <c r="G2361" s="42" t="str">
        <f>IFERROR(__xludf.DUMMYFUNCTION("""COMPUTED_VALUE"""),"SKPT LELANG")</f>
        <v>SKPT LELANG</v>
      </c>
      <c r="H2361" s="42">
        <f t="shared" si="1"/>
        <v>1102</v>
      </c>
    </row>
    <row r="2362" ht="22.5" customHeight="1">
      <c r="B2362" s="42" t="str">
        <f>IFERROR(__xludf.DUMMYFUNCTION("""COMPUTED_VALUE"""),"L/19/200225/1")</f>
        <v>L/19/200225/1</v>
      </c>
      <c r="C2362" s="42" t="str">
        <f>IFERROR(__xludf.DUMMYFUNCTION("""COMPUTED_VALUE"""),"HM 1730/PANJANG UTARA")</f>
        <v>HM 1730/PANJANG UTARA</v>
      </c>
      <c r="D2362" s="42"/>
      <c r="E2362" s="42"/>
      <c r="F2362" s="48" t="str">
        <f>IFERROR(__xludf.DUMMYFUNCTION("""COMPUTED_VALUE"""),"")</f>
        <v/>
      </c>
      <c r="G2362" s="42" t="str">
        <f>IFERROR(__xludf.DUMMYFUNCTION("""COMPUTED_VALUE"""),"ROYA")</f>
        <v>ROYA</v>
      </c>
      <c r="H2362" s="42">
        <f t="shared" si="1"/>
        <v>1102</v>
      </c>
    </row>
    <row r="2363" ht="22.5" customHeight="1">
      <c r="B2363" s="42" t="str">
        <f>IFERROR(__xludf.DUMMYFUNCTION("""COMPUTED_VALUE"""),"K/20/200225/1")</f>
        <v>K/20/200225/1</v>
      </c>
      <c r="C2363" s="42" t="str">
        <f>IFERROR(__xludf.DUMMYFUNCTION("""COMPUTED_VALUE"""),"NIBEL B.17588/KEMILING PERMAI")</f>
        <v>NIBEL B.17588/KEMILING PERMAI</v>
      </c>
      <c r="D2363" s="42"/>
      <c r="E2363" s="42"/>
      <c r="F2363" s="48" t="str">
        <f>IFERROR(__xludf.DUMMYFUNCTION("""COMPUTED_VALUE"""),"")</f>
        <v/>
      </c>
      <c r="G2363" s="42" t="str">
        <f>IFERROR(__xludf.DUMMYFUNCTION("""COMPUTED_VALUE"""),"PERUBAHAN HAK")</f>
        <v>PERUBAHAN HAK</v>
      </c>
      <c r="H2363" s="42">
        <f t="shared" si="1"/>
        <v>1102</v>
      </c>
    </row>
    <row r="2364" ht="22.5" customHeight="1">
      <c r="B2364" s="42" t="str">
        <f>IFERROR(__xludf.DUMMYFUNCTION("""COMPUTED_VALUE"""),"L/23/200225/1")</f>
        <v>L/23/200225/1</v>
      </c>
      <c r="C2364" s="42" t="str">
        <f>IFERROR(__xludf.DUMMYFUNCTION("""COMPUTED_VALUE"""),"HM 279/RAJABASA JAYA ")</f>
        <v>HM 279/RAJABASA JAYA </v>
      </c>
      <c r="D2364" s="42"/>
      <c r="E2364" s="42" t="str">
        <f>IFERROR(__xludf.DUMMYFUNCTION("""COMPUTED_VALUE"""),"DISERAHKAN")</f>
        <v>DISERAHKAN</v>
      </c>
      <c r="F2364" s="48">
        <f>IFERROR(__xludf.DUMMYFUNCTION("""COMPUTED_VALUE"""),45742.61070038195)</f>
        <v>45742.6107</v>
      </c>
      <c r="G2364" s="42" t="str">
        <f>IFERROR(__xludf.DUMMYFUNCTION("""COMPUTED_VALUE"""),"ROYA")</f>
        <v>ROYA</v>
      </c>
      <c r="H2364" s="42">
        <f t="shared" si="1"/>
        <v>1103</v>
      </c>
    </row>
    <row r="2365" ht="22.5" customHeight="1">
      <c r="B2365" s="42" t="str">
        <f>IFERROR(__xludf.DUMMYFUNCTION("""COMPUTED_VALUE"""),"K/21/200225/1")</f>
        <v>K/21/200225/1</v>
      </c>
      <c r="C2365" s="42" t="str">
        <f>IFERROR(__xludf.DUMMYFUNCTION("""COMPUTED_VALUE"""),"NIBEL M. 2066/SUKADANA HAM")</f>
        <v>NIBEL M. 2066/SUKADANA HAM</v>
      </c>
      <c r="D2365" s="42"/>
      <c r="E2365" s="42"/>
      <c r="F2365" s="48" t="str">
        <f>IFERROR(__xludf.DUMMYFUNCTION("""COMPUTED_VALUE"""),"")</f>
        <v/>
      </c>
      <c r="G2365" s="42" t="str">
        <f>IFERROR(__xludf.DUMMYFUNCTION("""COMPUTED_VALUE"""),"BN JUAL BELI")</f>
        <v>BN JUAL BELI</v>
      </c>
      <c r="H2365" s="42">
        <f t="shared" si="1"/>
        <v>1103</v>
      </c>
    </row>
    <row r="2366" ht="22.5" customHeight="1">
      <c r="B2366" s="42" t="str">
        <f>IFERROR(__xludf.DUMMYFUNCTION("""COMPUTED_VALUE"""),"K/22/200225/2")</f>
        <v>K/22/200225/2</v>
      </c>
      <c r="C2366" s="42" t="str">
        <f>IFERROR(__xludf.DUMMYFUNCTION("""COMPUTED_VALUE"""),"M. 4702/SUKADANA HAM")</f>
        <v>M. 4702/SUKADANA HAM</v>
      </c>
      <c r="D2366" s="42"/>
      <c r="E2366" s="42" t="str">
        <f>IFERROR(__xludf.DUMMYFUNCTION("""COMPUTED_VALUE"""),"DISERAHKAN")</f>
        <v>DISERAHKAN</v>
      </c>
      <c r="F2366" s="48">
        <f>IFERROR(__xludf.DUMMYFUNCTION("""COMPUTED_VALUE"""),45720.43920231481)</f>
        <v>45720.4392</v>
      </c>
      <c r="G2366" s="42" t="str">
        <f>IFERROR(__xludf.DUMMYFUNCTION("""COMPUTED_VALUE"""),"BN JUAL BELI")</f>
        <v>BN JUAL BELI</v>
      </c>
      <c r="H2366" s="42">
        <f t="shared" si="1"/>
        <v>1104</v>
      </c>
    </row>
    <row r="2367" ht="22.5" customHeight="1">
      <c r="B2367" s="42" t="str">
        <f>IFERROR(__xludf.DUMMYFUNCTION("""COMPUTED_VALUE"""),"K/24/200225/1")</f>
        <v>K/24/200225/1</v>
      </c>
      <c r="C2367" s="42" t="str">
        <f>IFERROR(__xludf.DUMMYFUNCTION("""COMPUTED_VALUE"""),"M. 774/ Sepang Jaya")</f>
        <v>M. 774/ Sepang Jaya</v>
      </c>
      <c r="D2367" s="42"/>
      <c r="E2367" s="42" t="str">
        <f>IFERROR(__xludf.DUMMYFUNCTION("""COMPUTED_VALUE"""),"DISERAHKAN")</f>
        <v>DISERAHKAN</v>
      </c>
      <c r="F2367" s="48">
        <f>IFERROR(__xludf.DUMMYFUNCTION("""COMPUTED_VALUE"""),45730.39973931713)</f>
        <v>45730.39974</v>
      </c>
      <c r="G2367" s="42" t="str">
        <f>IFERROR(__xludf.DUMMYFUNCTION("""COMPUTED_VALUE"""),"BN WARIS")</f>
        <v>BN WARIS</v>
      </c>
      <c r="H2367" s="42">
        <f t="shared" si="1"/>
        <v>1105</v>
      </c>
    </row>
    <row r="2368" ht="22.5" customHeight="1">
      <c r="B2368" s="42" t="str">
        <f>IFERROR(__xludf.DUMMYFUNCTION("""COMPUTED_VALUE"""),"K/15/200225/1")</f>
        <v>K/15/200225/1</v>
      </c>
      <c r="C2368" s="42" t="str">
        <f>IFERROR(__xludf.DUMMYFUNCTION("""COMPUTED_VALUE"""),"Nibel. M. 3415/ Telukbetung")</f>
        <v>Nibel. M. 3415/ Telukbetung</v>
      </c>
      <c r="D2368" s="42"/>
      <c r="E2368" s="42"/>
      <c r="F2368" s="48" t="str">
        <f>IFERROR(__xludf.DUMMYFUNCTION("""COMPUTED_VALUE"""),"")</f>
        <v/>
      </c>
      <c r="G2368" s="42" t="str">
        <f>IFERROR(__xludf.DUMMYFUNCTION("""COMPUTED_VALUE"""),"BN Jual Beli")</f>
        <v>BN Jual Beli</v>
      </c>
      <c r="H2368" s="42">
        <f t="shared" si="1"/>
        <v>1105</v>
      </c>
    </row>
    <row r="2369" ht="22.5" customHeight="1">
      <c r="B2369" s="42" t="str">
        <f>IFERROR(__xludf.DUMMYFUNCTION("""COMPUTED_VALUE"""),"K/25/200225/3")</f>
        <v>K/25/200225/3</v>
      </c>
      <c r="C2369" s="42" t="str">
        <f>IFERROR(__xludf.DUMMYFUNCTION("""COMPUTED_VALUE"""),"NIBEL M. 2070/SUKADANA HAM")</f>
        <v>NIBEL M. 2070/SUKADANA HAM</v>
      </c>
      <c r="D2369" s="42"/>
      <c r="E2369" s="42"/>
      <c r="F2369" s="48" t="str">
        <f>IFERROR(__xludf.DUMMYFUNCTION("""COMPUTED_VALUE"""),"")</f>
        <v/>
      </c>
      <c r="G2369" s="42" t="str">
        <f>IFERROR(__xludf.DUMMYFUNCTION("""COMPUTED_VALUE"""),"BN JUAL BELI")</f>
        <v>BN JUAL BELI</v>
      </c>
      <c r="H2369" s="42">
        <f t="shared" si="1"/>
        <v>1105</v>
      </c>
    </row>
    <row r="2370" ht="22.5" customHeight="1">
      <c r="B2370" s="42" t="str">
        <f>IFERROR(__xludf.DUMMYFUNCTION("""COMPUTED_VALUE"""),"K/26/200225/1")</f>
        <v>K/26/200225/1</v>
      </c>
      <c r="C2370" s="42" t="str">
        <f>IFERROR(__xludf.DUMMYFUNCTION("""COMPUTED_VALUE"""),"M.564/WAY LAGA")</f>
        <v>M.564/WAY LAGA</v>
      </c>
      <c r="D2370" s="42"/>
      <c r="E2370" s="42"/>
      <c r="F2370" s="48" t="str">
        <f>IFERROR(__xludf.DUMMYFUNCTION("""COMPUTED_VALUE"""),"")</f>
        <v/>
      </c>
      <c r="G2370" s="42" t="str">
        <f>IFERROR(__xludf.DUMMYFUNCTION("""COMPUTED_VALUE"""),"PENURUNAN HAK")</f>
        <v>PENURUNAN HAK</v>
      </c>
      <c r="H2370" s="42">
        <f t="shared" si="1"/>
        <v>1105</v>
      </c>
    </row>
    <row r="2371" ht="22.5" customHeight="1">
      <c r="B2371" s="42" t="str">
        <f>IFERROR(__xludf.DUMMYFUNCTION("""COMPUTED_VALUE"""),"K/27/200225/1")</f>
        <v>K/27/200225/1</v>
      </c>
      <c r="C2371" s="42" t="str">
        <f>IFERROR(__xludf.DUMMYFUNCTION("""COMPUTED_VALUE"""),"Nibel 2937/ Bumi Waras")</f>
        <v>Nibel 2937/ Bumi Waras</v>
      </c>
      <c r="D2371" s="42"/>
      <c r="E2371" s="42"/>
      <c r="F2371" s="48" t="str">
        <f>IFERROR(__xludf.DUMMYFUNCTION("""COMPUTED_VALUE"""),"")</f>
        <v/>
      </c>
      <c r="G2371" s="42" t="str">
        <f>IFERROR(__xludf.DUMMYFUNCTION("""COMPUTED_VALUE"""),"BN JUAL BELI")</f>
        <v>BN JUAL BELI</v>
      </c>
      <c r="H2371" s="42">
        <f t="shared" si="1"/>
        <v>1105</v>
      </c>
    </row>
    <row r="2372" ht="22.5" customHeight="1">
      <c r="B2372" s="42" t="str">
        <f>IFERROR(__xludf.DUMMYFUNCTION("""COMPUTED_VALUE"""),"K/28/200225/1")</f>
        <v>K/28/200225/1</v>
      </c>
      <c r="C2372" s="42" t="str">
        <f>IFERROR(__xludf.DUMMYFUNCTION("""COMPUTED_VALUE"""),"M. 4015/ Tanjung Senang")</f>
        <v>M. 4015/ Tanjung Senang</v>
      </c>
      <c r="D2372" s="42"/>
      <c r="E2372" s="42" t="str">
        <f>IFERROR(__xludf.DUMMYFUNCTION("""COMPUTED_VALUE"""),"DISERAHKAN")</f>
        <v>DISERAHKAN</v>
      </c>
      <c r="F2372" s="48">
        <f>IFERROR(__xludf.DUMMYFUNCTION("""COMPUTED_VALUE"""),45769.60071215278)</f>
        <v>45769.60071</v>
      </c>
      <c r="G2372" s="42" t="str">
        <f>IFERROR(__xludf.DUMMYFUNCTION("""COMPUTED_VALUE"""),"Roya")</f>
        <v>Roya</v>
      </c>
      <c r="H2372" s="42">
        <f t="shared" si="1"/>
        <v>1106</v>
      </c>
    </row>
    <row r="2373" ht="22.5" customHeight="1">
      <c r="B2373" s="42" t="str">
        <f>IFERROR(__xludf.DUMMYFUNCTION("""COMPUTED_VALUE"""),"K/29/200225/1")</f>
        <v>K/29/200225/1</v>
      </c>
      <c r="C2373" s="42" t="str">
        <f>IFERROR(__xludf.DUMMYFUNCTION("""COMPUTED_VALUE"""),"M.448/KOTA SEPANG")</f>
        <v>M.448/KOTA SEPANG</v>
      </c>
      <c r="D2373" s="42"/>
      <c r="E2373" s="42" t="str">
        <f>IFERROR(__xludf.DUMMYFUNCTION("""COMPUTED_VALUE"""),"DISERAHKAN")</f>
        <v>DISERAHKAN</v>
      </c>
      <c r="F2373" s="48">
        <f>IFERROR(__xludf.DUMMYFUNCTION("""COMPUTED_VALUE"""),45720.43920231481)</f>
        <v>45720.4392</v>
      </c>
      <c r="G2373" s="42" t="str">
        <f>IFERROR(__xludf.DUMMYFUNCTION("""COMPUTED_VALUE"""),"JUAL BELI")</f>
        <v>JUAL BELI</v>
      </c>
      <c r="H2373" s="42">
        <f t="shared" si="1"/>
        <v>1107</v>
      </c>
    </row>
    <row r="2374" ht="22.5" customHeight="1">
      <c r="B2374" s="42" t="str">
        <f>IFERROR(__xludf.DUMMYFUNCTION("""COMPUTED_VALUE"""),"K/30/200225/1")</f>
        <v>K/30/200225/1</v>
      </c>
      <c r="C2374" s="42" t="str">
        <f>IFERROR(__xludf.DUMMYFUNCTION("""COMPUTED_VALUE"""),"NIBEL M.2116/SUKARAME BARU")</f>
        <v>NIBEL M.2116/SUKARAME BARU</v>
      </c>
      <c r="D2374" s="42"/>
      <c r="E2374" s="42"/>
      <c r="F2374" s="48" t="str">
        <f>IFERROR(__xludf.DUMMYFUNCTION("""COMPUTED_VALUE"""),"")</f>
        <v/>
      </c>
      <c r="G2374" s="42" t="str">
        <f>IFERROR(__xludf.DUMMYFUNCTION("""COMPUTED_VALUE"""),"JUAL BELI")</f>
        <v>JUAL BELI</v>
      </c>
      <c r="H2374" s="42">
        <f t="shared" si="1"/>
        <v>1107</v>
      </c>
    </row>
    <row r="2375" ht="22.5" customHeight="1">
      <c r="B2375" s="42" t="str">
        <f>IFERROR(__xludf.DUMMYFUNCTION("""COMPUTED_VALUE"""),"K/31/200225/1")</f>
        <v>K/31/200225/1</v>
      </c>
      <c r="C2375" s="42" t="str">
        <f>IFERROR(__xludf.DUMMYFUNCTION("""COMPUTED_VALUE"""),"M. 9246/ Kedamaian")</f>
        <v>M. 9246/ Kedamaian</v>
      </c>
      <c r="D2375" s="42"/>
      <c r="E2375" s="42" t="str">
        <f>IFERROR(__xludf.DUMMYFUNCTION("""COMPUTED_VALUE"""),"DISERAHKAN")</f>
        <v>DISERAHKAN</v>
      </c>
      <c r="F2375" s="48">
        <f>IFERROR(__xludf.DUMMYFUNCTION("""COMPUTED_VALUE"""),45722.505439201384)</f>
        <v>45722.50544</v>
      </c>
      <c r="G2375" s="42" t="str">
        <f>IFERROR(__xludf.DUMMYFUNCTION("""COMPUTED_VALUE"""),"BN Waris")</f>
        <v>BN Waris</v>
      </c>
      <c r="H2375" s="42">
        <f t="shared" si="1"/>
        <v>1108</v>
      </c>
    </row>
    <row r="2376" ht="22.5" customHeight="1">
      <c r="B2376" s="42" t="str">
        <f>IFERROR(__xludf.DUMMYFUNCTION("""COMPUTED_VALUE"""),"L/32/200225/1")</f>
        <v>L/32/200225/1</v>
      </c>
      <c r="C2376" s="42" t="str">
        <f>IFERROR(__xludf.DUMMYFUNCTION("""COMPUTED_VALUE"""),"LABUHAN DALAM")</f>
        <v>LABUHAN DALAM</v>
      </c>
      <c r="D2376" s="42"/>
      <c r="E2376" s="42"/>
      <c r="F2376" s="48" t="str">
        <f>IFERROR(__xludf.DUMMYFUNCTION("""COMPUTED_VALUE"""),"")</f>
        <v/>
      </c>
      <c r="G2376" s="42" t="str">
        <f>IFERROR(__xludf.DUMMYFUNCTION("""COMPUTED_VALUE"""),"TANAH MENTAH")</f>
        <v>TANAH MENTAH</v>
      </c>
      <c r="H2376" s="42">
        <f t="shared" si="1"/>
        <v>1108</v>
      </c>
    </row>
    <row r="2377" ht="22.5" customHeight="1">
      <c r="B2377" s="42" t="str">
        <f>IFERROR(__xludf.DUMMYFUNCTION("""COMPUTED_VALUE"""),"K/35/200225/1")</f>
        <v>K/35/200225/1</v>
      </c>
      <c r="C2377" s="42" t="str">
        <f>IFERROR(__xludf.DUMMYFUNCTION("""COMPUTED_VALUE"""),"M. 5383/ Langkapura")</f>
        <v>M. 5383/ Langkapura</v>
      </c>
      <c r="D2377" s="42"/>
      <c r="E2377" s="42" t="str">
        <f>IFERROR(__xludf.DUMMYFUNCTION("""COMPUTED_VALUE"""),"DISERAHKAN")</f>
        <v>DISERAHKAN</v>
      </c>
      <c r="F2377" s="48">
        <f>IFERROR(__xludf.DUMMYFUNCTION("""COMPUTED_VALUE"""),45736.61026716435)</f>
        <v>45736.61027</v>
      </c>
      <c r="G2377" s="42" t="str">
        <f>IFERROR(__xludf.DUMMYFUNCTION("""COMPUTED_VALUE"""),"BN JUAL BELI")</f>
        <v>BN JUAL BELI</v>
      </c>
      <c r="H2377" s="42">
        <f t="shared" si="1"/>
        <v>1109</v>
      </c>
    </row>
    <row r="2378" ht="22.5" customHeight="1">
      <c r="B2378" s="42" t="str">
        <f>IFERROR(__xludf.DUMMYFUNCTION("""COMPUTED_VALUE"""),"K/34/200225/2")</f>
        <v>K/34/200225/2</v>
      </c>
      <c r="C2378" s="42" t="str">
        <f>IFERROR(__xludf.DUMMYFUNCTION("""COMPUTED_VALUE"""),"M. 1970/ Durian Payung")</f>
        <v>M. 1970/ Durian Payung</v>
      </c>
      <c r="D2378" s="42"/>
      <c r="E2378" s="42" t="str">
        <f>IFERROR(__xludf.DUMMYFUNCTION("""COMPUTED_VALUE"""),"DISERAHKAN")</f>
        <v>DISERAHKAN</v>
      </c>
      <c r="F2378" s="48">
        <f>IFERROR(__xludf.DUMMYFUNCTION("""COMPUTED_VALUE"""),45722.50638878472)</f>
        <v>45722.50639</v>
      </c>
      <c r="G2378" s="42" t="str">
        <f>IFERROR(__xludf.DUMMYFUNCTION("""COMPUTED_VALUE"""),"BN Jual Beli")</f>
        <v>BN Jual Beli</v>
      </c>
      <c r="H2378" s="42">
        <f t="shared" si="1"/>
        <v>1110</v>
      </c>
    </row>
    <row r="2379" ht="22.5" customHeight="1">
      <c r="B2379" s="42" t="str">
        <f>IFERROR(__xludf.DUMMYFUNCTION("""COMPUTED_VALUE"""),"K/33/200225/1")</f>
        <v>K/33/200225/1</v>
      </c>
      <c r="C2379" s="42" t="str">
        <f>IFERROR(__xludf.DUMMYFUNCTION("""COMPUTED_VALUE"""),"M. 504/ Kupang Kota")</f>
        <v>M. 504/ Kupang Kota</v>
      </c>
      <c r="D2379" s="42"/>
      <c r="E2379" s="42" t="str">
        <f>IFERROR(__xludf.DUMMYFUNCTION("""COMPUTED_VALUE"""),"DISERAHKAN")</f>
        <v>DISERAHKAN</v>
      </c>
      <c r="F2379" s="48">
        <f>IFERROR(__xludf.DUMMYFUNCTION("""COMPUTED_VALUE"""),45720.43920231481)</f>
        <v>45720.4392</v>
      </c>
      <c r="G2379" s="42" t="str">
        <f>IFERROR(__xludf.DUMMYFUNCTION("""COMPUTED_VALUE"""),"BN Hibah")</f>
        <v>BN Hibah</v>
      </c>
      <c r="H2379" s="42">
        <f t="shared" si="1"/>
        <v>1111</v>
      </c>
    </row>
    <row r="2380" ht="22.5" customHeight="1">
      <c r="B2380" s="42" t="str">
        <f>IFERROR(__xludf.DUMMYFUNCTION("""COMPUTED_VALUE"""),"K/36/200225/1")</f>
        <v>K/36/200225/1</v>
      </c>
      <c r="C2380" s="42" t="str">
        <f>IFERROR(__xludf.DUMMYFUNCTION("""COMPUTED_VALUE"""),"NIBEL B.11848/NEGERI OLOK GADING")</f>
        <v>NIBEL B.11848/NEGERI OLOK GADING</v>
      </c>
      <c r="D2380" s="42"/>
      <c r="E2380" s="42"/>
      <c r="F2380" s="48" t="str">
        <f>IFERROR(__xludf.DUMMYFUNCTION("""COMPUTED_VALUE"""),"")</f>
        <v/>
      </c>
      <c r="G2380" s="42" t="str">
        <f>IFERROR(__xludf.DUMMYFUNCTION("""COMPUTED_VALUE"""),"LELANG")</f>
        <v>LELANG</v>
      </c>
      <c r="H2380" s="42">
        <f t="shared" si="1"/>
        <v>1111</v>
      </c>
    </row>
    <row r="2381" ht="22.5" customHeight="1">
      <c r="B2381" s="42" t="str">
        <f>IFERROR(__xludf.DUMMYFUNCTION("""COMPUTED_VALUE"""),"K/37/200225/2")</f>
        <v>K/37/200225/2</v>
      </c>
      <c r="C2381" s="42" t="str">
        <f>IFERROR(__xludf.DUMMYFUNCTION("""COMPUTED_VALUE"""),"NIBEL B 3072.1/KETEGUHAN")</f>
        <v>NIBEL B 3072.1/KETEGUHAN</v>
      </c>
      <c r="D2381" s="42"/>
      <c r="E2381" s="42"/>
      <c r="F2381" s="48" t="str">
        <f>IFERROR(__xludf.DUMMYFUNCTION("""COMPUTED_VALUE"""),"")</f>
        <v/>
      </c>
      <c r="G2381" s="42" t="str">
        <f>IFERROR(__xludf.DUMMYFUNCTION("""COMPUTED_VALUE"""),"PERUBAHAN HAK")</f>
        <v>PERUBAHAN HAK</v>
      </c>
      <c r="H2381" s="42">
        <f t="shared" si="1"/>
        <v>1111</v>
      </c>
    </row>
    <row r="2382" ht="22.5" customHeight="1">
      <c r="B2382" s="42" t="str">
        <f>IFERROR(__xludf.DUMMYFUNCTION("""COMPUTED_VALUE"""),"K/38/200225/3")</f>
        <v>K/38/200225/3</v>
      </c>
      <c r="C2382" s="42" t="str">
        <f>IFERROR(__xludf.DUMMYFUNCTION("""COMPUTED_VALUE"""),"M.3352/KEMILING PERMAI")</f>
        <v>M.3352/KEMILING PERMAI</v>
      </c>
      <c r="D2382" s="42"/>
      <c r="E2382" s="42" t="str">
        <f>IFERROR(__xludf.DUMMYFUNCTION("""COMPUTED_VALUE"""),"DISERAHKAN")</f>
        <v>DISERAHKAN</v>
      </c>
      <c r="F2382" s="48">
        <f>IFERROR(__xludf.DUMMYFUNCTION("""COMPUTED_VALUE"""),45733.61724599537)</f>
        <v>45733.61725</v>
      </c>
      <c r="G2382" s="42" t="str">
        <f>IFERROR(__xludf.DUMMYFUNCTION("""COMPUTED_VALUE"""),"JUAL BELI")</f>
        <v>JUAL BELI</v>
      </c>
      <c r="H2382" s="42">
        <f t="shared" si="1"/>
        <v>1112</v>
      </c>
    </row>
    <row r="2383" ht="22.5" customHeight="1">
      <c r="B2383" s="42" t="str">
        <f>IFERROR(__xludf.DUMMYFUNCTION("""COMPUTED_VALUE"""),"K/39/200225/1")</f>
        <v>K/39/200225/1</v>
      </c>
      <c r="C2383" s="42" t="str">
        <f>IFERROR(__xludf.DUMMYFUNCTION("""COMPUTED_VALUE"""),"M. 415/ Labuhan ratu Raya")</f>
        <v>M. 415/ Labuhan ratu Raya</v>
      </c>
      <c r="D2383" s="42"/>
      <c r="E2383" s="42" t="str">
        <f>IFERROR(__xludf.DUMMYFUNCTION("""COMPUTED_VALUE"""),"DISERAHKAN")</f>
        <v>DISERAHKAN</v>
      </c>
      <c r="F2383" s="48">
        <f>IFERROR(__xludf.DUMMYFUNCTION("""COMPUTED_VALUE"""),45720.43920231481)</f>
        <v>45720.4392</v>
      </c>
      <c r="G2383" s="42" t="str">
        <f>IFERROR(__xludf.DUMMYFUNCTION("""COMPUTED_VALUE"""),"BN JUAL BELI")</f>
        <v>BN JUAL BELI</v>
      </c>
      <c r="H2383" s="42">
        <f t="shared" si="1"/>
        <v>1113</v>
      </c>
    </row>
    <row r="2384" ht="22.5" customHeight="1">
      <c r="B2384" s="42" t="str">
        <f>IFERROR(__xludf.DUMMYFUNCTION("""COMPUTED_VALUE"""),"K/40/200225/2")</f>
        <v>K/40/200225/2</v>
      </c>
      <c r="C2384" s="42" t="str">
        <f>IFERROR(__xludf.DUMMYFUNCTION("""COMPUTED_VALUE"""),"M. 5307/ Rajabasa Jaya")</f>
        <v>M. 5307/ Rajabasa Jaya</v>
      </c>
      <c r="D2384" s="42"/>
      <c r="E2384" s="42" t="str">
        <f>IFERROR(__xludf.DUMMYFUNCTION("""COMPUTED_VALUE"""),"DISERAHKAN")</f>
        <v>DISERAHKAN</v>
      </c>
      <c r="F2384" s="48">
        <f>IFERROR(__xludf.DUMMYFUNCTION("""COMPUTED_VALUE"""),45720.43920231481)</f>
        <v>45720.4392</v>
      </c>
      <c r="G2384" s="42" t="str">
        <f>IFERROR(__xludf.DUMMYFUNCTION("""COMPUTED_VALUE"""),"BN JUAL BELI")</f>
        <v>BN JUAL BELI</v>
      </c>
      <c r="H2384" s="42">
        <f t="shared" si="1"/>
        <v>1114</v>
      </c>
    </row>
    <row r="2385" ht="22.5" customHeight="1">
      <c r="B2385" s="42" t="str">
        <f>IFERROR(__xludf.DUMMYFUNCTION("""COMPUTED_VALUE"""),"K/41/200225/1")</f>
        <v>K/41/200225/1</v>
      </c>
      <c r="C2385" s="42" t="str">
        <f>IFERROR(__xludf.DUMMYFUNCTION("""COMPUTED_VALUE"""),"M. 3125/ Gedong Air")</f>
        <v>M. 3125/ Gedong Air</v>
      </c>
      <c r="D2385" s="42"/>
      <c r="E2385" s="42" t="str">
        <f>IFERROR(__xludf.DUMMYFUNCTION("""COMPUTED_VALUE"""),"DISERAHKAN")</f>
        <v>DISERAHKAN</v>
      </c>
      <c r="F2385" s="48">
        <f>IFERROR(__xludf.DUMMYFUNCTION("""COMPUTED_VALUE"""),45722.502439930555)</f>
        <v>45722.50244</v>
      </c>
      <c r="G2385" s="42" t="str">
        <f>IFERROR(__xludf.DUMMYFUNCTION("""COMPUTED_VALUE"""),"BN JUAL BELI")</f>
        <v>BN JUAL BELI</v>
      </c>
      <c r="H2385" s="42">
        <f t="shared" si="1"/>
        <v>1115</v>
      </c>
    </row>
    <row r="2386" ht="22.5" customHeight="1">
      <c r="B2386" s="42" t="str">
        <f>IFERROR(__xludf.DUMMYFUNCTION("""COMPUTED_VALUE"""),"K/42/200225/1")</f>
        <v>K/42/200225/1</v>
      </c>
      <c r="C2386" s="42" t="str">
        <f>IFERROR(__xludf.DUMMYFUNCTION("""COMPUTED_VALUE"""),"Nibel 16313/ Sukabumi Indah")</f>
        <v>Nibel 16313/ Sukabumi Indah</v>
      </c>
      <c r="D2386" s="42"/>
      <c r="E2386" s="42"/>
      <c r="F2386" s="48" t="str">
        <f>IFERROR(__xludf.DUMMYFUNCTION("""COMPUTED_VALUE"""),"")</f>
        <v/>
      </c>
      <c r="G2386" s="42" t="str">
        <f>IFERROR(__xludf.DUMMYFUNCTION("""COMPUTED_VALUE"""),"PERUBAHAN HAK")</f>
        <v>PERUBAHAN HAK</v>
      </c>
      <c r="H2386" s="42">
        <f t="shared" si="1"/>
        <v>1115</v>
      </c>
    </row>
    <row r="2387" ht="22.5" customHeight="1">
      <c r="B2387" s="42" t="str">
        <f>IFERROR(__xludf.DUMMYFUNCTION("""COMPUTED_VALUE"""),"K/43/200225/1")</f>
        <v>K/43/200225/1</v>
      </c>
      <c r="C2387" s="42" t="str">
        <f>IFERROR(__xludf.DUMMYFUNCTION("""COMPUTED_VALUE"""),"Nibel. M. 12554/ Sukarame Baru")</f>
        <v>Nibel. M. 12554/ Sukarame Baru</v>
      </c>
      <c r="D2387" s="42"/>
      <c r="E2387" s="42"/>
      <c r="F2387" s="48" t="str">
        <f>IFERROR(__xludf.DUMMYFUNCTION("""COMPUTED_VALUE"""),"")</f>
        <v/>
      </c>
      <c r="G2387" s="42" t="str">
        <f>IFERROR(__xludf.DUMMYFUNCTION("""COMPUTED_VALUE"""),"BN Jual Beli")</f>
        <v>BN Jual Beli</v>
      </c>
      <c r="H2387" s="42">
        <f t="shared" si="1"/>
        <v>1115</v>
      </c>
    </row>
    <row r="2388" ht="22.5" customHeight="1">
      <c r="B2388" s="42" t="str">
        <f>IFERROR(__xludf.DUMMYFUNCTION("""COMPUTED_VALUE"""),"K/44/200225/1")</f>
        <v>K/44/200225/1</v>
      </c>
      <c r="C2388" s="42" t="str">
        <f>IFERROR(__xludf.DUMMYFUNCTION("""COMPUTED_VALUE"""),"Nibel 3497/ Sukabumi")</f>
        <v>Nibel 3497/ Sukabumi</v>
      </c>
      <c r="D2388" s="42"/>
      <c r="E2388" s="42"/>
      <c r="F2388" s="48" t="str">
        <f>IFERROR(__xludf.DUMMYFUNCTION("""COMPUTED_VALUE"""),"")</f>
        <v/>
      </c>
      <c r="G2388" s="42" t="str">
        <f>IFERROR(__xludf.DUMMYFUNCTION("""COMPUTED_VALUE"""),"BN JUAL BELI")</f>
        <v>BN JUAL BELI</v>
      </c>
      <c r="H2388" s="42">
        <f t="shared" si="1"/>
        <v>1115</v>
      </c>
    </row>
    <row r="2389" ht="22.5" customHeight="1">
      <c r="B2389" s="42" t="str">
        <f>IFERROR(__xludf.DUMMYFUNCTION("""COMPUTED_VALUE"""),"K/45/200225/1")</f>
        <v>K/45/200225/1</v>
      </c>
      <c r="C2389" s="42" t="str">
        <f>IFERROR(__xludf.DUMMYFUNCTION("""COMPUTED_VALUE"""),"B. 33/ Kotabaru")</f>
        <v>B. 33/ Kotabaru</v>
      </c>
      <c r="D2389" s="42"/>
      <c r="E2389" s="42"/>
      <c r="F2389" s="48" t="str">
        <f>IFERROR(__xludf.DUMMYFUNCTION("""COMPUTED_VALUE"""),"")</f>
        <v/>
      </c>
      <c r="G2389" s="42" t="str">
        <f>IFERROR(__xludf.DUMMYFUNCTION("""COMPUTED_VALUE"""),"PTPGT PEMBARUAN HGB")</f>
        <v>PTPGT PEMBARUAN HGB</v>
      </c>
      <c r="H2389" s="42">
        <f t="shared" si="1"/>
        <v>1115</v>
      </c>
    </row>
    <row r="2390" ht="22.5" customHeight="1">
      <c r="B2390" s="42" t="str">
        <f>IFERROR(__xludf.DUMMYFUNCTION("""COMPUTED_VALUE"""),"K/46/200225/1")</f>
        <v>K/46/200225/1</v>
      </c>
      <c r="C2390" s="42" t="str">
        <f>IFERROR(__xludf.DUMMYFUNCTION("""COMPUTED_VALUE"""),"NIBEL M.16530/GUNUNG TERANG")</f>
        <v>NIBEL M.16530/GUNUNG TERANG</v>
      </c>
      <c r="D2390" s="42"/>
      <c r="E2390" s="42"/>
      <c r="F2390" s="48" t="str">
        <f>IFERROR(__xludf.DUMMYFUNCTION("""COMPUTED_VALUE"""),"")</f>
        <v/>
      </c>
      <c r="G2390" s="42" t="str">
        <f>IFERROR(__xludf.DUMMYFUNCTION("""COMPUTED_VALUE"""),"JUAL BELI")</f>
        <v>JUAL BELI</v>
      </c>
      <c r="H2390" s="42">
        <f t="shared" si="1"/>
        <v>1115</v>
      </c>
    </row>
    <row r="2391" ht="22.5" customHeight="1">
      <c r="B2391" s="42" t="str">
        <f>IFERROR(__xludf.DUMMYFUNCTION("""COMPUTED_VALUE"""),"K/47/200225/1")</f>
        <v>K/47/200225/1</v>
      </c>
      <c r="C2391" s="42" t="str">
        <f>IFERROR(__xludf.DUMMYFUNCTION("""COMPUTED_VALUE"""),"PBT 28/2024 SUKADANAHAM")</f>
        <v>PBT 28/2024 SUKADANAHAM</v>
      </c>
      <c r="D2391" s="42"/>
      <c r="E2391" s="42"/>
      <c r="F2391" s="48" t="str">
        <f>IFERROR(__xludf.DUMMYFUNCTION("""COMPUTED_VALUE"""),"")</f>
        <v/>
      </c>
      <c r="G2391" s="42" t="str">
        <f>IFERROR(__xludf.DUMMYFUNCTION("""COMPUTED_VALUE"""),"PERMOHONAN SK")</f>
        <v>PERMOHONAN SK</v>
      </c>
      <c r="H2391" s="42">
        <f t="shared" si="1"/>
        <v>1115</v>
      </c>
    </row>
    <row r="2392" ht="22.5" customHeight="1">
      <c r="B2392" s="42" t="str">
        <f>IFERROR(__xludf.DUMMYFUNCTION("""COMPUTED_VALUE"""),"K/48/200225/2")</f>
        <v>K/48/200225/2</v>
      </c>
      <c r="C2392" s="42" t="str">
        <f>IFERROR(__xludf.DUMMYFUNCTION("""COMPUTED_VALUE"""),"PBT 251/2023 SUKADANAHAM")</f>
        <v>PBT 251/2023 SUKADANAHAM</v>
      </c>
      <c r="D2392" s="42"/>
      <c r="E2392" s="42"/>
      <c r="F2392" s="48" t="str">
        <f>IFERROR(__xludf.DUMMYFUNCTION("""COMPUTED_VALUE"""),"")</f>
        <v/>
      </c>
      <c r="G2392" s="42" t="str">
        <f>IFERROR(__xludf.DUMMYFUNCTION("""COMPUTED_VALUE"""),"PERMOHONAN SK")</f>
        <v>PERMOHONAN SK</v>
      </c>
      <c r="H2392" s="42">
        <f t="shared" si="1"/>
        <v>1115</v>
      </c>
    </row>
    <row r="2393" ht="22.5" customHeight="1">
      <c r="B2393" s="42" t="str">
        <f>IFERROR(__xludf.DUMMYFUNCTION("""COMPUTED_VALUE"""),"K/49/200225/3")</f>
        <v>K/49/200225/3</v>
      </c>
      <c r="C2393" s="42" t="str">
        <f>IFERROR(__xludf.DUMMYFUNCTION("""COMPUTED_VALUE"""),"PBT 249/2023 SUKADANAHAM")</f>
        <v>PBT 249/2023 SUKADANAHAM</v>
      </c>
      <c r="D2393" s="42"/>
      <c r="E2393" s="42"/>
      <c r="F2393" s="48" t="str">
        <f>IFERROR(__xludf.DUMMYFUNCTION("""COMPUTED_VALUE"""),"")</f>
        <v/>
      </c>
      <c r="G2393" s="42" t="str">
        <f>IFERROR(__xludf.DUMMYFUNCTION("""COMPUTED_VALUE"""),"PERMOHONAN SK ")</f>
        <v>PERMOHONAN SK </v>
      </c>
      <c r="H2393" s="42">
        <f t="shared" si="1"/>
        <v>1115</v>
      </c>
    </row>
    <row r="2394" ht="22.5" customHeight="1">
      <c r="B2394" s="42" t="str">
        <f>IFERROR(__xludf.DUMMYFUNCTION("""COMPUTED_VALUE"""),"K/50/200225/4")</f>
        <v>K/50/200225/4</v>
      </c>
      <c r="C2394" s="42" t="str">
        <f>IFERROR(__xludf.DUMMYFUNCTION("""COMPUTED_VALUE"""),"PBT 257/2023 SUKADANAHAM")</f>
        <v>PBT 257/2023 SUKADANAHAM</v>
      </c>
      <c r="D2394" s="42"/>
      <c r="E2394" s="42"/>
      <c r="F2394" s="48" t="str">
        <f>IFERROR(__xludf.DUMMYFUNCTION("""COMPUTED_VALUE"""),"")</f>
        <v/>
      </c>
      <c r="G2394" s="42" t="str">
        <f>IFERROR(__xludf.DUMMYFUNCTION("""COMPUTED_VALUE"""),"PERMOHONAN SK")</f>
        <v>PERMOHONAN SK</v>
      </c>
      <c r="H2394" s="42">
        <f t="shared" si="1"/>
        <v>1115</v>
      </c>
    </row>
    <row r="2395" ht="22.5" customHeight="1">
      <c r="B2395" s="42" t="str">
        <f>IFERROR(__xludf.DUMMYFUNCTION("""COMPUTED_VALUE"""),"K/51/200225/5")</f>
        <v>K/51/200225/5</v>
      </c>
      <c r="C2395" s="42" t="str">
        <f>IFERROR(__xludf.DUMMYFUNCTION("""COMPUTED_VALUE"""),"PBT 252/2023 SUKADANAHAM")</f>
        <v>PBT 252/2023 SUKADANAHAM</v>
      </c>
      <c r="D2395" s="42"/>
      <c r="E2395" s="42"/>
      <c r="F2395" s="48" t="str">
        <f>IFERROR(__xludf.DUMMYFUNCTION("""COMPUTED_VALUE"""),"")</f>
        <v/>
      </c>
      <c r="G2395" s="42" t="str">
        <f>IFERROR(__xludf.DUMMYFUNCTION("""COMPUTED_VALUE"""),"PERMOHONAN SK")</f>
        <v>PERMOHONAN SK</v>
      </c>
      <c r="H2395" s="42">
        <f t="shared" si="1"/>
        <v>1115</v>
      </c>
    </row>
    <row r="2396" ht="22.5" customHeight="1">
      <c r="B2396" s="42" t="str">
        <f>IFERROR(__xludf.DUMMYFUNCTION("""COMPUTED_VALUE"""),"K/52/200225/6")</f>
        <v>K/52/200225/6</v>
      </c>
      <c r="C2396" s="42" t="str">
        <f>IFERROR(__xludf.DUMMYFUNCTION("""COMPUTED_VALUE"""),"PBT 256/2023 SUKADANAHAM")</f>
        <v>PBT 256/2023 SUKADANAHAM</v>
      </c>
      <c r="D2396" s="42"/>
      <c r="E2396" s="42"/>
      <c r="F2396" s="48" t="str">
        <f>IFERROR(__xludf.DUMMYFUNCTION("""COMPUTED_VALUE"""),"")</f>
        <v/>
      </c>
      <c r="G2396" s="42" t="str">
        <f>IFERROR(__xludf.DUMMYFUNCTION("""COMPUTED_VALUE"""),"PERMOHONAN SK")</f>
        <v>PERMOHONAN SK</v>
      </c>
      <c r="H2396" s="42">
        <f t="shared" si="1"/>
        <v>1115</v>
      </c>
    </row>
    <row r="2397" ht="22.5" customHeight="1">
      <c r="B2397" s="42" t="str">
        <f>IFERROR(__xludf.DUMMYFUNCTION("""COMPUTED_VALUE"""),"L/1/210225/1")</f>
        <v>L/1/210225/1</v>
      </c>
      <c r="C2397" s="42" t="str">
        <f>IFERROR(__xludf.DUMMYFUNCTION("""COMPUTED_VALUE"""),"HM 3877/WAY KANDIS")</f>
        <v>HM 3877/WAY KANDIS</v>
      </c>
      <c r="D2397" s="42"/>
      <c r="E2397" s="42"/>
      <c r="F2397" s="48" t="str">
        <f>IFERROR(__xludf.DUMMYFUNCTION("""COMPUTED_VALUE"""),"")</f>
        <v/>
      </c>
      <c r="G2397" s="42" t="str">
        <f>IFERROR(__xludf.DUMMYFUNCTION("""COMPUTED_VALUE"""),"ROYA")</f>
        <v>ROYA</v>
      </c>
      <c r="H2397" s="42">
        <f t="shared" si="1"/>
        <v>1115</v>
      </c>
    </row>
    <row r="2398" ht="22.5" customHeight="1">
      <c r="B2398" s="42" t="str">
        <f>IFERROR(__xludf.DUMMYFUNCTION("""COMPUTED_VALUE"""),"K/2/210225/1")</f>
        <v>K/2/210225/1</v>
      </c>
      <c r="C2398" s="42" t="str">
        <f>IFERROR(__xludf.DUMMYFUNCTION("""COMPUTED_VALUE"""),"M. 647/ Kangkung")</f>
        <v>M. 647/ Kangkung</v>
      </c>
      <c r="D2398" s="42"/>
      <c r="E2398" s="42" t="str">
        <f>IFERROR(__xludf.DUMMYFUNCTION("""COMPUTED_VALUE"""),"DISERAHKAN")</f>
        <v>DISERAHKAN</v>
      </c>
      <c r="F2398" s="48">
        <f>IFERROR(__xludf.DUMMYFUNCTION("""COMPUTED_VALUE"""),45720.43920231481)</f>
        <v>45720.4392</v>
      </c>
      <c r="G2398" s="42" t="str">
        <f>IFERROR(__xludf.DUMMYFUNCTION("""COMPUTED_VALUE"""),"BN JUAL BELI")</f>
        <v>BN JUAL BELI</v>
      </c>
      <c r="H2398" s="42">
        <f t="shared" si="1"/>
        <v>1116</v>
      </c>
    </row>
    <row r="2399" ht="22.5" customHeight="1">
      <c r="B2399" s="42" t="str">
        <f>IFERROR(__xludf.DUMMYFUNCTION("""COMPUTED_VALUE"""),"K/3/210225/1")</f>
        <v>K/3/210225/1</v>
      </c>
      <c r="C2399" s="42" t="str">
        <f>IFERROR(__xludf.DUMMYFUNCTION("""COMPUTED_VALUE"""),"M. 1318/ Bumi Waras")</f>
        <v>M. 1318/ Bumi Waras</v>
      </c>
      <c r="D2399" s="42"/>
      <c r="E2399" s="42" t="str">
        <f>IFERROR(__xludf.DUMMYFUNCTION("""COMPUTED_VALUE"""),"DISERAHKAN")</f>
        <v>DISERAHKAN</v>
      </c>
      <c r="F2399" s="48">
        <f>IFERROR(__xludf.DUMMYFUNCTION("""COMPUTED_VALUE"""),45723.48205627315)</f>
        <v>45723.48206</v>
      </c>
      <c r="G2399" s="42" t="str">
        <f>IFERROR(__xludf.DUMMYFUNCTION("""COMPUTED_VALUE"""),"BN JUAL BELI")</f>
        <v>BN JUAL BELI</v>
      </c>
      <c r="H2399" s="42">
        <f t="shared" si="1"/>
        <v>1117</v>
      </c>
    </row>
    <row r="2400" ht="22.5" customHeight="1">
      <c r="B2400" s="42" t="str">
        <f>IFERROR(__xludf.DUMMYFUNCTION("""COMPUTED_VALUE"""),"L/4/210225/1")</f>
        <v>L/4/210225/1</v>
      </c>
      <c r="C2400" s="42" t="str">
        <f>IFERROR(__xludf.DUMMYFUNCTION("""COMPUTED_VALUE"""),"NIB 1644/GEDONG MENENG")</f>
        <v>NIB 1644/GEDONG MENENG</v>
      </c>
      <c r="D2400" s="42"/>
      <c r="E2400" s="42"/>
      <c r="F2400" s="48" t="str">
        <f>IFERROR(__xludf.DUMMYFUNCTION("""COMPUTED_VALUE"""),"")</f>
        <v/>
      </c>
      <c r="G2400" s="42" t="str">
        <f>IFERROR(__xludf.DUMMYFUNCTION("""COMPUTED_VALUE"""),"PH")</f>
        <v>PH</v>
      </c>
      <c r="H2400" s="42">
        <f t="shared" si="1"/>
        <v>1117</v>
      </c>
    </row>
    <row r="2401" ht="22.5" customHeight="1">
      <c r="B2401" s="42" t="str">
        <f>IFERROR(__xludf.DUMMYFUNCTION("""COMPUTED_VALUE"""),"K/5/210225/1")</f>
        <v>K/5/210225/1</v>
      </c>
      <c r="C2401" s="42" t="str">
        <f>IFERROR(__xludf.DUMMYFUNCTION("""COMPUTED_VALUE"""),"M. 5906/ Way Kandis")</f>
        <v>M. 5906/ Way Kandis</v>
      </c>
      <c r="D2401" s="42"/>
      <c r="E2401" s="42" t="str">
        <f>IFERROR(__xludf.DUMMYFUNCTION("""COMPUTED_VALUE"""),"DISERAHKAN")</f>
        <v>DISERAHKAN</v>
      </c>
      <c r="F2401" s="48">
        <f>IFERROR(__xludf.DUMMYFUNCTION("""COMPUTED_VALUE"""),45722.50446701389)</f>
        <v>45722.50447</v>
      </c>
      <c r="G2401" s="42" t="str">
        <f>IFERROR(__xludf.DUMMYFUNCTION("""COMPUTED_VALUE"""),"BN Jual Beli")</f>
        <v>BN Jual Beli</v>
      </c>
      <c r="H2401" s="42">
        <f t="shared" si="1"/>
        <v>1118</v>
      </c>
    </row>
    <row r="2402" ht="22.5" customHeight="1">
      <c r="B2402" s="42" t="str">
        <f>IFERROR(__xludf.DUMMYFUNCTION("""COMPUTED_VALUE"""),"K/6/210225/1")</f>
        <v>K/6/210225/1</v>
      </c>
      <c r="C2402" s="42" t="str">
        <f>IFERROR(__xludf.DUMMYFUNCTION("""COMPUTED_VALUE"""),"B.653/SUMBER AGUNG")</f>
        <v>B.653/SUMBER AGUNG</v>
      </c>
      <c r="D2402" s="42"/>
      <c r="E2402" s="42" t="str">
        <f>IFERROR(__xludf.DUMMYFUNCTION("""COMPUTED_VALUE"""),"DISERAHKAN")</f>
        <v>DISERAHKAN</v>
      </c>
      <c r="F2402" s="48">
        <f>IFERROR(__xludf.DUMMYFUNCTION("""COMPUTED_VALUE"""),45722.500426921295)</f>
        <v>45722.50043</v>
      </c>
      <c r="G2402" s="42" t="str">
        <f>IFERROR(__xludf.DUMMYFUNCTION("""COMPUTED_VALUE"""),"JUAL BELI")</f>
        <v>JUAL BELI</v>
      </c>
      <c r="H2402" s="42">
        <f t="shared" si="1"/>
        <v>1119</v>
      </c>
    </row>
    <row r="2403" ht="22.5" customHeight="1">
      <c r="B2403" s="42" t="str">
        <f>IFERROR(__xludf.DUMMYFUNCTION("""COMPUTED_VALUE"""),"K/7/210225/2")</f>
        <v>K/7/210225/2</v>
      </c>
      <c r="C2403" s="42" t="str">
        <f>IFERROR(__xludf.DUMMYFUNCTION("""COMPUTED_VALUE"""),"B.652/SUMBER AGUNG")</f>
        <v>B.652/SUMBER AGUNG</v>
      </c>
      <c r="D2403" s="42"/>
      <c r="E2403" s="42" t="str">
        <f>IFERROR(__xludf.DUMMYFUNCTION("""COMPUTED_VALUE"""),"DISERAHKAN")</f>
        <v>DISERAHKAN</v>
      </c>
      <c r="F2403" s="48">
        <f>IFERROR(__xludf.DUMMYFUNCTION("""COMPUTED_VALUE"""),45720.43920231481)</f>
        <v>45720.4392</v>
      </c>
      <c r="G2403" s="42" t="str">
        <f>IFERROR(__xludf.DUMMYFUNCTION("""COMPUTED_VALUE"""),"JUAL BELI")</f>
        <v>JUAL BELI</v>
      </c>
      <c r="H2403" s="42">
        <f t="shared" si="1"/>
        <v>1120</v>
      </c>
    </row>
    <row r="2404" ht="22.5" customHeight="1">
      <c r="B2404" s="42" t="str">
        <f>IFERROR(__xludf.DUMMYFUNCTION("""COMPUTED_VALUE"""),"K/8/210225/3")</f>
        <v>K/8/210225/3</v>
      </c>
      <c r="C2404" s="42" t="str">
        <f>IFERROR(__xludf.DUMMYFUNCTION("""COMPUTED_VALUE"""),"M.475/LANGKAPURA BARU")</f>
        <v>M.475/LANGKAPURA BARU</v>
      </c>
      <c r="D2404" s="42"/>
      <c r="E2404" s="42" t="str">
        <f>IFERROR(__xludf.DUMMYFUNCTION("""COMPUTED_VALUE"""),"DISERAHKAN")</f>
        <v>DISERAHKAN</v>
      </c>
      <c r="F2404" s="48">
        <f>IFERROR(__xludf.DUMMYFUNCTION("""COMPUTED_VALUE"""),45720.43920231481)</f>
        <v>45720.4392</v>
      </c>
      <c r="G2404" s="42" t="str">
        <f>IFERROR(__xludf.DUMMYFUNCTION("""COMPUTED_VALUE"""),"JUAL BELI")</f>
        <v>JUAL BELI</v>
      </c>
      <c r="H2404" s="42">
        <f t="shared" si="1"/>
        <v>1121</v>
      </c>
    </row>
    <row r="2405" ht="22.5" customHeight="1">
      <c r="B2405" s="42" t="str">
        <f>IFERROR(__xludf.DUMMYFUNCTION("""COMPUTED_VALUE"""),"L/9/210225/1")</f>
        <v>L/9/210225/1</v>
      </c>
      <c r="C2405" s="42" t="str">
        <f>IFERROR(__xludf.DUMMYFUNCTION("""COMPUTED_VALUE"""),"BATU PUTUK")</f>
        <v>BATU PUTUK</v>
      </c>
      <c r="D2405" s="42"/>
      <c r="E2405" s="42"/>
      <c r="F2405" s="48" t="str">
        <f>IFERROR(__xludf.DUMMYFUNCTION("""COMPUTED_VALUE"""),"")</f>
        <v/>
      </c>
      <c r="G2405" s="42" t="str">
        <f>IFERROR(__xludf.DUMMYFUNCTION("""COMPUTED_VALUE"""),"TANAH MENTAH")</f>
        <v>TANAH MENTAH</v>
      </c>
      <c r="H2405" s="42">
        <f t="shared" si="1"/>
        <v>1121</v>
      </c>
    </row>
    <row r="2406" ht="22.5" customHeight="1">
      <c r="B2406" s="42" t="str">
        <f>IFERROR(__xludf.DUMMYFUNCTION("""COMPUTED_VALUE"""),"K/10/210225/1")</f>
        <v>K/10/210225/1</v>
      </c>
      <c r="C2406" s="42" t="str">
        <f>IFERROR(__xludf.DUMMYFUNCTION("""COMPUTED_VALUE"""),"M.11086/GEDONG MENENG")</f>
        <v>M.11086/GEDONG MENENG</v>
      </c>
      <c r="D2406" s="42"/>
      <c r="E2406" s="42" t="str">
        <f>IFERROR(__xludf.DUMMYFUNCTION("""COMPUTED_VALUE"""),"DISERAHKAN")</f>
        <v>DISERAHKAN</v>
      </c>
      <c r="F2406" s="48">
        <f>IFERROR(__xludf.DUMMYFUNCTION("""COMPUTED_VALUE"""),45720.43920231481)</f>
        <v>45720.4392</v>
      </c>
      <c r="G2406" s="42" t="str">
        <f>IFERROR(__xludf.DUMMYFUNCTION("""COMPUTED_VALUE"""),"APHB")</f>
        <v>APHB</v>
      </c>
      <c r="H2406" s="42">
        <f t="shared" si="1"/>
        <v>1122</v>
      </c>
    </row>
    <row r="2407" ht="22.5" customHeight="1">
      <c r="B2407" s="42" t="str">
        <f>IFERROR(__xludf.DUMMYFUNCTION("""COMPUTED_VALUE"""),"K/11/210225/1")</f>
        <v>K/11/210225/1</v>
      </c>
      <c r="C2407" s="42" t="str">
        <f>IFERROR(__xludf.DUMMYFUNCTION("""COMPUTED_VALUE"""),"B. 922/ kemiling Permai")</f>
        <v>B. 922/ kemiling Permai</v>
      </c>
      <c r="D2407" s="42"/>
      <c r="E2407" s="42" t="str">
        <f>IFERROR(__xludf.DUMMYFUNCTION("""COMPUTED_VALUE"""),"DISERAHKAN")</f>
        <v>DISERAHKAN</v>
      </c>
      <c r="F2407" s="48">
        <f>IFERROR(__xludf.DUMMYFUNCTION("""COMPUTED_VALUE"""),45720.43920231481)</f>
        <v>45720.4392</v>
      </c>
      <c r="G2407" s="42" t="str">
        <f>IFERROR(__xludf.DUMMYFUNCTION("""COMPUTED_VALUE"""),"BN JUAL BELI")</f>
        <v>BN JUAL BELI</v>
      </c>
      <c r="H2407" s="42">
        <f t="shared" si="1"/>
        <v>1123</v>
      </c>
    </row>
    <row r="2408" ht="22.5" customHeight="1">
      <c r="B2408" s="42" t="str">
        <f>IFERROR(__xludf.DUMMYFUNCTION("""COMPUTED_VALUE"""),"K/12/210225/2")</f>
        <v>K/12/210225/2</v>
      </c>
      <c r="C2408" s="42" t="str">
        <f>IFERROR(__xludf.DUMMYFUNCTION("""COMPUTED_VALUE"""),"B. 989/ Kemiling Permai")</f>
        <v>B. 989/ Kemiling Permai</v>
      </c>
      <c r="D2408" s="42"/>
      <c r="E2408" s="42" t="str">
        <f>IFERROR(__xludf.DUMMYFUNCTION("""COMPUTED_VALUE"""),"DISERAHKAN")</f>
        <v>DISERAHKAN</v>
      </c>
      <c r="F2408" s="48">
        <f>IFERROR(__xludf.DUMMYFUNCTION("""COMPUTED_VALUE"""),45720.43920231481)</f>
        <v>45720.4392</v>
      </c>
      <c r="G2408" s="42" t="str">
        <f>IFERROR(__xludf.DUMMYFUNCTION("""COMPUTED_VALUE"""),"BN JUAL BELIO")</f>
        <v>BN JUAL BELIO</v>
      </c>
      <c r="H2408" s="42">
        <f t="shared" si="1"/>
        <v>1124</v>
      </c>
    </row>
    <row r="2409" ht="22.5" customHeight="1">
      <c r="B2409" s="42" t="str">
        <f>IFERROR(__xludf.DUMMYFUNCTION("""COMPUTED_VALUE"""),"K/13/210225/3")</f>
        <v>K/13/210225/3</v>
      </c>
      <c r="C2409" s="42" t="str">
        <f>IFERROR(__xludf.DUMMYFUNCTION("""COMPUTED_VALUE"""),"B. 394/ Kemiling Permai")</f>
        <v>B. 394/ Kemiling Permai</v>
      </c>
      <c r="D2409" s="42"/>
      <c r="E2409" s="42" t="str">
        <f>IFERROR(__xludf.DUMMYFUNCTION("""COMPUTED_VALUE"""),"DISERAHKAN")</f>
        <v>DISERAHKAN</v>
      </c>
      <c r="F2409" s="48">
        <f>IFERROR(__xludf.DUMMYFUNCTION("""COMPUTED_VALUE"""),45730.396452835645)</f>
        <v>45730.39645</v>
      </c>
      <c r="G2409" s="42" t="str">
        <f>IFERROR(__xludf.DUMMYFUNCTION("""COMPUTED_VALUE"""),"BN JUAL BELI")</f>
        <v>BN JUAL BELI</v>
      </c>
      <c r="H2409" s="42">
        <f t="shared" si="1"/>
        <v>1125</v>
      </c>
    </row>
    <row r="2410" ht="22.5" customHeight="1">
      <c r="B2410" s="42" t="str">
        <f>IFERROR(__xludf.DUMMYFUNCTION("""COMPUTED_VALUE"""),"K/16/210225/2")</f>
        <v>K/16/210225/2</v>
      </c>
      <c r="C2410" s="42" t="str">
        <f>IFERROR(__xludf.DUMMYFUNCTION("""COMPUTED_VALUE"""),"M. 1722/ Kaliawi")</f>
        <v>M. 1722/ Kaliawi</v>
      </c>
      <c r="D2410" s="42"/>
      <c r="E2410" s="42"/>
      <c r="F2410" s="48" t="str">
        <f>IFERROR(__xludf.DUMMYFUNCTION("""COMPUTED_VALUE"""),"")</f>
        <v/>
      </c>
      <c r="G2410" s="42" t="str">
        <f>IFERROR(__xludf.DUMMYFUNCTION("""COMPUTED_VALUE"""),"BN Jual Beli")</f>
        <v>BN Jual Beli</v>
      </c>
      <c r="H2410" s="42">
        <f t="shared" si="1"/>
        <v>1125</v>
      </c>
    </row>
    <row r="2411" ht="22.5" customHeight="1">
      <c r="B2411" s="42" t="str">
        <f>IFERROR(__xludf.DUMMYFUNCTION("""COMPUTED_VALUE"""),"K/15/210225/1")</f>
        <v>K/15/210225/1</v>
      </c>
      <c r="C2411" s="42" t="str">
        <f>IFERROR(__xludf.DUMMYFUNCTION("""COMPUTED_VALUE"""),"M. 1718/ Sukarame Baru")</f>
        <v>M. 1718/ Sukarame Baru</v>
      </c>
      <c r="D2411" s="42"/>
      <c r="E2411" s="42" t="str">
        <f>IFERROR(__xludf.DUMMYFUNCTION("""COMPUTED_VALUE"""),"DISERAHKAN")</f>
        <v>DISERAHKAN</v>
      </c>
      <c r="F2411" s="48">
        <f>IFERROR(__xludf.DUMMYFUNCTION("""COMPUTED_VALUE"""),45730.60815180556)</f>
        <v>45730.60815</v>
      </c>
      <c r="G2411" s="42" t="str">
        <f>IFERROR(__xludf.DUMMYFUNCTION("""COMPUTED_VALUE"""),"Roya")</f>
        <v>Roya</v>
      </c>
      <c r="H2411" s="42">
        <f t="shared" si="1"/>
        <v>1126</v>
      </c>
    </row>
    <row r="2412" ht="22.5" customHeight="1">
      <c r="B2412" s="42" t="str">
        <f>IFERROR(__xludf.DUMMYFUNCTION("""COMPUTED_VALUE""")," K/14/210225/4")</f>
        <v> K/14/210225/4</v>
      </c>
      <c r="C2412" s="42" t="str">
        <f>IFERROR(__xludf.DUMMYFUNCTION("""COMPUTED_VALUE"""),"HMASRS 292/ Sumur Putri")</f>
        <v>HMASRS 292/ Sumur Putri</v>
      </c>
      <c r="D2412" s="42"/>
      <c r="E2412" s="42" t="str">
        <f>IFERROR(__xludf.DUMMYFUNCTION("""COMPUTED_VALUE"""),"DISERAHKAN")</f>
        <v>DISERAHKAN</v>
      </c>
      <c r="F2412" s="48">
        <f>IFERROR(__xludf.DUMMYFUNCTION("""COMPUTED_VALUE"""),45730.39685048611)</f>
        <v>45730.39685</v>
      </c>
      <c r="G2412" s="42" t="str">
        <f>IFERROR(__xludf.DUMMYFUNCTION("""COMPUTED_VALUE"""),"BN JUAL BELI")</f>
        <v>BN JUAL BELI</v>
      </c>
      <c r="H2412" s="42">
        <f t="shared" si="1"/>
        <v>1127</v>
      </c>
    </row>
    <row r="2413" ht="22.5" customHeight="1">
      <c r="B2413" s="42" t="str">
        <f>IFERROR(__xludf.DUMMYFUNCTION("""COMPUTED_VALUE"""),"K/17/210225/1")</f>
        <v>K/17/210225/1</v>
      </c>
      <c r="C2413" s="42" t="str">
        <f>IFERROR(__xludf.DUMMYFUNCTION("""COMPUTED_VALUE"""),"B.1980/BERINGIN RAYA")</f>
        <v>B.1980/BERINGIN RAYA</v>
      </c>
      <c r="D2413" s="42"/>
      <c r="E2413" s="42"/>
      <c r="F2413" s="48" t="str">
        <f>IFERROR(__xludf.DUMMYFUNCTION("""COMPUTED_VALUE"""),"")</f>
        <v/>
      </c>
      <c r="G2413" s="42" t="str">
        <f>IFERROR(__xludf.DUMMYFUNCTION("""COMPUTED_VALUE"""),"PTPGT")</f>
        <v>PTPGT</v>
      </c>
      <c r="H2413" s="42">
        <f t="shared" si="1"/>
        <v>1127</v>
      </c>
    </row>
    <row r="2414" ht="22.5" customHeight="1">
      <c r="B2414" s="42" t="str">
        <f>IFERROR(__xludf.DUMMYFUNCTION("""COMPUTED_VALUE"""),"K/18/210225/1")</f>
        <v>K/18/210225/1</v>
      </c>
      <c r="C2414" s="42" t="str">
        <f>IFERROR(__xludf.DUMMYFUNCTION("""COMPUTED_VALUE"""),"M. 11336/TANJUNG BARU")</f>
        <v>M. 11336/TANJUNG BARU</v>
      </c>
      <c r="D2414" s="42"/>
      <c r="E2414" s="42" t="str">
        <f>IFERROR(__xludf.DUMMYFUNCTION("""COMPUTED_VALUE"""),"DISERAHKAN")</f>
        <v>DISERAHKAN</v>
      </c>
      <c r="F2414" s="48">
        <f>IFERROR(__xludf.DUMMYFUNCTION("""COMPUTED_VALUE"""),45741.52382634259)</f>
        <v>45741.52383</v>
      </c>
      <c r="G2414" s="42" t="str">
        <f>IFERROR(__xludf.DUMMYFUNCTION("""COMPUTED_VALUE"""),"ROYA")</f>
        <v>ROYA</v>
      </c>
      <c r="H2414" s="42">
        <f t="shared" si="1"/>
        <v>1128</v>
      </c>
    </row>
    <row r="2415" ht="22.5" customHeight="1">
      <c r="B2415" s="42" t="str">
        <f>IFERROR(__xludf.DUMMYFUNCTION("""COMPUTED_VALUE"""),"K/19/210225/1")</f>
        <v>K/19/210225/1</v>
      </c>
      <c r="C2415" s="42" t="str">
        <f>IFERROR(__xludf.DUMMYFUNCTION("""COMPUTED_VALUE"""),"M.  5156/ Way Kandis")</f>
        <v>M.  5156/ Way Kandis</v>
      </c>
      <c r="D2415" s="42"/>
      <c r="E2415" s="42" t="str">
        <f>IFERROR(__xludf.DUMMYFUNCTION("""COMPUTED_VALUE"""),"DISERAHKAN")</f>
        <v>DISERAHKAN</v>
      </c>
      <c r="F2415" s="48">
        <f>IFERROR(__xludf.DUMMYFUNCTION("""COMPUTED_VALUE"""),45720.43920231481)</f>
        <v>45720.4392</v>
      </c>
      <c r="G2415" s="42" t="str">
        <f>IFERROR(__xludf.DUMMYFUNCTION("""COMPUTED_VALUE"""),"BN Jual Beli")</f>
        <v>BN Jual Beli</v>
      </c>
      <c r="H2415" s="42">
        <f t="shared" si="1"/>
        <v>1129</v>
      </c>
    </row>
    <row r="2416" ht="22.5" customHeight="1">
      <c r="B2416" s="42" t="str">
        <f>IFERROR(__xludf.DUMMYFUNCTION("""COMPUTED_VALUE"""),"K/20/210225/1")</f>
        <v>K/20/210225/1</v>
      </c>
      <c r="C2416" s="42" t="str">
        <f>IFERROR(__xludf.DUMMYFUNCTION("""COMPUTED_VALUE"""),"M. 12549/ Sukabumi")</f>
        <v>M. 12549/ Sukabumi</v>
      </c>
      <c r="D2416" s="42"/>
      <c r="E2416" s="42" t="str">
        <f>IFERROR(__xludf.DUMMYFUNCTION("""COMPUTED_VALUE"""),"DISERAHKAN")</f>
        <v>DISERAHKAN</v>
      </c>
      <c r="F2416" s="48">
        <f>IFERROR(__xludf.DUMMYFUNCTION("""COMPUTED_VALUE"""),45723.47190902778)</f>
        <v>45723.47191</v>
      </c>
      <c r="G2416" s="42" t="str">
        <f>IFERROR(__xludf.DUMMYFUNCTION("""COMPUTED_VALUE"""),"BN WARIS")</f>
        <v>BN WARIS</v>
      </c>
      <c r="H2416" s="42">
        <f t="shared" si="1"/>
        <v>1130</v>
      </c>
    </row>
    <row r="2417" ht="22.5" customHeight="1">
      <c r="B2417" s="42" t="str">
        <f>IFERROR(__xludf.DUMMYFUNCTION("""COMPUTED_VALUE"""),"K/21/210225/1")</f>
        <v>K/21/210225/1</v>
      </c>
      <c r="C2417" s="42" t="str">
        <f>IFERROR(__xludf.DUMMYFUNCTION("""COMPUTED_VALUE"""),"M. 1505/SUMUR BATU")</f>
        <v>M. 1505/SUMUR BATU</v>
      </c>
      <c r="D2417" s="42"/>
      <c r="E2417" s="42" t="str">
        <f>IFERROR(__xludf.DUMMYFUNCTION("""COMPUTED_VALUE"""),"DISERAHKAN")</f>
        <v>DISERAHKAN</v>
      </c>
      <c r="F2417" s="48">
        <f>IFERROR(__xludf.DUMMYFUNCTION("""COMPUTED_VALUE"""),45742.612784282406)</f>
        <v>45742.61278</v>
      </c>
      <c r="G2417" s="42" t="str">
        <f>IFERROR(__xludf.DUMMYFUNCTION("""COMPUTED_VALUE"""),"ROYA")</f>
        <v>ROYA</v>
      </c>
      <c r="H2417" s="42">
        <f t="shared" si="1"/>
        <v>1131</v>
      </c>
    </row>
    <row r="2418" ht="22.5" customHeight="1">
      <c r="B2418" s="42" t="str">
        <f>IFERROR(__xludf.DUMMYFUNCTION("""COMPUTED_VALUE"""),"K/25/210225/1")</f>
        <v>K/25/210225/1</v>
      </c>
      <c r="C2418" s="42" t="str">
        <f>IFERROR(__xludf.DUMMYFUNCTION("""COMPUTED_VALUE"""),"M.179/RAJABASA RAYA")</f>
        <v>M.179/RAJABASA RAYA</v>
      </c>
      <c r="D2418" s="42"/>
      <c r="E2418" s="42"/>
      <c r="F2418" s="48" t="str">
        <f>IFERROR(__xludf.DUMMYFUNCTION("""COMPUTED_VALUE"""),"")</f>
        <v/>
      </c>
      <c r="G2418" s="42" t="str">
        <f>IFERROR(__xludf.DUMMYFUNCTION("""COMPUTED_VALUE"""),"KEWARISAN")</f>
        <v>KEWARISAN</v>
      </c>
      <c r="H2418" s="42">
        <f t="shared" si="1"/>
        <v>1131</v>
      </c>
    </row>
    <row r="2419" ht="22.5" customHeight="1">
      <c r="B2419" s="42" t="str">
        <f>IFERROR(__xludf.DUMMYFUNCTION("""COMPUTED_VALUE"""),"K/26/210225/1")</f>
        <v>K/26/210225/1</v>
      </c>
      <c r="C2419" s="42" t="str">
        <f>IFERROR(__xludf.DUMMYFUNCTION("""COMPUTED_VALUE"""),"M.1853/KETEGUHAN")</f>
        <v>M.1853/KETEGUHAN</v>
      </c>
      <c r="D2419" s="42"/>
      <c r="E2419" s="42" t="str">
        <f>IFERROR(__xludf.DUMMYFUNCTION("""COMPUTED_VALUE"""),"DISERAHKAN")</f>
        <v>DISERAHKAN</v>
      </c>
      <c r="F2419" s="48">
        <f>IFERROR(__xludf.DUMMYFUNCTION("""COMPUTED_VALUE"""),45722.50057483796)</f>
        <v>45722.50057</v>
      </c>
      <c r="G2419" s="42" t="str">
        <f>IFERROR(__xludf.DUMMYFUNCTION("""COMPUTED_VALUE"""),"JUAL BELI")</f>
        <v>JUAL BELI</v>
      </c>
      <c r="H2419" s="42">
        <f t="shared" si="1"/>
        <v>1132</v>
      </c>
    </row>
    <row r="2420" ht="22.5" customHeight="1">
      <c r="B2420" s="42" t="str">
        <f>IFERROR(__xludf.DUMMYFUNCTION("""COMPUTED_VALUE"""),"K/24/210225/1")</f>
        <v>K/24/210225/1</v>
      </c>
      <c r="C2420" s="42" t="str">
        <f>IFERROR(__xludf.DUMMYFUNCTION("""COMPUTED_VALUE"""),"M. 1172/ Srengsem")</f>
        <v>M. 1172/ Srengsem</v>
      </c>
      <c r="D2420" s="42" t="str">
        <f>IFERROR(__xludf.DUMMYFUNCTION("""COMPUTED_VALUE"""),"Berry")</f>
        <v>Berry</v>
      </c>
      <c r="E2420" s="42" t="str">
        <f>IFERROR(__xludf.DUMMYFUNCTION("""COMPUTED_VALUE"""),"DISERAHKAN")</f>
        <v>DISERAHKAN</v>
      </c>
      <c r="F2420" s="48">
        <f>IFERROR(__xludf.DUMMYFUNCTION("""COMPUTED_VALUE"""),45825.553950092595)</f>
        <v>45825.55395</v>
      </c>
      <c r="G2420" s="42" t="str">
        <f>IFERROR(__xludf.DUMMYFUNCTION("""COMPUTED_VALUE"""),"BN Waris")</f>
        <v>BN Waris</v>
      </c>
      <c r="H2420" s="42">
        <f t="shared" si="1"/>
        <v>1133</v>
      </c>
    </row>
    <row r="2421" ht="22.5" customHeight="1">
      <c r="B2421" s="42" t="str">
        <f>IFERROR(__xludf.DUMMYFUNCTION("""COMPUTED_VALUE"""),"K/22/210225/1")</f>
        <v>K/22/210225/1</v>
      </c>
      <c r="C2421" s="42" t="str">
        <f>IFERROR(__xludf.DUMMYFUNCTION("""COMPUTED_VALUE"""),"Nibel. B. 15799/ Bumi Waras")</f>
        <v>Nibel. B. 15799/ Bumi Waras</v>
      </c>
      <c r="D2421" s="42"/>
      <c r="E2421" s="42"/>
      <c r="F2421" s="48" t="str">
        <f>IFERROR(__xludf.DUMMYFUNCTION("""COMPUTED_VALUE"""),"")</f>
        <v/>
      </c>
      <c r="G2421" s="42" t="str">
        <f>IFERROR(__xludf.DUMMYFUNCTION("""COMPUTED_VALUE"""),"BN Jual Beli")</f>
        <v>BN Jual Beli</v>
      </c>
      <c r="H2421" s="42">
        <f t="shared" si="1"/>
        <v>1133</v>
      </c>
    </row>
    <row r="2422" ht="22.5" customHeight="1">
      <c r="B2422" s="42" t="str">
        <f>IFERROR(__xludf.DUMMYFUNCTION("""COMPUTED_VALUE"""),"L/27/210225/1")</f>
        <v>L/27/210225/1</v>
      </c>
      <c r="C2422" s="42" t="str">
        <f>IFERROR(__xludf.DUMMYFUNCTION("""COMPUTED_VALUE"""),"HGB 529/NOG")</f>
        <v>HGB 529/NOG</v>
      </c>
      <c r="D2422" s="42"/>
      <c r="E2422" s="42" t="str">
        <f>IFERROR(__xludf.DUMMYFUNCTION("""COMPUTED_VALUE"""),"DISERAHKAN")</f>
        <v>DISERAHKAN</v>
      </c>
      <c r="F2422" s="48">
        <f>IFERROR(__xludf.DUMMYFUNCTION("""COMPUTED_VALUE"""),45730.6068928125)</f>
        <v>45730.60689</v>
      </c>
      <c r="G2422" s="42" t="str">
        <f>IFERROR(__xludf.DUMMYFUNCTION("""COMPUTED_VALUE"""),"ROYA")</f>
        <v>ROYA</v>
      </c>
      <c r="H2422" s="42">
        <f t="shared" si="1"/>
        <v>1134</v>
      </c>
    </row>
    <row r="2423" ht="22.5" customHeight="1">
      <c r="B2423" s="42" t="str">
        <f>IFERROR(__xludf.DUMMYFUNCTION("""COMPUTED_VALUE"""),"L/28/210225/1")</f>
        <v>L/28/210225/1</v>
      </c>
      <c r="C2423" s="42" t="str">
        <f>IFERROR(__xludf.DUMMYFUNCTION("""COMPUTED_VALUE"""),"HGB 239/NUSANTARA PERMAI")</f>
        <v>HGB 239/NUSANTARA PERMAI</v>
      </c>
      <c r="D2423" s="42"/>
      <c r="E2423" s="42" t="str">
        <f>IFERROR(__xludf.DUMMYFUNCTION("""COMPUTED_VALUE"""),"DISERAHKAN")</f>
        <v>DISERAHKAN</v>
      </c>
      <c r="F2423" s="48">
        <f>IFERROR(__xludf.DUMMYFUNCTION("""COMPUTED_VALUE"""),45723.48231832176)</f>
        <v>45723.48232</v>
      </c>
      <c r="G2423" s="42" t="str">
        <f>IFERROR(__xludf.DUMMYFUNCTION("""COMPUTED_VALUE"""),"BN WARIS")</f>
        <v>BN WARIS</v>
      </c>
      <c r="H2423" s="42">
        <f t="shared" si="1"/>
        <v>1135</v>
      </c>
    </row>
    <row r="2424" ht="22.5" customHeight="1">
      <c r="B2424" s="42" t="str">
        <f>IFERROR(__xludf.DUMMYFUNCTION("""COMPUTED_VALUE"""),"K/23/210225/2")</f>
        <v>K/23/210225/2</v>
      </c>
      <c r="C2424" s="42" t="str">
        <f>IFERROR(__xludf.DUMMYFUNCTION("""COMPUTED_VALUE"""),"M. 283/ Harapan Jaya")</f>
        <v>M. 283/ Harapan Jaya</v>
      </c>
      <c r="D2424" s="42"/>
      <c r="E2424" s="42" t="str">
        <f>IFERROR(__xludf.DUMMYFUNCTION("""COMPUTED_VALUE"""),"DISERAHKAN")</f>
        <v>DISERAHKAN</v>
      </c>
      <c r="F2424" s="48">
        <f>IFERROR(__xludf.DUMMYFUNCTION("""COMPUTED_VALUE"""),45730.37552644676)</f>
        <v>45730.37553</v>
      </c>
      <c r="G2424" s="42" t="str">
        <f>IFERROR(__xludf.DUMMYFUNCTION("""COMPUTED_VALUE"""),"Roya")</f>
        <v>Roya</v>
      </c>
      <c r="H2424" s="42">
        <f t="shared" si="1"/>
        <v>1136</v>
      </c>
    </row>
    <row r="2425" ht="22.5" customHeight="1">
      <c r="B2425" s="42" t="str">
        <f>IFERROR(__xludf.DUMMYFUNCTION("""COMPUTED_VALUE"""),"L/29/210225/1")</f>
        <v>L/29/210225/1</v>
      </c>
      <c r="C2425" s="42" t="str">
        <f>IFERROR(__xludf.DUMMYFUNCTION("""COMPUTED_VALUE"""),"HM 2651/KEMILING PERMAI")</f>
        <v>HM 2651/KEMILING PERMAI</v>
      </c>
      <c r="D2425" s="42"/>
      <c r="E2425" s="42" t="str">
        <f>IFERROR(__xludf.DUMMYFUNCTION("""COMPUTED_VALUE"""),"DISERAHKAN")</f>
        <v>DISERAHKAN</v>
      </c>
      <c r="F2425" s="48">
        <f>IFERROR(__xludf.DUMMYFUNCTION("""COMPUTED_VALUE"""),45723.54521351852)</f>
        <v>45723.54521</v>
      </c>
      <c r="G2425" s="42" t="str">
        <f>IFERROR(__xludf.DUMMYFUNCTION("""COMPUTED_VALUE"""),"ROYA")</f>
        <v>ROYA</v>
      </c>
      <c r="H2425" s="42">
        <f t="shared" si="1"/>
        <v>1137</v>
      </c>
    </row>
    <row r="2426" ht="22.5" customHeight="1">
      <c r="B2426" s="42" t="str">
        <f>IFERROR(__xludf.DUMMYFUNCTION("""COMPUTED_VALUE"""),"K/30/210225/1")</f>
        <v>K/30/210225/1</v>
      </c>
      <c r="C2426" s="42" t="str">
        <f>IFERROR(__xludf.DUMMYFUNCTION("""COMPUTED_VALUE"""),"M.1987/KALI BALAU KENCANA")</f>
        <v>M.1987/KALI BALAU KENCANA</v>
      </c>
      <c r="D2426" s="42"/>
      <c r="E2426" s="42" t="str">
        <f>IFERROR(__xludf.DUMMYFUNCTION("""COMPUTED_VALUE"""),"DISERAHKAN")</f>
        <v>DISERAHKAN</v>
      </c>
      <c r="F2426" s="48">
        <f>IFERROR(__xludf.DUMMYFUNCTION("""COMPUTED_VALUE"""),45720.43920231481)</f>
        <v>45720.4392</v>
      </c>
      <c r="G2426" s="42" t="str">
        <f>IFERROR(__xludf.DUMMYFUNCTION("""COMPUTED_VALUE"""),"JUAL BELI")</f>
        <v>JUAL BELI</v>
      </c>
      <c r="H2426" s="42">
        <f t="shared" si="1"/>
        <v>1138</v>
      </c>
    </row>
    <row r="2427" ht="22.5" customHeight="1">
      <c r="B2427" s="42" t="str">
        <f>IFERROR(__xludf.DUMMYFUNCTION("""COMPUTED_VALUE"""),"K/27/210225/2")</f>
        <v>K/27/210225/2</v>
      </c>
      <c r="C2427" s="42" t="str">
        <f>IFERROR(__xludf.DUMMYFUNCTION("""COMPUTED_VALUE"""),"M. 13984/ Kedamaian")</f>
        <v>M. 13984/ Kedamaian</v>
      </c>
      <c r="D2427" s="42"/>
      <c r="E2427" s="42" t="str">
        <f>IFERROR(__xludf.DUMMYFUNCTION("""COMPUTED_VALUE"""),"DISERAHKAN")</f>
        <v>DISERAHKAN</v>
      </c>
      <c r="F2427" s="48">
        <f>IFERROR(__xludf.DUMMYFUNCTION("""COMPUTED_VALUE"""),45722.504201828706)</f>
        <v>45722.5042</v>
      </c>
      <c r="G2427" s="42" t="str">
        <f>IFERROR(__xludf.DUMMYFUNCTION("""COMPUTED_VALUE"""),"BN Hibah")</f>
        <v>BN Hibah</v>
      </c>
      <c r="H2427" s="42">
        <f t="shared" si="1"/>
        <v>1139</v>
      </c>
    </row>
    <row r="2428" ht="22.5" customHeight="1">
      <c r="B2428" s="42" t="str">
        <f>IFERROR(__xludf.DUMMYFUNCTION("""COMPUTED_VALUE"""),"K/31/210225/2")</f>
        <v>K/31/210225/2</v>
      </c>
      <c r="C2428" s="42" t="str">
        <f>IFERROR(__xludf.DUMMYFUNCTION("""COMPUTED_VALUE"""),"M. 599/KALI BALAU KENCANA")</f>
        <v>M. 599/KALI BALAU KENCANA</v>
      </c>
      <c r="D2428" s="42"/>
      <c r="E2428" s="42" t="str">
        <f>IFERROR(__xludf.DUMMYFUNCTION("""COMPUTED_VALUE"""),"DISERAHKAN")</f>
        <v>DISERAHKAN</v>
      </c>
      <c r="F2428" s="48">
        <f>IFERROR(__xludf.DUMMYFUNCTION("""COMPUTED_VALUE"""),45720.43920231481)</f>
        <v>45720.4392</v>
      </c>
      <c r="G2428" s="42" t="str">
        <f>IFERROR(__xludf.DUMMYFUNCTION("""COMPUTED_VALUE"""),"JUAL BELI")</f>
        <v>JUAL BELI</v>
      </c>
      <c r="H2428" s="42">
        <f t="shared" si="1"/>
        <v>1140</v>
      </c>
    </row>
    <row r="2429" ht="22.5" customHeight="1">
      <c r="B2429" s="42" t="str">
        <f>IFERROR(__xludf.DUMMYFUNCTION("""COMPUTED_VALUE"""),"K/49/210225/1")</f>
        <v>K/49/210225/1</v>
      </c>
      <c r="C2429" s="42" t="str">
        <f>IFERROR(__xludf.DUMMYFUNCTION("""COMPUTED_VALUE"""),"M. 13844/ Kedamaian")</f>
        <v>M. 13844/ Kedamaian</v>
      </c>
      <c r="D2429" s="42"/>
      <c r="E2429" s="42" t="str">
        <f>IFERROR(__xludf.DUMMYFUNCTION("""COMPUTED_VALUE"""),"DISERAHKAN")</f>
        <v>DISERAHKAN</v>
      </c>
      <c r="F2429" s="48">
        <f>IFERROR(__xludf.DUMMYFUNCTION("""COMPUTED_VALUE"""),45722.50579541667)</f>
        <v>45722.5058</v>
      </c>
      <c r="G2429" s="42" t="str">
        <f>IFERROR(__xludf.DUMMYFUNCTION("""COMPUTED_VALUE"""),"BN Hibah")</f>
        <v>BN Hibah</v>
      </c>
      <c r="H2429" s="42">
        <f t="shared" si="1"/>
        <v>1141</v>
      </c>
    </row>
    <row r="2430" ht="22.5" customHeight="1">
      <c r="B2430" s="42" t="str">
        <f>IFERROR(__xludf.DUMMYFUNCTION("""COMPUTED_VALUE"""),"K/32/210225/4")</f>
        <v>K/32/210225/4</v>
      </c>
      <c r="C2430" s="42" t="str">
        <f>IFERROR(__xludf.DUMMYFUNCTION("""COMPUTED_VALUE"""),"B.661/SUMBER AGUNG")</f>
        <v>B.661/SUMBER AGUNG</v>
      </c>
      <c r="D2430" s="42"/>
      <c r="E2430" s="42" t="str">
        <f>IFERROR(__xludf.DUMMYFUNCTION("""COMPUTED_VALUE"""),"DISERAHKAN")</f>
        <v>DISERAHKAN</v>
      </c>
      <c r="F2430" s="48">
        <f>IFERROR(__xludf.DUMMYFUNCTION("""COMPUTED_VALUE"""),45728.63883412037)</f>
        <v>45728.63883</v>
      </c>
      <c r="G2430" s="42" t="str">
        <f>IFERROR(__xludf.DUMMYFUNCTION("""COMPUTED_VALUE"""),"JUAL BELI")</f>
        <v>JUAL BELI</v>
      </c>
      <c r="H2430" s="42">
        <f t="shared" si="1"/>
        <v>1142</v>
      </c>
    </row>
    <row r="2431" ht="22.5" customHeight="1">
      <c r="B2431" s="42" t="str">
        <f>IFERROR(__xludf.DUMMYFUNCTION("""COMPUTED_VALUE"""),"K/30/210225/1")</f>
        <v>K/30/210225/1</v>
      </c>
      <c r="C2431" s="42" t="str">
        <f>IFERROR(__xludf.DUMMYFUNCTION("""COMPUTED_VALUE"""),"M. 2632/ Pinang Jaya")</f>
        <v>M. 2632/ Pinang Jaya</v>
      </c>
      <c r="D2431" s="42"/>
      <c r="E2431" s="42" t="str">
        <f>IFERROR(__xludf.DUMMYFUNCTION("""COMPUTED_VALUE"""),"DISERAHKAN")</f>
        <v>DISERAHKAN</v>
      </c>
      <c r="F2431" s="48">
        <f>IFERROR(__xludf.DUMMYFUNCTION("""COMPUTED_VALUE"""),45722.50790491898)</f>
        <v>45722.5079</v>
      </c>
      <c r="G2431" s="42" t="str">
        <f>IFERROR(__xludf.DUMMYFUNCTION("""COMPUTED_VALUE"""),"BN Jual Beli")</f>
        <v>BN Jual Beli</v>
      </c>
      <c r="H2431" s="42">
        <f t="shared" si="1"/>
        <v>1143</v>
      </c>
    </row>
    <row r="2432" ht="22.5" customHeight="1">
      <c r="B2432" s="42" t="str">
        <f>IFERROR(__xludf.DUMMYFUNCTION("""COMPUTED_VALUE"""),"K/33/210225/1")</f>
        <v>K/33/210225/1</v>
      </c>
      <c r="C2432" s="42" t="str">
        <f>IFERROR(__xludf.DUMMYFUNCTION("""COMPUTED_VALUE"""),"M.3079/KETEGUHAN")</f>
        <v>M.3079/KETEGUHAN</v>
      </c>
      <c r="D2432" s="42"/>
      <c r="E2432" s="42"/>
      <c r="F2432" s="48" t="str">
        <f>IFERROR(__xludf.DUMMYFUNCTION("""COMPUTED_VALUE"""),"")</f>
        <v/>
      </c>
      <c r="G2432" s="42" t="str">
        <f>IFERROR(__xludf.DUMMYFUNCTION("""COMPUTED_VALUE"""),"HAPUS BPHTB")</f>
        <v>HAPUS BPHTB</v>
      </c>
      <c r="H2432" s="42">
        <f t="shared" si="1"/>
        <v>1143</v>
      </c>
    </row>
    <row r="2433" ht="22.5" customHeight="1">
      <c r="B2433" s="42" t="str">
        <f>IFERROR(__xludf.DUMMYFUNCTION("""COMPUTED_VALUE"""),"K/33/210225/2")</f>
        <v>K/33/210225/2</v>
      </c>
      <c r="C2433" s="42" t="str">
        <f>IFERROR(__xludf.DUMMYFUNCTION("""COMPUTED_VALUE"""),"M. 2651/ Pinang Jaya")</f>
        <v>M. 2651/ Pinang Jaya</v>
      </c>
      <c r="D2433" s="42"/>
      <c r="E2433" s="42"/>
      <c r="F2433" s="48" t="str">
        <f>IFERROR(__xludf.DUMMYFUNCTION("""COMPUTED_VALUE"""),"")</f>
        <v/>
      </c>
      <c r="G2433" s="42" t="str">
        <f>IFERROR(__xludf.DUMMYFUNCTION("""COMPUTED_VALUE"""),"BN Jual Beli")</f>
        <v>BN Jual Beli</v>
      </c>
      <c r="H2433" s="42">
        <f t="shared" si="1"/>
        <v>1143</v>
      </c>
    </row>
    <row r="2434" ht="22.5" customHeight="1">
      <c r="B2434" s="42" t="str">
        <f>IFERROR(__xludf.DUMMYFUNCTION("""COMPUTED_VALUE"""),"K/34/210225/1")</f>
        <v>K/34/210225/1</v>
      </c>
      <c r="C2434" s="42" t="str">
        <f>IFERROR(__xludf.DUMMYFUNCTION("""COMPUTED_VALUE"""),"NIbel 16715/ Sumur Putri")</f>
        <v>NIbel 16715/ Sumur Putri</v>
      </c>
      <c r="D2434" s="42"/>
      <c r="E2434" s="42"/>
      <c r="F2434" s="48" t="str">
        <f>IFERROR(__xludf.DUMMYFUNCTION("""COMPUTED_VALUE"""),"")</f>
        <v/>
      </c>
      <c r="G2434" s="42" t="str">
        <f>IFERROR(__xludf.DUMMYFUNCTION("""COMPUTED_VALUE"""),"BN JUAL BELI")</f>
        <v>BN JUAL BELI</v>
      </c>
      <c r="H2434" s="42">
        <f t="shared" si="1"/>
        <v>1143</v>
      </c>
    </row>
    <row r="2435" ht="22.5" customHeight="1">
      <c r="B2435" s="42" t="str">
        <f>IFERROR(__xludf.DUMMYFUNCTION("""COMPUTED_VALUE"""),"K/35/210225/2")</f>
        <v>K/35/210225/2</v>
      </c>
      <c r="C2435" s="42" t="str">
        <f>IFERROR(__xludf.DUMMYFUNCTION("""COMPUTED_VALUE"""),"M. 43/ gulak galik")</f>
        <v>M. 43/ gulak galik</v>
      </c>
      <c r="D2435" s="42"/>
      <c r="E2435" s="42" t="str">
        <f>IFERROR(__xludf.DUMMYFUNCTION("""COMPUTED_VALUE"""),"DISERAHKAN")</f>
        <v>DISERAHKAN</v>
      </c>
      <c r="F2435" s="48">
        <f>IFERROR(__xludf.DUMMYFUNCTION("""COMPUTED_VALUE"""),45720.43920231481)</f>
        <v>45720.4392</v>
      </c>
      <c r="G2435" s="42" t="str">
        <f>IFERROR(__xludf.DUMMYFUNCTION("""COMPUTED_VALUE"""),"BN HIBAH")</f>
        <v>BN HIBAH</v>
      </c>
      <c r="H2435" s="42">
        <f t="shared" si="1"/>
        <v>1144</v>
      </c>
    </row>
    <row r="2436" ht="22.5" customHeight="1">
      <c r="B2436" s="42" t="str">
        <f>IFERROR(__xludf.DUMMYFUNCTION("""COMPUTED_VALUE"""),"K/36/210225/3")</f>
        <v>K/36/210225/3</v>
      </c>
      <c r="C2436" s="42" t="str">
        <f>IFERROR(__xludf.DUMMYFUNCTION("""COMPUTED_VALUE"""),"M. 11421/ Jagabaya III")</f>
        <v>M. 11421/ Jagabaya III</v>
      </c>
      <c r="D2436" s="42"/>
      <c r="E2436" s="42" t="str">
        <f>IFERROR(__xludf.DUMMYFUNCTION("""COMPUTED_VALUE"""),"DISERAHKAN")</f>
        <v>DISERAHKAN</v>
      </c>
      <c r="F2436" s="48">
        <f>IFERROR(__xludf.DUMMYFUNCTION("""COMPUTED_VALUE"""),45720.43920231481)</f>
        <v>45720.4392</v>
      </c>
      <c r="G2436" s="42" t="str">
        <f>IFERROR(__xludf.DUMMYFUNCTION("""COMPUTED_VALUE"""),"BN JUAL BELI")</f>
        <v>BN JUAL BELI</v>
      </c>
      <c r="H2436" s="42">
        <f t="shared" si="1"/>
        <v>1145</v>
      </c>
    </row>
    <row r="2437" ht="22.5" customHeight="1">
      <c r="B2437" s="42" t="str">
        <f>IFERROR(__xludf.DUMMYFUNCTION("""COMPUTED_VALUE"""),"K/37/210225/1")</f>
        <v>K/37/210225/1</v>
      </c>
      <c r="C2437" s="42" t="str">
        <f>IFERROR(__xludf.DUMMYFUNCTION("""COMPUTED_VALUE"""),"M.15619/SUKABUMI")</f>
        <v>M.15619/SUKABUMI</v>
      </c>
      <c r="D2437" s="42"/>
      <c r="E2437" s="42" t="str">
        <f>IFERROR(__xludf.DUMMYFUNCTION("""COMPUTED_VALUE"""),"DISERAHKAN")</f>
        <v>DISERAHKAN</v>
      </c>
      <c r="F2437" s="48">
        <f>IFERROR(__xludf.DUMMYFUNCTION("""COMPUTED_VALUE"""),45720.43920231481)</f>
        <v>45720.4392</v>
      </c>
      <c r="G2437" s="42" t="str">
        <f>IFERROR(__xludf.DUMMYFUNCTION("""COMPUTED_VALUE"""),"JUAL BELI")</f>
        <v>JUAL BELI</v>
      </c>
      <c r="H2437" s="42">
        <f t="shared" si="1"/>
        <v>1146</v>
      </c>
    </row>
    <row r="2438" ht="22.5" customHeight="1">
      <c r="B2438" s="42" t="str">
        <f>IFERROR(__xludf.DUMMYFUNCTION("""COMPUTED_VALUE"""),"K/38/210225/1")</f>
        <v>K/38/210225/1</v>
      </c>
      <c r="C2438" s="42" t="str">
        <f>IFERROR(__xludf.DUMMYFUNCTION("""COMPUTED_VALUE"""),"Nibel 16529/ NOG")</f>
        <v>Nibel 16529/ NOG</v>
      </c>
      <c r="D2438" s="42"/>
      <c r="E2438" s="42"/>
      <c r="F2438" s="48" t="str">
        <f>IFERROR(__xludf.DUMMYFUNCTION("""COMPUTED_VALUE"""),"")</f>
        <v/>
      </c>
      <c r="G2438" s="42" t="str">
        <f>IFERROR(__xludf.DUMMYFUNCTION("""COMPUTED_VALUE"""),"PERUBAHAN HAK")</f>
        <v>PERUBAHAN HAK</v>
      </c>
      <c r="H2438" s="42">
        <f t="shared" si="1"/>
        <v>1146</v>
      </c>
    </row>
    <row r="2439" ht="22.5" customHeight="1">
      <c r="B2439" s="42" t="str">
        <f>IFERROR(__xludf.DUMMYFUNCTION("""COMPUTED_VALUE"""),"K/37/210225/2")</f>
        <v>K/37/210225/2</v>
      </c>
      <c r="C2439" s="42" t="str">
        <f>IFERROR(__xludf.DUMMYFUNCTION("""COMPUTED_VALUE"""),"M. 4747/ Rajabasa Jaya")</f>
        <v>M. 4747/ Rajabasa Jaya</v>
      </c>
      <c r="D2439" s="42"/>
      <c r="E2439" s="42" t="str">
        <f>IFERROR(__xludf.DUMMYFUNCTION("""COMPUTED_VALUE"""),"DISERAHKAN")</f>
        <v>DISERAHKAN</v>
      </c>
      <c r="F2439" s="48">
        <f>IFERROR(__xludf.DUMMYFUNCTION("""COMPUTED_VALUE"""),45720.43920231481)</f>
        <v>45720.4392</v>
      </c>
      <c r="G2439" s="42" t="str">
        <f>IFERROR(__xludf.DUMMYFUNCTION("""COMPUTED_VALUE"""),"BN Jual beli")</f>
        <v>BN Jual beli</v>
      </c>
      <c r="H2439" s="42">
        <f t="shared" si="1"/>
        <v>1147</v>
      </c>
    </row>
    <row r="2440" ht="22.5" customHeight="1">
      <c r="B2440" s="42" t="str">
        <f>IFERROR(__xludf.DUMMYFUNCTION("""COMPUTED_VALUE"""),"K/36/210225/1")</f>
        <v>K/36/210225/1</v>
      </c>
      <c r="C2440" s="42" t="str">
        <f>IFERROR(__xludf.DUMMYFUNCTION("""COMPUTED_VALUE"""),"M. 4753/ Rajabasa Jaya")</f>
        <v>M. 4753/ Rajabasa Jaya</v>
      </c>
      <c r="D2440" s="42"/>
      <c r="E2440" s="42" t="str">
        <f>IFERROR(__xludf.DUMMYFUNCTION("""COMPUTED_VALUE"""),"DISERAHKAN")</f>
        <v>DISERAHKAN</v>
      </c>
      <c r="F2440" s="48">
        <f>IFERROR(__xludf.DUMMYFUNCTION("""COMPUTED_VALUE"""),45720.43920231481)</f>
        <v>45720.4392</v>
      </c>
      <c r="G2440" s="42" t="str">
        <f>IFERROR(__xludf.DUMMYFUNCTION("""COMPUTED_VALUE"""),"BN Jual Beli")</f>
        <v>BN Jual Beli</v>
      </c>
      <c r="H2440" s="42">
        <f t="shared" si="1"/>
        <v>1148</v>
      </c>
    </row>
    <row r="2441" ht="22.5" customHeight="1">
      <c r="B2441" s="42" t="str">
        <f>IFERROR(__xludf.DUMMYFUNCTION("""COMPUTED_VALUE"""),"K/39/210225/1")</f>
        <v>K/39/210225/1</v>
      </c>
      <c r="C2441" s="42" t="str">
        <f>IFERROR(__xludf.DUMMYFUNCTION("""COMPUTED_VALUE"""),"M. 14853/ Sukarame I")</f>
        <v>M. 14853/ Sukarame I</v>
      </c>
      <c r="D2441" s="42"/>
      <c r="E2441" s="42" t="str">
        <f>IFERROR(__xludf.DUMMYFUNCTION("""COMPUTED_VALUE"""),"DISERAHKAN")</f>
        <v>DISERAHKAN</v>
      </c>
      <c r="F2441" s="48">
        <f>IFERROR(__xludf.DUMMYFUNCTION("""COMPUTED_VALUE"""),45742.60925530092)</f>
        <v>45742.60926</v>
      </c>
      <c r="G2441" s="42" t="str">
        <f>IFERROR(__xludf.DUMMYFUNCTION("""COMPUTED_VALUE"""),"ROYA")</f>
        <v>ROYA</v>
      </c>
      <c r="H2441" s="42">
        <f t="shared" si="1"/>
        <v>1149</v>
      </c>
    </row>
    <row r="2442" ht="22.5" customHeight="1">
      <c r="B2442" s="42" t="str">
        <f>IFERROR(__xludf.DUMMYFUNCTION("""COMPUTED_VALUE"""),"K/40/210225/1")</f>
        <v>K/40/210225/1</v>
      </c>
      <c r="C2442" s="42" t="str">
        <f>IFERROR(__xludf.DUMMYFUNCTION("""COMPUTED_VALUE"""),"M. 1175/ WAY KANDIS")</f>
        <v>M. 1175/ WAY KANDIS</v>
      </c>
      <c r="D2442" s="42"/>
      <c r="E2442" s="42" t="str">
        <f>IFERROR(__xludf.DUMMYFUNCTION("""COMPUTED_VALUE"""),"DISERAHKAN")</f>
        <v>DISERAHKAN</v>
      </c>
      <c r="F2442" s="48">
        <f>IFERROR(__xludf.DUMMYFUNCTION("""COMPUTED_VALUE"""),45720.43920231481)</f>
        <v>45720.4392</v>
      </c>
      <c r="G2442" s="42" t="str">
        <f>IFERROR(__xludf.DUMMYFUNCTION("""COMPUTED_VALUE"""),"BN JUAL BELI")</f>
        <v>BN JUAL BELI</v>
      </c>
      <c r="H2442" s="42">
        <f t="shared" si="1"/>
        <v>1150</v>
      </c>
    </row>
    <row r="2443" ht="22.5" customHeight="1">
      <c r="B2443" s="42" t="str">
        <f>IFERROR(__xludf.DUMMYFUNCTION("""COMPUTED_VALUE"""),"K/41/210225/2")</f>
        <v>K/41/210225/2</v>
      </c>
      <c r="C2443" s="42" t="str">
        <f>IFERROR(__xludf.DUMMYFUNCTION("""COMPUTED_VALUE"""),"M. 1116/PEMATANG WANGI")</f>
        <v>M. 1116/PEMATANG WANGI</v>
      </c>
      <c r="D2443" s="42"/>
      <c r="E2443" s="42" t="str">
        <f>IFERROR(__xludf.DUMMYFUNCTION("""COMPUTED_VALUE"""),"DISERAHKAN")</f>
        <v>DISERAHKAN</v>
      </c>
      <c r="F2443" s="48">
        <f>IFERROR(__xludf.DUMMYFUNCTION("""COMPUTED_VALUE"""),45723.47190902778)</f>
        <v>45723.47191</v>
      </c>
      <c r="G2443" s="42" t="str">
        <f>IFERROR(__xludf.DUMMYFUNCTION("""COMPUTED_VALUE"""),"BN JUAL BELI")</f>
        <v>BN JUAL BELI</v>
      </c>
      <c r="H2443" s="42">
        <f t="shared" si="1"/>
        <v>1151</v>
      </c>
    </row>
    <row r="2444" ht="22.5" customHeight="1">
      <c r="B2444" s="42" t="str">
        <f>IFERROR(__xludf.DUMMYFUNCTION("""COMPUTED_VALUE"""),"K/43/210225/4")</f>
        <v>K/43/210225/4</v>
      </c>
      <c r="C2444" s="42" t="str">
        <f>IFERROR(__xludf.DUMMYFUNCTION("""COMPUTED_VALUE"""),"M. 1880 / PERUMNAS WAY HALIM")</f>
        <v>M. 1880 / PERUMNAS WAY HALIM</v>
      </c>
      <c r="D2444" s="42"/>
      <c r="E2444" s="42" t="str">
        <f>IFERROR(__xludf.DUMMYFUNCTION("""COMPUTED_VALUE"""),"DISERAHKAN")</f>
        <v>DISERAHKAN</v>
      </c>
      <c r="F2444" s="48">
        <f>IFERROR(__xludf.DUMMYFUNCTION("""COMPUTED_VALUE"""),45720.43920231481)</f>
        <v>45720.4392</v>
      </c>
      <c r="G2444" s="42" t="str">
        <f>IFERROR(__xludf.DUMMYFUNCTION("""COMPUTED_VALUE"""),"BN JUAL BELI")</f>
        <v>BN JUAL BELI</v>
      </c>
      <c r="H2444" s="42">
        <f t="shared" si="1"/>
        <v>1152</v>
      </c>
    </row>
    <row r="2445" ht="22.5" customHeight="1">
      <c r="B2445" s="42" t="str">
        <f>IFERROR(__xludf.DUMMYFUNCTION("""COMPUTED_VALUE"""),"K/44/210225/1")</f>
        <v>K/44/210225/1</v>
      </c>
      <c r="C2445" s="42" t="str">
        <f>IFERROR(__xludf.DUMMYFUNCTION("""COMPUTED_VALUE"""),"M. 1880/GEDONG AIR")</f>
        <v>M. 1880/GEDONG AIR</v>
      </c>
      <c r="D2445" s="42"/>
      <c r="E2445" s="42" t="str">
        <f>IFERROR(__xludf.DUMMYFUNCTION("""COMPUTED_VALUE"""),"DISERAHKAN")</f>
        <v>DISERAHKAN</v>
      </c>
      <c r="F2445" s="48">
        <f>IFERROR(__xludf.DUMMYFUNCTION("""COMPUTED_VALUE"""),45723.48068890046)</f>
        <v>45723.48069</v>
      </c>
      <c r="G2445" s="42" t="str">
        <f>IFERROR(__xludf.DUMMYFUNCTION("""COMPUTED_VALUE"""),"BN JUAL BELI")</f>
        <v>BN JUAL BELI</v>
      </c>
      <c r="H2445" s="42">
        <f t="shared" si="1"/>
        <v>1153</v>
      </c>
    </row>
    <row r="2446" ht="22.5" customHeight="1">
      <c r="B2446" s="42" t="str">
        <f>IFERROR(__xludf.DUMMYFUNCTION("""COMPUTED_VALUE"""),"K/46/210225/1")</f>
        <v>K/46/210225/1</v>
      </c>
      <c r="C2446" s="42" t="str">
        <f>IFERROR(__xludf.DUMMYFUNCTION("""COMPUTED_VALUE"""),"M. 2313/ Sumber Agung")</f>
        <v>M. 2313/ Sumber Agung</v>
      </c>
      <c r="D2446" s="42"/>
      <c r="E2446" s="42" t="str">
        <f>IFERROR(__xludf.DUMMYFUNCTION("""COMPUTED_VALUE"""),"DISERAHKAN")</f>
        <v>DISERAHKAN</v>
      </c>
      <c r="F2446" s="48">
        <f>IFERROR(__xludf.DUMMYFUNCTION("""COMPUTED_VALUE"""),45722.508597141205)</f>
        <v>45722.5086</v>
      </c>
      <c r="G2446" s="42" t="str">
        <f>IFERROR(__xludf.DUMMYFUNCTION("""COMPUTED_VALUE"""),"BN Jual Beli")</f>
        <v>BN Jual Beli</v>
      </c>
      <c r="H2446" s="42">
        <f t="shared" si="1"/>
        <v>1154</v>
      </c>
    </row>
    <row r="2447" ht="22.5" customHeight="1">
      <c r="B2447" s="42" t="str">
        <f>IFERROR(__xludf.DUMMYFUNCTION("""COMPUTED_VALUE"""),"K/45/210225/2")</f>
        <v>K/45/210225/2</v>
      </c>
      <c r="C2447" s="42" t="str">
        <f>IFERROR(__xludf.DUMMYFUNCTION("""COMPUTED_VALUE"""),"M.2584/GEDONG AIR")</f>
        <v>M.2584/GEDONG AIR</v>
      </c>
      <c r="D2447" s="42"/>
      <c r="E2447" s="42" t="str">
        <f>IFERROR(__xludf.DUMMYFUNCTION("""COMPUTED_VALUE"""),"DISERAHKAN")</f>
        <v>DISERAHKAN</v>
      </c>
      <c r="F2447" s="48">
        <f>IFERROR(__xludf.DUMMYFUNCTION("""COMPUTED_VALUE"""),45743.43362074074)</f>
        <v>45743.43362</v>
      </c>
      <c r="G2447" s="42" t="str">
        <f>IFERROR(__xludf.DUMMYFUNCTION("""COMPUTED_VALUE"""),"BN JUAL BELI")</f>
        <v>BN JUAL BELI</v>
      </c>
      <c r="H2447" s="42">
        <f t="shared" si="1"/>
        <v>1155</v>
      </c>
    </row>
    <row r="2448" ht="22.5" customHeight="1">
      <c r="B2448" s="42" t="str">
        <f>IFERROR(__xludf.DUMMYFUNCTION("""COMPUTED_VALUE"""),"K/47/210225/1")</f>
        <v>K/47/210225/1</v>
      </c>
      <c r="C2448" s="42" t="str">
        <f>IFERROR(__xludf.DUMMYFUNCTION("""COMPUTED_VALUE"""),"M. 677/ Gunung Sulah")</f>
        <v>M. 677/ Gunung Sulah</v>
      </c>
      <c r="D2448" s="42"/>
      <c r="E2448" s="42" t="str">
        <f>IFERROR(__xludf.DUMMYFUNCTION("""COMPUTED_VALUE"""),"DISERAHKAN")</f>
        <v>DISERAHKAN</v>
      </c>
      <c r="F2448" s="48">
        <f>IFERROR(__xludf.DUMMYFUNCTION("""COMPUTED_VALUE"""),45722.50759342592)</f>
        <v>45722.50759</v>
      </c>
      <c r="G2448" s="42" t="str">
        <f>IFERROR(__xludf.DUMMYFUNCTION("""COMPUTED_VALUE"""),"BN Jual Beli")</f>
        <v>BN Jual Beli</v>
      </c>
      <c r="H2448" s="42">
        <f t="shared" si="1"/>
        <v>1156</v>
      </c>
    </row>
    <row r="2449" ht="22.5" customHeight="1">
      <c r="B2449" s="42" t="str">
        <f>IFERROR(__xludf.DUMMYFUNCTION("""COMPUTED_VALUE"""),"K/48/210225/1")</f>
        <v>K/48/210225/1</v>
      </c>
      <c r="C2449" s="42" t="str">
        <f>IFERROR(__xludf.DUMMYFUNCTION("""COMPUTED_VALUE"""),"M. 3493/ Way kandis")</f>
        <v>M. 3493/ Way kandis</v>
      </c>
      <c r="D2449" s="42"/>
      <c r="E2449" s="42"/>
      <c r="F2449" s="48" t="str">
        <f>IFERROR(__xludf.DUMMYFUNCTION("""COMPUTED_VALUE"""),"")</f>
        <v/>
      </c>
      <c r="G2449" s="42" t="str">
        <f>IFERROR(__xludf.DUMMYFUNCTION("""COMPUTED_VALUE"""),"PEMECHAN")</f>
        <v>PEMECHAN</v>
      </c>
      <c r="H2449" s="42">
        <f t="shared" si="1"/>
        <v>1156</v>
      </c>
    </row>
    <row r="2450" ht="22.5" customHeight="1">
      <c r="B2450" s="42" t="str">
        <f>IFERROR(__xludf.DUMMYFUNCTION("""COMPUTED_VALUE"""),"L/1/22/02/2025/PELATARAN")</f>
        <v>L/1/22/02/2025/PELATARAN</v>
      </c>
      <c r="C2450" s="42" t="str">
        <f>IFERROR(__xludf.DUMMYFUNCTION("""COMPUTED_VALUE"""),"NIBEL B. 17544/SUKARAME")</f>
        <v>NIBEL B. 17544/SUKARAME</v>
      </c>
      <c r="D2450" s="42"/>
      <c r="E2450" s="42"/>
      <c r="F2450" s="48" t="str">
        <f>IFERROR(__xludf.DUMMYFUNCTION("""COMPUTED_VALUE"""),"")</f>
        <v/>
      </c>
      <c r="G2450" s="42" t="str">
        <f>IFERROR(__xludf.DUMMYFUNCTION("""COMPUTED_VALUE"""),"PERUBAHAN HAK")</f>
        <v>PERUBAHAN HAK</v>
      </c>
      <c r="H2450" s="42">
        <f t="shared" si="1"/>
        <v>1156</v>
      </c>
    </row>
    <row r="2451" ht="22.5" customHeight="1">
      <c r="B2451" s="42" t="str">
        <f>IFERROR(__xludf.DUMMYFUNCTION("""COMPUTED_VALUE"""),"L/2/220225/PELATARAN")</f>
        <v>L/2/220225/PELATARAN</v>
      </c>
      <c r="C2451" s="42" t="str">
        <f>IFERROR(__xludf.DUMMYFUNCTION("""COMPUTED_VALUE"""),"M. 29/BUMI KEDAMAIAN")</f>
        <v>M. 29/BUMI KEDAMAIAN</v>
      </c>
      <c r="D2451" s="42"/>
      <c r="E2451" s="42" t="str">
        <f>IFERROR(__xludf.DUMMYFUNCTION("""COMPUTED_VALUE"""),"DISERAHKAN")</f>
        <v>DISERAHKAN</v>
      </c>
      <c r="F2451" s="48">
        <f>IFERROR(__xludf.DUMMYFUNCTION("""COMPUTED_VALUE"""),45741.524001909725)</f>
        <v>45741.524</v>
      </c>
      <c r="G2451" s="42" t="str">
        <f>IFERROR(__xludf.DUMMYFUNCTION("""COMPUTED_VALUE"""),"ROYA")</f>
        <v>ROYA</v>
      </c>
      <c r="H2451" s="42">
        <f t="shared" si="1"/>
        <v>1157</v>
      </c>
    </row>
    <row r="2452" ht="22.5" customHeight="1">
      <c r="B2452" s="42" t="str">
        <f>IFERROR(__xludf.DUMMYFUNCTION("""COMPUTED_VALUE"""),"L/3/220225/PELATARAN")</f>
        <v>L/3/220225/PELATARAN</v>
      </c>
      <c r="C2452" s="42" t="str">
        <f>IFERROR(__xludf.DUMMYFUNCTION("""COMPUTED_VALUE"""),"M. 11 / BUMI KEDAMAIAN")</f>
        <v>M. 11 / BUMI KEDAMAIAN</v>
      </c>
      <c r="D2452" s="42"/>
      <c r="E2452" s="42" t="str">
        <f>IFERROR(__xludf.DUMMYFUNCTION("""COMPUTED_VALUE"""),"DISERAHKAN")</f>
        <v>DISERAHKAN</v>
      </c>
      <c r="F2452" s="48">
        <f>IFERROR(__xludf.DUMMYFUNCTION("""COMPUTED_VALUE"""),45741.524792303244)</f>
        <v>45741.52479</v>
      </c>
      <c r="G2452" s="42" t="str">
        <f>IFERROR(__xludf.DUMMYFUNCTION("""COMPUTED_VALUE"""),"ROYA")</f>
        <v>ROYA</v>
      </c>
      <c r="H2452" s="42">
        <f t="shared" si="1"/>
        <v>1158</v>
      </c>
    </row>
    <row r="2453" ht="22.5" customHeight="1">
      <c r="B2453" s="42" t="str">
        <f>IFERROR(__xludf.DUMMYFUNCTION("""COMPUTED_VALUE"""),"K/5/220225/1")</f>
        <v>K/5/220225/1</v>
      </c>
      <c r="C2453" s="42" t="str">
        <f>IFERROR(__xludf.DUMMYFUNCTION("""COMPUTED_VALUE"""),"M.1935/SUMUR BATU")</f>
        <v>M.1935/SUMUR BATU</v>
      </c>
      <c r="D2453" s="42"/>
      <c r="E2453" s="42"/>
      <c r="F2453" s="48" t="str">
        <f>IFERROR(__xludf.DUMMYFUNCTION("""COMPUTED_VALUE"""),"")</f>
        <v/>
      </c>
      <c r="G2453" s="42" t="str">
        <f>IFERROR(__xludf.DUMMYFUNCTION("""COMPUTED_VALUE"""),"PEMECAHAN")</f>
        <v>PEMECAHAN</v>
      </c>
      <c r="H2453" s="42">
        <f t="shared" si="1"/>
        <v>1158</v>
      </c>
    </row>
    <row r="2454" ht="22.5" customHeight="1">
      <c r="B2454" s="42" t="str">
        <f>IFERROR(__xludf.DUMMYFUNCTION("""COMPUTED_VALUE"""),"L/2/240225/1")</f>
        <v>L/2/240225/1</v>
      </c>
      <c r="C2454" s="42" t="str">
        <f>IFERROR(__xludf.DUMMYFUNCTION("""COMPUTED_VALUE"""),"HM 13583/RAJABASA")</f>
        <v>HM 13583/RAJABASA</v>
      </c>
      <c r="D2454" s="42"/>
      <c r="E2454" s="42" t="str">
        <f>IFERROR(__xludf.DUMMYFUNCTION("""COMPUTED_VALUE"""),"DISERAHKAN")</f>
        <v>DISERAHKAN</v>
      </c>
      <c r="F2454" s="48">
        <f>IFERROR(__xludf.DUMMYFUNCTION("""COMPUTED_VALUE"""),45741.53118613426)</f>
        <v>45741.53119</v>
      </c>
      <c r="G2454" s="42" t="str">
        <f>IFERROR(__xludf.DUMMYFUNCTION("""COMPUTED_VALUE"""),"ROYA")</f>
        <v>ROYA</v>
      </c>
      <c r="H2454" s="42">
        <f t="shared" si="1"/>
        <v>1159</v>
      </c>
    </row>
    <row r="2455" ht="22.5" customHeight="1">
      <c r="B2455" s="42" t="str">
        <f>IFERROR(__xludf.DUMMYFUNCTION("""COMPUTED_VALUE"""),"K/3/240225/1")</f>
        <v>K/3/240225/1</v>
      </c>
      <c r="C2455" s="42" t="str">
        <f>IFERROR(__xludf.DUMMYFUNCTION("""COMPUTED_VALUE"""),"M.1608/LABUHAN DALAM")</f>
        <v>M.1608/LABUHAN DALAM</v>
      </c>
      <c r="D2455" s="42"/>
      <c r="E2455" s="42" t="str">
        <f>IFERROR(__xludf.DUMMYFUNCTION("""COMPUTED_VALUE"""),"DISERAHKAN")</f>
        <v>DISERAHKAN</v>
      </c>
      <c r="F2455" s="48">
        <f>IFERROR(__xludf.DUMMYFUNCTION("""COMPUTED_VALUE"""),45733.60316408565)</f>
        <v>45733.60316</v>
      </c>
      <c r="G2455" s="42" t="str">
        <f>IFERROR(__xludf.DUMMYFUNCTION("""COMPUTED_VALUE"""),"JUAL BELI")</f>
        <v>JUAL BELI</v>
      </c>
      <c r="H2455" s="42">
        <f t="shared" si="1"/>
        <v>1160</v>
      </c>
    </row>
    <row r="2456" ht="22.5" customHeight="1">
      <c r="B2456" s="42" t="str">
        <f>IFERROR(__xludf.DUMMYFUNCTION("""COMPUTED_VALUE"""),"K/8/240225/1")</f>
        <v>K/8/240225/1</v>
      </c>
      <c r="C2456" s="42" t="str">
        <f>IFERROR(__xludf.DUMMYFUNCTION("""COMPUTED_VALUE"""),"HGB 1981/KEDATON")</f>
        <v>HGB 1981/KEDATON</v>
      </c>
      <c r="D2456" s="42"/>
      <c r="E2456" s="42"/>
      <c r="F2456" s="48" t="str">
        <f>IFERROR(__xludf.DUMMYFUNCTION("""COMPUTED_VALUE"""),"")</f>
        <v/>
      </c>
      <c r="G2456" s="42" t="str">
        <f>IFERROR(__xludf.DUMMYFUNCTION("""COMPUTED_VALUE"""),"SERTIPIKAT HILANG")</f>
        <v>SERTIPIKAT HILANG</v>
      </c>
      <c r="H2456" s="42">
        <f t="shared" si="1"/>
        <v>1160</v>
      </c>
    </row>
    <row r="2457" ht="22.5" customHeight="1">
      <c r="B2457" s="42" t="str">
        <f>IFERROR(__xludf.DUMMYFUNCTION("""COMPUTED_VALUE"""),"K/1/240225/1")</f>
        <v>K/1/240225/1</v>
      </c>
      <c r="C2457" s="42" t="str">
        <f>IFERROR(__xludf.DUMMYFUNCTION("""COMPUTED_VALUE"""),"M.1935/SUMUR BATU")</f>
        <v>M.1935/SUMUR BATU</v>
      </c>
      <c r="D2457" s="42"/>
      <c r="E2457" s="42"/>
      <c r="F2457" s="48" t="str">
        <f>IFERROR(__xludf.DUMMYFUNCTION("""COMPUTED_VALUE"""),"")</f>
        <v/>
      </c>
      <c r="G2457" s="42" t="str">
        <f>IFERROR(__xludf.DUMMYFUNCTION("""COMPUTED_VALUE"""),"PEMECAHAN")</f>
        <v>PEMECAHAN</v>
      </c>
      <c r="H2457" s="42">
        <f t="shared" si="1"/>
        <v>1160</v>
      </c>
    </row>
    <row r="2458" ht="22.5" customHeight="1">
      <c r="B2458" s="42" t="str">
        <f>IFERROR(__xludf.DUMMYFUNCTION("""COMPUTED_VALUE"""),"K/4/240225/1")</f>
        <v>K/4/240225/1</v>
      </c>
      <c r="C2458" s="42" t="str">
        <f>IFERROR(__xludf.DUMMYFUNCTION("""COMPUTED_VALUE"""),"M. 128/ Nusantara Permai")</f>
        <v>M. 128/ Nusantara Permai</v>
      </c>
      <c r="D2458" s="42"/>
      <c r="E2458" s="42"/>
      <c r="F2458" s="48" t="str">
        <f>IFERROR(__xludf.DUMMYFUNCTION("""COMPUTED_VALUE"""),"")</f>
        <v/>
      </c>
      <c r="G2458" s="42" t="str">
        <f>IFERROR(__xludf.DUMMYFUNCTION("""COMPUTED_VALUE"""),"SKPT Lelang")</f>
        <v>SKPT Lelang</v>
      </c>
      <c r="H2458" s="42">
        <f t="shared" si="1"/>
        <v>1160</v>
      </c>
    </row>
    <row r="2459" ht="22.5" customHeight="1">
      <c r="B2459" s="42" t="str">
        <f>IFERROR(__xludf.DUMMYFUNCTION("""COMPUTED_VALUE"""),"K/7/240225/4")</f>
        <v>K/7/240225/4</v>
      </c>
      <c r="C2459" s="42" t="str">
        <f>IFERROR(__xludf.DUMMYFUNCTION("""COMPUTED_VALUE"""),"M. 1849/ Labuhan Dalam")</f>
        <v>M. 1849/ Labuhan Dalam</v>
      </c>
      <c r="D2459" s="42"/>
      <c r="E2459" s="42"/>
      <c r="F2459" s="48" t="str">
        <f>IFERROR(__xludf.DUMMYFUNCTION("""COMPUTED_VALUE"""),"")</f>
        <v/>
      </c>
      <c r="G2459" s="42" t="str">
        <f>IFERROR(__xludf.DUMMYFUNCTION("""COMPUTED_VALUE"""),"SKPT Lelang")</f>
        <v>SKPT Lelang</v>
      </c>
      <c r="H2459" s="42">
        <f t="shared" si="1"/>
        <v>1160</v>
      </c>
    </row>
    <row r="2460" ht="22.5" customHeight="1">
      <c r="B2460" s="42" t="str">
        <f>IFERROR(__xludf.DUMMYFUNCTION("""COMPUTED_VALUE"""),"K/5/240225/2")</f>
        <v>K/5/240225/2</v>
      </c>
      <c r="C2460" s="42" t="str">
        <f>IFERROR(__xludf.DUMMYFUNCTION("""COMPUTED_VALUE"""),"M. 4231/ Rajabasa Jaya")</f>
        <v>M. 4231/ Rajabasa Jaya</v>
      </c>
      <c r="D2460" s="42"/>
      <c r="E2460" s="42"/>
      <c r="F2460" s="48" t="str">
        <f>IFERROR(__xludf.DUMMYFUNCTION("""COMPUTED_VALUE"""),"")</f>
        <v/>
      </c>
      <c r="G2460" s="42" t="str">
        <f>IFERROR(__xludf.DUMMYFUNCTION("""COMPUTED_VALUE"""),"SKPT Lelang")</f>
        <v>SKPT Lelang</v>
      </c>
      <c r="H2460" s="42">
        <f t="shared" si="1"/>
        <v>1160</v>
      </c>
    </row>
    <row r="2461" ht="22.5" customHeight="1">
      <c r="B2461" s="42" t="str">
        <f>IFERROR(__xludf.DUMMYFUNCTION("""COMPUTED_VALUE"""),"K/6/240225/3")</f>
        <v>K/6/240225/3</v>
      </c>
      <c r="C2461" s="42" t="str">
        <f>IFERROR(__xludf.DUMMYFUNCTION("""COMPUTED_VALUE"""),"M. 107/ Nusantara Permai")</f>
        <v>M. 107/ Nusantara Permai</v>
      </c>
      <c r="D2461" s="42"/>
      <c r="E2461" s="42"/>
      <c r="F2461" s="48" t="str">
        <f>IFERROR(__xludf.DUMMYFUNCTION("""COMPUTED_VALUE"""),"")</f>
        <v/>
      </c>
      <c r="G2461" s="42" t="str">
        <f>IFERROR(__xludf.DUMMYFUNCTION("""COMPUTED_VALUE"""),"SKPT Lelang")</f>
        <v>SKPT Lelang</v>
      </c>
      <c r="H2461" s="42">
        <f t="shared" si="1"/>
        <v>1160</v>
      </c>
    </row>
    <row r="2462" ht="22.5" customHeight="1">
      <c r="B2462" s="42" t="str">
        <f>IFERROR(__xludf.DUMMYFUNCTION("""COMPUTED_VALUE"""),"K/9/240225/1")</f>
        <v>K/9/240225/1</v>
      </c>
      <c r="C2462" s="42" t="str">
        <f>IFERROR(__xludf.DUMMYFUNCTION("""COMPUTED_VALUE"""),"B.665/SUMBER AGUNG")</f>
        <v>B.665/SUMBER AGUNG</v>
      </c>
      <c r="D2462" s="42"/>
      <c r="E2462" s="42" t="str">
        <f>IFERROR(__xludf.DUMMYFUNCTION("""COMPUTED_VALUE"""),"DISERAHKAN")</f>
        <v>DISERAHKAN</v>
      </c>
      <c r="F2462" s="48">
        <f>IFERROR(__xludf.DUMMYFUNCTION("""COMPUTED_VALUE"""),45722.49985556713)</f>
        <v>45722.49986</v>
      </c>
      <c r="G2462" s="42" t="str">
        <f>IFERROR(__xludf.DUMMYFUNCTION("""COMPUTED_VALUE"""),"JUAL BELI")</f>
        <v>JUAL BELI</v>
      </c>
      <c r="H2462" s="42">
        <f t="shared" si="1"/>
        <v>1161</v>
      </c>
    </row>
    <row r="2463" ht="22.5" customHeight="1">
      <c r="B2463" s="42" t="str">
        <f>IFERROR(__xludf.DUMMYFUNCTION("""COMPUTED_VALUE"""),"K/10/240225/2")</f>
        <v>K/10/240225/2</v>
      </c>
      <c r="C2463" s="42" t="str">
        <f>IFERROR(__xludf.DUMMYFUNCTION("""COMPUTED_VALUE"""),"B.664/SUMBER AGUNG")</f>
        <v>B.664/SUMBER AGUNG</v>
      </c>
      <c r="D2463" s="42"/>
      <c r="E2463" s="42"/>
      <c r="F2463" s="48" t="str">
        <f>IFERROR(__xludf.DUMMYFUNCTION("""COMPUTED_VALUE"""),"")</f>
        <v/>
      </c>
      <c r="G2463" s="42" t="str">
        <f>IFERROR(__xludf.DUMMYFUNCTION("""COMPUTED_VALUE"""),"JUAL BELI")</f>
        <v>JUAL BELI</v>
      </c>
      <c r="H2463" s="42">
        <f t="shared" si="1"/>
        <v>1161</v>
      </c>
    </row>
    <row r="2464" ht="22.5" customHeight="1">
      <c r="B2464" s="42" t="str">
        <f>IFERROR(__xludf.DUMMYFUNCTION("""COMPUTED_VALUE"""),"K/11/240225/3")</f>
        <v>K/11/240225/3</v>
      </c>
      <c r="C2464" s="42" t="str">
        <f>IFERROR(__xludf.DUMMYFUNCTION("""COMPUTED_VALUE"""),"B.654/SUMBER AGUNG")</f>
        <v>B.654/SUMBER AGUNG</v>
      </c>
      <c r="D2464" s="42"/>
      <c r="E2464" s="42" t="str">
        <f>IFERROR(__xludf.DUMMYFUNCTION("""COMPUTED_VALUE"""),"DISERAHKAN")</f>
        <v>DISERAHKAN</v>
      </c>
      <c r="F2464" s="48">
        <f>IFERROR(__xludf.DUMMYFUNCTION("""COMPUTED_VALUE"""),45722.50018752315)</f>
        <v>45722.50019</v>
      </c>
      <c r="G2464" s="42" t="str">
        <f>IFERROR(__xludf.DUMMYFUNCTION("""COMPUTED_VALUE"""),"JUAL BELI")</f>
        <v>JUAL BELI</v>
      </c>
      <c r="H2464" s="42">
        <f t="shared" si="1"/>
        <v>1162</v>
      </c>
    </row>
    <row r="2465" ht="22.5" customHeight="1">
      <c r="B2465" s="42" t="str">
        <f>IFERROR(__xludf.DUMMYFUNCTION("""COMPUTED_VALUE"""),"K/12/240225/1")</f>
        <v>K/12/240225/1</v>
      </c>
      <c r="C2465" s="42" t="str">
        <f>IFERROR(__xludf.DUMMYFUNCTION("""COMPUTED_VALUE"""),"M.1117/GUNUNG TERANG")</f>
        <v>M.1117/GUNUNG TERANG</v>
      </c>
      <c r="D2465" s="42"/>
      <c r="E2465" s="42" t="str">
        <f>IFERROR(__xludf.DUMMYFUNCTION("""COMPUTED_VALUE"""),"DISERAHKAN")</f>
        <v>DISERAHKAN</v>
      </c>
      <c r="F2465" s="48">
        <f>IFERROR(__xludf.DUMMYFUNCTION("""COMPUTED_VALUE"""),45730.6086799537)</f>
        <v>45730.60868</v>
      </c>
      <c r="G2465" s="42" t="str">
        <f>IFERROR(__xludf.DUMMYFUNCTION("""COMPUTED_VALUE"""),"ROYA")</f>
        <v>ROYA</v>
      </c>
      <c r="H2465" s="42">
        <f t="shared" si="1"/>
        <v>1163</v>
      </c>
    </row>
    <row r="2466" ht="22.5" customHeight="1">
      <c r="B2466" s="42" t="str">
        <f>IFERROR(__xludf.DUMMYFUNCTION("""COMPUTED_VALUE"""),"K/13/240225/1")</f>
        <v>K/13/240225/1</v>
      </c>
      <c r="C2466" s="42" t="str">
        <f>IFERROR(__xludf.DUMMYFUNCTION("""COMPUTED_VALUE"""),"M. 2240/ Kaliawi")</f>
        <v>M. 2240/ Kaliawi</v>
      </c>
      <c r="D2466" s="42"/>
      <c r="E2466" s="42" t="str">
        <f>IFERROR(__xludf.DUMMYFUNCTION("""COMPUTED_VALUE"""),"DISERAHKAN")</f>
        <v>DISERAHKAN</v>
      </c>
      <c r="F2466" s="48">
        <f>IFERROR(__xludf.DUMMYFUNCTION("""COMPUTED_VALUE"""),45741.5268015162)</f>
        <v>45741.5268</v>
      </c>
      <c r="G2466" s="42" t="str">
        <f>IFERROR(__xludf.DUMMYFUNCTION("""COMPUTED_VALUE"""),"ROYA")</f>
        <v>ROYA</v>
      </c>
      <c r="H2466" s="42">
        <f t="shared" si="1"/>
        <v>1164</v>
      </c>
    </row>
    <row r="2467" ht="22.5" customHeight="1">
      <c r="B2467" s="42" t="str">
        <f>IFERROR(__xludf.DUMMYFUNCTION("""COMPUTED_VALUE"""),"K/14/240225/1")</f>
        <v>K/14/240225/1</v>
      </c>
      <c r="C2467" s="42" t="str">
        <f>IFERROR(__xludf.DUMMYFUNCTION("""COMPUTED_VALUE"""),"Nibel. M. 909/ Rajabasa Nunyai")</f>
        <v>Nibel. M. 909/ Rajabasa Nunyai</v>
      </c>
      <c r="D2467" s="42"/>
      <c r="E2467" s="42"/>
      <c r="F2467" s="48" t="str">
        <f>IFERROR(__xludf.DUMMYFUNCTION("""COMPUTED_VALUE"""),"")</f>
        <v/>
      </c>
      <c r="G2467" s="42" t="str">
        <f>IFERROR(__xludf.DUMMYFUNCTION("""COMPUTED_VALUE"""),"BN Jual Beli")</f>
        <v>BN Jual Beli</v>
      </c>
      <c r="H2467" s="42">
        <f t="shared" si="1"/>
        <v>1164</v>
      </c>
    </row>
    <row r="2468" ht="22.5" customHeight="1">
      <c r="B2468" s="42" t="str">
        <f>IFERROR(__xludf.DUMMYFUNCTION("""COMPUTED_VALUE"""),"K/15/240225/1")</f>
        <v>K/15/240225/1</v>
      </c>
      <c r="C2468" s="42" t="str">
        <f>IFERROR(__xludf.DUMMYFUNCTION("""COMPUTED_VALUE"""),"NIBEL M 3623/RAJABASA JAYA")</f>
        <v>NIBEL M 3623/RAJABASA JAYA</v>
      </c>
      <c r="D2468" s="42"/>
      <c r="E2468" s="42"/>
      <c r="F2468" s="48" t="str">
        <f>IFERROR(__xludf.DUMMYFUNCTION("""COMPUTED_VALUE"""),"")</f>
        <v/>
      </c>
      <c r="G2468" s="42" t="str">
        <f>IFERROR(__xludf.DUMMYFUNCTION("""COMPUTED_VALUE"""),"JUAL BELI")</f>
        <v>JUAL BELI</v>
      </c>
      <c r="H2468" s="42">
        <f t="shared" si="1"/>
        <v>1164</v>
      </c>
    </row>
    <row r="2469" ht="22.5" customHeight="1">
      <c r="B2469" s="42" t="str">
        <f>IFERROR(__xludf.DUMMYFUNCTION("""COMPUTED_VALUE"""),"K/16/240225/2")</f>
        <v>K/16/240225/2</v>
      </c>
      <c r="C2469" s="42" t="str">
        <f>IFERROR(__xludf.DUMMYFUNCTION("""COMPUTED_VALUE"""),"B.1113/KETEGUHAN")</f>
        <v>B.1113/KETEGUHAN</v>
      </c>
      <c r="D2469" s="42"/>
      <c r="E2469" s="42"/>
      <c r="F2469" s="48" t="str">
        <f>IFERROR(__xludf.DUMMYFUNCTION("""COMPUTED_VALUE"""),"")</f>
        <v/>
      </c>
      <c r="G2469" s="42" t="str">
        <f>IFERROR(__xludf.DUMMYFUNCTION("""COMPUTED_VALUE"""),"JUA. BELI")</f>
        <v>JUA. BELI</v>
      </c>
      <c r="H2469" s="42">
        <f t="shared" si="1"/>
        <v>1164</v>
      </c>
    </row>
    <row r="2470" ht="22.5" customHeight="1">
      <c r="B2470" s="42" t="str">
        <f>IFERROR(__xludf.DUMMYFUNCTION("""COMPUTED_VALUE"""),"K/17/240225/1")</f>
        <v>K/17/240225/1</v>
      </c>
      <c r="C2470" s="42" t="str">
        <f>IFERROR(__xludf.DUMMYFUNCTION("""COMPUTED_VALUE"""),"Nibel 6955/ kedaton")</f>
        <v>Nibel 6955/ kedaton</v>
      </c>
      <c r="D2470" s="42"/>
      <c r="E2470" s="42"/>
      <c r="F2470" s="48" t="str">
        <f>IFERROR(__xludf.DUMMYFUNCTION("""COMPUTED_VALUE"""),"")</f>
        <v/>
      </c>
      <c r="G2470" s="42" t="str">
        <f>IFERROR(__xludf.DUMMYFUNCTION("""COMPUTED_VALUE"""),"BN HIBAH")</f>
        <v>BN HIBAH</v>
      </c>
      <c r="H2470" s="42">
        <f t="shared" si="1"/>
        <v>1164</v>
      </c>
    </row>
    <row r="2471" ht="22.5" customHeight="1">
      <c r="B2471" s="42" t="str">
        <f>IFERROR(__xludf.DUMMYFUNCTION("""COMPUTED_VALUE"""),"K/18/240225/2")</f>
        <v>K/18/240225/2</v>
      </c>
      <c r="C2471" s="42" t="str">
        <f>IFERROR(__xludf.DUMMYFUNCTION("""COMPUTED_VALUE"""),"Nibel 6956/ kedaton")</f>
        <v>Nibel 6956/ kedaton</v>
      </c>
      <c r="D2471" s="42"/>
      <c r="E2471" s="42"/>
      <c r="F2471" s="48" t="str">
        <f>IFERROR(__xludf.DUMMYFUNCTION("""COMPUTED_VALUE"""),"")</f>
        <v/>
      </c>
      <c r="G2471" s="42" t="str">
        <f>IFERROR(__xludf.DUMMYFUNCTION("""COMPUTED_VALUE"""),"BN HIBAH")</f>
        <v>BN HIBAH</v>
      </c>
      <c r="H2471" s="42">
        <f t="shared" si="1"/>
        <v>1164</v>
      </c>
    </row>
    <row r="2472" ht="22.5" customHeight="1">
      <c r="B2472" s="42" t="str">
        <f>IFERROR(__xludf.DUMMYFUNCTION("""COMPUTED_VALUE"""),"K/19/240225/3")</f>
        <v>K/19/240225/3</v>
      </c>
      <c r="C2472" s="42" t="str">
        <f>IFERROR(__xludf.DUMMYFUNCTION("""COMPUTED_VALUE"""),"Nibel 12547/ Way kandis")</f>
        <v>Nibel 12547/ Way kandis</v>
      </c>
      <c r="D2472" s="42"/>
      <c r="E2472" s="42"/>
      <c r="F2472" s="48" t="str">
        <f>IFERROR(__xludf.DUMMYFUNCTION("""COMPUTED_VALUE"""),"")</f>
        <v/>
      </c>
      <c r="G2472" s="42" t="str">
        <f>IFERROR(__xludf.DUMMYFUNCTION("""COMPUTED_VALUE"""),"BN HIBAH")</f>
        <v>BN HIBAH</v>
      </c>
      <c r="H2472" s="42">
        <f t="shared" si="1"/>
        <v>1164</v>
      </c>
    </row>
    <row r="2473" ht="22.5" customHeight="1">
      <c r="B2473" s="42" t="str">
        <f>IFERROR(__xludf.DUMMYFUNCTION("""COMPUTED_VALUE"""),"K/20/240225/1")</f>
        <v>K/20/240225/1</v>
      </c>
      <c r="C2473" s="42" t="str">
        <f>IFERROR(__xludf.DUMMYFUNCTION("""COMPUTED_VALUE"""),"S. Indar wahyudi/ Srengsem")</f>
        <v>S. Indar wahyudi/ Srengsem</v>
      </c>
      <c r="D2473" s="42"/>
      <c r="E2473" s="42"/>
      <c r="F2473" s="48" t="str">
        <f>IFERROR(__xludf.DUMMYFUNCTION("""COMPUTED_VALUE"""),"")</f>
        <v/>
      </c>
      <c r="G2473" s="42" t="str">
        <f>IFERROR(__xludf.DUMMYFUNCTION("""COMPUTED_VALUE"""),"Pertama Kali")</f>
        <v>Pertama Kali</v>
      </c>
      <c r="H2473" s="42">
        <f t="shared" si="1"/>
        <v>1164</v>
      </c>
    </row>
    <row r="2474" ht="22.5" customHeight="1">
      <c r="B2474" s="42" t="str">
        <f>IFERROR(__xludf.DUMMYFUNCTION("""COMPUTED_VALUE"""),"L/21/240225/1")</f>
        <v>L/21/240225/1</v>
      </c>
      <c r="C2474" s="42" t="str">
        <f>IFERROR(__xludf.DUMMYFUNCTION("""COMPUTED_VALUE"""),"HM 17041/SUKARAME")</f>
        <v>HM 17041/SUKARAME</v>
      </c>
      <c r="D2474" s="42"/>
      <c r="E2474" s="42" t="str">
        <f>IFERROR(__xludf.DUMMYFUNCTION("""COMPUTED_VALUE"""),"DISERAHKAN")</f>
        <v>DISERAHKAN</v>
      </c>
      <c r="F2474" s="48">
        <f>IFERROR(__xludf.DUMMYFUNCTION("""COMPUTED_VALUE"""),45741.5306040162)</f>
        <v>45741.5306</v>
      </c>
      <c r="G2474" s="42" t="str">
        <f>IFERROR(__xludf.DUMMYFUNCTION("""COMPUTED_VALUE"""),"ROYA")</f>
        <v>ROYA</v>
      </c>
      <c r="H2474" s="42">
        <f t="shared" si="1"/>
        <v>1165</v>
      </c>
    </row>
    <row r="2475" ht="22.5" customHeight="1">
      <c r="B2475" s="42" t="str">
        <f>IFERROR(__xludf.DUMMYFUNCTION("""COMPUTED_VALUE"""),"K/22/240225/1")</f>
        <v>K/22/240225/1</v>
      </c>
      <c r="C2475" s="42" t="str">
        <f>IFERROR(__xludf.DUMMYFUNCTION("""COMPUTED_VALUE"""),"NIBEL M 13020/BATU PUTUK")</f>
        <v>NIBEL M 13020/BATU PUTUK</v>
      </c>
      <c r="D2475" s="42"/>
      <c r="E2475" s="42"/>
      <c r="F2475" s="48" t="str">
        <f>IFERROR(__xludf.DUMMYFUNCTION("""COMPUTED_VALUE"""),"")</f>
        <v/>
      </c>
      <c r="G2475" s="42" t="str">
        <f>IFERROR(__xludf.DUMMYFUNCTION("""COMPUTED_VALUE"""),"JUAL BELI")</f>
        <v>JUAL BELI</v>
      </c>
      <c r="H2475" s="42">
        <f t="shared" si="1"/>
        <v>1165</v>
      </c>
    </row>
    <row r="2476" ht="22.5" customHeight="1">
      <c r="B2476" s="42" t="str">
        <f>IFERROR(__xludf.DUMMYFUNCTION("""COMPUTED_VALUE"""),"K/23/240225/2")</f>
        <v>K/23/240225/2</v>
      </c>
      <c r="C2476" s="42" t="str">
        <f>IFERROR(__xludf.DUMMYFUNCTION("""COMPUTED_VALUE"""),"NIBEL M 291/KEMILING PERMAI")</f>
        <v>NIBEL M 291/KEMILING PERMAI</v>
      </c>
      <c r="D2476" s="42"/>
      <c r="E2476" s="42"/>
      <c r="F2476" s="48" t="str">
        <f>IFERROR(__xludf.DUMMYFUNCTION("""COMPUTED_VALUE"""),"")</f>
        <v/>
      </c>
      <c r="G2476" s="42" t="str">
        <f>IFERROR(__xludf.DUMMYFUNCTION("""COMPUTED_VALUE"""),"JUAL BELI")</f>
        <v>JUAL BELI</v>
      </c>
      <c r="H2476" s="42">
        <f t="shared" si="1"/>
        <v>1165</v>
      </c>
    </row>
    <row r="2477" ht="22.5" customHeight="1">
      <c r="B2477" s="42" t="str">
        <f>IFERROR(__xludf.DUMMYFUNCTION("""COMPUTED_VALUE"""),"K/24/240225/3")</f>
        <v>K/24/240225/3</v>
      </c>
      <c r="C2477" s="42" t="str">
        <f>IFERROR(__xludf.DUMMYFUNCTION("""COMPUTED_VALUE"""),"B.3364/SUKABUMI")</f>
        <v>B.3364/SUKABUMI</v>
      </c>
      <c r="D2477" s="42"/>
      <c r="E2477" s="42" t="str">
        <f>IFERROR(__xludf.DUMMYFUNCTION("""COMPUTED_VALUE"""),"DISERAHKAN")</f>
        <v>DISERAHKAN</v>
      </c>
      <c r="F2477" s="48">
        <f>IFERROR(__xludf.DUMMYFUNCTION("""COMPUTED_VALUE"""),45734.44237040509)</f>
        <v>45734.44237</v>
      </c>
      <c r="G2477" s="42" t="str">
        <f>IFERROR(__xludf.DUMMYFUNCTION("""COMPUTED_VALUE"""),"ROYA")</f>
        <v>ROYA</v>
      </c>
      <c r="H2477" s="42">
        <f t="shared" si="1"/>
        <v>1166</v>
      </c>
    </row>
    <row r="2478" ht="22.5" customHeight="1">
      <c r="B2478" s="42" t="str">
        <f>IFERROR(__xludf.DUMMYFUNCTION("""COMPUTED_VALUE"""),"L/25/240225/1")</f>
        <v>L/25/240225/1</v>
      </c>
      <c r="C2478" s="42" t="str">
        <f>IFERROR(__xludf.DUMMYFUNCTION("""COMPUTED_VALUE"""),"HGB 3182/BERINGIN RAYA")</f>
        <v>HGB 3182/BERINGIN RAYA</v>
      </c>
      <c r="D2478" s="42"/>
      <c r="E2478" s="42"/>
      <c r="F2478" s="48" t="str">
        <f>IFERROR(__xludf.DUMMYFUNCTION("""COMPUTED_VALUE"""),"")</f>
        <v/>
      </c>
      <c r="G2478" s="42" t="str">
        <f>IFERROR(__xludf.DUMMYFUNCTION("""COMPUTED_VALUE"""),"ASPEK")</f>
        <v>ASPEK</v>
      </c>
      <c r="H2478" s="42">
        <f t="shared" si="1"/>
        <v>1166</v>
      </c>
    </row>
    <row r="2479" ht="22.5" customHeight="1">
      <c r="B2479" s="42" t="str">
        <f>IFERROR(__xludf.DUMMYFUNCTION("""COMPUTED_VALUE"""),"L/4/220225/PELATARAN")</f>
        <v>L/4/220225/PELATARAN</v>
      </c>
      <c r="C2479" s="42" t="str">
        <f>IFERROR(__xludf.DUMMYFUNCTION("""COMPUTED_VALUE"""),"M. 12439/KEDAMAIAN")</f>
        <v>M. 12439/KEDAMAIAN</v>
      </c>
      <c r="D2479" s="42"/>
      <c r="E2479" s="42" t="str">
        <f>IFERROR(__xludf.DUMMYFUNCTION("""COMPUTED_VALUE"""),"DISERAHKAN")</f>
        <v>DISERAHKAN</v>
      </c>
      <c r="F2479" s="48">
        <f>IFERROR(__xludf.DUMMYFUNCTION("""COMPUTED_VALUE"""),45741.52421849537)</f>
        <v>45741.52422</v>
      </c>
      <c r="G2479" s="42" t="str">
        <f>IFERROR(__xludf.DUMMYFUNCTION("""COMPUTED_VALUE"""),"ROYA")</f>
        <v>ROYA</v>
      </c>
      <c r="H2479" s="42">
        <f t="shared" si="1"/>
        <v>1167</v>
      </c>
    </row>
    <row r="2480" ht="22.5" customHeight="1">
      <c r="B2480" s="42" t="str">
        <f>IFERROR(__xludf.DUMMYFUNCTION("""COMPUTED_VALUE"""),"K/26/240225/1")</f>
        <v>K/26/240225/1</v>
      </c>
      <c r="C2480" s="42" t="str">
        <f>IFERROR(__xludf.DUMMYFUNCTION("""COMPUTED_VALUE"""),"Nibel 6427/ Kelapa Tiga")</f>
        <v>Nibel 6427/ Kelapa Tiga</v>
      </c>
      <c r="D2480" s="42"/>
      <c r="E2480" s="42"/>
      <c r="F2480" s="48" t="str">
        <f>IFERROR(__xludf.DUMMYFUNCTION("""COMPUTED_VALUE"""),"")</f>
        <v/>
      </c>
      <c r="G2480" s="42" t="str">
        <f>IFERROR(__xludf.DUMMYFUNCTION("""COMPUTED_VALUE"""),"BN JUAL BELI")</f>
        <v>BN JUAL BELI</v>
      </c>
      <c r="H2480" s="42">
        <f t="shared" si="1"/>
        <v>1167</v>
      </c>
    </row>
    <row r="2481" ht="22.5" customHeight="1">
      <c r="B2481" s="42" t="str">
        <f>IFERROR(__xludf.DUMMYFUNCTION("""COMPUTED_VALUE"""),"K/27/240225/2")</f>
        <v>K/27/240225/2</v>
      </c>
      <c r="C2481" s="42" t="str">
        <f>IFERROR(__xludf.DUMMYFUNCTION("""COMPUTED_VALUE"""),"M. 2005/ kali Balau Kencana")</f>
        <v>M. 2005/ kali Balau Kencana</v>
      </c>
      <c r="D2481" s="42"/>
      <c r="E2481" s="42"/>
      <c r="F2481" s="48" t="str">
        <f>IFERROR(__xludf.DUMMYFUNCTION("""COMPUTED_VALUE"""),"")</f>
        <v/>
      </c>
      <c r="G2481" s="42" t="str">
        <f>IFERROR(__xludf.DUMMYFUNCTION("""COMPUTED_VALUE"""),"BN JUAL BELI")</f>
        <v>BN JUAL BELI</v>
      </c>
      <c r="H2481" s="42">
        <f t="shared" si="1"/>
        <v>1167</v>
      </c>
    </row>
    <row r="2482" ht="22.5" customHeight="1">
      <c r="B2482" s="42" t="str">
        <f>IFERROR(__xludf.DUMMYFUNCTION("""COMPUTED_VALUE"""),"K/28/240225/1")</f>
        <v>K/28/240225/1</v>
      </c>
      <c r="C2482" s="42" t="str">
        <f>IFERROR(__xludf.DUMMYFUNCTION("""COMPUTED_VALUE"""),"M.130/JAGABAYA III")</f>
        <v>M.130/JAGABAYA III</v>
      </c>
      <c r="D2482" s="42" t="str">
        <f>IFERROR(__xludf.DUMMYFUNCTION("""COMPUTED_VALUE"""),"David")</f>
        <v>David</v>
      </c>
      <c r="E2482" s="42" t="str">
        <f>IFERROR(__xludf.DUMMYFUNCTION("""COMPUTED_VALUE"""),"DISERAHKAN")</f>
        <v>DISERAHKAN</v>
      </c>
      <c r="F2482" s="48">
        <f>IFERROR(__xludf.DUMMYFUNCTION("""COMPUTED_VALUE"""),45824.622831562505)</f>
        <v>45824.62283</v>
      </c>
      <c r="G2482" s="42" t="str">
        <f>IFERROR(__xludf.DUMMYFUNCTION("""COMPUTED_VALUE"""),"ROYA")</f>
        <v>ROYA</v>
      </c>
      <c r="H2482" s="42">
        <f t="shared" si="1"/>
        <v>1168</v>
      </c>
    </row>
    <row r="2483" ht="22.5" customHeight="1">
      <c r="B2483" s="42" t="str">
        <f>IFERROR(__xludf.DUMMYFUNCTION("""COMPUTED_VALUE"""),"K/29/240225/1")</f>
        <v>K/29/240225/1</v>
      </c>
      <c r="C2483" s="42" t="str">
        <f>IFERROR(__xludf.DUMMYFUNCTION("""COMPUTED_VALUE"""),"M. 1285/ Pinang Jaya")</f>
        <v>M. 1285/ Pinang Jaya</v>
      </c>
      <c r="D2483" s="42"/>
      <c r="E2483" s="42" t="str">
        <f>IFERROR(__xludf.DUMMYFUNCTION("""COMPUTED_VALUE"""),"DISERAHKAN")</f>
        <v>DISERAHKAN</v>
      </c>
      <c r="F2483" s="48">
        <f>IFERROR(__xludf.DUMMYFUNCTION("""COMPUTED_VALUE"""),45727.493921643516)</f>
        <v>45727.49392</v>
      </c>
      <c r="G2483" s="42" t="str">
        <f>IFERROR(__xludf.DUMMYFUNCTION("""COMPUTED_VALUE"""),"BN Jual Beli")</f>
        <v>BN Jual Beli</v>
      </c>
      <c r="H2483" s="42">
        <f t="shared" si="1"/>
        <v>1169</v>
      </c>
    </row>
    <row r="2484" ht="22.5" customHeight="1">
      <c r="B2484" s="42" t="str">
        <f>IFERROR(__xludf.DUMMYFUNCTION("""COMPUTED_VALUE"""),"K/30/240225/1")</f>
        <v>K/30/240225/1</v>
      </c>
      <c r="C2484" s="42" t="str">
        <f>IFERROR(__xludf.DUMMYFUNCTION("""COMPUTED_VALUE"""),"Nibel 4569/ Kedamaian")</f>
        <v>Nibel 4569/ Kedamaian</v>
      </c>
      <c r="D2484" s="42"/>
      <c r="E2484" s="42"/>
      <c r="F2484" s="48" t="str">
        <f>IFERROR(__xludf.DUMMYFUNCTION("""COMPUTED_VALUE"""),"")</f>
        <v/>
      </c>
      <c r="G2484" s="42" t="str">
        <f>IFERROR(__xludf.DUMMYFUNCTION("""COMPUTED_VALUE"""),"BN JUAL BELI")</f>
        <v>BN JUAL BELI</v>
      </c>
      <c r="H2484" s="42">
        <f t="shared" si="1"/>
        <v>1169</v>
      </c>
    </row>
    <row r="2485" ht="22.5" customHeight="1">
      <c r="B2485" s="42" t="str">
        <f>IFERROR(__xludf.DUMMYFUNCTION("""COMPUTED_VALUE"""),"K/31/240225/2")</f>
        <v>K/31/240225/2</v>
      </c>
      <c r="C2485" s="42" t="str">
        <f>IFERROR(__xludf.DUMMYFUNCTION("""COMPUTED_VALUE"""),"M. 1357/ Rawa Laut")</f>
        <v>M. 1357/ Rawa Laut</v>
      </c>
      <c r="D2485" s="42"/>
      <c r="E2485" s="42" t="str">
        <f>IFERROR(__xludf.DUMMYFUNCTION("""COMPUTED_VALUE"""),"DISERAHKAN")</f>
        <v>DISERAHKAN</v>
      </c>
      <c r="F2485" s="48">
        <f>IFERROR(__xludf.DUMMYFUNCTION("""COMPUTED_VALUE"""),45722.50318053241)</f>
        <v>45722.50318</v>
      </c>
      <c r="G2485" s="42" t="str">
        <f>IFERROR(__xludf.DUMMYFUNCTION("""COMPUTED_VALUE"""),"BN JUAL BELI")</f>
        <v>BN JUAL BELI</v>
      </c>
      <c r="H2485" s="42">
        <f t="shared" si="1"/>
        <v>1170</v>
      </c>
    </row>
    <row r="2486" ht="22.5" customHeight="1">
      <c r="B2486" s="42" t="str">
        <f>IFERROR(__xludf.DUMMYFUNCTION("""COMPUTED_VALUE"""),"K/34/240225/1")</f>
        <v>K/34/240225/1</v>
      </c>
      <c r="C2486" s="42" t="str">
        <f>IFERROR(__xludf.DUMMYFUNCTION("""COMPUTED_VALUE"""),"Nibel. M. 17418/ Jagabaya III")</f>
        <v>Nibel. M. 17418/ Jagabaya III</v>
      </c>
      <c r="D2486" s="42"/>
      <c r="E2486" s="42"/>
      <c r="F2486" s="48" t="str">
        <f>IFERROR(__xludf.DUMMYFUNCTION("""COMPUTED_VALUE"""),"")</f>
        <v/>
      </c>
      <c r="G2486" s="42" t="str">
        <f>IFERROR(__xludf.DUMMYFUNCTION("""COMPUTED_VALUE"""),"PTPGT (Pemecahan)")</f>
        <v>PTPGT (Pemecahan)</v>
      </c>
      <c r="H2486" s="42">
        <f t="shared" si="1"/>
        <v>1170</v>
      </c>
    </row>
    <row r="2487" ht="22.5" customHeight="1">
      <c r="B2487" s="42" t="str">
        <f>IFERROR(__xludf.DUMMYFUNCTION("""COMPUTED_VALUE"""),"L/40/240225/1")</f>
        <v>L/40/240225/1</v>
      </c>
      <c r="C2487" s="42" t="str">
        <f>IFERROR(__xludf.DUMMYFUNCTION("""COMPUTED_VALUE"""),"BUMI KEDAMAIAN")</f>
        <v>BUMI KEDAMAIAN</v>
      </c>
      <c r="D2487" s="42"/>
      <c r="E2487" s="42"/>
      <c r="F2487" s="48" t="str">
        <f>IFERROR(__xludf.DUMMYFUNCTION("""COMPUTED_VALUE"""),"")</f>
        <v/>
      </c>
      <c r="G2487" s="42" t="str">
        <f>IFERROR(__xludf.DUMMYFUNCTION("""COMPUTED_VALUE"""),"PERMOHONAN SK")</f>
        <v>PERMOHONAN SK</v>
      </c>
      <c r="H2487" s="42">
        <f t="shared" si="1"/>
        <v>1170</v>
      </c>
    </row>
    <row r="2488" ht="22.5" customHeight="1">
      <c r="B2488" s="42" t="str">
        <f>IFERROR(__xludf.DUMMYFUNCTION("""COMPUTED_VALUE"""),"K/38/240225/4")</f>
        <v>K/38/240225/4</v>
      </c>
      <c r="C2488" s="42" t="str">
        <f>IFERROR(__xludf.DUMMYFUNCTION("""COMPUTED_VALUE"""),"M. 1850/ Beringin Jaya")</f>
        <v>M. 1850/ Beringin Jaya</v>
      </c>
      <c r="D2488" s="42"/>
      <c r="E2488" s="42" t="str">
        <f>IFERROR(__xludf.DUMMYFUNCTION("""COMPUTED_VALUE"""),"DISERAHKAN")</f>
        <v>DISERAHKAN</v>
      </c>
      <c r="F2488" s="48">
        <f>IFERROR(__xludf.DUMMYFUNCTION("""COMPUTED_VALUE"""),45722.506986458335)</f>
        <v>45722.50699</v>
      </c>
      <c r="G2488" s="42" t="str">
        <f>IFERROR(__xludf.DUMMYFUNCTION("""COMPUTED_VALUE"""),"Ganti Nama")</f>
        <v>Ganti Nama</v>
      </c>
      <c r="H2488" s="42">
        <f t="shared" si="1"/>
        <v>1171</v>
      </c>
    </row>
    <row r="2489" ht="22.5" customHeight="1">
      <c r="B2489" s="42" t="str">
        <f>IFERROR(__xludf.DUMMYFUNCTION("""COMPUTED_VALUE"""),"K/39/240225/5")</f>
        <v>K/39/240225/5</v>
      </c>
      <c r="C2489" s="42" t="str">
        <f>IFERROR(__xludf.DUMMYFUNCTION("""COMPUTED_VALUE"""),"M. 1851/ Beringin Jaya")</f>
        <v>M. 1851/ Beringin Jaya</v>
      </c>
      <c r="D2489" s="42"/>
      <c r="E2489" s="42"/>
      <c r="F2489" s="48" t="str">
        <f>IFERROR(__xludf.DUMMYFUNCTION("""COMPUTED_VALUE"""),"")</f>
        <v/>
      </c>
      <c r="G2489" s="42" t="str">
        <f>IFERROR(__xludf.DUMMYFUNCTION("""COMPUTED_VALUE"""),"Ganti Nama")</f>
        <v>Ganti Nama</v>
      </c>
      <c r="H2489" s="42">
        <f t="shared" si="1"/>
        <v>1171</v>
      </c>
    </row>
    <row r="2490" ht="22.5" customHeight="1">
      <c r="B2490" s="42" t="str">
        <f>IFERROR(__xludf.DUMMYFUNCTION("""COMPUTED_VALUE"""),"K/37/240225/3")</f>
        <v>K/37/240225/3</v>
      </c>
      <c r="C2490" s="42" t="str">
        <f>IFERROR(__xludf.DUMMYFUNCTION("""COMPUTED_VALUE"""),"M. 1854/ Beringin Jaya")</f>
        <v>M. 1854/ Beringin Jaya</v>
      </c>
      <c r="D2490" s="42"/>
      <c r="E2490" s="42" t="str">
        <f>IFERROR(__xludf.DUMMYFUNCTION("""COMPUTED_VALUE"""),"DISERAHKAN")</f>
        <v>DISERAHKAN</v>
      </c>
      <c r="F2490" s="48">
        <f>IFERROR(__xludf.DUMMYFUNCTION("""COMPUTED_VALUE"""),45727.493450243055)</f>
        <v>45727.49345</v>
      </c>
      <c r="G2490" s="42" t="str">
        <f>IFERROR(__xludf.DUMMYFUNCTION("""COMPUTED_VALUE"""),"Ganti Nama")</f>
        <v>Ganti Nama</v>
      </c>
      <c r="H2490" s="42">
        <f t="shared" si="1"/>
        <v>1172</v>
      </c>
    </row>
    <row r="2491" ht="22.5" customHeight="1">
      <c r="B2491" s="42" t="str">
        <f>IFERROR(__xludf.DUMMYFUNCTION("""COMPUTED_VALUE"""),"K/36/240225/2")</f>
        <v>K/36/240225/2</v>
      </c>
      <c r="C2491" s="42" t="str">
        <f>IFERROR(__xludf.DUMMYFUNCTION("""COMPUTED_VALUE"""),"M. 1853/ Beringin Jaya")</f>
        <v>M. 1853/ Beringin Jaya</v>
      </c>
      <c r="D2491" s="42"/>
      <c r="E2491" s="42" t="str">
        <f>IFERROR(__xludf.DUMMYFUNCTION("""COMPUTED_VALUE"""),"DISERAHKAN")</f>
        <v>DISERAHKAN</v>
      </c>
      <c r="F2491" s="48">
        <f>IFERROR(__xludf.DUMMYFUNCTION("""COMPUTED_VALUE"""),45722.50558262732)</f>
        <v>45722.50558</v>
      </c>
      <c r="G2491" s="42" t="str">
        <f>IFERROR(__xludf.DUMMYFUNCTION("""COMPUTED_VALUE"""),"Ganti Nama")</f>
        <v>Ganti Nama</v>
      </c>
      <c r="H2491" s="42">
        <f t="shared" si="1"/>
        <v>1173</v>
      </c>
    </row>
    <row r="2492" ht="22.5" customHeight="1">
      <c r="B2492" s="42" t="str">
        <f>IFERROR(__xludf.DUMMYFUNCTION("""COMPUTED_VALUE"""),"K/35/240225/1")</f>
        <v>K/35/240225/1</v>
      </c>
      <c r="C2492" s="42" t="str">
        <f>IFERROR(__xludf.DUMMYFUNCTION("""COMPUTED_VALUE"""),"M. 1852/ Beringin Jaya")</f>
        <v>M. 1852/ Beringin Jaya</v>
      </c>
      <c r="D2492" s="42"/>
      <c r="E2492" s="42" t="str">
        <f>IFERROR(__xludf.DUMMYFUNCTION("""COMPUTED_VALUE"""),"DISERAHKAN")</f>
        <v>DISERAHKAN</v>
      </c>
      <c r="F2492" s="48">
        <f>IFERROR(__xludf.DUMMYFUNCTION("""COMPUTED_VALUE"""),45722.50728451389)</f>
        <v>45722.50728</v>
      </c>
      <c r="G2492" s="42" t="str">
        <f>IFERROR(__xludf.DUMMYFUNCTION("""COMPUTED_VALUE"""),"Ganti Nama")</f>
        <v>Ganti Nama</v>
      </c>
      <c r="H2492" s="42">
        <f t="shared" si="1"/>
        <v>1174</v>
      </c>
    </row>
    <row r="2493" ht="22.5" customHeight="1">
      <c r="B2493" s="42" t="str">
        <f>IFERROR(__xludf.DUMMYFUNCTION("""COMPUTED_VALUE"""),"K/32/240225/1")</f>
        <v>K/32/240225/1</v>
      </c>
      <c r="C2493" s="42" t="str">
        <f>IFERROR(__xludf.DUMMYFUNCTION("""COMPUTED_VALUE"""),"M. 12512/ Jagabaya II")</f>
        <v>M. 12512/ Jagabaya II</v>
      </c>
      <c r="D2493" s="42"/>
      <c r="E2493" s="42" t="str">
        <f>IFERROR(__xludf.DUMMYFUNCTION("""COMPUTED_VALUE"""),"DISERAHKAN")</f>
        <v>DISERAHKAN</v>
      </c>
      <c r="F2493" s="48">
        <f>IFERROR(__xludf.DUMMYFUNCTION("""COMPUTED_VALUE"""),45723.47190902778)</f>
        <v>45723.47191</v>
      </c>
      <c r="G2493" s="42" t="str">
        <f>IFERROR(__xludf.DUMMYFUNCTION("""COMPUTED_VALUE"""),"BN JUAL BELI")</f>
        <v>BN JUAL BELI</v>
      </c>
      <c r="H2493" s="42">
        <f t="shared" si="1"/>
        <v>1175</v>
      </c>
    </row>
    <row r="2494" ht="22.5" customHeight="1">
      <c r="B2494" s="42" t="str">
        <f>IFERROR(__xludf.DUMMYFUNCTION("""COMPUTED_VALUE"""),"K/33/240225/2")</f>
        <v>K/33/240225/2</v>
      </c>
      <c r="C2494" s="42" t="str">
        <f>IFERROR(__xludf.DUMMYFUNCTION("""COMPUTED_VALUE"""),"Nibel 16764/ Sepang Jaya")</f>
        <v>Nibel 16764/ Sepang Jaya</v>
      </c>
      <c r="D2494" s="42"/>
      <c r="E2494" s="42"/>
      <c r="F2494" s="48" t="str">
        <f>IFERROR(__xludf.DUMMYFUNCTION("""COMPUTED_VALUE"""),"")</f>
        <v/>
      </c>
      <c r="G2494" s="42" t="str">
        <f>IFERROR(__xludf.DUMMYFUNCTION("""COMPUTED_VALUE"""),"BN JUAL BELI")</f>
        <v>BN JUAL BELI</v>
      </c>
      <c r="H2494" s="42">
        <f t="shared" si="1"/>
        <v>1175</v>
      </c>
    </row>
    <row r="2495" ht="22.5" customHeight="1">
      <c r="B2495" s="42" t="str">
        <f>IFERROR(__xludf.DUMMYFUNCTION("""COMPUTED_VALUE"""),"K/41/240225/1")</f>
        <v>K/41/240225/1</v>
      </c>
      <c r="C2495" s="42" t="str">
        <f>IFERROR(__xludf.DUMMYFUNCTION("""COMPUTED_VALUE"""),"M. 594/GUNUNG AGUNG")</f>
        <v>M. 594/GUNUNG AGUNG</v>
      </c>
      <c r="D2495" s="42"/>
      <c r="E2495" s="42" t="str">
        <f>IFERROR(__xludf.DUMMYFUNCTION("""COMPUTED_VALUE"""),"DISERAHKAN")</f>
        <v>DISERAHKAN</v>
      </c>
      <c r="F2495" s="48">
        <f>IFERROR(__xludf.DUMMYFUNCTION("""COMPUTED_VALUE"""),45728.638317488425)</f>
        <v>45728.63832</v>
      </c>
      <c r="G2495" s="42" t="str">
        <f>IFERROR(__xludf.DUMMYFUNCTION("""COMPUTED_VALUE"""),"BN JUAL BELI")</f>
        <v>BN JUAL BELI</v>
      </c>
      <c r="H2495" s="42">
        <f t="shared" si="1"/>
        <v>1176</v>
      </c>
    </row>
    <row r="2496" ht="22.5" customHeight="1">
      <c r="B2496" s="42" t="str">
        <f>IFERROR(__xludf.DUMMYFUNCTION("""COMPUTED_VALUE"""),"K/42/240225/1")</f>
        <v>K/42/240225/1</v>
      </c>
      <c r="C2496" s="42" t="str">
        <f>IFERROR(__xludf.DUMMYFUNCTION("""COMPUTED_VALUE"""),"Nibel 18233/ labuhan dalam")</f>
        <v>Nibel 18233/ labuhan dalam</v>
      </c>
      <c r="D2496" s="42"/>
      <c r="E2496" s="42"/>
      <c r="F2496" s="48" t="str">
        <f>IFERROR(__xludf.DUMMYFUNCTION("""COMPUTED_VALUE"""),"")</f>
        <v/>
      </c>
      <c r="G2496" s="42" t="str">
        <f>IFERROR(__xludf.DUMMYFUNCTION("""COMPUTED_VALUE"""),"BN WARIS")</f>
        <v>BN WARIS</v>
      </c>
      <c r="H2496" s="42">
        <f t="shared" si="1"/>
        <v>1176</v>
      </c>
    </row>
    <row r="2497" ht="22.5" customHeight="1">
      <c r="B2497" s="42" t="str">
        <f>IFERROR(__xludf.DUMMYFUNCTION("""COMPUTED_VALUE"""),"L/44/240225/1")</f>
        <v>L/44/240225/1</v>
      </c>
      <c r="C2497" s="42" t="str">
        <f>IFERROR(__xludf.DUMMYFUNCTION("""COMPUTED_VALUE"""),"NIB 12270/KEMILING PERMAI")</f>
        <v>NIB 12270/KEMILING PERMAI</v>
      </c>
      <c r="D2497" s="42"/>
      <c r="E2497" s="42"/>
      <c r="F2497" s="48" t="str">
        <f>IFERROR(__xludf.DUMMYFUNCTION("""COMPUTED_VALUE"""),"")</f>
        <v/>
      </c>
      <c r="G2497" s="42" t="str">
        <f>IFERROR(__xludf.DUMMYFUNCTION("""COMPUTED_VALUE"""),"PH")</f>
        <v>PH</v>
      </c>
      <c r="H2497" s="42">
        <f t="shared" si="1"/>
        <v>1176</v>
      </c>
    </row>
    <row r="2498" ht="22.5" customHeight="1">
      <c r="B2498" s="42" t="str">
        <f>IFERROR(__xludf.DUMMYFUNCTION("""COMPUTED_VALUE"""),"K/45/240225/1")</f>
        <v>K/45/240225/1</v>
      </c>
      <c r="C2498" s="42" t="str">
        <f>IFERROR(__xludf.DUMMYFUNCTION("""COMPUTED_VALUE"""),"KEMILING RAYA")</f>
        <v>KEMILING RAYA</v>
      </c>
      <c r="D2498" s="42"/>
      <c r="E2498" s="42"/>
      <c r="F2498" s="48" t="str">
        <f>IFERROR(__xludf.DUMMYFUNCTION("""COMPUTED_VALUE"""),"")</f>
        <v/>
      </c>
      <c r="G2498" s="42" t="str">
        <f>IFERROR(__xludf.DUMMYFUNCTION("""COMPUTED_VALUE"""),"TANAH MENTAH")</f>
        <v>TANAH MENTAH</v>
      </c>
      <c r="H2498" s="42">
        <f t="shared" si="1"/>
        <v>1176</v>
      </c>
    </row>
    <row r="2499" ht="22.5" customHeight="1">
      <c r="B2499" s="42" t="str">
        <f>IFERROR(__xludf.DUMMYFUNCTION("""COMPUTED_VALUE"""),"K/46/240225/1")</f>
        <v>K/46/240225/1</v>
      </c>
      <c r="C2499" s="42" t="str">
        <f>IFERROR(__xludf.DUMMYFUNCTION("""COMPUTED_VALUE"""),"M. 10613/ Sidodadi")</f>
        <v>M. 10613/ Sidodadi</v>
      </c>
      <c r="D2499" s="42"/>
      <c r="E2499" s="42" t="str">
        <f>IFERROR(__xludf.DUMMYFUNCTION("""COMPUTED_VALUE"""),"DISERAHKAN")</f>
        <v>DISERAHKAN</v>
      </c>
      <c r="F2499" s="48">
        <f>IFERROR(__xludf.DUMMYFUNCTION("""COMPUTED_VALUE"""),45730.37317141204)</f>
        <v>45730.37317</v>
      </c>
      <c r="G2499" s="42" t="str">
        <f>IFERROR(__xludf.DUMMYFUNCTION("""COMPUTED_VALUE"""),"ROYA")</f>
        <v>ROYA</v>
      </c>
      <c r="H2499" s="42">
        <f t="shared" si="1"/>
        <v>1177</v>
      </c>
    </row>
    <row r="2500" ht="22.5" customHeight="1">
      <c r="B2500" s="42" t="str">
        <f>IFERROR(__xludf.DUMMYFUNCTION("""COMPUTED_VALUE"""),"K/47/240225/2")</f>
        <v>K/47/240225/2</v>
      </c>
      <c r="C2500" s="42" t="str">
        <f>IFERROR(__xludf.DUMMYFUNCTION("""COMPUTED_VALUE"""),"M. 10614/ Sidodadi")</f>
        <v>M. 10614/ Sidodadi</v>
      </c>
      <c r="D2500" s="42"/>
      <c r="E2500" s="42" t="str">
        <f>IFERROR(__xludf.DUMMYFUNCTION("""COMPUTED_VALUE"""),"DISERAHKAN")</f>
        <v>DISERAHKAN</v>
      </c>
      <c r="F2500" s="48">
        <f>IFERROR(__xludf.DUMMYFUNCTION("""COMPUTED_VALUE"""),45730.373450405095)</f>
        <v>45730.37345</v>
      </c>
      <c r="G2500" s="42" t="str">
        <f>IFERROR(__xludf.DUMMYFUNCTION("""COMPUTED_VALUE"""),"ROYA")</f>
        <v>ROYA</v>
      </c>
      <c r="H2500" s="42">
        <f t="shared" si="1"/>
        <v>1178</v>
      </c>
    </row>
    <row r="2501" ht="22.5" customHeight="1">
      <c r="B2501" s="42" t="str">
        <f>IFERROR(__xludf.DUMMYFUNCTION("""COMPUTED_VALUE"""),"K/48/240225/3")</f>
        <v>K/48/240225/3</v>
      </c>
      <c r="C2501" s="42" t="str">
        <f>IFERROR(__xludf.DUMMYFUNCTION("""COMPUTED_VALUE"""),"M. 1363/ Sukabumi Indah")</f>
        <v>M. 1363/ Sukabumi Indah</v>
      </c>
      <c r="D2501" s="42"/>
      <c r="E2501" s="42"/>
      <c r="F2501" s="48" t="str">
        <f>IFERROR(__xludf.DUMMYFUNCTION("""COMPUTED_VALUE"""),"")</f>
        <v/>
      </c>
      <c r="G2501" s="42" t="str">
        <f>IFERROR(__xludf.DUMMYFUNCTION("""COMPUTED_VALUE"""),"BN JUAL BELI")</f>
        <v>BN JUAL BELI</v>
      </c>
      <c r="H2501" s="42">
        <f t="shared" si="1"/>
        <v>1178</v>
      </c>
    </row>
    <row r="2502" ht="22.5" customHeight="1">
      <c r="B2502" s="42" t="str">
        <f>IFERROR(__xludf.DUMMYFUNCTION("""COMPUTED_VALUE"""),"K/49/240225/1")</f>
        <v>K/49/240225/1</v>
      </c>
      <c r="C2502" s="42" t="str">
        <f>IFERROR(__xludf.DUMMYFUNCTION("""COMPUTED_VALUE"""),"Nibel. M. 3519/ Tanjung Baru")</f>
        <v>Nibel. M. 3519/ Tanjung Baru</v>
      </c>
      <c r="D2502" s="42"/>
      <c r="E2502" s="42"/>
      <c r="F2502" s="48" t="str">
        <f>IFERROR(__xludf.DUMMYFUNCTION("""COMPUTED_VALUE"""),"")</f>
        <v/>
      </c>
      <c r="G2502" s="42" t="str">
        <f>IFERROR(__xludf.DUMMYFUNCTION("""COMPUTED_VALUE"""),"BN Jual Beli")</f>
        <v>BN Jual Beli</v>
      </c>
      <c r="H2502" s="42">
        <f t="shared" si="1"/>
        <v>1178</v>
      </c>
    </row>
    <row r="2503" ht="22.5" customHeight="1">
      <c r="B2503" s="42" t="str">
        <f>IFERROR(__xludf.DUMMYFUNCTION("""COMPUTED_VALUE"""),"K/50/240225/2")</f>
        <v>K/50/240225/2</v>
      </c>
      <c r="C2503" s="42" t="str">
        <f>IFERROR(__xludf.DUMMYFUNCTION("""COMPUTED_VALUE"""),"M. 1644/ Rajabasa Nunyai")</f>
        <v>M. 1644/ Rajabasa Nunyai</v>
      </c>
      <c r="D2503" s="42"/>
      <c r="E2503" s="42" t="str">
        <f>IFERROR(__xludf.DUMMYFUNCTION("""COMPUTED_VALUE"""),"DISERAHKAN")</f>
        <v>DISERAHKAN</v>
      </c>
      <c r="F2503" s="48">
        <f>IFERROR(__xludf.DUMMYFUNCTION("""COMPUTED_VALUE"""),45771.60834873843)</f>
        <v>45771.60835</v>
      </c>
      <c r="G2503" s="42" t="str">
        <f>IFERROR(__xludf.DUMMYFUNCTION("""COMPUTED_VALUE"""),"BN Jual Beli")</f>
        <v>BN Jual Beli</v>
      </c>
      <c r="H2503" s="42">
        <f t="shared" si="1"/>
        <v>1179</v>
      </c>
    </row>
    <row r="2504" ht="22.5" customHeight="1">
      <c r="B2504" s="42" t="str">
        <f>IFERROR(__xludf.DUMMYFUNCTION("""COMPUTED_VALUE"""),"K/51/240225/1")</f>
        <v>K/51/240225/1</v>
      </c>
      <c r="C2504" s="42" t="str">
        <f>IFERROR(__xludf.DUMMYFUNCTION("""COMPUTED_VALUE"""),"Nibel. M. 17209/ Campang Jaya")</f>
        <v>Nibel. M. 17209/ Campang Jaya</v>
      </c>
      <c r="D2504" s="42"/>
      <c r="E2504" s="42"/>
      <c r="F2504" s="48" t="str">
        <f>IFERROR(__xludf.DUMMYFUNCTION("""COMPUTED_VALUE"""),"")</f>
        <v/>
      </c>
      <c r="G2504" s="42" t="str">
        <f>IFERROR(__xludf.DUMMYFUNCTION("""COMPUTED_VALUE"""),"Perubahan Hak")</f>
        <v>Perubahan Hak</v>
      </c>
      <c r="H2504" s="42">
        <f t="shared" si="1"/>
        <v>1179</v>
      </c>
    </row>
    <row r="2505" ht="22.5" customHeight="1">
      <c r="B2505" s="42" t="str">
        <f>IFERROR(__xludf.DUMMYFUNCTION("""COMPUTED_VALUE"""),"K/52/240225/1")</f>
        <v>K/52/240225/1</v>
      </c>
      <c r="C2505" s="42" t="str">
        <f>IFERROR(__xludf.DUMMYFUNCTION("""COMPUTED_VALUE"""),"M. 11872/ Nusantara Permai")</f>
        <v>M. 11872/ Nusantara Permai</v>
      </c>
      <c r="D2505" s="42"/>
      <c r="E2505" s="42"/>
      <c r="F2505" s="48" t="str">
        <f>IFERROR(__xludf.DUMMYFUNCTION("""COMPUTED_VALUE"""),"")</f>
        <v/>
      </c>
      <c r="G2505" s="42" t="str">
        <f>IFERROR(__xludf.DUMMYFUNCTION("""COMPUTED_VALUE"""),"Perubahan Hak")</f>
        <v>Perubahan Hak</v>
      </c>
      <c r="H2505" s="42">
        <f t="shared" si="1"/>
        <v>1179</v>
      </c>
    </row>
    <row r="2506" ht="22.5" customHeight="1">
      <c r="B2506" s="42" t="str">
        <f>IFERROR(__xludf.DUMMYFUNCTION("""COMPUTED_VALUE"""),"K/53/240225/2")</f>
        <v>K/53/240225/2</v>
      </c>
      <c r="C2506" s="42" t="str">
        <f>IFERROR(__xludf.DUMMYFUNCTION("""COMPUTED_VALUE"""),"M. 570/ Sukarame Baru")</f>
        <v>M. 570/ Sukarame Baru</v>
      </c>
      <c r="D2506" s="42"/>
      <c r="E2506" s="42"/>
      <c r="F2506" s="48" t="str">
        <f>IFERROR(__xludf.DUMMYFUNCTION("""COMPUTED_VALUE"""),"")</f>
        <v/>
      </c>
      <c r="G2506" s="42" t="str">
        <f>IFERROR(__xludf.DUMMYFUNCTION("""COMPUTED_VALUE"""),"Pemecahan")</f>
        <v>Pemecahan</v>
      </c>
      <c r="H2506" s="42">
        <f t="shared" si="1"/>
        <v>1179</v>
      </c>
    </row>
    <row r="2507" ht="22.5" customHeight="1">
      <c r="B2507" s="42" t="str">
        <f>IFERROR(__xludf.DUMMYFUNCTION("""COMPUTED_VALUE"""),"K/54/240225/3")</f>
        <v>K/54/240225/3</v>
      </c>
      <c r="C2507" s="42" t="str">
        <f>IFERROR(__xludf.DUMMYFUNCTION("""COMPUTED_VALUE"""),"M. 4852/ Langkapura")</f>
        <v>M. 4852/ Langkapura</v>
      </c>
      <c r="D2507" s="42"/>
      <c r="E2507" s="42"/>
      <c r="F2507" s="48" t="str">
        <f>IFERROR(__xludf.DUMMYFUNCTION("""COMPUTED_VALUE"""),"")</f>
        <v/>
      </c>
      <c r="G2507" s="42" t="str">
        <f>IFERROR(__xludf.DUMMYFUNCTION("""COMPUTED_VALUE"""),"Pemecahan")</f>
        <v>Pemecahan</v>
      </c>
      <c r="H2507" s="42">
        <f t="shared" si="1"/>
        <v>1179</v>
      </c>
    </row>
    <row r="2508" ht="22.5" customHeight="1">
      <c r="B2508" s="42" t="str">
        <f>IFERROR(__xludf.DUMMYFUNCTION("""COMPUTED_VALUE"""),"K/43/240225/2")</f>
        <v>K/43/240225/2</v>
      </c>
      <c r="C2508" s="42" t="str">
        <f>IFERROR(__xludf.DUMMYFUNCTION("""COMPUTED_VALUE"""),"B. 276/ LABUHAN RATU RAYA")</f>
        <v>B. 276/ LABUHAN RATU RAYA</v>
      </c>
      <c r="D2508" s="42"/>
      <c r="E2508" s="42" t="str">
        <f>IFERROR(__xludf.DUMMYFUNCTION("""COMPUTED_VALUE"""),"DISERAHKAN")</f>
        <v>DISERAHKAN</v>
      </c>
      <c r="F2508" s="48">
        <f>IFERROR(__xludf.DUMMYFUNCTION("""COMPUTED_VALUE"""),45727.49865730324)</f>
        <v>45727.49866</v>
      </c>
      <c r="G2508" s="42" t="str">
        <f>IFERROR(__xludf.DUMMYFUNCTION("""COMPUTED_VALUE"""),"BN JUAL BELI")</f>
        <v>BN JUAL BELI</v>
      </c>
      <c r="H2508" s="42">
        <f t="shared" si="1"/>
        <v>1180</v>
      </c>
    </row>
    <row r="2509" ht="22.5" customHeight="1">
      <c r="B2509" s="42" t="str">
        <f>IFERROR(__xludf.DUMMYFUNCTION("""COMPUTED_VALUE"""),"K/1/250225/1")</f>
        <v>K/1/250225/1</v>
      </c>
      <c r="C2509" s="42" t="str">
        <f>IFERROR(__xludf.DUMMYFUNCTION("""COMPUTED_VALUE"""),"M. 502/ Jagabaya III")</f>
        <v>M. 502/ Jagabaya III</v>
      </c>
      <c r="D2509" s="42"/>
      <c r="E2509" s="42" t="str">
        <f>IFERROR(__xludf.DUMMYFUNCTION("""COMPUTED_VALUE"""),"DISERAHKAN")</f>
        <v>DISERAHKAN</v>
      </c>
      <c r="F2509" s="48">
        <f>IFERROR(__xludf.DUMMYFUNCTION("""COMPUTED_VALUE"""),45758.48062136574)</f>
        <v>45758.48062</v>
      </c>
      <c r="G2509" s="42" t="str">
        <f>IFERROR(__xludf.DUMMYFUNCTION("""COMPUTED_VALUE"""),"BN JUAL BELI")</f>
        <v>BN JUAL BELI</v>
      </c>
      <c r="H2509" s="42">
        <f t="shared" si="1"/>
        <v>1181</v>
      </c>
    </row>
    <row r="2510" ht="22.5" customHeight="1">
      <c r="B2510" s="42" t="str">
        <f>IFERROR(__xludf.DUMMYFUNCTION("""COMPUTED_VALUE"""),"K/2/250225/2")</f>
        <v>K/2/250225/2</v>
      </c>
      <c r="C2510" s="42" t="str">
        <f>IFERROR(__xludf.DUMMYFUNCTION("""COMPUTED_VALUE"""),"M. 522/ Jagabaya III")</f>
        <v>M. 522/ Jagabaya III</v>
      </c>
      <c r="D2510" s="42"/>
      <c r="E2510" s="42" t="str">
        <f>IFERROR(__xludf.DUMMYFUNCTION("""COMPUTED_VALUE"""),"DISERAHKAN")</f>
        <v>DISERAHKAN</v>
      </c>
      <c r="F2510" s="48">
        <f>IFERROR(__xludf.DUMMYFUNCTION("""COMPUTED_VALUE"""),45730.401176053245)</f>
        <v>45730.40118</v>
      </c>
      <c r="G2510" s="42" t="str">
        <f>IFERROR(__xludf.DUMMYFUNCTION("""COMPUTED_VALUE"""),"BN JUAL BELI")</f>
        <v>BN JUAL BELI</v>
      </c>
      <c r="H2510" s="42">
        <f t="shared" si="1"/>
        <v>1182</v>
      </c>
    </row>
    <row r="2511" ht="22.5" customHeight="1">
      <c r="B2511" s="42" t="str">
        <f>IFERROR(__xludf.DUMMYFUNCTION("""COMPUTED_VALUE"""),"L/3/250225/1")</f>
        <v>L/3/250225/1</v>
      </c>
      <c r="C2511" s="42" t="str">
        <f>IFERROR(__xludf.DUMMYFUNCTION("""COMPUTED_VALUE"""),"HM 228/SUKAJAWA")</f>
        <v>HM 228/SUKAJAWA</v>
      </c>
      <c r="D2511" s="42" t="str">
        <f>IFERROR(__xludf.DUMMYFUNCTION("""COMPUTED_VALUE"""),"David")</f>
        <v>David</v>
      </c>
      <c r="E2511" s="42" t="str">
        <f>IFERROR(__xludf.DUMMYFUNCTION("""COMPUTED_VALUE"""),"DISERAHKAN")</f>
        <v>DISERAHKAN</v>
      </c>
      <c r="F2511" s="48">
        <f>IFERROR(__xludf.DUMMYFUNCTION("""COMPUTED_VALUE"""),45813.47505418981)</f>
        <v>45813.47505</v>
      </c>
      <c r="G2511" s="42" t="str">
        <f>IFERROR(__xludf.DUMMYFUNCTION("""COMPUTED_VALUE"""),"TANJUNG KARANG")</f>
        <v>TANJUNG KARANG</v>
      </c>
      <c r="H2511" s="42">
        <f t="shared" si="1"/>
        <v>1183</v>
      </c>
    </row>
    <row r="2512" ht="22.5" customHeight="1">
      <c r="B2512" s="42" t="str">
        <f>IFERROR(__xludf.DUMMYFUNCTION("""COMPUTED_VALUE"""),"K/4/250225/3")</f>
        <v>K/4/250225/3</v>
      </c>
      <c r="C2512" s="42" t="str">
        <f>IFERROR(__xludf.DUMMYFUNCTION("""COMPUTED_VALUE"""),"Nibel 13349/Gunung Terang")</f>
        <v>Nibel 13349/Gunung Terang</v>
      </c>
      <c r="D2512" s="42"/>
      <c r="E2512" s="42"/>
      <c r="F2512" s="48" t="str">
        <f>IFERROR(__xludf.DUMMYFUNCTION("""COMPUTED_VALUE"""),"")</f>
        <v/>
      </c>
      <c r="G2512" s="42" t="str">
        <f>IFERROR(__xludf.DUMMYFUNCTION("""COMPUTED_VALUE"""),"BN JUAL BELI")</f>
        <v>BN JUAL BELI</v>
      </c>
      <c r="H2512" s="42">
        <f t="shared" si="1"/>
        <v>1183</v>
      </c>
    </row>
    <row r="2513" ht="22.5" customHeight="1">
      <c r="B2513" s="42" t="str">
        <f>IFERROR(__xludf.DUMMYFUNCTION("""COMPUTED_VALUE"""),"K/5/250225/1")</f>
        <v>K/5/250225/1</v>
      </c>
      <c r="C2513" s="42" t="str">
        <f>IFERROR(__xludf.DUMMYFUNCTION("""COMPUTED_VALUE"""),"M. 301/ Way Laga")</f>
        <v>M. 301/ Way Laga</v>
      </c>
      <c r="D2513" s="42"/>
      <c r="E2513" s="42"/>
      <c r="F2513" s="48" t="str">
        <f>IFERROR(__xludf.DUMMYFUNCTION("""COMPUTED_VALUE"""),"")</f>
        <v/>
      </c>
      <c r="G2513" s="42" t="str">
        <f>IFERROR(__xludf.DUMMYFUNCTION("""COMPUTED_VALUE"""),"SKPT LELANG")</f>
        <v>SKPT LELANG</v>
      </c>
      <c r="H2513" s="42">
        <f t="shared" si="1"/>
        <v>1183</v>
      </c>
    </row>
    <row r="2514" ht="22.5" customHeight="1">
      <c r="B2514" s="42" t="str">
        <f>IFERROR(__xludf.DUMMYFUNCTION("""COMPUTED_VALUE"""),"K/6/250225/2")</f>
        <v>K/6/250225/2</v>
      </c>
      <c r="C2514" s="42" t="str">
        <f>IFERROR(__xludf.DUMMYFUNCTION("""COMPUTED_VALUE"""),"M. 1714/ sumberrejo")</f>
        <v>M. 1714/ sumberrejo</v>
      </c>
      <c r="D2514" s="42"/>
      <c r="E2514" s="42"/>
      <c r="F2514" s="48" t="str">
        <f>IFERROR(__xludf.DUMMYFUNCTION("""COMPUTED_VALUE"""),"")</f>
        <v/>
      </c>
      <c r="G2514" s="42" t="str">
        <f>IFERROR(__xludf.DUMMYFUNCTION("""COMPUTED_VALUE"""),"SKPT LELANG")</f>
        <v>SKPT LELANG</v>
      </c>
      <c r="H2514" s="42">
        <f t="shared" si="1"/>
        <v>1183</v>
      </c>
    </row>
    <row r="2515" ht="22.5" customHeight="1">
      <c r="B2515" s="42" t="str">
        <f>IFERROR(__xludf.DUMMYFUNCTION("""COMPUTED_VALUE"""),"K/7/250225/3")</f>
        <v>K/7/250225/3</v>
      </c>
      <c r="C2515" s="42" t="str">
        <f>IFERROR(__xludf.DUMMYFUNCTION("""COMPUTED_VALUE"""),"M. 11038/ Jagabaya II")</f>
        <v>M. 11038/ Jagabaya II</v>
      </c>
      <c r="D2515" s="42"/>
      <c r="E2515" s="42"/>
      <c r="F2515" s="48" t="str">
        <f>IFERROR(__xludf.DUMMYFUNCTION("""COMPUTED_VALUE"""),"")</f>
        <v/>
      </c>
      <c r="G2515" s="42" t="str">
        <f>IFERROR(__xludf.DUMMYFUNCTION("""COMPUTED_VALUE"""),"SKPT LELANG")</f>
        <v>SKPT LELANG</v>
      </c>
      <c r="H2515" s="42">
        <f t="shared" si="1"/>
        <v>1183</v>
      </c>
    </row>
    <row r="2516" ht="22.5" customHeight="1">
      <c r="B2516" s="42" t="str">
        <f>IFERROR(__xludf.DUMMYFUNCTION("""COMPUTED_VALUE"""),"K/8/250225/4")</f>
        <v>K/8/250225/4</v>
      </c>
      <c r="C2516" s="42" t="str">
        <f>IFERROR(__xludf.DUMMYFUNCTION("""COMPUTED_VALUE"""),"M. 11471/ Tanjung Baru")</f>
        <v>M. 11471/ Tanjung Baru</v>
      </c>
      <c r="D2516" s="42"/>
      <c r="E2516" s="42"/>
      <c r="F2516" s="48" t="str">
        <f>IFERROR(__xludf.DUMMYFUNCTION("""COMPUTED_VALUE"""),"")</f>
        <v/>
      </c>
      <c r="G2516" s="42" t="str">
        <f>IFERROR(__xludf.DUMMYFUNCTION("""COMPUTED_VALUE"""),"SKPT LELANG")</f>
        <v>SKPT LELANG</v>
      </c>
      <c r="H2516" s="42">
        <f t="shared" si="1"/>
        <v>1183</v>
      </c>
    </row>
    <row r="2517" ht="22.5" customHeight="1">
      <c r="B2517" s="42" t="str">
        <f>IFERROR(__xludf.DUMMYFUNCTION("""COMPUTED_VALUE"""),"K/9/250225/5")</f>
        <v>K/9/250225/5</v>
      </c>
      <c r="C2517" s="42" t="str">
        <f>IFERROR(__xludf.DUMMYFUNCTION("""COMPUTED_VALUE"""),"M. 11470/ Tanjung Baru")</f>
        <v>M. 11470/ Tanjung Baru</v>
      </c>
      <c r="D2517" s="42"/>
      <c r="E2517" s="42"/>
      <c r="F2517" s="48" t="str">
        <f>IFERROR(__xludf.DUMMYFUNCTION("""COMPUTED_VALUE"""),"")</f>
        <v/>
      </c>
      <c r="G2517" s="42" t="str">
        <f>IFERROR(__xludf.DUMMYFUNCTION("""COMPUTED_VALUE"""),"SKPT LELANG")</f>
        <v>SKPT LELANG</v>
      </c>
      <c r="H2517" s="42">
        <f t="shared" si="1"/>
        <v>1183</v>
      </c>
    </row>
    <row r="2518" ht="22.5" customHeight="1">
      <c r="B2518" s="42" t="str">
        <f>IFERROR(__xludf.DUMMYFUNCTION("""COMPUTED_VALUE"""),"L/10/250225/1")</f>
        <v>L/10/250225/1</v>
      </c>
      <c r="C2518" s="42" t="str">
        <f>IFERROR(__xludf.DUMMYFUNCTION("""COMPUTED_VALUE"""),"HM 16620/SUKABUMI")</f>
        <v>HM 16620/SUKABUMI</v>
      </c>
      <c r="D2518" s="42"/>
      <c r="E2518" s="42" t="str">
        <f>IFERROR(__xludf.DUMMYFUNCTION("""COMPUTED_VALUE"""),"DISERAHKAN")</f>
        <v>DISERAHKAN</v>
      </c>
      <c r="F2518" s="48">
        <f>IFERROR(__xludf.DUMMYFUNCTION("""COMPUTED_VALUE"""),45727.49743383102)</f>
        <v>45727.49743</v>
      </c>
      <c r="G2518" s="42" t="str">
        <f>IFERROR(__xludf.DUMMYFUNCTION("""COMPUTED_VALUE"""),"BN JUAL - BELI")</f>
        <v>BN JUAL - BELI</v>
      </c>
      <c r="H2518" s="42">
        <f t="shared" si="1"/>
        <v>1184</v>
      </c>
    </row>
    <row r="2519" ht="22.5" customHeight="1">
      <c r="B2519" s="42" t="str">
        <f>IFERROR(__xludf.DUMMYFUNCTION("""COMPUTED_VALUE"""),"K/11/250225/1")</f>
        <v>K/11/250225/1</v>
      </c>
      <c r="C2519" s="42" t="str">
        <f>IFERROR(__xludf.DUMMYFUNCTION("""COMPUTED_VALUE"""),"NIBEL M. 18469/KEBON JERUK")</f>
        <v>NIBEL M. 18469/KEBON JERUK</v>
      </c>
      <c r="D2519" s="42"/>
      <c r="E2519" s="42"/>
      <c r="F2519" s="48" t="str">
        <f>IFERROR(__xludf.DUMMYFUNCTION("""COMPUTED_VALUE"""),"")</f>
        <v/>
      </c>
      <c r="G2519" s="42" t="str">
        <f>IFERROR(__xludf.DUMMYFUNCTION("""COMPUTED_VALUE"""),"BN LELANG")</f>
        <v>BN LELANG</v>
      </c>
      <c r="H2519" s="42">
        <f t="shared" si="1"/>
        <v>1184</v>
      </c>
    </row>
    <row r="2520" ht="22.5" customHeight="1">
      <c r="B2520" s="42" t="str">
        <f>IFERROR(__xludf.DUMMYFUNCTION("""COMPUTED_VALUE"""),"K/12/250225/1")</f>
        <v>K/12/250225/1</v>
      </c>
      <c r="C2520" s="42" t="str">
        <f>IFERROR(__xludf.DUMMYFUNCTION("""COMPUTED_VALUE"""),"NIBEL M 5706/GUNUNG AGUNG")</f>
        <v>NIBEL M 5706/GUNUNG AGUNG</v>
      </c>
      <c r="D2520" s="42"/>
      <c r="E2520" s="42"/>
      <c r="F2520" s="48" t="str">
        <f>IFERROR(__xludf.DUMMYFUNCTION("""COMPUTED_VALUE"""),"")</f>
        <v/>
      </c>
      <c r="G2520" s="42" t="str">
        <f>IFERROR(__xludf.DUMMYFUNCTION("""COMPUTED_VALUE"""),"PTPGT")</f>
        <v>PTPGT</v>
      </c>
      <c r="H2520" s="42">
        <f t="shared" si="1"/>
        <v>1184</v>
      </c>
    </row>
    <row r="2521" ht="22.5" customHeight="1">
      <c r="B2521" s="42" t="str">
        <f>IFERROR(__xludf.DUMMYFUNCTION("""COMPUTED_VALUE"""),"K/13/250225/1")</f>
        <v>K/13/250225/1</v>
      </c>
      <c r="C2521" s="42" t="str">
        <f>IFERROR(__xludf.DUMMYFUNCTION("""COMPUTED_VALUE"""),"B. 764/ Sumur Putri")</f>
        <v>B. 764/ Sumur Putri</v>
      </c>
      <c r="D2521" s="42"/>
      <c r="E2521" s="42" t="str">
        <f>IFERROR(__xludf.DUMMYFUNCTION("""COMPUTED_VALUE"""),"DISERAHKAN")</f>
        <v>DISERAHKAN</v>
      </c>
      <c r="F2521" s="48">
        <f>IFERROR(__xludf.DUMMYFUNCTION("""COMPUTED_VALUE"""),45735.44436299769)</f>
        <v>45735.44436</v>
      </c>
      <c r="G2521" s="42" t="str">
        <f>IFERROR(__xludf.DUMMYFUNCTION("""COMPUTED_VALUE"""),"BN JUAL BELI")</f>
        <v>BN JUAL BELI</v>
      </c>
      <c r="H2521" s="42">
        <f t="shared" si="1"/>
        <v>1185</v>
      </c>
    </row>
    <row r="2522" ht="22.5" customHeight="1">
      <c r="B2522" s="42" t="str">
        <f>IFERROR(__xludf.DUMMYFUNCTION("""COMPUTED_VALUE"""),"K/15/250225/1")</f>
        <v>K/15/250225/1</v>
      </c>
      <c r="C2522" s="42" t="str">
        <f>IFERROR(__xludf.DUMMYFUNCTION("""COMPUTED_VALUE"""),"M. 351/ Nusantara Permai")</f>
        <v>M. 351/ Nusantara Permai</v>
      </c>
      <c r="D2522" s="42"/>
      <c r="E2522" s="42" t="str">
        <f>IFERROR(__xludf.DUMMYFUNCTION("""COMPUTED_VALUE"""),"DISERAHKAN")</f>
        <v>DISERAHKAN</v>
      </c>
      <c r="F2522" s="48">
        <f>IFERROR(__xludf.DUMMYFUNCTION("""COMPUTED_VALUE"""),45722.504795914356)</f>
        <v>45722.5048</v>
      </c>
      <c r="G2522" s="42" t="str">
        <f>IFERROR(__xludf.DUMMYFUNCTION("""COMPUTED_VALUE"""),"BN Jual Beli")</f>
        <v>BN Jual Beli</v>
      </c>
      <c r="H2522" s="42">
        <f t="shared" si="1"/>
        <v>1186</v>
      </c>
    </row>
    <row r="2523" ht="22.5" customHeight="1">
      <c r="B2523" s="42" t="str">
        <f>IFERROR(__xludf.DUMMYFUNCTION("""COMPUTED_VALUE"""),"K/14/250225/2")</f>
        <v>K/14/250225/2</v>
      </c>
      <c r="C2523" s="42" t="str">
        <f>IFERROR(__xludf.DUMMYFUNCTION("""COMPUTED_VALUE"""),"B. 598/ Sumur Putri")</f>
        <v>B. 598/ Sumur Putri</v>
      </c>
      <c r="D2523" s="42"/>
      <c r="E2523" s="42" t="str">
        <f>IFERROR(__xludf.DUMMYFUNCTION("""COMPUTED_VALUE"""),"DISERAHKAN")</f>
        <v>DISERAHKAN</v>
      </c>
      <c r="F2523" s="48">
        <f>IFERROR(__xludf.DUMMYFUNCTION("""COMPUTED_VALUE"""),45723.47190902778)</f>
        <v>45723.47191</v>
      </c>
      <c r="G2523" s="42" t="str">
        <f>IFERROR(__xludf.DUMMYFUNCTION("""COMPUTED_VALUE"""),"BN JUAL BELI")</f>
        <v>BN JUAL BELI</v>
      </c>
      <c r="H2523" s="42">
        <f t="shared" si="1"/>
        <v>1187</v>
      </c>
    </row>
    <row r="2524" ht="22.5" customHeight="1">
      <c r="B2524" s="42" t="str">
        <f>IFERROR(__xludf.DUMMYFUNCTION("""COMPUTED_VALUE"""),"K/16/250225/3")</f>
        <v>K/16/250225/3</v>
      </c>
      <c r="C2524" s="42" t="str">
        <f>IFERROR(__xludf.DUMMYFUNCTION("""COMPUTED_VALUE"""),"M. 653/ Sukabumi Indah")</f>
        <v>M. 653/ Sukabumi Indah</v>
      </c>
      <c r="D2524" s="42"/>
      <c r="E2524" s="42" t="str">
        <f>IFERROR(__xludf.DUMMYFUNCTION("""COMPUTED_VALUE"""),"DISERAHKAN")</f>
        <v>DISERAHKAN</v>
      </c>
      <c r="F2524" s="48">
        <f>IFERROR(__xludf.DUMMYFUNCTION("""COMPUTED_VALUE"""),45722.502982199076)</f>
        <v>45722.50298</v>
      </c>
      <c r="G2524" s="42" t="str">
        <f>IFERROR(__xludf.DUMMYFUNCTION("""COMPUTED_VALUE"""),"BN JUAL BELI")</f>
        <v>BN JUAL BELI</v>
      </c>
      <c r="H2524" s="42">
        <f t="shared" si="1"/>
        <v>1188</v>
      </c>
    </row>
    <row r="2525" ht="22.5" customHeight="1">
      <c r="B2525" s="42" t="str">
        <f>IFERROR(__xludf.DUMMYFUNCTION("""COMPUTED_VALUE"""),"K/17/250225/1")</f>
        <v>K/17/250225/1</v>
      </c>
      <c r="C2525" s="42" t="str">
        <f>IFERROR(__xludf.DUMMYFUNCTION("""COMPUTED_VALUE"""),"Nibel. M. 1394/ Gunung Sulah")</f>
        <v>Nibel. M. 1394/ Gunung Sulah</v>
      </c>
      <c r="D2525" s="42"/>
      <c r="E2525" s="42"/>
      <c r="F2525" s="48" t="str">
        <f>IFERROR(__xludf.DUMMYFUNCTION("""COMPUTED_VALUE"""),"")</f>
        <v/>
      </c>
      <c r="G2525" s="42" t="str">
        <f>IFERROR(__xludf.DUMMYFUNCTION("""COMPUTED_VALUE"""),"BN Jual Beli")</f>
        <v>BN Jual Beli</v>
      </c>
      <c r="H2525" s="42">
        <f t="shared" si="1"/>
        <v>1188</v>
      </c>
    </row>
    <row r="2526" ht="22.5" customHeight="1">
      <c r="B2526" s="42" t="str">
        <f>IFERROR(__xludf.DUMMYFUNCTION("""COMPUTED_VALUE"""),"K/18/250225/2")</f>
        <v>K/18/250225/2</v>
      </c>
      <c r="C2526" s="42" t="str">
        <f>IFERROR(__xludf.DUMMYFUNCTION("""COMPUTED_VALUE"""),"B. 538/ Gunung Sulah")</f>
        <v>B. 538/ Gunung Sulah</v>
      </c>
      <c r="D2526" s="42"/>
      <c r="E2526" s="42" t="str">
        <f>IFERROR(__xludf.DUMMYFUNCTION("""COMPUTED_VALUE"""),"DISERAHKAN")</f>
        <v>DISERAHKAN</v>
      </c>
      <c r="F2526" s="48">
        <f>IFERROR(__xludf.DUMMYFUNCTION("""COMPUTED_VALUE"""),45722.50664552083)</f>
        <v>45722.50665</v>
      </c>
      <c r="G2526" s="42" t="str">
        <f>IFERROR(__xludf.DUMMYFUNCTION("""COMPUTED_VALUE"""),"BN Jual Beli")</f>
        <v>BN Jual Beli</v>
      </c>
      <c r="H2526" s="42">
        <f t="shared" si="1"/>
        <v>1189</v>
      </c>
    </row>
    <row r="2527" ht="22.5" customHeight="1">
      <c r="B2527" s="42" t="str">
        <f>IFERROR(__xludf.DUMMYFUNCTION("""COMPUTED_VALUE"""),"L/19/250225/1")</f>
        <v>L/19/250225/1</v>
      </c>
      <c r="C2527" s="42" t="str">
        <f>IFERROR(__xludf.DUMMYFUNCTION("""COMPUTED_VALUE"""),"HM 1039/TANJUNGKARANG")</f>
        <v>HM 1039/TANJUNGKARANG</v>
      </c>
      <c r="D2527" s="42"/>
      <c r="E2527" s="42" t="str">
        <f>IFERROR(__xludf.DUMMYFUNCTION("""COMPUTED_VALUE"""),"DISERAHKAN")</f>
        <v>DISERAHKAN</v>
      </c>
      <c r="F2527" s="48">
        <f>IFERROR(__xludf.DUMMYFUNCTION("""COMPUTED_VALUE"""),45730.605786712964)</f>
        <v>45730.60579</v>
      </c>
      <c r="G2527" s="42" t="str">
        <f>IFERROR(__xludf.DUMMYFUNCTION("""COMPUTED_VALUE"""),"ROYA")</f>
        <v>ROYA</v>
      </c>
      <c r="H2527" s="42">
        <f t="shared" si="1"/>
        <v>1190</v>
      </c>
    </row>
    <row r="2528" ht="22.5" customHeight="1">
      <c r="B2528" s="42" t="str">
        <f>IFERROR(__xludf.DUMMYFUNCTION("""COMPUTED_VALUE"""),"K/20/250225/1")</f>
        <v>K/20/250225/1</v>
      </c>
      <c r="C2528" s="42" t="str">
        <f>IFERROR(__xludf.DUMMYFUNCTION("""COMPUTED_VALUE"""),"NIBEL M.4566/KEDAMAIAN")</f>
        <v>NIBEL M.4566/KEDAMAIAN</v>
      </c>
      <c r="D2528" s="42"/>
      <c r="E2528" s="42"/>
      <c r="F2528" s="48" t="str">
        <f>IFERROR(__xludf.DUMMYFUNCTION("""COMPUTED_VALUE"""),"")</f>
        <v/>
      </c>
      <c r="G2528" s="42" t="str">
        <f>IFERROR(__xludf.DUMMYFUNCTION("""COMPUTED_VALUE"""),"BN JUAL BELI")</f>
        <v>BN JUAL BELI</v>
      </c>
      <c r="H2528" s="42">
        <f t="shared" si="1"/>
        <v>1190</v>
      </c>
    </row>
    <row r="2529" ht="22.5" customHeight="1">
      <c r="B2529" s="42" t="str">
        <f>IFERROR(__xludf.DUMMYFUNCTION("""COMPUTED_VALUE"""),"K/50/250225/1")</f>
        <v>K/50/250225/1</v>
      </c>
      <c r="C2529" s="42" t="str">
        <f>IFERROR(__xludf.DUMMYFUNCTION("""COMPUTED_VALUE"""),"NIBEL M 1870/SUKARAME")</f>
        <v>NIBEL M 1870/SUKARAME</v>
      </c>
      <c r="D2529" s="42"/>
      <c r="E2529" s="42"/>
      <c r="F2529" s="48" t="str">
        <f>IFERROR(__xludf.DUMMYFUNCTION("""COMPUTED_VALUE"""),"")</f>
        <v/>
      </c>
      <c r="G2529" s="42" t="str">
        <f>IFERROR(__xludf.DUMMYFUNCTION("""COMPUTED_VALUE"""),"HIBAH")</f>
        <v>HIBAH</v>
      </c>
      <c r="H2529" s="42">
        <f t="shared" si="1"/>
        <v>1190</v>
      </c>
    </row>
    <row r="2530" ht="22.5" customHeight="1">
      <c r="B2530" s="42" t="str">
        <f>IFERROR(__xludf.DUMMYFUNCTION("""COMPUTED_VALUE"""),"K/23/250225/3")</f>
        <v>K/23/250225/3</v>
      </c>
      <c r="C2530" s="42" t="str">
        <f>IFERROR(__xludf.DUMMYFUNCTION("""COMPUTED_VALUE"""),"Nibel. M. 4948/ Rajabasa Nunyai")</f>
        <v>Nibel. M. 4948/ Rajabasa Nunyai</v>
      </c>
      <c r="D2530" s="42"/>
      <c r="E2530" s="42"/>
      <c r="F2530" s="48" t="str">
        <f>IFERROR(__xludf.DUMMYFUNCTION("""COMPUTED_VALUE"""),"")</f>
        <v/>
      </c>
      <c r="G2530" s="42" t="str">
        <f>IFERROR(__xludf.DUMMYFUNCTION("""COMPUTED_VALUE"""),"BN Jual Beli")</f>
        <v>BN Jual Beli</v>
      </c>
      <c r="H2530" s="42">
        <f t="shared" si="1"/>
        <v>1190</v>
      </c>
    </row>
    <row r="2531" ht="22.5" customHeight="1">
      <c r="B2531" s="42" t="str">
        <f>IFERROR(__xludf.DUMMYFUNCTION("""COMPUTED_VALUE"""),"K/22/250225/2")</f>
        <v>K/22/250225/2</v>
      </c>
      <c r="C2531" s="42" t="str">
        <f>IFERROR(__xludf.DUMMYFUNCTION("""COMPUTED_VALUE"""),"M. 1511/ Rajabasa Nunyai")</f>
        <v>M. 1511/ Rajabasa Nunyai</v>
      </c>
      <c r="D2531" s="42"/>
      <c r="E2531" s="42" t="str">
        <f>IFERROR(__xludf.DUMMYFUNCTION("""COMPUTED_VALUE"""),"DISERAHKAN")</f>
        <v>DISERAHKAN</v>
      </c>
      <c r="F2531" s="48">
        <f>IFERROR(__xludf.DUMMYFUNCTION("""COMPUTED_VALUE"""),45727.49666538194)</f>
        <v>45727.49667</v>
      </c>
      <c r="G2531" s="42" t="str">
        <f>IFERROR(__xludf.DUMMYFUNCTION("""COMPUTED_VALUE"""),"BN Jual Beli")</f>
        <v>BN Jual Beli</v>
      </c>
      <c r="H2531" s="42">
        <f t="shared" si="1"/>
        <v>1191</v>
      </c>
    </row>
    <row r="2532" ht="22.5" customHeight="1">
      <c r="B2532" s="42" t="str">
        <f>IFERROR(__xludf.DUMMYFUNCTION("""COMPUTED_VALUE"""),"K/21/250225/1")</f>
        <v>K/21/250225/1</v>
      </c>
      <c r="C2532" s="42" t="str">
        <f>IFERROR(__xludf.DUMMYFUNCTION("""COMPUTED_VALUE"""),"M. 1515/ Rajabasa Nunyai")</f>
        <v>M. 1515/ Rajabasa Nunyai</v>
      </c>
      <c r="D2532" s="42"/>
      <c r="E2532" s="42" t="str">
        <f>IFERROR(__xludf.DUMMYFUNCTION("""COMPUTED_VALUE"""),"DISERAHKAN")</f>
        <v>DISERAHKAN</v>
      </c>
      <c r="F2532" s="48">
        <f>IFERROR(__xludf.DUMMYFUNCTION("""COMPUTED_VALUE"""),45730.40083936343)</f>
        <v>45730.40084</v>
      </c>
      <c r="G2532" s="42" t="str">
        <f>IFERROR(__xludf.DUMMYFUNCTION("""COMPUTED_VALUE"""),"BN Jual Beli")</f>
        <v>BN Jual Beli</v>
      </c>
      <c r="H2532" s="42">
        <f t="shared" si="1"/>
        <v>1192</v>
      </c>
    </row>
    <row r="2533" ht="22.5" customHeight="1">
      <c r="B2533" s="42" t="str">
        <f>IFERROR(__xludf.DUMMYFUNCTION("""COMPUTED_VALUE"""),"K/24/250225/1")</f>
        <v>K/24/250225/1</v>
      </c>
      <c r="C2533" s="42" t="str">
        <f>IFERROR(__xludf.DUMMYFUNCTION("""COMPUTED_VALUE"""),"M.1231/TALANG")</f>
        <v>M.1231/TALANG</v>
      </c>
      <c r="D2533" s="42"/>
      <c r="E2533" s="42" t="str">
        <f>IFERROR(__xludf.DUMMYFUNCTION("""COMPUTED_VALUE"""),"DISERAHKAN")</f>
        <v>DISERAHKAN</v>
      </c>
      <c r="F2533" s="48">
        <f>IFERROR(__xludf.DUMMYFUNCTION("""COMPUTED_VALUE"""),45727.49931988426)</f>
        <v>45727.49932</v>
      </c>
      <c r="G2533" s="42" t="str">
        <f>IFERROR(__xludf.DUMMYFUNCTION("""COMPUTED_VALUE"""),"JUAL BELI")</f>
        <v>JUAL BELI</v>
      </c>
      <c r="H2533" s="42">
        <f t="shared" si="1"/>
        <v>1193</v>
      </c>
    </row>
    <row r="2534" ht="22.5" customHeight="1">
      <c r="B2534" s="42" t="str">
        <f>IFERROR(__xludf.DUMMYFUNCTION("""COMPUTED_VALUE"""),"K/25/250225/2")</f>
        <v>K/25/250225/2</v>
      </c>
      <c r="C2534" s="42" t="str">
        <f>IFERROR(__xludf.DUMMYFUNCTION("""COMPUTED_VALUE"""),"M.1129/GOTONG ROYONG")</f>
        <v>M.1129/GOTONG ROYONG</v>
      </c>
      <c r="D2534" s="42"/>
      <c r="E2534" s="42" t="str">
        <f>IFERROR(__xludf.DUMMYFUNCTION("""COMPUTED_VALUE"""),"DISERAHKAN")</f>
        <v>DISERAHKAN</v>
      </c>
      <c r="F2534" s="48">
        <f>IFERROR(__xludf.DUMMYFUNCTION("""COMPUTED_VALUE"""),45733.61118630787)</f>
        <v>45733.61119</v>
      </c>
      <c r="G2534" s="42" t="str">
        <f>IFERROR(__xludf.DUMMYFUNCTION("""COMPUTED_VALUE"""),"JUAL BELI")</f>
        <v>JUAL BELI</v>
      </c>
      <c r="H2534" s="42">
        <f t="shared" si="1"/>
        <v>1194</v>
      </c>
    </row>
    <row r="2535" ht="22.5" customHeight="1">
      <c r="B2535" s="42" t="str">
        <f>IFERROR(__xludf.DUMMYFUNCTION("""COMPUTED_VALUE"""),"K/26/250225/1")</f>
        <v>K/26/250225/1</v>
      </c>
      <c r="C2535" s="42" t="str">
        <f>IFERROR(__xludf.DUMMYFUNCTION("""COMPUTED_VALUE"""),"M. 2368/ Kedaung")</f>
        <v>M. 2368/ Kedaung</v>
      </c>
      <c r="D2535" s="42"/>
      <c r="E2535" s="42" t="str">
        <f>IFERROR(__xludf.DUMMYFUNCTION("""COMPUTED_VALUE"""),"DISERAHKAN")</f>
        <v>DISERAHKAN</v>
      </c>
      <c r="F2535" s="48">
        <f>IFERROR(__xludf.DUMMYFUNCTION("""COMPUTED_VALUE"""),45723.47190903935)</f>
        <v>45723.47191</v>
      </c>
      <c r="G2535" s="42" t="str">
        <f>IFERROR(__xludf.DUMMYFUNCTION("""COMPUTED_VALUE"""),"BN JUAL BELI")</f>
        <v>BN JUAL BELI</v>
      </c>
      <c r="H2535" s="42">
        <f t="shared" si="1"/>
        <v>1195</v>
      </c>
    </row>
    <row r="2536" ht="22.5" customHeight="1">
      <c r="B2536" s="42" t="str">
        <f>IFERROR(__xludf.DUMMYFUNCTION("""COMPUTED_VALUE"""),"L/27/250225/1")</f>
        <v>L/27/250225/1</v>
      </c>
      <c r="C2536" s="42" t="str">
        <f>IFERROR(__xludf.DUMMYFUNCTION("""COMPUTED_VALUE"""),"HGB 1493/KEMILING PERMAI")</f>
        <v>HGB 1493/KEMILING PERMAI</v>
      </c>
      <c r="D2536" s="42"/>
      <c r="E2536" s="42"/>
      <c r="F2536" s="48" t="str">
        <f>IFERROR(__xludf.DUMMYFUNCTION("""COMPUTED_VALUE"""),"")</f>
        <v/>
      </c>
      <c r="G2536" s="42" t="str">
        <f>IFERROR(__xludf.DUMMYFUNCTION("""COMPUTED_VALUE"""),"PH")</f>
        <v>PH</v>
      </c>
      <c r="H2536" s="42">
        <f t="shared" si="1"/>
        <v>1195</v>
      </c>
    </row>
    <row r="2537" ht="22.5" customHeight="1">
      <c r="B2537" s="42" t="str">
        <f>IFERROR(__xludf.DUMMYFUNCTION("""COMPUTED_VALUE"""),"K/28/250225/1")</f>
        <v>K/28/250225/1</v>
      </c>
      <c r="C2537" s="42" t="str">
        <f>IFERROR(__xludf.DUMMYFUNCTION("""COMPUTED_VALUE"""),"B. 581/ Nusantara Permai")</f>
        <v>B. 581/ Nusantara Permai</v>
      </c>
      <c r="D2537" s="42"/>
      <c r="E2537" s="42"/>
      <c r="F2537" s="48" t="str">
        <f>IFERROR(__xludf.DUMMYFUNCTION("""COMPUTED_VALUE"""),"")</f>
        <v/>
      </c>
      <c r="G2537" s="42" t="str">
        <f>IFERROR(__xludf.DUMMYFUNCTION("""COMPUTED_VALUE"""),"PERUBAHAN HAK")</f>
        <v>PERUBAHAN HAK</v>
      </c>
      <c r="H2537" s="42">
        <f t="shared" si="1"/>
        <v>1195</v>
      </c>
    </row>
    <row r="2538" ht="22.5" customHeight="1">
      <c r="B2538" s="42" t="str">
        <f>IFERROR(__xludf.DUMMYFUNCTION("""COMPUTED_VALUE"""),"K/29/250225/1")</f>
        <v>K/29/250225/1</v>
      </c>
      <c r="C2538" s="42" t="str">
        <f>IFERROR(__xludf.DUMMYFUNCTION("""COMPUTED_VALUE"""),"M. 4062/ Way Kandis")</f>
        <v>M. 4062/ Way Kandis</v>
      </c>
      <c r="D2538" s="42"/>
      <c r="E2538" s="42" t="str">
        <f>IFERROR(__xludf.DUMMYFUNCTION("""COMPUTED_VALUE"""),"DISERAHKAN")</f>
        <v>DISERAHKAN</v>
      </c>
      <c r="F2538" s="48">
        <f>IFERROR(__xludf.DUMMYFUNCTION("""COMPUTED_VALUE"""),45763.55184359953)</f>
        <v>45763.55184</v>
      </c>
      <c r="G2538" s="42" t="str">
        <f>IFERROR(__xludf.DUMMYFUNCTION("""COMPUTED_VALUE"""),"Roya")</f>
        <v>Roya</v>
      </c>
      <c r="H2538" s="42">
        <f t="shared" si="1"/>
        <v>1196</v>
      </c>
    </row>
    <row r="2539" ht="22.5" customHeight="1">
      <c r="B2539" s="42" t="str">
        <f>IFERROR(__xludf.DUMMYFUNCTION("""COMPUTED_VALUE"""),"K/30/250225/2")</f>
        <v>K/30/250225/2</v>
      </c>
      <c r="C2539" s="42" t="str">
        <f>IFERROR(__xludf.DUMMYFUNCTION("""COMPUTED_VALUE"""),"M. 11702/ Tanjung Baru")</f>
        <v>M. 11702/ Tanjung Baru</v>
      </c>
      <c r="D2539" s="42"/>
      <c r="E2539" s="42"/>
      <c r="F2539" s="48" t="str">
        <f>IFERROR(__xludf.DUMMYFUNCTION("""COMPUTED_VALUE"""),"")</f>
        <v/>
      </c>
      <c r="G2539" s="42" t="str">
        <f>IFERROR(__xludf.DUMMYFUNCTION("""COMPUTED_VALUE"""),"BN Jual Beli")</f>
        <v>BN Jual Beli</v>
      </c>
      <c r="H2539" s="42">
        <f t="shared" si="1"/>
        <v>1196</v>
      </c>
    </row>
    <row r="2540" ht="22.5" customHeight="1">
      <c r="B2540" s="42" t="str">
        <f>IFERROR(__xludf.DUMMYFUNCTION("""COMPUTED_VALUE"""),"L/31/250225/1")</f>
        <v>L/31/250225/1</v>
      </c>
      <c r="C2540" s="42" t="str">
        <f>IFERROR(__xludf.DUMMYFUNCTION("""COMPUTED_VALUE"""),"HM 18/SURABAYA")</f>
        <v>HM 18/SURABAYA</v>
      </c>
      <c r="D2540" s="42"/>
      <c r="E2540" s="42" t="str">
        <f>IFERROR(__xludf.DUMMYFUNCTION("""COMPUTED_VALUE"""),"DISERAHKAN BT")</f>
        <v>DISERAHKAN BT</v>
      </c>
      <c r="F2540" s="48">
        <f>IFERROR(__xludf.DUMMYFUNCTION("""COMPUTED_VALUE"""),45741.53326793981)</f>
        <v>45741.53327</v>
      </c>
      <c r="G2540" s="42" t="str">
        <f>IFERROR(__xludf.DUMMYFUNCTION("""COMPUTED_VALUE"""),"ROYA WARIS")</f>
        <v>ROYA WARIS</v>
      </c>
      <c r="H2540" s="42">
        <f t="shared" si="1"/>
        <v>1196</v>
      </c>
    </row>
    <row r="2541" ht="22.5" customHeight="1">
      <c r="B2541" s="42" t="str">
        <f>IFERROR(__xludf.DUMMYFUNCTION("""COMPUTED_VALUE"""),"L/32/250225/2")</f>
        <v>L/32/250225/2</v>
      </c>
      <c r="C2541" s="42" t="str">
        <f>IFERROR(__xludf.DUMMYFUNCTION("""COMPUTED_VALUE"""),"HM 19/SURABAYA")</f>
        <v>HM 19/SURABAYA</v>
      </c>
      <c r="D2541" s="42"/>
      <c r="E2541" s="42" t="str">
        <f>IFERROR(__xludf.DUMMYFUNCTION("""COMPUTED_VALUE"""),"DISERAHKAN BT")</f>
        <v>DISERAHKAN BT</v>
      </c>
      <c r="F2541" s="48">
        <f>IFERROR(__xludf.DUMMYFUNCTION("""COMPUTED_VALUE"""),45741.53282578704)</f>
        <v>45741.53283</v>
      </c>
      <c r="G2541" s="42" t="str">
        <f>IFERROR(__xludf.DUMMYFUNCTION("""COMPUTED_VALUE"""),"ROYA WARIS")</f>
        <v>ROYA WARIS</v>
      </c>
      <c r="H2541" s="42">
        <f t="shared" si="1"/>
        <v>1196</v>
      </c>
    </row>
    <row r="2542" ht="22.5" customHeight="1">
      <c r="B2542" s="42" t="str">
        <f>IFERROR(__xludf.DUMMYFUNCTION("""COMPUTED_VALUE"""),"K/33/250225/1")</f>
        <v>K/33/250225/1</v>
      </c>
      <c r="C2542" s="42" t="str">
        <f>IFERROR(__xludf.DUMMYFUNCTION("""COMPUTED_VALUE"""),"M. 14991/ Rajabasa")</f>
        <v>M. 14991/ Rajabasa</v>
      </c>
      <c r="D2542" s="42"/>
      <c r="E2542" s="42"/>
      <c r="F2542" s="48" t="str">
        <f>IFERROR(__xludf.DUMMYFUNCTION("""COMPUTED_VALUE"""),"")</f>
        <v/>
      </c>
      <c r="G2542" s="42" t="str">
        <f>IFERROR(__xludf.DUMMYFUNCTION("""COMPUTED_VALUE"""),"BN JUAL BELI")</f>
        <v>BN JUAL BELI</v>
      </c>
      <c r="H2542" s="42">
        <f t="shared" si="1"/>
        <v>1196</v>
      </c>
    </row>
    <row r="2543" ht="22.5" customHeight="1">
      <c r="B2543" s="42" t="str">
        <f>IFERROR(__xludf.DUMMYFUNCTION("""COMPUTED_VALUE"""),"K/34/250225/1")</f>
        <v>K/34/250225/1</v>
      </c>
      <c r="C2543" s="42" t="str">
        <f>IFERROR(__xludf.DUMMYFUNCTION("""COMPUTED_VALUE"""),"Nibel. M. 16557/ Pengajaran")</f>
        <v>Nibel. M. 16557/ Pengajaran</v>
      </c>
      <c r="D2543" s="42"/>
      <c r="E2543" s="42"/>
      <c r="F2543" s="48" t="str">
        <f>IFERROR(__xludf.DUMMYFUNCTION("""COMPUTED_VALUE"""),"")</f>
        <v/>
      </c>
      <c r="G2543" s="42" t="str">
        <f>IFERROR(__xludf.DUMMYFUNCTION("""COMPUTED_VALUE"""),"BN jual Beli")</f>
        <v>BN jual Beli</v>
      </c>
      <c r="H2543" s="42">
        <f t="shared" si="1"/>
        <v>1196</v>
      </c>
    </row>
    <row r="2544" ht="22.5" customHeight="1">
      <c r="B2544" s="42" t="str">
        <f>IFERROR(__xludf.DUMMYFUNCTION("""COMPUTED_VALUE"""),"K/35/250225/1")</f>
        <v>K/35/250225/1</v>
      </c>
      <c r="C2544" s="42" t="str">
        <f>IFERROR(__xludf.DUMMYFUNCTION("""COMPUTED_VALUE"""),"B.312/LABUHAN RATU RAYA")</f>
        <v>B.312/LABUHAN RATU RAYA</v>
      </c>
      <c r="D2544" s="42"/>
      <c r="E2544" s="42" t="str">
        <f>IFERROR(__xludf.DUMMYFUNCTION("""COMPUTED_VALUE"""),"DISERAHKAN")</f>
        <v>DISERAHKAN</v>
      </c>
      <c r="F2544" s="48">
        <f>IFERROR(__xludf.DUMMYFUNCTION("""COMPUTED_VALUE"""),45720.549205856485)</f>
        <v>45720.54921</v>
      </c>
      <c r="G2544" s="42" t="str">
        <f>IFERROR(__xludf.DUMMYFUNCTION("""COMPUTED_VALUE"""),"JUAL BELI ")</f>
        <v>JUAL BELI </v>
      </c>
      <c r="H2544" s="42">
        <f t="shared" si="1"/>
        <v>1197</v>
      </c>
    </row>
    <row r="2545" ht="22.5" customHeight="1">
      <c r="B2545" s="42" t="str">
        <f>IFERROR(__xludf.DUMMYFUNCTION("""COMPUTED_VALUE"""),"K/36/250225/2")</f>
        <v>K/36/250225/2</v>
      </c>
      <c r="C2545" s="42" t="str">
        <f>IFERROR(__xludf.DUMMYFUNCTION("""COMPUTED_VALUE"""),"M.1850/RAJABASA NUNYAI")</f>
        <v>M.1850/RAJABASA NUNYAI</v>
      </c>
      <c r="D2545" s="42" t="str">
        <f>IFERROR(__xludf.DUMMYFUNCTION("""COMPUTED_VALUE"""),"Berry")</f>
        <v>Berry</v>
      </c>
      <c r="E2545" s="42" t="str">
        <f>IFERROR(__xludf.DUMMYFUNCTION("""COMPUTED_VALUE"""),"DISERAHKAN")</f>
        <v>DISERAHKAN</v>
      </c>
      <c r="F2545" s="48">
        <f>IFERROR(__xludf.DUMMYFUNCTION("""COMPUTED_VALUE"""),45819.82723524305)</f>
        <v>45819.82724</v>
      </c>
      <c r="G2545" s="42" t="str">
        <f>IFERROR(__xludf.DUMMYFUNCTION("""COMPUTED_VALUE"""),"HIBAH")</f>
        <v>HIBAH</v>
      </c>
      <c r="H2545" s="42">
        <f t="shared" si="1"/>
        <v>1198</v>
      </c>
    </row>
    <row r="2546" ht="22.5" customHeight="1">
      <c r="B2546" s="42" t="str">
        <f>IFERROR(__xludf.DUMMYFUNCTION("""COMPUTED_VALUE"""),"K/39/250225/3")</f>
        <v>K/39/250225/3</v>
      </c>
      <c r="C2546" s="42" t="str">
        <f>IFERROR(__xludf.DUMMYFUNCTION("""COMPUTED_VALUE"""),"M. 573/ Korpri Jaya")</f>
        <v>M. 573/ Korpri Jaya</v>
      </c>
      <c r="D2546" s="42"/>
      <c r="E2546" s="42" t="str">
        <f>IFERROR(__xludf.DUMMYFUNCTION("""COMPUTED_VALUE"""),"DISERAHKAN")</f>
        <v>DISERAHKAN</v>
      </c>
      <c r="F2546" s="48">
        <f>IFERROR(__xludf.DUMMYFUNCTION("""COMPUTED_VALUE"""),45730.39795537037)</f>
        <v>45730.39796</v>
      </c>
      <c r="G2546" s="42" t="str">
        <f>IFERROR(__xludf.DUMMYFUNCTION("""COMPUTED_VALUE"""),"BN Jual Beli")</f>
        <v>BN Jual Beli</v>
      </c>
      <c r="H2546" s="42">
        <f t="shared" si="1"/>
        <v>1199</v>
      </c>
    </row>
    <row r="2547" ht="22.5" customHeight="1">
      <c r="B2547" s="42" t="str">
        <f>IFERROR(__xludf.DUMMYFUNCTION("""COMPUTED_VALUE"""),"K/37/250225/1")</f>
        <v>K/37/250225/1</v>
      </c>
      <c r="C2547" s="42" t="str">
        <f>IFERROR(__xludf.DUMMYFUNCTION("""COMPUTED_VALUE"""),"M. 80/ Korpri Jaya")</f>
        <v>M. 80/ Korpri Jaya</v>
      </c>
      <c r="D2547" s="42"/>
      <c r="E2547" s="42" t="str">
        <f>IFERROR(__xludf.DUMMYFUNCTION("""COMPUTED_VALUE"""),"DISERAHKAN")</f>
        <v>DISERAHKAN</v>
      </c>
      <c r="F2547" s="48">
        <f>IFERROR(__xludf.DUMMYFUNCTION("""COMPUTED_VALUE"""),45722.504630752315)</f>
        <v>45722.50463</v>
      </c>
      <c r="G2547" s="42" t="str">
        <f>IFERROR(__xludf.DUMMYFUNCTION("""COMPUTED_VALUE"""),"BN Jual Beli")</f>
        <v>BN Jual Beli</v>
      </c>
      <c r="H2547" s="42">
        <f t="shared" si="1"/>
        <v>1200</v>
      </c>
    </row>
    <row r="2548" ht="22.5" customHeight="1">
      <c r="B2548" s="42" t="str">
        <f>IFERROR(__xludf.DUMMYFUNCTION("""COMPUTED_VALUE"""),"K/40/250225/1")</f>
        <v>K/40/250225/1</v>
      </c>
      <c r="C2548" s="42" t="str">
        <f>IFERROR(__xludf.DUMMYFUNCTION("""COMPUTED_VALUE"""),"PBT. 401/2021/ LABUHAN DALAM")</f>
        <v>PBT. 401/2021/ LABUHAN DALAM</v>
      </c>
      <c r="D2548" s="42"/>
      <c r="E2548" s="42"/>
      <c r="F2548" s="48" t="str">
        <f>IFERROR(__xludf.DUMMYFUNCTION("""COMPUTED_VALUE"""),"")</f>
        <v/>
      </c>
      <c r="G2548" s="42" t="str">
        <f>IFERROR(__xludf.DUMMYFUNCTION("""COMPUTED_VALUE"""),"PTPGT")</f>
        <v>PTPGT</v>
      </c>
      <c r="H2548" s="42">
        <f t="shared" si="1"/>
        <v>1200</v>
      </c>
    </row>
    <row r="2549" ht="22.5" customHeight="1">
      <c r="B2549" s="42" t="str">
        <f>IFERROR(__xludf.DUMMYFUNCTION("""COMPUTED_VALUE"""),"K/38/250225/2")</f>
        <v>K/38/250225/2</v>
      </c>
      <c r="C2549" s="42" t="str">
        <f>IFERROR(__xludf.DUMMYFUNCTION("""COMPUTED_VALUE"""),"M. 07/ Korpri Jaya")</f>
        <v>M. 07/ Korpri Jaya</v>
      </c>
      <c r="D2549" s="42"/>
      <c r="E2549" s="42" t="str">
        <f>IFERROR(__xludf.DUMMYFUNCTION("""COMPUTED_VALUE"""),"DISERAHKAN")</f>
        <v>DISERAHKAN</v>
      </c>
      <c r="F2549" s="48">
        <f>IFERROR(__xludf.DUMMYFUNCTION("""COMPUTED_VALUE"""),45775.606803206014)</f>
        <v>45775.6068</v>
      </c>
      <c r="G2549" s="42" t="str">
        <f>IFERROR(__xludf.DUMMYFUNCTION("""COMPUTED_VALUE"""),"BN Jual Beli")</f>
        <v>BN Jual Beli</v>
      </c>
      <c r="H2549" s="42">
        <f t="shared" si="1"/>
        <v>1201</v>
      </c>
    </row>
    <row r="2550" ht="22.5" customHeight="1">
      <c r="B2550" s="42" t="str">
        <f>IFERROR(__xludf.DUMMYFUNCTION("""COMPUTED_VALUE"""),"K/41/250225/1")</f>
        <v>K/41/250225/1</v>
      </c>
      <c r="C2550" s="42" t="str">
        <f>IFERROR(__xludf.DUMMYFUNCTION("""COMPUTED_VALUE"""),"M. 1072/ Rajabasa Pemuka")</f>
        <v>M. 1072/ Rajabasa Pemuka</v>
      </c>
      <c r="D2550" s="42" t="str">
        <f>IFERROR(__xludf.DUMMYFUNCTION("""COMPUTED_VALUE"""),"Berry")</f>
        <v>Berry</v>
      </c>
      <c r="E2550" s="42" t="str">
        <f>IFERROR(__xludf.DUMMYFUNCTION("""COMPUTED_VALUE"""),"DISERAHKAN")</f>
        <v>DISERAHKAN</v>
      </c>
      <c r="F2550" s="48">
        <f>IFERROR(__xludf.DUMMYFUNCTION("""COMPUTED_VALUE"""),45812.596493819445)</f>
        <v>45812.59649</v>
      </c>
      <c r="G2550" s="42" t="str">
        <f>IFERROR(__xludf.DUMMYFUNCTION("""COMPUTED_VALUE"""),"BN JUAL BELI")</f>
        <v>BN JUAL BELI</v>
      </c>
      <c r="H2550" s="42">
        <f t="shared" si="1"/>
        <v>1202</v>
      </c>
    </row>
    <row r="2551" ht="22.5" customHeight="1">
      <c r="B2551" s="42" t="str">
        <f>IFERROR(__xludf.DUMMYFUNCTION("""COMPUTED_VALUE""")," K/42/250225/2")</f>
        <v> K/42/250225/2</v>
      </c>
      <c r="C2551" s="42" t="str">
        <f>IFERROR(__xludf.DUMMYFUNCTION("""COMPUTED_VALUE"""),"M. 4673/ Rajabasa Jaya")</f>
        <v>M. 4673/ Rajabasa Jaya</v>
      </c>
      <c r="D2551" s="42"/>
      <c r="E2551" s="42" t="str">
        <f>IFERROR(__xludf.DUMMYFUNCTION("""COMPUTED_VALUE"""),"DISERAHKAN")</f>
        <v>DISERAHKAN</v>
      </c>
      <c r="F2551" s="48">
        <f>IFERROR(__xludf.DUMMYFUNCTION("""COMPUTED_VALUE"""),45736.60853150463)</f>
        <v>45736.60853</v>
      </c>
      <c r="G2551" s="42" t="str">
        <f>IFERROR(__xludf.DUMMYFUNCTION("""COMPUTED_VALUE"""),"BN JUAL BELI")</f>
        <v>BN JUAL BELI</v>
      </c>
      <c r="H2551" s="42">
        <f t="shared" si="1"/>
        <v>1203</v>
      </c>
    </row>
    <row r="2552" ht="22.5" customHeight="1">
      <c r="B2552" s="42" t="str">
        <f>IFERROR(__xludf.DUMMYFUNCTION("""COMPUTED_VALUE"""),"K/43/250225/1")</f>
        <v>K/43/250225/1</v>
      </c>
      <c r="C2552" s="42" t="str">
        <f>IFERROR(__xludf.DUMMYFUNCTION("""COMPUTED_VALUE"""),"B. 345/ Kemiling Permai")</f>
        <v>B. 345/ Kemiling Permai</v>
      </c>
      <c r="D2552" s="42"/>
      <c r="E2552" s="42" t="str">
        <f>IFERROR(__xludf.DUMMYFUNCTION("""COMPUTED_VALUE"""),"DISERAHKAN")</f>
        <v>DISERAHKAN</v>
      </c>
      <c r="F2552" s="48">
        <f>IFERROR(__xludf.DUMMYFUNCTION("""COMPUTED_VALUE"""),45722.503363738426)</f>
        <v>45722.50336</v>
      </c>
      <c r="G2552" s="42" t="str">
        <f>IFERROR(__xludf.DUMMYFUNCTION("""COMPUTED_VALUE"""),"BN JUAL BELI")</f>
        <v>BN JUAL BELI</v>
      </c>
      <c r="H2552" s="42">
        <f t="shared" si="1"/>
        <v>1204</v>
      </c>
    </row>
    <row r="2553" ht="22.5" customHeight="1">
      <c r="B2553" s="42" t="str">
        <f>IFERROR(__xludf.DUMMYFUNCTION("""COMPUTED_VALUE"""),"K/44/250225/1")</f>
        <v>K/44/250225/1</v>
      </c>
      <c r="C2553" s="42" t="str">
        <f>IFERROR(__xludf.DUMMYFUNCTION("""COMPUTED_VALUE"""),"B.600/SUMBER AGUNG")</f>
        <v>B.600/SUMBER AGUNG</v>
      </c>
      <c r="D2553" s="42"/>
      <c r="E2553" s="42" t="str">
        <f>IFERROR(__xludf.DUMMYFUNCTION("""COMPUTED_VALUE"""),"DISERAHKAN")</f>
        <v>DISERAHKAN</v>
      </c>
      <c r="F2553" s="48">
        <f>IFERROR(__xludf.DUMMYFUNCTION("""COMPUTED_VALUE"""),45758.47464825232)</f>
        <v>45758.47465</v>
      </c>
      <c r="G2553" s="42" t="str">
        <f>IFERROR(__xludf.DUMMYFUNCTION("""COMPUTED_VALUE"""),"JUAL BELI")</f>
        <v>JUAL BELI</v>
      </c>
      <c r="H2553" s="42">
        <f t="shared" si="1"/>
        <v>1205</v>
      </c>
    </row>
    <row r="2554" ht="22.5" customHeight="1">
      <c r="B2554" s="42" t="str">
        <f>IFERROR(__xludf.DUMMYFUNCTION("""COMPUTED_VALUE"""),"K/45/250225/1")</f>
        <v>K/45/250225/1</v>
      </c>
      <c r="C2554" s="42" t="str">
        <f>IFERROR(__xludf.DUMMYFUNCTION("""COMPUTED_VALUE"""),"M. 5615/TANJUNG SENANG")</f>
        <v>M. 5615/TANJUNG SENANG</v>
      </c>
      <c r="D2554" s="42"/>
      <c r="E2554" s="42"/>
      <c r="F2554" s="48" t="str">
        <f>IFERROR(__xludf.DUMMYFUNCTION("""COMPUTED_VALUE"""),"")</f>
        <v/>
      </c>
      <c r="G2554" s="42" t="str">
        <f>IFERROR(__xludf.DUMMYFUNCTION("""COMPUTED_VALUE"""),"HAPUS BPHTB")</f>
        <v>HAPUS BPHTB</v>
      </c>
      <c r="H2554" s="42">
        <f t="shared" si="1"/>
        <v>1205</v>
      </c>
    </row>
    <row r="2555" ht="22.5" customHeight="1">
      <c r="B2555" s="42" t="str">
        <f>IFERROR(__xludf.DUMMYFUNCTION("""COMPUTED_VALUE"""),"K/46/250225/1")</f>
        <v>K/46/250225/1</v>
      </c>
      <c r="C2555" s="42" t="str">
        <f>IFERROR(__xludf.DUMMYFUNCTION("""COMPUTED_VALUE"""),"M. 1568/ Labuhan Ratu Raya")</f>
        <v>M. 1568/ Labuhan Ratu Raya</v>
      </c>
      <c r="D2555" s="42"/>
      <c r="E2555" s="42" t="str">
        <f>IFERROR(__xludf.DUMMYFUNCTION("""COMPUTED_VALUE"""),"DISERAHKAN")</f>
        <v>DISERAHKAN</v>
      </c>
      <c r="F2555" s="48">
        <f>IFERROR(__xludf.DUMMYFUNCTION("""COMPUTED_VALUE"""),45723.47190903935)</f>
        <v>45723.47191</v>
      </c>
      <c r="G2555" s="42" t="str">
        <f>IFERROR(__xludf.DUMMYFUNCTION("""COMPUTED_VALUE"""),"BN JUAL BELI")</f>
        <v>BN JUAL BELI</v>
      </c>
      <c r="H2555" s="42">
        <f t="shared" si="1"/>
        <v>1206</v>
      </c>
    </row>
    <row r="2556" ht="22.5" customHeight="1">
      <c r="B2556" s="42" t="str">
        <f>IFERROR(__xludf.DUMMYFUNCTION("""COMPUTED_VALUE"""),"L/47/250225/1")</f>
        <v>L/47/250225/1</v>
      </c>
      <c r="C2556" s="42" t="str">
        <f>IFERROR(__xludf.DUMMYFUNCTION("""COMPUTED_VALUE"""),"HM 753/GEDONG AIR")</f>
        <v>HM 753/GEDONG AIR</v>
      </c>
      <c r="D2556" s="42" t="str">
        <f>IFERROR(__xludf.DUMMYFUNCTION("""COMPUTED_VALUE"""),"David")</f>
        <v>David</v>
      </c>
      <c r="E2556" s="42" t="str">
        <f>IFERROR(__xludf.DUMMYFUNCTION("""COMPUTED_VALUE"""),"DISERAHKAN")</f>
        <v>DISERAHKAN</v>
      </c>
      <c r="F2556" s="48">
        <f>IFERROR(__xludf.DUMMYFUNCTION("""COMPUTED_VALUE"""),45833.66311902778)</f>
        <v>45833.66312</v>
      </c>
      <c r="G2556" s="42" t="str">
        <f>IFERROR(__xludf.DUMMYFUNCTION("""COMPUTED_VALUE"""),"MERGER HT")</f>
        <v>MERGER HT</v>
      </c>
      <c r="H2556" s="42">
        <f t="shared" si="1"/>
        <v>1207</v>
      </c>
    </row>
    <row r="2557" ht="22.5" customHeight="1">
      <c r="B2557" s="42" t="str">
        <f>IFERROR(__xludf.DUMMYFUNCTION("""COMPUTED_VALUE"""),"K/48/250225/1")</f>
        <v>K/48/250225/1</v>
      </c>
      <c r="C2557" s="42" t="str">
        <f>IFERROR(__xludf.DUMMYFUNCTION("""COMPUTED_VALUE""")," Nibel 17613/ Sumur Putri")</f>
        <v> Nibel 17613/ Sumur Putri</v>
      </c>
      <c r="D2557" s="42"/>
      <c r="E2557" s="42"/>
      <c r="F2557" s="48" t="str">
        <f>IFERROR(__xludf.DUMMYFUNCTION("""COMPUTED_VALUE"""),"")</f>
        <v/>
      </c>
      <c r="G2557" s="42" t="str">
        <f>IFERROR(__xludf.DUMMYFUNCTION("""COMPUTED_VALUE"""),"PERUBAHAN HAK")</f>
        <v>PERUBAHAN HAK</v>
      </c>
      <c r="H2557" s="42">
        <f t="shared" si="1"/>
        <v>1207</v>
      </c>
    </row>
    <row r="2558" ht="22.5" customHeight="1">
      <c r="B2558" s="42" t="str">
        <f>IFERROR(__xludf.DUMMYFUNCTION("""COMPUTED_VALUE"""),"K/49/250225/1")</f>
        <v>K/49/250225/1</v>
      </c>
      <c r="C2558" s="42" t="str">
        <f>IFERROR(__xludf.DUMMYFUNCTION("""COMPUTED_VALUE"""),"M. 1375/ Batu Putuk")</f>
        <v>M. 1375/ Batu Putuk</v>
      </c>
      <c r="D2558" s="42"/>
      <c r="E2558" s="42"/>
      <c r="F2558" s="48" t="str">
        <f>IFERROR(__xludf.DUMMYFUNCTION("""COMPUTED_VALUE"""),"")</f>
        <v/>
      </c>
      <c r="G2558" s="42" t="str">
        <f>IFERROR(__xludf.DUMMYFUNCTION("""COMPUTED_VALUE"""),"Hapus BPHTB")</f>
        <v>Hapus BPHTB</v>
      </c>
      <c r="H2558" s="42">
        <f t="shared" si="1"/>
        <v>1207</v>
      </c>
    </row>
    <row r="2559" ht="22.5" customHeight="1">
      <c r="B2559" s="42" t="str">
        <f>IFERROR(__xludf.DUMMYFUNCTION("""COMPUTED_VALUE"""),"K/42/210225/3")</f>
        <v>K/42/210225/3</v>
      </c>
      <c r="C2559" s="42" t="str">
        <f>IFERROR(__xludf.DUMMYFUNCTION("""COMPUTED_VALUE"""),"M. 11346 / SUKARAME")</f>
        <v>M. 11346 / SUKARAME</v>
      </c>
      <c r="D2559" s="42"/>
      <c r="E2559" s="42"/>
      <c r="F2559" s="48" t="str">
        <f>IFERROR(__xludf.DUMMYFUNCTION("""COMPUTED_VALUE"""),"")</f>
        <v/>
      </c>
      <c r="G2559" s="42" t="str">
        <f>IFERROR(__xludf.DUMMYFUNCTION("""COMPUTED_VALUE"""),"PEMECAHAN")</f>
        <v>PEMECAHAN</v>
      </c>
      <c r="H2559" s="42">
        <f t="shared" si="1"/>
        <v>1207</v>
      </c>
    </row>
    <row r="2560" ht="22.5" customHeight="1">
      <c r="B2560" s="42" t="str">
        <f>IFERROR(__xludf.DUMMYFUNCTION("""COMPUTED_VALUE"""),"K/1/260225/1")</f>
        <v>K/1/260225/1</v>
      </c>
      <c r="C2560" s="42" t="str">
        <f>IFERROR(__xludf.DUMMYFUNCTION("""COMPUTED_VALUE"""),"M. 2512/ Keteguhan")</f>
        <v>M. 2512/ Keteguhan</v>
      </c>
      <c r="D2560" s="42"/>
      <c r="E2560" s="42" t="str">
        <f>IFERROR(__xludf.DUMMYFUNCTION("""COMPUTED_VALUE"""),"DISERAHKAN")</f>
        <v>DISERAHKAN</v>
      </c>
      <c r="F2560" s="48">
        <f>IFERROR(__xludf.DUMMYFUNCTION("""COMPUTED_VALUE"""),45722.503991087964)</f>
        <v>45722.50399</v>
      </c>
      <c r="G2560" s="42" t="str">
        <f>IFERROR(__xludf.DUMMYFUNCTION("""COMPUTED_VALUE"""),"BN Jual Beli")</f>
        <v>BN Jual Beli</v>
      </c>
      <c r="H2560" s="42">
        <f t="shared" si="1"/>
        <v>1208</v>
      </c>
    </row>
    <row r="2561" ht="22.5" customHeight="1">
      <c r="B2561" s="42" t="str">
        <f>IFERROR(__xludf.DUMMYFUNCTION("""COMPUTED_VALUE"""),"K/2/260225/1")</f>
        <v>K/2/260225/1</v>
      </c>
      <c r="C2561" s="42" t="str">
        <f>IFERROR(__xludf.DUMMYFUNCTION("""COMPUTED_VALUE"""),"M. 121/ Korpri Jaya")</f>
        <v>M. 121/ Korpri Jaya</v>
      </c>
      <c r="D2561" s="42"/>
      <c r="E2561" s="42" t="str">
        <f>IFERROR(__xludf.DUMMYFUNCTION("""COMPUTED_VALUE"""),"DISERAHKAN")</f>
        <v>DISERAHKAN</v>
      </c>
      <c r="F2561" s="48">
        <f>IFERROR(__xludf.DUMMYFUNCTION("""COMPUTED_VALUE"""),45733.59272556713)</f>
        <v>45733.59273</v>
      </c>
      <c r="G2561" s="42" t="str">
        <f>IFERROR(__xludf.DUMMYFUNCTION("""COMPUTED_VALUE"""),"BN JUAL BELI")</f>
        <v>BN JUAL BELI</v>
      </c>
      <c r="H2561" s="42">
        <f t="shared" si="1"/>
        <v>1209</v>
      </c>
    </row>
    <row r="2562" ht="22.5" customHeight="1">
      <c r="B2562" s="42" t="str">
        <f>IFERROR(__xludf.DUMMYFUNCTION("""COMPUTED_VALUE"""),"L/3/260225/1")</f>
        <v>L/3/260225/1</v>
      </c>
      <c r="C2562" s="42" t="str">
        <f>IFERROR(__xludf.DUMMYFUNCTION("""COMPUTED_VALUE"""),"HGB 3644/BERINGIN RAYA")</f>
        <v>HGB 3644/BERINGIN RAYA</v>
      </c>
      <c r="D2562" s="42"/>
      <c r="E2562" s="42" t="str">
        <f>IFERROR(__xludf.DUMMYFUNCTION("""COMPUTED_VALUE"""),"DISERAHKAN")</f>
        <v>DISERAHKAN</v>
      </c>
      <c r="F2562" s="48">
        <f>IFERROR(__xludf.DUMMYFUNCTION("""COMPUTED_VALUE"""),45730.37724262731)</f>
        <v>45730.37724</v>
      </c>
      <c r="G2562" s="42" t="str">
        <f>IFERROR(__xludf.DUMMYFUNCTION("""COMPUTED_VALUE"""),"ROYA")</f>
        <v>ROYA</v>
      </c>
      <c r="H2562" s="42">
        <f t="shared" si="1"/>
        <v>1210</v>
      </c>
    </row>
    <row r="2563" ht="22.5" customHeight="1">
      <c r="B2563" s="42" t="str">
        <f>IFERROR(__xludf.DUMMYFUNCTION("""COMPUTED_VALUE"""),"K/4/260225/1")</f>
        <v>K/4/260225/1</v>
      </c>
      <c r="C2563" s="42" t="str">
        <f>IFERROR(__xludf.DUMMYFUNCTION("""COMPUTED_VALUE"""),"Nibel 12235/ Labuhan Ratu")</f>
        <v>Nibel 12235/ Labuhan Ratu</v>
      </c>
      <c r="D2563" s="42"/>
      <c r="E2563" s="42"/>
      <c r="F2563" s="48" t="str">
        <f>IFERROR(__xludf.DUMMYFUNCTION("""COMPUTED_VALUE"""),"")</f>
        <v/>
      </c>
      <c r="G2563" s="42" t="str">
        <f>IFERROR(__xludf.DUMMYFUNCTION("""COMPUTED_VALUE"""),"BN PHB")</f>
        <v>BN PHB</v>
      </c>
      <c r="H2563" s="42">
        <f t="shared" si="1"/>
        <v>1210</v>
      </c>
    </row>
    <row r="2564" ht="22.5" customHeight="1">
      <c r="B2564" s="42" t="str">
        <f>IFERROR(__xludf.DUMMYFUNCTION("""COMPUTED_VALUE"""),"K/5/260225/1")</f>
        <v>K/5/260225/1</v>
      </c>
      <c r="C2564" s="42" t="str">
        <f>IFERROR(__xludf.DUMMYFUNCTION("""COMPUTED_VALUE"""),"BILABONG JAYA")</f>
        <v>BILABONG JAYA</v>
      </c>
      <c r="D2564" s="42"/>
      <c r="E2564" s="42"/>
      <c r="F2564" s="48" t="str">
        <f>IFERROR(__xludf.DUMMYFUNCTION("""COMPUTED_VALUE"""),"")</f>
        <v/>
      </c>
      <c r="G2564" s="42" t="str">
        <f>IFERROR(__xludf.DUMMYFUNCTION("""COMPUTED_VALUE"""),"PENGUKURAN PERTAMA KALI")</f>
        <v>PENGUKURAN PERTAMA KALI</v>
      </c>
      <c r="H2564" s="42">
        <f t="shared" si="1"/>
        <v>1210</v>
      </c>
    </row>
    <row r="2565" ht="22.5" customHeight="1">
      <c r="B2565" s="42" t="str">
        <f>IFERROR(__xludf.DUMMYFUNCTION("""COMPUTED_VALUE"""),"K/7/260225/1")</f>
        <v>K/7/260225/1</v>
      </c>
      <c r="C2565" s="42" t="str">
        <f>IFERROR(__xludf.DUMMYFUNCTION("""COMPUTED_VALUE"""),"M. 2279/ sepang jaya")</f>
        <v>M. 2279/ sepang jaya</v>
      </c>
      <c r="D2565" s="42"/>
      <c r="E2565" s="42" t="str">
        <f>IFERROR(__xludf.DUMMYFUNCTION("""COMPUTED_VALUE"""),"DISERAHKAN")</f>
        <v>DISERAHKAN</v>
      </c>
      <c r="F2565" s="48">
        <f>IFERROR(__xludf.DUMMYFUNCTION("""COMPUTED_VALUE"""),45723.47190903935)</f>
        <v>45723.47191</v>
      </c>
      <c r="G2565" s="42" t="str">
        <f>IFERROR(__xludf.DUMMYFUNCTION("""COMPUTED_VALUE"""),"BN JUAL BELI")</f>
        <v>BN JUAL BELI</v>
      </c>
      <c r="H2565" s="42">
        <f t="shared" si="1"/>
        <v>1211</v>
      </c>
    </row>
    <row r="2566" ht="22.5" customHeight="1">
      <c r="B2566" s="42" t="str">
        <f>IFERROR(__xludf.DUMMYFUNCTION("""COMPUTED_VALUE"""),"K/8/260225/2")</f>
        <v>K/8/260225/2</v>
      </c>
      <c r="C2566" s="42" t="str">
        <f>IFERROR(__xludf.DUMMYFUNCTION("""COMPUTED_VALUE"""),"Nibel 364/ Gunung Sulah")</f>
        <v>Nibel 364/ Gunung Sulah</v>
      </c>
      <c r="D2566" s="42"/>
      <c r="E2566" s="42"/>
      <c r="F2566" s="48" t="str">
        <f>IFERROR(__xludf.DUMMYFUNCTION("""COMPUTED_VALUE"""),"")</f>
        <v/>
      </c>
      <c r="G2566" s="42" t="str">
        <f>IFERROR(__xludf.DUMMYFUNCTION("""COMPUTED_VALUE"""),"BN JUAL BELI")</f>
        <v>BN JUAL BELI</v>
      </c>
      <c r="H2566" s="42">
        <f t="shared" si="1"/>
        <v>1211</v>
      </c>
    </row>
    <row r="2567" ht="22.5" customHeight="1">
      <c r="B2567" s="42" t="str">
        <f>IFERROR(__xludf.DUMMYFUNCTION("""COMPUTED_VALUE"""),"K/9/260225/1")</f>
        <v>K/9/260225/1</v>
      </c>
      <c r="C2567" s="42" t="str">
        <f>IFERROR(__xludf.DUMMYFUNCTION("""COMPUTED_VALUE"""),"M. 1238/ Beringin Jaya")</f>
        <v>M. 1238/ Beringin Jaya</v>
      </c>
      <c r="D2567" s="42"/>
      <c r="E2567" s="42" t="str">
        <f>IFERROR(__xludf.DUMMYFUNCTION("""COMPUTED_VALUE"""),"DISERAHKAN")</f>
        <v>DISERAHKAN</v>
      </c>
      <c r="F2567" s="48">
        <f>IFERROR(__xludf.DUMMYFUNCTION("""COMPUTED_VALUE"""),45722.50826793982)</f>
        <v>45722.50827</v>
      </c>
      <c r="G2567" s="42" t="str">
        <f>IFERROR(__xludf.DUMMYFUNCTION("""COMPUTED_VALUE"""),"Ganti Nama")</f>
        <v>Ganti Nama</v>
      </c>
      <c r="H2567" s="42">
        <f t="shared" si="1"/>
        <v>1212</v>
      </c>
    </row>
    <row r="2568" ht="22.5" customHeight="1">
      <c r="B2568" s="42" t="str">
        <f>IFERROR(__xludf.DUMMYFUNCTION("""COMPUTED_VALUE"""),"K/12/260225/1")</f>
        <v>K/12/260225/1</v>
      </c>
      <c r="C2568" s="42" t="str">
        <f>IFERROR(__xludf.DUMMYFUNCTION("""COMPUTED_VALUE"""),"M.611/SAWAH BREBES")</f>
        <v>M.611/SAWAH BREBES</v>
      </c>
      <c r="D2568" s="42"/>
      <c r="E2568" s="42"/>
      <c r="F2568" s="48" t="str">
        <f>IFERROR(__xludf.DUMMYFUNCTION("""COMPUTED_VALUE"""),"")</f>
        <v/>
      </c>
      <c r="G2568" s="42" t="str">
        <f>IFERROR(__xludf.DUMMYFUNCTION("""COMPUTED_VALUE"""),"JUAL BELI")</f>
        <v>JUAL BELI</v>
      </c>
      <c r="H2568" s="42">
        <f t="shared" si="1"/>
        <v>1212</v>
      </c>
    </row>
    <row r="2569" ht="22.5" customHeight="1">
      <c r="B2569" s="42" t="str">
        <f>IFERROR(__xludf.DUMMYFUNCTION("""COMPUTED_VALUE"""),"K/10/260225/2")</f>
        <v>K/10/260225/2</v>
      </c>
      <c r="C2569" s="42" t="str">
        <f>IFERROR(__xludf.DUMMYFUNCTION("""COMPUTED_VALUE"""),"M. 1830/ Beringin Jaya")</f>
        <v>M. 1830/ Beringin Jaya</v>
      </c>
      <c r="D2569" s="42"/>
      <c r="E2569" s="42" t="str">
        <f>IFERROR(__xludf.DUMMYFUNCTION("""COMPUTED_VALUE"""),"DISERAHKAN")</f>
        <v>DISERAHKAN</v>
      </c>
      <c r="F2569" s="48">
        <f>IFERROR(__xludf.DUMMYFUNCTION("""COMPUTED_VALUE"""),45722.50519106482)</f>
        <v>45722.50519</v>
      </c>
      <c r="G2569" s="42" t="str">
        <f>IFERROR(__xludf.DUMMYFUNCTION("""COMPUTED_VALUE"""),"Ganti Nama")</f>
        <v>Ganti Nama</v>
      </c>
      <c r="H2569" s="42">
        <f t="shared" si="1"/>
        <v>1213</v>
      </c>
    </row>
    <row r="2570" ht="22.5" customHeight="1">
      <c r="B2570" s="42" t="str">
        <f>IFERROR(__xludf.DUMMYFUNCTION("""COMPUTED_VALUE"""),"K/11/260225/3")</f>
        <v>K/11/260225/3</v>
      </c>
      <c r="C2570" s="42" t="str">
        <f>IFERROR(__xludf.DUMMYFUNCTION("""COMPUTED_VALUE"""),"M. 1831/ Beringin Jaya")</f>
        <v>M. 1831/ Beringin Jaya</v>
      </c>
      <c r="D2570" s="42"/>
      <c r="E2570" s="42" t="str">
        <f>IFERROR(__xludf.DUMMYFUNCTION("""COMPUTED_VALUE"""),"DISERAHKAN")</f>
        <v>DISERAHKAN</v>
      </c>
      <c r="F2570" s="48">
        <f>IFERROR(__xludf.DUMMYFUNCTION("""COMPUTED_VALUE"""),45730.39662608797)</f>
        <v>45730.39663</v>
      </c>
      <c r="G2570" s="42" t="str">
        <f>IFERROR(__xludf.DUMMYFUNCTION("""COMPUTED_VALUE"""),"Ganti Nama")</f>
        <v>Ganti Nama</v>
      </c>
      <c r="H2570" s="42">
        <f t="shared" si="1"/>
        <v>1214</v>
      </c>
    </row>
    <row r="2571" ht="22.5" customHeight="1">
      <c r="B2571" s="42" t="str">
        <f>IFERROR(__xludf.DUMMYFUNCTION("""COMPUTED_VALUE"""),"K/13/260225/1")</f>
        <v>K/13/260225/1</v>
      </c>
      <c r="C2571" s="42" t="str">
        <f>IFERROR(__xludf.DUMMYFUNCTION("""COMPUTED_VALUE"""),"Nibel. M. 3427/ Sukabumi")</f>
        <v>Nibel. M. 3427/ Sukabumi</v>
      </c>
      <c r="D2571" s="42"/>
      <c r="E2571" s="42"/>
      <c r="F2571" s="48" t="str">
        <f>IFERROR(__xludf.DUMMYFUNCTION("""COMPUTED_VALUE"""),"")</f>
        <v/>
      </c>
      <c r="G2571" s="42" t="str">
        <f>IFERROR(__xludf.DUMMYFUNCTION("""COMPUTED_VALUE"""),"BN Jual Beli")</f>
        <v>BN Jual Beli</v>
      </c>
      <c r="H2571" s="42">
        <f t="shared" si="1"/>
        <v>1214</v>
      </c>
    </row>
    <row r="2572" ht="22.5" customHeight="1">
      <c r="B2572" s="42" t="str">
        <f>IFERROR(__xludf.DUMMYFUNCTION("""COMPUTED_VALUE"""),"L/14/260225/1")</f>
        <v>L/14/260225/1</v>
      </c>
      <c r="C2572" s="42" t="str">
        <f>IFERROR(__xludf.DUMMYFUNCTION("""COMPUTED_VALUE"""),"HM 4323")</f>
        <v>HM 4323</v>
      </c>
      <c r="D2572" s="42"/>
      <c r="E2572" s="42" t="str">
        <f>IFERROR(__xludf.DUMMYFUNCTION("""COMPUTED_VALUE"""),"DISERAHKAN")</f>
        <v>DISERAHKAN</v>
      </c>
      <c r="F2572" s="48">
        <f>IFERROR(__xludf.DUMMYFUNCTION("""COMPUTED_VALUE"""),45730.37285003472)</f>
        <v>45730.37285</v>
      </c>
      <c r="G2572" s="42" t="str">
        <f>IFERROR(__xludf.DUMMYFUNCTION("""COMPUTED_VALUE"""),"ROYA")</f>
        <v>ROYA</v>
      </c>
      <c r="H2572" s="42">
        <f t="shared" si="1"/>
        <v>1215</v>
      </c>
    </row>
    <row r="2573" ht="22.5" customHeight="1">
      <c r="B2573" s="42" t="str">
        <f>IFERROR(__xludf.DUMMYFUNCTION("""COMPUTED_VALUE"""),"L/15/260225/1")</f>
        <v>L/15/260225/1</v>
      </c>
      <c r="C2573" s="42" t="str">
        <f>IFERROR(__xludf.DUMMYFUNCTION("""COMPUTED_VALUE"""),"KETEGUHAN")</f>
        <v>KETEGUHAN</v>
      </c>
      <c r="D2573" s="42"/>
      <c r="E2573" s="42"/>
      <c r="F2573" s="48" t="str">
        <f>IFERROR(__xludf.DUMMYFUNCTION("""COMPUTED_VALUE"""),"")</f>
        <v/>
      </c>
      <c r="G2573" s="42" t="str">
        <f>IFERROR(__xludf.DUMMYFUNCTION("""COMPUTED_VALUE"""),"TANAH MENTAH")</f>
        <v>TANAH MENTAH</v>
      </c>
      <c r="H2573" s="42">
        <f t="shared" si="1"/>
        <v>1215</v>
      </c>
    </row>
    <row r="2574" ht="22.5" customHeight="1">
      <c r="B2574" s="42" t="str">
        <f>IFERROR(__xludf.DUMMYFUNCTION("""COMPUTED_VALUE"""),"K/16/260225/1")</f>
        <v>K/16/260225/1</v>
      </c>
      <c r="C2574" s="42" t="str">
        <f>IFERROR(__xludf.DUMMYFUNCTION("""COMPUTED_VALUE"""),"M. 2849/ Sukarame Baru")</f>
        <v>M. 2849/ Sukarame Baru</v>
      </c>
      <c r="D2574" s="42"/>
      <c r="E2574" s="42" t="str">
        <f>IFERROR(__xludf.DUMMYFUNCTION("""COMPUTED_VALUE"""),"DISERAHKAN")</f>
        <v>DISERAHKAN</v>
      </c>
      <c r="F2574" s="48">
        <f>IFERROR(__xludf.DUMMYFUNCTION("""COMPUTED_VALUE"""),45730.39876509259)</f>
        <v>45730.39877</v>
      </c>
      <c r="G2574" s="42" t="str">
        <f>IFERROR(__xludf.DUMMYFUNCTION("""COMPUTED_VALUE"""),"BN Jual Beli")</f>
        <v>BN Jual Beli</v>
      </c>
      <c r="H2574" s="42">
        <f t="shared" si="1"/>
        <v>1216</v>
      </c>
    </row>
    <row r="2575" ht="22.5" customHeight="1">
      <c r="B2575" s="42" t="str">
        <f>IFERROR(__xludf.DUMMYFUNCTION("""COMPUTED_VALUE"""),"K/17/260225/2")</f>
        <v>K/17/260225/2</v>
      </c>
      <c r="C2575" s="42" t="str">
        <f>IFERROR(__xludf.DUMMYFUNCTION("""COMPUTED_VALUE"""),"M. 4926/ Sukadana Ham")</f>
        <v>M. 4926/ Sukadana Ham</v>
      </c>
      <c r="D2575" s="42"/>
      <c r="E2575" s="42" t="str">
        <f>IFERROR(__xludf.DUMMYFUNCTION("""COMPUTED_VALUE"""),"DISERAHKAN")</f>
        <v>DISERAHKAN</v>
      </c>
      <c r="F2575" s="48">
        <f>IFERROR(__xludf.DUMMYFUNCTION("""COMPUTED_VALUE"""),45730.39774722222)</f>
        <v>45730.39775</v>
      </c>
      <c r="G2575" s="42" t="str">
        <f>IFERROR(__xludf.DUMMYFUNCTION("""COMPUTED_VALUE"""),"BN Jual Beli")</f>
        <v>BN Jual Beli</v>
      </c>
      <c r="H2575" s="42">
        <f t="shared" si="1"/>
        <v>1217</v>
      </c>
    </row>
    <row r="2576" ht="22.5" customHeight="1">
      <c r="B2576" s="42" t="str">
        <f>IFERROR(__xludf.DUMMYFUNCTION("""COMPUTED_VALUE"""),"K/18/260225/3")</f>
        <v>K/18/260225/3</v>
      </c>
      <c r="C2576" s="42" t="str">
        <f>IFERROR(__xludf.DUMMYFUNCTION("""COMPUTED_VALUE"""),"M. 4922/ Sukadana Ham")</f>
        <v>M. 4922/ Sukadana Ham</v>
      </c>
      <c r="D2576" s="42"/>
      <c r="E2576" s="42" t="str">
        <f>IFERROR(__xludf.DUMMYFUNCTION("""COMPUTED_VALUE"""),"DISERAHKAN")</f>
        <v>DISERAHKAN</v>
      </c>
      <c r="F2576" s="48">
        <f>IFERROR(__xludf.DUMMYFUNCTION("""COMPUTED_VALUE"""),45730.39748181713)</f>
        <v>45730.39748</v>
      </c>
      <c r="G2576" s="42" t="str">
        <f>IFERROR(__xludf.DUMMYFUNCTION("""COMPUTED_VALUE"""),"BN Jual Beli")</f>
        <v>BN Jual Beli</v>
      </c>
      <c r="H2576" s="42">
        <f t="shared" si="1"/>
        <v>1218</v>
      </c>
    </row>
    <row r="2577" ht="22.5" customHeight="1">
      <c r="B2577" s="42" t="str">
        <f>IFERROR(__xludf.DUMMYFUNCTION("""COMPUTED_VALUE"""),"K/19/260225/4")</f>
        <v>K/19/260225/4</v>
      </c>
      <c r="C2577" s="42" t="str">
        <f>IFERROR(__xludf.DUMMYFUNCTION("""COMPUTED_VALUE"""),"M. 291/ Korpri Raya")</f>
        <v>M. 291/ Korpri Raya</v>
      </c>
      <c r="D2577" s="42"/>
      <c r="E2577" s="42" t="str">
        <f>IFERROR(__xludf.DUMMYFUNCTION("""COMPUTED_VALUE"""),"DISERAHKAN")</f>
        <v>DISERAHKAN</v>
      </c>
      <c r="F2577" s="48">
        <f>IFERROR(__xludf.DUMMYFUNCTION("""COMPUTED_VALUE"""),45730.39814508102)</f>
        <v>45730.39815</v>
      </c>
      <c r="G2577" s="42" t="str">
        <f>IFERROR(__xludf.DUMMYFUNCTION("""COMPUTED_VALUE"""),"BN Jual Beli")</f>
        <v>BN Jual Beli</v>
      </c>
      <c r="H2577" s="42">
        <f t="shared" si="1"/>
        <v>1219</v>
      </c>
    </row>
    <row r="2578" ht="22.5" customHeight="1">
      <c r="B2578" s="42" t="str">
        <f>IFERROR(__xludf.DUMMYFUNCTION("""COMPUTED_VALUE"""),"K/21/260225/1")</f>
        <v>K/21/260225/1</v>
      </c>
      <c r="C2578" s="42" t="str">
        <f>IFERROR(__xludf.DUMMYFUNCTION("""COMPUTED_VALUE"""),"M. 10102/ Jagabaya II")</f>
        <v>M. 10102/ Jagabaya II</v>
      </c>
      <c r="D2578" s="42"/>
      <c r="E2578" s="42" t="str">
        <f>IFERROR(__xludf.DUMMYFUNCTION("""COMPUTED_VALUE"""),"DISERAHKAN")</f>
        <v>DISERAHKAN</v>
      </c>
      <c r="F2578" s="48">
        <f>IFERROR(__xludf.DUMMYFUNCTION("""COMPUTED_VALUE"""),45769.60071221065)</f>
        <v>45769.60071</v>
      </c>
      <c r="G2578" s="42" t="str">
        <f>IFERROR(__xludf.DUMMYFUNCTION("""COMPUTED_VALUE"""),"BN JUAL BELI")</f>
        <v>BN JUAL BELI</v>
      </c>
      <c r="H2578" s="42">
        <f t="shared" si="1"/>
        <v>1220</v>
      </c>
    </row>
    <row r="2579" ht="22.5" customHeight="1">
      <c r="B2579" s="42" t="str">
        <f>IFERROR(__xludf.DUMMYFUNCTION("""COMPUTED_VALUE"""),"K/22/260225/1")</f>
        <v>K/22/260225/1</v>
      </c>
      <c r="C2579" s="42" t="str">
        <f>IFERROR(__xludf.DUMMYFUNCTION("""COMPUTED_VALUE"""),"M. 2148/ Sukarame Baru")</f>
        <v>M. 2148/ Sukarame Baru</v>
      </c>
      <c r="D2579" s="42"/>
      <c r="E2579" s="42" t="str">
        <f>IFERROR(__xludf.DUMMYFUNCTION("""COMPUTED_VALUE"""),"DISERAHKAN")</f>
        <v>DISERAHKAN</v>
      </c>
      <c r="F2579" s="48">
        <f>IFERROR(__xludf.DUMMYFUNCTION("""COMPUTED_VALUE"""),45736.60079902778)</f>
        <v>45736.6008</v>
      </c>
      <c r="G2579" s="42" t="str">
        <f>IFERROR(__xludf.DUMMYFUNCTION("""COMPUTED_VALUE"""),"BN JUAL BELI")</f>
        <v>BN JUAL BELI</v>
      </c>
      <c r="H2579" s="42">
        <f t="shared" si="1"/>
        <v>1221</v>
      </c>
    </row>
    <row r="2580" ht="22.5" customHeight="1">
      <c r="B2580" s="42" t="str">
        <f>IFERROR(__xludf.DUMMYFUNCTION("""COMPUTED_VALUE"""),"K/20/260225/1")</f>
        <v>K/20/260225/1</v>
      </c>
      <c r="C2580" s="42" t="str">
        <f>IFERROR(__xludf.DUMMYFUNCTION("""COMPUTED_VALUE"""),"Nibel. M. 16615/ Kemiling Permai")</f>
        <v>Nibel. M. 16615/ Kemiling Permai</v>
      </c>
      <c r="D2580" s="42"/>
      <c r="E2580" s="42"/>
      <c r="F2580" s="48" t="str">
        <f>IFERROR(__xludf.DUMMYFUNCTION("""COMPUTED_VALUE"""),"")</f>
        <v/>
      </c>
      <c r="G2580" s="42" t="str">
        <f>IFERROR(__xludf.DUMMYFUNCTION("""COMPUTED_VALUE"""),"BN Jual Beli")</f>
        <v>BN Jual Beli</v>
      </c>
      <c r="H2580" s="42">
        <f t="shared" si="1"/>
        <v>1221</v>
      </c>
    </row>
    <row r="2581" ht="22.5" customHeight="1">
      <c r="B2581" s="42" t="str">
        <f>IFERROR(__xludf.DUMMYFUNCTION("""COMPUTED_VALUE"""),"K/23/260225/1")</f>
        <v>K/23/260225/1</v>
      </c>
      <c r="C2581" s="42" t="str">
        <f>IFERROR(__xludf.DUMMYFUNCTION("""COMPUTED_VALUE"""),"M. 1355/ batu Putuk")</f>
        <v>M. 1355/ batu Putuk</v>
      </c>
      <c r="D2581" s="42"/>
      <c r="E2581" s="42" t="str">
        <f>IFERROR(__xludf.DUMMYFUNCTION("""COMPUTED_VALUE"""),"DISERAHKAN")</f>
        <v>DISERAHKAN</v>
      </c>
      <c r="F2581" s="48">
        <f>IFERROR(__xludf.DUMMYFUNCTION("""COMPUTED_VALUE"""),45758.47875174768)</f>
        <v>45758.47875</v>
      </c>
      <c r="G2581" s="42" t="str">
        <f>IFERROR(__xludf.DUMMYFUNCTION("""COMPUTED_VALUE"""),"BN JUAL BELI")</f>
        <v>BN JUAL BELI</v>
      </c>
      <c r="H2581" s="42">
        <f t="shared" si="1"/>
        <v>1222</v>
      </c>
    </row>
    <row r="2582" ht="22.5" customHeight="1">
      <c r="B2582" s="42" t="str">
        <f>IFERROR(__xludf.DUMMYFUNCTION("""COMPUTED_VALUE"""),"K/24/260225/1")</f>
        <v>K/24/260225/1</v>
      </c>
      <c r="C2582" s="42" t="str">
        <f>IFERROR(__xludf.DUMMYFUNCTION("""COMPUTED_VALUE"""),"Nibel 2115/ Sukarame Baru")</f>
        <v>Nibel 2115/ Sukarame Baru</v>
      </c>
      <c r="D2582" s="42"/>
      <c r="E2582" s="42"/>
      <c r="F2582" s="48" t="str">
        <f>IFERROR(__xludf.DUMMYFUNCTION("""COMPUTED_VALUE"""),"")</f>
        <v/>
      </c>
      <c r="G2582" s="42" t="str">
        <f>IFERROR(__xludf.DUMMYFUNCTION("""COMPUTED_VALUE"""),"BN JUAL BELI")</f>
        <v>BN JUAL BELI</v>
      </c>
      <c r="H2582" s="42">
        <f t="shared" si="1"/>
        <v>1222</v>
      </c>
    </row>
    <row r="2583" ht="22.5" customHeight="1">
      <c r="B2583" s="42" t="str">
        <f>IFERROR(__xludf.DUMMYFUNCTION("""COMPUTED_VALUE"""),"L/27/260225/1")</f>
        <v>L/27/260225/1</v>
      </c>
      <c r="C2583" s="42" t="str">
        <f>IFERROR(__xludf.DUMMYFUNCTION("""COMPUTED_VALUE"""),"HM 112/GUNUNG TERANG")</f>
        <v>HM 112/GUNUNG TERANG</v>
      </c>
      <c r="D2583" s="42"/>
      <c r="E2583" s="42"/>
      <c r="F2583" s="48" t="str">
        <f>IFERROR(__xludf.DUMMYFUNCTION("""COMPUTED_VALUE"""),"")</f>
        <v/>
      </c>
      <c r="G2583" s="42" t="str">
        <f>IFERROR(__xludf.DUMMYFUNCTION("""COMPUTED_VALUE"""),"ROYA")</f>
        <v>ROYA</v>
      </c>
      <c r="H2583" s="42">
        <f t="shared" si="1"/>
        <v>1222</v>
      </c>
    </row>
    <row r="2584" ht="22.5" customHeight="1">
      <c r="B2584" s="42" t="str">
        <f>IFERROR(__xludf.DUMMYFUNCTION("""COMPUTED_VALUE"""),"K/25/260225/1")</f>
        <v>K/25/260225/1</v>
      </c>
      <c r="C2584" s="42" t="str">
        <f>IFERROR(__xludf.DUMMYFUNCTION("""COMPUTED_VALUE"""),"M.2500/RAJABASA JAYA")</f>
        <v>M.2500/RAJABASA JAYA</v>
      </c>
      <c r="D2584" s="42"/>
      <c r="E2584" s="42"/>
      <c r="F2584" s="48" t="str">
        <f>IFERROR(__xludf.DUMMYFUNCTION("""COMPUTED_VALUE"""),"")</f>
        <v/>
      </c>
      <c r="G2584" s="42" t="str">
        <f>IFERROR(__xludf.DUMMYFUNCTION("""COMPUTED_VALUE"""),"JUAL BELI")</f>
        <v>JUAL BELI</v>
      </c>
      <c r="H2584" s="42">
        <f t="shared" si="1"/>
        <v>1222</v>
      </c>
    </row>
    <row r="2585" ht="22.5" customHeight="1">
      <c r="B2585" s="42" t="str">
        <f>IFERROR(__xludf.DUMMYFUNCTION("""COMPUTED_VALUE"""),"K/26/260225/2")</f>
        <v>K/26/260225/2</v>
      </c>
      <c r="C2585" s="42" t="str">
        <f>IFERROR(__xludf.DUMMYFUNCTION("""COMPUTED_VALUE"""),"M.2501/RAJABASA JAYA")</f>
        <v>M.2501/RAJABASA JAYA</v>
      </c>
      <c r="D2585" s="42"/>
      <c r="E2585" s="42"/>
      <c r="F2585" s="48" t="str">
        <f>IFERROR(__xludf.DUMMYFUNCTION("""COMPUTED_VALUE"""),"")</f>
        <v/>
      </c>
      <c r="G2585" s="42" t="str">
        <f>IFERROR(__xludf.DUMMYFUNCTION("""COMPUTED_VALUE"""),"JUAL BELI")</f>
        <v>JUAL BELI</v>
      </c>
      <c r="H2585" s="42">
        <f t="shared" si="1"/>
        <v>1222</v>
      </c>
    </row>
    <row r="2586" ht="22.5" customHeight="1">
      <c r="B2586" s="42" t="str">
        <f>IFERROR(__xludf.DUMMYFUNCTION("""COMPUTED_VALUE"""),"K/28/260225/1")</f>
        <v>K/28/260225/1</v>
      </c>
      <c r="C2586" s="42" t="str">
        <f>IFERROR(__xludf.DUMMYFUNCTION("""COMPUTED_VALUE"""),"NIbel 441/ Kemiling Permai")</f>
        <v>NIbel 441/ Kemiling Permai</v>
      </c>
      <c r="D2586" s="42"/>
      <c r="E2586" s="42"/>
      <c r="F2586" s="48" t="str">
        <f>IFERROR(__xludf.DUMMYFUNCTION("""COMPUTED_VALUE"""),"")</f>
        <v/>
      </c>
      <c r="G2586" s="42" t="str">
        <f>IFERROR(__xludf.DUMMYFUNCTION("""COMPUTED_VALUE"""),"BN JUAL BELI")</f>
        <v>BN JUAL BELI</v>
      </c>
      <c r="H2586" s="42">
        <f t="shared" si="1"/>
        <v>1222</v>
      </c>
    </row>
    <row r="2587" ht="22.5" customHeight="1">
      <c r="B2587" s="42" t="str">
        <f>IFERROR(__xludf.DUMMYFUNCTION("""COMPUTED_VALUE"""),"K/29/260225/1")</f>
        <v>K/29/260225/1</v>
      </c>
      <c r="C2587" s="42" t="str">
        <f>IFERROR(__xludf.DUMMYFUNCTION("""COMPUTED_VALUE"""),"M. 1950/ Sukabumi Indah")</f>
        <v>M. 1950/ Sukabumi Indah</v>
      </c>
      <c r="D2587" s="42"/>
      <c r="E2587" s="42" t="str">
        <f>IFERROR(__xludf.DUMMYFUNCTION("""COMPUTED_VALUE"""),"DISERAHKAN")</f>
        <v>DISERAHKAN</v>
      </c>
      <c r="F2587" s="48">
        <f>IFERROR(__xludf.DUMMYFUNCTION("""COMPUTED_VALUE"""),45723.47190903935)</f>
        <v>45723.47191</v>
      </c>
      <c r="G2587" s="42" t="str">
        <f>IFERROR(__xludf.DUMMYFUNCTION("""COMPUTED_VALUE"""),"BN JUAL BELI")</f>
        <v>BN JUAL BELI</v>
      </c>
      <c r="H2587" s="42">
        <f t="shared" si="1"/>
        <v>1223</v>
      </c>
    </row>
    <row r="2588" ht="22.5" customHeight="1">
      <c r="B2588" s="42" t="str">
        <f>IFERROR(__xludf.DUMMYFUNCTION("""COMPUTED_VALUE"""),"K/30/260225/2")</f>
        <v>K/30/260225/2</v>
      </c>
      <c r="C2588" s="42" t="str">
        <f>IFERROR(__xludf.DUMMYFUNCTION("""COMPUTED_VALUE"""),"M. 515/ Sukabumi Indah")</f>
        <v>M. 515/ Sukabumi Indah</v>
      </c>
      <c r="D2588" s="42"/>
      <c r="E2588" s="42" t="str">
        <f>IFERROR(__xludf.DUMMYFUNCTION("""COMPUTED_VALUE"""),"DISERAHKAN")</f>
        <v>DISERAHKAN</v>
      </c>
      <c r="F2588" s="48">
        <f>IFERROR(__xludf.DUMMYFUNCTION("""COMPUTED_VALUE"""),45723.47190903935)</f>
        <v>45723.47191</v>
      </c>
      <c r="G2588" s="42" t="str">
        <f>IFERROR(__xludf.DUMMYFUNCTION("""COMPUTED_VALUE"""),"BN JUAL BELI")</f>
        <v>BN JUAL BELI</v>
      </c>
      <c r="H2588" s="42">
        <f t="shared" si="1"/>
        <v>1224</v>
      </c>
    </row>
    <row r="2589" ht="22.5" customHeight="1">
      <c r="B2589" s="42" t="str">
        <f>IFERROR(__xludf.DUMMYFUNCTION("""COMPUTED_VALUE"""),"K/6/260225/1")</f>
        <v>K/6/260225/1</v>
      </c>
      <c r="C2589" s="42" t="str">
        <f>IFERROR(__xludf.DUMMYFUNCTION("""COMPUTED_VALUE"""),"NIBEL M. 1170/RAJABASA JAYA")</f>
        <v>NIBEL M. 1170/RAJABASA JAYA</v>
      </c>
      <c r="D2589" s="42"/>
      <c r="E2589" s="42"/>
      <c r="F2589" s="48" t="str">
        <f>IFERROR(__xludf.DUMMYFUNCTION("""COMPUTED_VALUE"""),"")</f>
        <v/>
      </c>
      <c r="G2589" s="42" t="str">
        <f>IFERROR(__xludf.DUMMYFUNCTION("""COMPUTED_VALUE"""),"BN JUAL BELI")</f>
        <v>BN JUAL BELI</v>
      </c>
      <c r="H2589" s="42">
        <f t="shared" si="1"/>
        <v>1224</v>
      </c>
    </row>
    <row r="2590" ht="22.5" customHeight="1">
      <c r="B2590" s="42" t="str">
        <f>IFERROR(__xludf.DUMMYFUNCTION("""COMPUTED_VALUE"""),"L/32/260225/1")</f>
        <v>L/32/260225/1</v>
      </c>
      <c r="C2590" s="42" t="str">
        <f>IFERROR(__xludf.DUMMYFUNCTION("""COMPUTED_VALUE"""),"HM 152/KALIAWI")</f>
        <v>HM 152/KALIAWI</v>
      </c>
      <c r="D2590" s="42"/>
      <c r="E2590" s="42"/>
      <c r="F2590" s="48" t="str">
        <f>IFERROR(__xludf.DUMMYFUNCTION("""COMPUTED_VALUE"""),"")</f>
        <v/>
      </c>
      <c r="G2590" s="42" t="str">
        <f>IFERROR(__xludf.DUMMYFUNCTION("""COMPUTED_VALUE"""),"GANTI BLANGKO")</f>
        <v>GANTI BLANGKO</v>
      </c>
      <c r="H2590" s="42">
        <f t="shared" si="1"/>
        <v>1224</v>
      </c>
    </row>
    <row r="2591" ht="22.5" customHeight="1">
      <c r="B2591" s="42" t="str">
        <f>IFERROR(__xludf.DUMMYFUNCTION("""COMPUTED_VALUE"""),"L/33/260225/2")</f>
        <v>L/33/260225/2</v>
      </c>
      <c r="C2591" s="42" t="str">
        <f>IFERROR(__xludf.DUMMYFUNCTION("""COMPUTED_VALUE"""),"HM 2607/KALIAWI")</f>
        <v>HM 2607/KALIAWI</v>
      </c>
      <c r="D2591" s="42"/>
      <c r="E2591" s="42"/>
      <c r="F2591" s="48" t="str">
        <f>IFERROR(__xludf.DUMMYFUNCTION("""COMPUTED_VALUE"""),"")</f>
        <v/>
      </c>
      <c r="G2591" s="42" t="str">
        <f>IFERROR(__xludf.DUMMYFUNCTION("""COMPUTED_VALUE"""),"GANTI BLANGKO")</f>
        <v>GANTI BLANGKO</v>
      </c>
      <c r="H2591" s="42">
        <f t="shared" si="1"/>
        <v>1224</v>
      </c>
    </row>
    <row r="2592" ht="22.5" customHeight="1">
      <c r="B2592" s="42" t="str">
        <f>IFERROR(__xludf.DUMMYFUNCTION("""COMPUTED_VALUE"""),"K/31/260225/1")</f>
        <v>K/31/260225/1</v>
      </c>
      <c r="C2592" s="42" t="str">
        <f>IFERROR(__xludf.DUMMYFUNCTION("""COMPUTED_VALUE"""),"NIBEL M. 2411/SUKABUMI")</f>
        <v>NIBEL M. 2411/SUKABUMI</v>
      </c>
      <c r="D2592" s="42"/>
      <c r="E2592" s="42"/>
      <c r="F2592" s="48" t="str">
        <f>IFERROR(__xludf.DUMMYFUNCTION("""COMPUTED_VALUE"""),"")</f>
        <v/>
      </c>
      <c r="G2592" s="42" t="str">
        <f>IFERROR(__xludf.DUMMYFUNCTION("""COMPUTED_VALUE"""),"BN JUAL BELI")</f>
        <v>BN JUAL BELI</v>
      </c>
      <c r="H2592" s="42">
        <f t="shared" si="1"/>
        <v>1224</v>
      </c>
    </row>
    <row r="2593" ht="22.5" customHeight="1">
      <c r="B2593" s="42" t="str">
        <f>IFERROR(__xludf.DUMMYFUNCTION("""COMPUTED_VALUE"""),"K/34/260225/1")</f>
        <v>K/34/260225/1</v>
      </c>
      <c r="C2593" s="42" t="str">
        <f>IFERROR(__xludf.DUMMYFUNCTION("""COMPUTED_VALUE"""),"M. 1188/ Penengahan")</f>
        <v>M. 1188/ Penengahan</v>
      </c>
      <c r="D2593" s="42"/>
      <c r="E2593" s="42"/>
      <c r="F2593" s="48" t="str">
        <f>IFERROR(__xludf.DUMMYFUNCTION("""COMPUTED_VALUE"""),"")</f>
        <v/>
      </c>
      <c r="G2593" s="42" t="str">
        <f>IFERROR(__xludf.DUMMYFUNCTION("""COMPUTED_VALUE"""),"BN JUAL BELI")</f>
        <v>BN JUAL BELI</v>
      </c>
      <c r="H2593" s="42">
        <f t="shared" si="1"/>
        <v>1224</v>
      </c>
    </row>
    <row r="2594" ht="22.5" customHeight="1">
      <c r="B2594" s="42" t="str">
        <f>IFERROR(__xludf.DUMMYFUNCTION("""COMPUTED_VALUE"""),"K/50/250225/1")</f>
        <v>K/50/250225/1</v>
      </c>
      <c r="C2594" s="42" t="str">
        <f>IFERROR(__xludf.DUMMYFUNCTION("""COMPUTED_VALUE"""),"NIBEL M 1870/SUKARAME")</f>
        <v>NIBEL M 1870/SUKARAME</v>
      </c>
      <c r="D2594" s="42"/>
      <c r="E2594" s="42"/>
      <c r="F2594" s="48" t="str">
        <f>IFERROR(__xludf.DUMMYFUNCTION("""COMPUTED_VALUE"""),"")</f>
        <v/>
      </c>
      <c r="G2594" s="42" t="str">
        <f>IFERROR(__xludf.DUMMYFUNCTION("""COMPUTED_VALUE"""),"JUAL BELI")</f>
        <v>JUAL BELI</v>
      </c>
      <c r="H2594" s="42">
        <f t="shared" si="1"/>
        <v>1224</v>
      </c>
    </row>
    <row r="2595" ht="22.5" customHeight="1">
      <c r="B2595" s="42" t="str">
        <f>IFERROR(__xludf.DUMMYFUNCTION("""COMPUTED_VALUE"""),"K/1/270225/1")</f>
        <v>K/1/270225/1</v>
      </c>
      <c r="C2595" s="42" t="str">
        <f>IFERROR(__xludf.DUMMYFUNCTION("""COMPUTED_VALUE"""),"M. 1042/ Tanjung Gading")</f>
        <v>M. 1042/ Tanjung Gading</v>
      </c>
      <c r="D2595" s="42"/>
      <c r="E2595" s="42"/>
      <c r="F2595" s="48" t="str">
        <f>IFERROR(__xludf.DUMMYFUNCTION("""COMPUTED_VALUE"""),"")</f>
        <v/>
      </c>
      <c r="G2595" s="42" t="str">
        <f>IFERROR(__xludf.DUMMYFUNCTION("""COMPUTED_VALUE"""),"BN JUAL BELI")</f>
        <v>BN JUAL BELI</v>
      </c>
      <c r="H2595" s="42">
        <f t="shared" si="1"/>
        <v>1224</v>
      </c>
    </row>
    <row r="2596" ht="22.5" customHeight="1">
      <c r="B2596" s="42" t="str">
        <f>IFERROR(__xludf.DUMMYFUNCTION("""COMPUTED_VALUE"""),"K/2/270225/2")</f>
        <v>K/2/270225/2</v>
      </c>
      <c r="C2596" s="42" t="str">
        <f>IFERROR(__xludf.DUMMYFUNCTION("""COMPUTED_VALUE"""),"M. 1043/ Tanjung Gading")</f>
        <v>M. 1043/ Tanjung Gading</v>
      </c>
      <c r="D2596" s="42"/>
      <c r="E2596" s="42"/>
      <c r="F2596" s="48" t="str">
        <f>IFERROR(__xludf.DUMMYFUNCTION("""COMPUTED_VALUE"""),"")</f>
        <v/>
      </c>
      <c r="G2596" s="42" t="str">
        <f>IFERROR(__xludf.DUMMYFUNCTION("""COMPUTED_VALUE"""),"BN JUAL BELI")</f>
        <v>BN JUAL BELI</v>
      </c>
      <c r="H2596" s="42">
        <f t="shared" si="1"/>
        <v>1224</v>
      </c>
    </row>
    <row r="2597" ht="22.5" customHeight="1">
      <c r="B2597" s="42" t="str">
        <f>IFERROR(__xludf.DUMMYFUNCTION("""COMPUTED_VALUE"""),"K/3/270225/3")</f>
        <v>K/3/270225/3</v>
      </c>
      <c r="C2597" s="42" t="str">
        <f>IFERROR(__xludf.DUMMYFUNCTION("""COMPUTED_VALUE"""),"M. 1044/ Tanjung Gading")</f>
        <v>M. 1044/ Tanjung Gading</v>
      </c>
      <c r="D2597" s="42"/>
      <c r="E2597" s="42"/>
      <c r="F2597" s="48" t="str">
        <f>IFERROR(__xludf.DUMMYFUNCTION("""COMPUTED_VALUE"""),"")</f>
        <v/>
      </c>
      <c r="G2597" s="42" t="str">
        <f>IFERROR(__xludf.DUMMYFUNCTION("""COMPUTED_VALUE"""),"SKPT LELANG")</f>
        <v>SKPT LELANG</v>
      </c>
      <c r="H2597" s="42">
        <f t="shared" si="1"/>
        <v>1224</v>
      </c>
    </row>
    <row r="2598" ht="22.5" customHeight="1">
      <c r="B2598" s="42" t="str">
        <f>IFERROR(__xludf.DUMMYFUNCTION("""COMPUTED_VALUE"""),"K/4/270225/4")</f>
        <v>K/4/270225/4</v>
      </c>
      <c r="C2598" s="42" t="str">
        <f>IFERROR(__xludf.DUMMYFUNCTION("""COMPUTED_VALUE"""),"M. 632/ Sukaraja")</f>
        <v>M. 632/ Sukaraja</v>
      </c>
      <c r="D2598" s="42"/>
      <c r="E2598" s="42"/>
      <c r="F2598" s="48" t="str">
        <f>IFERROR(__xludf.DUMMYFUNCTION("""COMPUTED_VALUE"""),"")</f>
        <v/>
      </c>
      <c r="G2598" s="42" t="str">
        <f>IFERROR(__xludf.DUMMYFUNCTION("""COMPUTED_VALUE"""),"SKPT LELANG")</f>
        <v>SKPT LELANG</v>
      </c>
      <c r="H2598" s="42">
        <f t="shared" si="1"/>
        <v>1224</v>
      </c>
    </row>
    <row r="2599" ht="22.5" customHeight="1">
      <c r="B2599" s="42" t="str">
        <f>IFERROR(__xludf.DUMMYFUNCTION("""COMPUTED_VALUE"""),"K/6/270225/1")</f>
        <v>K/6/270225/1</v>
      </c>
      <c r="C2599" s="42" t="str">
        <f>IFERROR(__xludf.DUMMYFUNCTION("""COMPUTED_VALUE"""),"M.2498/RAJABASA JAYA")</f>
        <v>M.2498/RAJABASA JAYA</v>
      </c>
      <c r="D2599" s="42"/>
      <c r="E2599" s="42"/>
      <c r="F2599" s="48" t="str">
        <f>IFERROR(__xludf.DUMMYFUNCTION("""COMPUTED_VALUE"""),"")</f>
        <v/>
      </c>
      <c r="G2599" s="42" t="str">
        <f>IFERROR(__xludf.DUMMYFUNCTION("""COMPUTED_VALUE"""),"JUAL BELI")</f>
        <v>JUAL BELI</v>
      </c>
      <c r="H2599" s="42">
        <f t="shared" si="1"/>
        <v>1224</v>
      </c>
    </row>
    <row r="2600" ht="22.5" customHeight="1">
      <c r="B2600" s="42" t="str">
        <f>IFERROR(__xludf.DUMMYFUNCTION("""COMPUTED_VALUE"""),"K/7/270225/1")</f>
        <v>K/7/270225/1</v>
      </c>
      <c r="C2600" s="42" t="str">
        <f>IFERROR(__xludf.DUMMYFUNCTION("""COMPUTED_VALUE"""),"M. 1813/ Labuhan Dalam")</f>
        <v>M. 1813/ Labuhan Dalam</v>
      </c>
      <c r="D2600" s="42"/>
      <c r="E2600" s="42"/>
      <c r="F2600" s="48" t="str">
        <f>IFERROR(__xludf.DUMMYFUNCTION("""COMPUTED_VALUE"""),"")</f>
        <v/>
      </c>
      <c r="G2600" s="42" t="str">
        <f>IFERROR(__xludf.DUMMYFUNCTION("""COMPUTED_VALUE"""),"Pemecahan")</f>
        <v>Pemecahan</v>
      </c>
      <c r="H2600" s="42">
        <f t="shared" si="1"/>
        <v>1224</v>
      </c>
    </row>
    <row r="2601" ht="22.5" customHeight="1">
      <c r="B2601" s="42" t="str">
        <f>IFERROR(__xludf.DUMMYFUNCTION("""COMPUTED_VALUE"""),"K/8/270225/2")</f>
        <v>K/8/270225/2</v>
      </c>
      <c r="C2601" s="42" t="str">
        <f>IFERROR(__xludf.DUMMYFUNCTION("""COMPUTED_VALUE"""),"Nibel. M. 3578/ Kedaung")</f>
        <v>Nibel. M. 3578/ Kedaung</v>
      </c>
      <c r="D2601" s="42"/>
      <c r="E2601" s="42"/>
      <c r="F2601" s="48" t="str">
        <f>IFERROR(__xludf.DUMMYFUNCTION("""COMPUTED_VALUE"""),"")</f>
        <v/>
      </c>
      <c r="G2601" s="42" t="str">
        <f>IFERROR(__xludf.DUMMYFUNCTION("""COMPUTED_VALUE"""),"Pemecahan")</f>
        <v>Pemecahan</v>
      </c>
      <c r="H2601" s="42">
        <f t="shared" si="1"/>
        <v>1224</v>
      </c>
    </row>
    <row r="2602" ht="22.5" customHeight="1">
      <c r="B2602" s="42" t="str">
        <f>IFERROR(__xludf.DUMMYFUNCTION("""COMPUTED_VALUE"""),"K/9/270225/1")</f>
        <v>K/9/270225/1</v>
      </c>
      <c r="C2602" s="42" t="str">
        <f>IFERROR(__xludf.DUMMYFUNCTION("""COMPUTED_VALUE"""),"M.1204/SUKARAME BARU")</f>
        <v>M.1204/SUKARAME BARU</v>
      </c>
      <c r="D2602" s="42"/>
      <c r="E2602" s="42"/>
      <c r="F2602" s="48" t="str">
        <f>IFERROR(__xludf.DUMMYFUNCTION("""COMPUTED_VALUE"""),"")</f>
        <v/>
      </c>
      <c r="G2602" s="42" t="str">
        <f>IFERROR(__xludf.DUMMYFUNCTION("""COMPUTED_VALUE"""),"JUAL BELI")</f>
        <v>JUAL BELI</v>
      </c>
      <c r="H2602" s="42">
        <f t="shared" si="1"/>
        <v>1224</v>
      </c>
    </row>
    <row r="2603" ht="22.5" customHeight="1">
      <c r="B2603" s="42" t="str">
        <f>IFERROR(__xludf.DUMMYFUNCTION("""COMPUTED_VALUE"""),"K/10/270225/1")</f>
        <v>K/10/270225/1</v>
      </c>
      <c r="C2603" s="42" t="str">
        <f>IFERROR(__xludf.DUMMYFUNCTION("""COMPUTED_VALUE"""),"B. 1937/ Sukabumi")</f>
        <v>B. 1937/ Sukabumi</v>
      </c>
      <c r="D2603" s="42"/>
      <c r="E2603" s="42" t="str">
        <f>IFERROR(__xludf.DUMMYFUNCTION("""COMPUTED_VALUE"""),"DISERAHKAN")</f>
        <v>DISERAHKAN</v>
      </c>
      <c r="F2603" s="48">
        <f>IFERROR(__xludf.DUMMYFUNCTION("""COMPUTED_VALUE"""),45723.47190903935)</f>
        <v>45723.47191</v>
      </c>
      <c r="G2603" s="42" t="str">
        <f>IFERROR(__xludf.DUMMYFUNCTION("""COMPUTED_VALUE"""),"BN  WARIS")</f>
        <v>BN  WARIS</v>
      </c>
      <c r="H2603" s="42">
        <f t="shared" si="1"/>
        <v>1225</v>
      </c>
    </row>
    <row r="2604" ht="22.5" customHeight="1">
      <c r="B2604" s="42" t="str">
        <f>IFERROR(__xludf.DUMMYFUNCTION("""COMPUTED_VALUE"""),"K/11/270225/1")</f>
        <v>K/11/270225/1</v>
      </c>
      <c r="C2604" s="42" t="str">
        <f>IFERROR(__xludf.DUMMYFUNCTION("""COMPUTED_VALUE"""),"M.3260/GEDONG AIR")</f>
        <v>M.3260/GEDONG AIR</v>
      </c>
      <c r="D2604" s="42"/>
      <c r="E2604" s="42"/>
      <c r="F2604" s="48" t="str">
        <f>IFERROR(__xludf.DUMMYFUNCTION("""COMPUTED_VALUE"""),"")</f>
        <v/>
      </c>
      <c r="G2604" s="42" t="str">
        <f>IFERROR(__xludf.DUMMYFUNCTION("""COMPUTED_VALUE"""),"BN JUAL BELI")</f>
        <v>BN JUAL BELI</v>
      </c>
      <c r="H2604" s="42">
        <f t="shared" si="1"/>
        <v>1225</v>
      </c>
    </row>
    <row r="2605" ht="22.5" customHeight="1">
      <c r="B2605" s="42" t="str">
        <f>IFERROR(__xludf.DUMMYFUNCTION("""COMPUTED_VALUE"""),"K/13/270225/1")</f>
        <v>K/13/270225/1</v>
      </c>
      <c r="C2605" s="42" t="str">
        <f>IFERROR(__xludf.DUMMYFUNCTION("""COMPUTED_VALUE"""),"NIBEL M 16068/SUKABUMI")</f>
        <v>NIBEL M 16068/SUKABUMI</v>
      </c>
      <c r="D2605" s="42"/>
      <c r="E2605" s="42"/>
      <c r="F2605" s="48" t="str">
        <f>IFERROR(__xludf.DUMMYFUNCTION("""COMPUTED_VALUE"""),"")</f>
        <v/>
      </c>
      <c r="G2605" s="42" t="str">
        <f>IFERROR(__xludf.DUMMYFUNCTION("""COMPUTED_VALUE"""),"JUAL BELI")</f>
        <v>JUAL BELI</v>
      </c>
      <c r="H2605" s="42">
        <f t="shared" si="1"/>
        <v>1225</v>
      </c>
    </row>
    <row r="2606" ht="22.5" customHeight="1">
      <c r="B2606" s="42" t="str">
        <f>IFERROR(__xludf.DUMMYFUNCTION("""COMPUTED_VALUE"""),"K/14/270225/1")</f>
        <v>K/14/270225/1</v>
      </c>
      <c r="C2606" s="42" t="str">
        <f>IFERROR(__xludf.DUMMYFUNCTION("""COMPUTED_VALUE"""),"M. 375/ Rawa Laut")</f>
        <v>M. 375/ Rawa Laut</v>
      </c>
      <c r="D2606" s="42"/>
      <c r="E2606" s="42"/>
      <c r="F2606" s="48" t="str">
        <f>IFERROR(__xludf.DUMMYFUNCTION("""COMPUTED_VALUE"""),"")</f>
        <v/>
      </c>
      <c r="G2606" s="42" t="str">
        <f>IFERROR(__xludf.DUMMYFUNCTION("""COMPUTED_VALUE"""),"BN JUAL BELI")</f>
        <v>BN JUAL BELI</v>
      </c>
      <c r="H2606" s="42">
        <f t="shared" si="1"/>
        <v>1225</v>
      </c>
    </row>
    <row r="2607" ht="22.5" customHeight="1">
      <c r="B2607" s="42" t="str">
        <f>IFERROR(__xludf.DUMMYFUNCTION("""COMPUTED_VALUE"""),"K/15/270225/2")</f>
        <v>K/15/270225/2</v>
      </c>
      <c r="C2607" s="42" t="str">
        <f>IFERROR(__xludf.DUMMYFUNCTION("""COMPUTED_VALUE"""),"B. 263/ Labuhan Ratu Raya")</f>
        <v>B. 263/ Labuhan Ratu Raya</v>
      </c>
      <c r="D2607" s="42"/>
      <c r="E2607" s="42" t="str">
        <f>IFERROR(__xludf.DUMMYFUNCTION("""COMPUTED_VALUE"""),"DISERAHKAN")</f>
        <v>DISERAHKAN</v>
      </c>
      <c r="F2607" s="48">
        <f>IFERROR(__xludf.DUMMYFUNCTION("""COMPUTED_VALUE"""),45758.47908071759)</f>
        <v>45758.47908</v>
      </c>
      <c r="G2607" s="42" t="str">
        <f>IFERROR(__xludf.DUMMYFUNCTION("""COMPUTED_VALUE"""),"BN JUAL BELI")</f>
        <v>BN JUAL BELI</v>
      </c>
      <c r="H2607" s="42">
        <f t="shared" si="1"/>
        <v>1226</v>
      </c>
    </row>
    <row r="2608" ht="22.5" customHeight="1">
      <c r="B2608" s="42" t="str">
        <f>IFERROR(__xludf.DUMMYFUNCTION("""COMPUTED_VALUE"""),"L/16/270225/1")</f>
        <v>L/16/270225/1</v>
      </c>
      <c r="C2608" s="42" t="str">
        <f>IFERROR(__xludf.DUMMYFUNCTION("""COMPUTED_VALUE"""),"NIB 4395/KBK")</f>
        <v>NIB 4395/KBK</v>
      </c>
      <c r="D2608" s="42"/>
      <c r="E2608" s="42"/>
      <c r="F2608" s="48" t="str">
        <f>IFERROR(__xludf.DUMMYFUNCTION("""COMPUTED_VALUE"""),"")</f>
        <v/>
      </c>
      <c r="G2608" s="42" t="str">
        <f>IFERROR(__xludf.DUMMYFUNCTION("""COMPUTED_VALUE"""),"PTPGT")</f>
        <v>PTPGT</v>
      </c>
      <c r="H2608" s="42">
        <f t="shared" si="1"/>
        <v>1226</v>
      </c>
    </row>
    <row r="2609" ht="22.5" customHeight="1">
      <c r="B2609" s="42" t="str">
        <f>IFERROR(__xludf.DUMMYFUNCTION("""COMPUTED_VALUE"""),"K/17/270225/1")</f>
        <v>K/17/270225/1</v>
      </c>
      <c r="C2609" s="42" t="str">
        <f>IFERROR(__xludf.DUMMYFUNCTION("""COMPUTED_VALUE"""),"M. 9465/ Jagabaya II")</f>
        <v>M. 9465/ Jagabaya II</v>
      </c>
      <c r="D2609" s="42"/>
      <c r="E2609" s="42"/>
      <c r="F2609" s="48" t="str">
        <f>IFERROR(__xludf.DUMMYFUNCTION("""COMPUTED_VALUE"""),"")</f>
        <v/>
      </c>
      <c r="G2609" s="42" t="str">
        <f>IFERROR(__xludf.DUMMYFUNCTION("""COMPUTED_VALUE"""),"BN WARIS")</f>
        <v>BN WARIS</v>
      </c>
      <c r="H2609" s="42">
        <f t="shared" si="1"/>
        <v>1226</v>
      </c>
    </row>
    <row r="2610" ht="22.5" customHeight="1">
      <c r="B2610" s="42" t="str">
        <f>IFERROR(__xludf.DUMMYFUNCTION("""COMPUTED_VALUE"""),"K/12/270225/2")</f>
        <v>K/12/270225/2</v>
      </c>
      <c r="C2610" s="42" t="str">
        <f>IFERROR(__xludf.DUMMYFUNCTION("""COMPUTED_VALUE"""),"M. 3259 / GEDONG AIR")</f>
        <v>M. 3259 / GEDONG AIR</v>
      </c>
      <c r="D2610" s="42"/>
      <c r="E2610" s="42" t="str">
        <f>IFERROR(__xludf.DUMMYFUNCTION("""COMPUTED_VALUE"""),"DISERAHKAN")</f>
        <v>DISERAHKAN</v>
      </c>
      <c r="F2610" s="48">
        <f>IFERROR(__xludf.DUMMYFUNCTION("""COMPUTED_VALUE"""),45722.500976006944)</f>
        <v>45722.50098</v>
      </c>
      <c r="G2610" s="42" t="str">
        <f>IFERROR(__xludf.DUMMYFUNCTION("""COMPUTED_VALUE"""),"BN HIBAH")</f>
        <v>BN HIBAH</v>
      </c>
      <c r="H2610" s="42">
        <f t="shared" si="1"/>
        <v>1227</v>
      </c>
    </row>
    <row r="2611" ht="22.5" customHeight="1">
      <c r="B2611" s="42" t="str">
        <f>IFERROR(__xludf.DUMMYFUNCTION("""COMPUTED_VALUE"""),"K/18/270225/1")</f>
        <v>K/18/270225/1</v>
      </c>
      <c r="C2611" s="42" t="str">
        <f>IFERROR(__xludf.DUMMYFUNCTION("""COMPUTED_VALUE"""),"B. 157/ Way Laga")</f>
        <v>B. 157/ Way Laga</v>
      </c>
      <c r="D2611" s="42"/>
      <c r="E2611" s="42" t="str">
        <f>IFERROR(__xludf.DUMMYFUNCTION("""COMPUTED_VALUE"""),"DISERAHKAN")</f>
        <v>DISERAHKAN</v>
      </c>
      <c r="F2611" s="48">
        <f>IFERROR(__xludf.DUMMYFUNCTION("""COMPUTED_VALUE"""),45733.593901875)</f>
        <v>45733.5939</v>
      </c>
      <c r="G2611" s="42" t="str">
        <f>IFERROR(__xludf.DUMMYFUNCTION("""COMPUTED_VALUE"""),"BN Jual Beli")</f>
        <v>BN Jual Beli</v>
      </c>
      <c r="H2611" s="42">
        <f t="shared" si="1"/>
        <v>1228</v>
      </c>
    </row>
    <row r="2612" ht="22.5" customHeight="1">
      <c r="B2612" s="42" t="str">
        <f>IFERROR(__xludf.DUMMYFUNCTION("""COMPUTED_VALUE"""),"K/19/270225/2")</f>
        <v>K/19/270225/2</v>
      </c>
      <c r="C2612" s="42" t="str">
        <f>IFERROR(__xludf.DUMMYFUNCTION("""COMPUTED_VALUE"""),"M. 165/ Way Laga")</f>
        <v>M. 165/ Way Laga</v>
      </c>
      <c r="D2612" s="42" t="str">
        <f>IFERROR(__xludf.DUMMYFUNCTION("""COMPUTED_VALUE"""),"Berry")</f>
        <v>Berry</v>
      </c>
      <c r="E2612" s="42" t="str">
        <f>IFERROR(__xludf.DUMMYFUNCTION("""COMPUTED_VALUE"""),"DISERAHKAN")</f>
        <v>DISERAHKAN</v>
      </c>
      <c r="F2612" s="48">
        <f>IFERROR(__xludf.DUMMYFUNCTION("""COMPUTED_VALUE"""),45799.70859173611)</f>
        <v>45799.70859</v>
      </c>
      <c r="G2612" s="42" t="str">
        <f>IFERROR(__xludf.DUMMYFUNCTION("""COMPUTED_VALUE"""),"BN Jual Beli")</f>
        <v>BN Jual Beli</v>
      </c>
      <c r="H2612" s="42">
        <f t="shared" si="1"/>
        <v>1229</v>
      </c>
    </row>
    <row r="2613" ht="22.5" customHeight="1">
      <c r="B2613" s="42" t="str">
        <f>IFERROR(__xludf.DUMMYFUNCTION("""COMPUTED_VALUE"""),"K/20/270225/3")</f>
        <v>K/20/270225/3</v>
      </c>
      <c r="C2613" s="42" t="str">
        <f>IFERROR(__xludf.DUMMYFUNCTION("""COMPUTED_VALUE"""),"B. 167/ Way Laga")</f>
        <v>B. 167/ Way Laga</v>
      </c>
      <c r="D2613" s="42"/>
      <c r="E2613" s="42" t="str">
        <f>IFERROR(__xludf.DUMMYFUNCTION("""COMPUTED_VALUE"""),"DISERAHKAN")</f>
        <v>DISERAHKAN</v>
      </c>
      <c r="F2613" s="48">
        <f>IFERROR(__xludf.DUMMYFUNCTION("""COMPUTED_VALUE"""),45743.442782303246)</f>
        <v>45743.44278</v>
      </c>
      <c r="G2613" s="42" t="str">
        <f>IFERROR(__xludf.DUMMYFUNCTION("""COMPUTED_VALUE"""),"BN Jual Beli")</f>
        <v>BN Jual Beli</v>
      </c>
      <c r="H2613" s="42">
        <f t="shared" si="1"/>
        <v>1230</v>
      </c>
    </row>
    <row r="2614" ht="22.5" customHeight="1">
      <c r="B2614" s="42" t="str">
        <f>IFERROR(__xludf.DUMMYFUNCTION("""COMPUTED_VALUE"""),"K/21/270225/1")</f>
        <v>K/21/270225/1</v>
      </c>
      <c r="C2614" s="42" t="str">
        <f>IFERROR(__xludf.DUMMYFUNCTION("""COMPUTED_VALUE"""),"M. 04/ Penengahan")</f>
        <v>M. 04/ Penengahan</v>
      </c>
      <c r="D2614" s="42"/>
      <c r="E2614" s="42" t="str">
        <f>IFERROR(__xludf.DUMMYFUNCTION("""COMPUTED_VALUE"""),"DISERAHKAN")</f>
        <v>DISERAHKAN</v>
      </c>
      <c r="F2614" s="48">
        <f>IFERROR(__xludf.DUMMYFUNCTION("""COMPUTED_VALUE"""),45730.40138951389)</f>
        <v>45730.40139</v>
      </c>
      <c r="G2614" s="42" t="str">
        <f>IFERROR(__xludf.DUMMYFUNCTION("""COMPUTED_VALUE"""),"BN Jual Beli")</f>
        <v>BN Jual Beli</v>
      </c>
      <c r="H2614" s="42">
        <f t="shared" si="1"/>
        <v>1231</v>
      </c>
    </row>
    <row r="2615" ht="22.5" customHeight="1">
      <c r="B2615" s="42" t="str">
        <f>IFERROR(__xludf.DUMMYFUNCTION("""COMPUTED_VALUE"""),"K/22/270225/1")</f>
        <v>K/22/270225/1</v>
      </c>
      <c r="C2615" s="42" t="str">
        <f>IFERROR(__xludf.DUMMYFUNCTION("""COMPUTED_VALUE"""),"M. 1752/ Way Halim Permai")</f>
        <v>M. 1752/ Way Halim Permai</v>
      </c>
      <c r="D2615" s="42"/>
      <c r="E2615" s="42" t="str">
        <f>IFERROR(__xludf.DUMMYFUNCTION("""COMPUTED_VALUE"""),"DISERAHKAN")</f>
        <v>DISERAHKAN</v>
      </c>
      <c r="F2615" s="48">
        <f>IFERROR(__xludf.DUMMYFUNCTION("""COMPUTED_VALUE"""),45723.47190903935)</f>
        <v>45723.47191</v>
      </c>
      <c r="G2615" s="42" t="str">
        <f>IFERROR(__xludf.DUMMYFUNCTION("""COMPUTED_VALUE"""),"BN JUAL BELI")</f>
        <v>BN JUAL BELI</v>
      </c>
      <c r="H2615" s="42">
        <f t="shared" si="1"/>
        <v>1232</v>
      </c>
    </row>
    <row r="2616" ht="22.5" customHeight="1">
      <c r="B2616" s="42" t="str">
        <f>IFERROR(__xludf.DUMMYFUNCTION("""COMPUTED_VALUE"""),"K/23/270225/1")</f>
        <v>K/23/270225/1</v>
      </c>
      <c r="C2616" s="42" t="str">
        <f>IFERROR(__xludf.DUMMYFUNCTION("""COMPUTED_VALUE"""),"M. 1822/ Way Laga")</f>
        <v>M. 1822/ Way Laga</v>
      </c>
      <c r="D2616" s="42"/>
      <c r="E2616" s="42" t="str">
        <f>IFERROR(__xludf.DUMMYFUNCTION("""COMPUTED_VALUE"""),"DISERAHKAN")</f>
        <v>DISERAHKAN</v>
      </c>
      <c r="F2616" s="48">
        <f>IFERROR(__xludf.DUMMYFUNCTION("""COMPUTED_VALUE"""),45727.49688923611)</f>
        <v>45727.49689</v>
      </c>
      <c r="G2616" s="42" t="str">
        <f>IFERROR(__xludf.DUMMYFUNCTION("""COMPUTED_VALUE"""),"BN Jual Beli")</f>
        <v>BN Jual Beli</v>
      </c>
      <c r="H2616" s="42">
        <f t="shared" si="1"/>
        <v>1233</v>
      </c>
    </row>
    <row r="2617" ht="22.5" customHeight="1">
      <c r="B2617" s="42" t="str">
        <f>IFERROR(__xludf.DUMMYFUNCTION("""COMPUTED_VALUE"""),"K/24/270225/1")</f>
        <v>K/24/270225/1</v>
      </c>
      <c r="C2617" s="42" t="str">
        <f>IFERROR(__xludf.DUMMYFUNCTION("""COMPUTED_VALUE"""),"M. 6412/GUNUNG SULAH")</f>
        <v>M. 6412/GUNUNG SULAH</v>
      </c>
      <c r="D2617" s="42"/>
      <c r="E2617" s="42" t="str">
        <f>IFERROR(__xludf.DUMMYFUNCTION("""COMPUTED_VALUE"""),"DISERAHKAN")</f>
        <v>DISERAHKAN</v>
      </c>
      <c r="F2617" s="48">
        <f>IFERROR(__xludf.DUMMYFUNCTION("""COMPUTED_VALUE"""),45723.48007792824)</f>
        <v>45723.48008</v>
      </c>
      <c r="G2617" s="42" t="str">
        <f>IFERROR(__xludf.DUMMYFUNCTION("""COMPUTED_VALUE"""),"BN JUAL BELI")</f>
        <v>BN JUAL BELI</v>
      </c>
      <c r="H2617" s="42">
        <f t="shared" si="1"/>
        <v>1234</v>
      </c>
    </row>
    <row r="2618" ht="22.5" customHeight="1">
      <c r="B2618" s="42" t="str">
        <f>IFERROR(__xludf.DUMMYFUNCTION("""COMPUTED_VALUE"""),"K/25/270225/2")</f>
        <v>K/25/270225/2</v>
      </c>
      <c r="C2618" s="42" t="str">
        <f>IFERROR(__xludf.DUMMYFUNCTION("""COMPUTED_VALUE"""),"M. 2427/KEDAUNG")</f>
        <v>M. 2427/KEDAUNG</v>
      </c>
      <c r="D2618" s="42"/>
      <c r="E2618" s="42"/>
      <c r="F2618" s="48" t="str">
        <f>IFERROR(__xludf.DUMMYFUNCTION("""COMPUTED_VALUE"""),"")</f>
        <v/>
      </c>
      <c r="G2618" s="42" t="str">
        <f>IFERROR(__xludf.DUMMYFUNCTION("""COMPUTED_VALUE"""),"BN JUAL BELI")</f>
        <v>BN JUAL BELI</v>
      </c>
      <c r="H2618" s="42">
        <f t="shared" si="1"/>
        <v>1234</v>
      </c>
    </row>
    <row r="2619" ht="22.5" customHeight="1">
      <c r="B2619" s="42" t="str">
        <f>IFERROR(__xludf.DUMMYFUNCTION("""COMPUTED_VALUE"""),"L/26/270225/1")</f>
        <v>L/26/270225/1</v>
      </c>
      <c r="C2619" s="42" t="str">
        <f>IFERROR(__xludf.DUMMYFUNCTION("""COMPUTED_VALUE"""),"HM 1209/SEPANG JAYA")</f>
        <v>HM 1209/SEPANG JAYA</v>
      </c>
      <c r="D2619" s="42"/>
      <c r="E2619" s="42" t="str">
        <f>IFERROR(__xludf.DUMMYFUNCTION("""COMPUTED_VALUE"""),"DISERAHKAN")</f>
        <v>DISERAHKAN</v>
      </c>
      <c r="F2619" s="48">
        <f>IFERROR(__xludf.DUMMYFUNCTION("""COMPUTED_VALUE"""),45733.60194811343)</f>
        <v>45733.60195</v>
      </c>
      <c r="G2619" s="42" t="str">
        <f>IFERROR(__xludf.DUMMYFUNCTION("""COMPUTED_VALUE"""),"BN JUAL - BELI")</f>
        <v>BN JUAL - BELI</v>
      </c>
      <c r="H2619" s="42">
        <f t="shared" si="1"/>
        <v>1235</v>
      </c>
    </row>
    <row r="2620" ht="22.5" customHeight="1">
      <c r="B2620" s="42" t="str">
        <f>IFERROR(__xludf.DUMMYFUNCTION("""COMPUTED_VALUE"""),"K/27/270225/1")</f>
        <v>K/27/270225/1</v>
      </c>
      <c r="C2620" s="42" t="str">
        <f>IFERROR(__xludf.DUMMYFUNCTION("""COMPUTED_VALUE"""),"Nibel 423/ Kemiling permai")</f>
        <v>Nibel 423/ Kemiling permai</v>
      </c>
      <c r="D2620" s="42"/>
      <c r="E2620" s="42"/>
      <c r="F2620" s="48" t="str">
        <f>IFERROR(__xludf.DUMMYFUNCTION("""COMPUTED_VALUE"""),"")</f>
        <v/>
      </c>
      <c r="G2620" s="42" t="str">
        <f>IFERROR(__xludf.DUMMYFUNCTION("""COMPUTED_VALUE"""),"BN JUAL BELI")</f>
        <v>BN JUAL BELI</v>
      </c>
      <c r="H2620" s="42">
        <f t="shared" si="1"/>
        <v>1235</v>
      </c>
    </row>
    <row r="2621" ht="22.5" customHeight="1">
      <c r="B2621" s="42" t="str">
        <f>IFERROR(__xludf.DUMMYFUNCTION("""COMPUTED_VALUE"""),"L/28/270225/1")</f>
        <v>L/28/270225/1</v>
      </c>
      <c r="C2621" s="42" t="str">
        <f>IFERROR(__xludf.DUMMYFUNCTION("""COMPUTED_VALUE"""),"HGB 308/SEGALA MIDER")</f>
        <v>HGB 308/SEGALA MIDER</v>
      </c>
      <c r="D2621" s="42"/>
      <c r="E2621" s="42"/>
      <c r="F2621" s="48" t="str">
        <f>IFERROR(__xludf.DUMMYFUNCTION("""COMPUTED_VALUE"""),"")</f>
        <v/>
      </c>
      <c r="G2621" s="42" t="str">
        <f>IFERROR(__xludf.DUMMYFUNCTION("""COMPUTED_VALUE"""),"SKPT INFORMASI")</f>
        <v>SKPT INFORMASI</v>
      </c>
      <c r="H2621" s="42">
        <f t="shared" si="1"/>
        <v>1235</v>
      </c>
    </row>
    <row r="2622" ht="22.5" customHeight="1">
      <c r="B2622" s="42" t="str">
        <f>IFERROR(__xludf.DUMMYFUNCTION("""COMPUTED_VALUE"""),"K/29/270225/1")</f>
        <v>K/29/270225/1</v>
      </c>
      <c r="C2622" s="42" t="str">
        <f>IFERROR(__xludf.DUMMYFUNCTION("""COMPUTED_VALUE"""),"Nibel 3626/ Rajabasa Jaya")</f>
        <v>Nibel 3626/ Rajabasa Jaya</v>
      </c>
      <c r="D2622" s="42"/>
      <c r="E2622" s="42"/>
      <c r="F2622" s="48" t="str">
        <f>IFERROR(__xludf.DUMMYFUNCTION("""COMPUTED_VALUE"""),"")</f>
        <v/>
      </c>
      <c r="G2622" s="42" t="str">
        <f>IFERROR(__xludf.DUMMYFUNCTION("""COMPUTED_VALUE"""),"BN JUAL BELI")</f>
        <v>BN JUAL BELI</v>
      </c>
      <c r="H2622" s="42">
        <f t="shared" si="1"/>
        <v>1235</v>
      </c>
    </row>
    <row r="2623" ht="22.5" customHeight="1">
      <c r="B2623" s="42" t="str">
        <f>IFERROR(__xludf.DUMMYFUNCTION("""COMPUTED_VALUE"""),"K/30/270225/1")</f>
        <v>K/30/270225/1</v>
      </c>
      <c r="C2623" s="42" t="str">
        <f>IFERROR(__xludf.DUMMYFUNCTION("""COMPUTED_VALUE"""),"M. 15516/ Sukabumi")</f>
        <v>M. 15516/ Sukabumi</v>
      </c>
      <c r="D2623" s="42"/>
      <c r="E2623" s="42"/>
      <c r="F2623" s="48" t="str">
        <f>IFERROR(__xludf.DUMMYFUNCTION("""COMPUTED_VALUE"""),"")</f>
        <v/>
      </c>
      <c r="G2623" s="42" t="str">
        <f>IFERROR(__xludf.DUMMYFUNCTION("""COMPUTED_VALUE"""),"BN Jual Beli")</f>
        <v>BN Jual Beli</v>
      </c>
      <c r="H2623" s="42">
        <f t="shared" si="1"/>
        <v>1235</v>
      </c>
    </row>
    <row r="2624" ht="22.5" customHeight="1">
      <c r="B2624" s="42" t="str">
        <f>IFERROR(__xludf.DUMMYFUNCTION("""COMPUTED_VALUE"""),"K/31/270225/2")</f>
        <v>K/31/270225/2</v>
      </c>
      <c r="C2624" s="42" t="str">
        <f>IFERROR(__xludf.DUMMYFUNCTION("""COMPUTED_VALUE"""),"M. 1280/ Negeri Olok Gading")</f>
        <v>M. 1280/ Negeri Olok Gading</v>
      </c>
      <c r="D2624" s="42"/>
      <c r="E2624" s="42"/>
      <c r="F2624" s="48" t="str">
        <f>IFERROR(__xludf.DUMMYFUNCTION("""COMPUTED_VALUE"""),"")</f>
        <v/>
      </c>
      <c r="G2624" s="42" t="str">
        <f>IFERROR(__xludf.DUMMYFUNCTION("""COMPUTED_VALUE"""),"BN Jual Beli")</f>
        <v>BN Jual Beli</v>
      </c>
      <c r="H2624" s="42">
        <f t="shared" si="1"/>
        <v>1235</v>
      </c>
    </row>
    <row r="2625" ht="22.5" customHeight="1">
      <c r="B2625" s="42" t="str">
        <f>IFERROR(__xludf.DUMMYFUNCTION("""COMPUTED_VALUE"""),"K/1/280225/1")</f>
        <v>K/1/280225/1</v>
      </c>
      <c r="C2625" s="42" t="str">
        <f>IFERROR(__xludf.DUMMYFUNCTION("""COMPUTED_VALUE"""),"NIbel 3624/ Rajabsa Jaya")</f>
        <v>NIbel 3624/ Rajabsa Jaya</v>
      </c>
      <c r="D2625" s="42"/>
      <c r="E2625" s="42"/>
      <c r="F2625" s="48" t="str">
        <f>IFERROR(__xludf.DUMMYFUNCTION("""COMPUTED_VALUE"""),"")</f>
        <v/>
      </c>
      <c r="G2625" s="42" t="str">
        <f>IFERROR(__xludf.DUMMYFUNCTION("""COMPUTED_VALUE"""),"BN JUAL BELI")</f>
        <v>BN JUAL BELI</v>
      </c>
      <c r="H2625" s="42">
        <f t="shared" si="1"/>
        <v>1235</v>
      </c>
    </row>
    <row r="2626" ht="22.5" customHeight="1">
      <c r="B2626" s="42" t="str">
        <f>IFERROR(__xludf.DUMMYFUNCTION("""COMPUTED_VALUE"""),"K/4/280225/1")</f>
        <v>K/4/280225/1</v>
      </c>
      <c r="C2626" s="42" t="str">
        <f>IFERROR(__xludf.DUMMYFUNCTION("""COMPUTED_VALUE"""),"M. 9543/ Sidodadi")</f>
        <v>M. 9543/ Sidodadi</v>
      </c>
      <c r="D2626" s="42"/>
      <c r="E2626" s="42"/>
      <c r="F2626" s="48" t="str">
        <f>IFERROR(__xludf.DUMMYFUNCTION("""COMPUTED_VALUE"""),"")</f>
        <v/>
      </c>
      <c r="G2626" s="42" t="str">
        <f>IFERROR(__xludf.DUMMYFUNCTION("""COMPUTED_VALUE"""),"BN WARIS")</f>
        <v>BN WARIS</v>
      </c>
      <c r="H2626" s="42">
        <f t="shared" si="1"/>
        <v>1235</v>
      </c>
    </row>
    <row r="2627" ht="22.5" customHeight="1">
      <c r="B2627" s="42" t="str">
        <f>IFERROR(__xludf.DUMMYFUNCTION("""COMPUTED_VALUE"""),"K/3/280225/1")</f>
        <v>K/3/280225/1</v>
      </c>
      <c r="C2627" s="42" t="str">
        <f>IFERROR(__xludf.DUMMYFUNCTION("""COMPUTED_VALUE"""),"M.2574/KOTA KARANG")</f>
        <v>M.2574/KOTA KARANG</v>
      </c>
      <c r="D2627" s="42"/>
      <c r="E2627" s="42"/>
      <c r="F2627" s="48" t="str">
        <f>IFERROR(__xludf.DUMMYFUNCTION("""COMPUTED_VALUE"""),"")</f>
        <v/>
      </c>
      <c r="G2627" s="42" t="str">
        <f>IFERROR(__xludf.DUMMYFUNCTION("""COMPUTED_VALUE"""),"BN JUAL BELI")</f>
        <v>BN JUAL BELI</v>
      </c>
      <c r="H2627" s="42">
        <f t="shared" si="1"/>
        <v>1235</v>
      </c>
    </row>
    <row r="2628" ht="22.5" customHeight="1">
      <c r="B2628" s="42" t="str">
        <f>IFERROR(__xludf.DUMMYFUNCTION("""COMPUTED_VALUE"""),"L/5/280225/1")</f>
        <v>L/5/280225/1</v>
      </c>
      <c r="C2628" s="42" t="str">
        <f>IFERROR(__xludf.DUMMYFUNCTION("""COMPUTED_VALUE"""),"M.13326/SEGALA MIDER")</f>
        <v>M.13326/SEGALA MIDER</v>
      </c>
      <c r="D2628" s="42"/>
      <c r="E2628" s="42" t="str">
        <f>IFERROR(__xludf.DUMMYFUNCTION("""COMPUTED_VALUE"""),"DISERAHKAN")</f>
        <v>DISERAHKAN</v>
      </c>
      <c r="F2628" s="48">
        <f>IFERROR(__xludf.DUMMYFUNCTION("""COMPUTED_VALUE"""),45758.48733243055)</f>
        <v>45758.48733</v>
      </c>
      <c r="G2628" s="42" t="str">
        <f>IFERROR(__xludf.DUMMYFUNCTION("""COMPUTED_VALUE"""),"ROYA")</f>
        <v>ROYA</v>
      </c>
      <c r="H2628" s="42">
        <f t="shared" si="1"/>
        <v>1236</v>
      </c>
    </row>
    <row r="2629" ht="22.5" customHeight="1">
      <c r="B2629" s="42" t="str">
        <f>IFERROR(__xludf.DUMMYFUNCTION("""COMPUTED_VALUE"""),"K/6/280225/2")</f>
        <v>K/6/280225/2</v>
      </c>
      <c r="C2629" s="42" t="str">
        <f>IFERROR(__xludf.DUMMYFUNCTION("""COMPUTED_VALUE"""),"M.472/BAKUNG")</f>
        <v>M.472/BAKUNG</v>
      </c>
      <c r="D2629" s="42" t="str">
        <f>IFERROR(__xludf.DUMMYFUNCTION("""COMPUTED_VALUE"""),"Berry")</f>
        <v>Berry</v>
      </c>
      <c r="E2629" s="42" t="str">
        <f>IFERROR(__xludf.DUMMYFUNCTION("""COMPUTED_VALUE"""),"DISERAHKAN")</f>
        <v>DISERAHKAN</v>
      </c>
      <c r="F2629" s="48">
        <f>IFERROR(__xludf.DUMMYFUNCTION("""COMPUTED_VALUE"""),45792.48482945602)</f>
        <v>45792.48483</v>
      </c>
      <c r="G2629" s="42" t="str">
        <f>IFERROR(__xludf.DUMMYFUNCTION("""COMPUTED_VALUE"""),"ROYA")</f>
        <v>ROYA</v>
      </c>
      <c r="H2629" s="42">
        <f t="shared" si="1"/>
        <v>1237</v>
      </c>
    </row>
    <row r="2630" ht="22.5" customHeight="1">
      <c r="B2630" s="42" t="str">
        <f>IFERROR(__xludf.DUMMYFUNCTION("""COMPUTED_VALUE"""),"K/7/280225/3")</f>
        <v>K/7/280225/3</v>
      </c>
      <c r="C2630" s="42" t="str">
        <f>IFERROR(__xludf.DUMMYFUNCTION("""COMPUTED_VALUE"""),"M. 1416/BAKUNG")</f>
        <v>M. 1416/BAKUNG</v>
      </c>
      <c r="D2630" s="42"/>
      <c r="E2630" s="42" t="str">
        <f>IFERROR(__xludf.DUMMYFUNCTION("""COMPUTED_VALUE"""),"DISERAHKAN")</f>
        <v>DISERAHKAN</v>
      </c>
      <c r="F2630" s="48">
        <f>IFERROR(__xludf.DUMMYFUNCTION("""COMPUTED_VALUE"""),45730.37697806713)</f>
        <v>45730.37698</v>
      </c>
      <c r="G2630" s="42" t="str">
        <f>IFERROR(__xludf.DUMMYFUNCTION("""COMPUTED_VALUE"""),"ROYA")</f>
        <v>ROYA</v>
      </c>
      <c r="H2630" s="42">
        <f t="shared" si="1"/>
        <v>1238</v>
      </c>
    </row>
    <row r="2631" ht="22.5" customHeight="1">
      <c r="B2631" s="42" t="str">
        <f>IFERROR(__xludf.DUMMYFUNCTION("""COMPUTED_VALUE"""),"K/9/280225/1")</f>
        <v>K/9/280225/1</v>
      </c>
      <c r="C2631" s="42" t="str">
        <f>IFERROR(__xludf.DUMMYFUNCTION("""COMPUTED_VALUE"""),"Nibel. M. 16423/ Segala Mider")</f>
        <v>Nibel. M. 16423/ Segala Mider</v>
      </c>
      <c r="D2631" s="42"/>
      <c r="E2631" s="42"/>
      <c r="F2631" s="48" t="str">
        <f>IFERROR(__xludf.DUMMYFUNCTION("""COMPUTED_VALUE"""),"")</f>
        <v/>
      </c>
      <c r="G2631" s="42" t="str">
        <f>IFERROR(__xludf.DUMMYFUNCTION("""COMPUTED_VALUE"""),"BN Waris")</f>
        <v>BN Waris</v>
      </c>
      <c r="H2631" s="42">
        <f t="shared" si="1"/>
        <v>1238</v>
      </c>
    </row>
    <row r="2632" ht="22.5" customHeight="1">
      <c r="B2632" s="42" t="str">
        <f>IFERROR(__xludf.DUMMYFUNCTION("""COMPUTED_VALUE"""),"K/10/280225/1")</f>
        <v>K/10/280225/1</v>
      </c>
      <c r="C2632" s="42" t="str">
        <f>IFERROR(__xludf.DUMMYFUNCTION("""COMPUTED_VALUE"""),"B. 161/ Sumber Agung")</f>
        <v>B. 161/ Sumber Agung</v>
      </c>
      <c r="D2632" s="42"/>
      <c r="E2632" s="42" t="str">
        <f>IFERROR(__xludf.DUMMYFUNCTION("""COMPUTED_VALUE"""),"DISERAHKAN")</f>
        <v>DISERAHKAN</v>
      </c>
      <c r="F2632" s="48">
        <f>IFERROR(__xludf.DUMMYFUNCTION("""COMPUTED_VALUE"""),45743.43709131944)</f>
        <v>45743.43709</v>
      </c>
      <c r="G2632" s="42" t="str">
        <f>IFERROR(__xludf.DUMMYFUNCTION("""COMPUTED_VALUE"""),"BN Jual Beli")</f>
        <v>BN Jual Beli</v>
      </c>
      <c r="H2632" s="42">
        <f t="shared" si="1"/>
        <v>1239</v>
      </c>
    </row>
    <row r="2633" ht="22.5" customHeight="1">
      <c r="B2633" s="42" t="str">
        <f>IFERROR(__xludf.DUMMYFUNCTION("""COMPUTED_VALUE"""),"K/8/280225/1")</f>
        <v>K/8/280225/1</v>
      </c>
      <c r="C2633" s="42" t="str">
        <f>IFERROR(__xludf.DUMMYFUNCTION("""COMPUTED_VALUE"""),"Nibel. 5022/ Panjang Utara")</f>
        <v>Nibel. 5022/ Panjang Utara</v>
      </c>
      <c r="D2633" s="42"/>
      <c r="E2633" s="42"/>
      <c r="F2633" s="48" t="str">
        <f>IFERROR(__xludf.DUMMYFUNCTION("""COMPUTED_VALUE"""),"")</f>
        <v/>
      </c>
      <c r="G2633" s="42" t="str">
        <f>IFERROR(__xludf.DUMMYFUNCTION("""COMPUTED_VALUE"""),"BN JUAL BELI")</f>
        <v>BN JUAL BELI</v>
      </c>
      <c r="H2633" s="42">
        <f t="shared" si="1"/>
        <v>1239</v>
      </c>
    </row>
    <row r="2634" ht="22.5" customHeight="1">
      <c r="B2634" s="42" t="str">
        <f>IFERROR(__xludf.DUMMYFUNCTION("""COMPUTED_VALUE"""),"K/11/280225/1")</f>
        <v>K/11/280225/1</v>
      </c>
      <c r="C2634" s="42" t="str">
        <f>IFERROR(__xludf.DUMMYFUNCTION("""COMPUTED_VALUE"""),"B. 2426/ Sukarame")</f>
        <v>B. 2426/ Sukarame</v>
      </c>
      <c r="D2634" s="42"/>
      <c r="E2634" s="42"/>
      <c r="F2634" s="48" t="str">
        <f>IFERROR(__xludf.DUMMYFUNCTION("""COMPUTED_VALUE"""),"")</f>
        <v/>
      </c>
      <c r="G2634" s="42" t="str">
        <f>IFERROR(__xludf.DUMMYFUNCTION("""COMPUTED_VALUE"""),"PERUBAHAN HAK")</f>
        <v>PERUBAHAN HAK</v>
      </c>
      <c r="H2634" s="42">
        <f t="shared" si="1"/>
        <v>1239</v>
      </c>
    </row>
    <row r="2635" ht="22.5" customHeight="1">
      <c r="B2635" s="42" t="str">
        <f>IFERROR(__xludf.DUMMYFUNCTION("""COMPUTED_VALUE"""),"K/12/280225/2")</f>
        <v>K/12/280225/2</v>
      </c>
      <c r="C2635" s="42" t="str">
        <f>IFERROR(__xludf.DUMMYFUNCTION("""COMPUTED_VALUE"""),"M. 14453/ SUkabumi")</f>
        <v>M. 14453/ SUkabumi</v>
      </c>
      <c r="D2635" s="42"/>
      <c r="E2635" s="42" t="str">
        <f>IFERROR(__xludf.DUMMYFUNCTION("""COMPUTED_VALUE"""),"DISERAHKAN")</f>
        <v>DISERAHKAN</v>
      </c>
      <c r="F2635" s="48">
        <f>IFERROR(__xludf.DUMMYFUNCTION("""COMPUTED_VALUE"""),45722.50501366898)</f>
        <v>45722.50501</v>
      </c>
      <c r="G2635" s="42" t="str">
        <f>IFERROR(__xludf.DUMMYFUNCTION("""COMPUTED_VALUE"""),"BN Hibah")</f>
        <v>BN Hibah</v>
      </c>
      <c r="H2635" s="42">
        <f t="shared" si="1"/>
        <v>1240</v>
      </c>
    </row>
    <row r="2636" ht="22.5" customHeight="1">
      <c r="B2636" s="42" t="str">
        <f>IFERROR(__xludf.DUMMYFUNCTION("""COMPUTED_VALUE"""),"K/13/280225/1")</f>
        <v>K/13/280225/1</v>
      </c>
      <c r="C2636" s="42" t="str">
        <f>IFERROR(__xludf.DUMMYFUNCTION("""COMPUTED_VALUE"""),"B. 536/ Sukarame Baru")</f>
        <v>B. 536/ Sukarame Baru</v>
      </c>
      <c r="D2636" s="42"/>
      <c r="E2636" s="42" t="str">
        <f>IFERROR(__xludf.DUMMYFUNCTION("""COMPUTED_VALUE"""),"DISERAHKAN")</f>
        <v>DISERAHKAN</v>
      </c>
      <c r="F2636" s="48">
        <f>IFERROR(__xludf.DUMMYFUNCTION("""COMPUTED_VALUE"""),45727.49543364583)</f>
        <v>45727.49543</v>
      </c>
      <c r="G2636" s="42" t="str">
        <f>IFERROR(__xludf.DUMMYFUNCTION("""COMPUTED_VALUE"""),"BN Jual Beli")</f>
        <v>BN Jual Beli</v>
      </c>
      <c r="H2636" s="42">
        <f t="shared" si="1"/>
        <v>1241</v>
      </c>
    </row>
    <row r="2637" ht="22.5" customHeight="1">
      <c r="B2637" s="42" t="str">
        <f>IFERROR(__xludf.DUMMYFUNCTION("""COMPUTED_VALUE"""),"K/14/280225/2")</f>
        <v>K/14/280225/2</v>
      </c>
      <c r="C2637" s="42" t="str">
        <f>IFERROR(__xludf.DUMMYFUNCTION("""COMPUTED_VALUE"""),"B. 350/ Rajabasa Nunyai")</f>
        <v>B. 350/ Rajabasa Nunyai</v>
      </c>
      <c r="D2637" s="42"/>
      <c r="E2637" s="42" t="str">
        <f>IFERROR(__xludf.DUMMYFUNCTION("""COMPUTED_VALUE"""),"DISERAHKAN")</f>
        <v>DISERAHKAN</v>
      </c>
      <c r="F2637" s="48">
        <f>IFERROR(__xludf.DUMMYFUNCTION("""COMPUTED_VALUE"""),45730.40058232639)</f>
        <v>45730.40058</v>
      </c>
      <c r="G2637" s="42" t="str">
        <f>IFERROR(__xludf.DUMMYFUNCTION("""COMPUTED_VALUE"""),"BN Jual Beli")</f>
        <v>BN Jual Beli</v>
      </c>
      <c r="H2637" s="42">
        <f t="shared" si="1"/>
        <v>1242</v>
      </c>
    </row>
    <row r="2638" ht="22.5" customHeight="1">
      <c r="B2638" s="42" t="str">
        <f>IFERROR(__xludf.DUMMYFUNCTION("""COMPUTED_VALUE"""),"K/16/280225/1")</f>
        <v>K/16/280225/1</v>
      </c>
      <c r="C2638" s="42" t="str">
        <f>IFERROR(__xludf.DUMMYFUNCTION("""COMPUTED_VALUE"""),"Nibel. M. 5469/ Way Kandis")</f>
        <v>Nibel. M. 5469/ Way Kandis</v>
      </c>
      <c r="D2638" s="42"/>
      <c r="E2638" s="42"/>
      <c r="F2638" s="48" t="str">
        <f>IFERROR(__xludf.DUMMYFUNCTION("""COMPUTED_VALUE"""),"")</f>
        <v/>
      </c>
      <c r="G2638" s="42" t="str">
        <f>IFERROR(__xludf.DUMMYFUNCTION("""COMPUTED_VALUE"""),"BN Jual Beli")</f>
        <v>BN Jual Beli</v>
      </c>
      <c r="H2638" s="42">
        <f t="shared" si="1"/>
        <v>1242</v>
      </c>
    </row>
    <row r="2639" ht="22.5" customHeight="1">
      <c r="B2639" s="42" t="str">
        <f>IFERROR(__xludf.DUMMYFUNCTION("""COMPUTED_VALUE"""),"K/17/280225/1")</f>
        <v>K/17/280225/1</v>
      </c>
      <c r="C2639" s="42" t="str">
        <f>IFERROR(__xludf.DUMMYFUNCTION("""COMPUTED_VALUE"""),"M. 1443/ Batu Putuk")</f>
        <v>M. 1443/ Batu Putuk</v>
      </c>
      <c r="D2639" s="42"/>
      <c r="E2639" s="42" t="str">
        <f>IFERROR(__xludf.DUMMYFUNCTION("""COMPUTED_VALUE"""),"DISERAHKAN")</f>
        <v>DISERAHKAN</v>
      </c>
      <c r="F2639" s="48">
        <f>IFERROR(__xludf.DUMMYFUNCTION("""COMPUTED_VALUE"""),45733.61366869213)</f>
        <v>45733.61367</v>
      </c>
      <c r="G2639" s="42" t="str">
        <f>IFERROR(__xludf.DUMMYFUNCTION("""COMPUTED_VALUE"""),"BN Jual Beli")</f>
        <v>BN Jual Beli</v>
      </c>
      <c r="H2639" s="42">
        <f t="shared" si="1"/>
        <v>1243</v>
      </c>
    </row>
    <row r="2640" ht="22.5" customHeight="1">
      <c r="B2640" s="42" t="str">
        <f>IFERROR(__xludf.DUMMYFUNCTION("""COMPUTED_VALUE"""),"L/18/280225/1")</f>
        <v>L/18/280225/1</v>
      </c>
      <c r="C2640" s="42" t="str">
        <f>IFERROR(__xludf.DUMMYFUNCTION("""COMPUTED_VALUE"""),"M.4006/BERINGIN RAYA")</f>
        <v>M.4006/BERINGIN RAYA</v>
      </c>
      <c r="D2640" s="42"/>
      <c r="E2640" s="42" t="str">
        <f>IFERROR(__xludf.DUMMYFUNCTION("""COMPUTED_VALUE"""),"DISERAHKAN")</f>
        <v>DISERAHKAN</v>
      </c>
      <c r="F2640" s="48">
        <f>IFERROR(__xludf.DUMMYFUNCTION("""COMPUTED_VALUE"""),45763.55111020833)</f>
        <v>45763.55111</v>
      </c>
      <c r="G2640" s="42" t="str">
        <f>IFERROR(__xludf.DUMMYFUNCTION("""COMPUTED_VALUE"""),"ROYA")</f>
        <v>ROYA</v>
      </c>
      <c r="H2640" s="42">
        <f t="shared" si="1"/>
        <v>1244</v>
      </c>
    </row>
    <row r="2641" ht="22.5" customHeight="1">
      <c r="B2641" s="42" t="str">
        <f>IFERROR(__xludf.DUMMYFUNCTION("""COMPUTED_VALUE"""),"L/19/280225/1")</f>
        <v>L/19/280225/1</v>
      </c>
      <c r="C2641" s="42" t="str">
        <f>IFERROR(__xludf.DUMMYFUNCTION("""COMPUTED_VALUE"""),"M.681/NOG")</f>
        <v>M.681/NOG</v>
      </c>
      <c r="D2641" s="42"/>
      <c r="E2641" s="42" t="str">
        <f>IFERROR(__xludf.DUMMYFUNCTION("""COMPUTED_VALUE"""),"DISERAHKAN")</f>
        <v>DISERAHKAN</v>
      </c>
      <c r="F2641" s="48">
        <f>IFERROR(__xludf.DUMMYFUNCTION("""COMPUTED_VALUE"""),45741.52614729167)</f>
        <v>45741.52615</v>
      </c>
      <c r="G2641" s="42" t="str">
        <f>IFERROR(__xludf.DUMMYFUNCTION("""COMPUTED_VALUE"""),"ROYA ")</f>
        <v>ROYA </v>
      </c>
      <c r="H2641" s="42">
        <f t="shared" si="1"/>
        <v>1245</v>
      </c>
    </row>
    <row r="2642" ht="22.5" customHeight="1">
      <c r="B2642" s="42" t="str">
        <f>IFERROR(__xludf.DUMMYFUNCTION("""COMPUTED_VALUE"""),"K/20/280225/1")</f>
        <v>K/20/280225/1</v>
      </c>
      <c r="C2642" s="42" t="str">
        <f>IFERROR(__xludf.DUMMYFUNCTION("""COMPUTED_VALUE"""),"M. 1970/ Kota Baru")</f>
        <v>M. 1970/ Kota Baru</v>
      </c>
      <c r="D2642" s="42"/>
      <c r="E2642" s="42"/>
      <c r="F2642" s="48" t="str">
        <f>IFERROR(__xludf.DUMMYFUNCTION("""COMPUTED_VALUE"""),"")</f>
        <v/>
      </c>
      <c r="G2642" s="42" t="str">
        <f>IFERROR(__xludf.DUMMYFUNCTION("""COMPUTED_VALUE"""),"BN Jual Beli")</f>
        <v>BN Jual Beli</v>
      </c>
      <c r="H2642" s="42">
        <f t="shared" si="1"/>
        <v>1245</v>
      </c>
    </row>
    <row r="2643" ht="22.5" customHeight="1">
      <c r="B2643" s="42" t="str">
        <f>IFERROR(__xludf.DUMMYFUNCTION("""COMPUTED_VALUE"""),"K/21/280225/1")</f>
        <v>K/21/280225/1</v>
      </c>
      <c r="C2643" s="42" t="str">
        <f>IFERROR(__xludf.DUMMYFUNCTION("""COMPUTED_VALUE"""),"Nibel. 17702/ Sukarame")</f>
        <v>Nibel. 17702/ Sukarame</v>
      </c>
      <c r="D2643" s="42"/>
      <c r="E2643" s="42"/>
      <c r="F2643" s="48" t="str">
        <f>IFERROR(__xludf.DUMMYFUNCTION("""COMPUTED_VALUE"""),"")</f>
        <v/>
      </c>
      <c r="G2643" s="42" t="str">
        <f>IFERROR(__xludf.DUMMYFUNCTION("""COMPUTED_VALUE"""),"BN JUAL BELI")</f>
        <v>BN JUAL BELI</v>
      </c>
      <c r="H2643" s="42">
        <f t="shared" si="1"/>
        <v>1245</v>
      </c>
    </row>
    <row r="2644" ht="22.5" customHeight="1">
      <c r="B2644" s="42" t="str">
        <f>IFERROR(__xludf.DUMMYFUNCTION("""COMPUTED_VALUE"""),"K/22/280225/2")</f>
        <v>K/22/280225/2</v>
      </c>
      <c r="C2644" s="42" t="str">
        <f>IFERROR(__xludf.DUMMYFUNCTION("""COMPUTED_VALUE"""),"Nibel 16116/ Tanjung Senang")</f>
        <v>Nibel 16116/ Tanjung Senang</v>
      </c>
      <c r="D2644" s="42"/>
      <c r="E2644" s="42"/>
      <c r="F2644" s="48" t="str">
        <f>IFERROR(__xludf.DUMMYFUNCTION("""COMPUTED_VALUE"""),"")</f>
        <v/>
      </c>
      <c r="G2644" s="42" t="str">
        <f>IFERROR(__xludf.DUMMYFUNCTION("""COMPUTED_VALUE"""),"BN JUAL BELI")</f>
        <v>BN JUAL BELI</v>
      </c>
      <c r="H2644" s="42">
        <f t="shared" si="1"/>
        <v>1245</v>
      </c>
    </row>
    <row r="2645" ht="22.5" customHeight="1">
      <c r="B2645" s="42" t="str">
        <f>IFERROR(__xludf.DUMMYFUNCTION("""COMPUTED_VALUE"""),"K/23/280225/1")</f>
        <v>K/23/280225/1</v>
      </c>
      <c r="C2645" s="42" t="str">
        <f>IFERROR(__xludf.DUMMYFUNCTION("""COMPUTED_VALUE"""),"M. 332/ Sawah Lama")</f>
        <v>M. 332/ Sawah Lama</v>
      </c>
      <c r="D2645" s="42"/>
      <c r="E2645" s="42" t="str">
        <f>IFERROR(__xludf.DUMMYFUNCTION("""COMPUTED_VALUE"""),"DISERAHKAN")</f>
        <v>DISERAHKAN</v>
      </c>
      <c r="F2645" s="48">
        <f>IFERROR(__xludf.DUMMYFUNCTION("""COMPUTED_VALUE"""),45761.630629907406)</f>
        <v>45761.63063</v>
      </c>
      <c r="G2645" s="42" t="str">
        <f>IFERROR(__xludf.DUMMYFUNCTION("""COMPUTED_VALUE"""),"Roya")</f>
        <v>Roya</v>
      </c>
      <c r="H2645" s="42">
        <f t="shared" si="1"/>
        <v>1246</v>
      </c>
    </row>
    <row r="2646" ht="22.5" customHeight="1">
      <c r="B2646" s="42" t="str">
        <f>IFERROR(__xludf.DUMMYFUNCTION("""COMPUTED_VALUE"""),"L/24/280225/1")</f>
        <v>L/24/280225/1</v>
      </c>
      <c r="C2646" s="42" t="str">
        <f>IFERROR(__xludf.DUMMYFUNCTION("""COMPUTED_VALUE"""),"M.2056/SUKAMAJU")</f>
        <v>M.2056/SUKAMAJU</v>
      </c>
      <c r="D2646" s="42"/>
      <c r="E2646" s="42" t="str">
        <f>IFERROR(__xludf.DUMMYFUNCTION("""COMPUTED_VALUE"""),"DISERAHKAN")</f>
        <v>DISERAHKAN</v>
      </c>
      <c r="F2646" s="48">
        <f>IFERROR(__xludf.DUMMYFUNCTION("""COMPUTED_VALUE"""),45730.376589884254)</f>
        <v>45730.37659</v>
      </c>
      <c r="G2646" s="42" t="str">
        <f>IFERROR(__xludf.DUMMYFUNCTION("""COMPUTED_VALUE"""),"ROYA")</f>
        <v>ROYA</v>
      </c>
      <c r="H2646" s="42">
        <f t="shared" si="1"/>
        <v>1247</v>
      </c>
    </row>
    <row r="2647" ht="22.5" customHeight="1">
      <c r="B2647" s="42" t="str">
        <f>IFERROR(__xludf.DUMMYFUNCTION("""COMPUTED_VALUE"""),"K/25/280225/1")</f>
        <v>K/25/280225/1</v>
      </c>
      <c r="C2647" s="42" t="str">
        <f>IFERROR(__xludf.DUMMYFUNCTION("""COMPUTED_VALUE"""),"M. 1142/ Negeri Olok Gading")</f>
        <v>M. 1142/ Negeri Olok Gading</v>
      </c>
      <c r="D2647" s="42"/>
      <c r="E2647" s="42" t="str">
        <f>IFERROR(__xludf.DUMMYFUNCTION("""COMPUTED_VALUE"""),"DISERAHKAN")</f>
        <v>DISERAHKAN</v>
      </c>
      <c r="F2647" s="48">
        <f>IFERROR(__xludf.DUMMYFUNCTION("""COMPUTED_VALUE"""),45741.52635565972)</f>
        <v>45741.52636</v>
      </c>
      <c r="G2647" s="42" t="str">
        <f>IFERROR(__xludf.DUMMYFUNCTION("""COMPUTED_VALUE"""),"ROYA")</f>
        <v>ROYA</v>
      </c>
      <c r="H2647" s="42">
        <f t="shared" si="1"/>
        <v>1248</v>
      </c>
    </row>
    <row r="2648" ht="22.5" customHeight="1">
      <c r="B2648" s="42" t="str">
        <f>IFERROR(__xludf.DUMMYFUNCTION("""COMPUTED_VALUE"""),"K/26/280225/1")</f>
        <v>K/26/280225/1</v>
      </c>
      <c r="C2648" s="42" t="str">
        <f>IFERROR(__xludf.DUMMYFUNCTION("""COMPUTED_VALUE"""),"M. 16577/ Sukabumi")</f>
        <v>M. 16577/ Sukabumi</v>
      </c>
      <c r="D2648" s="42"/>
      <c r="E2648" s="42" t="str">
        <f>IFERROR(__xludf.DUMMYFUNCTION("""COMPUTED_VALUE"""),"DISERAHKAN")</f>
        <v>DISERAHKAN</v>
      </c>
      <c r="F2648" s="48">
        <f>IFERROR(__xludf.DUMMYFUNCTION("""COMPUTED_VALUE"""),45723.47190903935)</f>
        <v>45723.47191</v>
      </c>
      <c r="G2648" s="42" t="str">
        <f>IFERROR(__xludf.DUMMYFUNCTION("""COMPUTED_VALUE"""),"BN JUAL BELI")</f>
        <v>BN JUAL BELI</v>
      </c>
      <c r="H2648" s="42">
        <f t="shared" si="1"/>
        <v>1249</v>
      </c>
    </row>
    <row r="2649" ht="22.5" customHeight="1">
      <c r="B2649" s="42" t="str">
        <f>IFERROR(__xludf.DUMMYFUNCTION("""COMPUTED_VALUE"""),"K/15/280225/1")</f>
        <v>K/15/280225/1</v>
      </c>
      <c r="C2649" s="42" t="str">
        <f>IFERROR(__xludf.DUMMYFUNCTION("""COMPUTED_VALUE"""),"M. 1708/RAJABASA PEMUKA")</f>
        <v>M. 1708/RAJABASA PEMUKA</v>
      </c>
      <c r="D2649" s="42"/>
      <c r="E2649" s="42"/>
      <c r="F2649" s="48" t="str">
        <f>IFERROR(__xludf.DUMMYFUNCTION("""COMPUTED_VALUE"""),"")</f>
        <v/>
      </c>
      <c r="G2649" s="42" t="str">
        <f>IFERROR(__xludf.DUMMYFUNCTION("""COMPUTED_VALUE"""),"BN JUAL BELI")</f>
        <v>BN JUAL BELI</v>
      </c>
      <c r="H2649" s="42">
        <f t="shared" si="1"/>
        <v>1249</v>
      </c>
    </row>
    <row r="2650" ht="22.5" customHeight="1">
      <c r="B2650" s="42" t="str">
        <f>IFERROR(__xludf.DUMMYFUNCTION("""COMPUTED_VALUE"""),"K/27/280225/1")</f>
        <v>K/27/280225/1</v>
      </c>
      <c r="C2650" s="42" t="str">
        <f>IFERROR(__xludf.DUMMYFUNCTION("""COMPUTED_VALUE"""),"K/27/280225/1")</f>
        <v>K/27/280225/1</v>
      </c>
      <c r="D2650" s="42"/>
      <c r="E2650" s="42"/>
      <c r="F2650" s="48" t="str">
        <f>IFERROR(__xludf.DUMMYFUNCTION("""COMPUTED_VALUE"""),"")</f>
        <v/>
      </c>
      <c r="G2650" s="42" t="str">
        <f>IFERROR(__xludf.DUMMYFUNCTION("""COMPUTED_VALUE"""),"BN JUAL BELI")</f>
        <v>BN JUAL BELI</v>
      </c>
      <c r="H2650" s="42">
        <f t="shared" si="1"/>
        <v>1249</v>
      </c>
    </row>
    <row r="2651" ht="22.5" customHeight="1">
      <c r="B2651" s="42" t="str">
        <f>IFERROR(__xludf.DUMMYFUNCTION("""COMPUTED_VALUE"""),"K/29/280225/1")</f>
        <v>K/29/280225/1</v>
      </c>
      <c r="C2651" s="42" t="str">
        <f>IFERROR(__xludf.DUMMYFUNCTION("""COMPUTED_VALUE"""),"-M.12198 / RAJABASA PEMUKA")</f>
        <v>-M.12198 / RAJABASA PEMUKA</v>
      </c>
      <c r="D2651" s="42"/>
      <c r="E2651" s="42"/>
      <c r="F2651" s="48" t="str">
        <f>IFERROR(__xludf.DUMMYFUNCTION("""COMPUTED_VALUE"""),"")</f>
        <v/>
      </c>
      <c r="G2651" s="42" t="str">
        <f>IFERROR(__xludf.DUMMYFUNCTION("""COMPUTED_VALUE"""),"ROYA")</f>
        <v>ROYA</v>
      </c>
      <c r="H2651" s="42">
        <f t="shared" si="1"/>
        <v>1249</v>
      </c>
    </row>
    <row r="2652" ht="22.5" customHeight="1">
      <c r="B2652" s="42" t="str">
        <f>IFERROR(__xludf.DUMMYFUNCTION("""COMPUTED_VALUE"""),"K/28/280225/2")</f>
        <v>K/28/280225/2</v>
      </c>
      <c r="C2652" s="42" t="str">
        <f>IFERROR(__xludf.DUMMYFUNCTION("""COMPUTED_VALUE""")," M. 1791/ Rajabasa Pemuka")</f>
        <v> M. 1791/ Rajabasa Pemuka</v>
      </c>
      <c r="D2652" s="42"/>
      <c r="E2652" s="42" t="str">
        <f>IFERROR(__xludf.DUMMYFUNCTION("""COMPUTED_VALUE"""),"DISERAHKAN")</f>
        <v>DISERAHKAN</v>
      </c>
      <c r="F2652" s="48">
        <f>IFERROR(__xludf.DUMMYFUNCTION("""COMPUTED_VALUE"""),45736.6081927662)</f>
        <v>45736.60819</v>
      </c>
      <c r="G2652" s="42" t="str">
        <f>IFERROR(__xludf.DUMMYFUNCTION("""COMPUTED_VALUE"""),"BN JUAL BELI")</f>
        <v>BN JUAL BELI</v>
      </c>
      <c r="H2652" s="42">
        <f t="shared" si="1"/>
        <v>1250</v>
      </c>
    </row>
    <row r="2653" ht="22.5" customHeight="1">
      <c r="B2653" s="42" t="str">
        <f>IFERROR(__xludf.DUMMYFUNCTION("""COMPUTED_VALUE"""),"K/30/280225/1")</f>
        <v>K/30/280225/1</v>
      </c>
      <c r="C2653" s="42" t="str">
        <f>IFERROR(__xludf.DUMMYFUNCTION("""COMPUTED_VALUE"""),"M. 9365/ Jagabaya II")</f>
        <v>M. 9365/ Jagabaya II</v>
      </c>
      <c r="D2653" s="42"/>
      <c r="E2653" s="42"/>
      <c r="F2653" s="48" t="str">
        <f>IFERROR(__xludf.DUMMYFUNCTION("""COMPUTED_VALUE"""),"")</f>
        <v/>
      </c>
      <c r="G2653" s="42" t="str">
        <f>IFERROR(__xludf.DUMMYFUNCTION("""COMPUTED_VALUE"""),"BN Jual Beli")</f>
        <v>BN Jual Beli</v>
      </c>
      <c r="H2653" s="42">
        <f t="shared" si="1"/>
        <v>1250</v>
      </c>
    </row>
    <row r="2654" ht="22.5" customHeight="1">
      <c r="B2654" s="42" t="str">
        <f>IFERROR(__xludf.DUMMYFUNCTION("""COMPUTED_VALUE"""),"L/33/280225/1")</f>
        <v>L/33/280225/1</v>
      </c>
      <c r="C2654" s="42" t="str">
        <f>IFERROR(__xludf.DUMMYFUNCTION("""COMPUTED_VALUE"""),"M.9405/SUKAMENANTI")</f>
        <v>M.9405/SUKAMENANTI</v>
      </c>
      <c r="D2654" s="42"/>
      <c r="E2654" s="42" t="str">
        <f>IFERROR(__xludf.DUMMYFUNCTION("""COMPUTED_VALUE"""),"DISERAHKAN")</f>
        <v>DISERAHKAN</v>
      </c>
      <c r="F2654" s="48">
        <f>IFERROR(__xludf.DUMMYFUNCTION("""COMPUTED_VALUE"""),45730.60913655093)</f>
        <v>45730.60914</v>
      </c>
      <c r="G2654" s="42" t="str">
        <f>IFERROR(__xludf.DUMMYFUNCTION("""COMPUTED_VALUE"""),"ROYA")</f>
        <v>ROYA</v>
      </c>
      <c r="H2654" s="42">
        <f t="shared" si="1"/>
        <v>1251</v>
      </c>
    </row>
    <row r="2655" ht="22.5" customHeight="1">
      <c r="B2655" s="42" t="str">
        <f>IFERROR(__xludf.DUMMYFUNCTION("""COMPUTED_VALUE"""),"K/31/280225/1")</f>
        <v>K/31/280225/1</v>
      </c>
      <c r="C2655" s="42" t="str">
        <f>IFERROR(__xludf.DUMMYFUNCTION("""COMPUTED_VALUE"""),"M. 933/SUMBERREJO SEJAHTERA")</f>
        <v>M. 933/SUMBERREJO SEJAHTERA</v>
      </c>
      <c r="D2655" s="42"/>
      <c r="E2655" s="42"/>
      <c r="F2655" s="48" t="str">
        <f>IFERROR(__xludf.DUMMYFUNCTION("""COMPUTED_VALUE"""),"")</f>
        <v/>
      </c>
      <c r="G2655" s="42" t="str">
        <f>IFERROR(__xludf.DUMMYFUNCTION("""COMPUTED_VALUE"""),"HAPUS BPHTB")</f>
        <v>HAPUS BPHTB</v>
      </c>
      <c r="H2655" s="42">
        <f t="shared" si="1"/>
        <v>1251</v>
      </c>
    </row>
    <row r="2656" ht="22.5" customHeight="1">
      <c r="B2656" s="42" t="str">
        <f>IFERROR(__xludf.DUMMYFUNCTION("""COMPUTED_VALUE"""),"K/32/280225/2")</f>
        <v>K/32/280225/2</v>
      </c>
      <c r="C2656" s="42" t="str">
        <f>IFERROR(__xludf.DUMMYFUNCTION("""COMPUTED_VALUE"""),"M. 1952/ SUMBERREJO SEJAHTERA")</f>
        <v>M. 1952/ SUMBERREJO SEJAHTERA</v>
      </c>
      <c r="D2656" s="42"/>
      <c r="E2656" s="42" t="str">
        <f>IFERROR(__xludf.DUMMYFUNCTION("""COMPUTED_VALUE"""),"DISERAHKAN")</f>
        <v>DISERAHKAN</v>
      </c>
      <c r="F2656" s="48">
        <f>IFERROR(__xludf.DUMMYFUNCTION("""COMPUTED_VALUE"""),45727.49978025463)</f>
        <v>45727.49978</v>
      </c>
      <c r="G2656" s="42" t="str">
        <f>IFERROR(__xludf.DUMMYFUNCTION("""COMPUTED_VALUE"""),"BN HIBAH")</f>
        <v>BN HIBAH</v>
      </c>
      <c r="H2656" s="42">
        <f t="shared" si="1"/>
        <v>1252</v>
      </c>
    </row>
    <row r="2657" ht="22.5" customHeight="1">
      <c r="B2657" s="42" t="str">
        <f>IFERROR(__xludf.DUMMYFUNCTION("""COMPUTED_VALUE"""),"K/1/030325/1")</f>
        <v>K/1/030325/1</v>
      </c>
      <c r="C2657" s="42" t="str">
        <f>IFERROR(__xludf.DUMMYFUNCTION("""COMPUTED_VALUE"""),"B.192/SUKAMAJU")</f>
        <v>B.192/SUKAMAJU</v>
      </c>
      <c r="D2657" s="42"/>
      <c r="E2657" s="42"/>
      <c r="F2657" s="48" t="str">
        <f>IFERROR(__xludf.DUMMYFUNCTION("""COMPUTED_VALUE"""),"")</f>
        <v/>
      </c>
      <c r="G2657" s="42" t="str">
        <f>IFERROR(__xludf.DUMMYFUNCTION("""COMPUTED_VALUE"""),"SKPT INFORMASI")</f>
        <v>SKPT INFORMASI</v>
      </c>
      <c r="H2657" s="42">
        <f t="shared" si="1"/>
        <v>1252</v>
      </c>
    </row>
    <row r="2658" ht="22.5" customHeight="1">
      <c r="B2658" s="42" t="str">
        <f>IFERROR(__xludf.DUMMYFUNCTION("""COMPUTED_VALUE"""),"L/3/030325/1")</f>
        <v>L/3/030325/1</v>
      </c>
      <c r="C2658" s="42" t="str">
        <f>IFERROR(__xludf.DUMMYFUNCTION("""COMPUTED_VALUE"""),"HM 2500/SUKAMAJU")</f>
        <v>HM 2500/SUKAMAJU</v>
      </c>
      <c r="D2658" s="42"/>
      <c r="E2658" s="42"/>
      <c r="F2658" s="48" t="str">
        <f>IFERROR(__xludf.DUMMYFUNCTION("""COMPUTED_VALUE"""),"")</f>
        <v/>
      </c>
      <c r="G2658" s="42" t="str">
        <f>IFERROR(__xludf.DUMMYFUNCTION("""COMPUTED_VALUE"""),"PEMECAHAN")</f>
        <v>PEMECAHAN</v>
      </c>
      <c r="H2658" s="42">
        <f t="shared" si="1"/>
        <v>1252</v>
      </c>
    </row>
    <row r="2659" ht="22.5" customHeight="1">
      <c r="B2659" s="42" t="str">
        <f>IFERROR(__xludf.DUMMYFUNCTION("""COMPUTED_VALUE"""),"K/2/030325/1")</f>
        <v>K/2/030325/1</v>
      </c>
      <c r="C2659" s="42" t="str">
        <f>IFERROR(__xludf.DUMMYFUNCTION("""COMPUTED_VALUE"""),"M.1534/BUMI KEDAMAIAN")</f>
        <v>M.1534/BUMI KEDAMAIAN</v>
      </c>
      <c r="D2659" s="42"/>
      <c r="E2659" s="42"/>
      <c r="F2659" s="48" t="str">
        <f>IFERROR(__xludf.DUMMYFUNCTION("""COMPUTED_VALUE"""),"")</f>
        <v/>
      </c>
      <c r="G2659" s="42" t="str">
        <f>IFERROR(__xludf.DUMMYFUNCTION("""COMPUTED_VALUE"""),"BN JUAL BELI")</f>
        <v>BN JUAL BELI</v>
      </c>
      <c r="H2659" s="42">
        <f t="shared" si="1"/>
        <v>1252</v>
      </c>
    </row>
    <row r="2660" ht="22.5" customHeight="1">
      <c r="B2660" s="42" t="str">
        <f>IFERROR(__xludf.DUMMYFUNCTION("""COMPUTED_VALUE"""),"K/4/030325/1")</f>
        <v>K/4/030325/1</v>
      </c>
      <c r="C2660" s="42" t="str">
        <f>IFERROR(__xludf.DUMMYFUNCTION("""COMPUTED_VALUE"""),"M. 15869/ Sukabumi")</f>
        <v>M. 15869/ Sukabumi</v>
      </c>
      <c r="D2660" s="42"/>
      <c r="E2660" s="42" t="str">
        <f>IFERROR(__xludf.DUMMYFUNCTION("""COMPUTED_VALUE"""),"DISERAHKAN")</f>
        <v>DISERAHKAN</v>
      </c>
      <c r="F2660" s="48">
        <f>IFERROR(__xludf.DUMMYFUNCTION("""COMPUTED_VALUE"""),45723.47190903935)</f>
        <v>45723.47191</v>
      </c>
      <c r="G2660" s="42" t="str">
        <f>IFERROR(__xludf.DUMMYFUNCTION("""COMPUTED_VALUE"""),"BN JUAL BELI")</f>
        <v>BN JUAL BELI</v>
      </c>
      <c r="H2660" s="42">
        <f t="shared" si="1"/>
        <v>1253</v>
      </c>
    </row>
    <row r="2661" ht="22.5" customHeight="1">
      <c r="B2661" s="42" t="str">
        <f>IFERROR(__xludf.DUMMYFUNCTION("""COMPUTED_VALUE"""),"L/5/030325/1")</f>
        <v>L/5/030325/1</v>
      </c>
      <c r="C2661" s="42" t="str">
        <f>IFERROR(__xludf.DUMMYFUNCTION("""COMPUTED_VALUE"""),"ENGGAL")</f>
        <v>ENGGAL</v>
      </c>
      <c r="D2661" s="42"/>
      <c r="E2661" s="42"/>
      <c r="F2661" s="48" t="str">
        <f>IFERROR(__xludf.DUMMYFUNCTION("""COMPUTED_VALUE"""),"")</f>
        <v/>
      </c>
      <c r="G2661" s="42" t="str">
        <f>IFERROR(__xludf.DUMMYFUNCTION("""COMPUTED_VALUE"""),"PERMOHONAN SK")</f>
        <v>PERMOHONAN SK</v>
      </c>
      <c r="H2661" s="42">
        <f t="shared" si="1"/>
        <v>1253</v>
      </c>
    </row>
    <row r="2662" ht="22.5" customHeight="1">
      <c r="B2662" s="42" t="str">
        <f>IFERROR(__xludf.DUMMYFUNCTION("""COMPUTED_VALUE"""),"K/6/030325/1")</f>
        <v>K/6/030325/1</v>
      </c>
      <c r="C2662" s="42" t="str">
        <f>IFERROR(__xludf.DUMMYFUNCTION("""COMPUTED_VALUE"""),"NIBEL M. 3423/BUMI KEDAMAIAN")</f>
        <v>NIBEL M. 3423/BUMI KEDAMAIAN</v>
      </c>
      <c r="D2662" s="42"/>
      <c r="E2662" s="42"/>
      <c r="F2662" s="48" t="str">
        <f>IFERROR(__xludf.DUMMYFUNCTION("""COMPUTED_VALUE"""),"")</f>
        <v/>
      </c>
      <c r="G2662" s="42" t="str">
        <f>IFERROR(__xludf.DUMMYFUNCTION("""COMPUTED_VALUE"""),"BN JUAL BELI")</f>
        <v>BN JUAL BELI</v>
      </c>
      <c r="H2662" s="42">
        <f t="shared" si="1"/>
        <v>1253</v>
      </c>
    </row>
    <row r="2663" ht="22.5" customHeight="1">
      <c r="B2663" s="42" t="str">
        <f>IFERROR(__xludf.DUMMYFUNCTION("""COMPUTED_VALUE"""),"K/7/030325/1")</f>
        <v>K/7/030325/1</v>
      </c>
      <c r="C2663" s="42" t="str">
        <f>IFERROR(__xludf.DUMMYFUNCTION("""COMPUTED_VALUE"""),"M.3022/GEDONG AIR")</f>
        <v>M.3022/GEDONG AIR</v>
      </c>
      <c r="D2663" s="42"/>
      <c r="E2663" s="42"/>
      <c r="F2663" s="48" t="str">
        <f>IFERROR(__xludf.DUMMYFUNCTION("""COMPUTED_VALUE"""),"")</f>
        <v/>
      </c>
      <c r="G2663" s="42" t="str">
        <f>IFERROR(__xludf.DUMMYFUNCTION("""COMPUTED_VALUE"""),"HIBAH")</f>
        <v>HIBAH</v>
      </c>
      <c r="H2663" s="42">
        <f t="shared" si="1"/>
        <v>1253</v>
      </c>
    </row>
    <row r="2664" ht="22.5" customHeight="1">
      <c r="B2664" s="42" t="str">
        <f>IFERROR(__xludf.DUMMYFUNCTION("""COMPUTED_VALUE"""),"K/8/030325/2")</f>
        <v>K/8/030325/2</v>
      </c>
      <c r="C2664" s="42" t="str">
        <f>IFERROR(__xludf.DUMMYFUNCTION("""COMPUTED_VALUE"""),"M.3023/GEDONG AIR")</f>
        <v>M.3023/GEDONG AIR</v>
      </c>
      <c r="D2664" s="42"/>
      <c r="E2664" s="42"/>
      <c r="F2664" s="48" t="str">
        <f>IFERROR(__xludf.DUMMYFUNCTION("""COMPUTED_VALUE"""),"")</f>
        <v/>
      </c>
      <c r="G2664" s="42" t="str">
        <f>IFERROR(__xludf.DUMMYFUNCTION("""COMPUTED_VALUE"""),"HIBAH")</f>
        <v>HIBAH</v>
      </c>
      <c r="H2664" s="42">
        <f t="shared" si="1"/>
        <v>1253</v>
      </c>
    </row>
    <row r="2665" ht="22.5" customHeight="1">
      <c r="B2665" s="42" t="str">
        <f>IFERROR(__xludf.DUMMYFUNCTION("""COMPUTED_VALUE"""),"K/9/030325/3")</f>
        <v>K/9/030325/3</v>
      </c>
      <c r="C2665" s="42" t="str">
        <f>IFERROR(__xludf.DUMMYFUNCTION("""COMPUTED_VALUE"""),"M.3027/GEDONG AIR")</f>
        <v>M.3027/GEDONG AIR</v>
      </c>
      <c r="D2665" s="42"/>
      <c r="E2665" s="42"/>
      <c r="F2665" s="48" t="str">
        <f>IFERROR(__xludf.DUMMYFUNCTION("""COMPUTED_VALUE"""),"")</f>
        <v/>
      </c>
      <c r="G2665" s="42" t="str">
        <f>IFERROR(__xludf.DUMMYFUNCTION("""COMPUTED_VALUE"""),"HIBAH")</f>
        <v>HIBAH</v>
      </c>
      <c r="H2665" s="42">
        <f t="shared" si="1"/>
        <v>1253</v>
      </c>
    </row>
    <row r="2666" ht="22.5" customHeight="1">
      <c r="B2666" s="42" t="str">
        <f>IFERROR(__xludf.DUMMYFUNCTION("""COMPUTED_VALUE"""),"L/10/030325/1")</f>
        <v>L/10/030325/1</v>
      </c>
      <c r="C2666" s="42" t="str">
        <f>IFERROR(__xludf.DUMMYFUNCTION("""COMPUTED_VALUE"""),"HM 52/TANJUNG AGUNG")</f>
        <v>HM 52/TANJUNG AGUNG</v>
      </c>
      <c r="D2666" s="42"/>
      <c r="E2666" s="42" t="str">
        <f>IFERROR(__xludf.DUMMYFUNCTION("""COMPUTED_VALUE"""),"DISERAHKAN")</f>
        <v>DISERAHKAN</v>
      </c>
      <c r="F2666" s="48">
        <f>IFERROR(__xludf.DUMMYFUNCTION("""COMPUTED_VALUE"""),45763.551385011575)</f>
        <v>45763.55139</v>
      </c>
      <c r="G2666" s="42" t="str">
        <f>IFERROR(__xludf.DUMMYFUNCTION("""COMPUTED_VALUE"""),"ROYA")</f>
        <v>ROYA</v>
      </c>
      <c r="H2666" s="42">
        <f t="shared" si="1"/>
        <v>1254</v>
      </c>
    </row>
    <row r="2667" ht="22.5" customHeight="1">
      <c r="B2667" s="42" t="str">
        <f>IFERROR(__xludf.DUMMYFUNCTION("""COMPUTED_VALUE"""),"K/11/030325/1")</f>
        <v>K/11/030325/1</v>
      </c>
      <c r="C2667" s="42" t="str">
        <f>IFERROR(__xludf.DUMMYFUNCTION("""COMPUTED_VALUE"""),"M.1370/SUKAMAJU")</f>
        <v>M.1370/SUKAMAJU</v>
      </c>
      <c r="D2667" s="42"/>
      <c r="E2667" s="42"/>
      <c r="F2667" s="48" t="str">
        <f>IFERROR(__xludf.DUMMYFUNCTION("""COMPUTED_VALUE"""),"")</f>
        <v/>
      </c>
      <c r="G2667" s="42" t="str">
        <f>IFERROR(__xludf.DUMMYFUNCTION("""COMPUTED_VALUE"""),"KEWARISAN")</f>
        <v>KEWARISAN</v>
      </c>
      <c r="H2667" s="42">
        <f t="shared" si="1"/>
        <v>1254</v>
      </c>
    </row>
    <row r="2668" ht="22.5" customHeight="1">
      <c r="B2668" s="42" t="str">
        <f>IFERROR(__xludf.DUMMYFUNCTION("""COMPUTED_VALUE"""),"K/12/030325/1")</f>
        <v>K/12/030325/1</v>
      </c>
      <c r="C2668" s="42" t="str">
        <f>IFERROR(__xludf.DUMMYFUNCTION("""COMPUTED_VALUE"""),"M. 1672/ Bakung")</f>
        <v>M. 1672/ Bakung</v>
      </c>
      <c r="D2668" s="42"/>
      <c r="E2668" s="42"/>
      <c r="F2668" s="48" t="str">
        <f>IFERROR(__xludf.DUMMYFUNCTION("""COMPUTED_VALUE"""),"")</f>
        <v/>
      </c>
      <c r="G2668" s="42" t="str">
        <f>IFERROR(__xludf.DUMMYFUNCTION("""COMPUTED_VALUE"""),"HAPUS BPHTB")</f>
        <v>HAPUS BPHTB</v>
      </c>
      <c r="H2668" s="42">
        <f t="shared" si="1"/>
        <v>1254</v>
      </c>
    </row>
    <row r="2669" ht="22.5" customHeight="1">
      <c r="B2669" s="42" t="str">
        <f>IFERROR(__xludf.DUMMYFUNCTION("""COMPUTED_VALUE"""),"K/13/030325/1")</f>
        <v>K/13/030325/1</v>
      </c>
      <c r="C2669" s="42" t="str">
        <f>IFERROR(__xludf.DUMMYFUNCTION("""COMPUTED_VALUE"""),"M.1805/RAJABASA RAYA")</f>
        <v>M.1805/RAJABASA RAYA</v>
      </c>
      <c r="D2669" s="42"/>
      <c r="E2669" s="42"/>
      <c r="F2669" s="48" t="str">
        <f>IFERROR(__xludf.DUMMYFUNCTION("""COMPUTED_VALUE"""),"")</f>
        <v/>
      </c>
      <c r="G2669" s="42" t="str">
        <f>IFERROR(__xludf.DUMMYFUNCTION("""COMPUTED_VALUE"""),"PTPGT")</f>
        <v>PTPGT</v>
      </c>
      <c r="H2669" s="42">
        <f t="shared" si="1"/>
        <v>1254</v>
      </c>
    </row>
    <row r="2670" ht="22.5" customHeight="1">
      <c r="B2670" s="42" t="str">
        <f>IFERROR(__xludf.DUMMYFUNCTION("""COMPUTED_VALUE"""),"K/14/030325/1")</f>
        <v>K/14/030325/1</v>
      </c>
      <c r="C2670" s="42" t="str">
        <f>IFERROR(__xludf.DUMMYFUNCTION("""COMPUTED_VALUE"""),"M.4797/LANGKAPURA")</f>
        <v>M.4797/LANGKAPURA</v>
      </c>
      <c r="D2670" s="42"/>
      <c r="E2670" s="42"/>
      <c r="F2670" s="48" t="str">
        <f>IFERROR(__xludf.DUMMYFUNCTION("""COMPUTED_VALUE"""),"")</f>
        <v/>
      </c>
      <c r="G2670" s="42" t="str">
        <f>IFERROR(__xludf.DUMMYFUNCTION("""COMPUTED_VALUE"""),"HAPUS BPHTB")</f>
        <v>HAPUS BPHTB</v>
      </c>
      <c r="H2670" s="42">
        <f t="shared" si="1"/>
        <v>1254</v>
      </c>
    </row>
    <row r="2671" ht="22.5" customHeight="1">
      <c r="B2671" s="42" t="str">
        <f>IFERROR(__xludf.DUMMYFUNCTION("""COMPUTED_VALUE"""),"K/15/030325/1")</f>
        <v>K/15/030325/1</v>
      </c>
      <c r="C2671" s="42" t="str">
        <f>IFERROR(__xludf.DUMMYFUNCTION("""COMPUTED_VALUE"""),"M. 22/ labuhan Ratu")</f>
        <v>M. 22/ labuhan Ratu</v>
      </c>
      <c r="D2671" s="42"/>
      <c r="E2671" s="42"/>
      <c r="F2671" s="48" t="str">
        <f>IFERROR(__xludf.DUMMYFUNCTION("""COMPUTED_VALUE"""),"")</f>
        <v/>
      </c>
      <c r="G2671" s="42" t="str">
        <f>IFERROR(__xludf.DUMMYFUNCTION("""COMPUTED_VALUE"""),"SKPT LELANG")</f>
        <v>SKPT LELANG</v>
      </c>
      <c r="H2671" s="42">
        <f t="shared" si="1"/>
        <v>1254</v>
      </c>
    </row>
    <row r="2672" ht="22.5" customHeight="1">
      <c r="B2672" s="42" t="str">
        <f>IFERROR(__xludf.DUMMYFUNCTION("""COMPUTED_VALUE"""),"K/16/030325/1")</f>
        <v>K/16/030325/1</v>
      </c>
      <c r="C2672" s="42" t="str">
        <f>IFERROR(__xludf.DUMMYFUNCTION("""COMPUTED_VALUE"""),"M. 1389/ Kaliawi")</f>
        <v>M. 1389/ Kaliawi</v>
      </c>
      <c r="D2672" s="42"/>
      <c r="E2672" s="42"/>
      <c r="F2672" s="48" t="str">
        <f>IFERROR(__xludf.DUMMYFUNCTION("""COMPUTED_VALUE"""),"")</f>
        <v/>
      </c>
      <c r="G2672" s="42" t="str">
        <f>IFERROR(__xludf.DUMMYFUNCTION("""COMPUTED_VALUE"""),"S. Hilang")</f>
        <v>S. Hilang</v>
      </c>
      <c r="H2672" s="42">
        <f t="shared" si="1"/>
        <v>1254</v>
      </c>
    </row>
    <row r="2673" ht="22.5" customHeight="1">
      <c r="B2673" s="42" t="str">
        <f>IFERROR(__xludf.DUMMYFUNCTION("""COMPUTED_VALUE"""),"K/19/030325/1")</f>
        <v>K/19/030325/1</v>
      </c>
      <c r="C2673" s="42" t="str">
        <f>IFERROR(__xludf.DUMMYFUNCTION("""COMPUTED_VALUE"""),"Nibel 16447/ Beringin Jaya")</f>
        <v>Nibel 16447/ Beringin Jaya</v>
      </c>
      <c r="D2673" s="42"/>
      <c r="E2673" s="42"/>
      <c r="F2673" s="48" t="str">
        <f>IFERROR(__xludf.DUMMYFUNCTION("""COMPUTED_VALUE"""),"")</f>
        <v/>
      </c>
      <c r="G2673" s="42" t="str">
        <f>IFERROR(__xludf.DUMMYFUNCTION("""COMPUTED_VALUE"""),"PTPGT PEMECAHAN")</f>
        <v>PTPGT PEMECAHAN</v>
      </c>
      <c r="H2673" s="42">
        <f t="shared" si="1"/>
        <v>1254</v>
      </c>
    </row>
    <row r="2674" ht="22.5" customHeight="1">
      <c r="B2674" s="42" t="str">
        <f>IFERROR(__xludf.DUMMYFUNCTION("""COMPUTED_VALUE"""),"L/21/030325/1")</f>
        <v>L/21/030325/1</v>
      </c>
      <c r="C2674" s="42" t="str">
        <f>IFERROR(__xludf.DUMMYFUNCTION("""COMPUTED_VALUE"""),"HM 12280/KEDATON")</f>
        <v>HM 12280/KEDATON</v>
      </c>
      <c r="D2674" s="42"/>
      <c r="E2674" s="42" t="str">
        <f>IFERROR(__xludf.DUMMYFUNCTION("""COMPUTED_VALUE"""),"DISERAHKAN")</f>
        <v>DISERAHKAN</v>
      </c>
      <c r="F2674" s="48">
        <f>IFERROR(__xludf.DUMMYFUNCTION("""COMPUTED_VALUE"""),45741.53256980324)</f>
        <v>45741.53257</v>
      </c>
      <c r="G2674" s="42" t="str">
        <f>IFERROR(__xludf.DUMMYFUNCTION("""COMPUTED_VALUE"""),"ROYA")</f>
        <v>ROYA</v>
      </c>
      <c r="H2674" s="42">
        <f t="shared" si="1"/>
        <v>1255</v>
      </c>
    </row>
    <row r="2675" ht="22.5" customHeight="1">
      <c r="B2675" s="42" t="str">
        <f>IFERROR(__xludf.DUMMYFUNCTION("""COMPUTED_VALUE"""),"K/22/030325/1")</f>
        <v>K/22/030325/1</v>
      </c>
      <c r="C2675" s="42" t="str">
        <f>IFERROR(__xludf.DUMMYFUNCTION("""COMPUTED_VALUE"""),"NIBEL B 1169/ENGGAL")</f>
        <v>NIBEL B 1169/ENGGAL</v>
      </c>
      <c r="D2675" s="42"/>
      <c r="E2675" s="42"/>
      <c r="F2675" s="48" t="str">
        <f>IFERROR(__xludf.DUMMYFUNCTION("""COMPUTED_VALUE"""),"")</f>
        <v/>
      </c>
      <c r="G2675" s="42" t="str">
        <f>IFERROR(__xludf.DUMMYFUNCTION("""COMPUTED_VALUE"""),"JUAL BELI")</f>
        <v>JUAL BELI</v>
      </c>
      <c r="H2675" s="42">
        <f t="shared" si="1"/>
        <v>1255</v>
      </c>
    </row>
    <row r="2676" ht="22.5" customHeight="1">
      <c r="B2676" s="42" t="str">
        <f>IFERROR(__xludf.DUMMYFUNCTION("""COMPUTED_VALUE"""),"K/20/030325/1")</f>
        <v>K/20/030325/1</v>
      </c>
      <c r="C2676" s="42" t="str">
        <f>IFERROR(__xludf.DUMMYFUNCTION("""COMPUTED_VALUE"""),"M. 524/ Pidada")</f>
        <v>M. 524/ Pidada</v>
      </c>
      <c r="D2676" s="42"/>
      <c r="E2676" s="42" t="str">
        <f>IFERROR(__xludf.DUMMYFUNCTION("""COMPUTED_VALUE"""),"DISERAHKAN")</f>
        <v>DISERAHKAN</v>
      </c>
      <c r="F2676" s="48">
        <f>IFERROR(__xludf.DUMMYFUNCTION("""COMPUTED_VALUE"""),45743.44315283565)</f>
        <v>45743.44315</v>
      </c>
      <c r="G2676" s="42" t="str">
        <f>IFERROR(__xludf.DUMMYFUNCTION("""COMPUTED_VALUE"""),"BN Jual Beli")</f>
        <v>BN Jual Beli</v>
      </c>
      <c r="H2676" s="42">
        <f t="shared" si="1"/>
        <v>1256</v>
      </c>
    </row>
    <row r="2677" ht="22.5" customHeight="1">
      <c r="B2677" s="42" t="str">
        <f>IFERROR(__xludf.DUMMYFUNCTION("""COMPUTED_VALUE"""),"K/23/030325/1")</f>
        <v>K/23/030325/1</v>
      </c>
      <c r="C2677" s="42" t="str">
        <f>IFERROR(__xludf.DUMMYFUNCTION("""COMPUTED_VALUE"""),"M. 1638/WAY KANDIS")</f>
        <v>M. 1638/WAY KANDIS</v>
      </c>
      <c r="D2677" s="42"/>
      <c r="E2677" s="42" t="str">
        <f>IFERROR(__xludf.DUMMYFUNCTION("""COMPUTED_VALUE"""),"DISERAHKAN")</f>
        <v>DISERAHKAN</v>
      </c>
      <c r="F2677" s="48">
        <f>IFERROR(__xludf.DUMMYFUNCTION("""COMPUTED_VALUE"""),45723.48025576389)</f>
        <v>45723.48026</v>
      </c>
      <c r="G2677" s="42" t="str">
        <f>IFERROR(__xludf.DUMMYFUNCTION("""COMPUTED_VALUE"""),"BN HIBAH")</f>
        <v>BN HIBAH</v>
      </c>
      <c r="H2677" s="42">
        <f t="shared" si="1"/>
        <v>1257</v>
      </c>
    </row>
    <row r="2678" ht="22.5" customHeight="1">
      <c r="B2678" s="42" t="str">
        <f>IFERROR(__xludf.DUMMYFUNCTION("""COMPUTED_VALUE"""),"K/24/030325/1")</f>
        <v>K/24/030325/1</v>
      </c>
      <c r="C2678" s="42" t="str">
        <f>IFERROR(__xludf.DUMMYFUNCTION("""COMPUTED_VALUE"""),"M.313/LABUHAN DALAM")</f>
        <v>M.313/LABUHAN DALAM</v>
      </c>
      <c r="D2678" s="42"/>
      <c r="E2678" s="42"/>
      <c r="F2678" s="48" t="str">
        <f>IFERROR(__xludf.DUMMYFUNCTION("""COMPUTED_VALUE"""),"")</f>
        <v/>
      </c>
      <c r="G2678" s="42" t="str">
        <f>IFERROR(__xludf.DUMMYFUNCTION("""COMPUTED_VALUE"""),"HIBAH")</f>
        <v>HIBAH</v>
      </c>
      <c r="H2678" s="42">
        <f t="shared" si="1"/>
        <v>1257</v>
      </c>
    </row>
    <row r="2679" ht="22.5" customHeight="1">
      <c r="B2679" s="42" t="str">
        <f>IFERROR(__xludf.DUMMYFUNCTION("""COMPUTED_VALUE"""),"K/18/030325/2")</f>
        <v>K/18/030325/2</v>
      </c>
      <c r="C2679" s="42" t="str">
        <f>IFERROR(__xludf.DUMMYFUNCTION("""COMPUTED_VALUE"""),"M. 2667/ Sumber Agung")</f>
        <v>M. 2667/ Sumber Agung</v>
      </c>
      <c r="D2679" s="42"/>
      <c r="E2679" s="42" t="str">
        <f>IFERROR(__xludf.DUMMYFUNCTION("""COMPUTED_VALUE"""),"DISERAHKAN")</f>
        <v>DISERAHKAN</v>
      </c>
      <c r="F2679" s="48">
        <f>IFERROR(__xludf.DUMMYFUNCTION("""COMPUTED_VALUE"""),45733.61801517361)</f>
        <v>45733.61802</v>
      </c>
      <c r="G2679" s="42" t="str">
        <f>IFERROR(__xludf.DUMMYFUNCTION("""COMPUTED_VALUE"""),"BN Jual Beli")</f>
        <v>BN Jual Beli</v>
      </c>
      <c r="H2679" s="42">
        <f t="shared" si="1"/>
        <v>1258</v>
      </c>
    </row>
    <row r="2680" ht="22.5" customHeight="1">
      <c r="B2680" s="42" t="str">
        <f>IFERROR(__xludf.DUMMYFUNCTION("""COMPUTED_VALUE"""),"K/17/030325/1")</f>
        <v>K/17/030325/1</v>
      </c>
      <c r="C2680" s="42" t="str">
        <f>IFERROR(__xludf.DUMMYFUNCTION("""COMPUTED_VALUE"""),"M. 2668/ Sumber Agung")</f>
        <v>M. 2668/ Sumber Agung</v>
      </c>
      <c r="D2680" s="42"/>
      <c r="E2680" s="42" t="str">
        <f>IFERROR(__xludf.DUMMYFUNCTION("""COMPUTED_VALUE"""),"DISERAHKAN BT")</f>
        <v>DISERAHKAN BT</v>
      </c>
      <c r="F2680" s="48">
        <f>IFERROR(__xludf.DUMMYFUNCTION("""COMPUTED_VALUE"""),45727.49446613426)</f>
        <v>45727.49447</v>
      </c>
      <c r="G2680" s="42" t="str">
        <f>IFERROR(__xludf.DUMMYFUNCTION("""COMPUTED_VALUE"""),"BN Jual Beli")</f>
        <v>BN Jual Beli</v>
      </c>
      <c r="H2680" s="42">
        <f t="shared" si="1"/>
        <v>1258</v>
      </c>
    </row>
    <row r="2681" ht="22.5" customHeight="1">
      <c r="B2681" s="42" t="str">
        <f>IFERROR(__xludf.DUMMYFUNCTION("""COMPUTED_VALUE"""),"K/25/030325/1")</f>
        <v>K/25/030325/1</v>
      </c>
      <c r="C2681" s="42" t="str">
        <f>IFERROR(__xludf.DUMMYFUNCTION("""COMPUTED_VALUE"""),"M. 894/ Perwata")</f>
        <v>M. 894/ Perwata</v>
      </c>
      <c r="D2681" s="42"/>
      <c r="E2681" s="42"/>
      <c r="F2681" s="48" t="str">
        <f>IFERROR(__xludf.DUMMYFUNCTION("""COMPUTED_VALUE"""),"")</f>
        <v/>
      </c>
      <c r="G2681" s="42" t="str">
        <f>IFERROR(__xludf.DUMMYFUNCTION("""COMPUTED_VALUE"""),"BN JUAL BELI")</f>
        <v>BN JUAL BELI</v>
      </c>
      <c r="H2681" s="42">
        <f t="shared" si="1"/>
        <v>1258</v>
      </c>
    </row>
    <row r="2682" ht="22.5" customHeight="1">
      <c r="B2682" s="42" t="str">
        <f>IFERROR(__xludf.DUMMYFUNCTION("""COMPUTED_VALUE"""),"K/26/030325/1")</f>
        <v>K/26/030325/1</v>
      </c>
      <c r="C2682" s="42" t="str">
        <f>IFERROR(__xludf.DUMMYFUNCTION("""COMPUTED_VALUE"""),"M. 971/ Kangkung")</f>
        <v>M. 971/ Kangkung</v>
      </c>
      <c r="D2682" s="42"/>
      <c r="E2682" s="42"/>
      <c r="F2682" s="48" t="str">
        <f>IFERROR(__xludf.DUMMYFUNCTION("""COMPUTED_VALUE"""),"")</f>
        <v/>
      </c>
      <c r="G2682" s="42" t="str">
        <f>IFERROR(__xludf.DUMMYFUNCTION("""COMPUTED_VALUE"""),"BN Waris")</f>
        <v>BN Waris</v>
      </c>
      <c r="H2682" s="42">
        <f t="shared" si="1"/>
        <v>1258</v>
      </c>
    </row>
    <row r="2683" ht="22.5" customHeight="1">
      <c r="B2683" s="42" t="str">
        <f>IFERROR(__xludf.DUMMYFUNCTION("""COMPUTED_VALUE"""),"K/27/030325/1")</f>
        <v>K/27/030325/1</v>
      </c>
      <c r="C2683" s="42" t="str">
        <f>IFERROR(__xludf.DUMMYFUNCTION("""COMPUTED_VALUE"""),"Nibel. M. 1171/ Rajabasa Jaya")</f>
        <v>Nibel. M. 1171/ Rajabasa Jaya</v>
      </c>
      <c r="D2683" s="42"/>
      <c r="E2683" s="42"/>
      <c r="F2683" s="48" t="str">
        <f>IFERROR(__xludf.DUMMYFUNCTION("""COMPUTED_VALUE"""),"")</f>
        <v/>
      </c>
      <c r="G2683" s="42" t="str">
        <f>IFERROR(__xludf.DUMMYFUNCTION("""COMPUTED_VALUE"""),"BN Jual Beli")</f>
        <v>BN Jual Beli</v>
      </c>
      <c r="H2683" s="42">
        <f t="shared" si="1"/>
        <v>1258</v>
      </c>
    </row>
    <row r="2684" ht="22.5" customHeight="1">
      <c r="B2684" s="42" t="str">
        <f>IFERROR(__xludf.DUMMYFUNCTION("""COMPUTED_VALUE"""),"K/28/030325/2")</f>
        <v>K/28/030325/2</v>
      </c>
      <c r="C2684" s="42" t="str">
        <f>IFERROR(__xludf.DUMMYFUNCTION("""COMPUTED_VALUE"""),"M. 1873. Kemiling Permai")</f>
        <v>M. 1873. Kemiling Permai</v>
      </c>
      <c r="D2684" s="42"/>
      <c r="E2684" s="42" t="str">
        <f>IFERROR(__xludf.DUMMYFUNCTION("""COMPUTED_VALUE"""),"DISERAHKAN")</f>
        <v>DISERAHKAN</v>
      </c>
      <c r="F2684" s="48">
        <f>IFERROR(__xludf.DUMMYFUNCTION("""COMPUTED_VALUE"""),45727.494101944445)</f>
        <v>45727.4941</v>
      </c>
      <c r="G2684" s="42" t="str">
        <f>IFERROR(__xludf.DUMMYFUNCTION("""COMPUTED_VALUE"""),"BN Jual Beli")</f>
        <v>BN Jual Beli</v>
      </c>
      <c r="H2684" s="42">
        <f t="shared" si="1"/>
        <v>1259</v>
      </c>
    </row>
    <row r="2685" ht="22.5" customHeight="1">
      <c r="B2685" s="42" t="str">
        <f>IFERROR(__xludf.DUMMYFUNCTION("""COMPUTED_VALUE"""),"K/30/030325/1")</f>
        <v>K/30/030325/1</v>
      </c>
      <c r="C2685" s="42" t="str">
        <f>IFERROR(__xludf.DUMMYFUNCTION("""COMPUTED_VALUE"""),"M.1887/GEDNG AIR")</f>
        <v>M.1887/GEDNG AIR</v>
      </c>
      <c r="D2685" s="42"/>
      <c r="E2685" s="42" t="str">
        <f>IFERROR(__xludf.DUMMYFUNCTION("""COMPUTED_VALUE"""),"DISERAHKAN")</f>
        <v>DISERAHKAN</v>
      </c>
      <c r="F2685" s="48">
        <f>IFERROR(__xludf.DUMMYFUNCTION("""COMPUTED_VALUE"""),45742.61228821759)</f>
        <v>45742.61229</v>
      </c>
      <c r="G2685" s="42" t="str">
        <f>IFERROR(__xludf.DUMMYFUNCTION("""COMPUTED_VALUE"""),"ROYA")</f>
        <v>ROYA</v>
      </c>
      <c r="H2685" s="42">
        <f t="shared" si="1"/>
        <v>1260</v>
      </c>
    </row>
    <row r="2686" ht="22.5" customHeight="1">
      <c r="B2686" s="42" t="str">
        <f>IFERROR(__xludf.DUMMYFUNCTION("""COMPUTED_VALUE"""),"K/31/030325/2")</f>
        <v>K/31/030325/2</v>
      </c>
      <c r="C2686" s="42" t="str">
        <f>IFERROR(__xludf.DUMMYFUNCTION("""COMPUTED_VALUE"""),"M.2381/LANGKAPURA")</f>
        <v>M.2381/LANGKAPURA</v>
      </c>
      <c r="D2686" s="42"/>
      <c r="E2686" s="42" t="str">
        <f>IFERROR(__xludf.DUMMYFUNCTION("""COMPUTED_VALUE"""),"DISERAHKAN")</f>
        <v>DISERAHKAN</v>
      </c>
      <c r="F2686" s="48">
        <f>IFERROR(__xludf.DUMMYFUNCTION("""COMPUTED_VALUE"""),45769.60071222222)</f>
        <v>45769.60071</v>
      </c>
      <c r="G2686" s="42" t="str">
        <f>IFERROR(__xludf.DUMMYFUNCTION("""COMPUTED_VALUE"""),"ROYA")</f>
        <v>ROYA</v>
      </c>
      <c r="H2686" s="42">
        <f t="shared" si="1"/>
        <v>1261</v>
      </c>
    </row>
    <row r="2687" ht="22.5" customHeight="1">
      <c r="B2687" s="42" t="str">
        <f>IFERROR(__xludf.DUMMYFUNCTION("""COMPUTED_VALUE"""),"K/32/030325/3")</f>
        <v>K/32/030325/3</v>
      </c>
      <c r="C2687" s="42" t="str">
        <f>IFERROR(__xludf.DUMMYFUNCTION("""COMPUTED_VALUE"""),"M.12/KOTA SEPANG")</f>
        <v>M.12/KOTA SEPANG</v>
      </c>
      <c r="D2687" s="42"/>
      <c r="E2687" s="42" t="str">
        <f>IFERROR(__xludf.DUMMYFUNCTION("""COMPUTED_VALUE"""),"DISERAHKAN")</f>
        <v>DISERAHKAN</v>
      </c>
      <c r="F2687" s="48">
        <f>IFERROR(__xludf.DUMMYFUNCTION("""COMPUTED_VALUE"""),45769.60071222222)</f>
        <v>45769.60071</v>
      </c>
      <c r="G2687" s="42" t="str">
        <f>IFERROR(__xludf.DUMMYFUNCTION("""COMPUTED_VALUE"""),"ROYA LELANG")</f>
        <v>ROYA LELANG</v>
      </c>
      <c r="H2687" s="42">
        <f t="shared" si="1"/>
        <v>1262</v>
      </c>
    </row>
    <row r="2688" ht="22.5" customHeight="1">
      <c r="B2688" s="42" t="str">
        <f>IFERROR(__xludf.DUMMYFUNCTION("""COMPUTED_VALUE"""),"L/1/04032025/1")</f>
        <v>L/1/04032025/1</v>
      </c>
      <c r="C2688" s="42" t="str">
        <f>IFERROR(__xludf.DUMMYFUNCTION("""COMPUTED_VALUE"""),"HM 1086/KEMILING PERMAI")</f>
        <v>HM 1086/KEMILING PERMAI</v>
      </c>
      <c r="D2688" s="42"/>
      <c r="E2688" s="42" t="str">
        <f>IFERROR(__xludf.DUMMYFUNCTION("""COMPUTED_VALUE"""),"DISERAHKAN")</f>
        <v>DISERAHKAN</v>
      </c>
      <c r="F2688" s="48">
        <f>IFERROR(__xludf.DUMMYFUNCTION("""COMPUTED_VALUE"""),45758.62870755787)</f>
        <v>45758.62871</v>
      </c>
      <c r="G2688" s="42" t="str">
        <f>IFERROR(__xludf.DUMMYFUNCTION("""COMPUTED_VALUE"""),"ROYA")</f>
        <v>ROYA</v>
      </c>
      <c r="H2688" s="42">
        <f t="shared" si="1"/>
        <v>1263</v>
      </c>
    </row>
    <row r="2689" ht="22.5" customHeight="1">
      <c r="B2689" s="42" t="str">
        <f>IFERROR(__xludf.DUMMYFUNCTION("""COMPUTED_VALUE"""),"K/2/040325/1")</f>
        <v>K/2/040325/1</v>
      </c>
      <c r="C2689" s="42" t="str">
        <f>IFERROR(__xludf.DUMMYFUNCTION("""COMPUTED_VALUE"""),"M. 1014/ Tanjung Agung")</f>
        <v>M. 1014/ Tanjung Agung</v>
      </c>
      <c r="D2689" s="42"/>
      <c r="E2689" s="42"/>
      <c r="F2689" s="48" t="str">
        <f>IFERROR(__xludf.DUMMYFUNCTION("""COMPUTED_VALUE"""),"")</f>
        <v/>
      </c>
      <c r="G2689" s="42" t="str">
        <f>IFERROR(__xludf.DUMMYFUNCTION("""COMPUTED_VALUE"""),"Pemecahan")</f>
        <v>Pemecahan</v>
      </c>
      <c r="H2689" s="42">
        <f t="shared" si="1"/>
        <v>1263</v>
      </c>
    </row>
    <row r="2690" ht="22.5" customHeight="1">
      <c r="B2690" s="42" t="str">
        <f>IFERROR(__xludf.DUMMYFUNCTION("""COMPUTED_VALUE"""),"K/3/040325/1")</f>
        <v>K/3/040325/1</v>
      </c>
      <c r="C2690" s="42" t="str">
        <f>IFERROR(__xludf.DUMMYFUNCTION("""COMPUTED_VALUE"""),"Nibel 9418/ Way Laga")</f>
        <v>Nibel 9418/ Way Laga</v>
      </c>
      <c r="D2690" s="42"/>
      <c r="E2690" s="42"/>
      <c r="F2690" s="48" t="str">
        <f>IFERROR(__xludf.DUMMYFUNCTION("""COMPUTED_VALUE"""),"")</f>
        <v/>
      </c>
      <c r="G2690" s="42" t="str">
        <f>IFERROR(__xludf.DUMMYFUNCTION("""COMPUTED_VALUE"""),"BN JUAL BELI")</f>
        <v>BN JUAL BELI</v>
      </c>
      <c r="H2690" s="42">
        <f t="shared" si="1"/>
        <v>1263</v>
      </c>
    </row>
    <row r="2691" ht="22.5" customHeight="1">
      <c r="B2691" s="42" t="str">
        <f>IFERROR(__xludf.DUMMYFUNCTION("""COMPUTED_VALUE"""),"K/4/040325/1")</f>
        <v>K/4/040325/1</v>
      </c>
      <c r="C2691" s="42" t="str">
        <f>IFERROR(__xludf.DUMMYFUNCTION("""COMPUTED_VALUE"""),"B. 3590 / SUKABUMI")</f>
        <v>B. 3590 / SUKABUMI</v>
      </c>
      <c r="D2691" s="42"/>
      <c r="E2691" s="42"/>
      <c r="F2691" s="48" t="str">
        <f>IFERROR(__xludf.DUMMYFUNCTION("""COMPUTED_VALUE"""),"")</f>
        <v/>
      </c>
      <c r="G2691" s="42" t="str">
        <f>IFERROR(__xludf.DUMMYFUNCTION("""COMPUTED_VALUE"""),"PERUBAHAN HAK")</f>
        <v>PERUBAHAN HAK</v>
      </c>
      <c r="H2691" s="42">
        <f t="shared" si="1"/>
        <v>1263</v>
      </c>
    </row>
    <row r="2692" ht="22.5" customHeight="1">
      <c r="B2692" s="42" t="str">
        <f>IFERROR(__xludf.DUMMYFUNCTION("""COMPUTED_VALUE"""),"L/6/040325/1")</f>
        <v>L/6/040325/1</v>
      </c>
      <c r="C2692" s="42" t="str">
        <f>IFERROR(__xludf.DUMMYFUNCTION("""COMPUTED_VALUE"""),"HM 139/GUNUNG TERANG")</f>
        <v>HM 139/GUNUNG TERANG</v>
      </c>
      <c r="D2692" s="42"/>
      <c r="E2692" s="42" t="str">
        <f>IFERROR(__xludf.DUMMYFUNCTION("""COMPUTED_VALUE"""),"DISERAHKAN")</f>
        <v>DISERAHKAN</v>
      </c>
      <c r="F2692" s="48">
        <f>IFERROR(__xludf.DUMMYFUNCTION("""COMPUTED_VALUE"""),45734.44258643519)</f>
        <v>45734.44259</v>
      </c>
      <c r="G2692" s="42" t="str">
        <f>IFERROR(__xludf.DUMMYFUNCTION("""COMPUTED_VALUE"""),"ROYA LELANG")</f>
        <v>ROYA LELANG</v>
      </c>
      <c r="H2692" s="42">
        <f t="shared" si="1"/>
        <v>1264</v>
      </c>
    </row>
    <row r="2693" ht="22.5" customHeight="1">
      <c r="B2693" s="42" t="str">
        <f>IFERROR(__xludf.DUMMYFUNCTION("""COMPUTED_VALUE"""),"K/5/040325/1")</f>
        <v>K/5/040325/1</v>
      </c>
      <c r="C2693" s="42" t="str">
        <f>IFERROR(__xludf.DUMMYFUNCTION("""COMPUTED_VALUE"""),"M. 653/ Sukarame II")</f>
        <v>M. 653/ Sukarame II</v>
      </c>
      <c r="D2693" s="42"/>
      <c r="E2693" s="42" t="str">
        <f>IFERROR(__xludf.DUMMYFUNCTION("""COMPUTED_VALUE"""),"DISERAHKAN")</f>
        <v>DISERAHKAN</v>
      </c>
      <c r="F2693" s="48">
        <f>IFERROR(__xludf.DUMMYFUNCTION("""COMPUTED_VALUE"""),45730.39703828703)</f>
        <v>45730.39704</v>
      </c>
      <c r="G2693" s="42" t="str">
        <f>IFERROR(__xludf.DUMMYFUNCTION("""COMPUTED_VALUE"""),"BN HIBAH")</f>
        <v>BN HIBAH</v>
      </c>
      <c r="H2693" s="42">
        <f t="shared" si="1"/>
        <v>1265</v>
      </c>
    </row>
    <row r="2694" ht="22.5" customHeight="1">
      <c r="B2694" s="42" t="str">
        <f>IFERROR(__xludf.DUMMYFUNCTION("""COMPUTED_VALUE"""),"K/9/040325/1")</f>
        <v>K/9/040325/1</v>
      </c>
      <c r="C2694" s="42" t="str">
        <f>IFERROR(__xludf.DUMMYFUNCTION("""COMPUTED_VALUE"""),"Nibel 16265/ Negeri Olok Gading")</f>
        <v>Nibel 16265/ Negeri Olok Gading</v>
      </c>
      <c r="D2694" s="42"/>
      <c r="E2694" s="42"/>
      <c r="F2694" s="48" t="str">
        <f>IFERROR(__xludf.DUMMYFUNCTION("""COMPUTED_VALUE"""),"")</f>
        <v/>
      </c>
      <c r="G2694" s="42" t="str">
        <f>IFERROR(__xludf.DUMMYFUNCTION("""COMPUTED_VALUE"""),"PTPGT HGB BERAKHIR")</f>
        <v>PTPGT HGB BERAKHIR</v>
      </c>
      <c r="H2694" s="42">
        <f t="shared" si="1"/>
        <v>1265</v>
      </c>
    </row>
    <row r="2695" ht="22.5" customHeight="1">
      <c r="B2695" s="42" t="str">
        <f>IFERROR(__xludf.DUMMYFUNCTION("""COMPUTED_VALUE"""),"K/10/040325/1")</f>
        <v>K/10/040325/1</v>
      </c>
      <c r="C2695" s="42" t="str">
        <f>IFERROR(__xludf.DUMMYFUNCTION("""COMPUTED_VALUE"""),"NIBEL M 2711/NEGERI OLOK GADING")</f>
        <v>NIBEL M 2711/NEGERI OLOK GADING</v>
      </c>
      <c r="D2695" s="42"/>
      <c r="E2695" s="42"/>
      <c r="F2695" s="48" t="str">
        <f>IFERROR(__xludf.DUMMYFUNCTION("""COMPUTED_VALUE"""),"")</f>
        <v/>
      </c>
      <c r="G2695" s="42" t="str">
        <f>IFERROR(__xludf.DUMMYFUNCTION("""COMPUTED_VALUE"""),"JUAL BELI")</f>
        <v>JUAL BELI</v>
      </c>
      <c r="H2695" s="42">
        <f t="shared" si="1"/>
        <v>1265</v>
      </c>
    </row>
    <row r="2696" ht="22.5" customHeight="1">
      <c r="B2696" s="42" t="str">
        <f>IFERROR(__xludf.DUMMYFUNCTION("""COMPUTED_VALUE"""),"K/7/040325/1")</f>
        <v>K/7/040325/1</v>
      </c>
      <c r="C2696" s="42" t="str">
        <f>IFERROR(__xludf.DUMMYFUNCTION("""COMPUTED_VALUE"""),"M. 12545/KEDAMAIAN, M. 10977/KEDAMAIAN")</f>
        <v>M. 12545/KEDAMAIAN, M. 10977/KEDAMAIAN</v>
      </c>
      <c r="D2696" s="42"/>
      <c r="E2696" s="42"/>
      <c r="F2696" s="48" t="str">
        <f>IFERROR(__xludf.DUMMYFUNCTION("""COMPUTED_VALUE"""),"")</f>
        <v/>
      </c>
      <c r="G2696" s="42" t="str">
        <f>IFERROR(__xludf.DUMMYFUNCTION("""COMPUTED_VALUE"""),"ROYA")</f>
        <v>ROYA</v>
      </c>
      <c r="H2696" s="42">
        <f t="shared" si="1"/>
        <v>1265</v>
      </c>
    </row>
    <row r="2697" ht="22.5" customHeight="1">
      <c r="B2697" s="42" t="str">
        <f>IFERROR(__xludf.DUMMYFUNCTION("""COMPUTED_VALUE"""),"K/8/040325/2")</f>
        <v>K/8/040325/2</v>
      </c>
      <c r="C2697" s="42" t="str">
        <f>IFERROR(__xludf.DUMMYFUNCTION("""COMPUTED_VALUE"""),"M. 25 / KALI BALAU KENCANA")</f>
        <v>M. 25 / KALI BALAU KENCANA</v>
      </c>
      <c r="D2697" s="42"/>
      <c r="E2697" s="42" t="str">
        <f>IFERROR(__xludf.DUMMYFUNCTION("""COMPUTED_VALUE"""),"DISERAHKAN")</f>
        <v>DISERAHKAN</v>
      </c>
      <c r="F2697" s="48">
        <f>IFERROR(__xludf.DUMMYFUNCTION("""COMPUTED_VALUE"""),45741.52496054398)</f>
        <v>45741.52496</v>
      </c>
      <c r="G2697" s="42" t="str">
        <f>IFERROR(__xludf.DUMMYFUNCTION("""COMPUTED_VALUE"""),"ROYA")</f>
        <v>ROYA</v>
      </c>
      <c r="H2697" s="42">
        <f t="shared" si="1"/>
        <v>1266</v>
      </c>
    </row>
    <row r="2698" ht="22.5" customHeight="1">
      <c r="B2698" s="42" t="str">
        <f>IFERROR(__xludf.DUMMYFUNCTION("""COMPUTED_VALUE"""),"K/11/040325/1")</f>
        <v>K/11/040325/1</v>
      </c>
      <c r="C2698" s="42" t="str">
        <f>IFERROR(__xludf.DUMMYFUNCTION("""COMPUTED_VALUE"""),"B. 33/ Kotabaru")</f>
        <v>B. 33/ Kotabaru</v>
      </c>
      <c r="D2698" s="42"/>
      <c r="E2698" s="42"/>
      <c r="F2698" s="48" t="str">
        <f>IFERROR(__xludf.DUMMYFUNCTION("""COMPUTED_VALUE"""),"")</f>
        <v/>
      </c>
      <c r="G2698" s="42" t="str">
        <f>IFERROR(__xludf.DUMMYFUNCTION("""COMPUTED_VALUE"""),"PERMOHONAN SK PEMBARUAN")</f>
        <v>PERMOHONAN SK PEMBARUAN</v>
      </c>
      <c r="H2698" s="42">
        <f t="shared" si="1"/>
        <v>1266</v>
      </c>
    </row>
    <row r="2699" ht="22.5" customHeight="1">
      <c r="B2699" s="42" t="str">
        <f>IFERROR(__xludf.DUMMYFUNCTION("""COMPUTED_VALUE"""),"K/12/040325/1")</f>
        <v>K/12/040325/1</v>
      </c>
      <c r="C2699" s="42" t="str">
        <f>IFERROR(__xludf.DUMMYFUNCTION("""COMPUTED_VALUE"""),"PBT. 312/2024 (Kampung Baru)")</f>
        <v>PBT. 312/2024 (Kampung Baru)</v>
      </c>
      <c r="D2699" s="42"/>
      <c r="E2699" s="42"/>
      <c r="F2699" s="48" t="str">
        <f>IFERROR(__xludf.DUMMYFUNCTION("""COMPUTED_VALUE"""),"")</f>
        <v/>
      </c>
      <c r="G2699" s="42" t="str">
        <f>IFERROR(__xludf.DUMMYFUNCTION("""COMPUTED_VALUE"""),"PTPGT (Pertama Kali)")</f>
        <v>PTPGT (Pertama Kali)</v>
      </c>
      <c r="H2699" s="42">
        <f t="shared" si="1"/>
        <v>1266</v>
      </c>
    </row>
    <row r="2700" ht="22.5" customHeight="1">
      <c r="B2700" s="42" t="str">
        <f>IFERROR(__xludf.DUMMYFUNCTION("""COMPUTED_VALUE"""),"L/13/040325/1")</f>
        <v>L/13/040325/1</v>
      </c>
      <c r="C2700" s="42" t="str">
        <f>IFERROR(__xludf.DUMMYFUNCTION("""COMPUTED_VALUE"""),"HM 1688/BERINGIN JAYA")</f>
        <v>HM 1688/BERINGIN JAYA</v>
      </c>
      <c r="D2700" s="42"/>
      <c r="E2700" s="42" t="str">
        <f>IFERROR(__xludf.DUMMYFUNCTION("""COMPUTED_VALUE"""),"DISERAHKAN")</f>
        <v>DISERAHKAN</v>
      </c>
      <c r="F2700" s="48">
        <f>IFERROR(__xludf.DUMMYFUNCTION("""COMPUTED_VALUE"""),45727.49366277778)</f>
        <v>45727.49366</v>
      </c>
      <c r="G2700" s="42" t="str">
        <f>IFERROR(__xludf.DUMMYFUNCTION("""COMPUTED_VALUE"""),"BN LELANG")</f>
        <v>BN LELANG</v>
      </c>
      <c r="H2700" s="42">
        <f t="shared" si="1"/>
        <v>1267</v>
      </c>
    </row>
    <row r="2701" ht="22.5" customHeight="1">
      <c r="B2701" s="42" t="str">
        <f>IFERROR(__xludf.DUMMYFUNCTION("""COMPUTED_VALUE"""),"K/14/040325/1")</f>
        <v>K/14/040325/1</v>
      </c>
      <c r="C2701" s="42" t="str">
        <f>IFERROR(__xludf.DUMMYFUNCTION("""COMPUTED_VALUE"""),"M. 4745/ Way Kandis")</f>
        <v>M. 4745/ Way Kandis</v>
      </c>
      <c r="D2701" s="42"/>
      <c r="E2701" s="42"/>
      <c r="F2701" s="48" t="str">
        <f>IFERROR(__xludf.DUMMYFUNCTION("""COMPUTED_VALUE"""),"")</f>
        <v/>
      </c>
      <c r="G2701" s="42" t="str">
        <f>IFERROR(__xludf.DUMMYFUNCTION("""COMPUTED_VALUE"""),"Hapus BPHTB")</f>
        <v>Hapus BPHTB</v>
      </c>
      <c r="H2701" s="42">
        <f t="shared" si="1"/>
        <v>1267</v>
      </c>
    </row>
    <row r="2702" ht="22.5" customHeight="1">
      <c r="B2702" s="42" t="str">
        <f>IFERROR(__xludf.DUMMYFUNCTION("""COMPUTED_VALUE"""),"K/15/040325/1")</f>
        <v>K/15/040325/1</v>
      </c>
      <c r="C2702" s="42" t="str">
        <f>IFERROR(__xludf.DUMMYFUNCTION("""COMPUTED_VALUE"""),"Nibel 12275/ Rajabasa Jaya")</f>
        <v>Nibel 12275/ Rajabasa Jaya</v>
      </c>
      <c r="D2702" s="42"/>
      <c r="E2702" s="42"/>
      <c r="F2702" s="48" t="str">
        <f>IFERROR(__xludf.DUMMYFUNCTION("""COMPUTED_VALUE"""),"")</f>
        <v/>
      </c>
      <c r="G2702" s="42" t="str">
        <f>IFERROR(__xludf.DUMMYFUNCTION("""COMPUTED_VALUE"""),"BN JUAL BELI")</f>
        <v>BN JUAL BELI</v>
      </c>
      <c r="H2702" s="42">
        <f t="shared" si="1"/>
        <v>1267</v>
      </c>
    </row>
    <row r="2703" ht="22.5" customHeight="1">
      <c r="B2703" s="42" t="str">
        <f>IFERROR(__xludf.DUMMYFUNCTION("""COMPUTED_VALUE"""),"K/16/040325/2")</f>
        <v>K/16/040325/2</v>
      </c>
      <c r="C2703" s="42" t="str">
        <f>IFERROR(__xludf.DUMMYFUNCTION("""COMPUTED_VALUE"""),"M. 6307/ gn sulah")</f>
        <v>M. 6307/ gn sulah</v>
      </c>
      <c r="D2703" s="42"/>
      <c r="E2703" s="42" t="str">
        <f>IFERROR(__xludf.DUMMYFUNCTION("""COMPUTED_VALUE"""),"DISERAHKAN")</f>
        <v>DISERAHKAN</v>
      </c>
      <c r="F2703" s="48">
        <f>IFERROR(__xludf.DUMMYFUNCTION("""COMPUTED_VALUE"""),45735.44477311343)</f>
        <v>45735.44477</v>
      </c>
      <c r="G2703" s="42" t="str">
        <f>IFERROR(__xludf.DUMMYFUNCTION("""COMPUTED_VALUE"""),"BN JUAL BELI")</f>
        <v>BN JUAL BELI</v>
      </c>
      <c r="H2703" s="42">
        <f t="shared" si="1"/>
        <v>1268</v>
      </c>
    </row>
    <row r="2704" ht="22.5" customHeight="1">
      <c r="B2704" s="42" t="str">
        <f>IFERROR(__xludf.DUMMYFUNCTION("""COMPUTED_VALUE"""),"K/17/040325/1")</f>
        <v>K/17/040325/1</v>
      </c>
      <c r="C2704" s="42" t="str">
        <f>IFERROR(__xludf.DUMMYFUNCTION("""COMPUTED_VALUE"""),"NIBEL B 18073/KETEGUHAN")</f>
        <v>NIBEL B 18073/KETEGUHAN</v>
      </c>
      <c r="D2704" s="42"/>
      <c r="E2704" s="42"/>
      <c r="F2704" s="48" t="str">
        <f>IFERROR(__xludf.DUMMYFUNCTION("""COMPUTED_VALUE"""),"")</f>
        <v/>
      </c>
      <c r="G2704" s="42" t="str">
        <f>IFERROR(__xludf.DUMMYFUNCTION("""COMPUTED_VALUE"""),"PENINGKATAN")</f>
        <v>PENINGKATAN</v>
      </c>
      <c r="H2704" s="42">
        <f t="shared" si="1"/>
        <v>1268</v>
      </c>
    </row>
    <row r="2705" ht="22.5" customHeight="1">
      <c r="B2705" s="42" t="str">
        <f>IFERROR(__xludf.DUMMYFUNCTION("""COMPUTED_VALUE"""),"L/18/040325/1")</f>
        <v>L/18/040325/1</v>
      </c>
      <c r="C2705" s="42" t="str">
        <f>IFERROR(__xludf.DUMMYFUNCTION("""COMPUTED_VALUE"""),"HM 2824/GUNUNG TERANG")</f>
        <v>HM 2824/GUNUNG TERANG</v>
      </c>
      <c r="D2705" s="42"/>
      <c r="E2705" s="42" t="str">
        <f>IFERROR(__xludf.DUMMYFUNCTION("""COMPUTED_VALUE"""),"DISERAHKAN")</f>
        <v>DISERAHKAN</v>
      </c>
      <c r="F2705" s="48">
        <f>IFERROR(__xludf.DUMMYFUNCTION("""COMPUTED_VALUE"""),45741.53162178241)</f>
        <v>45741.53162</v>
      </c>
      <c r="G2705" s="42" t="str">
        <f>IFERROR(__xludf.DUMMYFUNCTION("""COMPUTED_VALUE"""),"ROYA")</f>
        <v>ROYA</v>
      </c>
      <c r="H2705" s="42">
        <f t="shared" si="1"/>
        <v>1269</v>
      </c>
    </row>
    <row r="2706" ht="22.5" customHeight="1">
      <c r="B2706" s="42" t="str">
        <f>IFERROR(__xludf.DUMMYFUNCTION("""COMPUTED_VALUE"""),"K/19/040325/1")</f>
        <v>K/19/040325/1</v>
      </c>
      <c r="C2706" s="42" t="str">
        <f>IFERROR(__xludf.DUMMYFUNCTION("""COMPUTED_VALUE"""),"M. 5068/ Rajabasa Jaya")</f>
        <v>M. 5068/ Rajabasa Jaya</v>
      </c>
      <c r="D2706" s="42"/>
      <c r="E2706" s="42" t="str">
        <f>IFERROR(__xludf.DUMMYFUNCTION("""COMPUTED_VALUE"""),"DISERAHKAN")</f>
        <v>DISERAHKAN</v>
      </c>
      <c r="F2706" s="48">
        <f>IFERROR(__xludf.DUMMYFUNCTION("""COMPUTED_VALUE"""),45733.59301585648)</f>
        <v>45733.59302</v>
      </c>
      <c r="G2706" s="42" t="str">
        <f>IFERROR(__xludf.DUMMYFUNCTION("""COMPUTED_VALUE"""),"BN Jual Beli")</f>
        <v>BN Jual Beli</v>
      </c>
      <c r="H2706" s="42">
        <f t="shared" si="1"/>
        <v>1270</v>
      </c>
    </row>
    <row r="2707" ht="22.5" customHeight="1">
      <c r="B2707" s="42" t="str">
        <f>IFERROR(__xludf.DUMMYFUNCTION("""COMPUTED_VALUE"""),"K/21/040325/1")</f>
        <v>K/21/040325/1</v>
      </c>
      <c r="C2707" s="42" t="str">
        <f>IFERROR(__xludf.DUMMYFUNCTION("""COMPUTED_VALUE"""),"NIBEL M17215/SUKABUMI")</f>
        <v>NIBEL M17215/SUKABUMI</v>
      </c>
      <c r="D2707" s="42"/>
      <c r="E2707" s="42"/>
      <c r="F2707" s="48" t="str">
        <f>IFERROR(__xludf.DUMMYFUNCTION("""COMPUTED_VALUE"""),"")</f>
        <v/>
      </c>
      <c r="G2707" s="42" t="str">
        <f>IFERROR(__xludf.DUMMYFUNCTION("""COMPUTED_VALUE"""),"JUAL BELI")</f>
        <v>JUAL BELI</v>
      </c>
      <c r="H2707" s="42">
        <f t="shared" si="1"/>
        <v>1270</v>
      </c>
    </row>
    <row r="2708" ht="22.5" customHeight="1">
      <c r="B2708" s="42" t="str">
        <f>IFERROR(__xludf.DUMMYFUNCTION("""COMPUTED_VALUE"""),"K/20/040325/1")</f>
        <v>K/20/040325/1</v>
      </c>
      <c r="C2708" s="42" t="str">
        <f>IFERROR(__xludf.DUMMYFUNCTION("""COMPUTED_VALUE"""),"M. 10331/KEDATON")</f>
        <v>M. 10331/KEDATON</v>
      </c>
      <c r="D2708" s="42"/>
      <c r="E2708" s="42"/>
      <c r="F2708" s="48" t="str">
        <f>IFERROR(__xludf.DUMMYFUNCTION("""COMPUTED_VALUE"""),"")</f>
        <v/>
      </c>
      <c r="G2708" s="42" t="str">
        <f>IFERROR(__xludf.DUMMYFUNCTION("""COMPUTED_VALUE"""),"SERTIPIKAT HILANG")</f>
        <v>SERTIPIKAT HILANG</v>
      </c>
      <c r="H2708" s="42">
        <f t="shared" si="1"/>
        <v>1270</v>
      </c>
    </row>
    <row r="2709" ht="22.5" customHeight="1">
      <c r="B2709" s="42" t="str">
        <f>IFERROR(__xludf.DUMMYFUNCTION("""COMPUTED_VALUE"""),"K/22/040325/1")</f>
        <v>K/22/040325/1</v>
      </c>
      <c r="C2709" s="42" t="str">
        <f>IFERROR(__xludf.DUMMYFUNCTION("""COMPUTED_VALUE"""),"M. 6459/ Way Kandis")</f>
        <v>M. 6459/ Way Kandis</v>
      </c>
      <c r="D2709" s="42"/>
      <c r="E2709" s="42" t="str">
        <f>IFERROR(__xludf.DUMMYFUNCTION("""COMPUTED_VALUE"""),"DISERAHKAN")</f>
        <v>DISERAHKAN</v>
      </c>
      <c r="F2709" s="48">
        <f>IFERROR(__xludf.DUMMYFUNCTION("""COMPUTED_VALUE"""),45733.59881519676)</f>
        <v>45733.59882</v>
      </c>
      <c r="G2709" s="42" t="str">
        <f>IFERROR(__xludf.DUMMYFUNCTION("""COMPUTED_VALUE"""),"BN Jual Beli")</f>
        <v>BN Jual Beli</v>
      </c>
      <c r="H2709" s="42">
        <f t="shared" si="1"/>
        <v>1271</v>
      </c>
    </row>
    <row r="2710" ht="22.5" customHeight="1">
      <c r="B2710" s="42" t="str">
        <f>IFERROR(__xludf.DUMMYFUNCTION("""COMPUTED_VALUE"""),"K/23/040325/2")</f>
        <v>K/23/040325/2</v>
      </c>
      <c r="C2710" s="42" t="str">
        <f>IFERROR(__xludf.DUMMYFUNCTION("""COMPUTED_VALUE"""),"M. 6464/ Way Kandis")</f>
        <v>M. 6464/ Way Kandis</v>
      </c>
      <c r="D2710" s="42"/>
      <c r="E2710" s="42" t="str">
        <f>IFERROR(__xludf.DUMMYFUNCTION("""COMPUTED_VALUE"""),"DISERAHKAN")</f>
        <v>DISERAHKAN</v>
      </c>
      <c r="F2710" s="48">
        <f>IFERROR(__xludf.DUMMYFUNCTION("""COMPUTED_VALUE"""),45730.40035811343)</f>
        <v>45730.40036</v>
      </c>
      <c r="G2710" s="42" t="str">
        <f>IFERROR(__xludf.DUMMYFUNCTION("""COMPUTED_VALUE"""),"BN Jual Beli")</f>
        <v>BN Jual Beli</v>
      </c>
      <c r="H2710" s="42">
        <f t="shared" si="1"/>
        <v>1272</v>
      </c>
    </row>
    <row r="2711" ht="22.5" customHeight="1">
      <c r="B2711" s="42" t="str">
        <f>IFERROR(__xludf.DUMMYFUNCTION("""COMPUTED_VALUE"""),"K/24/040325/1")</f>
        <v>K/24/040325/1</v>
      </c>
      <c r="C2711" s="42" t="str">
        <f>IFERROR(__xludf.DUMMYFUNCTION("""COMPUTED_VALUE"""),"M. 3141/ Beringin Raya")</f>
        <v>M. 3141/ Beringin Raya</v>
      </c>
      <c r="D2711" s="42"/>
      <c r="E2711" s="42" t="str">
        <f>IFERROR(__xludf.DUMMYFUNCTION("""COMPUTED_VALUE"""),"DISERAHKAN")</f>
        <v>DISERAHKAN</v>
      </c>
      <c r="F2711" s="48">
        <f>IFERROR(__xludf.DUMMYFUNCTION("""COMPUTED_VALUE"""),45733.6132449537)</f>
        <v>45733.61324</v>
      </c>
      <c r="G2711" s="42" t="str">
        <f>IFERROR(__xludf.DUMMYFUNCTION("""COMPUTED_VALUE"""),"BN Jual Beli")</f>
        <v>BN Jual Beli</v>
      </c>
      <c r="H2711" s="42">
        <f t="shared" si="1"/>
        <v>1273</v>
      </c>
    </row>
    <row r="2712" ht="22.5" customHeight="1">
      <c r="B2712" s="42" t="str">
        <f>IFERROR(__xludf.DUMMYFUNCTION("""COMPUTED_VALUE"""),"L/25/040325/1")</f>
        <v>L/25/040325/1</v>
      </c>
      <c r="C2712" s="42" t="str">
        <f>IFERROR(__xludf.DUMMYFUNCTION("""COMPUTED_VALUE"""),"NIB 18844/TANJUNGKARANG TIMUR")</f>
        <v>NIB 18844/TANJUNGKARANG TIMUR</v>
      </c>
      <c r="D2712" s="42"/>
      <c r="E2712" s="42"/>
      <c r="F2712" s="48" t="str">
        <f>IFERROR(__xludf.DUMMYFUNCTION("""COMPUTED_VALUE"""),"")</f>
        <v/>
      </c>
      <c r="G2712" s="42" t="str">
        <f>IFERROR(__xludf.DUMMYFUNCTION("""COMPUTED_VALUE"""),"BN LELANG")</f>
        <v>BN LELANG</v>
      </c>
      <c r="H2712" s="42">
        <f t="shared" si="1"/>
        <v>1273</v>
      </c>
    </row>
    <row r="2713" ht="22.5" customHeight="1">
      <c r="B2713" s="42" t="str">
        <f>IFERROR(__xludf.DUMMYFUNCTION("""COMPUTED_VALUE"""),"K/26/040325/1")</f>
        <v>K/26/040325/1</v>
      </c>
      <c r="C2713" s="42" t="str">
        <f>IFERROR(__xludf.DUMMYFUNCTION("""COMPUTED_VALUE"""),"Nibel. B. 17680/ Labuhan Ratu Rays")</f>
        <v>Nibel. B. 17680/ Labuhan Ratu Rays</v>
      </c>
      <c r="D2713" s="42"/>
      <c r="E2713" s="42"/>
      <c r="F2713" s="48" t="str">
        <f>IFERROR(__xludf.DUMMYFUNCTION("""COMPUTED_VALUE"""),"")</f>
        <v/>
      </c>
      <c r="G2713" s="42" t="str">
        <f>IFERROR(__xludf.DUMMYFUNCTION("""COMPUTED_VALUE"""),"Perubahan Hak")</f>
        <v>Perubahan Hak</v>
      </c>
      <c r="H2713" s="42">
        <f t="shared" si="1"/>
        <v>1273</v>
      </c>
    </row>
    <row r="2714" ht="22.5" customHeight="1">
      <c r="B2714" s="42" t="str">
        <f>IFERROR(__xludf.DUMMYFUNCTION("""COMPUTED_VALUE"""),"K/27/040325/1")</f>
        <v>K/27/040325/1</v>
      </c>
      <c r="C2714" s="42" t="str">
        <f>IFERROR(__xludf.DUMMYFUNCTION("""COMPUTED_VALUE"""),"M. 1610/ Langkapura")</f>
        <v>M. 1610/ Langkapura</v>
      </c>
      <c r="D2714" s="42"/>
      <c r="E2714" s="42"/>
      <c r="F2714" s="48" t="str">
        <f>IFERROR(__xludf.DUMMYFUNCTION("""COMPUTED_VALUE"""),"")</f>
        <v/>
      </c>
      <c r="G2714" s="42" t="str">
        <f>IFERROR(__xludf.DUMMYFUNCTION("""COMPUTED_VALUE"""),"PTPGT (Pemisahan)")</f>
        <v>PTPGT (Pemisahan)</v>
      </c>
      <c r="H2714" s="42">
        <f t="shared" si="1"/>
        <v>1273</v>
      </c>
    </row>
    <row r="2715" ht="22.5" customHeight="1">
      <c r="B2715" s="42" t="str">
        <f>IFERROR(__xludf.DUMMYFUNCTION("""COMPUTED_VALUE"""),"L/28/040325/1")</f>
        <v>L/28/040325/1</v>
      </c>
      <c r="C2715" s="42" t="str">
        <f>IFERROR(__xludf.DUMMYFUNCTION("""COMPUTED_VALUE"""),"HM 9900/KEDAMAIAN")</f>
        <v>HM 9900/KEDAMAIAN</v>
      </c>
      <c r="D2715" s="42" t="str">
        <f>IFERROR(__xludf.DUMMYFUNCTION("""COMPUTED_VALUE"""),"Berry")</f>
        <v>Berry</v>
      </c>
      <c r="E2715" s="42" t="str">
        <f>IFERROR(__xludf.DUMMYFUNCTION("""COMPUTED_VALUE"""),"DISERAHKAN")</f>
        <v>DISERAHKAN</v>
      </c>
      <c r="F2715" s="48">
        <f>IFERROR(__xludf.DUMMYFUNCTION("""COMPUTED_VALUE"""),45792.47490512731)</f>
        <v>45792.47491</v>
      </c>
      <c r="G2715" s="42" t="str">
        <f>IFERROR(__xludf.DUMMYFUNCTION("""COMPUTED_VALUE"""),"PEMECAHAN")</f>
        <v>PEMECAHAN</v>
      </c>
      <c r="H2715" s="42">
        <f t="shared" si="1"/>
        <v>1274</v>
      </c>
    </row>
    <row r="2716" ht="22.5" customHeight="1">
      <c r="B2716" s="42" t="str">
        <f>IFERROR(__xludf.DUMMYFUNCTION("""COMPUTED_VALUE"""),"K/29/040325/1")</f>
        <v>K/29/040325/1</v>
      </c>
      <c r="C2716" s="42" t="str">
        <f>IFERROR(__xludf.DUMMYFUNCTION("""COMPUTED_VALUE"""),"M.2665/CAMPANG RAYA")</f>
        <v>M.2665/CAMPANG RAYA</v>
      </c>
      <c r="D2716" s="42"/>
      <c r="E2716" s="42"/>
      <c r="F2716" s="48" t="str">
        <f>IFERROR(__xludf.DUMMYFUNCTION("""COMPUTED_VALUE"""),"")</f>
        <v/>
      </c>
      <c r="G2716" s="42" t="str">
        <f>IFERROR(__xludf.DUMMYFUNCTION("""COMPUTED_VALUE"""),"ROYA")</f>
        <v>ROYA</v>
      </c>
      <c r="H2716" s="42">
        <f t="shared" si="1"/>
        <v>1274</v>
      </c>
    </row>
    <row r="2717" ht="22.5" customHeight="1">
      <c r="B2717" s="42" t="str">
        <f>IFERROR(__xludf.DUMMYFUNCTION("""COMPUTED_VALUE"""),"K/30/040325/2")</f>
        <v>K/30/040325/2</v>
      </c>
      <c r="C2717" s="42" t="str">
        <f>IFERROR(__xludf.DUMMYFUNCTION("""COMPUTED_VALUE"""),"M.336/PENENGAHAN")</f>
        <v>M.336/PENENGAHAN</v>
      </c>
      <c r="D2717" s="42"/>
      <c r="E2717" s="42" t="str">
        <f>IFERROR(__xludf.DUMMYFUNCTION("""COMPUTED_VALUE"""),"DISERAHKAN")</f>
        <v>DISERAHKAN</v>
      </c>
      <c r="F2717" s="48">
        <f>IFERROR(__xludf.DUMMYFUNCTION("""COMPUTED_VALUE"""),45741.53346515047)</f>
        <v>45741.53347</v>
      </c>
      <c r="G2717" s="42" t="str">
        <f>IFERROR(__xludf.DUMMYFUNCTION("""COMPUTED_VALUE"""),"ROYA")</f>
        <v>ROYA</v>
      </c>
      <c r="H2717" s="42">
        <f t="shared" si="1"/>
        <v>1275</v>
      </c>
    </row>
    <row r="2718" ht="22.5" customHeight="1">
      <c r="B2718" s="42" t="str">
        <f>IFERROR(__xludf.DUMMYFUNCTION("""COMPUTED_VALUE"""),"K/31/040325/1")</f>
        <v>K/31/040325/1</v>
      </c>
      <c r="C2718" s="42" t="str">
        <f>IFERROR(__xludf.DUMMYFUNCTION("""COMPUTED_VALUE"""),"M. 1387/RAJABASA NUNYAI")</f>
        <v>M. 1387/RAJABASA NUNYAI</v>
      </c>
      <c r="D2718" s="42"/>
      <c r="E2718" s="42" t="str">
        <f>IFERROR(__xludf.DUMMYFUNCTION("""COMPUTED_VALUE"""),"DISERAHKAN")</f>
        <v>DISERAHKAN</v>
      </c>
      <c r="F2718" s="48">
        <f>IFERROR(__xludf.DUMMYFUNCTION("""COMPUTED_VALUE"""),45727.49777916667)</f>
        <v>45727.49778</v>
      </c>
      <c r="G2718" s="42" t="str">
        <f>IFERROR(__xludf.DUMMYFUNCTION("""COMPUTED_VALUE"""),"BN JUAL BELI")</f>
        <v>BN JUAL BELI</v>
      </c>
      <c r="H2718" s="42">
        <f t="shared" si="1"/>
        <v>1276</v>
      </c>
    </row>
    <row r="2719" ht="22.5" customHeight="1">
      <c r="B2719" s="42" t="str">
        <f>IFERROR(__xludf.DUMMYFUNCTION("""COMPUTED_VALUE"""),"K/34/040325/1")</f>
        <v>K/34/040325/1</v>
      </c>
      <c r="C2719" s="42" t="str">
        <f>IFERROR(__xludf.DUMMYFUNCTION("""COMPUTED_VALUE"""),"M.1656/BUMI KEDAMAIAN")</f>
        <v>M.1656/BUMI KEDAMAIAN</v>
      </c>
      <c r="D2719" s="42"/>
      <c r="E2719" s="42"/>
      <c r="F2719" s="48" t="str">
        <f>IFERROR(__xludf.DUMMYFUNCTION("""COMPUTED_VALUE"""),"")</f>
        <v/>
      </c>
      <c r="G2719" s="42" t="str">
        <f>IFERROR(__xludf.DUMMYFUNCTION("""COMPUTED_VALUE"""),"PEMECAHAN")</f>
        <v>PEMECAHAN</v>
      </c>
      <c r="H2719" s="42">
        <f t="shared" si="1"/>
        <v>1276</v>
      </c>
    </row>
    <row r="2720" ht="22.5" customHeight="1">
      <c r="B2720" s="42" t="str">
        <f>IFERROR(__xludf.DUMMYFUNCTION("""COMPUTED_VALUE"""),"K/32/040325/1")</f>
        <v>K/32/040325/1</v>
      </c>
      <c r="C2720" s="42" t="str">
        <f>IFERROR(__xludf.DUMMYFUNCTION("""COMPUTED_VALUE"""),"M. 250/ Pinang Jaya")</f>
        <v>M. 250/ Pinang Jaya</v>
      </c>
      <c r="D2720" s="42"/>
      <c r="E2720" s="42" t="str">
        <f>IFERROR(__xludf.DUMMYFUNCTION("""COMPUTED_VALUE"""),"DISERAHKAN")</f>
        <v>DISERAHKAN</v>
      </c>
      <c r="F2720" s="48">
        <f>IFERROR(__xludf.DUMMYFUNCTION("""COMPUTED_VALUE"""),45741.52996209491)</f>
        <v>45741.52996</v>
      </c>
      <c r="G2720" s="42" t="str">
        <f>IFERROR(__xludf.DUMMYFUNCTION("""COMPUTED_VALUE"""),"Roya")</f>
        <v>Roya</v>
      </c>
      <c r="H2720" s="42">
        <f t="shared" si="1"/>
        <v>1277</v>
      </c>
    </row>
    <row r="2721" ht="22.5" customHeight="1">
      <c r="B2721" s="42" t="str">
        <f>IFERROR(__xludf.DUMMYFUNCTION("""COMPUTED_VALUE"""),"K/33/040325/1")</f>
        <v>K/33/040325/1</v>
      </c>
      <c r="C2721" s="42" t="str">
        <f>IFERROR(__xludf.DUMMYFUNCTION("""COMPUTED_VALUE"""),"M. 90/ Pahoman")</f>
        <v>M. 90/ Pahoman</v>
      </c>
      <c r="D2721" s="42" t="str">
        <f>IFERROR(__xludf.DUMMYFUNCTION("""COMPUTED_VALUE"""),"Berry")</f>
        <v>Berry</v>
      </c>
      <c r="E2721" s="42" t="str">
        <f>IFERROR(__xludf.DUMMYFUNCTION("""COMPUTED_VALUE"""),"DISERAHKAN")</f>
        <v>DISERAHKAN</v>
      </c>
      <c r="F2721" s="48">
        <f>IFERROR(__xludf.DUMMYFUNCTION("""COMPUTED_VALUE"""),45799.52698663194)</f>
        <v>45799.52699</v>
      </c>
      <c r="G2721" s="42" t="str">
        <f>IFERROR(__xludf.DUMMYFUNCTION("""COMPUTED_VALUE"""),"ROYA")</f>
        <v>ROYA</v>
      </c>
      <c r="H2721" s="42">
        <f t="shared" si="1"/>
        <v>1278</v>
      </c>
    </row>
    <row r="2722" ht="22.5" customHeight="1">
      <c r="B2722" s="42" t="str">
        <f>IFERROR(__xludf.DUMMYFUNCTION("""COMPUTED_VALUE"""),"K/35/040325/1")</f>
        <v>K/35/040325/1</v>
      </c>
      <c r="C2722" s="42" t="str">
        <f>IFERROR(__xludf.DUMMYFUNCTION("""COMPUTED_VALUE"""),"M. 742/ Bakung")</f>
        <v>M. 742/ Bakung</v>
      </c>
      <c r="D2722" s="42"/>
      <c r="E2722" s="42"/>
      <c r="F2722" s="48" t="str">
        <f>IFERROR(__xludf.DUMMYFUNCTION("""COMPUTED_VALUE"""),"")</f>
        <v/>
      </c>
      <c r="G2722" s="42" t="str">
        <f>IFERROR(__xludf.DUMMYFUNCTION("""COMPUTED_VALUE"""),"BN WARIS")</f>
        <v>BN WARIS</v>
      </c>
      <c r="H2722" s="42">
        <f t="shared" si="1"/>
        <v>1278</v>
      </c>
    </row>
    <row r="2723" ht="22.5" customHeight="1">
      <c r="B2723" s="42" t="str">
        <f>IFERROR(__xludf.DUMMYFUNCTION("""COMPUTED_VALUE"""),"K/36/040325/1")</f>
        <v>K/36/040325/1</v>
      </c>
      <c r="C2723" s="42" t="str">
        <f>IFERROR(__xludf.DUMMYFUNCTION("""COMPUTED_VALUE"""),"M. 9050/ Surabaya")</f>
        <v>M. 9050/ Surabaya</v>
      </c>
      <c r="D2723" s="42"/>
      <c r="E2723" s="42"/>
      <c r="F2723" s="48" t="str">
        <f>IFERROR(__xludf.DUMMYFUNCTION("""COMPUTED_VALUE"""),"")</f>
        <v/>
      </c>
      <c r="G2723" s="42" t="str">
        <f>IFERROR(__xludf.DUMMYFUNCTION("""COMPUTED_VALUE"""),"BN LELANG")</f>
        <v>BN LELANG</v>
      </c>
      <c r="H2723" s="42">
        <f t="shared" si="1"/>
        <v>1278</v>
      </c>
    </row>
    <row r="2724" ht="22.5" customHeight="1">
      <c r="B2724" s="42" t="str">
        <f>IFERROR(__xludf.DUMMYFUNCTION("""COMPUTED_VALUE"""),"K/2/050325/1")</f>
        <v>K/2/050325/1</v>
      </c>
      <c r="C2724" s="42" t="str">
        <f>IFERROR(__xludf.DUMMYFUNCTION("""COMPUTED_VALUE"""),"B. 656/ Sumber Agung")</f>
        <v>B. 656/ Sumber Agung</v>
      </c>
      <c r="D2724" s="42"/>
      <c r="E2724" s="42"/>
      <c r="F2724" s="48" t="str">
        <f>IFERROR(__xludf.DUMMYFUNCTION("""COMPUTED_VALUE"""),"")</f>
        <v/>
      </c>
      <c r="G2724" s="42" t="str">
        <f>IFERROR(__xludf.DUMMYFUNCTION("""COMPUTED_VALUE"""),"BN Jual Beli")</f>
        <v>BN Jual Beli</v>
      </c>
      <c r="H2724" s="42">
        <f t="shared" si="1"/>
        <v>1278</v>
      </c>
    </row>
    <row r="2725" ht="22.5" customHeight="1">
      <c r="B2725" s="42" t="str">
        <f>IFERROR(__xludf.DUMMYFUNCTION("""COMPUTED_VALUE"""),"L/3/050325/1")</f>
        <v>L/3/050325/1</v>
      </c>
      <c r="C2725" s="42" t="str">
        <f>IFERROR(__xludf.DUMMYFUNCTION("""COMPUTED_VALUE"""),"HGB 1358/PINNAG JAYA")</f>
        <v>HGB 1358/PINNAG JAYA</v>
      </c>
      <c r="D2725" s="42"/>
      <c r="E2725" s="42"/>
      <c r="F2725" s="48" t="str">
        <f>IFERROR(__xludf.DUMMYFUNCTION("""COMPUTED_VALUE"""),"")</f>
        <v/>
      </c>
      <c r="G2725" s="42" t="str">
        <f>IFERROR(__xludf.DUMMYFUNCTION("""COMPUTED_VALUE"""),"PH")</f>
        <v>PH</v>
      </c>
      <c r="H2725" s="42">
        <f t="shared" si="1"/>
        <v>1278</v>
      </c>
    </row>
    <row r="2726" ht="22.5" customHeight="1">
      <c r="B2726" s="42" t="str">
        <f>IFERROR(__xludf.DUMMYFUNCTION("""COMPUTED_VALUE"""),"K/4/050325/1")</f>
        <v>K/4/050325/1</v>
      </c>
      <c r="C2726" s="42" t="str">
        <f>IFERROR(__xludf.DUMMYFUNCTION("""COMPUTED_VALUE"""),"M.2326/SEPANG JAYA")</f>
        <v>M.2326/SEPANG JAYA</v>
      </c>
      <c r="D2726" s="42"/>
      <c r="E2726" s="42" t="str">
        <f>IFERROR(__xludf.DUMMYFUNCTION("""COMPUTED_VALUE"""),"DISERAHKAN")</f>
        <v>DISERAHKAN</v>
      </c>
      <c r="F2726" s="48">
        <f>IFERROR(__xludf.DUMMYFUNCTION("""COMPUTED_VALUE"""),45743.439817175924)</f>
        <v>45743.43982</v>
      </c>
      <c r="G2726" s="42" t="str">
        <f>IFERROR(__xludf.DUMMYFUNCTION("""COMPUTED_VALUE"""),"BN JUAL BELI")</f>
        <v>BN JUAL BELI</v>
      </c>
      <c r="H2726" s="42">
        <f t="shared" si="1"/>
        <v>1279</v>
      </c>
    </row>
    <row r="2727" ht="22.5" customHeight="1">
      <c r="B2727" s="42" t="str">
        <f>IFERROR(__xludf.DUMMYFUNCTION("""COMPUTED_VALUE"""),"K/1/050325/1")</f>
        <v>K/1/050325/1</v>
      </c>
      <c r="C2727" s="42" t="str">
        <f>IFERROR(__xludf.DUMMYFUNCTION("""COMPUTED_VALUE"""),"Nibel 81/ Kedaton")</f>
        <v>Nibel 81/ Kedaton</v>
      </c>
      <c r="D2727" s="42"/>
      <c r="E2727" s="42"/>
      <c r="F2727" s="48" t="str">
        <f>IFERROR(__xludf.DUMMYFUNCTION("""COMPUTED_VALUE"""),"")</f>
        <v/>
      </c>
      <c r="G2727" s="42" t="str">
        <f>IFERROR(__xludf.DUMMYFUNCTION("""COMPUTED_VALUE"""),"SKPT LELANG")</f>
        <v>SKPT LELANG</v>
      </c>
      <c r="H2727" s="42">
        <f t="shared" si="1"/>
        <v>1279</v>
      </c>
    </row>
    <row r="2728" ht="22.5" customHeight="1">
      <c r="B2728" s="42" t="str">
        <f>IFERROR(__xludf.DUMMYFUNCTION("""COMPUTED_VALUE"""),"K/5/050325/1")</f>
        <v>K/5/050325/1</v>
      </c>
      <c r="C2728" s="42" t="str">
        <f>IFERROR(__xludf.DUMMYFUNCTION("""COMPUTED_VALUE"""),"M. 1508/ Gd air")</f>
        <v>M. 1508/ Gd air</v>
      </c>
      <c r="D2728" s="42"/>
      <c r="E2728" s="42" t="str">
        <f>IFERROR(__xludf.DUMMYFUNCTION("""COMPUTED_VALUE"""),"DISERAHKAN")</f>
        <v>DISERAHKAN</v>
      </c>
      <c r="F2728" s="48">
        <f>IFERROR(__xludf.DUMMYFUNCTION("""COMPUTED_VALUE"""),45736.6025093287)</f>
        <v>45736.60251</v>
      </c>
      <c r="G2728" s="42" t="str">
        <f>IFERROR(__xludf.DUMMYFUNCTION("""COMPUTED_VALUE"""),"BN JUAL BELI")</f>
        <v>BN JUAL BELI</v>
      </c>
      <c r="H2728" s="42">
        <f t="shared" si="1"/>
        <v>1280</v>
      </c>
    </row>
    <row r="2729" ht="22.5" customHeight="1">
      <c r="B2729" s="42" t="str">
        <f>IFERROR(__xludf.DUMMYFUNCTION("""COMPUTED_VALUE"""),"K/6/050325/2")</f>
        <v>K/6/050325/2</v>
      </c>
      <c r="C2729" s="42" t="str">
        <f>IFERROR(__xludf.DUMMYFUNCTION("""COMPUTED_VALUE"""),"M. 542/ Sumberrejo sejahtera")</f>
        <v>M. 542/ Sumberrejo sejahtera</v>
      </c>
      <c r="D2729" s="42"/>
      <c r="E2729" s="42" t="str">
        <f>IFERROR(__xludf.DUMMYFUNCTION("""COMPUTED_VALUE"""),"DISERAHKAN")</f>
        <v>DISERAHKAN</v>
      </c>
      <c r="F2729" s="48">
        <f>IFERROR(__xludf.DUMMYFUNCTION("""COMPUTED_VALUE"""),45733.61660304398)</f>
        <v>45733.6166</v>
      </c>
      <c r="G2729" s="42" t="str">
        <f>IFERROR(__xludf.DUMMYFUNCTION("""COMPUTED_VALUE"""),"BN PHB")</f>
        <v>BN PHB</v>
      </c>
      <c r="H2729" s="42">
        <f t="shared" si="1"/>
        <v>1281</v>
      </c>
    </row>
    <row r="2730" ht="22.5" customHeight="1">
      <c r="B2730" s="42" t="str">
        <f>IFERROR(__xludf.DUMMYFUNCTION("""COMPUTED_VALUE"""),"K/8/050325/1")</f>
        <v>K/8/050325/1</v>
      </c>
      <c r="C2730" s="42" t="str">
        <f>IFERROR(__xludf.DUMMYFUNCTION("""COMPUTED_VALUE"""),"B.1600/KEMILING PERMAI")</f>
        <v>B.1600/KEMILING PERMAI</v>
      </c>
      <c r="D2730" s="42"/>
      <c r="E2730" s="42"/>
      <c r="F2730" s="48" t="str">
        <f>IFERROR(__xludf.DUMMYFUNCTION("""COMPUTED_VALUE"""),"")</f>
        <v/>
      </c>
      <c r="G2730" s="42" t="str">
        <f>IFERROR(__xludf.DUMMYFUNCTION("""COMPUTED_VALUE"""),"PERUBAHAN HAK")</f>
        <v>PERUBAHAN HAK</v>
      </c>
      <c r="H2730" s="42">
        <f t="shared" si="1"/>
        <v>1281</v>
      </c>
    </row>
    <row r="2731" ht="22.5" customHeight="1">
      <c r="B2731" s="42" t="str">
        <f>IFERROR(__xludf.DUMMYFUNCTION("""COMPUTED_VALUE"""),"K/7/050325/3")</f>
        <v>K/7/050325/3</v>
      </c>
      <c r="C2731" s="42" t="str">
        <f>IFERROR(__xludf.DUMMYFUNCTION("""COMPUTED_VALUE"""),"M. 6183/ way Kandis")</f>
        <v>M. 6183/ way Kandis</v>
      </c>
      <c r="D2731" s="42"/>
      <c r="E2731" s="42" t="str">
        <f>IFERROR(__xludf.DUMMYFUNCTION("""COMPUTED_VALUE"""),"DISERAHKAN")</f>
        <v>DISERAHKAN</v>
      </c>
      <c r="F2731" s="48">
        <f>IFERROR(__xludf.DUMMYFUNCTION("""COMPUTED_VALUE"""),45730.40005229166)</f>
        <v>45730.40005</v>
      </c>
      <c r="G2731" s="42" t="str">
        <f>IFERROR(__xludf.DUMMYFUNCTION("""COMPUTED_VALUE"""),"BN JUAL BELI")</f>
        <v>BN JUAL BELI</v>
      </c>
      <c r="H2731" s="42">
        <f t="shared" si="1"/>
        <v>1282</v>
      </c>
    </row>
    <row r="2732" ht="22.5" customHeight="1">
      <c r="B2732" s="42" t="str">
        <f>IFERROR(__xludf.DUMMYFUNCTION("""COMPUTED_VALUE"""),"K/9/050325/1")</f>
        <v>K/9/050325/1</v>
      </c>
      <c r="C2732" s="42" t="str">
        <f>IFERROR(__xludf.DUMMYFUNCTION("""COMPUTED_VALUE"""),"M.2245/SUKARAME II")</f>
        <v>M.2245/SUKARAME II</v>
      </c>
      <c r="D2732" s="42"/>
      <c r="E2732" s="42"/>
      <c r="F2732" s="48" t="str">
        <f>IFERROR(__xludf.DUMMYFUNCTION("""COMPUTED_VALUE"""),"")</f>
        <v/>
      </c>
      <c r="G2732" s="42" t="str">
        <f>IFERROR(__xludf.DUMMYFUNCTION("""COMPUTED_VALUE"""),"PEMECAHAN")</f>
        <v>PEMECAHAN</v>
      </c>
      <c r="H2732" s="42">
        <f t="shared" si="1"/>
        <v>1282</v>
      </c>
    </row>
    <row r="2733" ht="22.5" customHeight="1">
      <c r="B2733" s="42" t="str">
        <f>IFERROR(__xludf.DUMMYFUNCTION("""COMPUTED_VALUE"""),"K/10/050325/1")</f>
        <v>K/10/050325/1</v>
      </c>
      <c r="C2733" s="42" t="str">
        <f>IFERROR(__xludf.DUMMYFUNCTION("""COMPUTED_VALUE"""),"M. 18826/ Sukarame")</f>
        <v>M. 18826/ Sukarame</v>
      </c>
      <c r="D2733" s="42"/>
      <c r="E2733" s="42" t="str">
        <f>IFERROR(__xludf.DUMMYFUNCTION("""COMPUTED_VALUE"""),"DISERAHKAN")</f>
        <v>DISERAHKAN</v>
      </c>
      <c r="F2733" s="48">
        <f>IFERROR(__xludf.DUMMYFUNCTION("""COMPUTED_VALUE"""),45733.61032521991)</f>
        <v>45733.61033</v>
      </c>
      <c r="G2733" s="42" t="str">
        <f>IFERROR(__xludf.DUMMYFUNCTION("""COMPUTED_VALUE"""),"BN Waris")</f>
        <v>BN Waris</v>
      </c>
      <c r="H2733" s="42">
        <f t="shared" si="1"/>
        <v>1283</v>
      </c>
    </row>
    <row r="2734" ht="22.5" customHeight="1">
      <c r="B2734" s="42" t="str">
        <f>IFERROR(__xludf.DUMMYFUNCTION("""COMPUTED_VALUE"""),"L/11/050325/1")</f>
        <v>L/11/050325/1</v>
      </c>
      <c r="C2734" s="42" t="str">
        <f>IFERROR(__xludf.DUMMYFUNCTION("""COMPUTED_VALUE"""),"HM 517/RAWA LAUT")</f>
        <v>HM 517/RAWA LAUT</v>
      </c>
      <c r="D2734" s="42"/>
      <c r="E2734" s="42"/>
      <c r="F2734" s="48" t="str">
        <f>IFERROR(__xludf.DUMMYFUNCTION("""COMPUTED_VALUE"""),"")</f>
        <v/>
      </c>
      <c r="G2734" s="42" t="str">
        <f>IFERROR(__xludf.DUMMYFUNCTION("""COMPUTED_VALUE"""),"BLOKIR")</f>
        <v>BLOKIR</v>
      </c>
      <c r="H2734" s="42">
        <f t="shared" si="1"/>
        <v>1283</v>
      </c>
    </row>
    <row r="2735" ht="22.5" customHeight="1">
      <c r="B2735" s="42" t="str">
        <f>IFERROR(__xludf.DUMMYFUNCTION("""COMPUTED_VALUE"""),"L/12/050325/1")</f>
        <v>L/12/050325/1</v>
      </c>
      <c r="C2735" s="42" t="str">
        <f>IFERROR(__xludf.DUMMYFUNCTION("""COMPUTED_VALUE"""),"NIB 17586/LANGKAPURA")</f>
        <v>NIB 17586/LANGKAPURA</v>
      </c>
      <c r="D2735" s="42"/>
      <c r="E2735" s="42"/>
      <c r="F2735" s="48" t="str">
        <f>IFERROR(__xludf.DUMMYFUNCTION("""COMPUTED_VALUE"""),"")</f>
        <v/>
      </c>
      <c r="G2735" s="42" t="str">
        <f>IFERROR(__xludf.DUMMYFUNCTION("""COMPUTED_VALUE"""),"PEMECAHAN")</f>
        <v>PEMECAHAN</v>
      </c>
      <c r="H2735" s="42">
        <f t="shared" si="1"/>
        <v>1283</v>
      </c>
    </row>
    <row r="2736" ht="22.5" customHeight="1">
      <c r="B2736" s="42" t="str">
        <f>IFERROR(__xludf.DUMMYFUNCTION("""COMPUTED_VALUE"""),"K/13/050325/1")</f>
        <v>K/13/050325/1</v>
      </c>
      <c r="C2736" s="42" t="str">
        <f>IFERROR(__xludf.DUMMYFUNCTION("""COMPUTED_VALUE"""),"M. 1838/ Rajabasa Nunyai")</f>
        <v>M. 1838/ Rajabasa Nunyai</v>
      </c>
      <c r="D2736" s="42"/>
      <c r="E2736" s="42"/>
      <c r="F2736" s="48" t="str">
        <f>IFERROR(__xludf.DUMMYFUNCTION("""COMPUTED_VALUE"""),"")</f>
        <v/>
      </c>
      <c r="G2736" s="42" t="str">
        <f>IFERROR(__xludf.DUMMYFUNCTION("""COMPUTED_VALUE"""),"BN Jual Beli")</f>
        <v>BN Jual Beli</v>
      </c>
      <c r="H2736" s="42">
        <f t="shared" si="1"/>
        <v>1283</v>
      </c>
    </row>
    <row r="2737" ht="22.5" customHeight="1">
      <c r="B2737" s="42" t="str">
        <f>IFERROR(__xludf.DUMMYFUNCTION("""COMPUTED_VALUE"""),"K/14/050325/1")</f>
        <v>K/14/050325/1</v>
      </c>
      <c r="C2737" s="42" t="str">
        <f>IFERROR(__xludf.DUMMYFUNCTION("""COMPUTED_VALUE"""),"Nibel 3625/ Rajabasa Jaya")</f>
        <v>Nibel 3625/ Rajabasa Jaya</v>
      </c>
      <c r="D2737" s="42"/>
      <c r="E2737" s="42"/>
      <c r="F2737" s="48" t="str">
        <f>IFERROR(__xludf.DUMMYFUNCTION("""COMPUTED_VALUE"""),"")</f>
        <v/>
      </c>
      <c r="G2737" s="42" t="str">
        <f>IFERROR(__xludf.DUMMYFUNCTION("""COMPUTED_VALUE"""),"BN JUAL BELI")</f>
        <v>BN JUAL BELI</v>
      </c>
      <c r="H2737" s="42">
        <f t="shared" si="1"/>
        <v>1283</v>
      </c>
    </row>
    <row r="2738" ht="22.5" customHeight="1">
      <c r="B2738" s="42" t="str">
        <f>IFERROR(__xludf.DUMMYFUNCTION("""COMPUTED_VALUE"""),"K/16/050325/1")</f>
        <v>K/16/050325/1</v>
      </c>
      <c r="C2738" s="42" t="str">
        <f>IFERROR(__xludf.DUMMYFUNCTION("""COMPUTED_VALUE"""),"B.1360/PINANG JAYA ")</f>
        <v>B.1360/PINANG JAYA </v>
      </c>
      <c r="D2738" s="42" t="str">
        <f>IFERROR(__xludf.DUMMYFUNCTION("""COMPUTED_VALUE"""),"Berry")</f>
        <v>Berry</v>
      </c>
      <c r="E2738" s="42" t="str">
        <f>IFERROR(__xludf.DUMMYFUNCTION("""COMPUTED_VALUE"""),"DISERAHKAN")</f>
        <v>DISERAHKAN</v>
      </c>
      <c r="F2738" s="48">
        <f>IFERROR(__xludf.DUMMYFUNCTION("""COMPUTED_VALUE"""),45804.37700371528)</f>
        <v>45804.377</v>
      </c>
      <c r="G2738" s="42" t="str">
        <f>IFERROR(__xludf.DUMMYFUNCTION("""COMPUTED_VALUE"""),"PERUBAHAN HAK")</f>
        <v>PERUBAHAN HAK</v>
      </c>
      <c r="H2738" s="42">
        <f t="shared" si="1"/>
        <v>1284</v>
      </c>
    </row>
    <row r="2739" ht="22.5" customHeight="1">
      <c r="B2739" s="42" t="str">
        <f>IFERROR(__xludf.DUMMYFUNCTION("""COMPUTED_VALUE"""),"K/15/050325/2")</f>
        <v>K/15/050325/2</v>
      </c>
      <c r="C2739" s="42" t="str">
        <f>IFERROR(__xludf.DUMMYFUNCTION("""COMPUTED_VALUE"""),"NIbel 3627/ Rajabsa Jaya")</f>
        <v>NIbel 3627/ Rajabsa Jaya</v>
      </c>
      <c r="D2739" s="42"/>
      <c r="E2739" s="42"/>
      <c r="F2739" s="48" t="str">
        <f>IFERROR(__xludf.DUMMYFUNCTION("""COMPUTED_VALUE"""),"")</f>
        <v/>
      </c>
      <c r="G2739" s="42" t="str">
        <f>IFERROR(__xludf.DUMMYFUNCTION("""COMPUTED_VALUE"""),"BN JUAL BELI")</f>
        <v>BN JUAL BELI</v>
      </c>
      <c r="H2739" s="42">
        <f t="shared" si="1"/>
        <v>1284</v>
      </c>
    </row>
    <row r="2740" ht="22.5" customHeight="1">
      <c r="B2740" s="42" t="str">
        <f>IFERROR(__xludf.DUMMYFUNCTION("""COMPUTED_VALUE"""),"K/17/050325/1")</f>
        <v>K/17/050325/1</v>
      </c>
      <c r="C2740" s="42" t="str">
        <f>IFERROR(__xludf.DUMMYFUNCTION("""COMPUTED_VALUE"""),"PBT 90/2024 SUKAJAWA")</f>
        <v>PBT 90/2024 SUKAJAWA</v>
      </c>
      <c r="D2740" s="42"/>
      <c r="E2740" s="42"/>
      <c r="F2740" s="48" t="str">
        <f>IFERROR(__xludf.DUMMYFUNCTION("""COMPUTED_VALUE"""),"")</f>
        <v/>
      </c>
      <c r="G2740" s="42" t="str">
        <f>IFERROR(__xludf.DUMMYFUNCTION("""COMPUTED_VALUE"""),"PERMOHONAN SK")</f>
        <v>PERMOHONAN SK</v>
      </c>
      <c r="H2740" s="42">
        <f t="shared" si="1"/>
        <v>1284</v>
      </c>
    </row>
    <row r="2741" ht="22.5" customHeight="1">
      <c r="B2741" s="42" t="str">
        <f>IFERROR(__xludf.DUMMYFUNCTION("""COMPUTED_VALUE"""),"K/18/050325/1")</f>
        <v>K/18/050325/1</v>
      </c>
      <c r="C2741" s="42" t="str">
        <f>IFERROR(__xludf.DUMMYFUNCTION("""COMPUTED_VALUE"""),"M. 5292/ Rajabasa Jaya")</f>
        <v>M. 5292/ Rajabasa Jaya</v>
      </c>
      <c r="D2741" s="42"/>
      <c r="E2741" s="42"/>
      <c r="F2741" s="48" t="str">
        <f>IFERROR(__xludf.DUMMYFUNCTION("""COMPUTED_VALUE"""),"")</f>
        <v/>
      </c>
      <c r="G2741" s="42" t="str">
        <f>IFERROR(__xludf.DUMMYFUNCTION("""COMPUTED_VALUE"""),"BN WARIS")</f>
        <v>BN WARIS</v>
      </c>
      <c r="H2741" s="42">
        <f t="shared" si="1"/>
        <v>1284</v>
      </c>
    </row>
    <row r="2742" ht="22.5" customHeight="1">
      <c r="B2742" s="42" t="str">
        <f>IFERROR(__xludf.DUMMYFUNCTION("""COMPUTED_VALUE"""),"K/19/050325/1")</f>
        <v>K/19/050325/1</v>
      </c>
      <c r="C2742" s="42" t="str">
        <f>IFERROR(__xludf.DUMMYFUNCTION("""COMPUTED_VALUE"""),"M.2870/SUKARAME BARU")</f>
        <v>M.2870/SUKARAME BARU</v>
      </c>
      <c r="D2742" s="42"/>
      <c r="E2742" s="42" t="str">
        <f>IFERROR(__xludf.DUMMYFUNCTION("""COMPUTED_VALUE"""),"DISERAHKAN")</f>
        <v>DISERAHKAN</v>
      </c>
      <c r="F2742" s="48">
        <f>IFERROR(__xludf.DUMMYFUNCTION("""COMPUTED_VALUE"""),45727.49903068287)</f>
        <v>45727.49903</v>
      </c>
      <c r="G2742" s="42" t="str">
        <f>IFERROR(__xludf.DUMMYFUNCTION("""COMPUTED_VALUE"""),"JUAL BELI")</f>
        <v>JUAL BELI</v>
      </c>
      <c r="H2742" s="42">
        <f t="shared" si="1"/>
        <v>1285</v>
      </c>
    </row>
    <row r="2743" ht="22.5" customHeight="1">
      <c r="B2743" s="42" t="str">
        <f>IFERROR(__xludf.DUMMYFUNCTION("""COMPUTED_VALUE"""),"L/20/050325/1")</f>
        <v>L/20/050325/1</v>
      </c>
      <c r="C2743" s="42" t="str">
        <f>IFERROR(__xludf.DUMMYFUNCTION("""COMPUTED_VALUE"""),"HM 591/KEMILING RAYA")</f>
        <v>HM 591/KEMILING RAYA</v>
      </c>
      <c r="D2743" s="42" t="str">
        <f>IFERROR(__xludf.DUMMYFUNCTION("""COMPUTED_VALUE"""),"David")</f>
        <v>David</v>
      </c>
      <c r="E2743" s="42" t="str">
        <f>IFERROR(__xludf.DUMMYFUNCTION("""COMPUTED_VALUE"""),"DISERAHKAN")</f>
        <v>DISERAHKAN</v>
      </c>
      <c r="F2743" s="48">
        <f>IFERROR(__xludf.DUMMYFUNCTION("""COMPUTED_VALUE"""),45883.65508859954)</f>
        <v>45883.65509</v>
      </c>
      <c r="G2743" s="42" t="str">
        <f>IFERROR(__xludf.DUMMYFUNCTION("""COMPUTED_VALUE"""),"BN WARIS")</f>
        <v>BN WARIS</v>
      </c>
      <c r="H2743" s="42">
        <f t="shared" si="1"/>
        <v>1286</v>
      </c>
    </row>
    <row r="2744" ht="22.5" customHeight="1">
      <c r="B2744" s="42" t="str">
        <f>IFERROR(__xludf.DUMMYFUNCTION("""COMPUTED_VALUE"""),"L/21/050325/2")</f>
        <v>L/21/050325/2</v>
      </c>
      <c r="C2744" s="42" t="str">
        <f>IFERROR(__xludf.DUMMYFUNCTION("""COMPUTED_VALUE"""),"HM 602/KEMILING RAYA")</f>
        <v>HM 602/KEMILING RAYA</v>
      </c>
      <c r="D2744" s="42" t="str">
        <f>IFERROR(__xludf.DUMMYFUNCTION("""COMPUTED_VALUE"""),"Pras")</f>
        <v>Pras</v>
      </c>
      <c r="E2744" s="42" t="str">
        <f>IFERROR(__xludf.DUMMYFUNCTION("""COMPUTED_VALUE"""),"DISERAHKAN")</f>
        <v>DISERAHKAN</v>
      </c>
      <c r="F2744" s="48">
        <f>IFERROR(__xludf.DUMMYFUNCTION("""COMPUTED_VALUE"""),45876.61415695601)</f>
        <v>45876.61416</v>
      </c>
      <c r="G2744" s="42" t="str">
        <f>IFERROR(__xludf.DUMMYFUNCTION("""COMPUTED_VALUE"""),"BN WARIS")</f>
        <v>BN WARIS</v>
      </c>
      <c r="H2744" s="42">
        <f t="shared" si="1"/>
        <v>1287</v>
      </c>
    </row>
    <row r="2745" ht="22.5" customHeight="1">
      <c r="B2745" s="42" t="str">
        <f>IFERROR(__xludf.DUMMYFUNCTION("""COMPUTED_VALUE"""),"K/23/050325/1")</f>
        <v>K/23/050325/1</v>
      </c>
      <c r="C2745" s="42" t="str">
        <f>IFERROR(__xludf.DUMMYFUNCTION("""COMPUTED_VALUE"""),"M. 997/ Pelita")</f>
        <v>M. 997/ Pelita</v>
      </c>
      <c r="D2745" s="42"/>
      <c r="E2745" s="42"/>
      <c r="F2745" s="48" t="str">
        <f>IFERROR(__xludf.DUMMYFUNCTION("""COMPUTED_VALUE"""),"")</f>
        <v/>
      </c>
      <c r="G2745" s="42" t="str">
        <f>IFERROR(__xludf.DUMMYFUNCTION("""COMPUTED_VALUE"""),"SKPT LELANG")</f>
        <v>SKPT LELANG</v>
      </c>
      <c r="H2745" s="42">
        <f t="shared" si="1"/>
        <v>1287</v>
      </c>
    </row>
    <row r="2746" ht="22.5" customHeight="1">
      <c r="B2746" s="42" t="str">
        <f>IFERROR(__xludf.DUMMYFUNCTION("""COMPUTED_VALUE"""),"K/24/050325/2")</f>
        <v>K/24/050325/2</v>
      </c>
      <c r="C2746" s="42" t="str">
        <f>IFERROR(__xludf.DUMMYFUNCTION("""COMPUTED_VALUE"""),"M. 445/ Rajabasa Raya")</f>
        <v>M. 445/ Rajabasa Raya</v>
      </c>
      <c r="D2746" s="42"/>
      <c r="E2746" s="42"/>
      <c r="F2746" s="48" t="str">
        <f>IFERROR(__xludf.DUMMYFUNCTION("""COMPUTED_VALUE"""),"")</f>
        <v/>
      </c>
      <c r="G2746" s="42" t="str">
        <f>IFERROR(__xludf.DUMMYFUNCTION("""COMPUTED_VALUE"""),"SKPT LELANG")</f>
        <v>SKPT LELANG</v>
      </c>
      <c r="H2746" s="42">
        <f t="shared" si="1"/>
        <v>1287</v>
      </c>
    </row>
    <row r="2747" ht="22.5" customHeight="1">
      <c r="B2747" s="42" t="str">
        <f>IFERROR(__xludf.DUMMYFUNCTION("""COMPUTED_VALUE"""),"K/22/050325/1")</f>
        <v>K/22/050325/1</v>
      </c>
      <c r="C2747" s="42" t="str">
        <f>IFERROR(__xludf.DUMMYFUNCTION("""COMPUTED_VALUE"""),"M.5576/LANGKAPURA")</f>
        <v>M.5576/LANGKAPURA</v>
      </c>
      <c r="D2747" s="42"/>
      <c r="E2747" s="42" t="str">
        <f>IFERROR(__xludf.DUMMYFUNCTION("""COMPUTED_VALUE"""),"DISERAHKAN")</f>
        <v>DISERAHKAN</v>
      </c>
      <c r="F2747" s="48">
        <f>IFERROR(__xludf.DUMMYFUNCTION("""COMPUTED_VALUE"""),45728.63931975694)</f>
        <v>45728.63932</v>
      </c>
      <c r="G2747" s="42" t="str">
        <f>IFERROR(__xludf.DUMMYFUNCTION("""COMPUTED_VALUE"""),"BN JUAL BELI")</f>
        <v>BN JUAL BELI</v>
      </c>
      <c r="H2747" s="42">
        <f t="shared" si="1"/>
        <v>1288</v>
      </c>
    </row>
    <row r="2748" ht="22.5" customHeight="1">
      <c r="B2748" s="42" t="str">
        <f>IFERROR(__xludf.DUMMYFUNCTION("""COMPUTED_VALUE"""),"K/25/050325/1")</f>
        <v>K/25/050325/1</v>
      </c>
      <c r="C2748" s="42" t="str">
        <f>IFERROR(__xludf.DUMMYFUNCTION("""COMPUTED_VALUE"""),"NIBEL B 18313/SUMUR PUTRI")</f>
        <v>NIBEL B 18313/SUMUR PUTRI</v>
      </c>
      <c r="D2748" s="42"/>
      <c r="E2748" s="42"/>
      <c r="F2748" s="48" t="str">
        <f>IFERROR(__xludf.DUMMYFUNCTION("""COMPUTED_VALUE"""),"")</f>
        <v/>
      </c>
      <c r="G2748" s="42" t="str">
        <f>IFERROR(__xludf.DUMMYFUNCTION("""COMPUTED_VALUE"""),"PERUBAHAN HAK")</f>
        <v>PERUBAHAN HAK</v>
      </c>
      <c r="H2748" s="42">
        <f t="shared" si="1"/>
        <v>1288</v>
      </c>
    </row>
    <row r="2749" ht="22.5" customHeight="1">
      <c r="B2749" s="42" t="str">
        <f>IFERROR(__xludf.DUMMYFUNCTION("""COMPUTED_VALUE"""),"K/26/050325/1")</f>
        <v>K/26/050325/1</v>
      </c>
      <c r="C2749" s="42" t="str">
        <f>IFERROR(__xludf.DUMMYFUNCTION("""COMPUTED_VALUE"""),"M. 968/ Way Halim Permai")</f>
        <v>M. 968/ Way Halim Permai</v>
      </c>
      <c r="D2749" s="42"/>
      <c r="E2749" s="42" t="str">
        <f>IFERROR(__xludf.DUMMYFUNCTION("""COMPUTED_VALUE"""),"DISERAHKAN")</f>
        <v>DISERAHKAN</v>
      </c>
      <c r="F2749" s="48">
        <f>IFERROR(__xludf.DUMMYFUNCTION("""COMPUTED_VALUE"""),45742.61101894676)</f>
        <v>45742.61102</v>
      </c>
      <c r="G2749" s="42" t="str">
        <f>IFERROR(__xludf.DUMMYFUNCTION("""COMPUTED_VALUE"""),"Roya")</f>
        <v>Roya</v>
      </c>
      <c r="H2749" s="42">
        <f t="shared" si="1"/>
        <v>1289</v>
      </c>
    </row>
    <row r="2750" ht="22.5" customHeight="1">
      <c r="B2750" s="42" t="str">
        <f>IFERROR(__xludf.DUMMYFUNCTION("""COMPUTED_VALUE"""),"K/27/050325/1")</f>
        <v>K/27/050325/1</v>
      </c>
      <c r="C2750" s="42" t="str">
        <f>IFERROR(__xludf.DUMMYFUNCTION("""COMPUTED_VALUE"""),"M. 588/LABUHAN DALAM")</f>
        <v>M. 588/LABUHAN DALAM</v>
      </c>
      <c r="D2750" s="42"/>
      <c r="E2750" s="42" t="str">
        <f>IFERROR(__xludf.DUMMYFUNCTION("""COMPUTED_VALUE"""),"DISERAHKAN")</f>
        <v>DISERAHKAN</v>
      </c>
      <c r="F2750" s="48">
        <f>IFERROR(__xludf.DUMMYFUNCTION("""COMPUTED_VALUE"""),45728.63902935185)</f>
        <v>45728.63903</v>
      </c>
      <c r="G2750" s="42" t="str">
        <f>IFERROR(__xludf.DUMMYFUNCTION("""COMPUTED_VALUE"""),"BN JUAL BELI ")</f>
        <v>BN JUAL BELI </v>
      </c>
      <c r="H2750" s="42">
        <f t="shared" si="1"/>
        <v>1290</v>
      </c>
    </row>
    <row r="2751" ht="22.5" customHeight="1">
      <c r="B2751" s="42" t="str">
        <f>IFERROR(__xludf.DUMMYFUNCTION("""COMPUTED_VALUE"""),"K/28/050325/2")</f>
        <v>K/28/050325/2</v>
      </c>
      <c r="C2751" s="42" t="str">
        <f>IFERROR(__xludf.DUMMYFUNCTION("""COMPUTED_VALUE"""),"NIBEL M 1698/SUKABUMI")</f>
        <v>NIBEL M 1698/SUKABUMI</v>
      </c>
      <c r="D2751" s="42"/>
      <c r="E2751" s="42"/>
      <c r="F2751" s="48" t="str">
        <f>IFERROR(__xludf.DUMMYFUNCTION("""COMPUTED_VALUE"""),"")</f>
        <v/>
      </c>
      <c r="G2751" s="42" t="str">
        <f>IFERROR(__xludf.DUMMYFUNCTION("""COMPUTED_VALUE"""),"JUAL BELI")</f>
        <v>JUAL BELI</v>
      </c>
      <c r="H2751" s="42">
        <f t="shared" si="1"/>
        <v>1290</v>
      </c>
    </row>
    <row r="2752" ht="22.5" customHeight="1">
      <c r="B2752" s="42" t="str">
        <f>IFERROR(__xludf.DUMMYFUNCTION("""COMPUTED_VALUE"""),"K/29/050325/1")</f>
        <v>K/29/050325/1</v>
      </c>
      <c r="C2752" s="42" t="str">
        <f>IFERROR(__xludf.DUMMYFUNCTION("""COMPUTED_VALUE"""),"B. 816/SUMUR PUTRI")</f>
        <v>B. 816/SUMUR PUTRI</v>
      </c>
      <c r="D2752" s="42" t="str">
        <f>IFERROR(__xludf.DUMMYFUNCTION("""COMPUTED_VALUE"""),"Berry")</f>
        <v>Berry</v>
      </c>
      <c r="E2752" s="42" t="str">
        <f>IFERROR(__xludf.DUMMYFUNCTION("""COMPUTED_VALUE"""),"DISERAHKAN")</f>
        <v>DISERAHKAN</v>
      </c>
      <c r="F2752" s="48">
        <f>IFERROR(__xludf.DUMMYFUNCTION("""COMPUTED_VALUE"""),45856.530027500005)</f>
        <v>45856.53003</v>
      </c>
      <c r="G2752" s="42" t="str">
        <f>IFERROR(__xludf.DUMMYFUNCTION("""COMPUTED_VALUE"""),"BN JUAL BELI")</f>
        <v>BN JUAL BELI</v>
      </c>
      <c r="H2752" s="42">
        <f t="shared" si="1"/>
        <v>1291</v>
      </c>
    </row>
    <row r="2753" ht="22.5" customHeight="1">
      <c r="B2753" s="42" t="str">
        <f>IFERROR(__xludf.DUMMYFUNCTION("""COMPUTED_VALUE"""),"K/30/050325/1")</f>
        <v>K/30/050325/1</v>
      </c>
      <c r="C2753" s="42" t="str">
        <f>IFERROR(__xludf.DUMMYFUNCTION("""COMPUTED_VALUE"""),"NIBEL M 4783/SUKABUMI INDAH")</f>
        <v>NIBEL M 4783/SUKABUMI INDAH</v>
      </c>
      <c r="D2753" s="42"/>
      <c r="E2753" s="42"/>
      <c r="F2753" s="48" t="str">
        <f>IFERROR(__xludf.DUMMYFUNCTION("""COMPUTED_VALUE"""),"")</f>
        <v/>
      </c>
      <c r="G2753" s="42" t="str">
        <f>IFERROR(__xludf.DUMMYFUNCTION("""COMPUTED_VALUE"""),"JUAL BELI")</f>
        <v>JUAL BELI</v>
      </c>
      <c r="H2753" s="42">
        <f t="shared" si="1"/>
        <v>1291</v>
      </c>
    </row>
    <row r="2754" ht="22.5" customHeight="1">
      <c r="B2754" s="42" t="str">
        <f>IFERROR(__xludf.DUMMYFUNCTION("""COMPUTED_VALUE"""),"K/31/050325/1")</f>
        <v>K/31/050325/1</v>
      </c>
      <c r="C2754" s="42" t="str">
        <f>IFERROR(__xludf.DUMMYFUNCTION("""COMPUTED_VALUE"""),"Nibel 11868/ Tanjung Senang")</f>
        <v>Nibel 11868/ Tanjung Senang</v>
      </c>
      <c r="D2754" s="42"/>
      <c r="E2754" s="42"/>
      <c r="F2754" s="48" t="str">
        <f>IFERROR(__xludf.DUMMYFUNCTION("""COMPUTED_VALUE"""),"")</f>
        <v/>
      </c>
      <c r="G2754" s="42" t="str">
        <f>IFERROR(__xludf.DUMMYFUNCTION("""COMPUTED_VALUE"""),"BN JUAL BELI")</f>
        <v>BN JUAL BELI</v>
      </c>
      <c r="H2754" s="42">
        <f t="shared" si="1"/>
        <v>1291</v>
      </c>
    </row>
    <row r="2755" ht="22.5" customHeight="1">
      <c r="B2755" s="42" t="str">
        <f>IFERROR(__xludf.DUMMYFUNCTION("""COMPUTED_VALUE"""),"K/33/050325/3")</f>
        <v>K/33/050325/3</v>
      </c>
      <c r="C2755" s="42" t="str">
        <f>IFERROR(__xludf.DUMMYFUNCTION("""COMPUTED_VALUE"""),"B. 630/ Sumber Agung")</f>
        <v>B. 630/ Sumber Agung</v>
      </c>
      <c r="D2755" s="42"/>
      <c r="E2755" s="42" t="str">
        <f>IFERROR(__xludf.DUMMYFUNCTION("""COMPUTED_VALUE"""),"DISERAHKAN")</f>
        <v>DISERAHKAN</v>
      </c>
      <c r="F2755" s="48">
        <f>IFERROR(__xludf.DUMMYFUNCTION("""COMPUTED_VALUE"""),45758.477424641205)</f>
        <v>45758.47742</v>
      </c>
      <c r="G2755" s="42" t="str">
        <f>IFERROR(__xludf.DUMMYFUNCTION("""COMPUTED_VALUE"""),"BN Jual Beli")</f>
        <v>BN Jual Beli</v>
      </c>
      <c r="H2755" s="42">
        <f t="shared" si="1"/>
        <v>1292</v>
      </c>
    </row>
    <row r="2756" ht="22.5" customHeight="1">
      <c r="B2756" s="42" t="str">
        <f>IFERROR(__xludf.DUMMYFUNCTION("""COMPUTED_VALUE"""),"K/32/050325/2")</f>
        <v>K/32/050325/2</v>
      </c>
      <c r="C2756" s="42" t="str">
        <f>IFERROR(__xludf.DUMMYFUNCTION("""COMPUTED_VALUE"""),"M. 785/ Sumur Putri")</f>
        <v>M. 785/ Sumur Putri</v>
      </c>
      <c r="D2756" s="42"/>
      <c r="E2756" s="42" t="str">
        <f>IFERROR(__xludf.DUMMYFUNCTION("""COMPUTED_VALUE"""),"DISERAHKAN")</f>
        <v>DISERAHKAN</v>
      </c>
      <c r="F2756" s="48">
        <f>IFERROR(__xludf.DUMMYFUNCTION("""COMPUTED_VALUE"""),45733.61202677083)</f>
        <v>45733.61203</v>
      </c>
      <c r="G2756" s="42" t="str">
        <f>IFERROR(__xludf.DUMMYFUNCTION("""COMPUTED_VALUE"""),"BN Jual Beli")</f>
        <v>BN Jual Beli</v>
      </c>
      <c r="H2756" s="42">
        <f t="shared" si="1"/>
        <v>1293</v>
      </c>
    </row>
    <row r="2757" ht="22.5" customHeight="1">
      <c r="B2757" s="42" t="str">
        <f>IFERROR(__xludf.DUMMYFUNCTION("""COMPUTED_VALUE"""),"L/34/050325/1")</f>
        <v>L/34/050325/1</v>
      </c>
      <c r="C2757" s="42" t="str">
        <f>IFERROR(__xludf.DUMMYFUNCTION("""COMPUTED_VALUE"""),"HGB 57/BAKUNG")</f>
        <v>HGB 57/BAKUNG</v>
      </c>
      <c r="D2757" s="42"/>
      <c r="E2757" s="42" t="str">
        <f>IFERROR(__xludf.DUMMYFUNCTION("""COMPUTED_VALUE"""),"DISERAHKAN")</f>
        <v>DISERAHKAN</v>
      </c>
      <c r="F2757" s="48">
        <f>IFERROR(__xludf.DUMMYFUNCTION("""COMPUTED_VALUE"""),45741.52900761574)</f>
        <v>45741.52901</v>
      </c>
      <c r="G2757" s="42" t="str">
        <f>IFERROR(__xludf.DUMMYFUNCTION("""COMPUTED_VALUE"""),"ROYA")</f>
        <v>ROYA</v>
      </c>
      <c r="H2757" s="42">
        <f t="shared" si="1"/>
        <v>1294</v>
      </c>
    </row>
    <row r="2758" ht="22.5" customHeight="1">
      <c r="B2758" s="42" t="str">
        <f>IFERROR(__xludf.DUMMYFUNCTION("""COMPUTED_VALUE"""),"K/1/060325/1")</f>
        <v>K/1/060325/1</v>
      </c>
      <c r="C2758" s="42" t="str">
        <f>IFERROR(__xludf.DUMMYFUNCTION("""COMPUTED_VALUE"""),"B. 2161; 2412/ Campang Raya")</f>
        <v>B. 2161; 2412/ Campang Raya</v>
      </c>
      <c r="D2758" s="42"/>
      <c r="E2758" s="42"/>
      <c r="F2758" s="48" t="str">
        <f>IFERROR(__xludf.DUMMYFUNCTION("""COMPUTED_VALUE"""),"")</f>
        <v/>
      </c>
      <c r="G2758" s="42" t="str">
        <f>IFERROR(__xludf.DUMMYFUNCTION("""COMPUTED_VALUE"""),"Roya")</f>
        <v>Roya</v>
      </c>
      <c r="H2758" s="42">
        <f t="shared" si="1"/>
        <v>1294</v>
      </c>
    </row>
    <row r="2759" ht="22.5" customHeight="1">
      <c r="B2759" s="42" t="str">
        <f>IFERROR(__xludf.DUMMYFUNCTION("""COMPUTED_VALUE"""),"K/2/060325/1")</f>
        <v>K/2/060325/1</v>
      </c>
      <c r="C2759" s="42" t="str">
        <f>IFERROR(__xludf.DUMMYFUNCTION("""COMPUTED_VALUE"""),"B. 843/PERUMNAS WAY KANDIS")</f>
        <v>B. 843/PERUMNAS WAY KANDIS</v>
      </c>
      <c r="D2759" s="42"/>
      <c r="E2759" s="42"/>
      <c r="F2759" s="48" t="str">
        <f>IFERROR(__xludf.DUMMYFUNCTION("""COMPUTED_VALUE"""),"")</f>
        <v/>
      </c>
      <c r="G2759" s="42" t="str">
        <f>IFERROR(__xludf.DUMMYFUNCTION("""COMPUTED_VALUE"""),"PERUBAHAN HAK")</f>
        <v>PERUBAHAN HAK</v>
      </c>
      <c r="H2759" s="42">
        <f t="shared" si="1"/>
        <v>1294</v>
      </c>
    </row>
    <row r="2760" ht="22.5" customHeight="1">
      <c r="B2760" s="42" t="str">
        <f>IFERROR(__xludf.DUMMYFUNCTION("""COMPUTED_VALUE"""),"L/3/060325/1")</f>
        <v>L/3/060325/1</v>
      </c>
      <c r="C2760" s="42" t="str">
        <f>IFERROR(__xludf.DUMMYFUNCTION("""COMPUTED_VALUE"""),"HM 12069/JAGABAYA II")</f>
        <v>HM 12069/JAGABAYA II</v>
      </c>
      <c r="D2760" s="42"/>
      <c r="E2760" s="42" t="str">
        <f>IFERROR(__xludf.DUMMYFUNCTION("""COMPUTED_VALUE"""),"DISERAHKAN")</f>
        <v>DISERAHKAN</v>
      </c>
      <c r="F2760" s="48">
        <f>IFERROR(__xludf.DUMMYFUNCTION("""COMPUTED_VALUE"""),45741.53231768518)</f>
        <v>45741.53232</v>
      </c>
      <c r="G2760" s="42" t="str">
        <f>IFERROR(__xludf.DUMMYFUNCTION("""COMPUTED_VALUE"""),"ROYA")</f>
        <v>ROYA</v>
      </c>
      <c r="H2760" s="42">
        <f t="shared" si="1"/>
        <v>1295</v>
      </c>
    </row>
    <row r="2761" ht="22.5" customHeight="1">
      <c r="B2761" s="42" t="str">
        <f>IFERROR(__xludf.DUMMYFUNCTION("""COMPUTED_VALUE"""),"L/4/060325/1")</f>
        <v>L/4/060325/1</v>
      </c>
      <c r="C2761" s="42" t="str">
        <f>IFERROR(__xludf.DUMMYFUNCTION("""COMPUTED_VALUE"""),"HGB 844/PWK")</f>
        <v>HGB 844/PWK</v>
      </c>
      <c r="D2761" s="42"/>
      <c r="E2761" s="42"/>
      <c r="F2761" s="48" t="str">
        <f>IFERROR(__xludf.DUMMYFUNCTION("""COMPUTED_VALUE"""),"")</f>
        <v/>
      </c>
      <c r="G2761" s="42" t="str">
        <f>IFERROR(__xludf.DUMMYFUNCTION("""COMPUTED_VALUE"""),"PH")</f>
        <v>PH</v>
      </c>
      <c r="H2761" s="42">
        <f t="shared" si="1"/>
        <v>1295</v>
      </c>
    </row>
    <row r="2762" ht="22.5" customHeight="1">
      <c r="B2762" s="42" t="str">
        <f>IFERROR(__xludf.DUMMYFUNCTION("""COMPUTED_VALUE"""),"K/6/060325/1")</f>
        <v>K/6/060325/1</v>
      </c>
      <c r="C2762" s="42" t="str">
        <f>IFERROR(__xludf.DUMMYFUNCTION("""COMPUTED_VALUE"""),"B.696/SUMBER AGUNG")</f>
        <v>B.696/SUMBER AGUNG</v>
      </c>
      <c r="D2762" s="42"/>
      <c r="E2762" s="42" t="str">
        <f>IFERROR(__xludf.DUMMYFUNCTION("""COMPUTED_VALUE"""),"DISERAHKAN")</f>
        <v>DISERAHKAN</v>
      </c>
      <c r="F2762" s="48">
        <f>IFERROR(__xludf.DUMMYFUNCTION("""COMPUTED_VALUE"""),45769.42864762731)</f>
        <v>45769.42865</v>
      </c>
      <c r="G2762" s="42" t="str">
        <f>IFERROR(__xludf.DUMMYFUNCTION("""COMPUTED_VALUE"""),"JUAL BELI")</f>
        <v>JUAL BELI</v>
      </c>
      <c r="H2762" s="42">
        <f t="shared" si="1"/>
        <v>1296</v>
      </c>
    </row>
    <row r="2763" ht="22.5" customHeight="1">
      <c r="B2763" s="42" t="str">
        <f>IFERROR(__xludf.DUMMYFUNCTION("""COMPUTED_VALUE"""),"K/5/060325/1")</f>
        <v>K/5/060325/1</v>
      </c>
      <c r="C2763" s="42" t="str">
        <f>IFERROR(__xludf.DUMMYFUNCTION("""COMPUTED_VALUE"""),"NIBEL M. 17583/SUKABUMI")</f>
        <v>NIBEL M. 17583/SUKABUMI</v>
      </c>
      <c r="D2763" s="42"/>
      <c r="E2763" s="42"/>
      <c r="F2763" s="48" t="str">
        <f>IFERROR(__xludf.DUMMYFUNCTION("""COMPUTED_VALUE"""),"")</f>
        <v/>
      </c>
      <c r="G2763" s="42" t="str">
        <f>IFERROR(__xludf.DUMMYFUNCTION("""COMPUTED_VALUE"""),"BN WARIS")</f>
        <v>BN WARIS</v>
      </c>
      <c r="H2763" s="42">
        <f t="shared" si="1"/>
        <v>1296</v>
      </c>
    </row>
    <row r="2764" ht="22.5" customHeight="1">
      <c r="B2764" s="42" t="str">
        <f>IFERROR(__xludf.DUMMYFUNCTION("""COMPUTED_VALUE"""),"K/8/060325/1")</f>
        <v>K/8/060325/1</v>
      </c>
      <c r="C2764" s="42" t="str">
        <f>IFERROR(__xludf.DUMMYFUNCTION("""COMPUTED_VALUE"""),"M. 503/ Kelapa Tiga Permai")</f>
        <v>M. 503/ Kelapa Tiga Permai</v>
      </c>
      <c r="D2764" s="42"/>
      <c r="E2764" s="42" t="str">
        <f>IFERROR(__xludf.DUMMYFUNCTION("""COMPUTED_VALUE"""),"DISERAHKAN")</f>
        <v>DISERAHKAN</v>
      </c>
      <c r="F2764" s="48">
        <f>IFERROR(__xludf.DUMMYFUNCTION("""COMPUTED_VALUE"""),45736.60206510416)</f>
        <v>45736.60207</v>
      </c>
      <c r="G2764" s="42" t="str">
        <f>IFERROR(__xludf.DUMMYFUNCTION("""COMPUTED_VALUE"""),"BN JUAL BELI")</f>
        <v>BN JUAL BELI</v>
      </c>
      <c r="H2764" s="42">
        <f t="shared" si="1"/>
        <v>1297</v>
      </c>
    </row>
    <row r="2765" ht="22.5" customHeight="1">
      <c r="B2765" s="42" t="str">
        <f>IFERROR(__xludf.DUMMYFUNCTION("""COMPUTED_VALUE"""),"K/7/060325/2")</f>
        <v>K/7/060325/2</v>
      </c>
      <c r="C2765" s="42" t="str">
        <f>IFERROR(__xludf.DUMMYFUNCTION("""COMPUTED_VALUE"""),"B.690/SUMBER AGUNG")</f>
        <v>B.690/SUMBER AGUNG</v>
      </c>
      <c r="D2765" s="42"/>
      <c r="E2765" s="42" t="str">
        <f>IFERROR(__xludf.DUMMYFUNCTION("""COMPUTED_VALUE"""),"DISERAHKAN")</f>
        <v>DISERAHKAN</v>
      </c>
      <c r="F2765" s="48">
        <f>IFERROR(__xludf.DUMMYFUNCTION("""COMPUTED_VALUE"""),45743.43755570602)</f>
        <v>45743.43756</v>
      </c>
      <c r="G2765" s="42" t="str">
        <f>IFERROR(__xludf.DUMMYFUNCTION("""COMPUTED_VALUE"""),"JUAL BELI")</f>
        <v>JUAL BELI</v>
      </c>
      <c r="H2765" s="42">
        <f t="shared" si="1"/>
        <v>1298</v>
      </c>
    </row>
    <row r="2766" ht="22.5" customHeight="1">
      <c r="B2766" s="42" t="str">
        <f>IFERROR(__xludf.DUMMYFUNCTION("""COMPUTED_VALUE"""),"K/9/060325/1")</f>
        <v>K/9/060325/1</v>
      </c>
      <c r="C2766" s="42" t="str">
        <f>IFERROR(__xludf.DUMMYFUNCTION("""COMPUTED_VALUE"""),"M. 14140/ Labuhan Ratu")</f>
        <v>M. 14140/ Labuhan Ratu</v>
      </c>
      <c r="D2766" s="42"/>
      <c r="E2766" s="42" t="str">
        <f>IFERROR(__xludf.DUMMYFUNCTION("""COMPUTED_VALUE"""),"DISERAHKAN")</f>
        <v>DISERAHKAN</v>
      </c>
      <c r="F2766" s="48">
        <f>IFERROR(__xludf.DUMMYFUNCTION("""COMPUTED_VALUE"""),45733.600979027775)</f>
        <v>45733.60098</v>
      </c>
      <c r="G2766" s="42" t="str">
        <f>IFERROR(__xludf.DUMMYFUNCTION("""COMPUTED_VALUE"""),"BN Hibah")</f>
        <v>BN Hibah</v>
      </c>
      <c r="H2766" s="42">
        <f t="shared" si="1"/>
        <v>1299</v>
      </c>
    </row>
    <row r="2767" ht="22.5" customHeight="1">
      <c r="B2767" s="42" t="str">
        <f>IFERROR(__xludf.DUMMYFUNCTION("""COMPUTED_VALUE"""),"K/10/060325/2")</f>
        <v>K/10/060325/2</v>
      </c>
      <c r="C2767" s="42" t="str">
        <f>IFERROR(__xludf.DUMMYFUNCTION("""COMPUTED_VALUE"""),"M. 14141/ Labuhan Ratu")</f>
        <v>M. 14141/ Labuhan Ratu</v>
      </c>
      <c r="D2767" s="42"/>
      <c r="E2767" s="42" t="str">
        <f>IFERROR(__xludf.DUMMYFUNCTION("""COMPUTED_VALUE"""),"DISERAHKAN")</f>
        <v>DISERAHKAN</v>
      </c>
      <c r="F2767" s="48">
        <f>IFERROR(__xludf.DUMMYFUNCTION("""COMPUTED_VALUE"""),45733.60286118055)</f>
        <v>45733.60286</v>
      </c>
      <c r="G2767" s="42" t="str">
        <f>IFERROR(__xludf.DUMMYFUNCTION("""COMPUTED_VALUE"""),"BN Hibah")</f>
        <v>BN Hibah</v>
      </c>
      <c r="H2767" s="42">
        <f t="shared" si="1"/>
        <v>1300</v>
      </c>
    </row>
    <row r="2768" ht="22.5" customHeight="1">
      <c r="B2768" s="42" t="str">
        <f>IFERROR(__xludf.DUMMYFUNCTION("""COMPUTED_VALUE"""),"K/11/060325/3")</f>
        <v>K/11/060325/3</v>
      </c>
      <c r="C2768" s="42" t="str">
        <f>IFERROR(__xludf.DUMMYFUNCTION("""COMPUTED_VALUE"""),"M. 14142/ Labuhan Ratu")</f>
        <v>M. 14142/ Labuhan Ratu</v>
      </c>
      <c r="D2768" s="42"/>
      <c r="E2768" s="42" t="str">
        <f>IFERROR(__xludf.DUMMYFUNCTION("""COMPUTED_VALUE"""),"DISERAHKAN")</f>
        <v>DISERAHKAN</v>
      </c>
      <c r="F2768" s="48">
        <f>IFERROR(__xludf.DUMMYFUNCTION("""COMPUTED_VALUE"""),45775.60723511574)</f>
        <v>45775.60724</v>
      </c>
      <c r="G2768" s="42" t="str">
        <f>IFERROR(__xludf.DUMMYFUNCTION("""COMPUTED_VALUE"""),"BN PHB")</f>
        <v>BN PHB</v>
      </c>
      <c r="H2768" s="42">
        <f t="shared" si="1"/>
        <v>1301</v>
      </c>
    </row>
    <row r="2769" ht="22.5" customHeight="1">
      <c r="B2769" s="42" t="str">
        <f>IFERROR(__xludf.DUMMYFUNCTION("""COMPUTED_VALUE"""),"L/12/060325/1")</f>
        <v>L/12/060325/1</v>
      </c>
      <c r="C2769" s="42" t="str">
        <f>IFERROR(__xludf.DUMMYFUNCTION("""COMPUTED_VALUE"""),"HM 1477/KURIPAN")</f>
        <v>HM 1477/KURIPAN</v>
      </c>
      <c r="D2769" s="42" t="str">
        <f>IFERROR(__xludf.DUMMYFUNCTION("""COMPUTED_VALUE"""),"David")</f>
        <v>David</v>
      </c>
      <c r="E2769" s="42" t="str">
        <f>IFERROR(__xludf.DUMMYFUNCTION("""COMPUTED_VALUE"""),"DISERAHKAN")</f>
        <v>DISERAHKAN</v>
      </c>
      <c r="F2769" s="48">
        <f>IFERROR(__xludf.DUMMYFUNCTION("""COMPUTED_VALUE"""),45839.431820763886)</f>
        <v>45839.43182</v>
      </c>
      <c r="G2769" s="42" t="str">
        <f>IFERROR(__xludf.DUMMYFUNCTION("""COMPUTED_VALUE"""),"ROYA")</f>
        <v>ROYA</v>
      </c>
      <c r="H2769" s="42">
        <f t="shared" si="1"/>
        <v>1302</v>
      </c>
    </row>
    <row r="2770" ht="22.5" customHeight="1">
      <c r="B2770" s="42" t="str">
        <f>IFERROR(__xludf.DUMMYFUNCTION("""COMPUTED_VALUE"""),"K/13/060325/1")</f>
        <v>K/13/060325/1</v>
      </c>
      <c r="C2770" s="42" t="str">
        <f>IFERROR(__xludf.DUMMYFUNCTION("""COMPUTED_VALUE"""),"Nibel 16421/ Kali Balau Kencana")</f>
        <v>Nibel 16421/ Kali Balau Kencana</v>
      </c>
      <c r="D2770" s="42"/>
      <c r="E2770" s="42"/>
      <c r="F2770" s="48" t="str">
        <f>IFERROR(__xludf.DUMMYFUNCTION("""COMPUTED_VALUE"""),"")</f>
        <v/>
      </c>
      <c r="G2770" s="42" t="str">
        <f>IFERROR(__xludf.DUMMYFUNCTION("""COMPUTED_VALUE"""),"BN JUAL BELI")</f>
        <v>BN JUAL BELI</v>
      </c>
      <c r="H2770" s="42">
        <f t="shared" si="1"/>
        <v>1302</v>
      </c>
    </row>
    <row r="2771" ht="22.5" customHeight="1">
      <c r="B2771" s="42" t="str">
        <f>IFERROR(__xludf.DUMMYFUNCTION("""COMPUTED_VALUE"""),"K/14/060325/2")</f>
        <v>K/14/060325/2</v>
      </c>
      <c r="C2771" s="42" t="str">
        <f>IFERROR(__xludf.DUMMYFUNCTION("""COMPUTED_VALUE"""),"Nibel 13347/ Kali Balau Kencana")</f>
        <v>Nibel 13347/ Kali Balau Kencana</v>
      </c>
      <c r="D2771" s="42"/>
      <c r="E2771" s="42"/>
      <c r="F2771" s="48" t="str">
        <f>IFERROR(__xludf.DUMMYFUNCTION("""COMPUTED_VALUE"""),"")</f>
        <v/>
      </c>
      <c r="G2771" s="42" t="str">
        <f>IFERROR(__xludf.DUMMYFUNCTION("""COMPUTED_VALUE"""),"BN JUAL BELI")</f>
        <v>BN JUAL BELI</v>
      </c>
      <c r="H2771" s="42">
        <f t="shared" si="1"/>
        <v>1302</v>
      </c>
    </row>
    <row r="2772" ht="22.5" customHeight="1">
      <c r="B2772" s="42" t="str">
        <f>IFERROR(__xludf.DUMMYFUNCTION("""COMPUTED_VALUE"""),"K/15/060325/3")</f>
        <v>K/15/060325/3</v>
      </c>
      <c r="C2772" s="42" t="str">
        <f>IFERROR(__xludf.DUMMYFUNCTION("""COMPUTED_VALUE"""),"M. 1363/ Sumur Batu")</f>
        <v>M. 1363/ Sumur Batu</v>
      </c>
      <c r="D2772" s="42"/>
      <c r="E2772" s="42" t="str">
        <f>IFERROR(__xludf.DUMMYFUNCTION("""COMPUTED_VALUE"""),"DISERAHKAN")</f>
        <v>DISERAHKAN</v>
      </c>
      <c r="F2772" s="48">
        <f>IFERROR(__xludf.DUMMYFUNCTION("""COMPUTED_VALUE"""),45733.613853703704)</f>
        <v>45733.61385</v>
      </c>
      <c r="G2772" s="42" t="str">
        <f>IFERROR(__xludf.DUMMYFUNCTION("""COMPUTED_VALUE"""),"BN WARIS")</f>
        <v>BN WARIS</v>
      </c>
      <c r="H2772" s="42">
        <f t="shared" si="1"/>
        <v>1303</v>
      </c>
    </row>
    <row r="2773" ht="22.5" customHeight="1">
      <c r="B2773" s="42" t="str">
        <f>IFERROR(__xludf.DUMMYFUNCTION("""COMPUTED_VALUE"""),"L/16/060325/1")</f>
        <v>L/16/060325/1</v>
      </c>
      <c r="C2773" s="42" t="str">
        <f>IFERROR(__xludf.DUMMYFUNCTION("""COMPUTED_VALUE"""),"HM 18425/SUKARAME")</f>
        <v>HM 18425/SUKARAME</v>
      </c>
      <c r="D2773" s="42"/>
      <c r="E2773" s="42" t="str">
        <f>IFERROR(__xludf.DUMMYFUNCTION("""COMPUTED_VALUE"""),"DISERAHKAN")</f>
        <v>DISERAHKAN</v>
      </c>
      <c r="F2773" s="48">
        <f>IFERROR(__xludf.DUMMYFUNCTION("""COMPUTED_VALUE"""),45741.53082947917)</f>
        <v>45741.53083</v>
      </c>
      <c r="G2773" s="42" t="str">
        <f>IFERROR(__xludf.DUMMYFUNCTION("""COMPUTED_VALUE"""),"ROYA")</f>
        <v>ROYA</v>
      </c>
      <c r="H2773" s="42">
        <f t="shared" si="1"/>
        <v>1304</v>
      </c>
    </row>
    <row r="2774" ht="22.5" customHeight="1">
      <c r="B2774" s="42" t="str">
        <f>IFERROR(__xludf.DUMMYFUNCTION("""COMPUTED_VALUE"""),"K/17/060325/1")</f>
        <v>K/17/060325/1</v>
      </c>
      <c r="C2774" s="42" t="str">
        <f>IFERROR(__xludf.DUMMYFUNCTION("""COMPUTED_VALUE"""),"M. 986/ Korpri Jaya")</f>
        <v>M. 986/ Korpri Jaya</v>
      </c>
      <c r="D2774" s="42"/>
      <c r="E2774" s="42" t="str">
        <f>IFERROR(__xludf.DUMMYFUNCTION("""COMPUTED_VALUE"""),"DISERAHKAN")</f>
        <v>DISERAHKAN</v>
      </c>
      <c r="F2774" s="48">
        <f>IFERROR(__xludf.DUMMYFUNCTION("""COMPUTED_VALUE"""),45733.59241914352)</f>
        <v>45733.59242</v>
      </c>
      <c r="G2774" s="42" t="str">
        <f>IFERROR(__xludf.DUMMYFUNCTION("""COMPUTED_VALUE"""),"BN Jual Beli")</f>
        <v>BN Jual Beli</v>
      </c>
      <c r="H2774" s="42">
        <f t="shared" si="1"/>
        <v>1305</v>
      </c>
    </row>
    <row r="2775" ht="22.5" customHeight="1">
      <c r="B2775" s="42" t="str">
        <f>IFERROR(__xludf.DUMMYFUNCTION("""COMPUTED_VALUE"""),"L/18/060325/1")</f>
        <v>L/18/060325/1</v>
      </c>
      <c r="C2775" s="42" t="str">
        <f>IFERROR(__xludf.DUMMYFUNCTION("""COMPUTED_VALUE"""),"HM 1772/RAJABASA RAYA")</f>
        <v>HM 1772/RAJABASA RAYA</v>
      </c>
      <c r="D2775" s="42"/>
      <c r="E2775" s="42" t="str">
        <f>IFERROR(__xludf.DUMMYFUNCTION("""COMPUTED_VALUE"""),"DISERAHKAN")</f>
        <v>DISERAHKAN</v>
      </c>
      <c r="F2775" s="48">
        <f>IFERROR(__xludf.DUMMYFUNCTION("""COMPUTED_VALUE"""),45733.595764791666)</f>
        <v>45733.59576</v>
      </c>
      <c r="G2775" s="42" t="str">
        <f>IFERROR(__xludf.DUMMYFUNCTION("""COMPUTED_VALUE"""),"BN WARIS")</f>
        <v>BN WARIS</v>
      </c>
      <c r="H2775" s="42">
        <f t="shared" si="1"/>
        <v>1306</v>
      </c>
    </row>
    <row r="2776" ht="22.5" customHeight="1">
      <c r="B2776" s="42" t="str">
        <f>IFERROR(__xludf.DUMMYFUNCTION("""COMPUTED_VALUE"""),"K/20/060325/1")</f>
        <v>K/20/060325/1</v>
      </c>
      <c r="C2776" s="42" t="str">
        <f>IFERROR(__xludf.DUMMYFUNCTION("""COMPUTED_VALUE"""),"M. 465/ Kota Sepang")</f>
        <v>M. 465/ Kota Sepang</v>
      </c>
      <c r="D2776" s="42"/>
      <c r="E2776" s="42" t="str">
        <f>IFERROR(__xludf.DUMMYFUNCTION("""COMPUTED_VALUE"""),"DISERAHKAN")</f>
        <v>DISERAHKAN</v>
      </c>
      <c r="F2776" s="48">
        <f>IFERROR(__xludf.DUMMYFUNCTION("""COMPUTED_VALUE"""),45733.60241453703)</f>
        <v>45733.60241</v>
      </c>
      <c r="G2776" s="42" t="str">
        <f>IFERROR(__xludf.DUMMYFUNCTION("""COMPUTED_VALUE"""),"BN JUAL BELI")</f>
        <v>BN JUAL BELI</v>
      </c>
      <c r="H2776" s="42">
        <f t="shared" si="1"/>
        <v>1307</v>
      </c>
    </row>
    <row r="2777" ht="22.5" customHeight="1">
      <c r="B2777" s="42" t="str">
        <f>IFERROR(__xludf.DUMMYFUNCTION("""COMPUTED_VALUE"""),"L/19/060325/2")</f>
        <v>L/19/060325/2</v>
      </c>
      <c r="C2777" s="42" t="str">
        <f>IFERROR(__xludf.DUMMYFUNCTION("""COMPUTED_VALUE"""),"HM 4534/GUNUNG TERANG")</f>
        <v>HM 4534/GUNUNG TERANG</v>
      </c>
      <c r="D2777" s="42"/>
      <c r="E2777" s="42" t="str">
        <f>IFERROR(__xludf.DUMMYFUNCTION("""COMPUTED_VALUE"""),"DISERAHKAN")</f>
        <v>DISERAHKAN</v>
      </c>
      <c r="F2777" s="48">
        <f>IFERROR(__xludf.DUMMYFUNCTION("""COMPUTED_VALUE"""),45733.597875231484)</f>
        <v>45733.59788</v>
      </c>
      <c r="G2777" s="42" t="str">
        <f>IFERROR(__xludf.DUMMYFUNCTION("""COMPUTED_VALUE"""),"BN WARIS")</f>
        <v>BN WARIS</v>
      </c>
      <c r="H2777" s="42">
        <f t="shared" si="1"/>
        <v>1308</v>
      </c>
    </row>
    <row r="2778" ht="22.5" customHeight="1">
      <c r="B2778" s="42" t="str">
        <f>IFERROR(__xludf.DUMMYFUNCTION("""COMPUTED_VALUE"""),"K/21/060325/2")</f>
        <v>K/21/060325/2</v>
      </c>
      <c r="C2778" s="42" t="str">
        <f>IFERROR(__xludf.DUMMYFUNCTION("""COMPUTED_VALUE"""),"M. 1480/ Bakung")</f>
        <v>M. 1480/ Bakung</v>
      </c>
      <c r="D2778" s="42"/>
      <c r="E2778" s="42" t="str">
        <f>IFERROR(__xludf.DUMMYFUNCTION("""COMPUTED_VALUE"""),"DISERAHKAN BT")</f>
        <v>DISERAHKAN BT</v>
      </c>
      <c r="F2778" s="48">
        <f>IFERROR(__xludf.DUMMYFUNCTION("""COMPUTED_VALUE"""),45736.60301756945)</f>
        <v>45736.60302</v>
      </c>
      <c r="G2778" s="42" t="str">
        <f>IFERROR(__xludf.DUMMYFUNCTION("""COMPUTED_VALUE"""),"BN JUAL BELI")</f>
        <v>BN JUAL BELI</v>
      </c>
      <c r="H2778" s="42">
        <f t="shared" si="1"/>
        <v>1308</v>
      </c>
    </row>
    <row r="2779" ht="22.5" customHeight="1">
      <c r="B2779" s="42" t="str">
        <f>IFERROR(__xludf.DUMMYFUNCTION("""COMPUTED_VALUE"""),"K/22/060325/1")</f>
        <v>K/22/060325/1</v>
      </c>
      <c r="C2779" s="42" t="str">
        <f>IFERROR(__xludf.DUMMYFUNCTION("""COMPUTED_VALUE"""),"B. 1810/ Sukarame")</f>
        <v>B. 1810/ Sukarame</v>
      </c>
      <c r="D2779" s="42"/>
      <c r="E2779" s="42" t="str">
        <f>IFERROR(__xludf.DUMMYFUNCTION("""COMPUTED_VALUE"""),"DISERAHKAN")</f>
        <v>DISERAHKAN</v>
      </c>
      <c r="F2779" s="48">
        <f>IFERROR(__xludf.DUMMYFUNCTION("""COMPUTED_VALUE"""),45733.610697662036)</f>
        <v>45733.6107</v>
      </c>
      <c r="G2779" s="42" t="str">
        <f>IFERROR(__xludf.DUMMYFUNCTION("""COMPUTED_VALUE"""),"BN Jual Beli")</f>
        <v>BN Jual Beli</v>
      </c>
      <c r="H2779" s="42">
        <f t="shared" si="1"/>
        <v>1309</v>
      </c>
    </row>
    <row r="2780" ht="22.5" customHeight="1">
      <c r="B2780" s="42" t="str">
        <f>IFERROR(__xludf.DUMMYFUNCTION("""COMPUTED_VALUE"""),"K/24/060325/1")</f>
        <v>K/24/060325/1</v>
      </c>
      <c r="C2780" s="42" t="str">
        <f>IFERROR(__xludf.DUMMYFUNCTION("""COMPUTED_VALUE"""),"M. 529/ Korpri Raya")</f>
        <v>M. 529/ Korpri Raya</v>
      </c>
      <c r="D2780" s="42"/>
      <c r="E2780" s="42" t="str">
        <f>IFERROR(__xludf.DUMMYFUNCTION("""COMPUTED_VALUE"""),"DISERAHKAN")</f>
        <v>DISERAHKAN</v>
      </c>
      <c r="F2780" s="48">
        <f>IFERROR(__xludf.DUMMYFUNCTION("""COMPUTED_VALUE"""),45736.60139668982)</f>
        <v>45736.6014</v>
      </c>
      <c r="G2780" s="42" t="str">
        <f>IFERROR(__xludf.DUMMYFUNCTION("""COMPUTED_VALUE"""),"BN HIBAH")</f>
        <v>BN HIBAH</v>
      </c>
      <c r="H2780" s="42">
        <f t="shared" si="1"/>
        <v>1310</v>
      </c>
    </row>
    <row r="2781" ht="22.5" customHeight="1">
      <c r="B2781" s="42" t="str">
        <f>IFERROR(__xludf.DUMMYFUNCTION("""COMPUTED_VALUE"""),"K/26/060325/1")</f>
        <v>K/26/060325/1</v>
      </c>
      <c r="C2781" s="42" t="str">
        <f>IFERROR(__xludf.DUMMYFUNCTION("""COMPUTED_VALUE"""),"M. 520/ Sukarame")</f>
        <v>M. 520/ Sukarame</v>
      </c>
      <c r="D2781" s="42"/>
      <c r="E2781" s="42"/>
      <c r="F2781" s="48" t="str">
        <f>IFERROR(__xludf.DUMMYFUNCTION("""COMPUTED_VALUE"""),"")</f>
        <v/>
      </c>
      <c r="G2781" s="42" t="str">
        <f>IFERROR(__xludf.DUMMYFUNCTION("""COMPUTED_VALUE"""),"Ganti Nama HT")</f>
        <v>Ganti Nama HT</v>
      </c>
      <c r="H2781" s="42">
        <f t="shared" si="1"/>
        <v>1310</v>
      </c>
    </row>
    <row r="2782" ht="22.5" customHeight="1">
      <c r="B2782" s="42" t="str">
        <f>IFERROR(__xludf.DUMMYFUNCTION("""COMPUTED_VALUE"""),"K/25/060325/2")</f>
        <v>K/25/060325/2</v>
      </c>
      <c r="C2782" s="42" t="str">
        <f>IFERROR(__xludf.DUMMYFUNCTION("""COMPUTED_VALUE"""),"M. 1742/ Rajabasa Nunyai")</f>
        <v>M. 1742/ Rajabasa Nunyai</v>
      </c>
      <c r="D2782" s="42"/>
      <c r="E2782" s="42" t="str">
        <f>IFERROR(__xludf.DUMMYFUNCTION("""COMPUTED_VALUE"""),"DISERAHKAN BT")</f>
        <v>DISERAHKAN BT</v>
      </c>
      <c r="F2782" s="48">
        <f>IFERROR(__xludf.DUMMYFUNCTION("""COMPUTED_VALUE"""),45733.600239050924)</f>
        <v>45733.60024</v>
      </c>
      <c r="G2782" s="42" t="str">
        <f>IFERROR(__xludf.DUMMYFUNCTION("""COMPUTED_VALUE"""),"BN JUAL BELI")</f>
        <v>BN JUAL BELI</v>
      </c>
      <c r="H2782" s="42">
        <f t="shared" si="1"/>
        <v>1310</v>
      </c>
    </row>
    <row r="2783" ht="22.5" customHeight="1">
      <c r="B2783" s="42" t="str">
        <f>IFERROR(__xludf.DUMMYFUNCTION("""COMPUTED_VALUE"""),"K/27/060325/3")</f>
        <v>K/27/060325/3</v>
      </c>
      <c r="C2783" s="42" t="str">
        <f>IFERROR(__xludf.DUMMYFUNCTION("""COMPUTED_VALUE"""),"B.678/SUMBER AGUNG")</f>
        <v>B.678/SUMBER AGUNG</v>
      </c>
      <c r="D2783" s="42"/>
      <c r="E2783" s="42" t="str">
        <f>IFERROR(__xludf.DUMMYFUNCTION("""COMPUTED_VALUE"""),"DISERAHKAN")</f>
        <v>DISERAHKAN</v>
      </c>
      <c r="F2783" s="48">
        <f>IFERROR(__xludf.DUMMYFUNCTION("""COMPUTED_VALUE"""),45733.6183102662)</f>
        <v>45733.61831</v>
      </c>
      <c r="G2783" s="42" t="str">
        <f>IFERROR(__xludf.DUMMYFUNCTION("""COMPUTED_VALUE"""),"JUAL BELI")</f>
        <v>JUAL BELI</v>
      </c>
      <c r="H2783" s="42">
        <f t="shared" si="1"/>
        <v>1311</v>
      </c>
    </row>
    <row r="2784" ht="22.5" customHeight="1">
      <c r="B2784" s="42" t="str">
        <f>IFERROR(__xludf.DUMMYFUNCTION("""COMPUTED_VALUE"""),"L/28/060325/1")</f>
        <v>L/28/060325/1</v>
      </c>
      <c r="C2784" s="42" t="str">
        <f>IFERROR(__xludf.DUMMYFUNCTION("""COMPUTED_VALUE"""),"HM 12211/SUKARAME")</f>
        <v>HM 12211/SUKARAME</v>
      </c>
      <c r="D2784" s="42"/>
      <c r="E2784" s="42" t="str">
        <f>IFERROR(__xludf.DUMMYFUNCTION("""COMPUTED_VALUE"""),"DISERAHKAN")</f>
        <v>DISERAHKAN</v>
      </c>
      <c r="F2784" s="48">
        <f>IFERROR(__xludf.DUMMYFUNCTION("""COMPUTED_VALUE"""),45730.39834109954)</f>
        <v>45730.39834</v>
      </c>
      <c r="G2784" s="42" t="str">
        <f>IFERROR(__xludf.DUMMYFUNCTION("""COMPUTED_VALUE"""),"BN WARIS")</f>
        <v>BN WARIS</v>
      </c>
      <c r="H2784" s="42">
        <f t="shared" si="1"/>
        <v>1312</v>
      </c>
    </row>
    <row r="2785" ht="22.5" customHeight="1">
      <c r="B2785" s="42" t="str">
        <f>IFERROR(__xludf.DUMMYFUNCTION("""COMPUTED_VALUE"""),"K/23/060325/1")</f>
        <v>K/23/060325/1</v>
      </c>
      <c r="C2785" s="42" t="str">
        <f>IFERROR(__xludf.DUMMYFUNCTION("""COMPUTED_VALUE"""),"M. 391/TANJUNG SENANG")</f>
        <v>M. 391/TANJUNG SENANG</v>
      </c>
      <c r="D2785" s="42" t="str">
        <f>IFERROR(__xludf.DUMMYFUNCTION("""COMPUTED_VALUE"""),"David")</f>
        <v>David</v>
      </c>
      <c r="E2785" s="42" t="str">
        <f>IFERROR(__xludf.DUMMYFUNCTION("""COMPUTED_VALUE"""),"DISERAHKAN")</f>
        <v>DISERAHKAN</v>
      </c>
      <c r="F2785" s="48">
        <f>IFERROR(__xludf.DUMMYFUNCTION("""COMPUTED_VALUE"""),45824.62398413195)</f>
        <v>45824.62398</v>
      </c>
      <c r="G2785" s="42" t="str">
        <f>IFERROR(__xludf.DUMMYFUNCTION("""COMPUTED_VALUE"""),"ROYA")</f>
        <v>ROYA</v>
      </c>
      <c r="H2785" s="42">
        <f t="shared" si="1"/>
        <v>1313</v>
      </c>
    </row>
    <row r="2786" ht="22.5" customHeight="1">
      <c r="B2786" s="42" t="str">
        <f>IFERROR(__xludf.DUMMYFUNCTION("""COMPUTED_VALUE"""),"K/29/060325/1")</f>
        <v>K/29/060325/1</v>
      </c>
      <c r="C2786" s="42" t="str">
        <f>IFERROR(__xludf.DUMMYFUNCTION("""COMPUTED_VALUE"""),"Nibel. M. 130/ Gedong Air")</f>
        <v>Nibel. M. 130/ Gedong Air</v>
      </c>
      <c r="D2786" s="42"/>
      <c r="E2786" s="42"/>
      <c r="F2786" s="48" t="str">
        <f>IFERROR(__xludf.DUMMYFUNCTION("""COMPUTED_VALUE"""),"")</f>
        <v/>
      </c>
      <c r="G2786" s="42" t="str">
        <f>IFERROR(__xludf.DUMMYFUNCTION("""COMPUTED_VALUE"""),"Roya")</f>
        <v>Roya</v>
      </c>
      <c r="H2786" s="42">
        <f t="shared" si="1"/>
        <v>1313</v>
      </c>
    </row>
    <row r="2787" ht="22.5" customHeight="1">
      <c r="B2787" s="42" t="str">
        <f>IFERROR(__xludf.DUMMYFUNCTION("""COMPUTED_VALUE"""),"K/30/060325/1")</f>
        <v>K/30/060325/1</v>
      </c>
      <c r="C2787" s="42" t="str">
        <f>IFERROR(__xludf.DUMMYFUNCTION("""COMPUTED_VALUE"""),"Nibel 16832/ Gunung Terang")</f>
        <v>Nibel 16832/ Gunung Terang</v>
      </c>
      <c r="D2787" s="42"/>
      <c r="E2787" s="42"/>
      <c r="F2787" s="48" t="str">
        <f>IFERROR(__xludf.DUMMYFUNCTION("""COMPUTED_VALUE"""),"")</f>
        <v/>
      </c>
      <c r="G2787" s="42" t="str">
        <f>IFERROR(__xludf.DUMMYFUNCTION("""COMPUTED_VALUE"""),"BN JUAL BELI")</f>
        <v>BN JUAL BELI</v>
      </c>
      <c r="H2787" s="42">
        <f t="shared" si="1"/>
        <v>1313</v>
      </c>
    </row>
    <row r="2788" ht="22.5" customHeight="1">
      <c r="B2788" s="42" t="str">
        <f>IFERROR(__xludf.DUMMYFUNCTION("""COMPUTED_VALUE"""),"K/32/060325/1")</f>
        <v>K/32/060325/1</v>
      </c>
      <c r="C2788" s="42" t="str">
        <f>IFERROR(__xludf.DUMMYFUNCTION("""COMPUTED_VALUE"""),"M. 6451/ Way Kandis")</f>
        <v>M. 6451/ Way Kandis</v>
      </c>
      <c r="D2788" s="42"/>
      <c r="E2788" s="42" t="str">
        <f>IFERROR(__xludf.DUMMYFUNCTION("""COMPUTED_VALUE"""),"DISERAHKAN")</f>
        <v>DISERAHKAN</v>
      </c>
      <c r="F2788" s="48">
        <f>IFERROR(__xludf.DUMMYFUNCTION("""COMPUTED_VALUE"""),45736.60900070602)</f>
        <v>45736.609</v>
      </c>
      <c r="G2788" s="42" t="str">
        <f>IFERROR(__xludf.DUMMYFUNCTION("""COMPUTED_VALUE"""),"BN Jual Beli")</f>
        <v>BN Jual Beli</v>
      </c>
      <c r="H2788" s="42">
        <f t="shared" si="1"/>
        <v>1314</v>
      </c>
    </row>
    <row r="2789" ht="22.5" customHeight="1">
      <c r="B2789" s="42" t="str">
        <f>IFERROR(__xludf.DUMMYFUNCTION("""COMPUTED_VALUE"""),"K/36/060325/1")</f>
        <v>K/36/060325/1</v>
      </c>
      <c r="C2789" s="42" t="str">
        <f>IFERROR(__xludf.DUMMYFUNCTION("""COMPUTED_VALUE"""),"B.651/KEMILING PERMAI")</f>
        <v>B.651/KEMILING PERMAI</v>
      </c>
      <c r="D2789" s="42"/>
      <c r="E2789" s="42" t="str">
        <f>IFERROR(__xludf.DUMMYFUNCTION("""COMPUTED_VALUE"""),"DISERAHKAN")</f>
        <v>DISERAHKAN</v>
      </c>
      <c r="F2789" s="48">
        <f>IFERROR(__xludf.DUMMYFUNCTION("""COMPUTED_VALUE"""),45743.43616600694)</f>
        <v>45743.43617</v>
      </c>
      <c r="G2789" s="42" t="str">
        <f>IFERROR(__xludf.DUMMYFUNCTION("""COMPUTED_VALUE"""),"JUAL BELI")</f>
        <v>JUAL BELI</v>
      </c>
      <c r="H2789" s="42">
        <f t="shared" si="1"/>
        <v>1315</v>
      </c>
    </row>
    <row r="2790" ht="22.5" customHeight="1">
      <c r="B2790" s="42" t="str">
        <f>IFERROR(__xludf.DUMMYFUNCTION("""COMPUTED_VALUE"""),"K/33/060325/2")</f>
        <v>K/33/060325/2</v>
      </c>
      <c r="C2790" s="42" t="str">
        <f>IFERROR(__xludf.DUMMYFUNCTION("""COMPUTED_VALUE"""),"B. 3649/ Sukabumi")</f>
        <v>B. 3649/ Sukabumi</v>
      </c>
      <c r="D2790" s="42"/>
      <c r="E2790" s="42" t="str">
        <f>IFERROR(__xludf.DUMMYFUNCTION("""COMPUTED_VALUE"""),"DISERAHKAN")</f>
        <v>DISERAHKAN</v>
      </c>
      <c r="F2790" s="48">
        <f>IFERROR(__xludf.DUMMYFUNCTION("""COMPUTED_VALUE"""),45758.477071319445)</f>
        <v>45758.47707</v>
      </c>
      <c r="G2790" s="42" t="str">
        <f>IFERROR(__xludf.DUMMYFUNCTION("""COMPUTED_VALUE"""),"BN Jual Beli")</f>
        <v>BN Jual Beli</v>
      </c>
      <c r="H2790" s="42">
        <f t="shared" si="1"/>
        <v>1316</v>
      </c>
    </row>
    <row r="2791" ht="22.5" customHeight="1">
      <c r="B2791" s="42" t="str">
        <f>IFERROR(__xludf.DUMMYFUNCTION("""COMPUTED_VALUE"""),"K/37/060325/2")</f>
        <v>K/37/060325/2</v>
      </c>
      <c r="C2791" s="42" t="str">
        <f>IFERROR(__xludf.DUMMYFUNCTION("""COMPUTED_VALUE"""),"B.694/KEMILING PERMAI")</f>
        <v>B.694/KEMILING PERMAI</v>
      </c>
      <c r="D2791" s="42"/>
      <c r="E2791" s="42" t="str">
        <f>IFERROR(__xludf.DUMMYFUNCTION("""COMPUTED_VALUE"""),"DISERAHKAN")</f>
        <v>DISERAHKAN</v>
      </c>
      <c r="F2791" s="48">
        <f>IFERROR(__xludf.DUMMYFUNCTION("""COMPUTED_VALUE"""),45758.478159328704)</f>
        <v>45758.47816</v>
      </c>
      <c r="G2791" s="42" t="str">
        <f>IFERROR(__xludf.DUMMYFUNCTION("""COMPUTED_VALUE"""),"JUAL BELI")</f>
        <v>JUAL BELI</v>
      </c>
      <c r="H2791" s="42">
        <f t="shared" si="1"/>
        <v>1317</v>
      </c>
    </row>
    <row r="2792" ht="22.5" customHeight="1">
      <c r="B2792" s="42" t="str">
        <f>IFERROR(__xludf.DUMMYFUNCTION("""COMPUTED_VALUE"""),"K/34/060325/3")</f>
        <v>K/34/060325/3</v>
      </c>
      <c r="C2792" s="42" t="str">
        <f>IFERROR(__xludf.DUMMYFUNCTION("""COMPUTED_VALUE"""),"M. 4907/ Rajabasa Raya")</f>
        <v>M. 4907/ Rajabasa Raya</v>
      </c>
      <c r="D2792" s="42"/>
      <c r="E2792" s="42" t="str">
        <f>IFERROR(__xludf.DUMMYFUNCTION("""COMPUTED_VALUE"""),"DISERAHKAN")</f>
        <v>DISERAHKAN</v>
      </c>
      <c r="F2792" s="48">
        <f>IFERROR(__xludf.DUMMYFUNCTION("""COMPUTED_VALUE"""),45758.47676979167)</f>
        <v>45758.47677</v>
      </c>
      <c r="G2792" s="42" t="str">
        <f>IFERROR(__xludf.DUMMYFUNCTION("""COMPUTED_VALUE"""),"BN Jual Beli")</f>
        <v>BN Jual Beli</v>
      </c>
      <c r="H2792" s="42">
        <f t="shared" si="1"/>
        <v>1318</v>
      </c>
    </row>
    <row r="2793" ht="22.5" customHeight="1">
      <c r="B2793" s="42" t="str">
        <f>IFERROR(__xludf.DUMMYFUNCTION("""COMPUTED_VALUE"""),"K/35/060325/4")</f>
        <v>K/35/060325/4</v>
      </c>
      <c r="C2793" s="42" t="str">
        <f>IFERROR(__xludf.DUMMYFUNCTION("""COMPUTED_VALUE"""),"M. 4908/ Rajabasa Jaya")</f>
        <v>M. 4908/ Rajabasa Jaya</v>
      </c>
      <c r="D2793" s="42"/>
      <c r="E2793" s="42" t="str">
        <f>IFERROR(__xludf.DUMMYFUNCTION("""COMPUTED_VALUE"""),"DISERAHKAN")</f>
        <v>DISERAHKAN</v>
      </c>
      <c r="F2793" s="48">
        <f>IFERROR(__xludf.DUMMYFUNCTION("""COMPUTED_VALUE"""),45733.5982340162)</f>
        <v>45733.59823</v>
      </c>
      <c r="G2793" s="42" t="str">
        <f>IFERROR(__xludf.DUMMYFUNCTION("""COMPUTED_VALUE"""),"BN Jual Beli")</f>
        <v>BN Jual Beli</v>
      </c>
      <c r="H2793" s="42">
        <f t="shared" si="1"/>
        <v>1319</v>
      </c>
    </row>
    <row r="2794" ht="22.5" customHeight="1">
      <c r="B2794" s="42" t="str">
        <f>IFERROR(__xludf.DUMMYFUNCTION("""COMPUTED_VALUE"""),"K/38/060325/1")</f>
        <v>K/38/060325/1</v>
      </c>
      <c r="C2794" s="42" t="str">
        <f>IFERROR(__xludf.DUMMYFUNCTION("""COMPUTED_VALUE"""),"M. 323/ Talang")</f>
        <v>M. 323/ Talang</v>
      </c>
      <c r="D2794" s="42"/>
      <c r="E2794" s="42"/>
      <c r="F2794" s="48" t="str">
        <f>IFERROR(__xludf.DUMMYFUNCTION("""COMPUTED_VALUE"""),"")</f>
        <v/>
      </c>
      <c r="G2794" s="42" t="str">
        <f>IFERROR(__xludf.DUMMYFUNCTION("""COMPUTED_VALUE"""),"Pemecahan")</f>
        <v>Pemecahan</v>
      </c>
      <c r="H2794" s="42">
        <f t="shared" si="1"/>
        <v>1319</v>
      </c>
    </row>
    <row r="2795" ht="22.5" customHeight="1">
      <c r="B2795" s="42" t="str">
        <f>IFERROR(__xludf.DUMMYFUNCTION("""COMPUTED_VALUE"""),"K/2/070325/1")</f>
        <v>K/2/070325/1</v>
      </c>
      <c r="C2795" s="42" t="str">
        <f>IFERROR(__xludf.DUMMYFUNCTION("""COMPUTED_VALUE"""),"Nibel. M. 18882/ Sukabumi")</f>
        <v>Nibel. M. 18882/ Sukabumi</v>
      </c>
      <c r="D2795" s="42"/>
      <c r="E2795" s="42"/>
      <c r="F2795" s="48" t="str">
        <f>IFERROR(__xludf.DUMMYFUNCTION("""COMPUTED_VALUE"""),"")</f>
        <v/>
      </c>
      <c r="G2795" s="42" t="str">
        <f>IFERROR(__xludf.DUMMYFUNCTION("""COMPUTED_VALUE"""),"BN Lelang")</f>
        <v>BN Lelang</v>
      </c>
      <c r="H2795" s="42">
        <f t="shared" si="1"/>
        <v>1319</v>
      </c>
    </row>
    <row r="2796" ht="22.5" customHeight="1">
      <c r="B2796" s="42" t="str">
        <f>IFERROR(__xludf.DUMMYFUNCTION("""COMPUTED_VALUE"""),"K/3/070325/1")</f>
        <v>K/3/070325/1</v>
      </c>
      <c r="C2796" s="42" t="str">
        <f>IFERROR(__xludf.DUMMYFUNCTION("""COMPUTED_VALUE"""),"M.33/PAHOMAN")</f>
        <v>M.33/PAHOMAN</v>
      </c>
      <c r="D2796" s="42"/>
      <c r="E2796" s="42"/>
      <c r="F2796" s="48" t="str">
        <f>IFERROR(__xludf.DUMMYFUNCTION("""COMPUTED_VALUE"""),"")</f>
        <v/>
      </c>
      <c r="G2796" s="42" t="str">
        <f>IFERROR(__xludf.DUMMYFUNCTION("""COMPUTED_VALUE"""),"SKPT LELANG")</f>
        <v>SKPT LELANG</v>
      </c>
      <c r="H2796" s="42">
        <f t="shared" si="1"/>
        <v>1319</v>
      </c>
    </row>
    <row r="2797" ht="22.5" customHeight="1">
      <c r="B2797" s="42" t="str">
        <f>IFERROR(__xludf.DUMMYFUNCTION("""COMPUTED_VALUE"""),"L/5/070325/1")</f>
        <v>L/5/070325/1</v>
      </c>
      <c r="C2797" s="42" t="str">
        <f>IFERROR(__xludf.DUMMYFUNCTION("""COMPUTED_VALUE"""),"NIB 18500/GUNUNG TERANG")</f>
        <v>NIB 18500/GUNUNG TERANG</v>
      </c>
      <c r="D2797" s="42"/>
      <c r="E2797" s="42"/>
      <c r="F2797" s="48" t="str">
        <f>IFERROR(__xludf.DUMMYFUNCTION("""COMPUTED_VALUE"""),"")</f>
        <v/>
      </c>
      <c r="G2797" s="42" t="str">
        <f>IFERROR(__xludf.DUMMYFUNCTION("""COMPUTED_VALUE"""),"PEMECAHAN")</f>
        <v>PEMECAHAN</v>
      </c>
      <c r="H2797" s="42">
        <f t="shared" si="1"/>
        <v>1319</v>
      </c>
    </row>
    <row r="2798" ht="22.5" customHeight="1">
      <c r="B2798" s="42" t="str">
        <f>IFERROR(__xludf.DUMMYFUNCTION("""COMPUTED_VALUE"""),"K/4/070325/1")</f>
        <v>K/4/070325/1</v>
      </c>
      <c r="C2798" s="42" t="str">
        <f>IFERROR(__xludf.DUMMYFUNCTION("""COMPUTED_VALUE"""),"M. 2607/ Rajabasa Jaya")</f>
        <v>M. 2607/ Rajabasa Jaya</v>
      </c>
      <c r="D2798" s="42"/>
      <c r="E2798" s="42"/>
      <c r="F2798" s="48" t="str">
        <f>IFERROR(__xludf.DUMMYFUNCTION("""COMPUTED_VALUE"""),"")</f>
        <v/>
      </c>
      <c r="G2798" s="42" t="str">
        <f>IFERROR(__xludf.DUMMYFUNCTION("""COMPUTED_VALUE"""),"SKPT Lelang")</f>
        <v>SKPT Lelang</v>
      </c>
      <c r="H2798" s="42">
        <f t="shared" si="1"/>
        <v>1319</v>
      </c>
    </row>
    <row r="2799" ht="22.5" customHeight="1">
      <c r="B2799" s="42" t="str">
        <f>IFERROR(__xludf.DUMMYFUNCTION("""COMPUTED_VALUE"""),"K/1/070325/1")</f>
        <v>K/1/070325/1</v>
      </c>
      <c r="C2799" s="42" t="str">
        <f>IFERROR(__xludf.DUMMYFUNCTION("""COMPUTED_VALUE"""),"Nibel 14709/ Pesawahan")</f>
        <v>Nibel 14709/ Pesawahan</v>
      </c>
      <c r="D2799" s="42"/>
      <c r="E2799" s="42"/>
      <c r="F2799" s="48" t="str">
        <f>IFERROR(__xludf.DUMMYFUNCTION("""COMPUTED_VALUE"""),"")</f>
        <v/>
      </c>
      <c r="G2799" s="42" t="str">
        <f>IFERROR(__xludf.DUMMYFUNCTION("""COMPUTED_VALUE"""),"BN JUAL BELI")</f>
        <v>BN JUAL BELI</v>
      </c>
      <c r="H2799" s="42">
        <f t="shared" si="1"/>
        <v>1319</v>
      </c>
    </row>
    <row r="2800" ht="22.5" customHeight="1">
      <c r="B2800" s="42" t="str">
        <f>IFERROR(__xludf.DUMMYFUNCTION("""COMPUTED_VALUE"""),"K/6/070325/1")</f>
        <v>K/6/070325/1</v>
      </c>
      <c r="C2800" s="42" t="str">
        <f>IFERROR(__xludf.DUMMYFUNCTION("""COMPUTED_VALUE"""),"Nibel 16639/ Tanjung Agung Raya")</f>
        <v>Nibel 16639/ Tanjung Agung Raya</v>
      </c>
      <c r="D2800" s="42"/>
      <c r="E2800" s="42"/>
      <c r="F2800" s="48" t="str">
        <f>IFERROR(__xludf.DUMMYFUNCTION("""COMPUTED_VALUE"""),"")</f>
        <v/>
      </c>
      <c r="G2800" s="42" t="str">
        <f>IFERROR(__xludf.DUMMYFUNCTION("""COMPUTED_VALUE"""),"BN JUAL BELI")</f>
        <v>BN JUAL BELI</v>
      </c>
      <c r="H2800" s="42">
        <f t="shared" si="1"/>
        <v>1319</v>
      </c>
    </row>
    <row r="2801" ht="22.5" customHeight="1">
      <c r="B2801" s="42" t="str">
        <f>IFERROR(__xludf.DUMMYFUNCTION("""COMPUTED_VALUE"""),"K/7/070325/1")</f>
        <v>K/7/070325/1</v>
      </c>
      <c r="C2801" s="42" t="str">
        <f>IFERROR(__xludf.DUMMYFUNCTION("""COMPUTED_VALUE"""),"Nibel 19047/ Gedong Meneng")</f>
        <v>Nibel 19047/ Gedong Meneng</v>
      </c>
      <c r="D2801" s="42"/>
      <c r="E2801" s="42"/>
      <c r="F2801" s="48" t="str">
        <f>IFERROR(__xludf.DUMMYFUNCTION("""COMPUTED_VALUE"""),"")</f>
        <v/>
      </c>
      <c r="G2801" s="42" t="str">
        <f>IFERROR(__xludf.DUMMYFUNCTION("""COMPUTED_VALUE"""),"BN LELANG")</f>
        <v>BN LELANG</v>
      </c>
      <c r="H2801" s="42">
        <f t="shared" si="1"/>
        <v>1319</v>
      </c>
    </row>
    <row r="2802" ht="22.5" customHeight="1">
      <c r="B2802" s="42" t="str">
        <f>IFERROR(__xludf.DUMMYFUNCTION("""COMPUTED_VALUE"""),"K/8/070325/1")</f>
        <v>K/8/070325/1</v>
      </c>
      <c r="C2802" s="42" t="str">
        <f>IFERROR(__xludf.DUMMYFUNCTION("""COMPUTED_VALUE"""),"Nibel 3474/ Labuhan Ratu Raya")</f>
        <v>Nibel 3474/ Labuhan Ratu Raya</v>
      </c>
      <c r="D2802" s="42"/>
      <c r="E2802" s="42"/>
      <c r="F2802" s="48" t="str">
        <f>IFERROR(__xludf.DUMMYFUNCTION("""COMPUTED_VALUE"""),"")</f>
        <v/>
      </c>
      <c r="G2802" s="42" t="str">
        <f>IFERROR(__xludf.DUMMYFUNCTION("""COMPUTED_VALUE"""),"PERUBAHAN HAK")</f>
        <v>PERUBAHAN HAK</v>
      </c>
      <c r="H2802" s="42">
        <f t="shared" si="1"/>
        <v>1319</v>
      </c>
    </row>
    <row r="2803" ht="22.5" customHeight="1">
      <c r="B2803" s="42" t="str">
        <f>IFERROR(__xludf.DUMMYFUNCTION("""COMPUTED_VALUE"""),"K/9/070325/1")</f>
        <v>K/9/070325/1</v>
      </c>
      <c r="C2803" s="42" t="str">
        <f>IFERROR(__xludf.DUMMYFUNCTION("""COMPUTED_VALUE"""),"NIBEL M. 17010/SUKARAME BARU")</f>
        <v>NIBEL M. 17010/SUKARAME BARU</v>
      </c>
      <c r="D2803" s="42"/>
      <c r="E2803" s="42"/>
      <c r="F2803" s="48" t="str">
        <f>IFERROR(__xludf.DUMMYFUNCTION("""COMPUTED_VALUE"""),"")</f>
        <v/>
      </c>
      <c r="G2803" s="42" t="str">
        <f>IFERROR(__xludf.DUMMYFUNCTION("""COMPUTED_VALUE"""),"BN JUAL BELI")</f>
        <v>BN JUAL BELI</v>
      </c>
      <c r="H2803" s="42">
        <f t="shared" si="1"/>
        <v>1319</v>
      </c>
    </row>
    <row r="2804" ht="22.5" customHeight="1">
      <c r="B2804" s="42" t="str">
        <f>IFERROR(__xludf.DUMMYFUNCTION("""COMPUTED_VALUE"""),"K/10/070325/1")</f>
        <v>K/10/070325/1</v>
      </c>
      <c r="C2804" s="42" t="str">
        <f>IFERROR(__xludf.DUMMYFUNCTION("""COMPUTED_VALUE"""),"M. 14870/SUKARAME")</f>
        <v>M. 14870/SUKARAME</v>
      </c>
      <c r="D2804" s="42"/>
      <c r="E2804" s="42"/>
      <c r="F2804" s="48" t="str">
        <f>IFERROR(__xludf.DUMMYFUNCTION("""COMPUTED_VALUE"""),"")</f>
        <v/>
      </c>
      <c r="G2804" s="42" t="str">
        <f>IFERROR(__xludf.DUMMYFUNCTION("""COMPUTED_VALUE"""),"BN JUAL BELI")</f>
        <v>BN JUAL BELI</v>
      </c>
      <c r="H2804" s="42">
        <f t="shared" si="1"/>
        <v>1319</v>
      </c>
    </row>
    <row r="2805" ht="22.5" customHeight="1">
      <c r="B2805" s="42" t="str">
        <f>IFERROR(__xludf.DUMMYFUNCTION("""COMPUTED_VALUE"""),"K/11/070325/1")</f>
        <v>K/11/070325/1</v>
      </c>
      <c r="C2805" s="42" t="str">
        <f>IFERROR(__xludf.DUMMYFUNCTION("""COMPUTED_VALUE"""),"B. 1117/KETEGUHAN")</f>
        <v>B. 1117/KETEGUHAN</v>
      </c>
      <c r="D2805" s="42"/>
      <c r="E2805" s="42" t="str">
        <f>IFERROR(__xludf.DUMMYFUNCTION("""COMPUTED_VALUE"""),"DISERAHKAN")</f>
        <v>DISERAHKAN</v>
      </c>
      <c r="F2805" s="48">
        <f>IFERROR(__xludf.DUMMYFUNCTION("""COMPUTED_VALUE"""),45733.611676875)</f>
        <v>45733.61168</v>
      </c>
      <c r="G2805" s="42" t="str">
        <f>IFERROR(__xludf.DUMMYFUNCTION("""COMPUTED_VALUE"""),"BN JUAL BELI")</f>
        <v>BN JUAL BELI</v>
      </c>
      <c r="H2805" s="42">
        <f t="shared" si="1"/>
        <v>1320</v>
      </c>
    </row>
    <row r="2806" ht="22.5" customHeight="1">
      <c r="B2806" s="42" t="str">
        <f>IFERROR(__xludf.DUMMYFUNCTION("""COMPUTED_VALUE"""),"K/12/070325/1")</f>
        <v>K/12/070325/1</v>
      </c>
      <c r="C2806" s="42" t="str">
        <f>IFERROR(__xludf.DUMMYFUNCTION("""COMPUTED_VALUE"""),"PBT 207/2020 WAY LUNIK")</f>
        <v>PBT 207/2020 WAY LUNIK</v>
      </c>
      <c r="D2806" s="42"/>
      <c r="E2806" s="42"/>
      <c r="F2806" s="48" t="str">
        <f>IFERROR(__xludf.DUMMYFUNCTION("""COMPUTED_VALUE"""),"")</f>
        <v/>
      </c>
      <c r="G2806" s="42" t="str">
        <f>IFERROR(__xludf.DUMMYFUNCTION("""COMPUTED_VALUE"""),"PERMOHONAN SK")</f>
        <v>PERMOHONAN SK</v>
      </c>
      <c r="H2806" s="42">
        <f t="shared" si="1"/>
        <v>1320</v>
      </c>
    </row>
    <row r="2807" ht="22.5" customHeight="1">
      <c r="B2807" s="42" t="str">
        <f>IFERROR(__xludf.DUMMYFUNCTION("""COMPUTED_VALUE"""),"K/14/070325/1")</f>
        <v>K/14/070325/1</v>
      </c>
      <c r="C2807" s="42" t="str">
        <f>IFERROR(__xludf.DUMMYFUNCTION("""COMPUTED_VALUE"""),"M. 16166/ Sukarame")</f>
        <v>M. 16166/ Sukarame</v>
      </c>
      <c r="D2807" s="42"/>
      <c r="E2807" s="42" t="str">
        <f>IFERROR(__xludf.DUMMYFUNCTION("""COMPUTED_VALUE"""),"DISERAHKAN")</f>
        <v>DISERAHKAN</v>
      </c>
      <c r="F2807" s="48">
        <f>IFERROR(__xludf.DUMMYFUNCTION("""COMPUTED_VALUE"""),45758.479234502316)</f>
        <v>45758.47923</v>
      </c>
      <c r="G2807" s="42" t="str">
        <f>IFERROR(__xludf.DUMMYFUNCTION("""COMPUTED_VALUE"""),"BN HIBAH")</f>
        <v>BN HIBAH</v>
      </c>
      <c r="H2807" s="42">
        <f t="shared" si="1"/>
        <v>1321</v>
      </c>
    </row>
    <row r="2808" ht="22.5" customHeight="1">
      <c r="B2808" s="42" t="str">
        <f>IFERROR(__xludf.DUMMYFUNCTION("""COMPUTED_VALUE"""),"K/13/070325/2")</f>
        <v>K/13/070325/2</v>
      </c>
      <c r="C2808" s="42" t="str">
        <f>IFERROR(__xludf.DUMMYFUNCTION("""COMPUTED_VALUE"""),"M.1130/KANGKUNG")</f>
        <v>M.1130/KANGKUNG</v>
      </c>
      <c r="D2808" s="42"/>
      <c r="E2808" s="42" t="str">
        <f>IFERROR(__xludf.DUMMYFUNCTION("""COMPUTED_VALUE"""),"DISERAHKAN")</f>
        <v>DISERAHKAN</v>
      </c>
      <c r="F2808" s="48">
        <f>IFERROR(__xludf.DUMMYFUNCTION("""COMPUTED_VALUE"""),45758.47791475695)</f>
        <v>45758.47791</v>
      </c>
      <c r="G2808" s="42" t="str">
        <f>IFERROR(__xludf.DUMMYFUNCTION("""COMPUTED_VALUE"""),"KEWARISAN")</f>
        <v>KEWARISAN</v>
      </c>
      <c r="H2808" s="42">
        <f t="shared" si="1"/>
        <v>1322</v>
      </c>
    </row>
    <row r="2809" ht="22.5" customHeight="1">
      <c r="B2809" s="42" t="str">
        <f>IFERROR(__xludf.DUMMYFUNCTION("""COMPUTED_VALUE"""),"K/15/070325/2")</f>
        <v>K/15/070325/2</v>
      </c>
      <c r="C2809" s="42" t="str">
        <f>IFERROR(__xludf.DUMMYFUNCTION("""COMPUTED_VALUE"""),"NIbel 1733/ Sukarame Baru")</f>
        <v>NIbel 1733/ Sukarame Baru</v>
      </c>
      <c r="D2809" s="42"/>
      <c r="E2809" s="42"/>
      <c r="F2809" s="48" t="str">
        <f>IFERROR(__xludf.DUMMYFUNCTION("""COMPUTED_VALUE"""),"")</f>
        <v/>
      </c>
      <c r="G2809" s="42" t="str">
        <f>IFERROR(__xludf.DUMMYFUNCTION("""COMPUTED_VALUE"""),"BN JUAL BELI")</f>
        <v>BN JUAL BELI</v>
      </c>
      <c r="H2809" s="42">
        <f t="shared" si="1"/>
        <v>1322</v>
      </c>
    </row>
    <row r="2810" ht="22.5" customHeight="1">
      <c r="B2810" s="42" t="str">
        <f>IFERROR(__xludf.DUMMYFUNCTION("""COMPUTED_VALUE"""),"L/16/070325/1")</f>
        <v>L/16/070325/1</v>
      </c>
      <c r="C2810" s="42" t="str">
        <f>IFERROR(__xludf.DUMMYFUNCTION("""COMPUTED_VALUE"""),"HGB70/GEDONG MENENG")</f>
        <v>HGB70/GEDONG MENENG</v>
      </c>
      <c r="D2810" s="42"/>
      <c r="E2810" s="42"/>
      <c r="F2810" s="48" t="str">
        <f>IFERROR(__xludf.DUMMYFUNCTION("""COMPUTED_VALUE"""),"")</f>
        <v/>
      </c>
      <c r="G2810" s="42" t="str">
        <f>IFERROR(__xludf.DUMMYFUNCTION("""COMPUTED_VALUE"""),"PH")</f>
        <v>PH</v>
      </c>
      <c r="H2810" s="42">
        <f t="shared" si="1"/>
        <v>1322</v>
      </c>
    </row>
    <row r="2811" ht="22.5" customHeight="1">
      <c r="B2811" s="42" t="str">
        <f>IFERROR(__xludf.DUMMYFUNCTION("""COMPUTED_VALUE"""),"K/24/070325/1")</f>
        <v>K/24/070325/1</v>
      </c>
      <c r="C2811" s="42" t="str">
        <f>IFERROR(__xludf.DUMMYFUNCTION("""COMPUTED_VALUE"""),"M.16051/SUKARAME I")</f>
        <v>M.16051/SUKARAME I</v>
      </c>
      <c r="D2811" s="42"/>
      <c r="E2811" s="42" t="str">
        <f>IFERROR(__xludf.DUMMYFUNCTION("""COMPUTED_VALUE"""),"DISERAHKAN")</f>
        <v>DISERAHKAN</v>
      </c>
      <c r="F2811" s="48">
        <f>IFERROR(__xludf.DUMMYFUNCTION("""COMPUTED_VALUE"""),45769.60071225694)</f>
        <v>45769.60071</v>
      </c>
      <c r="G2811" s="42" t="str">
        <f>IFERROR(__xludf.DUMMYFUNCTION("""COMPUTED_VALUE"""),"ROYA")</f>
        <v>ROYA</v>
      </c>
      <c r="H2811" s="42">
        <f t="shared" si="1"/>
        <v>1323</v>
      </c>
    </row>
    <row r="2812" ht="22.5" customHeight="1">
      <c r="B2812" s="42" t="str">
        <f>IFERROR(__xludf.DUMMYFUNCTION("""COMPUTED_VALUE"""),"K/25/070325/2")</f>
        <v>K/25/070325/2</v>
      </c>
      <c r="C2812" s="42" t="str">
        <f>IFERROR(__xludf.DUMMYFUNCTION("""COMPUTED_VALUE"""),"M.1202/RAJABASA RAYA")</f>
        <v>M.1202/RAJABASA RAYA</v>
      </c>
      <c r="D2812" s="42"/>
      <c r="E2812" s="42" t="str">
        <f>IFERROR(__xludf.DUMMYFUNCTION("""COMPUTED_VALUE"""),"DISERAHKAN")</f>
        <v>DISERAHKAN</v>
      </c>
      <c r="F2812" s="48">
        <f>IFERROR(__xludf.DUMMYFUNCTION("""COMPUTED_VALUE"""),45758.47775576389)</f>
        <v>45758.47776</v>
      </c>
      <c r="G2812" s="42" t="str">
        <f>IFERROR(__xludf.DUMMYFUNCTION("""COMPUTED_VALUE"""),"JUAL BELI")</f>
        <v>JUAL BELI</v>
      </c>
      <c r="H2812" s="42">
        <f t="shared" si="1"/>
        <v>1324</v>
      </c>
    </row>
    <row r="2813" ht="22.5" customHeight="1">
      <c r="B2813" s="42" t="str">
        <f>IFERROR(__xludf.DUMMYFUNCTION("""COMPUTED_VALUE"""),"K/18/070325/2")</f>
        <v>K/18/070325/2</v>
      </c>
      <c r="C2813" s="42" t="str">
        <f>IFERROR(__xludf.DUMMYFUNCTION("""COMPUTED_VALUE"""),"M. 6252/ Gunung Sulah")</f>
        <v>M. 6252/ Gunung Sulah</v>
      </c>
      <c r="D2813" s="42"/>
      <c r="E2813" s="42"/>
      <c r="F2813" s="48" t="str">
        <f>IFERROR(__xludf.DUMMYFUNCTION("""COMPUTED_VALUE"""),"")</f>
        <v/>
      </c>
      <c r="G2813" s="42" t="str">
        <f>IFERROR(__xludf.DUMMYFUNCTION("""COMPUTED_VALUE"""),"Hapus BPHTB")</f>
        <v>Hapus BPHTB</v>
      </c>
      <c r="H2813" s="42">
        <f t="shared" si="1"/>
        <v>1324</v>
      </c>
    </row>
    <row r="2814" ht="22.5" customHeight="1">
      <c r="B2814" s="42" t="str">
        <f>IFERROR(__xludf.DUMMYFUNCTION("""COMPUTED_VALUE"""),"K/26/070325/3")</f>
        <v>K/26/070325/3</v>
      </c>
      <c r="C2814" s="42" t="str">
        <f>IFERROR(__xludf.DUMMYFUNCTION("""COMPUTED_VALUE"""),"M.2276/RAJABASA RAYA")</f>
        <v>M.2276/RAJABASA RAYA</v>
      </c>
      <c r="D2814" s="42"/>
      <c r="E2814" s="42" t="str">
        <f>IFERROR(__xludf.DUMMYFUNCTION("""COMPUTED_VALUE"""),"DISERAHKAN")</f>
        <v>DISERAHKAN</v>
      </c>
      <c r="F2814" s="48">
        <f>IFERROR(__xludf.DUMMYFUNCTION("""COMPUTED_VALUE"""),45758.47572714121)</f>
        <v>45758.47573</v>
      </c>
      <c r="G2814" s="42" t="str">
        <f>IFERROR(__xludf.DUMMYFUNCTION("""COMPUTED_VALUE"""),"JUAL BELI")</f>
        <v>JUAL BELI</v>
      </c>
      <c r="H2814" s="42">
        <f t="shared" si="1"/>
        <v>1325</v>
      </c>
    </row>
    <row r="2815" ht="22.5" customHeight="1">
      <c r="B2815" s="42" t="str">
        <f>IFERROR(__xludf.DUMMYFUNCTION("""COMPUTED_VALUE"""),"K/17/070325/1")</f>
        <v>K/17/070325/1</v>
      </c>
      <c r="C2815" s="42" t="str">
        <f>IFERROR(__xludf.DUMMYFUNCTION("""COMPUTED_VALUE"""),"M. 5100/ Way Kandis")</f>
        <v>M. 5100/ Way Kandis</v>
      </c>
      <c r="D2815" s="42"/>
      <c r="E2815" s="42"/>
      <c r="F2815" s="48" t="str">
        <f>IFERROR(__xludf.DUMMYFUNCTION("""COMPUTED_VALUE"""),"")</f>
        <v/>
      </c>
      <c r="G2815" s="42" t="str">
        <f>IFERROR(__xludf.DUMMYFUNCTION("""COMPUTED_VALUE"""),"Hapus Bphtb")</f>
        <v>Hapus Bphtb</v>
      </c>
      <c r="H2815" s="42">
        <f t="shared" si="1"/>
        <v>1325</v>
      </c>
    </row>
    <row r="2816" ht="22.5" customHeight="1">
      <c r="B2816" s="42" t="str">
        <f>IFERROR(__xludf.DUMMYFUNCTION("""COMPUTED_VALUE"""),"K/19/070325/1")</f>
        <v>K/19/070325/1</v>
      </c>
      <c r="C2816" s="42" t="str">
        <f>IFERROR(__xludf.DUMMYFUNCTION("""COMPUTED_VALUE"""),"Nibel. M. 16232/ Sukamaju")</f>
        <v>Nibel. M. 16232/ Sukamaju</v>
      </c>
      <c r="D2816" s="42"/>
      <c r="E2816" s="42"/>
      <c r="F2816" s="48" t="str">
        <f>IFERROR(__xludf.DUMMYFUNCTION("""COMPUTED_VALUE"""),"")</f>
        <v/>
      </c>
      <c r="G2816" s="42" t="str">
        <f>IFERROR(__xludf.DUMMYFUNCTION("""COMPUTED_VALUE"""),"BN Jual Beli")</f>
        <v>BN Jual Beli</v>
      </c>
      <c r="H2816" s="42">
        <f t="shared" si="1"/>
        <v>1325</v>
      </c>
    </row>
    <row r="2817" ht="22.5" customHeight="1">
      <c r="B2817" s="42" t="str">
        <f>IFERROR(__xludf.DUMMYFUNCTION("""COMPUTED_VALUE"""),"K/20/070325/2")</f>
        <v>K/20/070325/2</v>
      </c>
      <c r="C2817" s="42" t="str">
        <f>IFERROR(__xludf.DUMMYFUNCTION("""COMPUTED_VALUE"""),"Nibel. M. 16212/ Sukamaju")</f>
        <v>Nibel. M. 16212/ Sukamaju</v>
      </c>
      <c r="D2817" s="42"/>
      <c r="E2817" s="42"/>
      <c r="F2817" s="48" t="str">
        <f>IFERROR(__xludf.DUMMYFUNCTION("""COMPUTED_VALUE"""),"")</f>
        <v/>
      </c>
      <c r="G2817" s="42" t="str">
        <f>IFERROR(__xludf.DUMMYFUNCTION("""COMPUTED_VALUE"""),"BN Jual Beli")</f>
        <v>BN Jual Beli</v>
      </c>
      <c r="H2817" s="42">
        <f t="shared" si="1"/>
        <v>1325</v>
      </c>
    </row>
    <row r="2818" ht="22.5" customHeight="1">
      <c r="B2818" s="42" t="str">
        <f>IFERROR(__xludf.DUMMYFUNCTION("""COMPUTED_VALUE"""),"L/27/070325/1")</f>
        <v>L/27/070325/1</v>
      </c>
      <c r="C2818" s="42" t="str">
        <f>IFERROR(__xludf.DUMMYFUNCTION("""COMPUTED_VALUE"""),"SUKARAME BARU")</f>
        <v>SUKARAME BARU</v>
      </c>
      <c r="D2818" s="42"/>
      <c r="E2818" s="42"/>
      <c r="F2818" s="48" t="str">
        <f>IFERROR(__xludf.DUMMYFUNCTION("""COMPUTED_VALUE"""),"")</f>
        <v/>
      </c>
      <c r="G2818" s="42" t="str">
        <f>IFERROR(__xludf.DUMMYFUNCTION("""COMPUTED_VALUE"""),"TANAH MENTAH")</f>
        <v>TANAH MENTAH</v>
      </c>
      <c r="H2818" s="42">
        <f t="shared" si="1"/>
        <v>1325</v>
      </c>
    </row>
    <row r="2819" ht="22.5" customHeight="1">
      <c r="B2819" s="42" t="str">
        <f>IFERROR(__xludf.DUMMYFUNCTION("""COMPUTED_VALUE"""),"K/21/070325/3")</f>
        <v>K/21/070325/3</v>
      </c>
      <c r="C2819" s="42" t="str">
        <f>IFERROR(__xludf.DUMMYFUNCTION("""COMPUTED_VALUE"""),"Nibel. M. 16227/ Sukamaju")</f>
        <v>Nibel. M. 16227/ Sukamaju</v>
      </c>
      <c r="D2819" s="42"/>
      <c r="E2819" s="42"/>
      <c r="F2819" s="48" t="str">
        <f>IFERROR(__xludf.DUMMYFUNCTION("""COMPUTED_VALUE"""),"")</f>
        <v/>
      </c>
      <c r="G2819" s="42" t="str">
        <f>IFERROR(__xludf.DUMMYFUNCTION("""COMPUTED_VALUE"""),"BN Jual Beli")</f>
        <v>BN Jual Beli</v>
      </c>
      <c r="H2819" s="42">
        <f t="shared" si="1"/>
        <v>1325</v>
      </c>
    </row>
    <row r="2820" ht="22.5" customHeight="1">
      <c r="B2820" s="42" t="str">
        <f>IFERROR(__xludf.DUMMYFUNCTION("""COMPUTED_VALUE"""),"L/28/070325/1")</f>
        <v>L/28/070325/1</v>
      </c>
      <c r="C2820" s="42" t="str">
        <f>IFERROR(__xludf.DUMMYFUNCTION("""COMPUTED_VALUE"""),"HM 1695/NOG")</f>
        <v>HM 1695/NOG</v>
      </c>
      <c r="D2820" s="42"/>
      <c r="E2820" s="42" t="str">
        <f>IFERROR(__xludf.DUMMYFUNCTION("""COMPUTED_VALUE"""),"DISERAHKAN")</f>
        <v>DISERAHKAN</v>
      </c>
      <c r="F2820" s="48">
        <f>IFERROR(__xludf.DUMMYFUNCTION("""COMPUTED_VALUE"""),45769.60071225694)</f>
        <v>45769.60071</v>
      </c>
      <c r="G2820" s="42" t="str">
        <f>IFERROR(__xludf.DUMMYFUNCTION("""COMPUTED_VALUE"""),"ROYA")</f>
        <v>ROYA</v>
      </c>
      <c r="H2820" s="42">
        <f t="shared" si="1"/>
        <v>1326</v>
      </c>
    </row>
    <row r="2821" ht="22.5" customHeight="1">
      <c r="B2821" s="42" t="str">
        <f>IFERROR(__xludf.DUMMYFUNCTION("""COMPUTED_VALUE"""),"K/29/070325/1")</f>
        <v>K/29/070325/1</v>
      </c>
      <c r="C2821" s="42" t="str">
        <f>IFERROR(__xludf.DUMMYFUNCTION("""COMPUTED_VALUE"""),"KORPRI RAYA")</f>
        <v>KORPRI RAYA</v>
      </c>
      <c r="D2821" s="42"/>
      <c r="E2821" s="42"/>
      <c r="F2821" s="48" t="str">
        <f>IFERROR(__xludf.DUMMYFUNCTION("""COMPUTED_VALUE"""),"")</f>
        <v/>
      </c>
      <c r="G2821" s="42" t="str">
        <f>IFERROR(__xludf.DUMMYFUNCTION("""COMPUTED_VALUE"""),"TANAH MENTAH")</f>
        <v>TANAH MENTAH</v>
      </c>
      <c r="H2821" s="42">
        <f t="shared" si="1"/>
        <v>1326</v>
      </c>
    </row>
    <row r="2822" ht="22.5" customHeight="1">
      <c r="B2822" s="42" t="str">
        <f>IFERROR(__xludf.DUMMYFUNCTION("""COMPUTED_VALUE"""),"K/30/070325/1")</f>
        <v>K/30/070325/1</v>
      </c>
      <c r="C2822" s="42" t="str">
        <f>IFERROR(__xludf.DUMMYFUNCTION("""COMPUTED_VALUE"""),"M.1916/LANGKAPURA")</f>
        <v>M.1916/LANGKAPURA</v>
      </c>
      <c r="D2822" s="42"/>
      <c r="E2822" s="42" t="str">
        <f>IFERROR(__xludf.DUMMYFUNCTION("""COMPUTED_VALUE"""),"DISERAHKAN")</f>
        <v>DISERAHKAN</v>
      </c>
      <c r="F2822" s="48">
        <f>IFERROR(__xludf.DUMMYFUNCTION("""COMPUTED_VALUE"""),45733.59513587963)</f>
        <v>45733.59514</v>
      </c>
      <c r="G2822" s="42" t="str">
        <f>IFERROR(__xludf.DUMMYFUNCTION("""COMPUTED_VALUE"""),"BN JUAL BELI")</f>
        <v>BN JUAL BELI</v>
      </c>
      <c r="H2822" s="42">
        <f t="shared" si="1"/>
        <v>1327</v>
      </c>
    </row>
    <row r="2823" ht="22.5" customHeight="1">
      <c r="B2823" s="42" t="str">
        <f>IFERROR(__xludf.DUMMYFUNCTION("""COMPUTED_VALUE"""),"K/22/070325/4")</f>
        <v>K/22/070325/4</v>
      </c>
      <c r="C2823" s="42" t="str">
        <f>IFERROR(__xludf.DUMMYFUNCTION("""COMPUTED_VALUE"""),"Nibel. M. 16226/ Sukamaju")</f>
        <v>Nibel. M. 16226/ Sukamaju</v>
      </c>
      <c r="D2823" s="42"/>
      <c r="E2823" s="42"/>
      <c r="F2823" s="48" t="str">
        <f>IFERROR(__xludf.DUMMYFUNCTION("""COMPUTED_VALUE"""),"")</f>
        <v/>
      </c>
      <c r="G2823" s="42" t="str">
        <f>IFERROR(__xludf.DUMMYFUNCTION("""COMPUTED_VALUE"""),"BN Jual Beli")</f>
        <v>BN Jual Beli</v>
      </c>
      <c r="H2823" s="42">
        <f t="shared" si="1"/>
        <v>1327</v>
      </c>
    </row>
    <row r="2824" ht="22.5" customHeight="1">
      <c r="B2824" s="42" t="str">
        <f>IFERROR(__xludf.DUMMYFUNCTION("""COMPUTED_VALUE"""),"K/23/070325/5")</f>
        <v>K/23/070325/5</v>
      </c>
      <c r="C2824" s="42" t="str">
        <f>IFERROR(__xludf.DUMMYFUNCTION("""COMPUTED_VALUE"""),"Nibel. M. 16213/ Sukamaju")</f>
        <v>Nibel. M. 16213/ Sukamaju</v>
      </c>
      <c r="D2824" s="42"/>
      <c r="E2824" s="42"/>
      <c r="F2824" s="48" t="str">
        <f>IFERROR(__xludf.DUMMYFUNCTION("""COMPUTED_VALUE"""),"")</f>
        <v/>
      </c>
      <c r="G2824" s="42" t="str">
        <f>IFERROR(__xludf.DUMMYFUNCTION("""COMPUTED_VALUE"""),"BN Jual Beli")</f>
        <v>BN Jual Beli</v>
      </c>
      <c r="H2824" s="42">
        <f t="shared" si="1"/>
        <v>1327</v>
      </c>
    </row>
    <row r="2825" ht="22.5" customHeight="1">
      <c r="B2825" s="42" t="str">
        <f>IFERROR(__xludf.DUMMYFUNCTION("""COMPUTED_VALUE"""),"L/31/070325/1")</f>
        <v>L/31/070325/1</v>
      </c>
      <c r="C2825" s="42" t="str">
        <f>IFERROR(__xludf.DUMMYFUNCTION("""COMPUTED_VALUE"""),"HM 12743/BERINGIN RAYA")</f>
        <v>HM 12743/BERINGIN RAYA</v>
      </c>
      <c r="D2825" s="42"/>
      <c r="E2825" s="42" t="str">
        <f>IFERROR(__xludf.DUMMYFUNCTION("""COMPUTED_VALUE"""),"DISERAHKAN")</f>
        <v>DISERAHKAN</v>
      </c>
      <c r="F2825" s="48">
        <f>IFERROR(__xludf.DUMMYFUNCTION("""COMPUTED_VALUE"""),45769.60071225694)</f>
        <v>45769.60071</v>
      </c>
      <c r="G2825" s="42" t="str">
        <f>IFERROR(__xludf.DUMMYFUNCTION("""COMPUTED_VALUE"""),"ROYA")</f>
        <v>ROYA</v>
      </c>
      <c r="H2825" s="42">
        <f t="shared" si="1"/>
        <v>1328</v>
      </c>
    </row>
    <row r="2826" ht="22.5" customHeight="1">
      <c r="B2826" s="42" t="str">
        <f>IFERROR(__xludf.DUMMYFUNCTION("""COMPUTED_VALUE"""),"L/32/070325/1")</f>
        <v>L/32/070325/1</v>
      </c>
      <c r="C2826" s="42" t="str">
        <f>IFERROR(__xludf.DUMMYFUNCTION("""COMPUTED_VALUE"""),"HGB 1587/BUMI KEDAMAIAN")</f>
        <v>HGB 1587/BUMI KEDAMAIAN</v>
      </c>
      <c r="D2826" s="42"/>
      <c r="E2826" s="42"/>
      <c r="F2826" s="48" t="str">
        <f>IFERROR(__xludf.DUMMYFUNCTION("""COMPUTED_VALUE"""),"")</f>
        <v/>
      </c>
      <c r="G2826" s="42" t="str">
        <f>IFERROR(__xludf.DUMMYFUNCTION("""COMPUTED_VALUE"""),"PH")</f>
        <v>PH</v>
      </c>
      <c r="H2826" s="42">
        <f t="shared" si="1"/>
        <v>1328</v>
      </c>
    </row>
    <row r="2827" ht="22.5" customHeight="1">
      <c r="B2827" s="42" t="str">
        <f>IFERROR(__xludf.DUMMYFUNCTION("""COMPUTED_VALUE"""),"K/34/070325/1")</f>
        <v>K/34/070325/1</v>
      </c>
      <c r="C2827" s="42" t="str">
        <f>IFERROR(__xludf.DUMMYFUNCTION("""COMPUTED_VALUE"""),"M. 2351/ Kedaung")</f>
        <v>M. 2351/ Kedaung</v>
      </c>
      <c r="D2827" s="42"/>
      <c r="E2827" s="42" t="str">
        <f>IFERROR(__xludf.DUMMYFUNCTION("""COMPUTED_VALUE"""),"DISERAHKAN")</f>
        <v>DISERAHKAN</v>
      </c>
      <c r="F2827" s="48">
        <f>IFERROR(__xludf.DUMMYFUNCTION("""COMPUTED_VALUE"""),45733.61346699074)</f>
        <v>45733.61347</v>
      </c>
      <c r="G2827" s="42" t="str">
        <f>IFERROR(__xludf.DUMMYFUNCTION("""COMPUTED_VALUE"""),"BN Jual Beli")</f>
        <v>BN Jual Beli</v>
      </c>
      <c r="H2827" s="42">
        <f t="shared" si="1"/>
        <v>1329</v>
      </c>
    </row>
    <row r="2828" ht="22.5" customHeight="1">
      <c r="B2828" s="42" t="str">
        <f>IFERROR(__xludf.DUMMYFUNCTION("""COMPUTED_VALUE"""),"L/35/070325/1")</f>
        <v>L/35/070325/1</v>
      </c>
      <c r="C2828" s="42" t="str">
        <f>IFERROR(__xludf.DUMMYFUNCTION("""COMPUTED_VALUE"""),"HGB845/PWK")</f>
        <v>HGB845/PWK</v>
      </c>
      <c r="D2828" s="42"/>
      <c r="E2828" s="42"/>
      <c r="F2828" s="48" t="str">
        <f>IFERROR(__xludf.DUMMYFUNCTION("""COMPUTED_VALUE"""),"")</f>
        <v/>
      </c>
      <c r="G2828" s="42" t="str">
        <f>IFERROR(__xludf.DUMMYFUNCTION("""COMPUTED_VALUE"""),"PH")</f>
        <v>PH</v>
      </c>
      <c r="H2828" s="42">
        <f t="shared" si="1"/>
        <v>1329</v>
      </c>
    </row>
    <row r="2829" ht="22.5" customHeight="1">
      <c r="B2829" s="42" t="str">
        <f>IFERROR(__xludf.DUMMYFUNCTION("""COMPUTED_VALUE"""),"K/33/070325/1")</f>
        <v>K/33/070325/1</v>
      </c>
      <c r="C2829" s="42" t="str">
        <f>IFERROR(__xludf.DUMMYFUNCTION("""COMPUTED_VALUE"""),"Nibel. B.16202/ Campang Jaya")</f>
        <v>Nibel. B.16202/ Campang Jaya</v>
      </c>
      <c r="D2829" s="42"/>
      <c r="E2829" s="42"/>
      <c r="F2829" s="48" t="str">
        <f>IFERROR(__xludf.DUMMYFUNCTION("""COMPUTED_VALUE"""),"")</f>
        <v/>
      </c>
      <c r="G2829" s="42" t="str">
        <f>IFERROR(__xludf.DUMMYFUNCTION("""COMPUTED_VALUE"""),"Perubahan Hak")</f>
        <v>Perubahan Hak</v>
      </c>
      <c r="H2829" s="42">
        <f t="shared" si="1"/>
        <v>1329</v>
      </c>
    </row>
    <row r="2830" ht="22.5" customHeight="1">
      <c r="B2830" s="42" t="str">
        <f>IFERROR(__xludf.DUMMYFUNCTION("""COMPUTED_VALUE"""),"K/36/070325/1")</f>
        <v>K/36/070325/1</v>
      </c>
      <c r="C2830" s="42" t="str">
        <f>IFERROR(__xludf.DUMMYFUNCTION("""COMPUTED_VALUE"""),"M. 1766/ Way Halim Permai")</f>
        <v>M. 1766/ Way Halim Permai</v>
      </c>
      <c r="D2830" s="42"/>
      <c r="E2830" s="42" t="str">
        <f>IFERROR(__xludf.DUMMYFUNCTION("""COMPUTED_VALUE"""),"DISERAHKAN")</f>
        <v>DISERAHKAN</v>
      </c>
      <c r="F2830" s="48">
        <f>IFERROR(__xludf.DUMMYFUNCTION("""COMPUTED_VALUE"""),45758.48278954861)</f>
        <v>45758.48279</v>
      </c>
      <c r="G2830" s="42" t="str">
        <f>IFERROR(__xludf.DUMMYFUNCTION("""COMPUTED_VALUE"""),"BN JUAL BELI")</f>
        <v>BN JUAL BELI</v>
      </c>
      <c r="H2830" s="42">
        <f t="shared" si="1"/>
        <v>1330</v>
      </c>
    </row>
    <row r="2831" ht="22.5" customHeight="1">
      <c r="B2831" s="42" t="str">
        <f>IFERROR(__xludf.DUMMYFUNCTION("""COMPUTED_VALUE"""),"L/37/070325/1")</f>
        <v>L/37/070325/1</v>
      </c>
      <c r="C2831" s="42" t="str">
        <f>IFERROR(__xludf.DUMMYFUNCTION("""COMPUTED_VALUE"""),"NIB 18626/KBK")</f>
        <v>NIB 18626/KBK</v>
      </c>
      <c r="D2831" s="42"/>
      <c r="E2831" s="42"/>
      <c r="F2831" s="48" t="str">
        <f>IFERROR(__xludf.DUMMYFUNCTION("""COMPUTED_VALUE"""),"")</f>
        <v/>
      </c>
      <c r="G2831" s="42" t="str">
        <f>IFERROR(__xludf.DUMMYFUNCTION("""COMPUTED_VALUE"""),"PH")</f>
        <v>PH</v>
      </c>
      <c r="H2831" s="42">
        <f t="shared" si="1"/>
        <v>1330</v>
      </c>
    </row>
    <row r="2832" ht="22.5" customHeight="1">
      <c r="B2832" s="42" t="str">
        <f>IFERROR(__xludf.DUMMYFUNCTION("""COMPUTED_VALUE"""),"K/38/070325/1")</f>
        <v>K/38/070325/1</v>
      </c>
      <c r="C2832" s="42" t="str">
        <f>IFERROR(__xludf.DUMMYFUNCTION("""COMPUTED_VALUE"""),"M. 11263/ Segala Mider")</f>
        <v>M. 11263/ Segala Mider</v>
      </c>
      <c r="D2832" s="42"/>
      <c r="E2832" s="42" t="str">
        <f>IFERROR(__xludf.DUMMYFUNCTION("""COMPUTED_VALUE"""),"DISERAHKAN")</f>
        <v>DISERAHKAN</v>
      </c>
      <c r="F2832" s="48">
        <f>IFERROR(__xludf.DUMMYFUNCTION("""COMPUTED_VALUE"""),45791.45093028936)</f>
        <v>45791.45093</v>
      </c>
      <c r="G2832" s="42" t="str">
        <f>IFERROR(__xludf.DUMMYFUNCTION("""COMPUTED_VALUE"""),"Roya")</f>
        <v>Roya</v>
      </c>
      <c r="H2832" s="42">
        <f t="shared" si="1"/>
        <v>1331</v>
      </c>
    </row>
    <row r="2833" ht="22.5" customHeight="1">
      <c r="B2833" s="42" t="str">
        <f>IFERROR(__xludf.DUMMYFUNCTION("""COMPUTED_VALUE"""),"K/39/070325/1")</f>
        <v>K/39/070325/1</v>
      </c>
      <c r="C2833" s="42" t="str">
        <f>IFERROR(__xludf.DUMMYFUNCTION("""COMPUTED_VALUE"""),"Nibel. M. 18575/ N O G")</f>
        <v>Nibel. M. 18575/ N O G</v>
      </c>
      <c r="D2833" s="42"/>
      <c r="E2833" s="42"/>
      <c r="F2833" s="48" t="str">
        <f>IFERROR(__xludf.DUMMYFUNCTION("""COMPUTED_VALUE"""),"")</f>
        <v/>
      </c>
      <c r="G2833" s="42" t="str">
        <f>IFERROR(__xludf.DUMMYFUNCTION("""COMPUTED_VALUE"""),"BN Jual Beli")</f>
        <v>BN Jual Beli</v>
      </c>
      <c r="H2833" s="42">
        <f t="shared" si="1"/>
        <v>1331</v>
      </c>
    </row>
    <row r="2834" ht="22.5" customHeight="1">
      <c r="B2834" s="42" t="str">
        <f>IFERROR(__xludf.DUMMYFUNCTION("""COMPUTED_VALUE"""),"K/40/070325/1")</f>
        <v>K/40/070325/1</v>
      </c>
      <c r="C2834" s="42" t="str">
        <f>IFERROR(__xludf.DUMMYFUNCTION("""COMPUTED_VALUE"""),"NIBEL M 18218/BILABONG JAYA")</f>
        <v>NIBEL M 18218/BILABONG JAYA</v>
      </c>
      <c r="D2834" s="42"/>
      <c r="E2834" s="42"/>
      <c r="F2834" s="48" t="str">
        <f>IFERROR(__xludf.DUMMYFUNCTION("""COMPUTED_VALUE"""),"")</f>
        <v/>
      </c>
      <c r="G2834" s="42" t="str">
        <f>IFERROR(__xludf.DUMMYFUNCTION("""COMPUTED_VALUE"""),"LELANG")</f>
        <v>LELANG</v>
      </c>
      <c r="H2834" s="42">
        <f t="shared" si="1"/>
        <v>1331</v>
      </c>
    </row>
    <row r="2835" ht="22.5" customHeight="1">
      <c r="B2835" s="42" t="str">
        <f>IFERROR(__xludf.DUMMYFUNCTION("""COMPUTED_VALUE"""),"K/41/070325/1")</f>
        <v>K/41/070325/1</v>
      </c>
      <c r="C2835" s="42" t="str">
        <f>IFERROR(__xludf.DUMMYFUNCTION("""COMPUTED_VALUE"""),"Nibel 17590/ Kali Balau Kencana")</f>
        <v>Nibel 17590/ Kali Balau Kencana</v>
      </c>
      <c r="D2835" s="42"/>
      <c r="E2835" s="42"/>
      <c r="F2835" s="48" t="str">
        <f>IFERROR(__xludf.DUMMYFUNCTION("""COMPUTED_VALUE"""),"")</f>
        <v/>
      </c>
      <c r="G2835" s="42" t="str">
        <f>IFERROR(__xludf.DUMMYFUNCTION("""COMPUTED_VALUE"""),"PERUBAHAN HAK")</f>
        <v>PERUBAHAN HAK</v>
      </c>
      <c r="H2835" s="42">
        <f t="shared" si="1"/>
        <v>1331</v>
      </c>
    </row>
    <row r="2836" ht="22.5" customHeight="1">
      <c r="B2836" s="42" t="str">
        <f>IFERROR(__xludf.DUMMYFUNCTION("""COMPUTED_VALUE"""),"K/42/070325/2")</f>
        <v>K/42/070325/2</v>
      </c>
      <c r="C2836" s="42" t="str">
        <f>IFERROR(__xludf.DUMMYFUNCTION("""COMPUTED_VALUE"""),"Nibel 18292/ Kali Balau Kencana")</f>
        <v>Nibel 18292/ Kali Balau Kencana</v>
      </c>
      <c r="D2836" s="42"/>
      <c r="E2836" s="42"/>
      <c r="F2836" s="48" t="str">
        <f>IFERROR(__xludf.DUMMYFUNCTION("""COMPUTED_VALUE"""),"")</f>
        <v/>
      </c>
      <c r="G2836" s="42" t="str">
        <f>IFERROR(__xludf.DUMMYFUNCTION("""COMPUTED_VALUE"""),"PERUBAHAN HAK")</f>
        <v>PERUBAHAN HAK</v>
      </c>
      <c r="H2836" s="42">
        <f t="shared" si="1"/>
        <v>1331</v>
      </c>
    </row>
    <row r="2837" ht="22.5" customHeight="1">
      <c r="B2837" s="42" t="str">
        <f>IFERROR(__xludf.DUMMYFUNCTION("""COMPUTED_VALUE"""),"K/43/070325/1")</f>
        <v>K/43/070325/1</v>
      </c>
      <c r="C2837" s="42" t="str">
        <f>IFERROR(__xludf.DUMMYFUNCTION("""COMPUTED_VALUE"""),"M.66/KALI BALAU KENCANA")</f>
        <v>M.66/KALI BALAU KENCANA</v>
      </c>
      <c r="D2837" s="42"/>
      <c r="E2837" s="42"/>
      <c r="F2837" s="48" t="str">
        <f>IFERROR(__xludf.DUMMYFUNCTION("""COMPUTED_VALUE"""),"")</f>
        <v/>
      </c>
      <c r="G2837" s="42" t="str">
        <f>IFERROR(__xludf.DUMMYFUNCTION("""COMPUTED_VALUE"""),"BN JUAL BELI")</f>
        <v>BN JUAL BELI</v>
      </c>
      <c r="H2837" s="42">
        <f t="shared" si="1"/>
        <v>1331</v>
      </c>
    </row>
    <row r="2838" ht="22.5" customHeight="1">
      <c r="B2838" s="42" t="str">
        <f>IFERROR(__xludf.DUMMYFUNCTION("""COMPUTED_VALUE"""),"K/44/070325/2")</f>
        <v>K/44/070325/2</v>
      </c>
      <c r="C2838" s="42" t="str">
        <f>IFERROR(__xludf.DUMMYFUNCTION("""COMPUTED_VALUE"""),"M. 5047/RAJABASA JAYA")</f>
        <v>M. 5047/RAJABASA JAYA</v>
      </c>
      <c r="D2838" s="42"/>
      <c r="E2838" s="42" t="str">
        <f>IFERROR(__xludf.DUMMYFUNCTION("""COMPUTED_VALUE"""),"DISERAHKAN")</f>
        <v>DISERAHKAN</v>
      </c>
      <c r="F2838" s="48">
        <f>IFERROR(__xludf.DUMMYFUNCTION("""COMPUTED_VALUE"""),45743.4423015162)</f>
        <v>45743.4423</v>
      </c>
      <c r="G2838" s="42" t="str">
        <f>IFERROR(__xludf.DUMMYFUNCTION("""COMPUTED_VALUE"""),"BN JUAL BELI")</f>
        <v>BN JUAL BELI</v>
      </c>
      <c r="H2838" s="42">
        <f t="shared" si="1"/>
        <v>1332</v>
      </c>
    </row>
    <row r="2839" ht="22.5" customHeight="1">
      <c r="B2839" s="42" t="str">
        <f>IFERROR(__xludf.DUMMYFUNCTION("""COMPUTED_VALUE"""),"K/46/070325/1")</f>
        <v>K/46/070325/1</v>
      </c>
      <c r="C2839" s="42" t="str">
        <f>IFERROR(__xludf.DUMMYFUNCTION("""COMPUTED_VALUE"""),"Nibel 17082/ Perumnas Way Halim")</f>
        <v>Nibel 17082/ Perumnas Way Halim</v>
      </c>
      <c r="D2839" s="42"/>
      <c r="E2839" s="42"/>
      <c r="F2839" s="48" t="str">
        <f>IFERROR(__xludf.DUMMYFUNCTION("""COMPUTED_VALUE"""),"")</f>
        <v/>
      </c>
      <c r="G2839" s="42" t="str">
        <f>IFERROR(__xludf.DUMMYFUNCTION("""COMPUTED_VALUE"""),"BN JUAL BELI")</f>
        <v>BN JUAL BELI</v>
      </c>
      <c r="H2839" s="42">
        <f t="shared" si="1"/>
        <v>1332</v>
      </c>
    </row>
    <row r="2840" ht="22.5" customHeight="1">
      <c r="B2840" s="42" t="str">
        <f>IFERROR(__xludf.DUMMYFUNCTION("""COMPUTED_VALUE"""),"K/47/070325/1")</f>
        <v>K/47/070325/1</v>
      </c>
      <c r="C2840" s="42" t="str">
        <f>IFERROR(__xludf.DUMMYFUNCTION("""COMPUTED_VALUE"""),"M. 1128/ Kuripan")</f>
        <v>M. 1128/ Kuripan</v>
      </c>
      <c r="D2840" s="42"/>
      <c r="E2840" s="42" t="str">
        <f>IFERROR(__xludf.DUMMYFUNCTION("""COMPUTED_VALUE"""),"DISERAHKAN")</f>
        <v>DISERAHKAN</v>
      </c>
      <c r="F2840" s="48">
        <f>IFERROR(__xludf.DUMMYFUNCTION("""COMPUTED_VALUE"""),45733.616088263894)</f>
        <v>45733.61609</v>
      </c>
      <c r="G2840" s="42" t="str">
        <f>IFERROR(__xludf.DUMMYFUNCTION("""COMPUTED_VALUE"""),"BN Jual Beli")</f>
        <v>BN Jual Beli</v>
      </c>
      <c r="H2840" s="42">
        <f t="shared" si="1"/>
        <v>1333</v>
      </c>
    </row>
    <row r="2841" ht="22.5" customHeight="1">
      <c r="B2841" s="42" t="str">
        <f>IFERROR(__xludf.DUMMYFUNCTION("""COMPUTED_VALUE"""),"K/45/070325/3")</f>
        <v>K/45/070325/3</v>
      </c>
      <c r="C2841" s="42" t="str">
        <f>IFERROR(__xludf.DUMMYFUNCTION("""COMPUTED_VALUE"""),"B. 797/SUMUR PUTRI")</f>
        <v>B. 797/SUMUR PUTRI</v>
      </c>
      <c r="D2841" s="42"/>
      <c r="E2841" s="42" t="str">
        <f>IFERROR(__xludf.DUMMYFUNCTION("""COMPUTED_VALUE"""),"DISERAHKAN")</f>
        <v>DISERAHKAN</v>
      </c>
      <c r="F2841" s="48">
        <f>IFERROR(__xludf.DUMMYFUNCTION("""COMPUTED_VALUE"""),45743.43531318287)</f>
        <v>45743.43531</v>
      </c>
      <c r="G2841" s="42" t="str">
        <f>IFERROR(__xludf.DUMMYFUNCTION("""COMPUTED_VALUE"""),"BN JUAL BELI")</f>
        <v>BN JUAL BELI</v>
      </c>
      <c r="H2841" s="42">
        <f t="shared" si="1"/>
        <v>1334</v>
      </c>
    </row>
    <row r="2842" ht="22.5" customHeight="1">
      <c r="B2842" s="42" t="str">
        <f>IFERROR(__xludf.DUMMYFUNCTION("""COMPUTED_VALUE"""),"K/48/070325/1")</f>
        <v>K/48/070325/1</v>
      </c>
      <c r="C2842" s="42" t="str">
        <f>IFERROR(__xludf.DUMMYFUNCTION("""COMPUTED_VALUE"""),"M. 67/LABUHAN DALAM")</f>
        <v>M. 67/LABUHAN DALAM</v>
      </c>
      <c r="D2842" s="42"/>
      <c r="E2842" s="42" t="str">
        <f>IFERROR(__xludf.DUMMYFUNCTION("""COMPUTED_VALUE"""),"DISERAHKAN")</f>
        <v>DISERAHKAN</v>
      </c>
      <c r="F2842" s="48">
        <f>IFERROR(__xludf.DUMMYFUNCTION("""COMPUTED_VALUE"""),45758.47280005787)</f>
        <v>45758.4728</v>
      </c>
      <c r="G2842" s="42" t="str">
        <f>IFERROR(__xludf.DUMMYFUNCTION("""COMPUTED_VALUE"""),"BN WARIS")</f>
        <v>BN WARIS</v>
      </c>
      <c r="H2842" s="42">
        <f t="shared" si="1"/>
        <v>1335</v>
      </c>
    </row>
    <row r="2843" ht="22.5" customHeight="1">
      <c r="B2843" s="42" t="str">
        <f>IFERROR(__xludf.DUMMYFUNCTION("""COMPUTED_VALUE"""),"L/1/100325/1")</f>
        <v>L/1/100325/1</v>
      </c>
      <c r="C2843" s="42" t="str">
        <f>IFERROR(__xludf.DUMMYFUNCTION("""COMPUTED_VALUE"""),"HM 10007/LABUHAN RATU")</f>
        <v>HM 10007/LABUHAN RATU</v>
      </c>
      <c r="D2843" s="42"/>
      <c r="E2843" s="42" t="str">
        <f>IFERROR(__xludf.DUMMYFUNCTION("""COMPUTED_VALUE"""),"DISERAHKAN")</f>
        <v>DISERAHKAN</v>
      </c>
      <c r="F2843" s="48">
        <f>IFERROR(__xludf.DUMMYFUNCTION("""COMPUTED_VALUE"""),45736.60740208333)</f>
        <v>45736.6074</v>
      </c>
      <c r="G2843" s="42" t="str">
        <f>IFERROR(__xludf.DUMMYFUNCTION("""COMPUTED_VALUE"""),"BN WARIS")</f>
        <v>BN WARIS</v>
      </c>
      <c r="H2843" s="42">
        <f t="shared" si="1"/>
        <v>1336</v>
      </c>
    </row>
    <row r="2844" ht="22.5" customHeight="1">
      <c r="B2844" s="42" t="str">
        <f>IFERROR(__xludf.DUMMYFUNCTION("""COMPUTED_VALUE"""),"K/2/100325/1")</f>
        <v>K/2/100325/1</v>
      </c>
      <c r="C2844" s="42" t="str">
        <f>IFERROR(__xludf.DUMMYFUNCTION("""COMPUTED_VALUE"""),"M. 211/ Bumi Raya")</f>
        <v>M. 211/ Bumi Raya</v>
      </c>
      <c r="D2844" s="42"/>
      <c r="E2844" s="42" t="str">
        <f>IFERROR(__xludf.DUMMYFUNCTION("""COMPUTED_VALUE"""),"DISERAHKAN")</f>
        <v>DISERAHKAN</v>
      </c>
      <c r="F2844" s="48">
        <f>IFERROR(__xludf.DUMMYFUNCTION("""COMPUTED_VALUE"""),45735.445412245375)</f>
        <v>45735.44541</v>
      </c>
      <c r="G2844" s="42" t="str">
        <f>IFERROR(__xludf.DUMMYFUNCTION("""COMPUTED_VALUE"""),"BN JUAL BELI")</f>
        <v>BN JUAL BELI</v>
      </c>
      <c r="H2844" s="42">
        <f t="shared" si="1"/>
        <v>1337</v>
      </c>
    </row>
    <row r="2845" ht="22.5" customHeight="1">
      <c r="B2845" s="42" t="str">
        <f>IFERROR(__xludf.DUMMYFUNCTION("""COMPUTED_VALUE"""),"K/3/100325/1")</f>
        <v>K/3/100325/1</v>
      </c>
      <c r="C2845" s="42" t="str">
        <f>IFERROR(__xludf.DUMMYFUNCTION("""COMPUTED_VALUE"""),"M. 1309/ Labuhan Ratu Raya")</f>
        <v>M. 1309/ Labuhan Ratu Raya</v>
      </c>
      <c r="D2845" s="42"/>
      <c r="E2845" s="42"/>
      <c r="F2845" s="48" t="str">
        <f>IFERROR(__xludf.DUMMYFUNCTION("""COMPUTED_VALUE"""),"")</f>
        <v/>
      </c>
      <c r="G2845" s="42" t="str">
        <f>IFERROR(__xludf.DUMMYFUNCTION("""COMPUTED_VALUE"""),"SKPT Lelang")</f>
        <v>SKPT Lelang</v>
      </c>
      <c r="H2845" s="42">
        <f t="shared" si="1"/>
        <v>1337</v>
      </c>
    </row>
    <row r="2846" ht="22.5" customHeight="1">
      <c r="B2846" s="42" t="str">
        <f>IFERROR(__xludf.DUMMYFUNCTION("""COMPUTED_VALUE"""),"L/4/100325/1")</f>
        <v>L/4/100325/1</v>
      </c>
      <c r="C2846" s="42" t="str">
        <f>IFERROR(__xludf.DUMMYFUNCTION("""COMPUTED_VALUE"""),"HGB .3324/SUKABUMI")</f>
        <v>HGB .3324/SUKABUMI</v>
      </c>
      <c r="D2846" s="42"/>
      <c r="E2846" s="42"/>
      <c r="F2846" s="48" t="str">
        <f>IFERROR(__xludf.DUMMYFUNCTION("""COMPUTED_VALUE"""),"")</f>
        <v/>
      </c>
      <c r="G2846" s="42" t="str">
        <f>IFERROR(__xludf.DUMMYFUNCTION("""COMPUTED_VALUE"""),"PH")</f>
        <v>PH</v>
      </c>
      <c r="H2846" s="42">
        <f t="shared" si="1"/>
        <v>1337</v>
      </c>
    </row>
    <row r="2847" ht="22.5" customHeight="1">
      <c r="B2847" s="42" t="str">
        <f>IFERROR(__xludf.DUMMYFUNCTION("""COMPUTED_VALUE"""),"K/5/100325/1")</f>
        <v>K/5/100325/1</v>
      </c>
      <c r="C2847" s="42" t="str">
        <f>IFERROR(__xludf.DUMMYFUNCTION("""COMPUTED_VALUE"""),"M. 59/ Labuhan Ratu Raya")</f>
        <v>M. 59/ Labuhan Ratu Raya</v>
      </c>
      <c r="D2847" s="42"/>
      <c r="E2847" s="42" t="str">
        <f>IFERROR(__xludf.DUMMYFUNCTION("""COMPUTED_VALUE"""),"DISERAHKAN")</f>
        <v>DISERAHKAN</v>
      </c>
      <c r="F2847" s="48">
        <f>IFERROR(__xludf.DUMMYFUNCTION("""COMPUTED_VALUE"""),45758.48290236111)</f>
        <v>45758.4829</v>
      </c>
      <c r="G2847" s="42" t="str">
        <f>IFERROR(__xludf.DUMMYFUNCTION("""COMPUTED_VALUE"""),"BN JUAL BELI")</f>
        <v>BN JUAL BELI</v>
      </c>
      <c r="H2847" s="42">
        <f t="shared" si="1"/>
        <v>1338</v>
      </c>
    </row>
    <row r="2848" ht="22.5" customHeight="1">
      <c r="B2848" s="42" t="str">
        <f>IFERROR(__xludf.DUMMYFUNCTION("""COMPUTED_VALUE"""),"L/6/100325/1")</f>
        <v>L/6/100325/1</v>
      </c>
      <c r="C2848" s="42" t="str">
        <f>IFERROR(__xludf.DUMMYFUNCTION("""COMPUTED_VALUE"""),"HGB 700/RAJABASA")</f>
        <v>HGB 700/RAJABASA</v>
      </c>
      <c r="D2848" s="42"/>
      <c r="E2848" s="42" t="str">
        <f>IFERROR(__xludf.DUMMYFUNCTION("""COMPUTED_VALUE"""),"DISERAHKAN")</f>
        <v>DISERAHKAN</v>
      </c>
      <c r="F2848" s="48">
        <f>IFERROR(__xludf.DUMMYFUNCTION("""COMPUTED_VALUE"""),45769.60071225694)</f>
        <v>45769.60071</v>
      </c>
      <c r="G2848" s="42" t="str">
        <f>IFERROR(__xludf.DUMMYFUNCTION("""COMPUTED_VALUE"""),"ROYA")</f>
        <v>ROYA</v>
      </c>
      <c r="H2848" s="42">
        <f t="shared" si="1"/>
        <v>1339</v>
      </c>
    </row>
    <row r="2849" ht="22.5" customHeight="1">
      <c r="B2849" s="42" t="str">
        <f>IFERROR(__xludf.DUMMYFUNCTION("""COMPUTED_VALUE"""),"K/7/100325/1")</f>
        <v>K/7/100325/1</v>
      </c>
      <c r="C2849" s="42" t="str">
        <f>IFERROR(__xludf.DUMMYFUNCTION("""COMPUTED_VALUE"""),"M. 559/ Sukaraja")</f>
        <v>M. 559/ Sukaraja</v>
      </c>
      <c r="D2849" s="42"/>
      <c r="E2849" s="42"/>
      <c r="F2849" s="48" t="str">
        <f>IFERROR(__xludf.DUMMYFUNCTION("""COMPUTED_VALUE"""),"")</f>
        <v/>
      </c>
      <c r="G2849" s="42" t="str">
        <f>IFERROR(__xludf.DUMMYFUNCTION("""COMPUTED_VALUE"""),"SKPT INFORMASI")</f>
        <v>SKPT INFORMASI</v>
      </c>
      <c r="H2849" s="42">
        <f t="shared" si="1"/>
        <v>1339</v>
      </c>
    </row>
    <row r="2850" ht="22.5" customHeight="1">
      <c r="B2850" s="42" t="str">
        <f>IFERROR(__xludf.DUMMYFUNCTION("""COMPUTED_VALUE"""),"K/10/100325/1")</f>
        <v>K/10/100325/1</v>
      </c>
      <c r="C2850" s="42" t="str">
        <f>IFERROR(__xludf.DUMMYFUNCTION("""COMPUTED_VALUE"""),"M. 2652/ Pinang Jaya")</f>
        <v>M. 2652/ Pinang Jaya</v>
      </c>
      <c r="D2850" s="42"/>
      <c r="E2850" s="42" t="str">
        <f>IFERROR(__xludf.DUMMYFUNCTION("""COMPUTED_VALUE"""),"DISERAHKAN")</f>
        <v>DISERAHKAN</v>
      </c>
      <c r="F2850" s="48">
        <f>IFERROR(__xludf.DUMMYFUNCTION("""COMPUTED_VALUE"""),45761.44160252315)</f>
        <v>45761.4416</v>
      </c>
      <c r="G2850" s="42" t="str">
        <f>IFERROR(__xludf.DUMMYFUNCTION("""COMPUTED_VALUE"""),"BN Jual Beli")</f>
        <v>BN Jual Beli</v>
      </c>
      <c r="H2850" s="42">
        <f t="shared" si="1"/>
        <v>1340</v>
      </c>
    </row>
    <row r="2851" ht="22.5" customHeight="1">
      <c r="B2851" s="42" t="str">
        <f>IFERROR(__xludf.DUMMYFUNCTION("""COMPUTED_VALUE"""),"K/11/100325/1")</f>
        <v>K/11/100325/1</v>
      </c>
      <c r="C2851" s="42" t="str">
        <f>IFERROR(__xludf.DUMMYFUNCTION("""COMPUTED_VALUE"""),"M. 2629/ Pinang Jaya")</f>
        <v>M. 2629/ Pinang Jaya</v>
      </c>
      <c r="D2851" s="42"/>
      <c r="E2851" s="42"/>
      <c r="F2851" s="48" t="str">
        <f>IFERROR(__xludf.DUMMYFUNCTION("""COMPUTED_VALUE"""),"")</f>
        <v/>
      </c>
      <c r="G2851" s="42" t="str">
        <f>IFERROR(__xludf.DUMMYFUNCTION("""COMPUTED_VALUE"""),"BN Jual Beli")</f>
        <v>BN Jual Beli</v>
      </c>
      <c r="H2851" s="42">
        <f t="shared" si="1"/>
        <v>1340</v>
      </c>
    </row>
    <row r="2852" ht="22.5" customHeight="1">
      <c r="B2852" s="42" t="str">
        <f>IFERROR(__xludf.DUMMYFUNCTION("""COMPUTED_VALUE"""),"K/8/100325/2")</f>
        <v>K/8/100325/2</v>
      </c>
      <c r="C2852" s="42" t="str">
        <f>IFERROR(__xludf.DUMMYFUNCTION("""COMPUTED_VALUE"""),"M. 380/ Sukaraja")</f>
        <v>M. 380/ Sukaraja</v>
      </c>
      <c r="D2852" s="42"/>
      <c r="E2852" s="42"/>
      <c r="F2852" s="48" t="str">
        <f>IFERROR(__xludf.DUMMYFUNCTION("""COMPUTED_VALUE"""),"")</f>
        <v/>
      </c>
      <c r="G2852" s="42" t="str">
        <f>IFERROR(__xludf.DUMMYFUNCTION("""COMPUTED_VALUE"""),"SKPT INFORMASI")</f>
        <v>SKPT INFORMASI</v>
      </c>
      <c r="H2852" s="42">
        <f t="shared" si="1"/>
        <v>1340</v>
      </c>
    </row>
    <row r="2853" ht="22.5" customHeight="1">
      <c r="B2853" s="42" t="str">
        <f>IFERROR(__xludf.DUMMYFUNCTION("""COMPUTED_VALUE"""),"K/12/100325/1")</f>
        <v>K/12/100325/1</v>
      </c>
      <c r="C2853" s="42" t="str">
        <f>IFERROR(__xludf.DUMMYFUNCTION("""COMPUTED_VALUE"""),"M. 3248/ Beringin Raya")</f>
        <v>M. 3248/ Beringin Raya</v>
      </c>
      <c r="D2853" s="42"/>
      <c r="E2853" s="42"/>
      <c r="F2853" s="48" t="str">
        <f>IFERROR(__xludf.DUMMYFUNCTION("""COMPUTED_VALUE"""),"")</f>
        <v/>
      </c>
      <c r="G2853" s="42" t="str">
        <f>IFERROR(__xludf.DUMMYFUNCTION("""COMPUTED_VALUE"""),"SKPT LELANG")</f>
        <v>SKPT LELANG</v>
      </c>
      <c r="H2853" s="42">
        <f t="shared" si="1"/>
        <v>1340</v>
      </c>
    </row>
    <row r="2854" ht="22.5" customHeight="1">
      <c r="B2854" s="42" t="str">
        <f>IFERROR(__xludf.DUMMYFUNCTION("""COMPUTED_VALUE"""),"K/9/100325/3")</f>
        <v>K/9/100325/3</v>
      </c>
      <c r="C2854" s="42" t="str">
        <f>IFERROR(__xludf.DUMMYFUNCTION("""COMPUTED_VALUE"""),"M. 381/ Sukaraja")</f>
        <v>M. 381/ Sukaraja</v>
      </c>
      <c r="D2854" s="42"/>
      <c r="E2854" s="42"/>
      <c r="F2854" s="48" t="str">
        <f>IFERROR(__xludf.DUMMYFUNCTION("""COMPUTED_VALUE"""),"")</f>
        <v/>
      </c>
      <c r="G2854" s="42" t="str">
        <f>IFERROR(__xludf.DUMMYFUNCTION("""COMPUTED_VALUE"""),"SKPT LELANG")</f>
        <v>SKPT LELANG</v>
      </c>
      <c r="H2854" s="42">
        <f t="shared" si="1"/>
        <v>1340</v>
      </c>
    </row>
    <row r="2855" ht="22.5" customHeight="1">
      <c r="B2855" s="42" t="str">
        <f>IFERROR(__xludf.DUMMYFUNCTION("""COMPUTED_VALUE"""),"L/13/100325/1")</f>
        <v>L/13/100325/1</v>
      </c>
      <c r="C2855" s="42" t="str">
        <f>IFERROR(__xludf.DUMMYFUNCTION("""COMPUTED_VALUE"""),"HM 755/WAY GUBAK")</f>
        <v>HM 755/WAY GUBAK</v>
      </c>
      <c r="D2855" s="42"/>
      <c r="E2855" s="42" t="str">
        <f>IFERROR(__xludf.DUMMYFUNCTION("""COMPUTED_VALUE"""),"DISERAHKAN")</f>
        <v>DISERAHKAN</v>
      </c>
      <c r="F2855" s="48">
        <f>IFERROR(__xludf.DUMMYFUNCTION("""COMPUTED_VALUE"""),45741.53188863426)</f>
        <v>45741.53189</v>
      </c>
      <c r="G2855" s="42" t="str">
        <f>IFERROR(__xludf.DUMMYFUNCTION("""COMPUTED_VALUE"""),"ROYA")</f>
        <v>ROYA</v>
      </c>
      <c r="H2855" s="42">
        <f t="shared" si="1"/>
        <v>1341</v>
      </c>
    </row>
    <row r="2856" ht="22.5" customHeight="1">
      <c r="B2856" s="42" t="str">
        <f>IFERROR(__xludf.DUMMYFUNCTION("""COMPUTED_VALUE"""),"K/14/100325/1")</f>
        <v>K/14/100325/1</v>
      </c>
      <c r="C2856" s="42" t="str">
        <f>IFERROR(__xludf.DUMMYFUNCTION("""COMPUTED_VALUE"""),"M. 10376/ Gedung meneng-")</f>
        <v>M. 10376/ Gedung meneng-</v>
      </c>
      <c r="D2856" s="42"/>
      <c r="E2856" s="42" t="str">
        <f>IFERROR(__xludf.DUMMYFUNCTION("""COMPUTED_VALUE"""),"DISERAHKAN")</f>
        <v>DISERAHKAN</v>
      </c>
      <c r="F2856" s="48">
        <f>IFERROR(__xludf.DUMMYFUNCTION("""COMPUTED_VALUE"""),45736.61000901621)</f>
        <v>45736.61001</v>
      </c>
      <c r="G2856" s="42" t="str">
        <f>IFERROR(__xludf.DUMMYFUNCTION("""COMPUTED_VALUE"""),"BN JUAL BELI")</f>
        <v>BN JUAL BELI</v>
      </c>
      <c r="H2856" s="42">
        <f t="shared" si="1"/>
        <v>1342</v>
      </c>
    </row>
    <row r="2857" ht="22.5" customHeight="1">
      <c r="B2857" s="42" t="str">
        <f>IFERROR(__xludf.DUMMYFUNCTION("""COMPUTED_VALUE"""),"K/15/100325/1")</f>
        <v>K/15/100325/1</v>
      </c>
      <c r="C2857" s="42" t="str">
        <f>IFERROR(__xludf.DUMMYFUNCTION("""COMPUTED_VALUE"""),"M.494/WAY DADI")</f>
        <v>M.494/WAY DADI</v>
      </c>
      <c r="D2857" s="42"/>
      <c r="E2857" s="42"/>
      <c r="F2857" s="48" t="str">
        <f>IFERROR(__xludf.DUMMYFUNCTION("""COMPUTED_VALUE"""),"")</f>
        <v/>
      </c>
      <c r="G2857" s="42" t="str">
        <f>IFERROR(__xludf.DUMMYFUNCTION("""COMPUTED_VALUE"""),"ROYA")</f>
        <v>ROYA</v>
      </c>
      <c r="H2857" s="42">
        <f t="shared" si="1"/>
        <v>1342</v>
      </c>
    </row>
    <row r="2858" ht="22.5" customHeight="1">
      <c r="B2858" s="42" t="str">
        <f>IFERROR(__xludf.DUMMYFUNCTION("""COMPUTED_VALUE"""),"K/16/100325/1")</f>
        <v>K/16/100325/1</v>
      </c>
      <c r="C2858" s="42" t="str">
        <f>IFERROR(__xludf.DUMMYFUNCTION("""COMPUTED_VALUE"""),"M. 1629/ Perumnas Way Halim")</f>
        <v>M. 1629/ Perumnas Way Halim</v>
      </c>
      <c r="D2858" s="42"/>
      <c r="E2858" s="42" t="str">
        <f>IFERROR(__xludf.DUMMYFUNCTION("""COMPUTED_VALUE"""),"DISERAHKAN")</f>
        <v>DISERAHKAN</v>
      </c>
      <c r="F2858" s="48">
        <f>IFERROR(__xludf.DUMMYFUNCTION("""COMPUTED_VALUE"""),45736.61054371527)</f>
        <v>45736.61054</v>
      </c>
      <c r="G2858" s="42" t="str">
        <f>IFERROR(__xludf.DUMMYFUNCTION("""COMPUTED_VALUE"""),"BN JUAL BELI")</f>
        <v>BN JUAL BELI</v>
      </c>
      <c r="H2858" s="42">
        <f t="shared" si="1"/>
        <v>1343</v>
      </c>
    </row>
    <row r="2859" ht="22.5" customHeight="1">
      <c r="B2859" s="42" t="str">
        <f>IFERROR(__xludf.DUMMYFUNCTION("""COMPUTED_VALUE"""),"L/17/100325/1")</f>
        <v>L/17/100325/1</v>
      </c>
      <c r="C2859" s="42" t="str">
        <f>IFERROR(__xludf.DUMMYFUNCTION("""COMPUTED_VALUE"""),"HM 2046/WAY KANDIS")</f>
        <v>HM 2046/WAY KANDIS</v>
      </c>
      <c r="D2859" s="42"/>
      <c r="E2859" s="42" t="str">
        <f>IFERROR(__xludf.DUMMYFUNCTION("""COMPUTED_VALUE"""),"DISERAHKAN")</f>
        <v>DISERAHKAN</v>
      </c>
      <c r="F2859" s="48">
        <f>IFERROR(__xludf.DUMMYFUNCTION("""COMPUTED_VALUE"""),45741.53139741898)</f>
        <v>45741.5314</v>
      </c>
      <c r="G2859" s="42" t="str">
        <f>IFERROR(__xludf.DUMMYFUNCTION("""COMPUTED_VALUE"""),"ROYA")</f>
        <v>ROYA</v>
      </c>
      <c r="H2859" s="42">
        <f t="shared" si="1"/>
        <v>1344</v>
      </c>
    </row>
    <row r="2860" ht="22.5" customHeight="1">
      <c r="B2860" s="42" t="str">
        <f>IFERROR(__xludf.DUMMYFUNCTION("""COMPUTED_VALUE"""),"K/18/100325/1")</f>
        <v>K/18/100325/1</v>
      </c>
      <c r="C2860" s="42" t="str">
        <f>IFERROR(__xludf.DUMMYFUNCTION("""COMPUTED_VALUE"""),"M. 2850/ Sukarame Baru")</f>
        <v>M. 2850/ Sukarame Baru</v>
      </c>
      <c r="D2860" s="42"/>
      <c r="E2860" s="42" t="str">
        <f>IFERROR(__xludf.DUMMYFUNCTION("""COMPUTED_VALUE"""),"DISERAHKAN")</f>
        <v>DISERAHKAN</v>
      </c>
      <c r="F2860" s="48">
        <f>IFERROR(__xludf.DUMMYFUNCTION("""COMPUTED_VALUE"""),45736.600485601855)</f>
        <v>45736.60049</v>
      </c>
      <c r="G2860" s="42" t="str">
        <f>IFERROR(__xludf.DUMMYFUNCTION("""COMPUTED_VALUE"""),"BN JUAL BELI")</f>
        <v>BN JUAL BELI</v>
      </c>
      <c r="H2860" s="42">
        <f t="shared" si="1"/>
        <v>1345</v>
      </c>
    </row>
    <row r="2861" ht="22.5" customHeight="1">
      <c r="B2861" s="42" t="str">
        <f>IFERROR(__xludf.DUMMYFUNCTION("""COMPUTED_VALUE"""),"K/19/100325/2")</f>
        <v>K/19/100325/2</v>
      </c>
      <c r="C2861" s="42" t="str">
        <f>IFERROR(__xludf.DUMMYFUNCTION("""COMPUTED_VALUE"""),"V")</f>
        <v>V</v>
      </c>
      <c r="D2861" s="42"/>
      <c r="E2861" s="42"/>
      <c r="F2861" s="48" t="str">
        <f>IFERROR(__xludf.DUMMYFUNCTION("""COMPUTED_VALUE"""),"")</f>
        <v/>
      </c>
      <c r="G2861" s="42" t="str">
        <f>IFERROR(__xludf.DUMMYFUNCTION("""COMPUTED_VALUE"""),"BN JUAL BELI")</f>
        <v>BN JUAL BELI</v>
      </c>
      <c r="H2861" s="42">
        <f t="shared" si="1"/>
        <v>1345</v>
      </c>
    </row>
    <row r="2862" ht="22.5" customHeight="1">
      <c r="B2862" s="42" t="str">
        <f>IFERROR(__xludf.DUMMYFUNCTION("""COMPUTED_VALUE"""),"K/23/100325/1")</f>
        <v>K/23/100325/1</v>
      </c>
      <c r="C2862" s="42" t="str">
        <f>IFERROR(__xludf.DUMMYFUNCTION("""COMPUTED_VALUE"""),"PBT. 30/2025")</f>
        <v>PBT. 30/2025</v>
      </c>
      <c r="D2862" s="42"/>
      <c r="E2862" s="42"/>
      <c r="F2862" s="48" t="str">
        <f>IFERROR(__xludf.DUMMYFUNCTION("""COMPUTED_VALUE"""),"")</f>
        <v/>
      </c>
      <c r="G2862" s="42" t="str">
        <f>IFERROR(__xludf.DUMMYFUNCTION("""COMPUTED_VALUE"""),"PTPGT (Pertama Kali)")</f>
        <v>PTPGT (Pertama Kali)</v>
      </c>
      <c r="H2862" s="42">
        <f t="shared" si="1"/>
        <v>1345</v>
      </c>
    </row>
    <row r="2863" ht="22.5" customHeight="1">
      <c r="B2863" s="42" t="str">
        <f>IFERROR(__xludf.DUMMYFUNCTION("""COMPUTED_VALUE"""),"K/20/100325/3")</f>
        <v>K/20/100325/3</v>
      </c>
      <c r="C2863" s="42" t="str">
        <f>IFERROR(__xludf.DUMMYFUNCTION("""COMPUTED_VALUE"""),"Nibel 127/ Sumber rejo")</f>
        <v>Nibel 127/ Sumber rejo</v>
      </c>
      <c r="D2863" s="42"/>
      <c r="E2863" s="42"/>
      <c r="F2863" s="48" t="str">
        <f>IFERROR(__xludf.DUMMYFUNCTION("""COMPUTED_VALUE"""),"")</f>
        <v/>
      </c>
      <c r="G2863" s="42" t="str">
        <f>IFERROR(__xludf.DUMMYFUNCTION("""COMPUTED_VALUE"""),"BN JUAL BELI")</f>
        <v>BN JUAL BELI</v>
      </c>
      <c r="H2863" s="42">
        <f t="shared" si="1"/>
        <v>1345</v>
      </c>
    </row>
    <row r="2864" ht="22.5" customHeight="1">
      <c r="B2864" s="42" t="str">
        <f>IFERROR(__xludf.DUMMYFUNCTION("""COMPUTED_VALUE"""),"K/22/100325/1")</f>
        <v>K/22/100325/1</v>
      </c>
      <c r="C2864" s="42" t="str">
        <f>IFERROR(__xludf.DUMMYFUNCTION("""COMPUTED_VALUE"""),"M. 1286/PANJANG UTARA")</f>
        <v>M. 1286/PANJANG UTARA</v>
      </c>
      <c r="D2864" s="42"/>
      <c r="E2864" s="42"/>
      <c r="F2864" s="48" t="str">
        <f>IFERROR(__xludf.DUMMYFUNCTION("""COMPUTED_VALUE"""),"")</f>
        <v/>
      </c>
      <c r="G2864" s="42" t="str">
        <f>IFERROR(__xludf.DUMMYFUNCTION("""COMPUTED_VALUE"""),"ROYA")</f>
        <v>ROYA</v>
      </c>
      <c r="H2864" s="42">
        <f t="shared" si="1"/>
        <v>1345</v>
      </c>
    </row>
    <row r="2865" ht="22.5" customHeight="1">
      <c r="B2865" s="42" t="str">
        <f>IFERROR(__xludf.DUMMYFUNCTION("""COMPUTED_VALUE"""),"K/21/100325/4")</f>
        <v>K/21/100325/4</v>
      </c>
      <c r="C2865" s="42" t="str">
        <f>IFERROR(__xludf.DUMMYFUNCTION("""COMPUTED_VALUE"""),"M. 3004/ Langkapura")</f>
        <v>M. 3004/ Langkapura</v>
      </c>
      <c r="D2865" s="42" t="str">
        <f>IFERROR(__xludf.DUMMYFUNCTION("""COMPUTED_VALUE"""),"Berry")</f>
        <v>Berry</v>
      </c>
      <c r="E2865" s="42" t="str">
        <f>IFERROR(__xludf.DUMMYFUNCTION("""COMPUTED_VALUE"""),"DISERAHKAN")</f>
        <v>DISERAHKAN</v>
      </c>
      <c r="F2865" s="48">
        <f>IFERROR(__xludf.DUMMYFUNCTION("""COMPUTED_VALUE"""),45800.41046612269)</f>
        <v>45800.41047</v>
      </c>
      <c r="G2865" s="42" t="str">
        <f>IFERROR(__xludf.DUMMYFUNCTION("""COMPUTED_VALUE"""),"BN JUAL BELI")</f>
        <v>BN JUAL BELI</v>
      </c>
      <c r="H2865" s="42">
        <f t="shared" si="1"/>
        <v>1346</v>
      </c>
    </row>
    <row r="2866" ht="22.5" customHeight="1">
      <c r="B2866" s="42" t="str">
        <f>IFERROR(__xludf.DUMMYFUNCTION("""COMPUTED_VALUE"""),"L/24/100325/1")</f>
        <v>L/24/100325/1</v>
      </c>
      <c r="C2866" s="42" t="str">
        <f>IFERROR(__xludf.DUMMYFUNCTION("""COMPUTED_VALUE"""),"HM 16967/SUKARAME")</f>
        <v>HM 16967/SUKARAME</v>
      </c>
      <c r="D2866" s="42"/>
      <c r="E2866" s="42" t="str">
        <f>IFERROR(__xludf.DUMMYFUNCTION("""COMPUTED_VALUE"""),"DISERAHKAN")</f>
        <v>DISERAHKAN</v>
      </c>
      <c r="F2866" s="48">
        <f>IFERROR(__xludf.DUMMYFUNCTION("""COMPUTED_VALUE"""),45741.530310138885)</f>
        <v>45741.53031</v>
      </c>
      <c r="G2866" s="42" t="str">
        <f>IFERROR(__xludf.DUMMYFUNCTION("""COMPUTED_VALUE"""),"ROYA")</f>
        <v>ROYA</v>
      </c>
      <c r="H2866" s="42">
        <f t="shared" si="1"/>
        <v>1347</v>
      </c>
    </row>
    <row r="2867" ht="22.5" customHeight="1">
      <c r="B2867" s="42" t="str">
        <f>IFERROR(__xludf.DUMMYFUNCTION("""COMPUTED_VALUE"""),"K/26/100325/1")</f>
        <v>K/26/100325/1</v>
      </c>
      <c r="C2867" s="42" t="str">
        <f>IFERROR(__xludf.DUMMYFUNCTION("""COMPUTED_VALUE"""),"M. 4440/ Gunung Terang")</f>
        <v>M. 4440/ Gunung Terang</v>
      </c>
      <c r="D2867" s="42"/>
      <c r="E2867" s="42" t="str">
        <f>IFERROR(__xludf.DUMMYFUNCTION("""COMPUTED_VALUE"""),"DISERAHKAN")</f>
        <v>DISERAHKAN</v>
      </c>
      <c r="F2867" s="48">
        <f>IFERROR(__xludf.DUMMYFUNCTION("""COMPUTED_VALUE"""),45736.609259675926)</f>
        <v>45736.60926</v>
      </c>
      <c r="G2867" s="42" t="str">
        <f>IFERROR(__xludf.DUMMYFUNCTION("""COMPUTED_VALUE"""),"BN WARIS")</f>
        <v>BN WARIS</v>
      </c>
      <c r="H2867" s="42">
        <f t="shared" si="1"/>
        <v>1348</v>
      </c>
    </row>
    <row r="2868" ht="22.5" customHeight="1">
      <c r="B2868" s="42" t="str">
        <f>IFERROR(__xludf.DUMMYFUNCTION("""COMPUTED_VALUE"""),"K/25/100325/1")</f>
        <v>K/25/100325/1</v>
      </c>
      <c r="C2868" s="42" t="str">
        <f>IFERROR(__xludf.DUMMYFUNCTION("""COMPUTED_VALUE"""),"NIBEL M. 16891/SUKARAME BARU")</f>
        <v>NIBEL M. 16891/SUKARAME BARU</v>
      </c>
      <c r="D2868" s="42"/>
      <c r="E2868" s="42"/>
      <c r="F2868" s="48" t="str">
        <f>IFERROR(__xludf.DUMMYFUNCTION("""COMPUTED_VALUE"""),"")</f>
        <v/>
      </c>
      <c r="G2868" s="42" t="str">
        <f>IFERROR(__xludf.DUMMYFUNCTION("""COMPUTED_VALUE"""),"BN JUAL BELI")</f>
        <v>BN JUAL BELI</v>
      </c>
      <c r="H2868" s="42">
        <f t="shared" si="1"/>
        <v>1348</v>
      </c>
    </row>
    <row r="2869" ht="22.5" customHeight="1">
      <c r="B2869" s="42" t="str">
        <f>IFERROR(__xludf.DUMMYFUNCTION("""COMPUTED_VALUE"""),"K/27/100325/1")</f>
        <v>K/27/100325/1</v>
      </c>
      <c r="C2869" s="42" t="str">
        <f>IFERROR(__xludf.DUMMYFUNCTION("""COMPUTED_VALUE"""),"M. 1183/ Kedamain")</f>
        <v>M. 1183/ Kedamain</v>
      </c>
      <c r="D2869" s="42"/>
      <c r="E2869" s="42" t="str">
        <f>IFERROR(__xludf.DUMMYFUNCTION("""COMPUTED_VALUE"""),"DISERAHKAN")</f>
        <v>DISERAHKAN</v>
      </c>
      <c r="F2869" s="48">
        <f>IFERROR(__xludf.DUMMYFUNCTION("""COMPUTED_VALUE"""),45736.601097754625)</f>
        <v>45736.6011</v>
      </c>
      <c r="G2869" s="42" t="str">
        <f>IFERROR(__xludf.DUMMYFUNCTION("""COMPUTED_VALUE"""),"BN Jual Beli")</f>
        <v>BN Jual Beli</v>
      </c>
      <c r="H2869" s="42">
        <f t="shared" si="1"/>
        <v>1349</v>
      </c>
    </row>
    <row r="2870" ht="22.5" customHeight="1">
      <c r="B2870" s="42" t="str">
        <f>IFERROR(__xludf.DUMMYFUNCTION("""COMPUTED_VALUE"""),"K/28/100325/1")</f>
        <v>K/28/100325/1</v>
      </c>
      <c r="C2870" s="42" t="str">
        <f>IFERROR(__xludf.DUMMYFUNCTION("""COMPUTED_VALUE"""),"Nibel 12278/ Rajabsa Jaya")</f>
        <v>Nibel 12278/ Rajabsa Jaya</v>
      </c>
      <c r="D2870" s="42"/>
      <c r="E2870" s="42"/>
      <c r="F2870" s="48" t="str">
        <f>IFERROR(__xludf.DUMMYFUNCTION("""COMPUTED_VALUE"""),"")</f>
        <v/>
      </c>
      <c r="G2870" s="42" t="str">
        <f>IFERROR(__xludf.DUMMYFUNCTION("""COMPUTED_VALUE"""),"BN JUAL BELI")</f>
        <v>BN JUAL BELI</v>
      </c>
      <c r="H2870" s="42">
        <f t="shared" si="1"/>
        <v>1349</v>
      </c>
    </row>
    <row r="2871" ht="22.5" customHeight="1">
      <c r="B2871" s="42" t="str">
        <f>IFERROR(__xludf.DUMMYFUNCTION("""COMPUTED_VALUE"""),"K/1/110325/1")</f>
        <v>K/1/110325/1</v>
      </c>
      <c r="C2871" s="42" t="str">
        <f>IFERROR(__xludf.DUMMYFUNCTION("""COMPUTED_VALUE"""),"B. 697/ Sumber Agung")</f>
        <v>B. 697/ Sumber Agung</v>
      </c>
      <c r="D2871" s="42"/>
      <c r="E2871" s="42" t="str">
        <f>IFERROR(__xludf.DUMMYFUNCTION("""COMPUTED_VALUE"""),"DISERAHKAN")</f>
        <v>DISERAHKAN</v>
      </c>
      <c r="F2871" s="48">
        <f>IFERROR(__xludf.DUMMYFUNCTION("""COMPUTED_VALUE"""),45736.604041805556)</f>
        <v>45736.60404</v>
      </c>
      <c r="G2871" s="42" t="str">
        <f>IFERROR(__xludf.DUMMYFUNCTION("""COMPUTED_VALUE"""),"BN Jual Beli")</f>
        <v>BN Jual Beli</v>
      </c>
      <c r="H2871" s="42">
        <f t="shared" si="1"/>
        <v>1350</v>
      </c>
    </row>
    <row r="2872" ht="22.5" customHeight="1">
      <c r="B2872" s="42" t="str">
        <f>IFERROR(__xludf.DUMMYFUNCTION("""COMPUTED_VALUE"""),"K/2/110325/2")</f>
        <v>K/2/110325/2</v>
      </c>
      <c r="C2872" s="42" t="str">
        <f>IFERROR(__xludf.DUMMYFUNCTION("""COMPUTED_VALUE"""),"B. 701/ Sumber Agung")</f>
        <v>B. 701/ Sumber Agung</v>
      </c>
      <c r="D2872" s="42"/>
      <c r="E2872" s="42" t="str">
        <f>IFERROR(__xludf.DUMMYFUNCTION("""COMPUTED_VALUE"""),"DISERAHKAN")</f>
        <v>DISERAHKAN</v>
      </c>
      <c r="F2872" s="48">
        <f>IFERROR(__xludf.DUMMYFUNCTION("""COMPUTED_VALUE"""),45761.45317142361)</f>
        <v>45761.45317</v>
      </c>
      <c r="G2872" s="42" t="str">
        <f>IFERROR(__xludf.DUMMYFUNCTION("""COMPUTED_VALUE"""),"BN Jual Beli")</f>
        <v>BN Jual Beli</v>
      </c>
      <c r="H2872" s="42">
        <f t="shared" si="1"/>
        <v>1351</v>
      </c>
    </row>
    <row r="2873" ht="22.5" customHeight="1">
      <c r="B2873" s="42" t="str">
        <f>IFERROR(__xludf.DUMMYFUNCTION("""COMPUTED_VALUE"""),"K/3/110325/3")</f>
        <v>K/3/110325/3</v>
      </c>
      <c r="C2873" s="42" t="str">
        <f>IFERROR(__xludf.DUMMYFUNCTION("""COMPUTED_VALUE"""),"M. 3113/ Sukarame")</f>
        <v>M. 3113/ Sukarame</v>
      </c>
      <c r="D2873" s="42"/>
      <c r="E2873" s="42" t="str">
        <f>IFERROR(__xludf.DUMMYFUNCTION("""COMPUTED_VALUE"""),"DISERAHKAN")</f>
        <v>DISERAHKAN</v>
      </c>
      <c r="F2873" s="48">
        <f>IFERROR(__xludf.DUMMYFUNCTION("""COMPUTED_VALUE"""),45733.60347666667)</f>
        <v>45733.60348</v>
      </c>
      <c r="G2873" s="42" t="str">
        <f>IFERROR(__xludf.DUMMYFUNCTION("""COMPUTED_VALUE"""),"BN Jual Beli")</f>
        <v>BN Jual Beli</v>
      </c>
      <c r="H2873" s="42">
        <f t="shared" si="1"/>
        <v>1352</v>
      </c>
    </row>
    <row r="2874" ht="22.5" customHeight="1">
      <c r="B2874" s="42" t="str">
        <f>IFERROR(__xludf.DUMMYFUNCTION("""COMPUTED_VALUE"""),"K/4/110325/1")</f>
        <v>K/4/110325/1</v>
      </c>
      <c r="C2874" s="42" t="str">
        <f>IFERROR(__xludf.DUMMYFUNCTION("""COMPUTED_VALUE"""),"M. 2570/SUKARAME II")</f>
        <v>M. 2570/SUKARAME II</v>
      </c>
      <c r="D2874" s="42"/>
      <c r="E2874" s="42" t="str">
        <f>IFERROR(__xludf.DUMMYFUNCTION("""COMPUTED_VALUE"""),"DISERAHKAN")</f>
        <v>DISERAHKAN</v>
      </c>
      <c r="F2874" s="48">
        <f>IFERROR(__xludf.DUMMYFUNCTION("""COMPUTED_VALUE"""),45758.48248322916)</f>
        <v>45758.48248</v>
      </c>
      <c r="G2874" s="42" t="str">
        <f>IFERROR(__xludf.DUMMYFUNCTION("""COMPUTED_VALUE"""),"BN JUAL BELI")</f>
        <v>BN JUAL BELI</v>
      </c>
      <c r="H2874" s="42">
        <f t="shared" si="1"/>
        <v>1353</v>
      </c>
    </row>
    <row r="2875" ht="22.5" customHeight="1">
      <c r="B2875" s="42" t="str">
        <f>IFERROR(__xludf.DUMMYFUNCTION("""COMPUTED_VALUE"""),"K/5/110325/1")</f>
        <v>K/5/110325/1</v>
      </c>
      <c r="C2875" s="42" t="str">
        <f>IFERROR(__xludf.DUMMYFUNCTION("""COMPUTED_VALUE"""),"Nibel hmasrs 3542.3/ Tanjungkarang")</f>
        <v>Nibel hmasrs 3542.3/ Tanjungkarang</v>
      </c>
      <c r="D2875" s="42"/>
      <c r="E2875" s="42"/>
      <c r="F2875" s="48" t="str">
        <f>IFERROR(__xludf.DUMMYFUNCTION("""COMPUTED_VALUE"""),"")</f>
        <v/>
      </c>
      <c r="G2875" s="42" t="str">
        <f>IFERROR(__xludf.DUMMYFUNCTION("""COMPUTED_VALUE"""),"BN JUAL BELI")</f>
        <v>BN JUAL BELI</v>
      </c>
      <c r="H2875" s="42">
        <f t="shared" si="1"/>
        <v>1353</v>
      </c>
    </row>
    <row r="2876" ht="22.5" customHeight="1">
      <c r="B2876" s="42" t="str">
        <f>IFERROR(__xludf.DUMMYFUNCTION("""COMPUTED_VALUE"""),"K/6/110325/1")</f>
        <v>K/6/110325/1</v>
      </c>
      <c r="C2876" s="42" t="str">
        <f>IFERROR(__xludf.DUMMYFUNCTION("""COMPUTED_VALUE"""),"M. 1835/ Rajabasa Nunyai")</f>
        <v>M. 1835/ Rajabasa Nunyai</v>
      </c>
      <c r="D2876" s="42"/>
      <c r="E2876" s="42" t="str">
        <f>IFERROR(__xludf.DUMMYFUNCTION("""COMPUTED_VALUE"""),"DISERAHKAN")</f>
        <v>DISERAHKAN</v>
      </c>
      <c r="F2876" s="48">
        <f>IFERROR(__xludf.DUMMYFUNCTION("""COMPUTED_VALUE"""),45761.44134027778)</f>
        <v>45761.44134</v>
      </c>
      <c r="G2876" s="42" t="str">
        <f>IFERROR(__xludf.DUMMYFUNCTION("""COMPUTED_VALUE"""),"BN Jual Beli")</f>
        <v>BN Jual Beli</v>
      </c>
      <c r="H2876" s="42">
        <f t="shared" si="1"/>
        <v>1354</v>
      </c>
    </row>
    <row r="2877" ht="22.5" customHeight="1">
      <c r="B2877" s="42" t="str">
        <f>IFERROR(__xludf.DUMMYFUNCTION("""COMPUTED_VALUE"""),"L/7/110325/1")</f>
        <v>L/7/110325/1</v>
      </c>
      <c r="C2877" s="42" t="str">
        <f>IFERROR(__xludf.DUMMYFUNCTION("""COMPUTED_VALUE"""),"HM 4065/WAY KANDIS")</f>
        <v>HM 4065/WAY KANDIS</v>
      </c>
      <c r="D2877" s="42"/>
      <c r="E2877" s="42"/>
      <c r="F2877" s="48" t="str">
        <f>IFERROR(__xludf.DUMMYFUNCTION("""COMPUTED_VALUE"""),"")</f>
        <v/>
      </c>
      <c r="G2877" s="42" t="str">
        <f>IFERROR(__xludf.DUMMYFUNCTION("""COMPUTED_VALUE"""),"HAPUS BPHTB")</f>
        <v>HAPUS BPHTB</v>
      </c>
      <c r="H2877" s="42">
        <f t="shared" si="1"/>
        <v>1354</v>
      </c>
    </row>
    <row r="2878" ht="22.5" customHeight="1">
      <c r="B2878" s="42" t="str">
        <f>IFERROR(__xludf.DUMMYFUNCTION("""COMPUTED_VALUE"""),"K/8/110325/1")</f>
        <v>K/8/110325/1</v>
      </c>
      <c r="C2878" s="42" t="str">
        <f>IFERROR(__xludf.DUMMYFUNCTION("""COMPUTED_VALUE"""),"M. 4126/ Campang Raya")</f>
        <v>M. 4126/ Campang Raya</v>
      </c>
      <c r="D2878" s="42"/>
      <c r="E2878" s="42"/>
      <c r="F2878" s="48" t="str">
        <f>IFERROR(__xludf.DUMMYFUNCTION("""COMPUTED_VALUE"""),"")</f>
        <v/>
      </c>
      <c r="G2878" s="42" t="str">
        <f>IFERROR(__xludf.DUMMYFUNCTION("""COMPUTED_VALUE"""),"Hapus BPHTB")</f>
        <v>Hapus BPHTB</v>
      </c>
      <c r="H2878" s="42">
        <f t="shared" si="1"/>
        <v>1354</v>
      </c>
    </row>
    <row r="2879" ht="22.5" customHeight="1">
      <c r="B2879" s="42" t="str">
        <f>IFERROR(__xludf.DUMMYFUNCTION("""COMPUTED_VALUE"""),"K/9/110325/1")</f>
        <v>K/9/110325/1</v>
      </c>
      <c r="C2879" s="42" t="str">
        <f>IFERROR(__xludf.DUMMYFUNCTION("""COMPUTED_VALUE"""),"M. 2386/ Pinang JayaQ")</f>
        <v>M. 2386/ Pinang JayaQ</v>
      </c>
      <c r="D2879" s="42"/>
      <c r="E2879" s="42" t="str">
        <f>IFERROR(__xludf.DUMMYFUNCTION("""COMPUTED_VALUE"""),"DISERAHKAN")</f>
        <v>DISERAHKAN</v>
      </c>
      <c r="F2879" s="48">
        <f>IFERROR(__xludf.DUMMYFUNCTION("""COMPUTED_VALUE"""),45758.48017234953)</f>
        <v>45758.48017</v>
      </c>
      <c r="G2879" s="42" t="str">
        <f>IFERROR(__xludf.DUMMYFUNCTION("""COMPUTED_VALUE"""),"BN  JUAL BELI")</f>
        <v>BN  JUAL BELI</v>
      </c>
      <c r="H2879" s="42">
        <f t="shared" si="1"/>
        <v>1355</v>
      </c>
    </row>
    <row r="2880" ht="22.5" customHeight="1">
      <c r="B2880" s="42" t="str">
        <f>IFERROR(__xludf.DUMMYFUNCTION("""COMPUTED_VALUE"""),"K/10/110325/1")</f>
        <v>K/10/110325/1</v>
      </c>
      <c r="C2880" s="42" t="str">
        <f>IFERROR(__xludf.DUMMYFUNCTION("""COMPUTED_VALUE"""),"M. 3015/ Sukarame II")</f>
        <v>M. 3015/ Sukarame II</v>
      </c>
      <c r="D2880" s="42"/>
      <c r="E2880" s="42" t="str">
        <f>IFERROR(__xludf.DUMMYFUNCTION("""COMPUTED_VALUE"""),"DISERAHKAN")</f>
        <v>DISERAHKAN</v>
      </c>
      <c r="F2880" s="48">
        <f>IFERROR(__xludf.DUMMYFUNCTION("""COMPUTED_VALUE"""),45761.44177539352)</f>
        <v>45761.44178</v>
      </c>
      <c r="G2880" s="42" t="str">
        <f>IFERROR(__xludf.DUMMYFUNCTION("""COMPUTED_VALUE"""),"BN Jual Beli")</f>
        <v>BN Jual Beli</v>
      </c>
      <c r="H2880" s="42">
        <f t="shared" si="1"/>
        <v>1356</v>
      </c>
    </row>
    <row r="2881" ht="22.5" customHeight="1">
      <c r="B2881" s="42" t="str">
        <f>IFERROR(__xludf.DUMMYFUNCTION("""COMPUTED_VALUE"""),"K/12/110325/2")</f>
        <v>K/12/110325/2</v>
      </c>
      <c r="C2881" s="42" t="str">
        <f>IFERROR(__xludf.DUMMYFUNCTION("""COMPUTED_VALUE"""),"M. 1700/SUKARAME II")</f>
        <v>M. 1700/SUKARAME II</v>
      </c>
      <c r="D2881" s="42"/>
      <c r="E2881" s="42" t="str">
        <f>IFERROR(__xludf.DUMMYFUNCTION("""COMPUTED_VALUE"""),"DISERAHKAN")</f>
        <v>DISERAHKAN</v>
      </c>
      <c r="F2881" s="48">
        <f>IFERROR(__xludf.DUMMYFUNCTION("""COMPUTED_VALUE"""),45758.47983202546)</f>
        <v>45758.47983</v>
      </c>
      <c r="G2881" s="42" t="str">
        <f>IFERROR(__xludf.DUMMYFUNCTION("""COMPUTED_VALUE"""),"BN JUAL BELI")</f>
        <v>BN JUAL BELI</v>
      </c>
      <c r="H2881" s="42">
        <f t="shared" si="1"/>
        <v>1357</v>
      </c>
    </row>
    <row r="2882" ht="22.5" customHeight="1">
      <c r="B2882" s="42" t="str">
        <f>IFERROR(__xludf.DUMMYFUNCTION("""COMPUTED_VALUE"""),"K/13/110325/1")</f>
        <v>K/13/110325/1</v>
      </c>
      <c r="C2882" s="42" t="str">
        <f>IFERROR(__xludf.DUMMYFUNCTION("""COMPUTED_VALUE"""),"M. 769/ Sukaraja")</f>
        <v>M. 769/ Sukaraja</v>
      </c>
      <c r="D2882" s="42"/>
      <c r="E2882" s="42"/>
      <c r="F2882" s="48" t="str">
        <f>IFERROR(__xludf.DUMMYFUNCTION("""COMPUTED_VALUE"""),"")</f>
        <v/>
      </c>
      <c r="G2882" s="42" t="str">
        <f>IFERROR(__xludf.DUMMYFUNCTION("""COMPUTED_VALUE"""),"SKPT LELANG")</f>
        <v>SKPT LELANG</v>
      </c>
      <c r="H2882" s="42">
        <f t="shared" si="1"/>
        <v>1357</v>
      </c>
    </row>
    <row r="2883" ht="22.5" customHeight="1">
      <c r="B2883" s="42" t="str">
        <f>IFERROR(__xludf.DUMMYFUNCTION("""COMPUTED_VALUE"""),"K/14/110325/1")</f>
        <v>K/14/110325/1</v>
      </c>
      <c r="C2883" s="42" t="str">
        <f>IFERROR(__xludf.DUMMYFUNCTION("""COMPUTED_VALUE"""),"M.185/WAY KANDIS")</f>
        <v>M.185/WAY KANDIS</v>
      </c>
      <c r="D2883" s="42"/>
      <c r="E2883" s="42" t="str">
        <f>IFERROR(__xludf.DUMMYFUNCTION("""COMPUTED_VALUE"""),"DISERAHKAN")</f>
        <v>DISERAHKAN</v>
      </c>
      <c r="F2883" s="48">
        <f>IFERROR(__xludf.DUMMYFUNCTION("""COMPUTED_VALUE"""),45743.441673865746)</f>
        <v>45743.44167</v>
      </c>
      <c r="G2883" s="42" t="str">
        <f>IFERROR(__xludf.DUMMYFUNCTION("""COMPUTED_VALUE"""),"JUAL BELI")</f>
        <v>JUAL BELI</v>
      </c>
      <c r="H2883" s="42">
        <f t="shared" si="1"/>
        <v>1358</v>
      </c>
    </row>
    <row r="2884" ht="22.5" customHeight="1">
      <c r="B2884" s="42" t="str">
        <f>IFERROR(__xludf.DUMMYFUNCTION("""COMPUTED_VALUE"""),"K/16/110325/1")</f>
        <v>K/16/110325/1</v>
      </c>
      <c r="C2884" s="42" t="str">
        <f>IFERROR(__xludf.DUMMYFUNCTION("""COMPUTED_VALUE"""),"B.260/SUMBERREJO")</f>
        <v>B.260/SUMBERREJO</v>
      </c>
      <c r="D2884" s="42"/>
      <c r="E2884" s="42"/>
      <c r="F2884" s="48" t="str">
        <f>IFERROR(__xludf.DUMMYFUNCTION("""COMPUTED_VALUE"""),"")</f>
        <v/>
      </c>
      <c r="G2884" s="42" t="str">
        <f>IFERROR(__xludf.DUMMYFUNCTION("""COMPUTED_VALUE"""),"PTPGT")</f>
        <v>PTPGT</v>
      </c>
      <c r="H2884" s="42">
        <f t="shared" si="1"/>
        <v>1358</v>
      </c>
    </row>
    <row r="2885" ht="22.5" customHeight="1">
      <c r="B2885" s="42" t="str">
        <f>IFERROR(__xludf.DUMMYFUNCTION("""COMPUTED_VALUE"""),"K/15/110325/1")</f>
        <v>K/15/110325/1</v>
      </c>
      <c r="C2885" s="42" t="str">
        <f>IFERROR(__xludf.DUMMYFUNCTION("""COMPUTED_VALUE"""),"B. 781/SUMUR PUTRI")</f>
        <v>B. 781/SUMUR PUTRI</v>
      </c>
      <c r="D2885" s="42" t="str">
        <f>IFERROR(__xludf.DUMMYFUNCTION("""COMPUTED_VALUE"""),"Berry")</f>
        <v>Berry</v>
      </c>
      <c r="E2885" s="42" t="str">
        <f>IFERROR(__xludf.DUMMYFUNCTION("""COMPUTED_VALUE"""),"DISERAHKAN")</f>
        <v>DISERAHKAN</v>
      </c>
      <c r="F2885" s="48">
        <f>IFERROR(__xludf.DUMMYFUNCTION("""COMPUTED_VALUE"""),45799.70719997685)</f>
        <v>45799.7072</v>
      </c>
      <c r="G2885" s="42" t="str">
        <f>IFERROR(__xludf.DUMMYFUNCTION("""COMPUTED_VALUE"""),"BN JUAL BELI")</f>
        <v>BN JUAL BELI</v>
      </c>
      <c r="H2885" s="42">
        <f t="shared" si="1"/>
        <v>1359</v>
      </c>
    </row>
    <row r="2886" ht="22.5" customHeight="1">
      <c r="B2886" s="42" t="str">
        <f>IFERROR(__xludf.DUMMYFUNCTION("""COMPUTED_VALUE"""),"K/17/110325/2")</f>
        <v>K/17/110325/2</v>
      </c>
      <c r="C2886" s="42" t="str">
        <f>IFERROR(__xludf.DUMMYFUNCTION("""COMPUTED_VALUE"""),"NIBEL B. 17115/NUSANTARA PERMAI")</f>
        <v>NIBEL B. 17115/NUSANTARA PERMAI</v>
      </c>
      <c r="D2886" s="42"/>
      <c r="E2886" s="42"/>
      <c r="F2886" s="48" t="str">
        <f>IFERROR(__xludf.DUMMYFUNCTION("""COMPUTED_VALUE"""),"")</f>
        <v/>
      </c>
      <c r="G2886" s="42" t="str">
        <f>IFERROR(__xludf.DUMMYFUNCTION("""COMPUTED_VALUE"""),"PERUBAHAN HAK")</f>
        <v>PERUBAHAN HAK</v>
      </c>
      <c r="H2886" s="42">
        <f t="shared" si="1"/>
        <v>1359</v>
      </c>
    </row>
    <row r="2887" ht="22.5" customHeight="1">
      <c r="B2887" s="42" t="str">
        <f>IFERROR(__xludf.DUMMYFUNCTION("""COMPUTED_VALUE"""),"K/18/110325/1")</f>
        <v>K/18/110325/1</v>
      </c>
      <c r="C2887" s="42" t="str">
        <f>IFERROR(__xludf.DUMMYFUNCTION("""COMPUTED_VALUE"""),"M. 1035/ Korpri Jaya")</f>
        <v>M. 1035/ Korpri Jaya</v>
      </c>
      <c r="D2887" s="42"/>
      <c r="E2887" s="42" t="str">
        <f>IFERROR(__xludf.DUMMYFUNCTION("""COMPUTED_VALUE"""),"DISERAHKAN")</f>
        <v>DISERAHKAN</v>
      </c>
      <c r="F2887" s="48">
        <f>IFERROR(__xludf.DUMMYFUNCTION("""COMPUTED_VALUE"""),45736.60167560185)</f>
        <v>45736.60168</v>
      </c>
      <c r="G2887" s="42" t="str">
        <f>IFERROR(__xludf.DUMMYFUNCTION("""COMPUTED_VALUE"""),"BN Jual Beli")</f>
        <v>BN Jual Beli</v>
      </c>
      <c r="H2887" s="42">
        <f t="shared" si="1"/>
        <v>1360</v>
      </c>
    </row>
    <row r="2888" ht="22.5" customHeight="1">
      <c r="B2888" s="42" t="str">
        <f>IFERROR(__xludf.DUMMYFUNCTION("""COMPUTED_VALUE"""),"K/19/110325/2")</f>
        <v>K/19/110325/2</v>
      </c>
      <c r="C2888" s="42" t="str">
        <f>IFERROR(__xludf.DUMMYFUNCTION("""COMPUTED_VALUE"""),"B. 529/ Sukarame Baru")</f>
        <v>B. 529/ Sukarame Baru</v>
      </c>
      <c r="D2888" s="42"/>
      <c r="E2888" s="42" t="str">
        <f>IFERROR(__xludf.DUMMYFUNCTION("""COMPUTED_VALUE"""),"DISERAHKAN")</f>
        <v>DISERAHKAN</v>
      </c>
      <c r="F2888" s="48">
        <f>IFERROR(__xludf.DUMMYFUNCTION("""COMPUTED_VALUE"""),45736.59992508102)</f>
        <v>45736.59993</v>
      </c>
      <c r="G2888" s="42" t="str">
        <f>IFERROR(__xludf.DUMMYFUNCTION("""COMPUTED_VALUE"""),"BN Jual Beli`")</f>
        <v>BN Jual Beli`</v>
      </c>
      <c r="H2888" s="42">
        <f t="shared" si="1"/>
        <v>1361</v>
      </c>
    </row>
    <row r="2889" ht="22.5" customHeight="1">
      <c r="B2889" s="42" t="str">
        <f>IFERROR(__xludf.DUMMYFUNCTION("""COMPUTED_VALUE"""),"K/20/110325/3")</f>
        <v>K/20/110325/3</v>
      </c>
      <c r="C2889" s="42" t="str">
        <f>IFERROR(__xludf.DUMMYFUNCTION("""COMPUTED_VALUE"""),"Nibel. M. 19034/ Way Dadi Baru")</f>
        <v>Nibel. M. 19034/ Way Dadi Baru</v>
      </c>
      <c r="D2889" s="42"/>
      <c r="E2889" s="42"/>
      <c r="F2889" s="48" t="str">
        <f>IFERROR(__xludf.DUMMYFUNCTION("""COMPUTED_VALUE"""),"")</f>
        <v/>
      </c>
      <c r="G2889" s="42" t="str">
        <f>IFERROR(__xludf.DUMMYFUNCTION("""COMPUTED_VALUE"""),"BN Jual Beli")</f>
        <v>BN Jual Beli</v>
      </c>
      <c r="H2889" s="42">
        <f t="shared" si="1"/>
        <v>1361</v>
      </c>
    </row>
    <row r="2890" ht="22.5" customHeight="1">
      <c r="B2890" s="42" t="str">
        <f>IFERROR(__xludf.DUMMYFUNCTION("""COMPUTED_VALUE"""),"K/21/110325/4")</f>
        <v>K/21/110325/4</v>
      </c>
      <c r="C2890" s="42" t="str">
        <f>IFERROR(__xludf.DUMMYFUNCTION("""COMPUTED_VALUE"""),"Nibel. M. 19033/ Way Dadi Baru")</f>
        <v>Nibel. M. 19033/ Way Dadi Baru</v>
      </c>
      <c r="D2890" s="42"/>
      <c r="E2890" s="42"/>
      <c r="F2890" s="48" t="str">
        <f>IFERROR(__xludf.DUMMYFUNCTION("""COMPUTED_VALUE"""),"")</f>
        <v/>
      </c>
      <c r="G2890" s="42" t="str">
        <f>IFERROR(__xludf.DUMMYFUNCTION("""COMPUTED_VALUE"""),"BN Jual Beli")</f>
        <v>BN Jual Beli</v>
      </c>
      <c r="H2890" s="42">
        <f t="shared" si="1"/>
        <v>1361</v>
      </c>
    </row>
    <row r="2891" ht="22.5" customHeight="1">
      <c r="B2891" s="42" t="str">
        <f>IFERROR(__xludf.DUMMYFUNCTION("""COMPUTED_VALUE"""),"K/22/110325/1")</f>
        <v>K/22/110325/1</v>
      </c>
      <c r="C2891" s="42" t="str">
        <f>IFERROR(__xludf.DUMMYFUNCTION("""COMPUTED_VALUE"""),"M. 944/ SUKAMAJU")</f>
        <v>M. 944/ SUKAMAJU</v>
      </c>
      <c r="D2891" s="42"/>
      <c r="E2891" s="42"/>
      <c r="F2891" s="48" t="str">
        <f>IFERROR(__xludf.DUMMYFUNCTION("""COMPUTED_VALUE"""),"")</f>
        <v/>
      </c>
      <c r="G2891" s="42" t="str">
        <f>IFERROR(__xludf.DUMMYFUNCTION("""COMPUTED_VALUE"""),"CABUT BLOKIR")</f>
        <v>CABUT BLOKIR</v>
      </c>
      <c r="H2891" s="42">
        <f t="shared" si="1"/>
        <v>1361</v>
      </c>
    </row>
    <row r="2892" ht="22.5" customHeight="1">
      <c r="B2892" s="42" t="str">
        <f>IFERROR(__xludf.DUMMYFUNCTION("""COMPUTED_VALUE"""),"K/23/110325/1")</f>
        <v>K/23/110325/1</v>
      </c>
      <c r="C2892" s="42" t="str">
        <f>IFERROR(__xludf.DUMMYFUNCTION("""COMPUTED_VALUE"""),"NIBEL M 17277, M 17347, M 17662/LABUHAN DALAM")</f>
        <v>NIBEL M 17277, M 17347, M 17662/LABUHAN DALAM</v>
      </c>
      <c r="D2892" s="42"/>
      <c r="E2892" s="42"/>
      <c r="F2892" s="48" t="str">
        <f>IFERROR(__xludf.DUMMYFUNCTION("""COMPUTED_VALUE"""),"")</f>
        <v/>
      </c>
      <c r="G2892" s="42" t="str">
        <f>IFERROR(__xludf.DUMMYFUNCTION("""COMPUTED_VALUE"""),"PENGGABUNGAN")</f>
        <v>PENGGABUNGAN</v>
      </c>
      <c r="H2892" s="42">
        <f t="shared" si="1"/>
        <v>1361</v>
      </c>
    </row>
    <row r="2893" ht="22.5" customHeight="1">
      <c r="B2893" s="42" t="str">
        <f>IFERROR(__xludf.DUMMYFUNCTION("""COMPUTED_VALUE"""),"L/24/110325/1")</f>
        <v>L/24/110325/1</v>
      </c>
      <c r="C2893" s="42" t="str">
        <f>IFERROR(__xludf.DUMMYFUNCTION("""COMPUTED_VALUE"""),"HM 330/PERWATA")</f>
        <v>HM 330/PERWATA</v>
      </c>
      <c r="D2893" s="42"/>
      <c r="E2893" s="42"/>
      <c r="F2893" s="48" t="str">
        <f>IFERROR(__xludf.DUMMYFUNCTION("""COMPUTED_VALUE"""),"")</f>
        <v/>
      </c>
      <c r="G2893" s="42" t="str">
        <f>IFERROR(__xludf.DUMMYFUNCTION("""COMPUTED_VALUE"""),"SERTIPIKAT HILANG")</f>
        <v>SERTIPIKAT HILANG</v>
      </c>
      <c r="H2893" s="42">
        <f t="shared" si="1"/>
        <v>1361</v>
      </c>
    </row>
    <row r="2894" ht="22.5" customHeight="1">
      <c r="B2894" s="42" t="str">
        <f>IFERROR(__xludf.DUMMYFUNCTION("""COMPUTED_VALUE"""),"L/25/110325/1")</f>
        <v>L/25/110325/1</v>
      </c>
      <c r="C2894" s="42" t="str">
        <f>IFERROR(__xludf.DUMMYFUNCTION("""COMPUTED_VALUE"""),"HM 323/SUMBEREJO S")</f>
        <v>HM 323/SUMBEREJO S</v>
      </c>
      <c r="D2894" s="42"/>
      <c r="E2894" s="42" t="str">
        <f>IFERROR(__xludf.DUMMYFUNCTION("""COMPUTED_VALUE"""),"DISERAHKAN")</f>
        <v>DISERAHKAN</v>
      </c>
      <c r="F2894" s="48">
        <f>IFERROR(__xludf.DUMMYFUNCTION("""COMPUTED_VALUE"""),45771.3942968287)</f>
        <v>45771.3943</v>
      </c>
      <c r="G2894" s="42" t="str">
        <f>IFERROR(__xludf.DUMMYFUNCTION("""COMPUTED_VALUE"""),"ROYA")</f>
        <v>ROYA</v>
      </c>
      <c r="H2894" s="42">
        <f t="shared" si="1"/>
        <v>1362</v>
      </c>
    </row>
    <row r="2895" ht="22.5" customHeight="1">
      <c r="B2895" s="42" t="str">
        <f>IFERROR(__xludf.DUMMYFUNCTION("""COMPUTED_VALUE"""),"K/26/110325/1")</f>
        <v>K/26/110325/1</v>
      </c>
      <c r="C2895" s="42" t="str">
        <f>IFERROR(__xludf.DUMMYFUNCTION("""COMPUTED_VALUE"""),"M. 1117/ Korpri Jaya")</f>
        <v>M. 1117/ Korpri Jaya</v>
      </c>
      <c r="D2895" s="42"/>
      <c r="E2895" s="42"/>
      <c r="F2895" s="48" t="str">
        <f>IFERROR(__xludf.DUMMYFUNCTION("""COMPUTED_VALUE"""),"")</f>
        <v/>
      </c>
      <c r="G2895" s="42" t="str">
        <f>IFERROR(__xludf.DUMMYFUNCTION("""COMPUTED_VALUE"""),"PEMECAHAN BIDANG")</f>
        <v>PEMECAHAN BIDANG</v>
      </c>
      <c r="H2895" s="42">
        <f t="shared" si="1"/>
        <v>1362</v>
      </c>
    </row>
    <row r="2896" ht="22.5" customHeight="1">
      <c r="B2896" s="42" t="str">
        <f>IFERROR(__xludf.DUMMYFUNCTION("""COMPUTED_VALUE"""),"K/27/110325/1")</f>
        <v>K/27/110325/1</v>
      </c>
      <c r="C2896" s="42" t="str">
        <f>IFERROR(__xludf.DUMMYFUNCTION("""COMPUTED_VALUE"""),"M. 306/ Kuapang Raya")</f>
        <v>M. 306/ Kuapang Raya</v>
      </c>
      <c r="D2896" s="42"/>
      <c r="E2896" s="42" t="str">
        <f>IFERROR(__xludf.DUMMYFUNCTION("""COMPUTED_VALUE"""),"DISERAHKAN")</f>
        <v>DISERAHKAN</v>
      </c>
      <c r="F2896" s="48">
        <f>IFERROR(__xludf.DUMMYFUNCTION("""COMPUTED_VALUE"""),45743.4354909838)</f>
        <v>45743.43549</v>
      </c>
      <c r="G2896" s="42" t="str">
        <f>IFERROR(__xludf.DUMMYFUNCTION("""COMPUTED_VALUE"""),"BN Jual Beli")</f>
        <v>BN Jual Beli</v>
      </c>
      <c r="H2896" s="42">
        <f t="shared" si="1"/>
        <v>1363</v>
      </c>
    </row>
    <row r="2897" ht="22.5" customHeight="1">
      <c r="B2897" s="42" t="str">
        <f>IFERROR(__xludf.DUMMYFUNCTION("""COMPUTED_VALUE"""),"L/28/110325/1")</f>
        <v>L/28/110325/1</v>
      </c>
      <c r="C2897" s="42" t="str">
        <f>IFERROR(__xludf.DUMMYFUNCTION("""COMPUTED_VALUE"""),"HGB 94/GUNUNG SULAH")</f>
        <v>HGB 94/GUNUNG SULAH</v>
      </c>
      <c r="D2897" s="42"/>
      <c r="E2897" s="42"/>
      <c r="F2897" s="48" t="str">
        <f>IFERROR(__xludf.DUMMYFUNCTION("""COMPUTED_VALUE"""),"")</f>
        <v/>
      </c>
      <c r="G2897" s="42" t="str">
        <f>IFERROR(__xludf.DUMMYFUNCTION("""COMPUTED_VALUE"""),"PERMOHONAN SK")</f>
        <v>PERMOHONAN SK</v>
      </c>
      <c r="H2897" s="42">
        <f t="shared" si="1"/>
        <v>1363</v>
      </c>
    </row>
    <row r="2898" ht="22.5" customHeight="1">
      <c r="B2898" s="42" t="str">
        <f>IFERROR(__xludf.DUMMYFUNCTION("""COMPUTED_VALUE"""),"K/29/110325/1")</f>
        <v>K/29/110325/1</v>
      </c>
      <c r="C2898" s="42" t="str">
        <f>IFERROR(__xludf.DUMMYFUNCTION("""COMPUTED_VALUE"""),"Nibel 2307/ Tanjung Senang")</f>
        <v>Nibel 2307/ Tanjung Senang</v>
      </c>
      <c r="D2898" s="42"/>
      <c r="E2898" s="42"/>
      <c r="F2898" s="48" t="str">
        <f>IFERROR(__xludf.DUMMYFUNCTION("""COMPUTED_VALUE"""),"")</f>
        <v/>
      </c>
      <c r="G2898" s="42" t="str">
        <f>IFERROR(__xludf.DUMMYFUNCTION("""COMPUTED_VALUE"""),"BN JUAL BELI")</f>
        <v>BN JUAL BELI</v>
      </c>
      <c r="H2898" s="42">
        <f t="shared" si="1"/>
        <v>1363</v>
      </c>
    </row>
    <row r="2899" ht="22.5" customHeight="1">
      <c r="B2899" s="42" t="str">
        <f>IFERROR(__xludf.DUMMYFUNCTION("""COMPUTED_VALUE"""),"K/30/110325/2")</f>
        <v>K/30/110325/2</v>
      </c>
      <c r="C2899" s="42" t="str">
        <f>IFERROR(__xludf.DUMMYFUNCTION("""COMPUTED_VALUE"""),"Nibel 18232/ Sumberrejo sejahtera")</f>
        <v>Nibel 18232/ Sumberrejo sejahtera</v>
      </c>
      <c r="D2899" s="42"/>
      <c r="E2899" s="42"/>
      <c r="F2899" s="48" t="str">
        <f>IFERROR(__xludf.DUMMYFUNCTION("""COMPUTED_VALUE"""),"")</f>
        <v/>
      </c>
      <c r="G2899" s="42" t="str">
        <f>IFERROR(__xludf.DUMMYFUNCTION("""COMPUTED_VALUE"""),"BN JUAL BELI")</f>
        <v>BN JUAL BELI</v>
      </c>
      <c r="H2899" s="42">
        <f t="shared" si="1"/>
        <v>1363</v>
      </c>
    </row>
    <row r="2900" ht="22.5" customHeight="1">
      <c r="B2900" s="42" t="str">
        <f>IFERROR(__xludf.DUMMYFUNCTION("""COMPUTED_VALUE"""),"K/31/110325/3")</f>
        <v>K/31/110325/3</v>
      </c>
      <c r="C2900" s="42" t="str">
        <f>IFERROR(__xludf.DUMMYFUNCTION("""COMPUTED_VALUE"""),"Nibel 2311/ Tanjung seneng")</f>
        <v>Nibel 2311/ Tanjung seneng</v>
      </c>
      <c r="D2900" s="42"/>
      <c r="E2900" s="42"/>
      <c r="F2900" s="48" t="str">
        <f>IFERROR(__xludf.DUMMYFUNCTION("""COMPUTED_VALUE"""),"")</f>
        <v/>
      </c>
      <c r="G2900" s="42" t="str">
        <f>IFERROR(__xludf.DUMMYFUNCTION("""COMPUTED_VALUE"""),"BN JUAL BELI")</f>
        <v>BN JUAL BELI</v>
      </c>
      <c r="H2900" s="42">
        <f t="shared" si="1"/>
        <v>1363</v>
      </c>
    </row>
    <row r="2901" ht="22.5" customHeight="1">
      <c r="B2901" s="42" t="str">
        <f>IFERROR(__xludf.DUMMYFUNCTION("""COMPUTED_VALUE"""),"K/32/110325/1")</f>
        <v>K/32/110325/1</v>
      </c>
      <c r="C2901" s="42" t="str">
        <f>IFERROR(__xludf.DUMMYFUNCTION("""COMPUTED_VALUE"""),"M. 2714/SUMBEREJO")</f>
        <v>M. 2714/SUMBEREJO</v>
      </c>
      <c r="D2901" s="42"/>
      <c r="E2901" s="42" t="str">
        <f>IFERROR(__xludf.DUMMYFUNCTION("""COMPUTED_VALUE"""),"DISERAHKAN")</f>
        <v>DISERAHKAN</v>
      </c>
      <c r="F2901" s="48">
        <f>IFERROR(__xludf.DUMMYFUNCTION("""COMPUTED_VALUE"""),45733.613026817126)</f>
        <v>45733.61303</v>
      </c>
      <c r="G2901" s="42" t="str">
        <f>IFERROR(__xludf.DUMMYFUNCTION("""COMPUTED_VALUE"""),"BN JUAL BELI")</f>
        <v>BN JUAL BELI</v>
      </c>
      <c r="H2901" s="42">
        <f t="shared" si="1"/>
        <v>1364</v>
      </c>
    </row>
    <row r="2902" ht="22.5" customHeight="1">
      <c r="B2902" s="42" t="str">
        <f>IFERROR(__xludf.DUMMYFUNCTION("""COMPUTED_VALUE"""),"K/33/110325/2")</f>
        <v>K/33/110325/2</v>
      </c>
      <c r="C2902" s="42" t="str">
        <f>IFERROR(__xludf.DUMMYFUNCTION("""COMPUTED_VALUE"""),"M. 920/SUMBEREJO SEJAHTERA")</f>
        <v>M. 920/SUMBEREJO SEJAHTERA</v>
      </c>
      <c r="D2902" s="42"/>
      <c r="E2902" s="42" t="str">
        <f>IFERROR(__xludf.DUMMYFUNCTION("""COMPUTED_VALUE"""),"DISERAHKAN")</f>
        <v>DISERAHKAN</v>
      </c>
      <c r="F2902" s="48">
        <f>IFERROR(__xludf.DUMMYFUNCTION("""COMPUTED_VALUE"""),45733.61273756945)</f>
        <v>45733.61274</v>
      </c>
      <c r="G2902" s="42" t="str">
        <f>IFERROR(__xludf.DUMMYFUNCTION("""COMPUTED_VALUE"""),"BN JUAL BELI")</f>
        <v>BN JUAL BELI</v>
      </c>
      <c r="H2902" s="42">
        <f t="shared" si="1"/>
        <v>1365</v>
      </c>
    </row>
    <row r="2903" ht="22.5" customHeight="1">
      <c r="B2903" s="42" t="str">
        <f>IFERROR(__xludf.DUMMYFUNCTION("""COMPUTED_VALUE"""),"L/34/110325/1")</f>
        <v>L/34/110325/1</v>
      </c>
      <c r="C2903" s="42" t="str">
        <f>IFERROR(__xludf.DUMMYFUNCTION("""COMPUTED_VALUE"""),"HM 4190/BERINGIN RAYA")</f>
        <v>HM 4190/BERINGIN RAYA</v>
      </c>
      <c r="D2903" s="42"/>
      <c r="E2903" s="42" t="str">
        <f>IFERROR(__xludf.DUMMYFUNCTION("""COMPUTED_VALUE"""),"DISERAHKAN")</f>
        <v>DISERAHKAN</v>
      </c>
      <c r="F2903" s="48">
        <f>IFERROR(__xludf.DUMMYFUNCTION("""COMPUTED_VALUE"""),45742.613108171296)</f>
        <v>45742.61311</v>
      </c>
      <c r="G2903" s="42" t="str">
        <f>IFERROR(__xludf.DUMMYFUNCTION("""COMPUTED_VALUE"""),"ROYA")</f>
        <v>ROYA</v>
      </c>
      <c r="H2903" s="42">
        <f t="shared" si="1"/>
        <v>1366</v>
      </c>
    </row>
    <row r="2904" ht="22.5" customHeight="1">
      <c r="B2904" s="42" t="str">
        <f>IFERROR(__xludf.DUMMYFUNCTION("""COMPUTED_VALUE"""),"L/35/110325/1")</f>
        <v>L/35/110325/1</v>
      </c>
      <c r="C2904" s="42" t="str">
        <f>IFERROR(__xludf.DUMMYFUNCTION("""COMPUTED_VALUE"""),"HM 2014/GEDONG AIR")</f>
        <v>HM 2014/GEDONG AIR</v>
      </c>
      <c r="D2904" s="42" t="str">
        <f>IFERROR(__xludf.DUMMYFUNCTION("""COMPUTED_VALUE"""),"Berry")</f>
        <v>Berry</v>
      </c>
      <c r="E2904" s="42" t="str">
        <f>IFERROR(__xludf.DUMMYFUNCTION("""COMPUTED_VALUE"""),"DISERAHKAN")</f>
        <v>DISERAHKAN</v>
      </c>
      <c r="F2904" s="48">
        <f>IFERROR(__xludf.DUMMYFUNCTION("""COMPUTED_VALUE"""),45799.51845766204)</f>
        <v>45799.51846</v>
      </c>
      <c r="G2904" s="42" t="str">
        <f>IFERROR(__xludf.DUMMYFUNCTION("""COMPUTED_VALUE"""),"ROYA")</f>
        <v>ROYA</v>
      </c>
      <c r="H2904" s="42">
        <f t="shared" si="1"/>
        <v>1367</v>
      </c>
    </row>
    <row r="2905" ht="22.5" customHeight="1">
      <c r="B2905" s="42" t="str">
        <f>IFERROR(__xludf.DUMMYFUNCTION("""COMPUTED_VALUE"""),"K/36/110325/1")</f>
        <v>K/36/110325/1</v>
      </c>
      <c r="C2905" s="42" t="str">
        <f>IFERROR(__xludf.DUMMYFUNCTION("""COMPUTED_VALUE"""),"M. 1901/ Rajabasa Jaya")</f>
        <v>M. 1901/ Rajabasa Jaya</v>
      </c>
      <c r="D2905" s="42"/>
      <c r="E2905" s="42" t="str">
        <f>IFERROR(__xludf.DUMMYFUNCTION("""COMPUTED_VALUE"""),"DISERAHKAN")</f>
        <v>DISERAHKAN</v>
      </c>
      <c r="F2905" s="48">
        <f>IFERROR(__xludf.DUMMYFUNCTION("""COMPUTED_VALUE"""),45736.60353806713)</f>
        <v>45736.60354</v>
      </c>
      <c r="G2905" s="42" t="str">
        <f>IFERROR(__xludf.DUMMYFUNCTION("""COMPUTED_VALUE"""),"BN JUAL BELI")</f>
        <v>BN JUAL BELI</v>
      </c>
      <c r="H2905" s="42">
        <f t="shared" si="1"/>
        <v>1368</v>
      </c>
    </row>
    <row r="2906" ht="22.5" customHeight="1">
      <c r="B2906" s="42" t="str">
        <f>IFERROR(__xludf.DUMMYFUNCTION("""COMPUTED_VALUE"""),"K/37/110325/2")</f>
        <v>K/37/110325/2</v>
      </c>
      <c r="C2906" s="42" t="str">
        <f>IFERROR(__xludf.DUMMYFUNCTION("""COMPUTED_VALUE"""),"M. 2283/ Sepang Jaya")</f>
        <v>M. 2283/ Sepang Jaya</v>
      </c>
      <c r="D2906" s="42"/>
      <c r="E2906" s="42" t="str">
        <f>IFERROR(__xludf.DUMMYFUNCTION("""COMPUTED_VALUE"""),"DISERAHKAN")</f>
        <v>DISERAHKAN</v>
      </c>
      <c r="F2906" s="48">
        <f>IFERROR(__xludf.DUMMYFUNCTION("""COMPUTED_VALUE"""),45736.607138611114)</f>
        <v>45736.60714</v>
      </c>
      <c r="G2906" s="42" t="str">
        <f>IFERROR(__xludf.DUMMYFUNCTION("""COMPUTED_VALUE"""),"BN JUAL BELI")</f>
        <v>BN JUAL BELI</v>
      </c>
      <c r="H2906" s="42">
        <f t="shared" si="1"/>
        <v>1369</v>
      </c>
    </row>
    <row r="2907" ht="22.5" customHeight="1">
      <c r="B2907" s="42" t="str">
        <f>IFERROR(__xludf.DUMMYFUNCTION("""COMPUTED_VALUE"""),"K/38/110325/3")</f>
        <v>K/38/110325/3</v>
      </c>
      <c r="C2907" s="42" t="str">
        <f>IFERROR(__xludf.DUMMYFUNCTION("""COMPUTED_VALUE"""),"M. 15777/ Sukarame")</f>
        <v>M. 15777/ Sukarame</v>
      </c>
      <c r="D2907" s="42"/>
      <c r="E2907" s="42" t="str">
        <f>IFERROR(__xludf.DUMMYFUNCTION("""COMPUTED_VALUE"""),"DISERAHKAN")</f>
        <v>DISERAHKAN</v>
      </c>
      <c r="F2907" s="48">
        <f>IFERROR(__xludf.DUMMYFUNCTION("""COMPUTED_VALUE"""),45743.438215243055)</f>
        <v>45743.43822</v>
      </c>
      <c r="G2907" s="42" t="str">
        <f>IFERROR(__xludf.DUMMYFUNCTION("""COMPUTED_VALUE"""),"BN JUAL BELI")</f>
        <v>BN JUAL BELI</v>
      </c>
      <c r="H2907" s="42">
        <f t="shared" si="1"/>
        <v>1370</v>
      </c>
    </row>
    <row r="2908" ht="22.5" customHeight="1">
      <c r="B2908" s="42" t="str">
        <f>IFERROR(__xludf.DUMMYFUNCTION("""COMPUTED_VALUE"""),"K/39/110325/1")</f>
        <v>K/39/110325/1</v>
      </c>
      <c r="C2908" s="42" t="str">
        <f>IFERROR(__xludf.DUMMYFUNCTION("""COMPUTED_VALUE"""),"B. 26/ Gunung Mas")</f>
        <v>B. 26/ Gunung Mas</v>
      </c>
      <c r="D2908" s="42"/>
      <c r="E2908" s="42"/>
      <c r="F2908" s="48" t="str">
        <f>IFERROR(__xludf.DUMMYFUNCTION("""COMPUTED_VALUE"""),"")</f>
        <v/>
      </c>
      <c r="G2908" s="42" t="str">
        <f>IFERROR(__xludf.DUMMYFUNCTION("""COMPUTED_VALUE"""),"Roya")</f>
        <v>Roya</v>
      </c>
      <c r="H2908" s="42">
        <f t="shared" si="1"/>
        <v>1370</v>
      </c>
    </row>
    <row r="2909" ht="22.5" customHeight="1">
      <c r="B2909" s="42" t="str">
        <f>IFERROR(__xludf.DUMMYFUNCTION("""COMPUTED_VALUE"""),"K/40/110325/1")</f>
        <v>K/40/110325/1</v>
      </c>
      <c r="C2909" s="42" t="str">
        <f>IFERROR(__xludf.DUMMYFUNCTION("""COMPUTED_VALUE"""),"M. 9783/SUKAMENANTI BARU")</f>
        <v>M. 9783/SUKAMENANTI BARU</v>
      </c>
      <c r="D2909" s="42"/>
      <c r="E2909" s="42"/>
      <c r="F2909" s="48" t="str">
        <f>IFERROR(__xludf.DUMMYFUNCTION("""COMPUTED_VALUE"""),"")</f>
        <v/>
      </c>
      <c r="G2909" s="42" t="str">
        <f>IFERROR(__xludf.DUMMYFUNCTION("""COMPUTED_VALUE"""),"PTPGT")</f>
        <v>PTPGT</v>
      </c>
      <c r="H2909" s="42">
        <f t="shared" si="1"/>
        <v>1370</v>
      </c>
    </row>
    <row r="2910" ht="22.5" customHeight="1">
      <c r="B2910" s="42" t="str">
        <f>IFERROR(__xludf.DUMMYFUNCTION("""COMPUTED_VALUE"""),"K/41/110325/1")</f>
        <v>K/41/110325/1</v>
      </c>
      <c r="C2910" s="42" t="str">
        <f>IFERROR(__xludf.DUMMYFUNCTION("""COMPUTED_VALUE"""),"B.3603/BERINGIN RAYA ")</f>
        <v>B.3603/BERINGIN RAYA </v>
      </c>
      <c r="D2910" s="42"/>
      <c r="E2910" s="42"/>
      <c r="F2910" s="48" t="str">
        <f>IFERROR(__xludf.DUMMYFUNCTION("""COMPUTED_VALUE"""),"")</f>
        <v/>
      </c>
      <c r="G2910" s="42" t="str">
        <f>IFERROR(__xludf.DUMMYFUNCTION("""COMPUTED_VALUE"""),"PENINGKATAN ")</f>
        <v>PENINGKATAN </v>
      </c>
      <c r="H2910" s="42">
        <f t="shared" si="1"/>
        <v>1370</v>
      </c>
    </row>
    <row r="2911" ht="22.5" customHeight="1">
      <c r="B2911" s="42" t="str">
        <f>IFERROR(__xludf.DUMMYFUNCTION("""COMPUTED_VALUE"""),"K/42/110325/2")</f>
        <v>K/42/110325/2</v>
      </c>
      <c r="C2911" s="42" t="str">
        <f>IFERROR(__xludf.DUMMYFUNCTION("""COMPUTED_VALUE"""),"B. 758/SUMUR PUTRI")</f>
        <v>B. 758/SUMUR PUTRI</v>
      </c>
      <c r="D2911" s="42"/>
      <c r="E2911" s="42" t="str">
        <f>IFERROR(__xludf.DUMMYFUNCTION("""COMPUTED_VALUE"""),"DISERAHKAN")</f>
        <v>DISERAHKAN</v>
      </c>
      <c r="F2911" s="48">
        <f>IFERROR(__xludf.DUMMYFUNCTION("""COMPUTED_VALUE"""),45743.43505950231)</f>
        <v>45743.43506</v>
      </c>
      <c r="G2911" s="42" t="str">
        <f>IFERROR(__xludf.DUMMYFUNCTION("""COMPUTED_VALUE"""),"BN JUAL BELI")</f>
        <v>BN JUAL BELI</v>
      </c>
      <c r="H2911" s="42">
        <f t="shared" si="1"/>
        <v>1371</v>
      </c>
    </row>
    <row r="2912" ht="22.5" customHeight="1">
      <c r="B2912" s="42" t="str">
        <f>IFERROR(__xludf.DUMMYFUNCTION("""COMPUTED_VALUE"""),"K/44/110325/2")</f>
        <v>K/44/110325/2</v>
      </c>
      <c r="C2912" s="42" t="str">
        <f>IFERROR(__xludf.DUMMYFUNCTION("""COMPUTED_VALUE"""),"M. 4935/ Sukadana Ham")</f>
        <v>M. 4935/ Sukadana Ham</v>
      </c>
      <c r="D2912" s="42"/>
      <c r="E2912" s="42" t="str">
        <f>IFERROR(__xludf.DUMMYFUNCTION("""COMPUTED_VALUE"""),"DISERAHKAN")</f>
        <v>DISERAHKAN</v>
      </c>
      <c r="F2912" s="48">
        <f>IFERROR(__xludf.DUMMYFUNCTION("""COMPUTED_VALUE"""),45733.611433541664)</f>
        <v>45733.61143</v>
      </c>
      <c r="G2912" s="42" t="str">
        <f>IFERROR(__xludf.DUMMYFUNCTION("""COMPUTED_VALUE"""),"Bn Jual Beli")</f>
        <v>Bn Jual Beli</v>
      </c>
      <c r="H2912" s="42">
        <f t="shared" si="1"/>
        <v>1372</v>
      </c>
    </row>
    <row r="2913" ht="22.5" customHeight="1">
      <c r="B2913" s="42" t="str">
        <f>IFERROR(__xludf.DUMMYFUNCTION("""COMPUTED_VALUE"""),"K/45/110325/1")</f>
        <v>K/45/110325/1</v>
      </c>
      <c r="C2913" s="42" t="str">
        <f>IFERROR(__xludf.DUMMYFUNCTION("""COMPUTED_VALUE"""),"Nibel. B. 17580/ Bumi Waras")</f>
        <v>Nibel. B. 17580/ Bumi Waras</v>
      </c>
      <c r="D2913" s="42"/>
      <c r="E2913" s="42"/>
      <c r="F2913" s="48" t="str">
        <f>IFERROR(__xludf.DUMMYFUNCTION("""COMPUTED_VALUE"""),"")</f>
        <v/>
      </c>
      <c r="G2913" s="42" t="str">
        <f>IFERROR(__xludf.DUMMYFUNCTION("""COMPUTED_VALUE"""),"Perubahan Hak")</f>
        <v>Perubahan Hak</v>
      </c>
      <c r="H2913" s="42">
        <f t="shared" si="1"/>
        <v>1372</v>
      </c>
    </row>
    <row r="2914" ht="22.5" customHeight="1">
      <c r="B2914" s="42" t="str">
        <f>IFERROR(__xludf.DUMMYFUNCTION("""COMPUTED_VALUE"""),"K/43/110325/1")</f>
        <v>K/43/110325/1</v>
      </c>
      <c r="C2914" s="42" t="str">
        <f>IFERROR(__xludf.DUMMYFUNCTION("""COMPUTED_VALUE"""),"M.1461/RAJABASA NUNYAI")</f>
        <v>M.1461/RAJABASA NUNYAI</v>
      </c>
      <c r="D2914" s="42"/>
      <c r="E2914" s="42"/>
      <c r="F2914" s="48" t="str">
        <f>IFERROR(__xludf.DUMMYFUNCTION("""COMPUTED_VALUE"""),"")</f>
        <v/>
      </c>
      <c r="G2914" s="42" t="str">
        <f>IFERROR(__xludf.DUMMYFUNCTION("""COMPUTED_VALUE"""),"JUAL BELI")</f>
        <v>JUAL BELI</v>
      </c>
      <c r="H2914" s="42">
        <f t="shared" si="1"/>
        <v>1372</v>
      </c>
    </row>
    <row r="2915" ht="22.5" customHeight="1">
      <c r="B2915" s="42" t="str">
        <f>IFERROR(__xludf.DUMMYFUNCTION("""COMPUTED_VALUE"""),"K/47/110325/2")</f>
        <v>K/47/110325/2</v>
      </c>
      <c r="C2915" s="42" t="str">
        <f>IFERROR(__xludf.DUMMYFUNCTION("""COMPUTED_VALUE"""),"NIBEL M.12402/SIDODADI")</f>
        <v>NIBEL M.12402/SIDODADI</v>
      </c>
      <c r="D2915" s="42"/>
      <c r="E2915" s="42"/>
      <c r="F2915" s="48" t="str">
        <f>IFERROR(__xludf.DUMMYFUNCTION("""COMPUTED_VALUE"""),"")</f>
        <v/>
      </c>
      <c r="G2915" s="42" t="str">
        <f>IFERROR(__xludf.DUMMYFUNCTION("""COMPUTED_VALUE"""),"JUAL BELI")</f>
        <v>JUAL BELI</v>
      </c>
      <c r="H2915" s="42">
        <f t="shared" si="1"/>
        <v>1372</v>
      </c>
    </row>
    <row r="2916" ht="22.5" customHeight="1">
      <c r="B2916" s="42" t="str">
        <f>IFERROR(__xludf.DUMMYFUNCTION("""COMPUTED_VALUE"""),"L/49/110325/1")</f>
        <v>L/49/110325/1</v>
      </c>
      <c r="C2916" s="42" t="str">
        <f>IFERROR(__xludf.DUMMYFUNCTION("""COMPUTED_VALUE"""),"HM 1209/PWH")</f>
        <v>HM 1209/PWH</v>
      </c>
      <c r="D2916" s="42"/>
      <c r="E2916" s="42"/>
      <c r="F2916" s="48" t="str">
        <f>IFERROR(__xludf.DUMMYFUNCTION("""COMPUTED_VALUE"""),"")</f>
        <v/>
      </c>
      <c r="G2916" s="42" t="str">
        <f>IFERROR(__xludf.DUMMYFUNCTION("""COMPUTED_VALUE"""),"ROYA")</f>
        <v>ROYA</v>
      </c>
      <c r="H2916" s="42">
        <f t="shared" si="1"/>
        <v>1372</v>
      </c>
    </row>
    <row r="2917" ht="22.5" customHeight="1">
      <c r="B2917" s="42" t="str">
        <f>IFERROR(__xludf.DUMMYFUNCTION("""COMPUTED_VALUE"""),"K/48/110325/3")</f>
        <v>K/48/110325/3</v>
      </c>
      <c r="C2917" s="42" t="str">
        <f>IFERROR(__xludf.DUMMYFUNCTION("""COMPUTED_VALUE"""),"NIBEL B.1754/BERINGIN RAYA")</f>
        <v>NIBEL B.1754/BERINGIN RAYA</v>
      </c>
      <c r="D2917" s="42"/>
      <c r="E2917" s="42"/>
      <c r="F2917" s="48" t="str">
        <f>IFERROR(__xludf.DUMMYFUNCTION("""COMPUTED_VALUE"""),"")</f>
        <v/>
      </c>
      <c r="G2917" s="42" t="str">
        <f>IFERROR(__xludf.DUMMYFUNCTION("""COMPUTED_VALUE"""),"JUAL BELI")</f>
        <v>JUAL BELI</v>
      </c>
      <c r="H2917" s="42">
        <f t="shared" si="1"/>
        <v>1372</v>
      </c>
    </row>
    <row r="2918" ht="22.5" customHeight="1">
      <c r="B2918" s="42" t="str">
        <f>IFERROR(__xludf.DUMMYFUNCTION("""COMPUTED_VALUE"""),"K/46/110325/1")</f>
        <v>K/46/110325/1</v>
      </c>
      <c r="C2918" s="42" t="str">
        <f>IFERROR(__xludf.DUMMYFUNCTION("""COMPUTED_VALUE"""),"M.676/LABUHAN DALAM")</f>
        <v>M.676/LABUHAN DALAM</v>
      </c>
      <c r="D2918" s="42"/>
      <c r="E2918" s="42" t="str">
        <f>IFERROR(__xludf.DUMMYFUNCTION("""COMPUTED_VALUE"""),"DISERAHKAN")</f>
        <v>DISERAHKAN</v>
      </c>
      <c r="F2918" s="48">
        <f>IFERROR(__xludf.DUMMYFUNCTION("""COMPUTED_VALUE"""),45743.439996284724)</f>
        <v>45743.44</v>
      </c>
      <c r="G2918" s="42" t="str">
        <f>IFERROR(__xludf.DUMMYFUNCTION("""COMPUTED_VALUE"""),"BN PENGADILAN")</f>
        <v>BN PENGADILAN</v>
      </c>
      <c r="H2918" s="42">
        <f t="shared" si="1"/>
        <v>1373</v>
      </c>
    </row>
    <row r="2919" ht="22.5" customHeight="1">
      <c r="B2919" s="42" t="str">
        <f>IFERROR(__xludf.DUMMYFUNCTION("""COMPUTED_VALUE"""),"K/50/110325/1")</f>
        <v>K/50/110325/1</v>
      </c>
      <c r="C2919" s="42" t="str">
        <f>IFERROR(__xludf.DUMMYFUNCTION("""COMPUTED_VALUE"""),"M. 18093/ Kedaton")</f>
        <v>M. 18093/ Kedaton</v>
      </c>
      <c r="D2919" s="42"/>
      <c r="E2919" s="42" t="str">
        <f>IFERROR(__xludf.DUMMYFUNCTION("""COMPUTED_VALUE"""),"DISERAHKAN")</f>
        <v>DISERAHKAN</v>
      </c>
      <c r="F2919" s="48">
        <f>IFERROR(__xludf.DUMMYFUNCTION("""COMPUTED_VALUE"""),45743.443900625)</f>
        <v>45743.4439</v>
      </c>
      <c r="G2919" s="42" t="str">
        <f>IFERROR(__xludf.DUMMYFUNCTION("""COMPUTED_VALUE"""),"BN Waris")</f>
        <v>BN Waris</v>
      </c>
      <c r="H2919" s="42">
        <f t="shared" si="1"/>
        <v>1374</v>
      </c>
    </row>
    <row r="2920" ht="22.5" customHeight="1">
      <c r="B2920" s="42" t="str">
        <f>IFERROR(__xludf.DUMMYFUNCTION("""COMPUTED_VALUE"""),"K/51/110325/1")</f>
        <v>K/51/110325/1</v>
      </c>
      <c r="C2920" s="42" t="str">
        <f>IFERROR(__xludf.DUMMYFUNCTION("""COMPUTED_VALUE"""),"Nibel 17889/ Sumur Putri")</f>
        <v>Nibel 17889/ Sumur Putri</v>
      </c>
      <c r="D2920" s="42"/>
      <c r="E2920" s="42"/>
      <c r="F2920" s="48" t="str">
        <f>IFERROR(__xludf.DUMMYFUNCTION("""COMPUTED_VALUE"""),"")</f>
        <v/>
      </c>
      <c r="G2920" s="42" t="str">
        <f>IFERROR(__xludf.DUMMYFUNCTION("""COMPUTED_VALUE"""),"PERUBAHAN HAK")</f>
        <v>PERUBAHAN HAK</v>
      </c>
      <c r="H2920" s="42">
        <f t="shared" si="1"/>
        <v>1374</v>
      </c>
    </row>
    <row r="2921" ht="22.5" customHeight="1">
      <c r="B2921" s="42" t="str">
        <f>IFERROR(__xludf.DUMMYFUNCTION("""COMPUTED_VALUE"""),"K/52/110325/1")</f>
        <v>K/52/110325/1</v>
      </c>
      <c r="C2921" s="42" t="str">
        <f>IFERROR(__xludf.DUMMYFUNCTION("""COMPUTED_VALUE"""),"NIBEL B 412/KEMILING RAYA")</f>
        <v>NIBEL B 412/KEMILING RAYA</v>
      </c>
      <c r="D2921" s="42"/>
      <c r="E2921" s="42"/>
      <c r="F2921" s="48" t="str">
        <f>IFERROR(__xludf.DUMMYFUNCTION("""COMPUTED_VALUE"""),"")</f>
        <v/>
      </c>
      <c r="G2921" s="42" t="str">
        <f>IFERROR(__xludf.DUMMYFUNCTION("""COMPUTED_VALUE"""),"JUAL BELI")</f>
        <v>JUAL BELI</v>
      </c>
      <c r="H2921" s="42">
        <f t="shared" si="1"/>
        <v>1374</v>
      </c>
    </row>
    <row r="2922" ht="22.5" customHeight="1">
      <c r="B2922" s="42" t="str">
        <f>IFERROR(__xludf.DUMMYFUNCTION("""COMPUTED_VALUE"""),"L/1/120325/1")</f>
        <v>L/1/120325/1</v>
      </c>
      <c r="C2922" s="42" t="str">
        <f>IFERROR(__xludf.DUMMYFUNCTION("""COMPUTED_VALUE"""),"HM 14166/SEGALA MIDER")</f>
        <v>HM 14166/SEGALA MIDER</v>
      </c>
      <c r="D2922" s="42"/>
      <c r="E2922" s="42"/>
      <c r="F2922" s="48" t="str">
        <f>IFERROR(__xludf.DUMMYFUNCTION("""COMPUTED_VALUE"""),"")</f>
        <v/>
      </c>
      <c r="G2922" s="42" t="str">
        <f>IFERROR(__xludf.DUMMYFUNCTION("""COMPUTED_VALUE"""),"PEMECAHAN")</f>
        <v>PEMECAHAN</v>
      </c>
      <c r="H2922" s="42">
        <f t="shared" si="1"/>
        <v>1374</v>
      </c>
    </row>
    <row r="2923" ht="22.5" customHeight="1">
      <c r="B2923" s="42" t="str">
        <f>IFERROR(__xludf.DUMMYFUNCTION("""COMPUTED_VALUE"""),"K/2/120325/1")</f>
        <v>K/2/120325/1</v>
      </c>
      <c r="C2923" s="42" t="str">
        <f>IFERROR(__xludf.DUMMYFUNCTION("""COMPUTED_VALUE"""),"M.9955/KAMPUNG BARU")</f>
        <v>M.9955/KAMPUNG BARU</v>
      </c>
      <c r="D2923" s="42"/>
      <c r="E2923" s="42" t="str">
        <f>IFERROR(__xludf.DUMMYFUNCTION("""COMPUTED_VALUE"""),"DISERAHKAN")</f>
        <v>DISERAHKAN</v>
      </c>
      <c r="F2923" s="48">
        <f>IFERROR(__xludf.DUMMYFUNCTION("""COMPUTED_VALUE"""),45743.439529027775)</f>
        <v>45743.43953</v>
      </c>
      <c r="G2923" s="42" t="str">
        <f>IFERROR(__xludf.DUMMYFUNCTION("""COMPUTED_VALUE"""),"JUAL BELI")</f>
        <v>JUAL BELI</v>
      </c>
      <c r="H2923" s="42">
        <f t="shared" si="1"/>
        <v>1375</v>
      </c>
    </row>
    <row r="2924" ht="22.5" customHeight="1">
      <c r="B2924" s="42" t="str">
        <f>IFERROR(__xludf.DUMMYFUNCTION("""COMPUTED_VALUE"""),"K/3/120325/1")</f>
        <v>K/3/120325/1</v>
      </c>
      <c r="C2924" s="42" t="str">
        <f>IFERROR(__xludf.DUMMYFUNCTION("""COMPUTED_VALUE"""),"M. 1685/ Kupang Kota")</f>
        <v>M. 1685/ Kupang Kota</v>
      </c>
      <c r="D2924" s="42"/>
      <c r="E2924" s="42" t="str">
        <f>IFERROR(__xludf.DUMMYFUNCTION("""COMPUTED_VALUE"""),"DISERAHKAN")</f>
        <v>DISERAHKAN</v>
      </c>
      <c r="F2924" s="48">
        <f>IFERROR(__xludf.DUMMYFUNCTION("""COMPUTED_VALUE"""),45736.60326462963)</f>
        <v>45736.60326</v>
      </c>
      <c r="G2924" s="42" t="str">
        <f>IFERROR(__xludf.DUMMYFUNCTION("""COMPUTED_VALUE"""),"BN JUAL BELI")</f>
        <v>BN JUAL BELI</v>
      </c>
      <c r="H2924" s="42">
        <f t="shared" si="1"/>
        <v>1376</v>
      </c>
    </row>
    <row r="2925" ht="22.5" customHeight="1">
      <c r="B2925" s="42" t="str">
        <f>IFERROR(__xludf.DUMMYFUNCTION("""COMPUTED_VALUE"""),"K/10/120325/1")</f>
        <v>K/10/120325/1</v>
      </c>
      <c r="C2925" s="42" t="str">
        <f>IFERROR(__xludf.DUMMYFUNCTION("""COMPUTED_VALUE"""),"M.16693/SUKARAME ")</f>
        <v>M.16693/SUKARAME </v>
      </c>
      <c r="D2925" s="42"/>
      <c r="E2925" s="42" t="str">
        <f>IFERROR(__xludf.DUMMYFUNCTION("""COMPUTED_VALUE"""),"DISERAHKAN")</f>
        <v>DISERAHKAN</v>
      </c>
      <c r="F2925" s="48">
        <f>IFERROR(__xludf.DUMMYFUNCTION("""COMPUTED_VALUE"""),45769.600712280095)</f>
        <v>45769.60071</v>
      </c>
      <c r="G2925" s="42" t="str">
        <f>IFERROR(__xludf.DUMMYFUNCTION("""COMPUTED_VALUE"""),"ROYA")</f>
        <v>ROYA</v>
      </c>
      <c r="H2925" s="42">
        <f t="shared" si="1"/>
        <v>1377</v>
      </c>
    </row>
    <row r="2926" ht="22.5" customHeight="1">
      <c r="B2926" s="42" t="str">
        <f>IFERROR(__xludf.DUMMYFUNCTION("""COMPUTED_VALUE"""),"K/4/120325/1")</f>
        <v>K/4/120325/1</v>
      </c>
      <c r="C2926" s="42" t="str">
        <f>IFERROR(__xludf.DUMMYFUNCTION("""COMPUTED_VALUE"""),"Nibel. M. 16231/ Sukamaju")</f>
        <v>Nibel. M. 16231/ Sukamaju</v>
      </c>
      <c r="D2926" s="42"/>
      <c r="E2926" s="42"/>
      <c r="F2926" s="48" t="str">
        <f>IFERROR(__xludf.DUMMYFUNCTION("""COMPUTED_VALUE"""),"")</f>
        <v/>
      </c>
      <c r="G2926" s="42" t="str">
        <f>IFERROR(__xludf.DUMMYFUNCTION("""COMPUTED_VALUE"""),"BN Jual Beli")</f>
        <v>BN Jual Beli</v>
      </c>
      <c r="H2926" s="42">
        <f t="shared" si="1"/>
        <v>1377</v>
      </c>
    </row>
    <row r="2927" ht="22.5" customHeight="1">
      <c r="B2927" s="42" t="str">
        <f>IFERROR(__xludf.DUMMYFUNCTION("""COMPUTED_VALUE"""),"K/5/120325/2")</f>
        <v>K/5/120325/2</v>
      </c>
      <c r="C2927" s="42" t="str">
        <f>IFERROR(__xludf.DUMMYFUNCTION("""COMPUTED_VALUE"""),"Nibel. M. 16229/ Sukamaju")</f>
        <v>Nibel. M. 16229/ Sukamaju</v>
      </c>
      <c r="D2927" s="42"/>
      <c r="E2927" s="42"/>
      <c r="F2927" s="48" t="str">
        <f>IFERROR(__xludf.DUMMYFUNCTION("""COMPUTED_VALUE"""),"")</f>
        <v/>
      </c>
      <c r="G2927" s="42" t="str">
        <f>IFERROR(__xludf.DUMMYFUNCTION("""COMPUTED_VALUE"""),"BN Jual Beli")</f>
        <v>BN Jual Beli</v>
      </c>
      <c r="H2927" s="42">
        <f t="shared" si="1"/>
        <v>1377</v>
      </c>
    </row>
    <row r="2928" ht="22.5" customHeight="1">
      <c r="B2928" s="42" t="str">
        <f>IFERROR(__xludf.DUMMYFUNCTION("""COMPUTED_VALUE"""),"K/6/120325/3")</f>
        <v>K/6/120325/3</v>
      </c>
      <c r="C2928" s="42" t="str">
        <f>IFERROR(__xludf.DUMMYFUNCTION("""COMPUTED_VALUE"""),"Nibel. M. 16217/ Sukamaju")</f>
        <v>Nibel. M. 16217/ Sukamaju</v>
      </c>
      <c r="D2928" s="42"/>
      <c r="E2928" s="42"/>
      <c r="F2928" s="48" t="str">
        <f>IFERROR(__xludf.DUMMYFUNCTION("""COMPUTED_VALUE"""),"")</f>
        <v/>
      </c>
      <c r="G2928" s="42" t="str">
        <f>IFERROR(__xludf.DUMMYFUNCTION("""COMPUTED_VALUE"""),"BN Jual Beli")</f>
        <v>BN Jual Beli</v>
      </c>
      <c r="H2928" s="42">
        <f t="shared" si="1"/>
        <v>1377</v>
      </c>
    </row>
    <row r="2929" ht="22.5" customHeight="1">
      <c r="B2929" s="42" t="str">
        <f>IFERROR(__xludf.DUMMYFUNCTION("""COMPUTED_VALUE"""),"K/7/120325/4")</f>
        <v>K/7/120325/4</v>
      </c>
      <c r="C2929" s="42" t="str">
        <f>IFERROR(__xludf.DUMMYFUNCTION("""COMPUTED_VALUE"""),"Nibel. M. 16215/ Sukamaju")</f>
        <v>Nibel. M. 16215/ Sukamaju</v>
      </c>
      <c r="D2929" s="42"/>
      <c r="E2929" s="42"/>
      <c r="F2929" s="48" t="str">
        <f>IFERROR(__xludf.DUMMYFUNCTION("""COMPUTED_VALUE"""),"")</f>
        <v/>
      </c>
      <c r="G2929" s="42" t="str">
        <f>IFERROR(__xludf.DUMMYFUNCTION("""COMPUTED_VALUE"""),"BN Jual Beli")</f>
        <v>BN Jual Beli</v>
      </c>
      <c r="H2929" s="42">
        <f t="shared" si="1"/>
        <v>1377</v>
      </c>
    </row>
    <row r="2930" ht="22.5" customHeight="1">
      <c r="B2930" s="42" t="str">
        <f>IFERROR(__xludf.DUMMYFUNCTION("""COMPUTED_VALUE"""),"K/8/120325/5")</f>
        <v>K/8/120325/5</v>
      </c>
      <c r="C2930" s="42" t="str">
        <f>IFERROR(__xludf.DUMMYFUNCTION("""COMPUTED_VALUE"""),"Nibel. M. 16216/ Sukamaju")</f>
        <v>Nibel. M. 16216/ Sukamaju</v>
      </c>
      <c r="D2930" s="42"/>
      <c r="E2930" s="42"/>
      <c r="F2930" s="48" t="str">
        <f>IFERROR(__xludf.DUMMYFUNCTION("""COMPUTED_VALUE"""),"")</f>
        <v/>
      </c>
      <c r="G2930" s="42" t="str">
        <f>IFERROR(__xludf.DUMMYFUNCTION("""COMPUTED_VALUE"""),"BN Jual Beli")</f>
        <v>BN Jual Beli</v>
      </c>
      <c r="H2930" s="42">
        <f t="shared" si="1"/>
        <v>1377</v>
      </c>
    </row>
    <row r="2931" ht="22.5" customHeight="1">
      <c r="B2931" s="42" t="str">
        <f>IFERROR(__xludf.DUMMYFUNCTION("""COMPUTED_VALUE"""),"K/9/120325/6")</f>
        <v>K/9/120325/6</v>
      </c>
      <c r="C2931" s="42" t="str">
        <f>IFERROR(__xludf.DUMMYFUNCTION("""COMPUTED_VALUE"""),"Nibel. M. 16264/ Sukamaju")</f>
        <v>Nibel. M. 16264/ Sukamaju</v>
      </c>
      <c r="D2931" s="42"/>
      <c r="E2931" s="42"/>
      <c r="F2931" s="48" t="str">
        <f>IFERROR(__xludf.DUMMYFUNCTION("""COMPUTED_VALUE"""),"")</f>
        <v/>
      </c>
      <c r="G2931" s="42" t="str">
        <f>IFERROR(__xludf.DUMMYFUNCTION("""COMPUTED_VALUE"""),"BN Jual Beli")</f>
        <v>BN Jual Beli</v>
      </c>
      <c r="H2931" s="42">
        <f t="shared" si="1"/>
        <v>1377</v>
      </c>
    </row>
    <row r="2932" ht="22.5" customHeight="1">
      <c r="B2932" s="42" t="str">
        <f>IFERROR(__xludf.DUMMYFUNCTION("""COMPUTED_VALUE"""),"K/11/120325/1")</f>
        <v>K/11/120325/1</v>
      </c>
      <c r="C2932" s="42" t="str">
        <f>IFERROR(__xludf.DUMMYFUNCTION("""COMPUTED_VALUE"""),"M. 212/ Sukaraja")</f>
        <v>M. 212/ Sukaraja</v>
      </c>
      <c r="D2932" s="42"/>
      <c r="E2932" s="42" t="str">
        <f>IFERROR(__xludf.DUMMYFUNCTION("""COMPUTED_VALUE"""),"DISERAHKAN")</f>
        <v>DISERAHKAN</v>
      </c>
      <c r="F2932" s="48">
        <f>IFERROR(__xludf.DUMMYFUNCTION("""COMPUTED_VALUE"""),45736.6097347801)</f>
        <v>45736.60973</v>
      </c>
      <c r="G2932" s="42" t="str">
        <f>IFERROR(__xludf.DUMMYFUNCTION("""COMPUTED_VALUE"""),"BN HIBAH")</f>
        <v>BN HIBAH</v>
      </c>
      <c r="H2932" s="42">
        <f t="shared" si="1"/>
        <v>1378</v>
      </c>
    </row>
    <row r="2933" ht="22.5" customHeight="1">
      <c r="B2933" s="42" t="str">
        <f>IFERROR(__xludf.DUMMYFUNCTION("""COMPUTED_VALUE"""),"K/12/120325/2")</f>
        <v>K/12/120325/2</v>
      </c>
      <c r="C2933" s="42" t="str">
        <f>IFERROR(__xludf.DUMMYFUNCTION("""COMPUTED_VALUE"""),"M. 161/ Sukaraja")</f>
        <v>M. 161/ Sukaraja</v>
      </c>
      <c r="D2933" s="42"/>
      <c r="E2933" s="42" t="str">
        <f>IFERROR(__xludf.DUMMYFUNCTION("""COMPUTED_VALUE"""),"DISERAHKAN")</f>
        <v>DISERAHKAN</v>
      </c>
      <c r="F2933" s="48">
        <f>IFERROR(__xludf.DUMMYFUNCTION("""COMPUTED_VALUE"""),45743.44361717593)</f>
        <v>45743.44362</v>
      </c>
      <c r="G2933" s="42" t="str">
        <f>IFERROR(__xludf.DUMMYFUNCTION("""COMPUTED_VALUE"""),"BN HIBAH")</f>
        <v>BN HIBAH</v>
      </c>
      <c r="H2933" s="42">
        <f t="shared" si="1"/>
        <v>1379</v>
      </c>
    </row>
    <row r="2934" ht="22.5" customHeight="1">
      <c r="B2934" s="42" t="str">
        <f>IFERROR(__xludf.DUMMYFUNCTION("""COMPUTED_VALUE"""),"L/13/120325/1")</f>
        <v>L/13/120325/1</v>
      </c>
      <c r="C2934" s="42" t="str">
        <f>IFERROR(__xludf.DUMMYFUNCTION("""COMPUTED_VALUE"""),"HM 11996/SUKABUMI")</f>
        <v>HM 11996/SUKABUMI</v>
      </c>
      <c r="D2934" s="42"/>
      <c r="E2934" s="42"/>
      <c r="F2934" s="48" t="str">
        <f>IFERROR(__xludf.DUMMYFUNCTION("""COMPUTED_VALUE"""),"")</f>
        <v/>
      </c>
      <c r="G2934" s="42" t="str">
        <f>IFERROR(__xludf.DUMMYFUNCTION("""COMPUTED_VALUE"""),"ROYA")</f>
        <v>ROYA</v>
      </c>
      <c r="H2934" s="42">
        <f t="shared" si="1"/>
        <v>1379</v>
      </c>
    </row>
    <row r="2935" ht="22.5" customHeight="1">
      <c r="B2935" s="42" t="str">
        <f>IFERROR(__xludf.DUMMYFUNCTION("""COMPUTED_VALUE"""),"K/14/120325/1")</f>
        <v>K/14/120325/1</v>
      </c>
      <c r="C2935" s="42" t="str">
        <f>IFERROR(__xludf.DUMMYFUNCTION("""COMPUTED_VALUE"""),"M. 1852/WAY LAGA")</f>
        <v>M. 1852/WAY LAGA</v>
      </c>
      <c r="D2935" s="42"/>
      <c r="E2935" s="42"/>
      <c r="F2935" s="48" t="str">
        <f>IFERROR(__xludf.DUMMYFUNCTION("""COMPUTED_VALUE"""),"")</f>
        <v/>
      </c>
      <c r="G2935" s="42" t="str">
        <f>IFERROR(__xludf.DUMMYFUNCTION("""COMPUTED_VALUE"""),"HAPUS BPHTB")</f>
        <v>HAPUS BPHTB</v>
      </c>
      <c r="H2935" s="42">
        <f t="shared" si="1"/>
        <v>1379</v>
      </c>
    </row>
    <row r="2936" ht="22.5" customHeight="1">
      <c r="B2936" s="42" t="str">
        <f>IFERROR(__xludf.DUMMYFUNCTION("""COMPUTED_VALUE"""),"K/15/120325/1")</f>
        <v>K/15/120325/1</v>
      </c>
      <c r="C2936" s="42" t="str">
        <f>IFERROR(__xludf.DUMMYFUNCTION("""COMPUTED_VALUE"""),"NIBEL M 18659/KEDATON")</f>
        <v>NIBEL M 18659/KEDATON</v>
      </c>
      <c r="D2936" s="42"/>
      <c r="E2936" s="42"/>
      <c r="F2936" s="48" t="str">
        <f>IFERROR(__xludf.DUMMYFUNCTION("""COMPUTED_VALUE"""),"")</f>
        <v/>
      </c>
      <c r="G2936" s="42" t="str">
        <f>IFERROR(__xludf.DUMMYFUNCTION("""COMPUTED_VALUE"""),"KEWARISAN")</f>
        <v>KEWARISAN</v>
      </c>
      <c r="H2936" s="42">
        <f t="shared" si="1"/>
        <v>1379</v>
      </c>
    </row>
    <row r="2937" ht="22.5" customHeight="1">
      <c r="B2937" s="42" t="str">
        <f>IFERROR(__xludf.DUMMYFUNCTION("""COMPUTED_VALUE"""),"K/16/120325/1")</f>
        <v>K/16/120325/1</v>
      </c>
      <c r="C2937" s="42" t="str">
        <f>IFERROR(__xludf.DUMMYFUNCTION("""COMPUTED_VALUE"""),"M. 585/ Kemiling Raya")</f>
        <v>M. 585/ Kemiling Raya</v>
      </c>
      <c r="D2937" s="42"/>
      <c r="E2937" s="42"/>
      <c r="F2937" s="48" t="str">
        <f>IFERROR(__xludf.DUMMYFUNCTION("""COMPUTED_VALUE"""),"")</f>
        <v/>
      </c>
      <c r="G2937" s="42" t="str">
        <f>IFERROR(__xludf.DUMMYFUNCTION("""COMPUTED_VALUE"""),"HAPUS BPHTB")</f>
        <v>HAPUS BPHTB</v>
      </c>
      <c r="H2937" s="42">
        <f t="shared" si="1"/>
        <v>1379</v>
      </c>
    </row>
    <row r="2938" ht="22.5" customHeight="1">
      <c r="B2938" s="42" t="str">
        <f>IFERROR(__xludf.DUMMYFUNCTION("""COMPUTED_VALUE"""),"L/17/120325/1")</f>
        <v>L/17/120325/1</v>
      </c>
      <c r="C2938" s="42" t="str">
        <f>IFERROR(__xludf.DUMMYFUNCTION("""COMPUTED_VALUE"""),"HM 470/TANJUNG GADING")</f>
        <v>HM 470/TANJUNG GADING</v>
      </c>
      <c r="D2938" s="42"/>
      <c r="E2938" s="42" t="str">
        <f>IFERROR(__xludf.DUMMYFUNCTION("""COMPUTED_VALUE"""),"DISERAHKAN")</f>
        <v>DISERAHKAN</v>
      </c>
      <c r="F2938" s="48">
        <f>IFERROR(__xludf.DUMMYFUNCTION("""COMPUTED_VALUE"""),45771.39413453704)</f>
        <v>45771.39413</v>
      </c>
      <c r="G2938" s="42" t="str">
        <f>IFERROR(__xludf.DUMMYFUNCTION("""COMPUTED_VALUE"""),"ROYA")</f>
        <v>ROYA</v>
      </c>
      <c r="H2938" s="42">
        <f t="shared" si="1"/>
        <v>1380</v>
      </c>
    </row>
    <row r="2939" ht="22.5" customHeight="1">
      <c r="B2939" s="42" t="str">
        <f>IFERROR(__xludf.DUMMYFUNCTION("""COMPUTED_VALUE"""),"K/18/120325/1")</f>
        <v>K/18/120325/1</v>
      </c>
      <c r="C2939" s="42" t="str">
        <f>IFERROR(__xludf.DUMMYFUNCTION("""COMPUTED_VALUE"""),"Nibel 12242/ Sukarame Baru")</f>
        <v>Nibel 12242/ Sukarame Baru</v>
      </c>
      <c r="D2939" s="42"/>
      <c r="E2939" s="42"/>
      <c r="F2939" s="48" t="str">
        <f>IFERROR(__xludf.DUMMYFUNCTION("""COMPUTED_VALUE"""),"")</f>
        <v/>
      </c>
      <c r="G2939" s="42" t="str">
        <f>IFERROR(__xludf.DUMMYFUNCTION("""COMPUTED_VALUE"""),"BN JUAL BELI")</f>
        <v>BN JUAL BELI</v>
      </c>
      <c r="H2939" s="42">
        <f t="shared" si="1"/>
        <v>1380</v>
      </c>
    </row>
    <row r="2940" ht="22.5" customHeight="1">
      <c r="B2940" s="42" t="str">
        <f>IFERROR(__xludf.DUMMYFUNCTION("""COMPUTED_VALUE"""),"K/19/120325/2")</f>
        <v>K/19/120325/2</v>
      </c>
      <c r="C2940" s="42" t="str">
        <f>IFERROR(__xludf.DUMMYFUNCTION("""COMPUTED_VALUE"""),"Nibel 10387/ Sukarame Baru")</f>
        <v>Nibel 10387/ Sukarame Baru</v>
      </c>
      <c r="D2940" s="42"/>
      <c r="E2940" s="42"/>
      <c r="F2940" s="48" t="str">
        <f>IFERROR(__xludf.DUMMYFUNCTION("""COMPUTED_VALUE"""),"")</f>
        <v/>
      </c>
      <c r="G2940" s="42" t="str">
        <f>IFERROR(__xludf.DUMMYFUNCTION("""COMPUTED_VALUE"""),"BN JUAL BELI")</f>
        <v>BN JUAL BELI</v>
      </c>
      <c r="H2940" s="42">
        <f t="shared" si="1"/>
        <v>1380</v>
      </c>
    </row>
    <row r="2941" ht="22.5" customHeight="1">
      <c r="B2941" s="42" t="str">
        <f>IFERROR(__xludf.DUMMYFUNCTION("""COMPUTED_VALUE"""),"L/20/120325/1")</f>
        <v>L/20/120325/1</v>
      </c>
      <c r="C2941" s="42" t="str">
        <f>IFERROR(__xludf.DUMMYFUNCTION("""COMPUTED_VALUE"""),"HM 13001/TANJUNG BARU")</f>
        <v>HM 13001/TANJUNG BARU</v>
      </c>
      <c r="D2941" s="42"/>
      <c r="E2941" s="42"/>
      <c r="F2941" s="48" t="str">
        <f>IFERROR(__xludf.DUMMYFUNCTION("""COMPUTED_VALUE"""),"")</f>
        <v/>
      </c>
      <c r="G2941" s="42" t="str">
        <f>IFERROR(__xludf.DUMMYFUNCTION("""COMPUTED_VALUE"""),"GANTI BLANGKO")</f>
        <v>GANTI BLANGKO</v>
      </c>
      <c r="H2941" s="42">
        <f t="shared" si="1"/>
        <v>1380</v>
      </c>
    </row>
    <row r="2942" ht="22.5" customHeight="1">
      <c r="B2942" s="42" t="str">
        <f>IFERROR(__xludf.DUMMYFUNCTION("""COMPUTED_VALUE"""),"K/21/120325/1")</f>
        <v>K/21/120325/1</v>
      </c>
      <c r="C2942" s="42" t="str">
        <f>IFERROR(__xludf.DUMMYFUNCTION("""COMPUTED_VALUE"""),"M. 239/ Korpri Jaya")</f>
        <v>M. 239/ Korpri Jaya</v>
      </c>
      <c r="D2942" s="42" t="str">
        <f>IFERROR(__xludf.DUMMYFUNCTION("""COMPUTED_VALUE"""),"David")</f>
        <v>David</v>
      </c>
      <c r="E2942" s="42" t="str">
        <f>IFERROR(__xludf.DUMMYFUNCTION("""COMPUTED_VALUE"""),"DISERAHKAN")</f>
        <v>DISERAHKAN</v>
      </c>
      <c r="F2942" s="48">
        <f>IFERROR(__xludf.DUMMYFUNCTION("""COMPUTED_VALUE"""),45880.715402013884)</f>
        <v>45880.7154</v>
      </c>
      <c r="G2942" s="42" t="str">
        <f>IFERROR(__xludf.DUMMYFUNCTION("""COMPUTED_VALUE"""),"BN Waris")</f>
        <v>BN Waris</v>
      </c>
      <c r="H2942" s="42">
        <f t="shared" si="1"/>
        <v>1381</v>
      </c>
    </row>
    <row r="2943" ht="22.5" customHeight="1">
      <c r="B2943" s="42" t="str">
        <f>IFERROR(__xludf.DUMMYFUNCTION("""COMPUTED_VALUE"""),"K/22/120325/1")</f>
        <v>K/22/120325/1</v>
      </c>
      <c r="C2943" s="42" t="str">
        <f>IFERROR(__xludf.DUMMYFUNCTION("""COMPUTED_VALUE"""),"M. 2163/ Perumnas Way Halim")</f>
        <v>M. 2163/ Perumnas Way Halim</v>
      </c>
      <c r="D2943" s="42"/>
      <c r="E2943" s="42"/>
      <c r="F2943" s="48" t="str">
        <f>IFERROR(__xludf.DUMMYFUNCTION("""COMPUTED_VALUE"""),"")</f>
        <v/>
      </c>
      <c r="G2943" s="42" t="str">
        <f>IFERROR(__xludf.DUMMYFUNCTION("""COMPUTED_VALUE"""),"BN Waris")</f>
        <v>BN Waris</v>
      </c>
      <c r="H2943" s="42">
        <f t="shared" si="1"/>
        <v>1381</v>
      </c>
    </row>
    <row r="2944" ht="22.5" customHeight="1">
      <c r="B2944" s="42" t="str">
        <f>IFERROR(__xludf.DUMMYFUNCTION("""COMPUTED_VALUE"""),"K/23/120325/2")</f>
        <v>K/23/120325/2</v>
      </c>
      <c r="C2944" s="42" t="str">
        <f>IFERROR(__xludf.DUMMYFUNCTION("""COMPUTED_VALUE"""),"NIBEL M 10970/RAJABASA JAYA")</f>
        <v>NIBEL M 10970/RAJABASA JAYA</v>
      </c>
      <c r="D2944" s="42"/>
      <c r="E2944" s="42"/>
      <c r="F2944" s="48" t="str">
        <f>IFERROR(__xludf.DUMMYFUNCTION("""COMPUTED_VALUE"""),"")</f>
        <v/>
      </c>
      <c r="G2944" s="42" t="str">
        <f>IFERROR(__xludf.DUMMYFUNCTION("""COMPUTED_VALUE"""),"JUAL BELI")</f>
        <v>JUAL BELI</v>
      </c>
      <c r="H2944" s="42">
        <f t="shared" si="1"/>
        <v>1381</v>
      </c>
    </row>
    <row r="2945" ht="22.5" customHeight="1">
      <c r="B2945" s="42" t="str">
        <f>IFERROR(__xludf.DUMMYFUNCTION("""COMPUTED_VALUE"""),"K/25/120325/1")</f>
        <v>K/25/120325/1</v>
      </c>
      <c r="C2945" s="42" t="str">
        <f>IFERROR(__xludf.DUMMYFUNCTION("""COMPUTED_VALUE"""),"M. 2009/ Kali Balau Kencana")</f>
        <v>M. 2009/ Kali Balau Kencana</v>
      </c>
      <c r="D2945" s="42"/>
      <c r="E2945" s="42" t="str">
        <f>IFERROR(__xludf.DUMMYFUNCTION("""COMPUTED_VALUE"""),"DISERAHKAN")</f>
        <v>DISERAHKAN</v>
      </c>
      <c r="F2945" s="48">
        <f>IFERROR(__xludf.DUMMYFUNCTION("""COMPUTED_VALUE"""),45769.63316146991)</f>
        <v>45769.63316</v>
      </c>
      <c r="G2945" s="42" t="str">
        <f>IFERROR(__xludf.DUMMYFUNCTION("""COMPUTED_VALUE"""),"BN Waris")</f>
        <v>BN Waris</v>
      </c>
      <c r="H2945" s="42">
        <f t="shared" si="1"/>
        <v>1382</v>
      </c>
    </row>
    <row r="2946" ht="22.5" customHeight="1">
      <c r="B2946" s="42" t="str">
        <f>IFERROR(__xludf.DUMMYFUNCTION("""COMPUTED_VALUE"""),"K/24/120325/1")</f>
        <v>K/24/120325/1</v>
      </c>
      <c r="C2946" s="42" t="str">
        <f>IFERROR(__xludf.DUMMYFUNCTION("""COMPUTED_VALUE"""),"B. 64/ Gedung Meneng")</f>
        <v>B. 64/ Gedung Meneng</v>
      </c>
      <c r="D2946" s="42"/>
      <c r="E2946" s="42" t="str">
        <f>IFERROR(__xludf.DUMMYFUNCTION("""COMPUTED_VALUE"""),"DISERAHKAN")</f>
        <v>DISERAHKAN</v>
      </c>
      <c r="F2946" s="48">
        <f>IFERROR(__xludf.DUMMYFUNCTION("""COMPUTED_VALUE"""),45764.59510478009)</f>
        <v>45764.5951</v>
      </c>
      <c r="G2946" s="42" t="str">
        <f>IFERROR(__xludf.DUMMYFUNCTION("""COMPUTED_VALUE"""),"BN WARIS")</f>
        <v>BN WARIS</v>
      </c>
      <c r="H2946" s="42">
        <f t="shared" si="1"/>
        <v>1383</v>
      </c>
    </row>
    <row r="2947" ht="22.5" customHeight="1">
      <c r="B2947" s="42" t="str">
        <f>IFERROR(__xludf.DUMMYFUNCTION("""COMPUTED_VALUE"""),"K/31/120325/1")</f>
        <v>K/31/120325/1</v>
      </c>
      <c r="C2947" s="42" t="str">
        <f>IFERROR(__xludf.DUMMYFUNCTION("""COMPUTED_VALUE"""),"M,1238/TELUK BETUNG")</f>
        <v>M,1238/TELUK BETUNG</v>
      </c>
      <c r="D2947" s="42"/>
      <c r="E2947" s="42" t="str">
        <f>IFERROR(__xludf.DUMMYFUNCTION("""COMPUTED_VALUE"""),"DISERAHKAN")</f>
        <v>DISERAHKAN</v>
      </c>
      <c r="F2947" s="48">
        <f>IFERROR(__xludf.DUMMYFUNCTION("""COMPUTED_VALUE"""),45743.43452226852)</f>
        <v>45743.43452</v>
      </c>
      <c r="G2947" s="42" t="str">
        <f>IFERROR(__xludf.DUMMYFUNCTION("""COMPUTED_VALUE"""),"JUAL BELI")</f>
        <v>JUAL BELI</v>
      </c>
      <c r="H2947" s="42">
        <f t="shared" si="1"/>
        <v>1384</v>
      </c>
    </row>
    <row r="2948" ht="22.5" customHeight="1">
      <c r="B2948" s="42" t="str">
        <f>IFERROR(__xludf.DUMMYFUNCTION("""COMPUTED_VALUE"""),"K/32/120325/2")</f>
        <v>K/32/120325/2</v>
      </c>
      <c r="C2948" s="42" t="str">
        <f>IFERROR(__xludf.DUMMYFUNCTION("""COMPUTED_VALUE"""),"M 3230/BUMI WARAS")</f>
        <v>M 3230/BUMI WARAS</v>
      </c>
      <c r="D2948" s="42"/>
      <c r="E2948" s="42" t="str">
        <f>IFERROR(__xludf.DUMMYFUNCTION("""COMPUTED_VALUE"""),"DISERAHKAN")</f>
        <v>DISERAHKAN</v>
      </c>
      <c r="F2948" s="48">
        <f>IFERROR(__xludf.DUMMYFUNCTION("""COMPUTED_VALUE"""),45758.475278252314)</f>
        <v>45758.47528</v>
      </c>
      <c r="G2948" s="42" t="str">
        <f>IFERROR(__xludf.DUMMYFUNCTION("""COMPUTED_VALUE"""),"KEWARISAN")</f>
        <v>KEWARISAN</v>
      </c>
      <c r="H2948" s="42">
        <f t="shared" si="1"/>
        <v>1385</v>
      </c>
    </row>
    <row r="2949" ht="22.5" customHeight="1">
      <c r="B2949" s="42" t="str">
        <f>IFERROR(__xludf.DUMMYFUNCTION("""COMPUTED_VALUE"""),"K/26/120325/1")</f>
        <v>K/26/120325/1</v>
      </c>
      <c r="C2949" s="42" t="str">
        <f>IFERROR(__xludf.DUMMYFUNCTION("""COMPUTED_VALUE"""),"M. 3014/SUKARAME II")</f>
        <v>M. 3014/SUKARAME II</v>
      </c>
      <c r="D2949" s="42"/>
      <c r="E2949" s="42" t="str">
        <f>IFERROR(__xludf.DUMMYFUNCTION("""COMPUTED_VALUE"""),"DISERAHKAN")</f>
        <v>DISERAHKAN</v>
      </c>
      <c r="F2949" s="48">
        <f>IFERROR(__xludf.DUMMYFUNCTION("""COMPUTED_VALUE"""),45758.479599259255)</f>
        <v>45758.4796</v>
      </c>
      <c r="G2949" s="42" t="str">
        <f>IFERROR(__xludf.DUMMYFUNCTION("""COMPUTED_VALUE"""),"BN JUAL BELI")</f>
        <v>BN JUAL BELI</v>
      </c>
      <c r="H2949" s="42">
        <f t="shared" si="1"/>
        <v>1386</v>
      </c>
    </row>
    <row r="2950" ht="22.5" customHeight="1">
      <c r="B2950" s="42" t="str">
        <f>IFERROR(__xludf.DUMMYFUNCTION("""COMPUTED_VALUE"""),"K/27/120325/2")</f>
        <v>K/27/120325/2</v>
      </c>
      <c r="C2950" s="42" t="str">
        <f>IFERROR(__xludf.DUMMYFUNCTION("""COMPUTED_VALUE"""),"NIBEL M.3545/SUKABUMI")</f>
        <v>NIBEL M.3545/SUKABUMI</v>
      </c>
      <c r="D2950" s="42"/>
      <c r="E2950" s="42"/>
      <c r="F2950" s="48" t="str">
        <f>IFERROR(__xludf.DUMMYFUNCTION("""COMPUTED_VALUE"""),"")</f>
        <v/>
      </c>
      <c r="G2950" s="42" t="str">
        <f>IFERROR(__xludf.DUMMYFUNCTION("""COMPUTED_VALUE"""),"PEMECAHAN/PEMISAHAN")</f>
        <v>PEMECAHAN/PEMISAHAN</v>
      </c>
      <c r="H2950" s="42">
        <f t="shared" si="1"/>
        <v>1386</v>
      </c>
    </row>
    <row r="2951" ht="22.5" customHeight="1">
      <c r="B2951" s="42" t="str">
        <f>IFERROR(__xludf.DUMMYFUNCTION("""COMPUTED_VALUE"""),"K/33/120325/1")</f>
        <v>K/33/120325/1</v>
      </c>
      <c r="C2951" s="42" t="str">
        <f>IFERROR(__xludf.DUMMYFUNCTION("""COMPUTED_VALUE"""),"M. 2453/ Kedaung ")</f>
        <v>M. 2453/ Kedaung </v>
      </c>
      <c r="D2951" s="42"/>
      <c r="E2951" s="42"/>
      <c r="F2951" s="48" t="str">
        <f>IFERROR(__xludf.DUMMYFUNCTION("""COMPUTED_VALUE"""),"")</f>
        <v/>
      </c>
      <c r="G2951" s="42" t="str">
        <f>IFERROR(__xludf.DUMMYFUNCTION("""COMPUTED_VALUE"""),"BN Jual Beli")</f>
        <v>BN Jual Beli</v>
      </c>
      <c r="H2951" s="42">
        <f t="shared" si="1"/>
        <v>1386</v>
      </c>
    </row>
    <row r="2952" ht="22.5" customHeight="1">
      <c r="B2952" s="42" t="str">
        <f>IFERROR(__xludf.DUMMYFUNCTION("""COMPUTED_VALUE"""),"K/28/120325/3")</f>
        <v>K/28/120325/3</v>
      </c>
      <c r="C2952" s="42" t="str">
        <f>IFERROR(__xludf.DUMMYFUNCTION("""COMPUTED_VALUE"""),"NIBEL M. 3544/SUKABUMI")</f>
        <v>NIBEL M. 3544/SUKABUMI</v>
      </c>
      <c r="D2952" s="42"/>
      <c r="E2952" s="42"/>
      <c r="F2952" s="48" t="str">
        <f>IFERROR(__xludf.DUMMYFUNCTION("""COMPUTED_VALUE"""),"")</f>
        <v/>
      </c>
      <c r="G2952" s="42" t="str">
        <f>IFERROR(__xludf.DUMMYFUNCTION("""COMPUTED_VALUE"""),"PEMECAHAN/PEMISAHAN")</f>
        <v>PEMECAHAN/PEMISAHAN</v>
      </c>
      <c r="H2952" s="42">
        <f t="shared" si="1"/>
        <v>1386</v>
      </c>
    </row>
    <row r="2953" ht="22.5" customHeight="1">
      <c r="B2953" s="42" t="str">
        <f>IFERROR(__xludf.DUMMYFUNCTION("""COMPUTED_VALUE"""),"K/29/120325/4")</f>
        <v>K/29/120325/4</v>
      </c>
      <c r="C2953" s="42" t="str">
        <f>IFERROR(__xludf.DUMMYFUNCTION("""COMPUTED_VALUE"""),"NIBEL B.3546/SUKABUMI")</f>
        <v>NIBEL B.3546/SUKABUMI</v>
      </c>
      <c r="D2953" s="42"/>
      <c r="E2953" s="42"/>
      <c r="F2953" s="48" t="str">
        <f>IFERROR(__xludf.DUMMYFUNCTION("""COMPUTED_VALUE"""),"")</f>
        <v/>
      </c>
      <c r="G2953" s="42" t="str">
        <f>IFERROR(__xludf.DUMMYFUNCTION("""COMPUTED_VALUE"""),"PEMECAHAN")</f>
        <v>PEMECAHAN</v>
      </c>
      <c r="H2953" s="42">
        <f t="shared" si="1"/>
        <v>1386</v>
      </c>
    </row>
    <row r="2954" ht="22.5" customHeight="1">
      <c r="B2954" s="42" t="str">
        <f>IFERROR(__xludf.DUMMYFUNCTION("""COMPUTED_VALUE"""),"K/34/120325/1")</f>
        <v>K/34/120325/1</v>
      </c>
      <c r="C2954" s="42" t="str">
        <f>IFERROR(__xludf.DUMMYFUNCTION("""COMPUTED_VALUE"""),"M. 14879/ Sukarame")</f>
        <v>M. 14879/ Sukarame</v>
      </c>
      <c r="D2954" s="42"/>
      <c r="E2954" s="42" t="str">
        <f>IFERROR(__xludf.DUMMYFUNCTION("""COMPUTED_VALUE"""),"DISERAHKAN")</f>
        <v>DISERAHKAN</v>
      </c>
      <c r="F2954" s="48">
        <f>IFERROR(__xludf.DUMMYFUNCTION("""COMPUTED_VALUE"""),45758.47888203704)</f>
        <v>45758.47888</v>
      </c>
      <c r="G2954" s="42" t="str">
        <f>IFERROR(__xludf.DUMMYFUNCTION("""COMPUTED_VALUE"""),"BN JUAK BELI")</f>
        <v>BN JUAK BELI</v>
      </c>
      <c r="H2954" s="42">
        <f t="shared" si="1"/>
        <v>1387</v>
      </c>
    </row>
    <row r="2955" ht="22.5" customHeight="1">
      <c r="B2955" s="42" t="str">
        <f>IFERROR(__xludf.DUMMYFUNCTION("""COMPUTED_VALUE"""),"K/35/120325/1")</f>
        <v>K/35/120325/1</v>
      </c>
      <c r="C2955" s="42" t="str">
        <f>IFERROR(__xludf.DUMMYFUNCTION("""COMPUTED_VALUE"""),"Nibel. M. 16601/ Talang")</f>
        <v>Nibel. M. 16601/ Talang</v>
      </c>
      <c r="D2955" s="42"/>
      <c r="E2955" s="42"/>
      <c r="F2955" s="48" t="str">
        <f>IFERROR(__xludf.DUMMYFUNCTION("""COMPUTED_VALUE"""),"")</f>
        <v/>
      </c>
      <c r="G2955" s="42" t="str">
        <f>IFERROR(__xludf.DUMMYFUNCTION("""COMPUTED_VALUE"""),"BN Waris")</f>
        <v>BN Waris</v>
      </c>
      <c r="H2955" s="42">
        <f t="shared" si="1"/>
        <v>1387</v>
      </c>
    </row>
    <row r="2956" ht="22.5" customHeight="1">
      <c r="B2956" s="42" t="str">
        <f>IFERROR(__xludf.DUMMYFUNCTION("""COMPUTED_VALUE"""),"K/30/120325/5")</f>
        <v>K/30/120325/5</v>
      </c>
      <c r="C2956" s="42" t="str">
        <f>IFERROR(__xludf.DUMMYFUNCTION("""COMPUTED_VALUE"""),"B. 4991/SUKABUMI")</f>
        <v>B. 4991/SUKABUMI</v>
      </c>
      <c r="D2956" s="42"/>
      <c r="E2956" s="42"/>
      <c r="F2956" s="48" t="str">
        <f>IFERROR(__xludf.DUMMYFUNCTION("""COMPUTED_VALUE"""),"")</f>
        <v/>
      </c>
      <c r="G2956" s="42" t="str">
        <f>IFERROR(__xludf.DUMMYFUNCTION("""COMPUTED_VALUE"""),"PEMECAHAN / PEMISAHAN")</f>
        <v>PEMECAHAN / PEMISAHAN</v>
      </c>
      <c r="H2956" s="42">
        <f t="shared" si="1"/>
        <v>1387</v>
      </c>
    </row>
    <row r="2957" ht="22.5" customHeight="1">
      <c r="B2957" s="42" t="str">
        <f>IFERROR(__xludf.DUMMYFUNCTION("""COMPUTED_VALUE"""),"K/36/120325/1")</f>
        <v>K/36/120325/1</v>
      </c>
      <c r="C2957" s="42" t="str">
        <f>IFERROR(__xludf.DUMMYFUNCTION("""COMPUTED_VALUE"""),"M. 985/PELITA")</f>
        <v>M. 985/PELITA</v>
      </c>
      <c r="D2957" s="42"/>
      <c r="E2957" s="42" t="str">
        <f>IFERROR(__xludf.DUMMYFUNCTION("""COMPUTED_VALUE"""),"DISERAHKAN")</f>
        <v>DISERAHKAN</v>
      </c>
      <c r="F2957" s="48">
        <f>IFERROR(__xludf.DUMMYFUNCTION("""COMPUTED_VALUE"""),45769.600712280095)</f>
        <v>45769.60071</v>
      </c>
      <c r="G2957" s="42" t="str">
        <f>IFERROR(__xludf.DUMMYFUNCTION("""COMPUTED_VALUE"""),"ROYA")</f>
        <v>ROYA</v>
      </c>
      <c r="H2957" s="42">
        <f t="shared" si="1"/>
        <v>1388</v>
      </c>
    </row>
    <row r="2958" ht="22.5" customHeight="1">
      <c r="B2958" s="42" t="str">
        <f>IFERROR(__xludf.DUMMYFUNCTION("""COMPUTED_VALUE"""),"K/37/120325/1")</f>
        <v>K/37/120325/1</v>
      </c>
      <c r="C2958" s="42" t="str">
        <f>IFERROR(__xludf.DUMMYFUNCTION("""COMPUTED_VALUE"""),"M. 1782/ Tanjung Seneng")</f>
        <v>M. 1782/ Tanjung Seneng</v>
      </c>
      <c r="D2958" s="42"/>
      <c r="E2958" s="42" t="str">
        <f>IFERROR(__xludf.DUMMYFUNCTION("""COMPUTED_VALUE"""),"DISERAHKAN")</f>
        <v>DISERAHKAN</v>
      </c>
      <c r="F2958" s="48">
        <f>IFERROR(__xludf.DUMMYFUNCTION("""COMPUTED_VALUE"""),45763.55203424768)</f>
        <v>45763.55203</v>
      </c>
      <c r="G2958" s="42" t="str">
        <f>IFERROR(__xludf.DUMMYFUNCTION("""COMPUTED_VALUE"""),"ROYA")</f>
        <v>ROYA</v>
      </c>
      <c r="H2958" s="42">
        <f t="shared" si="1"/>
        <v>1389</v>
      </c>
    </row>
    <row r="2959" ht="22.5" customHeight="1">
      <c r="B2959" s="42" t="str">
        <f>IFERROR(__xludf.DUMMYFUNCTION("""COMPUTED_VALUE"""),"K/38/120325/1")</f>
        <v>K/38/120325/1</v>
      </c>
      <c r="C2959" s="42" t="str">
        <f>IFERROR(__xludf.DUMMYFUNCTION("""COMPUTED_VALUE"""),"M.1628/BUMI KEDAMAIAN")</f>
        <v>M.1628/BUMI KEDAMAIAN</v>
      </c>
      <c r="D2959" s="42"/>
      <c r="E2959" s="42" t="str">
        <f>IFERROR(__xludf.DUMMYFUNCTION("""COMPUTED_VALUE"""),"DISERAHKAN")</f>
        <v>DISERAHKAN</v>
      </c>
      <c r="F2959" s="48">
        <f>IFERROR(__xludf.DUMMYFUNCTION("""COMPUTED_VALUE"""),45743.4377394676)</f>
        <v>45743.43774</v>
      </c>
      <c r="G2959" s="42" t="str">
        <f>IFERROR(__xludf.DUMMYFUNCTION("""COMPUTED_VALUE"""),"HIBAH")</f>
        <v>HIBAH</v>
      </c>
      <c r="H2959" s="42">
        <f t="shared" si="1"/>
        <v>1390</v>
      </c>
    </row>
    <row r="2960" ht="22.5" customHeight="1">
      <c r="B2960" s="42" t="str">
        <f>IFERROR(__xludf.DUMMYFUNCTION("""COMPUTED_VALUE"""),"K/41/120325/1")</f>
        <v>K/41/120325/1</v>
      </c>
      <c r="C2960" s="42" t="str">
        <f>IFERROR(__xludf.DUMMYFUNCTION("""COMPUTED_VALUE"""),"B.306/TELUKBETUNG")</f>
        <v>B.306/TELUKBETUNG</v>
      </c>
      <c r="D2960" s="42"/>
      <c r="E2960" s="42" t="str">
        <f>IFERROR(__xludf.DUMMYFUNCTION("""COMPUTED_VALUE"""),"DISERAHKAN")</f>
        <v>DISERAHKAN</v>
      </c>
      <c r="F2960" s="48">
        <f>IFERROR(__xludf.DUMMYFUNCTION("""COMPUTED_VALUE"""),45769.600712280095)</f>
        <v>45769.60071</v>
      </c>
      <c r="G2960" s="42" t="str">
        <f>IFERROR(__xludf.DUMMYFUNCTION("""COMPUTED_VALUE"""),"ROYA")</f>
        <v>ROYA</v>
      </c>
      <c r="H2960" s="42">
        <f t="shared" si="1"/>
        <v>1391</v>
      </c>
    </row>
    <row r="2961" ht="22.5" customHeight="1">
      <c r="B2961" s="42" t="str">
        <f>IFERROR(__xludf.DUMMYFUNCTION("""COMPUTED_VALUE"""),"K/39/120325/1")</f>
        <v>K/39/120325/1</v>
      </c>
      <c r="C2961" s="42" t="str">
        <f>IFERROR(__xludf.DUMMYFUNCTION("""COMPUTED_VALUE"""),"M. 9712/ Kampung Baru")</f>
        <v>M. 9712/ Kampung Baru</v>
      </c>
      <c r="D2961" s="42"/>
      <c r="E2961" s="42" t="str">
        <f>IFERROR(__xludf.DUMMYFUNCTION("""COMPUTED_VALUE"""),"DISERAHKAN")</f>
        <v>DISERAHKAN</v>
      </c>
      <c r="F2961" s="48">
        <f>IFERROR(__xludf.DUMMYFUNCTION("""COMPUTED_VALUE"""),45736.60797430556)</f>
        <v>45736.60797</v>
      </c>
      <c r="G2961" s="42" t="str">
        <f>IFERROR(__xludf.DUMMYFUNCTION("""COMPUTED_VALUE"""),"BN JUAL BELI")</f>
        <v>BN JUAL BELI</v>
      </c>
      <c r="H2961" s="42">
        <f t="shared" si="1"/>
        <v>1392</v>
      </c>
    </row>
    <row r="2962" ht="22.5" customHeight="1">
      <c r="B2962" s="42" t="str">
        <f>IFERROR(__xludf.DUMMYFUNCTION("""COMPUTED_VALUE"""),"K/40/120325/1")</f>
        <v>K/40/120325/1</v>
      </c>
      <c r="C2962" s="42" t="str">
        <f>IFERROR(__xludf.DUMMYFUNCTION("""COMPUTED_VALUE"""),"B.318/PEMATANG WANGI")</f>
        <v>B.318/PEMATANG WANGI</v>
      </c>
      <c r="D2962" s="42"/>
      <c r="E2962" s="42"/>
      <c r="F2962" s="48" t="str">
        <f>IFERROR(__xludf.DUMMYFUNCTION("""COMPUTED_VALUE"""),"")</f>
        <v/>
      </c>
      <c r="G2962" s="42" t="str">
        <f>IFERROR(__xludf.DUMMYFUNCTION("""COMPUTED_VALUE"""),"PENGUKURAN PERTAMA KALI")</f>
        <v>PENGUKURAN PERTAMA KALI</v>
      </c>
      <c r="H2962" s="42">
        <f t="shared" si="1"/>
        <v>1392</v>
      </c>
    </row>
    <row r="2963" ht="22.5" customHeight="1">
      <c r="B2963" s="42" t="str">
        <f>IFERROR(__xludf.DUMMYFUNCTION("""COMPUTED_VALUE"""),"K/42/120325/1")</f>
        <v>K/42/120325/1</v>
      </c>
      <c r="C2963" s="42" t="str">
        <f>IFERROR(__xludf.DUMMYFUNCTION("""COMPUTED_VALUE"""),"M. 1888/ Rajabasa Raya")</f>
        <v>M. 1888/ Rajabasa Raya</v>
      </c>
      <c r="D2963" s="42"/>
      <c r="E2963" s="42" t="str">
        <f>IFERROR(__xludf.DUMMYFUNCTION("""COMPUTED_VALUE"""),"DISERAHKAN")</f>
        <v>DISERAHKAN</v>
      </c>
      <c r="F2963" s="48">
        <f>IFERROR(__xludf.DUMMYFUNCTION("""COMPUTED_VALUE"""),45761.440943113426)</f>
        <v>45761.44094</v>
      </c>
      <c r="G2963" s="42" t="str">
        <f>IFERROR(__xludf.DUMMYFUNCTION("""COMPUTED_VALUE"""),"Bn Jual Beli")</f>
        <v>Bn Jual Beli</v>
      </c>
      <c r="H2963" s="42">
        <f t="shared" si="1"/>
        <v>1393</v>
      </c>
    </row>
    <row r="2964" ht="22.5" customHeight="1">
      <c r="B2964" s="42" t="str">
        <f>IFERROR(__xludf.DUMMYFUNCTION("""COMPUTED_VALUE"""),"K/43/120325/1")</f>
        <v>K/43/120325/1</v>
      </c>
      <c r="C2964" s="42" t="str">
        <f>IFERROR(__xludf.DUMMYFUNCTION("""COMPUTED_VALUE"""),"M. 13724/ Kedamaian")</f>
        <v>M. 13724/ Kedamaian</v>
      </c>
      <c r="D2964" s="42"/>
      <c r="E2964" s="42"/>
      <c r="F2964" s="48" t="str">
        <f>IFERROR(__xludf.DUMMYFUNCTION("""COMPUTED_VALUE"""),"")</f>
        <v/>
      </c>
      <c r="G2964" s="42" t="str">
        <f>IFERROR(__xludf.DUMMYFUNCTION("""COMPUTED_VALUE"""),"Fahrul R/ Masayu Cs")</f>
        <v>Fahrul R/ Masayu Cs</v>
      </c>
      <c r="H2964" s="42">
        <f t="shared" si="1"/>
        <v>1393</v>
      </c>
    </row>
    <row r="2965" ht="22.5" customHeight="1">
      <c r="B2965" s="42" t="str">
        <f>IFERROR(__xludf.DUMMYFUNCTION("""COMPUTED_VALUE"""),"K/44/120325/1")</f>
        <v>K/44/120325/1</v>
      </c>
      <c r="C2965" s="42" t="str">
        <f>IFERROR(__xludf.DUMMYFUNCTION("""COMPUTED_VALUE"""),"M.1475/BUMI KEDAMAIAN")</f>
        <v>M.1475/BUMI KEDAMAIAN</v>
      </c>
      <c r="D2965" s="42"/>
      <c r="E2965" s="42" t="str">
        <f>IFERROR(__xludf.DUMMYFUNCTION("""COMPUTED_VALUE"""),"DISERAHKAN")</f>
        <v>DISERAHKAN</v>
      </c>
      <c r="F2965" s="48">
        <f>IFERROR(__xludf.DUMMYFUNCTION("""COMPUTED_VALUE"""),45758.47934114584)</f>
        <v>45758.47934</v>
      </c>
      <c r="G2965" s="42" t="str">
        <f>IFERROR(__xludf.DUMMYFUNCTION("""COMPUTED_VALUE"""),"BN JUAL BELI")</f>
        <v>BN JUAL BELI</v>
      </c>
      <c r="H2965" s="42">
        <f t="shared" si="1"/>
        <v>1394</v>
      </c>
    </row>
    <row r="2966" ht="22.5" customHeight="1">
      <c r="B2966" s="42" t="str">
        <f>IFERROR(__xludf.DUMMYFUNCTION("""COMPUTED_VALUE"""),"K/1/130325/1")</f>
        <v>K/1/130325/1</v>
      </c>
      <c r="C2966" s="42" t="str">
        <f>IFERROR(__xludf.DUMMYFUNCTION("""COMPUTED_VALUE"""),"B. 706/ Sumur Putri")</f>
        <v>B. 706/ Sumur Putri</v>
      </c>
      <c r="D2966" s="42"/>
      <c r="E2966" s="42" t="str">
        <f>IFERROR(__xludf.DUMMYFUNCTION("""COMPUTED_VALUE"""),"DISERAHKAN")</f>
        <v>DISERAHKAN</v>
      </c>
      <c r="F2966" s="48">
        <f>IFERROR(__xludf.DUMMYFUNCTION("""COMPUTED_VALUE"""),45758.47848539352)</f>
        <v>45758.47849</v>
      </c>
      <c r="G2966" s="42" t="str">
        <f>IFERROR(__xludf.DUMMYFUNCTION("""COMPUTED_VALUE"""),"BN JUAL BELI")</f>
        <v>BN JUAL BELI</v>
      </c>
      <c r="H2966" s="42">
        <f t="shared" si="1"/>
        <v>1395</v>
      </c>
    </row>
    <row r="2967" ht="22.5" customHeight="1">
      <c r="B2967" s="42" t="str">
        <f>IFERROR(__xludf.DUMMYFUNCTION("""COMPUTED_VALUE"""),"K/2/130325/2")</f>
        <v>K/2/130325/2</v>
      </c>
      <c r="C2967" s="42" t="str">
        <f>IFERROR(__xludf.DUMMYFUNCTION("""COMPUTED_VALUE"""),"B. 772/ Sumur Putri")</f>
        <v>B. 772/ Sumur Putri</v>
      </c>
      <c r="D2967" s="42" t="str">
        <f>IFERROR(__xludf.DUMMYFUNCTION("""COMPUTED_VALUE"""),"David")</f>
        <v>David</v>
      </c>
      <c r="E2967" s="42" t="str">
        <f>IFERROR(__xludf.DUMMYFUNCTION("""COMPUTED_VALUE"""),"DISERAHKAN")</f>
        <v>DISERAHKAN</v>
      </c>
      <c r="F2967" s="48">
        <f>IFERROR(__xludf.DUMMYFUNCTION("""COMPUTED_VALUE"""),45880.715402013884)</f>
        <v>45880.7154</v>
      </c>
      <c r="G2967" s="42" t="str">
        <f>IFERROR(__xludf.DUMMYFUNCTION("""COMPUTED_VALUE"""),"BN JUAL BELI")</f>
        <v>BN JUAL BELI</v>
      </c>
      <c r="H2967" s="42">
        <f t="shared" si="1"/>
        <v>1396</v>
      </c>
    </row>
    <row r="2968" ht="22.5" customHeight="1">
      <c r="B2968" s="42" t="str">
        <f>IFERROR(__xludf.DUMMYFUNCTION("""COMPUTED_VALUE"""),"K/3/130325/3")</f>
        <v>K/3/130325/3</v>
      </c>
      <c r="C2968" s="42" t="str">
        <f>IFERROR(__xludf.DUMMYFUNCTION("""COMPUTED_VALUE"""),"B. 766/ Sumur Putri")</f>
        <v>B. 766/ Sumur Putri</v>
      </c>
      <c r="D2968" s="42"/>
      <c r="E2968" s="42"/>
      <c r="F2968" s="48" t="str">
        <f>IFERROR(__xludf.DUMMYFUNCTION("""COMPUTED_VALUE"""),"")</f>
        <v/>
      </c>
      <c r="G2968" s="42" t="str">
        <f>IFERROR(__xludf.DUMMYFUNCTION("""COMPUTED_VALUE"""),"BN JUAL BELI")</f>
        <v>BN JUAL BELI</v>
      </c>
      <c r="H2968" s="42">
        <f t="shared" si="1"/>
        <v>1396</v>
      </c>
    </row>
    <row r="2969" ht="22.5" customHeight="1">
      <c r="B2969" s="42" t="str">
        <f>IFERROR(__xludf.DUMMYFUNCTION("""COMPUTED_VALUE"""),"K/4/130325/1")</f>
        <v>K/4/130325/1</v>
      </c>
      <c r="C2969" s="42" t="str">
        <f>IFERROR(__xludf.DUMMYFUNCTION("""COMPUTED_VALUE"""),"NIBEL M. 18925/PERUMNAS WAY HALIM")</f>
        <v>NIBEL M. 18925/PERUMNAS WAY HALIM</v>
      </c>
      <c r="D2969" s="42"/>
      <c r="E2969" s="42"/>
      <c r="F2969" s="48" t="str">
        <f>IFERROR(__xludf.DUMMYFUNCTION("""COMPUTED_VALUE"""),"")</f>
        <v/>
      </c>
      <c r="G2969" s="42" t="str">
        <f>IFERROR(__xludf.DUMMYFUNCTION("""COMPUTED_VALUE"""),"GANTI NAMA")</f>
        <v>GANTI NAMA</v>
      </c>
      <c r="H2969" s="42">
        <f t="shared" si="1"/>
        <v>1396</v>
      </c>
    </row>
    <row r="2970" ht="22.5" customHeight="1">
      <c r="B2970" s="42" t="str">
        <f>IFERROR(__xludf.DUMMYFUNCTION("""COMPUTED_VALUE"""),"K/5/130325/1")</f>
        <v>K/5/130325/1</v>
      </c>
      <c r="C2970" s="42" t="str">
        <f>IFERROR(__xludf.DUMMYFUNCTION("""COMPUTED_VALUE"""),"M.1372/BAKUNG")</f>
        <v>M.1372/BAKUNG</v>
      </c>
      <c r="D2970" s="42" t="str">
        <f>IFERROR(__xludf.DUMMYFUNCTION("""COMPUTED_VALUE"""),"Berry")</f>
        <v>Berry</v>
      </c>
      <c r="E2970" s="42" t="str">
        <f>IFERROR(__xludf.DUMMYFUNCTION("""COMPUTED_VALUE"""),"DISERAHKAN")</f>
        <v>DISERAHKAN</v>
      </c>
      <c r="F2970" s="48">
        <f>IFERROR(__xludf.DUMMYFUNCTION("""COMPUTED_VALUE"""),45798.67460351852)</f>
        <v>45798.6746</v>
      </c>
      <c r="G2970" s="42" t="str">
        <f>IFERROR(__xludf.DUMMYFUNCTION("""COMPUTED_VALUE"""),"KEWARISAN")</f>
        <v>KEWARISAN</v>
      </c>
      <c r="H2970" s="42">
        <f t="shared" si="1"/>
        <v>1397</v>
      </c>
    </row>
    <row r="2971" ht="22.5" customHeight="1">
      <c r="B2971" s="42" t="str">
        <f>IFERROR(__xludf.DUMMYFUNCTION("""COMPUTED_VALUE"""),"L/6/130325/1")</f>
        <v>L/6/130325/1</v>
      </c>
      <c r="C2971" s="42" t="str">
        <f>IFERROR(__xludf.DUMMYFUNCTION("""COMPUTED_VALUE"""),"HGB 1361/PINNAG JAYA")</f>
        <v>HGB 1361/PINNAG JAYA</v>
      </c>
      <c r="D2971" s="42"/>
      <c r="E2971" s="42"/>
      <c r="F2971" s="48" t="str">
        <f>IFERROR(__xludf.DUMMYFUNCTION("""COMPUTED_VALUE"""),"")</f>
        <v/>
      </c>
      <c r="G2971" s="42" t="str">
        <f>IFERROR(__xludf.DUMMYFUNCTION("""COMPUTED_VALUE"""),"PH")</f>
        <v>PH</v>
      </c>
      <c r="H2971" s="42">
        <f t="shared" si="1"/>
        <v>1397</v>
      </c>
    </row>
    <row r="2972" ht="22.5" customHeight="1">
      <c r="B2972" s="42" t="str">
        <f>IFERROR(__xludf.DUMMYFUNCTION("""COMPUTED_VALUE"""),"K/8/130325/1")</f>
        <v>K/8/130325/1</v>
      </c>
      <c r="C2972" s="42" t="str">
        <f>IFERROR(__xludf.DUMMYFUNCTION("""COMPUTED_VALUE"""),"Nibel 2202/ Pinang Jaya")</f>
        <v>Nibel 2202/ Pinang Jaya</v>
      </c>
      <c r="D2972" s="42"/>
      <c r="E2972" s="42"/>
      <c r="F2972" s="48" t="str">
        <f>IFERROR(__xludf.DUMMYFUNCTION("""COMPUTED_VALUE"""),"")</f>
        <v/>
      </c>
      <c r="G2972" s="42" t="str">
        <f>IFERROR(__xludf.DUMMYFUNCTION("""COMPUTED_VALUE"""),"PEMECAHAN BIDANG")</f>
        <v>PEMECAHAN BIDANG</v>
      </c>
      <c r="H2972" s="42">
        <f t="shared" si="1"/>
        <v>1397</v>
      </c>
    </row>
    <row r="2973" ht="22.5" customHeight="1">
      <c r="B2973" s="42" t="str">
        <f>IFERROR(__xludf.DUMMYFUNCTION("""COMPUTED_VALUE"""),"K/12/130325/1")</f>
        <v>K/12/130325/1</v>
      </c>
      <c r="C2973" s="42" t="str">
        <f>IFERROR(__xludf.DUMMYFUNCTION("""COMPUTED_VALUE"""),"M.3028/SUKARAME II")</f>
        <v>M.3028/SUKARAME II</v>
      </c>
      <c r="D2973" s="42"/>
      <c r="E2973" s="42" t="str">
        <f>IFERROR(__xludf.DUMMYFUNCTION("""COMPUTED_VALUE"""),"DISERAHKAN")</f>
        <v>DISERAHKAN</v>
      </c>
      <c r="F2973" s="48">
        <f>IFERROR(__xludf.DUMMYFUNCTION("""COMPUTED_VALUE"""),45758.479448425926)</f>
        <v>45758.47945</v>
      </c>
      <c r="G2973" s="42" t="str">
        <f>IFERROR(__xludf.DUMMYFUNCTION("""COMPUTED_VALUE"""),"BN JUAL BELI")</f>
        <v>BN JUAL BELI</v>
      </c>
      <c r="H2973" s="42">
        <f t="shared" si="1"/>
        <v>1398</v>
      </c>
    </row>
    <row r="2974" ht="22.5" customHeight="1">
      <c r="B2974" s="42" t="str">
        <f>IFERROR(__xludf.DUMMYFUNCTION("""COMPUTED_VALUE"""),"K/9/130325/2")</f>
        <v>K/9/130325/2</v>
      </c>
      <c r="C2974" s="42" t="str">
        <f>IFERROR(__xludf.DUMMYFUNCTION("""COMPUTED_VALUE"""),"M. 729/ Tanjung Gading")</f>
        <v>M. 729/ Tanjung Gading</v>
      </c>
      <c r="D2974" s="42"/>
      <c r="E2974" s="42" t="str">
        <f>IFERROR(__xludf.DUMMYFUNCTION("""COMPUTED_VALUE"""),"DISERAHKAN")</f>
        <v>DISERAHKAN</v>
      </c>
      <c r="F2974" s="48">
        <f>IFERROR(__xludf.DUMMYFUNCTION("""COMPUTED_VALUE"""),45769.427139872685)</f>
        <v>45769.42714</v>
      </c>
      <c r="G2974" s="42" t="str">
        <f>IFERROR(__xludf.DUMMYFUNCTION("""COMPUTED_VALUE"""),"BN WARIS")</f>
        <v>BN WARIS</v>
      </c>
      <c r="H2974" s="42">
        <f t="shared" si="1"/>
        <v>1399</v>
      </c>
    </row>
    <row r="2975" ht="22.5" customHeight="1">
      <c r="B2975" s="42" t="str">
        <f>IFERROR(__xludf.DUMMYFUNCTION("""COMPUTED_VALUE"""),"K/10/130325/3")</f>
        <v>K/10/130325/3</v>
      </c>
      <c r="C2975" s="42" t="str">
        <f>IFERROR(__xludf.DUMMYFUNCTION("""COMPUTED_VALUE"""),"M. 9557/ Kampung Baru")</f>
        <v>M. 9557/ Kampung Baru</v>
      </c>
      <c r="D2975" s="42"/>
      <c r="E2975" s="42" t="str">
        <f>IFERROR(__xludf.DUMMYFUNCTION("""COMPUTED_VALUE"""),"DISERAHKAN")</f>
        <v>DISERAHKAN</v>
      </c>
      <c r="F2975" s="48">
        <f>IFERROR(__xludf.DUMMYFUNCTION("""COMPUTED_VALUE"""),45743.43873440972)</f>
        <v>45743.43873</v>
      </c>
      <c r="G2975" s="42" t="str">
        <f>IFERROR(__xludf.DUMMYFUNCTION("""COMPUTED_VALUE"""),"BN JUAL BELI")</f>
        <v>BN JUAL BELI</v>
      </c>
      <c r="H2975" s="42">
        <f t="shared" si="1"/>
        <v>1400</v>
      </c>
    </row>
    <row r="2976" ht="22.5" customHeight="1">
      <c r="B2976" s="42" t="str">
        <f>IFERROR(__xludf.DUMMYFUNCTION("""COMPUTED_VALUE"""),"K/11/130325/4")</f>
        <v>K/11/130325/4</v>
      </c>
      <c r="C2976" s="42" t="str">
        <f>IFERROR(__xludf.DUMMYFUNCTION("""COMPUTED_VALUE"""),"M. 15126/ Sukarame")</f>
        <v>M. 15126/ Sukarame</v>
      </c>
      <c r="D2976" s="42"/>
      <c r="E2976" s="42" t="str">
        <f>IFERROR(__xludf.DUMMYFUNCTION("""COMPUTED_VALUE"""),"DISERAHKAN")</f>
        <v>DISERAHKAN</v>
      </c>
      <c r="F2976" s="48">
        <f>IFERROR(__xludf.DUMMYFUNCTION("""COMPUTED_VALUE"""),45769.42728657408)</f>
        <v>45769.42729</v>
      </c>
      <c r="G2976" s="42" t="str">
        <f>IFERROR(__xludf.DUMMYFUNCTION("""COMPUTED_VALUE"""),"BN JUAL BELI")</f>
        <v>BN JUAL BELI</v>
      </c>
      <c r="H2976" s="42">
        <f t="shared" si="1"/>
        <v>1401</v>
      </c>
    </row>
    <row r="2977" ht="22.5" customHeight="1">
      <c r="B2977" s="42" t="str">
        <f>IFERROR(__xludf.DUMMYFUNCTION("""COMPUTED_VALUE"""),"K/7/130325/1")</f>
        <v>K/7/130325/1</v>
      </c>
      <c r="C2977" s="42" t="str">
        <f>IFERROR(__xludf.DUMMYFUNCTION("""COMPUTED_VALUE"""),"M.10674/SEGALA MIDER")</f>
        <v>M.10674/SEGALA MIDER</v>
      </c>
      <c r="D2977" s="42"/>
      <c r="E2977" s="42" t="str">
        <f>IFERROR(__xludf.DUMMYFUNCTION("""COMPUTED_VALUE"""),"DISERAHKAN")</f>
        <v>DISERAHKAN</v>
      </c>
      <c r="F2977" s="48">
        <f>IFERROR(__xludf.DUMMYFUNCTION("""COMPUTED_VALUE"""),45769.427980162036)</f>
        <v>45769.42798</v>
      </c>
      <c r="G2977" s="42" t="str">
        <f>IFERROR(__xludf.DUMMYFUNCTION("""COMPUTED_VALUE"""),"JUAL BELI")</f>
        <v>JUAL BELI</v>
      </c>
      <c r="H2977" s="42">
        <f t="shared" si="1"/>
        <v>1402</v>
      </c>
    </row>
    <row r="2978" ht="22.5" customHeight="1">
      <c r="B2978" s="42" t="str">
        <f>IFERROR(__xludf.DUMMYFUNCTION("""COMPUTED_VALUE"""),"K/13/130325/2")</f>
        <v>K/13/130325/2</v>
      </c>
      <c r="C2978" s="42" t="str">
        <f>IFERROR(__xludf.DUMMYFUNCTION("""COMPUTED_VALUE"""),"M.3012/SUKARAME II")</f>
        <v>M.3012/SUKARAME II</v>
      </c>
      <c r="D2978" s="42"/>
      <c r="E2978" s="42" t="str">
        <f>IFERROR(__xludf.DUMMYFUNCTION("""COMPUTED_VALUE"""),"DISERAHKAN")</f>
        <v>DISERAHKAN</v>
      </c>
      <c r="F2978" s="48">
        <f>IFERROR(__xludf.DUMMYFUNCTION("""COMPUTED_VALUE"""),45743.43483971065)</f>
        <v>45743.43484</v>
      </c>
      <c r="G2978" s="42" t="str">
        <f>IFERROR(__xludf.DUMMYFUNCTION("""COMPUTED_VALUE"""),"BN JUAL BELI")</f>
        <v>BN JUAL BELI</v>
      </c>
      <c r="H2978" s="42">
        <f t="shared" si="1"/>
        <v>1403</v>
      </c>
    </row>
    <row r="2979" ht="22.5" customHeight="1">
      <c r="B2979" s="42" t="str">
        <f>IFERROR(__xludf.DUMMYFUNCTION("""COMPUTED_VALUE"""),"K/17/130325/1")</f>
        <v>K/17/130325/1</v>
      </c>
      <c r="C2979" s="42" t="str">
        <f>IFERROR(__xludf.DUMMYFUNCTION("""COMPUTED_VALUE"""),"M. 1510/ Rajabasa Nunyai")</f>
        <v>M. 1510/ Rajabasa Nunyai</v>
      </c>
      <c r="D2979" s="42"/>
      <c r="E2979" s="42" t="str">
        <f>IFERROR(__xludf.DUMMYFUNCTION("""COMPUTED_VALUE"""),"DISERAHKAN")</f>
        <v>DISERAHKAN</v>
      </c>
      <c r="F2979" s="48">
        <f>IFERROR(__xludf.DUMMYFUNCTION("""COMPUTED_VALUE"""),45758.47687186343)</f>
        <v>45758.47687</v>
      </c>
      <c r="G2979" s="42" t="str">
        <f>IFERROR(__xludf.DUMMYFUNCTION("""COMPUTED_VALUE"""),"BN Jual Beli")</f>
        <v>BN Jual Beli</v>
      </c>
      <c r="H2979" s="42">
        <f t="shared" si="1"/>
        <v>1404</v>
      </c>
    </row>
    <row r="2980" ht="22.5" customHeight="1">
      <c r="B2980" s="42" t="str">
        <f>IFERROR(__xludf.DUMMYFUNCTION("""COMPUTED_VALUE"""),"K/14/130325/1")</f>
        <v>K/14/130325/1</v>
      </c>
      <c r="C2980" s="42" t="str">
        <f>IFERROR(__xludf.DUMMYFUNCTION("""COMPUTED_VALUE"""),"M. 2456/KEDAUNG")</f>
        <v>M. 2456/KEDAUNG</v>
      </c>
      <c r="D2980" s="42"/>
      <c r="E2980" s="42" t="str">
        <f>IFERROR(__xludf.DUMMYFUNCTION("""COMPUTED_VALUE"""),"DISERAHKAN")</f>
        <v>DISERAHKAN</v>
      </c>
      <c r="F2980" s="48">
        <f>IFERROR(__xludf.DUMMYFUNCTION("""COMPUTED_VALUE"""),45758.47425648148)</f>
        <v>45758.47426</v>
      </c>
      <c r="G2980" s="42" t="str">
        <f>IFERROR(__xludf.DUMMYFUNCTION("""COMPUTED_VALUE"""),"BN JUAL BELI")</f>
        <v>BN JUAL BELI</v>
      </c>
      <c r="H2980" s="42">
        <f t="shared" si="1"/>
        <v>1405</v>
      </c>
    </row>
    <row r="2981" ht="22.5" customHeight="1">
      <c r="B2981" s="42" t="str">
        <f>IFERROR(__xludf.DUMMYFUNCTION("""COMPUTED_VALUE"""),"K/15/130325/2")</f>
        <v>K/15/130325/2</v>
      </c>
      <c r="C2981" s="42" t="str">
        <f>IFERROR(__xludf.DUMMYFUNCTION("""COMPUTED_VALUE"""),"M. 1143/PEMATANG WANGI")</f>
        <v>M. 1143/PEMATANG WANGI</v>
      </c>
      <c r="D2981" s="42"/>
      <c r="E2981" s="42"/>
      <c r="F2981" s="48" t="str">
        <f>IFERROR(__xludf.DUMMYFUNCTION("""COMPUTED_VALUE"""),"")</f>
        <v/>
      </c>
      <c r="G2981" s="42" t="str">
        <f>IFERROR(__xludf.DUMMYFUNCTION("""COMPUTED_VALUE"""),"PEMECAHAN")</f>
        <v>PEMECAHAN</v>
      </c>
      <c r="H2981" s="42">
        <f t="shared" si="1"/>
        <v>1405</v>
      </c>
    </row>
    <row r="2982" ht="22.5" customHeight="1">
      <c r="B2982" s="42" t="str">
        <f>IFERROR(__xludf.DUMMYFUNCTION("""COMPUTED_VALUE"""),"K/16/130325/3")</f>
        <v>K/16/130325/3</v>
      </c>
      <c r="C2982" s="42" t="str">
        <f>IFERROR(__xludf.DUMMYFUNCTION("""COMPUTED_VALUE"""),"M. 12354/KEDATON")</f>
        <v>M. 12354/KEDATON</v>
      </c>
      <c r="D2982" s="42" t="str">
        <f>IFERROR(__xludf.DUMMYFUNCTION("""COMPUTED_VALUE"""),"David")</f>
        <v>David</v>
      </c>
      <c r="E2982" s="42" t="str">
        <f>IFERROR(__xludf.DUMMYFUNCTION("""COMPUTED_VALUE"""),"DISERAHKAN")</f>
        <v>DISERAHKAN</v>
      </c>
      <c r="F2982" s="48">
        <f>IFERROR(__xludf.DUMMYFUNCTION("""COMPUTED_VALUE"""),45825.66044409722)</f>
        <v>45825.66044</v>
      </c>
      <c r="G2982" s="42" t="str">
        <f>IFERROR(__xludf.DUMMYFUNCTION("""COMPUTED_VALUE"""),"ROYA")</f>
        <v>ROYA</v>
      </c>
      <c r="H2982" s="42">
        <f t="shared" si="1"/>
        <v>1406</v>
      </c>
    </row>
    <row r="2983" ht="22.5" customHeight="1">
      <c r="B2983" s="42" t="str">
        <f>IFERROR(__xludf.DUMMYFUNCTION("""COMPUTED_VALUE"""),"K/18/130325/1")</f>
        <v>K/18/130325/1</v>
      </c>
      <c r="C2983" s="42" t="str">
        <f>IFERROR(__xludf.DUMMYFUNCTION("""COMPUTED_VALUE"""),"PBT 44/2024 WAY DADI BARU")</f>
        <v>PBT 44/2024 WAY DADI BARU</v>
      </c>
      <c r="D2983" s="42"/>
      <c r="E2983" s="42"/>
      <c r="F2983" s="48" t="str">
        <f>IFERROR(__xludf.DUMMYFUNCTION("""COMPUTED_VALUE"""),"")</f>
        <v/>
      </c>
      <c r="G2983" s="42" t="str">
        <f>IFERROR(__xludf.DUMMYFUNCTION("""COMPUTED_VALUE"""),"PERMOHONAN SK")</f>
        <v>PERMOHONAN SK</v>
      </c>
      <c r="H2983" s="42">
        <f t="shared" si="1"/>
        <v>1406</v>
      </c>
    </row>
    <row r="2984" ht="22.5" customHeight="1">
      <c r="B2984" s="42" t="str">
        <f>IFERROR(__xludf.DUMMYFUNCTION("""COMPUTED_VALUE"""),"K/19/130325/1")</f>
        <v>K/19/130325/1</v>
      </c>
      <c r="C2984" s="42" t="str">
        <f>IFERROR(__xludf.DUMMYFUNCTION("""COMPUTED_VALUE"""),"M. 555/ Sumber rejo")</f>
        <v>M. 555/ Sumber rejo</v>
      </c>
      <c r="D2984" s="42"/>
      <c r="E2984" s="42" t="str">
        <f>IFERROR(__xludf.DUMMYFUNCTION("""COMPUTED_VALUE"""),"DISERAHKAN")</f>
        <v>DISERAHKAN</v>
      </c>
      <c r="F2984" s="48">
        <f>IFERROR(__xludf.DUMMYFUNCTION("""COMPUTED_VALUE"""),45743.43635172454)</f>
        <v>45743.43635</v>
      </c>
      <c r="G2984" s="42" t="str">
        <f>IFERROR(__xludf.DUMMYFUNCTION("""COMPUTED_VALUE"""),"BN WARIS")</f>
        <v>BN WARIS</v>
      </c>
      <c r="H2984" s="42">
        <f t="shared" si="1"/>
        <v>1407</v>
      </c>
    </row>
    <row r="2985" ht="22.5" customHeight="1">
      <c r="B2985" s="42" t="str">
        <f>IFERROR(__xludf.DUMMYFUNCTION("""COMPUTED_VALUE"""),"L/20/130325/1")</f>
        <v>L/20/130325/1</v>
      </c>
      <c r="C2985" s="42" t="str">
        <f>IFERROR(__xludf.DUMMYFUNCTION("""COMPUTED_VALUE"""),"HP 01/TANJUNG AGUNG")</f>
        <v>HP 01/TANJUNG AGUNG</v>
      </c>
      <c r="D2985" s="42"/>
      <c r="E2985" s="42"/>
      <c r="F2985" s="48" t="str">
        <f>IFERROR(__xludf.DUMMYFUNCTION("""COMPUTED_VALUE"""),"")</f>
        <v/>
      </c>
      <c r="G2985" s="42" t="str">
        <f>IFERROR(__xludf.DUMMYFUNCTION("""COMPUTED_VALUE"""),"PENGHAPUSAN HAK")</f>
        <v>PENGHAPUSAN HAK</v>
      </c>
      <c r="H2985" s="42">
        <f t="shared" si="1"/>
        <v>1407</v>
      </c>
    </row>
    <row r="2986" ht="22.5" customHeight="1">
      <c r="B2986" s="42" t="str">
        <f>IFERROR(__xludf.DUMMYFUNCTION("""COMPUTED_VALUE"""),"K/21/130325/1")</f>
        <v>K/21/130325/1</v>
      </c>
      <c r="C2986" s="42" t="str">
        <f>IFERROR(__xludf.DUMMYFUNCTION("""COMPUTED_VALUE"""),"HGB 204/SURABAYA (PBT 326/2024)")</f>
        <v>HGB 204/SURABAYA (PBT 326/2024)</v>
      </c>
      <c r="D2986" s="42"/>
      <c r="E2986" s="42"/>
      <c r="F2986" s="48" t="str">
        <f>IFERROR(__xludf.DUMMYFUNCTION("""COMPUTED_VALUE"""),"")</f>
        <v/>
      </c>
      <c r="G2986" s="42" t="str">
        <f>IFERROR(__xludf.DUMMYFUNCTION("""COMPUTED_VALUE"""),"PERMOHONAN SK KONSTATASI")</f>
        <v>PERMOHONAN SK KONSTATASI</v>
      </c>
      <c r="H2986" s="42">
        <f t="shared" si="1"/>
        <v>1407</v>
      </c>
    </row>
    <row r="2987" ht="22.5" customHeight="1">
      <c r="B2987" s="42" t="str">
        <f>IFERROR(__xludf.DUMMYFUNCTION("""COMPUTED_VALUE"""),"K/22/130325/1")</f>
        <v>K/22/130325/1</v>
      </c>
      <c r="C2987" s="42" t="str">
        <f>IFERROR(__xludf.DUMMYFUNCTION("""COMPUTED_VALUE"""),"M. 545/ Way Halim Permai")</f>
        <v>M. 545/ Way Halim Permai</v>
      </c>
      <c r="D2987" s="42"/>
      <c r="E2987" s="42" t="str">
        <f>IFERROR(__xludf.DUMMYFUNCTION("""COMPUTED_VALUE"""),"DISERAHKAN")</f>
        <v>DISERAHKAN</v>
      </c>
      <c r="F2987" s="48">
        <f>IFERROR(__xludf.DUMMYFUNCTION("""COMPUTED_VALUE"""),45761.44036685185)</f>
        <v>45761.44037</v>
      </c>
      <c r="G2987" s="42" t="str">
        <f>IFERROR(__xludf.DUMMYFUNCTION("""COMPUTED_VALUE"""),"BN Hibah")</f>
        <v>BN Hibah</v>
      </c>
      <c r="H2987" s="42">
        <f t="shared" si="1"/>
        <v>1408</v>
      </c>
    </row>
    <row r="2988" ht="22.5" customHeight="1">
      <c r="B2988" s="42" t="str">
        <f>IFERROR(__xludf.DUMMYFUNCTION("""COMPUTED_VALUE"""),"L/23/130325/1")</f>
        <v>L/23/130325/1</v>
      </c>
      <c r="C2988" s="42" t="str">
        <f>IFERROR(__xludf.DUMMYFUNCTION("""COMPUTED_VALUE"""),"HM 06 BAKUNG")</f>
        <v>HM 06 BAKUNG</v>
      </c>
      <c r="D2988" s="42"/>
      <c r="E2988" s="42"/>
      <c r="F2988" s="48" t="str">
        <f>IFERROR(__xludf.DUMMYFUNCTION("""COMPUTED_VALUE"""),"")</f>
        <v/>
      </c>
      <c r="G2988" s="42" t="str">
        <f>IFERROR(__xludf.DUMMYFUNCTION("""COMPUTED_VALUE"""),"PTPGT")</f>
        <v>PTPGT</v>
      </c>
      <c r="H2988" s="42">
        <f t="shared" si="1"/>
        <v>1408</v>
      </c>
    </row>
    <row r="2989" ht="22.5" customHeight="1">
      <c r="B2989" s="42" t="str">
        <f>IFERROR(__xludf.DUMMYFUNCTION("""COMPUTED_VALUE"""),"L/24/130325/1")</f>
        <v>L/24/130325/1</v>
      </c>
      <c r="C2989" s="42" t="str">
        <f>IFERROR(__xludf.DUMMYFUNCTION("""COMPUTED_VALUE"""),"SUKARAME")</f>
        <v>SUKARAME</v>
      </c>
      <c r="D2989" s="42"/>
      <c r="E2989" s="42"/>
      <c r="F2989" s="48" t="str">
        <f>IFERROR(__xludf.DUMMYFUNCTION("""COMPUTED_VALUE"""),"")</f>
        <v/>
      </c>
      <c r="G2989" s="42" t="str">
        <f>IFERROR(__xludf.DUMMYFUNCTION("""COMPUTED_VALUE"""),"PERMOHONAN SK")</f>
        <v>PERMOHONAN SK</v>
      </c>
      <c r="H2989" s="42">
        <f t="shared" si="1"/>
        <v>1408</v>
      </c>
    </row>
    <row r="2990" ht="22.5" customHeight="1">
      <c r="B2990" s="42" t="str">
        <f>IFERROR(__xludf.DUMMYFUNCTION("""COMPUTED_VALUE"""),"K/25/130325/1")</f>
        <v>K/25/130325/1</v>
      </c>
      <c r="C2990" s="42" t="str">
        <f>IFERROR(__xludf.DUMMYFUNCTION("""COMPUTED_VALUE"""),"SK NO 36/HGB")</f>
        <v>SK NO 36/HGB</v>
      </c>
      <c r="D2990" s="42"/>
      <c r="E2990" s="42"/>
      <c r="F2990" s="48" t="str">
        <f>IFERROR(__xludf.DUMMYFUNCTION("""COMPUTED_VALUE"""),"")</f>
        <v/>
      </c>
      <c r="G2990" s="42" t="str">
        <f>IFERROR(__xludf.DUMMYFUNCTION("""COMPUTED_VALUE"""),"PENDAFATARAN SK")</f>
        <v>PENDAFATARAN SK</v>
      </c>
      <c r="H2990" s="42">
        <f t="shared" si="1"/>
        <v>1408</v>
      </c>
    </row>
    <row r="2991" ht="22.5" customHeight="1">
      <c r="B2991" s="42" t="str">
        <f>IFERROR(__xludf.DUMMYFUNCTION("""COMPUTED_VALUE"""),"L/29/130325/1")</f>
        <v>L/29/130325/1</v>
      </c>
      <c r="C2991" s="42" t="str">
        <f>IFERROR(__xludf.DUMMYFUNCTION("""COMPUTED_VALUE"""),"HGB 145/NOG")</f>
        <v>HGB 145/NOG</v>
      </c>
      <c r="D2991" s="42"/>
      <c r="E2991" s="42" t="str">
        <f>IFERROR(__xludf.DUMMYFUNCTION("""COMPUTED_VALUE"""),"DISERAHKAN")</f>
        <v>DISERAHKAN</v>
      </c>
      <c r="F2991" s="48">
        <f>IFERROR(__xludf.DUMMYFUNCTION("""COMPUTED_VALUE"""),45783.47197143518)</f>
        <v>45783.47197</v>
      </c>
      <c r="G2991" s="42" t="str">
        <f>IFERROR(__xludf.DUMMYFUNCTION("""COMPUTED_VALUE"""),"ROYA")</f>
        <v>ROYA</v>
      </c>
      <c r="H2991" s="42">
        <f t="shared" si="1"/>
        <v>1409</v>
      </c>
    </row>
    <row r="2992" ht="22.5" customHeight="1">
      <c r="B2992" s="42" t="str">
        <f>IFERROR(__xludf.DUMMYFUNCTION("""COMPUTED_VALUE"""),"K/26/130325/1")</f>
        <v>K/26/130325/1</v>
      </c>
      <c r="C2992" s="42" t="str">
        <f>IFERROR(__xludf.DUMMYFUNCTION("""COMPUTED_VALUE"""),"M. 5982/ Way Kandis")</f>
        <v>M. 5982/ Way Kandis</v>
      </c>
      <c r="D2992" s="42"/>
      <c r="E2992" s="42" t="str">
        <f>IFERROR(__xludf.DUMMYFUNCTION("""COMPUTED_VALUE"""),"DISERAHKAN")</f>
        <v>DISERAHKAN</v>
      </c>
      <c r="F2992" s="48">
        <f>IFERROR(__xludf.DUMMYFUNCTION("""COMPUTED_VALUE"""),45764.59527305556)</f>
        <v>45764.59527</v>
      </c>
      <c r="G2992" s="42" t="str">
        <f>IFERROR(__xludf.DUMMYFUNCTION("""COMPUTED_VALUE"""),"BN WARIS")</f>
        <v>BN WARIS</v>
      </c>
      <c r="H2992" s="42">
        <f t="shared" si="1"/>
        <v>1410</v>
      </c>
    </row>
    <row r="2993" ht="22.5" customHeight="1">
      <c r="B2993" s="42" t="str">
        <f>IFERROR(__xludf.DUMMYFUNCTION("""COMPUTED_VALUE"""),"K/27/130325/2")</f>
        <v>K/27/130325/2</v>
      </c>
      <c r="C2993" s="42" t="str">
        <f>IFERROR(__xludf.DUMMYFUNCTION("""COMPUTED_VALUE"""),"M. 5984/ Way Kandis")</f>
        <v>M. 5984/ Way Kandis</v>
      </c>
      <c r="D2993" s="42"/>
      <c r="E2993" s="42" t="str">
        <f>IFERROR(__xludf.DUMMYFUNCTION("""COMPUTED_VALUE"""),"DISERAHKAN")</f>
        <v>DISERAHKAN</v>
      </c>
      <c r="F2993" s="48">
        <f>IFERROR(__xludf.DUMMYFUNCTION("""COMPUTED_VALUE"""),45764.59733023148)</f>
        <v>45764.59733</v>
      </c>
      <c r="G2993" s="42" t="str">
        <f>IFERROR(__xludf.DUMMYFUNCTION("""COMPUTED_VALUE"""),"BN WARIS")</f>
        <v>BN WARIS</v>
      </c>
      <c r="H2993" s="42">
        <f t="shared" si="1"/>
        <v>1411</v>
      </c>
    </row>
    <row r="2994" ht="22.5" customHeight="1">
      <c r="B2994" s="42" t="str">
        <f>IFERROR(__xludf.DUMMYFUNCTION("""COMPUTED_VALUE"""),"K/28/130325/3")</f>
        <v>K/28/130325/3</v>
      </c>
      <c r="C2994" s="42" t="str">
        <f>IFERROR(__xludf.DUMMYFUNCTION("""COMPUTED_VALUE"""),"M. 5983/ Way Kandis")</f>
        <v>M. 5983/ Way Kandis</v>
      </c>
      <c r="D2994" s="42"/>
      <c r="E2994" s="42" t="str">
        <f>IFERROR(__xludf.DUMMYFUNCTION("""COMPUTED_VALUE"""),"DISERAHKAN")</f>
        <v>DISERAHKAN</v>
      </c>
      <c r="F2994" s="48">
        <f>IFERROR(__xludf.DUMMYFUNCTION("""COMPUTED_VALUE"""),45764.594826875)</f>
        <v>45764.59483</v>
      </c>
      <c r="G2994" s="42" t="str">
        <f>IFERROR(__xludf.DUMMYFUNCTION("""COMPUTED_VALUE"""),"BN WARIS")</f>
        <v>BN WARIS</v>
      </c>
      <c r="H2994" s="42">
        <f t="shared" si="1"/>
        <v>1412</v>
      </c>
    </row>
    <row r="2995" ht="22.5" customHeight="1">
      <c r="B2995" s="42" t="str">
        <f>IFERROR(__xludf.DUMMYFUNCTION("""COMPUTED_VALUE"""),"K/30/130325/1")</f>
        <v>K/30/130325/1</v>
      </c>
      <c r="C2995" s="42" t="str">
        <f>IFERROR(__xludf.DUMMYFUNCTION("""COMPUTED_VALUE"""),"M.2134/SUKADANA HAM")</f>
        <v>M.2134/SUKADANA HAM</v>
      </c>
      <c r="D2995" s="42"/>
      <c r="E2995" s="42"/>
      <c r="F2995" s="48" t="str">
        <f>IFERROR(__xludf.DUMMYFUNCTION("""COMPUTED_VALUE"""),"")</f>
        <v/>
      </c>
      <c r="G2995" s="42" t="str">
        <f>IFERROR(__xludf.DUMMYFUNCTION("""COMPUTED_VALUE"""),"BLOKIR")</f>
        <v>BLOKIR</v>
      </c>
      <c r="H2995" s="42">
        <f t="shared" si="1"/>
        <v>1412</v>
      </c>
    </row>
    <row r="2996" ht="22.5" customHeight="1">
      <c r="B2996" s="42" t="str">
        <f>IFERROR(__xludf.DUMMYFUNCTION("""COMPUTED_VALUE"""),"K/32/130325/1")</f>
        <v>K/32/130325/1</v>
      </c>
      <c r="C2996" s="42" t="str">
        <f>IFERROR(__xludf.DUMMYFUNCTION("""COMPUTED_VALUE"""),"M. 5815/ Way Kandis")</f>
        <v>M. 5815/ Way Kandis</v>
      </c>
      <c r="D2996" s="42"/>
      <c r="E2996" s="42"/>
      <c r="F2996" s="48" t="str">
        <f>IFERROR(__xludf.DUMMYFUNCTION("""COMPUTED_VALUE"""),"")</f>
        <v/>
      </c>
      <c r="G2996" s="42" t="str">
        <f>IFERROR(__xludf.DUMMYFUNCTION("""COMPUTED_VALUE"""),"HAPUS BPHTB")</f>
        <v>HAPUS BPHTB</v>
      </c>
      <c r="H2996" s="42">
        <f t="shared" si="1"/>
        <v>1412</v>
      </c>
    </row>
    <row r="2997" ht="22.5" customHeight="1">
      <c r="B2997" s="42" t="str">
        <f>IFERROR(__xludf.DUMMYFUNCTION("""COMPUTED_VALUE"""),"K/33/130325/2")</f>
        <v>K/33/130325/2</v>
      </c>
      <c r="C2997" s="42" t="str">
        <f>IFERROR(__xludf.DUMMYFUNCTION("""COMPUTED_VALUE"""),"Nibel 12916/ Pinang Jaya")</f>
        <v>Nibel 12916/ Pinang Jaya</v>
      </c>
      <c r="D2997" s="42"/>
      <c r="E2997" s="42"/>
      <c r="F2997" s="48" t="str">
        <f>IFERROR(__xludf.DUMMYFUNCTION("""COMPUTED_VALUE"""),"")</f>
        <v/>
      </c>
      <c r="G2997" s="42" t="str">
        <f>IFERROR(__xludf.DUMMYFUNCTION("""COMPUTED_VALUE"""),"BN LELANG")</f>
        <v>BN LELANG</v>
      </c>
      <c r="H2997" s="42">
        <f t="shared" si="1"/>
        <v>1412</v>
      </c>
    </row>
    <row r="2998" ht="22.5" customHeight="1">
      <c r="B2998" s="42" t="str">
        <f>IFERROR(__xludf.DUMMYFUNCTION("""COMPUTED_VALUE"""),"L/35/130325/1")</f>
        <v>L/35/130325/1</v>
      </c>
      <c r="C2998" s="42" t="str">
        <f>IFERROR(__xludf.DUMMYFUNCTION("""COMPUTED_VALUE"""),"NIB 17422/KOTA BARU")</f>
        <v>NIB 17422/KOTA BARU</v>
      </c>
      <c r="D2998" s="42"/>
      <c r="E2998" s="42"/>
      <c r="F2998" s="48" t="str">
        <f>IFERROR(__xludf.DUMMYFUNCTION("""COMPUTED_VALUE"""),"")</f>
        <v/>
      </c>
      <c r="G2998" s="42" t="str">
        <f>IFERROR(__xludf.DUMMYFUNCTION("""COMPUTED_VALUE"""),"PENATAAN BATAS")</f>
        <v>PENATAAN BATAS</v>
      </c>
      <c r="H2998" s="42">
        <f t="shared" si="1"/>
        <v>1412</v>
      </c>
    </row>
    <row r="2999" ht="22.5" customHeight="1">
      <c r="B2999" s="42" t="str">
        <f>IFERROR(__xludf.DUMMYFUNCTION("""COMPUTED_VALUE"""),"L/36/130325/1")</f>
        <v>L/36/130325/1</v>
      </c>
      <c r="C2999" s="42" t="str">
        <f>IFERROR(__xludf.DUMMYFUNCTION("""COMPUTED_VALUE"""),"HM 571/KORPRI RAYA")</f>
        <v>HM 571/KORPRI RAYA</v>
      </c>
      <c r="D2999" s="42"/>
      <c r="E2999" s="42"/>
      <c r="F2999" s="48" t="str">
        <f>IFERROR(__xludf.DUMMYFUNCTION("""COMPUTED_VALUE"""),"")</f>
        <v/>
      </c>
      <c r="G2999" s="42" t="str">
        <f>IFERROR(__xludf.DUMMYFUNCTION("""COMPUTED_VALUE"""),"BN WARIS")</f>
        <v>BN WARIS</v>
      </c>
      <c r="H2999" s="42">
        <f t="shared" si="1"/>
        <v>1412</v>
      </c>
    </row>
    <row r="3000" ht="22.5" customHeight="1">
      <c r="B3000" s="42" t="str">
        <f>IFERROR(__xludf.DUMMYFUNCTION("""COMPUTED_VALUE"""),"K/34/130325/1")</f>
        <v>K/34/130325/1</v>
      </c>
      <c r="C3000" s="42" t="str">
        <f>IFERROR(__xludf.DUMMYFUNCTION("""COMPUTED_VALUE"""),"M. 6883/ Tanjung Senang")</f>
        <v>M. 6883/ Tanjung Senang</v>
      </c>
      <c r="D3000" s="42"/>
      <c r="E3000" s="42"/>
      <c r="F3000" s="48" t="str">
        <f>IFERROR(__xludf.DUMMYFUNCTION("""COMPUTED_VALUE"""),"")</f>
        <v/>
      </c>
      <c r="G3000" s="42" t="str">
        <f>IFERROR(__xludf.DUMMYFUNCTION("""COMPUTED_VALUE"""),"BN Jual Beli")</f>
        <v>BN Jual Beli</v>
      </c>
      <c r="H3000" s="42">
        <f t="shared" si="1"/>
        <v>1412</v>
      </c>
    </row>
    <row r="3001" ht="22.5" customHeight="1">
      <c r="B3001" s="42" t="str">
        <f>IFERROR(__xludf.DUMMYFUNCTION("""COMPUTED_VALUE"""),"K/37/130325/2")</f>
        <v>K/37/130325/2</v>
      </c>
      <c r="C3001" s="42" t="str">
        <f>IFERROR(__xludf.DUMMYFUNCTION("""COMPUTED_VALUE"""),"Nibel. M. 16225/ Sukamaju")</f>
        <v>Nibel. M. 16225/ Sukamaju</v>
      </c>
      <c r="D3001" s="42"/>
      <c r="E3001" s="42"/>
      <c r="F3001" s="48" t="str">
        <f>IFERROR(__xludf.DUMMYFUNCTION("""COMPUTED_VALUE"""),"")</f>
        <v/>
      </c>
      <c r="G3001" s="42" t="str">
        <f>IFERROR(__xludf.DUMMYFUNCTION("""COMPUTED_VALUE"""),"Bn Jual Beli")</f>
        <v>Bn Jual Beli</v>
      </c>
      <c r="H3001" s="42">
        <f t="shared" si="1"/>
        <v>1412</v>
      </c>
    </row>
    <row r="3002" ht="22.5" customHeight="1">
      <c r="B3002" s="42" t="str">
        <f>IFERROR(__xludf.DUMMYFUNCTION("""COMPUTED_VALUE"""),"K/38/130325/3")</f>
        <v>K/38/130325/3</v>
      </c>
      <c r="C3002" s="42" t="str">
        <f>IFERROR(__xludf.DUMMYFUNCTION("""COMPUTED_VALUE"""),"Nibel. M. 16233/ Sukamaju")</f>
        <v>Nibel. M. 16233/ Sukamaju</v>
      </c>
      <c r="D3002" s="42"/>
      <c r="E3002" s="42"/>
      <c r="F3002" s="48" t="str">
        <f>IFERROR(__xludf.DUMMYFUNCTION("""COMPUTED_VALUE"""),"")</f>
        <v/>
      </c>
      <c r="G3002" s="42" t="str">
        <f>IFERROR(__xludf.DUMMYFUNCTION("""COMPUTED_VALUE"""),"BN Jual Beli")</f>
        <v>BN Jual Beli</v>
      </c>
      <c r="H3002" s="42">
        <f t="shared" si="1"/>
        <v>1412</v>
      </c>
    </row>
    <row r="3003" ht="22.5" customHeight="1">
      <c r="B3003" s="42" t="str">
        <f>IFERROR(__xludf.DUMMYFUNCTION("""COMPUTED_VALUE"""),"K/39/130325/4")</f>
        <v>K/39/130325/4</v>
      </c>
      <c r="C3003" s="42" t="str">
        <f>IFERROR(__xludf.DUMMYFUNCTION("""COMPUTED_VALUE"""),"Nibel. M. 16218/ Sukamaju")</f>
        <v>Nibel. M. 16218/ Sukamaju</v>
      </c>
      <c r="D3003" s="42"/>
      <c r="E3003" s="42"/>
      <c r="F3003" s="48" t="str">
        <f>IFERROR(__xludf.DUMMYFUNCTION("""COMPUTED_VALUE"""),"")</f>
        <v/>
      </c>
      <c r="G3003" s="42" t="str">
        <f>IFERROR(__xludf.DUMMYFUNCTION("""COMPUTED_VALUE"""),"BN Jual Beli")</f>
        <v>BN Jual Beli</v>
      </c>
      <c r="H3003" s="42">
        <f t="shared" si="1"/>
        <v>1412</v>
      </c>
    </row>
    <row r="3004" ht="22.5" customHeight="1">
      <c r="B3004" s="42" t="str">
        <f>IFERROR(__xludf.DUMMYFUNCTION("""COMPUTED_VALUE"""),"K/40/130325/5")</f>
        <v>K/40/130325/5</v>
      </c>
      <c r="C3004" s="42" t="str">
        <f>IFERROR(__xludf.DUMMYFUNCTION("""COMPUTED_VALUE"""),"Nibel. M. 16222/ Sukamaju")</f>
        <v>Nibel. M. 16222/ Sukamaju</v>
      </c>
      <c r="D3004" s="42"/>
      <c r="E3004" s="42"/>
      <c r="F3004" s="48" t="str">
        <f>IFERROR(__xludf.DUMMYFUNCTION("""COMPUTED_VALUE"""),"")</f>
        <v/>
      </c>
      <c r="G3004" s="42" t="str">
        <f>IFERROR(__xludf.DUMMYFUNCTION("""COMPUTED_VALUE"""),"BN Jual Beli")</f>
        <v>BN Jual Beli</v>
      </c>
      <c r="H3004" s="42">
        <f t="shared" si="1"/>
        <v>1412</v>
      </c>
    </row>
    <row r="3005" ht="22.5" customHeight="1">
      <c r="B3005" s="42" t="str">
        <f>IFERROR(__xludf.DUMMYFUNCTION("""COMPUTED_VALUE"""),"K/41/130325/1")</f>
        <v>K/41/130325/1</v>
      </c>
      <c r="C3005" s="42" t="str">
        <f>IFERROR(__xludf.DUMMYFUNCTION("""COMPUTED_VALUE"""),"M. 2670/ Langkapura")</f>
        <v>M. 2670/ Langkapura</v>
      </c>
      <c r="D3005" s="42" t="str">
        <f>IFERROR(__xludf.DUMMYFUNCTION("""COMPUTED_VALUE"""),"Berry")</f>
        <v>Berry</v>
      </c>
      <c r="E3005" s="42" t="str">
        <f>IFERROR(__xludf.DUMMYFUNCTION("""COMPUTED_VALUE"""),"DISERAHKAN")</f>
        <v>DISERAHKAN</v>
      </c>
      <c r="F3005" s="48">
        <f>IFERROR(__xludf.DUMMYFUNCTION("""COMPUTED_VALUE"""),45792.48505746528)</f>
        <v>45792.48506</v>
      </c>
      <c r="G3005" s="42" t="str">
        <f>IFERROR(__xludf.DUMMYFUNCTION("""COMPUTED_VALUE"""),"ROYA")</f>
        <v>ROYA</v>
      </c>
      <c r="H3005" s="42">
        <f t="shared" si="1"/>
        <v>1413</v>
      </c>
    </row>
    <row r="3006" ht="22.5" customHeight="1">
      <c r="B3006" s="42" t="str">
        <f>IFERROR(__xludf.DUMMYFUNCTION("""COMPUTED_VALUE"""),"L/44/130325/1")</f>
        <v>L/44/130325/1</v>
      </c>
      <c r="C3006" s="42" t="str">
        <f>IFERROR(__xludf.DUMMYFUNCTION("""COMPUTED_VALUE"""),"HM 10520/SEGALA MIDER")</f>
        <v>HM 10520/SEGALA MIDER</v>
      </c>
      <c r="D3006" s="42" t="str">
        <f>IFERROR(__xludf.DUMMYFUNCTION("""COMPUTED_VALUE"""),"Berry")</f>
        <v>Berry</v>
      </c>
      <c r="E3006" s="42" t="str">
        <f>IFERROR(__xludf.DUMMYFUNCTION("""COMPUTED_VALUE"""),"DISERAHKAN")</f>
        <v>DISERAHKAN</v>
      </c>
      <c r="F3006" s="48">
        <f>IFERROR(__xludf.DUMMYFUNCTION("""COMPUTED_VALUE"""),45799.5288265625)</f>
        <v>45799.52883</v>
      </c>
      <c r="G3006" s="42" t="str">
        <f>IFERROR(__xludf.DUMMYFUNCTION("""COMPUTED_VALUE"""),"ROYA")</f>
        <v>ROYA</v>
      </c>
      <c r="H3006" s="42">
        <f t="shared" si="1"/>
        <v>1414</v>
      </c>
    </row>
    <row r="3007" ht="22.5" customHeight="1">
      <c r="B3007" s="42" t="str">
        <f>IFERROR(__xludf.DUMMYFUNCTION("""COMPUTED_VALUE"""),"K/42/130325/2")</f>
        <v>K/42/130325/2</v>
      </c>
      <c r="C3007" s="42" t="str">
        <f>IFERROR(__xludf.DUMMYFUNCTION("""COMPUTED_VALUE"""),"B. 1290/ Kemiling Permai")</f>
        <v>B. 1290/ Kemiling Permai</v>
      </c>
      <c r="D3007" s="42"/>
      <c r="E3007" s="42" t="str">
        <f>IFERROR(__xludf.DUMMYFUNCTION("""COMPUTED_VALUE"""),"DISERAHKAN")</f>
        <v>DISERAHKAN</v>
      </c>
      <c r="F3007" s="48">
        <f>IFERROR(__xludf.DUMMYFUNCTION("""COMPUTED_VALUE"""),45758.48093924769)</f>
        <v>45758.48094</v>
      </c>
      <c r="G3007" s="42" t="str">
        <f>IFERROR(__xludf.DUMMYFUNCTION("""COMPUTED_VALUE"""),"BN JUAL BELI")</f>
        <v>BN JUAL BELI</v>
      </c>
      <c r="H3007" s="42">
        <f t="shared" si="1"/>
        <v>1415</v>
      </c>
    </row>
    <row r="3008" ht="22.5" customHeight="1">
      <c r="B3008" s="42" t="str">
        <f>IFERROR(__xludf.DUMMYFUNCTION("""COMPUTED_VALUE"""),"K/43/130325/1")</f>
        <v>K/43/130325/1</v>
      </c>
      <c r="C3008" s="42" t="str">
        <f>IFERROR(__xludf.DUMMYFUNCTION("""COMPUTED_VALUE"""),"Nibel. M. 17453.0/ Gedong Air")</f>
        <v>Nibel. M. 17453.0/ Gedong Air</v>
      </c>
      <c r="D3008" s="42"/>
      <c r="E3008" s="42"/>
      <c r="F3008" s="48" t="str">
        <f>IFERROR(__xludf.DUMMYFUNCTION("""COMPUTED_VALUE"""),"")</f>
        <v/>
      </c>
      <c r="G3008" s="42" t="str">
        <f>IFERROR(__xludf.DUMMYFUNCTION("""COMPUTED_VALUE"""),"BN PHB")</f>
        <v>BN PHB</v>
      </c>
      <c r="H3008" s="42">
        <f t="shared" si="1"/>
        <v>1415</v>
      </c>
    </row>
    <row r="3009" ht="22.5" customHeight="1">
      <c r="B3009" s="42" t="str">
        <f>IFERROR(__xludf.DUMMYFUNCTION("""COMPUTED_VALUE"""),"K/45/130325/1")</f>
        <v>K/45/130325/1</v>
      </c>
      <c r="C3009" s="42" t="str">
        <f>IFERROR(__xludf.DUMMYFUNCTION("""COMPUTED_VALUE"""),"M. 571/ Kupang Raya")</f>
        <v>M. 571/ Kupang Raya</v>
      </c>
      <c r="D3009" s="42"/>
      <c r="E3009" s="42" t="str">
        <f>IFERROR(__xludf.DUMMYFUNCTION("""COMPUTED_VALUE"""),"DISERAHKAN")</f>
        <v>DISERAHKAN</v>
      </c>
      <c r="F3009" s="48">
        <f>IFERROR(__xludf.DUMMYFUNCTION("""COMPUTED_VALUE"""),45769.44031005787)</f>
        <v>45769.44031</v>
      </c>
      <c r="G3009" s="42" t="str">
        <f>IFERROR(__xludf.DUMMYFUNCTION("""COMPUTED_VALUE"""),"BN Jual Beli")</f>
        <v>BN Jual Beli</v>
      </c>
      <c r="H3009" s="42">
        <f t="shared" si="1"/>
        <v>1416</v>
      </c>
    </row>
    <row r="3010" ht="22.5" customHeight="1">
      <c r="B3010" s="42" t="str">
        <f>IFERROR(__xludf.DUMMYFUNCTION("""COMPUTED_VALUE"""),"K/31/130325/2")</f>
        <v>K/31/130325/2</v>
      </c>
      <c r="C3010" s="42" t="str">
        <f>IFERROR(__xludf.DUMMYFUNCTION("""COMPUTED_VALUE"""),"M.1385/KUPANG TEBA")</f>
        <v>M.1385/KUPANG TEBA</v>
      </c>
      <c r="D3010" s="42"/>
      <c r="E3010" s="42"/>
      <c r="F3010" s="48" t="str">
        <f>IFERROR(__xludf.DUMMYFUNCTION("""COMPUTED_VALUE"""),"")</f>
        <v/>
      </c>
      <c r="G3010" s="42" t="str">
        <f>IFERROR(__xludf.DUMMYFUNCTION("""COMPUTED_VALUE"""),"BLOKIR")</f>
        <v>BLOKIR</v>
      </c>
      <c r="H3010" s="42">
        <f t="shared" si="1"/>
        <v>1416</v>
      </c>
    </row>
    <row r="3011" ht="22.5" customHeight="1">
      <c r="B3011" s="42" t="str">
        <f>IFERROR(__xludf.DUMMYFUNCTION("""COMPUTED_VALUE"""),"K/48/130325/1")</f>
        <v>K/48/130325/1</v>
      </c>
      <c r="C3011" s="42" t="str">
        <f>IFERROR(__xludf.DUMMYFUNCTION("""COMPUTED_VALUE"""),"M.1413/SUMBEREJO SEJAHTERA")</f>
        <v>M.1413/SUMBEREJO SEJAHTERA</v>
      </c>
      <c r="D3011" s="42"/>
      <c r="E3011" s="42"/>
      <c r="F3011" s="48" t="str">
        <f>IFERROR(__xludf.DUMMYFUNCTION("""COMPUTED_VALUE"""),"")</f>
        <v/>
      </c>
      <c r="G3011" s="42" t="str">
        <f>IFERROR(__xludf.DUMMYFUNCTION("""COMPUTED_VALUE"""),"SKPT LELANG")</f>
        <v>SKPT LELANG</v>
      </c>
      <c r="H3011" s="42">
        <f t="shared" si="1"/>
        <v>1416</v>
      </c>
    </row>
    <row r="3012" ht="22.5" customHeight="1">
      <c r="B3012" s="42" t="str">
        <f>IFERROR(__xludf.DUMMYFUNCTION("""COMPUTED_VALUE"""),"K/49/130325/2")</f>
        <v>K/49/130325/2</v>
      </c>
      <c r="C3012" s="42" t="str">
        <f>IFERROR(__xludf.DUMMYFUNCTION("""COMPUTED_VALUE"""),"M.3275/LANGKAPURA ")</f>
        <v>M.3275/LANGKAPURA </v>
      </c>
      <c r="D3012" s="42"/>
      <c r="E3012" s="42"/>
      <c r="F3012" s="48" t="str">
        <f>IFERROR(__xludf.DUMMYFUNCTION("""COMPUTED_VALUE"""),"")</f>
        <v/>
      </c>
      <c r="G3012" s="42" t="str">
        <f>IFERROR(__xludf.DUMMYFUNCTION("""COMPUTED_VALUE"""),"SKPT LELANG")</f>
        <v>SKPT LELANG</v>
      </c>
      <c r="H3012" s="42">
        <f t="shared" si="1"/>
        <v>1416</v>
      </c>
    </row>
    <row r="3013" ht="22.5" customHeight="1">
      <c r="B3013" s="42" t="str">
        <f>IFERROR(__xludf.DUMMYFUNCTION("""COMPUTED_VALUE"""),"K/46/130325/1")</f>
        <v>K/46/130325/1</v>
      </c>
      <c r="C3013" s="42" t="str">
        <f>IFERROR(__xludf.DUMMYFUNCTION("""COMPUTED_VALUE"""),"B. 23/NUSANTARA PERMAI")</f>
        <v>B. 23/NUSANTARA PERMAI</v>
      </c>
      <c r="D3013" s="42"/>
      <c r="E3013" s="42"/>
      <c r="F3013" s="48" t="str">
        <f>IFERROR(__xludf.DUMMYFUNCTION("""COMPUTED_VALUE"""),"")</f>
        <v/>
      </c>
      <c r="G3013" s="42" t="str">
        <f>IFERROR(__xludf.DUMMYFUNCTION("""COMPUTED_VALUE"""),"PEMISAHAN")</f>
        <v>PEMISAHAN</v>
      </c>
      <c r="H3013" s="42">
        <f t="shared" si="1"/>
        <v>1416</v>
      </c>
    </row>
    <row r="3014" ht="22.5" customHeight="1">
      <c r="B3014" s="42" t="str">
        <f>IFERROR(__xludf.DUMMYFUNCTION("""COMPUTED_VALUE"""),"K/47/130325/2")</f>
        <v>K/47/130325/2</v>
      </c>
      <c r="C3014" s="42" t="str">
        <f>IFERROR(__xludf.DUMMYFUNCTION("""COMPUTED_VALUE"""),"M.1628/JAGABAYA II")</f>
        <v>M.1628/JAGABAYA II</v>
      </c>
      <c r="D3014" s="42"/>
      <c r="E3014" s="42"/>
      <c r="F3014" s="48" t="str">
        <f>IFERROR(__xludf.DUMMYFUNCTION("""COMPUTED_VALUE"""),"")</f>
        <v/>
      </c>
      <c r="G3014" s="42" t="str">
        <f>IFERROR(__xludf.DUMMYFUNCTION("""COMPUTED_VALUE"""),"HAPUS BPHTB")</f>
        <v>HAPUS BPHTB</v>
      </c>
      <c r="H3014" s="42">
        <f t="shared" si="1"/>
        <v>1416</v>
      </c>
    </row>
    <row r="3015" ht="22.5" customHeight="1">
      <c r="B3015" s="42" t="str">
        <f>IFERROR(__xludf.DUMMYFUNCTION("""COMPUTED_VALUE"""),"K/50/130325/1")</f>
        <v>K/50/130325/1</v>
      </c>
      <c r="C3015" s="42" t="str">
        <f>IFERROR(__xludf.DUMMYFUNCTION("""COMPUTED_VALUE"""),"M. 1065/ Way Halim Permai")</f>
        <v>M. 1065/ Way Halim Permai</v>
      </c>
      <c r="D3015" s="42"/>
      <c r="E3015" s="42"/>
      <c r="F3015" s="48" t="str">
        <f>IFERROR(__xludf.DUMMYFUNCTION("""COMPUTED_VALUE"""),"")</f>
        <v/>
      </c>
      <c r="G3015" s="42" t="str">
        <f>IFERROR(__xludf.DUMMYFUNCTION("""COMPUTED_VALUE"""),"Roya")</f>
        <v>Roya</v>
      </c>
      <c r="H3015" s="42">
        <f t="shared" si="1"/>
        <v>1416</v>
      </c>
    </row>
    <row r="3016" ht="22.5" customHeight="1">
      <c r="B3016" s="42" t="str">
        <f>IFERROR(__xludf.DUMMYFUNCTION("""COMPUTED_VALUE"""),"K/51/130325/1")</f>
        <v>K/51/130325/1</v>
      </c>
      <c r="C3016" s="42" t="str">
        <f>IFERROR(__xludf.DUMMYFUNCTION("""COMPUTED_VALUE"""),"Nibel. M. 18900.0/ Rawa Laut")</f>
        <v>Nibel. M. 18900.0/ Rawa Laut</v>
      </c>
      <c r="D3016" s="42"/>
      <c r="E3016" s="42"/>
      <c r="F3016" s="48" t="str">
        <f>IFERROR(__xludf.DUMMYFUNCTION("""COMPUTED_VALUE"""),"")</f>
        <v/>
      </c>
      <c r="G3016" s="42" t="str">
        <f>IFERROR(__xludf.DUMMYFUNCTION("""COMPUTED_VALUE"""),"BN Jual Beli")</f>
        <v>BN Jual Beli</v>
      </c>
      <c r="H3016" s="42">
        <f t="shared" si="1"/>
        <v>1416</v>
      </c>
    </row>
    <row r="3017" ht="22.5" customHeight="1">
      <c r="B3017" s="42" t="str">
        <f>IFERROR(__xludf.DUMMYFUNCTION("""COMPUTED_VALUE"""),"K/53/130325/1")</f>
        <v>K/53/130325/1</v>
      </c>
      <c r="C3017" s="42" t="str">
        <f>IFERROR(__xludf.DUMMYFUNCTION("""COMPUTED_VALUE"""),"M. 610/ Sawah Brebes")</f>
        <v>M. 610/ Sawah Brebes</v>
      </c>
      <c r="D3017" s="42"/>
      <c r="E3017" s="42" t="str">
        <f>IFERROR(__xludf.DUMMYFUNCTION("""COMPUTED_VALUE"""),"DISERAHKAN")</f>
        <v>DISERAHKAN</v>
      </c>
      <c r="F3017" s="48">
        <f>IFERROR(__xludf.DUMMYFUNCTION("""COMPUTED_VALUE"""),45743.428934456024)</f>
        <v>45743.42893</v>
      </c>
      <c r="G3017" s="42" t="str">
        <f>IFERROR(__xludf.DUMMYFUNCTION("""COMPUTED_VALUE"""),"BN JUAL BELI")</f>
        <v>BN JUAL BELI</v>
      </c>
      <c r="H3017" s="42">
        <f t="shared" si="1"/>
        <v>1417</v>
      </c>
    </row>
    <row r="3018" ht="22.5" customHeight="1">
      <c r="B3018" s="42" t="str">
        <f>IFERROR(__xludf.DUMMYFUNCTION("""COMPUTED_VALUE"""),"K/52/130325/2")</f>
        <v>K/52/130325/2</v>
      </c>
      <c r="C3018" s="42" t="str">
        <f>IFERROR(__xludf.DUMMYFUNCTION("""COMPUTED_VALUE"""),"M. 66/ Kali Balau Kencana")</f>
        <v>M. 66/ Kali Balau Kencana</v>
      </c>
      <c r="D3018" s="42"/>
      <c r="E3018" s="42" t="str">
        <f>IFERROR(__xludf.DUMMYFUNCTION("""COMPUTED_VALUE"""),"DISERAHKAN")</f>
        <v>DISERAHKAN</v>
      </c>
      <c r="F3018" s="48">
        <f>IFERROR(__xludf.DUMMYFUNCTION("""COMPUTED_VALUE"""),45743.42932195602)</f>
        <v>45743.42932</v>
      </c>
      <c r="G3018" s="42" t="str">
        <f>IFERROR(__xludf.DUMMYFUNCTION("""COMPUTED_VALUE"""),"Ganti Nama")</f>
        <v>Ganti Nama</v>
      </c>
      <c r="H3018" s="42">
        <f t="shared" si="1"/>
        <v>1418</v>
      </c>
    </row>
    <row r="3019" ht="22.5" customHeight="1">
      <c r="B3019" s="42" t="str">
        <f>IFERROR(__xludf.DUMMYFUNCTION("""COMPUTED_VALUE"""),"K/54/130325/1")</f>
        <v>K/54/130325/1</v>
      </c>
      <c r="C3019" s="42" t="str">
        <f>IFERROR(__xludf.DUMMYFUNCTION("""COMPUTED_VALUE"""),"M.2173/SUSUNAN BARU")</f>
        <v>M.2173/SUSUNAN BARU</v>
      </c>
      <c r="D3019" s="42"/>
      <c r="E3019" s="42" t="str">
        <f>IFERROR(__xludf.DUMMYFUNCTION("""COMPUTED_VALUE"""),"DISERAHKAN")</f>
        <v>DISERAHKAN</v>
      </c>
      <c r="F3019" s="48">
        <f>IFERROR(__xludf.DUMMYFUNCTION("""COMPUTED_VALUE"""),45758.476449050926)</f>
        <v>45758.47645</v>
      </c>
      <c r="G3019" s="42" t="str">
        <f>IFERROR(__xludf.DUMMYFUNCTION("""COMPUTED_VALUE"""),"KEWARISAN")</f>
        <v>KEWARISAN</v>
      </c>
      <c r="H3019" s="42">
        <f t="shared" si="1"/>
        <v>1419</v>
      </c>
    </row>
    <row r="3020" ht="22.5" customHeight="1">
      <c r="B3020" s="42" t="str">
        <f>IFERROR(__xludf.DUMMYFUNCTION("""COMPUTED_VALUE"""),"K/55/130325/2")</f>
        <v>K/55/130325/2</v>
      </c>
      <c r="C3020" s="42" t="str">
        <f>IFERROR(__xludf.DUMMYFUNCTION("""COMPUTED_VALUE"""),"M.10754/SEGALA MIDER")</f>
        <v>M.10754/SEGALA MIDER</v>
      </c>
      <c r="D3020" s="42"/>
      <c r="E3020" s="42"/>
      <c r="F3020" s="48" t="str">
        <f>IFERROR(__xludf.DUMMYFUNCTION("""COMPUTED_VALUE"""),"")</f>
        <v/>
      </c>
      <c r="G3020" s="42" t="str">
        <f>IFERROR(__xludf.DUMMYFUNCTION("""COMPUTED_VALUE"""),"ROYA")</f>
        <v>ROYA</v>
      </c>
      <c r="H3020" s="42">
        <f t="shared" si="1"/>
        <v>1419</v>
      </c>
    </row>
    <row r="3021" ht="22.5" customHeight="1">
      <c r="B3021" s="42" t="str">
        <f>IFERROR(__xludf.DUMMYFUNCTION("""COMPUTED_VALUE"""),"K/56/130325/1")</f>
        <v>K/56/130325/1</v>
      </c>
      <c r="C3021" s="42" t="str">
        <f>IFERROR(__xludf.DUMMYFUNCTION("""COMPUTED_VALUE"""),"B. 5561/ Beringin Raya")</f>
        <v>B. 5561/ Beringin Raya</v>
      </c>
      <c r="D3021" s="42"/>
      <c r="E3021" s="42"/>
      <c r="F3021" s="48" t="str">
        <f>IFERROR(__xludf.DUMMYFUNCTION("""COMPUTED_VALUE"""),"")</f>
        <v/>
      </c>
      <c r="G3021" s="42" t="str">
        <f>IFERROR(__xludf.DUMMYFUNCTION("""COMPUTED_VALUE"""),"BN HIBAH")</f>
        <v>BN HIBAH</v>
      </c>
      <c r="H3021" s="42">
        <f t="shared" si="1"/>
        <v>1419</v>
      </c>
    </row>
    <row r="3022" ht="22.5" customHeight="1">
      <c r="B3022" s="42" t="str">
        <f>IFERROR(__xludf.DUMMYFUNCTION("""COMPUTED_VALUE"""),"K/57/130325/3")</f>
        <v>K/57/130325/3</v>
      </c>
      <c r="C3022" s="42" t="str">
        <f>IFERROR(__xludf.DUMMYFUNCTION("""COMPUTED_VALUE"""),"NIBEL M 787/SEGALA MIDER")</f>
        <v>NIBEL M 787/SEGALA MIDER</v>
      </c>
      <c r="D3022" s="42"/>
      <c r="E3022" s="42"/>
      <c r="F3022" s="48" t="str">
        <f>IFERROR(__xludf.DUMMYFUNCTION("""COMPUTED_VALUE"""),"")</f>
        <v/>
      </c>
      <c r="G3022" s="42" t="str">
        <f>IFERROR(__xludf.DUMMYFUNCTION("""COMPUTED_VALUE"""),"HIBAH")</f>
        <v>HIBAH</v>
      </c>
      <c r="H3022" s="42">
        <f t="shared" si="1"/>
        <v>1419</v>
      </c>
    </row>
    <row r="3023" ht="22.5" customHeight="1">
      <c r="B3023" s="42" t="str">
        <f>IFERROR(__xludf.DUMMYFUNCTION("""COMPUTED_VALUE"""),"K/58/130325/1")</f>
        <v>K/58/130325/1</v>
      </c>
      <c r="C3023" s="42" t="str">
        <f>IFERROR(__xludf.DUMMYFUNCTION("""COMPUTED_VALUE"""),"M.1704/SUMUR PUTRI")</f>
        <v>M.1704/SUMUR PUTRI</v>
      </c>
      <c r="D3023" s="42"/>
      <c r="E3023" s="42" t="str">
        <f>IFERROR(__xludf.DUMMYFUNCTION("""COMPUTED_VALUE"""),"DISERAHKAN")</f>
        <v>DISERAHKAN</v>
      </c>
      <c r="F3023" s="48">
        <f>IFERROR(__xludf.DUMMYFUNCTION("""COMPUTED_VALUE"""),45758.47298695602)</f>
        <v>45758.47299</v>
      </c>
      <c r="G3023" s="42" t="str">
        <f>IFERROR(__xludf.DUMMYFUNCTION("""COMPUTED_VALUE"""),"BN JUAL BELI")</f>
        <v>BN JUAL BELI</v>
      </c>
      <c r="H3023" s="42">
        <f t="shared" si="1"/>
        <v>1420</v>
      </c>
    </row>
    <row r="3024" ht="22.5" customHeight="1">
      <c r="B3024" s="42" t="str">
        <f>IFERROR(__xludf.DUMMYFUNCTION("""COMPUTED_VALUE"""),"K/1/140325/1")</f>
        <v>K/1/140325/1</v>
      </c>
      <c r="C3024" s="42" t="str">
        <f>IFERROR(__xludf.DUMMYFUNCTION("""COMPUTED_VALUE"""),"NIbel 2114/ Sukarame Baru")</f>
        <v>NIbel 2114/ Sukarame Baru</v>
      </c>
      <c r="D3024" s="42"/>
      <c r="E3024" s="42"/>
      <c r="F3024" s="48" t="str">
        <f>IFERROR(__xludf.DUMMYFUNCTION("""COMPUTED_VALUE"""),"")</f>
        <v/>
      </c>
      <c r="G3024" s="42" t="str">
        <f>IFERROR(__xludf.DUMMYFUNCTION("""COMPUTED_VALUE"""),"BN JUAL BELI")</f>
        <v>BN JUAL BELI</v>
      </c>
      <c r="H3024" s="42">
        <f t="shared" si="1"/>
        <v>1420</v>
      </c>
    </row>
    <row r="3025" ht="22.5" customHeight="1">
      <c r="B3025" s="42" t="str">
        <f>IFERROR(__xludf.DUMMYFUNCTION("""COMPUTED_VALUE"""),"L/2/140325/1")</f>
        <v>L/2/140325/1</v>
      </c>
      <c r="C3025" s="42" t="str">
        <f>IFERROR(__xludf.DUMMYFUNCTION("""COMPUTED_VALUE"""),"HM 11567/SEGALA MIDER")</f>
        <v>HM 11567/SEGALA MIDER</v>
      </c>
      <c r="D3025" s="42"/>
      <c r="E3025" s="42" t="str">
        <f>IFERROR(__xludf.DUMMYFUNCTION("""COMPUTED_VALUE"""),"DISERAHKAN")</f>
        <v>DISERAHKAN</v>
      </c>
      <c r="F3025" s="48">
        <f>IFERROR(__xludf.DUMMYFUNCTION("""COMPUTED_VALUE"""),45769.60071229166)</f>
        <v>45769.60071</v>
      </c>
      <c r="G3025" s="42" t="str">
        <f>IFERROR(__xludf.DUMMYFUNCTION("""COMPUTED_VALUE"""),"ROYA")</f>
        <v>ROYA</v>
      </c>
      <c r="H3025" s="42">
        <f t="shared" si="1"/>
        <v>1421</v>
      </c>
    </row>
    <row r="3026" ht="22.5" customHeight="1">
      <c r="B3026" s="42" t="str">
        <f>IFERROR(__xludf.DUMMYFUNCTION("""COMPUTED_VALUE"""),"K/3/140325/1")</f>
        <v>K/3/140325/1</v>
      </c>
      <c r="C3026" s="42" t="str">
        <f>IFERROR(__xludf.DUMMYFUNCTION("""COMPUTED_VALUE"""),"NIBEL M 3586/RAJABASA JAYA ")</f>
        <v>NIBEL M 3586/RAJABASA JAYA </v>
      </c>
      <c r="D3026" s="42"/>
      <c r="E3026" s="42"/>
      <c r="F3026" s="48" t="str">
        <f>IFERROR(__xludf.DUMMYFUNCTION("""COMPUTED_VALUE"""),"")</f>
        <v/>
      </c>
      <c r="G3026" s="42" t="str">
        <f>IFERROR(__xludf.DUMMYFUNCTION("""COMPUTED_VALUE"""),"JUAL BELI")</f>
        <v>JUAL BELI</v>
      </c>
      <c r="H3026" s="42">
        <f t="shared" si="1"/>
        <v>1421</v>
      </c>
    </row>
    <row r="3027" ht="22.5" customHeight="1">
      <c r="B3027" s="42" t="str">
        <f>IFERROR(__xludf.DUMMYFUNCTION("""COMPUTED_VALUE"""),"K/4/140325/2")</f>
        <v>K/4/140325/2</v>
      </c>
      <c r="C3027" s="42" t="str">
        <f>IFERROR(__xludf.DUMMYFUNCTION("""COMPUTED_VALUE"""),"M.776/SUMUR PUTRI")</f>
        <v>M.776/SUMUR PUTRI</v>
      </c>
      <c r="D3027" s="42"/>
      <c r="E3027" s="42" t="str">
        <f>IFERROR(__xludf.DUMMYFUNCTION("""COMPUTED_VALUE"""),"DISERAHKAN")</f>
        <v>DISERAHKAN</v>
      </c>
      <c r="F3027" s="48">
        <f>IFERROR(__xludf.DUMMYFUNCTION("""COMPUTED_VALUE"""),45769.42918219908)</f>
        <v>45769.42918</v>
      </c>
      <c r="G3027" s="42" t="str">
        <f>IFERROR(__xludf.DUMMYFUNCTION("""COMPUTED_VALUE"""),"KEWARISAN")</f>
        <v>KEWARISAN</v>
      </c>
      <c r="H3027" s="42">
        <f t="shared" si="1"/>
        <v>1422</v>
      </c>
    </row>
    <row r="3028" ht="22.5" customHeight="1">
      <c r="B3028" s="42" t="str">
        <f>IFERROR(__xludf.DUMMYFUNCTION("""COMPUTED_VALUE"""),"K/5/140325/1")</f>
        <v>K/5/140325/1</v>
      </c>
      <c r="C3028" s="42" t="str">
        <f>IFERROR(__xludf.DUMMYFUNCTION("""COMPUTED_VALUE"""),"M. 3687/ Nusantara Permai")</f>
        <v>M. 3687/ Nusantara Permai</v>
      </c>
      <c r="D3028" s="42"/>
      <c r="E3028" s="42" t="str">
        <f>IFERROR(__xludf.DUMMYFUNCTION("""COMPUTED_VALUE"""),"DISERAHKAN")</f>
        <v>DISERAHKAN</v>
      </c>
      <c r="F3028" s="48">
        <f>IFERROR(__xludf.DUMMYFUNCTION("""COMPUTED_VALUE"""),45769.42758351852)</f>
        <v>45769.42758</v>
      </c>
      <c r="G3028" s="42" t="str">
        <f>IFERROR(__xludf.DUMMYFUNCTION("""COMPUTED_VALUE"""),"BN JUAL BELI")</f>
        <v>BN JUAL BELI</v>
      </c>
      <c r="H3028" s="42">
        <f t="shared" si="1"/>
        <v>1423</v>
      </c>
    </row>
    <row r="3029" ht="22.5" customHeight="1">
      <c r="B3029" s="42" t="str">
        <f>IFERROR(__xludf.DUMMYFUNCTION("""COMPUTED_VALUE"""),"K/6/140325/3")</f>
        <v>K/6/140325/3</v>
      </c>
      <c r="C3029" s="42" t="str">
        <f>IFERROR(__xludf.DUMMYFUNCTION("""COMPUTED_VALUE"""),"NIBEL M 17965/LABUHAN RATU RAYA")</f>
        <v>NIBEL M 17965/LABUHAN RATU RAYA</v>
      </c>
      <c r="D3029" s="42"/>
      <c r="E3029" s="42"/>
      <c r="F3029" s="48" t="str">
        <f>IFERROR(__xludf.DUMMYFUNCTION("""COMPUTED_VALUE"""),"")</f>
        <v/>
      </c>
      <c r="G3029" s="42" t="str">
        <f>IFERROR(__xludf.DUMMYFUNCTION("""COMPUTED_VALUE"""),"JUAL BELI")</f>
        <v>JUAL BELI</v>
      </c>
      <c r="H3029" s="42">
        <f t="shared" si="1"/>
        <v>1423</v>
      </c>
    </row>
    <row r="3030" ht="22.5" customHeight="1">
      <c r="B3030" s="42" t="str">
        <f>IFERROR(__xludf.DUMMYFUNCTION("""COMPUTED_VALUE"""),"K/7/140325/1")</f>
        <v>K/7/140325/1</v>
      </c>
      <c r="C3030" s="42" t="str">
        <f>IFERROR(__xludf.DUMMYFUNCTION("""COMPUTED_VALUE"""),"M.1190/SUMUR PUTRI")</f>
        <v>M.1190/SUMUR PUTRI</v>
      </c>
      <c r="D3030" s="42"/>
      <c r="E3030" s="42"/>
      <c r="F3030" s="48" t="str">
        <f>IFERROR(__xludf.DUMMYFUNCTION("""COMPUTED_VALUE"""),"")</f>
        <v/>
      </c>
      <c r="G3030" s="42" t="str">
        <f>IFERROR(__xludf.DUMMYFUNCTION("""COMPUTED_VALUE"""),"HAPUS BPHTB")</f>
        <v>HAPUS BPHTB</v>
      </c>
      <c r="H3030" s="42">
        <f t="shared" si="1"/>
        <v>1423</v>
      </c>
    </row>
    <row r="3031" ht="22.5" customHeight="1">
      <c r="B3031" s="42" t="str">
        <f>IFERROR(__xludf.DUMMYFUNCTION("""COMPUTED_VALUE"""),"L/8/140325/1")</f>
        <v>L/8/140325/1</v>
      </c>
      <c r="C3031" s="42" t="str">
        <f>IFERROR(__xludf.DUMMYFUNCTION("""COMPUTED_VALUE"""),"NIB 481/GUNUNG TERANG")</f>
        <v>NIB 481/GUNUNG TERANG</v>
      </c>
      <c r="D3031" s="42"/>
      <c r="E3031" s="42" t="str">
        <f>IFERROR(__xludf.DUMMYFUNCTION("""COMPUTED_VALUE"""),"DISERAHKAN SU")</f>
        <v>DISERAHKAN SU</v>
      </c>
      <c r="F3031" s="48">
        <f>IFERROR(__xludf.DUMMYFUNCTION("""COMPUTED_VALUE"""),45763.55221523148)</f>
        <v>45763.55222</v>
      </c>
      <c r="G3031" s="42" t="str">
        <f>IFERROR(__xludf.DUMMYFUNCTION("""COMPUTED_VALUE"""),"ROYA")</f>
        <v>ROYA</v>
      </c>
      <c r="H3031" s="42">
        <f t="shared" si="1"/>
        <v>1423</v>
      </c>
    </row>
    <row r="3032" ht="22.5" customHeight="1">
      <c r="B3032" s="42" t="str">
        <f>IFERROR(__xludf.DUMMYFUNCTION("""COMPUTED_VALUE"""),"L/11/140325/1")</f>
        <v>L/11/140325/1</v>
      </c>
      <c r="C3032" s="42" t="str">
        <f>IFERROR(__xludf.DUMMYFUNCTION("""COMPUTED_VALUE"""),"HM 10290/JAGABAYA II")</f>
        <v>HM 10290/JAGABAYA II</v>
      </c>
      <c r="D3032" s="42"/>
      <c r="E3032" s="42"/>
      <c r="F3032" s="48" t="str">
        <f>IFERROR(__xludf.DUMMYFUNCTION("""COMPUTED_VALUE"""),"")</f>
        <v/>
      </c>
      <c r="G3032" s="42" t="str">
        <f>IFERROR(__xludf.DUMMYFUNCTION("""COMPUTED_VALUE"""),"ROYA")</f>
        <v>ROYA</v>
      </c>
      <c r="H3032" s="42">
        <f t="shared" si="1"/>
        <v>1423</v>
      </c>
    </row>
    <row r="3033" ht="22.5" customHeight="1">
      <c r="B3033" s="42" t="str">
        <f>IFERROR(__xludf.DUMMYFUNCTION("""COMPUTED_VALUE"""),"K/10/140325/1")</f>
        <v>K/10/140325/1</v>
      </c>
      <c r="C3033" s="42" t="str">
        <f>IFERROR(__xludf.DUMMYFUNCTION("""COMPUTED_VALUE"""),"M. 219/ Bumi Raya")</f>
        <v>M. 219/ Bumi Raya</v>
      </c>
      <c r="D3033" s="42"/>
      <c r="E3033" s="42" t="str">
        <f>IFERROR(__xludf.DUMMYFUNCTION("""COMPUTED_VALUE"""),"DISERAHKAN")</f>
        <v>DISERAHKAN</v>
      </c>
      <c r="F3033" s="48">
        <f>IFERROR(__xludf.DUMMYFUNCTION("""COMPUTED_VALUE"""),45769.42768008102)</f>
        <v>45769.42768</v>
      </c>
      <c r="G3033" s="42" t="str">
        <f>IFERROR(__xludf.DUMMYFUNCTION("""COMPUTED_VALUE"""),"BN JUAL BELI")</f>
        <v>BN JUAL BELI</v>
      </c>
      <c r="H3033" s="42">
        <f t="shared" si="1"/>
        <v>1424</v>
      </c>
    </row>
    <row r="3034" ht="22.5" customHeight="1">
      <c r="B3034" s="42" t="str">
        <f>IFERROR(__xludf.DUMMYFUNCTION("""COMPUTED_VALUE"""),"K/9/140325/1")</f>
        <v>K/9/140325/1</v>
      </c>
      <c r="C3034" s="42" t="str">
        <f>IFERROR(__xludf.DUMMYFUNCTION("""COMPUTED_VALUE"""),"M. 396/ Pinang Jaya")</f>
        <v>M. 396/ Pinang Jaya</v>
      </c>
      <c r="D3034" s="42"/>
      <c r="E3034" s="42"/>
      <c r="F3034" s="48" t="str">
        <f>IFERROR(__xludf.DUMMYFUNCTION("""COMPUTED_VALUE"""),"")</f>
        <v/>
      </c>
      <c r="G3034" s="42" t="str">
        <f>IFERROR(__xludf.DUMMYFUNCTION("""COMPUTED_VALUE"""),"Pemecahan")</f>
        <v>Pemecahan</v>
      </c>
      <c r="H3034" s="42">
        <f t="shared" si="1"/>
        <v>1424</v>
      </c>
    </row>
    <row r="3035" ht="22.5" customHeight="1">
      <c r="B3035" s="42" t="str">
        <f>IFERROR(__xludf.DUMMYFUNCTION("""COMPUTED_VALUE"""),"K/17/140325/1")</f>
        <v>K/17/140325/1</v>
      </c>
      <c r="C3035" s="42" t="str">
        <f>IFERROR(__xludf.DUMMYFUNCTION("""COMPUTED_VALUE"""),"NIBEL M. 3207/WAY HALIM PERMAI")</f>
        <v>NIBEL M. 3207/WAY HALIM PERMAI</v>
      </c>
      <c r="D3035" s="42"/>
      <c r="E3035" s="42"/>
      <c r="F3035" s="48" t="str">
        <f>IFERROR(__xludf.DUMMYFUNCTION("""COMPUTED_VALUE"""),"")</f>
        <v/>
      </c>
      <c r="G3035" s="42" t="str">
        <f>IFERROR(__xludf.DUMMYFUNCTION("""COMPUTED_VALUE"""),"BN APHB")</f>
        <v>BN APHB</v>
      </c>
      <c r="H3035" s="42">
        <f t="shared" si="1"/>
        <v>1424</v>
      </c>
    </row>
    <row r="3036" ht="22.5" customHeight="1">
      <c r="B3036" s="42" t="str">
        <f>IFERROR(__xludf.DUMMYFUNCTION("""COMPUTED_VALUE"""),"K/16/140325/1")</f>
        <v>K/16/140325/1</v>
      </c>
      <c r="C3036" s="42" t="str">
        <f>IFERROR(__xludf.DUMMYFUNCTION("""COMPUTED_VALUE"""),"M. 2024/ Sukarame Baru")</f>
        <v>M. 2024/ Sukarame Baru</v>
      </c>
      <c r="D3036" s="42"/>
      <c r="E3036" s="42"/>
      <c r="F3036" s="48" t="str">
        <f>IFERROR(__xludf.DUMMYFUNCTION("""COMPUTED_VALUE"""),"")</f>
        <v/>
      </c>
      <c r="G3036" s="42" t="str">
        <f>IFERROR(__xludf.DUMMYFUNCTION("""COMPUTED_VALUE"""),"PTPGT (Pemisahan)")</f>
        <v>PTPGT (Pemisahan)</v>
      </c>
      <c r="H3036" s="42">
        <f t="shared" si="1"/>
        <v>1424</v>
      </c>
    </row>
    <row r="3037" ht="22.5" customHeight="1">
      <c r="B3037" s="42" t="str">
        <f>IFERROR(__xludf.DUMMYFUNCTION("""COMPUTED_VALUE"""),"K/12/140325/1")</f>
        <v>K/12/140325/1</v>
      </c>
      <c r="C3037" s="42" t="str">
        <f>IFERROR(__xludf.DUMMYFUNCTION("""COMPUTED_VALUE"""),"Nibel, M, 17319/ Kaliawi")</f>
        <v>Nibel, M, 17319/ Kaliawi</v>
      </c>
      <c r="D3037" s="42"/>
      <c r="E3037" s="42"/>
      <c r="F3037" s="48" t="str">
        <f>IFERROR(__xludf.DUMMYFUNCTION("""COMPUTED_VALUE"""),"")</f>
        <v/>
      </c>
      <c r="G3037" s="42" t="str">
        <f>IFERROR(__xludf.DUMMYFUNCTION("""COMPUTED_VALUE"""),"BN PHB")</f>
        <v>BN PHB</v>
      </c>
      <c r="H3037" s="42">
        <f t="shared" si="1"/>
        <v>1424</v>
      </c>
    </row>
    <row r="3038" ht="22.5" customHeight="1">
      <c r="B3038" s="42" t="str">
        <f>IFERROR(__xludf.DUMMYFUNCTION("""COMPUTED_VALUE"""),"K/13/140325/2")</f>
        <v>K/13/140325/2</v>
      </c>
      <c r="C3038" s="42" t="str">
        <f>IFERROR(__xludf.DUMMYFUNCTION("""COMPUTED_VALUE"""),"Nibel. M. 17296/ Kaliawi")</f>
        <v>Nibel. M. 17296/ Kaliawi</v>
      </c>
      <c r="D3038" s="42"/>
      <c r="E3038" s="42"/>
      <c r="F3038" s="48" t="str">
        <f>IFERROR(__xludf.DUMMYFUNCTION("""COMPUTED_VALUE"""),"")</f>
        <v/>
      </c>
      <c r="G3038" s="42" t="str">
        <f>IFERROR(__xludf.DUMMYFUNCTION("""COMPUTED_VALUE"""),"BN PHB")</f>
        <v>BN PHB</v>
      </c>
      <c r="H3038" s="42">
        <f t="shared" si="1"/>
        <v>1424</v>
      </c>
    </row>
    <row r="3039" ht="22.5" customHeight="1">
      <c r="B3039" s="42" t="str">
        <f>IFERROR(__xludf.DUMMYFUNCTION("""COMPUTED_VALUE"""),"K/14/140325/3")</f>
        <v>K/14/140325/3</v>
      </c>
      <c r="C3039" s="42" t="str">
        <f>IFERROR(__xludf.DUMMYFUNCTION("""COMPUTED_VALUE"""),"Nibel. M. 17032/ Kaliawi")</f>
        <v>Nibel. M. 17032/ Kaliawi</v>
      </c>
      <c r="D3039" s="42"/>
      <c r="E3039" s="42"/>
      <c r="F3039" s="48" t="str">
        <f>IFERROR(__xludf.DUMMYFUNCTION("""COMPUTED_VALUE"""),"")</f>
        <v/>
      </c>
      <c r="G3039" s="42" t="str">
        <f>IFERROR(__xludf.DUMMYFUNCTION("""COMPUTED_VALUE"""),"BN PHB")</f>
        <v>BN PHB</v>
      </c>
      <c r="H3039" s="42">
        <f t="shared" si="1"/>
        <v>1424</v>
      </c>
    </row>
    <row r="3040" ht="22.5" customHeight="1">
      <c r="B3040" s="42" t="str">
        <f>IFERROR(__xludf.DUMMYFUNCTION("""COMPUTED_VALUE"""),"K/15/140325/4")</f>
        <v>K/15/140325/4</v>
      </c>
      <c r="C3040" s="42" t="str">
        <f>IFERROR(__xludf.DUMMYFUNCTION("""COMPUTED_VALUE"""),"Nibel. M. 17280/ Kaliawi")</f>
        <v>Nibel. M. 17280/ Kaliawi</v>
      </c>
      <c r="D3040" s="42"/>
      <c r="E3040" s="42"/>
      <c r="F3040" s="48" t="str">
        <f>IFERROR(__xludf.DUMMYFUNCTION("""COMPUTED_VALUE"""),"")</f>
        <v/>
      </c>
      <c r="G3040" s="42" t="str">
        <f>IFERROR(__xludf.DUMMYFUNCTION("""COMPUTED_VALUE"""),"BN PHB")</f>
        <v>BN PHB</v>
      </c>
      <c r="H3040" s="42">
        <f t="shared" si="1"/>
        <v>1424</v>
      </c>
    </row>
    <row r="3041" ht="22.5" customHeight="1">
      <c r="B3041" s="42" t="str">
        <f>IFERROR(__xludf.DUMMYFUNCTION("""COMPUTED_VALUE"""),"K/18/140325/1")</f>
        <v>K/18/140325/1</v>
      </c>
      <c r="C3041" s="42" t="str">
        <f>IFERROR(__xludf.DUMMYFUNCTION("""COMPUTED_VALUE"""),"PBT 66/2024 SUKARAME")</f>
        <v>PBT 66/2024 SUKARAME</v>
      </c>
      <c r="D3041" s="42"/>
      <c r="E3041" s="42"/>
      <c r="F3041" s="48" t="str">
        <f>IFERROR(__xludf.DUMMYFUNCTION("""COMPUTED_VALUE"""),"")</f>
        <v/>
      </c>
      <c r="G3041" s="42" t="str">
        <f>IFERROR(__xludf.DUMMYFUNCTION("""COMPUTED_VALUE"""),"PENDAFTARAN SK")</f>
        <v>PENDAFTARAN SK</v>
      </c>
      <c r="H3041" s="42">
        <f t="shared" si="1"/>
        <v>1424</v>
      </c>
    </row>
    <row r="3042" ht="22.5" customHeight="1">
      <c r="B3042" s="42" t="str">
        <f>IFERROR(__xludf.DUMMYFUNCTION("""COMPUTED_VALUE"""),"L/19/140325/1")</f>
        <v>L/19/140325/1</v>
      </c>
      <c r="C3042" s="42" t="str">
        <f>IFERROR(__xludf.DUMMYFUNCTION("""COMPUTED_VALUE"""),"HGB 253/PANJANG UTARA")</f>
        <v>HGB 253/PANJANG UTARA</v>
      </c>
      <c r="D3042" s="42"/>
      <c r="E3042" s="42"/>
      <c r="F3042" s="48" t="str">
        <f>IFERROR(__xludf.DUMMYFUNCTION("""COMPUTED_VALUE"""),"")</f>
        <v/>
      </c>
      <c r="G3042" s="42" t="str">
        <f>IFERROR(__xludf.DUMMYFUNCTION("""COMPUTED_VALUE"""),"PERMOHONAN SK")</f>
        <v>PERMOHONAN SK</v>
      </c>
      <c r="H3042" s="42">
        <f t="shared" si="1"/>
        <v>1424</v>
      </c>
    </row>
    <row r="3043" ht="22.5" customHeight="1">
      <c r="B3043" s="42" t="str">
        <f>IFERROR(__xludf.DUMMYFUNCTION("""COMPUTED_VALUE"""),"K/20/140325/1")</f>
        <v>K/20/140325/1</v>
      </c>
      <c r="C3043" s="42" t="str">
        <f>IFERROR(__xludf.DUMMYFUNCTION("""COMPUTED_VALUE"""),"Nibel. B. 16785/ Gunung Sulah")</f>
        <v>Nibel. B. 16785/ Gunung Sulah</v>
      </c>
      <c r="D3043" s="42"/>
      <c r="E3043" s="42"/>
      <c r="F3043" s="48" t="str">
        <f>IFERROR(__xludf.DUMMYFUNCTION("""COMPUTED_VALUE"""),"")</f>
        <v/>
      </c>
      <c r="G3043" s="42" t="str">
        <f>IFERROR(__xludf.DUMMYFUNCTION("""COMPUTED_VALUE"""),"BN Jual Beli")</f>
        <v>BN Jual Beli</v>
      </c>
      <c r="H3043" s="42">
        <f t="shared" si="1"/>
        <v>1424</v>
      </c>
    </row>
    <row r="3044" ht="22.5" customHeight="1">
      <c r="B3044" s="42" t="str">
        <f>IFERROR(__xludf.DUMMYFUNCTION("""COMPUTED_VALUE"""),"K/21/140325/2")</f>
        <v>K/21/140325/2</v>
      </c>
      <c r="C3044" s="42" t="str">
        <f>IFERROR(__xludf.DUMMYFUNCTION("""COMPUTED_VALUE"""),"M. 243/ Durian Payung")</f>
        <v>M. 243/ Durian Payung</v>
      </c>
      <c r="D3044" s="42"/>
      <c r="E3044" s="42"/>
      <c r="F3044" s="48" t="str">
        <f>IFERROR(__xludf.DUMMYFUNCTION("""COMPUTED_VALUE"""),"")</f>
        <v/>
      </c>
      <c r="G3044" s="42" t="str">
        <f>IFERROR(__xludf.DUMMYFUNCTION("""COMPUTED_VALUE"""),"BN Jual Beli")</f>
        <v>BN Jual Beli</v>
      </c>
      <c r="H3044" s="42">
        <f t="shared" si="1"/>
        <v>1424</v>
      </c>
    </row>
    <row r="3045" ht="22.5" customHeight="1">
      <c r="B3045" s="42" t="str">
        <f>IFERROR(__xludf.DUMMYFUNCTION("""COMPUTED_VALUE"""),"K/22/140325/1")</f>
        <v>K/22/140325/1</v>
      </c>
      <c r="C3045" s="42" t="str">
        <f>IFERROR(__xludf.DUMMYFUNCTION("""COMPUTED_VALUE"""),"M. 1288/ Labuhan Ratu Raya")</f>
        <v>M. 1288/ Labuhan Ratu Raya</v>
      </c>
      <c r="D3045" s="42"/>
      <c r="E3045" s="42"/>
      <c r="F3045" s="48" t="str">
        <f>IFERROR(__xludf.DUMMYFUNCTION("""COMPUTED_VALUE"""),"")</f>
        <v/>
      </c>
      <c r="G3045" s="42" t="str">
        <f>IFERROR(__xludf.DUMMYFUNCTION("""COMPUTED_VALUE"""),"HAPUS BPHTB")</f>
        <v>HAPUS BPHTB</v>
      </c>
      <c r="H3045" s="42">
        <f t="shared" si="1"/>
        <v>1424</v>
      </c>
    </row>
    <row r="3046" ht="22.5" customHeight="1">
      <c r="B3046" s="42" t="str">
        <f>IFERROR(__xludf.DUMMYFUNCTION("""COMPUTED_VALUE"""),"K/23/140325/2")</f>
        <v>K/23/140325/2</v>
      </c>
      <c r="C3046" s="42" t="str">
        <f>IFERROR(__xludf.DUMMYFUNCTION("""COMPUTED_VALUE"""),"M. 1488/ Kota Karang")</f>
        <v>M. 1488/ Kota Karang</v>
      </c>
      <c r="D3046" s="42"/>
      <c r="E3046" s="42" t="str">
        <f>IFERROR(__xludf.DUMMYFUNCTION("""COMPUTED_VALUE"""),"DISERAHKAN")</f>
        <v>DISERAHKAN</v>
      </c>
      <c r="F3046" s="48">
        <f>IFERROR(__xludf.DUMMYFUNCTION("""COMPUTED_VALUE"""),45783.47211158565)</f>
        <v>45783.47211</v>
      </c>
      <c r="G3046" s="42" t="str">
        <f>IFERROR(__xludf.DUMMYFUNCTION("""COMPUTED_VALUE"""),"ROYS")</f>
        <v>ROYS</v>
      </c>
      <c r="H3046" s="42">
        <f t="shared" si="1"/>
        <v>1425</v>
      </c>
    </row>
    <row r="3047" ht="22.5" customHeight="1">
      <c r="B3047" s="42" t="str">
        <f>IFERROR(__xludf.DUMMYFUNCTION("""COMPUTED_VALUE"""),"K/24/140325/1")</f>
        <v>K/24/140325/1</v>
      </c>
      <c r="C3047" s="42" t="str">
        <f>IFERROR(__xludf.DUMMYFUNCTION("""COMPUTED_VALUE"""),"B.95/LABUHAN RATU")</f>
        <v>B.95/LABUHAN RATU</v>
      </c>
      <c r="D3047" s="42"/>
      <c r="E3047" s="42" t="str">
        <f>IFERROR(__xludf.DUMMYFUNCTION("""COMPUTED_VALUE"""),"DISERAHKAN")</f>
        <v>DISERAHKAN</v>
      </c>
      <c r="F3047" s="48">
        <f>IFERROR(__xludf.DUMMYFUNCTION("""COMPUTED_VALUE"""),45771.39450631944)</f>
        <v>45771.39451</v>
      </c>
      <c r="G3047" s="42" t="str">
        <f>IFERROR(__xludf.DUMMYFUNCTION("""COMPUTED_VALUE"""),"ROYA")</f>
        <v>ROYA</v>
      </c>
      <c r="H3047" s="42">
        <f t="shared" si="1"/>
        <v>1426</v>
      </c>
    </row>
    <row r="3048" ht="22.5" customHeight="1">
      <c r="B3048" s="42" t="str">
        <f>IFERROR(__xludf.DUMMYFUNCTION("""COMPUTED_VALUE"""),"K/25/140325/1")</f>
        <v>K/25/140325/1</v>
      </c>
      <c r="C3048" s="42" t="str">
        <f>IFERROR(__xludf.DUMMYFUNCTION("""COMPUTED_VALUE"""),"M,2167/PERUMNAS WAY HALIM")</f>
        <v>M,2167/PERUMNAS WAY HALIM</v>
      </c>
      <c r="D3048" s="42"/>
      <c r="E3048" s="42"/>
      <c r="F3048" s="48" t="str">
        <f>IFERROR(__xludf.DUMMYFUNCTION("""COMPUTED_VALUE"""),"")</f>
        <v/>
      </c>
      <c r="G3048" s="42" t="str">
        <f>IFERROR(__xludf.DUMMYFUNCTION("""COMPUTED_VALUE"""),"HIBAH")</f>
        <v>HIBAH</v>
      </c>
      <c r="H3048" s="42">
        <f t="shared" si="1"/>
        <v>1426</v>
      </c>
    </row>
    <row r="3049" ht="22.5" customHeight="1">
      <c r="B3049" s="42" t="str">
        <f>IFERROR(__xludf.DUMMYFUNCTION("""COMPUTED_VALUE"""),"K/26/140325/1")</f>
        <v>K/26/140325/1</v>
      </c>
      <c r="C3049" s="42" t="str">
        <f>IFERROR(__xludf.DUMMYFUNCTION("""COMPUTED_VALUE"""),"Nibel 2886/ Way Kandis")</f>
        <v>Nibel 2886/ Way Kandis</v>
      </c>
      <c r="D3049" s="42"/>
      <c r="E3049" s="42"/>
      <c r="F3049" s="48" t="str">
        <f>IFERROR(__xludf.DUMMYFUNCTION("""COMPUTED_VALUE"""),"")</f>
        <v/>
      </c>
      <c r="G3049" s="42" t="str">
        <f>IFERROR(__xludf.DUMMYFUNCTION("""COMPUTED_VALUE"""),"BN JUAL BELI")</f>
        <v>BN JUAL BELI</v>
      </c>
      <c r="H3049" s="42">
        <f t="shared" si="1"/>
        <v>1426</v>
      </c>
    </row>
    <row r="3050" ht="22.5" customHeight="1">
      <c r="B3050" s="42" t="str">
        <f>IFERROR(__xludf.DUMMYFUNCTION("""COMPUTED_VALUE"""),"K/28/140325/2")</f>
        <v>K/28/140325/2</v>
      </c>
      <c r="C3050" s="42" t="str">
        <f>IFERROR(__xludf.DUMMYFUNCTION("""COMPUTED_VALUE"""),"M. 225/ Bumi Raya")</f>
        <v>M. 225/ Bumi Raya</v>
      </c>
      <c r="D3050" s="42"/>
      <c r="E3050" s="42" t="str">
        <f>IFERROR(__xludf.DUMMYFUNCTION("""COMPUTED_VALUE"""),"DISERAHKAN")</f>
        <v>DISERAHKAN</v>
      </c>
      <c r="F3050" s="48">
        <f>IFERROR(__xludf.DUMMYFUNCTION("""COMPUTED_VALUE"""),45743.43426758102)</f>
        <v>45743.43427</v>
      </c>
      <c r="G3050" s="42" t="str">
        <f>IFERROR(__xludf.DUMMYFUNCTION("""COMPUTED_VALUE"""),"BN WARIS")</f>
        <v>BN WARIS</v>
      </c>
      <c r="H3050" s="42">
        <f t="shared" si="1"/>
        <v>1427</v>
      </c>
    </row>
    <row r="3051" ht="22.5" customHeight="1">
      <c r="B3051" s="42" t="str">
        <f>IFERROR(__xludf.DUMMYFUNCTION("""COMPUTED_VALUE"""),"K/27/140325/1")</f>
        <v>K/27/140325/1</v>
      </c>
      <c r="C3051" s="42" t="str">
        <f>IFERROR(__xludf.DUMMYFUNCTION("""COMPUTED_VALUE"""),"M. 226/ Bumi Raya")</f>
        <v>M. 226/ Bumi Raya</v>
      </c>
      <c r="D3051" s="42"/>
      <c r="E3051" s="42" t="str">
        <f>IFERROR(__xludf.DUMMYFUNCTION("""COMPUTED_VALUE"""),"DISERAHKAN")</f>
        <v>DISERAHKAN</v>
      </c>
      <c r="F3051" s="48">
        <f>IFERROR(__xludf.DUMMYFUNCTION("""COMPUTED_VALUE"""),45758.48027825232)</f>
        <v>45758.48028</v>
      </c>
      <c r="G3051" s="42" t="str">
        <f>IFERROR(__xludf.DUMMYFUNCTION("""COMPUTED_VALUE"""),"BN WARIS")</f>
        <v>BN WARIS</v>
      </c>
      <c r="H3051" s="42">
        <f t="shared" si="1"/>
        <v>1428</v>
      </c>
    </row>
    <row r="3052" ht="22.5" customHeight="1">
      <c r="B3052" s="42" t="str">
        <f>IFERROR(__xludf.DUMMYFUNCTION("""COMPUTED_VALUE"""),"K/29/140325/3")</f>
        <v>K/29/140325/3</v>
      </c>
      <c r="C3052" s="42" t="str">
        <f>IFERROR(__xludf.DUMMYFUNCTION("""COMPUTED_VALUE"""),"M. 227/ Bumi Raya")</f>
        <v>M. 227/ Bumi Raya</v>
      </c>
      <c r="D3052" s="42"/>
      <c r="E3052" s="42" t="str">
        <f>IFERROR(__xludf.DUMMYFUNCTION("""COMPUTED_VALUE"""),"DISERAHKAN")</f>
        <v>DISERAHKAN</v>
      </c>
      <c r="F3052" s="48">
        <f>IFERROR(__xludf.DUMMYFUNCTION("""COMPUTED_VALUE"""),45758.47828483796)</f>
        <v>45758.47828</v>
      </c>
      <c r="G3052" s="42" t="str">
        <f>IFERROR(__xludf.DUMMYFUNCTION("""COMPUTED_VALUE"""),"BN WARIS")</f>
        <v>BN WARIS</v>
      </c>
      <c r="H3052" s="42">
        <f t="shared" si="1"/>
        <v>1429</v>
      </c>
    </row>
    <row r="3053" ht="22.5" customHeight="1">
      <c r="B3053" s="42" t="str">
        <f>IFERROR(__xludf.DUMMYFUNCTION("""COMPUTED_VALUE"""),"K/30/140325/4")</f>
        <v>K/30/140325/4</v>
      </c>
      <c r="C3053" s="42" t="str">
        <f>IFERROR(__xludf.DUMMYFUNCTION("""COMPUTED_VALUE"""),"M. 228/ Bumi Raya")</f>
        <v>M. 228/ Bumi Raya</v>
      </c>
      <c r="D3053" s="42"/>
      <c r="E3053" s="42" t="str">
        <f>IFERROR(__xludf.DUMMYFUNCTION("""COMPUTED_VALUE"""),"DISERAHKAN")</f>
        <v>DISERAHKAN</v>
      </c>
      <c r="F3053" s="48">
        <f>IFERROR(__xludf.DUMMYFUNCTION("""COMPUTED_VALUE"""),45758.48073962963)</f>
        <v>45758.48074</v>
      </c>
      <c r="G3053" s="42" t="str">
        <f>IFERROR(__xludf.DUMMYFUNCTION("""COMPUTED_VALUE"""),"BN WARIS")</f>
        <v>BN WARIS</v>
      </c>
      <c r="H3053" s="42">
        <f t="shared" si="1"/>
        <v>1430</v>
      </c>
    </row>
    <row r="3054" ht="22.5" customHeight="1">
      <c r="B3054" s="42" t="str">
        <f>IFERROR(__xludf.DUMMYFUNCTION("""COMPUTED_VALUE"""),"K/31/140325/1")</f>
        <v>K/31/140325/1</v>
      </c>
      <c r="C3054" s="42" t="str">
        <f>IFERROR(__xludf.DUMMYFUNCTION("""COMPUTED_VALUE"""),"Nibel. M. 7548/ Gunung Sulah")</f>
        <v>Nibel. M. 7548/ Gunung Sulah</v>
      </c>
      <c r="D3054" s="42"/>
      <c r="E3054" s="42"/>
      <c r="F3054" s="48" t="str">
        <f>IFERROR(__xludf.DUMMYFUNCTION("""COMPUTED_VALUE"""),"")</f>
        <v/>
      </c>
      <c r="G3054" s="42" t="str">
        <f>IFERROR(__xludf.DUMMYFUNCTION("""COMPUTED_VALUE"""),"BN Jual Beli")</f>
        <v>BN Jual Beli</v>
      </c>
      <c r="H3054" s="42">
        <f t="shared" si="1"/>
        <v>1430</v>
      </c>
    </row>
    <row r="3055" ht="22.5" customHeight="1">
      <c r="B3055" s="42" t="str">
        <f>IFERROR(__xludf.DUMMYFUNCTION("""COMPUTED_VALUE"""),"K/32/140325/2")</f>
        <v>K/32/140325/2</v>
      </c>
      <c r="C3055" s="42" t="str">
        <f>IFERROR(__xludf.DUMMYFUNCTION("""COMPUTED_VALUE"""),"M. 3016/ Sukarame II")</f>
        <v>M. 3016/ Sukarame II</v>
      </c>
      <c r="D3055" s="42"/>
      <c r="E3055" s="42" t="str">
        <f>IFERROR(__xludf.DUMMYFUNCTION("""COMPUTED_VALUE"""),"DISERAHKAN")</f>
        <v>DISERAHKAN</v>
      </c>
      <c r="F3055" s="48">
        <f>IFERROR(__xludf.DUMMYFUNCTION("""COMPUTED_VALUE"""),45769.44062208333)</f>
        <v>45769.44062</v>
      </c>
      <c r="G3055" s="42" t="str">
        <f>IFERROR(__xludf.DUMMYFUNCTION("""COMPUTED_VALUE"""),"BN Jual Beli")</f>
        <v>BN Jual Beli</v>
      </c>
      <c r="H3055" s="42">
        <f t="shared" si="1"/>
        <v>1431</v>
      </c>
    </row>
    <row r="3056" ht="22.5" customHeight="1">
      <c r="B3056" s="42" t="str">
        <f>IFERROR(__xludf.DUMMYFUNCTION("""COMPUTED_VALUE"""),"L/1/170325/1")</f>
        <v>L/1/170325/1</v>
      </c>
      <c r="C3056" s="42" t="str">
        <f>IFERROR(__xludf.DUMMYFUNCTION("""COMPUTED_VALUE"""),"NIB 687/GUNUNG TERANG")</f>
        <v>NIB 687/GUNUNG TERANG</v>
      </c>
      <c r="D3056" s="42"/>
      <c r="E3056" s="42"/>
      <c r="F3056" s="48" t="str">
        <f>IFERROR(__xludf.DUMMYFUNCTION("""COMPUTED_VALUE"""),"")</f>
        <v/>
      </c>
      <c r="G3056" s="42" t="str">
        <f>IFERROR(__xludf.DUMMYFUNCTION("""COMPUTED_VALUE"""),"PH")</f>
        <v>PH</v>
      </c>
      <c r="H3056" s="42">
        <f t="shared" si="1"/>
        <v>1431</v>
      </c>
    </row>
    <row r="3057" ht="22.5" customHeight="1">
      <c r="B3057" s="42" t="str">
        <f>IFERROR(__xludf.DUMMYFUNCTION("""COMPUTED_VALUE"""),"L/2/170325/1")</f>
        <v>L/2/170325/1</v>
      </c>
      <c r="C3057" s="42" t="str">
        <f>IFERROR(__xludf.DUMMYFUNCTION("""COMPUTED_VALUE"""),"HM 2846/BERININ RAYA")</f>
        <v>HM 2846/BERININ RAYA</v>
      </c>
      <c r="D3057" s="42" t="str">
        <f>IFERROR(__xludf.DUMMYFUNCTION("""COMPUTED_VALUE"""),"David")</f>
        <v>David</v>
      </c>
      <c r="E3057" s="42" t="str">
        <f>IFERROR(__xludf.DUMMYFUNCTION("""COMPUTED_VALUE"""),"DISERAHKAN")</f>
        <v>DISERAHKAN</v>
      </c>
      <c r="F3057" s="48">
        <f>IFERROR(__xludf.DUMMYFUNCTION("""COMPUTED_VALUE"""),45813.47639016203)</f>
        <v>45813.47639</v>
      </c>
      <c r="G3057" s="42" t="str">
        <f>IFERROR(__xludf.DUMMYFUNCTION("""COMPUTED_VALUE"""),"ROYA")</f>
        <v>ROYA</v>
      </c>
      <c r="H3057" s="42">
        <f t="shared" si="1"/>
        <v>1432</v>
      </c>
    </row>
    <row r="3058" ht="22.5" customHeight="1">
      <c r="B3058" s="42" t="str">
        <f>IFERROR(__xludf.DUMMYFUNCTION("""COMPUTED_VALUE"""),"L/3/170325/1")</f>
        <v>L/3/170325/1</v>
      </c>
      <c r="C3058" s="42" t="str">
        <f>IFERROR(__xludf.DUMMYFUNCTION("""COMPUTED_VALUE"""),"HM 2237/WAY LAGA")</f>
        <v>HM 2237/WAY LAGA</v>
      </c>
      <c r="D3058" s="42"/>
      <c r="E3058" s="42"/>
      <c r="F3058" s="48" t="str">
        <f>IFERROR(__xludf.DUMMYFUNCTION("""COMPUTED_VALUE"""),"")</f>
        <v/>
      </c>
      <c r="G3058" s="42" t="str">
        <f>IFERROR(__xludf.DUMMYFUNCTION("""COMPUTED_VALUE"""),"SKPT INFORMASI")</f>
        <v>SKPT INFORMASI</v>
      </c>
      <c r="H3058" s="42">
        <f t="shared" si="1"/>
        <v>1432</v>
      </c>
    </row>
    <row r="3059" ht="22.5" customHeight="1">
      <c r="B3059" s="42" t="str">
        <f>IFERROR(__xludf.DUMMYFUNCTION("""COMPUTED_VALUE"""),"K/4/170325/1")</f>
        <v>K/4/170325/1</v>
      </c>
      <c r="C3059" s="42" t="str">
        <f>IFERROR(__xludf.DUMMYFUNCTION("""COMPUTED_VALUE"""),"M. 5854/ Way Kandis")</f>
        <v>M. 5854/ Way Kandis</v>
      </c>
      <c r="D3059" s="42"/>
      <c r="E3059" s="42" t="str">
        <f>IFERROR(__xludf.DUMMYFUNCTION("""COMPUTED_VALUE"""),"DISERAHKAN")</f>
        <v>DISERAHKAN</v>
      </c>
      <c r="F3059" s="48">
        <f>IFERROR(__xludf.DUMMYFUNCTION("""COMPUTED_VALUE"""),45771.63504494213)</f>
        <v>45771.63504</v>
      </c>
      <c r="G3059" s="42" t="str">
        <f>IFERROR(__xludf.DUMMYFUNCTION("""COMPUTED_VALUE"""),"BN JUAL BELI")</f>
        <v>BN JUAL BELI</v>
      </c>
      <c r="H3059" s="42">
        <f t="shared" si="1"/>
        <v>1433</v>
      </c>
    </row>
    <row r="3060" ht="22.5" customHeight="1">
      <c r="B3060" s="42" t="str">
        <f>IFERROR(__xludf.DUMMYFUNCTION("""COMPUTED_VALUE"""),"L/6/170325/1")</f>
        <v>L/6/170325/1</v>
      </c>
      <c r="C3060" s="42" t="str">
        <f>IFERROR(__xludf.DUMMYFUNCTION("""COMPUTED_VALUE"""),"HM 744/RAJABASA NUNYAI")</f>
        <v>HM 744/RAJABASA NUNYAI</v>
      </c>
      <c r="D3060" s="42"/>
      <c r="E3060" s="42"/>
      <c r="F3060" s="48" t="str">
        <f>IFERROR(__xludf.DUMMYFUNCTION("""COMPUTED_VALUE"""),"")</f>
        <v/>
      </c>
      <c r="G3060" s="42" t="str">
        <f>IFERROR(__xludf.DUMMYFUNCTION("""COMPUTED_VALUE"""),"WINDY BESTHIA")</f>
        <v>WINDY BESTHIA</v>
      </c>
      <c r="H3060" s="42">
        <f t="shared" si="1"/>
        <v>1433</v>
      </c>
    </row>
    <row r="3061" ht="22.5" customHeight="1">
      <c r="B3061" s="42" t="str">
        <f>IFERROR(__xludf.DUMMYFUNCTION("""COMPUTED_VALUE"""),"K/5/170325/2")</f>
        <v>K/5/170325/2</v>
      </c>
      <c r="C3061" s="42" t="str">
        <f>IFERROR(__xludf.DUMMYFUNCTION("""COMPUTED_VALUE"""),"Nibel 17457/ Sepang jaya")</f>
        <v>Nibel 17457/ Sepang jaya</v>
      </c>
      <c r="D3061" s="42"/>
      <c r="E3061" s="42"/>
      <c r="F3061" s="48" t="str">
        <f>IFERROR(__xludf.DUMMYFUNCTION("""COMPUTED_VALUE"""),"")</f>
        <v/>
      </c>
      <c r="G3061" s="42" t="str">
        <f>IFERROR(__xludf.DUMMYFUNCTION("""COMPUTED_VALUE"""),"PEEMCAHAN BIDANG")</f>
        <v>PEEMCAHAN BIDANG</v>
      </c>
      <c r="H3061" s="42">
        <f t="shared" si="1"/>
        <v>1433</v>
      </c>
    </row>
    <row r="3062" ht="22.5" customHeight="1">
      <c r="B3062" s="42" t="str">
        <f>IFERROR(__xludf.DUMMYFUNCTION("""COMPUTED_VALUE"""),"K/7/170325/1")</f>
        <v>K/7/170325/1</v>
      </c>
      <c r="C3062" s="42" t="str">
        <f>IFERROR(__xludf.DUMMYFUNCTION("""COMPUTED_VALUE"""),"M.2047/BERINGIN RAYA")</f>
        <v>M.2047/BERINGIN RAYA</v>
      </c>
      <c r="D3062" s="42"/>
      <c r="E3062" s="42"/>
      <c r="F3062" s="48" t="str">
        <f>IFERROR(__xludf.DUMMYFUNCTION("""COMPUTED_VALUE"""),"")</f>
        <v/>
      </c>
      <c r="G3062" s="42" t="str">
        <f>IFERROR(__xludf.DUMMYFUNCTION("""COMPUTED_VALUE"""),"JUAL BELI")</f>
        <v>JUAL BELI</v>
      </c>
      <c r="H3062" s="42">
        <f t="shared" si="1"/>
        <v>1433</v>
      </c>
    </row>
    <row r="3063" ht="22.5" customHeight="1">
      <c r="B3063" s="42" t="str">
        <f>IFERROR(__xludf.DUMMYFUNCTION("""COMPUTED_VALUE"""),"K/8/170325/1")</f>
        <v>K/8/170325/1</v>
      </c>
      <c r="C3063" s="42" t="str">
        <f>IFERROR(__xludf.DUMMYFUNCTION("""COMPUTED_VALUE"""),"M. 1939/ Labuhan Ratu Raya")</f>
        <v>M. 1939/ Labuhan Ratu Raya</v>
      </c>
      <c r="D3063" s="42"/>
      <c r="E3063" s="42" t="str">
        <f>IFERROR(__xludf.DUMMYFUNCTION("""COMPUTED_VALUE"""),"DISERAHKAN")</f>
        <v>DISERAHKAN</v>
      </c>
      <c r="F3063" s="48">
        <f>IFERROR(__xludf.DUMMYFUNCTION("""COMPUTED_VALUE"""),45758.48339902778)</f>
        <v>45758.4834</v>
      </c>
      <c r="G3063" s="42" t="str">
        <f>IFERROR(__xludf.DUMMYFUNCTION("""COMPUTED_VALUE"""),"BN JUAL BELI")</f>
        <v>BN JUAL BELI</v>
      </c>
      <c r="H3063" s="42">
        <f t="shared" si="1"/>
        <v>1434</v>
      </c>
    </row>
    <row r="3064" ht="22.5" customHeight="1">
      <c r="B3064" s="42" t="str">
        <f>IFERROR(__xludf.DUMMYFUNCTION("""COMPUTED_VALUE"""),"K/9/170325/1")</f>
        <v>K/9/170325/1</v>
      </c>
      <c r="C3064" s="42" t="str">
        <f>IFERROR(__xludf.DUMMYFUNCTION("""COMPUTED_VALUE"""),"B. 175/ Kampung Baru")</f>
        <v>B. 175/ Kampung Baru</v>
      </c>
      <c r="D3064" s="42"/>
      <c r="E3064" s="42" t="str">
        <f>IFERROR(__xludf.DUMMYFUNCTION("""COMPUTED_VALUE"""),"DISERAHKAN")</f>
        <v>DISERAHKAN</v>
      </c>
      <c r="F3064" s="48">
        <f>IFERROR(__xludf.DUMMYFUNCTION("""COMPUTED_VALUE"""),45769.60071229166)</f>
        <v>45769.60071</v>
      </c>
      <c r="G3064" s="42" t="str">
        <f>IFERROR(__xludf.DUMMYFUNCTION("""COMPUTED_VALUE"""),"Roya")</f>
        <v>Roya</v>
      </c>
      <c r="H3064" s="42">
        <f t="shared" si="1"/>
        <v>1435</v>
      </c>
    </row>
    <row r="3065" ht="22.5" customHeight="1">
      <c r="B3065" s="42" t="str">
        <f>IFERROR(__xludf.DUMMYFUNCTION("""COMPUTED_VALUE"""),"K/10/170325/1")</f>
        <v>K/10/170325/1</v>
      </c>
      <c r="C3065" s="42" t="str">
        <f>IFERROR(__xludf.DUMMYFUNCTION("""COMPUTED_VALUE"""),"SUMUR BATU")</f>
        <v>SUMUR BATU</v>
      </c>
      <c r="D3065" s="42"/>
      <c r="E3065" s="42"/>
      <c r="F3065" s="48" t="str">
        <f>IFERROR(__xludf.DUMMYFUNCTION("""COMPUTED_VALUE"""),"")</f>
        <v/>
      </c>
      <c r="G3065" s="42" t="str">
        <f>IFERROR(__xludf.DUMMYFUNCTION("""COMPUTED_VALUE"""),"TANAH MENTAH")</f>
        <v>TANAH MENTAH</v>
      </c>
      <c r="H3065" s="42">
        <f t="shared" si="1"/>
        <v>1435</v>
      </c>
    </row>
    <row r="3066" ht="22.5" customHeight="1">
      <c r="B3066" s="42" t="str">
        <f>IFERROR(__xludf.DUMMYFUNCTION("""COMPUTED_VALUE"""),"K/11/170325/1")</f>
        <v>K/11/170325/1</v>
      </c>
      <c r="C3066" s="42" t="str">
        <f>IFERROR(__xludf.DUMMYFUNCTION("""COMPUTED_VALUE"""),"M. 3960/ Sukadana Ham")</f>
        <v>M. 3960/ Sukadana Ham</v>
      </c>
      <c r="D3066" s="42"/>
      <c r="E3066" s="42"/>
      <c r="F3066" s="48" t="str">
        <f>IFERROR(__xludf.DUMMYFUNCTION("""COMPUTED_VALUE"""),"")</f>
        <v/>
      </c>
      <c r="G3066" s="42" t="str">
        <f>IFERROR(__xludf.DUMMYFUNCTION("""COMPUTED_VALUE"""),"HAPUS BPHTB")</f>
        <v>HAPUS BPHTB</v>
      </c>
      <c r="H3066" s="42">
        <f t="shared" si="1"/>
        <v>1435</v>
      </c>
    </row>
    <row r="3067" ht="22.5" customHeight="1">
      <c r="B3067" s="42" t="str">
        <f>IFERROR(__xludf.DUMMYFUNCTION("""COMPUTED_VALUE"""),"K/12/170325/1")</f>
        <v>K/12/170325/1</v>
      </c>
      <c r="C3067" s="42" t="str">
        <f>IFERROR(__xludf.DUMMYFUNCTION("""COMPUTED_VALUE"""),"M. 51/ Rajabasa Raya")</f>
        <v>M. 51/ Rajabasa Raya</v>
      </c>
      <c r="D3067" s="42"/>
      <c r="E3067" s="42" t="str">
        <f>IFERROR(__xludf.DUMMYFUNCTION("""COMPUTED_VALUE"""),"DISERAHKAN")</f>
        <v>DISERAHKAN</v>
      </c>
      <c r="F3067" s="48">
        <f>IFERROR(__xludf.DUMMYFUNCTION("""COMPUTED_VALUE"""),45758.47725069444)</f>
        <v>45758.47725</v>
      </c>
      <c r="G3067" s="42" t="str">
        <f>IFERROR(__xludf.DUMMYFUNCTION("""COMPUTED_VALUE"""),"BN Jual Beli")</f>
        <v>BN Jual Beli</v>
      </c>
      <c r="H3067" s="42">
        <f t="shared" si="1"/>
        <v>1436</v>
      </c>
    </row>
    <row r="3068" ht="22.5" customHeight="1">
      <c r="B3068" s="42" t="str">
        <f>IFERROR(__xludf.DUMMYFUNCTION("""COMPUTED_VALUE"""),"K/13/170325/1")</f>
        <v>K/13/170325/1</v>
      </c>
      <c r="C3068" s="42" t="str">
        <f>IFERROR(__xludf.DUMMYFUNCTION("""COMPUTED_VALUE"""),"M.3948/SUKADANA HAM")</f>
        <v>M.3948/SUKADANA HAM</v>
      </c>
      <c r="D3068" s="42"/>
      <c r="E3068" s="42" t="str">
        <f>IFERROR(__xludf.DUMMYFUNCTION("""COMPUTED_VALUE"""),"DISERAHKAN")</f>
        <v>DISERAHKAN</v>
      </c>
      <c r="F3068" s="48">
        <f>IFERROR(__xludf.DUMMYFUNCTION("""COMPUTED_VALUE"""),45758.48149395833)</f>
        <v>45758.48149</v>
      </c>
      <c r="G3068" s="42" t="str">
        <f>IFERROR(__xludf.DUMMYFUNCTION("""COMPUTED_VALUE"""),"BN JUAL BELI")</f>
        <v>BN JUAL BELI</v>
      </c>
      <c r="H3068" s="42">
        <f t="shared" si="1"/>
        <v>1437</v>
      </c>
    </row>
    <row r="3069" ht="22.5" customHeight="1">
      <c r="B3069" s="42" t="str">
        <f>IFERROR(__xludf.DUMMYFUNCTION("""COMPUTED_VALUE"""),"K/14/170325/2")</f>
        <v>K/14/170325/2</v>
      </c>
      <c r="C3069" s="42" t="str">
        <f>IFERROR(__xludf.DUMMYFUNCTION("""COMPUTED_VALUE"""),"M.16819/SUKARAME")</f>
        <v>M.16819/SUKARAME</v>
      </c>
      <c r="D3069" s="42"/>
      <c r="E3069" s="42" t="str">
        <f>IFERROR(__xludf.DUMMYFUNCTION("""COMPUTED_VALUE"""),"DISERAHKAN")</f>
        <v>DISERAHKAN</v>
      </c>
      <c r="F3069" s="48">
        <f>IFERROR(__xludf.DUMMYFUNCTION("""COMPUTED_VALUE"""),45769.60071230324)</f>
        <v>45769.60071</v>
      </c>
      <c r="G3069" s="42" t="str">
        <f>IFERROR(__xludf.DUMMYFUNCTION("""COMPUTED_VALUE"""),"ROYA")</f>
        <v>ROYA</v>
      </c>
      <c r="H3069" s="42">
        <f t="shared" si="1"/>
        <v>1438</v>
      </c>
    </row>
    <row r="3070" ht="22.5" customHeight="1">
      <c r="B3070" s="42" t="str">
        <f>IFERROR(__xludf.DUMMYFUNCTION("""COMPUTED_VALUE"""),"K/15/170325/1")</f>
        <v>K/15/170325/1</v>
      </c>
      <c r="C3070" s="42" t="str">
        <f>IFERROR(__xludf.DUMMYFUNCTION("""COMPUTED_VALUE"""),"M.1659/BUMI KEDAMAIAN")</f>
        <v>M.1659/BUMI KEDAMAIAN</v>
      </c>
      <c r="D3070" s="42"/>
      <c r="E3070" s="42" t="str">
        <f>IFERROR(__xludf.DUMMYFUNCTION("""COMPUTED_VALUE"""),"DISERAHKAN")</f>
        <v>DISERAHKAN</v>
      </c>
      <c r="F3070" s="48">
        <f>IFERROR(__xludf.DUMMYFUNCTION("""COMPUTED_VALUE"""),45775.60405688657)</f>
        <v>45775.60406</v>
      </c>
      <c r="G3070" s="42" t="str">
        <f>IFERROR(__xludf.DUMMYFUNCTION("""COMPUTED_VALUE"""),"JUAL BELI")</f>
        <v>JUAL BELI</v>
      </c>
      <c r="H3070" s="42">
        <f t="shared" si="1"/>
        <v>1439</v>
      </c>
    </row>
    <row r="3071" ht="22.5" customHeight="1">
      <c r="B3071" s="42" t="str">
        <f>IFERROR(__xludf.DUMMYFUNCTION("""COMPUTED_VALUE"""),"L/16/170325/1")</f>
        <v>L/16/170325/1</v>
      </c>
      <c r="C3071" s="42" t="str">
        <f>IFERROR(__xludf.DUMMYFUNCTION("""COMPUTED_VALUE"""),"HM 101,102/SUMUR PUTRI")</f>
        <v>HM 101,102/SUMUR PUTRI</v>
      </c>
      <c r="D3071" s="42"/>
      <c r="E3071" s="42"/>
      <c r="F3071" s="48" t="str">
        <f>IFERROR(__xludf.DUMMYFUNCTION("""COMPUTED_VALUE"""),"")</f>
        <v/>
      </c>
      <c r="G3071" s="42" t="str">
        <f>IFERROR(__xludf.DUMMYFUNCTION("""COMPUTED_VALUE"""),"ROYA")</f>
        <v>ROYA</v>
      </c>
      <c r="H3071" s="42">
        <f t="shared" si="1"/>
        <v>1439</v>
      </c>
    </row>
    <row r="3072" ht="22.5" customHeight="1">
      <c r="B3072" s="42" t="str">
        <f>IFERROR(__xludf.DUMMYFUNCTION("""COMPUTED_VALUE"""),"L/17/170325/1")</f>
        <v>L/17/170325/1</v>
      </c>
      <c r="C3072" s="42" t="str">
        <f>IFERROR(__xludf.DUMMYFUNCTION("""COMPUTED_VALUE"""),"NIB 19410/LANGKAPURA")</f>
        <v>NIB 19410/LANGKAPURA</v>
      </c>
      <c r="D3072" s="42"/>
      <c r="E3072" s="42"/>
      <c r="F3072" s="48" t="str">
        <f>IFERROR(__xludf.DUMMYFUNCTION("""COMPUTED_VALUE"""),"")</f>
        <v/>
      </c>
      <c r="G3072" s="42" t="str">
        <f>IFERROR(__xludf.DUMMYFUNCTION("""COMPUTED_VALUE"""),"BN LELANG")</f>
        <v>BN LELANG</v>
      </c>
      <c r="H3072" s="42">
        <f t="shared" si="1"/>
        <v>1439</v>
      </c>
    </row>
    <row r="3073" ht="22.5" customHeight="1">
      <c r="B3073" s="42" t="str">
        <f>IFERROR(__xludf.DUMMYFUNCTION("""COMPUTED_VALUE"""),"K/18/170325/1")</f>
        <v>K/18/170325/1</v>
      </c>
      <c r="C3073" s="42" t="str">
        <f>IFERROR(__xludf.DUMMYFUNCTION("""COMPUTED_VALUE"""),"M. 4590/ Beringin Raya")</f>
        <v>M. 4590/ Beringin Raya</v>
      </c>
      <c r="D3073" s="42"/>
      <c r="E3073" s="42" t="str">
        <f>IFERROR(__xludf.DUMMYFUNCTION("""COMPUTED_VALUE"""),"DISERAHKAN")</f>
        <v>DISERAHKAN</v>
      </c>
      <c r="F3073" s="48">
        <f>IFERROR(__xludf.DUMMYFUNCTION("""COMPUTED_VALUE"""),45758.48352009259)</f>
        <v>45758.48352</v>
      </c>
      <c r="G3073" s="42" t="str">
        <f>IFERROR(__xludf.DUMMYFUNCTION("""COMPUTED_VALUE"""),"BN JUAL BELI")</f>
        <v>BN JUAL BELI</v>
      </c>
      <c r="H3073" s="42">
        <f t="shared" si="1"/>
        <v>1440</v>
      </c>
    </row>
    <row r="3074" ht="22.5" customHeight="1">
      <c r="B3074" s="42" t="str">
        <f>IFERROR(__xludf.DUMMYFUNCTION("""COMPUTED_VALUE"""),"L/19/170325/1")</f>
        <v>L/19/170325/1</v>
      </c>
      <c r="C3074" s="42" t="str">
        <f>IFERROR(__xludf.DUMMYFUNCTION("""COMPUTED_VALUE"""),"HGB 1363/PINANG JAYA")</f>
        <v>HGB 1363/PINANG JAYA</v>
      </c>
      <c r="D3074" s="42"/>
      <c r="E3074" s="42"/>
      <c r="F3074" s="48" t="str">
        <f>IFERROR(__xludf.DUMMYFUNCTION("""COMPUTED_VALUE"""),"")</f>
        <v/>
      </c>
      <c r="G3074" s="42" t="str">
        <f>IFERROR(__xludf.DUMMYFUNCTION("""COMPUTED_VALUE"""),"PH")</f>
        <v>PH</v>
      </c>
      <c r="H3074" s="42">
        <f t="shared" si="1"/>
        <v>1440</v>
      </c>
    </row>
    <row r="3075" ht="22.5" customHeight="1">
      <c r="B3075" s="42" t="str">
        <f>IFERROR(__xludf.DUMMYFUNCTION("""COMPUTED_VALUE"""),"K/20/170325/1")</f>
        <v>K/20/170325/1</v>
      </c>
      <c r="C3075" s="42" t="str">
        <f>IFERROR(__xludf.DUMMYFUNCTION("""COMPUTED_VALUE"""),"M. 4583/ Langkapura")</f>
        <v>M. 4583/ Langkapura</v>
      </c>
      <c r="D3075" s="42"/>
      <c r="E3075" s="42"/>
      <c r="F3075" s="48" t="str">
        <f>IFERROR(__xludf.DUMMYFUNCTION("""COMPUTED_VALUE"""),"")</f>
        <v/>
      </c>
      <c r="G3075" s="42" t="str">
        <f>IFERROR(__xludf.DUMMYFUNCTION("""COMPUTED_VALUE"""),"BN JUAL BELI")</f>
        <v>BN JUAL BELI</v>
      </c>
      <c r="H3075" s="42">
        <f t="shared" si="1"/>
        <v>1440</v>
      </c>
    </row>
    <row r="3076" ht="22.5" customHeight="1">
      <c r="B3076" s="42" t="str">
        <f>IFERROR(__xludf.DUMMYFUNCTION("""COMPUTED_VALUE"""),"K/21/170325/1")</f>
        <v>K/21/170325/1</v>
      </c>
      <c r="C3076" s="42" t="str">
        <f>IFERROR(__xludf.DUMMYFUNCTION("""COMPUTED_VALUE"""),"M.2165/KALIAWI")</f>
        <v>M.2165/KALIAWI</v>
      </c>
      <c r="D3076" s="42"/>
      <c r="E3076" s="42"/>
      <c r="F3076" s="48" t="str">
        <f>IFERROR(__xludf.DUMMYFUNCTION("""COMPUTED_VALUE"""),"")</f>
        <v/>
      </c>
      <c r="G3076" s="42" t="str">
        <f>IFERROR(__xludf.DUMMYFUNCTION("""COMPUTED_VALUE"""),"ROYA")</f>
        <v>ROYA</v>
      </c>
      <c r="H3076" s="42">
        <f t="shared" si="1"/>
        <v>1440</v>
      </c>
    </row>
    <row r="3077" ht="22.5" customHeight="1">
      <c r="B3077" s="42" t="str">
        <f>IFERROR(__xludf.DUMMYFUNCTION("""COMPUTED_VALUE"""),"L/23/170325/1")</f>
        <v>L/23/170325/1</v>
      </c>
      <c r="C3077" s="42" t="str">
        <f>IFERROR(__xludf.DUMMYFUNCTION("""COMPUTED_VALUE"""),"HGB 157/GEDONG MENENG")</f>
        <v>HGB 157/GEDONG MENENG</v>
      </c>
      <c r="D3077" s="42"/>
      <c r="E3077" s="42"/>
      <c r="F3077" s="48" t="str">
        <f>IFERROR(__xludf.DUMMYFUNCTION("""COMPUTED_VALUE"""),"")</f>
        <v/>
      </c>
      <c r="G3077" s="42" t="str">
        <f>IFERROR(__xludf.DUMMYFUNCTION("""COMPUTED_VALUE"""),"ROYA")</f>
        <v>ROYA</v>
      </c>
      <c r="H3077" s="42">
        <f t="shared" si="1"/>
        <v>1440</v>
      </c>
    </row>
    <row r="3078" ht="22.5" customHeight="1">
      <c r="B3078" s="42" t="str">
        <f>IFERROR(__xludf.DUMMYFUNCTION("""COMPUTED_VALUE"""),"K/24/170325/1")</f>
        <v>K/24/170325/1</v>
      </c>
      <c r="C3078" s="42" t="str">
        <f>IFERROR(__xludf.DUMMYFUNCTION("""COMPUTED_VALUE"""),"M.914/KORPRI JAYA")</f>
        <v>M.914/KORPRI JAYA</v>
      </c>
      <c r="D3078" s="42"/>
      <c r="E3078" s="42" t="str">
        <f>IFERROR(__xludf.DUMMYFUNCTION("""COMPUTED_VALUE"""),"DISERAHKAN")</f>
        <v>DISERAHKAN</v>
      </c>
      <c r="F3078" s="48">
        <f>IFERROR(__xludf.DUMMYFUNCTION("""COMPUTED_VALUE"""),45761.43979741898)</f>
        <v>45761.4398</v>
      </c>
      <c r="G3078" s="42" t="str">
        <f>IFERROR(__xludf.DUMMYFUNCTION("""COMPUTED_VALUE"""),"JUAL BELI")</f>
        <v>JUAL BELI</v>
      </c>
      <c r="H3078" s="42">
        <f t="shared" si="1"/>
        <v>1441</v>
      </c>
    </row>
    <row r="3079" ht="22.5" customHeight="1">
      <c r="B3079" s="42" t="str">
        <f>IFERROR(__xludf.DUMMYFUNCTION("""COMPUTED_VALUE"""),"K/22/170325/1")</f>
        <v>K/22/170325/1</v>
      </c>
      <c r="C3079" s="42" t="str">
        <f>IFERROR(__xludf.DUMMYFUNCTION("""COMPUTED_VALUE"""),"M. 2736/ Beringin Raya")</f>
        <v>M. 2736/ Beringin Raya</v>
      </c>
      <c r="D3079" s="42"/>
      <c r="E3079" s="42"/>
      <c r="F3079" s="48" t="str">
        <f>IFERROR(__xludf.DUMMYFUNCTION("""COMPUTED_VALUE"""),"")</f>
        <v/>
      </c>
      <c r="G3079" s="42" t="str">
        <f>IFERROR(__xludf.DUMMYFUNCTION("""COMPUTED_VALUE"""),"BN Jual Beli")</f>
        <v>BN Jual Beli</v>
      </c>
      <c r="H3079" s="42">
        <f t="shared" si="1"/>
        <v>1441</v>
      </c>
    </row>
    <row r="3080" ht="22.5" customHeight="1">
      <c r="B3080" s="42" t="str">
        <f>IFERROR(__xludf.DUMMYFUNCTION("""COMPUTED_VALUE"""),"K/25/170325/1")</f>
        <v>K/25/170325/1</v>
      </c>
      <c r="C3080" s="42" t="str">
        <f>IFERROR(__xludf.DUMMYFUNCTION("""COMPUTED_VALUE"""),"M. 1610/ Langkapura")</f>
        <v>M. 1610/ Langkapura</v>
      </c>
      <c r="D3080" s="42"/>
      <c r="E3080" s="42"/>
      <c r="F3080" s="48" t="str">
        <f>IFERROR(__xludf.DUMMYFUNCTION("""COMPUTED_VALUE"""),"")</f>
        <v/>
      </c>
      <c r="G3080" s="42" t="str">
        <f>IFERROR(__xludf.DUMMYFUNCTION("""COMPUTED_VALUE"""),"Pemecahan")</f>
        <v>Pemecahan</v>
      </c>
      <c r="H3080" s="42">
        <f t="shared" si="1"/>
        <v>1441</v>
      </c>
    </row>
    <row r="3081" ht="22.5" customHeight="1">
      <c r="B3081" s="42" t="str">
        <f>IFERROR(__xludf.DUMMYFUNCTION("""COMPUTED_VALUE"""),"K/26/170325/1")</f>
        <v>K/26/170325/1</v>
      </c>
      <c r="C3081" s="42" t="str">
        <f>IFERROR(__xludf.DUMMYFUNCTION("""COMPUTED_VALUE"""),"NIBEL M 12281/LANGKAPURA")</f>
        <v>NIBEL M 12281/LANGKAPURA</v>
      </c>
      <c r="D3081" s="42"/>
      <c r="E3081" s="42"/>
      <c r="F3081" s="48" t="str">
        <f>IFERROR(__xludf.DUMMYFUNCTION("""COMPUTED_VALUE"""),"")</f>
        <v/>
      </c>
      <c r="G3081" s="42" t="str">
        <f>IFERROR(__xludf.DUMMYFUNCTION("""COMPUTED_VALUE"""),"JUAL BELI")</f>
        <v>JUAL BELI</v>
      </c>
      <c r="H3081" s="42">
        <f t="shared" si="1"/>
        <v>1441</v>
      </c>
    </row>
    <row r="3082" ht="22.5" customHeight="1">
      <c r="B3082" s="42" t="str">
        <f>IFERROR(__xludf.DUMMYFUNCTION("""COMPUTED_VALUE"""),"K/27/170325/1")</f>
        <v>K/27/170325/1</v>
      </c>
      <c r="C3082" s="42" t="str">
        <f>IFERROR(__xludf.DUMMYFUNCTION("""COMPUTED_VALUE"""),"M. 1944/SUKADANA HAM")</f>
        <v>M. 1944/SUKADANA HAM</v>
      </c>
      <c r="D3082" s="42"/>
      <c r="E3082" s="42"/>
      <c r="F3082" s="48" t="str">
        <f>IFERROR(__xludf.DUMMYFUNCTION("""COMPUTED_VALUE"""),"")</f>
        <v/>
      </c>
      <c r="G3082" s="42" t="str">
        <f>IFERROR(__xludf.DUMMYFUNCTION("""COMPUTED_VALUE"""),"PENATAAN BATAS")</f>
        <v>PENATAAN BATAS</v>
      </c>
      <c r="H3082" s="42">
        <f t="shared" si="1"/>
        <v>1441</v>
      </c>
    </row>
    <row r="3083" ht="22.5" customHeight="1">
      <c r="B3083" s="42" t="str">
        <f>IFERROR(__xludf.DUMMYFUNCTION("""COMPUTED_VALUE"""),"K/29/170325/1")</f>
        <v>K/29/170325/1</v>
      </c>
      <c r="C3083" s="42" t="str">
        <f>IFERROR(__xludf.DUMMYFUNCTION("""COMPUTED_VALUE"""),"B. 702/ Sumber Agung")</f>
        <v>B. 702/ Sumber Agung</v>
      </c>
      <c r="D3083" s="42"/>
      <c r="E3083" s="42" t="str">
        <f>IFERROR(__xludf.DUMMYFUNCTION("""COMPUTED_VALUE"""),"DISERAHKAN")</f>
        <v>DISERAHKAN</v>
      </c>
      <c r="F3083" s="48">
        <f>IFERROR(__xludf.DUMMYFUNCTION("""COMPUTED_VALUE"""),45761.45330743055)</f>
        <v>45761.45331</v>
      </c>
      <c r="G3083" s="42" t="str">
        <f>IFERROR(__xludf.DUMMYFUNCTION("""COMPUTED_VALUE"""),"BN JUAL BELI")</f>
        <v>BN JUAL BELI</v>
      </c>
      <c r="H3083" s="42">
        <f t="shared" si="1"/>
        <v>1442</v>
      </c>
    </row>
    <row r="3084" ht="22.5" customHeight="1">
      <c r="B3084" s="42" t="str">
        <f>IFERROR(__xludf.DUMMYFUNCTION("""COMPUTED_VALUE"""),"K/30/170325/2")</f>
        <v>K/30/170325/2</v>
      </c>
      <c r="C3084" s="42" t="str">
        <f>IFERROR(__xludf.DUMMYFUNCTION("""COMPUTED_VALUE"""),"B. 644/ Sumber agung")</f>
        <v>B. 644/ Sumber agung</v>
      </c>
      <c r="D3084" s="42" t="str">
        <f>IFERROR(__xludf.DUMMYFUNCTION("""COMPUTED_VALUE"""),"Berry")</f>
        <v>Berry</v>
      </c>
      <c r="E3084" s="42" t="str">
        <f>IFERROR(__xludf.DUMMYFUNCTION("""COMPUTED_VALUE"""),"DISERAHKAN")</f>
        <v>DISERAHKAN</v>
      </c>
      <c r="F3084" s="48">
        <f>IFERROR(__xludf.DUMMYFUNCTION("""COMPUTED_VALUE"""),45799.70699899306)</f>
        <v>45799.707</v>
      </c>
      <c r="G3084" s="42" t="str">
        <f>IFERROR(__xludf.DUMMYFUNCTION("""COMPUTED_VALUE"""),"BN JUAL BELI")</f>
        <v>BN JUAL BELI</v>
      </c>
      <c r="H3084" s="42">
        <f t="shared" si="1"/>
        <v>1443</v>
      </c>
    </row>
    <row r="3085" ht="22.5" customHeight="1">
      <c r="B3085" s="42" t="str">
        <f>IFERROR(__xludf.DUMMYFUNCTION("""COMPUTED_VALUE"""),"K/28/170325/2")</f>
        <v>K/28/170325/2</v>
      </c>
      <c r="C3085" s="42" t="str">
        <f>IFERROR(__xludf.DUMMYFUNCTION("""COMPUTED_VALUE"""),"NIBEL M. 5706/GUNUNG AGUNG")</f>
        <v>NIBEL M. 5706/GUNUNG AGUNG</v>
      </c>
      <c r="D3085" s="42"/>
      <c r="E3085" s="42"/>
      <c r="F3085" s="48" t="str">
        <f>IFERROR(__xludf.DUMMYFUNCTION("""COMPUTED_VALUE"""),"")</f>
        <v/>
      </c>
      <c r="G3085" s="42" t="str">
        <f>IFERROR(__xludf.DUMMYFUNCTION("""COMPUTED_VALUE"""),"PEMECAHAN")</f>
        <v>PEMECAHAN</v>
      </c>
      <c r="H3085" s="42">
        <f t="shared" si="1"/>
        <v>1443</v>
      </c>
    </row>
    <row r="3086" ht="22.5" customHeight="1">
      <c r="B3086" s="42" t="str">
        <f>IFERROR(__xludf.DUMMYFUNCTION("""COMPUTED_VALUE"""),"K/33/170325/1")</f>
        <v>K/33/170325/1</v>
      </c>
      <c r="C3086" s="42" t="str">
        <f>IFERROR(__xludf.DUMMYFUNCTION("""COMPUTED_VALUE"""),"M. 14217/ Segala Mider")</f>
        <v>M. 14217/ Segala Mider</v>
      </c>
      <c r="D3086" s="42"/>
      <c r="E3086" s="42"/>
      <c r="F3086" s="48" t="str">
        <f>IFERROR(__xludf.DUMMYFUNCTION("""COMPUTED_VALUE"""),"")</f>
        <v/>
      </c>
      <c r="G3086" s="42" t="str">
        <f>IFERROR(__xludf.DUMMYFUNCTION("""COMPUTED_VALUE"""),"BN Waris")</f>
        <v>BN Waris</v>
      </c>
      <c r="H3086" s="42">
        <f t="shared" si="1"/>
        <v>1443</v>
      </c>
    </row>
    <row r="3087" ht="22.5" customHeight="1">
      <c r="B3087" s="42" t="str">
        <f>IFERROR(__xludf.DUMMYFUNCTION("""COMPUTED_VALUE"""),"K/31/170325/3")</f>
        <v>K/31/170325/3</v>
      </c>
      <c r="C3087" s="42" t="str">
        <f>IFERROR(__xludf.DUMMYFUNCTION("""COMPUTED_VALUE"""),"B. 608/ Sumber agung")</f>
        <v>B. 608/ Sumber agung</v>
      </c>
      <c r="D3087" s="42"/>
      <c r="E3087" s="42"/>
      <c r="F3087" s="48" t="str">
        <f>IFERROR(__xludf.DUMMYFUNCTION("""COMPUTED_VALUE"""),"")</f>
        <v/>
      </c>
      <c r="G3087" s="42" t="str">
        <f>IFERROR(__xludf.DUMMYFUNCTION("""COMPUTED_VALUE"""),"BN JUAL BELI")</f>
        <v>BN JUAL BELI</v>
      </c>
      <c r="H3087" s="42">
        <f t="shared" si="1"/>
        <v>1443</v>
      </c>
    </row>
    <row r="3088" ht="22.5" customHeight="1">
      <c r="B3088" s="42" t="str">
        <f>IFERROR(__xludf.DUMMYFUNCTION("""COMPUTED_VALUE"""),"K/34/170325/1")</f>
        <v>K/34/170325/1</v>
      </c>
      <c r="C3088" s="42" t="str">
        <f>IFERROR(__xludf.DUMMYFUNCTION("""COMPUTED_VALUE"""),"B.882/KEMILING PERMAI")</f>
        <v>B.882/KEMILING PERMAI</v>
      </c>
      <c r="D3088" s="42"/>
      <c r="E3088" s="42" t="str">
        <f>IFERROR(__xludf.DUMMYFUNCTION("""COMPUTED_VALUE"""),"DISERAHKAN")</f>
        <v>DISERAHKAN</v>
      </c>
      <c r="F3088" s="48">
        <f>IFERROR(__xludf.DUMMYFUNCTION("""COMPUTED_VALUE"""),45761.43995186343)</f>
        <v>45761.43995</v>
      </c>
      <c r="G3088" s="42" t="str">
        <f>IFERROR(__xludf.DUMMYFUNCTION("""COMPUTED_VALUE"""),"JUAL BELI")</f>
        <v>JUAL BELI</v>
      </c>
      <c r="H3088" s="42">
        <f t="shared" si="1"/>
        <v>1444</v>
      </c>
    </row>
    <row r="3089" ht="22.5" customHeight="1">
      <c r="B3089" s="42" t="str">
        <f>IFERROR(__xludf.DUMMYFUNCTION("""COMPUTED_VALUE"""),"K/35/170325/2")</f>
        <v>K/35/170325/2</v>
      </c>
      <c r="C3089" s="42" t="str">
        <f>IFERROR(__xludf.DUMMYFUNCTION("""COMPUTED_VALUE"""),"B.553/KEMILING PERMAI")</f>
        <v>B.553/KEMILING PERMAI</v>
      </c>
      <c r="D3089" s="42"/>
      <c r="E3089" s="42" t="str">
        <f>IFERROR(__xludf.DUMMYFUNCTION("""COMPUTED_VALUE"""),"DISERAHKAN")</f>
        <v>DISERAHKAN</v>
      </c>
      <c r="F3089" s="48">
        <f>IFERROR(__xludf.DUMMYFUNCTION("""COMPUTED_VALUE"""),45769.4320127199)</f>
        <v>45769.43201</v>
      </c>
      <c r="G3089" s="42" t="str">
        <f>IFERROR(__xludf.DUMMYFUNCTION("""COMPUTED_VALUE"""),"JUAL BELI")</f>
        <v>JUAL BELI</v>
      </c>
      <c r="H3089" s="42">
        <f t="shared" si="1"/>
        <v>1445</v>
      </c>
    </row>
    <row r="3090" ht="22.5" customHeight="1">
      <c r="B3090" s="42" t="str">
        <f>IFERROR(__xludf.DUMMYFUNCTION("""COMPUTED_VALUE"""),"K/37/170325/1")</f>
        <v>K/37/170325/1</v>
      </c>
      <c r="C3090" s="42" t="str">
        <f>IFERROR(__xludf.DUMMYFUNCTION("""COMPUTED_VALUE"""),"M. 1977/ Labuhan Ratu Raya")</f>
        <v>M. 1977/ Labuhan Ratu Raya</v>
      </c>
      <c r="D3090" s="42"/>
      <c r="E3090" s="42" t="str">
        <f>IFERROR(__xludf.DUMMYFUNCTION("""COMPUTED_VALUE"""),"DISERAHKAN")</f>
        <v>DISERAHKAN</v>
      </c>
      <c r="F3090" s="48">
        <f>IFERROR(__xludf.DUMMYFUNCTION("""COMPUTED_VALUE"""),45769.43215840278)</f>
        <v>45769.43216</v>
      </c>
      <c r="G3090" s="42" t="str">
        <f>IFERROR(__xludf.DUMMYFUNCTION("""COMPUTED_VALUE"""),"BN Jual Beli")</f>
        <v>BN Jual Beli</v>
      </c>
      <c r="H3090" s="42">
        <f t="shared" si="1"/>
        <v>1446</v>
      </c>
    </row>
    <row r="3091" ht="22.5" customHeight="1">
      <c r="B3091" s="42" t="str">
        <f>IFERROR(__xludf.DUMMYFUNCTION("""COMPUTED_VALUE"""),"K/36/170325/3")</f>
        <v>K/36/170325/3</v>
      </c>
      <c r="C3091" s="42" t="str">
        <f>IFERROR(__xludf.DUMMYFUNCTION("""COMPUTED_VALUE"""),"B.923/KEMILING PERMAI")</f>
        <v>B.923/KEMILING PERMAI</v>
      </c>
      <c r="D3091" s="42"/>
      <c r="E3091" s="42" t="str">
        <f>IFERROR(__xludf.DUMMYFUNCTION("""COMPUTED_VALUE"""),"DISERAHKAN")</f>
        <v>DISERAHKAN</v>
      </c>
      <c r="F3091" s="48">
        <f>IFERROR(__xludf.DUMMYFUNCTION("""COMPUTED_VALUE"""),45758.4765915625)</f>
        <v>45758.47659</v>
      </c>
      <c r="G3091" s="42" t="str">
        <f>IFERROR(__xludf.DUMMYFUNCTION("""COMPUTED_VALUE"""),"JUAL BELI")</f>
        <v>JUAL BELI</v>
      </c>
      <c r="H3091" s="42">
        <f t="shared" si="1"/>
        <v>1447</v>
      </c>
    </row>
    <row r="3092" ht="22.5" customHeight="1">
      <c r="B3092" s="42" t="str">
        <f>IFERROR(__xludf.DUMMYFUNCTION("""COMPUTED_VALUE"""),"K/38/170325/1")</f>
        <v>K/38/170325/1</v>
      </c>
      <c r="C3092" s="42" t="str">
        <f>IFERROR(__xludf.DUMMYFUNCTION("""COMPUTED_VALUE"""),"M. 1798/ Rajabasa Pemuka")</f>
        <v>M. 1798/ Rajabasa Pemuka</v>
      </c>
      <c r="D3092" s="42"/>
      <c r="E3092" s="42" t="str">
        <f>IFERROR(__xludf.DUMMYFUNCTION("""COMPUTED_VALUE"""),"DISERAHKAN")</f>
        <v>DISERAHKAN</v>
      </c>
      <c r="F3092" s="48">
        <f>IFERROR(__xludf.DUMMYFUNCTION("""COMPUTED_VALUE"""),45764.597127824076)</f>
        <v>45764.59713</v>
      </c>
      <c r="G3092" s="42" t="str">
        <f>IFERROR(__xludf.DUMMYFUNCTION("""COMPUTED_VALUE"""),"BN JUAL BELI")</f>
        <v>BN JUAL BELI</v>
      </c>
      <c r="H3092" s="42">
        <f t="shared" si="1"/>
        <v>1448</v>
      </c>
    </row>
    <row r="3093" ht="22.5" customHeight="1">
      <c r="B3093" s="42" t="str">
        <f>IFERROR(__xludf.DUMMYFUNCTION("""COMPUTED_VALUE"""),"K/32/170325/1")</f>
        <v>K/32/170325/1</v>
      </c>
      <c r="C3093" s="42" t="str">
        <f>IFERROR(__xludf.DUMMYFUNCTION("""COMPUTED_VALUE"""),"M. 2650/ Campang Raya")</f>
        <v>M. 2650/ Campang Raya</v>
      </c>
      <c r="D3093" s="42"/>
      <c r="E3093" s="42"/>
      <c r="F3093" s="48" t="str">
        <f>IFERROR(__xludf.DUMMYFUNCTION("""COMPUTED_VALUE"""),"")</f>
        <v/>
      </c>
      <c r="G3093" s="42" t="str">
        <f>IFERROR(__xludf.DUMMYFUNCTION("""COMPUTED_VALUE"""),"Roya")</f>
        <v>Roya</v>
      </c>
      <c r="H3093" s="42">
        <f t="shared" si="1"/>
        <v>1448</v>
      </c>
    </row>
    <row r="3094" ht="22.5" customHeight="1">
      <c r="B3094" s="42" t="str">
        <f>IFERROR(__xludf.DUMMYFUNCTION("""COMPUTED_VALUE"""),"K/39/170325/1")</f>
        <v>K/39/170325/1</v>
      </c>
      <c r="C3094" s="42" t="str">
        <f>IFERROR(__xludf.DUMMYFUNCTION("""COMPUTED_VALUE"""),"Nibel. M. 16024/ Pelita")</f>
        <v>Nibel. M. 16024/ Pelita</v>
      </c>
      <c r="D3094" s="42"/>
      <c r="E3094" s="42"/>
      <c r="F3094" s="48" t="str">
        <f>IFERROR(__xludf.DUMMYFUNCTION("""COMPUTED_VALUE"""),"")</f>
        <v/>
      </c>
      <c r="G3094" s="42" t="str">
        <f>IFERROR(__xludf.DUMMYFUNCTION("""COMPUTED_VALUE"""),"BN Jual Beli")</f>
        <v>BN Jual Beli</v>
      </c>
      <c r="H3094" s="42">
        <f t="shared" si="1"/>
        <v>1448</v>
      </c>
    </row>
    <row r="3095" ht="22.5" customHeight="1">
      <c r="B3095" s="42" t="str">
        <f>IFERROR(__xludf.DUMMYFUNCTION("""COMPUTED_VALUE"""),"K/1/180325/1")</f>
        <v>K/1/180325/1</v>
      </c>
      <c r="C3095" s="42" t="str">
        <f>IFERROR(__xludf.DUMMYFUNCTION("""COMPUTED_VALUE"""),"B.192/SUKAMAJU")</f>
        <v>B.192/SUKAMAJU</v>
      </c>
      <c r="D3095" s="42"/>
      <c r="E3095" s="42"/>
      <c r="F3095" s="48" t="str">
        <f>IFERROR(__xludf.DUMMYFUNCTION("""COMPUTED_VALUE"""),"")</f>
        <v/>
      </c>
      <c r="G3095" s="42" t="str">
        <f>IFERROR(__xludf.DUMMYFUNCTION("""COMPUTED_VALUE"""),"PTPGT")</f>
        <v>PTPGT</v>
      </c>
      <c r="H3095" s="42">
        <f t="shared" si="1"/>
        <v>1448</v>
      </c>
    </row>
    <row r="3096" ht="22.5" customHeight="1">
      <c r="B3096" s="42" t="str">
        <f>IFERROR(__xludf.DUMMYFUNCTION("""COMPUTED_VALUE"""),"K/2/180325/1")</f>
        <v>K/2/180325/1</v>
      </c>
      <c r="C3096" s="42" t="str">
        <f>IFERROR(__xludf.DUMMYFUNCTION("""COMPUTED_VALUE"""),"B. 2566/ Sukarame I")</f>
        <v>B. 2566/ Sukarame I</v>
      </c>
      <c r="D3096" s="42"/>
      <c r="E3096" s="42"/>
      <c r="F3096" s="48" t="str">
        <f>IFERROR(__xludf.DUMMYFUNCTION("""COMPUTED_VALUE"""),"")</f>
        <v/>
      </c>
      <c r="G3096" s="42" t="str">
        <f>IFERROR(__xludf.DUMMYFUNCTION("""COMPUTED_VALUE"""),"ROYA")</f>
        <v>ROYA</v>
      </c>
      <c r="H3096" s="42">
        <f t="shared" si="1"/>
        <v>1448</v>
      </c>
    </row>
    <row r="3097" ht="22.5" customHeight="1">
      <c r="B3097" s="42" t="str">
        <f>IFERROR(__xludf.DUMMYFUNCTION("""COMPUTED_VALUE"""),"K/3/180325/2")</f>
        <v>K/3/180325/2</v>
      </c>
      <c r="C3097" s="42" t="str">
        <f>IFERROR(__xludf.DUMMYFUNCTION("""COMPUTED_VALUE"""),"B. 285/ Way Dadi")</f>
        <v>B. 285/ Way Dadi</v>
      </c>
      <c r="D3097" s="42" t="str">
        <f>IFERROR(__xludf.DUMMYFUNCTION("""COMPUTED_VALUE"""),"Berry")</f>
        <v>Berry</v>
      </c>
      <c r="E3097" s="42" t="str">
        <f>IFERROR(__xludf.DUMMYFUNCTION("""COMPUTED_VALUE"""),"DISERAHKAN")</f>
        <v>DISERAHKAN</v>
      </c>
      <c r="F3097" s="48">
        <f>IFERROR(__xludf.DUMMYFUNCTION("""COMPUTED_VALUE"""),45792.483524166666)</f>
        <v>45792.48352</v>
      </c>
      <c r="G3097" s="42" t="str">
        <f>IFERROR(__xludf.DUMMYFUNCTION("""COMPUTED_VALUE"""),"ROYA")</f>
        <v>ROYA</v>
      </c>
      <c r="H3097" s="42">
        <f t="shared" si="1"/>
        <v>1449</v>
      </c>
    </row>
    <row r="3098" ht="22.5" customHeight="1">
      <c r="B3098" s="42" t="str">
        <f>IFERROR(__xludf.DUMMYFUNCTION("""COMPUTED_VALUE"""),"K/4/180325/1")</f>
        <v>K/4/180325/1</v>
      </c>
      <c r="C3098" s="42" t="str">
        <f>IFERROR(__xludf.DUMMYFUNCTION("""COMPUTED_VALUE"""),"M.224/BUMI RAYA")</f>
        <v>M.224/BUMI RAYA</v>
      </c>
      <c r="D3098" s="42"/>
      <c r="E3098" s="42" t="str">
        <f>IFERROR(__xludf.DUMMYFUNCTION("""COMPUTED_VALUE"""),"DISERAHKAN")</f>
        <v>DISERAHKAN</v>
      </c>
      <c r="F3098" s="48">
        <f>IFERROR(__xludf.DUMMYFUNCTION("""COMPUTED_VALUE"""),45769.430134525464)</f>
        <v>45769.43013</v>
      </c>
      <c r="G3098" s="42" t="str">
        <f>IFERROR(__xludf.DUMMYFUNCTION("""COMPUTED_VALUE"""),"KEWARISAN")</f>
        <v>KEWARISAN</v>
      </c>
      <c r="H3098" s="42">
        <f t="shared" si="1"/>
        <v>1450</v>
      </c>
    </row>
    <row r="3099" ht="22.5" customHeight="1">
      <c r="B3099" s="42" t="str">
        <f>IFERROR(__xludf.DUMMYFUNCTION("""COMPUTED_VALUE"""),"K/5/180325/1")</f>
        <v>K/5/180325/1</v>
      </c>
      <c r="C3099" s="42" t="str">
        <f>IFERROR(__xludf.DUMMYFUNCTION("""COMPUTED_VALUE"""),"M.2147/DURIAN PAYUNG")</f>
        <v>M.2147/DURIAN PAYUNG</v>
      </c>
      <c r="D3099" s="42"/>
      <c r="E3099" s="42"/>
      <c r="F3099" s="48" t="str">
        <f>IFERROR(__xludf.DUMMYFUNCTION("""COMPUTED_VALUE"""),"")</f>
        <v/>
      </c>
      <c r="G3099" s="42" t="str">
        <f>IFERROR(__xludf.DUMMYFUNCTION("""COMPUTED_VALUE"""),"HIBAH")</f>
        <v>HIBAH</v>
      </c>
      <c r="H3099" s="42">
        <f t="shared" si="1"/>
        <v>1450</v>
      </c>
    </row>
    <row r="3100" ht="22.5" customHeight="1">
      <c r="B3100" s="42" t="str">
        <f>IFERROR(__xludf.DUMMYFUNCTION("""COMPUTED_VALUE"""),"K/6/180325/1")</f>
        <v>K/6/180325/1</v>
      </c>
      <c r="C3100" s="42" t="str">
        <f>IFERROR(__xludf.DUMMYFUNCTION("""COMPUTED_VALUE"""),"M. 1474/ Jagabaya III")</f>
        <v>M. 1474/ Jagabaya III</v>
      </c>
      <c r="D3100" s="42"/>
      <c r="E3100" s="42"/>
      <c r="F3100" s="48" t="str">
        <f>IFERROR(__xludf.DUMMYFUNCTION("""COMPUTED_VALUE"""),"")</f>
        <v/>
      </c>
      <c r="G3100" s="42" t="str">
        <f>IFERROR(__xludf.DUMMYFUNCTION("""COMPUTED_VALUE"""),"HAPUS BPHTB")</f>
        <v>HAPUS BPHTB</v>
      </c>
      <c r="H3100" s="42">
        <f t="shared" si="1"/>
        <v>1450</v>
      </c>
    </row>
    <row r="3101" ht="22.5" customHeight="1">
      <c r="B3101" s="42" t="str">
        <f>IFERROR(__xludf.DUMMYFUNCTION("""COMPUTED_VALUE"""),"K/7/180325/1")</f>
        <v>K/7/180325/1</v>
      </c>
      <c r="C3101" s="42" t="str">
        <f>IFERROR(__xludf.DUMMYFUNCTION("""COMPUTED_VALUE"""),"M.2678/SUMBER REJO")</f>
        <v>M.2678/SUMBER REJO</v>
      </c>
      <c r="D3101" s="42"/>
      <c r="E3101" s="42" t="str">
        <f>IFERROR(__xludf.DUMMYFUNCTION("""COMPUTED_VALUE"""),"DISERAHKAN")</f>
        <v>DISERAHKAN</v>
      </c>
      <c r="F3101" s="48">
        <f>IFERROR(__xludf.DUMMYFUNCTION("""COMPUTED_VALUE"""),45758.482265625)</f>
        <v>45758.48227</v>
      </c>
      <c r="G3101" s="42" t="str">
        <f>IFERROR(__xludf.DUMMYFUNCTION("""COMPUTED_VALUE"""),"BN JUAL BELI")</f>
        <v>BN JUAL BELI</v>
      </c>
      <c r="H3101" s="42">
        <f t="shared" si="1"/>
        <v>1451</v>
      </c>
    </row>
    <row r="3102" ht="22.5" customHeight="1">
      <c r="B3102" s="42" t="str">
        <f>IFERROR(__xludf.DUMMYFUNCTION("""COMPUTED_VALUE"""),"K/8/180325/1")</f>
        <v>K/8/180325/1</v>
      </c>
      <c r="C3102" s="42" t="str">
        <f>IFERROR(__xludf.DUMMYFUNCTION("""COMPUTED_VALUE"""),"M. 281/ Pesawahan")</f>
        <v>M. 281/ Pesawahan</v>
      </c>
      <c r="D3102" s="42"/>
      <c r="E3102" s="42"/>
      <c r="F3102" s="48" t="str">
        <f>IFERROR(__xludf.DUMMYFUNCTION("""COMPUTED_VALUE"""),"")</f>
        <v/>
      </c>
      <c r="G3102" s="42" t="str">
        <f>IFERROR(__xludf.DUMMYFUNCTION("""COMPUTED_VALUE"""),"SKPT LELANG")</f>
        <v>SKPT LELANG</v>
      </c>
      <c r="H3102" s="42">
        <f t="shared" si="1"/>
        <v>1451</v>
      </c>
    </row>
    <row r="3103" ht="22.5" customHeight="1">
      <c r="B3103" s="42" t="str">
        <f>IFERROR(__xludf.DUMMYFUNCTION("""COMPUTED_VALUE"""),"K/9/180325/2")</f>
        <v>K/9/180325/2</v>
      </c>
      <c r="C3103" s="42" t="str">
        <f>IFERROR(__xludf.DUMMYFUNCTION("""COMPUTED_VALUE"""),"M. 1280/ Kangkung")</f>
        <v>M. 1280/ Kangkung</v>
      </c>
      <c r="D3103" s="42"/>
      <c r="E3103" s="42"/>
      <c r="F3103" s="48" t="str">
        <f>IFERROR(__xludf.DUMMYFUNCTION("""COMPUTED_VALUE"""),"")</f>
        <v/>
      </c>
      <c r="G3103" s="42" t="str">
        <f>IFERROR(__xludf.DUMMYFUNCTION("""COMPUTED_VALUE"""),"SKPT LELANG")</f>
        <v>SKPT LELANG</v>
      </c>
      <c r="H3103" s="42">
        <f t="shared" si="1"/>
        <v>1451</v>
      </c>
    </row>
    <row r="3104" ht="22.5" customHeight="1">
      <c r="B3104" s="42" t="str">
        <f>IFERROR(__xludf.DUMMYFUNCTION("""COMPUTED_VALUE"""),"K/10/180325/3")</f>
        <v>K/10/180325/3</v>
      </c>
      <c r="C3104" s="42" t="str">
        <f>IFERROR(__xludf.DUMMYFUNCTION("""COMPUTED_VALUE"""),"M. 10360/ Sukarame I")</f>
        <v>M. 10360/ Sukarame I</v>
      </c>
      <c r="D3104" s="42"/>
      <c r="E3104" s="42"/>
      <c r="F3104" s="48" t="str">
        <f>IFERROR(__xludf.DUMMYFUNCTION("""COMPUTED_VALUE"""),"")</f>
        <v/>
      </c>
      <c r="G3104" s="42" t="str">
        <f>IFERROR(__xludf.DUMMYFUNCTION("""COMPUTED_VALUE"""),"SKPT LELANG")</f>
        <v>SKPT LELANG</v>
      </c>
      <c r="H3104" s="42">
        <f t="shared" si="1"/>
        <v>1451</v>
      </c>
    </row>
    <row r="3105" ht="22.5" customHeight="1">
      <c r="B3105" s="42" t="str">
        <f>IFERROR(__xludf.DUMMYFUNCTION("""COMPUTED_VALUE"""),"K/11/180325/1")</f>
        <v>K/11/180325/1</v>
      </c>
      <c r="C3105" s="42" t="str">
        <f>IFERROR(__xludf.DUMMYFUNCTION("""COMPUTED_VALUE"""),"M. 339/ Perwata")</f>
        <v>M. 339/ Perwata</v>
      </c>
      <c r="D3105" s="42"/>
      <c r="E3105" s="42" t="str">
        <f>IFERROR(__xludf.DUMMYFUNCTION("""COMPUTED_VALUE"""),"DISERAHKAN")</f>
        <v>DISERAHKAN</v>
      </c>
      <c r="F3105" s="48">
        <f>IFERROR(__xludf.DUMMYFUNCTION("""COMPUTED_VALUE"""),45758.48303613426)</f>
        <v>45758.48304</v>
      </c>
      <c r="G3105" s="42" t="str">
        <f>IFERROR(__xludf.DUMMYFUNCTION("""COMPUTED_VALUE"""),"BN JUAL BELI")</f>
        <v>BN JUAL BELI</v>
      </c>
      <c r="H3105" s="42">
        <f t="shared" si="1"/>
        <v>1452</v>
      </c>
    </row>
    <row r="3106" ht="22.5" customHeight="1">
      <c r="B3106" s="42" t="str">
        <f>IFERROR(__xludf.DUMMYFUNCTION("""COMPUTED_VALUE"""),"L/12/180325/1")</f>
        <v>L/12/180325/1</v>
      </c>
      <c r="C3106" s="42" t="str">
        <f>IFERROR(__xludf.DUMMYFUNCTION("""COMPUTED_VALUE"""),"LANGKAPURA")</f>
        <v>LANGKAPURA</v>
      </c>
      <c r="D3106" s="42"/>
      <c r="E3106" s="42"/>
      <c r="F3106" s="48" t="str">
        <f>IFERROR(__xludf.DUMMYFUNCTION("""COMPUTED_VALUE"""),"")</f>
        <v/>
      </c>
      <c r="G3106" s="42" t="str">
        <f>IFERROR(__xludf.DUMMYFUNCTION("""COMPUTED_VALUE"""),"ASPEK")</f>
        <v>ASPEK</v>
      </c>
      <c r="H3106" s="42">
        <f t="shared" si="1"/>
        <v>1452</v>
      </c>
    </row>
    <row r="3107" ht="22.5" customHeight="1">
      <c r="B3107" s="42" t="str">
        <f>IFERROR(__xludf.DUMMYFUNCTION("""COMPUTED_VALUE"""),"K/13/180325/1")</f>
        <v>K/13/180325/1</v>
      </c>
      <c r="C3107" s="42" t="str">
        <f>IFERROR(__xludf.DUMMYFUNCTION("""COMPUTED_VALUE"""),"B.2413/SUKARAME")</f>
        <v>B.2413/SUKARAME</v>
      </c>
      <c r="D3107" s="42"/>
      <c r="E3107" s="42"/>
      <c r="F3107" s="48" t="str">
        <f>IFERROR(__xludf.DUMMYFUNCTION("""COMPUTED_VALUE"""),"")</f>
        <v/>
      </c>
      <c r="G3107" s="42" t="str">
        <f>IFERROR(__xludf.DUMMYFUNCTION("""COMPUTED_VALUE"""),"PERUBAHAN HAK")</f>
        <v>PERUBAHAN HAK</v>
      </c>
      <c r="H3107" s="42">
        <f t="shared" si="1"/>
        <v>1452</v>
      </c>
    </row>
    <row r="3108" ht="22.5" customHeight="1">
      <c r="B3108" s="42" t="str">
        <f>IFERROR(__xludf.DUMMYFUNCTION("""COMPUTED_VALUE"""),"K/15/180325/1")</f>
        <v>K/15/180325/1</v>
      </c>
      <c r="C3108" s="42" t="str">
        <f>IFERROR(__xludf.DUMMYFUNCTION("""COMPUTED_VALUE"""),"M.271/WAY HALIM PERMAI")</f>
        <v>M.271/WAY HALIM PERMAI</v>
      </c>
      <c r="D3108" s="42" t="str">
        <f>IFERROR(__xludf.DUMMYFUNCTION("""COMPUTED_VALUE"""),"David")</f>
        <v>David</v>
      </c>
      <c r="E3108" s="42" t="str">
        <f>IFERROR(__xludf.DUMMYFUNCTION("""COMPUTED_VALUE"""),"DISERAHKAN")</f>
        <v>DISERAHKAN</v>
      </c>
      <c r="F3108" s="48">
        <f>IFERROR(__xludf.DUMMYFUNCTION("""COMPUTED_VALUE"""),45811.36315971064)</f>
        <v>45811.36316</v>
      </c>
      <c r="G3108" s="42" t="str">
        <f>IFERROR(__xludf.DUMMYFUNCTION("""COMPUTED_VALUE"""),"ROYA")</f>
        <v>ROYA</v>
      </c>
      <c r="H3108" s="42">
        <f t="shared" si="1"/>
        <v>1453</v>
      </c>
    </row>
    <row r="3109" ht="22.5" customHeight="1">
      <c r="B3109" s="42" t="str">
        <f>IFERROR(__xludf.DUMMYFUNCTION("""COMPUTED_VALUE"""),"K/14/180325/1")</f>
        <v>K/14/180325/1</v>
      </c>
      <c r="C3109" s="42" t="str">
        <f>IFERROR(__xludf.DUMMYFUNCTION("""COMPUTED_VALUE"""),"M. 1992/GEDONG AIR")</f>
        <v>M. 1992/GEDONG AIR</v>
      </c>
      <c r="D3109" s="42" t="str">
        <f>IFERROR(__xludf.DUMMYFUNCTION("""COMPUTED_VALUE"""),"Berry")</f>
        <v>Berry</v>
      </c>
      <c r="E3109" s="42" t="str">
        <f>IFERROR(__xludf.DUMMYFUNCTION("""COMPUTED_VALUE"""),"DISERAHKAN")</f>
        <v>DISERAHKAN</v>
      </c>
      <c r="F3109" s="48">
        <f>IFERROR(__xludf.DUMMYFUNCTION("""COMPUTED_VALUE"""),45796.4855883912)</f>
        <v>45796.48559</v>
      </c>
      <c r="G3109" s="42" t="str">
        <f>IFERROR(__xludf.DUMMYFUNCTION("""COMPUTED_VALUE"""),"ROYA")</f>
        <v>ROYA</v>
      </c>
      <c r="H3109" s="42">
        <f t="shared" si="1"/>
        <v>1454</v>
      </c>
    </row>
    <row r="3110" ht="22.5" customHeight="1">
      <c r="B3110" s="42" t="str">
        <f>IFERROR(__xludf.DUMMYFUNCTION("""COMPUTED_VALUE"""),"K/16/180325/1")</f>
        <v>K/16/180325/1</v>
      </c>
      <c r="C3110" s="42" t="str">
        <f>IFERROR(__xludf.DUMMYFUNCTION("""COMPUTED_VALUE"""),"Nibel 17418/ Jagabaya III")</f>
        <v>Nibel 17418/ Jagabaya III</v>
      </c>
      <c r="D3110" s="42"/>
      <c r="E3110" s="42"/>
      <c r="F3110" s="48" t="str">
        <f>IFERROR(__xludf.DUMMYFUNCTION("""COMPUTED_VALUE"""),"")</f>
        <v/>
      </c>
      <c r="G3110" s="42" t="str">
        <f>IFERROR(__xludf.DUMMYFUNCTION("""COMPUTED_VALUE"""),"PEMECAHAN BIDANG")</f>
        <v>PEMECAHAN BIDANG</v>
      </c>
      <c r="H3110" s="42">
        <f t="shared" si="1"/>
        <v>1454</v>
      </c>
    </row>
    <row r="3111" ht="22.5" customHeight="1">
      <c r="B3111" s="42" t="str">
        <f>IFERROR(__xludf.DUMMYFUNCTION("""COMPUTED_VALUE"""),"K/17/180325/1")</f>
        <v>K/17/180325/1</v>
      </c>
      <c r="C3111" s="42" t="str">
        <f>IFERROR(__xludf.DUMMYFUNCTION("""COMPUTED_VALUE"""),"M.14534/SUKABUMI")</f>
        <v>M.14534/SUKABUMI</v>
      </c>
      <c r="D3111" s="42"/>
      <c r="E3111" s="42"/>
      <c r="F3111" s="48" t="str">
        <f>IFERROR(__xludf.DUMMYFUNCTION("""COMPUTED_VALUE"""),"")</f>
        <v/>
      </c>
      <c r="G3111" s="42" t="str">
        <f>IFERROR(__xludf.DUMMYFUNCTION("""COMPUTED_VALUE"""),"HAPUS BPHTB")</f>
        <v>HAPUS BPHTB</v>
      </c>
      <c r="H3111" s="42">
        <f t="shared" si="1"/>
        <v>1454</v>
      </c>
    </row>
    <row r="3112" ht="22.5" customHeight="1">
      <c r="B3112" s="42" t="str">
        <f>IFERROR(__xludf.DUMMYFUNCTION("""COMPUTED_VALUE"""),"K/18/180325/1")</f>
        <v>K/18/180325/1</v>
      </c>
      <c r="C3112" s="42" t="str">
        <f>IFERROR(__xludf.DUMMYFUNCTION("""COMPUTED_VALUE"""),"NIBEL M. 16950/RAJABASA")</f>
        <v>NIBEL M. 16950/RAJABASA</v>
      </c>
      <c r="D3112" s="42"/>
      <c r="E3112" s="42"/>
      <c r="F3112" s="48" t="str">
        <f>IFERROR(__xludf.DUMMYFUNCTION("""COMPUTED_VALUE"""),"")</f>
        <v/>
      </c>
      <c r="G3112" s="42" t="str">
        <f>IFERROR(__xludf.DUMMYFUNCTION("""COMPUTED_VALUE"""),"BN LELANG")</f>
        <v>BN LELANG</v>
      </c>
      <c r="H3112" s="42">
        <f t="shared" si="1"/>
        <v>1454</v>
      </c>
    </row>
    <row r="3113" ht="22.5" customHeight="1">
      <c r="B3113" s="42" t="str">
        <f>IFERROR(__xludf.DUMMYFUNCTION("""COMPUTED_VALUE"""),"K/19/180325/1")</f>
        <v>K/19/180325/1</v>
      </c>
      <c r="C3113" s="42" t="str">
        <f>IFERROR(__xludf.DUMMYFUNCTION("""COMPUTED_VALUE"""),"Nibel 11884/ Kemiling Raya")</f>
        <v>Nibel 11884/ Kemiling Raya</v>
      </c>
      <c r="D3113" s="42"/>
      <c r="E3113" s="42"/>
      <c r="F3113" s="48" t="str">
        <f>IFERROR(__xludf.DUMMYFUNCTION("""COMPUTED_VALUE"""),"")</f>
        <v/>
      </c>
      <c r="G3113" s="42" t="str">
        <f>IFERROR(__xludf.DUMMYFUNCTION("""COMPUTED_VALUE"""),"BN JUAL BELI")</f>
        <v>BN JUAL BELI</v>
      </c>
      <c r="H3113" s="42">
        <f t="shared" si="1"/>
        <v>1454</v>
      </c>
    </row>
    <row r="3114" ht="22.5" customHeight="1">
      <c r="B3114" s="42" t="str">
        <f>IFERROR(__xludf.DUMMYFUNCTION("""COMPUTED_VALUE"""),"K/20/180325/2")</f>
        <v>K/20/180325/2</v>
      </c>
      <c r="C3114" s="42" t="str">
        <f>IFERROR(__xludf.DUMMYFUNCTION("""COMPUTED_VALUE"""),"M.1789/WAY LAGA")</f>
        <v>M.1789/WAY LAGA</v>
      </c>
      <c r="D3114" s="42"/>
      <c r="E3114" s="42"/>
      <c r="F3114" s="48" t="str">
        <f>IFERROR(__xludf.DUMMYFUNCTION("""COMPUTED_VALUE"""),"")</f>
        <v/>
      </c>
      <c r="G3114" s="42" t="str">
        <f>IFERROR(__xludf.DUMMYFUNCTION("""COMPUTED_VALUE"""),"PTPGT")</f>
        <v>PTPGT</v>
      </c>
      <c r="H3114" s="42">
        <f t="shared" si="1"/>
        <v>1454</v>
      </c>
    </row>
    <row r="3115" ht="22.5" customHeight="1">
      <c r="B3115" s="42" t="str">
        <f>IFERROR(__xludf.DUMMYFUNCTION("""COMPUTED_VALUE"""),"L/21/180325/1")</f>
        <v>L/21/180325/1</v>
      </c>
      <c r="C3115" s="42" t="str">
        <f>IFERROR(__xludf.DUMMYFUNCTION("""COMPUTED_VALUE"""),"KEDAMAIAN")</f>
        <v>KEDAMAIAN</v>
      </c>
      <c r="D3115" s="42"/>
      <c r="E3115" s="42"/>
      <c r="F3115" s="48" t="str">
        <f>IFERROR(__xludf.DUMMYFUNCTION("""COMPUTED_VALUE"""),"")</f>
        <v/>
      </c>
      <c r="G3115" s="42" t="str">
        <f>IFERROR(__xludf.DUMMYFUNCTION("""COMPUTED_VALUE"""),"TANAH MENTAH")</f>
        <v>TANAH MENTAH</v>
      </c>
      <c r="H3115" s="42">
        <f t="shared" si="1"/>
        <v>1454</v>
      </c>
    </row>
    <row r="3116" ht="22.5" customHeight="1">
      <c r="B3116" s="42" t="str">
        <f>IFERROR(__xludf.DUMMYFUNCTION("""COMPUTED_VALUE"""),"L/22/180325/1")</f>
        <v>L/22/180325/1</v>
      </c>
      <c r="C3116" s="42" t="str">
        <f>IFERROR(__xludf.DUMMYFUNCTION("""COMPUTED_VALUE"""),"NIB 18319/KETEGUHAN")</f>
        <v>NIB 18319/KETEGUHAN</v>
      </c>
      <c r="D3116" s="42"/>
      <c r="E3116" s="42"/>
      <c r="F3116" s="48" t="str">
        <f>IFERROR(__xludf.DUMMYFUNCTION("""COMPUTED_VALUE"""),"")</f>
        <v/>
      </c>
      <c r="G3116" s="42" t="str">
        <f>IFERROR(__xludf.DUMMYFUNCTION("""COMPUTED_VALUE"""),"PH")</f>
        <v>PH</v>
      </c>
      <c r="H3116" s="42">
        <f t="shared" si="1"/>
        <v>1454</v>
      </c>
    </row>
    <row r="3117" ht="22.5" customHeight="1">
      <c r="B3117" s="42" t="str">
        <f>IFERROR(__xludf.DUMMYFUNCTION("""COMPUTED_VALUE"""),"K/23/180325/1")</f>
        <v>K/23/180325/1</v>
      </c>
      <c r="C3117" s="42" t="str">
        <f>IFERROR(__xludf.DUMMYFUNCTION("""COMPUTED_VALUE"""),"M. 9147/SIDODADI")</f>
        <v>M. 9147/SIDODADI</v>
      </c>
      <c r="D3117" s="42"/>
      <c r="E3117" s="42"/>
      <c r="F3117" s="48" t="str">
        <f>IFERROR(__xludf.DUMMYFUNCTION("""COMPUTED_VALUE"""),"")</f>
        <v/>
      </c>
      <c r="G3117" s="42" t="str">
        <f>IFERROR(__xludf.DUMMYFUNCTION("""COMPUTED_VALUE"""),"BN WARIS")</f>
        <v>BN WARIS</v>
      </c>
      <c r="H3117" s="42">
        <f t="shared" si="1"/>
        <v>1454</v>
      </c>
    </row>
    <row r="3118" ht="22.5" customHeight="1">
      <c r="B3118" s="42" t="str">
        <f>IFERROR(__xludf.DUMMYFUNCTION("""COMPUTED_VALUE"""),"K/24/180325/1")</f>
        <v>K/24/180325/1</v>
      </c>
      <c r="C3118" s="42" t="str">
        <f>IFERROR(__xludf.DUMMYFUNCTION("""COMPUTED_VALUE"""),"M. 1873/ Gedong AIr")</f>
        <v>M. 1873/ Gedong AIr</v>
      </c>
      <c r="D3118" s="42"/>
      <c r="E3118" s="42"/>
      <c r="F3118" s="48" t="str">
        <f>IFERROR(__xludf.DUMMYFUNCTION("""COMPUTED_VALUE"""),"")</f>
        <v/>
      </c>
      <c r="G3118" s="42" t="str">
        <f>IFERROR(__xludf.DUMMYFUNCTION("""COMPUTED_VALUE"""),"ROYA")</f>
        <v>ROYA</v>
      </c>
      <c r="H3118" s="42">
        <f t="shared" si="1"/>
        <v>1454</v>
      </c>
    </row>
    <row r="3119" ht="22.5" customHeight="1">
      <c r="B3119" s="42" t="str">
        <f>IFERROR(__xludf.DUMMYFUNCTION("""COMPUTED_VALUE"""),"L/25/180325/1")</f>
        <v>L/25/180325/1</v>
      </c>
      <c r="C3119" s="42" t="str">
        <f>IFERROR(__xludf.DUMMYFUNCTION("""COMPUTED_VALUE"""),"WAY KANDIS")</f>
        <v>WAY KANDIS</v>
      </c>
      <c r="D3119" s="42"/>
      <c r="E3119" s="42"/>
      <c r="F3119" s="48" t="str">
        <f>IFERROR(__xludf.DUMMYFUNCTION("""COMPUTED_VALUE"""),"")</f>
        <v/>
      </c>
      <c r="G3119" s="42" t="str">
        <f>IFERROR(__xludf.DUMMYFUNCTION("""COMPUTED_VALUE"""),"ASPEK")</f>
        <v>ASPEK</v>
      </c>
      <c r="H3119" s="42">
        <f t="shared" si="1"/>
        <v>1454</v>
      </c>
    </row>
    <row r="3120" ht="22.5" customHeight="1">
      <c r="B3120" s="42" t="str">
        <f>IFERROR(__xludf.DUMMYFUNCTION("""COMPUTED_VALUE"""),"K/27/180325/1")</f>
        <v>K/27/180325/1</v>
      </c>
      <c r="C3120" s="42" t="str">
        <f>IFERROR(__xludf.DUMMYFUNCTION("""COMPUTED_VALUE"""),"Nibel 16447/ Beringin Jaya")</f>
        <v>Nibel 16447/ Beringin Jaya</v>
      </c>
      <c r="D3120" s="42"/>
      <c r="E3120" s="42"/>
      <c r="F3120" s="48" t="str">
        <f>IFERROR(__xludf.DUMMYFUNCTION("""COMPUTED_VALUE"""),"")</f>
        <v/>
      </c>
      <c r="G3120" s="42" t="str">
        <f>IFERROR(__xludf.DUMMYFUNCTION("""COMPUTED_VALUE"""),"PEMECAHAN")</f>
        <v>PEMECAHAN</v>
      </c>
      <c r="H3120" s="42">
        <f t="shared" si="1"/>
        <v>1454</v>
      </c>
    </row>
    <row r="3121" ht="22.5" customHeight="1">
      <c r="B3121" s="42" t="str">
        <f>IFERROR(__xludf.DUMMYFUNCTION("""COMPUTED_VALUE"""),"K/30/180325/1")</f>
        <v>K/30/180325/1</v>
      </c>
      <c r="C3121" s="42" t="str">
        <f>IFERROR(__xludf.DUMMYFUNCTION("""COMPUTED_VALUE"""),"M.1142/PEMATANG WANGI")</f>
        <v>M.1142/PEMATANG WANGI</v>
      </c>
      <c r="D3121" s="42"/>
      <c r="E3121" s="42" t="str">
        <f>IFERROR(__xludf.DUMMYFUNCTION("""COMPUTED_VALUE"""),"DISERAHKAN")</f>
        <v>DISERAHKAN</v>
      </c>
      <c r="F3121" s="48">
        <f>IFERROR(__xludf.DUMMYFUNCTION("""COMPUTED_VALUE"""),45775.60652109954)</f>
        <v>45775.60652</v>
      </c>
      <c r="G3121" s="42" t="str">
        <f>IFERROR(__xludf.DUMMYFUNCTION("""COMPUTED_VALUE"""),"JUAL BELI")</f>
        <v>JUAL BELI</v>
      </c>
      <c r="H3121" s="42">
        <f t="shared" si="1"/>
        <v>1455</v>
      </c>
    </row>
    <row r="3122" ht="22.5" customHeight="1">
      <c r="B3122" s="42" t="str">
        <f>IFERROR(__xludf.DUMMYFUNCTION("""COMPUTED_VALUE"""),"K/28/180325/2")</f>
        <v>K/28/180325/2</v>
      </c>
      <c r="C3122" s="42" t="str">
        <f>IFERROR(__xludf.DUMMYFUNCTION("""COMPUTED_VALUE"""),"PBT 210/2024")</f>
        <v>PBT 210/2024</v>
      </c>
      <c r="D3122" s="42"/>
      <c r="E3122" s="42"/>
      <c r="F3122" s="48" t="str">
        <f>IFERROR(__xludf.DUMMYFUNCTION("""COMPUTED_VALUE"""),"")</f>
        <v/>
      </c>
      <c r="G3122" s="42" t="str">
        <f>IFERROR(__xludf.DUMMYFUNCTION("""COMPUTED_VALUE"""),"PTPGT TANAH MENTAH")</f>
        <v>PTPGT TANAH MENTAH</v>
      </c>
      <c r="H3122" s="42">
        <f t="shared" si="1"/>
        <v>1455</v>
      </c>
    </row>
    <row r="3123" ht="22.5" customHeight="1">
      <c r="B3123" s="42" t="str">
        <f>IFERROR(__xludf.DUMMYFUNCTION("""COMPUTED_VALUE"""),"K/29/180325/3")</f>
        <v>K/29/180325/3</v>
      </c>
      <c r="C3123" s="42" t="str">
        <f>IFERROR(__xludf.DUMMYFUNCTION("""COMPUTED_VALUE"""),"PBT 212/2025")</f>
        <v>PBT 212/2025</v>
      </c>
      <c r="D3123" s="42"/>
      <c r="E3123" s="42"/>
      <c r="F3123" s="48" t="str">
        <f>IFERROR(__xludf.DUMMYFUNCTION("""COMPUTED_VALUE"""),"")</f>
        <v/>
      </c>
      <c r="G3123" s="42" t="str">
        <f>IFERROR(__xludf.DUMMYFUNCTION("""COMPUTED_VALUE"""),"PTPGT PERTAMA KALI")</f>
        <v>PTPGT PERTAMA KALI</v>
      </c>
      <c r="H3123" s="42">
        <f t="shared" si="1"/>
        <v>1455</v>
      </c>
    </row>
    <row r="3124" ht="22.5" customHeight="1">
      <c r="B3124" s="42" t="str">
        <f>IFERROR(__xludf.DUMMYFUNCTION("""COMPUTED_VALUE"""),"K/31/180325/1")</f>
        <v>K/31/180325/1</v>
      </c>
      <c r="C3124" s="42" t="str">
        <f>IFERROR(__xludf.DUMMYFUNCTION("""COMPUTED_VALUE"""),"NIBEL M. 10905/SUMBER AGUNG")</f>
        <v>NIBEL M. 10905/SUMBER AGUNG</v>
      </c>
      <c r="D3124" s="42"/>
      <c r="E3124" s="42"/>
      <c r="F3124" s="48" t="str">
        <f>IFERROR(__xludf.DUMMYFUNCTION("""COMPUTED_VALUE"""),"")</f>
        <v/>
      </c>
      <c r="G3124" s="42" t="str">
        <f>IFERROR(__xludf.DUMMYFUNCTION("""COMPUTED_VALUE"""),"BN JUAL BELI")</f>
        <v>BN JUAL BELI</v>
      </c>
      <c r="H3124" s="42">
        <f t="shared" si="1"/>
        <v>1455</v>
      </c>
    </row>
    <row r="3125" ht="22.5" customHeight="1">
      <c r="B3125" s="42" t="str">
        <f>IFERROR(__xludf.DUMMYFUNCTION("""COMPUTED_VALUE"""),"L/33/180325/1")</f>
        <v>L/33/180325/1</v>
      </c>
      <c r="C3125" s="42" t="str">
        <f>IFERROR(__xludf.DUMMYFUNCTION("""COMPUTED_VALUE"""),"HM 9942/KEDAMAIAN")</f>
        <v>HM 9942/KEDAMAIAN</v>
      </c>
      <c r="D3125" s="42"/>
      <c r="E3125" s="42"/>
      <c r="F3125" s="48" t="str">
        <f>IFERROR(__xludf.DUMMYFUNCTION("""COMPUTED_VALUE"""),"")</f>
        <v/>
      </c>
      <c r="G3125" s="42" t="str">
        <f>IFERROR(__xludf.DUMMYFUNCTION("""COMPUTED_VALUE"""),"IVOOKTALIA/CS")</f>
        <v>IVOOKTALIA/CS</v>
      </c>
      <c r="H3125" s="42">
        <f t="shared" si="1"/>
        <v>1455</v>
      </c>
    </row>
    <row r="3126" ht="22.5" customHeight="1">
      <c r="B3126" s="42" t="str">
        <f>IFERROR(__xludf.DUMMYFUNCTION("""COMPUTED_VALUE"""),"K/32/180325/2")</f>
        <v>K/32/180325/2</v>
      </c>
      <c r="C3126" s="42" t="str">
        <f>IFERROR(__xludf.DUMMYFUNCTION("""COMPUTED_VALUE"""),"M. 13465/RAJABASA")</f>
        <v>M. 13465/RAJABASA</v>
      </c>
      <c r="D3126" s="42"/>
      <c r="E3126" s="42"/>
      <c r="F3126" s="48" t="str">
        <f>IFERROR(__xludf.DUMMYFUNCTION("""COMPUTED_VALUE"""),"")</f>
        <v/>
      </c>
      <c r="G3126" s="42" t="str">
        <f>IFERROR(__xludf.DUMMYFUNCTION("""COMPUTED_VALUE"""),"ROYA")</f>
        <v>ROYA</v>
      </c>
      <c r="H3126" s="42">
        <f t="shared" si="1"/>
        <v>1455</v>
      </c>
    </row>
    <row r="3127" ht="22.5" customHeight="1">
      <c r="B3127" s="42" t="str">
        <f>IFERROR(__xludf.DUMMYFUNCTION("""COMPUTED_VALUE"""),"K/26/180325/1")</f>
        <v>K/26/180325/1</v>
      </c>
      <c r="C3127" s="42" t="str">
        <f>IFERROR(__xludf.DUMMYFUNCTION("""COMPUTED_VALUE"""),"M. 189/ Sukabumi")</f>
        <v>M. 189/ Sukabumi</v>
      </c>
      <c r="D3127" s="42"/>
      <c r="E3127" s="42" t="str">
        <f>IFERROR(__xludf.DUMMYFUNCTION("""COMPUTED_VALUE"""),"DISERAHKAN")</f>
        <v>DISERAHKAN</v>
      </c>
      <c r="F3127" s="48">
        <f>IFERROR(__xludf.DUMMYFUNCTION("""COMPUTED_VALUE"""),45743.465988888885)</f>
        <v>45743.46599</v>
      </c>
      <c r="G3127" s="42" t="str">
        <f>IFERROR(__xludf.DUMMYFUNCTION("""COMPUTED_VALUE"""),"BN Waris")</f>
        <v>BN Waris</v>
      </c>
      <c r="H3127" s="42">
        <f t="shared" si="1"/>
        <v>1456</v>
      </c>
    </row>
    <row r="3128" ht="22.5" customHeight="1">
      <c r="B3128" s="42" t="str">
        <f>IFERROR(__xludf.DUMMYFUNCTION("""COMPUTED_VALUE"""),"K/34/180325/2")</f>
        <v>K/34/180325/2</v>
      </c>
      <c r="C3128" s="42" t="str">
        <f>IFERROR(__xludf.DUMMYFUNCTION("""COMPUTED_VALUE"""),"M. 5393/ Langkapura")</f>
        <v>M. 5393/ Langkapura</v>
      </c>
      <c r="D3128" s="42" t="str">
        <f>IFERROR(__xludf.DUMMYFUNCTION("""COMPUTED_VALUE"""),"Berry")</f>
        <v>Berry</v>
      </c>
      <c r="E3128" s="42" t="str">
        <f>IFERROR(__xludf.DUMMYFUNCTION("""COMPUTED_VALUE"""),"DISERAHKAN")</f>
        <v>DISERAHKAN</v>
      </c>
      <c r="F3128" s="48">
        <f>IFERROR(__xludf.DUMMYFUNCTION("""COMPUTED_VALUE"""),45791.66502972222)</f>
        <v>45791.66503</v>
      </c>
      <c r="G3128" s="42" t="str">
        <f>IFERROR(__xludf.DUMMYFUNCTION("""COMPUTED_VALUE"""),"BN Jua Beli")</f>
        <v>BN Jua Beli</v>
      </c>
      <c r="H3128" s="42">
        <f t="shared" si="1"/>
        <v>1457</v>
      </c>
    </row>
    <row r="3129" ht="22.5" customHeight="1">
      <c r="B3129" s="42" t="str">
        <f>IFERROR(__xludf.DUMMYFUNCTION("""COMPUTED_VALUE"""),"K/35/180325/1")</f>
        <v>K/35/180325/1</v>
      </c>
      <c r="C3129" s="42" t="str">
        <f>IFERROR(__xludf.DUMMYFUNCTION("""COMPUTED_VALUE"""),"Nibel. B. 18405/ Sukarame")</f>
        <v>Nibel. B. 18405/ Sukarame</v>
      </c>
      <c r="D3129" s="42"/>
      <c r="E3129" s="42"/>
      <c r="F3129" s="48" t="str">
        <f>IFERROR(__xludf.DUMMYFUNCTION("""COMPUTED_VALUE"""),"")</f>
        <v/>
      </c>
      <c r="G3129" s="42" t="str">
        <f>IFERROR(__xludf.DUMMYFUNCTION("""COMPUTED_VALUE"""),"BN Jual Beli")</f>
        <v>BN Jual Beli</v>
      </c>
      <c r="H3129" s="42">
        <f t="shared" si="1"/>
        <v>1457</v>
      </c>
    </row>
    <row r="3130" ht="22.5" customHeight="1">
      <c r="B3130" s="42" t="str">
        <f>IFERROR(__xludf.DUMMYFUNCTION("""COMPUTED_VALUE"""),"K/36/180325/2")</f>
        <v>K/36/180325/2</v>
      </c>
      <c r="C3130" s="42" t="str">
        <f>IFERROR(__xludf.DUMMYFUNCTION("""COMPUTED_VALUE"""),"Nibel. B. 18496/ Sukarame")</f>
        <v>Nibel. B. 18496/ Sukarame</v>
      </c>
      <c r="D3130" s="42"/>
      <c r="E3130" s="42"/>
      <c r="F3130" s="48" t="str">
        <f>IFERROR(__xludf.DUMMYFUNCTION("""COMPUTED_VALUE"""),"")</f>
        <v/>
      </c>
      <c r="G3130" s="42" t="str">
        <f>IFERROR(__xludf.DUMMYFUNCTION("""COMPUTED_VALUE"""),"BN Jual Beli")</f>
        <v>BN Jual Beli</v>
      </c>
      <c r="H3130" s="42">
        <f t="shared" si="1"/>
        <v>1457</v>
      </c>
    </row>
    <row r="3131" ht="22.5" customHeight="1">
      <c r="B3131" s="42" t="str">
        <f>IFERROR(__xludf.DUMMYFUNCTION("""COMPUTED_VALUE"""),"K/37/180325/1")</f>
        <v>K/37/180325/1</v>
      </c>
      <c r="C3131" s="42" t="str">
        <f>IFERROR(__xludf.DUMMYFUNCTION("""COMPUTED_VALUE"""),"M. 991/ Campang Raya")</f>
        <v>M. 991/ Campang Raya</v>
      </c>
      <c r="D3131" s="42"/>
      <c r="E3131" s="42"/>
      <c r="F3131" s="48" t="str">
        <f>IFERROR(__xludf.DUMMYFUNCTION("""COMPUTED_VALUE"""),"")</f>
        <v/>
      </c>
      <c r="G3131" s="42" t="str">
        <f>IFERROR(__xludf.DUMMYFUNCTION("""COMPUTED_VALUE"""),"BN Jual Beli")</f>
        <v>BN Jual Beli</v>
      </c>
      <c r="H3131" s="42">
        <f t="shared" si="1"/>
        <v>1457</v>
      </c>
    </row>
    <row r="3132" ht="22.5" customHeight="1">
      <c r="B3132" s="42" t="str">
        <f>IFERROR(__xludf.DUMMYFUNCTION("""COMPUTED_VALUE"""),"K/39/180325/2")</f>
        <v>K/39/180325/2</v>
      </c>
      <c r="C3132" s="42" t="str">
        <f>IFERROR(__xludf.DUMMYFUNCTION("""COMPUTED_VALUE"""),"M. 3335/ Tanjung Seneng")</f>
        <v>M. 3335/ Tanjung Seneng</v>
      </c>
      <c r="D3132" s="42"/>
      <c r="E3132" s="42" t="str">
        <f>IFERROR(__xludf.DUMMYFUNCTION("""COMPUTED_VALUE"""),"DISERAHKAN")</f>
        <v>DISERAHKAN</v>
      </c>
      <c r="F3132" s="48">
        <f>IFERROR(__xludf.DUMMYFUNCTION("""COMPUTED_VALUE"""),45764.5945421412)</f>
        <v>45764.59454</v>
      </c>
      <c r="G3132" s="42" t="str">
        <f>IFERROR(__xludf.DUMMYFUNCTION("""COMPUTED_VALUE"""),"BN Jual Beli")</f>
        <v>BN Jual Beli</v>
      </c>
      <c r="H3132" s="42">
        <f t="shared" si="1"/>
        <v>1458</v>
      </c>
    </row>
    <row r="3133" ht="22.5" customHeight="1">
      <c r="B3133" s="42" t="str">
        <f>IFERROR(__xludf.DUMMYFUNCTION("""COMPUTED_VALUE"""),"K/38/180325/1")</f>
        <v>K/38/180325/1</v>
      </c>
      <c r="C3133" s="42" t="str">
        <f>IFERROR(__xludf.DUMMYFUNCTION("""COMPUTED_VALUE"""),"M. 3336/ Tanjung Senang")</f>
        <v>M. 3336/ Tanjung Senang</v>
      </c>
      <c r="D3133" s="42"/>
      <c r="E3133" s="42" t="str">
        <f>IFERROR(__xludf.DUMMYFUNCTION("""COMPUTED_VALUE"""),"DISERAHKAN")</f>
        <v>DISERAHKAN</v>
      </c>
      <c r="F3133" s="48">
        <f>IFERROR(__xludf.DUMMYFUNCTION("""COMPUTED_VALUE"""),45761.441064768514)</f>
        <v>45761.44106</v>
      </c>
      <c r="G3133" s="42" t="str">
        <f>IFERROR(__xludf.DUMMYFUNCTION("""COMPUTED_VALUE"""),"BN Jual Beli")</f>
        <v>BN Jual Beli</v>
      </c>
      <c r="H3133" s="42">
        <f t="shared" si="1"/>
        <v>1459</v>
      </c>
    </row>
    <row r="3134" ht="22.5" customHeight="1">
      <c r="B3134" s="42" t="str">
        <f>IFERROR(__xludf.DUMMYFUNCTION("""COMPUTED_VALUE"""),"L/1/190325/1")</f>
        <v>L/1/190325/1</v>
      </c>
      <c r="C3134" s="42" t="str">
        <f>IFERROR(__xludf.DUMMYFUNCTION("""COMPUTED_VALUE"""),"HM 904/GEDUNG PAKUON")</f>
        <v>HM 904/GEDUNG PAKUON</v>
      </c>
      <c r="D3134" s="42"/>
      <c r="E3134" s="42"/>
      <c r="F3134" s="48" t="str">
        <f>IFERROR(__xludf.DUMMYFUNCTION("""COMPUTED_VALUE"""),"")</f>
        <v/>
      </c>
      <c r="G3134" s="42" t="str">
        <f>IFERROR(__xludf.DUMMYFUNCTION("""COMPUTED_VALUE"""),"HAPUS BPHTB")</f>
        <v>HAPUS BPHTB</v>
      </c>
      <c r="H3134" s="42">
        <f t="shared" si="1"/>
        <v>1459</v>
      </c>
    </row>
    <row r="3135" ht="22.5" customHeight="1">
      <c r="B3135" s="42" t="str">
        <f>IFERROR(__xludf.DUMMYFUNCTION("""COMPUTED_VALUE"""),"K/2/190325/1")</f>
        <v>K/2/190325/1</v>
      </c>
      <c r="C3135" s="42" t="str">
        <f>IFERROR(__xludf.DUMMYFUNCTION("""COMPUTED_VALUE"""),"M. 1448/ Sumberrejo")</f>
        <v>M. 1448/ Sumberrejo</v>
      </c>
      <c r="D3135" s="42"/>
      <c r="E3135" s="42"/>
      <c r="F3135" s="48" t="str">
        <f>IFERROR(__xludf.DUMMYFUNCTION("""COMPUTED_VALUE"""),"")</f>
        <v/>
      </c>
      <c r="G3135" s="42" t="str">
        <f>IFERROR(__xludf.DUMMYFUNCTION("""COMPUTED_VALUE"""),"PEMECHAN BIDANG")</f>
        <v>PEMECHAN BIDANG</v>
      </c>
      <c r="H3135" s="42">
        <f t="shared" si="1"/>
        <v>1459</v>
      </c>
    </row>
    <row r="3136" ht="22.5" customHeight="1">
      <c r="B3136" s="42" t="str">
        <f>IFERROR(__xludf.DUMMYFUNCTION("""COMPUTED_VALUE"""),"K/3/190325/1")</f>
        <v>K/3/190325/1</v>
      </c>
      <c r="C3136" s="42" t="str">
        <f>IFERROR(__xludf.DUMMYFUNCTION("""COMPUTED_VALUE"""),"M.12819/TANJUNG BARU")</f>
        <v>M.12819/TANJUNG BARU</v>
      </c>
      <c r="D3136" s="42"/>
      <c r="E3136" s="42"/>
      <c r="F3136" s="48" t="str">
        <f>IFERROR(__xludf.DUMMYFUNCTION("""COMPUTED_VALUE"""),"")</f>
        <v/>
      </c>
      <c r="G3136" s="42" t="str">
        <f>IFERROR(__xludf.DUMMYFUNCTION("""COMPUTED_VALUE"""),"ROYA")</f>
        <v>ROYA</v>
      </c>
      <c r="H3136" s="42">
        <f t="shared" si="1"/>
        <v>1459</v>
      </c>
    </row>
    <row r="3137" ht="22.5" customHeight="1">
      <c r="B3137" s="42" t="str">
        <f>IFERROR(__xludf.DUMMYFUNCTION("""COMPUTED_VALUE"""),"K/4/190325/1")</f>
        <v>K/4/190325/1</v>
      </c>
      <c r="C3137" s="42" t="str">
        <f>IFERROR(__xludf.DUMMYFUNCTION("""COMPUTED_VALUE"""),"NIbel 16705/ Sukarame Baru")</f>
        <v>NIbel 16705/ Sukarame Baru</v>
      </c>
      <c r="D3137" s="42"/>
      <c r="E3137" s="42"/>
      <c r="F3137" s="48" t="str">
        <f>IFERROR(__xludf.DUMMYFUNCTION("""COMPUTED_VALUE"""),"")</f>
        <v/>
      </c>
      <c r="G3137" s="42" t="str">
        <f>IFERROR(__xludf.DUMMYFUNCTION("""COMPUTED_VALUE"""),"BN JUAL BELI")</f>
        <v>BN JUAL BELI</v>
      </c>
      <c r="H3137" s="42">
        <f t="shared" si="1"/>
        <v>1459</v>
      </c>
    </row>
    <row r="3138" ht="22.5" customHeight="1">
      <c r="B3138" s="42" t="str">
        <f>IFERROR(__xludf.DUMMYFUNCTION("""COMPUTED_VALUE"""),"K/5/190325/2")</f>
        <v>K/5/190325/2</v>
      </c>
      <c r="C3138" s="42" t="str">
        <f>IFERROR(__xludf.DUMMYFUNCTION("""COMPUTED_VALUE"""),"M. 574/ Gunung Sulah")</f>
        <v>M. 574/ Gunung Sulah</v>
      </c>
      <c r="D3138" s="42"/>
      <c r="E3138" s="42" t="str">
        <f>IFERROR(__xludf.DUMMYFUNCTION("""COMPUTED_VALUE"""),"DISERAHKAN")</f>
        <v>DISERAHKAN</v>
      </c>
      <c r="F3138" s="48">
        <f>IFERROR(__xludf.DUMMYFUNCTION("""COMPUTED_VALUE"""),45758.483150914355)</f>
        <v>45758.48315</v>
      </c>
      <c r="G3138" s="42" t="str">
        <f>IFERROR(__xludf.DUMMYFUNCTION("""COMPUTED_VALUE"""),"BN HIBH")</f>
        <v>BN HIBH</v>
      </c>
      <c r="H3138" s="42">
        <f t="shared" si="1"/>
        <v>1460</v>
      </c>
    </row>
    <row r="3139" ht="22.5" customHeight="1">
      <c r="B3139" s="42" t="str">
        <f>IFERROR(__xludf.DUMMYFUNCTION("""COMPUTED_VALUE"""),"K/10/190325/1")</f>
        <v>K/10/190325/1</v>
      </c>
      <c r="C3139" s="42" t="str">
        <f>IFERROR(__xludf.DUMMYFUNCTION("""COMPUTED_VALUE"""),"M. 581/ Perumnas Way Kandis")</f>
        <v>M. 581/ Perumnas Way Kandis</v>
      </c>
      <c r="D3139" s="42"/>
      <c r="E3139" s="42"/>
      <c r="F3139" s="48" t="str">
        <f>IFERROR(__xludf.DUMMYFUNCTION("""COMPUTED_VALUE"""),"")</f>
        <v/>
      </c>
      <c r="G3139" s="42" t="str">
        <f>IFERROR(__xludf.DUMMYFUNCTION("""COMPUTED_VALUE"""),"BN JUAL BELI")</f>
        <v>BN JUAL BELI</v>
      </c>
      <c r="H3139" s="42">
        <f t="shared" si="1"/>
        <v>1460</v>
      </c>
    </row>
    <row r="3140" ht="22.5" customHeight="1">
      <c r="B3140" s="42" t="str">
        <f>IFERROR(__xludf.DUMMYFUNCTION("""COMPUTED_VALUE"""),"K/6/190325/1")</f>
        <v>K/6/190325/1</v>
      </c>
      <c r="C3140" s="42" t="str">
        <f>IFERROR(__xludf.DUMMYFUNCTION("""COMPUTED_VALUE"""),"B. 166/PELITA")</f>
        <v>B. 166/PELITA</v>
      </c>
      <c r="D3140" s="42"/>
      <c r="E3140" s="42"/>
      <c r="F3140" s="48" t="str">
        <f>IFERROR(__xludf.DUMMYFUNCTION("""COMPUTED_VALUE"""),"")</f>
        <v/>
      </c>
      <c r="G3140" s="42" t="str">
        <f>IFERROR(__xludf.DUMMYFUNCTION("""COMPUTED_VALUE"""),"SKPT")</f>
        <v>SKPT</v>
      </c>
      <c r="H3140" s="42">
        <f t="shared" si="1"/>
        <v>1460</v>
      </c>
    </row>
    <row r="3141" ht="22.5" customHeight="1">
      <c r="B3141" s="42" t="str">
        <f>IFERROR(__xludf.DUMMYFUNCTION("""COMPUTED_VALUE"""),"K/7/190325/2")</f>
        <v>K/7/190325/2</v>
      </c>
      <c r="C3141" s="42" t="str">
        <f>IFERROR(__xludf.DUMMYFUNCTION("""COMPUTED_VALUE"""),"B. 166/PELITA")</f>
        <v>B. 166/PELITA</v>
      </c>
      <c r="D3141" s="42"/>
      <c r="E3141" s="42"/>
      <c r="F3141" s="48" t="str">
        <f>IFERROR(__xludf.DUMMYFUNCTION("""COMPUTED_VALUE"""),"")</f>
        <v/>
      </c>
      <c r="G3141" s="42" t="str">
        <f>IFERROR(__xludf.DUMMYFUNCTION("""COMPUTED_VALUE"""),"PTPGT")</f>
        <v>PTPGT</v>
      </c>
      <c r="H3141" s="42">
        <f t="shared" si="1"/>
        <v>1460</v>
      </c>
    </row>
    <row r="3142" ht="22.5" customHeight="1">
      <c r="B3142" s="42" t="str">
        <f>IFERROR(__xludf.DUMMYFUNCTION("""COMPUTED_VALUE"""),"K/11/190325/1")</f>
        <v>K/11/190325/1</v>
      </c>
      <c r="C3142" s="42" t="str">
        <f>IFERROR(__xludf.DUMMYFUNCTION("""COMPUTED_VALUE"""),"M.1924/RAJABASA RAYA")</f>
        <v>M.1924/RAJABASA RAYA</v>
      </c>
      <c r="D3142" s="42"/>
      <c r="E3142" s="42" t="str">
        <f>IFERROR(__xludf.DUMMYFUNCTION("""COMPUTED_VALUE"""),"DISERAHKAN")</f>
        <v>DISERAHKAN</v>
      </c>
      <c r="F3142" s="48">
        <f>IFERROR(__xludf.DUMMYFUNCTION("""COMPUTED_VALUE"""),45769.431816875)</f>
        <v>45769.43182</v>
      </c>
      <c r="G3142" s="42" t="str">
        <f>IFERROR(__xludf.DUMMYFUNCTION("""COMPUTED_VALUE"""),"JUAL BELI")</f>
        <v>JUAL BELI</v>
      </c>
      <c r="H3142" s="42">
        <f t="shared" si="1"/>
        <v>1461</v>
      </c>
    </row>
    <row r="3143" ht="22.5" customHeight="1">
      <c r="B3143" s="42" t="str">
        <f>IFERROR(__xludf.DUMMYFUNCTION("""COMPUTED_VALUE"""),"K/8/190325/3")</f>
        <v>K/8/190325/3</v>
      </c>
      <c r="C3143" s="42" t="str">
        <f>IFERROR(__xludf.DUMMYFUNCTION("""COMPUTED_VALUE"""),"B.160/PELITA")</f>
        <v>B.160/PELITA</v>
      </c>
      <c r="D3143" s="42"/>
      <c r="E3143" s="42"/>
      <c r="F3143" s="48" t="str">
        <f>IFERROR(__xludf.DUMMYFUNCTION("""COMPUTED_VALUE"""),"")</f>
        <v/>
      </c>
      <c r="G3143" s="42" t="str">
        <f>IFERROR(__xludf.DUMMYFUNCTION("""COMPUTED_VALUE"""),"SKPT")</f>
        <v>SKPT</v>
      </c>
      <c r="H3143" s="42">
        <f t="shared" si="1"/>
        <v>1461</v>
      </c>
    </row>
    <row r="3144" ht="22.5" customHeight="1">
      <c r="B3144" s="42" t="str">
        <f>IFERROR(__xludf.DUMMYFUNCTION("""COMPUTED_VALUE"""),"K/9/190325/4")</f>
        <v>K/9/190325/4</v>
      </c>
      <c r="C3144" s="42" t="str">
        <f>IFERROR(__xludf.DUMMYFUNCTION("""COMPUTED_VALUE"""),"B. 160/PELITA")</f>
        <v>B. 160/PELITA</v>
      </c>
      <c r="D3144" s="42"/>
      <c r="E3144" s="42"/>
      <c r="F3144" s="48" t="str">
        <f>IFERROR(__xludf.DUMMYFUNCTION("""COMPUTED_VALUE"""),"")</f>
        <v/>
      </c>
      <c r="G3144" s="42" t="str">
        <f>IFERROR(__xludf.DUMMYFUNCTION("""COMPUTED_VALUE"""),"PTPGT")</f>
        <v>PTPGT</v>
      </c>
      <c r="H3144" s="42">
        <f t="shared" si="1"/>
        <v>1461</v>
      </c>
    </row>
    <row r="3145" ht="22.5" customHeight="1">
      <c r="B3145" s="42" t="str">
        <f>IFERROR(__xludf.DUMMYFUNCTION("""COMPUTED_VALUE"""),"K/13/190325/1")</f>
        <v>K/13/190325/1</v>
      </c>
      <c r="C3145" s="42" t="str">
        <f>IFERROR(__xludf.DUMMYFUNCTION("""COMPUTED_VALUE"""),"NIBEL M. 8583/TANJUNG BARU")</f>
        <v>NIBEL M. 8583/TANJUNG BARU</v>
      </c>
      <c r="D3145" s="42"/>
      <c r="E3145" s="42"/>
      <c r="F3145" s="48" t="str">
        <f>IFERROR(__xludf.DUMMYFUNCTION("""COMPUTED_VALUE"""),"")</f>
        <v/>
      </c>
      <c r="G3145" s="42" t="str">
        <f>IFERROR(__xludf.DUMMYFUNCTION("""COMPUTED_VALUE"""),"APHB")</f>
        <v>APHB</v>
      </c>
      <c r="H3145" s="42">
        <f t="shared" si="1"/>
        <v>1461</v>
      </c>
    </row>
    <row r="3146" ht="22.5" customHeight="1">
      <c r="B3146" s="42" t="str">
        <f>IFERROR(__xludf.DUMMYFUNCTION("""COMPUTED_VALUE"""),"K/15/190325/1")</f>
        <v>K/15/190325/1</v>
      </c>
      <c r="C3146" s="42" t="str">
        <f>IFERROR(__xludf.DUMMYFUNCTION("""COMPUTED_VALUE"""),"M..13617/SUKARAME")</f>
        <v>M..13617/SUKARAME</v>
      </c>
      <c r="D3146" s="42"/>
      <c r="E3146" s="42" t="str">
        <f>IFERROR(__xludf.DUMMYFUNCTION("""COMPUTED_VALUE"""),"DISERAHKAN")</f>
        <v>DISERAHKAN</v>
      </c>
      <c r="F3146" s="48">
        <f>IFERROR(__xludf.DUMMYFUNCTION("""COMPUTED_VALUE"""),45758.47589369213)</f>
        <v>45758.47589</v>
      </c>
      <c r="G3146" s="42" t="str">
        <f>IFERROR(__xludf.DUMMYFUNCTION("""COMPUTED_VALUE"""),"JUAL BELI")</f>
        <v>JUAL BELI</v>
      </c>
      <c r="H3146" s="42">
        <f t="shared" si="1"/>
        <v>1462</v>
      </c>
    </row>
    <row r="3147" ht="22.5" customHeight="1">
      <c r="B3147" s="42" t="str">
        <f>IFERROR(__xludf.DUMMYFUNCTION("""COMPUTED_VALUE"""),"K/12/190325/1")</f>
        <v>K/12/190325/1</v>
      </c>
      <c r="C3147" s="42" t="str">
        <f>IFERROR(__xludf.DUMMYFUNCTION("""COMPUTED_VALUE"""),"M. 1954/ Sumur Batu")</f>
        <v>M. 1954/ Sumur Batu</v>
      </c>
      <c r="D3147" s="42"/>
      <c r="E3147" s="42"/>
      <c r="F3147" s="48" t="str">
        <f>IFERROR(__xludf.DUMMYFUNCTION("""COMPUTED_VALUE"""),"")</f>
        <v/>
      </c>
      <c r="G3147" s="42" t="str">
        <f>IFERROR(__xludf.DUMMYFUNCTION("""COMPUTED_VALUE"""),"BN WARIS")</f>
        <v>BN WARIS</v>
      </c>
      <c r="H3147" s="42">
        <f t="shared" si="1"/>
        <v>1462</v>
      </c>
    </row>
    <row r="3148" ht="22.5" customHeight="1">
      <c r="B3148" s="42" t="str">
        <f>IFERROR(__xludf.DUMMYFUNCTION("""COMPUTED_VALUE"""),"K/14/190325/1")</f>
        <v>K/14/190325/1</v>
      </c>
      <c r="C3148" s="42" t="str">
        <f>IFERROR(__xludf.DUMMYFUNCTION("""COMPUTED_VALUE"""),"KALI BALAU KENCANA")</f>
        <v>KALI BALAU KENCANA</v>
      </c>
      <c r="D3148" s="42"/>
      <c r="E3148" s="42"/>
      <c r="F3148" s="48" t="str">
        <f>IFERROR(__xludf.DUMMYFUNCTION("""COMPUTED_VALUE"""),"")</f>
        <v/>
      </c>
      <c r="G3148" s="42" t="str">
        <f>IFERROR(__xludf.DUMMYFUNCTION("""COMPUTED_VALUE"""),"PENGUKURAN PERTAMA KALI")</f>
        <v>PENGUKURAN PERTAMA KALI</v>
      </c>
      <c r="H3148" s="42">
        <f t="shared" si="1"/>
        <v>1462</v>
      </c>
    </row>
    <row r="3149" ht="22.5" customHeight="1">
      <c r="B3149" s="42" t="str">
        <f>IFERROR(__xludf.DUMMYFUNCTION("""COMPUTED_VALUE"""),"K/16/190325/2")</f>
        <v>K/16/190325/2</v>
      </c>
      <c r="C3149" s="42" t="str">
        <f>IFERROR(__xludf.DUMMYFUNCTION("""COMPUTED_VALUE"""),"M.16732/SUKABUMI")</f>
        <v>M.16732/SUKABUMI</v>
      </c>
      <c r="D3149" s="42"/>
      <c r="E3149" s="42" t="str">
        <f>IFERROR(__xludf.DUMMYFUNCTION("""COMPUTED_VALUE"""),"DISERAHKAN")</f>
        <v>DISERAHKAN</v>
      </c>
      <c r="F3149" s="48">
        <f>IFERROR(__xludf.DUMMYFUNCTION("""COMPUTED_VALUE"""),45775.602683888894)</f>
        <v>45775.60268</v>
      </c>
      <c r="G3149" s="42" t="str">
        <f>IFERROR(__xludf.DUMMYFUNCTION("""COMPUTED_VALUE"""),"JUALBELI")</f>
        <v>JUALBELI</v>
      </c>
      <c r="H3149" s="42">
        <f t="shared" si="1"/>
        <v>1463</v>
      </c>
    </row>
    <row r="3150" ht="22.5" customHeight="1">
      <c r="B3150" s="42" t="str">
        <f>IFERROR(__xludf.DUMMYFUNCTION("""COMPUTED_VALUE"""),"K/18/190325/1")</f>
        <v>K/18/190325/1</v>
      </c>
      <c r="C3150" s="42" t="str">
        <f>IFERROR(__xludf.DUMMYFUNCTION("""COMPUTED_VALUE"""),"Nibel 7658/ Way Kandis")</f>
        <v>Nibel 7658/ Way Kandis</v>
      </c>
      <c r="D3150" s="42"/>
      <c r="E3150" s="42"/>
      <c r="F3150" s="48" t="str">
        <f>IFERROR(__xludf.DUMMYFUNCTION("""COMPUTED_VALUE"""),"")</f>
        <v/>
      </c>
      <c r="G3150" s="42" t="str">
        <f>IFERROR(__xludf.DUMMYFUNCTION("""COMPUTED_VALUE"""),"BN JUAL BELI")</f>
        <v>BN JUAL BELI</v>
      </c>
      <c r="H3150" s="42">
        <f t="shared" si="1"/>
        <v>1463</v>
      </c>
    </row>
    <row r="3151" ht="22.5" customHeight="1">
      <c r="B3151" s="42" t="str">
        <f>IFERROR(__xludf.DUMMYFUNCTION("""COMPUTED_VALUE"""),"K/17/190325/3")</f>
        <v>K/17/190325/3</v>
      </c>
      <c r="C3151" s="42" t="str">
        <f>IFERROR(__xludf.DUMMYFUNCTION("""COMPUTED_VALUE"""),"M.13619/SUKARAME")</f>
        <v>M.13619/SUKARAME</v>
      </c>
      <c r="D3151" s="42"/>
      <c r="E3151" s="42"/>
      <c r="F3151" s="48" t="str">
        <f>IFERROR(__xludf.DUMMYFUNCTION("""COMPUTED_VALUE"""),"")</f>
        <v/>
      </c>
      <c r="G3151" s="42" t="str">
        <f>IFERROR(__xludf.DUMMYFUNCTION("""COMPUTED_VALUE"""),"JUAL BELI")</f>
        <v>JUAL BELI</v>
      </c>
      <c r="H3151" s="42">
        <f t="shared" si="1"/>
        <v>1463</v>
      </c>
    </row>
    <row r="3152" ht="22.5" customHeight="1">
      <c r="B3152" s="42" t="str">
        <f>IFERROR(__xludf.DUMMYFUNCTION("""COMPUTED_VALUE"""),"L/19/190325/1")</f>
        <v>L/19/190325/1</v>
      </c>
      <c r="C3152" s="42" t="str">
        <f>IFERROR(__xludf.DUMMYFUNCTION("""COMPUTED_VALUE"""),"HM 2926/TANJUNG SENANG")</f>
        <v>HM 2926/TANJUNG SENANG</v>
      </c>
      <c r="D3152" s="42"/>
      <c r="E3152" s="42" t="str">
        <f>IFERROR(__xludf.DUMMYFUNCTION("""COMPUTED_VALUE"""),"DISERAHKAN")</f>
        <v>DISERAHKAN</v>
      </c>
      <c r="F3152" s="48">
        <f>IFERROR(__xludf.DUMMYFUNCTION("""COMPUTED_VALUE"""),45771.635955439815)</f>
        <v>45771.63596</v>
      </c>
      <c r="G3152" s="42" t="str">
        <f>IFERROR(__xludf.DUMMYFUNCTION("""COMPUTED_VALUE"""),"BN WARIS")</f>
        <v>BN WARIS</v>
      </c>
      <c r="H3152" s="42">
        <f t="shared" si="1"/>
        <v>1464</v>
      </c>
    </row>
    <row r="3153" ht="22.5" customHeight="1">
      <c r="B3153" s="42" t="str">
        <f>IFERROR(__xludf.DUMMYFUNCTION("""COMPUTED_VALUE"""),"L/23/190325/1")</f>
        <v>L/23/190325/1</v>
      </c>
      <c r="C3153" s="42" t="str">
        <f>IFERROR(__xludf.DUMMYFUNCTION("""COMPUTED_VALUE"""),"HM 1203/PENGAJARAN")</f>
        <v>HM 1203/PENGAJARAN</v>
      </c>
      <c r="D3153" s="42" t="str">
        <f>IFERROR(__xludf.DUMMYFUNCTION("""COMPUTED_VALUE"""),"David")</f>
        <v>David</v>
      </c>
      <c r="E3153" s="42" t="str">
        <f>IFERROR(__xludf.DUMMYFUNCTION("""COMPUTED_VALUE"""),"DISERAHKAN")</f>
        <v>DISERAHKAN</v>
      </c>
      <c r="F3153" s="48">
        <f>IFERROR(__xludf.DUMMYFUNCTION("""COMPUTED_VALUE"""),45875.62571166667)</f>
        <v>45875.62571</v>
      </c>
      <c r="G3153" s="42" t="str">
        <f>IFERROR(__xludf.DUMMYFUNCTION("""COMPUTED_VALUE"""),"ROYA")</f>
        <v>ROYA</v>
      </c>
      <c r="H3153" s="42">
        <f t="shared" si="1"/>
        <v>1465</v>
      </c>
    </row>
    <row r="3154" ht="22.5" customHeight="1">
      <c r="B3154" s="42" t="str">
        <f>IFERROR(__xludf.DUMMYFUNCTION("""COMPUTED_VALUE"""),"K/20/190325/1")</f>
        <v>K/20/190325/1</v>
      </c>
      <c r="C3154" s="42" t="str">
        <f>IFERROR(__xludf.DUMMYFUNCTION("""COMPUTED_VALUE"""),"M. 18359/ Sukarame")</f>
        <v>M. 18359/ Sukarame</v>
      </c>
      <c r="D3154" s="42"/>
      <c r="E3154" s="42" t="str">
        <f>IFERROR(__xludf.DUMMYFUNCTION("""COMPUTED_VALUE"""),"DISERAHKAN")</f>
        <v>DISERAHKAN</v>
      </c>
      <c r="F3154" s="48">
        <f>IFERROR(__xludf.DUMMYFUNCTION("""COMPUTED_VALUE"""),45758.482614479166)</f>
        <v>45758.48261</v>
      </c>
      <c r="G3154" s="42" t="str">
        <f>IFERROR(__xludf.DUMMYFUNCTION("""COMPUTED_VALUE"""),"BN JUAL BELI")</f>
        <v>BN JUAL BELI</v>
      </c>
      <c r="H3154" s="42">
        <f t="shared" si="1"/>
        <v>1466</v>
      </c>
    </row>
    <row r="3155" ht="22.5" customHeight="1">
      <c r="B3155" s="42" t="str">
        <f>IFERROR(__xludf.DUMMYFUNCTION("""COMPUTED_VALUE"""),"K/21/190325/1")</f>
        <v>K/21/190325/1</v>
      </c>
      <c r="C3155" s="42" t="str">
        <f>IFERROR(__xludf.DUMMYFUNCTION("""COMPUTED_VALUE"""),"M.16407/SUKARAME I")</f>
        <v>M.16407/SUKARAME I</v>
      </c>
      <c r="D3155" s="42"/>
      <c r="E3155" s="42"/>
      <c r="F3155" s="48" t="str">
        <f>IFERROR(__xludf.DUMMYFUNCTION("""COMPUTED_VALUE"""),"")</f>
        <v/>
      </c>
      <c r="G3155" s="42" t="str">
        <f>IFERROR(__xludf.DUMMYFUNCTION("""COMPUTED_VALUE"""),"ROYA")</f>
        <v>ROYA</v>
      </c>
      <c r="H3155" s="42">
        <f t="shared" si="1"/>
        <v>1466</v>
      </c>
    </row>
    <row r="3156" ht="22.5" customHeight="1">
      <c r="B3156" s="42" t="str">
        <f>IFERROR(__xludf.DUMMYFUNCTION("""COMPUTED_VALUE"""),"K/22/190325/2")</f>
        <v>K/22/190325/2</v>
      </c>
      <c r="C3156" s="42" t="str">
        <f>IFERROR(__xludf.DUMMYFUNCTION("""COMPUTED_VALUE"""),"M.9482/GDEONG MENENG")</f>
        <v>M.9482/GDEONG MENENG</v>
      </c>
      <c r="D3156" s="42"/>
      <c r="E3156" s="42" t="str">
        <f>IFERROR(__xludf.DUMMYFUNCTION("""COMPUTED_VALUE"""),"DISERAHKAN")</f>
        <v>DISERAHKAN</v>
      </c>
      <c r="F3156" s="48">
        <f>IFERROR(__xludf.DUMMYFUNCTION("""COMPUTED_VALUE"""),45783.493650081014)</f>
        <v>45783.49365</v>
      </c>
      <c r="G3156" s="42" t="str">
        <f>IFERROR(__xludf.DUMMYFUNCTION("""COMPUTED_VALUE"""),"ROYA")</f>
        <v>ROYA</v>
      </c>
      <c r="H3156" s="42">
        <f t="shared" si="1"/>
        <v>1467</v>
      </c>
    </row>
    <row r="3157" ht="22.5" customHeight="1">
      <c r="B3157" s="42" t="str">
        <f>IFERROR(__xludf.DUMMYFUNCTION("""COMPUTED_VALUE"""),"L/24/190325/2")</f>
        <v>L/24/190325/2</v>
      </c>
      <c r="C3157" s="42" t="str">
        <f>IFERROR(__xludf.DUMMYFUNCTION("""COMPUTED_VALUE"""),"HM 976/PENGAJARAN")</f>
        <v>HM 976/PENGAJARAN</v>
      </c>
      <c r="D3157" s="42"/>
      <c r="E3157" s="42"/>
      <c r="F3157" s="48" t="str">
        <f>IFERROR(__xludf.DUMMYFUNCTION("""COMPUTED_VALUE"""),"")</f>
        <v/>
      </c>
      <c r="G3157" s="42" t="str">
        <f>IFERROR(__xludf.DUMMYFUNCTION("""COMPUTED_VALUE"""),"ROYA")</f>
        <v>ROYA</v>
      </c>
      <c r="H3157" s="42">
        <f t="shared" si="1"/>
        <v>1467</v>
      </c>
    </row>
    <row r="3158" ht="22.5" customHeight="1">
      <c r="B3158" s="42" t="str">
        <f>IFERROR(__xludf.DUMMYFUNCTION("""COMPUTED_VALUE"""),"L/25/190325/1")</f>
        <v>L/25/190325/1</v>
      </c>
      <c r="C3158" s="42" t="str">
        <f>IFERROR(__xludf.DUMMYFUNCTION("""COMPUTED_VALUE"""),"-HM 9369/GEDONG MENENG")</f>
        <v>-HM 9369/GEDONG MENENG</v>
      </c>
      <c r="D3158" s="42"/>
      <c r="E3158" s="42" t="str">
        <f>IFERROR(__xludf.DUMMYFUNCTION("""COMPUTED_VALUE"""),"DISERAHKAN")</f>
        <v>DISERAHKAN</v>
      </c>
      <c r="F3158" s="48">
        <f>IFERROR(__xludf.DUMMYFUNCTION("""COMPUTED_VALUE"""),45771.39497952546)</f>
        <v>45771.39498</v>
      </c>
      <c r="G3158" s="42" t="str">
        <f>IFERROR(__xludf.DUMMYFUNCTION("""COMPUTED_VALUE"""),"ROYA")</f>
        <v>ROYA</v>
      </c>
      <c r="H3158" s="42">
        <f t="shared" si="1"/>
        <v>1468</v>
      </c>
    </row>
    <row r="3159" ht="22.5" customHeight="1">
      <c r="B3159" s="42" t="str">
        <f>IFERROR(__xludf.DUMMYFUNCTION("""COMPUTED_VALUE"""),"L/27/190325/1")</f>
        <v>L/27/190325/1</v>
      </c>
      <c r="C3159" s="42" t="str">
        <f>IFERROR(__xludf.DUMMYFUNCTION("""COMPUTED_VALUE"""),"HGB 3182/BERINGIN RAYA")</f>
        <v>HGB 3182/BERINGIN RAYA</v>
      </c>
      <c r="D3159" s="42"/>
      <c r="E3159" s="42"/>
      <c r="F3159" s="48" t="str">
        <f>IFERROR(__xludf.DUMMYFUNCTION("""COMPUTED_VALUE"""),"")</f>
        <v/>
      </c>
      <c r="G3159" s="42" t="str">
        <f>IFERROR(__xludf.DUMMYFUNCTION("""COMPUTED_VALUE"""),"PERMOHONAN SK")</f>
        <v>PERMOHONAN SK</v>
      </c>
      <c r="H3159" s="42">
        <f t="shared" si="1"/>
        <v>1468</v>
      </c>
    </row>
    <row r="3160" ht="22.5" customHeight="1">
      <c r="B3160" s="42" t="str">
        <f>IFERROR(__xludf.DUMMYFUNCTION("""COMPUTED_VALUE"""),"K/28/190325/1")</f>
        <v>K/28/190325/1</v>
      </c>
      <c r="C3160" s="42" t="str">
        <f>IFERROR(__xludf.DUMMYFUNCTION("""COMPUTED_VALUE"""),"NIBEL M. 1335/SEGALA MIDER")</f>
        <v>NIBEL M. 1335/SEGALA MIDER</v>
      </c>
      <c r="D3160" s="42"/>
      <c r="E3160" s="42"/>
      <c r="F3160" s="48" t="str">
        <f>IFERROR(__xludf.DUMMYFUNCTION("""COMPUTED_VALUE"""),"")</f>
        <v/>
      </c>
      <c r="G3160" s="42" t="str">
        <f>IFERROR(__xludf.DUMMYFUNCTION("""COMPUTED_VALUE"""),"BN WARIS")</f>
        <v>BN WARIS</v>
      </c>
      <c r="H3160" s="42">
        <f t="shared" si="1"/>
        <v>1468</v>
      </c>
    </row>
    <row r="3161" ht="22.5" customHeight="1">
      <c r="B3161" s="42" t="str">
        <f>IFERROR(__xludf.DUMMYFUNCTION("""COMPUTED_VALUE"""),"K/29/190325/1")</f>
        <v>K/29/190325/1</v>
      </c>
      <c r="C3161" s="42" t="str">
        <f>IFERROR(__xludf.DUMMYFUNCTION("""COMPUTED_VALUE"""),"M.1568/GUNUNG TERANG")</f>
        <v>M.1568/GUNUNG TERANG</v>
      </c>
      <c r="D3161" s="42"/>
      <c r="E3161" s="42"/>
      <c r="F3161" s="48" t="str">
        <f>IFERROR(__xludf.DUMMYFUNCTION("""COMPUTED_VALUE"""),"")</f>
        <v/>
      </c>
      <c r="G3161" s="42" t="str">
        <f>IFERROR(__xludf.DUMMYFUNCTION("""COMPUTED_VALUE"""),"JUAL BELI")</f>
        <v>JUAL BELI</v>
      </c>
      <c r="H3161" s="42">
        <f t="shared" si="1"/>
        <v>1468</v>
      </c>
    </row>
    <row r="3162" ht="22.5" customHeight="1">
      <c r="B3162" s="42" t="str">
        <f>IFERROR(__xludf.DUMMYFUNCTION("""COMPUTED_VALUE"""),"K/30/190325/1")</f>
        <v>K/30/190325/1</v>
      </c>
      <c r="C3162" s="42" t="str">
        <f>IFERROR(__xludf.DUMMYFUNCTION("""COMPUTED_VALUE"""),"M. 1944/ Sumberrejo Sejahtera")</f>
        <v>M. 1944/ Sumberrejo Sejahtera</v>
      </c>
      <c r="D3162" s="42"/>
      <c r="E3162" s="42"/>
      <c r="F3162" s="48" t="str">
        <f>IFERROR(__xludf.DUMMYFUNCTION("""COMPUTED_VALUE"""),"")</f>
        <v/>
      </c>
      <c r="G3162" s="42" t="str">
        <f>IFERROR(__xludf.DUMMYFUNCTION("""COMPUTED_VALUE"""),"PTPGT PEMECAHAN")</f>
        <v>PTPGT PEMECAHAN</v>
      </c>
      <c r="H3162" s="42">
        <f t="shared" si="1"/>
        <v>1468</v>
      </c>
    </row>
    <row r="3163" ht="22.5" customHeight="1">
      <c r="B3163" s="42" t="str">
        <f>IFERROR(__xludf.DUMMYFUNCTION("""COMPUTED_VALUE"""),"K/32/190325/1")</f>
        <v>K/32/190325/1</v>
      </c>
      <c r="C3163" s="42" t="str">
        <f>IFERROR(__xludf.DUMMYFUNCTION("""COMPUTED_VALUE"""),"M.2661/SUMBER AGUNG")</f>
        <v>M.2661/SUMBER AGUNG</v>
      </c>
      <c r="D3163" s="42"/>
      <c r="E3163" s="42" t="str">
        <f>IFERROR(__xludf.DUMMYFUNCTION("""COMPUTED_VALUE"""),"DISERAHKAN")</f>
        <v>DISERAHKAN</v>
      </c>
      <c r="F3163" s="48">
        <f>IFERROR(__xludf.DUMMYFUNCTION("""COMPUTED_VALUE"""),45764.59560219907)</f>
        <v>45764.5956</v>
      </c>
      <c r="G3163" s="42" t="str">
        <f>IFERROR(__xludf.DUMMYFUNCTION("""COMPUTED_VALUE"""),"JUAL BELI")</f>
        <v>JUAL BELI</v>
      </c>
      <c r="H3163" s="42">
        <f t="shared" si="1"/>
        <v>1469</v>
      </c>
    </row>
    <row r="3164" ht="22.5" customHeight="1">
      <c r="B3164" s="42" t="str">
        <f>IFERROR(__xludf.DUMMYFUNCTION("""COMPUTED_VALUE"""),"K/31/190325/2")</f>
        <v>K/31/190325/2</v>
      </c>
      <c r="C3164" s="42" t="str">
        <f>IFERROR(__xludf.DUMMYFUNCTION("""COMPUTED_VALUE"""),"M. 1162/ Sukarame II")</f>
        <v>M. 1162/ Sukarame II</v>
      </c>
      <c r="D3164" s="42"/>
      <c r="E3164" s="42"/>
      <c r="F3164" s="48" t="str">
        <f>IFERROR(__xludf.DUMMYFUNCTION("""COMPUTED_VALUE"""),"")</f>
        <v/>
      </c>
      <c r="G3164" s="42" t="str">
        <f>IFERROR(__xludf.DUMMYFUNCTION("""COMPUTED_VALUE"""),"HAPUS BPHTB")</f>
        <v>HAPUS BPHTB</v>
      </c>
      <c r="H3164" s="42">
        <f t="shared" si="1"/>
        <v>1469</v>
      </c>
    </row>
    <row r="3165" ht="22.5" customHeight="1">
      <c r="B3165" s="42" t="str">
        <f>IFERROR(__xludf.DUMMYFUNCTION("""COMPUTED_VALUE"""),"K/33/190325/1")</f>
        <v>K/33/190325/1</v>
      </c>
      <c r="C3165" s="42" t="str">
        <f>IFERROR(__xludf.DUMMYFUNCTION("""COMPUTED_VALUE"""),"M.93/NUSANTARA PERMAI")</f>
        <v>M.93/NUSANTARA PERMAI</v>
      </c>
      <c r="D3165" s="42"/>
      <c r="E3165" s="42"/>
      <c r="F3165" s="48" t="str">
        <f>IFERROR(__xludf.DUMMYFUNCTION("""COMPUTED_VALUE"""),"")</f>
        <v/>
      </c>
      <c r="G3165" s="42" t="str">
        <f>IFERROR(__xludf.DUMMYFUNCTION("""COMPUTED_VALUE"""),"ROYA")</f>
        <v>ROYA</v>
      </c>
      <c r="H3165" s="42">
        <f t="shared" si="1"/>
        <v>1469</v>
      </c>
    </row>
    <row r="3166" ht="22.5" customHeight="1">
      <c r="B3166" s="42" t="str">
        <f>IFERROR(__xludf.DUMMYFUNCTION("""COMPUTED_VALUE"""),"K/34/190325/1")</f>
        <v>K/34/190325/1</v>
      </c>
      <c r="C3166" s="42" t="str">
        <f>IFERROR(__xludf.DUMMYFUNCTION("""COMPUTED_VALUE"""),"M.6990/TANJUNG SENENG")</f>
        <v>M.6990/TANJUNG SENENG</v>
      </c>
      <c r="D3166" s="42"/>
      <c r="E3166" s="42" t="str">
        <f>IFERROR(__xludf.DUMMYFUNCTION("""COMPUTED_VALUE"""),"DISERAHKAN")</f>
        <v>DISERAHKAN</v>
      </c>
      <c r="F3166" s="48">
        <f>IFERROR(__xludf.DUMMYFUNCTION("""COMPUTED_VALUE"""),45764.59621550926)</f>
        <v>45764.59622</v>
      </c>
      <c r="G3166" s="42" t="str">
        <f>IFERROR(__xludf.DUMMYFUNCTION("""COMPUTED_VALUE"""),"JUAL BELI")</f>
        <v>JUAL BELI</v>
      </c>
      <c r="H3166" s="42">
        <f t="shared" si="1"/>
        <v>1470</v>
      </c>
    </row>
    <row r="3167" ht="22.5" customHeight="1">
      <c r="B3167" s="42" t="str">
        <f>IFERROR(__xludf.DUMMYFUNCTION("""COMPUTED_VALUE"""),"K/35/190325/2")</f>
        <v>K/35/190325/2</v>
      </c>
      <c r="C3167" s="42" t="str">
        <f>IFERROR(__xludf.DUMMYFUNCTION("""COMPUTED_VALUE"""),"NIBEL M17041/KANGKUNG")</f>
        <v>NIBEL M17041/KANGKUNG</v>
      </c>
      <c r="D3167" s="42"/>
      <c r="E3167" s="42"/>
      <c r="F3167" s="48" t="str">
        <f>IFERROR(__xludf.DUMMYFUNCTION("""COMPUTED_VALUE"""),"")</f>
        <v/>
      </c>
      <c r="G3167" s="42" t="str">
        <f>IFERROR(__xludf.DUMMYFUNCTION("""COMPUTED_VALUE"""),"JUAL BELI")</f>
        <v>JUAL BELI</v>
      </c>
      <c r="H3167" s="42">
        <f t="shared" si="1"/>
        <v>1470</v>
      </c>
    </row>
    <row r="3168" ht="22.5" customHeight="1">
      <c r="B3168" s="42" t="str">
        <f>IFERROR(__xludf.DUMMYFUNCTION("""COMPUTED_VALUE"""),"K/36/190325/1")</f>
        <v>K/36/190325/1</v>
      </c>
      <c r="C3168" s="42" t="str">
        <f>IFERROR(__xludf.DUMMYFUNCTION("""COMPUTED_VALUE"""),"M. 3315/ Sukadana Ham")</f>
        <v>M. 3315/ Sukadana Ham</v>
      </c>
      <c r="D3168" s="42"/>
      <c r="E3168" s="42" t="str">
        <f>IFERROR(__xludf.DUMMYFUNCTION("""COMPUTED_VALUE"""),"DISERAHKAN")</f>
        <v>DISERAHKAN</v>
      </c>
      <c r="F3168" s="48">
        <f>IFERROR(__xludf.DUMMYFUNCTION("""COMPUTED_VALUE"""),45771.63465423611)</f>
        <v>45771.63465</v>
      </c>
      <c r="G3168" s="42" t="str">
        <f>IFERROR(__xludf.DUMMYFUNCTION("""COMPUTED_VALUE"""),"BN JUAL BELI")</f>
        <v>BN JUAL BELI</v>
      </c>
      <c r="H3168" s="42">
        <f t="shared" si="1"/>
        <v>1471</v>
      </c>
    </row>
    <row r="3169" ht="22.5" customHeight="1">
      <c r="B3169" s="42" t="str">
        <f>IFERROR(__xludf.DUMMYFUNCTION("""COMPUTED_VALUE"""),"K/37/190325/2")</f>
        <v>K/37/190325/2</v>
      </c>
      <c r="C3169" s="42" t="str">
        <f>IFERROR(__xludf.DUMMYFUNCTION("""COMPUTED_VALUE"""),"M. 483/ Langkapura Baru")</f>
        <v>M. 483/ Langkapura Baru</v>
      </c>
      <c r="D3169" s="42"/>
      <c r="E3169" s="42" t="str">
        <f>IFERROR(__xludf.DUMMYFUNCTION("""COMPUTED_VALUE"""),"DISERAHKAN")</f>
        <v>DISERAHKAN</v>
      </c>
      <c r="F3169" s="48">
        <f>IFERROR(__xludf.DUMMYFUNCTION("""COMPUTED_VALUE"""),45758.481315439814)</f>
        <v>45758.48132</v>
      </c>
      <c r="G3169" s="42" t="str">
        <f>IFERROR(__xludf.DUMMYFUNCTION("""COMPUTED_VALUE"""),"BN JUAL BELI")</f>
        <v>BN JUAL BELI</v>
      </c>
      <c r="H3169" s="42">
        <f t="shared" si="1"/>
        <v>1472</v>
      </c>
    </row>
    <row r="3170" ht="22.5" customHeight="1">
      <c r="B3170" s="42" t="str">
        <f>IFERROR(__xludf.DUMMYFUNCTION("""COMPUTED_VALUE"""),"K/38/190325/1")</f>
        <v>K/38/190325/1</v>
      </c>
      <c r="C3170" s="42" t="str">
        <f>IFERROR(__xludf.DUMMYFUNCTION("""COMPUTED_VALUE"""),"NIBEL M. 9842/LABUHAN RATU RAYA")</f>
        <v>NIBEL M. 9842/LABUHAN RATU RAYA</v>
      </c>
      <c r="D3170" s="42"/>
      <c r="E3170" s="42"/>
      <c r="F3170" s="48" t="str">
        <f>IFERROR(__xludf.DUMMYFUNCTION("""COMPUTED_VALUE"""),"")</f>
        <v/>
      </c>
      <c r="G3170" s="42" t="str">
        <f>IFERROR(__xludf.DUMMYFUNCTION("""COMPUTED_VALUE"""),"BN JUAL BELI")</f>
        <v>BN JUAL BELI</v>
      </c>
      <c r="H3170" s="42">
        <f t="shared" si="1"/>
        <v>1472</v>
      </c>
    </row>
    <row r="3171" ht="22.5" customHeight="1">
      <c r="B3171" s="42" t="str">
        <f>IFERROR(__xludf.DUMMYFUNCTION("""COMPUTED_VALUE"""),"K/40/190325/1")</f>
        <v>K/40/190325/1</v>
      </c>
      <c r="C3171" s="42" t="str">
        <f>IFERROR(__xludf.DUMMYFUNCTION("""COMPUTED_VALUE"""),"M. 2819/ beringin raya")</f>
        <v>M. 2819/ beringin raya</v>
      </c>
      <c r="D3171" s="42"/>
      <c r="E3171" s="42" t="str">
        <f>IFERROR(__xludf.DUMMYFUNCTION("""COMPUTED_VALUE"""),"DISERAHKAN")</f>
        <v>DISERAHKAN</v>
      </c>
      <c r="F3171" s="48">
        <f>IFERROR(__xludf.DUMMYFUNCTION("""COMPUTED_VALUE"""),45775.60056222222)</f>
        <v>45775.60056</v>
      </c>
      <c r="G3171" s="42" t="str">
        <f>IFERROR(__xludf.DUMMYFUNCTION("""COMPUTED_VALUE"""),"BN JUAL BELI")</f>
        <v>BN JUAL BELI</v>
      </c>
      <c r="H3171" s="42">
        <f t="shared" si="1"/>
        <v>1473</v>
      </c>
    </row>
    <row r="3172" ht="22.5" customHeight="1">
      <c r="B3172" s="42" t="str">
        <f>IFERROR(__xludf.DUMMYFUNCTION("""COMPUTED_VALUE"""),"K/1/200325/1")</f>
        <v>K/1/200325/1</v>
      </c>
      <c r="C3172" s="42" t="str">
        <f>IFERROR(__xludf.DUMMYFUNCTION("""COMPUTED_VALUE"""),"M.3112/KEMILING PERMAI")</f>
        <v>M.3112/KEMILING PERMAI</v>
      </c>
      <c r="D3172" s="42"/>
      <c r="E3172" s="42" t="str">
        <f>IFERROR(__xludf.DUMMYFUNCTION("""COMPUTED_VALUE"""),"DISERAHKAN")</f>
        <v>DISERAHKAN</v>
      </c>
      <c r="F3172" s="48">
        <f>IFERROR(__xludf.DUMMYFUNCTION("""COMPUTED_VALUE"""),45764.59540471065)</f>
        <v>45764.5954</v>
      </c>
      <c r="G3172" s="42" t="str">
        <f>IFERROR(__xludf.DUMMYFUNCTION("""COMPUTED_VALUE"""),"JUAL BELI")</f>
        <v>JUAL BELI</v>
      </c>
      <c r="H3172" s="42">
        <f t="shared" si="1"/>
        <v>1474</v>
      </c>
    </row>
    <row r="3173" ht="22.5" customHeight="1">
      <c r="B3173" s="42" t="str">
        <f>IFERROR(__xludf.DUMMYFUNCTION("""COMPUTED_VALUE"""),"K/2/200325/1")</f>
        <v>K/2/200325/1</v>
      </c>
      <c r="C3173" s="42" t="str">
        <f>IFERROR(__xludf.DUMMYFUNCTION("""COMPUTED_VALUE"""),"Nibel. 18122/ Sepang Jaya")</f>
        <v>Nibel. 18122/ Sepang Jaya</v>
      </c>
      <c r="D3173" s="42"/>
      <c r="E3173" s="42"/>
      <c r="F3173" s="48" t="str">
        <f>IFERROR(__xludf.DUMMYFUNCTION("""COMPUTED_VALUE"""),"")</f>
        <v/>
      </c>
      <c r="G3173" s="42" t="str">
        <f>IFERROR(__xludf.DUMMYFUNCTION("""COMPUTED_VALUE"""),"BN Jual Beli")</f>
        <v>BN Jual Beli</v>
      </c>
      <c r="H3173" s="42">
        <f t="shared" si="1"/>
        <v>1474</v>
      </c>
    </row>
    <row r="3174" ht="22.5" customHeight="1">
      <c r="B3174" s="42" t="str">
        <f>IFERROR(__xludf.DUMMYFUNCTION("""COMPUTED_VALUE"""),"K/39/190325/2")</f>
        <v>K/39/190325/2</v>
      </c>
      <c r="C3174" s="42" t="str">
        <f>IFERROR(__xludf.DUMMYFUNCTION("""COMPUTED_VALUE"""),"M.473/KOTA SEPANG")</f>
        <v>M.473/KOTA SEPANG</v>
      </c>
      <c r="D3174" s="42"/>
      <c r="E3174" s="42" t="str">
        <f>IFERROR(__xludf.DUMMYFUNCTION("""COMPUTED_VALUE"""),"DISERAHKAN")</f>
        <v>DISERAHKAN</v>
      </c>
      <c r="F3174" s="48">
        <f>IFERROR(__xludf.DUMMYFUNCTION("""COMPUTED_VALUE"""),45758.4819630787)</f>
        <v>45758.48196</v>
      </c>
      <c r="G3174" s="42" t="str">
        <f>IFERROR(__xludf.DUMMYFUNCTION("""COMPUTED_VALUE"""),"BN JUAL BELI")</f>
        <v>BN JUAL BELI</v>
      </c>
      <c r="H3174" s="42">
        <f t="shared" si="1"/>
        <v>1475</v>
      </c>
    </row>
    <row r="3175" ht="22.5" customHeight="1">
      <c r="B3175" s="42" t="str">
        <f>IFERROR(__xludf.DUMMYFUNCTION("""COMPUTED_VALUE"""),"K/4/200325/1")</f>
        <v>K/4/200325/1</v>
      </c>
      <c r="C3175" s="42" t="str">
        <f>IFERROR(__xludf.DUMMYFUNCTION("""COMPUTED_VALUE"""),"Nibel 16347/ Tanjung senang")</f>
        <v>Nibel 16347/ Tanjung senang</v>
      </c>
      <c r="D3175" s="42"/>
      <c r="E3175" s="42"/>
      <c r="F3175" s="48" t="str">
        <f>IFERROR(__xludf.DUMMYFUNCTION("""COMPUTED_VALUE"""),"")</f>
        <v/>
      </c>
      <c r="G3175" s="42" t="str">
        <f>IFERROR(__xludf.DUMMYFUNCTION("""COMPUTED_VALUE"""),"BN PHB")</f>
        <v>BN PHB</v>
      </c>
      <c r="H3175" s="42">
        <f t="shared" si="1"/>
        <v>1475</v>
      </c>
    </row>
    <row r="3176" ht="22.5" customHeight="1">
      <c r="B3176" s="42" t="str">
        <f>IFERROR(__xludf.DUMMYFUNCTION("""COMPUTED_VALUE"""),"L/5/200325/1")</f>
        <v>L/5/200325/1</v>
      </c>
      <c r="C3176" s="42" t="str">
        <f>IFERROR(__xludf.DUMMYFUNCTION("""COMPUTED_VALUE"""),"HM 5449/TANJUNG SENANG")</f>
        <v>HM 5449/TANJUNG SENANG</v>
      </c>
      <c r="D3176" s="42"/>
      <c r="E3176" s="42"/>
      <c r="F3176" s="48" t="str">
        <f>IFERROR(__xludf.DUMMYFUNCTION("""COMPUTED_VALUE"""),"")</f>
        <v/>
      </c>
      <c r="G3176" s="42" t="str">
        <f>IFERROR(__xludf.DUMMYFUNCTION("""COMPUTED_VALUE"""),"SERTIPIKAT HILANG")</f>
        <v>SERTIPIKAT HILANG</v>
      </c>
      <c r="H3176" s="42">
        <f t="shared" si="1"/>
        <v>1475</v>
      </c>
    </row>
    <row r="3177" ht="22.5" customHeight="1">
      <c r="B3177" s="42" t="str">
        <f>IFERROR(__xludf.DUMMYFUNCTION("""COMPUTED_VALUE"""),"K/6/200325/1")</f>
        <v>K/6/200325/1</v>
      </c>
      <c r="C3177" s="42" t="str">
        <f>IFERROR(__xludf.DUMMYFUNCTION("""COMPUTED_VALUE"""),"M. 872/ Pidada")</f>
        <v>M. 872/ Pidada</v>
      </c>
      <c r="D3177" s="42"/>
      <c r="E3177" s="42"/>
      <c r="F3177" s="48" t="str">
        <f>IFERROR(__xludf.DUMMYFUNCTION("""COMPUTED_VALUE"""),"")</f>
        <v/>
      </c>
      <c r="G3177" s="42" t="str">
        <f>IFERROR(__xludf.DUMMYFUNCTION("""COMPUTED_VALUE"""),"BN Waris")</f>
        <v>BN Waris</v>
      </c>
      <c r="H3177" s="42">
        <f t="shared" si="1"/>
        <v>1475</v>
      </c>
    </row>
    <row r="3178" ht="22.5" customHeight="1">
      <c r="B3178" s="42" t="str">
        <f>IFERROR(__xludf.DUMMYFUNCTION("""COMPUTED_VALUE"""),"K/7/200325/1")</f>
        <v>K/7/200325/1</v>
      </c>
      <c r="C3178" s="42" t="str">
        <f>IFERROR(__xludf.DUMMYFUNCTION("""COMPUTED_VALUE"""),"Nibel. M. 16448/ Labuhan Dalam")</f>
        <v>Nibel. M. 16448/ Labuhan Dalam</v>
      </c>
      <c r="D3178" s="42"/>
      <c r="E3178" s="42"/>
      <c r="F3178" s="48" t="str">
        <f>IFERROR(__xludf.DUMMYFUNCTION("""COMPUTED_VALUE"""),"")</f>
        <v/>
      </c>
      <c r="G3178" s="42" t="str">
        <f>IFERROR(__xludf.DUMMYFUNCTION("""COMPUTED_VALUE"""),"BN Jual Beli")</f>
        <v>BN Jual Beli</v>
      </c>
      <c r="H3178" s="42">
        <f t="shared" si="1"/>
        <v>1475</v>
      </c>
    </row>
    <row r="3179" ht="22.5" customHeight="1">
      <c r="B3179" s="42" t="str">
        <f>IFERROR(__xludf.DUMMYFUNCTION("""COMPUTED_VALUE"""),"L/8/200325/1")</f>
        <v>L/8/200325/1</v>
      </c>
      <c r="C3179" s="42" t="str">
        <f>IFERROR(__xludf.DUMMYFUNCTION("""COMPUTED_VALUE"""),"HM 3142/WAY KANDIS")</f>
        <v>HM 3142/WAY KANDIS</v>
      </c>
      <c r="D3179" s="42"/>
      <c r="E3179" s="42" t="str">
        <f>IFERROR(__xludf.DUMMYFUNCTION("""COMPUTED_VALUE"""),"DISERAHKAN")</f>
        <v>DISERAHKAN</v>
      </c>
      <c r="F3179" s="48">
        <f>IFERROR(__xludf.DUMMYFUNCTION("""COMPUTED_VALUE"""),45763.55238439815)</f>
        <v>45763.55238</v>
      </c>
      <c r="G3179" s="42" t="str">
        <f>IFERROR(__xludf.DUMMYFUNCTION("""COMPUTED_VALUE"""),"ROYA")</f>
        <v>ROYA</v>
      </c>
      <c r="H3179" s="42">
        <f t="shared" si="1"/>
        <v>1476</v>
      </c>
    </row>
    <row r="3180" ht="22.5" customHeight="1">
      <c r="B3180" s="42" t="str">
        <f>IFERROR(__xludf.DUMMYFUNCTION("""COMPUTED_VALUE"""),"K/9/200325/1")</f>
        <v>K/9/200325/1</v>
      </c>
      <c r="C3180" s="42" t="str">
        <f>IFERROR(__xludf.DUMMYFUNCTION("""COMPUTED_VALUE"""),"M.3462/SUKADANAHAM")</f>
        <v>M.3462/SUKADANAHAM</v>
      </c>
      <c r="D3180" s="42"/>
      <c r="E3180" s="42" t="str">
        <f>IFERROR(__xludf.DUMMYFUNCTION("""COMPUTED_VALUE"""),"DISERAHKAN")</f>
        <v>DISERAHKAN</v>
      </c>
      <c r="F3180" s="48">
        <f>IFERROR(__xludf.DUMMYFUNCTION("""COMPUTED_VALUE"""),45775.604911076385)</f>
        <v>45775.60491</v>
      </c>
      <c r="G3180" s="42" t="str">
        <f>IFERROR(__xludf.DUMMYFUNCTION("""COMPUTED_VALUE"""),"JUAL BELI")</f>
        <v>JUAL BELI</v>
      </c>
      <c r="H3180" s="42">
        <f t="shared" si="1"/>
        <v>1477</v>
      </c>
    </row>
    <row r="3181" ht="22.5" customHeight="1">
      <c r="B3181" s="42" t="str">
        <f>IFERROR(__xludf.DUMMYFUNCTION("""COMPUTED_VALUE"""),"K/10/200325/1")</f>
        <v>K/10/200325/1</v>
      </c>
      <c r="C3181" s="42" t="str">
        <f>IFERROR(__xludf.DUMMYFUNCTION("""COMPUTED_VALUE"""),"M. 1364/ Kali Balau Kencana")</f>
        <v>M. 1364/ Kali Balau Kencana</v>
      </c>
      <c r="D3181" s="42"/>
      <c r="E3181" s="42"/>
      <c r="F3181" s="48" t="str">
        <f>IFERROR(__xludf.DUMMYFUNCTION("""COMPUTED_VALUE"""),"")</f>
        <v/>
      </c>
      <c r="G3181" s="42" t="str">
        <f>IFERROR(__xludf.DUMMYFUNCTION("""COMPUTED_VALUE"""),"BN JUAL BELI")</f>
        <v>BN JUAL BELI</v>
      </c>
      <c r="H3181" s="42">
        <f t="shared" si="1"/>
        <v>1477</v>
      </c>
    </row>
    <row r="3182" ht="22.5" customHeight="1">
      <c r="B3182" s="42" t="str">
        <f>IFERROR(__xludf.DUMMYFUNCTION("""COMPUTED_VALUE"""),"K/3/200325/1")</f>
        <v>K/3/200325/1</v>
      </c>
      <c r="C3182" s="42" t="str">
        <f>IFERROR(__xludf.DUMMYFUNCTION("""COMPUTED_VALUE"""),"M. 2305/SEPANG JAYA")</f>
        <v>M. 2305/SEPANG JAYA</v>
      </c>
      <c r="D3182" s="42"/>
      <c r="E3182" s="42" t="str">
        <f>IFERROR(__xludf.DUMMYFUNCTION("""COMPUTED_VALUE"""),"DISERAHKAN")</f>
        <v>DISERAHKAN</v>
      </c>
      <c r="F3182" s="48">
        <f>IFERROR(__xludf.DUMMYFUNCTION("""COMPUTED_VALUE"""),45769.42512783565)</f>
        <v>45769.42513</v>
      </c>
      <c r="G3182" s="42" t="str">
        <f>IFERROR(__xludf.DUMMYFUNCTION("""COMPUTED_VALUE"""),"BN JUAL BELI")</f>
        <v>BN JUAL BELI</v>
      </c>
      <c r="H3182" s="42">
        <f t="shared" si="1"/>
        <v>1478</v>
      </c>
    </row>
    <row r="3183" ht="22.5" customHeight="1">
      <c r="B3183" s="42" t="str">
        <f>IFERROR(__xludf.DUMMYFUNCTION("""COMPUTED_VALUE"""),"L/12/200325/1")</f>
        <v>L/12/200325/1</v>
      </c>
      <c r="C3183" s="42" t="str">
        <f>IFERROR(__xludf.DUMMYFUNCTION("""COMPUTED_VALUE"""),"HM 772/WAY GUBAK")</f>
        <v>HM 772/WAY GUBAK</v>
      </c>
      <c r="D3183" s="42"/>
      <c r="E3183" s="42" t="str">
        <f>IFERROR(__xludf.DUMMYFUNCTION("""COMPUTED_VALUE"""),"DISERAHKAN")</f>
        <v>DISERAHKAN</v>
      </c>
      <c r="F3183" s="48">
        <f>IFERROR(__xludf.DUMMYFUNCTION("""COMPUTED_VALUE"""),45771.39545833333)</f>
        <v>45771.39546</v>
      </c>
      <c r="G3183" s="42" t="str">
        <f>IFERROR(__xludf.DUMMYFUNCTION("""COMPUTED_VALUE"""),"ROYA")</f>
        <v>ROYA</v>
      </c>
      <c r="H3183" s="42">
        <f t="shared" si="1"/>
        <v>1479</v>
      </c>
    </row>
    <row r="3184" ht="22.5" customHeight="1">
      <c r="B3184" s="42" t="str">
        <f>IFERROR(__xludf.DUMMYFUNCTION("""COMPUTED_VALUE"""),"K/11/200325/1")</f>
        <v>K/11/200325/1</v>
      </c>
      <c r="C3184" s="42" t="str">
        <f>IFERROR(__xludf.DUMMYFUNCTION("""COMPUTED_VALUE"""),"B. 904/ Kemiling Permai")</f>
        <v>B. 904/ Kemiling Permai</v>
      </c>
      <c r="D3184" s="42"/>
      <c r="E3184" s="42" t="str">
        <f>IFERROR(__xludf.DUMMYFUNCTION("""COMPUTED_VALUE"""),"DISERAHKAN")</f>
        <v>DISERAHKAN</v>
      </c>
      <c r="F3184" s="48">
        <f>IFERROR(__xludf.DUMMYFUNCTION("""COMPUTED_VALUE"""),45761.453626875)</f>
        <v>45761.45363</v>
      </c>
      <c r="G3184" s="42" t="str">
        <f>IFERROR(__xludf.DUMMYFUNCTION("""COMPUTED_VALUE"""),"BN JUAL BELI")</f>
        <v>BN JUAL BELI</v>
      </c>
      <c r="H3184" s="42">
        <f t="shared" si="1"/>
        <v>1480</v>
      </c>
    </row>
    <row r="3185" ht="22.5" customHeight="1">
      <c r="B3185" s="42" t="str">
        <f>IFERROR(__xludf.DUMMYFUNCTION("""COMPUTED_VALUE"""),"K/13/200325/1")</f>
        <v>K/13/200325/1</v>
      </c>
      <c r="C3185" s="42" t="str">
        <f>IFERROR(__xludf.DUMMYFUNCTION("""COMPUTED_VALUE"""),"NIBEL M 1695/BAKUNG")</f>
        <v>NIBEL M 1695/BAKUNG</v>
      </c>
      <c r="D3185" s="42"/>
      <c r="E3185" s="42"/>
      <c r="F3185" s="48" t="str">
        <f>IFERROR(__xludf.DUMMYFUNCTION("""COMPUTED_VALUE"""),"")</f>
        <v/>
      </c>
      <c r="G3185" s="42" t="str">
        <f>IFERROR(__xludf.DUMMYFUNCTION("""COMPUTED_VALUE"""),"JUAL BELI")</f>
        <v>JUAL BELI</v>
      </c>
      <c r="H3185" s="42">
        <f t="shared" si="1"/>
        <v>1480</v>
      </c>
    </row>
    <row r="3186" ht="22.5" customHeight="1">
      <c r="B3186" s="42" t="str">
        <f>IFERROR(__xludf.DUMMYFUNCTION("""COMPUTED_VALUE"""),"K/15/200325/1")</f>
        <v>K/15/200325/1</v>
      </c>
      <c r="C3186" s="42" t="str">
        <f>IFERROR(__xludf.DUMMYFUNCTION("""COMPUTED_VALUE"""),"B. 841/ Bakung")</f>
        <v>B. 841/ Bakung</v>
      </c>
      <c r="D3186" s="42"/>
      <c r="E3186" s="42" t="str">
        <f>IFERROR(__xludf.DUMMYFUNCTION("""COMPUTED_VALUE"""),"DISERAHKAN")</f>
        <v>DISERAHKAN</v>
      </c>
      <c r="F3186" s="48">
        <f>IFERROR(__xludf.DUMMYFUNCTION("""COMPUTED_VALUE"""),45769.42655668981)</f>
        <v>45769.42656</v>
      </c>
      <c r="G3186" s="42" t="str">
        <f>IFERROR(__xludf.DUMMYFUNCTION("""COMPUTED_VALUE"""),"BN Jual Beli")</f>
        <v>BN Jual Beli</v>
      </c>
      <c r="H3186" s="42">
        <f t="shared" si="1"/>
        <v>1481</v>
      </c>
    </row>
    <row r="3187" ht="22.5" customHeight="1">
      <c r="B3187" s="42" t="str">
        <f>IFERROR(__xludf.DUMMYFUNCTION("""COMPUTED_VALUE"""),"K/16/200325/1")</f>
        <v>K/16/200325/1</v>
      </c>
      <c r="C3187" s="42" t="str">
        <f>IFERROR(__xludf.DUMMYFUNCTION("""COMPUTED_VALUE"""),"M. 164/ Campang Raya")</f>
        <v>M. 164/ Campang Raya</v>
      </c>
      <c r="D3187" s="42" t="str">
        <f>IFERROR(__xludf.DUMMYFUNCTION("""COMPUTED_VALUE"""),"Berry")</f>
        <v>Berry</v>
      </c>
      <c r="E3187" s="42" t="str">
        <f>IFERROR(__xludf.DUMMYFUNCTION("""COMPUTED_VALUE"""),"DISERAHKAN")</f>
        <v>DISERAHKAN</v>
      </c>
      <c r="F3187" s="48">
        <f>IFERROR(__xludf.DUMMYFUNCTION("""COMPUTED_VALUE"""),45838.65460179398)</f>
        <v>45838.6546</v>
      </c>
      <c r="G3187" s="42" t="str">
        <f>IFERROR(__xludf.DUMMYFUNCTION("""COMPUTED_VALUE"""),"BN Waris")</f>
        <v>BN Waris</v>
      </c>
      <c r="H3187" s="42">
        <f t="shared" si="1"/>
        <v>1482</v>
      </c>
    </row>
    <row r="3188" ht="22.5" customHeight="1">
      <c r="B3188" s="42" t="str">
        <f>IFERROR(__xludf.DUMMYFUNCTION("""COMPUTED_VALUE"""),"K/17/200325/2")</f>
        <v>K/17/200325/2</v>
      </c>
      <c r="C3188" s="42" t="str">
        <f>IFERROR(__xludf.DUMMYFUNCTION("""COMPUTED_VALUE"""),"M. 121/ Campang Raya")</f>
        <v>M. 121/ Campang Raya</v>
      </c>
      <c r="D3188" s="42" t="str">
        <f>IFERROR(__xludf.DUMMYFUNCTION("""COMPUTED_VALUE"""),"Berry")</f>
        <v>Berry</v>
      </c>
      <c r="E3188" s="42" t="str">
        <f>IFERROR(__xludf.DUMMYFUNCTION("""COMPUTED_VALUE"""),"DISERAHKAN")</f>
        <v>DISERAHKAN</v>
      </c>
      <c r="F3188" s="48">
        <f>IFERROR(__xludf.DUMMYFUNCTION("""COMPUTED_VALUE"""),45799.70893434028)</f>
        <v>45799.70893</v>
      </c>
      <c r="G3188" s="42" t="str">
        <f>IFERROR(__xludf.DUMMYFUNCTION("""COMPUTED_VALUE"""),"BN Waris")</f>
        <v>BN Waris</v>
      </c>
      <c r="H3188" s="42">
        <f t="shared" si="1"/>
        <v>1483</v>
      </c>
    </row>
    <row r="3189" ht="22.5" customHeight="1">
      <c r="B3189" s="42" t="str">
        <f>IFERROR(__xludf.DUMMYFUNCTION("""COMPUTED_VALUE"""),"K/18/200325/1")</f>
        <v>K/18/200325/1</v>
      </c>
      <c r="C3189" s="42" t="str">
        <f>IFERROR(__xludf.DUMMYFUNCTION("""COMPUTED_VALUE"""),"M. 8979/ Jagabaya II")</f>
        <v>M. 8979/ Jagabaya II</v>
      </c>
      <c r="D3189" s="42"/>
      <c r="E3189" s="42"/>
      <c r="F3189" s="48" t="str">
        <f>IFERROR(__xludf.DUMMYFUNCTION("""COMPUTED_VALUE"""),"")</f>
        <v/>
      </c>
      <c r="G3189" s="42" t="str">
        <f>IFERROR(__xludf.DUMMYFUNCTION("""COMPUTED_VALUE"""),"BN Jual Beli")</f>
        <v>BN Jual Beli</v>
      </c>
      <c r="H3189" s="42">
        <f t="shared" si="1"/>
        <v>1483</v>
      </c>
    </row>
    <row r="3190" ht="22.5" customHeight="1">
      <c r="B3190" s="42" t="str">
        <f>IFERROR(__xludf.DUMMYFUNCTION("""COMPUTED_VALUE"""),"K/14/200325/1")</f>
        <v>K/14/200325/1</v>
      </c>
      <c r="C3190" s="42" t="str">
        <f>IFERROR(__xludf.DUMMYFUNCTION("""COMPUTED_VALUE"""),"M. 1834/RAJABASA PEMUKA")</f>
        <v>M. 1834/RAJABASA PEMUKA</v>
      </c>
      <c r="D3190" s="42"/>
      <c r="E3190" s="42" t="str">
        <f>IFERROR(__xludf.DUMMYFUNCTION("""COMPUTED_VALUE"""),"DISERAHKAN")</f>
        <v>DISERAHKAN</v>
      </c>
      <c r="F3190" s="48">
        <f>IFERROR(__xludf.DUMMYFUNCTION("""COMPUTED_VALUE"""),45758.4716299537)</f>
        <v>45758.47163</v>
      </c>
      <c r="G3190" s="42" t="str">
        <f>IFERROR(__xludf.DUMMYFUNCTION("""COMPUTED_VALUE"""),"BN WARIS")</f>
        <v>BN WARIS</v>
      </c>
      <c r="H3190" s="42">
        <f t="shared" si="1"/>
        <v>1484</v>
      </c>
    </row>
    <row r="3191" ht="22.5" customHeight="1">
      <c r="B3191" s="42" t="str">
        <f>IFERROR(__xludf.DUMMYFUNCTION("""COMPUTED_VALUE"""),"K/19/200325/1")</f>
        <v>K/19/200325/1</v>
      </c>
      <c r="C3191" s="42" t="str">
        <f>IFERROR(__xludf.DUMMYFUNCTION("""COMPUTED_VALUE"""),"Nibel 16713/ Sukarame")</f>
        <v>Nibel 16713/ Sukarame</v>
      </c>
      <c r="D3191" s="42"/>
      <c r="E3191" s="42"/>
      <c r="F3191" s="48" t="str">
        <f>IFERROR(__xludf.DUMMYFUNCTION("""COMPUTED_VALUE"""),"")</f>
        <v/>
      </c>
      <c r="G3191" s="42" t="str">
        <f>IFERROR(__xludf.DUMMYFUNCTION("""COMPUTED_VALUE"""),"BN JUAL  BELI")</f>
        <v>BN JUAL  BELI</v>
      </c>
      <c r="H3191" s="42">
        <f t="shared" si="1"/>
        <v>1484</v>
      </c>
    </row>
    <row r="3192" ht="22.5" customHeight="1">
      <c r="B3192" s="42" t="str">
        <f>IFERROR(__xludf.DUMMYFUNCTION("""COMPUTED_VALUE"""),"K/20/200325/1")</f>
        <v>K/20/200325/1</v>
      </c>
      <c r="C3192" s="42" t="str">
        <f>IFERROR(__xludf.DUMMYFUNCTION("""COMPUTED_VALUE"""),"M. 4938/ Sukadana Ham")</f>
        <v>M. 4938/ Sukadana Ham</v>
      </c>
      <c r="D3192" s="42"/>
      <c r="E3192" s="42" t="str">
        <f>IFERROR(__xludf.DUMMYFUNCTION("""COMPUTED_VALUE"""),"DISERAHKAN")</f>
        <v>DISERAHKAN</v>
      </c>
      <c r="F3192" s="48">
        <f>IFERROR(__xludf.DUMMYFUNCTION("""COMPUTED_VALUE"""),45764.59464335648)</f>
        <v>45764.59464</v>
      </c>
      <c r="G3192" s="42" t="str">
        <f>IFERROR(__xludf.DUMMYFUNCTION("""COMPUTED_VALUE"""),"BN Jual Beli")</f>
        <v>BN Jual Beli</v>
      </c>
      <c r="H3192" s="42">
        <f t="shared" si="1"/>
        <v>1485</v>
      </c>
    </row>
    <row r="3193" ht="22.5" customHeight="1">
      <c r="B3193" s="42" t="str">
        <f>IFERROR(__xludf.DUMMYFUNCTION("""COMPUTED_VALUE"""),"K/21/200325/1")</f>
        <v>K/21/200325/1</v>
      </c>
      <c r="C3193" s="42" t="str">
        <f>IFERROR(__xludf.DUMMYFUNCTION("""COMPUTED_VALUE"""),"M.12005/JAGABAYA II")</f>
        <v>M.12005/JAGABAYA II</v>
      </c>
      <c r="D3193" s="42" t="str">
        <f>IFERROR(__xludf.DUMMYFUNCTION("""COMPUTED_VALUE"""),"David")</f>
        <v>David</v>
      </c>
      <c r="E3193" s="42" t="str">
        <f>IFERROR(__xludf.DUMMYFUNCTION("""COMPUTED_VALUE"""),"DISERAHKAN")</f>
        <v>DISERAHKAN</v>
      </c>
      <c r="F3193" s="48">
        <f>IFERROR(__xludf.DUMMYFUNCTION("""COMPUTED_VALUE"""),45811.36444334491)</f>
        <v>45811.36444</v>
      </c>
      <c r="G3193" s="42" t="str">
        <f>IFERROR(__xludf.DUMMYFUNCTION("""COMPUTED_VALUE"""),"ROYA")</f>
        <v>ROYA</v>
      </c>
      <c r="H3193" s="42">
        <f t="shared" si="1"/>
        <v>1486</v>
      </c>
    </row>
    <row r="3194" ht="22.5" customHeight="1">
      <c r="B3194" s="42" t="str">
        <f>IFERROR(__xludf.DUMMYFUNCTION("""COMPUTED_VALUE"""),"K/22/200325/2")</f>
        <v>K/22/200325/2</v>
      </c>
      <c r="C3194" s="42" t="str">
        <f>IFERROR(__xludf.DUMMYFUNCTION("""COMPUTED_VALUE"""),"Nibel. M. 2512/ Enggal")</f>
        <v>Nibel. M. 2512/ Enggal</v>
      </c>
      <c r="D3194" s="42"/>
      <c r="E3194" s="42"/>
      <c r="F3194" s="48" t="str">
        <f>IFERROR(__xludf.DUMMYFUNCTION("""COMPUTED_VALUE"""),"")</f>
        <v/>
      </c>
      <c r="G3194" s="42" t="str">
        <f>IFERROR(__xludf.DUMMYFUNCTION("""COMPUTED_VALUE"""),"BN Jual Beli")</f>
        <v>BN Jual Beli</v>
      </c>
      <c r="H3194" s="42">
        <f t="shared" si="1"/>
        <v>1486</v>
      </c>
    </row>
    <row r="3195" ht="22.5" customHeight="1">
      <c r="B3195" s="42" t="str">
        <f>IFERROR(__xludf.DUMMYFUNCTION("""COMPUTED_VALUE"""),"K/23/200325/1")</f>
        <v>K/23/200325/1</v>
      </c>
      <c r="C3195" s="42" t="str">
        <f>IFERROR(__xludf.DUMMYFUNCTION("""COMPUTED_VALUE"""),"M. 816/ Labuhan Ratu Raya")</f>
        <v>M. 816/ Labuhan Ratu Raya</v>
      </c>
      <c r="D3195" s="42"/>
      <c r="E3195" s="42"/>
      <c r="F3195" s="48" t="str">
        <f>IFERROR(__xludf.DUMMYFUNCTION("""COMPUTED_VALUE"""),"")</f>
        <v/>
      </c>
      <c r="G3195" s="42" t="str">
        <f>IFERROR(__xludf.DUMMYFUNCTION("""COMPUTED_VALUE"""),"HAPUS BPHTB ")</f>
        <v>HAPUS BPHTB </v>
      </c>
      <c r="H3195" s="42">
        <f t="shared" si="1"/>
        <v>1486</v>
      </c>
    </row>
    <row r="3196" ht="22.5" customHeight="1">
      <c r="B3196" s="42" t="str">
        <f>IFERROR(__xludf.DUMMYFUNCTION("""COMPUTED_VALUE"""),"K/24/200325/3")</f>
        <v>K/24/200325/3</v>
      </c>
      <c r="C3196" s="42" t="str">
        <f>IFERROR(__xludf.DUMMYFUNCTION("""COMPUTED_VALUE"""),"Nibel. M. 1905/ Sukabumi")</f>
        <v>Nibel. M. 1905/ Sukabumi</v>
      </c>
      <c r="D3196" s="42"/>
      <c r="E3196" s="42"/>
      <c r="F3196" s="48" t="str">
        <f>IFERROR(__xludf.DUMMYFUNCTION("""COMPUTED_VALUE"""),"")</f>
        <v/>
      </c>
      <c r="G3196" s="42" t="str">
        <f>IFERROR(__xludf.DUMMYFUNCTION("""COMPUTED_VALUE"""),"BN Jual Beli")</f>
        <v>BN Jual Beli</v>
      </c>
      <c r="H3196" s="42">
        <f t="shared" si="1"/>
        <v>1486</v>
      </c>
    </row>
    <row r="3197" ht="22.5" customHeight="1">
      <c r="B3197" s="42" t="str">
        <f>IFERROR(__xludf.DUMMYFUNCTION("""COMPUTED_VALUE"""),"K/25/200325/1")</f>
        <v>K/25/200325/1</v>
      </c>
      <c r="C3197" s="42" t="str">
        <f>IFERROR(__xludf.DUMMYFUNCTION("""COMPUTED_VALUE"""),"M.808/PALAPA")</f>
        <v>M.808/PALAPA</v>
      </c>
      <c r="D3197" s="42"/>
      <c r="E3197" s="42"/>
      <c r="F3197" s="48" t="str">
        <f>IFERROR(__xludf.DUMMYFUNCTION("""COMPUTED_VALUE"""),"")</f>
        <v/>
      </c>
      <c r="G3197" s="42" t="str">
        <f>IFERROR(__xludf.DUMMYFUNCTION("""COMPUTED_VALUE"""),"KEWARISAN")</f>
        <v>KEWARISAN</v>
      </c>
      <c r="H3197" s="42">
        <f t="shared" si="1"/>
        <v>1486</v>
      </c>
    </row>
    <row r="3198" ht="22.5" customHeight="1">
      <c r="B3198" s="42" t="str">
        <f>IFERROR(__xludf.DUMMYFUNCTION("""COMPUTED_VALUE"""),"K/26/200325/1")</f>
        <v>K/26/200325/1</v>
      </c>
      <c r="C3198" s="42" t="str">
        <f>IFERROR(__xludf.DUMMYFUNCTION("""COMPUTED_VALUE"""),"M. 9220/ Kampung Baru")</f>
        <v>M. 9220/ Kampung Baru</v>
      </c>
      <c r="D3198" s="42"/>
      <c r="E3198" s="42"/>
      <c r="F3198" s="48" t="str">
        <f>IFERROR(__xludf.DUMMYFUNCTION("""COMPUTED_VALUE"""),"")</f>
        <v/>
      </c>
      <c r="G3198" s="42" t="str">
        <f>IFERROR(__xludf.DUMMYFUNCTION("""COMPUTED_VALUE"""),"Roya")</f>
        <v>Roya</v>
      </c>
      <c r="H3198" s="42">
        <f t="shared" si="1"/>
        <v>1486</v>
      </c>
    </row>
    <row r="3199" ht="22.5" customHeight="1">
      <c r="B3199" s="42" t="str">
        <f>IFERROR(__xludf.DUMMYFUNCTION("""COMPUTED_VALUE"""),"K/1/210325/1")</f>
        <v>K/1/210325/1</v>
      </c>
      <c r="C3199" s="42" t="str">
        <f>IFERROR(__xludf.DUMMYFUNCTION("""COMPUTED_VALUE"""),"Nibel. M. 16451/ Tanjung Baru")</f>
        <v>Nibel. M. 16451/ Tanjung Baru</v>
      </c>
      <c r="D3199" s="42"/>
      <c r="E3199" s="42"/>
      <c r="F3199" s="48" t="str">
        <f>IFERROR(__xludf.DUMMYFUNCTION("""COMPUTED_VALUE"""),"")</f>
        <v/>
      </c>
      <c r="G3199" s="42" t="str">
        <f>IFERROR(__xludf.DUMMYFUNCTION("""COMPUTED_VALUE"""),"BN Jual Beli")</f>
        <v>BN Jual Beli</v>
      </c>
      <c r="H3199" s="42">
        <f t="shared" si="1"/>
        <v>1486</v>
      </c>
    </row>
    <row r="3200" ht="22.5" customHeight="1">
      <c r="B3200" s="42" t="str">
        <f>IFERROR(__xludf.DUMMYFUNCTION("""COMPUTED_VALUE"""),"K/2/210325/1")</f>
        <v>K/2/210325/1</v>
      </c>
      <c r="C3200" s="42" t="str">
        <f>IFERROR(__xludf.DUMMYFUNCTION("""COMPUTED_VALUE"""),"M. 600/ Tanjung Raya")</f>
        <v>M. 600/ Tanjung Raya</v>
      </c>
      <c r="D3200" s="42"/>
      <c r="E3200" s="42" t="str">
        <f>IFERROR(__xludf.DUMMYFUNCTION("""COMPUTED_VALUE"""),"DISERAHKAN")</f>
        <v>DISERAHKAN</v>
      </c>
      <c r="F3200" s="48">
        <f>IFERROR(__xludf.DUMMYFUNCTION("""COMPUTED_VALUE"""),45761.44067127314)</f>
        <v>45761.44067</v>
      </c>
      <c r="G3200" s="42" t="str">
        <f>IFERROR(__xludf.DUMMYFUNCTION("""COMPUTED_VALUE"""),"BN Waris")</f>
        <v>BN Waris</v>
      </c>
      <c r="H3200" s="42">
        <f t="shared" si="1"/>
        <v>1487</v>
      </c>
    </row>
    <row r="3201" ht="22.5" customHeight="1">
      <c r="B3201" s="42" t="str">
        <f>IFERROR(__xludf.DUMMYFUNCTION("""COMPUTED_VALUE"""),"K/3/210325/2")</f>
        <v>K/3/210325/2</v>
      </c>
      <c r="C3201" s="42" t="str">
        <f>IFERROR(__xludf.DUMMYFUNCTION("""COMPUTED_VALUE"""),"M. 196/ Tanjung Raya")</f>
        <v>M. 196/ Tanjung Raya</v>
      </c>
      <c r="D3201" s="42"/>
      <c r="E3201" s="42" t="str">
        <f>IFERROR(__xludf.DUMMYFUNCTION("""COMPUTED_VALUE"""),"DISERAHKAN")</f>
        <v>DISERAHKAN</v>
      </c>
      <c r="F3201" s="48">
        <f>IFERROR(__xludf.DUMMYFUNCTION("""COMPUTED_VALUE"""),45769.439952870365)</f>
        <v>45769.43995</v>
      </c>
      <c r="G3201" s="42" t="str">
        <f>IFERROR(__xludf.DUMMYFUNCTION("""COMPUTED_VALUE"""),"BN Waris")</f>
        <v>BN Waris</v>
      </c>
      <c r="H3201" s="42">
        <f t="shared" si="1"/>
        <v>1488</v>
      </c>
    </row>
    <row r="3202" ht="22.5" customHeight="1">
      <c r="B3202" s="42" t="str">
        <f>IFERROR(__xludf.DUMMYFUNCTION("""COMPUTED_VALUE"""),"K/4/210325/3")</f>
        <v>K/4/210325/3</v>
      </c>
      <c r="C3202" s="42" t="str">
        <f>IFERROR(__xludf.DUMMYFUNCTION("""COMPUTED_VALUE"""),"M. 575/ Tanjung Raya")</f>
        <v>M. 575/ Tanjung Raya</v>
      </c>
      <c r="D3202" s="42"/>
      <c r="E3202" s="42" t="str">
        <f>IFERROR(__xludf.DUMMYFUNCTION("""COMPUTED_VALUE"""),"DISERAHKAN")</f>
        <v>DISERAHKAN</v>
      </c>
      <c r="F3202" s="48">
        <f>IFERROR(__xludf.DUMMYFUNCTION("""COMPUTED_VALUE"""),45758.47754771991)</f>
        <v>45758.47755</v>
      </c>
      <c r="G3202" s="42" t="str">
        <f>IFERROR(__xludf.DUMMYFUNCTION("""COMPUTED_VALUE"""),"BN Waris")</f>
        <v>BN Waris</v>
      </c>
      <c r="H3202" s="42">
        <f t="shared" si="1"/>
        <v>1489</v>
      </c>
    </row>
    <row r="3203" ht="22.5" customHeight="1">
      <c r="B3203" s="42" t="str">
        <f>IFERROR(__xludf.DUMMYFUNCTION("""COMPUTED_VALUE"""),"K/5/210325/4")</f>
        <v>K/5/210325/4</v>
      </c>
      <c r="C3203" s="42" t="str">
        <f>IFERROR(__xludf.DUMMYFUNCTION("""COMPUTED_VALUE"""),"Nibel. M. 18143/ Kota Baru")</f>
        <v>Nibel. M. 18143/ Kota Baru</v>
      </c>
      <c r="D3203" s="42"/>
      <c r="E3203" s="42"/>
      <c r="F3203" s="48" t="str">
        <f>IFERROR(__xludf.DUMMYFUNCTION("""COMPUTED_VALUE"""),"")</f>
        <v/>
      </c>
      <c r="G3203" s="42" t="str">
        <f>IFERROR(__xludf.DUMMYFUNCTION("""COMPUTED_VALUE"""),"BN Jual Beli")</f>
        <v>BN Jual Beli</v>
      </c>
      <c r="H3203" s="42">
        <f t="shared" si="1"/>
        <v>1489</v>
      </c>
    </row>
    <row r="3204" ht="22.5" customHeight="1">
      <c r="B3204" s="42" t="str">
        <f>IFERROR(__xludf.DUMMYFUNCTION("""COMPUTED_VALUE"""),"K/6/210325/5")</f>
        <v>K/6/210325/5</v>
      </c>
      <c r="C3204" s="42" t="str">
        <f>IFERROR(__xludf.DUMMYFUNCTION("""COMPUTED_VALUE"""),"Nibel. M. 18998/ Korpri Jaya")</f>
        <v>Nibel. M. 18998/ Korpri Jaya</v>
      </c>
      <c r="D3204" s="42"/>
      <c r="E3204" s="42"/>
      <c r="F3204" s="48" t="str">
        <f>IFERROR(__xludf.DUMMYFUNCTION("""COMPUTED_VALUE"""),"")</f>
        <v/>
      </c>
      <c r="G3204" s="42" t="str">
        <f>IFERROR(__xludf.DUMMYFUNCTION("""COMPUTED_VALUE"""),"BN Jual Beli")</f>
        <v>BN Jual Beli</v>
      </c>
      <c r="H3204" s="42">
        <f t="shared" si="1"/>
        <v>1489</v>
      </c>
    </row>
    <row r="3205" ht="22.5" customHeight="1">
      <c r="B3205" s="42" t="str">
        <f>IFERROR(__xludf.DUMMYFUNCTION("""COMPUTED_VALUE"""),"L/8/210325/1")</f>
        <v>L/8/210325/1</v>
      </c>
      <c r="C3205" s="42" t="str">
        <f>IFERROR(__xludf.DUMMYFUNCTION("""COMPUTED_VALUE"""),"GUNUNG TERANG")</f>
        <v>GUNUNG TERANG</v>
      </c>
      <c r="D3205" s="42"/>
      <c r="E3205" s="42"/>
      <c r="F3205" s="48" t="str">
        <f>IFERROR(__xludf.DUMMYFUNCTION("""COMPUTED_VALUE"""),"")</f>
        <v/>
      </c>
      <c r="G3205" s="42" t="str">
        <f>IFERROR(__xludf.DUMMYFUNCTION("""COMPUTED_VALUE"""),"  ")</f>
        <v>  </v>
      </c>
      <c r="H3205" s="42">
        <f t="shared" si="1"/>
        <v>1489</v>
      </c>
    </row>
    <row r="3206" ht="22.5" customHeight="1">
      <c r="B3206" s="42" t="str">
        <f>IFERROR(__xludf.DUMMYFUNCTION("""COMPUTED_VALUE"""),"K/7/210325/1")</f>
        <v>K/7/210325/1</v>
      </c>
      <c r="C3206" s="42" t="str">
        <f>IFERROR(__xludf.DUMMYFUNCTION("""COMPUTED_VALUE"""),"Nibel. M. 18640/ Kemilng Permai")</f>
        <v>Nibel. M. 18640/ Kemilng Permai</v>
      </c>
      <c r="D3206" s="42"/>
      <c r="E3206" s="42"/>
      <c r="F3206" s="48" t="str">
        <f>IFERROR(__xludf.DUMMYFUNCTION("""COMPUTED_VALUE"""),"")</f>
        <v/>
      </c>
      <c r="G3206" s="42" t="str">
        <f>IFERROR(__xludf.DUMMYFUNCTION("""COMPUTED_VALUE"""),"BN Waris")</f>
        <v>BN Waris</v>
      </c>
      <c r="H3206" s="42">
        <f t="shared" si="1"/>
        <v>1489</v>
      </c>
    </row>
    <row r="3207" ht="22.5" customHeight="1">
      <c r="B3207" s="42" t="str">
        <f>IFERROR(__xludf.DUMMYFUNCTION("""COMPUTED_VALUE"""),"K/9/210325/1")</f>
        <v>K/9/210325/1</v>
      </c>
      <c r="C3207" s="42" t="str">
        <f>IFERROR(__xludf.DUMMYFUNCTION("""COMPUTED_VALUE"""),"Nibel 11890/ Kemiling Raya")</f>
        <v>Nibel 11890/ Kemiling Raya</v>
      </c>
      <c r="D3207" s="42"/>
      <c r="E3207" s="42"/>
      <c r="F3207" s="48" t="str">
        <f>IFERROR(__xludf.DUMMYFUNCTION("""COMPUTED_VALUE"""),"")</f>
        <v/>
      </c>
      <c r="G3207" s="42" t="str">
        <f>IFERROR(__xludf.DUMMYFUNCTION("""COMPUTED_VALUE"""),"BN JUAL BELI")</f>
        <v>BN JUAL BELI</v>
      </c>
      <c r="H3207" s="42">
        <f t="shared" si="1"/>
        <v>1489</v>
      </c>
    </row>
    <row r="3208" ht="22.5" customHeight="1">
      <c r="B3208" s="42" t="str">
        <f>IFERROR(__xludf.DUMMYFUNCTION("""COMPUTED_VALUE"""),"K/10/210325/1")</f>
        <v>K/10/210325/1</v>
      </c>
      <c r="C3208" s="42" t="str">
        <f>IFERROR(__xludf.DUMMYFUNCTION("""COMPUTED_VALUE"""),"M.5170/RAJABASA JAYA")</f>
        <v>M.5170/RAJABASA JAYA</v>
      </c>
      <c r="D3208" s="42"/>
      <c r="E3208" s="42" t="str">
        <f>IFERROR(__xludf.DUMMYFUNCTION("""COMPUTED_VALUE"""),"DISERAHKAN")</f>
        <v>DISERAHKAN</v>
      </c>
      <c r="F3208" s="48">
        <f>IFERROR(__xludf.DUMMYFUNCTION("""COMPUTED_VALUE"""),45769.42950841435)</f>
        <v>45769.42951</v>
      </c>
      <c r="G3208" s="42" t="str">
        <f>IFERROR(__xludf.DUMMYFUNCTION("""COMPUTED_VALUE"""),"JUAL BELI")</f>
        <v>JUAL BELI</v>
      </c>
      <c r="H3208" s="42">
        <f t="shared" si="1"/>
        <v>1490</v>
      </c>
    </row>
    <row r="3209" ht="22.5" customHeight="1">
      <c r="B3209" s="42" t="str">
        <f>IFERROR(__xludf.DUMMYFUNCTION("""COMPUTED_VALUE"""),"K/12/210325/1")</f>
        <v>K/12/210325/1</v>
      </c>
      <c r="C3209" s="42" t="str">
        <f>IFERROR(__xludf.DUMMYFUNCTION("""COMPUTED_VALUE"""),"NIBEL M.6972/KORPRI RAYA")</f>
        <v>NIBEL M.6972/KORPRI RAYA</v>
      </c>
      <c r="D3209" s="42"/>
      <c r="E3209" s="42"/>
      <c r="F3209" s="48" t="str">
        <f>IFERROR(__xludf.DUMMYFUNCTION("""COMPUTED_VALUE"""),"")</f>
        <v/>
      </c>
      <c r="G3209" s="42" t="str">
        <f>IFERROR(__xludf.DUMMYFUNCTION("""COMPUTED_VALUE"""),"JUAL BELI")</f>
        <v>JUAL BELI</v>
      </c>
      <c r="H3209" s="42">
        <f t="shared" si="1"/>
        <v>1490</v>
      </c>
    </row>
    <row r="3210" ht="22.5" customHeight="1">
      <c r="B3210" s="42" t="str">
        <f>IFERROR(__xludf.DUMMYFUNCTION("""COMPUTED_VALUE"""),"K/11/210325/1")</f>
        <v>K/11/210325/1</v>
      </c>
      <c r="C3210" s="42" t="str">
        <f>IFERROR(__xludf.DUMMYFUNCTION("""COMPUTED_VALUE"""),"M. 2625/ Pinang Jaya")</f>
        <v>M. 2625/ Pinang Jaya</v>
      </c>
      <c r="D3210" s="42"/>
      <c r="E3210" s="42"/>
      <c r="F3210" s="48" t="str">
        <f>IFERROR(__xludf.DUMMYFUNCTION("""COMPUTED_VALUE"""),"")</f>
        <v/>
      </c>
      <c r="G3210" s="42" t="str">
        <f>IFERROR(__xludf.DUMMYFUNCTION("""COMPUTED_VALUE"""),"BN Jual Beli")</f>
        <v>BN Jual Beli</v>
      </c>
      <c r="H3210" s="42">
        <f t="shared" si="1"/>
        <v>1490</v>
      </c>
    </row>
    <row r="3211" ht="22.5" customHeight="1">
      <c r="B3211" s="42" t="str">
        <f>IFERROR(__xludf.DUMMYFUNCTION("""COMPUTED_VALUE"""),"L/13/210325/1")</f>
        <v>L/13/210325/1</v>
      </c>
      <c r="C3211" s="42" t="str">
        <f>IFERROR(__xludf.DUMMYFUNCTION("""COMPUTED_VALUE"""),"HGB 264/PANJANG UTARA")</f>
        <v>HGB 264/PANJANG UTARA</v>
      </c>
      <c r="D3211" s="42"/>
      <c r="E3211" s="42"/>
      <c r="F3211" s="48" t="str">
        <f>IFERROR(__xludf.DUMMYFUNCTION("""COMPUTED_VALUE"""),"")</f>
        <v/>
      </c>
      <c r="G3211" s="42" t="str">
        <f>IFERROR(__xludf.DUMMYFUNCTION("""COMPUTED_VALUE"""),"PH")</f>
        <v>PH</v>
      </c>
      <c r="H3211" s="42">
        <f t="shared" si="1"/>
        <v>1490</v>
      </c>
    </row>
    <row r="3212" ht="22.5" customHeight="1">
      <c r="B3212" s="42" t="str">
        <f>IFERROR(__xludf.DUMMYFUNCTION("""COMPUTED_VALUE"""),"K/14/210325/1")</f>
        <v>K/14/210325/1</v>
      </c>
      <c r="C3212" s="42" t="str">
        <f>IFERROR(__xludf.DUMMYFUNCTION("""COMPUTED_VALUE"""),"M. 1420/ Gunung Terang")</f>
        <v>M. 1420/ Gunung Terang</v>
      </c>
      <c r="D3212" s="42"/>
      <c r="E3212" s="42"/>
      <c r="F3212" s="48" t="str">
        <f>IFERROR(__xludf.DUMMYFUNCTION("""COMPUTED_VALUE"""),"")</f>
        <v/>
      </c>
      <c r="G3212" s="42" t="str">
        <f>IFERROR(__xludf.DUMMYFUNCTION("""COMPUTED_VALUE"""),"BN Waris")</f>
        <v>BN Waris</v>
      </c>
      <c r="H3212" s="42">
        <f t="shared" si="1"/>
        <v>1490</v>
      </c>
    </row>
    <row r="3213" ht="22.5" customHeight="1">
      <c r="B3213" s="42" t="str">
        <f>IFERROR(__xludf.DUMMYFUNCTION("""COMPUTED_VALUE"""),"K/15/210325/1")</f>
        <v>K/15/210325/1</v>
      </c>
      <c r="C3213" s="42" t="str">
        <f>IFERROR(__xludf.DUMMYFUNCTION("""COMPUTED_VALUE"""),"Nibel. M. 8369/ Pengajaran")</f>
        <v>Nibel. M. 8369/ Pengajaran</v>
      </c>
      <c r="D3213" s="42"/>
      <c r="E3213" s="42"/>
      <c r="F3213" s="48" t="str">
        <f>IFERROR(__xludf.DUMMYFUNCTION("""COMPUTED_VALUE"""),"")</f>
        <v/>
      </c>
      <c r="G3213" s="42" t="str">
        <f>IFERROR(__xludf.DUMMYFUNCTION("""COMPUTED_VALUE"""),"BN Jual Beli")</f>
        <v>BN Jual Beli</v>
      </c>
      <c r="H3213" s="42">
        <f t="shared" si="1"/>
        <v>1490</v>
      </c>
    </row>
    <row r="3214" ht="22.5" customHeight="1">
      <c r="B3214" s="42" t="str">
        <f>IFERROR(__xludf.DUMMYFUNCTION("""COMPUTED_VALUE"""),"K/17/210325/2")</f>
        <v>K/17/210325/2</v>
      </c>
      <c r="C3214" s="42" t="str">
        <f>IFERROR(__xludf.DUMMYFUNCTION("""COMPUTED_VALUE"""),"Nibel. M. 16294/ Sukajawa")</f>
        <v>Nibel. M. 16294/ Sukajawa</v>
      </c>
      <c r="D3214" s="42"/>
      <c r="E3214" s="42"/>
      <c r="F3214" s="48" t="str">
        <f>IFERROR(__xludf.DUMMYFUNCTION("""COMPUTED_VALUE"""),"")</f>
        <v/>
      </c>
      <c r="G3214" s="42" t="str">
        <f>IFERROR(__xludf.DUMMYFUNCTION("""COMPUTED_VALUE"""),"BN Jual Beli")</f>
        <v>BN Jual Beli</v>
      </c>
      <c r="H3214" s="42">
        <f t="shared" si="1"/>
        <v>1490</v>
      </c>
    </row>
    <row r="3215" ht="22.5" customHeight="1">
      <c r="B3215" s="42" t="str">
        <f>IFERROR(__xludf.DUMMYFUNCTION("""COMPUTED_VALUE"""),"K/18/210325/3")</f>
        <v>K/18/210325/3</v>
      </c>
      <c r="C3215" s="42" t="str">
        <f>IFERROR(__xludf.DUMMYFUNCTION("""COMPUTED_VALUE"""),"M.  936/ Penengahan")</f>
        <v>M.  936/ Penengahan</v>
      </c>
      <c r="D3215" s="42"/>
      <c r="E3215" s="42" t="str">
        <f>IFERROR(__xludf.DUMMYFUNCTION("""COMPUTED_VALUE"""),"DISERAHKAN")</f>
        <v>DISERAHKAN</v>
      </c>
      <c r="F3215" s="48">
        <f>IFERROR(__xludf.DUMMYFUNCTION("""COMPUTED_VALUE"""),45761.441905555555)</f>
        <v>45761.44191</v>
      </c>
      <c r="G3215" s="42" t="str">
        <f>IFERROR(__xludf.DUMMYFUNCTION("""COMPUTED_VALUE"""),"BN Jual Beli")</f>
        <v>BN Jual Beli</v>
      </c>
      <c r="H3215" s="42">
        <f t="shared" si="1"/>
        <v>1491</v>
      </c>
    </row>
    <row r="3216" ht="22.5" customHeight="1">
      <c r="B3216" s="42" t="str">
        <f>IFERROR(__xludf.DUMMYFUNCTION("""COMPUTED_VALUE"""),"K/19/210325/1")</f>
        <v>K/19/210325/1</v>
      </c>
      <c r="C3216" s="42" t="str">
        <f>IFERROR(__xludf.DUMMYFUNCTION("""COMPUTED_VALUE"""),"M. 16758/ Sukabumi")</f>
        <v>M. 16758/ Sukabumi</v>
      </c>
      <c r="D3216" s="42"/>
      <c r="E3216" s="42"/>
      <c r="F3216" s="48" t="str">
        <f>IFERROR(__xludf.DUMMYFUNCTION("""COMPUTED_VALUE"""),"")</f>
        <v/>
      </c>
      <c r="G3216" s="42" t="str">
        <f>IFERROR(__xludf.DUMMYFUNCTION("""COMPUTED_VALUE"""),"BN JUAL BELI")</f>
        <v>BN JUAL BELI</v>
      </c>
      <c r="H3216" s="42">
        <f t="shared" si="1"/>
        <v>1491</v>
      </c>
    </row>
    <row r="3217" ht="22.5" customHeight="1">
      <c r="B3217" s="42" t="str">
        <f>IFERROR(__xludf.DUMMYFUNCTION("""COMPUTED_VALUE"""),"K/25/210325/1")</f>
        <v>K/25/210325/1</v>
      </c>
      <c r="C3217" s="42" t="str">
        <f>IFERROR(__xludf.DUMMYFUNCTION("""COMPUTED_VALUE"""),"M. 9797/ Jagabaya II")</f>
        <v>M. 9797/ Jagabaya II</v>
      </c>
      <c r="D3217" s="42"/>
      <c r="E3217" s="42" t="str">
        <f>IFERROR(__xludf.DUMMYFUNCTION("""COMPUTED_VALUE"""),"DISERAHKAN")</f>
        <v>DISERAHKAN</v>
      </c>
      <c r="F3217" s="48">
        <f>IFERROR(__xludf.DUMMYFUNCTION("""COMPUTED_VALUE"""),45758.479999247684)</f>
        <v>45758.48</v>
      </c>
      <c r="G3217" s="42" t="str">
        <f>IFERROR(__xludf.DUMMYFUNCTION("""COMPUTED_VALUE"""),"BN WARIS")</f>
        <v>BN WARIS</v>
      </c>
      <c r="H3217" s="42">
        <f t="shared" si="1"/>
        <v>1492</v>
      </c>
    </row>
    <row r="3218" ht="22.5" customHeight="1">
      <c r="B3218" s="42" t="str">
        <f>IFERROR(__xludf.DUMMYFUNCTION("""COMPUTED_VALUE"""),"K/20/210325/1")</f>
        <v>K/20/210325/1</v>
      </c>
      <c r="C3218" s="42" t="str">
        <f>IFERROR(__xludf.DUMMYFUNCTION("""COMPUTED_VALUE"""),"M. 2280/ Sepang Jaya")</f>
        <v>M. 2280/ Sepang Jaya</v>
      </c>
      <c r="D3218" s="42"/>
      <c r="E3218" s="42" t="str">
        <f>IFERROR(__xludf.DUMMYFUNCTION("""COMPUTED_VALUE"""),"DISERAHKAN")</f>
        <v>DISERAHKAN</v>
      </c>
      <c r="F3218" s="48">
        <f>IFERROR(__xludf.DUMMYFUNCTION("""COMPUTED_VALUE"""),45769.42674791667)</f>
        <v>45769.42675</v>
      </c>
      <c r="G3218" s="42" t="str">
        <f>IFERROR(__xludf.DUMMYFUNCTION("""COMPUTED_VALUE"""),"Bn Jual Beli")</f>
        <v>Bn Jual Beli</v>
      </c>
      <c r="H3218" s="42">
        <f t="shared" si="1"/>
        <v>1493</v>
      </c>
    </row>
    <row r="3219" ht="22.5" customHeight="1">
      <c r="B3219" s="42" t="str">
        <f>IFERROR(__xludf.DUMMYFUNCTION("""COMPUTED_VALUE"""),"K/21/210325/2")</f>
        <v>K/21/210325/2</v>
      </c>
      <c r="C3219" s="42" t="str">
        <f>IFERROR(__xludf.DUMMYFUNCTION("""COMPUTED_VALUE"""),"Nibel. M. 3107/ Gunuing Terang")</f>
        <v>Nibel. M. 3107/ Gunuing Terang</v>
      </c>
      <c r="D3219" s="42"/>
      <c r="E3219" s="42"/>
      <c r="F3219" s="48" t="str">
        <f>IFERROR(__xludf.DUMMYFUNCTION("""COMPUTED_VALUE"""),"")</f>
        <v/>
      </c>
      <c r="G3219" s="42" t="str">
        <f>IFERROR(__xludf.DUMMYFUNCTION("""COMPUTED_VALUE"""),"BN Hibah")</f>
        <v>BN Hibah</v>
      </c>
      <c r="H3219" s="42">
        <f t="shared" si="1"/>
        <v>1493</v>
      </c>
    </row>
    <row r="3220" ht="22.5" customHeight="1">
      <c r="B3220" s="42" t="str">
        <f>IFERROR(__xludf.DUMMYFUNCTION("""COMPUTED_VALUE"""),"K/22/210325/3")</f>
        <v>K/22/210325/3</v>
      </c>
      <c r="C3220" s="42" t="str">
        <f>IFERROR(__xludf.DUMMYFUNCTION("""COMPUTED_VALUE"""),"M. 6712/ Tanjung Senang")</f>
        <v>M. 6712/ Tanjung Senang</v>
      </c>
      <c r="D3220" s="42"/>
      <c r="E3220" s="42"/>
      <c r="F3220" s="48" t="str">
        <f>IFERROR(__xludf.DUMMYFUNCTION("""COMPUTED_VALUE"""),"")</f>
        <v/>
      </c>
      <c r="G3220" s="42" t="str">
        <f>IFERROR(__xludf.DUMMYFUNCTION("""COMPUTED_VALUE"""),"BN jual beli")</f>
        <v>BN jual beli</v>
      </c>
      <c r="H3220" s="42">
        <f t="shared" si="1"/>
        <v>1493</v>
      </c>
    </row>
    <row r="3221" ht="22.5" customHeight="1">
      <c r="B3221" s="42" t="str">
        <f>IFERROR(__xludf.DUMMYFUNCTION("""COMPUTED_VALUE"""),"K/26/210325/1")</f>
        <v>K/26/210325/1</v>
      </c>
      <c r="C3221" s="42" t="str">
        <f>IFERROR(__xludf.DUMMYFUNCTION("""COMPUTED_VALUE"""),"B.627/SUMBER AGUNG")</f>
        <v>B.627/SUMBER AGUNG</v>
      </c>
      <c r="D3221" s="42"/>
      <c r="E3221" s="42" t="str">
        <f>IFERROR(__xludf.DUMMYFUNCTION("""COMPUTED_VALUE"""),"DISERAHKAN")</f>
        <v>DISERAHKAN</v>
      </c>
      <c r="F3221" s="48">
        <f>IFERROR(__xludf.DUMMYFUNCTION("""COMPUTED_VALUE"""),45761.4395012037)</f>
        <v>45761.4395</v>
      </c>
      <c r="G3221" s="42" t="str">
        <f>IFERROR(__xludf.DUMMYFUNCTION("""COMPUTED_VALUE"""),"JUAL BELI")</f>
        <v>JUAL BELI</v>
      </c>
      <c r="H3221" s="42">
        <f t="shared" si="1"/>
        <v>1494</v>
      </c>
    </row>
    <row r="3222" ht="22.5" customHeight="1">
      <c r="B3222" s="42" t="str">
        <f>IFERROR(__xludf.DUMMYFUNCTION("""COMPUTED_VALUE"""),"K/27/210325/1")</f>
        <v>K/27/210325/1</v>
      </c>
      <c r="C3222" s="42" t="str">
        <f>IFERROR(__xludf.DUMMYFUNCTION("""COMPUTED_VALUE"""),"M. 1457/ Gotong Royong")</f>
        <v>M. 1457/ Gotong Royong</v>
      </c>
      <c r="D3222" s="42"/>
      <c r="E3222" s="42"/>
      <c r="F3222" s="48" t="str">
        <f>IFERROR(__xludf.DUMMYFUNCTION("""COMPUTED_VALUE"""),"")</f>
        <v/>
      </c>
      <c r="G3222" s="42" t="str">
        <f>IFERROR(__xludf.DUMMYFUNCTION("""COMPUTED_VALUE"""),"BN HIBAH")</f>
        <v>BN HIBAH</v>
      </c>
      <c r="H3222" s="42">
        <f t="shared" si="1"/>
        <v>1494</v>
      </c>
    </row>
    <row r="3223" ht="22.5" customHeight="1">
      <c r="B3223" s="42" t="str">
        <f>IFERROR(__xludf.DUMMYFUNCTION("""COMPUTED_VALUE"""),"K/23/210325/4")</f>
        <v>K/23/210325/4</v>
      </c>
      <c r="C3223" s="42" t="str">
        <f>IFERROR(__xludf.DUMMYFUNCTION("""COMPUTED_VALUE"""),"Nibel. M. 372/ Gunung Sulah")</f>
        <v>Nibel. M. 372/ Gunung Sulah</v>
      </c>
      <c r="D3223" s="42"/>
      <c r="E3223" s="42"/>
      <c r="F3223" s="48" t="str">
        <f>IFERROR(__xludf.DUMMYFUNCTION("""COMPUTED_VALUE"""),"")</f>
        <v/>
      </c>
      <c r="G3223" s="42" t="str">
        <f>IFERROR(__xludf.DUMMYFUNCTION("""COMPUTED_VALUE"""),"BN jual beli")</f>
        <v>BN jual beli</v>
      </c>
      <c r="H3223" s="42">
        <f t="shared" si="1"/>
        <v>1494</v>
      </c>
    </row>
    <row r="3224" ht="22.5" customHeight="1">
      <c r="B3224" s="42" t="str">
        <f>IFERROR(__xludf.DUMMYFUNCTION("""COMPUTED_VALUE"""),"K/16/210325/1")</f>
        <v>K/16/210325/1</v>
      </c>
      <c r="C3224" s="42" t="str">
        <f>IFERROR(__xludf.DUMMYFUNCTION("""COMPUTED_VALUE"""),"NIBEL M.18894/PERWATA")</f>
        <v>NIBEL M.18894/PERWATA</v>
      </c>
      <c r="D3224" s="42"/>
      <c r="E3224" s="42"/>
      <c r="F3224" s="48" t="str">
        <f>IFERROR(__xludf.DUMMYFUNCTION("""COMPUTED_VALUE"""),"")</f>
        <v/>
      </c>
      <c r="G3224" s="42" t="str">
        <f>IFERROR(__xludf.DUMMYFUNCTION("""COMPUTED_VALUE"""),"BN JUAL BELI")</f>
        <v>BN JUAL BELI</v>
      </c>
      <c r="H3224" s="42">
        <f t="shared" si="1"/>
        <v>1494</v>
      </c>
    </row>
    <row r="3225" ht="22.5" customHeight="1">
      <c r="B3225" s="42" t="str">
        <f>IFERROR(__xludf.DUMMYFUNCTION("""COMPUTED_VALUE"""),"K/29/210325/2")</f>
        <v>K/29/210325/2</v>
      </c>
      <c r="C3225" s="42" t="str">
        <f>IFERROR(__xludf.DUMMYFUNCTION("""COMPUTED_VALUE"""),"M.2005/LABUHAN RATU RAYA")</f>
        <v>M.2005/LABUHAN RATU RAYA</v>
      </c>
      <c r="D3225" s="42" t="str">
        <f>IFERROR(__xludf.DUMMYFUNCTION("""COMPUTED_VALUE"""),"Berry")</f>
        <v>Berry</v>
      </c>
      <c r="E3225" s="42" t="str">
        <f>IFERROR(__xludf.DUMMYFUNCTION("""COMPUTED_VALUE"""),"DISERAHKAN")</f>
        <v>DISERAHKAN</v>
      </c>
      <c r="F3225" s="48">
        <f>IFERROR(__xludf.DUMMYFUNCTION("""COMPUTED_VALUE"""),45803.44065240741)</f>
        <v>45803.44065</v>
      </c>
      <c r="G3225" s="42" t="str">
        <f>IFERROR(__xludf.DUMMYFUNCTION("""COMPUTED_VALUE"""),"BN JUAL BELI")</f>
        <v>BN JUAL BELI</v>
      </c>
      <c r="H3225" s="42">
        <f t="shared" si="1"/>
        <v>1495</v>
      </c>
    </row>
    <row r="3226" ht="22.5" customHeight="1">
      <c r="B3226" s="42" t="str">
        <f>IFERROR(__xludf.DUMMYFUNCTION("""COMPUTED_VALUE"""),"K/24/210325/5")</f>
        <v>K/24/210325/5</v>
      </c>
      <c r="C3226" s="42" t="str">
        <f>IFERROR(__xludf.DUMMYFUNCTION("""COMPUTED_VALUE"""),"M. 2334/ Sepang Jaya")</f>
        <v>M. 2334/ Sepang Jaya</v>
      </c>
      <c r="D3226" s="42"/>
      <c r="E3226" s="42" t="str">
        <f>IFERROR(__xludf.DUMMYFUNCTION("""COMPUTED_VALUE"""),"DISERAHKAN")</f>
        <v>DISERAHKAN</v>
      </c>
      <c r="F3226" s="48">
        <f>IFERROR(__xludf.DUMMYFUNCTION("""COMPUTED_VALUE"""),45771.63180398148)</f>
        <v>45771.6318</v>
      </c>
      <c r="G3226" s="42" t="str">
        <f>IFERROR(__xludf.DUMMYFUNCTION("""COMPUTED_VALUE"""),"BN Jual Beli")</f>
        <v>BN Jual Beli</v>
      </c>
      <c r="H3226" s="42">
        <f t="shared" si="1"/>
        <v>1496</v>
      </c>
    </row>
    <row r="3227" ht="22.5" customHeight="1">
      <c r="B3227" s="42" t="str">
        <f>IFERROR(__xludf.DUMMYFUNCTION("""COMPUTED_VALUE"""),"K/28/210325/1")</f>
        <v>K/28/210325/1</v>
      </c>
      <c r="C3227" s="42" t="str">
        <f>IFERROR(__xludf.DUMMYFUNCTION("""COMPUTED_VALUE"""),"NIBEL M.18309/WAY KANDIS")</f>
        <v>NIBEL M.18309/WAY KANDIS</v>
      </c>
      <c r="D3227" s="42"/>
      <c r="E3227" s="42"/>
      <c r="F3227" s="48" t="str">
        <f>IFERROR(__xludf.DUMMYFUNCTION("""COMPUTED_VALUE"""),"")</f>
        <v/>
      </c>
      <c r="G3227" s="42" t="str">
        <f>IFERROR(__xludf.DUMMYFUNCTION("""COMPUTED_VALUE"""),"BN APHB")</f>
        <v>BN APHB</v>
      </c>
      <c r="H3227" s="42">
        <f t="shared" si="1"/>
        <v>1496</v>
      </c>
    </row>
    <row r="3228" ht="22.5" customHeight="1">
      <c r="B3228" s="42" t="str">
        <f>IFERROR(__xludf.DUMMYFUNCTION("""COMPUTED_VALUE"""),"K/30/210325/1")</f>
        <v>K/30/210325/1</v>
      </c>
      <c r="C3228" s="42" t="str">
        <f>IFERROR(__xludf.DUMMYFUNCTION("""COMPUTED_VALUE"""),"M. 6004/ Tanjung Senang")</f>
        <v>M. 6004/ Tanjung Senang</v>
      </c>
      <c r="D3228" s="42"/>
      <c r="E3228" s="42"/>
      <c r="F3228" s="48" t="str">
        <f>IFERROR(__xludf.DUMMYFUNCTION("""COMPUTED_VALUE"""),"")</f>
        <v/>
      </c>
      <c r="G3228" s="42" t="str">
        <f>IFERROR(__xludf.DUMMYFUNCTION("""COMPUTED_VALUE"""),"HAPUS BPHTB")</f>
        <v>HAPUS BPHTB</v>
      </c>
      <c r="H3228" s="42">
        <f t="shared" si="1"/>
        <v>1496</v>
      </c>
    </row>
    <row r="3229" ht="22.5" customHeight="1">
      <c r="B3229" s="42" t="str">
        <f>IFERROR(__xludf.DUMMYFUNCTION("""COMPUTED_VALUE"""),"K/31/210325/1")</f>
        <v>K/31/210325/1</v>
      </c>
      <c r="C3229" s="42" t="str">
        <f>IFERROR(__xludf.DUMMYFUNCTION("""COMPUTED_VALUE"""),"M.1559/KUPANG KOTA")</f>
        <v>M.1559/KUPANG KOTA</v>
      </c>
      <c r="D3229" s="42"/>
      <c r="E3229" s="42" t="str">
        <f>IFERROR(__xludf.DUMMYFUNCTION("""COMPUTED_VALUE"""),"DISERAHKAN")</f>
        <v>DISERAHKAN</v>
      </c>
      <c r="F3229" s="48">
        <f>IFERROR(__xludf.DUMMYFUNCTION("""COMPUTED_VALUE"""),45771.63374082176)</f>
        <v>45771.63374</v>
      </c>
      <c r="G3229" s="42" t="str">
        <f>IFERROR(__xludf.DUMMYFUNCTION("""COMPUTED_VALUE"""),"HIBAH")</f>
        <v>HIBAH</v>
      </c>
      <c r="H3229" s="42">
        <f t="shared" si="1"/>
        <v>1497</v>
      </c>
    </row>
    <row r="3230" ht="22.5" customHeight="1">
      <c r="B3230" s="42" t="str">
        <f>IFERROR(__xludf.DUMMYFUNCTION("""COMPUTED_VALUE"""),"K/33/210325/2")</f>
        <v>K/33/210325/2</v>
      </c>
      <c r="C3230" s="42" t="str">
        <f>IFERROR(__xludf.DUMMYFUNCTION("""COMPUTED_VALUE"""),"M.6489/WAY KANDIS")</f>
        <v>M.6489/WAY KANDIS</v>
      </c>
      <c r="D3230" s="42"/>
      <c r="E3230" s="42"/>
      <c r="F3230" s="48" t="str">
        <f>IFERROR(__xludf.DUMMYFUNCTION("""COMPUTED_VALUE"""),"")</f>
        <v/>
      </c>
      <c r="G3230" s="42" t="str">
        <f>IFERROR(__xludf.DUMMYFUNCTION("""COMPUTED_VALUE"""),"JUAL BELI")</f>
        <v>JUAL BELI</v>
      </c>
      <c r="H3230" s="42">
        <f t="shared" si="1"/>
        <v>1497</v>
      </c>
    </row>
    <row r="3231" ht="22.5" customHeight="1">
      <c r="B3231" s="42" t="str">
        <f>IFERROR(__xludf.DUMMYFUNCTION("""COMPUTED_VALUE"""),"L/34/210325/1")</f>
        <v>L/34/210325/1</v>
      </c>
      <c r="C3231" s="42" t="str">
        <f>IFERROR(__xludf.DUMMYFUNCTION("""COMPUTED_VALUE"""),"HM 1373/GUNUNG SULAH")</f>
        <v>HM 1373/GUNUNG SULAH</v>
      </c>
      <c r="D3231" s="42"/>
      <c r="E3231" s="42"/>
      <c r="F3231" s="48" t="str">
        <f>IFERROR(__xludf.DUMMYFUNCTION("""COMPUTED_VALUE"""),"")</f>
        <v/>
      </c>
      <c r="G3231" s="42" t="str">
        <f>IFERROR(__xludf.DUMMYFUNCTION("""COMPUTED_VALUE"""),"BN WARIS")</f>
        <v>BN WARIS</v>
      </c>
      <c r="H3231" s="42">
        <f t="shared" si="1"/>
        <v>1497</v>
      </c>
    </row>
    <row r="3232" ht="22.5" customHeight="1">
      <c r="B3232" s="42" t="str">
        <f>IFERROR(__xludf.DUMMYFUNCTION("""COMPUTED_VALUE"""),"K/35/210325/1")</f>
        <v>K/35/210325/1</v>
      </c>
      <c r="C3232" s="42" t="str">
        <f>IFERROR(__xludf.DUMMYFUNCTION("""COMPUTED_VALUE"""),"M.1138/PEMATANG WANGI")</f>
        <v>M.1138/PEMATANG WANGI</v>
      </c>
      <c r="D3232" s="42"/>
      <c r="E3232" s="42" t="str">
        <f>IFERROR(__xludf.DUMMYFUNCTION("""COMPUTED_VALUE"""),"DISERAHKAN")</f>
        <v>DISERAHKAN</v>
      </c>
      <c r="F3232" s="48">
        <f>IFERROR(__xludf.DUMMYFUNCTION("""COMPUTED_VALUE"""),45775.60466960648)</f>
        <v>45775.60467</v>
      </c>
      <c r="G3232" s="42" t="str">
        <f>IFERROR(__xludf.DUMMYFUNCTION("""COMPUTED_VALUE"""),"JUAL BELI")</f>
        <v>JUAL BELI</v>
      </c>
      <c r="H3232" s="42">
        <f t="shared" si="1"/>
        <v>1498</v>
      </c>
    </row>
    <row r="3233" ht="22.5" customHeight="1">
      <c r="B3233" s="42" t="str">
        <f>IFERROR(__xludf.DUMMYFUNCTION("""COMPUTED_VALUE"""),"K/36/210325/4")</f>
        <v>K/36/210325/4</v>
      </c>
      <c r="C3233" s="42" t="str">
        <f>IFERROR(__xludf.DUMMYFUNCTION("""COMPUTED_VALUE"""),"M.1731/SEPANG JAYA")</f>
        <v>M.1731/SEPANG JAYA</v>
      </c>
      <c r="D3233" s="42"/>
      <c r="E3233" s="42" t="str">
        <f>IFERROR(__xludf.DUMMYFUNCTION("""COMPUTED_VALUE"""),"DISERAHKAN")</f>
        <v>DISERAHKAN</v>
      </c>
      <c r="F3233" s="48">
        <f>IFERROR(__xludf.DUMMYFUNCTION("""COMPUTED_VALUE"""),45775.605528113425)</f>
        <v>45775.60553</v>
      </c>
      <c r="G3233" s="42" t="str">
        <f>IFERROR(__xludf.DUMMYFUNCTION("""COMPUTED_VALUE"""),"HIBAH")</f>
        <v>HIBAH</v>
      </c>
      <c r="H3233" s="42">
        <f t="shared" si="1"/>
        <v>1499</v>
      </c>
    </row>
    <row r="3234" ht="22.5" customHeight="1">
      <c r="B3234" s="42" t="str">
        <f>IFERROR(__xludf.DUMMYFUNCTION("""COMPUTED_VALUE"""),"K/37/210325/1")</f>
        <v>K/37/210325/1</v>
      </c>
      <c r="C3234" s="42" t="str">
        <f>IFERROR(__xludf.DUMMYFUNCTION("""COMPUTED_VALUE"""),"M. 526/ Gunung Mas")</f>
        <v>M. 526/ Gunung Mas</v>
      </c>
      <c r="D3234" s="42"/>
      <c r="E3234" s="42" t="str">
        <f>IFERROR(__xludf.DUMMYFUNCTION("""COMPUTED_VALUE"""),"DISERAHKAN")</f>
        <v>DISERAHKAN</v>
      </c>
      <c r="F3234" s="48">
        <f>IFERROR(__xludf.DUMMYFUNCTION("""COMPUTED_VALUE"""),45771.63420615741)</f>
        <v>45771.63421</v>
      </c>
      <c r="G3234" s="42" t="str">
        <f>IFERROR(__xludf.DUMMYFUNCTION("""COMPUTED_VALUE"""),"BN WARIS")</f>
        <v>BN WARIS</v>
      </c>
      <c r="H3234" s="42">
        <f t="shared" si="1"/>
        <v>1500</v>
      </c>
    </row>
    <row r="3235" ht="22.5" customHeight="1">
      <c r="B3235" s="42" t="str">
        <f>IFERROR(__xludf.DUMMYFUNCTION("""COMPUTED_VALUE"""),"L/38/210325/1")</f>
        <v>L/38/210325/1</v>
      </c>
      <c r="C3235" s="42" t="str">
        <f>IFERROR(__xludf.DUMMYFUNCTION("""COMPUTED_VALUE"""),"PENGAJARAN")</f>
        <v>PENGAJARAN</v>
      </c>
      <c r="D3235" s="42"/>
      <c r="E3235" s="42"/>
      <c r="F3235" s="48" t="str">
        <f>IFERROR(__xludf.DUMMYFUNCTION("""COMPUTED_VALUE"""),"")</f>
        <v/>
      </c>
      <c r="G3235" s="42" t="str">
        <f>IFERROR(__xludf.DUMMYFUNCTION("""COMPUTED_VALUE"""),"PERMOHONAN SK")</f>
        <v>PERMOHONAN SK</v>
      </c>
      <c r="H3235" s="42">
        <f t="shared" si="1"/>
        <v>1500</v>
      </c>
    </row>
    <row r="3236" ht="22.5" customHeight="1">
      <c r="B3236" s="42" t="str">
        <f>IFERROR(__xludf.DUMMYFUNCTION("""COMPUTED_VALUE"""),"L/1/240325/1")</f>
        <v>L/1/240325/1</v>
      </c>
      <c r="C3236" s="42" t="str">
        <f>IFERROR(__xludf.DUMMYFUNCTION("""COMPUTED_VALUE"""),"NIB 2290/LANGKPURA BARU")</f>
        <v>NIB 2290/LANGKPURA BARU</v>
      </c>
      <c r="D3236" s="42"/>
      <c r="E3236" s="42"/>
      <c r="F3236" s="48" t="str">
        <f>IFERROR(__xludf.DUMMYFUNCTION("""COMPUTED_VALUE"""),"")</f>
        <v/>
      </c>
      <c r="G3236" s="42" t="str">
        <f>IFERROR(__xludf.DUMMYFUNCTION("""COMPUTED_VALUE"""),"PTPGT")</f>
        <v>PTPGT</v>
      </c>
      <c r="H3236" s="42">
        <f t="shared" si="1"/>
        <v>1500</v>
      </c>
    </row>
    <row r="3237" ht="22.5" customHeight="1">
      <c r="B3237" s="42" t="str">
        <f>IFERROR(__xludf.DUMMYFUNCTION("""COMPUTED_VALUE"""),"L/2/240325/1")</f>
        <v>L/2/240325/1</v>
      </c>
      <c r="C3237" s="42" t="str">
        <f>IFERROR(__xludf.DUMMYFUNCTION("""COMPUTED_VALUE"""),"HM 17873/SUKARAME I")</f>
        <v>HM 17873/SUKARAME I</v>
      </c>
      <c r="D3237" s="42" t="str">
        <f>IFERROR(__xludf.DUMMYFUNCTION("""COMPUTED_VALUE"""),"Berry")</f>
        <v>Berry</v>
      </c>
      <c r="E3237" s="42" t="str">
        <f>IFERROR(__xludf.DUMMYFUNCTION("""COMPUTED_VALUE"""),"DISERAHKAN")</f>
        <v>DISERAHKAN</v>
      </c>
      <c r="F3237" s="48">
        <f>IFERROR(__xludf.DUMMYFUNCTION("""COMPUTED_VALUE"""),45799.51964677083)</f>
        <v>45799.51965</v>
      </c>
      <c r="G3237" s="42" t="str">
        <f>IFERROR(__xludf.DUMMYFUNCTION("""COMPUTED_VALUE"""),"ROYA")</f>
        <v>ROYA</v>
      </c>
      <c r="H3237" s="42">
        <f t="shared" si="1"/>
        <v>1501</v>
      </c>
    </row>
    <row r="3238" ht="22.5" customHeight="1">
      <c r="B3238" s="42" t="str">
        <f>IFERROR(__xludf.DUMMYFUNCTION("""COMPUTED_VALUE"""),"K/3/240325/1")</f>
        <v>K/3/240325/1</v>
      </c>
      <c r="C3238" s="42" t="str">
        <f>IFERROR(__xludf.DUMMYFUNCTION("""COMPUTED_VALUE"""),"M. 549/ Pidada")</f>
        <v>M. 549/ Pidada</v>
      </c>
      <c r="D3238" s="42"/>
      <c r="E3238" s="42"/>
      <c r="F3238" s="48" t="str">
        <f>IFERROR(__xludf.DUMMYFUNCTION("""COMPUTED_VALUE"""),"")</f>
        <v/>
      </c>
      <c r="G3238" s="42" t="str">
        <f>IFERROR(__xludf.DUMMYFUNCTION("""COMPUTED_VALUE"""),"Hapus BPHTB")</f>
        <v>Hapus BPHTB</v>
      </c>
      <c r="H3238" s="42">
        <f t="shared" si="1"/>
        <v>1501</v>
      </c>
    </row>
    <row r="3239" ht="22.5" customHeight="1">
      <c r="B3239" s="42" t="str">
        <f>IFERROR(__xludf.DUMMYFUNCTION("""COMPUTED_VALUE"""),"K/4/240325/2")</f>
        <v>K/4/240325/2</v>
      </c>
      <c r="C3239" s="42" t="str">
        <f>IFERROR(__xludf.DUMMYFUNCTION("""COMPUTED_VALUE"""),"M. 550/ Pidada")</f>
        <v>M. 550/ Pidada</v>
      </c>
      <c r="D3239" s="42"/>
      <c r="E3239" s="42"/>
      <c r="F3239" s="48" t="str">
        <f>IFERROR(__xludf.DUMMYFUNCTION("""COMPUTED_VALUE"""),"")</f>
        <v/>
      </c>
      <c r="G3239" s="42" t="str">
        <f>IFERROR(__xludf.DUMMYFUNCTION("""COMPUTED_VALUE"""),"Hapus BPHTB")</f>
        <v>Hapus BPHTB</v>
      </c>
      <c r="H3239" s="42">
        <f t="shared" si="1"/>
        <v>1501</v>
      </c>
    </row>
    <row r="3240" ht="22.5" customHeight="1">
      <c r="B3240" s="42" t="str">
        <f>IFERROR(__xludf.DUMMYFUNCTION("""COMPUTED_VALUE"""),"K/5/240325/1")</f>
        <v>K/5/240325/1</v>
      </c>
      <c r="C3240" s="42" t="str">
        <f>IFERROR(__xludf.DUMMYFUNCTION("""COMPUTED_VALUE"""),"M. 14764/ Sukabumi")</f>
        <v>M. 14764/ Sukabumi</v>
      </c>
      <c r="D3240" s="42"/>
      <c r="E3240" s="42"/>
      <c r="F3240" s="48" t="str">
        <f>IFERROR(__xludf.DUMMYFUNCTION("""COMPUTED_VALUE"""),"")</f>
        <v/>
      </c>
      <c r="G3240" s="42" t="str">
        <f>IFERROR(__xludf.DUMMYFUNCTION("""COMPUTED_VALUE"""),"SKPT LELANG")</f>
        <v>SKPT LELANG</v>
      </c>
      <c r="H3240" s="42">
        <f t="shared" si="1"/>
        <v>1501</v>
      </c>
    </row>
    <row r="3241" ht="22.5" customHeight="1">
      <c r="B3241" s="42" t="str">
        <f>IFERROR(__xludf.DUMMYFUNCTION("""COMPUTED_VALUE"""),"K/6/240325/2")</f>
        <v>K/6/240325/2</v>
      </c>
      <c r="C3241" s="42" t="str">
        <f>IFERROR(__xludf.DUMMYFUNCTION("""COMPUTED_VALUE"""),"M. 9464/ labuhan Ratu")</f>
        <v>M. 9464/ labuhan Ratu</v>
      </c>
      <c r="D3241" s="42"/>
      <c r="E3241" s="42"/>
      <c r="F3241" s="48" t="str">
        <f>IFERROR(__xludf.DUMMYFUNCTION("""COMPUTED_VALUE"""),"")</f>
        <v/>
      </c>
      <c r="G3241" s="42" t="str">
        <f>IFERROR(__xludf.DUMMYFUNCTION("""COMPUTED_VALUE"""),"SKPT LELANG")</f>
        <v>SKPT LELANG</v>
      </c>
      <c r="H3241" s="42">
        <f t="shared" si="1"/>
        <v>1501</v>
      </c>
    </row>
    <row r="3242" ht="22.5" customHeight="1">
      <c r="B3242" s="42" t="str">
        <f>IFERROR(__xludf.DUMMYFUNCTION("""COMPUTED_VALUE"""),"K/7/240325/3")</f>
        <v>K/7/240325/3</v>
      </c>
      <c r="C3242" s="42" t="str">
        <f>IFERROR(__xludf.DUMMYFUNCTION("""COMPUTED_VALUE"""),"M. 410/ Kaliawi Persada")</f>
        <v>M. 410/ Kaliawi Persada</v>
      </c>
      <c r="D3242" s="42"/>
      <c r="E3242" s="42"/>
      <c r="F3242" s="48" t="str">
        <f>IFERROR(__xludf.DUMMYFUNCTION("""COMPUTED_VALUE"""),"")</f>
        <v/>
      </c>
      <c r="G3242" s="42" t="str">
        <f>IFERROR(__xludf.DUMMYFUNCTION("""COMPUTED_VALUE"""),"SKPT LELANG")</f>
        <v>SKPT LELANG</v>
      </c>
      <c r="H3242" s="42">
        <f t="shared" si="1"/>
        <v>1501</v>
      </c>
    </row>
    <row r="3243" ht="22.5" customHeight="1">
      <c r="B3243" s="42" t="str">
        <f>IFERROR(__xludf.DUMMYFUNCTION("""COMPUTED_VALUE"""),"K/8/240325/1")</f>
        <v>K/8/240325/1</v>
      </c>
      <c r="C3243" s="42" t="str">
        <f>IFERROR(__xludf.DUMMYFUNCTION("""COMPUTED_VALUE"""),"M. 11305/ Bumi Kedamaian")</f>
        <v>M. 11305/ Bumi Kedamaian</v>
      </c>
      <c r="D3243" s="42"/>
      <c r="E3243" s="42"/>
      <c r="F3243" s="48" t="str">
        <f>IFERROR(__xludf.DUMMYFUNCTION("""COMPUTED_VALUE"""),"")</f>
        <v/>
      </c>
      <c r="G3243" s="42" t="str">
        <f>IFERROR(__xludf.DUMMYFUNCTION("""COMPUTED_VALUE"""),"PTPGT (Pemecahan)")</f>
        <v>PTPGT (Pemecahan)</v>
      </c>
      <c r="H3243" s="42">
        <f t="shared" si="1"/>
        <v>1501</v>
      </c>
    </row>
    <row r="3244" ht="22.5" customHeight="1">
      <c r="B3244" s="42" t="str">
        <f>IFERROR(__xludf.DUMMYFUNCTION("""COMPUTED_VALUE"""),"K/9/240325/3")</f>
        <v>K/9/240325/3</v>
      </c>
      <c r="C3244" s="42" t="str">
        <f>IFERROR(__xludf.DUMMYFUNCTION("""COMPUTED_VALUE"""),"M. 1373/ Way Kandis")</f>
        <v>M. 1373/ Way Kandis</v>
      </c>
      <c r="D3244" s="42"/>
      <c r="E3244" s="42"/>
      <c r="F3244" s="48" t="str">
        <f>IFERROR(__xludf.DUMMYFUNCTION("""COMPUTED_VALUE"""),"")</f>
        <v/>
      </c>
      <c r="G3244" s="42" t="str">
        <f>IFERROR(__xludf.DUMMYFUNCTION("""COMPUTED_VALUE"""),"PTPGT (Pemecahan)")</f>
        <v>PTPGT (Pemecahan)</v>
      </c>
      <c r="H3244" s="42">
        <f t="shared" si="1"/>
        <v>1501</v>
      </c>
    </row>
    <row r="3245" ht="22.5" customHeight="1">
      <c r="B3245" s="42" t="str">
        <f>IFERROR(__xludf.DUMMYFUNCTION("""COMPUTED_VALUE"""),"K/32/210325/1")</f>
        <v>K/32/210325/1</v>
      </c>
      <c r="C3245" s="42" t="str">
        <f>IFERROR(__xludf.DUMMYFUNCTION("""COMPUTED_VALUE"""),"M.1657/BUMI KEDAMAIAN")</f>
        <v>M.1657/BUMI KEDAMAIAN</v>
      </c>
      <c r="D3245" s="42"/>
      <c r="E3245" s="42" t="str">
        <f>IFERROR(__xludf.DUMMYFUNCTION("""COMPUTED_VALUE"""),"DISERAHKAN")</f>
        <v>DISERAHKAN</v>
      </c>
      <c r="F3245" s="48">
        <f>IFERROR(__xludf.DUMMYFUNCTION("""COMPUTED_VALUE"""),45758.48169644676)</f>
        <v>45758.4817</v>
      </c>
      <c r="G3245" s="42" t="str">
        <f>IFERROR(__xludf.DUMMYFUNCTION("""COMPUTED_VALUE"""),"BN JUAL BELI")</f>
        <v>BN JUAL BELI</v>
      </c>
      <c r="H3245" s="42">
        <f t="shared" si="1"/>
        <v>1502</v>
      </c>
    </row>
    <row r="3246" ht="22.5" customHeight="1">
      <c r="B3246" s="42" t="str">
        <f>IFERROR(__xludf.DUMMYFUNCTION("""COMPUTED_VALUE"""),"K/11/240325/1")</f>
        <v>K/11/240325/1</v>
      </c>
      <c r="C3246" s="42" t="str">
        <f>IFERROR(__xludf.DUMMYFUNCTION("""COMPUTED_VALUE"""),"M. 874/SUMBER AGUNG")</f>
        <v>M. 874/SUMBER AGUNG</v>
      </c>
      <c r="D3246" s="42"/>
      <c r="E3246" s="42"/>
      <c r="F3246" s="48" t="str">
        <f>IFERROR(__xludf.DUMMYFUNCTION("""COMPUTED_VALUE"""),"")</f>
        <v/>
      </c>
      <c r="G3246" s="42" t="str">
        <f>IFERROR(__xludf.DUMMYFUNCTION("""COMPUTED_VALUE"""),"BN JUAL BELI")</f>
        <v>BN JUAL BELI</v>
      </c>
      <c r="H3246" s="42">
        <f t="shared" si="1"/>
        <v>1502</v>
      </c>
    </row>
    <row r="3247" ht="22.5" customHeight="1">
      <c r="B3247" s="42" t="str">
        <f>IFERROR(__xludf.DUMMYFUNCTION("""COMPUTED_VALUE"""),"K/10/240325/1")</f>
        <v>K/10/240325/1</v>
      </c>
      <c r="C3247" s="42" t="str">
        <f>IFERROR(__xludf.DUMMYFUNCTION("""COMPUTED_VALUE"""),"NIBEL M.18028/SEGALA MIDER")</f>
        <v>NIBEL M.18028/SEGALA MIDER</v>
      </c>
      <c r="D3247" s="42"/>
      <c r="E3247" s="42"/>
      <c r="F3247" s="48" t="str">
        <f>IFERROR(__xludf.DUMMYFUNCTION("""COMPUTED_VALUE"""),"")</f>
        <v/>
      </c>
      <c r="G3247" s="42" t="str">
        <f>IFERROR(__xludf.DUMMYFUNCTION("""COMPUTED_VALUE"""),"PTPHT")</f>
        <v>PTPHT</v>
      </c>
      <c r="H3247" s="42">
        <f t="shared" si="1"/>
        <v>1502</v>
      </c>
    </row>
    <row r="3248" ht="22.5" customHeight="1">
      <c r="B3248" s="42" t="str">
        <f>IFERROR(__xludf.DUMMYFUNCTION("""COMPUTED_VALUE"""),"K/13/240325/1")</f>
        <v>K/13/240325/1</v>
      </c>
      <c r="C3248" s="42" t="str">
        <f>IFERROR(__xludf.DUMMYFUNCTION("""COMPUTED_VALUE"""),"Nibel 12753/ Pematang Wangi")</f>
        <v>Nibel 12753/ Pematang Wangi</v>
      </c>
      <c r="D3248" s="42"/>
      <c r="E3248" s="42"/>
      <c r="F3248" s="48" t="str">
        <f>IFERROR(__xludf.DUMMYFUNCTION("""COMPUTED_VALUE"""),"")</f>
        <v/>
      </c>
      <c r="G3248" s="42" t="str">
        <f>IFERROR(__xludf.DUMMYFUNCTION("""COMPUTED_VALUE"""),"BN JUAL BELI")</f>
        <v>BN JUAL BELI</v>
      </c>
      <c r="H3248" s="42">
        <f t="shared" si="1"/>
        <v>1502</v>
      </c>
    </row>
    <row r="3249" ht="22.5" customHeight="1">
      <c r="B3249" s="42" t="str">
        <f>IFERROR(__xludf.DUMMYFUNCTION("""COMPUTED_VALUE"""),"K/14/240325/2")</f>
        <v>K/14/240325/2</v>
      </c>
      <c r="C3249" s="42" t="str">
        <f>IFERROR(__xludf.DUMMYFUNCTION("""COMPUTED_VALUE"""),"M. 810/ Tanjung Seneng (2 sht)")</f>
        <v>M. 810/ Tanjung Seneng (2 sht)</v>
      </c>
      <c r="D3249" s="42" t="str">
        <f>IFERROR(__xludf.DUMMYFUNCTION("""COMPUTED_VALUE"""),"David")</f>
        <v>David</v>
      </c>
      <c r="E3249" s="42" t="str">
        <f>IFERROR(__xludf.DUMMYFUNCTION("""COMPUTED_VALUE"""),"DISERAHKAN")</f>
        <v>DISERAHKAN</v>
      </c>
      <c r="F3249" s="48">
        <f>IFERROR(__xludf.DUMMYFUNCTION("""COMPUTED_VALUE"""),45791.44914087963)</f>
        <v>45791.44914</v>
      </c>
      <c r="G3249" s="42" t="str">
        <f>IFERROR(__xludf.DUMMYFUNCTION("""COMPUTED_VALUE"""),"ROYA")</f>
        <v>ROYA</v>
      </c>
      <c r="H3249" s="42">
        <f t="shared" si="1"/>
        <v>1503</v>
      </c>
    </row>
    <row r="3250" ht="22.5" customHeight="1">
      <c r="B3250" s="42" t="str">
        <f>IFERROR(__xludf.DUMMYFUNCTION("""COMPUTED_VALUE"""),"L/15/240325/1")</f>
        <v>L/15/240325/1</v>
      </c>
      <c r="C3250" s="42" t="str">
        <f>IFERROR(__xludf.DUMMYFUNCTION("""COMPUTED_VALUE"""),"NIB 5376/LABUHNA RATU")</f>
        <v>NIB 5376/LABUHNA RATU</v>
      </c>
      <c r="D3250" s="42"/>
      <c r="E3250" s="42"/>
      <c r="F3250" s="48" t="str">
        <f>IFERROR(__xludf.DUMMYFUNCTION("""COMPUTED_VALUE"""),"")</f>
        <v/>
      </c>
      <c r="G3250" s="42" t="str">
        <f>IFERROR(__xludf.DUMMYFUNCTION("""COMPUTED_VALUE"""),"ROYA")</f>
        <v>ROYA</v>
      </c>
      <c r="H3250" s="42">
        <f t="shared" si="1"/>
        <v>1503</v>
      </c>
    </row>
    <row r="3251" ht="22.5" customHeight="1">
      <c r="B3251" s="42" t="str">
        <f>IFERROR(__xludf.DUMMYFUNCTION("""COMPUTED_VALUE"""),"K/12/240325/2")</f>
        <v>K/12/240325/2</v>
      </c>
      <c r="C3251" s="42" t="str">
        <f>IFERROR(__xludf.DUMMYFUNCTION("""COMPUTED_VALUE"""),"B.298/RAJABASA NUNYAI")</f>
        <v>B.298/RAJABASA NUNYAI</v>
      </c>
      <c r="D3251" s="42"/>
      <c r="E3251" s="42" t="str">
        <f>IFERROR(__xludf.DUMMYFUNCTION("""COMPUTED_VALUE"""),"DISERAHKAN")</f>
        <v>DISERAHKAN</v>
      </c>
      <c r="F3251" s="48">
        <f>IFERROR(__xludf.DUMMYFUNCTION("""COMPUTED_VALUE"""),45758.48209950232)</f>
        <v>45758.4821</v>
      </c>
      <c r="G3251" s="42" t="str">
        <f>IFERROR(__xludf.DUMMYFUNCTION("""COMPUTED_VALUE"""),"BN JUAL BELI")</f>
        <v>BN JUAL BELI</v>
      </c>
      <c r="H3251" s="42">
        <f t="shared" si="1"/>
        <v>1504</v>
      </c>
    </row>
    <row r="3252" ht="22.5" customHeight="1">
      <c r="B3252" s="42" t="str">
        <f>IFERROR(__xludf.DUMMYFUNCTION("""COMPUTED_VALUE"""),"K/20/240325/1")</f>
        <v>K/20/240325/1</v>
      </c>
      <c r="C3252" s="42" t="str">
        <f>IFERROR(__xludf.DUMMYFUNCTION("""COMPUTED_VALUE"""),"NIBEL M 16513/PEMATANG WANGI")</f>
        <v>NIBEL M 16513/PEMATANG WANGI</v>
      </c>
      <c r="D3252" s="42"/>
      <c r="E3252" s="42"/>
      <c r="F3252" s="48" t="str">
        <f>IFERROR(__xludf.DUMMYFUNCTION("""COMPUTED_VALUE"""),"")</f>
        <v/>
      </c>
      <c r="G3252" s="42" t="str">
        <f>IFERROR(__xludf.DUMMYFUNCTION("""COMPUTED_VALUE"""),"JUAL BELI")</f>
        <v>JUAL BELI</v>
      </c>
      <c r="H3252" s="42">
        <f t="shared" si="1"/>
        <v>1504</v>
      </c>
    </row>
    <row r="3253" ht="22.5" customHeight="1">
      <c r="B3253" s="42" t="str">
        <f>IFERROR(__xludf.DUMMYFUNCTION("""COMPUTED_VALUE"""),"K/16/240325/1")</f>
        <v>K/16/240325/1</v>
      </c>
      <c r="C3253" s="42" t="str">
        <f>IFERROR(__xludf.DUMMYFUNCTION("""COMPUTED_VALUE"""),"M.584/PALAPA")</f>
        <v>M.584/PALAPA</v>
      </c>
      <c r="D3253" s="42"/>
      <c r="E3253" s="42"/>
      <c r="F3253" s="48" t="str">
        <f>IFERROR(__xludf.DUMMYFUNCTION("""COMPUTED_VALUE"""),"")</f>
        <v/>
      </c>
      <c r="G3253" s="42" t="str">
        <f>IFERROR(__xludf.DUMMYFUNCTION("""COMPUTED_VALUE"""),"BLOKIR")</f>
        <v>BLOKIR</v>
      </c>
      <c r="H3253" s="42">
        <f t="shared" si="1"/>
        <v>1504</v>
      </c>
    </row>
    <row r="3254" ht="22.5" customHeight="1">
      <c r="B3254" s="42" t="str">
        <f>IFERROR(__xludf.DUMMYFUNCTION("""COMPUTED_VALUE"""),"K/17/240325/2")</f>
        <v>K/17/240325/2</v>
      </c>
      <c r="C3254" s="42" t="str">
        <f>IFERROR(__xludf.DUMMYFUNCTION("""COMPUTED_VALUE"""),"M. 583/PALAPA")</f>
        <v>M. 583/PALAPA</v>
      </c>
      <c r="D3254" s="42"/>
      <c r="E3254" s="42"/>
      <c r="F3254" s="48" t="str">
        <f>IFERROR(__xludf.DUMMYFUNCTION("""COMPUTED_VALUE"""),"")</f>
        <v/>
      </c>
      <c r="G3254" s="42" t="str">
        <f>IFERROR(__xludf.DUMMYFUNCTION("""COMPUTED_VALUE"""),"BLOKIR")</f>
        <v>BLOKIR</v>
      </c>
      <c r="H3254" s="42">
        <f t="shared" si="1"/>
        <v>1504</v>
      </c>
    </row>
    <row r="3255" ht="22.5" customHeight="1">
      <c r="B3255" s="42" t="str">
        <f>IFERROR(__xludf.DUMMYFUNCTION("""COMPUTED_VALUE"""),"K/18/240325/3")</f>
        <v>K/18/240325/3</v>
      </c>
      <c r="C3255" s="42" t="str">
        <f>IFERROR(__xludf.DUMMYFUNCTION("""COMPUTED_VALUE"""),"M.2084/DURIAN PAYUNG")</f>
        <v>M.2084/DURIAN PAYUNG</v>
      </c>
      <c r="D3255" s="42"/>
      <c r="E3255" s="42"/>
      <c r="F3255" s="48" t="str">
        <f>IFERROR(__xludf.DUMMYFUNCTION("""COMPUTED_VALUE"""),"")</f>
        <v/>
      </c>
      <c r="G3255" s="42" t="str">
        <f>IFERROR(__xludf.DUMMYFUNCTION("""COMPUTED_VALUE"""),"BLOKIR")</f>
        <v>BLOKIR</v>
      </c>
      <c r="H3255" s="42">
        <f t="shared" si="1"/>
        <v>1504</v>
      </c>
    </row>
    <row r="3256" ht="22.5" customHeight="1">
      <c r="B3256" s="42" t="str">
        <f>IFERROR(__xludf.DUMMYFUNCTION("""COMPUTED_VALUE"""),"K/21/240325/1")</f>
        <v>K/21/240325/1</v>
      </c>
      <c r="C3256" s="42" t="str">
        <f>IFERROR(__xludf.DUMMYFUNCTION("""COMPUTED_VALUE"""),"NIBEL M 381/GUNUNG SULAH")</f>
        <v>NIBEL M 381/GUNUNG SULAH</v>
      </c>
      <c r="D3256" s="42"/>
      <c r="E3256" s="42"/>
      <c r="F3256" s="48" t="str">
        <f>IFERROR(__xludf.DUMMYFUNCTION("""COMPUTED_VALUE"""),"")</f>
        <v/>
      </c>
      <c r="G3256" s="42" t="str">
        <f>IFERROR(__xludf.DUMMYFUNCTION("""COMPUTED_VALUE"""),"JUAL BELI")</f>
        <v>JUAL BELI</v>
      </c>
      <c r="H3256" s="42">
        <f t="shared" si="1"/>
        <v>1504</v>
      </c>
    </row>
    <row r="3257" ht="22.5" customHeight="1">
      <c r="B3257" s="42" t="str">
        <f>IFERROR(__xludf.DUMMYFUNCTION("""COMPUTED_VALUE"""),"K/22/240325/2")</f>
        <v>K/22/240325/2</v>
      </c>
      <c r="C3257" s="42" t="str">
        <f>IFERROR(__xludf.DUMMYFUNCTION("""COMPUTED_VALUE"""),"NIBEL M 382/GUNUNG SULAH")</f>
        <v>NIBEL M 382/GUNUNG SULAH</v>
      </c>
      <c r="D3257" s="42"/>
      <c r="E3257" s="42"/>
      <c r="F3257" s="48" t="str">
        <f>IFERROR(__xludf.DUMMYFUNCTION("""COMPUTED_VALUE"""),"")</f>
        <v/>
      </c>
      <c r="G3257" s="42" t="str">
        <f>IFERROR(__xludf.DUMMYFUNCTION("""COMPUTED_VALUE"""),"JUAL BELI")</f>
        <v>JUAL BELI</v>
      </c>
      <c r="H3257" s="42">
        <f t="shared" si="1"/>
        <v>1504</v>
      </c>
    </row>
    <row r="3258" ht="22.5" customHeight="1">
      <c r="B3258" s="42" t="str">
        <f>IFERROR(__xludf.DUMMYFUNCTION("""COMPUTED_VALUE"""),"L/25/240325/1")</f>
        <v>L/25/240325/1</v>
      </c>
      <c r="C3258" s="42" t="str">
        <f>IFERROR(__xludf.DUMMYFUNCTION("""COMPUTED_VALUE"""),"HM 260/LABU8HAN RATU RAYA")</f>
        <v>HM 260/LABU8HAN RATU RAYA</v>
      </c>
      <c r="D3258" s="42"/>
      <c r="E3258" s="42"/>
      <c r="F3258" s="48" t="str">
        <f>IFERROR(__xludf.DUMMYFUNCTION("""COMPUTED_VALUE"""),"")</f>
        <v/>
      </c>
      <c r="G3258" s="42" t="str">
        <f>IFERROR(__xludf.DUMMYFUNCTION("""COMPUTED_VALUE"""),"PEMECAHAN")</f>
        <v>PEMECAHAN</v>
      </c>
      <c r="H3258" s="42">
        <f t="shared" si="1"/>
        <v>1504</v>
      </c>
    </row>
    <row r="3259" ht="22.5" customHeight="1">
      <c r="B3259" s="42" t="str">
        <f>IFERROR(__xludf.DUMMYFUNCTION("""COMPUTED_VALUE"""),"K/23/240325/3")</f>
        <v>K/23/240325/3</v>
      </c>
      <c r="C3259" s="42" t="str">
        <f>IFERROR(__xludf.DUMMYFUNCTION("""COMPUTED_VALUE"""),"NIBEL M.366/GUNUNG SULAH")</f>
        <v>NIBEL M.366/GUNUNG SULAH</v>
      </c>
      <c r="D3259" s="42"/>
      <c r="E3259" s="42"/>
      <c r="F3259" s="48" t="str">
        <f>IFERROR(__xludf.DUMMYFUNCTION("""COMPUTED_VALUE"""),"")</f>
        <v/>
      </c>
      <c r="G3259" s="42" t="str">
        <f>IFERROR(__xludf.DUMMYFUNCTION("""COMPUTED_VALUE"""),"JUAL BELI")</f>
        <v>JUAL BELI</v>
      </c>
      <c r="H3259" s="42">
        <f t="shared" si="1"/>
        <v>1504</v>
      </c>
    </row>
    <row r="3260" ht="22.5" customHeight="1">
      <c r="B3260" s="42" t="str">
        <f>IFERROR(__xludf.DUMMYFUNCTION("""COMPUTED_VALUE"""),"K/24/240325/4")</f>
        <v>K/24/240325/4</v>
      </c>
      <c r="C3260" s="42" t="str">
        <f>IFERROR(__xludf.DUMMYFUNCTION("""COMPUTED_VALUE"""),"M 2501/GEDONG AIR")</f>
        <v>M 2501/GEDONG AIR</v>
      </c>
      <c r="D3260" s="42"/>
      <c r="E3260" s="42"/>
      <c r="F3260" s="48" t="str">
        <f>IFERROR(__xludf.DUMMYFUNCTION("""COMPUTED_VALUE"""),"")</f>
        <v/>
      </c>
      <c r="G3260" s="42" t="str">
        <f>IFERROR(__xludf.DUMMYFUNCTION("""COMPUTED_VALUE"""),"JUAL BELI")</f>
        <v>JUAL BELI</v>
      </c>
      <c r="H3260" s="42">
        <f t="shared" si="1"/>
        <v>1504</v>
      </c>
    </row>
    <row r="3261" ht="22.5" customHeight="1">
      <c r="B3261" s="42" t="str">
        <f>IFERROR(__xludf.DUMMYFUNCTION("""COMPUTED_VALUE"""),"K/28/240325/1")</f>
        <v>K/28/240325/1</v>
      </c>
      <c r="C3261" s="42" t="str">
        <f>IFERROR(__xludf.DUMMYFUNCTION("""COMPUTED_VALUE"""),"M. 1658/ Kemiling Permai")</f>
        <v>M. 1658/ Kemiling Permai</v>
      </c>
      <c r="D3261" s="42"/>
      <c r="E3261" s="42"/>
      <c r="F3261" s="48" t="str">
        <f>IFERROR(__xludf.DUMMYFUNCTION("""COMPUTED_VALUE"""),"")</f>
        <v/>
      </c>
      <c r="G3261" s="42" t="str">
        <f>IFERROR(__xludf.DUMMYFUNCTION("""COMPUTED_VALUE"""),"BN Jual Beli")</f>
        <v>BN Jual Beli</v>
      </c>
      <c r="H3261" s="42">
        <f t="shared" si="1"/>
        <v>1504</v>
      </c>
    </row>
    <row r="3262" ht="22.5" customHeight="1">
      <c r="B3262" s="42" t="str">
        <f>IFERROR(__xludf.DUMMYFUNCTION("""COMPUTED_VALUE"""),"K/26/240325/1")</f>
        <v>K/26/240325/1</v>
      </c>
      <c r="C3262" s="42" t="str">
        <f>IFERROR(__xludf.DUMMYFUNCTION("""COMPUTED_VALUE"""),"Nibel 12748/ Rajabasa Jaya")</f>
        <v>Nibel 12748/ Rajabasa Jaya</v>
      </c>
      <c r="D3262" s="42"/>
      <c r="E3262" s="42"/>
      <c r="F3262" s="48" t="str">
        <f>IFERROR(__xludf.DUMMYFUNCTION("""COMPUTED_VALUE"""),"")</f>
        <v/>
      </c>
      <c r="G3262" s="42" t="str">
        <f>IFERROR(__xludf.DUMMYFUNCTION("""COMPUTED_VALUE"""),"BN JUAL BELI")</f>
        <v>BN JUAL BELI</v>
      </c>
      <c r="H3262" s="42">
        <f t="shared" si="1"/>
        <v>1504</v>
      </c>
    </row>
    <row r="3263" ht="22.5" customHeight="1">
      <c r="B3263" s="42" t="str">
        <f>IFERROR(__xludf.DUMMYFUNCTION("""COMPUTED_VALUE"""),"K/27/240325/2")</f>
        <v>K/27/240325/2</v>
      </c>
      <c r="C3263" s="42" t="str">
        <f>IFERROR(__xludf.DUMMYFUNCTION("""COMPUTED_VALUE"""),"Nibel 12511/ Rajabsa Nunyai")</f>
        <v>Nibel 12511/ Rajabsa Nunyai</v>
      </c>
      <c r="D3263" s="42"/>
      <c r="E3263" s="42"/>
      <c r="F3263" s="48" t="str">
        <f>IFERROR(__xludf.DUMMYFUNCTION("""COMPUTED_VALUE"""),"")</f>
        <v/>
      </c>
      <c r="G3263" s="42" t="str">
        <f>IFERROR(__xludf.DUMMYFUNCTION("""COMPUTED_VALUE"""),"BN PHB")</f>
        <v>BN PHB</v>
      </c>
      <c r="H3263" s="42">
        <f t="shared" si="1"/>
        <v>1504</v>
      </c>
    </row>
    <row r="3264" ht="22.5" customHeight="1">
      <c r="B3264" s="42" t="str">
        <f>IFERROR(__xludf.DUMMYFUNCTION("""COMPUTED_VALUE"""),"L/30/240325/1")</f>
        <v>L/30/240325/1</v>
      </c>
      <c r="C3264" s="42" t="str">
        <f>IFERROR(__xludf.DUMMYFUNCTION("""COMPUTED_VALUE"""),"KAMPUNG BARU")</f>
        <v>KAMPUNG BARU</v>
      </c>
      <c r="D3264" s="42"/>
      <c r="E3264" s="42"/>
      <c r="F3264" s="48" t="str">
        <f>IFERROR(__xludf.DUMMYFUNCTION("""COMPUTED_VALUE"""),"")</f>
        <v/>
      </c>
      <c r="G3264" s="42" t="str">
        <f>IFERROR(__xludf.DUMMYFUNCTION("""COMPUTED_VALUE"""),"PERTAMA KALI")</f>
        <v>PERTAMA KALI</v>
      </c>
      <c r="H3264" s="42">
        <f t="shared" si="1"/>
        <v>1504</v>
      </c>
    </row>
    <row r="3265" ht="22.5" customHeight="1">
      <c r="B3265" s="42" t="str">
        <f>IFERROR(__xludf.DUMMYFUNCTION("""COMPUTED_VALUE"""),"K/19/240325/4")</f>
        <v>K/19/240325/4</v>
      </c>
      <c r="C3265" s="42" t="str">
        <f>IFERROR(__xludf.DUMMYFUNCTION("""COMPUTED_VALUE"""),"M.94/GUNUNG TERANG")</f>
        <v>M.94/GUNUNG TERANG</v>
      </c>
      <c r="D3265" s="42"/>
      <c r="E3265" s="42"/>
      <c r="F3265" s="48" t="str">
        <f>IFERROR(__xludf.DUMMYFUNCTION("""COMPUTED_VALUE"""),"")</f>
        <v/>
      </c>
      <c r="G3265" s="42" t="str">
        <f>IFERROR(__xludf.DUMMYFUNCTION("""COMPUTED_VALUE"""),"BLOKIR")</f>
        <v>BLOKIR</v>
      </c>
      <c r="H3265" s="42">
        <f t="shared" si="1"/>
        <v>1504</v>
      </c>
    </row>
    <row r="3266" ht="22.5" customHeight="1">
      <c r="B3266" s="42" t="str">
        <f>IFERROR(__xludf.DUMMYFUNCTION("""COMPUTED_VALUE"""),"K/32/240325/1")</f>
        <v>K/32/240325/1</v>
      </c>
      <c r="C3266" s="42" t="str">
        <f>IFERROR(__xludf.DUMMYFUNCTION("""COMPUTED_VALUE"""),"M.409/WAY HALIM PERMAI")</f>
        <v>M.409/WAY HALIM PERMAI</v>
      </c>
      <c r="D3266" s="42"/>
      <c r="E3266" s="42" t="str">
        <f>IFERROR(__xludf.DUMMYFUNCTION("""COMPUTED_VALUE"""),"DISERAHKAN")</f>
        <v>DISERAHKAN</v>
      </c>
      <c r="F3266" s="48">
        <f>IFERROR(__xludf.DUMMYFUNCTION("""COMPUTED_VALUE"""),45764.59573350694)</f>
        <v>45764.59573</v>
      </c>
      <c r="G3266" s="42" t="str">
        <f>IFERROR(__xludf.DUMMYFUNCTION("""COMPUTED_VALUE"""),"KEWARISAN")</f>
        <v>KEWARISAN</v>
      </c>
      <c r="H3266" s="42">
        <f t="shared" si="1"/>
        <v>1505</v>
      </c>
    </row>
    <row r="3267" ht="22.5" customHeight="1">
      <c r="B3267" s="42" t="str">
        <f>IFERROR(__xludf.DUMMYFUNCTION("""COMPUTED_VALUE"""),"K/31/240325/1")</f>
        <v>K/31/240325/1</v>
      </c>
      <c r="C3267" s="42" t="str">
        <f>IFERROR(__xludf.DUMMYFUNCTION("""COMPUTED_VALUE"""),"M. 11141/ Sukabumi (3 SHT)")</f>
        <v>M. 11141/ Sukabumi (3 SHT)</v>
      </c>
      <c r="D3267" s="42" t="str">
        <f>IFERROR(__xludf.DUMMYFUNCTION("""COMPUTED_VALUE"""),"David")</f>
        <v>David</v>
      </c>
      <c r="E3267" s="42" t="str">
        <f>IFERROR(__xludf.DUMMYFUNCTION("""COMPUTED_VALUE"""),"DISERAHKAN")</f>
        <v>DISERAHKAN</v>
      </c>
      <c r="F3267" s="48">
        <f>IFERROR(__xludf.DUMMYFUNCTION("""COMPUTED_VALUE"""),45813.47539702547)</f>
        <v>45813.4754</v>
      </c>
      <c r="G3267" s="42" t="str">
        <f>IFERROR(__xludf.DUMMYFUNCTION("""COMPUTED_VALUE"""),"ROYA")</f>
        <v>ROYA</v>
      </c>
      <c r="H3267" s="42">
        <f t="shared" si="1"/>
        <v>1506</v>
      </c>
    </row>
    <row r="3268" ht="22.5" customHeight="1">
      <c r="B3268" s="42" t="str">
        <f>IFERROR(__xludf.DUMMYFUNCTION("""COMPUTED_VALUE"""),"K/33/240325/1")</f>
        <v>K/33/240325/1</v>
      </c>
      <c r="C3268" s="42" t="str">
        <f>IFERROR(__xludf.DUMMYFUNCTION("""COMPUTED_VALUE"""),"NIBEL M.16164/PANJANG SELATAN")</f>
        <v>NIBEL M.16164/PANJANG SELATAN</v>
      </c>
      <c r="D3268" s="42"/>
      <c r="E3268" s="42"/>
      <c r="F3268" s="48" t="str">
        <f>IFERROR(__xludf.DUMMYFUNCTION("""COMPUTED_VALUE"""),"")</f>
        <v/>
      </c>
      <c r="G3268" s="42" t="str">
        <f>IFERROR(__xludf.DUMMYFUNCTION("""COMPUTED_VALUE"""),"BN JUAL BELI")</f>
        <v>BN JUAL BELI</v>
      </c>
      <c r="H3268" s="42">
        <f t="shared" si="1"/>
        <v>1506</v>
      </c>
    </row>
    <row r="3269" ht="22.5" customHeight="1">
      <c r="B3269" s="42" t="str">
        <f>IFERROR(__xludf.DUMMYFUNCTION("""COMPUTED_VALUE"""),"K/34/240325/2")</f>
        <v>K/34/240325/2</v>
      </c>
      <c r="C3269" s="42" t="str">
        <f>IFERROR(__xludf.DUMMYFUNCTION("""COMPUTED_VALUE"""),"M.10490/SUKARAME")</f>
        <v>M.10490/SUKARAME</v>
      </c>
      <c r="D3269" s="42"/>
      <c r="E3269" s="42"/>
      <c r="F3269" s="48" t="str">
        <f>IFERROR(__xludf.DUMMYFUNCTION("""COMPUTED_VALUE"""),"")</f>
        <v/>
      </c>
      <c r="G3269" s="42" t="str">
        <f>IFERROR(__xludf.DUMMYFUNCTION("""COMPUTED_VALUE"""),"CABUT BLOKIR")</f>
        <v>CABUT BLOKIR</v>
      </c>
      <c r="H3269" s="42">
        <f t="shared" si="1"/>
        <v>1506</v>
      </c>
    </row>
    <row r="3270" ht="22.5" customHeight="1">
      <c r="B3270" s="42" t="str">
        <f>IFERROR(__xludf.DUMMYFUNCTION("""COMPUTED_VALUE"""),"K/35/240325/1")</f>
        <v>K/35/240325/1</v>
      </c>
      <c r="C3270" s="42" t="str">
        <f>IFERROR(__xludf.DUMMYFUNCTION("""COMPUTED_VALUE"""),"M.9596/SUKAMENANTI")</f>
        <v>M.9596/SUKAMENANTI</v>
      </c>
      <c r="D3270" s="42"/>
      <c r="E3270" s="42"/>
      <c r="F3270" s="48" t="str">
        <f>IFERROR(__xludf.DUMMYFUNCTION("""COMPUTED_VALUE"""),"")</f>
        <v/>
      </c>
      <c r="G3270" s="42" t="str">
        <f>IFERROR(__xludf.DUMMYFUNCTION("""COMPUTED_VALUE"""),"KEWARISAN")</f>
        <v>KEWARISAN</v>
      </c>
      <c r="H3270" s="42">
        <f t="shared" si="1"/>
        <v>1506</v>
      </c>
    </row>
    <row r="3271" ht="22.5" customHeight="1">
      <c r="B3271" s="42" t="str">
        <f>IFERROR(__xludf.DUMMYFUNCTION("""COMPUTED_VALUE"""),"K/36/240325/1")</f>
        <v>K/36/240325/1</v>
      </c>
      <c r="C3271" s="42" t="str">
        <f>IFERROR(__xludf.DUMMYFUNCTION("""COMPUTED_VALUE"""),"M.1055/PINANG JAYA")</f>
        <v>M.1055/PINANG JAYA</v>
      </c>
      <c r="D3271" s="42"/>
      <c r="E3271" s="42"/>
      <c r="F3271" s="48" t="str">
        <f>IFERROR(__xludf.DUMMYFUNCTION("""COMPUTED_VALUE"""),"")</f>
        <v/>
      </c>
      <c r="G3271" s="42" t="str">
        <f>IFERROR(__xludf.DUMMYFUNCTION("""COMPUTED_VALUE"""),"BN JUAL BELI")</f>
        <v>BN JUAL BELI</v>
      </c>
      <c r="H3271" s="42">
        <f t="shared" si="1"/>
        <v>1506</v>
      </c>
    </row>
    <row r="3272" ht="22.5" customHeight="1">
      <c r="B3272" s="42" t="str">
        <f>IFERROR(__xludf.DUMMYFUNCTION("""COMPUTED_VALUE"""),"K/37/240325/1")</f>
        <v>K/37/240325/1</v>
      </c>
      <c r="C3272" s="42" t="str">
        <f>IFERROR(__xludf.DUMMYFUNCTION("""COMPUTED_VALUE"""),"Nibel 16766/ Campang Jaya")</f>
        <v>Nibel 16766/ Campang Jaya</v>
      </c>
      <c r="D3272" s="42"/>
      <c r="E3272" s="42"/>
      <c r="F3272" s="48" t="str">
        <f>IFERROR(__xludf.DUMMYFUNCTION("""COMPUTED_VALUE"""),"")</f>
        <v/>
      </c>
      <c r="G3272" s="42" t="str">
        <f>IFERROR(__xludf.DUMMYFUNCTION("""COMPUTED_VALUE"""),"BN JUAL BELI")</f>
        <v>BN JUAL BELI</v>
      </c>
      <c r="H3272" s="42">
        <f t="shared" si="1"/>
        <v>1506</v>
      </c>
    </row>
    <row r="3273" ht="22.5" customHeight="1">
      <c r="B3273" s="42" t="str">
        <f>IFERROR(__xludf.DUMMYFUNCTION("""COMPUTED_VALUE"""),"L/40/240325/1")</f>
        <v>L/40/240325/1</v>
      </c>
      <c r="C3273" s="42" t="str">
        <f>IFERROR(__xludf.DUMMYFUNCTION("""COMPUTED_VALUE"""),"KEDAMAIAN")</f>
        <v>KEDAMAIAN</v>
      </c>
      <c r="D3273" s="42"/>
      <c r="E3273" s="42"/>
      <c r="F3273" s="48" t="str">
        <f>IFERROR(__xludf.DUMMYFUNCTION("""COMPUTED_VALUE"""),"")</f>
        <v/>
      </c>
      <c r="G3273" s="42" t="str">
        <f>IFERROR(__xludf.DUMMYFUNCTION("""COMPUTED_VALUE"""),"PENDAFTARAN SK")</f>
        <v>PENDAFTARAN SK</v>
      </c>
      <c r="H3273" s="42">
        <f t="shared" si="1"/>
        <v>1506</v>
      </c>
    </row>
    <row r="3274" ht="22.5" customHeight="1">
      <c r="B3274" s="42" t="str">
        <f>IFERROR(__xludf.DUMMYFUNCTION("""COMPUTED_VALUE"""),"K/38/240325/2")</f>
        <v>K/38/240325/2</v>
      </c>
      <c r="C3274" s="42" t="str">
        <f>IFERROR(__xludf.DUMMYFUNCTION("""COMPUTED_VALUE"""),"M. 2635/ Pinang Jaya")</f>
        <v>M. 2635/ Pinang Jaya</v>
      </c>
      <c r="D3274" s="42"/>
      <c r="E3274" s="42"/>
      <c r="F3274" s="48" t="str">
        <f>IFERROR(__xludf.DUMMYFUNCTION("""COMPUTED_VALUE"""),"")</f>
        <v/>
      </c>
      <c r="G3274" s="42" t="str">
        <f>IFERROR(__xludf.DUMMYFUNCTION("""COMPUTED_VALUE"""),"BN JUAL BELI")</f>
        <v>BN JUAL BELI</v>
      </c>
      <c r="H3274" s="42">
        <f t="shared" si="1"/>
        <v>1506</v>
      </c>
    </row>
    <row r="3275" ht="22.5" customHeight="1">
      <c r="B3275" s="42" t="str">
        <f>IFERROR(__xludf.DUMMYFUNCTION("""COMPUTED_VALUE"""),"K/41/240325/1")</f>
        <v>K/41/240325/1</v>
      </c>
      <c r="C3275" s="42" t="str">
        <f>IFERROR(__xludf.DUMMYFUNCTION("""COMPUTED_VALUE"""),"M.13861/SEGALA MIDER")</f>
        <v>M.13861/SEGALA MIDER</v>
      </c>
      <c r="D3275" s="42"/>
      <c r="E3275" s="42" t="str">
        <f>IFERROR(__xludf.DUMMYFUNCTION("""COMPUTED_VALUE"""),"DISERAHKAN")</f>
        <v>DISERAHKAN</v>
      </c>
      <c r="F3275" s="48">
        <f>IFERROR(__xludf.DUMMYFUNCTION("""COMPUTED_VALUE"""),45775.605284537036)</f>
        <v>45775.60528</v>
      </c>
      <c r="G3275" s="42" t="str">
        <f>IFERROR(__xludf.DUMMYFUNCTION("""COMPUTED_VALUE"""),"JUAL BELI")</f>
        <v>JUAL BELI</v>
      </c>
      <c r="H3275" s="42">
        <f t="shared" si="1"/>
        <v>1507</v>
      </c>
    </row>
    <row r="3276" ht="22.5" customHeight="1">
      <c r="B3276" s="42" t="str">
        <f>IFERROR(__xludf.DUMMYFUNCTION("""COMPUTED_VALUE"""),"K/39/240325/3")</f>
        <v>K/39/240325/3</v>
      </c>
      <c r="C3276" s="42" t="str">
        <f>IFERROR(__xludf.DUMMYFUNCTION("""COMPUTED_VALUE"""),"M. 12490/ Sukabumi")</f>
        <v>M. 12490/ Sukabumi</v>
      </c>
      <c r="D3276" s="42"/>
      <c r="E3276" s="42"/>
      <c r="F3276" s="48" t="str">
        <f>IFERROR(__xludf.DUMMYFUNCTION("""COMPUTED_VALUE"""),"")</f>
        <v/>
      </c>
      <c r="G3276" s="42" t="str">
        <f>IFERROR(__xludf.DUMMYFUNCTION("""COMPUTED_VALUE"""),"ROYA")</f>
        <v>ROYA</v>
      </c>
      <c r="H3276" s="42">
        <f t="shared" si="1"/>
        <v>1507</v>
      </c>
    </row>
    <row r="3277" ht="22.5" customHeight="1">
      <c r="B3277" s="42" t="str">
        <f>IFERROR(__xludf.DUMMYFUNCTION("""COMPUTED_VALUE"""),"K/42/240325/1")</f>
        <v>K/42/240325/1</v>
      </c>
      <c r="C3277" s="42" t="str">
        <f>IFERROR(__xludf.DUMMYFUNCTION("""COMPUTED_VALUE"""),"M. 4214/ Gunung Terang")</f>
        <v>M. 4214/ Gunung Terang</v>
      </c>
      <c r="D3277" s="42"/>
      <c r="E3277" s="42"/>
      <c r="F3277" s="48" t="str">
        <f>IFERROR(__xludf.DUMMYFUNCTION("""COMPUTED_VALUE"""),"")</f>
        <v/>
      </c>
      <c r="G3277" s="42" t="str">
        <f>IFERROR(__xludf.DUMMYFUNCTION("""COMPUTED_VALUE"""),"Pemecahan")</f>
        <v>Pemecahan</v>
      </c>
      <c r="H3277" s="42">
        <f t="shared" si="1"/>
        <v>1507</v>
      </c>
    </row>
    <row r="3278" ht="22.5" customHeight="1">
      <c r="B3278" s="42" t="str">
        <f>IFERROR(__xludf.DUMMYFUNCTION("""COMPUTED_VALUE"""),"K/43/240325/1")</f>
        <v>K/43/240325/1</v>
      </c>
      <c r="C3278" s="42" t="str">
        <f>IFERROR(__xludf.DUMMYFUNCTION("""COMPUTED_VALUE"""),"M. 359/SUMBER REJO")</f>
        <v>M. 359/SUMBER REJO</v>
      </c>
      <c r="D3278" s="42"/>
      <c r="E3278" s="42" t="str">
        <f>IFERROR(__xludf.DUMMYFUNCTION("""COMPUTED_VALUE"""),"DISERAHKAN")</f>
        <v>DISERAHKAN</v>
      </c>
      <c r="F3278" s="48">
        <f>IFERROR(__xludf.DUMMYFUNCTION("""COMPUTED_VALUE"""),45769.42932228009)</f>
        <v>45769.42932</v>
      </c>
      <c r="G3278" s="42" t="str">
        <f>IFERROR(__xludf.DUMMYFUNCTION("""COMPUTED_VALUE"""),"BN JUAL BELI")</f>
        <v>BN JUAL BELI</v>
      </c>
      <c r="H3278" s="42">
        <f t="shared" si="1"/>
        <v>1508</v>
      </c>
    </row>
    <row r="3279" ht="22.5" customHeight="1">
      <c r="B3279" s="42" t="str">
        <f>IFERROR(__xludf.DUMMYFUNCTION("""COMPUTED_VALUE"""),"K/45/240325/1")</f>
        <v>K/45/240325/1</v>
      </c>
      <c r="C3279" s="42" t="str">
        <f>IFERROR(__xludf.DUMMYFUNCTION("""COMPUTED_VALUE"""),"NIBEL M.17345/GUNUNG TERANG")</f>
        <v>NIBEL M.17345/GUNUNG TERANG</v>
      </c>
      <c r="D3279" s="42"/>
      <c r="E3279" s="42"/>
      <c r="F3279" s="48" t="str">
        <f>IFERROR(__xludf.DUMMYFUNCTION("""COMPUTED_VALUE"""),"")</f>
        <v/>
      </c>
      <c r="G3279" s="42" t="str">
        <f>IFERROR(__xludf.DUMMYFUNCTION("""COMPUTED_VALUE"""),"HIBAH")</f>
        <v>HIBAH</v>
      </c>
      <c r="H3279" s="42">
        <f t="shared" si="1"/>
        <v>1508</v>
      </c>
    </row>
    <row r="3280" ht="22.5" customHeight="1">
      <c r="B3280" s="42" t="str">
        <f>IFERROR(__xludf.DUMMYFUNCTION("""COMPUTED_VALUE"""),"K/44/240325/1")</f>
        <v>K/44/240325/1</v>
      </c>
      <c r="C3280" s="42" t="str">
        <f>IFERROR(__xludf.DUMMYFUNCTION("""COMPUTED_VALUE"""),"M. 1381/ Way Lunik")</f>
        <v>M. 1381/ Way Lunik</v>
      </c>
      <c r="D3280" s="42"/>
      <c r="E3280" s="42"/>
      <c r="F3280" s="48" t="str">
        <f>IFERROR(__xludf.DUMMYFUNCTION("""COMPUTED_VALUE"""),"")</f>
        <v/>
      </c>
      <c r="G3280" s="42" t="str">
        <f>IFERROR(__xludf.DUMMYFUNCTION("""COMPUTED_VALUE"""),"Roya")</f>
        <v>Roya</v>
      </c>
      <c r="H3280" s="42">
        <f t="shared" si="1"/>
        <v>1508</v>
      </c>
    </row>
    <row r="3281" ht="22.5" customHeight="1">
      <c r="B3281" s="42" t="str">
        <f>IFERROR(__xludf.DUMMYFUNCTION("""COMPUTED_VALUE"""),"L/47/240325/1")</f>
        <v>L/47/240325/1</v>
      </c>
      <c r="C3281" s="42" t="str">
        <f>IFERROR(__xludf.DUMMYFUNCTION("""COMPUTED_VALUE"""),"HM 495/SUKARAME BARU")</f>
        <v>HM 495/SUKARAME BARU</v>
      </c>
      <c r="D3281" s="42"/>
      <c r="E3281" s="42"/>
      <c r="F3281" s="48" t="str">
        <f>IFERROR(__xludf.DUMMYFUNCTION("""COMPUTED_VALUE"""),"")</f>
        <v/>
      </c>
      <c r="G3281" s="42" t="str">
        <f>IFERROR(__xludf.DUMMYFUNCTION("""COMPUTED_VALUE"""),"GANTI BLANGKO")</f>
        <v>GANTI BLANGKO</v>
      </c>
      <c r="H3281" s="42">
        <f t="shared" si="1"/>
        <v>1508</v>
      </c>
    </row>
    <row r="3282" ht="22.5" customHeight="1">
      <c r="B3282" s="42" t="str">
        <f>IFERROR(__xludf.DUMMYFUNCTION("""COMPUTED_VALUE"""),"K/46/240325/1")</f>
        <v>K/46/240325/1</v>
      </c>
      <c r="C3282" s="42" t="str">
        <f>IFERROR(__xludf.DUMMYFUNCTION("""COMPUTED_VALUE"""),"M.14854/SUKARAME ")</f>
        <v>M.14854/SUKARAME </v>
      </c>
      <c r="D3282" s="42" t="str">
        <f>IFERROR(__xludf.DUMMYFUNCTION("""COMPUTED_VALUE"""),"Berry")</f>
        <v>Berry</v>
      </c>
      <c r="E3282" s="42" t="str">
        <f>IFERROR(__xludf.DUMMYFUNCTION("""COMPUTED_VALUE"""),"DISERAHKAN")</f>
        <v>DISERAHKAN</v>
      </c>
      <c r="F3282" s="48">
        <f>IFERROR(__xludf.DUMMYFUNCTION("""COMPUTED_VALUE"""),45791.65449371528)</f>
        <v>45791.65449</v>
      </c>
      <c r="G3282" s="42" t="str">
        <f>IFERROR(__xludf.DUMMYFUNCTION("""COMPUTED_VALUE"""),"JUAL BELI")</f>
        <v>JUAL BELI</v>
      </c>
      <c r="H3282" s="42">
        <f t="shared" si="1"/>
        <v>1509</v>
      </c>
    </row>
    <row r="3283" ht="22.5" customHeight="1">
      <c r="B3283" s="42" t="str">
        <f>IFERROR(__xludf.DUMMYFUNCTION("""COMPUTED_VALUE"""),"K/51/240325/1")</f>
        <v>K/51/240325/1</v>
      </c>
      <c r="C3283" s="42" t="str">
        <f>IFERROR(__xludf.DUMMYFUNCTION("""COMPUTED_VALUE"""),"B. 782/SUMUR PUTRI")</f>
        <v>B. 782/SUMUR PUTRI</v>
      </c>
      <c r="D3283" s="42"/>
      <c r="E3283" s="42"/>
      <c r="F3283" s="48" t="str">
        <f>IFERROR(__xludf.DUMMYFUNCTION("""COMPUTED_VALUE"""),"")</f>
        <v/>
      </c>
      <c r="G3283" s="42" t="str">
        <f>IFERROR(__xludf.DUMMYFUNCTION("""COMPUTED_VALUE"""),"BN JUAL BELI")</f>
        <v>BN JUAL BELI</v>
      </c>
      <c r="H3283" s="42">
        <f t="shared" si="1"/>
        <v>1509</v>
      </c>
    </row>
    <row r="3284" ht="22.5" customHeight="1">
      <c r="B3284" s="42" t="str">
        <f>IFERROR(__xludf.DUMMYFUNCTION("""COMPUTED_VALUE"""),"K/52/240325/2")</f>
        <v>K/52/240325/2</v>
      </c>
      <c r="C3284" s="42" t="str">
        <f>IFERROR(__xludf.DUMMYFUNCTION("""COMPUTED_VALUE"""),"B. 1438/NEGERI OLOK GADING")</f>
        <v>B. 1438/NEGERI OLOK GADING</v>
      </c>
      <c r="D3284" s="42"/>
      <c r="E3284" s="42" t="str">
        <f>IFERROR(__xludf.DUMMYFUNCTION("""COMPUTED_VALUE"""),"DISERAHKAN")</f>
        <v>DISERAHKAN</v>
      </c>
      <c r="F3284" s="48">
        <f>IFERROR(__xludf.DUMMYFUNCTION("""COMPUTED_VALUE"""),45769.425446863424)</f>
        <v>45769.42545</v>
      </c>
      <c r="G3284" s="42" t="str">
        <f>IFERROR(__xludf.DUMMYFUNCTION("""COMPUTED_VALUE"""),"BN JUAL BELI")</f>
        <v>BN JUAL BELI</v>
      </c>
      <c r="H3284" s="42">
        <f t="shared" si="1"/>
        <v>1510</v>
      </c>
    </row>
    <row r="3285" ht="22.5" customHeight="1">
      <c r="B3285" s="42" t="str">
        <f>IFERROR(__xludf.DUMMYFUNCTION("""COMPUTED_VALUE"""),"L/48/240325/2")</f>
        <v>L/48/240325/2</v>
      </c>
      <c r="C3285" s="42" t="str">
        <f>IFERROR(__xludf.DUMMYFUNCTION("""COMPUTED_VALUE"""),"HM 19731/SUKARAME")</f>
        <v>HM 19731/SUKARAME</v>
      </c>
      <c r="D3285" s="42" t="str">
        <f>IFERROR(__xludf.DUMMYFUNCTION("""COMPUTED_VALUE"""),"Alfiansyah")</f>
        <v>Alfiansyah</v>
      </c>
      <c r="E3285" s="42" t="str">
        <f>IFERROR(__xludf.DUMMYFUNCTION("""COMPUTED_VALUE"""),"DISERAHKAN")</f>
        <v>DISERAHKAN</v>
      </c>
      <c r="F3285" s="48">
        <f>IFERROR(__xludf.DUMMYFUNCTION("""COMPUTED_VALUE"""),45797.601572581014)</f>
        <v>45797.60157</v>
      </c>
      <c r="G3285" s="42" t="str">
        <f>IFERROR(__xludf.DUMMYFUNCTION("""COMPUTED_VALUE"""),"GANTI BLANGKO")</f>
        <v>GANTI BLANGKO</v>
      </c>
      <c r="H3285" s="42">
        <f t="shared" si="1"/>
        <v>1511</v>
      </c>
    </row>
    <row r="3286" ht="22.5" customHeight="1">
      <c r="B3286" s="42" t="str">
        <f>IFERROR(__xludf.DUMMYFUNCTION("""COMPUTED_VALUE"""),"K/53/240325/3")</f>
        <v>K/53/240325/3</v>
      </c>
      <c r="C3286" s="42" t="str">
        <f>IFERROR(__xludf.DUMMYFUNCTION("""COMPUTED_VALUE"""),"B. 1437/NEGERI OLOK GADING")</f>
        <v>B. 1437/NEGERI OLOK GADING</v>
      </c>
      <c r="D3286" s="42"/>
      <c r="E3286" s="42"/>
      <c r="F3286" s="48" t="str">
        <f>IFERROR(__xludf.DUMMYFUNCTION("""COMPUTED_VALUE"""),"")</f>
        <v/>
      </c>
      <c r="G3286" s="42" t="str">
        <f>IFERROR(__xludf.DUMMYFUNCTION("""COMPUTED_VALUE"""),"BN JUAL BELI")</f>
        <v>BN JUAL BELI</v>
      </c>
      <c r="H3286" s="42">
        <f t="shared" si="1"/>
        <v>1511</v>
      </c>
    </row>
    <row r="3287" ht="22.5" customHeight="1">
      <c r="B3287" s="42" t="str">
        <f>IFERROR(__xludf.DUMMYFUNCTION("""COMPUTED_VALUE"""),"L/49/240325/3")</f>
        <v>L/49/240325/3</v>
      </c>
      <c r="C3287" s="42" t="str">
        <f>IFERROR(__xludf.DUMMYFUNCTION("""COMPUTED_VALUE"""),"M 13013/SUKARAME")</f>
        <v>M 13013/SUKARAME</v>
      </c>
      <c r="D3287" s="42"/>
      <c r="E3287" s="42"/>
      <c r="F3287" s="48" t="str">
        <f>IFERROR(__xludf.DUMMYFUNCTION("""COMPUTED_VALUE"""),"")</f>
        <v/>
      </c>
      <c r="G3287" s="42" t="str">
        <f>IFERROR(__xludf.DUMMYFUNCTION("""COMPUTED_VALUE"""),"GANTI BLANGKO")</f>
        <v>GANTI BLANGKO</v>
      </c>
      <c r="H3287" s="42">
        <f t="shared" si="1"/>
        <v>1511</v>
      </c>
    </row>
    <row r="3288" ht="22.5" customHeight="1">
      <c r="B3288" s="42" t="str">
        <f>IFERROR(__xludf.DUMMYFUNCTION("""COMPUTED_VALUE"""),"L/50/240325/4")</f>
        <v>L/50/240325/4</v>
      </c>
      <c r="C3288" s="42" t="str">
        <f>IFERROR(__xludf.DUMMYFUNCTION("""COMPUTED_VALUE"""),"M 7829/SUKARAME")</f>
        <v>M 7829/SUKARAME</v>
      </c>
      <c r="D3288" s="42"/>
      <c r="E3288" s="42"/>
      <c r="F3288" s="48" t="str">
        <f>IFERROR(__xludf.DUMMYFUNCTION("""COMPUTED_VALUE"""),"")</f>
        <v/>
      </c>
      <c r="G3288" s="42" t="str">
        <f>IFERROR(__xludf.DUMMYFUNCTION("""COMPUTED_VALUE"""),"GANTI BLANGKO")</f>
        <v>GANTI BLANGKO</v>
      </c>
      <c r="H3288" s="42">
        <f t="shared" si="1"/>
        <v>1511</v>
      </c>
    </row>
    <row r="3289" ht="22.5" customHeight="1">
      <c r="B3289" s="42" t="str">
        <f>IFERROR(__xludf.DUMMYFUNCTION("""COMPUTED_VALUE"""),"K/54/240325/1")</f>
        <v>K/54/240325/1</v>
      </c>
      <c r="C3289" s="42" t="str">
        <f>IFERROR(__xludf.DUMMYFUNCTION("""COMPUTED_VALUE"""),"M. 466/KOTA SEPANG")</f>
        <v>M. 466/KOTA SEPANG</v>
      </c>
      <c r="D3289" s="42"/>
      <c r="E3289" s="42" t="str">
        <f>IFERROR(__xludf.DUMMYFUNCTION("""COMPUTED_VALUE"""),"DISERAHKAN")</f>
        <v>DISERAHKAN</v>
      </c>
      <c r="F3289" s="48">
        <f>IFERROR(__xludf.DUMMYFUNCTION("""COMPUTED_VALUE"""),45769.426116689814)</f>
        <v>45769.42612</v>
      </c>
      <c r="G3289" s="42" t="str">
        <f>IFERROR(__xludf.DUMMYFUNCTION("""COMPUTED_VALUE"""),"BN JUAL BELI")</f>
        <v>BN JUAL BELI</v>
      </c>
      <c r="H3289" s="42">
        <f t="shared" si="1"/>
        <v>1512</v>
      </c>
    </row>
    <row r="3290" ht="22.5" customHeight="1">
      <c r="B3290" s="42" t="str">
        <f>IFERROR(__xludf.DUMMYFUNCTION("""COMPUTED_VALUE"""),"K/55/240325/2")</f>
        <v>K/55/240325/2</v>
      </c>
      <c r="C3290" s="42" t="str">
        <f>IFERROR(__xludf.DUMMYFUNCTION("""COMPUTED_VALUE"""),"B. 4586/SUKABUMI")</f>
        <v>B. 4586/SUKABUMI</v>
      </c>
      <c r="D3290" s="42"/>
      <c r="E3290" s="42" t="str">
        <f>IFERROR(__xludf.DUMMYFUNCTION("""COMPUTED_VALUE"""),"DISERAHKAN")</f>
        <v>DISERAHKAN</v>
      </c>
      <c r="F3290" s="48">
        <f>IFERROR(__xludf.DUMMYFUNCTION("""COMPUTED_VALUE"""),45761.450593807866)</f>
        <v>45761.45059</v>
      </c>
      <c r="G3290" s="42" t="str">
        <f>IFERROR(__xludf.DUMMYFUNCTION("""COMPUTED_VALUE"""),"BN JUAL BELI")</f>
        <v>BN JUAL BELI</v>
      </c>
      <c r="H3290" s="42">
        <f t="shared" si="1"/>
        <v>1513</v>
      </c>
    </row>
    <row r="3291" ht="22.5" customHeight="1">
      <c r="B3291" s="42" t="str">
        <f>IFERROR(__xludf.DUMMYFUNCTION("""COMPUTED_VALUE"""),"K/1/250325/1")</f>
        <v>K/1/250325/1</v>
      </c>
      <c r="C3291" s="42" t="str">
        <f>IFERROR(__xludf.DUMMYFUNCTION("""COMPUTED_VALUE"""),"B. 1980/ Beringin Raya")</f>
        <v>B. 1980/ Beringin Raya</v>
      </c>
      <c r="D3291" s="42"/>
      <c r="E3291" s="42"/>
      <c r="F3291" s="48" t="str">
        <f>IFERROR(__xludf.DUMMYFUNCTION("""COMPUTED_VALUE"""),"")</f>
        <v/>
      </c>
      <c r="G3291" s="42" t="str">
        <f>IFERROR(__xludf.DUMMYFUNCTION("""COMPUTED_VALUE"""),"PERMOHONAN SK HGB BERAKHIR")</f>
        <v>PERMOHONAN SK HGB BERAKHIR</v>
      </c>
      <c r="H3291" s="42">
        <f t="shared" si="1"/>
        <v>1513</v>
      </c>
    </row>
    <row r="3292" ht="22.5" customHeight="1">
      <c r="B3292" s="42" t="str">
        <f>IFERROR(__xludf.DUMMYFUNCTION("""COMPUTED_VALUE"""),"K/3/250325/1")</f>
        <v>K/3/250325/1</v>
      </c>
      <c r="C3292" s="42" t="str">
        <f>IFERROR(__xludf.DUMMYFUNCTION("""COMPUTED_VALUE"""),"B. 26/PANJANG UTARA")</f>
        <v>B. 26/PANJANG UTARA</v>
      </c>
      <c r="D3292" s="42"/>
      <c r="E3292" s="42"/>
      <c r="F3292" s="48" t="str">
        <f>IFERROR(__xludf.DUMMYFUNCTION("""COMPUTED_VALUE"""),"")</f>
        <v/>
      </c>
      <c r="G3292" s="42" t="str">
        <f>IFERROR(__xludf.DUMMYFUNCTION("""COMPUTED_VALUE"""),"BN JUAL BELI")</f>
        <v>BN JUAL BELI</v>
      </c>
      <c r="H3292" s="42">
        <f t="shared" si="1"/>
        <v>1513</v>
      </c>
    </row>
    <row r="3293" ht="22.5" customHeight="1">
      <c r="B3293" s="42" t="str">
        <f>IFERROR(__xludf.DUMMYFUNCTION("""COMPUTED_VALUE"""),"K/2/250325/1")</f>
        <v>K/2/250325/1</v>
      </c>
      <c r="C3293" s="42" t="str">
        <f>IFERROR(__xludf.DUMMYFUNCTION("""COMPUTED_VALUE"""),"Nibel. B. 18997/ Kampung Baru")</f>
        <v>Nibel. B. 18997/ Kampung Baru</v>
      </c>
      <c r="D3293" s="42"/>
      <c r="E3293" s="42"/>
      <c r="F3293" s="48" t="str">
        <f>IFERROR(__xludf.DUMMYFUNCTION("""COMPUTED_VALUE"""),"")</f>
        <v/>
      </c>
      <c r="G3293" s="42" t="str">
        <f>IFERROR(__xludf.DUMMYFUNCTION("""COMPUTED_VALUE"""),"BN Jual Beli")</f>
        <v>BN Jual Beli</v>
      </c>
      <c r="H3293" s="42">
        <f t="shared" si="1"/>
        <v>1513</v>
      </c>
    </row>
    <row r="3294" ht="22.5" customHeight="1">
      <c r="B3294" s="42" t="str">
        <f>IFERROR(__xludf.DUMMYFUNCTION("""COMPUTED_VALUE"""),"K/4/250325/1")</f>
        <v>K/4/250325/1</v>
      </c>
      <c r="C3294" s="42" t="str">
        <f>IFERROR(__xludf.DUMMYFUNCTION("""COMPUTED_VALUE"""),"Nibel 7348/ Tanjung Baru")</f>
        <v>Nibel 7348/ Tanjung Baru</v>
      </c>
      <c r="D3294" s="42"/>
      <c r="E3294" s="42"/>
      <c r="F3294" s="48" t="str">
        <f>IFERROR(__xludf.DUMMYFUNCTION("""COMPUTED_VALUE"""),"")</f>
        <v/>
      </c>
      <c r="G3294" s="42" t="str">
        <f>IFERROR(__xludf.DUMMYFUNCTION("""COMPUTED_VALUE"""),"BN JUAL BELI")</f>
        <v>BN JUAL BELI</v>
      </c>
      <c r="H3294" s="42">
        <f t="shared" si="1"/>
        <v>1513</v>
      </c>
    </row>
    <row r="3295" ht="22.5" customHeight="1">
      <c r="B3295" s="42" t="str">
        <f>IFERROR(__xludf.DUMMYFUNCTION("""COMPUTED_VALUE"""),"K/5/250325/1")</f>
        <v>K/5/250325/1</v>
      </c>
      <c r="C3295" s="42" t="str">
        <f>IFERROR(__xludf.DUMMYFUNCTION("""COMPUTED_VALUE"""),"M.1591/BERINGIN JAYA")</f>
        <v>M.1591/BERINGIN JAYA</v>
      </c>
      <c r="D3295" s="42" t="str">
        <f>IFERROR(__xludf.DUMMYFUNCTION("""COMPUTED_VALUE"""),"David")</f>
        <v>David</v>
      </c>
      <c r="E3295" s="42" t="str">
        <f>IFERROR(__xludf.DUMMYFUNCTION("""COMPUTED_VALUE"""),"DISERAHKAN")</f>
        <v>DISERAHKAN</v>
      </c>
      <c r="F3295" s="48">
        <f>IFERROR(__xludf.DUMMYFUNCTION("""COMPUTED_VALUE"""),45848.61507706018)</f>
        <v>45848.61508</v>
      </c>
      <c r="G3295" s="42" t="str">
        <f>IFERROR(__xludf.DUMMYFUNCTION("""COMPUTED_VALUE"""),"JUAL BELI")</f>
        <v>JUAL BELI</v>
      </c>
      <c r="H3295" s="42">
        <f t="shared" si="1"/>
        <v>1514</v>
      </c>
    </row>
    <row r="3296" ht="22.5" customHeight="1">
      <c r="B3296" s="42" t="str">
        <f>IFERROR(__xludf.DUMMYFUNCTION("""COMPUTED_VALUE"""),"K/6/250325/1")</f>
        <v>K/6/250325/1</v>
      </c>
      <c r="C3296" s="42" t="str">
        <f>IFERROR(__xludf.DUMMYFUNCTION("""COMPUTED_VALUE"""),"B. 1439/NOG")</f>
        <v>B. 1439/NOG</v>
      </c>
      <c r="D3296" s="42"/>
      <c r="E3296" s="42"/>
      <c r="F3296" s="48" t="str">
        <f>IFERROR(__xludf.DUMMYFUNCTION("""COMPUTED_VALUE"""),"")</f>
        <v/>
      </c>
      <c r="G3296" s="42" t="str">
        <f>IFERROR(__xludf.DUMMYFUNCTION("""COMPUTED_VALUE"""),"BN JUAL BELI")</f>
        <v>BN JUAL BELI</v>
      </c>
      <c r="H3296" s="42">
        <f t="shared" si="1"/>
        <v>1514</v>
      </c>
    </row>
    <row r="3297" ht="22.5" customHeight="1">
      <c r="B3297" s="42" t="str">
        <f>IFERROR(__xludf.DUMMYFUNCTION("""COMPUTED_VALUE"""),"K/7/250325/2")</f>
        <v>K/7/250325/2</v>
      </c>
      <c r="C3297" s="42" t="str">
        <f>IFERROR(__xludf.DUMMYFUNCTION("""COMPUTED_VALUE"""),"B. 753/SUMUR PUTRI")</f>
        <v>B. 753/SUMUR PUTRI</v>
      </c>
      <c r="D3297" s="42"/>
      <c r="E3297" s="42" t="str">
        <f>IFERROR(__xludf.DUMMYFUNCTION("""COMPUTED_VALUE"""),"DISERAHKAN")</f>
        <v>DISERAHKAN</v>
      </c>
      <c r="F3297" s="48">
        <f>IFERROR(__xludf.DUMMYFUNCTION("""COMPUTED_VALUE"""),45769.42561388889)</f>
        <v>45769.42561</v>
      </c>
      <c r="G3297" s="42" t="str">
        <f>IFERROR(__xludf.DUMMYFUNCTION("""COMPUTED_VALUE"""),"BN JUAL BELI")</f>
        <v>BN JUAL BELI</v>
      </c>
      <c r="H3297" s="42">
        <f t="shared" si="1"/>
        <v>1515</v>
      </c>
    </row>
    <row r="3298" ht="22.5" customHeight="1">
      <c r="B3298" s="42" t="str">
        <f>IFERROR(__xludf.DUMMYFUNCTION("""COMPUTED_VALUE"""),"K/8/250325/3")</f>
        <v>K/8/250325/3</v>
      </c>
      <c r="C3298" s="42" t="str">
        <f>IFERROR(__xludf.DUMMYFUNCTION("""COMPUTED_VALUE"""),"B.97/SUMUR PUTRI")</f>
        <v>B.97/SUMUR PUTRI</v>
      </c>
      <c r="D3298" s="42"/>
      <c r="E3298" s="42"/>
      <c r="F3298" s="48" t="str">
        <f>IFERROR(__xludf.DUMMYFUNCTION("""COMPUTED_VALUE"""),"")</f>
        <v/>
      </c>
      <c r="G3298" s="42" t="str">
        <f>IFERROR(__xludf.DUMMYFUNCTION("""COMPUTED_VALUE"""),"BN JUAL BELI")</f>
        <v>BN JUAL BELI</v>
      </c>
      <c r="H3298" s="42">
        <f t="shared" si="1"/>
        <v>1515</v>
      </c>
    </row>
    <row r="3299" ht="22.5" customHeight="1">
      <c r="B3299" s="42" t="str">
        <f>IFERROR(__xludf.DUMMYFUNCTION("""COMPUTED_VALUE"""),"K/9/250325/1")</f>
        <v>K/9/250325/1</v>
      </c>
      <c r="C3299" s="42" t="str">
        <f>IFERROR(__xludf.DUMMYFUNCTION("""COMPUTED_VALUE"""),"M.898/SUKARAME BARU")</f>
        <v>M.898/SUKARAME BARU</v>
      </c>
      <c r="D3299" s="42"/>
      <c r="E3299" s="42" t="str">
        <f>IFERROR(__xludf.DUMMYFUNCTION("""COMPUTED_VALUE"""),"DISERAHKAN")</f>
        <v>DISERAHKAN</v>
      </c>
      <c r="F3299" s="48">
        <f>IFERROR(__xludf.DUMMYFUNCTION("""COMPUTED_VALUE"""),45769.42820538195)</f>
        <v>45769.42821</v>
      </c>
      <c r="G3299" s="42" t="str">
        <f>IFERROR(__xludf.DUMMYFUNCTION("""COMPUTED_VALUE"""),"JUAL BELI")</f>
        <v>JUAL BELI</v>
      </c>
      <c r="H3299" s="42">
        <f t="shared" si="1"/>
        <v>1516</v>
      </c>
    </row>
    <row r="3300" ht="22.5" customHeight="1">
      <c r="B3300" s="42" t="str">
        <f>IFERROR(__xludf.DUMMYFUNCTION("""COMPUTED_VALUE"""),"K/10/250325/1")</f>
        <v>K/10/250325/1</v>
      </c>
      <c r="C3300" s="42" t="str">
        <f>IFERROR(__xludf.DUMMYFUNCTION("""COMPUTED_VALUE"""),"B,897/SUKARAME BARU")</f>
        <v>B,897/SUKARAME BARU</v>
      </c>
      <c r="D3300" s="42"/>
      <c r="E3300" s="42"/>
      <c r="F3300" s="48" t="str">
        <f>IFERROR(__xludf.DUMMYFUNCTION("""COMPUTED_VALUE"""),"")</f>
        <v/>
      </c>
      <c r="G3300" s="42" t="str">
        <f>IFERROR(__xludf.DUMMYFUNCTION("""COMPUTED_VALUE"""),"PERUBAHAN HAK")</f>
        <v>PERUBAHAN HAK</v>
      </c>
      <c r="H3300" s="42">
        <f t="shared" si="1"/>
        <v>1516</v>
      </c>
    </row>
    <row r="3301" ht="22.5" customHeight="1">
      <c r="B3301" s="42" t="str">
        <f>IFERROR(__xludf.DUMMYFUNCTION("""COMPUTED_VALUE"""),"K/11/250325/1")</f>
        <v>K/11/250325/1</v>
      </c>
      <c r="C3301" s="42" t="str">
        <f>IFERROR(__xludf.DUMMYFUNCTION("""COMPUTED_VALUE"""),"M. 14230/SEGAKA MIDER")</f>
        <v>M. 14230/SEGAKA MIDER</v>
      </c>
      <c r="D3301" s="42"/>
      <c r="E3301" s="42" t="str">
        <f>IFERROR(__xludf.DUMMYFUNCTION("""COMPUTED_VALUE"""),"DISERAHKAN")</f>
        <v>DISERAHKAN</v>
      </c>
      <c r="F3301" s="48">
        <f>IFERROR(__xludf.DUMMYFUNCTION("""COMPUTED_VALUE"""),45769.42623813657)</f>
        <v>45769.42624</v>
      </c>
      <c r="G3301" s="42" t="str">
        <f>IFERROR(__xludf.DUMMYFUNCTION("""COMPUTED_VALUE"""),"BN JUAL BELI")</f>
        <v>BN JUAL BELI</v>
      </c>
      <c r="H3301" s="42">
        <f t="shared" si="1"/>
        <v>1517</v>
      </c>
    </row>
    <row r="3302" ht="22.5" customHeight="1">
      <c r="B3302" s="42" t="str">
        <f>IFERROR(__xludf.DUMMYFUNCTION("""COMPUTED_VALUE"""),"K/12/250325/1")</f>
        <v>K/12/250325/1</v>
      </c>
      <c r="C3302" s="42" t="str">
        <f>IFERROR(__xludf.DUMMYFUNCTION("""COMPUTED_VALUE"""),"M. 10492/ Segala Mider")</f>
        <v>M. 10492/ Segala Mider</v>
      </c>
      <c r="D3302" s="42"/>
      <c r="E3302" s="42" t="str">
        <f>IFERROR(__xludf.DUMMYFUNCTION("""COMPUTED_VALUE"""),"DISERAHKAN")</f>
        <v>DISERAHKAN</v>
      </c>
      <c r="F3302" s="48">
        <f>IFERROR(__xludf.DUMMYFUNCTION("""COMPUTED_VALUE"""),45764.59661083334)</f>
        <v>45764.59661</v>
      </c>
      <c r="G3302" s="42" t="str">
        <f>IFERROR(__xludf.DUMMYFUNCTION("""COMPUTED_VALUE"""),"BN HIBAH")</f>
        <v>BN HIBAH</v>
      </c>
      <c r="H3302" s="42">
        <f t="shared" si="1"/>
        <v>1518</v>
      </c>
    </row>
    <row r="3303" ht="22.5" customHeight="1">
      <c r="B3303" s="42" t="str">
        <f>IFERROR(__xludf.DUMMYFUNCTION("""COMPUTED_VALUE"""),"K/13/250325/1")</f>
        <v>K/13/250325/1</v>
      </c>
      <c r="C3303" s="42" t="str">
        <f>IFERROR(__xludf.DUMMYFUNCTION("""COMPUTED_VALUE"""),"NIBEL M 17901/SEPANG JAYA")</f>
        <v>NIBEL M 17901/SEPANG JAYA</v>
      </c>
      <c r="D3303" s="42"/>
      <c r="E3303" s="42"/>
      <c r="F3303" s="48" t="str">
        <f>IFERROR(__xludf.DUMMYFUNCTION("""COMPUTED_VALUE"""),"")</f>
        <v/>
      </c>
      <c r="G3303" s="42" t="str">
        <f>IFERROR(__xludf.DUMMYFUNCTION("""COMPUTED_VALUE"""),"PEMECAHAN")</f>
        <v>PEMECAHAN</v>
      </c>
      <c r="H3303" s="42">
        <f t="shared" si="1"/>
        <v>1518</v>
      </c>
    </row>
    <row r="3304" ht="22.5" customHeight="1">
      <c r="B3304" s="42" t="str">
        <f>IFERROR(__xludf.DUMMYFUNCTION("""COMPUTED_VALUE"""),"K/15/250325/1")</f>
        <v>K/15/250325/1</v>
      </c>
      <c r="C3304" s="42" t="str">
        <f>IFERROR(__xludf.DUMMYFUNCTION("""COMPUTED_VALUE"""),"M. 2157/ Kota Baru")</f>
        <v>M. 2157/ Kota Baru</v>
      </c>
      <c r="D3304" s="42"/>
      <c r="E3304" s="42" t="str">
        <f>IFERROR(__xludf.DUMMYFUNCTION("""COMPUTED_VALUE"""),"DISERAHKAN")</f>
        <v>DISERAHKAN</v>
      </c>
      <c r="F3304" s="48">
        <f>IFERROR(__xludf.DUMMYFUNCTION("""COMPUTED_VALUE"""),45771.63436626157)</f>
        <v>45771.63437</v>
      </c>
      <c r="G3304" s="42" t="str">
        <f>IFERROR(__xludf.DUMMYFUNCTION("""COMPUTED_VALUE"""),"BN WARIS")</f>
        <v>BN WARIS</v>
      </c>
      <c r="H3304" s="42">
        <f t="shared" si="1"/>
        <v>1519</v>
      </c>
    </row>
    <row r="3305" ht="22.5" customHeight="1">
      <c r="B3305" s="42" t="str">
        <f>IFERROR(__xludf.DUMMYFUNCTION("""COMPUTED_VALUE"""),"K/14/250325/1")</f>
        <v>K/14/250325/1</v>
      </c>
      <c r="C3305" s="42" t="str">
        <f>IFERROR(__xludf.DUMMYFUNCTION("""COMPUTED_VALUE"""),"M. 583/ Korpri Jaya")</f>
        <v>M. 583/ Korpri Jaya</v>
      </c>
      <c r="D3305" s="42"/>
      <c r="E3305" s="42"/>
      <c r="F3305" s="48" t="str">
        <f>IFERROR(__xludf.DUMMYFUNCTION("""COMPUTED_VALUE"""),"")</f>
        <v/>
      </c>
      <c r="G3305" s="42" t="str">
        <f>IFERROR(__xludf.DUMMYFUNCTION("""COMPUTED_VALUE"""),"BN Waris")</f>
        <v>BN Waris</v>
      </c>
      <c r="H3305" s="42">
        <f t="shared" si="1"/>
        <v>1519</v>
      </c>
    </row>
    <row r="3306" ht="22.5" customHeight="1">
      <c r="B3306" s="42" t="str">
        <f>IFERROR(__xludf.DUMMYFUNCTION("""COMPUTED_VALUE"""),"K/16/250325/2")</f>
        <v>K/16/250325/2</v>
      </c>
      <c r="C3306" s="42" t="str">
        <f>IFERROR(__xludf.DUMMYFUNCTION("""COMPUTED_VALUE"""),"M. 223/ Bumi Raya")</f>
        <v>M. 223/ Bumi Raya</v>
      </c>
      <c r="D3306" s="42"/>
      <c r="E3306" s="42" t="str">
        <f>IFERROR(__xludf.DUMMYFUNCTION("""COMPUTED_VALUE"""),"DISERAHKAN")</f>
        <v>DISERAHKAN</v>
      </c>
      <c r="F3306" s="48">
        <f>IFERROR(__xludf.DUMMYFUNCTION("""COMPUTED_VALUE"""),45771.634843125)</f>
        <v>45771.63484</v>
      </c>
      <c r="G3306" s="42" t="str">
        <f>IFERROR(__xludf.DUMMYFUNCTION("""COMPUTED_VALUE"""),"WARIS")</f>
        <v>WARIS</v>
      </c>
      <c r="H3306" s="42">
        <f t="shared" si="1"/>
        <v>1520</v>
      </c>
    </row>
    <row r="3307" ht="22.5" customHeight="1">
      <c r="B3307" s="42" t="str">
        <f>IFERROR(__xludf.DUMMYFUNCTION("""COMPUTED_VALUE"""),"K/17/250325/1")</f>
        <v>K/17/250325/1</v>
      </c>
      <c r="C3307" s="42" t="str">
        <f>IFERROR(__xludf.DUMMYFUNCTION("""COMPUTED_VALUE"""),"M.10995/RAJABASA")</f>
        <v>M.10995/RAJABASA</v>
      </c>
      <c r="D3307" s="42"/>
      <c r="E3307" s="42"/>
      <c r="F3307" s="48" t="str">
        <f>IFERROR(__xludf.DUMMYFUNCTION("""COMPUTED_VALUE"""),"")</f>
        <v/>
      </c>
      <c r="G3307" s="42" t="str">
        <f>IFERROR(__xludf.DUMMYFUNCTION("""COMPUTED_VALUE"""),"ROYA")</f>
        <v>ROYA</v>
      </c>
      <c r="H3307" s="42">
        <f t="shared" si="1"/>
        <v>1520</v>
      </c>
    </row>
    <row r="3308" ht="22.5" customHeight="1">
      <c r="B3308" s="42" t="str">
        <f>IFERROR(__xludf.DUMMYFUNCTION("""COMPUTED_VALUE"""),"K/18/250325/1")</f>
        <v>K/18/250325/1</v>
      </c>
      <c r="C3308" s="42" t="str">
        <f>IFERROR(__xludf.DUMMYFUNCTION("""COMPUTED_VALUE"""),"M. 632/ Tanjung Senang")</f>
        <v>M. 632/ Tanjung Senang</v>
      </c>
      <c r="D3308" s="42"/>
      <c r="E3308" s="42"/>
      <c r="F3308" s="48" t="str">
        <f>IFERROR(__xludf.DUMMYFUNCTION("""COMPUTED_VALUE"""),"")</f>
        <v/>
      </c>
      <c r="G3308" s="42" t="str">
        <f>IFERROR(__xludf.DUMMYFUNCTION("""COMPUTED_VALUE"""),"BN Waris")</f>
        <v>BN Waris</v>
      </c>
      <c r="H3308" s="42">
        <f t="shared" si="1"/>
        <v>1520</v>
      </c>
    </row>
    <row r="3309" ht="22.5" customHeight="1">
      <c r="B3309" s="42" t="str">
        <f>IFERROR(__xludf.DUMMYFUNCTION("""COMPUTED_VALUE"""),"K/19/250325/1")</f>
        <v>K/19/250325/1</v>
      </c>
      <c r="C3309" s="42" t="str">
        <f>IFERROR(__xludf.DUMMYFUNCTION("""COMPUTED_VALUE"""),"M. 12673/ Sukabumi")</f>
        <v>M. 12673/ Sukabumi</v>
      </c>
      <c r="D3309" s="42" t="str">
        <f>IFERROR(__xludf.DUMMYFUNCTION("""COMPUTED_VALUE"""),"David")</f>
        <v>David</v>
      </c>
      <c r="E3309" s="42" t="str">
        <f>IFERROR(__xludf.DUMMYFUNCTION("""COMPUTED_VALUE"""),"DISERAHKAN")</f>
        <v>DISERAHKAN</v>
      </c>
      <c r="F3309" s="48">
        <f>IFERROR(__xludf.DUMMYFUNCTION("""COMPUTED_VALUE"""),45791.4565155787)</f>
        <v>45791.45652</v>
      </c>
      <c r="G3309" s="42" t="str">
        <f>IFERROR(__xludf.DUMMYFUNCTION("""COMPUTED_VALUE"""),"BN Jual Beli")</f>
        <v>BN Jual Beli</v>
      </c>
      <c r="H3309" s="42">
        <f t="shared" si="1"/>
        <v>1521</v>
      </c>
    </row>
    <row r="3310" ht="22.5" customHeight="1">
      <c r="B3310" s="42" t="str">
        <f>IFERROR(__xludf.DUMMYFUNCTION("""COMPUTED_VALUE"""),"K/1/260325/1")</f>
        <v>K/1/260325/1</v>
      </c>
      <c r="C3310" s="42" t="str">
        <f>IFERROR(__xludf.DUMMYFUNCTION("""COMPUTED_VALUE"""),"M.11169/KEDATON")</f>
        <v>M.11169/KEDATON</v>
      </c>
      <c r="D3310" s="42"/>
      <c r="E3310" s="42"/>
      <c r="F3310" s="48" t="str">
        <f>IFERROR(__xludf.DUMMYFUNCTION("""COMPUTED_VALUE"""),"")</f>
        <v/>
      </c>
      <c r="G3310" s="42" t="str">
        <f>IFERROR(__xludf.DUMMYFUNCTION("""COMPUTED_VALUE"""),"ROYA")</f>
        <v>ROYA</v>
      </c>
      <c r="H3310" s="42">
        <f t="shared" si="1"/>
        <v>1521</v>
      </c>
    </row>
    <row r="3311" ht="22.5" customHeight="1">
      <c r="B3311" s="42" t="str">
        <f>IFERROR(__xludf.DUMMYFUNCTION("""COMPUTED_VALUE"""),"L/3/260325/1")</f>
        <v>L/3/260325/1</v>
      </c>
      <c r="C3311" s="42" t="str">
        <f>IFERROR(__xludf.DUMMYFUNCTION("""COMPUTED_VALUE"""),"NIB 19667/GEDONG MENENG")</f>
        <v>NIB 19667/GEDONG MENENG</v>
      </c>
      <c r="D3311" s="42"/>
      <c r="E3311" s="42"/>
      <c r="F3311" s="48" t="str">
        <f>IFERROR(__xludf.DUMMYFUNCTION("""COMPUTED_VALUE"""),"")</f>
        <v/>
      </c>
      <c r="G3311" s="42" t="str">
        <f>IFERROR(__xludf.DUMMYFUNCTION("""COMPUTED_VALUE"""),"PH")</f>
        <v>PH</v>
      </c>
      <c r="H3311" s="42">
        <f t="shared" si="1"/>
        <v>1521</v>
      </c>
    </row>
    <row r="3312" ht="22.5" customHeight="1">
      <c r="B3312" s="42" t="str">
        <f>IFERROR(__xludf.DUMMYFUNCTION("""COMPUTED_VALUE"""),"K/2/260325/2")</f>
        <v>K/2/260325/2</v>
      </c>
      <c r="C3312" s="42" t="str">
        <f>IFERROR(__xludf.DUMMYFUNCTION("""COMPUTED_VALUE"""),"M.1714/WAY KANDIS")</f>
        <v>M.1714/WAY KANDIS</v>
      </c>
      <c r="D3312" s="42"/>
      <c r="E3312" s="42"/>
      <c r="F3312" s="48" t="str">
        <f>IFERROR(__xludf.DUMMYFUNCTION("""COMPUTED_VALUE"""),"")</f>
        <v/>
      </c>
      <c r="G3312" s="42" t="str">
        <f>IFERROR(__xludf.DUMMYFUNCTION("""COMPUTED_VALUE"""),"ROYA")</f>
        <v>ROYA</v>
      </c>
      <c r="H3312" s="42">
        <f t="shared" si="1"/>
        <v>1521</v>
      </c>
    </row>
    <row r="3313" ht="22.5" customHeight="1">
      <c r="B3313" s="42" t="str">
        <f>IFERROR(__xludf.DUMMYFUNCTION("""COMPUTED_VALUE"""),"L/4/260325/1")</f>
        <v>L/4/260325/1</v>
      </c>
      <c r="C3313" s="42" t="str">
        <f>IFERROR(__xludf.DUMMYFUNCTION("""COMPUTED_VALUE"""),"HGB 510/SUKAMAJU")</f>
        <v>HGB 510/SUKAMAJU</v>
      </c>
      <c r="D3313" s="42"/>
      <c r="E3313" s="42"/>
      <c r="F3313" s="48" t="str">
        <f>IFERROR(__xludf.DUMMYFUNCTION("""COMPUTED_VALUE"""),"")</f>
        <v/>
      </c>
      <c r="G3313" s="42" t="str">
        <f>IFERROR(__xludf.DUMMYFUNCTION("""COMPUTED_VALUE"""),"PH")</f>
        <v>PH</v>
      </c>
      <c r="H3313" s="42">
        <f t="shared" si="1"/>
        <v>1521</v>
      </c>
    </row>
    <row r="3314" ht="22.5" customHeight="1">
      <c r="B3314" s="42" t="str">
        <f>IFERROR(__xludf.DUMMYFUNCTION("""COMPUTED_VALUE"""),"K/5/260325/1")</f>
        <v>K/5/260325/1</v>
      </c>
      <c r="C3314" s="42" t="str">
        <f>IFERROR(__xludf.DUMMYFUNCTION("""COMPUTED_VALUE"""),"M. 6637/ Tanjung Baru")</f>
        <v>M. 6637/ Tanjung Baru</v>
      </c>
      <c r="D3314" s="42"/>
      <c r="E3314" s="42"/>
      <c r="F3314" s="48" t="str">
        <f>IFERROR(__xludf.DUMMYFUNCTION("""COMPUTED_VALUE"""),"")</f>
        <v/>
      </c>
      <c r="G3314" s="42" t="str">
        <f>IFERROR(__xludf.DUMMYFUNCTION("""COMPUTED_VALUE"""),"Sita")</f>
        <v>Sita</v>
      </c>
      <c r="H3314" s="42">
        <f t="shared" si="1"/>
        <v>1521</v>
      </c>
    </row>
    <row r="3315" ht="22.5" customHeight="1">
      <c r="B3315" s="42" t="str">
        <f>IFERROR(__xludf.DUMMYFUNCTION("""COMPUTED_VALUE"""),"L/6/260325/1")</f>
        <v>L/6/260325/1</v>
      </c>
      <c r="C3315" s="42" t="str">
        <f>IFERROR(__xludf.DUMMYFUNCTION("""COMPUTED_VALUE"""),"HGB 264/PANJANG UTARA")</f>
        <v>HGB 264/PANJANG UTARA</v>
      </c>
      <c r="D3315" s="42"/>
      <c r="E3315" s="42"/>
      <c r="F3315" s="48" t="str">
        <f>IFERROR(__xludf.DUMMYFUNCTION("""COMPUTED_VALUE"""),"")</f>
        <v/>
      </c>
      <c r="G3315" s="42" t="str">
        <f>IFERROR(__xludf.DUMMYFUNCTION("""COMPUTED_VALUE"""),"SKPT INFORMASI")</f>
        <v>SKPT INFORMASI</v>
      </c>
      <c r="H3315" s="42">
        <f t="shared" si="1"/>
        <v>1521</v>
      </c>
    </row>
    <row r="3316" ht="22.5" customHeight="1">
      <c r="B3316" s="42" t="str">
        <f>IFERROR(__xludf.DUMMYFUNCTION("""COMPUTED_VALUE"""),"K/8/260325/1")</f>
        <v>K/8/260325/1</v>
      </c>
      <c r="C3316" s="42" t="str">
        <f>IFERROR(__xludf.DUMMYFUNCTION("""COMPUTED_VALUE"""),"M. 1000/SUKARAME BARU")</f>
        <v>M. 1000/SUKARAME BARU</v>
      </c>
      <c r="D3316" s="42"/>
      <c r="E3316" s="42"/>
      <c r="F3316" s="48" t="str">
        <f>IFERROR(__xludf.DUMMYFUNCTION("""COMPUTED_VALUE"""),"")</f>
        <v/>
      </c>
      <c r="G3316" s="42" t="str">
        <f>IFERROR(__xludf.DUMMYFUNCTION("""COMPUTED_VALUE"""),"BN JUAL BELI")</f>
        <v>BN JUAL BELI</v>
      </c>
      <c r="H3316" s="42">
        <f t="shared" si="1"/>
        <v>1521</v>
      </c>
    </row>
    <row r="3317" ht="22.5" customHeight="1">
      <c r="B3317" s="42" t="str">
        <f>IFERROR(__xludf.DUMMYFUNCTION("""COMPUTED_VALUE"""),"L/9/260325/1")</f>
        <v>L/9/260325/1</v>
      </c>
      <c r="C3317" s="42" t="str">
        <f>IFERROR(__xludf.DUMMYFUNCTION("""COMPUTED_VALUE"""),"HM 4864/WAY KANDIS")</f>
        <v>HM 4864/WAY KANDIS</v>
      </c>
      <c r="D3317" s="42"/>
      <c r="E3317" s="42"/>
      <c r="F3317" s="48" t="str">
        <f>IFERROR(__xludf.DUMMYFUNCTION("""COMPUTED_VALUE"""),"")</f>
        <v/>
      </c>
      <c r="G3317" s="42" t="str">
        <f>IFERROR(__xludf.DUMMYFUNCTION("""COMPUTED_VALUE"""),"SERTIPIKAT HILANG")</f>
        <v>SERTIPIKAT HILANG</v>
      </c>
      <c r="H3317" s="42">
        <f t="shared" si="1"/>
        <v>1521</v>
      </c>
    </row>
    <row r="3318" ht="22.5" customHeight="1">
      <c r="B3318" s="42" t="str">
        <f>IFERROR(__xludf.DUMMYFUNCTION("""COMPUTED_VALUE"""),"L/10/260325/1")</f>
        <v>L/10/260325/1</v>
      </c>
      <c r="C3318" s="42" t="str">
        <f>IFERROR(__xludf.DUMMYFUNCTION("""COMPUTED_VALUE"""),"HM 11357/SUKABUMI")</f>
        <v>HM 11357/SUKABUMI</v>
      </c>
      <c r="D3318" s="42" t="str">
        <f>IFERROR(__xludf.DUMMYFUNCTION("""COMPUTED_VALUE"""),"Berry")</f>
        <v>Berry</v>
      </c>
      <c r="E3318" s="42" t="str">
        <f>IFERROR(__xludf.DUMMYFUNCTION("""COMPUTED_VALUE"""),"DISERAHKAN")</f>
        <v>DISERAHKAN</v>
      </c>
      <c r="F3318" s="48">
        <f>IFERROR(__xludf.DUMMYFUNCTION("""COMPUTED_VALUE"""),45799.52859502315)</f>
        <v>45799.5286</v>
      </c>
      <c r="G3318" s="42" t="str">
        <f>IFERROR(__xludf.DUMMYFUNCTION("""COMPUTED_VALUE"""),"ROYA")</f>
        <v>ROYA</v>
      </c>
      <c r="H3318" s="42">
        <f t="shared" si="1"/>
        <v>1522</v>
      </c>
    </row>
    <row r="3319" ht="22.5" customHeight="1">
      <c r="B3319" s="42" t="str">
        <f>IFERROR(__xludf.DUMMYFUNCTION("""COMPUTED_VALUE"""),"K/11/260325/1")</f>
        <v>K/11/260325/1</v>
      </c>
      <c r="C3319" s="42" t="str">
        <f>IFERROR(__xludf.DUMMYFUNCTION("""COMPUTED_VALUE"""),"Nibel. M. 2190/ Gunung Terang")</f>
        <v>Nibel. M. 2190/ Gunung Terang</v>
      </c>
      <c r="D3319" s="42"/>
      <c r="E3319" s="42"/>
      <c r="F3319" s="48" t="str">
        <f>IFERROR(__xludf.DUMMYFUNCTION("""COMPUTED_VALUE"""),"")</f>
        <v/>
      </c>
      <c r="G3319" s="42" t="str">
        <f>IFERROR(__xludf.DUMMYFUNCTION("""COMPUTED_VALUE"""),"BN Jual Beli")</f>
        <v>BN Jual Beli</v>
      </c>
      <c r="H3319" s="42">
        <f t="shared" si="1"/>
        <v>1522</v>
      </c>
    </row>
    <row r="3320" ht="22.5" customHeight="1">
      <c r="B3320" s="42" t="str">
        <f>IFERROR(__xludf.DUMMYFUNCTION("""COMPUTED_VALUE"""),"K/12/260325/1")</f>
        <v>K/12/260325/1</v>
      </c>
      <c r="C3320" s="42" t="str">
        <f>IFERROR(__xludf.DUMMYFUNCTION("""COMPUTED_VALUE"""),"M. 3110/ Sukarame II")</f>
        <v>M. 3110/ Sukarame II</v>
      </c>
      <c r="D3320" s="42" t="str">
        <f>IFERROR(__xludf.DUMMYFUNCTION("""COMPUTED_VALUE"""),"David")</f>
        <v>David</v>
      </c>
      <c r="E3320" s="42" t="str">
        <f>IFERROR(__xludf.DUMMYFUNCTION("""COMPUTED_VALUE"""),"DISERAHKAN")</f>
        <v>DISERAHKAN</v>
      </c>
      <c r="F3320" s="48">
        <f>IFERROR(__xludf.DUMMYFUNCTION("""COMPUTED_VALUE"""),45793.39578638889)</f>
        <v>45793.39579</v>
      </c>
      <c r="G3320" s="42" t="str">
        <f>IFERROR(__xludf.DUMMYFUNCTION("""COMPUTED_VALUE"""),"BN JUAL BELI")</f>
        <v>BN JUAL BELI</v>
      </c>
      <c r="H3320" s="42">
        <f t="shared" si="1"/>
        <v>1523</v>
      </c>
    </row>
    <row r="3321" ht="22.5" customHeight="1">
      <c r="B3321" s="42" t="str">
        <f>IFERROR(__xludf.DUMMYFUNCTION("""COMPUTED_VALUE"""),"K/13/260325/2")</f>
        <v>K/13/260325/2</v>
      </c>
      <c r="C3321" s="42" t="str">
        <f>IFERROR(__xludf.DUMMYFUNCTION("""COMPUTED_VALUE"""),"M. 4909/ Sukadanaham")</f>
        <v>M. 4909/ Sukadanaham</v>
      </c>
      <c r="D3321" s="42"/>
      <c r="E3321" s="42" t="str">
        <f>IFERROR(__xludf.DUMMYFUNCTION("""COMPUTED_VALUE"""),"DISERAHKAN")</f>
        <v>DISERAHKAN</v>
      </c>
      <c r="F3321" s="48">
        <f>IFERROR(__xludf.DUMMYFUNCTION("""COMPUTED_VALUE"""),45771.63573002315)</f>
        <v>45771.63573</v>
      </c>
      <c r="G3321" s="42" t="str">
        <f>IFERROR(__xludf.DUMMYFUNCTION("""COMPUTED_VALUE"""),"BN JUAL BELI")</f>
        <v>BN JUAL BELI</v>
      </c>
      <c r="H3321" s="42">
        <f t="shared" si="1"/>
        <v>1524</v>
      </c>
    </row>
    <row r="3322" ht="22.5" customHeight="1">
      <c r="B3322" s="42" t="str">
        <f>IFERROR(__xludf.DUMMYFUNCTION("""COMPUTED_VALUE"""),"K/14/260325/3")</f>
        <v>K/14/260325/3</v>
      </c>
      <c r="C3322" s="42" t="str">
        <f>IFERROR(__xludf.DUMMYFUNCTION("""COMPUTED_VALUE"""),"M. 3119/ Sukarame II")</f>
        <v>M. 3119/ Sukarame II</v>
      </c>
      <c r="D3322" s="42"/>
      <c r="E3322" s="42"/>
      <c r="F3322" s="48" t="str">
        <f>IFERROR(__xludf.DUMMYFUNCTION("""COMPUTED_VALUE"""),"")</f>
        <v/>
      </c>
      <c r="G3322" s="42" t="str">
        <f>IFERROR(__xludf.DUMMYFUNCTION("""COMPUTED_VALUE"""),"BN JUAL BELI")</f>
        <v>BN JUAL BELI</v>
      </c>
      <c r="H3322" s="42">
        <f t="shared" si="1"/>
        <v>1524</v>
      </c>
    </row>
    <row r="3323" ht="22.5" customHeight="1">
      <c r="B3323" s="42" t="str">
        <f>IFERROR(__xludf.DUMMYFUNCTION("""COMPUTED_VALUE"""),"K/16/260325/2")</f>
        <v>K/16/260325/2</v>
      </c>
      <c r="C3323" s="42" t="str">
        <f>IFERROR(__xludf.DUMMYFUNCTION("""COMPUTED_VALUE"""),"M. 744/ Rajabasa Jaya")</f>
        <v>M. 744/ Rajabasa Jaya</v>
      </c>
      <c r="D3323" s="42"/>
      <c r="E3323" s="42" t="str">
        <f>IFERROR(__xludf.DUMMYFUNCTION("""COMPUTED_VALUE"""),"DISERAHKAN")</f>
        <v>DISERAHKAN</v>
      </c>
      <c r="F3323" s="48">
        <f>IFERROR(__xludf.DUMMYFUNCTION("""COMPUTED_VALUE"""),45764.596752048616)</f>
        <v>45764.59675</v>
      </c>
      <c r="G3323" s="42" t="str">
        <f>IFERROR(__xludf.DUMMYFUNCTION("""COMPUTED_VALUE"""),"BN JUAL BELI")</f>
        <v>BN JUAL BELI</v>
      </c>
      <c r="H3323" s="42">
        <f t="shared" si="1"/>
        <v>1525</v>
      </c>
    </row>
    <row r="3324" ht="22.5" customHeight="1">
      <c r="B3324" s="42" t="str">
        <f>IFERROR(__xludf.DUMMYFUNCTION("""COMPUTED_VALUE"""),"K/15/260325/1")</f>
        <v>K/15/260325/1</v>
      </c>
      <c r="C3324" s="42" t="str">
        <f>IFERROR(__xludf.DUMMYFUNCTION("""COMPUTED_VALUE"""),"M. 1390/ Bumi Kedamaian")</f>
        <v>M. 1390/ Bumi Kedamaian</v>
      </c>
      <c r="D3324" s="42"/>
      <c r="E3324" s="42"/>
      <c r="F3324" s="48" t="str">
        <f>IFERROR(__xludf.DUMMYFUNCTION("""COMPUTED_VALUE"""),"")</f>
        <v/>
      </c>
      <c r="G3324" s="42" t="str">
        <f>IFERROR(__xludf.DUMMYFUNCTION("""COMPUTED_VALUE"""),"BN JUAL BELI")</f>
        <v>BN JUAL BELI</v>
      </c>
      <c r="H3324" s="42">
        <f t="shared" si="1"/>
        <v>1525</v>
      </c>
    </row>
    <row r="3325" ht="22.5" customHeight="1">
      <c r="B3325" s="42" t="str">
        <f>IFERROR(__xludf.DUMMYFUNCTION("""COMPUTED_VALUE"""),"K/17/260325/3")</f>
        <v>K/17/260325/3</v>
      </c>
      <c r="C3325" s="42" t="str">
        <f>IFERROR(__xludf.DUMMYFUNCTION("""COMPUTED_VALUE"""),"M. 1366/ Bumi Kedamaian")</f>
        <v>M. 1366/ Bumi Kedamaian</v>
      </c>
      <c r="D3325" s="42"/>
      <c r="E3325" s="42"/>
      <c r="F3325" s="48" t="str">
        <f>IFERROR(__xludf.DUMMYFUNCTION("""COMPUTED_VALUE"""),"")</f>
        <v/>
      </c>
      <c r="G3325" s="42" t="str">
        <f>IFERROR(__xludf.DUMMYFUNCTION("""COMPUTED_VALUE"""),"BN JUAL BELI")</f>
        <v>BN JUAL BELI</v>
      </c>
      <c r="H3325" s="42">
        <f t="shared" si="1"/>
        <v>1525</v>
      </c>
    </row>
    <row r="3326" ht="22.5" customHeight="1">
      <c r="B3326" s="42" t="str">
        <f>IFERROR(__xludf.DUMMYFUNCTION("""COMPUTED_VALUE"""),"K/19/260325/1")</f>
        <v>K/19/260325/1</v>
      </c>
      <c r="C3326" s="42" t="str">
        <f>IFERROR(__xludf.DUMMYFUNCTION("""COMPUTED_VALUE"""),"NIbel 18110/ way kandis")</f>
        <v>NIbel 18110/ way kandis</v>
      </c>
      <c r="D3326" s="42"/>
      <c r="E3326" s="42"/>
      <c r="F3326" s="48" t="str">
        <f>IFERROR(__xludf.DUMMYFUNCTION("""COMPUTED_VALUE"""),"")</f>
        <v/>
      </c>
      <c r="G3326" s="42" t="str">
        <f>IFERROR(__xludf.DUMMYFUNCTION("""COMPUTED_VALUE"""),"ROYA")</f>
        <v>ROYA</v>
      </c>
      <c r="H3326" s="42">
        <f t="shared" si="1"/>
        <v>1525</v>
      </c>
    </row>
    <row r="3327" ht="22.5" customHeight="1">
      <c r="B3327" s="42" t="str">
        <f>IFERROR(__xludf.DUMMYFUNCTION("""COMPUTED_VALUE"""),"L/20/260325/1")</f>
        <v>L/20/260325/1</v>
      </c>
      <c r="C3327" s="42" t="str">
        <f>IFERROR(__xludf.DUMMYFUNCTION("""COMPUTED_VALUE"""),"HM 1066/TALANG")</f>
        <v>HM 1066/TALANG</v>
      </c>
      <c r="D3327" s="42"/>
      <c r="E3327" s="42"/>
      <c r="F3327" s="48" t="str">
        <f>IFERROR(__xludf.DUMMYFUNCTION("""COMPUTED_VALUE"""),"")</f>
        <v/>
      </c>
      <c r="G3327" s="42" t="str">
        <f>IFERROR(__xludf.DUMMYFUNCTION("""COMPUTED_VALUE"""),"BN JUAL- BELI")</f>
        <v>BN JUAL- BELI</v>
      </c>
      <c r="H3327" s="42">
        <f t="shared" si="1"/>
        <v>1525</v>
      </c>
    </row>
    <row r="3328" ht="22.5" customHeight="1">
      <c r="B3328" s="42" t="str">
        <f>IFERROR(__xludf.DUMMYFUNCTION("""COMPUTED_VALUE"""),"K/21/260325/1")</f>
        <v>K/21/260325/1</v>
      </c>
      <c r="C3328" s="42" t="str">
        <f>IFERROR(__xludf.DUMMYFUNCTION("""COMPUTED_VALUE"""),"M. 2634/ Pinang Jaya")</f>
        <v>M. 2634/ Pinang Jaya</v>
      </c>
      <c r="D3328" s="42"/>
      <c r="E3328" s="42"/>
      <c r="F3328" s="48" t="str">
        <f>IFERROR(__xludf.DUMMYFUNCTION("""COMPUTED_VALUE"""),"")</f>
        <v/>
      </c>
      <c r="G3328" s="42" t="str">
        <f>IFERROR(__xludf.DUMMYFUNCTION("""COMPUTED_VALUE"""),"BN JUAL BELI")</f>
        <v>BN JUAL BELI</v>
      </c>
      <c r="H3328" s="42">
        <f t="shared" si="1"/>
        <v>1525</v>
      </c>
    </row>
    <row r="3329" ht="22.5" customHeight="1">
      <c r="B3329" s="42" t="str">
        <f>IFERROR(__xludf.DUMMYFUNCTION("""COMPUTED_VALUE"""),"K/22/260325/1")</f>
        <v>K/22/260325/1</v>
      </c>
      <c r="C3329" s="42" t="str">
        <f>IFERROR(__xludf.DUMMYFUNCTION("""COMPUTED_VALUE"""),"M.771/SUMBER AGUNG")</f>
        <v>M.771/SUMBER AGUNG</v>
      </c>
      <c r="D3329" s="42"/>
      <c r="E3329" s="42"/>
      <c r="F3329" s="48" t="str">
        <f>IFERROR(__xludf.DUMMYFUNCTION("""COMPUTED_VALUE"""),"")</f>
        <v/>
      </c>
      <c r="G3329" s="42" t="str">
        <f>IFERROR(__xludf.DUMMYFUNCTION("""COMPUTED_VALUE"""),"JUAL BELI")</f>
        <v>JUAL BELI</v>
      </c>
      <c r="H3329" s="42">
        <f t="shared" si="1"/>
        <v>1525</v>
      </c>
    </row>
    <row r="3330" ht="22.5" customHeight="1">
      <c r="B3330" s="42" t="str">
        <f>IFERROR(__xludf.DUMMYFUNCTION("""COMPUTED_VALUE"""),"K/23/260325/2")</f>
        <v>K/23/260325/2</v>
      </c>
      <c r="C3330" s="42" t="str">
        <f>IFERROR(__xludf.DUMMYFUNCTION("""COMPUTED_VALUE"""),"M.12771/SUKABUMI")</f>
        <v>M.12771/SUKABUMI</v>
      </c>
      <c r="D3330" s="42"/>
      <c r="E3330" s="42"/>
      <c r="F3330" s="48" t="str">
        <f>IFERROR(__xludf.DUMMYFUNCTION("""COMPUTED_VALUE"""),"")</f>
        <v/>
      </c>
      <c r="G3330" s="42" t="str">
        <f>IFERROR(__xludf.DUMMYFUNCTION("""COMPUTED_VALUE"""),"JUAL BELI")</f>
        <v>JUAL BELI</v>
      </c>
      <c r="H3330" s="42">
        <f t="shared" si="1"/>
        <v>1525</v>
      </c>
    </row>
    <row r="3331" ht="22.5" customHeight="1">
      <c r="B3331" s="42" t="str">
        <f>IFERROR(__xludf.DUMMYFUNCTION("""COMPUTED_VALUE"""),"K/24/260325/3")</f>
        <v>K/24/260325/3</v>
      </c>
      <c r="C3331" s="42" t="str">
        <f>IFERROR(__xludf.DUMMYFUNCTION("""COMPUTED_VALUE"""),"M.1796/GEDONG AIR")</f>
        <v>M.1796/GEDONG AIR</v>
      </c>
      <c r="D3331" s="42"/>
      <c r="E3331" s="42" t="str">
        <f>IFERROR(__xludf.DUMMYFUNCTION("""COMPUTED_VALUE"""),"DISERAHKAN")</f>
        <v>DISERAHKAN</v>
      </c>
      <c r="F3331" s="48">
        <f>IFERROR(__xludf.DUMMYFUNCTION("""COMPUTED_VALUE"""),45761.438665925925)</f>
        <v>45761.43867</v>
      </c>
      <c r="G3331" s="42" t="str">
        <f>IFERROR(__xludf.DUMMYFUNCTION("""COMPUTED_VALUE"""),"JUAL BELI")</f>
        <v>JUAL BELI</v>
      </c>
      <c r="H3331" s="42">
        <f t="shared" si="1"/>
        <v>1526</v>
      </c>
    </row>
    <row r="3332" ht="22.5" customHeight="1">
      <c r="B3332" s="42" t="str">
        <f>IFERROR(__xludf.DUMMYFUNCTION("""COMPUTED_VALUE"""),"K/25/260325/1")</f>
        <v>K/25/260325/1</v>
      </c>
      <c r="C3332" s="42" t="str">
        <f>IFERROR(__xludf.DUMMYFUNCTION("""COMPUTED_VALUE"""),"M.1002/RAJABASA ")</f>
        <v>M.1002/RAJABASA </v>
      </c>
      <c r="D3332" s="42"/>
      <c r="E3332" s="42"/>
      <c r="F3332" s="48" t="str">
        <f>IFERROR(__xludf.DUMMYFUNCTION("""COMPUTED_VALUE"""),"")</f>
        <v/>
      </c>
      <c r="G3332" s="42" t="str">
        <f>IFERROR(__xludf.DUMMYFUNCTION("""COMPUTED_VALUE"""),"PTPGT")</f>
        <v>PTPGT</v>
      </c>
      <c r="H3332" s="42">
        <f t="shared" si="1"/>
        <v>1526</v>
      </c>
    </row>
    <row r="3333" ht="22.5" customHeight="1">
      <c r="B3333" s="42" t="str">
        <f>IFERROR(__xludf.DUMMYFUNCTION("""COMPUTED_VALUE"""),"K/26/260325/1")</f>
        <v>K/26/260325/1</v>
      </c>
      <c r="C3333" s="42" t="str">
        <f>IFERROR(__xludf.DUMMYFUNCTION("""COMPUTED_VALUE"""),"M.1231/LABUHAN DALAM")</f>
        <v>M.1231/LABUHAN DALAM</v>
      </c>
      <c r="D3333" s="42"/>
      <c r="E3333" s="42"/>
      <c r="F3333" s="48" t="str">
        <f>IFERROR(__xludf.DUMMYFUNCTION("""COMPUTED_VALUE"""),"")</f>
        <v/>
      </c>
      <c r="G3333" s="42" t="str">
        <f>IFERROR(__xludf.DUMMYFUNCTION("""COMPUTED_VALUE"""),"JUAL BELI")</f>
        <v>JUAL BELI</v>
      </c>
      <c r="H3333" s="42">
        <f t="shared" si="1"/>
        <v>1526</v>
      </c>
    </row>
    <row r="3334" ht="22.5" customHeight="1">
      <c r="B3334" s="42" t="str">
        <f>IFERROR(__xludf.DUMMYFUNCTION("""COMPUTED_VALUE"""),"K/27/260325/2")</f>
        <v>K/27/260325/2</v>
      </c>
      <c r="C3334" s="42" t="str">
        <f>IFERROR(__xludf.DUMMYFUNCTION("""COMPUTED_VALUE"""),"M.443/KOTA KARANG RAYA")</f>
        <v>M.443/KOTA KARANG RAYA</v>
      </c>
      <c r="D3334" s="42"/>
      <c r="E3334" s="42" t="str">
        <f>IFERROR(__xludf.DUMMYFUNCTION("""COMPUTED_VALUE"""),"DISERAHKAN")</f>
        <v>DISERAHKAN</v>
      </c>
      <c r="F3334" s="48">
        <f>IFERROR(__xludf.DUMMYFUNCTION("""COMPUTED_VALUE"""),45764.59593571759)</f>
        <v>45764.59594</v>
      </c>
      <c r="G3334" s="42" t="str">
        <f>IFERROR(__xludf.DUMMYFUNCTION("""COMPUTED_VALUE"""),"KEWARISAN")</f>
        <v>KEWARISAN</v>
      </c>
      <c r="H3334" s="42">
        <f t="shared" si="1"/>
        <v>1527</v>
      </c>
    </row>
    <row r="3335" ht="22.5" customHeight="1">
      <c r="B3335" s="42" t="str">
        <f>IFERROR(__xludf.DUMMYFUNCTION("""COMPUTED_VALUE"""),"K/30/260325/1")</f>
        <v>K/30/260325/1</v>
      </c>
      <c r="C3335" s="42" t="str">
        <f>IFERROR(__xludf.DUMMYFUNCTION("""COMPUTED_VALUE"""),"M. 1539/ Kemiling Permai")</f>
        <v>M. 1539/ Kemiling Permai</v>
      </c>
      <c r="D3335" s="42" t="str">
        <f>IFERROR(__xludf.DUMMYFUNCTION("""COMPUTED_VALUE"""),"Berry")</f>
        <v>Berry</v>
      </c>
      <c r="E3335" s="42" t="str">
        <f>IFERROR(__xludf.DUMMYFUNCTION("""COMPUTED_VALUE"""),"DISERAHKAN")</f>
        <v>DISERAHKAN</v>
      </c>
      <c r="F3335" s="48">
        <f>IFERROR(__xludf.DUMMYFUNCTION("""COMPUTED_VALUE"""),45791.66703696759)</f>
        <v>45791.66704</v>
      </c>
      <c r="G3335" s="42" t="str">
        <f>IFERROR(__xludf.DUMMYFUNCTION("""COMPUTED_VALUE"""),"BN Jual Beli")</f>
        <v>BN Jual Beli</v>
      </c>
      <c r="H3335" s="42">
        <f t="shared" si="1"/>
        <v>1528</v>
      </c>
    </row>
    <row r="3336" ht="22.5" customHeight="1">
      <c r="B3336" s="42" t="str">
        <f>IFERROR(__xludf.DUMMYFUNCTION("""COMPUTED_VALUE"""),"K/28/260325/1")</f>
        <v>K/28/260325/1</v>
      </c>
      <c r="C3336" s="42" t="str">
        <f>IFERROR(__xludf.DUMMYFUNCTION("""COMPUTED_VALUE"""),"M. 3362/KOTA BARU")</f>
        <v>M. 3362/KOTA BARU</v>
      </c>
      <c r="D3336" s="42"/>
      <c r="E3336" s="42" t="str">
        <f>IFERROR(__xludf.DUMMYFUNCTION("""COMPUTED_VALUE"""),"DISERAHKAN")</f>
        <v>DISERAHKAN</v>
      </c>
      <c r="F3336" s="48">
        <f>IFERROR(__xludf.DUMMYFUNCTION("""COMPUTED_VALUE"""),45769.42366613426)</f>
        <v>45769.42367</v>
      </c>
      <c r="G3336" s="42" t="str">
        <f>IFERROR(__xludf.DUMMYFUNCTION("""COMPUTED_VALUE"""),"BN JUAL BELI")</f>
        <v>BN JUAL BELI</v>
      </c>
      <c r="H3336" s="42">
        <f t="shared" si="1"/>
        <v>1529</v>
      </c>
    </row>
    <row r="3337" ht="22.5" customHeight="1">
      <c r="B3337" s="42" t="str">
        <f>IFERROR(__xludf.DUMMYFUNCTION("""COMPUTED_VALUE"""),"K/31/260325/1")</f>
        <v>K/31/260325/1</v>
      </c>
      <c r="C3337" s="42" t="str">
        <f>IFERROR(__xludf.DUMMYFUNCTION("""COMPUTED_VALUE"""),"M. 352/ Batu Putuk")</f>
        <v>M. 352/ Batu Putuk</v>
      </c>
      <c r="D3337" s="42"/>
      <c r="E3337" s="42" t="str">
        <f>IFERROR(__xludf.DUMMYFUNCTION("""COMPUTED_VALUE"""),"DISERAHKAN")</f>
        <v>DISERAHKAN</v>
      </c>
      <c r="F3337" s="48">
        <f>IFERROR(__xludf.DUMMYFUNCTION("""COMPUTED_VALUE"""),45764.596926770835)</f>
        <v>45764.59693</v>
      </c>
      <c r="G3337" s="42" t="str">
        <f>IFERROR(__xludf.DUMMYFUNCTION("""COMPUTED_VALUE"""),"BN JUAL BELI")</f>
        <v>BN JUAL BELI</v>
      </c>
      <c r="H3337" s="42">
        <f t="shared" si="1"/>
        <v>1530</v>
      </c>
    </row>
    <row r="3338" ht="22.5" customHeight="1">
      <c r="B3338" s="42" t="str">
        <f>IFERROR(__xludf.DUMMYFUNCTION("""COMPUTED_VALUE"""),"K/29/260325/2")</f>
        <v>K/29/260325/2</v>
      </c>
      <c r="C3338" s="42" t="str">
        <f>IFERROR(__xludf.DUMMYFUNCTION("""COMPUTED_VALUE"""),"M. 1611/RAJABASA NUNYAI")</f>
        <v>M. 1611/RAJABASA NUNYAI</v>
      </c>
      <c r="D3338" s="42"/>
      <c r="E3338" s="42" t="str">
        <f>IFERROR(__xludf.DUMMYFUNCTION("""COMPUTED_VALUE"""),"DISERAHKAN")</f>
        <v>DISERAHKAN</v>
      </c>
      <c r="F3338" s="48">
        <f>IFERROR(__xludf.DUMMYFUNCTION("""COMPUTED_VALUE"""),45761.450718113425)</f>
        <v>45761.45072</v>
      </c>
      <c r="G3338" s="42" t="str">
        <f>IFERROR(__xludf.DUMMYFUNCTION("""COMPUTED_VALUE"""),"BN JUAL BELI ")</f>
        <v>BN JUAL BELI </v>
      </c>
      <c r="H3338" s="42">
        <f t="shared" si="1"/>
        <v>1531</v>
      </c>
    </row>
    <row r="3339" ht="22.5" customHeight="1">
      <c r="B3339" s="42" t="str">
        <f>IFERROR(__xludf.DUMMYFUNCTION("""COMPUTED_VALUE"""),"K/1/270325/1")</f>
        <v>K/1/270325/1</v>
      </c>
      <c r="C3339" s="42" t="str">
        <f>IFERROR(__xludf.DUMMYFUNCTION("""COMPUTED_VALUE"""),"M.14273/SEGALA MIDER")</f>
        <v>M.14273/SEGALA MIDER</v>
      </c>
      <c r="D3339" s="42"/>
      <c r="E3339" s="42" t="str">
        <f>IFERROR(__xludf.DUMMYFUNCTION("""COMPUTED_VALUE"""),"DISERAHKAN")</f>
        <v>DISERAHKAN</v>
      </c>
      <c r="F3339" s="48">
        <f>IFERROR(__xludf.DUMMYFUNCTION("""COMPUTED_VALUE"""),45769.428368865745)</f>
        <v>45769.42837</v>
      </c>
      <c r="G3339" s="42" t="str">
        <f>IFERROR(__xludf.DUMMYFUNCTION("""COMPUTED_VALUE"""),"JUAL BELI")</f>
        <v>JUAL BELI</v>
      </c>
      <c r="H3339" s="42">
        <f t="shared" si="1"/>
        <v>1532</v>
      </c>
    </row>
    <row r="3340" ht="22.5" customHeight="1">
      <c r="B3340" s="42" t="str">
        <f>IFERROR(__xludf.DUMMYFUNCTION("""COMPUTED_VALUE"""),"K/2/270325/2")</f>
        <v>K/2/270325/2</v>
      </c>
      <c r="C3340" s="42" t="str">
        <f>IFERROR(__xludf.DUMMYFUNCTION("""COMPUTED_VALUE"""),"NIBEL M 19607/NEGERI OLOK GADING")</f>
        <v>NIBEL M 19607/NEGERI OLOK GADING</v>
      </c>
      <c r="D3340" s="42"/>
      <c r="E3340" s="42"/>
      <c r="F3340" s="48" t="str">
        <f>IFERROR(__xludf.DUMMYFUNCTION("""COMPUTED_VALUE"""),"")</f>
        <v/>
      </c>
      <c r="G3340" s="42" t="str">
        <f>IFERROR(__xludf.DUMMYFUNCTION("""COMPUTED_VALUE"""),"JUAL BELI")</f>
        <v>JUAL BELI</v>
      </c>
      <c r="H3340" s="42">
        <f t="shared" si="1"/>
        <v>1532</v>
      </c>
    </row>
    <row r="3341" ht="22.5" customHeight="1">
      <c r="B3341" s="42" t="str">
        <f>IFERROR(__xludf.DUMMYFUNCTION("""COMPUTED_VALUE"""),"K/3/270325/3")</f>
        <v>K/3/270325/3</v>
      </c>
      <c r="C3341" s="42" t="str">
        <f>IFERROR(__xludf.DUMMYFUNCTION("""COMPUTED_VALUE"""),"NIBEL M 3587/RAJABASA JAYA")</f>
        <v>NIBEL M 3587/RAJABASA JAYA</v>
      </c>
      <c r="D3341" s="42"/>
      <c r="E3341" s="42"/>
      <c r="F3341" s="48" t="str">
        <f>IFERROR(__xludf.DUMMYFUNCTION("""COMPUTED_VALUE"""),"")</f>
        <v/>
      </c>
      <c r="G3341" s="42" t="str">
        <f>IFERROR(__xludf.DUMMYFUNCTION("""COMPUTED_VALUE"""),"JUAL BELI")</f>
        <v>JUAL BELI</v>
      </c>
      <c r="H3341" s="42">
        <f t="shared" si="1"/>
        <v>1532</v>
      </c>
    </row>
    <row r="3342" ht="22.5" customHeight="1">
      <c r="B3342" s="42" t="str">
        <f>IFERROR(__xludf.DUMMYFUNCTION("""COMPUTED_VALUE"""),"K/4/270325/4")</f>
        <v>K/4/270325/4</v>
      </c>
      <c r="C3342" s="42" t="str">
        <f>IFERROR(__xludf.DUMMYFUNCTION("""COMPUTED_VALUE"""),"M.13879/KEDAMAIAN")</f>
        <v>M.13879/KEDAMAIAN</v>
      </c>
      <c r="D3342" s="42"/>
      <c r="E3342" s="42" t="str">
        <f>IFERROR(__xludf.DUMMYFUNCTION("""COMPUTED_VALUE"""),"DISERAHKAN")</f>
        <v>DISERAHKAN</v>
      </c>
      <c r="F3342" s="48">
        <f>IFERROR(__xludf.DUMMYFUNCTION("""COMPUTED_VALUE"""),45769.428854004625)</f>
        <v>45769.42885</v>
      </c>
      <c r="G3342" s="42" t="str">
        <f>IFERROR(__xludf.DUMMYFUNCTION("""COMPUTED_VALUE"""),"ANTONY")</f>
        <v>ANTONY</v>
      </c>
      <c r="H3342" s="42">
        <f t="shared" si="1"/>
        <v>1533</v>
      </c>
    </row>
    <row r="3343" ht="22.5" customHeight="1">
      <c r="B3343" s="42" t="str">
        <f>IFERROR(__xludf.DUMMYFUNCTION("""COMPUTED_VALUE"""),"K/5/270325/1")</f>
        <v>K/5/270325/1</v>
      </c>
      <c r="C3343" s="42" t="str">
        <f>IFERROR(__xludf.DUMMYFUNCTION("""COMPUTED_VALUE"""),"M.4250/WAY KANDIS")</f>
        <v>M.4250/WAY KANDIS</v>
      </c>
      <c r="D3343" s="42" t="str">
        <f>IFERROR(__xludf.DUMMYFUNCTION("""COMPUTED_VALUE"""),"David")</f>
        <v>David</v>
      </c>
      <c r="E3343" s="42" t="str">
        <f>IFERROR(__xludf.DUMMYFUNCTION("""COMPUTED_VALUE"""),"DISERAHKAN")</f>
        <v>DISERAHKAN</v>
      </c>
      <c r="F3343" s="48">
        <f>IFERROR(__xludf.DUMMYFUNCTION("""COMPUTED_VALUE"""),45839.431820763886)</f>
        <v>45839.43182</v>
      </c>
      <c r="G3343" s="42" t="str">
        <f>IFERROR(__xludf.DUMMYFUNCTION("""COMPUTED_VALUE"""),"ROYA")</f>
        <v>ROYA</v>
      </c>
      <c r="H3343" s="42">
        <f t="shared" si="1"/>
        <v>1534</v>
      </c>
    </row>
    <row r="3344" ht="22.5" customHeight="1">
      <c r="B3344" s="42" t="str">
        <f>IFERROR(__xludf.DUMMYFUNCTION("""COMPUTED_VALUE"""),"L/7/270325/1")</f>
        <v>L/7/270325/1</v>
      </c>
      <c r="C3344" s="42" t="str">
        <f>IFERROR(__xludf.DUMMYFUNCTION("""COMPUTED_VALUE"""),"HM 4437/BERINGIN RAYA")</f>
        <v>HM 4437/BERINGIN RAYA</v>
      </c>
      <c r="D3344" s="42"/>
      <c r="E3344" s="42"/>
      <c r="F3344" s="48" t="str">
        <f>IFERROR(__xludf.DUMMYFUNCTION("""COMPUTED_VALUE"""),"")</f>
        <v/>
      </c>
      <c r="G3344" s="42" t="str">
        <f>IFERROR(__xludf.DUMMYFUNCTION("""COMPUTED_VALUE"""),"BN WARIS")</f>
        <v>BN WARIS</v>
      </c>
      <c r="H3344" s="42">
        <f t="shared" si="1"/>
        <v>1534</v>
      </c>
    </row>
    <row r="3345" ht="22.5" customHeight="1">
      <c r="B3345" s="42" t="str">
        <f>IFERROR(__xludf.DUMMYFUNCTION("""COMPUTED_VALUE"""),"K/6/270325/2")</f>
        <v>K/6/270325/2</v>
      </c>
      <c r="C3345" s="42" t="str">
        <f>IFERROR(__xludf.DUMMYFUNCTION("""COMPUTED_VALUE"""),"NIBEL M 3277/RAJABASA PEMUKA")</f>
        <v>NIBEL M 3277/RAJABASA PEMUKA</v>
      </c>
      <c r="D3345" s="42"/>
      <c r="E3345" s="42"/>
      <c r="F3345" s="48" t="str">
        <f>IFERROR(__xludf.DUMMYFUNCTION("""COMPUTED_VALUE"""),"")</f>
        <v/>
      </c>
      <c r="G3345" s="42" t="str">
        <f>IFERROR(__xludf.DUMMYFUNCTION("""COMPUTED_VALUE"""),"JUAL BELI")</f>
        <v>JUAL BELI</v>
      </c>
      <c r="H3345" s="42">
        <f t="shared" si="1"/>
        <v>1534</v>
      </c>
    </row>
    <row r="3346" ht="22.5" customHeight="1">
      <c r="B3346" s="42" t="str">
        <f>IFERROR(__xludf.DUMMYFUNCTION("""COMPUTED_VALUE"""),"K/8/270325/1")</f>
        <v>K/8/270325/1</v>
      </c>
      <c r="C3346" s="42" t="str">
        <f>IFERROR(__xludf.DUMMYFUNCTION("""COMPUTED_VALUE"""),"Nibel. M. 17939/ Kedamaian")</f>
        <v>Nibel. M. 17939/ Kedamaian</v>
      </c>
      <c r="D3346" s="42"/>
      <c r="E3346" s="42"/>
      <c r="F3346" s="48" t="str">
        <f>IFERROR(__xludf.DUMMYFUNCTION("""COMPUTED_VALUE"""),"")</f>
        <v/>
      </c>
      <c r="G3346" s="42" t="str">
        <f>IFERROR(__xludf.DUMMYFUNCTION("""COMPUTED_VALUE"""),"BN PHB")</f>
        <v>BN PHB</v>
      </c>
      <c r="H3346" s="42">
        <f t="shared" si="1"/>
        <v>1534</v>
      </c>
    </row>
    <row r="3347" ht="22.5" customHeight="1">
      <c r="B3347" s="42" t="str">
        <f>IFERROR(__xludf.DUMMYFUNCTION("""COMPUTED_VALUE"""),"K/9/270325/1")</f>
        <v>K/9/270325/1</v>
      </c>
      <c r="C3347" s="42" t="str">
        <f>IFERROR(__xludf.DUMMYFUNCTION("""COMPUTED_VALUE"""),"M. 1666/ Bumi Kedamaian")</f>
        <v>M. 1666/ Bumi Kedamaian</v>
      </c>
      <c r="D3347" s="42"/>
      <c r="E3347" s="42" t="str">
        <f>IFERROR(__xludf.DUMMYFUNCTION("""COMPUTED_VALUE"""),"DISERAHKAN")</f>
        <v>DISERAHKAN</v>
      </c>
      <c r="F3347" s="48">
        <f>IFERROR(__xludf.DUMMYFUNCTION("""COMPUTED_VALUE"""),45771.631472928246)</f>
        <v>45771.63147</v>
      </c>
      <c r="G3347" s="42" t="str">
        <f>IFERROR(__xludf.DUMMYFUNCTION("""COMPUTED_VALUE"""),"BN Jual Beli")</f>
        <v>BN Jual Beli</v>
      </c>
      <c r="H3347" s="42">
        <f t="shared" si="1"/>
        <v>1535</v>
      </c>
    </row>
    <row r="3348" ht="22.5" customHeight="1">
      <c r="B3348" s="42" t="str">
        <f>IFERROR(__xludf.DUMMYFUNCTION("""COMPUTED_VALUE"""),"L/10/270325/1")</f>
        <v>L/10/270325/1</v>
      </c>
      <c r="C3348" s="42" t="str">
        <f>IFERROR(__xludf.DUMMYFUNCTION("""COMPUTED_VALUE"""),"HM 1374/SEPANAG JAYA")</f>
        <v>HM 1374/SEPANAG JAYA</v>
      </c>
      <c r="D3348" s="42"/>
      <c r="E3348" s="42"/>
      <c r="F3348" s="48" t="str">
        <f>IFERROR(__xludf.DUMMYFUNCTION("""COMPUTED_VALUE"""),"")</f>
        <v/>
      </c>
      <c r="G3348" s="42" t="str">
        <f>IFERROR(__xludf.DUMMYFUNCTION("""COMPUTED_VALUE"""),"ROYA")</f>
        <v>ROYA</v>
      </c>
      <c r="H3348" s="42">
        <f t="shared" si="1"/>
        <v>1535</v>
      </c>
    </row>
    <row r="3349" ht="22.5" customHeight="1">
      <c r="B3349" s="42" t="str">
        <f>IFERROR(__xludf.DUMMYFUNCTION("""COMPUTED_VALUE"""),"K/11/270325/1")</f>
        <v>K/11/270325/1</v>
      </c>
      <c r="C3349" s="42" t="str">
        <f>IFERROR(__xludf.DUMMYFUNCTION("""COMPUTED_VALUE"""),"M. 1618/ Gunung Terang")</f>
        <v>M. 1618/ Gunung Terang</v>
      </c>
      <c r="D3349" s="42"/>
      <c r="E3349" s="42" t="str">
        <f>IFERROR(__xludf.DUMMYFUNCTION("""COMPUTED_VALUE"""),"DISERAHKAN")</f>
        <v>DISERAHKAN</v>
      </c>
      <c r="F3349" s="48">
        <f>IFERROR(__xludf.DUMMYFUNCTION("""COMPUTED_VALUE"""),45783.492602812505)</f>
        <v>45783.4926</v>
      </c>
      <c r="G3349" s="42" t="str">
        <f>IFERROR(__xludf.DUMMYFUNCTION("""COMPUTED_VALUE"""),"Roya")</f>
        <v>Roya</v>
      </c>
      <c r="H3349" s="42">
        <f t="shared" si="1"/>
        <v>1536</v>
      </c>
    </row>
    <row r="3350" ht="22.5" customHeight="1">
      <c r="B3350" s="42" t="str">
        <f>IFERROR(__xludf.DUMMYFUNCTION("""COMPUTED_VALUE"""),"L/12/270325/1")</f>
        <v>L/12/270325/1</v>
      </c>
      <c r="C3350" s="42" t="str">
        <f>IFERROR(__xludf.DUMMYFUNCTION("""COMPUTED_VALUE"""),"NIB 18975/CAMPANG RAYA")</f>
        <v>NIB 18975/CAMPANG RAYA</v>
      </c>
      <c r="D3350" s="42"/>
      <c r="E3350" s="42"/>
      <c r="F3350" s="48" t="str">
        <f>IFERROR(__xludf.DUMMYFUNCTION("""COMPUTED_VALUE"""),"")</f>
        <v/>
      </c>
      <c r="G3350" s="42" t="str">
        <f>IFERROR(__xludf.DUMMYFUNCTION("""COMPUTED_VALUE"""),"BN WARIS")</f>
        <v>BN WARIS</v>
      </c>
      <c r="H3350" s="42">
        <f t="shared" si="1"/>
        <v>1536</v>
      </c>
    </row>
    <row r="3351" ht="22.5" customHeight="1">
      <c r="B3351" s="42" t="str">
        <f>IFERROR(__xludf.DUMMYFUNCTION("""COMPUTED_VALUE"""),"K/13/270325/1")</f>
        <v>K/13/270325/1</v>
      </c>
      <c r="C3351" s="42" t="str">
        <f>IFERROR(__xludf.DUMMYFUNCTION("""COMPUTED_VALUE"""),"B.467/KETEGUHAN")</f>
        <v>B.467/KETEGUHAN</v>
      </c>
      <c r="D3351" s="42"/>
      <c r="E3351" s="42"/>
      <c r="F3351" s="48" t="str">
        <f>IFERROR(__xludf.DUMMYFUNCTION("""COMPUTED_VALUE"""),"")</f>
        <v/>
      </c>
      <c r="G3351" s="42" t="str">
        <f>IFERROR(__xludf.DUMMYFUNCTION("""COMPUTED_VALUE"""),"KEWARISAN")</f>
        <v>KEWARISAN</v>
      </c>
      <c r="H3351" s="42">
        <f t="shared" si="1"/>
        <v>1536</v>
      </c>
    </row>
    <row r="3352" ht="22.5" customHeight="1">
      <c r="B3352" s="42" t="str">
        <f>IFERROR(__xludf.DUMMYFUNCTION("""COMPUTED_VALUE"""),"K/14/270325/2")</f>
        <v>K/14/270325/2</v>
      </c>
      <c r="C3352" s="42" t="str">
        <f>IFERROR(__xludf.DUMMYFUNCTION("""COMPUTED_VALUE"""),"NIBEL M 4933/KORPRI JAYA")</f>
        <v>NIBEL M 4933/KORPRI JAYA</v>
      </c>
      <c r="D3352" s="42"/>
      <c r="E3352" s="42"/>
      <c r="F3352" s="48" t="str">
        <f>IFERROR(__xludf.DUMMYFUNCTION("""COMPUTED_VALUE"""),"")</f>
        <v/>
      </c>
      <c r="G3352" s="42" t="str">
        <f>IFERROR(__xludf.DUMMYFUNCTION("""COMPUTED_VALUE"""),"JUAL BELI")</f>
        <v>JUAL BELI</v>
      </c>
      <c r="H3352" s="42">
        <f t="shared" si="1"/>
        <v>1536</v>
      </c>
    </row>
    <row r="3353" ht="22.5" customHeight="1">
      <c r="B3353" s="42" t="str">
        <f>IFERROR(__xludf.DUMMYFUNCTION("""COMPUTED_VALUE"""),"L/15/270325/1")</f>
        <v>L/15/270325/1</v>
      </c>
      <c r="C3353" s="42" t="str">
        <f>IFERROR(__xludf.DUMMYFUNCTION("""COMPUTED_VALUE"""),"HM 3395/WAY KANDIS")</f>
        <v>HM 3395/WAY KANDIS</v>
      </c>
      <c r="D3353" s="42" t="str">
        <f>IFERROR(__xludf.DUMMYFUNCTION("""COMPUTED_VALUE"""),"Berry")</f>
        <v>Berry</v>
      </c>
      <c r="E3353" s="42" t="str">
        <f>IFERROR(__xludf.DUMMYFUNCTION("""COMPUTED_VALUE"""),"DISERAHKAN")</f>
        <v>DISERAHKAN</v>
      </c>
      <c r="F3353" s="48">
        <f>IFERROR(__xludf.DUMMYFUNCTION("""COMPUTED_VALUE"""),45799.529543425924)</f>
        <v>45799.52954</v>
      </c>
      <c r="G3353" s="42" t="str">
        <f>IFERROR(__xludf.DUMMYFUNCTION("""COMPUTED_VALUE"""),"ROYA WARIS")</f>
        <v>ROYA WARIS</v>
      </c>
      <c r="H3353" s="42">
        <f t="shared" si="1"/>
        <v>1537</v>
      </c>
    </row>
    <row r="3354" ht="22.5" customHeight="1">
      <c r="B3354" s="42" t="str">
        <f>IFERROR(__xludf.DUMMYFUNCTION("""COMPUTED_VALUE"""),"K/17/270325/1")</f>
        <v>K/17/270325/1</v>
      </c>
      <c r="C3354" s="42" t="str">
        <f>IFERROR(__xludf.DUMMYFUNCTION("""COMPUTED_VALUE"""),"M.1828/WAY KANDIS")</f>
        <v>M.1828/WAY KANDIS</v>
      </c>
      <c r="D3354" s="42"/>
      <c r="E3354" s="42"/>
      <c r="F3354" s="48" t="str">
        <f>IFERROR(__xludf.DUMMYFUNCTION("""COMPUTED_VALUE"""),"")</f>
        <v/>
      </c>
      <c r="G3354" s="42" t="str">
        <f>IFERROR(__xludf.DUMMYFUNCTION("""COMPUTED_VALUE"""),"JUAL BELI")</f>
        <v>JUAL BELI</v>
      </c>
      <c r="H3354" s="42">
        <f t="shared" si="1"/>
        <v>1537</v>
      </c>
    </row>
    <row r="3355" ht="22.5" customHeight="1">
      <c r="B3355" s="42" t="str">
        <f>IFERROR(__xludf.DUMMYFUNCTION("""COMPUTED_VALUE"""),"K/16/270325/1")</f>
        <v>K/16/270325/1</v>
      </c>
      <c r="C3355" s="42" t="str">
        <f>IFERROR(__xludf.DUMMYFUNCTION("""COMPUTED_VALUE"""),"M. 12152/ Sukabumi")</f>
        <v>M. 12152/ Sukabumi</v>
      </c>
      <c r="D3355" s="42" t="str">
        <f>IFERROR(__xludf.DUMMYFUNCTION("""COMPUTED_VALUE"""),"Berry")</f>
        <v>Berry</v>
      </c>
      <c r="E3355" s="42" t="str">
        <f>IFERROR(__xludf.DUMMYFUNCTION("""COMPUTED_VALUE"""),"DISERAHKAN")</f>
        <v>DISERAHKAN</v>
      </c>
      <c r="F3355" s="48">
        <f>IFERROR(__xludf.DUMMYFUNCTION("""COMPUTED_VALUE"""),45828.52953138889)</f>
        <v>45828.52953</v>
      </c>
      <c r="G3355" s="42" t="str">
        <f>IFERROR(__xludf.DUMMYFUNCTION("""COMPUTED_VALUE"""),"BN JUAL BELI")</f>
        <v>BN JUAL BELI</v>
      </c>
      <c r="H3355" s="42">
        <f t="shared" si="1"/>
        <v>1538</v>
      </c>
    </row>
    <row r="3356" ht="22.5" customHeight="1">
      <c r="B3356" s="42" t="str">
        <f>IFERROR(__xludf.DUMMYFUNCTION("""COMPUTED_VALUE"""),"K/18/270325/1")</f>
        <v>K/18/270325/1</v>
      </c>
      <c r="C3356" s="42" t="str">
        <f>IFERROR(__xludf.DUMMYFUNCTION("""COMPUTED_VALUE"""),"NIBEL M 19059/PANENGAHAN")</f>
        <v>NIBEL M 19059/PANENGAHAN</v>
      </c>
      <c r="D3356" s="42"/>
      <c r="E3356" s="42"/>
      <c r="F3356" s="48" t="str">
        <f>IFERROR(__xludf.DUMMYFUNCTION("""COMPUTED_VALUE"""),"")</f>
        <v/>
      </c>
      <c r="G3356" s="42" t="str">
        <f>IFERROR(__xludf.DUMMYFUNCTION("""COMPUTED_VALUE"""),"JUAL BELI")</f>
        <v>JUAL BELI</v>
      </c>
      <c r="H3356" s="42">
        <f t="shared" si="1"/>
        <v>1538</v>
      </c>
    </row>
    <row r="3357" ht="22.5" customHeight="1">
      <c r="B3357" s="42" t="str">
        <f>IFERROR(__xludf.DUMMYFUNCTION("""COMPUTED_VALUE"""),"L/1/070425/PELATARAN")</f>
        <v>L/1/070425/PELATARAN</v>
      </c>
      <c r="C3357" s="42" t="str">
        <f>IFERROR(__xludf.DUMMYFUNCTION("""COMPUTED_VALUE"""),"B.209/SUKARAJA")</f>
        <v>B.209/SUKARAJA</v>
      </c>
      <c r="D3357" s="42"/>
      <c r="E3357" s="42"/>
      <c r="F3357" s="48" t="str">
        <f>IFERROR(__xludf.DUMMYFUNCTION("""COMPUTED_VALUE"""),"")</f>
        <v/>
      </c>
      <c r="G3357" s="42" t="str">
        <f>IFERROR(__xludf.DUMMYFUNCTION("""COMPUTED_VALUE"""),"PENINGKATAN HAK")</f>
        <v>PENINGKATAN HAK</v>
      </c>
      <c r="H3357" s="42">
        <f t="shared" si="1"/>
        <v>1538</v>
      </c>
    </row>
    <row r="3358" ht="22.5" customHeight="1">
      <c r="B3358" s="42" t="str">
        <f>IFERROR(__xludf.DUMMYFUNCTION("""COMPUTED_VALUE"""),"L/2/070425/PELATARAN")</f>
        <v>L/2/070425/PELATARAN</v>
      </c>
      <c r="C3358" s="42" t="str">
        <f>IFERROR(__xludf.DUMMYFUNCTION("""COMPUTED_VALUE"""),"M.461/RAJABASA NUNYAI")</f>
        <v>M.461/RAJABASA NUNYAI</v>
      </c>
      <c r="D3358" s="42"/>
      <c r="E3358" s="42"/>
      <c r="F3358" s="48" t="str">
        <f>IFERROR(__xludf.DUMMYFUNCTION("""COMPUTED_VALUE"""),"")</f>
        <v/>
      </c>
      <c r="G3358" s="42" t="str">
        <f>IFERROR(__xludf.DUMMYFUNCTION("""COMPUTED_VALUE"""),"ROYA")</f>
        <v>ROYA</v>
      </c>
      <c r="H3358" s="42">
        <f t="shared" si="1"/>
        <v>1538</v>
      </c>
    </row>
    <row r="3359" ht="22.5" customHeight="1">
      <c r="B3359" s="42" t="str">
        <f>IFERROR(__xludf.DUMMYFUNCTION("""COMPUTED_VALUE"""),"K/1/080425/1")</f>
        <v>K/1/080425/1</v>
      </c>
      <c r="C3359" s="42" t="str">
        <f>IFERROR(__xludf.DUMMYFUNCTION("""COMPUTED_VALUE"""),"B. 319/ Pematang Wangi")</f>
        <v>B. 319/ Pematang Wangi</v>
      </c>
      <c r="D3359" s="42"/>
      <c r="E3359" s="42"/>
      <c r="F3359" s="48" t="str">
        <f>IFERROR(__xludf.DUMMYFUNCTION("""COMPUTED_VALUE"""),"")</f>
        <v/>
      </c>
      <c r="G3359" s="42" t="str">
        <f>IFERROR(__xludf.DUMMYFUNCTION("""COMPUTED_VALUE"""),"SKPT Informasi")</f>
        <v>SKPT Informasi</v>
      </c>
      <c r="H3359" s="42">
        <f t="shared" si="1"/>
        <v>1538</v>
      </c>
    </row>
    <row r="3360" ht="22.5" customHeight="1">
      <c r="B3360" s="42" t="str">
        <f>IFERROR(__xludf.DUMMYFUNCTION("""COMPUTED_VALUE"""),"K/2/080425/2")</f>
        <v>K/2/080425/2</v>
      </c>
      <c r="C3360" s="42" t="str">
        <f>IFERROR(__xludf.DUMMYFUNCTION("""COMPUTED_VALUE"""),"B. 320/ Pematang Wangi")</f>
        <v>B. 320/ Pematang Wangi</v>
      </c>
      <c r="D3360" s="42"/>
      <c r="E3360" s="42"/>
      <c r="F3360" s="48" t="str">
        <f>IFERROR(__xludf.DUMMYFUNCTION("""COMPUTED_VALUE"""),"")</f>
        <v/>
      </c>
      <c r="G3360" s="42" t="str">
        <f>IFERROR(__xludf.DUMMYFUNCTION("""COMPUTED_VALUE"""),"SKPT Informasi")</f>
        <v>SKPT Informasi</v>
      </c>
      <c r="H3360" s="42">
        <f t="shared" si="1"/>
        <v>1538</v>
      </c>
    </row>
    <row r="3361" ht="22.5" customHeight="1">
      <c r="B3361" s="42" t="str">
        <f>IFERROR(__xludf.DUMMYFUNCTION("""COMPUTED_VALUE"""),"K/4/080425/1")</f>
        <v>K/4/080425/1</v>
      </c>
      <c r="C3361" s="42" t="str">
        <f>IFERROR(__xludf.DUMMYFUNCTION("""COMPUTED_VALUE"""),"Nibel. M. 5325/ Rajabasa Jaya")</f>
        <v>Nibel. M. 5325/ Rajabasa Jaya</v>
      </c>
      <c r="D3361" s="42"/>
      <c r="E3361" s="42"/>
      <c r="F3361" s="48" t="str">
        <f>IFERROR(__xludf.DUMMYFUNCTION("""COMPUTED_VALUE"""),"")</f>
        <v/>
      </c>
      <c r="G3361" s="42" t="str">
        <f>IFERROR(__xludf.DUMMYFUNCTION("""COMPUTED_VALUE"""),"BN Jual Beli")</f>
        <v>BN Jual Beli</v>
      </c>
      <c r="H3361" s="42">
        <f t="shared" si="1"/>
        <v>1538</v>
      </c>
    </row>
    <row r="3362" ht="22.5" customHeight="1">
      <c r="B3362" s="42" t="str">
        <f>IFERROR(__xludf.DUMMYFUNCTION("""COMPUTED_VALUE"""),"K/3/080425/1")</f>
        <v>K/3/080425/1</v>
      </c>
      <c r="C3362" s="42" t="str">
        <f>IFERROR(__xludf.DUMMYFUNCTION("""COMPUTED_VALUE"""),"M.4735/TANJUNG SENENG")</f>
        <v>M.4735/TANJUNG SENENG</v>
      </c>
      <c r="D3362" s="42"/>
      <c r="E3362" s="42"/>
      <c r="F3362" s="48" t="str">
        <f>IFERROR(__xludf.DUMMYFUNCTION("""COMPUTED_VALUE"""),"")</f>
        <v/>
      </c>
      <c r="G3362" s="42" t="str">
        <f>IFERROR(__xludf.DUMMYFUNCTION("""COMPUTED_VALUE"""),"SKPT LELANG")</f>
        <v>SKPT LELANG</v>
      </c>
      <c r="H3362" s="42">
        <f t="shared" si="1"/>
        <v>1538</v>
      </c>
    </row>
    <row r="3363" ht="22.5" customHeight="1">
      <c r="B3363" s="42" t="str">
        <f>IFERROR(__xludf.DUMMYFUNCTION("""COMPUTED_VALUE"""),"K/5/080425/2")</f>
        <v>K/5/080425/2</v>
      </c>
      <c r="C3363" s="42" t="str">
        <f>IFERROR(__xludf.DUMMYFUNCTION("""COMPUTED_VALUE"""),"M.654/PINANG JAYA ")</f>
        <v>M.654/PINANG JAYA </v>
      </c>
      <c r="D3363" s="42"/>
      <c r="E3363" s="42"/>
      <c r="F3363" s="48" t="str">
        <f>IFERROR(__xludf.DUMMYFUNCTION("""COMPUTED_VALUE"""),"")</f>
        <v/>
      </c>
      <c r="G3363" s="42" t="str">
        <f>IFERROR(__xludf.DUMMYFUNCTION("""COMPUTED_VALUE"""),"SKPT LELANG")</f>
        <v>SKPT LELANG</v>
      </c>
      <c r="H3363" s="42">
        <f t="shared" si="1"/>
        <v>1538</v>
      </c>
    </row>
    <row r="3364" ht="22.5" customHeight="1">
      <c r="B3364" s="42" t="str">
        <f>IFERROR(__xludf.DUMMYFUNCTION("""COMPUTED_VALUE"""),"K/6/080425/3")</f>
        <v>K/6/080425/3</v>
      </c>
      <c r="C3364" s="42" t="str">
        <f>IFERROR(__xludf.DUMMYFUNCTION("""COMPUTED_VALUE"""),"M.4351/LANGKAPURA")</f>
        <v>M.4351/LANGKAPURA</v>
      </c>
      <c r="D3364" s="42"/>
      <c r="E3364" s="42"/>
      <c r="F3364" s="48" t="str">
        <f>IFERROR(__xludf.DUMMYFUNCTION("""COMPUTED_VALUE"""),"")</f>
        <v/>
      </c>
      <c r="G3364" s="42" t="str">
        <f>IFERROR(__xludf.DUMMYFUNCTION("""COMPUTED_VALUE"""),"SKPT LELANG")</f>
        <v>SKPT LELANG</v>
      </c>
      <c r="H3364" s="42">
        <f t="shared" si="1"/>
        <v>1538</v>
      </c>
    </row>
    <row r="3365" ht="22.5" customHeight="1">
      <c r="B3365" s="42" t="str">
        <f>IFERROR(__xludf.DUMMYFUNCTION("""COMPUTED_VALUE"""),"K/7/080425/1")</f>
        <v>K/7/080425/1</v>
      </c>
      <c r="C3365" s="42" t="str">
        <f>IFERROR(__xludf.DUMMYFUNCTION("""COMPUTED_VALUE"""),"Nibel 18120/ Sukarame II")</f>
        <v>Nibel 18120/ Sukarame II</v>
      </c>
      <c r="D3365" s="42"/>
      <c r="E3365" s="42"/>
      <c r="F3365" s="48" t="str">
        <f>IFERROR(__xludf.DUMMYFUNCTION("""COMPUTED_VALUE"""),"")</f>
        <v/>
      </c>
      <c r="G3365" s="42" t="str">
        <f>IFERROR(__xludf.DUMMYFUNCTION("""COMPUTED_VALUE"""),"SKPT LELANG")</f>
        <v>SKPT LELANG</v>
      </c>
      <c r="H3365" s="42">
        <f t="shared" si="1"/>
        <v>1538</v>
      </c>
    </row>
    <row r="3366" ht="22.5" customHeight="1">
      <c r="B3366" s="42" t="str">
        <f>IFERROR(__xludf.DUMMYFUNCTION("""COMPUTED_VALUE"""),"K/10/080425/1")</f>
        <v>K/10/080425/1</v>
      </c>
      <c r="C3366" s="42" t="str">
        <f>IFERROR(__xludf.DUMMYFUNCTION("""COMPUTED_VALUE"""),"Nibel 354/ Negeri Olok Gading")</f>
        <v>Nibel 354/ Negeri Olok Gading</v>
      </c>
      <c r="D3366" s="42"/>
      <c r="E3366" s="42"/>
      <c r="F3366" s="48" t="str">
        <f>IFERROR(__xludf.DUMMYFUNCTION("""COMPUTED_VALUE"""),"")</f>
        <v/>
      </c>
      <c r="G3366" s="42" t="str">
        <f>IFERROR(__xludf.DUMMYFUNCTION("""COMPUTED_VALUE"""),"BN JUAL BELI")</f>
        <v>BN JUAL BELI</v>
      </c>
      <c r="H3366" s="42">
        <f t="shared" si="1"/>
        <v>1538</v>
      </c>
    </row>
    <row r="3367" ht="22.5" customHeight="1">
      <c r="B3367" s="42" t="str">
        <f>IFERROR(__xludf.DUMMYFUNCTION("""COMPUTED_VALUE"""),"K/8/080425/1")</f>
        <v>K/8/080425/1</v>
      </c>
      <c r="C3367" s="42" t="str">
        <f>IFERROR(__xludf.DUMMYFUNCTION("""COMPUTED_VALUE"""),"Nibel. M. 16211/ Sukamaju")</f>
        <v>Nibel. M. 16211/ Sukamaju</v>
      </c>
      <c r="D3367" s="42"/>
      <c r="E3367" s="42"/>
      <c r="F3367" s="48" t="str">
        <f>IFERROR(__xludf.DUMMYFUNCTION("""COMPUTED_VALUE"""),"")</f>
        <v/>
      </c>
      <c r="G3367" s="42" t="str">
        <f>IFERROR(__xludf.DUMMYFUNCTION("""COMPUTED_VALUE"""),"BN Jual Beli")</f>
        <v>BN Jual Beli</v>
      </c>
      <c r="H3367" s="42">
        <f t="shared" si="1"/>
        <v>1538</v>
      </c>
    </row>
    <row r="3368" ht="22.5" customHeight="1">
      <c r="B3368" s="42" t="str">
        <f>IFERROR(__xludf.DUMMYFUNCTION("""COMPUTED_VALUE"""),"K/9/080425/2")</f>
        <v>K/9/080425/2</v>
      </c>
      <c r="C3368" s="42" t="str">
        <f>IFERROR(__xludf.DUMMYFUNCTION("""COMPUTED_VALUE"""),"Nibel. M. 16230/ Sukamaju")</f>
        <v>Nibel. M. 16230/ Sukamaju</v>
      </c>
      <c r="D3368" s="42"/>
      <c r="E3368" s="42"/>
      <c r="F3368" s="48" t="str">
        <f>IFERROR(__xludf.DUMMYFUNCTION("""COMPUTED_VALUE"""),"")</f>
        <v/>
      </c>
      <c r="G3368" s="42" t="str">
        <f>IFERROR(__xludf.DUMMYFUNCTION("""COMPUTED_VALUE"""),"BN Jual Beli")</f>
        <v>BN Jual Beli</v>
      </c>
      <c r="H3368" s="42">
        <f t="shared" si="1"/>
        <v>1538</v>
      </c>
    </row>
    <row r="3369" ht="22.5" customHeight="1">
      <c r="B3369" s="42" t="str">
        <f>IFERROR(__xludf.DUMMYFUNCTION("""COMPUTED_VALUE"""),"K/11/080425/1")</f>
        <v>K/11/080425/1</v>
      </c>
      <c r="C3369" s="42" t="str">
        <f>IFERROR(__xludf.DUMMYFUNCTION("""COMPUTED_VALUE"""),"B.645/SUMBER AGUNG")</f>
        <v>B.645/SUMBER AGUNG</v>
      </c>
      <c r="D3369" s="42"/>
      <c r="E3369" s="42" t="str">
        <f>IFERROR(__xludf.DUMMYFUNCTION("""COMPUTED_VALUE"""),"DISERAHKAN")</f>
        <v>DISERAHKAN</v>
      </c>
      <c r="F3369" s="48">
        <f>IFERROR(__xludf.DUMMYFUNCTION("""COMPUTED_VALUE"""),45771.63348005787)</f>
        <v>45771.63348</v>
      </c>
      <c r="G3369" s="42" t="str">
        <f>IFERROR(__xludf.DUMMYFUNCTION("""COMPUTED_VALUE"""),"BN JUAL BELI")</f>
        <v>BN JUAL BELI</v>
      </c>
      <c r="H3369" s="42">
        <f t="shared" si="1"/>
        <v>1539</v>
      </c>
    </row>
    <row r="3370" ht="22.5" customHeight="1">
      <c r="B3370" s="42" t="str">
        <f>IFERROR(__xludf.DUMMYFUNCTION("""COMPUTED_VALUE"""),"L/12/080425/1")</f>
        <v>L/12/080425/1</v>
      </c>
      <c r="C3370" s="42" t="str">
        <f>IFERROR(__xludf.DUMMYFUNCTION("""COMPUTED_VALUE"""),"HM 276/SUKARAME BARU")</f>
        <v>HM 276/SUKARAME BARU</v>
      </c>
      <c r="D3370" s="42"/>
      <c r="E3370" s="42"/>
      <c r="F3370" s="48" t="str">
        <f>IFERROR(__xludf.DUMMYFUNCTION("""COMPUTED_VALUE"""),"")</f>
        <v/>
      </c>
      <c r="G3370" s="42" t="str">
        <f>IFERROR(__xludf.DUMMYFUNCTION("""COMPUTED_VALUE"""),"ROYA LELANG")</f>
        <v>ROYA LELANG</v>
      </c>
      <c r="H3370" s="42">
        <f t="shared" si="1"/>
        <v>1539</v>
      </c>
    </row>
    <row r="3371" ht="22.5" customHeight="1">
      <c r="B3371" s="42" t="str">
        <f>IFERROR(__xludf.DUMMYFUNCTION("""COMPUTED_VALUE"""),"K/13/080425/1")</f>
        <v>K/13/080425/1</v>
      </c>
      <c r="C3371" s="42" t="str">
        <f>IFERROR(__xludf.DUMMYFUNCTION("""COMPUTED_VALUE"""),"Nibel. M. 16690/ Sukarame")</f>
        <v>Nibel. M. 16690/ Sukarame</v>
      </c>
      <c r="D3371" s="42"/>
      <c r="E3371" s="42"/>
      <c r="F3371" s="48" t="str">
        <f>IFERROR(__xludf.DUMMYFUNCTION("""COMPUTED_VALUE"""),"")</f>
        <v/>
      </c>
      <c r="G3371" s="42" t="str">
        <f>IFERROR(__xludf.DUMMYFUNCTION("""COMPUTED_VALUE"""),"BN Jual Beli")</f>
        <v>BN Jual Beli</v>
      </c>
      <c r="H3371" s="42">
        <f t="shared" si="1"/>
        <v>1539</v>
      </c>
    </row>
    <row r="3372" ht="22.5" customHeight="1">
      <c r="B3372" s="42" t="str">
        <f>IFERROR(__xludf.DUMMYFUNCTION("""COMPUTED_VALUE"""),"K/14/080425/1")</f>
        <v>K/14/080425/1</v>
      </c>
      <c r="C3372" s="42" t="str">
        <f>IFERROR(__xludf.DUMMYFUNCTION("""COMPUTED_VALUE"""),"Nibel 7546/ Rajabasa jaya")</f>
        <v>Nibel 7546/ Rajabasa jaya</v>
      </c>
      <c r="D3372" s="42"/>
      <c r="E3372" s="42"/>
      <c r="F3372" s="48" t="str">
        <f>IFERROR(__xludf.DUMMYFUNCTION("""COMPUTED_VALUE"""),"")</f>
        <v/>
      </c>
      <c r="G3372" s="42" t="str">
        <f>IFERROR(__xludf.DUMMYFUNCTION("""COMPUTED_VALUE"""),"BN JUAL BELI")</f>
        <v>BN JUAL BELI</v>
      </c>
      <c r="H3372" s="42">
        <f t="shared" si="1"/>
        <v>1539</v>
      </c>
    </row>
    <row r="3373" ht="22.5" customHeight="1">
      <c r="B3373" s="42" t="str">
        <f>IFERROR(__xludf.DUMMYFUNCTION("""COMPUTED_VALUE"""),"K/15/080425/1")</f>
        <v>K/15/080425/1</v>
      </c>
      <c r="C3373" s="42" t="str">
        <f>IFERROR(__xludf.DUMMYFUNCTION("""COMPUTED_VALUE"""),"PBT 48/2025 KEMILING RAYA")</f>
        <v>PBT 48/2025 KEMILING RAYA</v>
      </c>
      <c r="D3373" s="42"/>
      <c r="E3373" s="42"/>
      <c r="F3373" s="48" t="str">
        <f>IFERROR(__xludf.DUMMYFUNCTION("""COMPUTED_VALUE"""),"")</f>
        <v/>
      </c>
      <c r="G3373" s="42" t="str">
        <f>IFERROR(__xludf.DUMMYFUNCTION("""COMPUTED_VALUE"""),"PTPGT")</f>
        <v>PTPGT</v>
      </c>
      <c r="H3373" s="42">
        <f t="shared" si="1"/>
        <v>1539</v>
      </c>
    </row>
    <row r="3374" ht="22.5" customHeight="1">
      <c r="B3374" s="42" t="str">
        <f>IFERROR(__xludf.DUMMYFUNCTION("""COMPUTED_VALUE"""),"K/16/080425/1")</f>
        <v>K/16/080425/1</v>
      </c>
      <c r="C3374" s="42" t="str">
        <f>IFERROR(__xludf.DUMMYFUNCTION("""COMPUTED_VALUE"""),"Nibel 16495/ jagabaya III")</f>
        <v>Nibel 16495/ jagabaya III</v>
      </c>
      <c r="D3374" s="42"/>
      <c r="E3374" s="42"/>
      <c r="F3374" s="48" t="str">
        <f>IFERROR(__xludf.DUMMYFUNCTION("""COMPUTED_VALUE"""),"")</f>
        <v/>
      </c>
      <c r="G3374" s="42" t="str">
        <f>IFERROR(__xludf.DUMMYFUNCTION("""COMPUTED_VALUE"""),"BN JUAL BELI")</f>
        <v>BN JUAL BELI</v>
      </c>
      <c r="H3374" s="42">
        <f t="shared" si="1"/>
        <v>1539</v>
      </c>
    </row>
    <row r="3375" ht="22.5" customHeight="1">
      <c r="B3375" s="42" t="str">
        <f>IFERROR(__xludf.DUMMYFUNCTION("""COMPUTED_VALUE"""),"L/17/080425/1")</f>
        <v>L/17/080425/1</v>
      </c>
      <c r="C3375" s="42" t="str">
        <f>IFERROR(__xludf.DUMMYFUNCTION("""COMPUTED_VALUE"""),"HM 769/GULAK GALIK")</f>
        <v>HM 769/GULAK GALIK</v>
      </c>
      <c r="D3375" s="42"/>
      <c r="E3375" s="42" t="str">
        <f>IFERROR(__xludf.DUMMYFUNCTION("""COMPUTED_VALUE"""),"DISERAHKAN")</f>
        <v>DISERAHKAN</v>
      </c>
      <c r="F3375" s="48">
        <f>IFERROR(__xludf.DUMMYFUNCTION("""COMPUTED_VALUE"""),45783.48086090278)</f>
        <v>45783.48086</v>
      </c>
      <c r="G3375" s="42" t="str">
        <f>IFERROR(__xludf.DUMMYFUNCTION("""COMPUTED_VALUE"""),"ROYA")</f>
        <v>ROYA</v>
      </c>
      <c r="H3375" s="42">
        <f t="shared" si="1"/>
        <v>1540</v>
      </c>
    </row>
    <row r="3376" ht="22.5" customHeight="1">
      <c r="B3376" s="42" t="str">
        <f>IFERROR(__xludf.DUMMYFUNCTION("""COMPUTED_VALUE"""),"K/18/080425/1")</f>
        <v>K/18/080425/1</v>
      </c>
      <c r="C3376" s="42" t="str">
        <f>IFERROR(__xludf.DUMMYFUNCTION("""COMPUTED_VALUE"""),"M. 11312/ kedamaian")</f>
        <v>M. 11312/ kedamaian</v>
      </c>
      <c r="D3376" s="42"/>
      <c r="E3376" s="42"/>
      <c r="F3376" s="48" t="str">
        <f>IFERROR(__xludf.DUMMYFUNCTION("""COMPUTED_VALUE"""),"")</f>
        <v/>
      </c>
      <c r="G3376" s="42" t="str">
        <f>IFERROR(__xludf.DUMMYFUNCTION("""COMPUTED_VALUE"""),"SKPT LELANG")</f>
        <v>SKPT LELANG</v>
      </c>
      <c r="H3376" s="42">
        <f t="shared" si="1"/>
        <v>1540</v>
      </c>
    </row>
    <row r="3377" ht="22.5" customHeight="1">
      <c r="B3377" s="42" t="str">
        <f>IFERROR(__xludf.DUMMYFUNCTION("""COMPUTED_VALUE"""),"L/20/080425/1")</f>
        <v>L/20/080425/1</v>
      </c>
      <c r="C3377" s="42" t="str">
        <f>IFERROR(__xludf.DUMMYFUNCTION("""COMPUTED_VALUE"""),"HM 7607/KEDAMAIAN")</f>
        <v>HM 7607/KEDAMAIAN</v>
      </c>
      <c r="D3377" s="42" t="str">
        <f>IFERROR(__xludf.DUMMYFUNCTION("""COMPUTED_VALUE"""),"David")</f>
        <v>David</v>
      </c>
      <c r="E3377" s="42" t="str">
        <f>IFERROR(__xludf.DUMMYFUNCTION("""COMPUTED_VALUE"""),"DISERAHKAN")</f>
        <v>DISERAHKAN</v>
      </c>
      <c r="F3377" s="48">
        <f>IFERROR(__xludf.DUMMYFUNCTION("""COMPUTED_VALUE"""),45793.46628613426)</f>
        <v>45793.46629</v>
      </c>
      <c r="G3377" s="42" t="str">
        <f>IFERROR(__xludf.DUMMYFUNCTION("""COMPUTED_VALUE"""),"ROYA")</f>
        <v>ROYA</v>
      </c>
      <c r="H3377" s="42">
        <f t="shared" si="1"/>
        <v>1541</v>
      </c>
    </row>
    <row r="3378" ht="22.5" customHeight="1">
      <c r="B3378" s="42" t="str">
        <f>IFERROR(__xludf.DUMMYFUNCTION("""COMPUTED_VALUE"""),"L/22/080425/1")</f>
        <v>L/22/080425/1</v>
      </c>
      <c r="C3378" s="42" t="str">
        <f>IFERROR(__xludf.DUMMYFUNCTION("""COMPUTED_VALUE"""),"HM 757/SUMBER AGUNG")</f>
        <v>HM 757/SUMBER AGUNG</v>
      </c>
      <c r="D3378" s="42"/>
      <c r="E3378" s="42" t="str">
        <f>IFERROR(__xludf.DUMMYFUNCTION("""COMPUTED_VALUE"""),"DISERAHKAN")</f>
        <v>DISERAHKAN</v>
      </c>
      <c r="F3378" s="48">
        <f>IFERROR(__xludf.DUMMYFUNCTION("""COMPUTED_VALUE"""),45783.49177623843)</f>
        <v>45783.49178</v>
      </c>
      <c r="G3378" s="42" t="str">
        <f>IFERROR(__xludf.DUMMYFUNCTION("""COMPUTED_VALUE"""),"ROYA")</f>
        <v>ROYA</v>
      </c>
      <c r="H3378" s="42">
        <f t="shared" si="1"/>
        <v>1542</v>
      </c>
    </row>
    <row r="3379" ht="22.5" customHeight="1">
      <c r="B3379" s="42" t="str">
        <f>IFERROR(__xludf.DUMMYFUNCTION("""COMPUTED_VALUE"""),"L/23/080425/2")</f>
        <v>L/23/080425/2</v>
      </c>
      <c r="C3379" s="42" t="str">
        <f>IFERROR(__xludf.DUMMYFUNCTION("""COMPUTED_VALUE"""),"HM 486/BERINGIN RAYA")</f>
        <v>HM 486/BERINGIN RAYA</v>
      </c>
      <c r="D3379" s="42"/>
      <c r="E3379" s="42"/>
      <c r="F3379" s="48" t="str">
        <f>IFERROR(__xludf.DUMMYFUNCTION("""COMPUTED_VALUE"""),"")</f>
        <v/>
      </c>
      <c r="G3379" s="42" t="str">
        <f>IFERROR(__xludf.DUMMYFUNCTION("""COMPUTED_VALUE"""),"ROYA")</f>
        <v>ROYA</v>
      </c>
      <c r="H3379" s="42">
        <f t="shared" si="1"/>
        <v>1542</v>
      </c>
    </row>
    <row r="3380" ht="22.5" customHeight="1">
      <c r="B3380" s="42" t="str">
        <f>IFERROR(__xludf.DUMMYFUNCTION("""COMPUTED_VALUE"""),"L/20/080425/1")</f>
        <v>L/20/080425/1</v>
      </c>
      <c r="C3380" s="42" t="str">
        <f>IFERROR(__xludf.DUMMYFUNCTION("""COMPUTED_VALUE"""),"HM 7607/KEDAMAIAN")</f>
        <v>HM 7607/KEDAMAIAN</v>
      </c>
      <c r="D3380" s="42"/>
      <c r="E3380" s="42"/>
      <c r="F3380" s="48" t="str">
        <f>IFERROR(__xludf.DUMMYFUNCTION("""COMPUTED_VALUE"""),"")</f>
        <v/>
      </c>
      <c r="G3380" s="42" t="str">
        <f>IFERROR(__xludf.DUMMYFUNCTION("""COMPUTED_VALUE"""),"ROYA")</f>
        <v>ROYA</v>
      </c>
      <c r="H3380" s="42">
        <f t="shared" si="1"/>
        <v>1542</v>
      </c>
    </row>
    <row r="3381" ht="22.5" customHeight="1">
      <c r="B3381" s="42" t="str">
        <f>IFERROR(__xludf.DUMMYFUNCTION("""COMPUTED_VALUE"""),"K/1/090425/1")</f>
        <v>K/1/090425/1</v>
      </c>
      <c r="C3381" s="42" t="str">
        <f>IFERROR(__xludf.DUMMYFUNCTION("""COMPUTED_VALUE"""),"M. 1264/ Kali Balau Kencana")</f>
        <v>M. 1264/ Kali Balau Kencana</v>
      </c>
      <c r="D3381" s="42"/>
      <c r="E3381" s="42" t="str">
        <f>IFERROR(__xludf.DUMMYFUNCTION("""COMPUTED_VALUE"""),"DISERAHKAN")</f>
        <v>DISERAHKAN</v>
      </c>
      <c r="F3381" s="48">
        <f>IFERROR(__xludf.DUMMYFUNCTION("""COMPUTED_VALUE"""),45775.60876148148)</f>
        <v>45775.60876</v>
      </c>
      <c r="G3381" s="42" t="str">
        <f>IFERROR(__xludf.DUMMYFUNCTION("""COMPUTED_VALUE"""),"BN Jual Beli")</f>
        <v>BN Jual Beli</v>
      </c>
      <c r="H3381" s="42">
        <f t="shared" si="1"/>
        <v>1543</v>
      </c>
    </row>
    <row r="3382" ht="22.5" customHeight="1">
      <c r="B3382" s="42" t="str">
        <f>IFERROR(__xludf.DUMMYFUNCTION("""COMPUTED_VALUE"""),"K/2/090425/1")</f>
        <v>K/2/090425/1</v>
      </c>
      <c r="C3382" s="42" t="str">
        <f>IFERROR(__xludf.DUMMYFUNCTION("""COMPUTED_VALUE"""),"Nibel 4932/ korpri jaya")</f>
        <v>Nibel 4932/ korpri jaya</v>
      </c>
      <c r="D3382" s="42"/>
      <c r="E3382" s="42"/>
      <c r="F3382" s="48" t="str">
        <f>IFERROR(__xludf.DUMMYFUNCTION("""COMPUTED_VALUE"""),"")</f>
        <v/>
      </c>
      <c r="G3382" s="42" t="str">
        <f>IFERROR(__xludf.DUMMYFUNCTION("""COMPUTED_VALUE"""),"BN JUAL BELI")</f>
        <v>BN JUAL BELI</v>
      </c>
      <c r="H3382" s="42">
        <f t="shared" si="1"/>
        <v>1543</v>
      </c>
    </row>
    <row r="3383" ht="22.5" customHeight="1">
      <c r="B3383" s="42" t="str">
        <f>IFERROR(__xludf.DUMMYFUNCTION("""COMPUTED_VALUE"""),"K/3/090425/2")</f>
        <v>K/3/090425/2</v>
      </c>
      <c r="C3383" s="42" t="str">
        <f>IFERROR(__xludf.DUMMYFUNCTION("""COMPUTED_VALUE"""),"Nibel 4934/ korpri jaya")</f>
        <v>Nibel 4934/ korpri jaya</v>
      </c>
      <c r="D3383" s="42"/>
      <c r="E3383" s="42"/>
      <c r="F3383" s="48" t="str">
        <f>IFERROR(__xludf.DUMMYFUNCTION("""COMPUTED_VALUE"""),"")</f>
        <v/>
      </c>
      <c r="G3383" s="42" t="str">
        <f>IFERROR(__xludf.DUMMYFUNCTION("""COMPUTED_VALUE"""),"BN JUAL BELI")</f>
        <v>BN JUAL BELI</v>
      </c>
      <c r="H3383" s="42">
        <f t="shared" si="1"/>
        <v>1543</v>
      </c>
    </row>
    <row r="3384" ht="22.5" customHeight="1">
      <c r="B3384" s="42" t="str">
        <f>IFERROR(__xludf.DUMMYFUNCTION("""COMPUTED_VALUE"""),"K/4/090425/1")</f>
        <v>K/4/090425/1</v>
      </c>
      <c r="C3384" s="42" t="str">
        <f>IFERROR(__xludf.DUMMYFUNCTION("""COMPUTED_VALUE"""),"PBT. 27/2025 ( Rahjabasa Raya)")</f>
        <v>PBT. 27/2025 ( Rahjabasa Raya)</v>
      </c>
      <c r="D3384" s="42"/>
      <c r="E3384" s="42"/>
      <c r="F3384" s="48" t="str">
        <f>IFERROR(__xludf.DUMMYFUNCTION("""COMPUTED_VALUE"""),"")</f>
        <v/>
      </c>
      <c r="G3384" s="42" t="str">
        <f>IFERROR(__xludf.DUMMYFUNCTION("""COMPUTED_VALUE"""),"Permohonan SK")</f>
        <v>Permohonan SK</v>
      </c>
      <c r="H3384" s="42">
        <f t="shared" si="1"/>
        <v>1543</v>
      </c>
    </row>
    <row r="3385" ht="22.5" customHeight="1">
      <c r="B3385" s="42" t="str">
        <f>IFERROR(__xludf.DUMMYFUNCTION("""COMPUTED_VALUE"""),"K/5/090425/1")</f>
        <v>K/5/090425/1</v>
      </c>
      <c r="C3385" s="42" t="str">
        <f>IFERROR(__xludf.DUMMYFUNCTION("""COMPUTED_VALUE"""),"M. 1360/ tanjungkarang")</f>
        <v>M. 1360/ tanjungkarang</v>
      </c>
      <c r="D3385" s="42"/>
      <c r="E3385" s="42"/>
      <c r="F3385" s="48" t="str">
        <f>IFERROR(__xludf.DUMMYFUNCTION("""COMPUTED_VALUE"""),"")</f>
        <v/>
      </c>
      <c r="G3385" s="42" t="str">
        <f>IFERROR(__xludf.DUMMYFUNCTION("""COMPUTED_VALUE"""),"SKPT LELANG")</f>
        <v>SKPT LELANG</v>
      </c>
      <c r="H3385" s="42">
        <f t="shared" si="1"/>
        <v>1543</v>
      </c>
    </row>
    <row r="3386" ht="22.5" customHeight="1">
      <c r="B3386" s="42" t="str">
        <f>IFERROR(__xludf.DUMMYFUNCTION("""COMPUTED_VALUE"""),"K/6/090425/1")</f>
        <v>K/6/090425/1</v>
      </c>
      <c r="C3386" s="42" t="str">
        <f>IFERROR(__xludf.DUMMYFUNCTION("""COMPUTED_VALUE"""),"Nibel. M. 10884/ Sukarame")</f>
        <v>Nibel. M. 10884/ Sukarame</v>
      </c>
      <c r="D3386" s="42"/>
      <c r="E3386" s="42"/>
      <c r="F3386" s="48" t="str">
        <f>IFERROR(__xludf.DUMMYFUNCTION("""COMPUTED_VALUE"""),"")</f>
        <v/>
      </c>
      <c r="G3386" s="42" t="str">
        <f>IFERROR(__xludf.DUMMYFUNCTION("""COMPUTED_VALUE"""),"BN PHB")</f>
        <v>BN PHB</v>
      </c>
      <c r="H3386" s="42">
        <f t="shared" si="1"/>
        <v>1543</v>
      </c>
    </row>
    <row r="3387" ht="22.5" customHeight="1">
      <c r="B3387" s="42" t="str">
        <f>IFERROR(__xludf.DUMMYFUNCTION("""COMPUTED_VALUE"""),"K/7/090425/1")</f>
        <v>K/7/090425/1</v>
      </c>
      <c r="C3387" s="42" t="str">
        <f>IFERROR(__xludf.DUMMYFUNCTION("""COMPUTED_VALUE"""),"M.249/SUKAJAWA BARU")</f>
        <v>M.249/SUKAJAWA BARU</v>
      </c>
      <c r="D3387" s="42"/>
      <c r="E3387" s="42"/>
      <c r="F3387" s="48" t="str">
        <f>IFERROR(__xludf.DUMMYFUNCTION("""COMPUTED_VALUE"""),"")</f>
        <v/>
      </c>
      <c r="G3387" s="42" t="str">
        <f>IFERROR(__xludf.DUMMYFUNCTION("""COMPUTED_VALUE"""),"KEWARISAN")</f>
        <v>KEWARISAN</v>
      </c>
      <c r="H3387" s="42">
        <f t="shared" si="1"/>
        <v>1543</v>
      </c>
    </row>
    <row r="3388" ht="22.5" customHeight="1">
      <c r="B3388" s="42" t="str">
        <f>IFERROR(__xludf.DUMMYFUNCTION("""COMPUTED_VALUE"""),"K/8/090425/2")</f>
        <v>K/8/090425/2</v>
      </c>
      <c r="C3388" s="42" t="str">
        <f>IFERROR(__xludf.DUMMYFUNCTION("""COMPUTED_VALUE"""),"B.580/KEMILING PERMAI")</f>
        <v>B.580/KEMILING PERMAI</v>
      </c>
      <c r="D3388" s="42"/>
      <c r="E3388" s="42"/>
      <c r="F3388" s="48" t="str">
        <f>IFERROR(__xludf.DUMMYFUNCTION("""COMPUTED_VALUE"""),"")</f>
        <v/>
      </c>
      <c r="G3388" s="42" t="str">
        <f>IFERROR(__xludf.DUMMYFUNCTION("""COMPUTED_VALUE"""),"JUAL BELI")</f>
        <v>JUAL BELI</v>
      </c>
      <c r="H3388" s="42">
        <f t="shared" si="1"/>
        <v>1543</v>
      </c>
    </row>
    <row r="3389" ht="22.5" customHeight="1">
      <c r="B3389" s="42" t="str">
        <f>IFERROR(__xludf.DUMMYFUNCTION("""COMPUTED_VALUE"""),"L/9/090425/1")</f>
        <v>L/9/090425/1</v>
      </c>
      <c r="C3389" s="42" t="str">
        <f>IFERROR(__xludf.DUMMYFUNCTION("""COMPUTED_VALUE"""),"HM 114/SUKARAME BATRU")</f>
        <v>HM 114/SUKARAME BATRU</v>
      </c>
      <c r="D3389" s="42"/>
      <c r="E3389" s="42"/>
      <c r="F3389" s="48" t="str">
        <f>IFERROR(__xludf.DUMMYFUNCTION("""COMPUTED_VALUE"""),"")</f>
        <v/>
      </c>
      <c r="G3389" s="42" t="str">
        <f>IFERROR(__xludf.DUMMYFUNCTION("""COMPUTED_VALUE"""),"ROYA")</f>
        <v>ROYA</v>
      </c>
      <c r="H3389" s="42">
        <f t="shared" si="1"/>
        <v>1543</v>
      </c>
    </row>
    <row r="3390" ht="22.5" customHeight="1">
      <c r="B3390" s="42" t="str">
        <f>IFERROR(__xludf.DUMMYFUNCTION("""COMPUTED_VALUE"""),"K/10/090425/1")</f>
        <v>K/10/090425/1</v>
      </c>
      <c r="C3390" s="42" t="str">
        <f>IFERROR(__xludf.DUMMYFUNCTION("""COMPUTED_VALUE"""),"M.2904/CAMPANG RAYA")</f>
        <v>M.2904/CAMPANG RAYA</v>
      </c>
      <c r="D3390" s="42"/>
      <c r="E3390" s="42" t="str">
        <f>IFERROR(__xludf.DUMMYFUNCTION("""COMPUTED_VALUE"""),"DISERAHKAN")</f>
        <v>DISERAHKAN</v>
      </c>
      <c r="F3390" s="48">
        <f>IFERROR(__xludf.DUMMYFUNCTION("""COMPUTED_VALUE"""),45783.49213778935)</f>
        <v>45783.49214</v>
      </c>
      <c r="G3390" s="42" t="str">
        <f>IFERROR(__xludf.DUMMYFUNCTION("""COMPUTED_VALUE"""),"ROYA")</f>
        <v>ROYA</v>
      </c>
      <c r="H3390" s="42">
        <f t="shared" si="1"/>
        <v>1544</v>
      </c>
    </row>
    <row r="3391" ht="22.5" customHeight="1">
      <c r="B3391" s="42" t="str">
        <f>IFERROR(__xludf.DUMMYFUNCTION("""COMPUTED_VALUE"""),"K/11/090425/1")</f>
        <v>K/11/090425/1</v>
      </c>
      <c r="C3391" s="42" t="str">
        <f>IFERROR(__xludf.DUMMYFUNCTION("""COMPUTED_VALUE"""),"Nibel 18555/ Sumur Putri")</f>
        <v>Nibel 18555/ Sumur Putri</v>
      </c>
      <c r="D3391" s="42"/>
      <c r="E3391" s="42"/>
      <c r="F3391" s="48" t="str">
        <f>IFERROR(__xludf.DUMMYFUNCTION("""COMPUTED_VALUE"""),"")</f>
        <v/>
      </c>
      <c r="G3391" s="42" t="str">
        <f>IFERROR(__xludf.DUMMYFUNCTION("""COMPUTED_VALUE"""),"PERUBAHAN HAK")</f>
        <v>PERUBAHAN HAK</v>
      </c>
      <c r="H3391" s="42">
        <f t="shared" si="1"/>
        <v>1544</v>
      </c>
    </row>
    <row r="3392" ht="22.5" customHeight="1">
      <c r="B3392" s="42" t="str">
        <f>IFERROR(__xludf.DUMMYFUNCTION("""COMPUTED_VALUE"""),"K/12/090425/1")</f>
        <v>K/12/090425/1</v>
      </c>
      <c r="C3392" s="42" t="str">
        <f>IFERROR(__xludf.DUMMYFUNCTION("""COMPUTED_VALUE"""),"M, 1943/ Sumur Batu")</f>
        <v>M, 1943/ Sumur Batu</v>
      </c>
      <c r="D3392" s="42"/>
      <c r="E3392" s="42" t="str">
        <f>IFERROR(__xludf.DUMMYFUNCTION("""COMPUTED_VALUE"""),"DISERAHKAN")</f>
        <v>DISERAHKAN</v>
      </c>
      <c r="F3392" s="48">
        <f>IFERROR(__xludf.DUMMYFUNCTION("""COMPUTED_VALUE"""),45775.60808518519)</f>
        <v>45775.60809</v>
      </c>
      <c r="G3392" s="42" t="str">
        <f>IFERROR(__xludf.DUMMYFUNCTION("""COMPUTED_VALUE"""),"BN Jual Beli")</f>
        <v>BN Jual Beli</v>
      </c>
      <c r="H3392" s="42">
        <f t="shared" si="1"/>
        <v>1545</v>
      </c>
    </row>
    <row r="3393" ht="22.5" customHeight="1">
      <c r="B3393" s="42" t="str">
        <f>IFERROR(__xludf.DUMMYFUNCTION("""COMPUTED_VALUE"""),"L/14/090425/1")</f>
        <v>L/14/090425/1</v>
      </c>
      <c r="C3393" s="42" t="str">
        <f>IFERROR(__xludf.DUMMYFUNCTION("""COMPUTED_VALUE"""),"NIB 1397/SUKARAME BARU")</f>
        <v>NIB 1397/SUKARAME BARU</v>
      </c>
      <c r="D3393" s="42"/>
      <c r="E3393" s="42"/>
      <c r="F3393" s="48" t="str">
        <f>IFERROR(__xludf.DUMMYFUNCTION("""COMPUTED_VALUE"""),"")</f>
        <v/>
      </c>
      <c r="G3393" s="42" t="str">
        <f>IFERROR(__xludf.DUMMYFUNCTION("""COMPUTED_VALUE"""),"GANTI NAMA")</f>
        <v>GANTI NAMA</v>
      </c>
      <c r="H3393" s="42">
        <f t="shared" si="1"/>
        <v>1545</v>
      </c>
    </row>
    <row r="3394" ht="22.5" customHeight="1">
      <c r="B3394" s="42" t="str">
        <f>IFERROR(__xludf.DUMMYFUNCTION("""COMPUTED_VALUE"""),"K/13/090425/2")</f>
        <v>K/13/090425/2</v>
      </c>
      <c r="C3394" s="42" t="str">
        <f>IFERROR(__xludf.DUMMYFUNCTION("""COMPUTED_VALUE"""),"M. 1944/ Sumur Batu")</f>
        <v>M. 1944/ Sumur Batu</v>
      </c>
      <c r="D3394" s="42"/>
      <c r="E3394" s="42" t="str">
        <f>IFERROR(__xludf.DUMMYFUNCTION("""COMPUTED_VALUE"""),"DISERAHKAN")</f>
        <v>DISERAHKAN</v>
      </c>
      <c r="F3394" s="48">
        <f>IFERROR(__xludf.DUMMYFUNCTION("""COMPUTED_VALUE"""),45775.608330937495)</f>
        <v>45775.60833</v>
      </c>
      <c r="G3394" s="42" t="str">
        <f>IFERROR(__xludf.DUMMYFUNCTION("""COMPUTED_VALUE"""),"BN Jual Beli")</f>
        <v>BN Jual Beli</v>
      </c>
      <c r="H3394" s="42">
        <f t="shared" si="1"/>
        <v>1546</v>
      </c>
    </row>
    <row r="3395" ht="22.5" customHeight="1">
      <c r="B3395" s="42" t="str">
        <f>IFERROR(__xludf.DUMMYFUNCTION("""COMPUTED_VALUE"""),"L/15/090425/1")</f>
        <v>L/15/090425/1</v>
      </c>
      <c r="C3395" s="42" t="str">
        <f>IFERROR(__xludf.DUMMYFUNCTION("""COMPUTED_VALUE"""),"HM 11028/SUKABUMI")</f>
        <v>HM 11028/SUKABUMI</v>
      </c>
      <c r="D3395" s="42"/>
      <c r="E3395" s="42"/>
      <c r="F3395" s="48" t="str">
        <f>IFERROR(__xludf.DUMMYFUNCTION("""COMPUTED_VALUE"""),"")</f>
        <v/>
      </c>
      <c r="G3395" s="42" t="str">
        <f>IFERROR(__xludf.DUMMYFUNCTION("""COMPUTED_VALUE"""),"ROYA")</f>
        <v>ROYA</v>
      </c>
      <c r="H3395" s="42">
        <f t="shared" si="1"/>
        <v>1546</v>
      </c>
    </row>
    <row r="3396" ht="22.5" customHeight="1">
      <c r="B3396" s="42" t="str">
        <f>IFERROR(__xludf.DUMMYFUNCTION("""COMPUTED_VALUE"""),"L/16/090425/1")</f>
        <v>L/16/090425/1</v>
      </c>
      <c r="C3396" s="42" t="str">
        <f>IFERROR(__xludf.DUMMYFUNCTION("""COMPUTED_VALUE"""),"HM 185/SUMUR BATU")</f>
        <v>HM 185/SUMUR BATU</v>
      </c>
      <c r="D3396" s="42"/>
      <c r="E3396" s="42" t="str">
        <f>IFERROR(__xludf.DUMMYFUNCTION("""COMPUTED_VALUE"""),"DISERAHKAN")</f>
        <v>DISERAHKAN</v>
      </c>
      <c r="F3396" s="48">
        <f>IFERROR(__xludf.DUMMYFUNCTION("""COMPUTED_VALUE"""),45783.49192006944)</f>
        <v>45783.49192</v>
      </c>
      <c r="G3396" s="42" t="str">
        <f>IFERROR(__xludf.DUMMYFUNCTION("""COMPUTED_VALUE"""),"ROYA")</f>
        <v>ROYA</v>
      </c>
      <c r="H3396" s="42">
        <f t="shared" si="1"/>
        <v>1547</v>
      </c>
    </row>
    <row r="3397" ht="22.5" customHeight="1">
      <c r="B3397" s="42" t="str">
        <f>IFERROR(__xludf.DUMMYFUNCTION("""COMPUTED_VALUE"""),"K/17/090425/1")</f>
        <v>K/17/090425/1</v>
      </c>
      <c r="C3397" s="42" t="str">
        <f>IFERROR(__xludf.DUMMYFUNCTION("""COMPUTED_VALUE"""),"Nibel 17361/ Labuhan dalam")</f>
        <v>Nibel 17361/ Labuhan dalam</v>
      </c>
      <c r="D3397" s="42"/>
      <c r="E3397" s="42"/>
      <c r="F3397" s="48" t="str">
        <f>IFERROR(__xludf.DUMMYFUNCTION("""COMPUTED_VALUE"""),"")</f>
        <v/>
      </c>
      <c r="G3397" s="42" t="str">
        <f>IFERROR(__xludf.DUMMYFUNCTION("""COMPUTED_VALUE"""),"BN JUAL BELI")</f>
        <v>BN JUAL BELI</v>
      </c>
      <c r="H3397" s="42">
        <f t="shared" si="1"/>
        <v>1547</v>
      </c>
    </row>
    <row r="3398" ht="22.5" customHeight="1">
      <c r="B3398" s="42" t="str">
        <f>IFERROR(__xludf.DUMMYFUNCTION("""COMPUTED_VALUE"""),"K/18/090425/2")</f>
        <v>K/18/090425/2</v>
      </c>
      <c r="C3398" s="42" t="str">
        <f>IFERROR(__xludf.DUMMYFUNCTION("""COMPUTED_VALUE"""),"Nibel 17360/ Labuhan dalam")</f>
        <v>Nibel 17360/ Labuhan dalam</v>
      </c>
      <c r="D3398" s="42"/>
      <c r="E3398" s="42"/>
      <c r="F3398" s="48" t="str">
        <f>IFERROR(__xludf.DUMMYFUNCTION("""COMPUTED_VALUE"""),"")</f>
        <v/>
      </c>
      <c r="G3398" s="42" t="str">
        <f>IFERROR(__xludf.DUMMYFUNCTION("""COMPUTED_VALUE"""),"BN JUAL BELI")</f>
        <v>BN JUAL BELI</v>
      </c>
      <c r="H3398" s="42">
        <f t="shared" si="1"/>
        <v>1547</v>
      </c>
    </row>
    <row r="3399" ht="22.5" customHeight="1">
      <c r="B3399" s="42" t="str">
        <f>IFERROR(__xludf.DUMMYFUNCTION("""COMPUTED_VALUE"""),"K/21/080425/1")</f>
        <v>K/21/080425/1</v>
      </c>
      <c r="C3399" s="42" t="str">
        <f>IFERROR(__xludf.DUMMYFUNCTION("""COMPUTED_VALUE"""),"M. 1177/BAKUNG")</f>
        <v>M. 1177/BAKUNG</v>
      </c>
      <c r="D3399" s="42"/>
      <c r="E3399" s="42"/>
      <c r="F3399" s="48" t="str">
        <f>IFERROR(__xludf.DUMMYFUNCTION("""COMPUTED_VALUE"""),"")</f>
        <v/>
      </c>
      <c r="G3399" s="42" t="str">
        <f>IFERROR(__xludf.DUMMYFUNCTION("""COMPUTED_VALUE"""),"ROYA")</f>
        <v>ROYA</v>
      </c>
      <c r="H3399" s="42">
        <f t="shared" si="1"/>
        <v>1547</v>
      </c>
    </row>
    <row r="3400" ht="22.5" customHeight="1">
      <c r="B3400" s="42" t="str">
        <f>IFERROR(__xludf.DUMMYFUNCTION("""COMPUTED_VALUE"""),"K/19/090425/1")</f>
        <v>K/19/090425/1</v>
      </c>
      <c r="C3400" s="42" t="str">
        <f>IFERROR(__xludf.DUMMYFUNCTION("""COMPUTED_VALUE"""),"M. 14920/ Sukabumi")</f>
        <v>M. 14920/ Sukabumi</v>
      </c>
      <c r="D3400" s="42"/>
      <c r="E3400" s="42"/>
      <c r="F3400" s="48" t="str">
        <f>IFERROR(__xludf.DUMMYFUNCTION("""COMPUTED_VALUE"""),"")</f>
        <v/>
      </c>
      <c r="G3400" s="42" t="str">
        <f>IFERROR(__xludf.DUMMYFUNCTION("""COMPUTED_VALUE"""),"SKPT LELANG")</f>
        <v>SKPT LELANG</v>
      </c>
      <c r="H3400" s="42">
        <f t="shared" si="1"/>
        <v>1547</v>
      </c>
    </row>
    <row r="3401" ht="22.5" customHeight="1">
      <c r="B3401" s="42" t="str">
        <f>IFERROR(__xludf.DUMMYFUNCTION("""COMPUTED_VALUE"""),"K/22/090425/1")</f>
        <v>K/22/090425/1</v>
      </c>
      <c r="C3401" s="42" t="str">
        <f>IFERROR(__xludf.DUMMYFUNCTION("""COMPUTED_VALUE"""),"PBT. 10/2025 (Way Dadi Baru)")</f>
        <v>PBT. 10/2025 (Way Dadi Baru)</v>
      </c>
      <c r="D3401" s="42"/>
      <c r="E3401" s="42"/>
      <c r="F3401" s="48" t="str">
        <f>IFERROR(__xludf.DUMMYFUNCTION("""COMPUTED_VALUE"""),"")</f>
        <v/>
      </c>
      <c r="G3401" s="42" t="str">
        <f>IFERROR(__xludf.DUMMYFUNCTION("""COMPUTED_VALUE"""),"PTPGT Pertama Kali")</f>
        <v>PTPGT Pertama Kali</v>
      </c>
      <c r="H3401" s="42">
        <f t="shared" si="1"/>
        <v>1547</v>
      </c>
    </row>
    <row r="3402" ht="22.5" customHeight="1">
      <c r="B3402" s="42" t="str">
        <f>IFERROR(__xludf.DUMMYFUNCTION("""COMPUTED_VALUE"""),"K/21/090425/1")</f>
        <v>K/21/090425/1</v>
      </c>
      <c r="C3402" s="42" t="str">
        <f>IFERROR(__xludf.DUMMYFUNCTION("""COMPUTED_VALUE"""),"M. 2643/SUMBER AGUNG")</f>
        <v>M. 2643/SUMBER AGUNG</v>
      </c>
      <c r="D3402" s="42"/>
      <c r="E3402" s="42"/>
      <c r="F3402" s="48" t="str">
        <f>IFERROR(__xludf.DUMMYFUNCTION("""COMPUTED_VALUE"""),"")</f>
        <v/>
      </c>
      <c r="G3402" s="42" t="str">
        <f>IFERROR(__xludf.DUMMYFUNCTION("""COMPUTED_VALUE"""),"BN JUAL BELI")</f>
        <v>BN JUAL BELI</v>
      </c>
      <c r="H3402" s="42">
        <f t="shared" si="1"/>
        <v>1547</v>
      </c>
    </row>
    <row r="3403" ht="22.5" customHeight="1">
      <c r="B3403" s="42" t="str">
        <f>IFERROR(__xludf.DUMMYFUNCTION("""COMPUTED_VALUE"""),"K/20/090425/2")</f>
        <v>K/20/090425/2</v>
      </c>
      <c r="C3403" s="42" t="str">
        <f>IFERROR(__xludf.DUMMYFUNCTION("""COMPUTED_VALUE"""),"M. 108/ Campang Jaya")</f>
        <v>M. 108/ Campang Jaya</v>
      </c>
      <c r="D3403" s="42"/>
      <c r="E3403" s="42"/>
      <c r="F3403" s="48" t="str">
        <f>IFERROR(__xludf.DUMMYFUNCTION("""COMPUTED_VALUE"""),"")</f>
        <v/>
      </c>
      <c r="G3403" s="42" t="str">
        <f>IFERROR(__xludf.DUMMYFUNCTION("""COMPUTED_VALUE"""),"SKPT LELANG")</f>
        <v>SKPT LELANG</v>
      </c>
      <c r="H3403" s="42">
        <f t="shared" si="1"/>
        <v>1547</v>
      </c>
    </row>
    <row r="3404" ht="22.5" customHeight="1">
      <c r="B3404" s="42" t="str">
        <f>IFERROR(__xludf.DUMMYFUNCTION("""COMPUTED_VALUE"""),"K/23/090425/1")</f>
        <v>K/23/090425/1</v>
      </c>
      <c r="C3404" s="42" t="str">
        <f>IFERROR(__xludf.DUMMYFUNCTION("""COMPUTED_VALUE"""),"M. 1268/BUMI WARAS")</f>
        <v>M. 1268/BUMI WARAS</v>
      </c>
      <c r="D3404" s="42"/>
      <c r="E3404" s="42"/>
      <c r="F3404" s="48" t="str">
        <f>IFERROR(__xludf.DUMMYFUNCTION("""COMPUTED_VALUE"""),"")</f>
        <v/>
      </c>
      <c r="G3404" s="42" t="str">
        <f>IFERROR(__xludf.DUMMYFUNCTION("""COMPUTED_VALUE"""),"SKPT LELANG")</f>
        <v>SKPT LELANG</v>
      </c>
      <c r="H3404" s="42">
        <f t="shared" si="1"/>
        <v>1547</v>
      </c>
    </row>
    <row r="3405" ht="22.5" customHeight="1">
      <c r="B3405" s="42" t="str">
        <f>IFERROR(__xludf.DUMMYFUNCTION("""COMPUTED_VALUE"""),"K/24/090425/1")</f>
        <v>K/24/090425/1</v>
      </c>
      <c r="C3405" s="42" t="str">
        <f>IFERROR(__xludf.DUMMYFUNCTION("""COMPUTED_VALUE"""),"M. 13745; 13743/ Sukarame")</f>
        <v>M. 13745; 13743/ Sukarame</v>
      </c>
      <c r="D3405" s="42"/>
      <c r="E3405" s="42" t="str">
        <f>IFERROR(__xludf.DUMMYFUNCTION("""COMPUTED_VALUE"""),"DISERAHKAN")</f>
        <v>DISERAHKAN</v>
      </c>
      <c r="F3405" s="48">
        <f>IFERROR(__xludf.DUMMYFUNCTION("""COMPUTED_VALUE"""),45783.4931641088)</f>
        <v>45783.49316</v>
      </c>
      <c r="G3405" s="42" t="str">
        <f>IFERROR(__xludf.DUMMYFUNCTION("""COMPUTED_VALUE"""),"Roya")</f>
        <v>Roya</v>
      </c>
      <c r="H3405" s="42">
        <f t="shared" si="1"/>
        <v>1548</v>
      </c>
    </row>
    <row r="3406" ht="22.5" customHeight="1">
      <c r="B3406" s="42" t="str">
        <f>IFERROR(__xludf.DUMMYFUNCTION("""COMPUTED_VALUE"""),"K/25/090425/1")</f>
        <v>K/25/090425/1</v>
      </c>
      <c r="C3406" s="42" t="str">
        <f>IFERROR(__xludf.DUMMYFUNCTION("""COMPUTED_VALUE"""),"Nibel 5320/ Rajabasa Jaya")</f>
        <v>Nibel 5320/ Rajabasa Jaya</v>
      </c>
      <c r="D3406" s="42"/>
      <c r="E3406" s="42"/>
      <c r="F3406" s="48" t="str">
        <f>IFERROR(__xludf.DUMMYFUNCTION("""COMPUTED_VALUE"""),"")</f>
        <v/>
      </c>
      <c r="G3406" s="42" t="str">
        <f>IFERROR(__xludf.DUMMYFUNCTION("""COMPUTED_VALUE"""),"BN HIBAH")</f>
        <v>BN HIBAH</v>
      </c>
      <c r="H3406" s="42">
        <f t="shared" si="1"/>
        <v>1548</v>
      </c>
    </row>
    <row r="3407" ht="22.5" customHeight="1">
      <c r="B3407" s="42" t="str">
        <f>IFERROR(__xludf.DUMMYFUNCTION("""COMPUTED_VALUE"""),"K/26/090425/2")</f>
        <v>K/26/090425/2</v>
      </c>
      <c r="C3407" s="42" t="str">
        <f>IFERROR(__xludf.DUMMYFUNCTION("""COMPUTED_VALUE"""),"Nibel 5318/ Rajabasa Jaya")</f>
        <v>Nibel 5318/ Rajabasa Jaya</v>
      </c>
      <c r="D3407" s="42"/>
      <c r="E3407" s="42"/>
      <c r="F3407" s="48" t="str">
        <f>IFERROR(__xludf.DUMMYFUNCTION("""COMPUTED_VALUE"""),"")</f>
        <v/>
      </c>
      <c r="G3407" s="42" t="str">
        <f>IFERROR(__xludf.DUMMYFUNCTION("""COMPUTED_VALUE"""),"BN HIBAH")</f>
        <v>BN HIBAH</v>
      </c>
      <c r="H3407" s="42">
        <f t="shared" si="1"/>
        <v>1548</v>
      </c>
    </row>
    <row r="3408" ht="22.5" customHeight="1">
      <c r="B3408" s="42" t="str">
        <f>IFERROR(__xludf.DUMMYFUNCTION("""COMPUTED_VALUE"""),"K/27/090425/1")</f>
        <v>K/27/090425/1</v>
      </c>
      <c r="C3408" s="42" t="str">
        <f>IFERROR(__xludf.DUMMYFUNCTION("""COMPUTED_VALUE"""),"M. 118/ Kali Balau Kencana")</f>
        <v>M. 118/ Kali Balau Kencana</v>
      </c>
      <c r="D3408" s="42"/>
      <c r="E3408" s="42" t="str">
        <f>IFERROR(__xludf.DUMMYFUNCTION("""COMPUTED_VALUE"""),"DISERAHKAN")</f>
        <v>DISERAHKAN</v>
      </c>
      <c r="F3408" s="48">
        <f>IFERROR(__xludf.DUMMYFUNCTION("""COMPUTED_VALUE"""),45783.49142153935)</f>
        <v>45783.49142</v>
      </c>
      <c r="G3408" s="42" t="str">
        <f>IFERROR(__xludf.DUMMYFUNCTION("""COMPUTED_VALUE"""),"Roya")</f>
        <v>Roya</v>
      </c>
      <c r="H3408" s="42">
        <f t="shared" si="1"/>
        <v>1549</v>
      </c>
    </row>
    <row r="3409" ht="22.5" customHeight="1">
      <c r="B3409" s="42" t="str">
        <f>IFERROR(__xludf.DUMMYFUNCTION("""COMPUTED_VALUE"""),"K/28/090425/1")</f>
        <v>K/28/090425/1</v>
      </c>
      <c r="C3409" s="42" t="str">
        <f>IFERROR(__xludf.DUMMYFUNCTION("""COMPUTED_VALUE"""),"M. 570/ Pidada")</f>
        <v>M. 570/ Pidada</v>
      </c>
      <c r="D3409" s="42" t="str">
        <f>IFERROR(__xludf.DUMMYFUNCTION("""COMPUTED_VALUE"""),"Berry")</f>
        <v>Berry</v>
      </c>
      <c r="E3409" s="42" t="str">
        <f>IFERROR(__xludf.DUMMYFUNCTION("""COMPUTED_VALUE"""),"DISERAHKAN")</f>
        <v>DISERAHKAN</v>
      </c>
      <c r="F3409" s="48">
        <f>IFERROR(__xludf.DUMMYFUNCTION("""COMPUTED_VALUE"""),45798.43340799768)</f>
        <v>45798.43341</v>
      </c>
      <c r="G3409" s="42" t="str">
        <f>IFERROR(__xludf.DUMMYFUNCTION("""COMPUTED_VALUE"""),"HAPUS BPHTB")</f>
        <v>HAPUS BPHTB</v>
      </c>
      <c r="H3409" s="42">
        <f t="shared" si="1"/>
        <v>1550</v>
      </c>
    </row>
    <row r="3410" ht="22.5" customHeight="1">
      <c r="B3410" s="42" t="str">
        <f>IFERROR(__xludf.DUMMYFUNCTION("""COMPUTED_VALUE"""),"K/29/090425/1")</f>
        <v>K/29/090425/1</v>
      </c>
      <c r="C3410" s="42" t="str">
        <f>IFERROR(__xludf.DUMMYFUNCTION("""COMPUTED_VALUE"""),"Nibel 17299/ Way Kandis")</f>
        <v>Nibel 17299/ Way Kandis</v>
      </c>
      <c r="D3410" s="42"/>
      <c r="E3410" s="42"/>
      <c r="F3410" s="48" t="str">
        <f>IFERROR(__xludf.DUMMYFUNCTION("""COMPUTED_VALUE"""),"")</f>
        <v/>
      </c>
      <c r="G3410" s="42" t="str">
        <f>IFERROR(__xludf.DUMMYFUNCTION("""COMPUTED_VALUE"""),"BN JUAL BELI")</f>
        <v>BN JUAL BELI</v>
      </c>
      <c r="H3410" s="42">
        <f t="shared" si="1"/>
        <v>1550</v>
      </c>
    </row>
    <row r="3411" ht="22.5" customHeight="1">
      <c r="B3411" s="42" t="str">
        <f>IFERROR(__xludf.DUMMYFUNCTION("""COMPUTED_VALUE"""),"K/32/090425/1")</f>
        <v>K/32/090425/1</v>
      </c>
      <c r="C3411" s="42" t="str">
        <f>IFERROR(__xludf.DUMMYFUNCTION("""COMPUTED_VALUE"""),"NIBEL B. 2799/SURABAYA")</f>
        <v>NIBEL B. 2799/SURABAYA</v>
      </c>
      <c r="D3411" s="42"/>
      <c r="E3411" s="42"/>
      <c r="F3411" s="48" t="str">
        <f>IFERROR(__xludf.DUMMYFUNCTION("""COMPUTED_VALUE"""),"")</f>
        <v/>
      </c>
      <c r="G3411" s="42" t="str">
        <f>IFERROR(__xludf.DUMMYFUNCTION("""COMPUTED_VALUE"""),"BN JUAL BELI")</f>
        <v>BN JUAL BELI</v>
      </c>
      <c r="H3411" s="42">
        <f t="shared" si="1"/>
        <v>1550</v>
      </c>
    </row>
    <row r="3412" ht="22.5" customHeight="1">
      <c r="B3412" s="42" t="str">
        <f>IFERROR(__xludf.DUMMYFUNCTION("""COMPUTED_VALUE"""),"K/31/090425/1")</f>
        <v>K/31/090425/1</v>
      </c>
      <c r="C3412" s="42" t="str">
        <f>IFERROR(__xludf.DUMMYFUNCTION("""COMPUTED_VALUE"""),"Nibel. M. 11701/ Sukabumi")</f>
        <v>Nibel. M. 11701/ Sukabumi</v>
      </c>
      <c r="D3412" s="42"/>
      <c r="E3412" s="42"/>
      <c r="F3412" s="48" t="str">
        <f>IFERROR(__xludf.DUMMYFUNCTION("""COMPUTED_VALUE"""),"")</f>
        <v/>
      </c>
      <c r="G3412" s="42" t="str">
        <f>IFERROR(__xludf.DUMMYFUNCTION("""COMPUTED_VALUE"""),"SKPT lelang")</f>
        <v>SKPT lelang</v>
      </c>
      <c r="H3412" s="42">
        <f t="shared" si="1"/>
        <v>1550</v>
      </c>
    </row>
    <row r="3413" ht="22.5" customHeight="1">
      <c r="B3413" s="42" t="str">
        <f>IFERROR(__xludf.DUMMYFUNCTION("""COMPUTED_VALUE"""),"K/30/090425/1")</f>
        <v>K/30/090425/1</v>
      </c>
      <c r="C3413" s="42" t="str">
        <f>IFERROR(__xludf.DUMMYFUNCTION("""COMPUTED_VALUE"""),"Nibel. M. 16379; 16410/ Durian Payung")</f>
        <v>Nibel. M. 16379; 16410/ Durian Payung</v>
      </c>
      <c r="D3413" s="42"/>
      <c r="E3413" s="42"/>
      <c r="F3413" s="48" t="str">
        <f>IFERROR(__xludf.DUMMYFUNCTION("""COMPUTED_VALUE"""),"")</f>
        <v/>
      </c>
      <c r="G3413" s="42" t="str">
        <f>IFERROR(__xludf.DUMMYFUNCTION("""COMPUTED_VALUE"""),"Penggabungan")</f>
        <v>Penggabungan</v>
      </c>
      <c r="H3413" s="42">
        <f t="shared" si="1"/>
        <v>1550</v>
      </c>
    </row>
    <row r="3414" ht="22.5" customHeight="1">
      <c r="B3414" s="42" t="str">
        <f>IFERROR(__xludf.DUMMYFUNCTION("""COMPUTED_VALUE"""),"K/33/090425/2")</f>
        <v>K/33/090425/2</v>
      </c>
      <c r="C3414" s="42" t="str">
        <f>IFERROR(__xludf.DUMMYFUNCTION("""COMPUTED_VALUE"""),"Nibel. M. 16380; 16411/ Durian payung")</f>
        <v>Nibel. M. 16380; 16411/ Durian payung</v>
      </c>
      <c r="D3414" s="42"/>
      <c r="E3414" s="42"/>
      <c r="F3414" s="48" t="str">
        <f>IFERROR(__xludf.DUMMYFUNCTION("""COMPUTED_VALUE"""),"")</f>
        <v/>
      </c>
      <c r="G3414" s="42" t="str">
        <f>IFERROR(__xludf.DUMMYFUNCTION("""COMPUTED_VALUE"""),"Penggabungan")</f>
        <v>Penggabungan</v>
      </c>
      <c r="H3414" s="42">
        <f t="shared" si="1"/>
        <v>1550</v>
      </c>
    </row>
    <row r="3415" ht="22.5" customHeight="1">
      <c r="B3415" s="42" t="str">
        <f>IFERROR(__xludf.DUMMYFUNCTION("""COMPUTED_VALUE"""),"K/34/090425/3")</f>
        <v>K/34/090425/3</v>
      </c>
      <c r="C3415" s="42" t="str">
        <f>IFERROR(__xludf.DUMMYFUNCTION("""COMPUTED_VALUE"""),"Nibel. M. 16381; 16412/ Durian Payung")</f>
        <v>Nibel. M. 16381; 16412/ Durian Payung</v>
      </c>
      <c r="D3415" s="42"/>
      <c r="E3415" s="42"/>
      <c r="F3415" s="48" t="str">
        <f>IFERROR(__xludf.DUMMYFUNCTION("""COMPUTED_VALUE"""),"")</f>
        <v/>
      </c>
      <c r="G3415" s="42" t="str">
        <f>IFERROR(__xludf.DUMMYFUNCTION("""COMPUTED_VALUE"""),"Penggabungan")</f>
        <v>Penggabungan</v>
      </c>
      <c r="H3415" s="42">
        <f t="shared" si="1"/>
        <v>1550</v>
      </c>
    </row>
    <row r="3416" ht="22.5" customHeight="1">
      <c r="B3416" s="42" t="str">
        <f>IFERROR(__xludf.DUMMYFUNCTION("""COMPUTED_VALUE""")," K/1/100425/1")</f>
        <v> K/1/100425/1</v>
      </c>
      <c r="C3416" s="42" t="str">
        <f>IFERROR(__xludf.DUMMYFUNCTION("""COMPUTED_VALUE"""),"Nibel 12228/ Sumberrejo")</f>
        <v>Nibel 12228/ Sumberrejo</v>
      </c>
      <c r="D3416" s="42"/>
      <c r="E3416" s="42"/>
      <c r="F3416" s="48" t="str">
        <f>IFERROR(__xludf.DUMMYFUNCTION("""COMPUTED_VALUE"""),"")</f>
        <v/>
      </c>
      <c r="G3416" s="42" t="str">
        <f>IFERROR(__xludf.DUMMYFUNCTION("""COMPUTED_VALUE"""),"BN JUAL BELI")</f>
        <v>BN JUAL BELI</v>
      </c>
      <c r="H3416" s="42">
        <f t="shared" si="1"/>
        <v>1550</v>
      </c>
    </row>
    <row r="3417" ht="22.5" customHeight="1">
      <c r="B3417" s="42" t="str">
        <f>IFERROR(__xludf.DUMMYFUNCTION("""COMPUTED_VALUE"""),"K/2/100425/1")</f>
        <v>K/2/100425/1</v>
      </c>
      <c r="C3417" s="42" t="str">
        <f>IFERROR(__xludf.DUMMYFUNCTION("""COMPUTED_VALUE"""),"M. 399/ Kaliawi Persada")</f>
        <v>M. 399/ Kaliawi Persada</v>
      </c>
      <c r="D3417" s="42"/>
      <c r="E3417" s="42"/>
      <c r="F3417" s="48" t="str">
        <f>IFERROR(__xludf.DUMMYFUNCTION("""COMPUTED_VALUE"""),"")</f>
        <v/>
      </c>
      <c r="G3417" s="42" t="str">
        <f>IFERROR(__xludf.DUMMYFUNCTION("""COMPUTED_VALUE"""),"BN Jual Beli")</f>
        <v>BN Jual Beli</v>
      </c>
      <c r="H3417" s="42">
        <f t="shared" si="1"/>
        <v>1550</v>
      </c>
    </row>
    <row r="3418" ht="22.5" customHeight="1">
      <c r="B3418" s="42" t="str">
        <f>IFERROR(__xludf.DUMMYFUNCTION("""COMPUTED_VALUE"""),"K/4/100425/1")</f>
        <v>K/4/100425/1</v>
      </c>
      <c r="C3418" s="42" t="str">
        <f>IFERROR(__xludf.DUMMYFUNCTION("""COMPUTED_VALUE"""),"B. 2197/ Sukarame")</f>
        <v>B. 2197/ Sukarame</v>
      </c>
      <c r="D3418" s="42"/>
      <c r="E3418" s="42"/>
      <c r="F3418" s="48" t="str">
        <f>IFERROR(__xludf.DUMMYFUNCTION("""COMPUTED_VALUE"""),"")</f>
        <v/>
      </c>
      <c r="G3418" s="42" t="str">
        <f>IFERROR(__xludf.DUMMYFUNCTION("""COMPUTED_VALUE"""),"BN WARIS")</f>
        <v>BN WARIS</v>
      </c>
      <c r="H3418" s="42">
        <f t="shared" si="1"/>
        <v>1550</v>
      </c>
    </row>
    <row r="3419" ht="22.5" customHeight="1">
      <c r="B3419" s="42" t="str">
        <f>IFERROR(__xludf.DUMMYFUNCTION("""COMPUTED_VALUE"""),"K/5/100425/2")</f>
        <v>K/5/100425/2</v>
      </c>
      <c r="C3419" s="42" t="str">
        <f>IFERROR(__xludf.DUMMYFUNCTION("""COMPUTED_VALUE"""),"M. 3272/ Kota Karang")</f>
        <v>M. 3272/ Kota Karang</v>
      </c>
      <c r="D3419" s="42"/>
      <c r="E3419" s="42"/>
      <c r="F3419" s="48" t="str">
        <f>IFERROR(__xludf.DUMMYFUNCTION("""COMPUTED_VALUE"""),"")</f>
        <v/>
      </c>
      <c r="G3419" s="42" t="str">
        <f>IFERROR(__xludf.DUMMYFUNCTION("""COMPUTED_VALUE"""),"BN WARIS")</f>
        <v>BN WARIS</v>
      </c>
      <c r="H3419" s="42">
        <f t="shared" si="1"/>
        <v>1550</v>
      </c>
    </row>
    <row r="3420" ht="22.5" customHeight="1">
      <c r="B3420" s="42" t="str">
        <f>IFERROR(__xludf.DUMMYFUNCTION("""COMPUTED_VALUE"""),"K/6/100425/3")</f>
        <v>K/6/100425/3</v>
      </c>
      <c r="C3420" s="42" t="str">
        <f>IFERROR(__xludf.DUMMYFUNCTION("""COMPUTED_VALUE"""),"M. 12679/ Sukarame")</f>
        <v>M. 12679/ Sukarame</v>
      </c>
      <c r="D3420" s="42" t="str">
        <f>IFERROR(__xludf.DUMMYFUNCTION("""COMPUTED_VALUE"""),"Berry")</f>
        <v>Berry</v>
      </c>
      <c r="E3420" s="42" t="str">
        <f>IFERROR(__xludf.DUMMYFUNCTION("""COMPUTED_VALUE"""),"DISERAHKAN")</f>
        <v>DISERAHKAN</v>
      </c>
      <c r="F3420" s="48">
        <f>IFERROR(__xludf.DUMMYFUNCTION("""COMPUTED_VALUE"""),45792.47546785879)</f>
        <v>45792.47547</v>
      </c>
      <c r="G3420" s="42" t="str">
        <f>IFERROR(__xludf.DUMMYFUNCTION("""COMPUTED_VALUE"""),"ROYA")</f>
        <v>ROYA</v>
      </c>
      <c r="H3420" s="42">
        <f t="shared" si="1"/>
        <v>1551</v>
      </c>
    </row>
    <row r="3421" ht="22.5" customHeight="1">
      <c r="B3421" s="42" t="str">
        <f>IFERROR(__xludf.DUMMYFUNCTION("""COMPUTED_VALUE"""),"K/7/100425/1")</f>
        <v>K/7/100425/1</v>
      </c>
      <c r="C3421" s="42" t="str">
        <f>IFERROR(__xludf.DUMMYFUNCTION("""COMPUTED_VALUE"""),"M. 3013/ Sukarame II")</f>
        <v>M. 3013/ Sukarame II</v>
      </c>
      <c r="D3421" s="42"/>
      <c r="E3421" s="42" t="str">
        <f>IFERROR(__xludf.DUMMYFUNCTION("""COMPUTED_VALUE"""),"DISERAHKAN")</f>
        <v>DISERAHKAN</v>
      </c>
      <c r="F3421" s="48">
        <f>IFERROR(__xludf.DUMMYFUNCTION("""COMPUTED_VALUE"""),45771.635161377315)</f>
        <v>45771.63516</v>
      </c>
      <c r="G3421" s="42" t="str">
        <f>IFERROR(__xludf.DUMMYFUNCTION("""COMPUTED_VALUE"""),"BN JUAL BELI")</f>
        <v>BN JUAL BELI</v>
      </c>
      <c r="H3421" s="42">
        <f t="shared" si="1"/>
        <v>1552</v>
      </c>
    </row>
    <row r="3422" ht="22.5" customHeight="1">
      <c r="B3422" s="42" t="str">
        <f>IFERROR(__xludf.DUMMYFUNCTION("""COMPUTED_VALUE"""),"L/10/100425/1")</f>
        <v>L/10/100425/1</v>
      </c>
      <c r="C3422" s="42" t="str">
        <f>IFERROR(__xludf.DUMMYFUNCTION("""COMPUTED_VALUE"""),"HGB 184/SUKARAME")</f>
        <v>HGB 184/SUKARAME</v>
      </c>
      <c r="D3422" s="42"/>
      <c r="E3422" s="42"/>
      <c r="F3422" s="48" t="str">
        <f>IFERROR(__xludf.DUMMYFUNCTION("""COMPUTED_VALUE"""),"")</f>
        <v/>
      </c>
      <c r="G3422" s="42" t="str">
        <f>IFERROR(__xludf.DUMMYFUNCTION("""COMPUTED_VALUE"""),"SKPT INFORMASI")</f>
        <v>SKPT INFORMASI</v>
      </c>
      <c r="H3422" s="42">
        <f t="shared" si="1"/>
        <v>1552</v>
      </c>
    </row>
    <row r="3423" ht="22.5" customHeight="1">
      <c r="B3423" s="42" t="str">
        <f>IFERROR(__xludf.DUMMYFUNCTION("""COMPUTED_VALUE"""),"K/8/100425/2")</f>
        <v>K/8/100425/2</v>
      </c>
      <c r="C3423" s="42" t="str">
        <f>IFERROR(__xludf.DUMMYFUNCTION("""COMPUTED_VALUE"""),"M. 16122/ Sukabumi")</f>
        <v>M. 16122/ Sukabumi</v>
      </c>
      <c r="D3423" s="42"/>
      <c r="E3423" s="42"/>
      <c r="F3423" s="48" t="str">
        <f>IFERROR(__xludf.DUMMYFUNCTION("""COMPUTED_VALUE"""),"")</f>
        <v/>
      </c>
      <c r="G3423" s="42" t="str">
        <f>IFERROR(__xludf.DUMMYFUNCTION("""COMPUTED_VALUE"""),"PTPGT PEMECAHAN")</f>
        <v>PTPGT PEMECAHAN</v>
      </c>
      <c r="H3423" s="42">
        <f t="shared" si="1"/>
        <v>1552</v>
      </c>
    </row>
    <row r="3424" ht="22.5" customHeight="1">
      <c r="B3424" s="42" t="str">
        <f>IFERROR(__xludf.DUMMYFUNCTION("""COMPUTED_VALUE"""),"K/3/100425/1")</f>
        <v>K/3/100425/1</v>
      </c>
      <c r="C3424" s="42" t="str">
        <f>IFERROR(__xludf.DUMMYFUNCTION("""COMPUTED_VALUE"""),"B. 2151/SUKARAME")</f>
        <v>B. 2151/SUKARAME</v>
      </c>
      <c r="D3424" s="42"/>
      <c r="E3424" s="42"/>
      <c r="F3424" s="48" t="str">
        <f>IFERROR(__xludf.DUMMYFUNCTION("""COMPUTED_VALUE"""),"")</f>
        <v/>
      </c>
      <c r="G3424" s="42" t="str">
        <f>IFERROR(__xludf.DUMMYFUNCTION("""COMPUTED_VALUE"""),"BN HIBAH")</f>
        <v>BN HIBAH</v>
      </c>
      <c r="H3424" s="42">
        <f t="shared" si="1"/>
        <v>1552</v>
      </c>
    </row>
    <row r="3425" ht="22.5" customHeight="1">
      <c r="B3425" s="42" t="str">
        <f>IFERROR(__xludf.DUMMYFUNCTION("""COMPUTED_VALUE"""),"K/9/100425/1")</f>
        <v>K/9/100425/1</v>
      </c>
      <c r="C3425" s="42" t="str">
        <f>IFERROR(__xludf.DUMMYFUNCTION("""COMPUTED_VALUE"""),"B. 15/ Pinang Jaya")</f>
        <v>B. 15/ Pinang Jaya</v>
      </c>
      <c r="D3425" s="42"/>
      <c r="E3425" s="42"/>
      <c r="F3425" s="48" t="str">
        <f>IFERROR(__xludf.DUMMYFUNCTION("""COMPUTED_VALUE"""),"")</f>
        <v/>
      </c>
      <c r="G3425" s="42" t="str">
        <f>IFERROR(__xludf.DUMMYFUNCTION("""COMPUTED_VALUE"""),"Roya")</f>
        <v>Roya</v>
      </c>
      <c r="H3425" s="42">
        <f t="shared" si="1"/>
        <v>1552</v>
      </c>
    </row>
    <row r="3426" ht="22.5" customHeight="1">
      <c r="B3426" s="42" t="str">
        <f>IFERROR(__xludf.DUMMYFUNCTION("""COMPUTED_VALUE"""),"K/11/100425/1")</f>
        <v>K/11/100425/1</v>
      </c>
      <c r="C3426" s="42" t="str">
        <f>IFERROR(__xludf.DUMMYFUNCTION("""COMPUTED_VALUE"""),"M.2805/SUKARAME BARU")</f>
        <v>M.2805/SUKARAME BARU</v>
      </c>
      <c r="D3426" s="42"/>
      <c r="E3426" s="42"/>
      <c r="F3426" s="48" t="str">
        <f>IFERROR(__xludf.DUMMYFUNCTION("""COMPUTED_VALUE"""),"")</f>
        <v/>
      </c>
      <c r="G3426" s="42" t="str">
        <f>IFERROR(__xludf.DUMMYFUNCTION("""COMPUTED_VALUE"""),"BN JUAL BELI")</f>
        <v>BN JUAL BELI</v>
      </c>
      <c r="H3426" s="42">
        <f t="shared" si="1"/>
        <v>1552</v>
      </c>
    </row>
    <row r="3427" ht="22.5" customHeight="1">
      <c r="B3427" s="42" t="str">
        <f>IFERROR(__xludf.DUMMYFUNCTION("""COMPUTED_VALUE"""),"K/12/100425/2")</f>
        <v>K/12/100425/2</v>
      </c>
      <c r="C3427" s="42" t="str">
        <f>IFERROR(__xludf.DUMMYFUNCTION("""COMPUTED_VALUE"""),"M. 394/PINANG JAYA")</f>
        <v>M. 394/PINANG JAYA</v>
      </c>
      <c r="D3427" s="42"/>
      <c r="E3427" s="42" t="str">
        <f>IFERROR(__xludf.DUMMYFUNCTION("""COMPUTED_VALUE"""),"DISERAHKAN")</f>
        <v>DISERAHKAN</v>
      </c>
      <c r="F3427" s="48">
        <f>IFERROR(__xludf.DUMMYFUNCTION("""COMPUTED_VALUE"""),45771.63295158565)</f>
        <v>45771.63295</v>
      </c>
      <c r="G3427" s="42" t="str">
        <f>IFERROR(__xludf.DUMMYFUNCTION("""COMPUTED_VALUE"""),"BN JUAL BELI")</f>
        <v>BN JUAL BELI</v>
      </c>
      <c r="H3427" s="42">
        <f t="shared" si="1"/>
        <v>1553</v>
      </c>
    </row>
    <row r="3428" ht="22.5" customHeight="1">
      <c r="B3428" s="42" t="str">
        <f>IFERROR(__xludf.DUMMYFUNCTION("""COMPUTED_VALUE"""),"K/15/100425/1")</f>
        <v>K/15/100425/1</v>
      </c>
      <c r="C3428" s="42" t="str">
        <f>IFERROR(__xludf.DUMMYFUNCTION("""COMPUTED_VALUE"""),"Nibel 1729/ Sukarame Baru")</f>
        <v>Nibel 1729/ Sukarame Baru</v>
      </c>
      <c r="D3428" s="42"/>
      <c r="E3428" s="42"/>
      <c r="F3428" s="48" t="str">
        <f>IFERROR(__xludf.DUMMYFUNCTION("""COMPUTED_VALUE"""),"")</f>
        <v/>
      </c>
      <c r="G3428" s="42" t="str">
        <f>IFERROR(__xludf.DUMMYFUNCTION("""COMPUTED_VALUE"""),"BN JUALBELI")</f>
        <v>BN JUALBELI</v>
      </c>
      <c r="H3428" s="42">
        <f t="shared" si="1"/>
        <v>1553</v>
      </c>
    </row>
    <row r="3429" ht="22.5" customHeight="1">
      <c r="B3429" s="42" t="str">
        <f>IFERROR(__xludf.DUMMYFUNCTION("""COMPUTED_VALUE"""),"K/13/100425/3")</f>
        <v>K/13/100425/3</v>
      </c>
      <c r="C3429" s="42" t="str">
        <f>IFERROR(__xludf.DUMMYFUNCTION("""COMPUTED_VALUE"""),"M. 1960/WAY HALIM PERMAI")</f>
        <v>M. 1960/WAY HALIM PERMAI</v>
      </c>
      <c r="D3429" s="42"/>
      <c r="E3429" s="42"/>
      <c r="F3429" s="48" t="str">
        <f>IFERROR(__xludf.DUMMYFUNCTION("""COMPUTED_VALUE"""),"")</f>
        <v/>
      </c>
      <c r="G3429" s="42" t="str">
        <f>IFERROR(__xludf.DUMMYFUNCTION("""COMPUTED_VALUE"""),"BN JUAL BELI ")</f>
        <v>BN JUAL BELI </v>
      </c>
      <c r="H3429" s="42">
        <f t="shared" si="1"/>
        <v>1553</v>
      </c>
    </row>
    <row r="3430" ht="22.5" customHeight="1">
      <c r="B3430" s="42" t="str">
        <f>IFERROR(__xludf.DUMMYFUNCTION("""COMPUTED_VALUE"""),"K/16/100425/2")</f>
        <v>K/16/100425/2</v>
      </c>
      <c r="C3430" s="42" t="str">
        <f>IFERROR(__xludf.DUMMYFUNCTION("""COMPUTED_VALUE"""),"Nibel 18884/ Rajabasa Raya")</f>
        <v>Nibel 18884/ Rajabasa Raya</v>
      </c>
      <c r="D3430" s="42"/>
      <c r="E3430" s="42"/>
      <c r="F3430" s="48" t="str">
        <f>IFERROR(__xludf.DUMMYFUNCTION("""COMPUTED_VALUE"""),"")</f>
        <v/>
      </c>
      <c r="G3430" s="42" t="str">
        <f>IFERROR(__xludf.DUMMYFUNCTION("""COMPUTED_VALUE"""),"BN JUAL BELI")</f>
        <v>BN JUAL BELI</v>
      </c>
      <c r="H3430" s="42">
        <f t="shared" si="1"/>
        <v>1553</v>
      </c>
    </row>
    <row r="3431" ht="22.5" customHeight="1">
      <c r="B3431" s="42" t="str">
        <f>IFERROR(__xludf.DUMMYFUNCTION("""COMPUTED_VALUE"""),"K/14/100425/4")</f>
        <v>K/14/100425/4</v>
      </c>
      <c r="C3431" s="42" t="str">
        <f>IFERROR(__xludf.DUMMYFUNCTION("""COMPUTED_VALUE"""),"M. 10680/GEDONG MENENG")</f>
        <v>M. 10680/GEDONG MENENG</v>
      </c>
      <c r="D3431" s="42"/>
      <c r="E3431" s="42"/>
      <c r="F3431" s="48" t="str">
        <f>IFERROR(__xludf.DUMMYFUNCTION("""COMPUTED_VALUE"""),"")</f>
        <v/>
      </c>
      <c r="G3431" s="42" t="str">
        <f>IFERROR(__xludf.DUMMYFUNCTION("""COMPUTED_VALUE"""),"BN JUAL BELI")</f>
        <v>BN JUAL BELI</v>
      </c>
      <c r="H3431" s="42">
        <f t="shared" si="1"/>
        <v>1553</v>
      </c>
    </row>
    <row r="3432" ht="22.5" customHeight="1">
      <c r="B3432" s="42" t="str">
        <f>IFERROR(__xludf.DUMMYFUNCTION("""COMPUTED_VALUE"""),"L/19/100425/1")</f>
        <v>L/19/100425/1</v>
      </c>
      <c r="C3432" s="42" t="str">
        <f>IFERROR(__xludf.DUMMYFUNCTION("""COMPUTED_VALUE"""),"HM 1412/SUMUR BATU")</f>
        <v>HM 1412/SUMUR BATU</v>
      </c>
      <c r="D3432" s="42" t="str">
        <f>IFERROR(__xludf.DUMMYFUNCTION("""COMPUTED_VALUE"""),"David")</f>
        <v>David</v>
      </c>
      <c r="E3432" s="42" t="str">
        <f>IFERROR(__xludf.DUMMYFUNCTION("""COMPUTED_VALUE"""),"DISERAHKAN")</f>
        <v>DISERAHKAN</v>
      </c>
      <c r="F3432" s="48">
        <f>IFERROR(__xludf.DUMMYFUNCTION("""COMPUTED_VALUE"""),45804.680521145834)</f>
        <v>45804.68052</v>
      </c>
      <c r="G3432" s="42" t="str">
        <f>IFERROR(__xludf.DUMMYFUNCTION("""COMPUTED_VALUE"""),"ROYA")</f>
        <v>ROYA</v>
      </c>
      <c r="H3432" s="42">
        <f t="shared" si="1"/>
        <v>1554</v>
      </c>
    </row>
    <row r="3433" ht="22.5" customHeight="1">
      <c r="B3433" s="42" t="str">
        <f>IFERROR(__xludf.DUMMYFUNCTION("""COMPUTED_VALUE"""),"K/18/100425/1")</f>
        <v>K/18/100425/1</v>
      </c>
      <c r="C3433" s="42" t="str">
        <f>IFERROR(__xludf.DUMMYFUNCTION("""COMPUTED_VALUE"""),"M. 415/PENENGAHAN")</f>
        <v>M. 415/PENENGAHAN</v>
      </c>
      <c r="D3433" s="42"/>
      <c r="E3433" s="42"/>
      <c r="F3433" s="48" t="str">
        <f>IFERROR(__xludf.DUMMYFUNCTION("""COMPUTED_VALUE"""),"")</f>
        <v/>
      </c>
      <c r="G3433" s="42" t="str">
        <f>IFERROR(__xludf.DUMMYFUNCTION("""COMPUTED_VALUE"""),"ROYA")</f>
        <v>ROYA</v>
      </c>
      <c r="H3433" s="42">
        <f t="shared" si="1"/>
        <v>1554</v>
      </c>
    </row>
    <row r="3434" ht="22.5" customHeight="1">
      <c r="B3434" s="42" t="str">
        <f>IFERROR(__xludf.DUMMYFUNCTION("""COMPUTED_VALUE"""),"K/17/100425/3")</f>
        <v>K/17/100425/3</v>
      </c>
      <c r="C3434" s="42" t="str">
        <f>IFERROR(__xludf.DUMMYFUNCTION("""COMPUTED_VALUE"""),"Nibel 1728/ Sukarame Baru")</f>
        <v>Nibel 1728/ Sukarame Baru</v>
      </c>
      <c r="D3434" s="42"/>
      <c r="E3434" s="42"/>
      <c r="F3434" s="48" t="str">
        <f>IFERROR(__xludf.DUMMYFUNCTION("""COMPUTED_VALUE"""),"")</f>
        <v/>
      </c>
      <c r="G3434" s="42" t="str">
        <f>IFERROR(__xludf.DUMMYFUNCTION("""COMPUTED_VALUE"""),"BN JUAL BELI")</f>
        <v>BN JUAL BELI</v>
      </c>
      <c r="H3434" s="42">
        <f t="shared" si="1"/>
        <v>1554</v>
      </c>
    </row>
    <row r="3435" ht="22.5" customHeight="1">
      <c r="B3435" s="42" t="str">
        <f>IFERROR(__xludf.DUMMYFUNCTION("""COMPUTED_VALUE"""),"K/20/100425/1")</f>
        <v>K/20/100425/1</v>
      </c>
      <c r="C3435" s="42" t="str">
        <f>IFERROR(__xludf.DUMMYFUNCTION("""COMPUTED_VALUE"""),"M. 1644/ Labuhan Dalam")</f>
        <v>M. 1644/ Labuhan Dalam</v>
      </c>
      <c r="D3435" s="42"/>
      <c r="E3435" s="42"/>
      <c r="F3435" s="48" t="str">
        <f>IFERROR(__xludf.DUMMYFUNCTION("""COMPUTED_VALUE"""),"")</f>
        <v/>
      </c>
      <c r="G3435" s="42" t="str">
        <f>IFERROR(__xludf.DUMMYFUNCTION("""COMPUTED_VALUE"""),"BN Jual Beli ")</f>
        <v>BN Jual Beli </v>
      </c>
      <c r="H3435" s="42">
        <f t="shared" si="1"/>
        <v>1554</v>
      </c>
    </row>
    <row r="3436" ht="22.5" customHeight="1">
      <c r="B3436" s="42" t="str">
        <f>IFERROR(__xludf.DUMMYFUNCTION("""COMPUTED_VALUE"""),"L/21/100425/1")</f>
        <v>L/21/100425/1</v>
      </c>
      <c r="C3436" s="42" t="str">
        <f>IFERROR(__xludf.DUMMYFUNCTION("""COMPUTED_VALUE"""),"HM 10934/JAGABAYA II")</f>
        <v>HM 10934/JAGABAYA II</v>
      </c>
      <c r="D3436" s="42" t="str">
        <f>IFERROR(__xludf.DUMMYFUNCTION("""COMPUTED_VALUE"""),"Berry")</f>
        <v>Berry</v>
      </c>
      <c r="E3436" s="42" t="str">
        <f>IFERROR(__xludf.DUMMYFUNCTION("""COMPUTED_VALUE"""),"DISERAHKAN")</f>
        <v>DISERAHKAN</v>
      </c>
      <c r="F3436" s="48">
        <f>IFERROR(__xludf.DUMMYFUNCTION("""COMPUTED_VALUE"""),45792.47652211806)</f>
        <v>45792.47652</v>
      </c>
      <c r="G3436" s="42" t="str">
        <f>IFERROR(__xludf.DUMMYFUNCTION("""COMPUTED_VALUE"""),"ROYA")</f>
        <v>ROYA</v>
      </c>
      <c r="H3436" s="42">
        <f t="shared" si="1"/>
        <v>1555</v>
      </c>
    </row>
    <row r="3437" ht="22.5" customHeight="1">
      <c r="B3437" s="42" t="str">
        <f>IFERROR(__xludf.DUMMYFUNCTION("""COMPUTED_VALUE"""),"K/22/100425/1")</f>
        <v>K/22/100425/1</v>
      </c>
      <c r="C3437" s="42" t="str">
        <f>IFERROR(__xludf.DUMMYFUNCTION("""COMPUTED_VALUE"""),"M. 500/ Gulak Galik")</f>
        <v>M. 500/ Gulak Galik</v>
      </c>
      <c r="D3437" s="42"/>
      <c r="E3437" s="42" t="str">
        <f>IFERROR(__xludf.DUMMYFUNCTION("""COMPUTED_VALUE"""),"DISERAHKAN")</f>
        <v>DISERAHKAN</v>
      </c>
      <c r="F3437" s="48">
        <f>IFERROR(__xludf.DUMMYFUNCTION("""COMPUTED_VALUE"""),45771.63388313657)</f>
        <v>45771.63388</v>
      </c>
      <c r="G3437" s="42" t="str">
        <f>IFERROR(__xludf.DUMMYFUNCTION("""COMPUTED_VALUE"""),"BN JUAL BELI")</f>
        <v>BN JUAL BELI</v>
      </c>
      <c r="H3437" s="42">
        <f t="shared" si="1"/>
        <v>1556</v>
      </c>
    </row>
    <row r="3438" ht="22.5" customHeight="1">
      <c r="B3438" s="42" t="str">
        <f>IFERROR(__xludf.DUMMYFUNCTION("""COMPUTED_VALUE"""),"K/23/100425/1")</f>
        <v>K/23/100425/1</v>
      </c>
      <c r="C3438" s="42" t="str">
        <f>IFERROR(__xludf.DUMMYFUNCTION("""COMPUTED_VALUE"""),"Nibel. 18849/ Kali Balau Kencana")</f>
        <v>Nibel. 18849/ Kali Balau Kencana</v>
      </c>
      <c r="D3438" s="42"/>
      <c r="E3438" s="42"/>
      <c r="F3438" s="48" t="str">
        <f>IFERROR(__xludf.DUMMYFUNCTION("""COMPUTED_VALUE"""),"")</f>
        <v/>
      </c>
      <c r="G3438" s="42" t="str">
        <f>IFERROR(__xludf.DUMMYFUNCTION("""COMPUTED_VALUE"""),"BN Lelang")</f>
        <v>BN Lelang</v>
      </c>
      <c r="H3438" s="42">
        <f t="shared" si="1"/>
        <v>1556</v>
      </c>
    </row>
    <row r="3439" ht="22.5" customHeight="1">
      <c r="B3439" s="42" t="str">
        <f>IFERROR(__xludf.DUMMYFUNCTION("""COMPUTED_VALUE"""),"L/24/100425/1")</f>
        <v>L/24/100425/1</v>
      </c>
      <c r="C3439" s="42" t="str">
        <f>IFERROR(__xludf.DUMMYFUNCTION("""COMPUTED_VALUE"""),"HM 1162/8KOTA BARU")</f>
        <v>HM 1162/8KOTA BARU</v>
      </c>
      <c r="D3439" s="42" t="str">
        <f>IFERROR(__xludf.DUMMYFUNCTION("""COMPUTED_VALUE"""),"David")</f>
        <v>David</v>
      </c>
      <c r="E3439" s="42" t="str">
        <f>IFERROR(__xludf.DUMMYFUNCTION("""COMPUTED_VALUE"""),"DISERAHKAN")</f>
        <v>DISERAHKAN</v>
      </c>
      <c r="F3439" s="48">
        <f>IFERROR(__xludf.DUMMYFUNCTION("""COMPUTED_VALUE"""),45791.45728325231)</f>
        <v>45791.45728</v>
      </c>
      <c r="G3439" s="42" t="str">
        <f>IFERROR(__xludf.DUMMYFUNCTION("""COMPUTED_VALUE"""),"ROYA")</f>
        <v>ROYA</v>
      </c>
      <c r="H3439" s="42">
        <f t="shared" si="1"/>
        <v>1557</v>
      </c>
    </row>
    <row r="3440" ht="22.5" customHeight="1">
      <c r="B3440" s="42" t="str">
        <f>IFERROR(__xludf.DUMMYFUNCTION("""COMPUTED_VALUE"""),"K/26/100425/2")</f>
        <v>K/26/100425/2</v>
      </c>
      <c r="C3440" s="42" t="str">
        <f>IFERROR(__xludf.DUMMYFUNCTION("""COMPUTED_VALUE"""),"M. 403/ Gulak Galik")</f>
        <v>M. 403/ Gulak Galik</v>
      </c>
      <c r="D3440" s="42"/>
      <c r="E3440" s="42" t="str">
        <f>IFERROR(__xludf.DUMMYFUNCTION("""COMPUTED_VALUE"""),"DISERAHKAN")</f>
        <v>DISERAHKAN</v>
      </c>
      <c r="F3440" s="48">
        <f>IFERROR(__xludf.DUMMYFUNCTION("""COMPUTED_VALUE"""),45775.60705158565)</f>
        <v>45775.60705</v>
      </c>
      <c r="G3440" s="42" t="str">
        <f>IFERROR(__xludf.DUMMYFUNCTION("""COMPUTED_VALUE"""),"BN Jual Beli")</f>
        <v>BN Jual Beli</v>
      </c>
      <c r="H3440" s="42">
        <f t="shared" si="1"/>
        <v>1558</v>
      </c>
    </row>
    <row r="3441" ht="22.5" customHeight="1">
      <c r="B3441" s="42" t="str">
        <f>IFERROR(__xludf.DUMMYFUNCTION("""COMPUTED_VALUE"""),"K/25/100425/1")</f>
        <v>K/25/100425/1</v>
      </c>
      <c r="C3441" s="42" t="str">
        <f>IFERROR(__xludf.DUMMYFUNCTION("""COMPUTED_VALUE"""),"M. 6465/ Way Kandis")</f>
        <v>M. 6465/ Way Kandis</v>
      </c>
      <c r="D3441" s="42"/>
      <c r="E3441" s="42" t="str">
        <f>IFERROR(__xludf.DUMMYFUNCTION("""COMPUTED_VALUE"""),"DISERAHKAN")</f>
        <v>DISERAHKAN</v>
      </c>
      <c r="F3441" s="48">
        <f>IFERROR(__xludf.DUMMYFUNCTION("""COMPUTED_VALUE"""),45771.63258427083)</f>
        <v>45771.63258</v>
      </c>
      <c r="G3441" s="42" t="str">
        <f>IFERROR(__xludf.DUMMYFUNCTION("""COMPUTED_VALUE"""),"BN Jual Beli")</f>
        <v>BN Jual Beli</v>
      </c>
      <c r="H3441" s="42">
        <f t="shared" si="1"/>
        <v>1559</v>
      </c>
    </row>
    <row r="3442" ht="22.5" customHeight="1">
      <c r="B3442" s="42" t="str">
        <f>IFERROR(__xludf.DUMMYFUNCTION("""COMPUTED_VALUE"""),"K/27/100425/1")</f>
        <v>K/27/100425/1</v>
      </c>
      <c r="C3442" s="42" t="str">
        <f>IFERROR(__xludf.DUMMYFUNCTION("""COMPUTED_VALUE"""),"Nibel 2691/ Sukarame Baru")</f>
        <v>Nibel 2691/ Sukarame Baru</v>
      </c>
      <c r="D3442" s="42"/>
      <c r="E3442" s="42"/>
      <c r="F3442" s="48" t="str">
        <f>IFERROR(__xludf.DUMMYFUNCTION("""COMPUTED_VALUE"""),"")</f>
        <v/>
      </c>
      <c r="G3442" s="42" t="str">
        <f>IFERROR(__xludf.DUMMYFUNCTION("""COMPUTED_VALUE"""),"BN JUAL BELI")</f>
        <v>BN JUAL BELI</v>
      </c>
      <c r="H3442" s="42">
        <f t="shared" si="1"/>
        <v>1559</v>
      </c>
    </row>
    <row r="3443" ht="22.5" customHeight="1">
      <c r="B3443" s="42" t="str">
        <f>IFERROR(__xludf.DUMMYFUNCTION("""COMPUTED_VALUE"""),"K/28/100425/1")</f>
        <v>K/28/100425/1</v>
      </c>
      <c r="C3443" s="42" t="str">
        <f>IFERROR(__xludf.DUMMYFUNCTION("""COMPUTED_VALUE"""),"B. 381/ Segala Mider")</f>
        <v>B. 381/ Segala Mider</v>
      </c>
      <c r="D3443" s="42"/>
      <c r="E3443" s="42"/>
      <c r="F3443" s="48" t="str">
        <f>IFERROR(__xludf.DUMMYFUNCTION("""COMPUTED_VALUE"""),"")</f>
        <v/>
      </c>
      <c r="G3443" s="42" t="str">
        <f>IFERROR(__xludf.DUMMYFUNCTION("""COMPUTED_VALUE"""),"SKPT LELANG")</f>
        <v>SKPT LELANG</v>
      </c>
      <c r="H3443" s="42">
        <f t="shared" si="1"/>
        <v>1559</v>
      </c>
    </row>
    <row r="3444" ht="22.5" customHeight="1">
      <c r="B3444" s="42" t="str">
        <f>IFERROR(__xludf.DUMMYFUNCTION("""COMPUTED_VALUE"""),"K/29/100425/2")</f>
        <v>K/29/100425/2</v>
      </c>
      <c r="C3444" s="42" t="str">
        <f>IFERROR(__xludf.DUMMYFUNCTION("""COMPUTED_VALUE"""),"B. 383/ Segala Mider")</f>
        <v>B. 383/ Segala Mider</v>
      </c>
      <c r="D3444" s="42"/>
      <c r="E3444" s="42"/>
      <c r="F3444" s="48" t="str">
        <f>IFERROR(__xludf.DUMMYFUNCTION("""COMPUTED_VALUE"""),"")</f>
        <v/>
      </c>
      <c r="G3444" s="42" t="str">
        <f>IFERROR(__xludf.DUMMYFUNCTION("""COMPUTED_VALUE"""),"SKPT LELANG")</f>
        <v>SKPT LELANG</v>
      </c>
      <c r="H3444" s="42">
        <f t="shared" si="1"/>
        <v>1559</v>
      </c>
    </row>
    <row r="3445" ht="22.5" customHeight="1">
      <c r="B3445" s="42" t="str">
        <f>IFERROR(__xludf.DUMMYFUNCTION("""COMPUTED_VALUE"""),"L/31/100425/1")</f>
        <v>L/31/100425/1</v>
      </c>
      <c r="C3445" s="42" t="str">
        <f>IFERROR(__xludf.DUMMYFUNCTION("""COMPUTED_VALUE"""),"HM 10246/SEGALA MIDER")</f>
        <v>HM 10246/SEGALA MIDER</v>
      </c>
      <c r="D3445" s="42"/>
      <c r="E3445" s="42"/>
      <c r="F3445" s="48" t="str">
        <f>IFERROR(__xludf.DUMMYFUNCTION("""COMPUTED_VALUE"""),"")</f>
        <v/>
      </c>
      <c r="G3445" s="42" t="str">
        <f>IFERROR(__xludf.DUMMYFUNCTION("""COMPUTED_VALUE"""),"PTPGT")</f>
        <v>PTPGT</v>
      </c>
      <c r="H3445" s="42">
        <f t="shared" si="1"/>
        <v>1559</v>
      </c>
    </row>
    <row r="3446" ht="22.5" customHeight="1">
      <c r="B3446" s="42" t="str">
        <f>IFERROR(__xludf.DUMMYFUNCTION("""COMPUTED_VALUE"""),"K/32/100425/1")</f>
        <v>K/32/100425/1</v>
      </c>
      <c r="C3446" s="42" t="str">
        <f>IFERROR(__xludf.DUMMYFUNCTION("""COMPUTED_VALUE"""),"M. 1070/ Sepang Jaya")</f>
        <v>M. 1070/ Sepang Jaya</v>
      </c>
      <c r="D3446" s="42"/>
      <c r="E3446" s="42"/>
      <c r="F3446" s="48" t="str">
        <f>IFERROR(__xludf.DUMMYFUNCTION("""COMPUTED_VALUE"""),"")</f>
        <v/>
      </c>
      <c r="G3446" s="42" t="str">
        <f>IFERROR(__xludf.DUMMYFUNCTION("""COMPUTED_VALUE"""),"BN Waris")</f>
        <v>BN Waris</v>
      </c>
      <c r="H3446" s="42">
        <f t="shared" si="1"/>
        <v>1559</v>
      </c>
    </row>
    <row r="3447" ht="22.5" customHeight="1">
      <c r="B3447" s="42" t="str">
        <f>IFERROR(__xludf.DUMMYFUNCTION("""COMPUTED_VALUE"""),"K/33/100425/1")</f>
        <v>K/33/100425/1</v>
      </c>
      <c r="C3447" s="42" t="str">
        <f>IFERROR(__xludf.DUMMYFUNCTION("""COMPUTED_VALUE"""),"M. 14954/RAJABASA")</f>
        <v>M. 14954/RAJABASA</v>
      </c>
      <c r="D3447" s="42"/>
      <c r="E3447" s="42" t="str">
        <f>IFERROR(__xludf.DUMMYFUNCTION("""COMPUTED_VALUE"""),"DISERAHKAN")</f>
        <v>DISERAHKAN</v>
      </c>
      <c r="F3447" s="48">
        <f>IFERROR(__xludf.DUMMYFUNCTION("""COMPUTED_VALUE"""),45771.63315412037)</f>
        <v>45771.63315</v>
      </c>
      <c r="G3447" s="42" t="str">
        <f>IFERROR(__xludf.DUMMYFUNCTION("""COMPUTED_VALUE"""),"BN JUAL BELI")</f>
        <v>BN JUAL BELI</v>
      </c>
      <c r="H3447" s="42">
        <f t="shared" si="1"/>
        <v>1560</v>
      </c>
    </row>
    <row r="3448" ht="22.5" customHeight="1">
      <c r="B3448" s="42" t="str">
        <f>IFERROR(__xludf.DUMMYFUNCTION("""COMPUTED_VALUE"""),"K/34/100425/2")</f>
        <v>K/34/100425/2</v>
      </c>
      <c r="C3448" s="42" t="str">
        <f>IFERROR(__xludf.DUMMYFUNCTION("""COMPUTED_VALUE"""),"M. 14936/RAJABASA")</f>
        <v>M. 14936/RAJABASA</v>
      </c>
      <c r="D3448" s="42"/>
      <c r="E3448" s="42"/>
      <c r="F3448" s="48" t="str">
        <f>IFERROR(__xludf.DUMMYFUNCTION("""COMPUTED_VALUE"""),"")</f>
        <v/>
      </c>
      <c r="G3448" s="42" t="str">
        <f>IFERROR(__xludf.DUMMYFUNCTION("""COMPUTED_VALUE"""),"BN JUAL BELI")</f>
        <v>BN JUAL BELI</v>
      </c>
      <c r="H3448" s="42">
        <f t="shared" si="1"/>
        <v>1560</v>
      </c>
    </row>
    <row r="3449" ht="22.5" customHeight="1">
      <c r="B3449" s="42" t="str">
        <f>IFERROR(__xludf.DUMMYFUNCTION("""COMPUTED_VALUE"""),"K/35/100425/3")</f>
        <v>K/35/100425/3</v>
      </c>
      <c r="C3449" s="42" t="str">
        <f>IFERROR(__xludf.DUMMYFUNCTION("""COMPUTED_VALUE"""),"M. 4454/GUNUNG TERANG")</f>
        <v>M. 4454/GUNUNG TERANG</v>
      </c>
      <c r="D3449" s="42"/>
      <c r="E3449" s="42" t="str">
        <f>IFERROR(__xludf.DUMMYFUNCTION("""COMPUTED_VALUE"""),"DISERAHKAN")</f>
        <v>DISERAHKAN</v>
      </c>
      <c r="F3449" s="48">
        <f>IFERROR(__xludf.DUMMYFUNCTION("""COMPUTED_VALUE"""),45771.63323555556)</f>
        <v>45771.63324</v>
      </c>
      <c r="G3449" s="42" t="str">
        <f>IFERROR(__xludf.DUMMYFUNCTION("""COMPUTED_VALUE"""),"BN JUAL BELI")</f>
        <v>BN JUAL BELI</v>
      </c>
      <c r="H3449" s="42">
        <f t="shared" si="1"/>
        <v>1561</v>
      </c>
    </row>
    <row r="3450" ht="22.5" customHeight="1">
      <c r="B3450" s="42" t="str">
        <f>IFERROR(__xludf.DUMMYFUNCTION("""COMPUTED_VALUE"""),"K/30/100425/1")</f>
        <v>K/30/100425/1</v>
      </c>
      <c r="C3450" s="42" t="str">
        <f>IFERROR(__xludf.DUMMYFUNCTION("""COMPUTED_VALUE"""),"B. 406/ Kemiling Permai")</f>
        <v>B. 406/ Kemiling Permai</v>
      </c>
      <c r="D3450" s="42"/>
      <c r="E3450" s="42"/>
      <c r="F3450" s="48" t="str">
        <f>IFERROR(__xludf.DUMMYFUNCTION("""COMPUTED_VALUE"""),"")</f>
        <v/>
      </c>
      <c r="G3450" s="42" t="str">
        <f>IFERROR(__xludf.DUMMYFUNCTION("""COMPUTED_VALUE"""),"BN JUAL BELI")</f>
        <v>BN JUAL BELI</v>
      </c>
      <c r="H3450" s="42">
        <f t="shared" si="1"/>
        <v>1561</v>
      </c>
    </row>
    <row r="3451" ht="22.5" customHeight="1">
      <c r="B3451" s="42" t="str">
        <f>IFERROR(__xludf.DUMMYFUNCTION("""COMPUTED_VALUE"""),"L/36/100425/1")</f>
        <v>L/36/100425/1</v>
      </c>
      <c r="C3451" s="42" t="str">
        <f>IFERROR(__xludf.DUMMYFUNCTION("""COMPUTED_VALUE"""),"HM 208/PWK")</f>
        <v>HM 208/PWK</v>
      </c>
      <c r="D3451" s="42" t="str">
        <f>IFERROR(__xludf.DUMMYFUNCTION("""COMPUTED_VALUE"""),"David")</f>
        <v>David</v>
      </c>
      <c r="E3451" s="42" t="str">
        <f>IFERROR(__xludf.DUMMYFUNCTION("""COMPUTED_VALUE"""),"DISERAHKAN")</f>
        <v>DISERAHKAN</v>
      </c>
      <c r="F3451" s="48">
        <f>IFERROR(__xludf.DUMMYFUNCTION("""COMPUTED_VALUE"""),45793.46556413194)</f>
        <v>45793.46556</v>
      </c>
      <c r="G3451" s="42" t="str">
        <f>IFERROR(__xludf.DUMMYFUNCTION("""COMPUTED_VALUE"""),"ROYA")</f>
        <v>ROYA</v>
      </c>
      <c r="H3451" s="42">
        <f t="shared" si="1"/>
        <v>1562</v>
      </c>
    </row>
    <row r="3452" ht="22.5" customHeight="1">
      <c r="B3452" s="42" t="str">
        <f>IFERROR(__xludf.DUMMYFUNCTION("""COMPUTED_VALUE"""),"K/37/100425/1")</f>
        <v>K/37/100425/1</v>
      </c>
      <c r="C3452" s="42" t="str">
        <f>IFERROR(__xludf.DUMMYFUNCTION("""COMPUTED_VALUE"""),"Nibel 445/ Kemiling Permai")</f>
        <v>Nibel 445/ Kemiling Permai</v>
      </c>
      <c r="D3452" s="42"/>
      <c r="E3452" s="42"/>
      <c r="F3452" s="48" t="str">
        <f>IFERROR(__xludf.DUMMYFUNCTION("""COMPUTED_VALUE"""),"")</f>
        <v/>
      </c>
      <c r="G3452" s="42" t="str">
        <f>IFERROR(__xludf.DUMMYFUNCTION("""COMPUTED_VALUE"""),"BN JUAL BELI")</f>
        <v>BN JUAL BELI</v>
      </c>
      <c r="H3452" s="42">
        <f t="shared" si="1"/>
        <v>1562</v>
      </c>
    </row>
    <row r="3453" ht="22.5" customHeight="1">
      <c r="B3453" s="42" t="str">
        <f>IFERROR(__xludf.DUMMYFUNCTION("""COMPUTED_VALUE"""),"K/38/100425/1")</f>
        <v>K/38/100425/1</v>
      </c>
      <c r="C3453" s="42" t="str">
        <f>IFERROR(__xludf.DUMMYFUNCTION("""COMPUTED_VALUE"""),"Nibel. M. 2567/ Rajabasa Nunyai")</f>
        <v>Nibel. M. 2567/ Rajabasa Nunyai</v>
      </c>
      <c r="D3453" s="42"/>
      <c r="E3453" s="42"/>
      <c r="F3453" s="48" t="str">
        <f>IFERROR(__xludf.DUMMYFUNCTION("""COMPUTED_VALUE"""),"")</f>
        <v/>
      </c>
      <c r="G3453" s="42" t="str">
        <f>IFERROR(__xludf.DUMMYFUNCTION("""COMPUTED_VALUE"""),"BN Lelang")</f>
        <v>BN Lelang</v>
      </c>
      <c r="H3453" s="42">
        <f t="shared" si="1"/>
        <v>1562</v>
      </c>
    </row>
    <row r="3454" ht="22.5" customHeight="1">
      <c r="B3454" s="42" t="str">
        <f>IFERROR(__xludf.DUMMYFUNCTION("""COMPUTED_VALUE"""),"K/39/100425/1")</f>
        <v>K/39/100425/1</v>
      </c>
      <c r="C3454" s="42" t="str">
        <f>IFERROR(__xludf.DUMMYFUNCTION("""COMPUTED_VALUE"""),"M. 11492/SUKABUMI")</f>
        <v>M. 11492/SUKABUMI</v>
      </c>
      <c r="D3454" s="42"/>
      <c r="E3454" s="42"/>
      <c r="F3454" s="48" t="str">
        <f>IFERROR(__xludf.DUMMYFUNCTION("""COMPUTED_VALUE"""),"")</f>
        <v/>
      </c>
      <c r="G3454" s="42" t="str">
        <f>IFERROR(__xludf.DUMMYFUNCTION("""COMPUTED_VALUE"""),"BN JUAL BELI")</f>
        <v>BN JUAL BELI</v>
      </c>
      <c r="H3454" s="42">
        <f t="shared" si="1"/>
        <v>1562</v>
      </c>
    </row>
    <row r="3455" ht="22.5" customHeight="1">
      <c r="B3455" s="42" t="str">
        <f>IFERROR(__xludf.DUMMYFUNCTION("""COMPUTED_VALUE"""),"K/41/100425/1")</f>
        <v>K/41/100425/1</v>
      </c>
      <c r="C3455" s="42" t="str">
        <f>IFERROR(__xludf.DUMMYFUNCTION("""COMPUTED_VALUE"""),"Nibel 18744/ Sukarame")</f>
        <v>Nibel 18744/ Sukarame</v>
      </c>
      <c r="D3455" s="42"/>
      <c r="E3455" s="42"/>
      <c r="F3455" s="48" t="str">
        <f>IFERROR(__xludf.DUMMYFUNCTION("""COMPUTED_VALUE"""),"")</f>
        <v/>
      </c>
      <c r="G3455" s="42" t="str">
        <f>IFERROR(__xludf.DUMMYFUNCTION("""COMPUTED_VALUE"""),"BN JUAL BELI")</f>
        <v>BN JUAL BELI</v>
      </c>
      <c r="H3455" s="42">
        <f t="shared" si="1"/>
        <v>1562</v>
      </c>
    </row>
    <row r="3456" ht="22.5" customHeight="1">
      <c r="B3456" s="42" t="str">
        <f>IFERROR(__xludf.DUMMYFUNCTION("""COMPUTED_VALUE"""),"K/40/100425/2")</f>
        <v>K/40/100425/2</v>
      </c>
      <c r="C3456" s="42" t="str">
        <f>IFERROR(__xludf.DUMMYFUNCTION("""COMPUTED_VALUE"""),"NIBEL M. 2703/RAJABASA RAYA")</f>
        <v>NIBEL M. 2703/RAJABASA RAYA</v>
      </c>
      <c r="D3456" s="42"/>
      <c r="E3456" s="42"/>
      <c r="F3456" s="48" t="str">
        <f>IFERROR(__xludf.DUMMYFUNCTION("""COMPUTED_VALUE"""),"")</f>
        <v/>
      </c>
      <c r="G3456" s="42" t="str">
        <f>IFERROR(__xludf.DUMMYFUNCTION("""COMPUTED_VALUE"""),"BN JUAL BELI")</f>
        <v>BN JUAL BELI</v>
      </c>
      <c r="H3456" s="42">
        <f t="shared" si="1"/>
        <v>1562</v>
      </c>
    </row>
    <row r="3457" ht="22.5" customHeight="1">
      <c r="B3457" s="42" t="str">
        <f>IFERROR(__xludf.DUMMYFUNCTION("""COMPUTED_VALUE"""),"K/42/100425/1")</f>
        <v>K/42/100425/1</v>
      </c>
      <c r="C3457" s="42" t="str">
        <f>IFERROR(__xludf.DUMMYFUNCTION("""COMPUTED_VALUE"""),"M. 1223/ Kota Karang")</f>
        <v>M. 1223/ Kota Karang</v>
      </c>
      <c r="D3457" s="42"/>
      <c r="E3457" s="42"/>
      <c r="F3457" s="48" t="str">
        <f>IFERROR(__xludf.DUMMYFUNCTION("""COMPUTED_VALUE"""),"")</f>
        <v/>
      </c>
      <c r="G3457" s="42" t="str">
        <f>IFERROR(__xludf.DUMMYFUNCTION("""COMPUTED_VALUE"""),"PTPGT (Pemecahan)")</f>
        <v>PTPGT (Pemecahan)</v>
      </c>
      <c r="H3457" s="42">
        <f t="shared" si="1"/>
        <v>1562</v>
      </c>
    </row>
    <row r="3458" ht="22.5" customHeight="1">
      <c r="B3458" s="42" t="str">
        <f>IFERROR(__xludf.DUMMYFUNCTION("""COMPUTED_VALUE"""),"L/1/110425/1")</f>
        <v>L/1/110425/1</v>
      </c>
      <c r="C3458" s="42" t="str">
        <f>IFERROR(__xludf.DUMMYFUNCTION("""COMPUTED_VALUE"""),"HM 58/BAKUNG")</f>
        <v>HM 58/BAKUNG</v>
      </c>
      <c r="D3458" s="42" t="str">
        <f>IFERROR(__xludf.DUMMYFUNCTION("""COMPUTED_VALUE"""),"David")</f>
        <v>David</v>
      </c>
      <c r="E3458" s="42" t="str">
        <f>IFERROR(__xludf.DUMMYFUNCTION("""COMPUTED_VALUE"""),"DISERAHKAN")</f>
        <v>DISERAHKAN</v>
      </c>
      <c r="F3458" s="48">
        <f>IFERROR(__xludf.DUMMYFUNCTION("""COMPUTED_VALUE"""),45793.46804304398)</f>
        <v>45793.46804</v>
      </c>
      <c r="G3458" s="42" t="str">
        <f>IFERROR(__xludf.DUMMYFUNCTION("""COMPUTED_VALUE"""),"ROYA")</f>
        <v>ROYA</v>
      </c>
      <c r="H3458" s="42">
        <f t="shared" si="1"/>
        <v>1563</v>
      </c>
    </row>
    <row r="3459" ht="22.5" customHeight="1">
      <c r="B3459" s="42" t="str">
        <f>IFERROR(__xludf.DUMMYFUNCTION("""COMPUTED_VALUE"""),"K/2/110425/1")</f>
        <v>K/2/110425/1</v>
      </c>
      <c r="C3459" s="42" t="str">
        <f>IFERROR(__xludf.DUMMYFUNCTION("""COMPUTED_VALUE"""),"B.2152/SUKARAME")</f>
        <v>B.2152/SUKARAME</v>
      </c>
      <c r="D3459" s="42"/>
      <c r="E3459" s="42"/>
      <c r="F3459" s="48" t="str">
        <f>IFERROR(__xludf.DUMMYFUNCTION("""COMPUTED_VALUE"""),"")</f>
        <v/>
      </c>
      <c r="G3459" s="42" t="str">
        <f>IFERROR(__xludf.DUMMYFUNCTION("""COMPUTED_VALUE"""),"JUAL BELI")</f>
        <v>JUAL BELI</v>
      </c>
      <c r="H3459" s="42">
        <f t="shared" si="1"/>
        <v>1563</v>
      </c>
    </row>
    <row r="3460" ht="22.5" customHeight="1">
      <c r="B3460" s="42" t="str">
        <f>IFERROR(__xludf.DUMMYFUNCTION("""COMPUTED_VALUE"""),"L/3/110425/1")</f>
        <v>L/3/110425/1</v>
      </c>
      <c r="C3460" s="42" t="str">
        <f>IFERROR(__xludf.DUMMYFUNCTION("""COMPUTED_VALUE"""),"HM 10616/KEDAMAIAN")</f>
        <v>HM 10616/KEDAMAIAN</v>
      </c>
      <c r="D3460" s="42"/>
      <c r="E3460" s="42"/>
      <c r="F3460" s="48" t="str">
        <f>IFERROR(__xludf.DUMMYFUNCTION("""COMPUTED_VALUE"""),"")</f>
        <v/>
      </c>
      <c r="G3460" s="42" t="str">
        <f>IFERROR(__xludf.DUMMYFUNCTION("""COMPUTED_VALUE"""),"SKPT INFORMASI")</f>
        <v>SKPT INFORMASI</v>
      </c>
      <c r="H3460" s="42">
        <f t="shared" si="1"/>
        <v>1563</v>
      </c>
    </row>
    <row r="3461" ht="22.5" customHeight="1">
      <c r="B3461" s="42" t="str">
        <f>IFERROR(__xludf.DUMMYFUNCTION("""COMPUTED_VALUE"""),"K/4/110425/1")</f>
        <v>K/4/110425/1</v>
      </c>
      <c r="C3461" s="42" t="str">
        <f>IFERROR(__xludf.DUMMYFUNCTION("""COMPUTED_VALUE"""),"M. 3696/ Sumberejo Kemiling")</f>
        <v>M. 3696/ Sumberejo Kemiling</v>
      </c>
      <c r="D3461" s="42" t="str">
        <f>IFERROR(__xludf.DUMMYFUNCTION("""COMPUTED_VALUE"""),"David")</f>
        <v>David</v>
      </c>
      <c r="E3461" s="42" t="str">
        <f>IFERROR(__xludf.DUMMYFUNCTION("""COMPUTED_VALUE"""),"DISERAHKAN")</f>
        <v>DISERAHKAN</v>
      </c>
      <c r="F3461" s="48">
        <f>IFERROR(__xludf.DUMMYFUNCTION("""COMPUTED_VALUE"""),45791.454574097224)</f>
        <v>45791.45457</v>
      </c>
      <c r="G3461" s="42" t="str">
        <f>IFERROR(__xludf.DUMMYFUNCTION("""COMPUTED_VALUE"""),"Roya")</f>
        <v>Roya</v>
      </c>
      <c r="H3461" s="42">
        <f t="shared" si="1"/>
        <v>1564</v>
      </c>
    </row>
    <row r="3462" ht="22.5" customHeight="1">
      <c r="B3462" s="42" t="str">
        <f>IFERROR(__xludf.DUMMYFUNCTION("""COMPUTED_VALUE"""),"K/6/110425/1")</f>
        <v>K/6/110425/1</v>
      </c>
      <c r="C3462" s="42" t="str">
        <f>IFERROR(__xludf.DUMMYFUNCTION("""COMPUTED_VALUE"""),"B. 137/ Kota Karang")</f>
        <v>B. 137/ Kota Karang</v>
      </c>
      <c r="D3462" s="42" t="str">
        <f>IFERROR(__xludf.DUMMYFUNCTION("""COMPUTED_VALUE"""),"Berry")</f>
        <v>Berry</v>
      </c>
      <c r="E3462" s="42" t="str">
        <f>IFERROR(__xludf.DUMMYFUNCTION("""COMPUTED_VALUE"""),"DISERAHKAN")</f>
        <v>DISERAHKAN</v>
      </c>
      <c r="F3462" s="48">
        <f>IFERROR(__xludf.DUMMYFUNCTION("""COMPUTED_VALUE"""),45792.634392708336)</f>
        <v>45792.63439</v>
      </c>
      <c r="G3462" s="42" t="str">
        <f>IFERROR(__xludf.DUMMYFUNCTION("""COMPUTED_VALUE"""),"PERUBAHAN HAK")</f>
        <v>PERUBAHAN HAK</v>
      </c>
      <c r="H3462" s="42">
        <f t="shared" si="1"/>
        <v>1565</v>
      </c>
    </row>
    <row r="3463" ht="22.5" customHeight="1">
      <c r="B3463" s="42" t="str">
        <f>IFERROR(__xludf.DUMMYFUNCTION("""COMPUTED_VALUE"""),"K/7/110425/1")</f>
        <v>K/7/110425/1</v>
      </c>
      <c r="C3463" s="42" t="str">
        <f>IFERROR(__xludf.DUMMYFUNCTION("""COMPUTED_VALUE"""),"M. 5352/ Tanjung Senang")</f>
        <v>M. 5352/ Tanjung Senang</v>
      </c>
      <c r="D3463" s="42"/>
      <c r="E3463" s="42" t="str">
        <f>IFERROR(__xludf.DUMMYFUNCTION("""COMPUTED_VALUE"""),"DISERAHKAN")</f>
        <v>DISERAHKAN</v>
      </c>
      <c r="F3463" s="48">
        <f>IFERROR(__xludf.DUMMYFUNCTION("""COMPUTED_VALUE"""),45771.63532981482)</f>
        <v>45771.63533</v>
      </c>
      <c r="G3463" s="42" t="str">
        <f>IFERROR(__xludf.DUMMYFUNCTION("""COMPUTED_VALUE"""),"BN JUAL BELI")</f>
        <v>BN JUAL BELI</v>
      </c>
      <c r="H3463" s="42">
        <f t="shared" si="1"/>
        <v>1566</v>
      </c>
    </row>
    <row r="3464" ht="22.5" customHeight="1">
      <c r="B3464" s="42" t="str">
        <f>IFERROR(__xludf.DUMMYFUNCTION("""COMPUTED_VALUE"""),"K/8/110425/2")</f>
        <v>K/8/110425/2</v>
      </c>
      <c r="C3464" s="42" t="str">
        <f>IFERROR(__xludf.DUMMYFUNCTION("""COMPUTED_VALUE"""),"M. 2401/ Kedaung")</f>
        <v>M. 2401/ Kedaung</v>
      </c>
      <c r="D3464" s="42" t="str">
        <f>IFERROR(__xludf.DUMMYFUNCTION("""COMPUTED_VALUE"""),"Berry")</f>
        <v>Berry</v>
      </c>
      <c r="E3464" s="42" t="str">
        <f>IFERROR(__xludf.DUMMYFUNCTION("""COMPUTED_VALUE"""),"DISERAHKAN")</f>
        <v>DISERAHKAN</v>
      </c>
      <c r="F3464" s="48">
        <f>IFERROR(__xludf.DUMMYFUNCTION("""COMPUTED_VALUE"""),45804.37738601852)</f>
        <v>45804.37739</v>
      </c>
      <c r="G3464" s="42" t="str">
        <f>IFERROR(__xludf.DUMMYFUNCTION("""COMPUTED_VALUE"""),"BN JUAL BELI")</f>
        <v>BN JUAL BELI</v>
      </c>
      <c r="H3464" s="42">
        <f t="shared" si="1"/>
        <v>1567</v>
      </c>
    </row>
    <row r="3465" ht="22.5" customHeight="1">
      <c r="B3465" s="42" t="str">
        <f>IFERROR(__xludf.DUMMYFUNCTION("""COMPUTED_VALUE"""),"K/9/110425/3")</f>
        <v>K/9/110425/3</v>
      </c>
      <c r="C3465" s="42" t="str">
        <f>IFERROR(__xludf.DUMMYFUNCTION("""COMPUTED_VALUE"""),"M. 2386/ Kedaung")</f>
        <v>M. 2386/ Kedaung</v>
      </c>
      <c r="D3465" s="42"/>
      <c r="E3465" s="42"/>
      <c r="F3465" s="48" t="str">
        <f>IFERROR(__xludf.DUMMYFUNCTION("""COMPUTED_VALUE"""),"")</f>
        <v/>
      </c>
      <c r="G3465" s="42" t="str">
        <f>IFERROR(__xludf.DUMMYFUNCTION("""COMPUTED_VALUE"""),"BN JUAL BELI")</f>
        <v>BN JUAL BELI</v>
      </c>
      <c r="H3465" s="42">
        <f t="shared" si="1"/>
        <v>1567</v>
      </c>
    </row>
    <row r="3466" ht="22.5" customHeight="1">
      <c r="B3466" s="42" t="str">
        <f>IFERROR(__xludf.DUMMYFUNCTION("""COMPUTED_VALUE"""),"K/11/110425/1")</f>
        <v>K/11/110425/1</v>
      </c>
      <c r="C3466" s="42" t="str">
        <f>IFERROR(__xludf.DUMMYFUNCTION("""COMPUTED_VALUE"""),"PBT 28/2025 RAJABASA RAYA ")</f>
        <v>PBT 28/2025 RAJABASA RAYA </v>
      </c>
      <c r="D3466" s="42"/>
      <c r="E3466" s="42"/>
      <c r="F3466" s="48" t="str">
        <f>IFERROR(__xludf.DUMMYFUNCTION("""COMPUTED_VALUE"""),"")</f>
        <v/>
      </c>
      <c r="G3466" s="42" t="str">
        <f>IFERROR(__xludf.DUMMYFUNCTION("""COMPUTED_VALUE"""),"PERMOHONAN SK ")</f>
        <v>PERMOHONAN SK </v>
      </c>
      <c r="H3466" s="42">
        <f t="shared" si="1"/>
        <v>1567</v>
      </c>
    </row>
    <row r="3467" ht="22.5" customHeight="1">
      <c r="B3467" s="42" t="str">
        <f>IFERROR(__xludf.DUMMYFUNCTION("""COMPUTED_VALUE"""),"K/10/110425/1")</f>
        <v>K/10/110425/1</v>
      </c>
      <c r="C3467" s="42" t="str">
        <f>IFERROR(__xludf.DUMMYFUNCTION("""COMPUTED_VALUE"""),"M. 338/ Kangkung")</f>
        <v>M. 338/ Kangkung</v>
      </c>
      <c r="D3467" s="42"/>
      <c r="E3467" s="42" t="str">
        <f>IFERROR(__xludf.DUMMYFUNCTION("""COMPUTED_VALUE"""),"DISERAHKAN")</f>
        <v>DISERAHKAN</v>
      </c>
      <c r="F3467" s="48">
        <f>IFERROR(__xludf.DUMMYFUNCTION("""COMPUTED_VALUE"""),45775.60692763889)</f>
        <v>45775.60693</v>
      </c>
      <c r="G3467" s="42" t="str">
        <f>IFERROR(__xludf.DUMMYFUNCTION("""COMPUTED_VALUE"""),"BN Jual Beli")</f>
        <v>BN Jual Beli</v>
      </c>
      <c r="H3467" s="42">
        <f t="shared" si="1"/>
        <v>1568</v>
      </c>
    </row>
    <row r="3468" ht="22.5" customHeight="1">
      <c r="B3468" s="42" t="str">
        <f>IFERROR(__xludf.DUMMYFUNCTION("""COMPUTED_VALUE"""),"K/12/110425/2")</f>
        <v>K/12/110425/2</v>
      </c>
      <c r="C3468" s="42" t="str">
        <f>IFERROR(__xludf.DUMMYFUNCTION("""COMPUTED_VALUE"""),"PBT 29/2025 RAJABASA RAYA")</f>
        <v>PBT 29/2025 RAJABASA RAYA</v>
      </c>
      <c r="D3468" s="42"/>
      <c r="E3468" s="42"/>
      <c r="F3468" s="48" t="str">
        <f>IFERROR(__xludf.DUMMYFUNCTION("""COMPUTED_VALUE"""),"")</f>
        <v/>
      </c>
      <c r="G3468" s="42" t="str">
        <f>IFERROR(__xludf.DUMMYFUNCTION("""COMPUTED_VALUE"""),"PERMOHONAN SK ")</f>
        <v>PERMOHONAN SK </v>
      </c>
      <c r="H3468" s="42">
        <f t="shared" si="1"/>
        <v>1568</v>
      </c>
    </row>
    <row r="3469" ht="22.5" customHeight="1">
      <c r="B3469" s="42" t="str">
        <f>IFERROR(__xludf.DUMMYFUNCTION("""COMPUTED_VALUE"""),"K/13/110425/1")</f>
        <v>K/13/110425/1</v>
      </c>
      <c r="C3469" s="42" t="str">
        <f>IFERROR(__xludf.DUMMYFUNCTION("""COMPUTED_VALUE"""),"M. 12430/ jagabaya II")</f>
        <v>M. 12430/ jagabaya II</v>
      </c>
      <c r="D3469" s="42"/>
      <c r="E3469" s="42" t="str">
        <f>IFERROR(__xludf.DUMMYFUNCTION("""COMPUTED_VALUE"""),"DISERAHKAN")</f>
        <v>DISERAHKAN</v>
      </c>
      <c r="F3469" s="48">
        <f>IFERROR(__xludf.DUMMYFUNCTION("""COMPUTED_VALUE"""),45771.635524004625)</f>
        <v>45771.63552</v>
      </c>
      <c r="G3469" s="42" t="str">
        <f>IFERROR(__xludf.DUMMYFUNCTION("""COMPUTED_VALUE"""),"BN JUAL BELI")</f>
        <v>BN JUAL BELI</v>
      </c>
      <c r="H3469" s="42">
        <f t="shared" si="1"/>
        <v>1569</v>
      </c>
    </row>
    <row r="3470" ht="22.5" customHeight="1">
      <c r="B3470" s="42" t="str">
        <f>IFERROR(__xludf.DUMMYFUNCTION("""COMPUTED_VALUE"""),"K/14/110425/1")</f>
        <v>K/14/110425/1</v>
      </c>
      <c r="C3470" s="42" t="str">
        <f>IFERROR(__xludf.DUMMYFUNCTION("""COMPUTED_VALUE"""),"NIBEL M 5319/RAJABASA JAYA")</f>
        <v>NIBEL M 5319/RAJABASA JAYA</v>
      </c>
      <c r="D3470" s="42"/>
      <c r="E3470" s="42"/>
      <c r="F3470" s="48" t="str">
        <f>IFERROR(__xludf.DUMMYFUNCTION("""COMPUTED_VALUE"""),"")</f>
        <v/>
      </c>
      <c r="G3470" s="42" t="str">
        <f>IFERROR(__xludf.DUMMYFUNCTION("""COMPUTED_VALUE"""),"HIBAH")</f>
        <v>HIBAH</v>
      </c>
      <c r="H3470" s="42">
        <f t="shared" si="1"/>
        <v>1569</v>
      </c>
    </row>
    <row r="3471" ht="22.5" customHeight="1">
      <c r="B3471" s="42" t="str">
        <f>IFERROR(__xludf.DUMMYFUNCTION("""COMPUTED_VALUE"""),"K/15/110425/1")</f>
        <v>K/15/110425/1</v>
      </c>
      <c r="C3471" s="42" t="str">
        <f>IFERROR(__xludf.DUMMYFUNCTION("""COMPUTED_VALUE"""),"NIBEL M 17986/KEDAUNG")</f>
        <v>NIBEL M 17986/KEDAUNG</v>
      </c>
      <c r="D3471" s="42"/>
      <c r="E3471" s="42"/>
      <c r="F3471" s="48" t="str">
        <f>IFERROR(__xludf.DUMMYFUNCTION("""COMPUTED_VALUE"""),"")</f>
        <v/>
      </c>
      <c r="G3471" s="42" t="str">
        <f>IFERROR(__xludf.DUMMYFUNCTION("""COMPUTED_VALUE"""),"JUAL BELI")</f>
        <v>JUAL BELI</v>
      </c>
      <c r="H3471" s="42">
        <f t="shared" si="1"/>
        <v>1569</v>
      </c>
    </row>
    <row r="3472" ht="22.5" customHeight="1">
      <c r="B3472" s="42" t="str">
        <f>IFERROR(__xludf.DUMMYFUNCTION("""COMPUTED_VALUE"""),"K/16/110425/1")</f>
        <v>K/16/110425/1</v>
      </c>
      <c r="C3472" s="42" t="str">
        <f>IFERROR(__xludf.DUMMYFUNCTION("""COMPUTED_VALUE"""),"B. 892/ Negeri Olok Gading")</f>
        <v>B. 892/ Negeri Olok Gading</v>
      </c>
      <c r="D3472" s="42"/>
      <c r="E3472" s="42"/>
      <c r="F3472" s="48" t="str">
        <f>IFERROR(__xludf.DUMMYFUNCTION("""COMPUTED_VALUE"""),"")</f>
        <v/>
      </c>
      <c r="G3472" s="42" t="str">
        <f>IFERROR(__xludf.DUMMYFUNCTION("""COMPUTED_VALUE"""),"Perubahan Hak")</f>
        <v>Perubahan Hak</v>
      </c>
      <c r="H3472" s="42">
        <f t="shared" si="1"/>
        <v>1569</v>
      </c>
    </row>
    <row r="3473" ht="22.5" customHeight="1">
      <c r="B3473" s="42" t="str">
        <f>IFERROR(__xludf.DUMMYFUNCTION("""COMPUTED_VALUE"""),"L/17/110425/1")</f>
        <v>L/17/110425/1</v>
      </c>
      <c r="C3473" s="42" t="str">
        <f>IFERROR(__xludf.DUMMYFUNCTION("""COMPUTED_VALUE"""),"HGB 3726/BERINGIN RAYA")</f>
        <v>HGB 3726/BERINGIN RAYA</v>
      </c>
      <c r="D3473" s="42" t="str">
        <f>IFERROR(__xludf.DUMMYFUNCTION("""COMPUTED_VALUE"""),"Berry")</f>
        <v>Berry</v>
      </c>
      <c r="E3473" s="42" t="str">
        <f>IFERROR(__xludf.DUMMYFUNCTION("""COMPUTED_VALUE"""),"DISERAHKAN")</f>
        <v>DISERAHKAN</v>
      </c>
      <c r="F3473" s="48">
        <f>IFERROR(__xludf.DUMMYFUNCTION("""COMPUTED_VALUE"""),45792.475146365745)</f>
        <v>45792.47515</v>
      </c>
      <c r="G3473" s="42" t="str">
        <f>IFERROR(__xludf.DUMMYFUNCTION("""COMPUTED_VALUE"""),"ROYA")</f>
        <v>ROYA</v>
      </c>
      <c r="H3473" s="42">
        <f t="shared" si="1"/>
        <v>1570</v>
      </c>
    </row>
    <row r="3474" ht="22.5" customHeight="1">
      <c r="B3474" s="42" t="str">
        <f>IFERROR(__xludf.DUMMYFUNCTION("""COMPUTED_VALUE"""),"K/18/110425/1")</f>
        <v>K/18/110425/1</v>
      </c>
      <c r="C3474" s="42" t="str">
        <f>IFERROR(__xludf.DUMMYFUNCTION("""COMPUTED_VALUE"""),"NIBEL M 1011/SUKABUMI")</f>
        <v>NIBEL M 1011/SUKABUMI</v>
      </c>
      <c r="D3474" s="42"/>
      <c r="E3474" s="42"/>
      <c r="F3474" s="48" t="str">
        <f>IFERROR(__xludf.DUMMYFUNCTION("""COMPUTED_VALUE"""),"")</f>
        <v/>
      </c>
      <c r="G3474" s="42" t="str">
        <f>IFERROR(__xludf.DUMMYFUNCTION("""COMPUTED_VALUE"""),"JUAL BELI")</f>
        <v>JUAL BELI</v>
      </c>
      <c r="H3474" s="42">
        <f t="shared" si="1"/>
        <v>1570</v>
      </c>
    </row>
    <row r="3475" ht="22.5" customHeight="1">
      <c r="B3475" s="42" t="str">
        <f>IFERROR(__xludf.DUMMYFUNCTION("""COMPUTED_VALUE"""),"K/19/110425/1")</f>
        <v>K/19/110425/1</v>
      </c>
      <c r="C3475" s="42" t="str">
        <f>IFERROR(__xludf.DUMMYFUNCTION("""COMPUTED_VALUE"""),"M. 1552/ Batu Putuk")</f>
        <v>M. 1552/ Batu Putuk</v>
      </c>
      <c r="D3475" s="42"/>
      <c r="E3475" s="42"/>
      <c r="F3475" s="48" t="str">
        <f>IFERROR(__xludf.DUMMYFUNCTION("""COMPUTED_VALUE"""),"")</f>
        <v/>
      </c>
      <c r="G3475" s="42" t="str">
        <f>IFERROR(__xludf.DUMMYFUNCTION("""COMPUTED_VALUE"""),"BN Jual Beli")</f>
        <v>BN Jual Beli</v>
      </c>
      <c r="H3475" s="42">
        <f t="shared" si="1"/>
        <v>1570</v>
      </c>
    </row>
    <row r="3476" ht="22.5" customHeight="1">
      <c r="B3476" s="42" t="str">
        <f>IFERROR(__xludf.DUMMYFUNCTION("""COMPUTED_VALUE"""),"K/20/110425/2")</f>
        <v>K/20/110425/2</v>
      </c>
      <c r="C3476" s="42" t="str">
        <f>IFERROR(__xludf.DUMMYFUNCTION("""COMPUTED_VALUE"""),"B. 2105/ Way Halim")</f>
        <v>B. 2105/ Way Halim</v>
      </c>
      <c r="D3476" s="42"/>
      <c r="E3476" s="42" t="str">
        <f>IFERROR(__xludf.DUMMYFUNCTION("""COMPUTED_VALUE"""),"DISERAHKAN")</f>
        <v>DISERAHKAN</v>
      </c>
      <c r="F3476" s="48">
        <f>IFERROR(__xludf.DUMMYFUNCTION("""COMPUTED_VALUE"""),45775.60742865741)</f>
        <v>45775.60743</v>
      </c>
      <c r="G3476" s="42" t="str">
        <f>IFERROR(__xludf.DUMMYFUNCTION("""COMPUTED_VALUE"""),"BN Jual Beli")</f>
        <v>BN Jual Beli</v>
      </c>
      <c r="H3476" s="42">
        <f t="shared" si="1"/>
        <v>1571</v>
      </c>
    </row>
    <row r="3477" ht="22.5" customHeight="1">
      <c r="B3477" s="42" t="str">
        <f>IFERROR(__xludf.DUMMYFUNCTION("""COMPUTED_VALUE"""),"K/21/110425/1")</f>
        <v>K/21/110425/1</v>
      </c>
      <c r="C3477" s="42" t="str">
        <f>IFERROR(__xludf.DUMMYFUNCTION("""COMPUTED_VALUE"""),"M. 11217/ Rajabsaa Pemuka")</f>
        <v>M. 11217/ Rajabsaa Pemuka</v>
      </c>
      <c r="D3477" s="42"/>
      <c r="E3477" s="42" t="str">
        <f>IFERROR(__xludf.DUMMYFUNCTION("""COMPUTED_VALUE"""),"DISERAHKAN")</f>
        <v>DISERAHKAN</v>
      </c>
      <c r="F3477" s="48">
        <f>IFERROR(__xludf.DUMMYFUNCTION("""COMPUTED_VALUE"""),45769.43968087963)</f>
        <v>45769.43968</v>
      </c>
      <c r="G3477" s="42" t="str">
        <f>IFERROR(__xludf.DUMMYFUNCTION("""COMPUTED_VALUE"""),"BN Waris")</f>
        <v>BN Waris</v>
      </c>
      <c r="H3477" s="42">
        <f t="shared" si="1"/>
        <v>1572</v>
      </c>
    </row>
    <row r="3478" ht="22.5" customHeight="1">
      <c r="B3478" s="42" t="str">
        <f>IFERROR(__xludf.DUMMYFUNCTION("""COMPUTED_VALUE"""),"K/10/110425/1")</f>
        <v>K/10/110425/1</v>
      </c>
      <c r="C3478" s="42" t="str">
        <f>IFERROR(__xludf.DUMMYFUNCTION("""COMPUTED_VALUE"""),"M. 2841/SUMBEREJO KEMILING")</f>
        <v>M. 2841/SUMBEREJO KEMILING</v>
      </c>
      <c r="D3478" s="42"/>
      <c r="E3478" s="42"/>
      <c r="F3478" s="48" t="str">
        <f>IFERROR(__xludf.DUMMYFUNCTION("""COMPUTED_VALUE"""),"")</f>
        <v/>
      </c>
      <c r="G3478" s="42" t="str">
        <f>IFERROR(__xludf.DUMMYFUNCTION("""COMPUTED_VALUE"""),"ROYA")</f>
        <v>ROYA</v>
      </c>
      <c r="H3478" s="42">
        <f t="shared" si="1"/>
        <v>1572</v>
      </c>
    </row>
    <row r="3479" ht="22.5" customHeight="1">
      <c r="B3479" s="42" t="str">
        <f>IFERROR(__xludf.DUMMYFUNCTION("""COMPUTED_VALUE"""),"K/22/110425/1")</f>
        <v>K/22/110425/1</v>
      </c>
      <c r="C3479" s="42" t="str">
        <f>IFERROR(__xludf.DUMMYFUNCTION("""COMPUTED_VALUE"""),"M. 2009/LABUHAN DALAM")</f>
        <v>M. 2009/LABUHAN DALAM</v>
      </c>
      <c r="D3479" s="42"/>
      <c r="E3479" s="42" t="str">
        <f>IFERROR(__xludf.DUMMYFUNCTION("""COMPUTED_VALUE"""),"DISERAHKAN")</f>
        <v>DISERAHKAN</v>
      </c>
      <c r="F3479" s="48">
        <f>IFERROR(__xludf.DUMMYFUNCTION("""COMPUTED_VALUE"""),45771.63277215278)</f>
        <v>45771.63277</v>
      </c>
      <c r="G3479" s="42" t="str">
        <f>IFERROR(__xludf.DUMMYFUNCTION("""COMPUTED_VALUE"""),"BN JUAL BELI")</f>
        <v>BN JUAL BELI</v>
      </c>
      <c r="H3479" s="42">
        <f t="shared" si="1"/>
        <v>1573</v>
      </c>
    </row>
    <row r="3480" ht="22.5" customHeight="1">
      <c r="B3480" s="42" t="str">
        <f>IFERROR(__xludf.DUMMYFUNCTION("""COMPUTED_VALUE"""),"K/23/110425/2")</f>
        <v>K/23/110425/2</v>
      </c>
      <c r="C3480" s="42" t="str">
        <f>IFERROR(__xludf.DUMMYFUNCTION("""COMPUTED_VALUE"""),"M. 772/PERUMNAS WAY KANDIS")</f>
        <v>M. 772/PERUMNAS WAY KANDIS</v>
      </c>
      <c r="D3480" s="42"/>
      <c r="E3480" s="42"/>
      <c r="F3480" s="48" t="str">
        <f>IFERROR(__xludf.DUMMYFUNCTION("""COMPUTED_VALUE"""),"")</f>
        <v/>
      </c>
      <c r="G3480" s="42" t="str">
        <f>IFERROR(__xludf.DUMMYFUNCTION("""COMPUTED_VALUE"""),"BN JUAL BELI")</f>
        <v>BN JUAL BELI</v>
      </c>
      <c r="H3480" s="42">
        <f t="shared" si="1"/>
        <v>1573</v>
      </c>
    </row>
    <row r="3481" ht="22.5" customHeight="1">
      <c r="B3481" s="42" t="str">
        <f>IFERROR(__xludf.DUMMYFUNCTION("""COMPUTED_VALUE"""),"K/24/110425/1")</f>
        <v>K/24/110425/1</v>
      </c>
      <c r="C3481" s="42" t="str">
        <f>IFERROR(__xludf.DUMMYFUNCTION("""COMPUTED_VALUE"""),"Nibel 16748/ Korpri Jaya")</f>
        <v>Nibel 16748/ Korpri Jaya</v>
      </c>
      <c r="D3481" s="42"/>
      <c r="E3481" s="42"/>
      <c r="F3481" s="48" t="str">
        <f>IFERROR(__xludf.DUMMYFUNCTION("""COMPUTED_VALUE"""),"")</f>
        <v/>
      </c>
      <c r="G3481" s="42" t="str">
        <f>IFERROR(__xludf.DUMMYFUNCTION("""COMPUTED_VALUE"""),"PERUBAHAN HAK")</f>
        <v>PERUBAHAN HAK</v>
      </c>
      <c r="H3481" s="42">
        <f t="shared" si="1"/>
        <v>1573</v>
      </c>
    </row>
    <row r="3482" ht="22.5" customHeight="1">
      <c r="B3482" s="42" t="str">
        <f>IFERROR(__xludf.DUMMYFUNCTION("""COMPUTED_VALUE"""),"L/25/110425/1")</f>
        <v>L/25/110425/1</v>
      </c>
      <c r="C3482" s="42" t="str">
        <f>IFERROR(__xludf.DUMMYFUNCTION("""COMPUTED_VALUE"""),"HM 3/PENENGAHAN")</f>
        <v>HM 3/PENENGAHAN</v>
      </c>
      <c r="D3482" s="42"/>
      <c r="E3482" s="42"/>
      <c r="F3482" s="48" t="str">
        <f>IFERROR(__xludf.DUMMYFUNCTION("""COMPUTED_VALUE"""),"")</f>
        <v/>
      </c>
      <c r="G3482" s="42" t="str">
        <f>IFERROR(__xludf.DUMMYFUNCTION("""COMPUTED_VALUE"""),"ROYA WARIS")</f>
        <v>ROYA WARIS</v>
      </c>
      <c r="H3482" s="42">
        <f t="shared" si="1"/>
        <v>1573</v>
      </c>
    </row>
    <row r="3483" ht="22.5" customHeight="1">
      <c r="B3483" s="42" t="str">
        <f>IFERROR(__xludf.DUMMYFUNCTION("""COMPUTED_VALUE"""),"K/1/140425/1")</f>
        <v>K/1/140425/1</v>
      </c>
      <c r="C3483" s="42" t="str">
        <f>IFERROR(__xludf.DUMMYFUNCTION("""COMPUTED_VALUE"""),"M. 2197/ Kupang Teba")</f>
        <v>M. 2197/ Kupang Teba</v>
      </c>
      <c r="D3483" s="42"/>
      <c r="E3483" s="42"/>
      <c r="F3483" s="48" t="str">
        <f>IFERROR(__xludf.DUMMYFUNCTION("""COMPUTED_VALUE"""),"")</f>
        <v/>
      </c>
      <c r="G3483" s="42" t="str">
        <f>IFERROR(__xludf.DUMMYFUNCTION("""COMPUTED_VALUE"""),"PTPGT (Pemecahan)")</f>
        <v>PTPGT (Pemecahan)</v>
      </c>
      <c r="H3483" s="42">
        <f t="shared" si="1"/>
        <v>1573</v>
      </c>
    </row>
    <row r="3484" ht="22.5" customHeight="1">
      <c r="B3484" s="42" t="str">
        <f>IFERROR(__xludf.DUMMYFUNCTION("""COMPUTED_VALUE"""),"L/5/140425/1")</f>
        <v>L/5/140425/1</v>
      </c>
      <c r="C3484" s="42" t="str">
        <f>IFERROR(__xludf.DUMMYFUNCTION("""COMPUTED_VALUE"""),"HM 8215/SUKABUMI")</f>
        <v>HM 8215/SUKABUMI</v>
      </c>
      <c r="D3484" s="42" t="str">
        <f>IFERROR(__xludf.DUMMYFUNCTION("""COMPUTED_VALUE"""),"David")</f>
        <v>David</v>
      </c>
      <c r="E3484" s="42" t="str">
        <f>IFERROR(__xludf.DUMMYFUNCTION("""COMPUTED_VALUE"""),"DISERAHKAN")</f>
        <v>DISERAHKAN</v>
      </c>
      <c r="F3484" s="48">
        <f>IFERROR(__xludf.DUMMYFUNCTION("""COMPUTED_VALUE"""),45839.431820763886)</f>
        <v>45839.43182</v>
      </c>
      <c r="G3484" s="42" t="str">
        <f>IFERROR(__xludf.DUMMYFUNCTION("""COMPUTED_VALUE"""),"ROYA")</f>
        <v>ROYA</v>
      </c>
      <c r="H3484" s="42">
        <f t="shared" si="1"/>
        <v>1574</v>
      </c>
    </row>
    <row r="3485" ht="22.5" customHeight="1">
      <c r="B3485" s="42" t="str">
        <f>IFERROR(__xludf.DUMMYFUNCTION("""COMPUTED_VALUE"""),"K/2/140425/1")</f>
        <v>K/2/140425/1</v>
      </c>
      <c r="C3485" s="42" t="str">
        <f>IFERROR(__xludf.DUMMYFUNCTION("""COMPUTED_VALUE"""),"M. 1748/ Batu Putuk")</f>
        <v>M. 1748/ Batu Putuk</v>
      </c>
      <c r="D3485" s="42"/>
      <c r="E3485" s="42"/>
      <c r="F3485" s="48" t="str">
        <f>IFERROR(__xludf.DUMMYFUNCTION("""COMPUTED_VALUE"""),"")</f>
        <v/>
      </c>
      <c r="G3485" s="42" t="str">
        <f>IFERROR(__xludf.DUMMYFUNCTION("""COMPUTED_VALUE"""),"BN Jual Beli")</f>
        <v>BN Jual Beli</v>
      </c>
      <c r="H3485" s="42">
        <f t="shared" si="1"/>
        <v>1574</v>
      </c>
    </row>
    <row r="3486" ht="22.5" customHeight="1">
      <c r="B3486" s="42" t="str">
        <f>IFERROR(__xludf.DUMMYFUNCTION("""COMPUTED_VALUE"""),"K/3/140425/2")</f>
        <v>K/3/140425/2</v>
      </c>
      <c r="C3486" s="42" t="str">
        <f>IFERROR(__xludf.DUMMYFUNCTION("""COMPUTED_VALUE"""),"M. 1890/ Keteguhan")</f>
        <v>M. 1890/ Keteguhan</v>
      </c>
      <c r="D3486" s="42" t="str">
        <f>IFERROR(__xludf.DUMMYFUNCTION("""COMPUTED_VALUE"""),"David")</f>
        <v>David</v>
      </c>
      <c r="E3486" s="42" t="str">
        <f>IFERROR(__xludf.DUMMYFUNCTION("""COMPUTED_VALUE"""),"DISERAHKAN")</f>
        <v>DISERAHKAN</v>
      </c>
      <c r="F3486" s="48">
        <f>IFERROR(__xludf.DUMMYFUNCTION("""COMPUTED_VALUE"""),45793.41254464121)</f>
        <v>45793.41254</v>
      </c>
      <c r="G3486" s="42" t="str">
        <f>IFERROR(__xludf.DUMMYFUNCTION("""COMPUTED_VALUE"""),"BN Jual Beli")</f>
        <v>BN Jual Beli</v>
      </c>
      <c r="H3486" s="42">
        <f t="shared" si="1"/>
        <v>1575</v>
      </c>
    </row>
    <row r="3487" ht="22.5" customHeight="1">
      <c r="B3487" s="42" t="str">
        <f>IFERROR(__xludf.DUMMYFUNCTION("""COMPUTED_VALUE"""),"K/4/140425/3")</f>
        <v>K/4/140425/3</v>
      </c>
      <c r="C3487" s="42" t="str">
        <f>IFERROR(__xludf.DUMMYFUNCTION("""COMPUTED_VALUE"""),"M. 245/ Jagabaya III")</f>
        <v>M. 245/ Jagabaya III</v>
      </c>
      <c r="D3487" s="42"/>
      <c r="E3487" s="42"/>
      <c r="F3487" s="48" t="str">
        <f>IFERROR(__xludf.DUMMYFUNCTION("""COMPUTED_VALUE"""),"")</f>
        <v/>
      </c>
      <c r="G3487" s="42" t="str">
        <f>IFERROR(__xludf.DUMMYFUNCTION("""COMPUTED_VALUE"""),"BN Jual Beli")</f>
        <v>BN Jual Beli</v>
      </c>
      <c r="H3487" s="42">
        <f t="shared" si="1"/>
        <v>1575</v>
      </c>
    </row>
    <row r="3488" ht="22.5" customHeight="1">
      <c r="B3488" s="42" t="str">
        <f>IFERROR(__xludf.DUMMYFUNCTION("""COMPUTED_VALUE"""),"K/6/140425/1")</f>
        <v>K/6/140425/1</v>
      </c>
      <c r="C3488" s="42" t="str">
        <f>IFERROR(__xludf.DUMMYFUNCTION("""COMPUTED_VALUE"""),"M.1739/KOTA BARU")</f>
        <v>M.1739/KOTA BARU</v>
      </c>
      <c r="D3488" s="42"/>
      <c r="E3488" s="42"/>
      <c r="F3488" s="48" t="str">
        <f>IFERROR(__xludf.DUMMYFUNCTION("""COMPUTED_VALUE"""),"")</f>
        <v/>
      </c>
      <c r="G3488" s="42" t="str">
        <f>IFERROR(__xludf.DUMMYFUNCTION("""COMPUTED_VALUE"""),"JUAL BELI")</f>
        <v>JUAL BELI</v>
      </c>
      <c r="H3488" s="42">
        <f t="shared" si="1"/>
        <v>1575</v>
      </c>
    </row>
    <row r="3489" ht="22.5" customHeight="1">
      <c r="B3489" s="42" t="str">
        <f>IFERROR(__xludf.DUMMYFUNCTION("""COMPUTED_VALUE"""),"K/7/140425/1")</f>
        <v>K/7/140425/1</v>
      </c>
      <c r="C3489" s="42" t="str">
        <f>IFERROR(__xludf.DUMMYFUNCTION("""COMPUTED_VALUE"""),"Nibel 444/ kemiling permai")</f>
        <v>Nibel 444/ kemiling permai</v>
      </c>
      <c r="D3489" s="42"/>
      <c r="E3489" s="42"/>
      <c r="F3489" s="48" t="str">
        <f>IFERROR(__xludf.DUMMYFUNCTION("""COMPUTED_VALUE"""),"")</f>
        <v/>
      </c>
      <c r="G3489" s="42" t="str">
        <f>IFERROR(__xludf.DUMMYFUNCTION("""COMPUTED_VALUE"""),"PERUBAHAN HAK")</f>
        <v>PERUBAHAN HAK</v>
      </c>
      <c r="H3489" s="42">
        <f t="shared" si="1"/>
        <v>1575</v>
      </c>
    </row>
    <row r="3490" ht="22.5" customHeight="1">
      <c r="B3490" s="42" t="str">
        <f>IFERROR(__xludf.DUMMYFUNCTION("""COMPUTED_VALUE"""),"K/8/140425/2")</f>
        <v>K/8/140425/2</v>
      </c>
      <c r="C3490" s="42" t="str">
        <f>IFERROR(__xludf.DUMMYFUNCTION("""COMPUTED_VALUE"""),"Nibel 17602/ kemiling permai")</f>
        <v>Nibel 17602/ kemiling permai</v>
      </c>
      <c r="D3490" s="42"/>
      <c r="E3490" s="42"/>
      <c r="F3490" s="48" t="str">
        <f>IFERROR(__xludf.DUMMYFUNCTION("""COMPUTED_VALUE"""),"")</f>
        <v/>
      </c>
      <c r="G3490" s="42" t="str">
        <f>IFERROR(__xludf.DUMMYFUNCTION("""COMPUTED_VALUE"""),"PERUBAHAN HAK")</f>
        <v>PERUBAHAN HAK</v>
      </c>
      <c r="H3490" s="42">
        <f t="shared" si="1"/>
        <v>1575</v>
      </c>
    </row>
    <row r="3491" ht="22.5" customHeight="1">
      <c r="B3491" s="42" t="str">
        <f>IFERROR(__xludf.DUMMYFUNCTION("""COMPUTED_VALUE"""),"K/9/140425/3")</f>
        <v>K/9/140425/3</v>
      </c>
      <c r="C3491" s="42" t="str">
        <f>IFERROR(__xludf.DUMMYFUNCTION("""COMPUTED_VALUE"""),"Nibel 387/ kemiling permai")</f>
        <v>Nibel 387/ kemiling permai</v>
      </c>
      <c r="D3491" s="42"/>
      <c r="E3491" s="42"/>
      <c r="F3491" s="48" t="str">
        <f>IFERROR(__xludf.DUMMYFUNCTION("""COMPUTED_VALUE"""),"")</f>
        <v/>
      </c>
      <c r="G3491" s="42" t="str">
        <f>IFERROR(__xludf.DUMMYFUNCTION("""COMPUTED_VALUE"""),"PERUBAHAN HAK")</f>
        <v>PERUBAHAN HAK</v>
      </c>
      <c r="H3491" s="42">
        <f t="shared" si="1"/>
        <v>1575</v>
      </c>
    </row>
    <row r="3492" ht="22.5" customHeight="1">
      <c r="B3492" s="42" t="str">
        <f>IFERROR(__xludf.DUMMYFUNCTION("""COMPUTED_VALUE"""),"K/10/140425/1")</f>
        <v>K/10/140425/1</v>
      </c>
      <c r="C3492" s="42" t="str">
        <f>IFERROR(__xludf.DUMMYFUNCTION("""COMPUTED_VALUE"""),"Nibel 2309/ Tanjung Senang")</f>
        <v>Nibel 2309/ Tanjung Senang</v>
      </c>
      <c r="D3492" s="42"/>
      <c r="E3492" s="42"/>
      <c r="F3492" s="48" t="str">
        <f>IFERROR(__xludf.DUMMYFUNCTION("""COMPUTED_VALUE"""),"")</f>
        <v/>
      </c>
      <c r="G3492" s="42" t="str">
        <f>IFERROR(__xludf.DUMMYFUNCTION("""COMPUTED_VALUE"""),"BN JUAL BELI")</f>
        <v>BN JUAL BELI</v>
      </c>
      <c r="H3492" s="42">
        <f t="shared" si="1"/>
        <v>1575</v>
      </c>
    </row>
    <row r="3493" ht="22.5" customHeight="1">
      <c r="B3493" s="42" t="str">
        <f>IFERROR(__xludf.DUMMYFUNCTION("""COMPUTED_VALUE"""),"K/11/140425/2")</f>
        <v>K/11/140425/2</v>
      </c>
      <c r="C3493" s="42" t="str">
        <f>IFERROR(__xludf.DUMMYFUNCTION("""COMPUTED_VALUE"""),"Nibel 10278/ Segala Mider")</f>
        <v>Nibel 10278/ Segala Mider</v>
      </c>
      <c r="D3493" s="42"/>
      <c r="E3493" s="42"/>
      <c r="F3493" s="48" t="str">
        <f>IFERROR(__xludf.DUMMYFUNCTION("""COMPUTED_VALUE"""),"")</f>
        <v/>
      </c>
      <c r="G3493" s="42" t="str">
        <f>IFERROR(__xludf.DUMMYFUNCTION("""COMPUTED_VALUE"""),"BN JUAL BELI")</f>
        <v>BN JUAL BELI</v>
      </c>
      <c r="H3493" s="42">
        <f t="shared" si="1"/>
        <v>1575</v>
      </c>
    </row>
    <row r="3494" ht="22.5" customHeight="1">
      <c r="B3494" s="42" t="str">
        <f>IFERROR(__xludf.DUMMYFUNCTION("""COMPUTED_VALUE"""),"K/12/140425/3")</f>
        <v>K/12/140425/3</v>
      </c>
      <c r="C3494" s="42" t="str">
        <f>IFERROR(__xludf.DUMMYFUNCTION("""COMPUTED_VALUE"""),"Nibel 17357/ Labuhan Dalam")</f>
        <v>Nibel 17357/ Labuhan Dalam</v>
      </c>
      <c r="D3494" s="42"/>
      <c r="E3494" s="42"/>
      <c r="F3494" s="48" t="str">
        <f>IFERROR(__xludf.DUMMYFUNCTION("""COMPUTED_VALUE"""),"")</f>
        <v/>
      </c>
      <c r="G3494" s="42" t="str">
        <f>IFERROR(__xludf.DUMMYFUNCTION("""COMPUTED_VALUE"""),"BN JUAL BELI")</f>
        <v>BN JUAL BELI</v>
      </c>
      <c r="H3494" s="42">
        <f t="shared" si="1"/>
        <v>1575</v>
      </c>
    </row>
    <row r="3495" ht="22.5" customHeight="1">
      <c r="B3495" s="42" t="str">
        <f>IFERROR(__xludf.DUMMYFUNCTION("""COMPUTED_VALUE"""),"K/13/140425/4")</f>
        <v>K/13/140425/4</v>
      </c>
      <c r="C3495" s="42" t="str">
        <f>IFERROR(__xludf.DUMMYFUNCTION("""COMPUTED_VALUE"""),"M. 9975/ Sukabumi")</f>
        <v>M. 9975/ Sukabumi</v>
      </c>
      <c r="D3495" s="42"/>
      <c r="E3495" s="42"/>
      <c r="F3495" s="48" t="str">
        <f>IFERROR(__xludf.DUMMYFUNCTION("""COMPUTED_VALUE"""),"")</f>
        <v/>
      </c>
      <c r="G3495" s="42" t="str">
        <f>IFERROR(__xludf.DUMMYFUNCTION("""COMPUTED_VALUE"""),"BN WARIS")</f>
        <v>BN WARIS</v>
      </c>
      <c r="H3495" s="42">
        <f t="shared" si="1"/>
        <v>1575</v>
      </c>
    </row>
    <row r="3496" ht="22.5" customHeight="1">
      <c r="B3496" s="42" t="str">
        <f>IFERROR(__xludf.DUMMYFUNCTION("""COMPUTED_VALUE"""),"K/14/140425/1")</f>
        <v>K/14/140425/1</v>
      </c>
      <c r="C3496" s="42" t="str">
        <f>IFERROR(__xludf.DUMMYFUNCTION("""COMPUTED_VALUE"""),"Nibel 19456/ Rajabasa")</f>
        <v>Nibel 19456/ Rajabasa</v>
      </c>
      <c r="D3496" s="42"/>
      <c r="E3496" s="42"/>
      <c r="F3496" s="48" t="str">
        <f>IFERROR(__xludf.DUMMYFUNCTION("""COMPUTED_VALUE"""),"")</f>
        <v/>
      </c>
      <c r="G3496" s="42" t="str">
        <f>IFERROR(__xludf.DUMMYFUNCTION("""COMPUTED_VALUE"""),"BN JUAL BELI")</f>
        <v>BN JUAL BELI</v>
      </c>
      <c r="H3496" s="42">
        <f t="shared" si="1"/>
        <v>1575</v>
      </c>
    </row>
    <row r="3497" ht="22.5" customHeight="1">
      <c r="B3497" s="42" t="str">
        <f>IFERROR(__xludf.DUMMYFUNCTION("""COMPUTED_VALUE"""),"K/15/140425/1")</f>
        <v>K/15/140425/1</v>
      </c>
      <c r="C3497" s="42" t="str">
        <f>IFERROR(__xludf.DUMMYFUNCTION("""COMPUTED_VALUE"""),"M. 1170/ Pematang Wangi")</f>
        <v>M. 1170/ Pematang Wangi</v>
      </c>
      <c r="D3497" s="42"/>
      <c r="E3497" s="42"/>
      <c r="F3497" s="48" t="str">
        <f>IFERROR(__xludf.DUMMYFUNCTION("""COMPUTED_VALUE"""),"")</f>
        <v/>
      </c>
      <c r="G3497" s="42" t="str">
        <f>IFERROR(__xludf.DUMMYFUNCTION("""COMPUTED_VALUE"""),"BN Jual Beli")</f>
        <v>BN Jual Beli</v>
      </c>
      <c r="H3497" s="42">
        <f t="shared" si="1"/>
        <v>1575</v>
      </c>
    </row>
    <row r="3498" ht="22.5" customHeight="1">
      <c r="B3498" s="42" t="str">
        <f>IFERROR(__xludf.DUMMYFUNCTION("""COMPUTED_VALUE"""),"K/16/140425/1")</f>
        <v>K/16/140425/1</v>
      </c>
      <c r="C3498" s="42" t="str">
        <f>IFERROR(__xludf.DUMMYFUNCTION("""COMPUTED_VALUE"""),"M. 723/ Way Dadi")</f>
        <v>M. 723/ Way Dadi</v>
      </c>
      <c r="D3498" s="42"/>
      <c r="E3498" s="42"/>
      <c r="F3498" s="48" t="str">
        <f>IFERROR(__xludf.DUMMYFUNCTION("""COMPUTED_VALUE"""),"")</f>
        <v/>
      </c>
      <c r="G3498" s="42" t="str">
        <f>IFERROR(__xludf.DUMMYFUNCTION("""COMPUTED_VALUE"""),"BN JUAL BELI")</f>
        <v>BN JUAL BELI</v>
      </c>
      <c r="H3498" s="42">
        <f t="shared" si="1"/>
        <v>1575</v>
      </c>
    </row>
    <row r="3499" ht="22.5" customHeight="1">
      <c r="B3499" s="42" t="str">
        <f>IFERROR(__xludf.DUMMYFUNCTION("""COMPUTED_VALUE"""),"K/17/140425/1")</f>
        <v>K/17/140425/1</v>
      </c>
      <c r="C3499" s="42" t="str">
        <f>IFERROR(__xludf.DUMMYFUNCTION("""COMPUTED_VALUE"""),"Nibel. M. 5327/ Rajabasa Jaya")</f>
        <v>Nibel. M. 5327/ Rajabasa Jaya</v>
      </c>
      <c r="D3499" s="42"/>
      <c r="E3499" s="42"/>
      <c r="F3499" s="48" t="str">
        <f>IFERROR(__xludf.DUMMYFUNCTION("""COMPUTED_VALUE"""),"")</f>
        <v/>
      </c>
      <c r="G3499" s="42" t="str">
        <f>IFERROR(__xludf.DUMMYFUNCTION("""COMPUTED_VALUE"""),"BN Hibah")</f>
        <v>BN Hibah</v>
      </c>
      <c r="H3499" s="42">
        <f t="shared" si="1"/>
        <v>1575</v>
      </c>
    </row>
    <row r="3500" ht="22.5" customHeight="1">
      <c r="B3500" s="42" t="str">
        <f>IFERROR(__xludf.DUMMYFUNCTION("""COMPUTED_VALUE"""),"K/18/140425/2")</f>
        <v>K/18/140425/2</v>
      </c>
      <c r="C3500" s="42" t="str">
        <f>IFERROR(__xludf.DUMMYFUNCTION("""COMPUTED_VALUE"""),"Nibel. M. 5326/ Rajabasa Jaya")</f>
        <v>Nibel. M. 5326/ Rajabasa Jaya</v>
      </c>
      <c r="D3500" s="42"/>
      <c r="E3500" s="42"/>
      <c r="F3500" s="48" t="str">
        <f>IFERROR(__xludf.DUMMYFUNCTION("""COMPUTED_VALUE"""),"")</f>
        <v/>
      </c>
      <c r="G3500" s="42" t="str">
        <f>IFERROR(__xludf.DUMMYFUNCTION("""COMPUTED_VALUE"""),"BN Hibah")</f>
        <v>BN Hibah</v>
      </c>
      <c r="H3500" s="42">
        <f t="shared" si="1"/>
        <v>1575</v>
      </c>
    </row>
    <row r="3501" ht="22.5" customHeight="1">
      <c r="B3501" s="42" t="str">
        <f>IFERROR(__xludf.DUMMYFUNCTION("""COMPUTED_VALUE"""),"K/19/140425/3")</f>
        <v>K/19/140425/3</v>
      </c>
      <c r="C3501" s="42" t="str">
        <f>IFERROR(__xludf.DUMMYFUNCTION("""COMPUTED_VALUE"""),"Nibel. M. 5328/ Rajabasa Jaya")</f>
        <v>Nibel. M. 5328/ Rajabasa Jaya</v>
      </c>
      <c r="D3501" s="42"/>
      <c r="E3501" s="42"/>
      <c r="F3501" s="48" t="str">
        <f>IFERROR(__xludf.DUMMYFUNCTION("""COMPUTED_VALUE"""),"")</f>
        <v/>
      </c>
      <c r="G3501" s="42" t="str">
        <f>IFERROR(__xludf.DUMMYFUNCTION("""COMPUTED_VALUE"""),"BN Hibah")</f>
        <v>BN Hibah</v>
      </c>
      <c r="H3501" s="42">
        <f t="shared" si="1"/>
        <v>1575</v>
      </c>
    </row>
    <row r="3502" ht="22.5" customHeight="1">
      <c r="B3502" s="42" t="str">
        <f>IFERROR(__xludf.DUMMYFUNCTION("""COMPUTED_VALUE"""),"K/20/140425/1")</f>
        <v>K/20/140425/1</v>
      </c>
      <c r="C3502" s="42" t="str">
        <f>IFERROR(__xludf.DUMMYFUNCTION("""COMPUTED_VALUE"""),"M. 864/ Kota BaruQ")</f>
        <v>M. 864/ Kota BaruQ</v>
      </c>
      <c r="D3502" s="42"/>
      <c r="E3502" s="42" t="str">
        <f>IFERROR(__xludf.DUMMYFUNCTION("""COMPUTED_VALUE"""),"DISERAHKAN")</f>
        <v>DISERAHKAN</v>
      </c>
      <c r="F3502" s="48">
        <f>IFERROR(__xludf.DUMMYFUNCTION("""COMPUTED_VALUE"""),45775.601057418986)</f>
        <v>45775.60106</v>
      </c>
      <c r="G3502" s="42" t="str">
        <f>IFERROR(__xludf.DUMMYFUNCTION("""COMPUTED_VALUE"""),"BN JUAL BELI")</f>
        <v>BN JUAL BELI</v>
      </c>
      <c r="H3502" s="42">
        <f t="shared" si="1"/>
        <v>1576</v>
      </c>
    </row>
    <row r="3503" ht="22.5" customHeight="1">
      <c r="B3503" s="42" t="str">
        <f>IFERROR(__xludf.DUMMYFUNCTION("""COMPUTED_VALUE"""),"K/21/140425/1")</f>
        <v>K/21/140425/1</v>
      </c>
      <c r="C3503" s="42" t="str">
        <f>IFERROR(__xludf.DUMMYFUNCTION("""COMPUTED_VALUE"""),"NIBEL B.11848/NEGERI OLOK GADING")</f>
        <v>NIBEL B.11848/NEGERI OLOK GADING</v>
      </c>
      <c r="D3503" s="42"/>
      <c r="E3503" s="42"/>
      <c r="F3503" s="48" t="str">
        <f>IFERROR(__xludf.DUMMYFUNCTION("""COMPUTED_VALUE"""),"")</f>
        <v/>
      </c>
      <c r="G3503" s="42" t="str">
        <f>IFERROR(__xludf.DUMMYFUNCTION("""COMPUTED_VALUE"""),"PENINGKATAN")</f>
        <v>PENINGKATAN</v>
      </c>
      <c r="H3503" s="42">
        <f t="shared" si="1"/>
        <v>1576</v>
      </c>
    </row>
    <row r="3504" ht="22.5" customHeight="1">
      <c r="B3504" s="42" t="str">
        <f>IFERROR(__xludf.DUMMYFUNCTION("""COMPUTED_VALUE"""),"K/22/140425/2")</f>
        <v>K/22/140425/2</v>
      </c>
      <c r="C3504" s="42" t="str">
        <f>IFERROR(__xludf.DUMMYFUNCTION("""COMPUTED_VALUE"""),"M.14069/RAJABASA")</f>
        <v>M.14069/RAJABASA</v>
      </c>
      <c r="D3504" s="42"/>
      <c r="E3504" s="42" t="str">
        <f>IFERROR(__xludf.DUMMYFUNCTION("""COMPUTED_VALUE"""),"DISERAHKAN")</f>
        <v>DISERAHKAN</v>
      </c>
      <c r="F3504" s="48">
        <f>IFERROR(__xludf.DUMMYFUNCTION("""COMPUTED_VALUE"""),45783.49287688658)</f>
        <v>45783.49288</v>
      </c>
      <c r="G3504" s="42" t="str">
        <f>IFERROR(__xludf.DUMMYFUNCTION("""COMPUTED_VALUE"""),"ROYA ")</f>
        <v>ROYA </v>
      </c>
      <c r="H3504" s="42">
        <f t="shared" si="1"/>
        <v>1577</v>
      </c>
    </row>
    <row r="3505" ht="22.5" customHeight="1">
      <c r="B3505" s="42" t="str">
        <f>IFERROR(__xludf.DUMMYFUNCTION("""COMPUTED_VALUE"""),"K/23/140425/1")</f>
        <v>K/23/140425/1</v>
      </c>
      <c r="C3505" s="42" t="str">
        <f>IFERROR(__xludf.DUMMYFUNCTION("""COMPUTED_VALUE"""),"M.2811/SUKARAME BARU")</f>
        <v>M.2811/SUKARAME BARU</v>
      </c>
      <c r="D3505" s="42"/>
      <c r="E3505" s="42"/>
      <c r="F3505" s="48" t="str">
        <f>IFERROR(__xludf.DUMMYFUNCTION("""COMPUTED_VALUE"""),"")</f>
        <v/>
      </c>
      <c r="G3505" s="42" t="str">
        <f>IFERROR(__xludf.DUMMYFUNCTION("""COMPUTED_VALUE"""),"JUAL BELI")</f>
        <v>JUAL BELI</v>
      </c>
      <c r="H3505" s="42">
        <f t="shared" si="1"/>
        <v>1577</v>
      </c>
    </row>
    <row r="3506" ht="22.5" customHeight="1">
      <c r="B3506" s="42" t="str">
        <f>IFERROR(__xludf.DUMMYFUNCTION("""COMPUTED_VALUE"""),"K/25/140425/1")</f>
        <v>K/25/140425/1</v>
      </c>
      <c r="C3506" s="42" t="str">
        <f>IFERROR(__xludf.DUMMYFUNCTION("""COMPUTED_VALUE"""),"M. 232/ Kali Balau Kencana")</f>
        <v>M. 232/ Kali Balau Kencana</v>
      </c>
      <c r="D3506" s="42" t="str">
        <f>IFERROR(__xludf.DUMMYFUNCTION("""COMPUTED_VALUE"""),"Berry")</f>
        <v>Berry</v>
      </c>
      <c r="E3506" s="42" t="str">
        <f>IFERROR(__xludf.DUMMYFUNCTION("""COMPUTED_VALUE"""),"DISERAHKAN")</f>
        <v>DISERAHKAN</v>
      </c>
      <c r="F3506" s="48">
        <f>IFERROR(__xludf.DUMMYFUNCTION("""COMPUTED_VALUE"""),45819.8070525)</f>
        <v>45819.80705</v>
      </c>
      <c r="G3506" s="42" t="str">
        <f>IFERROR(__xludf.DUMMYFUNCTION("""COMPUTED_VALUE"""),"BN Jual Beli")</f>
        <v>BN Jual Beli</v>
      </c>
      <c r="H3506" s="42">
        <f t="shared" si="1"/>
        <v>1578</v>
      </c>
    </row>
    <row r="3507" ht="22.5" customHeight="1">
      <c r="B3507" s="42" t="str">
        <f>IFERROR(__xludf.DUMMYFUNCTION("""COMPUTED_VALUE"""),"K/26/140425/1")</f>
        <v>K/26/140425/1</v>
      </c>
      <c r="C3507" s="42" t="str">
        <f>IFERROR(__xludf.DUMMYFUNCTION("""COMPUTED_VALUE"""),"M. 2458/ Kedaung")</f>
        <v>M. 2458/ Kedaung</v>
      </c>
      <c r="D3507" s="42" t="str">
        <f>IFERROR(__xludf.DUMMYFUNCTION("""COMPUTED_VALUE"""),"Berry")</f>
        <v>Berry</v>
      </c>
      <c r="E3507" s="42" t="str">
        <f>IFERROR(__xludf.DUMMYFUNCTION("""COMPUTED_VALUE"""),"DISERAHKAN")</f>
        <v>DISERAHKAN</v>
      </c>
      <c r="F3507" s="48">
        <f>IFERROR(__xludf.DUMMYFUNCTION("""COMPUTED_VALUE"""),45791.66795858796)</f>
        <v>45791.66796</v>
      </c>
      <c r="G3507" s="42" t="str">
        <f>IFERROR(__xludf.DUMMYFUNCTION("""COMPUTED_VALUE"""),"BN Jual Beli")</f>
        <v>BN Jual Beli</v>
      </c>
      <c r="H3507" s="42">
        <f t="shared" si="1"/>
        <v>1579</v>
      </c>
    </row>
    <row r="3508" ht="22.5" customHeight="1">
      <c r="B3508" s="42" t="str">
        <f>IFERROR(__xludf.DUMMYFUNCTION("""COMPUTED_VALUE"""),"K/27/140425/2")</f>
        <v>K/27/140425/2</v>
      </c>
      <c r="C3508" s="42" t="str">
        <f>IFERROR(__xludf.DUMMYFUNCTION("""COMPUTED_VALUE"""),"M. 2455/ Kedaung")</f>
        <v>M. 2455/ Kedaung</v>
      </c>
      <c r="D3508" s="42"/>
      <c r="E3508" s="42"/>
      <c r="F3508" s="48" t="str">
        <f>IFERROR(__xludf.DUMMYFUNCTION("""COMPUTED_VALUE"""),"")</f>
        <v/>
      </c>
      <c r="G3508" s="42" t="str">
        <f>IFERROR(__xludf.DUMMYFUNCTION("""COMPUTED_VALUE"""),"BN Jual Beli")</f>
        <v>BN Jual Beli</v>
      </c>
      <c r="H3508" s="42">
        <f t="shared" si="1"/>
        <v>1579</v>
      </c>
    </row>
    <row r="3509" ht="22.5" customHeight="1">
      <c r="B3509" s="42" t="str">
        <f>IFERROR(__xludf.DUMMYFUNCTION("""COMPUTED_VALUE"""),"K/28/140425/3")</f>
        <v>K/28/140425/3</v>
      </c>
      <c r="C3509" s="42" t="str">
        <f>IFERROR(__xludf.DUMMYFUNCTION("""COMPUTED_VALUE"""),"M. 2442/ Kedaung")</f>
        <v>M. 2442/ Kedaung</v>
      </c>
      <c r="D3509" s="42" t="str">
        <f>IFERROR(__xludf.DUMMYFUNCTION("""COMPUTED_VALUE"""),"Berry")</f>
        <v>Berry</v>
      </c>
      <c r="E3509" s="42" t="str">
        <f>IFERROR(__xludf.DUMMYFUNCTION("""COMPUTED_VALUE"""),"DISERAHKAN")</f>
        <v>DISERAHKAN</v>
      </c>
      <c r="F3509" s="48">
        <f>IFERROR(__xludf.DUMMYFUNCTION("""COMPUTED_VALUE"""),45791.664465821756)</f>
        <v>45791.66447</v>
      </c>
      <c r="G3509" s="42" t="str">
        <f>IFERROR(__xludf.DUMMYFUNCTION("""COMPUTED_VALUE"""),"BN Jual Beli")</f>
        <v>BN Jual Beli</v>
      </c>
      <c r="H3509" s="42">
        <f t="shared" si="1"/>
        <v>1580</v>
      </c>
    </row>
    <row r="3510" ht="22.5" customHeight="1">
      <c r="B3510" s="42" t="str">
        <f>IFERROR(__xludf.DUMMYFUNCTION("""COMPUTED_VALUE"""),"K/29/140425/4")</f>
        <v>K/29/140425/4</v>
      </c>
      <c r="C3510" s="42" t="str">
        <f>IFERROR(__xludf.DUMMYFUNCTION("""COMPUTED_VALUE"""),"M. 345/ Susunan Baru")</f>
        <v>M. 345/ Susunan Baru</v>
      </c>
      <c r="D3510" s="42" t="str">
        <f>IFERROR(__xludf.DUMMYFUNCTION("""COMPUTED_VALUE"""),"Berry")</f>
        <v>Berry</v>
      </c>
      <c r="E3510" s="42" t="str">
        <f>IFERROR(__xludf.DUMMYFUNCTION("""COMPUTED_VALUE"""),"DISERAHKAN")</f>
        <v>DISERAHKAN</v>
      </c>
      <c r="F3510" s="48">
        <f>IFERROR(__xludf.DUMMYFUNCTION("""COMPUTED_VALUE"""),45792.4803609375)</f>
        <v>45792.48036</v>
      </c>
      <c r="G3510" s="42" t="str">
        <f>IFERROR(__xludf.DUMMYFUNCTION("""COMPUTED_VALUE"""),"Roya")</f>
        <v>Roya</v>
      </c>
      <c r="H3510" s="42">
        <f t="shared" si="1"/>
        <v>1581</v>
      </c>
    </row>
    <row r="3511" ht="22.5" customHeight="1">
      <c r="B3511" s="42" t="str">
        <f>IFERROR(__xludf.DUMMYFUNCTION("""COMPUTED_VALUE"""),"K/24/140425/1")</f>
        <v>K/24/140425/1</v>
      </c>
      <c r="C3511" s="42" t="str">
        <f>IFERROR(__xludf.DUMMYFUNCTION("""COMPUTED_VALUE"""),"M.2800/SUKARAME BARU")</f>
        <v>M.2800/SUKARAME BARU</v>
      </c>
      <c r="D3511" s="42"/>
      <c r="E3511" s="42"/>
      <c r="F3511" s="48" t="str">
        <f>IFERROR(__xludf.DUMMYFUNCTION("""COMPUTED_VALUE"""),"")</f>
        <v/>
      </c>
      <c r="G3511" s="42" t="str">
        <f>IFERROR(__xludf.DUMMYFUNCTION("""COMPUTED_VALUE"""),"JUAL BELI")</f>
        <v>JUAL BELI</v>
      </c>
      <c r="H3511" s="42">
        <f t="shared" si="1"/>
        <v>1581</v>
      </c>
    </row>
    <row r="3512" ht="22.5" customHeight="1">
      <c r="B3512" s="42" t="str">
        <f>IFERROR(__xludf.DUMMYFUNCTION("""COMPUTED_VALUE"""),"K/30/140425/1")</f>
        <v>K/30/140425/1</v>
      </c>
      <c r="C3512" s="42" t="str">
        <f>IFERROR(__xludf.DUMMYFUNCTION("""COMPUTED_VALUE"""),"NIBEL B 417/KEMILING PERMAI")</f>
        <v>NIBEL B 417/KEMILING PERMAI</v>
      </c>
      <c r="D3512" s="42"/>
      <c r="E3512" s="42"/>
      <c r="F3512" s="48" t="str">
        <f>IFERROR(__xludf.DUMMYFUNCTION("""COMPUTED_VALUE"""),"")</f>
        <v/>
      </c>
      <c r="G3512" s="42" t="str">
        <f>IFERROR(__xludf.DUMMYFUNCTION("""COMPUTED_VALUE"""),"JUAL BELI")</f>
        <v>JUAL BELI</v>
      </c>
      <c r="H3512" s="42">
        <f t="shared" si="1"/>
        <v>1581</v>
      </c>
    </row>
    <row r="3513" ht="22.5" customHeight="1">
      <c r="B3513" s="42" t="str">
        <f>IFERROR(__xludf.DUMMYFUNCTION("""COMPUTED_VALUE"""),"K/32/140425/1")</f>
        <v>K/32/140425/1</v>
      </c>
      <c r="C3513" s="42" t="str">
        <f>IFERROR(__xludf.DUMMYFUNCTION("""COMPUTED_VALUE"""),"M. 620/ Susunan  Baru")</f>
        <v>M. 620/ Susunan  Baru</v>
      </c>
      <c r="D3513" s="42"/>
      <c r="E3513" s="42"/>
      <c r="F3513" s="48" t="str">
        <f>IFERROR(__xludf.DUMMYFUNCTION("""COMPUTED_VALUE"""),"")</f>
        <v/>
      </c>
      <c r="G3513" s="42" t="str">
        <f>IFERROR(__xludf.DUMMYFUNCTION("""COMPUTED_VALUE"""),"BN Jual Beli")</f>
        <v>BN Jual Beli</v>
      </c>
      <c r="H3513" s="42">
        <f t="shared" si="1"/>
        <v>1581</v>
      </c>
    </row>
    <row r="3514" ht="22.5" customHeight="1">
      <c r="B3514" s="42" t="str">
        <f>IFERROR(__xludf.DUMMYFUNCTION("""COMPUTED_VALUE"""),"K/33/140425/2")</f>
        <v>K/33/140425/2</v>
      </c>
      <c r="C3514" s="42" t="str">
        <f>IFERROR(__xludf.DUMMYFUNCTION("""COMPUTED_VALUE"""),"M. 837/ Kali Balau Kencana")</f>
        <v>M. 837/ Kali Balau Kencana</v>
      </c>
      <c r="D3514" s="42"/>
      <c r="E3514" s="42"/>
      <c r="F3514" s="48" t="str">
        <f>IFERROR(__xludf.DUMMYFUNCTION("""COMPUTED_VALUE"""),"")</f>
        <v/>
      </c>
      <c r="G3514" s="42" t="str">
        <f>IFERROR(__xludf.DUMMYFUNCTION("""COMPUTED_VALUE"""),"BN Jual Beli")</f>
        <v>BN Jual Beli</v>
      </c>
      <c r="H3514" s="42">
        <f t="shared" si="1"/>
        <v>1581</v>
      </c>
    </row>
    <row r="3515" ht="22.5" customHeight="1">
      <c r="B3515" s="42" t="str">
        <f>IFERROR(__xludf.DUMMYFUNCTION("""COMPUTED_VALUE"""),"K/34/140425/1")</f>
        <v>K/34/140425/1</v>
      </c>
      <c r="C3515" s="42" t="str">
        <f>IFERROR(__xludf.DUMMYFUNCTION("""COMPUTED_VALUE"""),"M. 1453/ Bumi Kedamaian")</f>
        <v>M. 1453/ Bumi Kedamaian</v>
      </c>
      <c r="D3515" s="42" t="str">
        <f>IFERROR(__xludf.DUMMYFUNCTION("""COMPUTED_VALUE"""),"Berry")</f>
        <v>Berry</v>
      </c>
      <c r="E3515" s="42" t="str">
        <f>IFERROR(__xludf.DUMMYFUNCTION("""COMPUTED_VALUE"""),"DISERAHKAN")</f>
        <v>DISERAHKAN</v>
      </c>
      <c r="F3515" s="48">
        <f>IFERROR(__xludf.DUMMYFUNCTION("""COMPUTED_VALUE"""),45824.46680796296)</f>
        <v>45824.46681</v>
      </c>
      <c r="G3515" s="42" t="str">
        <f>IFERROR(__xludf.DUMMYFUNCTION("""COMPUTED_VALUE"""),"BN JUAL BELI")</f>
        <v>BN JUAL BELI</v>
      </c>
      <c r="H3515" s="42">
        <f t="shared" si="1"/>
        <v>1582</v>
      </c>
    </row>
    <row r="3516" ht="22.5" customHeight="1">
      <c r="B3516" s="42" t="str">
        <f>IFERROR(__xludf.DUMMYFUNCTION("""COMPUTED_VALUE"""),"K/35/140425/1")</f>
        <v>K/35/140425/1</v>
      </c>
      <c r="C3516" s="42" t="str">
        <f>IFERROR(__xludf.DUMMYFUNCTION("""COMPUTED_VALUE"""),"NIBEL B. 18033/SUMUR PUTRI")</f>
        <v>NIBEL B. 18033/SUMUR PUTRI</v>
      </c>
      <c r="D3516" s="42"/>
      <c r="E3516" s="42"/>
      <c r="F3516" s="48" t="str">
        <f>IFERROR(__xludf.DUMMYFUNCTION("""COMPUTED_VALUE"""),"")</f>
        <v/>
      </c>
      <c r="G3516" s="42" t="str">
        <f>IFERROR(__xludf.DUMMYFUNCTION("""COMPUTED_VALUE"""),"PERUBAHAN HAK")</f>
        <v>PERUBAHAN HAK</v>
      </c>
      <c r="H3516" s="42">
        <f t="shared" si="1"/>
        <v>1582</v>
      </c>
    </row>
    <row r="3517" ht="22.5" customHeight="1">
      <c r="B3517" s="42" t="str">
        <f>IFERROR(__xludf.DUMMYFUNCTION("""COMPUTED_VALUE"""),"K/36/140425/2")</f>
        <v>K/36/140425/2</v>
      </c>
      <c r="C3517" s="42" t="str">
        <f>IFERROR(__xludf.DUMMYFUNCTION("""COMPUTED_VALUE"""),"NIBEL B. 18474/SUMUR PUTRI")</f>
        <v>NIBEL B. 18474/SUMUR PUTRI</v>
      </c>
      <c r="D3517" s="42"/>
      <c r="E3517" s="42"/>
      <c r="F3517" s="48" t="str">
        <f>IFERROR(__xludf.DUMMYFUNCTION("""COMPUTED_VALUE"""),"")</f>
        <v/>
      </c>
      <c r="G3517" s="42" t="str">
        <f>IFERROR(__xludf.DUMMYFUNCTION("""COMPUTED_VALUE"""),"PERUBAHAN HAK")</f>
        <v>PERUBAHAN HAK</v>
      </c>
      <c r="H3517" s="42">
        <f t="shared" si="1"/>
        <v>1582</v>
      </c>
    </row>
    <row r="3518" ht="22.5" customHeight="1">
      <c r="B3518" s="42" t="str">
        <f>IFERROR(__xludf.DUMMYFUNCTION("""COMPUTED_VALUE"""),"K/37/140425/3")</f>
        <v>K/37/140425/3</v>
      </c>
      <c r="C3518" s="42" t="str">
        <f>IFERROR(__xludf.DUMMYFUNCTION("""COMPUTED_VALUE"""),"NIBEL B. 18530/SUMUR PUTRI")</f>
        <v>NIBEL B. 18530/SUMUR PUTRI</v>
      </c>
      <c r="D3518" s="42"/>
      <c r="E3518" s="42"/>
      <c r="F3518" s="48" t="str">
        <f>IFERROR(__xludf.DUMMYFUNCTION("""COMPUTED_VALUE"""),"")</f>
        <v/>
      </c>
      <c r="G3518" s="42" t="str">
        <f>IFERROR(__xludf.DUMMYFUNCTION("""COMPUTED_VALUE"""),"PERUBAHAN HAK")</f>
        <v>PERUBAHAN HAK</v>
      </c>
      <c r="H3518" s="42">
        <f t="shared" si="1"/>
        <v>1582</v>
      </c>
    </row>
    <row r="3519" ht="22.5" customHeight="1">
      <c r="B3519" s="42" t="str">
        <f>IFERROR(__xludf.DUMMYFUNCTION("""COMPUTED_VALUE"""),"L/1/150425/1")</f>
        <v>L/1/150425/1</v>
      </c>
      <c r="C3519" s="42" t="str">
        <f>IFERROR(__xludf.DUMMYFUNCTION("""COMPUTED_VALUE"""),"BERINGIN RAYA")</f>
        <v>BERINGIN RAYA</v>
      </c>
      <c r="D3519" s="42"/>
      <c r="E3519" s="42"/>
      <c r="F3519" s="48" t="str">
        <f>IFERROR(__xludf.DUMMYFUNCTION("""COMPUTED_VALUE"""),"")</f>
        <v/>
      </c>
      <c r="G3519" s="42" t="str">
        <f>IFERROR(__xludf.DUMMYFUNCTION("""COMPUTED_VALUE"""),"ASPEK")</f>
        <v>ASPEK</v>
      </c>
      <c r="H3519" s="42">
        <f t="shared" si="1"/>
        <v>1582</v>
      </c>
    </row>
    <row r="3520" ht="22.5" customHeight="1">
      <c r="B3520" s="42" t="str">
        <f>IFERROR(__xludf.DUMMYFUNCTION("""COMPUTED_VALUE"""),"K/2/150425/1")</f>
        <v>K/2/150425/1</v>
      </c>
      <c r="C3520" s="42" t="str">
        <f>IFERROR(__xludf.DUMMYFUNCTION("""COMPUTED_VALUE"""),"M. 1596/ Sukabumi Indah")</f>
        <v>M. 1596/ Sukabumi Indah</v>
      </c>
      <c r="D3520" s="42"/>
      <c r="E3520" s="42"/>
      <c r="F3520" s="48" t="str">
        <f>IFERROR(__xludf.DUMMYFUNCTION("""COMPUTED_VALUE"""),"")</f>
        <v/>
      </c>
      <c r="G3520" s="42" t="str">
        <f>IFERROR(__xludf.DUMMYFUNCTION("""COMPUTED_VALUE"""),"SKPT Lelang")</f>
        <v>SKPT Lelang</v>
      </c>
      <c r="H3520" s="42">
        <f t="shared" si="1"/>
        <v>1582</v>
      </c>
    </row>
    <row r="3521" ht="22.5" customHeight="1">
      <c r="B3521" s="42" t="str">
        <f>IFERROR(__xludf.DUMMYFUNCTION("""COMPUTED_VALUE"""),"K/3/150425/2")</f>
        <v>K/3/150425/2</v>
      </c>
      <c r="C3521" s="42" t="str">
        <f>IFERROR(__xludf.DUMMYFUNCTION("""COMPUTED_VALUE"""),"M. 1479/ Srengsem")</f>
        <v>M. 1479/ Srengsem</v>
      </c>
      <c r="D3521" s="42"/>
      <c r="E3521" s="42"/>
      <c r="F3521" s="48" t="str">
        <f>IFERROR(__xludf.DUMMYFUNCTION("""COMPUTED_VALUE"""),"")</f>
        <v/>
      </c>
      <c r="G3521" s="42" t="str">
        <f>IFERROR(__xludf.DUMMYFUNCTION("""COMPUTED_VALUE"""),"SKPT Lelang")</f>
        <v>SKPT Lelang</v>
      </c>
      <c r="H3521" s="42">
        <f t="shared" si="1"/>
        <v>1582</v>
      </c>
    </row>
    <row r="3522" ht="22.5" customHeight="1">
      <c r="B3522" s="42" t="str">
        <f>IFERROR(__xludf.DUMMYFUNCTION("""COMPUTED_VALUE"""),"K/4/150425/1")</f>
        <v>K/4/150425/1</v>
      </c>
      <c r="C3522" s="42" t="str">
        <f>IFERROR(__xludf.DUMMYFUNCTION("""COMPUTED_VALUE"""),"Nibel. 18604/ Rajabasa Jaya")</f>
        <v>Nibel. 18604/ Rajabasa Jaya</v>
      </c>
      <c r="D3522" s="42"/>
      <c r="E3522" s="42"/>
      <c r="F3522" s="48" t="str">
        <f>IFERROR(__xludf.DUMMYFUNCTION("""COMPUTED_VALUE"""),"")</f>
        <v/>
      </c>
      <c r="G3522" s="42" t="str">
        <f>IFERROR(__xludf.DUMMYFUNCTION("""COMPUTED_VALUE"""),"BN Jual Beli")</f>
        <v>BN Jual Beli</v>
      </c>
      <c r="H3522" s="42">
        <f t="shared" si="1"/>
        <v>1582</v>
      </c>
    </row>
    <row r="3523" ht="22.5" customHeight="1">
      <c r="B3523" s="42" t="str">
        <f>IFERROR(__xludf.DUMMYFUNCTION("""COMPUTED_VALUE"""),"L/5/150425/1")</f>
        <v>L/5/150425/1</v>
      </c>
      <c r="C3523" s="42" t="str">
        <f>IFERROR(__xludf.DUMMYFUNCTION("""COMPUTED_VALUE"""),"HM 2776/S KEMILING")</f>
        <v>HM 2776/S KEMILING</v>
      </c>
      <c r="D3523" s="42" t="str">
        <f>IFERROR(__xludf.DUMMYFUNCTION("""COMPUTED_VALUE"""),"David")</f>
        <v>David</v>
      </c>
      <c r="E3523" s="42" t="str">
        <f>IFERROR(__xludf.DUMMYFUNCTION("""COMPUTED_VALUE"""),"DISERAHKAN")</f>
        <v>DISERAHKAN</v>
      </c>
      <c r="F3523" s="48">
        <f>IFERROR(__xludf.DUMMYFUNCTION("""COMPUTED_VALUE"""),45803.479851724536)</f>
        <v>45803.47985</v>
      </c>
      <c r="G3523" s="42" t="str">
        <f>IFERROR(__xludf.DUMMYFUNCTION("""COMPUTED_VALUE"""),"ROYA")</f>
        <v>ROYA</v>
      </c>
      <c r="H3523" s="42">
        <f t="shared" si="1"/>
        <v>1583</v>
      </c>
    </row>
    <row r="3524" ht="22.5" customHeight="1">
      <c r="B3524" s="42" t="str">
        <f>IFERROR(__xludf.DUMMYFUNCTION("""COMPUTED_VALUE"""),"L/6/150425/2")</f>
        <v>L/6/150425/2</v>
      </c>
      <c r="C3524" s="42" t="str">
        <f>IFERROR(__xludf.DUMMYFUNCTION("""COMPUTED_VALUE"""),"HM 2953/S KEMILING")</f>
        <v>HM 2953/S KEMILING</v>
      </c>
      <c r="D3524" s="42" t="str">
        <f>IFERROR(__xludf.DUMMYFUNCTION("""COMPUTED_VALUE"""),"David")</f>
        <v>David</v>
      </c>
      <c r="E3524" s="42" t="str">
        <f>IFERROR(__xludf.DUMMYFUNCTION("""COMPUTED_VALUE"""),"DISERAHKAN")</f>
        <v>DISERAHKAN</v>
      </c>
      <c r="F3524" s="48">
        <f>IFERROR(__xludf.DUMMYFUNCTION("""COMPUTED_VALUE"""),45791.45608081018)</f>
        <v>45791.45608</v>
      </c>
      <c r="G3524" s="42" t="str">
        <f>IFERROR(__xludf.DUMMYFUNCTION("""COMPUTED_VALUE"""),"ROYA")</f>
        <v>ROYA</v>
      </c>
      <c r="H3524" s="42">
        <f t="shared" si="1"/>
        <v>1584</v>
      </c>
    </row>
    <row r="3525" ht="22.5" customHeight="1">
      <c r="B3525" s="42" t="str">
        <f>IFERROR(__xludf.DUMMYFUNCTION("""COMPUTED_VALUE"""),"K/38/140425/4")</f>
        <v>K/38/140425/4</v>
      </c>
      <c r="C3525" s="42" t="str">
        <f>IFERROR(__xludf.DUMMYFUNCTION("""COMPUTED_VALUE"""),"NIBEL B. 17614/SUMUR PUTRI")</f>
        <v>NIBEL B. 17614/SUMUR PUTRI</v>
      </c>
      <c r="D3525" s="42"/>
      <c r="E3525" s="42"/>
      <c r="F3525" s="48" t="str">
        <f>IFERROR(__xludf.DUMMYFUNCTION("""COMPUTED_VALUE"""),"")</f>
        <v/>
      </c>
      <c r="G3525" s="42" t="str">
        <f>IFERROR(__xludf.DUMMYFUNCTION("""COMPUTED_VALUE"""),"PERUBAHAN HAK")</f>
        <v>PERUBAHAN HAK</v>
      </c>
      <c r="H3525" s="42">
        <f t="shared" si="1"/>
        <v>1584</v>
      </c>
    </row>
    <row r="3526" ht="22.5" customHeight="1">
      <c r="B3526" s="42" t="str">
        <f>IFERROR(__xludf.DUMMYFUNCTION("""COMPUTED_VALUE"""),"K/31/140425/2")</f>
        <v>K/31/140425/2</v>
      </c>
      <c r="C3526" s="42" t="str">
        <f>IFERROR(__xludf.DUMMYFUNCTION("""COMPUTED_VALUE"""),"NIBEL M 410/KEMILING PERMAI")</f>
        <v>NIBEL M 410/KEMILING PERMAI</v>
      </c>
      <c r="D3526" s="42"/>
      <c r="E3526" s="42"/>
      <c r="F3526" s="48" t="str">
        <f>IFERROR(__xludf.DUMMYFUNCTION("""COMPUTED_VALUE"""),"")</f>
        <v/>
      </c>
      <c r="G3526" s="42" t="str">
        <f>IFERROR(__xludf.DUMMYFUNCTION("""COMPUTED_VALUE"""),"JUAL BELI")</f>
        <v>JUAL BELI</v>
      </c>
      <c r="H3526" s="42">
        <f t="shared" si="1"/>
        <v>1584</v>
      </c>
    </row>
    <row r="3527" ht="22.5" customHeight="1">
      <c r="B3527" s="42" t="str">
        <f>IFERROR(__xludf.DUMMYFUNCTION("""COMPUTED_VALUE"""),"K/7/150425/1")</f>
        <v>K/7/150425/1</v>
      </c>
      <c r="C3527" s="42" t="str">
        <f>IFERROR(__xludf.DUMMYFUNCTION("""COMPUTED_VALUE"""),"NIBEL M. 18365/KUPANG KOTA")</f>
        <v>NIBEL M. 18365/KUPANG KOTA</v>
      </c>
      <c r="D3527" s="42"/>
      <c r="E3527" s="42"/>
      <c r="F3527" s="48" t="str">
        <f>IFERROR(__xludf.DUMMYFUNCTION("""COMPUTED_VALUE"""),"")</f>
        <v/>
      </c>
      <c r="G3527" s="42" t="str">
        <f>IFERROR(__xludf.DUMMYFUNCTION("""COMPUTED_VALUE"""),"BN JUAL BELI")</f>
        <v>BN JUAL BELI</v>
      </c>
      <c r="H3527" s="42">
        <f t="shared" si="1"/>
        <v>1584</v>
      </c>
    </row>
    <row r="3528" ht="22.5" customHeight="1">
      <c r="B3528" s="42" t="str">
        <f>IFERROR(__xludf.DUMMYFUNCTION("""COMPUTED_VALUE"""),"K/8/150425/1")</f>
        <v>K/8/150425/1</v>
      </c>
      <c r="C3528" s="42" t="str">
        <f>IFERROR(__xludf.DUMMYFUNCTION("""COMPUTED_VALUE"""),"M.9330/SIDODADI")</f>
        <v>M.9330/SIDODADI</v>
      </c>
      <c r="D3528" s="42"/>
      <c r="E3528" s="42"/>
      <c r="F3528" s="48" t="str">
        <f>IFERROR(__xludf.DUMMYFUNCTION("""COMPUTED_VALUE"""),"")</f>
        <v/>
      </c>
      <c r="G3528" s="42" t="str">
        <f>IFERROR(__xludf.DUMMYFUNCTION("""COMPUTED_VALUE"""),"KEWARISAN")</f>
        <v>KEWARISAN</v>
      </c>
      <c r="H3528" s="42">
        <f t="shared" si="1"/>
        <v>1584</v>
      </c>
    </row>
    <row r="3529" ht="22.5" customHeight="1">
      <c r="B3529" s="42" t="str">
        <f>IFERROR(__xludf.DUMMYFUNCTION("""COMPUTED_VALUE"""),"K/9/150425/1")</f>
        <v>K/9/150425/1</v>
      </c>
      <c r="C3529" s="42" t="str">
        <f>IFERROR(__xludf.DUMMYFUNCTION("""COMPUTED_VALUE"""),"M. 343/ Harapan Jaya")</f>
        <v>M. 343/ Harapan Jaya</v>
      </c>
      <c r="D3529" s="42" t="str">
        <f>IFERROR(__xludf.DUMMYFUNCTION("""COMPUTED_VALUE"""),"David")</f>
        <v>David</v>
      </c>
      <c r="E3529" s="42" t="str">
        <f>IFERROR(__xludf.DUMMYFUNCTION("""COMPUTED_VALUE"""),"DISERAHKAN")</f>
        <v>DISERAHKAN</v>
      </c>
      <c r="F3529" s="48">
        <f>IFERROR(__xludf.DUMMYFUNCTION("""COMPUTED_VALUE"""),45813.47753800926)</f>
        <v>45813.47754</v>
      </c>
      <c r="G3529" s="42" t="str">
        <f>IFERROR(__xludf.DUMMYFUNCTION("""COMPUTED_VALUE"""),"ROYA")</f>
        <v>ROYA</v>
      </c>
      <c r="H3529" s="42">
        <f t="shared" si="1"/>
        <v>1585</v>
      </c>
    </row>
    <row r="3530" ht="22.5" customHeight="1">
      <c r="B3530" s="42" t="str">
        <f>IFERROR(__xludf.DUMMYFUNCTION("""COMPUTED_VALUE"""),"K/10/150425/1")</f>
        <v>K/10/150425/1</v>
      </c>
      <c r="C3530" s="42" t="str">
        <f>IFERROR(__xludf.DUMMYFUNCTION("""COMPUTED_VALUE"""),"Nibel 19047/ Gedong Meneng")</f>
        <v>Nibel 19047/ Gedong Meneng</v>
      </c>
      <c r="D3530" s="42"/>
      <c r="E3530" s="42"/>
      <c r="F3530" s="48" t="str">
        <f>IFERROR(__xludf.DUMMYFUNCTION("""COMPUTED_VALUE"""),"")</f>
        <v/>
      </c>
      <c r="G3530" s="42" t="str">
        <f>IFERROR(__xludf.DUMMYFUNCTION("""COMPUTED_VALUE"""),"PERUBAHAN HAK")</f>
        <v>PERUBAHAN HAK</v>
      </c>
      <c r="H3530" s="42">
        <f t="shared" si="1"/>
        <v>1585</v>
      </c>
    </row>
    <row r="3531" ht="22.5" customHeight="1">
      <c r="B3531" s="42" t="str">
        <f>IFERROR(__xludf.DUMMYFUNCTION("""COMPUTED_VALUE"""),"K/11/150425/1")</f>
        <v>K/11/150425/1</v>
      </c>
      <c r="C3531" s="42" t="str">
        <f>IFERROR(__xludf.DUMMYFUNCTION("""COMPUTED_VALUE"""),"NIBEL M. 17420/SIDODADI")</f>
        <v>NIBEL M. 17420/SIDODADI</v>
      </c>
      <c r="D3531" s="42"/>
      <c r="E3531" s="42"/>
      <c r="F3531" s="48" t="str">
        <f>IFERROR(__xludf.DUMMYFUNCTION("""COMPUTED_VALUE"""),"")</f>
        <v/>
      </c>
      <c r="G3531" s="42" t="str">
        <f>IFERROR(__xludf.DUMMYFUNCTION("""COMPUTED_VALUE"""),"BN JUAL BELI")</f>
        <v>BN JUAL BELI</v>
      </c>
      <c r="H3531" s="42">
        <f t="shared" si="1"/>
        <v>1585</v>
      </c>
    </row>
    <row r="3532" ht="22.5" customHeight="1">
      <c r="B3532" s="42" t="str">
        <f>IFERROR(__xludf.DUMMYFUNCTION("""COMPUTED_VALUE"""),"L/12/150425/1")</f>
        <v>L/12/150425/1</v>
      </c>
      <c r="C3532" s="42" t="str">
        <f>IFERROR(__xludf.DUMMYFUNCTION("""COMPUTED_VALUE"""),"KUPANG KOTA")</f>
        <v>KUPANG KOTA</v>
      </c>
      <c r="D3532" s="42"/>
      <c r="E3532" s="42"/>
      <c r="F3532" s="48" t="str">
        <f>IFERROR(__xludf.DUMMYFUNCTION("""COMPUTED_VALUE"""),"")</f>
        <v/>
      </c>
      <c r="G3532" s="42" t="str">
        <f>IFERROR(__xludf.DUMMYFUNCTION("""COMPUTED_VALUE"""),"TANAH MENTAH")</f>
        <v>TANAH MENTAH</v>
      </c>
      <c r="H3532" s="42">
        <f t="shared" si="1"/>
        <v>1585</v>
      </c>
    </row>
    <row r="3533" ht="22.5" customHeight="1">
      <c r="B3533" s="42" t="str">
        <f>IFERROR(__xludf.DUMMYFUNCTION("""COMPUTED_VALUE"""),"K/13/150425/1")</f>
        <v>K/13/150425/1</v>
      </c>
      <c r="C3533" s="42" t="str">
        <f>IFERROR(__xludf.DUMMYFUNCTION("""COMPUTED_VALUE"""),"M. 984/ Way Halim Permai")</f>
        <v>M. 984/ Way Halim Permai</v>
      </c>
      <c r="D3533" s="42" t="str">
        <f>IFERROR(__xludf.DUMMYFUNCTION("""COMPUTED_VALUE"""),"David")</f>
        <v>David</v>
      </c>
      <c r="E3533" s="42" t="str">
        <f>IFERROR(__xludf.DUMMYFUNCTION("""COMPUTED_VALUE"""),"DISERAHKAN")</f>
        <v>DISERAHKAN</v>
      </c>
      <c r="F3533" s="48">
        <f>IFERROR(__xludf.DUMMYFUNCTION("""COMPUTED_VALUE"""),45804.680521145834)</f>
        <v>45804.68052</v>
      </c>
      <c r="G3533" s="42" t="str">
        <f>IFERROR(__xludf.DUMMYFUNCTION("""COMPUTED_VALUE"""),"Roya")</f>
        <v>Roya</v>
      </c>
      <c r="H3533" s="42">
        <f t="shared" si="1"/>
        <v>1586</v>
      </c>
    </row>
    <row r="3534" ht="22.5" customHeight="1">
      <c r="B3534" s="42" t="str">
        <f>IFERROR(__xludf.DUMMYFUNCTION("""COMPUTED_VALUE"""),"K/14/150425/2")</f>
        <v>K/14/150425/2</v>
      </c>
      <c r="C3534" s="42" t="str">
        <f>IFERROR(__xludf.DUMMYFUNCTION("""COMPUTED_VALUE"""),"M. 387/ Tanjung Agung")</f>
        <v>M. 387/ Tanjung Agung</v>
      </c>
      <c r="D3534" s="42"/>
      <c r="E3534" s="42"/>
      <c r="F3534" s="48" t="str">
        <f>IFERROR(__xludf.DUMMYFUNCTION("""COMPUTED_VALUE"""),"")</f>
        <v/>
      </c>
      <c r="G3534" s="42" t="str">
        <f>IFERROR(__xludf.DUMMYFUNCTION("""COMPUTED_VALUE"""),"PTPGT (Pemecahan)")</f>
        <v>PTPGT (Pemecahan)</v>
      </c>
      <c r="H3534" s="42">
        <f t="shared" si="1"/>
        <v>1586</v>
      </c>
    </row>
    <row r="3535" ht="22.5" customHeight="1">
      <c r="B3535" s="42" t="str">
        <f>IFERROR(__xludf.DUMMYFUNCTION("""COMPUTED_VALUE"""),"L/15/150425/1")</f>
        <v>L/15/150425/1</v>
      </c>
      <c r="C3535" s="42" t="str">
        <f>IFERROR(__xludf.DUMMYFUNCTION("""COMPUTED_VALUE"""),"HGB 1359/PINANG JAYA")</f>
        <v>HGB 1359/PINANG JAYA</v>
      </c>
      <c r="D3535" s="42"/>
      <c r="E3535" s="42"/>
      <c r="F3535" s="48" t="str">
        <f>IFERROR(__xludf.DUMMYFUNCTION("""COMPUTED_VALUE"""),"")</f>
        <v/>
      </c>
      <c r="G3535" s="42" t="str">
        <f>IFERROR(__xludf.DUMMYFUNCTION("""COMPUTED_VALUE"""),"PH")</f>
        <v>PH</v>
      </c>
      <c r="H3535" s="42">
        <f t="shared" si="1"/>
        <v>1586</v>
      </c>
    </row>
    <row r="3536" ht="22.5" customHeight="1">
      <c r="B3536" s="42" t="str">
        <f>IFERROR(__xludf.DUMMYFUNCTION("""COMPUTED_VALUE"""),"K/16/150425/1")</f>
        <v>K/16/150425/1</v>
      </c>
      <c r="C3536" s="42" t="str">
        <f>IFERROR(__xludf.DUMMYFUNCTION("""COMPUTED_VALUE"""),"B. 768/ Sumur Putri")</f>
        <v>B. 768/ Sumur Putri</v>
      </c>
      <c r="D3536" s="42"/>
      <c r="E3536" s="42"/>
      <c r="F3536" s="48" t="str">
        <f>IFERROR(__xludf.DUMMYFUNCTION("""COMPUTED_VALUE"""),"")</f>
        <v/>
      </c>
      <c r="G3536" s="42" t="str">
        <f>IFERROR(__xludf.DUMMYFUNCTION("""COMPUTED_VALUE"""),"BN JUAL BELI")</f>
        <v>BN JUAL BELI</v>
      </c>
      <c r="H3536" s="42">
        <f t="shared" si="1"/>
        <v>1586</v>
      </c>
    </row>
    <row r="3537" ht="22.5" customHeight="1">
      <c r="B3537" s="42" t="str">
        <f>IFERROR(__xludf.DUMMYFUNCTION("""COMPUTED_VALUE"""),"K/17/150425/2")</f>
        <v>K/17/150425/2</v>
      </c>
      <c r="C3537" s="42" t="str">
        <f>IFERROR(__xludf.DUMMYFUNCTION("""COMPUTED_VALUE"""),"B. 1142/ Keteguhan")</f>
        <v>B. 1142/ Keteguhan</v>
      </c>
      <c r="D3537" s="42"/>
      <c r="E3537" s="42"/>
      <c r="F3537" s="48" t="str">
        <f>IFERROR(__xludf.DUMMYFUNCTION("""COMPUTED_VALUE"""),"")</f>
        <v/>
      </c>
      <c r="G3537" s="42" t="str">
        <f>IFERROR(__xludf.DUMMYFUNCTION("""COMPUTED_VALUE"""),"BN JUAL BELI")</f>
        <v>BN JUAL BELI</v>
      </c>
      <c r="H3537" s="42">
        <f t="shared" si="1"/>
        <v>1586</v>
      </c>
    </row>
    <row r="3538" ht="22.5" customHeight="1">
      <c r="B3538" s="42" t="str">
        <f>IFERROR(__xludf.DUMMYFUNCTION("""COMPUTED_VALUE"""),"K/18/150425/1")</f>
        <v>K/18/150425/1</v>
      </c>
      <c r="C3538" s="42" t="str">
        <f>IFERROR(__xludf.DUMMYFUNCTION("""COMPUTED_VALUE"""),"M. 15419/SUKABUMI")</f>
        <v>M. 15419/SUKABUMI</v>
      </c>
      <c r="D3538" s="42" t="str">
        <f>IFERROR(__xludf.DUMMYFUNCTION("""COMPUTED_VALUE"""),"Berry")</f>
        <v>Berry</v>
      </c>
      <c r="E3538" s="42" t="str">
        <f>IFERROR(__xludf.DUMMYFUNCTION("""COMPUTED_VALUE"""),"DISERAHKAN")</f>
        <v>DISERAHKAN</v>
      </c>
      <c r="F3538" s="48">
        <f>IFERROR(__xludf.DUMMYFUNCTION("""COMPUTED_VALUE"""),45824.483040520834)</f>
        <v>45824.48304</v>
      </c>
      <c r="G3538" s="42" t="str">
        <f>IFERROR(__xludf.DUMMYFUNCTION("""COMPUTED_VALUE"""),"BN JUAL BELI")</f>
        <v>BN JUAL BELI</v>
      </c>
      <c r="H3538" s="42">
        <f t="shared" si="1"/>
        <v>1587</v>
      </c>
    </row>
    <row r="3539" ht="22.5" customHeight="1">
      <c r="B3539" s="42" t="str">
        <f>IFERROR(__xludf.DUMMYFUNCTION("""COMPUTED_VALUE"""),"L/20/150425/1")</f>
        <v>L/20/150425/1</v>
      </c>
      <c r="C3539" s="42" t="str">
        <f>IFERROR(__xludf.DUMMYFUNCTION("""COMPUTED_VALUE"""),"HM 2263/WAY KANDIS")</f>
        <v>HM 2263/WAY KANDIS</v>
      </c>
      <c r="D3539" s="42" t="str">
        <f>IFERROR(__xludf.DUMMYFUNCTION("""COMPUTED_VALUE"""),"Berry")</f>
        <v>Berry</v>
      </c>
      <c r="E3539" s="42" t="str">
        <f>IFERROR(__xludf.DUMMYFUNCTION("""COMPUTED_VALUE"""),"DISERAHKAN")</f>
        <v>DISERAHKAN</v>
      </c>
      <c r="F3539" s="48">
        <f>IFERROR(__xludf.DUMMYFUNCTION("""COMPUTED_VALUE"""),45799.52597481482)</f>
        <v>45799.52597</v>
      </c>
      <c r="G3539" s="42" t="str">
        <f>IFERROR(__xludf.DUMMYFUNCTION("""COMPUTED_VALUE"""),"ROYA")</f>
        <v>ROYA</v>
      </c>
      <c r="H3539" s="42">
        <f t="shared" si="1"/>
        <v>1588</v>
      </c>
    </row>
    <row r="3540" ht="22.5" customHeight="1">
      <c r="B3540" s="42" t="str">
        <f>IFERROR(__xludf.DUMMYFUNCTION("""COMPUTED_VALUE"""),"K/19/150425/2")</f>
        <v>K/19/150425/2</v>
      </c>
      <c r="C3540" s="42" t="str">
        <f>IFERROR(__xludf.DUMMYFUNCTION("""COMPUTED_VALUE"""),"M.1543/KEMILING RAYA")</f>
        <v>M.1543/KEMILING RAYA</v>
      </c>
      <c r="D3540" s="42" t="str">
        <f>IFERROR(__xludf.DUMMYFUNCTION("""COMPUTED_VALUE"""),"Berry")</f>
        <v>Berry</v>
      </c>
      <c r="E3540" s="42" t="str">
        <f>IFERROR(__xludf.DUMMYFUNCTION("""COMPUTED_VALUE"""),"DISERAHKAN")</f>
        <v>DISERAHKAN</v>
      </c>
      <c r="F3540" s="48">
        <f>IFERROR(__xludf.DUMMYFUNCTION("""COMPUTED_VALUE"""),45824.50287143519)</f>
        <v>45824.50287</v>
      </c>
      <c r="G3540" s="42" t="str">
        <f>IFERROR(__xludf.DUMMYFUNCTION("""COMPUTED_VALUE"""),"BN JUAL BELI")</f>
        <v>BN JUAL BELI</v>
      </c>
      <c r="H3540" s="42">
        <f t="shared" si="1"/>
        <v>1589</v>
      </c>
    </row>
    <row r="3541" ht="22.5" customHeight="1">
      <c r="B3541" s="42" t="str">
        <f>IFERROR(__xludf.DUMMYFUNCTION("""COMPUTED_VALUE"""),"L/21/150425/1")</f>
        <v>L/21/150425/1</v>
      </c>
      <c r="C3541" s="42" t="str">
        <f>IFERROR(__xludf.DUMMYFUNCTION("""COMPUTED_VALUE"""),"HM 9001/SURABAYA")</f>
        <v>HM 9001/SURABAYA</v>
      </c>
      <c r="D3541" s="42" t="str">
        <f>IFERROR(__xludf.DUMMYFUNCTION("""COMPUTED_VALUE"""),"David")</f>
        <v>David</v>
      </c>
      <c r="E3541" s="42" t="str">
        <f>IFERROR(__xludf.DUMMYFUNCTION("""COMPUTED_VALUE"""),"DISERAHKAN")</f>
        <v>DISERAHKAN</v>
      </c>
      <c r="F3541" s="48">
        <f>IFERROR(__xludf.DUMMYFUNCTION("""COMPUTED_VALUE"""),45804.680521145834)</f>
        <v>45804.68052</v>
      </c>
      <c r="G3541" s="42" t="str">
        <f>IFERROR(__xludf.DUMMYFUNCTION("""COMPUTED_VALUE"""),"ROYA WARIS")</f>
        <v>ROYA WARIS</v>
      </c>
      <c r="H3541" s="42">
        <f t="shared" si="1"/>
        <v>1590</v>
      </c>
    </row>
    <row r="3542" ht="22.5" customHeight="1">
      <c r="B3542" s="42" t="str">
        <f>IFERROR(__xludf.DUMMYFUNCTION("""COMPUTED_VALUE"""),"K/22/150425/1")</f>
        <v>K/22/150425/1</v>
      </c>
      <c r="C3542" s="42" t="str">
        <f>IFERROR(__xludf.DUMMYFUNCTION("""COMPUTED_VALUE"""),"M. 14621/ Rajabasa")</f>
        <v>M. 14621/ Rajabasa</v>
      </c>
      <c r="D3542" s="42"/>
      <c r="E3542" s="42" t="str">
        <f>IFERROR(__xludf.DUMMYFUNCTION("""COMPUTED_VALUE"""),"DISERAHKAN")</f>
        <v>DISERAHKAN</v>
      </c>
      <c r="F3542" s="48">
        <f>IFERROR(__xludf.DUMMYFUNCTION("""COMPUTED_VALUE"""),45771.41316309028)</f>
        <v>45771.41316</v>
      </c>
      <c r="G3542" s="42" t="str">
        <f>IFERROR(__xludf.DUMMYFUNCTION("""COMPUTED_VALUE"""),"Roya")</f>
        <v>Roya</v>
      </c>
      <c r="H3542" s="42">
        <f t="shared" si="1"/>
        <v>1591</v>
      </c>
    </row>
    <row r="3543" ht="22.5" customHeight="1">
      <c r="B3543" s="42" t="str">
        <f>IFERROR(__xludf.DUMMYFUNCTION("""COMPUTED_VALUE"""),"K/23/150425/1")</f>
        <v>K/23/150425/1</v>
      </c>
      <c r="C3543" s="42" t="str">
        <f>IFERROR(__xludf.DUMMYFUNCTION("""COMPUTED_VALUE"""),"M. 6458/ Way Kandis")</f>
        <v>M. 6458/ Way Kandis</v>
      </c>
      <c r="D3543" s="42" t="str">
        <f>IFERROR(__xludf.DUMMYFUNCTION("""COMPUTED_VALUE"""),"David")</f>
        <v>David</v>
      </c>
      <c r="E3543" s="42" t="str">
        <f>IFERROR(__xludf.DUMMYFUNCTION("""COMPUTED_VALUE"""),"DISERAHKAN")</f>
        <v>DISERAHKAN</v>
      </c>
      <c r="F3543" s="48">
        <f>IFERROR(__xludf.DUMMYFUNCTION("""COMPUTED_VALUE"""),45793.42126777778)</f>
        <v>45793.42127</v>
      </c>
      <c r="G3543" s="42" t="str">
        <f>IFERROR(__xludf.DUMMYFUNCTION("""COMPUTED_VALUE"""),"BN Jual Beli")</f>
        <v>BN Jual Beli</v>
      </c>
      <c r="H3543" s="42">
        <f t="shared" si="1"/>
        <v>1592</v>
      </c>
    </row>
    <row r="3544" ht="22.5" customHeight="1">
      <c r="B3544" s="42" t="str">
        <f>IFERROR(__xludf.DUMMYFUNCTION("""COMPUTED_VALUE"""),"K/24/150425/2")</f>
        <v>K/24/150425/2</v>
      </c>
      <c r="C3544" s="42" t="str">
        <f>IFERROR(__xludf.DUMMYFUNCTION("""COMPUTED_VALUE"""),"M. 2446/ Kedaung")</f>
        <v>M. 2446/ Kedaung</v>
      </c>
      <c r="D3544" s="42" t="str">
        <f>IFERROR(__xludf.DUMMYFUNCTION("""COMPUTED_VALUE"""),"Berry")</f>
        <v>Berry</v>
      </c>
      <c r="E3544" s="42" t="str">
        <f>IFERROR(__xludf.DUMMYFUNCTION("""COMPUTED_VALUE"""),"DISERAHKAN")</f>
        <v>DISERAHKAN</v>
      </c>
      <c r="F3544" s="48">
        <f>IFERROR(__xludf.DUMMYFUNCTION("""COMPUTED_VALUE"""),45791.66016590278)</f>
        <v>45791.66017</v>
      </c>
      <c r="G3544" s="42" t="str">
        <f>IFERROR(__xludf.DUMMYFUNCTION("""COMPUTED_VALUE"""),"BN Jual Beli")</f>
        <v>BN Jual Beli</v>
      </c>
      <c r="H3544" s="42">
        <f t="shared" si="1"/>
        <v>1593</v>
      </c>
    </row>
    <row r="3545" ht="22.5" customHeight="1">
      <c r="B3545" s="42" t="str">
        <f>IFERROR(__xludf.DUMMYFUNCTION("""COMPUTED_VALUE"""),"K/25/150425/1")</f>
        <v>K/25/150425/1</v>
      </c>
      <c r="C3545" s="42" t="str">
        <f>IFERROR(__xludf.DUMMYFUNCTION("""COMPUTED_VALUE"""),"M. 1156/ Perumnas Way Kandis")</f>
        <v>M. 1156/ Perumnas Way Kandis</v>
      </c>
      <c r="D3545" s="42" t="str">
        <f>IFERROR(__xludf.DUMMYFUNCTION("""COMPUTED_VALUE"""),"Berry")</f>
        <v>Berry</v>
      </c>
      <c r="E3545" s="42" t="str">
        <f>IFERROR(__xludf.DUMMYFUNCTION("""COMPUTED_VALUE"""),"DISERAHKAN")</f>
        <v>DISERAHKAN</v>
      </c>
      <c r="F3545" s="48">
        <f>IFERROR(__xludf.DUMMYFUNCTION("""COMPUTED_VALUE"""),45812.596663275464)</f>
        <v>45812.59666</v>
      </c>
      <c r="G3545" s="42" t="str">
        <f>IFERROR(__xludf.DUMMYFUNCTION("""COMPUTED_VALUE"""),"BN Jual Beli")</f>
        <v>BN Jual Beli</v>
      </c>
      <c r="H3545" s="42">
        <f t="shared" si="1"/>
        <v>1594</v>
      </c>
    </row>
    <row r="3546" ht="22.5" customHeight="1">
      <c r="B3546" s="42" t="str">
        <f>IFERROR(__xludf.DUMMYFUNCTION("""COMPUTED_VALUE"""),"K/26/150425/1")</f>
        <v>K/26/150425/1</v>
      </c>
      <c r="C3546" s="42" t="str">
        <f>IFERROR(__xludf.DUMMYFUNCTION("""COMPUTED_VALUE"""),"M.262/CAMPANG JAYA")</f>
        <v>M.262/CAMPANG JAYA</v>
      </c>
      <c r="D3546" s="42"/>
      <c r="E3546" s="42"/>
      <c r="F3546" s="48" t="str">
        <f>IFERROR(__xludf.DUMMYFUNCTION("""COMPUTED_VALUE"""),"")</f>
        <v/>
      </c>
      <c r="G3546" s="42" t="str">
        <f>IFERROR(__xludf.DUMMYFUNCTION("""COMPUTED_VALUE"""),"JUAL BELI")</f>
        <v>JUAL BELI</v>
      </c>
      <c r="H3546" s="42">
        <f t="shared" si="1"/>
        <v>1594</v>
      </c>
    </row>
    <row r="3547" ht="22.5" customHeight="1">
      <c r="B3547" s="42" t="str">
        <f>IFERROR(__xludf.DUMMYFUNCTION("""COMPUTED_VALUE"""),"K/27/150425/1")</f>
        <v>K/27/150425/1</v>
      </c>
      <c r="C3547" s="42" t="str">
        <f>IFERROR(__xludf.DUMMYFUNCTION("""COMPUTED_VALUE"""),"NIBEL B 19370/PINANG JAYA")</f>
        <v>NIBEL B 19370/PINANG JAYA</v>
      </c>
      <c r="D3547" s="42"/>
      <c r="E3547" s="42"/>
      <c r="F3547" s="48" t="str">
        <f>IFERROR(__xludf.DUMMYFUNCTION("""COMPUTED_VALUE"""),"")</f>
        <v/>
      </c>
      <c r="G3547" s="42" t="str">
        <f>IFERROR(__xludf.DUMMYFUNCTION("""COMPUTED_VALUE"""),"PENINGKATAN")</f>
        <v>PENINGKATAN</v>
      </c>
      <c r="H3547" s="42">
        <f t="shared" si="1"/>
        <v>1594</v>
      </c>
    </row>
    <row r="3548" ht="22.5" customHeight="1">
      <c r="B3548" s="42" t="str">
        <f>IFERROR(__xludf.DUMMYFUNCTION("""COMPUTED_VALUE"""),"K/29/150425/1")</f>
        <v>K/29/150425/1</v>
      </c>
      <c r="C3548" s="42" t="str">
        <f>IFERROR(__xludf.DUMMYFUNCTION("""COMPUTED_VALUE"""),"Nibel. M. 19150/ Bakung")</f>
        <v>Nibel. M. 19150/ Bakung</v>
      </c>
      <c r="D3548" s="42"/>
      <c r="E3548" s="42"/>
      <c r="F3548" s="48" t="str">
        <f>IFERROR(__xludf.DUMMYFUNCTION("""COMPUTED_VALUE"""),"")</f>
        <v/>
      </c>
      <c r="G3548" s="42" t="str">
        <f>IFERROR(__xludf.DUMMYFUNCTION("""COMPUTED_VALUE"""),"BN Jual Beli")</f>
        <v>BN Jual Beli</v>
      </c>
      <c r="H3548" s="42">
        <f t="shared" si="1"/>
        <v>1594</v>
      </c>
    </row>
    <row r="3549" ht="22.5" customHeight="1">
      <c r="B3549" s="42" t="str">
        <f>IFERROR(__xludf.DUMMYFUNCTION("""COMPUTED_VALUE"""),"L/30/150425/1")</f>
        <v>L/30/150425/1</v>
      </c>
      <c r="C3549" s="42" t="str">
        <f>IFERROR(__xludf.DUMMYFUNCTION("""COMPUTED_VALUE"""),"HM 2653/KEMILING PERMAI")</f>
        <v>HM 2653/KEMILING PERMAI</v>
      </c>
      <c r="D3549" s="42" t="str">
        <f>IFERROR(__xludf.DUMMYFUNCTION("""COMPUTED_VALUE"""),"David")</f>
        <v>David</v>
      </c>
      <c r="E3549" s="42" t="str">
        <f>IFERROR(__xludf.DUMMYFUNCTION("""COMPUTED_VALUE"""),"DISERAHKAN")</f>
        <v>DISERAHKAN</v>
      </c>
      <c r="F3549" s="48">
        <f>IFERROR(__xludf.DUMMYFUNCTION("""COMPUTED_VALUE"""),45793.46903047454)</f>
        <v>45793.46903</v>
      </c>
      <c r="G3549" s="42" t="str">
        <f>IFERROR(__xludf.DUMMYFUNCTION("""COMPUTED_VALUE"""),"ROYA")</f>
        <v>ROYA</v>
      </c>
      <c r="H3549" s="42">
        <f t="shared" si="1"/>
        <v>1595</v>
      </c>
    </row>
    <row r="3550" ht="22.5" customHeight="1">
      <c r="B3550" s="42" t="str">
        <f>IFERROR(__xludf.DUMMYFUNCTION("""COMPUTED_VALUE"""),"K/31/150425/1")</f>
        <v>K/31/150425/1</v>
      </c>
      <c r="C3550" s="42" t="str">
        <f>IFERROR(__xludf.DUMMYFUNCTION("""COMPUTED_VALUE"""),"M. 3675/ Tanjung Seneng")</f>
        <v>M. 3675/ Tanjung Seneng</v>
      </c>
      <c r="D3550" s="42" t="str">
        <f>IFERROR(__xludf.DUMMYFUNCTION("""COMPUTED_VALUE"""),"Berry")</f>
        <v>Berry</v>
      </c>
      <c r="E3550" s="42" t="str">
        <f>IFERROR(__xludf.DUMMYFUNCTION("""COMPUTED_VALUE"""),"DISERAHKAN")</f>
        <v>DISERAHKAN</v>
      </c>
      <c r="F3550" s="48">
        <f>IFERROR(__xludf.DUMMYFUNCTION("""COMPUTED_VALUE"""),45796.474246921294)</f>
        <v>45796.47425</v>
      </c>
      <c r="G3550" s="42" t="str">
        <f>IFERROR(__xludf.DUMMYFUNCTION("""COMPUTED_VALUE"""),"BN HIBAH")</f>
        <v>BN HIBAH</v>
      </c>
      <c r="H3550" s="42">
        <f t="shared" si="1"/>
        <v>1596</v>
      </c>
    </row>
    <row r="3551" ht="22.5" customHeight="1">
      <c r="B3551" s="42" t="str">
        <f>IFERROR(__xludf.DUMMYFUNCTION("""COMPUTED_VALUE"""),"L/32/150425/1")</f>
        <v>L/32/150425/1</v>
      </c>
      <c r="C3551" s="42" t="str">
        <f>IFERROR(__xludf.DUMMYFUNCTION("""COMPUTED_VALUE"""),"WAY KANDIS")</f>
        <v>WAY KANDIS</v>
      </c>
      <c r="D3551" s="42"/>
      <c r="E3551" s="42"/>
      <c r="F3551" s="48" t="str">
        <f>IFERROR(__xludf.DUMMYFUNCTION("""COMPUTED_VALUE"""),"")</f>
        <v/>
      </c>
      <c r="G3551" s="42" t="str">
        <f>IFERROR(__xludf.DUMMYFUNCTION("""COMPUTED_VALUE"""),"PERMOHONAN SK")</f>
        <v>PERMOHONAN SK</v>
      </c>
      <c r="H3551" s="42">
        <f t="shared" si="1"/>
        <v>1596</v>
      </c>
    </row>
    <row r="3552" ht="22.5" customHeight="1">
      <c r="B3552" s="42" t="str">
        <f>IFERROR(__xludf.DUMMYFUNCTION("""COMPUTED_VALUE"""),"K/33/150425/1")</f>
        <v>K/33/150425/1</v>
      </c>
      <c r="C3552" s="42" t="str">
        <f>IFERROR(__xludf.DUMMYFUNCTION("""COMPUTED_VALUE"""),"M. 250/ Sukajawa Baru")</f>
        <v>M. 250/ Sukajawa Baru</v>
      </c>
      <c r="D3552" s="42"/>
      <c r="E3552" s="42"/>
      <c r="F3552" s="48" t="str">
        <f>IFERROR(__xludf.DUMMYFUNCTION("""COMPUTED_VALUE"""),"")</f>
        <v/>
      </c>
      <c r="G3552" s="42" t="str">
        <f>IFERROR(__xludf.DUMMYFUNCTION("""COMPUTED_VALUE"""),"PTPGT (Pemecahan)")</f>
        <v>PTPGT (Pemecahan)</v>
      </c>
      <c r="H3552" s="42">
        <f t="shared" si="1"/>
        <v>1596</v>
      </c>
    </row>
    <row r="3553" ht="22.5" customHeight="1">
      <c r="B3553" s="42" t="str">
        <f>IFERROR(__xludf.DUMMYFUNCTION("""COMPUTED_VALUE"""),"L/1/160425/1")</f>
        <v>L/1/160425/1</v>
      </c>
      <c r="C3553" s="42" t="str">
        <f>IFERROR(__xludf.DUMMYFUNCTION("""COMPUTED_VALUE"""),"TANJUNG AGUNG")</f>
        <v>TANJUNG AGUNG</v>
      </c>
      <c r="D3553" s="42"/>
      <c r="E3553" s="42"/>
      <c r="F3553" s="48" t="str">
        <f>IFERROR(__xludf.DUMMYFUNCTION("""COMPUTED_VALUE"""),"")</f>
        <v/>
      </c>
      <c r="G3553" s="42" t="str">
        <f>IFERROR(__xludf.DUMMYFUNCTION("""COMPUTED_VALUE"""),"ASPEK")</f>
        <v>ASPEK</v>
      </c>
      <c r="H3553" s="42">
        <f t="shared" si="1"/>
        <v>1596</v>
      </c>
    </row>
    <row r="3554" ht="22.5" customHeight="1">
      <c r="B3554" s="42" t="str">
        <f>IFERROR(__xludf.DUMMYFUNCTION("""COMPUTED_VALUE"""),"K/2/160425/1")</f>
        <v>K/2/160425/1</v>
      </c>
      <c r="C3554" s="42" t="str">
        <f>IFERROR(__xludf.DUMMYFUNCTION("""COMPUTED_VALUE"""),"M. 587/ Pematang Wangi")</f>
        <v>M. 587/ Pematang Wangi</v>
      </c>
      <c r="D3554" s="42"/>
      <c r="E3554" s="42"/>
      <c r="F3554" s="48" t="str">
        <f>IFERROR(__xludf.DUMMYFUNCTION("""COMPUTED_VALUE"""),"")</f>
        <v/>
      </c>
      <c r="G3554" s="42" t="str">
        <f>IFERROR(__xludf.DUMMYFUNCTION("""COMPUTED_VALUE"""),"SKPT Lelang")</f>
        <v>SKPT Lelang</v>
      </c>
      <c r="H3554" s="42">
        <f t="shared" si="1"/>
        <v>1596</v>
      </c>
    </row>
    <row r="3555" ht="22.5" customHeight="1">
      <c r="B3555" s="42" t="str">
        <f>IFERROR(__xludf.DUMMYFUNCTION("""COMPUTED_VALUE"""),"K/3/160425/1")</f>
        <v>K/3/160425/1</v>
      </c>
      <c r="C3555" s="42" t="str">
        <f>IFERROR(__xludf.DUMMYFUNCTION("""COMPUTED_VALUE"""),"M. 884/ bakung")</f>
        <v>M. 884/ bakung</v>
      </c>
      <c r="D3555" s="42"/>
      <c r="E3555" s="42"/>
      <c r="F3555" s="48" t="str">
        <f>IFERROR(__xludf.DUMMYFUNCTION("""COMPUTED_VALUE"""),"")</f>
        <v/>
      </c>
      <c r="G3555" s="42" t="str">
        <f>IFERROR(__xludf.DUMMYFUNCTION("""COMPUTED_VALUE"""),"PTPGT PEMECAHAN")</f>
        <v>PTPGT PEMECAHAN</v>
      </c>
      <c r="H3555" s="42">
        <f t="shared" si="1"/>
        <v>1596</v>
      </c>
    </row>
    <row r="3556" ht="22.5" customHeight="1">
      <c r="B3556" s="42" t="str">
        <f>IFERROR(__xludf.DUMMYFUNCTION("""COMPUTED_VALUE"""),"L/4/160425/1")</f>
        <v>L/4/160425/1</v>
      </c>
      <c r="C3556" s="42" t="str">
        <f>IFERROR(__xludf.DUMMYFUNCTION("""COMPUTED_VALUE"""),"HGB 2199/SUKARAME")</f>
        <v>HGB 2199/SUKARAME</v>
      </c>
      <c r="D3556" s="42"/>
      <c r="E3556" s="42"/>
      <c r="F3556" s="48" t="str">
        <f>IFERROR(__xludf.DUMMYFUNCTION("""COMPUTED_VALUE"""),"")</f>
        <v/>
      </c>
      <c r="G3556" s="42" t="str">
        <f>IFERROR(__xludf.DUMMYFUNCTION("""COMPUTED_VALUE"""),"PH")</f>
        <v>PH</v>
      </c>
      <c r="H3556" s="42">
        <f t="shared" si="1"/>
        <v>1596</v>
      </c>
    </row>
    <row r="3557" ht="22.5" customHeight="1">
      <c r="B3557" s="42" t="str">
        <f>IFERROR(__xludf.DUMMYFUNCTION("""COMPUTED_VALUE"""),"L/5/160425/1")</f>
        <v>L/5/160425/1</v>
      </c>
      <c r="C3557" s="42" t="str">
        <f>IFERROR(__xludf.DUMMYFUNCTION("""COMPUTED_VALUE"""),"HM 1498/WAY LUNIK")</f>
        <v>HM 1498/WAY LUNIK</v>
      </c>
      <c r="D3557" s="42" t="str">
        <f>IFERROR(__xludf.DUMMYFUNCTION("""COMPUTED_VALUE"""),"Berry")</f>
        <v>Berry</v>
      </c>
      <c r="E3557" s="42" t="str">
        <f>IFERROR(__xludf.DUMMYFUNCTION("""COMPUTED_VALUE"""),"DISERAHKAN")</f>
        <v>DISERAHKAN</v>
      </c>
      <c r="F3557" s="48">
        <f>IFERROR(__xludf.DUMMYFUNCTION("""COMPUTED_VALUE"""),45799.526477974534)</f>
        <v>45799.52648</v>
      </c>
      <c r="G3557" s="42" t="str">
        <f>IFERROR(__xludf.DUMMYFUNCTION("""COMPUTED_VALUE"""),"MARUHUM HUTAPEA")</f>
        <v>MARUHUM HUTAPEA</v>
      </c>
      <c r="H3557" s="42">
        <f t="shared" si="1"/>
        <v>1597</v>
      </c>
    </row>
    <row r="3558" ht="22.5" customHeight="1">
      <c r="B3558" s="42" t="str">
        <f>IFERROR(__xludf.DUMMYFUNCTION("""COMPUTED_VALUE"""),"K/28/150425/1")</f>
        <v>K/28/150425/1</v>
      </c>
      <c r="C3558" s="42" t="str">
        <f>IFERROR(__xludf.DUMMYFUNCTION("""COMPUTED_VALUE"""),"B. 1494/KEMILING PERMAI")</f>
        <v>B. 1494/KEMILING PERMAI</v>
      </c>
      <c r="D3558" s="42" t="str">
        <f>IFERROR(__xludf.DUMMYFUNCTION("""COMPUTED_VALUE"""),"Berry")</f>
        <v>Berry</v>
      </c>
      <c r="E3558" s="42" t="str">
        <f>IFERROR(__xludf.DUMMYFUNCTION("""COMPUTED_VALUE"""),"DISERAHKAN")</f>
        <v>DISERAHKAN</v>
      </c>
      <c r="F3558" s="48">
        <f>IFERROR(__xludf.DUMMYFUNCTION("""COMPUTED_VALUE"""),45819.790866678246)</f>
        <v>45819.79087</v>
      </c>
      <c r="G3558" s="42" t="str">
        <f>IFERROR(__xludf.DUMMYFUNCTION("""COMPUTED_VALUE"""),"BN WARIS")</f>
        <v>BN WARIS</v>
      </c>
      <c r="H3558" s="42">
        <f t="shared" si="1"/>
        <v>1598</v>
      </c>
    </row>
    <row r="3559" ht="22.5" customHeight="1">
      <c r="B3559" s="42" t="str">
        <f>IFERROR(__xludf.DUMMYFUNCTION("""COMPUTED_VALUE"""),"K/6/160425/1")</f>
        <v>K/6/160425/1</v>
      </c>
      <c r="C3559" s="42" t="str">
        <f>IFERROR(__xludf.DUMMYFUNCTION("""COMPUTED_VALUE"""),"M. 3407/TANJUNG SENANG ")</f>
        <v>M. 3407/TANJUNG SENANG </v>
      </c>
      <c r="D3559" s="42"/>
      <c r="E3559" s="42"/>
      <c r="F3559" s="48" t="str">
        <f>IFERROR(__xludf.DUMMYFUNCTION("""COMPUTED_VALUE"""),"")</f>
        <v/>
      </c>
      <c r="G3559" s="42" t="str">
        <f>IFERROR(__xludf.DUMMYFUNCTION("""COMPUTED_VALUE"""),"PTPGT")</f>
        <v>PTPGT</v>
      </c>
      <c r="H3559" s="42">
        <f t="shared" si="1"/>
        <v>1598</v>
      </c>
    </row>
    <row r="3560" ht="22.5" customHeight="1">
      <c r="B3560" s="42" t="str">
        <f>IFERROR(__xludf.DUMMYFUNCTION("""COMPUTED_VALUE"""),"K/7/160425/1")</f>
        <v>K/7/160425/1</v>
      </c>
      <c r="C3560" s="42" t="str">
        <f>IFERROR(__xludf.DUMMYFUNCTION("""COMPUTED_VALUE"""),"B. 1240/ Way Halim Permai")</f>
        <v>B. 1240/ Way Halim Permai</v>
      </c>
      <c r="D3560" s="42" t="str">
        <f>IFERROR(__xludf.DUMMYFUNCTION("""COMPUTED_VALUE"""),"David")</f>
        <v>David</v>
      </c>
      <c r="E3560" s="42" t="str">
        <f>IFERROR(__xludf.DUMMYFUNCTION("""COMPUTED_VALUE"""),"DISERAHKAN")</f>
        <v>DISERAHKAN</v>
      </c>
      <c r="F3560" s="48">
        <f>IFERROR(__xludf.DUMMYFUNCTION("""COMPUTED_VALUE"""),45825.662595208334)</f>
        <v>45825.6626</v>
      </c>
      <c r="G3560" s="42" t="str">
        <f>IFERROR(__xludf.DUMMYFUNCTION("""COMPUTED_VALUE"""),"ROYA")</f>
        <v>ROYA</v>
      </c>
      <c r="H3560" s="42">
        <f t="shared" si="1"/>
        <v>1599</v>
      </c>
    </row>
    <row r="3561" ht="22.5" customHeight="1">
      <c r="B3561" s="42" t="str">
        <f>IFERROR(__xludf.DUMMYFUNCTION("""COMPUTED_VALUE"""),"K/9/160425/1")</f>
        <v>K/9/160425/1</v>
      </c>
      <c r="C3561" s="42" t="str">
        <f>IFERROR(__xludf.DUMMYFUNCTION("""COMPUTED_VALUE"""),"M.6543/WAY KANDIS ")</f>
        <v>M.6543/WAY KANDIS </v>
      </c>
      <c r="D3561" s="42" t="str">
        <f>IFERROR(__xludf.DUMMYFUNCTION("""COMPUTED_VALUE"""),"Berry")</f>
        <v>Berry</v>
      </c>
      <c r="E3561" s="42" t="str">
        <f>IFERROR(__xludf.DUMMYFUNCTION("""COMPUTED_VALUE"""),"DISERAHKAN")</f>
        <v>DISERAHKAN</v>
      </c>
      <c r="F3561" s="48">
        <f>IFERROR(__xludf.DUMMYFUNCTION("""COMPUTED_VALUE"""),45805.68263737268)</f>
        <v>45805.68264</v>
      </c>
      <c r="G3561" s="42" t="str">
        <f>IFERROR(__xludf.DUMMYFUNCTION("""COMPUTED_VALUE"""),"JUAL BELI")</f>
        <v>JUAL BELI</v>
      </c>
      <c r="H3561" s="42">
        <f t="shared" si="1"/>
        <v>1600</v>
      </c>
    </row>
    <row r="3562" ht="22.5" customHeight="1">
      <c r="B3562" s="42" t="str">
        <f>IFERROR(__xludf.DUMMYFUNCTION("""COMPUTED_VALUE"""),"L/8/160425/1")</f>
        <v>L/8/160425/1</v>
      </c>
      <c r="C3562" s="42" t="str">
        <f>IFERROR(__xludf.DUMMYFUNCTION("""COMPUTED_VALUE"""),"HM 149/KEMILING RAYA")</f>
        <v>HM 149/KEMILING RAYA</v>
      </c>
      <c r="D3562" s="42"/>
      <c r="E3562" s="42" t="str">
        <f>IFERROR(__xludf.DUMMYFUNCTION("""COMPUTED_VALUE"""),"DISERAHKAN")</f>
        <v>DISERAHKAN</v>
      </c>
      <c r="F3562" s="48">
        <f>IFERROR(__xludf.DUMMYFUNCTION("""COMPUTED_VALUE"""),45783.492402557866)</f>
        <v>45783.4924</v>
      </c>
      <c r="G3562" s="42" t="str">
        <f>IFERROR(__xludf.DUMMYFUNCTION("""COMPUTED_VALUE"""),"SELVI DIANA MEILINDA")</f>
        <v>SELVI DIANA MEILINDA</v>
      </c>
      <c r="H3562" s="42">
        <f t="shared" si="1"/>
        <v>1601</v>
      </c>
    </row>
    <row r="3563" ht="22.5" customHeight="1">
      <c r="B3563" s="42" t="str">
        <f>IFERROR(__xludf.DUMMYFUNCTION("""COMPUTED_VALUE"""),"K/10/160425/1")</f>
        <v>K/10/160425/1</v>
      </c>
      <c r="C3563" s="42" t="str">
        <f>IFERROR(__xludf.DUMMYFUNCTION("""COMPUTED_VALUE"""),"B. 27/ korpri jaya")</f>
        <v>B. 27/ korpri jaya</v>
      </c>
      <c r="D3563" s="42" t="str">
        <f>IFERROR(__xludf.DUMMYFUNCTION("""COMPUTED_VALUE"""),"David")</f>
        <v>David</v>
      </c>
      <c r="E3563" s="42" t="str">
        <f>IFERROR(__xludf.DUMMYFUNCTION("""COMPUTED_VALUE"""),"DISERAHKAN")</f>
        <v>DISERAHKAN</v>
      </c>
      <c r="F3563" s="48">
        <f>IFERROR(__xludf.DUMMYFUNCTION("""COMPUTED_VALUE"""),45793.41660167824)</f>
        <v>45793.4166</v>
      </c>
      <c r="G3563" s="42" t="str">
        <f>IFERROR(__xludf.DUMMYFUNCTION("""COMPUTED_VALUE"""),"BN JUAL BELI")</f>
        <v>BN JUAL BELI</v>
      </c>
      <c r="H3563" s="42">
        <f t="shared" si="1"/>
        <v>1602</v>
      </c>
    </row>
    <row r="3564" ht="22.5" customHeight="1">
      <c r="B3564" s="42" t="str">
        <f>IFERROR(__xludf.DUMMYFUNCTION("""COMPUTED_VALUE"""),"K/12/160425/1")</f>
        <v>K/12/160425/1</v>
      </c>
      <c r="C3564" s="42" t="str">
        <f>IFERROR(__xludf.DUMMYFUNCTION("""COMPUTED_VALUE"""),"M. 13489/KEDAMAIAN")</f>
        <v>M. 13489/KEDAMAIAN</v>
      </c>
      <c r="D3564" s="42" t="str">
        <f>IFERROR(__xludf.DUMMYFUNCTION("""COMPUTED_VALUE"""),"Berry")</f>
        <v>Berry</v>
      </c>
      <c r="E3564" s="42" t="str">
        <f>IFERROR(__xludf.DUMMYFUNCTION("""COMPUTED_VALUE"""),"DISERAHKAN")</f>
        <v>DISERAHKAN</v>
      </c>
      <c r="F3564" s="48">
        <f>IFERROR(__xludf.DUMMYFUNCTION("""COMPUTED_VALUE"""),45799.51998216435)</f>
        <v>45799.51998</v>
      </c>
      <c r="G3564" s="42" t="str">
        <f>IFERROR(__xludf.DUMMYFUNCTION("""COMPUTED_VALUE"""),"ROYA")</f>
        <v>ROYA</v>
      </c>
      <c r="H3564" s="42">
        <f t="shared" si="1"/>
        <v>1603</v>
      </c>
    </row>
    <row r="3565" ht="22.5" customHeight="1">
      <c r="B3565" s="42" t="str">
        <f>IFERROR(__xludf.DUMMYFUNCTION("""COMPUTED_VALUE"""),"K/14/160425/1")</f>
        <v>K/14/160425/1</v>
      </c>
      <c r="C3565" s="42" t="str">
        <f>IFERROR(__xludf.DUMMYFUNCTION("""COMPUTED_VALUE"""),"M. 328/ Bumi Kedamaian")</f>
        <v>M. 328/ Bumi Kedamaian</v>
      </c>
      <c r="D3565" s="42"/>
      <c r="E3565" s="42" t="str">
        <f>IFERROR(__xludf.DUMMYFUNCTION("""COMPUTED_VALUE"""),"DISERAHKAN")</f>
        <v>DISERAHKAN</v>
      </c>
      <c r="F3565" s="48">
        <f>IFERROR(__xludf.DUMMYFUNCTION("""COMPUTED_VALUE"""),45771.41262179398)</f>
        <v>45771.41262</v>
      </c>
      <c r="G3565" s="42" t="str">
        <f>IFERROR(__xludf.DUMMYFUNCTION("""COMPUTED_VALUE"""),"Roya")</f>
        <v>Roya</v>
      </c>
      <c r="H3565" s="42">
        <f t="shared" si="1"/>
        <v>1604</v>
      </c>
    </row>
    <row r="3566" ht="22.5" customHeight="1">
      <c r="B3566" s="42" t="str">
        <f>IFERROR(__xludf.DUMMYFUNCTION("""COMPUTED_VALUE"""),"K/11/160425/1")</f>
        <v>K/11/160425/1</v>
      </c>
      <c r="C3566" s="42" t="str">
        <f>IFERROR(__xludf.DUMMYFUNCTION("""COMPUTED_VALUE"""),"Nibel. M. 17300/ Rajabasa Nunyai")</f>
        <v>Nibel. M. 17300/ Rajabasa Nunyai</v>
      </c>
      <c r="D3566" s="42"/>
      <c r="E3566" s="42"/>
      <c r="F3566" s="48" t="str">
        <f>IFERROR(__xludf.DUMMYFUNCTION("""COMPUTED_VALUE"""),"")</f>
        <v/>
      </c>
      <c r="G3566" s="42" t="str">
        <f>IFERROR(__xludf.DUMMYFUNCTION("""COMPUTED_VALUE"""),"BN Jual Beli")</f>
        <v>BN Jual Beli</v>
      </c>
      <c r="H3566" s="42">
        <f t="shared" si="1"/>
        <v>1604</v>
      </c>
    </row>
    <row r="3567" ht="22.5" customHeight="1">
      <c r="B3567" s="42" t="str">
        <f>IFERROR(__xludf.DUMMYFUNCTION("""COMPUTED_VALUE"""),"K/13/160425/2")</f>
        <v>K/13/160425/2</v>
      </c>
      <c r="C3567" s="42" t="str">
        <f>IFERROR(__xludf.DUMMYFUNCTION("""COMPUTED_VALUE"""),"M. 13771/LABUHAN RATU")</f>
        <v>M. 13771/LABUHAN RATU</v>
      </c>
      <c r="D3567" s="42" t="str">
        <f>IFERROR(__xludf.DUMMYFUNCTION("""COMPUTED_VALUE"""),"Berry")</f>
        <v>Berry</v>
      </c>
      <c r="E3567" s="42" t="str">
        <f>IFERROR(__xludf.DUMMYFUNCTION("""COMPUTED_VALUE"""),"DISERAHKAN")</f>
        <v>DISERAHKAN</v>
      </c>
      <c r="F3567" s="48">
        <f>IFERROR(__xludf.DUMMYFUNCTION("""COMPUTED_VALUE"""),45799.52558920139)</f>
        <v>45799.52559</v>
      </c>
      <c r="G3567" s="42" t="str">
        <f>IFERROR(__xludf.DUMMYFUNCTION("""COMPUTED_VALUE"""),"ROYA")</f>
        <v>ROYA</v>
      </c>
      <c r="H3567" s="42">
        <f t="shared" si="1"/>
        <v>1605</v>
      </c>
    </row>
    <row r="3568" ht="22.5" customHeight="1">
      <c r="B3568" s="42" t="str">
        <f>IFERROR(__xludf.DUMMYFUNCTION("""COMPUTED_VALUE"""),"K/15/160425/1")</f>
        <v>K/15/160425/1</v>
      </c>
      <c r="C3568" s="42" t="str">
        <f>IFERROR(__xludf.DUMMYFUNCTION("""COMPUTED_VALUE"""),"Nibel 2324/ Rawa Laut")</f>
        <v>Nibel 2324/ Rawa Laut</v>
      </c>
      <c r="D3568" s="42"/>
      <c r="E3568" s="42"/>
      <c r="F3568" s="48" t="str">
        <f>IFERROR(__xludf.DUMMYFUNCTION("""COMPUTED_VALUE"""),"")</f>
        <v/>
      </c>
      <c r="G3568" s="42" t="str">
        <f>IFERROR(__xludf.DUMMYFUNCTION("""COMPUTED_VALUE"""),"BN HIBAH")</f>
        <v>BN HIBAH</v>
      </c>
      <c r="H3568" s="42">
        <f t="shared" si="1"/>
        <v>1605</v>
      </c>
    </row>
    <row r="3569" ht="22.5" customHeight="1">
      <c r="B3569" s="42" t="str">
        <f>IFERROR(__xludf.DUMMYFUNCTION("""COMPUTED_VALUE"""),"K/16/160425/1")</f>
        <v>K/16/160425/1</v>
      </c>
      <c r="C3569" s="42" t="str">
        <f>IFERROR(__xludf.DUMMYFUNCTION("""COMPUTED_VALUE"""),"M. 12428/ Jagabaya II")</f>
        <v>M. 12428/ Jagabaya II</v>
      </c>
      <c r="D3569" s="42"/>
      <c r="E3569" s="42"/>
      <c r="F3569" s="48" t="str">
        <f>IFERROR(__xludf.DUMMYFUNCTION("""COMPUTED_VALUE"""),"")</f>
        <v/>
      </c>
      <c r="G3569" s="42" t="str">
        <f>IFERROR(__xludf.DUMMYFUNCTION("""COMPUTED_VALUE"""),"BN Jual Beli")</f>
        <v>BN Jual Beli</v>
      </c>
      <c r="H3569" s="42">
        <f t="shared" si="1"/>
        <v>1605</v>
      </c>
    </row>
    <row r="3570" ht="22.5" customHeight="1">
      <c r="B3570" s="42" t="str">
        <f>IFERROR(__xludf.DUMMYFUNCTION("""COMPUTED_VALUE"""),"K/17/160425/1")</f>
        <v>K/17/160425/1</v>
      </c>
      <c r="C3570" s="42" t="str">
        <f>IFERROR(__xludf.DUMMYFUNCTION("""COMPUTED_VALUE"""),"M. 178/WAY LAGA")</f>
        <v>M. 178/WAY LAGA</v>
      </c>
      <c r="D3570" s="42"/>
      <c r="E3570" s="42"/>
      <c r="F3570" s="48" t="str">
        <f>IFERROR(__xludf.DUMMYFUNCTION("""COMPUTED_VALUE"""),"")</f>
        <v/>
      </c>
      <c r="G3570" s="42" t="str">
        <f>IFERROR(__xludf.DUMMYFUNCTION("""COMPUTED_VALUE"""),"GANTI NAMA")</f>
        <v>GANTI NAMA</v>
      </c>
      <c r="H3570" s="42">
        <f t="shared" si="1"/>
        <v>1605</v>
      </c>
    </row>
    <row r="3571" ht="22.5" customHeight="1">
      <c r="B3571" s="42" t="str">
        <f>IFERROR(__xludf.DUMMYFUNCTION("""COMPUTED_VALUE"""),"K/19/160425/1")</f>
        <v>K/19/160425/1</v>
      </c>
      <c r="C3571" s="42" t="str">
        <f>IFERROR(__xludf.DUMMYFUNCTION("""COMPUTED_VALUE"""),"Nibel. M. 18752/ Labuhan Ratu Raya")</f>
        <v>Nibel. M. 18752/ Labuhan Ratu Raya</v>
      </c>
      <c r="D3571" s="42"/>
      <c r="E3571" s="42"/>
      <c r="F3571" s="48" t="str">
        <f>IFERROR(__xludf.DUMMYFUNCTION("""COMPUTED_VALUE"""),"")</f>
        <v/>
      </c>
      <c r="G3571" s="42" t="str">
        <f>IFERROR(__xludf.DUMMYFUNCTION("""COMPUTED_VALUE"""),"BN Jual Beli")</f>
        <v>BN Jual Beli</v>
      </c>
      <c r="H3571" s="42">
        <f t="shared" si="1"/>
        <v>1605</v>
      </c>
    </row>
    <row r="3572" ht="22.5" customHeight="1">
      <c r="B3572" s="42" t="str">
        <f>IFERROR(__xludf.DUMMYFUNCTION("""COMPUTED_VALUE"""),"K/23/160425/1")</f>
        <v>K/23/160425/1</v>
      </c>
      <c r="C3572" s="42" t="str">
        <f>IFERROR(__xludf.DUMMYFUNCTION("""COMPUTED_VALUE"""),"M. 91/ Gunung Agung")</f>
        <v>M. 91/ Gunung Agung</v>
      </c>
      <c r="D3572" s="42" t="str">
        <f>IFERROR(__xludf.DUMMYFUNCTION("""COMPUTED_VALUE"""),"Berry")</f>
        <v>Berry</v>
      </c>
      <c r="E3572" s="42" t="str">
        <f>IFERROR(__xludf.DUMMYFUNCTION("""COMPUTED_VALUE"""),"DISERAHKAN")</f>
        <v>DISERAHKAN</v>
      </c>
      <c r="F3572" s="48">
        <f>IFERROR(__xludf.DUMMYFUNCTION("""COMPUTED_VALUE"""),45792.476223680555)</f>
        <v>45792.47622</v>
      </c>
      <c r="G3572" s="42" t="str">
        <f>IFERROR(__xludf.DUMMYFUNCTION("""COMPUTED_VALUE"""),"ROYA")</f>
        <v>ROYA</v>
      </c>
      <c r="H3572" s="42">
        <f t="shared" si="1"/>
        <v>1606</v>
      </c>
    </row>
    <row r="3573" ht="22.5" customHeight="1">
      <c r="B3573" s="42" t="str">
        <f>IFERROR(__xludf.DUMMYFUNCTION("""COMPUTED_VALUE"""),"K/20/160425/2")</f>
        <v>K/20/160425/2</v>
      </c>
      <c r="C3573" s="42" t="str">
        <f>IFERROR(__xludf.DUMMYFUNCTION("""COMPUTED_VALUE"""),"Nibel. M. 581/ Sukarame")</f>
        <v>Nibel. M. 581/ Sukarame</v>
      </c>
      <c r="D3573" s="42"/>
      <c r="E3573" s="42"/>
      <c r="F3573" s="48" t="str">
        <f>IFERROR(__xludf.DUMMYFUNCTION("""COMPUTED_VALUE"""),"")</f>
        <v/>
      </c>
      <c r="G3573" s="42" t="str">
        <f>IFERROR(__xludf.DUMMYFUNCTION("""COMPUTED_VALUE"""),"BN Jual Beli")</f>
        <v>BN Jual Beli</v>
      </c>
      <c r="H3573" s="42">
        <f t="shared" si="1"/>
        <v>1606</v>
      </c>
    </row>
    <row r="3574" ht="22.5" customHeight="1">
      <c r="B3574" s="42" t="str">
        <f>IFERROR(__xludf.DUMMYFUNCTION("""COMPUTED_VALUE"""),"K/21/160425/3")</f>
        <v>K/21/160425/3</v>
      </c>
      <c r="C3574" s="42" t="str">
        <f>IFERROR(__xludf.DUMMYFUNCTION("""COMPUTED_VALUE"""),"Nibel. M. 579/ Sukarame")</f>
        <v>Nibel. M. 579/ Sukarame</v>
      </c>
      <c r="D3574" s="42"/>
      <c r="E3574" s="42"/>
      <c r="F3574" s="48" t="str">
        <f>IFERROR(__xludf.DUMMYFUNCTION("""COMPUTED_VALUE"""),"")</f>
        <v/>
      </c>
      <c r="G3574" s="42" t="str">
        <f>IFERROR(__xludf.DUMMYFUNCTION("""COMPUTED_VALUE"""),"BN Jual Beli")</f>
        <v>BN Jual Beli</v>
      </c>
      <c r="H3574" s="42">
        <f t="shared" si="1"/>
        <v>1606</v>
      </c>
    </row>
    <row r="3575" ht="22.5" customHeight="1">
      <c r="B3575" s="42" t="str">
        <f>IFERROR(__xludf.DUMMYFUNCTION("""COMPUTED_VALUE"""),"K/22/160425/4")</f>
        <v>K/22/160425/4</v>
      </c>
      <c r="C3575" s="42" t="str">
        <f>IFERROR(__xludf.DUMMYFUNCTION("""COMPUTED_VALUE"""),"Nibel. M. 9370/ Labuhan Dalam")</f>
        <v>Nibel. M. 9370/ Labuhan Dalam</v>
      </c>
      <c r="D3575" s="42"/>
      <c r="E3575" s="42"/>
      <c r="F3575" s="48" t="str">
        <f>IFERROR(__xludf.DUMMYFUNCTION("""COMPUTED_VALUE"""),"")</f>
        <v/>
      </c>
      <c r="G3575" s="42" t="str">
        <f>IFERROR(__xludf.DUMMYFUNCTION("""COMPUTED_VALUE"""),"BN Jual Beli")</f>
        <v>BN Jual Beli</v>
      </c>
      <c r="H3575" s="42">
        <f t="shared" si="1"/>
        <v>1606</v>
      </c>
    </row>
    <row r="3576" ht="22.5" customHeight="1">
      <c r="B3576" s="42" t="str">
        <f>IFERROR(__xludf.DUMMYFUNCTION("""COMPUTED_VALUE"""),"K/24/160425/1")</f>
        <v>K/24/160425/1</v>
      </c>
      <c r="C3576" s="42" t="str">
        <f>IFERROR(__xludf.DUMMYFUNCTION("""COMPUTED_VALUE"""),"M. 1252/ Kangkung")</f>
        <v>M. 1252/ Kangkung</v>
      </c>
      <c r="D3576" s="42"/>
      <c r="E3576" s="42"/>
      <c r="F3576" s="48" t="str">
        <f>IFERROR(__xludf.DUMMYFUNCTION("""COMPUTED_VALUE"""),"")</f>
        <v/>
      </c>
      <c r="G3576" s="42" t="str">
        <f>IFERROR(__xludf.DUMMYFUNCTION("""COMPUTED_VALUE"""),"SKPT LELANG")</f>
        <v>SKPT LELANG</v>
      </c>
      <c r="H3576" s="42">
        <f t="shared" si="1"/>
        <v>1606</v>
      </c>
    </row>
    <row r="3577" ht="22.5" customHeight="1">
      <c r="B3577" s="42" t="str">
        <f>IFERROR(__xludf.DUMMYFUNCTION("""COMPUTED_VALUE"""),"K/25/160425/2")</f>
        <v>K/25/160425/2</v>
      </c>
      <c r="C3577" s="42" t="str">
        <f>IFERROR(__xludf.DUMMYFUNCTION("""COMPUTED_VALUE"""),"M. 3315/ Sukadana Ham")</f>
        <v>M. 3315/ Sukadana Ham</v>
      </c>
      <c r="D3577" s="42"/>
      <c r="E3577" s="42"/>
      <c r="F3577" s="48" t="str">
        <f>IFERROR(__xludf.DUMMYFUNCTION("""COMPUTED_VALUE"""),"")</f>
        <v/>
      </c>
      <c r="G3577" s="42" t="str">
        <f>IFERROR(__xludf.DUMMYFUNCTION("""COMPUTED_VALUE"""),"SKPT LELANG")</f>
        <v>SKPT LELANG</v>
      </c>
      <c r="H3577" s="42">
        <f t="shared" si="1"/>
        <v>1606</v>
      </c>
    </row>
    <row r="3578" ht="22.5" customHeight="1">
      <c r="B3578" s="42" t="str">
        <f>IFERROR(__xludf.DUMMYFUNCTION("""COMPUTED_VALUE"""),"K/26/160425/1")</f>
        <v>K/26/160425/1</v>
      </c>
      <c r="C3578" s="42" t="str">
        <f>IFERROR(__xludf.DUMMYFUNCTION("""COMPUTED_VALUE"""),"M.304/KEBON JERUK")</f>
        <v>M.304/KEBON JERUK</v>
      </c>
      <c r="D3578" s="42"/>
      <c r="E3578" s="42"/>
      <c r="F3578" s="48" t="str">
        <f>IFERROR(__xludf.DUMMYFUNCTION("""COMPUTED_VALUE"""),"")</f>
        <v/>
      </c>
      <c r="G3578" s="42" t="str">
        <f>IFERROR(__xludf.DUMMYFUNCTION("""COMPUTED_VALUE"""),"JUAL BELI")</f>
        <v>JUAL BELI</v>
      </c>
      <c r="H3578" s="42">
        <f t="shared" si="1"/>
        <v>1606</v>
      </c>
    </row>
    <row r="3579" ht="22.5" customHeight="1">
      <c r="B3579" s="42" t="str">
        <f>IFERROR(__xludf.DUMMYFUNCTION("""COMPUTED_VALUE"""),"K/18/160425/1")</f>
        <v>K/18/160425/1</v>
      </c>
      <c r="C3579" s="42" t="str">
        <f>IFERROR(__xludf.DUMMYFUNCTION("""COMPUTED_VALUE"""),"M. 4642/GUNUNG TERANG")</f>
        <v>M. 4642/GUNUNG TERANG</v>
      </c>
      <c r="D3579" s="42"/>
      <c r="E3579" s="42"/>
      <c r="F3579" s="48" t="str">
        <f>IFERROR(__xludf.DUMMYFUNCTION("""COMPUTED_VALUE"""),"")</f>
        <v/>
      </c>
      <c r="G3579" s="42" t="str">
        <f>IFERROR(__xludf.DUMMYFUNCTION("""COMPUTED_VALUE"""),"BN JUAL BELI")</f>
        <v>BN JUAL BELI</v>
      </c>
      <c r="H3579" s="42">
        <f t="shared" si="1"/>
        <v>1606</v>
      </c>
    </row>
    <row r="3580" ht="22.5" customHeight="1">
      <c r="B3580" s="42" t="str">
        <f>IFERROR(__xludf.DUMMYFUNCTION("""COMPUTED_VALUE"""),"K/28/160425/1")</f>
        <v>K/28/160425/1</v>
      </c>
      <c r="C3580" s="42" t="str">
        <f>IFERROR(__xludf.DUMMYFUNCTION("""COMPUTED_VALUE"""),"B. 290, 274/ Tanjungkarang")</f>
        <v>B. 290, 274/ Tanjungkarang</v>
      </c>
      <c r="D3580" s="42"/>
      <c r="E3580" s="42"/>
      <c r="F3580" s="48" t="str">
        <f>IFERROR(__xludf.DUMMYFUNCTION("""COMPUTED_VALUE"""),"")</f>
        <v/>
      </c>
      <c r="G3580" s="42" t="str">
        <f>IFERROR(__xludf.DUMMYFUNCTION("""COMPUTED_VALUE"""),"PENGGABUNGAN BIDANG")</f>
        <v>PENGGABUNGAN BIDANG</v>
      </c>
      <c r="H3580" s="42">
        <f t="shared" si="1"/>
        <v>1606</v>
      </c>
    </row>
    <row r="3581" ht="22.5" customHeight="1">
      <c r="B3581" s="42" t="str">
        <f>IFERROR(__xludf.DUMMYFUNCTION("""COMPUTED_VALUE"""),"K/30/160425/1")</f>
        <v>K/30/160425/1</v>
      </c>
      <c r="C3581" s="42" t="str">
        <f>IFERROR(__xludf.DUMMYFUNCTION("""COMPUTED_VALUE"""),"Nibel 16493/ pengajaran")</f>
        <v>Nibel 16493/ pengajaran</v>
      </c>
      <c r="D3581" s="42"/>
      <c r="E3581" s="42"/>
      <c r="F3581" s="48" t="str">
        <f>IFERROR(__xludf.DUMMYFUNCTION("""COMPUTED_VALUE"""),"")</f>
        <v/>
      </c>
      <c r="G3581" s="42" t="str">
        <f>IFERROR(__xludf.DUMMYFUNCTION("""COMPUTED_VALUE"""),"BN JUAL BELI")</f>
        <v>BN JUAL BELI</v>
      </c>
      <c r="H3581" s="42">
        <f t="shared" si="1"/>
        <v>1606</v>
      </c>
    </row>
    <row r="3582" ht="22.5" customHeight="1">
      <c r="B3582" s="42" t="str">
        <f>IFERROR(__xludf.DUMMYFUNCTION("""COMPUTED_VALUE"""),"K/29/160425/1")</f>
        <v>K/29/160425/1</v>
      </c>
      <c r="C3582" s="42" t="str">
        <f>IFERROR(__xludf.DUMMYFUNCTION("""COMPUTED_VALUE"""),"M. 587/ Gunung Sulah")</f>
        <v>M. 587/ Gunung Sulah</v>
      </c>
      <c r="D3582" s="42"/>
      <c r="E3582" s="42"/>
      <c r="F3582" s="48" t="str">
        <f>IFERROR(__xludf.DUMMYFUNCTION("""COMPUTED_VALUE"""),"")</f>
        <v/>
      </c>
      <c r="G3582" s="42" t="str">
        <f>IFERROR(__xludf.DUMMYFUNCTION("""COMPUTED_VALUE"""),"BN Jual Beli")</f>
        <v>BN Jual Beli</v>
      </c>
      <c r="H3582" s="42">
        <f t="shared" si="1"/>
        <v>1606</v>
      </c>
    </row>
    <row r="3583" ht="22.5" customHeight="1">
      <c r="B3583" s="42" t="str">
        <f>IFERROR(__xludf.DUMMYFUNCTION("""COMPUTED_VALUE"""),"K/27/160425/1")</f>
        <v>K/27/160425/1</v>
      </c>
      <c r="C3583" s="42" t="str">
        <f>IFERROR(__xludf.DUMMYFUNCTION("""COMPUTED_VALUE"""),"M.12502/JAGABAYA II")</f>
        <v>M.12502/JAGABAYA II</v>
      </c>
      <c r="D3583" s="42"/>
      <c r="E3583" s="42"/>
      <c r="F3583" s="48" t="str">
        <f>IFERROR(__xludf.DUMMYFUNCTION("""COMPUTED_VALUE"""),"")</f>
        <v/>
      </c>
      <c r="G3583" s="42" t="str">
        <f>IFERROR(__xludf.DUMMYFUNCTION("""COMPUTED_VALUE"""),"SKPT INFORMASI")</f>
        <v>SKPT INFORMASI</v>
      </c>
      <c r="H3583" s="42">
        <f t="shared" si="1"/>
        <v>1606</v>
      </c>
    </row>
    <row r="3584" ht="22.5" customHeight="1">
      <c r="B3584" s="42" t="str">
        <f>IFERROR(__xludf.DUMMYFUNCTION("""COMPUTED_VALUE"""),"K/31/160425/1")</f>
        <v>K/31/160425/1</v>
      </c>
      <c r="C3584" s="42" t="str">
        <f>IFERROR(__xludf.DUMMYFUNCTION("""COMPUTED_VALUE"""),"NIBEL M 16942/GUNUNG TERANG")</f>
        <v>NIBEL M 16942/GUNUNG TERANG</v>
      </c>
      <c r="D3584" s="42"/>
      <c r="E3584" s="42"/>
      <c r="F3584" s="48" t="str">
        <f>IFERROR(__xludf.DUMMYFUNCTION("""COMPUTED_VALUE"""),"")</f>
        <v/>
      </c>
      <c r="G3584" s="42" t="str">
        <f>IFERROR(__xludf.DUMMYFUNCTION("""COMPUTED_VALUE"""),"JUAL BELI")</f>
        <v>JUAL BELI</v>
      </c>
      <c r="H3584" s="42">
        <f t="shared" si="1"/>
        <v>1606</v>
      </c>
    </row>
    <row r="3585" ht="22.5" customHeight="1">
      <c r="B3585" s="42" t="str">
        <f>IFERROR(__xludf.DUMMYFUNCTION("""COMPUTED_VALUE"""),"K/34/160425/1")</f>
        <v>K/34/160425/1</v>
      </c>
      <c r="C3585" s="42" t="str">
        <f>IFERROR(__xludf.DUMMYFUNCTION("""COMPUTED_VALUE"""),"M. 16592/ Sukabumi")</f>
        <v>M. 16592/ Sukabumi</v>
      </c>
      <c r="D3585" s="42" t="str">
        <f>IFERROR(__xludf.DUMMYFUNCTION("""COMPUTED_VALUE"""),"Berry")</f>
        <v>Berry</v>
      </c>
      <c r="E3585" s="42" t="str">
        <f>IFERROR(__xludf.DUMMYFUNCTION("""COMPUTED_VALUE"""),"DISERAHKAN")</f>
        <v>DISERAHKAN</v>
      </c>
      <c r="F3585" s="48">
        <f>IFERROR(__xludf.DUMMYFUNCTION("""COMPUTED_VALUE"""),45810.65963175926)</f>
        <v>45810.65963</v>
      </c>
      <c r="G3585" s="42" t="str">
        <f>IFERROR(__xludf.DUMMYFUNCTION("""COMPUTED_VALUE"""),"BN Jual Beli")</f>
        <v>BN Jual Beli</v>
      </c>
      <c r="H3585" s="42">
        <f t="shared" si="1"/>
        <v>1607</v>
      </c>
    </row>
    <row r="3586" ht="22.5" customHeight="1">
      <c r="B3586" s="42" t="str">
        <f>IFERROR(__xludf.DUMMYFUNCTION("""COMPUTED_VALUE"""),"K/35/160425/1")</f>
        <v>K/35/160425/1</v>
      </c>
      <c r="C3586" s="42" t="str">
        <f>IFERROR(__xludf.DUMMYFUNCTION("""COMPUTED_VALUE"""),"M. 1576/SUMUR PUTRI")</f>
        <v>M. 1576/SUMUR PUTRI</v>
      </c>
      <c r="D3586" s="42"/>
      <c r="E3586" s="42"/>
      <c r="F3586" s="48" t="str">
        <f>IFERROR(__xludf.DUMMYFUNCTION("""COMPUTED_VALUE"""),"")</f>
        <v/>
      </c>
      <c r="G3586" s="42" t="str">
        <f>IFERROR(__xludf.DUMMYFUNCTION("""COMPUTED_VALUE"""),"BN HIBAH")</f>
        <v>BN HIBAH</v>
      </c>
      <c r="H3586" s="42">
        <f t="shared" si="1"/>
        <v>1607</v>
      </c>
    </row>
    <row r="3587" ht="22.5" customHeight="1">
      <c r="B3587" s="42" t="str">
        <f>IFERROR(__xludf.DUMMYFUNCTION("""COMPUTED_VALUE"""),"K/32/160425/1")</f>
        <v>K/32/160425/1</v>
      </c>
      <c r="C3587" s="42" t="str">
        <f>IFERROR(__xludf.DUMMYFUNCTION("""COMPUTED_VALUE"""),"M. 9045/ Gedong Meneng")</f>
        <v>M. 9045/ Gedong Meneng</v>
      </c>
      <c r="D3587" s="42"/>
      <c r="E3587" s="42"/>
      <c r="F3587" s="48" t="str">
        <f>IFERROR(__xludf.DUMMYFUNCTION("""COMPUTED_VALUE"""),"")</f>
        <v/>
      </c>
      <c r="G3587" s="42" t="str">
        <f>IFERROR(__xludf.DUMMYFUNCTION("""COMPUTED_VALUE"""),"BN Jual Beli")</f>
        <v>BN Jual Beli</v>
      </c>
      <c r="H3587" s="42">
        <f t="shared" si="1"/>
        <v>1607</v>
      </c>
    </row>
    <row r="3588" ht="22.5" customHeight="1">
      <c r="B3588" s="42" t="str">
        <f>IFERROR(__xludf.DUMMYFUNCTION("""COMPUTED_VALUE"""),"K/33/160425/2")</f>
        <v>K/33/160425/2</v>
      </c>
      <c r="C3588" s="42" t="str">
        <f>IFERROR(__xludf.DUMMYFUNCTION("""COMPUTED_VALUE"""),"M. 1222/ Sukarame Baru")</f>
        <v>M. 1222/ Sukarame Baru</v>
      </c>
      <c r="D3588" s="42" t="str">
        <f>IFERROR(__xludf.DUMMYFUNCTION("""COMPUTED_VALUE"""),"Berry")</f>
        <v>Berry</v>
      </c>
      <c r="E3588" s="42" t="str">
        <f>IFERROR(__xludf.DUMMYFUNCTION("""COMPUTED_VALUE"""),"DISERAHKAN")</f>
        <v>DISERAHKAN</v>
      </c>
      <c r="F3588" s="48">
        <f>IFERROR(__xludf.DUMMYFUNCTION("""COMPUTED_VALUE"""),45805.44481050926)</f>
        <v>45805.44481</v>
      </c>
      <c r="G3588" s="42" t="str">
        <f>IFERROR(__xludf.DUMMYFUNCTION("""COMPUTED_VALUE"""),"BN Jual Beli")</f>
        <v>BN Jual Beli</v>
      </c>
      <c r="H3588" s="42">
        <f t="shared" si="1"/>
        <v>1608</v>
      </c>
    </row>
    <row r="3589" ht="22.5" customHeight="1">
      <c r="B3589" s="42" t="str">
        <f>IFERROR(__xludf.DUMMYFUNCTION("""COMPUTED_VALUE"""),"K/36/160425/1")</f>
        <v>K/36/160425/1</v>
      </c>
      <c r="C3589" s="42" t="str">
        <f>IFERROR(__xludf.DUMMYFUNCTION("""COMPUTED_VALUE"""),"M. 2335/ Sepang Jaya")</f>
        <v>M. 2335/ Sepang Jaya</v>
      </c>
      <c r="D3589" s="42"/>
      <c r="E3589" s="42"/>
      <c r="F3589" s="48" t="str">
        <f>IFERROR(__xludf.DUMMYFUNCTION("""COMPUTED_VALUE"""),"")</f>
        <v/>
      </c>
      <c r="G3589" s="42" t="str">
        <f>IFERROR(__xludf.DUMMYFUNCTION("""COMPUTED_VALUE"""),"BN Jual Beli")</f>
        <v>BN Jual Beli</v>
      </c>
      <c r="H3589" s="42">
        <f t="shared" si="1"/>
        <v>1608</v>
      </c>
    </row>
    <row r="3590" ht="22.5" customHeight="1">
      <c r="B3590" s="42" t="str">
        <f>IFERROR(__xludf.DUMMYFUNCTION("""COMPUTED_VALUE"""),"K/37/160425/2")</f>
        <v>K/37/160425/2</v>
      </c>
      <c r="C3590" s="42" t="str">
        <f>IFERROR(__xludf.DUMMYFUNCTION("""COMPUTED_VALUE"""),"M. 10684/ Sukabumi")</f>
        <v>M. 10684/ Sukabumi</v>
      </c>
      <c r="D3590" s="42"/>
      <c r="E3590" s="42"/>
      <c r="F3590" s="48" t="str">
        <f>IFERROR(__xludf.DUMMYFUNCTION("""COMPUTED_VALUE"""),"")</f>
        <v/>
      </c>
      <c r="G3590" s="42" t="str">
        <f>IFERROR(__xludf.DUMMYFUNCTION("""COMPUTED_VALUE"""),"BN Hibah")</f>
        <v>BN Hibah</v>
      </c>
      <c r="H3590" s="42">
        <f t="shared" si="1"/>
        <v>1608</v>
      </c>
    </row>
    <row r="3591" ht="22.5" customHeight="1">
      <c r="B3591" s="42" t="str">
        <f>IFERROR(__xludf.DUMMYFUNCTION("""COMPUTED_VALUE"""),"K/39/160425/1")</f>
        <v>K/39/160425/1</v>
      </c>
      <c r="C3591" s="42" t="str">
        <f>IFERROR(__xludf.DUMMYFUNCTION("""COMPUTED_VALUE"""),"B.747/SUMUR PUTRI")</f>
        <v>B.747/SUMUR PUTRI</v>
      </c>
      <c r="D3591" s="42"/>
      <c r="E3591" s="42"/>
      <c r="F3591" s="48" t="str">
        <f>IFERROR(__xludf.DUMMYFUNCTION("""COMPUTED_VALUE"""),"")</f>
        <v/>
      </c>
      <c r="G3591" s="42" t="str">
        <f>IFERROR(__xludf.DUMMYFUNCTION("""COMPUTED_VALUE"""),"BN JUAL BELI")</f>
        <v>BN JUAL BELI</v>
      </c>
      <c r="H3591" s="42">
        <f t="shared" si="1"/>
        <v>1608</v>
      </c>
    </row>
    <row r="3592" ht="22.5" customHeight="1">
      <c r="B3592" s="42" t="str">
        <f>IFERROR(__xludf.DUMMYFUNCTION("""COMPUTED_VALUE"""),"K/38/160425/3")</f>
        <v>K/38/160425/3</v>
      </c>
      <c r="C3592" s="42" t="str">
        <f>IFERROR(__xludf.DUMMYFUNCTION("""COMPUTED_VALUE"""),"M. 1839/ Rajabasa Nunyai")</f>
        <v>M. 1839/ Rajabasa Nunyai</v>
      </c>
      <c r="D3592" s="42"/>
      <c r="E3592" s="42"/>
      <c r="F3592" s="48" t="str">
        <f>IFERROR(__xludf.DUMMYFUNCTION("""COMPUTED_VALUE"""),"")</f>
        <v/>
      </c>
      <c r="G3592" s="42" t="str">
        <f>IFERROR(__xludf.DUMMYFUNCTION("""COMPUTED_VALUE"""),"BN Jual Beli")</f>
        <v>BN Jual Beli</v>
      </c>
      <c r="H3592" s="42">
        <f t="shared" si="1"/>
        <v>1608</v>
      </c>
    </row>
    <row r="3593" ht="22.5" customHeight="1">
      <c r="B3593" s="42" t="str">
        <f>IFERROR(__xludf.DUMMYFUNCTION("""COMPUTED_VALUE"""),"K/1/170425/1")</f>
        <v>K/1/170425/1</v>
      </c>
      <c r="C3593" s="42" t="str">
        <f>IFERROR(__xludf.DUMMYFUNCTION("""COMPUTED_VALUE"""),"M. 1435/ Rajabasa Pemuka")</f>
        <v>M. 1435/ Rajabasa Pemuka</v>
      </c>
      <c r="D3593" s="42"/>
      <c r="E3593" s="42"/>
      <c r="F3593" s="48" t="str">
        <f>IFERROR(__xludf.DUMMYFUNCTION("""COMPUTED_VALUE"""),"")</f>
        <v/>
      </c>
      <c r="G3593" s="42" t="str">
        <f>IFERROR(__xludf.DUMMYFUNCTION("""COMPUTED_VALUE"""),"BN Jual Beli")</f>
        <v>BN Jual Beli</v>
      </c>
      <c r="H3593" s="42">
        <f t="shared" si="1"/>
        <v>1608</v>
      </c>
    </row>
    <row r="3594" ht="22.5" customHeight="1">
      <c r="B3594" s="42" t="str">
        <f>IFERROR(__xludf.DUMMYFUNCTION("""COMPUTED_VALUE"""),"K/2/170425/1")</f>
        <v>K/2/170425/1</v>
      </c>
      <c r="C3594" s="42" t="str">
        <f>IFERROR(__xludf.DUMMYFUNCTION("""COMPUTED_VALUE"""),"M. 910/ Sepang Jaya")</f>
        <v>M. 910/ Sepang Jaya</v>
      </c>
      <c r="D3594" s="42" t="str">
        <f>IFERROR(__xludf.DUMMYFUNCTION("""COMPUTED_VALUE"""),"Berry")</f>
        <v>Berry</v>
      </c>
      <c r="E3594" s="42" t="str">
        <f>IFERROR(__xludf.DUMMYFUNCTION("""COMPUTED_VALUE"""),"DISERAHKAN")</f>
        <v>DISERAHKAN</v>
      </c>
      <c r="F3594" s="48">
        <f>IFERROR(__xludf.DUMMYFUNCTION("""COMPUTED_VALUE"""),45812.60456260417)</f>
        <v>45812.60456</v>
      </c>
      <c r="G3594" s="42" t="str">
        <f>IFERROR(__xludf.DUMMYFUNCTION("""COMPUTED_VALUE"""),"BN Hibah")</f>
        <v>BN Hibah</v>
      </c>
      <c r="H3594" s="42">
        <f t="shared" si="1"/>
        <v>1609</v>
      </c>
    </row>
    <row r="3595" ht="22.5" customHeight="1">
      <c r="B3595" s="42" t="str">
        <f>IFERROR(__xludf.DUMMYFUNCTION("""COMPUTED_VALUE"""),"L/3/170425/1")</f>
        <v>L/3/170425/1</v>
      </c>
      <c r="C3595" s="42" t="str">
        <f>IFERROR(__xludf.DUMMYFUNCTION("""COMPUTED_VALUE"""),"HM 1223/SUKADANAHAM")</f>
        <v>HM 1223/SUKADANAHAM</v>
      </c>
      <c r="D3595" s="42" t="str">
        <f>IFERROR(__xludf.DUMMYFUNCTION("""COMPUTED_VALUE"""),"David")</f>
        <v>David</v>
      </c>
      <c r="E3595" s="42" t="str">
        <f>IFERROR(__xludf.DUMMYFUNCTION("""COMPUTED_VALUE"""),"DISERAHKAN")</f>
        <v>DISERAHKAN</v>
      </c>
      <c r="F3595" s="48">
        <f>IFERROR(__xludf.DUMMYFUNCTION("""COMPUTED_VALUE"""),45819.362896782404)</f>
        <v>45819.3629</v>
      </c>
      <c r="G3595" s="42" t="str">
        <f>IFERROR(__xludf.DUMMYFUNCTION("""COMPUTED_VALUE"""),"ROYA")</f>
        <v>ROYA</v>
      </c>
      <c r="H3595" s="42">
        <f t="shared" si="1"/>
        <v>1610</v>
      </c>
    </row>
    <row r="3596" ht="22.5" customHeight="1">
      <c r="B3596" s="42" t="str">
        <f>IFERROR(__xludf.DUMMYFUNCTION("""COMPUTED_VALUE"""),"K/4/170425/1")</f>
        <v>K/4/170425/1</v>
      </c>
      <c r="C3596" s="42" t="str">
        <f>IFERROR(__xludf.DUMMYFUNCTION("""COMPUTED_VALUE"""),"M. 135/SUSUNAN BARU")</f>
        <v>M. 135/SUSUNAN BARU</v>
      </c>
      <c r="D3596" s="42"/>
      <c r="E3596" s="42"/>
      <c r="F3596" s="48" t="str">
        <f>IFERROR(__xludf.DUMMYFUNCTION("""COMPUTED_VALUE"""),"")</f>
        <v/>
      </c>
      <c r="G3596" s="42" t="str">
        <f>IFERROR(__xludf.DUMMYFUNCTION("""COMPUTED_VALUE"""),"BN JUAL BELI")</f>
        <v>BN JUAL BELI</v>
      </c>
      <c r="H3596" s="42">
        <f t="shared" si="1"/>
        <v>1610</v>
      </c>
    </row>
    <row r="3597" ht="22.5" customHeight="1">
      <c r="B3597" s="42" t="str">
        <f>IFERROR(__xludf.DUMMYFUNCTION("""COMPUTED_VALUE"""),"K/5/170425/1")</f>
        <v>K/5/170425/1</v>
      </c>
      <c r="C3597" s="42" t="str">
        <f>IFERROR(__xludf.DUMMYFUNCTION("""COMPUTED_VALUE"""),"Nibel 18702/ Tanjung Baru")</f>
        <v>Nibel 18702/ Tanjung Baru</v>
      </c>
      <c r="D3597" s="42"/>
      <c r="E3597" s="42"/>
      <c r="F3597" s="48" t="str">
        <f>IFERROR(__xludf.DUMMYFUNCTION("""COMPUTED_VALUE"""),"")</f>
        <v/>
      </c>
      <c r="G3597" s="42" t="str">
        <f>IFERROR(__xludf.DUMMYFUNCTION("""COMPUTED_VALUE"""),"PTPGT PEMECAHAN")</f>
        <v>PTPGT PEMECAHAN</v>
      </c>
      <c r="H3597" s="42">
        <f t="shared" si="1"/>
        <v>1610</v>
      </c>
    </row>
    <row r="3598" ht="22.5" customHeight="1">
      <c r="B3598" s="42" t="str">
        <f>IFERROR(__xludf.DUMMYFUNCTION("""COMPUTED_VALUE"""),"K/6/170425/1")</f>
        <v>K/6/170425/1</v>
      </c>
      <c r="C3598" s="42" t="str">
        <f>IFERROR(__xludf.DUMMYFUNCTION("""COMPUTED_VALUE"""),"M. 79/ Kemiling Permai")</f>
        <v>M. 79/ Kemiling Permai</v>
      </c>
      <c r="D3598" s="42" t="str">
        <f>IFERROR(__xludf.DUMMYFUNCTION("""COMPUTED_VALUE"""),"David")</f>
        <v>David</v>
      </c>
      <c r="E3598" s="42" t="str">
        <f>IFERROR(__xludf.DUMMYFUNCTION("""COMPUTED_VALUE"""),"DISERAHKAN")</f>
        <v>DISERAHKAN</v>
      </c>
      <c r="F3598" s="48">
        <f>IFERROR(__xludf.DUMMYFUNCTION("""COMPUTED_VALUE"""),45793.40047172454)</f>
        <v>45793.40047</v>
      </c>
      <c r="G3598" s="42" t="str">
        <f>IFERROR(__xludf.DUMMYFUNCTION("""COMPUTED_VALUE"""),"BN Jual Beli")</f>
        <v>BN Jual Beli</v>
      </c>
      <c r="H3598" s="42">
        <f t="shared" si="1"/>
        <v>1611</v>
      </c>
    </row>
    <row r="3599" ht="22.5" customHeight="1">
      <c r="B3599" s="42" t="str">
        <f>IFERROR(__xludf.DUMMYFUNCTION("""COMPUTED_VALUE"""),"K/36/170425/3")</f>
        <v>K/36/170425/3</v>
      </c>
      <c r="C3599" s="42" t="str">
        <f>IFERROR(__xludf.DUMMYFUNCTION("""COMPUTED_VALUE"""),"M. 123/ Way Kandis")</f>
        <v>M. 123/ Way Kandis</v>
      </c>
      <c r="D3599" s="42" t="str">
        <f>IFERROR(__xludf.DUMMYFUNCTION("""COMPUTED_VALUE"""),"David")</f>
        <v>David</v>
      </c>
      <c r="E3599" s="42" t="str">
        <f>IFERROR(__xludf.DUMMYFUNCTION("""COMPUTED_VALUE"""),"DISERAHKAN")</f>
        <v>DISERAHKAN</v>
      </c>
      <c r="F3599" s="48">
        <f>IFERROR(__xludf.DUMMYFUNCTION("""COMPUTED_VALUE"""),45793.40300521991)</f>
        <v>45793.40301</v>
      </c>
      <c r="G3599" s="42" t="str">
        <f>IFERROR(__xludf.DUMMYFUNCTION("""COMPUTED_VALUE"""),"BN PHB")</f>
        <v>BN PHB</v>
      </c>
      <c r="H3599" s="42">
        <f t="shared" si="1"/>
        <v>1612</v>
      </c>
    </row>
    <row r="3600" ht="22.5" customHeight="1">
      <c r="B3600" s="42" t="str">
        <f>IFERROR(__xludf.DUMMYFUNCTION("""COMPUTED_VALUE"""),"K/7/170425/2")</f>
        <v>K/7/170425/2</v>
      </c>
      <c r="C3600" s="42" t="str">
        <f>IFERROR(__xludf.DUMMYFUNCTION("""COMPUTED_VALUE"""),"M. 9564/ Kedaton")</f>
        <v>M. 9564/ Kedaton</v>
      </c>
      <c r="D3600" s="42"/>
      <c r="E3600" s="42"/>
      <c r="F3600" s="48" t="str">
        <f>IFERROR(__xludf.DUMMYFUNCTION("""COMPUTED_VALUE"""),"")</f>
        <v/>
      </c>
      <c r="G3600" s="42" t="str">
        <f>IFERROR(__xludf.DUMMYFUNCTION("""COMPUTED_VALUE"""),"BN PHB")</f>
        <v>BN PHB</v>
      </c>
      <c r="H3600" s="42">
        <f t="shared" si="1"/>
        <v>1612</v>
      </c>
    </row>
    <row r="3601" ht="22.5" customHeight="1">
      <c r="B3601" s="42" t="str">
        <f>IFERROR(__xludf.DUMMYFUNCTION("""COMPUTED_VALUE"""),"K/8/170425/1")</f>
        <v>K/8/170425/1</v>
      </c>
      <c r="C3601" s="42" t="str">
        <f>IFERROR(__xludf.DUMMYFUNCTION("""COMPUTED_VALUE"""),"B. 1585/ Sukabumi")</f>
        <v>B. 1585/ Sukabumi</v>
      </c>
      <c r="D3601" s="42" t="str">
        <f>IFERROR(__xludf.DUMMYFUNCTION("""COMPUTED_VALUE"""),"Berry")</f>
        <v>Berry</v>
      </c>
      <c r="E3601" s="42" t="str">
        <f>IFERROR(__xludf.DUMMYFUNCTION("""COMPUTED_VALUE"""),"DISERAHKAN")</f>
        <v>DISERAHKAN</v>
      </c>
      <c r="F3601" s="48">
        <f>IFERROR(__xludf.DUMMYFUNCTION("""COMPUTED_VALUE"""),45792.63255488426)</f>
        <v>45792.63255</v>
      </c>
      <c r="G3601" s="42" t="str">
        <f>IFERROR(__xludf.DUMMYFUNCTION("""COMPUTED_VALUE"""),"Perubahan Hak")</f>
        <v>Perubahan Hak</v>
      </c>
      <c r="H3601" s="42">
        <f t="shared" si="1"/>
        <v>1613</v>
      </c>
    </row>
    <row r="3602" ht="22.5" customHeight="1">
      <c r="B3602" s="42" t="str">
        <f>IFERROR(__xludf.DUMMYFUNCTION("""COMPUTED_VALUE"""),"K/9/170425/2")</f>
        <v>K/9/170425/2</v>
      </c>
      <c r="C3602" s="42" t="str">
        <f>IFERROR(__xludf.DUMMYFUNCTION("""COMPUTED_VALUE"""),"M 19757/ Sukarame")</f>
        <v>M 19757/ Sukarame</v>
      </c>
      <c r="D3602" s="42"/>
      <c r="E3602" s="42"/>
      <c r="F3602" s="48" t="str">
        <f>IFERROR(__xludf.DUMMYFUNCTION("""COMPUTED_VALUE"""),"")</f>
        <v/>
      </c>
      <c r="G3602" s="42" t="str">
        <f>IFERROR(__xludf.DUMMYFUNCTION("""COMPUTED_VALUE"""),"BN Jual Beli")</f>
        <v>BN Jual Beli</v>
      </c>
      <c r="H3602" s="42">
        <f t="shared" si="1"/>
        <v>1613</v>
      </c>
    </row>
    <row r="3603" ht="22.5" customHeight="1">
      <c r="B3603" s="42" t="str">
        <f>IFERROR(__xludf.DUMMYFUNCTION("""COMPUTED_VALUE""")," K/10/170425/1")</f>
        <v> K/10/170425/1</v>
      </c>
      <c r="C3603" s="42" t="str">
        <f>IFERROR(__xludf.DUMMYFUNCTION("""COMPUTED_VALUE"""),"M. 233/ Perumnas Way Halim")</f>
        <v>M. 233/ Perumnas Way Halim</v>
      </c>
      <c r="D3603" s="42"/>
      <c r="E3603" s="42"/>
      <c r="F3603" s="48" t="str">
        <f>IFERROR(__xludf.DUMMYFUNCTION("""COMPUTED_VALUE"""),"")</f>
        <v/>
      </c>
      <c r="G3603" s="42" t="str">
        <f>IFERROR(__xludf.DUMMYFUNCTION("""COMPUTED_VALUE"""),"BN WARIS")</f>
        <v>BN WARIS</v>
      </c>
      <c r="H3603" s="42">
        <f t="shared" si="1"/>
        <v>1613</v>
      </c>
    </row>
    <row r="3604" ht="22.5" customHeight="1">
      <c r="B3604" s="42" t="str">
        <f>IFERROR(__xludf.DUMMYFUNCTION("""COMPUTED_VALUE"""),"L/11/170425/1")</f>
        <v>L/11/170425/1</v>
      </c>
      <c r="C3604" s="42" t="str">
        <f>IFERROR(__xludf.DUMMYFUNCTION("""COMPUTED_VALUE"""),"HM 11894/TANJUNG BARU")</f>
        <v>HM 11894/TANJUNG BARU</v>
      </c>
      <c r="D3604" s="42" t="str">
        <f>IFERROR(__xludf.DUMMYFUNCTION("""COMPUTED_VALUE"""),"David")</f>
        <v>David</v>
      </c>
      <c r="E3604" s="42" t="str">
        <f>IFERROR(__xludf.DUMMYFUNCTION("""COMPUTED_VALUE"""),"DISERAHKAN")</f>
        <v>DISERAHKAN</v>
      </c>
      <c r="F3604" s="48">
        <f>IFERROR(__xludf.DUMMYFUNCTION("""COMPUTED_VALUE"""),45791.45560699074)</f>
        <v>45791.45561</v>
      </c>
      <c r="G3604" s="42" t="str">
        <f>IFERROR(__xludf.DUMMYFUNCTION("""COMPUTED_VALUE"""),"ROYA")</f>
        <v>ROYA</v>
      </c>
      <c r="H3604" s="42">
        <f t="shared" si="1"/>
        <v>1614</v>
      </c>
    </row>
    <row r="3605" ht="22.5" customHeight="1">
      <c r="B3605" s="42" t="str">
        <f>IFERROR(__xludf.DUMMYFUNCTION("""COMPUTED_VALUE"""),"K/12/170425/1")</f>
        <v>K/12/170425/1</v>
      </c>
      <c r="C3605" s="42" t="str">
        <f>IFERROR(__xludf.DUMMYFUNCTION("""COMPUTED_VALUE"""),"NIBEL M 17054/SUKARAME BARU")</f>
        <v>NIBEL M 17054/SUKARAME BARU</v>
      </c>
      <c r="D3605" s="42"/>
      <c r="E3605" s="42"/>
      <c r="F3605" s="48" t="str">
        <f>IFERROR(__xludf.DUMMYFUNCTION("""COMPUTED_VALUE"""),"")</f>
        <v/>
      </c>
      <c r="G3605" s="42" t="str">
        <f>IFERROR(__xludf.DUMMYFUNCTION("""COMPUTED_VALUE"""),"JUAL BELI")</f>
        <v>JUAL BELI</v>
      </c>
      <c r="H3605" s="42">
        <f t="shared" si="1"/>
        <v>1614</v>
      </c>
    </row>
    <row r="3606" ht="22.5" customHeight="1">
      <c r="B3606" s="42" t="str">
        <f>IFERROR(__xludf.DUMMYFUNCTION("""COMPUTED_VALUE"""),"K/13/170425/1")</f>
        <v>K/13/170425/1</v>
      </c>
      <c r="C3606" s="42" t="str">
        <f>IFERROR(__xludf.DUMMYFUNCTION("""COMPUTED_VALUE"""),"M. 14190/ Segala Mider")</f>
        <v>M. 14190/ Segala Mider</v>
      </c>
      <c r="D3606" s="42"/>
      <c r="E3606" s="42" t="str">
        <f>IFERROR(__xludf.DUMMYFUNCTION("""COMPUTED_VALUE"""),"DISERAHKAN")</f>
        <v>DISERAHKAN</v>
      </c>
      <c r="F3606" s="48">
        <f>IFERROR(__xludf.DUMMYFUNCTION("""COMPUTED_VALUE"""),45775.59956365741)</f>
        <v>45775.59956</v>
      </c>
      <c r="G3606" s="42" t="str">
        <f>IFERROR(__xludf.DUMMYFUNCTION("""COMPUTED_VALUE"""),"BN JUAL BELI")</f>
        <v>BN JUAL BELI</v>
      </c>
      <c r="H3606" s="42">
        <f t="shared" si="1"/>
        <v>1615</v>
      </c>
    </row>
    <row r="3607" ht="22.5" customHeight="1">
      <c r="B3607" s="42" t="str">
        <f>IFERROR(__xludf.DUMMYFUNCTION("""COMPUTED_VALUE"""),"L/14/170425/1")</f>
        <v>L/14/170425/1</v>
      </c>
      <c r="C3607" s="42" t="str">
        <f>IFERROR(__xludf.DUMMYFUNCTION("""COMPUTED_VALUE"""),"HGB 30/KOTABARU")</f>
        <v>HGB 30/KOTABARU</v>
      </c>
      <c r="D3607" s="42" t="str">
        <f>IFERROR(__xludf.DUMMYFUNCTION("""COMPUTED_VALUE"""),"David")</f>
        <v>David</v>
      </c>
      <c r="E3607" s="42" t="str">
        <f>IFERROR(__xludf.DUMMYFUNCTION("""COMPUTED_VALUE"""),"DISERAHKAN")</f>
        <v>DISERAHKAN</v>
      </c>
      <c r="F3607" s="48">
        <f>IFERROR(__xludf.DUMMYFUNCTION("""COMPUTED_VALUE"""),45813.47657462963)</f>
        <v>45813.47657</v>
      </c>
      <c r="G3607" s="42" t="str">
        <f>IFERROR(__xludf.DUMMYFUNCTION("""COMPUTED_VALUE"""),"ROYA")</f>
        <v>ROYA</v>
      </c>
      <c r="H3607" s="42">
        <f t="shared" si="1"/>
        <v>1616</v>
      </c>
    </row>
    <row r="3608" ht="22.5" customHeight="1">
      <c r="B3608" s="42" t="str">
        <f>IFERROR(__xludf.DUMMYFUNCTION("""COMPUTED_VALUE"""),"K/15/170425/1")</f>
        <v>K/15/170425/1</v>
      </c>
      <c r="C3608" s="42" t="str">
        <f>IFERROR(__xludf.DUMMYFUNCTION("""COMPUTED_VALUE"""),"M. 228/ Bilabong Jaya")</f>
        <v>M. 228/ Bilabong Jaya</v>
      </c>
      <c r="D3608" s="42"/>
      <c r="E3608" s="42"/>
      <c r="F3608" s="48" t="str">
        <f>IFERROR(__xludf.DUMMYFUNCTION("""COMPUTED_VALUE"""),"")</f>
        <v/>
      </c>
      <c r="G3608" s="42" t="str">
        <f>IFERROR(__xludf.DUMMYFUNCTION("""COMPUTED_VALUE"""),"BN JUAL BELI")</f>
        <v>BN JUAL BELI</v>
      </c>
      <c r="H3608" s="42">
        <f t="shared" si="1"/>
        <v>1616</v>
      </c>
    </row>
    <row r="3609" ht="22.5" customHeight="1">
      <c r="B3609" s="42" t="str">
        <f>IFERROR(__xludf.DUMMYFUNCTION("""COMPUTED_VALUE"""),"L/16/170425/1")</f>
        <v>L/16/170425/1</v>
      </c>
      <c r="C3609" s="42" t="str">
        <f>IFERROR(__xludf.DUMMYFUNCTION("""COMPUTED_VALUE"""),"HM 9298/TANJUNG BARU")</f>
        <v>HM 9298/TANJUNG BARU</v>
      </c>
      <c r="D3609" s="42" t="str">
        <f>IFERROR(__xludf.DUMMYFUNCTION("""COMPUTED_VALUE"""),"David")</f>
        <v>David</v>
      </c>
      <c r="E3609" s="42" t="str">
        <f>IFERROR(__xludf.DUMMYFUNCTION("""COMPUTED_VALUE"""),"DISERAHKAN")</f>
        <v>DISERAHKAN</v>
      </c>
      <c r="F3609" s="48">
        <f>IFERROR(__xludf.DUMMYFUNCTION("""COMPUTED_VALUE"""),45825.64759626157)</f>
        <v>45825.6476</v>
      </c>
      <c r="G3609" s="42" t="str">
        <f>IFERROR(__xludf.DUMMYFUNCTION("""COMPUTED_VALUE"""),"ROYA")</f>
        <v>ROYA</v>
      </c>
      <c r="H3609" s="42">
        <f t="shared" si="1"/>
        <v>1617</v>
      </c>
    </row>
    <row r="3610" ht="22.5" customHeight="1">
      <c r="B3610" s="42" t="str">
        <f>IFERROR(__xludf.DUMMYFUNCTION("""COMPUTED_VALUE"""),"K/17/170425/1")</f>
        <v>K/17/170425/1</v>
      </c>
      <c r="C3610" s="42" t="str">
        <f>IFERROR(__xludf.DUMMYFUNCTION("""COMPUTED_VALUE"""),"M. 493/ Tanjung Senang")</f>
        <v>M. 493/ Tanjung Senang</v>
      </c>
      <c r="D3610" s="42" t="str">
        <f>IFERROR(__xludf.DUMMYFUNCTION("""COMPUTED_VALUE"""),"Berry")</f>
        <v>Berry</v>
      </c>
      <c r="E3610" s="42" t="str">
        <f>IFERROR(__xludf.DUMMYFUNCTION("""COMPUTED_VALUE"""),"DISERAHKAN")</f>
        <v>DISERAHKAN</v>
      </c>
      <c r="F3610" s="48">
        <f>IFERROR(__xludf.DUMMYFUNCTION("""COMPUTED_VALUE"""),45796.47516724537)</f>
        <v>45796.47517</v>
      </c>
      <c r="G3610" s="42" t="str">
        <f>IFERROR(__xludf.DUMMYFUNCTION("""COMPUTED_VALUE"""),"BN HIBAH")</f>
        <v>BN HIBAH</v>
      </c>
      <c r="H3610" s="42">
        <f t="shared" si="1"/>
        <v>1618</v>
      </c>
    </row>
    <row r="3611" ht="22.5" customHeight="1">
      <c r="B3611" s="42" t="str">
        <f>IFERROR(__xludf.DUMMYFUNCTION("""COMPUTED_VALUE"""),"K/18/170425/1")</f>
        <v>K/18/170425/1</v>
      </c>
      <c r="C3611" s="42" t="str">
        <f>IFERROR(__xludf.DUMMYFUNCTION("""COMPUTED_VALUE"""),"M. 2150/ Kupang Teba")</f>
        <v>M. 2150/ Kupang Teba</v>
      </c>
      <c r="D3611" s="42"/>
      <c r="E3611" s="42"/>
      <c r="F3611" s="48" t="str">
        <f>IFERROR(__xludf.DUMMYFUNCTION("""COMPUTED_VALUE"""),"")</f>
        <v/>
      </c>
      <c r="G3611" s="42" t="str">
        <f>IFERROR(__xludf.DUMMYFUNCTION("""COMPUTED_VALUE"""),"BN Jual Beli")</f>
        <v>BN Jual Beli</v>
      </c>
      <c r="H3611" s="42">
        <f t="shared" si="1"/>
        <v>1618</v>
      </c>
    </row>
    <row r="3612" ht="22.5" customHeight="1">
      <c r="B3612" s="42" t="str">
        <f>IFERROR(__xludf.DUMMYFUNCTION("""COMPUTED_VALUE"""),"K/19/170425/2")</f>
        <v>K/19/170425/2</v>
      </c>
      <c r="C3612" s="42" t="str">
        <f>IFERROR(__xludf.DUMMYFUNCTION("""COMPUTED_VALUE"""),"Nibel. M. 794/ Kupang Teba")</f>
        <v>Nibel. M. 794/ Kupang Teba</v>
      </c>
      <c r="D3612" s="42"/>
      <c r="E3612" s="42"/>
      <c r="F3612" s="48" t="str">
        <f>IFERROR(__xludf.DUMMYFUNCTION("""COMPUTED_VALUE"""),"")</f>
        <v/>
      </c>
      <c r="G3612" s="42" t="str">
        <f>IFERROR(__xludf.DUMMYFUNCTION("""COMPUTED_VALUE"""),"BN Jual Beli")</f>
        <v>BN Jual Beli</v>
      </c>
      <c r="H3612" s="42">
        <f t="shared" si="1"/>
        <v>1618</v>
      </c>
    </row>
    <row r="3613" ht="22.5" customHeight="1">
      <c r="B3613" s="42" t="str">
        <f>IFERROR(__xludf.DUMMYFUNCTION("""COMPUTED_VALUE"""),"K/20/170425/3")</f>
        <v>K/20/170425/3</v>
      </c>
      <c r="C3613" s="42" t="str">
        <f>IFERROR(__xludf.DUMMYFUNCTION("""COMPUTED_VALUE"""),"Nibel. M. 18357/ Kali Balau Kencana")</f>
        <v>Nibel. M. 18357/ Kali Balau Kencana</v>
      </c>
      <c r="D3613" s="42"/>
      <c r="E3613" s="42"/>
      <c r="F3613" s="48" t="str">
        <f>IFERROR(__xludf.DUMMYFUNCTION("""COMPUTED_VALUE"""),"")</f>
        <v/>
      </c>
      <c r="G3613" s="42" t="str">
        <f>IFERROR(__xludf.DUMMYFUNCTION("""COMPUTED_VALUE"""),"BN Jual Beli")</f>
        <v>BN Jual Beli</v>
      </c>
      <c r="H3613" s="42">
        <f t="shared" si="1"/>
        <v>1618</v>
      </c>
    </row>
    <row r="3614" ht="22.5" customHeight="1">
      <c r="B3614" s="42" t="str">
        <f>IFERROR(__xludf.DUMMYFUNCTION("""COMPUTED_VALUE"""),"K/22/170425/1")</f>
        <v>K/22/170425/1</v>
      </c>
      <c r="C3614" s="42" t="str">
        <f>IFERROR(__xludf.DUMMYFUNCTION("""COMPUTED_VALUE"""),"M. 219/ Perwata")</f>
        <v>M. 219/ Perwata</v>
      </c>
      <c r="D3614" s="42"/>
      <c r="E3614" s="42"/>
      <c r="F3614" s="48" t="str">
        <f>IFERROR(__xludf.DUMMYFUNCTION("""COMPUTED_VALUE"""),"")</f>
        <v/>
      </c>
      <c r="G3614" s="42" t="str">
        <f>IFERROR(__xludf.DUMMYFUNCTION("""COMPUTED_VALUE"""),"BN Jual Beli")</f>
        <v>BN Jual Beli</v>
      </c>
      <c r="H3614" s="42">
        <f t="shared" si="1"/>
        <v>1618</v>
      </c>
    </row>
    <row r="3615" ht="22.5" customHeight="1">
      <c r="B3615" s="42" t="str">
        <f>IFERROR(__xludf.DUMMYFUNCTION("""COMPUTED_VALUE"""),"K/21/170425/1")</f>
        <v>K/21/170425/1</v>
      </c>
      <c r="C3615" s="42" t="str">
        <f>IFERROR(__xludf.DUMMYFUNCTION("""COMPUTED_VALUE"""),"PBT 509/2021 BAKUNG")</f>
        <v>PBT 509/2021 BAKUNG</v>
      </c>
      <c r="D3615" s="42"/>
      <c r="E3615" s="42"/>
      <c r="F3615" s="48" t="str">
        <f>IFERROR(__xludf.DUMMYFUNCTION("""COMPUTED_VALUE"""),"")</f>
        <v/>
      </c>
      <c r="G3615" s="42" t="str">
        <f>IFERROR(__xludf.DUMMYFUNCTION("""COMPUTED_VALUE"""),"PERMOHONAN SK")</f>
        <v>PERMOHONAN SK</v>
      </c>
      <c r="H3615" s="42">
        <f t="shared" si="1"/>
        <v>1618</v>
      </c>
    </row>
    <row r="3616" ht="22.5" customHeight="1">
      <c r="B3616" s="42" t="str">
        <f>IFERROR(__xludf.DUMMYFUNCTION("""COMPUTED_VALUE"""),"K/23/170425/1")</f>
        <v>K/23/170425/1</v>
      </c>
      <c r="C3616" s="42" t="str">
        <f>IFERROR(__xludf.DUMMYFUNCTION("""COMPUTED_VALUE"""),"NIBEL M 16528/KALI BALAU KENCANA ")</f>
        <v>NIBEL M 16528/KALI BALAU KENCANA </v>
      </c>
      <c r="D3616" s="42"/>
      <c r="E3616" s="42"/>
      <c r="F3616" s="48" t="str">
        <f>IFERROR(__xludf.DUMMYFUNCTION("""COMPUTED_VALUE"""),"")</f>
        <v/>
      </c>
      <c r="G3616" s="42" t="str">
        <f>IFERROR(__xludf.DUMMYFUNCTION("""COMPUTED_VALUE"""),"JUAL BELI")</f>
        <v>JUAL BELI</v>
      </c>
      <c r="H3616" s="42">
        <f t="shared" si="1"/>
        <v>1618</v>
      </c>
    </row>
    <row r="3617" ht="22.5" customHeight="1">
      <c r="B3617" s="42" t="str">
        <f>IFERROR(__xludf.DUMMYFUNCTION("""COMPUTED_VALUE"""),"L/24/170425/1")</f>
        <v>L/24/170425/1</v>
      </c>
      <c r="C3617" s="42" t="str">
        <f>IFERROR(__xludf.DUMMYFUNCTION("""COMPUTED_VALUE"""),"HM 11542/JAGABAYA II")</f>
        <v>HM 11542/JAGABAYA II</v>
      </c>
      <c r="D3617" s="42"/>
      <c r="E3617" s="42"/>
      <c r="F3617" s="48" t="str">
        <f>IFERROR(__xludf.DUMMYFUNCTION("""COMPUTED_VALUE"""),"")</f>
        <v/>
      </c>
      <c r="G3617" s="42" t="str">
        <f>IFERROR(__xludf.DUMMYFUNCTION("""COMPUTED_VALUE"""),"ROYA")</f>
        <v>ROYA</v>
      </c>
      <c r="H3617" s="42">
        <f t="shared" si="1"/>
        <v>1618</v>
      </c>
    </row>
    <row r="3618" ht="22.5" customHeight="1">
      <c r="B3618" s="42" t="str">
        <f>IFERROR(__xludf.DUMMYFUNCTION("""COMPUTED_VALUE"""),"K/25/170425/1")</f>
        <v>K/25/170425/1</v>
      </c>
      <c r="C3618" s="42" t="str">
        <f>IFERROR(__xludf.DUMMYFUNCTION("""COMPUTED_VALUE"""),"M. 3125/ Sukarame Baru")</f>
        <v>M. 3125/ Sukarame Baru</v>
      </c>
      <c r="D3618" s="42"/>
      <c r="E3618" s="42"/>
      <c r="F3618" s="48" t="str">
        <f>IFERROR(__xludf.DUMMYFUNCTION("""COMPUTED_VALUE"""),"")</f>
        <v/>
      </c>
      <c r="G3618" s="42" t="str">
        <f>IFERROR(__xludf.DUMMYFUNCTION("""COMPUTED_VALUE"""),"BN JUAL BELI")</f>
        <v>BN JUAL BELI</v>
      </c>
      <c r="H3618" s="42">
        <f t="shared" si="1"/>
        <v>1618</v>
      </c>
    </row>
    <row r="3619" ht="22.5" customHeight="1">
      <c r="B3619" s="42" t="str">
        <f>IFERROR(__xludf.DUMMYFUNCTION("""COMPUTED_VALUE"""),"K/26/170425/2")</f>
        <v>K/26/170425/2</v>
      </c>
      <c r="C3619" s="42" t="str">
        <f>IFERROR(__xludf.DUMMYFUNCTION("""COMPUTED_VALUE"""),"Nibel 18673/ Nusantara Permai")</f>
        <v>Nibel 18673/ Nusantara Permai</v>
      </c>
      <c r="D3619" s="42"/>
      <c r="E3619" s="42"/>
      <c r="F3619" s="48" t="str">
        <f>IFERROR(__xludf.DUMMYFUNCTION("""COMPUTED_VALUE"""),"")</f>
        <v/>
      </c>
      <c r="G3619" s="42" t="str">
        <f>IFERROR(__xludf.DUMMYFUNCTION("""COMPUTED_VALUE"""),"BN JUAL BELI")</f>
        <v>BN JUAL BELI</v>
      </c>
      <c r="H3619" s="42">
        <f t="shared" si="1"/>
        <v>1618</v>
      </c>
    </row>
    <row r="3620" ht="22.5" customHeight="1">
      <c r="B3620" s="42" t="str">
        <f>IFERROR(__xludf.DUMMYFUNCTION("""COMPUTED_VALUE"""),"K/27/170425/3")</f>
        <v>K/27/170425/3</v>
      </c>
      <c r="C3620" s="42" t="str">
        <f>IFERROR(__xludf.DUMMYFUNCTION("""COMPUTED_VALUE"""),"M. 1954/ sukadanaham")</f>
        <v>M. 1954/ sukadanaham</v>
      </c>
      <c r="D3620" s="42"/>
      <c r="E3620" s="42"/>
      <c r="F3620" s="48" t="str">
        <f>IFERROR(__xludf.DUMMYFUNCTION("""COMPUTED_VALUE"""),"")</f>
        <v/>
      </c>
      <c r="G3620" s="42" t="str">
        <f>IFERROR(__xludf.DUMMYFUNCTION("""COMPUTED_VALUE"""),"BN JUAL BELI")</f>
        <v>BN JUAL BELI</v>
      </c>
      <c r="H3620" s="42">
        <f t="shared" si="1"/>
        <v>1618</v>
      </c>
    </row>
    <row r="3621" ht="22.5" customHeight="1">
      <c r="B3621" s="42" t="str">
        <f>IFERROR(__xludf.DUMMYFUNCTION("""COMPUTED_VALUE"""),"K/28/170425/1")</f>
        <v>K/28/170425/1</v>
      </c>
      <c r="C3621" s="42" t="str">
        <f>IFERROR(__xludf.DUMMYFUNCTION("""COMPUTED_VALUE"""),"M. 2379/KEDAUNG")</f>
        <v>M. 2379/KEDAUNG</v>
      </c>
      <c r="D3621" s="42"/>
      <c r="E3621" s="42"/>
      <c r="F3621" s="48" t="str">
        <f>IFERROR(__xludf.DUMMYFUNCTION("""COMPUTED_VALUE"""),"")</f>
        <v/>
      </c>
      <c r="G3621" s="42" t="str">
        <f>IFERROR(__xludf.DUMMYFUNCTION("""COMPUTED_VALUE"""),"BN JUAL BELI")</f>
        <v>BN JUAL BELI</v>
      </c>
      <c r="H3621" s="42">
        <f t="shared" si="1"/>
        <v>1618</v>
      </c>
    </row>
    <row r="3622" ht="22.5" customHeight="1">
      <c r="B3622" s="42" t="str">
        <f>IFERROR(__xludf.DUMMYFUNCTION("""COMPUTED_VALUE"""),"L/30/170425/1")</f>
        <v>L/30/170425/1</v>
      </c>
      <c r="C3622" s="42" t="str">
        <f>IFERROR(__xludf.DUMMYFUNCTION("""COMPUTED_VALUE"""),"HM 1172/PEMATANG WANGI")</f>
        <v>HM 1172/PEMATANG WANGI</v>
      </c>
      <c r="D3622" s="42" t="str">
        <f>IFERROR(__xludf.DUMMYFUNCTION("""COMPUTED_VALUE"""),"Alfiansyah")</f>
        <v>Alfiansyah</v>
      </c>
      <c r="E3622" s="42" t="str">
        <f>IFERROR(__xludf.DUMMYFUNCTION("""COMPUTED_VALUE"""),"DISERAHKAN")</f>
        <v>DISERAHKAN</v>
      </c>
      <c r="F3622" s="48">
        <f>IFERROR(__xludf.DUMMYFUNCTION("""COMPUTED_VALUE"""),45797.60304018519)</f>
        <v>45797.60304</v>
      </c>
      <c r="G3622" s="42" t="str">
        <f>IFERROR(__xludf.DUMMYFUNCTION("""COMPUTED_VALUE"""),"GANTI BLANGKO")</f>
        <v>GANTI BLANGKO</v>
      </c>
      <c r="H3622" s="42">
        <f t="shared" si="1"/>
        <v>1619</v>
      </c>
    </row>
    <row r="3623" ht="22.5" customHeight="1">
      <c r="B3623" s="42" t="str">
        <f>IFERROR(__xludf.DUMMYFUNCTION("""COMPUTED_VALUE"""),"K/29/170425/2")</f>
        <v>K/29/170425/2</v>
      </c>
      <c r="C3623" s="42" t="str">
        <f>IFERROR(__xludf.DUMMYFUNCTION("""COMPUTED_VALUE"""),"M. 300/WAY HALIM PERMAI")</f>
        <v>M. 300/WAY HALIM PERMAI</v>
      </c>
      <c r="D3623" s="42"/>
      <c r="E3623" s="42"/>
      <c r="F3623" s="48" t="str">
        <f>IFERROR(__xludf.DUMMYFUNCTION("""COMPUTED_VALUE"""),"")</f>
        <v/>
      </c>
      <c r="G3623" s="42" t="str">
        <f>IFERROR(__xludf.DUMMYFUNCTION("""COMPUTED_VALUE"""),"BN WARIS")</f>
        <v>BN WARIS</v>
      </c>
      <c r="H3623" s="42">
        <f t="shared" si="1"/>
        <v>1619</v>
      </c>
    </row>
    <row r="3624" ht="22.5" customHeight="1">
      <c r="B3624" s="42" t="str">
        <f>IFERROR(__xludf.DUMMYFUNCTION("""COMPUTED_VALUE"""),"K/31/170425/1")</f>
        <v>K/31/170425/1</v>
      </c>
      <c r="C3624" s="42" t="str">
        <f>IFERROR(__xludf.DUMMYFUNCTION("""COMPUTED_VALUE"""),"Nibel. B. 18825/Campang Raya")</f>
        <v>Nibel. B. 18825/Campang Raya</v>
      </c>
      <c r="D3624" s="42"/>
      <c r="E3624" s="42"/>
      <c r="F3624" s="48" t="str">
        <f>IFERROR(__xludf.DUMMYFUNCTION("""COMPUTED_VALUE"""),"")</f>
        <v/>
      </c>
      <c r="G3624" s="42" t="str">
        <f>IFERROR(__xludf.DUMMYFUNCTION("""COMPUTED_VALUE"""),"BN Jual Beli")</f>
        <v>BN Jual Beli</v>
      </c>
      <c r="H3624" s="42">
        <f t="shared" si="1"/>
        <v>1619</v>
      </c>
    </row>
    <row r="3625" ht="22.5" customHeight="1">
      <c r="B3625" s="42" t="str">
        <f>IFERROR(__xludf.DUMMYFUNCTION("""COMPUTED_VALUE"""),"K/34/170425/1")</f>
        <v>K/34/170425/1</v>
      </c>
      <c r="C3625" s="42" t="str">
        <f>IFERROR(__xludf.DUMMYFUNCTION("""COMPUTED_VALUE"""),"M. 12431/ Jagabaya II")</f>
        <v>M. 12431/ Jagabaya II</v>
      </c>
      <c r="D3625" s="42"/>
      <c r="E3625" s="42"/>
      <c r="F3625" s="48" t="str">
        <f>IFERROR(__xludf.DUMMYFUNCTION("""COMPUTED_VALUE"""),"")</f>
        <v/>
      </c>
      <c r="G3625" s="42" t="str">
        <f>IFERROR(__xludf.DUMMYFUNCTION("""COMPUTED_VALUE"""),"BN JUAL BELI")</f>
        <v>BN JUAL BELI</v>
      </c>
      <c r="H3625" s="42">
        <f t="shared" si="1"/>
        <v>1619</v>
      </c>
    </row>
    <row r="3626" ht="22.5" customHeight="1">
      <c r="B3626" s="42" t="str">
        <f>IFERROR(__xludf.DUMMYFUNCTION("""COMPUTED_VALUE"""),"K/32/170425/2")</f>
        <v>K/32/170425/2</v>
      </c>
      <c r="C3626" s="42" t="str">
        <f>IFERROR(__xludf.DUMMYFUNCTION("""COMPUTED_VALUE"""),"Nibel. B. 18301/ Campang Raya")</f>
        <v>Nibel. B. 18301/ Campang Raya</v>
      </c>
      <c r="D3626" s="42"/>
      <c r="E3626" s="42"/>
      <c r="F3626" s="48" t="str">
        <f>IFERROR(__xludf.DUMMYFUNCTION("""COMPUTED_VALUE"""),"")</f>
        <v/>
      </c>
      <c r="G3626" s="42" t="str">
        <f>IFERROR(__xludf.DUMMYFUNCTION("""COMPUTED_VALUE"""),"BN Jual Beli")</f>
        <v>BN Jual Beli</v>
      </c>
      <c r="H3626" s="42">
        <f t="shared" si="1"/>
        <v>1619</v>
      </c>
    </row>
    <row r="3627" ht="22.5" customHeight="1">
      <c r="B3627" s="42" t="str">
        <f>IFERROR(__xludf.DUMMYFUNCTION("""COMPUTED_VALUE"""),"K/33/170425/3")</f>
        <v>K/33/170425/3</v>
      </c>
      <c r="C3627" s="42" t="str">
        <f>IFERROR(__xludf.DUMMYFUNCTION("""COMPUTED_VALUE"""),"Nibel. M. 18325/ Campang Raya")</f>
        <v>Nibel. M. 18325/ Campang Raya</v>
      </c>
      <c r="D3627" s="42"/>
      <c r="E3627" s="42"/>
      <c r="F3627" s="48" t="str">
        <f>IFERROR(__xludf.DUMMYFUNCTION("""COMPUTED_VALUE"""),"")</f>
        <v/>
      </c>
      <c r="G3627" s="42" t="str">
        <f>IFERROR(__xludf.DUMMYFUNCTION("""COMPUTED_VALUE"""),"BN Jual Beli")</f>
        <v>BN Jual Beli</v>
      </c>
      <c r="H3627" s="42">
        <f t="shared" si="1"/>
        <v>1619</v>
      </c>
    </row>
    <row r="3628" ht="22.5" customHeight="1">
      <c r="B3628" s="42" t="str">
        <f>IFERROR(__xludf.DUMMYFUNCTION("""COMPUTED_VALUE"""),"K/35/170425/2")</f>
        <v>K/35/170425/2</v>
      </c>
      <c r="C3628" s="42" t="str">
        <f>IFERROR(__xludf.DUMMYFUNCTION("""COMPUTED_VALUE"""),"M. 12442/ Jagabaya II")</f>
        <v>M. 12442/ Jagabaya II</v>
      </c>
      <c r="D3628" s="42"/>
      <c r="E3628" s="42"/>
      <c r="F3628" s="48" t="str">
        <f>IFERROR(__xludf.DUMMYFUNCTION("""COMPUTED_VALUE"""),"")</f>
        <v/>
      </c>
      <c r="G3628" s="42" t="str">
        <f>IFERROR(__xludf.DUMMYFUNCTION("""COMPUTED_VALUE"""),"BN JUAL BELI")</f>
        <v>BN JUAL BELI</v>
      </c>
      <c r="H3628" s="42">
        <f t="shared" si="1"/>
        <v>1619</v>
      </c>
    </row>
    <row r="3629" ht="22.5" customHeight="1">
      <c r="B3629" s="42" t="str">
        <f>IFERROR(__xludf.DUMMYFUNCTION("""COMPUTED_VALUE"""),"K/1/210425/1")</f>
        <v>K/1/210425/1</v>
      </c>
      <c r="C3629" s="42" t="str">
        <f>IFERROR(__xludf.DUMMYFUNCTION("""COMPUTED_VALUE"""),"Ninel. B. 16401; 16415/ Durian Payung")</f>
        <v>Ninel. B. 16401; 16415/ Durian Payung</v>
      </c>
      <c r="D3629" s="42"/>
      <c r="E3629" s="42"/>
      <c r="F3629" s="48" t="str">
        <f>IFERROR(__xludf.DUMMYFUNCTION("""COMPUTED_VALUE"""),"")</f>
        <v/>
      </c>
      <c r="G3629" s="42" t="str">
        <f>IFERROR(__xludf.DUMMYFUNCTION("""COMPUTED_VALUE"""),"Penggabungan")</f>
        <v>Penggabungan</v>
      </c>
      <c r="H3629" s="42">
        <f t="shared" si="1"/>
        <v>1619</v>
      </c>
    </row>
    <row r="3630" ht="22.5" customHeight="1">
      <c r="B3630" s="42" t="str">
        <f>IFERROR(__xludf.DUMMYFUNCTION("""COMPUTED_VALUE"""),"K/2/210425/2")</f>
        <v>K/2/210425/2</v>
      </c>
      <c r="C3630" s="42" t="str">
        <f>IFERROR(__xludf.DUMMYFUNCTION("""COMPUTED_VALUE"""),"Nibel. M. 19340/ Keteguhan")</f>
        <v>Nibel. M. 19340/ Keteguhan</v>
      </c>
      <c r="D3630" s="42"/>
      <c r="E3630" s="42"/>
      <c r="F3630" s="48" t="str">
        <f>IFERROR(__xludf.DUMMYFUNCTION("""COMPUTED_VALUE"""),"")</f>
        <v/>
      </c>
      <c r="G3630" s="42" t="str">
        <f>IFERROR(__xludf.DUMMYFUNCTION("""COMPUTED_VALUE"""),"BN Lelang")</f>
        <v>BN Lelang</v>
      </c>
      <c r="H3630" s="42">
        <f t="shared" si="1"/>
        <v>1619</v>
      </c>
    </row>
    <row r="3631" ht="22.5" customHeight="1">
      <c r="B3631" s="42" t="str">
        <f>IFERROR(__xludf.DUMMYFUNCTION("""COMPUTED_VALUE"""),"K/3/210425/2")</f>
        <v>K/3/210425/2</v>
      </c>
      <c r="C3631" s="42" t="str">
        <f>IFERROR(__xludf.DUMMYFUNCTION("""COMPUTED_VALUE"""),"Nibel. M. 18979/ Keteguhan")</f>
        <v>Nibel. M. 18979/ Keteguhan</v>
      </c>
      <c r="D3631" s="42"/>
      <c r="E3631" s="42"/>
      <c r="F3631" s="48" t="str">
        <f>IFERROR(__xludf.DUMMYFUNCTION("""COMPUTED_VALUE"""),"")</f>
        <v/>
      </c>
      <c r="G3631" s="42" t="str">
        <f>IFERROR(__xludf.DUMMYFUNCTION("""COMPUTED_VALUE"""),"BN Lelang")</f>
        <v>BN Lelang</v>
      </c>
      <c r="H3631" s="42">
        <f t="shared" si="1"/>
        <v>1619</v>
      </c>
    </row>
    <row r="3632" ht="22.5" customHeight="1">
      <c r="B3632" s="42" t="str">
        <f>IFERROR(__xludf.DUMMYFUNCTION("""COMPUTED_VALUE"""),"K/4/210425/2")</f>
        <v>K/4/210425/2</v>
      </c>
      <c r="C3632" s="42" t="str">
        <f>IFERROR(__xludf.DUMMYFUNCTION("""COMPUTED_VALUE"""),"Nibel. B. 16409; 16417/Durian Payung")</f>
        <v>Nibel. B. 16409; 16417/Durian Payung</v>
      </c>
      <c r="D3632" s="42"/>
      <c r="E3632" s="42"/>
      <c r="F3632" s="48" t="str">
        <f>IFERROR(__xludf.DUMMYFUNCTION("""COMPUTED_VALUE"""),"")</f>
        <v/>
      </c>
      <c r="G3632" s="42" t="str">
        <f>IFERROR(__xludf.DUMMYFUNCTION("""COMPUTED_VALUE"""),"Penggabungan")</f>
        <v>Penggabungan</v>
      </c>
      <c r="H3632" s="42">
        <f t="shared" si="1"/>
        <v>1619</v>
      </c>
    </row>
    <row r="3633" ht="22.5" customHeight="1">
      <c r="B3633" s="42" t="str">
        <f>IFERROR(__xludf.DUMMYFUNCTION("""COMPUTED_VALUE"""),"K/5/210425/3")</f>
        <v>K/5/210425/3</v>
      </c>
      <c r="C3633" s="42" t="str">
        <f>IFERROR(__xludf.DUMMYFUNCTION("""COMPUTED_VALUE"""),"Nibel. B. 16246; B. 575; 572/ Sumur Putri")</f>
        <v>Nibel. B. 16246; B. 575; 572/ Sumur Putri</v>
      </c>
      <c r="D3633" s="42"/>
      <c r="E3633" s="42"/>
      <c r="F3633" s="48" t="str">
        <f>IFERROR(__xludf.DUMMYFUNCTION("""COMPUTED_VALUE"""),"")</f>
        <v/>
      </c>
      <c r="G3633" s="42" t="str">
        <f>IFERROR(__xludf.DUMMYFUNCTION("""COMPUTED_VALUE"""),"Penggabungan")</f>
        <v>Penggabungan</v>
      </c>
      <c r="H3633" s="42">
        <f t="shared" si="1"/>
        <v>1619</v>
      </c>
    </row>
    <row r="3634" ht="22.5" customHeight="1">
      <c r="B3634" s="42" t="str">
        <f>IFERROR(__xludf.DUMMYFUNCTION("""COMPUTED_VALUE"""),"L/6/210425/1")</f>
        <v>L/6/210425/1</v>
      </c>
      <c r="C3634" s="42" t="str">
        <f>IFERROR(__xludf.DUMMYFUNCTION("""COMPUTED_VALUE"""),"HM 439/KORPRI JAYA")</f>
        <v>HM 439/KORPRI JAYA</v>
      </c>
      <c r="D3634" s="42" t="str">
        <f>IFERROR(__xludf.DUMMYFUNCTION("""COMPUTED_VALUE"""),"David")</f>
        <v>David</v>
      </c>
      <c r="E3634" s="42" t="str">
        <f>IFERROR(__xludf.DUMMYFUNCTION("""COMPUTED_VALUE"""),"DISERAHKAN")</f>
        <v>DISERAHKAN</v>
      </c>
      <c r="F3634" s="48">
        <f>IFERROR(__xludf.DUMMYFUNCTION("""COMPUTED_VALUE"""),45793.46848217593)</f>
        <v>45793.46848</v>
      </c>
      <c r="G3634" s="42" t="str">
        <f>IFERROR(__xludf.DUMMYFUNCTION("""COMPUTED_VALUE"""),"ROYA")</f>
        <v>ROYA</v>
      </c>
      <c r="H3634" s="42">
        <f t="shared" si="1"/>
        <v>1620</v>
      </c>
    </row>
    <row r="3635" ht="22.5" customHeight="1">
      <c r="B3635" s="42" t="str">
        <f>IFERROR(__xludf.DUMMYFUNCTION("""COMPUTED_VALUE"""),"L/8/210425/1")</f>
        <v>L/8/210425/1</v>
      </c>
      <c r="C3635" s="42" t="str">
        <f>IFERROR(__xludf.DUMMYFUNCTION("""COMPUTED_VALUE"""),"HGB253/PANJANG UTARA")</f>
        <v>HGB253/PANJANG UTARA</v>
      </c>
      <c r="D3635" s="42"/>
      <c r="E3635" s="42"/>
      <c r="F3635" s="48" t="str">
        <f>IFERROR(__xludf.DUMMYFUNCTION("""COMPUTED_VALUE"""),"")</f>
        <v/>
      </c>
      <c r="G3635" s="42" t="str">
        <f>IFERROR(__xludf.DUMMYFUNCTION("""COMPUTED_VALUE"""),"ASPEK")</f>
        <v>ASPEK</v>
      </c>
      <c r="H3635" s="42">
        <f t="shared" si="1"/>
        <v>1620</v>
      </c>
    </row>
    <row r="3636" ht="22.5" customHeight="1">
      <c r="B3636" s="42" t="str">
        <f>IFERROR(__xludf.DUMMYFUNCTION("""COMPUTED_VALUE"""),"K/7/210425/1")</f>
        <v>K/7/210425/1</v>
      </c>
      <c r="C3636" s="42" t="str">
        <f>IFERROR(__xludf.DUMMYFUNCTION("""COMPUTED_VALUE"""),"M.2180/KEDAUNG")</f>
        <v>M.2180/KEDAUNG</v>
      </c>
      <c r="D3636" s="42"/>
      <c r="E3636" s="42"/>
      <c r="F3636" s="48" t="str">
        <f>IFERROR(__xludf.DUMMYFUNCTION("""COMPUTED_VALUE"""),"")</f>
        <v/>
      </c>
      <c r="G3636" s="42" t="str">
        <f>IFERROR(__xludf.DUMMYFUNCTION("""COMPUTED_VALUE"""),"SKPT LELANG")</f>
        <v>SKPT LELANG</v>
      </c>
      <c r="H3636" s="42">
        <f t="shared" si="1"/>
        <v>1620</v>
      </c>
    </row>
    <row r="3637" ht="22.5" customHeight="1">
      <c r="B3637" s="42" t="str">
        <f>IFERROR(__xludf.DUMMYFUNCTION("""COMPUTED_VALUE"""),"K/10/210425/2")</f>
        <v>K/10/210425/2</v>
      </c>
      <c r="C3637" s="42" t="str">
        <f>IFERROR(__xludf.DUMMYFUNCTION("""COMPUTED_VALUE"""),"M.4267/GUNUNG TERANG")</f>
        <v>M.4267/GUNUNG TERANG</v>
      </c>
      <c r="D3637" s="42"/>
      <c r="E3637" s="42"/>
      <c r="F3637" s="48" t="str">
        <f>IFERROR(__xludf.DUMMYFUNCTION("""COMPUTED_VALUE"""),"")</f>
        <v/>
      </c>
      <c r="G3637" s="42" t="str">
        <f>IFERROR(__xludf.DUMMYFUNCTION("""COMPUTED_VALUE"""),"SKPT LELANG")</f>
        <v>SKPT LELANG</v>
      </c>
      <c r="H3637" s="42">
        <f t="shared" si="1"/>
        <v>1620</v>
      </c>
    </row>
    <row r="3638" ht="22.5" customHeight="1">
      <c r="B3638" s="42" t="str">
        <f>IFERROR(__xludf.DUMMYFUNCTION("""COMPUTED_VALUE"""),"K/9/210425/1")</f>
        <v>K/9/210425/1</v>
      </c>
      <c r="C3638" s="42" t="str">
        <f>IFERROR(__xludf.DUMMYFUNCTION("""COMPUTED_VALUE"""),"M. 9675/GEDONG MENENG")</f>
        <v>M. 9675/GEDONG MENENG</v>
      </c>
      <c r="D3638" s="42" t="str">
        <f>IFERROR(__xludf.DUMMYFUNCTION("""COMPUTED_VALUE"""),"David")</f>
        <v>David</v>
      </c>
      <c r="E3638" s="42" t="str">
        <f>IFERROR(__xludf.DUMMYFUNCTION("""COMPUTED_VALUE"""),"DISERAHKAN")</f>
        <v>DISERAHKAN</v>
      </c>
      <c r="F3638" s="48">
        <f>IFERROR(__xludf.DUMMYFUNCTION("""COMPUTED_VALUE"""),45819.37549657407)</f>
        <v>45819.3755</v>
      </c>
      <c r="G3638" s="42" t="str">
        <f>IFERROR(__xludf.DUMMYFUNCTION("""COMPUTED_VALUE"""),"ROYA")</f>
        <v>ROYA</v>
      </c>
      <c r="H3638" s="42">
        <f t="shared" si="1"/>
        <v>1621</v>
      </c>
    </row>
    <row r="3639" ht="22.5" customHeight="1">
      <c r="B3639" s="42" t="str">
        <f>IFERROR(__xludf.DUMMYFUNCTION("""COMPUTED_VALUE"""),"K/11/210425/2")</f>
        <v>K/11/210425/2</v>
      </c>
      <c r="C3639" s="42" t="str">
        <f>IFERROR(__xludf.DUMMYFUNCTION("""COMPUTED_VALUE"""),"NIBEL M. 2995/KALI BALAU KENCANA")</f>
        <v>NIBEL M. 2995/KALI BALAU KENCANA</v>
      </c>
      <c r="D3639" s="42"/>
      <c r="E3639" s="42"/>
      <c r="F3639" s="48" t="str">
        <f>IFERROR(__xludf.DUMMYFUNCTION("""COMPUTED_VALUE"""),"")</f>
        <v/>
      </c>
      <c r="G3639" s="42" t="str">
        <f>IFERROR(__xludf.DUMMYFUNCTION("""COMPUTED_VALUE"""),"BN WARIS")</f>
        <v>BN WARIS</v>
      </c>
      <c r="H3639" s="42">
        <f t="shared" si="1"/>
        <v>1621</v>
      </c>
    </row>
    <row r="3640" ht="22.5" customHeight="1">
      <c r="B3640" s="42" t="str">
        <f>IFERROR(__xludf.DUMMYFUNCTION("""COMPUTED_VALUE"""),"K/12/210425/1")</f>
        <v>K/12/210425/1</v>
      </c>
      <c r="C3640" s="42" t="str">
        <f>IFERROR(__xludf.DUMMYFUNCTION("""COMPUTED_VALUE"""),"M. 583/ Sumberrejo")</f>
        <v>M. 583/ Sumberrejo</v>
      </c>
      <c r="D3640" s="42" t="str">
        <f>IFERROR(__xludf.DUMMYFUNCTION("""COMPUTED_VALUE"""),"David")</f>
        <v>David</v>
      </c>
      <c r="E3640" s="42" t="str">
        <f>IFERROR(__xludf.DUMMYFUNCTION("""COMPUTED_VALUE"""),"DISERAHKAN")</f>
        <v>DISERAHKAN</v>
      </c>
      <c r="F3640" s="48">
        <f>IFERROR(__xludf.DUMMYFUNCTION("""COMPUTED_VALUE"""),45852.64210173611)</f>
        <v>45852.6421</v>
      </c>
      <c r="G3640" s="42" t="str">
        <f>IFERROR(__xludf.DUMMYFUNCTION("""COMPUTED_VALUE"""),"ROYA")</f>
        <v>ROYA</v>
      </c>
      <c r="H3640" s="42">
        <f t="shared" si="1"/>
        <v>1622</v>
      </c>
    </row>
    <row r="3641" ht="22.5" customHeight="1">
      <c r="B3641" s="42" t="str">
        <f>IFERROR(__xludf.DUMMYFUNCTION("""COMPUTED_VALUE"""),"K/13/210425/1")</f>
        <v>K/13/210425/1</v>
      </c>
      <c r="C3641" s="42" t="str">
        <f>IFERROR(__xludf.DUMMYFUNCTION("""COMPUTED_VALUE"""),"B. 494/ Gn Sulah")</f>
        <v>B. 494/ Gn Sulah</v>
      </c>
      <c r="D3641" s="42" t="str">
        <f>IFERROR(__xludf.DUMMYFUNCTION("""COMPUTED_VALUE"""),"David")</f>
        <v>David</v>
      </c>
      <c r="E3641" s="42" t="str">
        <f>IFERROR(__xludf.DUMMYFUNCTION("""COMPUTED_VALUE"""),"DISERAHKAN")</f>
        <v>DISERAHKAN</v>
      </c>
      <c r="F3641" s="48">
        <f>IFERROR(__xludf.DUMMYFUNCTION("""COMPUTED_VALUE"""),45868.654828969906)</f>
        <v>45868.65483</v>
      </c>
      <c r="G3641" s="42" t="str">
        <f>IFERROR(__xludf.DUMMYFUNCTION("""COMPUTED_VALUE"""),"ROYA")</f>
        <v>ROYA</v>
      </c>
      <c r="H3641" s="42">
        <f t="shared" si="1"/>
        <v>1623</v>
      </c>
    </row>
    <row r="3642" ht="22.5" customHeight="1">
      <c r="B3642" s="42" t="str">
        <f>IFERROR(__xludf.DUMMYFUNCTION("""COMPUTED_VALUE"""),"L/16/210425/1")</f>
        <v>L/16/210425/1</v>
      </c>
      <c r="C3642" s="42" t="str">
        <f>IFERROR(__xludf.DUMMYFUNCTION("""COMPUTED_VALUE"""),"HGB 94/RAJABASA")</f>
        <v>HGB 94/RAJABASA</v>
      </c>
      <c r="D3642" s="42"/>
      <c r="E3642" s="42"/>
      <c r="F3642" s="48" t="str">
        <f>IFERROR(__xludf.DUMMYFUNCTION("""COMPUTED_VALUE"""),"")</f>
        <v/>
      </c>
      <c r="G3642" s="42" t="str">
        <f>IFERROR(__xludf.DUMMYFUNCTION("""COMPUTED_VALUE"""),"PERTAMA KALI")</f>
        <v>PERTAMA KALI</v>
      </c>
      <c r="H3642" s="42">
        <f t="shared" si="1"/>
        <v>1623</v>
      </c>
    </row>
    <row r="3643" ht="22.5" customHeight="1">
      <c r="B3643" s="42" t="str">
        <f>IFERROR(__xludf.DUMMYFUNCTION("""COMPUTED_VALUE"""),"L/20/210425/1")</f>
        <v>L/20/210425/1</v>
      </c>
      <c r="C3643" s="42" t="str">
        <f>IFERROR(__xludf.DUMMYFUNCTION("""COMPUTED_VALUE"""),"NIB 18872/SUKABUMI")</f>
        <v>NIB 18872/SUKABUMI</v>
      </c>
      <c r="D3643" s="42"/>
      <c r="E3643" s="42"/>
      <c r="F3643" s="48" t="str">
        <f>IFERROR(__xludf.DUMMYFUNCTION("""COMPUTED_VALUE"""),"")</f>
        <v/>
      </c>
      <c r="G3643" s="42" t="str">
        <f>IFERROR(__xludf.DUMMYFUNCTION("""COMPUTED_VALUE"""),"PH")</f>
        <v>PH</v>
      </c>
      <c r="H3643" s="42">
        <f t="shared" si="1"/>
        <v>1623</v>
      </c>
    </row>
    <row r="3644" ht="22.5" customHeight="1">
      <c r="B3644" s="42" t="str">
        <f>IFERROR(__xludf.DUMMYFUNCTION("""COMPUTED_VALUE"""),"K/18/210425/1")</f>
        <v>K/18/210425/1</v>
      </c>
      <c r="C3644" s="42" t="str">
        <f>IFERROR(__xludf.DUMMYFUNCTION("""COMPUTED_VALUE"""),"M. 918/ Korpri Jaya")</f>
        <v>M. 918/ Korpri Jaya</v>
      </c>
      <c r="D3644" s="42" t="str">
        <f>IFERROR(__xludf.DUMMYFUNCTION("""COMPUTED_VALUE"""),"Berry")</f>
        <v>Berry</v>
      </c>
      <c r="E3644" s="42" t="str">
        <f>IFERROR(__xludf.DUMMYFUNCTION("""COMPUTED_VALUE"""),"DISERAHKAN")</f>
        <v>DISERAHKAN</v>
      </c>
      <c r="F3644" s="48">
        <f>IFERROR(__xludf.DUMMYFUNCTION("""COMPUTED_VALUE"""),45825.55438103009)</f>
        <v>45825.55438</v>
      </c>
      <c r="G3644" s="42" t="str">
        <f>IFERROR(__xludf.DUMMYFUNCTION("""COMPUTED_VALUE"""),"BN Jual Beli")</f>
        <v>BN Jual Beli</v>
      </c>
      <c r="H3644" s="42">
        <f t="shared" si="1"/>
        <v>1624</v>
      </c>
    </row>
    <row r="3645" ht="22.5" customHeight="1">
      <c r="B3645" s="42" t="str">
        <f>IFERROR(__xludf.DUMMYFUNCTION("""COMPUTED_VALUE"""),"K/17/210425/1")</f>
        <v>K/17/210425/1</v>
      </c>
      <c r="C3645" s="42" t="str">
        <f>IFERROR(__xludf.DUMMYFUNCTION("""COMPUTED_VALUE"""),"M.1825/SUKAMAJU")</f>
        <v>M.1825/SUKAMAJU</v>
      </c>
      <c r="D3645" s="42"/>
      <c r="E3645" s="42"/>
      <c r="F3645" s="48" t="str">
        <f>IFERROR(__xludf.DUMMYFUNCTION("""COMPUTED_VALUE"""),"")</f>
        <v/>
      </c>
      <c r="G3645" s="42" t="str">
        <f>IFERROR(__xludf.DUMMYFUNCTION("""COMPUTED_VALUE"""),"PEMECAHAN")</f>
        <v>PEMECAHAN</v>
      </c>
      <c r="H3645" s="42">
        <f t="shared" si="1"/>
        <v>1624</v>
      </c>
    </row>
    <row r="3646" ht="22.5" customHeight="1">
      <c r="B3646" s="42" t="str">
        <f>IFERROR(__xludf.DUMMYFUNCTION("""COMPUTED_VALUE"""),"K/21/210425/1")</f>
        <v>K/21/210425/1</v>
      </c>
      <c r="C3646" s="42" t="str">
        <f>IFERROR(__xludf.DUMMYFUNCTION("""COMPUTED_VALUE"""),"M.16055/SUKARAME")</f>
        <v>M.16055/SUKARAME</v>
      </c>
      <c r="D3646" s="42"/>
      <c r="E3646" s="42"/>
      <c r="F3646" s="48" t="str">
        <f>IFERROR(__xludf.DUMMYFUNCTION("""COMPUTED_VALUE"""),"")</f>
        <v/>
      </c>
      <c r="G3646" s="42" t="str">
        <f>IFERROR(__xludf.DUMMYFUNCTION("""COMPUTED_VALUE"""),"HIBAH")</f>
        <v>HIBAH</v>
      </c>
      <c r="H3646" s="42">
        <f t="shared" si="1"/>
        <v>1624</v>
      </c>
    </row>
    <row r="3647" ht="22.5" customHeight="1">
      <c r="B3647" s="42" t="str">
        <f>IFERROR(__xludf.DUMMYFUNCTION("""COMPUTED_VALUE"""),"K/14/210425/1")</f>
        <v>K/14/210425/1</v>
      </c>
      <c r="C3647" s="42" t="str">
        <f>IFERROR(__xludf.DUMMYFUNCTION("""COMPUTED_VALUE"""),"M. 2321/ Kota Baru")</f>
        <v>M. 2321/ Kota Baru</v>
      </c>
      <c r="D3647" s="42" t="str">
        <f>IFERROR(__xludf.DUMMYFUNCTION("""COMPUTED_VALUE"""),"David")</f>
        <v>David</v>
      </c>
      <c r="E3647" s="42" t="str">
        <f>IFERROR(__xludf.DUMMYFUNCTION("""COMPUTED_VALUE"""),"DISERAHKAN")</f>
        <v>DISERAHKAN</v>
      </c>
      <c r="F3647" s="48">
        <f>IFERROR(__xludf.DUMMYFUNCTION("""COMPUTED_VALUE"""),45825.64787518518)</f>
        <v>45825.64788</v>
      </c>
      <c r="G3647" s="42" t="str">
        <f>IFERROR(__xludf.DUMMYFUNCTION("""COMPUTED_VALUE"""),"ROYA")</f>
        <v>ROYA</v>
      </c>
      <c r="H3647" s="42">
        <f t="shared" si="1"/>
        <v>1625</v>
      </c>
    </row>
    <row r="3648" ht="22.5" customHeight="1">
      <c r="B3648" s="42" t="str">
        <f>IFERROR(__xludf.DUMMYFUNCTION("""COMPUTED_VALUE"""),"K/19/210425/2")</f>
        <v>K/19/210425/2</v>
      </c>
      <c r="C3648" s="42" t="str">
        <f>IFERROR(__xludf.DUMMYFUNCTION("""COMPUTED_VALUE"""),"M. 10504/ Sukabumi")</f>
        <v>M. 10504/ Sukabumi</v>
      </c>
      <c r="D3648" s="42"/>
      <c r="E3648" s="42"/>
      <c r="F3648" s="48" t="str">
        <f>IFERROR(__xludf.DUMMYFUNCTION("""COMPUTED_VALUE"""),"")</f>
        <v/>
      </c>
      <c r="G3648" s="42" t="str">
        <f>IFERROR(__xludf.DUMMYFUNCTION("""COMPUTED_VALUE"""),"BN Waris")</f>
        <v>BN Waris</v>
      </c>
      <c r="H3648" s="42">
        <f t="shared" si="1"/>
        <v>1625</v>
      </c>
    </row>
    <row r="3649" ht="22.5" customHeight="1">
      <c r="B3649" s="42" t="str">
        <f>IFERROR(__xludf.DUMMYFUNCTION("""COMPUTED_VALUE"""),"L/22/210425/1")</f>
        <v>L/22/210425/1</v>
      </c>
      <c r="C3649" s="42" t="str">
        <f>IFERROR(__xludf.DUMMYFUNCTION("""COMPUTED_VALUE"""),"HM 13606/RAJABASA ")</f>
        <v>HM 13606/RAJABASA </v>
      </c>
      <c r="D3649" s="42" t="str">
        <f>IFERROR(__xludf.DUMMYFUNCTION("""COMPUTED_VALUE"""),"David")</f>
        <v>David</v>
      </c>
      <c r="E3649" s="42" t="str">
        <f>IFERROR(__xludf.DUMMYFUNCTION("""COMPUTED_VALUE"""),"DISERAHKAN")</f>
        <v>DISERAHKAN</v>
      </c>
      <c r="F3649" s="48">
        <f>IFERROR(__xludf.DUMMYFUNCTION("""COMPUTED_VALUE"""),45846.66248458333)</f>
        <v>45846.66248</v>
      </c>
      <c r="G3649" s="42" t="str">
        <f>IFERROR(__xludf.DUMMYFUNCTION("""COMPUTED_VALUE"""),"ROYA")</f>
        <v>ROYA</v>
      </c>
      <c r="H3649" s="42">
        <f t="shared" si="1"/>
        <v>1626</v>
      </c>
    </row>
    <row r="3650" ht="22.5" customHeight="1">
      <c r="B3650" s="42" t="str">
        <f>IFERROR(__xludf.DUMMYFUNCTION("""COMPUTED_VALUE"""),"L/23/210425/1")</f>
        <v>L/23/210425/1</v>
      </c>
      <c r="C3650" s="42" t="str">
        <f>IFERROR(__xludf.DUMMYFUNCTION("""COMPUTED_VALUE"""),"HM 2489/CAMPANG RAYA")</f>
        <v>HM 2489/CAMPANG RAYA</v>
      </c>
      <c r="D3650" s="42" t="str">
        <f>IFERROR(__xludf.DUMMYFUNCTION("""COMPUTED_VALUE"""),"Berry")</f>
        <v>Berry</v>
      </c>
      <c r="E3650" s="42" t="str">
        <f>IFERROR(__xludf.DUMMYFUNCTION("""COMPUTED_VALUE"""),"DISERAHKAN")</f>
        <v>DISERAHKAN</v>
      </c>
      <c r="F3650" s="48">
        <f>IFERROR(__xludf.DUMMYFUNCTION("""COMPUTED_VALUE"""),45799.528140740746)</f>
        <v>45799.52814</v>
      </c>
      <c r="G3650" s="42" t="str">
        <f>IFERROR(__xludf.DUMMYFUNCTION("""COMPUTED_VALUE"""),"ROYA")</f>
        <v>ROYA</v>
      </c>
      <c r="H3650" s="42">
        <f t="shared" si="1"/>
        <v>1627</v>
      </c>
    </row>
    <row r="3651" ht="22.5" customHeight="1">
      <c r="B3651" s="42" t="str">
        <f>IFERROR(__xludf.DUMMYFUNCTION("""COMPUTED_VALUE"""),"L/24/210425/1")</f>
        <v>L/24/210425/1</v>
      </c>
      <c r="C3651" s="42" t="str">
        <f>IFERROR(__xludf.DUMMYFUNCTION("""COMPUTED_VALUE"""),"HGB 2/GUNUNG MAS")</f>
        <v>HGB 2/GUNUNG MAS</v>
      </c>
      <c r="D3651" s="42"/>
      <c r="E3651" s="42"/>
      <c r="F3651" s="48" t="str">
        <f>IFERROR(__xludf.DUMMYFUNCTION("""COMPUTED_VALUE"""),"")</f>
        <v/>
      </c>
      <c r="G3651" s="42" t="str">
        <f>IFERROR(__xludf.DUMMYFUNCTION("""COMPUTED_VALUE"""),"ASPEK")</f>
        <v>ASPEK</v>
      </c>
      <c r="H3651" s="42">
        <f t="shared" si="1"/>
        <v>1627</v>
      </c>
    </row>
    <row r="3652" ht="22.5" customHeight="1">
      <c r="B3652" s="42" t="str">
        <f>IFERROR(__xludf.DUMMYFUNCTION("""COMPUTED_VALUE"""),"K/25/210425/1")</f>
        <v>K/25/210425/1</v>
      </c>
      <c r="C3652" s="42" t="str">
        <f>IFERROR(__xludf.DUMMYFUNCTION("""COMPUTED_VALUE"""),"Nibel. M. 12782/ Bumi Kedamaian")</f>
        <v>Nibel. M. 12782/ Bumi Kedamaian</v>
      </c>
      <c r="D3652" s="42"/>
      <c r="E3652" s="42"/>
      <c r="F3652" s="48" t="str">
        <f>IFERROR(__xludf.DUMMYFUNCTION("""COMPUTED_VALUE"""),"")</f>
        <v/>
      </c>
      <c r="G3652" s="42" t="str">
        <f>IFERROR(__xludf.DUMMYFUNCTION("""COMPUTED_VALUE"""),"BN PHB")</f>
        <v>BN PHB</v>
      </c>
      <c r="H3652" s="42">
        <f t="shared" si="1"/>
        <v>1627</v>
      </c>
    </row>
    <row r="3653" ht="22.5" customHeight="1">
      <c r="B3653" s="42" t="str">
        <f>IFERROR(__xludf.DUMMYFUNCTION("""COMPUTED_VALUE"""),"K/26/210425/1")</f>
        <v>K/26/210425/1</v>
      </c>
      <c r="C3653" s="42" t="str">
        <f>IFERROR(__xludf.DUMMYFUNCTION("""COMPUTED_VALUE"""),"M. 9504/SIDODADI")</f>
        <v>M. 9504/SIDODADI</v>
      </c>
      <c r="D3653" s="42" t="str">
        <f>IFERROR(__xludf.DUMMYFUNCTION("""COMPUTED_VALUE"""),"Berry")</f>
        <v>Berry</v>
      </c>
      <c r="E3653" s="42" t="str">
        <f>IFERROR(__xludf.DUMMYFUNCTION("""COMPUTED_VALUE"""),"DISERAHKAN")</f>
        <v>DISERAHKAN</v>
      </c>
      <c r="F3653" s="48">
        <f>IFERROR(__xludf.DUMMYFUNCTION("""COMPUTED_VALUE"""),45803.43502318287)</f>
        <v>45803.43502</v>
      </c>
      <c r="G3653" s="42" t="str">
        <f>IFERROR(__xludf.DUMMYFUNCTION("""COMPUTED_VALUE"""),"BN JUAL BELI")</f>
        <v>BN JUAL BELI</v>
      </c>
      <c r="H3653" s="42">
        <f t="shared" si="1"/>
        <v>1628</v>
      </c>
    </row>
    <row r="3654" ht="22.5" customHeight="1">
      <c r="B3654" s="42" t="str">
        <f>IFERROR(__xludf.DUMMYFUNCTION("""COMPUTED_VALUE"""),"K/29/210425/1")</f>
        <v>K/29/210425/1</v>
      </c>
      <c r="C3654" s="42" t="str">
        <f>IFERROR(__xludf.DUMMYFUNCTION("""COMPUTED_VALUE"""),"M. 13747/ Kedamaian")</f>
        <v>M. 13747/ Kedamaian</v>
      </c>
      <c r="D3654" s="42" t="str">
        <f>IFERROR(__xludf.DUMMYFUNCTION("""COMPUTED_VALUE"""),"David")</f>
        <v>David</v>
      </c>
      <c r="E3654" s="42" t="str">
        <f>IFERROR(__xludf.DUMMYFUNCTION("""COMPUTED_VALUE"""),"DISERAHKAN")</f>
        <v>DISERAHKAN</v>
      </c>
      <c r="F3654" s="48">
        <f>IFERROR(__xludf.DUMMYFUNCTION("""COMPUTED_VALUE"""),45793.40342809028)</f>
        <v>45793.40343</v>
      </c>
      <c r="G3654" s="42" t="str">
        <f>IFERROR(__xludf.DUMMYFUNCTION("""COMPUTED_VALUE"""),"BN Jual beli")</f>
        <v>BN Jual beli</v>
      </c>
      <c r="H3654" s="42">
        <f t="shared" si="1"/>
        <v>1629</v>
      </c>
    </row>
    <row r="3655" ht="22.5" customHeight="1">
      <c r="B3655" s="42" t="str">
        <f>IFERROR(__xludf.DUMMYFUNCTION("""COMPUTED_VALUE"""),"K/32/210425/1")</f>
        <v>K/32/210425/1</v>
      </c>
      <c r="C3655" s="42" t="str">
        <f>IFERROR(__xludf.DUMMYFUNCTION("""COMPUTED_VALUE"""),"NIBEL B. 400/KEMILING PERMAI")</f>
        <v>NIBEL B. 400/KEMILING PERMAI</v>
      </c>
      <c r="D3655" s="42"/>
      <c r="E3655" s="42"/>
      <c r="F3655" s="48" t="str">
        <f>IFERROR(__xludf.DUMMYFUNCTION("""COMPUTED_VALUE"""),"")</f>
        <v/>
      </c>
      <c r="G3655" s="42" t="str">
        <f>IFERROR(__xludf.DUMMYFUNCTION("""COMPUTED_VALUE"""),"PERUBAHAN HAK")</f>
        <v>PERUBAHAN HAK</v>
      </c>
      <c r="H3655" s="42">
        <f t="shared" si="1"/>
        <v>1629</v>
      </c>
    </row>
    <row r="3656" ht="22.5" customHeight="1">
      <c r="B3656" s="42" t="str">
        <f>IFERROR(__xludf.DUMMYFUNCTION("""COMPUTED_VALUE"""),"K/28/210425/1")</f>
        <v>K/28/210425/1</v>
      </c>
      <c r="C3656" s="42" t="str">
        <f>IFERROR(__xludf.DUMMYFUNCTION("""COMPUTED_VALUE"""),"M. 1789/ Way Laga")</f>
        <v>M. 1789/ Way Laga</v>
      </c>
      <c r="D3656" s="42"/>
      <c r="E3656" s="42"/>
      <c r="F3656" s="48" t="str">
        <f>IFERROR(__xludf.DUMMYFUNCTION("""COMPUTED_VALUE"""),"")</f>
        <v/>
      </c>
      <c r="G3656" s="42" t="str">
        <f>IFERROR(__xludf.DUMMYFUNCTION("""COMPUTED_VALUE"""),"PEMECAHAN BIDANG")</f>
        <v>PEMECAHAN BIDANG</v>
      </c>
      <c r="H3656" s="42">
        <f t="shared" si="1"/>
        <v>1629</v>
      </c>
    </row>
    <row r="3657" ht="22.5" customHeight="1">
      <c r="B3657" s="42" t="str">
        <f>IFERROR(__xludf.DUMMYFUNCTION("""COMPUTED_VALUE"""),"K/27/210425/1")</f>
        <v>K/27/210425/1</v>
      </c>
      <c r="C3657" s="42" t="str">
        <f>IFERROR(__xludf.DUMMYFUNCTION("""COMPUTED_VALUE"""),"B.2276/SUKABUMI")</f>
        <v>B.2276/SUKABUMI</v>
      </c>
      <c r="D3657" s="42" t="str">
        <f>IFERROR(__xludf.DUMMYFUNCTION("""COMPUTED_VALUE"""),"David")</f>
        <v>David</v>
      </c>
      <c r="E3657" s="42" t="str">
        <f>IFERROR(__xludf.DUMMYFUNCTION("""COMPUTED_VALUE"""),"DISERAHKAN")</f>
        <v>DISERAHKAN</v>
      </c>
      <c r="F3657" s="48">
        <f>IFERROR(__xludf.DUMMYFUNCTION("""COMPUTED_VALUE"""),45819.3782258912)</f>
        <v>45819.37823</v>
      </c>
      <c r="G3657" s="42" t="str">
        <f>IFERROR(__xludf.DUMMYFUNCTION("""COMPUTED_VALUE"""),"ROYA")</f>
        <v>ROYA</v>
      </c>
      <c r="H3657" s="42">
        <f t="shared" si="1"/>
        <v>1630</v>
      </c>
    </row>
    <row r="3658" ht="22.5" customHeight="1">
      <c r="B3658" s="42" t="str">
        <f>IFERROR(__xludf.DUMMYFUNCTION("""COMPUTED_VALUE"""),"K/30/210425/2")</f>
        <v>K/30/210425/2</v>
      </c>
      <c r="C3658" s="42" t="str">
        <f>IFERROR(__xludf.DUMMYFUNCTION("""COMPUTED_VALUE"""),"Nibel. M. 18046/ Kupang Teba")</f>
        <v>Nibel. M. 18046/ Kupang Teba</v>
      </c>
      <c r="D3658" s="42"/>
      <c r="E3658" s="42"/>
      <c r="F3658" s="48" t="str">
        <f>IFERROR(__xludf.DUMMYFUNCTION("""COMPUTED_VALUE"""),"")</f>
        <v/>
      </c>
      <c r="G3658" s="42" t="str">
        <f>IFERROR(__xludf.DUMMYFUNCTION("""COMPUTED_VALUE"""),"BN Hibah")</f>
        <v>BN Hibah</v>
      </c>
      <c r="H3658" s="42">
        <f t="shared" si="1"/>
        <v>1630</v>
      </c>
    </row>
    <row r="3659" ht="22.5" customHeight="1">
      <c r="B3659" s="42" t="str">
        <f>IFERROR(__xludf.DUMMYFUNCTION("""COMPUTED_VALUE"""),"K/31/210425/3")</f>
        <v>K/31/210425/3</v>
      </c>
      <c r="C3659" s="42" t="str">
        <f>IFERROR(__xludf.DUMMYFUNCTION("""COMPUTED_VALUE"""),"Nibel. M. 18045/ Kupang Teba")</f>
        <v>Nibel. M. 18045/ Kupang Teba</v>
      </c>
      <c r="D3659" s="42"/>
      <c r="E3659" s="42"/>
      <c r="F3659" s="48" t="str">
        <f>IFERROR(__xludf.DUMMYFUNCTION("""COMPUTED_VALUE"""),"")</f>
        <v/>
      </c>
      <c r="G3659" s="42" t="str">
        <f>IFERROR(__xludf.DUMMYFUNCTION("""COMPUTED_VALUE"""),"BN Hibah")</f>
        <v>BN Hibah</v>
      </c>
      <c r="H3659" s="42">
        <f t="shared" si="1"/>
        <v>1630</v>
      </c>
    </row>
    <row r="3660" ht="22.5" customHeight="1">
      <c r="B3660" s="42" t="str">
        <f>IFERROR(__xludf.DUMMYFUNCTION("""COMPUTED_VALUE"""),"K/34/210425/1")</f>
        <v>K/34/210425/1</v>
      </c>
      <c r="C3660" s="42" t="str">
        <f>IFERROR(__xludf.DUMMYFUNCTION("""COMPUTED_VALUE"""),"M.16799/SUKARAME")</f>
        <v>M.16799/SUKARAME</v>
      </c>
      <c r="D3660" s="42"/>
      <c r="E3660" s="42"/>
      <c r="F3660" s="48" t="str">
        <f>IFERROR(__xludf.DUMMYFUNCTION("""COMPUTED_VALUE"""),"")</f>
        <v/>
      </c>
      <c r="G3660" s="42" t="str">
        <f>IFERROR(__xludf.DUMMYFUNCTION("""COMPUTED_VALUE"""),"JUAL BELI")</f>
        <v>JUAL BELI</v>
      </c>
      <c r="H3660" s="42">
        <f t="shared" si="1"/>
        <v>1630</v>
      </c>
    </row>
    <row r="3661" ht="22.5" customHeight="1">
      <c r="B3661" s="42" t="str">
        <f>IFERROR(__xludf.DUMMYFUNCTION("""COMPUTED_VALUE"""),"K/15/210425/1")</f>
        <v>K/15/210425/1</v>
      </c>
      <c r="C3661" s="42" t="str">
        <f>IFERROR(__xludf.DUMMYFUNCTION("""COMPUTED_VALUE"""),"M. 1626/ Sumber Agung")</f>
        <v>M. 1626/ Sumber Agung</v>
      </c>
      <c r="D3661" s="42"/>
      <c r="E3661" s="42"/>
      <c r="F3661" s="48" t="str">
        <f>IFERROR(__xludf.DUMMYFUNCTION("""COMPUTED_VALUE"""),"")</f>
        <v/>
      </c>
      <c r="G3661" s="42" t="str">
        <f>IFERROR(__xludf.DUMMYFUNCTION("""COMPUTED_VALUE"""),"HAPUS BPHTB")</f>
        <v>HAPUS BPHTB</v>
      </c>
      <c r="H3661" s="42">
        <f t="shared" si="1"/>
        <v>1630</v>
      </c>
    </row>
    <row r="3662" ht="22.5" customHeight="1">
      <c r="B3662" s="42" t="str">
        <f>IFERROR(__xludf.DUMMYFUNCTION("""COMPUTED_VALUE"""),"L/1/220425/1")</f>
        <v>L/1/220425/1</v>
      </c>
      <c r="C3662" s="42" t="str">
        <f>IFERROR(__xludf.DUMMYFUNCTION("""COMPUTED_VALUE"""),"M.1973/CAMPANG RAYA")</f>
        <v>M.1973/CAMPANG RAYA</v>
      </c>
      <c r="D3662" s="42" t="str">
        <f>IFERROR(__xludf.DUMMYFUNCTION("""COMPUTED_VALUE"""),"David")</f>
        <v>David</v>
      </c>
      <c r="E3662" s="42" t="str">
        <f>IFERROR(__xludf.DUMMYFUNCTION("""COMPUTED_VALUE"""),"DISERAHKAN")</f>
        <v>DISERAHKAN</v>
      </c>
      <c r="F3662" s="48">
        <f>IFERROR(__xludf.DUMMYFUNCTION("""COMPUTED_VALUE"""),45791.4536533912)</f>
        <v>45791.45365</v>
      </c>
      <c r="G3662" s="42" t="str">
        <f>IFERROR(__xludf.DUMMYFUNCTION("""COMPUTED_VALUE"""),"ROYA")</f>
        <v>ROYA</v>
      </c>
      <c r="H3662" s="42">
        <f t="shared" si="1"/>
        <v>1631</v>
      </c>
    </row>
    <row r="3663" ht="22.5" customHeight="1">
      <c r="B3663" s="42" t="str">
        <f>IFERROR(__xludf.DUMMYFUNCTION("""COMPUTED_VALUE"""),"K/2/220425/1")</f>
        <v>K/2/220425/1</v>
      </c>
      <c r="C3663" s="42" t="str">
        <f>IFERROR(__xludf.DUMMYFUNCTION("""COMPUTED_VALUE"""),"M.13889/SEGALAMIDER")</f>
        <v>M.13889/SEGALAMIDER</v>
      </c>
      <c r="D3663" s="42"/>
      <c r="E3663" s="42"/>
      <c r="F3663" s="48" t="str">
        <f>IFERROR(__xludf.DUMMYFUNCTION("""COMPUTED_VALUE"""),"")</f>
        <v/>
      </c>
      <c r="G3663" s="42" t="str">
        <f>IFERROR(__xludf.DUMMYFUNCTION("""COMPUTED_VALUE"""),"HAPUS BPHTB")</f>
        <v>HAPUS BPHTB</v>
      </c>
      <c r="H3663" s="42">
        <f t="shared" si="1"/>
        <v>1631</v>
      </c>
    </row>
    <row r="3664" ht="22.5" customHeight="1">
      <c r="B3664" s="42" t="str">
        <f>IFERROR(__xludf.DUMMYFUNCTION("""COMPUTED_VALUE"""),"K/3/220425/1")</f>
        <v>K/3/220425/1</v>
      </c>
      <c r="C3664" s="42" t="str">
        <f>IFERROR(__xludf.DUMMYFUNCTION("""COMPUTED_VALUE"""),"Nibel 18512/ Campang Raya")</f>
        <v>Nibel 18512/ Campang Raya</v>
      </c>
      <c r="D3664" s="42"/>
      <c r="E3664" s="42"/>
      <c r="F3664" s="48" t="str">
        <f>IFERROR(__xludf.DUMMYFUNCTION("""COMPUTED_VALUE"""),"")</f>
        <v/>
      </c>
      <c r="G3664" s="42" t="str">
        <f>IFERROR(__xludf.DUMMYFUNCTION("""COMPUTED_VALUE"""),"BN JUAL BELI")</f>
        <v>BN JUAL BELI</v>
      </c>
      <c r="H3664" s="42">
        <f t="shared" si="1"/>
        <v>1631</v>
      </c>
    </row>
    <row r="3665" ht="22.5" customHeight="1">
      <c r="B3665" s="42" t="str">
        <f>IFERROR(__xludf.DUMMYFUNCTION("""COMPUTED_VALUE"""),"K/4/220425/2")</f>
        <v>K/4/220425/2</v>
      </c>
      <c r="C3665" s="42" t="str">
        <f>IFERROR(__xludf.DUMMYFUNCTION("""COMPUTED_VALUE"""),"M. 677/ Ketapang")</f>
        <v>M. 677/ Ketapang</v>
      </c>
      <c r="D3665" s="42" t="str">
        <f>IFERROR(__xludf.DUMMYFUNCTION("""COMPUTED_VALUE"""),"Berry")</f>
        <v>Berry</v>
      </c>
      <c r="E3665" s="42" t="str">
        <f>IFERROR(__xludf.DUMMYFUNCTION("""COMPUTED_VALUE"""),"DISERAHKAN")</f>
        <v>DISERAHKAN</v>
      </c>
      <c r="F3665" s="48">
        <f>IFERROR(__xludf.DUMMYFUNCTION("""COMPUTED_VALUE"""),45798.664677974535)</f>
        <v>45798.66468</v>
      </c>
      <c r="G3665" s="42" t="str">
        <f>IFERROR(__xludf.DUMMYFUNCTION("""COMPUTED_VALUE"""),"BN JUAL BELI")</f>
        <v>BN JUAL BELI</v>
      </c>
      <c r="H3665" s="42">
        <f t="shared" si="1"/>
        <v>1632</v>
      </c>
    </row>
    <row r="3666" ht="22.5" customHeight="1">
      <c r="B3666" s="42" t="str">
        <f>IFERROR(__xludf.DUMMYFUNCTION("""COMPUTED_VALUE"""),"K/6/220425/1")</f>
        <v>K/6/220425/1</v>
      </c>
      <c r="C3666" s="42" t="str">
        <f>IFERROR(__xludf.DUMMYFUNCTION("""COMPUTED_VALUE"""),"M. 1388/ Tanjung Senang")</f>
        <v>M. 1388/ Tanjung Senang</v>
      </c>
      <c r="D3666" s="42"/>
      <c r="E3666" s="42"/>
      <c r="F3666" s="48" t="str">
        <f>IFERROR(__xludf.DUMMYFUNCTION("""COMPUTED_VALUE"""),"")</f>
        <v/>
      </c>
      <c r="G3666" s="42" t="str">
        <f>IFERROR(__xludf.DUMMYFUNCTION("""COMPUTED_VALUE"""),"SKPT Lelang")</f>
        <v>SKPT Lelang</v>
      </c>
      <c r="H3666" s="42">
        <f t="shared" si="1"/>
        <v>1632</v>
      </c>
    </row>
    <row r="3667" ht="22.5" customHeight="1">
      <c r="B3667" s="42" t="str">
        <f>IFERROR(__xludf.DUMMYFUNCTION("""COMPUTED_VALUE"""),"L/7/220425/1")</f>
        <v>L/7/220425/1</v>
      </c>
      <c r="C3667" s="42" t="str">
        <f>IFERROR(__xludf.DUMMYFUNCTION("""COMPUTED_VALUE"""),"HGB 342/SUKAMAJU")</f>
        <v>HGB 342/SUKAMAJU</v>
      </c>
      <c r="D3667" s="42" t="str">
        <f>IFERROR(__xludf.DUMMYFUNCTION("""COMPUTED_VALUE"""),"David")</f>
        <v>David</v>
      </c>
      <c r="E3667" s="42" t="str">
        <f>IFERROR(__xludf.DUMMYFUNCTION("""COMPUTED_VALUE"""),"DISERAHKAN")</f>
        <v>DISERAHKAN</v>
      </c>
      <c r="F3667" s="48">
        <f>IFERROR(__xludf.DUMMYFUNCTION("""COMPUTED_VALUE"""),45803.478515891205)</f>
        <v>45803.47852</v>
      </c>
      <c r="G3667" s="42" t="str">
        <f>IFERROR(__xludf.DUMMYFUNCTION("""COMPUTED_VALUE""")," HERTANTO")</f>
        <v> HERTANTO</v>
      </c>
      <c r="H3667" s="42">
        <f t="shared" si="1"/>
        <v>1633</v>
      </c>
    </row>
    <row r="3668" ht="22.5" customHeight="1">
      <c r="B3668" s="42" t="str">
        <f>IFERROR(__xludf.DUMMYFUNCTION("""COMPUTED_VALUE"""),"K/5/220425/1")</f>
        <v>K/5/220425/1</v>
      </c>
      <c r="C3668" s="42" t="str">
        <f>IFERROR(__xludf.DUMMYFUNCTION("""COMPUTED_VALUE"""),"M.591/BERINGIN JAYA")</f>
        <v>M.591/BERINGIN JAYA</v>
      </c>
      <c r="D3668" s="42"/>
      <c r="E3668" s="42"/>
      <c r="F3668" s="48" t="str">
        <f>IFERROR(__xludf.DUMMYFUNCTION("""COMPUTED_VALUE"""),"")</f>
        <v/>
      </c>
      <c r="G3668" s="42" t="str">
        <f>IFERROR(__xludf.DUMMYFUNCTION("""COMPUTED_VALUE"""),"JUAL BELI")</f>
        <v>JUAL BELI</v>
      </c>
      <c r="H3668" s="42">
        <f t="shared" si="1"/>
        <v>1633</v>
      </c>
    </row>
    <row r="3669" ht="22.5" customHeight="1">
      <c r="B3669" s="42" t="str">
        <f>IFERROR(__xludf.DUMMYFUNCTION("""COMPUTED_VALUE"""),"L/8/220425/1")</f>
        <v>L/8/220425/1</v>
      </c>
      <c r="C3669" s="42" t="str">
        <f>IFERROR(__xludf.DUMMYFUNCTION("""COMPUTED_VALUE"""),"HM 260/GEDONG AIR")</f>
        <v>HM 260/GEDONG AIR</v>
      </c>
      <c r="D3669" s="42"/>
      <c r="E3669" s="42"/>
      <c r="F3669" s="48" t="str">
        <f>IFERROR(__xludf.DUMMYFUNCTION("""COMPUTED_VALUE"""),"")</f>
        <v/>
      </c>
      <c r="G3669" s="42" t="str">
        <f>IFERROR(__xludf.DUMMYFUNCTION("""COMPUTED_VALUE"""),"BN WARIS")</f>
        <v>BN WARIS</v>
      </c>
      <c r="H3669" s="42">
        <f t="shared" si="1"/>
        <v>1633</v>
      </c>
    </row>
    <row r="3670" ht="22.5" customHeight="1">
      <c r="B3670" s="42" t="str">
        <f>IFERROR(__xludf.DUMMYFUNCTION("""COMPUTED_VALUE"""),"K/9/220425/1")</f>
        <v>K/9/220425/1</v>
      </c>
      <c r="C3670" s="42" t="str">
        <f>IFERROR(__xludf.DUMMYFUNCTION("""COMPUTED_VALUE"""),"M.584/KORPRI RAYA")</f>
        <v>M.584/KORPRI RAYA</v>
      </c>
      <c r="D3670" s="42"/>
      <c r="E3670" s="42"/>
      <c r="F3670" s="48" t="str">
        <f>IFERROR(__xludf.DUMMYFUNCTION("""COMPUTED_VALUE"""),"")</f>
        <v/>
      </c>
      <c r="G3670" s="42" t="str">
        <f>IFERROR(__xludf.DUMMYFUNCTION("""COMPUTED_VALUE"""),"KEWARISAN")</f>
        <v>KEWARISAN</v>
      </c>
      <c r="H3670" s="42">
        <f t="shared" si="1"/>
        <v>1633</v>
      </c>
    </row>
    <row r="3671" ht="22.5" customHeight="1">
      <c r="B3671" s="42" t="str">
        <f>IFERROR(__xludf.DUMMYFUNCTION("""COMPUTED_VALUE"""),"L/12/220425/1")</f>
        <v>L/12/220425/1</v>
      </c>
      <c r="C3671" s="42" t="str">
        <f>IFERROR(__xludf.DUMMYFUNCTION("""COMPUTED_VALUE"""),"HGB 1871/SUKARAME")</f>
        <v>HGB 1871/SUKARAME</v>
      </c>
      <c r="D3671" s="42"/>
      <c r="E3671" s="42"/>
      <c r="F3671" s="48" t="str">
        <f>IFERROR(__xludf.DUMMYFUNCTION("""COMPUTED_VALUE"""),"")</f>
        <v/>
      </c>
      <c r="G3671" s="42" t="str">
        <f>IFERROR(__xludf.DUMMYFUNCTION("""COMPUTED_VALUE"""),"PH")</f>
        <v>PH</v>
      </c>
      <c r="H3671" s="42">
        <f t="shared" si="1"/>
        <v>1633</v>
      </c>
    </row>
    <row r="3672" ht="22.5" customHeight="1">
      <c r="B3672" s="42" t="str">
        <f>IFERROR(__xludf.DUMMYFUNCTION("""COMPUTED_VALUE"""),"K/11/220425/1")</f>
        <v>K/11/220425/1</v>
      </c>
      <c r="C3672" s="42" t="str">
        <f>IFERROR(__xludf.DUMMYFUNCTION("""COMPUTED_VALUE"""),"NIbel 16239/ Sumur Putri")</f>
        <v>NIbel 16239/ Sumur Putri</v>
      </c>
      <c r="D3672" s="42"/>
      <c r="E3672" s="42"/>
      <c r="F3672" s="48" t="str">
        <f>IFERROR(__xludf.DUMMYFUNCTION("""COMPUTED_VALUE"""),"")</f>
        <v/>
      </c>
      <c r="G3672" s="42" t="str">
        <f>IFERROR(__xludf.DUMMYFUNCTION("""COMPUTED_VALUE"""),"BN JUAL BELI")</f>
        <v>BN JUAL BELI</v>
      </c>
      <c r="H3672" s="42">
        <f t="shared" si="1"/>
        <v>1633</v>
      </c>
    </row>
    <row r="3673" ht="22.5" customHeight="1">
      <c r="B3673" s="42" t="str">
        <f>IFERROR(__xludf.DUMMYFUNCTION("""COMPUTED_VALUE"""),"K/33/210425/2")</f>
        <v>K/33/210425/2</v>
      </c>
      <c r="C3673" s="42" t="str">
        <f>IFERROR(__xludf.DUMMYFUNCTION("""COMPUTED_VALUE"""),"NIBEL B. 415/KEMILING PERMAI")</f>
        <v>NIBEL B. 415/KEMILING PERMAI</v>
      </c>
      <c r="D3673" s="42"/>
      <c r="E3673" s="42"/>
      <c r="F3673" s="48" t="str">
        <f>IFERROR(__xludf.DUMMYFUNCTION("""COMPUTED_VALUE"""),"")</f>
        <v/>
      </c>
      <c r="G3673" s="42" t="str">
        <f>IFERROR(__xludf.DUMMYFUNCTION("""COMPUTED_VALUE"""),"PERUBAHAN HAK")</f>
        <v>PERUBAHAN HAK</v>
      </c>
      <c r="H3673" s="42">
        <f t="shared" si="1"/>
        <v>1633</v>
      </c>
    </row>
    <row r="3674" ht="22.5" customHeight="1">
      <c r="B3674" s="42" t="str">
        <f>IFERROR(__xludf.DUMMYFUNCTION("""COMPUTED_VALUE"""),"K/13/220425/1")</f>
        <v>K/13/220425/1</v>
      </c>
      <c r="C3674" s="42" t="str">
        <f>IFERROR(__xludf.DUMMYFUNCTION("""COMPUTED_VALUE"""),"M.1465/PESAWAHAN")</f>
        <v>M.1465/PESAWAHAN</v>
      </c>
      <c r="D3674" s="42" t="str">
        <f>IFERROR(__xludf.DUMMYFUNCTION("""COMPUTED_VALUE"""),"David")</f>
        <v>David</v>
      </c>
      <c r="E3674" s="42" t="str">
        <f>IFERROR(__xludf.DUMMYFUNCTION("""COMPUTED_VALUE"""),"DISERAHKAN")</f>
        <v>DISERAHKAN</v>
      </c>
      <c r="F3674" s="48">
        <f>IFERROR(__xludf.DUMMYFUNCTION("""COMPUTED_VALUE"""),45813.47831622685)</f>
        <v>45813.47832</v>
      </c>
      <c r="G3674" s="42" t="str">
        <f>IFERROR(__xludf.DUMMYFUNCTION("""COMPUTED_VALUE"""),"ROYA")</f>
        <v>ROYA</v>
      </c>
      <c r="H3674" s="42">
        <f t="shared" si="1"/>
        <v>1634</v>
      </c>
    </row>
    <row r="3675" ht="22.5" customHeight="1">
      <c r="B3675" s="42" t="str">
        <f>IFERROR(__xludf.DUMMYFUNCTION("""COMPUTED_VALUE"""),"L/14/220425/1")</f>
        <v>L/14/220425/1</v>
      </c>
      <c r="C3675" s="42" t="str">
        <f>IFERROR(__xludf.DUMMYFUNCTION("""COMPUTED_VALUE"""),"HM 1025/GUNUNG AGUNG")</f>
        <v>HM 1025/GUNUNG AGUNG</v>
      </c>
      <c r="D3675" s="42"/>
      <c r="E3675" s="42"/>
      <c r="F3675" s="48" t="str">
        <f>IFERROR(__xludf.DUMMYFUNCTION("""COMPUTED_VALUE"""),"")</f>
        <v/>
      </c>
      <c r="G3675" s="42" t="str">
        <f>IFERROR(__xludf.DUMMYFUNCTION("""COMPUTED_VALUE"""),"PTPGT")</f>
        <v>PTPGT</v>
      </c>
      <c r="H3675" s="42">
        <f t="shared" si="1"/>
        <v>1634</v>
      </c>
    </row>
    <row r="3676" ht="22.5" customHeight="1">
      <c r="B3676" s="42" t="str">
        <f>IFERROR(__xludf.DUMMYFUNCTION("""COMPUTED_VALUE"""),"K/16/220425/1")</f>
        <v>K/16/220425/1</v>
      </c>
      <c r="C3676" s="42" t="str">
        <f>IFERROR(__xludf.DUMMYFUNCTION("""COMPUTED_VALUE"""),"M. 147/ Palapa")</f>
        <v>M. 147/ Palapa</v>
      </c>
      <c r="D3676" s="42" t="str">
        <f>IFERROR(__xludf.DUMMYFUNCTION("""COMPUTED_VALUE"""),"David")</f>
        <v>David</v>
      </c>
      <c r="E3676" s="42" t="str">
        <f>IFERROR(__xludf.DUMMYFUNCTION("""COMPUTED_VALUE"""),"DISERAHKAN")</f>
        <v>DISERAHKAN</v>
      </c>
      <c r="F3676" s="48">
        <f>IFERROR(__xludf.DUMMYFUNCTION("""COMPUTED_VALUE"""),45793.41300377315)</f>
        <v>45793.413</v>
      </c>
      <c r="G3676" s="42" t="str">
        <f>IFERROR(__xludf.DUMMYFUNCTION("""COMPUTED_VALUE"""),"BN WARIS")</f>
        <v>BN WARIS</v>
      </c>
      <c r="H3676" s="42">
        <f t="shared" si="1"/>
        <v>1635</v>
      </c>
    </row>
    <row r="3677" ht="22.5" customHeight="1">
      <c r="B3677" s="42" t="str">
        <f>IFERROR(__xludf.DUMMYFUNCTION("""COMPUTED_VALUE"""),"K/10/220425/1")</f>
        <v>K/10/220425/1</v>
      </c>
      <c r="C3677" s="42" t="str">
        <f>IFERROR(__xludf.DUMMYFUNCTION("""COMPUTED_VALUE"""),"M.660/PERUMNAS WAY HALIM")</f>
        <v>M.660/PERUMNAS WAY HALIM</v>
      </c>
      <c r="D3677" s="42"/>
      <c r="E3677" s="42"/>
      <c r="F3677" s="48" t="str">
        <f>IFERROR(__xludf.DUMMYFUNCTION("""COMPUTED_VALUE"""),"")</f>
        <v/>
      </c>
      <c r="G3677" s="42" t="str">
        <f>IFERROR(__xludf.DUMMYFUNCTION("""COMPUTED_VALUE"""),"JUAL BELI ")</f>
        <v>JUAL BELI </v>
      </c>
      <c r="H3677" s="42">
        <f t="shared" si="1"/>
        <v>1635</v>
      </c>
    </row>
    <row r="3678" ht="22.5" customHeight="1">
      <c r="B3678" s="42" t="str">
        <f>IFERROR(__xludf.DUMMYFUNCTION("""COMPUTED_VALUE"""),"K/17/220425/1")</f>
        <v>K/17/220425/1</v>
      </c>
      <c r="C3678" s="42" t="str">
        <f>IFERROR(__xludf.DUMMYFUNCTION("""COMPUTED_VALUE"""),"M. 1231/ Perumnas Way Kandis")</f>
        <v>M. 1231/ Perumnas Way Kandis</v>
      </c>
      <c r="D3678" s="42" t="str">
        <f>IFERROR(__xludf.DUMMYFUNCTION("""COMPUTED_VALUE"""),"David")</f>
        <v>David</v>
      </c>
      <c r="E3678" s="42" t="str">
        <f>IFERROR(__xludf.DUMMYFUNCTION("""COMPUTED_VALUE"""),"DISERAHKAN")</f>
        <v>DISERAHKAN</v>
      </c>
      <c r="F3678" s="48">
        <f>IFERROR(__xludf.DUMMYFUNCTION("""COMPUTED_VALUE"""),45793.420816805556)</f>
        <v>45793.42082</v>
      </c>
      <c r="G3678" s="42" t="str">
        <f>IFERROR(__xludf.DUMMYFUNCTION("""COMPUTED_VALUE"""),"BN Waris")</f>
        <v>BN Waris</v>
      </c>
      <c r="H3678" s="42">
        <f t="shared" si="1"/>
        <v>1636</v>
      </c>
    </row>
    <row r="3679" ht="22.5" customHeight="1">
      <c r="B3679" s="42" t="str">
        <f>IFERROR(__xludf.DUMMYFUNCTION("""COMPUTED_VALUE"""),"K/18/220425/2")</f>
        <v>K/18/220425/2</v>
      </c>
      <c r="C3679" s="42" t="str">
        <f>IFERROR(__xludf.DUMMYFUNCTION("""COMPUTED_VALUE"""),"Nibel. M. 7545/ Rajabasa Jaya")</f>
        <v>Nibel. M. 7545/ Rajabasa Jaya</v>
      </c>
      <c r="D3679" s="42"/>
      <c r="E3679" s="42"/>
      <c r="F3679" s="48" t="str">
        <f>IFERROR(__xludf.DUMMYFUNCTION("""COMPUTED_VALUE"""),"")</f>
        <v/>
      </c>
      <c r="G3679" s="42" t="str">
        <f>IFERROR(__xludf.DUMMYFUNCTION("""COMPUTED_VALUE"""),"BN Jual Beli")</f>
        <v>BN Jual Beli</v>
      </c>
      <c r="H3679" s="42">
        <f t="shared" si="1"/>
        <v>1636</v>
      </c>
    </row>
    <row r="3680" ht="22.5" customHeight="1">
      <c r="B3680" s="42" t="str">
        <f>IFERROR(__xludf.DUMMYFUNCTION("""COMPUTED_VALUE"""),"K/15/220425/1")</f>
        <v>K/15/220425/1</v>
      </c>
      <c r="C3680" s="42" t="str">
        <f>IFERROR(__xludf.DUMMYFUNCTION("""COMPUTED_VALUE"""),"NIBEL M. 19079/TANJUNG GADING")</f>
        <v>NIBEL M. 19079/TANJUNG GADING</v>
      </c>
      <c r="D3680" s="42"/>
      <c r="E3680" s="42"/>
      <c r="F3680" s="48" t="str">
        <f>IFERROR(__xludf.DUMMYFUNCTION("""COMPUTED_VALUE"""),"")</f>
        <v/>
      </c>
      <c r="G3680" s="42" t="str">
        <f>IFERROR(__xludf.DUMMYFUNCTION("""COMPUTED_VALUE"""),"PTPGT")</f>
        <v>PTPGT</v>
      </c>
      <c r="H3680" s="42">
        <f t="shared" si="1"/>
        <v>1636</v>
      </c>
    </row>
    <row r="3681" ht="22.5" customHeight="1">
      <c r="B3681" s="42" t="str">
        <f>IFERROR(__xludf.DUMMYFUNCTION("""COMPUTED_VALUE"""),"K/19/220425/1")</f>
        <v>K/19/220425/1</v>
      </c>
      <c r="C3681" s="42" t="str">
        <f>IFERROR(__xludf.DUMMYFUNCTION("""COMPUTED_VALUE"""),"M.9351/SUKABUMI")</f>
        <v>M.9351/SUKABUMI</v>
      </c>
      <c r="D3681" s="42"/>
      <c r="E3681" s="42"/>
      <c r="F3681" s="48" t="str">
        <f>IFERROR(__xludf.DUMMYFUNCTION("""COMPUTED_VALUE"""),"")</f>
        <v/>
      </c>
      <c r="G3681" s="42" t="str">
        <f>IFERROR(__xludf.DUMMYFUNCTION("""COMPUTED_VALUE"""),"KEWARISAN")</f>
        <v>KEWARISAN</v>
      </c>
      <c r="H3681" s="42">
        <f t="shared" si="1"/>
        <v>1636</v>
      </c>
    </row>
    <row r="3682" ht="22.5" customHeight="1">
      <c r="B3682" s="42" t="str">
        <f>IFERROR(__xludf.DUMMYFUNCTION("""COMPUTED_VALUE"""),"K/21/220425/1")</f>
        <v>K/21/220425/1</v>
      </c>
      <c r="C3682" s="42" t="str">
        <f>IFERROR(__xludf.DUMMYFUNCTION("""COMPUTED_VALUE"""),"M. 56/ Rajabasa Jaya")</f>
        <v>M. 56/ Rajabasa Jaya</v>
      </c>
      <c r="D3682" s="42" t="str">
        <f>IFERROR(__xludf.DUMMYFUNCTION("""COMPUTED_VALUE"""),"Berry")</f>
        <v>Berry</v>
      </c>
      <c r="E3682" s="42" t="str">
        <f>IFERROR(__xludf.DUMMYFUNCTION("""COMPUTED_VALUE"""),"DISERAHKAN")</f>
        <v>DISERAHKAN</v>
      </c>
      <c r="F3682" s="48">
        <f>IFERROR(__xludf.DUMMYFUNCTION("""COMPUTED_VALUE"""),45796.4867012037)</f>
        <v>45796.4867</v>
      </c>
      <c r="G3682" s="42" t="str">
        <f>IFERROR(__xludf.DUMMYFUNCTION("""COMPUTED_VALUE"""),"ROYA")</f>
        <v>ROYA</v>
      </c>
      <c r="H3682" s="42">
        <f t="shared" si="1"/>
        <v>1637</v>
      </c>
    </row>
    <row r="3683" ht="22.5" customHeight="1">
      <c r="B3683" s="42" t="str">
        <f>IFERROR(__xludf.DUMMYFUNCTION("""COMPUTED_VALUE"""),"L/22/220425/1")</f>
        <v>L/22/220425/1</v>
      </c>
      <c r="C3683" s="42" t="str">
        <f>IFERROR(__xludf.DUMMYFUNCTION("""COMPUTED_VALUE"""),"HM 552/WHP")</f>
        <v>HM 552/WHP</v>
      </c>
      <c r="D3683" s="42" t="str">
        <f>IFERROR(__xludf.DUMMYFUNCTION("""COMPUTED_VALUE"""),"David")</f>
        <v>David</v>
      </c>
      <c r="E3683" s="42" t="str">
        <f>IFERROR(__xludf.DUMMYFUNCTION("""COMPUTED_VALUE"""),"DISERAHKAN")</f>
        <v>DISERAHKAN</v>
      </c>
      <c r="F3683" s="48">
        <f>IFERROR(__xludf.DUMMYFUNCTION("""COMPUTED_VALUE"""),45813.47677978009)</f>
        <v>45813.47678</v>
      </c>
      <c r="G3683" s="42" t="str">
        <f>IFERROR(__xludf.DUMMYFUNCTION("""COMPUTED_VALUE"""),"ROYA")</f>
        <v>ROYA</v>
      </c>
      <c r="H3683" s="42">
        <f t="shared" si="1"/>
        <v>1638</v>
      </c>
    </row>
    <row r="3684" ht="22.5" customHeight="1">
      <c r="B3684" s="42" t="str">
        <f>IFERROR(__xludf.DUMMYFUNCTION("""COMPUTED_VALUE"""),"K/23/220425/1")</f>
        <v>K/23/220425/1</v>
      </c>
      <c r="C3684" s="42" t="str">
        <f>IFERROR(__xludf.DUMMYFUNCTION("""COMPUTED_VALUE"""),"NIBEL B. 18735/SUKARAME")</f>
        <v>NIBEL B. 18735/SUKARAME</v>
      </c>
      <c r="D3684" s="42"/>
      <c r="E3684" s="42"/>
      <c r="F3684" s="48" t="str">
        <f>IFERROR(__xludf.DUMMYFUNCTION("""COMPUTED_VALUE"""),"")</f>
        <v/>
      </c>
      <c r="G3684" s="42" t="str">
        <f>IFERROR(__xludf.DUMMYFUNCTION("""COMPUTED_VALUE"""),"PERUBAHAN HAK")</f>
        <v>PERUBAHAN HAK</v>
      </c>
      <c r="H3684" s="42">
        <f t="shared" si="1"/>
        <v>1638</v>
      </c>
    </row>
    <row r="3685" ht="22.5" customHeight="1">
      <c r="B3685" s="42" t="str">
        <f>IFERROR(__xludf.DUMMYFUNCTION("""COMPUTED_VALUE"""),"L/24/220425/1")</f>
        <v>L/24/220425/1</v>
      </c>
      <c r="C3685" s="42" t="str">
        <f>IFERROR(__xludf.DUMMYFUNCTION("""COMPUTED_VALUE"""),"HM 531/RAJABASA PEMUKA")</f>
        <v>HM 531/RAJABASA PEMUKA</v>
      </c>
      <c r="D3685" s="42"/>
      <c r="E3685" s="42"/>
      <c r="F3685" s="48" t="str">
        <f>IFERROR(__xludf.DUMMYFUNCTION("""COMPUTED_VALUE"""),"")</f>
        <v/>
      </c>
      <c r="G3685" s="42" t="str">
        <f>IFERROR(__xludf.DUMMYFUNCTION("""COMPUTED_VALUE"""),"HAPUS BPHTB")</f>
        <v>HAPUS BPHTB</v>
      </c>
      <c r="H3685" s="42">
        <f t="shared" si="1"/>
        <v>1638</v>
      </c>
    </row>
    <row r="3686" ht="22.5" customHeight="1">
      <c r="B3686" s="42" t="str">
        <f>IFERROR(__xludf.DUMMYFUNCTION("""COMPUTED_VALUE"""),"L/25/220425/1")</f>
        <v>L/25/220425/1</v>
      </c>
      <c r="C3686" s="42" t="str">
        <f>IFERROR(__xludf.DUMMYFUNCTION("""COMPUTED_VALUE"""),"HM 9499/JAGABAYA II")</f>
        <v>HM 9499/JAGABAYA II</v>
      </c>
      <c r="D3686" s="42" t="str">
        <f>IFERROR(__xludf.DUMMYFUNCTION("""COMPUTED_VALUE"""),"Berry")</f>
        <v>Berry</v>
      </c>
      <c r="E3686" s="42" t="str">
        <f>IFERROR(__xludf.DUMMYFUNCTION("""COMPUTED_VALUE"""),"DISERAHKAN")</f>
        <v>DISERAHKAN</v>
      </c>
      <c r="F3686" s="48">
        <f>IFERROR(__xludf.DUMMYFUNCTION("""COMPUTED_VALUE"""),45796.46963766204)</f>
        <v>45796.46964</v>
      </c>
      <c r="G3686" s="42" t="str">
        <f>IFERROR(__xludf.DUMMYFUNCTION("""COMPUTED_VALUE"""),"BN HIBAH")</f>
        <v>BN HIBAH</v>
      </c>
      <c r="H3686" s="42">
        <f t="shared" si="1"/>
        <v>1639</v>
      </c>
    </row>
    <row r="3687" ht="22.5" customHeight="1">
      <c r="B3687" s="42" t="str">
        <f>IFERROR(__xludf.DUMMYFUNCTION("""COMPUTED_VALUE"""),"K/27/220425/1")</f>
        <v>K/27/220425/1</v>
      </c>
      <c r="C3687" s="42" t="str">
        <f>IFERROR(__xludf.DUMMYFUNCTION("""COMPUTED_VALUE"""),"M. 933/ Korpri Jaya")</f>
        <v>M. 933/ Korpri Jaya</v>
      </c>
      <c r="D3687" s="42" t="str">
        <f>IFERROR(__xludf.DUMMYFUNCTION("""COMPUTED_VALUE"""),"Berry")</f>
        <v>Berry</v>
      </c>
      <c r="E3687" s="42" t="str">
        <f>IFERROR(__xludf.DUMMYFUNCTION("""COMPUTED_VALUE"""),"DISERAHKAN")</f>
        <v>DISERAHKAN</v>
      </c>
      <c r="F3687" s="48">
        <f>IFERROR(__xludf.DUMMYFUNCTION("""COMPUTED_VALUE"""),45908.632247291665)</f>
        <v>45908.63225</v>
      </c>
      <c r="G3687" s="42" t="str">
        <f>IFERROR(__xludf.DUMMYFUNCTION("""COMPUTED_VALUE"""),"BN JUAL BELI")</f>
        <v>BN JUAL BELI</v>
      </c>
      <c r="H3687" s="42">
        <f t="shared" si="1"/>
        <v>1640</v>
      </c>
    </row>
    <row r="3688" ht="22.5" customHeight="1">
      <c r="B3688" s="42" t="str">
        <f>IFERROR(__xludf.DUMMYFUNCTION("""COMPUTED_VALUE"""),"K/26/220425/1")</f>
        <v>K/26/220425/1</v>
      </c>
      <c r="C3688" s="42" t="str">
        <f>IFERROR(__xludf.DUMMYFUNCTION("""COMPUTED_VALUE"""),"M. 2669/SUMBER AGUNG")</f>
        <v>M. 2669/SUMBER AGUNG</v>
      </c>
      <c r="D3688" s="42"/>
      <c r="E3688" s="42"/>
      <c r="F3688" s="48" t="str">
        <f>IFERROR(__xludf.DUMMYFUNCTION("""COMPUTED_VALUE"""),"")</f>
        <v/>
      </c>
      <c r="G3688" s="42" t="str">
        <f>IFERROR(__xludf.DUMMYFUNCTION("""COMPUTED_VALUE"""),"BN JUAL BELI")</f>
        <v>BN JUAL BELI</v>
      </c>
      <c r="H3688" s="42">
        <f t="shared" si="1"/>
        <v>1640</v>
      </c>
    </row>
    <row r="3689" ht="22.5" customHeight="1">
      <c r="B3689" s="42" t="str">
        <f>IFERROR(__xludf.DUMMYFUNCTION("""COMPUTED_VALUE"""),"K/28/220425/1")</f>
        <v>K/28/220425/1</v>
      </c>
      <c r="C3689" s="42" t="str">
        <f>IFERROR(__xludf.DUMMYFUNCTION("""COMPUTED_VALUE"""),"NIBEL M 16679/SEGALA MIDER")</f>
        <v>NIBEL M 16679/SEGALA MIDER</v>
      </c>
      <c r="D3689" s="42"/>
      <c r="E3689" s="42"/>
      <c r="F3689" s="48" t="str">
        <f>IFERROR(__xludf.DUMMYFUNCTION("""COMPUTED_VALUE"""),"")</f>
        <v/>
      </c>
      <c r="G3689" s="42" t="str">
        <f>IFERROR(__xludf.DUMMYFUNCTION("""COMPUTED_VALUE"""),"HIBAH ")</f>
        <v>HIBAH </v>
      </c>
      <c r="H3689" s="42">
        <f t="shared" si="1"/>
        <v>1640</v>
      </c>
    </row>
    <row r="3690" ht="22.5" customHeight="1">
      <c r="B3690" s="42" t="str">
        <f>IFERROR(__xludf.DUMMYFUNCTION("""COMPUTED_VALUE"""),"K/29/220425/1")</f>
        <v>K/29/220425/1</v>
      </c>
      <c r="C3690" s="42" t="str">
        <f>IFERROR(__xludf.DUMMYFUNCTION("""COMPUTED_VALUE"""),"Nibel. B. 16786/ Gunung Sulah")</f>
        <v>Nibel. B. 16786/ Gunung Sulah</v>
      </c>
      <c r="D3690" s="42"/>
      <c r="E3690" s="42"/>
      <c r="F3690" s="48" t="str">
        <f>IFERROR(__xludf.DUMMYFUNCTION("""COMPUTED_VALUE"""),"")</f>
        <v/>
      </c>
      <c r="G3690" s="42" t="str">
        <f>IFERROR(__xludf.DUMMYFUNCTION("""COMPUTED_VALUE"""),"BN Jual Beli")</f>
        <v>BN Jual Beli</v>
      </c>
      <c r="H3690" s="42">
        <f t="shared" si="1"/>
        <v>1640</v>
      </c>
    </row>
    <row r="3691" ht="22.5" customHeight="1">
      <c r="B3691" s="42" t="str">
        <f>IFERROR(__xludf.DUMMYFUNCTION("""COMPUTED_VALUE"""),"K/30/220425/2")</f>
        <v>K/30/220425/2</v>
      </c>
      <c r="C3691" s="42" t="str">
        <f>IFERROR(__xludf.DUMMYFUNCTION("""COMPUTED_VALUE"""),"M. 11880/ Segala Mider")</f>
        <v>M. 11880/ Segala Mider</v>
      </c>
      <c r="D3691" s="42" t="str">
        <f>IFERROR(__xludf.DUMMYFUNCTION("""COMPUTED_VALUE"""),"Berry")</f>
        <v>Berry</v>
      </c>
      <c r="E3691" s="42" t="str">
        <f>IFERROR(__xludf.DUMMYFUNCTION("""COMPUTED_VALUE"""),"DISERAHKAN")</f>
        <v>DISERAHKAN</v>
      </c>
      <c r="F3691" s="48">
        <f>IFERROR(__xludf.DUMMYFUNCTION("""COMPUTED_VALUE"""),45938.493898761575)</f>
        <v>45938.4939</v>
      </c>
      <c r="G3691" s="42" t="str">
        <f>IFERROR(__xludf.DUMMYFUNCTION("""COMPUTED_VALUE"""),"BN Jual Beli")</f>
        <v>BN Jual Beli</v>
      </c>
      <c r="H3691" s="42">
        <f t="shared" si="1"/>
        <v>1641</v>
      </c>
    </row>
    <row r="3692" ht="22.5" customHeight="1">
      <c r="B3692" s="42" t="str">
        <f>IFERROR(__xludf.DUMMYFUNCTION("""COMPUTED_VALUE"""),"K/31/220425/1")</f>
        <v>K/31/220425/1</v>
      </c>
      <c r="C3692" s="42" t="str">
        <f>IFERROR(__xludf.DUMMYFUNCTION("""COMPUTED_VALUE"""),"M. 3496/ Kota Baru")</f>
        <v>M. 3496/ Kota Baru</v>
      </c>
      <c r="D3692" s="42" t="str">
        <f>IFERROR(__xludf.DUMMYFUNCTION("""COMPUTED_VALUE"""),"Berry")</f>
        <v>Berry</v>
      </c>
      <c r="E3692" s="42" t="str">
        <f>IFERROR(__xludf.DUMMYFUNCTION("""COMPUTED_VALUE"""),"DISERAHKAN")</f>
        <v>DISERAHKAN</v>
      </c>
      <c r="F3692" s="48">
        <f>IFERROR(__xludf.DUMMYFUNCTION("""COMPUTED_VALUE"""),45824.53468241898)</f>
        <v>45824.53468</v>
      </c>
      <c r="G3692" s="42" t="str">
        <f>IFERROR(__xludf.DUMMYFUNCTION("""COMPUTED_VALUE"""),"BN PHB")</f>
        <v>BN PHB</v>
      </c>
      <c r="H3692" s="42">
        <f t="shared" si="1"/>
        <v>1642</v>
      </c>
    </row>
    <row r="3693" ht="22.5" customHeight="1">
      <c r="B3693" s="42" t="str">
        <f>IFERROR(__xludf.DUMMYFUNCTION("""COMPUTED_VALUE"""),"K/33/220425/1")</f>
        <v>K/33/220425/1</v>
      </c>
      <c r="C3693" s="42" t="str">
        <f>IFERROR(__xludf.DUMMYFUNCTION("""COMPUTED_VALUE"""),"M. 220/ Korpri Jaya")</f>
        <v>M. 220/ Korpri Jaya</v>
      </c>
      <c r="D3693" s="42" t="str">
        <f>IFERROR(__xludf.DUMMYFUNCTION("""COMPUTED_VALUE"""),"David")</f>
        <v>David</v>
      </c>
      <c r="E3693" s="42" t="str">
        <f>IFERROR(__xludf.DUMMYFUNCTION("""COMPUTED_VALUE"""),"DISERAHKAN")</f>
        <v>DISERAHKAN</v>
      </c>
      <c r="F3693" s="48">
        <f>IFERROR(__xludf.DUMMYFUNCTION("""COMPUTED_VALUE"""),45793.41719613426)</f>
        <v>45793.4172</v>
      </c>
      <c r="G3693" s="42" t="str">
        <f>IFERROR(__xludf.DUMMYFUNCTION("""COMPUTED_VALUE"""),"BN JUAL BELI")</f>
        <v>BN JUAL BELI</v>
      </c>
      <c r="H3693" s="42">
        <f t="shared" si="1"/>
        <v>1643</v>
      </c>
    </row>
    <row r="3694" ht="22.5" customHeight="1">
      <c r="B3694" s="42" t="str">
        <f>IFERROR(__xludf.DUMMYFUNCTION("""COMPUTED_VALUE"""),"K/32/220425/1")</f>
        <v>K/32/220425/1</v>
      </c>
      <c r="C3694" s="42" t="str">
        <f>IFERROR(__xludf.DUMMYFUNCTION("""COMPUTED_VALUE"""),"NIBEL M. 12581/SEGALA MIDER")</f>
        <v>NIBEL M. 12581/SEGALA MIDER</v>
      </c>
      <c r="D3694" s="42"/>
      <c r="E3694" s="42"/>
      <c r="F3694" s="48" t="str">
        <f>IFERROR(__xludf.DUMMYFUNCTION("""COMPUTED_VALUE"""),"")</f>
        <v/>
      </c>
      <c r="G3694" s="42" t="str">
        <f>IFERROR(__xludf.DUMMYFUNCTION("""COMPUTED_VALUE"""),"BN JUAL BELI")</f>
        <v>BN JUAL BELI</v>
      </c>
      <c r="H3694" s="42">
        <f t="shared" si="1"/>
        <v>1643</v>
      </c>
    </row>
    <row r="3695" ht="22.5" customHeight="1">
      <c r="B3695" s="42" t="str">
        <f>IFERROR(__xludf.DUMMYFUNCTION("""COMPUTED_VALUE"""),"K/34/220425/1")</f>
        <v>K/34/220425/1</v>
      </c>
      <c r="C3695" s="42" t="str">
        <f>IFERROR(__xludf.DUMMYFUNCTION("""COMPUTED_VALUE"""),"M. 5180/ Rajabasa Jaya")</f>
        <v>M. 5180/ Rajabasa Jaya</v>
      </c>
      <c r="D3695" s="42"/>
      <c r="E3695" s="42"/>
      <c r="F3695" s="48" t="str">
        <f>IFERROR(__xludf.DUMMYFUNCTION("""COMPUTED_VALUE"""),"")</f>
        <v/>
      </c>
      <c r="G3695" s="42" t="str">
        <f>IFERROR(__xludf.DUMMYFUNCTION("""COMPUTED_VALUE"""),"BN Jual Beli")</f>
        <v>BN Jual Beli</v>
      </c>
      <c r="H3695" s="42">
        <f t="shared" si="1"/>
        <v>1643</v>
      </c>
    </row>
    <row r="3696" ht="22.5" customHeight="1">
      <c r="B3696" s="42" t="str">
        <f>IFERROR(__xludf.DUMMYFUNCTION("""COMPUTED_VALUE"""),"K/36/220425/1")</f>
        <v>K/36/220425/1</v>
      </c>
      <c r="C3696" s="42" t="str">
        <f>IFERROR(__xludf.DUMMYFUNCTION("""COMPUTED_VALUE"""),"M. 1197/  Sukadanaham")</f>
        <v>M. 1197/  Sukadanaham</v>
      </c>
      <c r="D3696" s="42" t="str">
        <f>IFERROR(__xludf.DUMMYFUNCTION("""COMPUTED_VALUE"""),"Berry")</f>
        <v>Berry</v>
      </c>
      <c r="E3696" s="42" t="str">
        <f>IFERROR(__xludf.DUMMYFUNCTION("""COMPUTED_VALUE"""),"DISERAHKAN")</f>
        <v>DISERAHKAN</v>
      </c>
      <c r="F3696" s="48">
        <f>IFERROR(__xludf.DUMMYFUNCTION("""COMPUTED_VALUE"""),45796.46477207176)</f>
        <v>45796.46477</v>
      </c>
      <c r="G3696" s="42" t="str">
        <f>IFERROR(__xludf.DUMMYFUNCTION("""COMPUTED_VALUE"""),"BN JUAL BELI")</f>
        <v>BN JUAL BELI</v>
      </c>
      <c r="H3696" s="42">
        <f t="shared" si="1"/>
        <v>1644</v>
      </c>
    </row>
    <row r="3697" ht="22.5" customHeight="1">
      <c r="B3697" s="42" t="str">
        <f>IFERROR(__xludf.DUMMYFUNCTION("""COMPUTED_VALUE"""),"K/35/220425/1")</f>
        <v>K/35/220425/1</v>
      </c>
      <c r="C3697" s="42" t="str">
        <f>IFERROR(__xludf.DUMMYFUNCTION("""COMPUTED_VALUE"""),"PBT 30/2024 KALIAWI PERSADA")</f>
        <v>PBT 30/2024 KALIAWI PERSADA</v>
      </c>
      <c r="D3697" s="42"/>
      <c r="E3697" s="42"/>
      <c r="F3697" s="48" t="str">
        <f>IFERROR(__xludf.DUMMYFUNCTION("""COMPUTED_VALUE"""),"")</f>
        <v/>
      </c>
      <c r="G3697" s="42" t="str">
        <f>IFERROR(__xludf.DUMMYFUNCTION("""COMPUTED_VALUE"""),"PENDAFTARAN SK")</f>
        <v>PENDAFTARAN SK</v>
      </c>
      <c r="H3697" s="42">
        <f t="shared" si="1"/>
        <v>1644</v>
      </c>
    </row>
    <row r="3698" ht="22.5" customHeight="1">
      <c r="B3698" s="42" t="str">
        <f>IFERROR(__xludf.DUMMYFUNCTION("""COMPUTED_VALUE"""),"K/37/220425/2")</f>
        <v>K/37/220425/2</v>
      </c>
      <c r="C3698" s="42" t="str">
        <f>IFERROR(__xludf.DUMMYFUNCTION("""COMPUTED_VALUE"""),"M. 692/ sumur putri")</f>
        <v>M. 692/ sumur putri</v>
      </c>
      <c r="D3698" s="42"/>
      <c r="E3698" s="42"/>
      <c r="F3698" s="48" t="str">
        <f>IFERROR(__xludf.DUMMYFUNCTION("""COMPUTED_VALUE"""),"")</f>
        <v/>
      </c>
      <c r="G3698" s="42" t="str">
        <f>IFERROR(__xludf.DUMMYFUNCTION("""COMPUTED_VALUE"""),"BN HIBAH")</f>
        <v>BN HIBAH</v>
      </c>
      <c r="H3698" s="42">
        <f t="shared" si="1"/>
        <v>1644</v>
      </c>
    </row>
    <row r="3699" ht="22.5" customHeight="1">
      <c r="B3699" s="42" t="str">
        <f>IFERROR(__xludf.DUMMYFUNCTION("""COMPUTED_VALUE"""),"K/40/220425/1")</f>
        <v>K/40/220425/1</v>
      </c>
      <c r="C3699" s="42" t="str">
        <f>IFERROR(__xludf.DUMMYFUNCTION("""COMPUTED_VALUE"""),"M. 2354/ Gunung Terang")</f>
        <v>M. 2354/ Gunung Terang</v>
      </c>
      <c r="D3699" s="42"/>
      <c r="E3699" s="42"/>
      <c r="F3699" s="48" t="str">
        <f>IFERROR(__xludf.DUMMYFUNCTION("""COMPUTED_VALUE"""),"")</f>
        <v/>
      </c>
      <c r="G3699" s="42" t="str">
        <f>IFERROR(__xludf.DUMMYFUNCTION("""COMPUTED_VALUE"""),"BN Jual Beli")</f>
        <v>BN Jual Beli</v>
      </c>
      <c r="H3699" s="42">
        <f t="shared" si="1"/>
        <v>1644</v>
      </c>
    </row>
    <row r="3700" ht="22.5" customHeight="1">
      <c r="B3700" s="42" t="str">
        <f>IFERROR(__xludf.DUMMYFUNCTION("""COMPUTED_VALUE"""),"K/38/220425/3")</f>
        <v>K/38/220425/3</v>
      </c>
      <c r="C3700" s="42" t="str">
        <f>IFERROR(__xludf.DUMMYFUNCTION("""COMPUTED_VALUE"""),"M. 1270/ Kupang Teba")</f>
        <v>M. 1270/ Kupang Teba</v>
      </c>
      <c r="D3700" s="42"/>
      <c r="E3700" s="42"/>
      <c r="F3700" s="48" t="str">
        <f>IFERROR(__xludf.DUMMYFUNCTION("""COMPUTED_VALUE"""),"")</f>
        <v/>
      </c>
      <c r="G3700" s="42" t="str">
        <f>IFERROR(__xludf.DUMMYFUNCTION("""COMPUTED_VALUE"""),"BN WARIS")</f>
        <v>BN WARIS</v>
      </c>
      <c r="H3700" s="42">
        <f t="shared" si="1"/>
        <v>1644</v>
      </c>
    </row>
    <row r="3701" ht="22.5" customHeight="1">
      <c r="B3701" s="42" t="str">
        <f>IFERROR(__xludf.DUMMYFUNCTION("""COMPUTED_VALUE"""),"K/41/220425/1")</f>
        <v>K/41/220425/1</v>
      </c>
      <c r="C3701" s="42" t="str">
        <f>IFERROR(__xludf.DUMMYFUNCTION("""COMPUTED_VALUE"""),"M. 1858/ Suumber Rejo")</f>
        <v>M. 1858/ Suumber Rejo</v>
      </c>
      <c r="D3701" s="42"/>
      <c r="E3701" s="42"/>
      <c r="F3701" s="48" t="str">
        <f>IFERROR(__xludf.DUMMYFUNCTION("""COMPUTED_VALUE"""),"")</f>
        <v/>
      </c>
      <c r="G3701" s="42" t="str">
        <f>IFERROR(__xludf.DUMMYFUNCTION("""COMPUTED_VALUE"""),"BN Jual Beli")</f>
        <v>BN Jual Beli</v>
      </c>
      <c r="H3701" s="42">
        <f t="shared" si="1"/>
        <v>1644</v>
      </c>
    </row>
    <row r="3702" ht="22.5" customHeight="1">
      <c r="B3702" s="42" t="str">
        <f>IFERROR(__xludf.DUMMYFUNCTION("""COMPUTED_VALUE"""),"L/42/220425/1")</f>
        <v>L/42/220425/1</v>
      </c>
      <c r="C3702" s="42" t="str">
        <f>IFERROR(__xludf.DUMMYFUNCTION("""COMPUTED_VALUE"""),"NIB 2290/LANGKAPURA BARU")</f>
        <v>NIB 2290/LANGKAPURA BARU</v>
      </c>
      <c r="D3702" s="42"/>
      <c r="E3702" s="42"/>
      <c r="F3702" s="48" t="str">
        <f>IFERROR(__xludf.DUMMYFUNCTION("""COMPUTED_VALUE"""),"")</f>
        <v/>
      </c>
      <c r="G3702" s="42" t="str">
        <f>IFERROR(__xludf.DUMMYFUNCTION("""COMPUTED_VALUE"""),"PEMECAHAN")</f>
        <v>PEMECAHAN</v>
      </c>
      <c r="H3702" s="42">
        <f t="shared" si="1"/>
        <v>1644</v>
      </c>
    </row>
    <row r="3703" ht="22.5" customHeight="1">
      <c r="B3703" s="42" t="str">
        <f>IFERROR(__xludf.DUMMYFUNCTION("""COMPUTED_VALUE"""),"K/43/220425/1")</f>
        <v>K/43/220425/1</v>
      </c>
      <c r="C3703" s="42" t="str">
        <f>IFERROR(__xludf.DUMMYFUNCTION("""COMPUTED_VALUE"""),"M. 6461/ Gunung ulah")</f>
        <v>M. 6461/ Gunung ulah</v>
      </c>
      <c r="D3703" s="42" t="str">
        <f>IFERROR(__xludf.DUMMYFUNCTION("""COMPUTED_VALUE"""),"David")</f>
        <v>David</v>
      </c>
      <c r="E3703" s="42" t="str">
        <f>IFERROR(__xludf.DUMMYFUNCTION("""COMPUTED_VALUE"""),"DISERAHKAN")</f>
        <v>DISERAHKAN</v>
      </c>
      <c r="F3703" s="48">
        <f>IFERROR(__xludf.DUMMYFUNCTION("""COMPUTED_VALUE"""),45793.394695358795)</f>
        <v>45793.3947</v>
      </c>
      <c r="G3703" s="42" t="str">
        <f>IFERROR(__xludf.DUMMYFUNCTION("""COMPUTED_VALUE"""),"BN JUAL BELI")</f>
        <v>BN JUAL BELI</v>
      </c>
      <c r="H3703" s="42">
        <f t="shared" si="1"/>
        <v>1645</v>
      </c>
    </row>
    <row r="3704" ht="22.5" customHeight="1">
      <c r="B3704" s="42" t="str">
        <f>IFERROR(__xludf.DUMMYFUNCTION("""COMPUTED_VALUE"""),"K/1/230425/1")</f>
        <v>K/1/230425/1</v>
      </c>
      <c r="C3704" s="42" t="str">
        <f>IFERROR(__xludf.DUMMYFUNCTION("""COMPUTED_VALUE"""),"Nibel 7917/ Kemiling Permai")</f>
        <v>Nibel 7917/ Kemiling Permai</v>
      </c>
      <c r="D3704" s="42"/>
      <c r="E3704" s="42"/>
      <c r="F3704" s="48" t="str">
        <f>IFERROR(__xludf.DUMMYFUNCTION("""COMPUTED_VALUE"""),"")</f>
        <v/>
      </c>
      <c r="G3704" s="42" t="str">
        <f>IFERROR(__xludf.DUMMYFUNCTION("""COMPUTED_VALUE"""),"BN JUAL BELI")</f>
        <v>BN JUAL BELI</v>
      </c>
      <c r="H3704" s="42">
        <f t="shared" si="1"/>
        <v>1645</v>
      </c>
    </row>
    <row r="3705" ht="22.5" customHeight="1">
      <c r="B3705" s="42" t="str">
        <f>IFERROR(__xludf.DUMMYFUNCTION("""COMPUTED_VALUE"""),"K/39/220425/1")</f>
        <v>K/39/220425/1</v>
      </c>
      <c r="C3705" s="42" t="str">
        <f>IFERROR(__xludf.DUMMYFUNCTION("""COMPUTED_VALUE"""),"NIBEL B. 432/KEMILING PERMAI")</f>
        <v>NIBEL B. 432/KEMILING PERMAI</v>
      </c>
      <c r="D3705" s="42"/>
      <c r="E3705" s="42"/>
      <c r="F3705" s="48" t="str">
        <f>IFERROR(__xludf.DUMMYFUNCTION("""COMPUTED_VALUE"""),"")</f>
        <v/>
      </c>
      <c r="G3705" s="42" t="str">
        <f>IFERROR(__xludf.DUMMYFUNCTION("""COMPUTED_VALUE"""),"BN JUAL BELI")</f>
        <v>BN JUAL BELI</v>
      </c>
      <c r="H3705" s="42">
        <f t="shared" si="1"/>
        <v>1645</v>
      </c>
    </row>
    <row r="3706" ht="22.5" customHeight="1">
      <c r="B3706" s="42" t="str">
        <f>IFERROR(__xludf.DUMMYFUNCTION("""COMPUTED_VALUE"""),"K/2/230425/1")</f>
        <v>K/2/230425/1</v>
      </c>
      <c r="C3706" s="42" t="str">
        <f>IFERROR(__xludf.DUMMYFUNCTION("""COMPUTED_VALUE"""),"M.4288/GUNUNG TERANG")</f>
        <v>M.4288/GUNUNG TERANG</v>
      </c>
      <c r="D3706" s="42"/>
      <c r="E3706" s="42"/>
      <c r="F3706" s="48" t="str">
        <f>IFERROR(__xludf.DUMMYFUNCTION("""COMPUTED_VALUE"""),"")</f>
        <v/>
      </c>
      <c r="G3706" s="42" t="str">
        <f>IFERROR(__xludf.DUMMYFUNCTION("""COMPUTED_VALUE"""),"KEWARISAN")</f>
        <v>KEWARISAN</v>
      </c>
      <c r="H3706" s="42">
        <f t="shared" si="1"/>
        <v>1645</v>
      </c>
    </row>
    <row r="3707" ht="22.5" customHeight="1">
      <c r="B3707" s="42" t="str">
        <f>IFERROR(__xludf.DUMMYFUNCTION("""COMPUTED_VALUE"""),"K/3/230425/1")</f>
        <v>K/3/230425/1</v>
      </c>
      <c r="C3707" s="42" t="str">
        <f>IFERROR(__xludf.DUMMYFUNCTION("""COMPUTED_VALUE"""),"NIBEL B. 19256/GUNUNG SULAH")</f>
        <v>NIBEL B. 19256/GUNUNG SULAH</v>
      </c>
      <c r="D3707" s="42"/>
      <c r="E3707" s="42"/>
      <c r="F3707" s="48" t="str">
        <f>IFERROR(__xludf.DUMMYFUNCTION("""COMPUTED_VALUE"""),"")</f>
        <v/>
      </c>
      <c r="G3707" s="42" t="str">
        <f>IFERROR(__xludf.DUMMYFUNCTION("""COMPUTED_VALUE"""),"PERUBAHAN HAK")</f>
        <v>PERUBAHAN HAK</v>
      </c>
      <c r="H3707" s="42">
        <f t="shared" si="1"/>
        <v>1645</v>
      </c>
    </row>
    <row r="3708" ht="22.5" customHeight="1">
      <c r="B3708" s="42" t="str">
        <f>IFERROR(__xludf.DUMMYFUNCTION("""COMPUTED_VALUE"""),"L/6/230425/1")</f>
        <v>L/6/230425/1</v>
      </c>
      <c r="C3708" s="42" t="str">
        <f>IFERROR(__xludf.DUMMYFUNCTION("""COMPUTED_VALUE"""),"HM 445/KOTA KARANG RAYA")</f>
        <v>HM 445/KOTA KARANG RAYA</v>
      </c>
      <c r="D3708" s="42"/>
      <c r="E3708" s="42"/>
      <c r="F3708" s="48" t="str">
        <f>IFERROR(__xludf.DUMMYFUNCTION("""COMPUTED_VALUE"""),"")</f>
        <v/>
      </c>
      <c r="G3708" s="42" t="str">
        <f>IFERROR(__xludf.DUMMYFUNCTION("""COMPUTED_VALUE"""),"BN WARIS")</f>
        <v>BN WARIS</v>
      </c>
      <c r="H3708" s="42">
        <f t="shared" si="1"/>
        <v>1645</v>
      </c>
    </row>
    <row r="3709" ht="22.5" customHeight="1">
      <c r="B3709" s="42" t="str">
        <f>IFERROR(__xludf.DUMMYFUNCTION("""COMPUTED_VALUE"""),"K/4/230425/1")</f>
        <v>K/4/230425/1</v>
      </c>
      <c r="C3709" s="42" t="str">
        <f>IFERROR(__xludf.DUMMYFUNCTION("""COMPUTED_VALUE"""),"M.3266/KOTA BARU")</f>
        <v>M.3266/KOTA BARU</v>
      </c>
      <c r="D3709" s="42"/>
      <c r="E3709" s="42"/>
      <c r="F3709" s="48" t="str">
        <f>IFERROR(__xludf.DUMMYFUNCTION("""COMPUTED_VALUE"""),"")</f>
        <v/>
      </c>
      <c r="G3709" s="42" t="str">
        <f>IFERROR(__xludf.DUMMYFUNCTION("""COMPUTED_VALUE"""),"HAPUS BPHTB")</f>
        <v>HAPUS BPHTB</v>
      </c>
      <c r="H3709" s="42">
        <f t="shared" si="1"/>
        <v>1645</v>
      </c>
    </row>
    <row r="3710" ht="22.5" customHeight="1">
      <c r="B3710" s="42" t="str">
        <f>IFERROR(__xludf.DUMMYFUNCTION("""COMPUTED_VALUE"""),"K/5/230425/1")</f>
        <v>K/5/230425/1</v>
      </c>
      <c r="C3710" s="42" t="str">
        <f>IFERROR(__xludf.DUMMYFUNCTION("""COMPUTED_VALUE"""),"B. 267/TANJUNG SENANG")</f>
        <v>B. 267/TANJUNG SENANG</v>
      </c>
      <c r="D3710" s="42" t="str">
        <f>IFERROR(__xludf.DUMMYFUNCTION("""COMPUTED_VALUE"""),"Berry")</f>
        <v>Berry</v>
      </c>
      <c r="E3710" s="42" t="str">
        <f>IFERROR(__xludf.DUMMYFUNCTION("""COMPUTED_VALUE"""),"DISERAHKAN")</f>
        <v>DISERAHKAN</v>
      </c>
      <c r="F3710" s="48">
        <f>IFERROR(__xludf.DUMMYFUNCTION("""COMPUTED_VALUE"""),45890.59775027778)</f>
        <v>45890.59775</v>
      </c>
      <c r="G3710" s="42" t="str">
        <f>IFERROR(__xludf.DUMMYFUNCTION("""COMPUTED_VALUE"""),"ROYA")</f>
        <v>ROYA</v>
      </c>
      <c r="H3710" s="42">
        <f t="shared" si="1"/>
        <v>1646</v>
      </c>
    </row>
    <row r="3711" ht="22.5" customHeight="1">
      <c r="B3711" s="42" t="str">
        <f>IFERROR(__xludf.DUMMYFUNCTION("""COMPUTED_VALUE"""),"K/7/230425/1")</f>
        <v>K/7/230425/1</v>
      </c>
      <c r="C3711" s="42" t="str">
        <f>IFERROR(__xludf.DUMMYFUNCTION("""COMPUTED_VALUE"""),"NIBEL M 16566/KAMPUNG BARU")</f>
        <v>NIBEL M 16566/KAMPUNG BARU</v>
      </c>
      <c r="D3711" s="42"/>
      <c r="E3711" s="42"/>
      <c r="F3711" s="48" t="str">
        <f>IFERROR(__xludf.DUMMYFUNCTION("""COMPUTED_VALUE"""),"")</f>
        <v/>
      </c>
      <c r="G3711" s="42" t="str">
        <f>IFERROR(__xludf.DUMMYFUNCTION("""COMPUTED_VALUE"""),"JUAL BELI")</f>
        <v>JUAL BELI</v>
      </c>
      <c r="H3711" s="42">
        <f t="shared" si="1"/>
        <v>1646</v>
      </c>
    </row>
    <row r="3712" ht="22.5" customHeight="1">
      <c r="B3712" s="42" t="str">
        <f>IFERROR(__xludf.DUMMYFUNCTION("""COMPUTED_VALUE"""),"K/8/230425/2")</f>
        <v>K/8/230425/2</v>
      </c>
      <c r="C3712" s="42" t="str">
        <f>IFERROR(__xludf.DUMMYFUNCTION("""COMPUTED_VALUE"""),"M.2799/SUKARAME BARU")</f>
        <v>M.2799/SUKARAME BARU</v>
      </c>
      <c r="D3712" s="42" t="str">
        <f>IFERROR(__xludf.DUMMYFUNCTION("""COMPUTED_VALUE"""),"Berry")</f>
        <v>Berry</v>
      </c>
      <c r="E3712" s="42" t="str">
        <f>IFERROR(__xludf.DUMMYFUNCTION("""COMPUTED_VALUE"""),"DISERAHKAN")</f>
        <v>DISERAHKAN</v>
      </c>
      <c r="F3712" s="48">
        <f>IFERROR(__xludf.DUMMYFUNCTION("""COMPUTED_VALUE"""),45791.65668506944)</f>
        <v>45791.65669</v>
      </c>
      <c r="G3712" s="42" t="str">
        <f>IFERROR(__xludf.DUMMYFUNCTION("""COMPUTED_VALUE"""),"JUAL BELI")</f>
        <v>JUAL BELI</v>
      </c>
      <c r="H3712" s="42">
        <f t="shared" si="1"/>
        <v>1647</v>
      </c>
    </row>
    <row r="3713" ht="22.5" customHeight="1">
      <c r="B3713" s="42" t="str">
        <f>IFERROR(__xludf.DUMMYFUNCTION("""COMPUTED_VALUE"""),"K/9/230425/3")</f>
        <v>K/9/230425/3</v>
      </c>
      <c r="C3713" s="42" t="str">
        <f>IFERROR(__xludf.DUMMYFUNCTION("""COMPUTED_VALUE"""),"M.1913/WAY KANDIS")</f>
        <v>M.1913/WAY KANDIS</v>
      </c>
      <c r="D3713" s="42"/>
      <c r="E3713" s="42"/>
      <c r="F3713" s="48" t="str">
        <f>IFERROR(__xludf.DUMMYFUNCTION("""COMPUTED_VALUE"""),"")</f>
        <v/>
      </c>
      <c r="G3713" s="42" t="str">
        <f>IFERROR(__xludf.DUMMYFUNCTION("""COMPUTED_VALUE"""),"HIBAH")</f>
        <v>HIBAH</v>
      </c>
      <c r="H3713" s="42">
        <f t="shared" si="1"/>
        <v>1647</v>
      </c>
    </row>
    <row r="3714" ht="22.5" customHeight="1">
      <c r="B3714" s="42" t="str">
        <f>IFERROR(__xludf.DUMMYFUNCTION("""COMPUTED_VALUE"""),"K/10/230425/4")</f>
        <v>K/10/230425/4</v>
      </c>
      <c r="C3714" s="42" t="str">
        <f>IFERROR(__xludf.DUMMYFUNCTION("""COMPUTED_VALUE"""),"M.2142/SEPANG JAYA")</f>
        <v>M.2142/SEPANG JAYA</v>
      </c>
      <c r="D3714" s="42"/>
      <c r="E3714" s="42"/>
      <c r="F3714" s="48" t="str">
        <f>IFERROR(__xludf.DUMMYFUNCTION("""COMPUTED_VALUE"""),"")</f>
        <v/>
      </c>
      <c r="G3714" s="42" t="str">
        <f>IFERROR(__xludf.DUMMYFUNCTION("""COMPUTED_VALUE"""),"JUAL BELI")</f>
        <v>JUAL BELI</v>
      </c>
      <c r="H3714" s="42">
        <f t="shared" si="1"/>
        <v>1647</v>
      </c>
    </row>
    <row r="3715" ht="22.5" customHeight="1">
      <c r="B3715" s="42" t="str">
        <f>IFERROR(__xludf.DUMMYFUNCTION("""COMPUTED_VALUE"""),"K/12/230425/1")</f>
        <v>K/12/230425/1</v>
      </c>
      <c r="C3715" s="42" t="str">
        <f>IFERROR(__xludf.DUMMYFUNCTION("""COMPUTED_VALUE"""),"M. 2753/ Sukarame II")</f>
        <v>M. 2753/ Sukarame II</v>
      </c>
      <c r="D3715" s="42"/>
      <c r="E3715" s="42"/>
      <c r="F3715" s="48" t="str">
        <f>IFERROR(__xludf.DUMMYFUNCTION("""COMPUTED_VALUE"""),"")</f>
        <v/>
      </c>
      <c r="G3715" s="42" t="str">
        <f>IFERROR(__xludf.DUMMYFUNCTION("""COMPUTED_VALUE"""),"BN JUAL BELI")</f>
        <v>BN JUAL BELI</v>
      </c>
      <c r="H3715" s="42">
        <f t="shared" si="1"/>
        <v>1647</v>
      </c>
    </row>
    <row r="3716" ht="22.5" customHeight="1">
      <c r="B3716" s="42" t="str">
        <f>IFERROR(__xludf.DUMMYFUNCTION("""COMPUTED_VALUE"""),"K/13/230425/2")</f>
        <v>K/13/230425/2</v>
      </c>
      <c r="C3716" s="42" t="str">
        <f>IFERROR(__xludf.DUMMYFUNCTION("""COMPUTED_VALUE"""),"Nibel 7544/ Rajabasa Jaya")</f>
        <v>Nibel 7544/ Rajabasa Jaya</v>
      </c>
      <c r="D3716" s="42"/>
      <c r="E3716" s="42"/>
      <c r="F3716" s="48" t="str">
        <f>IFERROR(__xludf.DUMMYFUNCTION("""COMPUTED_VALUE"""),"")</f>
        <v/>
      </c>
      <c r="G3716" s="42" t="str">
        <f>IFERROR(__xludf.DUMMYFUNCTION("""COMPUTED_VALUE"""),"BN JUAL BELI")</f>
        <v>BN JUAL BELI</v>
      </c>
      <c r="H3716" s="42">
        <f t="shared" si="1"/>
        <v>1647</v>
      </c>
    </row>
    <row r="3717" ht="22.5" customHeight="1">
      <c r="B3717" s="42" t="str">
        <f>IFERROR(__xludf.DUMMYFUNCTION("""COMPUTED_VALUE"""),"K/14/230425/3")</f>
        <v>K/14/230425/3</v>
      </c>
      <c r="C3717" s="42" t="str">
        <f>IFERROR(__xludf.DUMMYFUNCTION("""COMPUTED_VALUE"""),"M. 14253/ Segala Mider")</f>
        <v>M. 14253/ Segala Mider</v>
      </c>
      <c r="D3717" s="42" t="str">
        <f>IFERROR(__xludf.DUMMYFUNCTION("""COMPUTED_VALUE"""),"Berry")</f>
        <v>Berry</v>
      </c>
      <c r="E3717" s="42" t="str">
        <f>IFERROR(__xludf.DUMMYFUNCTION("""COMPUTED_VALUE"""),"DISERAHKAN")</f>
        <v>DISERAHKAN</v>
      </c>
      <c r="F3717" s="48">
        <f>IFERROR(__xludf.DUMMYFUNCTION("""COMPUTED_VALUE"""),45796.46694025463)</f>
        <v>45796.46694</v>
      </c>
      <c r="G3717" s="42" t="str">
        <f>IFERROR(__xludf.DUMMYFUNCTION("""COMPUTED_VALUE"""),"BN JUAL BELI")</f>
        <v>BN JUAL BELI</v>
      </c>
      <c r="H3717" s="42">
        <f t="shared" si="1"/>
        <v>1648</v>
      </c>
    </row>
    <row r="3718" ht="22.5" customHeight="1">
      <c r="B3718" s="42" t="str">
        <f>IFERROR(__xludf.DUMMYFUNCTION("""COMPUTED_VALUE"""),"L/11/230425/1")</f>
        <v>L/11/230425/1</v>
      </c>
      <c r="C3718" s="42" t="str">
        <f>IFERROR(__xludf.DUMMYFUNCTION("""COMPUTED_VALUE"""),"HM 636/SUSUNAN BARU")</f>
        <v>HM 636/SUSUNAN BARU</v>
      </c>
      <c r="D3718" s="42" t="str">
        <f>IFERROR(__xludf.DUMMYFUNCTION("""COMPUTED_VALUE"""),"Berry")</f>
        <v>Berry</v>
      </c>
      <c r="E3718" s="42" t="str">
        <f>IFERROR(__xludf.DUMMYFUNCTION("""COMPUTED_VALUE"""),"DISERAHKAN")</f>
        <v>DISERAHKAN</v>
      </c>
      <c r="F3718" s="48">
        <f>IFERROR(__xludf.DUMMYFUNCTION("""COMPUTED_VALUE"""),45924.685117650464)</f>
        <v>45924.68512</v>
      </c>
      <c r="G3718" s="42" t="str">
        <f>IFERROR(__xludf.DUMMYFUNCTION("""COMPUTED_VALUE"""),"ROYA")</f>
        <v>ROYA</v>
      </c>
      <c r="H3718" s="42">
        <f t="shared" si="1"/>
        <v>1649</v>
      </c>
    </row>
    <row r="3719" ht="22.5" customHeight="1">
      <c r="B3719" s="42" t="str">
        <f>IFERROR(__xludf.DUMMYFUNCTION("""COMPUTED_VALUE"""),"K/16/230425/1")</f>
        <v>K/16/230425/1</v>
      </c>
      <c r="C3719" s="42" t="str">
        <f>IFERROR(__xludf.DUMMYFUNCTION("""COMPUTED_VALUE"""),"M. 1472/ Kaliawi")</f>
        <v>M. 1472/ Kaliawi</v>
      </c>
      <c r="D3719" s="42" t="str">
        <f>IFERROR(__xludf.DUMMYFUNCTION("""COMPUTED_VALUE"""),"Berry")</f>
        <v>Berry</v>
      </c>
      <c r="E3719" s="42" t="str">
        <f>IFERROR(__xludf.DUMMYFUNCTION("""COMPUTED_VALUE"""),"DISERAHKAN")</f>
        <v>DISERAHKAN</v>
      </c>
      <c r="F3719" s="48">
        <f>IFERROR(__xludf.DUMMYFUNCTION("""COMPUTED_VALUE"""),45799.52835460648)</f>
        <v>45799.52835</v>
      </c>
      <c r="G3719" s="42" t="str">
        <f>IFERROR(__xludf.DUMMYFUNCTION("""COMPUTED_VALUE"""),"Roya")</f>
        <v>Roya</v>
      </c>
      <c r="H3719" s="42">
        <f t="shared" si="1"/>
        <v>1650</v>
      </c>
    </row>
    <row r="3720" ht="22.5" customHeight="1">
      <c r="B3720" s="42" t="str">
        <f>IFERROR(__xludf.DUMMYFUNCTION("""COMPUTED_VALUE"""),"K/17/230425/1")</f>
        <v>K/17/230425/1</v>
      </c>
      <c r="C3720" s="42" t="str">
        <f>IFERROR(__xludf.DUMMYFUNCTION("""COMPUTED_VALUE"""),"M.1957/SUKARAME BARU")</f>
        <v>M.1957/SUKARAME BARU</v>
      </c>
      <c r="D3720" s="42" t="str">
        <f>IFERROR(__xludf.DUMMYFUNCTION("""COMPUTED_VALUE"""),"Berry")</f>
        <v>Berry</v>
      </c>
      <c r="E3720" s="42" t="str">
        <f>IFERROR(__xludf.DUMMYFUNCTION("""COMPUTED_VALUE"""),"DISERAHKAN")</f>
        <v>DISERAHKAN</v>
      </c>
      <c r="F3720" s="48">
        <f>IFERROR(__xludf.DUMMYFUNCTION("""COMPUTED_VALUE"""),45791.65276513889)</f>
        <v>45791.65277</v>
      </c>
      <c r="G3720" s="42" t="str">
        <f>IFERROR(__xludf.DUMMYFUNCTION("""COMPUTED_VALUE"""),"JUAL BELI")</f>
        <v>JUAL BELI</v>
      </c>
      <c r="H3720" s="42">
        <f t="shared" si="1"/>
        <v>1651</v>
      </c>
    </row>
    <row r="3721" ht="22.5" customHeight="1">
      <c r="B3721" s="42" t="str">
        <f>IFERROR(__xludf.DUMMYFUNCTION("""COMPUTED_VALUE"""),"K/15/230425/1")</f>
        <v>K/15/230425/1</v>
      </c>
      <c r="C3721" s="42" t="str">
        <f>IFERROR(__xludf.DUMMYFUNCTION("""COMPUTED_VALUE"""),"B. 3713/SUKABUMI")</f>
        <v>B. 3713/SUKABUMI</v>
      </c>
      <c r="D3721" s="42"/>
      <c r="E3721" s="42"/>
      <c r="F3721" s="48" t="str">
        <f>IFERROR(__xludf.DUMMYFUNCTION("""COMPUTED_VALUE"""),"")</f>
        <v/>
      </c>
      <c r="G3721" s="42" t="str">
        <f>IFERROR(__xludf.DUMMYFUNCTION("""COMPUTED_VALUE"""),"BN JUAL BELI")</f>
        <v>BN JUAL BELI</v>
      </c>
      <c r="H3721" s="42">
        <f t="shared" si="1"/>
        <v>1651</v>
      </c>
    </row>
    <row r="3722" ht="22.5" customHeight="1">
      <c r="B3722" s="42" t="str">
        <f>IFERROR(__xludf.DUMMYFUNCTION("""COMPUTED_VALUE"""),"K/18/230425/2")</f>
        <v>K/18/230425/2</v>
      </c>
      <c r="C3722" s="42" t="str">
        <f>IFERROR(__xludf.DUMMYFUNCTION("""COMPUTED_VALUE"""),"M.2636/SUMBER AGUNG")</f>
        <v>M.2636/SUMBER AGUNG</v>
      </c>
      <c r="D3722" s="42"/>
      <c r="E3722" s="42"/>
      <c r="F3722" s="48" t="str">
        <f>IFERROR(__xludf.DUMMYFUNCTION("""COMPUTED_VALUE"""),"")</f>
        <v/>
      </c>
      <c r="G3722" s="42" t="str">
        <f>IFERROR(__xludf.DUMMYFUNCTION("""COMPUTED_VALUE"""),"JUAL BELI")</f>
        <v>JUAL BELI</v>
      </c>
      <c r="H3722" s="42">
        <f t="shared" si="1"/>
        <v>1651</v>
      </c>
    </row>
    <row r="3723" ht="22.5" customHeight="1">
      <c r="B3723" s="42" t="str">
        <f>IFERROR(__xludf.DUMMYFUNCTION("""COMPUTED_VALUE"""),"K/19/230425/1")</f>
        <v>K/19/230425/1</v>
      </c>
      <c r="C3723" s="42" t="str">
        <f>IFERROR(__xludf.DUMMYFUNCTION("""COMPUTED_VALUE"""),"M. 9737/LABUHAN RATU")</f>
        <v>M. 9737/LABUHAN RATU</v>
      </c>
      <c r="D3723" s="42" t="str">
        <f>IFERROR(__xludf.DUMMYFUNCTION("""COMPUTED_VALUE"""),"Berry")</f>
        <v>Berry</v>
      </c>
      <c r="E3723" s="42" t="str">
        <f>IFERROR(__xludf.DUMMYFUNCTION("""COMPUTED_VALUE"""),"DISERAHKAN")</f>
        <v>DISERAHKAN</v>
      </c>
      <c r="F3723" s="48">
        <f>IFERROR(__xludf.DUMMYFUNCTION("""COMPUTED_VALUE"""),45792.484576944444)</f>
        <v>45792.48458</v>
      </c>
      <c r="G3723" s="42" t="str">
        <f>IFERROR(__xludf.DUMMYFUNCTION("""COMPUTED_VALUE"""),"ROYA")</f>
        <v>ROYA</v>
      </c>
      <c r="H3723" s="42">
        <f t="shared" si="1"/>
        <v>1652</v>
      </c>
    </row>
    <row r="3724" ht="22.5" customHeight="1">
      <c r="B3724" s="42" t="str">
        <f>IFERROR(__xludf.DUMMYFUNCTION("""COMPUTED_VALUE"""),"K/22/230425/1")</f>
        <v>K/22/230425/1</v>
      </c>
      <c r="C3724" s="42" t="str">
        <f>IFERROR(__xludf.DUMMYFUNCTION("""COMPUTED_VALUE"""),"M. 13235/ Segala Mider")</f>
        <v>M. 13235/ Segala Mider</v>
      </c>
      <c r="D3724" s="42"/>
      <c r="E3724" s="42"/>
      <c r="F3724" s="48" t="str">
        <f>IFERROR(__xludf.DUMMYFUNCTION("""COMPUTED_VALUE"""),"")</f>
        <v/>
      </c>
      <c r="G3724" s="42" t="str">
        <f>IFERROR(__xludf.DUMMYFUNCTION("""COMPUTED_VALUE"""),"ROYA")</f>
        <v>ROYA</v>
      </c>
      <c r="H3724" s="42">
        <f t="shared" si="1"/>
        <v>1652</v>
      </c>
    </row>
    <row r="3725" ht="22.5" customHeight="1">
      <c r="B3725" s="42" t="str">
        <f>IFERROR(__xludf.DUMMYFUNCTION("""COMPUTED_VALUE"""),"K/20/230425/2")</f>
        <v>K/20/230425/2</v>
      </c>
      <c r="C3725" s="42" t="str">
        <f>IFERROR(__xludf.DUMMYFUNCTION("""COMPUTED_VALUE"""),"M. 2164/WAY HALIM PERMAI")</f>
        <v>M. 2164/WAY HALIM PERMAI</v>
      </c>
      <c r="D3725" s="42" t="str">
        <f>IFERROR(__xludf.DUMMYFUNCTION("""COMPUTED_VALUE"""),"Berry")</f>
        <v>Berry</v>
      </c>
      <c r="E3725" s="42" t="str">
        <f>IFERROR(__xludf.DUMMYFUNCTION("""COMPUTED_VALUE"""),"DISERAHKAN")</f>
        <v>DISERAHKAN</v>
      </c>
      <c r="F3725" s="48">
        <f>IFERROR(__xludf.DUMMYFUNCTION("""COMPUTED_VALUE"""),45796.48605457176)</f>
        <v>45796.48605</v>
      </c>
      <c r="G3725" s="42" t="str">
        <f>IFERROR(__xludf.DUMMYFUNCTION("""COMPUTED_VALUE"""),"ROYA")</f>
        <v>ROYA</v>
      </c>
      <c r="H3725" s="42">
        <f t="shared" si="1"/>
        <v>1653</v>
      </c>
    </row>
    <row r="3726" ht="22.5" customHeight="1">
      <c r="B3726" s="42" t="str">
        <f>IFERROR(__xludf.DUMMYFUNCTION("""COMPUTED_VALUE"""),"K/21/230425/3")</f>
        <v>K/21/230425/3</v>
      </c>
      <c r="C3726" s="42" t="str">
        <f>IFERROR(__xludf.DUMMYFUNCTION("""COMPUTED_VALUE"""),"M. 56/KALI BALAU KENCANA")</f>
        <v>M. 56/KALI BALAU KENCANA</v>
      </c>
      <c r="D3726" s="42" t="str">
        <f>IFERROR(__xludf.DUMMYFUNCTION("""COMPUTED_VALUE"""),"Berry")</f>
        <v>Berry</v>
      </c>
      <c r="E3726" s="42" t="str">
        <f>IFERROR(__xludf.DUMMYFUNCTION("""COMPUTED_VALUE"""),"DISERAHKAN")</f>
        <v>DISERAHKAN</v>
      </c>
      <c r="F3726" s="48">
        <f>IFERROR(__xludf.DUMMYFUNCTION("""COMPUTED_VALUE"""),45841.51201607639)</f>
        <v>45841.51202</v>
      </c>
      <c r="G3726" s="42" t="str">
        <f>IFERROR(__xludf.DUMMYFUNCTION("""COMPUTED_VALUE"""),"BN JUAL BELI")</f>
        <v>BN JUAL BELI</v>
      </c>
      <c r="H3726" s="42">
        <f t="shared" si="1"/>
        <v>1654</v>
      </c>
    </row>
    <row r="3727" ht="22.5" customHeight="1">
      <c r="B3727" s="42" t="str">
        <f>IFERROR(__xludf.DUMMYFUNCTION("""COMPUTED_VALUE"""),"K/23/230425/2")</f>
        <v>K/23/230425/2</v>
      </c>
      <c r="C3727" s="42" t="str">
        <f>IFERROR(__xludf.DUMMYFUNCTION("""COMPUTED_VALUE"""),"M. 221/ Bumi Raya")</f>
        <v>M. 221/ Bumi Raya</v>
      </c>
      <c r="D3727" s="42"/>
      <c r="E3727" s="42"/>
      <c r="F3727" s="48" t="str">
        <f>IFERROR(__xludf.DUMMYFUNCTION("""COMPUTED_VALUE"""),"")</f>
        <v/>
      </c>
      <c r="G3727" s="42" t="str">
        <f>IFERROR(__xludf.DUMMYFUNCTION("""COMPUTED_VALUE"""),"PENGUKURAN ULANG")</f>
        <v>PENGUKURAN ULANG</v>
      </c>
      <c r="H3727" s="42">
        <f t="shared" si="1"/>
        <v>1654</v>
      </c>
    </row>
    <row r="3728" ht="22.5" customHeight="1">
      <c r="B3728" s="42" t="str">
        <f>IFERROR(__xludf.DUMMYFUNCTION("""COMPUTED_VALUE"""),"K/24/230425/3")</f>
        <v>K/24/230425/3</v>
      </c>
      <c r="C3728" s="42" t="str">
        <f>IFERROR(__xludf.DUMMYFUNCTION("""COMPUTED_VALUE"""),"M. 222/ Bumi Raya")</f>
        <v>M. 222/ Bumi Raya</v>
      </c>
      <c r="D3728" s="42"/>
      <c r="E3728" s="42"/>
      <c r="F3728" s="48" t="str">
        <f>IFERROR(__xludf.DUMMYFUNCTION("""COMPUTED_VALUE"""),"")</f>
        <v/>
      </c>
      <c r="G3728" s="42" t="str">
        <f>IFERROR(__xludf.DUMMYFUNCTION("""COMPUTED_VALUE"""),"PENGUKURAN ULANG")</f>
        <v>PENGUKURAN ULANG</v>
      </c>
      <c r="H3728" s="42">
        <f t="shared" si="1"/>
        <v>1654</v>
      </c>
    </row>
    <row r="3729" ht="22.5" customHeight="1">
      <c r="B3729" s="42" t="str">
        <f>IFERROR(__xludf.DUMMYFUNCTION("""COMPUTED_VALUE"""),"K/30/230425/1")</f>
        <v>K/30/230425/1</v>
      </c>
      <c r="C3729" s="42" t="str">
        <f>IFERROR(__xludf.DUMMYFUNCTION("""COMPUTED_VALUE"""),"M.11489/SUKABUMI")</f>
        <v>M.11489/SUKABUMI</v>
      </c>
      <c r="D3729" s="42"/>
      <c r="E3729" s="42"/>
      <c r="F3729" s="48" t="str">
        <f>IFERROR(__xludf.DUMMYFUNCTION("""COMPUTED_VALUE"""),"")</f>
        <v/>
      </c>
      <c r="G3729" s="42" t="str">
        <f>IFERROR(__xludf.DUMMYFUNCTION("""COMPUTED_VALUE"""),"JUAL BELI")</f>
        <v>JUAL BELI</v>
      </c>
      <c r="H3729" s="42">
        <f t="shared" si="1"/>
        <v>1654</v>
      </c>
    </row>
    <row r="3730" ht="22.5" customHeight="1">
      <c r="B3730" s="42" t="str">
        <f>IFERROR(__xludf.DUMMYFUNCTION("""COMPUTED_VALUE"""),"K/28/230425/3")</f>
        <v>K/28/230425/3</v>
      </c>
      <c r="C3730" s="42" t="str">
        <f>IFERROR(__xludf.DUMMYFUNCTION("""COMPUTED_VALUE"""),"M. 742/ Enggal")</f>
        <v>M. 742/ Enggal</v>
      </c>
      <c r="D3730" s="42"/>
      <c r="E3730" s="42"/>
      <c r="F3730" s="48" t="str">
        <f>IFERROR(__xludf.DUMMYFUNCTION("""COMPUTED_VALUE"""),"")</f>
        <v/>
      </c>
      <c r="G3730" s="42" t="str">
        <f>IFERROR(__xludf.DUMMYFUNCTION("""COMPUTED_VALUE"""),"Blokir")</f>
        <v>Blokir</v>
      </c>
      <c r="H3730" s="42">
        <f t="shared" si="1"/>
        <v>1654</v>
      </c>
    </row>
    <row r="3731" ht="22.5" customHeight="1">
      <c r="B3731" s="42" t="str">
        <f>IFERROR(__xludf.DUMMYFUNCTION("""COMPUTED_VALUE"""),"K/32/230425/1")</f>
        <v>K/32/230425/1</v>
      </c>
      <c r="C3731" s="42" t="str">
        <f>IFERROR(__xludf.DUMMYFUNCTION("""COMPUTED_VALUE"""),"M. 5101/ Rajabasa Jaya")</f>
        <v>M. 5101/ Rajabasa Jaya</v>
      </c>
      <c r="D3731" s="42"/>
      <c r="E3731" s="42"/>
      <c r="F3731" s="48" t="str">
        <f>IFERROR(__xludf.DUMMYFUNCTION("""COMPUTED_VALUE"""),"")</f>
        <v/>
      </c>
      <c r="G3731" s="42" t="str">
        <f>IFERROR(__xludf.DUMMYFUNCTION("""COMPUTED_VALUE"""),"BN JUAL BELI")</f>
        <v>BN JUAL BELI</v>
      </c>
      <c r="H3731" s="42">
        <f t="shared" si="1"/>
        <v>1654</v>
      </c>
    </row>
    <row r="3732" ht="22.5" customHeight="1">
      <c r="B3732" s="42" t="str">
        <f>IFERROR(__xludf.DUMMYFUNCTION("""COMPUTED_VALUE"""),"K/27/230425/2")</f>
        <v>K/27/230425/2</v>
      </c>
      <c r="C3732" s="42" t="str">
        <f>IFERROR(__xludf.DUMMYFUNCTION("""COMPUTED_VALUE"""),"M. 743/ Enggal")</f>
        <v>M. 743/ Enggal</v>
      </c>
      <c r="D3732" s="42"/>
      <c r="E3732" s="42"/>
      <c r="F3732" s="48" t="str">
        <f>IFERROR(__xludf.DUMMYFUNCTION("""COMPUTED_VALUE"""),"")</f>
        <v/>
      </c>
      <c r="G3732" s="42" t="str">
        <f>IFERROR(__xludf.DUMMYFUNCTION("""COMPUTED_VALUE"""),"Blokir")</f>
        <v>Blokir</v>
      </c>
      <c r="H3732" s="42">
        <f t="shared" si="1"/>
        <v>1654</v>
      </c>
    </row>
    <row r="3733" ht="22.5" customHeight="1">
      <c r="B3733" s="42" t="str">
        <f>IFERROR(__xludf.DUMMYFUNCTION("""COMPUTED_VALUE"""),"K/26/230425/1")</f>
        <v>K/26/230425/1</v>
      </c>
      <c r="C3733" s="42" t="str">
        <f>IFERROR(__xludf.DUMMYFUNCTION("""COMPUTED_VALUE"""),"M. 788/ Enggal")</f>
        <v>M. 788/ Enggal</v>
      </c>
      <c r="D3733" s="42"/>
      <c r="E3733" s="42"/>
      <c r="F3733" s="48" t="str">
        <f>IFERROR(__xludf.DUMMYFUNCTION("""COMPUTED_VALUE"""),"")</f>
        <v/>
      </c>
      <c r="G3733" s="42" t="str">
        <f>IFERROR(__xludf.DUMMYFUNCTION("""COMPUTED_VALUE"""),"Blokir")</f>
        <v>Blokir</v>
      </c>
      <c r="H3733" s="42">
        <f t="shared" si="1"/>
        <v>1654</v>
      </c>
    </row>
    <row r="3734" ht="22.5" customHeight="1">
      <c r="B3734" s="42" t="str">
        <f>IFERROR(__xludf.DUMMYFUNCTION("""COMPUTED_VALUE"""),"K/31/230425/1")</f>
        <v>K/31/230425/1</v>
      </c>
      <c r="C3734" s="42" t="str">
        <f>IFERROR(__xludf.DUMMYFUNCTION("""COMPUTED_VALUE"""),"M.994/GUNUNG AGUNG")</f>
        <v>M.994/GUNUNG AGUNG</v>
      </c>
      <c r="D3734" s="42"/>
      <c r="E3734" s="42"/>
      <c r="F3734" s="48" t="str">
        <f>IFERROR(__xludf.DUMMYFUNCTION("""COMPUTED_VALUE"""),"")</f>
        <v/>
      </c>
      <c r="G3734" s="42" t="str">
        <f>IFERROR(__xludf.DUMMYFUNCTION("""COMPUTED_VALUE"""),"JUAL BELI")</f>
        <v>JUAL BELI</v>
      </c>
      <c r="H3734" s="42">
        <f t="shared" si="1"/>
        <v>1654</v>
      </c>
    </row>
    <row r="3735" ht="22.5" customHeight="1">
      <c r="B3735" s="42" t="str">
        <f>IFERROR(__xludf.DUMMYFUNCTION("""COMPUTED_VALUE"""),"K/34/230425/1")</f>
        <v>K/34/230425/1</v>
      </c>
      <c r="C3735" s="42" t="str">
        <f>IFERROR(__xludf.DUMMYFUNCTION("""COMPUTED_VALUE"""),"M. 2898/ Labuhan Dalam")</f>
        <v>M. 2898/ Labuhan Dalam</v>
      </c>
      <c r="D3735" s="42" t="str">
        <f>IFERROR(__xludf.DUMMYFUNCTION("""COMPUTED_VALUE"""),"Berry")</f>
        <v>Berry</v>
      </c>
      <c r="E3735" s="42" t="str">
        <f>IFERROR(__xludf.DUMMYFUNCTION("""COMPUTED_VALUE"""),"DISERAHKAN")</f>
        <v>DISERAHKAN</v>
      </c>
      <c r="F3735" s="48">
        <f>IFERROR(__xludf.DUMMYFUNCTION("""COMPUTED_VALUE"""),45791.662753136574)</f>
        <v>45791.66275</v>
      </c>
      <c r="G3735" s="42" t="str">
        <f>IFERROR(__xludf.DUMMYFUNCTION("""COMPUTED_VALUE"""),"BN Waris")</f>
        <v>BN Waris</v>
      </c>
      <c r="H3735" s="42">
        <f t="shared" si="1"/>
        <v>1655</v>
      </c>
    </row>
    <row r="3736" ht="22.5" customHeight="1">
      <c r="B3736" s="42" t="str">
        <f>IFERROR(__xludf.DUMMYFUNCTION("""COMPUTED_VALUE"""),"K/33/230425/1")</f>
        <v>K/33/230425/1</v>
      </c>
      <c r="C3736" s="42" t="str">
        <f>IFERROR(__xludf.DUMMYFUNCTION("""COMPUTED_VALUE"""),"M.2322/KEMILING PERMAI")</f>
        <v>M.2322/KEMILING PERMAI</v>
      </c>
      <c r="D3736" s="42" t="str">
        <f>IFERROR(__xludf.DUMMYFUNCTION("""COMPUTED_VALUE"""),"Berry")</f>
        <v>Berry</v>
      </c>
      <c r="E3736" s="42" t="str">
        <f>IFERROR(__xludf.DUMMYFUNCTION("""COMPUTED_VALUE"""),"DISERAHKAN")</f>
        <v>DISERAHKAN</v>
      </c>
      <c r="F3736" s="48">
        <f>IFERROR(__xludf.DUMMYFUNCTION("""COMPUTED_VALUE"""),45819.82767652778)</f>
        <v>45819.82768</v>
      </c>
      <c r="G3736" s="42" t="str">
        <f>IFERROR(__xludf.DUMMYFUNCTION("""COMPUTED_VALUE"""),"JUAL BELI")</f>
        <v>JUAL BELI</v>
      </c>
      <c r="H3736" s="42">
        <f t="shared" si="1"/>
        <v>1656</v>
      </c>
    </row>
    <row r="3737" ht="22.5" customHeight="1">
      <c r="B3737" s="42" t="str">
        <f>IFERROR(__xludf.DUMMYFUNCTION("""COMPUTED_VALUE"""),"K/35/230425/1")</f>
        <v>K/35/230425/1</v>
      </c>
      <c r="C3737" s="42" t="str">
        <f>IFERROR(__xludf.DUMMYFUNCTION("""COMPUTED_VALUE"""),"M. 1909/ Bakung")</f>
        <v>M. 1909/ Bakung</v>
      </c>
      <c r="D3737" s="42" t="str">
        <f>IFERROR(__xludf.DUMMYFUNCTION("""COMPUTED_VALUE"""),"David")</f>
        <v>David</v>
      </c>
      <c r="E3737" s="42" t="str">
        <f>IFERROR(__xludf.DUMMYFUNCTION("""COMPUTED_VALUE"""),"DISERAHKAN")</f>
        <v>DISERAHKAN</v>
      </c>
      <c r="F3737" s="48">
        <f>IFERROR(__xludf.DUMMYFUNCTION("""COMPUTED_VALUE"""),45793.4700687963)</f>
        <v>45793.47007</v>
      </c>
      <c r="G3737" s="42" t="str">
        <f>IFERROR(__xludf.DUMMYFUNCTION("""COMPUTED_VALUE"""),"ROYA")</f>
        <v>ROYA</v>
      </c>
      <c r="H3737" s="42">
        <f t="shared" si="1"/>
        <v>1657</v>
      </c>
    </row>
    <row r="3738" ht="22.5" customHeight="1">
      <c r="B3738" s="42" t="str">
        <f>IFERROR(__xludf.DUMMYFUNCTION("""COMPUTED_VALUE"""),"K/36/230425/2")</f>
        <v>K/36/230425/2</v>
      </c>
      <c r="C3738" s="42" t="str">
        <f>IFERROR(__xludf.DUMMYFUNCTION("""COMPUTED_VALUE"""),"Nibel 424/ kemiling Permai")</f>
        <v>Nibel 424/ kemiling Permai</v>
      </c>
      <c r="D3738" s="42"/>
      <c r="E3738" s="42"/>
      <c r="F3738" s="48" t="str">
        <f>IFERROR(__xludf.DUMMYFUNCTION("""COMPUTED_VALUE"""),"")</f>
        <v/>
      </c>
      <c r="G3738" s="42" t="str">
        <f>IFERROR(__xludf.DUMMYFUNCTION("""COMPUTED_VALUE"""),"BN JUAL BELI")</f>
        <v>BN JUAL BELI</v>
      </c>
      <c r="H3738" s="42">
        <f t="shared" si="1"/>
        <v>1657</v>
      </c>
    </row>
    <row r="3739" ht="22.5" customHeight="1">
      <c r="B3739" s="42" t="str">
        <f>IFERROR(__xludf.DUMMYFUNCTION("""COMPUTED_VALUE"""),"K/29/230425/1")</f>
        <v>K/29/230425/1</v>
      </c>
      <c r="C3739" s="42" t="str">
        <f>IFERROR(__xludf.DUMMYFUNCTION("""COMPUTED_VALUE"""),"PBT. 202/2024/RAJABASA JAYA")</f>
        <v>PBT. 202/2024/RAJABASA JAYA</v>
      </c>
      <c r="D3739" s="42"/>
      <c r="E3739" s="42"/>
      <c r="F3739" s="48" t="str">
        <f>IFERROR(__xludf.DUMMYFUNCTION("""COMPUTED_VALUE"""),"")</f>
        <v/>
      </c>
      <c r="G3739" s="42" t="str">
        <f>IFERROR(__xludf.DUMMYFUNCTION("""COMPUTED_VALUE"""),"PTPGT")</f>
        <v>PTPGT</v>
      </c>
      <c r="H3739" s="42">
        <f t="shared" si="1"/>
        <v>1657</v>
      </c>
    </row>
    <row r="3740" ht="22.5" customHeight="1">
      <c r="B3740" s="42" t="str">
        <f>IFERROR(__xludf.DUMMYFUNCTION("""COMPUTED_VALUE"""),"K/37/230425/1")</f>
        <v>K/37/230425/1</v>
      </c>
      <c r="C3740" s="42" t="str">
        <f>IFERROR(__xludf.DUMMYFUNCTION("""COMPUTED_VALUE"""),"Nibel. B. 19121.4/ Kemiling Permai")</f>
        <v>Nibel. B. 19121.4/ Kemiling Permai</v>
      </c>
      <c r="D3740" s="42"/>
      <c r="E3740" s="42"/>
      <c r="F3740" s="48" t="str">
        <f>IFERROR(__xludf.DUMMYFUNCTION("""COMPUTED_VALUE"""),"")</f>
        <v/>
      </c>
      <c r="G3740" s="42" t="str">
        <f>IFERROR(__xludf.DUMMYFUNCTION("""COMPUTED_VALUE"""),"Perubahan Hak")</f>
        <v>Perubahan Hak</v>
      </c>
      <c r="H3740" s="42">
        <f t="shared" si="1"/>
        <v>1657</v>
      </c>
    </row>
    <row r="3741" ht="22.5" customHeight="1">
      <c r="B3741" s="42" t="str">
        <f>IFERROR(__xludf.DUMMYFUNCTION("""COMPUTED_VALUE"""),"K/38/230425/2")</f>
        <v>K/38/230425/2</v>
      </c>
      <c r="C3741" s="42" t="str">
        <f>IFERROR(__xludf.DUMMYFUNCTION("""COMPUTED_VALUE"""),"Nibel. B. 19118.4/ Kemiling Permai")</f>
        <v>Nibel. B. 19118.4/ Kemiling Permai</v>
      </c>
      <c r="D3741" s="42"/>
      <c r="E3741" s="42"/>
      <c r="F3741" s="48" t="str">
        <f>IFERROR(__xludf.DUMMYFUNCTION("""COMPUTED_VALUE"""),"")</f>
        <v/>
      </c>
      <c r="G3741" s="42" t="str">
        <f>IFERROR(__xludf.DUMMYFUNCTION("""COMPUTED_VALUE"""),"Perubahan Hak")</f>
        <v>Perubahan Hak</v>
      </c>
      <c r="H3741" s="42">
        <f t="shared" si="1"/>
        <v>1657</v>
      </c>
    </row>
    <row r="3742" ht="22.5" customHeight="1">
      <c r="B3742" s="42" t="str">
        <f>IFERROR(__xludf.DUMMYFUNCTION("""COMPUTED_VALUE"""),"K/40/230425/1")</f>
        <v>K/40/230425/1</v>
      </c>
      <c r="C3742" s="42" t="str">
        <f>IFERROR(__xludf.DUMMYFUNCTION("""COMPUTED_VALUE"""),"M. 18465/ Langkapura")</f>
        <v>M. 18465/ Langkapura</v>
      </c>
      <c r="D3742" s="42"/>
      <c r="E3742" s="42"/>
      <c r="F3742" s="48" t="str">
        <f>IFERROR(__xludf.DUMMYFUNCTION("""COMPUTED_VALUE"""),"")</f>
        <v/>
      </c>
      <c r="G3742" s="42" t="str">
        <f>IFERROR(__xludf.DUMMYFUNCTION("""COMPUTED_VALUE"""),"BN JUAL BELI")</f>
        <v>BN JUAL BELI</v>
      </c>
      <c r="H3742" s="42">
        <f t="shared" si="1"/>
        <v>1657</v>
      </c>
    </row>
    <row r="3743" ht="22.5" customHeight="1">
      <c r="B3743" s="42" t="str">
        <f>IFERROR(__xludf.DUMMYFUNCTION("""COMPUTED_VALUE"""),"K/39/230425/1")</f>
        <v>K/39/230425/1</v>
      </c>
      <c r="C3743" s="42" t="str">
        <f>IFERROR(__xludf.DUMMYFUNCTION("""COMPUTED_VALUE"""),"NIBEL B. 19363/SUKABUMI")</f>
        <v>NIBEL B. 19363/SUKABUMI</v>
      </c>
      <c r="D3743" s="42"/>
      <c r="E3743" s="42"/>
      <c r="F3743" s="48" t="str">
        <f>IFERROR(__xludf.DUMMYFUNCTION("""COMPUTED_VALUE"""),"")</f>
        <v/>
      </c>
      <c r="G3743" s="42" t="str">
        <f>IFERROR(__xludf.DUMMYFUNCTION("""COMPUTED_VALUE"""),"PERUBAHAN HAK")</f>
        <v>PERUBAHAN HAK</v>
      </c>
      <c r="H3743" s="42">
        <f t="shared" si="1"/>
        <v>1657</v>
      </c>
    </row>
    <row r="3744" ht="22.5" customHeight="1">
      <c r="B3744" s="42" t="str">
        <f>IFERROR(__xludf.DUMMYFUNCTION("""COMPUTED_VALUE"""),"K/43/230425/1")</f>
        <v>K/43/230425/1</v>
      </c>
      <c r="C3744" s="42" t="str">
        <f>IFERROR(__xludf.DUMMYFUNCTION("""COMPUTED_VALUE"""),"M. 9846/ Kedamaian")</f>
        <v>M. 9846/ Kedamaian</v>
      </c>
      <c r="D3744" s="42"/>
      <c r="E3744" s="42"/>
      <c r="F3744" s="48" t="str">
        <f>IFERROR(__xludf.DUMMYFUNCTION("""COMPUTED_VALUE"""),"")</f>
        <v/>
      </c>
      <c r="G3744" s="42" t="str">
        <f>IFERROR(__xludf.DUMMYFUNCTION("""COMPUTED_VALUE"""),"BN WARIS")</f>
        <v>BN WARIS</v>
      </c>
      <c r="H3744" s="42">
        <f t="shared" si="1"/>
        <v>1657</v>
      </c>
    </row>
    <row r="3745" ht="22.5" customHeight="1">
      <c r="B3745" s="42" t="str">
        <f>IFERROR(__xludf.DUMMYFUNCTION("""COMPUTED_VALUE"""),"K/44/230425/1")</f>
        <v>K/44/230425/1</v>
      </c>
      <c r="C3745" s="42" t="str">
        <f>IFERROR(__xludf.DUMMYFUNCTION("""COMPUTED_VALUE"""),"M. 313/ Kota Sepang")</f>
        <v>M. 313/ Kota Sepang</v>
      </c>
      <c r="D3745" s="42" t="str">
        <f>IFERROR(__xludf.DUMMYFUNCTION("""COMPUTED_VALUE"""),"Berry")</f>
        <v>Berry</v>
      </c>
      <c r="E3745" s="42" t="str">
        <f>IFERROR(__xludf.DUMMYFUNCTION("""COMPUTED_VALUE"""),"DISERAHKAN")</f>
        <v>DISERAHKAN</v>
      </c>
      <c r="F3745" s="48">
        <f>IFERROR(__xludf.DUMMYFUNCTION("""COMPUTED_VALUE"""),45819.795611064816)</f>
        <v>45819.79561</v>
      </c>
      <c r="G3745" s="42" t="str">
        <f>IFERROR(__xludf.DUMMYFUNCTION("""COMPUTED_VALUE"""),"BN Jual Beli")</f>
        <v>BN Jual Beli</v>
      </c>
      <c r="H3745" s="42">
        <f t="shared" si="1"/>
        <v>1658</v>
      </c>
    </row>
    <row r="3746" ht="22.5" customHeight="1">
      <c r="B3746" s="42" t="str">
        <f>IFERROR(__xludf.DUMMYFUNCTION("""COMPUTED_VALUE"""),"K/45/230425/1")</f>
        <v>K/45/230425/1</v>
      </c>
      <c r="C3746" s="42" t="str">
        <f>IFERROR(__xludf.DUMMYFUNCTION("""COMPUTED_VALUE"""),"M. 11789/ Kedamaian")</f>
        <v>M. 11789/ Kedamaian</v>
      </c>
      <c r="D3746" s="42"/>
      <c r="E3746" s="42" t="str">
        <f>IFERROR(__xludf.DUMMYFUNCTION("""COMPUTED_VALUE"""),"DISERAHKAN")</f>
        <v>DISERAHKAN</v>
      </c>
      <c r="F3746" s="48">
        <f>IFERROR(__xludf.DUMMYFUNCTION("""COMPUTED_VALUE"""),45777.40502402778)</f>
        <v>45777.40502</v>
      </c>
      <c r="G3746" s="42" t="str">
        <f>IFERROR(__xludf.DUMMYFUNCTION("""COMPUTED_VALUE"""),"Roya")</f>
        <v>Roya</v>
      </c>
      <c r="H3746" s="42">
        <f t="shared" si="1"/>
        <v>1659</v>
      </c>
    </row>
    <row r="3747" ht="22.5" customHeight="1">
      <c r="B3747" s="42" t="str">
        <f>IFERROR(__xludf.DUMMYFUNCTION("""COMPUTED_VALUE"""),"K/46/230425/1")</f>
        <v>K/46/230425/1</v>
      </c>
      <c r="C3747" s="42" t="str">
        <f>IFERROR(__xludf.DUMMYFUNCTION("""COMPUTED_VALUE"""),"M. 1369/ Rajabasa Nunyai")</f>
        <v>M. 1369/ Rajabasa Nunyai</v>
      </c>
      <c r="D3747" s="42" t="str">
        <f>IFERROR(__xludf.DUMMYFUNCTION("""COMPUTED_VALUE"""),"Berry")</f>
        <v>Berry</v>
      </c>
      <c r="E3747" s="42" t="str">
        <f>IFERROR(__xludf.DUMMYFUNCTION("""COMPUTED_VALUE"""),"DISERAHKAN")</f>
        <v>DISERAHKAN</v>
      </c>
      <c r="F3747" s="48">
        <f>IFERROR(__xludf.DUMMYFUNCTION("""COMPUTED_VALUE"""),45810.65984472222)</f>
        <v>45810.65984</v>
      </c>
      <c r="G3747" s="42" t="str">
        <f>IFERROR(__xludf.DUMMYFUNCTION("""COMPUTED_VALUE"""),"BN Jual Beli")</f>
        <v>BN Jual Beli</v>
      </c>
      <c r="H3747" s="42">
        <f t="shared" si="1"/>
        <v>1660</v>
      </c>
    </row>
    <row r="3748" ht="22.5" customHeight="1">
      <c r="B3748" s="42" t="str">
        <f>IFERROR(__xludf.DUMMYFUNCTION("""COMPUTED_VALUE"""),"K/42/230425/1")</f>
        <v>K/42/230425/1</v>
      </c>
      <c r="C3748" s="42" t="str">
        <f>IFERROR(__xludf.DUMMYFUNCTION("""COMPUTED_VALUE"""),"B.1552/SUKABUMI")</f>
        <v>B.1552/SUKABUMI</v>
      </c>
      <c r="D3748" s="42"/>
      <c r="E3748" s="42"/>
      <c r="F3748" s="48" t="str">
        <f>IFERROR(__xludf.DUMMYFUNCTION("""COMPUTED_VALUE"""),"")</f>
        <v/>
      </c>
      <c r="G3748" s="42" t="str">
        <f>IFERROR(__xludf.DUMMYFUNCTION("""COMPUTED_VALUE"""),"PENINGKATAN")</f>
        <v>PENINGKATAN</v>
      </c>
      <c r="H3748" s="42">
        <f t="shared" si="1"/>
        <v>1660</v>
      </c>
    </row>
    <row r="3749" ht="22.5" customHeight="1">
      <c r="B3749" s="42" t="str">
        <f>IFERROR(__xludf.DUMMYFUNCTION("""COMPUTED_VALUE"""),"K/1/240425/1")</f>
        <v>K/1/240425/1</v>
      </c>
      <c r="C3749" s="42" t="str">
        <f>IFERROR(__xludf.DUMMYFUNCTION("""COMPUTED_VALUE"""),"Nibel 20233/ Kota Baru")</f>
        <v>Nibel 20233/ Kota Baru</v>
      </c>
      <c r="D3749" s="42"/>
      <c r="E3749" s="42"/>
      <c r="F3749" s="48" t="str">
        <f>IFERROR(__xludf.DUMMYFUNCTION("""COMPUTED_VALUE"""),"")</f>
        <v/>
      </c>
      <c r="G3749" s="42" t="str">
        <f>IFERROR(__xludf.DUMMYFUNCTION("""COMPUTED_VALUE"""),"BN JUAL BELI")</f>
        <v>BN JUAL BELI</v>
      </c>
      <c r="H3749" s="42">
        <f t="shared" si="1"/>
        <v>1660</v>
      </c>
    </row>
    <row r="3750" ht="22.5" customHeight="1">
      <c r="B3750" s="42" t="str">
        <f>IFERROR(__xludf.DUMMYFUNCTION("""COMPUTED_VALUE"""),"K/2/240425/2")</f>
        <v>K/2/240425/2</v>
      </c>
      <c r="C3750" s="42" t="str">
        <f>IFERROR(__xludf.DUMMYFUNCTION("""COMPUTED_VALUE"""),"M. 2699/ Sukarame Baru")</f>
        <v>M. 2699/ Sukarame Baru</v>
      </c>
      <c r="D3750" s="42"/>
      <c r="E3750" s="42"/>
      <c r="F3750" s="48" t="str">
        <f>IFERROR(__xludf.DUMMYFUNCTION("""COMPUTED_VALUE"""),"")</f>
        <v/>
      </c>
      <c r="G3750" s="42" t="str">
        <f>IFERROR(__xludf.DUMMYFUNCTION("""COMPUTED_VALUE"""),"BN JUAL BELI")</f>
        <v>BN JUAL BELI</v>
      </c>
      <c r="H3750" s="42">
        <f t="shared" si="1"/>
        <v>1660</v>
      </c>
    </row>
    <row r="3751" ht="22.5" customHeight="1">
      <c r="B3751" s="42" t="str">
        <f>IFERROR(__xludf.DUMMYFUNCTION("""COMPUTED_VALUE"""),"K/3/240425/3")</f>
        <v>K/3/240425/3</v>
      </c>
      <c r="C3751" s="42" t="str">
        <f>IFERROR(__xludf.DUMMYFUNCTION("""COMPUTED_VALUE"""),"M. 6415/ Way Kandis")</f>
        <v>M. 6415/ Way Kandis</v>
      </c>
      <c r="D3751" s="42"/>
      <c r="E3751" s="42"/>
      <c r="F3751" s="48" t="str">
        <f>IFERROR(__xludf.DUMMYFUNCTION("""COMPUTED_VALUE"""),"")</f>
        <v/>
      </c>
      <c r="G3751" s="42" t="str">
        <f>IFERROR(__xludf.DUMMYFUNCTION("""COMPUTED_VALUE"""),"BN JUAL BELI")</f>
        <v>BN JUAL BELI</v>
      </c>
      <c r="H3751" s="42">
        <f t="shared" si="1"/>
        <v>1660</v>
      </c>
    </row>
    <row r="3752" ht="22.5" customHeight="1">
      <c r="B3752" s="42" t="str">
        <f>IFERROR(__xludf.DUMMYFUNCTION("""COMPUTED_VALUE"""),"K/4/240425/1")</f>
        <v>K/4/240425/1</v>
      </c>
      <c r="C3752" s="42" t="str">
        <f>IFERROR(__xludf.DUMMYFUNCTION("""COMPUTED_VALUE"""),"B. 952/ Beringin Jaya")</f>
        <v>B. 952/ Beringin Jaya</v>
      </c>
      <c r="D3752" s="42" t="str">
        <f>IFERROR(__xludf.DUMMYFUNCTION("""COMPUTED_VALUE"""),"Berry")</f>
        <v>Berry</v>
      </c>
      <c r="E3752" s="42" t="str">
        <f>IFERROR(__xludf.DUMMYFUNCTION("""COMPUTED_VALUE"""),"DISERAHKAN")</f>
        <v>DISERAHKAN</v>
      </c>
      <c r="F3752" s="48">
        <f>IFERROR(__xludf.DUMMYFUNCTION("""COMPUTED_VALUE"""),45805.44507446759)</f>
        <v>45805.44507</v>
      </c>
      <c r="G3752" s="42" t="str">
        <f>IFERROR(__xludf.DUMMYFUNCTION("""COMPUTED_VALUE"""),"BN Jual Beli")</f>
        <v>BN Jual Beli</v>
      </c>
      <c r="H3752" s="42">
        <f t="shared" si="1"/>
        <v>1661</v>
      </c>
    </row>
    <row r="3753" ht="22.5" customHeight="1">
      <c r="B3753" s="42" t="str">
        <f>IFERROR(__xludf.DUMMYFUNCTION("""COMPUTED_VALUE"""),"K/5/240425/2")</f>
        <v>K/5/240425/2</v>
      </c>
      <c r="C3753" s="42" t="str">
        <f>IFERROR(__xludf.DUMMYFUNCTION("""COMPUTED_VALUE"""),"B. 954/ Beringin Jaya")</f>
        <v>B. 954/ Beringin Jaya</v>
      </c>
      <c r="D3753" s="42"/>
      <c r="E3753" s="42"/>
      <c r="F3753" s="48" t="str">
        <f>IFERROR(__xludf.DUMMYFUNCTION("""COMPUTED_VALUE"""),"")</f>
        <v/>
      </c>
      <c r="G3753" s="42" t="str">
        <f>IFERROR(__xludf.DUMMYFUNCTION("""COMPUTED_VALUE"""),"BN Jual Beli")</f>
        <v>BN Jual Beli</v>
      </c>
      <c r="H3753" s="42">
        <f t="shared" si="1"/>
        <v>1661</v>
      </c>
    </row>
    <row r="3754" ht="22.5" customHeight="1">
      <c r="B3754" s="42" t="str">
        <f>IFERROR(__xludf.DUMMYFUNCTION("""COMPUTED_VALUE"""),"L/6/240425/1")</f>
        <v>L/6/240425/1</v>
      </c>
      <c r="C3754" s="42" t="str">
        <f>IFERROR(__xludf.DUMMYFUNCTION("""COMPUTED_VALUE"""),"HM 1676/WHP")</f>
        <v>HM 1676/WHP</v>
      </c>
      <c r="D3754" s="42"/>
      <c r="E3754" s="42"/>
      <c r="F3754" s="48" t="str">
        <f>IFERROR(__xludf.DUMMYFUNCTION("""COMPUTED_VALUE"""),"")</f>
        <v/>
      </c>
      <c r="G3754" s="42" t="str">
        <f>IFERROR(__xludf.DUMMYFUNCTION("""COMPUTED_VALUE"""),"SERTIPIKAT HILANG")</f>
        <v>SERTIPIKAT HILANG</v>
      </c>
      <c r="H3754" s="42">
        <f t="shared" si="1"/>
        <v>1661</v>
      </c>
    </row>
    <row r="3755" ht="22.5" customHeight="1">
      <c r="B3755" s="42" t="str">
        <f>IFERROR(__xludf.DUMMYFUNCTION("""COMPUTED_VALUE"""),"L/7/240425/2")</f>
        <v>L/7/240425/2</v>
      </c>
      <c r="C3755" s="42" t="str">
        <f>IFERROR(__xludf.DUMMYFUNCTION("""COMPUTED_VALUE"""),"HM 1673/WHP")</f>
        <v>HM 1673/WHP</v>
      </c>
      <c r="D3755" s="42"/>
      <c r="E3755" s="42"/>
      <c r="F3755" s="48" t="str">
        <f>IFERROR(__xludf.DUMMYFUNCTION("""COMPUTED_VALUE"""),"")</f>
        <v/>
      </c>
      <c r="G3755" s="42" t="str">
        <f>IFERROR(__xludf.DUMMYFUNCTION("""COMPUTED_VALUE"""),"SERTIPIKAT HILANG")</f>
        <v>SERTIPIKAT HILANG</v>
      </c>
      <c r="H3755" s="42">
        <f t="shared" si="1"/>
        <v>1661</v>
      </c>
    </row>
    <row r="3756" ht="22.5" customHeight="1">
      <c r="B3756" s="42" t="str">
        <f>IFERROR(__xludf.DUMMYFUNCTION("""COMPUTED_VALUE"""),"K/8/240425/1")</f>
        <v>K/8/240425/1</v>
      </c>
      <c r="C3756" s="42" t="str">
        <f>IFERROR(__xludf.DUMMYFUNCTION("""COMPUTED_VALUE"""),"M. 04772/ Way Kandis")</f>
        <v>M. 04772/ Way Kandis</v>
      </c>
      <c r="D3756" s="42"/>
      <c r="E3756" s="42"/>
      <c r="F3756" s="48" t="str">
        <f>IFERROR(__xludf.DUMMYFUNCTION("""COMPUTED_VALUE"""),"")</f>
        <v/>
      </c>
      <c r="G3756" s="42" t="str">
        <f>IFERROR(__xludf.DUMMYFUNCTION("""COMPUTED_VALUE"""),"HAPUS BPHTB")</f>
        <v>HAPUS BPHTB</v>
      </c>
      <c r="H3756" s="42">
        <f t="shared" si="1"/>
        <v>1661</v>
      </c>
    </row>
    <row r="3757" ht="22.5" customHeight="1">
      <c r="B3757" s="42" t="str">
        <f>IFERROR(__xludf.DUMMYFUNCTION("""COMPUTED_VALUE"""),"K/9/240425/1")</f>
        <v>K/9/240425/1</v>
      </c>
      <c r="C3757" s="42" t="str">
        <f>IFERROR(__xludf.DUMMYFUNCTION("""COMPUTED_VALUE"""),"M.975/SUMBER AGUNG")</f>
        <v>M.975/SUMBER AGUNG</v>
      </c>
      <c r="D3757" s="42"/>
      <c r="E3757" s="42"/>
      <c r="F3757" s="48" t="str">
        <f>IFERROR(__xludf.DUMMYFUNCTION("""COMPUTED_VALUE"""),"")</f>
        <v/>
      </c>
      <c r="G3757" s="42" t="str">
        <f>IFERROR(__xludf.DUMMYFUNCTION("""COMPUTED_VALUE"""),"PEMECAHAN")</f>
        <v>PEMECAHAN</v>
      </c>
      <c r="H3757" s="42">
        <f t="shared" si="1"/>
        <v>1661</v>
      </c>
    </row>
    <row r="3758" ht="22.5" customHeight="1">
      <c r="B3758" s="42" t="str">
        <f>IFERROR(__xludf.DUMMYFUNCTION("""COMPUTED_VALUE"""),"K/10/240425/1")</f>
        <v>K/10/240425/1</v>
      </c>
      <c r="C3758" s="42" t="str">
        <f>IFERROR(__xludf.DUMMYFUNCTION("""COMPUTED_VALUE"""),"M. 1020/ Kupang Kota ")</f>
        <v>M. 1020/ Kupang Kota </v>
      </c>
      <c r="D3758" s="42" t="str">
        <f>IFERROR(__xludf.DUMMYFUNCTION("""COMPUTED_VALUE"""),"Berry")</f>
        <v>Berry</v>
      </c>
      <c r="E3758" s="42" t="str">
        <f>IFERROR(__xludf.DUMMYFUNCTION("""COMPUTED_VALUE"""),"DISERAHKAN")</f>
        <v>DISERAHKAN</v>
      </c>
      <c r="F3758" s="48">
        <f>IFERROR(__xludf.DUMMYFUNCTION("""COMPUTED_VALUE"""),45796.46419829861)</f>
        <v>45796.4642</v>
      </c>
      <c r="G3758" s="42" t="str">
        <f>IFERROR(__xludf.DUMMYFUNCTION("""COMPUTED_VALUE"""),"BN Jual Beli")</f>
        <v>BN Jual Beli</v>
      </c>
      <c r="H3758" s="42">
        <f t="shared" si="1"/>
        <v>1662</v>
      </c>
    </row>
    <row r="3759" ht="22.5" customHeight="1">
      <c r="B3759" s="42" t="str">
        <f>IFERROR(__xludf.DUMMYFUNCTION("""COMPUTED_VALUE"""),"L/11/240425/1")</f>
        <v>L/11/240425/1</v>
      </c>
      <c r="C3759" s="42" t="str">
        <f>IFERROR(__xludf.DUMMYFUNCTION("""COMPUTED_VALUE"""),"NIB 19358/SUKABUMI")</f>
        <v>NIB 19358/SUKABUMI</v>
      </c>
      <c r="D3759" s="42"/>
      <c r="E3759" s="42"/>
      <c r="F3759" s="48" t="str">
        <f>IFERROR(__xludf.DUMMYFUNCTION("""COMPUTED_VALUE"""),"")</f>
        <v/>
      </c>
      <c r="G3759" s="42" t="str">
        <f>IFERROR(__xludf.DUMMYFUNCTION("""COMPUTED_VALUE"""),"PH")</f>
        <v>PH</v>
      </c>
      <c r="H3759" s="42">
        <f t="shared" si="1"/>
        <v>1662</v>
      </c>
    </row>
    <row r="3760" ht="22.5" customHeight="1">
      <c r="B3760" s="42" t="str">
        <f>IFERROR(__xludf.DUMMYFUNCTION("""COMPUTED_VALUE"""),"L/13/240425/1")</f>
        <v>L/13/240425/1</v>
      </c>
      <c r="C3760" s="42" t="str">
        <f>IFERROR(__xludf.DUMMYFUNCTION("""COMPUTED_VALUE"""),"HGB 431/CAMPANG RAYA")</f>
        <v>HGB 431/CAMPANG RAYA</v>
      </c>
      <c r="D3760" s="42" t="str">
        <f>IFERROR(__xludf.DUMMYFUNCTION("""COMPUTED_VALUE"""),"Berry")</f>
        <v>Berry</v>
      </c>
      <c r="E3760" s="42" t="str">
        <f>IFERROR(__xludf.DUMMYFUNCTION("""COMPUTED_VALUE"""),"DISERAHKAN")</f>
        <v>DISERAHKAN</v>
      </c>
      <c r="F3760" s="48">
        <f>IFERROR(__xludf.DUMMYFUNCTION("""COMPUTED_VALUE"""),45799.527872129634)</f>
        <v>45799.52787</v>
      </c>
      <c r="G3760" s="42" t="str">
        <f>IFERROR(__xludf.DUMMYFUNCTION("""COMPUTED_VALUE"""),"ROYA")</f>
        <v>ROYA</v>
      </c>
      <c r="H3760" s="42">
        <f t="shared" si="1"/>
        <v>1663</v>
      </c>
    </row>
    <row r="3761" ht="22.5" customHeight="1">
      <c r="B3761" s="42" t="str">
        <f>IFERROR(__xludf.DUMMYFUNCTION("""COMPUTED_VALUE"""),"K/12/240425/1")</f>
        <v>K/12/240425/1</v>
      </c>
      <c r="C3761" s="42" t="str">
        <f>IFERROR(__xludf.DUMMYFUNCTION("""COMPUTED_VALUE"""),"Nibel 20551/ Pematang Wangi")</f>
        <v>Nibel 20551/ Pematang Wangi</v>
      </c>
      <c r="D3761" s="42"/>
      <c r="E3761" s="42"/>
      <c r="F3761" s="48" t="str">
        <f>IFERROR(__xludf.DUMMYFUNCTION("""COMPUTED_VALUE"""),"")</f>
        <v/>
      </c>
      <c r="G3761" s="42" t="str">
        <f>IFERROR(__xludf.DUMMYFUNCTION("""COMPUTED_VALUE"""),"BN LELANG")</f>
        <v>BN LELANG</v>
      </c>
      <c r="H3761" s="42">
        <f t="shared" si="1"/>
        <v>1663</v>
      </c>
    </row>
    <row r="3762" ht="22.5" customHeight="1">
      <c r="B3762" s="42" t="str">
        <f>IFERROR(__xludf.DUMMYFUNCTION("""COMPUTED_VALUE"""),"L/16/240425/1")</f>
        <v>L/16/240425/1</v>
      </c>
      <c r="C3762" s="42" t="str">
        <f>IFERROR(__xludf.DUMMYFUNCTION("""COMPUTED_VALUE"""),"NIB 20456/KEDATON")</f>
        <v>NIB 20456/KEDATON</v>
      </c>
      <c r="D3762" s="42"/>
      <c r="E3762" s="42"/>
      <c r="F3762" s="48" t="str">
        <f>IFERROR(__xludf.DUMMYFUNCTION("""COMPUTED_VALUE"""),"")</f>
        <v/>
      </c>
      <c r="G3762" s="42" t="str">
        <f>IFERROR(__xludf.DUMMYFUNCTION("""COMPUTED_VALUE"""),"ROYA")</f>
        <v>ROYA</v>
      </c>
      <c r="H3762" s="42">
        <f t="shared" si="1"/>
        <v>1663</v>
      </c>
    </row>
    <row r="3763" ht="22.5" customHeight="1">
      <c r="B3763" s="42" t="str">
        <f>IFERROR(__xludf.DUMMYFUNCTION("""COMPUTED_VALUE"""),"K/14/240425/1")</f>
        <v>K/14/240425/1</v>
      </c>
      <c r="C3763" s="42" t="str">
        <f>IFERROR(__xludf.DUMMYFUNCTION("""COMPUTED_VALUE"""),"M. 1253/ Rawa Laut")</f>
        <v>M. 1253/ Rawa Laut</v>
      </c>
      <c r="D3763" s="42"/>
      <c r="E3763" s="42"/>
      <c r="F3763" s="48" t="str">
        <f>IFERROR(__xludf.DUMMYFUNCTION("""COMPUTED_VALUE"""),"")</f>
        <v/>
      </c>
      <c r="G3763" s="42" t="str">
        <f>IFERROR(__xludf.DUMMYFUNCTION("""COMPUTED_VALUE"""),"Blokir")</f>
        <v>Blokir</v>
      </c>
      <c r="H3763" s="42">
        <f t="shared" si="1"/>
        <v>1663</v>
      </c>
    </row>
    <row r="3764" ht="22.5" customHeight="1">
      <c r="B3764" s="42" t="str">
        <f>IFERROR(__xludf.DUMMYFUNCTION("""COMPUTED_VALUE"""),"K/15/240425/2")</f>
        <v>K/15/240425/2</v>
      </c>
      <c r="C3764" s="42" t="str">
        <f>IFERROR(__xludf.DUMMYFUNCTION("""COMPUTED_VALUE"""),"M. 45/ Kebon Jeruk")</f>
        <v>M. 45/ Kebon Jeruk</v>
      </c>
      <c r="D3764" s="42"/>
      <c r="E3764" s="42"/>
      <c r="F3764" s="48" t="str">
        <f>IFERROR(__xludf.DUMMYFUNCTION("""COMPUTED_VALUE"""),"")</f>
        <v/>
      </c>
      <c r="G3764" s="42" t="str">
        <f>IFERROR(__xludf.DUMMYFUNCTION("""COMPUTED_VALUE"""),"Blokir")</f>
        <v>Blokir</v>
      </c>
      <c r="H3764" s="42">
        <f t="shared" si="1"/>
        <v>1663</v>
      </c>
    </row>
    <row r="3765" ht="22.5" customHeight="1">
      <c r="B3765" s="42" t="str">
        <f>IFERROR(__xludf.DUMMYFUNCTION("""COMPUTED_VALUE"""),"K/41/230425/1")</f>
        <v>K/41/230425/1</v>
      </c>
      <c r="C3765" s="42" t="str">
        <f>IFERROR(__xludf.DUMMYFUNCTION("""COMPUTED_VALUE"""),"NIBEL M. 2214/SUKABUMI")</f>
        <v>NIBEL M. 2214/SUKABUMI</v>
      </c>
      <c r="D3765" s="42"/>
      <c r="E3765" s="42"/>
      <c r="F3765" s="48" t="str">
        <f>IFERROR(__xludf.DUMMYFUNCTION("""COMPUTED_VALUE"""),"")</f>
        <v/>
      </c>
      <c r="G3765" s="42" t="str">
        <f>IFERROR(__xludf.DUMMYFUNCTION("""COMPUTED_VALUE"""),"BN JUAL BELI")</f>
        <v>BN JUAL BELI</v>
      </c>
      <c r="H3765" s="42">
        <f t="shared" si="1"/>
        <v>1663</v>
      </c>
    </row>
    <row r="3766" ht="22.5" customHeight="1">
      <c r="B3766" s="42" t="str">
        <f>IFERROR(__xludf.DUMMYFUNCTION("""COMPUTED_VALUE"""),"K/17/240425/1")</f>
        <v>K/17/240425/1</v>
      </c>
      <c r="C3766" s="42" t="str">
        <f>IFERROR(__xludf.DUMMYFUNCTION("""COMPUTED_VALUE"""),"M. 2101/KETEGUHAN")</f>
        <v>M. 2101/KETEGUHAN</v>
      </c>
      <c r="D3766" s="42"/>
      <c r="E3766" s="42"/>
      <c r="F3766" s="48" t="str">
        <f>IFERROR(__xludf.DUMMYFUNCTION("""COMPUTED_VALUE"""),"")</f>
        <v/>
      </c>
      <c r="G3766" s="42" t="str">
        <f>IFERROR(__xludf.DUMMYFUNCTION("""COMPUTED_VALUE"""),"PEMECAHAN")</f>
        <v>PEMECAHAN</v>
      </c>
      <c r="H3766" s="42">
        <f t="shared" si="1"/>
        <v>1663</v>
      </c>
    </row>
    <row r="3767" ht="22.5" customHeight="1">
      <c r="B3767" s="42" t="str">
        <f>IFERROR(__xludf.DUMMYFUNCTION("""COMPUTED_VALUE"""),"K/18/240425/1")</f>
        <v>K/18/240425/1</v>
      </c>
      <c r="C3767" s="42" t="str">
        <f>IFERROR(__xludf.DUMMYFUNCTION("""COMPUTED_VALUE"""),"M. 194/ Sukaraja")</f>
        <v>M. 194/ Sukaraja</v>
      </c>
      <c r="D3767" s="42" t="str">
        <f>IFERROR(__xludf.DUMMYFUNCTION("""COMPUTED_VALUE"""),"Berry")</f>
        <v>Berry</v>
      </c>
      <c r="E3767" s="42" t="str">
        <f>IFERROR(__xludf.DUMMYFUNCTION("""COMPUTED_VALUE"""),"DISERAHKAN")</f>
        <v>DISERAHKAN</v>
      </c>
      <c r="F3767" s="48">
        <f>IFERROR(__xludf.DUMMYFUNCTION("""COMPUTED_VALUE"""),45792.484279247685)</f>
        <v>45792.48428</v>
      </c>
      <c r="G3767" s="42" t="str">
        <f>IFERROR(__xludf.DUMMYFUNCTION("""COMPUTED_VALUE"""),"ROYA")</f>
        <v>ROYA</v>
      </c>
      <c r="H3767" s="42">
        <f t="shared" si="1"/>
        <v>1664</v>
      </c>
    </row>
    <row r="3768" ht="22.5" customHeight="1">
      <c r="B3768" s="42" t="str">
        <f>IFERROR(__xludf.DUMMYFUNCTION("""COMPUTED_VALUE"""),"K/19/240425/2")</f>
        <v>K/19/240425/2</v>
      </c>
      <c r="C3768" s="42" t="str">
        <f>IFERROR(__xludf.DUMMYFUNCTION("""COMPUTED_VALUE"""),"M. 1850/ Labuhan Ratu raya")</f>
        <v>M. 1850/ Labuhan Ratu raya</v>
      </c>
      <c r="D3768" s="42"/>
      <c r="E3768" s="42"/>
      <c r="F3768" s="48" t="str">
        <f>IFERROR(__xludf.DUMMYFUNCTION("""COMPUTED_VALUE"""),"")</f>
        <v/>
      </c>
      <c r="G3768" s="42" t="str">
        <f>IFERROR(__xludf.DUMMYFUNCTION("""COMPUTED_VALUE"""),"BN JUAL BELI")</f>
        <v>BN JUAL BELI</v>
      </c>
      <c r="H3768" s="42">
        <f t="shared" si="1"/>
        <v>1664</v>
      </c>
    </row>
    <row r="3769" ht="22.5" customHeight="1">
      <c r="B3769" s="42" t="str">
        <f>IFERROR(__xludf.DUMMYFUNCTION("""COMPUTED_VALUE"""),"K/20/240425/1")</f>
        <v>K/20/240425/1</v>
      </c>
      <c r="C3769" s="42" t="str">
        <f>IFERROR(__xludf.DUMMYFUNCTION("""COMPUTED_VALUE"""),"M. 868/ Sumber Agung")</f>
        <v>M. 868/ Sumber Agung</v>
      </c>
      <c r="D3769" s="42" t="str">
        <f>IFERROR(__xludf.DUMMYFUNCTION("""COMPUTED_VALUE"""),"David")</f>
        <v>David</v>
      </c>
      <c r="E3769" s="42" t="str">
        <f>IFERROR(__xludf.DUMMYFUNCTION("""COMPUTED_VALUE"""),"DISERAHKAN")</f>
        <v>DISERAHKAN</v>
      </c>
      <c r="F3769" s="48">
        <f>IFERROR(__xludf.DUMMYFUNCTION("""COMPUTED_VALUE"""),45793.39721715278)</f>
        <v>45793.39722</v>
      </c>
      <c r="G3769" s="42" t="str">
        <f>IFERROR(__xludf.DUMMYFUNCTION("""COMPUTED_VALUE"""),"BN Jual Beli")</f>
        <v>BN Jual Beli</v>
      </c>
      <c r="H3769" s="42">
        <f t="shared" si="1"/>
        <v>1665</v>
      </c>
    </row>
    <row r="3770" ht="22.5" customHeight="1">
      <c r="B3770" s="42" t="str">
        <f>IFERROR(__xludf.DUMMYFUNCTION("""COMPUTED_VALUE"""),"K/21/240425/1")</f>
        <v>K/21/240425/1</v>
      </c>
      <c r="C3770" s="42" t="str">
        <f>IFERROR(__xludf.DUMMYFUNCTION("""COMPUTED_VALUE"""),"Nibel. M. 2195/ Gunung Terang")</f>
        <v>Nibel. M. 2195/ Gunung Terang</v>
      </c>
      <c r="D3770" s="42"/>
      <c r="E3770" s="42"/>
      <c r="F3770" s="48" t="str">
        <f>IFERROR(__xludf.DUMMYFUNCTION("""COMPUTED_VALUE"""),"")</f>
        <v/>
      </c>
      <c r="G3770" s="42" t="str">
        <f>IFERROR(__xludf.DUMMYFUNCTION("""COMPUTED_VALUE"""),"BN Jual Beli")</f>
        <v>BN Jual Beli</v>
      </c>
      <c r="H3770" s="42">
        <f t="shared" si="1"/>
        <v>1665</v>
      </c>
    </row>
    <row r="3771" ht="22.5" customHeight="1">
      <c r="B3771" s="42" t="str">
        <f>IFERROR(__xludf.DUMMYFUNCTION("""COMPUTED_VALUE"""),"K/22/240425/1")</f>
        <v>K/22/240425/1</v>
      </c>
      <c r="C3771" s="42" t="str">
        <f>IFERROR(__xludf.DUMMYFUNCTION("""COMPUTED_VALUE"""),"M. 2021/ Rajabasa Raya")</f>
        <v>M. 2021/ Rajabasa Raya</v>
      </c>
      <c r="D3771" s="42"/>
      <c r="E3771" s="42"/>
      <c r="F3771" s="48" t="str">
        <f>IFERROR(__xludf.DUMMYFUNCTION("""COMPUTED_VALUE"""),"")</f>
        <v/>
      </c>
      <c r="G3771" s="42" t="str">
        <f>IFERROR(__xludf.DUMMYFUNCTION("""COMPUTED_VALUE"""),"BN JUAL BELI")</f>
        <v>BN JUAL BELI</v>
      </c>
      <c r="H3771" s="42">
        <f t="shared" si="1"/>
        <v>1665</v>
      </c>
    </row>
    <row r="3772" ht="22.5" customHeight="1">
      <c r="B3772" s="42" t="str">
        <f>IFERROR(__xludf.DUMMYFUNCTION("""COMPUTED_VALUE"""),"K/23/240425/1")</f>
        <v>K/23/240425/1</v>
      </c>
      <c r="C3772" s="42" t="str">
        <f>IFERROR(__xludf.DUMMYFUNCTION("""COMPUTED_VALUE"""),"Nibel. M. 5464/ Rajabasa")</f>
        <v>Nibel. M. 5464/ Rajabasa</v>
      </c>
      <c r="D3772" s="42"/>
      <c r="E3772" s="42"/>
      <c r="F3772" s="48" t="str">
        <f>IFERROR(__xludf.DUMMYFUNCTION("""COMPUTED_VALUE"""),"")</f>
        <v/>
      </c>
      <c r="G3772" s="42" t="str">
        <f>IFERROR(__xludf.DUMMYFUNCTION("""COMPUTED_VALUE"""),"BN Jual Beli")</f>
        <v>BN Jual Beli</v>
      </c>
      <c r="H3772" s="42">
        <f t="shared" si="1"/>
        <v>1665</v>
      </c>
    </row>
    <row r="3773" ht="22.5" customHeight="1">
      <c r="B3773" s="42" t="str">
        <f>IFERROR(__xludf.DUMMYFUNCTION("""COMPUTED_VALUE"""),"K/24/240425/1")</f>
        <v>K/24/240425/1</v>
      </c>
      <c r="C3773" s="42" t="str">
        <f>IFERROR(__xludf.DUMMYFUNCTION("""COMPUTED_VALUE"""),"M. 2215/ Pengajaran")</f>
        <v>M. 2215/ Pengajaran</v>
      </c>
      <c r="D3773" s="42"/>
      <c r="E3773" s="42"/>
      <c r="F3773" s="48" t="str">
        <f>IFERROR(__xludf.DUMMYFUNCTION("""COMPUTED_VALUE"""),"")</f>
        <v/>
      </c>
      <c r="G3773" s="42" t="str">
        <f>IFERROR(__xludf.DUMMYFUNCTION("""COMPUTED_VALUE"""),"Ganti Blanko")</f>
        <v>Ganti Blanko</v>
      </c>
      <c r="H3773" s="42">
        <f t="shared" si="1"/>
        <v>1665</v>
      </c>
    </row>
    <row r="3774" ht="22.5" customHeight="1">
      <c r="B3774" s="42" t="str">
        <f>IFERROR(__xludf.DUMMYFUNCTION("""COMPUTED_VALUE"""),"K/25/240425/1")</f>
        <v>K/25/240425/1</v>
      </c>
      <c r="C3774" s="42" t="str">
        <f>IFERROR(__xludf.DUMMYFUNCTION("""COMPUTED_VALUE"""),"NIBEL.18833/SUKARAME")</f>
        <v>NIBEL.18833/SUKARAME</v>
      </c>
      <c r="D3774" s="42"/>
      <c r="E3774" s="42"/>
      <c r="F3774" s="48" t="str">
        <f>IFERROR(__xludf.DUMMYFUNCTION("""COMPUTED_VALUE"""),"")</f>
        <v/>
      </c>
      <c r="G3774" s="42" t="str">
        <f>IFERROR(__xludf.DUMMYFUNCTION("""COMPUTED_VALUE"""),"JUAL BELI")</f>
        <v>JUAL BELI</v>
      </c>
      <c r="H3774" s="42">
        <f t="shared" si="1"/>
        <v>1665</v>
      </c>
    </row>
    <row r="3775" ht="22.5" customHeight="1">
      <c r="B3775" s="42" t="str">
        <f>IFERROR(__xludf.DUMMYFUNCTION("""COMPUTED_VALUE"""),"K/26/240425/2")</f>
        <v>K/26/240425/2</v>
      </c>
      <c r="C3775" s="42" t="str">
        <f>IFERROR(__xludf.DUMMYFUNCTION("""COMPUTED_VALUE"""),"NIBEL M.12259/GUNUNG AGUNG")</f>
        <v>NIBEL M.12259/GUNUNG AGUNG</v>
      </c>
      <c r="D3775" s="42"/>
      <c r="E3775" s="42"/>
      <c r="F3775" s="48" t="str">
        <f>IFERROR(__xludf.DUMMYFUNCTION("""COMPUTED_VALUE"""),"")</f>
        <v/>
      </c>
      <c r="G3775" s="42" t="str">
        <f>IFERROR(__xludf.DUMMYFUNCTION("""COMPUTED_VALUE"""),"JUAL BELI")</f>
        <v>JUAL BELI</v>
      </c>
      <c r="H3775" s="42">
        <f t="shared" si="1"/>
        <v>1665</v>
      </c>
    </row>
    <row r="3776" ht="22.5" customHeight="1">
      <c r="B3776" s="42" t="str">
        <f>IFERROR(__xludf.DUMMYFUNCTION("""COMPUTED_VALUE"""),"K/27/240425/3")</f>
        <v>K/27/240425/3</v>
      </c>
      <c r="C3776" s="42" t="str">
        <f>IFERROR(__xludf.DUMMYFUNCTION("""COMPUTED_VALUE"""),"M.7063/TANJUNG SENENG")</f>
        <v>M.7063/TANJUNG SENENG</v>
      </c>
      <c r="D3776" s="42" t="str">
        <f>IFERROR(__xludf.DUMMYFUNCTION("""COMPUTED_VALUE"""),"Berry")</f>
        <v>Berry</v>
      </c>
      <c r="E3776" s="42" t="str">
        <f>IFERROR(__xludf.DUMMYFUNCTION("""COMPUTED_VALUE"""),"DISERAHKAN")</f>
        <v>DISERAHKAN</v>
      </c>
      <c r="F3776" s="48">
        <f>IFERROR(__xludf.DUMMYFUNCTION("""COMPUTED_VALUE"""),45791.65616726852)</f>
        <v>45791.65617</v>
      </c>
      <c r="G3776" s="42" t="str">
        <f>IFERROR(__xludf.DUMMYFUNCTION("""COMPUTED_VALUE"""),"JUAL BELI")</f>
        <v>JUAL BELI</v>
      </c>
      <c r="H3776" s="42">
        <f t="shared" si="1"/>
        <v>1666</v>
      </c>
    </row>
    <row r="3777" ht="22.5" customHeight="1">
      <c r="B3777" s="42" t="str">
        <f>IFERROR(__xludf.DUMMYFUNCTION("""COMPUTED_VALUE"""),"K/28/240425/1")</f>
        <v>K/28/240425/1</v>
      </c>
      <c r="C3777" s="42" t="str">
        <f>IFERROR(__xludf.DUMMYFUNCTION("""COMPUTED_VALUE"""),"NIBEL M. 19767/KOTA KARANG")</f>
        <v>NIBEL M. 19767/KOTA KARANG</v>
      </c>
      <c r="D3777" s="42"/>
      <c r="E3777" s="42"/>
      <c r="F3777" s="48" t="str">
        <f>IFERROR(__xludf.DUMMYFUNCTION("""COMPUTED_VALUE"""),"")</f>
        <v/>
      </c>
      <c r="G3777" s="42" t="str">
        <f>IFERROR(__xludf.DUMMYFUNCTION("""COMPUTED_VALUE"""),"BN LELANG")</f>
        <v>BN LELANG</v>
      </c>
      <c r="H3777" s="42">
        <f t="shared" si="1"/>
        <v>1666</v>
      </c>
    </row>
    <row r="3778" ht="22.5" customHeight="1">
      <c r="B3778" s="42" t="str">
        <f>IFERROR(__xludf.DUMMYFUNCTION("""COMPUTED_VALUE"""),"K/29/240425/2")</f>
        <v>K/29/240425/2</v>
      </c>
      <c r="C3778" s="42" t="str">
        <f>IFERROR(__xludf.DUMMYFUNCTION("""COMPUTED_VALUE"""),"NIBEL M.9274/KORPRI RAYA")</f>
        <v>NIBEL M.9274/KORPRI RAYA</v>
      </c>
      <c r="D3778" s="42"/>
      <c r="E3778" s="42"/>
      <c r="F3778" s="48" t="str">
        <f>IFERROR(__xludf.DUMMYFUNCTION("""COMPUTED_VALUE"""),"")</f>
        <v/>
      </c>
      <c r="G3778" s="42" t="str">
        <f>IFERROR(__xludf.DUMMYFUNCTION("""COMPUTED_VALUE"""),"APHB")</f>
        <v>APHB</v>
      </c>
      <c r="H3778" s="42">
        <f t="shared" si="1"/>
        <v>1666</v>
      </c>
    </row>
    <row r="3779" ht="22.5" customHeight="1">
      <c r="B3779" s="42" t="str">
        <f>IFERROR(__xludf.DUMMYFUNCTION("""COMPUTED_VALUE"""),"K/32/240425/1")</f>
        <v>K/32/240425/1</v>
      </c>
      <c r="C3779" s="42" t="str">
        <f>IFERROR(__xludf.DUMMYFUNCTION("""COMPUTED_VALUE"""),"Nibel 15818/ Sukarame Baru")</f>
        <v>Nibel 15818/ Sukarame Baru</v>
      </c>
      <c r="D3779" s="42"/>
      <c r="E3779" s="42"/>
      <c r="F3779" s="48" t="str">
        <f>IFERROR(__xludf.DUMMYFUNCTION("""COMPUTED_VALUE"""),"")</f>
        <v/>
      </c>
      <c r="G3779" s="42" t="str">
        <f>IFERROR(__xludf.DUMMYFUNCTION("""COMPUTED_VALUE"""),"BN HIBAH")</f>
        <v>BN HIBAH</v>
      </c>
      <c r="H3779" s="42">
        <f t="shared" si="1"/>
        <v>1666</v>
      </c>
    </row>
    <row r="3780" ht="22.5" customHeight="1">
      <c r="B3780" s="42" t="str">
        <f>IFERROR(__xludf.DUMMYFUNCTION("""COMPUTED_VALUE"""),"K/30/240425/3")</f>
        <v>K/30/240425/3</v>
      </c>
      <c r="C3780" s="42" t="str">
        <f>IFERROR(__xludf.DUMMYFUNCTION("""COMPUTED_VALUE"""),"NIBEL M.9273/KORPRI RAYA")</f>
        <v>NIBEL M.9273/KORPRI RAYA</v>
      </c>
      <c r="D3780" s="42"/>
      <c r="E3780" s="42"/>
      <c r="F3780" s="48" t="str">
        <f>IFERROR(__xludf.DUMMYFUNCTION("""COMPUTED_VALUE"""),"")</f>
        <v/>
      </c>
      <c r="G3780" s="42" t="str">
        <f>IFERROR(__xludf.DUMMYFUNCTION("""COMPUTED_VALUE"""),"APHB")</f>
        <v>APHB</v>
      </c>
      <c r="H3780" s="42">
        <f t="shared" si="1"/>
        <v>1666</v>
      </c>
    </row>
    <row r="3781" ht="22.5" customHeight="1">
      <c r="B3781" s="42" t="str">
        <f>IFERROR(__xludf.DUMMYFUNCTION("""COMPUTED_VALUE"""),"K/31/240425/4")</f>
        <v>K/31/240425/4</v>
      </c>
      <c r="C3781" s="42" t="str">
        <f>IFERROR(__xludf.DUMMYFUNCTION("""COMPUTED_VALUE"""),"M.1484/BUMI KEDAMAIAN")</f>
        <v>M.1484/BUMI KEDAMAIAN</v>
      </c>
      <c r="D3781" s="42"/>
      <c r="E3781" s="42"/>
      <c r="F3781" s="48" t="str">
        <f>IFERROR(__xludf.DUMMYFUNCTION("""COMPUTED_VALUE"""),"")</f>
        <v/>
      </c>
      <c r="G3781" s="42" t="str">
        <f>IFERROR(__xludf.DUMMYFUNCTION("""COMPUTED_VALUE"""),"BN JUAL BELI")</f>
        <v>BN JUAL BELI</v>
      </c>
      <c r="H3781" s="42">
        <f t="shared" si="1"/>
        <v>1666</v>
      </c>
    </row>
    <row r="3782" ht="22.5" customHeight="1">
      <c r="B3782" s="42" t="str">
        <f>IFERROR(__xludf.DUMMYFUNCTION("""COMPUTED_VALUE"""),"K/33/240425/1")</f>
        <v>K/33/240425/1</v>
      </c>
      <c r="C3782" s="42" t="str">
        <f>IFERROR(__xludf.DUMMYFUNCTION("""COMPUTED_VALUE"""),"B. 562/ Nusantara Permai (SK. 255/2025)")</f>
        <v>B. 562/ Nusantara Permai (SK. 255/2025)</v>
      </c>
      <c r="D3782" s="42"/>
      <c r="E3782" s="42"/>
      <c r="F3782" s="48" t="str">
        <f>IFERROR(__xludf.DUMMYFUNCTION("""COMPUTED_VALUE"""),"")</f>
        <v/>
      </c>
      <c r="G3782" s="42" t="str">
        <f>IFERROR(__xludf.DUMMYFUNCTION("""COMPUTED_VALUE"""),"Pendaftaran SK Hak")</f>
        <v>Pendaftaran SK Hak</v>
      </c>
      <c r="H3782" s="42">
        <f t="shared" si="1"/>
        <v>1666</v>
      </c>
    </row>
    <row r="3783" ht="22.5" customHeight="1">
      <c r="B3783" s="42" t="str">
        <f>IFERROR(__xludf.DUMMYFUNCTION("""COMPUTED_VALUE"""),"L/34/240425/1")</f>
        <v>L/34/240425/1</v>
      </c>
      <c r="C3783" s="42" t="str">
        <f>IFERROR(__xludf.DUMMYFUNCTION("""COMPUTED_VALUE"""),"HM 430/TALANG")</f>
        <v>HM 430/TALANG</v>
      </c>
      <c r="D3783" s="42" t="str">
        <f>IFERROR(__xludf.DUMMYFUNCTION("""COMPUTED_VALUE"""),"Berry")</f>
        <v>Berry</v>
      </c>
      <c r="E3783" s="42" t="str">
        <f>IFERROR(__xludf.DUMMYFUNCTION("""COMPUTED_VALUE"""),"DISERAHKAN")</f>
        <v>DISERAHKAN</v>
      </c>
      <c r="F3783" s="48">
        <f>IFERROR(__xludf.DUMMYFUNCTION("""COMPUTED_VALUE"""),45803.43880215278)</f>
        <v>45803.4388</v>
      </c>
      <c r="G3783" s="42" t="str">
        <f>IFERROR(__xludf.DUMMYFUNCTION("""COMPUTED_VALUE"""),"BN WARIS")</f>
        <v>BN WARIS</v>
      </c>
      <c r="H3783" s="42">
        <f t="shared" si="1"/>
        <v>1667</v>
      </c>
    </row>
    <row r="3784" ht="22.5" customHeight="1">
      <c r="B3784" s="42" t="str">
        <f>IFERROR(__xludf.DUMMYFUNCTION("""COMPUTED_VALUE"""),"K/35/240425/1")</f>
        <v>K/35/240425/1</v>
      </c>
      <c r="C3784" s="42" t="str">
        <f>IFERROR(__xludf.DUMMYFUNCTION("""COMPUTED_VALUE"""),"M.356/WAY LAGA")</f>
        <v>M.356/WAY LAGA</v>
      </c>
      <c r="D3784" s="42" t="str">
        <f>IFERROR(__xludf.DUMMYFUNCTION("""COMPUTED_VALUE"""),"David")</f>
        <v>David</v>
      </c>
      <c r="E3784" s="42" t="str">
        <f>IFERROR(__xludf.DUMMYFUNCTION("""COMPUTED_VALUE"""),"DISERAHKAN")</f>
        <v>DISERAHKAN</v>
      </c>
      <c r="F3784" s="48">
        <f>IFERROR(__xludf.DUMMYFUNCTION("""COMPUTED_VALUE"""),45813.47913634259)</f>
        <v>45813.47914</v>
      </c>
      <c r="G3784" s="42" t="str">
        <f>IFERROR(__xludf.DUMMYFUNCTION("""COMPUTED_VALUE"""),"GANTI NAMA HT")</f>
        <v>GANTI NAMA HT</v>
      </c>
      <c r="H3784" s="42">
        <f t="shared" si="1"/>
        <v>1668</v>
      </c>
    </row>
    <row r="3785" ht="22.5" customHeight="1">
      <c r="B3785" s="42" t="str">
        <f>IFERROR(__xludf.DUMMYFUNCTION("""COMPUTED_VALUE"""),"K/36/240425/2")</f>
        <v>K/36/240425/2</v>
      </c>
      <c r="C3785" s="42" t="str">
        <f>IFERROR(__xludf.DUMMYFUNCTION("""COMPUTED_VALUE"""),"M.3154/SUMBEREJO KEMILING")</f>
        <v>M.3154/SUMBEREJO KEMILING</v>
      </c>
      <c r="D3785" s="42" t="str">
        <f>IFERROR(__xludf.DUMMYFUNCTION("""COMPUTED_VALUE"""),"David")</f>
        <v>David</v>
      </c>
      <c r="E3785" s="42" t="str">
        <f>IFERROR(__xludf.DUMMYFUNCTION("""COMPUTED_VALUE"""),"DISERAHKAN")</f>
        <v>DISERAHKAN</v>
      </c>
      <c r="F3785" s="48">
        <f>IFERROR(__xludf.DUMMYFUNCTION("""COMPUTED_VALUE"""),45824.62596672453)</f>
        <v>45824.62597</v>
      </c>
      <c r="G3785" s="42" t="str">
        <f>IFERROR(__xludf.DUMMYFUNCTION("""COMPUTED_VALUE"""),"GANTI NAMA HT")</f>
        <v>GANTI NAMA HT</v>
      </c>
      <c r="H3785" s="42">
        <f t="shared" si="1"/>
        <v>1669</v>
      </c>
    </row>
    <row r="3786" ht="22.5" customHeight="1">
      <c r="B3786" s="42" t="str">
        <f>IFERROR(__xludf.DUMMYFUNCTION("""COMPUTED_VALUE"""),"K/38/240425/1")</f>
        <v>K/38/240425/1</v>
      </c>
      <c r="C3786" s="42" t="str">
        <f>IFERROR(__xludf.DUMMYFUNCTION("""COMPUTED_VALUE"""),"M. 1153/ Perumnas Way Kandis")</f>
        <v>M. 1153/ Perumnas Way Kandis</v>
      </c>
      <c r="D3786" s="42"/>
      <c r="E3786" s="42"/>
      <c r="F3786" s="48" t="str">
        <f>IFERROR(__xludf.DUMMYFUNCTION("""COMPUTED_VALUE"""),"")</f>
        <v/>
      </c>
      <c r="G3786" s="42" t="str">
        <f>IFERROR(__xludf.DUMMYFUNCTION("""COMPUTED_VALUE"""),"BN Jual Beli")</f>
        <v>BN Jual Beli</v>
      </c>
      <c r="H3786" s="42">
        <f t="shared" si="1"/>
        <v>1669</v>
      </c>
    </row>
    <row r="3787" ht="22.5" customHeight="1">
      <c r="B3787" s="42" t="str">
        <f>IFERROR(__xludf.DUMMYFUNCTION("""COMPUTED_VALUE"""),"K/39/240425/1")</f>
        <v>K/39/240425/1</v>
      </c>
      <c r="C3787" s="42" t="str">
        <f>IFERROR(__xludf.DUMMYFUNCTION("""COMPUTED_VALUE"""),"M. 3303/ kemiling Permai")</f>
        <v>M. 3303/ kemiling Permai</v>
      </c>
      <c r="D3787" s="42" t="str">
        <f>IFERROR(__xludf.DUMMYFUNCTION("""COMPUTED_VALUE"""),"Berry")</f>
        <v>Berry</v>
      </c>
      <c r="E3787" s="42" t="str">
        <f>IFERROR(__xludf.DUMMYFUNCTION("""COMPUTED_VALUE"""),"DISERAHKAN")</f>
        <v>DISERAHKAN</v>
      </c>
      <c r="F3787" s="48">
        <f>IFERROR(__xludf.DUMMYFUNCTION("""COMPUTED_VALUE"""),45803.43899596065)</f>
        <v>45803.439</v>
      </c>
      <c r="G3787" s="42" t="str">
        <f>IFERROR(__xludf.DUMMYFUNCTION("""COMPUTED_VALUE"""),"BN PHB")</f>
        <v>BN PHB</v>
      </c>
      <c r="H3787" s="42">
        <f t="shared" si="1"/>
        <v>1670</v>
      </c>
    </row>
    <row r="3788" ht="22.5" customHeight="1">
      <c r="B3788" s="42" t="str">
        <f>IFERROR(__xludf.DUMMYFUNCTION("""COMPUTED_VALUE"""),"K/37/240425/3")</f>
        <v>K/37/240425/3</v>
      </c>
      <c r="C3788" s="42" t="str">
        <f>IFERROR(__xludf.DUMMYFUNCTION("""COMPUTED_VALUE"""),"M. 228/KEMILING PERMAI")</f>
        <v>M. 228/KEMILING PERMAI</v>
      </c>
      <c r="D3788" s="42" t="str">
        <f>IFERROR(__xludf.DUMMYFUNCTION("""COMPUTED_VALUE"""),"David")</f>
        <v>David</v>
      </c>
      <c r="E3788" s="42" t="str">
        <f>IFERROR(__xludf.DUMMYFUNCTION("""COMPUTED_VALUE"""),"DISERAHKAN")</f>
        <v>DISERAHKAN</v>
      </c>
      <c r="F3788" s="48">
        <f>IFERROR(__xludf.DUMMYFUNCTION("""COMPUTED_VALUE"""),45819.37856052083)</f>
        <v>45819.37856</v>
      </c>
      <c r="G3788" s="42" t="str">
        <f>IFERROR(__xludf.DUMMYFUNCTION("""COMPUTED_VALUE"""),"GANTI NAMA HT")</f>
        <v>GANTI NAMA HT</v>
      </c>
      <c r="H3788" s="42">
        <f t="shared" si="1"/>
        <v>1671</v>
      </c>
    </row>
    <row r="3789" ht="22.5" customHeight="1">
      <c r="B3789" s="42" t="str">
        <f>IFERROR(__xludf.DUMMYFUNCTION("""COMPUTED_VALUE"""),"L/40/240425/1")</f>
        <v>L/40/240425/1</v>
      </c>
      <c r="C3789" s="42" t="str">
        <f>IFERROR(__xludf.DUMMYFUNCTION("""COMPUTED_VALUE"""),"HM 10938/KEDAMAIAN")</f>
        <v>HM 10938/KEDAMAIAN</v>
      </c>
      <c r="D3789" s="42" t="str">
        <f>IFERROR(__xludf.DUMMYFUNCTION("""COMPUTED_VALUE"""),"David")</f>
        <v>David</v>
      </c>
      <c r="E3789" s="42" t="str">
        <f>IFERROR(__xludf.DUMMYFUNCTION("""COMPUTED_VALUE"""),"DISERAHKAN")</f>
        <v>DISERAHKAN</v>
      </c>
      <c r="F3789" s="48">
        <f>IFERROR(__xludf.DUMMYFUNCTION("""COMPUTED_VALUE"""),45803.47915748843)</f>
        <v>45803.47916</v>
      </c>
      <c r="G3789" s="42" t="str">
        <f>IFERROR(__xludf.DUMMYFUNCTION("""COMPUTED_VALUE"""),"ROYA")</f>
        <v>ROYA</v>
      </c>
      <c r="H3789" s="42">
        <f t="shared" si="1"/>
        <v>1672</v>
      </c>
    </row>
    <row r="3790" ht="22.5" customHeight="1">
      <c r="B3790" s="42" t="str">
        <f>IFERROR(__xludf.DUMMYFUNCTION("""COMPUTED_VALUE"""),"K/1/250425/1")</f>
        <v>K/1/250425/1</v>
      </c>
      <c r="C3790" s="42" t="str">
        <f>IFERROR(__xludf.DUMMYFUNCTION("""COMPUTED_VALUE"""),"M. 2303/ Kedaung")</f>
        <v>M. 2303/ Kedaung</v>
      </c>
      <c r="D3790" s="42"/>
      <c r="E3790" s="42"/>
      <c r="F3790" s="48" t="str">
        <f>IFERROR(__xludf.DUMMYFUNCTION("""COMPUTED_VALUE"""),"")</f>
        <v/>
      </c>
      <c r="G3790" s="42" t="str">
        <f>IFERROR(__xludf.DUMMYFUNCTION("""COMPUTED_VALUE"""),"TANAH WAKAF")</f>
        <v>TANAH WAKAF</v>
      </c>
      <c r="H3790" s="42">
        <f t="shared" si="1"/>
        <v>1672</v>
      </c>
    </row>
    <row r="3791" ht="22.5" customHeight="1">
      <c r="B3791" s="42" t="str">
        <f>IFERROR(__xludf.DUMMYFUNCTION("""COMPUTED_VALUE"""),"L/2/250425/1")</f>
        <v>L/2/250425/1</v>
      </c>
      <c r="C3791" s="42" t="str">
        <f>IFERROR(__xludf.DUMMYFUNCTION("""COMPUTED_VALUE"""),"HM 2429/KETEGUHAN")</f>
        <v>HM 2429/KETEGUHAN</v>
      </c>
      <c r="D3791" s="42" t="str">
        <f>IFERROR(__xludf.DUMMYFUNCTION("""COMPUTED_VALUE"""),"David")</f>
        <v>David</v>
      </c>
      <c r="E3791" s="42" t="str">
        <f>IFERROR(__xludf.DUMMYFUNCTION("""COMPUTED_VALUE"""),"DISERAHKAN")</f>
        <v>DISERAHKAN</v>
      </c>
      <c r="F3791" s="48">
        <f>IFERROR(__xludf.DUMMYFUNCTION("""COMPUTED_VALUE"""),45793.46944140046)</f>
        <v>45793.46944</v>
      </c>
      <c r="G3791" s="42" t="str">
        <f>IFERROR(__xludf.DUMMYFUNCTION("""COMPUTED_VALUE"""),"AAN PURWANINGSIH")</f>
        <v>AAN PURWANINGSIH</v>
      </c>
      <c r="H3791" s="42">
        <f t="shared" si="1"/>
        <v>1673</v>
      </c>
    </row>
    <row r="3792" ht="22.5" customHeight="1">
      <c r="B3792" s="42" t="str">
        <f>IFERROR(__xludf.DUMMYFUNCTION("""COMPUTED_VALUE"""),"L/3/250425/1")</f>
        <v>L/3/250425/1</v>
      </c>
      <c r="C3792" s="42" t="str">
        <f>IFERROR(__xludf.DUMMYFUNCTION("""COMPUTED_VALUE"""),"HM 758/PWK")</f>
        <v>HM 758/PWK</v>
      </c>
      <c r="D3792" s="42"/>
      <c r="E3792" s="42"/>
      <c r="F3792" s="48" t="str">
        <f>IFERROR(__xludf.DUMMYFUNCTION("""COMPUTED_VALUE"""),"")</f>
        <v/>
      </c>
      <c r="G3792" s="42" t="str">
        <f>IFERROR(__xludf.DUMMYFUNCTION("""COMPUTED_VALUE"""),"ROYA")</f>
        <v>ROYA</v>
      </c>
      <c r="H3792" s="42">
        <f t="shared" si="1"/>
        <v>1673</v>
      </c>
    </row>
    <row r="3793" ht="22.5" customHeight="1">
      <c r="B3793" s="42" t="str">
        <f>IFERROR(__xludf.DUMMYFUNCTION("""COMPUTED_VALUE"""),"K/4/250425/1")</f>
        <v>K/4/250425/1</v>
      </c>
      <c r="C3793" s="42" t="str">
        <f>IFERROR(__xludf.DUMMYFUNCTION("""COMPUTED_VALUE"""),"M. 1012/ Pematang Wangi")</f>
        <v>M. 1012/ Pematang Wangi</v>
      </c>
      <c r="D3793" s="42" t="str">
        <f>IFERROR(__xludf.DUMMYFUNCTION("""COMPUTED_VALUE"""),"David")</f>
        <v>David</v>
      </c>
      <c r="E3793" s="42" t="str">
        <f>IFERROR(__xludf.DUMMYFUNCTION("""COMPUTED_VALUE"""),"DISERAHKAN")</f>
        <v>DISERAHKAN</v>
      </c>
      <c r="F3793" s="48">
        <f>IFERROR(__xludf.DUMMYFUNCTION("""COMPUTED_VALUE"""),45793.420315474534)</f>
        <v>45793.42032</v>
      </c>
      <c r="G3793" s="42" t="str">
        <f>IFERROR(__xludf.DUMMYFUNCTION("""COMPUTED_VALUE"""),"BN Jual Beli")</f>
        <v>BN Jual Beli</v>
      </c>
      <c r="H3793" s="42">
        <f t="shared" si="1"/>
        <v>1674</v>
      </c>
    </row>
    <row r="3794" ht="22.5" customHeight="1">
      <c r="B3794" s="42" t="str">
        <f>IFERROR(__xludf.DUMMYFUNCTION("""COMPUTED_VALUE"""),"K/5/250425/1")</f>
        <v>K/5/250425/1</v>
      </c>
      <c r="C3794" s="42" t="str">
        <f>IFERROR(__xludf.DUMMYFUNCTION("""COMPUTED_VALUE"""),"NIBEL M.17355/RAJABASA RAYA")</f>
        <v>NIBEL M.17355/RAJABASA RAYA</v>
      </c>
      <c r="D3794" s="42"/>
      <c r="E3794" s="42"/>
      <c r="F3794" s="48" t="str">
        <f>IFERROR(__xludf.DUMMYFUNCTION("""COMPUTED_VALUE"""),"")</f>
        <v/>
      </c>
      <c r="G3794" s="42" t="str">
        <f>IFERROR(__xludf.DUMMYFUNCTION("""COMPUTED_VALUE"""),"JUAL BELI")</f>
        <v>JUAL BELI</v>
      </c>
      <c r="H3794" s="42">
        <f t="shared" si="1"/>
        <v>1674</v>
      </c>
    </row>
    <row r="3795" ht="22.5" customHeight="1">
      <c r="B3795" s="42" t="str">
        <f>IFERROR(__xludf.DUMMYFUNCTION("""COMPUTED_VALUE"""),"K/6/250425/2")</f>
        <v>K/6/250425/2</v>
      </c>
      <c r="C3795" s="42" t="str">
        <f>IFERROR(__xludf.DUMMYFUNCTION("""COMPUTED_VALUE"""),"NIBEL M .17351/RAJABASA RAYA")</f>
        <v>NIBEL M .17351/RAJABASA RAYA</v>
      </c>
      <c r="D3795" s="42"/>
      <c r="E3795" s="42"/>
      <c r="F3795" s="48" t="str">
        <f>IFERROR(__xludf.DUMMYFUNCTION("""COMPUTED_VALUE"""),"")</f>
        <v/>
      </c>
      <c r="G3795" s="42" t="str">
        <f>IFERROR(__xludf.DUMMYFUNCTION("""COMPUTED_VALUE"""),"JUAL BELI")</f>
        <v>JUAL BELI</v>
      </c>
      <c r="H3795" s="42">
        <f t="shared" si="1"/>
        <v>1674</v>
      </c>
    </row>
    <row r="3796" ht="22.5" customHeight="1">
      <c r="B3796" s="42" t="str">
        <f>IFERROR(__xludf.DUMMYFUNCTION("""COMPUTED_VALUE"""),"L/8/250425/1")</f>
        <v>L/8/250425/1</v>
      </c>
      <c r="C3796" s="42" t="str">
        <f>IFERROR(__xludf.DUMMYFUNCTION("""COMPUTED_VALUE"""),"HM 195/TANJUNG RAYA")</f>
        <v>HM 195/TANJUNG RAYA</v>
      </c>
      <c r="D3796" s="42"/>
      <c r="E3796" s="42"/>
      <c r="F3796" s="48" t="str">
        <f>IFERROR(__xludf.DUMMYFUNCTION("""COMPUTED_VALUE"""),"")</f>
        <v/>
      </c>
      <c r="G3796" s="42" t="str">
        <f>IFERROR(__xludf.DUMMYFUNCTION("""COMPUTED_VALUE"""),"BN LELANG")</f>
        <v>BN LELANG</v>
      </c>
      <c r="H3796" s="42">
        <f t="shared" si="1"/>
        <v>1674</v>
      </c>
    </row>
    <row r="3797" ht="22.5" customHeight="1">
      <c r="B3797" s="42" t="str">
        <f>IFERROR(__xludf.DUMMYFUNCTION("""COMPUTED_VALUE"""),"K/10/250425/1")</f>
        <v>K/10/250425/1</v>
      </c>
      <c r="C3797" s="42" t="str">
        <f>IFERROR(__xludf.DUMMYFUNCTION("""COMPUTED_VALUE"""),"M. 5181/ Rajabasa Jaya")</f>
        <v>M. 5181/ Rajabasa Jaya</v>
      </c>
      <c r="D3797" s="42" t="str">
        <f>IFERROR(__xludf.DUMMYFUNCTION("""COMPUTED_VALUE"""),"David")</f>
        <v>David</v>
      </c>
      <c r="E3797" s="42" t="str">
        <f>IFERROR(__xludf.DUMMYFUNCTION("""COMPUTED_VALUE"""),"DISERAHKAN")</f>
        <v>DISERAHKAN</v>
      </c>
      <c r="F3797" s="48">
        <f>IFERROR(__xludf.DUMMYFUNCTION("""COMPUTED_VALUE"""),45793.396215995366)</f>
        <v>45793.39622</v>
      </c>
      <c r="G3797" s="42" t="str">
        <f>IFERROR(__xludf.DUMMYFUNCTION("""COMPUTED_VALUE"""),"BN Jual beli")</f>
        <v>BN Jual beli</v>
      </c>
      <c r="H3797" s="42">
        <f t="shared" si="1"/>
        <v>1675</v>
      </c>
    </row>
    <row r="3798" ht="22.5" customHeight="1">
      <c r="B3798" s="42" t="str">
        <f>IFERROR(__xludf.DUMMYFUNCTION("""COMPUTED_VALUE"""),"K/11/250425/2")</f>
        <v>K/11/250425/2</v>
      </c>
      <c r="C3798" s="42" t="str">
        <f>IFERROR(__xludf.DUMMYFUNCTION("""COMPUTED_VALUE"""),"M. 4519/ Gunung Terang")</f>
        <v>M. 4519/ Gunung Terang</v>
      </c>
      <c r="D3798" s="42"/>
      <c r="E3798" s="42"/>
      <c r="F3798" s="48" t="str">
        <f>IFERROR(__xludf.DUMMYFUNCTION("""COMPUTED_VALUE"""),"")</f>
        <v/>
      </c>
      <c r="G3798" s="42" t="str">
        <f>IFERROR(__xludf.DUMMYFUNCTION("""COMPUTED_VALUE"""),"BN Jual Beli")</f>
        <v>BN Jual Beli</v>
      </c>
      <c r="H3798" s="42">
        <f t="shared" si="1"/>
        <v>1675</v>
      </c>
    </row>
    <row r="3799" ht="22.5" customHeight="1">
      <c r="B3799" s="42" t="str">
        <f>IFERROR(__xludf.DUMMYFUNCTION("""COMPUTED_VALUE"""),"K/9/250425/1")</f>
        <v>K/9/250425/1</v>
      </c>
      <c r="C3799" s="42" t="str">
        <f>IFERROR(__xludf.DUMMYFUNCTION("""COMPUTED_VALUE"""),"B. 314/ Pematang Wangi")</f>
        <v>B. 314/ Pematang Wangi</v>
      </c>
      <c r="D3799" s="42" t="str">
        <f>IFERROR(__xludf.DUMMYFUNCTION("""COMPUTED_VALUE"""),"Berry")</f>
        <v>Berry</v>
      </c>
      <c r="E3799" s="42" t="str">
        <f>IFERROR(__xludf.DUMMYFUNCTION("""COMPUTED_VALUE"""),"DISERAHKAN")</f>
        <v>DISERAHKAN</v>
      </c>
      <c r="F3799" s="48">
        <f>IFERROR(__xludf.DUMMYFUNCTION("""COMPUTED_VALUE"""),45792.6334115162)</f>
        <v>45792.63341</v>
      </c>
      <c r="G3799" s="42" t="str">
        <f>IFERROR(__xludf.DUMMYFUNCTION("""COMPUTED_VALUE"""),"PERUBAHAN HAK")</f>
        <v>PERUBAHAN HAK</v>
      </c>
      <c r="H3799" s="42">
        <f t="shared" si="1"/>
        <v>1676</v>
      </c>
    </row>
    <row r="3800" ht="22.5" customHeight="1">
      <c r="B3800" s="42" t="str">
        <f>IFERROR(__xludf.DUMMYFUNCTION("""COMPUTED_VALUE"""),"L/14/250425/1")</f>
        <v>L/14/250425/1</v>
      </c>
      <c r="C3800" s="42" t="str">
        <f>IFERROR(__xludf.DUMMYFUNCTION("""COMPUTED_VALUE"""),"HM 4506/RAJABASA JAYA")</f>
        <v>HM 4506/RAJABASA JAYA</v>
      </c>
      <c r="D3800" s="42"/>
      <c r="E3800" s="42"/>
      <c r="F3800" s="48" t="str">
        <f>IFERROR(__xludf.DUMMYFUNCTION("""COMPUTED_VALUE"""),"")</f>
        <v/>
      </c>
      <c r="G3800" s="42" t="str">
        <f>IFERROR(__xludf.DUMMYFUNCTION("""COMPUTED_VALUE"""),"BN JUAL - BELI")</f>
        <v>BN JUAL - BELI</v>
      </c>
      <c r="H3800" s="42">
        <f t="shared" si="1"/>
        <v>1676</v>
      </c>
    </row>
    <row r="3801" ht="22.5" customHeight="1">
      <c r="B3801" s="42" t="str">
        <f>IFERROR(__xludf.DUMMYFUNCTION("""COMPUTED_VALUE"""),"K/7/250425/3")</f>
        <v>K/7/250425/3</v>
      </c>
      <c r="C3801" s="42" t="str">
        <f>IFERROR(__xludf.DUMMYFUNCTION("""COMPUTED_VALUE"""),"NIBEL M.17349/RAJABASA RAYA")</f>
        <v>NIBEL M.17349/RAJABASA RAYA</v>
      </c>
      <c r="D3801" s="42"/>
      <c r="E3801" s="42"/>
      <c r="F3801" s="48" t="str">
        <f>IFERROR(__xludf.DUMMYFUNCTION("""COMPUTED_VALUE"""),"")</f>
        <v/>
      </c>
      <c r="G3801" s="42" t="str">
        <f>IFERROR(__xludf.DUMMYFUNCTION("""COMPUTED_VALUE"""),"JUAL BELI")</f>
        <v>JUAL BELI</v>
      </c>
      <c r="H3801" s="42">
        <f t="shared" si="1"/>
        <v>1676</v>
      </c>
    </row>
    <row r="3802" ht="22.5" customHeight="1">
      <c r="B3802" s="42" t="str">
        <f>IFERROR(__xludf.DUMMYFUNCTION("""COMPUTED_VALUE"""),"K/12/250425/1")</f>
        <v>K/12/250425/1</v>
      </c>
      <c r="C3802" s="42" t="str">
        <f>IFERROR(__xludf.DUMMYFUNCTION("""COMPUTED_VALUE"""),"Nibel. M. 1562/ Kemiling Permai")</f>
        <v>Nibel. M. 1562/ Kemiling Permai</v>
      </c>
      <c r="D3802" s="42"/>
      <c r="E3802" s="42"/>
      <c r="F3802" s="48" t="str">
        <f>IFERROR(__xludf.DUMMYFUNCTION("""COMPUTED_VALUE"""),"")</f>
        <v/>
      </c>
      <c r="G3802" s="42" t="str">
        <f>IFERROR(__xludf.DUMMYFUNCTION("""COMPUTED_VALUE"""),"BN Jual Beli")</f>
        <v>BN Jual Beli</v>
      </c>
      <c r="H3802" s="42">
        <f t="shared" si="1"/>
        <v>1676</v>
      </c>
    </row>
    <row r="3803" ht="22.5" customHeight="1">
      <c r="B3803" s="42" t="str">
        <f>IFERROR(__xludf.DUMMYFUNCTION("""COMPUTED_VALUE"""),"K/13/250425/1")</f>
        <v>K/13/250425/1</v>
      </c>
      <c r="C3803" s="42" t="str">
        <f>IFERROR(__xludf.DUMMYFUNCTION("""COMPUTED_VALUE"""),"B. 4783/ Sukabumi")</f>
        <v>B. 4783/ Sukabumi</v>
      </c>
      <c r="D3803" s="42" t="str">
        <f>IFERROR(__xludf.DUMMYFUNCTION("""COMPUTED_VALUE"""),"Berry")</f>
        <v>Berry</v>
      </c>
      <c r="E3803" s="42" t="str">
        <f>IFERROR(__xludf.DUMMYFUNCTION("""COMPUTED_VALUE"""),"DISERAHKAN")</f>
        <v>DISERAHKAN</v>
      </c>
      <c r="F3803" s="48">
        <f>IFERROR(__xludf.DUMMYFUNCTION("""COMPUTED_VALUE"""),45827.67941625)</f>
        <v>45827.67942</v>
      </c>
      <c r="G3803" s="42" t="str">
        <f>IFERROR(__xludf.DUMMYFUNCTION("""COMPUTED_VALUE"""),"Roya")</f>
        <v>Roya</v>
      </c>
      <c r="H3803" s="42">
        <f t="shared" si="1"/>
        <v>1677</v>
      </c>
    </row>
    <row r="3804" ht="22.5" customHeight="1">
      <c r="B3804" s="42" t="str">
        <f>IFERROR(__xludf.DUMMYFUNCTION("""COMPUTED_VALUE"""),"K/15/250425/1")</f>
        <v>K/15/250425/1</v>
      </c>
      <c r="C3804" s="42" t="str">
        <f>IFERROR(__xludf.DUMMYFUNCTION("""COMPUTED_VALUE"""),"NIBEL B.411/KEMILING PERMAI")</f>
        <v>NIBEL B.411/KEMILING PERMAI</v>
      </c>
      <c r="D3804" s="42"/>
      <c r="E3804" s="42"/>
      <c r="F3804" s="48" t="str">
        <f>IFERROR(__xludf.DUMMYFUNCTION("""COMPUTED_VALUE"""),"")</f>
        <v/>
      </c>
      <c r="G3804" s="42" t="str">
        <f>IFERROR(__xludf.DUMMYFUNCTION("""COMPUTED_VALUE"""),"JUAL BELI")</f>
        <v>JUAL BELI</v>
      </c>
      <c r="H3804" s="42">
        <f t="shared" si="1"/>
        <v>1677</v>
      </c>
    </row>
    <row r="3805" ht="22.5" customHeight="1">
      <c r="B3805" s="42" t="str">
        <f>IFERROR(__xludf.DUMMYFUNCTION("""COMPUTED_VALUE"""),"K/16/250425/2")</f>
        <v>K/16/250425/2</v>
      </c>
      <c r="C3805" s="42" t="str">
        <f>IFERROR(__xludf.DUMMYFUNCTION("""COMPUTED_VALUE"""),"M.51/CAMPANG JAYA")</f>
        <v>M.51/CAMPANG JAYA</v>
      </c>
      <c r="D3805" s="42" t="str">
        <f>IFERROR(__xludf.DUMMYFUNCTION("""COMPUTED_VALUE"""),"Berry")</f>
        <v>Berry</v>
      </c>
      <c r="E3805" s="42" t="str">
        <f>IFERROR(__xludf.DUMMYFUNCTION("""COMPUTED_VALUE"""),"DISERAHKAN")</f>
        <v>DISERAHKAN</v>
      </c>
      <c r="F3805" s="48">
        <f>IFERROR(__xludf.DUMMYFUNCTION("""COMPUTED_VALUE"""),45805.682779027775)</f>
        <v>45805.68278</v>
      </c>
      <c r="G3805" s="42" t="str">
        <f>IFERROR(__xludf.DUMMYFUNCTION("""COMPUTED_VALUE"""),"JUAL BELI")</f>
        <v>JUAL BELI</v>
      </c>
      <c r="H3805" s="42">
        <f t="shared" si="1"/>
        <v>1678</v>
      </c>
    </row>
    <row r="3806" ht="22.5" customHeight="1">
      <c r="B3806" s="42" t="str">
        <f>IFERROR(__xludf.DUMMYFUNCTION("""COMPUTED_VALUE"""),"K/17/250425/1")</f>
        <v>K/17/250425/1</v>
      </c>
      <c r="C3806" s="42" t="str">
        <f>IFERROR(__xludf.DUMMYFUNCTION("""COMPUTED_VALUE"""),"M. 4725/ Sukadana Ham")</f>
        <v>M. 4725/ Sukadana Ham</v>
      </c>
      <c r="D3806" s="42"/>
      <c r="E3806" s="42"/>
      <c r="F3806" s="48" t="str">
        <f>IFERROR(__xludf.DUMMYFUNCTION("""COMPUTED_VALUE"""),"")</f>
        <v/>
      </c>
      <c r="G3806" s="42" t="str">
        <f>IFERROR(__xludf.DUMMYFUNCTION("""COMPUTED_VALUE"""),"BN Jual Beli")</f>
        <v>BN Jual Beli</v>
      </c>
      <c r="H3806" s="42">
        <f t="shared" si="1"/>
        <v>1678</v>
      </c>
    </row>
    <row r="3807" ht="22.5" customHeight="1">
      <c r="B3807" s="42" t="str">
        <f>IFERROR(__xludf.DUMMYFUNCTION("""COMPUTED_VALUE"""),"L/18/250425/1")</f>
        <v>L/18/250425/1</v>
      </c>
      <c r="C3807" s="42" t="str">
        <f>IFERROR(__xludf.DUMMYFUNCTION("""COMPUTED_VALUE"""),"HM 1377/CAMPANG RAYA")</f>
        <v>HM 1377/CAMPANG RAYA</v>
      </c>
      <c r="D3807" s="42" t="str">
        <f>IFERROR(__xludf.DUMMYFUNCTION("""COMPUTED_VALUE"""),"David")</f>
        <v>David</v>
      </c>
      <c r="E3807" s="42" t="str">
        <f>IFERROR(__xludf.DUMMYFUNCTION("""COMPUTED_VALUE"""),"DISERAHKAN")</f>
        <v>DISERAHKAN</v>
      </c>
      <c r="F3807" s="48">
        <f>IFERROR(__xludf.DUMMYFUNCTION("""COMPUTED_VALUE"""),45824.62428046296)</f>
        <v>45824.62428</v>
      </c>
      <c r="G3807" s="42" t="str">
        <f>IFERROR(__xludf.DUMMYFUNCTION("""COMPUTED_VALUE"""),"ROYA")</f>
        <v>ROYA</v>
      </c>
      <c r="H3807" s="42">
        <f t="shared" si="1"/>
        <v>1679</v>
      </c>
    </row>
    <row r="3808" ht="22.5" customHeight="1">
      <c r="B3808" s="42" t="str">
        <f>IFERROR(__xludf.DUMMYFUNCTION("""COMPUTED_VALUE"""),"L/19/250425/1")</f>
        <v>L/19/250425/1</v>
      </c>
      <c r="C3808" s="42" t="str">
        <f>IFERROR(__xludf.DUMMYFUNCTION("""COMPUTED_VALUE"""),"HM 1669/KEMILING RAYA")</f>
        <v>HM 1669/KEMILING RAYA</v>
      </c>
      <c r="D3808" s="42"/>
      <c r="E3808" s="42"/>
      <c r="F3808" s="48" t="str">
        <f>IFERROR(__xludf.DUMMYFUNCTION("""COMPUTED_VALUE"""),"")</f>
        <v/>
      </c>
      <c r="G3808" s="42" t="str">
        <f>IFERROR(__xludf.DUMMYFUNCTION("""COMPUTED_VALUE"""),"PEMECAHAN")</f>
        <v>PEMECAHAN</v>
      </c>
      <c r="H3808" s="42">
        <f t="shared" si="1"/>
        <v>1679</v>
      </c>
    </row>
    <row r="3809" ht="22.5" customHeight="1">
      <c r="B3809" s="42" t="str">
        <f>IFERROR(__xludf.DUMMYFUNCTION("""COMPUTED_VALUE"""),"K/20/250425/1")</f>
        <v>K/20/250425/1</v>
      </c>
      <c r="C3809" s="42" t="str">
        <f>IFERROR(__xludf.DUMMYFUNCTION("""COMPUTED_VALUE"""),"B.192/SUKAMAJU")</f>
        <v>B.192/SUKAMAJU</v>
      </c>
      <c r="D3809" s="42"/>
      <c r="E3809" s="42"/>
      <c r="F3809" s="48" t="str">
        <f>IFERROR(__xludf.DUMMYFUNCTION("""COMPUTED_VALUE"""),"")</f>
        <v/>
      </c>
      <c r="G3809" s="42" t="str">
        <f>IFERROR(__xludf.DUMMYFUNCTION("""COMPUTED_VALUE"""),"PERPANJANGAN HGB ")</f>
        <v>PERPANJANGAN HGB </v>
      </c>
      <c r="H3809" s="42">
        <f t="shared" si="1"/>
        <v>1679</v>
      </c>
    </row>
    <row r="3810" ht="22.5" customHeight="1">
      <c r="B3810" s="42" t="str">
        <f>IFERROR(__xludf.DUMMYFUNCTION("""COMPUTED_VALUE"""),"K/21/250425/1")</f>
        <v>K/21/250425/1</v>
      </c>
      <c r="C3810" s="42" t="str">
        <f>IFERROR(__xludf.DUMMYFUNCTION("""COMPUTED_VALUE"""),"M. 10590/ Gedung Meneng")</f>
        <v>M. 10590/ Gedung Meneng</v>
      </c>
      <c r="D3810" s="42" t="str">
        <f>IFERROR(__xludf.DUMMYFUNCTION("""COMPUTED_VALUE"""),"David")</f>
        <v>David</v>
      </c>
      <c r="E3810" s="42" t="str">
        <f>IFERROR(__xludf.DUMMYFUNCTION("""COMPUTED_VALUE"""),"DISERAHKAN")</f>
        <v>DISERAHKAN</v>
      </c>
      <c r="F3810" s="48">
        <f>IFERROR(__xludf.DUMMYFUNCTION("""COMPUTED_VALUE"""),45793.41757118056)</f>
        <v>45793.41757</v>
      </c>
      <c r="G3810" s="42" t="str">
        <f>IFERROR(__xludf.DUMMYFUNCTION("""COMPUTED_VALUE"""),"BN Jual Beli")</f>
        <v>BN Jual Beli</v>
      </c>
      <c r="H3810" s="42">
        <f t="shared" si="1"/>
        <v>1680</v>
      </c>
    </row>
    <row r="3811" ht="22.5" customHeight="1">
      <c r="B3811" s="42" t="str">
        <f>IFERROR(__xludf.DUMMYFUNCTION("""COMPUTED_VALUE"""),"K/22/250425/2")</f>
        <v>K/22/250425/2</v>
      </c>
      <c r="C3811" s="42" t="str">
        <f>IFERROR(__xludf.DUMMYFUNCTION("""COMPUTED_VALUE"""),"M. 19510/ Sawah Lama")</f>
        <v>M. 19510/ Sawah Lama</v>
      </c>
      <c r="D3811" s="42"/>
      <c r="E3811" s="42"/>
      <c r="F3811" s="48" t="str">
        <f>IFERROR(__xludf.DUMMYFUNCTION("""COMPUTED_VALUE"""),"")</f>
        <v/>
      </c>
      <c r="G3811" s="42" t="str">
        <f>IFERROR(__xludf.DUMMYFUNCTION("""COMPUTED_VALUE"""),"BN Jual Beli")</f>
        <v>BN Jual Beli</v>
      </c>
      <c r="H3811" s="42">
        <f t="shared" si="1"/>
        <v>1680</v>
      </c>
    </row>
    <row r="3812" ht="22.5" customHeight="1">
      <c r="B3812" s="42" t="str">
        <f>IFERROR(__xludf.DUMMYFUNCTION("""COMPUTED_VALUE"""),"L/23/250425/1")</f>
        <v>L/23/250425/1</v>
      </c>
      <c r="C3812" s="42" t="str">
        <f>IFERROR(__xludf.DUMMYFUNCTION("""COMPUTED_VALUE"""),"HM 14707/RAJABASA")</f>
        <v>HM 14707/RAJABASA</v>
      </c>
      <c r="D3812" s="42" t="str">
        <f>IFERROR(__xludf.DUMMYFUNCTION("""COMPUTED_VALUE"""),"David")</f>
        <v>David</v>
      </c>
      <c r="E3812" s="42" t="str">
        <f>IFERROR(__xludf.DUMMYFUNCTION("""COMPUTED_VALUE"""),"DISERAHKAN")</f>
        <v>DISERAHKAN</v>
      </c>
      <c r="F3812" s="48">
        <f>IFERROR(__xludf.DUMMYFUNCTION("""COMPUTED_VALUE"""),45847.64824524306)</f>
        <v>45847.64825</v>
      </c>
      <c r="G3812" s="42" t="str">
        <f>IFERROR(__xludf.DUMMYFUNCTION("""COMPUTED_VALUE"""),"ROYA")</f>
        <v>ROYA</v>
      </c>
      <c r="H3812" s="42">
        <f t="shared" si="1"/>
        <v>1681</v>
      </c>
    </row>
    <row r="3813" ht="22.5" customHeight="1">
      <c r="B3813" s="42" t="str">
        <f>IFERROR(__xludf.DUMMYFUNCTION("""COMPUTED_VALUE"""),"K/24/250425/1")</f>
        <v>K/24/250425/1</v>
      </c>
      <c r="C3813" s="42" t="str">
        <f>IFERROR(__xludf.DUMMYFUNCTION("""COMPUTED_VALUE"""),"B.386/BAKUNG")</f>
        <v>B.386/BAKUNG</v>
      </c>
      <c r="D3813" s="42" t="str">
        <f>IFERROR(__xludf.DUMMYFUNCTION("""COMPUTED_VALUE"""),"Berry")</f>
        <v>Berry</v>
      </c>
      <c r="E3813" s="42" t="str">
        <f>IFERROR(__xludf.DUMMYFUNCTION("""COMPUTED_VALUE"""),"DISERAHKAN")</f>
        <v>DISERAHKAN</v>
      </c>
      <c r="F3813" s="48">
        <f>IFERROR(__xludf.DUMMYFUNCTION("""COMPUTED_VALUE"""),45800.61321384259)</f>
        <v>45800.61321</v>
      </c>
      <c r="G3813" s="42" t="str">
        <f>IFERROR(__xludf.DUMMYFUNCTION("""COMPUTED_VALUE"""),"PERUBAHAN HAK")</f>
        <v>PERUBAHAN HAK</v>
      </c>
      <c r="H3813" s="42">
        <f t="shared" si="1"/>
        <v>1682</v>
      </c>
    </row>
    <row r="3814" ht="22.5" customHeight="1">
      <c r="B3814" s="42" t="str">
        <f>IFERROR(__xludf.DUMMYFUNCTION("""COMPUTED_VALUE"""),"K/25/250425/1")</f>
        <v>K/25/250425/1</v>
      </c>
      <c r="C3814" s="42" t="str">
        <f>IFERROR(__xludf.DUMMYFUNCTION("""COMPUTED_VALUE"""),"M. 2650/ Pinang Jaya")</f>
        <v>M. 2650/ Pinang Jaya</v>
      </c>
      <c r="D3814" s="42"/>
      <c r="E3814" s="42"/>
      <c r="F3814" s="48" t="str">
        <f>IFERROR(__xludf.DUMMYFUNCTION("""COMPUTED_VALUE"""),"")</f>
        <v/>
      </c>
      <c r="G3814" s="42" t="str">
        <f>IFERROR(__xludf.DUMMYFUNCTION("""COMPUTED_VALUE"""),"BN JUAL BELI")</f>
        <v>BN JUAL BELI</v>
      </c>
      <c r="H3814" s="42">
        <f t="shared" si="1"/>
        <v>1682</v>
      </c>
    </row>
    <row r="3815" ht="22.5" customHeight="1">
      <c r="B3815" s="42" t="str">
        <f>IFERROR(__xludf.DUMMYFUNCTION("""COMPUTED_VALUE"""),"K/26/250425/2")</f>
        <v>K/26/250425/2</v>
      </c>
      <c r="C3815" s="42" t="str">
        <f>IFERROR(__xludf.DUMMYFUNCTION("""COMPUTED_VALUE"""),"M. 2844/ sukarame II")</f>
        <v>M. 2844/ sukarame II</v>
      </c>
      <c r="D3815" s="42"/>
      <c r="E3815" s="42"/>
      <c r="F3815" s="48" t="str">
        <f>IFERROR(__xludf.DUMMYFUNCTION("""COMPUTED_VALUE"""),"")</f>
        <v/>
      </c>
      <c r="G3815" s="42" t="str">
        <f>IFERROR(__xludf.DUMMYFUNCTION("""COMPUTED_VALUE"""),"BN JUAL BELI")</f>
        <v>BN JUAL BELI</v>
      </c>
      <c r="H3815" s="42">
        <f t="shared" si="1"/>
        <v>1682</v>
      </c>
    </row>
    <row r="3816" ht="22.5" customHeight="1">
      <c r="B3816" s="42" t="str">
        <f>IFERROR(__xludf.DUMMYFUNCTION("""COMPUTED_VALUE"""),"K/27/250425/3")</f>
        <v>K/27/250425/3</v>
      </c>
      <c r="C3816" s="42" t="str">
        <f>IFERROR(__xludf.DUMMYFUNCTION("""COMPUTED_VALUE"""),"M. 2626/ Pinang jaya")</f>
        <v>M. 2626/ Pinang jaya</v>
      </c>
      <c r="D3816" s="42"/>
      <c r="E3816" s="42"/>
      <c r="F3816" s="48" t="str">
        <f>IFERROR(__xludf.DUMMYFUNCTION("""COMPUTED_VALUE"""),"")</f>
        <v/>
      </c>
      <c r="G3816" s="42" t="str">
        <f>IFERROR(__xludf.DUMMYFUNCTION("""COMPUTED_VALUE"""),"BN JUAL BELI")</f>
        <v>BN JUAL BELI</v>
      </c>
      <c r="H3816" s="42">
        <f t="shared" si="1"/>
        <v>1682</v>
      </c>
    </row>
    <row r="3817" ht="22.5" customHeight="1">
      <c r="B3817" s="42" t="str">
        <f>IFERROR(__xludf.DUMMYFUNCTION("""COMPUTED_VALUE"""),"K/29/250425/1")</f>
        <v>K/29/250425/1</v>
      </c>
      <c r="C3817" s="42" t="str">
        <f>IFERROR(__xludf.DUMMYFUNCTION("""COMPUTED_VALUE"""),"M.939/PERUMNAS WAY HALIM")</f>
        <v>M.939/PERUMNAS WAY HALIM</v>
      </c>
      <c r="D3817" s="42"/>
      <c r="E3817" s="42"/>
      <c r="F3817" s="48" t="str">
        <f>IFERROR(__xludf.DUMMYFUNCTION("""COMPUTED_VALUE"""),"")</f>
        <v/>
      </c>
      <c r="G3817" s="42" t="str">
        <f>IFERROR(__xludf.DUMMYFUNCTION("""COMPUTED_VALUE"""),"JUAL BELI")</f>
        <v>JUAL BELI</v>
      </c>
      <c r="H3817" s="42">
        <f t="shared" si="1"/>
        <v>1682</v>
      </c>
    </row>
    <row r="3818" ht="22.5" customHeight="1">
      <c r="B3818" s="42" t="str">
        <f>IFERROR(__xludf.DUMMYFUNCTION("""COMPUTED_VALUE"""),"K/28/250425/1")</f>
        <v>K/28/250425/1</v>
      </c>
      <c r="C3818" s="42" t="str">
        <f>IFERROR(__xludf.DUMMYFUNCTION("""COMPUTED_VALUE"""),"M. 2389/ Kedaung")</f>
        <v>M. 2389/ Kedaung</v>
      </c>
      <c r="D3818" s="42" t="str">
        <f>IFERROR(__xludf.DUMMYFUNCTION("""COMPUTED_VALUE"""),"David")</f>
        <v>David</v>
      </c>
      <c r="E3818" s="42" t="str">
        <f>IFERROR(__xludf.DUMMYFUNCTION("""COMPUTED_VALUE"""),"DISERAHKAN")</f>
        <v>DISERAHKAN</v>
      </c>
      <c r="F3818" s="48">
        <f>IFERROR(__xludf.DUMMYFUNCTION("""COMPUTED_VALUE"""),45793.39862594908)</f>
        <v>45793.39863</v>
      </c>
      <c r="G3818" s="42" t="str">
        <f>IFERROR(__xludf.DUMMYFUNCTION("""COMPUTED_VALUE"""),"BN Jual Beli")</f>
        <v>BN Jual Beli</v>
      </c>
      <c r="H3818" s="42">
        <f t="shared" si="1"/>
        <v>1683</v>
      </c>
    </row>
    <row r="3819" ht="22.5" customHeight="1">
      <c r="B3819" s="42" t="str">
        <f>IFERROR(__xludf.DUMMYFUNCTION("""COMPUTED_VALUE"""),"K/32/250425/1")</f>
        <v>K/32/250425/1</v>
      </c>
      <c r="C3819" s="42" t="str">
        <f>IFERROR(__xludf.DUMMYFUNCTION("""COMPUTED_VALUE"""),"B. 2425; 2406/ Sukarame ")</f>
        <v>B. 2425; 2406/ Sukarame </v>
      </c>
      <c r="D3819" s="42" t="str">
        <f>IFERROR(__xludf.DUMMYFUNCTION("""COMPUTED_VALUE"""),"Berry")</f>
        <v>Berry</v>
      </c>
      <c r="E3819" s="42" t="str">
        <f>IFERROR(__xludf.DUMMYFUNCTION("""COMPUTED_VALUE"""),"DISERAHKAN")</f>
        <v>DISERAHKAN</v>
      </c>
      <c r="F3819" s="48">
        <f>IFERROR(__xludf.DUMMYFUNCTION("""COMPUTED_VALUE"""),45799.526712824074)</f>
        <v>45799.52671</v>
      </c>
      <c r="G3819" s="42" t="str">
        <f>IFERROR(__xludf.DUMMYFUNCTION("""COMPUTED_VALUE"""),"Roya")</f>
        <v>Roya</v>
      </c>
      <c r="H3819" s="42">
        <f t="shared" si="1"/>
        <v>1684</v>
      </c>
    </row>
    <row r="3820" ht="22.5" customHeight="1">
      <c r="B3820" s="42" t="str">
        <f>IFERROR(__xludf.DUMMYFUNCTION("""COMPUTED_VALUE"""),"K/31/250425/1")</f>
        <v>K/31/250425/1</v>
      </c>
      <c r="C3820" s="42" t="str">
        <f>IFERROR(__xludf.DUMMYFUNCTION("""COMPUTED_VALUE"""),"Nibel 18501/ Gunung Terang")</f>
        <v>Nibel 18501/ Gunung Terang</v>
      </c>
      <c r="D3820" s="42"/>
      <c r="E3820" s="42"/>
      <c r="F3820" s="48" t="str">
        <f>IFERROR(__xludf.DUMMYFUNCTION("""COMPUTED_VALUE"""),"")</f>
        <v/>
      </c>
      <c r="G3820" s="42" t="str">
        <f>IFERROR(__xludf.DUMMYFUNCTION("""COMPUTED_VALUE"""),"BN HIBAH")</f>
        <v>BN HIBAH</v>
      </c>
      <c r="H3820" s="42">
        <f t="shared" si="1"/>
        <v>1684</v>
      </c>
    </row>
    <row r="3821" ht="22.5" customHeight="1">
      <c r="B3821" s="42" t="str">
        <f>IFERROR(__xludf.DUMMYFUNCTION("""COMPUTED_VALUE"""),"K/33/250425/1")</f>
        <v>K/33/250425/1</v>
      </c>
      <c r="C3821" s="42" t="str">
        <f>IFERROR(__xludf.DUMMYFUNCTION("""COMPUTED_VALUE"""),"B.134/LANGKAPURA")</f>
        <v>B.134/LANGKAPURA</v>
      </c>
      <c r="D3821" s="42" t="str">
        <f>IFERROR(__xludf.DUMMYFUNCTION("""COMPUTED_VALUE"""),"David")</f>
        <v>David</v>
      </c>
      <c r="E3821" s="42" t="str">
        <f>IFERROR(__xludf.DUMMYFUNCTION("""COMPUTED_VALUE"""),"DISERAHKAN")</f>
        <v>DISERAHKAN</v>
      </c>
      <c r="F3821" s="48">
        <f>IFERROR(__xludf.DUMMYFUNCTION("""COMPUTED_VALUE"""),45811.363366377314)</f>
        <v>45811.36337</v>
      </c>
      <c r="G3821" s="42" t="str">
        <f>IFERROR(__xludf.DUMMYFUNCTION("""COMPUTED_VALUE"""),"ROYA")</f>
        <v>ROYA</v>
      </c>
      <c r="H3821" s="42">
        <f t="shared" si="1"/>
        <v>1685</v>
      </c>
    </row>
    <row r="3822" ht="22.5" customHeight="1">
      <c r="B3822" s="42" t="str">
        <f>IFERROR(__xludf.DUMMYFUNCTION("""COMPUTED_VALUE"""),"K/34/250425/1")</f>
        <v>K/34/250425/1</v>
      </c>
      <c r="C3822" s="42" t="str">
        <f>IFERROR(__xludf.DUMMYFUNCTION("""COMPUTED_VALUE"""),"M.1005/SEPANG JAYA")</f>
        <v>M.1005/SEPANG JAYA</v>
      </c>
      <c r="D3822" s="42"/>
      <c r="E3822" s="42"/>
      <c r="F3822" s="48" t="str">
        <f>IFERROR(__xludf.DUMMYFUNCTION("""COMPUTED_VALUE"""),"")</f>
        <v/>
      </c>
      <c r="G3822" s="42" t="str">
        <f>IFERROR(__xludf.DUMMYFUNCTION("""COMPUTED_VALUE"""),"ROYA")</f>
        <v>ROYA</v>
      </c>
      <c r="H3822" s="42">
        <f t="shared" si="1"/>
        <v>1685</v>
      </c>
    </row>
    <row r="3823" ht="22.5" customHeight="1">
      <c r="B3823" s="42" t="str">
        <f>IFERROR(__xludf.DUMMYFUNCTION("""COMPUTED_VALUE"""),"K/35/250425/2")</f>
        <v>K/35/250425/2</v>
      </c>
      <c r="C3823" s="42" t="str">
        <f>IFERROR(__xludf.DUMMYFUNCTION("""COMPUTED_VALUE"""),"M.16680/SUKABUMI")</f>
        <v>M.16680/SUKABUMI</v>
      </c>
      <c r="D3823" s="42"/>
      <c r="E3823" s="42"/>
      <c r="F3823" s="48" t="str">
        <f>IFERROR(__xludf.DUMMYFUNCTION("""COMPUTED_VALUE"""),"")</f>
        <v/>
      </c>
      <c r="G3823" s="42" t="str">
        <f>IFERROR(__xludf.DUMMYFUNCTION("""COMPUTED_VALUE"""),"JUAL BELI")</f>
        <v>JUAL BELI</v>
      </c>
      <c r="H3823" s="42">
        <f t="shared" si="1"/>
        <v>1685</v>
      </c>
    </row>
    <row r="3824" ht="22.5" customHeight="1">
      <c r="B3824" s="42" t="str">
        <f>IFERROR(__xludf.DUMMYFUNCTION("""COMPUTED_VALUE"""),"K/36/250425/1")</f>
        <v>K/36/250425/1</v>
      </c>
      <c r="C3824" s="42" t="str">
        <f>IFERROR(__xludf.DUMMYFUNCTION("""COMPUTED_VALUE"""),"M. 1154/ Perumnas Way Kandis")</f>
        <v>M. 1154/ Perumnas Way Kandis</v>
      </c>
      <c r="D3824" s="42" t="str">
        <f>IFERROR(__xludf.DUMMYFUNCTION("""COMPUTED_VALUE"""),"David")</f>
        <v>David</v>
      </c>
      <c r="E3824" s="42" t="str">
        <f>IFERROR(__xludf.DUMMYFUNCTION("""COMPUTED_VALUE"""),"DISERAHKAN")</f>
        <v>DISERAHKAN</v>
      </c>
      <c r="F3824" s="48">
        <f>IFERROR(__xludf.DUMMYFUNCTION("""COMPUTED_VALUE"""),45793.42180527777)</f>
        <v>45793.42181</v>
      </c>
      <c r="G3824" s="42" t="str">
        <f>IFERROR(__xludf.DUMMYFUNCTION("""COMPUTED_VALUE"""),"BN JUAL BELI")</f>
        <v>BN JUAL BELI</v>
      </c>
      <c r="H3824" s="42">
        <f t="shared" si="1"/>
        <v>1686</v>
      </c>
    </row>
    <row r="3825" ht="22.5" customHeight="1">
      <c r="B3825" s="42" t="str">
        <f>IFERROR(__xludf.DUMMYFUNCTION("""COMPUTED_VALUE"""),"K/1/280425/1")</f>
        <v>K/1/280425/1</v>
      </c>
      <c r="C3825" s="42" t="str">
        <f>IFERROR(__xludf.DUMMYFUNCTION("""COMPUTED_VALUE"""),"M.4814/WAY KANDIS")</f>
        <v>M.4814/WAY KANDIS</v>
      </c>
      <c r="D3825" s="42"/>
      <c r="E3825" s="42"/>
      <c r="F3825" s="48" t="str">
        <f>IFERROR(__xludf.DUMMYFUNCTION("""COMPUTED_VALUE"""),"")</f>
        <v/>
      </c>
      <c r="G3825" s="42" t="str">
        <f>IFERROR(__xludf.DUMMYFUNCTION("""COMPUTED_VALUE"""),"HAPUS BPHTB")</f>
        <v>HAPUS BPHTB</v>
      </c>
      <c r="H3825" s="42">
        <f t="shared" si="1"/>
        <v>1686</v>
      </c>
    </row>
    <row r="3826" ht="22.5" customHeight="1">
      <c r="B3826" s="42" t="str">
        <f>IFERROR(__xludf.DUMMYFUNCTION("""COMPUTED_VALUE"""),"L/2/280425/1")</f>
        <v>L/2/280425/1</v>
      </c>
      <c r="C3826" s="42" t="str">
        <f>IFERROR(__xludf.DUMMYFUNCTION("""COMPUTED_VALUE"""),"M.2820/Campang Raya")</f>
        <v>M.2820/Campang Raya</v>
      </c>
      <c r="D3826" s="42" t="str">
        <f>IFERROR(__xludf.DUMMYFUNCTION("""COMPUTED_VALUE"""),"David")</f>
        <v>David</v>
      </c>
      <c r="E3826" s="42" t="str">
        <f>IFERROR(__xludf.DUMMYFUNCTION("""COMPUTED_VALUE"""),"DISERAHKAN")</f>
        <v>DISERAHKAN</v>
      </c>
      <c r="F3826" s="48">
        <f>IFERROR(__xludf.DUMMYFUNCTION("""COMPUTED_VALUE"""),45824.63454555556)</f>
        <v>45824.63455</v>
      </c>
      <c r="G3826" s="42" t="str">
        <f>IFERROR(__xludf.DUMMYFUNCTION("""COMPUTED_VALUE"""),"Roya")</f>
        <v>Roya</v>
      </c>
      <c r="H3826" s="42">
        <f t="shared" si="1"/>
        <v>1687</v>
      </c>
    </row>
    <row r="3827" ht="22.5" customHeight="1">
      <c r="B3827" s="42" t="str">
        <f>IFERROR(__xludf.DUMMYFUNCTION("""COMPUTED_VALUE"""),"L/3/280425/1")</f>
        <v>L/3/280425/1</v>
      </c>
      <c r="C3827" s="42" t="str">
        <f>IFERROR(__xludf.DUMMYFUNCTION("""COMPUTED_VALUE"""),"B.110/KAMPUNG BARU RAYA")</f>
        <v>B.110/KAMPUNG BARU RAYA</v>
      </c>
      <c r="D3827" s="42" t="str">
        <f>IFERROR(__xludf.DUMMYFUNCTION("""COMPUTED_VALUE"""),"Berry")</f>
        <v>Berry</v>
      </c>
      <c r="E3827" s="42" t="str">
        <f>IFERROR(__xludf.DUMMYFUNCTION("""COMPUTED_VALUE"""),"DISERAHKAN")</f>
        <v>DISERAHKAN</v>
      </c>
      <c r="F3827" s="48">
        <f>IFERROR(__xludf.DUMMYFUNCTION("""COMPUTED_VALUE"""),45800.612704259256)</f>
        <v>45800.6127</v>
      </c>
      <c r="G3827" s="42" t="str">
        <f>IFERROR(__xludf.DUMMYFUNCTION("""COMPUTED_VALUE"""),"PENINGKATAN HAK")</f>
        <v>PENINGKATAN HAK</v>
      </c>
      <c r="H3827" s="42">
        <f t="shared" si="1"/>
        <v>1688</v>
      </c>
    </row>
    <row r="3828" ht="22.5" customHeight="1">
      <c r="B3828" s="42" t="str">
        <f>IFERROR(__xludf.DUMMYFUNCTION("""COMPUTED_VALUE"""),"L/4/280425/2")</f>
        <v>L/4/280425/2</v>
      </c>
      <c r="C3828" s="42" t="str">
        <f>IFERROR(__xludf.DUMMYFUNCTION("""COMPUTED_VALUE"""),"B.107/KAMPUNG BARU RAYA")</f>
        <v>B.107/KAMPUNG BARU RAYA</v>
      </c>
      <c r="D3828" s="42"/>
      <c r="E3828" s="42"/>
      <c r="F3828" s="48" t="str">
        <f>IFERROR(__xludf.DUMMYFUNCTION("""COMPUTED_VALUE"""),"")</f>
        <v/>
      </c>
      <c r="G3828" s="42" t="str">
        <f>IFERROR(__xludf.DUMMYFUNCTION("""COMPUTED_VALUE"""),"PENINGKATAN HAK")</f>
        <v>PENINGKATAN HAK</v>
      </c>
      <c r="H3828" s="42">
        <f t="shared" si="1"/>
        <v>1688</v>
      </c>
    </row>
    <row r="3829" ht="22.5" customHeight="1">
      <c r="B3829" s="42" t="str">
        <f>IFERROR(__xludf.DUMMYFUNCTION("""COMPUTED_VALUE"""),"L/5/280425/3")</f>
        <v>L/5/280425/3</v>
      </c>
      <c r="C3829" s="42" t="str">
        <f>IFERROR(__xludf.DUMMYFUNCTION("""COMPUTED_VALUE"""),"B.112/KAMPUNG BARU RAYA")</f>
        <v>B.112/KAMPUNG BARU RAYA</v>
      </c>
      <c r="D3829" s="42"/>
      <c r="E3829" s="42"/>
      <c r="F3829" s="48" t="str">
        <f>IFERROR(__xludf.DUMMYFUNCTION("""COMPUTED_VALUE"""),"")</f>
        <v/>
      </c>
      <c r="G3829" s="42" t="str">
        <f>IFERROR(__xludf.DUMMYFUNCTION("""COMPUTED_VALUE"""),"PENINGKATAN HAK")</f>
        <v>PENINGKATAN HAK</v>
      </c>
      <c r="H3829" s="42">
        <f t="shared" si="1"/>
        <v>1688</v>
      </c>
    </row>
    <row r="3830" ht="22.5" customHeight="1">
      <c r="B3830" s="42" t="str">
        <f>IFERROR(__xludf.DUMMYFUNCTION("""COMPUTED_VALUE"""),"K/6/280425/1")</f>
        <v>K/6/280425/1</v>
      </c>
      <c r="C3830" s="42" t="str">
        <f>IFERROR(__xludf.DUMMYFUNCTION("""COMPUTED_VALUE"""),"M.4040/GUNUNG TERANG")</f>
        <v>M.4040/GUNUNG TERANG</v>
      </c>
      <c r="D3830" s="42"/>
      <c r="E3830" s="42"/>
      <c r="F3830" s="48" t="str">
        <f>IFERROR(__xludf.DUMMYFUNCTION("""COMPUTED_VALUE"""),"")</f>
        <v/>
      </c>
      <c r="G3830" s="42" t="str">
        <f>IFERROR(__xludf.DUMMYFUNCTION("""COMPUTED_VALUE"""),"KEWARISAN")</f>
        <v>KEWARISAN</v>
      </c>
      <c r="H3830" s="42">
        <f t="shared" si="1"/>
        <v>1688</v>
      </c>
    </row>
    <row r="3831" ht="22.5" customHeight="1">
      <c r="B3831" s="42" t="str">
        <f>IFERROR(__xludf.DUMMYFUNCTION("""COMPUTED_VALUE"""),"K/7/280425/1")</f>
        <v>K/7/280425/1</v>
      </c>
      <c r="C3831" s="42" t="str">
        <f>IFERROR(__xludf.DUMMYFUNCTION("""COMPUTED_VALUE"""),"NIBEL M 3264/LABUHAN RATU RAYA")</f>
        <v>NIBEL M 3264/LABUHAN RATU RAYA</v>
      </c>
      <c r="D3831" s="42"/>
      <c r="E3831" s="42"/>
      <c r="F3831" s="48" t="str">
        <f>IFERROR(__xludf.DUMMYFUNCTION("""COMPUTED_VALUE"""),"")</f>
        <v/>
      </c>
      <c r="G3831" s="42" t="str">
        <f>IFERROR(__xludf.DUMMYFUNCTION("""COMPUTED_VALUE"""),"PEMECAHAN")</f>
        <v>PEMECAHAN</v>
      </c>
      <c r="H3831" s="42">
        <f t="shared" si="1"/>
        <v>1688</v>
      </c>
    </row>
    <row r="3832" ht="22.5" customHeight="1">
      <c r="B3832" s="42" t="str">
        <f>IFERROR(__xludf.DUMMYFUNCTION("""COMPUTED_VALUE"""),"L/9/280425/1")</f>
        <v>L/9/280425/1</v>
      </c>
      <c r="C3832" s="42" t="str">
        <f>IFERROR(__xludf.DUMMYFUNCTION("""COMPUTED_VALUE"""),"M.1905/BERINGIN JAYA")</f>
        <v>M.1905/BERINGIN JAYA</v>
      </c>
      <c r="D3832" s="42"/>
      <c r="E3832" s="42"/>
      <c r="F3832" s="48" t="str">
        <f>IFERROR(__xludf.DUMMYFUNCTION("""COMPUTED_VALUE"""),"")</f>
        <v/>
      </c>
      <c r="G3832" s="42" t="str">
        <f>IFERROR(__xludf.DUMMYFUNCTION("""COMPUTED_VALUE"""),"BALIK NAMA")</f>
        <v>BALIK NAMA</v>
      </c>
      <c r="H3832" s="42">
        <f t="shared" si="1"/>
        <v>1688</v>
      </c>
    </row>
    <row r="3833" ht="22.5" customHeight="1">
      <c r="B3833" s="42" t="str">
        <f>IFERROR(__xludf.DUMMYFUNCTION("""COMPUTED_VALUE"""),"K/10/280425/1")</f>
        <v>K/10/280425/1</v>
      </c>
      <c r="C3833" s="42" t="str">
        <f>IFERROR(__xludf.DUMMYFUNCTION("""COMPUTED_VALUE"""),"NIBEL B. 19347/SUMUR PUTRI")</f>
        <v>NIBEL B. 19347/SUMUR PUTRI</v>
      </c>
      <c r="D3833" s="42"/>
      <c r="E3833" s="42"/>
      <c r="F3833" s="48" t="str">
        <f>IFERROR(__xludf.DUMMYFUNCTION("""COMPUTED_VALUE"""),"")</f>
        <v/>
      </c>
      <c r="G3833" s="42" t="str">
        <f>IFERROR(__xludf.DUMMYFUNCTION("""COMPUTED_VALUE"""),"PENINGKATAN")</f>
        <v>PENINGKATAN</v>
      </c>
      <c r="H3833" s="42">
        <f t="shared" si="1"/>
        <v>1688</v>
      </c>
    </row>
    <row r="3834" ht="22.5" customHeight="1">
      <c r="B3834" s="42" t="str">
        <f>IFERROR(__xludf.DUMMYFUNCTION("""COMPUTED_VALUE"""),"K/11/280425/2")</f>
        <v>K/11/280425/2</v>
      </c>
      <c r="C3834" s="42" t="str">
        <f>IFERROR(__xludf.DUMMYFUNCTION("""COMPUTED_VALUE"""),"NIBEL B 19670/SUMUR PUTRI")</f>
        <v>NIBEL B 19670/SUMUR PUTRI</v>
      </c>
      <c r="D3834" s="42"/>
      <c r="E3834" s="42"/>
      <c r="F3834" s="48" t="str">
        <f>IFERROR(__xludf.DUMMYFUNCTION("""COMPUTED_VALUE"""),"")</f>
        <v/>
      </c>
      <c r="G3834" s="42" t="str">
        <f>IFERROR(__xludf.DUMMYFUNCTION("""COMPUTED_VALUE"""),"PENINGKATAN")</f>
        <v>PENINGKATAN</v>
      </c>
      <c r="H3834" s="42">
        <f t="shared" si="1"/>
        <v>1688</v>
      </c>
    </row>
    <row r="3835" ht="22.5" customHeight="1">
      <c r="B3835" s="42" t="str">
        <f>IFERROR(__xludf.DUMMYFUNCTION("""COMPUTED_VALUE"""),"K/13/280425/1")</f>
        <v>K/13/280425/1</v>
      </c>
      <c r="C3835" s="42" t="str">
        <f>IFERROR(__xludf.DUMMYFUNCTION("""COMPUTED_VALUE"""),"B. 112/KAMPUNG BARU RAYA")</f>
        <v>B. 112/KAMPUNG BARU RAYA</v>
      </c>
      <c r="D3835" s="42" t="str">
        <f>IFERROR(__xludf.DUMMYFUNCTION("""COMPUTED_VALUE"""),"Berry")</f>
        <v>Berry</v>
      </c>
      <c r="E3835" s="42" t="str">
        <f>IFERROR(__xludf.DUMMYFUNCTION("""COMPUTED_VALUE"""),"DISERAHKAN")</f>
        <v>DISERAHKAN</v>
      </c>
      <c r="F3835" s="48">
        <f>IFERROR(__xludf.DUMMYFUNCTION("""COMPUTED_VALUE"""),45800.612104224536)</f>
        <v>45800.6121</v>
      </c>
      <c r="G3835" s="42" t="str">
        <f>IFERROR(__xludf.DUMMYFUNCTION("""COMPUTED_VALUE"""),"PERUBAHAN HAK")</f>
        <v>PERUBAHAN HAK</v>
      </c>
      <c r="H3835" s="42">
        <f t="shared" si="1"/>
        <v>1689</v>
      </c>
    </row>
    <row r="3836" ht="22.5" customHeight="1">
      <c r="B3836" s="42" t="str">
        <f>IFERROR(__xludf.DUMMYFUNCTION("""COMPUTED_VALUE"""),"K/12/280425/1")</f>
        <v>K/12/280425/1</v>
      </c>
      <c r="C3836" s="42" t="str">
        <f>IFERROR(__xludf.DUMMYFUNCTION("""COMPUTED_VALUE"""),"NIBEL M 2751/LANGKAPURA")</f>
        <v>NIBEL M 2751/LANGKAPURA</v>
      </c>
      <c r="D3836" s="42"/>
      <c r="E3836" s="42"/>
      <c r="F3836" s="48" t="str">
        <f>IFERROR(__xludf.DUMMYFUNCTION("""COMPUTED_VALUE"""),"")</f>
        <v/>
      </c>
      <c r="G3836" s="42" t="str">
        <f>IFERROR(__xludf.DUMMYFUNCTION("""COMPUTED_VALUE"""),"JUAL BELI")</f>
        <v>JUAL BELI</v>
      </c>
      <c r="H3836" s="42">
        <f t="shared" si="1"/>
        <v>1689</v>
      </c>
    </row>
    <row r="3837" ht="22.5" customHeight="1">
      <c r="B3837" s="42" t="str">
        <f>IFERROR(__xludf.DUMMYFUNCTION("""COMPUTED_VALUE"""),"K/14/280425/1")</f>
        <v>K/14/280425/1</v>
      </c>
      <c r="C3837" s="42" t="str">
        <f>IFERROR(__xludf.DUMMYFUNCTION("""COMPUTED_VALUE"""),"M.1155/PERUMNAS WAY KANDIS")</f>
        <v>M.1155/PERUMNAS WAY KANDIS</v>
      </c>
      <c r="D3837" s="42"/>
      <c r="E3837" s="42"/>
      <c r="F3837" s="48" t="str">
        <f>IFERROR(__xludf.DUMMYFUNCTION("""COMPUTED_VALUE"""),"")</f>
        <v/>
      </c>
      <c r="G3837" s="42" t="str">
        <f>IFERROR(__xludf.DUMMYFUNCTION("""COMPUTED_VALUE"""),"JUAL BELI")</f>
        <v>JUAL BELI</v>
      </c>
      <c r="H3837" s="42">
        <f t="shared" si="1"/>
        <v>1689</v>
      </c>
    </row>
    <row r="3838" ht="22.5" customHeight="1">
      <c r="B3838" s="42" t="str">
        <f>IFERROR(__xludf.DUMMYFUNCTION("""COMPUTED_VALUE"""),"K/16/280425/1")</f>
        <v>K/16/280425/1</v>
      </c>
      <c r="C3838" s="42" t="str">
        <f>IFERROR(__xludf.DUMMYFUNCTION("""COMPUTED_VALUE"""),"M.3289/BERINGIN RAYA")</f>
        <v>M.3289/BERINGIN RAYA</v>
      </c>
      <c r="D3838" s="42" t="str">
        <f>IFERROR(__xludf.DUMMYFUNCTION("""COMPUTED_VALUE"""),"Berry")</f>
        <v>Berry</v>
      </c>
      <c r="E3838" s="42" t="str">
        <f>IFERROR(__xludf.DUMMYFUNCTION("""COMPUTED_VALUE"""),"DISERAHKAN")</f>
        <v>DISERAHKAN</v>
      </c>
      <c r="F3838" s="48">
        <f>IFERROR(__xludf.DUMMYFUNCTION("""COMPUTED_VALUE"""),45796.48634229167)</f>
        <v>45796.48634</v>
      </c>
      <c r="G3838" s="42" t="str">
        <f>IFERROR(__xludf.DUMMYFUNCTION("""COMPUTED_VALUE"""),"ROYA")</f>
        <v>ROYA</v>
      </c>
      <c r="H3838" s="42">
        <f t="shared" si="1"/>
        <v>1690</v>
      </c>
    </row>
    <row r="3839" ht="22.5" customHeight="1">
      <c r="B3839" s="42" t="str">
        <f>IFERROR(__xludf.DUMMYFUNCTION("""COMPUTED_VALUE"""),"K/17/280425/1")</f>
        <v>K/17/280425/1</v>
      </c>
      <c r="C3839" s="42" t="str">
        <f>IFERROR(__xludf.DUMMYFUNCTION("""COMPUTED_VALUE"""),"M.1407/SUKAJAWA")</f>
        <v>M.1407/SUKAJAWA</v>
      </c>
      <c r="D3839" s="42"/>
      <c r="E3839" s="42"/>
      <c r="F3839" s="48" t="str">
        <f>IFERROR(__xludf.DUMMYFUNCTION("""COMPUTED_VALUE"""),"")</f>
        <v/>
      </c>
      <c r="G3839" s="42" t="str">
        <f>IFERROR(__xludf.DUMMYFUNCTION("""COMPUTED_VALUE"""),"JUAL BELI")</f>
        <v>JUAL BELI</v>
      </c>
      <c r="H3839" s="42">
        <f t="shared" si="1"/>
        <v>1690</v>
      </c>
    </row>
    <row r="3840" ht="22.5" customHeight="1">
      <c r="B3840" s="42" t="str">
        <f>IFERROR(__xludf.DUMMYFUNCTION("""COMPUTED_VALUE"""),"K/15/280425/1")</f>
        <v>K/15/280425/1</v>
      </c>
      <c r="C3840" s="42" t="str">
        <f>IFERROR(__xludf.DUMMYFUNCTION("""COMPUTED_VALUE"""),"B.629/SUMBER AGUNG")</f>
        <v>B.629/SUMBER AGUNG</v>
      </c>
      <c r="D3840" s="42" t="str">
        <f>IFERROR(__xludf.DUMMYFUNCTION("""COMPUTED_VALUE"""),"Berry")</f>
        <v>Berry</v>
      </c>
      <c r="E3840" s="42" t="str">
        <f>IFERROR(__xludf.DUMMYFUNCTION("""COMPUTED_VALUE"""),"DISERAHKAN")</f>
        <v>DISERAHKAN</v>
      </c>
      <c r="F3840" s="48">
        <f>IFERROR(__xludf.DUMMYFUNCTION("""COMPUTED_VALUE"""),45791.66586709491)</f>
        <v>45791.66587</v>
      </c>
      <c r="G3840" s="42" t="str">
        <f>IFERROR(__xludf.DUMMYFUNCTION("""COMPUTED_VALUE"""),"BN JUAL BELI")</f>
        <v>BN JUAL BELI</v>
      </c>
      <c r="H3840" s="42">
        <f t="shared" si="1"/>
        <v>1691</v>
      </c>
    </row>
    <row r="3841" ht="22.5" customHeight="1">
      <c r="B3841" s="42" t="str">
        <f>IFERROR(__xludf.DUMMYFUNCTION("""COMPUTED_VALUE"""),"K/19/280425/1")</f>
        <v>K/19/280425/1</v>
      </c>
      <c r="C3841" s="42" t="str">
        <f>IFERROR(__xludf.DUMMYFUNCTION("""COMPUTED_VALUE"""),"M. 1119/KORPRI JAYA")</f>
        <v>M. 1119/KORPRI JAYA</v>
      </c>
      <c r="D3841" s="42" t="str">
        <f>IFERROR(__xludf.DUMMYFUNCTION("""COMPUTED_VALUE"""),"Berry")</f>
        <v>Berry</v>
      </c>
      <c r="E3841" s="42" t="str">
        <f>IFERROR(__xludf.DUMMYFUNCTION("""COMPUTED_VALUE"""),"DISERAHKAN")</f>
        <v>DISERAHKAN</v>
      </c>
      <c r="F3841" s="48">
        <f>IFERROR(__xludf.DUMMYFUNCTION("""COMPUTED_VALUE"""),45824.50865820602)</f>
        <v>45824.50866</v>
      </c>
      <c r="G3841" s="42" t="str">
        <f>IFERROR(__xludf.DUMMYFUNCTION("""COMPUTED_VALUE"""),"BN JUAL BELI ")</f>
        <v>BN JUAL BELI </v>
      </c>
      <c r="H3841" s="42">
        <f t="shared" si="1"/>
        <v>1692</v>
      </c>
    </row>
    <row r="3842" ht="22.5" customHeight="1">
      <c r="B3842" s="42" t="str">
        <f>IFERROR(__xludf.DUMMYFUNCTION("""COMPUTED_VALUE"""),"K/18/280425/2")</f>
        <v>K/18/280425/2</v>
      </c>
      <c r="C3842" s="42" t="str">
        <f>IFERROR(__xludf.DUMMYFUNCTION("""COMPUTED_VALUE"""),"M.3655/WAY KANDIS ")</f>
        <v>M.3655/WAY KANDIS </v>
      </c>
      <c r="D3842" s="42"/>
      <c r="E3842" s="42"/>
      <c r="F3842" s="48" t="str">
        <f>IFERROR(__xludf.DUMMYFUNCTION("""COMPUTED_VALUE"""),"")</f>
        <v/>
      </c>
      <c r="G3842" s="42" t="str">
        <f>IFERROR(__xludf.DUMMYFUNCTION("""COMPUTED_VALUE"""),"HIBAH")</f>
        <v>HIBAH</v>
      </c>
      <c r="H3842" s="42">
        <f t="shared" si="1"/>
        <v>1692</v>
      </c>
    </row>
    <row r="3843" ht="22.5" customHeight="1">
      <c r="B3843" s="42" t="str">
        <f>IFERROR(__xludf.DUMMYFUNCTION("""COMPUTED_VALUE"""),"K/22/280425/1")</f>
        <v>K/22/280425/1</v>
      </c>
      <c r="C3843" s="42" t="str">
        <f>IFERROR(__xludf.DUMMYFUNCTION("""COMPUTED_VALUE"""),"KEDAUNG")</f>
        <v>KEDAUNG</v>
      </c>
      <c r="D3843" s="42"/>
      <c r="E3843" s="42"/>
      <c r="F3843" s="48" t="str">
        <f>IFERROR(__xludf.DUMMYFUNCTION("""COMPUTED_VALUE"""),"")</f>
        <v/>
      </c>
      <c r="G3843" s="42" t="str">
        <f>IFERROR(__xludf.DUMMYFUNCTION("""COMPUTED_VALUE"""),"TANAH MENTAH")</f>
        <v>TANAH MENTAH</v>
      </c>
      <c r="H3843" s="42">
        <f t="shared" si="1"/>
        <v>1692</v>
      </c>
    </row>
    <row r="3844" ht="22.5" customHeight="1">
      <c r="B3844" s="42" t="str">
        <f>IFERROR(__xludf.DUMMYFUNCTION("""COMPUTED_VALUE"""),"K/20/280425/2")</f>
        <v>K/20/280425/2</v>
      </c>
      <c r="C3844" s="42" t="str">
        <f>IFERROR(__xludf.DUMMYFUNCTION("""COMPUTED_VALUE"""),"M. 3171/GEDONG AIR")</f>
        <v>M. 3171/GEDONG AIR</v>
      </c>
      <c r="D3844" s="42"/>
      <c r="E3844" s="42"/>
      <c r="F3844" s="48" t="str">
        <f>IFERROR(__xludf.DUMMYFUNCTION("""COMPUTED_VALUE"""),"")</f>
        <v/>
      </c>
      <c r="G3844" s="42" t="str">
        <f>IFERROR(__xludf.DUMMYFUNCTION("""COMPUTED_VALUE"""),"BN JUAL BELI")</f>
        <v>BN JUAL BELI</v>
      </c>
      <c r="H3844" s="42">
        <f t="shared" si="1"/>
        <v>1692</v>
      </c>
    </row>
    <row r="3845" ht="22.5" customHeight="1">
      <c r="B3845" s="42" t="str">
        <f>IFERROR(__xludf.DUMMYFUNCTION("""COMPUTED_VALUE"""),"K/23/280425/1")</f>
        <v>K/23/280425/1</v>
      </c>
      <c r="C3845" s="42" t="str">
        <f>IFERROR(__xludf.DUMMYFUNCTION("""COMPUTED_VALUE"""),"NIBEL M. 18284/KEMILING RAYA")</f>
        <v>NIBEL M. 18284/KEMILING RAYA</v>
      </c>
      <c r="D3845" s="42"/>
      <c r="E3845" s="42"/>
      <c r="F3845" s="48" t="str">
        <f>IFERROR(__xludf.DUMMYFUNCTION("""COMPUTED_VALUE"""),"")</f>
        <v/>
      </c>
      <c r="G3845" s="42" t="str">
        <f>IFERROR(__xludf.DUMMYFUNCTION("""COMPUTED_VALUE"""),"PTPGT")</f>
        <v>PTPGT</v>
      </c>
      <c r="H3845" s="42">
        <f t="shared" si="1"/>
        <v>1692</v>
      </c>
    </row>
    <row r="3846" ht="22.5" customHeight="1">
      <c r="B3846" s="42" t="str">
        <f>IFERROR(__xludf.DUMMYFUNCTION("""COMPUTED_VALUE"""),"K/24/280425/1")</f>
        <v>K/24/280425/1</v>
      </c>
      <c r="C3846" s="42" t="str">
        <f>IFERROR(__xludf.DUMMYFUNCTION("""COMPUTED_VALUE"""),"M.492/KALI BALAU KENCANA")</f>
        <v>M.492/KALI BALAU KENCANA</v>
      </c>
      <c r="D3846" s="42" t="str">
        <f>IFERROR(__xludf.DUMMYFUNCTION("""COMPUTED_VALUE"""),"Berry")</f>
        <v>Berry</v>
      </c>
      <c r="E3846" s="42" t="str">
        <f>IFERROR(__xludf.DUMMYFUNCTION("""COMPUTED_VALUE"""),"DISERAHKAN")</f>
        <v>DISERAHKAN</v>
      </c>
      <c r="F3846" s="48">
        <f>IFERROR(__xludf.DUMMYFUNCTION("""COMPUTED_VALUE"""),45791.6538960301)</f>
        <v>45791.6539</v>
      </c>
      <c r="G3846" s="42" t="str">
        <f>IFERROR(__xludf.DUMMYFUNCTION("""COMPUTED_VALUE"""),"JUAL BELI")</f>
        <v>JUAL BELI</v>
      </c>
      <c r="H3846" s="42">
        <f t="shared" si="1"/>
        <v>1693</v>
      </c>
    </row>
    <row r="3847" ht="22.5" customHeight="1">
      <c r="B3847" s="42" t="str">
        <f>IFERROR(__xludf.DUMMYFUNCTION("""COMPUTED_VALUE"""),"K/25/280425/2")</f>
        <v>K/25/280425/2</v>
      </c>
      <c r="C3847" s="42" t="str">
        <f>IFERROR(__xludf.DUMMYFUNCTION("""COMPUTED_VALUE"""),"M.970/KUPANG KOTA")</f>
        <v>M.970/KUPANG KOTA</v>
      </c>
      <c r="D3847" s="42" t="str">
        <f>IFERROR(__xludf.DUMMYFUNCTION("""COMPUTED_VALUE"""),"Berry")</f>
        <v>Berry</v>
      </c>
      <c r="E3847" s="42" t="str">
        <f>IFERROR(__xludf.DUMMYFUNCTION("""COMPUTED_VALUE"""),"DISERAHKAN")</f>
        <v>DISERAHKAN</v>
      </c>
      <c r="F3847" s="48">
        <f>IFERROR(__xludf.DUMMYFUNCTION("""COMPUTED_VALUE"""),45805.684072199074)</f>
        <v>45805.68407</v>
      </c>
      <c r="G3847" s="42" t="str">
        <f>IFERROR(__xludf.DUMMYFUNCTION("""COMPUTED_VALUE"""),"HIBAH")</f>
        <v>HIBAH</v>
      </c>
      <c r="H3847" s="42">
        <f t="shared" si="1"/>
        <v>1694</v>
      </c>
    </row>
    <row r="3848" ht="22.5" customHeight="1">
      <c r="B3848" s="42" t="str">
        <f>IFERROR(__xludf.DUMMYFUNCTION("""COMPUTED_VALUE"""),"K/28/280425/3")</f>
        <v>K/28/280425/3</v>
      </c>
      <c r="C3848" s="42" t="str">
        <f>IFERROR(__xludf.DUMMYFUNCTION("""COMPUTED_VALUE"""),"M.5516/TANJUNG SENENG")</f>
        <v>M.5516/TANJUNG SENENG</v>
      </c>
      <c r="D3848" s="42"/>
      <c r="E3848" s="42"/>
      <c r="F3848" s="48" t="str">
        <f>IFERROR(__xludf.DUMMYFUNCTION("""COMPUTED_VALUE"""),"")</f>
        <v/>
      </c>
      <c r="G3848" s="42" t="str">
        <f>IFERROR(__xludf.DUMMYFUNCTION("""COMPUTED_VALUE"""),"JUAL BELI")</f>
        <v>JUAL BELI</v>
      </c>
      <c r="H3848" s="42">
        <f t="shared" si="1"/>
        <v>1694</v>
      </c>
    </row>
    <row r="3849" ht="22.5" customHeight="1">
      <c r="B3849" s="42" t="str">
        <f>IFERROR(__xludf.DUMMYFUNCTION("""COMPUTED_VALUE"""),"K/29/280425/4")</f>
        <v>K/29/280425/4</v>
      </c>
      <c r="C3849" s="42" t="str">
        <f>IFERROR(__xludf.DUMMYFUNCTION("""COMPUTED_VALUE"""),"M.2368/SUMBER AGUNG")</f>
        <v>M.2368/SUMBER AGUNG</v>
      </c>
      <c r="D3849" s="42"/>
      <c r="E3849" s="42"/>
      <c r="F3849" s="48" t="str">
        <f>IFERROR(__xludf.DUMMYFUNCTION("""COMPUTED_VALUE"""),"")</f>
        <v/>
      </c>
      <c r="G3849" s="42" t="str">
        <f>IFERROR(__xludf.DUMMYFUNCTION("""COMPUTED_VALUE"""),"JUAL BELI")</f>
        <v>JUAL BELI</v>
      </c>
      <c r="H3849" s="42">
        <f t="shared" si="1"/>
        <v>1694</v>
      </c>
    </row>
    <row r="3850" ht="22.5" customHeight="1">
      <c r="B3850" s="42" t="str">
        <f>IFERROR(__xludf.DUMMYFUNCTION("""COMPUTED_VALUE"""),"K/26/280425/1")</f>
        <v>K/26/280425/1</v>
      </c>
      <c r="C3850" s="42" t="str">
        <f>IFERROR(__xludf.DUMMYFUNCTION("""COMPUTED_VALUE"""),"M. 1415/TANJUNG RAYA")</f>
        <v>M. 1415/TANJUNG RAYA</v>
      </c>
      <c r="D3850" s="42" t="str">
        <f>IFERROR(__xludf.DUMMYFUNCTION("""COMPUTED_VALUE"""),"Berry")</f>
        <v>Berry</v>
      </c>
      <c r="E3850" s="42" t="str">
        <f>IFERROR(__xludf.DUMMYFUNCTION("""COMPUTED_VALUE"""),"DISERAHKAN")</f>
        <v>DISERAHKAN</v>
      </c>
      <c r="F3850" s="48">
        <f>IFERROR(__xludf.DUMMYFUNCTION("""COMPUTED_VALUE"""),45841.51646009259)</f>
        <v>45841.51646</v>
      </c>
      <c r="G3850" s="42" t="str">
        <f>IFERROR(__xludf.DUMMYFUNCTION("""COMPUTED_VALUE"""),"BN JUAL BELI")</f>
        <v>BN JUAL BELI</v>
      </c>
      <c r="H3850" s="42">
        <f t="shared" si="1"/>
        <v>1695</v>
      </c>
    </row>
    <row r="3851" ht="22.5" customHeight="1">
      <c r="B3851" s="42" t="str">
        <f>IFERROR(__xludf.DUMMYFUNCTION("""COMPUTED_VALUE"""),"K/30/280425/5")</f>
        <v>K/30/280425/5</v>
      </c>
      <c r="C3851" s="42" t="str">
        <f>IFERROR(__xludf.DUMMYFUNCTION("""COMPUTED_VALUE"""),"M.2369/SUMBER AGUNG")</f>
        <v>M.2369/SUMBER AGUNG</v>
      </c>
      <c r="D3851" s="42" t="str">
        <f>IFERROR(__xludf.DUMMYFUNCTION("""COMPUTED_VALUE"""),"Berry")</f>
        <v>Berry</v>
      </c>
      <c r="E3851" s="42" t="str">
        <f>IFERROR(__xludf.DUMMYFUNCTION("""COMPUTED_VALUE"""),"DISERAHKAN")</f>
        <v>DISERAHKAN</v>
      </c>
      <c r="F3851" s="48">
        <f>IFERROR(__xludf.DUMMYFUNCTION("""COMPUTED_VALUE"""),45805.68288744213)</f>
        <v>45805.68289</v>
      </c>
      <c r="G3851" s="42" t="str">
        <f>IFERROR(__xludf.DUMMYFUNCTION("""COMPUTED_VALUE"""),"JUAL BELI")</f>
        <v>JUAL BELI</v>
      </c>
      <c r="H3851" s="42">
        <f t="shared" si="1"/>
        <v>1696</v>
      </c>
    </row>
    <row r="3852" ht="22.5" customHeight="1">
      <c r="B3852" s="42" t="str">
        <f>IFERROR(__xludf.DUMMYFUNCTION("""COMPUTED_VALUE"""),"K/27/280425/2")</f>
        <v>K/27/280425/2</v>
      </c>
      <c r="C3852" s="42" t="str">
        <f>IFERROR(__xludf.DUMMYFUNCTION("""COMPUTED_VALUE"""),"M. 2161/WAY HALIM PERMAI")</f>
        <v>M. 2161/WAY HALIM PERMAI</v>
      </c>
      <c r="D3852" s="42"/>
      <c r="E3852" s="42"/>
      <c r="F3852" s="48" t="str">
        <f>IFERROR(__xludf.DUMMYFUNCTION("""COMPUTED_VALUE"""),"")</f>
        <v/>
      </c>
      <c r="G3852" s="42" t="str">
        <f>IFERROR(__xludf.DUMMYFUNCTION("""COMPUTED_VALUE"""),"BN HIBAH")</f>
        <v>BN HIBAH</v>
      </c>
      <c r="H3852" s="42">
        <f t="shared" si="1"/>
        <v>1696</v>
      </c>
    </row>
    <row r="3853" ht="22.5" customHeight="1">
      <c r="B3853" s="42" t="str">
        <f>IFERROR(__xludf.DUMMYFUNCTION("""COMPUTED_VALUE"""),"K/31/280425/1")</f>
        <v>K/31/280425/1</v>
      </c>
      <c r="C3853" s="42" t="str">
        <f>IFERROR(__xludf.DUMMYFUNCTION("""COMPUTED_VALUE"""),"M. 548/KEDAUNG")</f>
        <v>M. 548/KEDAUNG</v>
      </c>
      <c r="D3853" s="42"/>
      <c r="E3853" s="42"/>
      <c r="F3853" s="48" t="str">
        <f>IFERROR(__xludf.DUMMYFUNCTION("""COMPUTED_VALUE"""),"")</f>
        <v/>
      </c>
      <c r="G3853" s="42" t="str">
        <f>IFERROR(__xludf.DUMMYFUNCTION("""COMPUTED_VALUE"""),"PTPGT")</f>
        <v>PTPGT</v>
      </c>
      <c r="H3853" s="42">
        <f t="shared" si="1"/>
        <v>1696</v>
      </c>
    </row>
    <row r="3854" ht="22.5" customHeight="1">
      <c r="B3854" s="42" t="str">
        <f>IFERROR(__xludf.DUMMYFUNCTION("""COMPUTED_VALUE"""),"K/32/280425/2")</f>
        <v>K/32/280425/2</v>
      </c>
      <c r="C3854" s="42" t="str">
        <f>IFERROR(__xludf.DUMMYFUNCTION("""COMPUTED_VALUE"""),"M. 547/KEDAUNG")</f>
        <v>M. 547/KEDAUNG</v>
      </c>
      <c r="D3854" s="42"/>
      <c r="E3854" s="42"/>
      <c r="F3854" s="48" t="str">
        <f>IFERROR(__xludf.DUMMYFUNCTION("""COMPUTED_VALUE"""),"")</f>
        <v/>
      </c>
      <c r="G3854" s="42" t="str">
        <f>IFERROR(__xludf.DUMMYFUNCTION("""COMPUTED_VALUE"""),"PTPGT")</f>
        <v>PTPGT</v>
      </c>
      <c r="H3854" s="42">
        <f t="shared" si="1"/>
        <v>1696</v>
      </c>
    </row>
    <row r="3855" ht="22.5" customHeight="1">
      <c r="B3855" s="42" t="str">
        <f>IFERROR(__xludf.DUMMYFUNCTION("""COMPUTED_VALUE"""),"L/21/280425/1")</f>
        <v>L/21/280425/1</v>
      </c>
      <c r="C3855" s="42" t="str">
        <f>IFERROR(__xludf.DUMMYFUNCTION("""COMPUTED_VALUE"""),"B.1672/CAMPANG RAYA")</f>
        <v>B.1672/CAMPANG RAYA</v>
      </c>
      <c r="D3855" s="42"/>
      <c r="E3855" s="42"/>
      <c r="F3855" s="48" t="str">
        <f>IFERROR(__xludf.DUMMYFUNCTION("""COMPUTED_VALUE"""),"")</f>
        <v/>
      </c>
      <c r="G3855" s="42" t="str">
        <f>IFERROR(__xludf.DUMMYFUNCTION("""COMPUTED_VALUE"""),"GANTI DESA")</f>
        <v>GANTI DESA</v>
      </c>
      <c r="H3855" s="42">
        <f t="shared" si="1"/>
        <v>1696</v>
      </c>
    </row>
    <row r="3856" ht="22.5" customHeight="1">
      <c r="B3856" s="42" t="str">
        <f>IFERROR(__xludf.DUMMYFUNCTION("""COMPUTED_VALUE"""),"K/1/290425/1")</f>
        <v>K/1/290425/1</v>
      </c>
      <c r="C3856" s="42" t="str">
        <f>IFERROR(__xludf.DUMMYFUNCTION("""COMPUTED_VALUE"""),"M. 488/ Rajabasa Pemuka")</f>
        <v>M. 488/ Rajabasa Pemuka</v>
      </c>
      <c r="D3856" s="42" t="str">
        <f>IFERROR(__xludf.DUMMYFUNCTION("""COMPUTED_VALUE"""),"David")</f>
        <v>David</v>
      </c>
      <c r="E3856" s="42" t="str">
        <f>IFERROR(__xludf.DUMMYFUNCTION("""COMPUTED_VALUE"""),"DISERAHKAN")</f>
        <v>DISERAHKAN</v>
      </c>
      <c r="F3856" s="48">
        <f>IFERROR(__xludf.DUMMYFUNCTION("""COMPUTED_VALUE"""),45793.39912122685)</f>
        <v>45793.39912</v>
      </c>
      <c r="G3856" s="42" t="str">
        <f>IFERROR(__xludf.DUMMYFUNCTION("""COMPUTED_VALUE"""),"BN Jual Beli")</f>
        <v>BN Jual Beli</v>
      </c>
      <c r="H3856" s="42">
        <f t="shared" si="1"/>
        <v>1697</v>
      </c>
    </row>
    <row r="3857" ht="22.5" customHeight="1">
      <c r="B3857" s="42" t="str">
        <f>IFERROR(__xludf.DUMMYFUNCTION("""COMPUTED_VALUE"""),"K/2/290425/1")</f>
        <v>K/2/290425/1</v>
      </c>
      <c r="C3857" s="42" t="str">
        <f>IFERROR(__xludf.DUMMYFUNCTION("""COMPUTED_VALUE"""),"Nibel 2534/ Pinang Jaya")</f>
        <v>Nibel 2534/ Pinang Jaya</v>
      </c>
      <c r="D3857" s="42"/>
      <c r="E3857" s="42"/>
      <c r="F3857" s="48" t="str">
        <f>IFERROR(__xludf.DUMMYFUNCTION("""COMPUTED_VALUE"""),"")</f>
        <v/>
      </c>
      <c r="G3857" s="42" t="str">
        <f>IFERROR(__xludf.DUMMYFUNCTION("""COMPUTED_VALUE"""),"BN HIBAH")</f>
        <v>BN HIBAH</v>
      </c>
      <c r="H3857" s="42">
        <f t="shared" si="1"/>
        <v>1697</v>
      </c>
    </row>
    <row r="3858" ht="22.5" customHeight="1">
      <c r="B3858" s="42" t="str">
        <f>IFERROR(__xludf.DUMMYFUNCTION("""COMPUTED_VALUE"""),"K/3/290425/2")</f>
        <v>K/3/290425/2</v>
      </c>
      <c r="C3858" s="42" t="str">
        <f>IFERROR(__xludf.DUMMYFUNCTION("""COMPUTED_VALUE"""),"Nibel 16546/ Sukarame")</f>
        <v>Nibel 16546/ Sukarame</v>
      </c>
      <c r="D3858" s="42"/>
      <c r="E3858" s="42"/>
      <c r="F3858" s="48" t="str">
        <f>IFERROR(__xludf.DUMMYFUNCTION("""COMPUTED_VALUE"""),"")</f>
        <v/>
      </c>
      <c r="G3858" s="42" t="str">
        <f>IFERROR(__xludf.DUMMYFUNCTION("""COMPUTED_VALUE"""),"BN JUAL BELI")</f>
        <v>BN JUAL BELI</v>
      </c>
      <c r="H3858" s="42">
        <f t="shared" si="1"/>
        <v>1697</v>
      </c>
    </row>
    <row r="3859" ht="22.5" customHeight="1">
      <c r="B3859" s="42" t="str">
        <f>IFERROR(__xludf.DUMMYFUNCTION("""COMPUTED_VALUE"""),"K/4/290425/1")</f>
        <v>K/4/290425/1</v>
      </c>
      <c r="C3859" s="42" t="str">
        <f>IFERROR(__xludf.DUMMYFUNCTION("""COMPUTED_VALUE"""),"NIB 2475/SUKAJAWA")</f>
        <v>NIB 2475/SUKAJAWA</v>
      </c>
      <c r="D3859" s="42"/>
      <c r="E3859" s="42"/>
      <c r="F3859" s="48" t="str">
        <f>IFERROR(__xludf.DUMMYFUNCTION("""COMPUTED_VALUE"""),"")</f>
        <v/>
      </c>
      <c r="G3859" s="42" t="str">
        <f>IFERROR(__xludf.DUMMYFUNCTION("""COMPUTED_VALUE"""),"BN JUAL-BELI")</f>
        <v>BN JUAL-BELI</v>
      </c>
      <c r="H3859" s="42">
        <f t="shared" si="1"/>
        <v>1697</v>
      </c>
    </row>
    <row r="3860" ht="22.5" customHeight="1">
      <c r="B3860" s="42" t="str">
        <f>IFERROR(__xludf.DUMMYFUNCTION("""COMPUTED_VALUE"""),"K/5/290425/1")</f>
        <v>K/5/290425/1</v>
      </c>
      <c r="C3860" s="42" t="str">
        <f>IFERROR(__xludf.DUMMYFUNCTION("""COMPUTED_VALUE"""),"M. 862/ Kali Balau Kencana")</f>
        <v>M. 862/ Kali Balau Kencana</v>
      </c>
      <c r="D3860" s="42" t="str">
        <f>IFERROR(__xludf.DUMMYFUNCTION("""COMPUTED_VALUE"""),"David")</f>
        <v>David</v>
      </c>
      <c r="E3860" s="42" t="str">
        <f>IFERROR(__xludf.DUMMYFUNCTION("""COMPUTED_VALUE"""),"DISERAHKAN")</f>
        <v>DISERAHKAN</v>
      </c>
      <c r="F3860" s="48">
        <f>IFERROR(__xludf.DUMMYFUNCTION("""COMPUTED_VALUE"""),45946.64042674769)</f>
        <v>45946.64043</v>
      </c>
      <c r="G3860" s="42" t="str">
        <f>IFERROR(__xludf.DUMMYFUNCTION("""COMPUTED_VALUE"""),"ROYA")</f>
        <v>ROYA</v>
      </c>
      <c r="H3860" s="42">
        <f t="shared" si="1"/>
        <v>1698</v>
      </c>
    </row>
    <row r="3861" ht="22.5" customHeight="1">
      <c r="B3861" s="42" t="str">
        <f>IFERROR(__xludf.DUMMYFUNCTION("""COMPUTED_VALUE"""),"L/8/290425/1")</f>
        <v>L/8/290425/1</v>
      </c>
      <c r="C3861" s="42" t="str">
        <f>IFERROR(__xludf.DUMMYFUNCTION("""COMPUTED_VALUE"""),"HMM 11377/SUKABUMI")</f>
        <v>HMM 11377/SUKABUMI</v>
      </c>
      <c r="D3861" s="42" t="str">
        <f>IFERROR(__xludf.DUMMYFUNCTION("""COMPUTED_VALUE"""),"David")</f>
        <v>David</v>
      </c>
      <c r="E3861" s="42" t="str">
        <f>IFERROR(__xludf.DUMMYFUNCTION("""COMPUTED_VALUE"""),"DISERAHKAN")</f>
        <v>DISERAHKAN</v>
      </c>
      <c r="F3861" s="48">
        <f>IFERROR(__xludf.DUMMYFUNCTION("""COMPUTED_VALUE"""),45803.47894450232)</f>
        <v>45803.47894</v>
      </c>
      <c r="G3861" s="42" t="str">
        <f>IFERROR(__xludf.DUMMYFUNCTION("""COMPUTED_VALUE"""),"ROYA")</f>
        <v>ROYA</v>
      </c>
      <c r="H3861" s="42">
        <f t="shared" si="1"/>
        <v>1699</v>
      </c>
    </row>
    <row r="3862" ht="22.5" customHeight="1">
      <c r="B3862" s="42" t="str">
        <f>IFERROR(__xludf.DUMMYFUNCTION("""COMPUTED_VALUE"""),"K/6/290425/1")</f>
        <v>K/6/290425/1</v>
      </c>
      <c r="C3862" s="42" t="str">
        <f>IFERROR(__xludf.DUMMYFUNCTION("""COMPUTED_VALUE"""),"Nibel 19023/ Way Laga")</f>
        <v>Nibel 19023/ Way Laga</v>
      </c>
      <c r="D3862" s="42"/>
      <c r="E3862" s="42"/>
      <c r="F3862" s="48" t="str">
        <f>IFERROR(__xludf.DUMMYFUNCTION("""COMPUTED_VALUE"""),"")</f>
        <v/>
      </c>
      <c r="G3862" s="42" t="str">
        <f>IFERROR(__xludf.DUMMYFUNCTION("""COMPUTED_VALUE"""),"BN JUAL BELI")</f>
        <v>BN JUAL BELI</v>
      </c>
      <c r="H3862" s="42">
        <f t="shared" si="1"/>
        <v>1699</v>
      </c>
    </row>
    <row r="3863" ht="22.5" customHeight="1">
      <c r="B3863" s="42" t="str">
        <f>IFERROR(__xludf.DUMMYFUNCTION("""COMPUTED_VALUE"""),"K/7/290425/2")</f>
        <v>K/7/290425/2</v>
      </c>
      <c r="C3863" s="42" t="str">
        <f>IFERROR(__xludf.DUMMYFUNCTION("""COMPUTED_VALUE"""),"Nibel 19262/ Kali Balau Kencana")</f>
        <v>Nibel 19262/ Kali Balau Kencana</v>
      </c>
      <c r="D3863" s="42"/>
      <c r="E3863" s="42"/>
      <c r="F3863" s="48" t="str">
        <f>IFERROR(__xludf.DUMMYFUNCTION("""COMPUTED_VALUE"""),"")</f>
        <v/>
      </c>
      <c r="G3863" s="42" t="str">
        <f>IFERROR(__xludf.DUMMYFUNCTION("""COMPUTED_VALUE"""),"BN LELANG")</f>
        <v>BN LELANG</v>
      </c>
      <c r="H3863" s="42">
        <f t="shared" si="1"/>
        <v>1699</v>
      </c>
    </row>
    <row r="3864" ht="22.5" customHeight="1">
      <c r="B3864" s="42" t="str">
        <f>IFERROR(__xludf.DUMMYFUNCTION("""COMPUTED_VALUE"""),"K/9/290425/1")</f>
        <v>K/9/290425/1</v>
      </c>
      <c r="C3864" s="42" t="str">
        <f>IFERROR(__xludf.DUMMYFUNCTION("""COMPUTED_VALUE"""),"M. 758/ Perumanas Way Kandis")</f>
        <v>M. 758/ Perumanas Way Kandis</v>
      </c>
      <c r="D3864" s="42" t="str">
        <f>IFERROR(__xludf.DUMMYFUNCTION("""COMPUTED_VALUE"""),"David")</f>
        <v>David</v>
      </c>
      <c r="E3864" s="42" t="str">
        <f>IFERROR(__xludf.DUMMYFUNCTION("""COMPUTED_VALUE"""),"DISERAHKAN")</f>
        <v>DISERAHKAN</v>
      </c>
      <c r="F3864" s="48">
        <f>IFERROR(__xludf.DUMMYFUNCTION("""COMPUTED_VALUE"""),45819.37576037037)</f>
        <v>45819.37576</v>
      </c>
      <c r="G3864" s="42" t="str">
        <f>IFERROR(__xludf.DUMMYFUNCTION("""COMPUTED_VALUE"""),"Roya")</f>
        <v>Roya</v>
      </c>
      <c r="H3864" s="42">
        <f t="shared" si="1"/>
        <v>1700</v>
      </c>
    </row>
    <row r="3865" ht="22.5" customHeight="1">
      <c r="B3865" s="42" t="str">
        <f>IFERROR(__xludf.DUMMYFUNCTION("""COMPUTED_VALUE"""),"K/33/280425/1")</f>
        <v>K/33/280425/1</v>
      </c>
      <c r="C3865" s="42" t="str">
        <f>IFERROR(__xludf.DUMMYFUNCTION("""COMPUTED_VALUE"""),"PENGAJARAN")</f>
        <v>PENGAJARAN</v>
      </c>
      <c r="D3865" s="42"/>
      <c r="E3865" s="42"/>
      <c r="F3865" s="48" t="str">
        <f>IFERROR(__xludf.DUMMYFUNCTION("""COMPUTED_VALUE"""),"")</f>
        <v/>
      </c>
      <c r="G3865" s="42" t="str">
        <f>IFERROR(__xludf.DUMMYFUNCTION("""COMPUTED_VALUE"""),"PENGUKURAN PERTAMA KALI")</f>
        <v>PENGUKURAN PERTAMA KALI</v>
      </c>
      <c r="H3865" s="42">
        <f t="shared" si="1"/>
        <v>1700</v>
      </c>
    </row>
    <row r="3866" ht="22.5" customHeight="1">
      <c r="B3866" s="42" t="str">
        <f>IFERROR(__xludf.DUMMYFUNCTION("""COMPUTED_VALUE"""),"K/12/290425/1")</f>
        <v>K/12/290425/1</v>
      </c>
      <c r="C3866" s="42" t="str">
        <f>IFERROR(__xludf.DUMMYFUNCTION("""COMPUTED_VALUE"""),"Nibel 202425/ Tanjung senang")</f>
        <v>Nibel 202425/ Tanjung senang</v>
      </c>
      <c r="D3866" s="42"/>
      <c r="E3866" s="42"/>
      <c r="F3866" s="48" t="str">
        <f>IFERROR(__xludf.DUMMYFUNCTION("""COMPUTED_VALUE"""),"")</f>
        <v/>
      </c>
      <c r="G3866" s="42" t="str">
        <f>IFERROR(__xludf.DUMMYFUNCTION("""COMPUTED_VALUE"""),"BN JUAL BELI")</f>
        <v>BN JUAL BELI</v>
      </c>
      <c r="H3866" s="42">
        <f t="shared" si="1"/>
        <v>1700</v>
      </c>
    </row>
    <row r="3867" ht="22.5" customHeight="1">
      <c r="B3867" s="42" t="str">
        <f>IFERROR(__xludf.DUMMYFUNCTION("""COMPUTED_VALUE"""),"K/10/290425/1")</f>
        <v>K/10/290425/1</v>
      </c>
      <c r="C3867" s="42" t="str">
        <f>IFERROR(__xludf.DUMMYFUNCTION("""COMPUTED_VALUE"""),"NIB M. 17362/LABUHAN DALAM")</f>
        <v>NIB M. 17362/LABUHAN DALAM</v>
      </c>
      <c r="D3867" s="42"/>
      <c r="E3867" s="42"/>
      <c r="F3867" s="48" t="str">
        <f>IFERROR(__xludf.DUMMYFUNCTION("""COMPUTED_VALUE"""),"")</f>
        <v/>
      </c>
      <c r="G3867" s="42" t="str">
        <f>IFERROR(__xludf.DUMMYFUNCTION("""COMPUTED_VALUE"""),"BN JUAL BELI")</f>
        <v>BN JUAL BELI</v>
      </c>
      <c r="H3867" s="42">
        <f t="shared" si="1"/>
        <v>1700</v>
      </c>
    </row>
    <row r="3868" ht="22.5" customHeight="1">
      <c r="B3868" s="42" t="str">
        <f>IFERROR(__xludf.DUMMYFUNCTION("""COMPUTED_VALUE"""),"K/14/290425/1")</f>
        <v>K/14/290425/1</v>
      </c>
      <c r="C3868" s="42" t="str">
        <f>IFERROR(__xludf.DUMMYFUNCTION("""COMPUTED_VALUE"""),"M. 15009/ Sukabumi")</f>
        <v>M. 15009/ Sukabumi</v>
      </c>
      <c r="D3868" s="42" t="str">
        <f>IFERROR(__xludf.DUMMYFUNCTION("""COMPUTED_VALUE"""),"David")</f>
        <v>David</v>
      </c>
      <c r="E3868" s="42" t="str">
        <f>IFERROR(__xludf.DUMMYFUNCTION("""COMPUTED_VALUE"""),"DISERAHKAN")</f>
        <v>DISERAHKAN</v>
      </c>
      <c r="F3868" s="48">
        <f>IFERROR(__xludf.DUMMYFUNCTION("""COMPUTED_VALUE"""),45793.397648750004)</f>
        <v>45793.39765</v>
      </c>
      <c r="G3868" s="42" t="str">
        <f>IFERROR(__xludf.DUMMYFUNCTION("""COMPUTED_VALUE"""),"BN Jual Beli")</f>
        <v>BN Jual Beli</v>
      </c>
      <c r="H3868" s="42">
        <f t="shared" si="1"/>
        <v>1701</v>
      </c>
    </row>
    <row r="3869" ht="22.5" customHeight="1">
      <c r="B3869" s="42" t="str">
        <f>IFERROR(__xludf.DUMMYFUNCTION("""COMPUTED_VALUE"""),"K/15/290425/2")</f>
        <v>K/15/290425/2</v>
      </c>
      <c r="C3869" s="42" t="str">
        <f>IFERROR(__xludf.DUMMYFUNCTION("""COMPUTED_VALUE"""),"Nibel. M. 18299/ Sawah Lama")</f>
        <v>Nibel. M. 18299/ Sawah Lama</v>
      </c>
      <c r="D3869" s="42"/>
      <c r="E3869" s="42"/>
      <c r="F3869" s="48" t="str">
        <f>IFERROR(__xludf.DUMMYFUNCTION("""COMPUTED_VALUE"""),"")</f>
        <v/>
      </c>
      <c r="G3869" s="42" t="str">
        <f>IFERROR(__xludf.DUMMYFUNCTION("""COMPUTED_VALUE"""),"BN Jual Beli")</f>
        <v>BN Jual Beli</v>
      </c>
      <c r="H3869" s="42">
        <f t="shared" si="1"/>
        <v>1701</v>
      </c>
    </row>
    <row r="3870" ht="22.5" customHeight="1">
      <c r="B3870" s="42" t="str">
        <f>IFERROR(__xludf.DUMMYFUNCTION("""COMPUTED_VALUE"""),"K/16/290425/1")</f>
        <v>K/16/290425/1</v>
      </c>
      <c r="C3870" s="42" t="str">
        <f>IFERROR(__xludf.DUMMYFUNCTION("""COMPUTED_VALUE"""),"M. 10055/ Sukabumi Indah")</f>
        <v>M. 10055/ Sukabumi Indah</v>
      </c>
      <c r="D3870" s="42" t="str">
        <f>IFERROR(__xludf.DUMMYFUNCTION("""COMPUTED_VALUE"""),"David")</f>
        <v>David</v>
      </c>
      <c r="E3870" s="42" t="str">
        <f>IFERROR(__xludf.DUMMYFUNCTION("""COMPUTED_VALUE"""),"DISERAHKAN")</f>
        <v>DISERAHKAN</v>
      </c>
      <c r="F3870" s="48">
        <f>IFERROR(__xludf.DUMMYFUNCTION("""COMPUTED_VALUE"""),45793.419028275464)</f>
        <v>45793.41903</v>
      </c>
      <c r="G3870" s="42" t="str">
        <f>IFERROR(__xludf.DUMMYFUNCTION("""COMPUTED_VALUE"""),"BN Jual Beli")</f>
        <v>BN Jual Beli</v>
      </c>
      <c r="H3870" s="42">
        <f t="shared" si="1"/>
        <v>1702</v>
      </c>
    </row>
    <row r="3871" ht="22.5" customHeight="1">
      <c r="B3871" s="42" t="str">
        <f>IFERROR(__xludf.DUMMYFUNCTION("""COMPUTED_VALUE"""),"K/11/290425/2")</f>
        <v>K/11/290425/2</v>
      </c>
      <c r="C3871" s="42" t="str">
        <f>IFERROR(__xludf.DUMMYFUNCTION("""COMPUTED_VALUE"""),"NIBEL M. 17366/SUKABUMI")</f>
        <v>NIBEL M. 17366/SUKABUMI</v>
      </c>
      <c r="D3871" s="42"/>
      <c r="E3871" s="42"/>
      <c r="F3871" s="48" t="str">
        <f>IFERROR(__xludf.DUMMYFUNCTION("""COMPUTED_VALUE"""),"")</f>
        <v/>
      </c>
      <c r="G3871" s="42" t="str">
        <f>IFERROR(__xludf.DUMMYFUNCTION("""COMPUTED_VALUE"""),"BN JUAL BELI")</f>
        <v>BN JUAL BELI</v>
      </c>
      <c r="H3871" s="42">
        <f t="shared" si="1"/>
        <v>1702</v>
      </c>
    </row>
    <row r="3872" ht="22.5" customHeight="1">
      <c r="B3872" s="42" t="str">
        <f>IFERROR(__xludf.DUMMYFUNCTION("""COMPUTED_VALUE"""),"K/13/290425/1")</f>
        <v>K/13/290425/1</v>
      </c>
      <c r="C3872" s="42" t="str">
        <f>IFERROR(__xludf.DUMMYFUNCTION("""COMPUTED_VALUE"""),"M. 2256, 2254/ kupang teba")</f>
        <v>M. 2256, 2254/ kupang teba</v>
      </c>
      <c r="D3872" s="42" t="str">
        <f>IFERROR(__xludf.DUMMYFUNCTION("""COMPUTED_VALUE"""),"Berry")</f>
        <v>Berry</v>
      </c>
      <c r="E3872" s="42" t="str">
        <f>IFERROR(__xludf.DUMMYFUNCTION("""COMPUTED_VALUE"""),"DISERAHKAN")</f>
        <v>DISERAHKAN</v>
      </c>
      <c r="F3872" s="48">
        <f>IFERROR(__xludf.DUMMYFUNCTION("""COMPUTED_VALUE"""),45799.52971861111)</f>
        <v>45799.52972</v>
      </c>
      <c r="G3872" s="42" t="str">
        <f>IFERROR(__xludf.DUMMYFUNCTION("""COMPUTED_VALUE"""),"ROYA")</f>
        <v>ROYA</v>
      </c>
      <c r="H3872" s="42">
        <f t="shared" si="1"/>
        <v>1703</v>
      </c>
    </row>
    <row r="3873" ht="22.5" customHeight="1">
      <c r="B3873" s="42" t="str">
        <f>IFERROR(__xludf.DUMMYFUNCTION("""COMPUTED_VALUE"""),"K/17/290425/1")</f>
        <v>K/17/290425/1</v>
      </c>
      <c r="C3873" s="42" t="str">
        <f>IFERROR(__xludf.DUMMYFUNCTION("""COMPUTED_VALUE"""),"M. 16681/ Sukabumi")</f>
        <v>M. 16681/ Sukabumi</v>
      </c>
      <c r="D3873" s="42"/>
      <c r="E3873" s="42"/>
      <c r="F3873" s="48" t="str">
        <f>IFERROR(__xludf.DUMMYFUNCTION("""COMPUTED_VALUE"""),"")</f>
        <v/>
      </c>
      <c r="G3873" s="42" t="str">
        <f>IFERROR(__xludf.DUMMYFUNCTION("""COMPUTED_VALUE"""),"BN JUAL BELI")</f>
        <v>BN JUAL BELI</v>
      </c>
      <c r="H3873" s="42">
        <f t="shared" si="1"/>
        <v>1703</v>
      </c>
    </row>
    <row r="3874" ht="22.5" customHeight="1">
      <c r="B3874" s="42" t="str">
        <f>IFERROR(__xludf.DUMMYFUNCTION("""COMPUTED_VALUE"""),"K/18/290425/1")</f>
        <v>K/18/290425/1</v>
      </c>
      <c r="C3874" s="42" t="str">
        <f>IFERROR(__xludf.DUMMYFUNCTION("""COMPUTED_VALUE"""),"M. 16498/ Sukabumi")</f>
        <v>M. 16498/ Sukabumi</v>
      </c>
      <c r="D3874" s="42" t="str">
        <f>IFERROR(__xludf.DUMMYFUNCTION("""COMPUTED_VALUE"""),"Berry")</f>
        <v>Berry</v>
      </c>
      <c r="E3874" s="42" t="str">
        <f>IFERROR(__xludf.DUMMYFUNCTION("""COMPUTED_VALUE"""),"DISERAHKAN")</f>
        <v>DISERAHKAN</v>
      </c>
      <c r="F3874" s="48">
        <f>IFERROR(__xludf.DUMMYFUNCTION("""COMPUTED_VALUE"""),45796.47030483796)</f>
        <v>45796.4703</v>
      </c>
      <c r="G3874" s="42" t="str">
        <f>IFERROR(__xludf.DUMMYFUNCTION("""COMPUTED_VALUE"""),"BN JUAL BELI")</f>
        <v>BN JUAL BELI</v>
      </c>
      <c r="H3874" s="42">
        <f t="shared" si="1"/>
        <v>1704</v>
      </c>
    </row>
    <row r="3875" ht="22.5" customHeight="1">
      <c r="B3875" s="42" t="str">
        <f>IFERROR(__xludf.DUMMYFUNCTION("""COMPUTED_VALUE"""),"L/19/290425/1")</f>
        <v>L/19/290425/1</v>
      </c>
      <c r="C3875" s="42" t="str">
        <f>IFERROR(__xludf.DUMMYFUNCTION("""COMPUTED_VALUE"""),"HM 542/SUKARAME BARU")</f>
        <v>HM 542/SUKARAME BARU</v>
      </c>
      <c r="D3875" s="42" t="str">
        <f>IFERROR(__xludf.DUMMYFUNCTION("""COMPUTED_VALUE"""),"David")</f>
        <v>David</v>
      </c>
      <c r="E3875" s="42" t="str">
        <f>IFERROR(__xludf.DUMMYFUNCTION("""COMPUTED_VALUE"""),"DISERAHKAN")</f>
        <v>DISERAHKAN</v>
      </c>
      <c r="F3875" s="48">
        <f>IFERROR(__xludf.DUMMYFUNCTION("""COMPUTED_VALUE"""),45803.4808047338)</f>
        <v>45803.4808</v>
      </c>
      <c r="G3875" s="42" t="str">
        <f>IFERROR(__xludf.DUMMYFUNCTION("""COMPUTED_VALUE"""),"ROYA")</f>
        <v>ROYA</v>
      </c>
      <c r="H3875" s="42">
        <f t="shared" si="1"/>
        <v>1705</v>
      </c>
    </row>
    <row r="3876" ht="22.5" customHeight="1">
      <c r="B3876" s="42" t="str">
        <f>IFERROR(__xludf.DUMMYFUNCTION("""COMPUTED_VALUE"""),"L/20/290425/1")</f>
        <v>L/20/290425/1</v>
      </c>
      <c r="C3876" s="42" t="str">
        <f>IFERROR(__xludf.DUMMYFUNCTION("""COMPUTED_VALUE"""),"HM 13151/TANJUNG BARU")</f>
        <v>HM 13151/TANJUNG BARU</v>
      </c>
      <c r="D3876" s="42" t="str">
        <f>IFERROR(__xludf.DUMMYFUNCTION("""COMPUTED_VALUE"""),"David")</f>
        <v>David</v>
      </c>
      <c r="E3876" s="42" t="str">
        <f>IFERROR(__xludf.DUMMYFUNCTION("""COMPUTED_VALUE"""),"DISERAHKAN")</f>
        <v>DISERAHKAN</v>
      </c>
      <c r="F3876" s="48">
        <f>IFERROR(__xludf.DUMMYFUNCTION("""COMPUTED_VALUE"""),45819.363279004625)</f>
        <v>45819.36328</v>
      </c>
      <c r="G3876" s="42" t="str">
        <f>IFERROR(__xludf.DUMMYFUNCTION("""COMPUTED_VALUE"""),"BUDI HARYANTO")</f>
        <v>BUDI HARYANTO</v>
      </c>
      <c r="H3876" s="42">
        <f t="shared" si="1"/>
        <v>1706</v>
      </c>
    </row>
    <row r="3877" ht="22.5" customHeight="1">
      <c r="B3877" s="42" t="str">
        <f>IFERROR(__xludf.DUMMYFUNCTION("""COMPUTED_VALUE"""),"K/22/290425/1")</f>
        <v>K/22/290425/1</v>
      </c>
      <c r="C3877" s="42" t="str">
        <f>IFERROR(__xludf.DUMMYFUNCTION("""COMPUTED_VALUE"""),"M. 6685/ Tanjung Senang")</f>
        <v>M. 6685/ Tanjung Senang</v>
      </c>
      <c r="D3877" s="42" t="str">
        <f>IFERROR(__xludf.DUMMYFUNCTION("""COMPUTED_VALUE"""),"David")</f>
        <v>David</v>
      </c>
      <c r="E3877" s="42" t="str">
        <f>IFERROR(__xludf.DUMMYFUNCTION("""COMPUTED_VALUE"""),"DISERAHKAN")</f>
        <v>DISERAHKAN</v>
      </c>
      <c r="F3877" s="48">
        <f>IFERROR(__xludf.DUMMYFUNCTION("""COMPUTED_VALUE"""),45793.4194249537)</f>
        <v>45793.41942</v>
      </c>
      <c r="G3877" s="42" t="str">
        <f>IFERROR(__xludf.DUMMYFUNCTION("""COMPUTED_VALUE"""),"BN Jual Beli")</f>
        <v>BN Jual Beli</v>
      </c>
      <c r="H3877" s="42">
        <f t="shared" si="1"/>
        <v>1707</v>
      </c>
    </row>
    <row r="3878" ht="22.5" customHeight="1">
      <c r="B3878" s="42" t="str">
        <f>IFERROR(__xludf.DUMMYFUNCTION("""COMPUTED_VALUE"""),"K/23/290425/2")</f>
        <v>K/23/290425/2</v>
      </c>
      <c r="C3878" s="42" t="str">
        <f>IFERROR(__xludf.DUMMYFUNCTION("""COMPUTED_VALUE"""),"Nibel. M. 6083/ Gunung Sulah")</f>
        <v>Nibel. M. 6083/ Gunung Sulah</v>
      </c>
      <c r="D3878" s="42"/>
      <c r="E3878" s="42"/>
      <c r="F3878" s="48" t="str">
        <f>IFERROR(__xludf.DUMMYFUNCTION("""COMPUTED_VALUE"""),"")</f>
        <v/>
      </c>
      <c r="G3878" s="42" t="str">
        <f>IFERROR(__xludf.DUMMYFUNCTION("""COMPUTED_VALUE"""),"BN Jual Beli")</f>
        <v>BN Jual Beli</v>
      </c>
      <c r="H3878" s="42">
        <f t="shared" si="1"/>
        <v>1707</v>
      </c>
    </row>
    <row r="3879" ht="22.5" customHeight="1">
      <c r="B3879" s="42" t="str">
        <f>IFERROR(__xludf.DUMMYFUNCTION("""COMPUTED_VALUE"""),"K/24/290425/1")</f>
        <v>K/24/290425/1</v>
      </c>
      <c r="C3879" s="42" t="str">
        <f>IFERROR(__xludf.DUMMYFUNCTION("""COMPUTED_VALUE"""),"M. 2885/ Gunung Terang")</f>
        <v>M. 2885/ Gunung Terang</v>
      </c>
      <c r="D3879" s="42"/>
      <c r="E3879" s="42" t="str">
        <f>IFERROR(__xludf.DUMMYFUNCTION("""COMPUTED_VALUE"""),"DISERAHKAN")</f>
        <v>DISERAHKAN</v>
      </c>
      <c r="F3879" s="48">
        <f>IFERROR(__xludf.DUMMYFUNCTION("""COMPUTED_VALUE"""),45796.52347996528)</f>
        <v>45796.52348</v>
      </c>
      <c r="G3879" s="42" t="str">
        <f>IFERROR(__xludf.DUMMYFUNCTION("""COMPUTED_VALUE"""),"BN Jual Beli")</f>
        <v>BN Jual Beli</v>
      </c>
      <c r="H3879" s="42">
        <f t="shared" si="1"/>
        <v>1708</v>
      </c>
    </row>
    <row r="3880" ht="22.5" customHeight="1">
      <c r="B3880" s="42" t="str">
        <f>IFERROR(__xludf.DUMMYFUNCTION("""COMPUTED_VALUE"""),"K/25/290425/1")</f>
        <v>K/25/290425/1</v>
      </c>
      <c r="C3880" s="42" t="str">
        <f>IFERROR(__xludf.DUMMYFUNCTION("""COMPUTED_VALUE"""),"M.2642/PINANG JAYA")</f>
        <v>M.2642/PINANG JAYA</v>
      </c>
      <c r="D3880" s="42" t="str">
        <f>IFERROR(__xludf.DUMMYFUNCTION("""COMPUTED_VALUE"""),"Berry")</f>
        <v>Berry</v>
      </c>
      <c r="E3880" s="42" t="str">
        <f>IFERROR(__xludf.DUMMYFUNCTION("""COMPUTED_VALUE"""),"DISERAHKAN")</f>
        <v>DISERAHKAN</v>
      </c>
      <c r="F3880" s="48">
        <f>IFERROR(__xludf.DUMMYFUNCTION("""COMPUTED_VALUE"""),45791.65708390046)</f>
        <v>45791.65708</v>
      </c>
      <c r="G3880" s="42" t="str">
        <f>IFERROR(__xludf.DUMMYFUNCTION("""COMPUTED_VALUE"""),"JUAL BELI")</f>
        <v>JUAL BELI</v>
      </c>
      <c r="H3880" s="42">
        <f t="shared" si="1"/>
        <v>1709</v>
      </c>
    </row>
    <row r="3881" ht="22.5" customHeight="1">
      <c r="B3881" s="42" t="str">
        <f>IFERROR(__xludf.DUMMYFUNCTION("""COMPUTED_VALUE"""),"K/26/290425/2")</f>
        <v>K/26/290425/2</v>
      </c>
      <c r="C3881" s="42" t="str">
        <f>IFERROR(__xludf.DUMMYFUNCTION("""COMPUTED_VALUE"""),"NIBEL M.3289/RAJABASA PEMUKA")</f>
        <v>NIBEL M.3289/RAJABASA PEMUKA</v>
      </c>
      <c r="D3881" s="42"/>
      <c r="E3881" s="42"/>
      <c r="F3881" s="48" t="str">
        <f>IFERROR(__xludf.DUMMYFUNCTION("""COMPUTED_VALUE"""),"")</f>
        <v/>
      </c>
      <c r="G3881" s="42" t="str">
        <f>IFERROR(__xludf.DUMMYFUNCTION("""COMPUTED_VALUE"""),"JUAL BELI")</f>
        <v>JUAL BELI</v>
      </c>
      <c r="H3881" s="42">
        <f t="shared" si="1"/>
        <v>1709</v>
      </c>
    </row>
    <row r="3882" ht="22.5" customHeight="1">
      <c r="B3882" s="42" t="str">
        <f>IFERROR(__xludf.DUMMYFUNCTION("""COMPUTED_VALUE"""),"K/21/290425/3")</f>
        <v>K/21/290425/3</v>
      </c>
      <c r="C3882" s="42" t="str">
        <f>IFERROR(__xludf.DUMMYFUNCTION("""COMPUTED_VALUE"""),"M. 15122/SUKABUMI")</f>
        <v>M. 15122/SUKABUMI</v>
      </c>
      <c r="D3882" s="42"/>
      <c r="E3882" s="42"/>
      <c r="F3882" s="48" t="str">
        <f>IFERROR(__xludf.DUMMYFUNCTION("""COMPUTED_VALUE"""),"")</f>
        <v/>
      </c>
      <c r="G3882" s="42" t="str">
        <f>IFERROR(__xludf.DUMMYFUNCTION("""COMPUTED_VALUE"""),"PEMECAHAN")</f>
        <v>PEMECAHAN</v>
      </c>
      <c r="H3882" s="42">
        <f t="shared" si="1"/>
        <v>1709</v>
      </c>
    </row>
    <row r="3883" ht="22.5" customHeight="1">
      <c r="B3883" s="42" t="str">
        <f>IFERROR(__xludf.DUMMYFUNCTION("""COMPUTED_VALUE"""),"K/28/290425/1")</f>
        <v>K/28/290425/1</v>
      </c>
      <c r="C3883" s="42" t="str">
        <f>IFERROR(__xludf.DUMMYFUNCTION("""COMPUTED_VALUE"""),"Nibel. M. 2313/ Tanjung Senang")</f>
        <v>Nibel. M. 2313/ Tanjung Senang</v>
      </c>
      <c r="D3883" s="42"/>
      <c r="E3883" s="42"/>
      <c r="F3883" s="48" t="str">
        <f>IFERROR(__xludf.DUMMYFUNCTION("""COMPUTED_VALUE"""),"")</f>
        <v/>
      </c>
      <c r="G3883" s="42" t="str">
        <f>IFERROR(__xludf.DUMMYFUNCTION("""COMPUTED_VALUE"""),"BN Jual Beli")</f>
        <v>BN Jual Beli</v>
      </c>
      <c r="H3883" s="42">
        <f t="shared" si="1"/>
        <v>1709</v>
      </c>
    </row>
    <row r="3884" ht="22.5" customHeight="1">
      <c r="B3884" s="42" t="str">
        <f>IFERROR(__xludf.DUMMYFUNCTION("""COMPUTED_VALUE"""),"K/29/290425/1")</f>
        <v>K/29/290425/1</v>
      </c>
      <c r="C3884" s="42" t="str">
        <f>IFERROR(__xludf.DUMMYFUNCTION("""COMPUTED_VALUE"""),"M. 2608/ Durian Payung")</f>
        <v>M. 2608/ Durian Payung</v>
      </c>
      <c r="D3884" s="42"/>
      <c r="E3884" s="42"/>
      <c r="F3884" s="48" t="str">
        <f>IFERROR(__xludf.DUMMYFUNCTION("""COMPUTED_VALUE"""),"")</f>
        <v/>
      </c>
      <c r="G3884" s="42" t="str">
        <f>IFERROR(__xludf.DUMMYFUNCTION("""COMPUTED_VALUE"""),"HAPUS BPHTB")</f>
        <v>HAPUS BPHTB</v>
      </c>
      <c r="H3884" s="42">
        <f t="shared" si="1"/>
        <v>1709</v>
      </c>
    </row>
    <row r="3885" ht="22.5" customHeight="1">
      <c r="B3885" s="42" t="str">
        <f>IFERROR(__xludf.DUMMYFUNCTION("""COMPUTED_VALUE"""),"K/30/290425/2")</f>
        <v>K/30/290425/2</v>
      </c>
      <c r="C3885" s="42" t="str">
        <f>IFERROR(__xludf.DUMMYFUNCTION("""COMPUTED_VALUE"""),"M. 76/ Gunung Terang")</f>
        <v>M. 76/ Gunung Terang</v>
      </c>
      <c r="D3885" s="42" t="str">
        <f>IFERROR(__xludf.DUMMYFUNCTION("""COMPUTED_VALUE"""),"Berry")</f>
        <v>Berry</v>
      </c>
      <c r="E3885" s="42" t="str">
        <f>IFERROR(__xludf.DUMMYFUNCTION("""COMPUTED_VALUE"""),"DISERAHKAN")</f>
        <v>DISERAHKAN</v>
      </c>
      <c r="F3885" s="48">
        <f>IFERROR(__xludf.DUMMYFUNCTION("""COMPUTED_VALUE"""),45796.472513217595)</f>
        <v>45796.47251</v>
      </c>
      <c r="G3885" s="42" t="str">
        <f>IFERROR(__xludf.DUMMYFUNCTION("""COMPUTED_VALUE"""),"BN WARIS")</f>
        <v>BN WARIS</v>
      </c>
      <c r="H3885" s="42">
        <f t="shared" si="1"/>
        <v>1710</v>
      </c>
    </row>
    <row r="3886" ht="22.5" customHeight="1">
      <c r="B3886" s="42" t="str">
        <f>IFERROR(__xludf.DUMMYFUNCTION("""COMPUTED_VALUE"""),"K/31/290425/3")</f>
        <v>K/31/290425/3</v>
      </c>
      <c r="C3886" s="42" t="str">
        <f>IFERROR(__xludf.DUMMYFUNCTION("""COMPUTED_VALUE"""),"Nibel 1496/ sukarame")</f>
        <v>Nibel 1496/ sukarame</v>
      </c>
      <c r="D3886" s="42"/>
      <c r="E3886" s="42"/>
      <c r="F3886" s="48" t="str">
        <f>IFERROR(__xludf.DUMMYFUNCTION("""COMPUTED_VALUE"""),"")</f>
        <v/>
      </c>
      <c r="G3886" s="42" t="str">
        <f>IFERROR(__xludf.DUMMYFUNCTION("""COMPUTED_VALUE"""),"BN JUAL BELI")</f>
        <v>BN JUAL BELI</v>
      </c>
      <c r="H3886" s="42">
        <f t="shared" si="1"/>
        <v>1710</v>
      </c>
    </row>
    <row r="3887" ht="22.5" customHeight="1">
      <c r="B3887" s="42" t="str">
        <f>IFERROR(__xludf.DUMMYFUNCTION("""COMPUTED_VALUE"""),"K/27/290425/1")</f>
        <v>K/27/290425/1</v>
      </c>
      <c r="C3887" s="42" t="str">
        <f>IFERROR(__xludf.DUMMYFUNCTION("""COMPUTED_VALUE"""),"B.229/GUNUNG TERANG")</f>
        <v>B.229/GUNUNG TERANG</v>
      </c>
      <c r="D3887" s="42" t="str">
        <f>IFERROR(__xludf.DUMMYFUNCTION("""COMPUTED_VALUE"""),"Berry")</f>
        <v>Berry</v>
      </c>
      <c r="E3887" s="42" t="str">
        <f>IFERROR(__xludf.DUMMYFUNCTION("""COMPUTED_VALUE"""),"DISERAHKAN")</f>
        <v>DISERAHKAN</v>
      </c>
      <c r="F3887" s="48">
        <f>IFERROR(__xludf.DUMMYFUNCTION("""COMPUTED_VALUE"""),45799.70777302083)</f>
        <v>45799.70777</v>
      </c>
      <c r="G3887" s="42" t="str">
        <f>IFERROR(__xludf.DUMMYFUNCTION("""COMPUTED_VALUE"""),"BN JUAL BELI")</f>
        <v>BN JUAL BELI</v>
      </c>
      <c r="H3887" s="42">
        <f t="shared" si="1"/>
        <v>1711</v>
      </c>
    </row>
    <row r="3888" ht="22.5" customHeight="1">
      <c r="B3888" s="42" t="str">
        <f>IFERROR(__xludf.DUMMYFUNCTION("""COMPUTED_VALUE"""),"K/32/290425/1")</f>
        <v>K/32/290425/1</v>
      </c>
      <c r="C3888" s="42" t="str">
        <f>IFERROR(__xludf.DUMMYFUNCTION("""COMPUTED_VALUE"""),"NIBEL B. 2260/SURABAYA")</f>
        <v>NIBEL B. 2260/SURABAYA</v>
      </c>
      <c r="D3888" s="42"/>
      <c r="E3888" s="42"/>
      <c r="F3888" s="48" t="str">
        <f>IFERROR(__xludf.DUMMYFUNCTION("""COMPUTED_VALUE"""),"")</f>
        <v/>
      </c>
      <c r="G3888" s="42" t="str">
        <f>IFERROR(__xludf.DUMMYFUNCTION("""COMPUTED_VALUE"""),"BN JUAL BELI")</f>
        <v>BN JUAL BELI</v>
      </c>
      <c r="H3888" s="42">
        <f t="shared" si="1"/>
        <v>1711</v>
      </c>
    </row>
    <row r="3889" ht="22.5" customHeight="1">
      <c r="B3889" s="42" t="str">
        <f>IFERROR(__xludf.DUMMYFUNCTION("""COMPUTED_VALUE"""),"K/33/290425/1")</f>
        <v>K/33/290425/1</v>
      </c>
      <c r="C3889" s="42" t="str">
        <f>IFERROR(__xludf.DUMMYFUNCTION("""COMPUTED_VALUE"""),"M. 343/ Kangkung")</f>
        <v>M. 343/ Kangkung</v>
      </c>
      <c r="D3889" s="42"/>
      <c r="E3889" s="42"/>
      <c r="F3889" s="48" t="str">
        <f>IFERROR(__xludf.DUMMYFUNCTION("""COMPUTED_VALUE"""),"")</f>
        <v/>
      </c>
      <c r="G3889" s="42" t="str">
        <f>IFERROR(__xludf.DUMMYFUNCTION("""COMPUTED_VALUE"""),"BN WARIS")</f>
        <v>BN WARIS</v>
      </c>
      <c r="H3889" s="42">
        <f t="shared" si="1"/>
        <v>1711</v>
      </c>
    </row>
    <row r="3890" ht="22.5" customHeight="1">
      <c r="B3890" s="42" t="str">
        <f>IFERROR(__xludf.DUMMYFUNCTION("""COMPUTED_VALUE"""),"L/37/290425/1")</f>
        <v>L/37/290425/1</v>
      </c>
      <c r="C3890" s="42" t="str">
        <f>IFERROR(__xludf.DUMMYFUNCTION("""COMPUTED_VALUE"""),"NIB 19468/GUNUNG TERANG")</f>
        <v>NIB 19468/GUNUNG TERANG</v>
      </c>
      <c r="D3890" s="42"/>
      <c r="E3890" s="42"/>
      <c r="F3890" s="48" t="str">
        <f>IFERROR(__xludf.DUMMYFUNCTION("""COMPUTED_VALUE"""),"")</f>
        <v/>
      </c>
      <c r="G3890" s="42" t="str">
        <f>IFERROR(__xludf.DUMMYFUNCTION("""COMPUTED_VALUE"""),"ROYA")</f>
        <v>ROYA</v>
      </c>
      <c r="H3890" s="42">
        <f t="shared" si="1"/>
        <v>1711</v>
      </c>
    </row>
    <row r="3891" ht="22.5" customHeight="1">
      <c r="B3891" s="42" t="str">
        <f>IFERROR(__xludf.DUMMYFUNCTION("""COMPUTED_VALUE"""),"K/34/290425/2")</f>
        <v>K/34/290425/2</v>
      </c>
      <c r="C3891" s="42" t="str">
        <f>IFERROR(__xludf.DUMMYFUNCTION("""COMPUTED_VALUE"""),"M. 10063/ Kedamaian")</f>
        <v>M. 10063/ Kedamaian</v>
      </c>
      <c r="D3891" s="42" t="str">
        <f>IFERROR(__xludf.DUMMYFUNCTION("""COMPUTED_VALUE"""),"Berry")</f>
        <v>Berry</v>
      </c>
      <c r="E3891" s="42" t="str">
        <f>IFERROR(__xludf.DUMMYFUNCTION("""COMPUTED_VALUE"""),"DISERAHKAN")</f>
        <v>DISERAHKAN</v>
      </c>
      <c r="F3891" s="48">
        <f>IFERROR(__xludf.DUMMYFUNCTION("""COMPUTED_VALUE"""),45796.468622858796)</f>
        <v>45796.46862</v>
      </c>
      <c r="G3891" s="42" t="str">
        <f>IFERROR(__xludf.DUMMYFUNCTION("""COMPUTED_VALUE"""),"BN JUAL BELI")</f>
        <v>BN JUAL BELI</v>
      </c>
      <c r="H3891" s="42">
        <f t="shared" si="1"/>
        <v>1712</v>
      </c>
    </row>
    <row r="3892" ht="22.5" customHeight="1">
      <c r="B3892" s="42" t="str">
        <f>IFERROR(__xludf.DUMMYFUNCTION("""COMPUTED_VALUE"""),"K/38/290425/2")</f>
        <v>K/38/290425/2</v>
      </c>
      <c r="C3892" s="42" t="str">
        <f>IFERROR(__xludf.DUMMYFUNCTION("""COMPUTED_VALUE"""),"B. 204/KOTA BARU")</f>
        <v>B. 204/KOTA BARU</v>
      </c>
      <c r="D3892" s="42" t="str">
        <f>IFERROR(__xludf.DUMMYFUNCTION("""COMPUTED_VALUE"""),"Berry")</f>
        <v>Berry</v>
      </c>
      <c r="E3892" s="42" t="str">
        <f>IFERROR(__xludf.DUMMYFUNCTION("""COMPUTED_VALUE"""),"DISERAHKAN")</f>
        <v>DISERAHKAN</v>
      </c>
      <c r="F3892" s="48">
        <f>IFERROR(__xludf.DUMMYFUNCTION("""COMPUTED_VALUE"""),45869.49968113426)</f>
        <v>45869.49968</v>
      </c>
      <c r="G3892" s="42" t="str">
        <f>IFERROR(__xludf.DUMMYFUNCTION("""COMPUTED_VALUE"""),"BN JUAL BELI")</f>
        <v>BN JUAL BELI</v>
      </c>
      <c r="H3892" s="42">
        <f t="shared" si="1"/>
        <v>1713</v>
      </c>
    </row>
    <row r="3893" ht="22.5" customHeight="1">
      <c r="B3893" s="42" t="str">
        <f>IFERROR(__xludf.DUMMYFUNCTION("""COMPUTED_VALUE"""),"K/35/290425/1")</f>
        <v>K/35/290425/1</v>
      </c>
      <c r="C3893" s="42" t="str">
        <f>IFERROR(__xludf.DUMMYFUNCTION("""COMPUTED_VALUE"""),"NIbel 18475/ Sepang Jaya")</f>
        <v>NIbel 18475/ Sepang Jaya</v>
      </c>
      <c r="D3893" s="42"/>
      <c r="E3893" s="42"/>
      <c r="F3893" s="48" t="str">
        <f>IFERROR(__xludf.DUMMYFUNCTION("""COMPUTED_VALUE"""),"")</f>
        <v/>
      </c>
      <c r="G3893" s="42" t="str">
        <f>IFERROR(__xludf.DUMMYFUNCTION("""COMPUTED_VALUE"""),"BN JUAL BELI")</f>
        <v>BN JUAL BELI</v>
      </c>
      <c r="H3893" s="42">
        <f t="shared" si="1"/>
        <v>1713</v>
      </c>
    </row>
    <row r="3894" ht="22.5" customHeight="1">
      <c r="B3894" s="42" t="str">
        <f>IFERROR(__xludf.DUMMYFUNCTION("""COMPUTED_VALUE"""),"K/36/290425/2")</f>
        <v>K/36/290425/2</v>
      </c>
      <c r="C3894" s="42" t="str">
        <f>IFERROR(__xludf.DUMMYFUNCTION("""COMPUTED_VALUE"""),"M. 1086/ Susunan Baru")</f>
        <v>M. 1086/ Susunan Baru</v>
      </c>
      <c r="D3894" s="42"/>
      <c r="E3894" s="42"/>
      <c r="F3894" s="48" t="str">
        <f>IFERROR(__xludf.DUMMYFUNCTION("""COMPUTED_VALUE"""),"")</f>
        <v/>
      </c>
      <c r="G3894" s="42" t="str">
        <f>IFERROR(__xludf.DUMMYFUNCTION("""COMPUTED_VALUE"""),"BN JUAL BELI")</f>
        <v>BN JUAL BELI</v>
      </c>
      <c r="H3894" s="42">
        <f t="shared" si="1"/>
        <v>1713</v>
      </c>
    </row>
    <row r="3895" ht="22.5" customHeight="1">
      <c r="B3895" s="42" t="str">
        <f>IFERROR(__xludf.DUMMYFUNCTION("""COMPUTED_VALUE"""),"K/40/290425/1")</f>
        <v>K/40/290425/1</v>
      </c>
      <c r="C3895" s="42" t="str">
        <f>IFERROR(__xludf.DUMMYFUNCTION("""COMPUTED_VALUE"""),"M. 322/ Sukabumi Indah")</f>
        <v>M. 322/ Sukabumi Indah</v>
      </c>
      <c r="D3895" s="42" t="str">
        <f>IFERROR(__xludf.DUMMYFUNCTION("""COMPUTED_VALUE"""),"Berry")</f>
        <v>Berry</v>
      </c>
      <c r="E3895" s="42" t="str">
        <f>IFERROR(__xludf.DUMMYFUNCTION("""COMPUTED_VALUE"""),"DISERAHKAN")</f>
        <v>DISERAHKAN</v>
      </c>
      <c r="F3895" s="48">
        <f>IFERROR(__xludf.DUMMYFUNCTION("""COMPUTED_VALUE"""),45799.529315300926)</f>
        <v>45799.52932</v>
      </c>
      <c r="G3895" s="42" t="str">
        <f>IFERROR(__xludf.DUMMYFUNCTION("""COMPUTED_VALUE"""),"Roya")</f>
        <v>Roya</v>
      </c>
      <c r="H3895" s="42">
        <f t="shared" si="1"/>
        <v>1714</v>
      </c>
    </row>
    <row r="3896" ht="22.5" customHeight="1">
      <c r="B3896" s="42" t="str">
        <f>IFERROR(__xludf.DUMMYFUNCTION("""COMPUTED_VALUE"""),"K/38/290425/3")</f>
        <v>K/38/290425/3</v>
      </c>
      <c r="C3896" s="42" t="str">
        <f>IFERROR(__xludf.DUMMYFUNCTION("""COMPUTED_VALUE"""),"M.752/SUMBEREJO SEJAHTERA")</f>
        <v>M.752/SUMBEREJO SEJAHTERA</v>
      </c>
      <c r="D3896" s="42" t="str">
        <f>IFERROR(__xludf.DUMMYFUNCTION("""COMPUTED_VALUE"""),"Berry")</f>
        <v>Berry</v>
      </c>
      <c r="E3896" s="42" t="str">
        <f>IFERROR(__xludf.DUMMYFUNCTION("""COMPUTED_VALUE"""),"DISERAHKAN")</f>
        <v>DISERAHKAN</v>
      </c>
      <c r="F3896" s="48">
        <f>IFERROR(__xludf.DUMMYFUNCTION("""COMPUTED_VALUE"""),45798.67476422453)</f>
        <v>45798.67476</v>
      </c>
      <c r="G3896" s="42" t="str">
        <f>IFERROR(__xludf.DUMMYFUNCTION("""COMPUTED_VALUE"""),"JUAL BELI")</f>
        <v>JUAL BELI</v>
      </c>
      <c r="H3896" s="42">
        <f t="shared" si="1"/>
        <v>1715</v>
      </c>
    </row>
    <row r="3897" ht="22.5" customHeight="1">
      <c r="B3897" s="42" t="str">
        <f>IFERROR(__xludf.DUMMYFUNCTION("""COMPUTED_VALUE"""),"K/38/290425/1")</f>
        <v>K/38/290425/1</v>
      </c>
      <c r="C3897" s="42" t="str">
        <f>IFERROR(__xludf.DUMMYFUNCTION("""COMPUTED_VALUE"""),"NIBEL B.17208/NUSANTARA PERMAI")</f>
        <v>NIBEL B.17208/NUSANTARA PERMAI</v>
      </c>
      <c r="D3897" s="42"/>
      <c r="E3897" s="42"/>
      <c r="F3897" s="48" t="str">
        <f>IFERROR(__xludf.DUMMYFUNCTION("""COMPUTED_VALUE"""),"")</f>
        <v/>
      </c>
      <c r="G3897" s="42" t="str">
        <f>IFERROR(__xludf.DUMMYFUNCTION("""COMPUTED_VALUE"""),"PERUBAHAN HAK")</f>
        <v>PERUBAHAN HAK</v>
      </c>
      <c r="H3897" s="42">
        <f t="shared" si="1"/>
        <v>1715</v>
      </c>
    </row>
    <row r="3898" ht="22.5" customHeight="1">
      <c r="B3898" s="42" t="str">
        <f>IFERROR(__xludf.DUMMYFUNCTION("""COMPUTED_VALUE"""),"K/42/290425/2")</f>
        <v>K/42/290425/2</v>
      </c>
      <c r="C3898" s="42" t="str">
        <f>IFERROR(__xludf.DUMMYFUNCTION("""COMPUTED_VALUE"""),"M.140/KORPRI RAYA")</f>
        <v>M.140/KORPRI RAYA</v>
      </c>
      <c r="D3898" s="42" t="str">
        <f>IFERROR(__xludf.DUMMYFUNCTION("""COMPUTED_VALUE"""),"Berry")</f>
        <v>Berry</v>
      </c>
      <c r="E3898" s="42" t="str">
        <f>IFERROR(__xludf.DUMMYFUNCTION("""COMPUTED_VALUE"""),"DISERAHKAN")</f>
        <v>DISERAHKAN</v>
      </c>
      <c r="F3898" s="48">
        <f>IFERROR(__xludf.DUMMYFUNCTION("""COMPUTED_VALUE"""),45791.65547254629)</f>
        <v>45791.65547</v>
      </c>
      <c r="G3898" s="42" t="str">
        <f>IFERROR(__xludf.DUMMYFUNCTION("""COMPUTED_VALUE"""),"KEWARISAN")</f>
        <v>KEWARISAN</v>
      </c>
      <c r="H3898" s="42">
        <f t="shared" si="1"/>
        <v>1716</v>
      </c>
    </row>
    <row r="3899" ht="22.5" customHeight="1">
      <c r="B3899" s="42" t="str">
        <f>IFERROR(__xludf.DUMMYFUNCTION("""COMPUTED_VALUE"""),"K/41/290425/1")</f>
        <v>K/41/290425/1</v>
      </c>
      <c r="C3899" s="42" t="str">
        <f>IFERROR(__xludf.DUMMYFUNCTION("""COMPUTED_VALUE"""),"NIBEL B.17208/NUSANTARA PERMAI")</f>
        <v>NIBEL B.17208/NUSANTARA PERMAI</v>
      </c>
      <c r="D3899" s="42"/>
      <c r="E3899" s="42"/>
      <c r="F3899" s="48" t="str">
        <f>IFERROR(__xludf.DUMMYFUNCTION("""COMPUTED_VALUE"""),"")</f>
        <v/>
      </c>
      <c r="G3899" s="42" t="str">
        <f>IFERROR(__xludf.DUMMYFUNCTION("""COMPUTED_VALUE"""),"PERUBAHAN HAK")</f>
        <v>PERUBAHAN HAK</v>
      </c>
      <c r="H3899" s="42">
        <f t="shared" si="1"/>
        <v>1716</v>
      </c>
    </row>
    <row r="3900" ht="22.5" customHeight="1">
      <c r="B3900" s="42" t="str">
        <f>IFERROR(__xludf.DUMMYFUNCTION("""COMPUTED_VALUE"""),"K/44/290425/1")</f>
        <v>K/44/290425/1</v>
      </c>
      <c r="C3900" s="42" t="str">
        <f>IFERROR(__xludf.DUMMYFUNCTION("""COMPUTED_VALUE"""),"M. 16195/ Sukabumi")</f>
        <v>M. 16195/ Sukabumi</v>
      </c>
      <c r="D3900" s="42" t="str">
        <f>IFERROR(__xludf.DUMMYFUNCTION("""COMPUTED_VALUE"""),"David")</f>
        <v>David</v>
      </c>
      <c r="E3900" s="42" t="str">
        <f>IFERROR(__xludf.DUMMYFUNCTION("""COMPUTED_VALUE"""),"DISERAHKAN")</f>
        <v>DISERAHKAN</v>
      </c>
      <c r="F3900" s="48">
        <f>IFERROR(__xludf.DUMMYFUNCTION("""COMPUTED_VALUE"""),45793.403853842596)</f>
        <v>45793.40385</v>
      </c>
      <c r="G3900" s="42" t="str">
        <f>IFERROR(__xludf.DUMMYFUNCTION("""COMPUTED_VALUE"""),"BN Jual Beli")</f>
        <v>BN Jual Beli</v>
      </c>
      <c r="H3900" s="42">
        <f t="shared" si="1"/>
        <v>1717</v>
      </c>
    </row>
    <row r="3901" ht="22.5" customHeight="1">
      <c r="B3901" s="42" t="str">
        <f>IFERROR(__xludf.DUMMYFUNCTION("""COMPUTED_VALUE"""),"K/45/290425/2")</f>
        <v>K/45/290425/2</v>
      </c>
      <c r="C3901" s="42" t="str">
        <f>IFERROR(__xludf.DUMMYFUNCTION("""COMPUTED_VALUE"""),"M. 1146/ Rajabasa Raya")</f>
        <v>M. 1146/ Rajabasa Raya</v>
      </c>
      <c r="D3901" s="42" t="str">
        <f>IFERROR(__xludf.DUMMYFUNCTION("""COMPUTED_VALUE"""),"Berry")</f>
        <v>Berry</v>
      </c>
      <c r="E3901" s="42" t="str">
        <f>IFERROR(__xludf.DUMMYFUNCTION("""COMPUTED_VALUE"""),"DISERAHKAN")</f>
        <v>DISERAHKAN</v>
      </c>
      <c r="F3901" s="48">
        <f>IFERROR(__xludf.DUMMYFUNCTION("""COMPUTED_VALUE"""),45796.47384460648)</f>
        <v>45796.47384</v>
      </c>
      <c r="G3901" s="42" t="str">
        <f>IFERROR(__xludf.DUMMYFUNCTION("""COMPUTED_VALUE"""),"BN Jual Beli")</f>
        <v>BN Jual Beli</v>
      </c>
      <c r="H3901" s="42">
        <f t="shared" si="1"/>
        <v>1718</v>
      </c>
    </row>
    <row r="3902" ht="22.5" customHeight="1">
      <c r="B3902" s="42" t="str">
        <f>IFERROR(__xludf.DUMMYFUNCTION("""COMPUTED_VALUE"""),"K/46/290425/3")</f>
        <v>K/46/290425/3</v>
      </c>
      <c r="C3902" s="42" t="str">
        <f>IFERROR(__xludf.DUMMYFUNCTION("""COMPUTED_VALUE"""),"M. 16199/ Sukabumi")</f>
        <v>M. 16199/ Sukabumi</v>
      </c>
      <c r="D3902" s="42" t="str">
        <f>IFERROR(__xludf.DUMMYFUNCTION("""COMPUTED_VALUE"""),"David")</f>
        <v>David</v>
      </c>
      <c r="E3902" s="42" t="str">
        <f>IFERROR(__xludf.DUMMYFUNCTION("""COMPUTED_VALUE"""),"DISERAHKAN")</f>
        <v>DISERAHKAN</v>
      </c>
      <c r="F3902" s="48">
        <f>IFERROR(__xludf.DUMMYFUNCTION("""COMPUTED_VALUE"""),45793.39811915509)</f>
        <v>45793.39812</v>
      </c>
      <c r="G3902" s="42" t="str">
        <f>IFERROR(__xludf.DUMMYFUNCTION("""COMPUTED_VALUE"""),"BN Jual Beli")</f>
        <v>BN Jual Beli</v>
      </c>
      <c r="H3902" s="42">
        <f t="shared" si="1"/>
        <v>1719</v>
      </c>
    </row>
    <row r="3903" ht="22.5" customHeight="1">
      <c r="B3903" s="42" t="str">
        <f>IFERROR(__xludf.DUMMYFUNCTION("""COMPUTED_VALUE"""),"K/43/290425/1")</f>
        <v>K/43/290425/1</v>
      </c>
      <c r="C3903" s="42" t="str">
        <f>IFERROR(__xludf.DUMMYFUNCTION("""COMPUTED_VALUE"""),"M. 11912, 11914/ Tanjung Baru")</f>
        <v>M. 11912, 11914/ Tanjung Baru</v>
      </c>
      <c r="D3903" s="42"/>
      <c r="E3903" s="42"/>
      <c r="F3903" s="48" t="str">
        <f>IFERROR(__xludf.DUMMYFUNCTION("""COMPUTED_VALUE"""),"")</f>
        <v/>
      </c>
      <c r="G3903" s="42" t="str">
        <f>IFERROR(__xludf.DUMMYFUNCTION("""COMPUTED_VALUE"""),"ROYA")</f>
        <v>ROYA</v>
      </c>
      <c r="H3903" s="42">
        <f t="shared" si="1"/>
        <v>1719</v>
      </c>
    </row>
    <row r="3904" ht="22.5" customHeight="1">
      <c r="B3904" s="42" t="str">
        <f>IFERROR(__xludf.DUMMYFUNCTION("""COMPUTED_VALUE"""),"K/48/290425/1")</f>
        <v>K/48/290425/1</v>
      </c>
      <c r="C3904" s="42" t="str">
        <f>IFERROR(__xludf.DUMMYFUNCTION("""COMPUTED_VALUE"""),"M. 12673/ Tanjung Baru")</f>
        <v>M. 12673/ Tanjung Baru</v>
      </c>
      <c r="D3904" s="42"/>
      <c r="E3904" s="42"/>
      <c r="F3904" s="48" t="str">
        <f>IFERROR(__xludf.DUMMYFUNCTION("""COMPUTED_VALUE"""),"")</f>
        <v/>
      </c>
      <c r="G3904" s="42" t="str">
        <f>IFERROR(__xludf.DUMMYFUNCTION("""COMPUTED_VALUE"""),"ROYA")</f>
        <v>ROYA</v>
      </c>
      <c r="H3904" s="42">
        <f t="shared" si="1"/>
        <v>1719</v>
      </c>
    </row>
    <row r="3905" ht="22.5" customHeight="1">
      <c r="B3905" s="42" t="str">
        <f>IFERROR(__xludf.DUMMYFUNCTION("""COMPUTED_VALUE"""),"K/49/290425/1")</f>
        <v>K/49/290425/1</v>
      </c>
      <c r="C3905" s="42" t="str">
        <f>IFERROR(__xludf.DUMMYFUNCTION("""COMPUTED_VALUE"""),"Nibel 18933/ Sumberrjo sejahtera")</f>
        <v>Nibel 18933/ Sumberrjo sejahtera</v>
      </c>
      <c r="D3905" s="42"/>
      <c r="E3905" s="42"/>
      <c r="F3905" s="48" t="str">
        <f>IFERROR(__xludf.DUMMYFUNCTION("""COMPUTED_VALUE"""),"")</f>
        <v/>
      </c>
      <c r="G3905" s="42" t="str">
        <f>IFERROR(__xludf.DUMMYFUNCTION("""COMPUTED_VALUE"""),"BN PHB")</f>
        <v>BN PHB</v>
      </c>
      <c r="H3905" s="42">
        <f t="shared" si="1"/>
        <v>1719</v>
      </c>
    </row>
    <row r="3906" ht="22.5" customHeight="1">
      <c r="B3906" s="42" t="str">
        <f>IFERROR(__xludf.DUMMYFUNCTION("""COMPUTED_VALUE"""),"K/47/290425/1")</f>
        <v>K/47/290425/1</v>
      </c>
      <c r="C3906" s="42" t="str">
        <f>IFERROR(__xludf.DUMMYFUNCTION("""COMPUTED_VALUE"""),"M. 1805/RAJABASA RAYA")</f>
        <v>M. 1805/RAJABASA RAYA</v>
      </c>
      <c r="D3906" s="42"/>
      <c r="E3906" s="42"/>
      <c r="F3906" s="48" t="str">
        <f>IFERROR(__xludf.DUMMYFUNCTION("""COMPUTED_VALUE"""),"")</f>
        <v/>
      </c>
      <c r="G3906" s="42" t="str">
        <f>IFERROR(__xludf.DUMMYFUNCTION("""COMPUTED_VALUE"""),"PEMECAHAN")</f>
        <v>PEMECAHAN</v>
      </c>
      <c r="H3906" s="42">
        <f t="shared" si="1"/>
        <v>1719</v>
      </c>
    </row>
    <row r="3907" ht="22.5" customHeight="1">
      <c r="B3907" s="42" t="str">
        <f>IFERROR(__xludf.DUMMYFUNCTION("""COMPUTED_VALUE"""),"K/50/290425/1")</f>
        <v>K/50/290425/1</v>
      </c>
      <c r="C3907" s="42" t="str">
        <f>IFERROR(__xludf.DUMMYFUNCTION("""COMPUTED_VALUE"""),"NIBEL B. 414/KEMILING PERMAI")</f>
        <v>NIBEL B. 414/KEMILING PERMAI</v>
      </c>
      <c r="D3907" s="42"/>
      <c r="E3907" s="42"/>
      <c r="F3907" s="48" t="str">
        <f>IFERROR(__xludf.DUMMYFUNCTION("""COMPUTED_VALUE"""),"")</f>
        <v/>
      </c>
      <c r="G3907" s="42" t="str">
        <f>IFERROR(__xludf.DUMMYFUNCTION("""COMPUTED_VALUE"""),"BN JUAL BELI")</f>
        <v>BN JUAL BELI</v>
      </c>
      <c r="H3907" s="42">
        <f t="shared" si="1"/>
        <v>1719</v>
      </c>
    </row>
    <row r="3908" ht="22.5" customHeight="1">
      <c r="B3908" s="42" t="str">
        <f>IFERROR(__xludf.DUMMYFUNCTION("""COMPUTED_VALUE"""),"K/1/300425/1")</f>
        <v>K/1/300425/1</v>
      </c>
      <c r="C3908" s="42" t="str">
        <f>IFERROR(__xludf.DUMMYFUNCTION("""COMPUTED_VALUE"""),"M. 14604/ Sukabumi")</f>
        <v>M. 14604/ Sukabumi</v>
      </c>
      <c r="D3908" s="42"/>
      <c r="E3908" s="42"/>
      <c r="F3908" s="48" t="str">
        <f>IFERROR(__xludf.DUMMYFUNCTION("""COMPUTED_VALUE"""),"")</f>
        <v/>
      </c>
      <c r="G3908" s="42" t="str">
        <f>IFERROR(__xludf.DUMMYFUNCTION("""COMPUTED_VALUE"""),"BN JUAL BELI")</f>
        <v>BN JUAL BELI</v>
      </c>
      <c r="H3908" s="42">
        <f t="shared" si="1"/>
        <v>1719</v>
      </c>
    </row>
    <row r="3909" ht="22.5" customHeight="1">
      <c r="B3909" s="42" t="str">
        <f>IFERROR(__xludf.DUMMYFUNCTION("""COMPUTED_VALUE"""),"L/3/300425/1")</f>
        <v>L/3/300425/1</v>
      </c>
      <c r="C3909" s="42" t="str">
        <f>IFERROR(__xludf.DUMMYFUNCTION("""COMPUTED_VALUE"""),"HM 3165/SUKARAME BARU")</f>
        <v>HM 3165/SUKARAME BARU</v>
      </c>
      <c r="D3909" s="42"/>
      <c r="E3909" s="42"/>
      <c r="F3909" s="48" t="str">
        <f>IFERROR(__xludf.DUMMYFUNCTION("""COMPUTED_VALUE"""),"")</f>
        <v/>
      </c>
      <c r="G3909" s="42" t="str">
        <f>IFERROR(__xludf.DUMMYFUNCTION("""COMPUTED_VALUE"""),"PENATAAN BATAS")</f>
        <v>PENATAAN BATAS</v>
      </c>
      <c r="H3909" s="42">
        <f t="shared" si="1"/>
        <v>1719</v>
      </c>
    </row>
    <row r="3910" ht="22.5" customHeight="1">
      <c r="B3910" s="42" t="str">
        <f>IFERROR(__xludf.DUMMYFUNCTION("""COMPUTED_VALUE"""),"K/4/300425/1")</f>
        <v>K/4/300425/1</v>
      </c>
      <c r="C3910" s="42" t="str">
        <f>IFERROR(__xludf.DUMMYFUNCTION("""COMPUTED_VALUE"""),"B. 161/ Pinang Jaya")</f>
        <v>B. 161/ Pinang Jaya</v>
      </c>
      <c r="D3910" s="42" t="str">
        <f>IFERROR(__xludf.DUMMYFUNCTION("""COMPUTED_VALUE"""),"David")</f>
        <v>David</v>
      </c>
      <c r="E3910" s="42" t="str">
        <f>IFERROR(__xludf.DUMMYFUNCTION("""COMPUTED_VALUE"""),"DISERAHKAN")</f>
        <v>DISERAHKAN</v>
      </c>
      <c r="F3910" s="48">
        <f>IFERROR(__xludf.DUMMYFUNCTION("""COMPUTED_VALUE"""),45793.399683194446)</f>
        <v>45793.39968</v>
      </c>
      <c r="G3910" s="42" t="str">
        <f>IFERROR(__xludf.DUMMYFUNCTION("""COMPUTED_VALUE"""),"BN Jual Beli")</f>
        <v>BN Jual Beli</v>
      </c>
      <c r="H3910" s="42">
        <f t="shared" si="1"/>
        <v>1720</v>
      </c>
    </row>
    <row r="3911" ht="22.5" customHeight="1">
      <c r="B3911" s="42" t="str">
        <f>IFERROR(__xludf.DUMMYFUNCTION("""COMPUTED_VALUE"""),"K/5/300425/1")</f>
        <v>K/5/300425/1</v>
      </c>
      <c r="C3911" s="42" t="str">
        <f>IFERROR(__xludf.DUMMYFUNCTION("""COMPUTED_VALUE"""),"SK. 17/HM/2025 (Segala Mider)")</f>
        <v>SK. 17/HM/2025 (Segala Mider)</v>
      </c>
      <c r="D3911" s="42"/>
      <c r="E3911" s="42"/>
      <c r="F3911" s="48" t="str">
        <f>IFERROR(__xludf.DUMMYFUNCTION("""COMPUTED_VALUE"""),"")</f>
        <v/>
      </c>
      <c r="G3911" s="42" t="str">
        <f>IFERROR(__xludf.DUMMYFUNCTION("""COMPUTED_VALUE"""),"Pendaftaran SK")</f>
        <v>Pendaftaran SK</v>
      </c>
      <c r="H3911" s="42">
        <f t="shared" si="1"/>
        <v>1720</v>
      </c>
    </row>
    <row r="3912" ht="22.5" customHeight="1">
      <c r="B3912" s="42" t="str">
        <f>IFERROR(__xludf.DUMMYFUNCTION("""COMPUTED_VALUE"""),"K/7/300425/1")</f>
        <v>K/7/300425/1</v>
      </c>
      <c r="C3912" s="42" t="str">
        <f>IFERROR(__xludf.DUMMYFUNCTION("""COMPUTED_VALUE"""),"NIbel 5156/ Sepang Jaya")</f>
        <v>NIbel 5156/ Sepang Jaya</v>
      </c>
      <c r="D3912" s="42"/>
      <c r="E3912" s="42"/>
      <c r="F3912" s="48" t="str">
        <f>IFERROR(__xludf.DUMMYFUNCTION("""COMPUTED_VALUE"""),"")</f>
        <v/>
      </c>
      <c r="G3912" s="42" t="str">
        <f>IFERROR(__xludf.DUMMYFUNCTION("""COMPUTED_VALUE"""),"BN JUAL BELI")</f>
        <v>BN JUAL BELI</v>
      </c>
      <c r="H3912" s="42">
        <f t="shared" si="1"/>
        <v>1720</v>
      </c>
    </row>
    <row r="3913" ht="22.5" customHeight="1">
      <c r="B3913" s="42" t="str">
        <f>IFERROR(__xludf.DUMMYFUNCTION("""COMPUTED_VALUE"""),"L/10/300425/1")</f>
        <v>L/10/300425/1</v>
      </c>
      <c r="C3913" s="42" t="str">
        <f>IFERROR(__xludf.DUMMYFUNCTION("""COMPUTED_VALUE"""),"LANGKAPURA")</f>
        <v>LANGKAPURA</v>
      </c>
      <c r="D3913" s="42"/>
      <c r="E3913" s="42"/>
      <c r="F3913" s="48" t="str">
        <f>IFERROR(__xludf.DUMMYFUNCTION("""COMPUTED_VALUE"""),"")</f>
        <v/>
      </c>
      <c r="G3913" s="42" t="str">
        <f>IFERROR(__xludf.DUMMYFUNCTION("""COMPUTED_VALUE"""),"PERMOHONAN SK")</f>
        <v>PERMOHONAN SK</v>
      </c>
      <c r="H3913" s="42">
        <f t="shared" si="1"/>
        <v>1720</v>
      </c>
    </row>
    <row r="3914" ht="22.5" customHeight="1">
      <c r="B3914" s="42" t="str">
        <f>IFERROR(__xludf.DUMMYFUNCTION("""COMPUTED_VALUE"""),"K/8/300425/2")</f>
        <v>K/8/300425/2</v>
      </c>
      <c r="C3914" s="42" t="str">
        <f>IFERROR(__xludf.DUMMYFUNCTION("""COMPUTED_VALUE"""),"Nibel 19401/ Sepang Jaya")</f>
        <v>Nibel 19401/ Sepang Jaya</v>
      </c>
      <c r="D3914" s="42"/>
      <c r="E3914" s="42"/>
      <c r="F3914" s="48" t="str">
        <f>IFERROR(__xludf.DUMMYFUNCTION("""COMPUTED_VALUE"""),"")</f>
        <v/>
      </c>
      <c r="G3914" s="42" t="str">
        <f>IFERROR(__xludf.DUMMYFUNCTION("""COMPUTED_VALUE"""),"BN JUAL BELI")</f>
        <v>BN JUAL BELI</v>
      </c>
      <c r="H3914" s="42">
        <f t="shared" si="1"/>
        <v>1720</v>
      </c>
    </row>
    <row r="3915" ht="22.5" customHeight="1">
      <c r="B3915" s="42" t="str">
        <f>IFERROR(__xludf.DUMMYFUNCTION("""COMPUTED_VALUE"""),"K/6/300425/1")</f>
        <v>K/6/300425/1</v>
      </c>
      <c r="C3915" s="42" t="str">
        <f>IFERROR(__xludf.DUMMYFUNCTION("""COMPUTED_VALUE"""),"M.1890/PENGAJARAN")</f>
        <v>M.1890/PENGAJARAN</v>
      </c>
      <c r="D3915" s="42"/>
      <c r="E3915" s="42"/>
      <c r="F3915" s="48" t="str">
        <f>IFERROR(__xludf.DUMMYFUNCTION("""COMPUTED_VALUE"""),"")</f>
        <v/>
      </c>
      <c r="G3915" s="42" t="str">
        <f>IFERROR(__xludf.DUMMYFUNCTION("""COMPUTED_VALUE"""),"JUAL BELI")</f>
        <v>JUAL BELI</v>
      </c>
      <c r="H3915" s="42">
        <f t="shared" si="1"/>
        <v>1720</v>
      </c>
    </row>
    <row r="3916" ht="22.5" customHeight="1">
      <c r="B3916" s="42" t="str">
        <f>IFERROR(__xludf.DUMMYFUNCTION("""COMPUTED_VALUE"""),"K/9/300425/3")</f>
        <v>K/9/300425/3</v>
      </c>
      <c r="C3916" s="42" t="str">
        <f>IFERROR(__xludf.DUMMYFUNCTION("""COMPUTED_VALUE"""),"Nibel 5154/ Sepang Jaya")</f>
        <v>Nibel 5154/ Sepang Jaya</v>
      </c>
      <c r="D3916" s="42"/>
      <c r="E3916" s="42"/>
      <c r="F3916" s="48" t="str">
        <f>IFERROR(__xludf.DUMMYFUNCTION("""COMPUTED_VALUE"""),"")</f>
        <v/>
      </c>
      <c r="G3916" s="42" t="str">
        <f>IFERROR(__xludf.DUMMYFUNCTION("""COMPUTED_VALUE"""),"BN JUAL BELI")</f>
        <v>BN JUAL BELI</v>
      </c>
      <c r="H3916" s="42">
        <f t="shared" si="1"/>
        <v>1720</v>
      </c>
    </row>
    <row r="3917" ht="22.5" customHeight="1">
      <c r="B3917" s="42" t="str">
        <f>IFERROR(__xludf.DUMMYFUNCTION("""COMPUTED_VALUE"""),"K/11/300425/1")</f>
        <v>K/11/300425/1</v>
      </c>
      <c r="C3917" s="42" t="str">
        <f>IFERROR(__xludf.DUMMYFUNCTION("""COMPUTED_VALUE"""),"NIBEL B.19438/SUKARAME BARU")</f>
        <v>NIBEL B.19438/SUKARAME BARU</v>
      </c>
      <c r="D3917" s="42"/>
      <c r="E3917" s="42"/>
      <c r="F3917" s="48" t="str">
        <f>IFERROR(__xludf.DUMMYFUNCTION("""COMPUTED_VALUE"""),"")</f>
        <v/>
      </c>
      <c r="G3917" s="42" t="str">
        <f>IFERROR(__xludf.DUMMYFUNCTION("""COMPUTED_VALUE"""),"PENINGKATAN HAK")</f>
        <v>PENINGKATAN HAK</v>
      </c>
      <c r="H3917" s="42">
        <f t="shared" si="1"/>
        <v>1720</v>
      </c>
    </row>
    <row r="3918" ht="22.5" customHeight="1">
      <c r="B3918" s="42" t="str">
        <f>IFERROR(__xludf.DUMMYFUNCTION("""COMPUTED_VALUE"""),"K/12/300425/1")</f>
        <v>K/12/300425/1</v>
      </c>
      <c r="C3918" s="42" t="str">
        <f>IFERROR(__xludf.DUMMYFUNCTION("""COMPUTED_VALUE"""),"M. 10425/ Labuhan Ratu")</f>
        <v>M. 10425/ Labuhan Ratu</v>
      </c>
      <c r="D3918" s="42" t="str">
        <f>IFERROR(__xludf.DUMMYFUNCTION("""COMPUTED_VALUE"""),"David")</f>
        <v>David</v>
      </c>
      <c r="E3918" s="42" t="str">
        <f>IFERROR(__xludf.DUMMYFUNCTION("""COMPUTED_VALUE"""),"DISERAHKAN")</f>
        <v>DISERAHKAN</v>
      </c>
      <c r="F3918" s="48">
        <f>IFERROR(__xludf.DUMMYFUNCTION("""COMPUTED_VALUE"""),45813.47978006944)</f>
        <v>45813.47978</v>
      </c>
      <c r="G3918" s="42" t="str">
        <f>IFERROR(__xludf.DUMMYFUNCTION("""COMPUTED_VALUE"""),"Roya")</f>
        <v>Roya</v>
      </c>
      <c r="H3918" s="42">
        <f t="shared" si="1"/>
        <v>1721</v>
      </c>
    </row>
    <row r="3919" ht="22.5" customHeight="1">
      <c r="B3919" s="42" t="str">
        <f>IFERROR(__xludf.DUMMYFUNCTION("""COMPUTED_VALUE"""),"L/13/300425/1")</f>
        <v>L/13/300425/1</v>
      </c>
      <c r="C3919" s="42" t="str">
        <f>IFERROR(__xludf.DUMMYFUNCTION("""COMPUTED_VALUE"""),"HM 11191/SEGALA MIDER")</f>
        <v>HM 11191/SEGALA MIDER</v>
      </c>
      <c r="D3919" s="42" t="str">
        <f>IFERROR(__xludf.DUMMYFUNCTION("""COMPUTED_VALUE"""),"David")</f>
        <v>David</v>
      </c>
      <c r="E3919" s="42" t="str">
        <f>IFERROR(__xludf.DUMMYFUNCTION("""COMPUTED_VALUE"""),"DISERAHKAN")</f>
        <v>DISERAHKAN</v>
      </c>
      <c r="F3919" s="48">
        <f>IFERROR(__xludf.DUMMYFUNCTION("""COMPUTED_VALUE"""),45813.47715386574)</f>
        <v>45813.47715</v>
      </c>
      <c r="G3919" s="42" t="str">
        <f>IFERROR(__xludf.DUMMYFUNCTION("""COMPUTED_VALUE"""),"ROYA")</f>
        <v>ROYA</v>
      </c>
      <c r="H3919" s="42">
        <f t="shared" si="1"/>
        <v>1722</v>
      </c>
    </row>
    <row r="3920" ht="22.5" customHeight="1">
      <c r="B3920" s="42" t="str">
        <f>IFERROR(__xludf.DUMMYFUNCTION("""COMPUTED_VALUE"""),"K/2/300425/1")</f>
        <v>K/2/300425/1</v>
      </c>
      <c r="C3920" s="42" t="str">
        <f>IFERROR(__xludf.DUMMYFUNCTION("""COMPUTED_VALUE"""),"M. 864/KUPANG KOTA")</f>
        <v>M. 864/KUPANG KOTA</v>
      </c>
      <c r="D3920" s="42" t="str">
        <f>IFERROR(__xludf.DUMMYFUNCTION("""COMPUTED_VALUE"""),"Berry")</f>
        <v>Berry</v>
      </c>
      <c r="E3920" s="42" t="str">
        <f>IFERROR(__xludf.DUMMYFUNCTION("""COMPUTED_VALUE"""),"DISERAHKAN")</f>
        <v>DISERAHKAN</v>
      </c>
      <c r="F3920" s="48">
        <f>IFERROR(__xludf.DUMMYFUNCTION("""COMPUTED_VALUE"""),45799.70758677083)</f>
        <v>45799.70759</v>
      </c>
      <c r="G3920" s="42" t="str">
        <f>IFERROR(__xludf.DUMMYFUNCTION("""COMPUTED_VALUE"""),"BN WARIS")</f>
        <v>BN WARIS</v>
      </c>
      <c r="H3920" s="42">
        <f t="shared" si="1"/>
        <v>1723</v>
      </c>
    </row>
    <row r="3921" ht="22.5" customHeight="1">
      <c r="B3921" s="42" t="str">
        <f>IFERROR(__xludf.DUMMYFUNCTION("""COMPUTED_VALUE"""),"K/14/300425/1")</f>
        <v>K/14/300425/1</v>
      </c>
      <c r="C3921" s="42" t="str">
        <f>IFERROR(__xludf.DUMMYFUNCTION("""COMPUTED_VALUE"""),"NIBEL M. 17356/LABUHAN DALAM")</f>
        <v>NIBEL M. 17356/LABUHAN DALAM</v>
      </c>
      <c r="D3921" s="42"/>
      <c r="E3921" s="42"/>
      <c r="F3921" s="48" t="str">
        <f>IFERROR(__xludf.DUMMYFUNCTION("""COMPUTED_VALUE"""),"")</f>
        <v/>
      </c>
      <c r="G3921" s="42" t="str">
        <f>IFERROR(__xludf.DUMMYFUNCTION("""COMPUTED_VALUE"""),"BN JUAL BELI")</f>
        <v>BN JUAL BELI</v>
      </c>
      <c r="H3921" s="42">
        <f t="shared" si="1"/>
        <v>1723</v>
      </c>
    </row>
    <row r="3922" ht="22.5" customHeight="1">
      <c r="B3922" s="42" t="str">
        <f>IFERROR(__xludf.DUMMYFUNCTION("""COMPUTED_VALUE"""),"K/15/300425/2")</f>
        <v>K/15/300425/2</v>
      </c>
      <c r="C3922" s="42" t="str">
        <f>IFERROR(__xludf.DUMMYFUNCTION("""COMPUTED_VALUE"""),"M.862/SUMBER AGUNG")</f>
        <v>M.862/SUMBER AGUNG</v>
      </c>
      <c r="D3922" s="42" t="str">
        <f>IFERROR(__xludf.DUMMYFUNCTION("""COMPUTED_VALUE"""),"Berry")</f>
        <v>Berry</v>
      </c>
      <c r="E3922" s="42" t="str">
        <f>IFERROR(__xludf.DUMMYFUNCTION("""COMPUTED_VALUE"""),"DISERAHKAN")</f>
        <v>DISERAHKAN</v>
      </c>
      <c r="F3922" s="48">
        <f>IFERROR(__xludf.DUMMYFUNCTION("""COMPUTED_VALUE"""),45803.43342255787)</f>
        <v>45803.43342</v>
      </c>
      <c r="G3922" s="42" t="str">
        <f>IFERROR(__xludf.DUMMYFUNCTION("""COMPUTED_VALUE"""),"BN JUAL BELI")</f>
        <v>BN JUAL BELI</v>
      </c>
      <c r="H3922" s="42">
        <f t="shared" si="1"/>
        <v>1724</v>
      </c>
    </row>
    <row r="3923" ht="22.5" customHeight="1">
      <c r="B3923" s="42" t="str">
        <f>IFERROR(__xludf.DUMMYFUNCTION("""COMPUTED_VALUE"""),"K/18/300425/1")</f>
        <v>K/18/300425/1</v>
      </c>
      <c r="C3923" s="42" t="str">
        <f>IFERROR(__xludf.DUMMYFUNCTION("""COMPUTED_VALUE"""),"M. 10064/ Labuhan Ratu")</f>
        <v>M. 10064/ Labuhan Ratu</v>
      </c>
      <c r="D3923" s="42" t="str">
        <f>IFERROR(__xludf.DUMMYFUNCTION("""COMPUTED_VALUE"""),"Berry")</f>
        <v>Berry</v>
      </c>
      <c r="E3923" s="42" t="str">
        <f>IFERROR(__xludf.DUMMYFUNCTION("""COMPUTED_VALUE"""),"DISERAHKAN")</f>
        <v>DISERAHKAN</v>
      </c>
      <c r="F3923" s="48">
        <f>IFERROR(__xludf.DUMMYFUNCTION("""COMPUTED_VALUE"""),45799.52907059027)</f>
        <v>45799.52907</v>
      </c>
      <c r="G3923" s="42" t="str">
        <f>IFERROR(__xludf.DUMMYFUNCTION("""COMPUTED_VALUE"""),"Roya")</f>
        <v>Roya</v>
      </c>
      <c r="H3923" s="42">
        <f t="shared" si="1"/>
        <v>1725</v>
      </c>
    </row>
    <row r="3924" ht="22.5" customHeight="1">
      <c r="B3924" s="42" t="str">
        <f>IFERROR(__xludf.DUMMYFUNCTION("""COMPUTED_VALUE"""),"K/19/300425/2")</f>
        <v>K/19/300425/2</v>
      </c>
      <c r="C3924" s="42" t="str">
        <f>IFERROR(__xludf.DUMMYFUNCTION("""COMPUTED_VALUE"""),"M. 10063/ Labuhan Ratu")</f>
        <v>M. 10063/ Labuhan Ratu</v>
      </c>
      <c r="D3924" s="42" t="str">
        <f>IFERROR(__xludf.DUMMYFUNCTION("""COMPUTED_VALUE"""),"David")</f>
        <v>David</v>
      </c>
      <c r="E3924" s="42" t="str">
        <f>IFERROR(__xludf.DUMMYFUNCTION("""COMPUTED_VALUE"""),"DISERAHKAN")</f>
        <v>DISERAHKAN</v>
      </c>
      <c r="F3924" s="48">
        <f>IFERROR(__xludf.DUMMYFUNCTION("""COMPUTED_VALUE"""),45813.47770106481)</f>
        <v>45813.4777</v>
      </c>
      <c r="G3924" s="42" t="str">
        <f>IFERROR(__xludf.DUMMYFUNCTION("""COMPUTED_VALUE"""),"Roya")</f>
        <v>Roya</v>
      </c>
      <c r="H3924" s="42">
        <f t="shared" si="1"/>
        <v>1726</v>
      </c>
    </row>
    <row r="3925" ht="22.5" customHeight="1">
      <c r="B3925" s="42" t="str">
        <f>IFERROR(__xludf.DUMMYFUNCTION("""COMPUTED_VALUE"""),"K/16/300425/3")</f>
        <v>K/16/300425/3</v>
      </c>
      <c r="C3925" s="42" t="str">
        <f>IFERROR(__xludf.DUMMYFUNCTION("""COMPUTED_VALUE"""),"M.16696/SUKABUMI")</f>
        <v>M.16696/SUKABUMI</v>
      </c>
      <c r="D3925" s="42" t="str">
        <f>IFERROR(__xludf.DUMMYFUNCTION("""COMPUTED_VALUE"""),"Berry")</f>
        <v>Berry</v>
      </c>
      <c r="E3925" s="42" t="str">
        <f>IFERROR(__xludf.DUMMYFUNCTION("""COMPUTED_VALUE"""),"DISERAHKAN")</f>
        <v>DISERAHKAN</v>
      </c>
      <c r="F3925" s="48">
        <f>IFERROR(__xludf.DUMMYFUNCTION("""COMPUTED_VALUE"""),45803.43961204861)</f>
        <v>45803.43961</v>
      </c>
      <c r="G3925" s="42" t="str">
        <f>IFERROR(__xludf.DUMMYFUNCTION("""COMPUTED_VALUE"""),"BN JUAL BELI")</f>
        <v>BN JUAL BELI</v>
      </c>
      <c r="H3925" s="42">
        <f t="shared" si="1"/>
        <v>1727</v>
      </c>
    </row>
    <row r="3926" ht="22.5" customHeight="1">
      <c r="B3926" s="42" t="str">
        <f>IFERROR(__xludf.DUMMYFUNCTION("""COMPUTED_VALUE"""),"K/21/300425/1")</f>
        <v>K/21/300425/1</v>
      </c>
      <c r="C3926" s="42" t="str">
        <f>IFERROR(__xludf.DUMMYFUNCTION("""COMPUTED_VALUE"""),"M. 2297/ Perumnas Way Kandis")</f>
        <v>M. 2297/ Perumnas Way Kandis</v>
      </c>
      <c r="D3926" s="42" t="str">
        <f>IFERROR(__xludf.DUMMYFUNCTION("""COMPUTED_VALUE"""),"Berry")</f>
        <v>Berry</v>
      </c>
      <c r="E3926" s="42" t="str">
        <f>IFERROR(__xludf.DUMMYFUNCTION("""COMPUTED_VALUE"""),"DISERAHKAN")</f>
        <v>DISERAHKAN</v>
      </c>
      <c r="F3926" s="48">
        <f>IFERROR(__xludf.DUMMYFUNCTION("""COMPUTED_VALUE"""),45791.66360409722)</f>
        <v>45791.6636</v>
      </c>
      <c r="G3926" s="42" t="str">
        <f>IFERROR(__xludf.DUMMYFUNCTION("""COMPUTED_VALUE"""),"BN Jual Beli")</f>
        <v>BN Jual Beli</v>
      </c>
      <c r="H3926" s="42">
        <f t="shared" si="1"/>
        <v>1728</v>
      </c>
    </row>
    <row r="3927" ht="22.5" customHeight="1">
      <c r="B3927" s="42" t="str">
        <f>IFERROR(__xludf.DUMMYFUNCTION("""COMPUTED_VALUE"""),"K/22/300425/2")</f>
        <v>K/22/300425/2</v>
      </c>
      <c r="C3927" s="42" t="str">
        <f>IFERROR(__xludf.DUMMYFUNCTION("""COMPUTED_VALUE"""),"M. 947/ Perumnas Way Halim")</f>
        <v>M. 947/ Perumnas Way Halim</v>
      </c>
      <c r="D3927" s="42" t="str">
        <f>IFERROR(__xludf.DUMMYFUNCTION("""COMPUTED_VALUE"""),"Berry")</f>
        <v>Berry</v>
      </c>
      <c r="E3927" s="42" t="str">
        <f>IFERROR(__xludf.DUMMYFUNCTION("""COMPUTED_VALUE"""),"DISERAHKAN")</f>
        <v>DISERAHKAN</v>
      </c>
      <c r="F3927" s="48">
        <f>IFERROR(__xludf.DUMMYFUNCTION("""COMPUTED_VALUE"""),45810.660078078705)</f>
        <v>45810.66008</v>
      </c>
      <c r="G3927" s="42" t="str">
        <f>IFERROR(__xludf.DUMMYFUNCTION("""COMPUTED_VALUE"""),"BN Jual Beli")</f>
        <v>BN Jual Beli</v>
      </c>
      <c r="H3927" s="42">
        <f t="shared" si="1"/>
        <v>1729</v>
      </c>
    </row>
    <row r="3928" ht="22.5" customHeight="1">
      <c r="B3928" s="42" t="str">
        <f>IFERROR(__xludf.DUMMYFUNCTION("""COMPUTED_VALUE"""),"K/23/300425/1")</f>
        <v>K/23/300425/1</v>
      </c>
      <c r="C3928" s="42" t="str">
        <f>IFERROR(__xludf.DUMMYFUNCTION("""COMPUTED_VALUE"""),"M. 2026/ Gunung Terang")</f>
        <v>M. 2026/ Gunung Terang</v>
      </c>
      <c r="D3928" s="42"/>
      <c r="E3928" s="42"/>
      <c r="F3928" s="48" t="str">
        <f>IFERROR(__xludf.DUMMYFUNCTION("""COMPUTED_VALUE"""),"")</f>
        <v/>
      </c>
      <c r="G3928" s="42" t="str">
        <f>IFERROR(__xludf.DUMMYFUNCTION("""COMPUTED_VALUE"""),"PTPGT(Pemecahan)")</f>
        <v>PTPGT(Pemecahan)</v>
      </c>
      <c r="H3928" s="42">
        <f t="shared" si="1"/>
        <v>1729</v>
      </c>
    </row>
    <row r="3929" ht="22.5" customHeight="1">
      <c r="B3929" s="42" t="str">
        <f>IFERROR(__xludf.DUMMYFUNCTION("""COMPUTED_VALUE"""),"K/26/300425/3")</f>
        <v>K/26/300425/3</v>
      </c>
      <c r="C3929" s="42" t="str">
        <f>IFERROR(__xludf.DUMMYFUNCTION("""COMPUTED_VALUE"""),"PBT. 65/2025 (Rajabasa Raya)")</f>
        <v>PBT. 65/2025 (Rajabasa Raya)</v>
      </c>
      <c r="D3929" s="42"/>
      <c r="E3929" s="42"/>
      <c r="F3929" s="48" t="str">
        <f>IFERROR(__xludf.DUMMYFUNCTION("""COMPUTED_VALUE"""),"")</f>
        <v/>
      </c>
      <c r="G3929" s="42" t="str">
        <f>IFERROR(__xludf.DUMMYFUNCTION("""COMPUTED_VALUE"""),"PTPGT (Pertama Kali)")</f>
        <v>PTPGT (Pertama Kali)</v>
      </c>
      <c r="H3929" s="42">
        <f t="shared" si="1"/>
        <v>1729</v>
      </c>
    </row>
    <row r="3930" ht="22.5" customHeight="1">
      <c r="B3930" s="42" t="str">
        <f>IFERROR(__xludf.DUMMYFUNCTION("""COMPUTED_VALUE"""),"K/25/300425/2")</f>
        <v>K/25/300425/2</v>
      </c>
      <c r="C3930" s="42" t="str">
        <f>IFERROR(__xludf.DUMMYFUNCTION("""COMPUTED_VALUE"""),"Nibel. M. 16647/ Tanjung Senang")</f>
        <v>Nibel. M. 16647/ Tanjung Senang</v>
      </c>
      <c r="D3930" s="42"/>
      <c r="E3930" s="42"/>
      <c r="F3930" s="48" t="str">
        <f>IFERROR(__xludf.DUMMYFUNCTION("""COMPUTED_VALUE"""),"")</f>
        <v/>
      </c>
      <c r="G3930" s="42" t="str">
        <f>IFERROR(__xludf.DUMMYFUNCTION("""COMPUTED_VALUE"""),"BN Jual Beli")</f>
        <v>BN Jual Beli</v>
      </c>
      <c r="H3930" s="42">
        <f t="shared" si="1"/>
        <v>1729</v>
      </c>
    </row>
    <row r="3931" ht="22.5" customHeight="1">
      <c r="B3931" s="42" t="str">
        <f>IFERROR(__xludf.DUMMYFUNCTION("""COMPUTED_VALUE"""),"K/24/300425/1")</f>
        <v>K/24/300425/1</v>
      </c>
      <c r="C3931" s="42" t="str">
        <f>IFERROR(__xludf.DUMMYFUNCTION("""COMPUTED_VALUE"""),"Nibel. M. 17496/ Sukarame")</f>
        <v>Nibel. M. 17496/ Sukarame</v>
      </c>
      <c r="D3931" s="42"/>
      <c r="E3931" s="42"/>
      <c r="F3931" s="48" t="str">
        <f>IFERROR(__xludf.DUMMYFUNCTION("""COMPUTED_VALUE"""),"")</f>
        <v/>
      </c>
      <c r="G3931" s="42" t="str">
        <f>IFERROR(__xludf.DUMMYFUNCTION("""COMPUTED_VALUE"""),"BN Jual Beli")</f>
        <v>BN Jual Beli</v>
      </c>
      <c r="H3931" s="42">
        <f t="shared" si="1"/>
        <v>1729</v>
      </c>
    </row>
    <row r="3932" ht="22.5" customHeight="1">
      <c r="B3932" s="42" t="str">
        <f>IFERROR(__xludf.DUMMYFUNCTION("""COMPUTED_VALUE"""),"K/17/300425/4")</f>
        <v>K/17/300425/4</v>
      </c>
      <c r="C3932" s="42" t="str">
        <f>IFERROR(__xludf.DUMMYFUNCTION("""COMPUTED_VALUE"""),"M.2594/BERINGIN RAYA")</f>
        <v>M.2594/BERINGIN RAYA</v>
      </c>
      <c r="D3932" s="42"/>
      <c r="E3932" s="42"/>
      <c r="F3932" s="48" t="str">
        <f>IFERROR(__xludf.DUMMYFUNCTION("""COMPUTED_VALUE"""),"")</f>
        <v/>
      </c>
      <c r="G3932" s="42" t="str">
        <f>IFERROR(__xludf.DUMMYFUNCTION("""COMPUTED_VALUE"""),"BN JUAL BELI")</f>
        <v>BN JUAL BELI</v>
      </c>
      <c r="H3932" s="42">
        <f t="shared" si="1"/>
        <v>1729</v>
      </c>
    </row>
    <row r="3933" ht="22.5" customHeight="1">
      <c r="B3933" s="42" t="str">
        <f>IFERROR(__xludf.DUMMYFUNCTION("""COMPUTED_VALUE"""),"K/28/300425/1")</f>
        <v>K/28/300425/1</v>
      </c>
      <c r="C3933" s="42" t="str">
        <f>IFERROR(__xludf.DUMMYFUNCTION("""COMPUTED_VALUE"""),"M. 731/BERINGIN JAYA")</f>
        <v>M. 731/BERINGIN JAYA</v>
      </c>
      <c r="D3933" s="42"/>
      <c r="E3933" s="42"/>
      <c r="F3933" s="48" t="str">
        <f>IFERROR(__xludf.DUMMYFUNCTION("""COMPUTED_VALUE"""),"")</f>
        <v/>
      </c>
      <c r="G3933" s="42" t="str">
        <f>IFERROR(__xludf.DUMMYFUNCTION("""COMPUTED_VALUE"""),"SERTIPIKAT RUSAK")</f>
        <v>SERTIPIKAT RUSAK</v>
      </c>
      <c r="H3933" s="42">
        <f t="shared" si="1"/>
        <v>1729</v>
      </c>
    </row>
    <row r="3934" ht="22.5" customHeight="1">
      <c r="B3934" s="42" t="str">
        <f>IFERROR(__xludf.DUMMYFUNCTION("""COMPUTED_VALUE"""),"K/29/300425/1")</f>
        <v>K/29/300425/1</v>
      </c>
      <c r="C3934" s="42" t="str">
        <f>IFERROR(__xludf.DUMMYFUNCTION("""COMPUTED_VALUE"""),"M. 2233/ Rajabasa Raya")</f>
        <v>M. 2233/ Rajabasa Raya</v>
      </c>
      <c r="D3934" s="42" t="str">
        <f>IFERROR(__xludf.DUMMYFUNCTION("""COMPUTED_VALUE"""),"Berry")</f>
        <v>Berry</v>
      </c>
      <c r="E3934" s="42" t="str">
        <f>IFERROR(__xludf.DUMMYFUNCTION("""COMPUTED_VALUE"""),"DISERAHKAN")</f>
        <v>DISERAHKAN</v>
      </c>
      <c r="F3934" s="48">
        <f>IFERROR(__xludf.DUMMYFUNCTION("""COMPUTED_VALUE"""),45796.473123379634)</f>
        <v>45796.47312</v>
      </c>
      <c r="G3934" s="42" t="str">
        <f>IFERROR(__xludf.DUMMYFUNCTION("""COMPUTED_VALUE"""),"BN JUAL BELI")</f>
        <v>BN JUAL BELI</v>
      </c>
      <c r="H3934" s="42">
        <f t="shared" si="1"/>
        <v>1730</v>
      </c>
    </row>
    <row r="3935" ht="22.5" customHeight="1">
      <c r="B3935" s="42" t="str">
        <f>IFERROR(__xludf.DUMMYFUNCTION("""COMPUTED_VALUE"""),"K/30/300425/1")</f>
        <v>K/30/300425/1</v>
      </c>
      <c r="C3935" s="42" t="str">
        <f>IFERROR(__xludf.DUMMYFUNCTION("""COMPUTED_VALUE"""),"B. 343/SUKAMAJU")</f>
        <v>B. 343/SUKAMAJU</v>
      </c>
      <c r="D3935" s="42" t="str">
        <f>IFERROR(__xludf.DUMMYFUNCTION("""COMPUTED_VALUE"""),"David")</f>
        <v>David</v>
      </c>
      <c r="E3935" s="42" t="str">
        <f>IFERROR(__xludf.DUMMYFUNCTION("""COMPUTED_VALUE"""),"DISERAHKAN")</f>
        <v>DISERAHKAN</v>
      </c>
      <c r="F3935" s="48">
        <f>IFERROR(__xludf.DUMMYFUNCTION("""COMPUTED_VALUE"""),45804.680521145834)</f>
        <v>45804.68052</v>
      </c>
      <c r="G3935" s="42" t="str">
        <f>IFERROR(__xludf.DUMMYFUNCTION("""COMPUTED_VALUE"""),"ROYA")</f>
        <v>ROYA</v>
      </c>
      <c r="H3935" s="42">
        <f t="shared" si="1"/>
        <v>1731</v>
      </c>
    </row>
    <row r="3936" ht="22.5" customHeight="1">
      <c r="B3936" s="42" t="str">
        <f>IFERROR(__xludf.DUMMYFUNCTION("""COMPUTED_VALUE"""),"K/31/300425/1")</f>
        <v>K/31/300425/1</v>
      </c>
      <c r="C3936" s="42" t="str">
        <f>IFERROR(__xludf.DUMMYFUNCTION("""COMPUTED_VALUE"""),"B. 4953/ Beringin Jaya")</f>
        <v>B. 4953/ Beringin Jaya</v>
      </c>
      <c r="D3936" s="42" t="str">
        <f>IFERROR(__xludf.DUMMYFUNCTION("""COMPUTED_VALUE"""),"Berry")</f>
        <v>Berry</v>
      </c>
      <c r="E3936" s="42" t="str">
        <f>IFERROR(__xludf.DUMMYFUNCTION("""COMPUTED_VALUE"""),"DISERAHKAN")</f>
        <v>DISERAHKAN</v>
      </c>
      <c r="F3936" s="48">
        <f>IFERROR(__xludf.DUMMYFUNCTION("""COMPUTED_VALUE"""),45796.45947851852)</f>
        <v>45796.45948</v>
      </c>
      <c r="G3936" s="42" t="str">
        <f>IFERROR(__xludf.DUMMYFUNCTION("""COMPUTED_VALUE"""),"BN JUAL BELI")</f>
        <v>BN JUAL BELI</v>
      </c>
      <c r="H3936" s="42">
        <f t="shared" si="1"/>
        <v>1732</v>
      </c>
    </row>
    <row r="3937" ht="22.5" customHeight="1">
      <c r="B3937" s="42" t="str">
        <f>IFERROR(__xludf.DUMMYFUNCTION("""COMPUTED_VALUE"""),"L/33/300425/1")</f>
        <v>L/33/300425/1</v>
      </c>
      <c r="C3937" s="42" t="str">
        <f>IFERROR(__xludf.DUMMYFUNCTION("""COMPUTED_VALUE"""),"HGB 1992/SUKABUMI")</f>
        <v>HGB 1992/SUKABUMI</v>
      </c>
      <c r="D3937" s="42"/>
      <c r="E3937" s="42"/>
      <c r="F3937" s="48" t="str">
        <f>IFERROR(__xludf.DUMMYFUNCTION("""COMPUTED_VALUE"""),"")</f>
        <v/>
      </c>
      <c r="G3937" s="42" t="str">
        <f>IFERROR(__xludf.DUMMYFUNCTION("""COMPUTED_VALUE"""),"PH")</f>
        <v>PH</v>
      </c>
      <c r="H3937" s="42">
        <f t="shared" si="1"/>
        <v>1732</v>
      </c>
    </row>
    <row r="3938" ht="22.5" customHeight="1">
      <c r="B3938" s="42" t="str">
        <f>IFERROR(__xludf.DUMMYFUNCTION("""COMPUTED_VALUE"""),"K/20/300425/1")</f>
        <v>K/20/300425/1</v>
      </c>
      <c r="C3938" s="42" t="str">
        <f>IFERROR(__xludf.DUMMYFUNCTION("""COMPUTED_VALUE"""),"M.2959/BERINGIN RAYA ")</f>
        <v>M.2959/BERINGIN RAYA </v>
      </c>
      <c r="D3938" s="42" t="str">
        <f>IFERROR(__xludf.DUMMYFUNCTION("""COMPUTED_VALUE"""),"Berry")</f>
        <v>Berry</v>
      </c>
      <c r="E3938" s="42" t="str">
        <f>IFERROR(__xludf.DUMMYFUNCTION("""COMPUTED_VALUE"""),"DISERAHKAN")</f>
        <v>DISERAHKAN</v>
      </c>
      <c r="F3938" s="48">
        <f>IFERROR(__xludf.DUMMYFUNCTION("""COMPUTED_VALUE"""),45796.463188877315)</f>
        <v>45796.46319</v>
      </c>
      <c r="G3938" s="42" t="str">
        <f>IFERROR(__xludf.DUMMYFUNCTION("""COMPUTED_VALUE"""),"JUAL BELI")</f>
        <v>JUAL BELI</v>
      </c>
      <c r="H3938" s="42">
        <f t="shared" si="1"/>
        <v>1733</v>
      </c>
    </row>
    <row r="3939" ht="22.5" customHeight="1">
      <c r="B3939" s="42" t="str">
        <f>IFERROR(__xludf.DUMMYFUNCTION("""COMPUTED_VALUE"""),"K/27/300425/1")</f>
        <v>K/27/300425/1</v>
      </c>
      <c r="C3939" s="42" t="str">
        <f>IFERROR(__xludf.DUMMYFUNCTION("""COMPUTED_VALUE"""),"B. 402/ Jagabaya III")</f>
        <v>B. 402/ Jagabaya III</v>
      </c>
      <c r="D3939" s="42" t="str">
        <f>IFERROR(__xludf.DUMMYFUNCTION("""COMPUTED_VALUE"""),"Berry")</f>
        <v>Berry</v>
      </c>
      <c r="E3939" s="42" t="str">
        <f>IFERROR(__xludf.DUMMYFUNCTION("""COMPUTED_VALUE"""),"DISERAHKAN")</f>
        <v>DISERAHKAN</v>
      </c>
      <c r="F3939" s="48">
        <f>IFERROR(__xludf.DUMMYFUNCTION("""COMPUTED_VALUE"""),45792.633706967594)</f>
        <v>45792.63371</v>
      </c>
      <c r="G3939" s="42" t="str">
        <f>IFERROR(__xludf.DUMMYFUNCTION("""COMPUTED_VALUE"""),"Perubahan Hak")</f>
        <v>Perubahan Hak</v>
      </c>
      <c r="H3939" s="42">
        <f t="shared" si="1"/>
        <v>1734</v>
      </c>
    </row>
    <row r="3940" ht="22.5" customHeight="1">
      <c r="B3940" s="42" t="str">
        <f>IFERROR(__xludf.DUMMYFUNCTION("""COMPUTED_VALUE"""),"K/32/300425/1")</f>
        <v>K/32/300425/1</v>
      </c>
      <c r="C3940" s="42" t="str">
        <f>IFERROR(__xludf.DUMMYFUNCTION("""COMPUTED_VALUE"""),"NIBEL M. 18272/GUNUNG AGUNG")</f>
        <v>NIBEL M. 18272/GUNUNG AGUNG</v>
      </c>
      <c r="D3940" s="42"/>
      <c r="E3940" s="42"/>
      <c r="F3940" s="48" t="str">
        <f>IFERROR(__xludf.DUMMYFUNCTION("""COMPUTED_VALUE"""),"")</f>
        <v/>
      </c>
      <c r="G3940" s="42" t="str">
        <f>IFERROR(__xludf.DUMMYFUNCTION("""COMPUTED_VALUE"""),"BN JUAL BELI")</f>
        <v>BN JUAL BELI</v>
      </c>
      <c r="H3940" s="42">
        <f t="shared" si="1"/>
        <v>1734</v>
      </c>
    </row>
    <row r="3941" ht="22.5" customHeight="1">
      <c r="B3941" s="42" t="str">
        <f>IFERROR(__xludf.DUMMYFUNCTION("""COMPUTED_VALUE"""),"K/35/300425/1")</f>
        <v>K/35/300425/1</v>
      </c>
      <c r="C3941" s="42" t="str">
        <f>IFERROR(__xludf.DUMMYFUNCTION("""COMPUTED_VALUE"""),"M. 1171/PEMATANG WANGI")</f>
        <v>M. 1171/PEMATANG WANGI</v>
      </c>
      <c r="D3941" s="42" t="str">
        <f>IFERROR(__xludf.DUMMYFUNCTION("""COMPUTED_VALUE"""),"Berry")</f>
        <v>Berry</v>
      </c>
      <c r="E3941" s="42" t="str">
        <f>IFERROR(__xludf.DUMMYFUNCTION("""COMPUTED_VALUE"""),"DISERAHKAN")</f>
        <v>DISERAHKAN</v>
      </c>
      <c r="F3941" s="48">
        <f>IFERROR(__xludf.DUMMYFUNCTION("""COMPUTED_VALUE"""),45791.66645444444)</f>
        <v>45791.66645</v>
      </c>
      <c r="G3941" s="42" t="str">
        <f>IFERROR(__xludf.DUMMYFUNCTION("""COMPUTED_VALUE"""),"BN JUAL BELI")</f>
        <v>BN JUAL BELI</v>
      </c>
      <c r="H3941" s="42">
        <f t="shared" si="1"/>
        <v>1735</v>
      </c>
    </row>
    <row r="3942" ht="22.5" customHeight="1">
      <c r="B3942" s="42" t="str">
        <f>IFERROR(__xludf.DUMMYFUNCTION("""COMPUTED_VALUE"""),"L/36/300425/1")</f>
        <v>L/36/300425/1</v>
      </c>
      <c r="C3942" s="42" t="str">
        <f>IFERROR(__xludf.DUMMYFUNCTION("""COMPUTED_VALUE"""),"HM 2662/WAY LAGA")</f>
        <v>HM 2662/WAY LAGA</v>
      </c>
      <c r="D3942" s="42"/>
      <c r="E3942" s="42"/>
      <c r="F3942" s="48" t="str">
        <f>IFERROR(__xludf.DUMMYFUNCTION("""COMPUTED_VALUE"""),"")</f>
        <v/>
      </c>
      <c r="G3942" s="42" t="str">
        <f>IFERROR(__xludf.DUMMYFUNCTION("""COMPUTED_VALUE"""),"HAPUS BPHTB")</f>
        <v>HAPUS BPHTB</v>
      </c>
      <c r="H3942" s="42">
        <f t="shared" si="1"/>
        <v>1735</v>
      </c>
    </row>
    <row r="3943" ht="22.5" customHeight="1">
      <c r="B3943" s="42" t="str">
        <f>IFERROR(__xludf.DUMMYFUNCTION("""COMPUTED_VALUE"""),"K/34/300425/1")</f>
        <v>K/34/300425/1</v>
      </c>
      <c r="C3943" s="42" t="str">
        <f>IFERROR(__xludf.DUMMYFUNCTION("""COMPUTED_VALUE"""),"M.2391/KEDAUNG")</f>
        <v>M.2391/KEDAUNG</v>
      </c>
      <c r="D3943" s="42"/>
      <c r="E3943" s="42"/>
      <c r="F3943" s="48" t="str">
        <f>IFERROR(__xludf.DUMMYFUNCTION("""COMPUTED_VALUE"""),"")</f>
        <v/>
      </c>
      <c r="G3943" s="42" t="str">
        <f>IFERROR(__xludf.DUMMYFUNCTION("""COMPUTED_VALUE"""),"JUAL BELI")</f>
        <v>JUAL BELI</v>
      </c>
      <c r="H3943" s="42">
        <f t="shared" si="1"/>
        <v>1735</v>
      </c>
    </row>
    <row r="3944" ht="22.5" customHeight="1">
      <c r="B3944" s="42" t="str">
        <f>IFERROR(__xludf.DUMMYFUNCTION("""COMPUTED_VALUE"""),"K/1/020525/1")</f>
        <v>K/1/020525/1</v>
      </c>
      <c r="C3944" s="42" t="str">
        <f>IFERROR(__xludf.DUMMYFUNCTION("""COMPUTED_VALUE"""),"M. 193/ Pesawahan")</f>
        <v>M. 193/ Pesawahan</v>
      </c>
      <c r="D3944" s="42" t="str">
        <f>IFERROR(__xludf.DUMMYFUNCTION("""COMPUTED_VALUE"""),"Berry")</f>
        <v>Berry</v>
      </c>
      <c r="E3944" s="42" t="str">
        <f>IFERROR(__xludf.DUMMYFUNCTION("""COMPUTED_VALUE"""),"DISERAHKAN")</f>
        <v>DISERAHKAN</v>
      </c>
      <c r="F3944" s="48">
        <f>IFERROR(__xludf.DUMMYFUNCTION("""COMPUTED_VALUE"""),45824.459366678246)</f>
        <v>45824.45937</v>
      </c>
      <c r="G3944" s="42" t="str">
        <f>IFERROR(__xludf.DUMMYFUNCTION("""COMPUTED_VALUE"""),"BN WARIS")</f>
        <v>BN WARIS</v>
      </c>
      <c r="H3944" s="42">
        <f t="shared" si="1"/>
        <v>1736</v>
      </c>
    </row>
    <row r="3945" ht="22.5" customHeight="1">
      <c r="B3945" s="42" t="str">
        <f>IFERROR(__xludf.DUMMYFUNCTION("""COMPUTED_VALUE"""),"K/2/020525/2")</f>
        <v>K/2/020525/2</v>
      </c>
      <c r="C3945" s="42" t="str">
        <f>IFERROR(__xludf.DUMMYFUNCTION("""COMPUTED_VALUE"""),"M. 397/ Pesawahan")</f>
        <v>M. 397/ Pesawahan</v>
      </c>
      <c r="D3945" s="42" t="str">
        <f>IFERROR(__xludf.DUMMYFUNCTION("""COMPUTED_VALUE"""),"Berry")</f>
        <v>Berry</v>
      </c>
      <c r="E3945" s="42" t="str">
        <f>IFERROR(__xludf.DUMMYFUNCTION("""COMPUTED_VALUE"""),"DISERAHKAN")</f>
        <v>DISERAHKAN</v>
      </c>
      <c r="F3945" s="48">
        <f>IFERROR(__xludf.DUMMYFUNCTION("""COMPUTED_VALUE"""),45875.63597025463)</f>
        <v>45875.63597</v>
      </c>
      <c r="G3945" s="42" t="str">
        <f>IFERROR(__xludf.DUMMYFUNCTION("""COMPUTED_VALUE"""),"BN WARIS")</f>
        <v>BN WARIS</v>
      </c>
      <c r="H3945" s="42">
        <f t="shared" si="1"/>
        <v>1737</v>
      </c>
    </row>
    <row r="3946" ht="22.5" customHeight="1">
      <c r="B3946" s="42" t="str">
        <f>IFERROR(__xludf.DUMMYFUNCTION("""COMPUTED_VALUE"""),"L/5/020525/1")</f>
        <v>L/5/020525/1</v>
      </c>
      <c r="C3946" s="42" t="str">
        <f>IFERROR(__xludf.DUMMYFUNCTION("""COMPUTED_VALUE"""),"HM 1561/LABUHAN DALAM")</f>
        <v>HM 1561/LABUHAN DALAM</v>
      </c>
      <c r="D3946" s="42" t="str">
        <f>IFERROR(__xludf.DUMMYFUNCTION("""COMPUTED_VALUE"""),"David")</f>
        <v>David</v>
      </c>
      <c r="E3946" s="42" t="str">
        <f>IFERROR(__xludf.DUMMYFUNCTION("""COMPUTED_VALUE"""),"DISERAHKAN")</f>
        <v>DISERAHKAN</v>
      </c>
      <c r="F3946" s="48">
        <f>IFERROR(__xludf.DUMMYFUNCTION("""COMPUTED_VALUE"""),45803.47872868055)</f>
        <v>45803.47873</v>
      </c>
      <c r="G3946" s="42" t="str">
        <f>IFERROR(__xludf.DUMMYFUNCTION("""COMPUTED_VALUE"""),"ROYA")</f>
        <v>ROYA</v>
      </c>
      <c r="H3946" s="42">
        <f t="shared" si="1"/>
        <v>1738</v>
      </c>
    </row>
    <row r="3947" ht="22.5" customHeight="1">
      <c r="B3947" s="42" t="str">
        <f>IFERROR(__xludf.DUMMYFUNCTION("""COMPUTED_VALUE"""),"K/3/020525/1")</f>
        <v>K/3/020525/1</v>
      </c>
      <c r="C3947" s="42" t="str">
        <f>IFERROR(__xludf.DUMMYFUNCTION("""COMPUTED_VALUE"""),"B. 2086/ Perumnas Way Halim")</f>
        <v>B. 2086/ Perumnas Way Halim</v>
      </c>
      <c r="D3947" s="42" t="str">
        <f>IFERROR(__xludf.DUMMYFUNCTION("""COMPUTED_VALUE"""),"Berry")</f>
        <v>Berry</v>
      </c>
      <c r="E3947" s="42" t="str">
        <f>IFERROR(__xludf.DUMMYFUNCTION("""COMPUTED_VALUE"""),"DISERAHKAN")</f>
        <v>DISERAHKAN</v>
      </c>
      <c r="F3947" s="48">
        <f>IFERROR(__xludf.DUMMYFUNCTION("""COMPUTED_VALUE"""),45819.7844941088)</f>
        <v>45819.78449</v>
      </c>
      <c r="G3947" s="42" t="str">
        <f>IFERROR(__xludf.DUMMYFUNCTION("""COMPUTED_VALUE"""),"BN JUAL BELI")</f>
        <v>BN JUAL BELI</v>
      </c>
      <c r="H3947" s="42">
        <f t="shared" si="1"/>
        <v>1739</v>
      </c>
    </row>
    <row r="3948" ht="22.5" customHeight="1">
      <c r="B3948" s="42" t="str">
        <f>IFERROR(__xludf.DUMMYFUNCTION("""COMPUTED_VALUE"""),"K/4/020525/2")</f>
        <v>K/4/020525/2</v>
      </c>
      <c r="C3948" s="42" t="str">
        <f>IFERROR(__xludf.DUMMYFUNCTION("""COMPUTED_VALUE"""),"B. 2087/ Perumnas Way Halim")</f>
        <v>B. 2087/ Perumnas Way Halim</v>
      </c>
      <c r="D3948" s="42" t="str">
        <f>IFERROR(__xludf.DUMMYFUNCTION("""COMPUTED_VALUE"""),"Berry")</f>
        <v>Berry</v>
      </c>
      <c r="E3948" s="42" t="str">
        <f>IFERROR(__xludf.DUMMYFUNCTION("""COMPUTED_VALUE"""),"DISERAHKAN")</f>
        <v>DISERAHKAN</v>
      </c>
      <c r="F3948" s="48">
        <f>IFERROR(__xludf.DUMMYFUNCTION("""COMPUTED_VALUE"""),45824.45874585648)</f>
        <v>45824.45875</v>
      </c>
      <c r="G3948" s="42" t="str">
        <f>IFERROR(__xludf.DUMMYFUNCTION("""COMPUTED_VALUE"""),"BN JUAL BELI")</f>
        <v>BN JUAL BELI</v>
      </c>
      <c r="H3948" s="42">
        <f t="shared" si="1"/>
        <v>1740</v>
      </c>
    </row>
    <row r="3949" ht="22.5" customHeight="1">
      <c r="B3949" s="42" t="str">
        <f>IFERROR(__xludf.DUMMYFUNCTION("""COMPUTED_VALUE"""),"K/6/020525/1")</f>
        <v>K/6/020525/1</v>
      </c>
      <c r="C3949" s="42" t="str">
        <f>IFERROR(__xludf.DUMMYFUNCTION("""COMPUTED_VALUE"""),"M. 14197/ Kedamaian")</f>
        <v>M. 14197/ Kedamaian</v>
      </c>
      <c r="D3949" s="42"/>
      <c r="E3949" s="42"/>
      <c r="F3949" s="48" t="str">
        <f>IFERROR(__xludf.DUMMYFUNCTION("""COMPUTED_VALUE"""),"")</f>
        <v/>
      </c>
      <c r="G3949" s="42" t="str">
        <f>IFERROR(__xludf.DUMMYFUNCTION("""COMPUTED_VALUE"""),"PTPGT (Pemecahan)")</f>
        <v>PTPGT (Pemecahan)</v>
      </c>
      <c r="H3949" s="42">
        <f t="shared" si="1"/>
        <v>1740</v>
      </c>
    </row>
    <row r="3950" ht="22.5" customHeight="1">
      <c r="B3950" s="42" t="str">
        <f>IFERROR(__xludf.DUMMYFUNCTION("""COMPUTED_VALUE"""),"K/7/020525/1")</f>
        <v>K/7/020525/1</v>
      </c>
      <c r="C3950" s="42" t="str">
        <f>IFERROR(__xludf.DUMMYFUNCTION("""COMPUTED_VALUE"""),"M.2505/PINANG JAYA")</f>
        <v>M.2505/PINANG JAYA</v>
      </c>
      <c r="D3950" s="42" t="str">
        <f>IFERROR(__xludf.DUMMYFUNCTION("""COMPUTED_VALUE"""),"Berry")</f>
        <v>Berry</v>
      </c>
      <c r="E3950" s="42" t="str">
        <f>IFERROR(__xludf.DUMMYFUNCTION("""COMPUTED_VALUE"""),"DISERAHKAN")</f>
        <v>DISERAHKAN</v>
      </c>
      <c r="F3950" s="48">
        <f>IFERROR(__xludf.DUMMYFUNCTION("""COMPUTED_VALUE"""),45791.66542091435)</f>
        <v>45791.66542</v>
      </c>
      <c r="G3950" s="42" t="str">
        <f>IFERROR(__xludf.DUMMYFUNCTION("""COMPUTED_VALUE"""),"BN JUAL BELI")</f>
        <v>BN JUAL BELI</v>
      </c>
      <c r="H3950" s="42">
        <f t="shared" si="1"/>
        <v>1741</v>
      </c>
    </row>
    <row r="3951" ht="22.5" customHeight="1">
      <c r="B3951" s="42" t="str">
        <f>IFERROR(__xludf.DUMMYFUNCTION("""COMPUTED_VALUE"""),"L/10/020525/1")</f>
        <v>L/10/020525/1</v>
      </c>
      <c r="C3951" s="42" t="str">
        <f>IFERROR(__xludf.DUMMYFUNCTION("""COMPUTED_VALUE"""),"HGB 3173/SUKABUMI")</f>
        <v>HGB 3173/SUKABUMI</v>
      </c>
      <c r="D3951" s="42" t="str">
        <f>IFERROR(__xludf.DUMMYFUNCTION("""COMPUTED_VALUE"""),"David")</f>
        <v>David</v>
      </c>
      <c r="E3951" s="42" t="str">
        <f>IFERROR(__xludf.DUMMYFUNCTION("""COMPUTED_VALUE"""),"DISERAHKAN")</f>
        <v>DISERAHKAN</v>
      </c>
      <c r="F3951" s="48">
        <f>IFERROR(__xludf.DUMMYFUNCTION("""COMPUTED_VALUE"""),45803.48107085648)</f>
        <v>45803.48107</v>
      </c>
      <c r="G3951" s="42" t="str">
        <f>IFERROR(__xludf.DUMMYFUNCTION("""COMPUTED_VALUE"""),"ROYA")</f>
        <v>ROYA</v>
      </c>
      <c r="H3951" s="42">
        <f t="shared" si="1"/>
        <v>1742</v>
      </c>
    </row>
    <row r="3952" ht="22.5" customHeight="1">
      <c r="B3952" s="42" t="str">
        <f>IFERROR(__xludf.DUMMYFUNCTION("""COMPUTED_VALUE"""),"K/8/020525/2")</f>
        <v>K/8/020525/2</v>
      </c>
      <c r="C3952" s="42" t="str">
        <f>IFERROR(__xludf.DUMMYFUNCTION("""COMPUTED_VALUE"""),"NIBEL M. 17980/KEDAUNG")</f>
        <v>NIBEL M. 17980/KEDAUNG</v>
      </c>
      <c r="D3952" s="42"/>
      <c r="E3952" s="42"/>
      <c r="F3952" s="48" t="str">
        <f>IFERROR(__xludf.DUMMYFUNCTION("""COMPUTED_VALUE"""),"")</f>
        <v/>
      </c>
      <c r="G3952" s="42" t="str">
        <f>IFERROR(__xludf.DUMMYFUNCTION("""COMPUTED_VALUE"""),"BN JUAL BELI")</f>
        <v>BN JUAL BELI</v>
      </c>
      <c r="H3952" s="42">
        <f t="shared" si="1"/>
        <v>1742</v>
      </c>
    </row>
    <row r="3953" ht="22.5" customHeight="1">
      <c r="B3953" s="42" t="str">
        <f>IFERROR(__xludf.DUMMYFUNCTION("""COMPUTED_VALUE"""),"K/9/020525/3")</f>
        <v>K/9/020525/3</v>
      </c>
      <c r="C3953" s="42" t="str">
        <f>IFERROR(__xludf.DUMMYFUNCTION("""COMPUTED_VALUE"""),"NIBEL M. 247/RAJABASA RAYA")</f>
        <v>NIBEL M. 247/RAJABASA RAYA</v>
      </c>
      <c r="D3953" s="42"/>
      <c r="E3953" s="42"/>
      <c r="F3953" s="48" t="str">
        <f>IFERROR(__xludf.DUMMYFUNCTION("""COMPUTED_VALUE"""),"")</f>
        <v/>
      </c>
      <c r="G3953" s="42" t="str">
        <f>IFERROR(__xludf.DUMMYFUNCTION("""COMPUTED_VALUE"""),"BN JUAL BELI")</f>
        <v>BN JUAL BELI</v>
      </c>
      <c r="H3953" s="42">
        <f t="shared" si="1"/>
        <v>1742</v>
      </c>
    </row>
    <row r="3954" ht="22.5" customHeight="1">
      <c r="B3954" s="42" t="str">
        <f>IFERROR(__xludf.DUMMYFUNCTION("""COMPUTED_VALUE"""),"L/11/020525/1")</f>
        <v>L/11/020525/1</v>
      </c>
      <c r="C3954" s="42" t="str">
        <f>IFERROR(__xludf.DUMMYFUNCTION("""COMPUTED_VALUE"""),"HM 14097/RAJABASA")</f>
        <v>HM 14097/RAJABASA</v>
      </c>
      <c r="D3954" s="42" t="str">
        <f>IFERROR(__xludf.DUMMYFUNCTION("""COMPUTED_VALUE"""),"David")</f>
        <v>David</v>
      </c>
      <c r="E3954" s="42" t="str">
        <f>IFERROR(__xludf.DUMMYFUNCTION("""COMPUTED_VALUE"""),"DISERAHKAN")</f>
        <v>DISERAHKAN</v>
      </c>
      <c r="F3954" s="48">
        <f>IFERROR(__xludf.DUMMYFUNCTION("""COMPUTED_VALUE"""),45813.47696428241)</f>
        <v>45813.47696</v>
      </c>
      <c r="G3954" s="42" t="str">
        <f>IFERROR(__xludf.DUMMYFUNCTION("""COMPUTED_VALUE"""),"ROYA")</f>
        <v>ROYA</v>
      </c>
      <c r="H3954" s="42">
        <f t="shared" si="1"/>
        <v>1743</v>
      </c>
    </row>
    <row r="3955" ht="22.5" customHeight="1">
      <c r="B3955" s="42" t="str">
        <f>IFERROR(__xludf.DUMMYFUNCTION("""COMPUTED_VALUE"""),"L/12/020525/1")</f>
        <v>L/12/020525/1</v>
      </c>
      <c r="C3955" s="42" t="str">
        <f>IFERROR(__xludf.DUMMYFUNCTION("""COMPUTED_VALUE"""),"WAY KANDIS")</f>
        <v>WAY KANDIS</v>
      </c>
      <c r="D3955" s="42"/>
      <c r="E3955" s="42"/>
      <c r="F3955" s="48" t="str">
        <f>IFERROR(__xludf.DUMMYFUNCTION("""COMPUTED_VALUE"""),"")</f>
        <v/>
      </c>
      <c r="G3955" s="42" t="str">
        <f>IFERROR(__xludf.DUMMYFUNCTION("""COMPUTED_VALUE"""),"PENDAFTARAN SK")</f>
        <v>PENDAFTARAN SK</v>
      </c>
      <c r="H3955" s="42">
        <f t="shared" si="1"/>
        <v>1743</v>
      </c>
    </row>
    <row r="3956" ht="22.5" customHeight="1">
      <c r="B3956" s="42" t="str">
        <f>IFERROR(__xludf.DUMMYFUNCTION("""COMPUTED_VALUE"""),"L/13/020525/1")</f>
        <v>L/13/020525/1</v>
      </c>
      <c r="C3956" s="42" t="str">
        <f>IFERROR(__xludf.DUMMYFUNCTION("""COMPUTED_VALUE"""),"NIB 3150/KBK")</f>
        <v>NIB 3150/KBK</v>
      </c>
      <c r="D3956" s="42"/>
      <c r="E3956" s="42"/>
      <c r="F3956" s="48" t="str">
        <f>IFERROR(__xludf.DUMMYFUNCTION("""COMPUTED_VALUE"""),"")</f>
        <v/>
      </c>
      <c r="G3956" s="42" t="str">
        <f>IFERROR(__xludf.DUMMYFUNCTION("""COMPUTED_VALUE"""),"PERTAMA KALI (HGB MATI)")</f>
        <v>PERTAMA KALI (HGB MATI)</v>
      </c>
      <c r="H3956" s="42">
        <f t="shared" si="1"/>
        <v>1743</v>
      </c>
    </row>
    <row r="3957" ht="22.5" customHeight="1">
      <c r="B3957" s="42" t="str">
        <f>IFERROR(__xludf.DUMMYFUNCTION("""COMPUTED_VALUE"""),"K/14/020525/1")</f>
        <v>K/14/020525/1</v>
      </c>
      <c r="C3957" s="42" t="str">
        <f>IFERROR(__xludf.DUMMYFUNCTION("""COMPUTED_VALUE"""),"NIbel 2198/ Pinang Jaya")</f>
        <v>NIbel 2198/ Pinang Jaya</v>
      </c>
      <c r="D3957" s="42"/>
      <c r="E3957" s="42"/>
      <c r="F3957" s="48" t="str">
        <f>IFERROR(__xludf.DUMMYFUNCTION("""COMPUTED_VALUE"""),"")</f>
        <v/>
      </c>
      <c r="G3957" s="42" t="str">
        <f>IFERROR(__xludf.DUMMYFUNCTION("""COMPUTED_VALUE"""),"BN JUAL BELI")</f>
        <v>BN JUAL BELI</v>
      </c>
      <c r="H3957" s="42">
        <f t="shared" si="1"/>
        <v>1743</v>
      </c>
    </row>
    <row r="3958" ht="22.5" customHeight="1">
      <c r="B3958" s="42" t="str">
        <f>IFERROR(__xludf.DUMMYFUNCTION("""COMPUTED_VALUE"""),"L/16/020525/1")</f>
        <v>L/16/020525/1</v>
      </c>
      <c r="C3958" s="42" t="str">
        <f>IFERROR(__xludf.DUMMYFUNCTION("""COMPUTED_VALUE"""),"GUNUNG TERANG")</f>
        <v>GUNUNG TERANG</v>
      </c>
      <c r="D3958" s="42"/>
      <c r="E3958" s="42"/>
      <c r="F3958" s="48" t="str">
        <f>IFERROR(__xludf.DUMMYFUNCTION("""COMPUTED_VALUE"""),"")</f>
        <v/>
      </c>
      <c r="G3958" s="42" t="str">
        <f>IFERROR(__xludf.DUMMYFUNCTION("""COMPUTED_VALUE"""),"PERMOHONAN SK")</f>
        <v>PERMOHONAN SK</v>
      </c>
      <c r="H3958" s="42">
        <f t="shared" si="1"/>
        <v>1743</v>
      </c>
    </row>
    <row r="3959" ht="22.5" customHeight="1">
      <c r="B3959" s="42" t="str">
        <f>IFERROR(__xludf.DUMMYFUNCTION("""COMPUTED_VALUE"""),"K/15/020525/1")</f>
        <v>K/15/020525/1</v>
      </c>
      <c r="C3959" s="42" t="str">
        <f>IFERROR(__xludf.DUMMYFUNCTION("""COMPUTED_VALUE"""),"M.1836/SUMBER REJO")</f>
        <v>M.1836/SUMBER REJO</v>
      </c>
      <c r="D3959" s="42" t="str">
        <f>IFERROR(__xludf.DUMMYFUNCTION("""COMPUTED_VALUE"""),"Berry")</f>
        <v>Berry</v>
      </c>
      <c r="E3959" s="42" t="str">
        <f>IFERROR(__xludf.DUMMYFUNCTION("""COMPUTED_VALUE"""),"DISERAHKAN")</f>
        <v>DISERAHKAN</v>
      </c>
      <c r="F3959" s="48">
        <f>IFERROR(__xludf.DUMMYFUNCTION("""COMPUTED_VALUE"""),45812.595007129625)</f>
        <v>45812.59501</v>
      </c>
      <c r="G3959" s="42" t="str">
        <f>IFERROR(__xludf.DUMMYFUNCTION("""COMPUTED_VALUE"""),"JUAL BELI")</f>
        <v>JUAL BELI</v>
      </c>
      <c r="H3959" s="42">
        <f t="shared" si="1"/>
        <v>1744</v>
      </c>
    </row>
    <row r="3960" ht="22.5" customHeight="1">
      <c r="B3960" s="42" t="str">
        <f>IFERROR(__xludf.DUMMYFUNCTION("""COMPUTED_VALUE"""),"K/17/020525/1")</f>
        <v>K/17/020525/1</v>
      </c>
      <c r="C3960" s="42" t="str">
        <f>IFERROR(__xludf.DUMMYFUNCTION("""COMPUTED_VALUE"""),"TANAH MENTAH")</f>
        <v>TANAH MENTAH</v>
      </c>
      <c r="D3960" s="42"/>
      <c r="E3960" s="42"/>
      <c r="F3960" s="48" t="str">
        <f>IFERROR(__xludf.DUMMYFUNCTION("""COMPUTED_VALUE"""),"")</f>
        <v/>
      </c>
      <c r="G3960" s="42" t="str">
        <f>IFERROR(__xludf.DUMMYFUNCTION("""COMPUTED_VALUE"""),"PENGUKURAN PERTAMA KALI")</f>
        <v>PENGUKURAN PERTAMA KALI</v>
      </c>
      <c r="H3960" s="42">
        <f t="shared" si="1"/>
        <v>1744</v>
      </c>
    </row>
    <row r="3961" ht="22.5" customHeight="1">
      <c r="B3961" s="42" t="str">
        <f>IFERROR(__xludf.DUMMYFUNCTION("""COMPUTED_VALUE"""),"L/18/020525/1")</f>
        <v>L/18/020525/1</v>
      </c>
      <c r="C3961" s="42" t="str">
        <f>IFERROR(__xludf.DUMMYFUNCTION("""COMPUTED_VALUE"""),"HGB 1315/RAJABASA")</f>
        <v>HGB 1315/RAJABASA</v>
      </c>
      <c r="D3961" s="42" t="str">
        <f>IFERROR(__xludf.DUMMYFUNCTION("""COMPUTED_VALUE"""),"David")</f>
        <v>David</v>
      </c>
      <c r="E3961" s="42" t="str">
        <f>IFERROR(__xludf.DUMMYFUNCTION("""COMPUTED_VALUE"""),"DISERAHKAN")</f>
        <v>DISERAHKAN</v>
      </c>
      <c r="F3961" s="48">
        <f>IFERROR(__xludf.DUMMYFUNCTION("""COMPUTED_VALUE"""),45804.680521145834)</f>
        <v>45804.68052</v>
      </c>
      <c r="G3961" s="42" t="str">
        <f>IFERROR(__xludf.DUMMYFUNCTION("""COMPUTED_VALUE"""),"HGB 1315/RAJABASA")</f>
        <v>HGB 1315/RAJABASA</v>
      </c>
      <c r="H3961" s="42">
        <f t="shared" si="1"/>
        <v>1745</v>
      </c>
    </row>
    <row r="3962" ht="22.5" customHeight="1">
      <c r="B3962" s="42" t="str">
        <f>IFERROR(__xludf.DUMMYFUNCTION("""COMPUTED_VALUE"""),"K/19/020525/1")</f>
        <v>K/19/020525/1</v>
      </c>
      <c r="C3962" s="42" t="str">
        <f>IFERROR(__xludf.DUMMYFUNCTION("""COMPUTED_VALUE"""),"Nibel. M. 2492/ Sumur Batu")</f>
        <v>Nibel. M. 2492/ Sumur Batu</v>
      </c>
      <c r="D3962" s="42"/>
      <c r="E3962" s="42"/>
      <c r="F3962" s="48" t="str">
        <f>IFERROR(__xludf.DUMMYFUNCTION("""COMPUTED_VALUE"""),"")</f>
        <v/>
      </c>
      <c r="G3962" s="42" t="str">
        <f>IFERROR(__xludf.DUMMYFUNCTION("""COMPUTED_VALUE"""),"BN Waris")</f>
        <v>BN Waris</v>
      </c>
      <c r="H3962" s="42">
        <f t="shared" si="1"/>
        <v>1745</v>
      </c>
    </row>
    <row r="3963" ht="22.5" customHeight="1">
      <c r="B3963" s="42" t="str">
        <f>IFERROR(__xludf.DUMMYFUNCTION("""COMPUTED_VALUE"""),"K/20/020525/2")</f>
        <v>K/20/020525/2</v>
      </c>
      <c r="C3963" s="42" t="str">
        <f>IFERROR(__xludf.DUMMYFUNCTION("""COMPUTED_VALUE"""),"M. 339/ Korpri Jaya")</f>
        <v>M. 339/ Korpri Jaya</v>
      </c>
      <c r="D3963" s="42"/>
      <c r="E3963" s="42"/>
      <c r="F3963" s="48" t="str">
        <f>IFERROR(__xludf.DUMMYFUNCTION("""COMPUTED_VALUE"""),"")</f>
        <v/>
      </c>
      <c r="G3963" s="42" t="str">
        <f>IFERROR(__xludf.DUMMYFUNCTION("""COMPUTED_VALUE"""),"BN Jual Beli")</f>
        <v>BN Jual Beli</v>
      </c>
      <c r="H3963" s="42">
        <f t="shared" si="1"/>
        <v>1745</v>
      </c>
    </row>
    <row r="3964" ht="22.5" customHeight="1">
      <c r="B3964" s="42" t="str">
        <f>IFERROR(__xludf.DUMMYFUNCTION("""COMPUTED_VALUE"""),"K/21/020525/3")</f>
        <v>K/21/020525/3</v>
      </c>
      <c r="C3964" s="42" t="str">
        <f>IFERROR(__xludf.DUMMYFUNCTION("""COMPUTED_VALUE"""),"Nibel. M. 3537/ Kedaton")</f>
        <v>Nibel. M. 3537/ Kedaton</v>
      </c>
      <c r="D3964" s="42"/>
      <c r="E3964" s="42"/>
      <c r="F3964" s="48" t="str">
        <f>IFERROR(__xludf.DUMMYFUNCTION("""COMPUTED_VALUE"""),"")</f>
        <v/>
      </c>
      <c r="G3964" s="42" t="str">
        <f>IFERROR(__xludf.DUMMYFUNCTION("""COMPUTED_VALUE"""),"BN Jua Beli")</f>
        <v>BN Jua Beli</v>
      </c>
      <c r="H3964" s="42">
        <f t="shared" si="1"/>
        <v>1745</v>
      </c>
    </row>
    <row r="3965" ht="22.5" customHeight="1">
      <c r="B3965" s="42" t="str">
        <f>IFERROR(__xludf.DUMMYFUNCTION("""COMPUTED_VALUE"""),"K/22/020525/1")</f>
        <v>K/22/020525/1</v>
      </c>
      <c r="C3965" s="42" t="str">
        <f>IFERROR(__xludf.DUMMYFUNCTION("""COMPUTED_VALUE"""),"M. 10278/SIDODADI")</f>
        <v>M. 10278/SIDODADI</v>
      </c>
      <c r="D3965" s="42" t="str">
        <f>IFERROR(__xludf.DUMMYFUNCTION("""COMPUTED_VALUE"""),"Berry")</f>
        <v>Berry</v>
      </c>
      <c r="E3965" s="42" t="str">
        <f>IFERROR(__xludf.DUMMYFUNCTION("""COMPUTED_VALUE"""),"DISERAHKAN")</f>
        <v>DISERAHKAN</v>
      </c>
      <c r="F3965" s="48">
        <f>IFERROR(__xludf.DUMMYFUNCTION("""COMPUTED_VALUE"""),45812.591220092596)</f>
        <v>45812.59122</v>
      </c>
      <c r="G3965" s="42" t="str">
        <f>IFERROR(__xludf.DUMMYFUNCTION("""COMPUTED_VALUE"""),"BN WARIS")</f>
        <v>BN WARIS</v>
      </c>
      <c r="H3965" s="42">
        <f t="shared" si="1"/>
        <v>1746</v>
      </c>
    </row>
    <row r="3966" ht="22.5" customHeight="1">
      <c r="B3966" s="42" t="str">
        <f>IFERROR(__xludf.DUMMYFUNCTION("""COMPUTED_VALUE"""),"L/1/030525/1")</f>
        <v>L/1/030525/1</v>
      </c>
      <c r="C3966" s="42" t="str">
        <f>IFERROR(__xludf.DUMMYFUNCTION("""COMPUTED_VALUE"""),"NIB 19020")</f>
        <v>NIB 19020</v>
      </c>
      <c r="D3966" s="42"/>
      <c r="E3966" s="42"/>
      <c r="F3966" s="48" t="str">
        <f>IFERROR(__xludf.DUMMYFUNCTION("""COMPUTED_VALUE"""),"")</f>
        <v/>
      </c>
      <c r="G3966" s="42" t="str">
        <f>IFERROR(__xludf.DUMMYFUNCTION("""COMPUTED_VALUE"""),"BN LELANG")</f>
        <v>BN LELANG</v>
      </c>
      <c r="H3966" s="42">
        <f t="shared" si="1"/>
        <v>1746</v>
      </c>
    </row>
    <row r="3967" ht="22.5" customHeight="1">
      <c r="B3967" s="42" t="str">
        <f>IFERROR(__xludf.DUMMYFUNCTION("""COMPUTED_VALUE"""),"L/2/030525/1")</f>
        <v>L/2/030525/1</v>
      </c>
      <c r="C3967" s="42" t="str">
        <f>IFERROR(__xludf.DUMMYFUNCTION("""COMPUTED_VALUE"""),"HM 3215/GUNUNG TERANG")</f>
        <v>HM 3215/GUNUNG TERANG</v>
      </c>
      <c r="D3967" s="42" t="str">
        <f>IFERROR(__xludf.DUMMYFUNCTION("""COMPUTED_VALUE"""),"David")</f>
        <v>David</v>
      </c>
      <c r="E3967" s="42" t="str">
        <f>IFERROR(__xludf.DUMMYFUNCTION("""COMPUTED_VALUE"""),"DISERAHKAN")</f>
        <v>DISERAHKAN</v>
      </c>
      <c r="F3967" s="48">
        <f>IFERROR(__xludf.DUMMYFUNCTION("""COMPUTED_VALUE"""),45803.481746770834)</f>
        <v>45803.48175</v>
      </c>
      <c r="G3967" s="42" t="str">
        <f>IFERROR(__xludf.DUMMYFUNCTION("""COMPUTED_VALUE"""),"ROYA")</f>
        <v>ROYA</v>
      </c>
      <c r="H3967" s="42">
        <f t="shared" si="1"/>
        <v>1747</v>
      </c>
    </row>
    <row r="3968" ht="22.5" customHeight="1">
      <c r="B3968" s="42" t="str">
        <f>IFERROR(__xludf.DUMMYFUNCTION("""COMPUTED_VALUE"""),"L/3/030525/1")</f>
        <v>L/3/030525/1</v>
      </c>
      <c r="C3968" s="42" t="str">
        <f>IFERROR(__xludf.DUMMYFUNCTION("""COMPUTED_VALUE"""),"TANJUNG SENANG")</f>
        <v>TANJUNG SENANG</v>
      </c>
      <c r="D3968" s="42"/>
      <c r="E3968" s="42"/>
      <c r="F3968" s="48" t="str">
        <f>IFERROR(__xludf.DUMMYFUNCTION("""COMPUTED_VALUE"""),"")</f>
        <v/>
      </c>
      <c r="G3968" s="42" t="str">
        <f>IFERROR(__xludf.DUMMYFUNCTION("""COMPUTED_VALUE"""),"PERTAMA KALI")</f>
        <v>PERTAMA KALI</v>
      </c>
      <c r="H3968" s="42">
        <f t="shared" si="1"/>
        <v>1747</v>
      </c>
    </row>
    <row r="3969" ht="22.5" customHeight="1">
      <c r="B3969" s="42" t="str">
        <f>IFERROR(__xludf.DUMMYFUNCTION("""COMPUTED_VALUE"""),"L/1/04/05/25/PELATARAN")</f>
        <v>L/1/04/05/25/PELATARAN</v>
      </c>
      <c r="C3969" s="42" t="str">
        <f>IFERROR(__xludf.DUMMYFUNCTION("""COMPUTED_VALUE"""),"LANGKAPURA")</f>
        <v>LANGKAPURA</v>
      </c>
      <c r="D3969" s="42"/>
      <c r="E3969" s="42"/>
      <c r="F3969" s="48" t="str">
        <f>IFERROR(__xludf.DUMMYFUNCTION("""COMPUTED_VALUE"""),"")</f>
        <v/>
      </c>
      <c r="G3969" s="42" t="str">
        <f>IFERROR(__xludf.DUMMYFUNCTION("""COMPUTED_VALUE"""),"TANAH MENTAH")</f>
        <v>TANAH MENTAH</v>
      </c>
      <c r="H3969" s="42">
        <f t="shared" si="1"/>
        <v>1747</v>
      </c>
    </row>
    <row r="3970" ht="22.5" customHeight="1">
      <c r="B3970" s="42" t="str">
        <f>IFERROR(__xludf.DUMMYFUNCTION("""COMPUTED_VALUE"""),"K/1/050525/1")</f>
        <v>K/1/050525/1</v>
      </c>
      <c r="C3970" s="42" t="str">
        <f>IFERROR(__xludf.DUMMYFUNCTION("""COMPUTED_VALUE"""),"M. 1154/ Kuripan")</f>
        <v>M. 1154/ Kuripan</v>
      </c>
      <c r="D3970" s="42" t="str">
        <f>IFERROR(__xludf.DUMMYFUNCTION("""COMPUTED_VALUE"""),"David")</f>
        <v>David</v>
      </c>
      <c r="E3970" s="42" t="str">
        <f>IFERROR(__xludf.DUMMYFUNCTION("""COMPUTED_VALUE"""),"DISERAHKAN")</f>
        <v>DISERAHKAN</v>
      </c>
      <c r="F3970" s="48">
        <f>IFERROR(__xludf.DUMMYFUNCTION("""COMPUTED_VALUE"""),45803.48203234954)</f>
        <v>45803.48203</v>
      </c>
      <c r="G3970" s="42" t="str">
        <f>IFERROR(__xludf.DUMMYFUNCTION("""COMPUTED_VALUE"""),"ROYA")</f>
        <v>ROYA</v>
      </c>
      <c r="H3970" s="42">
        <f t="shared" si="1"/>
        <v>1748</v>
      </c>
    </row>
    <row r="3971" ht="22.5" customHeight="1">
      <c r="B3971" s="42" t="str">
        <f>IFERROR(__xludf.DUMMYFUNCTION("""COMPUTED_VALUE"""),"K/2/050525/1")</f>
        <v>K/2/050525/1</v>
      </c>
      <c r="C3971" s="42" t="str">
        <f>IFERROR(__xludf.DUMMYFUNCTION("""COMPUTED_VALUE"""),"M.971/KETEGUHAN; M.948/KETEGUHAN ")</f>
        <v>M.971/KETEGUHAN; M.948/KETEGUHAN </v>
      </c>
      <c r="D3971" s="42"/>
      <c r="E3971" s="42"/>
      <c r="F3971" s="48" t="str">
        <f>IFERROR(__xludf.DUMMYFUNCTION("""COMPUTED_VALUE"""),"")</f>
        <v/>
      </c>
      <c r="G3971" s="42" t="str">
        <f>IFERROR(__xludf.DUMMYFUNCTION("""COMPUTED_VALUE"""),"CASSIE")</f>
        <v>CASSIE</v>
      </c>
      <c r="H3971" s="42">
        <f t="shared" si="1"/>
        <v>1748</v>
      </c>
    </row>
    <row r="3972" ht="22.5" customHeight="1">
      <c r="B3972" s="42" t="str">
        <f>IFERROR(__xludf.DUMMYFUNCTION("""COMPUTED_VALUE"""),"K/3/050525/2")</f>
        <v>K/3/050525/2</v>
      </c>
      <c r="C3972" s="42" t="str">
        <f>IFERROR(__xludf.DUMMYFUNCTION("""COMPUTED_VALUE"""),"M.983/KURIPAN")</f>
        <v>M.983/KURIPAN</v>
      </c>
      <c r="D3972" s="42" t="str">
        <f>IFERROR(__xludf.DUMMYFUNCTION("""COMPUTED_VALUE"""),"David")</f>
        <v>David</v>
      </c>
      <c r="E3972" s="42" t="str">
        <f>IFERROR(__xludf.DUMMYFUNCTION("""COMPUTED_VALUE"""),"DISERAHKAN")</f>
        <v>DISERAHKAN</v>
      </c>
      <c r="F3972" s="48">
        <f>IFERROR(__xludf.DUMMYFUNCTION("""COMPUTED_VALUE"""),45846.66026065972)</f>
        <v>45846.66026</v>
      </c>
      <c r="G3972" s="42" t="str">
        <f>IFERROR(__xludf.DUMMYFUNCTION("""COMPUTED_VALUE"""),"CASSIE")</f>
        <v>CASSIE</v>
      </c>
      <c r="H3972" s="42">
        <f t="shared" si="1"/>
        <v>1749</v>
      </c>
    </row>
    <row r="3973" ht="22.5" customHeight="1">
      <c r="B3973" s="42" t="str">
        <f>IFERROR(__xludf.DUMMYFUNCTION("""COMPUTED_VALUE"""),"K/4/050525/3")</f>
        <v>K/4/050525/3</v>
      </c>
      <c r="C3973" s="42" t="str">
        <f>IFERROR(__xludf.DUMMYFUNCTION("""COMPUTED_VALUE"""),"M.753/GEDONG AIR ")</f>
        <v>M.753/GEDONG AIR </v>
      </c>
      <c r="D3973" s="42"/>
      <c r="E3973" s="42"/>
      <c r="F3973" s="48" t="str">
        <f>IFERROR(__xludf.DUMMYFUNCTION("""COMPUTED_VALUE"""),"")</f>
        <v/>
      </c>
      <c r="G3973" s="42" t="str">
        <f>IFERROR(__xludf.DUMMYFUNCTION("""COMPUTED_VALUE"""),"CASSIE")</f>
        <v>CASSIE</v>
      </c>
      <c r="H3973" s="42">
        <f t="shared" si="1"/>
        <v>1749</v>
      </c>
    </row>
    <row r="3974" ht="22.5" customHeight="1">
      <c r="B3974" s="42" t="str">
        <f>IFERROR(__xludf.DUMMYFUNCTION("""COMPUTED_VALUE"""),"L/5/050525/1")</f>
        <v>L/5/050525/1</v>
      </c>
      <c r="C3974" s="42" t="str">
        <f>IFERROR(__xludf.DUMMYFUNCTION("""COMPUTED_VALUE"""),"HGB 242/JAGABAYA 2")</f>
        <v>HGB 242/JAGABAYA 2</v>
      </c>
      <c r="D3974" s="42"/>
      <c r="E3974" s="42"/>
      <c r="F3974" s="48" t="str">
        <f>IFERROR(__xludf.DUMMYFUNCTION("""COMPUTED_VALUE"""),"")</f>
        <v/>
      </c>
      <c r="G3974" s="42" t="str">
        <f>IFERROR(__xludf.DUMMYFUNCTION("""COMPUTED_VALUE"""),"ASPEK (HGB MATI)")</f>
        <v>ASPEK (HGB MATI)</v>
      </c>
      <c r="H3974" s="42">
        <f t="shared" si="1"/>
        <v>1749</v>
      </c>
    </row>
    <row r="3975" ht="22.5" customHeight="1">
      <c r="B3975" s="42" t="str">
        <f>IFERROR(__xludf.DUMMYFUNCTION("""COMPUTED_VALUE"""),"L/7/050525/1")</f>
        <v>L/7/050525/1</v>
      </c>
      <c r="C3975" s="42" t="str">
        <f>IFERROR(__xludf.DUMMYFUNCTION("""COMPUTED_VALUE"""),"HM 983/KURIPAN")</f>
        <v>HM 983/KURIPAN</v>
      </c>
      <c r="D3975" s="42"/>
      <c r="E3975" s="42"/>
      <c r="F3975" s="48" t="str">
        <f>IFERROR(__xludf.DUMMYFUNCTION("""COMPUTED_VALUE"""),"")</f>
        <v/>
      </c>
      <c r="G3975" s="42" t="str">
        <f>IFERROR(__xludf.DUMMYFUNCTION("""COMPUTED_VALUE"""),"BLOKIR")</f>
        <v>BLOKIR</v>
      </c>
      <c r="H3975" s="42">
        <f t="shared" si="1"/>
        <v>1749</v>
      </c>
    </row>
    <row r="3976" ht="22.5" customHeight="1">
      <c r="B3976" s="42" t="str">
        <f>IFERROR(__xludf.DUMMYFUNCTION("""COMPUTED_VALUE"""),"K/6/050525/1")</f>
        <v>K/6/050525/1</v>
      </c>
      <c r="C3976" s="42" t="str">
        <f>IFERROR(__xludf.DUMMYFUNCTION("""COMPUTED_VALUE"""),"PBT 121/2021 SUMUR PUTRI")</f>
        <v>PBT 121/2021 SUMUR PUTRI</v>
      </c>
      <c r="D3976" s="42"/>
      <c r="E3976" s="42"/>
      <c r="F3976" s="48" t="str">
        <f>IFERROR(__xludf.DUMMYFUNCTION("""COMPUTED_VALUE"""),"")</f>
        <v/>
      </c>
      <c r="G3976" s="42" t="str">
        <f>IFERROR(__xludf.DUMMYFUNCTION("""COMPUTED_VALUE"""),"PENDAFTARAN SK")</f>
        <v>PENDAFTARAN SK</v>
      </c>
      <c r="H3976" s="42">
        <f t="shared" si="1"/>
        <v>1749</v>
      </c>
    </row>
    <row r="3977" ht="22.5" customHeight="1">
      <c r="B3977" s="42" t="str">
        <f>IFERROR(__xludf.DUMMYFUNCTION("""COMPUTED_VALUE"""),"L/8/050525/1")</f>
        <v>L/8/050525/1</v>
      </c>
      <c r="C3977" s="42" t="str">
        <f>IFERROR(__xludf.DUMMYFUNCTION("""COMPUTED_VALUE"""),"HM 2673/WAY LAGA")</f>
        <v>HM 2673/WAY LAGA</v>
      </c>
      <c r="D3977" s="42"/>
      <c r="E3977" s="42"/>
      <c r="F3977" s="48" t="str">
        <f>IFERROR(__xludf.DUMMYFUNCTION("""COMPUTED_VALUE"""),"")</f>
        <v/>
      </c>
      <c r="G3977" s="42" t="str">
        <f>IFERROR(__xludf.DUMMYFUNCTION("""COMPUTED_VALUE"""),"PENGHAPUSAN BPHTB")</f>
        <v>PENGHAPUSAN BPHTB</v>
      </c>
      <c r="H3977" s="42">
        <f t="shared" si="1"/>
        <v>1749</v>
      </c>
    </row>
    <row r="3978" ht="22.5" customHeight="1">
      <c r="B3978" s="42" t="str">
        <f>IFERROR(__xludf.DUMMYFUNCTION("""COMPUTED_VALUE"""),"K/9/050525/1")</f>
        <v>K/9/050525/1</v>
      </c>
      <c r="C3978" s="42" t="str">
        <f>IFERROR(__xludf.DUMMYFUNCTION("""COMPUTED_VALUE"""),"Nibel. M. 17367/ Sukabumi")</f>
        <v>Nibel. M. 17367/ Sukabumi</v>
      </c>
      <c r="D3978" s="42"/>
      <c r="E3978" s="42"/>
      <c r="F3978" s="48" t="str">
        <f>IFERROR(__xludf.DUMMYFUNCTION("""COMPUTED_VALUE"""),"")</f>
        <v/>
      </c>
      <c r="G3978" s="42" t="str">
        <f>IFERROR(__xludf.DUMMYFUNCTION("""COMPUTED_VALUE"""),"BN Jual Beli")</f>
        <v>BN Jual Beli</v>
      </c>
      <c r="H3978" s="42">
        <f t="shared" si="1"/>
        <v>1749</v>
      </c>
    </row>
    <row r="3979" ht="22.5" customHeight="1">
      <c r="B3979" s="42" t="str">
        <f>IFERROR(__xludf.DUMMYFUNCTION("""COMPUTED_VALUE"""),"K/11/050525/1")</f>
        <v>K/11/050525/1</v>
      </c>
      <c r="C3979" s="42" t="str">
        <f>IFERROR(__xludf.DUMMYFUNCTION("""COMPUTED_VALUE"""),"M. 10251/ Segala Mider")</f>
        <v>M. 10251/ Segala Mider</v>
      </c>
      <c r="D3979" s="42" t="str">
        <f>IFERROR(__xludf.DUMMYFUNCTION("""COMPUTED_VALUE"""),"Berry")</f>
        <v>Berry</v>
      </c>
      <c r="E3979" s="42" t="str">
        <f>IFERROR(__xludf.DUMMYFUNCTION("""COMPUTED_VALUE"""),"DISERAHKAN")</f>
        <v>DISERAHKAN</v>
      </c>
      <c r="F3979" s="48">
        <f>IFERROR(__xludf.DUMMYFUNCTION("""COMPUTED_VALUE"""),45799.70605717592)</f>
        <v>45799.70606</v>
      </c>
      <c r="G3979" s="42" t="str">
        <f>IFERROR(__xludf.DUMMYFUNCTION("""COMPUTED_VALUE"""),"BN HIBAH")</f>
        <v>BN HIBAH</v>
      </c>
      <c r="H3979" s="42">
        <f t="shared" si="1"/>
        <v>1750</v>
      </c>
    </row>
    <row r="3980" ht="22.5" customHeight="1">
      <c r="B3980" s="42" t="str">
        <f>IFERROR(__xludf.DUMMYFUNCTION("""COMPUTED_VALUE"""),"K/10/050525/1")</f>
        <v>K/10/050525/1</v>
      </c>
      <c r="C3980" s="42" t="str">
        <f>IFERROR(__xludf.DUMMYFUNCTION("""COMPUTED_VALUE"""),"M. 11672/ Sukarame")</f>
        <v>M. 11672/ Sukarame</v>
      </c>
      <c r="D3980" s="42"/>
      <c r="E3980" s="42"/>
      <c r="F3980" s="48" t="str">
        <f>IFERROR(__xludf.DUMMYFUNCTION("""COMPUTED_VALUE"""),"")</f>
        <v/>
      </c>
      <c r="G3980" s="42" t="str">
        <f>IFERROR(__xludf.DUMMYFUNCTION("""COMPUTED_VALUE"""),"SKPT Lelang")</f>
        <v>SKPT Lelang</v>
      </c>
      <c r="H3980" s="42">
        <f t="shared" si="1"/>
        <v>1750</v>
      </c>
    </row>
    <row r="3981" ht="22.5" customHeight="1">
      <c r="B3981" s="42" t="str">
        <f>IFERROR(__xludf.DUMMYFUNCTION("""COMPUTED_VALUE"""),"L/13/050525/1")</f>
        <v>L/13/050525/1</v>
      </c>
      <c r="C3981" s="42" t="str">
        <f>IFERROR(__xludf.DUMMYFUNCTION("""COMPUTED_VALUE"""),"HM 12252/SEGALA MIDER")</f>
        <v>HM 12252/SEGALA MIDER</v>
      </c>
      <c r="D3981" s="42" t="str">
        <f>IFERROR(__xludf.DUMMYFUNCTION("""COMPUTED_VALUE"""),"David")</f>
        <v>David</v>
      </c>
      <c r="E3981" s="42" t="str">
        <f>IFERROR(__xludf.DUMMYFUNCTION("""COMPUTED_VALUE"""),"DISERAHKAN")</f>
        <v>DISERAHKAN</v>
      </c>
      <c r="F3981" s="48">
        <f>IFERROR(__xludf.DUMMYFUNCTION("""COMPUTED_VALUE"""),45813.4784928588)</f>
        <v>45813.47849</v>
      </c>
      <c r="G3981" s="42" t="str">
        <f>IFERROR(__xludf.DUMMYFUNCTION("""COMPUTED_VALUE"""),"ROYA")</f>
        <v>ROYA</v>
      </c>
      <c r="H3981" s="42">
        <f t="shared" si="1"/>
        <v>1751</v>
      </c>
    </row>
    <row r="3982" ht="22.5" customHeight="1">
      <c r="B3982" s="42" t="str">
        <f>IFERROR(__xludf.DUMMYFUNCTION("""COMPUTED_VALUE"""),"K/12/050525/1")</f>
        <v>K/12/050525/1</v>
      </c>
      <c r="C3982" s="42" t="str">
        <f>IFERROR(__xludf.DUMMYFUNCTION("""COMPUTED_VALUE"""),"M. 118/TANJUNG GADING")</f>
        <v>M. 118/TANJUNG GADING</v>
      </c>
      <c r="D3982" s="42" t="str">
        <f>IFERROR(__xludf.DUMMYFUNCTION("""COMPUTED_VALUE"""),"David")</f>
        <v>David</v>
      </c>
      <c r="E3982" s="42" t="str">
        <f>IFERROR(__xludf.DUMMYFUNCTION("""COMPUTED_VALUE"""),"DISERAHKAN")</f>
        <v>DISERAHKAN</v>
      </c>
      <c r="F3982" s="48">
        <f>IFERROR(__xludf.DUMMYFUNCTION("""COMPUTED_VALUE"""),45825.648103368054)</f>
        <v>45825.6481</v>
      </c>
      <c r="G3982" s="42" t="str">
        <f>IFERROR(__xludf.DUMMYFUNCTION("""COMPUTED_VALUE"""),"ROYA")</f>
        <v>ROYA</v>
      </c>
      <c r="H3982" s="42">
        <f t="shared" si="1"/>
        <v>1752</v>
      </c>
    </row>
    <row r="3983" ht="22.5" customHeight="1">
      <c r="B3983" s="42" t="str">
        <f>IFERROR(__xludf.DUMMYFUNCTION("""COMPUTED_VALUE"""),"L/14/050525/1")</f>
        <v>L/14/050525/1</v>
      </c>
      <c r="C3983" s="42" t="str">
        <f>IFERROR(__xludf.DUMMYFUNCTION("""COMPUTED_VALUE"""),"NIB 20861/SUKARAME BARU")</f>
        <v>NIB 20861/SUKARAME BARU</v>
      </c>
      <c r="D3983" s="42"/>
      <c r="E3983" s="42"/>
      <c r="F3983" s="48" t="str">
        <f>IFERROR(__xludf.DUMMYFUNCTION("""COMPUTED_VALUE"""),"")</f>
        <v/>
      </c>
      <c r="G3983" s="42" t="str">
        <f>IFERROR(__xludf.DUMMYFUNCTION("""COMPUTED_VALUE"""),"BN LELANG")</f>
        <v>BN LELANG</v>
      </c>
      <c r="H3983" s="42">
        <f t="shared" si="1"/>
        <v>1752</v>
      </c>
    </row>
    <row r="3984" ht="22.5" customHeight="1">
      <c r="B3984" s="42" t="str">
        <f>IFERROR(__xludf.DUMMYFUNCTION("""COMPUTED_VALUE""")," K/15/050525/1")</f>
        <v> K/15/050525/1</v>
      </c>
      <c r="C3984" s="42" t="str">
        <f>IFERROR(__xludf.DUMMYFUNCTION("""COMPUTED_VALUE"""),"M. 293/ Sukarame Baru")</f>
        <v>M. 293/ Sukarame Baru</v>
      </c>
      <c r="D3984" s="42"/>
      <c r="E3984" s="42"/>
      <c r="F3984" s="48" t="str">
        <f>IFERROR(__xludf.DUMMYFUNCTION("""COMPUTED_VALUE"""),"")</f>
        <v/>
      </c>
      <c r="G3984" s="42" t="str">
        <f>IFERROR(__xludf.DUMMYFUNCTION("""COMPUTED_VALUE"""),"BN Jual Beli")</f>
        <v>BN Jual Beli</v>
      </c>
      <c r="H3984" s="42">
        <f t="shared" si="1"/>
        <v>1752</v>
      </c>
    </row>
    <row r="3985" ht="22.5" customHeight="1">
      <c r="B3985" s="42" t="str">
        <f>IFERROR(__xludf.DUMMYFUNCTION("""COMPUTED_VALUE"""),"K/16/050525/1")</f>
        <v>K/16/050525/1</v>
      </c>
      <c r="C3985" s="42" t="str">
        <f>IFERROR(__xludf.DUMMYFUNCTION("""COMPUTED_VALUE"""),"M. 1275/KETEGUHAN")</f>
        <v>M. 1275/KETEGUHAN</v>
      </c>
      <c r="D3985" s="42" t="str">
        <f>IFERROR(__xludf.DUMMYFUNCTION("""COMPUTED_VALUE"""),"Berry")</f>
        <v>Berry</v>
      </c>
      <c r="E3985" s="42" t="str">
        <f>IFERROR(__xludf.DUMMYFUNCTION("""COMPUTED_VALUE"""),"DISERAHKAN")</f>
        <v>DISERAHKAN</v>
      </c>
      <c r="F3985" s="48">
        <f>IFERROR(__xludf.DUMMYFUNCTION("""COMPUTED_VALUE"""),45799.707381631946)</f>
        <v>45799.70738</v>
      </c>
      <c r="G3985" s="42" t="str">
        <f>IFERROR(__xludf.DUMMYFUNCTION("""COMPUTED_VALUE"""),"BN JUAL BELI")</f>
        <v>BN JUAL BELI</v>
      </c>
      <c r="H3985" s="42">
        <f t="shared" si="1"/>
        <v>1753</v>
      </c>
    </row>
    <row r="3986" ht="22.5" customHeight="1">
      <c r="B3986" s="42" t="str">
        <f>IFERROR(__xludf.DUMMYFUNCTION("""COMPUTED_VALUE"""),"K/17/050525/1")</f>
        <v>K/17/050525/1</v>
      </c>
      <c r="C3986" s="42" t="str">
        <f>IFERROR(__xludf.DUMMYFUNCTION("""COMPUTED_VALUE"""),"Nibel 16659/ Labuhan Dalam")</f>
        <v>Nibel 16659/ Labuhan Dalam</v>
      </c>
      <c r="D3986" s="42"/>
      <c r="E3986" s="42"/>
      <c r="F3986" s="48" t="str">
        <f>IFERROR(__xludf.DUMMYFUNCTION("""COMPUTED_VALUE"""),"")</f>
        <v/>
      </c>
      <c r="G3986" s="42" t="str">
        <f>IFERROR(__xludf.DUMMYFUNCTION("""COMPUTED_VALUE"""),"BN JUAL BELI")</f>
        <v>BN JUAL BELI</v>
      </c>
      <c r="H3986" s="42">
        <f t="shared" si="1"/>
        <v>1753</v>
      </c>
    </row>
    <row r="3987" ht="22.5" customHeight="1">
      <c r="B3987" s="42" t="str">
        <f>IFERROR(__xludf.DUMMYFUNCTION("""COMPUTED_VALUE"""),"K/18/050525/2")</f>
        <v>K/18/050525/2</v>
      </c>
      <c r="C3987" s="42" t="str">
        <f>IFERROR(__xludf.DUMMYFUNCTION("""COMPUTED_VALUE"""),"Nibel 18795/ Labuhan Ratu Raya")</f>
        <v>Nibel 18795/ Labuhan Ratu Raya</v>
      </c>
      <c r="D3987" s="42"/>
      <c r="E3987" s="42"/>
      <c r="F3987" s="48" t="str">
        <f>IFERROR(__xludf.DUMMYFUNCTION("""COMPUTED_VALUE"""),"")</f>
        <v/>
      </c>
      <c r="G3987" s="42" t="str">
        <f>IFERROR(__xludf.DUMMYFUNCTION("""COMPUTED_VALUE"""),"BN JUAL BELI")</f>
        <v>BN JUAL BELI</v>
      </c>
      <c r="H3987" s="42">
        <f t="shared" si="1"/>
        <v>1753</v>
      </c>
    </row>
    <row r="3988" ht="22.5" customHeight="1">
      <c r="B3988" s="42" t="str">
        <f>IFERROR(__xludf.DUMMYFUNCTION("""COMPUTED_VALUE"""),"K/19/050525/3")</f>
        <v>K/19/050525/3</v>
      </c>
      <c r="C3988" s="42" t="str">
        <f>IFERROR(__xludf.DUMMYFUNCTION("""COMPUTED_VALUE"""),"Nibel 17364/ Labuhan Dalam")</f>
        <v>Nibel 17364/ Labuhan Dalam</v>
      </c>
      <c r="D3988" s="42"/>
      <c r="E3988" s="42"/>
      <c r="F3988" s="48" t="str">
        <f>IFERROR(__xludf.DUMMYFUNCTION("""COMPUTED_VALUE"""),"")</f>
        <v/>
      </c>
      <c r="G3988" s="42" t="str">
        <f>IFERROR(__xludf.DUMMYFUNCTION("""COMPUTED_VALUE"""),"BN JUAL BELI")</f>
        <v>BN JUAL BELI</v>
      </c>
      <c r="H3988" s="42">
        <f t="shared" si="1"/>
        <v>1753</v>
      </c>
    </row>
    <row r="3989" ht="22.5" customHeight="1">
      <c r="B3989" s="42" t="str">
        <f>IFERROR(__xludf.DUMMYFUNCTION("""COMPUTED_VALUE"""),"K/20/050525/1")</f>
        <v>K/20/050525/1</v>
      </c>
      <c r="C3989" s="42" t="str">
        <f>IFERROR(__xludf.DUMMYFUNCTION("""COMPUTED_VALUE"""),"NIBEL M.18227/JAGABAYA II")</f>
        <v>NIBEL M.18227/JAGABAYA II</v>
      </c>
      <c r="D3989" s="42"/>
      <c r="E3989" s="42"/>
      <c r="F3989" s="48" t="str">
        <f>IFERROR(__xludf.DUMMYFUNCTION("""COMPUTED_VALUE"""),"")</f>
        <v/>
      </c>
      <c r="G3989" s="42" t="str">
        <f>IFERROR(__xludf.DUMMYFUNCTION("""COMPUTED_VALUE"""),"ROYA")</f>
        <v>ROYA</v>
      </c>
      <c r="H3989" s="42">
        <f t="shared" si="1"/>
        <v>1753</v>
      </c>
    </row>
    <row r="3990" ht="22.5" customHeight="1">
      <c r="B3990" s="42" t="str">
        <f>IFERROR(__xludf.DUMMYFUNCTION("""COMPUTED_VALUE"""),"K/21/050525/1")</f>
        <v>K/21/050525/1</v>
      </c>
      <c r="C3990" s="42" t="str">
        <f>IFERROR(__xludf.DUMMYFUNCTION("""COMPUTED_VALUE"""),"NIBEL M 17442/PANJANG SELATAN")</f>
        <v>NIBEL M 17442/PANJANG SELATAN</v>
      </c>
      <c r="D3990" s="42"/>
      <c r="E3990" s="42"/>
      <c r="F3990" s="48" t="str">
        <f>IFERROR(__xludf.DUMMYFUNCTION("""COMPUTED_VALUE"""),"")</f>
        <v/>
      </c>
      <c r="G3990" s="42" t="str">
        <f>IFERROR(__xludf.DUMMYFUNCTION("""COMPUTED_VALUE"""),"APHB")</f>
        <v>APHB</v>
      </c>
      <c r="H3990" s="42">
        <f t="shared" si="1"/>
        <v>1753</v>
      </c>
    </row>
    <row r="3991" ht="22.5" customHeight="1">
      <c r="B3991" s="42" t="str">
        <f>IFERROR(__xludf.DUMMYFUNCTION("""COMPUTED_VALUE"""),"K/23/050525/1")</f>
        <v>K/23/050525/1</v>
      </c>
      <c r="C3991" s="42" t="str">
        <f>IFERROR(__xludf.DUMMYFUNCTION("""COMPUTED_VALUE"""),"M.135/SUKARAJA")</f>
        <v>M.135/SUKARAJA</v>
      </c>
      <c r="D3991" s="42"/>
      <c r="E3991" s="42"/>
      <c r="F3991" s="48" t="str">
        <f>IFERROR(__xludf.DUMMYFUNCTION("""COMPUTED_VALUE"""),"")</f>
        <v/>
      </c>
      <c r="G3991" s="42" t="str">
        <f>IFERROR(__xludf.DUMMYFUNCTION("""COMPUTED_VALUE"""),"SKPT LELANG")</f>
        <v>SKPT LELANG</v>
      </c>
      <c r="H3991" s="42">
        <f t="shared" si="1"/>
        <v>1753</v>
      </c>
    </row>
    <row r="3992" ht="22.5" customHeight="1">
      <c r="B3992" s="42" t="str">
        <f>IFERROR(__xludf.DUMMYFUNCTION("""COMPUTED_VALUE"""),"K/24/050525/2")</f>
        <v>K/24/050525/2</v>
      </c>
      <c r="C3992" s="42" t="str">
        <f>IFERROR(__xludf.DUMMYFUNCTION("""COMPUTED_VALUE"""),"M.60/RAJABASA NUNYAI")</f>
        <v>M.60/RAJABASA NUNYAI</v>
      </c>
      <c r="D3992" s="42"/>
      <c r="E3992" s="42"/>
      <c r="F3992" s="48" t="str">
        <f>IFERROR(__xludf.DUMMYFUNCTION("""COMPUTED_VALUE"""),"")</f>
        <v/>
      </c>
      <c r="G3992" s="42" t="str">
        <f>IFERROR(__xludf.DUMMYFUNCTION("""COMPUTED_VALUE"""),"SKPT LELANG")</f>
        <v>SKPT LELANG</v>
      </c>
      <c r="H3992" s="42">
        <f t="shared" si="1"/>
        <v>1753</v>
      </c>
    </row>
    <row r="3993" ht="22.5" customHeight="1">
      <c r="B3993" s="42" t="str">
        <f>IFERROR(__xludf.DUMMYFUNCTION("""COMPUTED_VALUE"""),"K/22/050525/1")</f>
        <v>K/22/050525/1</v>
      </c>
      <c r="C3993" s="42" t="str">
        <f>IFERROR(__xludf.DUMMYFUNCTION("""COMPUTED_VALUE"""),"M. 1944/SUMBERREJO SEJAHTERA")</f>
        <v>M. 1944/SUMBERREJO SEJAHTERA</v>
      </c>
      <c r="D3993" s="42"/>
      <c r="E3993" s="42"/>
      <c r="F3993" s="48" t="str">
        <f>IFERROR(__xludf.DUMMYFUNCTION("""COMPUTED_VALUE"""),"")</f>
        <v/>
      </c>
      <c r="G3993" s="42" t="str">
        <f>IFERROR(__xludf.DUMMYFUNCTION("""COMPUTED_VALUE"""),"PEMECAHAN")</f>
        <v>PEMECAHAN</v>
      </c>
      <c r="H3993" s="42">
        <f t="shared" si="1"/>
        <v>1753</v>
      </c>
    </row>
    <row r="3994" ht="22.5" customHeight="1">
      <c r="B3994" s="42" t="str">
        <f>IFERROR(__xludf.DUMMYFUNCTION("""COMPUTED_VALUE"""),"K/25/050525/1")</f>
        <v>K/25/050525/1</v>
      </c>
      <c r="C3994" s="42" t="str">
        <f>IFERROR(__xludf.DUMMYFUNCTION("""COMPUTED_VALUE"""),"M. 1675/KEMILING RAYA")</f>
        <v>M. 1675/KEMILING RAYA</v>
      </c>
      <c r="D3994" s="42" t="str">
        <f>IFERROR(__xludf.DUMMYFUNCTION("""COMPUTED_VALUE"""),"Berry")</f>
        <v>Berry</v>
      </c>
      <c r="E3994" s="42" t="str">
        <f>IFERROR(__xludf.DUMMYFUNCTION("""COMPUTED_VALUE"""),"DISERAHKAN")</f>
        <v>DISERAHKAN</v>
      </c>
      <c r="F3994" s="48">
        <f>IFERROR(__xludf.DUMMYFUNCTION("""COMPUTED_VALUE"""),45824.50173712963)</f>
        <v>45824.50174</v>
      </c>
      <c r="G3994" s="42" t="str">
        <f>IFERROR(__xludf.DUMMYFUNCTION("""COMPUTED_VALUE"""),"BN WARIS")</f>
        <v>BN WARIS</v>
      </c>
      <c r="H3994" s="42">
        <f t="shared" si="1"/>
        <v>1754</v>
      </c>
    </row>
    <row r="3995" ht="22.5" customHeight="1">
      <c r="B3995" s="42" t="str">
        <f>IFERROR(__xludf.DUMMYFUNCTION("""COMPUTED_VALUE"""),"K/27/050525/1")</f>
        <v>K/27/050525/1</v>
      </c>
      <c r="C3995" s="42" t="str">
        <f>IFERROR(__xludf.DUMMYFUNCTION("""COMPUTED_VALUE"""),"M.3855/TANJUNG SENENG")</f>
        <v>M.3855/TANJUNG SENENG</v>
      </c>
      <c r="D3995" s="42" t="str">
        <f>IFERROR(__xludf.DUMMYFUNCTION("""COMPUTED_VALUE"""),"Berry")</f>
        <v>Berry</v>
      </c>
      <c r="E3995" s="42" t="str">
        <f>IFERROR(__xludf.DUMMYFUNCTION("""COMPUTED_VALUE"""),"DISERAHKAN")</f>
        <v>DISERAHKAN</v>
      </c>
      <c r="F3995" s="48">
        <f>IFERROR(__xludf.DUMMYFUNCTION("""COMPUTED_VALUE"""),45796.47466769676)</f>
        <v>45796.47467</v>
      </c>
      <c r="G3995" s="42" t="str">
        <f>IFERROR(__xludf.DUMMYFUNCTION("""COMPUTED_VALUE"""),"JUAL BELI")</f>
        <v>JUAL BELI</v>
      </c>
      <c r="H3995" s="42">
        <f t="shared" si="1"/>
        <v>1755</v>
      </c>
    </row>
    <row r="3996" ht="22.5" customHeight="1">
      <c r="B3996" s="42" t="str">
        <f>IFERROR(__xludf.DUMMYFUNCTION("""COMPUTED_VALUE"""),"K/26/050525/1")</f>
        <v>K/26/050525/1</v>
      </c>
      <c r="C3996" s="42" t="str">
        <f>IFERROR(__xludf.DUMMYFUNCTION("""COMPUTED_VALUE"""),"TANAH MENTAH")</f>
        <v>TANAH MENTAH</v>
      </c>
      <c r="D3996" s="42"/>
      <c r="E3996" s="42"/>
      <c r="F3996" s="48" t="str">
        <f>IFERROR(__xludf.DUMMYFUNCTION("""COMPUTED_VALUE"""),"")</f>
        <v/>
      </c>
      <c r="G3996" s="42" t="str">
        <f>IFERROR(__xludf.DUMMYFUNCTION("""COMPUTED_VALUE"""),"PERNGUKURAN PERTAMA KALI")</f>
        <v>PERNGUKURAN PERTAMA KALI</v>
      </c>
      <c r="H3996" s="42">
        <f t="shared" si="1"/>
        <v>1755</v>
      </c>
    </row>
    <row r="3997" ht="22.5" customHeight="1">
      <c r="B3997" s="42" t="str">
        <f>IFERROR(__xludf.DUMMYFUNCTION("""COMPUTED_VALUE"""),"L/28/050525/1")</f>
        <v>L/28/050525/1</v>
      </c>
      <c r="C3997" s="42" t="str">
        <f>IFERROR(__xludf.DUMMYFUNCTION("""COMPUTED_VALUE"""),"HM 855/SUKABUMI")</f>
        <v>HM 855/SUKABUMI</v>
      </c>
      <c r="D3997" s="42" t="str">
        <f>IFERROR(__xludf.DUMMYFUNCTION("""COMPUTED_VALUE"""),"David")</f>
        <v>David</v>
      </c>
      <c r="E3997" s="42" t="str">
        <f>IFERROR(__xludf.DUMMYFUNCTION("""COMPUTED_VALUE"""),"DISERAHKAN")</f>
        <v>DISERAHKAN</v>
      </c>
      <c r="F3997" s="48">
        <f>IFERROR(__xludf.DUMMYFUNCTION("""COMPUTED_VALUE"""),45803.48138138889)</f>
        <v>45803.48138</v>
      </c>
      <c r="G3997" s="42" t="str">
        <f>IFERROR(__xludf.DUMMYFUNCTION("""COMPUTED_VALUE"""),"ROYA")</f>
        <v>ROYA</v>
      </c>
      <c r="H3997" s="42">
        <f t="shared" si="1"/>
        <v>1756</v>
      </c>
    </row>
    <row r="3998" ht="22.5" customHeight="1">
      <c r="B3998" s="42" t="str">
        <f>IFERROR(__xludf.DUMMYFUNCTION("""COMPUTED_VALUE"""),"K/29/050525/1")</f>
        <v>K/29/050525/1</v>
      </c>
      <c r="C3998" s="42" t="str">
        <f>IFERROR(__xludf.DUMMYFUNCTION("""COMPUTED_VALUE"""),"M.1708/SUMUR BATU")</f>
        <v>M.1708/SUMUR BATU</v>
      </c>
      <c r="D3998" s="42"/>
      <c r="E3998" s="42"/>
      <c r="F3998" s="48" t="str">
        <f>IFERROR(__xludf.DUMMYFUNCTION("""COMPUTED_VALUE"""),"")</f>
        <v/>
      </c>
      <c r="G3998" s="42" t="str">
        <f>IFERROR(__xludf.DUMMYFUNCTION("""COMPUTED_VALUE"""),"HAPUS BPHTB")</f>
        <v>HAPUS BPHTB</v>
      </c>
      <c r="H3998" s="42">
        <f t="shared" si="1"/>
        <v>1756</v>
      </c>
    </row>
    <row r="3999" ht="22.5" customHeight="1">
      <c r="B3999" s="42" t="str">
        <f>IFERROR(__xludf.DUMMYFUNCTION("""COMPUTED_VALUE"""),"K/1/060525/1")</f>
        <v>K/1/060525/1</v>
      </c>
      <c r="C3999" s="42" t="str">
        <f>IFERROR(__xludf.DUMMYFUNCTION("""COMPUTED_VALUE"""),"Nibel 16245/ Sumur Putri")</f>
        <v>Nibel 16245/ Sumur Putri</v>
      </c>
      <c r="D3999" s="42"/>
      <c r="E3999" s="42"/>
      <c r="F3999" s="48" t="str">
        <f>IFERROR(__xludf.DUMMYFUNCTION("""COMPUTED_VALUE"""),"")</f>
        <v/>
      </c>
      <c r="G3999" s="42" t="str">
        <f>IFERROR(__xludf.DUMMYFUNCTION("""COMPUTED_VALUE"""),"BN JUAL BELI")</f>
        <v>BN JUAL BELI</v>
      </c>
      <c r="H3999" s="42">
        <f t="shared" si="1"/>
        <v>1756</v>
      </c>
    </row>
    <row r="4000" ht="22.5" customHeight="1">
      <c r="B4000" s="42" t="str">
        <f>IFERROR(__xludf.DUMMYFUNCTION("""COMPUTED_VALUE"""),"K/2/060525/1")</f>
        <v>K/2/060525/1</v>
      </c>
      <c r="C4000" s="42" t="str">
        <f>IFERROR(__xludf.DUMMYFUNCTION("""COMPUTED_VALUE"""),"Nibel. 19444/ Keteguhan")</f>
        <v>Nibel. 19444/ Keteguhan</v>
      </c>
      <c r="D4000" s="42"/>
      <c r="E4000" s="42"/>
      <c r="F4000" s="48" t="str">
        <f>IFERROR(__xludf.DUMMYFUNCTION("""COMPUTED_VALUE"""),"")</f>
        <v/>
      </c>
      <c r="G4000" s="42" t="str">
        <f>IFERROR(__xludf.DUMMYFUNCTION("""COMPUTED_VALUE"""),"Perubahan Hak")</f>
        <v>Perubahan Hak</v>
      </c>
      <c r="H4000" s="42">
        <f t="shared" si="1"/>
        <v>1756</v>
      </c>
    </row>
    <row r="4001" ht="22.5" customHeight="1">
      <c r="B4001" s="42" t="str">
        <f>IFERROR(__xludf.DUMMYFUNCTION("""COMPUTED_VALUE"""),"L/3/060525/1")</f>
        <v>L/3/060525/1</v>
      </c>
      <c r="C4001" s="42" t="str">
        <f>IFERROR(__xludf.DUMMYFUNCTION("""COMPUTED_VALUE"""),"M.1917/TANJUNG SENENG")</f>
        <v>M.1917/TANJUNG SENENG</v>
      </c>
      <c r="D4001" s="42" t="str">
        <f>IFERROR(__xludf.DUMMYFUNCTION("""COMPUTED_VALUE"""),"David")</f>
        <v>David</v>
      </c>
      <c r="E4001" s="42" t="str">
        <f>IFERROR(__xludf.DUMMYFUNCTION("""COMPUTED_VALUE"""),"DISERAHKAN")</f>
        <v>DISERAHKAN</v>
      </c>
      <c r="F4001" s="48">
        <f>IFERROR(__xludf.DUMMYFUNCTION("""COMPUTED_VALUE"""),45813.477321909726)</f>
        <v>45813.47732</v>
      </c>
      <c r="G4001" s="42" t="str">
        <f>IFERROR(__xludf.DUMMYFUNCTION("""COMPUTED_VALUE"""),"ROYA")</f>
        <v>ROYA</v>
      </c>
      <c r="H4001" s="42">
        <f t="shared" si="1"/>
        <v>1757</v>
      </c>
    </row>
    <row r="4002" ht="22.5" customHeight="1">
      <c r="B4002" s="42" t="str">
        <f>IFERROR(__xludf.DUMMYFUNCTION("""COMPUTED_VALUE"""),"L/4/060525/1")</f>
        <v>L/4/060525/1</v>
      </c>
      <c r="C4002" s="42" t="str">
        <f>IFERROR(__xludf.DUMMYFUNCTION("""COMPUTED_VALUE"""),"M.1189/PANJANG SELATAN")</f>
        <v>M.1189/PANJANG SELATAN</v>
      </c>
      <c r="D4002" s="42"/>
      <c r="E4002" s="42"/>
      <c r="F4002" s="48" t="str">
        <f>IFERROR(__xludf.DUMMYFUNCTION("""COMPUTED_VALUE"""),"")</f>
        <v/>
      </c>
      <c r="G4002" s="42" t="str">
        <f>IFERROR(__xludf.DUMMYFUNCTION("""COMPUTED_VALUE"""),"BLOKIR")</f>
        <v>BLOKIR</v>
      </c>
      <c r="H4002" s="42">
        <f t="shared" si="1"/>
        <v>1757</v>
      </c>
    </row>
    <row r="4003" ht="22.5" customHeight="1">
      <c r="B4003" s="42" t="str">
        <f>IFERROR(__xludf.DUMMYFUNCTION("""COMPUTED_VALUE""")," K/5/060525/1")</f>
        <v> K/5/060525/1</v>
      </c>
      <c r="C4003" s="42" t="str">
        <f>IFERROR(__xludf.DUMMYFUNCTION("""COMPUTED_VALUE"""),"M. 1483/ Bumi Waras")</f>
        <v>M. 1483/ Bumi Waras</v>
      </c>
      <c r="D4003" s="42" t="str">
        <f>IFERROR(__xludf.DUMMYFUNCTION("""COMPUTED_VALUE"""),"Berry")</f>
        <v>Berry</v>
      </c>
      <c r="E4003" s="42" t="str">
        <f>IFERROR(__xludf.DUMMYFUNCTION("""COMPUTED_VALUE"""),"DISERAHKAN")</f>
        <v>DISERAHKAN</v>
      </c>
      <c r="F4003" s="48">
        <f>IFERROR(__xludf.DUMMYFUNCTION("""COMPUTED_VALUE"""),45803.44427331019)</f>
        <v>45803.44427</v>
      </c>
      <c r="G4003" s="42" t="str">
        <f>IFERROR(__xludf.DUMMYFUNCTION("""COMPUTED_VALUE"""),"BN Jual Beli")</f>
        <v>BN Jual Beli</v>
      </c>
      <c r="H4003" s="42">
        <f t="shared" si="1"/>
        <v>1758</v>
      </c>
    </row>
    <row r="4004" ht="22.5" customHeight="1">
      <c r="B4004" s="42" t="str">
        <f>IFERROR(__xludf.DUMMYFUNCTION("""COMPUTED_VALUE"""),"K/6/060525/1")</f>
        <v>K/6/060525/1</v>
      </c>
      <c r="C4004" s="42" t="str">
        <f>IFERROR(__xludf.DUMMYFUNCTION("""COMPUTED_VALUE"""),"M. 2283/ Sukajawa")</f>
        <v>M. 2283/ Sukajawa</v>
      </c>
      <c r="D4004" s="42" t="str">
        <f>IFERROR(__xludf.DUMMYFUNCTION("""COMPUTED_VALUE"""),"Berry")</f>
        <v>Berry</v>
      </c>
      <c r="E4004" s="42" t="str">
        <f>IFERROR(__xludf.DUMMYFUNCTION("""COMPUTED_VALUE"""),"DISERAHKAN")</f>
        <v>DISERAHKAN</v>
      </c>
      <c r="F4004" s="48">
        <f>IFERROR(__xludf.DUMMYFUNCTION("""COMPUTED_VALUE"""),45838.656535682865)</f>
        <v>45838.65654</v>
      </c>
      <c r="G4004" s="42" t="str">
        <f>IFERROR(__xludf.DUMMYFUNCTION("""COMPUTED_VALUE"""),"BN JUAL BELI")</f>
        <v>BN JUAL BELI</v>
      </c>
      <c r="H4004" s="42">
        <f t="shared" si="1"/>
        <v>1759</v>
      </c>
    </row>
    <row r="4005" ht="22.5" customHeight="1">
      <c r="B4005" s="42" t="str">
        <f>IFERROR(__xludf.DUMMYFUNCTION("""COMPUTED_VALUE"""),"K/7/060525/1")</f>
        <v>K/7/060525/1</v>
      </c>
      <c r="C4005" s="42" t="str">
        <f>IFERROR(__xludf.DUMMYFUNCTION("""COMPUTED_VALUE"""),"M. 2951/ Bumi Waras")</f>
        <v>M. 2951/ Bumi Waras</v>
      </c>
      <c r="D4005" s="42"/>
      <c r="E4005" s="42"/>
      <c r="F4005" s="48" t="str">
        <f>IFERROR(__xludf.DUMMYFUNCTION("""COMPUTED_VALUE"""),"")</f>
        <v/>
      </c>
      <c r="G4005" s="42" t="str">
        <f>IFERROR(__xludf.DUMMYFUNCTION("""COMPUTED_VALUE"""),"HAPUS BPHTB")</f>
        <v>HAPUS BPHTB</v>
      </c>
      <c r="H4005" s="42">
        <f t="shared" si="1"/>
        <v>1759</v>
      </c>
    </row>
    <row r="4006" ht="22.5" customHeight="1">
      <c r="B4006" s="42" t="str">
        <f>IFERROR(__xludf.DUMMYFUNCTION("""COMPUTED_VALUE"""),"K/10/060525/1")</f>
        <v>K/10/060525/1</v>
      </c>
      <c r="C4006" s="42" t="str">
        <f>IFERROR(__xludf.DUMMYFUNCTION("""COMPUTED_VALUE"""),"M. 2909/ Kemiling Permai")</f>
        <v>M. 2909/ Kemiling Permai</v>
      </c>
      <c r="D4006" s="42" t="str">
        <f>IFERROR(__xludf.DUMMYFUNCTION("""COMPUTED_VALUE"""),"Berry")</f>
        <v>Berry</v>
      </c>
      <c r="E4006" s="42" t="str">
        <f>IFERROR(__xludf.DUMMYFUNCTION("""COMPUTED_VALUE"""),"DISERAHKAN")</f>
        <v>DISERAHKAN</v>
      </c>
      <c r="F4006" s="48">
        <f>IFERROR(__xludf.DUMMYFUNCTION("""COMPUTED_VALUE"""),45796.46248782407)</f>
        <v>45796.46249</v>
      </c>
      <c r="G4006" s="42" t="str">
        <f>IFERROR(__xludf.DUMMYFUNCTION("""COMPUTED_VALUE"""),"BN Jual Beli")</f>
        <v>BN Jual Beli</v>
      </c>
      <c r="H4006" s="42">
        <f t="shared" si="1"/>
        <v>1760</v>
      </c>
    </row>
    <row r="4007" ht="22.5" customHeight="1">
      <c r="B4007" s="42" t="str">
        <f>IFERROR(__xludf.DUMMYFUNCTION("""COMPUTED_VALUE"""),"K/8/060525/1")</f>
        <v>K/8/060525/1</v>
      </c>
      <c r="C4007" s="42" t="str">
        <f>IFERROR(__xludf.DUMMYFUNCTION("""COMPUTED_VALUE"""),"M. 2298/SEPANG JAYA")</f>
        <v>M. 2298/SEPANG JAYA</v>
      </c>
      <c r="D4007" s="42" t="str">
        <f>IFERROR(__xludf.DUMMYFUNCTION("""COMPUTED_VALUE"""),"Berry")</f>
        <v>Berry</v>
      </c>
      <c r="E4007" s="42" t="str">
        <f>IFERROR(__xludf.DUMMYFUNCTION("""COMPUTED_VALUE"""),"DISERAHKAN")</f>
        <v>DISERAHKAN</v>
      </c>
      <c r="F4007" s="48">
        <f>IFERROR(__xludf.DUMMYFUNCTION("""COMPUTED_VALUE"""),45810.659064120366)</f>
        <v>45810.65906</v>
      </c>
      <c r="G4007" s="42" t="str">
        <f>IFERROR(__xludf.DUMMYFUNCTION("""COMPUTED_VALUE"""),"BN JUAL BELI")</f>
        <v>BN JUAL BELI</v>
      </c>
      <c r="H4007" s="42">
        <f t="shared" si="1"/>
        <v>1761</v>
      </c>
    </row>
    <row r="4008" ht="22.5" customHeight="1">
      <c r="B4008" s="42" t="str">
        <f>IFERROR(__xludf.DUMMYFUNCTION("""COMPUTED_VALUE"""),"K/11/060525/1")</f>
        <v>K/11/060525/1</v>
      </c>
      <c r="C4008" s="42" t="str">
        <f>IFERROR(__xludf.DUMMYFUNCTION("""COMPUTED_VALUE"""),"M. 13039/ Segala Mider")</f>
        <v>M. 13039/ Segala Mider</v>
      </c>
      <c r="D4008" s="42" t="str">
        <f>IFERROR(__xludf.DUMMYFUNCTION("""COMPUTED_VALUE"""),"Berry")</f>
        <v>Berry</v>
      </c>
      <c r="E4008" s="42" t="str">
        <f>IFERROR(__xludf.DUMMYFUNCTION("""COMPUTED_VALUE"""),"DISERAHKAN")</f>
        <v>DISERAHKAN</v>
      </c>
      <c r="F4008" s="48">
        <f>IFERROR(__xludf.DUMMYFUNCTION("""COMPUTED_VALUE"""),45803.43846431713)</f>
        <v>45803.43846</v>
      </c>
      <c r="G4008" s="42" t="str">
        <f>IFERROR(__xludf.DUMMYFUNCTION("""COMPUTED_VALUE"""),"BN WARIS")</f>
        <v>BN WARIS</v>
      </c>
      <c r="H4008" s="42">
        <f t="shared" si="1"/>
        <v>1762</v>
      </c>
    </row>
    <row r="4009" ht="22.5" customHeight="1">
      <c r="B4009" s="42" t="str">
        <f>IFERROR(__xludf.DUMMYFUNCTION("""COMPUTED_VALUE"""),"L/12/060525/1")</f>
        <v>L/12/060525/1</v>
      </c>
      <c r="C4009" s="42" t="str">
        <f>IFERROR(__xludf.DUMMYFUNCTION("""COMPUTED_VALUE"""),"M.222/SUMBEREJO SEJAHTERA")</f>
        <v>M.222/SUMBEREJO SEJAHTERA</v>
      </c>
      <c r="D4009" s="42" t="str">
        <f>IFERROR(__xludf.DUMMYFUNCTION("""COMPUTED_VALUE"""),"David")</f>
        <v>David</v>
      </c>
      <c r="E4009" s="42" t="str">
        <f>IFERROR(__xludf.DUMMYFUNCTION("""COMPUTED_VALUE"""),"DISERAHKAN")</f>
        <v>DISERAHKAN</v>
      </c>
      <c r="F4009" s="48">
        <f>IFERROR(__xludf.DUMMYFUNCTION("""COMPUTED_VALUE"""),45803.48001099537)</f>
        <v>45803.48001</v>
      </c>
      <c r="G4009" s="42" t="str">
        <f>IFERROR(__xludf.DUMMYFUNCTION("""COMPUTED_VALUE"""),"ROYA")</f>
        <v>ROYA</v>
      </c>
      <c r="H4009" s="42">
        <f t="shared" si="1"/>
        <v>1763</v>
      </c>
    </row>
    <row r="4010" ht="22.5" customHeight="1">
      <c r="B4010" s="42" t="str">
        <f>IFERROR(__xludf.DUMMYFUNCTION("""COMPUTED_VALUE"""),"K/9/060525/2")</f>
        <v>K/9/060525/2</v>
      </c>
      <c r="C4010" s="42" t="str">
        <f>IFERROR(__xludf.DUMMYFUNCTION("""COMPUTED_VALUE"""),"M.3476/RAJABASA JAYA")</f>
        <v>M.3476/RAJABASA JAYA</v>
      </c>
      <c r="D4010" s="42" t="str">
        <f>IFERROR(__xludf.DUMMYFUNCTION("""COMPUTED_VALUE"""),"Berry")</f>
        <v>Berry</v>
      </c>
      <c r="E4010" s="42" t="str">
        <f>IFERROR(__xludf.DUMMYFUNCTION("""COMPUTED_VALUE"""),"DISERAHKAN")</f>
        <v>DISERAHKAN</v>
      </c>
      <c r="F4010" s="48">
        <f>IFERROR(__xludf.DUMMYFUNCTION("""COMPUTED_VALUE"""),45799.70791766203)</f>
        <v>45799.70792</v>
      </c>
      <c r="G4010" s="42" t="str">
        <f>IFERROR(__xludf.DUMMYFUNCTION("""COMPUTED_VALUE"""),"BN JUAL BELI")</f>
        <v>BN JUAL BELI</v>
      </c>
      <c r="H4010" s="42">
        <f t="shared" si="1"/>
        <v>1764</v>
      </c>
    </row>
    <row r="4011" ht="22.5" customHeight="1">
      <c r="B4011" s="42" t="str">
        <f>IFERROR(__xludf.DUMMYFUNCTION("""COMPUTED_VALUE"""),"K/13/060525/1")</f>
        <v>K/13/060525/1</v>
      </c>
      <c r="C4011" s="42" t="str">
        <f>IFERROR(__xludf.DUMMYFUNCTION("""COMPUTED_VALUE"""),"Nibel. M. 19138/ Gunung Agung")</f>
        <v>Nibel. M. 19138/ Gunung Agung</v>
      </c>
      <c r="D4011" s="42"/>
      <c r="E4011" s="42"/>
      <c r="F4011" s="48" t="str">
        <f>IFERROR(__xludf.DUMMYFUNCTION("""COMPUTED_VALUE"""),"")</f>
        <v/>
      </c>
      <c r="G4011" s="42" t="str">
        <f>IFERROR(__xludf.DUMMYFUNCTION("""COMPUTED_VALUE"""),"BN Jual Beli")</f>
        <v>BN Jual Beli</v>
      </c>
      <c r="H4011" s="42">
        <f t="shared" si="1"/>
        <v>1764</v>
      </c>
    </row>
    <row r="4012" ht="22.5" customHeight="1">
      <c r="B4012" s="42" t="str">
        <f>IFERROR(__xludf.DUMMYFUNCTION("""COMPUTED_VALUE"""),"L/14/060525/1")</f>
        <v>L/14/060525/1</v>
      </c>
      <c r="C4012" s="42" t="str">
        <f>IFERROR(__xludf.DUMMYFUNCTION("""COMPUTED_VALUE"""),"M.9047/GEDONG MENENG")</f>
        <v>M.9047/GEDONG MENENG</v>
      </c>
      <c r="D4012" s="42" t="str">
        <f>IFERROR(__xludf.DUMMYFUNCTION("""COMPUTED_VALUE"""),"David")</f>
        <v>David</v>
      </c>
      <c r="E4012" s="42" t="str">
        <f>IFERROR(__xludf.DUMMYFUNCTION("""COMPUTED_VALUE"""),"DISERAHKAN")</f>
        <v>DISERAHKAN</v>
      </c>
      <c r="F4012" s="48">
        <f>IFERROR(__xludf.DUMMYFUNCTION("""COMPUTED_VALUE"""),45804.680521145834)</f>
        <v>45804.68052</v>
      </c>
      <c r="G4012" s="42" t="str">
        <f>IFERROR(__xludf.DUMMYFUNCTION("""COMPUTED_VALUE"""),"ROYA")</f>
        <v>ROYA</v>
      </c>
      <c r="H4012" s="42">
        <f t="shared" si="1"/>
        <v>1765</v>
      </c>
    </row>
    <row r="4013" ht="22.5" customHeight="1">
      <c r="B4013" s="42" t="str">
        <f>IFERROR(__xludf.DUMMYFUNCTION("""COMPUTED_VALUE"""),"K/15/060525/1")</f>
        <v>K/15/060525/1</v>
      </c>
      <c r="C4013" s="42" t="str">
        <f>IFERROR(__xludf.DUMMYFUNCTION("""COMPUTED_VALUE"""),"Nibel 20602/ Perwata")</f>
        <v>Nibel 20602/ Perwata</v>
      </c>
      <c r="D4013" s="42"/>
      <c r="E4013" s="42"/>
      <c r="F4013" s="48" t="str">
        <f>IFERROR(__xludf.DUMMYFUNCTION("""COMPUTED_VALUE"""),"")</f>
        <v/>
      </c>
      <c r="G4013" s="42" t="str">
        <f>IFERROR(__xludf.DUMMYFUNCTION("""COMPUTED_VALUE"""),"BN JUAL BELI")</f>
        <v>BN JUAL BELI</v>
      </c>
      <c r="H4013" s="42">
        <f t="shared" si="1"/>
        <v>1765</v>
      </c>
    </row>
    <row r="4014" ht="22.5" customHeight="1">
      <c r="B4014" s="42" t="str">
        <f>IFERROR(__xludf.DUMMYFUNCTION("""COMPUTED_VALUE"""),"K/16/060525/1")</f>
        <v>K/16/060525/1</v>
      </c>
      <c r="C4014" s="42" t="str">
        <f>IFERROR(__xludf.DUMMYFUNCTION("""COMPUTED_VALUE"""),"M. 2502/ Rajabasa Jaya")</f>
        <v>M. 2502/ Rajabasa Jaya</v>
      </c>
      <c r="D4014" s="42" t="str">
        <f>IFERROR(__xludf.DUMMYFUNCTION("""COMPUTED_VALUE"""),"David")</f>
        <v>David</v>
      </c>
      <c r="E4014" s="42" t="str">
        <f>IFERROR(__xludf.DUMMYFUNCTION("""COMPUTED_VALUE"""),"DISERAHKAN")</f>
        <v>DISERAHKAN</v>
      </c>
      <c r="F4014" s="48">
        <f>IFERROR(__xludf.DUMMYFUNCTION("""COMPUTED_VALUE"""),45824.63021686343)</f>
        <v>45824.63022</v>
      </c>
      <c r="G4014" s="42" t="str">
        <f>IFERROR(__xludf.DUMMYFUNCTION("""COMPUTED_VALUE"""),"ROYA")</f>
        <v>ROYA</v>
      </c>
      <c r="H4014" s="42">
        <f t="shared" si="1"/>
        <v>1766</v>
      </c>
    </row>
    <row r="4015" ht="22.5" customHeight="1">
      <c r="B4015" s="42" t="str">
        <f>IFERROR(__xludf.DUMMYFUNCTION("""COMPUTED_VALUE"""),"K/17/060525/1")</f>
        <v>K/17/060525/1</v>
      </c>
      <c r="C4015" s="42" t="str">
        <f>IFERROR(__xludf.DUMMYFUNCTION("""COMPUTED_VALUE"""),"B. 887/ Sukarame Baru")</f>
        <v>B. 887/ Sukarame Baru</v>
      </c>
      <c r="D4015" s="42"/>
      <c r="E4015" s="42"/>
      <c r="F4015" s="48" t="str">
        <f>IFERROR(__xludf.DUMMYFUNCTION("""COMPUTED_VALUE"""),"")</f>
        <v/>
      </c>
      <c r="G4015" s="42" t="str">
        <f>IFERROR(__xludf.DUMMYFUNCTION("""COMPUTED_VALUE"""),"Pengukuran HGB Berakhir")</f>
        <v>Pengukuran HGB Berakhir</v>
      </c>
      <c r="H4015" s="42">
        <f t="shared" si="1"/>
        <v>1766</v>
      </c>
    </row>
    <row r="4016" ht="22.5" customHeight="1">
      <c r="B4016" s="42" t="str">
        <f>IFERROR(__xludf.DUMMYFUNCTION("""COMPUTED_VALUE"""),"K/19/060525/2")</f>
        <v>K/19/060525/2</v>
      </c>
      <c r="C4016" s="42" t="str">
        <f>IFERROR(__xludf.DUMMYFUNCTION("""COMPUTED_VALUE"""),"M. 15002/ Rajabasa")</f>
        <v>M. 15002/ Rajabasa</v>
      </c>
      <c r="D4016" s="42" t="str">
        <f>IFERROR(__xludf.DUMMYFUNCTION("""COMPUTED_VALUE"""),"Berry")</f>
        <v>Berry</v>
      </c>
      <c r="E4016" s="42" t="str">
        <f>IFERROR(__xludf.DUMMYFUNCTION("""COMPUTED_VALUE"""),"DISERAHKAN")</f>
        <v>DISERAHKAN</v>
      </c>
      <c r="F4016" s="48">
        <f>IFERROR(__xludf.DUMMYFUNCTION("""COMPUTED_VALUE"""),45799.70847423611)</f>
        <v>45799.70847</v>
      </c>
      <c r="G4016" s="42" t="str">
        <f>IFERROR(__xludf.DUMMYFUNCTION("""COMPUTED_VALUE"""),"BN Hibah")</f>
        <v>BN Hibah</v>
      </c>
      <c r="H4016" s="42">
        <f t="shared" si="1"/>
        <v>1767</v>
      </c>
    </row>
    <row r="4017" ht="22.5" customHeight="1">
      <c r="B4017" s="42" t="str">
        <f>IFERROR(__xludf.DUMMYFUNCTION("""COMPUTED_VALUE"""),"K/18/060525/1")</f>
        <v>K/18/060525/1</v>
      </c>
      <c r="C4017" s="42" t="str">
        <f>IFERROR(__xludf.DUMMYFUNCTION("""COMPUTED_VALUE"""),"M. 14124/ Rajabasa")</f>
        <v>M. 14124/ Rajabasa</v>
      </c>
      <c r="D4017" s="42" t="str">
        <f>IFERROR(__xludf.DUMMYFUNCTION("""COMPUTED_VALUE"""),"Berry")</f>
        <v>Berry</v>
      </c>
      <c r="E4017" s="42" t="str">
        <f>IFERROR(__xludf.DUMMYFUNCTION("""COMPUTED_VALUE"""),"DISERAHKAN")</f>
        <v>DISERAHKAN</v>
      </c>
      <c r="F4017" s="48">
        <f>IFERROR(__xludf.DUMMYFUNCTION("""COMPUTED_VALUE"""),45796.47264423611)</f>
        <v>45796.47264</v>
      </c>
      <c r="G4017" s="42" t="str">
        <f>IFERROR(__xludf.DUMMYFUNCTION("""COMPUTED_VALUE"""),"BN Hibah")</f>
        <v>BN Hibah</v>
      </c>
      <c r="H4017" s="42">
        <f t="shared" si="1"/>
        <v>1768</v>
      </c>
    </row>
    <row r="4018" ht="22.5" customHeight="1">
      <c r="B4018" s="42" t="str">
        <f>IFERROR(__xludf.DUMMYFUNCTION("""COMPUTED_VALUE"""),"K/20/060525/1")</f>
        <v>K/20/060525/1</v>
      </c>
      <c r="C4018" s="42" t="str">
        <f>IFERROR(__xludf.DUMMYFUNCTION("""COMPUTED_VALUE"""),"M. 1519/ Sukarame Baru")</f>
        <v>M. 1519/ Sukarame Baru</v>
      </c>
      <c r="D4018" s="42" t="str">
        <f>IFERROR(__xludf.DUMMYFUNCTION("""COMPUTED_VALUE"""),"David")</f>
        <v>David</v>
      </c>
      <c r="E4018" s="42" t="str">
        <f>IFERROR(__xludf.DUMMYFUNCTION("""COMPUTED_VALUE"""),"DISERAHKAN")</f>
        <v>DISERAHKAN</v>
      </c>
      <c r="F4018" s="48">
        <f>IFERROR(__xludf.DUMMYFUNCTION("""COMPUTED_VALUE"""),45846.67285758102)</f>
        <v>45846.67286</v>
      </c>
      <c r="G4018" s="42" t="str">
        <f>IFERROR(__xludf.DUMMYFUNCTION("""COMPUTED_VALUE"""),"Roya")</f>
        <v>Roya</v>
      </c>
      <c r="H4018" s="42">
        <f t="shared" si="1"/>
        <v>1769</v>
      </c>
    </row>
    <row r="4019" ht="22.5" customHeight="1">
      <c r="B4019" s="42" t="str">
        <f>IFERROR(__xludf.DUMMYFUNCTION("""COMPUTED_VALUE"""),"K/24/060525/1")</f>
        <v>K/24/060525/1</v>
      </c>
      <c r="C4019" s="42" t="str">
        <f>IFERROR(__xludf.DUMMYFUNCTION("""COMPUTED_VALUE"""),"NIBEL M. 2306/TANJUNG SENANG")</f>
        <v>NIBEL M. 2306/TANJUNG SENANG</v>
      </c>
      <c r="D4019" s="42"/>
      <c r="E4019" s="42"/>
      <c r="F4019" s="48" t="str">
        <f>IFERROR(__xludf.DUMMYFUNCTION("""COMPUTED_VALUE"""),"")</f>
        <v/>
      </c>
      <c r="G4019" s="42" t="str">
        <f>IFERROR(__xludf.DUMMYFUNCTION("""COMPUTED_VALUE"""),"BN JUAL BELI")</f>
        <v>BN JUAL BELI</v>
      </c>
      <c r="H4019" s="42">
        <f t="shared" si="1"/>
        <v>1769</v>
      </c>
    </row>
    <row r="4020" ht="22.5" customHeight="1">
      <c r="B4020" s="42" t="str">
        <f>IFERROR(__xludf.DUMMYFUNCTION("""COMPUTED_VALUE"""),"K/25/060525/2")</f>
        <v>K/25/060525/2</v>
      </c>
      <c r="C4020" s="42" t="str">
        <f>IFERROR(__xludf.DUMMYFUNCTION("""COMPUTED_VALUE"""),"NIBEL M.2304/TANJUNG SENANG")</f>
        <v>NIBEL M.2304/TANJUNG SENANG</v>
      </c>
      <c r="D4020" s="42"/>
      <c r="E4020" s="42"/>
      <c r="F4020" s="48" t="str">
        <f>IFERROR(__xludf.DUMMYFUNCTION("""COMPUTED_VALUE"""),"")</f>
        <v/>
      </c>
      <c r="G4020" s="42" t="str">
        <f>IFERROR(__xludf.DUMMYFUNCTION("""COMPUTED_VALUE"""),"BN JUAL BELI")</f>
        <v>BN JUAL BELI</v>
      </c>
      <c r="H4020" s="42">
        <f t="shared" si="1"/>
        <v>1769</v>
      </c>
    </row>
    <row r="4021" ht="22.5" customHeight="1">
      <c r="B4021" s="42" t="str">
        <f>IFERROR(__xludf.DUMMYFUNCTION("""COMPUTED_VALUE"""),"K/26/060525/3")</f>
        <v>K/26/060525/3</v>
      </c>
      <c r="C4021" s="42" t="str">
        <f>IFERROR(__xludf.DUMMYFUNCTION("""COMPUTED_VALUE"""),"NIBEL M.2312/TANJUNG SENANG")</f>
        <v>NIBEL M.2312/TANJUNG SENANG</v>
      </c>
      <c r="D4021" s="42"/>
      <c r="E4021" s="42"/>
      <c r="F4021" s="48" t="str">
        <f>IFERROR(__xludf.DUMMYFUNCTION("""COMPUTED_VALUE"""),"")</f>
        <v/>
      </c>
      <c r="G4021" s="42" t="str">
        <f>IFERROR(__xludf.DUMMYFUNCTION("""COMPUTED_VALUE"""),"BN JUAL BELI")</f>
        <v>BN JUAL BELI</v>
      </c>
      <c r="H4021" s="42">
        <f t="shared" si="1"/>
        <v>1769</v>
      </c>
    </row>
    <row r="4022" ht="22.5" customHeight="1">
      <c r="B4022" s="42" t="str">
        <f>IFERROR(__xludf.DUMMYFUNCTION("""COMPUTED_VALUE"""),"L/23/060525/1")</f>
        <v>L/23/060525/1</v>
      </c>
      <c r="C4022" s="42" t="str">
        <f>IFERROR(__xludf.DUMMYFUNCTION("""COMPUTED_VALUE"""),"M.329/PEMATANG WANGI")</f>
        <v>M.329/PEMATANG WANGI</v>
      </c>
      <c r="D4022" s="42" t="str">
        <f>IFERROR(__xludf.DUMMYFUNCTION("""COMPUTED_VALUE"""),"David")</f>
        <v>David</v>
      </c>
      <c r="E4022" s="42" t="str">
        <f>IFERROR(__xludf.DUMMYFUNCTION("""COMPUTED_VALUE"""),"DISERAHKAN")</f>
        <v>DISERAHKAN</v>
      </c>
      <c r="F4022" s="48">
        <f>IFERROR(__xludf.DUMMYFUNCTION("""COMPUTED_VALUE"""),45804.680521145834)</f>
        <v>45804.68052</v>
      </c>
      <c r="G4022" s="42" t="str">
        <f>IFERROR(__xludf.DUMMYFUNCTION("""COMPUTED_VALUE"""),"ROYA")</f>
        <v>ROYA</v>
      </c>
      <c r="H4022" s="42">
        <f t="shared" si="1"/>
        <v>1770</v>
      </c>
    </row>
    <row r="4023" ht="22.5" customHeight="1">
      <c r="B4023" s="42" t="str">
        <f>IFERROR(__xludf.DUMMYFUNCTION("""COMPUTED_VALUE"""),"K/27/060525/4")</f>
        <v>K/27/060525/4</v>
      </c>
      <c r="C4023" s="42" t="str">
        <f>IFERROR(__xludf.DUMMYFUNCTION("""COMPUTED_VALUE"""),"NIBEL M.2310/TANJUNG SENANG")</f>
        <v>NIBEL M.2310/TANJUNG SENANG</v>
      </c>
      <c r="D4023" s="42"/>
      <c r="E4023" s="42"/>
      <c r="F4023" s="48" t="str">
        <f>IFERROR(__xludf.DUMMYFUNCTION("""COMPUTED_VALUE"""),"")</f>
        <v/>
      </c>
      <c r="G4023" s="42" t="str">
        <f>IFERROR(__xludf.DUMMYFUNCTION("""COMPUTED_VALUE"""),"BN JUAL BELI")</f>
        <v>BN JUAL BELI</v>
      </c>
      <c r="H4023" s="42">
        <f t="shared" si="1"/>
        <v>1770</v>
      </c>
    </row>
    <row r="4024" ht="22.5" customHeight="1">
      <c r="B4024" s="42" t="str">
        <f>IFERROR(__xludf.DUMMYFUNCTION("""COMPUTED_VALUE"""),"K/28/060525/1")</f>
        <v>K/28/060525/1</v>
      </c>
      <c r="C4024" s="42" t="str">
        <f>IFERROR(__xludf.DUMMYFUNCTION("""COMPUTED_VALUE"""),"B. 1496/ Kemiling Permai")</f>
        <v>B. 1496/ Kemiling Permai</v>
      </c>
      <c r="D4024" s="42" t="str">
        <f>IFERROR(__xludf.DUMMYFUNCTION("""COMPUTED_VALUE"""),"David")</f>
        <v>David</v>
      </c>
      <c r="E4024" s="42" t="str">
        <f>IFERROR(__xludf.DUMMYFUNCTION("""COMPUTED_VALUE"""),"DISERAHKAN")</f>
        <v>DISERAHKAN</v>
      </c>
      <c r="F4024" s="48">
        <f>IFERROR(__xludf.DUMMYFUNCTION("""COMPUTED_VALUE"""),45793.41040644676)</f>
        <v>45793.41041</v>
      </c>
      <c r="G4024" s="42" t="str">
        <f>IFERROR(__xludf.DUMMYFUNCTION("""COMPUTED_VALUE"""),"BN Waris")</f>
        <v>BN Waris</v>
      </c>
      <c r="H4024" s="42">
        <f t="shared" si="1"/>
        <v>1771</v>
      </c>
    </row>
    <row r="4025" ht="22.5" customHeight="1">
      <c r="B4025" s="42" t="str">
        <f>IFERROR(__xludf.DUMMYFUNCTION("""COMPUTED_VALUE"""),"K/30/060525/1")</f>
        <v>K/30/060525/1</v>
      </c>
      <c r="C4025" s="42" t="str">
        <f>IFERROR(__xludf.DUMMYFUNCTION("""COMPUTED_VALUE"""),"M. 732/ Way Laga")</f>
        <v>M. 732/ Way Laga</v>
      </c>
      <c r="D4025" s="42" t="str">
        <f>IFERROR(__xludf.DUMMYFUNCTION("""COMPUTED_VALUE"""),"Berry")</f>
        <v>Berry</v>
      </c>
      <c r="E4025" s="42" t="str">
        <f>IFERROR(__xludf.DUMMYFUNCTION("""COMPUTED_VALUE"""),"DISERAHKAN")</f>
        <v>DISERAHKAN</v>
      </c>
      <c r="F4025" s="48">
        <f>IFERROR(__xludf.DUMMYFUNCTION("""COMPUTED_VALUE"""),45799.708776203704)</f>
        <v>45799.70878</v>
      </c>
      <c r="G4025" s="42" t="str">
        <f>IFERROR(__xludf.DUMMYFUNCTION("""COMPUTED_VALUE"""),"BN Jual Beli")</f>
        <v>BN Jual Beli</v>
      </c>
      <c r="H4025" s="42">
        <f t="shared" si="1"/>
        <v>1772</v>
      </c>
    </row>
    <row r="4026" ht="22.5" customHeight="1">
      <c r="B4026" s="42" t="str">
        <f>IFERROR(__xludf.DUMMYFUNCTION("""COMPUTED_VALUE"""),"K/22/060525/2")</f>
        <v>K/22/060525/2</v>
      </c>
      <c r="C4026" s="42" t="str">
        <f>IFERROR(__xludf.DUMMYFUNCTION("""COMPUTED_VALUE"""),"M. 2188/ Kedaung")</f>
        <v>M. 2188/ Kedaung</v>
      </c>
      <c r="D4026" s="42" t="str">
        <f>IFERROR(__xludf.DUMMYFUNCTION("""COMPUTED_VALUE"""),"Berry")</f>
        <v>Berry</v>
      </c>
      <c r="E4026" s="42" t="str">
        <f>IFERROR(__xludf.DUMMYFUNCTION("""COMPUTED_VALUE"""),"DISERAHKAN")</f>
        <v>DISERAHKAN</v>
      </c>
      <c r="F4026" s="48">
        <f>IFERROR(__xludf.DUMMYFUNCTION("""COMPUTED_VALUE"""),45812.597023634255)</f>
        <v>45812.59702</v>
      </c>
      <c r="G4026" s="42" t="str">
        <f>IFERROR(__xludf.DUMMYFUNCTION("""COMPUTED_VALUE"""),"BN Jual Beli")</f>
        <v>BN Jual Beli</v>
      </c>
      <c r="H4026" s="42">
        <f t="shared" si="1"/>
        <v>1773</v>
      </c>
    </row>
    <row r="4027" ht="22.5" customHeight="1">
      <c r="B4027" s="42" t="str">
        <f>IFERROR(__xludf.DUMMYFUNCTION("""COMPUTED_VALUE"""),"K/21/060525/1")</f>
        <v>K/21/060525/1</v>
      </c>
      <c r="C4027" s="42" t="str">
        <f>IFERROR(__xludf.DUMMYFUNCTION("""COMPUTED_VALUE"""),"M. 1754/ Kedaung")</f>
        <v>M. 1754/ Kedaung</v>
      </c>
      <c r="D4027" s="42" t="str">
        <f>IFERROR(__xludf.DUMMYFUNCTION("""COMPUTED_VALUE"""),"Berry")</f>
        <v>Berry</v>
      </c>
      <c r="E4027" s="42" t="str">
        <f>IFERROR(__xludf.DUMMYFUNCTION("""COMPUTED_VALUE"""),"DISERAHKAN")</f>
        <v>DISERAHKAN</v>
      </c>
      <c r="F4027" s="48">
        <f>IFERROR(__xludf.DUMMYFUNCTION("""COMPUTED_VALUE"""),45799.70847423611)</f>
        <v>45799.70847</v>
      </c>
      <c r="G4027" s="42" t="str">
        <f>IFERROR(__xludf.DUMMYFUNCTION("""COMPUTED_VALUE"""),"BN Jual Beli")</f>
        <v>BN Jual Beli</v>
      </c>
      <c r="H4027" s="42">
        <f t="shared" si="1"/>
        <v>1774</v>
      </c>
    </row>
    <row r="4028" ht="22.5" customHeight="1">
      <c r="B4028" s="42" t="str">
        <f>IFERROR(__xludf.DUMMYFUNCTION("""COMPUTED_VALUE"""),"L/29/060525/1")</f>
        <v>L/29/060525/1</v>
      </c>
      <c r="C4028" s="42" t="str">
        <f>IFERROR(__xludf.DUMMYFUNCTION("""COMPUTED_VALUE"""),"M.748/CAMPANG RAYA")</f>
        <v>M.748/CAMPANG RAYA</v>
      </c>
      <c r="D4028" s="42" t="str">
        <f>IFERROR(__xludf.DUMMYFUNCTION("""COMPUTED_VALUE"""),"David")</f>
        <v>David</v>
      </c>
      <c r="E4028" s="42" t="str">
        <f>IFERROR(__xludf.DUMMYFUNCTION("""COMPUTED_VALUE"""),"DISERAHKAN")</f>
        <v>DISERAHKAN</v>
      </c>
      <c r="F4028" s="48">
        <f>IFERROR(__xludf.DUMMYFUNCTION("""COMPUTED_VALUE"""),45813.47788168982)</f>
        <v>45813.47788</v>
      </c>
      <c r="G4028" s="42" t="str">
        <f>IFERROR(__xludf.DUMMYFUNCTION("""COMPUTED_VALUE"""),"ROYA")</f>
        <v>ROYA</v>
      </c>
      <c r="H4028" s="42">
        <f t="shared" si="1"/>
        <v>1775</v>
      </c>
    </row>
    <row r="4029" ht="22.5" customHeight="1">
      <c r="B4029" s="42" t="str">
        <f>IFERROR(__xludf.DUMMYFUNCTION("""COMPUTED_VALUE"""),"K/31/060525/1")</f>
        <v>K/31/060525/1</v>
      </c>
      <c r="C4029" s="42" t="str">
        <f>IFERROR(__xludf.DUMMYFUNCTION("""COMPUTED_VALUE"""),"NIBEL M. 854/SUKARAME BARU")</f>
        <v>NIBEL M. 854/SUKARAME BARU</v>
      </c>
      <c r="D4029" s="42"/>
      <c r="E4029" s="42"/>
      <c r="F4029" s="48" t="str">
        <f>IFERROR(__xludf.DUMMYFUNCTION("""COMPUTED_VALUE"""),"")</f>
        <v/>
      </c>
      <c r="G4029" s="42" t="str">
        <f>IFERROR(__xludf.DUMMYFUNCTION("""COMPUTED_VALUE"""),"BN JUAL BELI")</f>
        <v>BN JUAL BELI</v>
      </c>
      <c r="H4029" s="42">
        <f t="shared" si="1"/>
        <v>1775</v>
      </c>
    </row>
    <row r="4030" ht="22.5" customHeight="1">
      <c r="B4030" s="42" t="str">
        <f>IFERROR(__xludf.DUMMYFUNCTION("""COMPUTED_VALUE"""),"K/32/060525/2")</f>
        <v>K/32/060525/2</v>
      </c>
      <c r="C4030" s="42" t="str">
        <f>IFERROR(__xludf.DUMMYFUNCTION("""COMPUTED_VALUE"""),"NIBEL M.2702/RAJABASA RAYA")</f>
        <v>NIBEL M.2702/RAJABASA RAYA</v>
      </c>
      <c r="D4030" s="42"/>
      <c r="E4030" s="42"/>
      <c r="F4030" s="48" t="str">
        <f>IFERROR(__xludf.DUMMYFUNCTION("""COMPUTED_VALUE"""),"")</f>
        <v/>
      </c>
      <c r="G4030" s="42" t="str">
        <f>IFERROR(__xludf.DUMMYFUNCTION("""COMPUTED_VALUE"""),"BN JUAL BELI")</f>
        <v>BN JUAL BELI</v>
      </c>
      <c r="H4030" s="42">
        <f t="shared" si="1"/>
        <v>1775</v>
      </c>
    </row>
    <row r="4031" ht="22.5" customHeight="1">
      <c r="B4031" s="42" t="str">
        <f>IFERROR(__xludf.DUMMYFUNCTION("""COMPUTED_VALUE"""),"L/1/070525/1")</f>
        <v>L/1/070525/1</v>
      </c>
      <c r="C4031" s="42" t="str">
        <f>IFERROR(__xludf.DUMMYFUNCTION("""COMPUTED_VALUE"""),"HM 08/KOTA KARANG RAYA")</f>
        <v>HM 08/KOTA KARANG RAYA</v>
      </c>
      <c r="D4031" s="42" t="str">
        <f>IFERROR(__xludf.DUMMYFUNCTION("""COMPUTED_VALUE"""),"David")</f>
        <v>David</v>
      </c>
      <c r="E4031" s="42" t="str">
        <f>IFERROR(__xludf.DUMMYFUNCTION("""COMPUTED_VALUE"""),"DISERAHKAN")</f>
        <v>DISERAHKAN</v>
      </c>
      <c r="F4031" s="48">
        <f>IFERROR(__xludf.DUMMYFUNCTION("""COMPUTED_VALUE"""),45811.363840185186)</f>
        <v>45811.36384</v>
      </c>
      <c r="G4031" s="42" t="str">
        <f>IFERROR(__xludf.DUMMYFUNCTION("""COMPUTED_VALUE"""),"ROYA")</f>
        <v>ROYA</v>
      </c>
      <c r="H4031" s="42">
        <f t="shared" si="1"/>
        <v>1776</v>
      </c>
    </row>
    <row r="4032" ht="22.5" customHeight="1">
      <c r="B4032" s="42" t="str">
        <f>IFERROR(__xludf.DUMMYFUNCTION("""COMPUTED_VALUE"""),"K/2/070525/1")</f>
        <v>K/2/070525/1</v>
      </c>
      <c r="C4032" s="42" t="str">
        <f>IFERROR(__xludf.DUMMYFUNCTION("""COMPUTED_VALUE"""),"PBT. 37/2025")</f>
        <v>PBT. 37/2025</v>
      </c>
      <c r="D4032" s="42"/>
      <c r="E4032" s="42"/>
      <c r="F4032" s="48" t="str">
        <f>IFERROR(__xludf.DUMMYFUNCTION("""COMPUTED_VALUE"""),"")</f>
        <v/>
      </c>
      <c r="G4032" s="42" t="str">
        <f>IFERROR(__xludf.DUMMYFUNCTION("""COMPUTED_VALUE"""),"PTPGT (Pertama Kali)")</f>
        <v>PTPGT (Pertama Kali)</v>
      </c>
      <c r="H4032" s="42">
        <f t="shared" si="1"/>
        <v>1776</v>
      </c>
    </row>
    <row r="4033" ht="22.5" customHeight="1">
      <c r="B4033" s="42" t="str">
        <f>IFERROR(__xludf.DUMMYFUNCTION("""COMPUTED_VALUE"""),"K/3/070525/2")</f>
        <v>K/3/070525/2</v>
      </c>
      <c r="C4033" s="42" t="str">
        <f>IFERROR(__xludf.DUMMYFUNCTION("""COMPUTED_VALUE"""),"M. 1093/ Pematang Wangi")</f>
        <v>M. 1093/ Pematang Wangi</v>
      </c>
      <c r="D4033" s="42" t="str">
        <f>IFERROR(__xludf.DUMMYFUNCTION("""COMPUTED_VALUE"""),"Berry")</f>
        <v>Berry</v>
      </c>
      <c r="E4033" s="42" t="str">
        <f>IFERROR(__xludf.DUMMYFUNCTION("""COMPUTED_VALUE"""),"DISERAHKAN")</f>
        <v>DISERAHKAN</v>
      </c>
      <c r="F4033" s="48">
        <f>IFERROR(__xludf.DUMMYFUNCTION("""COMPUTED_VALUE"""),45819.83279068287)</f>
        <v>45819.83279</v>
      </c>
      <c r="G4033" s="42" t="str">
        <f>IFERROR(__xludf.DUMMYFUNCTION("""COMPUTED_VALUE"""),"BN Jual Beli")</f>
        <v>BN Jual Beli</v>
      </c>
      <c r="H4033" s="42">
        <f t="shared" si="1"/>
        <v>1777</v>
      </c>
    </row>
    <row r="4034" ht="22.5" customHeight="1">
      <c r="B4034" s="42" t="str">
        <f>IFERROR(__xludf.DUMMYFUNCTION("""COMPUTED_VALUE"""),"K/4/070525/1")</f>
        <v>K/4/070525/1</v>
      </c>
      <c r="C4034" s="42" t="str">
        <f>IFERROR(__xludf.DUMMYFUNCTION("""COMPUTED_VALUE"""),"M. 3020/ Sukarame Baru")</f>
        <v>M. 3020/ Sukarame Baru</v>
      </c>
      <c r="D4034" s="42"/>
      <c r="E4034" s="42"/>
      <c r="F4034" s="48" t="str">
        <f>IFERROR(__xludf.DUMMYFUNCTION("""COMPUTED_VALUE"""),"")</f>
        <v/>
      </c>
      <c r="G4034" s="42" t="str">
        <f>IFERROR(__xludf.DUMMYFUNCTION("""COMPUTED_VALUE"""),"BN Jual Beli")</f>
        <v>BN Jual Beli</v>
      </c>
      <c r="H4034" s="42">
        <f t="shared" si="1"/>
        <v>1777</v>
      </c>
    </row>
    <row r="4035" ht="22.5" customHeight="1">
      <c r="B4035" s="42" t="str">
        <f>IFERROR(__xludf.DUMMYFUNCTION("""COMPUTED_VALUE"""),"L/5/070525/1")</f>
        <v>L/5/070525/1</v>
      </c>
      <c r="C4035" s="42" t="str">
        <f>IFERROR(__xludf.DUMMYFUNCTION("""COMPUTED_VALUE"""),"HM 1011/KORPRI JAYA")</f>
        <v>HM 1011/KORPRI JAYA</v>
      </c>
      <c r="D4035" s="42"/>
      <c r="E4035" s="42"/>
      <c r="F4035" s="48" t="str">
        <f>IFERROR(__xludf.DUMMYFUNCTION("""COMPUTED_VALUE"""),"")</f>
        <v/>
      </c>
      <c r="G4035" s="42" t="str">
        <f>IFERROR(__xludf.DUMMYFUNCTION("""COMPUTED_VALUE"""),"BN WARIS")</f>
        <v>BN WARIS</v>
      </c>
      <c r="H4035" s="42">
        <f t="shared" si="1"/>
        <v>1777</v>
      </c>
    </row>
    <row r="4036" ht="22.5" customHeight="1">
      <c r="B4036" s="42" t="str">
        <f>IFERROR(__xludf.DUMMYFUNCTION("""COMPUTED_VALUE"""),"K/6/070525/1")</f>
        <v>K/6/070525/1</v>
      </c>
      <c r="C4036" s="42" t="str">
        <f>IFERROR(__xludf.DUMMYFUNCTION("""COMPUTED_VALUE"""),"NIBEL M 6062/GUNUNG SULAH")</f>
        <v>NIBEL M 6062/GUNUNG SULAH</v>
      </c>
      <c r="D4036" s="42"/>
      <c r="E4036" s="42"/>
      <c r="F4036" s="48" t="str">
        <f>IFERROR(__xludf.DUMMYFUNCTION("""COMPUTED_VALUE"""),"")</f>
        <v/>
      </c>
      <c r="G4036" s="42" t="str">
        <f>IFERROR(__xludf.DUMMYFUNCTION("""COMPUTED_VALUE"""),"JUAL BELI")</f>
        <v>JUAL BELI</v>
      </c>
      <c r="H4036" s="42">
        <f t="shared" si="1"/>
        <v>1777</v>
      </c>
    </row>
    <row r="4037" ht="22.5" customHeight="1">
      <c r="B4037" s="42" t="str">
        <f>IFERROR(__xludf.DUMMYFUNCTION("""COMPUTED_VALUE"""),"L/7/070525/1")</f>
        <v>L/7/070525/1</v>
      </c>
      <c r="C4037" s="42" t="str">
        <f>IFERROR(__xludf.DUMMYFUNCTION("""COMPUTED_VALUE"""),"HM 11690/8SEGALA MIDER")</f>
        <v>HM 11690/8SEGALA MIDER</v>
      </c>
      <c r="D4037" s="42" t="str">
        <f>IFERROR(__xludf.DUMMYFUNCTION("""COMPUTED_VALUE"""),"Berry")</f>
        <v>Berry</v>
      </c>
      <c r="E4037" s="42" t="str">
        <f>IFERROR(__xludf.DUMMYFUNCTION("""COMPUTED_VALUE"""),"DISERAHKAN")</f>
        <v>DISERAHKAN</v>
      </c>
      <c r="F4037" s="48">
        <f>IFERROR(__xludf.DUMMYFUNCTION("""COMPUTED_VALUE"""),45828.58512579861)</f>
        <v>45828.58513</v>
      </c>
      <c r="G4037" s="42" t="str">
        <f>IFERROR(__xludf.DUMMYFUNCTION("""COMPUTED_VALUE"""),"ROYA")</f>
        <v>ROYA</v>
      </c>
      <c r="H4037" s="42">
        <f t="shared" si="1"/>
        <v>1778</v>
      </c>
    </row>
    <row r="4038" ht="22.5" customHeight="1">
      <c r="B4038" s="42" t="str">
        <f>IFERROR(__xludf.DUMMYFUNCTION("""COMPUTED_VALUE"""),"L/8/070525/1")</f>
        <v>L/8/070525/1</v>
      </c>
      <c r="C4038" s="42" t="str">
        <f>IFERROR(__xludf.DUMMYFUNCTION("""COMPUTED_VALUE"""),"HM 11707/SEGALA MIDER")</f>
        <v>HM 11707/SEGALA MIDER</v>
      </c>
      <c r="D4038" s="42" t="str">
        <f>IFERROR(__xludf.DUMMYFUNCTION("""COMPUTED_VALUE"""),"David")</f>
        <v>David</v>
      </c>
      <c r="E4038" s="42" t="str">
        <f>IFERROR(__xludf.DUMMYFUNCTION("""COMPUTED_VALUE"""),"DISERAHKAN")</f>
        <v>DISERAHKAN</v>
      </c>
      <c r="F4038" s="48">
        <f>IFERROR(__xludf.DUMMYFUNCTION("""COMPUTED_VALUE"""),45826.524878275464)</f>
        <v>45826.52488</v>
      </c>
      <c r="G4038" s="42" t="str">
        <f>IFERROR(__xludf.DUMMYFUNCTION("""COMPUTED_VALUE"""),"ROYA")</f>
        <v>ROYA</v>
      </c>
      <c r="H4038" s="42">
        <f t="shared" si="1"/>
        <v>1779</v>
      </c>
    </row>
    <row r="4039" ht="22.5" customHeight="1">
      <c r="B4039" s="42" t="str">
        <f>IFERROR(__xludf.DUMMYFUNCTION("""COMPUTED_VALUE"""),"K/9/070525/1")</f>
        <v>K/9/070525/1</v>
      </c>
      <c r="C4039" s="42" t="str">
        <f>IFERROR(__xludf.DUMMYFUNCTION("""COMPUTED_VALUE"""),"NIBEL B 6761/KAMPUNG BARU RAYA")</f>
        <v>NIBEL B 6761/KAMPUNG BARU RAYA</v>
      </c>
      <c r="D4039" s="42"/>
      <c r="E4039" s="42"/>
      <c r="F4039" s="48" t="str">
        <f>IFERROR(__xludf.DUMMYFUNCTION("""COMPUTED_VALUE"""),"")</f>
        <v/>
      </c>
      <c r="G4039" s="42" t="str">
        <f>IFERROR(__xludf.DUMMYFUNCTION("""COMPUTED_VALUE"""),"PERUBAHAN HAK")</f>
        <v>PERUBAHAN HAK</v>
      </c>
      <c r="H4039" s="42">
        <f t="shared" si="1"/>
        <v>1779</v>
      </c>
    </row>
    <row r="4040" ht="22.5" customHeight="1">
      <c r="B4040" s="42" t="str">
        <f>IFERROR(__xludf.DUMMYFUNCTION("""COMPUTED_VALUE"""),"K/10/070525/1")</f>
        <v>K/10/070525/1</v>
      </c>
      <c r="C4040" s="42" t="str">
        <f>IFERROR(__xludf.DUMMYFUNCTION("""COMPUTED_VALUE"""),"Nibel 2308/ Tanjung senang")</f>
        <v>Nibel 2308/ Tanjung senang</v>
      </c>
      <c r="D4040" s="42"/>
      <c r="E4040" s="42"/>
      <c r="F4040" s="48" t="str">
        <f>IFERROR(__xludf.DUMMYFUNCTION("""COMPUTED_VALUE"""),"")</f>
        <v/>
      </c>
      <c r="G4040" s="42" t="str">
        <f>IFERROR(__xludf.DUMMYFUNCTION("""COMPUTED_VALUE"""),"BN JUAL BELI")</f>
        <v>BN JUAL BELI</v>
      </c>
      <c r="H4040" s="42">
        <f t="shared" si="1"/>
        <v>1779</v>
      </c>
    </row>
    <row r="4041" ht="22.5" customHeight="1">
      <c r="B4041" s="42" t="str">
        <f>IFERROR(__xludf.DUMMYFUNCTION("""COMPUTED_VALUE"""),"K/11/070525/1")</f>
        <v>K/11/070525/1</v>
      </c>
      <c r="C4041" s="42" t="str">
        <f>IFERROR(__xludf.DUMMYFUNCTION("""COMPUTED_VALUE"""),"M. 877/KALI BALAU KENCANA")</f>
        <v>M. 877/KALI BALAU KENCANA</v>
      </c>
      <c r="D4041" s="42"/>
      <c r="E4041" s="42"/>
      <c r="F4041" s="48" t="str">
        <f>IFERROR(__xludf.DUMMYFUNCTION("""COMPUTED_VALUE"""),"")</f>
        <v/>
      </c>
      <c r="G4041" s="42" t="str">
        <f>IFERROR(__xludf.DUMMYFUNCTION("""COMPUTED_VALUE"""),"BN WARIS")</f>
        <v>BN WARIS</v>
      </c>
      <c r="H4041" s="42">
        <f t="shared" si="1"/>
        <v>1779</v>
      </c>
    </row>
    <row r="4042" ht="22.5" customHeight="1">
      <c r="B4042" s="42" t="str">
        <f>IFERROR(__xludf.DUMMYFUNCTION("""COMPUTED_VALUE"""),"K/12/070525/1")</f>
        <v>K/12/070525/1</v>
      </c>
      <c r="C4042" s="42" t="str">
        <f>IFERROR(__xludf.DUMMYFUNCTION("""COMPUTED_VALUE"""),"RAJABASA JAYA")</f>
        <v>RAJABASA JAYA</v>
      </c>
      <c r="D4042" s="42"/>
      <c r="E4042" s="42"/>
      <c r="F4042" s="48" t="str">
        <f>IFERROR(__xludf.DUMMYFUNCTION("""COMPUTED_VALUE"""),"")</f>
        <v/>
      </c>
      <c r="G4042" s="42" t="str">
        <f>IFERROR(__xludf.DUMMYFUNCTION("""COMPUTED_VALUE"""),"PTPGT")</f>
        <v>PTPGT</v>
      </c>
      <c r="H4042" s="42">
        <f t="shared" si="1"/>
        <v>1779</v>
      </c>
    </row>
    <row r="4043" ht="22.5" customHeight="1">
      <c r="B4043" s="42" t="str">
        <f>IFERROR(__xludf.DUMMYFUNCTION("""COMPUTED_VALUE"""),"L/13/070525/1")</f>
        <v>L/13/070525/1</v>
      </c>
      <c r="C4043" s="42" t="str">
        <f>IFERROR(__xludf.DUMMYFUNCTION("""COMPUTED_VALUE"""),"HM 2991/KOTA BARU")</f>
        <v>HM 2991/KOTA BARU</v>
      </c>
      <c r="D4043" s="42" t="str">
        <f>IFERROR(__xludf.DUMMYFUNCTION("""COMPUTED_VALUE"""),"David")</f>
        <v>David</v>
      </c>
      <c r="E4043" s="42" t="str">
        <f>IFERROR(__xludf.DUMMYFUNCTION("""COMPUTED_VALUE"""),"DISERAHKAN")</f>
        <v>DISERAHKAN</v>
      </c>
      <c r="F4043" s="48">
        <f>IFERROR(__xludf.DUMMYFUNCTION("""COMPUTED_VALUE"""),45819.3635324537)</f>
        <v>45819.36353</v>
      </c>
      <c r="G4043" s="42" t="str">
        <f>IFERROR(__xludf.DUMMYFUNCTION("""COMPUTED_VALUE"""),"ROYA")</f>
        <v>ROYA</v>
      </c>
      <c r="H4043" s="42">
        <f t="shared" si="1"/>
        <v>1780</v>
      </c>
    </row>
    <row r="4044" ht="22.5" customHeight="1">
      <c r="B4044" s="42" t="str">
        <f>IFERROR(__xludf.DUMMYFUNCTION("""COMPUTED_VALUE"""),"L/15/070525/1")</f>
        <v>L/15/070525/1</v>
      </c>
      <c r="C4044" s="42" t="str">
        <f>IFERROR(__xludf.DUMMYFUNCTION("""COMPUTED_VALUE"""),"HGB 284/NUSANTARA PERMAI")</f>
        <v>HGB 284/NUSANTARA PERMAI</v>
      </c>
      <c r="D4044" s="42" t="str">
        <f>IFERROR(__xludf.DUMMYFUNCTION("""COMPUTED_VALUE"""),"David")</f>
        <v>David</v>
      </c>
      <c r="E4044" s="42" t="str">
        <f>IFERROR(__xludf.DUMMYFUNCTION("""COMPUTED_VALUE"""),"DISERAHKAN")</f>
        <v>DISERAHKAN</v>
      </c>
      <c r="F4044" s="48">
        <f>IFERROR(__xludf.DUMMYFUNCTION("""COMPUTED_VALUE"""),45811.36423832176)</f>
        <v>45811.36424</v>
      </c>
      <c r="G4044" s="42" t="str">
        <f>IFERROR(__xludf.DUMMYFUNCTION("""COMPUTED_VALUE"""),"ROYA")</f>
        <v>ROYA</v>
      </c>
      <c r="H4044" s="42">
        <f t="shared" si="1"/>
        <v>1781</v>
      </c>
    </row>
    <row r="4045" ht="22.5" customHeight="1">
      <c r="B4045" s="42" t="str">
        <f>IFERROR(__xludf.DUMMYFUNCTION("""COMPUTED_VALUE"""),"K/17/070525/2")</f>
        <v>K/17/070525/2</v>
      </c>
      <c r="C4045" s="42" t="str">
        <f>IFERROR(__xludf.DUMMYFUNCTION("""COMPUTED_VALUE"""),"M. 4715/ Rajabasa Jaya")</f>
        <v>M. 4715/ Rajabasa Jaya</v>
      </c>
      <c r="D4045" s="42" t="str">
        <f>IFERROR(__xludf.DUMMYFUNCTION("""COMPUTED_VALUE"""),"Berry")</f>
        <v>Berry</v>
      </c>
      <c r="E4045" s="42" t="str">
        <f>IFERROR(__xludf.DUMMYFUNCTION("""COMPUTED_VALUE"""),"DISERAHKAN")</f>
        <v>DISERAHKAN</v>
      </c>
      <c r="F4045" s="48">
        <f>IFERROR(__xludf.DUMMYFUNCTION("""COMPUTED_VALUE"""),45799.70847423611)</f>
        <v>45799.70847</v>
      </c>
      <c r="G4045" s="42" t="str">
        <f>IFERROR(__xludf.DUMMYFUNCTION("""COMPUTED_VALUE"""),"BN Jual Beli")</f>
        <v>BN Jual Beli</v>
      </c>
      <c r="H4045" s="42">
        <f t="shared" si="1"/>
        <v>1782</v>
      </c>
    </row>
    <row r="4046" ht="22.5" customHeight="1">
      <c r="B4046" s="42" t="str">
        <f>IFERROR(__xludf.DUMMYFUNCTION("""COMPUTED_VALUE"""),"K/16/070525/1")</f>
        <v>K/16/070525/1</v>
      </c>
      <c r="C4046" s="42" t="str">
        <f>IFERROR(__xludf.DUMMYFUNCTION("""COMPUTED_VALUE"""),"M. 4719/ Rajabasa Jaya")</f>
        <v>M. 4719/ Rajabasa Jaya</v>
      </c>
      <c r="D4046" s="42" t="str">
        <f>IFERROR(__xludf.DUMMYFUNCTION("""COMPUTED_VALUE"""),"Berry")</f>
        <v>Berry</v>
      </c>
      <c r="E4046" s="42" t="str">
        <f>IFERROR(__xludf.DUMMYFUNCTION("""COMPUTED_VALUE"""),"DISERAHKAN")</f>
        <v>DISERAHKAN</v>
      </c>
      <c r="F4046" s="48">
        <f>IFERROR(__xludf.DUMMYFUNCTION("""COMPUTED_VALUE"""),45812.59683944445)</f>
        <v>45812.59684</v>
      </c>
      <c r="G4046" s="42" t="str">
        <f>IFERROR(__xludf.DUMMYFUNCTION("""COMPUTED_VALUE"""),"BN Jual Beli")</f>
        <v>BN Jual Beli</v>
      </c>
      <c r="H4046" s="42">
        <f t="shared" si="1"/>
        <v>1783</v>
      </c>
    </row>
    <row r="4047" ht="22.5" customHeight="1">
      <c r="B4047" s="42" t="str">
        <f>IFERROR(__xludf.DUMMYFUNCTION("""COMPUTED_VALUE"""),"K/18/070525/1")</f>
        <v>K/18/070525/1</v>
      </c>
      <c r="C4047" s="42" t="str">
        <f>IFERROR(__xludf.DUMMYFUNCTION("""COMPUTED_VALUE"""),"Sporadik Yan eka Chandara CS (Kedaton)")</f>
        <v>Sporadik Yan eka Chandara CS (Kedaton)</v>
      </c>
      <c r="D4047" s="42"/>
      <c r="E4047" s="42"/>
      <c r="F4047" s="48" t="str">
        <f>IFERROR(__xludf.DUMMYFUNCTION("""COMPUTED_VALUE"""),"")</f>
        <v/>
      </c>
      <c r="G4047" s="42" t="str">
        <f>IFERROR(__xludf.DUMMYFUNCTION("""COMPUTED_VALUE"""),"Pertama Kali")</f>
        <v>Pertama Kali</v>
      </c>
      <c r="H4047" s="42">
        <f t="shared" si="1"/>
        <v>1783</v>
      </c>
    </row>
    <row r="4048" ht="22.5" customHeight="1">
      <c r="B4048" s="42" t="str">
        <f>IFERROR(__xludf.DUMMYFUNCTION("""COMPUTED_VALUE"""),"K/19/070525/1")</f>
        <v>K/19/070525/1</v>
      </c>
      <c r="C4048" s="42" t="str">
        <f>IFERROR(__xludf.DUMMYFUNCTION("""COMPUTED_VALUE"""),"M. 1736/ Susunan Baru")</f>
        <v>M. 1736/ Susunan Baru</v>
      </c>
      <c r="D4048" s="42" t="str">
        <f>IFERROR(__xludf.DUMMYFUNCTION("""COMPUTED_VALUE"""),"Berry")</f>
        <v>Berry</v>
      </c>
      <c r="E4048" s="42" t="str">
        <f>IFERROR(__xludf.DUMMYFUNCTION("""COMPUTED_VALUE"""),"DISERAHKAN")</f>
        <v>DISERAHKAN</v>
      </c>
      <c r="F4048" s="48">
        <f>IFERROR(__xludf.DUMMYFUNCTION("""COMPUTED_VALUE"""),45803.43585193287)</f>
        <v>45803.43585</v>
      </c>
      <c r="G4048" s="42" t="str">
        <f>IFERROR(__xludf.DUMMYFUNCTION("""COMPUTED_VALUE"""),"BN Jual Beli")</f>
        <v>BN Jual Beli</v>
      </c>
      <c r="H4048" s="42">
        <f t="shared" si="1"/>
        <v>1784</v>
      </c>
    </row>
    <row r="4049" ht="22.5" customHeight="1">
      <c r="B4049" s="42" t="str">
        <f>IFERROR(__xludf.DUMMYFUNCTION("""COMPUTED_VALUE"""),"L/20/070525/1")</f>
        <v>L/20/070525/1</v>
      </c>
      <c r="C4049" s="42" t="str">
        <f>IFERROR(__xludf.DUMMYFUNCTION("""COMPUTED_VALUE"""),"NIB19652/RAJABASA RAYA")</f>
        <v>NIB19652/RAJABASA RAYA</v>
      </c>
      <c r="D4049" s="42"/>
      <c r="E4049" s="42"/>
      <c r="F4049" s="48" t="str">
        <f>IFERROR(__xludf.DUMMYFUNCTION("""COMPUTED_VALUE"""),"")</f>
        <v/>
      </c>
      <c r="G4049" s="42" t="str">
        <f>IFERROR(__xludf.DUMMYFUNCTION("""COMPUTED_VALUE"""),"PTPGT")</f>
        <v>PTPGT</v>
      </c>
      <c r="H4049" s="42">
        <f t="shared" si="1"/>
        <v>1784</v>
      </c>
    </row>
    <row r="4050" ht="22.5" customHeight="1">
      <c r="B4050" s="42" t="str">
        <f>IFERROR(__xludf.DUMMYFUNCTION("""COMPUTED_VALUE"""),"K/21/070525/1")</f>
        <v>K/21/070525/1</v>
      </c>
      <c r="C4050" s="42" t="str">
        <f>IFERROR(__xludf.DUMMYFUNCTION("""COMPUTED_VALUE"""),"B.180/RAJABASA NUNYAI")</f>
        <v>B.180/RAJABASA NUNYAI</v>
      </c>
      <c r="D4050" s="42" t="str">
        <f>IFERROR(__xludf.DUMMYFUNCTION("""COMPUTED_VALUE"""),"David")</f>
        <v>David</v>
      </c>
      <c r="E4050" s="42" t="str">
        <f>IFERROR(__xludf.DUMMYFUNCTION("""COMPUTED_VALUE"""),"DISERAHKAN")</f>
        <v>DISERAHKAN</v>
      </c>
      <c r="F4050" s="48">
        <f>IFERROR(__xludf.DUMMYFUNCTION("""COMPUTED_VALUE"""),45825.64978175926)</f>
        <v>45825.64978</v>
      </c>
      <c r="G4050" s="42" t="str">
        <f>IFERROR(__xludf.DUMMYFUNCTION("""COMPUTED_VALUE"""),"ROYA")</f>
        <v>ROYA</v>
      </c>
      <c r="H4050" s="42">
        <f t="shared" si="1"/>
        <v>1785</v>
      </c>
    </row>
    <row r="4051" ht="22.5" customHeight="1">
      <c r="B4051" s="42" t="str">
        <f>IFERROR(__xludf.DUMMYFUNCTION("""COMPUTED_VALUE"""),"K/24/070525/1")</f>
        <v>K/24/070525/1</v>
      </c>
      <c r="C4051" s="42" t="str">
        <f>IFERROR(__xludf.DUMMYFUNCTION("""COMPUTED_VALUE"""),"M.189/WAY HALIM PERMAI")</f>
        <v>M.189/WAY HALIM PERMAI</v>
      </c>
      <c r="D4051" s="42" t="str">
        <f>IFERROR(__xludf.DUMMYFUNCTION("""COMPUTED_VALUE"""),"Berry")</f>
        <v>Berry</v>
      </c>
      <c r="E4051" s="42" t="str">
        <f>IFERROR(__xludf.DUMMYFUNCTION("""COMPUTED_VALUE"""),"DISERAHKAN")</f>
        <v>DISERAHKAN</v>
      </c>
      <c r="F4051" s="48">
        <f>IFERROR(__xludf.DUMMYFUNCTION("""COMPUTED_VALUE"""),45800.40945259259)</f>
        <v>45800.40945</v>
      </c>
      <c r="G4051" s="42" t="str">
        <f>IFERROR(__xludf.DUMMYFUNCTION("""COMPUTED_VALUE"""),"JUAL BELI")</f>
        <v>JUAL BELI</v>
      </c>
      <c r="H4051" s="42">
        <f t="shared" si="1"/>
        <v>1786</v>
      </c>
    </row>
    <row r="4052" ht="22.5" customHeight="1">
      <c r="B4052" s="42" t="str">
        <f>IFERROR(__xludf.DUMMYFUNCTION("""COMPUTED_VALUE"""),"K/22/070525/1")</f>
        <v>K/22/070525/1</v>
      </c>
      <c r="C4052" s="42" t="str">
        <f>IFERROR(__xludf.DUMMYFUNCTION("""COMPUTED_VALUE"""),"Nibel. M. 20803/ Jagabaya II")</f>
        <v>Nibel. M. 20803/ Jagabaya II</v>
      </c>
      <c r="D4052" s="42"/>
      <c r="E4052" s="42"/>
      <c r="F4052" s="48" t="str">
        <f>IFERROR(__xludf.DUMMYFUNCTION("""COMPUTED_VALUE"""),"")</f>
        <v/>
      </c>
      <c r="G4052" s="42" t="str">
        <f>IFERROR(__xludf.DUMMYFUNCTION("""COMPUTED_VALUE"""),"BN Jual Beli")</f>
        <v>BN Jual Beli</v>
      </c>
      <c r="H4052" s="42">
        <f t="shared" si="1"/>
        <v>1786</v>
      </c>
    </row>
    <row r="4053" ht="22.5" customHeight="1">
      <c r="B4053" s="42" t="str">
        <f>IFERROR(__xludf.DUMMYFUNCTION("""COMPUTED_VALUE"""),"K/23/070525/2")</f>
        <v>K/23/070525/2</v>
      </c>
      <c r="C4053" s="42" t="str">
        <f>IFERROR(__xludf.DUMMYFUNCTION("""COMPUTED_VALUE"""),"Nibel. M. 20431/ Sukarame")</f>
        <v>Nibel. M. 20431/ Sukarame</v>
      </c>
      <c r="D4053" s="42"/>
      <c r="E4053" s="42"/>
      <c r="F4053" s="48" t="str">
        <f>IFERROR(__xludf.DUMMYFUNCTION("""COMPUTED_VALUE"""),"")</f>
        <v/>
      </c>
      <c r="G4053" s="42" t="str">
        <f>IFERROR(__xludf.DUMMYFUNCTION("""COMPUTED_VALUE"""),"BN Jual Beli")</f>
        <v>BN Jual Beli</v>
      </c>
      <c r="H4053" s="42">
        <f t="shared" si="1"/>
        <v>1786</v>
      </c>
    </row>
    <row r="4054" ht="22.5" customHeight="1">
      <c r="B4054" s="42" t="str">
        <f>IFERROR(__xludf.DUMMYFUNCTION("""COMPUTED_VALUE"""),"K/25/070525/1")</f>
        <v>K/25/070525/1</v>
      </c>
      <c r="C4054" s="42" t="str">
        <f>IFERROR(__xludf.DUMMYFUNCTION("""COMPUTED_VALUE"""),"Nibel 2189/ Gunung Terang")</f>
        <v>Nibel 2189/ Gunung Terang</v>
      </c>
      <c r="D4054" s="42"/>
      <c r="E4054" s="42"/>
      <c r="F4054" s="48" t="str">
        <f>IFERROR(__xludf.DUMMYFUNCTION("""COMPUTED_VALUE"""),"")</f>
        <v/>
      </c>
      <c r="G4054" s="42" t="str">
        <f>IFERROR(__xludf.DUMMYFUNCTION("""COMPUTED_VALUE"""),"BN JUAL BELI")</f>
        <v>BN JUAL BELI</v>
      </c>
      <c r="H4054" s="42">
        <f t="shared" si="1"/>
        <v>1786</v>
      </c>
    </row>
    <row r="4055" ht="22.5" customHeight="1">
      <c r="B4055" s="42" t="str">
        <f>IFERROR(__xludf.DUMMYFUNCTION("""COMPUTED_VALUE"""),"L/26/070525/1")</f>
        <v>L/26/070525/1</v>
      </c>
      <c r="C4055" s="42" t="str">
        <f>IFERROR(__xludf.DUMMYFUNCTION("""COMPUTED_VALUE"""),"HM 4674/TANJUNG SENANG")</f>
        <v>HM 4674/TANJUNG SENANG</v>
      </c>
      <c r="D4055" s="42" t="str">
        <f>IFERROR(__xludf.DUMMYFUNCTION("""COMPUTED_VALUE"""),"David")</f>
        <v>David</v>
      </c>
      <c r="E4055" s="42" t="str">
        <f>IFERROR(__xludf.DUMMYFUNCTION("""COMPUTED_VALUE"""),"DISERAHKAN")</f>
        <v>DISERAHKAN</v>
      </c>
      <c r="F4055" s="48">
        <f>IFERROR(__xludf.DUMMYFUNCTION("""COMPUTED_VALUE"""),45813.478079340275)</f>
        <v>45813.47808</v>
      </c>
      <c r="G4055" s="42" t="str">
        <f>IFERROR(__xludf.DUMMYFUNCTION("""COMPUTED_VALUE"""),"ROYA")</f>
        <v>ROYA</v>
      </c>
      <c r="H4055" s="42">
        <f t="shared" si="1"/>
        <v>1787</v>
      </c>
    </row>
    <row r="4056" ht="22.5" customHeight="1">
      <c r="B4056" s="42" t="str">
        <f>IFERROR(__xludf.DUMMYFUNCTION("""COMPUTED_VALUE"""),"K/27/070525/1")</f>
        <v>K/27/070525/1</v>
      </c>
      <c r="C4056" s="42" t="str">
        <f>IFERROR(__xludf.DUMMYFUNCTION("""COMPUTED_VALUE"""),"M. 1044/ Tanjung Gading")</f>
        <v>M. 1044/ Tanjung Gading</v>
      </c>
      <c r="D4056" s="42"/>
      <c r="E4056" s="42"/>
      <c r="F4056" s="48" t="str">
        <f>IFERROR(__xludf.DUMMYFUNCTION("""COMPUTED_VALUE"""),"")</f>
        <v/>
      </c>
      <c r="G4056" s="42" t="str">
        <f>IFERROR(__xludf.DUMMYFUNCTION("""COMPUTED_VALUE"""),"SKPT LELANG")</f>
        <v>SKPT LELANG</v>
      </c>
      <c r="H4056" s="42">
        <f t="shared" si="1"/>
        <v>1787</v>
      </c>
    </row>
    <row r="4057" ht="22.5" customHeight="1">
      <c r="B4057" s="42" t="str">
        <f>IFERROR(__xludf.DUMMYFUNCTION("""COMPUTED_VALUE"""),"K/28/070525/2")</f>
        <v>K/28/070525/2</v>
      </c>
      <c r="C4057" s="42" t="str">
        <f>IFERROR(__xludf.DUMMYFUNCTION("""COMPUTED_VALUE"""),"M. 1043/ Tanjung Gading")</f>
        <v>M. 1043/ Tanjung Gading</v>
      </c>
      <c r="D4057" s="42"/>
      <c r="E4057" s="42"/>
      <c r="F4057" s="48" t="str">
        <f>IFERROR(__xludf.DUMMYFUNCTION("""COMPUTED_VALUE"""),"")</f>
        <v/>
      </c>
      <c r="G4057" s="42" t="str">
        <f>IFERROR(__xludf.DUMMYFUNCTION("""COMPUTED_VALUE"""),"SKPT LELANG")</f>
        <v>SKPT LELANG</v>
      </c>
      <c r="H4057" s="42">
        <f t="shared" si="1"/>
        <v>1787</v>
      </c>
    </row>
    <row r="4058" ht="22.5" customHeight="1">
      <c r="B4058" s="42" t="str">
        <f>IFERROR(__xludf.DUMMYFUNCTION("""COMPUTED_VALUE"""),"K/29/070525/3")</f>
        <v>K/29/070525/3</v>
      </c>
      <c r="C4058" s="42" t="str">
        <f>IFERROR(__xludf.DUMMYFUNCTION("""COMPUTED_VALUE"""),"M. 1042/ Tanjung Gading")</f>
        <v>M. 1042/ Tanjung Gading</v>
      </c>
      <c r="D4058" s="42"/>
      <c r="E4058" s="42"/>
      <c r="F4058" s="48" t="str">
        <f>IFERROR(__xludf.DUMMYFUNCTION("""COMPUTED_VALUE"""),"")</f>
        <v/>
      </c>
      <c r="G4058" s="42" t="str">
        <f>IFERROR(__xludf.DUMMYFUNCTION("""COMPUTED_VALUE"""),"SKPT LELANG")</f>
        <v>SKPT LELANG</v>
      </c>
      <c r="H4058" s="42">
        <f t="shared" si="1"/>
        <v>1787</v>
      </c>
    </row>
    <row r="4059" ht="22.5" customHeight="1">
      <c r="B4059" s="42" t="str">
        <f>IFERROR(__xludf.DUMMYFUNCTION("""COMPUTED_VALUE"""),"K/30/070525/4")</f>
        <v>K/30/070525/4</v>
      </c>
      <c r="C4059" s="42" t="str">
        <f>IFERROR(__xludf.DUMMYFUNCTION("""COMPUTED_VALUE"""),"M. 880/ Way Laga")</f>
        <v>M. 880/ Way Laga</v>
      </c>
      <c r="D4059" s="42"/>
      <c r="E4059" s="42"/>
      <c r="F4059" s="48" t="str">
        <f>IFERROR(__xludf.DUMMYFUNCTION("""COMPUTED_VALUE"""),"")</f>
        <v/>
      </c>
      <c r="G4059" s="42" t="str">
        <f>IFERROR(__xludf.DUMMYFUNCTION("""COMPUTED_VALUE"""),"SKPT LELANG")</f>
        <v>SKPT LELANG</v>
      </c>
      <c r="H4059" s="42">
        <f t="shared" si="1"/>
        <v>1787</v>
      </c>
    </row>
    <row r="4060" ht="22.5" customHeight="1">
      <c r="B4060" s="42" t="str">
        <f>IFERROR(__xludf.DUMMYFUNCTION("""COMPUTED_VALUE"""),"K/31/070525/1")</f>
        <v>K/31/070525/1</v>
      </c>
      <c r="C4060" s="42" t="str">
        <f>IFERROR(__xludf.DUMMYFUNCTION("""COMPUTED_VALUE"""),"M. 9780/ Sukamenanti Baru")</f>
        <v>M. 9780/ Sukamenanti Baru</v>
      </c>
      <c r="D4060" s="42" t="str">
        <f>IFERROR(__xludf.DUMMYFUNCTION("""COMPUTED_VALUE"""),"Berry")</f>
        <v>Berry</v>
      </c>
      <c r="E4060" s="42" t="str">
        <f>IFERROR(__xludf.DUMMYFUNCTION("""COMPUTED_VALUE"""),"DISERAHKAN")</f>
        <v>DISERAHKAN</v>
      </c>
      <c r="F4060" s="48">
        <f>IFERROR(__xludf.DUMMYFUNCTION("""COMPUTED_VALUE"""),45819.80746090278)</f>
        <v>45819.80746</v>
      </c>
      <c r="G4060" s="42" t="str">
        <f>IFERROR(__xludf.DUMMYFUNCTION("""COMPUTED_VALUE"""),"BN Hibah")</f>
        <v>BN Hibah</v>
      </c>
      <c r="H4060" s="42">
        <f t="shared" si="1"/>
        <v>1788</v>
      </c>
    </row>
    <row r="4061" ht="22.5" customHeight="1">
      <c r="B4061" s="42" t="str">
        <f>IFERROR(__xludf.DUMMYFUNCTION("""COMPUTED_VALUE"""),"K/32/070525/1")</f>
        <v>K/32/070525/1</v>
      </c>
      <c r="C4061" s="42" t="str">
        <f>IFERROR(__xludf.DUMMYFUNCTION("""COMPUTED_VALUE"""),"M. 1163/ Beringin Raya")</f>
        <v>M. 1163/ Beringin Raya</v>
      </c>
      <c r="D4061" s="42" t="str">
        <f>IFERROR(__xludf.DUMMYFUNCTION("""COMPUTED_VALUE"""),"David")</f>
        <v>David</v>
      </c>
      <c r="E4061" s="42" t="str">
        <f>IFERROR(__xludf.DUMMYFUNCTION("""COMPUTED_VALUE"""),"DISERAHKAN")</f>
        <v>DISERAHKAN</v>
      </c>
      <c r="F4061" s="48">
        <f>IFERROR(__xludf.DUMMYFUNCTION("""COMPUTED_VALUE"""),45874.68764950232)</f>
        <v>45874.68765</v>
      </c>
      <c r="G4061" s="42" t="str">
        <f>IFERROR(__xludf.DUMMYFUNCTION("""COMPUTED_VALUE"""),"ROYA")</f>
        <v>ROYA</v>
      </c>
      <c r="H4061" s="42">
        <f t="shared" si="1"/>
        <v>1789</v>
      </c>
    </row>
    <row r="4062" ht="22.5" customHeight="1">
      <c r="B4062" s="42" t="str">
        <f>IFERROR(__xludf.DUMMYFUNCTION("""COMPUTED_VALUE"""),"L/1/080525/1")</f>
        <v>L/1/080525/1</v>
      </c>
      <c r="C4062" s="42" t="str">
        <f>IFERROR(__xludf.DUMMYFUNCTION("""COMPUTED_VALUE"""),"HGB 1254/SUMBE REJO")</f>
        <v>HGB 1254/SUMBE REJO</v>
      </c>
      <c r="D4062" s="42"/>
      <c r="E4062" s="42"/>
      <c r="F4062" s="48" t="str">
        <f>IFERROR(__xludf.DUMMYFUNCTION("""COMPUTED_VALUE"""),"")</f>
        <v/>
      </c>
      <c r="G4062" s="42" t="str">
        <f>IFERROR(__xludf.DUMMYFUNCTION("""COMPUTED_VALUE"""),"PH")</f>
        <v>PH</v>
      </c>
      <c r="H4062" s="42">
        <f t="shared" si="1"/>
        <v>1789</v>
      </c>
    </row>
    <row r="4063" ht="22.5" customHeight="1">
      <c r="B4063" s="42" t="str">
        <f>IFERROR(__xludf.DUMMYFUNCTION("""COMPUTED_VALUE"""),"K/14/070525/1")</f>
        <v>K/14/070525/1</v>
      </c>
      <c r="C4063" s="42" t="str">
        <f>IFERROR(__xludf.DUMMYFUNCTION("""COMPUTED_VALUE"""),"M. 852/KEMILING RAYA")</f>
        <v>M. 852/KEMILING RAYA</v>
      </c>
      <c r="D4063" s="42" t="str">
        <f>IFERROR(__xludf.DUMMYFUNCTION("""COMPUTED_VALUE"""),"Berry")</f>
        <v>Berry</v>
      </c>
      <c r="E4063" s="42" t="str">
        <f>IFERROR(__xludf.DUMMYFUNCTION("""COMPUTED_VALUE"""),"DISERAHKAN")</f>
        <v>DISERAHKAN</v>
      </c>
      <c r="F4063" s="48">
        <f>IFERROR(__xludf.DUMMYFUNCTION("""COMPUTED_VALUE"""),45824.50302398148)</f>
        <v>45824.50302</v>
      </c>
      <c r="G4063" s="42" t="str">
        <f>IFERROR(__xludf.DUMMYFUNCTION("""COMPUTED_VALUE"""),"BN JUAL BELI")</f>
        <v>BN JUAL BELI</v>
      </c>
      <c r="H4063" s="42">
        <f t="shared" si="1"/>
        <v>1790</v>
      </c>
    </row>
    <row r="4064" ht="22.5" customHeight="1">
      <c r="B4064" s="42" t="str">
        <f>IFERROR(__xludf.DUMMYFUNCTION("""COMPUTED_VALUE"""),"K/2/080525/1")</f>
        <v>K/2/080525/1</v>
      </c>
      <c r="C4064" s="42" t="str">
        <f>IFERROR(__xludf.DUMMYFUNCTION("""COMPUTED_VALUE"""),"NIBEL M. 1878/LABUHAN RATU RAYA")</f>
        <v>NIBEL M. 1878/LABUHAN RATU RAYA</v>
      </c>
      <c r="D4064" s="42"/>
      <c r="E4064" s="42"/>
      <c r="F4064" s="48" t="str">
        <f>IFERROR(__xludf.DUMMYFUNCTION("""COMPUTED_VALUE"""),"")</f>
        <v/>
      </c>
      <c r="G4064" s="42" t="str">
        <f>IFERROR(__xludf.DUMMYFUNCTION("""COMPUTED_VALUE"""),"BN JUAL BELI")</f>
        <v>BN JUAL BELI</v>
      </c>
      <c r="H4064" s="42">
        <f t="shared" si="1"/>
        <v>1790</v>
      </c>
    </row>
    <row r="4065" ht="22.5" customHeight="1">
      <c r="B4065" s="42" t="str">
        <f>IFERROR(__xludf.DUMMYFUNCTION("""COMPUTED_VALUE"""),"K/33/070525/1")</f>
        <v>K/33/070525/1</v>
      </c>
      <c r="C4065" s="42" t="str">
        <f>IFERROR(__xludf.DUMMYFUNCTION("""COMPUTED_VALUE"""),"NIBEL M.2305/TANJUNG SENENG")</f>
        <v>NIBEL M.2305/TANJUNG SENENG</v>
      </c>
      <c r="D4065" s="42"/>
      <c r="E4065" s="42"/>
      <c r="F4065" s="48" t="str">
        <f>IFERROR(__xludf.DUMMYFUNCTION("""COMPUTED_VALUE"""),"")</f>
        <v/>
      </c>
      <c r="G4065" s="42" t="str">
        <f>IFERROR(__xludf.DUMMYFUNCTION("""COMPUTED_VALUE"""),"JUAL BELI")</f>
        <v>JUAL BELI</v>
      </c>
      <c r="H4065" s="42">
        <f t="shared" si="1"/>
        <v>1790</v>
      </c>
    </row>
    <row r="4066" ht="22.5" customHeight="1">
      <c r="B4066" s="42" t="str">
        <f>IFERROR(__xludf.DUMMYFUNCTION("""COMPUTED_VALUE"""),"K/4/080525/1")</f>
        <v>K/4/080525/1</v>
      </c>
      <c r="C4066" s="42" t="str">
        <f>IFERROR(__xludf.DUMMYFUNCTION("""COMPUTED_VALUE"""),"B.784/RAJABASA")</f>
        <v>B.784/RAJABASA</v>
      </c>
      <c r="D4066" s="42"/>
      <c r="E4066" s="42"/>
      <c r="F4066" s="48" t="str">
        <f>IFERROR(__xludf.DUMMYFUNCTION("""COMPUTED_VALUE"""),"")</f>
        <v/>
      </c>
      <c r="G4066" s="42" t="str">
        <f>IFERROR(__xludf.DUMMYFUNCTION("""COMPUTED_VALUE"""),"PTPGT")</f>
        <v>PTPGT</v>
      </c>
      <c r="H4066" s="42">
        <f t="shared" si="1"/>
        <v>1790</v>
      </c>
    </row>
    <row r="4067" ht="22.5" customHeight="1">
      <c r="B4067" s="42" t="str">
        <f>IFERROR(__xludf.DUMMYFUNCTION("""COMPUTED_VALUE"""),"K/5/080525/1")</f>
        <v>K/5/080525/1</v>
      </c>
      <c r="C4067" s="42" t="str">
        <f>IFERROR(__xludf.DUMMYFUNCTION("""COMPUTED_VALUE"""),"B. 855/ keteguhan")</f>
        <v>B. 855/ keteguhan</v>
      </c>
      <c r="D4067" s="42" t="str">
        <f>IFERROR(__xludf.DUMMYFUNCTION("""COMPUTED_VALUE"""),"Berry")</f>
        <v>Berry</v>
      </c>
      <c r="E4067" s="42" t="str">
        <f>IFERROR(__xludf.DUMMYFUNCTION("""COMPUTED_VALUE"""),"DISERAHKAN")</f>
        <v>DISERAHKAN</v>
      </c>
      <c r="F4067" s="48">
        <f>IFERROR(__xludf.DUMMYFUNCTION("""COMPUTED_VALUE"""),45841.50369738426)</f>
        <v>45841.5037</v>
      </c>
      <c r="G4067" s="42" t="str">
        <f>IFERROR(__xludf.DUMMYFUNCTION("""COMPUTED_VALUE"""),"BN JUAL BELI")</f>
        <v>BN JUAL BELI</v>
      </c>
      <c r="H4067" s="42">
        <f t="shared" si="1"/>
        <v>1791</v>
      </c>
    </row>
    <row r="4068" ht="22.5" customHeight="1">
      <c r="B4068" s="42" t="str">
        <f>IFERROR(__xludf.DUMMYFUNCTION("""COMPUTED_VALUE"""),"K/6/080525/1")</f>
        <v>K/6/080525/1</v>
      </c>
      <c r="C4068" s="42" t="str">
        <f>IFERROR(__xludf.DUMMYFUNCTION("""COMPUTED_VALUE"""),"B. 239/ Surabaya")</f>
        <v>B. 239/ Surabaya</v>
      </c>
      <c r="D4068" s="42"/>
      <c r="E4068" s="42"/>
      <c r="F4068" s="48" t="str">
        <f>IFERROR(__xludf.DUMMYFUNCTION("""COMPUTED_VALUE"""),"")</f>
        <v/>
      </c>
      <c r="G4068" s="42" t="str">
        <f>IFERROR(__xludf.DUMMYFUNCTION("""COMPUTED_VALUE"""),"PERUBAHAN HAK")</f>
        <v>PERUBAHAN HAK</v>
      </c>
      <c r="H4068" s="42">
        <f t="shared" si="1"/>
        <v>1791</v>
      </c>
    </row>
    <row r="4069" ht="22.5" customHeight="1">
      <c r="B4069" s="42" t="str">
        <f>IFERROR(__xludf.DUMMYFUNCTION("""COMPUTED_VALUE"""),"K/7/080525/1")</f>
        <v>K/7/080525/1</v>
      </c>
      <c r="C4069" s="42" t="str">
        <f>IFERROR(__xludf.DUMMYFUNCTION("""COMPUTED_VALUE"""),"M.860/PESAWAHAN")</f>
        <v>M.860/PESAWAHAN</v>
      </c>
      <c r="D4069" s="42" t="str">
        <f>IFERROR(__xludf.DUMMYFUNCTION("""COMPUTED_VALUE"""),"David")</f>
        <v>David</v>
      </c>
      <c r="E4069" s="42" t="str">
        <f>IFERROR(__xludf.DUMMYFUNCTION("""COMPUTED_VALUE"""),"DISERAHKAN")</f>
        <v>DISERAHKAN</v>
      </c>
      <c r="F4069" s="48">
        <f>IFERROR(__xludf.DUMMYFUNCTION("""COMPUTED_VALUE"""),45811.36357069445)</f>
        <v>45811.36357</v>
      </c>
      <c r="G4069" s="42" t="str">
        <f>IFERROR(__xludf.DUMMYFUNCTION("""COMPUTED_VALUE"""),"ROYA ")</f>
        <v>ROYA </v>
      </c>
      <c r="H4069" s="42">
        <f t="shared" si="1"/>
        <v>1792</v>
      </c>
    </row>
    <row r="4070" ht="22.5" customHeight="1">
      <c r="B4070" s="42" t="str">
        <f>IFERROR(__xludf.DUMMYFUNCTION("""COMPUTED_VALUE"""),"K/8/080525/2")</f>
        <v>K/8/080525/2</v>
      </c>
      <c r="C4070" s="42" t="str">
        <f>IFERROR(__xludf.DUMMYFUNCTION("""COMPUTED_VALUE"""),"M.638/KUPANG KOTA")</f>
        <v>M.638/KUPANG KOTA</v>
      </c>
      <c r="D4070" s="42" t="str">
        <f>IFERROR(__xludf.DUMMYFUNCTION("""COMPUTED_VALUE"""),"David")</f>
        <v>David</v>
      </c>
      <c r="E4070" s="42" t="str">
        <f>IFERROR(__xludf.DUMMYFUNCTION("""COMPUTED_VALUE"""),"DISERAHKAN")</f>
        <v>DISERAHKAN</v>
      </c>
      <c r="F4070" s="48">
        <f>IFERROR(__xludf.DUMMYFUNCTION("""COMPUTED_VALUE"""),45825.64868108796)</f>
        <v>45825.64868</v>
      </c>
      <c r="G4070" s="42" t="str">
        <f>IFERROR(__xludf.DUMMYFUNCTION("""COMPUTED_VALUE"""),"ROYA")</f>
        <v>ROYA</v>
      </c>
      <c r="H4070" s="42">
        <f t="shared" si="1"/>
        <v>1793</v>
      </c>
    </row>
    <row r="4071" ht="22.5" customHeight="1">
      <c r="B4071" s="42" t="str">
        <f>IFERROR(__xludf.DUMMYFUNCTION("""COMPUTED_VALUE"""),"K/9/080525/3")</f>
        <v>K/9/080525/3</v>
      </c>
      <c r="C4071" s="42" t="str">
        <f>IFERROR(__xludf.DUMMYFUNCTION("""COMPUTED_VALUE"""),"M.629/KUPANG KOTA")</f>
        <v>M.629/KUPANG KOTA</v>
      </c>
      <c r="D4071" s="42" t="str">
        <f>IFERROR(__xludf.DUMMYFUNCTION("""COMPUTED_VALUE"""),"David")</f>
        <v>David</v>
      </c>
      <c r="E4071" s="42" t="str">
        <f>IFERROR(__xludf.DUMMYFUNCTION("""COMPUTED_VALUE"""),"DISERAHKAN")</f>
        <v>DISERAHKAN</v>
      </c>
      <c r="F4071" s="48">
        <f>IFERROR(__xludf.DUMMYFUNCTION("""COMPUTED_VALUE"""),45819.366907222226)</f>
        <v>45819.36691</v>
      </c>
      <c r="G4071" s="42" t="str">
        <f>IFERROR(__xludf.DUMMYFUNCTION("""COMPUTED_VALUE"""),"ROYA")</f>
        <v>ROYA</v>
      </c>
      <c r="H4071" s="42">
        <f t="shared" si="1"/>
        <v>1794</v>
      </c>
    </row>
    <row r="4072" ht="22.5" customHeight="1">
      <c r="B4072" s="42" t="str">
        <f>IFERROR(__xludf.DUMMYFUNCTION("""COMPUTED_VALUE"""),"K/10/080525/4")</f>
        <v>K/10/080525/4</v>
      </c>
      <c r="C4072" s="42" t="str">
        <f>IFERROR(__xludf.DUMMYFUNCTION("""COMPUTED_VALUE"""),"M.143/PESAWAHAN")</f>
        <v>M.143/PESAWAHAN</v>
      </c>
      <c r="D4072" s="42" t="str">
        <f>IFERROR(__xludf.DUMMYFUNCTION("""COMPUTED_VALUE"""),"David")</f>
        <v>David</v>
      </c>
      <c r="E4072" s="42" t="str">
        <f>IFERROR(__xludf.DUMMYFUNCTION("""COMPUTED_VALUE"""),"DISERAHKAN")</f>
        <v>DISERAHKAN</v>
      </c>
      <c r="F4072" s="48">
        <f>IFERROR(__xludf.DUMMYFUNCTION("""COMPUTED_VALUE"""),45813.490018321754)</f>
        <v>45813.49002</v>
      </c>
      <c r="G4072" s="42" t="str">
        <f>IFERROR(__xludf.DUMMYFUNCTION("""COMPUTED_VALUE"""),"ROYA ")</f>
        <v>ROYA </v>
      </c>
      <c r="H4072" s="42">
        <f t="shared" si="1"/>
        <v>1795</v>
      </c>
    </row>
    <row r="4073" ht="22.5" customHeight="1">
      <c r="B4073" s="42" t="str">
        <f>IFERROR(__xludf.DUMMYFUNCTION("""COMPUTED_VALUE"""),"L/12/080525/1")</f>
        <v>L/12/080525/1</v>
      </c>
      <c r="C4073" s="42" t="str">
        <f>IFERROR(__xludf.DUMMYFUNCTION("""COMPUTED_VALUE"""),"SUKAJAWA BARU")</f>
        <v>SUKAJAWA BARU</v>
      </c>
      <c r="D4073" s="42"/>
      <c r="E4073" s="42"/>
      <c r="F4073" s="48" t="str">
        <f>IFERROR(__xludf.DUMMYFUNCTION("""COMPUTED_VALUE"""),"")</f>
        <v/>
      </c>
      <c r="G4073" s="42" t="str">
        <f>IFERROR(__xludf.DUMMYFUNCTION("""COMPUTED_VALUE"""),"SELAMAT")</f>
        <v>SELAMAT</v>
      </c>
      <c r="H4073" s="42">
        <f t="shared" si="1"/>
        <v>1795</v>
      </c>
    </row>
    <row r="4074" ht="22.5" customHeight="1">
      <c r="B4074" s="42" t="str">
        <f>IFERROR(__xludf.DUMMYFUNCTION("""COMPUTED_VALUE"""),"L/13/080525/1")</f>
        <v>L/13/080525/1</v>
      </c>
      <c r="C4074" s="42" t="str">
        <f>IFERROR(__xludf.DUMMYFUNCTION("""COMPUTED_VALUE"""),"HM 276/PINANG JAYA")</f>
        <v>HM 276/PINANG JAYA</v>
      </c>
      <c r="D4074" s="42" t="str">
        <f>IFERROR(__xludf.DUMMYFUNCTION("""COMPUTED_VALUE"""),"David")</f>
        <v>David</v>
      </c>
      <c r="E4074" s="42" t="str">
        <f>IFERROR(__xludf.DUMMYFUNCTION("""COMPUTED_VALUE"""),"DISERAHKAN")</f>
        <v>DISERAHKAN</v>
      </c>
      <c r="F4074" s="48">
        <f>IFERROR(__xludf.DUMMYFUNCTION("""COMPUTED_VALUE"""),45811.36543222222)</f>
        <v>45811.36543</v>
      </c>
      <c r="G4074" s="42" t="str">
        <f>IFERROR(__xludf.DUMMYFUNCTION("""COMPUTED_VALUE"""),"ROYA")</f>
        <v>ROYA</v>
      </c>
      <c r="H4074" s="42">
        <f t="shared" si="1"/>
        <v>1796</v>
      </c>
    </row>
    <row r="4075" ht="22.5" customHeight="1">
      <c r="B4075" s="42" t="str">
        <f>IFERROR(__xludf.DUMMYFUNCTION("""COMPUTED_VALUE"""),"K/11/080525/5")</f>
        <v>K/11/080525/5</v>
      </c>
      <c r="C4075" s="42" t="str">
        <f>IFERROR(__xludf.DUMMYFUNCTION("""COMPUTED_VALUE"""),"M.270/PESAWAHAN")</f>
        <v>M.270/PESAWAHAN</v>
      </c>
      <c r="D4075" s="42"/>
      <c r="E4075" s="42"/>
      <c r="F4075" s="48" t="str">
        <f>IFERROR(__xludf.DUMMYFUNCTION("""COMPUTED_VALUE"""),"")</f>
        <v/>
      </c>
      <c r="G4075" s="42" t="str">
        <f>IFERROR(__xludf.DUMMYFUNCTION("""COMPUTED_VALUE"""),"ROYA")</f>
        <v>ROYA</v>
      </c>
      <c r="H4075" s="42">
        <f t="shared" si="1"/>
        <v>1796</v>
      </c>
    </row>
    <row r="4076" ht="22.5" customHeight="1">
      <c r="B4076" s="42" t="str">
        <f>IFERROR(__xludf.DUMMYFUNCTION("""COMPUTED_VALUE"""),"K/14/080525/1")</f>
        <v>K/14/080525/1</v>
      </c>
      <c r="C4076" s="42" t="str">
        <f>IFERROR(__xludf.DUMMYFUNCTION("""COMPUTED_VALUE"""),"Nibel 17365/ Labuhan Dalam")</f>
        <v>Nibel 17365/ Labuhan Dalam</v>
      </c>
      <c r="D4076" s="42"/>
      <c r="E4076" s="42"/>
      <c r="F4076" s="48" t="str">
        <f>IFERROR(__xludf.DUMMYFUNCTION("""COMPUTED_VALUE"""),"")</f>
        <v/>
      </c>
      <c r="G4076" s="42" t="str">
        <f>IFERROR(__xludf.DUMMYFUNCTION("""COMPUTED_VALUE"""),"BN JUAL BELI")</f>
        <v>BN JUAL BELI</v>
      </c>
      <c r="H4076" s="42">
        <f t="shared" si="1"/>
        <v>1796</v>
      </c>
    </row>
    <row r="4077" ht="22.5" customHeight="1">
      <c r="B4077" s="42" t="str">
        <f>IFERROR(__xludf.DUMMYFUNCTION("""COMPUTED_VALUE"""),"K/15/080525/2")</f>
        <v>K/15/080525/2</v>
      </c>
      <c r="C4077" s="42" t="str">
        <f>IFERROR(__xludf.DUMMYFUNCTION("""COMPUTED_VALUE"""),"M. 290/ Tanjung Agung")</f>
        <v>M. 290/ Tanjung Agung</v>
      </c>
      <c r="D4077" s="42" t="str">
        <f>IFERROR(__xludf.DUMMYFUNCTION("""COMPUTED_VALUE"""),"David")</f>
        <v>David</v>
      </c>
      <c r="E4077" s="42" t="str">
        <f>IFERROR(__xludf.DUMMYFUNCTION("""COMPUTED_VALUE"""),"DISERAHKAN")</f>
        <v>DISERAHKAN</v>
      </c>
      <c r="F4077" s="48">
        <f>IFERROR(__xludf.DUMMYFUNCTION("""COMPUTED_VALUE"""),45861.61691628472)</f>
        <v>45861.61692</v>
      </c>
      <c r="G4077" s="42" t="str">
        <f>IFERROR(__xludf.DUMMYFUNCTION("""COMPUTED_VALUE"""),"ROYA")</f>
        <v>ROYA</v>
      </c>
      <c r="H4077" s="42">
        <f t="shared" si="1"/>
        <v>1797</v>
      </c>
    </row>
    <row r="4078" ht="22.5" customHeight="1">
      <c r="B4078" s="42" t="str">
        <f>IFERROR(__xludf.DUMMYFUNCTION("""COMPUTED_VALUE"""),"K/3/080525/2")</f>
        <v>K/3/080525/2</v>
      </c>
      <c r="C4078" s="42" t="str">
        <f>IFERROR(__xludf.DUMMYFUNCTION("""COMPUTED_VALUE"""),"M.1124/KOTA BARU")</f>
        <v>M.1124/KOTA BARU</v>
      </c>
      <c r="D4078" s="42"/>
      <c r="E4078" s="42"/>
      <c r="F4078" s="48" t="str">
        <f>IFERROR(__xludf.DUMMYFUNCTION("""COMPUTED_VALUE"""),"")</f>
        <v/>
      </c>
      <c r="G4078" s="42" t="str">
        <f>IFERROR(__xludf.DUMMYFUNCTION("""COMPUTED_VALUE"""),"BN JUAL BELI")</f>
        <v>BN JUAL BELI</v>
      </c>
      <c r="H4078" s="42">
        <f t="shared" si="1"/>
        <v>1797</v>
      </c>
    </row>
    <row r="4079" ht="22.5" customHeight="1">
      <c r="B4079" s="42" t="str">
        <f>IFERROR(__xludf.DUMMYFUNCTION("""COMPUTED_VALUE"""),"K/16/080525/1")</f>
        <v>K/16/080525/1</v>
      </c>
      <c r="C4079" s="42" t="str">
        <f>IFERROR(__xludf.DUMMYFUNCTION("""COMPUTED_VALUE"""),"M.1975/KOTA BARU")</f>
        <v>M.1975/KOTA BARU</v>
      </c>
      <c r="D4079" s="42"/>
      <c r="E4079" s="42"/>
      <c r="F4079" s="48" t="str">
        <f>IFERROR(__xludf.DUMMYFUNCTION("""COMPUTED_VALUE"""),"")</f>
        <v/>
      </c>
      <c r="G4079" s="42" t="str">
        <f>IFERROR(__xludf.DUMMYFUNCTION("""COMPUTED_VALUE"""),"ROYA")</f>
        <v>ROYA</v>
      </c>
      <c r="H4079" s="42">
        <f t="shared" si="1"/>
        <v>1797</v>
      </c>
    </row>
    <row r="4080" ht="22.5" customHeight="1">
      <c r="B4080" s="42" t="str">
        <f>IFERROR(__xludf.DUMMYFUNCTION("""COMPUTED_VALUE"""),"K/17/080525/1")</f>
        <v>K/17/080525/1</v>
      </c>
      <c r="C4080" s="42" t="str">
        <f>IFERROR(__xludf.DUMMYFUNCTION("""COMPUTED_VALUE"""),"Nibel. 16252/ Rajabasa Jaya")</f>
        <v>Nibel. 16252/ Rajabasa Jaya</v>
      </c>
      <c r="D4080" s="42"/>
      <c r="E4080" s="42"/>
      <c r="F4080" s="48" t="str">
        <f>IFERROR(__xludf.DUMMYFUNCTION("""COMPUTED_VALUE"""),"")</f>
        <v/>
      </c>
      <c r="G4080" s="42" t="str">
        <f>IFERROR(__xludf.DUMMYFUNCTION("""COMPUTED_VALUE"""),"BN Jual Beli")</f>
        <v>BN Jual Beli</v>
      </c>
      <c r="H4080" s="42">
        <f t="shared" si="1"/>
        <v>1797</v>
      </c>
    </row>
    <row r="4081" ht="22.5" customHeight="1">
      <c r="B4081" s="42" t="str">
        <f>IFERROR(__xludf.DUMMYFUNCTION("""COMPUTED_VALUE"""),"L/18/080525/1")</f>
        <v>L/18/080525/1</v>
      </c>
      <c r="C4081" s="42" t="str">
        <f>IFERROR(__xludf.DUMMYFUNCTION("""COMPUTED_VALUE"""),"HM 1255/KELAPA TIGA")</f>
        <v>HM 1255/KELAPA TIGA</v>
      </c>
      <c r="D4081" s="42" t="str">
        <f>IFERROR(__xludf.DUMMYFUNCTION("""COMPUTED_VALUE"""),"Berry")</f>
        <v>Berry</v>
      </c>
      <c r="E4081" s="42" t="str">
        <f>IFERROR(__xludf.DUMMYFUNCTION("""COMPUTED_VALUE"""),"DISERAHKAN")</f>
        <v>DISERAHKAN</v>
      </c>
      <c r="F4081" s="48">
        <f>IFERROR(__xludf.DUMMYFUNCTION("""COMPUTED_VALUE"""),45798.67510511574)</f>
        <v>45798.67511</v>
      </c>
      <c r="G4081" s="42" t="str">
        <f>IFERROR(__xludf.DUMMYFUNCTION("""COMPUTED_VALUE"""),"BN WARIS")</f>
        <v>BN WARIS</v>
      </c>
      <c r="H4081" s="42">
        <f t="shared" si="1"/>
        <v>1798</v>
      </c>
    </row>
    <row r="4082" ht="22.5" customHeight="1">
      <c r="B4082" s="42" t="str">
        <f>IFERROR(__xludf.DUMMYFUNCTION("""COMPUTED_VALUE"""),"K/19/080525/1")</f>
        <v>K/19/080525/1</v>
      </c>
      <c r="C4082" s="42" t="str">
        <f>IFERROR(__xludf.DUMMYFUNCTION("""COMPUTED_VALUE"""),"M. 1952/ Negeri Olok Gading")</f>
        <v>M. 1952/ Negeri Olok Gading</v>
      </c>
      <c r="D4082" s="42"/>
      <c r="E4082" s="42"/>
      <c r="F4082" s="48" t="str">
        <f>IFERROR(__xludf.DUMMYFUNCTION("""COMPUTED_VALUE"""),"")</f>
        <v/>
      </c>
      <c r="G4082" s="42" t="str">
        <f>IFERROR(__xludf.DUMMYFUNCTION("""COMPUTED_VALUE"""),"HAPUS BPHTB")</f>
        <v>HAPUS BPHTB</v>
      </c>
      <c r="H4082" s="42">
        <f t="shared" si="1"/>
        <v>1798</v>
      </c>
    </row>
    <row r="4083" ht="22.5" customHeight="1">
      <c r="B4083" s="42" t="str">
        <f>IFERROR(__xludf.DUMMYFUNCTION("""COMPUTED_VALUE"""),"K/20/080525/1")</f>
        <v>K/20/080525/1</v>
      </c>
      <c r="C4083" s="42" t="str">
        <f>IFERROR(__xludf.DUMMYFUNCTION("""COMPUTED_VALUE"""),"B. 33/ Langkapura")</f>
        <v>B. 33/ Langkapura</v>
      </c>
      <c r="D4083" s="42" t="str">
        <f>IFERROR(__xludf.DUMMYFUNCTION("""COMPUTED_VALUE"""),"Berry")</f>
        <v>Berry</v>
      </c>
      <c r="E4083" s="42" t="str">
        <f>IFERROR(__xludf.DUMMYFUNCTION("""COMPUTED_VALUE"""),"DISERAHKAN")</f>
        <v>DISERAHKAN</v>
      </c>
      <c r="F4083" s="48">
        <f>IFERROR(__xludf.DUMMYFUNCTION("""COMPUTED_VALUE"""),45803.43787059028)</f>
        <v>45803.43787</v>
      </c>
      <c r="G4083" s="42" t="str">
        <f>IFERROR(__xludf.DUMMYFUNCTION("""COMPUTED_VALUE"""),"BN JUAL BELI")</f>
        <v>BN JUAL BELI</v>
      </c>
      <c r="H4083" s="42">
        <f t="shared" si="1"/>
        <v>1799</v>
      </c>
    </row>
    <row r="4084" ht="22.5" customHeight="1">
      <c r="B4084" s="42" t="str">
        <f>IFERROR(__xludf.DUMMYFUNCTION("""COMPUTED_VALUE"""),"K/24/080525/1")</f>
        <v>K/24/080525/1</v>
      </c>
      <c r="C4084" s="42" t="str">
        <f>IFERROR(__xludf.DUMMYFUNCTION("""COMPUTED_VALUE"""),"M.975/RAJABASA NUNYAI")</f>
        <v>M.975/RAJABASA NUNYAI</v>
      </c>
      <c r="D4084" s="42" t="str">
        <f>IFERROR(__xludf.DUMMYFUNCTION("""COMPUTED_VALUE"""),"Berry")</f>
        <v>Berry</v>
      </c>
      <c r="E4084" s="42" t="str">
        <f>IFERROR(__xludf.DUMMYFUNCTION("""COMPUTED_VALUE"""),"DISERAHKAN")</f>
        <v>DISERAHKAN</v>
      </c>
      <c r="F4084" s="48">
        <f>IFERROR(__xludf.DUMMYFUNCTION("""COMPUTED_VALUE"""),45894.58081287037)</f>
        <v>45894.58081</v>
      </c>
      <c r="G4084" s="42" t="str">
        <f>IFERROR(__xludf.DUMMYFUNCTION("""COMPUTED_VALUE"""),"KEWARISAN")</f>
        <v>KEWARISAN</v>
      </c>
      <c r="H4084" s="42">
        <f t="shared" si="1"/>
        <v>1800</v>
      </c>
    </row>
    <row r="4085" ht="22.5" customHeight="1">
      <c r="B4085" s="42" t="str">
        <f>IFERROR(__xludf.DUMMYFUNCTION("""COMPUTED_VALUE"""),"K/21/080525/2")</f>
        <v>K/21/080525/2</v>
      </c>
      <c r="C4085" s="42" t="str">
        <f>IFERROR(__xludf.DUMMYFUNCTION("""COMPUTED_VALUE"""),"B. 36/ Sumberrejo sejahtera")</f>
        <v>B. 36/ Sumberrejo sejahtera</v>
      </c>
      <c r="D4085" s="42" t="str">
        <f>IFERROR(__xludf.DUMMYFUNCTION("""COMPUTED_VALUE"""),"Berry")</f>
        <v>Berry</v>
      </c>
      <c r="E4085" s="42" t="str">
        <f>IFERROR(__xludf.DUMMYFUNCTION("""COMPUTED_VALUE"""),"DISERAHKAN")</f>
        <v>DISERAHKAN</v>
      </c>
      <c r="F4085" s="48">
        <f>IFERROR(__xludf.DUMMYFUNCTION("""COMPUTED_VALUE"""),45803.438283344905)</f>
        <v>45803.43828</v>
      </c>
      <c r="G4085" s="42" t="str">
        <f>IFERROR(__xludf.DUMMYFUNCTION("""COMPUTED_VALUE"""),"BN JUAL")</f>
        <v>BN JUAL</v>
      </c>
      <c r="H4085" s="42">
        <f t="shared" si="1"/>
        <v>1801</v>
      </c>
    </row>
    <row r="4086" ht="22.5" customHeight="1">
      <c r="B4086" s="42" t="str">
        <f>IFERROR(__xludf.DUMMYFUNCTION("""COMPUTED_VALUE"""),"L/27/080525/1")</f>
        <v>L/27/080525/1</v>
      </c>
      <c r="C4086" s="42" t="str">
        <f>IFERROR(__xludf.DUMMYFUNCTION("""COMPUTED_VALUE"""),"HM 1473/CAMPANG RAYA")</f>
        <v>HM 1473/CAMPANG RAYA</v>
      </c>
      <c r="D4086" s="42"/>
      <c r="E4086" s="42"/>
      <c r="F4086" s="48" t="str">
        <f>IFERROR(__xludf.DUMMYFUNCTION("""COMPUTED_VALUE"""),"")</f>
        <v/>
      </c>
      <c r="G4086" s="42" t="str">
        <f>IFERROR(__xludf.DUMMYFUNCTION("""COMPUTED_VALUE"""),"ANGKAT SITA")</f>
        <v>ANGKAT SITA</v>
      </c>
      <c r="H4086" s="42">
        <f t="shared" si="1"/>
        <v>1801</v>
      </c>
    </row>
    <row r="4087" ht="22.5" customHeight="1">
      <c r="B4087" s="42" t="str">
        <f>IFERROR(__xludf.DUMMYFUNCTION("""COMPUTED_VALUE"""),"K/25/080525/2")</f>
        <v>K/25/080525/2</v>
      </c>
      <c r="C4087" s="42" t="str">
        <f>IFERROR(__xludf.DUMMYFUNCTION("""COMPUTED_VALUE"""),"NIBL M 12574/KORPRI JAYA")</f>
        <v>NIBL M 12574/KORPRI JAYA</v>
      </c>
      <c r="D4087" s="42"/>
      <c r="E4087" s="42"/>
      <c r="F4087" s="48" t="str">
        <f>IFERROR(__xludf.DUMMYFUNCTION("""COMPUTED_VALUE"""),"")</f>
        <v/>
      </c>
      <c r="G4087" s="42" t="str">
        <f>IFERROR(__xludf.DUMMYFUNCTION("""COMPUTED_VALUE"""),"JUAL BELI")</f>
        <v>JUAL BELI</v>
      </c>
      <c r="H4087" s="42">
        <f t="shared" si="1"/>
        <v>1801</v>
      </c>
    </row>
    <row r="4088" ht="22.5" customHeight="1">
      <c r="B4088" s="42" t="str">
        <f>IFERROR(__xludf.DUMMYFUNCTION("""COMPUTED_VALUE"""),"K/26/080525/3")</f>
        <v>K/26/080525/3</v>
      </c>
      <c r="C4088" s="42" t="str">
        <f>IFERROR(__xludf.DUMMYFUNCTION("""COMPUTED_VALUE"""),"NIBEL M 5143/SEPANG JAYA")</f>
        <v>NIBEL M 5143/SEPANG JAYA</v>
      </c>
      <c r="D4088" s="42"/>
      <c r="E4088" s="42"/>
      <c r="F4088" s="48" t="str">
        <f>IFERROR(__xludf.DUMMYFUNCTION("""COMPUTED_VALUE"""),"")</f>
        <v/>
      </c>
      <c r="G4088" s="42" t="str">
        <f>IFERROR(__xludf.DUMMYFUNCTION("""COMPUTED_VALUE"""),"JUAL BELI")</f>
        <v>JUAL BELI</v>
      </c>
      <c r="H4088" s="42">
        <f t="shared" si="1"/>
        <v>1801</v>
      </c>
    </row>
    <row r="4089" ht="22.5" customHeight="1">
      <c r="B4089" s="42" t="str">
        <f>IFERROR(__xludf.DUMMYFUNCTION("""COMPUTED_VALUE"""),"K/22/080525/3")</f>
        <v>K/22/080525/3</v>
      </c>
      <c r="C4089" s="42" t="str">
        <f>IFERROR(__xludf.DUMMYFUNCTION("""COMPUTED_VALUE"""),"NIbel 20276/Sukarame Baru")</f>
        <v>NIbel 20276/Sukarame Baru</v>
      </c>
      <c r="D4089" s="42"/>
      <c r="E4089" s="42"/>
      <c r="F4089" s="48" t="str">
        <f>IFERROR(__xludf.DUMMYFUNCTION("""COMPUTED_VALUE"""),"")</f>
        <v/>
      </c>
      <c r="G4089" s="42" t="str">
        <f>IFERROR(__xludf.DUMMYFUNCTION("""COMPUTED_VALUE"""),"PERUBAHAN HAK")</f>
        <v>PERUBAHAN HAK</v>
      </c>
      <c r="H4089" s="42">
        <f t="shared" si="1"/>
        <v>1801</v>
      </c>
    </row>
    <row r="4090" ht="22.5" customHeight="1">
      <c r="B4090" s="42" t="str">
        <f>IFERROR(__xludf.DUMMYFUNCTION("""COMPUTED_VALUE"""),"L/28/080525/1")</f>
        <v>L/28/080525/1</v>
      </c>
      <c r="C4090" s="42" t="str">
        <f>IFERROR(__xludf.DUMMYFUNCTION("""COMPUTED_VALUE"""),"HM 11682/SUKABUMI")</f>
        <v>HM 11682/SUKABUMI</v>
      </c>
      <c r="D4090" s="42" t="str">
        <f>IFERROR(__xludf.DUMMYFUNCTION("""COMPUTED_VALUE"""),"David")</f>
        <v>David</v>
      </c>
      <c r="E4090" s="42" t="str">
        <f>IFERROR(__xludf.DUMMYFUNCTION("""COMPUTED_VALUE"""),"DISERAHKAN")</f>
        <v>DISERAHKAN</v>
      </c>
      <c r="F4090" s="48">
        <f>IFERROR(__xludf.DUMMYFUNCTION("""COMPUTED_VALUE"""),45811.36459116898)</f>
        <v>45811.36459</v>
      </c>
      <c r="G4090" s="42" t="str">
        <f>IFERROR(__xludf.DUMMYFUNCTION("""COMPUTED_VALUE"""),"ROYA")</f>
        <v>ROYA</v>
      </c>
      <c r="H4090" s="42">
        <f t="shared" si="1"/>
        <v>1802</v>
      </c>
    </row>
    <row r="4091" ht="22.5" customHeight="1">
      <c r="B4091" s="42" t="str">
        <f>IFERROR(__xludf.DUMMYFUNCTION("""COMPUTED_VALUE"""),"K/23/080525/1")</f>
        <v>K/23/080525/1</v>
      </c>
      <c r="C4091" s="42" t="str">
        <f>IFERROR(__xludf.DUMMYFUNCTION("""COMPUTED_VALUE"""),"M. 2204/LABUHAN DALAM")</f>
        <v>M. 2204/LABUHAN DALAM</v>
      </c>
      <c r="D4091" s="42" t="str">
        <f>IFERROR(__xludf.DUMMYFUNCTION("""COMPUTED_VALUE"""),"Berry")</f>
        <v>Berry</v>
      </c>
      <c r="E4091" s="42" t="str">
        <f>IFERROR(__xludf.DUMMYFUNCTION("""COMPUTED_VALUE"""),"DISERAHKAN")</f>
        <v>DISERAHKAN</v>
      </c>
      <c r="F4091" s="48">
        <f>IFERROR(__xludf.DUMMYFUNCTION("""COMPUTED_VALUE"""),45798.43258158564)</f>
        <v>45798.43258</v>
      </c>
      <c r="G4091" s="42" t="str">
        <f>IFERROR(__xludf.DUMMYFUNCTION("""COMPUTED_VALUE"""),"HAPUS BPHTB")</f>
        <v>HAPUS BPHTB</v>
      </c>
      <c r="H4091" s="42">
        <f t="shared" si="1"/>
        <v>1803</v>
      </c>
    </row>
    <row r="4092" ht="22.5" customHeight="1">
      <c r="B4092" s="42" t="str">
        <f>IFERROR(__xludf.DUMMYFUNCTION("""COMPUTED_VALUE"""),"K/29/080525/1")</f>
        <v>K/29/080525/1</v>
      </c>
      <c r="C4092" s="42" t="str">
        <f>IFERROR(__xludf.DUMMYFUNCTION("""COMPUTED_VALUE"""),"Nibel. M. 18761/ N O G")</f>
        <v>Nibel. M. 18761/ N O G</v>
      </c>
      <c r="D4092" s="42"/>
      <c r="E4092" s="42"/>
      <c r="F4092" s="48" t="str">
        <f>IFERROR(__xludf.DUMMYFUNCTION("""COMPUTED_VALUE"""),"")</f>
        <v/>
      </c>
      <c r="G4092" s="42" t="str">
        <f>IFERROR(__xludf.DUMMYFUNCTION("""COMPUTED_VALUE"""),"BN Jual Beli")</f>
        <v>BN Jual Beli</v>
      </c>
      <c r="H4092" s="42">
        <f t="shared" si="1"/>
        <v>1803</v>
      </c>
    </row>
    <row r="4093" ht="22.5" customHeight="1">
      <c r="B4093" s="42" t="str">
        <f>IFERROR(__xludf.DUMMYFUNCTION("""COMPUTED_VALUE"""),"L/30/080525/1")</f>
        <v>L/30/080525/1</v>
      </c>
      <c r="C4093" s="42" t="str">
        <f>IFERROR(__xludf.DUMMYFUNCTION("""COMPUTED_VALUE"""),"NIB 170610/SEGALA MIDER")</f>
        <v>NIB 170610/SEGALA MIDER</v>
      </c>
      <c r="D4093" s="42"/>
      <c r="E4093" s="42"/>
      <c r="F4093" s="48" t="str">
        <f>IFERROR(__xludf.DUMMYFUNCTION("""COMPUTED_VALUE"""),"")</f>
        <v/>
      </c>
      <c r="G4093" s="42" t="str">
        <f>IFERROR(__xludf.DUMMYFUNCTION("""COMPUTED_VALUE"""),"ROYA")</f>
        <v>ROYA</v>
      </c>
      <c r="H4093" s="42">
        <f t="shared" si="1"/>
        <v>1803</v>
      </c>
    </row>
    <row r="4094" ht="22.5" customHeight="1">
      <c r="B4094" s="42" t="str">
        <f>IFERROR(__xludf.DUMMYFUNCTION("""COMPUTED_VALUE"""),"K/31/080525/1")</f>
        <v>K/31/080525/1</v>
      </c>
      <c r="C4094" s="42" t="str">
        <f>IFERROR(__xludf.DUMMYFUNCTION("""COMPUTED_VALUE"""),"M. 1097/ Kelapa Tiga")</f>
        <v>M. 1097/ Kelapa Tiga</v>
      </c>
      <c r="D4094" s="42"/>
      <c r="E4094" s="42"/>
      <c r="F4094" s="48" t="str">
        <f>IFERROR(__xludf.DUMMYFUNCTION("""COMPUTED_VALUE"""),"")</f>
        <v/>
      </c>
      <c r="G4094" s="42" t="str">
        <f>IFERROR(__xludf.DUMMYFUNCTION("""COMPUTED_VALUE"""),"BN JUAL BELI")</f>
        <v>BN JUAL BELI</v>
      </c>
      <c r="H4094" s="42">
        <f t="shared" si="1"/>
        <v>1803</v>
      </c>
    </row>
    <row r="4095" ht="22.5" customHeight="1">
      <c r="B4095" s="42" t="str">
        <f>IFERROR(__xludf.DUMMYFUNCTION("""COMPUTED_VALUE"""),"K/32/080525/1")</f>
        <v>K/32/080525/1</v>
      </c>
      <c r="C4095" s="42" t="str">
        <f>IFERROR(__xludf.DUMMYFUNCTION("""COMPUTED_VALUE"""),"Nibel. M. 2199/ Pinang Jaya")</f>
        <v>Nibel. M. 2199/ Pinang Jaya</v>
      </c>
      <c r="D4095" s="42"/>
      <c r="E4095" s="42"/>
      <c r="F4095" s="48" t="str">
        <f>IFERROR(__xludf.DUMMYFUNCTION("""COMPUTED_VALUE"""),"")</f>
        <v/>
      </c>
      <c r="G4095" s="42" t="str">
        <f>IFERROR(__xludf.DUMMYFUNCTION("""COMPUTED_VALUE"""),"BN Jual Beli")</f>
        <v>BN Jual Beli</v>
      </c>
      <c r="H4095" s="42">
        <f t="shared" si="1"/>
        <v>1803</v>
      </c>
    </row>
    <row r="4096" ht="22.5" customHeight="1">
      <c r="B4096" s="42" t="str">
        <f>IFERROR(__xludf.DUMMYFUNCTION("""COMPUTED_VALUE"""),"K/33/080525/1")</f>
        <v>K/33/080525/1</v>
      </c>
      <c r="C4096" s="42" t="str">
        <f>IFERROR(__xludf.DUMMYFUNCTION("""COMPUTED_VALUE"""),"M. 98/SUKARAME BARU")</f>
        <v>M. 98/SUKARAME BARU</v>
      </c>
      <c r="D4096" s="42" t="str">
        <f>IFERROR(__xludf.DUMMYFUNCTION("""COMPUTED_VALUE"""),"David")</f>
        <v>David</v>
      </c>
      <c r="E4096" s="42" t="str">
        <f>IFERROR(__xludf.DUMMYFUNCTION("""COMPUTED_VALUE"""),"DISERAHKAN")</f>
        <v>DISERAHKAN</v>
      </c>
      <c r="F4096" s="48">
        <f>IFERROR(__xludf.DUMMYFUNCTION("""COMPUTED_VALUE"""),45804.680521145834)</f>
        <v>45804.68052</v>
      </c>
      <c r="G4096" s="42" t="str">
        <f>IFERROR(__xludf.DUMMYFUNCTION("""COMPUTED_VALUE"""),"ROYA")</f>
        <v>ROYA</v>
      </c>
      <c r="H4096" s="42">
        <f t="shared" si="1"/>
        <v>1804</v>
      </c>
    </row>
    <row r="4097" ht="22.5" customHeight="1">
      <c r="B4097" s="42" t="str">
        <f>IFERROR(__xludf.DUMMYFUNCTION("""COMPUTED_VALUE"""),"K/35/080525/1")</f>
        <v>K/35/080525/1</v>
      </c>
      <c r="C4097" s="42" t="str">
        <f>IFERROR(__xludf.DUMMYFUNCTION("""COMPUTED_VALUE"""),"M. 6292/ Way Kandis")</f>
        <v>M. 6292/ Way Kandis</v>
      </c>
      <c r="D4097" s="42"/>
      <c r="E4097" s="42"/>
      <c r="F4097" s="48" t="str">
        <f>IFERROR(__xludf.DUMMYFUNCTION("""COMPUTED_VALUE"""),"")</f>
        <v/>
      </c>
      <c r="G4097" s="42" t="str">
        <f>IFERROR(__xludf.DUMMYFUNCTION("""COMPUTED_VALUE"""),"BN Jual Beli")</f>
        <v>BN Jual Beli</v>
      </c>
      <c r="H4097" s="42">
        <f t="shared" si="1"/>
        <v>1804</v>
      </c>
    </row>
    <row r="4098" ht="22.5" customHeight="1">
      <c r="B4098" s="42" t="str">
        <f>IFERROR(__xludf.DUMMYFUNCTION("""COMPUTED_VALUE"""),"K/34/080525/2")</f>
        <v>K/34/080525/2</v>
      </c>
      <c r="C4098" s="42" t="str">
        <f>IFERROR(__xludf.DUMMYFUNCTION("""COMPUTED_VALUE"""),"M. 3407/TANJUNG SENANG")</f>
        <v>M. 3407/TANJUNG SENANG</v>
      </c>
      <c r="D4098" s="42"/>
      <c r="E4098" s="42"/>
      <c r="F4098" s="48" t="str">
        <f>IFERROR(__xludf.DUMMYFUNCTION("""COMPUTED_VALUE"""),"")</f>
        <v/>
      </c>
      <c r="G4098" s="42" t="str">
        <f>IFERROR(__xludf.DUMMYFUNCTION("""COMPUTED_VALUE"""),"PEMECAHAN")</f>
        <v>PEMECAHAN</v>
      </c>
      <c r="H4098" s="42">
        <f t="shared" si="1"/>
        <v>1804</v>
      </c>
    </row>
    <row r="4099" ht="22.5" customHeight="1">
      <c r="B4099" s="42" t="str">
        <f>IFERROR(__xludf.DUMMYFUNCTION("""COMPUTED_VALUE"""),"K/36/080525/3")</f>
        <v>K/36/080525/3</v>
      </c>
      <c r="C4099" s="42" t="str">
        <f>IFERROR(__xludf.DUMMYFUNCTION("""COMPUTED_VALUE"""),"M. 1891/SEPANG JAYA")</f>
        <v>M. 1891/SEPANG JAYA</v>
      </c>
      <c r="D4099" s="42"/>
      <c r="E4099" s="42"/>
      <c r="F4099" s="48" t="str">
        <f>IFERROR(__xludf.DUMMYFUNCTION("""COMPUTED_VALUE"""),"")</f>
        <v/>
      </c>
      <c r="G4099" s="42" t="str">
        <f>IFERROR(__xludf.DUMMYFUNCTION("""COMPUTED_VALUE"""),"HAPUS BPHTB")</f>
        <v>HAPUS BPHTB</v>
      </c>
      <c r="H4099" s="42">
        <f t="shared" si="1"/>
        <v>1804</v>
      </c>
    </row>
    <row r="4100" ht="22.5" customHeight="1">
      <c r="B4100" s="42" t="str">
        <f>IFERROR(__xludf.DUMMYFUNCTION("""COMPUTED_VALUE"""),"K/38/080525/4")</f>
        <v>K/38/080525/4</v>
      </c>
      <c r="C4100" s="42" t="str">
        <f>IFERROR(__xludf.DUMMYFUNCTION("""COMPUTED_VALUE"""),"M. 1568/SEPANG JAYA")</f>
        <v>M. 1568/SEPANG JAYA</v>
      </c>
      <c r="D4100" s="42" t="str">
        <f>IFERROR(__xludf.DUMMYFUNCTION("""COMPUTED_VALUE"""),"Berry")</f>
        <v>Berry</v>
      </c>
      <c r="E4100" s="42" t="str">
        <f>IFERROR(__xludf.DUMMYFUNCTION("""COMPUTED_VALUE"""),"DISERAHKAN")</f>
        <v>DISERAHKAN</v>
      </c>
      <c r="F4100" s="48">
        <f>IFERROR(__xludf.DUMMYFUNCTION("""COMPUTED_VALUE"""),45825.559411469905)</f>
        <v>45825.55941</v>
      </c>
      <c r="G4100" s="42" t="str">
        <f>IFERROR(__xludf.DUMMYFUNCTION("""COMPUTED_VALUE"""),"BN WARIS")</f>
        <v>BN WARIS</v>
      </c>
      <c r="H4100" s="42">
        <f t="shared" si="1"/>
        <v>1805</v>
      </c>
    </row>
    <row r="4101" ht="22.5" customHeight="1">
      <c r="B4101" s="42" t="str">
        <f>IFERROR(__xludf.DUMMYFUNCTION("""COMPUTED_VALUE"""),"K/39/080525/1")</f>
        <v>K/39/080525/1</v>
      </c>
      <c r="C4101" s="42" t="str">
        <f>IFERROR(__xludf.DUMMYFUNCTION("""COMPUTED_VALUE"""),"M. 290/ Sukaraja")</f>
        <v>M. 290/ Sukaraja</v>
      </c>
      <c r="D4101" s="42" t="str">
        <f>IFERROR(__xludf.DUMMYFUNCTION("""COMPUTED_VALUE"""),"Berry")</f>
        <v>Berry</v>
      </c>
      <c r="E4101" s="42" t="str">
        <f>IFERROR(__xludf.DUMMYFUNCTION("""COMPUTED_VALUE"""),"DISERAHKAN")</f>
        <v>DISERAHKAN</v>
      </c>
      <c r="F4101" s="48">
        <f>IFERROR(__xludf.DUMMYFUNCTION("""COMPUTED_VALUE"""),45861.627805)</f>
        <v>45861.62781</v>
      </c>
      <c r="G4101" s="42" t="str">
        <f>IFERROR(__xludf.DUMMYFUNCTION("""COMPUTED_VALUE"""),"BN WARIS")</f>
        <v>BN WARIS</v>
      </c>
      <c r="H4101" s="42">
        <f t="shared" si="1"/>
        <v>1806</v>
      </c>
    </row>
    <row r="4102" ht="22.5" customHeight="1">
      <c r="B4102" s="42" t="str">
        <f>IFERROR(__xludf.DUMMYFUNCTION("""COMPUTED_VALUE"""),"K/40/080525/1")</f>
        <v>K/40/080525/1</v>
      </c>
      <c r="C4102" s="42" t="str">
        <f>IFERROR(__xludf.DUMMYFUNCTION("""COMPUTED_VALUE"""),"M. 865/ Sumber Agung")</f>
        <v>M. 865/ Sumber Agung</v>
      </c>
      <c r="D4102" s="42" t="str">
        <f>IFERROR(__xludf.DUMMYFUNCTION("""COMPUTED_VALUE"""),"Berry")</f>
        <v>Berry</v>
      </c>
      <c r="E4102" s="42" t="str">
        <f>IFERROR(__xludf.DUMMYFUNCTION("""COMPUTED_VALUE"""),"DISERAHKAN")</f>
        <v>DISERAHKAN</v>
      </c>
      <c r="F4102" s="48">
        <f>IFERROR(__xludf.DUMMYFUNCTION("""COMPUTED_VALUE"""),45824.53488363426)</f>
        <v>45824.53488</v>
      </c>
      <c r="G4102" s="42" t="str">
        <f>IFERROR(__xludf.DUMMYFUNCTION("""COMPUTED_VALUE"""),"BN Jual Beli")</f>
        <v>BN Jual Beli</v>
      </c>
      <c r="H4102" s="42">
        <f t="shared" si="1"/>
        <v>1807</v>
      </c>
    </row>
    <row r="4103" ht="22.5" customHeight="1">
      <c r="B4103" s="42" t="str">
        <f>IFERROR(__xludf.DUMMYFUNCTION("""COMPUTED_VALUE"""),"K/41/080525/2")</f>
        <v>K/41/080525/2</v>
      </c>
      <c r="C4103" s="42" t="str">
        <f>IFERROR(__xludf.DUMMYFUNCTION("""COMPUTED_VALUE"""),"M. 4939/ Sukadan Ham")</f>
        <v>M. 4939/ Sukadan Ham</v>
      </c>
      <c r="D4103" s="42" t="str">
        <f>IFERROR(__xludf.DUMMYFUNCTION("""COMPUTED_VALUE"""),"Berry")</f>
        <v>Berry</v>
      </c>
      <c r="E4103" s="42" t="str">
        <f>IFERROR(__xludf.DUMMYFUNCTION("""COMPUTED_VALUE"""),"DISERAHKAN")</f>
        <v>DISERAHKAN</v>
      </c>
      <c r="F4103" s="48">
        <f>IFERROR(__xludf.DUMMYFUNCTION("""COMPUTED_VALUE"""),45803.43763069445)</f>
        <v>45803.43763</v>
      </c>
      <c r="G4103" s="42" t="str">
        <f>IFERROR(__xludf.DUMMYFUNCTION("""COMPUTED_VALUE"""),"BN Jual Beli")</f>
        <v>BN Jual Beli</v>
      </c>
      <c r="H4103" s="42">
        <f t="shared" si="1"/>
        <v>1808</v>
      </c>
    </row>
    <row r="4104" ht="22.5" customHeight="1">
      <c r="B4104" s="42" t="str">
        <f>IFERROR(__xludf.DUMMYFUNCTION("""COMPUTED_VALUE"""),"K/42/080525/3")</f>
        <v>K/42/080525/3</v>
      </c>
      <c r="C4104" s="42" t="str">
        <f>IFERROR(__xludf.DUMMYFUNCTION("""COMPUTED_VALUE"""),"M. 4934/ Sukadana Ham")</f>
        <v>M. 4934/ Sukadana Ham</v>
      </c>
      <c r="D4104" s="42" t="str">
        <f>IFERROR(__xludf.DUMMYFUNCTION("""COMPUTED_VALUE"""),"Berry")</f>
        <v>Berry</v>
      </c>
      <c r="E4104" s="42" t="str">
        <f>IFERROR(__xludf.DUMMYFUNCTION("""COMPUTED_VALUE"""),"DISERAHKAN")</f>
        <v>DISERAHKAN</v>
      </c>
      <c r="F4104" s="48">
        <f>IFERROR(__xludf.DUMMYFUNCTION("""COMPUTED_VALUE"""),45828.54000627315)</f>
        <v>45828.54001</v>
      </c>
      <c r="G4104" s="42" t="str">
        <f>IFERROR(__xludf.DUMMYFUNCTION("""COMPUTED_VALUE"""),"BN Jual Beli")</f>
        <v>BN Jual Beli</v>
      </c>
      <c r="H4104" s="42">
        <f t="shared" si="1"/>
        <v>1809</v>
      </c>
    </row>
    <row r="4105" ht="22.5" customHeight="1">
      <c r="B4105" s="42" t="str">
        <f>IFERROR(__xludf.DUMMYFUNCTION("""COMPUTED_VALUE"""),"K/43/080525/4")</f>
        <v>K/43/080525/4</v>
      </c>
      <c r="C4105" s="42" t="str">
        <f>IFERROR(__xludf.DUMMYFUNCTION("""COMPUTED_VALUE"""),"M. 6452/ Way Kandis")</f>
        <v>M. 6452/ Way Kandis</v>
      </c>
      <c r="D4105" s="42" t="str">
        <f>IFERROR(__xludf.DUMMYFUNCTION("""COMPUTED_VALUE"""),"Berry")</f>
        <v>Berry</v>
      </c>
      <c r="E4105" s="42" t="str">
        <f>IFERROR(__xludf.DUMMYFUNCTION("""COMPUTED_VALUE"""),"DISERAHKAN")</f>
        <v>DISERAHKAN</v>
      </c>
      <c r="F4105" s="48">
        <f>IFERROR(__xludf.DUMMYFUNCTION("""COMPUTED_VALUE"""),45819.7959378588)</f>
        <v>45819.79594</v>
      </c>
      <c r="G4105" s="42" t="str">
        <f>IFERROR(__xludf.DUMMYFUNCTION("""COMPUTED_VALUE"""),"BN Jual Beli")</f>
        <v>BN Jual Beli</v>
      </c>
      <c r="H4105" s="42">
        <f t="shared" si="1"/>
        <v>1810</v>
      </c>
    </row>
    <row r="4106" ht="22.5" customHeight="1">
      <c r="B4106" s="42" t="str">
        <f>IFERROR(__xludf.DUMMYFUNCTION("""COMPUTED_VALUE"""),"K/44/080525/1")</f>
        <v>K/44/080525/1</v>
      </c>
      <c r="C4106" s="42" t="str">
        <f>IFERROR(__xludf.DUMMYFUNCTION("""COMPUTED_VALUE"""),"B. 1530/ Tanjung Seneng")</f>
        <v>B. 1530/ Tanjung Seneng</v>
      </c>
      <c r="D4106" s="42" t="str">
        <f>IFERROR(__xludf.DUMMYFUNCTION("""COMPUTED_VALUE"""),"David")</f>
        <v>David</v>
      </c>
      <c r="E4106" s="42" t="str">
        <f>IFERROR(__xludf.DUMMYFUNCTION("""COMPUTED_VALUE"""),"DISERAHKAN")</f>
        <v>DISERAHKAN</v>
      </c>
      <c r="F4106" s="48">
        <f>IFERROR(__xludf.DUMMYFUNCTION("""COMPUTED_VALUE"""),45824.62720569444)</f>
        <v>45824.62721</v>
      </c>
      <c r="G4106" s="42" t="str">
        <f>IFERROR(__xludf.DUMMYFUNCTION("""COMPUTED_VALUE"""),"ROYA")</f>
        <v>ROYA</v>
      </c>
      <c r="H4106" s="42">
        <f t="shared" si="1"/>
        <v>1811</v>
      </c>
    </row>
    <row r="4107" ht="22.5" customHeight="1">
      <c r="B4107" s="42" t="str">
        <f>IFERROR(__xludf.DUMMYFUNCTION("""COMPUTED_VALUE"""),"L/1/090525/1")</f>
        <v>L/1/090525/1</v>
      </c>
      <c r="C4107" s="42" t="str">
        <f>IFERROR(__xludf.DUMMYFUNCTION("""COMPUTED_VALUE"""),"NIB 18190/SUKARAME")</f>
        <v>NIB 18190/SUKARAME</v>
      </c>
      <c r="D4107" s="42"/>
      <c r="E4107" s="42"/>
      <c r="F4107" s="48" t="str">
        <f>IFERROR(__xludf.DUMMYFUNCTION("""COMPUTED_VALUE"""),"")</f>
        <v/>
      </c>
      <c r="G4107" s="42" t="str">
        <f>IFERROR(__xludf.DUMMYFUNCTION("""COMPUTED_VALUE"""),"PH")</f>
        <v>PH</v>
      </c>
      <c r="H4107" s="42">
        <f t="shared" si="1"/>
        <v>1811</v>
      </c>
    </row>
    <row r="4108" ht="22.5" customHeight="1">
      <c r="B4108" s="42" t="str">
        <f>IFERROR(__xludf.DUMMYFUNCTION("""COMPUTED_VALUE"""),"K/37/080525/1")</f>
        <v>K/37/080525/1</v>
      </c>
      <c r="C4108" s="42" t="str">
        <f>IFERROR(__xludf.DUMMYFUNCTION("""COMPUTED_VALUE"""),"M.4716/RAJABASA JAYA")</f>
        <v>M.4716/RAJABASA JAYA</v>
      </c>
      <c r="D4108" s="42" t="str">
        <f>IFERROR(__xludf.DUMMYFUNCTION("""COMPUTED_VALUE"""),"Berry")</f>
        <v>Berry</v>
      </c>
      <c r="E4108" s="42" t="str">
        <f>IFERROR(__xludf.DUMMYFUNCTION("""COMPUTED_VALUE"""),"DISERAHKAN")</f>
        <v>DISERAHKAN</v>
      </c>
      <c r="F4108" s="48">
        <f>IFERROR(__xludf.DUMMYFUNCTION("""COMPUTED_VALUE"""),45805.684255381944)</f>
        <v>45805.68426</v>
      </c>
      <c r="G4108" s="42" t="str">
        <f>IFERROR(__xludf.DUMMYFUNCTION("""COMPUTED_VALUE"""),"JUAL BELI")</f>
        <v>JUAL BELI</v>
      </c>
      <c r="H4108" s="42">
        <f t="shared" si="1"/>
        <v>1812</v>
      </c>
    </row>
    <row r="4109" ht="22.5" customHeight="1">
      <c r="B4109" s="42" t="str">
        <f>IFERROR(__xludf.DUMMYFUNCTION("""COMPUTED_VALUE"""),"K/2/090525/1")</f>
        <v>K/2/090525/1</v>
      </c>
      <c r="C4109" s="42" t="str">
        <f>IFERROR(__xludf.DUMMYFUNCTION("""COMPUTED_VALUE"""),"M.2197/KUPANG TEBA")</f>
        <v>M.2197/KUPANG TEBA</v>
      </c>
      <c r="D4109" s="42"/>
      <c r="E4109" s="42"/>
      <c r="F4109" s="48" t="str">
        <f>IFERROR(__xludf.DUMMYFUNCTION("""COMPUTED_VALUE"""),"")</f>
        <v/>
      </c>
      <c r="G4109" s="42" t="str">
        <f>IFERROR(__xludf.DUMMYFUNCTION("""COMPUTED_VALUE"""),"PEMECAHAN")</f>
        <v>PEMECAHAN</v>
      </c>
      <c r="H4109" s="42">
        <f t="shared" si="1"/>
        <v>1812</v>
      </c>
    </row>
    <row r="4110" ht="22.5" customHeight="1">
      <c r="B4110" s="42" t="str">
        <f>IFERROR(__xludf.DUMMYFUNCTION("""COMPUTED_VALUE"""),"K/3/090525/1")</f>
        <v>K/3/090525/1</v>
      </c>
      <c r="C4110" s="42" t="str">
        <f>IFERROR(__xludf.DUMMYFUNCTION("""COMPUTED_VALUE"""),"PBT 5/2025 SAWAH BREBES")</f>
        <v>PBT 5/2025 SAWAH BREBES</v>
      </c>
      <c r="D4110" s="42"/>
      <c r="E4110" s="42"/>
      <c r="F4110" s="48" t="str">
        <f>IFERROR(__xludf.DUMMYFUNCTION("""COMPUTED_VALUE"""),"")</f>
        <v/>
      </c>
      <c r="G4110" s="42" t="str">
        <f>IFERROR(__xludf.DUMMYFUNCTION("""COMPUTED_VALUE"""),"PERMOHONAN SK")</f>
        <v>PERMOHONAN SK</v>
      </c>
      <c r="H4110" s="42">
        <f t="shared" si="1"/>
        <v>1812</v>
      </c>
    </row>
    <row r="4111" ht="22.5" customHeight="1">
      <c r="B4111" s="42" t="str">
        <f>IFERROR(__xludf.DUMMYFUNCTION("""COMPUTED_VALUE"""),"K/45/080525/1")</f>
        <v>K/45/080525/1</v>
      </c>
      <c r="C4111" s="42" t="str">
        <f>IFERROR(__xludf.DUMMYFUNCTION("""COMPUTED_VALUE"""),"NIBEL M. 9761/SUKABUMI INDAH")</f>
        <v>NIBEL M. 9761/SUKABUMI INDAH</v>
      </c>
      <c r="D4111" s="42"/>
      <c r="E4111" s="42"/>
      <c r="F4111" s="48" t="str">
        <f>IFERROR(__xludf.DUMMYFUNCTION("""COMPUTED_VALUE"""),"")</f>
        <v/>
      </c>
      <c r="G4111" s="42" t="str">
        <f>IFERROR(__xludf.DUMMYFUNCTION("""COMPUTED_VALUE"""),"BN JUAL BELI")</f>
        <v>BN JUAL BELI</v>
      </c>
      <c r="H4111" s="42">
        <f t="shared" si="1"/>
        <v>1812</v>
      </c>
    </row>
    <row r="4112" ht="22.5" customHeight="1">
      <c r="B4112" s="42" t="str">
        <f>IFERROR(__xludf.DUMMYFUNCTION("""COMPUTED_VALUE"""),"K/4/090525/1")</f>
        <v>K/4/090525/1</v>
      </c>
      <c r="C4112" s="42" t="str">
        <f>IFERROR(__xludf.DUMMYFUNCTION("""COMPUTED_VALUE"""),"B. 5376/ Beringin raya")</f>
        <v>B. 5376/ Beringin raya</v>
      </c>
      <c r="D4112" s="42"/>
      <c r="E4112" s="42"/>
      <c r="F4112" s="48" t="str">
        <f>IFERROR(__xludf.DUMMYFUNCTION("""COMPUTED_VALUE"""),"")</f>
        <v/>
      </c>
      <c r="G4112" s="42" t="str">
        <f>IFERROR(__xludf.DUMMYFUNCTION("""COMPUTED_VALUE"""),"SERTIPIKAT HILANG")</f>
        <v>SERTIPIKAT HILANG</v>
      </c>
      <c r="H4112" s="42">
        <f t="shared" si="1"/>
        <v>1812</v>
      </c>
    </row>
    <row r="4113" ht="22.5" customHeight="1">
      <c r="B4113" s="42" t="str">
        <f>IFERROR(__xludf.DUMMYFUNCTION("""COMPUTED_VALUE"""),"K/7/090525/1")</f>
        <v>K/7/090525/1</v>
      </c>
      <c r="C4113" s="42" t="str">
        <f>IFERROR(__xludf.DUMMYFUNCTION("""COMPUTED_VALUE"""),"M.160/SUMBEREJO")</f>
        <v>M.160/SUMBEREJO</v>
      </c>
      <c r="D4113" s="42" t="str">
        <f>IFERROR(__xludf.DUMMYFUNCTION("""COMPUTED_VALUE"""),"David")</f>
        <v>David</v>
      </c>
      <c r="E4113" s="42" t="str">
        <f>IFERROR(__xludf.DUMMYFUNCTION("""COMPUTED_VALUE"""),"DISERAHKAN")</f>
        <v>DISERAHKAN</v>
      </c>
      <c r="F4113" s="48">
        <f>IFERROR(__xludf.DUMMYFUNCTION("""COMPUTED_VALUE"""),45811.36557194444)</f>
        <v>45811.36557</v>
      </c>
      <c r="G4113" s="42" t="str">
        <f>IFERROR(__xludf.DUMMYFUNCTION("""COMPUTED_VALUE"""),"ROYA")</f>
        <v>ROYA</v>
      </c>
      <c r="H4113" s="42">
        <f t="shared" si="1"/>
        <v>1813</v>
      </c>
    </row>
    <row r="4114" ht="22.5" customHeight="1">
      <c r="B4114" s="42" t="str">
        <f>IFERROR(__xludf.DUMMYFUNCTION("""COMPUTED_VALUE"""),"K/5/090525/2")</f>
        <v>K/5/090525/2</v>
      </c>
      <c r="C4114" s="42" t="str">
        <f>IFERROR(__xludf.DUMMYFUNCTION("""COMPUTED_VALUE"""),"B. 5374/ Beringin raya")</f>
        <v>B. 5374/ Beringin raya</v>
      </c>
      <c r="D4114" s="42"/>
      <c r="E4114" s="42"/>
      <c r="F4114" s="48" t="str">
        <f>IFERROR(__xludf.DUMMYFUNCTION("""COMPUTED_VALUE"""),"")</f>
        <v/>
      </c>
      <c r="G4114" s="42" t="str">
        <f>IFERROR(__xludf.DUMMYFUNCTION("""COMPUTED_VALUE"""),"SERTIPIKAT HILANG")</f>
        <v>SERTIPIKAT HILANG</v>
      </c>
      <c r="H4114" s="42">
        <f t="shared" si="1"/>
        <v>1813</v>
      </c>
    </row>
    <row r="4115" ht="22.5" customHeight="1">
      <c r="B4115" s="42" t="str">
        <f>IFERROR(__xludf.DUMMYFUNCTION("""COMPUTED_VALUE"""),"K/8/090525/1")</f>
        <v>K/8/090525/1</v>
      </c>
      <c r="C4115" s="42" t="str">
        <f>IFERROR(__xludf.DUMMYFUNCTION("""COMPUTED_VALUE"""),"M.4636/WAY KANDIS ")</f>
        <v>M.4636/WAY KANDIS </v>
      </c>
      <c r="D4115" s="42" t="str">
        <f>IFERROR(__xludf.DUMMYFUNCTION("""COMPUTED_VALUE"""),"Berry")</f>
        <v>Berry</v>
      </c>
      <c r="E4115" s="42" t="str">
        <f>IFERROR(__xludf.DUMMYFUNCTION("""COMPUTED_VALUE"""),"DISERAHKAN")</f>
        <v>DISERAHKAN</v>
      </c>
      <c r="F4115" s="48">
        <f>IFERROR(__xludf.DUMMYFUNCTION("""COMPUTED_VALUE"""),45805.446195219905)</f>
        <v>45805.4462</v>
      </c>
      <c r="G4115" s="42" t="str">
        <f>IFERROR(__xludf.DUMMYFUNCTION("""COMPUTED_VALUE"""),"JUAL BELI")</f>
        <v>JUAL BELI</v>
      </c>
      <c r="H4115" s="42">
        <f t="shared" si="1"/>
        <v>1814</v>
      </c>
    </row>
    <row r="4116" ht="22.5" customHeight="1">
      <c r="B4116" s="42" t="str">
        <f>IFERROR(__xludf.DUMMYFUNCTION("""COMPUTED_VALUE"""),"K/9/090525/1")</f>
        <v>K/9/090525/1</v>
      </c>
      <c r="C4116" s="42" t="str">
        <f>IFERROR(__xludf.DUMMYFUNCTION("""COMPUTED_VALUE"""),"M. 9401/ kedamaian")</f>
        <v>M. 9401/ kedamaian</v>
      </c>
      <c r="D4116" s="42" t="str">
        <f>IFERROR(__xludf.DUMMYFUNCTION("""COMPUTED_VALUE"""),"Berry")</f>
        <v>Berry</v>
      </c>
      <c r="E4116" s="42" t="str">
        <f>IFERROR(__xludf.DUMMYFUNCTION("""COMPUTED_VALUE"""),"DISERAHKAN")</f>
        <v>DISERAHKAN</v>
      </c>
      <c r="F4116" s="48">
        <f>IFERROR(__xludf.DUMMYFUNCTION("""COMPUTED_VALUE"""),45852.621741192124)</f>
        <v>45852.62174</v>
      </c>
      <c r="G4116" s="42" t="str">
        <f>IFERROR(__xludf.DUMMYFUNCTION("""COMPUTED_VALUE"""),"BN WARIS")</f>
        <v>BN WARIS</v>
      </c>
      <c r="H4116" s="42">
        <f t="shared" si="1"/>
        <v>1815</v>
      </c>
    </row>
    <row r="4117" ht="22.5" customHeight="1">
      <c r="B4117" s="42" t="str">
        <f>IFERROR(__xludf.DUMMYFUNCTION("""COMPUTED_VALUE"""),"L/10/090525/1")</f>
        <v>L/10/090525/1</v>
      </c>
      <c r="C4117" s="42" t="str">
        <f>IFERROR(__xludf.DUMMYFUNCTION("""COMPUTED_VALUE"""),"HM 12928/SUKABUMI")</f>
        <v>HM 12928/SUKABUMI</v>
      </c>
      <c r="D4117" s="42"/>
      <c r="E4117" s="42"/>
      <c r="F4117" s="48" t="str">
        <f>IFERROR(__xludf.DUMMYFUNCTION("""COMPUTED_VALUE"""),"")</f>
        <v/>
      </c>
      <c r="G4117" s="42" t="str">
        <f>IFERROR(__xludf.DUMMYFUNCTION("""COMPUTED_VALUE"""),"PTPGT")</f>
        <v>PTPGT</v>
      </c>
      <c r="H4117" s="42">
        <f t="shared" si="1"/>
        <v>1815</v>
      </c>
    </row>
    <row r="4118" ht="22.5" customHeight="1">
      <c r="B4118" s="42" t="str">
        <f>IFERROR(__xludf.DUMMYFUNCTION("""COMPUTED_VALUE"""),"L/11/090525/1")</f>
        <v>L/11/090525/1</v>
      </c>
      <c r="C4118" s="42" t="str">
        <f>IFERROR(__xludf.DUMMYFUNCTION("""COMPUTED_VALUE"""),"HM 10246/SEGALA MIDER")</f>
        <v>HM 10246/SEGALA MIDER</v>
      </c>
      <c r="D4118" s="42"/>
      <c r="E4118" s="42"/>
      <c r="F4118" s="48" t="str">
        <f>IFERROR(__xludf.DUMMYFUNCTION("""COMPUTED_VALUE"""),"")</f>
        <v/>
      </c>
      <c r="G4118" s="42" t="str">
        <f>IFERROR(__xludf.DUMMYFUNCTION("""COMPUTED_VALUE"""),"PEMECAHAN")</f>
        <v>PEMECAHAN</v>
      </c>
      <c r="H4118" s="42">
        <f t="shared" si="1"/>
        <v>1815</v>
      </c>
    </row>
    <row r="4119" ht="22.5" customHeight="1">
      <c r="B4119" s="42" t="str">
        <f>IFERROR(__xludf.DUMMYFUNCTION("""COMPUTED_VALUE"""),"K/12/090525/1")</f>
        <v>K/12/090525/1</v>
      </c>
      <c r="C4119" s="42" t="str">
        <f>IFERROR(__xludf.DUMMYFUNCTION("""COMPUTED_VALUE"""),"Nibel. M. 18781/ Labuhan Ratu Raya")</f>
        <v>Nibel. M. 18781/ Labuhan Ratu Raya</v>
      </c>
      <c r="D4119" s="42"/>
      <c r="E4119" s="42"/>
      <c r="F4119" s="48" t="str">
        <f>IFERROR(__xludf.DUMMYFUNCTION("""COMPUTED_VALUE"""),"")</f>
        <v/>
      </c>
      <c r="G4119" s="42" t="str">
        <f>IFERROR(__xludf.DUMMYFUNCTION("""COMPUTED_VALUE"""),"BN Jual Beli")</f>
        <v>BN Jual Beli</v>
      </c>
      <c r="H4119" s="42">
        <f t="shared" si="1"/>
        <v>1815</v>
      </c>
    </row>
    <row r="4120" ht="22.5" customHeight="1">
      <c r="B4120" s="42" t="str">
        <f>IFERROR(__xludf.DUMMYFUNCTION("""COMPUTED_VALUE"""),"K/13/090525/1")</f>
        <v>K/13/090525/1</v>
      </c>
      <c r="C4120" s="42" t="str">
        <f>IFERROR(__xludf.DUMMYFUNCTION("""COMPUTED_VALUE"""),"M. 13740/ Segala Mider")</f>
        <v>M. 13740/ Segala Mider</v>
      </c>
      <c r="D4120" s="42" t="str">
        <f>IFERROR(__xludf.DUMMYFUNCTION("""COMPUTED_VALUE"""),"Berry")</f>
        <v>Berry</v>
      </c>
      <c r="E4120" s="42" t="str">
        <f>IFERROR(__xludf.DUMMYFUNCTION("""COMPUTED_VALUE"""),"DISERAHKAN")</f>
        <v>DISERAHKAN</v>
      </c>
      <c r="F4120" s="48">
        <f>IFERROR(__xludf.DUMMYFUNCTION("""COMPUTED_VALUE"""),45799.70644138889)</f>
        <v>45799.70644</v>
      </c>
      <c r="G4120" s="42" t="str">
        <f>IFERROR(__xludf.DUMMYFUNCTION("""COMPUTED_VALUE"""),"BN JUAL BELI")</f>
        <v>BN JUAL BELI</v>
      </c>
      <c r="H4120" s="42">
        <f t="shared" si="1"/>
        <v>1816</v>
      </c>
    </row>
    <row r="4121" ht="22.5" customHeight="1">
      <c r="B4121" s="42" t="str">
        <f>IFERROR(__xludf.DUMMYFUNCTION("""COMPUTED_VALUE"""),"K/14/090525/1")</f>
        <v>K/14/090525/1</v>
      </c>
      <c r="C4121" s="42" t="str">
        <f>IFERROR(__xludf.DUMMYFUNCTION("""COMPUTED_VALUE"""),"B. 5168/ Beringin Raya")</f>
        <v>B. 5168/ Beringin Raya</v>
      </c>
      <c r="D4121" s="42" t="str">
        <f>IFERROR(__xludf.DUMMYFUNCTION("""COMPUTED_VALUE"""),"Berry")</f>
        <v>Berry</v>
      </c>
      <c r="E4121" s="42" t="str">
        <f>IFERROR(__xludf.DUMMYFUNCTION("""COMPUTED_VALUE"""),"DISERAHKAN")</f>
        <v>DISERAHKAN</v>
      </c>
      <c r="F4121" s="48">
        <f>IFERROR(__xludf.DUMMYFUNCTION("""COMPUTED_VALUE"""),45803.435171307865)</f>
        <v>45803.43517</v>
      </c>
      <c r="G4121" s="42" t="str">
        <f>IFERROR(__xludf.DUMMYFUNCTION("""COMPUTED_VALUE"""),"BN Jual Beli")</f>
        <v>BN Jual Beli</v>
      </c>
      <c r="H4121" s="42">
        <f t="shared" si="1"/>
        <v>1817</v>
      </c>
    </row>
    <row r="4122" ht="22.5" customHeight="1">
      <c r="B4122" s="42" t="str">
        <f>IFERROR(__xludf.DUMMYFUNCTION("""COMPUTED_VALUE"""),"K/6/090525/1")</f>
        <v>K/6/090525/1</v>
      </c>
      <c r="C4122" s="42" t="str">
        <f>IFERROR(__xludf.DUMMYFUNCTION("""COMPUTED_VALUE"""),"M.2278/PERUMNAS WAY HALIM")</f>
        <v>M.2278/PERUMNAS WAY HALIM</v>
      </c>
      <c r="D4122" s="42" t="str">
        <f>IFERROR(__xludf.DUMMYFUNCTION("""COMPUTED_VALUE"""),"Berry")</f>
        <v>Berry</v>
      </c>
      <c r="E4122" s="42" t="str">
        <f>IFERROR(__xludf.DUMMYFUNCTION("""COMPUTED_VALUE"""),"DISERAHKAN")</f>
        <v>DISERAHKAN</v>
      </c>
      <c r="F4122" s="48">
        <f>IFERROR(__xludf.DUMMYFUNCTION("""COMPUTED_VALUE"""),45805.44433594907)</f>
        <v>45805.44434</v>
      </c>
      <c r="G4122" s="42" t="str">
        <f>IFERROR(__xludf.DUMMYFUNCTION("""COMPUTED_VALUE"""),"BN JUAL BELI")</f>
        <v>BN JUAL BELI</v>
      </c>
      <c r="H4122" s="42">
        <f t="shared" si="1"/>
        <v>1818</v>
      </c>
    </row>
    <row r="4123" ht="22.5" customHeight="1">
      <c r="B4123" s="42" t="str">
        <f>IFERROR(__xludf.DUMMYFUNCTION("""COMPUTED_VALUE"""),"K/15/090525/1")</f>
        <v>K/15/090525/1</v>
      </c>
      <c r="C4123" s="42" t="str">
        <f>IFERROR(__xludf.DUMMYFUNCTION("""COMPUTED_VALUE"""),"M. 19185/SUKARAME")</f>
        <v>M. 19185/SUKARAME</v>
      </c>
      <c r="D4123" s="42" t="str">
        <f>IFERROR(__xludf.DUMMYFUNCTION("""COMPUTED_VALUE"""),"Berry")</f>
        <v>Berry</v>
      </c>
      <c r="E4123" s="42" t="str">
        <f>IFERROR(__xludf.DUMMYFUNCTION("""COMPUTED_VALUE"""),"DISERAHKAN")</f>
        <v>DISERAHKAN</v>
      </c>
      <c r="F4123" s="48">
        <f>IFERROR(__xludf.DUMMYFUNCTION("""COMPUTED_VALUE"""),45803.43363800926)</f>
        <v>45803.43364</v>
      </c>
      <c r="G4123" s="42" t="str">
        <f>IFERROR(__xludf.DUMMYFUNCTION("""COMPUTED_VALUE"""),"BN JUAL BELI")</f>
        <v>BN JUAL BELI</v>
      </c>
      <c r="H4123" s="42">
        <f t="shared" si="1"/>
        <v>1819</v>
      </c>
    </row>
    <row r="4124" ht="22.5" customHeight="1">
      <c r="B4124" s="42" t="str">
        <f>IFERROR(__xludf.DUMMYFUNCTION("""COMPUTED_VALUE"""),"L/16/090525/1")</f>
        <v>L/16/090525/1</v>
      </c>
      <c r="C4124" s="42" t="str">
        <f>IFERROR(__xludf.DUMMYFUNCTION("""COMPUTED_VALUE"""),"HM 3426/BERINGIN RAYA")</f>
        <v>HM 3426/BERINGIN RAYA</v>
      </c>
      <c r="D4124" s="42"/>
      <c r="E4124" s="42"/>
      <c r="F4124" s="48" t="str">
        <f>IFERROR(__xludf.DUMMYFUNCTION("""COMPUTED_VALUE"""),"")</f>
        <v/>
      </c>
      <c r="G4124" s="42" t="str">
        <f>IFERROR(__xludf.DUMMYFUNCTION("""COMPUTED_VALUE"""),"ROYA")</f>
        <v>ROYA</v>
      </c>
      <c r="H4124" s="42">
        <f t="shared" si="1"/>
        <v>1819</v>
      </c>
    </row>
    <row r="4125" ht="22.5" customHeight="1">
      <c r="B4125" s="42" t="str">
        <f>IFERROR(__xludf.DUMMYFUNCTION("""COMPUTED_VALUE"""),"L/18/090525/1")</f>
        <v>L/18/090525/1</v>
      </c>
      <c r="C4125" s="42" t="str">
        <f>IFERROR(__xludf.DUMMYFUNCTION("""COMPUTED_VALUE"""),"HM 5368/SUKARAME II")</f>
        <v>HM 5368/SUKARAME II</v>
      </c>
      <c r="D4125" s="42"/>
      <c r="E4125" s="42"/>
      <c r="F4125" s="48" t="str">
        <f>IFERROR(__xludf.DUMMYFUNCTION("""COMPUTED_VALUE"""),"")</f>
        <v/>
      </c>
      <c r="G4125" s="42" t="str">
        <f>IFERROR(__xludf.DUMMYFUNCTION("""COMPUTED_VALUE"""),"ROYA")</f>
        <v>ROYA</v>
      </c>
      <c r="H4125" s="42">
        <f t="shared" si="1"/>
        <v>1819</v>
      </c>
    </row>
    <row r="4126" ht="22.5" customHeight="1">
      <c r="B4126" s="42" t="str">
        <f>IFERROR(__xludf.DUMMYFUNCTION("""COMPUTED_VALUE"""),"K/17/090525/1")</f>
        <v>K/17/090525/1</v>
      </c>
      <c r="C4126" s="42" t="str">
        <f>IFERROR(__xludf.DUMMYFUNCTION("""COMPUTED_VALUE"""),"Nibel 11753/ Rajabasa ")</f>
        <v>Nibel 11753/ Rajabasa </v>
      </c>
      <c r="D4126" s="42"/>
      <c r="E4126" s="42"/>
      <c r="F4126" s="48" t="str">
        <f>IFERROR(__xludf.DUMMYFUNCTION("""COMPUTED_VALUE"""),"")</f>
        <v/>
      </c>
      <c r="G4126" s="42" t="str">
        <f>IFERROR(__xludf.DUMMYFUNCTION("""COMPUTED_VALUE"""),"BN JUAL BELI")</f>
        <v>BN JUAL BELI</v>
      </c>
      <c r="H4126" s="42">
        <f t="shared" si="1"/>
        <v>1819</v>
      </c>
    </row>
    <row r="4127" ht="22.5" customHeight="1">
      <c r="B4127" s="42" t="str">
        <f>IFERROR(__xludf.DUMMYFUNCTION("""COMPUTED_VALUE"""),"K/19/090525/1")</f>
        <v>K/19/090525/1</v>
      </c>
      <c r="C4127" s="42" t="str">
        <f>IFERROR(__xludf.DUMMYFUNCTION("""COMPUTED_VALUE"""),"M. 5485/ Tanjung Seneng")</f>
        <v>M. 5485/ Tanjung Seneng</v>
      </c>
      <c r="D4127" s="42" t="str">
        <f>IFERROR(__xludf.DUMMYFUNCTION("""COMPUTED_VALUE"""),"Berry")</f>
        <v>Berry</v>
      </c>
      <c r="E4127" s="42" t="str">
        <f>IFERROR(__xludf.DUMMYFUNCTION("""COMPUTED_VALUE"""),"DISERAHKAN")</f>
        <v>DISERAHKAN</v>
      </c>
      <c r="F4127" s="48">
        <f>IFERROR(__xludf.DUMMYFUNCTION("""COMPUTED_VALUE"""),45820.46762030093)</f>
        <v>45820.46762</v>
      </c>
      <c r="G4127" s="42" t="str">
        <f>IFERROR(__xludf.DUMMYFUNCTION("""COMPUTED_VALUE"""),"BN JUALK BELI")</f>
        <v>BN JUALK BELI</v>
      </c>
      <c r="H4127" s="42">
        <f t="shared" si="1"/>
        <v>1820</v>
      </c>
    </row>
    <row r="4128" ht="22.5" customHeight="1">
      <c r="B4128" s="42" t="str">
        <f>IFERROR(__xludf.DUMMYFUNCTION("""COMPUTED_VALUE"""),"K/21/090525/2")</f>
        <v>K/21/090525/2</v>
      </c>
      <c r="C4128" s="42" t="str">
        <f>IFERROR(__xludf.DUMMYFUNCTION("""COMPUTED_VALUE"""),"Nibel. M. 19087/ Gunung Agung")</f>
        <v>Nibel. M. 19087/ Gunung Agung</v>
      </c>
      <c r="D4128" s="42"/>
      <c r="E4128" s="42"/>
      <c r="F4128" s="48" t="str">
        <f>IFERROR(__xludf.DUMMYFUNCTION("""COMPUTED_VALUE"""),"")</f>
        <v/>
      </c>
      <c r="G4128" s="42" t="str">
        <f>IFERROR(__xludf.DUMMYFUNCTION("""COMPUTED_VALUE"""),"BN Jual Beli")</f>
        <v>BN Jual Beli</v>
      </c>
      <c r="H4128" s="42">
        <f t="shared" si="1"/>
        <v>1820</v>
      </c>
    </row>
    <row r="4129" ht="22.5" customHeight="1">
      <c r="B4129" s="42" t="str">
        <f>IFERROR(__xludf.DUMMYFUNCTION("""COMPUTED_VALUE"""),"K/20/090525/1")</f>
        <v>K/20/090525/1</v>
      </c>
      <c r="C4129" s="42" t="str">
        <f>IFERROR(__xludf.DUMMYFUNCTION("""COMPUTED_VALUE"""),"Nibel. M. 19133/ Gunung Agung")</f>
        <v>Nibel. M. 19133/ Gunung Agung</v>
      </c>
      <c r="D4129" s="42"/>
      <c r="E4129" s="42"/>
      <c r="F4129" s="48" t="str">
        <f>IFERROR(__xludf.DUMMYFUNCTION("""COMPUTED_VALUE"""),"")</f>
        <v/>
      </c>
      <c r="G4129" s="42" t="str">
        <f>IFERROR(__xludf.DUMMYFUNCTION("""COMPUTED_VALUE"""),"BN Jual Beli")</f>
        <v>BN Jual Beli</v>
      </c>
      <c r="H4129" s="42">
        <f t="shared" si="1"/>
        <v>1820</v>
      </c>
    </row>
    <row r="4130" ht="22.5" customHeight="1">
      <c r="B4130" s="42" t="str">
        <f>IFERROR(__xludf.DUMMYFUNCTION("""COMPUTED_VALUE"""),"L/25/090525/1")</f>
        <v>L/25/090525/1</v>
      </c>
      <c r="C4130" s="42" t="str">
        <f>IFERROR(__xludf.DUMMYFUNCTION("""COMPUTED_VALUE"""),"HAK MILIK NIBEL 17650")</f>
        <v>HAK MILIK NIBEL 17650</v>
      </c>
      <c r="D4130" s="42"/>
      <c r="E4130" s="42"/>
      <c r="F4130" s="48" t="str">
        <f>IFERROR(__xludf.DUMMYFUNCTION("""COMPUTED_VALUE"""),"")</f>
        <v/>
      </c>
      <c r="G4130" s="42" t="str">
        <f>IFERROR(__xludf.DUMMYFUNCTION("""COMPUTED_VALUE"""),"PERALIHAN PEMBAGIAN HAK BERSAMA")</f>
        <v>PERALIHAN PEMBAGIAN HAK BERSAMA</v>
      </c>
      <c r="H4130" s="42">
        <f t="shared" si="1"/>
        <v>1820</v>
      </c>
    </row>
    <row r="4131" ht="22.5" customHeight="1">
      <c r="B4131" s="42" t="str">
        <f>IFERROR(__xludf.DUMMYFUNCTION("""COMPUTED_VALUE"""),"K/22/090525/1")</f>
        <v>K/22/090525/1</v>
      </c>
      <c r="C4131" s="42" t="str">
        <f>IFERROR(__xludf.DUMMYFUNCTION("""COMPUTED_VALUE"""),"NIBEL M. 16681/GEDONG MENENG")</f>
        <v>NIBEL M. 16681/GEDONG MENENG</v>
      </c>
      <c r="D4131" s="42"/>
      <c r="E4131" s="42"/>
      <c r="F4131" s="48" t="str">
        <f>IFERROR(__xludf.DUMMYFUNCTION("""COMPUTED_VALUE"""),"")</f>
        <v/>
      </c>
      <c r="G4131" s="42" t="str">
        <f>IFERROR(__xludf.DUMMYFUNCTION("""COMPUTED_VALUE"""),"BN JUAL BELI")</f>
        <v>BN JUAL BELI</v>
      </c>
      <c r="H4131" s="42">
        <f t="shared" si="1"/>
        <v>1820</v>
      </c>
    </row>
    <row r="4132" ht="22.5" customHeight="1">
      <c r="B4132" s="42" t="str">
        <f>IFERROR(__xludf.DUMMYFUNCTION("""COMPUTED_VALUE"""),"K/24/090525/1")</f>
        <v>K/24/090525/1</v>
      </c>
      <c r="C4132" s="42" t="str">
        <f>IFERROR(__xludf.DUMMYFUNCTION("""COMPUTED_VALUE"""),"M. 212/ Kemiling Permai")</f>
        <v>M. 212/ Kemiling Permai</v>
      </c>
      <c r="D4132" s="42" t="str">
        <f>IFERROR(__xludf.DUMMYFUNCTION("""COMPUTED_VALUE"""),"David")</f>
        <v>David</v>
      </c>
      <c r="E4132" s="42" t="str">
        <f>IFERROR(__xludf.DUMMYFUNCTION("""COMPUTED_VALUE"""),"DISERAHKAN")</f>
        <v>DISERAHKAN</v>
      </c>
      <c r="F4132" s="48">
        <f>IFERROR(__xludf.DUMMYFUNCTION("""COMPUTED_VALUE"""),45824.5909052662)</f>
        <v>45824.59091</v>
      </c>
      <c r="G4132" s="42" t="str">
        <f>IFERROR(__xludf.DUMMYFUNCTION("""COMPUTED_VALUE"""),"ROYA")</f>
        <v>ROYA</v>
      </c>
      <c r="H4132" s="42">
        <f t="shared" si="1"/>
        <v>1821</v>
      </c>
    </row>
    <row r="4133" ht="22.5" customHeight="1">
      <c r="B4133" s="42" t="str">
        <f>IFERROR(__xludf.DUMMYFUNCTION("""COMPUTED_VALUE"""),"K/23/090525/2")</f>
        <v>K/23/090525/2</v>
      </c>
      <c r="C4133" s="42" t="str">
        <f>IFERROR(__xludf.DUMMYFUNCTION("""COMPUTED_VALUE"""),"NIBEL M. 19532/SIDODADI")</f>
        <v>NIBEL M. 19532/SIDODADI</v>
      </c>
      <c r="D4133" s="42"/>
      <c r="E4133" s="42"/>
      <c r="F4133" s="48" t="str">
        <f>IFERROR(__xludf.DUMMYFUNCTION("""COMPUTED_VALUE"""),"")</f>
        <v/>
      </c>
      <c r="G4133" s="42" t="str">
        <f>IFERROR(__xludf.DUMMYFUNCTION("""COMPUTED_VALUE"""),"BN JUAL BELI")</f>
        <v>BN JUAL BELI</v>
      </c>
      <c r="H4133" s="42">
        <f t="shared" si="1"/>
        <v>1821</v>
      </c>
    </row>
    <row r="4134" ht="22.5" customHeight="1">
      <c r="B4134" s="42" t="str">
        <f>IFERROR(__xludf.DUMMYFUNCTION("""COMPUTED_VALUE"""),"K/26/090525/1")</f>
        <v>K/26/090525/1</v>
      </c>
      <c r="C4134" s="42" t="str">
        <f>IFERROR(__xludf.DUMMYFUNCTION("""COMPUTED_VALUE"""),"NIBEL M 18743/SUKARAME ")</f>
        <v>NIBEL M 18743/SUKARAME </v>
      </c>
      <c r="D4134" s="42"/>
      <c r="E4134" s="42"/>
      <c r="F4134" s="48" t="str">
        <f>IFERROR(__xludf.DUMMYFUNCTION("""COMPUTED_VALUE"""),"")</f>
        <v/>
      </c>
      <c r="G4134" s="42" t="str">
        <f>IFERROR(__xludf.DUMMYFUNCTION("""COMPUTED_VALUE"""),"WAKAF")</f>
        <v>WAKAF</v>
      </c>
      <c r="H4134" s="42">
        <f t="shared" si="1"/>
        <v>1821</v>
      </c>
    </row>
    <row r="4135" ht="22.5" customHeight="1">
      <c r="B4135" s="42" t="str">
        <f>IFERROR(__xludf.DUMMYFUNCTION("""COMPUTED_VALUE"""),"K/27/090525/3")</f>
        <v>K/27/090525/3</v>
      </c>
      <c r="C4135" s="42" t="str">
        <f>IFERROR(__xludf.DUMMYFUNCTION("""COMPUTED_VALUE"""),"M. 10592/GEDONG MENENG")</f>
        <v>M. 10592/GEDONG MENENG</v>
      </c>
      <c r="D4135" s="42" t="str">
        <f>IFERROR(__xludf.DUMMYFUNCTION("""COMPUTED_VALUE"""),"Berry")</f>
        <v>Berry</v>
      </c>
      <c r="E4135" s="42" t="str">
        <f>IFERROR(__xludf.DUMMYFUNCTION("""COMPUTED_VALUE"""),"DISERAHKAN")</f>
        <v>DISERAHKAN</v>
      </c>
      <c r="F4135" s="48">
        <f>IFERROR(__xludf.DUMMYFUNCTION("""COMPUTED_VALUE"""),45810.659250729164)</f>
        <v>45810.65925</v>
      </c>
      <c r="G4135" s="42" t="str">
        <f>IFERROR(__xludf.DUMMYFUNCTION("""COMPUTED_VALUE"""),"BN WARIS")</f>
        <v>BN WARIS</v>
      </c>
      <c r="H4135" s="42">
        <f t="shared" si="1"/>
        <v>1822</v>
      </c>
    </row>
    <row r="4136" ht="22.5" customHeight="1">
      <c r="B4136" s="42" t="str">
        <f>IFERROR(__xludf.DUMMYFUNCTION("""COMPUTED_VALUE"""),"K/29/090525/1")</f>
        <v>K/29/090525/1</v>
      </c>
      <c r="C4136" s="42" t="str">
        <f>IFERROR(__xludf.DUMMYFUNCTION("""COMPUTED_VALUE"""),"Nibel. M. 20623/ Jagabaya III")</f>
        <v>Nibel. M. 20623/ Jagabaya III</v>
      </c>
      <c r="D4136" s="42"/>
      <c r="E4136" s="42"/>
      <c r="F4136" s="48" t="str">
        <f>IFERROR(__xludf.DUMMYFUNCTION("""COMPUTED_VALUE"""),"")</f>
        <v/>
      </c>
      <c r="G4136" s="42" t="str">
        <f>IFERROR(__xludf.DUMMYFUNCTION("""COMPUTED_VALUE"""),"BN Jual Beli")</f>
        <v>BN Jual Beli</v>
      </c>
      <c r="H4136" s="42">
        <f t="shared" si="1"/>
        <v>1822</v>
      </c>
    </row>
    <row r="4137" ht="22.5" customHeight="1">
      <c r="B4137" s="42" t="str">
        <f>IFERROR(__xludf.DUMMYFUNCTION("""COMPUTED_VALUE"""),"K/30/090525/3")</f>
        <v>K/30/090525/3</v>
      </c>
      <c r="C4137" s="42" t="str">
        <f>IFERROR(__xludf.DUMMYFUNCTION("""COMPUTED_VALUE"""),"Nibel. M. 19132/ Gunung Agung")</f>
        <v>Nibel. M. 19132/ Gunung Agung</v>
      </c>
      <c r="D4137" s="42"/>
      <c r="E4137" s="42"/>
      <c r="F4137" s="48" t="str">
        <f>IFERROR(__xludf.DUMMYFUNCTION("""COMPUTED_VALUE"""),"")</f>
        <v/>
      </c>
      <c r="G4137" s="42" t="str">
        <f>IFERROR(__xludf.DUMMYFUNCTION("""COMPUTED_VALUE"""),"BN Jual Beli")</f>
        <v>BN Jual Beli</v>
      </c>
      <c r="H4137" s="42">
        <f t="shared" si="1"/>
        <v>1822</v>
      </c>
    </row>
    <row r="4138" ht="22.5" customHeight="1">
      <c r="B4138" s="42" t="str">
        <f>IFERROR(__xludf.DUMMYFUNCTION("""COMPUTED_VALUE"""),"K/31/090525/4")</f>
        <v>K/31/090525/4</v>
      </c>
      <c r="C4138" s="42" t="str">
        <f>IFERROR(__xludf.DUMMYFUNCTION("""COMPUTED_VALUE"""),"Nibel. M. 19134/ Gunung Agung")</f>
        <v>Nibel. M. 19134/ Gunung Agung</v>
      </c>
      <c r="D4138" s="42"/>
      <c r="E4138" s="42"/>
      <c r="F4138" s="48" t="str">
        <f>IFERROR(__xludf.DUMMYFUNCTION("""COMPUTED_VALUE"""),"")</f>
        <v/>
      </c>
      <c r="G4138" s="42" t="str">
        <f>IFERROR(__xludf.DUMMYFUNCTION("""COMPUTED_VALUE"""),"BN Jual Beli")</f>
        <v>BN Jual Beli</v>
      </c>
      <c r="H4138" s="42">
        <f t="shared" si="1"/>
        <v>1822</v>
      </c>
    </row>
    <row r="4139" ht="22.5" customHeight="1">
      <c r="B4139" s="42" t="str">
        <f>IFERROR(__xludf.DUMMYFUNCTION("""COMPUTED_VALUE"""),"K/32/090525/5")</f>
        <v>K/32/090525/5</v>
      </c>
      <c r="C4139" s="42" t="str">
        <f>IFERROR(__xludf.DUMMYFUNCTION("""COMPUTED_VALUE"""),"M. 2645/ Sukarame")</f>
        <v>M. 2645/ Sukarame</v>
      </c>
      <c r="D4139" s="42" t="str">
        <f>IFERROR(__xludf.DUMMYFUNCTION("""COMPUTED_VALUE"""),"Berry")</f>
        <v>Berry</v>
      </c>
      <c r="E4139" s="42" t="str">
        <f>IFERROR(__xludf.DUMMYFUNCTION("""COMPUTED_VALUE"""),"DISERAHKAN")</f>
        <v>DISERAHKAN</v>
      </c>
      <c r="F4139" s="48">
        <f>IFERROR(__xludf.DUMMYFUNCTION("""COMPUTED_VALUE"""),45805.445682233796)</f>
        <v>45805.44568</v>
      </c>
      <c r="G4139" s="42" t="str">
        <f>IFERROR(__xludf.DUMMYFUNCTION("""COMPUTED_VALUE"""),"BN Jual Beli")</f>
        <v>BN Jual Beli</v>
      </c>
      <c r="H4139" s="42">
        <f t="shared" si="1"/>
        <v>1823</v>
      </c>
    </row>
    <row r="4140" ht="22.5" customHeight="1">
      <c r="B4140" s="42" t="str">
        <f>IFERROR(__xludf.DUMMYFUNCTION("""COMPUTED_VALUE"""),"K/33/090525/1")</f>
        <v>K/33/090525/1</v>
      </c>
      <c r="C4140" s="42" t="str">
        <f>IFERROR(__xludf.DUMMYFUNCTION("""COMPUTED_VALUE"""),"M. 1454/ Bumi Kedamaian")</f>
        <v>M. 1454/ Bumi Kedamaian</v>
      </c>
      <c r="D4140" s="42" t="str">
        <f>IFERROR(__xludf.DUMMYFUNCTION("""COMPUTED_VALUE"""),"Berry")</f>
        <v>Berry</v>
      </c>
      <c r="E4140" s="42" t="str">
        <f>IFERROR(__xludf.DUMMYFUNCTION("""COMPUTED_VALUE"""),"DISERAHKAN")</f>
        <v>DISERAHKAN</v>
      </c>
      <c r="F4140" s="48">
        <f>IFERROR(__xludf.DUMMYFUNCTION("""COMPUTED_VALUE"""),45803.43921306713)</f>
        <v>45803.43921</v>
      </c>
      <c r="G4140" s="42" t="str">
        <f>IFERROR(__xludf.DUMMYFUNCTION("""COMPUTED_VALUE"""),"BN JUAL BELI")</f>
        <v>BN JUAL BELI</v>
      </c>
      <c r="H4140" s="42">
        <f t="shared" si="1"/>
        <v>1824</v>
      </c>
    </row>
    <row r="4141" ht="22.5" customHeight="1">
      <c r="B4141" s="42" t="str">
        <f>IFERROR(__xludf.DUMMYFUNCTION("""COMPUTED_VALUE"""),"K/35/090525/1")</f>
        <v>K/35/090525/1</v>
      </c>
      <c r="C4141" s="42" t="str">
        <f>IFERROR(__xludf.DUMMYFUNCTION("""COMPUTED_VALUE"""),"Nibel. M. 19014/ Korpri Raya ")</f>
        <v>Nibel. M. 19014/ Korpri Raya </v>
      </c>
      <c r="D4141" s="42"/>
      <c r="E4141" s="42"/>
      <c r="F4141" s="48" t="str">
        <f>IFERROR(__xludf.DUMMYFUNCTION("""COMPUTED_VALUE"""),"")</f>
        <v/>
      </c>
      <c r="G4141" s="42" t="str">
        <f>IFERROR(__xludf.DUMMYFUNCTION("""COMPUTED_VALUE"""),"BN Hibah")</f>
        <v>BN Hibah</v>
      </c>
      <c r="H4141" s="42">
        <f t="shared" si="1"/>
        <v>1824</v>
      </c>
    </row>
    <row r="4142" ht="22.5" customHeight="1">
      <c r="B4142" s="42" t="str">
        <f>IFERROR(__xludf.DUMMYFUNCTION("""COMPUTED_VALUE"""),"K/34/090525/1")</f>
        <v>K/34/090525/1</v>
      </c>
      <c r="C4142" s="42" t="str">
        <f>IFERROR(__xludf.DUMMYFUNCTION("""COMPUTED_VALUE"""),"M. 1511/SUKARAME BARU")</f>
        <v>M. 1511/SUKARAME BARU</v>
      </c>
      <c r="D4142" s="42" t="str">
        <f>IFERROR(__xludf.DUMMYFUNCTION("""COMPUTED_VALUE"""),"Berry")</f>
        <v>Berry</v>
      </c>
      <c r="E4142" s="42" t="str">
        <f>IFERROR(__xludf.DUMMYFUNCTION("""COMPUTED_VALUE"""),"DISERAHKAN")</f>
        <v>DISERAHKAN</v>
      </c>
      <c r="F4142" s="48">
        <f>IFERROR(__xludf.DUMMYFUNCTION("""COMPUTED_VALUE"""),45803.43267405093)</f>
        <v>45803.43267</v>
      </c>
      <c r="G4142" s="42" t="str">
        <f>IFERROR(__xludf.DUMMYFUNCTION("""COMPUTED_VALUE"""),"BN JUAL BELI")</f>
        <v>BN JUAL BELI</v>
      </c>
      <c r="H4142" s="42">
        <f t="shared" si="1"/>
        <v>1825</v>
      </c>
    </row>
    <row r="4143" ht="22.5" customHeight="1">
      <c r="B4143" s="42" t="str">
        <f>IFERROR(__xludf.DUMMYFUNCTION("""COMPUTED_VALUE"""),"L/36/090525/1")</f>
        <v>L/36/090525/1</v>
      </c>
      <c r="C4143" s="42" t="str">
        <f>IFERROR(__xludf.DUMMYFUNCTION("""COMPUTED_VALUE"""),"M.1189/KEDAUNG")</f>
        <v>M.1189/KEDAUNG</v>
      </c>
      <c r="D4143" s="42"/>
      <c r="E4143" s="42"/>
      <c r="F4143" s="48" t="str">
        <f>IFERROR(__xludf.DUMMYFUNCTION("""COMPUTED_VALUE"""),"")</f>
        <v/>
      </c>
      <c r="G4143" s="42" t="str">
        <f>IFERROR(__xludf.DUMMYFUNCTION("""COMPUTED_VALUE"""),"HAPUS BPHTB TERHUTANG")</f>
        <v>HAPUS BPHTB TERHUTANG</v>
      </c>
      <c r="H4143" s="42">
        <f t="shared" si="1"/>
        <v>1825</v>
      </c>
    </row>
    <row r="4144" ht="22.5" customHeight="1">
      <c r="B4144" s="42" t="str">
        <f>IFERROR(__xludf.DUMMYFUNCTION("""COMPUTED_VALUE"""),"K/37/090525/1")</f>
        <v>K/37/090525/1</v>
      </c>
      <c r="C4144" s="42" t="str">
        <f>IFERROR(__xludf.DUMMYFUNCTION("""COMPUTED_VALUE"""),"NIBEL M 18291/SUKADANAHAM")</f>
        <v>NIBEL M 18291/SUKADANAHAM</v>
      </c>
      <c r="D4144" s="42"/>
      <c r="E4144" s="42"/>
      <c r="F4144" s="48" t="str">
        <f>IFERROR(__xludf.DUMMYFUNCTION("""COMPUTED_VALUE"""),"")</f>
        <v/>
      </c>
      <c r="G4144" s="42" t="str">
        <f>IFERROR(__xludf.DUMMYFUNCTION("""COMPUTED_VALUE"""),"HIBAH")</f>
        <v>HIBAH</v>
      </c>
      <c r="H4144" s="42">
        <f t="shared" si="1"/>
        <v>1825</v>
      </c>
    </row>
    <row r="4145" ht="22.5" customHeight="1">
      <c r="B4145" s="42" t="str">
        <f>IFERROR(__xludf.DUMMYFUNCTION("""COMPUTED_VALUE"""),"L/40/090525/1")</f>
        <v>L/40/090525/1</v>
      </c>
      <c r="C4145" s="42" t="str">
        <f>IFERROR(__xludf.DUMMYFUNCTION("""COMPUTED_VALUE"""),"HM 1111/SUSUNAN BARU")</f>
        <v>HM 1111/SUSUNAN BARU</v>
      </c>
      <c r="D4145" s="42" t="str">
        <f>IFERROR(__xludf.DUMMYFUNCTION("""COMPUTED_VALUE"""),"David")</f>
        <v>David</v>
      </c>
      <c r="E4145" s="42" t="str">
        <f>IFERROR(__xludf.DUMMYFUNCTION("""COMPUTED_VALUE"""),"DISERAHKAN")</f>
        <v>DISERAHKAN</v>
      </c>
      <c r="F4145" s="48">
        <f>IFERROR(__xludf.DUMMYFUNCTION("""COMPUTED_VALUE"""),45813.479584699075)</f>
        <v>45813.47958</v>
      </c>
      <c r="G4145" s="42" t="str">
        <f>IFERROR(__xludf.DUMMYFUNCTION("""COMPUTED_VALUE"""),"ROYA")</f>
        <v>ROYA</v>
      </c>
      <c r="H4145" s="42">
        <f t="shared" si="1"/>
        <v>1826</v>
      </c>
    </row>
    <row r="4146" ht="22.5" customHeight="1">
      <c r="B4146" s="42" t="str">
        <f>IFERROR(__xludf.DUMMYFUNCTION("""COMPUTED_VALUE"""),"K/39/090525/1")</f>
        <v>K/39/090525/1</v>
      </c>
      <c r="C4146" s="42" t="str">
        <f>IFERROR(__xludf.DUMMYFUNCTION("""COMPUTED_VALUE"""),"M. 884/ Bakung")</f>
        <v>M. 884/ Bakung</v>
      </c>
      <c r="D4146" s="42"/>
      <c r="E4146" s="42"/>
      <c r="F4146" s="48" t="str">
        <f>IFERROR(__xludf.DUMMYFUNCTION("""COMPUTED_VALUE"""),"")</f>
        <v/>
      </c>
      <c r="G4146" s="42" t="str">
        <f>IFERROR(__xludf.DUMMYFUNCTION("""COMPUTED_VALUE"""),"Pemecahan")</f>
        <v>Pemecahan</v>
      </c>
      <c r="H4146" s="42">
        <f t="shared" si="1"/>
        <v>1826</v>
      </c>
    </row>
    <row r="4147" ht="22.5" customHeight="1">
      <c r="B4147" s="42" t="str">
        <f>IFERROR(__xludf.DUMMYFUNCTION("""COMPUTED_VALUE"""),"L/41/090525/1")</f>
        <v>L/41/090525/1</v>
      </c>
      <c r="C4147" s="42" t="str">
        <f>IFERROR(__xludf.DUMMYFUNCTION("""COMPUTED_VALUE"""),"HM 3206/GUNUNG TERANG")</f>
        <v>HM 3206/GUNUNG TERANG</v>
      </c>
      <c r="D4147" s="42"/>
      <c r="E4147" s="42"/>
      <c r="F4147" s="48" t="str">
        <f>IFERROR(__xludf.DUMMYFUNCTION("""COMPUTED_VALUE"""),"")</f>
        <v/>
      </c>
      <c r="G4147" s="42" t="str">
        <f>IFERROR(__xludf.DUMMYFUNCTION("""COMPUTED_VALUE"""),"HAPUS BPHTB")</f>
        <v>HAPUS BPHTB</v>
      </c>
      <c r="H4147" s="42">
        <f t="shared" si="1"/>
        <v>1826</v>
      </c>
    </row>
    <row r="4148" ht="22.5" customHeight="1">
      <c r="B4148" s="42" t="str">
        <f>IFERROR(__xludf.DUMMYFUNCTION("""COMPUTED_VALUE"""),"L/1/100525/1")</f>
        <v>L/1/100525/1</v>
      </c>
      <c r="C4148" s="42" t="str">
        <f>IFERROR(__xludf.DUMMYFUNCTION("""COMPUTED_VALUE"""),"NIBEL 17699/SUKABUMI")</f>
        <v>NIBEL 17699/SUKABUMI</v>
      </c>
      <c r="D4148" s="42"/>
      <c r="E4148" s="42"/>
      <c r="F4148" s="48" t="str">
        <f>IFERROR(__xludf.DUMMYFUNCTION("""COMPUTED_VALUE"""),"")</f>
        <v/>
      </c>
      <c r="G4148" s="42" t="str">
        <f>IFERROR(__xludf.DUMMYFUNCTION("""COMPUTED_VALUE"""),"PTPGT")</f>
        <v>PTPGT</v>
      </c>
      <c r="H4148" s="42">
        <f t="shared" si="1"/>
        <v>1826</v>
      </c>
    </row>
    <row r="4149" ht="22.5" customHeight="1">
      <c r="B4149" s="42" t="str">
        <f>IFERROR(__xludf.DUMMYFUNCTION("""COMPUTED_VALUE"""),"L/2/100525/1")</f>
        <v>L/2/100525/1</v>
      </c>
      <c r="C4149" s="42" t="str">
        <f>IFERROR(__xludf.DUMMYFUNCTION("""COMPUTED_VALUE"""),"B.1360/CAMPANG RAYA")</f>
        <v>B.1360/CAMPANG RAYA</v>
      </c>
      <c r="D4149" s="42"/>
      <c r="E4149" s="42"/>
      <c r="F4149" s="48" t="str">
        <f>IFERROR(__xludf.DUMMYFUNCTION("""COMPUTED_VALUE"""),"")</f>
        <v/>
      </c>
      <c r="G4149" s="42" t="str">
        <f>IFERROR(__xludf.DUMMYFUNCTION("""COMPUTED_VALUE"""),"GANTI DESA")</f>
        <v>GANTI DESA</v>
      </c>
      <c r="H4149" s="42">
        <f t="shared" si="1"/>
        <v>1826</v>
      </c>
    </row>
    <row r="4150" ht="22.5" customHeight="1">
      <c r="B4150" s="42" t="str">
        <f>IFERROR(__xludf.DUMMYFUNCTION("""COMPUTED_VALUE"""),"K/1/140525/1")</f>
        <v>K/1/140525/1</v>
      </c>
      <c r="C4150" s="42" t="str">
        <f>IFERROR(__xludf.DUMMYFUNCTION("""COMPUTED_VALUE"""),"B. 92/ Sukamaju")</f>
        <v>B. 92/ Sukamaju</v>
      </c>
      <c r="D4150" s="42"/>
      <c r="E4150" s="42"/>
      <c r="F4150" s="48" t="str">
        <f>IFERROR(__xludf.DUMMYFUNCTION("""COMPUTED_VALUE"""),"")</f>
        <v/>
      </c>
      <c r="G4150" s="42" t="str">
        <f>IFERROR(__xludf.DUMMYFUNCTION("""COMPUTED_VALUE"""),"Pengukuran HGB Berakhir")</f>
        <v>Pengukuran HGB Berakhir</v>
      </c>
      <c r="H4150" s="42">
        <f t="shared" si="1"/>
        <v>1826</v>
      </c>
    </row>
    <row r="4151" ht="22.5" customHeight="1">
      <c r="B4151" s="42" t="str">
        <f>IFERROR(__xludf.DUMMYFUNCTION("""COMPUTED_VALUE"""),"K/2/140525/1")</f>
        <v>K/2/140525/1</v>
      </c>
      <c r="C4151" s="42" t="str">
        <f>IFERROR(__xludf.DUMMYFUNCTION("""COMPUTED_VALUE"""),"M. 14807/ Sukarame")</f>
        <v>M. 14807/ Sukarame</v>
      </c>
      <c r="D4151" s="42" t="str">
        <f>IFERROR(__xludf.DUMMYFUNCTION("""COMPUTED_VALUE"""),"David")</f>
        <v>David</v>
      </c>
      <c r="E4151" s="42" t="str">
        <f>IFERROR(__xludf.DUMMYFUNCTION("""COMPUTED_VALUE"""),"DISERAHKAN")</f>
        <v>DISERAHKAN</v>
      </c>
      <c r="F4151" s="48">
        <f>IFERROR(__xludf.DUMMYFUNCTION("""COMPUTED_VALUE"""),45813.479982268516)</f>
        <v>45813.47998</v>
      </c>
      <c r="G4151" s="42" t="str">
        <f>IFERROR(__xludf.DUMMYFUNCTION("""COMPUTED_VALUE"""),"Roya")</f>
        <v>Roya</v>
      </c>
      <c r="H4151" s="42">
        <f t="shared" si="1"/>
        <v>1827</v>
      </c>
    </row>
    <row r="4152" ht="22.5" customHeight="1">
      <c r="B4152" s="42" t="str">
        <f>IFERROR(__xludf.DUMMYFUNCTION("""COMPUTED_VALUE"""),"K/4/140525/1")</f>
        <v>K/4/140525/1</v>
      </c>
      <c r="C4152" s="42" t="str">
        <f>IFERROR(__xludf.DUMMYFUNCTION("""COMPUTED_VALUE"""),"Nibel 17587/ Tanjung gading")</f>
        <v>Nibel 17587/ Tanjung gading</v>
      </c>
      <c r="D4152" s="42"/>
      <c r="E4152" s="42"/>
      <c r="F4152" s="48" t="str">
        <f>IFERROR(__xludf.DUMMYFUNCTION("""COMPUTED_VALUE"""),"")</f>
        <v/>
      </c>
      <c r="G4152" s="42" t="str">
        <f>IFERROR(__xludf.DUMMYFUNCTION("""COMPUTED_VALUE"""),"BN JUAL BELI")</f>
        <v>BN JUAL BELI</v>
      </c>
      <c r="H4152" s="42">
        <f t="shared" si="1"/>
        <v>1827</v>
      </c>
    </row>
    <row r="4153" ht="22.5" customHeight="1">
      <c r="B4153" s="42" t="str">
        <f>IFERROR(__xludf.DUMMYFUNCTION("""COMPUTED_VALUE"""),"K/3/140525/1")</f>
        <v>K/3/140525/1</v>
      </c>
      <c r="C4153" s="42" t="str">
        <f>IFERROR(__xludf.DUMMYFUNCTION("""COMPUTED_VALUE"""),"M. 1087/ Korpri Jaya")</f>
        <v>M. 1087/ Korpri Jaya</v>
      </c>
      <c r="D4153" s="42" t="str">
        <f>IFERROR(__xludf.DUMMYFUNCTION("""COMPUTED_VALUE"""),"Berry")</f>
        <v>Berry</v>
      </c>
      <c r="E4153" s="42" t="str">
        <f>IFERROR(__xludf.DUMMYFUNCTION("""COMPUTED_VALUE"""),"DISERAHKAN")</f>
        <v>DISERAHKAN</v>
      </c>
      <c r="F4153" s="48">
        <f>IFERROR(__xludf.DUMMYFUNCTION("""COMPUTED_VALUE"""),45825.555965798616)</f>
        <v>45825.55597</v>
      </c>
      <c r="G4153" s="42" t="str">
        <f>IFERROR(__xludf.DUMMYFUNCTION("""COMPUTED_VALUE"""),"BN Jual Beli")</f>
        <v>BN Jual Beli</v>
      </c>
      <c r="H4153" s="42">
        <f t="shared" si="1"/>
        <v>1828</v>
      </c>
    </row>
    <row r="4154" ht="22.5" customHeight="1">
      <c r="B4154" s="42" t="str">
        <f>IFERROR(__xludf.DUMMYFUNCTION("""COMPUTED_VALUE"""),"K/38/090525/2")</f>
        <v>K/38/090525/2</v>
      </c>
      <c r="C4154" s="42" t="str">
        <f>IFERROR(__xludf.DUMMYFUNCTION("""COMPUTED_VALUE"""),"NIBEL M 18290/SUKADANAHAM")</f>
        <v>NIBEL M 18290/SUKADANAHAM</v>
      </c>
      <c r="D4154" s="42"/>
      <c r="E4154" s="42"/>
      <c r="F4154" s="48" t="str">
        <f>IFERROR(__xludf.DUMMYFUNCTION("""COMPUTED_VALUE"""),"")</f>
        <v/>
      </c>
      <c r="G4154" s="42" t="str">
        <f>IFERROR(__xludf.DUMMYFUNCTION("""COMPUTED_VALUE"""),"HIBAH")</f>
        <v>HIBAH</v>
      </c>
      <c r="H4154" s="42">
        <f t="shared" si="1"/>
        <v>1828</v>
      </c>
    </row>
    <row r="4155" ht="22.5" customHeight="1">
      <c r="B4155" s="42" t="str">
        <f>IFERROR(__xludf.DUMMYFUNCTION("""COMPUTED_VALUE"""),"K/5/140525/1")</f>
        <v>K/5/140525/1</v>
      </c>
      <c r="C4155" s="42" t="str">
        <f>IFERROR(__xludf.DUMMYFUNCTION("""COMPUTED_VALUE"""),"NIBEL B 432/KAMPUNG BARU")</f>
        <v>NIBEL B 432/KAMPUNG BARU</v>
      </c>
      <c r="D4155" s="42"/>
      <c r="E4155" s="42"/>
      <c r="F4155" s="48" t="str">
        <f>IFERROR(__xludf.DUMMYFUNCTION("""COMPUTED_VALUE"""),"")</f>
        <v/>
      </c>
      <c r="G4155" s="42" t="str">
        <f>IFERROR(__xludf.DUMMYFUNCTION("""COMPUTED_VALUE"""),"HIBAH")</f>
        <v>HIBAH</v>
      </c>
      <c r="H4155" s="42">
        <f t="shared" si="1"/>
        <v>1828</v>
      </c>
    </row>
    <row r="4156" ht="22.5" customHeight="1">
      <c r="B4156" s="42" t="str">
        <f>IFERROR(__xludf.DUMMYFUNCTION("""COMPUTED_VALUE"""),"K/6/140525/2")</f>
        <v>K/6/140525/2</v>
      </c>
      <c r="C4156" s="42" t="str">
        <f>IFERROR(__xludf.DUMMYFUNCTION("""COMPUTED_VALUE"""),"NIBEL M 1536/TANJUNG SENENG")</f>
        <v>NIBEL M 1536/TANJUNG SENENG</v>
      </c>
      <c r="D4156" s="42"/>
      <c r="E4156" s="42"/>
      <c r="F4156" s="48" t="str">
        <f>IFERROR(__xludf.DUMMYFUNCTION("""COMPUTED_VALUE"""),"")</f>
        <v/>
      </c>
      <c r="G4156" s="42" t="str">
        <f>IFERROR(__xludf.DUMMYFUNCTION("""COMPUTED_VALUE"""),"APHB")</f>
        <v>APHB</v>
      </c>
      <c r="H4156" s="42">
        <f t="shared" si="1"/>
        <v>1828</v>
      </c>
    </row>
    <row r="4157" ht="22.5" customHeight="1">
      <c r="B4157" s="42" t="str">
        <f>IFERROR(__xludf.DUMMYFUNCTION("""COMPUTED_VALUE"""),"K/7/140525/1")</f>
        <v>K/7/140525/1</v>
      </c>
      <c r="C4157" s="42" t="str">
        <f>IFERROR(__xludf.DUMMYFUNCTION("""COMPUTED_VALUE"""),"PBT 40/2025")</f>
        <v>PBT 40/2025</v>
      </c>
      <c r="D4157" s="42"/>
      <c r="E4157" s="42"/>
      <c r="F4157" s="48" t="str">
        <f>IFERROR(__xludf.DUMMYFUNCTION("""COMPUTED_VALUE"""),"")</f>
        <v/>
      </c>
      <c r="G4157" s="42" t="str">
        <f>IFERROR(__xludf.DUMMYFUNCTION("""COMPUTED_VALUE"""),"PTPGT PERTAMA KALI")</f>
        <v>PTPGT PERTAMA KALI</v>
      </c>
      <c r="H4157" s="42">
        <f t="shared" si="1"/>
        <v>1828</v>
      </c>
    </row>
    <row r="4158" ht="22.5" customHeight="1">
      <c r="B4158" s="42"/>
      <c r="C4158" s="42" t="str">
        <f>IFERROR(__xludf.DUMMYFUNCTION("""COMPUTED_VALUE"""),"HM 2569/CAMPANG RAYA")</f>
        <v>HM 2569/CAMPANG RAYA</v>
      </c>
      <c r="D4158" s="42" t="str">
        <f>IFERROR(__xludf.DUMMYFUNCTION("""COMPUTED_VALUE"""),"David")</f>
        <v>David</v>
      </c>
      <c r="E4158" s="42" t="str">
        <f>IFERROR(__xludf.DUMMYFUNCTION("""COMPUTED_VALUE"""),"DISERAHKAN")</f>
        <v>DISERAHKAN</v>
      </c>
      <c r="F4158" s="48">
        <f>IFERROR(__xludf.DUMMYFUNCTION("""COMPUTED_VALUE"""),45811.364959108796)</f>
        <v>45811.36496</v>
      </c>
      <c r="G4158" s="42" t="str">
        <f>IFERROR(__xludf.DUMMYFUNCTION("""COMPUTED_VALUE"""),"ROYA")</f>
        <v>ROYA</v>
      </c>
      <c r="H4158" s="42">
        <f t="shared" si="1"/>
        <v>1829</v>
      </c>
    </row>
    <row r="4159" ht="22.5" customHeight="1">
      <c r="B4159" s="42"/>
      <c r="C4159" s="42" t="str">
        <f>IFERROR(__xludf.DUMMYFUNCTION("""COMPUTED_VALUE"""),"M.1540/TANJUNG SENENG &amp; M.1549/TANJUNG SENENG")</f>
        <v>M.1540/TANJUNG SENENG &amp; M.1549/TANJUNG SENENG</v>
      </c>
      <c r="D4159" s="42" t="str">
        <f>IFERROR(__xludf.DUMMYFUNCTION("""COMPUTED_VALUE"""),"David")</f>
        <v>David</v>
      </c>
      <c r="E4159" s="42" t="str">
        <f>IFERROR(__xludf.DUMMYFUNCTION("""COMPUTED_VALUE"""),"DISERAHKAN")</f>
        <v>DISERAHKAN</v>
      </c>
      <c r="F4159" s="48">
        <f>IFERROR(__xludf.DUMMYFUNCTION("""COMPUTED_VALUE"""),45825.67660452546)</f>
        <v>45825.6766</v>
      </c>
      <c r="G4159" s="42" t="str">
        <f>IFERROR(__xludf.DUMMYFUNCTION("""COMPUTED_VALUE"""),"ROYA")</f>
        <v>ROYA</v>
      </c>
      <c r="H4159" s="42">
        <f t="shared" si="1"/>
        <v>1830</v>
      </c>
    </row>
    <row r="4160" ht="22.5" customHeight="1">
      <c r="B4160" s="42"/>
      <c r="C4160" s="42" t="str">
        <f>IFERROR(__xludf.DUMMYFUNCTION("""COMPUTED_VALUE"""),"M. 811/ palapa")</f>
        <v>M. 811/ palapa</v>
      </c>
      <c r="D4160" s="42"/>
      <c r="E4160" s="42"/>
      <c r="F4160" s="48" t="str">
        <f>IFERROR(__xludf.DUMMYFUNCTION("""COMPUTED_VALUE"""),"")</f>
        <v/>
      </c>
      <c r="G4160" s="42" t="str">
        <f>IFERROR(__xludf.DUMMYFUNCTION("""COMPUTED_VALUE"""),"BN WARISQ")</f>
        <v>BN WARISQ</v>
      </c>
      <c r="H4160" s="42">
        <f t="shared" si="1"/>
        <v>1830</v>
      </c>
    </row>
    <row r="4161" ht="22.5" customHeight="1">
      <c r="B4161" s="42"/>
      <c r="C4161" s="42" t="str">
        <f>IFERROR(__xludf.DUMMYFUNCTION("""COMPUTED_VALUE"""),"B. 2269/ sukabumi; M. 569/ Sukabumi Indah")</f>
        <v>B. 2269/ sukabumi; M. 569/ Sukabumi Indah</v>
      </c>
      <c r="D4161" s="42" t="str">
        <f>IFERROR(__xludf.DUMMYFUNCTION("""COMPUTED_VALUE"""),"Berry")</f>
        <v>Berry</v>
      </c>
      <c r="E4161" s="42" t="str">
        <f>IFERROR(__xludf.DUMMYFUNCTION("""COMPUTED_VALUE"""),"DISERAHKAN")</f>
        <v>DISERAHKAN</v>
      </c>
      <c r="F4161" s="48">
        <f>IFERROR(__xludf.DUMMYFUNCTION("""COMPUTED_VALUE"""),45828.58701553241)</f>
        <v>45828.58702</v>
      </c>
      <c r="G4161" s="42" t="str">
        <f>IFERROR(__xludf.DUMMYFUNCTION("""COMPUTED_VALUE"""),"ROYA")</f>
        <v>ROYA</v>
      </c>
      <c r="H4161" s="42">
        <f t="shared" si="1"/>
        <v>1831</v>
      </c>
    </row>
    <row r="4162" ht="22.5" customHeight="1">
      <c r="B4162" s="42"/>
      <c r="C4162" s="42" t="str">
        <f>IFERROR(__xludf.DUMMYFUNCTION("""COMPUTED_VALUE"""),"LABUHAN DALAM")</f>
        <v>LABUHAN DALAM</v>
      </c>
      <c r="D4162" s="42"/>
      <c r="E4162" s="42"/>
      <c r="F4162" s="48" t="str">
        <f>IFERROR(__xludf.DUMMYFUNCTION("""COMPUTED_VALUE"""),"")</f>
        <v/>
      </c>
      <c r="G4162" s="42" t="str">
        <f>IFERROR(__xludf.DUMMYFUNCTION("""COMPUTED_VALUE"""),"TANAH MENTAH")</f>
        <v>TANAH MENTAH</v>
      </c>
      <c r="H4162" s="42">
        <f t="shared" si="1"/>
        <v>1831</v>
      </c>
    </row>
    <row r="4163" ht="22.5" customHeight="1">
      <c r="B4163" s="42"/>
      <c r="C4163" s="42" t="str">
        <f>IFERROR(__xludf.DUMMYFUNCTION("""COMPUTED_VALUE"""),"HM 138/GARUNTANG")</f>
        <v>HM 138/GARUNTANG</v>
      </c>
      <c r="D4163" s="42"/>
      <c r="E4163" s="42"/>
      <c r="F4163" s="48" t="str">
        <f>IFERROR(__xludf.DUMMYFUNCTION("""COMPUTED_VALUE"""),"")</f>
        <v/>
      </c>
      <c r="G4163" s="42" t="str">
        <f>IFERROR(__xludf.DUMMYFUNCTION("""COMPUTED_VALUE"""),"BN WARIS")</f>
        <v>BN WARIS</v>
      </c>
      <c r="H4163" s="42">
        <f t="shared" si="1"/>
        <v>1831</v>
      </c>
    </row>
    <row r="4164" ht="22.5" customHeight="1">
      <c r="B4164" s="42"/>
      <c r="C4164" s="42" t="str">
        <f>IFERROR(__xludf.DUMMYFUNCTION("""COMPUTED_VALUE"""),"M. 949/ Pelita")</f>
        <v>M. 949/ Pelita</v>
      </c>
      <c r="D4164" s="42" t="str">
        <f>IFERROR(__xludf.DUMMYFUNCTION("""COMPUTED_VALUE"""),"David")</f>
        <v>David</v>
      </c>
      <c r="E4164" s="42" t="str">
        <f>IFERROR(__xludf.DUMMYFUNCTION("""COMPUTED_VALUE"""),"DISERAHKAN")</f>
        <v>DISERAHKAN</v>
      </c>
      <c r="F4164" s="48">
        <f>IFERROR(__xludf.DUMMYFUNCTION("""COMPUTED_VALUE"""),45849.46732383102)</f>
        <v>45849.46732</v>
      </c>
      <c r="G4164" s="42" t="str">
        <f>IFERROR(__xludf.DUMMYFUNCTION("""COMPUTED_VALUE"""),"GANTI NAMA HT")</f>
        <v>GANTI NAMA HT</v>
      </c>
      <c r="H4164" s="42">
        <f t="shared" si="1"/>
        <v>1832</v>
      </c>
    </row>
    <row r="4165" ht="22.5" customHeight="1">
      <c r="B4165" s="42"/>
      <c r="C4165" s="42" t="str">
        <f>IFERROR(__xludf.DUMMYFUNCTION("""COMPUTED_VALUE"""),"Nibel 17254/ Kota Sepang")</f>
        <v>Nibel 17254/ Kota Sepang</v>
      </c>
      <c r="D4165" s="42"/>
      <c r="E4165" s="42"/>
      <c r="F4165" s="48" t="str">
        <f>IFERROR(__xludf.DUMMYFUNCTION("""COMPUTED_VALUE"""),"")</f>
        <v/>
      </c>
      <c r="G4165" s="42" t="str">
        <f>IFERROR(__xludf.DUMMYFUNCTION("""COMPUTED_VALUE"""),"BN JUAL BELI")</f>
        <v>BN JUAL BELI</v>
      </c>
      <c r="H4165" s="42">
        <f t="shared" si="1"/>
        <v>1832</v>
      </c>
    </row>
    <row r="4166" ht="22.5" customHeight="1">
      <c r="B4166" s="42"/>
      <c r="C4166" s="42" t="str">
        <f>IFERROR(__xludf.DUMMYFUNCTION("""COMPUTED_VALUE"""),"M.903/GOTONG ROYONG")</f>
        <v>M.903/GOTONG ROYONG</v>
      </c>
      <c r="D4166" s="42"/>
      <c r="E4166" s="42"/>
      <c r="F4166" s="48" t="str">
        <f>IFERROR(__xludf.DUMMYFUNCTION("""COMPUTED_VALUE"""),"")</f>
        <v/>
      </c>
      <c r="G4166" s="42" t="str">
        <f>IFERROR(__xludf.DUMMYFUNCTION("""COMPUTED_VALUE"""),"JUAL BELI")</f>
        <v>JUAL BELI</v>
      </c>
      <c r="H4166" s="42">
        <f t="shared" si="1"/>
        <v>1832</v>
      </c>
    </row>
    <row r="4167" ht="22.5" customHeight="1">
      <c r="B4167" s="42" t="str">
        <f>IFERROR(__xludf.DUMMYFUNCTION("""COMPUTED_VALUE"""),"K/19/140525/1")</f>
        <v>K/19/140525/1</v>
      </c>
      <c r="C4167" s="42" t="str">
        <f>IFERROR(__xludf.DUMMYFUNCTION("""COMPUTED_VALUE"""),"Nibel. M. 19137/ Gunung Agung")</f>
        <v>Nibel. M. 19137/ Gunung Agung</v>
      </c>
      <c r="D4167" s="42"/>
      <c r="E4167" s="42"/>
      <c r="F4167" s="48" t="str">
        <f>IFERROR(__xludf.DUMMYFUNCTION("""COMPUTED_VALUE"""),"")</f>
        <v/>
      </c>
      <c r="G4167" s="42" t="str">
        <f>IFERROR(__xludf.DUMMYFUNCTION("""COMPUTED_VALUE"""),"BN Jual Beli")</f>
        <v>BN Jual Beli</v>
      </c>
      <c r="H4167" s="42">
        <f t="shared" si="1"/>
        <v>1832</v>
      </c>
    </row>
    <row r="4168" ht="22.5" customHeight="1">
      <c r="B4168" s="42" t="str">
        <f>IFERROR(__xludf.DUMMYFUNCTION("""COMPUTED_VALUE"""),"K/20/140525/1")</f>
        <v>K/20/140525/1</v>
      </c>
      <c r="C4168" s="42" t="str">
        <f>IFERROR(__xludf.DUMMYFUNCTION("""COMPUTED_VALUE"""),"B.659/SUMBER AGUNG")</f>
        <v>B.659/SUMBER AGUNG</v>
      </c>
      <c r="D4168" s="42"/>
      <c r="E4168" s="42"/>
      <c r="F4168" s="48" t="str">
        <f>IFERROR(__xludf.DUMMYFUNCTION("""COMPUTED_VALUE"""),"")</f>
        <v/>
      </c>
      <c r="G4168" s="42" t="str">
        <f>IFERROR(__xludf.DUMMYFUNCTION("""COMPUTED_VALUE"""),"JUAL BELI")</f>
        <v>JUAL BELI</v>
      </c>
      <c r="H4168" s="42">
        <f t="shared" si="1"/>
        <v>1832</v>
      </c>
    </row>
    <row r="4169" ht="22.5" customHeight="1">
      <c r="B4169" s="42" t="str">
        <f>IFERROR(__xludf.DUMMYFUNCTION("""COMPUTED_VALUE"""),"K/18/140525/3")</f>
        <v>K/18/140525/3</v>
      </c>
      <c r="C4169" s="42" t="str">
        <f>IFERROR(__xludf.DUMMYFUNCTION("""COMPUTED_VALUE"""),"M. 1337/ Kelapa Tiga")</f>
        <v>M. 1337/ Kelapa Tiga</v>
      </c>
      <c r="D4169" s="42" t="str">
        <f>IFERROR(__xludf.DUMMYFUNCTION("""COMPUTED_VALUE"""),"Berry")</f>
        <v>Berry</v>
      </c>
      <c r="E4169" s="42" t="str">
        <f>IFERROR(__xludf.DUMMYFUNCTION("""COMPUTED_VALUE"""),"DISERAHKAN")</f>
        <v>DISERAHKAN</v>
      </c>
      <c r="F4169" s="48">
        <f>IFERROR(__xludf.DUMMYFUNCTION("""COMPUTED_VALUE"""),45812.59614425926)</f>
        <v>45812.59614</v>
      </c>
      <c r="G4169" s="42" t="str">
        <f>IFERROR(__xludf.DUMMYFUNCTION("""COMPUTED_VALUE"""),"BN JUAL BELI")</f>
        <v>BN JUAL BELI</v>
      </c>
      <c r="H4169" s="42">
        <f t="shared" si="1"/>
        <v>1833</v>
      </c>
    </row>
    <row r="4170" ht="22.5" customHeight="1">
      <c r="B4170" s="42" t="str">
        <f>IFERROR(__xludf.DUMMYFUNCTION("""COMPUTED_VALUE"""),"K/21/140525/1")</f>
        <v>K/21/140525/1</v>
      </c>
      <c r="C4170" s="42" t="str">
        <f>IFERROR(__xludf.DUMMYFUNCTION("""COMPUTED_VALUE"""),"B. 612/ Perumnas Way Kandis")</f>
        <v>B. 612/ Perumnas Way Kandis</v>
      </c>
      <c r="D4170" s="42" t="str">
        <f>IFERROR(__xludf.DUMMYFUNCTION("""COMPUTED_VALUE"""),"Berry")</f>
        <v>Berry</v>
      </c>
      <c r="E4170" s="42" t="str">
        <f>IFERROR(__xludf.DUMMYFUNCTION("""COMPUTED_VALUE"""),"DISERAHKAN")</f>
        <v>DISERAHKAN</v>
      </c>
      <c r="F4170" s="48">
        <f>IFERROR(__xludf.DUMMYFUNCTION("""COMPUTED_VALUE"""),45988.64042790509)</f>
        <v>45988.64043</v>
      </c>
      <c r="G4170" s="42" t="str">
        <f>IFERROR(__xludf.DUMMYFUNCTION("""COMPUTED_VALUE"""),"BN Waris")</f>
        <v>BN Waris</v>
      </c>
      <c r="H4170" s="42">
        <f t="shared" si="1"/>
        <v>1834</v>
      </c>
    </row>
    <row r="4171" ht="22.5" customHeight="1">
      <c r="B4171" s="42" t="str">
        <f>IFERROR(__xludf.DUMMYFUNCTION("""COMPUTED_VALUE"""),"K/22/140525/1")</f>
        <v>K/22/140525/1</v>
      </c>
      <c r="C4171" s="42" t="str">
        <f>IFERROR(__xludf.DUMMYFUNCTION("""COMPUTED_VALUE"""),"M.103/PINANG JAYA")</f>
        <v>M.103/PINANG JAYA</v>
      </c>
      <c r="D4171" s="42" t="str">
        <f>IFERROR(__xludf.DUMMYFUNCTION("""COMPUTED_VALUE"""),"Berry")</f>
        <v>Berry</v>
      </c>
      <c r="E4171" s="42" t="str">
        <f>IFERROR(__xludf.DUMMYFUNCTION("""COMPUTED_VALUE"""),"DISERAHKAN")</f>
        <v>DISERAHKAN</v>
      </c>
      <c r="F4171" s="48">
        <f>IFERROR(__xludf.DUMMYFUNCTION("""COMPUTED_VALUE"""),45805.68381189815)</f>
        <v>45805.68381</v>
      </c>
      <c r="G4171" s="42" t="str">
        <f>IFERROR(__xludf.DUMMYFUNCTION("""COMPUTED_VALUE"""),"JUAL BELI")</f>
        <v>JUAL BELI</v>
      </c>
      <c r="H4171" s="42">
        <f t="shared" si="1"/>
        <v>1835</v>
      </c>
    </row>
    <row r="4172" ht="22.5" customHeight="1">
      <c r="B4172" s="42" t="str">
        <f>IFERROR(__xludf.DUMMYFUNCTION("""COMPUTED_VALUE"""),"K/24/140525/1")</f>
        <v>K/24/140525/1</v>
      </c>
      <c r="C4172" s="42" t="str">
        <f>IFERROR(__xludf.DUMMYFUNCTION("""COMPUTED_VALUE"""),"M. 873/ Sumber Agung")</f>
        <v>M. 873/ Sumber Agung</v>
      </c>
      <c r="D4172" s="42" t="str">
        <f>IFERROR(__xludf.DUMMYFUNCTION("""COMPUTED_VALUE"""),"Berry")</f>
        <v>Berry</v>
      </c>
      <c r="E4172" s="42" t="str">
        <f>IFERROR(__xludf.DUMMYFUNCTION("""COMPUTED_VALUE"""),"DISERAHKAN")</f>
        <v>DISERAHKAN</v>
      </c>
      <c r="F4172" s="48">
        <f>IFERROR(__xludf.DUMMYFUNCTION("""COMPUTED_VALUE"""),45799.70622229167)</f>
        <v>45799.70622</v>
      </c>
      <c r="G4172" s="42" t="str">
        <f>IFERROR(__xludf.DUMMYFUNCTION("""COMPUTED_VALUE"""),"BN JUAL BELI")</f>
        <v>BN JUAL BELI</v>
      </c>
      <c r="H4172" s="42">
        <f t="shared" si="1"/>
        <v>1836</v>
      </c>
    </row>
    <row r="4173" ht="22.5" customHeight="1">
      <c r="B4173" s="42" t="str">
        <f>IFERROR(__xludf.DUMMYFUNCTION("""COMPUTED_VALUE"""),"K/23/140525/2")</f>
        <v>K/23/140525/2</v>
      </c>
      <c r="C4173" s="42" t="str">
        <f>IFERROR(__xludf.DUMMYFUNCTION("""COMPUTED_VALUE"""),"M.1047/TANJUNG SENENG")</f>
        <v>M.1047/TANJUNG SENENG</v>
      </c>
      <c r="D4173" s="42" t="str">
        <f>IFERROR(__xludf.DUMMYFUNCTION("""COMPUTED_VALUE"""),"Berry")</f>
        <v>Berry</v>
      </c>
      <c r="E4173" s="42" t="str">
        <f>IFERROR(__xludf.DUMMYFUNCTION("""COMPUTED_VALUE"""),"DISERAHKAN")</f>
        <v>DISERAHKAN</v>
      </c>
      <c r="F4173" s="48">
        <f>IFERROR(__xludf.DUMMYFUNCTION("""COMPUTED_VALUE"""),45819.80518710648)</f>
        <v>45819.80519</v>
      </c>
      <c r="G4173" s="42" t="str">
        <f>IFERROR(__xludf.DUMMYFUNCTION("""COMPUTED_VALUE"""),"JUAL BELI")</f>
        <v>JUAL BELI</v>
      </c>
      <c r="H4173" s="42">
        <f t="shared" si="1"/>
        <v>1837</v>
      </c>
    </row>
    <row r="4174" ht="22.5" customHeight="1">
      <c r="B4174" s="42" t="str">
        <f>IFERROR(__xludf.DUMMYFUNCTION("""COMPUTED_VALUE"""),"K/26/140525/1")</f>
        <v>K/26/140525/1</v>
      </c>
      <c r="C4174" s="42" t="str">
        <f>IFERROR(__xludf.DUMMYFUNCTION("""COMPUTED_VALUE"""),"M. 2963/ Langkapura")</f>
        <v>M. 2963/ Langkapura</v>
      </c>
      <c r="D4174" s="42"/>
      <c r="E4174" s="42"/>
      <c r="F4174" s="48" t="str">
        <f>IFERROR(__xludf.DUMMYFUNCTION("""COMPUTED_VALUE"""),"")</f>
        <v/>
      </c>
      <c r="G4174" s="42" t="str">
        <f>IFERROR(__xludf.DUMMYFUNCTION("""COMPUTED_VALUE"""),"PTPGT PEMECAHAN")</f>
        <v>PTPGT PEMECAHAN</v>
      </c>
      <c r="H4174" s="42">
        <f t="shared" si="1"/>
        <v>1837</v>
      </c>
    </row>
    <row r="4175" ht="22.5" customHeight="1">
      <c r="B4175" s="42" t="str">
        <f>IFERROR(__xludf.DUMMYFUNCTION("""COMPUTED_VALUE"""),"K/27/140525/1")</f>
        <v>K/27/140525/1</v>
      </c>
      <c r="C4175" s="42" t="str">
        <f>IFERROR(__xludf.DUMMYFUNCTION("""COMPUTED_VALUE"""),"M. 11742/ Sukarame")</f>
        <v>M. 11742/ Sukarame</v>
      </c>
      <c r="D4175" s="42" t="str">
        <f>IFERROR(__xludf.DUMMYFUNCTION("""COMPUTED_VALUE"""),"Berry")</f>
        <v>Berry</v>
      </c>
      <c r="E4175" s="42" t="str">
        <f>IFERROR(__xludf.DUMMYFUNCTION("""COMPUTED_VALUE"""),"DISERAHKAN")</f>
        <v>DISERAHKAN</v>
      </c>
      <c r="F4175" s="48">
        <f>IFERROR(__xludf.DUMMYFUNCTION("""COMPUTED_VALUE"""),45839.61790208334)</f>
        <v>45839.6179</v>
      </c>
      <c r="G4175" s="42" t="str">
        <f>IFERROR(__xludf.DUMMYFUNCTION("""COMPUTED_VALUE"""),"BN Jual Beli")</f>
        <v>BN Jual Beli</v>
      </c>
      <c r="H4175" s="42">
        <f t="shared" si="1"/>
        <v>1838</v>
      </c>
    </row>
    <row r="4176" ht="22.5" customHeight="1">
      <c r="B4176" s="42" t="str">
        <f>IFERROR(__xludf.DUMMYFUNCTION("""COMPUTED_VALUE"""),"K/28/140525/1")</f>
        <v>K/28/140525/1</v>
      </c>
      <c r="C4176" s="42" t="str">
        <f>IFERROR(__xludf.DUMMYFUNCTION("""COMPUTED_VALUE"""),"NIbel 18071/Rajabasa Nunyai")</f>
        <v>NIbel 18071/Rajabasa Nunyai</v>
      </c>
      <c r="D4176" s="42"/>
      <c r="E4176" s="42"/>
      <c r="F4176" s="48" t="str">
        <f>IFERROR(__xludf.DUMMYFUNCTION("""COMPUTED_VALUE"""),"")</f>
        <v/>
      </c>
      <c r="G4176" s="42" t="str">
        <f>IFERROR(__xludf.DUMMYFUNCTION("""COMPUTED_VALUE"""),"BN JUAL BELI")</f>
        <v>BN JUAL BELI</v>
      </c>
      <c r="H4176" s="42">
        <f t="shared" si="1"/>
        <v>1838</v>
      </c>
    </row>
    <row r="4177" ht="22.5" customHeight="1">
      <c r="B4177" s="42" t="str">
        <f>IFERROR(__xludf.DUMMYFUNCTION("""COMPUTED_VALUE"""),"K/25/140525/1")</f>
        <v>K/25/140525/1</v>
      </c>
      <c r="C4177" s="42" t="str">
        <f>IFERROR(__xludf.DUMMYFUNCTION("""COMPUTED_VALUE"""),"NIBEL M 16658/LABUHAN DALAM")</f>
        <v>NIBEL M 16658/LABUHAN DALAM</v>
      </c>
      <c r="D4177" s="42"/>
      <c r="E4177" s="42"/>
      <c r="F4177" s="48" t="str">
        <f>IFERROR(__xludf.DUMMYFUNCTION("""COMPUTED_VALUE"""),"")</f>
        <v/>
      </c>
      <c r="G4177" s="42" t="str">
        <f>IFERROR(__xludf.DUMMYFUNCTION("""COMPUTED_VALUE"""),"JUAL BELI")</f>
        <v>JUAL BELI</v>
      </c>
      <c r="H4177" s="42">
        <f t="shared" si="1"/>
        <v>1838</v>
      </c>
    </row>
    <row r="4178" ht="22.5" customHeight="1">
      <c r="B4178" s="42" t="str">
        <f>IFERROR(__xludf.DUMMYFUNCTION("""COMPUTED_VALUE"""),"K/29/140525/1")</f>
        <v>K/29/140525/1</v>
      </c>
      <c r="C4178" s="42" t="str">
        <f>IFERROR(__xludf.DUMMYFUNCTION("""COMPUTED_VALUE"""),"M.1238/PERUMNAS WAY KANDIS")</f>
        <v>M.1238/PERUMNAS WAY KANDIS</v>
      </c>
      <c r="D4178" s="42" t="str">
        <f>IFERROR(__xludf.DUMMYFUNCTION("""COMPUTED_VALUE"""),"Berry")</f>
        <v>Berry</v>
      </c>
      <c r="E4178" s="42" t="str">
        <f>IFERROR(__xludf.DUMMYFUNCTION("""COMPUTED_VALUE"""),"DISERAHKAN")</f>
        <v>DISERAHKAN</v>
      </c>
      <c r="F4178" s="48">
        <f>IFERROR(__xludf.DUMMYFUNCTION("""COMPUTED_VALUE"""),45819.61673700232)</f>
        <v>45819.61674</v>
      </c>
      <c r="G4178" s="42" t="str">
        <f>IFERROR(__xludf.DUMMYFUNCTION("""COMPUTED_VALUE"""),"JUAL BELI")</f>
        <v>JUAL BELI</v>
      </c>
      <c r="H4178" s="42">
        <f t="shared" si="1"/>
        <v>1839</v>
      </c>
    </row>
    <row r="4179" ht="22.5" customHeight="1">
      <c r="B4179" s="42" t="str">
        <f>IFERROR(__xludf.DUMMYFUNCTION("""COMPUTED_VALUE"""),"K/30/140525/2")</f>
        <v>K/30/140525/2</v>
      </c>
      <c r="C4179" s="42" t="str">
        <f>IFERROR(__xludf.DUMMYFUNCTION("""COMPUTED_VALUE"""),"M.5615/TANJUNG SENENG")</f>
        <v>M.5615/TANJUNG SENENG</v>
      </c>
      <c r="D4179" s="42" t="str">
        <f>IFERROR(__xludf.DUMMYFUNCTION("""COMPUTED_VALUE"""),"Berry")</f>
        <v>Berry</v>
      </c>
      <c r="E4179" s="42" t="str">
        <f>IFERROR(__xludf.DUMMYFUNCTION("""COMPUTED_VALUE"""),"DISERAHKAN")</f>
        <v>DISERAHKAN</v>
      </c>
      <c r="F4179" s="48">
        <f>IFERROR(__xludf.DUMMYFUNCTION("""COMPUTED_VALUE"""),45805.445917731486)</f>
        <v>45805.44592</v>
      </c>
      <c r="G4179" s="42" t="str">
        <f>IFERROR(__xludf.DUMMYFUNCTION("""COMPUTED_VALUE"""),"JUAL BELI")</f>
        <v>JUAL BELI</v>
      </c>
      <c r="H4179" s="42">
        <f t="shared" si="1"/>
        <v>1840</v>
      </c>
    </row>
    <row r="4180" ht="22.5" customHeight="1">
      <c r="B4180" s="42" t="str">
        <f>IFERROR(__xludf.DUMMYFUNCTION("""COMPUTED_VALUE"""),"L/1/150525/1")</f>
        <v>L/1/150525/1</v>
      </c>
      <c r="C4180" s="42" t="str">
        <f>IFERROR(__xludf.DUMMYFUNCTION("""COMPUTED_VALUE"""),"HGB 4664/BERINGIN RAYA")</f>
        <v>HGB 4664/BERINGIN RAYA</v>
      </c>
      <c r="D4180" s="42"/>
      <c r="E4180" s="42"/>
      <c r="F4180" s="48" t="str">
        <f>IFERROR(__xludf.DUMMYFUNCTION("""COMPUTED_VALUE"""),"")</f>
        <v/>
      </c>
      <c r="G4180" s="42" t="str">
        <f>IFERROR(__xludf.DUMMYFUNCTION("""COMPUTED_VALUE"""),"PH")</f>
        <v>PH</v>
      </c>
      <c r="H4180" s="42">
        <f t="shared" si="1"/>
        <v>1840</v>
      </c>
    </row>
    <row r="4181" ht="22.5" customHeight="1">
      <c r="B4181" s="42" t="str">
        <f>IFERROR(__xludf.DUMMYFUNCTION("""COMPUTED_VALUE"""),"K/2/150525/1")</f>
        <v>K/2/150525/1</v>
      </c>
      <c r="C4181" s="42" t="str">
        <f>IFERROR(__xludf.DUMMYFUNCTION("""COMPUTED_VALUE"""),"B. 3225/ Sukabumi")</f>
        <v>B. 3225/ Sukabumi</v>
      </c>
      <c r="D4181" s="42"/>
      <c r="E4181" s="42"/>
      <c r="F4181" s="48" t="str">
        <f>IFERROR(__xludf.DUMMYFUNCTION("""COMPUTED_VALUE"""),"")</f>
        <v/>
      </c>
      <c r="G4181" s="42" t="str">
        <f>IFERROR(__xludf.DUMMYFUNCTION("""COMPUTED_VALUE"""),"Perubahan Hak")</f>
        <v>Perubahan Hak</v>
      </c>
      <c r="H4181" s="42">
        <f t="shared" si="1"/>
        <v>1840</v>
      </c>
    </row>
    <row r="4182" ht="22.5" customHeight="1">
      <c r="B4182" s="42" t="str">
        <f>IFERROR(__xludf.DUMMYFUNCTION("""COMPUTED_VALUE"""),"K/3/150525/1")</f>
        <v>K/3/150525/1</v>
      </c>
      <c r="C4182" s="42" t="str">
        <f>IFERROR(__xludf.DUMMYFUNCTION("""COMPUTED_VALUE"""),"Nibel. B. 20533.4/ Kemiling Permai")</f>
        <v>Nibel. B. 20533.4/ Kemiling Permai</v>
      </c>
      <c r="D4182" s="42"/>
      <c r="E4182" s="42"/>
      <c r="F4182" s="48" t="str">
        <f>IFERROR(__xludf.DUMMYFUNCTION("""COMPUTED_VALUE"""),"")</f>
        <v/>
      </c>
      <c r="G4182" s="42" t="str">
        <f>IFERROR(__xludf.DUMMYFUNCTION("""COMPUTED_VALUE"""),"Perubahan Hak")</f>
        <v>Perubahan Hak</v>
      </c>
      <c r="H4182" s="42">
        <f t="shared" si="1"/>
        <v>1840</v>
      </c>
    </row>
    <row r="4183" ht="22.5" customHeight="1">
      <c r="B4183" s="42" t="str">
        <f>IFERROR(__xludf.DUMMYFUNCTION("""COMPUTED_VALUE"""),"K/4/150525/1")</f>
        <v>K/4/150525/1</v>
      </c>
      <c r="C4183" s="42" t="str">
        <f>IFERROR(__xludf.DUMMYFUNCTION("""COMPUTED_VALUE"""),"M.1869/PANJANG SELATAN")</f>
        <v>M.1869/PANJANG SELATAN</v>
      </c>
      <c r="D4183" s="42" t="str">
        <f>IFERROR(__xludf.DUMMYFUNCTION("""COMPUTED_VALUE"""),"David")</f>
        <v>David</v>
      </c>
      <c r="E4183" s="42" t="str">
        <f>IFERROR(__xludf.DUMMYFUNCTION("""COMPUTED_VALUE"""),"DISERAHKAN")</f>
        <v>DISERAHKAN</v>
      </c>
      <c r="F4183" s="48">
        <f>IFERROR(__xludf.DUMMYFUNCTION("""COMPUTED_VALUE"""),45813.48017623843)</f>
        <v>45813.48018</v>
      </c>
      <c r="G4183" s="42" t="str">
        <f>IFERROR(__xludf.DUMMYFUNCTION("""COMPUTED_VALUE"""),"ROYA")</f>
        <v>ROYA</v>
      </c>
      <c r="H4183" s="42">
        <f t="shared" si="1"/>
        <v>1841</v>
      </c>
    </row>
    <row r="4184" ht="22.5" customHeight="1">
      <c r="B4184" s="42" t="str">
        <f>IFERROR(__xludf.DUMMYFUNCTION("""COMPUTED_VALUE"""),"K/5/150525/1")</f>
        <v>K/5/150525/1</v>
      </c>
      <c r="C4184" s="42" t="str">
        <f>IFERROR(__xludf.DUMMYFUNCTION("""COMPUTED_VALUE"""),"M. 1884/ Langkapura")</f>
        <v>M. 1884/ Langkapura</v>
      </c>
      <c r="D4184" s="42" t="str">
        <f>IFERROR(__xludf.DUMMYFUNCTION("""COMPUTED_VALUE"""),"Berry")</f>
        <v>Berry</v>
      </c>
      <c r="E4184" s="42" t="str">
        <f>IFERROR(__xludf.DUMMYFUNCTION("""COMPUTED_VALUE"""),"DISERAHKAN")</f>
        <v>DISERAHKAN</v>
      </c>
      <c r="F4184" s="48">
        <f>IFERROR(__xludf.DUMMYFUNCTION("""COMPUTED_VALUE"""),45803.43808356482)</f>
        <v>45803.43808</v>
      </c>
      <c r="G4184" s="42" t="str">
        <f>IFERROR(__xludf.DUMMYFUNCTION("""COMPUTED_VALUE"""),"BN JUAL BELI")</f>
        <v>BN JUAL BELI</v>
      </c>
      <c r="H4184" s="42">
        <f t="shared" si="1"/>
        <v>1842</v>
      </c>
    </row>
    <row r="4185" ht="22.5" customHeight="1">
      <c r="B4185" s="42" t="str">
        <f>IFERROR(__xludf.DUMMYFUNCTION("""COMPUTED_VALUE"""),"L/6/150525/1")</f>
        <v>L/6/150525/1</v>
      </c>
      <c r="C4185" s="42" t="str">
        <f>IFERROR(__xludf.DUMMYFUNCTION("""COMPUTED_VALUE"""),"HM 401/KUPANG RAYA")</f>
        <v>HM 401/KUPANG RAYA</v>
      </c>
      <c r="D4185" s="42"/>
      <c r="E4185" s="42"/>
      <c r="F4185" s="48" t="str">
        <f>IFERROR(__xludf.DUMMYFUNCTION("""COMPUTED_VALUE"""),"")</f>
        <v/>
      </c>
      <c r="G4185" s="42" t="str">
        <f>IFERROR(__xludf.DUMMYFUNCTION("""COMPUTED_VALUE"""),"PENGHAPUSAN BPHTB")</f>
        <v>PENGHAPUSAN BPHTB</v>
      </c>
      <c r="H4185" s="42">
        <f t="shared" si="1"/>
        <v>1842</v>
      </c>
    </row>
    <row r="4186" ht="22.5" customHeight="1">
      <c r="B4186" s="42" t="str">
        <f>IFERROR(__xludf.DUMMYFUNCTION("""COMPUTED_VALUE"""),"L/12/150525/1")</f>
        <v>L/12/150525/1</v>
      </c>
      <c r="C4186" s="42" t="str">
        <f>IFERROR(__xludf.DUMMYFUNCTION("""COMPUTED_VALUE"""),"HM 337/GULAK GALIK")</f>
        <v>HM 337/GULAK GALIK</v>
      </c>
      <c r="D4186" s="42" t="str">
        <f>IFERROR(__xludf.DUMMYFUNCTION("""COMPUTED_VALUE"""),"Berry")</f>
        <v>Berry</v>
      </c>
      <c r="E4186" s="42" t="str">
        <f>IFERROR(__xludf.DUMMYFUNCTION("""COMPUTED_VALUE"""),"DISERAHKAN")</f>
        <v>DISERAHKAN</v>
      </c>
      <c r="F4186" s="48">
        <f>IFERROR(__xludf.DUMMYFUNCTION("""COMPUTED_VALUE"""),45812.60899717592)</f>
        <v>45812.609</v>
      </c>
      <c r="G4186" s="42" t="str">
        <f>IFERROR(__xludf.DUMMYFUNCTION("""COMPUTED_VALUE"""),"BN WARIS")</f>
        <v>BN WARIS</v>
      </c>
      <c r="H4186" s="42">
        <f t="shared" si="1"/>
        <v>1843</v>
      </c>
    </row>
    <row r="4187" ht="22.5" customHeight="1">
      <c r="B4187" s="42" t="str">
        <f>IFERROR(__xludf.DUMMYFUNCTION("""COMPUTED_VALUE"""),"K/8/150525/1")</f>
        <v>K/8/150525/1</v>
      </c>
      <c r="C4187" s="42" t="str">
        <f>IFERROR(__xludf.DUMMYFUNCTION("""COMPUTED_VALUE"""),"B. 658/ Sumber Agung")</f>
        <v>B. 658/ Sumber Agung</v>
      </c>
      <c r="D4187" s="42"/>
      <c r="E4187" s="42"/>
      <c r="F4187" s="48" t="str">
        <f>IFERROR(__xludf.DUMMYFUNCTION("""COMPUTED_VALUE"""),"")</f>
        <v/>
      </c>
      <c r="G4187" s="42" t="str">
        <f>IFERROR(__xludf.DUMMYFUNCTION("""COMPUTED_VALUE"""),"BN Jual Beli")</f>
        <v>BN Jual Beli</v>
      </c>
      <c r="H4187" s="42">
        <f t="shared" si="1"/>
        <v>1843</v>
      </c>
    </row>
    <row r="4188" ht="22.5" customHeight="1">
      <c r="B4188" s="42" t="str">
        <f>IFERROR(__xludf.DUMMYFUNCTION("""COMPUTED_VALUE"""),"K/9/150525/2")</f>
        <v>K/9/150525/2</v>
      </c>
      <c r="C4188" s="42" t="str">
        <f>IFERROR(__xludf.DUMMYFUNCTION("""COMPUTED_VALUE"""),"B. 655/ Sumber Agung")</f>
        <v>B. 655/ Sumber Agung</v>
      </c>
      <c r="D4188" s="42"/>
      <c r="E4188" s="42"/>
      <c r="F4188" s="48" t="str">
        <f>IFERROR(__xludf.DUMMYFUNCTION("""COMPUTED_VALUE"""),"")</f>
        <v/>
      </c>
      <c r="G4188" s="42" t="str">
        <f>IFERROR(__xludf.DUMMYFUNCTION("""COMPUTED_VALUE"""),"BN Jual Beli")</f>
        <v>BN Jual Beli</v>
      </c>
      <c r="H4188" s="42">
        <f t="shared" si="1"/>
        <v>1843</v>
      </c>
    </row>
    <row r="4189" ht="22.5" customHeight="1">
      <c r="B4189" s="42" t="str">
        <f>IFERROR(__xludf.DUMMYFUNCTION("""COMPUTED_VALUE"""),"K/7/150525/1")</f>
        <v>K/7/150525/1</v>
      </c>
      <c r="C4189" s="42" t="str">
        <f>IFERROR(__xludf.DUMMYFUNCTION("""COMPUTED_VALUE"""),"M.1021/GUNUNG AGUNG")</f>
        <v>M.1021/GUNUNG AGUNG</v>
      </c>
      <c r="D4189" s="42" t="str">
        <f>IFERROR(__xludf.DUMMYFUNCTION("""COMPUTED_VALUE"""),"Berry")</f>
        <v>Berry</v>
      </c>
      <c r="E4189" s="42" t="str">
        <f>IFERROR(__xludf.DUMMYFUNCTION("""COMPUTED_VALUE"""),"DISERAHKAN")</f>
        <v>DISERAHKAN</v>
      </c>
      <c r="F4189" s="48">
        <f>IFERROR(__xludf.DUMMYFUNCTION("""COMPUTED_VALUE"""),45805.68370638889)</f>
        <v>45805.68371</v>
      </c>
      <c r="G4189" s="42" t="str">
        <f>IFERROR(__xludf.DUMMYFUNCTION("""COMPUTED_VALUE"""),"JUAL BELI")</f>
        <v>JUAL BELI</v>
      </c>
      <c r="H4189" s="42">
        <f t="shared" si="1"/>
        <v>1844</v>
      </c>
    </row>
    <row r="4190" ht="22.5" customHeight="1">
      <c r="B4190" s="42" t="str">
        <f>IFERROR(__xludf.DUMMYFUNCTION("""COMPUTED_VALUE"""),"K/10/150525/3")</f>
        <v>K/10/150525/3</v>
      </c>
      <c r="C4190" s="42" t="str">
        <f>IFERROR(__xludf.DUMMYFUNCTION("""COMPUTED_VALUE"""),"B. 657/ Sumber Agung")</f>
        <v>B. 657/ Sumber Agung</v>
      </c>
      <c r="D4190" s="42"/>
      <c r="E4190" s="42"/>
      <c r="F4190" s="48" t="str">
        <f>IFERROR(__xludf.DUMMYFUNCTION("""COMPUTED_VALUE"""),"")</f>
        <v/>
      </c>
      <c r="G4190" s="42" t="str">
        <f>IFERROR(__xludf.DUMMYFUNCTION("""COMPUTED_VALUE"""),"BN Jual Beli")</f>
        <v>BN Jual Beli</v>
      </c>
      <c r="H4190" s="42">
        <f t="shared" si="1"/>
        <v>1844</v>
      </c>
    </row>
    <row r="4191" ht="22.5" customHeight="1">
      <c r="B4191" s="42" t="str">
        <f>IFERROR(__xludf.DUMMYFUNCTION("""COMPUTED_VALUE""")," K/11/150525/4")</f>
        <v> K/11/150525/4</v>
      </c>
      <c r="C4191" s="42" t="str">
        <f>IFERROR(__xludf.DUMMYFUNCTION("""COMPUTED_VALUE"""),"B. 631/ Sumber Agung")</f>
        <v>B. 631/ Sumber Agung</v>
      </c>
      <c r="D4191" s="42" t="str">
        <f>IFERROR(__xludf.DUMMYFUNCTION("""COMPUTED_VALUE"""),"Berry")</f>
        <v>Berry</v>
      </c>
      <c r="E4191" s="42" t="str">
        <f>IFERROR(__xludf.DUMMYFUNCTION("""COMPUTED_VALUE"""),"DISERAHKAN")</f>
        <v>DISERAHKAN</v>
      </c>
      <c r="F4191" s="48">
        <f>IFERROR(__xludf.DUMMYFUNCTION("""COMPUTED_VALUE"""),45803.43532025463)</f>
        <v>45803.43532</v>
      </c>
      <c r="G4191" s="42" t="str">
        <f>IFERROR(__xludf.DUMMYFUNCTION("""COMPUTED_VALUE"""),"BN Jual Beli")</f>
        <v>BN Jual Beli</v>
      </c>
      <c r="H4191" s="42">
        <f t="shared" si="1"/>
        <v>1845</v>
      </c>
    </row>
    <row r="4192" ht="22.5" customHeight="1">
      <c r="B4192" s="42" t="str">
        <f>IFERROR(__xludf.DUMMYFUNCTION("""COMPUTED_VALUE"""),"L/13/150525/1")</f>
        <v>L/13/150525/1</v>
      </c>
      <c r="C4192" s="42" t="str">
        <f>IFERROR(__xludf.DUMMYFUNCTION("""COMPUTED_VALUE"""),"HM 12852/SEGALA MIDER")</f>
        <v>HM 12852/SEGALA MIDER</v>
      </c>
      <c r="D4192" s="42" t="str">
        <f>IFERROR(__xludf.DUMMYFUNCTION("""COMPUTED_VALUE"""),"Berry")</f>
        <v>Berry</v>
      </c>
      <c r="E4192" s="42" t="str">
        <f>IFERROR(__xludf.DUMMYFUNCTION("""COMPUTED_VALUE"""),"DISERAHKAN")</f>
        <v>DISERAHKAN</v>
      </c>
      <c r="F4192" s="48">
        <f>IFERROR(__xludf.DUMMYFUNCTION("""COMPUTED_VALUE"""),45827.675066701384)</f>
        <v>45827.67507</v>
      </c>
      <c r="G4192" s="42" t="str">
        <f>IFERROR(__xludf.DUMMYFUNCTION("""COMPUTED_VALUE"""),"ROYA")</f>
        <v>ROYA</v>
      </c>
      <c r="H4192" s="42">
        <f t="shared" si="1"/>
        <v>1846</v>
      </c>
    </row>
    <row r="4193" ht="22.5" customHeight="1">
      <c r="B4193" s="42" t="str">
        <f>IFERROR(__xludf.DUMMYFUNCTION("""COMPUTED_VALUE"""),"L/14/150525/1")</f>
        <v>L/14/150525/1</v>
      </c>
      <c r="C4193" s="42" t="str">
        <f>IFERROR(__xludf.DUMMYFUNCTION("""COMPUTED_VALUE"""),"LANGKAPURA BARU")</f>
        <v>LANGKAPURA BARU</v>
      </c>
      <c r="D4193" s="42"/>
      <c r="E4193" s="42"/>
      <c r="F4193" s="48" t="str">
        <f>IFERROR(__xludf.DUMMYFUNCTION("""COMPUTED_VALUE"""),"")</f>
        <v/>
      </c>
      <c r="G4193" s="42" t="str">
        <f>IFERROR(__xludf.DUMMYFUNCTION("""COMPUTED_VALUE"""),"TANAH MENTAH")</f>
        <v>TANAH MENTAH</v>
      </c>
      <c r="H4193" s="42">
        <f t="shared" si="1"/>
        <v>1846</v>
      </c>
    </row>
    <row r="4194" ht="22.5" customHeight="1">
      <c r="B4194" s="42" t="str">
        <f>IFERROR(__xludf.DUMMYFUNCTION("""COMPUTED_VALUE"""),"K/15/150525/1")</f>
        <v>K/15/150525/1</v>
      </c>
      <c r="C4194" s="42" t="str">
        <f>IFERROR(__xludf.DUMMYFUNCTION("""COMPUTED_VALUE"""),"M. 354/NUSANTARA PERMAI")</f>
        <v>M. 354/NUSANTARA PERMAI</v>
      </c>
      <c r="D4194" s="42" t="str">
        <f>IFERROR(__xludf.DUMMYFUNCTION("""COMPUTED_VALUE"""),"Berry")</f>
        <v>Berry</v>
      </c>
      <c r="E4194" s="42" t="str">
        <f>IFERROR(__xludf.DUMMYFUNCTION("""COMPUTED_VALUE"""),"DISERAHKAN")</f>
        <v>DISERAHKAN</v>
      </c>
      <c r="F4194" s="48">
        <f>IFERROR(__xludf.DUMMYFUNCTION("""COMPUTED_VALUE"""),45819.6158640162)</f>
        <v>45819.61586</v>
      </c>
      <c r="G4194" s="42" t="str">
        <f>IFERROR(__xludf.DUMMYFUNCTION("""COMPUTED_VALUE"""),"JUAL BELI")</f>
        <v>JUAL BELI</v>
      </c>
      <c r="H4194" s="42">
        <f t="shared" si="1"/>
        <v>1847</v>
      </c>
    </row>
    <row r="4195" ht="22.5" customHeight="1">
      <c r="B4195" s="42" t="str">
        <f>IFERROR(__xludf.DUMMYFUNCTION("""COMPUTED_VALUE"""),"K/16/150525/1")</f>
        <v>K/16/150525/1</v>
      </c>
      <c r="C4195" s="42" t="str">
        <f>IFERROR(__xludf.DUMMYFUNCTION("""COMPUTED_VALUE"""),"B.1593/CAMPANG RAYA")</f>
        <v>B.1593/CAMPANG RAYA</v>
      </c>
      <c r="D4195" s="42" t="str">
        <f>IFERROR(__xludf.DUMMYFUNCTION("""COMPUTED_VALUE"""),"David")</f>
        <v>David</v>
      </c>
      <c r="E4195" s="42" t="str">
        <f>IFERROR(__xludf.DUMMYFUNCTION("""COMPUTED_VALUE"""),"DISERAHKAN")</f>
        <v>DISERAHKAN</v>
      </c>
      <c r="F4195" s="48">
        <f>IFERROR(__xludf.DUMMYFUNCTION("""COMPUTED_VALUE"""),45813.490226759255)</f>
        <v>45813.49023</v>
      </c>
      <c r="G4195" s="42" t="str">
        <f>IFERROR(__xludf.DUMMYFUNCTION("""COMPUTED_VALUE"""),"ROYA")</f>
        <v>ROYA</v>
      </c>
      <c r="H4195" s="42">
        <f t="shared" si="1"/>
        <v>1848</v>
      </c>
    </row>
    <row r="4196" ht="22.5" customHeight="1">
      <c r="B4196" s="42" t="str">
        <f>IFERROR(__xludf.DUMMYFUNCTION("""COMPUTED_VALUE"""),"L/17/150525/1")</f>
        <v>L/17/150525/1</v>
      </c>
      <c r="C4196" s="42" t="str">
        <f>IFERROR(__xludf.DUMMYFUNCTION("""COMPUTED_VALUE"""),"HM 560/RAJABASA PEMUKA")</f>
        <v>HM 560/RAJABASA PEMUKA</v>
      </c>
      <c r="D4196" s="42" t="str">
        <f>IFERROR(__xludf.DUMMYFUNCTION("""COMPUTED_VALUE"""),"Berry")</f>
        <v>Berry</v>
      </c>
      <c r="E4196" s="42" t="str">
        <f>IFERROR(__xludf.DUMMYFUNCTION("""COMPUTED_VALUE"""),"DISERAHKAN")</f>
        <v>DISERAHKAN</v>
      </c>
      <c r="F4196" s="48">
        <f>IFERROR(__xludf.DUMMYFUNCTION("""COMPUTED_VALUE"""),45798.432991319445)</f>
        <v>45798.43299</v>
      </c>
      <c r="G4196" s="42" t="str">
        <f>IFERROR(__xludf.DUMMYFUNCTION("""COMPUTED_VALUE"""),"PENGHAPUSAN BPHTB")</f>
        <v>PENGHAPUSAN BPHTB</v>
      </c>
      <c r="H4196" s="42">
        <f t="shared" si="1"/>
        <v>1849</v>
      </c>
    </row>
    <row r="4197" ht="22.5" customHeight="1">
      <c r="B4197" s="42" t="str">
        <f>IFERROR(__xludf.DUMMYFUNCTION("""COMPUTED_VALUE"""),"K/17/150525/1")</f>
        <v>K/17/150525/1</v>
      </c>
      <c r="C4197" s="42" t="str">
        <f>IFERROR(__xludf.DUMMYFUNCTION("""COMPUTED_VALUE"""),"M. 6342/ Gunung Sulah")</f>
        <v>M. 6342/ Gunung Sulah</v>
      </c>
      <c r="D4197" s="42" t="str">
        <f>IFERROR(__xludf.DUMMYFUNCTION("""COMPUTED_VALUE"""),"Berry")</f>
        <v>Berry</v>
      </c>
      <c r="E4197" s="42" t="str">
        <f>IFERROR(__xludf.DUMMYFUNCTION("""COMPUTED_VALUE"""),"DISERAHKAN")</f>
        <v>DISERAHKAN</v>
      </c>
      <c r="F4197" s="48">
        <f>IFERROR(__xludf.DUMMYFUNCTION("""COMPUTED_VALUE"""),45803.43548600694)</f>
        <v>45803.43549</v>
      </c>
      <c r="G4197" s="42" t="str">
        <f>IFERROR(__xludf.DUMMYFUNCTION("""COMPUTED_VALUE"""),"BN Jual Beli")</f>
        <v>BN Jual Beli</v>
      </c>
      <c r="H4197" s="42">
        <f t="shared" si="1"/>
        <v>1850</v>
      </c>
    </row>
    <row r="4198" ht="22.5" customHeight="1">
      <c r="B4198" s="42" t="str">
        <f>IFERROR(__xludf.DUMMYFUNCTION("""COMPUTED_VALUE"""),"K/16/150525/2")</f>
        <v>K/16/150525/2</v>
      </c>
      <c r="C4198" s="42" t="str">
        <f>IFERROR(__xludf.DUMMYFUNCTION("""COMPUTED_VALUE"""),"M. 934/ Labuhan Ratu Raya")</f>
        <v>M. 934/ Labuhan Ratu Raya</v>
      </c>
      <c r="D4198" s="42" t="str">
        <f>IFERROR(__xludf.DUMMYFUNCTION("""COMPUTED_VALUE"""),"Berry")</f>
        <v>Berry</v>
      </c>
      <c r="E4198" s="42" t="str">
        <f>IFERROR(__xludf.DUMMYFUNCTION("""COMPUTED_VALUE"""),"DISERAHKAN")</f>
        <v>DISERAHKAN</v>
      </c>
      <c r="F4198" s="48">
        <f>IFERROR(__xludf.DUMMYFUNCTION("""COMPUTED_VALUE"""),45819.80007321759)</f>
        <v>45819.80007</v>
      </c>
      <c r="G4198" s="42" t="str">
        <f>IFERROR(__xludf.DUMMYFUNCTION("""COMPUTED_VALUE"""),"BN JUAL BELI")</f>
        <v>BN JUAL BELI</v>
      </c>
      <c r="H4198" s="42">
        <f t="shared" si="1"/>
        <v>1851</v>
      </c>
    </row>
    <row r="4199" ht="22.5" customHeight="1">
      <c r="B4199" s="42" t="str">
        <f>IFERROR(__xludf.DUMMYFUNCTION("""COMPUTED_VALUE"""),"K/19/150525/1")</f>
        <v>K/19/150525/1</v>
      </c>
      <c r="C4199" s="42" t="str">
        <f>IFERROR(__xludf.DUMMYFUNCTION("""COMPUTED_VALUE"""),"M. 55/ korpri raya")</f>
        <v>M. 55/ korpri raya</v>
      </c>
      <c r="D4199" s="42"/>
      <c r="E4199" s="42"/>
      <c r="F4199" s="48" t="str">
        <f>IFERROR(__xludf.DUMMYFUNCTION("""COMPUTED_VALUE"""),"")</f>
        <v/>
      </c>
      <c r="G4199" s="42" t="str">
        <f>IFERROR(__xludf.DUMMYFUNCTION("""COMPUTED_VALUE"""),"BN WARIS")</f>
        <v>BN WARIS</v>
      </c>
      <c r="H4199" s="42">
        <f t="shared" si="1"/>
        <v>1851</v>
      </c>
    </row>
    <row r="4200" ht="22.5" customHeight="1">
      <c r="B4200" s="42" t="str">
        <f>IFERROR(__xludf.DUMMYFUNCTION("""COMPUTED_VALUE"""),"K/20/150525/1")</f>
        <v>K/20/150525/1</v>
      </c>
      <c r="C4200" s="42" t="str">
        <f>IFERROR(__xludf.DUMMYFUNCTION("""COMPUTED_VALUE"""),"B. 312/ Pematang Wangi")</f>
        <v>B. 312/ Pematang Wangi</v>
      </c>
      <c r="D4200" s="42"/>
      <c r="E4200" s="42"/>
      <c r="F4200" s="48" t="str">
        <f>IFERROR(__xludf.DUMMYFUNCTION("""COMPUTED_VALUE"""),"")</f>
        <v/>
      </c>
      <c r="G4200" s="42" t="str">
        <f>IFERROR(__xludf.DUMMYFUNCTION("""COMPUTED_VALUE"""),"Perubahan Hak")</f>
        <v>Perubahan Hak</v>
      </c>
      <c r="H4200" s="42">
        <f t="shared" si="1"/>
        <v>1851</v>
      </c>
    </row>
    <row r="4201" ht="22.5" customHeight="1">
      <c r="B4201" s="42" t="str">
        <f>IFERROR(__xludf.DUMMYFUNCTION("""COMPUTED_VALUE"""),"K/18/150525/1")</f>
        <v>K/18/150525/1</v>
      </c>
      <c r="C4201" s="42" t="str">
        <f>IFERROR(__xludf.DUMMYFUNCTION("""COMPUTED_VALUE"""),"M.400/SUKABUMI INDAH")</f>
        <v>M.400/SUKABUMI INDAH</v>
      </c>
      <c r="D4201" s="42" t="str">
        <f>IFERROR(__xludf.DUMMYFUNCTION("""COMPUTED_VALUE"""),"Berry")</f>
        <v>Berry</v>
      </c>
      <c r="E4201" s="42" t="str">
        <f>IFERROR(__xludf.DUMMYFUNCTION("""COMPUTED_VALUE"""),"DISERAHKAN")</f>
        <v>DISERAHKAN</v>
      </c>
      <c r="F4201" s="48">
        <f>IFERROR(__xludf.DUMMYFUNCTION("""COMPUTED_VALUE"""),45819.61752186343)</f>
        <v>45819.61752</v>
      </c>
      <c r="G4201" s="42" t="str">
        <f>IFERROR(__xludf.DUMMYFUNCTION("""COMPUTED_VALUE"""),"JUAL BELI")</f>
        <v>JUAL BELI</v>
      </c>
      <c r="H4201" s="42">
        <f t="shared" si="1"/>
        <v>1852</v>
      </c>
    </row>
    <row r="4202" ht="22.5" customHeight="1">
      <c r="B4202" s="42" t="str">
        <f>IFERROR(__xludf.DUMMYFUNCTION("""COMPUTED_VALUE"""),"K/21/150525/1")</f>
        <v>K/21/150525/1</v>
      </c>
      <c r="C4202" s="42" t="str">
        <f>IFERROR(__xludf.DUMMYFUNCTION("""COMPUTED_VALUE"""),"Nibel. B. 20995/ Kedamaian")</f>
        <v>Nibel. B. 20995/ Kedamaian</v>
      </c>
      <c r="D4202" s="42"/>
      <c r="E4202" s="42"/>
      <c r="F4202" s="48" t="str">
        <f>IFERROR(__xludf.DUMMYFUNCTION("""COMPUTED_VALUE"""),"")</f>
        <v/>
      </c>
      <c r="G4202" s="42" t="str">
        <f>IFERROR(__xludf.DUMMYFUNCTION("""COMPUTED_VALUE"""),"BN Jual Beli")</f>
        <v>BN Jual Beli</v>
      </c>
      <c r="H4202" s="42">
        <f t="shared" si="1"/>
        <v>1852</v>
      </c>
    </row>
    <row r="4203" ht="22.5" customHeight="1">
      <c r="B4203" s="42" t="str">
        <f>IFERROR(__xludf.DUMMYFUNCTION("""COMPUTED_VALUE"""),"K/22/150525/1")</f>
        <v>K/22/150525/1</v>
      </c>
      <c r="C4203" s="42" t="str">
        <f>IFERROR(__xludf.DUMMYFUNCTION("""COMPUTED_VALUE"""),"TANAH MENTAH")</f>
        <v>TANAH MENTAH</v>
      </c>
      <c r="D4203" s="42"/>
      <c r="E4203" s="42"/>
      <c r="F4203" s="48" t="str">
        <f>IFERROR(__xludf.DUMMYFUNCTION("""COMPUTED_VALUE"""),"")</f>
        <v/>
      </c>
      <c r="G4203" s="42" t="str">
        <f>IFERROR(__xludf.DUMMYFUNCTION("""COMPUTED_VALUE"""),"PENGUKURAN PERTAMA KALI")</f>
        <v>PENGUKURAN PERTAMA KALI</v>
      </c>
      <c r="H4203" s="42">
        <f t="shared" si="1"/>
        <v>1852</v>
      </c>
    </row>
    <row r="4204" ht="22.5" customHeight="1">
      <c r="B4204" s="42" t="str">
        <f>IFERROR(__xludf.DUMMYFUNCTION("""COMPUTED_VALUE"""),"K/23/150525/1")</f>
        <v>K/23/150525/1</v>
      </c>
      <c r="C4204" s="42" t="str">
        <f>IFERROR(__xludf.DUMMYFUNCTION("""COMPUTED_VALUE"""),"M. 1214/ Negeri Olok Gading")</f>
        <v>M. 1214/ Negeri Olok Gading</v>
      </c>
      <c r="D4204" s="42" t="str">
        <f>IFERROR(__xludf.DUMMYFUNCTION("""COMPUTED_VALUE"""),"David")</f>
        <v>David</v>
      </c>
      <c r="E4204" s="42" t="str">
        <f>IFERROR(__xludf.DUMMYFUNCTION("""COMPUTED_VALUE"""),"DISERAHKAN")</f>
        <v>DISERAHKAN</v>
      </c>
      <c r="F4204" s="48">
        <f>IFERROR(__xludf.DUMMYFUNCTION("""COMPUTED_VALUE"""),45824.63146201389)</f>
        <v>45824.63146</v>
      </c>
      <c r="G4204" s="42" t="str">
        <f>IFERROR(__xludf.DUMMYFUNCTION("""COMPUTED_VALUE"""),"ROYA")</f>
        <v>ROYA</v>
      </c>
      <c r="H4204" s="42">
        <f t="shared" si="1"/>
        <v>1853</v>
      </c>
    </row>
    <row r="4205" ht="22.5" customHeight="1">
      <c r="B4205" s="42" t="str">
        <f>IFERROR(__xludf.DUMMYFUNCTION("""COMPUTED_VALUE"""),"K/24/150525/2")</f>
        <v>K/24/150525/2</v>
      </c>
      <c r="C4205" s="42" t="str">
        <f>IFERROR(__xludf.DUMMYFUNCTION("""COMPUTED_VALUE"""),"M. 2164/ Kota Baru")</f>
        <v>M. 2164/ Kota Baru</v>
      </c>
      <c r="D4205" s="42" t="str">
        <f>IFERROR(__xludf.DUMMYFUNCTION("""COMPUTED_VALUE"""),"David")</f>
        <v>David</v>
      </c>
      <c r="E4205" s="42" t="str">
        <f>IFERROR(__xludf.DUMMYFUNCTION("""COMPUTED_VALUE"""),"DISERAHKAN")</f>
        <v>DISERAHKAN</v>
      </c>
      <c r="F4205" s="48">
        <f>IFERROR(__xludf.DUMMYFUNCTION("""COMPUTED_VALUE"""),45824.62636829861)</f>
        <v>45824.62637</v>
      </c>
      <c r="G4205" s="42" t="str">
        <f>IFERROR(__xludf.DUMMYFUNCTION("""COMPUTED_VALUE"""),"GANT NAMA HT")</f>
        <v>GANT NAMA HT</v>
      </c>
      <c r="H4205" s="42">
        <f t="shared" si="1"/>
        <v>1854</v>
      </c>
    </row>
    <row r="4206" ht="22.5" customHeight="1">
      <c r="B4206" s="42" t="str">
        <f>IFERROR(__xludf.DUMMYFUNCTION("""COMPUTED_VALUE"""),"K/25/150525/3")</f>
        <v>K/25/150525/3</v>
      </c>
      <c r="C4206" s="42" t="str">
        <f>IFERROR(__xludf.DUMMYFUNCTION("""COMPUTED_VALUE"""),"M. 11256/ sukabumi")</f>
        <v>M. 11256/ sukabumi</v>
      </c>
      <c r="D4206" s="42"/>
      <c r="E4206" s="42"/>
      <c r="F4206" s="48" t="str">
        <f>IFERROR(__xludf.DUMMYFUNCTION("""COMPUTED_VALUE"""),"")</f>
        <v/>
      </c>
      <c r="G4206" s="42" t="str">
        <f>IFERROR(__xludf.DUMMYFUNCTION("""COMPUTED_VALUE"""),"GANTI NAMA HT")</f>
        <v>GANTI NAMA HT</v>
      </c>
      <c r="H4206" s="42">
        <f t="shared" si="1"/>
        <v>1854</v>
      </c>
    </row>
    <row r="4207" ht="22.5" customHeight="1">
      <c r="B4207" s="42" t="str">
        <f>IFERROR(__xludf.DUMMYFUNCTION("""COMPUTED_VALUE"""),"K/26/150525/4")</f>
        <v>K/26/150525/4</v>
      </c>
      <c r="C4207" s="42" t="str">
        <f>IFERROR(__xludf.DUMMYFUNCTION("""COMPUTED_VALUE"""),"M. 2165/ Kota Baru")</f>
        <v>M. 2165/ Kota Baru</v>
      </c>
      <c r="D4207" s="42" t="str">
        <f>IFERROR(__xludf.DUMMYFUNCTION("""COMPUTED_VALUE"""),"David")</f>
        <v>David</v>
      </c>
      <c r="E4207" s="42" t="str">
        <f>IFERROR(__xludf.DUMMYFUNCTION("""COMPUTED_VALUE"""),"DISERAHKAN")</f>
        <v>DISERAHKAN</v>
      </c>
      <c r="F4207" s="48">
        <f>IFERROR(__xludf.DUMMYFUNCTION("""COMPUTED_VALUE"""),45813.478733449076)</f>
        <v>45813.47873</v>
      </c>
      <c r="G4207" s="42" t="str">
        <f>IFERROR(__xludf.DUMMYFUNCTION("""COMPUTED_VALUE"""),"GANTI NAMA HT")</f>
        <v>GANTI NAMA HT</v>
      </c>
      <c r="H4207" s="42">
        <f t="shared" si="1"/>
        <v>1855</v>
      </c>
    </row>
    <row r="4208" ht="22.5" customHeight="1">
      <c r="B4208" s="42" t="str">
        <f>IFERROR(__xludf.DUMMYFUNCTION("""COMPUTED_VALUE"""),"K/27/150525/5")</f>
        <v>K/27/150525/5</v>
      </c>
      <c r="C4208" s="42" t="str">
        <f>IFERROR(__xludf.DUMMYFUNCTION("""COMPUTED_VALUE"""),"M. 1675/ Negeri Olok Gading")</f>
        <v>M. 1675/ Negeri Olok Gading</v>
      </c>
      <c r="D4208" s="42"/>
      <c r="E4208" s="42"/>
      <c r="F4208" s="48" t="str">
        <f>IFERROR(__xludf.DUMMYFUNCTION("""COMPUTED_VALUE"""),"")</f>
        <v/>
      </c>
      <c r="G4208" s="42" t="str">
        <f>IFERROR(__xludf.DUMMYFUNCTION("""COMPUTED_VALUE"""),"GANTI NAMA HT")</f>
        <v>GANTI NAMA HT</v>
      </c>
      <c r="H4208" s="42">
        <f t="shared" si="1"/>
        <v>1855</v>
      </c>
    </row>
    <row r="4209" ht="22.5" customHeight="1">
      <c r="B4209" s="42" t="str">
        <f>IFERROR(__xludf.DUMMYFUNCTION("""COMPUTED_VALUE"""),"K/28/150525/1")</f>
        <v>K/28/150525/1</v>
      </c>
      <c r="C4209" s="42" t="str">
        <f>IFERROR(__xludf.DUMMYFUNCTION("""COMPUTED_VALUE"""),"M. 16682/ Sukabumi")</f>
        <v>M. 16682/ Sukabumi</v>
      </c>
      <c r="D4209" s="42" t="str">
        <f>IFERROR(__xludf.DUMMYFUNCTION("""COMPUTED_VALUE"""),"Berry")</f>
        <v>Berry</v>
      </c>
      <c r="E4209" s="42" t="str">
        <f>IFERROR(__xludf.DUMMYFUNCTION("""COMPUTED_VALUE"""),"DISERAHKAN")</f>
        <v>DISERAHKAN</v>
      </c>
      <c r="F4209" s="48">
        <f>IFERROR(__xludf.DUMMYFUNCTION("""COMPUTED_VALUE"""),45824.465849201384)</f>
        <v>45824.46585</v>
      </c>
      <c r="G4209" s="42" t="str">
        <f>IFERROR(__xludf.DUMMYFUNCTION("""COMPUTED_VALUE"""),"BN JUAL BELI")</f>
        <v>BN JUAL BELI</v>
      </c>
      <c r="H4209" s="42">
        <f t="shared" si="1"/>
        <v>1856</v>
      </c>
    </row>
    <row r="4210" ht="22.5" customHeight="1">
      <c r="B4210" s="42" t="str">
        <f>IFERROR(__xludf.DUMMYFUNCTION("""COMPUTED_VALUE"""),"K/29/150525/1")</f>
        <v>K/29/150525/1</v>
      </c>
      <c r="C4210" s="42" t="str">
        <f>IFERROR(__xludf.DUMMYFUNCTION("""COMPUTED_VALUE"""),"M.942/SUKABUMI INDAH")</f>
        <v>M.942/SUKABUMI INDAH</v>
      </c>
      <c r="D4210" s="42" t="str">
        <f>IFERROR(__xludf.DUMMYFUNCTION("""COMPUTED_VALUE"""),"Berry")</f>
        <v>Berry</v>
      </c>
      <c r="E4210" s="42" t="str">
        <f>IFERROR(__xludf.DUMMYFUNCTION("""COMPUTED_VALUE"""),"DISERAHKAN")</f>
        <v>DISERAHKAN</v>
      </c>
      <c r="F4210" s="48">
        <f>IFERROR(__xludf.DUMMYFUNCTION("""COMPUTED_VALUE"""),45805.683283715276)</f>
        <v>45805.68328</v>
      </c>
      <c r="G4210" s="42" t="str">
        <f>IFERROR(__xludf.DUMMYFUNCTION("""COMPUTED_VALUE"""),"JUAL BELI")</f>
        <v>JUAL BELI</v>
      </c>
      <c r="H4210" s="42">
        <f t="shared" si="1"/>
        <v>1857</v>
      </c>
    </row>
    <row r="4211" ht="22.5" customHeight="1">
      <c r="B4211" s="42" t="str">
        <f>IFERROR(__xludf.DUMMYFUNCTION("""COMPUTED_VALUE"""),"K/30/150525/1")</f>
        <v>K/30/150525/1</v>
      </c>
      <c r="C4211" s="42" t="str">
        <f>IFERROR(__xludf.DUMMYFUNCTION("""COMPUTED_VALUE"""),"Nibel. M. 18084/ Labuhan Dalam")</f>
        <v>Nibel. M. 18084/ Labuhan Dalam</v>
      </c>
      <c r="D4211" s="42"/>
      <c r="E4211" s="42"/>
      <c r="F4211" s="48" t="str">
        <f>IFERROR(__xludf.DUMMYFUNCTION("""COMPUTED_VALUE"""),"")</f>
        <v/>
      </c>
      <c r="G4211" s="42" t="str">
        <f>IFERROR(__xludf.DUMMYFUNCTION("""COMPUTED_VALUE"""),"BN Jual Beli")</f>
        <v>BN Jual Beli</v>
      </c>
      <c r="H4211" s="42">
        <f t="shared" si="1"/>
        <v>1857</v>
      </c>
    </row>
    <row r="4212" ht="22.5" customHeight="1">
      <c r="B4212" s="42" t="str">
        <f>IFERROR(__xludf.DUMMYFUNCTION("""COMPUTED_VALUE"""),"K/31/150525/1")</f>
        <v>K/31/150525/1</v>
      </c>
      <c r="C4212" s="42" t="str">
        <f>IFERROR(__xludf.DUMMYFUNCTION("""COMPUTED_VALUE"""),"M. 764/ Sukabumi Indah")</f>
        <v>M. 764/ Sukabumi Indah</v>
      </c>
      <c r="D4212" s="42"/>
      <c r="E4212" s="42"/>
      <c r="F4212" s="48" t="str">
        <f>IFERROR(__xludf.DUMMYFUNCTION("""COMPUTED_VALUE"""),"")</f>
        <v/>
      </c>
      <c r="G4212" s="42" t="str">
        <f>IFERROR(__xludf.DUMMYFUNCTION("""COMPUTED_VALUE"""),"BN Jual Beli")</f>
        <v>BN Jual Beli</v>
      </c>
      <c r="H4212" s="42">
        <f t="shared" si="1"/>
        <v>1857</v>
      </c>
    </row>
    <row r="4213" ht="22.5" customHeight="1">
      <c r="B4213" s="42" t="str">
        <f>IFERROR(__xludf.DUMMYFUNCTION("""COMPUTED_VALUE""")," K/32/150525/2")</f>
        <v> K/32/150525/2</v>
      </c>
      <c r="C4213" s="42" t="str">
        <f>IFERROR(__xludf.DUMMYFUNCTION("""COMPUTED_VALUE"""),"M. 10106/ Gedung Meneng")</f>
        <v>M. 10106/ Gedung Meneng</v>
      </c>
      <c r="D4213" s="42"/>
      <c r="E4213" s="42"/>
      <c r="F4213" s="48" t="str">
        <f>IFERROR(__xludf.DUMMYFUNCTION("""COMPUTED_VALUE"""),"")</f>
        <v/>
      </c>
      <c r="G4213" s="42" t="str">
        <f>IFERROR(__xludf.DUMMYFUNCTION("""COMPUTED_VALUE"""),"BN Jual Beli")</f>
        <v>BN Jual Beli</v>
      </c>
      <c r="H4213" s="42">
        <f t="shared" si="1"/>
        <v>1857</v>
      </c>
    </row>
    <row r="4214" ht="22.5" customHeight="1">
      <c r="B4214" s="42" t="str">
        <f>IFERROR(__xludf.DUMMYFUNCTION("""COMPUTED_VALUE"""),"K/34/150525/1")</f>
        <v>K/34/150525/1</v>
      </c>
      <c r="C4214" s="42" t="str">
        <f>IFERROR(__xludf.DUMMYFUNCTION("""COMPUTED_VALUE"""),"M.964/ Langkapura")</f>
        <v>M.964/ Langkapura</v>
      </c>
      <c r="D4214" s="42"/>
      <c r="E4214" s="42"/>
      <c r="F4214" s="48" t="str">
        <f>IFERROR(__xludf.DUMMYFUNCTION("""COMPUTED_VALUE"""),"")</f>
        <v/>
      </c>
      <c r="G4214" s="42" t="str">
        <f>IFERROR(__xludf.DUMMYFUNCTION("""COMPUTED_VALUE"""),"PTPGT (Pemisahan)")</f>
        <v>PTPGT (Pemisahan)</v>
      </c>
      <c r="H4214" s="42">
        <f t="shared" si="1"/>
        <v>1857</v>
      </c>
    </row>
    <row r="4215" ht="22.5" customHeight="1">
      <c r="B4215" s="42" t="str">
        <f>IFERROR(__xludf.DUMMYFUNCTION("""COMPUTED_VALUE"""),"K/35/150525/1")</f>
        <v>K/35/150525/1</v>
      </c>
      <c r="C4215" s="42" t="str">
        <f>IFERROR(__xludf.DUMMYFUNCTION("""COMPUTED_VALUE"""),"Nibel 4395/ Kali Balau Kencana")</f>
        <v>Nibel 4395/ Kali Balau Kencana</v>
      </c>
      <c r="D4215" s="42"/>
      <c r="E4215" s="42"/>
      <c r="F4215" s="48" t="str">
        <f>IFERROR(__xludf.DUMMYFUNCTION("""COMPUTED_VALUE"""),"")</f>
        <v/>
      </c>
      <c r="G4215" s="42" t="str">
        <f>IFERROR(__xludf.DUMMYFUNCTION("""COMPUTED_VALUE"""),"BN HIBAH")</f>
        <v>BN HIBAH</v>
      </c>
      <c r="H4215" s="42">
        <f t="shared" si="1"/>
        <v>1857</v>
      </c>
    </row>
    <row r="4216" ht="22.5" customHeight="1">
      <c r="B4216" s="42" t="str">
        <f>IFERROR(__xludf.DUMMYFUNCTION("""COMPUTED_VALUE"""),"K/36/150525/2")</f>
        <v>K/36/150525/2</v>
      </c>
      <c r="C4216" s="42" t="str">
        <f>IFERROR(__xludf.DUMMYFUNCTION("""COMPUTED_VALUE"""),"Nibel 4394/ Kali Balau Kencana")</f>
        <v>Nibel 4394/ Kali Balau Kencana</v>
      </c>
      <c r="D4216" s="42"/>
      <c r="E4216" s="42"/>
      <c r="F4216" s="48" t="str">
        <f>IFERROR(__xludf.DUMMYFUNCTION("""COMPUTED_VALUE"""),"")</f>
        <v/>
      </c>
      <c r="G4216" s="42" t="str">
        <f>IFERROR(__xludf.DUMMYFUNCTION("""COMPUTED_VALUE"""),"BN HIBAH")</f>
        <v>BN HIBAH</v>
      </c>
      <c r="H4216" s="42">
        <f t="shared" si="1"/>
        <v>1857</v>
      </c>
    </row>
    <row r="4217" ht="22.5" customHeight="1">
      <c r="B4217" s="42" t="str">
        <f>IFERROR(__xludf.DUMMYFUNCTION("""COMPUTED_VALUE"""),"K/37/150525/3")</f>
        <v>K/37/150525/3</v>
      </c>
      <c r="C4217" s="42" t="str">
        <f>IFERROR(__xludf.DUMMYFUNCTION("""COMPUTED_VALUE"""),"Nibel 19666/ Tanjung Baru")</f>
        <v>Nibel 19666/ Tanjung Baru</v>
      </c>
      <c r="D4217" s="42"/>
      <c r="E4217" s="42"/>
      <c r="F4217" s="48" t="str">
        <f>IFERROR(__xludf.DUMMYFUNCTION("""COMPUTED_VALUE"""),"")</f>
        <v/>
      </c>
      <c r="G4217" s="42" t="str">
        <f>IFERROR(__xludf.DUMMYFUNCTION("""COMPUTED_VALUE"""),"BN JUAL BELI")</f>
        <v>BN JUAL BELI</v>
      </c>
      <c r="H4217" s="42">
        <f t="shared" si="1"/>
        <v>1857</v>
      </c>
    </row>
    <row r="4218" ht="22.5" customHeight="1">
      <c r="B4218" s="42" t="str">
        <f>IFERROR(__xludf.DUMMYFUNCTION("""COMPUTED_VALUE"""),"K/33/150525/1")</f>
        <v>K/33/150525/1</v>
      </c>
      <c r="C4218" s="42" t="str">
        <f>IFERROR(__xludf.DUMMYFUNCTION("""COMPUTED_VALUE"""),"NIBEL M 1725/SUKARAME BARU")</f>
        <v>NIBEL M 1725/SUKARAME BARU</v>
      </c>
      <c r="D4218" s="42"/>
      <c r="E4218" s="42"/>
      <c r="F4218" s="48" t="str">
        <f>IFERROR(__xludf.DUMMYFUNCTION("""COMPUTED_VALUE"""),"")</f>
        <v/>
      </c>
      <c r="G4218" s="42" t="str">
        <f>IFERROR(__xludf.DUMMYFUNCTION("""COMPUTED_VALUE"""),"JUAL BELI")</f>
        <v>JUAL BELI</v>
      </c>
      <c r="H4218" s="42">
        <f t="shared" si="1"/>
        <v>1857</v>
      </c>
    </row>
    <row r="4219" ht="22.5" customHeight="1">
      <c r="B4219" s="42" t="str">
        <f>IFERROR(__xludf.DUMMYFUNCTION("""COMPUTED_VALUE"""),"K/38/150525/1")</f>
        <v>K/38/150525/1</v>
      </c>
      <c r="C4219" s="42" t="str">
        <f>IFERROR(__xludf.DUMMYFUNCTION("""COMPUTED_VALUE"""),"M.14374/RAJABASA")</f>
        <v>M.14374/RAJABASA</v>
      </c>
      <c r="D4219" s="42" t="str">
        <f>IFERROR(__xludf.DUMMYFUNCTION("""COMPUTED_VALUE"""),"Berry")</f>
        <v>Berry</v>
      </c>
      <c r="E4219" s="42" t="str">
        <f>IFERROR(__xludf.DUMMYFUNCTION("""COMPUTED_VALUE"""),"DISERAHKAN")</f>
        <v>DISERAHKAN</v>
      </c>
      <c r="F4219" s="48">
        <f>IFERROR(__xludf.DUMMYFUNCTION("""COMPUTED_VALUE"""),45805.68443136574)</f>
        <v>45805.68443</v>
      </c>
      <c r="G4219" s="42" t="str">
        <f>IFERROR(__xludf.DUMMYFUNCTION("""COMPUTED_VALUE"""),"JUAL BELI")</f>
        <v>JUAL BELI</v>
      </c>
      <c r="H4219" s="42">
        <f t="shared" si="1"/>
        <v>1858</v>
      </c>
    </row>
    <row r="4220" ht="22.5" customHeight="1">
      <c r="B4220" s="42" t="str">
        <f>IFERROR(__xludf.DUMMYFUNCTION("""COMPUTED_VALUE"""),"K/40/150525/1")</f>
        <v>K/40/150525/1</v>
      </c>
      <c r="C4220" s="42" t="str">
        <f>IFERROR(__xludf.DUMMYFUNCTION("""COMPUTED_VALUE"""),"M. 742/ Tanjung Gading")</f>
        <v>M. 742/ Tanjung Gading</v>
      </c>
      <c r="D4220" s="42" t="str">
        <f>IFERROR(__xludf.DUMMYFUNCTION("""COMPUTED_VALUE"""),"David")</f>
        <v>David</v>
      </c>
      <c r="E4220" s="42" t="str">
        <f>IFERROR(__xludf.DUMMYFUNCTION("""COMPUTED_VALUE"""),"DISERAHKAN")</f>
        <v>DISERAHKAN</v>
      </c>
      <c r="F4220" s="48">
        <f>IFERROR(__xludf.DUMMYFUNCTION("""COMPUTED_VALUE"""),45855.65206663194)</f>
        <v>45855.65207</v>
      </c>
      <c r="G4220" s="42" t="str">
        <f>IFERROR(__xludf.DUMMYFUNCTION("""COMPUTED_VALUE"""),"ROYA")</f>
        <v>ROYA</v>
      </c>
      <c r="H4220" s="42">
        <f t="shared" si="1"/>
        <v>1859</v>
      </c>
    </row>
    <row r="4221" ht="22.5" customHeight="1">
      <c r="B4221" s="42" t="str">
        <f>IFERROR(__xludf.DUMMYFUNCTION("""COMPUTED_VALUE"""),"L/41/150525/1")</f>
        <v>L/41/150525/1</v>
      </c>
      <c r="C4221" s="42" t="str">
        <f>IFERROR(__xludf.DUMMYFUNCTION("""COMPUTED_VALUE"""),"NIB 20566/TANJUNG SENANG")</f>
        <v>NIB 20566/TANJUNG SENANG</v>
      </c>
      <c r="D4221" s="42"/>
      <c r="E4221" s="42"/>
      <c r="F4221" s="48" t="str">
        <f>IFERROR(__xludf.DUMMYFUNCTION("""COMPUTED_VALUE"""),"")</f>
        <v/>
      </c>
      <c r="G4221" s="42" t="str">
        <f>IFERROR(__xludf.DUMMYFUNCTION("""COMPUTED_VALUE"""),"PTPGT")</f>
        <v>PTPGT</v>
      </c>
      <c r="H4221" s="42">
        <f t="shared" si="1"/>
        <v>1859</v>
      </c>
    </row>
    <row r="4222" ht="22.5" customHeight="1">
      <c r="B4222" s="42" t="str">
        <f>IFERROR(__xludf.DUMMYFUNCTION("""COMPUTED_VALUE"""),"K/42/150525/1")</f>
        <v>K/42/150525/1</v>
      </c>
      <c r="C4222" s="42" t="str">
        <f>IFERROR(__xludf.DUMMYFUNCTION("""COMPUTED_VALUE"""),"Nibel. M. 6068/ Gunung Sulah")</f>
        <v>Nibel. M. 6068/ Gunung Sulah</v>
      </c>
      <c r="D4222" s="42"/>
      <c r="E4222" s="42"/>
      <c r="F4222" s="48" t="str">
        <f>IFERROR(__xludf.DUMMYFUNCTION("""COMPUTED_VALUE"""),"")</f>
        <v/>
      </c>
      <c r="G4222" s="42" t="str">
        <f>IFERROR(__xludf.DUMMYFUNCTION("""COMPUTED_VALUE"""),"BN Jual Beli")</f>
        <v>BN Jual Beli</v>
      </c>
      <c r="H4222" s="42">
        <f t="shared" si="1"/>
        <v>1859</v>
      </c>
    </row>
    <row r="4223" ht="22.5" customHeight="1">
      <c r="B4223" s="42" t="str">
        <f>IFERROR(__xludf.DUMMYFUNCTION("""COMPUTED_VALUE"""),"K/39/150525/1")</f>
        <v>K/39/150525/1</v>
      </c>
      <c r="C4223" s="42" t="str">
        <f>IFERROR(__xludf.DUMMYFUNCTION("""COMPUTED_VALUE"""),"M.1090/RAJABASA NUNYAI")</f>
        <v>M.1090/RAJABASA NUNYAI</v>
      </c>
      <c r="D4223" s="42" t="str">
        <f>IFERROR(__xludf.DUMMYFUNCTION("""COMPUTED_VALUE"""),"David")</f>
        <v>David</v>
      </c>
      <c r="E4223" s="42" t="str">
        <f>IFERROR(__xludf.DUMMYFUNCTION("""COMPUTED_VALUE"""),"DISERAHKAN")</f>
        <v>DISERAHKAN</v>
      </c>
      <c r="F4223" s="48">
        <f>IFERROR(__xludf.DUMMYFUNCTION("""COMPUTED_VALUE"""),45855.65418251157)</f>
        <v>45855.65418</v>
      </c>
      <c r="G4223" s="42" t="str">
        <f>IFERROR(__xludf.DUMMYFUNCTION("""COMPUTED_VALUE"""),"ROYA")</f>
        <v>ROYA</v>
      </c>
      <c r="H4223" s="42">
        <f t="shared" si="1"/>
        <v>1860</v>
      </c>
    </row>
    <row r="4224" ht="22.5" customHeight="1">
      <c r="B4224" s="42" t="str">
        <f>IFERROR(__xludf.DUMMYFUNCTION("""COMPUTED_VALUE"""),"K/44/150525/1")</f>
        <v>K/44/150525/1</v>
      </c>
      <c r="C4224" s="42" t="str">
        <f>IFERROR(__xludf.DUMMYFUNCTION("""COMPUTED_VALUE"""),"Nibel 19491/ Segala Mider")</f>
        <v>Nibel 19491/ Segala Mider</v>
      </c>
      <c r="D4224" s="42"/>
      <c r="E4224" s="42"/>
      <c r="F4224" s="48" t="str">
        <f>IFERROR(__xludf.DUMMYFUNCTION("""COMPUTED_VALUE"""),"")</f>
        <v/>
      </c>
      <c r="G4224" s="42" t="str">
        <f>IFERROR(__xludf.DUMMYFUNCTION("""COMPUTED_VALUE"""),"BN JUAL BELI")</f>
        <v>BN JUAL BELI</v>
      </c>
      <c r="H4224" s="42">
        <f t="shared" si="1"/>
        <v>1860</v>
      </c>
    </row>
    <row r="4225" ht="22.5" customHeight="1">
      <c r="B4225" s="42" t="str">
        <f>IFERROR(__xludf.DUMMYFUNCTION("""COMPUTED_VALUE"""),"K/45/150525/2")</f>
        <v>K/45/150525/2</v>
      </c>
      <c r="C4225" s="42" t="str">
        <f>IFERROR(__xludf.DUMMYFUNCTION("""COMPUTED_VALUE"""),"M. 18832/ Sukarame I")</f>
        <v>M. 18832/ Sukarame I</v>
      </c>
      <c r="D4225" s="42" t="str">
        <f>IFERROR(__xludf.DUMMYFUNCTION("""COMPUTED_VALUE"""),"David")</f>
        <v>David</v>
      </c>
      <c r="E4225" s="42" t="str">
        <f>IFERROR(__xludf.DUMMYFUNCTION("""COMPUTED_VALUE"""),"DISERAHKAN")</f>
        <v>DISERAHKAN</v>
      </c>
      <c r="F4225" s="48">
        <f>IFERROR(__xludf.DUMMYFUNCTION("""COMPUTED_VALUE"""),45824.63041027778)</f>
        <v>45824.63041</v>
      </c>
      <c r="G4225" s="42" t="str">
        <f>IFERROR(__xludf.DUMMYFUNCTION("""COMPUTED_VALUE"""),"BN JUAL BELI")</f>
        <v>BN JUAL BELI</v>
      </c>
      <c r="H4225" s="42">
        <f t="shared" si="1"/>
        <v>1861</v>
      </c>
    </row>
    <row r="4226" ht="22.5" customHeight="1">
      <c r="B4226" s="42" t="str">
        <f>IFERROR(__xludf.DUMMYFUNCTION("""COMPUTED_VALUE"""),"K/46/150525/1")</f>
        <v>K/46/150525/1</v>
      </c>
      <c r="C4226" s="42" t="str">
        <f>IFERROR(__xludf.DUMMYFUNCTION("""COMPUTED_VALUE"""),"M. 387/ Tanjung Agung")</f>
        <v>M. 387/ Tanjung Agung</v>
      </c>
      <c r="D4226" s="42"/>
      <c r="E4226" s="42"/>
      <c r="F4226" s="48" t="str">
        <f>IFERROR(__xludf.DUMMYFUNCTION("""COMPUTED_VALUE"""),"")</f>
        <v/>
      </c>
      <c r="G4226" s="42" t="str">
        <f>IFERROR(__xludf.DUMMYFUNCTION("""COMPUTED_VALUE"""),"Pemecahan")</f>
        <v>Pemecahan</v>
      </c>
      <c r="H4226" s="42">
        <f t="shared" si="1"/>
        <v>1861</v>
      </c>
    </row>
    <row r="4227" ht="22.5" customHeight="1">
      <c r="B4227" s="42" t="str">
        <f>IFERROR(__xludf.DUMMYFUNCTION("""COMPUTED_VALUE"""),"K/43/150525/1")</f>
        <v>K/43/150525/1</v>
      </c>
      <c r="C4227" s="42" t="str">
        <f>IFERROR(__xludf.DUMMYFUNCTION("""COMPUTED_VALUE"""),"NIBEL M.20466/PERUMNAS WAY KANDIS ")</f>
        <v>NIBEL M.20466/PERUMNAS WAY KANDIS </v>
      </c>
      <c r="D4227" s="42"/>
      <c r="E4227" s="42"/>
      <c r="F4227" s="48" t="str">
        <f>IFERROR(__xludf.DUMMYFUNCTION("""COMPUTED_VALUE"""),"")</f>
        <v/>
      </c>
      <c r="G4227" s="42" t="str">
        <f>IFERROR(__xludf.DUMMYFUNCTION("""COMPUTED_VALUE"""),"JUAL BELI")</f>
        <v>JUAL BELI</v>
      </c>
      <c r="H4227" s="42">
        <f t="shared" si="1"/>
        <v>1861</v>
      </c>
    </row>
    <row r="4228" ht="22.5" customHeight="1">
      <c r="B4228" s="42" t="str">
        <f>IFERROR(__xludf.DUMMYFUNCTION("""COMPUTED_VALUE"""),"K/1/160525/1")</f>
        <v>K/1/160525/1</v>
      </c>
      <c r="C4228" s="42" t="str">
        <f>IFERROR(__xludf.DUMMYFUNCTION("""COMPUTED_VALUE"""),"B.851/KETEGUHAN")</f>
        <v>B.851/KETEGUHAN</v>
      </c>
      <c r="D4228" s="42" t="str">
        <f>IFERROR(__xludf.DUMMYFUNCTION("""COMPUTED_VALUE"""),"David")</f>
        <v>David</v>
      </c>
      <c r="E4228" s="42" t="str">
        <f>IFERROR(__xludf.DUMMYFUNCTION("""COMPUTED_VALUE"""),"DISERAHKAN")</f>
        <v>DISERAHKAN</v>
      </c>
      <c r="F4228" s="48">
        <f>IFERROR(__xludf.DUMMYFUNCTION("""COMPUTED_VALUE"""),45813.48981775463)</f>
        <v>45813.48982</v>
      </c>
      <c r="G4228" s="42" t="str">
        <f>IFERROR(__xludf.DUMMYFUNCTION("""COMPUTED_VALUE"""),"ROYA")</f>
        <v>ROYA</v>
      </c>
      <c r="H4228" s="42">
        <f t="shared" si="1"/>
        <v>1862</v>
      </c>
    </row>
    <row r="4229" ht="22.5" customHeight="1">
      <c r="B4229" s="42" t="str">
        <f>IFERROR(__xludf.DUMMYFUNCTION("""COMPUTED_VALUE"""),"K/2/160525/1")</f>
        <v>K/2/160525/1</v>
      </c>
      <c r="C4229" s="42" t="str">
        <f>IFERROR(__xludf.DUMMYFUNCTION("""COMPUTED_VALUE"""),"M.15450/SUKABUMI")</f>
        <v>M.15450/SUKABUMI</v>
      </c>
      <c r="D4229" s="42" t="str">
        <f>IFERROR(__xludf.DUMMYFUNCTION("""COMPUTED_VALUE"""),"Berry")</f>
        <v>Berry</v>
      </c>
      <c r="E4229" s="42" t="str">
        <f>IFERROR(__xludf.DUMMYFUNCTION("""COMPUTED_VALUE"""),"DISERAHKAN")</f>
        <v>DISERAHKAN</v>
      </c>
      <c r="F4229" s="48">
        <f>IFERROR(__xludf.DUMMYFUNCTION("""COMPUTED_VALUE"""),45812.59138075232)</f>
        <v>45812.59138</v>
      </c>
      <c r="G4229" s="42" t="str">
        <f>IFERROR(__xludf.DUMMYFUNCTION("""COMPUTED_VALUE"""),"JUAL BELI")</f>
        <v>JUAL BELI</v>
      </c>
      <c r="H4229" s="42">
        <f t="shared" si="1"/>
        <v>1863</v>
      </c>
    </row>
    <row r="4230" ht="22.5" customHeight="1">
      <c r="B4230" s="42" t="str">
        <f>IFERROR(__xludf.DUMMYFUNCTION("""COMPUTED_VALUE"""),"L/4/160525/1")</f>
        <v>L/4/160525/1</v>
      </c>
      <c r="C4230" s="42" t="str">
        <f>IFERROR(__xludf.DUMMYFUNCTION("""COMPUTED_VALUE"""),"HM 341/PWK")</f>
        <v>HM 341/PWK</v>
      </c>
      <c r="D4230" s="42"/>
      <c r="E4230" s="42"/>
      <c r="F4230" s="48" t="str">
        <f>IFERROR(__xludf.DUMMYFUNCTION("""COMPUTED_VALUE"""),"")</f>
        <v/>
      </c>
      <c r="G4230" s="42" t="str">
        <f>IFERROR(__xludf.DUMMYFUNCTION("""COMPUTED_VALUE"""),"ROYA")</f>
        <v>ROYA</v>
      </c>
      <c r="H4230" s="42">
        <f t="shared" si="1"/>
        <v>1863</v>
      </c>
    </row>
    <row r="4231" ht="22.5" customHeight="1">
      <c r="B4231" s="42" t="str">
        <f>IFERROR(__xludf.DUMMYFUNCTION("""COMPUTED_VALUE"""),"L/5/160525/1")</f>
        <v>L/5/160525/1</v>
      </c>
      <c r="C4231" s="42" t="str">
        <f>IFERROR(__xludf.DUMMYFUNCTION("""COMPUTED_VALUE"""),"HM 2091/SUKARAME")</f>
        <v>HM 2091/SUKARAME</v>
      </c>
      <c r="D4231" s="42"/>
      <c r="E4231" s="42"/>
      <c r="F4231" s="48" t="str">
        <f>IFERROR(__xludf.DUMMYFUNCTION("""COMPUTED_VALUE"""),"")</f>
        <v/>
      </c>
      <c r="G4231" s="42" t="str">
        <f>IFERROR(__xludf.DUMMYFUNCTION("""COMPUTED_VALUE"""),"PERTAMA KALI (HGB MATI)")</f>
        <v>PERTAMA KALI (HGB MATI)</v>
      </c>
      <c r="H4231" s="42">
        <f t="shared" si="1"/>
        <v>1863</v>
      </c>
    </row>
    <row r="4232" ht="22.5" customHeight="1">
      <c r="B4232" s="42" t="str">
        <f>IFERROR(__xludf.DUMMYFUNCTION("""COMPUTED_VALUE"""),"K/6/160525/1")</f>
        <v>K/6/160525/1</v>
      </c>
      <c r="C4232" s="42" t="str">
        <f>IFERROR(__xludf.DUMMYFUNCTION("""COMPUTED_VALUE"""),"M. 869, 783/ Perwata")</f>
        <v>M. 869, 783/ Perwata</v>
      </c>
      <c r="D4232" s="42"/>
      <c r="E4232" s="42"/>
      <c r="F4232" s="48" t="str">
        <f>IFERROR(__xludf.DUMMYFUNCTION("""COMPUTED_VALUE"""),"")</f>
        <v/>
      </c>
      <c r="G4232" s="42" t="str">
        <f>IFERROR(__xludf.DUMMYFUNCTION("""COMPUTED_VALUE"""),"GANTI NAMA HT")</f>
        <v>GANTI NAMA HT</v>
      </c>
      <c r="H4232" s="42">
        <f t="shared" si="1"/>
        <v>1863</v>
      </c>
    </row>
    <row r="4233" ht="22.5" customHeight="1">
      <c r="B4233" s="42" t="str">
        <f>IFERROR(__xludf.DUMMYFUNCTION("""COMPUTED_VALUE"""),"K/7/160525/2")</f>
        <v>K/7/160525/2</v>
      </c>
      <c r="C4233" s="42" t="str">
        <f>IFERROR(__xludf.DUMMYFUNCTION("""COMPUTED_VALUE"""),"M. 13637/ kedamaian")</f>
        <v>M. 13637/ kedamaian</v>
      </c>
      <c r="D4233" s="42" t="str">
        <f>IFERROR(__xludf.DUMMYFUNCTION("""COMPUTED_VALUE"""),"David")</f>
        <v>David</v>
      </c>
      <c r="E4233" s="42" t="str">
        <f>IFERROR(__xludf.DUMMYFUNCTION("""COMPUTED_VALUE"""),"DISERAHKAN")</f>
        <v>DISERAHKAN</v>
      </c>
      <c r="F4233" s="48">
        <f>IFERROR(__xludf.DUMMYFUNCTION("""COMPUTED_VALUE"""),45813.47892648148)</f>
        <v>45813.47893</v>
      </c>
      <c r="G4233" s="42" t="str">
        <f>IFERROR(__xludf.DUMMYFUNCTION("""COMPUTED_VALUE"""),"GANTI NAMA HT")</f>
        <v>GANTI NAMA HT</v>
      </c>
      <c r="H4233" s="42">
        <f t="shared" si="1"/>
        <v>1864</v>
      </c>
    </row>
    <row r="4234" ht="22.5" customHeight="1">
      <c r="B4234" s="42" t="str">
        <f>IFERROR(__xludf.DUMMYFUNCTION("""COMPUTED_VALUE"""),"K/8/160525/3")</f>
        <v>K/8/160525/3</v>
      </c>
      <c r="C4234" s="42" t="str">
        <f>IFERROR(__xludf.DUMMYFUNCTION("""COMPUTED_VALUE"""),"M. 13428/ kedamaian")</f>
        <v>M. 13428/ kedamaian</v>
      </c>
      <c r="D4234" s="42" t="str">
        <f>IFERROR(__xludf.DUMMYFUNCTION("""COMPUTED_VALUE"""),"David")</f>
        <v>David</v>
      </c>
      <c r="E4234" s="42" t="str">
        <f>IFERROR(__xludf.DUMMYFUNCTION("""COMPUTED_VALUE"""),"DISERAHKAN")</f>
        <v>DISERAHKAN</v>
      </c>
      <c r="F4234" s="48">
        <f>IFERROR(__xludf.DUMMYFUNCTION("""COMPUTED_VALUE"""),45825.66489644676)</f>
        <v>45825.6649</v>
      </c>
      <c r="G4234" s="42" t="str">
        <f>IFERROR(__xludf.DUMMYFUNCTION("""COMPUTED_VALUE"""),"GANTI NAMA HT")</f>
        <v>GANTI NAMA HT</v>
      </c>
      <c r="H4234" s="42">
        <f t="shared" si="1"/>
        <v>1865</v>
      </c>
    </row>
    <row r="4235" ht="22.5" customHeight="1">
      <c r="B4235" s="42" t="str">
        <f>IFERROR(__xludf.DUMMYFUNCTION("""COMPUTED_VALUE"""),"K/9/160525/4")</f>
        <v>K/9/160525/4</v>
      </c>
      <c r="C4235" s="42" t="str">
        <f>IFERROR(__xludf.DUMMYFUNCTION("""COMPUTED_VALUE"""),"M. 14968/ Sukarame")</f>
        <v>M. 14968/ Sukarame</v>
      </c>
      <c r="D4235" s="42" t="str">
        <f>IFERROR(__xludf.DUMMYFUNCTION("""COMPUTED_VALUE"""),"Berry")</f>
        <v>Berry</v>
      </c>
      <c r="E4235" s="42" t="str">
        <f>IFERROR(__xludf.DUMMYFUNCTION("""COMPUTED_VALUE"""),"DISERAHKAN")</f>
        <v>DISERAHKAN</v>
      </c>
      <c r="F4235" s="48">
        <f>IFERROR(__xludf.DUMMYFUNCTION("""COMPUTED_VALUE"""),45828.5885293287)</f>
        <v>45828.58853</v>
      </c>
      <c r="G4235" s="42" t="str">
        <f>IFERROR(__xludf.DUMMYFUNCTION("""COMPUTED_VALUE"""),"GANTI NAMA HT")</f>
        <v>GANTI NAMA HT</v>
      </c>
      <c r="H4235" s="42">
        <f t="shared" si="1"/>
        <v>1866</v>
      </c>
    </row>
    <row r="4236" ht="22.5" customHeight="1">
      <c r="B4236" s="42" t="str">
        <f>IFERROR(__xludf.DUMMYFUNCTION("""COMPUTED_VALUE"""),"L/11/160525/1")</f>
        <v>L/11/160525/1</v>
      </c>
      <c r="C4236" s="42" t="str">
        <f>IFERROR(__xludf.DUMMYFUNCTION("""COMPUTED_VALUE"""),"HM 3494/GUNUNG TERANG")</f>
        <v>HM 3494/GUNUNG TERANG</v>
      </c>
      <c r="D4236" s="42" t="str">
        <f>IFERROR(__xludf.DUMMYFUNCTION("""COMPUTED_VALUE"""),"Berry")</f>
        <v>Berry</v>
      </c>
      <c r="E4236" s="42" t="str">
        <f>IFERROR(__xludf.DUMMYFUNCTION("""COMPUTED_VALUE"""),"DISERAHKAN")</f>
        <v>DISERAHKAN</v>
      </c>
      <c r="F4236" s="48">
        <f>IFERROR(__xludf.DUMMYFUNCTION("""COMPUTED_VALUE"""),45798.43318438657)</f>
        <v>45798.43318</v>
      </c>
      <c r="G4236" s="42" t="str">
        <f>IFERROR(__xludf.DUMMYFUNCTION("""COMPUTED_VALUE"""),"PENGHAPUSAN BPHTB")</f>
        <v>PENGHAPUSAN BPHTB</v>
      </c>
      <c r="H4236" s="42">
        <f t="shared" si="1"/>
        <v>1867</v>
      </c>
    </row>
    <row r="4237" ht="22.5" customHeight="1">
      <c r="B4237" s="42" t="str">
        <f>IFERROR(__xludf.DUMMYFUNCTION("""COMPUTED_VALUE"""),"K/10/160525/5")</f>
        <v>K/10/160525/5</v>
      </c>
      <c r="C4237" s="42" t="str">
        <f>IFERROR(__xludf.DUMMYFUNCTION("""COMPUTED_VALUE"""),"M. 7558/ Segala Mider")</f>
        <v>M. 7558/ Segala Mider</v>
      </c>
      <c r="D4237" s="42"/>
      <c r="E4237" s="42"/>
      <c r="F4237" s="48" t="str">
        <f>IFERROR(__xludf.DUMMYFUNCTION("""COMPUTED_VALUE"""),"")</f>
        <v/>
      </c>
      <c r="G4237" s="42" t="str">
        <f>IFERROR(__xludf.DUMMYFUNCTION("""COMPUTED_VALUE"""),"GANTI NAMA HT")</f>
        <v>GANTI NAMA HT</v>
      </c>
      <c r="H4237" s="42">
        <f t="shared" si="1"/>
        <v>1867</v>
      </c>
    </row>
    <row r="4238" ht="22.5" customHeight="1">
      <c r="B4238" s="42" t="str">
        <f>IFERROR(__xludf.DUMMYFUNCTION("""COMPUTED_VALUE"""),"K/12/160525/1")</f>
        <v>K/12/160525/1</v>
      </c>
      <c r="C4238" s="42" t="str">
        <f>IFERROR(__xludf.DUMMYFUNCTION("""COMPUTED_VALUE"""),"Nibel 20608/ Rajabasa Nunyai")</f>
        <v>Nibel 20608/ Rajabasa Nunyai</v>
      </c>
      <c r="D4238" s="42"/>
      <c r="E4238" s="42"/>
      <c r="F4238" s="48" t="str">
        <f>IFERROR(__xludf.DUMMYFUNCTION("""COMPUTED_VALUE"""),"")</f>
        <v/>
      </c>
      <c r="G4238" s="42" t="str">
        <f>IFERROR(__xludf.DUMMYFUNCTION("""COMPUTED_VALUE"""),"PERUBAHAN HAK")</f>
        <v>PERUBAHAN HAK</v>
      </c>
      <c r="H4238" s="42">
        <f t="shared" si="1"/>
        <v>1867</v>
      </c>
    </row>
    <row r="4239" ht="22.5" customHeight="1">
      <c r="B4239" s="42" t="str">
        <f>IFERROR(__xludf.DUMMYFUNCTION("""COMPUTED_VALUE"""),"K/3/160525/1")</f>
        <v>K/3/160525/1</v>
      </c>
      <c r="C4239" s="42" t="str">
        <f>IFERROR(__xludf.DUMMYFUNCTION("""COMPUTED_VALUE"""),"M.1666/LABUHAN RATU RAYA")</f>
        <v>M.1666/LABUHAN RATU RAYA</v>
      </c>
      <c r="D4239" s="42" t="str">
        <f>IFERROR(__xludf.DUMMYFUNCTION("""COMPUTED_VALUE"""),"Berry")</f>
        <v>Berry</v>
      </c>
      <c r="E4239" s="42" t="str">
        <f>IFERROR(__xludf.DUMMYFUNCTION("""COMPUTED_VALUE"""),"DISERAHKAN")</f>
        <v>DISERAHKAN</v>
      </c>
      <c r="F4239" s="48">
        <f>IFERROR(__xludf.DUMMYFUNCTION("""COMPUTED_VALUE"""),45798.67439344907)</f>
        <v>45798.67439</v>
      </c>
      <c r="G4239" s="42" t="str">
        <f>IFERROR(__xludf.DUMMYFUNCTION("""COMPUTED_VALUE"""),"JUAL BELI")</f>
        <v>JUAL BELI</v>
      </c>
      <c r="H4239" s="42">
        <f t="shared" si="1"/>
        <v>1868</v>
      </c>
    </row>
    <row r="4240" ht="22.5" customHeight="1">
      <c r="B4240" s="42" t="str">
        <f>IFERROR(__xludf.DUMMYFUNCTION("""COMPUTED_VALUE"""),"K/14/160525/1")</f>
        <v>K/14/160525/1</v>
      </c>
      <c r="C4240" s="42" t="str">
        <f>IFERROR(__xludf.DUMMYFUNCTION("""COMPUTED_VALUE"""),"M.4995/TANJUNG SENENG")</f>
        <v>M.4995/TANJUNG SENENG</v>
      </c>
      <c r="D4240" s="42" t="str">
        <f>IFERROR(__xludf.DUMMYFUNCTION("""COMPUTED_VALUE"""),"David")</f>
        <v>David</v>
      </c>
      <c r="E4240" s="42" t="str">
        <f>IFERROR(__xludf.DUMMYFUNCTION("""COMPUTED_VALUE"""),"DISERAHKAN")</f>
        <v>DISERAHKAN</v>
      </c>
      <c r="F4240" s="48">
        <f>IFERROR(__xludf.DUMMYFUNCTION("""COMPUTED_VALUE"""),45825.680325)</f>
        <v>45825.68033</v>
      </c>
      <c r="G4240" s="42" t="str">
        <f>IFERROR(__xludf.DUMMYFUNCTION("""COMPUTED_VALUE"""),"ROYA")</f>
        <v>ROYA</v>
      </c>
      <c r="H4240" s="42">
        <f t="shared" si="1"/>
        <v>1869</v>
      </c>
    </row>
    <row r="4241" ht="22.5" customHeight="1">
      <c r="B4241" s="42" t="str">
        <f>IFERROR(__xludf.DUMMYFUNCTION("""COMPUTED_VALUE"""),"K/15/160525/2")</f>
        <v>K/15/160525/2</v>
      </c>
      <c r="C4241" s="42" t="str">
        <f>IFERROR(__xludf.DUMMYFUNCTION("""COMPUTED_VALUE"""),"M. 1990/ Kali Balau Kencana")</f>
        <v>M. 1990/ Kali Balau Kencana</v>
      </c>
      <c r="D4241" s="42"/>
      <c r="E4241" s="42"/>
      <c r="F4241" s="48" t="str">
        <f>IFERROR(__xludf.DUMMYFUNCTION("""COMPUTED_VALUE"""),"")</f>
        <v/>
      </c>
      <c r="G4241" s="42" t="str">
        <f>IFERROR(__xludf.DUMMYFUNCTION("""COMPUTED_VALUE"""),"BN Jual Beli")</f>
        <v>BN Jual Beli</v>
      </c>
      <c r="H4241" s="42">
        <f t="shared" si="1"/>
        <v>1869</v>
      </c>
    </row>
    <row r="4242" ht="22.5" customHeight="1">
      <c r="B4242" s="42" t="str">
        <f>IFERROR(__xludf.DUMMYFUNCTION("""COMPUTED_VALUE"""),"K/13/160525/1")</f>
        <v>K/13/160525/1</v>
      </c>
      <c r="C4242" s="42" t="str">
        <f>IFERROR(__xludf.DUMMYFUNCTION("""COMPUTED_VALUE"""),"Nibel. M. 16921/ Sukarame")</f>
        <v>Nibel. M. 16921/ Sukarame</v>
      </c>
      <c r="D4242" s="42"/>
      <c r="E4242" s="42"/>
      <c r="F4242" s="48" t="str">
        <f>IFERROR(__xludf.DUMMYFUNCTION("""COMPUTED_VALUE"""),"")</f>
        <v/>
      </c>
      <c r="G4242" s="42" t="str">
        <f>IFERROR(__xludf.DUMMYFUNCTION("""COMPUTED_VALUE"""),"BN Jual Beli")</f>
        <v>BN Jual Beli</v>
      </c>
      <c r="H4242" s="42">
        <f t="shared" si="1"/>
        <v>1869</v>
      </c>
    </row>
    <row r="4243" ht="22.5" customHeight="1">
      <c r="B4243" s="42" t="str">
        <f>IFERROR(__xludf.DUMMYFUNCTION("""COMPUTED_VALUE"""),"K/16/160525/3")</f>
        <v>K/16/160525/3</v>
      </c>
      <c r="C4243" s="42" t="str">
        <f>IFERROR(__xludf.DUMMYFUNCTION("""COMPUTED_VALUE"""),"M. 1991/ Kali Balau Kencana")</f>
        <v>M. 1991/ Kali Balau Kencana</v>
      </c>
      <c r="D4243" s="42"/>
      <c r="E4243" s="42"/>
      <c r="F4243" s="48" t="str">
        <f>IFERROR(__xludf.DUMMYFUNCTION("""COMPUTED_VALUE"""),"")</f>
        <v/>
      </c>
      <c r="G4243" s="42" t="str">
        <f>IFERROR(__xludf.DUMMYFUNCTION("""COMPUTED_VALUE"""),"BN Jual Beli")</f>
        <v>BN Jual Beli</v>
      </c>
      <c r="H4243" s="42">
        <f t="shared" si="1"/>
        <v>1869</v>
      </c>
    </row>
    <row r="4244" ht="22.5" customHeight="1">
      <c r="B4244" s="42" t="str">
        <f>IFERROR(__xludf.DUMMYFUNCTION("""COMPUTED_VALUE"""),"K/17/160525/1")</f>
        <v>K/17/160525/1</v>
      </c>
      <c r="C4244" s="42" t="str">
        <f>IFERROR(__xludf.DUMMYFUNCTION("""COMPUTED_VALUE"""),"Nibel. B. 19259.4/ Kemiling Permai")</f>
        <v>Nibel. B. 19259.4/ Kemiling Permai</v>
      </c>
      <c r="D4244" s="42"/>
      <c r="E4244" s="42"/>
      <c r="F4244" s="48" t="str">
        <f>IFERROR(__xludf.DUMMYFUNCTION("""COMPUTED_VALUE"""),"")</f>
        <v/>
      </c>
      <c r="G4244" s="42" t="str">
        <f>IFERROR(__xludf.DUMMYFUNCTION("""COMPUTED_VALUE"""),"Perubahan Hak")</f>
        <v>Perubahan Hak</v>
      </c>
      <c r="H4244" s="42">
        <f t="shared" si="1"/>
        <v>1869</v>
      </c>
    </row>
    <row r="4245" ht="22.5" customHeight="1">
      <c r="B4245" s="42" t="str">
        <f>IFERROR(__xludf.DUMMYFUNCTION("""COMPUTED_VALUE"""),"K/18/160525/1")</f>
        <v>K/18/160525/1</v>
      </c>
      <c r="C4245" s="42" t="str">
        <f>IFERROR(__xludf.DUMMYFUNCTION("""COMPUTED_VALUE"""),"Nibel. M. 17247/ Pematang Wangi")</f>
        <v>Nibel. M. 17247/ Pematang Wangi</v>
      </c>
      <c r="D4245" s="42"/>
      <c r="E4245" s="42"/>
      <c r="F4245" s="48" t="str">
        <f>IFERROR(__xludf.DUMMYFUNCTION("""COMPUTED_VALUE"""),"")</f>
        <v/>
      </c>
      <c r="G4245" s="42" t="str">
        <f>IFERROR(__xludf.DUMMYFUNCTION("""COMPUTED_VALUE"""),"Pemecahan")</f>
        <v>Pemecahan</v>
      </c>
      <c r="H4245" s="42">
        <f t="shared" si="1"/>
        <v>1869</v>
      </c>
    </row>
    <row r="4246" ht="22.5" customHeight="1">
      <c r="B4246" s="42" t="str">
        <f>IFERROR(__xludf.DUMMYFUNCTION("""COMPUTED_VALUE"""),"L/20/160525/1")</f>
        <v>L/20/160525/1</v>
      </c>
      <c r="C4246" s="42" t="str">
        <f>IFERROR(__xludf.DUMMYFUNCTION("""COMPUTED_VALUE"""),"HM 11576/SUKABUMI")</f>
        <v>HM 11576/SUKABUMI</v>
      </c>
      <c r="D4246" s="42"/>
      <c r="E4246" s="42"/>
      <c r="F4246" s="48" t="str">
        <f>IFERROR(__xludf.DUMMYFUNCTION("""COMPUTED_VALUE"""),"")</f>
        <v/>
      </c>
      <c r="G4246" s="42" t="str">
        <f>IFERROR(__xludf.DUMMYFUNCTION("""COMPUTED_VALUE"""),"ROYA")</f>
        <v>ROYA</v>
      </c>
      <c r="H4246" s="42">
        <f t="shared" si="1"/>
        <v>1869</v>
      </c>
    </row>
    <row r="4247" ht="22.5" customHeight="1">
      <c r="B4247" s="42" t="str">
        <f>IFERROR(__xludf.DUMMYFUNCTION("""COMPUTED_VALUE"""),"K/19/160525/1")</f>
        <v>K/19/160525/1</v>
      </c>
      <c r="C4247" s="42" t="str">
        <f>IFERROR(__xludf.DUMMYFUNCTION("""COMPUTED_VALUE"""),"PBT 54/2025 RAJABASA RAYA")</f>
        <v>PBT 54/2025 RAJABASA RAYA</v>
      </c>
      <c r="D4247" s="42"/>
      <c r="E4247" s="42"/>
      <c r="F4247" s="48" t="str">
        <f>IFERROR(__xludf.DUMMYFUNCTION("""COMPUTED_VALUE"""),"")</f>
        <v/>
      </c>
      <c r="G4247" s="42" t="str">
        <f>IFERROR(__xludf.DUMMYFUNCTION("""COMPUTED_VALUE"""),"PTPGT")</f>
        <v>PTPGT</v>
      </c>
      <c r="H4247" s="42">
        <f t="shared" si="1"/>
        <v>1869</v>
      </c>
    </row>
    <row r="4248" ht="22.5" customHeight="1">
      <c r="B4248" s="42" t="str">
        <f>IFERROR(__xludf.DUMMYFUNCTION("""COMPUTED_VALUE"""),"K/21/160525/1")</f>
        <v>K/21/160525/1</v>
      </c>
      <c r="C4248" s="42" t="str">
        <f>IFERROR(__xludf.DUMMYFUNCTION("""COMPUTED_VALUE"""),"Nibel 1182/ Rajabasa Jaya")</f>
        <v>Nibel 1182/ Rajabasa Jaya</v>
      </c>
      <c r="D4248" s="42"/>
      <c r="E4248" s="42"/>
      <c r="F4248" s="48" t="str">
        <f>IFERROR(__xludf.DUMMYFUNCTION("""COMPUTED_VALUE"""),"")</f>
        <v/>
      </c>
      <c r="G4248" s="42" t="str">
        <f>IFERROR(__xludf.DUMMYFUNCTION("""COMPUTED_VALUE"""),"BN JUAL BELI")</f>
        <v>BN JUAL BELI</v>
      </c>
      <c r="H4248" s="42">
        <f t="shared" si="1"/>
        <v>1869</v>
      </c>
    </row>
    <row r="4249" ht="22.5" customHeight="1">
      <c r="B4249" s="42" t="str">
        <f>IFERROR(__xludf.DUMMYFUNCTION("""COMPUTED_VALUE"""),"L/23/160525/1")</f>
        <v>L/23/160525/1</v>
      </c>
      <c r="C4249" s="42" t="str">
        <f>IFERROR(__xludf.DUMMYFUNCTION("""COMPUTED_VALUE"""),"SURABAYA")</f>
        <v>SURABAYA</v>
      </c>
      <c r="D4249" s="42"/>
      <c r="E4249" s="42"/>
      <c r="F4249" s="48" t="str">
        <f>IFERROR(__xludf.DUMMYFUNCTION("""COMPUTED_VALUE"""),"")</f>
        <v/>
      </c>
      <c r="G4249" s="42" t="str">
        <f>IFERROR(__xludf.DUMMYFUNCTION("""COMPUTED_VALUE"""),"PENDAFTARAN SK")</f>
        <v>PENDAFTARAN SK</v>
      </c>
      <c r="H4249" s="42">
        <f t="shared" si="1"/>
        <v>1869</v>
      </c>
    </row>
    <row r="4250" ht="22.5" customHeight="1">
      <c r="B4250" s="42" t="str">
        <f>IFERROR(__xludf.DUMMYFUNCTION("""COMPUTED_VALUE"""),"K/24/160525/1")</f>
        <v>K/24/160525/1</v>
      </c>
      <c r="C4250" s="42" t="str">
        <f>IFERROR(__xludf.DUMMYFUNCTION("""COMPUTED_VALUE"""),"B. 5398/ Beringin Raya")</f>
        <v>B. 5398/ Beringin Raya</v>
      </c>
      <c r="D4250" s="42" t="str">
        <f>IFERROR(__xludf.DUMMYFUNCTION("""COMPUTED_VALUE"""),"Berry")</f>
        <v>Berry</v>
      </c>
      <c r="E4250" s="42" t="str">
        <f>IFERROR(__xludf.DUMMYFUNCTION("""COMPUTED_VALUE"""),"DISERAHKAN")</f>
        <v>DISERAHKAN</v>
      </c>
      <c r="F4250" s="48">
        <f>IFERROR(__xludf.DUMMYFUNCTION("""COMPUTED_VALUE"""),45825.50870883102)</f>
        <v>45825.50871</v>
      </c>
      <c r="G4250" s="42" t="str">
        <f>IFERROR(__xludf.DUMMYFUNCTION("""COMPUTED_VALUE"""),"BN JUAL BELI")</f>
        <v>BN JUAL BELI</v>
      </c>
      <c r="H4250" s="42">
        <f t="shared" si="1"/>
        <v>1870</v>
      </c>
    </row>
    <row r="4251" ht="22.5" customHeight="1">
      <c r="B4251" s="42" t="str">
        <f>IFERROR(__xludf.DUMMYFUNCTION("""COMPUTED_VALUE"""),"K/25/160525/1")</f>
        <v>K/25/160525/1</v>
      </c>
      <c r="C4251" s="42" t="str">
        <f>IFERROR(__xludf.DUMMYFUNCTION("""COMPUTED_VALUE"""),"Nibel 16947/ Bakung")</f>
        <v>Nibel 16947/ Bakung</v>
      </c>
      <c r="D4251" s="42"/>
      <c r="E4251" s="42"/>
      <c r="F4251" s="48" t="str">
        <f>IFERROR(__xludf.DUMMYFUNCTION("""COMPUTED_VALUE"""),"")</f>
        <v/>
      </c>
      <c r="G4251" s="42" t="str">
        <f>IFERROR(__xludf.DUMMYFUNCTION("""COMPUTED_VALUE"""),"BN JUAL BELI")</f>
        <v>BN JUAL BELI</v>
      </c>
      <c r="H4251" s="42">
        <f t="shared" si="1"/>
        <v>1870</v>
      </c>
    </row>
    <row r="4252" ht="22.5" customHeight="1">
      <c r="B4252" s="42" t="str">
        <f>IFERROR(__xludf.DUMMYFUNCTION("""COMPUTED_VALUE"""),"L/26/160525/1")</f>
        <v>L/26/160525/1</v>
      </c>
      <c r="C4252" s="42" t="str">
        <f>IFERROR(__xludf.DUMMYFUNCTION("""COMPUTED_VALUE"""),"HGB 74/SUMBER AGUNG")</f>
        <v>HGB 74/SUMBER AGUNG</v>
      </c>
      <c r="D4252" s="42" t="str">
        <f>IFERROR(__xludf.DUMMYFUNCTION("""COMPUTED_VALUE"""),"Berry")</f>
        <v>Berry</v>
      </c>
      <c r="E4252" s="42" t="str">
        <f>IFERROR(__xludf.DUMMYFUNCTION("""COMPUTED_VALUE"""),"DISERAHKAN")</f>
        <v>DISERAHKAN</v>
      </c>
      <c r="F4252" s="48">
        <f>IFERROR(__xludf.DUMMYFUNCTION("""COMPUTED_VALUE"""),45827.67539152778)</f>
        <v>45827.67539</v>
      </c>
      <c r="G4252" s="42" t="str">
        <f>IFERROR(__xludf.DUMMYFUNCTION("""COMPUTED_VALUE"""),"ROYA WARIS")</f>
        <v>ROYA WARIS</v>
      </c>
      <c r="H4252" s="42">
        <f t="shared" si="1"/>
        <v>1871</v>
      </c>
    </row>
    <row r="4253" ht="22.5" customHeight="1">
      <c r="B4253" s="42" t="str">
        <f>IFERROR(__xludf.DUMMYFUNCTION("""COMPUTED_VALUE"""),"K/22/160525/1")</f>
        <v>K/22/160525/1</v>
      </c>
      <c r="C4253" s="42" t="str">
        <f>IFERROR(__xludf.DUMMYFUNCTION("""COMPUTED_VALUE"""),"M.13234, M 13230, M 13229/TANJUNG BARU")</f>
        <v>M.13234, M 13230, M 13229/TANJUNG BARU</v>
      </c>
      <c r="D4253" s="42" t="str">
        <f>IFERROR(__xludf.DUMMYFUNCTION("""COMPUTED_VALUE"""),"David")</f>
        <v>David</v>
      </c>
      <c r="E4253" s="42" t="str">
        <f>IFERROR(__xludf.DUMMYFUNCTION("""COMPUTED_VALUE"""),"DISERAHKAN")</f>
        <v>DISERAHKAN</v>
      </c>
      <c r="F4253" s="48">
        <f>IFERROR(__xludf.DUMMYFUNCTION("""COMPUTED_VALUE"""),45825.67939287037)</f>
        <v>45825.67939</v>
      </c>
      <c r="G4253" s="42" t="str">
        <f>IFERROR(__xludf.DUMMYFUNCTION("""COMPUTED_VALUE"""),"ROYA")</f>
        <v>ROYA</v>
      </c>
      <c r="H4253" s="42">
        <f t="shared" si="1"/>
        <v>1872</v>
      </c>
    </row>
    <row r="4254" ht="22.5" customHeight="1">
      <c r="B4254" s="42" t="str">
        <f>IFERROR(__xludf.DUMMYFUNCTION("""COMPUTED_VALUE"""),"K/27/160525/1")</f>
        <v>K/27/160525/1</v>
      </c>
      <c r="C4254" s="42" t="str">
        <f>IFERROR(__xludf.DUMMYFUNCTION("""COMPUTED_VALUE"""),"M.13407/SEGALA MIDER")</f>
        <v>M.13407/SEGALA MIDER</v>
      </c>
      <c r="D4254" s="42" t="str">
        <f>IFERROR(__xludf.DUMMYFUNCTION("""COMPUTED_VALUE"""),"Berry")</f>
        <v>Berry</v>
      </c>
      <c r="E4254" s="42" t="str">
        <f>IFERROR(__xludf.DUMMYFUNCTION("""COMPUTED_VALUE"""),"DISERAHKAN")</f>
        <v>DISERAHKAN</v>
      </c>
      <c r="F4254" s="48">
        <f>IFERROR(__xludf.DUMMYFUNCTION("""COMPUTED_VALUE"""),45805.683520694445)</f>
        <v>45805.68352</v>
      </c>
      <c r="G4254" s="42" t="str">
        <f>IFERROR(__xludf.DUMMYFUNCTION("""COMPUTED_VALUE"""),"JUAL BELI")</f>
        <v>JUAL BELI</v>
      </c>
      <c r="H4254" s="42">
        <f t="shared" si="1"/>
        <v>1873</v>
      </c>
    </row>
    <row r="4255" ht="22.5" customHeight="1">
      <c r="B4255" s="42" t="str">
        <f>IFERROR(__xludf.DUMMYFUNCTION("""COMPUTED_VALUE"""),"K/28/160525/1")</f>
        <v>K/28/160525/1</v>
      </c>
      <c r="C4255" s="42" t="str">
        <f>IFERROR(__xludf.DUMMYFUNCTION("""COMPUTED_VALUE"""),"M. 121/ Perumnas Way Halim")</f>
        <v>M. 121/ Perumnas Way Halim</v>
      </c>
      <c r="D4255" s="42" t="str">
        <f>IFERROR(__xludf.DUMMYFUNCTION("""COMPUTED_VALUE"""),"Berry")</f>
        <v>Berry</v>
      </c>
      <c r="E4255" s="42" t="str">
        <f>IFERROR(__xludf.DUMMYFUNCTION("""COMPUTED_VALUE"""),"DISERAHKAN")</f>
        <v>DISERAHKAN</v>
      </c>
      <c r="F4255" s="48">
        <f>IFERROR(__xludf.DUMMYFUNCTION("""COMPUTED_VALUE"""),45812.59634766204)</f>
        <v>45812.59635</v>
      </c>
      <c r="G4255" s="42" t="str">
        <f>IFERROR(__xludf.DUMMYFUNCTION("""COMPUTED_VALUE"""),"BN WARIS")</f>
        <v>BN WARIS</v>
      </c>
      <c r="H4255" s="42">
        <f t="shared" si="1"/>
        <v>1874</v>
      </c>
    </row>
    <row r="4256" ht="22.5" customHeight="1">
      <c r="B4256" s="42" t="str">
        <f>IFERROR(__xludf.DUMMYFUNCTION("""COMPUTED_VALUE"""),"L/29/160525/1")</f>
        <v>L/29/160525/1</v>
      </c>
      <c r="C4256" s="42" t="str">
        <f>IFERROR(__xludf.DUMMYFUNCTION("""COMPUTED_VALUE"""),"BAKUNG")</f>
        <v>BAKUNG</v>
      </c>
      <c r="D4256" s="42"/>
      <c r="E4256" s="42"/>
      <c r="F4256" s="48" t="str">
        <f>IFERROR(__xludf.DUMMYFUNCTION("""COMPUTED_VALUE"""),"")</f>
        <v/>
      </c>
      <c r="G4256" s="42" t="str">
        <f>IFERROR(__xludf.DUMMYFUNCTION("""COMPUTED_VALUE"""),"PERTAMA KALI")</f>
        <v>PERTAMA KALI</v>
      </c>
      <c r="H4256" s="42">
        <f t="shared" si="1"/>
        <v>1874</v>
      </c>
    </row>
    <row r="4257" ht="22.5" customHeight="1">
      <c r="B4257" s="42" t="str">
        <f>IFERROR(__xludf.DUMMYFUNCTION("""COMPUTED_VALUE"""),"K/30/160525/1")</f>
        <v>K/30/160525/1</v>
      </c>
      <c r="C4257" s="42" t="str">
        <f>IFERROR(__xludf.DUMMYFUNCTION("""COMPUTED_VALUE"""),"M. 2013/ Kali Balau Kencana")</f>
        <v>M. 2013/ Kali Balau Kencana</v>
      </c>
      <c r="D4257" s="42" t="str">
        <f>IFERROR(__xludf.DUMMYFUNCTION("""COMPUTED_VALUE"""),"Berry")</f>
        <v>Berry</v>
      </c>
      <c r="E4257" s="42" t="str">
        <f>IFERROR(__xludf.DUMMYFUNCTION("""COMPUTED_VALUE"""),"DISERAHKAN")</f>
        <v>DISERAHKAN</v>
      </c>
      <c r="F4257" s="48">
        <f>IFERROR(__xludf.DUMMYFUNCTION("""COMPUTED_VALUE"""),45805.445250069446)</f>
        <v>45805.44525</v>
      </c>
      <c r="G4257" s="42" t="str">
        <f>IFERROR(__xludf.DUMMYFUNCTION("""COMPUTED_VALUE"""),"BN Jual Beli")</f>
        <v>BN Jual Beli</v>
      </c>
      <c r="H4257" s="42">
        <f t="shared" si="1"/>
        <v>1875</v>
      </c>
    </row>
    <row r="4258" ht="22.5" customHeight="1">
      <c r="B4258" s="42" t="str">
        <f>IFERROR(__xludf.DUMMYFUNCTION("""COMPUTED_VALUE"""),"K/31/160525/1")</f>
        <v>K/31/160525/1</v>
      </c>
      <c r="C4258" s="42" t="str">
        <f>IFERROR(__xludf.DUMMYFUNCTION("""COMPUTED_VALUE"""),"Nibel 441/ Kemiling Permai")</f>
        <v>Nibel 441/ Kemiling Permai</v>
      </c>
      <c r="D4258" s="42"/>
      <c r="E4258" s="42"/>
      <c r="F4258" s="48" t="str">
        <f>IFERROR(__xludf.DUMMYFUNCTION("""COMPUTED_VALUE"""),"")</f>
        <v/>
      </c>
      <c r="G4258" s="42" t="str">
        <f>IFERROR(__xludf.DUMMYFUNCTION("""COMPUTED_VALUE"""),"PERUBAHAN HAK")</f>
        <v>PERUBAHAN HAK</v>
      </c>
      <c r="H4258" s="42">
        <f t="shared" si="1"/>
        <v>1875</v>
      </c>
    </row>
    <row r="4259" ht="22.5" customHeight="1">
      <c r="B4259" s="42" t="str">
        <f>IFERROR(__xludf.DUMMYFUNCTION("""COMPUTED_VALUE"""),"K/32/160525/2")</f>
        <v>K/32/160525/2</v>
      </c>
      <c r="C4259" s="42" t="str">
        <f>IFERROR(__xludf.DUMMYFUNCTION("""COMPUTED_VALUE"""),"Nibel 423/ Kemiling Permai")</f>
        <v>Nibel 423/ Kemiling Permai</v>
      </c>
      <c r="D4259" s="42"/>
      <c r="E4259" s="42"/>
      <c r="F4259" s="48" t="str">
        <f>IFERROR(__xludf.DUMMYFUNCTION("""COMPUTED_VALUE"""),"")</f>
        <v/>
      </c>
      <c r="G4259" s="42" t="str">
        <f>IFERROR(__xludf.DUMMYFUNCTION("""COMPUTED_VALUE"""),"PERUBAHAN HAK")</f>
        <v>PERUBAHAN HAK</v>
      </c>
      <c r="H4259" s="42">
        <f t="shared" si="1"/>
        <v>1875</v>
      </c>
    </row>
    <row r="4260" ht="22.5" customHeight="1">
      <c r="B4260" s="42" t="str">
        <f>IFERROR(__xludf.DUMMYFUNCTION("""COMPUTED_VALUE"""),"L/33/160525/1")</f>
        <v>L/33/160525/1</v>
      </c>
      <c r="C4260" s="42" t="str">
        <f>IFERROR(__xludf.DUMMYFUNCTION("""COMPUTED_VALUE"""),"HM 10483/KEDAMAIAN")</f>
        <v>HM 10483/KEDAMAIAN</v>
      </c>
      <c r="D4260" s="42" t="str">
        <f>IFERROR(__xludf.DUMMYFUNCTION("""COMPUTED_VALUE"""),"David")</f>
        <v>David</v>
      </c>
      <c r="E4260" s="42" t="str">
        <f>IFERROR(__xludf.DUMMYFUNCTION("""COMPUTED_VALUE"""),"DISERAHKAN")</f>
        <v>DISERAHKAN</v>
      </c>
      <c r="F4260" s="48">
        <f>IFERROR(__xludf.DUMMYFUNCTION("""COMPUTED_VALUE"""),45813.47932679398)</f>
        <v>45813.47933</v>
      </c>
      <c r="G4260" s="42" t="str">
        <f>IFERROR(__xludf.DUMMYFUNCTION("""COMPUTED_VALUE"""),"ROYA ")</f>
        <v>ROYA </v>
      </c>
      <c r="H4260" s="42">
        <f t="shared" si="1"/>
        <v>1876</v>
      </c>
    </row>
    <row r="4261" ht="22.5" customHeight="1">
      <c r="B4261" s="42" t="str">
        <f>IFERROR(__xludf.DUMMYFUNCTION("""COMPUTED_VALUE"""),"K/34/160525/1")</f>
        <v>K/34/160525/1</v>
      </c>
      <c r="C4261" s="42" t="str">
        <f>IFERROR(__xludf.DUMMYFUNCTION("""COMPUTED_VALUE"""),"M. 723/ Rajabsa Jaya")</f>
        <v>M. 723/ Rajabsa Jaya</v>
      </c>
      <c r="D4261" s="42" t="str">
        <f>IFERROR(__xludf.DUMMYFUNCTION("""COMPUTED_VALUE"""),"David")</f>
        <v>David</v>
      </c>
      <c r="E4261" s="42" t="str">
        <f>IFERROR(__xludf.DUMMYFUNCTION("""COMPUTED_VALUE"""),"DISERAHKAN")</f>
        <v>DISERAHKAN</v>
      </c>
      <c r="F4261" s="48">
        <f>IFERROR(__xludf.DUMMYFUNCTION("""COMPUTED_VALUE"""),45825.66148326389)</f>
        <v>45825.66148</v>
      </c>
      <c r="G4261" s="42" t="str">
        <f>IFERROR(__xludf.DUMMYFUNCTION("""COMPUTED_VALUE"""),"ROYA")</f>
        <v>ROYA</v>
      </c>
      <c r="H4261" s="42">
        <f t="shared" si="1"/>
        <v>1877</v>
      </c>
    </row>
    <row r="4262" ht="22.5" customHeight="1">
      <c r="B4262" s="42" t="str">
        <f>IFERROR(__xludf.DUMMYFUNCTION("""COMPUTED_VALUE"""),"K/36/160525/1")</f>
        <v>K/36/160525/1</v>
      </c>
      <c r="C4262" s="42" t="str">
        <f>IFERROR(__xludf.DUMMYFUNCTION("""COMPUTED_VALUE"""),"M. 2125/ Kedaung")</f>
        <v>M. 2125/ Kedaung</v>
      </c>
      <c r="D4262" s="42" t="str">
        <f>IFERROR(__xludf.DUMMYFUNCTION("""COMPUTED_VALUE"""),"Berry")</f>
        <v>Berry</v>
      </c>
      <c r="E4262" s="42" t="str">
        <f>IFERROR(__xludf.DUMMYFUNCTION("""COMPUTED_VALUE"""),"DISERAHKAN")</f>
        <v>DISERAHKAN</v>
      </c>
      <c r="F4262" s="48">
        <f>IFERROR(__xludf.DUMMYFUNCTION("""COMPUTED_VALUE"""),45803.43938841435)</f>
        <v>45803.43939</v>
      </c>
      <c r="G4262" s="42" t="str">
        <f>IFERROR(__xludf.DUMMYFUNCTION("""COMPUTED_VALUE"""),"BN Jual Beli")</f>
        <v>BN Jual Beli</v>
      </c>
      <c r="H4262" s="42">
        <f t="shared" si="1"/>
        <v>1878</v>
      </c>
    </row>
    <row r="4263" ht="22.5" customHeight="1">
      <c r="B4263" s="42" t="str">
        <f>IFERROR(__xludf.DUMMYFUNCTION("""COMPUTED_VALUE"""),"K/37/160525/1")</f>
        <v>K/37/160525/1</v>
      </c>
      <c r="C4263" s="42" t="str">
        <f>IFERROR(__xludf.DUMMYFUNCTION("""COMPUTED_VALUE"""),"M. 1014/ Pinang Jaya")</f>
        <v>M. 1014/ Pinang Jaya</v>
      </c>
      <c r="D4263" s="42" t="str">
        <f>IFERROR(__xludf.DUMMYFUNCTION("""COMPUTED_VALUE"""),"Berry")</f>
        <v>Berry</v>
      </c>
      <c r="E4263" s="42" t="str">
        <f>IFERROR(__xludf.DUMMYFUNCTION("""COMPUTED_VALUE"""),"DISERAHKAN")</f>
        <v>DISERAHKAN</v>
      </c>
      <c r="F4263" s="48">
        <f>IFERROR(__xludf.DUMMYFUNCTION("""COMPUTED_VALUE"""),45812.589895682875)</f>
        <v>45812.5899</v>
      </c>
      <c r="G4263" s="42" t="str">
        <f>IFERROR(__xludf.DUMMYFUNCTION("""COMPUTED_VALUE"""),"BN JUAL BELI")</f>
        <v>BN JUAL BELI</v>
      </c>
      <c r="H4263" s="42">
        <f t="shared" si="1"/>
        <v>1879</v>
      </c>
    </row>
    <row r="4264" ht="22.5" customHeight="1">
      <c r="B4264" s="42" t="str">
        <f>IFERROR(__xludf.DUMMYFUNCTION("""COMPUTED_VALUE"""),"K/38/160525/1")</f>
        <v>K/38/160525/1</v>
      </c>
      <c r="C4264" s="42" t="str">
        <f>IFERROR(__xludf.DUMMYFUNCTION("""COMPUTED_VALUE"""),"M. 1151/ Sumberejo Sejahtera")</f>
        <v>M. 1151/ Sumberejo Sejahtera</v>
      </c>
      <c r="D4264" s="42" t="str">
        <f>IFERROR(__xludf.DUMMYFUNCTION("""COMPUTED_VALUE"""),"Berry")</f>
        <v>Berry</v>
      </c>
      <c r="E4264" s="42" t="str">
        <f>IFERROR(__xludf.DUMMYFUNCTION("""COMPUTED_VALUE"""),"DISERAHKAN")</f>
        <v>DISERAHKAN</v>
      </c>
      <c r="F4264" s="48">
        <f>IFERROR(__xludf.DUMMYFUNCTION("""COMPUTED_VALUE"""),45812.59719667824)</f>
        <v>45812.5972</v>
      </c>
      <c r="G4264" s="42" t="str">
        <f>IFERROR(__xludf.DUMMYFUNCTION("""COMPUTED_VALUE"""),"BN Jual Beli")</f>
        <v>BN Jual Beli</v>
      </c>
      <c r="H4264" s="42">
        <f t="shared" si="1"/>
        <v>1880</v>
      </c>
    </row>
    <row r="4265" ht="22.5" customHeight="1">
      <c r="B4265" s="42" t="str">
        <f>IFERROR(__xludf.DUMMYFUNCTION("""COMPUTED_VALUE"""),"K/35/160525/1")</f>
        <v>K/35/160525/1</v>
      </c>
      <c r="C4265" s="42" t="str">
        <f>IFERROR(__xludf.DUMMYFUNCTION("""COMPUTED_VALUE"""),"NIBEL M.15817/SUKARAME BARU")</f>
        <v>NIBEL M.15817/SUKARAME BARU</v>
      </c>
      <c r="D4265" s="42"/>
      <c r="E4265" s="42"/>
      <c r="F4265" s="48" t="str">
        <f>IFERROR(__xludf.DUMMYFUNCTION("""COMPUTED_VALUE"""),"")</f>
        <v/>
      </c>
      <c r="G4265" s="42" t="str">
        <f>IFERROR(__xludf.DUMMYFUNCTION("""COMPUTED_VALUE"""),"HIBAH")</f>
        <v>HIBAH</v>
      </c>
      <c r="H4265" s="42">
        <f t="shared" si="1"/>
        <v>1880</v>
      </c>
    </row>
    <row r="4266" ht="22.5" customHeight="1">
      <c r="B4266" s="42" t="str">
        <f>IFERROR(__xludf.DUMMYFUNCTION("""COMPUTED_VALUE"""),"K/39/160525/1")</f>
        <v>K/39/160525/1</v>
      </c>
      <c r="C4266" s="42" t="str">
        <f>IFERROR(__xludf.DUMMYFUNCTION("""COMPUTED_VALUE"""),"M. 11772/ Tanjung BAru")</f>
        <v>M. 11772/ Tanjung BAru</v>
      </c>
      <c r="D4266" s="42"/>
      <c r="E4266" s="42"/>
      <c r="F4266" s="48" t="str">
        <f>IFERROR(__xludf.DUMMYFUNCTION("""COMPUTED_VALUE"""),"")</f>
        <v/>
      </c>
      <c r="G4266" s="42" t="str">
        <f>IFERROR(__xludf.DUMMYFUNCTION("""COMPUTED_VALUE"""),"ROYA")</f>
        <v>ROYA</v>
      </c>
      <c r="H4266" s="42">
        <f t="shared" si="1"/>
        <v>1880</v>
      </c>
    </row>
    <row r="4267" ht="22.5" customHeight="1">
      <c r="B4267" s="42" t="str">
        <f>IFERROR(__xludf.DUMMYFUNCTION("""COMPUTED_VALUE"""),"K/41/160525/1")</f>
        <v>K/41/160525/1</v>
      </c>
      <c r="C4267" s="42" t="str">
        <f>IFERROR(__xludf.DUMMYFUNCTION("""COMPUTED_VALUE"""),"Nibel. M. 6082/ Gunung Sulah")</f>
        <v>Nibel. M. 6082/ Gunung Sulah</v>
      </c>
      <c r="D4267" s="42"/>
      <c r="E4267" s="42"/>
      <c r="F4267" s="48" t="str">
        <f>IFERROR(__xludf.DUMMYFUNCTION("""COMPUTED_VALUE"""),"")</f>
        <v/>
      </c>
      <c r="G4267" s="42" t="str">
        <f>IFERROR(__xludf.DUMMYFUNCTION("""COMPUTED_VALUE"""),"BN Jual Beli")</f>
        <v>BN Jual Beli</v>
      </c>
      <c r="H4267" s="42">
        <f t="shared" si="1"/>
        <v>1880</v>
      </c>
    </row>
    <row r="4268" ht="22.5" customHeight="1">
      <c r="B4268" s="42" t="str">
        <f>IFERROR(__xludf.DUMMYFUNCTION("""COMPUTED_VALUE"""),"K/42/160525/1")</f>
        <v>K/42/160525/1</v>
      </c>
      <c r="C4268" s="42" t="str">
        <f>IFERROR(__xludf.DUMMYFUNCTION("""COMPUTED_VALUE"""),"M. 2271/ Sumber Agung")</f>
        <v>M. 2271/ Sumber Agung</v>
      </c>
      <c r="D4268" s="42" t="str">
        <f>IFERROR(__xludf.DUMMYFUNCTION("""COMPUTED_VALUE"""),"Berry")</f>
        <v>Berry</v>
      </c>
      <c r="E4268" s="42" t="str">
        <f>IFERROR(__xludf.DUMMYFUNCTION("""COMPUTED_VALUE"""),"DISERAHKAN")</f>
        <v>DISERAHKAN</v>
      </c>
      <c r="F4268" s="48">
        <f>IFERROR(__xludf.DUMMYFUNCTION("""COMPUTED_VALUE"""),45803.435640173615)</f>
        <v>45803.43564</v>
      </c>
      <c r="G4268" s="42" t="str">
        <f>IFERROR(__xludf.DUMMYFUNCTION("""COMPUTED_VALUE"""),"BN Jual Beli")</f>
        <v>BN Jual Beli</v>
      </c>
      <c r="H4268" s="42">
        <f t="shared" si="1"/>
        <v>1881</v>
      </c>
    </row>
    <row r="4269" ht="22.5" customHeight="1">
      <c r="B4269" s="42" t="str">
        <f>IFERROR(__xludf.DUMMYFUNCTION("""COMPUTED_VALUE"""),"K/43/160525/1")</f>
        <v>K/43/160525/1</v>
      </c>
      <c r="C4269" s="42" t="str">
        <f>IFERROR(__xludf.DUMMYFUNCTION("""COMPUTED_VALUE"""),"M. 1079/ Kali Balai Kencana")</f>
        <v>M. 1079/ Kali Balai Kencana</v>
      </c>
      <c r="D4269" s="42" t="str">
        <f>IFERROR(__xludf.DUMMYFUNCTION("""COMPUTED_VALUE"""),"Berry")</f>
        <v>Berry</v>
      </c>
      <c r="E4269" s="42" t="str">
        <f>IFERROR(__xludf.DUMMYFUNCTION("""COMPUTED_VALUE"""),"DISERAHKAN")</f>
        <v>DISERAHKAN</v>
      </c>
      <c r="F4269" s="48">
        <f>IFERROR(__xludf.DUMMYFUNCTION("""COMPUTED_VALUE"""),45805.44545422454)</f>
        <v>45805.44545</v>
      </c>
      <c r="G4269" s="42" t="str">
        <f>IFERROR(__xludf.DUMMYFUNCTION("""COMPUTED_VALUE"""),"BN Jual Beli")</f>
        <v>BN Jual Beli</v>
      </c>
      <c r="H4269" s="42">
        <f t="shared" si="1"/>
        <v>1882</v>
      </c>
    </row>
    <row r="4270" ht="22.5" customHeight="1">
      <c r="B4270" s="42" t="str">
        <f>IFERROR(__xludf.DUMMYFUNCTION("""COMPUTED_VALUE"""),"K/43/160525/2")</f>
        <v>K/43/160525/2</v>
      </c>
      <c r="C4270" s="42" t="str">
        <f>IFERROR(__xludf.DUMMYFUNCTION("""COMPUTED_VALUE"""),"M. 3757/ Rajabasa Jaya")</f>
        <v>M. 3757/ Rajabasa Jaya</v>
      </c>
      <c r="D4270" s="42" t="str">
        <f>IFERROR(__xludf.DUMMYFUNCTION("""COMPUTED_VALUE"""),"Berry")</f>
        <v>Berry</v>
      </c>
      <c r="E4270" s="42" t="str">
        <f>IFERROR(__xludf.DUMMYFUNCTION("""COMPUTED_VALUE"""),"DISERAHKAN")</f>
        <v>DISERAHKAN</v>
      </c>
      <c r="F4270" s="48">
        <f>IFERROR(__xludf.DUMMYFUNCTION("""COMPUTED_VALUE"""),45819.80786037037)</f>
        <v>45819.80786</v>
      </c>
      <c r="G4270" s="42" t="str">
        <f>IFERROR(__xludf.DUMMYFUNCTION("""COMPUTED_VALUE"""),"BN Jual Beli")</f>
        <v>BN Jual Beli</v>
      </c>
      <c r="H4270" s="42">
        <f t="shared" si="1"/>
        <v>1883</v>
      </c>
    </row>
    <row r="4271" ht="22.5" customHeight="1">
      <c r="B4271" s="42" t="str">
        <f>IFERROR(__xludf.DUMMYFUNCTION("""COMPUTED_VALUE"""),"K/45/160525/1")</f>
        <v>K/45/160525/1</v>
      </c>
      <c r="C4271" s="42" t="str">
        <f>IFERROR(__xludf.DUMMYFUNCTION("""COMPUTED_VALUE"""),"Nibel. M. 16219/ Sukamaju")</f>
        <v>Nibel. M. 16219/ Sukamaju</v>
      </c>
      <c r="D4271" s="42"/>
      <c r="E4271" s="42"/>
      <c r="F4271" s="48" t="str">
        <f>IFERROR(__xludf.DUMMYFUNCTION("""COMPUTED_VALUE"""),"")</f>
        <v/>
      </c>
      <c r="G4271" s="42" t="str">
        <f>IFERROR(__xludf.DUMMYFUNCTION("""COMPUTED_VALUE"""),"BN Jual Beli")</f>
        <v>BN Jual Beli</v>
      </c>
      <c r="H4271" s="42">
        <f t="shared" si="1"/>
        <v>1883</v>
      </c>
    </row>
    <row r="4272" ht="22.5" customHeight="1">
      <c r="B4272" s="42" t="str">
        <f>IFERROR(__xludf.DUMMYFUNCTION("""COMPUTED_VALUE"""),"K/46/160525/1")</f>
        <v>K/46/160525/1</v>
      </c>
      <c r="C4272" s="42" t="str">
        <f>IFERROR(__xludf.DUMMYFUNCTION("""COMPUTED_VALUE"""),"Nibel. M. 20587/ Perumnas Way Kandis")</f>
        <v>Nibel. M. 20587/ Perumnas Way Kandis</v>
      </c>
      <c r="D4272" s="42"/>
      <c r="E4272" s="42"/>
      <c r="F4272" s="48" t="str">
        <f>IFERROR(__xludf.DUMMYFUNCTION("""COMPUTED_VALUE"""),"")</f>
        <v/>
      </c>
      <c r="G4272" s="42" t="str">
        <f>IFERROR(__xludf.DUMMYFUNCTION("""COMPUTED_VALUE"""),"BN Jual Beli")</f>
        <v>BN Jual Beli</v>
      </c>
      <c r="H4272" s="42">
        <f t="shared" si="1"/>
        <v>1883</v>
      </c>
    </row>
    <row r="4273" ht="22.5" customHeight="1">
      <c r="B4273" s="42" t="str">
        <f>IFERROR(__xludf.DUMMYFUNCTION("""COMPUTED_VALUE"""),"L/1/170525/pelataran")</f>
        <v>L/1/170525/pelataran</v>
      </c>
      <c r="C4273" s="42" t="str">
        <f>IFERROR(__xludf.DUMMYFUNCTION("""COMPUTED_VALUE"""),"M. 145, 137/ sumur putri (6 SHT)")</f>
        <v>M. 145, 137/ sumur putri (6 SHT)</v>
      </c>
      <c r="D4273" s="42"/>
      <c r="E4273" s="42"/>
      <c r="F4273" s="48" t="str">
        <f>IFERROR(__xludf.DUMMYFUNCTION("""COMPUTED_VALUE"""),"")</f>
        <v/>
      </c>
      <c r="G4273" s="42" t="str">
        <f>IFERROR(__xludf.DUMMYFUNCTION("""COMPUTED_VALUE"""),"ROYA")</f>
        <v>ROYA</v>
      </c>
      <c r="H4273" s="42">
        <f t="shared" si="1"/>
        <v>1883</v>
      </c>
    </row>
    <row r="4274" ht="22.5" customHeight="1">
      <c r="B4274" s="42" t="str">
        <f>IFERROR(__xludf.DUMMYFUNCTION("""COMPUTED_VALUE"""),"K/40/160525/1")</f>
        <v>K/40/160525/1</v>
      </c>
      <c r="C4274" s="42" t="str">
        <f>IFERROR(__xludf.DUMMYFUNCTION("""COMPUTED_VALUE"""),"NIBEL M 7919/PEMATANG WANGI")</f>
        <v>NIBEL M 7919/PEMATANG WANGI</v>
      </c>
      <c r="D4274" s="42"/>
      <c r="E4274" s="42"/>
      <c r="F4274" s="48" t="str">
        <f>IFERROR(__xludf.DUMMYFUNCTION("""COMPUTED_VALUE"""),"")</f>
        <v/>
      </c>
      <c r="G4274" s="42" t="str">
        <f>IFERROR(__xludf.DUMMYFUNCTION("""COMPUTED_VALUE"""),"JUAL BELI")</f>
        <v>JUAL BELI</v>
      </c>
      <c r="H4274" s="42">
        <f t="shared" si="1"/>
        <v>1883</v>
      </c>
    </row>
    <row r="4275" ht="22.5" customHeight="1">
      <c r="B4275" s="42" t="str">
        <f>IFERROR(__xludf.DUMMYFUNCTION("""COMPUTED_VALUE"""),"K/1/190525/1")</f>
        <v>K/1/190525/1</v>
      </c>
      <c r="C4275" s="42" t="str">
        <f>IFERROR(__xludf.DUMMYFUNCTION("""COMPUTED_VALUE"""),"M. 1133/ Jagabaya III")</f>
        <v>M. 1133/ Jagabaya III</v>
      </c>
      <c r="D4275" s="42" t="str">
        <f>IFERROR(__xludf.DUMMYFUNCTION("""COMPUTED_VALUE"""),"Berry")</f>
        <v>Berry</v>
      </c>
      <c r="E4275" s="42" t="str">
        <f>IFERROR(__xludf.DUMMYFUNCTION("""COMPUTED_VALUE"""),"DISERAHKAN")</f>
        <v>DISERAHKAN</v>
      </c>
      <c r="F4275" s="48">
        <f>IFERROR(__xludf.DUMMYFUNCTION("""COMPUTED_VALUE"""),45812.58950799768)</f>
        <v>45812.58951</v>
      </c>
      <c r="G4275" s="42" t="str">
        <f>IFERROR(__xludf.DUMMYFUNCTION("""COMPUTED_VALUE"""),"BN WARIS")</f>
        <v>BN WARIS</v>
      </c>
      <c r="H4275" s="42">
        <f t="shared" si="1"/>
        <v>1884</v>
      </c>
    </row>
    <row r="4276" ht="22.5" customHeight="1">
      <c r="B4276" s="42" t="str">
        <f>IFERROR(__xludf.DUMMYFUNCTION("""COMPUTED_VALUE"""),"K/2/190525/1")</f>
        <v>K/2/190525/1</v>
      </c>
      <c r="C4276" s="42" t="str">
        <f>IFERROR(__xludf.DUMMYFUNCTION("""COMPUTED_VALUE"""),"M. 1867/ Susunan Baru")</f>
        <v>M. 1867/ Susunan Baru</v>
      </c>
      <c r="D4276" s="42" t="str">
        <f>IFERROR(__xludf.DUMMYFUNCTION("""COMPUTED_VALUE"""),"Berry")</f>
        <v>Berry</v>
      </c>
      <c r="E4276" s="42" t="str">
        <f>IFERROR(__xludf.DUMMYFUNCTION("""COMPUTED_VALUE"""),"DISERAHKAN")</f>
        <v>DISERAHKAN</v>
      </c>
      <c r="F4276" s="48">
        <f>IFERROR(__xludf.DUMMYFUNCTION("""COMPUTED_VALUE"""),45838.68669416667)</f>
        <v>45838.68669</v>
      </c>
      <c r="G4276" s="42" t="str">
        <f>IFERROR(__xludf.DUMMYFUNCTION("""COMPUTED_VALUE"""),"BN JUAL BELI")</f>
        <v>BN JUAL BELI</v>
      </c>
      <c r="H4276" s="42">
        <f t="shared" si="1"/>
        <v>1885</v>
      </c>
    </row>
    <row r="4277" ht="22.5" customHeight="1">
      <c r="B4277" s="42" t="str">
        <f>IFERROR(__xludf.DUMMYFUNCTION("""COMPUTED_VALUE"""),"K/3/190525/1")</f>
        <v>K/3/190525/1</v>
      </c>
      <c r="C4277" s="42" t="str">
        <f>IFERROR(__xludf.DUMMYFUNCTION("""COMPUTED_VALUE"""),"M. 10077/ Sidodadi")</f>
        <v>M. 10077/ Sidodadi</v>
      </c>
      <c r="D4277" s="42" t="str">
        <f>IFERROR(__xludf.DUMMYFUNCTION("""COMPUTED_VALUE"""),"David")</f>
        <v>David</v>
      </c>
      <c r="E4277" s="42" t="str">
        <f>IFERROR(__xludf.DUMMYFUNCTION("""COMPUTED_VALUE"""),"DISERAHKAN")</f>
        <v>DISERAHKAN</v>
      </c>
      <c r="F4277" s="48">
        <f>IFERROR(__xludf.DUMMYFUNCTION("""COMPUTED_VALUE"""),45848.550583414355)</f>
        <v>45848.55058</v>
      </c>
      <c r="G4277" s="42" t="str">
        <f>IFERROR(__xludf.DUMMYFUNCTION("""COMPUTED_VALUE"""),"BN Waris")</f>
        <v>BN Waris</v>
      </c>
      <c r="H4277" s="42">
        <f t="shared" si="1"/>
        <v>1886</v>
      </c>
    </row>
    <row r="4278" ht="22.5" customHeight="1">
      <c r="B4278" s="42" t="str">
        <f>IFERROR(__xludf.DUMMYFUNCTION("""COMPUTED_VALUE"""),"K/4/190525/1")</f>
        <v>K/4/190525/1</v>
      </c>
      <c r="C4278" s="42" t="str">
        <f>IFERROR(__xludf.DUMMYFUNCTION("""COMPUTED_VALUE"""),"Nibel 20799/ Kupang Teba")</f>
        <v>Nibel 20799/ Kupang Teba</v>
      </c>
      <c r="D4278" s="42"/>
      <c r="E4278" s="42"/>
      <c r="F4278" s="48" t="str">
        <f>IFERROR(__xludf.DUMMYFUNCTION("""COMPUTED_VALUE"""),"")</f>
        <v/>
      </c>
      <c r="G4278" s="42" t="str">
        <f>IFERROR(__xludf.DUMMYFUNCTION("""COMPUTED_VALUE"""),"BN JUAL BELI")</f>
        <v>BN JUAL BELI</v>
      </c>
      <c r="H4278" s="42">
        <f t="shared" si="1"/>
        <v>1886</v>
      </c>
    </row>
    <row r="4279" ht="22.5" customHeight="1">
      <c r="B4279" s="42" t="str">
        <f>IFERROR(__xludf.DUMMYFUNCTION("""COMPUTED_VALUE"""),"K/5/190525/1")</f>
        <v>K/5/190525/1</v>
      </c>
      <c r="C4279" s="42" t="str">
        <f>IFERROR(__xludf.DUMMYFUNCTION("""COMPUTED_VALUE"""),"M. 1010/ N O G")</f>
        <v>M. 1010/ N O G</v>
      </c>
      <c r="D4279" s="42" t="str">
        <f>IFERROR(__xludf.DUMMYFUNCTION("""COMPUTED_VALUE"""),"Berry")</f>
        <v>Berry</v>
      </c>
      <c r="E4279" s="42" t="str">
        <f>IFERROR(__xludf.DUMMYFUNCTION("""COMPUTED_VALUE"""),"DISERAHKAN")</f>
        <v>DISERAHKAN</v>
      </c>
      <c r="F4279" s="48">
        <f>IFERROR(__xludf.DUMMYFUNCTION("""COMPUTED_VALUE"""),45812.608563437505)</f>
        <v>45812.60856</v>
      </c>
      <c r="G4279" s="42" t="str">
        <f>IFERROR(__xludf.DUMMYFUNCTION("""COMPUTED_VALUE"""),"BN Jual Beli")</f>
        <v>BN Jual Beli</v>
      </c>
      <c r="H4279" s="42">
        <f t="shared" si="1"/>
        <v>1887</v>
      </c>
    </row>
    <row r="4280" ht="22.5" customHeight="1">
      <c r="B4280" s="42" t="str">
        <f>IFERROR(__xludf.DUMMYFUNCTION("""COMPUTED_VALUE"""),"K/6/190525/1")</f>
        <v>K/6/190525/1</v>
      </c>
      <c r="C4280" s="42" t="str">
        <f>IFERROR(__xludf.DUMMYFUNCTION("""COMPUTED_VALUE"""),"Nibel. M. 20547/ Sidodadi")</f>
        <v>Nibel. M. 20547/ Sidodadi</v>
      </c>
      <c r="D4280" s="42"/>
      <c r="E4280" s="42"/>
      <c r="F4280" s="48" t="str">
        <f>IFERROR(__xludf.DUMMYFUNCTION("""COMPUTED_VALUE"""),"")</f>
        <v/>
      </c>
      <c r="G4280" s="42" t="str">
        <f>IFERROR(__xludf.DUMMYFUNCTION("""COMPUTED_VALUE"""),"BN Jual Beli")</f>
        <v>BN Jual Beli</v>
      </c>
      <c r="H4280" s="42">
        <f t="shared" si="1"/>
        <v>1887</v>
      </c>
    </row>
    <row r="4281" ht="22.5" customHeight="1">
      <c r="B4281" s="42" t="str">
        <f>IFERROR(__xludf.DUMMYFUNCTION("""COMPUTED_VALUE"""),"L/7/190525/1")</f>
        <v>L/7/190525/1</v>
      </c>
      <c r="C4281" s="42" t="str">
        <f>IFERROR(__xludf.DUMMYFUNCTION("""COMPUTED_VALUE"""),"NIB 20843/JAGABAYA II")</f>
        <v>NIB 20843/JAGABAYA II</v>
      </c>
      <c r="D4281" s="42"/>
      <c r="E4281" s="42"/>
      <c r="F4281" s="48" t="str">
        <f>IFERROR(__xludf.DUMMYFUNCTION("""COMPUTED_VALUE"""),"")</f>
        <v/>
      </c>
      <c r="G4281" s="42" t="str">
        <f>IFERROR(__xludf.DUMMYFUNCTION("""COMPUTED_VALUE"""),"BN LELANG")</f>
        <v>BN LELANG</v>
      </c>
      <c r="H4281" s="42">
        <f t="shared" si="1"/>
        <v>1887</v>
      </c>
    </row>
    <row r="4282" ht="22.5" customHeight="1">
      <c r="B4282" s="42" t="str">
        <f>IFERROR(__xludf.DUMMYFUNCTION("""COMPUTED_VALUE"""),"K/8/190525/1")</f>
        <v>K/8/190525/1</v>
      </c>
      <c r="C4282" s="42" t="str">
        <f>IFERROR(__xludf.DUMMYFUNCTION("""COMPUTED_VALUE"""),"B.167/GUNUNG TERANG")</f>
        <v>B.167/GUNUNG TERANG</v>
      </c>
      <c r="D4282" s="42"/>
      <c r="E4282" s="42"/>
      <c r="F4282" s="48" t="str">
        <f>IFERROR(__xludf.DUMMYFUNCTION("""COMPUTED_VALUE"""),"")</f>
        <v/>
      </c>
      <c r="G4282" s="42" t="str">
        <f>IFERROR(__xludf.DUMMYFUNCTION("""COMPUTED_VALUE"""),"PENINGKATAN HAK")</f>
        <v>PENINGKATAN HAK</v>
      </c>
      <c r="H4282" s="42">
        <f t="shared" si="1"/>
        <v>1887</v>
      </c>
    </row>
    <row r="4283" ht="22.5" customHeight="1">
      <c r="B4283" s="42" t="str">
        <f>IFERROR(__xludf.DUMMYFUNCTION("""COMPUTED_VALUE"""),"K/9/190525/1")</f>
        <v>K/9/190525/1</v>
      </c>
      <c r="C4283" s="42" t="str">
        <f>IFERROR(__xludf.DUMMYFUNCTION("""COMPUTED_VALUE"""),"M. 10037/ Sukamenanti")</f>
        <v>M. 10037/ Sukamenanti</v>
      </c>
      <c r="D4283" s="42" t="str">
        <f>IFERROR(__xludf.DUMMYFUNCTION("""COMPUTED_VALUE"""),"David")</f>
        <v>David</v>
      </c>
      <c r="E4283" s="42" t="str">
        <f>IFERROR(__xludf.DUMMYFUNCTION("""COMPUTED_VALUE"""),"DISERAHKAN")</f>
        <v>DISERAHKAN</v>
      </c>
      <c r="F4283" s="48">
        <f>IFERROR(__xludf.DUMMYFUNCTION("""COMPUTED_VALUE"""),45852.64229394676)</f>
        <v>45852.64229</v>
      </c>
      <c r="G4283" s="42" t="str">
        <f>IFERROR(__xludf.DUMMYFUNCTION("""COMPUTED_VALUE"""),"ROYA")</f>
        <v>ROYA</v>
      </c>
      <c r="H4283" s="42">
        <f t="shared" si="1"/>
        <v>1888</v>
      </c>
    </row>
    <row r="4284" ht="22.5" customHeight="1">
      <c r="B4284" s="42" t="str">
        <f>IFERROR(__xludf.DUMMYFUNCTION("""COMPUTED_VALUE"""),"K/10/190525/1")</f>
        <v>K/10/190525/1</v>
      </c>
      <c r="C4284" s="42" t="str">
        <f>IFERROR(__xludf.DUMMYFUNCTION("""COMPUTED_VALUE"""),"M.616/RAJABASA PEMUKA")</f>
        <v>M.616/RAJABASA PEMUKA</v>
      </c>
      <c r="D4284" s="42" t="str">
        <f>IFERROR(__xludf.DUMMYFUNCTION("""COMPUTED_VALUE"""),"David")</f>
        <v>David</v>
      </c>
      <c r="E4284" s="42" t="str">
        <f>IFERROR(__xludf.DUMMYFUNCTION("""COMPUTED_VALUE"""),"DISERAHKAN")</f>
        <v>DISERAHKAN</v>
      </c>
      <c r="F4284" s="48">
        <f>IFERROR(__xludf.DUMMYFUNCTION("""COMPUTED_VALUE"""),45824.6306334838)</f>
        <v>45824.63063</v>
      </c>
      <c r="G4284" s="42" t="str">
        <f>IFERROR(__xludf.DUMMYFUNCTION("""COMPUTED_VALUE"""),"ROYA")</f>
        <v>ROYA</v>
      </c>
      <c r="H4284" s="42">
        <f t="shared" si="1"/>
        <v>1889</v>
      </c>
    </row>
    <row r="4285" ht="22.5" customHeight="1">
      <c r="B4285" s="42" t="str">
        <f>IFERROR(__xludf.DUMMYFUNCTION("""COMPUTED_VALUE"""),"L/11/190525/1")</f>
        <v>L/11/190525/1</v>
      </c>
      <c r="C4285" s="42" t="str">
        <f>IFERROR(__xludf.DUMMYFUNCTION("""COMPUTED_VALUE"""),"HM 11713/KEDAMAIAN")</f>
        <v>HM 11713/KEDAMAIAN</v>
      </c>
      <c r="D4285" s="42"/>
      <c r="E4285" s="42"/>
      <c r="F4285" s="48" t="str">
        <f>IFERROR(__xludf.DUMMYFUNCTION("""COMPUTED_VALUE"""),"")</f>
        <v/>
      </c>
      <c r="G4285" s="42" t="str">
        <f>IFERROR(__xludf.DUMMYFUNCTION("""COMPUTED_VALUE"""),"SKPT INFORMASI")</f>
        <v>SKPT INFORMASI</v>
      </c>
      <c r="H4285" s="42">
        <f t="shared" si="1"/>
        <v>1889</v>
      </c>
    </row>
    <row r="4286" ht="22.5" customHeight="1">
      <c r="B4286" s="42" t="str">
        <f>IFERROR(__xludf.DUMMYFUNCTION("""COMPUTED_VALUE"""),"K/12/190525/1")</f>
        <v>K/12/190525/1</v>
      </c>
      <c r="C4286" s="42" t="str">
        <f>IFERROR(__xludf.DUMMYFUNCTION("""COMPUTED_VALUE"""),"Nibel. M. 20695/ Rajabasa Jaya")</f>
        <v>Nibel. M. 20695/ Rajabasa Jaya</v>
      </c>
      <c r="D4286" s="42"/>
      <c r="E4286" s="42"/>
      <c r="F4286" s="48" t="str">
        <f>IFERROR(__xludf.DUMMYFUNCTION("""COMPUTED_VALUE"""),"")</f>
        <v/>
      </c>
      <c r="G4286" s="42" t="str">
        <f>IFERROR(__xludf.DUMMYFUNCTION("""COMPUTED_VALUE"""),"PTPGT (Pemecahan)")</f>
        <v>PTPGT (Pemecahan)</v>
      </c>
      <c r="H4286" s="42">
        <f t="shared" si="1"/>
        <v>1889</v>
      </c>
    </row>
    <row r="4287" ht="22.5" customHeight="1">
      <c r="B4287" s="42" t="str">
        <f>IFERROR(__xludf.DUMMYFUNCTION("""COMPUTED_VALUE"""),"K/13/190525/1")</f>
        <v>K/13/190525/1</v>
      </c>
      <c r="C4287" s="42" t="str">
        <f>IFERROR(__xludf.DUMMYFUNCTION("""COMPUTED_VALUE"""),"M. 10716/ Sidodadi")</f>
        <v>M. 10716/ Sidodadi</v>
      </c>
      <c r="D4287" s="42" t="str">
        <f>IFERROR(__xludf.DUMMYFUNCTION("""COMPUTED_VALUE"""),"Berry")</f>
        <v>Berry</v>
      </c>
      <c r="E4287" s="42" t="str">
        <f>IFERROR(__xludf.DUMMYFUNCTION("""COMPUTED_VALUE"""),"DISERAHKAN")</f>
        <v>DISERAHKAN</v>
      </c>
      <c r="F4287" s="48">
        <f>IFERROR(__xludf.DUMMYFUNCTION("""COMPUTED_VALUE"""),45819.801936793985)</f>
        <v>45819.80194</v>
      </c>
      <c r="G4287" s="42" t="str">
        <f>IFERROR(__xludf.DUMMYFUNCTION("""COMPUTED_VALUE"""),"BN JUAL BELI")</f>
        <v>BN JUAL BELI</v>
      </c>
      <c r="H4287" s="42">
        <f t="shared" si="1"/>
        <v>1890</v>
      </c>
    </row>
    <row r="4288" ht="22.5" customHeight="1">
      <c r="B4288" s="42" t="str">
        <f>IFERROR(__xludf.DUMMYFUNCTION("""COMPUTED_VALUE"""),"L/14/190525/1")</f>
        <v>L/14/190525/1</v>
      </c>
      <c r="C4288" s="42" t="str">
        <f>IFERROR(__xludf.DUMMYFUNCTION("""COMPUTED_VALUE"""),"NIB 30671/KETEGUHAN")</f>
        <v>NIB 30671/KETEGUHAN</v>
      </c>
      <c r="D4288" s="42"/>
      <c r="E4288" s="42"/>
      <c r="F4288" s="48" t="str">
        <f>IFERROR(__xludf.DUMMYFUNCTION("""COMPUTED_VALUE"""),"")</f>
        <v/>
      </c>
      <c r="G4288" s="42" t="str">
        <f>IFERROR(__xludf.DUMMYFUNCTION("""COMPUTED_VALUE"""),"PH")</f>
        <v>PH</v>
      </c>
      <c r="H4288" s="42">
        <f t="shared" si="1"/>
        <v>1890</v>
      </c>
    </row>
    <row r="4289" ht="22.5" customHeight="1">
      <c r="B4289" s="42" t="str">
        <f>IFERROR(__xludf.DUMMYFUNCTION("""COMPUTED_VALUE"""),"K/15/190525/1")</f>
        <v>K/15/190525/1</v>
      </c>
      <c r="C4289" s="42" t="str">
        <f>IFERROR(__xludf.DUMMYFUNCTION("""COMPUTED_VALUE"""),"M. 1843/ Rajabasa Nunyai")</f>
        <v>M. 1843/ Rajabasa Nunyai</v>
      </c>
      <c r="D4289" s="42" t="str">
        <f>IFERROR(__xludf.DUMMYFUNCTION("""COMPUTED_VALUE"""),"Berry")</f>
        <v>Berry</v>
      </c>
      <c r="E4289" s="42" t="str">
        <f>IFERROR(__xludf.DUMMYFUNCTION("""COMPUTED_VALUE"""),"DISERAHKAN")</f>
        <v>DISERAHKAN</v>
      </c>
      <c r="F4289" s="48">
        <f>IFERROR(__xludf.DUMMYFUNCTION("""COMPUTED_VALUE"""),45824.52843663194)</f>
        <v>45824.52844</v>
      </c>
      <c r="G4289" s="42" t="str">
        <f>IFERROR(__xludf.DUMMYFUNCTION("""COMPUTED_VALUE"""),"BN Waris")</f>
        <v>BN Waris</v>
      </c>
      <c r="H4289" s="42">
        <f t="shared" si="1"/>
        <v>1891</v>
      </c>
    </row>
    <row r="4290" ht="22.5" customHeight="1">
      <c r="B4290" s="42" t="str">
        <f>IFERROR(__xludf.DUMMYFUNCTION("""COMPUTED_VALUE"""),"L/16/190525/1")</f>
        <v>L/16/190525/1</v>
      </c>
      <c r="C4290" s="42" t="str">
        <f>IFERROR(__xludf.DUMMYFUNCTION("""COMPUTED_VALUE"""),"HM 11062/8KEDATON")</f>
        <v>HM 11062/8KEDATON</v>
      </c>
      <c r="D4290" s="42"/>
      <c r="E4290" s="42"/>
      <c r="F4290" s="48" t="str">
        <f>IFERROR(__xludf.DUMMYFUNCTION("""COMPUTED_VALUE"""),"")</f>
        <v/>
      </c>
      <c r="G4290" s="42" t="str">
        <f>IFERROR(__xludf.DUMMYFUNCTION("""COMPUTED_VALUE"""),"ROYA")</f>
        <v>ROYA</v>
      </c>
      <c r="H4290" s="42">
        <f t="shared" si="1"/>
        <v>1891</v>
      </c>
    </row>
    <row r="4291" ht="22.5" customHeight="1">
      <c r="B4291" s="42" t="str">
        <f>IFERROR(__xludf.DUMMYFUNCTION("""COMPUTED_VALUE"""),"L/17/190525/1")</f>
        <v>L/17/190525/1</v>
      </c>
      <c r="C4291" s="42" t="str">
        <f>IFERROR(__xludf.DUMMYFUNCTION("""COMPUTED_VALUE"""),"HGB 2627/SUKARAME")</f>
        <v>HGB 2627/SUKARAME</v>
      </c>
      <c r="D4291" s="42"/>
      <c r="E4291" s="42"/>
      <c r="F4291" s="48" t="str">
        <f>IFERROR(__xludf.DUMMYFUNCTION("""COMPUTED_VALUE"""),"")</f>
        <v/>
      </c>
      <c r="G4291" s="42" t="str">
        <f>IFERROR(__xludf.DUMMYFUNCTION("""COMPUTED_VALUE"""),"PH")</f>
        <v>PH</v>
      </c>
      <c r="H4291" s="42">
        <f t="shared" si="1"/>
        <v>1891</v>
      </c>
    </row>
    <row r="4292" ht="22.5" customHeight="1">
      <c r="B4292" s="42" t="str">
        <f>IFERROR(__xludf.DUMMYFUNCTION("""COMPUTED_VALUE"""),"K/18/190525/1")</f>
        <v>K/18/190525/1</v>
      </c>
      <c r="C4292" s="42" t="str">
        <f>IFERROR(__xludf.DUMMYFUNCTION("""COMPUTED_VALUE"""),"M. 10402/ Kedaton")</f>
        <v>M. 10402/ Kedaton</v>
      </c>
      <c r="D4292" s="42" t="str">
        <f>IFERROR(__xludf.DUMMYFUNCTION("""COMPUTED_VALUE"""),"Berry")</f>
        <v>Berry</v>
      </c>
      <c r="E4292" s="42" t="str">
        <f>IFERROR(__xludf.DUMMYFUNCTION("""COMPUTED_VALUE"""),"DISERAHKAN")</f>
        <v>DISERAHKAN</v>
      </c>
      <c r="F4292" s="48">
        <f>IFERROR(__xludf.DUMMYFUNCTION("""COMPUTED_VALUE"""),45803.438618368054)</f>
        <v>45803.43862</v>
      </c>
      <c r="G4292" s="42" t="str">
        <f>IFERROR(__xludf.DUMMYFUNCTION("""COMPUTED_VALUE"""),"BN JUAL BELI")</f>
        <v>BN JUAL BELI</v>
      </c>
      <c r="H4292" s="42">
        <f t="shared" si="1"/>
        <v>1892</v>
      </c>
    </row>
    <row r="4293" ht="22.5" customHeight="1">
      <c r="B4293" s="42" t="str">
        <f>IFERROR(__xludf.DUMMYFUNCTION("""COMPUTED_VALUE"""),"L/21/190525/1")</f>
        <v>L/21/190525/1</v>
      </c>
      <c r="C4293" s="42" t="str">
        <f>IFERROR(__xludf.DUMMYFUNCTION("""COMPUTED_VALUE"""),"HM 1907/BERINIGN JAYA")</f>
        <v>HM 1907/BERINIGN JAYA</v>
      </c>
      <c r="D4293" s="42" t="str">
        <f>IFERROR(__xludf.DUMMYFUNCTION("""COMPUTED_VALUE"""),"David")</f>
        <v>David</v>
      </c>
      <c r="E4293" s="42" t="str">
        <f>IFERROR(__xludf.DUMMYFUNCTION("""COMPUTED_VALUE"""),"DISERAHKAN")</f>
        <v>DISERAHKAN</v>
      </c>
      <c r="F4293" s="48">
        <f>IFERROR(__xludf.DUMMYFUNCTION("""COMPUTED_VALUE"""),45957.49295703704)</f>
        <v>45957.49296</v>
      </c>
      <c r="G4293" s="42" t="str">
        <f>IFERROR(__xludf.DUMMYFUNCTION("""COMPUTED_VALUE"""),"BN WARIS")</f>
        <v>BN WARIS</v>
      </c>
      <c r="H4293" s="42">
        <f t="shared" si="1"/>
        <v>1893</v>
      </c>
    </row>
    <row r="4294" ht="22.5" customHeight="1">
      <c r="B4294" s="42" t="str">
        <f>IFERROR(__xludf.DUMMYFUNCTION("""COMPUTED_VALUE"""),"L/22/190525/1")</f>
        <v>L/22/190525/1</v>
      </c>
      <c r="C4294" s="42" t="str">
        <f>IFERROR(__xludf.DUMMYFUNCTION("""COMPUTED_VALUE"""),"HM 5733/WAY KANDIS")</f>
        <v>HM 5733/WAY KANDIS</v>
      </c>
      <c r="D4294" s="42"/>
      <c r="E4294" s="42"/>
      <c r="F4294" s="48" t="str">
        <f>IFERROR(__xludf.DUMMYFUNCTION("""COMPUTED_VALUE"""),"")</f>
        <v/>
      </c>
      <c r="G4294" s="42" t="str">
        <f>IFERROR(__xludf.DUMMYFUNCTION("""COMPUTED_VALUE"""),"PENGHAPUSAN BPHTB")</f>
        <v>PENGHAPUSAN BPHTB</v>
      </c>
      <c r="H4294" s="42">
        <f t="shared" si="1"/>
        <v>1893</v>
      </c>
    </row>
    <row r="4295" ht="22.5" customHeight="1">
      <c r="B4295" s="42" t="str">
        <f>IFERROR(__xludf.DUMMYFUNCTION("""COMPUTED_VALUE"""),"K/23/190525/1")</f>
        <v>K/23/190525/1</v>
      </c>
      <c r="C4295" s="42" t="str">
        <f>IFERROR(__xludf.DUMMYFUNCTION("""COMPUTED_VALUE"""),"B. 849/ Perumnas Way Kandis")</f>
        <v>B. 849/ Perumnas Way Kandis</v>
      </c>
      <c r="D4295" s="42"/>
      <c r="E4295" s="42"/>
      <c r="F4295" s="48" t="str">
        <f>IFERROR(__xludf.DUMMYFUNCTION("""COMPUTED_VALUE"""),"")</f>
        <v/>
      </c>
      <c r="G4295" s="42" t="str">
        <f>IFERROR(__xludf.DUMMYFUNCTION("""COMPUTED_VALUE"""),"Perubahan Hak")</f>
        <v>Perubahan Hak</v>
      </c>
      <c r="H4295" s="42">
        <f t="shared" si="1"/>
        <v>1893</v>
      </c>
    </row>
    <row r="4296" ht="22.5" customHeight="1">
      <c r="B4296" s="42" t="str">
        <f>IFERROR(__xludf.DUMMYFUNCTION("""COMPUTED_VALUE"""),"K/24/190525/1")</f>
        <v>K/24/190525/1</v>
      </c>
      <c r="C4296" s="42" t="str">
        <f>IFERROR(__xludf.DUMMYFUNCTION("""COMPUTED_VALUE"""),"M.14534/SUKABUMI")</f>
        <v>M.14534/SUKABUMI</v>
      </c>
      <c r="D4296" s="42" t="str">
        <f>IFERROR(__xludf.DUMMYFUNCTION("""COMPUTED_VALUE"""),"Berry")</f>
        <v>Berry</v>
      </c>
      <c r="E4296" s="42" t="str">
        <f>IFERROR(__xludf.DUMMYFUNCTION("""COMPUTED_VALUE"""),"DISERAHKAN")</f>
        <v>DISERAHKAN</v>
      </c>
      <c r="F4296" s="48">
        <f>IFERROR(__xludf.DUMMYFUNCTION("""COMPUTED_VALUE"""),45824.471418333334)</f>
        <v>45824.47142</v>
      </c>
      <c r="G4296" s="42" t="str">
        <f>IFERROR(__xludf.DUMMYFUNCTION("""COMPUTED_VALUE"""),"JUAL BELI")</f>
        <v>JUAL BELI</v>
      </c>
      <c r="H4296" s="42">
        <f t="shared" si="1"/>
        <v>1894</v>
      </c>
    </row>
    <row r="4297" ht="22.5" customHeight="1">
      <c r="B4297" s="42" t="str">
        <f>IFERROR(__xludf.DUMMYFUNCTION("""COMPUTED_VALUE"""),"K/25/190525/1")</f>
        <v>K/25/190525/1</v>
      </c>
      <c r="C4297" s="42" t="str">
        <f>IFERROR(__xludf.DUMMYFUNCTION("""COMPUTED_VALUE"""),"M. 178/ Kaliawi Persada")</f>
        <v>M. 178/ Kaliawi Persada</v>
      </c>
      <c r="D4297" s="42"/>
      <c r="E4297" s="42"/>
      <c r="F4297" s="48" t="str">
        <f>IFERROR(__xludf.DUMMYFUNCTION("""COMPUTED_VALUE"""),"")</f>
        <v/>
      </c>
      <c r="G4297" s="42" t="str">
        <f>IFERROR(__xludf.DUMMYFUNCTION("""COMPUTED_VALUE"""),"HAPUS BPHTB")</f>
        <v>HAPUS BPHTB</v>
      </c>
      <c r="H4297" s="42">
        <f t="shared" si="1"/>
        <v>1894</v>
      </c>
    </row>
    <row r="4298" ht="22.5" customHeight="1">
      <c r="B4298" s="42" t="str">
        <f>IFERROR(__xludf.DUMMYFUNCTION("""COMPUTED_VALUE"""),"L/26/190525/1")</f>
        <v>L/26/190525/1</v>
      </c>
      <c r="C4298" s="42" t="str">
        <f>IFERROR(__xludf.DUMMYFUNCTION("""COMPUTED_VALUE"""),"HGB 900/SUKARAME BARU")</f>
        <v>HGB 900/SUKARAME BARU</v>
      </c>
      <c r="D4298" s="42"/>
      <c r="E4298" s="42"/>
      <c r="F4298" s="48" t="str">
        <f>IFERROR(__xludf.DUMMYFUNCTION("""COMPUTED_VALUE"""),"")</f>
        <v/>
      </c>
      <c r="G4298" s="42" t="str">
        <f>IFERROR(__xludf.DUMMYFUNCTION("""COMPUTED_VALUE"""),"PH")</f>
        <v>PH</v>
      </c>
      <c r="H4298" s="42">
        <f t="shared" si="1"/>
        <v>1894</v>
      </c>
    </row>
    <row r="4299" ht="22.5" customHeight="1">
      <c r="B4299" s="42" t="str">
        <f>IFERROR(__xludf.DUMMYFUNCTION("""COMPUTED_VALUE"""),"K/27/190525/1")</f>
        <v>K/27/190525/1</v>
      </c>
      <c r="C4299" s="42" t="str">
        <f>IFERROR(__xludf.DUMMYFUNCTION("""COMPUTED_VALUE"""),"Nibel. B. 407/ Kemiling Permai")</f>
        <v>Nibel. B. 407/ Kemiling Permai</v>
      </c>
      <c r="D4299" s="42"/>
      <c r="E4299" s="42"/>
      <c r="F4299" s="48" t="str">
        <f>IFERROR(__xludf.DUMMYFUNCTION("""COMPUTED_VALUE"""),"")</f>
        <v/>
      </c>
      <c r="G4299" s="42" t="str">
        <f>IFERROR(__xludf.DUMMYFUNCTION("""COMPUTED_VALUE"""),"BN Jual Beli")</f>
        <v>BN Jual Beli</v>
      </c>
      <c r="H4299" s="42">
        <f t="shared" si="1"/>
        <v>1894</v>
      </c>
    </row>
    <row r="4300" ht="22.5" customHeight="1">
      <c r="B4300" s="42" t="str">
        <f>IFERROR(__xludf.DUMMYFUNCTION("""COMPUTED_VALUE"""),"L/31/190525/5")</f>
        <v>L/31/190525/5</v>
      </c>
      <c r="C4300" s="42" t="str">
        <f>IFERROR(__xludf.DUMMYFUNCTION("""COMPUTED_VALUE"""),"HM 2982/SUKARAME II")</f>
        <v>HM 2982/SUKARAME II</v>
      </c>
      <c r="D4300" s="42"/>
      <c r="E4300" s="42"/>
      <c r="F4300" s="48" t="str">
        <f>IFERROR(__xludf.DUMMYFUNCTION("""COMPUTED_VALUE"""),"")</f>
        <v/>
      </c>
      <c r="G4300" s="42" t="str">
        <f>IFERROR(__xludf.DUMMYFUNCTION("""COMPUTED_VALUE"""),"PTPGT")</f>
        <v>PTPGT</v>
      </c>
      <c r="H4300" s="42">
        <f t="shared" si="1"/>
        <v>1894</v>
      </c>
    </row>
    <row r="4301" ht="22.5" customHeight="1">
      <c r="B4301" s="42" t="str">
        <f>IFERROR(__xludf.DUMMYFUNCTION("""COMPUTED_VALUE"""),"K/28/190525/1")</f>
        <v>K/28/190525/1</v>
      </c>
      <c r="C4301" s="42" t="str">
        <f>IFERROR(__xludf.DUMMYFUNCTION("""COMPUTED_VALUE"""),"M. 12360/ Segala Mider")</f>
        <v>M. 12360/ Segala Mider</v>
      </c>
      <c r="D4301" s="42"/>
      <c r="E4301" s="42"/>
      <c r="F4301" s="48" t="str">
        <f>IFERROR(__xludf.DUMMYFUNCTION("""COMPUTED_VALUE"""),"")</f>
        <v/>
      </c>
      <c r="G4301" s="42" t="str">
        <f>IFERROR(__xludf.DUMMYFUNCTION("""COMPUTED_VALUE"""),"SKPT LELANG")</f>
        <v>SKPT LELANG</v>
      </c>
      <c r="H4301" s="42">
        <f t="shared" si="1"/>
        <v>1894</v>
      </c>
    </row>
    <row r="4302" ht="22.5" customHeight="1">
      <c r="B4302" s="42" t="str">
        <f>IFERROR(__xludf.DUMMYFUNCTION("""COMPUTED_VALUE"""),"K/20/190525/2")</f>
        <v>K/20/190525/2</v>
      </c>
      <c r="C4302" s="42" t="str">
        <f>IFERROR(__xludf.DUMMYFUNCTION("""COMPUTED_VALUE"""),"M. 18177/ Sukarame")</f>
        <v>M. 18177/ Sukarame</v>
      </c>
      <c r="D4302" s="42"/>
      <c r="E4302" s="42"/>
      <c r="F4302" s="48" t="str">
        <f>IFERROR(__xludf.DUMMYFUNCTION("""COMPUTED_VALUE"""),"")</f>
        <v/>
      </c>
      <c r="G4302" s="42" t="str">
        <f>IFERROR(__xludf.DUMMYFUNCTION("""COMPUTED_VALUE"""),"SKPT Lelang")</f>
        <v>SKPT Lelang</v>
      </c>
      <c r="H4302" s="42">
        <f t="shared" si="1"/>
        <v>1894</v>
      </c>
    </row>
    <row r="4303" ht="22.5" customHeight="1">
      <c r="B4303" s="42" t="str">
        <f>IFERROR(__xludf.DUMMYFUNCTION("""COMPUTED_VALUE"""),"L/32/190525/1")</f>
        <v>L/32/190525/1</v>
      </c>
      <c r="C4303" s="42" t="str">
        <f>IFERROR(__xludf.DUMMYFUNCTION("""COMPUTED_VALUE"""),"HGB 2408/CAMPANG JAYA")</f>
        <v>HGB 2408/CAMPANG JAYA</v>
      </c>
      <c r="D4303" s="42"/>
      <c r="E4303" s="42"/>
      <c r="F4303" s="48" t="str">
        <f>IFERROR(__xludf.DUMMYFUNCTION("""COMPUTED_VALUE"""),"")</f>
        <v/>
      </c>
      <c r="G4303" s="42" t="str">
        <f>IFERROR(__xludf.DUMMYFUNCTION("""COMPUTED_VALUE"""),"PH")</f>
        <v>PH</v>
      </c>
      <c r="H4303" s="42">
        <f t="shared" si="1"/>
        <v>1894</v>
      </c>
    </row>
    <row r="4304" ht="22.5" customHeight="1">
      <c r="B4304" s="42" t="str">
        <f>IFERROR(__xludf.DUMMYFUNCTION("""COMPUTED_VALUE"""),"K/19/190525/1")</f>
        <v>K/19/190525/1</v>
      </c>
      <c r="C4304" s="42" t="str">
        <f>IFERROR(__xludf.DUMMYFUNCTION("""COMPUTED_VALUE"""),"M. 552/ Rajabasa")</f>
        <v>M. 552/ Rajabasa</v>
      </c>
      <c r="D4304" s="42"/>
      <c r="E4304" s="42"/>
      <c r="F4304" s="48" t="str">
        <f>IFERROR(__xludf.DUMMYFUNCTION("""COMPUTED_VALUE"""),"")</f>
        <v/>
      </c>
      <c r="G4304" s="42" t="str">
        <f>IFERROR(__xludf.DUMMYFUNCTION("""COMPUTED_VALUE"""),"SKPT Lelang")</f>
        <v>SKPT Lelang</v>
      </c>
      <c r="H4304" s="42">
        <f t="shared" si="1"/>
        <v>1894</v>
      </c>
    </row>
    <row r="4305" ht="22.5" customHeight="1">
      <c r="B4305" s="42" t="str">
        <f>IFERROR(__xludf.DUMMYFUNCTION("""COMPUTED_VALUE"""),"K/29/190525/2")</f>
        <v>K/29/190525/2</v>
      </c>
      <c r="C4305" s="42" t="str">
        <f>IFERROR(__xludf.DUMMYFUNCTION("""COMPUTED_VALUE"""),"M. 12361/ Segala Mider")</f>
        <v>M. 12361/ Segala Mider</v>
      </c>
      <c r="D4305" s="42"/>
      <c r="E4305" s="42"/>
      <c r="F4305" s="48" t="str">
        <f>IFERROR(__xludf.DUMMYFUNCTION("""COMPUTED_VALUE"""),"")</f>
        <v/>
      </c>
      <c r="G4305" s="42" t="str">
        <f>IFERROR(__xludf.DUMMYFUNCTION("""COMPUTED_VALUE"""),"SKPT LELANG")</f>
        <v>SKPT LELANG</v>
      </c>
      <c r="H4305" s="42">
        <f t="shared" si="1"/>
        <v>1894</v>
      </c>
    </row>
    <row r="4306" ht="22.5" customHeight="1">
      <c r="B4306" s="42" t="str">
        <f>IFERROR(__xludf.DUMMYFUNCTION("""COMPUTED_VALUE"""),"K/30/190525/3")</f>
        <v>K/30/190525/3</v>
      </c>
      <c r="C4306" s="42" t="str">
        <f>IFERROR(__xludf.DUMMYFUNCTION("""COMPUTED_VALUE"""),"M. 1723/ Way Laga")</f>
        <v>M. 1723/ Way Laga</v>
      </c>
      <c r="D4306" s="42"/>
      <c r="E4306" s="42"/>
      <c r="F4306" s="48" t="str">
        <f>IFERROR(__xludf.DUMMYFUNCTION("""COMPUTED_VALUE"""),"")</f>
        <v/>
      </c>
      <c r="G4306" s="42" t="str">
        <f>IFERROR(__xludf.DUMMYFUNCTION("""COMPUTED_VALUE"""),"SKPT LELANG")</f>
        <v>SKPT LELANG</v>
      </c>
      <c r="H4306" s="42">
        <f t="shared" si="1"/>
        <v>1894</v>
      </c>
    </row>
    <row r="4307" ht="22.5" customHeight="1">
      <c r="B4307" s="42" t="str">
        <f>IFERROR(__xludf.DUMMYFUNCTION("""COMPUTED_VALUE"""),"K/33/190525/1")</f>
        <v>K/33/190525/1</v>
      </c>
      <c r="C4307" s="42" t="str">
        <f>IFERROR(__xludf.DUMMYFUNCTION("""COMPUTED_VALUE"""),"M. 67/ Way Dadi Baru")</f>
        <v>M. 67/ Way Dadi Baru</v>
      </c>
      <c r="D4307" s="42" t="str">
        <f>IFERROR(__xludf.DUMMYFUNCTION("""COMPUTED_VALUE"""),"Berry")</f>
        <v>Berry</v>
      </c>
      <c r="E4307" s="42" t="str">
        <f>IFERROR(__xludf.DUMMYFUNCTION("""COMPUTED_VALUE"""),"DISERAHKAN")</f>
        <v>DISERAHKAN</v>
      </c>
      <c r="F4307" s="48">
        <f>IFERROR(__xludf.DUMMYFUNCTION("""COMPUTED_VALUE"""),45812.60880018519)</f>
        <v>45812.6088</v>
      </c>
      <c r="G4307" s="42" t="str">
        <f>IFERROR(__xludf.DUMMYFUNCTION("""COMPUTED_VALUE"""),"BN Hibah")</f>
        <v>BN Hibah</v>
      </c>
      <c r="H4307" s="42">
        <f t="shared" si="1"/>
        <v>1895</v>
      </c>
    </row>
    <row r="4308" ht="22.5" customHeight="1">
      <c r="B4308" s="42" t="str">
        <f>IFERROR(__xludf.DUMMYFUNCTION("""COMPUTED_VALUE"""),"K/34/190525/1")</f>
        <v>K/34/190525/1</v>
      </c>
      <c r="C4308" s="42" t="str">
        <f>IFERROR(__xludf.DUMMYFUNCTION("""COMPUTED_VALUE"""),"M. 431/ Kota Karang Raya")</f>
        <v>M. 431/ Kota Karang Raya</v>
      </c>
      <c r="D4308" s="42"/>
      <c r="E4308" s="42"/>
      <c r="F4308" s="48" t="str">
        <f>IFERROR(__xludf.DUMMYFUNCTION("""COMPUTED_VALUE"""),"")</f>
        <v/>
      </c>
      <c r="G4308" s="42" t="str">
        <f>IFERROR(__xludf.DUMMYFUNCTION("""COMPUTED_VALUE"""),"PEMECAHAN BIDANG")</f>
        <v>PEMECAHAN BIDANG</v>
      </c>
      <c r="H4308" s="42">
        <f t="shared" si="1"/>
        <v>1895</v>
      </c>
    </row>
    <row r="4309" ht="22.5" customHeight="1">
      <c r="B4309" s="42" t="str">
        <f>IFERROR(__xludf.DUMMYFUNCTION("""COMPUTED_VALUE"""),"K/35/190525/1")</f>
        <v>K/35/190525/1</v>
      </c>
      <c r="C4309" s="42" t="str">
        <f>IFERROR(__xludf.DUMMYFUNCTION("""COMPUTED_VALUE"""),"M.909/PESAWAHAN")</f>
        <v>M.909/PESAWAHAN</v>
      </c>
      <c r="D4309" s="42" t="str">
        <f>IFERROR(__xludf.DUMMYFUNCTION("""COMPUTED_VALUE"""),"Berry")</f>
        <v>Berry</v>
      </c>
      <c r="E4309" s="42" t="str">
        <f>IFERROR(__xludf.DUMMYFUNCTION("""COMPUTED_VALUE"""),"DISERAHKAN")</f>
        <v>DISERAHKAN</v>
      </c>
      <c r="F4309" s="48">
        <f>IFERROR(__xludf.DUMMYFUNCTION("""COMPUTED_VALUE"""),45812.59372722222)</f>
        <v>45812.59373</v>
      </c>
      <c r="G4309" s="42" t="str">
        <f>IFERROR(__xludf.DUMMYFUNCTION("""COMPUTED_VALUE"""),"JUAL BELI")</f>
        <v>JUAL BELI</v>
      </c>
      <c r="H4309" s="42">
        <f t="shared" si="1"/>
        <v>1896</v>
      </c>
    </row>
    <row r="4310" ht="22.5" customHeight="1">
      <c r="B4310" s="42" t="str">
        <f>IFERROR(__xludf.DUMMYFUNCTION("""COMPUTED_VALUE"""),"K/36/190525/1")</f>
        <v>K/36/190525/1</v>
      </c>
      <c r="C4310" s="42" t="str">
        <f>IFERROR(__xludf.DUMMYFUNCTION("""COMPUTED_VALUE"""),"M. 1392/ Kangkung")</f>
        <v>M. 1392/ Kangkung</v>
      </c>
      <c r="D4310" s="42" t="str">
        <f>IFERROR(__xludf.DUMMYFUNCTION("""COMPUTED_VALUE"""),"David")</f>
        <v>David</v>
      </c>
      <c r="E4310" s="42" t="str">
        <f>IFERROR(__xludf.DUMMYFUNCTION("""COMPUTED_VALUE"""),"DISERAHKAN")</f>
        <v>DISERAHKAN</v>
      </c>
      <c r="F4310" s="48">
        <f>IFERROR(__xludf.DUMMYFUNCTION("""COMPUTED_VALUE"""),45825.67838157408)</f>
        <v>45825.67838</v>
      </c>
      <c r="G4310" s="42" t="str">
        <f>IFERROR(__xludf.DUMMYFUNCTION("""COMPUTED_VALUE"""),"Roya")</f>
        <v>Roya</v>
      </c>
      <c r="H4310" s="42">
        <f t="shared" si="1"/>
        <v>1897</v>
      </c>
    </row>
    <row r="4311" ht="22.5" customHeight="1">
      <c r="B4311" s="42" t="str">
        <f>IFERROR(__xludf.DUMMYFUNCTION("""COMPUTED_VALUE"""),"L/38/190525/1")</f>
        <v>L/38/190525/1</v>
      </c>
      <c r="C4311" s="42" t="str">
        <f>IFERROR(__xludf.DUMMYFUNCTION("""COMPUTED_VALUE"""),"HM 2569/KEMILING PERMAI")</f>
        <v>HM 2569/KEMILING PERMAI</v>
      </c>
      <c r="D4311" s="42"/>
      <c r="E4311" s="42"/>
      <c r="F4311" s="48" t="str">
        <f>IFERROR(__xludf.DUMMYFUNCTION("""COMPUTED_VALUE"""),"")</f>
        <v/>
      </c>
      <c r="G4311" s="42" t="str">
        <f>IFERROR(__xludf.DUMMYFUNCTION("""COMPUTED_VALUE"""),"BLOKIR")</f>
        <v>BLOKIR</v>
      </c>
      <c r="H4311" s="42">
        <f t="shared" si="1"/>
        <v>1897</v>
      </c>
    </row>
    <row r="4312" ht="22.5" customHeight="1">
      <c r="B4312" s="42" t="str">
        <f>IFERROR(__xludf.DUMMYFUNCTION("""COMPUTED_VALUE"""),"K/37/190525/1")</f>
        <v>K/37/190525/1</v>
      </c>
      <c r="C4312" s="42" t="str">
        <f>IFERROR(__xludf.DUMMYFUNCTION("""COMPUTED_VALUE"""),"M.318/TANJUNG SENENG")</f>
        <v>M.318/TANJUNG SENENG</v>
      </c>
      <c r="D4312" s="42"/>
      <c r="E4312" s="42"/>
      <c r="F4312" s="48" t="str">
        <f>IFERROR(__xludf.DUMMYFUNCTION("""COMPUTED_VALUE"""),"")</f>
        <v/>
      </c>
      <c r="G4312" s="42" t="str">
        <f>IFERROR(__xludf.DUMMYFUNCTION("""COMPUTED_VALUE"""),"PENATAAN BATAS")</f>
        <v>PENATAAN BATAS</v>
      </c>
      <c r="H4312" s="42">
        <f t="shared" si="1"/>
        <v>1897</v>
      </c>
    </row>
    <row r="4313" ht="22.5" customHeight="1">
      <c r="B4313" s="42" t="str">
        <f>IFERROR(__xludf.DUMMYFUNCTION("""COMPUTED_VALUE"""),"K/39/190525/1")</f>
        <v>K/39/190525/1</v>
      </c>
      <c r="C4313" s="42" t="str">
        <f>IFERROR(__xludf.DUMMYFUNCTION("""COMPUTED_VALUE"""),"M. 672/KOPRI JAYA")</f>
        <v>M. 672/KOPRI JAYA</v>
      </c>
      <c r="D4313" s="42" t="str">
        <f>IFERROR(__xludf.DUMMYFUNCTION("""COMPUTED_VALUE"""),"Berry")</f>
        <v>Berry</v>
      </c>
      <c r="E4313" s="42" t="str">
        <f>IFERROR(__xludf.DUMMYFUNCTION("""COMPUTED_VALUE"""),"DISERAHKAN")</f>
        <v>DISERAHKAN</v>
      </c>
      <c r="F4313" s="48">
        <f>IFERROR(__xludf.DUMMYFUNCTION("""COMPUTED_VALUE"""),45812.59432239583)</f>
        <v>45812.59432</v>
      </c>
      <c r="G4313" s="42" t="str">
        <f>IFERROR(__xludf.DUMMYFUNCTION("""COMPUTED_VALUE"""),"JUAL BELI")</f>
        <v>JUAL BELI</v>
      </c>
      <c r="H4313" s="42">
        <f t="shared" si="1"/>
        <v>1898</v>
      </c>
    </row>
    <row r="4314" ht="22.5" customHeight="1">
      <c r="B4314" s="42" t="str">
        <f>IFERROR(__xludf.DUMMYFUNCTION("""COMPUTED_VALUE"""),"K/40/190525/2")</f>
        <v>K/40/190525/2</v>
      </c>
      <c r="C4314" s="42" t="str">
        <f>IFERROR(__xludf.DUMMYFUNCTION("""COMPUTED_VALUE"""),"M.911/KORPRI JAYA")</f>
        <v>M.911/KORPRI JAYA</v>
      </c>
      <c r="D4314" s="42" t="str">
        <f>IFERROR(__xludf.DUMMYFUNCTION("""COMPUTED_VALUE"""),"Berry")</f>
        <v>Berry</v>
      </c>
      <c r="E4314" s="42" t="str">
        <f>IFERROR(__xludf.DUMMYFUNCTION("""COMPUTED_VALUE"""),"DISERAHKAN")</f>
        <v>DISERAHKAN</v>
      </c>
      <c r="F4314" s="48">
        <f>IFERROR(__xludf.DUMMYFUNCTION("""COMPUTED_VALUE"""),45824.469674155094)</f>
        <v>45824.46967</v>
      </c>
      <c r="G4314" s="42" t="str">
        <f>IFERROR(__xludf.DUMMYFUNCTION("""COMPUTED_VALUE"""),"JUAL BELI")</f>
        <v>JUAL BELI</v>
      </c>
      <c r="H4314" s="42">
        <f t="shared" si="1"/>
        <v>1899</v>
      </c>
    </row>
    <row r="4315" ht="22.5" customHeight="1">
      <c r="B4315" s="42" t="str">
        <f>IFERROR(__xludf.DUMMYFUNCTION("""COMPUTED_VALUE"""),"K/41/190525/1")</f>
        <v>K/41/190525/1</v>
      </c>
      <c r="C4315" s="42" t="str">
        <f>IFERROR(__xludf.DUMMYFUNCTION("""COMPUTED_VALUE"""),"NIBEL M 18476/PERUMNAS WAY HALIM")</f>
        <v>NIBEL M 18476/PERUMNAS WAY HALIM</v>
      </c>
      <c r="D4315" s="42"/>
      <c r="E4315" s="42"/>
      <c r="F4315" s="48" t="str">
        <f>IFERROR(__xludf.DUMMYFUNCTION("""COMPUTED_VALUE"""),"")</f>
        <v/>
      </c>
      <c r="G4315" s="42" t="str">
        <f>IFERROR(__xludf.DUMMYFUNCTION("""COMPUTED_VALUE"""),"JUAL BELI")</f>
        <v>JUAL BELI</v>
      </c>
      <c r="H4315" s="42">
        <f t="shared" si="1"/>
        <v>1899</v>
      </c>
    </row>
    <row r="4316" ht="22.5" customHeight="1">
      <c r="B4316" s="42" t="str">
        <f>IFERROR(__xludf.DUMMYFUNCTION("""COMPUTED_VALUE"""),"K/1/200525/1")</f>
        <v>K/1/200525/1</v>
      </c>
      <c r="C4316" s="42" t="str">
        <f>IFERROR(__xludf.DUMMYFUNCTION("""COMPUTED_VALUE"""),"TANH MENTAH")</f>
        <v>TANH MENTAH</v>
      </c>
      <c r="D4316" s="42"/>
      <c r="E4316" s="42"/>
      <c r="F4316" s="48" t="str">
        <f>IFERROR(__xludf.DUMMYFUNCTION("""COMPUTED_VALUE"""),"")</f>
        <v/>
      </c>
      <c r="G4316" s="42" t="str">
        <f>IFERROR(__xludf.DUMMYFUNCTION("""COMPUTED_VALUE"""),"PENGUKURAN PERTAMA KALI")</f>
        <v>PENGUKURAN PERTAMA KALI</v>
      </c>
      <c r="H4316" s="42">
        <f t="shared" si="1"/>
        <v>1899</v>
      </c>
    </row>
    <row r="4317" ht="22.5" customHeight="1">
      <c r="B4317" s="42" t="str">
        <f>IFERROR(__xludf.DUMMYFUNCTION("""COMPUTED_VALUE"""),"K/42/190525/2")</f>
        <v>K/42/190525/2</v>
      </c>
      <c r="C4317" s="42" t="str">
        <f>IFERROR(__xludf.DUMMYFUNCTION("""COMPUTED_VALUE"""),"M.5403/RAJABASA JAYA")</f>
        <v>M.5403/RAJABASA JAYA</v>
      </c>
      <c r="D4317" s="42" t="str">
        <f>IFERROR(__xludf.DUMMYFUNCTION("""COMPUTED_VALUE"""),"Berry")</f>
        <v>Berry</v>
      </c>
      <c r="E4317" s="42" t="str">
        <f>IFERROR(__xludf.DUMMYFUNCTION("""COMPUTED_VALUE"""),"DISERAHKAN")</f>
        <v>DISERAHKAN</v>
      </c>
      <c r="F4317" s="48">
        <f>IFERROR(__xludf.DUMMYFUNCTION("""COMPUTED_VALUE"""),45819.80546833333)</f>
        <v>45819.80547</v>
      </c>
      <c r="G4317" s="42" t="str">
        <f>IFERROR(__xludf.DUMMYFUNCTION("""COMPUTED_VALUE"""),"JUAL BELI")</f>
        <v>JUAL BELI</v>
      </c>
      <c r="H4317" s="42">
        <f t="shared" si="1"/>
        <v>1900</v>
      </c>
    </row>
    <row r="4318" ht="22.5" customHeight="1">
      <c r="B4318" s="42" t="str">
        <f>IFERROR(__xludf.DUMMYFUNCTION("""COMPUTED_VALUE"""),"K/2/200525/1")</f>
        <v>K/2/200525/1</v>
      </c>
      <c r="C4318" s="42" t="str">
        <f>IFERROR(__xludf.DUMMYFUNCTION("""COMPUTED_VALUE"""),"M. 617/ Pahoman")</f>
        <v>M. 617/ Pahoman</v>
      </c>
      <c r="D4318" s="42" t="str">
        <f>IFERROR(__xludf.DUMMYFUNCTION("""COMPUTED_VALUE"""),"Berry")</f>
        <v>Berry</v>
      </c>
      <c r="E4318" s="42" t="str">
        <f>IFERROR(__xludf.DUMMYFUNCTION("""COMPUTED_VALUE"""),"DISERAHKAN")</f>
        <v>DISERAHKAN</v>
      </c>
      <c r="F4318" s="48">
        <f>IFERROR(__xludf.DUMMYFUNCTION("""COMPUTED_VALUE"""),45824.46419972222)</f>
        <v>45824.4642</v>
      </c>
      <c r="G4318" s="42" t="str">
        <f>IFERROR(__xludf.DUMMYFUNCTION("""COMPUTED_VALUE"""),"BN WARID")</f>
        <v>BN WARID</v>
      </c>
      <c r="H4318" s="42">
        <f t="shared" si="1"/>
        <v>1901</v>
      </c>
    </row>
    <row r="4319" ht="22.5" customHeight="1">
      <c r="B4319" s="42" t="str">
        <f>IFERROR(__xludf.DUMMYFUNCTION("""COMPUTED_VALUE"""),"K/3/200525/1")</f>
        <v>K/3/200525/1</v>
      </c>
      <c r="C4319" s="42" t="str">
        <f>IFERROR(__xludf.DUMMYFUNCTION("""COMPUTED_VALUE"""),"M. 71/ Kupang Raya")</f>
        <v>M. 71/ Kupang Raya</v>
      </c>
      <c r="D4319" s="42" t="str">
        <f>IFERROR(__xludf.DUMMYFUNCTION("""COMPUTED_VALUE"""),"Berry")</f>
        <v>Berry</v>
      </c>
      <c r="E4319" s="42" t="str">
        <f>IFERROR(__xludf.DUMMYFUNCTION("""COMPUTED_VALUE"""),"DISERAHKAN")</f>
        <v>DISERAHKAN</v>
      </c>
      <c r="F4319" s="48">
        <f>IFERROR(__xludf.DUMMYFUNCTION("""COMPUTED_VALUE"""),45838.68154844907)</f>
        <v>45838.68155</v>
      </c>
      <c r="G4319" s="42" t="str">
        <f>IFERROR(__xludf.DUMMYFUNCTION("""COMPUTED_VALUE"""),"BN Jual Beli")</f>
        <v>BN Jual Beli</v>
      </c>
      <c r="H4319" s="42">
        <f t="shared" si="1"/>
        <v>1902</v>
      </c>
    </row>
    <row r="4320" ht="22.5" customHeight="1">
      <c r="B4320" s="42" t="str">
        <f>IFERROR(__xludf.DUMMYFUNCTION("""COMPUTED_VALUE"""),"K/4/200525/1")</f>
        <v>K/4/200525/1</v>
      </c>
      <c r="C4320" s="42" t="str">
        <f>IFERROR(__xludf.DUMMYFUNCTION("""COMPUTED_VALUE"""),"NIBEL M 20913/JAGABAYA II")</f>
        <v>NIBEL M 20913/JAGABAYA II</v>
      </c>
      <c r="D4320" s="42"/>
      <c r="E4320" s="42"/>
      <c r="F4320" s="48" t="str">
        <f>IFERROR(__xludf.DUMMYFUNCTION("""COMPUTED_VALUE"""),"")</f>
        <v/>
      </c>
      <c r="G4320" s="42" t="str">
        <f>IFERROR(__xludf.DUMMYFUNCTION("""COMPUTED_VALUE"""),"JUAL BELI")</f>
        <v>JUAL BELI</v>
      </c>
      <c r="H4320" s="42">
        <f t="shared" si="1"/>
        <v>1902</v>
      </c>
    </row>
    <row r="4321" ht="22.5" customHeight="1">
      <c r="B4321" s="42" t="str">
        <f>IFERROR(__xludf.DUMMYFUNCTION("""COMPUTED_VALUE"""),"K/5/200525/1")</f>
        <v>K/5/200525/1</v>
      </c>
      <c r="C4321" s="42" t="str">
        <f>IFERROR(__xludf.DUMMYFUNCTION("""COMPUTED_VALUE"""),"Nibel. M. 19063/ Langkapura")</f>
        <v>Nibel. M. 19063/ Langkapura</v>
      </c>
      <c r="D4321" s="42"/>
      <c r="E4321" s="42"/>
      <c r="F4321" s="48" t="str">
        <f>IFERROR(__xludf.DUMMYFUNCTION("""COMPUTED_VALUE"""),"")</f>
        <v/>
      </c>
      <c r="G4321" s="42" t="str">
        <f>IFERROR(__xludf.DUMMYFUNCTION("""COMPUTED_VALUE"""),"BN Jual Beli")</f>
        <v>BN Jual Beli</v>
      </c>
      <c r="H4321" s="42">
        <f t="shared" si="1"/>
        <v>1902</v>
      </c>
    </row>
    <row r="4322" ht="22.5" customHeight="1">
      <c r="B4322" s="42" t="str">
        <f>IFERROR(__xludf.DUMMYFUNCTION("""COMPUTED_VALUE"""),"K/6/200525/1")</f>
        <v>K/6/200525/1</v>
      </c>
      <c r="C4322" s="42" t="str">
        <f>IFERROR(__xludf.DUMMYFUNCTION("""COMPUTED_VALUE"""),"B.102/RAJABASA NUNYAI")</f>
        <v>B.102/RAJABASA NUNYAI</v>
      </c>
      <c r="D4322" s="42" t="str">
        <f>IFERROR(__xludf.DUMMYFUNCTION("""COMPUTED_VALUE"""),"Berry")</f>
        <v>Berry</v>
      </c>
      <c r="E4322" s="42" t="str">
        <f>IFERROR(__xludf.DUMMYFUNCTION("""COMPUTED_VALUE"""),"DISERAHKAN")</f>
        <v>DISERAHKAN</v>
      </c>
      <c r="F4322" s="48">
        <f>IFERROR(__xludf.DUMMYFUNCTION("""COMPUTED_VALUE"""),45805.683095636574)</f>
        <v>45805.6831</v>
      </c>
      <c r="G4322" s="42" t="str">
        <f>IFERROR(__xludf.DUMMYFUNCTION("""COMPUTED_VALUE"""),"JUAL BELI ")</f>
        <v>JUAL BELI </v>
      </c>
      <c r="H4322" s="42">
        <f t="shared" si="1"/>
        <v>1903</v>
      </c>
    </row>
    <row r="4323" ht="22.5" customHeight="1">
      <c r="B4323" s="42" t="str">
        <f>IFERROR(__xludf.DUMMYFUNCTION("""COMPUTED_VALUE"""),"K/7/200525/1")</f>
        <v>K/7/200525/1</v>
      </c>
      <c r="C4323" s="42" t="str">
        <f>IFERROR(__xludf.DUMMYFUNCTION("""COMPUTED_VALUE"""),"M. 15820/ Sukarame Baru")</f>
        <v>M. 15820/ Sukarame Baru</v>
      </c>
      <c r="D4323" s="42"/>
      <c r="E4323" s="42"/>
      <c r="F4323" s="48" t="str">
        <f>IFERROR(__xludf.DUMMYFUNCTION("""COMPUTED_VALUE"""),"")</f>
        <v/>
      </c>
      <c r="G4323" s="42" t="str">
        <f>IFERROR(__xludf.DUMMYFUNCTION("""COMPUTED_VALUE"""),"BN Hibah")</f>
        <v>BN Hibah</v>
      </c>
      <c r="H4323" s="42">
        <f t="shared" si="1"/>
        <v>1903</v>
      </c>
    </row>
    <row r="4324" ht="22.5" customHeight="1">
      <c r="B4324" s="42" t="str">
        <f>IFERROR(__xludf.DUMMYFUNCTION("""COMPUTED_VALUE"""),"K/8/200525/1")</f>
        <v>K/8/200525/1</v>
      </c>
      <c r="C4324" s="42" t="str">
        <f>IFERROR(__xludf.DUMMYFUNCTION("""COMPUTED_VALUE"""),"M. 1091/ Srengsem")</f>
        <v>M. 1091/ Srengsem</v>
      </c>
      <c r="D4324" s="42" t="str">
        <f>IFERROR(__xludf.DUMMYFUNCTION("""COMPUTED_VALUE"""),"David")</f>
        <v>David</v>
      </c>
      <c r="E4324" s="42" t="str">
        <f>IFERROR(__xludf.DUMMYFUNCTION("""COMPUTED_VALUE"""),"DISERAHKAN")</f>
        <v>DISERAHKAN</v>
      </c>
      <c r="F4324" s="48">
        <f>IFERROR(__xludf.DUMMYFUNCTION("""COMPUTED_VALUE"""),45833.66311902778)</f>
        <v>45833.66312</v>
      </c>
      <c r="G4324" s="42" t="str">
        <f>IFERROR(__xludf.DUMMYFUNCTION("""COMPUTED_VALUE"""),"GANTI NAMA HT")</f>
        <v>GANTI NAMA HT</v>
      </c>
      <c r="H4324" s="42">
        <f t="shared" si="1"/>
        <v>1904</v>
      </c>
    </row>
    <row r="4325" ht="22.5" customHeight="1">
      <c r="B4325" s="42" t="str">
        <f>IFERROR(__xludf.DUMMYFUNCTION("""COMPUTED_VALUE"""),"L/9/200525/1")</f>
        <v>L/9/200525/1</v>
      </c>
      <c r="C4325" s="42" t="str">
        <f>IFERROR(__xludf.DUMMYFUNCTION("""COMPUTED_VALUE"""),"RAJABASA")</f>
        <v>RAJABASA</v>
      </c>
      <c r="D4325" s="42"/>
      <c r="E4325" s="42"/>
      <c r="F4325" s="48" t="str">
        <f>IFERROR(__xludf.DUMMYFUNCTION("""COMPUTED_VALUE"""),"")</f>
        <v/>
      </c>
      <c r="G4325" s="42" t="str">
        <f>IFERROR(__xludf.DUMMYFUNCTION("""COMPUTED_VALUE"""),"PERTAMA KALI")</f>
        <v>PERTAMA KALI</v>
      </c>
      <c r="H4325" s="42">
        <f t="shared" si="1"/>
        <v>1904</v>
      </c>
    </row>
    <row r="4326" ht="22.5" customHeight="1">
      <c r="B4326" s="42" t="str">
        <f>IFERROR(__xludf.DUMMYFUNCTION("""COMPUTED_VALUE"""),"K/10/200525/1")</f>
        <v>K/10/200525/1</v>
      </c>
      <c r="C4326" s="42" t="str">
        <f>IFERROR(__xludf.DUMMYFUNCTION("""COMPUTED_VALUE"""),"M. 1758, 1488/ Kupang Teba")</f>
        <v>M. 1758, 1488/ Kupang Teba</v>
      </c>
      <c r="D4326" s="42" t="str">
        <f>IFERROR(__xludf.DUMMYFUNCTION("""COMPUTED_VALUE"""),"David")</f>
        <v>David</v>
      </c>
      <c r="E4326" s="42" t="str">
        <f>IFERROR(__xludf.DUMMYFUNCTION("""COMPUTED_VALUE"""),"DISERAHKAN")</f>
        <v>DISERAHKAN</v>
      </c>
      <c r="F4326" s="48">
        <f>IFERROR(__xludf.DUMMYFUNCTION("""COMPUTED_VALUE"""),45833.66374722222)</f>
        <v>45833.66375</v>
      </c>
      <c r="G4326" s="42" t="str">
        <f>IFERROR(__xludf.DUMMYFUNCTION("""COMPUTED_VALUE"""),"ROYA")</f>
        <v>ROYA</v>
      </c>
      <c r="H4326" s="42">
        <f t="shared" si="1"/>
        <v>1905</v>
      </c>
    </row>
    <row r="4327" ht="22.5" customHeight="1">
      <c r="B4327" s="42" t="str">
        <f>IFERROR(__xludf.DUMMYFUNCTION("""COMPUTED_VALUE"""),"K/11/200525/2")</f>
        <v>K/11/200525/2</v>
      </c>
      <c r="C4327" s="42" t="str">
        <f>IFERROR(__xludf.DUMMYFUNCTION("""COMPUTED_VALUE"""),"M. 1978/ Sumberrejo sejahtera")</f>
        <v>M. 1978/ Sumberrejo sejahtera</v>
      </c>
      <c r="D4327" s="42" t="str">
        <f>IFERROR(__xludf.DUMMYFUNCTION("""COMPUTED_VALUE"""),"Berry")</f>
        <v>Berry</v>
      </c>
      <c r="E4327" s="42" t="str">
        <f>IFERROR(__xludf.DUMMYFUNCTION("""COMPUTED_VALUE"""),"DISERAHKAN")</f>
        <v>DISERAHKAN</v>
      </c>
      <c r="F4327" s="48">
        <f>IFERROR(__xludf.DUMMYFUNCTION("""COMPUTED_VALUE"""),45819.80036497685)</f>
        <v>45819.80036</v>
      </c>
      <c r="G4327" s="42" t="str">
        <f>IFERROR(__xludf.DUMMYFUNCTION("""COMPUTED_VALUE"""),"BN JUAL BELI")</f>
        <v>BN JUAL BELI</v>
      </c>
      <c r="H4327" s="42">
        <f t="shared" si="1"/>
        <v>1906</v>
      </c>
    </row>
    <row r="4328" ht="22.5" customHeight="1">
      <c r="B4328" s="42" t="str">
        <f>IFERROR(__xludf.DUMMYFUNCTION("""COMPUTED_VALUE"""),"L/12/200525/1")</f>
        <v>L/12/200525/1</v>
      </c>
      <c r="C4328" s="42" t="str">
        <f>IFERROR(__xludf.DUMMYFUNCTION("""COMPUTED_VALUE"""),"HM 2462/KEMILING PERMAI")</f>
        <v>HM 2462/KEMILING PERMAI</v>
      </c>
      <c r="D4328" s="42" t="str">
        <f>IFERROR(__xludf.DUMMYFUNCTION("""COMPUTED_VALUE"""),"David")</f>
        <v>David</v>
      </c>
      <c r="E4328" s="42" t="str">
        <f>IFERROR(__xludf.DUMMYFUNCTION("""COMPUTED_VALUE"""),"DISERAHKAN")</f>
        <v>DISERAHKAN</v>
      </c>
      <c r="F4328" s="48">
        <f>IFERROR(__xludf.DUMMYFUNCTION("""COMPUTED_VALUE"""),45824.63336435185)</f>
        <v>45824.63336</v>
      </c>
      <c r="G4328" s="42" t="str">
        <f>IFERROR(__xludf.DUMMYFUNCTION("""COMPUTED_VALUE"""),"ROYA")</f>
        <v>ROYA</v>
      </c>
      <c r="H4328" s="42">
        <f t="shared" si="1"/>
        <v>1907</v>
      </c>
    </row>
    <row r="4329" ht="22.5" customHeight="1">
      <c r="B4329" s="42" t="str">
        <f>IFERROR(__xludf.DUMMYFUNCTION("""COMPUTED_VALUE"""),"K/13/200525/1")</f>
        <v>K/13/200525/1</v>
      </c>
      <c r="C4329" s="42" t="str">
        <f>IFERROR(__xludf.DUMMYFUNCTION("""COMPUTED_VALUE"""),"M. 1145/ Rajabasa Pemuka")</f>
        <v>M. 1145/ Rajabasa Pemuka</v>
      </c>
      <c r="D4329" s="42" t="str">
        <f>IFERROR(__xludf.DUMMYFUNCTION("""COMPUTED_VALUE"""),"Berry")</f>
        <v>Berry</v>
      </c>
      <c r="E4329" s="42" t="str">
        <f>IFERROR(__xludf.DUMMYFUNCTION("""COMPUTED_VALUE"""),"DISERAHKAN")</f>
        <v>DISERAHKAN</v>
      </c>
      <c r="F4329" s="48">
        <f>IFERROR(__xludf.DUMMYFUNCTION("""COMPUTED_VALUE"""),45819.80224196759)</f>
        <v>45819.80224</v>
      </c>
      <c r="G4329" s="42" t="str">
        <f>IFERROR(__xludf.DUMMYFUNCTION("""COMPUTED_VALUE"""),"BN JUAL BELI")</f>
        <v>BN JUAL BELI</v>
      </c>
      <c r="H4329" s="42">
        <f t="shared" si="1"/>
        <v>1908</v>
      </c>
    </row>
    <row r="4330" ht="22.5" customHeight="1">
      <c r="B4330" s="42" t="str">
        <f>IFERROR(__xludf.DUMMYFUNCTION("""COMPUTED_VALUE"""),"K/13/200525/2")</f>
        <v>K/13/200525/2</v>
      </c>
      <c r="C4330" s="42" t="str">
        <f>IFERROR(__xludf.DUMMYFUNCTION("""COMPUTED_VALUE"""),"M.649/WAY HALIM PERMAI")</f>
        <v>M.649/WAY HALIM PERMAI</v>
      </c>
      <c r="D4330" s="42" t="str">
        <f>IFERROR(__xludf.DUMMYFUNCTION("""COMPUTED_VALUE"""),"Berry")</f>
        <v>Berry</v>
      </c>
      <c r="E4330" s="42" t="str">
        <f>IFERROR(__xludf.DUMMYFUNCTION("""COMPUTED_VALUE"""),"DISERAHKAN")</f>
        <v>DISERAHKAN</v>
      </c>
      <c r="F4330" s="48">
        <f>IFERROR(__xludf.DUMMYFUNCTION("""COMPUTED_VALUE"""),45825.550792766204)</f>
        <v>45825.55079</v>
      </c>
      <c r="G4330" s="42" t="str">
        <f>IFERROR(__xludf.DUMMYFUNCTION("""COMPUTED_VALUE"""),"HIBAH")</f>
        <v>HIBAH</v>
      </c>
      <c r="H4330" s="42">
        <f t="shared" si="1"/>
        <v>1909</v>
      </c>
    </row>
    <row r="4331" ht="22.5" customHeight="1">
      <c r="B4331" s="42" t="str">
        <f>IFERROR(__xludf.DUMMYFUNCTION("""COMPUTED_VALUE"""),"L/14/200525/1")</f>
        <v>L/14/200525/1</v>
      </c>
      <c r="C4331" s="42" t="str">
        <f>IFERROR(__xludf.DUMMYFUNCTION("""COMPUTED_VALUE"""),"HM 2019/KETEGUHAN")</f>
        <v>HM 2019/KETEGUHAN</v>
      </c>
      <c r="D4331" s="42" t="str">
        <f>IFERROR(__xludf.DUMMYFUNCTION("""COMPUTED_VALUE"""),"David")</f>
        <v>David</v>
      </c>
      <c r="E4331" s="42" t="str">
        <f>IFERROR(__xludf.DUMMYFUNCTION("""COMPUTED_VALUE"""),"DISERAHKAN")</f>
        <v>DISERAHKAN</v>
      </c>
      <c r="F4331" s="48">
        <f>IFERROR(__xludf.DUMMYFUNCTION("""COMPUTED_VALUE"""),45825.671924594906)</f>
        <v>45825.67192</v>
      </c>
      <c r="G4331" s="42" t="str">
        <f>IFERROR(__xludf.DUMMYFUNCTION("""COMPUTED_VALUE"""),"ROYA")</f>
        <v>ROYA</v>
      </c>
      <c r="H4331" s="42">
        <f t="shared" si="1"/>
        <v>1910</v>
      </c>
    </row>
    <row r="4332" ht="22.5" customHeight="1">
      <c r="B4332" s="42" t="str">
        <f>IFERROR(__xludf.DUMMYFUNCTION("""COMPUTED_VALUE"""),"K/15/200525/1")</f>
        <v>K/15/200525/1</v>
      </c>
      <c r="C4332" s="42" t="str">
        <f>IFERROR(__xludf.DUMMYFUNCTION("""COMPUTED_VALUE"""),"M. 1002/ Rajabasa Raya")</f>
        <v>M. 1002/ Rajabasa Raya</v>
      </c>
      <c r="D4332" s="42"/>
      <c r="E4332" s="42"/>
      <c r="F4332" s="48" t="str">
        <f>IFERROR(__xludf.DUMMYFUNCTION("""COMPUTED_VALUE"""),"")</f>
        <v/>
      </c>
      <c r="G4332" s="42" t="str">
        <f>IFERROR(__xludf.DUMMYFUNCTION("""COMPUTED_VALUE"""),"PEMECAHAN BIDANG")</f>
        <v>PEMECAHAN BIDANG</v>
      </c>
      <c r="H4332" s="42">
        <f t="shared" si="1"/>
        <v>1910</v>
      </c>
    </row>
    <row r="4333" ht="22.5" customHeight="1">
      <c r="B4333" s="42" t="str">
        <f>IFERROR(__xludf.DUMMYFUNCTION("""COMPUTED_VALUE"""),"K/16/200525/1")</f>
        <v>K/16/200525/1</v>
      </c>
      <c r="C4333" s="42" t="str">
        <f>IFERROR(__xludf.DUMMYFUNCTION("""COMPUTED_VALUE"""),"M. 2538/ Sukarame Baru")</f>
        <v>M. 2538/ Sukarame Baru</v>
      </c>
      <c r="D4333" s="42" t="str">
        <f>IFERROR(__xludf.DUMMYFUNCTION("""COMPUTED_VALUE"""),"Berry")</f>
        <v>Berry</v>
      </c>
      <c r="E4333" s="42" t="str">
        <f>IFERROR(__xludf.DUMMYFUNCTION("""COMPUTED_VALUE"""),"DISERAHKAN")</f>
        <v>DISERAHKAN</v>
      </c>
      <c r="F4333" s="48">
        <f>IFERROR(__xludf.DUMMYFUNCTION("""COMPUTED_VALUE"""),45812.58968046296)</f>
        <v>45812.58968</v>
      </c>
      <c r="G4333" s="42" t="str">
        <f>IFERROR(__xludf.DUMMYFUNCTION("""COMPUTED_VALUE"""),"BN JUAL BELI")</f>
        <v>BN JUAL BELI</v>
      </c>
      <c r="H4333" s="42">
        <f t="shared" si="1"/>
        <v>1911</v>
      </c>
    </row>
    <row r="4334" ht="22.5" customHeight="1">
      <c r="B4334" s="42" t="str">
        <f>IFERROR(__xludf.DUMMYFUNCTION("""COMPUTED_VALUE"""),"K/18/200525/1")</f>
        <v>K/18/200525/1</v>
      </c>
      <c r="C4334" s="42" t="str">
        <f>IFERROR(__xludf.DUMMYFUNCTION("""COMPUTED_VALUE"""),"NIBEL M.697/GUNUNG SULAH")</f>
        <v>NIBEL M.697/GUNUNG SULAH</v>
      </c>
      <c r="D4334" s="42"/>
      <c r="E4334" s="42"/>
      <c r="F4334" s="48" t="str">
        <f>IFERROR(__xludf.DUMMYFUNCTION("""COMPUTED_VALUE"""),"")</f>
        <v/>
      </c>
      <c r="G4334" s="42" t="str">
        <f>IFERROR(__xludf.DUMMYFUNCTION("""COMPUTED_VALUE"""),"JUAL BELI")</f>
        <v>JUAL BELI</v>
      </c>
      <c r="H4334" s="42">
        <f t="shared" si="1"/>
        <v>1911</v>
      </c>
    </row>
    <row r="4335" ht="22.5" customHeight="1">
      <c r="B4335" s="42" t="str">
        <f>IFERROR(__xludf.DUMMYFUNCTION("""COMPUTED_VALUE"""),"K/17/200525/2")</f>
        <v>K/17/200525/2</v>
      </c>
      <c r="C4335" s="42" t="str">
        <f>IFERROR(__xludf.DUMMYFUNCTION("""COMPUTED_VALUE"""),"Nibel 7547/Rajabasa Jaya")</f>
        <v>Nibel 7547/Rajabasa Jaya</v>
      </c>
      <c r="D4335" s="42"/>
      <c r="E4335" s="42"/>
      <c r="F4335" s="48" t="str">
        <f>IFERROR(__xludf.DUMMYFUNCTION("""COMPUTED_VALUE"""),"")</f>
        <v/>
      </c>
      <c r="G4335" s="42" t="str">
        <f>IFERROR(__xludf.DUMMYFUNCTION("""COMPUTED_VALUE"""),"BN JUAL BELI")</f>
        <v>BN JUAL BELI</v>
      </c>
      <c r="H4335" s="42">
        <f t="shared" si="1"/>
        <v>1911</v>
      </c>
    </row>
    <row r="4336" ht="22.5" customHeight="1">
      <c r="B4336" s="42" t="str">
        <f>IFERROR(__xludf.DUMMYFUNCTION("""COMPUTED_VALUE"""),"K/19/200525/1")</f>
        <v>K/19/200525/1</v>
      </c>
      <c r="C4336" s="42" t="str">
        <f>IFERROR(__xludf.DUMMYFUNCTION("""COMPUTED_VALUE"""),"Nibel 19512/ Panjang Utara")</f>
        <v>Nibel 19512/ Panjang Utara</v>
      </c>
      <c r="D4336" s="42"/>
      <c r="E4336" s="42"/>
      <c r="F4336" s="48" t="str">
        <f>IFERROR(__xludf.DUMMYFUNCTION("""COMPUTED_VALUE"""),"")</f>
        <v/>
      </c>
      <c r="G4336" s="42" t="str">
        <f>IFERROR(__xludf.DUMMYFUNCTION("""COMPUTED_VALUE"""),"BN JUAL BELI")</f>
        <v>BN JUAL BELI</v>
      </c>
      <c r="H4336" s="42">
        <f t="shared" si="1"/>
        <v>1911</v>
      </c>
    </row>
    <row r="4337" ht="22.5" customHeight="1">
      <c r="B4337" s="42" t="str">
        <f>IFERROR(__xludf.DUMMYFUNCTION("""COMPUTED_VALUE"""),"K/20/200525/1")</f>
        <v>K/20/200525/1</v>
      </c>
      <c r="C4337" s="42" t="str">
        <f>IFERROR(__xludf.DUMMYFUNCTION("""COMPUTED_VALUE"""),"M. 163/ Perumnas Way Kandis")</f>
        <v>M. 163/ Perumnas Way Kandis</v>
      </c>
      <c r="D4337" s="42" t="str">
        <f>IFERROR(__xludf.DUMMYFUNCTION("""COMPUTED_VALUE"""),"Berry")</f>
        <v>Berry</v>
      </c>
      <c r="E4337" s="42" t="str">
        <f>IFERROR(__xludf.DUMMYFUNCTION("""COMPUTED_VALUE"""),"DISERAHKAN")</f>
        <v>DISERAHKAN</v>
      </c>
      <c r="F4337" s="48">
        <f>IFERROR(__xludf.DUMMYFUNCTION("""COMPUTED_VALUE"""),45819.796373749996)</f>
        <v>45819.79637</v>
      </c>
      <c r="G4337" s="42" t="str">
        <f>IFERROR(__xludf.DUMMYFUNCTION("""COMPUTED_VALUE"""),"BN Jual Beli")</f>
        <v>BN Jual Beli</v>
      </c>
      <c r="H4337" s="42">
        <f t="shared" si="1"/>
        <v>1912</v>
      </c>
    </row>
    <row r="4338" ht="22.5" customHeight="1">
      <c r="B4338" s="42" t="str">
        <f>IFERROR(__xludf.DUMMYFUNCTION("""COMPUTED_VALUE"""),"K/21/200525/1")</f>
        <v>K/21/200525/1</v>
      </c>
      <c r="C4338" s="42" t="str">
        <f>IFERROR(__xludf.DUMMYFUNCTION("""COMPUTED_VALUE"""),"M. 1038/ Sukaraja")</f>
        <v>M. 1038/ Sukaraja</v>
      </c>
      <c r="D4338" s="42" t="str">
        <f>IFERROR(__xludf.DUMMYFUNCTION("""COMPUTED_VALUE"""),"Berry")</f>
        <v>Berry</v>
      </c>
      <c r="E4338" s="42" t="str">
        <f>IFERROR(__xludf.DUMMYFUNCTION("""COMPUTED_VALUE"""),"DISERAHKAN")</f>
        <v>DISERAHKAN</v>
      </c>
      <c r="F4338" s="48">
        <f>IFERROR(__xludf.DUMMYFUNCTION("""COMPUTED_VALUE"""),45890.668597337964)</f>
        <v>45890.6686</v>
      </c>
      <c r="G4338" s="42" t="str">
        <f>IFERROR(__xludf.DUMMYFUNCTION("""COMPUTED_VALUE"""),"BN Waris")</f>
        <v>BN Waris</v>
      </c>
      <c r="H4338" s="42">
        <f t="shared" si="1"/>
        <v>1913</v>
      </c>
    </row>
    <row r="4339" ht="22.5" customHeight="1">
      <c r="B4339" s="42" t="str">
        <f>IFERROR(__xludf.DUMMYFUNCTION("""COMPUTED_VALUE"""),"K/22/200525/2")</f>
        <v>K/22/200525/2</v>
      </c>
      <c r="C4339" s="42" t="str">
        <f>IFERROR(__xludf.DUMMYFUNCTION("""COMPUTED_VALUE"""),"M. 1037/ Sukarame")</f>
        <v>M. 1037/ Sukarame</v>
      </c>
      <c r="D4339" s="42" t="str">
        <f>IFERROR(__xludf.DUMMYFUNCTION("""COMPUTED_VALUE"""),"Berry")</f>
        <v>Berry</v>
      </c>
      <c r="E4339" s="42" t="str">
        <f>IFERROR(__xludf.DUMMYFUNCTION("""COMPUTED_VALUE"""),"DISERAHKAN")</f>
        <v>DISERAHKAN</v>
      </c>
      <c r="F4339" s="48">
        <f>IFERROR(__xludf.DUMMYFUNCTION("""COMPUTED_VALUE"""),45828.52974752315)</f>
        <v>45828.52975</v>
      </c>
      <c r="G4339" s="42" t="str">
        <f>IFERROR(__xludf.DUMMYFUNCTION("""COMPUTED_VALUE"""),"BN Waris")</f>
        <v>BN Waris</v>
      </c>
      <c r="H4339" s="42">
        <f t="shared" si="1"/>
        <v>1914</v>
      </c>
    </row>
    <row r="4340" ht="22.5" customHeight="1">
      <c r="B4340" s="42" t="str">
        <f>IFERROR(__xludf.DUMMYFUNCTION("""COMPUTED_VALUE"""),"K/23/200525/3")</f>
        <v>K/23/200525/3</v>
      </c>
      <c r="C4340" s="42" t="str">
        <f>IFERROR(__xludf.DUMMYFUNCTION("""COMPUTED_VALUE"""),"M. 1036/ Sukaraja")</f>
        <v>M. 1036/ Sukaraja</v>
      </c>
      <c r="D4340" s="42" t="str">
        <f>IFERROR(__xludf.DUMMYFUNCTION("""COMPUTED_VALUE"""),"Berry")</f>
        <v>Berry</v>
      </c>
      <c r="E4340" s="42" t="str">
        <f>IFERROR(__xludf.DUMMYFUNCTION("""COMPUTED_VALUE"""),"DISERAHKAN")</f>
        <v>DISERAHKAN</v>
      </c>
      <c r="F4340" s="48">
        <f>IFERROR(__xludf.DUMMYFUNCTION("""COMPUTED_VALUE"""),45841.52844928241)</f>
        <v>45841.52845</v>
      </c>
      <c r="G4340" s="42" t="str">
        <f>IFERROR(__xludf.DUMMYFUNCTION("""COMPUTED_VALUE"""),"BN Waris")</f>
        <v>BN Waris</v>
      </c>
      <c r="H4340" s="42">
        <f t="shared" si="1"/>
        <v>1915</v>
      </c>
    </row>
    <row r="4341" ht="22.5" customHeight="1">
      <c r="B4341" s="42" t="str">
        <f>IFERROR(__xludf.DUMMYFUNCTION("""COMPUTED_VALUE"""),"K/24/200525/4")</f>
        <v>K/24/200525/4</v>
      </c>
      <c r="C4341" s="42" t="str">
        <f>IFERROR(__xludf.DUMMYFUNCTION("""COMPUTED_VALUE"""),"M. 587/ Tanjung Kkarang")</f>
        <v>M. 587/ Tanjung Kkarang</v>
      </c>
      <c r="D4341" s="42" t="str">
        <f>IFERROR(__xludf.DUMMYFUNCTION("""COMPUTED_VALUE"""),"Berry")</f>
        <v>Berry</v>
      </c>
      <c r="E4341" s="42" t="str">
        <f>IFERROR(__xludf.DUMMYFUNCTION("""COMPUTED_VALUE"""),"DISERAHKAN")</f>
        <v>DISERAHKAN</v>
      </c>
      <c r="F4341" s="48">
        <f>IFERROR(__xludf.DUMMYFUNCTION("""COMPUTED_VALUE"""),45813.64065674768)</f>
        <v>45813.64066</v>
      </c>
      <c r="G4341" s="42" t="str">
        <f>IFERROR(__xludf.DUMMYFUNCTION("""COMPUTED_VALUE"""),"BN Waris")</f>
        <v>BN Waris</v>
      </c>
      <c r="H4341" s="42">
        <f t="shared" si="1"/>
        <v>1916</v>
      </c>
    </row>
    <row r="4342" ht="22.5" customHeight="1">
      <c r="B4342" s="42" t="str">
        <f>IFERROR(__xludf.DUMMYFUNCTION("""COMPUTED_VALUE"""),"K/25/200525/1")</f>
        <v>K/25/200525/1</v>
      </c>
      <c r="C4342" s="42" t="str">
        <f>IFERROR(__xludf.DUMMYFUNCTION("""COMPUTED_VALUE"""),"M. 12343/ Jagabaya II")</f>
        <v>M. 12343/ Jagabaya II</v>
      </c>
      <c r="D4342" s="42" t="str">
        <f>IFERROR(__xludf.DUMMYFUNCTION("""COMPUTED_VALUE"""),"Berry")</f>
        <v>Berry</v>
      </c>
      <c r="E4342" s="42" t="str">
        <f>IFERROR(__xludf.DUMMYFUNCTION("""COMPUTED_VALUE"""),"DISERAHKAN")</f>
        <v>DISERAHKAN</v>
      </c>
      <c r="F4342" s="48">
        <f>IFERROR(__xludf.DUMMYFUNCTION("""COMPUTED_VALUE"""),45812.59101780092)</f>
        <v>45812.59102</v>
      </c>
      <c r="G4342" s="42" t="str">
        <f>IFERROR(__xludf.DUMMYFUNCTION("""COMPUTED_VALUE"""),"BN WARID")</f>
        <v>BN WARID</v>
      </c>
      <c r="H4342" s="42">
        <f t="shared" si="1"/>
        <v>1917</v>
      </c>
    </row>
    <row r="4343" ht="22.5" customHeight="1">
      <c r="B4343" s="42" t="str">
        <f>IFERROR(__xludf.DUMMYFUNCTION("""COMPUTED_VALUE"""),"K/27/200525/1")</f>
        <v>K/27/200525/1</v>
      </c>
      <c r="C4343" s="42" t="str">
        <f>IFERROR(__xludf.DUMMYFUNCTION("""COMPUTED_VALUE"""),"M. 10437/ Kampung Baru")</f>
        <v>M. 10437/ Kampung Baru</v>
      </c>
      <c r="D4343" s="42" t="str">
        <f>IFERROR(__xludf.DUMMYFUNCTION("""COMPUTED_VALUE"""),"Berry")</f>
        <v>Berry</v>
      </c>
      <c r="E4343" s="42" t="str">
        <f>IFERROR(__xludf.DUMMYFUNCTION("""COMPUTED_VALUE"""),"DISERAHKAN")</f>
        <v>DISERAHKAN</v>
      </c>
      <c r="F4343" s="48">
        <f>IFERROR(__xludf.DUMMYFUNCTION("""COMPUTED_VALUE"""),45812.59595371528)</f>
        <v>45812.59595</v>
      </c>
      <c r="G4343" s="42" t="str">
        <f>IFERROR(__xludf.DUMMYFUNCTION("""COMPUTED_VALUE"""),"BN JUAL BELI")</f>
        <v>BN JUAL BELI</v>
      </c>
      <c r="H4343" s="42">
        <f t="shared" si="1"/>
        <v>1918</v>
      </c>
    </row>
    <row r="4344" ht="22.5" customHeight="1">
      <c r="B4344" s="42" t="str">
        <f>IFERROR(__xludf.DUMMYFUNCTION("""COMPUTED_VALUE"""),"K/26/200525/1")</f>
        <v>K/26/200525/1</v>
      </c>
      <c r="C4344" s="42" t="str">
        <f>IFERROR(__xludf.DUMMYFUNCTION("""COMPUTED_VALUE"""),"NIBEL M 20888/PELITA")</f>
        <v>NIBEL M 20888/PELITA</v>
      </c>
      <c r="D4344" s="42"/>
      <c r="E4344" s="42"/>
      <c r="F4344" s="48" t="str">
        <f>IFERROR(__xludf.DUMMYFUNCTION("""COMPUTED_VALUE"""),"")</f>
        <v/>
      </c>
      <c r="G4344" s="42" t="str">
        <f>IFERROR(__xludf.DUMMYFUNCTION("""COMPUTED_VALUE"""),"JUAL BELI")</f>
        <v>JUAL BELI</v>
      </c>
      <c r="H4344" s="42">
        <f t="shared" si="1"/>
        <v>1918</v>
      </c>
    </row>
    <row r="4345" ht="22.5" customHeight="1">
      <c r="B4345" s="42" t="str">
        <f>IFERROR(__xludf.DUMMYFUNCTION("""COMPUTED_VALUE"""),"K/28/200525/1")</f>
        <v>K/28/200525/1</v>
      </c>
      <c r="C4345" s="42" t="str">
        <f>IFERROR(__xludf.DUMMYFUNCTION("""COMPUTED_VALUE"""),"M.3632/RAJABASA JAYA")</f>
        <v>M.3632/RAJABASA JAYA</v>
      </c>
      <c r="D4345" s="42" t="str">
        <f>IFERROR(__xludf.DUMMYFUNCTION("""COMPUTED_VALUE"""),"Berry")</f>
        <v>Berry</v>
      </c>
      <c r="E4345" s="42" t="str">
        <f>IFERROR(__xludf.DUMMYFUNCTION("""COMPUTED_VALUE"""),"DISERAHKAN")</f>
        <v>DISERAHKAN</v>
      </c>
      <c r="F4345" s="48">
        <f>IFERROR(__xludf.DUMMYFUNCTION("""COMPUTED_VALUE"""),45824.471917222225)</f>
        <v>45824.47192</v>
      </c>
      <c r="G4345" s="42" t="str">
        <f>IFERROR(__xludf.DUMMYFUNCTION("""COMPUTED_VALUE"""),"LELANG")</f>
        <v>LELANG</v>
      </c>
      <c r="H4345" s="42">
        <f t="shared" si="1"/>
        <v>1919</v>
      </c>
    </row>
    <row r="4346" ht="22.5" customHeight="1">
      <c r="B4346" s="42" t="str">
        <f>IFERROR(__xludf.DUMMYFUNCTION("""COMPUTED_VALUE"""),"K/1/210525/1")</f>
        <v>K/1/210525/1</v>
      </c>
      <c r="C4346" s="42" t="str">
        <f>IFERROR(__xludf.DUMMYFUNCTION("""COMPUTED_VALUE"""),"Nibel. M. 18702/ Tanjung Baru")</f>
        <v>Nibel. M. 18702/ Tanjung Baru</v>
      </c>
      <c r="D4346" s="42"/>
      <c r="E4346" s="42"/>
      <c r="F4346" s="48" t="str">
        <f>IFERROR(__xludf.DUMMYFUNCTION("""COMPUTED_VALUE"""),"")</f>
        <v/>
      </c>
      <c r="G4346" s="42" t="str">
        <f>IFERROR(__xludf.DUMMYFUNCTION("""COMPUTED_VALUE"""),"Pemecahan")</f>
        <v>Pemecahan</v>
      </c>
      <c r="H4346" s="42">
        <f t="shared" si="1"/>
        <v>1919</v>
      </c>
    </row>
    <row r="4347" ht="22.5" customHeight="1">
      <c r="B4347" s="42" t="str">
        <f>IFERROR(__xludf.DUMMYFUNCTION("""COMPUTED_VALUE"""),"L/2/210525/1")</f>
        <v>L/2/210525/1</v>
      </c>
      <c r="C4347" s="42" t="str">
        <f>IFERROR(__xludf.DUMMYFUNCTION("""COMPUTED_VALUE"""),"HM 1121/GUNUNG SULAH")</f>
        <v>HM 1121/GUNUNG SULAH</v>
      </c>
      <c r="D4347" s="42" t="str">
        <f>IFERROR(__xludf.DUMMYFUNCTION("""COMPUTED_VALUE"""),"David")</f>
        <v>David</v>
      </c>
      <c r="E4347" s="42" t="str">
        <f>IFERROR(__xludf.DUMMYFUNCTION("""COMPUTED_VALUE"""),"DISERAHKAN")</f>
        <v>DISERAHKAN</v>
      </c>
      <c r="F4347" s="48">
        <f>IFERROR(__xludf.DUMMYFUNCTION("""COMPUTED_VALUE"""),45824.63473297453)</f>
        <v>45824.63473</v>
      </c>
      <c r="G4347" s="42" t="str">
        <f>IFERROR(__xludf.DUMMYFUNCTION("""COMPUTED_VALUE"""),"ROYA")</f>
        <v>ROYA</v>
      </c>
      <c r="H4347" s="42">
        <f t="shared" si="1"/>
        <v>1920</v>
      </c>
    </row>
    <row r="4348" ht="22.5" customHeight="1">
      <c r="B4348" s="42" t="str">
        <f>IFERROR(__xludf.DUMMYFUNCTION("""COMPUTED_VALUE"""),"L/4/210525/1")</f>
        <v>L/4/210525/1</v>
      </c>
      <c r="C4348" s="42" t="str">
        <f>IFERROR(__xludf.DUMMYFUNCTION("""COMPUTED_VALUE"""),"HGB 3950,3951/BERINGIN RAYA")</f>
        <v>HGB 3950,3951/BERINGIN RAYA</v>
      </c>
      <c r="D4348" s="42" t="str">
        <f>IFERROR(__xludf.DUMMYFUNCTION("""COMPUTED_VALUE"""),"David")</f>
        <v>David</v>
      </c>
      <c r="E4348" s="42" t="str">
        <f>IFERROR(__xludf.DUMMYFUNCTION("""COMPUTED_VALUE"""),"DISERAHKAN")</f>
        <v>DISERAHKAN</v>
      </c>
      <c r="F4348" s="48">
        <f>IFERROR(__xludf.DUMMYFUNCTION("""COMPUTED_VALUE"""),45833.67158962963)</f>
        <v>45833.67159</v>
      </c>
      <c r="G4348" s="42" t="str">
        <f>IFERROR(__xludf.DUMMYFUNCTION("""COMPUTED_VALUE"""),"ROYA")</f>
        <v>ROYA</v>
      </c>
      <c r="H4348" s="42">
        <f t="shared" si="1"/>
        <v>1921</v>
      </c>
    </row>
    <row r="4349" ht="22.5" customHeight="1">
      <c r="B4349" s="42" t="str">
        <f>IFERROR(__xludf.DUMMYFUNCTION("""COMPUTED_VALUE"""),"K/5/210525/1")</f>
        <v>K/5/210525/1</v>
      </c>
      <c r="C4349" s="42" t="str">
        <f>IFERROR(__xludf.DUMMYFUNCTION("""COMPUTED_VALUE"""),"Nibel. M. 18189/ Sukarame Baru")</f>
        <v>Nibel. M. 18189/ Sukarame Baru</v>
      </c>
      <c r="D4349" s="42"/>
      <c r="E4349" s="42"/>
      <c r="F4349" s="48" t="str">
        <f>IFERROR(__xludf.DUMMYFUNCTION("""COMPUTED_VALUE"""),"")</f>
        <v/>
      </c>
      <c r="G4349" s="42" t="str">
        <f>IFERROR(__xludf.DUMMYFUNCTION("""COMPUTED_VALUE"""),"BN Jual Beli")</f>
        <v>BN Jual Beli</v>
      </c>
      <c r="H4349" s="42">
        <f t="shared" si="1"/>
        <v>1921</v>
      </c>
    </row>
    <row r="4350" ht="22.5" customHeight="1">
      <c r="B4350" s="42" t="str">
        <f>IFERROR(__xludf.DUMMYFUNCTION("""COMPUTED_VALUE"""),"K/7/210525/1")</f>
        <v>K/7/210525/1</v>
      </c>
      <c r="C4350" s="42" t="str">
        <f>IFERROR(__xludf.DUMMYFUNCTION("""COMPUTED_VALUE"""),"M. 447/ Palapa")</f>
        <v>M. 447/ Palapa</v>
      </c>
      <c r="D4350" s="42" t="str">
        <f>IFERROR(__xludf.DUMMYFUNCTION("""COMPUTED_VALUE"""),"David")</f>
        <v>David</v>
      </c>
      <c r="E4350" s="42" t="str">
        <f>IFERROR(__xludf.DUMMYFUNCTION("""COMPUTED_VALUE"""),"DISERAHKAN")</f>
        <v>DISERAHKAN</v>
      </c>
      <c r="F4350" s="48">
        <f>IFERROR(__xludf.DUMMYFUNCTION("""COMPUTED_VALUE"""),45863.606303356486)</f>
        <v>45863.6063</v>
      </c>
      <c r="G4350" s="42" t="str">
        <f>IFERROR(__xludf.DUMMYFUNCTION("""COMPUTED_VALUE"""),"BN WARIS")</f>
        <v>BN WARIS</v>
      </c>
      <c r="H4350" s="42">
        <f t="shared" si="1"/>
        <v>1922</v>
      </c>
    </row>
    <row r="4351" ht="22.5" customHeight="1">
      <c r="B4351" s="42" t="str">
        <f>IFERROR(__xludf.DUMMYFUNCTION("""COMPUTED_VALUE"""),"K/6/210525/2")</f>
        <v>K/6/210525/2</v>
      </c>
      <c r="C4351" s="42" t="str">
        <f>IFERROR(__xludf.DUMMYFUNCTION("""COMPUTED_VALUE"""),"M. 2720/ Kemiling Permai")</f>
        <v>M. 2720/ Kemiling Permai</v>
      </c>
      <c r="D4351" s="42" t="str">
        <f>IFERROR(__xludf.DUMMYFUNCTION("""COMPUTED_VALUE"""),"Berry")</f>
        <v>Berry</v>
      </c>
      <c r="E4351" s="42" t="str">
        <f>IFERROR(__xludf.DUMMYFUNCTION("""COMPUTED_VALUE"""),"DISERAHKAN")</f>
        <v>DISERAHKAN</v>
      </c>
      <c r="F4351" s="48">
        <f>IFERROR(__xludf.DUMMYFUNCTION("""COMPUTED_VALUE"""),45839.626307557875)</f>
        <v>45839.62631</v>
      </c>
      <c r="G4351" s="42" t="str">
        <f>IFERROR(__xludf.DUMMYFUNCTION("""COMPUTED_VALUE"""),"BN Jual Beli")</f>
        <v>BN Jual Beli</v>
      </c>
      <c r="H4351" s="42">
        <f t="shared" si="1"/>
        <v>1923</v>
      </c>
    </row>
    <row r="4352" ht="22.5" customHeight="1">
      <c r="B4352" s="42" t="str">
        <f>IFERROR(__xludf.DUMMYFUNCTION("""COMPUTED_VALUE"""),"K/8/210525/1")</f>
        <v>K/8/210525/1</v>
      </c>
      <c r="C4352" s="42" t="str">
        <f>IFERROR(__xludf.DUMMYFUNCTION("""COMPUTED_VALUE"""),"Nibel 2436/ Sukamenanti")</f>
        <v>Nibel 2436/ Sukamenanti</v>
      </c>
      <c r="D4352" s="42"/>
      <c r="E4352" s="42"/>
      <c r="F4352" s="48" t="str">
        <f>IFERROR(__xludf.DUMMYFUNCTION("""COMPUTED_VALUE"""),"")</f>
        <v/>
      </c>
      <c r="G4352" s="42" t="str">
        <f>IFERROR(__xludf.DUMMYFUNCTION("""COMPUTED_VALUE"""),"BN JUAL BELI")</f>
        <v>BN JUAL BELI</v>
      </c>
      <c r="H4352" s="42">
        <f t="shared" si="1"/>
        <v>1923</v>
      </c>
    </row>
    <row r="4353" ht="22.5" customHeight="1">
      <c r="B4353" s="42" t="str">
        <f>IFERROR(__xludf.DUMMYFUNCTION("""COMPUTED_VALUE"""),"L/9/210525/1")</f>
        <v>L/9/210525/1</v>
      </c>
      <c r="C4353" s="42" t="str">
        <f>IFERROR(__xludf.DUMMYFUNCTION("""COMPUTED_VALUE"""),"SIDODADI")</f>
        <v>SIDODADI</v>
      </c>
      <c r="D4353" s="42"/>
      <c r="E4353" s="42"/>
      <c r="F4353" s="48" t="str">
        <f>IFERROR(__xludf.DUMMYFUNCTION("""COMPUTED_VALUE"""),"")</f>
        <v/>
      </c>
      <c r="G4353" s="42" t="str">
        <f>IFERROR(__xludf.DUMMYFUNCTION("""COMPUTED_VALUE"""),"PERTAMA KALI")</f>
        <v>PERTAMA KALI</v>
      </c>
      <c r="H4353" s="42">
        <f t="shared" si="1"/>
        <v>1923</v>
      </c>
    </row>
    <row r="4354" ht="22.5" customHeight="1">
      <c r="B4354" s="42" t="str">
        <f>IFERROR(__xludf.DUMMYFUNCTION("""COMPUTED_VALUE"""),"L/10/210525/1")</f>
        <v>L/10/210525/1</v>
      </c>
      <c r="C4354" s="42" t="str">
        <f>IFERROR(__xludf.DUMMYFUNCTION("""COMPUTED_VALUE"""),"HM 4924/BERINGIN RAYA")</f>
        <v>HM 4924/BERINGIN RAYA</v>
      </c>
      <c r="D4354" s="42" t="str">
        <f>IFERROR(__xludf.DUMMYFUNCTION("""COMPUTED_VALUE"""),"Berry")</f>
        <v>Berry</v>
      </c>
      <c r="E4354" s="42" t="str">
        <f>IFERROR(__xludf.DUMMYFUNCTION("""COMPUTED_VALUE"""),"DISERAHKAN")</f>
        <v>DISERAHKAN</v>
      </c>
      <c r="F4354" s="48">
        <f>IFERROR(__xludf.DUMMYFUNCTION("""COMPUTED_VALUE"""),45831.65798578704)</f>
        <v>45831.65799</v>
      </c>
      <c r="G4354" s="42" t="str">
        <f>IFERROR(__xludf.DUMMYFUNCTION("""COMPUTED_VALUE"""),"ROYA WARIS")</f>
        <v>ROYA WARIS</v>
      </c>
      <c r="H4354" s="42">
        <f t="shared" si="1"/>
        <v>1924</v>
      </c>
    </row>
    <row r="4355" ht="22.5" customHeight="1">
      <c r="B4355" s="42" t="str">
        <f>IFERROR(__xludf.DUMMYFUNCTION("""COMPUTED_VALUE"""),"K/11/210525/1")</f>
        <v>K/11/210525/1</v>
      </c>
      <c r="C4355" s="42" t="str">
        <f>IFERROR(__xludf.DUMMYFUNCTION("""COMPUTED_VALUE"""),"M. 3341/ Kemiling Permai")</f>
        <v>M. 3341/ Kemiling Permai</v>
      </c>
      <c r="D4355" s="42" t="str">
        <f>IFERROR(__xludf.DUMMYFUNCTION("""COMPUTED_VALUE"""),"Berry")</f>
        <v>Berry</v>
      </c>
      <c r="E4355" s="42" t="str">
        <f>IFERROR(__xludf.DUMMYFUNCTION("""COMPUTED_VALUE"""),"DISERAHKAN")</f>
        <v>DISERAHKAN</v>
      </c>
      <c r="F4355" s="48">
        <f>IFERROR(__xludf.DUMMYFUNCTION("""COMPUTED_VALUE"""),45812.590088067125)</f>
        <v>45812.59009</v>
      </c>
      <c r="G4355" s="42" t="str">
        <f>IFERROR(__xludf.DUMMYFUNCTION("""COMPUTED_VALUE"""),"BN HIBAH")</f>
        <v>BN HIBAH</v>
      </c>
      <c r="H4355" s="42">
        <f t="shared" si="1"/>
        <v>1925</v>
      </c>
    </row>
    <row r="4356" ht="22.5" customHeight="1">
      <c r="B4356" s="42" t="str">
        <f>IFERROR(__xludf.DUMMYFUNCTION("""COMPUTED_VALUE"""),"K/12/210525/1")</f>
        <v>K/12/210525/1</v>
      </c>
      <c r="C4356" s="42" t="str">
        <f>IFERROR(__xludf.DUMMYFUNCTION("""COMPUTED_VALUE"""),"M. 33/ Pahoman")</f>
        <v>M. 33/ Pahoman</v>
      </c>
      <c r="D4356" s="42"/>
      <c r="E4356" s="42"/>
      <c r="F4356" s="48" t="str">
        <f>IFERROR(__xludf.DUMMYFUNCTION("""COMPUTED_VALUE"""),"")</f>
        <v/>
      </c>
      <c r="G4356" s="42" t="str">
        <f>IFERROR(__xludf.DUMMYFUNCTION("""COMPUTED_VALUE"""),"BLOKIR")</f>
        <v>BLOKIR</v>
      </c>
      <c r="H4356" s="42">
        <f t="shared" si="1"/>
        <v>1925</v>
      </c>
    </row>
    <row r="4357" ht="22.5" customHeight="1">
      <c r="B4357" s="42" t="str">
        <f>IFERROR(__xludf.DUMMYFUNCTION("""COMPUTED_VALUE"""),"K/13/210525/1")</f>
        <v>K/13/210525/1</v>
      </c>
      <c r="C4357" s="42" t="str">
        <f>IFERROR(__xludf.DUMMYFUNCTION("""COMPUTED_VALUE"""),"M. 972/ Sepang Jaya")</f>
        <v>M. 972/ Sepang Jaya</v>
      </c>
      <c r="D4357" s="42" t="str">
        <f>IFERROR(__xludf.DUMMYFUNCTION("""COMPUTED_VALUE"""),"Berry")</f>
        <v>Berry</v>
      </c>
      <c r="E4357" s="42" t="str">
        <f>IFERROR(__xludf.DUMMYFUNCTION("""COMPUTED_VALUE"""),"DISERAHKAN")</f>
        <v>DISERAHKAN</v>
      </c>
      <c r="F4357" s="48">
        <f>IFERROR(__xludf.DUMMYFUNCTION("""COMPUTED_VALUE"""),45812.59575017361)</f>
        <v>45812.59575</v>
      </c>
      <c r="G4357" s="42" t="str">
        <f>IFERROR(__xludf.DUMMYFUNCTION("""COMPUTED_VALUE"""),"BN LELANG")</f>
        <v>BN LELANG</v>
      </c>
      <c r="H4357" s="42">
        <f t="shared" si="1"/>
        <v>1926</v>
      </c>
    </row>
    <row r="4358" ht="22.5" customHeight="1">
      <c r="B4358" s="42" t="str">
        <f>IFERROR(__xludf.DUMMYFUNCTION("""COMPUTED_VALUE"""),"K/3/210525/1")</f>
        <v>K/3/210525/1</v>
      </c>
      <c r="C4358" s="42" t="str">
        <f>IFERROR(__xludf.DUMMYFUNCTION("""COMPUTED_VALUE"""),"M.940/GUNUNG SULAH")</f>
        <v>M.940/GUNUNG SULAH</v>
      </c>
      <c r="D4358" s="42" t="str">
        <f>IFERROR(__xludf.DUMMYFUNCTION("""COMPUTED_VALUE"""),"Berry")</f>
        <v>Berry</v>
      </c>
      <c r="E4358" s="42" t="str">
        <f>IFERROR(__xludf.DUMMYFUNCTION("""COMPUTED_VALUE"""),"DISERAHKAN")</f>
        <v>DISERAHKAN</v>
      </c>
      <c r="F4358" s="48">
        <f>IFERROR(__xludf.DUMMYFUNCTION("""COMPUTED_VALUE"""),45824.49972590277)</f>
        <v>45824.49973</v>
      </c>
      <c r="G4358" s="42" t="str">
        <f>IFERROR(__xludf.DUMMYFUNCTION("""COMPUTED_VALUE"""),"BN JUAL BELI")</f>
        <v>BN JUAL BELI</v>
      </c>
      <c r="H4358" s="42">
        <f t="shared" si="1"/>
        <v>1927</v>
      </c>
    </row>
    <row r="4359" ht="22.5" customHeight="1">
      <c r="B4359" s="42" t="str">
        <f>IFERROR(__xludf.DUMMYFUNCTION("""COMPUTED_VALUE"""),"K/14/210525/1")</f>
        <v>K/14/210525/1</v>
      </c>
      <c r="C4359" s="42" t="str">
        <f>IFERROR(__xludf.DUMMYFUNCTION("""COMPUTED_VALUE"""),"M. 281/TANJUNG BARU")</f>
        <v>M. 281/TANJUNG BARU</v>
      </c>
      <c r="D4359" s="42"/>
      <c r="E4359" s="42"/>
      <c r="F4359" s="48" t="str">
        <f>IFERROR(__xludf.DUMMYFUNCTION("""COMPUTED_VALUE"""),"#REF!")</f>
        <v>#REF!</v>
      </c>
      <c r="G4359" s="42" t="str">
        <f>IFERROR(__xludf.DUMMYFUNCTION("""COMPUTED_VALUE"""),"SKPT LELANG")</f>
        <v>SKPT LELANG</v>
      </c>
      <c r="H4359" s="42">
        <f t="shared" si="1"/>
        <v>1927</v>
      </c>
    </row>
    <row r="4360" ht="22.5" customHeight="1">
      <c r="B4360" s="42" t="str">
        <f>IFERROR(__xludf.DUMMYFUNCTION("""COMPUTED_VALUE"""),"K/15/210525/1")</f>
        <v>K/15/210525/1</v>
      </c>
      <c r="C4360" s="42" t="str">
        <f>IFERROR(__xludf.DUMMYFUNCTION("""COMPUTED_VALUE"""),"M. 13996/ Tanjung Baru")</f>
        <v>M. 13996/ Tanjung Baru</v>
      </c>
      <c r="D4360" s="42" t="str">
        <f>IFERROR(__xludf.DUMMYFUNCTION("""COMPUTED_VALUE"""),"Berry")</f>
        <v>Berry</v>
      </c>
      <c r="E4360" s="42" t="str">
        <f>IFERROR(__xludf.DUMMYFUNCTION("""COMPUTED_VALUE"""),"DISERAHKAN")</f>
        <v>DISERAHKAN</v>
      </c>
      <c r="F4360" s="48" t="str">
        <f>IFERROR(__xludf.DUMMYFUNCTION("""COMPUTED_VALUE"""),"")</f>
        <v/>
      </c>
      <c r="G4360" s="42" t="str">
        <f>IFERROR(__xludf.DUMMYFUNCTION("""COMPUTED_VALUE"""),"BN Jual Beli")</f>
        <v>BN Jual Beli</v>
      </c>
      <c r="H4360" s="42">
        <f t="shared" si="1"/>
        <v>1928</v>
      </c>
    </row>
    <row r="4361" ht="22.5" customHeight="1">
      <c r="B4361" s="42" t="str">
        <f>IFERROR(__xludf.DUMMYFUNCTION("""COMPUTED_VALUE"""),"L/16/210525/1")</f>
        <v>L/16/210525/1</v>
      </c>
      <c r="C4361" s="42" t="str">
        <f>IFERROR(__xludf.DUMMYFUNCTION("""COMPUTED_VALUE"""),"HM 587/PEMATANG WANGI")</f>
        <v>HM 587/PEMATANG WANGI</v>
      </c>
      <c r="D4361" s="42" t="str">
        <f>IFERROR(__xludf.DUMMYFUNCTION("""COMPUTED_VALUE"""),"David")</f>
        <v>David</v>
      </c>
      <c r="E4361" s="42" t="str">
        <f>IFERROR(__xludf.DUMMYFUNCTION("""COMPUTED_VALUE"""),"DISERAHKAN")</f>
        <v>DISERAHKAN</v>
      </c>
      <c r="F4361" s="48">
        <f>IFERROR(__xludf.DUMMYFUNCTION("""COMPUTED_VALUE"""),45832.53412986112)</f>
        <v>45832.53413</v>
      </c>
      <c r="G4361" s="42" t="str">
        <f>IFERROR(__xludf.DUMMYFUNCTION("""COMPUTED_VALUE"""),"ROYA LELANG")</f>
        <v>ROYA LELANG</v>
      </c>
      <c r="H4361" s="42">
        <f t="shared" si="1"/>
        <v>1929</v>
      </c>
    </row>
    <row r="4362" ht="22.5" customHeight="1">
      <c r="B4362" s="42" t="str">
        <f>IFERROR(__xludf.DUMMYFUNCTION("""COMPUTED_VALUE"""),"K/17/210525/1")</f>
        <v>K/17/210525/1</v>
      </c>
      <c r="C4362" s="42" t="str">
        <f>IFERROR(__xludf.DUMMYFUNCTION("""COMPUTED_VALUE"""),"M. 988/ Labuhan Dalam")</f>
        <v>M. 988/ Labuhan Dalam</v>
      </c>
      <c r="D4362" s="42" t="str">
        <f>IFERROR(__xludf.DUMMYFUNCTION("""COMPUTED_VALUE"""),"Berry")</f>
        <v>Berry</v>
      </c>
      <c r="E4362" s="42" t="str">
        <f>IFERROR(__xludf.DUMMYFUNCTION("""COMPUTED_VALUE"""),"DISERAHKAN")</f>
        <v>DISERAHKAN</v>
      </c>
      <c r="F4362" s="48">
        <f>IFERROR(__xludf.DUMMYFUNCTION("""COMPUTED_VALUE"""),45831.65617615741)</f>
        <v>45831.65618</v>
      </c>
      <c r="G4362" s="42" t="str">
        <f>IFERROR(__xludf.DUMMYFUNCTION("""COMPUTED_VALUE"""),"Roya")</f>
        <v>Roya</v>
      </c>
      <c r="H4362" s="42">
        <f t="shared" si="1"/>
        <v>1930</v>
      </c>
    </row>
    <row r="4363" ht="22.5" customHeight="1">
      <c r="B4363" s="42" t="str">
        <f>IFERROR(__xludf.DUMMYFUNCTION("""COMPUTED_VALUE"""),"L/18/210525/1")</f>
        <v>L/18/210525/1</v>
      </c>
      <c r="C4363" s="42" t="str">
        <f>IFERROR(__xludf.DUMMYFUNCTION("""COMPUTED_VALUE"""),"HM 13524/RAJABASA")</f>
        <v>HM 13524/RAJABASA</v>
      </c>
      <c r="D4363" s="42" t="str">
        <f>IFERROR(__xludf.DUMMYFUNCTION("""COMPUTED_VALUE"""),"Berry")</f>
        <v>Berry</v>
      </c>
      <c r="E4363" s="42" t="str">
        <f>IFERROR(__xludf.DUMMYFUNCTION("""COMPUTED_VALUE"""),"DISERAHKAN")</f>
        <v>DISERAHKAN</v>
      </c>
      <c r="F4363" s="48">
        <f>IFERROR(__xludf.DUMMYFUNCTION("""COMPUTED_VALUE"""),45831.662160567124)</f>
        <v>45831.66216</v>
      </c>
      <c r="G4363" s="42" t="str">
        <f>IFERROR(__xludf.DUMMYFUNCTION("""COMPUTED_VALUE"""),"ROYA")</f>
        <v>ROYA</v>
      </c>
      <c r="H4363" s="42">
        <f t="shared" si="1"/>
        <v>1931</v>
      </c>
    </row>
    <row r="4364" ht="22.5" customHeight="1">
      <c r="B4364" s="42" t="str">
        <f>IFERROR(__xludf.DUMMYFUNCTION("""COMPUTED_VALUE"""),"K/19/210525/1")</f>
        <v>K/19/210525/1</v>
      </c>
      <c r="C4364" s="42" t="str">
        <f>IFERROR(__xludf.DUMMYFUNCTION("""COMPUTED_VALUE"""),"M. 18360/ Sukarame I")</f>
        <v>M. 18360/ Sukarame I</v>
      </c>
      <c r="D4364" s="42" t="str">
        <f>IFERROR(__xludf.DUMMYFUNCTION("""COMPUTED_VALUE"""),"David")</f>
        <v>David</v>
      </c>
      <c r="E4364" s="42" t="str">
        <f>IFERROR(__xludf.DUMMYFUNCTION("""COMPUTED_VALUE"""),"DISERAHKAN")</f>
        <v>DISERAHKAN</v>
      </c>
      <c r="F4364" s="48">
        <f>IFERROR(__xludf.DUMMYFUNCTION("""COMPUTED_VALUE"""),45840.59982857639)</f>
        <v>45840.59983</v>
      </c>
      <c r="G4364" s="42" t="str">
        <f>IFERROR(__xludf.DUMMYFUNCTION("""COMPUTED_VALUE"""),"ROYA")</f>
        <v>ROYA</v>
      </c>
      <c r="H4364" s="42">
        <f t="shared" si="1"/>
        <v>1932</v>
      </c>
    </row>
    <row r="4365" ht="22.5" customHeight="1">
      <c r="B4365" s="42" t="str">
        <f>IFERROR(__xludf.DUMMYFUNCTION("""COMPUTED_VALUE"""),"K/20/210525/1")</f>
        <v>K/20/210525/1</v>
      </c>
      <c r="C4365" s="42" t="str">
        <f>IFERROR(__xludf.DUMMYFUNCTION("""COMPUTED_VALUE"""),"Sporadik Jimi Setiawan")</f>
        <v>Sporadik Jimi Setiawan</v>
      </c>
      <c r="D4365" s="42"/>
      <c r="E4365" s="42"/>
      <c r="F4365" s="48" t="str">
        <f>IFERROR(__xludf.DUMMYFUNCTION("""COMPUTED_VALUE"""),"")</f>
        <v/>
      </c>
      <c r="G4365" s="42" t="str">
        <f>IFERROR(__xludf.DUMMYFUNCTION("""COMPUTED_VALUE"""),"Pertama Kali")</f>
        <v>Pertama Kali</v>
      </c>
      <c r="H4365" s="42">
        <f t="shared" si="1"/>
        <v>1932</v>
      </c>
    </row>
    <row r="4366" ht="22.5" customHeight="1">
      <c r="B4366" s="42" t="str">
        <f>IFERROR(__xludf.DUMMYFUNCTION("""COMPUTED_VALUE"""),"L/21/210525/1")</f>
        <v>L/21/210525/1</v>
      </c>
      <c r="C4366" s="42" t="str">
        <f>IFERROR(__xludf.DUMMYFUNCTION("""COMPUTED_VALUE"""),"NIB 9997/NUSANTARA PERMAI")</f>
        <v>NIB 9997/NUSANTARA PERMAI</v>
      </c>
      <c r="D4366" s="42"/>
      <c r="E4366" s="42"/>
      <c r="F4366" s="48" t="str">
        <f>IFERROR(__xludf.DUMMYFUNCTION("""COMPUTED_VALUE"""),"")</f>
        <v/>
      </c>
      <c r="G4366" s="42" t="str">
        <f>IFERROR(__xludf.DUMMYFUNCTION("""COMPUTED_VALUE"""),"BN JUAL-BELI")</f>
        <v>BN JUAL-BELI</v>
      </c>
      <c r="H4366" s="42">
        <f t="shared" si="1"/>
        <v>1932</v>
      </c>
    </row>
    <row r="4367" ht="22.5" customHeight="1">
      <c r="B4367" s="42" t="str">
        <f>IFERROR(__xludf.DUMMYFUNCTION("""COMPUTED_VALUE"""),"L/22/210525/2")</f>
        <v>L/22/210525/2</v>
      </c>
      <c r="C4367" s="42" t="str">
        <f>IFERROR(__xludf.DUMMYFUNCTION("""COMPUTED_VALUE"""),"NIB 12135/NUSANTARA PERMAI")</f>
        <v>NIB 12135/NUSANTARA PERMAI</v>
      </c>
      <c r="D4367" s="42"/>
      <c r="E4367" s="42"/>
      <c r="F4367" s="48" t="str">
        <f>IFERROR(__xludf.DUMMYFUNCTION("""COMPUTED_VALUE"""),"")</f>
        <v/>
      </c>
      <c r="G4367" s="42" t="str">
        <f>IFERROR(__xludf.DUMMYFUNCTION("""COMPUTED_VALUE"""),"BN JUAL-BELI")</f>
        <v>BN JUAL-BELI</v>
      </c>
      <c r="H4367" s="42">
        <f t="shared" si="1"/>
        <v>1932</v>
      </c>
    </row>
    <row r="4368" ht="22.5" customHeight="1">
      <c r="B4368" s="42" t="str">
        <f>IFERROR(__xludf.DUMMYFUNCTION("""COMPUTED_VALUE"""),"K/23/210525/1")</f>
        <v>K/23/210525/1</v>
      </c>
      <c r="C4368" s="42" t="str">
        <f>IFERROR(__xludf.DUMMYFUNCTION("""COMPUTED_VALUE"""),"Nibel. M. 18953/ Sukarame Baru")</f>
        <v>Nibel. M. 18953/ Sukarame Baru</v>
      </c>
      <c r="D4368" s="42"/>
      <c r="E4368" s="42"/>
      <c r="F4368" s="48" t="str">
        <f>IFERROR(__xludf.DUMMYFUNCTION("""COMPUTED_VALUE"""),"")</f>
        <v/>
      </c>
      <c r="G4368" s="42" t="str">
        <f>IFERROR(__xludf.DUMMYFUNCTION("""COMPUTED_VALUE"""),"BN Jual Beli")</f>
        <v>BN Jual Beli</v>
      </c>
      <c r="H4368" s="42">
        <f t="shared" si="1"/>
        <v>1932</v>
      </c>
    </row>
    <row r="4369" ht="22.5" customHeight="1">
      <c r="B4369" s="42" t="str">
        <f>IFERROR(__xludf.DUMMYFUNCTION("""COMPUTED_VALUE"""),"L/26/210525/1")</f>
        <v>L/26/210525/1</v>
      </c>
      <c r="C4369" s="42" t="str">
        <f>IFERROR(__xludf.DUMMYFUNCTION("""COMPUTED_VALUE"""),"HM 1025/GUNUNG AGUNG")</f>
        <v>HM 1025/GUNUNG AGUNG</v>
      </c>
      <c r="D4369" s="42"/>
      <c r="E4369" s="42"/>
      <c r="F4369" s="48" t="str">
        <f>IFERROR(__xludf.DUMMYFUNCTION("""COMPUTED_VALUE"""),"")</f>
        <v/>
      </c>
      <c r="G4369" s="42" t="str">
        <f>IFERROR(__xludf.DUMMYFUNCTION("""COMPUTED_VALUE"""),"PEMECAHAN")</f>
        <v>PEMECAHAN</v>
      </c>
      <c r="H4369" s="42">
        <f t="shared" si="1"/>
        <v>1932</v>
      </c>
    </row>
    <row r="4370" ht="22.5" customHeight="1">
      <c r="B4370" s="42" t="str">
        <f>IFERROR(__xludf.DUMMYFUNCTION("""COMPUTED_VALUE"""),"K/28/210525/1")</f>
        <v>K/28/210525/1</v>
      </c>
      <c r="C4370" s="42" t="str">
        <f>IFERROR(__xludf.DUMMYFUNCTION("""COMPUTED_VALUE"""),"B. 1495/ Kemiling Permai")</f>
        <v>B. 1495/ Kemiling Permai</v>
      </c>
      <c r="D4370" s="42"/>
      <c r="E4370" s="42"/>
      <c r="F4370" s="48" t="str">
        <f>IFERROR(__xludf.DUMMYFUNCTION("""COMPUTED_VALUE"""),"")</f>
        <v/>
      </c>
      <c r="G4370" s="42" t="str">
        <f>IFERROR(__xludf.DUMMYFUNCTION("""COMPUTED_VALUE"""),"BN Jual Beli")</f>
        <v>BN Jual Beli</v>
      </c>
      <c r="H4370" s="42">
        <f t="shared" si="1"/>
        <v>1932</v>
      </c>
    </row>
    <row r="4371" ht="22.5" customHeight="1">
      <c r="B4371" s="42" t="str">
        <f>IFERROR(__xludf.DUMMYFUNCTION("""COMPUTED_VALUE"""),"K/24/210525/1")</f>
        <v>K/24/210525/1</v>
      </c>
      <c r="C4371" s="42" t="str">
        <f>IFERROR(__xludf.DUMMYFUNCTION("""COMPUTED_VALUE"""),"Nibel 19514/ Beringin Jaya")</f>
        <v>Nibel 19514/ Beringin Jaya</v>
      </c>
      <c r="D4371" s="42"/>
      <c r="E4371" s="42"/>
      <c r="F4371" s="48" t="str">
        <f>IFERROR(__xludf.DUMMYFUNCTION("""COMPUTED_VALUE"""),"")</f>
        <v/>
      </c>
      <c r="G4371" s="42" t="str">
        <f>IFERROR(__xludf.DUMMYFUNCTION("""COMPUTED_VALUE"""),"PEMECAHAN BIDANG")</f>
        <v>PEMECAHAN BIDANG</v>
      </c>
      <c r="H4371" s="42">
        <f t="shared" si="1"/>
        <v>1932</v>
      </c>
    </row>
    <row r="4372" ht="22.5" customHeight="1">
      <c r="B4372" s="42" t="str">
        <f>IFERROR(__xludf.DUMMYFUNCTION("""COMPUTED_VALUE"""),"K/25/210525/2")</f>
        <v>K/25/210525/2</v>
      </c>
      <c r="C4372" s="42" t="str">
        <f>IFERROR(__xludf.DUMMYFUNCTION("""COMPUTED_VALUE"""),"Nibel 19246/ Beringin Jaya")</f>
        <v>Nibel 19246/ Beringin Jaya</v>
      </c>
      <c r="D4372" s="42"/>
      <c r="E4372" s="42"/>
      <c r="F4372" s="48" t="str">
        <f>IFERROR(__xludf.DUMMYFUNCTION("""COMPUTED_VALUE"""),"")</f>
        <v/>
      </c>
      <c r="G4372" s="42" t="str">
        <f>IFERROR(__xludf.DUMMYFUNCTION("""COMPUTED_VALUE"""),"PEMECAHAN BIDANG")</f>
        <v>PEMECAHAN BIDANG</v>
      </c>
      <c r="H4372" s="42">
        <f t="shared" si="1"/>
        <v>1932</v>
      </c>
    </row>
    <row r="4373" ht="22.5" customHeight="1">
      <c r="B4373" s="42" t="str">
        <f>IFERROR(__xludf.DUMMYFUNCTION("""COMPUTED_VALUE"""),"K/29/210525/3")</f>
        <v>K/29/210525/3</v>
      </c>
      <c r="C4373" s="42" t="str">
        <f>IFERROR(__xludf.DUMMYFUNCTION("""COMPUTED_VALUE"""),"Nibel 19269/ beringin Jaya")</f>
        <v>Nibel 19269/ beringin Jaya</v>
      </c>
      <c r="D4373" s="42"/>
      <c r="E4373" s="42"/>
      <c r="F4373" s="48" t="str">
        <f>IFERROR(__xludf.DUMMYFUNCTION("""COMPUTED_VALUE"""),"")</f>
        <v/>
      </c>
      <c r="G4373" s="42" t="str">
        <f>IFERROR(__xludf.DUMMYFUNCTION("""COMPUTED_VALUE"""),"PTPGT PEMECAHAN")</f>
        <v>PTPGT PEMECAHAN</v>
      </c>
      <c r="H4373" s="42">
        <f t="shared" si="1"/>
        <v>1932</v>
      </c>
    </row>
    <row r="4374" ht="22.5" customHeight="1">
      <c r="B4374" s="42" t="str">
        <f>IFERROR(__xludf.DUMMYFUNCTION("""COMPUTED_VALUE"""),"L/32/210525/1")</f>
        <v>L/32/210525/1</v>
      </c>
      <c r="C4374" s="42" t="str">
        <f>IFERROR(__xludf.DUMMYFUNCTION("""COMPUTED_VALUE"""),"NIB 1858/BUMI KEDAMAIAN")</f>
        <v>NIB 1858/BUMI KEDAMAIAN</v>
      </c>
      <c r="D4374" s="42"/>
      <c r="E4374" s="42"/>
      <c r="F4374" s="48" t="str">
        <f>IFERROR(__xludf.DUMMYFUNCTION("""COMPUTED_VALUE"""),"")</f>
        <v/>
      </c>
      <c r="G4374" s="42" t="str">
        <f>IFERROR(__xludf.DUMMYFUNCTION("""COMPUTED_VALUE"""),"BN APHB")</f>
        <v>BN APHB</v>
      </c>
      <c r="H4374" s="42">
        <f t="shared" si="1"/>
        <v>1932</v>
      </c>
    </row>
    <row r="4375" ht="22.5" customHeight="1">
      <c r="B4375" s="42" t="str">
        <f>IFERROR(__xludf.DUMMYFUNCTION("""COMPUTED_VALUE"""),"K/30/210525/4")</f>
        <v>K/30/210525/4</v>
      </c>
      <c r="C4375" s="42" t="str">
        <f>IFERROR(__xludf.DUMMYFUNCTION("""COMPUTED_VALUE"""),"Nibel 19494/ Beringin Jaya")</f>
        <v>Nibel 19494/ Beringin Jaya</v>
      </c>
      <c r="D4375" s="42"/>
      <c r="E4375" s="42"/>
      <c r="F4375" s="48" t="str">
        <f>IFERROR(__xludf.DUMMYFUNCTION("""COMPUTED_VALUE"""),"")</f>
        <v/>
      </c>
      <c r="G4375" s="42" t="str">
        <f>IFERROR(__xludf.DUMMYFUNCTION("""COMPUTED_VALUE"""),"PTPGT PEMECAHAN")</f>
        <v>PTPGT PEMECAHAN</v>
      </c>
      <c r="H4375" s="42">
        <f t="shared" si="1"/>
        <v>1932</v>
      </c>
    </row>
    <row r="4376" ht="22.5" customHeight="1">
      <c r="B4376" s="42" t="str">
        <f>IFERROR(__xludf.DUMMYFUNCTION("""COMPUTED_VALUE"""),"L/33/210525/1")</f>
        <v>L/33/210525/1</v>
      </c>
      <c r="C4376" s="42" t="str">
        <f>IFERROR(__xludf.DUMMYFUNCTION("""COMPUTED_VALUE"""),"NIB 1857/BUMI KEDAMAIAN")</f>
        <v>NIB 1857/BUMI KEDAMAIAN</v>
      </c>
      <c r="D4376" s="42"/>
      <c r="E4376" s="42"/>
      <c r="F4376" s="48" t="str">
        <f>IFERROR(__xludf.DUMMYFUNCTION("""COMPUTED_VALUE"""),"")</f>
        <v/>
      </c>
      <c r="G4376" s="42" t="str">
        <f>IFERROR(__xludf.DUMMYFUNCTION("""COMPUTED_VALUE"""),"BN APHB")</f>
        <v>BN APHB</v>
      </c>
      <c r="H4376" s="42">
        <f t="shared" si="1"/>
        <v>1932</v>
      </c>
    </row>
    <row r="4377" ht="22.5" customHeight="1">
      <c r="B4377" s="42" t="str">
        <f>IFERROR(__xludf.DUMMYFUNCTION("""COMPUTED_VALUE"""),"K/34/210525/1")</f>
        <v>K/34/210525/1</v>
      </c>
      <c r="C4377" s="42" t="str">
        <f>IFERROR(__xludf.DUMMYFUNCTION("""COMPUTED_VALUE"""),"M. 14998/ Rajabasa")</f>
        <v>M. 14998/ Rajabasa</v>
      </c>
      <c r="D4377" s="42" t="str">
        <f>IFERROR(__xludf.DUMMYFUNCTION("""COMPUTED_VALUE"""),"Berry")</f>
        <v>Berry</v>
      </c>
      <c r="E4377" s="42" t="str">
        <f>IFERROR(__xludf.DUMMYFUNCTION("""COMPUTED_VALUE"""),"DISERAHKAN")</f>
        <v>DISERAHKAN</v>
      </c>
      <c r="F4377" s="48">
        <f>IFERROR(__xludf.DUMMYFUNCTION("""COMPUTED_VALUE"""),45819.791171053235)</f>
        <v>45819.79117</v>
      </c>
      <c r="G4377" s="42" t="str">
        <f>IFERROR(__xludf.DUMMYFUNCTION("""COMPUTED_VALUE"""),"BN Jual Beli")</f>
        <v>BN Jual Beli</v>
      </c>
      <c r="H4377" s="42">
        <f t="shared" si="1"/>
        <v>1933</v>
      </c>
    </row>
    <row r="4378" ht="22.5" customHeight="1">
      <c r="B4378" s="42" t="str">
        <f>IFERROR(__xludf.DUMMYFUNCTION("""COMPUTED_VALUE"""),"K/31/210525/5")</f>
        <v>K/31/210525/5</v>
      </c>
      <c r="C4378" s="42" t="str">
        <f>IFERROR(__xludf.DUMMYFUNCTION("""COMPUTED_VALUE"""),"Nibel 19268/ Beringin Jaya")</f>
        <v>Nibel 19268/ Beringin Jaya</v>
      </c>
      <c r="D4378" s="42"/>
      <c r="E4378" s="42"/>
      <c r="F4378" s="48" t="str">
        <f>IFERROR(__xludf.DUMMYFUNCTION("""COMPUTED_VALUE"""),"")</f>
        <v/>
      </c>
      <c r="G4378" s="42" t="str">
        <f>IFERROR(__xludf.DUMMYFUNCTION("""COMPUTED_VALUE"""),"PTPGT PEMECAHAN")</f>
        <v>PTPGT PEMECAHAN</v>
      </c>
      <c r="H4378" s="42">
        <f t="shared" si="1"/>
        <v>1933</v>
      </c>
    </row>
    <row r="4379" ht="22.5" customHeight="1">
      <c r="B4379" s="42" t="str">
        <f>IFERROR(__xludf.DUMMYFUNCTION("""COMPUTED_VALUE"""),"K/35/210525/2")</f>
        <v>K/35/210525/2</v>
      </c>
      <c r="C4379" s="42" t="str">
        <f>IFERROR(__xludf.DUMMYFUNCTION("""COMPUTED_VALUE"""),"M. 14983/ Rajabasa")</f>
        <v>M. 14983/ Rajabasa</v>
      </c>
      <c r="D4379" s="42" t="str">
        <f>IFERROR(__xludf.DUMMYFUNCTION("""COMPUTED_VALUE"""),"Berry")</f>
        <v>Berry</v>
      </c>
      <c r="E4379" s="42" t="str">
        <f>IFERROR(__xludf.DUMMYFUNCTION("""COMPUTED_VALUE"""),"DISERAHKAN")</f>
        <v>DISERAHKAN</v>
      </c>
      <c r="F4379" s="48">
        <f>IFERROR(__xludf.DUMMYFUNCTION("""COMPUTED_VALUE"""),45819.798321608796)</f>
        <v>45819.79832</v>
      </c>
      <c r="G4379" s="42" t="str">
        <f>IFERROR(__xludf.DUMMYFUNCTION("""COMPUTED_VALUE"""),"BN Jual Beli")</f>
        <v>BN Jual Beli</v>
      </c>
      <c r="H4379" s="42">
        <f t="shared" si="1"/>
        <v>1934</v>
      </c>
    </row>
    <row r="4380" ht="22.5" customHeight="1">
      <c r="B4380" s="42" t="str">
        <f>IFERROR(__xludf.DUMMYFUNCTION("""COMPUTED_VALUE"""),"K/36/210525/1")</f>
        <v>K/36/210525/1</v>
      </c>
      <c r="C4380" s="42" t="str">
        <f>IFERROR(__xludf.DUMMYFUNCTION("""COMPUTED_VALUE"""),"M. 1287/ Kelapa Tiga")</f>
        <v>M. 1287/ Kelapa Tiga</v>
      </c>
      <c r="D4380" s="42" t="str">
        <f>IFERROR(__xludf.DUMMYFUNCTION("""COMPUTED_VALUE"""),"Berry")</f>
        <v>Berry</v>
      </c>
      <c r="E4380" s="42" t="str">
        <f>IFERROR(__xludf.DUMMYFUNCTION("""COMPUTED_VALUE"""),"DISERAHKAN")</f>
        <v>DISERAHKAN</v>
      </c>
      <c r="F4380" s="48">
        <f>IFERROR(__xludf.DUMMYFUNCTION("""COMPUTED_VALUE"""),45824.47457222222)</f>
        <v>45824.47457</v>
      </c>
      <c r="G4380" s="42" t="str">
        <f>IFERROR(__xludf.DUMMYFUNCTION("""COMPUTED_VALUE"""),"BN Waris")</f>
        <v>BN Waris</v>
      </c>
      <c r="H4380" s="42">
        <f t="shared" si="1"/>
        <v>1935</v>
      </c>
    </row>
    <row r="4381" ht="22.5" customHeight="1">
      <c r="B4381" s="42" t="str">
        <f>IFERROR(__xludf.DUMMYFUNCTION("""COMPUTED_VALUE"""),"K/37/210525/1")</f>
        <v>K/37/210525/1</v>
      </c>
      <c r="C4381" s="42" t="str">
        <f>IFERROR(__xludf.DUMMYFUNCTION("""COMPUTED_VALUE"""),"M. 3741/ Rajabasa Jaya")</f>
        <v>M. 3741/ Rajabasa Jaya</v>
      </c>
      <c r="D4381" s="42" t="str">
        <f>IFERROR(__xludf.DUMMYFUNCTION("""COMPUTED_VALUE"""),"Berry")</f>
        <v>Berry</v>
      </c>
      <c r="E4381" s="42" t="str">
        <f>IFERROR(__xludf.DUMMYFUNCTION("""COMPUTED_VALUE"""),"DISERAHKAN")</f>
        <v>DISERAHKAN</v>
      </c>
      <c r="F4381" s="48">
        <f>IFERROR(__xludf.DUMMYFUNCTION("""COMPUTED_VALUE"""),45812.608325277775)</f>
        <v>45812.60833</v>
      </c>
      <c r="G4381" s="42" t="str">
        <f>IFERROR(__xludf.DUMMYFUNCTION("""COMPUTED_VALUE"""),"BN Jual Beli")</f>
        <v>BN Jual Beli</v>
      </c>
      <c r="H4381" s="42">
        <f t="shared" si="1"/>
        <v>1936</v>
      </c>
    </row>
    <row r="4382" ht="22.5" customHeight="1">
      <c r="B4382" s="42" t="str">
        <f>IFERROR(__xludf.DUMMYFUNCTION("""COMPUTED_VALUE"""),"K/38/210525/1")</f>
        <v>K/38/210525/1</v>
      </c>
      <c r="C4382" s="42" t="str">
        <f>IFERROR(__xludf.DUMMYFUNCTION("""COMPUTED_VALUE"""),"M. 2225/ Durian Payung")</f>
        <v>M. 2225/ Durian Payung</v>
      </c>
      <c r="D4382" s="42"/>
      <c r="E4382" s="42"/>
      <c r="F4382" s="48" t="str">
        <f>IFERROR(__xludf.DUMMYFUNCTION("""COMPUTED_VALUE"""),"")</f>
        <v/>
      </c>
      <c r="G4382" s="42" t="str">
        <f>IFERROR(__xludf.DUMMYFUNCTION("""COMPUTED_VALUE"""),"SKPT LELANG")</f>
        <v>SKPT LELANG</v>
      </c>
      <c r="H4382" s="42">
        <f t="shared" si="1"/>
        <v>1936</v>
      </c>
    </row>
    <row r="4383" ht="22.5" customHeight="1">
      <c r="B4383" s="42" t="str">
        <f>IFERROR(__xludf.DUMMYFUNCTION("""COMPUTED_VALUE"""),"K/39/210525/2")</f>
        <v>K/39/210525/2</v>
      </c>
      <c r="C4383" s="42" t="str">
        <f>IFERROR(__xludf.DUMMYFUNCTION("""COMPUTED_VALUE"""),"M. 2239/ Durian Payung")</f>
        <v>M. 2239/ Durian Payung</v>
      </c>
      <c r="D4383" s="42"/>
      <c r="E4383" s="42"/>
      <c r="F4383" s="48" t="str">
        <f>IFERROR(__xludf.DUMMYFUNCTION("""COMPUTED_VALUE"""),"")</f>
        <v/>
      </c>
      <c r="G4383" s="42" t="str">
        <f>IFERROR(__xludf.DUMMYFUNCTION("""COMPUTED_VALUE"""),"SKPT LELANG")</f>
        <v>SKPT LELANG</v>
      </c>
      <c r="H4383" s="42">
        <f t="shared" si="1"/>
        <v>1936</v>
      </c>
    </row>
    <row r="4384" ht="22.5" customHeight="1">
      <c r="B4384" s="42" t="str">
        <f>IFERROR(__xludf.DUMMYFUNCTION("""COMPUTED_VALUE"""),"K/40/210525/1")</f>
        <v>K/40/210525/1</v>
      </c>
      <c r="C4384" s="42" t="str">
        <f>IFERROR(__xludf.DUMMYFUNCTION("""COMPUTED_VALUE"""),"M. 1391/ Pengajaran")</f>
        <v>M. 1391/ Pengajaran</v>
      </c>
      <c r="D4384" s="42" t="str">
        <f>IFERROR(__xludf.DUMMYFUNCTION("""COMPUTED_VALUE"""),"David")</f>
        <v>David</v>
      </c>
      <c r="E4384" s="42" t="str">
        <f>IFERROR(__xludf.DUMMYFUNCTION("""COMPUTED_VALUE"""),"DISERAHKAN")</f>
        <v>DISERAHKAN</v>
      </c>
      <c r="F4384" s="48">
        <f>IFERROR(__xludf.DUMMYFUNCTION("""COMPUTED_VALUE"""),45825.67714569444)</f>
        <v>45825.67715</v>
      </c>
      <c r="G4384" s="42" t="str">
        <f>IFERROR(__xludf.DUMMYFUNCTION("""COMPUTED_VALUE"""),"ROYA")</f>
        <v>ROYA</v>
      </c>
      <c r="H4384" s="42">
        <f t="shared" si="1"/>
        <v>1937</v>
      </c>
    </row>
    <row r="4385" ht="22.5" customHeight="1">
      <c r="B4385" s="42" t="str">
        <f>IFERROR(__xludf.DUMMYFUNCTION("""COMPUTED_VALUE"""),"K/41/210525/1")</f>
        <v>K/41/210525/1</v>
      </c>
      <c r="C4385" s="42" t="str">
        <f>IFERROR(__xludf.DUMMYFUNCTION("""COMPUTED_VALUE"""),"B. 4429/ Sukabumi")</f>
        <v>B. 4429/ Sukabumi</v>
      </c>
      <c r="D4385" s="42" t="str">
        <f>IFERROR(__xludf.DUMMYFUNCTION("""COMPUTED_VALUE"""),"Berry")</f>
        <v>Berry</v>
      </c>
      <c r="E4385" s="42" t="str">
        <f>IFERROR(__xludf.DUMMYFUNCTION("""COMPUTED_VALUE"""),"DISERAHKAN")</f>
        <v>DISERAHKAN</v>
      </c>
      <c r="F4385" s="48">
        <f>IFERROR(__xludf.DUMMYFUNCTION("""COMPUTED_VALUE"""),45853.72387069445)</f>
        <v>45853.72387</v>
      </c>
      <c r="G4385" s="42" t="str">
        <f>IFERROR(__xludf.DUMMYFUNCTION("""COMPUTED_VALUE"""),"Ganti Nama HT")</f>
        <v>Ganti Nama HT</v>
      </c>
      <c r="H4385" s="42">
        <f t="shared" si="1"/>
        <v>1938</v>
      </c>
    </row>
    <row r="4386" ht="22.5" customHeight="1">
      <c r="B4386" s="42" t="str">
        <f>IFERROR(__xludf.DUMMYFUNCTION("""COMPUTED_VALUE"""),"L/43/210525/1")</f>
        <v>L/43/210525/1</v>
      </c>
      <c r="C4386" s="42" t="str">
        <f>IFERROR(__xludf.DUMMYFUNCTION("""COMPUTED_VALUE"""),"HM 2088/WAY KANDIS")</f>
        <v>HM 2088/WAY KANDIS</v>
      </c>
      <c r="D4386" s="42"/>
      <c r="E4386" s="42"/>
      <c r="F4386" s="48" t="str">
        <f>IFERROR(__xludf.DUMMYFUNCTION("""COMPUTED_VALUE"""),"")</f>
        <v/>
      </c>
      <c r="G4386" s="42" t="str">
        <f>IFERROR(__xludf.DUMMYFUNCTION("""COMPUTED_VALUE"""),"HAPUS BPHTB")</f>
        <v>HAPUS BPHTB</v>
      </c>
      <c r="H4386" s="42">
        <f t="shared" si="1"/>
        <v>1938</v>
      </c>
    </row>
    <row r="4387" ht="22.5" customHeight="1">
      <c r="B4387" s="42" t="str">
        <f>IFERROR(__xludf.DUMMYFUNCTION("""COMPUTED_VALUE"""),"K/42/210525/2")</f>
        <v>K/42/210525/2</v>
      </c>
      <c r="C4387" s="42" t="str">
        <f>IFERROR(__xludf.DUMMYFUNCTION("""COMPUTED_VALUE"""),"M. 4325/ Tanjung Senang")</f>
        <v>M. 4325/ Tanjung Senang</v>
      </c>
      <c r="D4387" s="42" t="str">
        <f>IFERROR(__xludf.DUMMYFUNCTION("""COMPUTED_VALUE"""),"Berry")</f>
        <v>Berry</v>
      </c>
      <c r="E4387" s="42" t="str">
        <f>IFERROR(__xludf.DUMMYFUNCTION("""COMPUTED_VALUE"""),"DISERAHKAN")</f>
        <v>DISERAHKAN</v>
      </c>
      <c r="F4387" s="48">
        <f>IFERROR(__xludf.DUMMYFUNCTION("""COMPUTED_VALUE"""),45891.59021556713)</f>
        <v>45891.59022</v>
      </c>
      <c r="G4387" s="42" t="str">
        <f>IFERROR(__xludf.DUMMYFUNCTION("""COMPUTED_VALUE"""),"Ganti Nama HT")</f>
        <v>Ganti Nama HT</v>
      </c>
      <c r="H4387" s="42">
        <f t="shared" si="1"/>
        <v>1939</v>
      </c>
    </row>
    <row r="4388" ht="22.5" customHeight="1">
      <c r="B4388" s="42" t="str">
        <f>IFERROR(__xludf.DUMMYFUNCTION("""COMPUTED_VALUE"""),"K/27/210525/1")</f>
        <v>K/27/210525/1</v>
      </c>
      <c r="C4388" s="42" t="str">
        <f>IFERROR(__xludf.DUMMYFUNCTION("""COMPUTED_VALUE"""),"M. 470/WAY HALIM PERMAI")</f>
        <v>M. 470/WAY HALIM PERMAI</v>
      </c>
      <c r="D4388" s="42" t="str">
        <f>IFERROR(__xludf.DUMMYFUNCTION("""COMPUTED_VALUE"""),"Berry")</f>
        <v>Berry</v>
      </c>
      <c r="E4388" s="42" t="str">
        <f>IFERROR(__xludf.DUMMYFUNCTION("""COMPUTED_VALUE"""),"DISERAHKAN")</f>
        <v>DISERAHKAN</v>
      </c>
      <c r="F4388" s="48">
        <f>IFERROR(__xludf.DUMMYFUNCTION("""COMPUTED_VALUE"""),45825.551981296296)</f>
        <v>45825.55198</v>
      </c>
      <c r="G4388" s="42" t="str">
        <f>IFERROR(__xludf.DUMMYFUNCTION("""COMPUTED_VALUE"""),"BN HIBAH ")</f>
        <v>BN HIBAH </v>
      </c>
      <c r="H4388" s="42">
        <f t="shared" si="1"/>
        <v>1940</v>
      </c>
    </row>
    <row r="4389" ht="22.5" customHeight="1">
      <c r="B4389" s="42" t="str">
        <f>IFERROR(__xludf.DUMMYFUNCTION("""COMPUTED_VALUE"""),"K/44/210525/1")</f>
        <v>K/44/210525/1</v>
      </c>
      <c r="C4389" s="42" t="str">
        <f>IFERROR(__xludf.DUMMYFUNCTION("""COMPUTED_VALUE"""),"M. 1499/PESAWAHAN")</f>
        <v>M. 1499/PESAWAHAN</v>
      </c>
      <c r="D4389" s="42" t="str">
        <f>IFERROR(__xludf.DUMMYFUNCTION("""COMPUTED_VALUE"""),"Berry")</f>
        <v>Berry</v>
      </c>
      <c r="E4389" s="42" t="str">
        <f>IFERROR(__xludf.DUMMYFUNCTION("""COMPUTED_VALUE"""),"DISERAHKAN")</f>
        <v>DISERAHKAN</v>
      </c>
      <c r="F4389" s="48">
        <f>IFERROR(__xludf.DUMMYFUNCTION("""COMPUTED_VALUE"""),45827.67763157407)</f>
        <v>45827.67763</v>
      </c>
      <c r="G4389" s="42" t="str">
        <f>IFERROR(__xludf.DUMMYFUNCTION("""COMPUTED_VALUE"""),"ROYA")</f>
        <v>ROYA</v>
      </c>
      <c r="H4389" s="42">
        <f t="shared" si="1"/>
        <v>1941</v>
      </c>
    </row>
    <row r="4390" ht="22.5" customHeight="1">
      <c r="B4390" s="42" t="str">
        <f>IFERROR(__xludf.DUMMYFUNCTION("""COMPUTED_VALUE"""),"K/45/210525/1")</f>
        <v>K/45/210525/1</v>
      </c>
      <c r="C4390" s="42" t="str">
        <f>IFERROR(__xludf.DUMMYFUNCTION("""COMPUTED_VALUE"""),"M. 1255/PANJANG SELATAN")</f>
        <v>M. 1255/PANJANG SELATAN</v>
      </c>
      <c r="D4390" s="42" t="str">
        <f>IFERROR(__xludf.DUMMYFUNCTION("""COMPUTED_VALUE"""),"Berry")</f>
        <v>Berry</v>
      </c>
      <c r="E4390" s="42" t="str">
        <f>IFERROR(__xludf.DUMMYFUNCTION("""COMPUTED_VALUE"""),"DISERAHKAN")</f>
        <v>DISERAHKAN</v>
      </c>
      <c r="F4390" s="48">
        <f>IFERROR(__xludf.DUMMYFUNCTION("""COMPUTED_VALUE"""),45838.67797454861)</f>
        <v>45838.67797</v>
      </c>
      <c r="G4390" s="42" t="str">
        <f>IFERROR(__xludf.DUMMYFUNCTION("""COMPUTED_VALUE"""),"BN JUAL BELI")</f>
        <v>BN JUAL BELI</v>
      </c>
      <c r="H4390" s="42">
        <f t="shared" si="1"/>
        <v>1942</v>
      </c>
    </row>
    <row r="4391" ht="22.5" customHeight="1">
      <c r="B4391" s="42" t="str">
        <f>IFERROR(__xludf.DUMMYFUNCTION("""COMPUTED_VALUE"""),"K/46/210525/2")</f>
        <v>K/46/210525/2</v>
      </c>
      <c r="C4391" s="42" t="str">
        <f>IFERROR(__xludf.DUMMYFUNCTION("""COMPUTED_VALUE"""),"NIBEL M. 18245/PERUMNAS WAY KANDIS")</f>
        <v>NIBEL M. 18245/PERUMNAS WAY KANDIS</v>
      </c>
      <c r="D4391" s="42"/>
      <c r="E4391" s="42"/>
      <c r="F4391" s="48" t="str">
        <f>IFERROR(__xludf.DUMMYFUNCTION("""COMPUTED_VALUE"""),"")</f>
        <v/>
      </c>
      <c r="G4391" s="42" t="str">
        <f>IFERROR(__xludf.DUMMYFUNCTION("""COMPUTED_VALUE"""),"BN JUAL BELI")</f>
        <v>BN JUAL BELI</v>
      </c>
      <c r="H4391" s="42">
        <f t="shared" si="1"/>
        <v>1942</v>
      </c>
    </row>
    <row r="4392" ht="22.5" customHeight="1">
      <c r="B4392" s="42" t="str">
        <f>IFERROR(__xludf.DUMMYFUNCTION("""COMPUTED_VALUE"""),"L/1/220525/1")</f>
        <v>L/1/220525/1</v>
      </c>
      <c r="C4392" s="42" t="str">
        <f>IFERROR(__xludf.DUMMYFUNCTION("""COMPUTED_VALUE"""),"NIB 3478/SUKAMENANTI")</f>
        <v>NIB 3478/SUKAMENANTI</v>
      </c>
      <c r="D4392" s="42"/>
      <c r="E4392" s="42"/>
      <c r="F4392" s="48" t="str">
        <f>IFERROR(__xludf.DUMMYFUNCTION("""COMPUTED_VALUE"""),"")</f>
        <v/>
      </c>
      <c r="G4392" s="42" t="str">
        <f>IFERROR(__xludf.DUMMYFUNCTION("""COMPUTED_VALUE"""),"ROYA")</f>
        <v>ROYA</v>
      </c>
      <c r="H4392" s="42">
        <f t="shared" si="1"/>
        <v>1942</v>
      </c>
    </row>
    <row r="4393" ht="22.5" customHeight="1">
      <c r="B4393" s="42" t="str">
        <f>IFERROR(__xludf.DUMMYFUNCTION("""COMPUTED_VALUE"""),"K/7/220525/1")</f>
        <v>K/7/220525/1</v>
      </c>
      <c r="C4393" s="42" t="str">
        <f>IFERROR(__xludf.DUMMYFUNCTION("""COMPUTED_VALUE"""),"B. 640/ Sumber Agung")</f>
        <v>B. 640/ Sumber Agung</v>
      </c>
      <c r="D4393" s="42" t="str">
        <f>IFERROR(__xludf.DUMMYFUNCTION("""COMPUTED_VALUE"""),"Berry")</f>
        <v>Berry</v>
      </c>
      <c r="E4393" s="42" t="str">
        <f>IFERROR(__xludf.DUMMYFUNCTION("""COMPUTED_VALUE"""),"DISERAHKAN")</f>
        <v>DISERAHKAN</v>
      </c>
      <c r="F4393" s="48">
        <f>IFERROR(__xludf.DUMMYFUNCTION("""COMPUTED_VALUE"""),45819.78491163194)</f>
        <v>45819.78491</v>
      </c>
      <c r="G4393" s="42" t="str">
        <f>IFERROR(__xludf.DUMMYFUNCTION("""COMPUTED_VALUE"""),"BN JUAL BELI")</f>
        <v>BN JUAL BELI</v>
      </c>
      <c r="H4393" s="42">
        <f t="shared" si="1"/>
        <v>1943</v>
      </c>
    </row>
    <row r="4394" ht="22.5" customHeight="1">
      <c r="B4394" s="42" t="str">
        <f>IFERROR(__xludf.DUMMYFUNCTION("""COMPUTED_VALUE"""),"K/2/220525/1")</f>
        <v>K/2/220525/1</v>
      </c>
      <c r="C4394" s="42" t="str">
        <f>IFERROR(__xludf.DUMMYFUNCTION("""COMPUTED_VALUE"""),"M. 1146/ Rajabasa Pemuka")</f>
        <v>M. 1146/ Rajabasa Pemuka</v>
      </c>
      <c r="D4394" s="42" t="str">
        <f>IFERROR(__xludf.DUMMYFUNCTION("""COMPUTED_VALUE"""),"Berry")</f>
        <v>Berry</v>
      </c>
      <c r="E4394" s="42" t="str">
        <f>IFERROR(__xludf.DUMMYFUNCTION("""COMPUTED_VALUE"""),"DISERAHKAN")</f>
        <v>DISERAHKAN</v>
      </c>
      <c r="F4394" s="48">
        <f>IFERROR(__xludf.DUMMYFUNCTION("""COMPUTED_VALUE"""),45812.60809616898)</f>
        <v>45812.6081</v>
      </c>
      <c r="G4394" s="42" t="str">
        <f>IFERROR(__xludf.DUMMYFUNCTION("""COMPUTED_VALUE"""),"BN Jual Beli")</f>
        <v>BN Jual Beli</v>
      </c>
      <c r="H4394" s="42">
        <f t="shared" si="1"/>
        <v>1944</v>
      </c>
    </row>
    <row r="4395" ht="22.5" customHeight="1">
      <c r="B4395" s="42" t="str">
        <f>IFERROR(__xludf.DUMMYFUNCTION("""COMPUTED_VALUE"""),"K/6/220525/4")</f>
        <v>K/6/220525/4</v>
      </c>
      <c r="C4395" s="42" t="str">
        <f>IFERROR(__xludf.DUMMYFUNCTION("""COMPUTED_VALUE"""),"B. 306/ Tanjung Gading")</f>
        <v>B. 306/ Tanjung Gading</v>
      </c>
      <c r="D4395" s="42"/>
      <c r="E4395" s="42"/>
      <c r="F4395" s="48" t="str">
        <f>IFERROR(__xludf.DUMMYFUNCTION("""COMPUTED_VALUE"""),"")</f>
        <v/>
      </c>
      <c r="G4395" s="42" t="str">
        <f>IFERROR(__xludf.DUMMYFUNCTION("""COMPUTED_VALUE"""),"SKPT Informasi")</f>
        <v>SKPT Informasi</v>
      </c>
      <c r="H4395" s="42">
        <f t="shared" si="1"/>
        <v>1944</v>
      </c>
    </row>
    <row r="4396" ht="22.5" customHeight="1">
      <c r="B4396" s="42" t="str">
        <f>IFERROR(__xludf.DUMMYFUNCTION("""COMPUTED_VALUE"""),"K/5/220525/3")</f>
        <v>K/5/220525/3</v>
      </c>
      <c r="C4396" s="42" t="str">
        <f>IFERROR(__xludf.DUMMYFUNCTION("""COMPUTED_VALUE"""),"B. 334/ Tanjung Gading")</f>
        <v>B. 334/ Tanjung Gading</v>
      </c>
      <c r="D4396" s="42"/>
      <c r="E4396" s="42"/>
      <c r="F4396" s="48" t="str">
        <f>IFERROR(__xludf.DUMMYFUNCTION("""COMPUTED_VALUE"""),"")</f>
        <v/>
      </c>
      <c r="G4396" s="42" t="str">
        <f>IFERROR(__xludf.DUMMYFUNCTION("""COMPUTED_VALUE"""),"SKPT Informasi")</f>
        <v>SKPT Informasi</v>
      </c>
      <c r="H4396" s="42">
        <f t="shared" si="1"/>
        <v>1944</v>
      </c>
    </row>
    <row r="4397" ht="22.5" customHeight="1">
      <c r="B4397" s="42" t="str">
        <f>IFERROR(__xludf.DUMMYFUNCTION("""COMPUTED_VALUE"""),"K/3/220525/1")</f>
        <v>K/3/220525/1</v>
      </c>
      <c r="C4397" s="42" t="str">
        <f>IFERROR(__xludf.DUMMYFUNCTION("""COMPUTED_VALUE"""),"B. 333/ Tanjung Gading")</f>
        <v>B. 333/ Tanjung Gading</v>
      </c>
      <c r="D4397" s="42"/>
      <c r="E4397" s="42"/>
      <c r="F4397" s="48" t="str">
        <f>IFERROR(__xludf.DUMMYFUNCTION("""COMPUTED_VALUE"""),"")</f>
        <v/>
      </c>
      <c r="G4397" s="42" t="str">
        <f>IFERROR(__xludf.DUMMYFUNCTION("""COMPUTED_VALUE"""),"SKPT Informasi")</f>
        <v>SKPT Informasi</v>
      </c>
      <c r="H4397" s="42">
        <f t="shared" si="1"/>
        <v>1944</v>
      </c>
    </row>
    <row r="4398" ht="22.5" customHeight="1">
      <c r="B4398" s="42" t="str">
        <f>IFERROR(__xludf.DUMMYFUNCTION("""COMPUTED_VALUE"""),"K/4/220525/2")</f>
        <v>K/4/220525/2</v>
      </c>
      <c r="C4398" s="42" t="str">
        <f>IFERROR(__xludf.DUMMYFUNCTION("""COMPUTED_VALUE"""),"B. 332/ Tanjung Gading")</f>
        <v>B. 332/ Tanjung Gading</v>
      </c>
      <c r="D4398" s="42"/>
      <c r="E4398" s="42"/>
      <c r="F4398" s="48" t="str">
        <f>IFERROR(__xludf.DUMMYFUNCTION("""COMPUTED_VALUE"""),"")</f>
        <v/>
      </c>
      <c r="G4398" s="42" t="str">
        <f>IFERROR(__xludf.DUMMYFUNCTION("""COMPUTED_VALUE"""),"SKPT Informasi")</f>
        <v>SKPT Informasi</v>
      </c>
      <c r="H4398" s="42">
        <f t="shared" si="1"/>
        <v>1944</v>
      </c>
    </row>
    <row r="4399" ht="22.5" customHeight="1">
      <c r="B4399" s="42" t="str">
        <f>IFERROR(__xludf.DUMMYFUNCTION("""COMPUTED_VALUE"""),"L/8/220525/1")</f>
        <v>L/8/220525/1</v>
      </c>
      <c r="C4399" s="42" t="str">
        <f>IFERROR(__xludf.DUMMYFUNCTION("""COMPUTED_VALUE"""),"HM 55/KAMPUNG BARU R")</f>
        <v>HM 55/KAMPUNG BARU R</v>
      </c>
      <c r="D4399" s="42" t="str">
        <f>IFERROR(__xludf.DUMMYFUNCTION("""COMPUTED_VALUE"""),"David")</f>
        <v>David</v>
      </c>
      <c r="E4399" s="42" t="str">
        <f>IFERROR(__xludf.DUMMYFUNCTION("""COMPUTED_VALUE"""),"DISERAHKAN")</f>
        <v>DISERAHKAN</v>
      </c>
      <c r="F4399" s="48">
        <f>IFERROR(__xludf.DUMMYFUNCTION("""COMPUTED_VALUE"""),45825.68213375)</f>
        <v>45825.68213</v>
      </c>
      <c r="G4399" s="42" t="str">
        <f>IFERROR(__xludf.DUMMYFUNCTION("""COMPUTED_VALUE"""),"ROYA")</f>
        <v>ROYA</v>
      </c>
      <c r="H4399" s="42">
        <f t="shared" si="1"/>
        <v>1945</v>
      </c>
    </row>
    <row r="4400" ht="22.5" customHeight="1">
      <c r="B4400" s="42" t="str">
        <f>IFERROR(__xludf.DUMMYFUNCTION("""COMPUTED_VALUE"""),"K/9/220525/1")</f>
        <v>K/9/220525/1</v>
      </c>
      <c r="C4400" s="42" t="str">
        <f>IFERROR(__xludf.DUMMYFUNCTION("""COMPUTED_VALUE"""),"B. 305/ Tanjung Gading")</f>
        <v>B. 305/ Tanjung Gading</v>
      </c>
      <c r="D4400" s="42"/>
      <c r="E4400" s="42"/>
      <c r="F4400" s="48" t="str">
        <f>IFERROR(__xludf.DUMMYFUNCTION("""COMPUTED_VALUE"""),"")</f>
        <v/>
      </c>
      <c r="G4400" s="42" t="str">
        <f>IFERROR(__xludf.DUMMYFUNCTION("""COMPUTED_VALUE"""),"SKPT INFORMASI")</f>
        <v>SKPT INFORMASI</v>
      </c>
      <c r="H4400" s="42">
        <f t="shared" si="1"/>
        <v>1945</v>
      </c>
    </row>
    <row r="4401" ht="22.5" customHeight="1">
      <c r="B4401" s="42" t="str">
        <f>IFERROR(__xludf.DUMMYFUNCTION("""COMPUTED_VALUE"""),"K/10/220525/1")</f>
        <v>K/10/220525/1</v>
      </c>
      <c r="C4401" s="42" t="str">
        <f>IFERROR(__xludf.DUMMYFUNCTION("""COMPUTED_VALUE"""),"M. 161/JAGABAYA III")</f>
        <v>M. 161/JAGABAYA III</v>
      </c>
      <c r="D4401" s="42"/>
      <c r="E4401" s="42"/>
      <c r="F4401" s="48" t="str">
        <f>IFERROR(__xludf.DUMMYFUNCTION("""COMPUTED_VALUE"""),"")</f>
        <v/>
      </c>
      <c r="G4401" s="42" t="str">
        <f>IFERROR(__xludf.DUMMYFUNCTION("""COMPUTED_VALUE"""),"GANTI BLANKO")</f>
        <v>GANTI BLANKO</v>
      </c>
      <c r="H4401" s="42">
        <f t="shared" si="1"/>
        <v>1945</v>
      </c>
    </row>
    <row r="4402" ht="22.5" customHeight="1">
      <c r="B4402" s="42" t="str">
        <f>IFERROR(__xludf.DUMMYFUNCTION("""COMPUTED_VALUE"""),"K/11/220525/1")</f>
        <v>K/11/220525/1</v>
      </c>
      <c r="C4402" s="42" t="str">
        <f>IFERROR(__xludf.DUMMYFUNCTION("""COMPUTED_VALUE"""),"M. 9846/KEDAMAIAN")</f>
        <v>M. 9846/KEDAMAIAN</v>
      </c>
      <c r="D4402" s="42" t="str">
        <f>IFERROR(__xludf.DUMMYFUNCTION("""COMPUTED_VALUE"""),"Berry")</f>
        <v>Berry</v>
      </c>
      <c r="E4402" s="42" t="str">
        <f>IFERROR(__xludf.DUMMYFUNCTION("""COMPUTED_VALUE"""),"DISERAHKAN")</f>
        <v>DISERAHKAN</v>
      </c>
      <c r="F4402" s="48">
        <f>IFERROR(__xludf.DUMMYFUNCTION("""COMPUTED_VALUE"""),45838.671966875)</f>
        <v>45838.67197</v>
      </c>
      <c r="G4402" s="42" t="str">
        <f>IFERROR(__xludf.DUMMYFUNCTION("""COMPUTED_VALUE"""),"BN WARIS")</f>
        <v>BN WARIS</v>
      </c>
      <c r="H4402" s="42">
        <f t="shared" si="1"/>
        <v>1946</v>
      </c>
    </row>
    <row r="4403" ht="22.5" customHeight="1">
      <c r="B4403" s="42" t="str">
        <f>IFERROR(__xludf.DUMMYFUNCTION("""COMPUTED_VALUE"""),"K/13/220525/2")</f>
        <v>K/13/220525/2</v>
      </c>
      <c r="C4403" s="42" t="str">
        <f>IFERROR(__xludf.DUMMYFUNCTION("""COMPUTED_VALUE"""),"PBT. 210/2024 (Labuhan Ratu Raya)")</f>
        <v>PBT. 210/2024 (Labuhan Ratu Raya)</v>
      </c>
      <c r="D4403" s="42"/>
      <c r="E4403" s="42"/>
      <c r="F4403" s="48" t="str">
        <f>IFERROR(__xludf.DUMMYFUNCTION("""COMPUTED_VALUE"""),"")</f>
        <v/>
      </c>
      <c r="G4403" s="42" t="str">
        <f>IFERROR(__xludf.DUMMYFUNCTION("""COMPUTED_VALUE"""),"Permohonan SK")</f>
        <v>Permohonan SK</v>
      </c>
      <c r="H4403" s="42">
        <f t="shared" si="1"/>
        <v>1946</v>
      </c>
    </row>
    <row r="4404" ht="22.5" customHeight="1">
      <c r="B4404" s="42" t="str">
        <f>IFERROR(__xludf.DUMMYFUNCTION("""COMPUTED_VALUE"""),"K/12/220525/1")</f>
        <v>K/12/220525/1</v>
      </c>
      <c r="C4404" s="42" t="str">
        <f>IFERROR(__xludf.DUMMYFUNCTION("""COMPUTED_VALUE"""),"PBT. 212/2024 (Labuhan Ratu Raya)")</f>
        <v>PBT. 212/2024 (Labuhan Ratu Raya)</v>
      </c>
      <c r="D4404" s="42"/>
      <c r="E4404" s="42"/>
      <c r="F4404" s="48" t="str">
        <f>IFERROR(__xludf.DUMMYFUNCTION("""COMPUTED_VALUE"""),"")</f>
        <v/>
      </c>
      <c r="G4404" s="42" t="str">
        <f>IFERROR(__xludf.DUMMYFUNCTION("""COMPUTED_VALUE"""),"Permohonan SK")</f>
        <v>Permohonan SK</v>
      </c>
      <c r="H4404" s="42">
        <f t="shared" si="1"/>
        <v>1946</v>
      </c>
    </row>
    <row r="4405" ht="22.5" customHeight="1">
      <c r="B4405" s="42" t="str">
        <f>IFERROR(__xludf.DUMMYFUNCTION("""COMPUTED_VALUE"""),"K/15/220525/1")</f>
        <v>K/15/220525/1</v>
      </c>
      <c r="C4405" s="42" t="str">
        <f>IFERROR(__xludf.DUMMYFUNCTION("""COMPUTED_VALUE"""),"M. 11446/ Sukabumi")</f>
        <v>M. 11446/ Sukabumi</v>
      </c>
      <c r="D4405" s="42" t="str">
        <f>IFERROR(__xludf.DUMMYFUNCTION("""COMPUTED_VALUE"""),"Berry")</f>
        <v>Berry</v>
      </c>
      <c r="E4405" s="42" t="str">
        <f>IFERROR(__xludf.DUMMYFUNCTION("""COMPUTED_VALUE"""),"DISERAHKAN")</f>
        <v>DISERAHKAN</v>
      </c>
      <c r="F4405" s="48">
        <f>IFERROR(__xludf.DUMMYFUNCTION("""COMPUTED_VALUE"""),45819.79855056713)</f>
        <v>45819.79855</v>
      </c>
      <c r="G4405" s="42" t="str">
        <f>IFERROR(__xludf.DUMMYFUNCTION("""COMPUTED_VALUE"""),"BN JUAL BELI")</f>
        <v>BN JUAL BELI</v>
      </c>
      <c r="H4405" s="42">
        <f t="shared" si="1"/>
        <v>1947</v>
      </c>
    </row>
    <row r="4406" ht="22.5" customHeight="1">
      <c r="B4406" s="42" t="str">
        <f>IFERROR(__xludf.DUMMYFUNCTION("""COMPUTED_VALUE"""),"K/19/220525/1")</f>
        <v>K/19/220525/1</v>
      </c>
      <c r="C4406" s="42" t="str">
        <f>IFERROR(__xludf.DUMMYFUNCTION("""COMPUTED_VALUE"""),"Nibel 21438/ Sukarame Baru")</f>
        <v>Nibel 21438/ Sukarame Baru</v>
      </c>
      <c r="D4406" s="42"/>
      <c r="E4406" s="42"/>
      <c r="F4406" s="48" t="str">
        <f>IFERROR(__xludf.DUMMYFUNCTION("""COMPUTED_VALUE"""),"")</f>
        <v/>
      </c>
      <c r="G4406" s="42" t="str">
        <f>IFERROR(__xludf.DUMMYFUNCTION("""COMPUTED_VALUE"""),"BN LELANG")</f>
        <v>BN LELANG</v>
      </c>
      <c r="H4406" s="42">
        <f t="shared" si="1"/>
        <v>1947</v>
      </c>
    </row>
    <row r="4407" ht="22.5" customHeight="1">
      <c r="B4407" s="42" t="str">
        <f>IFERROR(__xludf.DUMMYFUNCTION("""COMPUTED_VALUE"""),"K/18/220525/2")</f>
        <v>K/18/220525/2</v>
      </c>
      <c r="C4407" s="42" t="str">
        <f>IFERROR(__xludf.DUMMYFUNCTION("""COMPUTED_VALUE"""),"Nibel. M. 21240/ Negeri Olok Gading")</f>
        <v>Nibel. M. 21240/ Negeri Olok Gading</v>
      </c>
      <c r="D4407" s="42"/>
      <c r="E4407" s="42"/>
      <c r="F4407" s="48" t="str">
        <f>IFERROR(__xludf.DUMMYFUNCTION("""COMPUTED_VALUE"""),"")</f>
        <v/>
      </c>
      <c r="G4407" s="42" t="str">
        <f>IFERROR(__xludf.DUMMYFUNCTION("""COMPUTED_VALUE"""),"BN Jual Beli")</f>
        <v>BN Jual Beli</v>
      </c>
      <c r="H4407" s="42">
        <f t="shared" si="1"/>
        <v>1947</v>
      </c>
    </row>
    <row r="4408" ht="22.5" customHeight="1">
      <c r="B4408" s="42" t="str">
        <f>IFERROR(__xludf.DUMMYFUNCTION("""COMPUTED_VALUE"""),"K/17/220525/1")</f>
        <v>K/17/220525/1</v>
      </c>
      <c r="C4408" s="42" t="str">
        <f>IFERROR(__xludf.DUMMYFUNCTION("""COMPUTED_VALUE"""),"M. 2309/ Negeri Olok Gading")</f>
        <v>M. 2309/ Negeri Olok Gading</v>
      </c>
      <c r="D4408" s="42" t="str">
        <f>IFERROR(__xludf.DUMMYFUNCTION("""COMPUTED_VALUE"""),"Berry")</f>
        <v>Berry</v>
      </c>
      <c r="E4408" s="42" t="str">
        <f>IFERROR(__xludf.DUMMYFUNCTION("""COMPUTED_VALUE"""),"DISERAHKAN")</f>
        <v>DISERAHKAN</v>
      </c>
      <c r="F4408" s="48">
        <f>IFERROR(__xludf.DUMMYFUNCTION("""COMPUTED_VALUE"""),45824.5262534375)</f>
        <v>45824.52625</v>
      </c>
      <c r="G4408" s="42" t="str">
        <f>IFERROR(__xludf.DUMMYFUNCTION("""COMPUTED_VALUE"""),"BN Jual Beli")</f>
        <v>BN Jual Beli</v>
      </c>
      <c r="H4408" s="42">
        <f t="shared" si="1"/>
        <v>1948</v>
      </c>
    </row>
    <row r="4409" ht="22.5" customHeight="1">
      <c r="B4409" s="42" t="str">
        <f>IFERROR(__xludf.DUMMYFUNCTION("""COMPUTED_VALUE"""),"K/16/220525/1")</f>
        <v>K/16/220525/1</v>
      </c>
      <c r="C4409" s="42" t="str">
        <f>IFERROR(__xludf.DUMMYFUNCTION("""COMPUTED_VALUE"""),"M. 1451/ Pesawahan")</f>
        <v>M. 1451/ Pesawahan</v>
      </c>
      <c r="D4409" s="42" t="str">
        <f>IFERROR(__xludf.DUMMYFUNCTION("""COMPUTED_VALUE"""),"David")</f>
        <v>David</v>
      </c>
      <c r="E4409" s="42" t="str">
        <f>IFERROR(__xludf.DUMMYFUNCTION("""COMPUTED_VALUE"""),"DISERAHKAN")</f>
        <v>DISERAHKAN</v>
      </c>
      <c r="F4409" s="48">
        <f>IFERROR(__xludf.DUMMYFUNCTION("""COMPUTED_VALUE"""),45819.370620023146)</f>
        <v>45819.37062</v>
      </c>
      <c r="G4409" s="42" t="str">
        <f>IFERROR(__xludf.DUMMYFUNCTION("""COMPUTED_VALUE"""),"Roya")</f>
        <v>Roya</v>
      </c>
      <c r="H4409" s="42">
        <f t="shared" si="1"/>
        <v>1949</v>
      </c>
    </row>
    <row r="4410" ht="22.5" customHeight="1">
      <c r="B4410" s="42" t="str">
        <f>IFERROR(__xludf.DUMMYFUNCTION("""COMPUTED_VALUE"""),"K/20/220525/1")</f>
        <v>K/20/220525/1</v>
      </c>
      <c r="C4410" s="42" t="str">
        <f>IFERROR(__xludf.DUMMYFUNCTION("""COMPUTED_VALUE"""),"M. 284/ Sukaraja")</f>
        <v>M. 284/ Sukaraja</v>
      </c>
      <c r="D4410" s="42" t="str">
        <f>IFERROR(__xludf.DUMMYFUNCTION("""COMPUTED_VALUE"""),"David")</f>
        <v>David</v>
      </c>
      <c r="E4410" s="42" t="str">
        <f>IFERROR(__xludf.DUMMYFUNCTION("""COMPUTED_VALUE"""),"DISERAHKAN")</f>
        <v>DISERAHKAN</v>
      </c>
      <c r="F4410" s="48">
        <f>IFERROR(__xludf.DUMMYFUNCTION("""COMPUTED_VALUE"""),45824.63174589121)</f>
        <v>45824.63175</v>
      </c>
      <c r="G4410" s="42" t="str">
        <f>IFERROR(__xludf.DUMMYFUNCTION("""COMPUTED_VALUE"""),"ROYA")</f>
        <v>ROYA</v>
      </c>
      <c r="H4410" s="42">
        <f t="shared" si="1"/>
        <v>1950</v>
      </c>
    </row>
    <row r="4411" ht="22.5" customHeight="1">
      <c r="B4411" s="42" t="str">
        <f>IFERROR(__xludf.DUMMYFUNCTION("""COMPUTED_VALUE"""),"K/14/220525/1")</f>
        <v>K/14/220525/1</v>
      </c>
      <c r="C4411" s="42" t="str">
        <f>IFERROR(__xludf.DUMMYFUNCTION("""COMPUTED_VALUE"""),"M. 290/SEPANG JAYA")</f>
        <v>M. 290/SEPANG JAYA</v>
      </c>
      <c r="D4411" s="42" t="str">
        <f>IFERROR(__xludf.DUMMYFUNCTION("""COMPUTED_VALUE"""),"Berry")</f>
        <v>Berry</v>
      </c>
      <c r="E4411" s="42" t="str">
        <f>IFERROR(__xludf.DUMMYFUNCTION("""COMPUTED_VALUE"""),"DISERAHKAN")</f>
        <v>DISERAHKAN</v>
      </c>
      <c r="F4411" s="48">
        <f>IFERROR(__xludf.DUMMYFUNCTION("""COMPUTED_VALUE"""),45812.59537829861)</f>
        <v>45812.59538</v>
      </c>
      <c r="G4411" s="42" t="str">
        <f>IFERROR(__xludf.DUMMYFUNCTION("""COMPUTED_VALUE"""),"BN HIBAH")</f>
        <v>BN HIBAH</v>
      </c>
      <c r="H4411" s="42">
        <f t="shared" si="1"/>
        <v>1951</v>
      </c>
    </row>
    <row r="4412" ht="22.5" customHeight="1">
      <c r="B4412" s="42" t="str">
        <f>IFERROR(__xludf.DUMMYFUNCTION("""COMPUTED_VALUE"""),"K/21/220525/2")</f>
        <v>K/21/220525/2</v>
      </c>
      <c r="C4412" s="42" t="str">
        <f>IFERROR(__xludf.DUMMYFUNCTION("""COMPUTED_VALUE"""),"M. 590/ Sukaraja")</f>
        <v>M. 590/ Sukaraja</v>
      </c>
      <c r="D4412" s="42" t="str">
        <f>IFERROR(__xludf.DUMMYFUNCTION("""COMPUTED_VALUE"""),"David")</f>
        <v>David</v>
      </c>
      <c r="E4412" s="42" t="str">
        <f>IFERROR(__xludf.DUMMYFUNCTION("""COMPUTED_VALUE"""),"DISERAHKAN")</f>
        <v>DISERAHKAN</v>
      </c>
      <c r="F4412" s="48">
        <f>IFERROR(__xludf.DUMMYFUNCTION("""COMPUTED_VALUE"""),45824.6279902199)</f>
        <v>45824.62799</v>
      </c>
      <c r="G4412" s="42" t="str">
        <f>IFERROR(__xludf.DUMMYFUNCTION("""COMPUTED_VALUE"""),"ROYA")</f>
        <v>ROYA</v>
      </c>
      <c r="H4412" s="42">
        <f t="shared" si="1"/>
        <v>1952</v>
      </c>
    </row>
    <row r="4413" ht="22.5" customHeight="1">
      <c r="B4413" s="42" t="str">
        <f>IFERROR(__xludf.DUMMYFUNCTION("""COMPUTED_VALUE"""),"K/22/220525/3")</f>
        <v>K/22/220525/3</v>
      </c>
      <c r="C4413" s="42" t="str">
        <f>IFERROR(__xludf.DUMMYFUNCTION("""COMPUTED_VALUE"""),"M. 289/ Sukaraja")</f>
        <v>M. 289/ Sukaraja</v>
      </c>
      <c r="D4413" s="42" t="str">
        <f>IFERROR(__xludf.DUMMYFUNCTION("""COMPUTED_VALUE"""),"David")</f>
        <v>David</v>
      </c>
      <c r="E4413" s="42" t="str">
        <f>IFERROR(__xludf.DUMMYFUNCTION("""COMPUTED_VALUE"""),"DISERAHKAN")</f>
        <v>DISERAHKAN</v>
      </c>
      <c r="F4413" s="48">
        <f>IFERROR(__xludf.DUMMYFUNCTION("""COMPUTED_VALUE"""),45824.632719409725)</f>
        <v>45824.63272</v>
      </c>
      <c r="G4413" s="42" t="str">
        <f>IFERROR(__xludf.DUMMYFUNCTION("""COMPUTED_VALUE"""),"ROYA")</f>
        <v>ROYA</v>
      </c>
      <c r="H4413" s="42">
        <f t="shared" si="1"/>
        <v>1953</v>
      </c>
    </row>
    <row r="4414" ht="22.5" customHeight="1">
      <c r="B4414" s="42" t="str">
        <f>IFERROR(__xludf.DUMMYFUNCTION("""COMPUTED_VALUE"""),"K/23/220525/1")</f>
        <v>K/23/220525/1</v>
      </c>
      <c r="C4414" s="42" t="str">
        <f>IFERROR(__xludf.DUMMYFUNCTION("""COMPUTED_VALUE"""),"NIBEL M. 18523/GEDONG MENENG")</f>
        <v>NIBEL M. 18523/GEDONG MENENG</v>
      </c>
      <c r="D4414" s="42"/>
      <c r="E4414" s="42"/>
      <c r="F4414" s="48" t="str">
        <f>IFERROR(__xludf.DUMMYFUNCTION("""COMPUTED_VALUE"""),"")</f>
        <v/>
      </c>
      <c r="G4414" s="42" t="str">
        <f>IFERROR(__xludf.DUMMYFUNCTION("""COMPUTED_VALUE"""),"PTPGT")</f>
        <v>PTPGT</v>
      </c>
      <c r="H4414" s="42">
        <f t="shared" si="1"/>
        <v>1953</v>
      </c>
    </row>
    <row r="4415" ht="22.5" customHeight="1">
      <c r="B4415" s="42" t="str">
        <f>IFERROR(__xludf.DUMMYFUNCTION("""COMPUTED_VALUE"""),"K/24/220525/1")</f>
        <v>K/24/220525/1</v>
      </c>
      <c r="C4415" s="42" t="str">
        <f>IFERROR(__xludf.DUMMYFUNCTION("""COMPUTED_VALUE"""),"Nibel. M. 2294/ Penengahan Raya")</f>
        <v>Nibel. M. 2294/ Penengahan Raya</v>
      </c>
      <c r="D4415" s="42"/>
      <c r="E4415" s="42"/>
      <c r="F4415" s="48" t="str">
        <f>IFERROR(__xludf.DUMMYFUNCTION("""COMPUTED_VALUE"""),"")</f>
        <v/>
      </c>
      <c r="G4415" s="42" t="str">
        <f>IFERROR(__xludf.DUMMYFUNCTION("""COMPUTED_VALUE"""),"BN Jual Beli")</f>
        <v>BN Jual Beli</v>
      </c>
      <c r="H4415" s="42">
        <f t="shared" si="1"/>
        <v>1953</v>
      </c>
    </row>
    <row r="4416" ht="22.5" customHeight="1">
      <c r="B4416" s="42" t="str">
        <f>IFERROR(__xludf.DUMMYFUNCTION("""COMPUTED_VALUE"""),"K/25/220525/1")</f>
        <v>K/25/220525/1</v>
      </c>
      <c r="C4416" s="42" t="str">
        <f>IFERROR(__xludf.DUMMYFUNCTION("""COMPUTED_VALUE"""),"M. 2377/ Kedaung")</f>
        <v>M. 2377/ Kedaung</v>
      </c>
      <c r="D4416" s="42" t="str">
        <f>IFERROR(__xludf.DUMMYFUNCTION("""COMPUTED_VALUE"""),"Berry")</f>
        <v>Berry</v>
      </c>
      <c r="E4416" s="42" t="str">
        <f>IFERROR(__xludf.DUMMYFUNCTION("""COMPUTED_VALUE"""),"DISERAHKAN")</f>
        <v>DISERAHKAN</v>
      </c>
      <c r="F4416" s="48">
        <f>IFERROR(__xludf.DUMMYFUNCTION("""COMPUTED_VALUE"""),45812.59029907407)</f>
        <v>45812.5903</v>
      </c>
      <c r="G4416" s="42" t="str">
        <f>IFERROR(__xludf.DUMMYFUNCTION("""COMPUTED_VALUE"""),"BN JUAL BELI")</f>
        <v>BN JUAL BELI</v>
      </c>
      <c r="H4416" s="42">
        <f t="shared" si="1"/>
        <v>1954</v>
      </c>
    </row>
    <row r="4417" ht="22.5" customHeight="1">
      <c r="B4417" s="42" t="str">
        <f>IFERROR(__xludf.DUMMYFUNCTION("""COMPUTED_VALUE"""),"K/27/220525/1")</f>
        <v>K/27/220525/1</v>
      </c>
      <c r="C4417" s="42" t="str">
        <f>IFERROR(__xludf.DUMMYFUNCTION("""COMPUTED_VALUE"""),"M. 11038/ Sukabumi")</f>
        <v>M. 11038/ Sukabumi</v>
      </c>
      <c r="D4417" s="42" t="str">
        <f>IFERROR(__xludf.DUMMYFUNCTION("""COMPUTED_VALUE"""),"Berry")</f>
        <v>Berry</v>
      </c>
      <c r="E4417" s="42" t="str">
        <f>IFERROR(__xludf.DUMMYFUNCTION("""COMPUTED_VALUE"""),"DISERAHKAN")</f>
        <v>DISERAHKAN</v>
      </c>
      <c r="F4417" s="48">
        <f>IFERROR(__xludf.DUMMYFUNCTION("""COMPUTED_VALUE"""),45827.67569587963)</f>
        <v>45827.6757</v>
      </c>
      <c r="G4417" s="42" t="str">
        <f>IFERROR(__xludf.DUMMYFUNCTION("""COMPUTED_VALUE"""),"Roya")</f>
        <v>Roya</v>
      </c>
      <c r="H4417" s="42">
        <f t="shared" si="1"/>
        <v>1955</v>
      </c>
    </row>
    <row r="4418" ht="22.5" customHeight="1">
      <c r="B4418" s="42" t="str">
        <f>IFERROR(__xludf.DUMMYFUNCTION("""COMPUTED_VALUE"""),"K/26/220525/2")</f>
        <v>K/26/220525/2</v>
      </c>
      <c r="C4418" s="42" t="str">
        <f>IFERROR(__xludf.DUMMYFUNCTION("""COMPUTED_VALUE"""),"B. 79/ Korpri Jaya")</f>
        <v>B. 79/ Korpri Jaya</v>
      </c>
      <c r="D4418" s="42"/>
      <c r="E4418" s="42"/>
      <c r="F4418" s="48" t="str">
        <f>IFERROR(__xludf.DUMMYFUNCTION("""COMPUTED_VALUE"""),"")</f>
        <v/>
      </c>
      <c r="G4418" s="42" t="str">
        <f>IFERROR(__xludf.DUMMYFUNCTION("""COMPUTED_VALUE"""),"PERUBAHAN HAK")</f>
        <v>PERUBAHAN HAK</v>
      </c>
      <c r="H4418" s="42">
        <f t="shared" si="1"/>
        <v>1955</v>
      </c>
    </row>
    <row r="4419" ht="22.5" customHeight="1">
      <c r="B4419" s="42" t="str">
        <f>IFERROR(__xludf.DUMMYFUNCTION("""COMPUTED_VALUE"""),"L/29/220525/1")</f>
        <v>L/29/220525/1</v>
      </c>
      <c r="C4419" s="42" t="str">
        <f>IFERROR(__xludf.DUMMYFUNCTION("""COMPUTED_VALUE"""),"HM 10352/LABUHAN RATU")</f>
        <v>HM 10352/LABUHAN RATU</v>
      </c>
      <c r="D4419" s="42" t="str">
        <f>IFERROR(__xludf.DUMMYFUNCTION("""COMPUTED_VALUE"""),"David")</f>
        <v>David</v>
      </c>
      <c r="E4419" s="42" t="str">
        <f>IFERROR(__xludf.DUMMYFUNCTION("""COMPUTED_VALUE"""),"DISERAHKAN")</f>
        <v>DISERAHKAN</v>
      </c>
      <c r="F4419" s="48">
        <f>IFERROR(__xludf.DUMMYFUNCTION("""COMPUTED_VALUE"""),45826.53225040509)</f>
        <v>45826.53225</v>
      </c>
      <c r="G4419" s="42" t="str">
        <f>IFERROR(__xludf.DUMMYFUNCTION("""COMPUTED_VALUE"""),"KEUMALA HAYATI")</f>
        <v>KEUMALA HAYATI</v>
      </c>
      <c r="H4419" s="42">
        <f t="shared" si="1"/>
        <v>1956</v>
      </c>
    </row>
    <row r="4420" ht="22.5" customHeight="1">
      <c r="B4420" s="42" t="str">
        <f>IFERROR(__xludf.DUMMYFUNCTION("""COMPUTED_VALUE"""),"K/28/220525/1")</f>
        <v>K/28/220525/1</v>
      </c>
      <c r="C4420" s="42" t="str">
        <f>IFERROR(__xludf.DUMMYFUNCTION("""COMPUTED_VALUE"""),"M. 18380/ Tanjung Seneng")</f>
        <v>M. 18380/ Tanjung Seneng</v>
      </c>
      <c r="D4420" s="42"/>
      <c r="E4420" s="42"/>
      <c r="F4420" s="48" t="str">
        <f>IFERROR(__xludf.DUMMYFUNCTION("""COMPUTED_VALUE"""),"")</f>
        <v/>
      </c>
      <c r="G4420" s="42" t="str">
        <f>IFERROR(__xludf.DUMMYFUNCTION("""COMPUTED_VALUE"""),"BN JUAL BELI")</f>
        <v>BN JUAL BELI</v>
      </c>
      <c r="H4420" s="42">
        <f t="shared" si="1"/>
        <v>1956</v>
      </c>
    </row>
    <row r="4421" ht="22.5" customHeight="1">
      <c r="B4421" s="42" t="str">
        <f>IFERROR(__xludf.DUMMYFUNCTION("""COMPUTED_VALUE"""),"L/32/220525/1")</f>
        <v>L/32/220525/1</v>
      </c>
      <c r="C4421" s="42" t="str">
        <f>IFERROR(__xludf.DUMMYFUNCTION("""COMPUTED_VALUE"""),"HGB 270/SUMBER REJO")</f>
        <v>HGB 270/SUMBER REJO</v>
      </c>
      <c r="D4421" s="42"/>
      <c r="E4421" s="42"/>
      <c r="F4421" s="48" t="str">
        <f>IFERROR(__xludf.DUMMYFUNCTION("""COMPUTED_VALUE"""),"")</f>
        <v/>
      </c>
      <c r="G4421" s="42" t="str">
        <f>IFERROR(__xludf.DUMMYFUNCTION("""COMPUTED_VALUE"""),"PERMOHONAN SK")</f>
        <v>PERMOHONAN SK</v>
      </c>
      <c r="H4421" s="42">
        <f t="shared" si="1"/>
        <v>1956</v>
      </c>
    </row>
    <row r="4422" ht="22.5" customHeight="1">
      <c r="B4422" s="42" t="str">
        <f>IFERROR(__xludf.DUMMYFUNCTION("""COMPUTED_VALUE"""),"K/31/220525/1")</f>
        <v>K/31/220525/1</v>
      </c>
      <c r="C4422" s="42" t="str">
        <f>IFERROR(__xludf.DUMMYFUNCTION("""COMPUTED_VALUE"""),"B.34/LANGKAPURA BARU")</f>
        <v>B.34/LANGKAPURA BARU</v>
      </c>
      <c r="D4422" s="42" t="str">
        <f>IFERROR(__xludf.DUMMYFUNCTION("""COMPUTED_VALUE"""),"Berry")</f>
        <v>Berry</v>
      </c>
      <c r="E4422" s="42" t="str">
        <f>IFERROR(__xludf.DUMMYFUNCTION("""COMPUTED_VALUE"""),"DISERAHKAN")</f>
        <v>DISERAHKAN</v>
      </c>
      <c r="F4422" s="48">
        <f>IFERROR(__xludf.DUMMYFUNCTION("""COMPUTED_VALUE"""),45825.61406508102)</f>
        <v>45825.61407</v>
      </c>
      <c r="G4422" s="42" t="str">
        <f>IFERROR(__xludf.DUMMYFUNCTION("""COMPUTED_VALUE"""),"PENINGKATAN HAK")</f>
        <v>PENINGKATAN HAK</v>
      </c>
      <c r="H4422" s="42">
        <f t="shared" si="1"/>
        <v>1957</v>
      </c>
    </row>
    <row r="4423" ht="22.5" customHeight="1">
      <c r="B4423" s="42" t="str">
        <f>IFERROR(__xludf.DUMMYFUNCTION("""COMPUTED_VALUE"""),"L/33/220525/1")</f>
        <v>L/33/220525/1</v>
      </c>
      <c r="C4423" s="42" t="str">
        <f>IFERROR(__xludf.DUMMYFUNCTION("""COMPUTED_VALUE"""),"HM 1076/BERINGIN JAYA")</f>
        <v>HM 1076/BERINGIN JAYA</v>
      </c>
      <c r="D4423" s="42"/>
      <c r="E4423" s="42"/>
      <c r="F4423" s="48" t="str">
        <f>IFERROR(__xludf.DUMMYFUNCTION("""COMPUTED_VALUE"""),"")</f>
        <v/>
      </c>
      <c r="G4423" s="42" t="str">
        <f>IFERROR(__xludf.DUMMYFUNCTION("""COMPUTED_VALUE"""),"BLOKIR")</f>
        <v>BLOKIR</v>
      </c>
      <c r="H4423" s="42">
        <f t="shared" si="1"/>
        <v>1957</v>
      </c>
    </row>
    <row r="4424" ht="22.5" customHeight="1">
      <c r="B4424" s="42" t="str">
        <f>IFERROR(__xludf.DUMMYFUNCTION("""COMPUTED_VALUE"""),"K/30/220525/1")</f>
        <v>K/30/220525/1</v>
      </c>
      <c r="C4424" s="42" t="str">
        <f>IFERROR(__xludf.DUMMYFUNCTION("""COMPUTED_VALUE"""),"M. 1188/ Talang")</f>
        <v>M. 1188/ Talang</v>
      </c>
      <c r="D4424" s="42" t="str">
        <f>IFERROR(__xludf.DUMMYFUNCTION("""COMPUTED_VALUE"""),"Berry")</f>
        <v>Berry</v>
      </c>
      <c r="E4424" s="42" t="str">
        <f>IFERROR(__xludf.DUMMYFUNCTION("""COMPUTED_VALUE"""),"DISERAHKAN")</f>
        <v>DISERAHKAN</v>
      </c>
      <c r="F4424" s="48">
        <f>IFERROR(__xludf.DUMMYFUNCTION("""COMPUTED_VALUE"""),45824.46440762731)</f>
        <v>45824.46441</v>
      </c>
      <c r="G4424" s="42" t="str">
        <f>IFERROR(__xludf.DUMMYFUNCTION("""COMPUTED_VALUE"""),"BN JUAL BELI")</f>
        <v>BN JUAL BELI</v>
      </c>
      <c r="H4424" s="42">
        <f t="shared" si="1"/>
        <v>1958</v>
      </c>
    </row>
    <row r="4425" ht="22.5" customHeight="1">
      <c r="B4425" s="42" t="str">
        <f>IFERROR(__xludf.DUMMYFUNCTION("""COMPUTED_VALUE"""),"K/34/220525/1")</f>
        <v>K/34/220525/1</v>
      </c>
      <c r="C4425" s="42" t="str">
        <f>IFERROR(__xludf.DUMMYFUNCTION("""COMPUTED_VALUE"""),"M. 2014/ Kali Balau Kencana")</f>
        <v>M. 2014/ Kali Balau Kencana</v>
      </c>
      <c r="D4425" s="42"/>
      <c r="E4425" s="42"/>
      <c r="F4425" s="48" t="str">
        <f>IFERROR(__xludf.DUMMYFUNCTION("""COMPUTED_VALUE"""),"")</f>
        <v/>
      </c>
      <c r="G4425" s="42" t="str">
        <f>IFERROR(__xludf.DUMMYFUNCTION("""COMPUTED_VALUE"""),"BN WARIS")</f>
        <v>BN WARIS</v>
      </c>
      <c r="H4425" s="42">
        <f t="shared" si="1"/>
        <v>1958</v>
      </c>
    </row>
    <row r="4426" ht="22.5" customHeight="1">
      <c r="B4426" s="42" t="str">
        <f>IFERROR(__xludf.DUMMYFUNCTION("""COMPUTED_VALUE"""),"K/35/220525/1")</f>
        <v>K/35/220525/1</v>
      </c>
      <c r="C4426" s="42" t="str">
        <f>IFERROR(__xludf.DUMMYFUNCTION("""COMPUTED_VALUE"""),"M. 3657/LANGKAPURA")</f>
        <v>M. 3657/LANGKAPURA</v>
      </c>
      <c r="D4426" s="42" t="str">
        <f>IFERROR(__xludf.DUMMYFUNCTION("""COMPUTED_VALUE"""),"Berry")</f>
        <v>Berry</v>
      </c>
      <c r="E4426" s="42" t="str">
        <f>IFERROR(__xludf.DUMMYFUNCTION("""COMPUTED_VALUE"""),"DISERAHKAN")</f>
        <v>DISERAHKAN</v>
      </c>
      <c r="F4426" s="48">
        <f>IFERROR(__xludf.DUMMYFUNCTION("""COMPUTED_VALUE"""),45824.50462209491)</f>
        <v>45824.50462</v>
      </c>
      <c r="G4426" s="42" t="str">
        <f>IFERROR(__xludf.DUMMYFUNCTION("""COMPUTED_VALUE"""),"BN JUAL BELI")</f>
        <v>BN JUAL BELI</v>
      </c>
      <c r="H4426" s="42">
        <f t="shared" si="1"/>
        <v>1959</v>
      </c>
    </row>
    <row r="4427" ht="22.5" customHeight="1">
      <c r="B4427" s="42" t="str">
        <f>IFERROR(__xludf.DUMMYFUNCTION("""COMPUTED_VALUE"""),"K/36/220525/1")</f>
        <v>K/36/220525/1</v>
      </c>
      <c r="C4427" s="42" t="str">
        <f>IFERROR(__xludf.DUMMYFUNCTION("""COMPUTED_VALUE"""),"Nibel. M. 5555/ Gedong Air")</f>
        <v>Nibel. M. 5555/ Gedong Air</v>
      </c>
      <c r="D4427" s="42"/>
      <c r="E4427" s="42"/>
      <c r="F4427" s="48" t="str">
        <f>IFERROR(__xludf.DUMMYFUNCTION("""COMPUTED_VALUE"""),"")</f>
        <v/>
      </c>
      <c r="G4427" s="42" t="str">
        <f>IFERROR(__xludf.DUMMYFUNCTION("""COMPUTED_VALUE"""),"BN Jual Beli")</f>
        <v>BN Jual Beli</v>
      </c>
      <c r="H4427" s="42">
        <f t="shared" si="1"/>
        <v>1959</v>
      </c>
    </row>
    <row r="4428" ht="22.5" customHeight="1">
      <c r="B4428" s="42" t="str">
        <f>IFERROR(__xludf.DUMMYFUNCTION("""COMPUTED_VALUE"""),"K/38/220525/1")</f>
        <v>K/38/220525/1</v>
      </c>
      <c r="C4428" s="42" t="str">
        <f>IFERROR(__xludf.DUMMYFUNCTION("""COMPUTED_VALUE"""),"NIBEL M. 19072/SUMBER AGUNG")</f>
        <v>NIBEL M. 19072/SUMBER AGUNG</v>
      </c>
      <c r="D4428" s="42"/>
      <c r="E4428" s="42"/>
      <c r="F4428" s="48" t="str">
        <f>IFERROR(__xludf.DUMMYFUNCTION("""COMPUTED_VALUE"""),"")</f>
        <v/>
      </c>
      <c r="G4428" s="42" t="str">
        <f>IFERROR(__xludf.DUMMYFUNCTION("""COMPUTED_VALUE"""),"BN JUAL BELI")</f>
        <v>BN JUAL BELI</v>
      </c>
      <c r="H4428" s="42">
        <f t="shared" si="1"/>
        <v>1959</v>
      </c>
    </row>
    <row r="4429" ht="22.5" customHeight="1">
      <c r="B4429" s="42" t="str">
        <f>IFERROR(__xludf.DUMMYFUNCTION("""COMPUTED_VALUE"""),"K/37/220525/2")</f>
        <v>K/37/220525/2</v>
      </c>
      <c r="C4429" s="42" t="str">
        <f>IFERROR(__xludf.DUMMYFUNCTION("""COMPUTED_VALUE"""),"M. 14855/ Rajabasa")</f>
        <v>M. 14855/ Rajabasa</v>
      </c>
      <c r="D4429" s="42" t="str">
        <f>IFERROR(__xludf.DUMMYFUNCTION("""COMPUTED_VALUE"""),"Berry")</f>
        <v>Berry</v>
      </c>
      <c r="E4429" s="42" t="str">
        <f>IFERROR(__xludf.DUMMYFUNCTION("""COMPUTED_VALUE"""),"DISERAHKAN")</f>
        <v>DISERAHKAN</v>
      </c>
      <c r="F4429" s="48">
        <f>IFERROR(__xludf.DUMMYFUNCTION("""COMPUTED_VALUE"""),45825.553192708336)</f>
        <v>45825.55319</v>
      </c>
      <c r="G4429" s="42" t="str">
        <f>IFERROR(__xludf.DUMMYFUNCTION("""COMPUTED_VALUE"""),"BN Jual Beli")</f>
        <v>BN Jual Beli</v>
      </c>
      <c r="H4429" s="42">
        <f t="shared" si="1"/>
        <v>1960</v>
      </c>
    </row>
    <row r="4430" ht="22.5" customHeight="1">
      <c r="B4430" s="42" t="str">
        <f>IFERROR(__xludf.DUMMYFUNCTION("""COMPUTED_VALUE"""),"K/40/220525/1")</f>
        <v>K/40/220525/1</v>
      </c>
      <c r="C4430" s="42" t="str">
        <f>IFERROR(__xludf.DUMMYFUNCTION("""COMPUTED_VALUE"""),"B. 2984/ Sukanumi")</f>
        <v>B. 2984/ Sukanumi</v>
      </c>
      <c r="D4430" s="42" t="str">
        <f>IFERROR(__xludf.DUMMYFUNCTION("""COMPUTED_VALUE"""),"Berry")</f>
        <v>Berry</v>
      </c>
      <c r="E4430" s="42" t="str">
        <f>IFERROR(__xludf.DUMMYFUNCTION("""COMPUTED_VALUE"""),"DISERAHKAN")</f>
        <v>DISERAHKAN</v>
      </c>
      <c r="F4430" s="48">
        <f>IFERROR(__xludf.DUMMYFUNCTION("""COMPUTED_VALUE"""),45824.460119421296)</f>
        <v>45824.46012</v>
      </c>
      <c r="G4430" s="42" t="str">
        <f>IFERROR(__xludf.DUMMYFUNCTION("""COMPUTED_VALUE"""),"BN WARIS=")</f>
        <v>BN WARIS=</v>
      </c>
      <c r="H4430" s="42">
        <f t="shared" si="1"/>
        <v>1961</v>
      </c>
    </row>
    <row r="4431" ht="22.5" customHeight="1">
      <c r="B4431" s="42" t="str">
        <f>IFERROR(__xludf.DUMMYFUNCTION("""COMPUTED_VALUE"""),"K/41/220525/2")</f>
        <v>K/41/220525/2</v>
      </c>
      <c r="C4431" s="42" t="str">
        <f>IFERROR(__xludf.DUMMYFUNCTION("""COMPUTED_VALUE"""),"M. 1601/ way Laga")</f>
        <v>M. 1601/ way Laga</v>
      </c>
      <c r="D4431" s="42" t="str">
        <f>IFERROR(__xludf.DUMMYFUNCTION("""COMPUTED_VALUE"""),"Berry")</f>
        <v>Berry</v>
      </c>
      <c r="E4431" s="42" t="str">
        <f>IFERROR(__xludf.DUMMYFUNCTION("""COMPUTED_VALUE"""),"DISERAHKAN")</f>
        <v>DISERAHKAN</v>
      </c>
      <c r="F4431" s="48">
        <f>IFERROR(__xludf.DUMMYFUNCTION("""COMPUTED_VALUE"""),45812.59061726852)</f>
        <v>45812.59062</v>
      </c>
      <c r="G4431" s="42" t="str">
        <f>IFERROR(__xludf.DUMMYFUNCTION("""COMPUTED_VALUE"""),"BN JUAL BELI")</f>
        <v>BN JUAL BELI</v>
      </c>
      <c r="H4431" s="42">
        <f t="shared" si="1"/>
        <v>1962</v>
      </c>
    </row>
    <row r="4432" ht="22.5" customHeight="1">
      <c r="B4432" s="42" t="str">
        <f>IFERROR(__xludf.DUMMYFUNCTION("""COMPUTED_VALUE"""),"K/39/220525/1")</f>
        <v>K/39/220525/1</v>
      </c>
      <c r="C4432" s="42" t="str">
        <f>IFERROR(__xludf.DUMMYFUNCTION("""COMPUTED_VALUE"""),"M. 1137/SUMBER AGUNG")</f>
        <v>M. 1137/SUMBER AGUNG</v>
      </c>
      <c r="D4432" s="42" t="str">
        <f>IFERROR(__xludf.DUMMYFUNCTION("""COMPUTED_VALUE"""),"Berry")</f>
        <v>Berry</v>
      </c>
      <c r="E4432" s="42" t="str">
        <f>IFERROR(__xludf.DUMMYFUNCTION("""COMPUTED_VALUE"""),"DISERAHKAN")</f>
        <v>DISERAHKAN</v>
      </c>
      <c r="F4432" s="48">
        <f>IFERROR(__xludf.DUMMYFUNCTION("""COMPUTED_VALUE"""),45839.62509001157)</f>
        <v>45839.62509</v>
      </c>
      <c r="G4432" s="42" t="str">
        <f>IFERROR(__xludf.DUMMYFUNCTION("""COMPUTED_VALUE"""),"BN JUAL BELI")</f>
        <v>BN JUAL BELI</v>
      </c>
      <c r="H4432" s="42">
        <f t="shared" si="1"/>
        <v>1963</v>
      </c>
    </row>
    <row r="4433" ht="22.5" customHeight="1">
      <c r="B4433" s="42" t="str">
        <f>IFERROR(__xludf.DUMMYFUNCTION("""COMPUTED_VALUE"""),"K/42/220525/1")</f>
        <v>K/42/220525/1</v>
      </c>
      <c r="C4433" s="42" t="str">
        <f>IFERROR(__xludf.DUMMYFUNCTION("""COMPUTED_VALUE"""),"B. 321/ Pematang Wangi")</f>
        <v>B. 321/ Pematang Wangi</v>
      </c>
      <c r="D4433" s="42" t="str">
        <f>IFERROR(__xludf.DUMMYFUNCTION("""COMPUTED_VALUE"""),"Berry")</f>
        <v>Berry</v>
      </c>
      <c r="E4433" s="42" t="str">
        <f>IFERROR(__xludf.DUMMYFUNCTION("""COMPUTED_VALUE"""),"DISERAHKAN")</f>
        <v>DISERAHKAN</v>
      </c>
      <c r="F4433" s="48">
        <f>IFERROR(__xludf.DUMMYFUNCTION("""COMPUTED_VALUE"""),45825.614298472225)</f>
        <v>45825.6143</v>
      </c>
      <c r="G4433" s="42" t="str">
        <f>IFERROR(__xludf.DUMMYFUNCTION("""COMPUTED_VALUE"""),"Perubahan Hak")</f>
        <v>Perubahan Hak</v>
      </c>
      <c r="H4433" s="42">
        <f t="shared" si="1"/>
        <v>1964</v>
      </c>
    </row>
    <row r="4434" ht="22.5" customHeight="1">
      <c r="B4434" s="42" t="str">
        <f>IFERROR(__xludf.DUMMYFUNCTION("""COMPUTED_VALUE"""),"K/43/220525/1")</f>
        <v>K/43/220525/1</v>
      </c>
      <c r="C4434" s="42" t="str">
        <f>IFERROR(__xludf.DUMMYFUNCTION("""COMPUTED_VALUE"""),"M. 4685/ Gunung Terang")</f>
        <v>M. 4685/ Gunung Terang</v>
      </c>
      <c r="D4434" s="42" t="str">
        <f>IFERROR(__xludf.DUMMYFUNCTION("""COMPUTED_VALUE"""),"Berry")</f>
        <v>Berry</v>
      </c>
      <c r="E4434" s="42" t="str">
        <f>IFERROR(__xludf.DUMMYFUNCTION("""COMPUTED_VALUE"""),"DISERAHKAN")</f>
        <v>DISERAHKAN</v>
      </c>
      <c r="F4434" s="48">
        <f>IFERROR(__xludf.DUMMYFUNCTION("""COMPUTED_VALUE"""),45855.577217604165)</f>
        <v>45855.57722</v>
      </c>
      <c r="G4434" s="42" t="str">
        <f>IFERROR(__xludf.DUMMYFUNCTION("""COMPUTED_VALUE"""),"BN JUAL BELI")</f>
        <v>BN JUAL BELI</v>
      </c>
      <c r="H4434" s="42">
        <f t="shared" si="1"/>
        <v>1965</v>
      </c>
    </row>
    <row r="4435" ht="22.5" customHeight="1">
      <c r="B4435" s="42" t="str">
        <f>IFERROR(__xludf.DUMMYFUNCTION("""COMPUTED_VALUE"""),"K/1/230525/1")</f>
        <v>K/1/230525/1</v>
      </c>
      <c r="C4435" s="42" t="str">
        <f>IFERROR(__xludf.DUMMYFUNCTION("""COMPUTED_VALUE"""),"B. 330/TANJUNG GADING")</f>
        <v>B. 330/TANJUNG GADING</v>
      </c>
      <c r="D4435" s="42"/>
      <c r="E4435" s="42"/>
      <c r="F4435" s="48" t="str">
        <f>IFERROR(__xludf.DUMMYFUNCTION("""COMPUTED_VALUE"""),"")</f>
        <v/>
      </c>
      <c r="G4435" s="42" t="str">
        <f>IFERROR(__xludf.DUMMYFUNCTION("""COMPUTED_VALUE"""),"SKPT INFORMASI")</f>
        <v>SKPT INFORMASI</v>
      </c>
      <c r="H4435" s="42">
        <f t="shared" si="1"/>
        <v>1965</v>
      </c>
    </row>
    <row r="4436" ht="22.5" customHeight="1">
      <c r="B4436" s="42" t="str">
        <f>IFERROR(__xludf.DUMMYFUNCTION("""COMPUTED_VALUE"""),"K/2/230525/2")</f>
        <v>K/2/230525/2</v>
      </c>
      <c r="C4436" s="42" t="str">
        <f>IFERROR(__xludf.DUMMYFUNCTION("""COMPUTED_VALUE"""),"B. 331/TANJUNG GADING")</f>
        <v>B. 331/TANJUNG GADING</v>
      </c>
      <c r="D4436" s="42"/>
      <c r="E4436" s="42"/>
      <c r="F4436" s="48" t="str">
        <f>IFERROR(__xludf.DUMMYFUNCTION("""COMPUTED_VALUE"""),"")</f>
        <v/>
      </c>
      <c r="G4436" s="42" t="str">
        <f>IFERROR(__xludf.DUMMYFUNCTION("""COMPUTED_VALUE"""),"SKPT INFORMASI")</f>
        <v>SKPT INFORMASI</v>
      </c>
      <c r="H4436" s="42">
        <f t="shared" si="1"/>
        <v>1965</v>
      </c>
    </row>
    <row r="4437" ht="22.5" customHeight="1">
      <c r="B4437" s="42" t="str">
        <f>IFERROR(__xludf.DUMMYFUNCTION("""COMPUTED_VALUE"""),"K/3/230525/3")</f>
        <v>K/3/230525/3</v>
      </c>
      <c r="C4437" s="42" t="str">
        <f>IFERROR(__xludf.DUMMYFUNCTION("""COMPUTED_VALUE"""),"B.329/TANJUNG GADING")</f>
        <v>B.329/TANJUNG GADING</v>
      </c>
      <c r="D4437" s="42"/>
      <c r="E4437" s="42"/>
      <c r="F4437" s="48" t="str">
        <f>IFERROR(__xludf.DUMMYFUNCTION("""COMPUTED_VALUE"""),"")</f>
        <v/>
      </c>
      <c r="G4437" s="42" t="str">
        <f>IFERROR(__xludf.DUMMYFUNCTION("""COMPUTED_VALUE"""),"SKPT INFORMASI")</f>
        <v>SKPT INFORMASI</v>
      </c>
      <c r="H4437" s="42">
        <f t="shared" si="1"/>
        <v>1965</v>
      </c>
    </row>
    <row r="4438" ht="22.5" customHeight="1">
      <c r="B4438" s="42" t="str">
        <f>IFERROR(__xludf.DUMMYFUNCTION("""COMPUTED_VALUE"""),"K/4/230525/4")</f>
        <v>K/4/230525/4</v>
      </c>
      <c r="C4438" s="42" t="str">
        <f>IFERROR(__xludf.DUMMYFUNCTION("""COMPUTED_VALUE"""),"B. 303/TANJUNG GADING")</f>
        <v>B. 303/TANJUNG GADING</v>
      </c>
      <c r="D4438" s="42"/>
      <c r="E4438" s="42"/>
      <c r="F4438" s="48" t="str">
        <f>IFERROR(__xludf.DUMMYFUNCTION("""COMPUTED_VALUE"""),"")</f>
        <v/>
      </c>
      <c r="G4438" s="42" t="str">
        <f>IFERROR(__xludf.DUMMYFUNCTION("""COMPUTED_VALUE"""),"SKPT INFORMASI")</f>
        <v>SKPT INFORMASI</v>
      </c>
      <c r="H4438" s="42">
        <f t="shared" si="1"/>
        <v>1965</v>
      </c>
    </row>
    <row r="4439" ht="22.5" customHeight="1">
      <c r="B4439" s="42" t="str">
        <f>IFERROR(__xludf.DUMMYFUNCTION("""COMPUTED_VALUE"""),"K/5/230525/5")</f>
        <v>K/5/230525/5</v>
      </c>
      <c r="C4439" s="42" t="str">
        <f>IFERROR(__xludf.DUMMYFUNCTION("""COMPUTED_VALUE"""),"B. 304/TANJUNG GADING")</f>
        <v>B. 304/TANJUNG GADING</v>
      </c>
      <c r="D4439" s="42"/>
      <c r="E4439" s="42"/>
      <c r="F4439" s="48" t="str">
        <f>IFERROR(__xludf.DUMMYFUNCTION("""COMPUTED_VALUE"""),"")</f>
        <v/>
      </c>
      <c r="G4439" s="42" t="str">
        <f>IFERROR(__xludf.DUMMYFUNCTION("""COMPUTED_VALUE"""),"SKPT INFORMASI")</f>
        <v>SKPT INFORMASI</v>
      </c>
      <c r="H4439" s="42">
        <f t="shared" si="1"/>
        <v>1965</v>
      </c>
    </row>
    <row r="4440" ht="22.5" customHeight="1">
      <c r="B4440" s="42" t="str">
        <f>IFERROR(__xludf.DUMMYFUNCTION("""COMPUTED_VALUE"""),"K/6/230525/1")</f>
        <v>K/6/230525/1</v>
      </c>
      <c r="C4440" s="42" t="str">
        <f>IFERROR(__xludf.DUMMYFUNCTION("""COMPUTED_VALUE"""),"M. 1181/ Pematang Wangi")</f>
        <v>M. 1181/ Pematang Wangi</v>
      </c>
      <c r="D4440" s="42" t="str">
        <f>IFERROR(__xludf.DUMMYFUNCTION("""COMPUTED_VALUE"""),"Berry")</f>
        <v>Berry</v>
      </c>
      <c r="E4440" s="42" t="str">
        <f>IFERROR(__xludf.DUMMYFUNCTION("""COMPUTED_VALUE"""),"DISERAHKAN")</f>
        <v>DISERAHKAN</v>
      </c>
      <c r="F4440" s="48">
        <f>IFERROR(__xludf.DUMMYFUNCTION("""COMPUTED_VALUE"""),45819.78531516204)</f>
        <v>45819.78532</v>
      </c>
      <c r="G4440" s="42" t="str">
        <f>IFERROR(__xludf.DUMMYFUNCTION("""COMPUTED_VALUE"""),"BN JUAL BELI")</f>
        <v>BN JUAL BELI</v>
      </c>
      <c r="H4440" s="42">
        <f t="shared" si="1"/>
        <v>1966</v>
      </c>
    </row>
    <row r="4441" ht="22.5" customHeight="1">
      <c r="B4441" s="42" t="str">
        <f>IFERROR(__xludf.DUMMYFUNCTION("""COMPUTED_VALUE"""),"K/7/230525/1")</f>
        <v>K/7/230525/1</v>
      </c>
      <c r="C4441" s="42" t="str">
        <f>IFERROR(__xludf.DUMMYFUNCTION("""COMPUTED_VALUE"""),"M. 1346/ Way Kandis")</f>
        <v>M. 1346/ Way Kandis</v>
      </c>
      <c r="D4441" s="42"/>
      <c r="E4441" s="42"/>
      <c r="F4441" s="48" t="str">
        <f>IFERROR(__xludf.DUMMYFUNCTION("""COMPUTED_VALUE"""),"")</f>
        <v/>
      </c>
      <c r="G4441" s="42" t="str">
        <f>IFERROR(__xludf.DUMMYFUNCTION("""COMPUTED_VALUE"""),"SKPT Lelang")</f>
        <v>SKPT Lelang</v>
      </c>
      <c r="H4441" s="42">
        <f t="shared" si="1"/>
        <v>1966</v>
      </c>
    </row>
    <row r="4442" ht="22.5" customHeight="1">
      <c r="B4442" s="42" t="str">
        <f>IFERROR(__xludf.DUMMYFUNCTION("""COMPUTED_VALUE"""),"K/11/230525/1")</f>
        <v>K/11/230525/1</v>
      </c>
      <c r="C4442" s="42" t="str">
        <f>IFERROR(__xludf.DUMMYFUNCTION("""COMPUTED_VALUE"""),"NIBEL M. 18980/SUKARAME BARU")</f>
        <v>NIBEL M. 18980/SUKARAME BARU</v>
      </c>
      <c r="D4442" s="42"/>
      <c r="E4442" s="42"/>
      <c r="F4442" s="48" t="str">
        <f>IFERROR(__xludf.DUMMYFUNCTION("""COMPUTED_VALUE"""),"")</f>
        <v/>
      </c>
      <c r="G4442" s="42" t="str">
        <f>IFERROR(__xludf.DUMMYFUNCTION("""COMPUTED_VALUE"""),"BN JUAL BELI ")</f>
        <v>BN JUAL BELI </v>
      </c>
      <c r="H4442" s="42">
        <f t="shared" si="1"/>
        <v>1966</v>
      </c>
    </row>
    <row r="4443" ht="22.5" customHeight="1">
      <c r="B4443" s="42" t="str">
        <f>IFERROR(__xludf.DUMMYFUNCTION("""COMPUTED_VALUE"""),"K/10/230525/1")</f>
        <v>K/10/230525/1</v>
      </c>
      <c r="C4443" s="42" t="str">
        <f>IFERROR(__xludf.DUMMYFUNCTION("""COMPUTED_VALUE"""),"M. 1537/ Campang Raya")</f>
        <v>M. 1537/ Campang Raya</v>
      </c>
      <c r="D4443" s="42"/>
      <c r="E4443" s="42"/>
      <c r="F4443" s="48" t="str">
        <f>IFERROR(__xludf.DUMMYFUNCTION("""COMPUTED_VALUE"""),"")</f>
        <v/>
      </c>
      <c r="G4443" s="42" t="str">
        <f>IFERROR(__xludf.DUMMYFUNCTION("""COMPUTED_VALUE"""),"Penataan Batas")</f>
        <v>Penataan Batas</v>
      </c>
      <c r="H4443" s="42">
        <f t="shared" si="1"/>
        <v>1966</v>
      </c>
    </row>
    <row r="4444" ht="22.5" customHeight="1">
      <c r="B4444" s="42" t="str">
        <f>IFERROR(__xludf.DUMMYFUNCTION("""COMPUTED_VALUE"""),"K/12/230525/1")</f>
        <v>K/12/230525/1</v>
      </c>
      <c r="C4444" s="42" t="str">
        <f>IFERROR(__xludf.DUMMYFUNCTION("""COMPUTED_VALUE"""),"M.2962/GEDONG AIR")</f>
        <v>M.2962/GEDONG AIR</v>
      </c>
      <c r="D4444" s="42" t="str">
        <f>IFERROR(__xludf.DUMMYFUNCTION("""COMPUTED_VALUE"""),"Berry")</f>
        <v>Berry</v>
      </c>
      <c r="E4444" s="42" t="str">
        <f>IFERROR(__xludf.DUMMYFUNCTION("""COMPUTED_VALUE"""),"DISERAHKAN")</f>
        <v>DISERAHKAN</v>
      </c>
      <c r="F4444" s="48">
        <f>IFERROR(__xludf.DUMMYFUNCTION("""COMPUTED_VALUE"""),45812.59515703704)</f>
        <v>45812.59516</v>
      </c>
      <c r="G4444" s="42" t="str">
        <f>IFERROR(__xludf.DUMMYFUNCTION("""COMPUTED_VALUE"""),"BN JUAL BELI")</f>
        <v>BN JUAL BELI</v>
      </c>
      <c r="H4444" s="42">
        <f t="shared" si="1"/>
        <v>1967</v>
      </c>
    </row>
    <row r="4445" ht="22.5" customHeight="1">
      <c r="B4445" s="42" t="str">
        <f>IFERROR(__xludf.DUMMYFUNCTION("""COMPUTED_VALUE"""),"K/8/230525/1")</f>
        <v>K/8/230525/1</v>
      </c>
      <c r="C4445" s="42" t="str">
        <f>IFERROR(__xludf.DUMMYFUNCTION("""COMPUTED_VALUE"""),"B. 176/ Sumberejo Sejahtera")</f>
        <v>B. 176/ Sumberejo Sejahtera</v>
      </c>
      <c r="D4445" s="42" t="str">
        <f>IFERROR(__xludf.DUMMYFUNCTION("""COMPUTED_VALUE"""),"Berry")</f>
        <v>Berry</v>
      </c>
      <c r="E4445" s="42" t="str">
        <f>IFERROR(__xludf.DUMMYFUNCTION("""COMPUTED_VALUE"""),"DISERAHKAN")</f>
        <v>DISERAHKAN</v>
      </c>
      <c r="F4445" s="48">
        <f>IFERROR(__xludf.DUMMYFUNCTION("""COMPUTED_VALUE"""),45824.5094917824)</f>
        <v>45824.50949</v>
      </c>
      <c r="G4445" s="42" t="str">
        <f>IFERROR(__xludf.DUMMYFUNCTION("""COMPUTED_VALUE"""),"BN Jual Beli")</f>
        <v>BN Jual Beli</v>
      </c>
      <c r="H4445" s="42">
        <f t="shared" si="1"/>
        <v>1968</v>
      </c>
    </row>
    <row r="4446" ht="22.5" customHeight="1">
      <c r="B4446" s="42" t="str">
        <f>IFERROR(__xludf.DUMMYFUNCTION("""COMPUTED_VALUE"""),"K/15/230525/1")</f>
        <v>K/15/230525/1</v>
      </c>
      <c r="C4446" s="42" t="str">
        <f>IFERROR(__xludf.DUMMYFUNCTION("""COMPUTED_VALUE"""),"M. 3249/ Gedong Air")</f>
        <v>M. 3249/ Gedong Air</v>
      </c>
      <c r="D4446" s="42" t="str">
        <f>IFERROR(__xludf.DUMMYFUNCTION("""COMPUTED_VALUE"""),"Berry")</f>
        <v>Berry</v>
      </c>
      <c r="E4446" s="42" t="str">
        <f>IFERROR(__xludf.DUMMYFUNCTION("""COMPUTED_VALUE"""),"DISERAHKAN")</f>
        <v>DISERAHKAN</v>
      </c>
      <c r="F4446" s="48">
        <f>IFERROR(__xludf.DUMMYFUNCTION("""COMPUTED_VALUE"""),45819.61261269676)</f>
        <v>45819.61261</v>
      </c>
      <c r="G4446" s="42" t="str">
        <f>IFERROR(__xludf.DUMMYFUNCTION("""COMPUTED_VALUE"""),"BN JUAL BELI")</f>
        <v>BN JUAL BELI</v>
      </c>
      <c r="H4446" s="42">
        <f t="shared" si="1"/>
        <v>1969</v>
      </c>
    </row>
    <row r="4447" ht="22.5" customHeight="1">
      <c r="B4447" s="42" t="str">
        <f>IFERROR(__xludf.DUMMYFUNCTION("""COMPUTED_VALUE"""),"K/9/230525/2")</f>
        <v>K/9/230525/2</v>
      </c>
      <c r="C4447" s="42" t="str">
        <f>IFERROR(__xludf.DUMMYFUNCTION("""COMPUTED_VALUE"""),"M. 4663/ Gunung Terang")</f>
        <v>M. 4663/ Gunung Terang</v>
      </c>
      <c r="D4447" s="42" t="str">
        <f>IFERROR(__xludf.DUMMYFUNCTION("""COMPUTED_VALUE"""),"Berry")</f>
        <v>Berry</v>
      </c>
      <c r="E4447" s="42" t="str">
        <f>IFERROR(__xludf.DUMMYFUNCTION("""COMPUTED_VALUE"""),"DISERAHKAN")</f>
        <v>DISERAHKAN</v>
      </c>
      <c r="F4447" s="48">
        <f>IFERROR(__xludf.DUMMYFUNCTION("""COMPUTED_VALUE"""),45824.5290306713)</f>
        <v>45824.52903</v>
      </c>
      <c r="G4447" s="42" t="str">
        <f>IFERROR(__xludf.DUMMYFUNCTION("""COMPUTED_VALUE"""),"BN Jual Beli")</f>
        <v>BN Jual Beli</v>
      </c>
      <c r="H4447" s="42">
        <f t="shared" si="1"/>
        <v>1970</v>
      </c>
    </row>
    <row r="4448" ht="22.5" customHeight="1">
      <c r="B4448" s="42" t="str">
        <f>IFERROR(__xludf.DUMMYFUNCTION("""COMPUTED_VALUE"""),"K/13/230525/2")</f>
        <v>K/13/230525/2</v>
      </c>
      <c r="C4448" s="42" t="str">
        <f>IFERROR(__xludf.DUMMYFUNCTION("""COMPUTED_VALUE"""),"M. 12987/BERINGIN RAYA")</f>
        <v>M. 12987/BERINGIN RAYA</v>
      </c>
      <c r="D4448" s="42" t="str">
        <f>IFERROR(__xludf.DUMMYFUNCTION("""COMPUTED_VALUE"""),"Berry")</f>
        <v>Berry</v>
      </c>
      <c r="E4448" s="42" t="str">
        <f>IFERROR(__xludf.DUMMYFUNCTION("""COMPUTED_VALUE"""),"DISERAHKAN")</f>
        <v>DISERAHKAN</v>
      </c>
      <c r="F4448" s="48">
        <f>IFERROR(__xludf.DUMMYFUNCTION("""COMPUTED_VALUE"""),45819.5791169213)</f>
        <v>45819.57912</v>
      </c>
      <c r="G4448" s="42" t="str">
        <f>IFERROR(__xludf.DUMMYFUNCTION("""COMPUTED_VALUE"""),"BN JUAL BELI")</f>
        <v>BN JUAL BELI</v>
      </c>
      <c r="H4448" s="42">
        <f t="shared" si="1"/>
        <v>1971</v>
      </c>
    </row>
    <row r="4449" ht="22.5" customHeight="1">
      <c r="B4449" s="42" t="str">
        <f>IFERROR(__xludf.DUMMYFUNCTION("""COMPUTED_VALUE"""),"L/16/230525/1")</f>
        <v>L/16/230525/1</v>
      </c>
      <c r="C4449" s="42" t="str">
        <f>IFERROR(__xludf.DUMMYFUNCTION("""COMPUTED_VALUE"""),"HGB 91/BILABONG JAYA")</f>
        <v>HGB 91/BILABONG JAYA</v>
      </c>
      <c r="D4449" s="42"/>
      <c r="E4449" s="42"/>
      <c r="F4449" s="48" t="str">
        <f>IFERROR(__xludf.DUMMYFUNCTION("""COMPUTED_VALUE"""),"")</f>
        <v/>
      </c>
      <c r="G4449" s="42" t="str">
        <f>IFERROR(__xludf.DUMMYFUNCTION("""COMPUTED_VALUE"""),"PH")</f>
        <v>PH</v>
      </c>
      <c r="H4449" s="42">
        <f t="shared" si="1"/>
        <v>1971</v>
      </c>
    </row>
    <row r="4450" ht="22.5" customHeight="1">
      <c r="B4450" s="42" t="str">
        <f>IFERROR(__xludf.DUMMYFUNCTION("""COMPUTED_VALUE"""),"L/17/230525/1")</f>
        <v>L/17/230525/1</v>
      </c>
      <c r="C4450" s="42" t="str">
        <f>IFERROR(__xludf.DUMMYFUNCTION("""COMPUTED_VALUE"""),"HGB 5105/BERINGIN RAYA")</f>
        <v>HGB 5105/BERINGIN RAYA</v>
      </c>
      <c r="D4450" s="42"/>
      <c r="E4450" s="42"/>
      <c r="F4450" s="48" t="str">
        <f>IFERROR(__xludf.DUMMYFUNCTION("""COMPUTED_VALUE"""),"")</f>
        <v/>
      </c>
      <c r="G4450" s="42" t="str">
        <f>IFERROR(__xludf.DUMMYFUNCTION("""COMPUTED_VALUE"""),"PH")</f>
        <v>PH</v>
      </c>
      <c r="H4450" s="42">
        <f t="shared" si="1"/>
        <v>1971</v>
      </c>
    </row>
    <row r="4451" ht="22.5" customHeight="1">
      <c r="B4451" s="42" t="str">
        <f>IFERROR(__xludf.DUMMYFUNCTION("""COMPUTED_VALUE"""),"K/18/230525/1")</f>
        <v>K/18/230525/1</v>
      </c>
      <c r="C4451" s="42" t="str">
        <f>IFERROR(__xludf.DUMMYFUNCTION("""COMPUTED_VALUE"""),"B. 49/ Gunung Sari")</f>
        <v>B. 49/ Gunung Sari</v>
      </c>
      <c r="D4451" s="42" t="str">
        <f>IFERROR(__xludf.DUMMYFUNCTION("""COMPUTED_VALUE"""),"Berry")</f>
        <v>Berry</v>
      </c>
      <c r="E4451" s="42" t="str">
        <f>IFERROR(__xludf.DUMMYFUNCTION("""COMPUTED_VALUE"""),"DISERAHKAN")</f>
        <v>DISERAHKAN</v>
      </c>
      <c r="F4451" s="48">
        <f>IFERROR(__xludf.DUMMYFUNCTION("""COMPUTED_VALUE"""),45824.47494903935)</f>
        <v>45824.47495</v>
      </c>
      <c r="G4451" s="42" t="str">
        <f>IFERROR(__xludf.DUMMYFUNCTION("""COMPUTED_VALUE"""),"BN Jual Beli")</f>
        <v>BN Jual Beli</v>
      </c>
      <c r="H4451" s="42">
        <f t="shared" si="1"/>
        <v>1972</v>
      </c>
    </row>
    <row r="4452" ht="22.5" customHeight="1">
      <c r="B4452" s="42" t="str">
        <f>IFERROR(__xludf.DUMMYFUNCTION("""COMPUTED_VALUE"""),"K/19/230525/1")</f>
        <v>K/19/230525/1</v>
      </c>
      <c r="C4452" s="42" t="str">
        <f>IFERROR(__xludf.DUMMYFUNCTION("""COMPUTED_VALUE"""),"M. 1605/ Kemiling Raya")</f>
        <v>M. 1605/ Kemiling Raya</v>
      </c>
      <c r="D4452" s="42" t="str">
        <f>IFERROR(__xludf.DUMMYFUNCTION("""COMPUTED_VALUE"""),"Berry")</f>
        <v>Berry</v>
      </c>
      <c r="E4452" s="42" t="str">
        <f>IFERROR(__xludf.DUMMYFUNCTION("""COMPUTED_VALUE"""),"DISERAHKAN")</f>
        <v>DISERAHKAN</v>
      </c>
      <c r="F4452" s="48">
        <f>IFERROR(__xludf.DUMMYFUNCTION("""COMPUTED_VALUE"""),45828.531480590274)</f>
        <v>45828.53148</v>
      </c>
      <c r="G4452" s="42" t="str">
        <f>IFERROR(__xludf.DUMMYFUNCTION("""COMPUTED_VALUE"""),"BN JUAL BELI")</f>
        <v>BN JUAL BELI</v>
      </c>
      <c r="H4452" s="42">
        <f t="shared" si="1"/>
        <v>1973</v>
      </c>
    </row>
    <row r="4453" ht="22.5" customHeight="1">
      <c r="B4453" s="42" t="str">
        <f>IFERROR(__xludf.DUMMYFUNCTION("""COMPUTED_VALUE"""),"K/20/230525/1")</f>
        <v>K/20/230525/1</v>
      </c>
      <c r="C4453" s="42" t="str">
        <f>IFERROR(__xludf.DUMMYFUNCTION("""COMPUTED_VALUE"""),"B. 259/ Teluk betung")</f>
        <v>B. 259/ Teluk betung</v>
      </c>
      <c r="D4453" s="42"/>
      <c r="E4453" s="42"/>
      <c r="F4453" s="48" t="str">
        <f>IFERROR(__xludf.DUMMYFUNCTION("""COMPUTED_VALUE"""),"")</f>
        <v/>
      </c>
      <c r="G4453" s="42" t="str">
        <f>IFERROR(__xludf.DUMMYFUNCTION("""COMPUTED_VALUE"""),"SKPT LELANG")</f>
        <v>SKPT LELANG</v>
      </c>
      <c r="H4453" s="42">
        <f t="shared" si="1"/>
        <v>1973</v>
      </c>
    </row>
    <row r="4454" ht="22.5" customHeight="1">
      <c r="B4454" s="42" t="str">
        <f>IFERROR(__xludf.DUMMYFUNCTION("""COMPUTED_VALUE"""),"K/21/230525/2")</f>
        <v>K/21/230525/2</v>
      </c>
      <c r="C4454" s="42" t="str">
        <f>IFERROR(__xludf.DUMMYFUNCTION("""COMPUTED_VALUE"""),"B. 387/ Teluk betung")</f>
        <v>B. 387/ Teluk betung</v>
      </c>
      <c r="D4454" s="42"/>
      <c r="E4454" s="42"/>
      <c r="F4454" s="48" t="str">
        <f>IFERROR(__xludf.DUMMYFUNCTION("""COMPUTED_VALUE"""),"")</f>
        <v/>
      </c>
      <c r="G4454" s="42" t="str">
        <f>IFERROR(__xludf.DUMMYFUNCTION("""COMPUTED_VALUE"""),"SKPT LELANG")</f>
        <v>SKPT LELANG</v>
      </c>
      <c r="H4454" s="42">
        <f t="shared" si="1"/>
        <v>1973</v>
      </c>
    </row>
    <row r="4455" ht="22.5" customHeight="1">
      <c r="B4455" s="42" t="str">
        <f>IFERROR(__xludf.DUMMYFUNCTION("""COMPUTED_VALUE"""),"K/22/230525/3")</f>
        <v>K/22/230525/3</v>
      </c>
      <c r="C4455" s="42" t="str">
        <f>IFERROR(__xludf.DUMMYFUNCTION("""COMPUTED_VALUE"""),"B. 384/ Teluk betung")</f>
        <v>B. 384/ Teluk betung</v>
      </c>
      <c r="D4455" s="42"/>
      <c r="E4455" s="42"/>
      <c r="F4455" s="48" t="str">
        <f>IFERROR(__xludf.DUMMYFUNCTION("""COMPUTED_VALUE"""),"")</f>
        <v/>
      </c>
      <c r="G4455" s="42" t="str">
        <f>IFERROR(__xludf.DUMMYFUNCTION("""COMPUTED_VALUE"""),"SKPT LELANG")</f>
        <v>SKPT LELANG</v>
      </c>
      <c r="H4455" s="42">
        <f t="shared" si="1"/>
        <v>1973</v>
      </c>
    </row>
    <row r="4456" ht="22.5" customHeight="1">
      <c r="B4456" s="42" t="str">
        <f>IFERROR(__xludf.DUMMYFUNCTION("""COMPUTED_VALUE"""),"K/23/230525/4")</f>
        <v>K/23/230525/4</v>
      </c>
      <c r="C4456" s="42" t="str">
        <f>IFERROR(__xludf.DUMMYFUNCTION("""COMPUTED_VALUE"""),"M. 692/ Teluk betung")</f>
        <v>M. 692/ Teluk betung</v>
      </c>
      <c r="D4456" s="42"/>
      <c r="E4456" s="42"/>
      <c r="F4456" s="48" t="str">
        <f>IFERROR(__xludf.DUMMYFUNCTION("""COMPUTED_VALUE"""),"")</f>
        <v/>
      </c>
      <c r="G4456" s="42" t="str">
        <f>IFERROR(__xludf.DUMMYFUNCTION("""COMPUTED_VALUE"""),"SKPT LELANG")</f>
        <v>SKPT LELANG</v>
      </c>
      <c r="H4456" s="42">
        <f t="shared" si="1"/>
        <v>1973</v>
      </c>
    </row>
    <row r="4457" ht="22.5" customHeight="1">
      <c r="B4457" s="42" t="str">
        <f>IFERROR(__xludf.DUMMYFUNCTION("""COMPUTED_VALUE"""),"K/24/230525/5")</f>
        <v>K/24/230525/5</v>
      </c>
      <c r="C4457" s="42" t="str">
        <f>IFERROR(__xludf.DUMMYFUNCTION("""COMPUTED_VALUE"""),"M. 926/ Teluk betung")</f>
        <v>M. 926/ Teluk betung</v>
      </c>
      <c r="D4457" s="42"/>
      <c r="E4457" s="42"/>
      <c r="F4457" s="48" t="str">
        <f>IFERROR(__xludf.DUMMYFUNCTION("""COMPUTED_VALUE"""),"")</f>
        <v/>
      </c>
      <c r="G4457" s="42" t="str">
        <f>IFERROR(__xludf.DUMMYFUNCTION("""COMPUTED_VALUE"""),"SKPT LELANG")</f>
        <v>SKPT LELANG</v>
      </c>
      <c r="H4457" s="42">
        <f t="shared" si="1"/>
        <v>1973</v>
      </c>
    </row>
    <row r="4458" ht="22.5" customHeight="1">
      <c r="B4458" s="42" t="str">
        <f>IFERROR(__xludf.DUMMYFUNCTION("""COMPUTED_VALUE"""),"K/25/230525/1")</f>
        <v>K/25/230525/1</v>
      </c>
      <c r="C4458" s="42" t="str">
        <f>IFERROR(__xludf.DUMMYFUNCTION("""COMPUTED_VALUE"""),"M. 3861/ Rajabasa Jaya")</f>
        <v>M. 3861/ Rajabasa Jaya</v>
      </c>
      <c r="D4458" s="42"/>
      <c r="E4458" s="42"/>
      <c r="F4458" s="48" t="str">
        <f>IFERROR(__xludf.DUMMYFUNCTION("""COMPUTED_VALUE"""),"")</f>
        <v/>
      </c>
      <c r="G4458" s="42" t="str">
        <f>IFERROR(__xludf.DUMMYFUNCTION("""COMPUTED_VALUE"""),"Hapus BPHTB")</f>
        <v>Hapus BPHTB</v>
      </c>
      <c r="H4458" s="42">
        <f t="shared" si="1"/>
        <v>1973</v>
      </c>
    </row>
    <row r="4459" ht="22.5" customHeight="1">
      <c r="B4459" s="42" t="str">
        <f>IFERROR(__xludf.DUMMYFUNCTION("""COMPUTED_VALUE"""),"L/26/230525/1")</f>
        <v>L/26/230525/1</v>
      </c>
      <c r="C4459" s="42" t="str">
        <f>IFERROR(__xludf.DUMMYFUNCTION("""COMPUTED_VALUE"""),"HM 13835/SEGALA MIDER")</f>
        <v>HM 13835/SEGALA MIDER</v>
      </c>
      <c r="D4459" s="42" t="str">
        <f>IFERROR(__xludf.DUMMYFUNCTION("""COMPUTED_VALUE"""),"Berry")</f>
        <v>Berry</v>
      </c>
      <c r="E4459" s="42" t="str">
        <f>IFERROR(__xludf.DUMMYFUNCTION("""COMPUTED_VALUE"""),"DISERAHKAN")</f>
        <v>DISERAHKAN</v>
      </c>
      <c r="F4459" s="48">
        <f>IFERROR(__xludf.DUMMYFUNCTION("""COMPUTED_VALUE"""),45813.64131678241)</f>
        <v>45813.64132</v>
      </c>
      <c r="G4459" s="42" t="str">
        <f>IFERROR(__xludf.DUMMYFUNCTION("""COMPUTED_VALUE"""),"BN WARIS")</f>
        <v>BN WARIS</v>
      </c>
      <c r="H4459" s="42">
        <f t="shared" si="1"/>
        <v>1974</v>
      </c>
    </row>
    <row r="4460" ht="22.5" customHeight="1">
      <c r="B4460" s="42" t="str">
        <f>IFERROR(__xludf.DUMMYFUNCTION("""COMPUTED_VALUE"""),"K/27/230525/1")</f>
        <v>K/27/230525/1</v>
      </c>
      <c r="C4460" s="42" t="str">
        <f>IFERROR(__xludf.DUMMYFUNCTION("""COMPUTED_VALUE"""),"NIB 2297/WAY KANDIS")</f>
        <v>NIB 2297/WAY KANDIS</v>
      </c>
      <c r="D4460" s="42"/>
      <c r="E4460" s="42"/>
      <c r="F4460" s="48" t="str">
        <f>IFERROR(__xludf.DUMMYFUNCTION("""COMPUTED_VALUE"""),"")</f>
        <v/>
      </c>
      <c r="G4460" s="42" t="str">
        <f>IFERROR(__xludf.DUMMYFUNCTION("""COMPUTED_VALUE"""),"BN JUAL-BELI")</f>
        <v>BN JUAL-BELI</v>
      </c>
      <c r="H4460" s="42">
        <f t="shared" si="1"/>
        <v>1974</v>
      </c>
    </row>
    <row r="4461" ht="22.5" customHeight="1">
      <c r="B4461" s="42" t="str">
        <f>IFERROR(__xludf.DUMMYFUNCTION("""COMPUTED_VALUE"""),"K/28/230525/2")</f>
        <v>K/28/230525/2</v>
      </c>
      <c r="C4461" s="42" t="str">
        <f>IFERROR(__xludf.DUMMYFUNCTION("""COMPUTED_VALUE"""),"NIB 2233/WAY KANDIS")</f>
        <v>NIB 2233/WAY KANDIS</v>
      </c>
      <c r="D4461" s="42"/>
      <c r="E4461" s="42"/>
      <c r="F4461" s="48" t="str">
        <f>IFERROR(__xludf.DUMMYFUNCTION("""COMPUTED_VALUE"""),"")</f>
        <v/>
      </c>
      <c r="G4461" s="42" t="str">
        <f>IFERROR(__xludf.DUMMYFUNCTION("""COMPUTED_VALUE"""),"BN JUAL-BELI")</f>
        <v>BN JUAL-BELI</v>
      </c>
      <c r="H4461" s="42">
        <f t="shared" si="1"/>
        <v>1974</v>
      </c>
    </row>
    <row r="4462" ht="22.5" customHeight="1">
      <c r="B4462" s="42" t="str">
        <f>IFERROR(__xludf.DUMMYFUNCTION("""COMPUTED_VALUE"""),"K/29/230525/3")</f>
        <v>K/29/230525/3</v>
      </c>
      <c r="C4462" s="42" t="str">
        <f>IFERROR(__xludf.DUMMYFUNCTION("""COMPUTED_VALUE"""),"NIB 2296/WAY KANDIS")</f>
        <v>NIB 2296/WAY KANDIS</v>
      </c>
      <c r="D4462" s="42"/>
      <c r="E4462" s="42"/>
      <c r="F4462" s="48" t="str">
        <f>IFERROR(__xludf.DUMMYFUNCTION("""COMPUTED_VALUE"""),"")</f>
        <v/>
      </c>
      <c r="G4462" s="42" t="str">
        <f>IFERROR(__xludf.DUMMYFUNCTION("""COMPUTED_VALUE"""),"BN JUAL-BELI")</f>
        <v>BN JUAL-BELI</v>
      </c>
      <c r="H4462" s="42">
        <f t="shared" si="1"/>
        <v>1974</v>
      </c>
    </row>
    <row r="4463" ht="22.5" customHeight="1">
      <c r="B4463" s="42" t="str">
        <f>IFERROR(__xludf.DUMMYFUNCTION("""COMPUTED_VALUE"""),"K/30/230525/4")</f>
        <v>K/30/230525/4</v>
      </c>
      <c r="C4463" s="42" t="str">
        <f>IFERROR(__xludf.DUMMYFUNCTION("""COMPUTED_VALUE"""),"NIB 2295/WAYKANDIS")</f>
        <v>NIB 2295/WAYKANDIS</v>
      </c>
      <c r="D4463" s="42"/>
      <c r="E4463" s="42"/>
      <c r="F4463" s="48" t="str">
        <f>IFERROR(__xludf.DUMMYFUNCTION("""COMPUTED_VALUE"""),"")</f>
        <v/>
      </c>
      <c r="G4463" s="42" t="str">
        <f>IFERROR(__xludf.DUMMYFUNCTION("""COMPUTED_VALUE"""),"BN JUAL-BELI")</f>
        <v>BN JUAL-BELI</v>
      </c>
      <c r="H4463" s="42">
        <f t="shared" si="1"/>
        <v>1974</v>
      </c>
    </row>
    <row r="4464" ht="22.5" customHeight="1">
      <c r="B4464" s="42" t="str">
        <f>IFERROR(__xludf.DUMMYFUNCTION("""COMPUTED_VALUE"""),"K/31/230525/1")</f>
        <v>K/31/230525/1</v>
      </c>
      <c r="C4464" s="42" t="str">
        <f>IFERROR(__xludf.DUMMYFUNCTION("""COMPUTED_VALUE"""),"Nibel. M. 3290/ Rajabasa Pemuka")</f>
        <v>Nibel. M. 3290/ Rajabasa Pemuka</v>
      </c>
      <c r="D4464" s="42"/>
      <c r="E4464" s="42"/>
      <c r="F4464" s="48" t="str">
        <f>IFERROR(__xludf.DUMMYFUNCTION("""COMPUTED_VALUE"""),"")</f>
        <v/>
      </c>
      <c r="G4464" s="42" t="str">
        <f>IFERROR(__xludf.DUMMYFUNCTION("""COMPUTED_VALUE"""),"BN Jual Beli")</f>
        <v>BN Jual Beli</v>
      </c>
      <c r="H4464" s="42">
        <f t="shared" si="1"/>
        <v>1974</v>
      </c>
    </row>
    <row r="4465" ht="22.5" customHeight="1">
      <c r="B4465" s="42" t="str">
        <f>IFERROR(__xludf.DUMMYFUNCTION("""COMPUTED_VALUE"""),"K/33/230525/1")</f>
        <v>K/33/230525/1</v>
      </c>
      <c r="C4465" s="42" t="str">
        <f>IFERROR(__xludf.DUMMYFUNCTION("""COMPUTED_VALUE"""),"Nibel 2714/ Beringin Raya")</f>
        <v>Nibel 2714/ Beringin Raya</v>
      </c>
      <c r="D4465" s="42"/>
      <c r="E4465" s="42"/>
      <c r="F4465" s="48" t="str">
        <f>IFERROR(__xludf.DUMMYFUNCTION("""COMPUTED_VALUE"""),"")</f>
        <v/>
      </c>
      <c r="G4465" s="42" t="str">
        <f>IFERROR(__xludf.DUMMYFUNCTION("""COMPUTED_VALUE"""),"BN JUALBELI")</f>
        <v>BN JUALBELI</v>
      </c>
      <c r="H4465" s="42">
        <f t="shared" si="1"/>
        <v>1974</v>
      </c>
    </row>
    <row r="4466" ht="22.5" customHeight="1">
      <c r="B4466" s="42" t="str">
        <f>IFERROR(__xludf.DUMMYFUNCTION("""COMPUTED_VALUE"""),"K/32/230525/2")</f>
        <v>K/32/230525/2</v>
      </c>
      <c r="C4466" s="42" t="str">
        <f>IFERROR(__xludf.DUMMYFUNCTION("""COMPUTED_VALUE"""),"Nibel. M. 3282/ Rajabasa Pemuka")</f>
        <v>Nibel. M. 3282/ Rajabasa Pemuka</v>
      </c>
      <c r="D4466" s="42"/>
      <c r="E4466" s="42"/>
      <c r="F4466" s="48" t="str">
        <f>IFERROR(__xludf.DUMMYFUNCTION("""COMPUTED_VALUE"""),"")</f>
        <v/>
      </c>
      <c r="G4466" s="42" t="str">
        <f>IFERROR(__xludf.DUMMYFUNCTION("""COMPUTED_VALUE"""),"BN Jual Beli")</f>
        <v>BN Jual Beli</v>
      </c>
      <c r="H4466" s="42">
        <f t="shared" si="1"/>
        <v>1974</v>
      </c>
    </row>
    <row r="4467" ht="22.5" customHeight="1">
      <c r="B4467" s="42" t="str">
        <f>IFERROR(__xludf.DUMMYFUNCTION("""COMPUTED_VALUE"""),"K/34/230525/1")</f>
        <v>K/34/230525/1</v>
      </c>
      <c r="C4467" s="42" t="str">
        <f>IFERROR(__xludf.DUMMYFUNCTION("""COMPUTED_VALUE"""),"Nibel. M. 6081/ Gunung Sulah")</f>
        <v>Nibel. M. 6081/ Gunung Sulah</v>
      </c>
      <c r="D4467" s="42"/>
      <c r="E4467" s="42"/>
      <c r="F4467" s="48" t="str">
        <f>IFERROR(__xludf.DUMMYFUNCTION("""COMPUTED_VALUE"""),"")</f>
        <v/>
      </c>
      <c r="G4467" s="42" t="str">
        <f>IFERROR(__xludf.DUMMYFUNCTION("""COMPUTED_VALUE"""),"BN Jual Beli")</f>
        <v>BN Jual Beli</v>
      </c>
      <c r="H4467" s="42">
        <f t="shared" si="1"/>
        <v>1974</v>
      </c>
    </row>
    <row r="4468" ht="22.5" customHeight="1">
      <c r="B4468" s="42" t="str">
        <f>IFERROR(__xludf.DUMMYFUNCTION("""COMPUTED_VALUE"""),"K/14/230525/3")</f>
        <v>K/14/230525/3</v>
      </c>
      <c r="C4468" s="42" t="str">
        <f>IFERROR(__xludf.DUMMYFUNCTION("""COMPUTED_VALUE"""),"NIBEL M. 13140/JAGABAYA III")</f>
        <v>NIBEL M. 13140/JAGABAYA III</v>
      </c>
      <c r="D4468" s="42"/>
      <c r="E4468" s="42"/>
      <c r="F4468" s="48" t="str">
        <f>IFERROR(__xludf.DUMMYFUNCTION("""COMPUTED_VALUE"""),"")</f>
        <v/>
      </c>
      <c r="G4468" s="42" t="str">
        <f>IFERROR(__xludf.DUMMYFUNCTION("""COMPUTED_VALUE"""),"BN APHB")</f>
        <v>BN APHB</v>
      </c>
      <c r="H4468" s="42">
        <f t="shared" si="1"/>
        <v>1974</v>
      </c>
    </row>
    <row r="4469" ht="22.5" customHeight="1">
      <c r="B4469" s="42" t="str">
        <f>IFERROR(__xludf.DUMMYFUNCTION("""COMPUTED_VALUE"""),"K/36/230525/1")</f>
        <v>K/36/230525/1</v>
      </c>
      <c r="C4469" s="42" t="str">
        <f>IFERROR(__xludf.DUMMYFUNCTION("""COMPUTED_VALUE"""),"Nibel 18616/ Sukarame Baru")</f>
        <v>Nibel 18616/ Sukarame Baru</v>
      </c>
      <c r="D4469" s="42"/>
      <c r="E4469" s="42"/>
      <c r="F4469" s="48" t="str">
        <f>IFERROR(__xludf.DUMMYFUNCTION("""COMPUTED_VALUE"""),"")</f>
        <v/>
      </c>
      <c r="G4469" s="42" t="str">
        <f>IFERROR(__xludf.DUMMYFUNCTION("""COMPUTED_VALUE"""),"BN HIBAH")</f>
        <v>BN HIBAH</v>
      </c>
      <c r="H4469" s="42">
        <f t="shared" si="1"/>
        <v>1974</v>
      </c>
    </row>
    <row r="4470" ht="22.5" customHeight="1">
      <c r="B4470" s="42" t="str">
        <f>IFERROR(__xludf.DUMMYFUNCTION("""COMPUTED_VALUE"""),"K/38/230525/1")</f>
        <v>K/38/230525/1</v>
      </c>
      <c r="C4470" s="42" t="str">
        <f>IFERROR(__xludf.DUMMYFUNCTION("""COMPUTED_VALUE"""),"M. 1388/SEPANG JAYA")</f>
        <v>M. 1388/SEPANG JAYA</v>
      </c>
      <c r="D4470" s="42" t="str">
        <f>IFERROR(__xludf.DUMMYFUNCTION("""COMPUTED_VALUE"""),"Berry")</f>
        <v>Berry</v>
      </c>
      <c r="E4470" s="42" t="str">
        <f>IFERROR(__xludf.DUMMYFUNCTION("""COMPUTED_VALUE"""),"DISERAHKAN")</f>
        <v>DISERAHKAN</v>
      </c>
      <c r="F4470" s="48">
        <f>IFERROR(__xludf.DUMMYFUNCTION("""COMPUTED_VALUE"""),45831.53689412037)</f>
        <v>45831.53689</v>
      </c>
      <c r="G4470" s="42" t="str">
        <f>IFERROR(__xludf.DUMMYFUNCTION("""COMPUTED_VALUE"""),"BN JUAL BELI")</f>
        <v>BN JUAL BELI</v>
      </c>
      <c r="H4470" s="42">
        <f t="shared" si="1"/>
        <v>1975</v>
      </c>
    </row>
    <row r="4471" ht="22.5" customHeight="1">
      <c r="B4471" s="42" t="str">
        <f>IFERROR(__xludf.DUMMYFUNCTION("""COMPUTED_VALUE"""),"K/37/230525/2")</f>
        <v>K/37/230525/2</v>
      </c>
      <c r="C4471" s="42" t="str">
        <f>IFERROR(__xludf.DUMMYFUNCTION("""COMPUTED_VALUE"""),"Nibel 17406/ Sukarame Baru")</f>
        <v>Nibel 17406/ Sukarame Baru</v>
      </c>
      <c r="D4471" s="42"/>
      <c r="E4471" s="42"/>
      <c r="F4471" s="48" t="str">
        <f>IFERROR(__xludf.DUMMYFUNCTION("""COMPUTED_VALUE"""),"")</f>
        <v/>
      </c>
      <c r="G4471" s="42" t="str">
        <f>IFERROR(__xludf.DUMMYFUNCTION("""COMPUTED_VALUE"""),"BN HIBAH")</f>
        <v>BN HIBAH</v>
      </c>
      <c r="H4471" s="42">
        <f t="shared" si="1"/>
        <v>1975</v>
      </c>
    </row>
    <row r="4472" ht="22.5" customHeight="1">
      <c r="B4472" s="42" t="str">
        <f>IFERROR(__xludf.DUMMYFUNCTION("""COMPUTED_VALUE"""),"K/39/230525/2")</f>
        <v>K/39/230525/2</v>
      </c>
      <c r="C4472" s="42" t="str">
        <f>IFERROR(__xludf.DUMMYFUNCTION("""COMPUTED_VALUE"""),"NIBEL M. 16822/SEGALA MIDER")</f>
        <v>NIBEL M. 16822/SEGALA MIDER</v>
      </c>
      <c r="D4472" s="42"/>
      <c r="E4472" s="42"/>
      <c r="F4472" s="48" t="str">
        <f>IFERROR(__xludf.DUMMYFUNCTION("""COMPUTED_VALUE"""),"")</f>
        <v/>
      </c>
      <c r="G4472" s="42" t="str">
        <f>IFERROR(__xludf.DUMMYFUNCTION("""COMPUTED_VALUE"""),"BN JUAL BELI")</f>
        <v>BN JUAL BELI</v>
      </c>
      <c r="H4472" s="42">
        <f t="shared" si="1"/>
        <v>1975</v>
      </c>
    </row>
    <row r="4473" ht="22.5" customHeight="1">
      <c r="B4473" s="42" t="str">
        <f>IFERROR(__xludf.DUMMYFUNCTION("""COMPUTED_VALUE"""),"K/40/230525/1")</f>
        <v>K/40/230525/1</v>
      </c>
      <c r="C4473" s="42" t="str">
        <f>IFERROR(__xludf.DUMMYFUNCTION("""COMPUTED_VALUE"""),"M.1474/JAGABAYA III")</f>
        <v>M.1474/JAGABAYA III</v>
      </c>
      <c r="D4473" s="42" t="str">
        <f>IFERROR(__xludf.DUMMYFUNCTION("""COMPUTED_VALUE"""),"Berry")</f>
        <v>Berry</v>
      </c>
      <c r="E4473" s="42" t="str">
        <f>IFERROR(__xludf.DUMMYFUNCTION("""COMPUTED_VALUE"""),"DISERAHKAN")</f>
        <v>DISERAHKAN</v>
      </c>
      <c r="F4473" s="48">
        <f>IFERROR(__xludf.DUMMYFUNCTION("""COMPUTED_VALUE"""),45834.43719795139)</f>
        <v>45834.4372</v>
      </c>
      <c r="G4473" s="42" t="str">
        <f>IFERROR(__xludf.DUMMYFUNCTION("""COMPUTED_VALUE"""),"BN WARIS")</f>
        <v>BN WARIS</v>
      </c>
      <c r="H4473" s="42">
        <f t="shared" si="1"/>
        <v>1976</v>
      </c>
    </row>
    <row r="4474" ht="22.5" customHeight="1">
      <c r="B4474" s="42" t="str">
        <f>IFERROR(__xludf.DUMMYFUNCTION("""COMPUTED_VALUE"""),"K/41/230525/1")</f>
        <v>K/41/230525/1</v>
      </c>
      <c r="C4474" s="42" t="str">
        <f>IFERROR(__xludf.DUMMYFUNCTION("""COMPUTED_VALUE"""),"M. 1328/TANJUNGKARANG")</f>
        <v>M. 1328/TANJUNGKARANG</v>
      </c>
      <c r="D4474" s="42"/>
      <c r="E4474" s="42"/>
      <c r="F4474" s="48" t="str">
        <f>IFERROR(__xludf.DUMMYFUNCTION("""COMPUTED_VALUE"""),"")</f>
        <v/>
      </c>
      <c r="G4474" s="42" t="str">
        <f>IFERROR(__xludf.DUMMYFUNCTION("""COMPUTED_VALUE"""),"SKPT LELANG")</f>
        <v>SKPT LELANG</v>
      </c>
      <c r="H4474" s="42">
        <f t="shared" si="1"/>
        <v>1976</v>
      </c>
    </row>
    <row r="4475" ht="22.5" customHeight="1">
      <c r="B4475" s="42" t="str">
        <f>IFERROR(__xludf.DUMMYFUNCTION("""COMPUTED_VALUE"""),"K/42/230525/2")</f>
        <v>K/42/230525/2</v>
      </c>
      <c r="C4475" s="42" t="str">
        <f>IFERROR(__xludf.DUMMYFUNCTION("""COMPUTED_VALUE"""),"M. 299/LABUHAN RATU RAYA")</f>
        <v>M. 299/LABUHAN RATU RAYA</v>
      </c>
      <c r="D4475" s="42"/>
      <c r="E4475" s="42"/>
      <c r="F4475" s="48" t="str">
        <f>IFERROR(__xludf.DUMMYFUNCTION("""COMPUTED_VALUE"""),"")</f>
        <v/>
      </c>
      <c r="G4475" s="42" t="str">
        <f>IFERROR(__xludf.DUMMYFUNCTION("""COMPUTED_VALUE"""),"SKPT LELANG")</f>
        <v>SKPT LELANG</v>
      </c>
      <c r="H4475" s="42">
        <f t="shared" si="1"/>
        <v>1976</v>
      </c>
    </row>
    <row r="4476" ht="22.5" customHeight="1">
      <c r="B4476" s="42" t="str">
        <f>IFERROR(__xludf.DUMMYFUNCTION("""COMPUTED_VALUE"""),"K/43/230525/3")</f>
        <v>K/43/230525/3</v>
      </c>
      <c r="C4476" s="42" t="str">
        <f>IFERROR(__xludf.DUMMYFUNCTION("""COMPUTED_VALUE"""),"B. 2333/CAMPANG RAYA")</f>
        <v>B. 2333/CAMPANG RAYA</v>
      </c>
      <c r="D4476" s="42"/>
      <c r="E4476" s="42"/>
      <c r="F4476" s="48" t="str">
        <f>IFERROR(__xludf.DUMMYFUNCTION("""COMPUTED_VALUE"""),"")</f>
        <v/>
      </c>
      <c r="G4476" s="42" t="str">
        <f>IFERROR(__xludf.DUMMYFUNCTION("""COMPUTED_VALUE"""),"SKPT LELANG")</f>
        <v>SKPT LELANG</v>
      </c>
      <c r="H4476" s="42">
        <f t="shared" si="1"/>
        <v>1976</v>
      </c>
    </row>
    <row r="4477" ht="22.5" customHeight="1">
      <c r="B4477" s="42" t="str">
        <f>IFERROR(__xludf.DUMMYFUNCTION("""COMPUTED_VALUE"""),"K/44/230525/4")</f>
        <v>K/44/230525/4</v>
      </c>
      <c r="C4477" s="42" t="str">
        <f>IFERROR(__xludf.DUMMYFUNCTION("""COMPUTED_VALUE"""),"M. 1343/SUKABUMI INDAH")</f>
        <v>M. 1343/SUKABUMI INDAH</v>
      </c>
      <c r="D4477" s="42"/>
      <c r="E4477" s="42"/>
      <c r="F4477" s="48" t="str">
        <f>IFERROR(__xludf.DUMMYFUNCTION("""COMPUTED_VALUE"""),"")</f>
        <v/>
      </c>
      <c r="G4477" s="42" t="str">
        <f>IFERROR(__xludf.DUMMYFUNCTION("""COMPUTED_VALUE"""),"SKPT LELANG")</f>
        <v>SKPT LELANG</v>
      </c>
      <c r="H4477" s="42">
        <f t="shared" si="1"/>
        <v>1976</v>
      </c>
    </row>
    <row r="4478" ht="22.5" customHeight="1">
      <c r="B4478" s="42" t="str">
        <f>IFERROR(__xludf.DUMMYFUNCTION("""COMPUTED_VALUE"""),"K/45/230525/1")</f>
        <v>K/45/230525/1</v>
      </c>
      <c r="C4478" s="42" t="str">
        <f>IFERROR(__xludf.DUMMYFUNCTION("""COMPUTED_VALUE"""),"M.807/PERWATA")</f>
        <v>M.807/PERWATA</v>
      </c>
      <c r="D4478" s="42" t="str">
        <f>IFERROR(__xludf.DUMMYFUNCTION("""COMPUTED_VALUE"""),"Berry")</f>
        <v>Berry</v>
      </c>
      <c r="E4478" s="42" t="str">
        <f>IFERROR(__xludf.DUMMYFUNCTION("""COMPUTED_VALUE"""),"DISERAHKAN")</f>
        <v>DISERAHKAN</v>
      </c>
      <c r="F4478" s="48">
        <f>IFERROR(__xludf.DUMMYFUNCTION("""COMPUTED_VALUE"""),45820.465700381945)</f>
        <v>45820.4657</v>
      </c>
      <c r="G4478" s="42" t="str">
        <f>IFERROR(__xludf.DUMMYFUNCTION("""COMPUTED_VALUE"""),"BN JUAL BELI")</f>
        <v>BN JUAL BELI</v>
      </c>
      <c r="H4478" s="42">
        <f t="shared" si="1"/>
        <v>1977</v>
      </c>
    </row>
    <row r="4479" ht="22.5" customHeight="1">
      <c r="B4479" s="42" t="str">
        <f>IFERROR(__xludf.DUMMYFUNCTION("""COMPUTED_VALUE"""),"K/1/260525/1")</f>
        <v>K/1/260525/1</v>
      </c>
      <c r="C4479" s="42" t="str">
        <f>IFERROR(__xludf.DUMMYFUNCTION("""COMPUTED_VALUE"""),"B.337/TANJUNG GADING")</f>
        <v>B.337/TANJUNG GADING</v>
      </c>
      <c r="D4479" s="42"/>
      <c r="E4479" s="42"/>
      <c r="F4479" s="48" t="str">
        <f>IFERROR(__xludf.DUMMYFUNCTION("""COMPUTED_VALUE"""),"")</f>
        <v/>
      </c>
      <c r="G4479" s="42" t="str">
        <f>IFERROR(__xludf.DUMMYFUNCTION("""COMPUTED_VALUE"""),"SKPT INFORMASI ")</f>
        <v>SKPT INFORMASI </v>
      </c>
      <c r="H4479" s="42">
        <f t="shared" si="1"/>
        <v>1977</v>
      </c>
    </row>
    <row r="4480" ht="22.5" customHeight="1">
      <c r="B4480" s="42" t="str">
        <f>IFERROR(__xludf.DUMMYFUNCTION("""COMPUTED_VALUE"""),"K/2/260525/2")</f>
        <v>K/2/260525/2</v>
      </c>
      <c r="C4480" s="42" t="str">
        <f>IFERROR(__xludf.DUMMYFUNCTION("""COMPUTED_VALUE"""),"B.328/TANJUNG GADING")</f>
        <v>B.328/TANJUNG GADING</v>
      </c>
      <c r="D4480" s="42"/>
      <c r="E4480" s="42"/>
      <c r="F4480" s="48" t="str">
        <f>IFERROR(__xludf.DUMMYFUNCTION("""COMPUTED_VALUE"""),"")</f>
        <v/>
      </c>
      <c r="G4480" s="42" t="str">
        <f>IFERROR(__xludf.DUMMYFUNCTION("""COMPUTED_VALUE"""),"SKPT INFORMASI ")</f>
        <v>SKPT INFORMASI </v>
      </c>
      <c r="H4480" s="42">
        <f t="shared" si="1"/>
        <v>1977</v>
      </c>
    </row>
    <row r="4481" ht="22.5" customHeight="1">
      <c r="B4481" s="42" t="str">
        <f>IFERROR(__xludf.DUMMYFUNCTION("""COMPUTED_VALUE"""),"K/3/260525/3")</f>
        <v>K/3/260525/3</v>
      </c>
      <c r="C4481" s="42" t="str">
        <f>IFERROR(__xludf.DUMMYFUNCTION("""COMPUTED_VALUE"""),"B.327/TANJUNG GADING")</f>
        <v>B.327/TANJUNG GADING</v>
      </c>
      <c r="D4481" s="42"/>
      <c r="E4481" s="42"/>
      <c r="F4481" s="48" t="str">
        <f>IFERROR(__xludf.DUMMYFUNCTION("""COMPUTED_VALUE"""),"")</f>
        <v/>
      </c>
      <c r="G4481" s="42" t="str">
        <f>IFERROR(__xludf.DUMMYFUNCTION("""COMPUTED_VALUE"""),"SKPT INFORMASI ")</f>
        <v>SKPT INFORMASI </v>
      </c>
      <c r="H4481" s="42">
        <f t="shared" si="1"/>
        <v>1977</v>
      </c>
    </row>
    <row r="4482" ht="22.5" customHeight="1">
      <c r="B4482" s="42" t="str">
        <f>IFERROR(__xludf.DUMMYFUNCTION("""COMPUTED_VALUE"""),"K/4/260525/4")</f>
        <v>K/4/260525/4</v>
      </c>
      <c r="C4482" s="42" t="str">
        <f>IFERROR(__xludf.DUMMYFUNCTION("""COMPUTED_VALUE"""),"B.338/TANJUNG GADING")</f>
        <v>B.338/TANJUNG GADING</v>
      </c>
      <c r="D4482" s="42"/>
      <c r="E4482" s="42"/>
      <c r="F4482" s="48" t="str">
        <f>IFERROR(__xludf.DUMMYFUNCTION("""COMPUTED_VALUE"""),"")</f>
        <v/>
      </c>
      <c r="G4482" s="42" t="str">
        <f>IFERROR(__xludf.DUMMYFUNCTION("""COMPUTED_VALUE"""),"SKPT INFORMASI ")</f>
        <v>SKPT INFORMASI </v>
      </c>
      <c r="H4482" s="42">
        <f t="shared" si="1"/>
        <v>1977</v>
      </c>
    </row>
    <row r="4483" ht="22.5" customHeight="1">
      <c r="B4483" s="42" t="str">
        <f>IFERROR(__xludf.DUMMYFUNCTION("""COMPUTED_VALUE"""),"K/5/260525/5")</f>
        <v>K/5/260525/5</v>
      </c>
      <c r="C4483" s="42" t="str">
        <f>IFERROR(__xludf.DUMMYFUNCTION("""COMPUTED_VALUE"""),"B.302/TANJUNG GADING")</f>
        <v>B.302/TANJUNG GADING</v>
      </c>
      <c r="D4483" s="42"/>
      <c r="E4483" s="42"/>
      <c r="F4483" s="48" t="str">
        <f>IFERROR(__xludf.DUMMYFUNCTION("""COMPUTED_VALUE"""),"")</f>
        <v/>
      </c>
      <c r="G4483" s="42" t="str">
        <f>IFERROR(__xludf.DUMMYFUNCTION("""COMPUTED_VALUE"""),"SKPT INFORMASI ")</f>
        <v>SKPT INFORMASI </v>
      </c>
      <c r="H4483" s="42">
        <f t="shared" si="1"/>
        <v>1977</v>
      </c>
    </row>
    <row r="4484" ht="22.5" customHeight="1">
      <c r="B4484" s="42" t="str">
        <f>IFERROR(__xludf.DUMMYFUNCTION("""COMPUTED_VALUE"""),"K/6/260525/1")</f>
        <v>K/6/260525/1</v>
      </c>
      <c r="C4484" s="42" t="str">
        <f>IFERROR(__xludf.DUMMYFUNCTION("""COMPUTED_VALUE"""),"B. 317/ Pematang Wangi")</f>
        <v>B. 317/ Pematang Wangi</v>
      </c>
      <c r="D4484" s="42" t="str">
        <f>IFERROR(__xludf.DUMMYFUNCTION("""COMPUTED_VALUE"""),"Berry")</f>
        <v>Berry</v>
      </c>
      <c r="E4484" s="42" t="str">
        <f>IFERROR(__xludf.DUMMYFUNCTION("""COMPUTED_VALUE"""),"DISERAHKAN")</f>
        <v>DISERAHKAN</v>
      </c>
      <c r="F4484" s="48">
        <f>IFERROR(__xludf.DUMMYFUNCTION("""COMPUTED_VALUE"""),45825.61446939815)</f>
        <v>45825.61447</v>
      </c>
      <c r="G4484" s="42" t="str">
        <f>IFERROR(__xludf.DUMMYFUNCTION("""COMPUTED_VALUE"""),"Perubahan Hak")</f>
        <v>Perubahan Hak</v>
      </c>
      <c r="H4484" s="42">
        <f t="shared" si="1"/>
        <v>1978</v>
      </c>
    </row>
    <row r="4485" ht="22.5" customHeight="1">
      <c r="B4485" s="42" t="str">
        <f>IFERROR(__xludf.DUMMYFUNCTION("""COMPUTED_VALUE"""),"L/7/260525/1")</f>
        <v>L/7/260525/1</v>
      </c>
      <c r="C4485" s="42" t="str">
        <f>IFERROR(__xludf.DUMMYFUNCTION("""COMPUTED_VALUE"""),"NIB 20797/RAJABASA PEMUKA")</f>
        <v>NIB 20797/RAJABASA PEMUKA</v>
      </c>
      <c r="D4485" s="42"/>
      <c r="E4485" s="42"/>
      <c r="F4485" s="48" t="str">
        <f>IFERROR(__xludf.DUMMYFUNCTION("""COMPUTED_VALUE"""),"")</f>
        <v/>
      </c>
      <c r="G4485" s="42" t="str">
        <f>IFERROR(__xludf.DUMMYFUNCTION("""COMPUTED_VALUE"""),"ROYA")</f>
        <v>ROYA</v>
      </c>
      <c r="H4485" s="42">
        <f t="shared" si="1"/>
        <v>1978</v>
      </c>
    </row>
    <row r="4486" ht="22.5" customHeight="1">
      <c r="B4486" s="42" t="str">
        <f>IFERROR(__xludf.DUMMYFUNCTION("""COMPUTED_VALUE"""),"K/8/260525/1")</f>
        <v>K/8/260525/1</v>
      </c>
      <c r="C4486" s="42" t="str">
        <f>IFERROR(__xludf.DUMMYFUNCTION("""COMPUTED_VALUE"""),"M. 1359/ Pinag Jaya")</f>
        <v>M. 1359/ Pinag Jaya</v>
      </c>
      <c r="D4486" s="42" t="str">
        <f>IFERROR(__xludf.DUMMYFUNCTION("""COMPUTED_VALUE"""),"Berry")</f>
        <v>Berry</v>
      </c>
      <c r="E4486" s="42" t="str">
        <f>IFERROR(__xludf.DUMMYFUNCTION("""COMPUTED_VALUE"""),"DISERAHKAN")</f>
        <v>DISERAHKAN</v>
      </c>
      <c r="F4486" s="48">
        <f>IFERROR(__xludf.DUMMYFUNCTION("""COMPUTED_VALUE"""),45819.617880011574)</f>
        <v>45819.61788</v>
      </c>
      <c r="G4486" s="42" t="str">
        <f>IFERROR(__xludf.DUMMYFUNCTION("""COMPUTED_VALUE"""),"BN Jual Beli")</f>
        <v>BN Jual Beli</v>
      </c>
      <c r="H4486" s="42">
        <f t="shared" si="1"/>
        <v>1979</v>
      </c>
    </row>
    <row r="4487" ht="22.5" customHeight="1">
      <c r="B4487" s="42" t="str">
        <f>IFERROR(__xludf.DUMMYFUNCTION("""COMPUTED_VALUE"""),"K/9/260525/1")</f>
        <v>K/9/260525/1</v>
      </c>
      <c r="C4487" s="42" t="str">
        <f>IFERROR(__xludf.DUMMYFUNCTION("""COMPUTED_VALUE"""),"GUNUNG TERANG")</f>
        <v>GUNUNG TERANG</v>
      </c>
      <c r="D4487" s="42"/>
      <c r="E4487" s="42"/>
      <c r="F4487" s="48" t="str">
        <f>IFERROR(__xludf.DUMMYFUNCTION("""COMPUTED_VALUE"""),"")</f>
        <v/>
      </c>
      <c r="G4487" s="42" t="str">
        <f>IFERROR(__xludf.DUMMYFUNCTION("""COMPUTED_VALUE"""),"TANAH MENTAH")</f>
        <v>TANAH MENTAH</v>
      </c>
      <c r="H4487" s="42">
        <f t="shared" si="1"/>
        <v>1979</v>
      </c>
    </row>
    <row r="4488" ht="22.5" customHeight="1">
      <c r="B4488" s="42" t="str">
        <f>IFERROR(__xludf.DUMMYFUNCTION("""COMPUTED_VALUE"""),"L/10/260525/1")</f>
        <v>L/10/260525/1</v>
      </c>
      <c r="C4488" s="42" t="str">
        <f>IFERROR(__xludf.DUMMYFUNCTION("""COMPUTED_VALUE"""),"NIB 21392/SUKARAME II")</f>
        <v>NIB 21392/SUKARAME II</v>
      </c>
      <c r="D4488" s="42"/>
      <c r="E4488" s="42"/>
      <c r="F4488" s="48" t="str">
        <f>IFERROR(__xludf.DUMMYFUNCTION("""COMPUTED_VALUE"""),"")</f>
        <v/>
      </c>
      <c r="G4488" s="42" t="str">
        <f>IFERROR(__xludf.DUMMYFUNCTION("""COMPUTED_VALUE"""),"BN LELANG")</f>
        <v>BN LELANG</v>
      </c>
      <c r="H4488" s="42">
        <f t="shared" si="1"/>
        <v>1979</v>
      </c>
    </row>
    <row r="4489" ht="22.5" customHeight="1">
      <c r="B4489" s="42" t="str">
        <f>IFERROR(__xludf.DUMMYFUNCTION("""COMPUTED_VALUE"""),"K/12/260525/1")</f>
        <v>K/12/260525/1</v>
      </c>
      <c r="C4489" s="42" t="str">
        <f>IFERROR(__xludf.DUMMYFUNCTION("""COMPUTED_VALUE"""),"HM 186/LABUHAN RATU RAYA")</f>
        <v>HM 186/LABUHAN RATU RAYA</v>
      </c>
      <c r="D4489" s="42"/>
      <c r="E4489" s="42"/>
      <c r="F4489" s="48" t="str">
        <f>IFERROR(__xludf.DUMMYFUNCTION("""COMPUTED_VALUE"""),"")</f>
        <v/>
      </c>
      <c r="G4489" s="42" t="str">
        <f>IFERROR(__xludf.DUMMYFUNCTION("""COMPUTED_VALUE"""),"SERTIPIKAT HILANG")</f>
        <v>SERTIPIKAT HILANG</v>
      </c>
      <c r="H4489" s="42">
        <f t="shared" si="1"/>
        <v>1979</v>
      </c>
    </row>
    <row r="4490" ht="22.5" customHeight="1">
      <c r="B4490" s="42" t="str">
        <f>IFERROR(__xludf.DUMMYFUNCTION("""COMPUTED_VALUE"""),"K/11/260525/1")</f>
        <v>K/11/260525/1</v>
      </c>
      <c r="C4490" s="42" t="str">
        <f>IFERROR(__xludf.DUMMYFUNCTION("""COMPUTED_VALUE"""),"NIBEL B. 95/SUMBERREJO SEJAHTERA")</f>
        <v>NIBEL B. 95/SUMBERREJO SEJAHTERA</v>
      </c>
      <c r="D4490" s="42"/>
      <c r="E4490" s="42"/>
      <c r="F4490" s="48" t="str">
        <f>IFERROR(__xludf.DUMMYFUNCTION("""COMPUTED_VALUE"""),"")</f>
        <v/>
      </c>
      <c r="G4490" s="42" t="str">
        <f>IFERROR(__xludf.DUMMYFUNCTION("""COMPUTED_VALUE"""),"BN HIBAH")</f>
        <v>BN HIBAH</v>
      </c>
      <c r="H4490" s="42">
        <f t="shared" si="1"/>
        <v>1979</v>
      </c>
    </row>
    <row r="4491" ht="22.5" customHeight="1">
      <c r="B4491" s="42" t="str">
        <f>IFERROR(__xludf.DUMMYFUNCTION("""COMPUTED_VALUE"""),"K/13/260525/1")</f>
        <v>K/13/260525/1</v>
      </c>
      <c r="C4491" s="42" t="str">
        <f>IFERROR(__xludf.DUMMYFUNCTION("""COMPUTED_VALUE"""),"M. 503/ Kupang Raya")</f>
        <v>M. 503/ Kupang Raya</v>
      </c>
      <c r="D4491" s="42"/>
      <c r="E4491" s="42"/>
      <c r="F4491" s="48" t="str">
        <f>IFERROR(__xludf.DUMMYFUNCTION("""COMPUTED_VALUE"""),"")</f>
        <v/>
      </c>
      <c r="G4491" s="42" t="str">
        <f>IFERROR(__xludf.DUMMYFUNCTION("""COMPUTED_VALUE"""),"Hapus BPHTB")</f>
        <v>Hapus BPHTB</v>
      </c>
      <c r="H4491" s="42">
        <f t="shared" si="1"/>
        <v>1979</v>
      </c>
    </row>
    <row r="4492" ht="22.5" customHeight="1">
      <c r="B4492" s="42" t="str">
        <f>IFERROR(__xludf.DUMMYFUNCTION("""COMPUTED_VALUE"""),"K/18/260525/1")</f>
        <v>K/18/260525/1</v>
      </c>
      <c r="C4492" s="42" t="str">
        <f>IFERROR(__xludf.DUMMYFUNCTION("""COMPUTED_VALUE"""),"SUKARAJA")</f>
        <v>SUKARAJA</v>
      </c>
      <c r="D4492" s="42"/>
      <c r="E4492" s="42"/>
      <c r="F4492" s="48" t="str">
        <f>IFERROR(__xludf.DUMMYFUNCTION("""COMPUTED_VALUE"""),"")</f>
        <v/>
      </c>
      <c r="G4492" s="42" t="str">
        <f>IFERROR(__xludf.DUMMYFUNCTION("""COMPUTED_VALUE"""),"PENGUKURAN PERTAMA KALI")</f>
        <v>PENGUKURAN PERTAMA KALI</v>
      </c>
      <c r="H4492" s="42">
        <f t="shared" si="1"/>
        <v>1979</v>
      </c>
    </row>
    <row r="4493" ht="22.5" customHeight="1">
      <c r="B4493" s="42" t="str">
        <f>IFERROR(__xludf.DUMMYFUNCTION("""COMPUTED_VALUE"""),"K/15/260525/1")</f>
        <v>K/15/260525/1</v>
      </c>
      <c r="C4493" s="42" t="str">
        <f>IFERROR(__xludf.DUMMYFUNCTION("""COMPUTED_VALUE"""),"M. 14000/ Tanjung Baru")</f>
        <v>M. 14000/ Tanjung Baru</v>
      </c>
      <c r="D4493" s="42" t="str">
        <f>IFERROR(__xludf.DUMMYFUNCTION("""COMPUTED_VALUE"""),"David")</f>
        <v>David</v>
      </c>
      <c r="E4493" s="42" t="str">
        <f>IFERROR(__xludf.DUMMYFUNCTION("""COMPUTED_VALUE"""),"DISERAHKAN")</f>
        <v>DISERAHKAN</v>
      </c>
      <c r="F4493" s="48">
        <f>IFERROR(__xludf.DUMMYFUNCTION("""COMPUTED_VALUE"""),45849.460685266204)</f>
        <v>45849.46069</v>
      </c>
      <c r="G4493" s="42" t="str">
        <f>IFERROR(__xludf.DUMMYFUNCTION("""COMPUTED_VALUE"""),"BN Jual Beli")</f>
        <v>BN Jual Beli</v>
      </c>
      <c r="H4493" s="42">
        <f t="shared" si="1"/>
        <v>1980</v>
      </c>
    </row>
    <row r="4494" ht="22.5" customHeight="1">
      <c r="B4494" s="42" t="str">
        <f>IFERROR(__xludf.DUMMYFUNCTION("""COMPUTED_VALUE"""),"K/16/260525/2")</f>
        <v>K/16/260525/2</v>
      </c>
      <c r="C4494" s="42" t="str">
        <f>IFERROR(__xludf.DUMMYFUNCTION("""COMPUTED_VALUE"""),"Nibel. M. 12263/ Gunung Agung")</f>
        <v>Nibel. M. 12263/ Gunung Agung</v>
      </c>
      <c r="D4494" s="42"/>
      <c r="E4494" s="42"/>
      <c r="F4494" s="48" t="str">
        <f>IFERROR(__xludf.DUMMYFUNCTION("""COMPUTED_VALUE"""),"")</f>
        <v/>
      </c>
      <c r="G4494" s="42" t="str">
        <f>IFERROR(__xludf.DUMMYFUNCTION("""COMPUTED_VALUE"""),"BN Jual Beli")</f>
        <v>BN Jual Beli</v>
      </c>
      <c r="H4494" s="42">
        <f t="shared" si="1"/>
        <v>1980</v>
      </c>
    </row>
    <row r="4495" ht="22.5" customHeight="1">
      <c r="B4495" s="42" t="str">
        <f>IFERROR(__xludf.DUMMYFUNCTION("""COMPUTED_VALUE"""),"K/17/260525/3")</f>
        <v>K/17/260525/3</v>
      </c>
      <c r="C4495" s="42" t="str">
        <f>IFERROR(__xludf.DUMMYFUNCTION("""COMPUTED_VALUE"""),"Nibel. M. 17363/ Labuhan Dalam")</f>
        <v>Nibel. M. 17363/ Labuhan Dalam</v>
      </c>
      <c r="D4495" s="42"/>
      <c r="E4495" s="42"/>
      <c r="F4495" s="48" t="str">
        <f>IFERROR(__xludf.DUMMYFUNCTION("""COMPUTED_VALUE"""),"")</f>
        <v/>
      </c>
      <c r="G4495" s="42" t="str">
        <f>IFERROR(__xludf.DUMMYFUNCTION("""COMPUTED_VALUE"""),"BN Jual Beli")</f>
        <v>BN Jual Beli</v>
      </c>
      <c r="H4495" s="42">
        <f t="shared" si="1"/>
        <v>1980</v>
      </c>
    </row>
    <row r="4496" ht="22.5" customHeight="1">
      <c r="B4496" s="42" t="str">
        <f>IFERROR(__xludf.DUMMYFUNCTION("""COMPUTED_VALUE"""),"L/19/260525/1")</f>
        <v>L/19/260525/1</v>
      </c>
      <c r="C4496" s="42" t="str">
        <f>IFERROR(__xludf.DUMMYFUNCTION("""COMPUTED_VALUE"""),"HGB 283/KAMPUNG BARU")</f>
        <v>HGB 283/KAMPUNG BARU</v>
      </c>
      <c r="D4496" s="42" t="str">
        <f>IFERROR(__xludf.DUMMYFUNCTION("""COMPUTED_VALUE"""),"David")</f>
        <v>David</v>
      </c>
      <c r="E4496" s="42" t="str">
        <f>IFERROR(__xludf.DUMMYFUNCTION("""COMPUTED_VALUE"""),"DISERAHKAN")</f>
        <v>DISERAHKAN</v>
      </c>
      <c r="F4496" s="48">
        <f>IFERROR(__xludf.DUMMYFUNCTION("""COMPUTED_VALUE"""),45832.53448325231)</f>
        <v>45832.53448</v>
      </c>
      <c r="G4496" s="42" t="str">
        <f>IFERROR(__xludf.DUMMYFUNCTION("""COMPUTED_VALUE"""),"ROYA")</f>
        <v>ROYA</v>
      </c>
      <c r="H4496" s="42">
        <f t="shared" si="1"/>
        <v>1981</v>
      </c>
    </row>
    <row r="4497" ht="22.5" customHeight="1">
      <c r="B4497" s="42" t="str">
        <f>IFERROR(__xludf.DUMMYFUNCTION("""COMPUTED_VALUE"""),"K/14/260525/1")</f>
        <v>K/14/260525/1</v>
      </c>
      <c r="C4497" s="42" t="str">
        <f>IFERROR(__xludf.DUMMYFUNCTION("""COMPUTED_VALUE"""),"M. 14197/ Kedamaian")</f>
        <v>M. 14197/ Kedamaian</v>
      </c>
      <c r="D4497" s="42"/>
      <c r="E4497" s="42"/>
      <c r="F4497" s="48" t="str">
        <f>IFERROR(__xludf.DUMMYFUNCTION("""COMPUTED_VALUE"""),"")</f>
        <v/>
      </c>
      <c r="G4497" s="42" t="str">
        <f>IFERROR(__xludf.DUMMYFUNCTION("""COMPUTED_VALUE"""),"Pemecahan")</f>
        <v>Pemecahan</v>
      </c>
      <c r="H4497" s="42">
        <f t="shared" si="1"/>
        <v>1981</v>
      </c>
    </row>
    <row r="4498" ht="22.5" customHeight="1">
      <c r="B4498" s="42" t="str">
        <f>IFERROR(__xludf.DUMMYFUNCTION("""COMPUTED_VALUE"""),"K/20/260525/1")</f>
        <v>K/20/260525/1</v>
      </c>
      <c r="C4498" s="42" t="str">
        <f>IFERROR(__xludf.DUMMYFUNCTION("""COMPUTED_VALUE"""),"B.193/LABUHAN RATU RAYA")</f>
        <v>B.193/LABUHAN RATU RAYA</v>
      </c>
      <c r="D4498" s="42"/>
      <c r="E4498" s="42"/>
      <c r="F4498" s="48" t="str">
        <f>IFERROR(__xludf.DUMMYFUNCTION("""COMPUTED_VALUE"""),"")</f>
        <v/>
      </c>
      <c r="G4498" s="42" t="str">
        <f>IFERROR(__xludf.DUMMYFUNCTION("""COMPUTED_VALUE"""),"PEMECAHAN")</f>
        <v>PEMECAHAN</v>
      </c>
      <c r="H4498" s="42">
        <f t="shared" si="1"/>
        <v>1981</v>
      </c>
    </row>
    <row r="4499" ht="22.5" customHeight="1">
      <c r="B4499" s="42" t="str">
        <f>IFERROR(__xludf.DUMMYFUNCTION("""COMPUTED_VALUE"""),"K/21/260525/1")</f>
        <v>K/21/260525/1</v>
      </c>
      <c r="C4499" s="42" t="str">
        <f>IFERROR(__xludf.DUMMYFUNCTION("""COMPUTED_VALUE"""),"M.10270/LABUHAN RATU")</f>
        <v>M.10270/LABUHAN RATU</v>
      </c>
      <c r="D4499" s="42"/>
      <c r="E4499" s="42"/>
      <c r="F4499" s="48" t="str">
        <f>IFERROR(__xludf.DUMMYFUNCTION("""COMPUTED_VALUE"""),"")</f>
        <v/>
      </c>
      <c r="G4499" s="42" t="str">
        <f>IFERROR(__xludf.DUMMYFUNCTION("""COMPUTED_VALUE"""),"ROYA")</f>
        <v>ROYA</v>
      </c>
      <c r="H4499" s="42">
        <f t="shared" si="1"/>
        <v>1981</v>
      </c>
    </row>
    <row r="4500" ht="22.5" customHeight="1">
      <c r="B4500" s="42" t="str">
        <f>IFERROR(__xludf.DUMMYFUNCTION("""COMPUTED_VALUE"""),"K/25/260525/1")</f>
        <v>K/25/260525/1</v>
      </c>
      <c r="C4500" s="42" t="str">
        <f>IFERROR(__xludf.DUMMYFUNCTION("""COMPUTED_VALUE"""),"B. 339/ Tanjung Gading")</f>
        <v>B. 339/ Tanjung Gading</v>
      </c>
      <c r="D4500" s="42"/>
      <c r="E4500" s="42"/>
      <c r="F4500" s="48" t="str">
        <f>IFERROR(__xludf.DUMMYFUNCTION("""COMPUTED_VALUE"""),"")</f>
        <v/>
      </c>
      <c r="G4500" s="42" t="str">
        <f>IFERROR(__xludf.DUMMYFUNCTION("""COMPUTED_VALUE"""),"SKPT Informasi")</f>
        <v>SKPT Informasi</v>
      </c>
      <c r="H4500" s="42">
        <f t="shared" si="1"/>
        <v>1981</v>
      </c>
    </row>
    <row r="4501" ht="22.5" customHeight="1">
      <c r="B4501" s="42" t="str">
        <f>IFERROR(__xludf.DUMMYFUNCTION("""COMPUTED_VALUE"""),"K/22/260525/2")</f>
        <v>K/22/260525/2</v>
      </c>
      <c r="C4501" s="42" t="str">
        <f>IFERROR(__xludf.DUMMYFUNCTION("""COMPUTED_VALUE"""),"M. 10309/LABUHAN RATU")</f>
        <v>M. 10309/LABUHAN RATU</v>
      </c>
      <c r="D4501" s="42"/>
      <c r="E4501" s="42"/>
      <c r="F4501" s="48" t="str">
        <f>IFERROR(__xludf.DUMMYFUNCTION("""COMPUTED_VALUE"""),"")</f>
        <v/>
      </c>
      <c r="G4501" s="42" t="str">
        <f>IFERROR(__xludf.DUMMYFUNCTION("""COMPUTED_VALUE"""),"ROYA")</f>
        <v>ROYA</v>
      </c>
      <c r="H4501" s="42">
        <f t="shared" si="1"/>
        <v>1981</v>
      </c>
    </row>
    <row r="4502" ht="22.5" customHeight="1">
      <c r="B4502" s="42" t="str">
        <f>IFERROR(__xludf.DUMMYFUNCTION("""COMPUTED_VALUE"""),"K/23/260525/3")</f>
        <v>K/23/260525/3</v>
      </c>
      <c r="C4502" s="42" t="str">
        <f>IFERROR(__xludf.DUMMYFUNCTION("""COMPUTED_VALUE"""),"M. 10308/LABUHAN RATU")</f>
        <v>M. 10308/LABUHAN RATU</v>
      </c>
      <c r="D4502" s="42" t="str">
        <f>IFERROR(__xludf.DUMMYFUNCTION("""COMPUTED_VALUE"""),"David")</f>
        <v>David</v>
      </c>
      <c r="E4502" s="42" t="str">
        <f>IFERROR(__xludf.DUMMYFUNCTION("""COMPUTED_VALUE"""),"DISERAHKAN")</f>
        <v>DISERAHKAN</v>
      </c>
      <c r="F4502" s="48">
        <f>IFERROR(__xludf.DUMMYFUNCTION("""COMPUTED_VALUE"""),45842.58868144676)</f>
        <v>45842.58868</v>
      </c>
      <c r="G4502" s="42" t="str">
        <f>IFERROR(__xludf.DUMMYFUNCTION("""COMPUTED_VALUE"""),"ROYA")</f>
        <v>ROYA</v>
      </c>
      <c r="H4502" s="42">
        <f t="shared" si="1"/>
        <v>1982</v>
      </c>
    </row>
    <row r="4503" ht="22.5" customHeight="1">
      <c r="B4503" s="42" t="str">
        <f>IFERROR(__xludf.DUMMYFUNCTION("""COMPUTED_VALUE"""),"K/26/260525/1")</f>
        <v>K/26/260525/1</v>
      </c>
      <c r="C4503" s="42" t="str">
        <f>IFERROR(__xludf.DUMMYFUNCTION("""COMPUTED_VALUE"""),"NIBEL B.20871/SUKARAME BARU")</f>
        <v>NIBEL B.20871/SUKARAME BARU</v>
      </c>
      <c r="D4503" s="42"/>
      <c r="E4503" s="42"/>
      <c r="F4503" s="48" t="str">
        <f>IFERROR(__xludf.DUMMYFUNCTION("""COMPUTED_VALUE"""),"")</f>
        <v/>
      </c>
      <c r="G4503" s="42" t="str">
        <f>IFERROR(__xludf.DUMMYFUNCTION("""COMPUTED_VALUE"""),"PENINGKATANHAK")</f>
        <v>PENINGKATANHAK</v>
      </c>
      <c r="H4503" s="42">
        <f t="shared" si="1"/>
        <v>1982</v>
      </c>
    </row>
    <row r="4504" ht="22.5" customHeight="1">
      <c r="B4504" s="42" t="str">
        <f>IFERROR(__xludf.DUMMYFUNCTION("""COMPUTED_VALUE"""),"L/27/260525/1")</f>
        <v>L/27/260525/1</v>
      </c>
      <c r="C4504" s="42" t="str">
        <f>IFERROR(__xludf.DUMMYFUNCTION("""COMPUTED_VALUE"""),"HGB 4953/SUKARAME")</f>
        <v>HGB 4953/SUKARAME</v>
      </c>
      <c r="D4504" s="42" t="str">
        <f>IFERROR(__xludf.DUMMYFUNCTION("""COMPUTED_VALUE"""),"David")</f>
        <v>David</v>
      </c>
      <c r="E4504" s="42" t="str">
        <f>IFERROR(__xludf.DUMMYFUNCTION("""COMPUTED_VALUE"""),"DISERAHKAN")</f>
        <v>DISERAHKAN</v>
      </c>
      <c r="F4504" s="48">
        <f>IFERROR(__xludf.DUMMYFUNCTION("""COMPUTED_VALUE"""),45833.67342203704)</f>
        <v>45833.67342</v>
      </c>
      <c r="G4504" s="42" t="str">
        <f>IFERROR(__xludf.DUMMYFUNCTION("""COMPUTED_VALUE"""),"ROYA")</f>
        <v>ROYA</v>
      </c>
      <c r="H4504" s="42">
        <f t="shared" si="1"/>
        <v>1983</v>
      </c>
    </row>
    <row r="4505" ht="22.5" customHeight="1">
      <c r="B4505" s="42" t="str">
        <f>IFERROR(__xludf.DUMMYFUNCTION("""COMPUTED_VALUE"""),"K/28/260525/1")</f>
        <v>K/28/260525/1</v>
      </c>
      <c r="C4505" s="42" t="str">
        <f>IFERROR(__xludf.DUMMYFUNCTION("""COMPUTED_VALUE"""),"M. 16598/ Sukabumi")</f>
        <v>M. 16598/ Sukabumi</v>
      </c>
      <c r="D4505" s="42" t="str">
        <f>IFERROR(__xludf.DUMMYFUNCTION("""COMPUTED_VALUE"""),"Berry")</f>
        <v>Berry</v>
      </c>
      <c r="E4505" s="42" t="str">
        <f>IFERROR(__xludf.DUMMYFUNCTION("""COMPUTED_VALUE"""),"DISERAHKAN")</f>
        <v>DISERAHKAN</v>
      </c>
      <c r="F4505" s="48">
        <f>IFERROR(__xludf.DUMMYFUNCTION("""COMPUTED_VALUE"""),45824.4763634375)</f>
        <v>45824.47636</v>
      </c>
      <c r="G4505" s="42" t="str">
        <f>IFERROR(__xludf.DUMMYFUNCTION("""COMPUTED_VALUE"""),"BN Jual Beli")</f>
        <v>BN Jual Beli</v>
      </c>
      <c r="H4505" s="42">
        <f t="shared" si="1"/>
        <v>1984</v>
      </c>
    </row>
    <row r="4506" ht="22.5" customHeight="1">
      <c r="B4506" s="42" t="str">
        <f>IFERROR(__xludf.DUMMYFUNCTION("""COMPUTED_VALUE"""),"K/29/260525/1")</f>
        <v>K/29/260525/1</v>
      </c>
      <c r="C4506" s="42" t="str">
        <f>IFERROR(__xludf.DUMMYFUNCTION("""COMPUTED_VALUE"""),"NIBEL B 17227/PERUMNAS WAY KANDIS ")</f>
        <v>NIBEL B 17227/PERUMNAS WAY KANDIS </v>
      </c>
      <c r="D4506" s="42"/>
      <c r="E4506" s="42"/>
      <c r="F4506" s="48" t="str">
        <f>IFERROR(__xludf.DUMMYFUNCTION("""COMPUTED_VALUE"""),"")</f>
        <v/>
      </c>
      <c r="G4506" s="42" t="str">
        <f>IFERROR(__xludf.DUMMYFUNCTION("""COMPUTED_VALUE"""),"JUAL BELI")</f>
        <v>JUAL BELI</v>
      </c>
      <c r="H4506" s="42">
        <f t="shared" si="1"/>
        <v>1984</v>
      </c>
    </row>
    <row r="4507" ht="22.5" customHeight="1">
      <c r="B4507" s="42" t="str">
        <f>IFERROR(__xludf.DUMMYFUNCTION("""COMPUTED_VALUE"""),"K/24/260525/4")</f>
        <v>K/24/260525/4</v>
      </c>
      <c r="C4507" s="42" t="str">
        <f>IFERROR(__xludf.DUMMYFUNCTION("""COMPUTED_VALUE"""),"M. 559/JAGABAYA III")</f>
        <v>M. 559/JAGABAYA III</v>
      </c>
      <c r="D4507" s="42" t="str">
        <f>IFERROR(__xludf.DUMMYFUNCTION("""COMPUTED_VALUE"""),"David")</f>
        <v>David</v>
      </c>
      <c r="E4507" s="42" t="str">
        <f>IFERROR(__xludf.DUMMYFUNCTION("""COMPUTED_VALUE"""),"DISERAHKAN")</f>
        <v>DISERAHKAN</v>
      </c>
      <c r="F4507" s="48">
        <f>IFERROR(__xludf.DUMMYFUNCTION("""COMPUTED_VALUE"""),45825.67213582176)</f>
        <v>45825.67214</v>
      </c>
      <c r="G4507" s="42" t="str">
        <f>IFERROR(__xludf.DUMMYFUNCTION("""COMPUTED_VALUE"""),"ROYA")</f>
        <v>ROYA</v>
      </c>
      <c r="H4507" s="42">
        <f t="shared" si="1"/>
        <v>1985</v>
      </c>
    </row>
    <row r="4508" ht="22.5" customHeight="1">
      <c r="B4508" s="42" t="str">
        <f>IFERROR(__xludf.DUMMYFUNCTION("""COMPUTED_VALUE"""),"K/33/260525/4")</f>
        <v>K/33/260525/4</v>
      </c>
      <c r="C4508" s="42" t="str">
        <f>IFERROR(__xludf.DUMMYFUNCTION("""COMPUTED_VALUE"""),"M. 1668/ Bumi Kedamaian")</f>
        <v>M. 1668/ Bumi Kedamaian</v>
      </c>
      <c r="D4508" s="42" t="str">
        <f>IFERROR(__xludf.DUMMYFUNCTION("""COMPUTED_VALUE"""),"Berry")</f>
        <v>Berry</v>
      </c>
      <c r="E4508" s="42" t="str">
        <f>IFERROR(__xludf.DUMMYFUNCTION("""COMPUTED_VALUE"""),"DISERAHKAN")</f>
        <v>DISERAHKAN</v>
      </c>
      <c r="F4508" s="48">
        <f>IFERROR(__xludf.DUMMYFUNCTION("""COMPUTED_VALUE"""),45853.721380358795)</f>
        <v>45853.72138</v>
      </c>
      <c r="G4508" s="42" t="str">
        <f>IFERROR(__xludf.DUMMYFUNCTION("""COMPUTED_VALUE"""),"BN Hibah")</f>
        <v>BN Hibah</v>
      </c>
      <c r="H4508" s="42">
        <f t="shared" si="1"/>
        <v>1986</v>
      </c>
    </row>
    <row r="4509" ht="22.5" customHeight="1">
      <c r="B4509" s="42" t="str">
        <f>IFERROR(__xludf.DUMMYFUNCTION("""COMPUTED_VALUE"""),"K/36/260525/1")</f>
        <v>K/36/260525/1</v>
      </c>
      <c r="C4509" s="42" t="str">
        <f>IFERROR(__xludf.DUMMYFUNCTION("""COMPUTED_VALUE"""),"M. 13357/KEDAMAIAN")</f>
        <v>M. 13357/KEDAMAIAN</v>
      </c>
      <c r="D4509" s="42" t="str">
        <f>IFERROR(__xludf.DUMMYFUNCTION("""COMPUTED_VALUE"""),"David")</f>
        <v>David</v>
      </c>
      <c r="E4509" s="42" t="str">
        <f>IFERROR(__xludf.DUMMYFUNCTION("""COMPUTED_VALUE"""),"DISERAHKAN")</f>
        <v>DISERAHKAN</v>
      </c>
      <c r="F4509" s="48">
        <f>IFERROR(__xludf.DUMMYFUNCTION("""COMPUTED_VALUE"""),45840.59870040509)</f>
        <v>45840.5987</v>
      </c>
      <c r="G4509" s="42" t="str">
        <f>IFERROR(__xludf.DUMMYFUNCTION("""COMPUTED_VALUE"""),"ROYA")</f>
        <v>ROYA</v>
      </c>
      <c r="H4509" s="42">
        <f t="shared" si="1"/>
        <v>1987</v>
      </c>
    </row>
    <row r="4510" ht="22.5" customHeight="1">
      <c r="B4510" s="42" t="str">
        <f>IFERROR(__xludf.DUMMYFUNCTION("""COMPUTED_VALUE"""),"K/34/260525/5")</f>
        <v>K/34/260525/5</v>
      </c>
      <c r="C4510" s="42" t="str">
        <f>IFERROR(__xludf.DUMMYFUNCTION("""COMPUTED_VALUE"""),"M. 12622/ Tanjung Baru")</f>
        <v>M. 12622/ Tanjung Baru</v>
      </c>
      <c r="D4510" s="42" t="str">
        <f>IFERROR(__xludf.DUMMYFUNCTION("""COMPUTED_VALUE"""),"Berry")</f>
        <v>Berry</v>
      </c>
      <c r="E4510" s="42" t="str">
        <f>IFERROR(__xludf.DUMMYFUNCTION("""COMPUTED_VALUE"""),"DISERAHKAN")</f>
        <v>DISERAHKAN</v>
      </c>
      <c r="F4510" s="48">
        <f>IFERROR(__xludf.DUMMYFUNCTION("""COMPUTED_VALUE"""),45853.7224092824)</f>
        <v>45853.72241</v>
      </c>
      <c r="G4510" s="42" t="str">
        <f>IFERROR(__xludf.DUMMYFUNCTION("""COMPUTED_VALUE"""),"BN Jual Beli")</f>
        <v>BN Jual Beli</v>
      </c>
      <c r="H4510" s="42">
        <f t="shared" si="1"/>
        <v>1988</v>
      </c>
    </row>
    <row r="4511" ht="22.5" customHeight="1">
      <c r="B4511" s="42" t="str">
        <f>IFERROR(__xludf.DUMMYFUNCTION("""COMPUTED_VALUE"""),"K/32/260525/3")</f>
        <v>K/32/260525/3</v>
      </c>
      <c r="C4511" s="42" t="str">
        <f>IFERROR(__xludf.DUMMYFUNCTION("""COMPUTED_VALUE"""),"B. 16/ Bumi Kedamaian")</f>
        <v>B. 16/ Bumi Kedamaian</v>
      </c>
      <c r="D4511" s="42"/>
      <c r="E4511" s="42"/>
      <c r="F4511" s="48" t="str">
        <f>IFERROR(__xludf.DUMMYFUNCTION("""COMPUTED_VALUE"""),"")</f>
        <v/>
      </c>
      <c r="G4511" s="42" t="str">
        <f>IFERROR(__xludf.DUMMYFUNCTION("""COMPUTED_VALUE"""),"BN Jual Beli")</f>
        <v>BN Jual Beli</v>
      </c>
      <c r="H4511" s="42">
        <f t="shared" si="1"/>
        <v>1988</v>
      </c>
    </row>
    <row r="4512" ht="22.5" customHeight="1">
      <c r="B4512" s="42" t="str">
        <f>IFERROR(__xludf.DUMMYFUNCTION("""COMPUTED_VALUE"""),"K/31/260525/2")</f>
        <v>K/31/260525/2</v>
      </c>
      <c r="C4512" s="42" t="str">
        <f>IFERROR(__xludf.DUMMYFUNCTION("""COMPUTED_VALUE"""),"B. 17/ Bumi Kedamaian")</f>
        <v>B. 17/ Bumi Kedamaian</v>
      </c>
      <c r="D4512" s="42" t="str">
        <f>IFERROR(__xludf.DUMMYFUNCTION("""COMPUTED_VALUE"""),"Berry")</f>
        <v>Berry</v>
      </c>
      <c r="E4512" s="42" t="str">
        <f>IFERROR(__xludf.DUMMYFUNCTION("""COMPUTED_VALUE"""),"DISERAHKAN")</f>
        <v>DISERAHKAN</v>
      </c>
      <c r="F4512" s="48">
        <f>IFERROR(__xludf.DUMMYFUNCTION("""COMPUTED_VALUE"""),45831.53102310185)</f>
        <v>45831.53102</v>
      </c>
      <c r="G4512" s="42" t="str">
        <f>IFERROR(__xludf.DUMMYFUNCTION("""COMPUTED_VALUE"""),"BN Jual Beli")</f>
        <v>BN Jual Beli</v>
      </c>
      <c r="H4512" s="42">
        <f t="shared" si="1"/>
        <v>1989</v>
      </c>
    </row>
    <row r="4513" ht="22.5" customHeight="1">
      <c r="B4513" s="42" t="str">
        <f>IFERROR(__xludf.DUMMYFUNCTION("""COMPUTED_VALUE"""),"K/30/260525/1")</f>
        <v>K/30/260525/1</v>
      </c>
      <c r="C4513" s="42" t="str">
        <f>IFERROR(__xludf.DUMMYFUNCTION("""COMPUTED_VALUE"""),"Nibel. M. 18377/ Pesawahan")</f>
        <v>Nibel. M. 18377/ Pesawahan</v>
      </c>
      <c r="D4513" s="42"/>
      <c r="E4513" s="42"/>
      <c r="F4513" s="48" t="str">
        <f>IFERROR(__xludf.DUMMYFUNCTION("""COMPUTED_VALUE"""),"")</f>
        <v/>
      </c>
      <c r="G4513" s="42" t="str">
        <f>IFERROR(__xludf.DUMMYFUNCTION("""COMPUTED_VALUE"""),"BN Jual Beli")</f>
        <v>BN Jual Beli</v>
      </c>
      <c r="H4513" s="42">
        <f t="shared" si="1"/>
        <v>1989</v>
      </c>
    </row>
    <row r="4514" ht="22.5" customHeight="1">
      <c r="B4514" s="42" t="str">
        <f>IFERROR(__xludf.DUMMYFUNCTION("""COMPUTED_VALUE"""),"K/35/260525/1")</f>
        <v>K/35/260525/1</v>
      </c>
      <c r="C4514" s="42" t="str">
        <f>IFERROR(__xludf.DUMMYFUNCTION("""COMPUTED_VALUE"""),"M. 1311/ Tanjung Karang")</f>
        <v>M. 1311/ Tanjung Karang</v>
      </c>
      <c r="D4514" s="42" t="str">
        <f>IFERROR(__xludf.DUMMYFUNCTION("""COMPUTED_VALUE"""),"David")</f>
        <v>David</v>
      </c>
      <c r="E4514" s="42" t="str">
        <f>IFERROR(__xludf.DUMMYFUNCTION("""COMPUTED_VALUE"""),"DISERAHKAN")</f>
        <v>DISERAHKAN</v>
      </c>
      <c r="F4514" s="48">
        <f>IFERROR(__xludf.DUMMYFUNCTION("""COMPUTED_VALUE"""),45873.62627728009)</f>
        <v>45873.62628</v>
      </c>
      <c r="G4514" s="42" t="str">
        <f>IFERROR(__xludf.DUMMYFUNCTION("""COMPUTED_VALUE"""),"BN Waris")</f>
        <v>BN Waris</v>
      </c>
      <c r="H4514" s="42">
        <f t="shared" si="1"/>
        <v>1990</v>
      </c>
    </row>
    <row r="4515" ht="22.5" customHeight="1">
      <c r="B4515" s="42" t="str">
        <f>IFERROR(__xludf.DUMMYFUNCTION("""COMPUTED_VALUE"""),"L/39/260525/1")</f>
        <v>L/39/260525/1</v>
      </c>
      <c r="C4515" s="42" t="str">
        <f>IFERROR(__xludf.DUMMYFUNCTION("""COMPUTED_VALUE"""),"HM 1906/BERINGIN JAYA")</f>
        <v>HM 1906/BERINGIN JAYA</v>
      </c>
      <c r="D4515" s="42"/>
      <c r="E4515" s="42" t="str">
        <f>IFERROR(__xludf.DUMMYFUNCTION("""COMPUTED_VALUE"""),"DISERAHKAN")</f>
        <v>DISERAHKAN</v>
      </c>
      <c r="F4515" s="48">
        <f>IFERROR(__xludf.DUMMYFUNCTION("""COMPUTED_VALUE"""),45820.67748721065)</f>
        <v>45820.67749</v>
      </c>
      <c r="G4515" s="42" t="str">
        <f>IFERROR(__xludf.DUMMYFUNCTION("""COMPUTED_VALUE"""),"BN JUAL-BELI")</f>
        <v>BN JUAL-BELI</v>
      </c>
      <c r="H4515" s="42">
        <f t="shared" si="1"/>
        <v>1991</v>
      </c>
    </row>
    <row r="4516" ht="22.5" customHeight="1">
      <c r="B4516" s="42" t="str">
        <f>IFERROR(__xludf.DUMMYFUNCTION("""COMPUTED_VALUE"""),"K/38/260525/1")</f>
        <v>K/38/260525/1</v>
      </c>
      <c r="C4516" s="42" t="str">
        <f>IFERROR(__xludf.DUMMYFUNCTION("""COMPUTED_VALUE"""),"B.524/NUSANTARA PERMAI")</f>
        <v>B.524/NUSANTARA PERMAI</v>
      </c>
      <c r="D4516" s="42" t="str">
        <f>IFERROR(__xludf.DUMMYFUNCTION("""COMPUTED_VALUE"""),"Berry")</f>
        <v>Berry</v>
      </c>
      <c r="E4516" s="42" t="str">
        <f>IFERROR(__xludf.DUMMYFUNCTION("""COMPUTED_VALUE"""),"DISERAHKAN")</f>
        <v>DISERAHKAN</v>
      </c>
      <c r="F4516" s="48">
        <f>IFERROR(__xludf.DUMMYFUNCTION("""COMPUTED_VALUE"""),45861.61999226852)</f>
        <v>45861.61999</v>
      </c>
      <c r="G4516" s="42" t="str">
        <f>IFERROR(__xludf.DUMMYFUNCTION("""COMPUTED_VALUE"""),"JUAL BELI")</f>
        <v>JUAL BELI</v>
      </c>
      <c r="H4516" s="42">
        <f t="shared" si="1"/>
        <v>1992</v>
      </c>
    </row>
    <row r="4517" ht="22.5" customHeight="1">
      <c r="B4517" s="42" t="str">
        <f>IFERROR(__xludf.DUMMYFUNCTION("""COMPUTED_VALUE"""),"L/1/270525/1")</f>
        <v>L/1/270525/1</v>
      </c>
      <c r="C4517" s="42" t="str">
        <f>IFERROR(__xludf.DUMMYFUNCTION("""COMPUTED_VALUE"""),"HM 215/GEDONG AIR")</f>
        <v>HM 215/GEDONG AIR</v>
      </c>
      <c r="D4517" s="42"/>
      <c r="E4517" s="42"/>
      <c r="F4517" s="48" t="str">
        <f>IFERROR(__xludf.DUMMYFUNCTION("""COMPUTED_VALUE"""),"")</f>
        <v/>
      </c>
      <c r="G4517" s="42" t="str">
        <f>IFERROR(__xludf.DUMMYFUNCTION("""COMPUTED_VALUE"""),"BN WARIS")</f>
        <v>BN WARIS</v>
      </c>
      <c r="H4517" s="42">
        <f t="shared" si="1"/>
        <v>1992</v>
      </c>
    </row>
    <row r="4518" ht="22.5" customHeight="1">
      <c r="B4518" s="42" t="str">
        <f>IFERROR(__xludf.DUMMYFUNCTION("""COMPUTED_VALUE"""),"L/2/270525/1")</f>
        <v>L/2/270525/1</v>
      </c>
      <c r="C4518" s="42" t="str">
        <f>IFERROR(__xludf.DUMMYFUNCTION("""COMPUTED_VALUE"""),"HGB 901/SUKARAME BARU")</f>
        <v>HGB 901/SUKARAME BARU</v>
      </c>
      <c r="D4518" s="42" t="str">
        <f>IFERROR(__xludf.DUMMYFUNCTION("""COMPUTED_VALUE"""),"Berry")</f>
        <v>Berry</v>
      </c>
      <c r="E4518" s="42" t="str">
        <f>IFERROR(__xludf.DUMMYFUNCTION("""COMPUTED_VALUE"""),"DISERAHKAN")</f>
        <v>DISERAHKAN</v>
      </c>
      <c r="F4518" s="48">
        <f>IFERROR(__xludf.DUMMYFUNCTION("""COMPUTED_VALUE"""),45841.521645925925)</f>
        <v>45841.52165</v>
      </c>
      <c r="G4518" s="42" t="str">
        <f>IFERROR(__xludf.DUMMYFUNCTION("""COMPUTED_VALUE"""),"BN WARIS")</f>
        <v>BN WARIS</v>
      </c>
      <c r="H4518" s="42">
        <f t="shared" si="1"/>
        <v>1993</v>
      </c>
    </row>
    <row r="4519" ht="22.5" customHeight="1">
      <c r="B4519" s="42" t="str">
        <f>IFERROR(__xludf.DUMMYFUNCTION("""COMPUTED_VALUE"""),"K/3/270525/1")</f>
        <v>K/3/270525/1</v>
      </c>
      <c r="C4519" s="42" t="str">
        <f>IFERROR(__xludf.DUMMYFUNCTION("""COMPUTED_VALUE"""),"M.224/SUMBER AGUNG")</f>
        <v>M.224/SUMBER AGUNG</v>
      </c>
      <c r="D4519" s="42" t="str">
        <f>IFERROR(__xludf.DUMMYFUNCTION("""COMPUTED_VALUE"""),"Berry")</f>
        <v>Berry</v>
      </c>
      <c r="E4519" s="42" t="str">
        <f>IFERROR(__xludf.DUMMYFUNCTION("""COMPUTED_VALUE"""),"DISERAHKAN")</f>
        <v>DISERAHKAN</v>
      </c>
      <c r="F4519" s="48">
        <f>IFERROR(__xludf.DUMMYFUNCTION("""COMPUTED_VALUE"""),45831.5257293287)</f>
        <v>45831.52573</v>
      </c>
      <c r="G4519" s="42" t="str">
        <f>IFERROR(__xludf.DUMMYFUNCTION("""COMPUTED_VALUE"""),"KEWARISAN")</f>
        <v>KEWARISAN</v>
      </c>
      <c r="H4519" s="42">
        <f t="shared" si="1"/>
        <v>1994</v>
      </c>
    </row>
    <row r="4520" ht="22.5" customHeight="1">
      <c r="B4520" s="42" t="str">
        <f>IFERROR(__xludf.DUMMYFUNCTION("""COMPUTED_VALUE"""),"K/4/270525/1")</f>
        <v>K/4/270525/1</v>
      </c>
      <c r="C4520" s="42" t="str">
        <f>IFERROR(__xludf.DUMMYFUNCTION("""COMPUTED_VALUE"""),"M. 274/ Langkapura Baru")</f>
        <v>M. 274/ Langkapura Baru</v>
      </c>
      <c r="D4520" s="42"/>
      <c r="E4520" s="42"/>
      <c r="F4520" s="48" t="str">
        <f>IFERROR(__xludf.DUMMYFUNCTION("""COMPUTED_VALUE"""),"")</f>
        <v/>
      </c>
      <c r="G4520" s="42" t="str">
        <f>IFERROR(__xludf.DUMMYFUNCTION("""COMPUTED_VALUE"""),"Hapus BPHTB")</f>
        <v>Hapus BPHTB</v>
      </c>
      <c r="H4520" s="42">
        <f t="shared" si="1"/>
        <v>1994</v>
      </c>
    </row>
    <row r="4521" ht="22.5" customHeight="1">
      <c r="B4521" s="42" t="str">
        <f>IFERROR(__xludf.DUMMYFUNCTION("""COMPUTED_VALUE"""),"K/5/270525/2")</f>
        <v>K/5/270525/2</v>
      </c>
      <c r="C4521" s="42" t="str">
        <f>IFERROR(__xludf.DUMMYFUNCTION("""COMPUTED_VALUE"""),"B.769/ Sumur Putri")</f>
        <v>B.769/ Sumur Putri</v>
      </c>
      <c r="D4521" s="42" t="str">
        <f>IFERROR(__xludf.DUMMYFUNCTION("""COMPUTED_VALUE"""),"Berry")</f>
        <v>Berry</v>
      </c>
      <c r="E4521" s="42" t="str">
        <f>IFERROR(__xludf.DUMMYFUNCTION("""COMPUTED_VALUE"""),"DISERAHKAN")</f>
        <v>DISERAHKAN</v>
      </c>
      <c r="F4521" s="48">
        <f>IFERROR(__xludf.DUMMYFUNCTION("""COMPUTED_VALUE"""),45845.67062528935)</f>
        <v>45845.67063</v>
      </c>
      <c r="G4521" s="42" t="str">
        <f>IFERROR(__xludf.DUMMYFUNCTION("""COMPUTED_VALUE"""),"BN Jual Beli")</f>
        <v>BN Jual Beli</v>
      </c>
      <c r="H4521" s="42">
        <f t="shared" si="1"/>
        <v>1995</v>
      </c>
    </row>
    <row r="4522" ht="22.5" customHeight="1">
      <c r="B4522" s="42" t="str">
        <f>IFERROR(__xludf.DUMMYFUNCTION("""COMPUTED_VALUE"""),"K/6/270525/1")</f>
        <v>K/6/270525/1</v>
      </c>
      <c r="C4522" s="42" t="str">
        <f>IFERROR(__xludf.DUMMYFUNCTION("""COMPUTED_VALUE"""),"Nibel. M. 5020/ Sukabumi")</f>
        <v>Nibel. M. 5020/ Sukabumi</v>
      </c>
      <c r="D4522" s="42"/>
      <c r="E4522" s="42"/>
      <c r="F4522" s="48" t="str">
        <f>IFERROR(__xludf.DUMMYFUNCTION("""COMPUTED_VALUE"""),"")</f>
        <v/>
      </c>
      <c r="G4522" s="42" t="str">
        <f>IFERROR(__xludf.DUMMYFUNCTION("""COMPUTED_VALUE"""),"BN Hibah")</f>
        <v>BN Hibah</v>
      </c>
      <c r="H4522" s="42">
        <f t="shared" si="1"/>
        <v>1995</v>
      </c>
    </row>
    <row r="4523" ht="22.5" customHeight="1">
      <c r="B4523" s="42" t="str">
        <f>IFERROR(__xludf.DUMMYFUNCTION("""COMPUTED_VALUE"""),"L/7/270525/1")</f>
        <v>L/7/270525/1</v>
      </c>
      <c r="C4523" s="42" t="str">
        <f>IFERROR(__xludf.DUMMYFUNCTION("""COMPUTED_VALUE"""),"HM 662/JAGABAYA III")</f>
        <v>HM 662/JAGABAYA III</v>
      </c>
      <c r="D4523" s="42" t="str">
        <f>IFERROR(__xludf.DUMMYFUNCTION("""COMPUTED_VALUE"""),"David")</f>
        <v>David</v>
      </c>
      <c r="E4523" s="42" t="str">
        <f>IFERROR(__xludf.DUMMYFUNCTION("""COMPUTED_VALUE"""),"DISERAHKAN")</f>
        <v>DISERAHKAN</v>
      </c>
      <c r="F4523" s="48">
        <f>IFERROR(__xludf.DUMMYFUNCTION("""COMPUTED_VALUE"""),45824.635420833336)</f>
        <v>45824.63542</v>
      </c>
      <c r="G4523" s="42" t="str">
        <f>IFERROR(__xludf.DUMMYFUNCTION("""COMPUTED_VALUE"""),"ROYA")</f>
        <v>ROYA</v>
      </c>
      <c r="H4523" s="42">
        <f t="shared" si="1"/>
        <v>1996</v>
      </c>
    </row>
    <row r="4524" ht="22.5" customHeight="1">
      <c r="B4524" s="42" t="str">
        <f>IFERROR(__xludf.DUMMYFUNCTION("""COMPUTED_VALUE"""),"K/37/260525/2")</f>
        <v>K/37/260525/2</v>
      </c>
      <c r="C4524" s="42" t="str">
        <f>IFERROR(__xludf.DUMMYFUNCTION("""COMPUTED_VALUE"""),"NIBEL M. 17232/GUNUNG AGUNG")</f>
        <v>NIBEL M. 17232/GUNUNG AGUNG</v>
      </c>
      <c r="D4524" s="42"/>
      <c r="E4524" s="42"/>
      <c r="F4524" s="48" t="str">
        <f>IFERROR(__xludf.DUMMYFUNCTION("""COMPUTED_VALUE"""),"")</f>
        <v/>
      </c>
      <c r="G4524" s="42" t="str">
        <f>IFERROR(__xludf.DUMMYFUNCTION("""COMPUTED_VALUE"""),"BN JUAL BELI")</f>
        <v>BN JUAL BELI</v>
      </c>
      <c r="H4524" s="42">
        <f t="shared" si="1"/>
        <v>1996</v>
      </c>
    </row>
    <row r="4525" ht="22.5" customHeight="1">
      <c r="B4525" s="42" t="str">
        <f>IFERROR(__xludf.DUMMYFUNCTION("""COMPUTED_VALUE"""),"K/9/270525/1")</f>
        <v>K/9/270525/1</v>
      </c>
      <c r="C4525" s="42" t="str">
        <f>IFERROR(__xludf.DUMMYFUNCTION("""COMPUTED_VALUE"""),"M. 11914/ Kedamaian")</f>
        <v>M. 11914/ Kedamaian</v>
      </c>
      <c r="D4525" s="42" t="str">
        <f>IFERROR(__xludf.DUMMYFUNCTION("""COMPUTED_VALUE"""),"David")</f>
        <v>David</v>
      </c>
      <c r="E4525" s="42" t="str">
        <f>IFERROR(__xludf.DUMMYFUNCTION("""COMPUTED_VALUE"""),"DISERAHKAN")</f>
        <v>DISERAHKAN</v>
      </c>
      <c r="F4525" s="48">
        <f>IFERROR(__xludf.DUMMYFUNCTION("""COMPUTED_VALUE"""),45825.677202164356)</f>
        <v>45825.6772</v>
      </c>
      <c r="G4525" s="42" t="str">
        <f>IFERROR(__xludf.DUMMYFUNCTION("""COMPUTED_VALUE"""),"Roya")</f>
        <v>Roya</v>
      </c>
      <c r="H4525" s="42">
        <f t="shared" si="1"/>
        <v>1997</v>
      </c>
    </row>
    <row r="4526" ht="22.5" customHeight="1">
      <c r="B4526" s="42" t="str">
        <f>IFERROR(__xludf.DUMMYFUNCTION("""COMPUTED_VALUE"""),"K/10/270525/1")</f>
        <v>K/10/270525/1</v>
      </c>
      <c r="C4526" s="42" t="str">
        <f>IFERROR(__xludf.DUMMYFUNCTION("""COMPUTED_VALUE"""),"M. 1144/SUMBERREJO SEJAHTERA")</f>
        <v>M. 1144/SUMBERREJO SEJAHTERA</v>
      </c>
      <c r="D4526" s="42" t="str">
        <f>IFERROR(__xludf.DUMMYFUNCTION("""COMPUTED_VALUE"""),"Berry")</f>
        <v>Berry</v>
      </c>
      <c r="E4526" s="42" t="str">
        <f>IFERROR(__xludf.DUMMYFUNCTION("""COMPUTED_VALUE"""),"DISERAHKAN")</f>
        <v>DISERAHKAN</v>
      </c>
      <c r="F4526" s="48">
        <f>IFERROR(__xludf.DUMMYFUNCTION("""COMPUTED_VALUE"""),45819.80259253472)</f>
        <v>45819.80259</v>
      </c>
      <c r="G4526" s="42" t="str">
        <f>IFERROR(__xludf.DUMMYFUNCTION("""COMPUTED_VALUE"""),"BN JUAL BELI")</f>
        <v>BN JUAL BELI</v>
      </c>
      <c r="H4526" s="42">
        <f t="shared" si="1"/>
        <v>1998</v>
      </c>
    </row>
    <row r="4527" ht="22.5" customHeight="1">
      <c r="B4527" s="42" t="str">
        <f>IFERROR(__xludf.DUMMYFUNCTION("""COMPUTED_VALUE"""),"K/11/270525/2")</f>
        <v>K/11/270525/2</v>
      </c>
      <c r="C4527" s="42" t="str">
        <f>IFERROR(__xludf.DUMMYFUNCTION("""COMPUTED_VALUE"""),"M.1145/SUMBERREJO SEJAHTERA")</f>
        <v>M.1145/SUMBERREJO SEJAHTERA</v>
      </c>
      <c r="D4527" s="42" t="str">
        <f>IFERROR(__xludf.DUMMYFUNCTION("""COMPUTED_VALUE"""),"Berry")</f>
        <v>Berry</v>
      </c>
      <c r="E4527" s="42" t="str">
        <f>IFERROR(__xludf.DUMMYFUNCTION("""COMPUTED_VALUE"""),"DISERAHKAN")</f>
        <v>DISERAHKAN</v>
      </c>
      <c r="F4527" s="48">
        <f>IFERROR(__xludf.DUMMYFUNCTION("""COMPUTED_VALUE"""),45824.50504113426)</f>
        <v>45824.50504</v>
      </c>
      <c r="G4527" s="42" t="str">
        <f>IFERROR(__xludf.DUMMYFUNCTION("""COMPUTED_VALUE"""),"BN JUAL BELI")</f>
        <v>BN JUAL BELI</v>
      </c>
      <c r="H4527" s="42">
        <f t="shared" si="1"/>
        <v>1999</v>
      </c>
    </row>
    <row r="4528" ht="22.5" customHeight="1">
      <c r="B4528" s="42" t="str">
        <f>IFERROR(__xludf.DUMMYFUNCTION("""COMPUTED_VALUE"""),"K/8/270525/1")</f>
        <v>K/8/270525/1</v>
      </c>
      <c r="C4528" s="42" t="str">
        <f>IFERROR(__xludf.DUMMYFUNCTION("""COMPUTED_VALUE"""),"NIBEL M.17211/TANJUNG RAYA")</f>
        <v>NIBEL M.17211/TANJUNG RAYA</v>
      </c>
      <c r="D4528" s="42"/>
      <c r="E4528" s="42"/>
      <c r="F4528" s="48" t="str">
        <f>IFERROR(__xludf.DUMMYFUNCTION("""COMPUTED_VALUE"""),"")</f>
        <v/>
      </c>
      <c r="G4528" s="42" t="str">
        <f>IFERROR(__xludf.DUMMYFUNCTION("""COMPUTED_VALUE"""),"KEWARISAN")</f>
        <v>KEWARISAN</v>
      </c>
      <c r="H4528" s="42">
        <f t="shared" si="1"/>
        <v>1999</v>
      </c>
    </row>
    <row r="4529" ht="22.5" customHeight="1">
      <c r="B4529" s="42" t="str">
        <f>IFERROR(__xludf.DUMMYFUNCTION("""COMPUTED_VALUE"""),"K/14/270525/1")</f>
        <v>K/14/270525/1</v>
      </c>
      <c r="C4529" s="42" t="str">
        <f>IFERROR(__xludf.DUMMYFUNCTION("""COMPUTED_VALUE"""),"M. 1268/LANGKAPURA BARU")</f>
        <v>M. 1268/LANGKAPURA BARU</v>
      </c>
      <c r="D4529" s="42" t="str">
        <f>IFERROR(__xludf.DUMMYFUNCTION("""COMPUTED_VALUE"""),"David")</f>
        <v>David</v>
      </c>
      <c r="E4529" s="42" t="str">
        <f>IFERROR(__xludf.DUMMYFUNCTION("""COMPUTED_VALUE"""),"DISERAHKAN")</f>
        <v>DISERAHKAN</v>
      </c>
      <c r="F4529" s="48">
        <f>IFERROR(__xludf.DUMMYFUNCTION("""COMPUTED_VALUE"""),45849.434249375)</f>
        <v>45849.43425</v>
      </c>
      <c r="G4529" s="42" t="str">
        <f>IFERROR(__xludf.DUMMYFUNCTION("""COMPUTED_VALUE"""),"BN HIBAH")</f>
        <v>BN HIBAH</v>
      </c>
      <c r="H4529" s="42">
        <f t="shared" si="1"/>
        <v>2000</v>
      </c>
    </row>
    <row r="4530" ht="22.5" customHeight="1">
      <c r="B4530" s="42" t="str">
        <f>IFERROR(__xludf.DUMMYFUNCTION("""COMPUTED_VALUE"""),"K/15/270525/2")</f>
        <v>K/15/270525/2</v>
      </c>
      <c r="C4530" s="42" t="str">
        <f>IFERROR(__xludf.DUMMYFUNCTION("""COMPUTED_VALUE"""),"M.1702/SUMUR PUTRI")</f>
        <v>M.1702/SUMUR PUTRI</v>
      </c>
      <c r="D4530" s="42" t="str">
        <f>IFERROR(__xludf.DUMMYFUNCTION("""COMPUTED_VALUE"""),"Berry")</f>
        <v>Berry</v>
      </c>
      <c r="E4530" s="42" t="str">
        <f>IFERROR(__xludf.DUMMYFUNCTION("""COMPUTED_VALUE"""),"DISERAHKAN")</f>
        <v>DISERAHKAN</v>
      </c>
      <c r="F4530" s="48">
        <f>IFERROR(__xludf.DUMMYFUNCTION("""COMPUTED_VALUE"""),45831.535275601855)</f>
        <v>45831.53528</v>
      </c>
      <c r="G4530" s="42" t="str">
        <f>IFERROR(__xludf.DUMMYFUNCTION("""COMPUTED_VALUE"""),"BN JUAL BELI")</f>
        <v>BN JUAL BELI</v>
      </c>
      <c r="H4530" s="42">
        <f t="shared" si="1"/>
        <v>2001</v>
      </c>
    </row>
    <row r="4531" ht="22.5" customHeight="1">
      <c r="B4531" s="42" t="str">
        <f>IFERROR(__xludf.DUMMYFUNCTION("""COMPUTED_VALUE"""),"L/16/270525/1")</f>
        <v>L/16/270525/1</v>
      </c>
      <c r="C4531" s="42" t="str">
        <f>IFERROR(__xludf.DUMMYFUNCTION("""COMPUTED_VALUE"""),"HM 897/GEDONG AIR")</f>
        <v>HM 897/GEDONG AIR</v>
      </c>
      <c r="D4531" s="42" t="str">
        <f>IFERROR(__xludf.DUMMYFUNCTION("""COMPUTED_VALUE"""),"David")</f>
        <v>David</v>
      </c>
      <c r="E4531" s="42" t="str">
        <f>IFERROR(__xludf.DUMMYFUNCTION("""COMPUTED_VALUE"""),"DISERAHKAN")</f>
        <v>DISERAHKAN</v>
      </c>
      <c r="F4531" s="48">
        <f>IFERROR(__xludf.DUMMYFUNCTION("""COMPUTED_VALUE"""),45833.66821905093)</f>
        <v>45833.66822</v>
      </c>
      <c r="G4531" s="42" t="str">
        <f>IFERROR(__xludf.DUMMYFUNCTION("""COMPUTED_VALUE"""),"ROYA")</f>
        <v>ROYA</v>
      </c>
      <c r="H4531" s="42">
        <f t="shared" si="1"/>
        <v>2002</v>
      </c>
    </row>
    <row r="4532" ht="22.5" customHeight="1">
      <c r="B4532" s="42" t="str">
        <f>IFERROR(__xludf.DUMMYFUNCTION("""COMPUTED_VALUE"""),"L/17/270525/1")</f>
        <v>L/17/270525/1</v>
      </c>
      <c r="C4532" s="42" t="str">
        <f>IFERROR(__xludf.DUMMYFUNCTION("""COMPUTED_VALUE"""),"HM 705/DURIAN PAYUNG")</f>
        <v>HM 705/DURIAN PAYUNG</v>
      </c>
      <c r="D4532" s="42"/>
      <c r="E4532" s="42"/>
      <c r="F4532" s="48" t="str">
        <f>IFERROR(__xludf.DUMMYFUNCTION("""COMPUTED_VALUE"""),"")</f>
        <v/>
      </c>
      <c r="G4532" s="42" t="str">
        <f>IFERROR(__xludf.DUMMYFUNCTION("""COMPUTED_VALUE"""),"SERTIPIKAT HILANG (MASJID)")</f>
        <v>SERTIPIKAT HILANG (MASJID)</v>
      </c>
      <c r="H4532" s="42">
        <f t="shared" si="1"/>
        <v>2002</v>
      </c>
    </row>
    <row r="4533" ht="22.5" customHeight="1">
      <c r="B4533" s="42" t="str">
        <f>IFERROR(__xludf.DUMMYFUNCTION("""COMPUTED_VALUE"""),"L/18/270525/1")</f>
        <v>L/18/270525/1</v>
      </c>
      <c r="C4533" s="42" t="str">
        <f>IFERROR(__xludf.DUMMYFUNCTION("""COMPUTED_VALUE"""),"HM 2064/SUKAMAJU")</f>
        <v>HM 2064/SUKAMAJU</v>
      </c>
      <c r="D4533" s="42" t="str">
        <f>IFERROR(__xludf.DUMMYFUNCTION("""COMPUTED_VALUE"""),"Berry")</f>
        <v>Berry</v>
      </c>
      <c r="E4533" s="42" t="str">
        <f>IFERROR(__xludf.DUMMYFUNCTION("""COMPUTED_VALUE"""),"DISERAHKAN")</f>
        <v>DISERAHKAN</v>
      </c>
      <c r="F4533" s="48">
        <f>IFERROR(__xludf.DUMMYFUNCTION("""COMPUTED_VALUE"""),45897.49278526621)</f>
        <v>45897.49279</v>
      </c>
      <c r="G4533" s="42" t="str">
        <f>IFERROR(__xludf.DUMMYFUNCTION("""COMPUTED_VALUE"""),"ROYA")</f>
        <v>ROYA</v>
      </c>
      <c r="H4533" s="42">
        <f t="shared" si="1"/>
        <v>2003</v>
      </c>
    </row>
    <row r="4534" ht="22.5" customHeight="1">
      <c r="B4534" s="42" t="str">
        <f>IFERROR(__xludf.DUMMYFUNCTION("""COMPUTED_VALUE"""),"K/19/270525/1")</f>
        <v>K/19/270525/1</v>
      </c>
      <c r="C4534" s="42" t="str">
        <f>IFERROR(__xludf.DUMMYFUNCTION("""COMPUTED_VALUE"""),"NIBEL M. 18118/KETEGUHAN")</f>
        <v>NIBEL M. 18118/KETEGUHAN</v>
      </c>
      <c r="D4534" s="42"/>
      <c r="E4534" s="42"/>
      <c r="F4534" s="48" t="str">
        <f>IFERROR(__xludf.DUMMYFUNCTION("""COMPUTED_VALUE"""),"")</f>
        <v/>
      </c>
      <c r="G4534" s="42" t="str">
        <f>IFERROR(__xludf.DUMMYFUNCTION("""COMPUTED_VALUE"""),"BN HIBAH")</f>
        <v>BN HIBAH</v>
      </c>
      <c r="H4534" s="42">
        <f t="shared" si="1"/>
        <v>2003</v>
      </c>
    </row>
    <row r="4535" ht="22.5" customHeight="1">
      <c r="B4535" s="42" t="str">
        <f>IFERROR(__xludf.DUMMYFUNCTION("""COMPUTED_VALUE"""),"K/20/270525/2")</f>
        <v>K/20/270525/2</v>
      </c>
      <c r="C4535" s="42" t="str">
        <f>IFERROR(__xludf.DUMMYFUNCTION("""COMPUTED_VALUE"""),"M.2628/PINANG JAYA")</f>
        <v>M.2628/PINANG JAYA</v>
      </c>
      <c r="D4535" s="42" t="str">
        <f>IFERROR(__xludf.DUMMYFUNCTION("""COMPUTED_VALUE"""),"Berry")</f>
        <v>Berry</v>
      </c>
      <c r="E4535" s="42" t="str">
        <f>IFERROR(__xludf.DUMMYFUNCTION("""COMPUTED_VALUE"""),"DISERAHKAN")</f>
        <v>DISERAHKAN</v>
      </c>
      <c r="F4535" s="48">
        <f>IFERROR(__xludf.DUMMYFUNCTION("""COMPUTED_VALUE"""),45828.53637548611)</f>
        <v>45828.53638</v>
      </c>
      <c r="G4535" s="42" t="str">
        <f>IFERROR(__xludf.DUMMYFUNCTION("""COMPUTED_VALUE"""),"-")</f>
        <v>-</v>
      </c>
      <c r="H4535" s="42">
        <f t="shared" si="1"/>
        <v>2004</v>
      </c>
    </row>
    <row r="4536" ht="22.5" customHeight="1">
      <c r="B4536" s="42" t="str">
        <f>IFERROR(__xludf.DUMMYFUNCTION("""COMPUTED_VALUE"""),"L/21/270525/1")</f>
        <v>L/21/270525/1</v>
      </c>
      <c r="C4536" s="42" t="str">
        <f>IFERROR(__xludf.DUMMYFUNCTION("""COMPUTED_VALUE"""),"NIB 18807/SUKARAME II")</f>
        <v>NIB 18807/SUKARAME II</v>
      </c>
      <c r="D4536" s="42"/>
      <c r="E4536" s="42"/>
      <c r="F4536" s="48" t="str">
        <f>IFERROR(__xludf.DUMMYFUNCTION("""COMPUTED_VALUE"""),"")</f>
        <v/>
      </c>
      <c r="G4536" s="42" t="str">
        <f>IFERROR(__xludf.DUMMYFUNCTION("""COMPUTED_VALUE"""),"ROYA")</f>
        <v>ROYA</v>
      </c>
      <c r="H4536" s="42">
        <f t="shared" si="1"/>
        <v>2004</v>
      </c>
    </row>
    <row r="4537" ht="22.5" customHeight="1">
      <c r="B4537" s="42" t="str">
        <f>IFERROR(__xludf.DUMMYFUNCTION("""COMPUTED_VALUE"""),"K/22/270525/1")</f>
        <v>K/22/270525/1</v>
      </c>
      <c r="C4537" s="42" t="str">
        <f>IFERROR(__xludf.DUMMYFUNCTION("""COMPUTED_VALUE"""),"Nibel. M. 19095/ Sukabumi")</f>
        <v>Nibel. M. 19095/ Sukabumi</v>
      </c>
      <c r="D4537" s="42"/>
      <c r="E4537" s="42"/>
      <c r="F4537" s="48" t="str">
        <f>IFERROR(__xludf.DUMMYFUNCTION("""COMPUTED_VALUE"""),"")</f>
        <v/>
      </c>
      <c r="G4537" s="42" t="str">
        <f>IFERROR(__xludf.DUMMYFUNCTION("""COMPUTED_VALUE"""),"BN Jual Beli")</f>
        <v>BN Jual Beli</v>
      </c>
      <c r="H4537" s="42">
        <f t="shared" si="1"/>
        <v>2004</v>
      </c>
    </row>
    <row r="4538" ht="22.5" customHeight="1">
      <c r="B4538" s="42" t="str">
        <f>IFERROR(__xludf.DUMMYFUNCTION("""COMPUTED_VALUE"""),"L/23/270525/1")</f>
        <v>L/23/270525/1</v>
      </c>
      <c r="C4538" s="42" t="str">
        <f>IFERROR(__xludf.DUMMYFUNCTION("""COMPUTED_VALUE"""),"HM 15851,15850/SUKARAME I")</f>
        <v>HM 15851,15850/SUKARAME I</v>
      </c>
      <c r="D4538" s="42" t="str">
        <f>IFERROR(__xludf.DUMMYFUNCTION("""COMPUTED_VALUE"""),"David")</f>
        <v>David</v>
      </c>
      <c r="E4538" s="42" t="str">
        <f>IFERROR(__xludf.DUMMYFUNCTION("""COMPUTED_VALUE"""),"DISERAHKAN")</f>
        <v>DISERAHKAN</v>
      </c>
      <c r="F4538" s="48">
        <f>IFERROR(__xludf.DUMMYFUNCTION("""COMPUTED_VALUE"""),45839.431820763886)</f>
        <v>45839.43182</v>
      </c>
      <c r="G4538" s="42" t="str">
        <f>IFERROR(__xludf.DUMMYFUNCTION("""COMPUTED_VALUE"""),"ROYA")</f>
        <v>ROYA</v>
      </c>
      <c r="H4538" s="42">
        <f t="shared" si="1"/>
        <v>2005</v>
      </c>
    </row>
    <row r="4539" ht="22.5" customHeight="1">
      <c r="B4539" s="42" t="str">
        <f>IFERROR(__xludf.DUMMYFUNCTION("""COMPUTED_VALUE"""),"K/24/270525/1")</f>
        <v>K/24/270525/1</v>
      </c>
      <c r="C4539" s="42" t="str">
        <f>IFERROR(__xludf.DUMMYFUNCTION("""COMPUTED_VALUE"""),"M. 334/KORPRI RAYA")</f>
        <v>M. 334/KORPRI RAYA</v>
      </c>
      <c r="D4539" s="42" t="str">
        <f>IFERROR(__xludf.DUMMYFUNCTION("""COMPUTED_VALUE"""),"Berry")</f>
        <v>Berry</v>
      </c>
      <c r="E4539" s="42" t="str">
        <f>IFERROR(__xludf.DUMMYFUNCTION("""COMPUTED_VALUE"""),"DISERAHKAN")</f>
        <v>DISERAHKAN</v>
      </c>
      <c r="F4539" s="48">
        <f>IFERROR(__xludf.DUMMYFUNCTION("""COMPUTED_VALUE"""),45824.50588715277)</f>
        <v>45824.50589</v>
      </c>
      <c r="G4539" s="42" t="str">
        <f>IFERROR(__xludf.DUMMYFUNCTION("""COMPUTED_VALUE"""),"BN JUAL BELI")</f>
        <v>BN JUAL BELI</v>
      </c>
      <c r="H4539" s="42">
        <f t="shared" si="1"/>
        <v>2006</v>
      </c>
    </row>
    <row r="4540" ht="22.5" customHeight="1">
      <c r="B4540" s="42" t="str">
        <f>IFERROR(__xludf.DUMMYFUNCTION("""COMPUTED_VALUE"""),"K/13/270525/1")</f>
        <v>K/13/270525/1</v>
      </c>
      <c r="C4540" s="42" t="str">
        <f>IFERROR(__xludf.DUMMYFUNCTION("""COMPUTED_VALUE"""),"M.472/SUKABUMI INDAH")</f>
        <v>M.472/SUKABUMI INDAH</v>
      </c>
      <c r="D4540" s="42"/>
      <c r="E4540" s="42"/>
      <c r="F4540" s="48" t="str">
        <f>IFERROR(__xludf.DUMMYFUNCTION("""COMPUTED_VALUE"""),"")</f>
        <v/>
      </c>
      <c r="G4540" s="42" t="str">
        <f>IFERROR(__xludf.DUMMYFUNCTION("""COMPUTED_VALUE"""),"KEWARISAN")</f>
        <v>KEWARISAN</v>
      </c>
      <c r="H4540" s="42">
        <f t="shared" si="1"/>
        <v>2006</v>
      </c>
    </row>
    <row r="4541" ht="22.5" customHeight="1">
      <c r="B4541" s="42" t="str">
        <f>IFERROR(__xludf.DUMMYFUNCTION("""COMPUTED_VALUE"""),"K/25/270525/1")</f>
        <v>K/25/270525/1</v>
      </c>
      <c r="C4541" s="42" t="str">
        <f>IFERROR(__xludf.DUMMYFUNCTION("""COMPUTED_VALUE"""),"M.1974/SUMBER AGUNG")</f>
        <v>M.1974/SUMBER AGUNG</v>
      </c>
      <c r="D4541" s="42" t="str">
        <f>IFERROR(__xludf.DUMMYFUNCTION("""COMPUTED_VALUE"""),"Berry")</f>
        <v>Berry</v>
      </c>
      <c r="E4541" s="42" t="str">
        <f>IFERROR(__xludf.DUMMYFUNCTION("""COMPUTED_VALUE"""),"DISERAHKAN")</f>
        <v>DISERAHKAN</v>
      </c>
      <c r="F4541" s="48">
        <f>IFERROR(__xludf.DUMMYFUNCTION("""COMPUTED_VALUE"""),45831.52514736111)</f>
        <v>45831.52515</v>
      </c>
      <c r="G4541" s="42" t="str">
        <f>IFERROR(__xludf.DUMMYFUNCTION("""COMPUTED_VALUE"""),"JUAL BELI")</f>
        <v>JUAL BELI</v>
      </c>
      <c r="H4541" s="42">
        <f t="shared" si="1"/>
        <v>2007</v>
      </c>
    </row>
    <row r="4542" ht="22.5" customHeight="1">
      <c r="B4542" s="42" t="str">
        <f>IFERROR(__xludf.DUMMYFUNCTION("""COMPUTED_VALUE"""),"K/26/270525/1")</f>
        <v>K/26/270525/1</v>
      </c>
      <c r="C4542" s="42" t="str">
        <f>IFERROR(__xludf.DUMMYFUNCTION("""COMPUTED_VALUE"""),"Nibel. M. 13193/ Sukabumi")</f>
        <v>Nibel. M. 13193/ Sukabumi</v>
      </c>
      <c r="D4542" s="42"/>
      <c r="E4542" s="42"/>
      <c r="F4542" s="48" t="str">
        <f>IFERROR(__xludf.DUMMYFUNCTION("""COMPUTED_VALUE"""),"")</f>
        <v/>
      </c>
      <c r="G4542" s="42" t="str">
        <f>IFERROR(__xludf.DUMMYFUNCTION("""COMPUTED_VALUE"""),"BN Jual Beli")</f>
        <v>BN Jual Beli</v>
      </c>
      <c r="H4542" s="42">
        <f t="shared" si="1"/>
        <v>2007</v>
      </c>
    </row>
    <row r="4543" ht="22.5" customHeight="1">
      <c r="B4543" s="42" t="str">
        <f>IFERROR(__xludf.DUMMYFUNCTION("""COMPUTED_VALUE"""),"K/27/270525/1")</f>
        <v>K/27/270525/1</v>
      </c>
      <c r="C4543" s="42" t="str">
        <f>IFERROR(__xludf.DUMMYFUNCTION("""COMPUTED_VALUE"""),"NIBEL M. 17109/BAKUNG")</f>
        <v>NIBEL M. 17109/BAKUNG</v>
      </c>
      <c r="D4543" s="42"/>
      <c r="E4543" s="42"/>
      <c r="F4543" s="48" t="str">
        <f>IFERROR(__xludf.DUMMYFUNCTION("""COMPUTED_VALUE"""),"")</f>
        <v/>
      </c>
      <c r="G4543" s="42" t="str">
        <f>IFERROR(__xludf.DUMMYFUNCTION("""COMPUTED_VALUE"""),"BN JUAL BELI")</f>
        <v>BN JUAL BELI</v>
      </c>
      <c r="H4543" s="42">
        <f t="shared" si="1"/>
        <v>2007</v>
      </c>
    </row>
    <row r="4544" ht="22.5" customHeight="1">
      <c r="B4544" s="42" t="str">
        <f>IFERROR(__xludf.DUMMYFUNCTION("""COMPUTED_VALUE"""),"K/28/270525/1")</f>
        <v>K/28/270525/1</v>
      </c>
      <c r="C4544" s="42" t="str">
        <f>IFERROR(__xludf.DUMMYFUNCTION("""COMPUTED_VALUE"""),"M. 250/ Sukajawa Baru")</f>
        <v>M. 250/ Sukajawa Baru</v>
      </c>
      <c r="D4544" s="42"/>
      <c r="E4544" s="42"/>
      <c r="F4544" s="48" t="str">
        <f>IFERROR(__xludf.DUMMYFUNCTION("""COMPUTED_VALUE"""),"")</f>
        <v/>
      </c>
      <c r="G4544" s="42" t="str">
        <f>IFERROR(__xludf.DUMMYFUNCTION("""COMPUTED_VALUE"""),"Pemecahan")</f>
        <v>Pemecahan</v>
      </c>
      <c r="H4544" s="42">
        <f t="shared" si="1"/>
        <v>2007</v>
      </c>
    </row>
    <row r="4545" ht="22.5" customHeight="1">
      <c r="B4545" s="42" t="str">
        <f>IFERROR(__xludf.DUMMYFUNCTION("""COMPUTED_VALUE"""),"K/29/270525/1")</f>
        <v>K/29/270525/1</v>
      </c>
      <c r="C4545" s="42" t="str">
        <f>IFERROR(__xludf.DUMMYFUNCTION("""COMPUTED_VALUE"""),"B. 738/ Sukarame Baru")</f>
        <v>B. 738/ Sukarame Baru</v>
      </c>
      <c r="D4545" s="42"/>
      <c r="E4545" s="42"/>
      <c r="F4545" s="48" t="str">
        <f>IFERROR(__xludf.DUMMYFUNCTION("""COMPUTED_VALUE"""),"")</f>
        <v/>
      </c>
      <c r="G4545" s="42" t="str">
        <f>IFERROR(__xludf.DUMMYFUNCTION("""COMPUTED_VALUE"""),"Perubahan Hak")</f>
        <v>Perubahan Hak</v>
      </c>
      <c r="H4545" s="42">
        <f t="shared" si="1"/>
        <v>2007</v>
      </c>
    </row>
    <row r="4546" ht="22.5" customHeight="1">
      <c r="B4546" s="42" t="str">
        <f>IFERROR(__xludf.DUMMYFUNCTION("""COMPUTED_VALUE"""),"K/30/270525/1")</f>
        <v>K/30/270525/1</v>
      </c>
      <c r="C4546" s="42" t="str">
        <f>IFERROR(__xludf.DUMMYFUNCTION("""COMPUTED_VALUE"""),"M. 12337/ Sukarame")</f>
        <v>M. 12337/ Sukarame</v>
      </c>
      <c r="D4546" s="42" t="str">
        <f>IFERROR(__xludf.DUMMYFUNCTION("""COMPUTED_VALUE"""),"Berry")</f>
        <v>Berry</v>
      </c>
      <c r="E4546" s="42" t="str">
        <f>IFERROR(__xludf.DUMMYFUNCTION("""COMPUTED_VALUE"""),"DISERAHKAN")</f>
        <v>DISERAHKAN</v>
      </c>
      <c r="F4546" s="48">
        <f>IFERROR(__xludf.DUMMYFUNCTION("""COMPUTED_VALUE"""),45838.663331805554)</f>
        <v>45838.66333</v>
      </c>
      <c r="G4546" s="42" t="str">
        <f>IFERROR(__xludf.DUMMYFUNCTION("""COMPUTED_VALUE"""),"BN Jual Beli")</f>
        <v>BN Jual Beli</v>
      </c>
      <c r="H4546" s="42">
        <f t="shared" si="1"/>
        <v>2008</v>
      </c>
    </row>
    <row r="4547" ht="22.5" customHeight="1">
      <c r="B4547" s="42" t="str">
        <f>IFERROR(__xludf.DUMMYFUNCTION("""COMPUTED_VALUE"""),"L/31/270525/1")</f>
        <v>L/31/270525/1</v>
      </c>
      <c r="C4547" s="42" t="str">
        <f>IFERROR(__xludf.DUMMYFUNCTION("""COMPUTED_VALUE"""),"HM 970/SUMBER REJO")</f>
        <v>HM 970/SUMBER REJO</v>
      </c>
      <c r="D4547" s="42" t="str">
        <f>IFERROR(__xludf.DUMMYFUNCTION("""COMPUTED_VALUE"""),"Berry")</f>
        <v>Berry</v>
      </c>
      <c r="E4547" s="42" t="str">
        <f>IFERROR(__xludf.DUMMYFUNCTION("""COMPUTED_VALUE"""),"DISERAHKAN")</f>
        <v>DISERAHKAN</v>
      </c>
      <c r="F4547" s="48">
        <f>IFERROR(__xludf.DUMMYFUNCTION("""COMPUTED_VALUE"""),45847.50513795139)</f>
        <v>45847.50514</v>
      </c>
      <c r="G4547" s="42" t="str">
        <f>IFERROR(__xludf.DUMMYFUNCTION("""COMPUTED_VALUE"""),"BN WARIS")</f>
        <v>BN WARIS</v>
      </c>
      <c r="H4547" s="42">
        <f t="shared" si="1"/>
        <v>2009</v>
      </c>
    </row>
    <row r="4548" ht="22.5" customHeight="1">
      <c r="B4548" s="42" t="str">
        <f>IFERROR(__xludf.DUMMYFUNCTION("""COMPUTED_VALUE"""),"K/1/280525/1")</f>
        <v>K/1/280525/1</v>
      </c>
      <c r="C4548" s="42" t="str">
        <f>IFERROR(__xludf.DUMMYFUNCTION("""COMPUTED_VALUE"""),"NIBEL M.16905/RAJABASA")</f>
        <v>NIBEL M.16905/RAJABASA</v>
      </c>
      <c r="D4548" s="42"/>
      <c r="E4548" s="42"/>
      <c r="F4548" s="48" t="str">
        <f>IFERROR(__xludf.DUMMYFUNCTION("""COMPUTED_VALUE"""),"")</f>
        <v/>
      </c>
      <c r="G4548" s="42" t="str">
        <f>IFERROR(__xludf.DUMMYFUNCTION("""COMPUTED_VALUE"""),"BN JUAL BELI")</f>
        <v>BN JUAL BELI</v>
      </c>
      <c r="H4548" s="42">
        <f t="shared" si="1"/>
        <v>2009</v>
      </c>
    </row>
    <row r="4549" ht="22.5" customHeight="1">
      <c r="B4549" s="42" t="str">
        <f>IFERROR(__xludf.DUMMYFUNCTION("""COMPUTED_VALUE"""),"K/3/280525/1")</f>
        <v>K/3/280525/1</v>
      </c>
      <c r="C4549" s="42" t="str">
        <f>IFERROR(__xludf.DUMMYFUNCTION("""COMPUTED_VALUE"""),"M.1143/SUMBERREJO SEJAHTERA")</f>
        <v>M.1143/SUMBERREJO SEJAHTERA</v>
      </c>
      <c r="D4549" s="42"/>
      <c r="E4549" s="42"/>
      <c r="F4549" s="48" t="str">
        <f>IFERROR(__xludf.DUMMYFUNCTION("""COMPUTED_VALUE"""),"")</f>
        <v/>
      </c>
      <c r="G4549" s="42" t="str">
        <f>IFERROR(__xludf.DUMMYFUNCTION("""COMPUTED_VALUE"""),"JUAL BELI")</f>
        <v>JUAL BELI</v>
      </c>
      <c r="H4549" s="42">
        <f t="shared" si="1"/>
        <v>2009</v>
      </c>
    </row>
    <row r="4550" ht="22.5" customHeight="1">
      <c r="B4550" s="42" t="str">
        <f>IFERROR(__xludf.DUMMYFUNCTION("""COMPUTED_VALUE"""),"L/2/280525/1")</f>
        <v>L/2/280525/1</v>
      </c>
      <c r="C4550" s="42" t="str">
        <f>IFERROR(__xludf.DUMMYFUNCTION("""COMPUTED_VALUE"""),"PBT. 51/2025 TANJUNG AGUNG")</f>
        <v>PBT. 51/2025 TANJUNG AGUNG</v>
      </c>
      <c r="D4550" s="42"/>
      <c r="E4550" s="42"/>
      <c r="F4550" s="48" t="str">
        <f>IFERROR(__xludf.DUMMYFUNCTION("""COMPUTED_VALUE"""),"")</f>
        <v/>
      </c>
      <c r="G4550" s="42" t="str">
        <f>IFERROR(__xludf.DUMMYFUNCTION("""COMPUTED_VALUE"""),"PERMOHONAN SK")</f>
        <v>PERMOHONAN SK</v>
      </c>
      <c r="H4550" s="42">
        <f t="shared" si="1"/>
        <v>2009</v>
      </c>
    </row>
    <row r="4551" ht="22.5" customHeight="1">
      <c r="B4551" s="42" t="str">
        <f>IFERROR(__xludf.DUMMYFUNCTION("""COMPUTED_VALUE"""),"K/5/280525/2")</f>
        <v>K/5/280525/2</v>
      </c>
      <c r="C4551" s="42" t="str">
        <f>IFERROR(__xludf.DUMMYFUNCTION("""COMPUTED_VALUE"""),"M.1000/SUMBEREJO SEJAHTERA")</f>
        <v>M.1000/SUMBEREJO SEJAHTERA</v>
      </c>
      <c r="D4551" s="42" t="str">
        <f>IFERROR(__xludf.DUMMYFUNCTION("""COMPUTED_VALUE"""),"Berry")</f>
        <v>Berry</v>
      </c>
      <c r="E4551" s="42" t="str">
        <f>IFERROR(__xludf.DUMMYFUNCTION("""COMPUTED_VALUE"""),"DISERAHKAN")</f>
        <v>DISERAHKAN</v>
      </c>
      <c r="F4551" s="48">
        <f>IFERROR(__xludf.DUMMYFUNCTION("""COMPUTED_VALUE"""),45828.5322366551)</f>
        <v>45828.53224</v>
      </c>
      <c r="G4551" s="42" t="str">
        <f>IFERROR(__xludf.DUMMYFUNCTION("""COMPUTED_VALUE"""),"JUAL BELI")</f>
        <v>JUAL BELI</v>
      </c>
      <c r="H4551" s="42">
        <f t="shared" si="1"/>
        <v>2010</v>
      </c>
    </row>
    <row r="4552" ht="22.5" customHeight="1">
      <c r="B4552" s="42" t="str">
        <f>IFERROR(__xludf.DUMMYFUNCTION("""COMPUTED_VALUE"""),"K/4/280525/1")</f>
        <v>K/4/280525/1</v>
      </c>
      <c r="C4552" s="42" t="str">
        <f>IFERROR(__xludf.DUMMYFUNCTION("""COMPUTED_VALUE"""),"Nibel. B. 19485/ Rajabasa Nunyai")</f>
        <v>Nibel. B. 19485/ Rajabasa Nunyai</v>
      </c>
      <c r="D4552" s="42"/>
      <c r="E4552" s="42"/>
      <c r="F4552" s="48" t="str">
        <f>IFERROR(__xludf.DUMMYFUNCTION("""COMPUTED_VALUE"""),"")</f>
        <v/>
      </c>
      <c r="G4552" s="42" t="str">
        <f>IFERROR(__xludf.DUMMYFUNCTION("""COMPUTED_VALUE"""),"Perubahan Hak")</f>
        <v>Perubahan Hak</v>
      </c>
      <c r="H4552" s="42">
        <f t="shared" si="1"/>
        <v>2010</v>
      </c>
    </row>
    <row r="4553" ht="22.5" customHeight="1">
      <c r="B4553" s="42" t="str">
        <f>IFERROR(__xludf.DUMMYFUNCTION("""COMPUTED_VALUE"""),"K/7/280525/3")</f>
        <v>K/7/280525/3</v>
      </c>
      <c r="C4553" s="42" t="str">
        <f>IFERROR(__xludf.DUMMYFUNCTION("""COMPUTED_VALUE"""),"M.3035/KOTA KARANG")</f>
        <v>M.3035/KOTA KARANG</v>
      </c>
      <c r="D4553" s="42"/>
      <c r="E4553" s="42"/>
      <c r="F4553" s="48" t="str">
        <f>IFERROR(__xludf.DUMMYFUNCTION("""COMPUTED_VALUE"""),"")</f>
        <v/>
      </c>
      <c r="G4553" s="42" t="str">
        <f>IFERROR(__xludf.DUMMYFUNCTION("""COMPUTED_VALUE"""),"HAPUS BPHTB")</f>
        <v>HAPUS BPHTB</v>
      </c>
      <c r="H4553" s="42">
        <f t="shared" si="1"/>
        <v>2010</v>
      </c>
    </row>
    <row r="4554" ht="22.5" customHeight="1">
      <c r="B4554" s="42" t="str">
        <f>IFERROR(__xludf.DUMMYFUNCTION("""COMPUTED_VALUE"""),"L/6/280525/1")</f>
        <v>L/6/280525/1</v>
      </c>
      <c r="C4554" s="42" t="str">
        <f>IFERROR(__xludf.DUMMYFUNCTION("""COMPUTED_VALUE"""),"M. 12345/SEGALA MIDER")</f>
        <v>M. 12345/SEGALA MIDER</v>
      </c>
      <c r="D4554" s="42" t="str">
        <f>IFERROR(__xludf.DUMMYFUNCTION("""COMPUTED_VALUE"""),"David")</f>
        <v>David</v>
      </c>
      <c r="E4554" s="42" t="str">
        <f>IFERROR(__xludf.DUMMYFUNCTION("""COMPUTED_VALUE"""),"DISERAHKAN")</f>
        <v>DISERAHKAN</v>
      </c>
      <c r="F4554" s="48">
        <f>IFERROR(__xludf.DUMMYFUNCTION("""COMPUTED_VALUE"""),45826.52517028935)</f>
        <v>45826.52517</v>
      </c>
      <c r="G4554" s="42" t="str">
        <f>IFERROR(__xludf.DUMMYFUNCTION("""COMPUTED_VALUE"""),"ROYA")</f>
        <v>ROYA</v>
      </c>
      <c r="H4554" s="42">
        <f t="shared" si="1"/>
        <v>2011</v>
      </c>
    </row>
    <row r="4555" ht="22.5" customHeight="1">
      <c r="B4555" s="42" t="str">
        <f>IFERROR(__xludf.DUMMYFUNCTION("""COMPUTED_VALUE"""),"L/8/280525/1")</f>
        <v>L/8/280525/1</v>
      </c>
      <c r="C4555" s="42" t="str">
        <f>IFERROR(__xludf.DUMMYFUNCTION("""COMPUTED_VALUE"""),"NIBEL M. 20566/TANJUNG SENANG")</f>
        <v>NIBEL M. 20566/TANJUNG SENANG</v>
      </c>
      <c r="D4555" s="42"/>
      <c r="E4555" s="42"/>
      <c r="F4555" s="48" t="str">
        <f>IFERROR(__xludf.DUMMYFUNCTION("""COMPUTED_VALUE"""),"")</f>
        <v/>
      </c>
      <c r="G4555" s="42" t="str">
        <f>IFERROR(__xludf.DUMMYFUNCTION("""COMPUTED_VALUE"""),"PEMECAHAN")</f>
        <v>PEMECAHAN</v>
      </c>
      <c r="H4555" s="42">
        <f t="shared" si="1"/>
        <v>2011</v>
      </c>
    </row>
    <row r="4556" ht="22.5" customHeight="1">
      <c r="B4556" s="42" t="str">
        <f>IFERROR(__xludf.DUMMYFUNCTION("""COMPUTED_VALUE"""),"K/9/280525/1")</f>
        <v>K/9/280525/1</v>
      </c>
      <c r="C4556" s="42" t="str">
        <f>IFERROR(__xludf.DUMMYFUNCTION("""COMPUTED_VALUE"""),"Nibel. M. 21446/ Kuripan")</f>
        <v>Nibel. M. 21446/ Kuripan</v>
      </c>
      <c r="D4556" s="42"/>
      <c r="E4556" s="42"/>
      <c r="F4556" s="48" t="str">
        <f>IFERROR(__xludf.DUMMYFUNCTION("""COMPUTED_VALUE"""),"")</f>
        <v/>
      </c>
      <c r="G4556" s="42" t="str">
        <f>IFERROR(__xludf.DUMMYFUNCTION("""COMPUTED_VALUE"""),"BN Lelang")</f>
        <v>BN Lelang</v>
      </c>
      <c r="H4556" s="42">
        <f t="shared" si="1"/>
        <v>2011</v>
      </c>
    </row>
    <row r="4557" ht="22.5" customHeight="1">
      <c r="B4557" s="42" t="str">
        <f>IFERROR(__xludf.DUMMYFUNCTION("""COMPUTED_VALUE"""),"K/11/280525/1")</f>
        <v>K/11/280525/1</v>
      </c>
      <c r="C4557" s="42" t="str">
        <f>IFERROR(__xludf.DUMMYFUNCTION("""COMPUTED_VALUE"""),"M.18110/SUKARAME I")</f>
        <v>M.18110/SUKARAME I</v>
      </c>
      <c r="D4557" s="42"/>
      <c r="E4557" s="42"/>
      <c r="F4557" s="48" t="str">
        <f>IFERROR(__xludf.DUMMYFUNCTION("""COMPUTED_VALUE"""),"")</f>
        <v/>
      </c>
      <c r="G4557" s="42" t="str">
        <f>IFERROR(__xludf.DUMMYFUNCTION("""COMPUTED_VALUE"""),"SKPT LELANG")</f>
        <v>SKPT LELANG</v>
      </c>
      <c r="H4557" s="42">
        <f t="shared" si="1"/>
        <v>2011</v>
      </c>
    </row>
    <row r="4558" ht="22.5" customHeight="1">
      <c r="B4558" s="42" t="str">
        <f>IFERROR(__xludf.DUMMYFUNCTION("""COMPUTED_VALUE"""),"K/12/280525/2")</f>
        <v>K/12/280525/2</v>
      </c>
      <c r="C4558" s="42" t="str">
        <f>IFERROR(__xludf.DUMMYFUNCTION("""COMPUTED_VALUE"""),"M.12726/SUKABUMI")</f>
        <v>M.12726/SUKABUMI</v>
      </c>
      <c r="D4558" s="42"/>
      <c r="E4558" s="42"/>
      <c r="F4558" s="48" t="str">
        <f>IFERROR(__xludf.DUMMYFUNCTION("""COMPUTED_VALUE"""),"")</f>
        <v/>
      </c>
      <c r="G4558" s="42" t="str">
        <f>IFERROR(__xludf.DUMMYFUNCTION("""COMPUTED_VALUE"""),"SKPT LELANG")</f>
        <v>SKPT LELANG</v>
      </c>
      <c r="H4558" s="42">
        <f t="shared" si="1"/>
        <v>2011</v>
      </c>
    </row>
    <row r="4559" ht="22.5" customHeight="1">
      <c r="B4559" s="42" t="str">
        <f>IFERROR(__xludf.DUMMYFUNCTION("""COMPUTED_VALUE"""),"K/13/280525/3")</f>
        <v>K/13/280525/3</v>
      </c>
      <c r="C4559" s="42" t="str">
        <f>IFERROR(__xludf.DUMMYFUNCTION("""COMPUTED_VALUE"""),"M.67/SUMBEREJO SEJAHTERA")</f>
        <v>M.67/SUMBEREJO SEJAHTERA</v>
      </c>
      <c r="D4559" s="42"/>
      <c r="E4559" s="42"/>
      <c r="F4559" s="48" t="str">
        <f>IFERROR(__xludf.DUMMYFUNCTION("""COMPUTED_VALUE"""),"")</f>
        <v/>
      </c>
      <c r="G4559" s="42" t="str">
        <f>IFERROR(__xludf.DUMMYFUNCTION("""COMPUTED_VALUE"""),"SKPT LELANG")</f>
        <v>SKPT LELANG</v>
      </c>
      <c r="H4559" s="42">
        <f t="shared" si="1"/>
        <v>2011</v>
      </c>
    </row>
    <row r="4560" ht="22.5" customHeight="1">
      <c r="B4560" s="42" t="str">
        <f>IFERROR(__xludf.DUMMYFUNCTION("""COMPUTED_VALUE"""),"K/14/280525/4")</f>
        <v>K/14/280525/4</v>
      </c>
      <c r="C4560" s="42" t="str">
        <f>IFERROR(__xludf.DUMMYFUNCTION("""COMPUTED_VALUE"""),"M.946/RAJABASA JAYA")</f>
        <v>M.946/RAJABASA JAYA</v>
      </c>
      <c r="D4560" s="42"/>
      <c r="E4560" s="42"/>
      <c r="F4560" s="48" t="str">
        <f>IFERROR(__xludf.DUMMYFUNCTION("""COMPUTED_VALUE"""),"")</f>
        <v/>
      </c>
      <c r="G4560" s="42" t="str">
        <f>IFERROR(__xludf.DUMMYFUNCTION("""COMPUTED_VALUE"""),"SKPT LELANG")</f>
        <v>SKPT LELANG</v>
      </c>
      <c r="H4560" s="42">
        <f t="shared" si="1"/>
        <v>2011</v>
      </c>
    </row>
    <row r="4561" ht="22.5" customHeight="1">
      <c r="B4561" s="42" t="str">
        <f>IFERROR(__xludf.DUMMYFUNCTION("""COMPUTED_VALUE"""),"K/15/280525/5")</f>
        <v>K/15/280525/5</v>
      </c>
      <c r="C4561" s="42" t="str">
        <f>IFERROR(__xludf.DUMMYFUNCTION("""COMPUTED_VALUE"""),"M.942/RAKJABASA JAYA")</f>
        <v>M.942/RAKJABASA JAYA</v>
      </c>
      <c r="D4561" s="42"/>
      <c r="E4561" s="42"/>
      <c r="F4561" s="48" t="str">
        <f>IFERROR(__xludf.DUMMYFUNCTION("""COMPUTED_VALUE"""),"")</f>
        <v/>
      </c>
      <c r="G4561" s="42" t="str">
        <f>IFERROR(__xludf.DUMMYFUNCTION("""COMPUTED_VALUE"""),"SKPT LELANG")</f>
        <v>SKPT LELANG</v>
      </c>
      <c r="H4561" s="42">
        <f t="shared" si="1"/>
        <v>2011</v>
      </c>
    </row>
    <row r="4562" ht="22.5" customHeight="1">
      <c r="B4562" s="42" t="str">
        <f>IFERROR(__xludf.DUMMYFUNCTION("""COMPUTED_VALUE"""),"L/10/280525/1")</f>
        <v>L/10/280525/1</v>
      </c>
      <c r="C4562" s="42" t="str">
        <f>IFERROR(__xludf.DUMMYFUNCTION("""COMPUTED_VALUE"""),"M. 3801/LANGKAPURA BARU")</f>
        <v>M. 3801/LANGKAPURA BARU</v>
      </c>
      <c r="D4562" s="42" t="str">
        <f>IFERROR(__xludf.DUMMYFUNCTION("""COMPUTED_VALUE"""),"David")</f>
        <v>David</v>
      </c>
      <c r="E4562" s="42" t="str">
        <f>IFERROR(__xludf.DUMMYFUNCTION("""COMPUTED_VALUE"""),"DISERAHKAN")</f>
        <v>DISERAHKAN</v>
      </c>
      <c r="F4562" s="48">
        <f>IFERROR(__xludf.DUMMYFUNCTION("""COMPUTED_VALUE"""),45826.529498125004)</f>
        <v>45826.5295</v>
      </c>
      <c r="G4562" s="42" t="str">
        <f>IFERROR(__xludf.DUMMYFUNCTION("""COMPUTED_VALUE"""),"ROYA")</f>
        <v>ROYA</v>
      </c>
      <c r="H4562" s="42">
        <f t="shared" si="1"/>
        <v>2012</v>
      </c>
    </row>
    <row r="4563" ht="22.5" customHeight="1">
      <c r="B4563" s="42" t="str">
        <f>IFERROR(__xludf.DUMMYFUNCTION("""COMPUTED_VALUE"""),"K/16/280525/1")</f>
        <v>K/16/280525/1</v>
      </c>
      <c r="C4563" s="42" t="str">
        <f>IFERROR(__xludf.DUMMYFUNCTION("""COMPUTED_VALUE"""),"M.12661/KALI BALAU KENCANA")</f>
        <v>M.12661/KALI BALAU KENCANA</v>
      </c>
      <c r="D4563" s="42" t="str">
        <f>IFERROR(__xludf.DUMMYFUNCTION("""COMPUTED_VALUE"""),"Berry")</f>
        <v>Berry</v>
      </c>
      <c r="E4563" s="42" t="str">
        <f>IFERROR(__xludf.DUMMYFUNCTION("""COMPUTED_VALUE"""),"DISERAHKAN")</f>
        <v>DISERAHKAN</v>
      </c>
      <c r="F4563" s="48">
        <f>IFERROR(__xludf.DUMMYFUNCTION("""COMPUTED_VALUE"""),45852.63111765047)</f>
        <v>45852.63112</v>
      </c>
      <c r="G4563" s="42" t="str">
        <f>IFERROR(__xludf.DUMMYFUNCTION("""COMPUTED_VALUE"""),"JUAL BELI")</f>
        <v>JUAL BELI</v>
      </c>
      <c r="H4563" s="42">
        <f t="shared" si="1"/>
        <v>2013</v>
      </c>
    </row>
    <row r="4564" ht="22.5" customHeight="1">
      <c r="B4564" s="42" t="str">
        <f>IFERROR(__xludf.DUMMYFUNCTION("""COMPUTED_VALUE"""),"K/17/280525/2")</f>
        <v>K/17/280525/2</v>
      </c>
      <c r="C4564" s="42" t="str">
        <f>IFERROR(__xludf.DUMMYFUNCTION("""COMPUTED_VALUE"""),"M.2274/RAJABASA RAYA")</f>
        <v>M.2274/RAJABASA RAYA</v>
      </c>
      <c r="D4564" s="42" t="str">
        <f>IFERROR(__xludf.DUMMYFUNCTION("""COMPUTED_VALUE"""),"Berry")</f>
        <v>Berry</v>
      </c>
      <c r="E4564" s="42" t="str">
        <f>IFERROR(__xludf.DUMMYFUNCTION("""COMPUTED_VALUE"""),"DISERAHKAN")</f>
        <v>DISERAHKAN</v>
      </c>
      <c r="F4564" s="48">
        <f>IFERROR(__xludf.DUMMYFUNCTION("""COMPUTED_VALUE"""),45852.63018952546)</f>
        <v>45852.63019</v>
      </c>
      <c r="G4564" s="42" t="str">
        <f>IFERROR(__xludf.DUMMYFUNCTION("""COMPUTED_VALUE"""),"JUAL BELI")</f>
        <v>JUAL BELI</v>
      </c>
      <c r="H4564" s="42">
        <f t="shared" si="1"/>
        <v>2014</v>
      </c>
    </row>
    <row r="4565" ht="22.5" customHeight="1">
      <c r="B4565" s="42" t="str">
        <f>IFERROR(__xludf.DUMMYFUNCTION("""COMPUTED_VALUE"""),"K/18/280525/3")</f>
        <v>K/18/280525/3</v>
      </c>
      <c r="C4565" s="42" t="str">
        <f>IFERROR(__xludf.DUMMYFUNCTION("""COMPUTED_VALUE"""),"NIBEL M 19065/RAJABASA JAYA")</f>
        <v>NIBEL M 19065/RAJABASA JAYA</v>
      </c>
      <c r="D4565" s="42"/>
      <c r="E4565" s="42"/>
      <c r="F4565" s="48" t="str">
        <f>IFERROR(__xludf.DUMMYFUNCTION("""COMPUTED_VALUE"""),"")</f>
        <v/>
      </c>
      <c r="G4565" s="42" t="str">
        <f>IFERROR(__xludf.DUMMYFUNCTION("""COMPUTED_VALUE"""),"JUAL BELI")</f>
        <v>JUAL BELI</v>
      </c>
      <c r="H4565" s="42">
        <f t="shared" si="1"/>
        <v>2014</v>
      </c>
    </row>
    <row r="4566" ht="22.5" customHeight="1">
      <c r="B4566" s="42" t="str">
        <f>IFERROR(__xludf.DUMMYFUNCTION("""COMPUTED_VALUE"""),"K/19/280525/1")</f>
        <v>K/19/280525/1</v>
      </c>
      <c r="C4566" s="42" t="str">
        <f>IFERROR(__xludf.DUMMYFUNCTION("""COMPUTED_VALUE"""),"M.10563/SUKABUMI")</f>
        <v>M.10563/SUKABUMI</v>
      </c>
      <c r="D4566" s="42" t="str">
        <f>IFERROR(__xludf.DUMMYFUNCTION("""COMPUTED_VALUE"""),"David")</f>
        <v>David</v>
      </c>
      <c r="E4566" s="42" t="str">
        <f>IFERROR(__xludf.DUMMYFUNCTION("""COMPUTED_VALUE"""),"DISERAHKAN")</f>
        <v>DISERAHKAN</v>
      </c>
      <c r="F4566" s="48">
        <f>IFERROR(__xludf.DUMMYFUNCTION("""COMPUTED_VALUE"""),45832.53295488426)</f>
        <v>45832.53295</v>
      </c>
      <c r="G4566" s="42" t="str">
        <f>IFERROR(__xludf.DUMMYFUNCTION("""COMPUTED_VALUE"""),"ROYA")</f>
        <v>ROYA</v>
      </c>
      <c r="H4566" s="42">
        <f t="shared" si="1"/>
        <v>2015</v>
      </c>
    </row>
    <row r="4567" ht="22.5" customHeight="1">
      <c r="B4567" s="42" t="str">
        <f>IFERROR(__xludf.DUMMYFUNCTION("""COMPUTED_VALUE"""),"K/20/280525/1")</f>
        <v>K/20/280525/1</v>
      </c>
      <c r="C4567" s="42" t="str">
        <f>IFERROR(__xludf.DUMMYFUNCTION("""COMPUTED_VALUE"""),"B.583/SUMBER AGUNG")</f>
        <v>B.583/SUMBER AGUNG</v>
      </c>
      <c r="D4567" s="42" t="str">
        <f>IFERROR(__xludf.DUMMYFUNCTION("""COMPUTED_VALUE"""),"Berry")</f>
        <v>Berry</v>
      </c>
      <c r="E4567" s="42" t="str">
        <f>IFERROR(__xludf.DUMMYFUNCTION("""COMPUTED_VALUE"""),"DISERAHKAN")</f>
        <v>DISERAHKAN</v>
      </c>
      <c r="F4567" s="48">
        <f>IFERROR(__xludf.DUMMYFUNCTION("""COMPUTED_VALUE"""),45828.53324482639)</f>
        <v>45828.53324</v>
      </c>
      <c r="G4567" s="42" t="str">
        <f>IFERROR(__xludf.DUMMYFUNCTION("""COMPUTED_VALUE"""),"JUAL BELI")</f>
        <v>JUAL BELI</v>
      </c>
      <c r="H4567" s="42">
        <f t="shared" si="1"/>
        <v>2016</v>
      </c>
    </row>
    <row r="4568" ht="22.5" customHeight="1">
      <c r="B4568" s="42" t="str">
        <f>IFERROR(__xludf.DUMMYFUNCTION("""COMPUTED_VALUE"""),"K/21/280525/1")</f>
        <v>K/21/280525/1</v>
      </c>
      <c r="C4568" s="42" t="str">
        <f>IFERROR(__xludf.DUMMYFUNCTION("""COMPUTED_VALUE"""),"PBT 33/2025 /RAJABASA JAYA")</f>
        <v>PBT 33/2025 /RAJABASA JAYA</v>
      </c>
      <c r="D4568" s="42"/>
      <c r="E4568" s="42"/>
      <c r="F4568" s="48" t="str">
        <f>IFERROR(__xludf.DUMMYFUNCTION("""COMPUTED_VALUE"""),"")</f>
        <v/>
      </c>
      <c r="G4568" s="42" t="str">
        <f>IFERROR(__xludf.DUMMYFUNCTION("""COMPUTED_VALUE"""),"PERMOHONAN SK")</f>
        <v>PERMOHONAN SK</v>
      </c>
      <c r="H4568" s="42">
        <f t="shared" si="1"/>
        <v>2016</v>
      </c>
    </row>
    <row r="4569" ht="22.5" customHeight="1">
      <c r="B4569" s="42" t="str">
        <f>IFERROR(__xludf.DUMMYFUNCTION("""COMPUTED_VALUE"""),"K/23/280525/1")</f>
        <v>K/23/280525/1</v>
      </c>
      <c r="C4569" s="42" t="str">
        <f>IFERROR(__xludf.DUMMYFUNCTION("""COMPUTED_VALUE"""),"B. 260/ Sumberejo (PBT. 35/2025 Beringin Raya)")</f>
        <v>B. 260/ Sumberejo (PBT. 35/2025 Beringin Raya)</v>
      </c>
      <c r="D4569" s="42"/>
      <c r="E4569" s="42"/>
      <c r="F4569" s="48" t="str">
        <f>IFERROR(__xludf.DUMMYFUNCTION("""COMPUTED_VALUE"""),"")</f>
        <v/>
      </c>
      <c r="G4569" s="42" t="str">
        <f>IFERROR(__xludf.DUMMYFUNCTION("""COMPUTED_VALUE"""),"Permohonan SK")</f>
        <v>Permohonan SK</v>
      </c>
      <c r="H4569" s="42">
        <f t="shared" si="1"/>
        <v>2016</v>
      </c>
    </row>
    <row r="4570" ht="22.5" customHeight="1">
      <c r="B4570" s="42" t="str">
        <f>IFERROR(__xludf.DUMMYFUNCTION("""COMPUTED_VALUE"""),"K/26/280525/1")</f>
        <v>K/26/280525/1</v>
      </c>
      <c r="C4570" s="42" t="str">
        <f>IFERROR(__xludf.DUMMYFUNCTION("""COMPUTED_VALUE"""),"M.319/PEMATANG WANGI")</f>
        <v>M.319/PEMATANG WANGI</v>
      </c>
      <c r="D4570" s="42"/>
      <c r="E4570" s="42"/>
      <c r="F4570" s="48" t="str">
        <f>IFERROR(__xludf.DUMMYFUNCTION("""COMPUTED_VALUE"""),"")</f>
        <v/>
      </c>
      <c r="G4570" s="42" t="str">
        <f>IFERROR(__xludf.DUMMYFUNCTION("""COMPUTED_VALUE"""),"PTPGT PERPANJANGAN")</f>
        <v>PTPGT PERPANJANGAN</v>
      </c>
      <c r="H4570" s="42">
        <f t="shared" si="1"/>
        <v>2016</v>
      </c>
    </row>
    <row r="4571" ht="22.5" customHeight="1">
      <c r="B4571" s="42" t="str">
        <f>IFERROR(__xludf.DUMMYFUNCTION("""COMPUTED_VALUE"""),"K/24/280525/1")</f>
        <v>K/24/280525/1</v>
      </c>
      <c r="C4571" s="42" t="str">
        <f>IFERROR(__xludf.DUMMYFUNCTION("""COMPUTED_VALUE"""),"M. 1218/ Kupang Teba")</f>
        <v>M. 1218/ Kupang Teba</v>
      </c>
      <c r="D4571" s="42"/>
      <c r="E4571" s="42"/>
      <c r="F4571" s="48" t="str">
        <f>IFERROR(__xludf.DUMMYFUNCTION("""COMPUTED_VALUE"""),"")</f>
        <v/>
      </c>
      <c r="G4571" s="42" t="str">
        <f>IFERROR(__xludf.DUMMYFUNCTION("""COMPUTED_VALUE"""),"Roya")</f>
        <v>Roya</v>
      </c>
      <c r="H4571" s="42">
        <f t="shared" si="1"/>
        <v>2016</v>
      </c>
    </row>
    <row r="4572" ht="22.5" customHeight="1">
      <c r="B4572" s="42" t="str">
        <f>IFERROR(__xludf.DUMMYFUNCTION("""COMPUTED_VALUE"""),"K/25/280525/2")</f>
        <v>K/25/280525/2</v>
      </c>
      <c r="C4572" s="42" t="str">
        <f>IFERROR(__xludf.DUMMYFUNCTION("""COMPUTED_VALUE"""),"M. 1766/ Bumiwaras")</f>
        <v>M. 1766/ Bumiwaras</v>
      </c>
      <c r="D4572" s="42" t="str">
        <f>IFERROR(__xludf.DUMMYFUNCTION("""COMPUTED_VALUE"""),"Berry")</f>
        <v>Berry</v>
      </c>
      <c r="E4572" s="42" t="str">
        <f>IFERROR(__xludf.DUMMYFUNCTION("""COMPUTED_VALUE"""),"DISERAHKAN")</f>
        <v>DISERAHKAN</v>
      </c>
      <c r="F4572" s="48">
        <f>IFERROR(__xludf.DUMMYFUNCTION("""COMPUTED_VALUE"""),45838.68054403935)</f>
        <v>45838.68054</v>
      </c>
      <c r="G4572" s="42" t="str">
        <f>IFERROR(__xludf.DUMMYFUNCTION("""COMPUTED_VALUE"""),"BN Waris")</f>
        <v>BN Waris</v>
      </c>
      <c r="H4572" s="42">
        <f t="shared" si="1"/>
        <v>2017</v>
      </c>
    </row>
    <row r="4573" ht="22.5" customHeight="1">
      <c r="B4573" s="42" t="str">
        <f>IFERROR(__xludf.DUMMYFUNCTION("""COMPUTED_VALUE"""),"K/27/280525/2")</f>
        <v>K/27/280525/2</v>
      </c>
      <c r="C4573" s="42" t="str">
        <f>IFERROR(__xludf.DUMMYFUNCTION("""COMPUTED_VALUE"""),"B.320/PEMATANG WANGI")</f>
        <v>B.320/PEMATANG WANGI</v>
      </c>
      <c r="D4573" s="42"/>
      <c r="E4573" s="42"/>
      <c r="F4573" s="48" t="str">
        <f>IFERROR(__xludf.DUMMYFUNCTION("""COMPUTED_VALUE"""),"")</f>
        <v/>
      </c>
      <c r="G4573" s="42" t="str">
        <f>IFERROR(__xludf.DUMMYFUNCTION("""COMPUTED_VALUE"""),"PTPGT PERPANJANGAN")</f>
        <v>PTPGT PERPANJANGAN</v>
      </c>
      <c r="H4573" s="42">
        <f t="shared" si="1"/>
        <v>2017</v>
      </c>
    </row>
    <row r="4574" ht="22.5" customHeight="1">
      <c r="B4574" s="42" t="str">
        <f>IFERROR(__xludf.DUMMYFUNCTION("""COMPUTED_VALUE"""),"L/22/280525/1")</f>
        <v>L/22/280525/1</v>
      </c>
      <c r="C4574" s="42" t="str">
        <f>IFERROR(__xludf.DUMMYFUNCTION("""COMPUTED_VALUE"""),"B. 177/SUMBERREJO SEJAHTERA")</f>
        <v>B. 177/SUMBERREJO SEJAHTERA</v>
      </c>
      <c r="D4574" s="42"/>
      <c r="E4574" s="42"/>
      <c r="F4574" s="48" t="str">
        <f>IFERROR(__xludf.DUMMYFUNCTION("""COMPUTED_VALUE"""),"")</f>
        <v/>
      </c>
      <c r="G4574" s="42" t="str">
        <f>IFERROR(__xludf.DUMMYFUNCTION("""COMPUTED_VALUE"""),"PTPGT")</f>
        <v>PTPGT</v>
      </c>
      <c r="H4574" s="42">
        <f t="shared" si="1"/>
        <v>2017</v>
      </c>
    </row>
    <row r="4575" ht="22.5" customHeight="1">
      <c r="B4575" s="42" t="str">
        <f>IFERROR(__xludf.DUMMYFUNCTION("""COMPUTED_VALUE"""),"K/28/280525/1")</f>
        <v>K/28/280525/1</v>
      </c>
      <c r="C4575" s="42" t="str">
        <f>IFERROR(__xludf.DUMMYFUNCTION("""COMPUTED_VALUE"""),"M. 9783/ Sukamenanti Baru")</f>
        <v>M. 9783/ Sukamenanti Baru</v>
      </c>
      <c r="D4575" s="42" t="str">
        <f>IFERROR(__xludf.DUMMYFUNCTION("""COMPUTED_VALUE"""),"Berry")</f>
        <v>Berry</v>
      </c>
      <c r="E4575" s="42" t="str">
        <f>IFERROR(__xludf.DUMMYFUNCTION("""COMPUTED_VALUE"""),"DISERAHKAN")</f>
        <v>DISERAHKAN</v>
      </c>
      <c r="F4575" s="48">
        <f>IFERROR(__xludf.DUMMYFUNCTION("""COMPUTED_VALUE"""),45971.43346824074)</f>
        <v>45971.43347</v>
      </c>
      <c r="G4575" s="42" t="str">
        <f>IFERROR(__xludf.DUMMYFUNCTION("""COMPUTED_VALUE"""),"Pemecahan")</f>
        <v>Pemecahan</v>
      </c>
      <c r="H4575" s="42">
        <f t="shared" si="1"/>
        <v>2018</v>
      </c>
    </row>
    <row r="4576" ht="22.5" customHeight="1">
      <c r="B4576" s="42" t="str">
        <f>IFERROR(__xludf.DUMMYFUNCTION("""COMPUTED_VALUE"""),"K/29/280525/1")</f>
        <v>K/29/280525/1</v>
      </c>
      <c r="C4576" s="42" t="str">
        <f>IFERROR(__xludf.DUMMYFUNCTION("""COMPUTED_VALUE"""),"M. 1037/ Beringin Jaya")</f>
        <v>M. 1037/ Beringin Jaya</v>
      </c>
      <c r="D4576" s="42"/>
      <c r="E4576" s="42"/>
      <c r="F4576" s="48" t="str">
        <f>IFERROR(__xludf.DUMMYFUNCTION("""COMPUTED_VALUE"""),"")</f>
        <v/>
      </c>
      <c r="G4576" s="42" t="str">
        <f>IFERROR(__xludf.DUMMYFUNCTION("""COMPUTED_VALUE"""),"BN Jual Beli")</f>
        <v>BN Jual Beli</v>
      </c>
      <c r="H4576" s="42">
        <f t="shared" si="1"/>
        <v>2018</v>
      </c>
    </row>
    <row r="4577" ht="22.5" customHeight="1">
      <c r="B4577" s="42" t="str">
        <f>IFERROR(__xludf.DUMMYFUNCTION("""COMPUTED_VALUE"""),"K/31/280525/1")</f>
        <v>K/31/280525/1</v>
      </c>
      <c r="C4577" s="42" t="str">
        <f>IFERROR(__xludf.DUMMYFUNCTION("""COMPUTED_VALUE"""),"M.9456/KAMPUNG BARU")</f>
        <v>M.9456/KAMPUNG BARU</v>
      </c>
      <c r="D4577" s="42" t="str">
        <f>IFERROR(__xludf.DUMMYFUNCTION("""COMPUTED_VALUE"""),"Berry")</f>
        <v>Berry</v>
      </c>
      <c r="E4577" s="42" t="str">
        <f>IFERROR(__xludf.DUMMYFUNCTION("""COMPUTED_VALUE"""),"DISERAHKAN")</f>
        <v>DISERAHKAN</v>
      </c>
      <c r="F4577" s="48">
        <f>IFERROR(__xludf.DUMMYFUNCTION("""COMPUTED_VALUE"""),45825.55106600694)</f>
        <v>45825.55107</v>
      </c>
      <c r="G4577" s="42" t="str">
        <f>IFERROR(__xludf.DUMMYFUNCTION("""COMPUTED_VALUE"""),"JUAL BELI")</f>
        <v>JUAL BELI</v>
      </c>
      <c r="H4577" s="42">
        <f t="shared" si="1"/>
        <v>2019</v>
      </c>
    </row>
    <row r="4578" ht="22.5" customHeight="1">
      <c r="B4578" s="42" t="str">
        <f>IFERROR(__xludf.DUMMYFUNCTION("""COMPUTED_VALUE"""),"K/30/280525/1")</f>
        <v>K/30/280525/1</v>
      </c>
      <c r="C4578" s="42" t="str">
        <f>IFERROR(__xludf.DUMMYFUNCTION("""COMPUTED_VALUE"""),"M. 10557/ Kedamaian")</f>
        <v>M. 10557/ Kedamaian</v>
      </c>
      <c r="D4578" s="42"/>
      <c r="E4578" s="42"/>
      <c r="F4578" s="48" t="str">
        <f>IFERROR(__xludf.DUMMYFUNCTION("""COMPUTED_VALUE"""),"")</f>
        <v/>
      </c>
      <c r="G4578" s="42" t="str">
        <f>IFERROR(__xludf.DUMMYFUNCTION("""COMPUTED_VALUE"""),"BN Waris")</f>
        <v>BN Waris</v>
      </c>
      <c r="H4578" s="42">
        <f t="shared" si="1"/>
        <v>2019</v>
      </c>
    </row>
    <row r="4579" ht="22.5" customHeight="1">
      <c r="B4579" s="42" t="str">
        <f>IFERROR(__xludf.DUMMYFUNCTION("""COMPUTED_VALUE"""),"K/32/280525/2")</f>
        <v>K/32/280525/2</v>
      </c>
      <c r="C4579" s="42" t="str">
        <f>IFERROR(__xludf.DUMMYFUNCTION("""COMPUTED_VALUE"""),"NIBEL M.18099/RAJABASA JAYA")</f>
        <v>NIBEL M.18099/RAJABASA JAYA</v>
      </c>
      <c r="D4579" s="42"/>
      <c r="E4579" s="42"/>
      <c r="F4579" s="48" t="str">
        <f>IFERROR(__xludf.DUMMYFUNCTION("""COMPUTED_VALUE"""),"")</f>
        <v/>
      </c>
      <c r="G4579" s="42" t="str">
        <f>IFERROR(__xludf.DUMMYFUNCTION("""COMPUTED_VALUE"""),"JUAL BELI")</f>
        <v>JUAL BELI</v>
      </c>
      <c r="H4579" s="42">
        <f t="shared" si="1"/>
        <v>2019</v>
      </c>
    </row>
    <row r="4580" ht="22.5" customHeight="1">
      <c r="B4580" s="42" t="str">
        <f>IFERROR(__xludf.DUMMYFUNCTION("""COMPUTED_VALUE"""),"L/33/280525/1")</f>
        <v>L/33/280525/1</v>
      </c>
      <c r="C4580" s="42" t="str">
        <f>IFERROR(__xludf.DUMMYFUNCTION("""COMPUTED_VALUE"""),"M. 2685/SUMBEREJO KEMILING, M. 2590/SUMBEREJO/KEMILING, M. 2591/SUMBEREJO/KEMILING")</f>
        <v>M. 2685/SUMBEREJO KEMILING, M. 2590/SUMBEREJO/KEMILING, M. 2591/SUMBEREJO/KEMILING</v>
      </c>
      <c r="D4580" s="42" t="str">
        <f>IFERROR(__xludf.DUMMYFUNCTION("""COMPUTED_VALUE"""),"David")</f>
        <v>David</v>
      </c>
      <c r="E4580" s="42" t="str">
        <f>IFERROR(__xludf.DUMMYFUNCTION("""COMPUTED_VALUE"""),"DISERAHKAN")</f>
        <v>DISERAHKAN</v>
      </c>
      <c r="F4580" s="48">
        <f>IFERROR(__xludf.DUMMYFUNCTION("""COMPUTED_VALUE"""),45859.66075541667)</f>
        <v>45859.66076</v>
      </c>
      <c r="G4580" s="42" t="str">
        <f>IFERROR(__xludf.DUMMYFUNCTION("""COMPUTED_VALUE"""),"ROYA")</f>
        <v>ROYA</v>
      </c>
      <c r="H4580" s="42">
        <f t="shared" si="1"/>
        <v>2020</v>
      </c>
    </row>
    <row r="4581" ht="22.5" customHeight="1">
      <c r="B4581" s="42" t="str">
        <f>IFERROR(__xludf.DUMMYFUNCTION("""COMPUTED_VALUE"""),"K/34/280525/1")</f>
        <v>K/34/280525/1</v>
      </c>
      <c r="C4581" s="42" t="str">
        <f>IFERROR(__xludf.DUMMYFUNCTION("""COMPUTED_VALUE"""),"M. 3243/ Gedong Air")</f>
        <v>M. 3243/ Gedong Air</v>
      </c>
      <c r="D4581" s="42"/>
      <c r="E4581" s="42"/>
      <c r="F4581" s="48" t="str">
        <f>IFERROR(__xludf.DUMMYFUNCTION("""COMPUTED_VALUE"""),"")</f>
        <v/>
      </c>
      <c r="G4581" s="42" t="str">
        <f>IFERROR(__xludf.DUMMYFUNCTION("""COMPUTED_VALUE"""),"BN Hibah")</f>
        <v>BN Hibah</v>
      </c>
      <c r="H4581" s="42">
        <f t="shared" si="1"/>
        <v>2020</v>
      </c>
    </row>
    <row r="4582" ht="22.5" customHeight="1">
      <c r="B4582" s="42" t="str">
        <f>IFERROR(__xludf.DUMMYFUNCTION("""COMPUTED_VALUE"""),"L/35/280525/1")</f>
        <v>L/35/280525/1</v>
      </c>
      <c r="C4582" s="42" t="str">
        <f>IFERROR(__xludf.DUMMYFUNCTION("""COMPUTED_VALUE"""),"M.3617/RAJABASA JAYA")</f>
        <v>M.3617/RAJABASA JAYA</v>
      </c>
      <c r="D4582" s="42" t="str">
        <f>IFERROR(__xludf.DUMMYFUNCTION("""COMPUTED_VALUE"""),"Berry")</f>
        <v>Berry</v>
      </c>
      <c r="E4582" s="42" t="str">
        <f>IFERROR(__xludf.DUMMYFUNCTION("""COMPUTED_VALUE"""),"DISERAHKAN")</f>
        <v>DISERAHKAN</v>
      </c>
      <c r="F4582" s="48">
        <f>IFERROR(__xludf.DUMMYFUNCTION("""COMPUTED_VALUE"""),45813.6411859375)</f>
        <v>45813.64119</v>
      </c>
      <c r="G4582" s="42" t="str">
        <f>IFERROR(__xludf.DUMMYFUNCTION("""COMPUTED_VALUE"""),"BN LELANG")</f>
        <v>BN LELANG</v>
      </c>
      <c r="H4582" s="42">
        <f t="shared" si="1"/>
        <v>2021</v>
      </c>
    </row>
    <row r="4583" ht="22.5" customHeight="1">
      <c r="B4583" s="42" t="str">
        <f>IFERROR(__xludf.DUMMYFUNCTION("""COMPUTED_VALUE"""),"K/36/280525/1")</f>
        <v>K/36/280525/1</v>
      </c>
      <c r="C4583" s="42" t="str">
        <f>IFERROR(__xludf.DUMMYFUNCTION("""COMPUTED_VALUE"""),"M.9058/SURABAYA")</f>
        <v>M.9058/SURABAYA</v>
      </c>
      <c r="D4583" s="42" t="str">
        <f>IFERROR(__xludf.DUMMYFUNCTION("""COMPUTED_VALUE"""),"Berry")</f>
        <v>Berry</v>
      </c>
      <c r="E4583" s="42" t="str">
        <f>IFERROR(__xludf.DUMMYFUNCTION("""COMPUTED_VALUE"""),"DISERAHKAN")</f>
        <v>DISERAHKAN</v>
      </c>
      <c r="F4583" s="48">
        <f>IFERROR(__xludf.DUMMYFUNCTION("""COMPUTED_VALUE"""),45825.51993270833)</f>
        <v>45825.51993</v>
      </c>
      <c r="G4583" s="42" t="str">
        <f>IFERROR(__xludf.DUMMYFUNCTION("""COMPUTED_VALUE"""),"KEWARISAN")</f>
        <v>KEWARISAN</v>
      </c>
      <c r="H4583" s="42">
        <f t="shared" si="1"/>
        <v>2022</v>
      </c>
    </row>
    <row r="4584" ht="22.5" customHeight="1">
      <c r="B4584" s="42" t="str">
        <f>IFERROR(__xludf.DUMMYFUNCTION("""COMPUTED_VALUE"""),"K/38/280525/1")</f>
        <v>K/38/280525/1</v>
      </c>
      <c r="C4584" s="42" t="str">
        <f>IFERROR(__xludf.DUMMYFUNCTION("""COMPUTED_VALUE"""),"Nibel. M. 19084/ Gunung Agung")</f>
        <v>Nibel. M. 19084/ Gunung Agung</v>
      </c>
      <c r="D4584" s="42"/>
      <c r="E4584" s="42"/>
      <c r="F4584" s="48" t="str">
        <f>IFERROR(__xludf.DUMMYFUNCTION("""COMPUTED_VALUE"""),"")</f>
        <v/>
      </c>
      <c r="G4584" s="42" t="str">
        <f>IFERROR(__xludf.DUMMYFUNCTION("""COMPUTED_VALUE"""),"BN Jual Beli")</f>
        <v>BN Jual Beli</v>
      </c>
      <c r="H4584" s="42">
        <f t="shared" si="1"/>
        <v>2022</v>
      </c>
    </row>
    <row r="4585" ht="22.5" customHeight="1">
      <c r="B4585" s="42" t="str">
        <f>IFERROR(__xludf.DUMMYFUNCTION("""COMPUTED_VALUE"""),"K/39/280525/1")</f>
        <v>K/39/280525/1</v>
      </c>
      <c r="C4585" s="42" t="str">
        <f>IFERROR(__xludf.DUMMYFUNCTION("""COMPUTED_VALUE"""),"M. 2634/ Sukadana Ham")</f>
        <v>M. 2634/ Sukadana Ham</v>
      </c>
      <c r="D4585" s="42" t="str">
        <f>IFERROR(__xludf.DUMMYFUNCTION("""COMPUTED_VALUE"""),"Berry")</f>
        <v>Berry</v>
      </c>
      <c r="E4585" s="42" t="str">
        <f>IFERROR(__xludf.DUMMYFUNCTION("""COMPUTED_VALUE"""),"DISERAHKAN")</f>
        <v>DISERAHKAN</v>
      </c>
      <c r="F4585" s="48">
        <f>IFERROR(__xludf.DUMMYFUNCTION("""COMPUTED_VALUE"""),45853.72398571759)</f>
        <v>45853.72399</v>
      </c>
      <c r="G4585" s="42" t="str">
        <f>IFERROR(__xludf.DUMMYFUNCTION("""COMPUTED_VALUE"""),"Roya")</f>
        <v>Roya</v>
      </c>
      <c r="H4585" s="42">
        <f t="shared" si="1"/>
        <v>2023</v>
      </c>
    </row>
    <row r="4586" ht="22.5" customHeight="1">
      <c r="B4586" s="42" t="str">
        <f>IFERROR(__xludf.DUMMYFUNCTION("""COMPUTED_VALUE"""),"K/1/020625/1")</f>
        <v>K/1/020625/1</v>
      </c>
      <c r="C4586" s="42" t="str">
        <f>IFERROR(__xludf.DUMMYFUNCTION("""COMPUTED_VALUE"""),"PBT 94/2025")</f>
        <v>PBT 94/2025</v>
      </c>
      <c r="D4586" s="42"/>
      <c r="E4586" s="42"/>
      <c r="F4586" s="48" t="str">
        <f>IFERROR(__xludf.DUMMYFUNCTION("""COMPUTED_VALUE"""),"")</f>
        <v/>
      </c>
      <c r="G4586" s="42" t="str">
        <f>IFERROR(__xludf.DUMMYFUNCTION("""COMPUTED_VALUE"""),"PTPGT HGB BERAKHIR")</f>
        <v>PTPGT HGB BERAKHIR</v>
      </c>
      <c r="H4586" s="42">
        <f t="shared" si="1"/>
        <v>2023</v>
      </c>
    </row>
    <row r="4587" ht="22.5" customHeight="1">
      <c r="B4587" s="42" t="str">
        <f>IFERROR(__xludf.DUMMYFUNCTION("""COMPUTED_VALUE"""),"K/2/020625/1")</f>
        <v>K/2/020625/1</v>
      </c>
      <c r="C4587" s="42" t="str">
        <f>IFERROR(__xludf.DUMMYFUNCTION("""COMPUTED_VALUE"""),"M.1373/WAY KANDIS")</f>
        <v>M.1373/WAY KANDIS</v>
      </c>
      <c r="D4587" s="42"/>
      <c r="E4587" s="42"/>
      <c r="F4587" s="48" t="str">
        <f>IFERROR(__xludf.DUMMYFUNCTION("""COMPUTED_VALUE"""),"")</f>
        <v/>
      </c>
      <c r="G4587" s="42" t="str">
        <f>IFERROR(__xludf.DUMMYFUNCTION("""COMPUTED_VALUE"""),"PEMECAHAN")</f>
        <v>PEMECAHAN</v>
      </c>
      <c r="H4587" s="42">
        <f t="shared" si="1"/>
        <v>2023</v>
      </c>
    </row>
    <row r="4588" ht="22.5" customHeight="1">
      <c r="B4588" s="42" t="str">
        <f>IFERROR(__xludf.DUMMYFUNCTION("""COMPUTED_VALUE"""),"L/3/020625/1")</f>
        <v>L/3/020625/1</v>
      </c>
      <c r="C4588" s="42" t="str">
        <f>IFERROR(__xludf.DUMMYFUNCTION("""COMPUTED_VALUE"""),"HM 1359/WAY KANDIS")</f>
        <v>HM 1359/WAY KANDIS</v>
      </c>
      <c r="D4588" s="42" t="str">
        <f>IFERROR(__xludf.DUMMYFUNCTION("""COMPUTED_VALUE"""),"David")</f>
        <v>David</v>
      </c>
      <c r="E4588" s="42" t="str">
        <f>IFERROR(__xludf.DUMMYFUNCTION("""COMPUTED_VALUE"""),"DISERAHKAN")</f>
        <v>DISERAHKAN</v>
      </c>
      <c r="F4588" s="48">
        <f>IFERROR(__xludf.DUMMYFUNCTION("""COMPUTED_VALUE"""),45840.60583591435)</f>
        <v>45840.60584</v>
      </c>
      <c r="G4588" s="42" t="str">
        <f>IFERROR(__xludf.DUMMYFUNCTION("""COMPUTED_VALUE"""),"ROYA")</f>
        <v>ROYA</v>
      </c>
      <c r="H4588" s="42">
        <f t="shared" si="1"/>
        <v>2024</v>
      </c>
    </row>
    <row r="4589" ht="22.5" customHeight="1">
      <c r="B4589" s="42" t="str">
        <f>IFERROR(__xludf.DUMMYFUNCTION("""COMPUTED_VALUE"""),"L/37/280525/1")</f>
        <v>L/37/280525/1</v>
      </c>
      <c r="C4589" s="42" t="str">
        <f>IFERROR(__xludf.DUMMYFUNCTION("""COMPUTED_VALUE"""),"M. 1169/TANJUNG GADING")</f>
        <v>M. 1169/TANJUNG GADING</v>
      </c>
      <c r="D4589" s="42" t="str">
        <f>IFERROR(__xludf.DUMMYFUNCTION("""COMPUTED_VALUE"""),"David")</f>
        <v>David</v>
      </c>
      <c r="E4589" s="42" t="str">
        <f>IFERROR(__xludf.DUMMYFUNCTION("""COMPUTED_VALUE"""),"DISERAHKAN")</f>
        <v>DISERAHKAN</v>
      </c>
      <c r="F4589" s="48">
        <f>IFERROR(__xludf.DUMMYFUNCTION("""COMPUTED_VALUE"""),45825.67380359954)</f>
        <v>45825.6738</v>
      </c>
      <c r="G4589" s="42" t="str">
        <f>IFERROR(__xludf.DUMMYFUNCTION("""COMPUTED_VALUE"""),"ROYA")</f>
        <v>ROYA</v>
      </c>
      <c r="H4589" s="42">
        <f t="shared" si="1"/>
        <v>2025</v>
      </c>
    </row>
    <row r="4590" ht="22.5" customHeight="1">
      <c r="B4590" s="42" t="str">
        <f>IFERROR(__xludf.DUMMYFUNCTION("""COMPUTED_VALUE"""),"K/6/020625/1")</f>
        <v>K/6/020625/1</v>
      </c>
      <c r="C4590" s="42" t="str">
        <f>IFERROR(__xludf.DUMMYFUNCTION("""COMPUTED_VALUE"""),"M.1489/GEDONG AIR")</f>
        <v>M.1489/GEDONG AIR</v>
      </c>
      <c r="D4590" s="42" t="str">
        <f>IFERROR(__xludf.DUMMYFUNCTION("""COMPUTED_VALUE"""),"Berry")</f>
        <v>Berry</v>
      </c>
      <c r="E4590" s="42" t="str">
        <f>IFERROR(__xludf.DUMMYFUNCTION("""COMPUTED_VALUE"""),"DISERAHKAN")</f>
        <v>DISERAHKAN</v>
      </c>
      <c r="F4590" s="48">
        <f>IFERROR(__xludf.DUMMYFUNCTION("""COMPUTED_VALUE"""),45841.50874239583)</f>
        <v>45841.50874</v>
      </c>
      <c r="G4590" s="42" t="str">
        <f>IFERROR(__xludf.DUMMYFUNCTION("""COMPUTED_VALUE"""),"KEWARISAN")</f>
        <v>KEWARISAN</v>
      </c>
      <c r="H4590" s="42">
        <f t="shared" si="1"/>
        <v>2026</v>
      </c>
    </row>
    <row r="4591" ht="22.5" customHeight="1">
      <c r="B4591" s="42" t="str">
        <f>IFERROR(__xludf.DUMMYFUNCTION("""COMPUTED_VALUE"""),"K/4/020625/1")</f>
        <v>K/4/020625/1</v>
      </c>
      <c r="C4591" s="42" t="str">
        <f>IFERROR(__xludf.DUMMYFUNCTION("""COMPUTED_VALUE"""),"M. 2855/SUKARAME BARU")</f>
        <v>M. 2855/SUKARAME BARU</v>
      </c>
      <c r="D4591" s="42" t="str">
        <f>IFERROR(__xludf.DUMMYFUNCTION("""COMPUTED_VALUE"""),"Berry")</f>
        <v>Berry</v>
      </c>
      <c r="E4591" s="42" t="str">
        <f>IFERROR(__xludf.DUMMYFUNCTION("""COMPUTED_VALUE"""),"DISERAHKAN")</f>
        <v>DISERAHKAN</v>
      </c>
      <c r="F4591" s="48">
        <f>IFERROR(__xludf.DUMMYFUNCTION("""COMPUTED_VALUE"""),45824.50794408565)</f>
        <v>45824.50794</v>
      </c>
      <c r="G4591" s="42" t="str">
        <f>IFERROR(__xludf.DUMMYFUNCTION("""COMPUTED_VALUE"""),"BN JUAL BELI")</f>
        <v>BN JUAL BELI</v>
      </c>
      <c r="H4591" s="42">
        <f t="shared" si="1"/>
        <v>2027</v>
      </c>
    </row>
    <row r="4592" ht="22.5" customHeight="1">
      <c r="B4592" s="42" t="str">
        <f>IFERROR(__xludf.DUMMYFUNCTION("""COMPUTED_VALUE"""),"K/5/020625/2")</f>
        <v>K/5/020625/2</v>
      </c>
      <c r="C4592" s="42" t="str">
        <f>IFERROR(__xludf.DUMMYFUNCTION("""COMPUTED_VALUE"""),"NIBEL B. 3076.1/KETEGUHAN")</f>
        <v>NIBEL B. 3076.1/KETEGUHAN</v>
      </c>
      <c r="D4592" s="42"/>
      <c r="E4592" s="42"/>
      <c r="F4592" s="48" t="str">
        <f>IFERROR(__xludf.DUMMYFUNCTION("""COMPUTED_VALUE"""),"")</f>
        <v/>
      </c>
      <c r="G4592" s="42" t="str">
        <f>IFERROR(__xludf.DUMMYFUNCTION("""COMPUTED_VALUE"""),"BN JUAL BELI")</f>
        <v>BN JUAL BELI</v>
      </c>
      <c r="H4592" s="42">
        <f t="shared" si="1"/>
        <v>2027</v>
      </c>
    </row>
    <row r="4593" ht="22.5" customHeight="1">
      <c r="B4593" s="42" t="str">
        <f>IFERROR(__xludf.DUMMYFUNCTION("""COMPUTED_VALUE"""),"K/7/020625/1")</f>
        <v>K/7/020625/1</v>
      </c>
      <c r="C4593" s="42" t="str">
        <f>IFERROR(__xludf.DUMMYFUNCTION("""COMPUTED_VALUE"""),"M.108/CAMPANG JAYA")</f>
        <v>M.108/CAMPANG JAYA</v>
      </c>
      <c r="D4593" s="42"/>
      <c r="E4593" s="42"/>
      <c r="F4593" s="48" t="str">
        <f>IFERROR(__xludf.DUMMYFUNCTION("""COMPUTED_VALUE"""),"")</f>
        <v/>
      </c>
      <c r="G4593" s="42" t="str">
        <f>IFERROR(__xludf.DUMMYFUNCTION("""COMPUTED_VALUE"""),"SKPT LELANG")</f>
        <v>SKPT LELANG</v>
      </c>
      <c r="H4593" s="42">
        <f t="shared" si="1"/>
        <v>2027</v>
      </c>
    </row>
    <row r="4594" ht="22.5" customHeight="1">
      <c r="B4594" s="42" t="str">
        <f>IFERROR(__xludf.DUMMYFUNCTION("""COMPUTED_VALUE"""),"K/8/020625/2")</f>
        <v>K/8/020625/2</v>
      </c>
      <c r="C4594" s="42" t="str">
        <f>IFERROR(__xludf.DUMMYFUNCTION("""COMPUTED_VALUE"""),"M.14920/SUKABUMI")</f>
        <v>M.14920/SUKABUMI</v>
      </c>
      <c r="D4594" s="42"/>
      <c r="E4594" s="42"/>
      <c r="F4594" s="48" t="str">
        <f>IFERROR(__xludf.DUMMYFUNCTION("""COMPUTED_VALUE"""),"")</f>
        <v/>
      </c>
      <c r="G4594" s="42" t="str">
        <f>IFERROR(__xludf.DUMMYFUNCTION("""COMPUTED_VALUE"""),"SKPT LELANG")</f>
        <v>SKPT LELANG</v>
      </c>
      <c r="H4594" s="42">
        <f t="shared" si="1"/>
        <v>2027</v>
      </c>
    </row>
    <row r="4595" ht="22.5" customHeight="1">
      <c r="B4595" s="42" t="str">
        <f>IFERROR(__xludf.DUMMYFUNCTION("""COMPUTED_VALUE"""),"K/9/020625/3")</f>
        <v>K/9/020625/3</v>
      </c>
      <c r="C4595" s="42" t="str">
        <f>IFERROR(__xludf.DUMMYFUNCTION("""COMPUTED_VALUE"""),"M.2607/RAJABASA JAYA")</f>
        <v>M.2607/RAJABASA JAYA</v>
      </c>
      <c r="D4595" s="42"/>
      <c r="E4595" s="42"/>
      <c r="F4595" s="48" t="str">
        <f>IFERROR(__xludf.DUMMYFUNCTION("""COMPUTED_VALUE"""),"")</f>
        <v/>
      </c>
      <c r="G4595" s="42" t="str">
        <f>IFERROR(__xludf.DUMMYFUNCTION("""COMPUTED_VALUE"""),"SKPT LELANG")</f>
        <v>SKPT LELANG</v>
      </c>
      <c r="H4595" s="42">
        <f t="shared" si="1"/>
        <v>2027</v>
      </c>
    </row>
    <row r="4596" ht="22.5" customHeight="1">
      <c r="B4596" s="42" t="str">
        <f>IFERROR(__xludf.DUMMYFUNCTION("""COMPUTED_VALUE"""),"K/10/020625/4")</f>
        <v>K/10/020625/4</v>
      </c>
      <c r="C4596" s="42" t="str">
        <f>IFERROR(__xludf.DUMMYFUNCTION("""COMPUTED_VALUE"""),"M.1320/NEGERI OLOK GADING")</f>
        <v>M.1320/NEGERI OLOK GADING</v>
      </c>
      <c r="D4596" s="42"/>
      <c r="E4596" s="42"/>
      <c r="F4596" s="48" t="str">
        <f>IFERROR(__xludf.DUMMYFUNCTION("""COMPUTED_VALUE"""),"")</f>
        <v/>
      </c>
      <c r="G4596" s="42" t="str">
        <f>IFERROR(__xludf.DUMMYFUNCTION("""COMPUTED_VALUE"""),"SKPT LELANG")</f>
        <v>SKPT LELANG</v>
      </c>
      <c r="H4596" s="42">
        <f t="shared" si="1"/>
        <v>2027</v>
      </c>
    </row>
    <row r="4597" ht="22.5" customHeight="1">
      <c r="B4597" s="42" t="str">
        <f>IFERROR(__xludf.DUMMYFUNCTION("""COMPUTED_VALUE"""),"K/11/020625/1")</f>
        <v>K/11/020625/1</v>
      </c>
      <c r="C4597" s="42" t="str">
        <f>IFERROR(__xludf.DUMMYFUNCTION("""COMPUTED_VALUE"""),"M. 3433/ Rajabasa Jaya")</f>
        <v>M. 3433/ Rajabasa Jaya</v>
      </c>
      <c r="D4597" s="42"/>
      <c r="E4597" s="42"/>
      <c r="F4597" s="48" t="str">
        <f>IFERROR(__xludf.DUMMYFUNCTION("""COMPUTED_VALUE"""),"")</f>
        <v/>
      </c>
      <c r="G4597" s="42" t="str">
        <f>IFERROR(__xludf.DUMMYFUNCTION("""COMPUTED_VALUE"""),"Hapus BPHTB")</f>
        <v>Hapus BPHTB</v>
      </c>
      <c r="H4597" s="42">
        <f t="shared" si="1"/>
        <v>2027</v>
      </c>
    </row>
    <row r="4598" ht="22.5" customHeight="1">
      <c r="B4598" s="42" t="str">
        <f>IFERROR(__xludf.DUMMYFUNCTION("""COMPUTED_VALUE"""),"K/13/020625/1")</f>
        <v>K/13/020625/1</v>
      </c>
      <c r="C4598" s="42" t="str">
        <f>IFERROR(__xludf.DUMMYFUNCTION("""COMPUTED_VALUE"""),"NIBEL M.20818/SEPANG JAYA")</f>
        <v>NIBEL M.20818/SEPANG JAYA</v>
      </c>
      <c r="D4598" s="42"/>
      <c r="E4598" s="42"/>
      <c r="F4598" s="48" t="str">
        <f>IFERROR(__xludf.DUMMYFUNCTION("""COMPUTED_VALUE"""),"")</f>
        <v/>
      </c>
      <c r="G4598" s="42" t="str">
        <f>IFERROR(__xludf.DUMMYFUNCTION("""COMPUTED_VALUE"""),"HIBAH")</f>
        <v>HIBAH</v>
      </c>
      <c r="H4598" s="42">
        <f t="shared" si="1"/>
        <v>2027</v>
      </c>
    </row>
    <row r="4599" ht="22.5" customHeight="1">
      <c r="B4599" s="42" t="str">
        <f>IFERROR(__xludf.DUMMYFUNCTION("""COMPUTED_VALUE"""),"L/14/020625/1")</f>
        <v>L/14/020625/1</v>
      </c>
      <c r="C4599" s="42" t="str">
        <f>IFERROR(__xludf.DUMMYFUNCTION("""COMPUTED_VALUE"""),"HGB 602/NUSANTARA PERMAI")</f>
        <v>HGB 602/NUSANTARA PERMAI</v>
      </c>
      <c r="D4599" s="42" t="str">
        <f>IFERROR(__xludf.DUMMYFUNCTION("""COMPUTED_VALUE"""),"Berry")</f>
        <v>Berry</v>
      </c>
      <c r="E4599" s="42" t="str">
        <f>IFERROR(__xludf.DUMMYFUNCTION("""COMPUTED_VALUE"""),"DISERAHKAN")</f>
        <v>DISERAHKAN</v>
      </c>
      <c r="F4599" s="48">
        <f>IFERROR(__xludf.DUMMYFUNCTION("""COMPUTED_VALUE"""),45825.63172866898)</f>
        <v>45825.63173</v>
      </c>
      <c r="G4599" s="42" t="str">
        <f>IFERROR(__xludf.DUMMYFUNCTION("""COMPUTED_VALUE"""),"PH")</f>
        <v>PH</v>
      </c>
      <c r="H4599" s="42">
        <f t="shared" si="1"/>
        <v>2028</v>
      </c>
    </row>
    <row r="4600" ht="22.5" customHeight="1">
      <c r="B4600" s="42" t="str">
        <f>IFERROR(__xludf.DUMMYFUNCTION("""COMPUTED_VALUE"""),"K/15/020625/1")</f>
        <v>K/15/020625/1</v>
      </c>
      <c r="C4600" s="42" t="str">
        <f>IFERROR(__xludf.DUMMYFUNCTION("""COMPUTED_VALUE"""),"Nibel. B. 20565/ Negeri Olok Gading")</f>
        <v>Nibel. B. 20565/ Negeri Olok Gading</v>
      </c>
      <c r="D4600" s="42"/>
      <c r="E4600" s="42"/>
      <c r="F4600" s="48" t="str">
        <f>IFERROR(__xludf.DUMMYFUNCTION("""COMPUTED_VALUE"""),"")</f>
        <v/>
      </c>
      <c r="G4600" s="42" t="str">
        <f>IFERROR(__xludf.DUMMYFUNCTION("""COMPUTED_VALUE"""),"Perubahan Hak")</f>
        <v>Perubahan Hak</v>
      </c>
      <c r="H4600" s="42">
        <f t="shared" si="1"/>
        <v>2028</v>
      </c>
    </row>
    <row r="4601" ht="22.5" customHeight="1">
      <c r="B4601" s="42" t="str">
        <f>IFERROR(__xludf.DUMMYFUNCTION("""COMPUTED_VALUE"""),"L/16/020625/1")</f>
        <v>L/16/020625/1</v>
      </c>
      <c r="C4601" s="42" t="str">
        <f>IFERROR(__xludf.DUMMYFUNCTION("""COMPUTED_VALUE"""),"HGB 2481/SUKARAME")</f>
        <v>HGB 2481/SUKARAME</v>
      </c>
      <c r="D4601" s="42"/>
      <c r="E4601" s="42"/>
      <c r="F4601" s="48" t="str">
        <f>IFERROR(__xludf.DUMMYFUNCTION("""COMPUTED_VALUE"""),"")</f>
        <v/>
      </c>
      <c r="G4601" s="42" t="str">
        <f>IFERROR(__xludf.DUMMYFUNCTION("""COMPUTED_VALUE"""),"BLOKIR")</f>
        <v>BLOKIR</v>
      </c>
      <c r="H4601" s="42">
        <f t="shared" si="1"/>
        <v>2028</v>
      </c>
    </row>
    <row r="4602" ht="22.5" customHeight="1">
      <c r="B4602" s="42" t="str">
        <f>IFERROR(__xludf.DUMMYFUNCTION("""COMPUTED_VALUE"""),"K/17/020625/1")</f>
        <v>K/17/020625/1</v>
      </c>
      <c r="C4602" s="42" t="str">
        <f>IFERROR(__xludf.DUMMYFUNCTION("""COMPUTED_VALUE"""),"RAJABASA RAYA")</f>
        <v>RAJABASA RAYA</v>
      </c>
      <c r="D4602" s="42"/>
      <c r="E4602" s="42"/>
      <c r="F4602" s="48" t="str">
        <f>IFERROR(__xludf.DUMMYFUNCTION("""COMPUTED_VALUE"""),"")</f>
        <v/>
      </c>
      <c r="G4602" s="42" t="str">
        <f>IFERROR(__xludf.DUMMYFUNCTION("""COMPUTED_VALUE"""),"TANAH MENTAH")</f>
        <v>TANAH MENTAH</v>
      </c>
      <c r="H4602" s="42">
        <f t="shared" si="1"/>
        <v>2028</v>
      </c>
    </row>
    <row r="4603" ht="22.5" customHeight="1">
      <c r="B4603" s="42" t="str">
        <f>IFERROR(__xludf.DUMMYFUNCTION("""COMPUTED_VALUE"""),"K/12/020625/1 (BATAL PERMOHONAN)")</f>
        <v>K/12/020625/1 (BATAL PERMOHONAN)</v>
      </c>
      <c r="C4603" s="42" t="str">
        <f>IFERROR(__xludf.DUMMYFUNCTION("""COMPUTED_VALUE"""),"M.624/GEDONG AIR")</f>
        <v>M.624/GEDONG AIR</v>
      </c>
      <c r="D4603" s="42"/>
      <c r="E4603" s="42"/>
      <c r="F4603" s="48" t="str">
        <f>IFERROR(__xludf.DUMMYFUNCTION("""COMPUTED_VALUE"""),"")</f>
        <v/>
      </c>
      <c r="G4603" s="42" t="str">
        <f>IFERROR(__xludf.DUMMYFUNCTION("""COMPUTED_VALUE"""),"BLOKIR")</f>
        <v>BLOKIR</v>
      </c>
      <c r="H4603" s="42">
        <f t="shared" si="1"/>
        <v>2028</v>
      </c>
    </row>
    <row r="4604" ht="22.5" customHeight="1">
      <c r="B4604" s="42" t="str">
        <f>IFERROR(__xludf.DUMMYFUNCTION("""COMPUTED_VALUE"""),"K/20/020625/1")</f>
        <v>K/20/020625/1</v>
      </c>
      <c r="C4604" s="42" t="str">
        <f>IFERROR(__xludf.DUMMYFUNCTION("""COMPUTED_VALUE"""),"HM 4831/LANGKAPURA")</f>
        <v>HM 4831/LANGKAPURA</v>
      </c>
      <c r="D4604" s="42" t="str">
        <f>IFERROR(__xludf.DUMMYFUNCTION("""COMPUTED_VALUE"""),"Berry")</f>
        <v>Berry</v>
      </c>
      <c r="E4604" s="42" t="str">
        <f>IFERROR(__xludf.DUMMYFUNCTION("""COMPUTED_VALUE"""),"DISERAHKAN")</f>
        <v>DISERAHKAN</v>
      </c>
      <c r="F4604" s="48">
        <f>IFERROR(__xludf.DUMMYFUNCTION("""COMPUTED_VALUE"""),45831.541197708335)</f>
        <v>45831.5412</v>
      </c>
      <c r="G4604" s="42" t="str">
        <f>IFERROR(__xludf.DUMMYFUNCTION("""COMPUTED_VALUE"""),"BN JUAL-BELI")</f>
        <v>BN JUAL-BELI</v>
      </c>
      <c r="H4604" s="42">
        <f t="shared" si="1"/>
        <v>2029</v>
      </c>
    </row>
    <row r="4605" ht="22.5" customHeight="1">
      <c r="B4605" s="42" t="str">
        <f>IFERROR(__xludf.DUMMYFUNCTION("""COMPUTED_VALUE"""),"K/18/020625/1")</f>
        <v>K/18/020625/1</v>
      </c>
      <c r="C4605" s="42" t="str">
        <f>IFERROR(__xludf.DUMMYFUNCTION("""COMPUTED_VALUE"""),"NIBEL M. 18388/RAJABASA RAYA")</f>
        <v>NIBEL M. 18388/RAJABASA RAYA</v>
      </c>
      <c r="D4605" s="42"/>
      <c r="E4605" s="42"/>
      <c r="F4605" s="48" t="str">
        <f>IFERROR(__xludf.DUMMYFUNCTION("""COMPUTED_VALUE"""),"")</f>
        <v/>
      </c>
      <c r="G4605" s="42" t="str">
        <f>IFERROR(__xludf.DUMMYFUNCTION("""COMPUTED_VALUE"""),"BN JUAL BELI")</f>
        <v>BN JUAL BELI</v>
      </c>
      <c r="H4605" s="42">
        <f t="shared" si="1"/>
        <v>2029</v>
      </c>
    </row>
    <row r="4606" ht="22.5" customHeight="1">
      <c r="B4606" s="42" t="str">
        <f>IFERROR(__xludf.DUMMYFUNCTION("""COMPUTED_VALUE"""),"K/21/020625/1")</f>
        <v>K/21/020625/1</v>
      </c>
      <c r="C4606" s="42" t="str">
        <f>IFERROR(__xludf.DUMMYFUNCTION("""COMPUTED_VALUE"""),"M. 236/ Sukajawa Baru")</f>
        <v>M. 236/ Sukajawa Baru</v>
      </c>
      <c r="D4606" s="42" t="str">
        <f>IFERROR(__xludf.DUMMYFUNCTION("""COMPUTED_VALUE"""),"Berry")</f>
        <v>Berry</v>
      </c>
      <c r="E4606" s="42" t="str">
        <f>IFERROR(__xludf.DUMMYFUNCTION("""COMPUTED_VALUE"""),"DISERAHKAN")</f>
        <v>DISERAHKAN</v>
      </c>
      <c r="F4606" s="48">
        <f>IFERROR(__xludf.DUMMYFUNCTION("""COMPUTED_VALUE"""),45831.541945289355)</f>
        <v>45831.54195</v>
      </c>
      <c r="G4606" s="42" t="str">
        <f>IFERROR(__xludf.DUMMYFUNCTION("""COMPUTED_VALUE"""),"BN Jual Beli")</f>
        <v>BN Jual Beli</v>
      </c>
      <c r="H4606" s="42">
        <f t="shared" si="1"/>
        <v>2030</v>
      </c>
    </row>
    <row r="4607" ht="22.5" customHeight="1">
      <c r="B4607" s="42" t="str">
        <f>IFERROR(__xludf.DUMMYFUNCTION("""COMPUTED_VALUE"""),"K/22/020625/2")</f>
        <v>K/22/020625/2</v>
      </c>
      <c r="C4607" s="42" t="str">
        <f>IFERROR(__xludf.DUMMYFUNCTION("""COMPUTED_VALUE"""),"M. 105/ Bakung")</f>
        <v>M. 105/ Bakung</v>
      </c>
      <c r="D4607" s="42" t="str">
        <f>IFERROR(__xludf.DUMMYFUNCTION("""COMPUTED_VALUE"""),"Berry")</f>
        <v>Berry</v>
      </c>
      <c r="E4607" s="42" t="str">
        <f>IFERROR(__xludf.DUMMYFUNCTION("""COMPUTED_VALUE"""),"DISERAHKAN")</f>
        <v>DISERAHKAN</v>
      </c>
      <c r="F4607" s="48">
        <f>IFERROR(__xludf.DUMMYFUNCTION("""COMPUTED_VALUE"""),45825.55473027778)</f>
        <v>45825.55473</v>
      </c>
      <c r="G4607" s="42" t="str">
        <f>IFERROR(__xludf.DUMMYFUNCTION("""COMPUTED_VALUE"""),"BN Jual Beli")</f>
        <v>BN Jual Beli</v>
      </c>
      <c r="H4607" s="42">
        <f t="shared" si="1"/>
        <v>2031</v>
      </c>
    </row>
    <row r="4608" ht="22.5" customHeight="1">
      <c r="B4608" s="42" t="str">
        <f>IFERROR(__xludf.DUMMYFUNCTION("""COMPUTED_VALUE"""),"L/23/020625/1")</f>
        <v>L/23/020625/1</v>
      </c>
      <c r="C4608" s="42" t="str">
        <f>IFERROR(__xludf.DUMMYFUNCTION("""COMPUTED_VALUE"""),"HM 3593/WAY KANDIS")</f>
        <v>HM 3593/WAY KANDIS</v>
      </c>
      <c r="D4608" s="42" t="str">
        <f>IFERROR(__xludf.DUMMYFUNCTION("""COMPUTED_VALUE"""),"David")</f>
        <v>David</v>
      </c>
      <c r="E4608" s="42" t="str">
        <f>IFERROR(__xludf.DUMMYFUNCTION("""COMPUTED_VALUE"""),"DISERAHKAN")</f>
        <v>DISERAHKAN</v>
      </c>
      <c r="F4608" s="48">
        <f>IFERROR(__xludf.DUMMYFUNCTION("""COMPUTED_VALUE"""),45833.66558564815)</f>
        <v>45833.66559</v>
      </c>
      <c r="G4608" s="42" t="str">
        <f>IFERROR(__xludf.DUMMYFUNCTION("""COMPUTED_VALUE"""),"ROYA")</f>
        <v>ROYA</v>
      </c>
      <c r="H4608" s="42">
        <f t="shared" si="1"/>
        <v>2032</v>
      </c>
    </row>
    <row r="4609" ht="22.5" customHeight="1">
      <c r="B4609" s="42" t="str">
        <f>IFERROR(__xludf.DUMMYFUNCTION("""COMPUTED_VALUE"""),"K/19/020625/2")</f>
        <v>K/19/020625/2</v>
      </c>
      <c r="C4609" s="42" t="str">
        <f>IFERROR(__xludf.DUMMYFUNCTION("""COMPUTED_VALUE"""),"NIBEL M. 18392/RAJABASA RAYA")</f>
        <v>NIBEL M. 18392/RAJABASA RAYA</v>
      </c>
      <c r="D4609" s="42"/>
      <c r="E4609" s="42"/>
      <c r="F4609" s="48" t="str">
        <f>IFERROR(__xludf.DUMMYFUNCTION("""COMPUTED_VALUE"""),"")</f>
        <v/>
      </c>
      <c r="G4609" s="42" t="str">
        <f>IFERROR(__xludf.DUMMYFUNCTION("""COMPUTED_VALUE"""),"BN JUAL BELI")</f>
        <v>BN JUAL BELI</v>
      </c>
      <c r="H4609" s="42">
        <f t="shared" si="1"/>
        <v>2032</v>
      </c>
    </row>
    <row r="4610" ht="22.5" customHeight="1">
      <c r="B4610" s="42" t="str">
        <f>IFERROR(__xludf.DUMMYFUNCTION("""COMPUTED_VALUE"""),"K/24/020625/1")</f>
        <v>K/24/020625/1</v>
      </c>
      <c r="C4610" s="42" t="str">
        <f>IFERROR(__xludf.DUMMYFUNCTION("""COMPUTED_VALUE"""),"M. 2601, 2602/SUMBEREJO KEMILING ")</f>
        <v>M. 2601, 2602/SUMBEREJO KEMILING </v>
      </c>
      <c r="D4610" s="42" t="str">
        <f>IFERROR(__xludf.DUMMYFUNCTION("""COMPUTED_VALUE"""),"David")</f>
        <v>David</v>
      </c>
      <c r="E4610" s="42" t="str">
        <f>IFERROR(__xludf.DUMMYFUNCTION("""COMPUTED_VALUE"""),"DISERAHKAN")</f>
        <v>DISERAHKAN</v>
      </c>
      <c r="F4610" s="48">
        <f>IFERROR(__xludf.DUMMYFUNCTION("""COMPUTED_VALUE"""),45833.66499215278)</f>
        <v>45833.66499</v>
      </c>
      <c r="G4610" s="42" t="str">
        <f>IFERROR(__xludf.DUMMYFUNCTION("""COMPUTED_VALUE"""),"ROYA")</f>
        <v>ROYA</v>
      </c>
      <c r="H4610" s="42">
        <f t="shared" si="1"/>
        <v>2033</v>
      </c>
    </row>
    <row r="4611" ht="22.5" customHeight="1">
      <c r="B4611" s="42" t="str">
        <f>IFERROR(__xludf.DUMMYFUNCTION("""COMPUTED_VALUE"""),"K/25/020625/1")</f>
        <v>K/25/020625/1</v>
      </c>
      <c r="C4611" s="42" t="str">
        <f>IFERROR(__xludf.DUMMYFUNCTION("""COMPUTED_VALUE"""),"M. 116/ Perumnas Way Kandis")</f>
        <v>M. 116/ Perumnas Way Kandis</v>
      </c>
      <c r="D4611" s="42" t="str">
        <f>IFERROR(__xludf.DUMMYFUNCTION("""COMPUTED_VALUE"""),"Berry")</f>
        <v>Berry</v>
      </c>
      <c r="E4611" s="42" t="str">
        <f>IFERROR(__xludf.DUMMYFUNCTION("""COMPUTED_VALUE"""),"DISERAHKAN")</f>
        <v>DISERAHKAN</v>
      </c>
      <c r="F4611" s="48">
        <f>IFERROR(__xludf.DUMMYFUNCTION("""COMPUTED_VALUE"""),45828.5304593287)</f>
        <v>45828.53046</v>
      </c>
      <c r="G4611" s="42" t="str">
        <f>IFERROR(__xludf.DUMMYFUNCTION("""COMPUTED_VALUE"""),"BN JUAL BELI")</f>
        <v>BN JUAL BELI</v>
      </c>
      <c r="H4611" s="42">
        <f t="shared" si="1"/>
        <v>2034</v>
      </c>
    </row>
    <row r="4612" ht="22.5" customHeight="1">
      <c r="B4612" s="42" t="str">
        <f>IFERROR(__xludf.DUMMYFUNCTION("""COMPUTED_VALUE"""),"K/26/020625/2")</f>
        <v>K/26/020625/2</v>
      </c>
      <c r="C4612" s="42" t="str">
        <f>IFERROR(__xludf.DUMMYFUNCTION("""COMPUTED_VALUE"""),"Hera Agustianti P")</f>
        <v>Hera Agustianti P</v>
      </c>
      <c r="D4612" s="42"/>
      <c r="E4612" s="42"/>
      <c r="F4612" s="48" t="str">
        <f>IFERROR(__xludf.DUMMYFUNCTION("""COMPUTED_VALUE"""),"")</f>
        <v/>
      </c>
      <c r="G4612" s="42" t="str">
        <f>IFERROR(__xludf.DUMMYFUNCTION("""COMPUTED_VALUE"""),"BN JUAL BELI")</f>
        <v>BN JUAL BELI</v>
      </c>
      <c r="H4612" s="42">
        <f t="shared" si="1"/>
        <v>2034</v>
      </c>
    </row>
    <row r="4613" ht="22.5" customHeight="1">
      <c r="B4613" s="42" t="str">
        <f>IFERROR(__xludf.DUMMYFUNCTION("""COMPUTED_VALUE"""),"K/27/020625/3")</f>
        <v>K/27/020625/3</v>
      </c>
      <c r="C4613" s="42" t="str">
        <f>IFERROR(__xludf.DUMMYFUNCTION("""COMPUTED_VALUE"""),"Nibel 832/ Kelapa Tiga Permai")</f>
        <v>Nibel 832/ Kelapa Tiga Permai</v>
      </c>
      <c r="D4613" s="42"/>
      <c r="E4613" s="42"/>
      <c r="F4613" s="48" t="str">
        <f>IFERROR(__xludf.DUMMYFUNCTION("""COMPUTED_VALUE"""),"")</f>
        <v/>
      </c>
      <c r="G4613" s="42" t="str">
        <f>IFERROR(__xludf.DUMMYFUNCTION("""COMPUTED_VALUE"""),"BN JUAL BELI")</f>
        <v>BN JUAL BELI</v>
      </c>
      <c r="H4613" s="42">
        <f t="shared" si="1"/>
        <v>2034</v>
      </c>
    </row>
    <row r="4614" ht="22.5" customHeight="1">
      <c r="B4614" s="42" t="str">
        <f>IFERROR(__xludf.DUMMYFUNCTION("""COMPUTED_VALUE"""),"K/28/020625/1")</f>
        <v>K/28/020625/1</v>
      </c>
      <c r="C4614" s="42" t="str">
        <f>IFERROR(__xludf.DUMMYFUNCTION("""COMPUTED_VALUE"""),"NIBEL B. 21212/SUKARAME")</f>
        <v>NIBEL B. 21212/SUKARAME</v>
      </c>
      <c r="D4614" s="42"/>
      <c r="E4614" s="42"/>
      <c r="F4614" s="48" t="str">
        <f>IFERROR(__xludf.DUMMYFUNCTION("""COMPUTED_VALUE"""),"")</f>
        <v/>
      </c>
      <c r="G4614" s="42" t="str">
        <f>IFERROR(__xludf.DUMMYFUNCTION("""COMPUTED_VALUE"""),"PENINGKATAN HAK")</f>
        <v>PENINGKATAN HAK</v>
      </c>
      <c r="H4614" s="42">
        <f t="shared" si="1"/>
        <v>2034</v>
      </c>
    </row>
    <row r="4615" ht="22.5" customHeight="1">
      <c r="B4615" s="42" t="str">
        <f>IFERROR(__xludf.DUMMYFUNCTION("""COMPUTED_VALUE"""),"K/30/020625/1")</f>
        <v>K/30/020625/1</v>
      </c>
      <c r="C4615" s="42" t="str">
        <f>IFERROR(__xludf.DUMMYFUNCTION("""COMPUTED_VALUE"""),"NIBEL M20254/SUKADANAHAM")</f>
        <v>NIBEL M20254/SUKADANAHAM</v>
      </c>
      <c r="D4615" s="42"/>
      <c r="E4615" s="42"/>
      <c r="F4615" s="48" t="str">
        <f>IFERROR(__xludf.DUMMYFUNCTION("""COMPUTED_VALUE"""),"")</f>
        <v/>
      </c>
      <c r="G4615" s="42" t="str">
        <f>IFERROR(__xludf.DUMMYFUNCTION("""COMPUTED_VALUE"""),"JUAL BELI")</f>
        <v>JUAL BELI</v>
      </c>
      <c r="H4615" s="42">
        <f t="shared" si="1"/>
        <v>2034</v>
      </c>
    </row>
    <row r="4616" ht="22.5" customHeight="1">
      <c r="B4616" s="42" t="str">
        <f>IFERROR(__xludf.DUMMYFUNCTION("""COMPUTED_VALUE"""),"K/32/020625/1")</f>
        <v>K/32/020625/1</v>
      </c>
      <c r="C4616" s="42" t="str">
        <f>IFERROR(__xludf.DUMMYFUNCTION("""COMPUTED_VALUE"""),"HM 15689/SUKABUMI")</f>
        <v>HM 15689/SUKABUMI</v>
      </c>
      <c r="D4616" s="42"/>
      <c r="E4616" s="42"/>
      <c r="F4616" s="48" t="str">
        <f>IFERROR(__xludf.DUMMYFUNCTION("""COMPUTED_VALUE"""),"")</f>
        <v/>
      </c>
      <c r="G4616" s="42" t="str">
        <f>IFERROR(__xludf.DUMMYFUNCTION("""COMPUTED_VALUE"""),"BN APHB")</f>
        <v>BN APHB</v>
      </c>
      <c r="H4616" s="42">
        <f t="shared" si="1"/>
        <v>2034</v>
      </c>
    </row>
    <row r="4617" ht="22.5" customHeight="1">
      <c r="B4617" s="42" t="str">
        <f>IFERROR(__xludf.DUMMYFUNCTION("""COMPUTED_VALUE"""),"K/31/020625/2")</f>
        <v>K/31/020625/2</v>
      </c>
      <c r="C4617" s="42" t="str">
        <f>IFERROR(__xludf.DUMMYFUNCTION("""COMPUTED_VALUE"""),"M.2333/SEPANG JAYA")</f>
        <v>M.2333/SEPANG JAYA</v>
      </c>
      <c r="D4617" s="42" t="str">
        <f>IFERROR(__xludf.DUMMYFUNCTION("""COMPUTED_VALUE"""),"Berry")</f>
        <v>Berry</v>
      </c>
      <c r="E4617" s="42" t="str">
        <f>IFERROR(__xludf.DUMMYFUNCTION("""COMPUTED_VALUE"""),"DISERAHKAN")</f>
        <v>DISERAHKAN</v>
      </c>
      <c r="F4617" s="48">
        <f>IFERROR(__xludf.DUMMYFUNCTION("""COMPUTED_VALUE"""),45828.543995879634)</f>
        <v>45828.544</v>
      </c>
      <c r="G4617" s="42" t="str">
        <f>IFERROR(__xludf.DUMMYFUNCTION("""COMPUTED_VALUE"""),"JUAL BELI")</f>
        <v>JUAL BELI</v>
      </c>
      <c r="H4617" s="42">
        <f t="shared" si="1"/>
        <v>2035</v>
      </c>
    </row>
    <row r="4618" ht="22.5" customHeight="1">
      <c r="B4618" s="42" t="str">
        <f>IFERROR(__xludf.DUMMYFUNCTION("""COMPUTED_VALUE"""),"K/33/020625/2")</f>
        <v>K/33/020625/2</v>
      </c>
      <c r="C4618" s="42" t="str">
        <f>IFERROR(__xludf.DUMMYFUNCTION("""COMPUTED_VALUE"""),"HM 522/CAMPANG JAYA")</f>
        <v>HM 522/CAMPANG JAYA</v>
      </c>
      <c r="D4618" s="42"/>
      <c r="E4618" s="42"/>
      <c r="F4618" s="48" t="str">
        <f>IFERROR(__xludf.DUMMYFUNCTION("""COMPUTED_VALUE"""),"")</f>
        <v/>
      </c>
      <c r="G4618" s="42" t="str">
        <f>IFERROR(__xludf.DUMMYFUNCTION("""COMPUTED_VALUE"""),"BN JUAL-BELI")</f>
        <v>BN JUAL-BELI</v>
      </c>
      <c r="H4618" s="42">
        <f t="shared" si="1"/>
        <v>2035</v>
      </c>
    </row>
    <row r="4619" ht="22.5" customHeight="1">
      <c r="B4619" s="42" t="str">
        <f>IFERROR(__xludf.DUMMYFUNCTION("""COMPUTED_VALUE"""),"K/29/020625/2")</f>
        <v>K/29/020625/2</v>
      </c>
      <c r="C4619" s="42" t="str">
        <f>IFERROR(__xludf.DUMMYFUNCTION("""COMPUTED_VALUE"""),"NIBEL B. 21213/SUKARAME")</f>
        <v>NIBEL B. 21213/SUKARAME</v>
      </c>
      <c r="D4619" s="42"/>
      <c r="E4619" s="42"/>
      <c r="F4619" s="48" t="str">
        <f>IFERROR(__xludf.DUMMYFUNCTION("""COMPUTED_VALUE"""),"")</f>
        <v/>
      </c>
      <c r="G4619" s="42" t="str">
        <f>IFERROR(__xludf.DUMMYFUNCTION("""COMPUTED_VALUE"""),"PENINGKATAN HAK")</f>
        <v>PENINGKATAN HAK</v>
      </c>
      <c r="H4619" s="42">
        <f t="shared" si="1"/>
        <v>2035</v>
      </c>
    </row>
    <row r="4620" ht="22.5" customHeight="1">
      <c r="B4620" s="42" t="str">
        <f>IFERROR(__xludf.DUMMYFUNCTION("""COMPUTED_VALUE"""),"K/34/020625/1")</f>
        <v>K/34/020625/1</v>
      </c>
      <c r="C4620" s="42" t="str">
        <f>IFERROR(__xludf.DUMMYFUNCTION("""COMPUTED_VALUE"""),"M.2608/TANJUNG SENENG")</f>
        <v>M.2608/TANJUNG SENENG</v>
      </c>
      <c r="D4620" s="42" t="str">
        <f>IFERROR(__xludf.DUMMYFUNCTION("""COMPUTED_VALUE"""),"David")</f>
        <v>David</v>
      </c>
      <c r="E4620" s="42" t="str">
        <f>IFERROR(__xludf.DUMMYFUNCTION("""COMPUTED_VALUE"""),"DISERAHKAN")</f>
        <v>DISERAHKAN</v>
      </c>
      <c r="F4620" s="48">
        <f>IFERROR(__xludf.DUMMYFUNCTION("""COMPUTED_VALUE"""),45860.68658869213)</f>
        <v>45860.68659</v>
      </c>
      <c r="G4620" s="42" t="str">
        <f>IFERROR(__xludf.DUMMYFUNCTION("""COMPUTED_VALUE"""),"ROYA")</f>
        <v>ROYA</v>
      </c>
      <c r="H4620" s="42">
        <f t="shared" si="1"/>
        <v>2036</v>
      </c>
    </row>
    <row r="4621" ht="22.5" customHeight="1">
      <c r="B4621" s="42" t="str">
        <f>IFERROR(__xludf.DUMMYFUNCTION("""COMPUTED_VALUE"""),"K/35/020625/1")</f>
        <v>K/35/020625/1</v>
      </c>
      <c r="C4621" s="42" t="str">
        <f>IFERROR(__xludf.DUMMYFUNCTION("""COMPUTED_VALUE"""),"M.800/GUNUNG TERANG")</f>
        <v>M.800/GUNUNG TERANG</v>
      </c>
      <c r="D4621" s="42" t="str">
        <f>IFERROR(__xludf.DUMMYFUNCTION("""COMPUTED_VALUE"""),"Berry")</f>
        <v>Berry</v>
      </c>
      <c r="E4621" s="42" t="str">
        <f>IFERROR(__xludf.DUMMYFUNCTION("""COMPUTED_VALUE"""),"DISERAHKAN")</f>
        <v>DISERAHKAN</v>
      </c>
      <c r="F4621" s="48">
        <f>IFERROR(__xludf.DUMMYFUNCTION("""COMPUTED_VALUE"""),45828.53037152778)</f>
        <v>45828.53037</v>
      </c>
      <c r="G4621" s="42" t="str">
        <f>IFERROR(__xludf.DUMMYFUNCTION("""COMPUTED_VALUE"""),"KEWARISAN")</f>
        <v>KEWARISAN</v>
      </c>
      <c r="H4621" s="42">
        <f t="shared" si="1"/>
        <v>2037</v>
      </c>
    </row>
    <row r="4622" ht="22.5" customHeight="1">
      <c r="B4622" s="42" t="str">
        <f>IFERROR(__xludf.DUMMYFUNCTION("""COMPUTED_VALUE"""),"K/36/020625/1")</f>
        <v>K/36/020625/1</v>
      </c>
      <c r="C4622" s="42" t="str">
        <f>IFERROR(__xludf.DUMMYFUNCTION("""COMPUTED_VALUE"""),"M. 6427/ Way Kandis")</f>
        <v>M. 6427/ Way Kandis</v>
      </c>
      <c r="D4622" s="42" t="str">
        <f>IFERROR(__xludf.DUMMYFUNCTION("""COMPUTED_VALUE"""),"David")</f>
        <v>David</v>
      </c>
      <c r="E4622" s="42" t="str">
        <f>IFERROR(__xludf.DUMMYFUNCTION("""COMPUTED_VALUE"""),"DISERAHKAN")</f>
        <v>DISERAHKAN</v>
      </c>
      <c r="F4622" s="48">
        <f>IFERROR(__xludf.DUMMYFUNCTION("""COMPUTED_VALUE"""),45839.60011640046)</f>
        <v>45839.60012</v>
      </c>
      <c r="G4622" s="42" t="str">
        <f>IFERROR(__xludf.DUMMYFUNCTION("""COMPUTED_VALUE"""),"BN JUAL BELI")</f>
        <v>BN JUAL BELI</v>
      </c>
      <c r="H4622" s="42">
        <f t="shared" si="1"/>
        <v>2038</v>
      </c>
    </row>
    <row r="4623" ht="22.5" customHeight="1">
      <c r="B4623" s="42" t="str">
        <f>IFERROR(__xludf.DUMMYFUNCTION("""COMPUTED_VALUE"""),"K/37/020625/1")</f>
        <v>K/37/020625/1</v>
      </c>
      <c r="C4623" s="42" t="str">
        <f>IFERROR(__xludf.DUMMYFUNCTION("""COMPUTED_VALUE"""),"M. 2240/CAMPANG RAYA")</f>
        <v>M. 2240/CAMPANG RAYA</v>
      </c>
      <c r="D4623" s="42" t="str">
        <f>IFERROR(__xludf.DUMMYFUNCTION("""COMPUTED_VALUE"""),"Berry")</f>
        <v>Berry</v>
      </c>
      <c r="E4623" s="42" t="str">
        <f>IFERROR(__xludf.DUMMYFUNCTION("""COMPUTED_VALUE"""),"DISERAHKAN")</f>
        <v>DISERAHKAN</v>
      </c>
      <c r="F4623" s="48">
        <f>IFERROR(__xludf.DUMMYFUNCTION("""COMPUTED_VALUE"""),45863.60765209491)</f>
        <v>45863.60765</v>
      </c>
      <c r="G4623" s="42" t="str">
        <f>IFERROR(__xludf.DUMMYFUNCTION("""COMPUTED_VALUE"""),"ROYA")</f>
        <v>ROYA</v>
      </c>
      <c r="H4623" s="42">
        <f t="shared" si="1"/>
        <v>2039</v>
      </c>
    </row>
    <row r="4624" ht="22.5" customHeight="1">
      <c r="B4624" s="42" t="str">
        <f>IFERROR(__xludf.DUMMYFUNCTION("""COMPUTED_VALUE"""),"L/1/030625/1")</f>
        <v>L/1/030625/1</v>
      </c>
      <c r="C4624" s="42" t="str">
        <f>IFERROR(__xludf.DUMMYFUNCTION("""COMPUTED_VALUE"""),"HM 1225/SRENGSEM")</f>
        <v>HM 1225/SRENGSEM</v>
      </c>
      <c r="D4624" s="42"/>
      <c r="E4624" s="42"/>
      <c r="F4624" s="48" t="str">
        <f>IFERROR(__xludf.DUMMYFUNCTION("""COMPUTED_VALUE"""),"")</f>
        <v/>
      </c>
      <c r="G4624" s="42" t="str">
        <f>IFERROR(__xludf.DUMMYFUNCTION("""COMPUTED_VALUE"""),"ROYA WARIS")</f>
        <v>ROYA WARIS</v>
      </c>
      <c r="H4624" s="42">
        <f t="shared" si="1"/>
        <v>2039</v>
      </c>
    </row>
    <row r="4625" ht="22.5" customHeight="1">
      <c r="B4625" s="42" t="str">
        <f>IFERROR(__xludf.DUMMYFUNCTION("""COMPUTED_VALUE"""),"K/1/030625/1")</f>
        <v>K/1/030625/1</v>
      </c>
      <c r="C4625" s="42" t="str">
        <f>IFERROR(__xludf.DUMMYFUNCTION("""COMPUTED_VALUE"""),"Nibel 19661/ Sukarame")</f>
        <v>Nibel 19661/ Sukarame</v>
      </c>
      <c r="D4625" s="42"/>
      <c r="E4625" s="42"/>
      <c r="F4625" s="48" t="str">
        <f>IFERROR(__xludf.DUMMYFUNCTION("""COMPUTED_VALUE"""),"")</f>
        <v/>
      </c>
      <c r="G4625" s="42" t="str">
        <f>IFERROR(__xludf.DUMMYFUNCTION("""COMPUTED_VALUE"""),"PERUBAHAN HAK")</f>
        <v>PERUBAHAN HAK</v>
      </c>
      <c r="H4625" s="42">
        <f t="shared" si="1"/>
        <v>2039</v>
      </c>
    </row>
    <row r="4626" ht="22.5" customHeight="1">
      <c r="B4626" s="42" t="str">
        <f>IFERROR(__xludf.DUMMYFUNCTION("""COMPUTED_VALUE"""),"K/2/030625/1")</f>
        <v>K/2/030625/1</v>
      </c>
      <c r="C4626" s="42" t="str">
        <f>IFERROR(__xludf.DUMMYFUNCTION("""COMPUTED_VALUE"""),"M. 13800/SUKABUMI")</f>
        <v>M. 13800/SUKABUMI</v>
      </c>
      <c r="D4626" s="42" t="str">
        <f>IFERROR(__xludf.DUMMYFUNCTION("""COMPUTED_VALUE"""),"Berry")</f>
        <v>Berry</v>
      </c>
      <c r="E4626" s="42" t="str">
        <f>IFERROR(__xludf.DUMMYFUNCTION("""COMPUTED_VALUE"""),"DISERAHKAN")</f>
        <v>DISERAHKAN</v>
      </c>
      <c r="F4626" s="48">
        <f>IFERROR(__xludf.DUMMYFUNCTION("""COMPUTED_VALUE"""),45828.53004359954)</f>
        <v>45828.53004</v>
      </c>
      <c r="G4626" s="42" t="str">
        <f>IFERROR(__xludf.DUMMYFUNCTION("""COMPUTED_VALUE"""),"BN HIBAH")</f>
        <v>BN HIBAH</v>
      </c>
      <c r="H4626" s="42">
        <f t="shared" si="1"/>
        <v>2040</v>
      </c>
    </row>
    <row r="4627" ht="22.5" customHeight="1">
      <c r="B4627" s="42" t="str">
        <f>IFERROR(__xludf.DUMMYFUNCTION("""COMPUTED_VALUE"""),"L/3/030625/1")</f>
        <v>L/3/030625/1</v>
      </c>
      <c r="C4627" s="42" t="str">
        <f>IFERROR(__xludf.DUMMYFUNCTION("""COMPUTED_VALUE"""),"HM 13880/LABUHAN RATU")</f>
        <v>HM 13880/LABUHAN RATU</v>
      </c>
      <c r="D4627" s="42" t="str">
        <f>IFERROR(__xludf.DUMMYFUNCTION("""COMPUTED_VALUE"""),"Berry")</f>
        <v>Berry</v>
      </c>
      <c r="E4627" s="42" t="str">
        <f>IFERROR(__xludf.DUMMYFUNCTION("""COMPUTED_VALUE"""),"DISERAHKAN")</f>
        <v>DISERAHKAN</v>
      </c>
      <c r="F4627" s="48">
        <f>IFERROR(__xludf.DUMMYFUNCTION("""COMPUTED_VALUE"""),45831.66124458333)</f>
        <v>45831.66124</v>
      </c>
      <c r="G4627" s="42" t="str">
        <f>IFERROR(__xludf.DUMMYFUNCTION("""COMPUTED_VALUE"""),"ROYA")</f>
        <v>ROYA</v>
      </c>
      <c r="H4627" s="42">
        <f t="shared" si="1"/>
        <v>2041</v>
      </c>
    </row>
    <row r="4628" ht="22.5" customHeight="1">
      <c r="B4628" s="42" t="str">
        <f>IFERROR(__xludf.DUMMYFUNCTION("""COMPUTED_VALUE"""),"K/4/030625/1")</f>
        <v>K/4/030625/1</v>
      </c>
      <c r="C4628" s="42" t="str">
        <f>IFERROR(__xludf.DUMMYFUNCTION("""COMPUTED_VALUE"""),"M. 584/ Palapa")</f>
        <v>M. 584/ Palapa</v>
      </c>
      <c r="D4628" s="42"/>
      <c r="E4628" s="42"/>
      <c r="F4628" s="48" t="str">
        <f>IFERROR(__xludf.DUMMYFUNCTION("""COMPUTED_VALUE"""),"")</f>
        <v/>
      </c>
      <c r="G4628" s="42" t="str">
        <f>IFERROR(__xludf.DUMMYFUNCTION("""COMPUTED_VALUE"""),"BLOKIR")</f>
        <v>BLOKIR</v>
      </c>
      <c r="H4628" s="42">
        <f t="shared" si="1"/>
        <v>2041</v>
      </c>
    </row>
    <row r="4629" ht="22.5" customHeight="1">
      <c r="B4629" s="42" t="str">
        <f>IFERROR(__xludf.DUMMYFUNCTION("""COMPUTED_VALUE"""),"K/5/030625/2")</f>
        <v>K/5/030625/2</v>
      </c>
      <c r="C4629" s="42" t="str">
        <f>IFERROR(__xludf.DUMMYFUNCTION("""COMPUTED_VALUE"""),"M. 94/ Gunung Terang")</f>
        <v>M. 94/ Gunung Terang</v>
      </c>
      <c r="D4629" s="42"/>
      <c r="E4629" s="42"/>
      <c r="F4629" s="48" t="str">
        <f>IFERROR(__xludf.DUMMYFUNCTION("""COMPUTED_VALUE"""),"")</f>
        <v/>
      </c>
      <c r="G4629" s="42" t="str">
        <f>IFERROR(__xludf.DUMMYFUNCTION("""COMPUTED_VALUE"""),"BLOKIR")</f>
        <v>BLOKIR</v>
      </c>
      <c r="H4629" s="42">
        <f t="shared" si="1"/>
        <v>2041</v>
      </c>
    </row>
    <row r="4630" ht="22.5" customHeight="1">
      <c r="B4630" s="42" t="str">
        <f>IFERROR(__xludf.DUMMYFUNCTION("""COMPUTED_VALUE"""),"K/6/030625/3")</f>
        <v>K/6/030625/3</v>
      </c>
      <c r="C4630" s="42" t="str">
        <f>IFERROR(__xludf.DUMMYFUNCTION("""COMPUTED_VALUE"""),"M. 583/ Palapa")</f>
        <v>M. 583/ Palapa</v>
      </c>
      <c r="D4630" s="42"/>
      <c r="E4630" s="42"/>
      <c r="F4630" s="48" t="str">
        <f>IFERROR(__xludf.DUMMYFUNCTION("""COMPUTED_VALUE"""),"")</f>
        <v/>
      </c>
      <c r="G4630" s="42" t="str">
        <f>IFERROR(__xludf.DUMMYFUNCTION("""COMPUTED_VALUE"""),"BLOKIR")</f>
        <v>BLOKIR</v>
      </c>
      <c r="H4630" s="42">
        <f t="shared" si="1"/>
        <v>2041</v>
      </c>
    </row>
    <row r="4631" ht="22.5" customHeight="1">
      <c r="B4631" s="42" t="str">
        <f>IFERROR(__xludf.DUMMYFUNCTION("""COMPUTED_VALUE"""),"K/7/030625/4")</f>
        <v>K/7/030625/4</v>
      </c>
      <c r="C4631" s="42" t="str">
        <f>IFERROR(__xludf.DUMMYFUNCTION("""COMPUTED_VALUE"""),"M. 2084/ Durian Payung")</f>
        <v>M. 2084/ Durian Payung</v>
      </c>
      <c r="D4631" s="42"/>
      <c r="E4631" s="42"/>
      <c r="F4631" s="48" t="str">
        <f>IFERROR(__xludf.DUMMYFUNCTION("""COMPUTED_VALUE"""),"")</f>
        <v/>
      </c>
      <c r="G4631" s="42" t="str">
        <f>IFERROR(__xludf.DUMMYFUNCTION("""COMPUTED_VALUE"""),"BLOKIR")</f>
        <v>BLOKIR</v>
      </c>
      <c r="H4631" s="42">
        <f t="shared" si="1"/>
        <v>2041</v>
      </c>
    </row>
    <row r="4632" ht="22.5" customHeight="1">
      <c r="B4632" s="42" t="str">
        <f>IFERROR(__xludf.DUMMYFUNCTION("""COMPUTED_VALUE"""),"K/8/030625/1")</f>
        <v>K/8/030625/1</v>
      </c>
      <c r="C4632" s="42" t="str">
        <f>IFERROR(__xludf.DUMMYFUNCTION("""COMPUTED_VALUE"""),"NIBEL M.20517/SUKARAME ")</f>
        <v>NIBEL M.20517/SUKARAME </v>
      </c>
      <c r="D4632" s="42"/>
      <c r="E4632" s="42"/>
      <c r="F4632" s="48" t="str">
        <f>IFERROR(__xludf.DUMMYFUNCTION("""COMPUTED_VALUE"""),"")</f>
        <v/>
      </c>
      <c r="G4632" s="42" t="str">
        <f>IFERROR(__xludf.DUMMYFUNCTION("""COMPUTED_VALUE"""),"APHB")</f>
        <v>APHB</v>
      </c>
      <c r="H4632" s="42">
        <f t="shared" si="1"/>
        <v>2041</v>
      </c>
    </row>
    <row r="4633" ht="22.5" customHeight="1">
      <c r="B4633" s="42" t="str">
        <f>IFERROR(__xludf.DUMMYFUNCTION("""COMPUTED_VALUE"""),"K/10/030625/1")</f>
        <v>K/10/030625/1</v>
      </c>
      <c r="C4633" s="42" t="str">
        <f>IFERROR(__xludf.DUMMYFUNCTION("""COMPUTED_VALUE"""),"M. 960/ Panjang Selatan")</f>
        <v>M. 960/ Panjang Selatan</v>
      </c>
      <c r="D4633" s="42" t="str">
        <f>IFERROR(__xludf.DUMMYFUNCTION("""COMPUTED_VALUE"""),"Berry")</f>
        <v>Berry</v>
      </c>
      <c r="E4633" s="42" t="str">
        <f>IFERROR(__xludf.DUMMYFUNCTION("""COMPUTED_VALUE"""),"DISERAHKAN")</f>
        <v>DISERAHKAN</v>
      </c>
      <c r="F4633" s="48">
        <f>IFERROR(__xludf.DUMMYFUNCTION("""COMPUTED_VALUE"""),45831.54149548611)</f>
        <v>45831.5415</v>
      </c>
      <c r="G4633" s="42" t="str">
        <f>IFERROR(__xludf.DUMMYFUNCTION("""COMPUTED_VALUE"""),"BN Waris")</f>
        <v>BN Waris</v>
      </c>
      <c r="H4633" s="42">
        <f t="shared" si="1"/>
        <v>2042</v>
      </c>
    </row>
    <row r="4634" ht="22.5" customHeight="1">
      <c r="B4634" s="42" t="str">
        <f>IFERROR(__xludf.DUMMYFUNCTION("""COMPUTED_VALUE"""),"K/11/030625/2")</f>
        <v>K/11/030625/2</v>
      </c>
      <c r="C4634" s="42" t="str">
        <f>IFERROR(__xludf.DUMMYFUNCTION("""COMPUTED_VALUE"""),"NIBEL M.20648/SIDODADI")</f>
        <v>NIBEL M.20648/SIDODADI</v>
      </c>
      <c r="D4634" s="42"/>
      <c r="E4634" s="42"/>
      <c r="F4634" s="48" t="str">
        <f>IFERROR(__xludf.DUMMYFUNCTION("""COMPUTED_VALUE"""),"")</f>
        <v/>
      </c>
      <c r="G4634" s="42" t="str">
        <f>IFERROR(__xludf.DUMMYFUNCTION("""COMPUTED_VALUE"""),"JUAL BELI")</f>
        <v>JUAL BELI</v>
      </c>
      <c r="H4634" s="42">
        <f t="shared" si="1"/>
        <v>2042</v>
      </c>
    </row>
    <row r="4635" ht="22.5" customHeight="1">
      <c r="B4635" s="42" t="str">
        <f>IFERROR(__xludf.DUMMYFUNCTION("""COMPUTED_VALUE"""),"K/15/030625/1")</f>
        <v>K/15/030625/1</v>
      </c>
      <c r="C4635" s="42" t="str">
        <f>IFERROR(__xludf.DUMMYFUNCTION("""COMPUTED_VALUE"""),"M. 1616/ Sumur Putri")</f>
        <v>M. 1616/ Sumur Putri</v>
      </c>
      <c r="D4635" s="42" t="str">
        <f>IFERROR(__xludf.DUMMYFUNCTION("""COMPUTED_VALUE"""),"David")</f>
        <v>David</v>
      </c>
      <c r="E4635" s="42" t="str">
        <f>IFERROR(__xludf.DUMMYFUNCTION("""COMPUTED_VALUE"""),"DISERAHKAN")</f>
        <v>DISERAHKAN</v>
      </c>
      <c r="F4635" s="48">
        <f>IFERROR(__xludf.DUMMYFUNCTION("""COMPUTED_VALUE"""),45848.524618923606)</f>
        <v>45848.52462</v>
      </c>
      <c r="G4635" s="42" t="str">
        <f>IFERROR(__xludf.DUMMYFUNCTION("""COMPUTED_VALUE"""),"BN JUAL BELI")</f>
        <v>BN JUAL BELI</v>
      </c>
      <c r="H4635" s="42">
        <f t="shared" si="1"/>
        <v>2043</v>
      </c>
    </row>
    <row r="4636" ht="22.5" customHeight="1">
      <c r="B4636" s="42" t="str">
        <f>IFERROR(__xludf.DUMMYFUNCTION("""COMPUTED_VALUE"""),"K/16/030625/2")</f>
        <v>K/16/030625/2</v>
      </c>
      <c r="C4636" s="42" t="str">
        <f>IFERROR(__xludf.DUMMYFUNCTION("""COMPUTED_VALUE"""),"M. 803/ Pecoh Roya")</f>
        <v>M. 803/ Pecoh Roya</v>
      </c>
      <c r="D4636" s="42" t="str">
        <f>IFERROR(__xludf.DUMMYFUNCTION("""COMPUTED_VALUE"""),"Berry")</f>
        <v>Berry</v>
      </c>
      <c r="E4636" s="42" t="str">
        <f>IFERROR(__xludf.DUMMYFUNCTION("""COMPUTED_VALUE"""),"DISERAHKAN")</f>
        <v>DISERAHKAN</v>
      </c>
      <c r="F4636" s="48">
        <f>IFERROR(__xludf.DUMMYFUNCTION("""COMPUTED_VALUE"""),45854.57771439815)</f>
        <v>45854.57771</v>
      </c>
      <c r="G4636" s="42" t="str">
        <f>IFERROR(__xludf.DUMMYFUNCTION("""COMPUTED_VALUE"""),"ROYA")</f>
        <v>ROYA</v>
      </c>
      <c r="H4636" s="42">
        <f t="shared" si="1"/>
        <v>2044</v>
      </c>
    </row>
    <row r="4637" ht="22.5" customHeight="1">
      <c r="B4637" s="42" t="str">
        <f>IFERROR(__xludf.DUMMYFUNCTION("""COMPUTED_VALUE"""),"K/12/030625/1")</f>
        <v>K/12/030625/1</v>
      </c>
      <c r="C4637" s="42" t="str">
        <f>IFERROR(__xludf.DUMMYFUNCTION("""COMPUTED_VALUE"""),"NIBEL M. 16595/WAY HALIM PERMAI")</f>
        <v>NIBEL M. 16595/WAY HALIM PERMAI</v>
      </c>
      <c r="D4637" s="42"/>
      <c r="E4637" s="42"/>
      <c r="F4637" s="48" t="str">
        <f>IFERROR(__xludf.DUMMYFUNCTION("""COMPUTED_VALUE"""),"")</f>
        <v/>
      </c>
      <c r="G4637" s="42" t="str">
        <f>IFERROR(__xludf.DUMMYFUNCTION("""COMPUTED_VALUE"""),"PTPGT")</f>
        <v>PTPGT</v>
      </c>
      <c r="H4637" s="42">
        <f t="shared" si="1"/>
        <v>2044</v>
      </c>
    </row>
    <row r="4638" ht="22.5" customHeight="1">
      <c r="B4638" s="42" t="str">
        <f>IFERROR(__xludf.DUMMYFUNCTION("""COMPUTED_VALUE"""),"K/13/030625/2")</f>
        <v>K/13/030625/2</v>
      </c>
      <c r="C4638" s="42" t="str">
        <f>IFERROR(__xludf.DUMMYFUNCTION("""COMPUTED_VALUE"""),"M.980/PERUMNAS WAY KANDIS ")</f>
        <v>M.980/PERUMNAS WAY KANDIS </v>
      </c>
      <c r="D4638" s="42" t="str">
        <f>IFERROR(__xludf.DUMMYFUNCTION("""COMPUTED_VALUE"""),"Berry")</f>
        <v>Berry</v>
      </c>
      <c r="E4638" s="42" t="str">
        <f>IFERROR(__xludf.DUMMYFUNCTION("""COMPUTED_VALUE"""),"DISERAHKAN")</f>
        <v>DISERAHKAN</v>
      </c>
      <c r="F4638" s="48">
        <f>IFERROR(__xludf.DUMMYFUNCTION("""COMPUTED_VALUE"""),45839.62372283565)</f>
        <v>45839.62372</v>
      </c>
      <c r="G4638" s="42" t="str">
        <f>IFERROR(__xludf.DUMMYFUNCTION("""COMPUTED_VALUE"""),"JUAL BELI")</f>
        <v>JUAL BELI</v>
      </c>
      <c r="H4638" s="42">
        <f t="shared" si="1"/>
        <v>2045</v>
      </c>
    </row>
    <row r="4639" ht="22.5" customHeight="1">
      <c r="B4639" s="42" t="str">
        <f>IFERROR(__xludf.DUMMYFUNCTION("""COMPUTED_VALUE"""),"K/14/030625/3")</f>
        <v>K/14/030625/3</v>
      </c>
      <c r="C4639" s="42" t="str">
        <f>IFERROR(__xludf.DUMMYFUNCTION("""COMPUTED_VALUE"""),"M.1894/SUKABUMI INDAH")</f>
        <v>M.1894/SUKABUMI INDAH</v>
      </c>
      <c r="D4639" s="42" t="str">
        <f>IFERROR(__xludf.DUMMYFUNCTION("""COMPUTED_VALUE"""),"Berry")</f>
        <v>Berry</v>
      </c>
      <c r="E4639" s="42" t="str">
        <f>IFERROR(__xludf.DUMMYFUNCTION("""COMPUTED_VALUE"""),"DISERAHKAN")</f>
        <v>DISERAHKAN</v>
      </c>
      <c r="F4639" s="48">
        <f>IFERROR(__xludf.DUMMYFUNCTION("""COMPUTED_VALUE"""),45825.51155758102)</f>
        <v>45825.51156</v>
      </c>
      <c r="G4639" s="42" t="str">
        <f>IFERROR(__xludf.DUMMYFUNCTION("""COMPUTED_VALUE"""),"JUAL BELI")</f>
        <v>JUAL BELI</v>
      </c>
      <c r="H4639" s="42">
        <f t="shared" si="1"/>
        <v>2046</v>
      </c>
    </row>
    <row r="4640" ht="22.5" customHeight="1">
      <c r="B4640" s="42" t="str">
        <f>IFERROR(__xludf.DUMMYFUNCTION("""COMPUTED_VALUE"""),"L/17/030625/1")</f>
        <v>L/17/030625/1</v>
      </c>
      <c r="C4640" s="42" t="str">
        <f>IFERROR(__xludf.DUMMYFUNCTION("""COMPUTED_VALUE"""),"HGB 1593/BUMI KEDAMAIAN")</f>
        <v>HGB 1593/BUMI KEDAMAIAN</v>
      </c>
      <c r="D4640" s="42" t="str">
        <f>IFERROR(__xludf.DUMMYFUNCTION("""COMPUTED_VALUE"""),"David")</f>
        <v>David</v>
      </c>
      <c r="E4640" s="42" t="str">
        <f>IFERROR(__xludf.DUMMYFUNCTION("""COMPUTED_VALUE"""),"DISERAHKAN")</f>
        <v>DISERAHKAN</v>
      </c>
      <c r="F4640" s="48">
        <f>IFERROR(__xludf.DUMMYFUNCTION("""COMPUTED_VALUE"""),45848.54588520833)</f>
        <v>45848.54589</v>
      </c>
      <c r="G4640" s="42" t="str">
        <f>IFERROR(__xludf.DUMMYFUNCTION("""COMPUTED_VALUE"""),"BN WARIS")</f>
        <v>BN WARIS</v>
      </c>
      <c r="H4640" s="42">
        <f t="shared" si="1"/>
        <v>2047</v>
      </c>
    </row>
    <row r="4641" ht="22.5" customHeight="1">
      <c r="B4641" s="42" t="str">
        <f>IFERROR(__xludf.DUMMYFUNCTION("""COMPUTED_VALUE"""),"K/19/030625/1")</f>
        <v>K/19/030625/1</v>
      </c>
      <c r="C4641" s="42" t="str">
        <f>IFERROR(__xludf.DUMMYFUNCTION("""COMPUTED_VALUE"""),"Nibel 19181/ Way Kandis")</f>
        <v>Nibel 19181/ Way Kandis</v>
      </c>
      <c r="D4641" s="42"/>
      <c r="E4641" s="42"/>
      <c r="F4641" s="48" t="str">
        <f>IFERROR(__xludf.DUMMYFUNCTION("""COMPUTED_VALUE"""),"")</f>
        <v/>
      </c>
      <c r="G4641" s="42" t="str">
        <f>IFERROR(__xludf.DUMMYFUNCTION("""COMPUTED_VALUE"""),"BN JUAL BELI")</f>
        <v>BN JUAL BELI</v>
      </c>
      <c r="H4641" s="42">
        <f t="shared" si="1"/>
        <v>2047</v>
      </c>
    </row>
    <row r="4642" ht="22.5" customHeight="1">
      <c r="B4642" s="42" t="str">
        <f>IFERROR(__xludf.DUMMYFUNCTION("""COMPUTED_VALUE"""),"K/18/030625/1")</f>
        <v>K/18/030625/1</v>
      </c>
      <c r="C4642" s="42" t="str">
        <f>IFERROR(__xludf.DUMMYFUNCTION("""COMPUTED_VALUE"""),"M.773/KEBON JERUK")</f>
        <v>M.773/KEBON JERUK</v>
      </c>
      <c r="D4642" s="42" t="str">
        <f>IFERROR(__xludf.DUMMYFUNCTION("""COMPUTED_VALUE"""),"Berry")</f>
        <v>Berry</v>
      </c>
      <c r="E4642" s="42" t="str">
        <f>IFERROR(__xludf.DUMMYFUNCTION("""COMPUTED_VALUE"""),"DISERAHKAN")</f>
        <v>DISERAHKAN</v>
      </c>
      <c r="F4642" s="48">
        <f>IFERROR(__xludf.DUMMYFUNCTION("""COMPUTED_VALUE"""),45825.512024386575)</f>
        <v>45825.51202</v>
      </c>
      <c r="G4642" s="42" t="str">
        <f>IFERROR(__xludf.DUMMYFUNCTION("""COMPUTED_VALUE"""),"HIBAH")</f>
        <v>HIBAH</v>
      </c>
      <c r="H4642" s="42">
        <f t="shared" si="1"/>
        <v>2048</v>
      </c>
    </row>
    <row r="4643" ht="22.5" customHeight="1">
      <c r="B4643" s="42" t="str">
        <f>IFERROR(__xludf.DUMMYFUNCTION("""COMPUTED_VALUE"""),"L/21/030625/1")</f>
        <v>L/21/030625/1</v>
      </c>
      <c r="C4643" s="42" t="str">
        <f>IFERROR(__xludf.DUMMYFUNCTION("""COMPUTED_VALUE"""),"HM 10915/LABUHAN RATU")</f>
        <v>HM 10915/LABUHAN RATU</v>
      </c>
      <c r="D4643" s="42"/>
      <c r="E4643" s="42"/>
      <c r="F4643" s="48" t="str">
        <f>IFERROR(__xludf.DUMMYFUNCTION("""COMPUTED_VALUE"""),"")</f>
        <v/>
      </c>
      <c r="G4643" s="42" t="str">
        <f>IFERROR(__xludf.DUMMYFUNCTION("""COMPUTED_VALUE"""),"ROYA LELANG")</f>
        <v>ROYA LELANG</v>
      </c>
      <c r="H4643" s="42">
        <f t="shared" si="1"/>
        <v>2048</v>
      </c>
    </row>
    <row r="4644" ht="22.5" customHeight="1">
      <c r="B4644" s="42" t="str">
        <f>IFERROR(__xludf.DUMMYFUNCTION("""COMPUTED_VALUE"""),"K/22/030625/1")</f>
        <v>K/22/030625/1</v>
      </c>
      <c r="C4644" s="42" t="str">
        <f>IFERROR(__xludf.DUMMYFUNCTION("""COMPUTED_VALUE"""),"M.14795/SUKABUMI")</f>
        <v>M.14795/SUKABUMI</v>
      </c>
      <c r="D4644" s="42" t="str">
        <f>IFERROR(__xludf.DUMMYFUNCTION("""COMPUTED_VALUE"""),"Berry")</f>
        <v>Berry</v>
      </c>
      <c r="E4644" s="42" t="str">
        <f>IFERROR(__xludf.DUMMYFUNCTION("""COMPUTED_VALUE"""),"DISERAHKAN")</f>
        <v>DISERAHKAN</v>
      </c>
      <c r="F4644" s="48">
        <f>IFERROR(__xludf.DUMMYFUNCTION("""COMPUTED_VALUE"""),45838.683274675925)</f>
        <v>45838.68327</v>
      </c>
      <c r="G4644" s="42" t="str">
        <f>IFERROR(__xludf.DUMMYFUNCTION("""COMPUTED_VALUE"""),"JUAL BELI")</f>
        <v>JUAL BELI</v>
      </c>
      <c r="H4644" s="42">
        <f t="shared" si="1"/>
        <v>2049</v>
      </c>
    </row>
    <row r="4645" ht="22.5" customHeight="1">
      <c r="B4645" s="42" t="str">
        <f>IFERROR(__xludf.DUMMYFUNCTION("""COMPUTED_VALUE"""),"K/23/030625/1")</f>
        <v>K/23/030625/1</v>
      </c>
      <c r="C4645" s="42" t="str">
        <f>IFERROR(__xludf.DUMMYFUNCTION("""COMPUTED_VALUE"""),"M. 2410/ Langkapura")</f>
        <v>M. 2410/ Langkapura</v>
      </c>
      <c r="D4645" s="42"/>
      <c r="E4645" s="42"/>
      <c r="F4645" s="48" t="str">
        <f>IFERROR(__xludf.DUMMYFUNCTION("""COMPUTED_VALUE"""),"")</f>
        <v/>
      </c>
      <c r="G4645" s="42" t="str">
        <f>IFERROR(__xludf.DUMMYFUNCTION("""COMPUTED_VALUE"""),"BN WARIS")</f>
        <v>BN WARIS</v>
      </c>
      <c r="H4645" s="42">
        <f t="shared" si="1"/>
        <v>2049</v>
      </c>
    </row>
    <row r="4646" ht="22.5" customHeight="1">
      <c r="B4646" s="42" t="str">
        <f>IFERROR(__xludf.DUMMYFUNCTION("""COMPUTED_VALUE"""),"K/24/030625/1")</f>
        <v>K/24/030625/1</v>
      </c>
      <c r="C4646" s="42" t="str">
        <f>IFERROR(__xludf.DUMMYFUNCTION("""COMPUTED_VALUE"""),"B.3215/SUKABUMI")</f>
        <v>B.3215/SUKABUMI</v>
      </c>
      <c r="D4646" s="42"/>
      <c r="E4646" s="42"/>
      <c r="F4646" s="48" t="str">
        <f>IFERROR(__xludf.DUMMYFUNCTION("""COMPUTED_VALUE"""),"")</f>
        <v/>
      </c>
      <c r="G4646" s="42" t="str">
        <f>IFERROR(__xludf.DUMMYFUNCTION("""COMPUTED_VALUE"""),"BLOKIR")</f>
        <v>BLOKIR</v>
      </c>
      <c r="H4646" s="42">
        <f t="shared" si="1"/>
        <v>2049</v>
      </c>
    </row>
    <row r="4647" ht="22.5" customHeight="1">
      <c r="B4647" s="42" t="str">
        <f>IFERROR(__xludf.DUMMYFUNCTION("""COMPUTED_VALUE"""),"L/25/030625/1")</f>
        <v>L/25/030625/1</v>
      </c>
      <c r="C4647" s="42" t="str">
        <f>IFERROR(__xludf.DUMMYFUNCTION("""COMPUTED_VALUE"""),"HGB 903/SUKARAME BARU")</f>
        <v>HGB 903/SUKARAME BARU</v>
      </c>
      <c r="D4647" s="42"/>
      <c r="E4647" s="42"/>
      <c r="F4647" s="48" t="str">
        <f>IFERROR(__xludf.DUMMYFUNCTION("""COMPUTED_VALUE"""),"")</f>
        <v/>
      </c>
      <c r="G4647" s="42" t="str">
        <f>IFERROR(__xludf.DUMMYFUNCTION("""COMPUTED_VALUE"""),"PH")</f>
        <v>PH</v>
      </c>
      <c r="H4647" s="42">
        <f t="shared" si="1"/>
        <v>2049</v>
      </c>
    </row>
    <row r="4648" ht="22.5" customHeight="1">
      <c r="B4648" s="42" t="str">
        <f>IFERROR(__xludf.DUMMYFUNCTION("""COMPUTED_VALUE"""),"K/9/030625/1")</f>
        <v>K/9/030625/1</v>
      </c>
      <c r="C4648" s="42" t="str">
        <f>IFERROR(__xludf.DUMMYFUNCTION("""COMPUTED_VALUE"""),"NIBEL M. 11883/KEMILING RAYA")</f>
        <v>NIBEL M. 11883/KEMILING RAYA</v>
      </c>
      <c r="D4648" s="42"/>
      <c r="E4648" s="42"/>
      <c r="F4648" s="48" t="str">
        <f>IFERROR(__xludf.DUMMYFUNCTION("""COMPUTED_VALUE"""),"")</f>
        <v/>
      </c>
      <c r="G4648" s="42" t="str">
        <f>IFERROR(__xludf.DUMMYFUNCTION("""COMPUTED_VALUE"""),"BN JUAL BELI")</f>
        <v>BN JUAL BELI</v>
      </c>
      <c r="H4648" s="42">
        <f t="shared" si="1"/>
        <v>2049</v>
      </c>
    </row>
    <row r="4649" ht="22.5" customHeight="1">
      <c r="B4649" s="42" t="str">
        <f>IFERROR(__xludf.DUMMYFUNCTION("""COMPUTED_VALUE"""),"K/26/030625/1")</f>
        <v>K/26/030625/1</v>
      </c>
      <c r="C4649" s="42" t="str">
        <f>IFERROR(__xludf.DUMMYFUNCTION("""COMPUTED_VALUE"""),"M. 4602/RAJABASA JAYA")</f>
        <v>M. 4602/RAJABASA JAYA</v>
      </c>
      <c r="D4649" s="42" t="str">
        <f>IFERROR(__xludf.DUMMYFUNCTION("""COMPUTED_VALUE"""),"Berry")</f>
        <v>Berry</v>
      </c>
      <c r="E4649" s="42" t="str">
        <f>IFERROR(__xludf.DUMMYFUNCTION("""COMPUTED_VALUE"""),"DISERAHKAN")</f>
        <v>DISERAHKAN</v>
      </c>
      <c r="F4649" s="48">
        <f>IFERROR(__xludf.DUMMYFUNCTION("""COMPUTED_VALUE"""),45831.54005564815)</f>
        <v>45831.54006</v>
      </c>
      <c r="G4649" s="42" t="str">
        <f>IFERROR(__xludf.DUMMYFUNCTION("""COMPUTED_VALUE"""),"BN JUAL BELI")</f>
        <v>BN JUAL BELI</v>
      </c>
      <c r="H4649" s="42">
        <f t="shared" si="1"/>
        <v>2050</v>
      </c>
    </row>
    <row r="4650" ht="22.5" customHeight="1">
      <c r="B4650" s="42" t="str">
        <f>IFERROR(__xludf.DUMMYFUNCTION("""COMPUTED_VALUE"""),"K/30/030625/1")</f>
        <v>K/30/030625/1</v>
      </c>
      <c r="C4650" s="42" t="str">
        <f>IFERROR(__xludf.DUMMYFUNCTION("""COMPUTED_VALUE"""),"B. 202/ Sukarame Baru")</f>
        <v>B. 202/ Sukarame Baru</v>
      </c>
      <c r="D4650" s="42" t="str">
        <f>IFERROR(__xludf.DUMMYFUNCTION("""COMPUTED_VALUE"""),"David")</f>
        <v>David</v>
      </c>
      <c r="E4650" s="42" t="str">
        <f>IFERROR(__xludf.DUMMYFUNCTION("""COMPUTED_VALUE"""),"DISERAHKAN")</f>
        <v>DISERAHKAN</v>
      </c>
      <c r="F4650" s="48">
        <f>IFERROR(__xludf.DUMMYFUNCTION("""COMPUTED_VALUE"""),45833.67189380787)</f>
        <v>45833.67189</v>
      </c>
      <c r="G4650" s="42" t="str">
        <f>IFERROR(__xludf.DUMMYFUNCTION("""COMPUTED_VALUE"""),"Roya")</f>
        <v>Roya</v>
      </c>
      <c r="H4650" s="42">
        <f t="shared" si="1"/>
        <v>2051</v>
      </c>
    </row>
    <row r="4651" ht="22.5" customHeight="1">
      <c r="B4651" s="42" t="str">
        <f>IFERROR(__xludf.DUMMYFUNCTION("""COMPUTED_VALUE"""),"L/31/030625/1")</f>
        <v>L/31/030625/1</v>
      </c>
      <c r="C4651" s="42" t="str">
        <f>IFERROR(__xludf.DUMMYFUNCTION("""COMPUTED_VALUE"""),"NIB 209670/TANJUNG SENANG")</f>
        <v>NIB 209670/TANJUNG SENANG</v>
      </c>
      <c r="D4651" s="42"/>
      <c r="E4651" s="42"/>
      <c r="F4651" s="48" t="str">
        <f>IFERROR(__xludf.DUMMYFUNCTION("""COMPUTED_VALUE"""),"")</f>
        <v/>
      </c>
      <c r="G4651" s="42" t="str">
        <f>IFERROR(__xludf.DUMMYFUNCTION("""COMPUTED_VALUE"""),"PTPGT")</f>
        <v>PTPGT</v>
      </c>
      <c r="H4651" s="42">
        <f t="shared" si="1"/>
        <v>2051</v>
      </c>
    </row>
    <row r="4652" ht="22.5" customHeight="1">
      <c r="B4652" s="42" t="str">
        <f>IFERROR(__xludf.DUMMYFUNCTION("""COMPUTED_VALUE"""),"K/28/030625/1")</f>
        <v>K/28/030625/1</v>
      </c>
      <c r="C4652" s="42" t="str">
        <f>IFERROR(__xludf.DUMMYFUNCTION("""COMPUTED_VALUE"""),"Nibel. M. 17354/ Rajabasa Raya")</f>
        <v>Nibel. M. 17354/ Rajabasa Raya</v>
      </c>
      <c r="D4652" s="42"/>
      <c r="E4652" s="42"/>
      <c r="F4652" s="48" t="str">
        <f>IFERROR(__xludf.DUMMYFUNCTION("""COMPUTED_VALUE"""),"")</f>
        <v/>
      </c>
      <c r="G4652" s="42" t="str">
        <f>IFERROR(__xludf.DUMMYFUNCTION("""COMPUTED_VALUE"""),"BN Jual Beli")</f>
        <v>BN Jual Beli</v>
      </c>
      <c r="H4652" s="42">
        <f t="shared" si="1"/>
        <v>2051</v>
      </c>
    </row>
    <row r="4653" ht="22.5" customHeight="1">
      <c r="B4653" s="42" t="str">
        <f>IFERROR(__xludf.DUMMYFUNCTION("""COMPUTED_VALUE"""),"K/29/030625/2")</f>
        <v>K/29/030625/2</v>
      </c>
      <c r="C4653" s="42" t="str">
        <f>IFERROR(__xludf.DUMMYFUNCTION("""COMPUTED_VALUE"""),"Nibel. M. 19139/ Gunung Agung")</f>
        <v>Nibel. M. 19139/ Gunung Agung</v>
      </c>
      <c r="D4653" s="42"/>
      <c r="E4653" s="42"/>
      <c r="F4653" s="48" t="str">
        <f>IFERROR(__xludf.DUMMYFUNCTION("""COMPUTED_VALUE"""),"")</f>
        <v/>
      </c>
      <c r="G4653" s="42" t="str">
        <f>IFERROR(__xludf.DUMMYFUNCTION("""COMPUTED_VALUE"""),"BN Jual Beli")</f>
        <v>BN Jual Beli</v>
      </c>
      <c r="H4653" s="42">
        <f t="shared" si="1"/>
        <v>2051</v>
      </c>
    </row>
    <row r="4654" ht="22.5" customHeight="1">
      <c r="B4654" s="42" t="str">
        <f>IFERROR(__xludf.DUMMYFUNCTION("""COMPUTED_VALUE"""),"K/27/030625/1")</f>
        <v>K/27/030625/1</v>
      </c>
      <c r="C4654" s="42" t="str">
        <f>IFERROR(__xludf.DUMMYFUNCTION("""COMPUTED_VALUE"""),"M. 15431/SUKARAME")</f>
        <v>M. 15431/SUKARAME</v>
      </c>
      <c r="D4654" s="42" t="str">
        <f>IFERROR(__xludf.DUMMYFUNCTION("""COMPUTED_VALUE"""),"Berry")</f>
        <v>Berry</v>
      </c>
      <c r="E4654" s="42" t="str">
        <f>IFERROR(__xludf.DUMMYFUNCTION("""COMPUTED_VALUE"""),"DISERAHKAN")</f>
        <v>DISERAHKAN</v>
      </c>
      <c r="F4654" s="48">
        <f>IFERROR(__xludf.DUMMYFUNCTION("""COMPUTED_VALUE"""),45828.587315902776)</f>
        <v>45828.58732</v>
      </c>
      <c r="G4654" s="42" t="str">
        <f>IFERROR(__xludf.DUMMYFUNCTION("""COMPUTED_VALUE"""),"ROYA")</f>
        <v>ROYA</v>
      </c>
      <c r="H4654" s="42">
        <f t="shared" si="1"/>
        <v>2052</v>
      </c>
    </row>
    <row r="4655" ht="22.5" customHeight="1">
      <c r="B4655" s="42" t="str">
        <f>IFERROR(__xludf.DUMMYFUNCTION("""COMPUTED_VALUE"""),"K/32/030625/1")</f>
        <v>K/32/030625/1</v>
      </c>
      <c r="C4655" s="42" t="str">
        <f>IFERROR(__xludf.DUMMYFUNCTION("""COMPUTED_VALUE"""),"NIbel 18876/ Nusantara Permai")</f>
        <v>NIbel 18876/ Nusantara Permai</v>
      </c>
      <c r="D4655" s="42"/>
      <c r="E4655" s="42"/>
      <c r="F4655" s="48" t="str">
        <f>IFERROR(__xludf.DUMMYFUNCTION("""COMPUTED_VALUE"""),"")</f>
        <v/>
      </c>
      <c r="G4655" s="42" t="str">
        <f>IFERROR(__xludf.DUMMYFUNCTION("""COMPUTED_VALUE"""),"BN JUAL BELI")</f>
        <v>BN JUAL BELI</v>
      </c>
      <c r="H4655" s="42">
        <f t="shared" si="1"/>
        <v>2052</v>
      </c>
    </row>
    <row r="4656" ht="22.5" customHeight="1">
      <c r="B4656" s="42" t="str">
        <f>IFERROR(__xludf.DUMMYFUNCTION("""COMPUTED_VALUE"""),"K/33/030625/2")</f>
        <v>K/33/030625/2</v>
      </c>
      <c r="C4656" s="42" t="str">
        <f>IFERROR(__xludf.DUMMYFUNCTION("""COMPUTED_VALUE"""),"Nibel 19097/ Rajabasa Jaya")</f>
        <v>Nibel 19097/ Rajabasa Jaya</v>
      </c>
      <c r="D4656" s="42"/>
      <c r="E4656" s="42"/>
      <c r="F4656" s="48" t="str">
        <f>IFERROR(__xludf.DUMMYFUNCTION("""COMPUTED_VALUE"""),"")</f>
        <v/>
      </c>
      <c r="G4656" s="42" t="str">
        <f>IFERROR(__xludf.DUMMYFUNCTION("""COMPUTED_VALUE"""),"BN JUAL BELI")</f>
        <v>BN JUAL BELI</v>
      </c>
      <c r="H4656" s="42">
        <f t="shared" si="1"/>
        <v>2052</v>
      </c>
    </row>
    <row r="4657" ht="22.5" customHeight="1">
      <c r="B4657" s="42" t="str">
        <f>IFERROR(__xludf.DUMMYFUNCTION("""COMPUTED_VALUE"""),"K/34/030625/3")</f>
        <v>K/34/030625/3</v>
      </c>
      <c r="C4657" s="42" t="str">
        <f>IFERROR(__xludf.DUMMYFUNCTION("""COMPUTED_VALUE"""),"Nibel 19068/ Rajabasa Jaya")</f>
        <v>Nibel 19068/ Rajabasa Jaya</v>
      </c>
      <c r="D4657" s="42"/>
      <c r="E4657" s="42"/>
      <c r="F4657" s="48" t="str">
        <f>IFERROR(__xludf.DUMMYFUNCTION("""COMPUTED_VALUE"""),"")</f>
        <v/>
      </c>
      <c r="G4657" s="42" t="str">
        <f>IFERROR(__xludf.DUMMYFUNCTION("""COMPUTED_VALUE"""),"BN JUAL BELI")</f>
        <v>BN JUAL BELI</v>
      </c>
      <c r="H4657" s="42">
        <f t="shared" si="1"/>
        <v>2052</v>
      </c>
    </row>
    <row r="4658" ht="22.5" customHeight="1">
      <c r="B4658" s="42" t="str">
        <f>IFERROR(__xludf.DUMMYFUNCTION("""COMPUTED_VALUE"""),"K/35/030625/1")</f>
        <v>K/35/030625/1</v>
      </c>
      <c r="C4658" s="42" t="str">
        <f>IFERROR(__xludf.DUMMYFUNCTION("""COMPUTED_VALUE"""),"LABUHAN DALAM")</f>
        <v>LABUHAN DALAM</v>
      </c>
      <c r="D4658" s="42"/>
      <c r="E4658" s="42"/>
      <c r="F4658" s="48" t="str">
        <f>IFERROR(__xludf.DUMMYFUNCTION("""COMPUTED_VALUE"""),"")</f>
        <v/>
      </c>
      <c r="G4658" s="42" t="str">
        <f>IFERROR(__xludf.DUMMYFUNCTION("""COMPUTED_VALUE"""),"TANAH MENTAH")</f>
        <v>TANAH MENTAH</v>
      </c>
      <c r="H4658" s="42">
        <f t="shared" si="1"/>
        <v>2052</v>
      </c>
    </row>
    <row r="4659" ht="22.5" customHeight="1">
      <c r="B4659" s="42" t="str">
        <f>IFERROR(__xludf.DUMMYFUNCTION("""COMPUTED_VALUE"""),"K/36/030625/1")</f>
        <v>K/36/030625/1</v>
      </c>
      <c r="C4659" s="42" t="str">
        <f>IFERROR(__xludf.DUMMYFUNCTION("""COMPUTED_VALUE"""),"M. 1030/ Durian Payung")</f>
        <v>M. 1030/ Durian Payung</v>
      </c>
      <c r="D4659" s="42" t="str">
        <f>IFERROR(__xludf.DUMMYFUNCTION("""COMPUTED_VALUE"""),"Berry")</f>
        <v>Berry</v>
      </c>
      <c r="E4659" s="42" t="str">
        <f>IFERROR(__xludf.DUMMYFUNCTION("""COMPUTED_VALUE"""),"DISERAHKAN")</f>
        <v>DISERAHKAN</v>
      </c>
      <c r="F4659" s="48">
        <f>IFERROR(__xludf.DUMMYFUNCTION("""COMPUTED_VALUE"""),45825.504160833334)</f>
        <v>45825.50416</v>
      </c>
      <c r="G4659" s="42" t="str">
        <f>IFERROR(__xludf.DUMMYFUNCTION("""COMPUTED_VALUE"""),"BN JUAL BELI")</f>
        <v>BN JUAL BELI</v>
      </c>
      <c r="H4659" s="42">
        <f t="shared" si="1"/>
        <v>2053</v>
      </c>
    </row>
    <row r="4660" ht="22.5" customHeight="1">
      <c r="B4660" s="42" t="str">
        <f>IFERROR(__xludf.DUMMYFUNCTION("""COMPUTED_VALUE"""),"L/38/030625/1")</f>
        <v>L/38/030625/1</v>
      </c>
      <c r="C4660" s="42" t="str">
        <f>IFERROR(__xludf.DUMMYFUNCTION("""COMPUTED_VALUE"""),"HGB 264/PANJANG UTARA")</f>
        <v>HGB 264/PANJANG UTARA</v>
      </c>
      <c r="D4660" s="42"/>
      <c r="E4660" s="42"/>
      <c r="F4660" s="48" t="str">
        <f>IFERROR(__xludf.DUMMYFUNCTION("""COMPUTED_VALUE"""),"")</f>
        <v/>
      </c>
      <c r="G4660" s="42" t="str">
        <f>IFERROR(__xludf.DUMMYFUNCTION("""COMPUTED_VALUE"""),"PEMBAHARUAN HGB")</f>
        <v>PEMBAHARUAN HGB</v>
      </c>
      <c r="H4660" s="42">
        <f t="shared" si="1"/>
        <v>2053</v>
      </c>
    </row>
    <row r="4661" ht="22.5" customHeight="1">
      <c r="B4661" s="42" t="str">
        <f>IFERROR(__xludf.DUMMYFUNCTION("""COMPUTED_VALUE"""),"K/37/030625/1")</f>
        <v>K/37/030625/1</v>
      </c>
      <c r="C4661" s="42" t="str">
        <f>IFERROR(__xludf.DUMMYFUNCTION("""COMPUTED_VALUE"""),"M. 3172/ Way Kandis")</f>
        <v>M. 3172/ Way Kandis</v>
      </c>
      <c r="D4661" s="42" t="str">
        <f>IFERROR(__xludf.DUMMYFUNCTION("""COMPUTED_VALUE"""),"Berry")</f>
        <v>Berry</v>
      </c>
      <c r="E4661" s="42" t="str">
        <f>IFERROR(__xludf.DUMMYFUNCTION("""COMPUTED_VALUE"""),"DISERAHKAN")</f>
        <v>DISERAHKAN</v>
      </c>
      <c r="F4661" s="48">
        <f>IFERROR(__xludf.DUMMYFUNCTION("""COMPUTED_VALUE"""),45890.59728739584)</f>
        <v>45890.59729</v>
      </c>
      <c r="G4661" s="42" t="str">
        <f>IFERROR(__xludf.DUMMYFUNCTION("""COMPUTED_VALUE"""),"Roya")</f>
        <v>Roya</v>
      </c>
      <c r="H4661" s="42">
        <f t="shared" si="1"/>
        <v>2054</v>
      </c>
    </row>
    <row r="4662" ht="22.5" customHeight="1">
      <c r="B4662" s="42" t="str">
        <f>IFERROR(__xludf.DUMMYFUNCTION("""COMPUTED_VALUE"""),"K/39/030625/1")</f>
        <v>K/39/030625/1</v>
      </c>
      <c r="C4662" s="42" t="str">
        <f>IFERROR(__xludf.DUMMYFUNCTION("""COMPUTED_VALUE"""),"M. 2444/ Kedaung")</f>
        <v>M. 2444/ Kedaung</v>
      </c>
      <c r="D4662" s="42"/>
      <c r="E4662" s="42"/>
      <c r="F4662" s="48" t="str">
        <f>IFERROR(__xludf.DUMMYFUNCTION("""COMPUTED_VALUE"""),"")</f>
        <v/>
      </c>
      <c r="G4662" s="42" t="str">
        <f>IFERROR(__xludf.DUMMYFUNCTION("""COMPUTED_VALUE"""),"BN Jual Beli")</f>
        <v>BN Jual Beli</v>
      </c>
      <c r="H4662" s="42">
        <f t="shared" si="1"/>
        <v>2054</v>
      </c>
    </row>
    <row r="4663" ht="22.5" customHeight="1">
      <c r="B4663" s="42" t="str">
        <f>IFERROR(__xludf.DUMMYFUNCTION("""COMPUTED_VALUE"""),"K/41/030625/1")</f>
        <v>K/41/030625/1</v>
      </c>
      <c r="C4663" s="42" t="str">
        <f>IFERROR(__xludf.DUMMYFUNCTION("""COMPUTED_VALUE"""),"NIBEL M 20140/LABUHAN RATU RAYA")</f>
        <v>NIBEL M 20140/LABUHAN RATU RAYA</v>
      </c>
      <c r="D4663" s="42"/>
      <c r="E4663" s="42"/>
      <c r="F4663" s="48" t="str">
        <f>IFERROR(__xludf.DUMMYFUNCTION("""COMPUTED_VALUE"""),"")</f>
        <v/>
      </c>
      <c r="G4663" s="42" t="str">
        <f>IFERROR(__xludf.DUMMYFUNCTION("""COMPUTED_VALUE"""),"JUAL BELI")</f>
        <v>JUAL BELI</v>
      </c>
      <c r="H4663" s="42">
        <f t="shared" si="1"/>
        <v>2054</v>
      </c>
    </row>
    <row r="4664" ht="22.5" customHeight="1">
      <c r="B4664" s="42" t="str">
        <f>IFERROR(__xludf.DUMMYFUNCTION("""COMPUTED_VALUE"""),"K/40/030625/2")</f>
        <v>K/40/030625/2</v>
      </c>
      <c r="C4664" s="42" t="str">
        <f>IFERROR(__xludf.DUMMYFUNCTION("""COMPUTED_VALUE"""),"Nibel. M. 1174/ Rajabasa Jaya")</f>
        <v>Nibel. M. 1174/ Rajabasa Jaya</v>
      </c>
      <c r="D4664" s="42"/>
      <c r="E4664" s="42"/>
      <c r="F4664" s="48" t="str">
        <f>IFERROR(__xludf.DUMMYFUNCTION("""COMPUTED_VALUE"""),"")</f>
        <v/>
      </c>
      <c r="G4664" s="42" t="str">
        <f>IFERROR(__xludf.DUMMYFUNCTION("""COMPUTED_VALUE"""),"BN Jual Beli")</f>
        <v>BN Jual Beli</v>
      </c>
      <c r="H4664" s="42">
        <f t="shared" si="1"/>
        <v>2054</v>
      </c>
    </row>
    <row r="4665" ht="22.5" customHeight="1">
      <c r="B4665" s="42" t="str">
        <f>IFERROR(__xludf.DUMMYFUNCTION("""COMPUTED_VALUE"""),"K/43/030625/1")</f>
        <v>K/43/030625/1</v>
      </c>
      <c r="C4665" s="42" t="str">
        <f>IFERROR(__xludf.DUMMYFUNCTION("""COMPUTED_VALUE"""),"M. 545/ kaliawi")</f>
        <v>M. 545/ kaliawi</v>
      </c>
      <c r="D4665" s="42" t="str">
        <f>IFERROR(__xludf.DUMMYFUNCTION("""COMPUTED_VALUE"""),"Berry")</f>
        <v>Berry</v>
      </c>
      <c r="E4665" s="42" t="str">
        <f>IFERROR(__xludf.DUMMYFUNCTION("""COMPUTED_VALUE"""),"DISERAHKAN")</f>
        <v>DISERAHKAN</v>
      </c>
      <c r="F4665" s="48">
        <f>IFERROR(__xludf.DUMMYFUNCTION("""COMPUTED_VALUE"""),45932.70344798611)</f>
        <v>45932.70345</v>
      </c>
      <c r="G4665" s="42" t="str">
        <f>IFERROR(__xludf.DUMMYFUNCTION("""COMPUTED_VALUE"""),"BN JUAL BELI")</f>
        <v>BN JUAL BELI</v>
      </c>
      <c r="H4665" s="42">
        <f t="shared" si="1"/>
        <v>2055</v>
      </c>
    </row>
    <row r="4666" ht="22.5" customHeight="1">
      <c r="B4666" s="42" t="str">
        <f>IFERROR(__xludf.DUMMYFUNCTION("""COMPUTED_VALUE"""),"K/44/030625/2")</f>
        <v>K/44/030625/2</v>
      </c>
      <c r="C4666" s="42" t="str">
        <f>IFERROR(__xludf.DUMMYFUNCTION("""COMPUTED_VALUE"""),"M. 1430/ Kaliawi")</f>
        <v>M. 1430/ Kaliawi</v>
      </c>
      <c r="D4666" s="42" t="str">
        <f>IFERROR(__xludf.DUMMYFUNCTION("""COMPUTED_VALUE"""),"Berry")</f>
        <v>Berry</v>
      </c>
      <c r="E4666" s="42" t="str">
        <f>IFERROR(__xludf.DUMMYFUNCTION("""COMPUTED_VALUE"""),"DISERAHKAN")</f>
        <v>DISERAHKAN</v>
      </c>
      <c r="F4666" s="48">
        <f>IFERROR(__xludf.DUMMYFUNCTION("""COMPUTED_VALUE"""),45825.504505289355)</f>
        <v>45825.50451</v>
      </c>
      <c r="G4666" s="42" t="str">
        <f>IFERROR(__xludf.DUMMYFUNCTION("""COMPUTED_VALUE"""),"BN JUAL BELI")</f>
        <v>BN JUAL BELI</v>
      </c>
      <c r="H4666" s="42">
        <f t="shared" si="1"/>
        <v>2056</v>
      </c>
    </row>
    <row r="4667" ht="22.5" customHeight="1">
      <c r="B4667" s="42" t="str">
        <f>IFERROR(__xludf.DUMMYFUNCTION("""COMPUTED_VALUE"""),"K/45/030625/3")</f>
        <v>K/45/030625/3</v>
      </c>
      <c r="C4667" s="42" t="str">
        <f>IFERROR(__xludf.DUMMYFUNCTION("""COMPUTED_VALUE"""),"M. 830/ Kaliawi")</f>
        <v>M. 830/ Kaliawi</v>
      </c>
      <c r="D4667" s="42" t="str">
        <f>IFERROR(__xludf.DUMMYFUNCTION("""COMPUTED_VALUE"""),"Berry")</f>
        <v>Berry</v>
      </c>
      <c r="E4667" s="42" t="str">
        <f>IFERROR(__xludf.DUMMYFUNCTION("""COMPUTED_VALUE"""),"DISERAHKAN")</f>
        <v>DISERAHKAN</v>
      </c>
      <c r="F4667" s="48">
        <f>IFERROR(__xludf.DUMMYFUNCTION("""COMPUTED_VALUE"""),45838.65973028935)</f>
        <v>45838.65973</v>
      </c>
      <c r="G4667" s="42" t="str">
        <f>IFERROR(__xludf.DUMMYFUNCTION("""COMPUTED_VALUE"""),"BN JUAL BELI")</f>
        <v>BN JUAL BELI</v>
      </c>
      <c r="H4667" s="42">
        <f t="shared" si="1"/>
        <v>2057</v>
      </c>
    </row>
    <row r="4668" ht="22.5" customHeight="1">
      <c r="B4668" s="42" t="str">
        <f>IFERROR(__xludf.DUMMYFUNCTION("""COMPUTED_VALUE"""),"K/48/030625/1")</f>
        <v>K/48/030625/1</v>
      </c>
      <c r="C4668" s="42" t="str">
        <f>IFERROR(__xludf.DUMMYFUNCTION("""COMPUTED_VALUE"""),"M. 281/ Pesawahan")</f>
        <v>M. 281/ Pesawahan</v>
      </c>
      <c r="D4668" s="42"/>
      <c r="E4668" s="42"/>
      <c r="F4668" s="48" t="str">
        <f>IFERROR(__xludf.DUMMYFUNCTION("""COMPUTED_VALUE"""),"")</f>
        <v/>
      </c>
      <c r="G4668" s="42" t="str">
        <f>IFERROR(__xludf.DUMMYFUNCTION("""COMPUTED_VALUE"""),"SKPT LELANG")</f>
        <v>SKPT LELANG</v>
      </c>
      <c r="H4668" s="42">
        <f t="shared" si="1"/>
        <v>2057</v>
      </c>
    </row>
    <row r="4669" ht="22.5" customHeight="1">
      <c r="B4669" s="42" t="str">
        <f>IFERROR(__xludf.DUMMYFUNCTION("""COMPUTED_VALUE"""),"K/49/030625/2")</f>
        <v>K/49/030625/2</v>
      </c>
      <c r="C4669" s="42" t="str">
        <f>IFERROR(__xludf.DUMMYFUNCTION("""COMPUTED_VALUE"""),"M. 193/ Batu Putu")</f>
        <v>M. 193/ Batu Putu</v>
      </c>
      <c r="D4669" s="42"/>
      <c r="E4669" s="42"/>
      <c r="F4669" s="48" t="str">
        <f>IFERROR(__xludf.DUMMYFUNCTION("""COMPUTED_VALUE"""),"")</f>
        <v/>
      </c>
      <c r="G4669" s="42" t="str">
        <f>IFERROR(__xludf.DUMMYFUNCTION("""COMPUTED_VALUE"""),"SKPT LELANG")</f>
        <v>SKPT LELANG</v>
      </c>
      <c r="H4669" s="42">
        <f t="shared" si="1"/>
        <v>2057</v>
      </c>
    </row>
    <row r="4670" ht="22.5" customHeight="1">
      <c r="B4670" s="42" t="str">
        <f>IFERROR(__xludf.DUMMYFUNCTION("""COMPUTED_VALUE"""),"K/50/030625/3")</f>
        <v>K/50/030625/3</v>
      </c>
      <c r="C4670" s="42" t="str">
        <f>IFERROR(__xludf.DUMMYFUNCTION("""COMPUTED_VALUE"""),"M. 247/ Batu Putu")</f>
        <v>M. 247/ Batu Putu</v>
      </c>
      <c r="D4670" s="42"/>
      <c r="E4670" s="42"/>
      <c r="F4670" s="48" t="str">
        <f>IFERROR(__xludf.DUMMYFUNCTION("""COMPUTED_VALUE"""),"")</f>
        <v/>
      </c>
      <c r="G4670" s="42" t="str">
        <f>IFERROR(__xludf.DUMMYFUNCTION("""COMPUTED_VALUE"""),"SKPT LELANG")</f>
        <v>SKPT LELANG</v>
      </c>
      <c r="H4670" s="42">
        <f t="shared" si="1"/>
        <v>2057</v>
      </c>
    </row>
    <row r="4671" ht="22.5" customHeight="1">
      <c r="B4671" s="42" t="str">
        <f>IFERROR(__xludf.DUMMYFUNCTION("""COMPUTED_VALUE"""),"K/51/030625/4")</f>
        <v>K/51/030625/4</v>
      </c>
      <c r="C4671" s="42" t="str">
        <f>IFERROR(__xludf.DUMMYFUNCTION("""COMPUTED_VALUE"""),"M. 1280/ Kangkung")</f>
        <v>M. 1280/ Kangkung</v>
      </c>
      <c r="D4671" s="42"/>
      <c r="E4671" s="42"/>
      <c r="F4671" s="48" t="str">
        <f>IFERROR(__xludf.DUMMYFUNCTION("""COMPUTED_VALUE"""),"")</f>
        <v/>
      </c>
      <c r="G4671" s="42" t="str">
        <f>IFERROR(__xludf.DUMMYFUNCTION("""COMPUTED_VALUE"""),"SKPT LELANG")</f>
        <v>SKPT LELANG</v>
      </c>
      <c r="H4671" s="42">
        <f t="shared" si="1"/>
        <v>2057</v>
      </c>
    </row>
    <row r="4672" ht="22.5" customHeight="1">
      <c r="B4672" s="42" t="str">
        <f>IFERROR(__xludf.DUMMYFUNCTION("""COMPUTED_VALUE"""),"K/42/030625/2")</f>
        <v>K/42/030625/2</v>
      </c>
      <c r="C4672" s="42" t="str">
        <f>IFERROR(__xludf.DUMMYFUNCTION("""COMPUTED_VALUE"""),"M.9455/SUKABUMI")</f>
        <v>M.9455/SUKABUMI</v>
      </c>
      <c r="D4672" s="42" t="str">
        <f>IFERROR(__xludf.DUMMYFUNCTION("""COMPUTED_VALUE"""),"Berry")</f>
        <v>Berry</v>
      </c>
      <c r="E4672" s="42" t="str">
        <f>IFERROR(__xludf.DUMMYFUNCTION("""COMPUTED_VALUE"""),"DISERAHKAN")</f>
        <v>DISERAHKAN</v>
      </c>
      <c r="F4672" s="48">
        <f>IFERROR(__xludf.DUMMYFUNCTION("""COMPUTED_VALUE"""),45824.46708615741)</f>
        <v>45824.46709</v>
      </c>
      <c r="G4672" s="42" t="str">
        <f>IFERROR(__xludf.DUMMYFUNCTION("""COMPUTED_VALUE"""),"JUAL BELI")</f>
        <v>JUAL BELI</v>
      </c>
      <c r="H4672" s="42">
        <f t="shared" si="1"/>
        <v>2058</v>
      </c>
    </row>
    <row r="4673" ht="22.5" customHeight="1">
      <c r="B4673" s="42" t="str">
        <f>IFERROR(__xludf.DUMMYFUNCTION("""COMPUTED_VALUE"""),"K/46/030625/1")</f>
        <v>K/46/030625/1</v>
      </c>
      <c r="C4673" s="42" t="str">
        <f>IFERROR(__xludf.DUMMYFUNCTION("""COMPUTED_VALUE"""),"B. 227/ Gedong Meneng")</f>
        <v>B. 227/ Gedong Meneng</v>
      </c>
      <c r="D4673" s="42"/>
      <c r="E4673" s="42"/>
      <c r="F4673" s="48" t="str">
        <f>IFERROR(__xludf.DUMMYFUNCTION("""COMPUTED_VALUE"""),"")</f>
        <v/>
      </c>
      <c r="G4673" s="42" t="str">
        <f>IFERROR(__xludf.DUMMYFUNCTION("""COMPUTED_VALUE"""),"BN Waris")</f>
        <v>BN Waris</v>
      </c>
      <c r="H4673" s="42">
        <f t="shared" si="1"/>
        <v>2058</v>
      </c>
    </row>
    <row r="4674" ht="22.5" customHeight="1">
      <c r="B4674" s="42" t="str">
        <f>IFERROR(__xludf.DUMMYFUNCTION("""COMPUTED_VALUE"""),"K/47/030625/1")</f>
        <v>K/47/030625/1</v>
      </c>
      <c r="C4674" s="42" t="str">
        <f>IFERROR(__xludf.DUMMYFUNCTION("""COMPUTED_VALUE"""),"M. 270/WAY HALIM PERMAI")</f>
        <v>M. 270/WAY HALIM PERMAI</v>
      </c>
      <c r="D4674" s="42" t="str">
        <f>IFERROR(__xludf.DUMMYFUNCTION("""COMPUTED_VALUE"""),"Berry")</f>
        <v>Berry</v>
      </c>
      <c r="E4674" s="42" t="str">
        <f>IFERROR(__xludf.DUMMYFUNCTION("""COMPUTED_VALUE"""),"DISERAHKAN")</f>
        <v>DISERAHKAN</v>
      </c>
      <c r="F4674" s="48">
        <f>IFERROR(__xludf.DUMMYFUNCTION("""COMPUTED_VALUE"""),45890.59750659722)</f>
        <v>45890.59751</v>
      </c>
      <c r="G4674" s="42" t="str">
        <f>IFERROR(__xludf.DUMMYFUNCTION("""COMPUTED_VALUE"""),"ROYA")</f>
        <v>ROYA</v>
      </c>
      <c r="H4674" s="42">
        <f t="shared" si="1"/>
        <v>2059</v>
      </c>
    </row>
    <row r="4675" ht="22.5" customHeight="1">
      <c r="B4675" s="42" t="str">
        <f>IFERROR(__xludf.DUMMYFUNCTION("""COMPUTED_VALUE"""),"K/1/040625/1")</f>
        <v>K/1/040625/1</v>
      </c>
      <c r="C4675" s="42" t="str">
        <f>IFERROR(__xludf.DUMMYFUNCTION("""COMPUTED_VALUE"""),"Nibel. M. 12319/ Way Kandis")</f>
        <v>Nibel. M. 12319/ Way Kandis</v>
      </c>
      <c r="D4675" s="42"/>
      <c r="E4675" s="42"/>
      <c r="F4675" s="48" t="str">
        <f>IFERROR(__xludf.DUMMYFUNCTION("""COMPUTED_VALUE"""),"")</f>
        <v/>
      </c>
      <c r="G4675" s="42" t="str">
        <f>IFERROR(__xludf.DUMMYFUNCTION("""COMPUTED_VALUE"""),"BN Jual Beli")</f>
        <v>BN Jual Beli</v>
      </c>
      <c r="H4675" s="42">
        <f t="shared" si="1"/>
        <v>2059</v>
      </c>
    </row>
    <row r="4676" ht="22.5" customHeight="1">
      <c r="B4676" s="42" t="str">
        <f>IFERROR(__xludf.DUMMYFUNCTION("""COMPUTED_VALUE"""),"K/2/040625/1")</f>
        <v>K/2/040625/1</v>
      </c>
      <c r="C4676" s="42" t="str">
        <f>IFERROR(__xludf.DUMMYFUNCTION("""COMPUTED_VALUE"""),"M. 624/ Gedong Air")</f>
        <v>M. 624/ Gedong Air</v>
      </c>
      <c r="D4676" s="42"/>
      <c r="E4676" s="42"/>
      <c r="F4676" s="48" t="str">
        <f>IFERROR(__xludf.DUMMYFUNCTION("""COMPUTED_VALUE"""),"")</f>
        <v/>
      </c>
      <c r="G4676" s="42" t="str">
        <f>IFERROR(__xludf.DUMMYFUNCTION("""COMPUTED_VALUE"""),"BLOKIR")</f>
        <v>BLOKIR</v>
      </c>
      <c r="H4676" s="42">
        <f t="shared" si="1"/>
        <v>2059</v>
      </c>
    </row>
    <row r="4677" ht="22.5" customHeight="1">
      <c r="B4677" s="42" t="str">
        <f>IFERROR(__xludf.DUMMYFUNCTION("""COMPUTED_VALUE"""),"K/3/040625/1")</f>
        <v>K/3/040625/1</v>
      </c>
      <c r="C4677" s="42" t="str">
        <f>IFERROR(__xludf.DUMMYFUNCTION("""COMPUTED_VALUE"""),"M. 9310/ jagabaya II")</f>
        <v>M. 9310/ jagabaya II</v>
      </c>
      <c r="D4677" s="42" t="str">
        <f>IFERROR(__xludf.DUMMYFUNCTION("""COMPUTED_VALUE"""),"David")</f>
        <v>David</v>
      </c>
      <c r="E4677" s="42" t="str">
        <f>IFERROR(__xludf.DUMMYFUNCTION("""COMPUTED_VALUE"""),"DISERAHKAN")</f>
        <v>DISERAHKAN</v>
      </c>
      <c r="F4677" s="48">
        <f>IFERROR(__xludf.DUMMYFUNCTION("""COMPUTED_VALUE"""),45846.66056311343)</f>
        <v>45846.66056</v>
      </c>
      <c r="G4677" s="42" t="str">
        <f>IFERROR(__xludf.DUMMYFUNCTION("""COMPUTED_VALUE"""),"ROYA")</f>
        <v>ROYA</v>
      </c>
      <c r="H4677" s="42">
        <f t="shared" si="1"/>
        <v>2060</v>
      </c>
    </row>
    <row r="4678" ht="22.5" customHeight="1">
      <c r="B4678" s="42" t="str">
        <f>IFERROR(__xludf.DUMMYFUNCTION("""COMPUTED_VALUE"""),"K/4/040625/2")</f>
        <v>K/4/040625/2</v>
      </c>
      <c r="C4678" s="42" t="str">
        <f>IFERROR(__xludf.DUMMYFUNCTION("""COMPUTED_VALUE"""),"Nibel 19253/ Campang Raya")</f>
        <v>Nibel 19253/ Campang Raya</v>
      </c>
      <c r="D4678" s="42"/>
      <c r="E4678" s="42"/>
      <c r="F4678" s="48" t="str">
        <f>IFERROR(__xludf.DUMMYFUNCTION("""COMPUTED_VALUE"""),"")</f>
        <v/>
      </c>
      <c r="G4678" s="42" t="str">
        <f>IFERROR(__xludf.DUMMYFUNCTION("""COMPUTED_VALUE"""),"BN JUAL BELI")</f>
        <v>BN JUAL BELI</v>
      </c>
      <c r="H4678" s="42">
        <f t="shared" si="1"/>
        <v>2060</v>
      </c>
    </row>
    <row r="4679" ht="22.5" customHeight="1">
      <c r="B4679" s="42" t="str">
        <f>IFERROR(__xludf.DUMMYFUNCTION("""COMPUTED_VALUE"""),"K/5/040625/3")</f>
        <v>K/5/040625/3</v>
      </c>
      <c r="C4679" s="42" t="str">
        <f>IFERROR(__xludf.DUMMYFUNCTION("""COMPUTED_VALUE"""),"PBT 76/2025")</f>
        <v>PBT 76/2025</v>
      </c>
      <c r="D4679" s="42"/>
      <c r="E4679" s="42"/>
      <c r="F4679" s="48" t="str">
        <f>IFERROR(__xludf.DUMMYFUNCTION("""COMPUTED_VALUE"""),"")</f>
        <v/>
      </c>
      <c r="G4679" s="42" t="str">
        <f>IFERROR(__xludf.DUMMYFUNCTION("""COMPUTED_VALUE"""),"PTPGT PERTAMA KALI")</f>
        <v>PTPGT PERTAMA KALI</v>
      </c>
      <c r="H4679" s="42">
        <f t="shared" si="1"/>
        <v>2060</v>
      </c>
    </row>
    <row r="4680" ht="22.5" customHeight="1">
      <c r="B4680" s="42" t="str">
        <f>IFERROR(__xludf.DUMMYFUNCTION("""COMPUTED_VALUE"""),"L/6/040625/1")</f>
        <v>L/6/040625/1</v>
      </c>
      <c r="C4680" s="42" t="str">
        <f>IFERROR(__xludf.DUMMYFUNCTION("""COMPUTED_VALUE"""),"HM 2055/BERINGIN RAYA")</f>
        <v>HM 2055/BERINGIN RAYA</v>
      </c>
      <c r="D4680" s="42" t="str">
        <f>IFERROR(__xludf.DUMMYFUNCTION("""COMPUTED_VALUE"""),"David")</f>
        <v>David</v>
      </c>
      <c r="E4680" s="42" t="str">
        <f>IFERROR(__xludf.DUMMYFUNCTION("""COMPUTED_VALUE"""),"DISERAHKAN")</f>
        <v>DISERAHKAN</v>
      </c>
      <c r="F4680" s="48">
        <f>IFERROR(__xludf.DUMMYFUNCTION("""COMPUTED_VALUE"""),45840.601280891206)</f>
        <v>45840.60128</v>
      </c>
      <c r="G4680" s="42" t="str">
        <f>IFERROR(__xludf.DUMMYFUNCTION("""COMPUTED_VALUE"""),"ROYA")</f>
        <v>ROYA</v>
      </c>
      <c r="H4680" s="42">
        <f t="shared" si="1"/>
        <v>2061</v>
      </c>
    </row>
    <row r="4681" ht="22.5" customHeight="1">
      <c r="B4681" s="42" t="str">
        <f>IFERROR(__xludf.DUMMYFUNCTION("""COMPUTED_VALUE"""),"K/52/030625/1")</f>
        <v>K/52/030625/1</v>
      </c>
      <c r="C4681" s="42" t="str">
        <f>IFERROR(__xludf.DUMMYFUNCTION("""COMPUTED_VALUE"""),"M.3249/SUKADANAHAM")</f>
        <v>M.3249/SUKADANAHAM</v>
      </c>
      <c r="D4681" s="42" t="str">
        <f>IFERROR(__xludf.DUMMYFUNCTION("""COMPUTED_VALUE"""),"Berry")</f>
        <v>Berry</v>
      </c>
      <c r="E4681" s="42" t="str">
        <f>IFERROR(__xludf.DUMMYFUNCTION("""COMPUTED_VALUE"""),"DISERAHKAN")</f>
        <v>DISERAHKAN</v>
      </c>
      <c r="F4681" s="48">
        <f>IFERROR(__xludf.DUMMYFUNCTION("""COMPUTED_VALUE"""),45828.53919509259)</f>
        <v>45828.5392</v>
      </c>
      <c r="G4681" s="42" t="str">
        <f>IFERROR(__xludf.DUMMYFUNCTION("""COMPUTED_VALUE"""),"JUAL BELI")</f>
        <v>JUAL BELI</v>
      </c>
      <c r="H4681" s="42">
        <f t="shared" si="1"/>
        <v>2062</v>
      </c>
    </row>
    <row r="4682" ht="22.5" customHeight="1">
      <c r="B4682" s="42" t="str">
        <f>IFERROR(__xludf.DUMMYFUNCTION("""COMPUTED_VALUE"""),"K/9/040625/1")</f>
        <v>K/9/040625/1</v>
      </c>
      <c r="C4682" s="42" t="str">
        <f>IFERROR(__xludf.DUMMYFUNCTION("""COMPUTED_VALUE"""),"Nibel. M. 13141/ Jagabaya II")</f>
        <v>Nibel. M. 13141/ Jagabaya II</v>
      </c>
      <c r="D4682" s="42"/>
      <c r="E4682" s="42"/>
      <c r="F4682" s="48" t="str">
        <f>IFERROR(__xludf.DUMMYFUNCTION("""COMPUTED_VALUE"""),"")</f>
        <v/>
      </c>
      <c r="G4682" s="42" t="str">
        <f>IFERROR(__xludf.DUMMYFUNCTION("""COMPUTED_VALUE"""),"BN Jual Beli")</f>
        <v>BN Jual Beli</v>
      </c>
      <c r="H4682" s="42">
        <f t="shared" si="1"/>
        <v>2062</v>
      </c>
    </row>
    <row r="4683" ht="22.5" customHeight="1">
      <c r="B4683" s="42" t="str">
        <f>IFERROR(__xludf.DUMMYFUNCTION("""COMPUTED_VALUE"""),"K/10/040625/2")</f>
        <v>K/10/040625/2</v>
      </c>
      <c r="C4683" s="42" t="str">
        <f>IFERROR(__xludf.DUMMYFUNCTION("""COMPUTED_VALUE"""),"M. 3189/ Gedong Air")</f>
        <v>M. 3189/ Gedong Air</v>
      </c>
      <c r="D4683" s="42" t="str">
        <f>IFERROR(__xludf.DUMMYFUNCTION("""COMPUTED_VALUE"""),"Berry")</f>
        <v>Berry</v>
      </c>
      <c r="E4683" s="42" t="str">
        <f>IFERROR(__xludf.DUMMYFUNCTION("""COMPUTED_VALUE"""),"DISERAHKAN")</f>
        <v>DISERAHKAN</v>
      </c>
      <c r="F4683" s="48">
        <f>IFERROR(__xludf.DUMMYFUNCTION("""COMPUTED_VALUE"""),45824.47524289352)</f>
        <v>45824.47524</v>
      </c>
      <c r="G4683" s="42" t="str">
        <f>IFERROR(__xludf.DUMMYFUNCTION("""COMPUTED_VALUE"""),"BN Jual Beli")</f>
        <v>BN Jual Beli</v>
      </c>
      <c r="H4683" s="42">
        <f t="shared" si="1"/>
        <v>2063</v>
      </c>
    </row>
    <row r="4684" ht="22.5" customHeight="1">
      <c r="B4684" s="42" t="str">
        <f>IFERROR(__xludf.DUMMYFUNCTION("""COMPUTED_VALUE"""),"K/8/040625/1")</f>
        <v>K/8/040625/1</v>
      </c>
      <c r="C4684" s="42" t="str">
        <f>IFERROR(__xludf.DUMMYFUNCTION("""COMPUTED_VALUE"""),"M. 1142/SUMBEREJO SEJAHTERA")</f>
        <v>M. 1142/SUMBEREJO SEJAHTERA</v>
      </c>
      <c r="D4684" s="42" t="str">
        <f>IFERROR(__xludf.DUMMYFUNCTION("""COMPUTED_VALUE"""),"Berry")</f>
        <v>Berry</v>
      </c>
      <c r="E4684" s="42" t="str">
        <f>IFERROR(__xludf.DUMMYFUNCTION("""COMPUTED_VALUE"""),"DISERAHKAN")</f>
        <v>DISERAHKAN</v>
      </c>
      <c r="F4684" s="48">
        <f>IFERROR(__xludf.DUMMYFUNCTION("""COMPUTED_VALUE"""),45828.53244826389)</f>
        <v>45828.53245</v>
      </c>
      <c r="G4684" s="42" t="str">
        <f>IFERROR(__xludf.DUMMYFUNCTION("""COMPUTED_VALUE"""),"JUAL BELI")</f>
        <v>JUAL BELI</v>
      </c>
      <c r="H4684" s="42">
        <f t="shared" si="1"/>
        <v>2064</v>
      </c>
    </row>
    <row r="4685" ht="22.5" customHeight="1">
      <c r="B4685" s="42" t="str">
        <f>IFERROR(__xludf.DUMMYFUNCTION("""COMPUTED_VALUE"""),"K/11/040625/1")</f>
        <v>K/11/040625/1</v>
      </c>
      <c r="C4685" s="42" t="str">
        <f>IFERROR(__xludf.DUMMYFUNCTION("""COMPUTED_VALUE"""),"B.2179/SUKARAME I")</f>
        <v>B.2179/SUKARAME I</v>
      </c>
      <c r="D4685" s="42" t="str">
        <f>IFERROR(__xludf.DUMMYFUNCTION("""COMPUTED_VALUE"""),"Berry")</f>
        <v>Berry</v>
      </c>
      <c r="E4685" s="42" t="str">
        <f>IFERROR(__xludf.DUMMYFUNCTION("""COMPUTED_VALUE"""),"DISERAHKAN")</f>
        <v>DISERAHKAN</v>
      </c>
      <c r="F4685" s="48">
        <f>IFERROR(__xludf.DUMMYFUNCTION("""COMPUTED_VALUE"""),45825.61238976852)</f>
        <v>45825.61239</v>
      </c>
      <c r="G4685" s="42" t="str">
        <f>IFERROR(__xludf.DUMMYFUNCTION("""COMPUTED_VALUE"""),"PERUBAHAN HAK")</f>
        <v>PERUBAHAN HAK</v>
      </c>
      <c r="H4685" s="42">
        <f t="shared" si="1"/>
        <v>2065</v>
      </c>
    </row>
    <row r="4686" ht="22.5" customHeight="1">
      <c r="B4686" s="42" t="str">
        <f>IFERROR(__xludf.DUMMYFUNCTION("""COMPUTED_VALUE"""),"K/12/040625/1")</f>
        <v>K/12/040625/1</v>
      </c>
      <c r="C4686" s="42" t="str">
        <f>IFERROR(__xludf.DUMMYFUNCTION("""COMPUTED_VALUE"""),"M. 1719/ Gunung Terang")</f>
        <v>M. 1719/ Gunung Terang</v>
      </c>
      <c r="D4686" s="42" t="str">
        <f>IFERROR(__xludf.DUMMYFUNCTION("""COMPUTED_VALUE"""),"Berry")</f>
        <v>Berry</v>
      </c>
      <c r="E4686" s="42" t="str">
        <f>IFERROR(__xludf.DUMMYFUNCTION("""COMPUTED_VALUE"""),"DISERAHKAN")</f>
        <v>DISERAHKAN</v>
      </c>
      <c r="F4686" s="48">
        <f>IFERROR(__xludf.DUMMYFUNCTION("""COMPUTED_VALUE"""),45831.54227304398)</f>
        <v>45831.54227</v>
      </c>
      <c r="G4686" s="42" t="str">
        <f>IFERROR(__xludf.DUMMYFUNCTION("""COMPUTED_VALUE"""),"BN JUAL BELI")</f>
        <v>BN JUAL BELI</v>
      </c>
      <c r="H4686" s="42">
        <f t="shared" si="1"/>
        <v>2066</v>
      </c>
    </row>
    <row r="4687" ht="22.5" customHeight="1">
      <c r="B4687" s="42" t="str">
        <f>IFERROR(__xludf.DUMMYFUNCTION("""COMPUTED_VALUE"""),"K/14/040625/1")</f>
        <v>K/14/040625/1</v>
      </c>
      <c r="C4687" s="42" t="str">
        <f>IFERROR(__xludf.DUMMYFUNCTION("""COMPUTED_VALUE"""),"Nibel 16240/ Sumur Putri")</f>
        <v>Nibel 16240/ Sumur Putri</v>
      </c>
      <c r="D4687" s="42"/>
      <c r="E4687" s="42"/>
      <c r="F4687" s="48" t="str">
        <f>IFERROR(__xludf.DUMMYFUNCTION("""COMPUTED_VALUE"""),"")</f>
        <v/>
      </c>
      <c r="G4687" s="42" t="str">
        <f>IFERROR(__xludf.DUMMYFUNCTION("""COMPUTED_VALUE"""),"BN JUAL BELI")</f>
        <v>BN JUAL BELI</v>
      </c>
      <c r="H4687" s="42">
        <f t="shared" si="1"/>
        <v>2066</v>
      </c>
    </row>
    <row r="4688" ht="22.5" customHeight="1">
      <c r="B4688" s="42" t="str">
        <f>IFERROR(__xludf.DUMMYFUNCTION("""COMPUTED_VALUE"""),"K/7/040625/1")</f>
        <v>K/7/040625/1</v>
      </c>
      <c r="C4688" s="42" t="str">
        <f>IFERROR(__xludf.DUMMYFUNCTION("""COMPUTED_VALUE"""),"M. 1541/SUKABUMI INDAH")</f>
        <v>M. 1541/SUKABUMI INDAH</v>
      </c>
      <c r="D4688" s="42" t="str">
        <f>IFERROR(__xludf.DUMMYFUNCTION("""COMPUTED_VALUE"""),"Berry")</f>
        <v>Berry</v>
      </c>
      <c r="E4688" s="42" t="str">
        <f>IFERROR(__xludf.DUMMYFUNCTION("""COMPUTED_VALUE"""),"DISERAHKAN")</f>
        <v>DISERAHKAN</v>
      </c>
      <c r="F4688" s="48">
        <f>IFERROR(__xludf.DUMMYFUNCTION("""COMPUTED_VALUE"""),45824.50504113426)</f>
        <v>45824.50504</v>
      </c>
      <c r="G4688" s="42" t="str">
        <f>IFERROR(__xludf.DUMMYFUNCTION("""COMPUTED_VALUE"""),"BN WARIS")</f>
        <v>BN WARIS</v>
      </c>
      <c r="H4688" s="42">
        <f t="shared" si="1"/>
        <v>2067</v>
      </c>
    </row>
    <row r="4689" ht="22.5" customHeight="1">
      <c r="B4689" s="42" t="str">
        <f>IFERROR(__xludf.DUMMYFUNCTION("""COMPUTED_VALUE"""),"K/15/040625/1")</f>
        <v>K/15/040625/1</v>
      </c>
      <c r="C4689" s="42" t="str">
        <f>IFERROR(__xludf.DUMMYFUNCTION("""COMPUTED_VALUE"""),"Nibel 2302/ Tanjung senang")</f>
        <v>Nibel 2302/ Tanjung senang</v>
      </c>
      <c r="D4689" s="42"/>
      <c r="E4689" s="42"/>
      <c r="F4689" s="48" t="str">
        <f>IFERROR(__xludf.DUMMYFUNCTION("""COMPUTED_VALUE"""),"")</f>
        <v/>
      </c>
      <c r="G4689" s="42" t="str">
        <f>IFERROR(__xludf.DUMMYFUNCTION("""COMPUTED_VALUE"""),"BN JUAL BELI")</f>
        <v>BN JUAL BELI</v>
      </c>
      <c r="H4689" s="42">
        <f t="shared" si="1"/>
        <v>2067</v>
      </c>
    </row>
    <row r="4690" ht="22.5" customHeight="1">
      <c r="B4690" s="42" t="str">
        <f>IFERROR(__xludf.DUMMYFUNCTION("""COMPUTED_VALUE"""),"K/20/040625/1")</f>
        <v>K/20/040625/1</v>
      </c>
      <c r="C4690" s="42" t="str">
        <f>IFERROR(__xludf.DUMMYFUNCTION("""COMPUTED_VALUE"""),"Nibel 2315/ Tanjung Senang")</f>
        <v>Nibel 2315/ Tanjung Senang</v>
      </c>
      <c r="D4690" s="42"/>
      <c r="E4690" s="42"/>
      <c r="F4690" s="48" t="str">
        <f>IFERROR(__xludf.DUMMYFUNCTION("""COMPUTED_VALUE"""),"")</f>
        <v/>
      </c>
      <c r="G4690" s="42" t="str">
        <f>IFERROR(__xludf.DUMMYFUNCTION("""COMPUTED_VALUE"""),"BN JUAL BELI")</f>
        <v>BN JUAL BELI</v>
      </c>
      <c r="H4690" s="42">
        <f t="shared" si="1"/>
        <v>2067</v>
      </c>
    </row>
    <row r="4691" ht="22.5" customHeight="1">
      <c r="B4691" s="42" t="str">
        <f>IFERROR(__xludf.DUMMYFUNCTION("""COMPUTED_VALUE"""),"K/16/040625/1")</f>
        <v>K/16/040625/1</v>
      </c>
      <c r="C4691" s="42" t="str">
        <f>IFERROR(__xludf.DUMMYFUNCTION("""COMPUTED_VALUE"""),"NIBEL M. 3110/KAMPUNG BARU")</f>
        <v>NIBEL M. 3110/KAMPUNG BARU</v>
      </c>
      <c r="D4691" s="42"/>
      <c r="E4691" s="42"/>
      <c r="F4691" s="48" t="str">
        <f>IFERROR(__xludf.DUMMYFUNCTION("""COMPUTED_VALUE"""),"")</f>
        <v/>
      </c>
      <c r="G4691" s="42" t="str">
        <f>IFERROR(__xludf.DUMMYFUNCTION("""COMPUTED_VALUE"""),"BN JUAL BELI")</f>
        <v>BN JUAL BELI</v>
      </c>
      <c r="H4691" s="42">
        <f t="shared" si="1"/>
        <v>2067</v>
      </c>
    </row>
    <row r="4692" ht="22.5" customHeight="1">
      <c r="B4692" s="42" t="str">
        <f>IFERROR(__xludf.DUMMYFUNCTION("""COMPUTED_VALUE"""),"K/17/040625/2")</f>
        <v>K/17/040625/2</v>
      </c>
      <c r="C4692" s="42" t="str">
        <f>IFERROR(__xludf.DUMMYFUNCTION("""COMPUTED_VALUE"""),"NIBEL M. 18076/RAJABASA NUNYAI")</f>
        <v>NIBEL M. 18076/RAJABASA NUNYAI</v>
      </c>
      <c r="D4692" s="42"/>
      <c r="E4692" s="42"/>
      <c r="F4692" s="48" t="str">
        <f>IFERROR(__xludf.DUMMYFUNCTION("""COMPUTED_VALUE"""),"")</f>
        <v/>
      </c>
      <c r="G4692" s="42" t="str">
        <f>IFERROR(__xludf.DUMMYFUNCTION("""COMPUTED_VALUE"""),"BN JUAL BELI")</f>
        <v>BN JUAL BELI</v>
      </c>
      <c r="H4692" s="42">
        <f t="shared" si="1"/>
        <v>2067</v>
      </c>
    </row>
    <row r="4693" ht="22.5" customHeight="1">
      <c r="B4693" s="42" t="str">
        <f>IFERROR(__xludf.DUMMYFUNCTION("""COMPUTED_VALUE"""),"K/18/040625/3")</f>
        <v>K/18/040625/3</v>
      </c>
      <c r="C4693" s="42" t="str">
        <f>IFERROR(__xludf.DUMMYFUNCTION("""COMPUTED_VALUE"""),"NIBEL M. 384/GUNUNG SULAH")</f>
        <v>NIBEL M. 384/GUNUNG SULAH</v>
      </c>
      <c r="D4693" s="42"/>
      <c r="E4693" s="42"/>
      <c r="F4693" s="48" t="str">
        <f>IFERROR(__xludf.DUMMYFUNCTION("""COMPUTED_VALUE"""),"")</f>
        <v/>
      </c>
      <c r="G4693" s="42" t="str">
        <f>IFERROR(__xludf.DUMMYFUNCTION("""COMPUTED_VALUE"""),"BN JUAL BELI")</f>
        <v>BN JUAL BELI</v>
      </c>
      <c r="H4693" s="42">
        <f t="shared" si="1"/>
        <v>2067</v>
      </c>
    </row>
    <row r="4694" ht="22.5" customHeight="1">
      <c r="B4694" s="42" t="str">
        <f>IFERROR(__xludf.DUMMYFUNCTION("""COMPUTED_VALUE"""),"K/21/040625/1")</f>
        <v>K/21/040625/1</v>
      </c>
      <c r="C4694" s="42" t="str">
        <f>IFERROR(__xludf.DUMMYFUNCTION("""COMPUTED_VALUE"""),"M. 7157/ Sidodadi")</f>
        <v>M. 7157/ Sidodadi</v>
      </c>
      <c r="D4694" s="42"/>
      <c r="E4694" s="42"/>
      <c r="F4694" s="48" t="str">
        <f>IFERROR(__xludf.DUMMYFUNCTION("""COMPUTED_VALUE"""),"")</f>
        <v/>
      </c>
      <c r="G4694" s="42" t="str">
        <f>IFERROR(__xludf.DUMMYFUNCTION("""COMPUTED_VALUE"""),"BN WARIS")</f>
        <v>BN WARIS</v>
      </c>
      <c r="H4694" s="42">
        <f t="shared" si="1"/>
        <v>2067</v>
      </c>
    </row>
    <row r="4695" ht="22.5" customHeight="1">
      <c r="B4695" s="42" t="str">
        <f>IFERROR(__xludf.DUMMYFUNCTION("""COMPUTED_VALUE"""),"K/19/040625/4")</f>
        <v>K/19/040625/4</v>
      </c>
      <c r="C4695" s="42" t="str">
        <f>IFERROR(__xludf.DUMMYFUNCTION("""COMPUTED_VALUE"""),"M. 1002/KORPRI JAYA")</f>
        <v>M. 1002/KORPRI JAYA</v>
      </c>
      <c r="D4695" s="42" t="str">
        <f>IFERROR(__xludf.DUMMYFUNCTION("""COMPUTED_VALUE"""),"Berry")</f>
        <v>Berry</v>
      </c>
      <c r="E4695" s="42" t="str">
        <f>IFERROR(__xludf.DUMMYFUNCTION("""COMPUTED_VALUE"""),"DISERAHKAN")</f>
        <v>DISERAHKAN</v>
      </c>
      <c r="F4695" s="48">
        <f>IFERROR(__xludf.DUMMYFUNCTION("""COMPUTED_VALUE"""),45828.54057275463)</f>
        <v>45828.54057</v>
      </c>
      <c r="G4695" s="42" t="str">
        <f>IFERROR(__xludf.DUMMYFUNCTION("""COMPUTED_VALUE"""),"BN JUAL BELI")</f>
        <v>BN JUAL BELI</v>
      </c>
      <c r="H4695" s="42">
        <f t="shared" si="1"/>
        <v>2068</v>
      </c>
    </row>
    <row r="4696" ht="22.5" customHeight="1">
      <c r="B4696" s="42" t="str">
        <f>IFERROR(__xludf.DUMMYFUNCTION("""COMPUTED_VALUE"""),"K/13/040625/1")</f>
        <v>K/13/040625/1</v>
      </c>
      <c r="C4696" s="42" t="str">
        <f>IFERROR(__xludf.DUMMYFUNCTION("""COMPUTED_VALUE"""),"B.820/SUMUR PUTRI")</f>
        <v>B.820/SUMUR PUTRI</v>
      </c>
      <c r="D4696" s="42" t="str">
        <f>IFERROR(__xludf.DUMMYFUNCTION("""COMPUTED_VALUE"""),"Berry")</f>
        <v>Berry</v>
      </c>
      <c r="E4696" s="42" t="str">
        <f>IFERROR(__xludf.DUMMYFUNCTION("""COMPUTED_VALUE"""),"DISERAHKAN")</f>
        <v>DISERAHKAN</v>
      </c>
      <c r="F4696" s="48">
        <f>IFERROR(__xludf.DUMMYFUNCTION("""COMPUTED_VALUE"""),45845.70673453704)</f>
        <v>45845.70673</v>
      </c>
      <c r="G4696" s="42" t="str">
        <f>IFERROR(__xludf.DUMMYFUNCTION("""COMPUTED_VALUE"""),"JUAL BELI")</f>
        <v>JUAL BELI</v>
      </c>
      <c r="H4696" s="42">
        <f t="shared" si="1"/>
        <v>2069</v>
      </c>
    </row>
    <row r="4697" ht="22.5" customHeight="1">
      <c r="B4697" s="42" t="str">
        <f>IFERROR(__xludf.DUMMYFUNCTION("""COMPUTED_VALUE"""),"K/24/040625/1")</f>
        <v>K/24/040625/1</v>
      </c>
      <c r="C4697" s="42" t="str">
        <f>IFERROR(__xludf.DUMMYFUNCTION("""COMPUTED_VALUE"""),"M. 237/RAJABASA JAYA")</f>
        <v>M. 237/RAJABASA JAYA</v>
      </c>
      <c r="D4697" s="42" t="str">
        <f>IFERROR(__xludf.DUMMYFUNCTION("""COMPUTED_VALUE"""),"Berry")</f>
        <v>Berry</v>
      </c>
      <c r="E4697" s="42" t="str">
        <f>IFERROR(__xludf.DUMMYFUNCTION("""COMPUTED_VALUE"""),"DISERAHKAN")</f>
        <v>DISERAHKAN</v>
      </c>
      <c r="F4697" s="48">
        <f>IFERROR(__xludf.DUMMYFUNCTION("""COMPUTED_VALUE"""),45845.71126386574)</f>
        <v>45845.71126</v>
      </c>
      <c r="G4697" s="42" t="str">
        <f>IFERROR(__xludf.DUMMYFUNCTION("""COMPUTED_VALUE"""),"BN JUAL BELI")</f>
        <v>BN JUAL BELI</v>
      </c>
      <c r="H4697" s="42">
        <f t="shared" si="1"/>
        <v>2070</v>
      </c>
    </row>
    <row r="4698" ht="22.5" customHeight="1">
      <c r="B4698" s="42" t="str">
        <f>IFERROR(__xludf.DUMMYFUNCTION("""COMPUTED_VALUE"""),"K/25/040625/2")</f>
        <v>K/25/040625/2</v>
      </c>
      <c r="C4698" s="42" t="str">
        <f>IFERROR(__xludf.DUMMYFUNCTION("""COMPUTED_VALUE"""),"M. 1683/KUPANG TEBA")</f>
        <v>M. 1683/KUPANG TEBA</v>
      </c>
      <c r="D4698" s="42" t="str">
        <f>IFERROR(__xludf.DUMMYFUNCTION("""COMPUTED_VALUE"""),"Berry")</f>
        <v>Berry</v>
      </c>
      <c r="E4698" s="42" t="str">
        <f>IFERROR(__xludf.DUMMYFUNCTION("""COMPUTED_VALUE"""),"DISERAHKAN")</f>
        <v>DISERAHKAN</v>
      </c>
      <c r="F4698" s="48">
        <f>IFERROR(__xludf.DUMMYFUNCTION("""COMPUTED_VALUE"""),45828.536603472225)</f>
        <v>45828.5366</v>
      </c>
      <c r="G4698" s="42" t="str">
        <f>IFERROR(__xludf.DUMMYFUNCTION("""COMPUTED_VALUE"""),"BN JUAL BELI")</f>
        <v>BN JUAL BELI</v>
      </c>
      <c r="H4698" s="42">
        <f t="shared" si="1"/>
        <v>2071</v>
      </c>
    </row>
    <row r="4699" ht="22.5" customHeight="1">
      <c r="B4699" s="42" t="str">
        <f>IFERROR(__xludf.DUMMYFUNCTION("""COMPUTED_VALUE"""),"K/23/040625/2")</f>
        <v>K/23/040625/2</v>
      </c>
      <c r="C4699" s="42" t="str">
        <f>IFERROR(__xludf.DUMMYFUNCTION("""COMPUTED_VALUE"""),"M. 1937/ Kupang Kota")</f>
        <v>M. 1937/ Kupang Kota</v>
      </c>
      <c r="D4699" s="42" t="str">
        <f>IFERROR(__xludf.DUMMYFUNCTION("""COMPUTED_VALUE"""),"Berry")</f>
        <v>Berry</v>
      </c>
      <c r="E4699" s="42" t="str">
        <f>IFERROR(__xludf.DUMMYFUNCTION("""COMPUTED_VALUE"""),"DISERAHKAN")</f>
        <v>DISERAHKAN</v>
      </c>
      <c r="F4699" s="48">
        <f>IFERROR(__xludf.DUMMYFUNCTION("""COMPUTED_VALUE"""),45825.552227106484)</f>
        <v>45825.55223</v>
      </c>
      <c r="G4699" s="42" t="str">
        <f>IFERROR(__xludf.DUMMYFUNCTION("""COMPUTED_VALUE"""),"BN Jual Beli")</f>
        <v>BN Jual Beli</v>
      </c>
      <c r="H4699" s="42">
        <f t="shared" si="1"/>
        <v>2072</v>
      </c>
    </row>
    <row r="4700" ht="22.5" customHeight="1">
      <c r="B4700" s="42" t="str">
        <f>IFERROR(__xludf.DUMMYFUNCTION("""COMPUTED_VALUE"""),"K/22/040625/1")</f>
        <v>K/22/040625/1</v>
      </c>
      <c r="C4700" s="42" t="str">
        <f>IFERROR(__xludf.DUMMYFUNCTION("""COMPUTED_VALUE"""),"B. 5224/ Beringin Raya")</f>
        <v>B. 5224/ Beringin Raya</v>
      </c>
      <c r="D4700" s="42" t="str">
        <f>IFERROR(__xludf.DUMMYFUNCTION("""COMPUTED_VALUE"""),"Berry")</f>
        <v>Berry</v>
      </c>
      <c r="E4700" s="42" t="str">
        <f>IFERROR(__xludf.DUMMYFUNCTION("""COMPUTED_VALUE"""),"DISERAHKAN")</f>
        <v>DISERAHKAN</v>
      </c>
      <c r="F4700" s="48">
        <f>IFERROR(__xludf.DUMMYFUNCTION("""COMPUTED_VALUE"""),45824.47700543981)</f>
        <v>45824.47701</v>
      </c>
      <c r="G4700" s="42" t="str">
        <f>IFERROR(__xludf.DUMMYFUNCTION("""COMPUTED_VALUE"""),"BN Waris")</f>
        <v>BN Waris</v>
      </c>
      <c r="H4700" s="42">
        <f t="shared" si="1"/>
        <v>2073</v>
      </c>
    </row>
    <row r="4701" ht="22.5" customHeight="1">
      <c r="B4701" s="42" t="str">
        <f>IFERROR(__xludf.DUMMYFUNCTION("""COMPUTED_VALUE"""),"L/28/040625/1")</f>
        <v>L/28/040625/1</v>
      </c>
      <c r="C4701" s="42" t="str">
        <f>IFERROR(__xludf.DUMMYFUNCTION("""COMPUTED_VALUE"""),"HGB 276/JAGABAYA III")</f>
        <v>HGB 276/JAGABAYA III</v>
      </c>
      <c r="D4701" s="42" t="str">
        <f>IFERROR(__xludf.DUMMYFUNCTION("""COMPUTED_VALUE"""),"David")</f>
        <v>David</v>
      </c>
      <c r="E4701" s="42" t="str">
        <f>IFERROR(__xludf.DUMMYFUNCTION("""COMPUTED_VALUE"""),"DISERAHKAN")</f>
        <v>DISERAHKAN</v>
      </c>
      <c r="F4701" s="48">
        <f>IFERROR(__xludf.DUMMYFUNCTION("""COMPUTED_VALUE"""),45840.59775017361)</f>
        <v>45840.59775</v>
      </c>
      <c r="G4701" s="42" t="str">
        <f>IFERROR(__xludf.DUMMYFUNCTION("""COMPUTED_VALUE"""),"ROYA")</f>
        <v>ROYA</v>
      </c>
      <c r="H4701" s="42">
        <f t="shared" si="1"/>
        <v>2074</v>
      </c>
    </row>
    <row r="4702" ht="22.5" customHeight="1">
      <c r="B4702" s="42" t="str">
        <f>IFERROR(__xludf.DUMMYFUNCTION("""COMPUTED_VALUE"""),"K/27/040625/1")</f>
        <v>K/27/040625/1</v>
      </c>
      <c r="C4702" s="42" t="str">
        <f>IFERROR(__xludf.DUMMYFUNCTION("""COMPUTED_VALUE"""),"Nibel. M. 18331/ Langkapura")</f>
        <v>Nibel. M. 18331/ Langkapura</v>
      </c>
      <c r="D4702" s="42"/>
      <c r="E4702" s="42"/>
      <c r="F4702" s="48" t="str">
        <f>IFERROR(__xludf.DUMMYFUNCTION("""COMPUTED_VALUE"""),"")</f>
        <v/>
      </c>
      <c r="G4702" s="42" t="str">
        <f>IFERROR(__xludf.DUMMYFUNCTION("""COMPUTED_VALUE"""),"BN Jual Beli")</f>
        <v>BN Jual Beli</v>
      </c>
      <c r="H4702" s="42">
        <f t="shared" si="1"/>
        <v>2074</v>
      </c>
    </row>
    <row r="4703" ht="22.5" customHeight="1">
      <c r="B4703" s="42" t="str">
        <f>IFERROR(__xludf.DUMMYFUNCTION("""COMPUTED_VALUE"""),"L/29/040625/1")</f>
        <v>L/29/040625/1</v>
      </c>
      <c r="C4703" s="42" t="str">
        <f>IFERROR(__xludf.DUMMYFUNCTION("""COMPUTED_VALUE"""),"HM 2039/PWH")</f>
        <v>HM 2039/PWH</v>
      </c>
      <c r="D4703" s="42" t="str">
        <f>IFERROR(__xludf.DUMMYFUNCTION("""COMPUTED_VALUE"""),"David")</f>
        <v>David</v>
      </c>
      <c r="E4703" s="42" t="str">
        <f>IFERROR(__xludf.DUMMYFUNCTION("""COMPUTED_VALUE"""),"DISERAHKAN")</f>
        <v>DISERAHKAN</v>
      </c>
      <c r="F4703" s="48">
        <f>IFERROR(__xludf.DUMMYFUNCTION("""COMPUTED_VALUE"""),45833.66581342593)</f>
        <v>45833.66581</v>
      </c>
      <c r="G4703" s="42" t="str">
        <f>IFERROR(__xludf.DUMMYFUNCTION("""COMPUTED_VALUE"""),"ROYA")</f>
        <v>ROYA</v>
      </c>
      <c r="H4703" s="42">
        <f t="shared" si="1"/>
        <v>2075</v>
      </c>
    </row>
    <row r="4704" ht="22.5" customHeight="1">
      <c r="B4704" s="42" t="str">
        <f>IFERROR(__xludf.DUMMYFUNCTION("""COMPUTED_VALUE"""),"K/30/040625/1")</f>
        <v>K/30/040625/1</v>
      </c>
      <c r="C4704" s="42" t="str">
        <f>IFERROR(__xludf.DUMMYFUNCTION("""COMPUTED_VALUE"""),"M. 333/ Rawa Laut")</f>
        <v>M. 333/ Rawa Laut</v>
      </c>
      <c r="D4704" s="42"/>
      <c r="E4704" s="42"/>
      <c r="F4704" s="48" t="str">
        <f>IFERROR(__xludf.DUMMYFUNCTION("""COMPUTED_VALUE"""),"")</f>
        <v/>
      </c>
      <c r="G4704" s="42" t="str">
        <f>IFERROR(__xludf.DUMMYFUNCTION("""COMPUTED_VALUE"""),"SKPT LELANG")</f>
        <v>SKPT LELANG</v>
      </c>
      <c r="H4704" s="42">
        <f t="shared" si="1"/>
        <v>2075</v>
      </c>
    </row>
    <row r="4705" ht="22.5" customHeight="1">
      <c r="B4705" s="42" t="str">
        <f>IFERROR(__xludf.DUMMYFUNCTION("""COMPUTED_VALUE"""),"K/34/040625/2")</f>
        <v>K/34/040625/2</v>
      </c>
      <c r="C4705" s="42" t="str">
        <f>IFERROR(__xludf.DUMMYFUNCTION("""COMPUTED_VALUE"""),"Nibel. M. 12320/ Way Kandis")</f>
        <v>Nibel. M. 12320/ Way Kandis</v>
      </c>
      <c r="D4705" s="42"/>
      <c r="E4705" s="42"/>
      <c r="F4705" s="48" t="str">
        <f>IFERROR(__xludf.DUMMYFUNCTION("""COMPUTED_VALUE"""),"")</f>
        <v/>
      </c>
      <c r="G4705" s="42" t="str">
        <f>IFERROR(__xludf.DUMMYFUNCTION("""COMPUTED_VALUE"""),"BN Jual Beli")</f>
        <v>BN Jual Beli</v>
      </c>
      <c r="H4705" s="42">
        <f t="shared" si="1"/>
        <v>2075</v>
      </c>
    </row>
    <row r="4706" ht="22.5" customHeight="1">
      <c r="B4706" s="42" t="str">
        <f>IFERROR(__xludf.DUMMYFUNCTION("""COMPUTED_VALUE"""),"K/26/040625/1")</f>
        <v>K/26/040625/1</v>
      </c>
      <c r="C4706" s="42" t="str">
        <f>IFERROR(__xludf.DUMMYFUNCTION("""COMPUTED_VALUE"""),"M.1672/BAKUNG")</f>
        <v>M.1672/BAKUNG</v>
      </c>
      <c r="D4706" s="42" t="str">
        <f>IFERROR(__xludf.DUMMYFUNCTION("""COMPUTED_VALUE"""),"Berry")</f>
        <v>Berry</v>
      </c>
      <c r="E4706" s="42" t="str">
        <f>IFERROR(__xludf.DUMMYFUNCTION("""COMPUTED_VALUE"""),"DISERAHKAN")</f>
        <v>DISERAHKAN</v>
      </c>
      <c r="F4706" s="48">
        <f>IFERROR(__xludf.DUMMYFUNCTION("""COMPUTED_VALUE"""),45838.68349229167)</f>
        <v>45838.68349</v>
      </c>
      <c r="G4706" s="42" t="str">
        <f>IFERROR(__xludf.DUMMYFUNCTION("""COMPUTED_VALUE"""),"JUAL BELI")</f>
        <v>JUAL BELI</v>
      </c>
      <c r="H4706" s="42">
        <f t="shared" si="1"/>
        <v>2076</v>
      </c>
    </row>
    <row r="4707" ht="22.5" customHeight="1">
      <c r="B4707" s="42" t="str">
        <f>IFERROR(__xludf.DUMMYFUNCTION("""COMPUTED_VALUE"""),"K/31/040625/2")</f>
        <v>K/31/040625/2</v>
      </c>
      <c r="C4707" s="42" t="str">
        <f>IFERROR(__xludf.DUMMYFUNCTION("""COMPUTED_VALUE"""),"M. 11470/ Tanjung Baru")</f>
        <v>M. 11470/ Tanjung Baru</v>
      </c>
      <c r="D4707" s="42"/>
      <c r="E4707" s="42"/>
      <c r="F4707" s="48" t="str">
        <f>IFERROR(__xludf.DUMMYFUNCTION("""COMPUTED_VALUE"""),"")</f>
        <v/>
      </c>
      <c r="G4707" s="42" t="str">
        <f>IFERROR(__xludf.DUMMYFUNCTION("""COMPUTED_VALUE"""),"SKPT LELANG")</f>
        <v>SKPT LELANG</v>
      </c>
      <c r="H4707" s="42">
        <f t="shared" si="1"/>
        <v>2076</v>
      </c>
    </row>
    <row r="4708" ht="22.5" customHeight="1">
      <c r="B4708" s="42" t="str">
        <f>IFERROR(__xludf.DUMMYFUNCTION("""COMPUTED_VALUE"""),"K/32/040625/3")</f>
        <v>K/32/040625/3</v>
      </c>
      <c r="C4708" s="42" t="str">
        <f>IFERROR(__xludf.DUMMYFUNCTION("""COMPUTED_VALUE"""),"M. 11471/ Tanjung Baru")</f>
        <v>M. 11471/ Tanjung Baru</v>
      </c>
      <c r="D4708" s="42"/>
      <c r="E4708" s="42"/>
      <c r="F4708" s="48" t="str">
        <f>IFERROR(__xludf.DUMMYFUNCTION("""COMPUTED_VALUE"""),"")</f>
        <v/>
      </c>
      <c r="G4708" s="42" t="str">
        <f>IFERROR(__xludf.DUMMYFUNCTION("""COMPUTED_VALUE"""),"SKPT LELANG")</f>
        <v>SKPT LELANG</v>
      </c>
      <c r="H4708" s="42">
        <f t="shared" si="1"/>
        <v>2076</v>
      </c>
    </row>
    <row r="4709" ht="22.5" customHeight="1">
      <c r="B4709" s="42" t="str">
        <f>IFERROR(__xludf.DUMMYFUNCTION("""COMPUTED_VALUE"""),"K/35/040625/1")</f>
        <v>K/35/040625/1</v>
      </c>
      <c r="C4709" s="42" t="str">
        <f>IFERROR(__xludf.DUMMYFUNCTION("""COMPUTED_VALUE"""),"M. 4523/ Sukadana Ham")</f>
        <v>M. 4523/ Sukadana Ham</v>
      </c>
      <c r="D4709" s="42" t="str">
        <f>IFERROR(__xludf.DUMMYFUNCTION("""COMPUTED_VALUE"""),"Berry")</f>
        <v>Berry</v>
      </c>
      <c r="E4709" s="42" t="str">
        <f>IFERROR(__xludf.DUMMYFUNCTION("""COMPUTED_VALUE"""),"DISERAHKAN")</f>
        <v>DISERAHKAN</v>
      </c>
      <c r="F4709" s="48">
        <f>IFERROR(__xludf.DUMMYFUNCTION("""COMPUTED_VALUE"""),45824.47226630787)</f>
        <v>45824.47227</v>
      </c>
      <c r="G4709" s="42" t="str">
        <f>IFERROR(__xludf.DUMMYFUNCTION("""COMPUTED_VALUE"""),"BN Jual Beli")</f>
        <v>BN Jual Beli</v>
      </c>
      <c r="H4709" s="42">
        <f t="shared" si="1"/>
        <v>2077</v>
      </c>
    </row>
    <row r="4710" ht="22.5" customHeight="1">
      <c r="B4710" s="42" t="str">
        <f>IFERROR(__xludf.DUMMYFUNCTION("""COMPUTED_VALUE"""),"K/33/040625/4")</f>
        <v>K/33/040625/4</v>
      </c>
      <c r="C4710" s="42" t="str">
        <f>IFERROR(__xludf.DUMMYFUNCTION("""COMPUTED_VALUE"""),"M. 11038/ Jagabaya II")</f>
        <v>M. 11038/ Jagabaya II</v>
      </c>
      <c r="D4710" s="42"/>
      <c r="E4710" s="42"/>
      <c r="F4710" s="48" t="str">
        <f>IFERROR(__xludf.DUMMYFUNCTION("""COMPUTED_VALUE"""),"")</f>
        <v/>
      </c>
      <c r="G4710" s="42" t="str">
        <f>IFERROR(__xludf.DUMMYFUNCTION("""COMPUTED_VALUE"""),"SKPT LELANG")</f>
        <v>SKPT LELANG</v>
      </c>
      <c r="H4710" s="42">
        <f t="shared" si="1"/>
        <v>2077</v>
      </c>
    </row>
    <row r="4711" ht="22.5" customHeight="1">
      <c r="B4711" s="42" t="str">
        <f>IFERROR(__xludf.DUMMYFUNCTION("""COMPUTED_VALUE"""),"K/36/040625/1")</f>
        <v>K/36/040625/1</v>
      </c>
      <c r="C4711" s="42" t="str">
        <f>IFERROR(__xludf.DUMMYFUNCTION("""COMPUTED_VALUE"""),"M. 658/ Kali Balau Kencana")</f>
        <v>M. 658/ Kali Balau Kencana</v>
      </c>
      <c r="D4711" s="42"/>
      <c r="E4711" s="42"/>
      <c r="F4711" s="48" t="str">
        <f>IFERROR(__xludf.DUMMYFUNCTION("""COMPUTED_VALUE"""),"")</f>
        <v/>
      </c>
      <c r="G4711" s="42" t="str">
        <f>IFERROR(__xludf.DUMMYFUNCTION("""COMPUTED_VALUE"""),"BN Jual Beli")</f>
        <v>BN Jual Beli</v>
      </c>
      <c r="H4711" s="42">
        <f t="shared" si="1"/>
        <v>2077</v>
      </c>
    </row>
    <row r="4712" ht="22.5" customHeight="1">
      <c r="B4712" s="42" t="str">
        <f>IFERROR(__xludf.DUMMYFUNCTION("""COMPUTED_VALUE"""),"K/37/040625/1")</f>
        <v>K/37/040625/1</v>
      </c>
      <c r="C4712" s="42" t="str">
        <f>IFERROR(__xludf.DUMMYFUNCTION("""COMPUTED_VALUE"""),"B. 1782/SUKABUMI")</f>
        <v>B. 1782/SUKABUMI</v>
      </c>
      <c r="D4712" s="42"/>
      <c r="E4712" s="42"/>
      <c r="F4712" s="48" t="str">
        <f>IFERROR(__xludf.DUMMYFUNCTION("""COMPUTED_VALUE"""),"")</f>
        <v/>
      </c>
      <c r="G4712" s="42" t="str">
        <f>IFERROR(__xludf.DUMMYFUNCTION("""COMPUTED_VALUE"""),"PENINGKATAN HAK")</f>
        <v>PENINGKATAN HAK</v>
      </c>
      <c r="H4712" s="42">
        <f t="shared" si="1"/>
        <v>2077</v>
      </c>
    </row>
    <row r="4713" ht="22.5" customHeight="1">
      <c r="B4713" s="42" t="str">
        <f>IFERROR(__xludf.DUMMYFUNCTION("""COMPUTED_VALUE"""),"K/39/040625/1")</f>
        <v>K/39/040625/1</v>
      </c>
      <c r="C4713" s="42" t="str">
        <f>IFERROR(__xludf.DUMMYFUNCTION("""COMPUTED_VALUE"""),"M.14586/SUKABUMI")</f>
        <v>M.14586/SUKABUMI</v>
      </c>
      <c r="D4713" s="42"/>
      <c r="E4713" s="42"/>
      <c r="F4713" s="48" t="str">
        <f>IFERROR(__xludf.DUMMYFUNCTION("""COMPUTED_VALUE"""),"")</f>
        <v/>
      </c>
      <c r="G4713" s="42" t="str">
        <f>IFERROR(__xludf.DUMMYFUNCTION("""COMPUTED_VALUE"""),"HAPUS BPHTB")</f>
        <v>HAPUS BPHTB</v>
      </c>
      <c r="H4713" s="42">
        <f t="shared" si="1"/>
        <v>2077</v>
      </c>
    </row>
    <row r="4714" ht="22.5" customHeight="1">
      <c r="B4714" s="42" t="str">
        <f>IFERROR(__xludf.DUMMYFUNCTION("""COMPUTED_VALUE"""),"K/38/040625/1")</f>
        <v>K/38/040625/1</v>
      </c>
      <c r="C4714" s="42" t="str">
        <f>IFERROR(__xludf.DUMMYFUNCTION("""COMPUTED_VALUE"""),"M. 400/KALIAWI")</f>
        <v>M. 400/KALIAWI</v>
      </c>
      <c r="D4714" s="42"/>
      <c r="E4714" s="42"/>
      <c r="F4714" s="48" t="str">
        <f>IFERROR(__xludf.DUMMYFUNCTION("""COMPUTED_VALUE"""),"")</f>
        <v/>
      </c>
      <c r="G4714" s="42" t="str">
        <f>IFERROR(__xludf.DUMMYFUNCTION("""COMPUTED_VALUE"""),"BN JUAL BELI ")</f>
        <v>BN JUAL BELI </v>
      </c>
      <c r="H4714" s="42">
        <f t="shared" si="1"/>
        <v>2077</v>
      </c>
    </row>
    <row r="4715" ht="22.5" customHeight="1">
      <c r="B4715" s="42" t="str">
        <f>IFERROR(__xludf.DUMMYFUNCTION("""COMPUTED_VALUE"""),"K/40/040625/2")</f>
        <v>K/40/040625/2</v>
      </c>
      <c r="C4715" s="42" t="str">
        <f>IFERROR(__xludf.DUMMYFUNCTION("""COMPUTED_VALUE"""),"NIBEL M .2631/BILABONG JAYA")</f>
        <v>NIBEL M .2631/BILABONG JAYA</v>
      </c>
      <c r="D4715" s="42"/>
      <c r="E4715" s="42"/>
      <c r="F4715" s="48" t="str">
        <f>IFERROR(__xludf.DUMMYFUNCTION("""COMPUTED_VALUE"""),"")</f>
        <v/>
      </c>
      <c r="G4715" s="42" t="str">
        <f>IFERROR(__xludf.DUMMYFUNCTION("""COMPUTED_VALUE"""),"JUAL BELI")</f>
        <v>JUAL BELI</v>
      </c>
      <c r="H4715" s="42">
        <f t="shared" si="1"/>
        <v>2077</v>
      </c>
    </row>
    <row r="4716" ht="22.5" customHeight="1">
      <c r="B4716" s="42" t="str">
        <f>IFERROR(__xludf.DUMMYFUNCTION("""COMPUTED_VALUE"""),"K/41/040625/2")</f>
        <v>K/41/040625/2</v>
      </c>
      <c r="C4716" s="42" t="str">
        <f>IFERROR(__xludf.DUMMYFUNCTION("""COMPUTED_VALUE"""),"NIBEL M. 16736/GEDONG MENENG BARU")</f>
        <v>NIBEL M. 16736/GEDONG MENENG BARU</v>
      </c>
      <c r="D4716" s="42"/>
      <c r="E4716" s="42"/>
      <c r="F4716" s="48" t="str">
        <f>IFERROR(__xludf.DUMMYFUNCTION("""COMPUTED_VALUE"""),"")</f>
        <v/>
      </c>
      <c r="G4716" s="42" t="str">
        <f>IFERROR(__xludf.DUMMYFUNCTION("""COMPUTED_VALUE"""),"BN JUAL BELI")</f>
        <v>BN JUAL BELI</v>
      </c>
      <c r="H4716" s="42">
        <f t="shared" si="1"/>
        <v>2077</v>
      </c>
    </row>
    <row r="4717" ht="22.5" customHeight="1">
      <c r="B4717" s="42" t="str">
        <f>IFERROR(__xludf.DUMMYFUNCTION("""COMPUTED_VALUE"""),"K/44/040625/1")</f>
        <v>K/44/040625/1</v>
      </c>
      <c r="C4717" s="42" t="str">
        <f>IFERROR(__xludf.DUMMYFUNCTION("""COMPUTED_VALUE"""),"M.2394/SUKADANAHAM")</f>
        <v>M.2394/SUKADANAHAM</v>
      </c>
      <c r="D4717" s="42"/>
      <c r="E4717" s="42"/>
      <c r="F4717" s="48" t="str">
        <f>IFERROR(__xludf.DUMMYFUNCTION("""COMPUTED_VALUE"""),"")</f>
        <v/>
      </c>
      <c r="G4717" s="42" t="str">
        <f>IFERROR(__xludf.DUMMYFUNCTION("""COMPUTED_VALUE"""),"SKPT LELANG")</f>
        <v>SKPT LELANG</v>
      </c>
      <c r="H4717" s="42">
        <f t="shared" si="1"/>
        <v>2077</v>
      </c>
    </row>
    <row r="4718" ht="22.5" customHeight="1">
      <c r="B4718" s="42" t="str">
        <f>IFERROR(__xludf.DUMMYFUNCTION("""COMPUTED_VALUE"""),"K/45/040625/2")</f>
        <v>K/45/040625/2</v>
      </c>
      <c r="C4718" s="42" t="str">
        <f>IFERROR(__xludf.DUMMYFUNCTION("""COMPUTED_VALUE"""),"M.2392/SUKADANAHAM")</f>
        <v>M.2392/SUKADANAHAM</v>
      </c>
      <c r="D4718" s="42"/>
      <c r="E4718" s="42"/>
      <c r="F4718" s="48" t="str">
        <f>IFERROR(__xludf.DUMMYFUNCTION("""COMPUTED_VALUE"""),"")</f>
        <v/>
      </c>
      <c r="G4718" s="42" t="str">
        <f>IFERROR(__xludf.DUMMYFUNCTION("""COMPUTED_VALUE"""),"SKPT LELANG")</f>
        <v>SKPT LELANG</v>
      </c>
      <c r="H4718" s="42">
        <f t="shared" si="1"/>
        <v>2077</v>
      </c>
    </row>
    <row r="4719" ht="22.5" customHeight="1">
      <c r="B4719" s="42" t="str">
        <f>IFERROR(__xludf.DUMMYFUNCTION("""COMPUTED_VALUE"""),"K/46/040625/3")</f>
        <v>K/46/040625/3</v>
      </c>
      <c r="C4719" s="42" t="str">
        <f>IFERROR(__xludf.DUMMYFUNCTION("""COMPUTED_VALUE"""),"M.15323/SUKARAME I")</f>
        <v>M.15323/SUKARAME I</v>
      </c>
      <c r="D4719" s="42"/>
      <c r="E4719" s="42"/>
      <c r="F4719" s="48" t="str">
        <f>IFERROR(__xludf.DUMMYFUNCTION("""COMPUTED_VALUE"""),"")</f>
        <v/>
      </c>
      <c r="G4719" s="42" t="str">
        <f>IFERROR(__xludf.DUMMYFUNCTION("""COMPUTED_VALUE"""),"SKPT LELANG")</f>
        <v>SKPT LELANG</v>
      </c>
      <c r="H4719" s="42">
        <f t="shared" si="1"/>
        <v>2077</v>
      </c>
    </row>
    <row r="4720" ht="22.5" customHeight="1">
      <c r="B4720" s="42" t="str">
        <f>IFERROR(__xludf.DUMMYFUNCTION("""COMPUTED_VALUE"""),"L/47/040625/1")</f>
        <v>L/47/040625/1</v>
      </c>
      <c r="C4720" s="42" t="str">
        <f>IFERROR(__xludf.DUMMYFUNCTION("""COMPUTED_VALUE"""),"HM 1363/LANGKAPURA")</f>
        <v>HM 1363/LANGKAPURA</v>
      </c>
      <c r="D4720" s="42"/>
      <c r="E4720" s="42"/>
      <c r="F4720" s="48" t="str">
        <f>IFERROR(__xludf.DUMMYFUNCTION("""COMPUTED_VALUE"""),"")</f>
        <v/>
      </c>
      <c r="G4720" s="42" t="str">
        <f>IFERROR(__xludf.DUMMYFUNCTION("""COMPUTED_VALUE"""),"SERTIPIKAT HILANG")</f>
        <v>SERTIPIKAT HILANG</v>
      </c>
      <c r="H4720" s="42">
        <f t="shared" si="1"/>
        <v>2077</v>
      </c>
    </row>
    <row r="4721" ht="22.5" customHeight="1">
      <c r="B4721" s="42" t="str">
        <f>IFERROR(__xludf.DUMMYFUNCTION("""COMPUTED_VALUE"""),"K/42/040625/1")</f>
        <v>K/42/040625/1</v>
      </c>
      <c r="C4721" s="42" t="str">
        <f>IFERROR(__xludf.DUMMYFUNCTION("""COMPUTED_VALUE"""),"M. 867/ Sumber Agung")</f>
        <v>M. 867/ Sumber Agung</v>
      </c>
      <c r="D4721" s="42" t="str">
        <f>IFERROR(__xludf.DUMMYFUNCTION("""COMPUTED_VALUE"""),"Berry")</f>
        <v>Berry</v>
      </c>
      <c r="E4721" s="42" t="str">
        <f>IFERROR(__xludf.DUMMYFUNCTION("""COMPUTED_VALUE"""),"DISERAHKAN")</f>
        <v>DISERAHKAN</v>
      </c>
      <c r="F4721" s="48">
        <f>IFERROR(__xludf.DUMMYFUNCTION("""COMPUTED_VALUE"""),45838.68472980324)</f>
        <v>45838.68473</v>
      </c>
      <c r="G4721" s="42" t="str">
        <f>IFERROR(__xludf.DUMMYFUNCTION("""COMPUTED_VALUE"""),"BN Jual Beli")</f>
        <v>BN Jual Beli</v>
      </c>
      <c r="H4721" s="42">
        <f t="shared" si="1"/>
        <v>2078</v>
      </c>
    </row>
    <row r="4722" ht="22.5" customHeight="1">
      <c r="B4722" s="42" t="str">
        <f>IFERROR(__xludf.DUMMYFUNCTION("""COMPUTED_VALUE"""),"K/43/040625/2")</f>
        <v>K/43/040625/2</v>
      </c>
      <c r="C4722" s="42" t="str">
        <f>IFERROR(__xludf.DUMMYFUNCTION("""COMPUTED_VALUE"""),"Nibel. M. 21246/ Susunan Baru")</f>
        <v>Nibel. M. 21246/ Susunan Baru</v>
      </c>
      <c r="D4722" s="42"/>
      <c r="E4722" s="42"/>
      <c r="F4722" s="48" t="str">
        <f>IFERROR(__xludf.DUMMYFUNCTION("""COMPUTED_VALUE"""),"")</f>
        <v/>
      </c>
      <c r="G4722" s="42" t="str">
        <f>IFERROR(__xludf.DUMMYFUNCTION("""COMPUTED_VALUE"""),"BN Jual Beli")</f>
        <v>BN Jual Beli</v>
      </c>
      <c r="H4722" s="42">
        <f t="shared" si="1"/>
        <v>2078</v>
      </c>
    </row>
    <row r="4723" ht="22.5" customHeight="1">
      <c r="B4723" s="42" t="str">
        <f>IFERROR(__xludf.DUMMYFUNCTION("""COMPUTED_VALUE"""),"K/48/040625/1")</f>
        <v>K/48/040625/1</v>
      </c>
      <c r="C4723" s="42" t="str">
        <f>IFERROR(__xludf.DUMMYFUNCTION("""COMPUTED_VALUE"""),"M. 4984/ Tanjung Senang")</f>
        <v>M. 4984/ Tanjung Senang</v>
      </c>
      <c r="D4723" s="42" t="str">
        <f>IFERROR(__xludf.DUMMYFUNCTION("""COMPUTED_VALUE"""),"Berry")</f>
        <v>Berry</v>
      </c>
      <c r="E4723" s="42" t="str">
        <f>IFERROR(__xludf.DUMMYFUNCTION("""COMPUTED_VALUE"""),"DISERAHKAN")</f>
        <v>DISERAHKAN</v>
      </c>
      <c r="F4723" s="48">
        <f>IFERROR(__xludf.DUMMYFUNCTION("""COMPUTED_VALUE"""),45838.6554396875)</f>
        <v>45838.65544</v>
      </c>
      <c r="G4723" s="42" t="str">
        <f>IFERROR(__xludf.DUMMYFUNCTION("""COMPUTED_VALUE"""),"BN Jual Beli")</f>
        <v>BN Jual Beli</v>
      </c>
      <c r="H4723" s="42">
        <f t="shared" si="1"/>
        <v>2079</v>
      </c>
    </row>
    <row r="4724" ht="22.5" customHeight="1">
      <c r="B4724" s="42" t="str">
        <f>IFERROR(__xludf.DUMMYFUNCTION("""COMPUTED_VALUE"""),"K/49/040625/1")</f>
        <v>K/49/040625/1</v>
      </c>
      <c r="C4724" s="42" t="str">
        <f>IFERROR(__xludf.DUMMYFUNCTION("""COMPUTED_VALUE"""),"PBT 40/2025")</f>
        <v>PBT 40/2025</v>
      </c>
      <c r="D4724" s="42"/>
      <c r="E4724" s="42"/>
      <c r="F4724" s="48" t="str">
        <f>IFERROR(__xludf.DUMMYFUNCTION("""COMPUTED_VALUE"""),"")</f>
        <v/>
      </c>
      <c r="G4724" s="42" t="str">
        <f>IFERROR(__xludf.DUMMYFUNCTION("""COMPUTED_VALUE"""),"PERMOHONAN SK")</f>
        <v>PERMOHONAN SK</v>
      </c>
      <c r="H4724" s="42">
        <f t="shared" si="1"/>
        <v>2079</v>
      </c>
    </row>
    <row r="4725" ht="22.5" customHeight="1">
      <c r="B4725" s="42" t="str">
        <f>IFERROR(__xludf.DUMMYFUNCTION("""COMPUTED_VALUE"""),"K/52/040625/1")</f>
        <v>K/52/040625/1</v>
      </c>
      <c r="C4725" s="42" t="str">
        <f>IFERROR(__xludf.DUMMYFUNCTION("""COMPUTED_VALUE"""),"M.1606/RAJABASA PEMUKA")</f>
        <v>M.1606/RAJABASA PEMUKA</v>
      </c>
      <c r="D4725" s="42" t="str">
        <f>IFERROR(__xludf.DUMMYFUNCTION("""COMPUTED_VALUE"""),"Berry")</f>
        <v>Berry</v>
      </c>
      <c r="E4725" s="42" t="str">
        <f>IFERROR(__xludf.DUMMYFUNCTION("""COMPUTED_VALUE"""),"DISERAHKAN")</f>
        <v>DISERAHKAN</v>
      </c>
      <c r="F4725" s="48">
        <f>IFERROR(__xludf.DUMMYFUNCTION("""COMPUTED_VALUE"""),45824.47018523148)</f>
        <v>45824.47019</v>
      </c>
      <c r="G4725" s="42" t="str">
        <f>IFERROR(__xludf.DUMMYFUNCTION("""COMPUTED_VALUE"""),"ROYA")</f>
        <v>ROYA</v>
      </c>
      <c r="H4725" s="42">
        <f t="shared" si="1"/>
        <v>2080</v>
      </c>
    </row>
    <row r="4726" ht="22.5" customHeight="1">
      <c r="B4726" s="42" t="str">
        <f>IFERROR(__xludf.DUMMYFUNCTION("""COMPUTED_VALUE"""),"K/53/040625/2")</f>
        <v>K/53/040625/2</v>
      </c>
      <c r="C4726" s="42" t="str">
        <f>IFERROR(__xludf.DUMMYFUNCTION("""COMPUTED_VALUE"""),"M.1879/LABUHAN DALAM")</f>
        <v>M.1879/LABUHAN DALAM</v>
      </c>
      <c r="D4726" s="42" t="str">
        <f>IFERROR(__xludf.DUMMYFUNCTION("""COMPUTED_VALUE"""),"Berry")</f>
        <v>Berry</v>
      </c>
      <c r="E4726" s="42" t="str">
        <f>IFERROR(__xludf.DUMMYFUNCTION("""COMPUTED_VALUE"""),"DISERAHKAN")</f>
        <v>DISERAHKAN</v>
      </c>
      <c r="F4726" s="48">
        <f>IFERROR(__xludf.DUMMYFUNCTION("""COMPUTED_VALUE"""),45894.5515950463)</f>
        <v>45894.5516</v>
      </c>
      <c r="G4726" s="42" t="str">
        <f>IFERROR(__xludf.DUMMYFUNCTION("""COMPUTED_VALUE"""),"ROYA")</f>
        <v>ROYA</v>
      </c>
      <c r="H4726" s="42">
        <f t="shared" si="1"/>
        <v>2081</v>
      </c>
    </row>
    <row r="4727" ht="22.5" customHeight="1">
      <c r="B4727" s="42" t="str">
        <f>IFERROR(__xludf.DUMMYFUNCTION("""COMPUTED_VALUE"""),"K/51/040625/1")</f>
        <v>K/51/040625/1</v>
      </c>
      <c r="C4727" s="42" t="str">
        <f>IFERROR(__xludf.DUMMYFUNCTION("""COMPUTED_VALUE"""),"M. 13170/SUKARAME")</f>
        <v>M. 13170/SUKARAME</v>
      </c>
      <c r="D4727" s="42"/>
      <c r="E4727" s="42"/>
      <c r="F4727" s="48" t="str">
        <f>IFERROR(__xludf.DUMMYFUNCTION("""COMPUTED_VALUE"""),"")</f>
        <v/>
      </c>
      <c r="G4727" s="42" t="str">
        <f>IFERROR(__xludf.DUMMYFUNCTION("""COMPUTED_VALUE"""),"SERTIPIKAT HILANG")</f>
        <v>SERTIPIKAT HILANG</v>
      </c>
      <c r="H4727" s="42">
        <f t="shared" si="1"/>
        <v>2081</v>
      </c>
    </row>
    <row r="4728" ht="22.5" customHeight="1">
      <c r="B4728" s="42" t="str">
        <f>IFERROR(__xludf.DUMMYFUNCTION("""COMPUTED_VALUE"""),"K/54/040625/3")</f>
        <v>K/54/040625/3</v>
      </c>
      <c r="C4728" s="42" t="str">
        <f>IFERROR(__xludf.DUMMYFUNCTION("""COMPUTED_VALUE"""),"M.1880/LABUHAN DALAM")</f>
        <v>M.1880/LABUHAN DALAM</v>
      </c>
      <c r="D4728" s="42" t="str">
        <f>IFERROR(__xludf.DUMMYFUNCTION("""COMPUTED_VALUE"""),"Berry")</f>
        <v>Berry</v>
      </c>
      <c r="E4728" s="42" t="str">
        <f>IFERROR(__xludf.DUMMYFUNCTION("""COMPUTED_VALUE"""),"DISERAHKAN")</f>
        <v>DISERAHKAN</v>
      </c>
      <c r="F4728" s="48">
        <f>IFERROR(__xludf.DUMMYFUNCTION("""COMPUTED_VALUE"""),45891.59746482639)</f>
        <v>45891.59746</v>
      </c>
      <c r="G4728" s="42" t="str">
        <f>IFERROR(__xludf.DUMMYFUNCTION("""COMPUTED_VALUE"""),"ROYA ")</f>
        <v>ROYA </v>
      </c>
      <c r="H4728" s="42">
        <f t="shared" si="1"/>
        <v>2082</v>
      </c>
    </row>
    <row r="4729" ht="22.5" customHeight="1">
      <c r="B4729" s="42" t="str">
        <f>IFERROR(__xludf.DUMMYFUNCTION("""COMPUTED_VALUE"""),"K/50/040625/1")</f>
        <v>K/50/040625/1</v>
      </c>
      <c r="C4729" s="42" t="str">
        <f>IFERROR(__xludf.DUMMYFUNCTION("""COMPUTED_VALUE"""),"PBT. 137/2023 (Kedaton)")</f>
        <v>PBT. 137/2023 (Kedaton)</v>
      </c>
      <c r="D4729" s="42"/>
      <c r="E4729" s="42"/>
      <c r="F4729" s="48" t="str">
        <f>IFERROR(__xludf.DUMMYFUNCTION("""COMPUTED_VALUE"""),"")</f>
        <v/>
      </c>
      <c r="G4729" s="42" t="str">
        <f>IFERROR(__xludf.DUMMYFUNCTION("""COMPUTED_VALUE"""),"Permohonan SK")</f>
        <v>Permohonan SK</v>
      </c>
      <c r="H4729" s="42">
        <f t="shared" si="1"/>
        <v>2082</v>
      </c>
    </row>
    <row r="4730" ht="22.5" customHeight="1">
      <c r="B4730" s="42" t="str">
        <f>IFERROR(__xludf.DUMMYFUNCTION("""COMPUTED_VALUE"""),"K/55/040625/1")</f>
        <v>K/55/040625/1</v>
      </c>
      <c r="C4730" s="42" t="str">
        <f>IFERROR(__xludf.DUMMYFUNCTION("""COMPUTED_VALUE"""),"Nibel 19434/ Perumnas Way Halim")</f>
        <v>Nibel 19434/ Perumnas Way Halim</v>
      </c>
      <c r="D4730" s="42"/>
      <c r="E4730" s="42"/>
      <c r="F4730" s="48" t="str">
        <f>IFERROR(__xludf.DUMMYFUNCTION("""COMPUTED_VALUE"""),"")</f>
        <v/>
      </c>
      <c r="G4730" s="42" t="str">
        <f>IFERROR(__xludf.DUMMYFUNCTION("""COMPUTED_VALUE"""),"BN PHB")</f>
        <v>BN PHB</v>
      </c>
      <c r="H4730" s="42">
        <f t="shared" si="1"/>
        <v>2082</v>
      </c>
    </row>
    <row r="4731" ht="22.5" customHeight="1">
      <c r="B4731" s="42" t="str">
        <f>IFERROR(__xludf.DUMMYFUNCTION("""COMPUTED_VALUE"""),"K/1/050625/1")</f>
        <v>K/1/050625/1</v>
      </c>
      <c r="C4731" s="42" t="str">
        <f>IFERROR(__xludf.DUMMYFUNCTION("""COMPUTED_VALUE"""),"M. 9015/ Kedaton")</f>
        <v>M. 9015/ Kedaton</v>
      </c>
      <c r="D4731" s="42"/>
      <c r="E4731" s="42"/>
      <c r="F4731" s="48" t="str">
        <f>IFERROR(__xludf.DUMMYFUNCTION("""COMPUTED_VALUE"""),"")</f>
        <v/>
      </c>
      <c r="G4731" s="42" t="str">
        <f>IFERROR(__xludf.DUMMYFUNCTION("""COMPUTED_VALUE"""),"SKPT LELANG")</f>
        <v>SKPT LELANG</v>
      </c>
      <c r="H4731" s="42">
        <f t="shared" si="1"/>
        <v>2082</v>
      </c>
    </row>
    <row r="4732" ht="22.5" customHeight="1">
      <c r="B4732" s="42" t="str">
        <f>IFERROR(__xludf.DUMMYFUNCTION("""COMPUTED_VALUE"""),"K/2/050625/2")</f>
        <v>K/2/050625/2</v>
      </c>
      <c r="C4732" s="42" t="str">
        <f>IFERROR(__xludf.DUMMYFUNCTION("""COMPUTED_VALUE"""),"M. 10251/ Kedaton")</f>
        <v>M. 10251/ Kedaton</v>
      </c>
      <c r="D4732" s="42"/>
      <c r="E4732" s="42"/>
      <c r="F4732" s="48" t="str">
        <f>IFERROR(__xludf.DUMMYFUNCTION("""COMPUTED_VALUE"""),"")</f>
        <v/>
      </c>
      <c r="G4732" s="42" t="str">
        <f>IFERROR(__xludf.DUMMYFUNCTION("""COMPUTED_VALUE"""),"SKPT LELANG")</f>
        <v>SKPT LELANG</v>
      </c>
      <c r="H4732" s="42">
        <f t="shared" si="1"/>
        <v>2082</v>
      </c>
    </row>
    <row r="4733" ht="22.5" customHeight="1">
      <c r="B4733" s="42" t="str">
        <f>IFERROR(__xludf.DUMMYFUNCTION("""COMPUTED_VALUE"""),"K/3/050625/3")</f>
        <v>K/3/050625/3</v>
      </c>
      <c r="C4733" s="42" t="str">
        <f>IFERROR(__xludf.DUMMYFUNCTION("""COMPUTED_VALUE"""),"M. 11877/ Kedaton")</f>
        <v>M. 11877/ Kedaton</v>
      </c>
      <c r="D4733" s="42"/>
      <c r="E4733" s="42"/>
      <c r="F4733" s="48" t="str">
        <f>IFERROR(__xludf.DUMMYFUNCTION("""COMPUTED_VALUE"""),"")</f>
        <v/>
      </c>
      <c r="G4733" s="42" t="str">
        <f>IFERROR(__xludf.DUMMYFUNCTION("""COMPUTED_VALUE"""),"SKPT LELANG")</f>
        <v>SKPT LELANG</v>
      </c>
      <c r="H4733" s="42">
        <f t="shared" si="1"/>
        <v>2082</v>
      </c>
    </row>
    <row r="4734" ht="22.5" customHeight="1">
      <c r="B4734" s="42" t="str">
        <f>IFERROR(__xludf.DUMMYFUNCTION("""COMPUTED_VALUE"""),"K/6/050625/1")</f>
        <v>K/6/050625/1</v>
      </c>
      <c r="C4734" s="42" t="str">
        <f>IFERROR(__xludf.DUMMYFUNCTION("""COMPUTED_VALUE"""),"M. 33/ Pahoman")</f>
        <v>M. 33/ Pahoman</v>
      </c>
      <c r="D4734" s="42"/>
      <c r="E4734" s="42"/>
      <c r="F4734" s="48" t="str">
        <f>IFERROR(__xludf.DUMMYFUNCTION("""COMPUTED_VALUE"""),"")</f>
        <v/>
      </c>
      <c r="G4734" s="42" t="str">
        <f>IFERROR(__xludf.DUMMYFUNCTION("""COMPUTED_VALUE"""),"SKPT Lelang")</f>
        <v>SKPT Lelang</v>
      </c>
      <c r="H4734" s="42">
        <f t="shared" si="1"/>
        <v>2082</v>
      </c>
    </row>
    <row r="4735" ht="22.5" customHeight="1">
      <c r="B4735" s="42" t="str">
        <f>IFERROR(__xludf.DUMMYFUNCTION("""COMPUTED_VALUE"""),"K/4/050625/4")</f>
        <v>K/4/050625/4</v>
      </c>
      <c r="C4735" s="42" t="str">
        <f>IFERROR(__xludf.DUMMYFUNCTION("""COMPUTED_VALUE"""),"M. 9862/ Kedaton")</f>
        <v>M. 9862/ Kedaton</v>
      </c>
      <c r="D4735" s="42"/>
      <c r="E4735" s="42"/>
      <c r="F4735" s="48" t="str">
        <f>IFERROR(__xludf.DUMMYFUNCTION("""COMPUTED_VALUE"""),"")</f>
        <v/>
      </c>
      <c r="G4735" s="42" t="str">
        <f>IFERROR(__xludf.DUMMYFUNCTION("""COMPUTED_VALUE"""),"SKPT LELANG")</f>
        <v>SKPT LELANG</v>
      </c>
      <c r="H4735" s="42">
        <f t="shared" si="1"/>
        <v>2082</v>
      </c>
    </row>
    <row r="4736" ht="22.5" customHeight="1">
      <c r="B4736" s="42" t="str">
        <f>IFERROR(__xludf.DUMMYFUNCTION("""COMPUTED_VALUE"""),"K/5/050625/5")</f>
        <v>K/5/050625/5</v>
      </c>
      <c r="C4736" s="42" t="str">
        <f>IFERROR(__xludf.DUMMYFUNCTION("""COMPUTED_VALUE"""),"M. 9838/ Keadton")</f>
        <v>M. 9838/ Keadton</v>
      </c>
      <c r="D4736" s="42"/>
      <c r="E4736" s="42"/>
      <c r="F4736" s="48" t="str">
        <f>IFERROR(__xludf.DUMMYFUNCTION("""COMPUTED_VALUE"""),"")</f>
        <v/>
      </c>
      <c r="G4736" s="42" t="str">
        <f>IFERROR(__xludf.DUMMYFUNCTION("""COMPUTED_VALUE"""),"SKPT LELANG")</f>
        <v>SKPT LELANG</v>
      </c>
      <c r="H4736" s="42">
        <f t="shared" si="1"/>
        <v>2082</v>
      </c>
    </row>
    <row r="4737" ht="22.5" customHeight="1">
      <c r="B4737" s="42" t="str">
        <f>IFERROR(__xludf.DUMMYFUNCTION("""COMPUTED_VALUE"""),"K/7/050625/1")</f>
        <v>K/7/050625/1</v>
      </c>
      <c r="C4737" s="42" t="str">
        <f>IFERROR(__xludf.DUMMYFUNCTION("""COMPUTED_VALUE"""),"M. 1808/ Campang Raya")</f>
        <v>M. 1808/ Campang Raya</v>
      </c>
      <c r="D4737" s="42" t="str">
        <f>IFERROR(__xludf.DUMMYFUNCTION("""COMPUTED_VALUE"""),"Berry")</f>
        <v>Berry</v>
      </c>
      <c r="E4737" s="42" t="str">
        <f>IFERROR(__xludf.DUMMYFUNCTION("""COMPUTED_VALUE"""),"DISERAHKAN")</f>
        <v>DISERAHKAN</v>
      </c>
      <c r="F4737" s="48">
        <f>IFERROR(__xludf.DUMMYFUNCTION("""COMPUTED_VALUE"""),45831.61815173611)</f>
        <v>45831.61815</v>
      </c>
      <c r="G4737" s="42" t="str">
        <f>IFERROR(__xludf.DUMMYFUNCTION("""COMPUTED_VALUE"""),"BN Jual Beli")</f>
        <v>BN Jual Beli</v>
      </c>
      <c r="H4737" s="42">
        <f t="shared" si="1"/>
        <v>2083</v>
      </c>
    </row>
    <row r="4738" ht="22.5" customHeight="1">
      <c r="B4738" s="42" t="str">
        <f>IFERROR(__xludf.DUMMYFUNCTION("""COMPUTED_VALUE"""),"L/9/050625/1")</f>
        <v>L/9/050625/1</v>
      </c>
      <c r="C4738" s="42" t="str">
        <f>IFERROR(__xludf.DUMMYFUNCTION("""COMPUTED_VALUE"""),"HM 2122/GEDONG AIR")</f>
        <v>HM 2122/GEDONG AIR</v>
      </c>
      <c r="D4738" s="42" t="str">
        <f>IFERROR(__xludf.DUMMYFUNCTION("""COMPUTED_VALUE"""),"David")</f>
        <v>David</v>
      </c>
      <c r="E4738" s="42" t="str">
        <f>IFERROR(__xludf.DUMMYFUNCTION("""COMPUTED_VALUE"""),"DISERAHKAN")</f>
        <v>DISERAHKAN</v>
      </c>
      <c r="F4738" s="48">
        <f>IFERROR(__xludf.DUMMYFUNCTION("""COMPUTED_VALUE"""),45840.600053981485)</f>
        <v>45840.60005</v>
      </c>
      <c r="G4738" s="42" t="str">
        <f>IFERROR(__xludf.DUMMYFUNCTION("""COMPUTED_VALUE"""),"ROYA")</f>
        <v>ROYA</v>
      </c>
      <c r="H4738" s="42">
        <f t="shared" si="1"/>
        <v>2084</v>
      </c>
    </row>
    <row r="4739" ht="22.5" customHeight="1">
      <c r="B4739" s="42" t="str">
        <f>IFERROR(__xludf.DUMMYFUNCTION("""COMPUTED_VALUE"""),"K/8/050625/1")</f>
        <v>K/8/050625/1</v>
      </c>
      <c r="C4739" s="42" t="str">
        <f>IFERROR(__xludf.DUMMYFUNCTION("""COMPUTED_VALUE"""),"M. 865/NOG")</f>
        <v>M. 865/NOG</v>
      </c>
      <c r="D4739" s="42"/>
      <c r="E4739" s="42"/>
      <c r="F4739" s="48" t="str">
        <f>IFERROR(__xludf.DUMMYFUNCTION("""COMPUTED_VALUE"""),"")</f>
        <v/>
      </c>
      <c r="G4739" s="42" t="str">
        <f>IFERROR(__xludf.DUMMYFUNCTION("""COMPUTED_VALUE"""),"SKPT LELANG")</f>
        <v>SKPT LELANG</v>
      </c>
      <c r="H4739" s="42">
        <f t="shared" si="1"/>
        <v>2084</v>
      </c>
    </row>
    <row r="4740" ht="22.5" customHeight="1">
      <c r="B4740" s="42" t="str">
        <f>IFERROR(__xludf.DUMMYFUNCTION("""COMPUTED_VALUE"""),"K/10/050625/1")</f>
        <v>K/10/050625/1</v>
      </c>
      <c r="C4740" s="42" t="str">
        <f>IFERROR(__xludf.DUMMYFUNCTION("""COMPUTED_VALUE"""),"M. 4027/WAYKANDIS")</f>
        <v>M. 4027/WAYKANDIS</v>
      </c>
      <c r="D4740" s="42"/>
      <c r="E4740" s="42"/>
      <c r="F4740" s="48" t="str">
        <f>IFERROR(__xludf.DUMMYFUNCTION("""COMPUTED_VALUE"""),"")</f>
        <v/>
      </c>
      <c r="G4740" s="42" t="str">
        <f>IFERROR(__xludf.DUMMYFUNCTION("""COMPUTED_VALUE"""),"SKPT LELANG")</f>
        <v>SKPT LELANG</v>
      </c>
      <c r="H4740" s="42">
        <f t="shared" si="1"/>
        <v>2084</v>
      </c>
    </row>
    <row r="4741" ht="22.5" customHeight="1">
      <c r="B4741" s="42" t="str">
        <f>IFERROR(__xludf.DUMMYFUNCTION("""COMPUTED_VALUE"""),"K/13/050625/2")</f>
        <v>K/13/050625/2</v>
      </c>
      <c r="C4741" s="42" t="str">
        <f>IFERROR(__xludf.DUMMYFUNCTION("""COMPUTED_VALUE"""),"B. 33/ Campang Raya")</f>
        <v>B. 33/ Campang Raya</v>
      </c>
      <c r="D4741" s="42"/>
      <c r="E4741" s="42"/>
      <c r="F4741" s="48" t="str">
        <f>IFERROR(__xludf.DUMMYFUNCTION("""COMPUTED_VALUE"""),"")</f>
        <v/>
      </c>
      <c r="G4741" s="42" t="str">
        <f>IFERROR(__xludf.DUMMYFUNCTION("""COMPUTED_VALUE"""),"Perubahan Hak")</f>
        <v>Perubahan Hak</v>
      </c>
      <c r="H4741" s="42">
        <f t="shared" si="1"/>
        <v>2084</v>
      </c>
    </row>
    <row r="4742" ht="22.5" customHeight="1">
      <c r="B4742" s="42" t="str">
        <f>IFERROR(__xludf.DUMMYFUNCTION("""COMPUTED_VALUE"""),"K/12/050625/1")</f>
        <v>K/12/050625/1</v>
      </c>
      <c r="C4742" s="42" t="str">
        <f>IFERROR(__xludf.DUMMYFUNCTION("""COMPUTED_VALUE"""),"M. 641/ Sususnan Baru")</f>
        <v>M. 641/ Sususnan Baru</v>
      </c>
      <c r="D4742" s="42"/>
      <c r="E4742" s="42"/>
      <c r="F4742" s="48" t="str">
        <f>IFERROR(__xludf.DUMMYFUNCTION("""COMPUTED_VALUE"""),"")</f>
        <v/>
      </c>
      <c r="G4742" s="42" t="str">
        <f>IFERROR(__xludf.DUMMYFUNCTION("""COMPUTED_VALUE"""),"SKPT Lelang")</f>
        <v>SKPT Lelang</v>
      </c>
      <c r="H4742" s="42">
        <f t="shared" si="1"/>
        <v>2084</v>
      </c>
    </row>
    <row r="4743" ht="22.5" customHeight="1">
      <c r="B4743" s="42" t="str">
        <f>IFERROR(__xludf.DUMMYFUNCTION("""COMPUTED_VALUE"""),"K/15/050625/1")</f>
        <v>K/15/050625/1</v>
      </c>
      <c r="C4743" s="42" t="str">
        <f>IFERROR(__xludf.DUMMYFUNCTION("""COMPUTED_VALUE"""),"M, 432/TANJUNG GADING")</f>
        <v>M, 432/TANJUNG GADING</v>
      </c>
      <c r="D4743" s="42"/>
      <c r="E4743" s="42"/>
      <c r="F4743" s="48" t="str">
        <f>IFERROR(__xludf.DUMMYFUNCTION("""COMPUTED_VALUE"""),"")</f>
        <v/>
      </c>
      <c r="G4743" s="42" t="str">
        <f>IFERROR(__xludf.DUMMYFUNCTION("""COMPUTED_VALUE"""),"GANTI BLANGKO")</f>
        <v>GANTI BLANGKO</v>
      </c>
      <c r="H4743" s="42">
        <f t="shared" si="1"/>
        <v>2084</v>
      </c>
    </row>
    <row r="4744" ht="22.5" customHeight="1">
      <c r="B4744" s="42" t="str">
        <f>IFERROR(__xludf.DUMMYFUNCTION("""COMPUTED_VALUE"""),"L/14/050625/1")</f>
        <v>L/14/050625/1</v>
      </c>
      <c r="C4744" s="42" t="str">
        <f>IFERROR(__xludf.DUMMYFUNCTION("""COMPUTED_VALUE"""),"SRENGSEM")</f>
        <v>SRENGSEM</v>
      </c>
      <c r="D4744" s="42"/>
      <c r="E4744" s="42"/>
      <c r="F4744" s="48" t="str">
        <f>IFERROR(__xludf.DUMMYFUNCTION("""COMPUTED_VALUE"""),"")</f>
        <v/>
      </c>
      <c r="G4744" s="42" t="str">
        <f>IFERROR(__xludf.DUMMYFUNCTION("""COMPUTED_VALUE"""),"ROYA")</f>
        <v>ROYA</v>
      </c>
      <c r="H4744" s="42">
        <f t="shared" si="1"/>
        <v>2084</v>
      </c>
    </row>
    <row r="4745" ht="22.5" customHeight="1">
      <c r="B4745" s="42" t="str">
        <f>IFERROR(__xludf.DUMMYFUNCTION("""COMPUTED_VALUE"""),"K/11/050625/2")</f>
        <v>K/11/050625/2</v>
      </c>
      <c r="C4745" s="42" t="str">
        <f>IFERROR(__xludf.DUMMYFUNCTION("""COMPUTED_VALUE"""),"M. 1141/RAJABASA NUNYAI")</f>
        <v>M. 1141/RAJABASA NUNYAI</v>
      </c>
      <c r="D4745" s="42"/>
      <c r="E4745" s="42"/>
      <c r="F4745" s="48" t="str">
        <f>IFERROR(__xludf.DUMMYFUNCTION("""COMPUTED_VALUE"""),"")</f>
        <v/>
      </c>
      <c r="G4745" s="42" t="str">
        <f>IFERROR(__xludf.DUMMYFUNCTION("""COMPUTED_VALUE"""),"SKPT LELANG")</f>
        <v>SKPT LELANG</v>
      </c>
      <c r="H4745" s="42">
        <f t="shared" si="1"/>
        <v>2084</v>
      </c>
    </row>
    <row r="4746" ht="22.5" customHeight="1">
      <c r="B4746" s="42" t="str">
        <f>IFERROR(__xludf.DUMMYFUNCTION("""COMPUTED_VALUE"""),"K/16/050625/1")</f>
        <v>K/16/050625/1</v>
      </c>
      <c r="C4746" s="42" t="str">
        <f>IFERROR(__xludf.DUMMYFUNCTION("""COMPUTED_VALUE"""),"Nibel 19658/ Way Laga")</f>
        <v>Nibel 19658/ Way Laga</v>
      </c>
      <c r="D4746" s="42"/>
      <c r="E4746" s="42"/>
      <c r="F4746" s="48" t="str">
        <f>IFERROR(__xludf.DUMMYFUNCTION("""COMPUTED_VALUE"""),"")</f>
        <v/>
      </c>
      <c r="G4746" s="42" t="str">
        <f>IFERROR(__xludf.DUMMYFUNCTION("""COMPUTED_VALUE"""),"PERUBAHAN HAK")</f>
        <v>PERUBAHAN HAK</v>
      </c>
      <c r="H4746" s="42">
        <f t="shared" si="1"/>
        <v>2084</v>
      </c>
    </row>
    <row r="4747" ht="22.5" customHeight="1">
      <c r="B4747" s="42" t="str">
        <f>IFERROR(__xludf.DUMMYFUNCTION("""COMPUTED_VALUE"""),"K/17/050625/2")</f>
        <v>K/17/050625/2</v>
      </c>
      <c r="C4747" s="42" t="str">
        <f>IFERROR(__xludf.DUMMYFUNCTION("""COMPUTED_VALUE"""),"Nibel 18717/ Way Laga")</f>
        <v>Nibel 18717/ Way Laga</v>
      </c>
      <c r="D4747" s="42"/>
      <c r="E4747" s="42"/>
      <c r="F4747" s="48" t="str">
        <f>IFERROR(__xludf.DUMMYFUNCTION("""COMPUTED_VALUE"""),"")</f>
        <v/>
      </c>
      <c r="G4747" s="42" t="str">
        <f>IFERROR(__xludf.DUMMYFUNCTION("""COMPUTED_VALUE"""),"PERUBAHAN HAK")</f>
        <v>PERUBAHAN HAK</v>
      </c>
      <c r="H4747" s="42">
        <f t="shared" si="1"/>
        <v>2084</v>
      </c>
    </row>
    <row r="4748" ht="22.5" customHeight="1">
      <c r="B4748" s="42" t="str">
        <f>IFERROR(__xludf.DUMMYFUNCTION("""COMPUTED_VALUE"""),"K/19/050625/1")</f>
        <v>K/19/050625/1</v>
      </c>
      <c r="C4748" s="42" t="str">
        <f>IFERROR(__xludf.DUMMYFUNCTION("""COMPUTED_VALUE"""),"M. 16443/ Sukarame")</f>
        <v>M. 16443/ Sukarame</v>
      </c>
      <c r="D4748" s="42" t="str">
        <f>IFERROR(__xludf.DUMMYFUNCTION("""COMPUTED_VALUE"""),"Berry")</f>
        <v>Berry</v>
      </c>
      <c r="E4748" s="42" t="str">
        <f>IFERROR(__xludf.DUMMYFUNCTION("""COMPUTED_VALUE"""),"DISERAHKAN")</f>
        <v>DISERAHKAN</v>
      </c>
      <c r="F4748" s="48">
        <f>IFERROR(__xludf.DUMMYFUNCTION("""COMPUTED_VALUE"""),45834.536538333334)</f>
        <v>45834.53654</v>
      </c>
      <c r="G4748" s="42" t="str">
        <f>IFERROR(__xludf.DUMMYFUNCTION("""COMPUTED_VALUE"""),"BN Jual Beli")</f>
        <v>BN Jual Beli</v>
      </c>
      <c r="H4748" s="42">
        <f t="shared" si="1"/>
        <v>2085</v>
      </c>
    </row>
    <row r="4749" ht="22.5" customHeight="1">
      <c r="B4749" s="42" t="str">
        <f>IFERROR(__xludf.DUMMYFUNCTION("""COMPUTED_VALUE"""),"K/18/050625/3")</f>
        <v>K/18/050625/3</v>
      </c>
      <c r="C4749" s="42" t="str">
        <f>IFERROR(__xludf.DUMMYFUNCTION("""COMPUTED_VALUE"""),"Nibel 20347/ Way Laga")</f>
        <v>Nibel 20347/ Way Laga</v>
      </c>
      <c r="D4749" s="42"/>
      <c r="E4749" s="42"/>
      <c r="F4749" s="48" t="str">
        <f>IFERROR(__xludf.DUMMYFUNCTION("""COMPUTED_VALUE"""),"")</f>
        <v/>
      </c>
      <c r="G4749" s="42" t="str">
        <f>IFERROR(__xludf.DUMMYFUNCTION("""COMPUTED_VALUE"""),"PERUAHAN HAK")</f>
        <v>PERUAHAN HAK</v>
      </c>
      <c r="H4749" s="42">
        <f t="shared" si="1"/>
        <v>2085</v>
      </c>
    </row>
    <row r="4750" ht="22.5" customHeight="1">
      <c r="B4750" s="42" t="str">
        <f>IFERROR(__xludf.DUMMYFUNCTION("""COMPUTED_VALUE"""),"K/20/050625/1")</f>
        <v>K/20/050625/1</v>
      </c>
      <c r="C4750" s="42" t="str">
        <f>IFERROR(__xludf.DUMMYFUNCTION("""COMPUTED_VALUE"""),"M.12040/LABUHAN RATU")</f>
        <v>M.12040/LABUHAN RATU</v>
      </c>
      <c r="D4750" s="42" t="str">
        <f>IFERROR(__xludf.DUMMYFUNCTION("""COMPUTED_VALUE"""),"Berry")</f>
        <v>Berry</v>
      </c>
      <c r="E4750" s="42" t="str">
        <f>IFERROR(__xludf.DUMMYFUNCTION("""COMPUTED_VALUE"""),"DISERAHKAN")</f>
        <v>DISERAHKAN</v>
      </c>
      <c r="F4750" s="48">
        <f>IFERROR(__xludf.DUMMYFUNCTION("""COMPUTED_VALUE"""),45838.664340324074)</f>
        <v>45838.66434</v>
      </c>
      <c r="G4750" s="42" t="str">
        <f>IFERROR(__xludf.DUMMYFUNCTION("""COMPUTED_VALUE"""),"JUAL BELI")</f>
        <v>JUAL BELI</v>
      </c>
      <c r="H4750" s="42">
        <f t="shared" si="1"/>
        <v>2086</v>
      </c>
    </row>
    <row r="4751" ht="22.5" customHeight="1">
      <c r="B4751" s="42" t="str">
        <f>IFERROR(__xludf.DUMMYFUNCTION("""COMPUTED_VALUE"""),"L/22/050625/1")</f>
        <v>L/22/050625/1</v>
      </c>
      <c r="C4751" s="42" t="str">
        <f>IFERROR(__xludf.DUMMYFUNCTION("""COMPUTED_VALUE"""),"HM 12860/SUKABUMI")</f>
        <v>HM 12860/SUKABUMI</v>
      </c>
      <c r="D4751" s="42" t="str">
        <f>IFERROR(__xludf.DUMMYFUNCTION("""COMPUTED_VALUE"""),"Berry")</f>
        <v>Berry</v>
      </c>
      <c r="E4751" s="42" t="str">
        <f>IFERROR(__xludf.DUMMYFUNCTION("""COMPUTED_VALUE"""),"DISERAHKAN")</f>
        <v>DISERAHKAN</v>
      </c>
      <c r="F4751" s="48">
        <f>IFERROR(__xludf.DUMMYFUNCTION("""COMPUTED_VALUE"""),45831.65999623842)</f>
        <v>45831.66</v>
      </c>
      <c r="G4751" s="42" t="str">
        <f>IFERROR(__xludf.DUMMYFUNCTION("""COMPUTED_VALUE"""),"ROYA")</f>
        <v>ROYA</v>
      </c>
      <c r="H4751" s="42">
        <f t="shared" si="1"/>
        <v>2087</v>
      </c>
    </row>
    <row r="4752" ht="22.5" customHeight="1">
      <c r="B4752" s="42" t="str">
        <f>IFERROR(__xludf.DUMMYFUNCTION("""COMPUTED_VALUE"""),"K/21/050625/1")</f>
        <v>K/21/050625/1</v>
      </c>
      <c r="C4752" s="42" t="str">
        <f>IFERROR(__xludf.DUMMYFUNCTION("""COMPUTED_VALUE"""),"M.66/SUKARAME I")</f>
        <v>M.66/SUKARAME I</v>
      </c>
      <c r="D4752" s="42"/>
      <c r="E4752" s="42"/>
      <c r="F4752" s="48" t="str">
        <f>IFERROR(__xludf.DUMMYFUNCTION("""COMPUTED_VALUE"""),"")</f>
        <v/>
      </c>
      <c r="G4752" s="42" t="str">
        <f>IFERROR(__xludf.DUMMYFUNCTION("""COMPUTED_VALUE"""),"JUAL NELI")</f>
        <v>JUAL NELI</v>
      </c>
      <c r="H4752" s="42">
        <f t="shared" si="1"/>
        <v>2087</v>
      </c>
    </row>
    <row r="4753" ht="22.5" customHeight="1">
      <c r="B4753" s="42" t="str">
        <f>IFERROR(__xludf.DUMMYFUNCTION("""COMPUTED_VALUE"""),"K/23/050625/1")</f>
        <v>K/23/050625/1</v>
      </c>
      <c r="C4753" s="42" t="str">
        <f>IFERROR(__xludf.DUMMYFUNCTION("""COMPUTED_VALUE"""),"M. 125/ Gedong Meneng BAru")</f>
        <v>M. 125/ Gedong Meneng BAru</v>
      </c>
      <c r="D4753" s="42" t="str">
        <f>IFERROR(__xludf.DUMMYFUNCTION("""COMPUTED_VALUE"""),"Berry")</f>
        <v>Berry</v>
      </c>
      <c r="E4753" s="42" t="str">
        <f>IFERROR(__xludf.DUMMYFUNCTION("""COMPUTED_VALUE"""),"DISERAHKAN")</f>
        <v>DISERAHKAN</v>
      </c>
      <c r="F4753" s="48">
        <f>IFERROR(__xludf.DUMMYFUNCTION("""COMPUTED_VALUE"""),45842.58715523148)</f>
        <v>45842.58716</v>
      </c>
      <c r="G4753" s="42" t="str">
        <f>IFERROR(__xludf.DUMMYFUNCTION("""COMPUTED_VALUE"""),"BN JUAL BELI")</f>
        <v>BN JUAL BELI</v>
      </c>
      <c r="H4753" s="42">
        <f t="shared" si="1"/>
        <v>2088</v>
      </c>
    </row>
    <row r="4754" ht="22.5" customHeight="1">
      <c r="B4754" s="42" t="str">
        <f>IFERROR(__xludf.DUMMYFUNCTION("""COMPUTED_VALUE"""),"L/24/050625/1")</f>
        <v>L/24/050625/1</v>
      </c>
      <c r="C4754" s="42" t="str">
        <f>IFERROR(__xludf.DUMMYFUNCTION("""COMPUTED_VALUE"""),"HM 2639/KOTA BARU")</f>
        <v>HM 2639/KOTA BARU</v>
      </c>
      <c r="D4754" s="42" t="str">
        <f>IFERROR(__xludf.DUMMYFUNCTION("""COMPUTED_VALUE"""),"Berry")</f>
        <v>Berry</v>
      </c>
      <c r="E4754" s="42" t="str">
        <f>IFERROR(__xludf.DUMMYFUNCTION("""COMPUTED_VALUE"""),"DISERAHKAN")</f>
        <v>DISERAHKAN</v>
      </c>
      <c r="F4754" s="48">
        <f>IFERROR(__xludf.DUMMYFUNCTION("""COMPUTED_VALUE"""),45846.66443563657)</f>
        <v>45846.66444</v>
      </c>
      <c r="G4754" s="42" t="str">
        <f>IFERROR(__xludf.DUMMYFUNCTION("""COMPUTED_VALUE"""),"ROYA")</f>
        <v>ROYA</v>
      </c>
      <c r="H4754" s="42">
        <f t="shared" si="1"/>
        <v>2089</v>
      </c>
    </row>
    <row r="4755" ht="22.5" customHeight="1">
      <c r="B4755" s="42" t="str">
        <f>IFERROR(__xludf.DUMMYFUNCTION("""COMPUTED_VALUE"""),"K/26/050625/1")</f>
        <v>K/26/050625/1</v>
      </c>
      <c r="C4755" s="42" t="str">
        <f>IFERROR(__xludf.DUMMYFUNCTION("""COMPUTED_VALUE"""),"M.2290/DURIAN PAYUNG")</f>
        <v>M.2290/DURIAN PAYUNG</v>
      </c>
      <c r="D4755" s="42"/>
      <c r="E4755" s="42"/>
      <c r="F4755" s="48" t="str">
        <f>IFERROR(__xludf.DUMMYFUNCTION("""COMPUTED_VALUE"""),"")</f>
        <v/>
      </c>
      <c r="G4755" s="42" t="str">
        <f>IFERROR(__xludf.DUMMYFUNCTION("""COMPUTED_VALUE"""),"SKPT LELANG")</f>
        <v>SKPT LELANG</v>
      </c>
      <c r="H4755" s="42">
        <f t="shared" si="1"/>
        <v>2089</v>
      </c>
    </row>
    <row r="4756" ht="22.5" customHeight="1">
      <c r="B4756" s="42" t="str">
        <f>IFERROR(__xludf.DUMMYFUNCTION("""COMPUTED_VALUE"""),"L/27/050625/1")</f>
        <v>L/27/050625/1</v>
      </c>
      <c r="C4756" s="42" t="str">
        <f>IFERROR(__xludf.DUMMYFUNCTION("""COMPUTED_VALUE"""),"HM 2639/KOTA BARU")</f>
        <v>HM 2639/KOTA BARU</v>
      </c>
      <c r="D4756" s="42"/>
      <c r="E4756" s="42"/>
      <c r="F4756" s="48" t="str">
        <f>IFERROR(__xludf.DUMMYFUNCTION("""COMPUTED_VALUE"""),"")</f>
        <v/>
      </c>
      <c r="G4756" s="42" t="str">
        <f>IFERROR(__xludf.DUMMYFUNCTION("""COMPUTED_VALUE"""),"ROYA")</f>
        <v>ROYA</v>
      </c>
      <c r="H4756" s="42">
        <f t="shared" si="1"/>
        <v>2089</v>
      </c>
    </row>
    <row r="4757" ht="22.5" customHeight="1">
      <c r="B4757" s="42" t="str">
        <f>IFERROR(__xludf.DUMMYFUNCTION("""COMPUTED_VALUE"""),"K/25/050625/1")</f>
        <v>K/25/050625/1</v>
      </c>
      <c r="C4757" s="42" t="str">
        <f>IFERROR(__xludf.DUMMYFUNCTION("""COMPUTED_VALUE"""),"NIBEL M. 3578/KEDAUNG")</f>
        <v>NIBEL M. 3578/KEDAUNG</v>
      </c>
      <c r="D4757" s="42"/>
      <c r="E4757" s="42"/>
      <c r="F4757" s="48" t="str">
        <f>IFERROR(__xludf.DUMMYFUNCTION("""COMPUTED_VALUE"""),"")</f>
        <v/>
      </c>
      <c r="G4757" s="42" t="str">
        <f>IFERROR(__xludf.DUMMYFUNCTION("""COMPUTED_VALUE"""),"BN JUAL BELI")</f>
        <v>BN JUAL BELI</v>
      </c>
      <c r="H4757" s="42">
        <f t="shared" si="1"/>
        <v>2089</v>
      </c>
    </row>
    <row r="4758" ht="22.5" customHeight="1">
      <c r="B4758" s="42" t="str">
        <f>IFERROR(__xludf.DUMMYFUNCTION("""COMPUTED_VALUE"""),"K/28/050625/1")</f>
        <v>K/28/050625/1</v>
      </c>
      <c r="C4758" s="42" t="str">
        <f>IFERROR(__xludf.DUMMYFUNCTION("""COMPUTED_VALUE"""),"M. 106/ Penengahan")</f>
        <v>M. 106/ Penengahan</v>
      </c>
      <c r="D4758" s="42"/>
      <c r="E4758" s="42"/>
      <c r="F4758" s="48" t="str">
        <f>IFERROR(__xludf.DUMMYFUNCTION("""COMPUTED_VALUE"""),"")</f>
        <v/>
      </c>
      <c r="G4758" s="42" t="str">
        <f>IFERROR(__xludf.DUMMYFUNCTION("""COMPUTED_VALUE"""),"SKPT Lelang")</f>
        <v>SKPT Lelang</v>
      </c>
      <c r="H4758" s="42">
        <f t="shared" si="1"/>
        <v>2089</v>
      </c>
    </row>
    <row r="4759" ht="22.5" customHeight="1">
      <c r="B4759" s="42" t="str">
        <f>IFERROR(__xludf.DUMMYFUNCTION("""COMPUTED_VALUE"""),"K/29/050625/1")</f>
        <v>K/29/050625/1</v>
      </c>
      <c r="C4759" s="42" t="str">
        <f>IFERROR(__xludf.DUMMYFUNCTION("""COMPUTED_VALUE"""),"M. 3474/ Rajabasa Jaya")</f>
        <v>M. 3474/ Rajabasa Jaya</v>
      </c>
      <c r="D4759" s="42"/>
      <c r="E4759" s="42"/>
      <c r="F4759" s="48" t="str">
        <f>IFERROR(__xludf.DUMMYFUNCTION("""COMPUTED_VALUE"""),"")</f>
        <v/>
      </c>
      <c r="G4759" s="42" t="str">
        <f>IFERROR(__xludf.DUMMYFUNCTION("""COMPUTED_VALUE"""),"HAPUS BPHTB")</f>
        <v>HAPUS BPHTB</v>
      </c>
      <c r="H4759" s="42">
        <f t="shared" si="1"/>
        <v>2089</v>
      </c>
    </row>
    <row r="4760" ht="22.5" customHeight="1">
      <c r="B4760" s="42" t="str">
        <f>IFERROR(__xludf.DUMMYFUNCTION("""COMPUTED_VALUE"""),"L/30/050625/1")</f>
        <v>L/30/050625/1</v>
      </c>
      <c r="C4760" s="42" t="str">
        <f>IFERROR(__xludf.DUMMYFUNCTION("""COMPUTED_VALUE"""),"HM 432/PWK")</f>
        <v>HM 432/PWK</v>
      </c>
      <c r="D4760" s="42" t="str">
        <f>IFERROR(__xludf.DUMMYFUNCTION("""COMPUTED_VALUE"""),"David")</f>
        <v>David</v>
      </c>
      <c r="E4760" s="42" t="str">
        <f>IFERROR(__xludf.DUMMYFUNCTION("""COMPUTED_VALUE"""),"DISERAHKAN")</f>
        <v>DISERAHKAN</v>
      </c>
      <c r="F4760" s="48">
        <f>IFERROR(__xludf.DUMMYFUNCTION("""COMPUTED_VALUE"""),45840.603005833334)</f>
        <v>45840.60301</v>
      </c>
      <c r="G4760" s="42" t="str">
        <f>IFERROR(__xludf.DUMMYFUNCTION("""COMPUTED_VALUE"""),"ROYA")</f>
        <v>ROYA</v>
      </c>
      <c r="H4760" s="42">
        <f t="shared" si="1"/>
        <v>2090</v>
      </c>
    </row>
    <row r="4761" ht="22.5" customHeight="1">
      <c r="B4761" s="42" t="str">
        <f>IFERROR(__xludf.DUMMYFUNCTION("""COMPUTED_VALUE"""),"K/31/050625/1")</f>
        <v>K/31/050625/1</v>
      </c>
      <c r="C4761" s="42" t="str">
        <f>IFERROR(__xludf.DUMMYFUNCTION("""COMPUTED_VALUE"""),"B.88/KALIAWI PERSADA")</f>
        <v>B.88/KALIAWI PERSADA</v>
      </c>
      <c r="D4761" s="42"/>
      <c r="E4761" s="42"/>
      <c r="F4761" s="48" t="str">
        <f>IFERROR(__xludf.DUMMYFUNCTION("""COMPUTED_VALUE"""),"")</f>
        <v/>
      </c>
      <c r="G4761" s="42" t="str">
        <f>IFERROR(__xludf.DUMMYFUNCTION("""COMPUTED_VALUE"""),"SKPT INFORMASI")</f>
        <v>SKPT INFORMASI</v>
      </c>
      <c r="H4761" s="42">
        <f t="shared" si="1"/>
        <v>2090</v>
      </c>
    </row>
    <row r="4762" ht="22.5" customHeight="1">
      <c r="B4762" s="42" t="str">
        <f>IFERROR(__xludf.DUMMYFUNCTION("""COMPUTED_VALUE"""),"K/34/050625/1")</f>
        <v>K/34/050625/1</v>
      </c>
      <c r="C4762" s="42" t="str">
        <f>IFERROR(__xludf.DUMMYFUNCTION("""COMPUTED_VALUE"""),"M. 3730/ Beringin Raya")</f>
        <v>M. 3730/ Beringin Raya</v>
      </c>
      <c r="D4762" s="42" t="str">
        <f>IFERROR(__xludf.DUMMYFUNCTION("""COMPUTED_VALUE"""),"Berry")</f>
        <v>Berry</v>
      </c>
      <c r="E4762" s="42" t="str">
        <f>IFERROR(__xludf.DUMMYFUNCTION("""COMPUTED_VALUE"""),"DISERAHKAN")</f>
        <v>DISERAHKAN</v>
      </c>
      <c r="F4762" s="48">
        <f>IFERROR(__xludf.DUMMYFUNCTION("""COMPUTED_VALUE"""),45825.50891149306)</f>
        <v>45825.50891</v>
      </c>
      <c r="G4762" s="42" t="str">
        <f>IFERROR(__xludf.DUMMYFUNCTION("""COMPUTED_VALUE"""),"BN JUAL BELI")</f>
        <v>BN JUAL BELI</v>
      </c>
      <c r="H4762" s="42">
        <f t="shared" si="1"/>
        <v>2091</v>
      </c>
    </row>
    <row r="4763" ht="22.5" customHeight="1">
      <c r="B4763" s="42" t="str">
        <f>IFERROR(__xludf.DUMMYFUNCTION("""COMPUTED_VALUE"""),"L/33/050625/1")</f>
        <v>L/33/050625/1</v>
      </c>
      <c r="C4763" s="42" t="str">
        <f>IFERROR(__xludf.DUMMYFUNCTION("""COMPUTED_VALUE"""),"SUMBER AGUNG")</f>
        <v>SUMBER AGUNG</v>
      </c>
      <c r="D4763" s="42"/>
      <c r="E4763" s="42"/>
      <c r="F4763" s="48" t="str">
        <f>IFERROR(__xludf.DUMMYFUNCTION("""COMPUTED_VALUE"""),"")</f>
        <v/>
      </c>
      <c r="G4763" s="42" t="str">
        <f>IFERROR(__xludf.DUMMYFUNCTION("""COMPUTED_VALUE"""),"ASPEK")</f>
        <v>ASPEK</v>
      </c>
      <c r="H4763" s="42">
        <f t="shared" si="1"/>
        <v>2091</v>
      </c>
    </row>
    <row r="4764" ht="22.5" customHeight="1">
      <c r="B4764" s="42" t="str">
        <f>IFERROR(__xludf.DUMMYFUNCTION("""COMPUTED_VALUE"""),"K/32/050625/1")</f>
        <v>K/32/050625/1</v>
      </c>
      <c r="C4764" s="42" t="str">
        <f>IFERROR(__xludf.DUMMYFUNCTION("""COMPUTED_VALUE"""),"M. 9049/ Gedong Meneng")</f>
        <v>M. 9049/ Gedong Meneng</v>
      </c>
      <c r="D4764" s="42" t="str">
        <f>IFERROR(__xludf.DUMMYFUNCTION("""COMPUTED_VALUE"""),"David")</f>
        <v>David</v>
      </c>
      <c r="E4764" s="42" t="str">
        <f>IFERROR(__xludf.DUMMYFUNCTION("""COMPUTED_VALUE"""),"DISERAHKAN")</f>
        <v>DISERAHKAN</v>
      </c>
      <c r="F4764" s="48">
        <f>IFERROR(__xludf.DUMMYFUNCTION("""COMPUTED_VALUE"""),45856.63049185185)</f>
        <v>45856.63049</v>
      </c>
      <c r="G4764" s="42" t="str">
        <f>IFERROR(__xludf.DUMMYFUNCTION("""COMPUTED_VALUE"""),"Roya")</f>
        <v>Roya</v>
      </c>
      <c r="H4764" s="42">
        <f t="shared" si="1"/>
        <v>2092</v>
      </c>
    </row>
    <row r="4765" ht="22.5" customHeight="1">
      <c r="B4765" s="42" t="str">
        <f>IFERROR(__xludf.DUMMYFUNCTION("""COMPUTED_VALUE"""),"K/36/050625/1")</f>
        <v>K/36/050625/1</v>
      </c>
      <c r="C4765" s="42" t="str">
        <f>IFERROR(__xludf.DUMMYFUNCTION("""COMPUTED_VALUE"""),"M.2228/TANJUNG SENENG")</f>
        <v>M.2228/TANJUNG SENENG</v>
      </c>
      <c r="D4765" s="42" t="str">
        <f>IFERROR(__xludf.DUMMYFUNCTION("""COMPUTED_VALUE"""),"Berry")</f>
        <v>Berry</v>
      </c>
      <c r="E4765" s="42" t="str">
        <f>IFERROR(__xludf.DUMMYFUNCTION("""COMPUTED_VALUE"""),"DISERAHKAN")</f>
        <v>DISERAHKAN</v>
      </c>
      <c r="F4765" s="48">
        <f>IFERROR(__xludf.DUMMYFUNCTION("""COMPUTED_VALUE"""),45838.68488424769)</f>
        <v>45838.68488</v>
      </c>
      <c r="G4765" s="42" t="str">
        <f>IFERROR(__xludf.DUMMYFUNCTION("""COMPUTED_VALUE"""),"HIBAH")</f>
        <v>HIBAH</v>
      </c>
      <c r="H4765" s="42">
        <f t="shared" si="1"/>
        <v>2093</v>
      </c>
    </row>
    <row r="4766" ht="22.5" customHeight="1">
      <c r="B4766" s="42" t="str">
        <f>IFERROR(__xludf.DUMMYFUNCTION("""COMPUTED_VALUE"""),"K/37/050625/2")</f>
        <v>K/37/050625/2</v>
      </c>
      <c r="C4766" s="42" t="str">
        <f>IFERROR(__xludf.DUMMYFUNCTION("""COMPUTED_VALUE"""),"M.3014/TANJUNG SENENG")</f>
        <v>M.3014/TANJUNG SENENG</v>
      </c>
      <c r="D4766" s="42" t="str">
        <f>IFERROR(__xludf.DUMMYFUNCTION("""COMPUTED_VALUE"""),"Berry")</f>
        <v>Berry</v>
      </c>
      <c r="E4766" s="42" t="str">
        <f>IFERROR(__xludf.DUMMYFUNCTION("""COMPUTED_VALUE"""),"DISERAHKAN")</f>
        <v>DISERAHKAN</v>
      </c>
      <c r="F4766" s="48">
        <f>IFERROR(__xludf.DUMMYFUNCTION("""COMPUTED_VALUE"""),45838.66482475694)</f>
        <v>45838.66482</v>
      </c>
      <c r="G4766" s="42" t="str">
        <f>IFERROR(__xludf.DUMMYFUNCTION("""COMPUTED_VALUE"""),"HIBAH")</f>
        <v>HIBAH</v>
      </c>
      <c r="H4766" s="42">
        <f t="shared" si="1"/>
        <v>2094</v>
      </c>
    </row>
    <row r="4767" ht="22.5" customHeight="1">
      <c r="B4767" s="42" t="str">
        <f>IFERROR(__xludf.DUMMYFUNCTION("""COMPUTED_VALUE"""),"K/35/050625/1")</f>
        <v>K/35/050625/1</v>
      </c>
      <c r="C4767" s="42" t="str">
        <f>IFERROR(__xludf.DUMMYFUNCTION("""COMPUTED_VALUE"""),"Nibel. M. 2883/ Keteguhan")</f>
        <v>Nibel. M. 2883/ Keteguhan</v>
      </c>
      <c r="D4767" s="42"/>
      <c r="E4767" s="42"/>
      <c r="F4767" s="48" t="str">
        <f>IFERROR(__xludf.DUMMYFUNCTION("""COMPUTED_VALUE"""),"")</f>
        <v/>
      </c>
      <c r="G4767" s="42" t="str">
        <f>IFERROR(__xludf.DUMMYFUNCTION("""COMPUTED_VALUE"""),"PTPGT (Pemisahan)")</f>
        <v>PTPGT (Pemisahan)</v>
      </c>
      <c r="H4767" s="42">
        <f t="shared" si="1"/>
        <v>2094</v>
      </c>
    </row>
    <row r="4768" ht="22.5" customHeight="1">
      <c r="B4768" s="42" t="str">
        <f>IFERROR(__xludf.DUMMYFUNCTION("""COMPUTED_VALUE"""),"K/38/050625/1")</f>
        <v>K/38/050625/1</v>
      </c>
      <c r="C4768" s="42" t="str">
        <f>IFERROR(__xludf.DUMMYFUNCTION("""COMPUTED_VALUE"""),"M. 3074/ Keteguhan")</f>
        <v>M. 3074/ Keteguhan</v>
      </c>
      <c r="D4768" s="42" t="str">
        <f>IFERROR(__xludf.DUMMYFUNCTION("""COMPUTED_VALUE"""),"Berry")</f>
        <v>Berry</v>
      </c>
      <c r="E4768" s="42" t="str">
        <f>IFERROR(__xludf.DUMMYFUNCTION("""COMPUTED_VALUE"""),"DISERAHKAN")</f>
        <v>DISERAHKAN</v>
      </c>
      <c r="F4768" s="48">
        <f>IFERROR(__xludf.DUMMYFUNCTION("""COMPUTED_VALUE"""),45825.50921289352)</f>
        <v>45825.50921</v>
      </c>
      <c r="G4768" s="42" t="str">
        <f>IFERROR(__xludf.DUMMYFUNCTION("""COMPUTED_VALUE"""),"BN JUAL BELI")</f>
        <v>BN JUAL BELI</v>
      </c>
      <c r="H4768" s="42">
        <f t="shared" si="1"/>
        <v>2095</v>
      </c>
    </row>
    <row r="4769" ht="22.5" customHeight="1">
      <c r="B4769" s="42" t="str">
        <f>IFERROR(__xludf.DUMMYFUNCTION("""COMPUTED_VALUE"""),"K/39/050625/1")</f>
        <v>K/39/050625/1</v>
      </c>
      <c r="C4769" s="42" t="str">
        <f>IFERROR(__xludf.DUMMYFUNCTION("""COMPUTED_VALUE"""),"M. 7772/SUKABUMI")</f>
        <v>M. 7772/SUKABUMI</v>
      </c>
      <c r="D4769" s="42"/>
      <c r="E4769" s="42"/>
      <c r="F4769" s="48" t="str">
        <f>IFERROR(__xludf.DUMMYFUNCTION("""COMPUTED_VALUE"""),"")</f>
        <v/>
      </c>
      <c r="G4769" s="42" t="str">
        <f>IFERROR(__xludf.DUMMYFUNCTION("""COMPUTED_VALUE"""),"PTPGT")</f>
        <v>PTPGT</v>
      </c>
      <c r="H4769" s="42">
        <f t="shared" si="1"/>
        <v>2095</v>
      </c>
    </row>
    <row r="4770" ht="22.5" customHeight="1">
      <c r="B4770" s="42" t="str">
        <f>IFERROR(__xludf.DUMMYFUNCTION("""COMPUTED_VALUE"""),"K/40/050625/1")</f>
        <v>K/40/050625/1</v>
      </c>
      <c r="C4770" s="42" t="str">
        <f>IFERROR(__xludf.DUMMYFUNCTION("""COMPUTED_VALUE"""),"Nibel. M. 2921/ Langkapura Baru")</f>
        <v>Nibel. M. 2921/ Langkapura Baru</v>
      </c>
      <c r="D4770" s="42"/>
      <c r="E4770" s="42"/>
      <c r="F4770" s="48" t="str">
        <f>IFERROR(__xludf.DUMMYFUNCTION("""COMPUTED_VALUE"""),"")</f>
        <v/>
      </c>
      <c r="G4770" s="42" t="str">
        <f>IFERROR(__xludf.DUMMYFUNCTION("""COMPUTED_VALUE"""),"BN Jual Beli")</f>
        <v>BN Jual Beli</v>
      </c>
      <c r="H4770" s="42">
        <f t="shared" si="1"/>
        <v>2095</v>
      </c>
    </row>
    <row r="4771" ht="22.5" customHeight="1">
      <c r="B4771" s="42" t="str">
        <f>IFERROR(__xludf.DUMMYFUNCTION("""COMPUTED_VALUE"""),"L/41/050625/1")</f>
        <v>L/41/050625/1</v>
      </c>
      <c r="C4771" s="42" t="str">
        <f>IFERROR(__xludf.DUMMYFUNCTION("""COMPUTED_VALUE"""),"NIB 19652/RAJABASA RAYA")</f>
        <v>NIB 19652/RAJABASA RAYA</v>
      </c>
      <c r="D4771" s="42"/>
      <c r="E4771" s="42"/>
      <c r="F4771" s="48" t="str">
        <f>IFERROR(__xludf.DUMMYFUNCTION("""COMPUTED_VALUE"""),"")</f>
        <v/>
      </c>
      <c r="G4771" s="42" t="str">
        <f>IFERROR(__xludf.DUMMYFUNCTION("""COMPUTED_VALUE"""),"PEMECAHAN")</f>
        <v>PEMECAHAN</v>
      </c>
      <c r="H4771" s="42">
        <f t="shared" si="1"/>
        <v>2095</v>
      </c>
    </row>
    <row r="4772" ht="22.5" customHeight="1">
      <c r="B4772" s="42" t="str">
        <f>IFERROR(__xludf.DUMMYFUNCTION("""COMPUTED_VALUE"""),"K/42/050625/1")</f>
        <v>K/42/050625/1</v>
      </c>
      <c r="C4772" s="42" t="str">
        <f>IFERROR(__xludf.DUMMYFUNCTION("""COMPUTED_VALUE"""),"M. 2638/ Pinang Jaya")</f>
        <v>M. 2638/ Pinang Jaya</v>
      </c>
      <c r="D4772" s="42" t="str">
        <f>IFERROR(__xludf.DUMMYFUNCTION("""COMPUTED_VALUE"""),"Berry")</f>
        <v>Berry</v>
      </c>
      <c r="E4772" s="42" t="str">
        <f>IFERROR(__xludf.DUMMYFUNCTION("""COMPUTED_VALUE"""),"DISERAHKAN")</f>
        <v>DISERAHKAN</v>
      </c>
      <c r="F4772" s="48">
        <f>IFERROR(__xludf.DUMMYFUNCTION("""COMPUTED_VALUE"""),45828.53563814815)</f>
        <v>45828.53564</v>
      </c>
      <c r="G4772" s="42" t="str">
        <f>IFERROR(__xludf.DUMMYFUNCTION("""COMPUTED_VALUE"""),"BN JUAL BELI")</f>
        <v>BN JUAL BELI</v>
      </c>
      <c r="H4772" s="42">
        <f t="shared" si="1"/>
        <v>2096</v>
      </c>
    </row>
    <row r="4773" ht="22.5" customHeight="1">
      <c r="B4773" s="42" t="str">
        <f>IFERROR(__xludf.DUMMYFUNCTION("""COMPUTED_VALUE"""),"K/43/050625/2")</f>
        <v>K/43/050625/2</v>
      </c>
      <c r="C4773" s="42" t="str">
        <f>IFERROR(__xludf.DUMMYFUNCTION("""COMPUTED_VALUE"""),"M. 2640/ Pinang Jaya")</f>
        <v>M. 2640/ Pinang Jaya</v>
      </c>
      <c r="D4773" s="42" t="str">
        <f>IFERROR(__xludf.DUMMYFUNCTION("""COMPUTED_VALUE"""),"David")</f>
        <v>David</v>
      </c>
      <c r="E4773" s="42" t="str">
        <f>IFERROR(__xludf.DUMMYFUNCTION("""COMPUTED_VALUE"""),"DISERAHKAN")</f>
        <v>DISERAHKAN</v>
      </c>
      <c r="F4773" s="48">
        <f>IFERROR(__xludf.DUMMYFUNCTION("""COMPUTED_VALUE"""),45839.6077165625)</f>
        <v>45839.60772</v>
      </c>
      <c r="G4773" s="42" t="str">
        <f>IFERROR(__xludf.DUMMYFUNCTION("""COMPUTED_VALUE"""),"BN JUAL BELI")</f>
        <v>BN JUAL BELI</v>
      </c>
      <c r="H4773" s="42">
        <f t="shared" si="1"/>
        <v>2097</v>
      </c>
    </row>
    <row r="4774" ht="22.5" customHeight="1">
      <c r="B4774" s="42" t="str">
        <f>IFERROR(__xludf.DUMMYFUNCTION("""COMPUTED_VALUE"""),"K/44/050625/3")</f>
        <v>K/44/050625/3</v>
      </c>
      <c r="C4774" s="42" t="str">
        <f>IFERROR(__xludf.DUMMYFUNCTION("""COMPUTED_VALUE"""),"B. 940/ Jagabaya III")</f>
        <v>B. 940/ Jagabaya III</v>
      </c>
      <c r="D4774" s="42"/>
      <c r="E4774" s="42"/>
      <c r="F4774" s="48" t="str">
        <f>IFERROR(__xludf.DUMMYFUNCTION("""COMPUTED_VALUE"""),"")</f>
        <v/>
      </c>
      <c r="G4774" s="42" t="str">
        <f>IFERROR(__xludf.DUMMYFUNCTION("""COMPUTED_VALUE"""),"PERUBAHAN HAK")</f>
        <v>PERUBAHAN HAK</v>
      </c>
      <c r="H4774" s="42">
        <f t="shared" si="1"/>
        <v>2097</v>
      </c>
    </row>
    <row r="4775" ht="22.5" customHeight="1">
      <c r="B4775" s="42" t="str">
        <f>IFERROR(__xludf.DUMMYFUNCTION("""COMPUTED_VALUE"""),"K/45/050625/1")</f>
        <v>K/45/050625/1</v>
      </c>
      <c r="C4775" s="42" t="str">
        <f>IFERROR(__xludf.DUMMYFUNCTION("""COMPUTED_VALUE"""),"M. 4618/GUNUNG TERANG")</f>
        <v>M. 4618/GUNUNG TERANG</v>
      </c>
      <c r="D4775" s="42" t="str">
        <f>IFERROR(__xludf.DUMMYFUNCTION("""COMPUTED_VALUE"""),"Berry")</f>
        <v>Berry</v>
      </c>
      <c r="E4775" s="42" t="str">
        <f>IFERROR(__xludf.DUMMYFUNCTION("""COMPUTED_VALUE"""),"DISERAHKAN")</f>
        <v>DISERAHKAN</v>
      </c>
      <c r="F4775" s="48">
        <f>IFERROR(__xludf.DUMMYFUNCTION("""COMPUTED_VALUE"""),45831.534033414355)</f>
        <v>45831.53403</v>
      </c>
      <c r="G4775" s="42" t="str">
        <f>IFERROR(__xludf.DUMMYFUNCTION("""COMPUTED_VALUE"""),"BN JUAL BELI")</f>
        <v>BN JUAL BELI</v>
      </c>
      <c r="H4775" s="42">
        <f t="shared" si="1"/>
        <v>2098</v>
      </c>
    </row>
    <row r="4776" ht="22.5" customHeight="1">
      <c r="B4776" s="42" t="str">
        <f>IFERROR(__xludf.DUMMYFUNCTION("""COMPUTED_VALUE"""),"K/46/050625/2")</f>
        <v>K/46/050625/2</v>
      </c>
      <c r="C4776" s="42" t="str">
        <f>IFERROR(__xludf.DUMMYFUNCTION("""COMPUTED_VALUE"""),"NIBEL M. 20210/PESAWAHAN")</f>
        <v>NIBEL M. 20210/PESAWAHAN</v>
      </c>
      <c r="D4776" s="42"/>
      <c r="E4776" s="42"/>
      <c r="F4776" s="48" t="str">
        <f>IFERROR(__xludf.DUMMYFUNCTION("""COMPUTED_VALUE"""),"")</f>
        <v/>
      </c>
      <c r="G4776" s="42" t="str">
        <f>IFERROR(__xludf.DUMMYFUNCTION("""COMPUTED_VALUE"""),"BN JUAL BELI")</f>
        <v>BN JUAL BELI</v>
      </c>
      <c r="H4776" s="42">
        <f t="shared" si="1"/>
        <v>2098</v>
      </c>
    </row>
    <row r="4777" ht="22.5" customHeight="1">
      <c r="B4777" s="42" t="str">
        <f>IFERROR(__xludf.DUMMYFUNCTION("""COMPUTED_VALUE"""),"L/47/050625/1")</f>
        <v>L/47/050625/1</v>
      </c>
      <c r="C4777" s="42" t="str">
        <f>IFERROR(__xludf.DUMMYFUNCTION("""COMPUTED_VALUE"""),"LABUHAN DALAM")</f>
        <v>LABUHAN DALAM</v>
      </c>
      <c r="D4777" s="42"/>
      <c r="E4777" s="42"/>
      <c r="F4777" s="48" t="str">
        <f>IFERROR(__xludf.DUMMYFUNCTION("""COMPUTED_VALUE"""),"")</f>
        <v/>
      </c>
      <c r="G4777" s="42" t="str">
        <f>IFERROR(__xludf.DUMMYFUNCTION("""COMPUTED_VALUE"""),"PERTAMA KALI")</f>
        <v>PERTAMA KALI</v>
      </c>
      <c r="H4777" s="42">
        <f t="shared" si="1"/>
        <v>2098</v>
      </c>
    </row>
    <row r="4778" ht="22.5" customHeight="1">
      <c r="B4778" s="42" t="str">
        <f>IFERROR(__xludf.DUMMYFUNCTION("""COMPUTED_VALUE"""),"K/49/050625/1")</f>
        <v>K/49/050625/1</v>
      </c>
      <c r="C4778" s="42" t="str">
        <f>IFERROR(__xludf.DUMMYFUNCTION("""COMPUTED_VALUE"""),"M. 16463/ Sukabumi")</f>
        <v>M. 16463/ Sukabumi</v>
      </c>
      <c r="D4778" s="42" t="str">
        <f>IFERROR(__xludf.DUMMYFUNCTION("""COMPUTED_VALUE"""),"Berry")</f>
        <v>Berry</v>
      </c>
      <c r="E4778" s="42" t="str">
        <f>IFERROR(__xludf.DUMMYFUNCTION("""COMPUTED_VALUE"""),"DISERAHKAN")</f>
        <v>DISERAHKAN</v>
      </c>
      <c r="F4778" s="48">
        <f>IFERROR(__xludf.DUMMYFUNCTION("""COMPUTED_VALUE"""),45824.522527685185)</f>
        <v>45824.52253</v>
      </c>
      <c r="G4778" s="42" t="str">
        <f>IFERROR(__xludf.DUMMYFUNCTION("""COMPUTED_VALUE"""),"BN Jual Beli")</f>
        <v>BN Jual Beli</v>
      </c>
      <c r="H4778" s="42">
        <f t="shared" si="1"/>
        <v>2099</v>
      </c>
    </row>
    <row r="4779" ht="22.5" customHeight="1">
      <c r="B4779" s="42" t="str">
        <f>IFERROR(__xludf.DUMMYFUNCTION("""COMPUTED_VALUE"""),"L/50/050625/1")</f>
        <v>L/50/050625/1</v>
      </c>
      <c r="C4779" s="42" t="str">
        <f>IFERROR(__xludf.DUMMYFUNCTION("""COMPUTED_VALUE"""),"NIB 2858/SUKABUMI")</f>
        <v>NIB 2858/SUKABUMI</v>
      </c>
      <c r="D4779" s="42"/>
      <c r="E4779" s="42"/>
      <c r="F4779" s="48" t="str">
        <f>IFERROR(__xludf.DUMMYFUNCTION("""COMPUTED_VALUE"""),"")</f>
        <v/>
      </c>
      <c r="G4779" s="42" t="str">
        <f>IFERROR(__xludf.DUMMYFUNCTION("""COMPUTED_VALUE"""),"PH")</f>
        <v>PH</v>
      </c>
      <c r="H4779" s="42">
        <f t="shared" si="1"/>
        <v>2099</v>
      </c>
    </row>
    <row r="4780" ht="22.5" customHeight="1">
      <c r="B4780" s="42" t="str">
        <f>IFERROR(__xludf.DUMMYFUNCTION("""COMPUTED_VALUE"""),"K/48/050625/2")</f>
        <v>K/48/050625/2</v>
      </c>
      <c r="C4780" s="42" t="str">
        <f>IFERROR(__xludf.DUMMYFUNCTION("""COMPUTED_VALUE"""),"M. 6896/TANJUNG SENANG")</f>
        <v>M. 6896/TANJUNG SENANG</v>
      </c>
      <c r="D4780" s="42" t="str">
        <f>IFERROR(__xludf.DUMMYFUNCTION("""COMPUTED_VALUE"""),"Berry")</f>
        <v>Berry</v>
      </c>
      <c r="E4780" s="42" t="str">
        <f>IFERROR(__xludf.DUMMYFUNCTION("""COMPUTED_VALUE"""),"DISERAHKAN")</f>
        <v>DISERAHKAN</v>
      </c>
      <c r="F4780" s="48">
        <f>IFERROR(__xludf.DUMMYFUNCTION("""COMPUTED_VALUE"""),45831.53903533565)</f>
        <v>45831.53904</v>
      </c>
      <c r="G4780" s="42" t="str">
        <f>IFERROR(__xludf.DUMMYFUNCTION("""COMPUTED_VALUE"""),"BN JUAL BELI")</f>
        <v>BN JUAL BELI</v>
      </c>
      <c r="H4780" s="42">
        <f t="shared" si="1"/>
        <v>2100</v>
      </c>
    </row>
    <row r="4781" ht="22.5" customHeight="1">
      <c r="B4781" s="42" t="str">
        <f>IFERROR(__xludf.DUMMYFUNCTION("""COMPUTED_VALUE"""),"K/51/050625/1")</f>
        <v>K/51/050625/1</v>
      </c>
      <c r="C4781" s="42" t="str">
        <f>IFERROR(__xludf.DUMMYFUNCTION("""COMPUTED_VALUE"""),"B. 610/SUMBER AGUNG")</f>
        <v>B. 610/SUMBER AGUNG</v>
      </c>
      <c r="D4781" s="42" t="str">
        <f>IFERROR(__xludf.DUMMYFUNCTION("""COMPUTED_VALUE"""),"Berry")</f>
        <v>Berry</v>
      </c>
      <c r="E4781" s="42" t="str">
        <f>IFERROR(__xludf.DUMMYFUNCTION("""COMPUTED_VALUE"""),"DISERAHKAN")</f>
        <v>DISERAHKAN</v>
      </c>
      <c r="F4781" s="48">
        <f>IFERROR(__xludf.DUMMYFUNCTION("""COMPUTED_VALUE"""),45838.685220011575)</f>
        <v>45838.68522</v>
      </c>
      <c r="G4781" s="42" t="str">
        <f>IFERROR(__xludf.DUMMYFUNCTION("""COMPUTED_VALUE"""),"BN JUAL BELI")</f>
        <v>BN JUAL BELI</v>
      </c>
      <c r="H4781" s="42">
        <f t="shared" si="1"/>
        <v>2101</v>
      </c>
    </row>
    <row r="4782" ht="22.5" customHeight="1">
      <c r="B4782" s="42" t="str">
        <f>IFERROR(__xludf.DUMMYFUNCTION("""COMPUTED_VALUE"""),"K/52/050625/2")</f>
        <v>K/52/050625/2</v>
      </c>
      <c r="C4782" s="42" t="str">
        <f>IFERROR(__xludf.DUMMYFUNCTION("""COMPUTED_VALUE"""),"M. 1147/PELITA")</f>
        <v>M. 1147/PELITA</v>
      </c>
      <c r="D4782" s="42" t="str">
        <f>IFERROR(__xludf.DUMMYFUNCTION("""COMPUTED_VALUE"""),"Berry")</f>
        <v>Berry</v>
      </c>
      <c r="E4782" s="42" t="str">
        <f>IFERROR(__xludf.DUMMYFUNCTION("""COMPUTED_VALUE"""),"DISERAHKAN")</f>
        <v>DISERAHKAN</v>
      </c>
      <c r="F4782" s="48">
        <f>IFERROR(__xludf.DUMMYFUNCTION("""COMPUTED_VALUE"""),45824.506067685186)</f>
        <v>45824.50607</v>
      </c>
      <c r="G4782" s="42" t="str">
        <f>IFERROR(__xludf.DUMMYFUNCTION("""COMPUTED_VALUE"""),"BN JUAL BELI")</f>
        <v>BN JUAL BELI</v>
      </c>
      <c r="H4782" s="42">
        <f t="shared" si="1"/>
        <v>2102</v>
      </c>
    </row>
    <row r="4783" ht="22.5" customHeight="1">
      <c r="B4783" s="42" t="str">
        <f>IFERROR(__xludf.DUMMYFUNCTION("""COMPUTED_VALUE"""),"K/54/050625/1")</f>
        <v>K/54/050625/1</v>
      </c>
      <c r="C4783" s="42" t="str">
        <f>IFERROR(__xludf.DUMMYFUNCTION("""COMPUTED_VALUE"""),"M. 2415/ Campang Raya")</f>
        <v>M. 2415/ Campang Raya</v>
      </c>
      <c r="D4783" s="42"/>
      <c r="E4783" s="42"/>
      <c r="F4783" s="48" t="str">
        <f>IFERROR(__xludf.DUMMYFUNCTION("""COMPUTED_VALUE"""),"")</f>
        <v/>
      </c>
      <c r="G4783" s="42" t="str">
        <f>IFERROR(__xludf.DUMMYFUNCTION("""COMPUTED_VALUE"""),"BLOKIR")</f>
        <v>BLOKIR</v>
      </c>
      <c r="H4783" s="42">
        <f t="shared" si="1"/>
        <v>2102</v>
      </c>
    </row>
    <row r="4784" ht="22.5" customHeight="1">
      <c r="B4784" s="42" t="str">
        <f>IFERROR(__xludf.DUMMYFUNCTION("""COMPUTED_VALUE"""),"K/53/050625/3")</f>
        <v>K/53/050625/3</v>
      </c>
      <c r="C4784" s="42" t="str">
        <f>IFERROR(__xludf.DUMMYFUNCTION("""COMPUTED_VALUE"""),"B.626/SUMBER AGUNG")</f>
        <v>B.626/SUMBER AGUNG</v>
      </c>
      <c r="D4784" s="42" t="str">
        <f>IFERROR(__xludf.DUMMYFUNCTION("""COMPUTED_VALUE"""),"Berry")</f>
        <v>Berry</v>
      </c>
      <c r="E4784" s="42" t="str">
        <f>IFERROR(__xludf.DUMMYFUNCTION("""COMPUTED_VALUE"""),"DISERAHKAN")</f>
        <v>DISERAHKAN</v>
      </c>
      <c r="F4784" s="48">
        <f>IFERROR(__xludf.DUMMYFUNCTION("""COMPUTED_VALUE"""),45838.6708521875)</f>
        <v>45838.67085</v>
      </c>
      <c r="G4784" s="42" t="str">
        <f>IFERROR(__xludf.DUMMYFUNCTION("""COMPUTED_VALUE"""),"BN JUAL BELI")</f>
        <v>BN JUAL BELI</v>
      </c>
      <c r="H4784" s="42">
        <f t="shared" si="1"/>
        <v>2103</v>
      </c>
    </row>
    <row r="4785" ht="22.5" customHeight="1">
      <c r="B4785" s="42" t="str">
        <f>IFERROR(__xludf.DUMMYFUNCTION("""COMPUTED_VALUE"""),"L/56/050625/1")</f>
        <v>L/56/050625/1</v>
      </c>
      <c r="C4785" s="42" t="str">
        <f>IFERROR(__xludf.DUMMYFUNCTION("""COMPUTED_VALUE"""),"HGB 1560/SUKABUMI")</f>
        <v>HGB 1560/SUKABUMI</v>
      </c>
      <c r="D4785" s="42"/>
      <c r="E4785" s="42"/>
      <c r="F4785" s="48" t="str">
        <f>IFERROR(__xludf.DUMMYFUNCTION("""COMPUTED_VALUE"""),"")</f>
        <v/>
      </c>
      <c r="G4785" s="42" t="str">
        <f>IFERROR(__xludf.DUMMYFUNCTION("""COMPUTED_VALUE"""),"PH")</f>
        <v>PH</v>
      </c>
      <c r="H4785" s="42">
        <f t="shared" si="1"/>
        <v>2103</v>
      </c>
    </row>
    <row r="4786" ht="22.5" customHeight="1">
      <c r="B4786" s="42" t="str">
        <f>IFERROR(__xludf.DUMMYFUNCTION("""COMPUTED_VALUE"""),"K/55/050625/2")</f>
        <v>K/55/050625/2</v>
      </c>
      <c r="C4786" s="42" t="str">
        <f>IFERROR(__xludf.DUMMYFUNCTION("""COMPUTED_VALUE"""),"M. 1015/ Campang Raya")</f>
        <v>M. 1015/ Campang Raya</v>
      </c>
      <c r="D4786" s="42"/>
      <c r="E4786" s="42"/>
      <c r="F4786" s="48" t="str">
        <f>IFERROR(__xludf.DUMMYFUNCTION("""COMPUTED_VALUE"""),"")</f>
        <v/>
      </c>
      <c r="G4786" s="42" t="str">
        <f>IFERROR(__xludf.DUMMYFUNCTION("""COMPUTED_VALUE"""),"BLOKIR")</f>
        <v>BLOKIR</v>
      </c>
      <c r="H4786" s="42">
        <f t="shared" si="1"/>
        <v>2103</v>
      </c>
    </row>
    <row r="4787" ht="22.5" customHeight="1">
      <c r="B4787" s="42" t="str">
        <f>IFERROR(__xludf.DUMMYFUNCTION("""COMPUTED_VALUE"""),"K/57/050625/1")</f>
        <v>K/57/050625/1</v>
      </c>
      <c r="C4787" s="42" t="str">
        <f>IFERROR(__xludf.DUMMYFUNCTION("""COMPUTED_VALUE"""),"M. 3408/TANJUNG SENANG")</f>
        <v>M. 3408/TANJUNG SENANG</v>
      </c>
      <c r="D4787" s="42" t="str">
        <f>IFERROR(__xludf.DUMMYFUNCTION("""COMPUTED_VALUE"""),"Berry")</f>
        <v>Berry</v>
      </c>
      <c r="E4787" s="42" t="str">
        <f>IFERROR(__xludf.DUMMYFUNCTION("""COMPUTED_VALUE"""),"DISERAHKAN")</f>
        <v>DISERAHKAN</v>
      </c>
      <c r="F4787" s="48">
        <f>IFERROR(__xludf.DUMMYFUNCTION("""COMPUTED_VALUE"""),45845.71147087963)</f>
        <v>45845.71147</v>
      </c>
      <c r="G4787" s="42" t="str">
        <f>IFERROR(__xludf.DUMMYFUNCTION("""COMPUTED_VALUE"""),"BN JUAL BELI")</f>
        <v>BN JUAL BELI</v>
      </c>
      <c r="H4787" s="42">
        <f t="shared" si="1"/>
        <v>2104</v>
      </c>
    </row>
    <row r="4788" ht="22.5" customHeight="1">
      <c r="B4788" s="42" t="str">
        <f>IFERROR(__xludf.DUMMYFUNCTION("""COMPUTED_VALUE"""),"K/58/050625/1")</f>
        <v>K/58/050625/1</v>
      </c>
      <c r="C4788" s="42" t="str">
        <f>IFERROR(__xludf.DUMMYFUNCTION("""COMPUTED_VALUE"""),"M. 45/ Kebon Jeruk")</f>
        <v>M. 45/ Kebon Jeruk</v>
      </c>
      <c r="D4788" s="42"/>
      <c r="E4788" s="42"/>
      <c r="F4788" s="48" t="str">
        <f>IFERROR(__xludf.DUMMYFUNCTION("""COMPUTED_VALUE"""),"")</f>
        <v/>
      </c>
      <c r="G4788" s="42" t="str">
        <f>IFERROR(__xludf.DUMMYFUNCTION("""COMPUTED_VALUE"""),"BLOKIR")</f>
        <v>BLOKIR</v>
      </c>
      <c r="H4788" s="42">
        <f t="shared" si="1"/>
        <v>2104</v>
      </c>
    </row>
    <row r="4789" ht="22.5" customHeight="1">
      <c r="B4789" s="42" t="str">
        <f>IFERROR(__xludf.DUMMYFUNCTION("""COMPUTED_VALUE"""),"K/59/050625/2")</f>
        <v>K/59/050625/2</v>
      </c>
      <c r="C4789" s="42" t="str">
        <f>IFERROR(__xludf.DUMMYFUNCTION("""COMPUTED_VALUE"""),"M. 1253/ Rawa Laut")</f>
        <v>M. 1253/ Rawa Laut</v>
      </c>
      <c r="D4789" s="42"/>
      <c r="E4789" s="42"/>
      <c r="F4789" s="48" t="str">
        <f>IFERROR(__xludf.DUMMYFUNCTION("""COMPUTED_VALUE"""),"")</f>
        <v/>
      </c>
      <c r="G4789" s="42" t="str">
        <f>IFERROR(__xludf.DUMMYFUNCTION("""COMPUTED_VALUE"""),"BLOKIR")</f>
        <v>BLOKIR</v>
      </c>
      <c r="H4789" s="42">
        <f t="shared" si="1"/>
        <v>2104</v>
      </c>
    </row>
    <row r="4790" ht="22.5" customHeight="1">
      <c r="B4790" s="42" t="str">
        <f>IFERROR(__xludf.DUMMYFUNCTION("""COMPUTED_VALUE"""),"K/62/050625/1")</f>
        <v>K/62/050625/1</v>
      </c>
      <c r="C4790" s="42" t="str">
        <f>IFERROR(__xludf.DUMMYFUNCTION("""COMPUTED_VALUE"""),"M. 5491/ Rajabasa Jaya")</f>
        <v>M. 5491/ Rajabasa Jaya</v>
      </c>
      <c r="D4790" s="42"/>
      <c r="E4790" s="42"/>
      <c r="F4790" s="48" t="str">
        <f>IFERROR(__xludf.DUMMYFUNCTION("""COMPUTED_VALUE"""),"")</f>
        <v/>
      </c>
      <c r="G4790" s="42" t="str">
        <f>IFERROR(__xludf.DUMMYFUNCTION("""COMPUTED_VALUE"""),"BN Jual Beli")</f>
        <v>BN Jual Beli</v>
      </c>
      <c r="H4790" s="42">
        <f t="shared" si="1"/>
        <v>2104</v>
      </c>
    </row>
    <row r="4791" ht="22.5" customHeight="1">
      <c r="B4791" s="42" t="str">
        <f>IFERROR(__xludf.DUMMYFUNCTION("""COMPUTED_VALUE"""),"K/61/050625/1")</f>
        <v>K/61/050625/1</v>
      </c>
      <c r="C4791" s="42" t="str">
        <f>IFERROR(__xludf.DUMMYFUNCTION("""COMPUTED_VALUE"""),"Nibel. B. 438/ Kemiling Permai")</f>
        <v>Nibel. B. 438/ Kemiling Permai</v>
      </c>
      <c r="D4791" s="42"/>
      <c r="E4791" s="42"/>
      <c r="F4791" s="48" t="str">
        <f>IFERROR(__xludf.DUMMYFUNCTION("""COMPUTED_VALUE"""),"")</f>
        <v/>
      </c>
      <c r="G4791" s="42" t="str">
        <f>IFERROR(__xludf.DUMMYFUNCTION("""COMPUTED_VALUE"""),"BN Jual Beli")</f>
        <v>BN Jual Beli</v>
      </c>
      <c r="H4791" s="42">
        <f t="shared" si="1"/>
        <v>2104</v>
      </c>
    </row>
    <row r="4792" ht="22.5" customHeight="1">
      <c r="B4792" s="42" t="str">
        <f>IFERROR(__xludf.DUMMYFUNCTION("""COMPUTED_VALUE"""),"K/63/050625/1")</f>
        <v>K/63/050625/1</v>
      </c>
      <c r="C4792" s="42" t="str">
        <f>IFERROR(__xludf.DUMMYFUNCTION("""COMPUTED_VALUE"""),"M. 3077/ Keteguhan")</f>
        <v>M. 3077/ Keteguhan</v>
      </c>
      <c r="D4792" s="42"/>
      <c r="E4792" s="42"/>
      <c r="F4792" s="48" t="str">
        <f>IFERROR(__xludf.DUMMYFUNCTION("""COMPUTED_VALUE"""),"")</f>
        <v/>
      </c>
      <c r="G4792" s="42" t="str">
        <f>IFERROR(__xludf.DUMMYFUNCTION("""COMPUTED_VALUE"""),"HAPUS BPHTB")</f>
        <v>HAPUS BPHTB</v>
      </c>
      <c r="H4792" s="42">
        <f t="shared" si="1"/>
        <v>2104</v>
      </c>
    </row>
    <row r="4793" ht="22.5" customHeight="1">
      <c r="B4793" s="42" t="str">
        <f>IFERROR(__xludf.DUMMYFUNCTION("""COMPUTED_VALUE"""),"K/60/050625/1")</f>
        <v>K/60/050625/1</v>
      </c>
      <c r="C4793" s="42" t="str">
        <f>IFERROR(__xludf.DUMMYFUNCTION("""COMPUTED_VALUE"""),"M. 586/ Korpri Raya")</f>
        <v>M. 586/ Korpri Raya</v>
      </c>
      <c r="D4793" s="42" t="str">
        <f>IFERROR(__xludf.DUMMYFUNCTION("""COMPUTED_VALUE"""),"Berry")</f>
        <v>Berry</v>
      </c>
      <c r="E4793" s="42" t="str">
        <f>IFERROR(__xludf.DUMMYFUNCTION("""COMPUTED_VALUE"""),"DISERAHKAN")</f>
        <v>DISERAHKAN</v>
      </c>
      <c r="F4793" s="48">
        <f>IFERROR(__xludf.DUMMYFUNCTION("""COMPUTED_VALUE"""),45860.66879094907)</f>
        <v>45860.66879</v>
      </c>
      <c r="G4793" s="42" t="str">
        <f>IFERROR(__xludf.DUMMYFUNCTION("""COMPUTED_VALUE"""),"BN Jual Beli")</f>
        <v>BN Jual Beli</v>
      </c>
      <c r="H4793" s="42">
        <f t="shared" si="1"/>
        <v>2105</v>
      </c>
    </row>
    <row r="4794" ht="22.5" customHeight="1">
      <c r="B4794" s="42" t="str">
        <f>IFERROR(__xludf.DUMMYFUNCTION("""COMPUTED_VALUE"""),"K/64/050625/1")</f>
        <v>K/64/050625/1</v>
      </c>
      <c r="C4794" s="42" t="str">
        <f>IFERROR(__xludf.DUMMYFUNCTION("""COMPUTED_VALUE"""),"M. 4546/ Way Kandis")</f>
        <v>M. 4546/ Way Kandis</v>
      </c>
      <c r="D4794" s="42"/>
      <c r="E4794" s="42"/>
      <c r="F4794" s="48" t="str">
        <f>IFERROR(__xludf.DUMMYFUNCTION("""COMPUTED_VALUE"""),"")</f>
        <v/>
      </c>
      <c r="G4794" s="42" t="str">
        <f>IFERROR(__xludf.DUMMYFUNCTION("""COMPUTED_VALUE"""),"Hapus BPHTB")</f>
        <v>Hapus BPHTB</v>
      </c>
      <c r="H4794" s="42">
        <f t="shared" si="1"/>
        <v>2105</v>
      </c>
    </row>
    <row r="4795" ht="22.5" customHeight="1">
      <c r="B4795" s="42" t="str">
        <f>IFERROR(__xludf.DUMMYFUNCTION("""COMPUTED_VALUE"""),"K/65/050625/1")</f>
        <v>K/65/050625/1</v>
      </c>
      <c r="C4795" s="42" t="str">
        <f>IFERROR(__xludf.DUMMYFUNCTION("""COMPUTED_VALUE"""),"M. 742/ Durian Payung")</f>
        <v>M. 742/ Durian Payung</v>
      </c>
      <c r="D4795" s="42"/>
      <c r="E4795" s="42"/>
      <c r="F4795" s="48" t="str">
        <f>IFERROR(__xludf.DUMMYFUNCTION("""COMPUTED_VALUE"""),"")</f>
        <v/>
      </c>
      <c r="G4795" s="42" t="str">
        <f>IFERROR(__xludf.DUMMYFUNCTION("""COMPUTED_VALUE"""),"SKPT LELANG")</f>
        <v>SKPT LELANG</v>
      </c>
      <c r="H4795" s="42">
        <f t="shared" si="1"/>
        <v>2105</v>
      </c>
    </row>
    <row r="4796" ht="22.5" customHeight="1">
      <c r="B4796" s="42" t="str">
        <f>IFERROR(__xludf.DUMMYFUNCTION("""COMPUTED_VALUE"""),"K/66/050625/2")</f>
        <v>K/66/050625/2</v>
      </c>
      <c r="C4796" s="42" t="str">
        <f>IFERROR(__xludf.DUMMYFUNCTION("""COMPUTED_VALUE"""),"M. 08/ Palapa")</f>
        <v>M. 08/ Palapa</v>
      </c>
      <c r="D4796" s="42"/>
      <c r="E4796" s="42"/>
      <c r="F4796" s="48" t="str">
        <f>IFERROR(__xludf.DUMMYFUNCTION("""COMPUTED_VALUE"""),"")</f>
        <v/>
      </c>
      <c r="G4796" s="42" t="str">
        <f>IFERROR(__xludf.DUMMYFUNCTION("""COMPUTED_VALUE"""),"SKPT LELANG")</f>
        <v>SKPT LELANG</v>
      </c>
      <c r="H4796" s="42">
        <f t="shared" si="1"/>
        <v>2105</v>
      </c>
    </row>
    <row r="4797" ht="22.5" customHeight="1">
      <c r="B4797" s="42" t="str">
        <f>IFERROR(__xludf.DUMMYFUNCTION("""COMPUTED_VALUE"""),"K/1/100625/1")</f>
        <v>K/1/100625/1</v>
      </c>
      <c r="C4797" s="42" t="str">
        <f>IFERROR(__xludf.DUMMYFUNCTION("""COMPUTED_VALUE"""),"M. 1926/ Campang Raya")</f>
        <v>M. 1926/ Campang Raya</v>
      </c>
      <c r="D4797" s="42" t="str">
        <f>IFERROR(__xludf.DUMMYFUNCTION("""COMPUTED_VALUE"""),"David")</f>
        <v>David</v>
      </c>
      <c r="E4797" s="42" t="str">
        <f>IFERROR(__xludf.DUMMYFUNCTION("""COMPUTED_VALUE"""),"DISERAHKAN")</f>
        <v>DISERAHKAN</v>
      </c>
      <c r="F4797" s="48">
        <f>IFERROR(__xludf.DUMMYFUNCTION("""COMPUTED_VALUE"""),45846.671874004634)</f>
        <v>45846.67187</v>
      </c>
      <c r="G4797" s="42" t="str">
        <f>IFERROR(__xludf.DUMMYFUNCTION("""COMPUTED_VALUE"""),"Roya")</f>
        <v>Roya</v>
      </c>
      <c r="H4797" s="42">
        <f t="shared" si="1"/>
        <v>2106</v>
      </c>
    </row>
    <row r="4798" ht="22.5" customHeight="1">
      <c r="B4798" s="42" t="str">
        <f>IFERROR(__xludf.DUMMYFUNCTION("""COMPUTED_VALUE"""),"L/2/100625/1")</f>
        <v>L/2/100625/1</v>
      </c>
      <c r="C4798" s="42" t="str">
        <f>IFERROR(__xludf.DUMMYFUNCTION("""COMPUTED_VALUE"""),"HM 9731/SIDODADI")</f>
        <v>HM 9731/SIDODADI</v>
      </c>
      <c r="D4798" s="42"/>
      <c r="E4798" s="42"/>
      <c r="F4798" s="48" t="str">
        <f>IFERROR(__xludf.DUMMYFUNCTION("""COMPUTED_VALUE"""),"")</f>
        <v/>
      </c>
      <c r="G4798" s="42" t="str">
        <f>IFERROR(__xludf.DUMMYFUNCTION("""COMPUTED_VALUE"""),"BN WARIS")</f>
        <v>BN WARIS</v>
      </c>
      <c r="H4798" s="42">
        <f t="shared" si="1"/>
        <v>2106</v>
      </c>
    </row>
    <row r="4799" ht="22.5" customHeight="1">
      <c r="B4799" s="42" t="str">
        <f>IFERROR(__xludf.DUMMYFUNCTION("""COMPUTED_VALUE"""),"L/3/100625/1")</f>
        <v>L/3/100625/1</v>
      </c>
      <c r="C4799" s="42" t="str">
        <f>IFERROR(__xludf.DUMMYFUNCTION("""COMPUTED_VALUE"""),"HM 1373/SUKABUMI INDAH")</f>
        <v>HM 1373/SUKABUMI INDAH</v>
      </c>
      <c r="D4799" s="42" t="str">
        <f>IFERROR(__xludf.DUMMYFUNCTION("""COMPUTED_VALUE"""),"David")</f>
        <v>David</v>
      </c>
      <c r="E4799" s="42" t="str">
        <f>IFERROR(__xludf.DUMMYFUNCTION("""COMPUTED_VALUE"""),"DISERAHKAN")</f>
        <v>DISERAHKAN</v>
      </c>
      <c r="F4799" s="48">
        <f>IFERROR(__xludf.DUMMYFUNCTION("""COMPUTED_VALUE"""),45839.431820763886)</f>
        <v>45839.43182</v>
      </c>
      <c r="G4799" s="42" t="str">
        <f>IFERROR(__xludf.DUMMYFUNCTION("""COMPUTED_VALUE"""),"ROYA")</f>
        <v>ROYA</v>
      </c>
      <c r="H4799" s="42">
        <f t="shared" si="1"/>
        <v>2107</v>
      </c>
    </row>
    <row r="4800" ht="22.5" customHeight="1">
      <c r="B4800" s="42" t="str">
        <f>IFERROR(__xludf.DUMMYFUNCTION("""COMPUTED_VALUE"""),"K/4/100625/1")</f>
        <v>K/4/100625/1</v>
      </c>
      <c r="C4800" s="42" t="str">
        <f>IFERROR(__xludf.DUMMYFUNCTION("""COMPUTED_VALUE"""),"M. 1150/ Sumberrejo sejahtera")</f>
        <v>M. 1150/ Sumberrejo sejahtera</v>
      </c>
      <c r="D4800" s="42" t="str">
        <f>IFERROR(__xludf.DUMMYFUNCTION("""COMPUTED_VALUE"""),"Berry")</f>
        <v>Berry</v>
      </c>
      <c r="E4800" s="42" t="str">
        <f>IFERROR(__xludf.DUMMYFUNCTION("""COMPUTED_VALUE"""),"DISERAHKAN")</f>
        <v>DISERAHKAN</v>
      </c>
      <c r="F4800" s="48">
        <f>IFERROR(__xludf.DUMMYFUNCTION("""COMPUTED_VALUE"""),45828.53066241898)</f>
        <v>45828.53066</v>
      </c>
      <c r="G4800" s="42" t="str">
        <f>IFERROR(__xludf.DUMMYFUNCTION("""COMPUTED_VALUE"""),"BN JUAL BELI")</f>
        <v>BN JUAL BELI</v>
      </c>
      <c r="H4800" s="42">
        <f t="shared" si="1"/>
        <v>2108</v>
      </c>
    </row>
    <row r="4801" ht="22.5" customHeight="1">
      <c r="B4801" s="42" t="str">
        <f>IFERROR(__xludf.DUMMYFUNCTION("""COMPUTED_VALUE"""),"L/5/100625/1")</f>
        <v>L/5/100625/1</v>
      </c>
      <c r="C4801" s="42" t="str">
        <f>IFERROR(__xludf.DUMMYFUNCTION("""COMPUTED_VALUE"""),"HM 4755/WAY KANDIS")</f>
        <v>HM 4755/WAY KANDIS</v>
      </c>
      <c r="D4801" s="42"/>
      <c r="E4801" s="42"/>
      <c r="F4801" s="48" t="str">
        <f>IFERROR(__xludf.DUMMYFUNCTION("""COMPUTED_VALUE"""),"")</f>
        <v/>
      </c>
      <c r="G4801" s="42" t="str">
        <f>IFERROR(__xludf.DUMMYFUNCTION("""COMPUTED_VALUE"""),"PENGHAPUSAN BPHTB")</f>
        <v>PENGHAPUSAN BPHTB</v>
      </c>
      <c r="H4801" s="42">
        <f t="shared" si="1"/>
        <v>2108</v>
      </c>
    </row>
    <row r="4802" ht="22.5" customHeight="1">
      <c r="B4802" s="42" t="str">
        <f>IFERROR(__xludf.DUMMYFUNCTION("""COMPUTED_VALUE"""),"K/6/100625/1")</f>
        <v>K/6/100625/1</v>
      </c>
      <c r="C4802" s="42" t="str">
        <f>IFERROR(__xludf.DUMMYFUNCTION("""COMPUTED_VALUE"""),"B.686/WAY HALIM PERMAI")</f>
        <v>B.686/WAY HALIM PERMAI</v>
      </c>
      <c r="D4802" s="42"/>
      <c r="E4802" s="42"/>
      <c r="F4802" s="48" t="str">
        <f>IFERROR(__xludf.DUMMYFUNCTION("""COMPUTED_VALUE"""),"")</f>
        <v/>
      </c>
      <c r="G4802" s="42" t="str">
        <f>IFERROR(__xludf.DUMMYFUNCTION("""COMPUTED_VALUE"""),"SERTIPIKAT HILANG")</f>
        <v>SERTIPIKAT HILANG</v>
      </c>
      <c r="H4802" s="42">
        <f t="shared" si="1"/>
        <v>2108</v>
      </c>
    </row>
    <row r="4803" ht="22.5" customHeight="1">
      <c r="B4803" s="42" t="str">
        <f>IFERROR(__xludf.DUMMYFUNCTION("""COMPUTED_VALUE"""),"K/7/100625/1")</f>
        <v>K/7/100625/1</v>
      </c>
      <c r="C4803" s="42" t="str">
        <f>IFERROR(__xludf.DUMMYFUNCTION("""COMPUTED_VALUE"""),"M.9460/TANJUNG BARU")</f>
        <v>M.9460/TANJUNG BARU</v>
      </c>
      <c r="D4803" s="42" t="str">
        <f>IFERROR(__xludf.DUMMYFUNCTION("""COMPUTED_VALUE"""),"Berry")</f>
        <v>Berry</v>
      </c>
      <c r="E4803" s="42" t="str">
        <f>IFERROR(__xludf.DUMMYFUNCTION("""COMPUTED_VALUE"""),"DISERAHKAN")</f>
        <v>DISERAHKAN</v>
      </c>
      <c r="F4803" s="48">
        <f>IFERROR(__xludf.DUMMYFUNCTION("""COMPUTED_VALUE"""),45841.52554731481)</f>
        <v>45841.52555</v>
      </c>
      <c r="G4803" s="42" t="str">
        <f>IFERROR(__xludf.DUMMYFUNCTION("""COMPUTED_VALUE"""),"BN WARIS")</f>
        <v>BN WARIS</v>
      </c>
      <c r="H4803" s="42">
        <f t="shared" si="1"/>
        <v>2109</v>
      </c>
    </row>
    <row r="4804" ht="22.5" customHeight="1">
      <c r="B4804" s="42" t="str">
        <f>IFERROR(__xludf.DUMMYFUNCTION("""COMPUTED_VALUE"""),"L/8/100625/1")</f>
        <v>L/8/100625/1</v>
      </c>
      <c r="C4804" s="42" t="str">
        <f>IFERROR(__xludf.DUMMYFUNCTION("""COMPUTED_VALUE"""),"HGB 1382/TANJUNG SENANG")</f>
        <v>HGB 1382/TANJUNG SENANG</v>
      </c>
      <c r="D4804" s="42" t="str">
        <f>IFERROR(__xludf.DUMMYFUNCTION("""COMPUTED_VALUE"""),"David")</f>
        <v>David</v>
      </c>
      <c r="E4804" s="42" t="str">
        <f>IFERROR(__xludf.DUMMYFUNCTION("""COMPUTED_VALUE"""),"DISERAHKAN")</f>
        <v>DISERAHKAN</v>
      </c>
      <c r="F4804" s="48">
        <f>IFERROR(__xludf.DUMMYFUNCTION("""COMPUTED_VALUE"""),45840.6039424537)</f>
        <v>45840.60394</v>
      </c>
      <c r="G4804" s="42" t="str">
        <f>IFERROR(__xludf.DUMMYFUNCTION("""COMPUTED_VALUE"""),"ROYA")</f>
        <v>ROYA</v>
      </c>
      <c r="H4804" s="42">
        <f t="shared" si="1"/>
        <v>2110</v>
      </c>
    </row>
    <row r="4805" ht="22.5" customHeight="1">
      <c r="B4805" s="42" t="str">
        <f>IFERROR(__xludf.DUMMYFUNCTION("""COMPUTED_VALUE"""),"L/9/100625/1")</f>
        <v>L/9/100625/1</v>
      </c>
      <c r="C4805" s="42" t="str">
        <f>IFERROR(__xludf.DUMMYFUNCTION("""COMPUTED_VALUE"""),"HM 189/RAJABASA PEMUKA")</f>
        <v>HM 189/RAJABASA PEMUKA</v>
      </c>
      <c r="D4805" s="42" t="str">
        <f>IFERROR(__xludf.DUMMYFUNCTION("""COMPUTED_VALUE"""),"David")</f>
        <v>David</v>
      </c>
      <c r="E4805" s="42" t="str">
        <f>IFERROR(__xludf.DUMMYFUNCTION("""COMPUTED_VALUE"""),"DISERAHKAN")</f>
        <v>DISERAHKAN</v>
      </c>
      <c r="F4805" s="48">
        <f>IFERROR(__xludf.DUMMYFUNCTION("""COMPUTED_VALUE"""),45839.431820763886)</f>
        <v>45839.43182</v>
      </c>
      <c r="G4805" s="42" t="str">
        <f>IFERROR(__xludf.DUMMYFUNCTION("""COMPUTED_VALUE"""),"ROYA")</f>
        <v>ROYA</v>
      </c>
      <c r="H4805" s="42">
        <f t="shared" si="1"/>
        <v>2111</v>
      </c>
    </row>
    <row r="4806" ht="22.5" customHeight="1">
      <c r="B4806" s="42" t="str">
        <f>IFERROR(__xludf.DUMMYFUNCTION("""COMPUTED_VALUE"""),"K/10/100625/1")</f>
        <v>K/10/100625/1</v>
      </c>
      <c r="C4806" s="42" t="str">
        <f>IFERROR(__xludf.DUMMYFUNCTION("""COMPUTED_VALUE"""),"M. 689/PEMATANG WANGI")</f>
        <v>M. 689/PEMATANG WANGI</v>
      </c>
      <c r="D4806" s="42" t="str">
        <f>IFERROR(__xludf.DUMMYFUNCTION("""COMPUTED_VALUE"""),"Berry")</f>
        <v>Berry</v>
      </c>
      <c r="E4806" s="42" t="str">
        <f>IFERROR(__xludf.DUMMYFUNCTION("""COMPUTED_VALUE"""),"DISERAHKAN")</f>
        <v>DISERAHKAN</v>
      </c>
      <c r="F4806" s="48">
        <f>IFERROR(__xludf.DUMMYFUNCTION("""COMPUTED_VALUE"""),45841.50030238426)</f>
        <v>45841.5003</v>
      </c>
      <c r="G4806" s="42" t="str">
        <f>IFERROR(__xludf.DUMMYFUNCTION("""COMPUTED_VALUE"""),"BN JUAL BELI")</f>
        <v>BN JUAL BELI</v>
      </c>
      <c r="H4806" s="42">
        <f t="shared" si="1"/>
        <v>2112</v>
      </c>
    </row>
    <row r="4807" ht="22.5" customHeight="1">
      <c r="B4807" s="42" t="str">
        <f>IFERROR(__xludf.DUMMYFUNCTION("""COMPUTED_VALUE"""),"K/11/100625/1")</f>
        <v>K/11/100625/1</v>
      </c>
      <c r="C4807" s="42" t="str">
        <f>IFERROR(__xludf.DUMMYFUNCTION("""COMPUTED_VALUE"""),"M. 1175/ Kaliawi")</f>
        <v>M. 1175/ Kaliawi</v>
      </c>
      <c r="D4807" s="42"/>
      <c r="E4807" s="42"/>
      <c r="F4807" s="48" t="str">
        <f>IFERROR(__xludf.DUMMYFUNCTION("""COMPUTED_VALUE"""),"")</f>
        <v/>
      </c>
      <c r="G4807" s="42" t="str">
        <f>IFERROR(__xludf.DUMMYFUNCTION("""COMPUTED_VALUE"""),"BN WARIS")</f>
        <v>BN WARIS</v>
      </c>
      <c r="H4807" s="42">
        <f t="shared" si="1"/>
        <v>2112</v>
      </c>
    </row>
    <row r="4808" ht="22.5" customHeight="1">
      <c r="B4808" s="42" t="str">
        <f>IFERROR(__xludf.DUMMYFUNCTION("""COMPUTED_VALUE"""),"L/12/100625/1")</f>
        <v>L/12/100625/1</v>
      </c>
      <c r="C4808" s="42" t="str">
        <f>IFERROR(__xludf.DUMMYFUNCTION("""COMPUTED_VALUE"""),"HGB 315/RAJABASA PEMUKA")</f>
        <v>HGB 315/RAJABASA PEMUKA</v>
      </c>
      <c r="D4808" s="42" t="str">
        <f>IFERROR(__xludf.DUMMYFUNCTION("""COMPUTED_VALUE"""),"Berry")</f>
        <v>Berry</v>
      </c>
      <c r="E4808" s="42" t="str">
        <f>IFERROR(__xludf.DUMMYFUNCTION("""COMPUTED_VALUE"""),"DISERAHKAN")</f>
        <v>DISERAHKAN</v>
      </c>
      <c r="F4808" s="48">
        <f>IFERROR(__xludf.DUMMYFUNCTION("""COMPUTED_VALUE"""),45841.51856658565)</f>
        <v>45841.51857</v>
      </c>
      <c r="G4808" s="42" t="str">
        <f>IFERROR(__xludf.DUMMYFUNCTION("""COMPUTED_VALUE"""),"BN WARIS")</f>
        <v>BN WARIS</v>
      </c>
      <c r="H4808" s="42">
        <f t="shared" si="1"/>
        <v>2113</v>
      </c>
    </row>
    <row r="4809" ht="22.5" customHeight="1">
      <c r="B4809" s="42" t="str">
        <f>IFERROR(__xludf.DUMMYFUNCTION("""COMPUTED_VALUE"""),"K/13/100625/1")</f>
        <v>K/13/100625/1</v>
      </c>
      <c r="C4809" s="42" t="str">
        <f>IFERROR(__xludf.DUMMYFUNCTION("""COMPUTED_VALUE"""),"NIBEL M.7548/RAJABASA JAYA")</f>
        <v>NIBEL M.7548/RAJABASA JAYA</v>
      </c>
      <c r="D4809" s="42"/>
      <c r="E4809" s="42"/>
      <c r="F4809" s="48" t="str">
        <f>IFERROR(__xludf.DUMMYFUNCTION("""COMPUTED_VALUE"""),"")</f>
        <v/>
      </c>
      <c r="G4809" s="42" t="str">
        <f>IFERROR(__xludf.DUMMYFUNCTION("""COMPUTED_VALUE"""),"JUAL BELI")</f>
        <v>JUAL BELI</v>
      </c>
      <c r="H4809" s="42">
        <f t="shared" si="1"/>
        <v>2113</v>
      </c>
    </row>
    <row r="4810" ht="22.5" customHeight="1">
      <c r="B4810" s="42" t="str">
        <f>IFERROR(__xludf.DUMMYFUNCTION("""COMPUTED_VALUE"""),"L/14/100625/1")</f>
        <v>L/14/100625/1</v>
      </c>
      <c r="C4810" s="42" t="str">
        <f>IFERROR(__xludf.DUMMYFUNCTION("""COMPUTED_VALUE"""),"HM 3494/GUNUNG TERANG")</f>
        <v>HM 3494/GUNUNG TERANG</v>
      </c>
      <c r="D4810" s="42"/>
      <c r="E4810" s="42"/>
      <c r="F4810" s="48" t="str">
        <f>IFERROR(__xludf.DUMMYFUNCTION("""COMPUTED_VALUE"""),"")</f>
        <v/>
      </c>
      <c r="G4810" s="42" t="str">
        <f>IFERROR(__xludf.DUMMYFUNCTION("""COMPUTED_VALUE"""),"PTPGT")</f>
        <v>PTPGT</v>
      </c>
      <c r="H4810" s="42">
        <f t="shared" si="1"/>
        <v>2113</v>
      </c>
    </row>
    <row r="4811" ht="22.5" customHeight="1">
      <c r="B4811" s="42" t="str">
        <f>IFERROR(__xludf.DUMMYFUNCTION("""COMPUTED_VALUE"""),"L/15/100625/1")</f>
        <v>L/15/100625/1</v>
      </c>
      <c r="C4811" s="42" t="str">
        <f>IFERROR(__xludf.DUMMYFUNCTION("""COMPUTED_VALUE"""),"HM 1331/TANJUNG SENANG")</f>
        <v>HM 1331/TANJUNG SENANG</v>
      </c>
      <c r="D4811" s="42" t="str">
        <f>IFERROR(__xludf.DUMMYFUNCTION("""COMPUTED_VALUE"""),"David")</f>
        <v>David</v>
      </c>
      <c r="E4811" s="42" t="str">
        <f>IFERROR(__xludf.DUMMYFUNCTION("""COMPUTED_VALUE"""),"DISERAHKAN")</f>
        <v>DISERAHKAN</v>
      </c>
      <c r="F4811" s="48">
        <f>IFERROR(__xludf.DUMMYFUNCTION("""COMPUTED_VALUE"""),45849.46576224537)</f>
        <v>45849.46576</v>
      </c>
      <c r="G4811" s="42" t="str">
        <f>IFERROR(__xludf.DUMMYFUNCTION("""COMPUTED_VALUE"""),"ROYA")</f>
        <v>ROYA</v>
      </c>
      <c r="H4811" s="42">
        <f t="shared" si="1"/>
        <v>2114</v>
      </c>
    </row>
    <row r="4812" ht="22.5" customHeight="1">
      <c r="B4812" s="42" t="str">
        <f>IFERROR(__xludf.DUMMYFUNCTION("""COMPUTED_VALUE"""),"K/16/100625/1")</f>
        <v>K/16/100625/1</v>
      </c>
      <c r="C4812" s="42" t="str">
        <f>IFERROR(__xludf.DUMMYFUNCTION("""COMPUTED_VALUE"""),"M. 9837/ Kedaton")</f>
        <v>M. 9837/ Kedaton</v>
      </c>
      <c r="D4812" s="42"/>
      <c r="E4812" s="42"/>
      <c r="F4812" s="48" t="str">
        <f>IFERROR(__xludf.DUMMYFUNCTION("""COMPUTED_VALUE"""),"")</f>
        <v/>
      </c>
      <c r="G4812" s="42" t="str">
        <f>IFERROR(__xludf.DUMMYFUNCTION("""COMPUTED_VALUE"""),"SKPT LELANG")</f>
        <v>SKPT LELANG</v>
      </c>
      <c r="H4812" s="42">
        <f t="shared" si="1"/>
        <v>2114</v>
      </c>
    </row>
    <row r="4813" ht="22.5" customHeight="1">
      <c r="B4813" s="42" t="str">
        <f>IFERROR(__xludf.DUMMYFUNCTION("""COMPUTED_VALUE"""),"K/17/100625/2")</f>
        <v>K/17/100625/2</v>
      </c>
      <c r="C4813" s="42" t="str">
        <f>IFERROR(__xludf.DUMMYFUNCTION("""COMPUTED_VALUE"""),"M. 10250/ Kedaton")</f>
        <v>M. 10250/ Kedaton</v>
      </c>
      <c r="D4813" s="42"/>
      <c r="E4813" s="42"/>
      <c r="F4813" s="48" t="str">
        <f>IFERROR(__xludf.DUMMYFUNCTION("""COMPUTED_VALUE"""),"")</f>
        <v/>
      </c>
      <c r="G4813" s="42" t="str">
        <f>IFERROR(__xludf.DUMMYFUNCTION("""COMPUTED_VALUE"""),"SKPT LELANG")</f>
        <v>SKPT LELANG</v>
      </c>
      <c r="H4813" s="42">
        <f t="shared" si="1"/>
        <v>2114</v>
      </c>
    </row>
    <row r="4814" ht="22.5" customHeight="1">
      <c r="B4814" s="42" t="str">
        <f>IFERROR(__xludf.DUMMYFUNCTION("""COMPUTED_VALUE"""),"K/18/100625/1")</f>
        <v>K/18/100625/1</v>
      </c>
      <c r="C4814" s="42" t="str">
        <f>IFERROR(__xludf.DUMMYFUNCTION("""COMPUTED_VALUE"""),"M.9939/SEGALA MIDER")</f>
        <v>M.9939/SEGALA MIDER</v>
      </c>
      <c r="D4814" s="42"/>
      <c r="E4814" s="42"/>
      <c r="F4814" s="48" t="str">
        <f>IFERROR(__xludf.DUMMYFUNCTION("""COMPUTED_VALUE"""),"")</f>
        <v/>
      </c>
      <c r="G4814" s="42" t="str">
        <f>IFERROR(__xludf.DUMMYFUNCTION("""COMPUTED_VALUE"""),"PTPGT")</f>
        <v>PTPGT</v>
      </c>
      <c r="H4814" s="42">
        <f t="shared" si="1"/>
        <v>2114</v>
      </c>
    </row>
    <row r="4815" ht="22.5" customHeight="1">
      <c r="B4815" s="42" t="str">
        <f>IFERROR(__xludf.DUMMYFUNCTION("""COMPUTED_VALUE"""),"K/19/100625/1")</f>
        <v>K/19/100625/1</v>
      </c>
      <c r="C4815" s="42" t="str">
        <f>IFERROR(__xludf.DUMMYFUNCTION("""COMPUTED_VALUE"""),"Nibel.M. 20875/ Gedong Air")</f>
        <v>Nibel.M. 20875/ Gedong Air</v>
      </c>
      <c r="D4815" s="42"/>
      <c r="E4815" s="42"/>
      <c r="F4815" s="48" t="str">
        <f>IFERROR(__xludf.DUMMYFUNCTION("""COMPUTED_VALUE"""),"")</f>
        <v/>
      </c>
      <c r="G4815" s="42" t="str">
        <f>IFERROR(__xludf.DUMMYFUNCTION("""COMPUTED_VALUE"""),"PTPGT (Pemecahan)")</f>
        <v>PTPGT (Pemecahan)</v>
      </c>
      <c r="H4815" s="42">
        <f t="shared" si="1"/>
        <v>2114</v>
      </c>
    </row>
    <row r="4816" ht="22.5" customHeight="1">
      <c r="B4816" s="42" t="str">
        <f>IFERROR(__xludf.DUMMYFUNCTION("""COMPUTED_VALUE"""),"K/20/100625/1")</f>
        <v>K/20/100625/1</v>
      </c>
      <c r="C4816" s="42" t="str">
        <f>IFERROR(__xludf.DUMMYFUNCTION("""COMPUTED_VALUE"""),"M. 11376/ Kedaton")</f>
        <v>M. 11376/ Kedaton</v>
      </c>
      <c r="D4816" s="42" t="str">
        <f>IFERROR(__xludf.DUMMYFUNCTION("""COMPUTED_VALUE"""),"David")</f>
        <v>David</v>
      </c>
      <c r="E4816" s="42" t="str">
        <f>IFERROR(__xludf.DUMMYFUNCTION("""COMPUTED_VALUE"""),"DISERAHKAN")</f>
        <v>DISERAHKAN</v>
      </c>
      <c r="F4816" s="48">
        <f>IFERROR(__xludf.DUMMYFUNCTION("""COMPUTED_VALUE"""),45839.59888953704)</f>
        <v>45839.59889</v>
      </c>
      <c r="G4816" s="42" t="str">
        <f>IFERROR(__xludf.DUMMYFUNCTION("""COMPUTED_VALUE"""),"BN HIBAH")</f>
        <v>BN HIBAH</v>
      </c>
      <c r="H4816" s="42">
        <f t="shared" si="1"/>
        <v>2115</v>
      </c>
    </row>
    <row r="4817" ht="22.5" customHeight="1">
      <c r="B4817" s="42" t="str">
        <f>IFERROR(__xludf.DUMMYFUNCTION("""COMPUTED_VALUE"""),"K/21/100625/2")</f>
        <v>K/21/100625/2</v>
      </c>
      <c r="C4817" s="42" t="str">
        <f>IFERROR(__xludf.DUMMYFUNCTION("""COMPUTED_VALUE"""),"M. 1615/ Labuhan Dalam")</f>
        <v>M. 1615/ Labuhan Dalam</v>
      </c>
      <c r="D4817" s="42" t="str">
        <f>IFERROR(__xludf.DUMMYFUNCTION("""COMPUTED_VALUE"""),"Berry")</f>
        <v>Berry</v>
      </c>
      <c r="E4817" s="42" t="str">
        <f>IFERROR(__xludf.DUMMYFUNCTION("""COMPUTED_VALUE"""),"DISERAHKAN")</f>
        <v>DISERAHKAN</v>
      </c>
      <c r="F4817" s="48">
        <f>IFERROR(__xludf.DUMMYFUNCTION("""COMPUTED_VALUE"""),45845.697431504625)</f>
        <v>45845.69743</v>
      </c>
      <c r="G4817" s="42" t="str">
        <f>IFERROR(__xludf.DUMMYFUNCTION("""COMPUTED_VALUE"""),"BN HIBAH")</f>
        <v>BN HIBAH</v>
      </c>
      <c r="H4817" s="42">
        <f t="shared" si="1"/>
        <v>2116</v>
      </c>
    </row>
    <row r="4818" ht="22.5" customHeight="1">
      <c r="B4818" s="42" t="str">
        <f>IFERROR(__xludf.DUMMYFUNCTION("""COMPUTED_VALUE"""),"K/22/100625/1")</f>
        <v>K/22/100625/1</v>
      </c>
      <c r="C4818" s="42" t="str">
        <f>IFERROR(__xludf.DUMMYFUNCTION("""COMPUTED_VALUE"""),"NIBEL M 19633/SUKARAME")</f>
        <v>NIBEL M 19633/SUKARAME</v>
      </c>
      <c r="D4818" s="42"/>
      <c r="E4818" s="42"/>
      <c r="F4818" s="48" t="str">
        <f>IFERROR(__xludf.DUMMYFUNCTION("""COMPUTED_VALUE"""),"")</f>
        <v/>
      </c>
      <c r="G4818" s="42" t="str">
        <f>IFERROR(__xludf.DUMMYFUNCTION("""COMPUTED_VALUE"""),"JUAL BELI")</f>
        <v>JUAL BELI</v>
      </c>
      <c r="H4818" s="42">
        <f t="shared" si="1"/>
        <v>2116</v>
      </c>
    </row>
    <row r="4819" ht="22.5" customHeight="1">
      <c r="B4819" s="42" t="str">
        <f>IFERROR(__xludf.DUMMYFUNCTION("""COMPUTED_VALUE"""),"K/23/100625/1")</f>
        <v>K/23/100625/1</v>
      </c>
      <c r="C4819" s="42" t="str">
        <f>IFERROR(__xludf.DUMMYFUNCTION("""COMPUTED_VALUE"""),"NIBEL M18627/LABUHAN RATU RAYA")</f>
        <v>NIBEL M18627/LABUHAN RATU RAYA</v>
      </c>
      <c r="D4819" s="42"/>
      <c r="E4819" s="42"/>
      <c r="F4819" s="48" t="str">
        <f>IFERROR(__xludf.DUMMYFUNCTION("""COMPUTED_VALUE"""),"")</f>
        <v/>
      </c>
      <c r="G4819" s="42" t="str">
        <f>IFERROR(__xludf.DUMMYFUNCTION("""COMPUTED_VALUE"""),"JUAL BELI")</f>
        <v>JUAL BELI</v>
      </c>
      <c r="H4819" s="42">
        <f t="shared" si="1"/>
        <v>2116</v>
      </c>
    </row>
    <row r="4820" ht="22.5" customHeight="1">
      <c r="B4820" s="42" t="str">
        <f>IFERROR(__xludf.DUMMYFUNCTION("""COMPUTED_VALUE"""),"K/24/100625/1")</f>
        <v>K/24/100625/1</v>
      </c>
      <c r="C4820" s="42" t="str">
        <f>IFERROR(__xludf.DUMMYFUNCTION("""COMPUTED_VALUE"""),"Nibel. B. 445/ Kemiling Permai")</f>
        <v>Nibel. B. 445/ Kemiling Permai</v>
      </c>
      <c r="D4820" s="42"/>
      <c r="E4820" s="42"/>
      <c r="F4820" s="48" t="str">
        <f>IFERROR(__xludf.DUMMYFUNCTION("""COMPUTED_VALUE"""),"")</f>
        <v/>
      </c>
      <c r="G4820" s="42" t="str">
        <f>IFERROR(__xludf.DUMMYFUNCTION("""COMPUTED_VALUE"""),"Perubahan Hak")</f>
        <v>Perubahan Hak</v>
      </c>
      <c r="H4820" s="42">
        <f t="shared" si="1"/>
        <v>2116</v>
      </c>
    </row>
    <row r="4821" ht="22.5" customHeight="1">
      <c r="B4821" s="42" t="str">
        <f>IFERROR(__xludf.DUMMYFUNCTION("""COMPUTED_VALUE"""),"K/25/100625/1")</f>
        <v>K/25/100625/1</v>
      </c>
      <c r="C4821" s="42" t="str">
        <f>IFERROR(__xludf.DUMMYFUNCTION("""COMPUTED_VALUE"""),"M. 39/ Sukamenanti Baru")</f>
        <v>M. 39/ Sukamenanti Baru</v>
      </c>
      <c r="D4821" s="42"/>
      <c r="E4821" s="42"/>
      <c r="F4821" s="48" t="str">
        <f>IFERROR(__xludf.DUMMYFUNCTION("""COMPUTED_VALUE"""),"")</f>
        <v/>
      </c>
      <c r="G4821" s="42" t="str">
        <f>IFERROR(__xludf.DUMMYFUNCTION("""COMPUTED_VALUE"""),"PTPGT (Pemecahan)")</f>
        <v>PTPGT (Pemecahan)</v>
      </c>
      <c r="H4821" s="42">
        <f t="shared" si="1"/>
        <v>2116</v>
      </c>
    </row>
    <row r="4822" ht="22.5" customHeight="1">
      <c r="B4822" s="42" t="str">
        <f>IFERROR(__xludf.DUMMYFUNCTION("""COMPUTED_VALUE"""),"K/26/100625/1")</f>
        <v>K/26/100625/1</v>
      </c>
      <c r="C4822" s="42" t="str">
        <f>IFERROR(__xludf.DUMMYFUNCTION("""COMPUTED_VALUE"""),"Nibel 19162/ Sukabumi")</f>
        <v>Nibel 19162/ Sukabumi</v>
      </c>
      <c r="D4822" s="42"/>
      <c r="E4822" s="42"/>
      <c r="F4822" s="48" t="str">
        <f>IFERROR(__xludf.DUMMYFUNCTION("""COMPUTED_VALUE"""),"")</f>
        <v/>
      </c>
      <c r="G4822" s="42" t="str">
        <f>IFERROR(__xludf.DUMMYFUNCTION("""COMPUTED_VALUE"""),"BN JUAL BELI")</f>
        <v>BN JUAL BELI</v>
      </c>
      <c r="H4822" s="42">
        <f t="shared" si="1"/>
        <v>2116</v>
      </c>
    </row>
    <row r="4823" ht="22.5" customHeight="1">
      <c r="B4823" s="42" t="str">
        <f>IFERROR(__xludf.DUMMYFUNCTION("""COMPUTED_VALUE"""),"L/27/100625/1")</f>
        <v>L/27/100625/1</v>
      </c>
      <c r="C4823" s="42" t="str">
        <f>IFERROR(__xludf.DUMMYFUNCTION("""COMPUTED_VALUE"""),"HM 440/KUPANG KOTA")</f>
        <v>HM 440/KUPANG KOTA</v>
      </c>
      <c r="D4823" s="42" t="str">
        <f>IFERROR(__xludf.DUMMYFUNCTION("""COMPUTED_VALUE"""),"David")</f>
        <v>David</v>
      </c>
      <c r="E4823" s="42" t="str">
        <f>IFERROR(__xludf.DUMMYFUNCTION("""COMPUTED_VALUE"""),"DISERAHKAN")</f>
        <v>DISERAHKAN</v>
      </c>
      <c r="F4823" s="48">
        <f>IFERROR(__xludf.DUMMYFUNCTION("""COMPUTED_VALUE"""),45839.431820763886)</f>
        <v>45839.43182</v>
      </c>
      <c r="G4823" s="42" t="str">
        <f>IFERROR(__xludf.DUMMYFUNCTION("""COMPUTED_VALUE"""),"ROYA")</f>
        <v>ROYA</v>
      </c>
      <c r="H4823" s="42">
        <f t="shared" si="1"/>
        <v>2117</v>
      </c>
    </row>
    <row r="4824" ht="22.5" customHeight="1">
      <c r="B4824" s="42" t="str">
        <f>IFERROR(__xludf.DUMMYFUNCTION("""COMPUTED_VALUE"""),"K/28/100625/1")</f>
        <v>K/28/100625/1</v>
      </c>
      <c r="C4824" s="42" t="str">
        <f>IFERROR(__xludf.DUMMYFUNCTION("""COMPUTED_VALUE"""),"M. 10257/SURABAYA")</f>
        <v>M. 10257/SURABAYA</v>
      </c>
      <c r="D4824" s="42"/>
      <c r="E4824" s="42"/>
      <c r="F4824" s="48" t="str">
        <f>IFERROR(__xludf.DUMMYFUNCTION("""COMPUTED_VALUE"""),"")</f>
        <v/>
      </c>
      <c r="G4824" s="42" t="str">
        <f>IFERROR(__xludf.DUMMYFUNCTION("""COMPUTED_VALUE"""),"HAPUS BPHTB")</f>
        <v>HAPUS BPHTB</v>
      </c>
      <c r="H4824" s="42">
        <f t="shared" si="1"/>
        <v>2117</v>
      </c>
    </row>
    <row r="4825" ht="22.5" customHeight="1">
      <c r="B4825" s="42" t="str">
        <f>IFERROR(__xludf.DUMMYFUNCTION("""COMPUTED_VALUE"""),"K/30/100625/1")</f>
        <v>K/30/100625/1</v>
      </c>
      <c r="C4825" s="42" t="str">
        <f>IFERROR(__xludf.DUMMYFUNCTION("""COMPUTED_VALUE"""),"Nibel 20356/ Sumur Putri")</f>
        <v>Nibel 20356/ Sumur Putri</v>
      </c>
      <c r="D4825" s="42"/>
      <c r="E4825" s="42"/>
      <c r="F4825" s="48" t="str">
        <f>IFERROR(__xludf.DUMMYFUNCTION("""COMPUTED_VALUE"""),"")</f>
        <v/>
      </c>
      <c r="G4825" s="42" t="str">
        <f>IFERROR(__xludf.DUMMYFUNCTION("""COMPUTED_VALUE"""),"PERUBAHAN HAK")</f>
        <v>PERUBAHAN HAK</v>
      </c>
      <c r="H4825" s="42">
        <f t="shared" si="1"/>
        <v>2117</v>
      </c>
    </row>
    <row r="4826" ht="22.5" customHeight="1">
      <c r="B4826" s="42" t="str">
        <f>IFERROR(__xludf.DUMMYFUNCTION("""COMPUTED_VALUE"""),"K/29/100625/1")</f>
        <v>K/29/100625/1</v>
      </c>
      <c r="C4826" s="42" t="str">
        <f>IFERROR(__xludf.DUMMYFUNCTION("""COMPUTED_VALUE"""),"B. 691/ Sumber Agung")</f>
        <v>B. 691/ Sumber Agung</v>
      </c>
      <c r="D4826" s="42" t="str">
        <f>IFERROR(__xludf.DUMMYFUNCTION("""COMPUTED_VALUE"""),"Berry")</f>
        <v>Berry</v>
      </c>
      <c r="E4826" s="42" t="str">
        <f>IFERROR(__xludf.DUMMYFUNCTION("""COMPUTED_VALUE"""),"DISERAHKAN")</f>
        <v>DISERAHKAN</v>
      </c>
      <c r="F4826" s="48">
        <f>IFERROR(__xludf.DUMMYFUNCTION("""COMPUTED_VALUE"""),45841.525950497686)</f>
        <v>45841.52595</v>
      </c>
      <c r="G4826" s="42" t="str">
        <f>IFERROR(__xludf.DUMMYFUNCTION("""COMPUTED_VALUE"""),"BN Jual Beli")</f>
        <v>BN Jual Beli</v>
      </c>
      <c r="H4826" s="42">
        <f t="shared" si="1"/>
        <v>2118</v>
      </c>
    </row>
    <row r="4827" ht="22.5" customHeight="1">
      <c r="B4827" s="42" t="str">
        <f>IFERROR(__xludf.DUMMYFUNCTION("""COMPUTED_VALUE"""),"K/31/100625/1")</f>
        <v>K/31/100625/1</v>
      </c>
      <c r="C4827" s="42" t="str">
        <f>IFERROR(__xludf.DUMMYFUNCTION("""COMPUTED_VALUE"""),"NIBEL B.16242/SUMUR PUTRI")</f>
        <v>NIBEL B.16242/SUMUR PUTRI</v>
      </c>
      <c r="D4827" s="42"/>
      <c r="E4827" s="42"/>
      <c r="F4827" s="48" t="str">
        <f>IFERROR(__xludf.DUMMYFUNCTION("""COMPUTED_VALUE"""),"")</f>
        <v/>
      </c>
      <c r="G4827" s="42" t="str">
        <f>IFERROR(__xludf.DUMMYFUNCTION("""COMPUTED_VALUE"""),"BN JUAL BELI")</f>
        <v>BN JUAL BELI</v>
      </c>
      <c r="H4827" s="42">
        <f t="shared" si="1"/>
        <v>2118</v>
      </c>
    </row>
    <row r="4828" ht="22.5" customHeight="1">
      <c r="B4828" s="42" t="str">
        <f>IFERROR(__xludf.DUMMYFUNCTION("""COMPUTED_VALUE"""),"L/32/100625/1")</f>
        <v>L/32/100625/1</v>
      </c>
      <c r="C4828" s="42" t="str">
        <f>IFERROR(__xludf.DUMMYFUNCTION("""COMPUTED_VALUE"""),"SIDODADI")</f>
        <v>SIDODADI</v>
      </c>
      <c r="D4828" s="42"/>
      <c r="E4828" s="42"/>
      <c r="F4828" s="48" t="str">
        <f>IFERROR(__xludf.DUMMYFUNCTION("""COMPUTED_VALUE"""),"")</f>
        <v/>
      </c>
      <c r="G4828" s="42" t="str">
        <f>IFERROR(__xludf.DUMMYFUNCTION("""COMPUTED_VALUE"""),"PENDAFTARAN SK")</f>
        <v>PENDAFTARAN SK</v>
      </c>
      <c r="H4828" s="42">
        <f t="shared" si="1"/>
        <v>2118</v>
      </c>
    </row>
    <row r="4829" ht="22.5" customHeight="1">
      <c r="B4829" s="42" t="str">
        <f>IFERROR(__xludf.DUMMYFUNCTION("""COMPUTED_VALUE"""),"K/33/100625/1")</f>
        <v>K/33/100625/1</v>
      </c>
      <c r="C4829" s="42" t="str">
        <f>IFERROR(__xludf.DUMMYFUNCTION("""COMPUTED_VALUE"""),"M.2115/SEPANG JAYA")</f>
        <v>M.2115/SEPANG JAYA</v>
      </c>
      <c r="D4829" s="42" t="str">
        <f>IFERROR(__xludf.DUMMYFUNCTION("""COMPUTED_VALUE"""),"Berry")</f>
        <v>Berry</v>
      </c>
      <c r="E4829" s="42" t="str">
        <f>IFERROR(__xludf.DUMMYFUNCTION("""COMPUTED_VALUE"""),"DISERAHKAN")</f>
        <v>DISERAHKAN</v>
      </c>
      <c r="F4829" s="48">
        <f>IFERROR(__xludf.DUMMYFUNCTION("""COMPUTED_VALUE"""),45838.683682835646)</f>
        <v>45838.68368</v>
      </c>
      <c r="G4829" s="42" t="str">
        <f>IFERROR(__xludf.DUMMYFUNCTION("""COMPUTED_VALUE"""),"JUAL BELI")</f>
        <v>JUAL BELI</v>
      </c>
      <c r="H4829" s="42">
        <f t="shared" si="1"/>
        <v>2119</v>
      </c>
    </row>
    <row r="4830" ht="22.5" customHeight="1">
      <c r="B4830" s="42" t="str">
        <f>IFERROR(__xludf.DUMMYFUNCTION("""COMPUTED_VALUE"""),"K/34/100625/2")</f>
        <v>K/34/100625/2</v>
      </c>
      <c r="C4830" s="42" t="str">
        <f>IFERROR(__xludf.DUMMYFUNCTION("""COMPUTED_VALUE"""),"M.1460/SEPANG JAYA")</f>
        <v>M.1460/SEPANG JAYA</v>
      </c>
      <c r="D4830" s="42" t="str">
        <f>IFERROR(__xludf.DUMMYFUNCTION("""COMPUTED_VALUE"""),"Berry")</f>
        <v>Berry</v>
      </c>
      <c r="E4830" s="42" t="str">
        <f>IFERROR(__xludf.DUMMYFUNCTION("""COMPUTED_VALUE"""),"DISERAHKAN")</f>
        <v>DISERAHKAN</v>
      </c>
      <c r="F4830" s="48">
        <f>IFERROR(__xludf.DUMMYFUNCTION("""COMPUTED_VALUE"""),45838.665940266204)</f>
        <v>45838.66594</v>
      </c>
      <c r="G4830" s="42" t="str">
        <f>IFERROR(__xludf.DUMMYFUNCTION("""COMPUTED_VALUE"""),"JUAL BELI")</f>
        <v>JUAL BELI</v>
      </c>
      <c r="H4830" s="42">
        <f t="shared" si="1"/>
        <v>2120</v>
      </c>
    </row>
    <row r="4831" ht="22.5" customHeight="1">
      <c r="B4831" s="42" t="str">
        <f>IFERROR(__xludf.DUMMYFUNCTION("""COMPUTED_VALUE"""),"K/35/100625/1")</f>
        <v>K/35/100625/1</v>
      </c>
      <c r="C4831" s="42" t="str">
        <f>IFERROR(__xludf.DUMMYFUNCTION("""COMPUTED_VALUE"""),"M. 4985/RAJABASA JAYA")</f>
        <v>M. 4985/RAJABASA JAYA</v>
      </c>
      <c r="D4831" s="42" t="str">
        <f>IFERROR(__xludf.DUMMYFUNCTION("""COMPUTED_VALUE"""),"Berry")</f>
        <v>Berry</v>
      </c>
      <c r="E4831" s="42" t="str">
        <f>IFERROR(__xludf.DUMMYFUNCTION("""COMPUTED_VALUE"""),"DISERAHKAN")</f>
        <v>DISERAHKAN</v>
      </c>
      <c r="F4831" s="48">
        <f>IFERROR(__xludf.DUMMYFUNCTION("""COMPUTED_VALUE"""),45845.708348518514)</f>
        <v>45845.70835</v>
      </c>
      <c r="G4831" s="42" t="str">
        <f>IFERROR(__xludf.DUMMYFUNCTION("""COMPUTED_VALUE"""),"BN JUAL BELI")</f>
        <v>BN JUAL BELI</v>
      </c>
      <c r="H4831" s="42">
        <f t="shared" si="1"/>
        <v>2121</v>
      </c>
    </row>
    <row r="4832" ht="22.5" customHeight="1">
      <c r="B4832" s="42" t="str">
        <f>IFERROR(__xludf.DUMMYFUNCTION("""COMPUTED_VALUE"""),"K/3/110625/1")</f>
        <v>K/3/110625/1</v>
      </c>
      <c r="C4832" s="42" t="str">
        <f>IFERROR(__xludf.DUMMYFUNCTION("""COMPUTED_VALUE"""),"M. 684/ Sepang Jaya")</f>
        <v>M. 684/ Sepang Jaya</v>
      </c>
      <c r="D4832" s="42" t="str">
        <f>IFERROR(__xludf.DUMMYFUNCTION("""COMPUTED_VALUE"""),"Berry")</f>
        <v>Berry</v>
      </c>
      <c r="E4832" s="42" t="str">
        <f>IFERROR(__xludf.DUMMYFUNCTION("""COMPUTED_VALUE"""),"DISERAHKAN")</f>
        <v>DISERAHKAN</v>
      </c>
      <c r="F4832" s="48">
        <f>IFERROR(__xludf.DUMMYFUNCTION("""COMPUTED_VALUE"""),45828.542576631946)</f>
        <v>45828.54258</v>
      </c>
      <c r="G4832" s="42" t="str">
        <f>IFERROR(__xludf.DUMMYFUNCTION("""COMPUTED_VALUE"""),"BN JUAL BELI")</f>
        <v>BN JUAL BELI</v>
      </c>
      <c r="H4832" s="42">
        <f t="shared" si="1"/>
        <v>2122</v>
      </c>
    </row>
    <row r="4833" ht="22.5" customHeight="1">
      <c r="B4833" s="42" t="str">
        <f>IFERROR(__xludf.DUMMYFUNCTION("""COMPUTED_VALUE"""),"K/4/110625/2")</f>
        <v>K/4/110625/2</v>
      </c>
      <c r="C4833" s="42" t="str">
        <f>IFERROR(__xludf.DUMMYFUNCTION("""COMPUTED_VALUE"""),"M. 10822/ Segala Mider")</f>
        <v>M. 10822/ Segala Mider</v>
      </c>
      <c r="D4833" s="42" t="str">
        <f>IFERROR(__xludf.DUMMYFUNCTION("""COMPUTED_VALUE"""),"David")</f>
        <v>David</v>
      </c>
      <c r="E4833" s="42" t="str">
        <f>IFERROR(__xludf.DUMMYFUNCTION("""COMPUTED_VALUE"""),"DISERAHKAN")</f>
        <v>DISERAHKAN</v>
      </c>
      <c r="F4833" s="48">
        <f>IFERROR(__xludf.DUMMYFUNCTION("""COMPUTED_VALUE"""),45848.52382267361)</f>
        <v>45848.52382</v>
      </c>
      <c r="G4833" s="42" t="str">
        <f>IFERROR(__xludf.DUMMYFUNCTION("""COMPUTED_VALUE"""),"BN JUAL BELI")</f>
        <v>BN JUAL BELI</v>
      </c>
      <c r="H4833" s="42">
        <f t="shared" si="1"/>
        <v>2123</v>
      </c>
    </row>
    <row r="4834" ht="22.5" customHeight="1">
      <c r="B4834" s="42" t="str">
        <f>IFERROR(__xludf.DUMMYFUNCTION("""COMPUTED_VALUE"""),"K/1/110625/1")</f>
        <v>K/1/110625/1</v>
      </c>
      <c r="C4834" s="42" t="str">
        <f>IFERROR(__xludf.DUMMYFUNCTION("""COMPUTED_VALUE"""),"M. 1979/ Sumberejo Sejahtera")</f>
        <v>M. 1979/ Sumberejo Sejahtera</v>
      </c>
      <c r="D4834" s="42"/>
      <c r="E4834" s="42"/>
      <c r="F4834" s="48" t="str">
        <f>IFERROR(__xludf.DUMMYFUNCTION("""COMPUTED_VALUE"""),"")</f>
        <v/>
      </c>
      <c r="G4834" s="42" t="str">
        <f>IFERROR(__xludf.DUMMYFUNCTION("""COMPUTED_VALUE"""),"BN Waris")</f>
        <v>BN Waris</v>
      </c>
      <c r="H4834" s="42">
        <f t="shared" si="1"/>
        <v>2123</v>
      </c>
    </row>
    <row r="4835" ht="22.5" customHeight="1">
      <c r="B4835" s="42" t="str">
        <f>IFERROR(__xludf.DUMMYFUNCTION("""COMPUTED_VALUE"""),"K/2/110625/2")</f>
        <v>K/2/110625/2</v>
      </c>
      <c r="C4835" s="42" t="str">
        <f>IFERROR(__xludf.DUMMYFUNCTION("""COMPUTED_VALUE"""),"M. 14428/ Sukabumi")</f>
        <v>M. 14428/ Sukabumi</v>
      </c>
      <c r="D4835" s="42" t="str">
        <f>IFERROR(__xludf.DUMMYFUNCTION("""COMPUTED_VALUE"""),"Berry")</f>
        <v>Berry</v>
      </c>
      <c r="E4835" s="42" t="str">
        <f>IFERROR(__xludf.DUMMYFUNCTION("""COMPUTED_VALUE"""),"DISERAHKAN")</f>
        <v>DISERAHKAN</v>
      </c>
      <c r="F4835" s="48">
        <f>IFERROR(__xludf.DUMMYFUNCTION("""COMPUTED_VALUE"""),45853.723003321764)</f>
        <v>45853.723</v>
      </c>
      <c r="G4835" s="42" t="str">
        <f>IFERROR(__xludf.DUMMYFUNCTION("""COMPUTED_VALUE"""),"BN Jual Beli")</f>
        <v>BN Jual Beli</v>
      </c>
      <c r="H4835" s="42">
        <f t="shared" si="1"/>
        <v>2124</v>
      </c>
    </row>
    <row r="4836" ht="22.5" customHeight="1">
      <c r="B4836" s="42" t="str">
        <f>IFERROR(__xludf.DUMMYFUNCTION("""COMPUTED_VALUE"""),"L/5/110625/1")</f>
        <v>L/5/110625/1</v>
      </c>
      <c r="C4836" s="42" t="str">
        <f>IFERROR(__xludf.DUMMYFUNCTION("""COMPUTED_VALUE"""),"HM 279/RAJABASA PEMUKA")</f>
        <v>HM 279/RAJABASA PEMUKA</v>
      </c>
      <c r="D4836" s="42"/>
      <c r="E4836" s="42"/>
      <c r="F4836" s="48" t="str">
        <f>IFERROR(__xludf.DUMMYFUNCTION("""COMPUTED_VALUE"""),"")</f>
        <v/>
      </c>
      <c r="G4836" s="42" t="str">
        <f>IFERROR(__xludf.DUMMYFUNCTION("""COMPUTED_VALUE"""),"PTPGT")</f>
        <v>PTPGT</v>
      </c>
      <c r="H4836" s="42">
        <f t="shared" si="1"/>
        <v>2124</v>
      </c>
    </row>
    <row r="4837" ht="22.5" customHeight="1">
      <c r="B4837" s="42" t="str">
        <f>IFERROR(__xludf.DUMMYFUNCTION("""COMPUTED_VALUE"""),"K/6/110625/1")</f>
        <v>K/6/110625/1</v>
      </c>
      <c r="C4837" s="42" t="str">
        <f>IFERROR(__xludf.DUMMYFUNCTION("""COMPUTED_VALUE"""),"B.399/KEMILING PERMAI")</f>
        <v>B.399/KEMILING PERMAI</v>
      </c>
      <c r="D4837" s="42" t="str">
        <f>IFERROR(__xludf.DUMMYFUNCTION("""COMPUTED_VALUE"""),"Berry")</f>
        <v>Berry</v>
      </c>
      <c r="E4837" s="42" t="str">
        <f>IFERROR(__xludf.DUMMYFUNCTION("""COMPUTED_VALUE"""),"DISERAHKAN")</f>
        <v>DISERAHKAN</v>
      </c>
      <c r="F4837" s="48">
        <f>IFERROR(__xludf.DUMMYFUNCTION("""COMPUTED_VALUE"""),45838.66574002315)</f>
        <v>45838.66574</v>
      </c>
      <c r="G4837" s="42" t="str">
        <f>IFERROR(__xludf.DUMMYFUNCTION("""COMPUTED_VALUE"""),"JUAL BELI")</f>
        <v>JUAL BELI</v>
      </c>
      <c r="H4837" s="42">
        <f t="shared" si="1"/>
        <v>2125</v>
      </c>
    </row>
    <row r="4838" ht="22.5" customHeight="1">
      <c r="B4838" s="42" t="str">
        <f>IFERROR(__xludf.DUMMYFUNCTION("""COMPUTED_VALUE"""),"K/7/110625/1")</f>
        <v>K/7/110625/1</v>
      </c>
      <c r="C4838" s="42" t="str">
        <f>IFERROR(__xludf.DUMMYFUNCTION("""COMPUTED_VALUE"""),"M. 11900/ Rajabasa")</f>
        <v>M. 11900/ Rajabasa</v>
      </c>
      <c r="D4838" s="42"/>
      <c r="E4838" s="42"/>
      <c r="F4838" s="48" t="str">
        <f>IFERROR(__xludf.DUMMYFUNCTION("""COMPUTED_VALUE"""),"")</f>
        <v/>
      </c>
      <c r="G4838" s="42" t="str">
        <f>IFERROR(__xludf.DUMMYFUNCTION("""COMPUTED_VALUE"""),"BN Hibah")</f>
        <v>BN Hibah</v>
      </c>
      <c r="H4838" s="42">
        <f t="shared" si="1"/>
        <v>2125</v>
      </c>
    </row>
    <row r="4839" ht="22.5" customHeight="1">
      <c r="B4839" s="42" t="str">
        <f>IFERROR(__xludf.DUMMYFUNCTION("""COMPUTED_VALUE"""),"K/9/110625/1")</f>
        <v>K/9/110625/1</v>
      </c>
      <c r="C4839" s="42" t="str">
        <f>IFERROR(__xludf.DUMMYFUNCTION("""COMPUTED_VALUE"""),"NIBEL M.21285/RAJABASA RAYA")</f>
        <v>NIBEL M.21285/RAJABASA RAYA</v>
      </c>
      <c r="D4839" s="42"/>
      <c r="E4839" s="42"/>
      <c r="F4839" s="48" t="str">
        <f>IFERROR(__xludf.DUMMYFUNCTION("""COMPUTED_VALUE"""),"")</f>
        <v/>
      </c>
      <c r="G4839" s="42" t="str">
        <f>IFERROR(__xludf.DUMMYFUNCTION("""COMPUTED_VALUE"""),"JUAL BELI")</f>
        <v>JUAL BELI</v>
      </c>
      <c r="H4839" s="42">
        <f t="shared" si="1"/>
        <v>2125</v>
      </c>
    </row>
    <row r="4840" ht="22.5" customHeight="1">
      <c r="B4840" s="42" t="str">
        <f>IFERROR(__xludf.DUMMYFUNCTION("""COMPUTED_VALUE"""),"K/8/110625/1")</f>
        <v>K/8/110625/1</v>
      </c>
      <c r="C4840" s="42" t="str">
        <f>IFERROR(__xludf.DUMMYFUNCTION("""COMPUTED_VALUE"""),"NIBEL M. 11888/KEMILING RAYA")</f>
        <v>NIBEL M. 11888/KEMILING RAYA</v>
      </c>
      <c r="D4840" s="42"/>
      <c r="E4840" s="42"/>
      <c r="F4840" s="48" t="str">
        <f>IFERROR(__xludf.DUMMYFUNCTION("""COMPUTED_VALUE"""),"")</f>
        <v/>
      </c>
      <c r="G4840" s="42" t="str">
        <f>IFERROR(__xludf.DUMMYFUNCTION("""COMPUTED_VALUE"""),"BN JUAL BELI")</f>
        <v>BN JUAL BELI</v>
      </c>
      <c r="H4840" s="42">
        <f t="shared" si="1"/>
        <v>2125</v>
      </c>
    </row>
    <row r="4841" ht="22.5" customHeight="1">
      <c r="B4841" s="42" t="str">
        <f>IFERROR(__xludf.DUMMYFUNCTION("""COMPUTED_VALUE"""),"L/11/110625/1")</f>
        <v>L/11/110625/1</v>
      </c>
      <c r="C4841" s="42" t="str">
        <f>IFERROR(__xludf.DUMMYFUNCTION("""COMPUTED_VALUE"""),"HGB 32/GUNUNG SULAH")</f>
        <v>HGB 32/GUNUNG SULAH</v>
      </c>
      <c r="D4841" s="42"/>
      <c r="E4841" s="42"/>
      <c r="F4841" s="48" t="str">
        <f>IFERROR(__xludf.DUMMYFUNCTION("""COMPUTED_VALUE"""),"")</f>
        <v/>
      </c>
      <c r="G4841" s="42" t="str">
        <f>IFERROR(__xludf.DUMMYFUNCTION("""COMPUTED_VALUE"""),"ASPEK")</f>
        <v>ASPEK</v>
      </c>
      <c r="H4841" s="42">
        <f t="shared" si="1"/>
        <v>2125</v>
      </c>
    </row>
    <row r="4842" ht="22.5" customHeight="1">
      <c r="B4842" s="42" t="str">
        <f>IFERROR(__xludf.DUMMYFUNCTION("""COMPUTED_VALUE"""),"L/12/110625/1")</f>
        <v>L/12/110625/1</v>
      </c>
      <c r="C4842" s="42" t="str">
        <f>IFERROR(__xludf.DUMMYFUNCTION("""COMPUTED_VALUE"""),"HGB 603/NUSANTARA PERMAI")</f>
        <v>HGB 603/NUSANTARA PERMAI</v>
      </c>
      <c r="D4842" s="42"/>
      <c r="E4842" s="42"/>
      <c r="F4842" s="48" t="str">
        <f>IFERROR(__xludf.DUMMYFUNCTION("""COMPUTED_VALUE"""),"")</f>
        <v/>
      </c>
      <c r="G4842" s="42" t="str">
        <f>IFERROR(__xludf.DUMMYFUNCTION("""COMPUTED_VALUE"""),"PH")</f>
        <v>PH</v>
      </c>
      <c r="H4842" s="42">
        <f t="shared" si="1"/>
        <v>2125</v>
      </c>
    </row>
    <row r="4843" ht="22.5" customHeight="1">
      <c r="B4843" s="42" t="str">
        <f>IFERROR(__xludf.DUMMYFUNCTION("""COMPUTED_VALUE"""),"L/13/110625/1")</f>
        <v>L/13/110625/1</v>
      </c>
      <c r="C4843" s="42" t="str">
        <f>IFERROR(__xludf.DUMMYFUNCTION("""COMPUTED_VALUE"""),"HGB 6801/TANJUNG SENANG")</f>
        <v>HGB 6801/TANJUNG SENANG</v>
      </c>
      <c r="D4843" s="42"/>
      <c r="E4843" s="42"/>
      <c r="F4843" s="48" t="str">
        <f>IFERROR(__xludf.DUMMYFUNCTION("""COMPUTED_VALUE"""),"")</f>
        <v/>
      </c>
      <c r="G4843" s="42" t="str">
        <f>IFERROR(__xludf.DUMMYFUNCTION("""COMPUTED_VALUE"""),"PH")</f>
        <v>PH</v>
      </c>
      <c r="H4843" s="42">
        <f t="shared" si="1"/>
        <v>2125</v>
      </c>
    </row>
    <row r="4844" ht="22.5" customHeight="1">
      <c r="B4844" s="42" t="str">
        <f>IFERROR(__xludf.DUMMYFUNCTION("""COMPUTED_VALUE"""),"K/14/110625/1")</f>
        <v>K/14/110625/1</v>
      </c>
      <c r="C4844" s="42" t="str">
        <f>IFERROR(__xludf.DUMMYFUNCTION("""COMPUTED_VALUE"""),"M. 2337/ Sukamaju")</f>
        <v>M. 2337/ Sukamaju</v>
      </c>
      <c r="D4844" s="42" t="str">
        <f>IFERROR(__xludf.DUMMYFUNCTION("""COMPUTED_VALUE"""),"David")</f>
        <v>David</v>
      </c>
      <c r="E4844" s="42" t="str">
        <f>IFERROR(__xludf.DUMMYFUNCTION("""COMPUTED_VALUE"""),"DISERAHKAN")</f>
        <v>DISERAHKAN</v>
      </c>
      <c r="F4844" s="48">
        <f>IFERROR(__xludf.DUMMYFUNCTION("""COMPUTED_VALUE"""),45842.60764949074)</f>
        <v>45842.60765</v>
      </c>
      <c r="G4844" s="42" t="str">
        <f>IFERROR(__xludf.DUMMYFUNCTION("""COMPUTED_VALUE"""),"ROYA LELANG")</f>
        <v>ROYA LELANG</v>
      </c>
      <c r="H4844" s="42">
        <f t="shared" si="1"/>
        <v>2126</v>
      </c>
    </row>
    <row r="4845" ht="22.5" customHeight="1">
      <c r="B4845" s="42" t="str">
        <f>IFERROR(__xludf.DUMMYFUNCTION("""COMPUTED_VALUE"""),"K/15/110625/1")</f>
        <v>K/15/110625/1</v>
      </c>
      <c r="C4845" s="42" t="str">
        <f>IFERROR(__xludf.DUMMYFUNCTION("""COMPUTED_VALUE"""),"NIBEL M. 18387/RAJABASA RAYA")</f>
        <v>NIBEL M. 18387/RAJABASA RAYA</v>
      </c>
      <c r="D4845" s="42"/>
      <c r="E4845" s="42"/>
      <c r="F4845" s="48" t="str">
        <f>IFERROR(__xludf.DUMMYFUNCTION("""COMPUTED_VALUE"""),"")</f>
        <v/>
      </c>
      <c r="G4845" s="42" t="str">
        <f>IFERROR(__xludf.DUMMYFUNCTION("""COMPUTED_VALUE"""),"BN JUAL BELI")</f>
        <v>BN JUAL BELI</v>
      </c>
      <c r="H4845" s="42">
        <f t="shared" si="1"/>
        <v>2126</v>
      </c>
    </row>
    <row r="4846" ht="22.5" customHeight="1">
      <c r="B4846" s="42" t="str">
        <f>IFERROR(__xludf.DUMMYFUNCTION("""COMPUTED_VALUE"""),"L/17/110625/1")</f>
        <v>L/17/110625/1</v>
      </c>
      <c r="C4846" s="42" t="str">
        <f>IFERROR(__xludf.DUMMYFUNCTION("""COMPUTED_VALUE"""),"HM 1507/BUMI KEDAMAIAN")</f>
        <v>HM 1507/BUMI KEDAMAIAN</v>
      </c>
      <c r="D4846" s="42"/>
      <c r="E4846" s="42"/>
      <c r="F4846" s="48" t="str">
        <f>IFERROR(__xludf.DUMMYFUNCTION("""COMPUTED_VALUE"""),"")</f>
        <v/>
      </c>
      <c r="G4846" s="42" t="str">
        <f>IFERROR(__xludf.DUMMYFUNCTION("""COMPUTED_VALUE"""),"PTPGT")</f>
        <v>PTPGT</v>
      </c>
      <c r="H4846" s="42">
        <f t="shared" si="1"/>
        <v>2126</v>
      </c>
    </row>
    <row r="4847" ht="22.5" customHeight="1">
      <c r="B4847" s="42" t="str">
        <f>IFERROR(__xludf.DUMMYFUNCTION("""COMPUTED_VALUE"""),"K/16/110625/1")</f>
        <v>K/16/110625/1</v>
      </c>
      <c r="C4847" s="42" t="str">
        <f>IFERROR(__xludf.DUMMYFUNCTION("""COMPUTED_VALUE"""),"M. 80/ Sukarame baru")</f>
        <v>M. 80/ Sukarame baru</v>
      </c>
      <c r="D4847" s="42" t="str">
        <f>IFERROR(__xludf.DUMMYFUNCTION("""COMPUTED_VALUE"""),"David")</f>
        <v>David</v>
      </c>
      <c r="E4847" s="42" t="str">
        <f>IFERROR(__xludf.DUMMYFUNCTION("""COMPUTED_VALUE"""),"DISERAHKAN")</f>
        <v>DISERAHKAN</v>
      </c>
      <c r="F4847" s="48">
        <f>IFERROR(__xludf.DUMMYFUNCTION("""COMPUTED_VALUE"""),45847.67679133102)</f>
        <v>45847.67679</v>
      </c>
      <c r="G4847" s="42" t="str">
        <f>IFERROR(__xludf.DUMMYFUNCTION("""COMPUTED_VALUE"""),"Roya")</f>
        <v>Roya</v>
      </c>
      <c r="H4847" s="42">
        <f t="shared" si="1"/>
        <v>2127</v>
      </c>
    </row>
    <row r="4848" ht="22.5" customHeight="1">
      <c r="B4848" s="42" t="str">
        <f>IFERROR(__xludf.DUMMYFUNCTION("""COMPUTED_VALUE"""),"L/18/110625/1")</f>
        <v>L/18/110625/1</v>
      </c>
      <c r="C4848" s="42" t="str">
        <f>IFERROR(__xludf.DUMMYFUNCTION("""COMPUTED_VALUE"""),"HM 408/TANJUNG AGUNG")</f>
        <v>HM 408/TANJUNG AGUNG</v>
      </c>
      <c r="D4848" s="42" t="str">
        <f>IFERROR(__xludf.DUMMYFUNCTION("""COMPUTED_VALUE"""),"David")</f>
        <v>David</v>
      </c>
      <c r="E4848" s="42" t="str">
        <f>IFERROR(__xludf.DUMMYFUNCTION("""COMPUTED_VALUE"""),"DISERAHKAN")</f>
        <v>DISERAHKAN</v>
      </c>
      <c r="F4848" s="48">
        <f>IFERROR(__xludf.DUMMYFUNCTION("""COMPUTED_VALUE"""),45847.65696760417)</f>
        <v>45847.65697</v>
      </c>
      <c r="G4848" s="42" t="str">
        <f>IFERROR(__xludf.DUMMYFUNCTION("""COMPUTED_VALUE"""),"ROYA")</f>
        <v>ROYA</v>
      </c>
      <c r="H4848" s="42">
        <f t="shared" si="1"/>
        <v>2128</v>
      </c>
    </row>
    <row r="4849" ht="22.5" customHeight="1">
      <c r="B4849" s="42" t="str">
        <f>IFERROR(__xludf.DUMMYFUNCTION("""COMPUTED_VALUE"""),"K/20/110625/1")</f>
        <v>K/20/110625/1</v>
      </c>
      <c r="C4849" s="42" t="str">
        <f>IFERROR(__xludf.DUMMYFUNCTION("""COMPUTED_VALUE"""),"Nibel. M. 18699/ Rajabasa Jaya")</f>
        <v>Nibel. M. 18699/ Rajabasa Jaya</v>
      </c>
      <c r="D4849" s="42"/>
      <c r="E4849" s="42"/>
      <c r="F4849" s="48" t="str">
        <f>IFERROR(__xludf.DUMMYFUNCTION("""COMPUTED_VALUE"""),"")</f>
        <v/>
      </c>
      <c r="G4849" s="42" t="str">
        <f>IFERROR(__xludf.DUMMYFUNCTION("""COMPUTED_VALUE"""),"BN Jual Beli")</f>
        <v>BN Jual Beli</v>
      </c>
      <c r="H4849" s="42">
        <f t="shared" si="1"/>
        <v>2128</v>
      </c>
    </row>
    <row r="4850" ht="22.5" customHeight="1">
      <c r="B4850" s="42" t="str">
        <f>IFERROR(__xludf.DUMMYFUNCTION("""COMPUTED_VALUE"""),"K/21/110625/1")</f>
        <v>K/21/110625/1</v>
      </c>
      <c r="C4850" s="42" t="str">
        <f>IFERROR(__xludf.DUMMYFUNCTION("""COMPUTED_VALUE"""),"M. 12697/ Kedaton")</f>
        <v>M. 12697/ Kedaton</v>
      </c>
      <c r="D4850" s="42" t="str">
        <f>IFERROR(__xludf.DUMMYFUNCTION("""COMPUTED_VALUE"""),"Berry")</f>
        <v>Berry</v>
      </c>
      <c r="E4850" s="42" t="str">
        <f>IFERROR(__xludf.DUMMYFUNCTION("""COMPUTED_VALUE"""),"DISERAHKAN")</f>
        <v>DISERAHKAN</v>
      </c>
      <c r="F4850" s="48">
        <f>IFERROR(__xludf.DUMMYFUNCTION("""COMPUTED_VALUE"""),45831.53137848379)</f>
        <v>45831.53138</v>
      </c>
      <c r="G4850" s="42" t="str">
        <f>IFERROR(__xludf.DUMMYFUNCTION("""COMPUTED_VALUE"""),"BN HIBAH")</f>
        <v>BN HIBAH</v>
      </c>
      <c r="H4850" s="42">
        <f t="shared" si="1"/>
        <v>2129</v>
      </c>
    </row>
    <row r="4851" ht="22.5" customHeight="1">
      <c r="B4851" s="42" t="str">
        <f>IFERROR(__xludf.DUMMYFUNCTION("""COMPUTED_VALUE"""),"K/10/110625/1")</f>
        <v>K/10/110625/1</v>
      </c>
      <c r="C4851" s="42" t="str">
        <f>IFERROR(__xludf.DUMMYFUNCTION("""COMPUTED_VALUE"""),"M.2310/KUPANG TEBA")</f>
        <v>M.2310/KUPANG TEBA</v>
      </c>
      <c r="D4851" s="42"/>
      <c r="E4851" s="42"/>
      <c r="F4851" s="48" t="str">
        <f>IFERROR(__xludf.DUMMYFUNCTION("""COMPUTED_VALUE"""),"")</f>
        <v/>
      </c>
      <c r="G4851" s="42" t="str">
        <f>IFERROR(__xludf.DUMMYFUNCTION("""COMPUTED_VALUE"""),"SERTIPIKAT HILANG")</f>
        <v>SERTIPIKAT HILANG</v>
      </c>
      <c r="H4851" s="42">
        <f t="shared" si="1"/>
        <v>2129</v>
      </c>
    </row>
    <row r="4852" ht="22.5" customHeight="1">
      <c r="B4852" s="42" t="str">
        <f>IFERROR(__xludf.DUMMYFUNCTION("""COMPUTED_VALUE"""),"K/23/110625/1")</f>
        <v>K/23/110625/1</v>
      </c>
      <c r="C4852" s="42" t="str">
        <f>IFERROR(__xludf.DUMMYFUNCTION("""COMPUTED_VALUE"""),"M. 2629/KOTA KARANG")</f>
        <v>M. 2629/KOTA KARANG</v>
      </c>
      <c r="D4852" s="42" t="str">
        <f>IFERROR(__xludf.DUMMYFUNCTION("""COMPUTED_VALUE"""),"Berry")</f>
        <v>Berry</v>
      </c>
      <c r="E4852" s="42" t="str">
        <f>IFERROR(__xludf.DUMMYFUNCTION("""COMPUTED_VALUE"""),"DISERAHKAN")</f>
        <v>DISERAHKAN</v>
      </c>
      <c r="F4852" s="48">
        <f>IFERROR(__xludf.DUMMYFUNCTION("""COMPUTED_VALUE"""),45852.62947209491)</f>
        <v>45852.62947</v>
      </c>
      <c r="G4852" s="42" t="str">
        <f>IFERROR(__xludf.DUMMYFUNCTION("""COMPUTED_VALUE"""),"KEWARISAN")</f>
        <v>KEWARISAN</v>
      </c>
      <c r="H4852" s="42">
        <f t="shared" si="1"/>
        <v>2130</v>
      </c>
    </row>
    <row r="4853" ht="22.5" customHeight="1">
      <c r="B4853" s="42" t="str">
        <f>IFERROR(__xludf.DUMMYFUNCTION("""COMPUTED_VALUE"""),"K/19/110625/1")</f>
        <v>K/19/110625/1</v>
      </c>
      <c r="C4853" s="42" t="str">
        <f>IFERROR(__xludf.DUMMYFUNCTION("""COMPUTED_VALUE"""),"M. 511/TALANG")</f>
        <v>M. 511/TALANG</v>
      </c>
      <c r="D4853" s="42" t="str">
        <f>IFERROR(__xludf.DUMMYFUNCTION("""COMPUTED_VALUE"""),"Berry")</f>
        <v>Berry</v>
      </c>
      <c r="E4853" s="42" t="str">
        <f>IFERROR(__xludf.DUMMYFUNCTION("""COMPUTED_VALUE"""),"DISERAHKAN")</f>
        <v>DISERAHKAN</v>
      </c>
      <c r="F4853" s="48">
        <f>IFERROR(__xludf.DUMMYFUNCTION("""COMPUTED_VALUE"""),45838.67899072917)</f>
        <v>45838.67899</v>
      </c>
      <c r="G4853" s="42" t="str">
        <f>IFERROR(__xludf.DUMMYFUNCTION("""COMPUTED_VALUE"""),"BN JUAL BELI")</f>
        <v>BN JUAL BELI</v>
      </c>
      <c r="H4853" s="42">
        <f t="shared" si="1"/>
        <v>2131</v>
      </c>
    </row>
    <row r="4854" ht="22.5" customHeight="1">
      <c r="B4854" s="42" t="str">
        <f>IFERROR(__xludf.DUMMYFUNCTION("""COMPUTED_VALUE"""),"K/22/110625/2")</f>
        <v>K/22/110625/2</v>
      </c>
      <c r="C4854" s="42" t="str">
        <f>IFERROR(__xludf.DUMMYFUNCTION("""COMPUTED_VALUE"""),"M. 150/ Kali Balau Kencana")</f>
        <v>M. 150/ Kali Balau Kencana</v>
      </c>
      <c r="D4854" s="42"/>
      <c r="E4854" s="42"/>
      <c r="F4854" s="48" t="str">
        <f>IFERROR(__xludf.DUMMYFUNCTION("""COMPUTED_VALUE"""),"")</f>
        <v/>
      </c>
      <c r="G4854" s="42" t="str">
        <f>IFERROR(__xludf.DUMMYFUNCTION("""COMPUTED_VALUE"""),"BN HIBAH")</f>
        <v>BN HIBAH</v>
      </c>
      <c r="H4854" s="42">
        <f t="shared" si="1"/>
        <v>2131</v>
      </c>
    </row>
    <row r="4855" ht="22.5" customHeight="1">
      <c r="B4855" s="42" t="str">
        <f>IFERROR(__xludf.DUMMYFUNCTION("""COMPUTED_VALUE"""),"K/24/110625/1")</f>
        <v>K/24/110625/1</v>
      </c>
      <c r="C4855" s="42" t="str">
        <f>IFERROR(__xludf.DUMMYFUNCTION("""COMPUTED_VALUE"""),"M. 6285/ Way Kandis")</f>
        <v>M. 6285/ Way Kandis</v>
      </c>
      <c r="D4855" s="42" t="str">
        <f>IFERROR(__xludf.DUMMYFUNCTION("""COMPUTED_VALUE"""),"Berry")</f>
        <v>Berry</v>
      </c>
      <c r="E4855" s="42" t="str">
        <f>IFERROR(__xludf.DUMMYFUNCTION("""COMPUTED_VALUE"""),"DISERAHKAN")</f>
        <v>DISERAHKAN</v>
      </c>
      <c r="F4855" s="48">
        <f>IFERROR(__xludf.DUMMYFUNCTION("""COMPUTED_VALUE"""),45831.52893373843)</f>
        <v>45831.52893</v>
      </c>
      <c r="G4855" s="42" t="str">
        <f>IFERROR(__xludf.DUMMYFUNCTION("""COMPUTED_VALUE"""),"BN Jual Beli")</f>
        <v>BN Jual Beli</v>
      </c>
      <c r="H4855" s="42">
        <f t="shared" si="1"/>
        <v>2132</v>
      </c>
    </row>
    <row r="4856" ht="22.5" customHeight="1">
      <c r="B4856" s="42" t="str">
        <f>IFERROR(__xludf.DUMMYFUNCTION("""COMPUTED_VALUE"""),"K/25/110625/1")</f>
        <v>K/25/110625/1</v>
      </c>
      <c r="C4856" s="42" t="str">
        <f>IFERROR(__xludf.DUMMYFUNCTION("""COMPUTED_VALUE"""),"M. 9638/ KAMPUNG BARU")</f>
        <v>M. 9638/ KAMPUNG BARU</v>
      </c>
      <c r="D4856" s="42" t="str">
        <f>IFERROR(__xludf.DUMMYFUNCTION("""COMPUTED_VALUE"""),"Berry")</f>
        <v>Berry</v>
      </c>
      <c r="E4856" s="42" t="str">
        <f>IFERROR(__xludf.DUMMYFUNCTION("""COMPUTED_VALUE"""),"DISERAHKAN")</f>
        <v>DISERAHKAN</v>
      </c>
      <c r="F4856" s="48">
        <f>IFERROR(__xludf.DUMMYFUNCTION("""COMPUTED_VALUE"""),45891.58993909722)</f>
        <v>45891.58994</v>
      </c>
      <c r="G4856" s="42" t="str">
        <f>IFERROR(__xludf.DUMMYFUNCTION("""COMPUTED_VALUE"""),"ROYA")</f>
        <v>ROYA</v>
      </c>
      <c r="H4856" s="42">
        <f t="shared" si="1"/>
        <v>2133</v>
      </c>
    </row>
    <row r="4857" ht="22.5" customHeight="1">
      <c r="B4857" s="42" t="str">
        <f>IFERROR(__xludf.DUMMYFUNCTION("""COMPUTED_VALUE"""),"K/26/110625/1")</f>
        <v>K/26/110625/1</v>
      </c>
      <c r="C4857" s="42" t="str">
        <f>IFERROR(__xludf.DUMMYFUNCTION("""COMPUTED_VALUE"""),"M. 11922/ Rajabasa")</f>
        <v>M. 11922/ Rajabasa</v>
      </c>
      <c r="D4857" s="42"/>
      <c r="E4857" s="42"/>
      <c r="F4857" s="48" t="str">
        <f>IFERROR(__xludf.DUMMYFUNCTION("""COMPUTED_VALUE"""),"")</f>
        <v/>
      </c>
      <c r="G4857" s="42" t="str">
        <f>IFERROR(__xludf.DUMMYFUNCTION("""COMPUTED_VALUE"""),"ROYA")</f>
        <v>ROYA</v>
      </c>
      <c r="H4857" s="42">
        <f t="shared" si="1"/>
        <v>2133</v>
      </c>
    </row>
    <row r="4858" ht="22.5" customHeight="1">
      <c r="B4858" s="42" t="str">
        <f>IFERROR(__xludf.DUMMYFUNCTION("""COMPUTED_VALUE"""),"K/27/110625/1")</f>
        <v>K/27/110625/1</v>
      </c>
      <c r="C4858" s="42" t="str">
        <f>IFERROR(__xludf.DUMMYFUNCTION("""COMPUTED_VALUE"""),"HM 2403/DURIAN PAYUNG")</f>
        <v>HM 2403/DURIAN PAYUNG</v>
      </c>
      <c r="D4858" s="42"/>
      <c r="E4858" s="42"/>
      <c r="F4858" s="48" t="str">
        <f>IFERROR(__xludf.DUMMYFUNCTION("""COMPUTED_VALUE"""),"")</f>
        <v/>
      </c>
      <c r="G4858" s="42" t="str">
        <f>IFERROR(__xludf.DUMMYFUNCTION("""COMPUTED_VALUE"""),"BN JUAL-BELI")</f>
        <v>BN JUAL-BELI</v>
      </c>
      <c r="H4858" s="42">
        <f t="shared" si="1"/>
        <v>2133</v>
      </c>
    </row>
    <row r="4859" ht="22.5" customHeight="1">
      <c r="B4859" s="42" t="str">
        <f>IFERROR(__xludf.DUMMYFUNCTION("""COMPUTED_VALUE"""),"K/28/110625/2")</f>
        <v>K/28/110625/2</v>
      </c>
      <c r="C4859" s="42" t="str">
        <f>IFERROR(__xludf.DUMMYFUNCTION("""COMPUTED_VALUE"""),"HM 2474/DURIAN PAYUING")</f>
        <v>HM 2474/DURIAN PAYUING</v>
      </c>
      <c r="D4859" s="42"/>
      <c r="E4859" s="42"/>
      <c r="F4859" s="48" t="str">
        <f>IFERROR(__xludf.DUMMYFUNCTION("""COMPUTED_VALUE"""),"")</f>
        <v/>
      </c>
      <c r="G4859" s="42" t="str">
        <f>IFERROR(__xludf.DUMMYFUNCTION("""COMPUTED_VALUE"""),"BN JUAL- BELI")</f>
        <v>BN JUAL- BELI</v>
      </c>
      <c r="H4859" s="42">
        <f t="shared" si="1"/>
        <v>2133</v>
      </c>
    </row>
    <row r="4860" ht="22.5" customHeight="1">
      <c r="B4860" s="42" t="str">
        <f>IFERROR(__xludf.DUMMYFUNCTION("""COMPUTED_VALUE"""),"K/29/110625/1")</f>
        <v>K/29/110625/1</v>
      </c>
      <c r="C4860" s="42" t="str">
        <f>IFERROR(__xludf.DUMMYFUNCTION("""COMPUTED_VALUE"""),"Nibel 3528/ Way kandis")</f>
        <v>Nibel 3528/ Way kandis</v>
      </c>
      <c r="D4860" s="42"/>
      <c r="E4860" s="42"/>
      <c r="F4860" s="48" t="str">
        <f>IFERROR(__xludf.DUMMYFUNCTION("""COMPUTED_VALUE"""),"")</f>
        <v/>
      </c>
      <c r="G4860" s="42" t="str">
        <f>IFERROR(__xludf.DUMMYFUNCTION("""COMPUTED_VALUE"""),"BN JUAL BELI")</f>
        <v>BN JUAL BELI</v>
      </c>
      <c r="H4860" s="42">
        <f t="shared" si="1"/>
        <v>2133</v>
      </c>
    </row>
    <row r="4861" ht="22.5" customHeight="1">
      <c r="B4861" s="42" t="str">
        <f>IFERROR(__xludf.DUMMYFUNCTION("""COMPUTED_VALUE"""),"K/31/110625/2")</f>
        <v>K/31/110625/2</v>
      </c>
      <c r="C4861" s="42" t="str">
        <f>IFERROR(__xludf.DUMMYFUNCTION("""COMPUTED_VALUE"""),"M. 474/ Tanjung Senang")</f>
        <v>M. 474/ Tanjung Senang</v>
      </c>
      <c r="D4861" s="42"/>
      <c r="E4861" s="42"/>
      <c r="F4861" s="48" t="str">
        <f>IFERROR(__xludf.DUMMYFUNCTION("""COMPUTED_VALUE"""),"")</f>
        <v/>
      </c>
      <c r="G4861" s="42" t="str">
        <f>IFERROR(__xludf.DUMMYFUNCTION("""COMPUTED_VALUE"""),"BN Jual Beli")</f>
        <v>BN Jual Beli</v>
      </c>
      <c r="H4861" s="42">
        <f t="shared" si="1"/>
        <v>2133</v>
      </c>
    </row>
    <row r="4862" ht="22.5" customHeight="1">
      <c r="B4862" s="42" t="str">
        <f>IFERROR(__xludf.DUMMYFUNCTION("""COMPUTED_VALUE"""),"K/30/110625/1")</f>
        <v>K/30/110625/1</v>
      </c>
      <c r="C4862" s="42" t="str">
        <f>IFERROR(__xludf.DUMMYFUNCTION("""COMPUTED_VALUE"""),"M. 13119/ Sukarame")</f>
        <v>M. 13119/ Sukarame</v>
      </c>
      <c r="D4862" s="42"/>
      <c r="E4862" s="42"/>
      <c r="F4862" s="48" t="str">
        <f>IFERROR(__xludf.DUMMYFUNCTION("""COMPUTED_VALUE"""),"")</f>
        <v/>
      </c>
      <c r="G4862" s="42" t="str">
        <f>IFERROR(__xludf.DUMMYFUNCTION("""COMPUTED_VALUE"""),"BN Jual Beli")</f>
        <v>BN Jual Beli</v>
      </c>
      <c r="H4862" s="42">
        <f t="shared" si="1"/>
        <v>2133</v>
      </c>
    </row>
    <row r="4863" ht="22.5" customHeight="1">
      <c r="B4863" s="42" t="str">
        <f>IFERROR(__xludf.DUMMYFUNCTION("""COMPUTED_VALUE"""),"K/1/120625/1")</f>
        <v>K/1/120625/1</v>
      </c>
      <c r="C4863" s="42" t="str">
        <f>IFERROR(__xludf.DUMMYFUNCTION("""COMPUTED_VALUE"""),"M. 7023/ Tanjung Senang")</f>
        <v>M. 7023/ Tanjung Senang</v>
      </c>
      <c r="D4863" s="42" t="str">
        <f>IFERROR(__xludf.DUMMYFUNCTION("""COMPUTED_VALUE"""),"Berry")</f>
        <v>Berry</v>
      </c>
      <c r="E4863" s="42" t="str">
        <f>IFERROR(__xludf.DUMMYFUNCTION("""COMPUTED_VALUE"""),"DISERAHKAN")</f>
        <v>DISERAHKAN</v>
      </c>
      <c r="F4863" s="48">
        <f>IFERROR(__xludf.DUMMYFUNCTION("""COMPUTED_VALUE"""),45841.500602280095)</f>
        <v>45841.5006</v>
      </c>
      <c r="G4863" s="42" t="str">
        <f>IFERROR(__xludf.DUMMYFUNCTION("""COMPUTED_VALUE"""),"BN Jual Beli")</f>
        <v>BN Jual Beli</v>
      </c>
      <c r="H4863" s="42">
        <f t="shared" si="1"/>
        <v>2134</v>
      </c>
    </row>
    <row r="4864" ht="22.5" customHeight="1">
      <c r="B4864" s="42" t="str">
        <f>IFERROR(__xludf.DUMMYFUNCTION("""COMPUTED_VALUE"""),"K/2/120625/1")</f>
        <v>K/2/120625/1</v>
      </c>
      <c r="C4864" s="42" t="str">
        <f>IFERROR(__xludf.DUMMYFUNCTION("""COMPUTED_VALUE"""),"M. 9206/ gd meneng")</f>
        <v>M. 9206/ gd meneng</v>
      </c>
      <c r="D4864" s="42" t="str">
        <f>IFERROR(__xludf.DUMMYFUNCTION("""COMPUTED_VALUE"""),"David")</f>
        <v>David</v>
      </c>
      <c r="E4864" s="42" t="str">
        <f>IFERROR(__xludf.DUMMYFUNCTION("""COMPUTED_VALUE"""),"DISERAHKAN")</f>
        <v>DISERAHKAN</v>
      </c>
      <c r="F4864" s="48">
        <f>IFERROR(__xludf.DUMMYFUNCTION("""COMPUTED_VALUE"""),45839.600352974536)</f>
        <v>45839.60035</v>
      </c>
      <c r="G4864" s="42" t="str">
        <f>IFERROR(__xludf.DUMMYFUNCTION("""COMPUTED_VALUE"""),"BN JUAL BELI")</f>
        <v>BN JUAL BELI</v>
      </c>
      <c r="H4864" s="42">
        <f t="shared" si="1"/>
        <v>2135</v>
      </c>
    </row>
    <row r="4865" ht="22.5" customHeight="1">
      <c r="B4865" s="42" t="str">
        <f>IFERROR(__xludf.DUMMYFUNCTION("""COMPUTED_VALUE"""),"K/3/120625/1")</f>
        <v>K/3/120625/1</v>
      </c>
      <c r="C4865" s="42" t="str">
        <f>IFERROR(__xludf.DUMMYFUNCTION("""COMPUTED_VALUE"""),"Nibel. M. 19695/ Gunung Sulah")</f>
        <v>Nibel. M. 19695/ Gunung Sulah</v>
      </c>
      <c r="D4865" s="42"/>
      <c r="E4865" s="42"/>
      <c r="F4865" s="48" t="str">
        <f>IFERROR(__xludf.DUMMYFUNCTION("""COMPUTED_VALUE"""),"")</f>
        <v/>
      </c>
      <c r="G4865" s="42" t="str">
        <f>IFERROR(__xludf.DUMMYFUNCTION("""COMPUTED_VALUE"""),"BN Jual Beli")</f>
        <v>BN Jual Beli</v>
      </c>
      <c r="H4865" s="42">
        <f t="shared" si="1"/>
        <v>2135</v>
      </c>
    </row>
    <row r="4866" ht="22.5" customHeight="1">
      <c r="B4866" s="42" t="str">
        <f>IFERROR(__xludf.DUMMYFUNCTION("""COMPUTED_VALUE"""),"K/4/120625/1")</f>
        <v>K/4/120625/1</v>
      </c>
      <c r="C4866" s="42" t="str">
        <f>IFERROR(__xludf.DUMMYFUNCTION("""COMPUTED_VALUE"""),"Nibel. M. 6379/ Sukamaju")</f>
        <v>Nibel. M. 6379/ Sukamaju</v>
      </c>
      <c r="D4866" s="42"/>
      <c r="E4866" s="42"/>
      <c r="F4866" s="48" t="str">
        <f>IFERROR(__xludf.DUMMYFUNCTION("""COMPUTED_VALUE"""),"")</f>
        <v/>
      </c>
      <c r="G4866" s="42" t="str">
        <f>IFERROR(__xludf.DUMMYFUNCTION("""COMPUTED_VALUE"""),"BN Jual Beli")</f>
        <v>BN Jual Beli</v>
      </c>
      <c r="H4866" s="42">
        <f t="shared" si="1"/>
        <v>2135</v>
      </c>
    </row>
    <row r="4867" ht="22.5" customHeight="1">
      <c r="B4867" s="42" t="str">
        <f>IFERROR(__xludf.DUMMYFUNCTION("""COMPUTED_VALUE"""),"K/5/120625/2")</f>
        <v>K/5/120625/2</v>
      </c>
      <c r="C4867" s="42" t="str">
        <f>IFERROR(__xludf.DUMMYFUNCTION("""COMPUTED_VALUE"""),"Nibel. M. 6395/ Sukamaju")</f>
        <v>Nibel. M. 6395/ Sukamaju</v>
      </c>
      <c r="D4867" s="42"/>
      <c r="E4867" s="42"/>
      <c r="F4867" s="48" t="str">
        <f>IFERROR(__xludf.DUMMYFUNCTION("""COMPUTED_VALUE"""),"")</f>
        <v/>
      </c>
      <c r="G4867" s="42" t="str">
        <f>IFERROR(__xludf.DUMMYFUNCTION("""COMPUTED_VALUE"""),"BN Jual Beli")</f>
        <v>BN Jual Beli</v>
      </c>
      <c r="H4867" s="42">
        <f t="shared" si="1"/>
        <v>2135</v>
      </c>
    </row>
    <row r="4868" ht="22.5" customHeight="1">
      <c r="B4868" s="42" t="str">
        <f>IFERROR(__xludf.DUMMYFUNCTION("""COMPUTED_VALUE"""),"K/6/120625/3")</f>
        <v>K/6/120625/3</v>
      </c>
      <c r="C4868" s="42" t="str">
        <f>IFERROR(__xludf.DUMMYFUNCTION("""COMPUTED_VALUE"""),"Nibel. M. 6392/ Sukamaju")</f>
        <v>Nibel. M. 6392/ Sukamaju</v>
      </c>
      <c r="D4868" s="42"/>
      <c r="E4868" s="42"/>
      <c r="F4868" s="48" t="str">
        <f>IFERROR(__xludf.DUMMYFUNCTION("""COMPUTED_VALUE"""),"")</f>
        <v/>
      </c>
      <c r="G4868" s="42" t="str">
        <f>IFERROR(__xludf.DUMMYFUNCTION("""COMPUTED_VALUE"""),"BN Jual Beli")</f>
        <v>BN Jual Beli</v>
      </c>
      <c r="H4868" s="42">
        <f t="shared" si="1"/>
        <v>2135</v>
      </c>
    </row>
    <row r="4869" ht="22.5" customHeight="1">
      <c r="B4869" s="42" t="str">
        <f>IFERROR(__xludf.DUMMYFUNCTION("""COMPUTED_VALUE"""),"K/7/120625/4")</f>
        <v>K/7/120625/4</v>
      </c>
      <c r="C4869" s="42" t="str">
        <f>IFERROR(__xludf.DUMMYFUNCTION("""COMPUTED_VALUE"""),"Nibel. M. 6383/ Sukamaju")</f>
        <v>Nibel. M. 6383/ Sukamaju</v>
      </c>
      <c r="D4869" s="42"/>
      <c r="E4869" s="42"/>
      <c r="F4869" s="48" t="str">
        <f>IFERROR(__xludf.DUMMYFUNCTION("""COMPUTED_VALUE"""),"")</f>
        <v/>
      </c>
      <c r="G4869" s="42" t="str">
        <f>IFERROR(__xludf.DUMMYFUNCTION("""COMPUTED_VALUE"""),"BN Jual Beli")</f>
        <v>BN Jual Beli</v>
      </c>
      <c r="H4869" s="42">
        <f t="shared" si="1"/>
        <v>2135</v>
      </c>
    </row>
    <row r="4870" ht="22.5" customHeight="1">
      <c r="B4870" s="42" t="str">
        <f>IFERROR(__xludf.DUMMYFUNCTION("""COMPUTED_VALUE"""),"K/8/120625/5")</f>
        <v>K/8/120625/5</v>
      </c>
      <c r="C4870" s="42" t="str">
        <f>IFERROR(__xludf.DUMMYFUNCTION("""COMPUTED_VALUE"""),"Nibel. M. 6405/ Sukamaju")</f>
        <v>Nibel. M. 6405/ Sukamaju</v>
      </c>
      <c r="D4870" s="42"/>
      <c r="E4870" s="42"/>
      <c r="F4870" s="48" t="str">
        <f>IFERROR(__xludf.DUMMYFUNCTION("""COMPUTED_VALUE"""),"")</f>
        <v/>
      </c>
      <c r="G4870" s="42" t="str">
        <f>IFERROR(__xludf.DUMMYFUNCTION("""COMPUTED_VALUE"""),"BN Jual Beli")</f>
        <v>BN Jual Beli</v>
      </c>
      <c r="H4870" s="42">
        <f t="shared" si="1"/>
        <v>2135</v>
      </c>
    </row>
    <row r="4871" ht="22.5" customHeight="1">
      <c r="B4871" s="42" t="str">
        <f>IFERROR(__xludf.DUMMYFUNCTION("""COMPUTED_VALUE"""),"L/12/120625/1")</f>
        <v>L/12/120625/1</v>
      </c>
      <c r="C4871" s="42" t="str">
        <f>IFERROR(__xludf.DUMMYFUNCTION("""COMPUTED_VALUE"""),"HM 10608/KEDATON")</f>
        <v>HM 10608/KEDATON</v>
      </c>
      <c r="D4871" s="42" t="str">
        <f>IFERROR(__xludf.DUMMYFUNCTION("""COMPUTED_VALUE"""),"David")</f>
        <v>David</v>
      </c>
      <c r="E4871" s="42" t="str">
        <f>IFERROR(__xludf.DUMMYFUNCTION("""COMPUTED_VALUE"""),"DISERAHKAN")</f>
        <v>DISERAHKAN</v>
      </c>
      <c r="F4871" s="48">
        <f>IFERROR(__xludf.DUMMYFUNCTION("""COMPUTED_VALUE"""),45849.65019863426)</f>
        <v>45849.6502</v>
      </c>
      <c r="G4871" s="42" t="str">
        <f>IFERROR(__xludf.DUMMYFUNCTION("""COMPUTED_VALUE"""),"ROYA")</f>
        <v>ROYA</v>
      </c>
      <c r="H4871" s="42">
        <f t="shared" si="1"/>
        <v>2136</v>
      </c>
    </row>
    <row r="4872" ht="22.5" customHeight="1">
      <c r="B4872" s="42" t="str">
        <f>IFERROR(__xludf.DUMMYFUNCTION("""COMPUTED_VALUE"""),"K/11/120625/1")</f>
        <v>K/11/120625/1</v>
      </c>
      <c r="C4872" s="42" t="str">
        <f>IFERROR(__xludf.DUMMYFUNCTION("""COMPUTED_VALUE"""),"NIBEL M 18441/SUKARAME BARU")</f>
        <v>NIBEL M 18441/SUKARAME BARU</v>
      </c>
      <c r="D4872" s="42"/>
      <c r="E4872" s="42"/>
      <c r="F4872" s="48" t="str">
        <f>IFERROR(__xludf.DUMMYFUNCTION("""COMPUTED_VALUE"""),"")</f>
        <v/>
      </c>
      <c r="G4872" s="42" t="str">
        <f>IFERROR(__xludf.DUMMYFUNCTION("""COMPUTED_VALUE"""),"JUAL BELI")</f>
        <v>JUAL BELI</v>
      </c>
      <c r="H4872" s="42">
        <f t="shared" si="1"/>
        <v>2136</v>
      </c>
    </row>
    <row r="4873" ht="22.5" customHeight="1">
      <c r="B4873" s="42" t="str">
        <f>IFERROR(__xludf.DUMMYFUNCTION("""COMPUTED_VALUE"""),"K/13/120625/1")</f>
        <v>K/13/120625/1</v>
      </c>
      <c r="C4873" s="42" t="str">
        <f>IFERROR(__xludf.DUMMYFUNCTION("""COMPUTED_VALUE"""),"PENGAJARAN")</f>
        <v>PENGAJARAN</v>
      </c>
      <c r="D4873" s="42"/>
      <c r="E4873" s="42"/>
      <c r="F4873" s="48" t="str">
        <f>IFERROR(__xludf.DUMMYFUNCTION("""COMPUTED_VALUE"""),"")</f>
        <v/>
      </c>
      <c r="G4873" s="42" t="str">
        <f>IFERROR(__xludf.DUMMYFUNCTION("""COMPUTED_VALUE"""),"TANAH MENTAH")</f>
        <v>TANAH MENTAH</v>
      </c>
      <c r="H4873" s="42">
        <f t="shared" si="1"/>
        <v>2136</v>
      </c>
    </row>
    <row r="4874" ht="22.5" customHeight="1">
      <c r="B4874" s="42" t="str">
        <f>IFERROR(__xludf.DUMMYFUNCTION("""COMPUTED_VALUE"""),"K/14/120625/1")</f>
        <v>K/14/120625/1</v>
      </c>
      <c r="C4874" s="42" t="str">
        <f>IFERROR(__xludf.DUMMYFUNCTION("""COMPUTED_VALUE"""),"NIBEL M.21002/SUKAMENANTI")</f>
        <v>NIBEL M.21002/SUKAMENANTI</v>
      </c>
      <c r="D4874" s="42"/>
      <c r="E4874" s="42"/>
      <c r="F4874" s="48" t="str">
        <f>IFERROR(__xludf.DUMMYFUNCTION("""COMPUTED_VALUE"""),"")</f>
        <v/>
      </c>
      <c r="G4874" s="42" t="str">
        <f>IFERROR(__xludf.DUMMYFUNCTION("""COMPUTED_VALUE"""),"PTPGT ")</f>
        <v>PTPGT </v>
      </c>
      <c r="H4874" s="42">
        <f t="shared" si="1"/>
        <v>2136</v>
      </c>
    </row>
    <row r="4875" ht="22.5" customHeight="1">
      <c r="B4875" s="42" t="str">
        <f>IFERROR(__xludf.DUMMYFUNCTION("""COMPUTED_VALUE"""),"K/9/120625/1")</f>
        <v>K/9/120625/1</v>
      </c>
      <c r="C4875" s="42" t="str">
        <f>IFERROR(__xludf.DUMMYFUNCTION("""COMPUTED_VALUE"""),"Nibel. B. 3073/ Keteguhan")</f>
        <v>Nibel. B. 3073/ Keteguhan</v>
      </c>
      <c r="D4875" s="42"/>
      <c r="E4875" s="42"/>
      <c r="F4875" s="48" t="str">
        <f>IFERROR(__xludf.DUMMYFUNCTION("""COMPUTED_VALUE"""),"")</f>
        <v/>
      </c>
      <c r="G4875" s="42" t="str">
        <f>IFERROR(__xludf.DUMMYFUNCTION("""COMPUTED_VALUE"""),"BN Jual Beli")</f>
        <v>BN Jual Beli</v>
      </c>
      <c r="H4875" s="42">
        <f t="shared" si="1"/>
        <v>2136</v>
      </c>
    </row>
    <row r="4876" ht="22.5" customHeight="1">
      <c r="B4876" s="42" t="str">
        <f>IFERROR(__xludf.DUMMYFUNCTION("""COMPUTED_VALUE"""),"K/15/120625/1")</f>
        <v>K/15/120625/1</v>
      </c>
      <c r="C4876" s="42" t="str">
        <f>IFERROR(__xludf.DUMMYFUNCTION("""COMPUTED_VALUE"""),"M. 5612/ Langkapura")</f>
        <v>M. 5612/ Langkapura</v>
      </c>
      <c r="D4876" s="42" t="str">
        <f>IFERROR(__xludf.DUMMYFUNCTION("""COMPUTED_VALUE"""),"David")</f>
        <v>David</v>
      </c>
      <c r="E4876" s="42" t="str">
        <f>IFERROR(__xludf.DUMMYFUNCTION("""COMPUTED_VALUE"""),"DISERAHKAN")</f>
        <v>DISERAHKAN</v>
      </c>
      <c r="F4876" s="48">
        <f>IFERROR(__xludf.DUMMYFUNCTION("""COMPUTED_VALUE"""),45839.586446608795)</f>
        <v>45839.58645</v>
      </c>
      <c r="G4876" s="42" t="str">
        <f>IFERROR(__xludf.DUMMYFUNCTION("""COMPUTED_VALUE"""),"BN JUAL BELI")</f>
        <v>BN JUAL BELI</v>
      </c>
      <c r="H4876" s="42">
        <f t="shared" si="1"/>
        <v>2137</v>
      </c>
    </row>
    <row r="4877" ht="22.5" customHeight="1">
      <c r="B4877" s="42" t="str">
        <f>IFERROR(__xludf.DUMMYFUNCTION("""COMPUTED_VALUE"""),"K/17/120625/1")</f>
        <v>K/17/120625/1</v>
      </c>
      <c r="C4877" s="42" t="str">
        <f>IFERROR(__xludf.DUMMYFUNCTION("""COMPUTED_VALUE"""),"NIBEL M.10958/PESAWAHAN")</f>
        <v>NIBEL M.10958/PESAWAHAN</v>
      </c>
      <c r="D4877" s="42"/>
      <c r="E4877" s="42"/>
      <c r="F4877" s="48" t="str">
        <f>IFERROR(__xludf.DUMMYFUNCTION("""COMPUTED_VALUE"""),"")</f>
        <v/>
      </c>
      <c r="G4877" s="42" t="str">
        <f>IFERROR(__xludf.DUMMYFUNCTION("""COMPUTED_VALUE"""),"KEWARISAN")</f>
        <v>KEWARISAN</v>
      </c>
      <c r="H4877" s="42">
        <f t="shared" si="1"/>
        <v>2137</v>
      </c>
    </row>
    <row r="4878" ht="22.5" customHeight="1">
      <c r="B4878" s="42" t="str">
        <f>IFERROR(__xludf.DUMMYFUNCTION("""COMPUTED_VALUE"""),"K/16/120625/2")</f>
        <v>K/16/120625/2</v>
      </c>
      <c r="C4878" s="42" t="str">
        <f>IFERROR(__xludf.DUMMYFUNCTION("""COMPUTED_VALUE"""),"M. 19733/ Sukarame")</f>
        <v>M. 19733/ Sukarame</v>
      </c>
      <c r="D4878" s="42"/>
      <c r="E4878" s="42"/>
      <c r="F4878" s="48" t="str">
        <f>IFERROR(__xludf.DUMMYFUNCTION("""COMPUTED_VALUE"""),"")</f>
        <v/>
      </c>
      <c r="G4878" s="42" t="str">
        <f>IFERROR(__xludf.DUMMYFUNCTION("""COMPUTED_VALUE"""),"BN JUAL BELI")</f>
        <v>BN JUAL BELI</v>
      </c>
      <c r="H4878" s="42">
        <f t="shared" si="1"/>
        <v>2137</v>
      </c>
    </row>
    <row r="4879" ht="22.5" customHeight="1">
      <c r="B4879" s="42" t="str">
        <f>IFERROR(__xludf.DUMMYFUNCTION("""COMPUTED_VALUE"""),"L/19/120625/1")</f>
        <v>L/19/120625/1</v>
      </c>
      <c r="C4879" s="42" t="str">
        <f>IFERROR(__xludf.DUMMYFUNCTION("""COMPUTED_VALUE"""),"HM 9817/LABUHAN RATU")</f>
        <v>HM 9817/LABUHAN RATU</v>
      </c>
      <c r="D4879" s="42"/>
      <c r="E4879" s="42"/>
      <c r="F4879" s="48" t="str">
        <f>IFERROR(__xludf.DUMMYFUNCTION("""COMPUTED_VALUE"""),"")</f>
        <v/>
      </c>
      <c r="G4879" s="42" t="str">
        <f>IFERROR(__xludf.DUMMYFUNCTION("""COMPUTED_VALUE"""),"BLOKIR")</f>
        <v>BLOKIR</v>
      </c>
      <c r="H4879" s="42">
        <f t="shared" si="1"/>
        <v>2137</v>
      </c>
    </row>
    <row r="4880" ht="22.5" customHeight="1">
      <c r="B4880" s="42" t="str">
        <f>IFERROR(__xludf.DUMMYFUNCTION("""COMPUTED_VALUE"""),"K/20/120625/1")</f>
        <v>K/20/120625/1</v>
      </c>
      <c r="C4880" s="42" t="str">
        <f>IFERROR(__xludf.DUMMYFUNCTION("""COMPUTED_VALUE"""),"M. 687/SUSUNAN BARU")</f>
        <v>M. 687/SUSUNAN BARU</v>
      </c>
      <c r="D4880" s="42" t="str">
        <f>IFERROR(__xludf.DUMMYFUNCTION("""COMPUTED_VALUE"""),"Berry")</f>
        <v>Berry</v>
      </c>
      <c r="E4880" s="42" t="str">
        <f>IFERROR(__xludf.DUMMYFUNCTION("""COMPUTED_VALUE"""),"DISERAHKAN")</f>
        <v>DISERAHKAN</v>
      </c>
      <c r="F4880" s="48">
        <f>IFERROR(__xludf.DUMMYFUNCTION("""COMPUTED_VALUE"""),45924.694496909724)</f>
        <v>45924.6945</v>
      </c>
      <c r="G4880" s="42" t="str">
        <f>IFERROR(__xludf.DUMMYFUNCTION("""COMPUTED_VALUE"""),"BN WARIS")</f>
        <v>BN WARIS</v>
      </c>
      <c r="H4880" s="42">
        <f t="shared" si="1"/>
        <v>2138</v>
      </c>
    </row>
    <row r="4881" ht="22.5" customHeight="1">
      <c r="B4881" s="42" t="str">
        <f>IFERROR(__xludf.DUMMYFUNCTION("""COMPUTED_VALUE"""),"K/10/120625/1")</f>
        <v>K/10/120625/1</v>
      </c>
      <c r="C4881" s="42" t="str">
        <f>IFERROR(__xludf.DUMMYFUNCTION("""COMPUTED_VALUE"""),"M. 12880/ Jagabaya II")</f>
        <v>M. 12880/ Jagabaya II</v>
      </c>
      <c r="D4881" s="42" t="str">
        <f>IFERROR(__xludf.DUMMYFUNCTION("""COMPUTED_VALUE"""),"Berry")</f>
        <v>Berry</v>
      </c>
      <c r="E4881" s="42" t="str">
        <f>IFERROR(__xludf.DUMMYFUNCTION("""COMPUTED_VALUE"""),"DISERAHKAN")</f>
        <v>DISERAHKAN</v>
      </c>
      <c r="F4881" s="48">
        <f>IFERROR(__xludf.DUMMYFUNCTION("""COMPUTED_VALUE"""),45831.526169386576)</f>
        <v>45831.52617</v>
      </c>
      <c r="G4881" s="42" t="str">
        <f>IFERROR(__xludf.DUMMYFUNCTION("""COMPUTED_VALUE"""),"BN Jual Beli")</f>
        <v>BN Jual Beli</v>
      </c>
      <c r="H4881" s="42">
        <f t="shared" si="1"/>
        <v>2139</v>
      </c>
    </row>
    <row r="4882" ht="22.5" customHeight="1">
      <c r="B4882" s="42" t="str">
        <f>IFERROR(__xludf.DUMMYFUNCTION("""COMPUTED_VALUE"""),"K/18/120625/2")</f>
        <v>K/18/120625/2</v>
      </c>
      <c r="C4882" s="42" t="str">
        <f>IFERROR(__xludf.DUMMYFUNCTION("""COMPUTED_VALUE"""),"M.9238/KEDAMAIAN")</f>
        <v>M.9238/KEDAMAIAN</v>
      </c>
      <c r="D4882" s="42" t="str">
        <f>IFERROR(__xludf.DUMMYFUNCTION("""COMPUTED_VALUE"""),"Berry")</f>
        <v>Berry</v>
      </c>
      <c r="E4882" s="42" t="str">
        <f>IFERROR(__xludf.DUMMYFUNCTION("""COMPUTED_VALUE"""),"DISERAHKAN")</f>
        <v>DISERAHKAN</v>
      </c>
      <c r="F4882" s="48">
        <f>IFERROR(__xludf.DUMMYFUNCTION("""COMPUTED_VALUE"""),45839.629702418984)</f>
        <v>45839.6297</v>
      </c>
      <c r="G4882" s="42" t="str">
        <f>IFERROR(__xludf.DUMMYFUNCTION("""COMPUTED_VALUE"""),"JUAL BELI")</f>
        <v>JUAL BELI</v>
      </c>
      <c r="H4882" s="42">
        <f t="shared" si="1"/>
        <v>2140</v>
      </c>
    </row>
    <row r="4883" ht="22.5" customHeight="1">
      <c r="B4883" s="42" t="str">
        <f>IFERROR(__xludf.DUMMYFUNCTION("""COMPUTED_VALUE"""),"L/23/120625/1")</f>
        <v>L/23/120625/1</v>
      </c>
      <c r="C4883" s="42" t="str">
        <f>IFERROR(__xludf.DUMMYFUNCTION("""COMPUTED_VALUE"""),"HGB 94/PEMATANG WANGI")</f>
        <v>HGB 94/PEMATANG WANGI</v>
      </c>
      <c r="D4883" s="42" t="str">
        <f>IFERROR(__xludf.DUMMYFUNCTION("""COMPUTED_VALUE"""),"Berry")</f>
        <v>Berry</v>
      </c>
      <c r="E4883" s="42" t="str">
        <f>IFERROR(__xludf.DUMMYFUNCTION("""COMPUTED_VALUE"""),"DISERAHKAN")</f>
        <v>DISERAHKAN</v>
      </c>
      <c r="F4883" s="48">
        <f>IFERROR(__xludf.DUMMYFUNCTION("""COMPUTED_VALUE"""),45840.57064215278)</f>
        <v>45840.57064</v>
      </c>
      <c r="G4883" s="42" t="str">
        <f>IFERROR(__xludf.DUMMYFUNCTION("""COMPUTED_VALUE"""),"PH")</f>
        <v>PH</v>
      </c>
      <c r="H4883" s="42">
        <f t="shared" si="1"/>
        <v>2141</v>
      </c>
    </row>
    <row r="4884" ht="22.5" customHeight="1">
      <c r="B4884" s="42" t="str">
        <f>IFERROR(__xludf.DUMMYFUNCTION("""COMPUTED_VALUE"""),"K/22/120625/1")</f>
        <v>K/22/120625/1</v>
      </c>
      <c r="C4884" s="42" t="str">
        <f>IFERROR(__xludf.DUMMYFUNCTION("""COMPUTED_VALUE"""),"M.1983/RAJABASA JAYA")</f>
        <v>M.1983/RAJABASA JAYA</v>
      </c>
      <c r="D4884" s="42" t="str">
        <f>IFERROR(__xludf.DUMMYFUNCTION("""COMPUTED_VALUE"""),"Berry")</f>
        <v>Berry</v>
      </c>
      <c r="E4884" s="42" t="str">
        <f>IFERROR(__xludf.DUMMYFUNCTION("""COMPUTED_VALUE"""),"DISERAHKAN")</f>
        <v>DISERAHKAN</v>
      </c>
      <c r="F4884" s="48">
        <f>IFERROR(__xludf.DUMMYFUNCTION("""COMPUTED_VALUE"""),45831.537225)</f>
        <v>45831.53723</v>
      </c>
      <c r="G4884" s="42" t="str">
        <f>IFERROR(__xludf.DUMMYFUNCTION("""COMPUTED_VALUE"""),"JUAL BELI")</f>
        <v>JUAL BELI</v>
      </c>
      <c r="H4884" s="42">
        <f t="shared" si="1"/>
        <v>2142</v>
      </c>
    </row>
    <row r="4885" ht="22.5" customHeight="1">
      <c r="B4885" s="42" t="str">
        <f>IFERROR(__xludf.DUMMYFUNCTION("""COMPUTED_VALUE"""),"K/24/120625/1")</f>
        <v>K/24/120625/1</v>
      </c>
      <c r="C4885" s="42" t="str">
        <f>IFERROR(__xludf.DUMMYFUNCTION("""COMPUTED_VALUE"""),"Nibel. M. 18214/ Bakung")</f>
        <v>Nibel. M. 18214/ Bakung</v>
      </c>
      <c r="D4885" s="42"/>
      <c r="E4885" s="42"/>
      <c r="F4885" s="48" t="str">
        <f>IFERROR(__xludf.DUMMYFUNCTION("""COMPUTED_VALUE"""),"")</f>
        <v/>
      </c>
      <c r="G4885" s="42" t="str">
        <f>IFERROR(__xludf.DUMMYFUNCTION("""COMPUTED_VALUE"""),"PTPGT (Pemecahan)")</f>
        <v>PTPGT (Pemecahan)</v>
      </c>
      <c r="H4885" s="42">
        <f t="shared" si="1"/>
        <v>2142</v>
      </c>
    </row>
    <row r="4886" ht="22.5" customHeight="1">
      <c r="B4886" s="42" t="str">
        <f>IFERROR(__xludf.DUMMYFUNCTION("""COMPUTED_VALUE"""),"K/25/120625/1")</f>
        <v>K/25/120625/1</v>
      </c>
      <c r="C4886" s="42" t="str">
        <f>IFERROR(__xludf.DUMMYFUNCTION("""COMPUTED_VALUE"""),"Nibel. M. 6384/ Sukamaju")</f>
        <v>Nibel. M. 6384/ Sukamaju</v>
      </c>
      <c r="D4886" s="42"/>
      <c r="E4886" s="42"/>
      <c r="F4886" s="48" t="str">
        <f>IFERROR(__xludf.DUMMYFUNCTION("""COMPUTED_VALUE"""),"")</f>
        <v/>
      </c>
      <c r="G4886" s="42" t="str">
        <f>IFERROR(__xludf.DUMMYFUNCTION("""COMPUTED_VALUE"""),"BN Jual Beli")</f>
        <v>BN Jual Beli</v>
      </c>
      <c r="H4886" s="42">
        <f t="shared" si="1"/>
        <v>2142</v>
      </c>
    </row>
    <row r="4887" ht="22.5" customHeight="1">
      <c r="B4887" s="42" t="str">
        <f>IFERROR(__xludf.DUMMYFUNCTION("""COMPUTED_VALUE"""),"K/26/120625/2")</f>
        <v>K/26/120625/2</v>
      </c>
      <c r="C4887" s="42" t="str">
        <f>IFERROR(__xludf.DUMMYFUNCTION("""COMPUTED_VALUE"""),"Nibel. M. 6401/ Sukamaju")</f>
        <v>Nibel. M. 6401/ Sukamaju</v>
      </c>
      <c r="D4887" s="42"/>
      <c r="E4887" s="42"/>
      <c r="F4887" s="48" t="str">
        <f>IFERROR(__xludf.DUMMYFUNCTION("""COMPUTED_VALUE"""),"")</f>
        <v/>
      </c>
      <c r="G4887" s="42" t="str">
        <f>IFERROR(__xludf.DUMMYFUNCTION("""COMPUTED_VALUE"""),"BN Jual Beli")</f>
        <v>BN Jual Beli</v>
      </c>
      <c r="H4887" s="42">
        <f t="shared" si="1"/>
        <v>2142</v>
      </c>
    </row>
    <row r="4888" ht="22.5" customHeight="1">
      <c r="B4888" s="42" t="str">
        <f>IFERROR(__xludf.DUMMYFUNCTION("""COMPUTED_VALUE"""),"L/27/120625/1")</f>
        <v>L/27/120625/1</v>
      </c>
      <c r="C4888" s="42" t="str">
        <f>IFERROR(__xludf.DUMMYFUNCTION("""COMPUTED_VALUE"""),"HM 1600/PENGAJARAN")</f>
        <v>HM 1600/PENGAJARAN</v>
      </c>
      <c r="D4888" s="42" t="str">
        <f>IFERROR(__xludf.DUMMYFUNCTION("""COMPUTED_VALUE"""),"David")</f>
        <v>David</v>
      </c>
      <c r="E4888" s="42" t="str">
        <f>IFERROR(__xludf.DUMMYFUNCTION("""COMPUTED_VALUE"""),"DISERAHKAN")</f>
        <v>DISERAHKAN</v>
      </c>
      <c r="F4888" s="48">
        <f>IFERROR(__xludf.DUMMYFUNCTION("""COMPUTED_VALUE"""),45840.60160905092)</f>
        <v>45840.60161</v>
      </c>
      <c r="G4888" s="42" t="str">
        <f>IFERROR(__xludf.DUMMYFUNCTION("""COMPUTED_VALUE"""),"ROYA")</f>
        <v>ROYA</v>
      </c>
      <c r="H4888" s="42">
        <f t="shared" si="1"/>
        <v>2143</v>
      </c>
    </row>
    <row r="4889" ht="22.5" customHeight="1">
      <c r="B4889" s="42" t="str">
        <f>IFERROR(__xludf.DUMMYFUNCTION("""COMPUTED_VALUE"""),"L/28/120625/1")</f>
        <v>L/28/120625/1</v>
      </c>
      <c r="C4889" s="42" t="str">
        <f>IFERROR(__xludf.DUMMYFUNCTION("""COMPUTED_VALUE"""),"HM 2070/KEMILING PERMAI")</f>
        <v>HM 2070/KEMILING PERMAI</v>
      </c>
      <c r="D4889" s="42" t="str">
        <f>IFERROR(__xludf.DUMMYFUNCTION("""COMPUTED_VALUE"""),"David")</f>
        <v>David</v>
      </c>
      <c r="E4889" s="42" t="str">
        <f>IFERROR(__xludf.DUMMYFUNCTION("""COMPUTED_VALUE"""),"DISERAHKAN")</f>
        <v>DISERAHKAN</v>
      </c>
      <c r="F4889" s="48">
        <f>IFERROR(__xludf.DUMMYFUNCTION("""COMPUTED_VALUE"""),45841.70243533565)</f>
        <v>45841.70244</v>
      </c>
      <c r="G4889" s="42" t="str">
        <f>IFERROR(__xludf.DUMMYFUNCTION("""COMPUTED_VALUE"""),"ROYA")</f>
        <v>ROYA</v>
      </c>
      <c r="H4889" s="42">
        <f t="shared" si="1"/>
        <v>2144</v>
      </c>
    </row>
    <row r="4890" ht="22.5" customHeight="1">
      <c r="B4890" s="42" t="str">
        <f>IFERROR(__xludf.DUMMYFUNCTION("""COMPUTED_VALUE"""),"L/30/120625/3")</f>
        <v>L/30/120625/3</v>
      </c>
      <c r="C4890" s="42" t="str">
        <f>IFERROR(__xludf.DUMMYFUNCTION("""COMPUTED_VALUE"""),"HM 2090/KEMILING PERMAI")</f>
        <v>HM 2090/KEMILING PERMAI</v>
      </c>
      <c r="D4890" s="42" t="str">
        <f>IFERROR(__xludf.DUMMYFUNCTION("""COMPUTED_VALUE"""),"David")</f>
        <v>David</v>
      </c>
      <c r="E4890" s="42" t="str">
        <f>IFERROR(__xludf.DUMMYFUNCTION("""COMPUTED_VALUE"""),"DISERAHKAN")</f>
        <v>DISERAHKAN</v>
      </c>
      <c r="F4890" s="48">
        <f>IFERROR(__xludf.DUMMYFUNCTION("""COMPUTED_VALUE"""),45840.60227299768)</f>
        <v>45840.60227</v>
      </c>
      <c r="G4890" s="42" t="str">
        <f>IFERROR(__xludf.DUMMYFUNCTION("""COMPUTED_VALUE"""),"ROYA")</f>
        <v>ROYA</v>
      </c>
      <c r="H4890" s="42">
        <f t="shared" si="1"/>
        <v>2145</v>
      </c>
    </row>
    <row r="4891" ht="22.5" customHeight="1">
      <c r="B4891" s="42" t="str">
        <f>IFERROR(__xludf.DUMMYFUNCTION("""COMPUTED_VALUE"""),"K/31/120625/1")</f>
        <v>K/31/120625/1</v>
      </c>
      <c r="C4891" s="42" t="str">
        <f>IFERROR(__xludf.DUMMYFUNCTION("""COMPUTED_VALUE"""),"M.577/PESAWAHAN")</f>
        <v>M.577/PESAWAHAN</v>
      </c>
      <c r="D4891" s="42" t="str">
        <f>IFERROR(__xludf.DUMMYFUNCTION("""COMPUTED_VALUE"""),"David")</f>
        <v>David</v>
      </c>
      <c r="E4891" s="42" t="str">
        <f>IFERROR(__xludf.DUMMYFUNCTION("""COMPUTED_VALUE"""),"DISERAHKAN")</f>
        <v>DISERAHKAN</v>
      </c>
      <c r="F4891" s="48">
        <f>IFERROR(__xludf.DUMMYFUNCTION("""COMPUTED_VALUE"""),45846.673355543986)</f>
        <v>45846.67336</v>
      </c>
      <c r="G4891" s="42" t="str">
        <f>IFERROR(__xludf.DUMMYFUNCTION("""COMPUTED_VALUE"""),"ROYA")</f>
        <v>ROYA</v>
      </c>
      <c r="H4891" s="42">
        <f t="shared" si="1"/>
        <v>2146</v>
      </c>
    </row>
    <row r="4892" ht="22.5" customHeight="1">
      <c r="B4892" s="42" t="str">
        <f>IFERROR(__xludf.DUMMYFUNCTION("""COMPUTED_VALUE"""),"K/33/120625/1")</f>
        <v>K/33/120625/1</v>
      </c>
      <c r="C4892" s="42" t="str">
        <f>IFERROR(__xludf.DUMMYFUNCTION("""COMPUTED_VALUE"""),"Nibel 2750/ Langkapura")</f>
        <v>Nibel 2750/ Langkapura</v>
      </c>
      <c r="D4892" s="42"/>
      <c r="E4892" s="42"/>
      <c r="F4892" s="48" t="str">
        <f>IFERROR(__xludf.DUMMYFUNCTION("""COMPUTED_VALUE"""),"")</f>
        <v/>
      </c>
      <c r="G4892" s="42" t="str">
        <f>IFERROR(__xludf.DUMMYFUNCTION("""COMPUTED_VALUE"""),"BN JUAL BELI")</f>
        <v>BN JUAL BELI</v>
      </c>
      <c r="H4892" s="42">
        <f t="shared" si="1"/>
        <v>2146</v>
      </c>
    </row>
    <row r="4893" ht="22.5" customHeight="1">
      <c r="B4893" s="42" t="str">
        <f>IFERROR(__xludf.DUMMYFUNCTION("""COMPUTED_VALUE"""),"K/34/120625/1")</f>
        <v>K/34/120625/1</v>
      </c>
      <c r="C4893" s="42" t="str">
        <f>IFERROR(__xludf.DUMMYFUNCTION("""COMPUTED_VALUE"""),"M. 2046/ Labuhan Dalam")</f>
        <v>M. 2046/ Labuhan Dalam</v>
      </c>
      <c r="D4893" s="42" t="str">
        <f>IFERROR(__xludf.DUMMYFUNCTION("""COMPUTED_VALUE"""),"Berry")</f>
        <v>Berry</v>
      </c>
      <c r="E4893" s="42" t="str">
        <f>IFERROR(__xludf.DUMMYFUNCTION("""COMPUTED_VALUE"""),"DISERAHKAN")</f>
        <v>DISERAHKAN</v>
      </c>
      <c r="F4893" s="48">
        <f>IFERROR(__xludf.DUMMYFUNCTION("""COMPUTED_VALUE"""),45842.58736321759)</f>
        <v>45842.58736</v>
      </c>
      <c r="G4893" s="42" t="str">
        <f>IFERROR(__xludf.DUMMYFUNCTION("""COMPUTED_VALUE"""),"BN Jual Beli")</f>
        <v>BN Jual Beli</v>
      </c>
      <c r="H4893" s="42">
        <f t="shared" si="1"/>
        <v>2147</v>
      </c>
    </row>
    <row r="4894" ht="22.5" customHeight="1">
      <c r="B4894" s="42" t="str">
        <f>IFERROR(__xludf.DUMMYFUNCTION("""COMPUTED_VALUE"""),"K/21/120625/1")</f>
        <v>K/21/120625/1</v>
      </c>
      <c r="C4894" s="42" t="str">
        <f>IFERROR(__xludf.DUMMYFUNCTION("""COMPUTED_VALUE"""),"M. 1422/SEPANG JAYA")</f>
        <v>M. 1422/SEPANG JAYA</v>
      </c>
      <c r="D4894" s="42"/>
      <c r="E4894" s="42"/>
      <c r="F4894" s="48" t="str">
        <f>IFERROR(__xludf.DUMMYFUNCTION("""COMPUTED_VALUE"""),"")</f>
        <v/>
      </c>
      <c r="G4894" s="42" t="str">
        <f>IFERROR(__xludf.DUMMYFUNCTION("""COMPUTED_VALUE"""),"BN JUAL BELI")</f>
        <v>BN JUAL BELI</v>
      </c>
      <c r="H4894" s="42">
        <f t="shared" si="1"/>
        <v>2147</v>
      </c>
    </row>
    <row r="4895" ht="22.5" customHeight="1">
      <c r="B4895" s="42" t="str">
        <f>IFERROR(__xludf.DUMMYFUNCTION("""COMPUTED_VALUE"""),"K/35/120625/1")</f>
        <v>K/35/120625/1</v>
      </c>
      <c r="C4895" s="42" t="str">
        <f>IFERROR(__xludf.DUMMYFUNCTION("""COMPUTED_VALUE"""),"NIBEL M. 21592/SIDODADI")</f>
        <v>NIBEL M. 21592/SIDODADI</v>
      </c>
      <c r="D4895" s="42"/>
      <c r="E4895" s="42"/>
      <c r="F4895" s="48" t="str">
        <f>IFERROR(__xludf.DUMMYFUNCTION("""COMPUTED_VALUE"""),"")</f>
        <v/>
      </c>
      <c r="G4895" s="42" t="str">
        <f>IFERROR(__xludf.DUMMYFUNCTION("""COMPUTED_VALUE"""),"BN JUAL BELI")</f>
        <v>BN JUAL BELI</v>
      </c>
      <c r="H4895" s="42">
        <f t="shared" si="1"/>
        <v>2147</v>
      </c>
    </row>
    <row r="4896" ht="22.5" customHeight="1">
      <c r="B4896" s="42" t="str">
        <f>IFERROR(__xludf.DUMMYFUNCTION("""COMPUTED_VALUE"""),"K/36/120625/1")</f>
        <v>K/36/120625/1</v>
      </c>
      <c r="C4896" s="42" t="str">
        <f>IFERROR(__xludf.DUMMYFUNCTION("""COMPUTED_VALUE"""),"Nibel 19287/ Sumberrejo Sejahtera")</f>
        <v>Nibel 19287/ Sumberrejo Sejahtera</v>
      </c>
      <c r="D4896" s="42"/>
      <c r="E4896" s="42"/>
      <c r="F4896" s="48" t="str">
        <f>IFERROR(__xludf.DUMMYFUNCTION("""COMPUTED_VALUE"""),"")</f>
        <v/>
      </c>
      <c r="G4896" s="42" t="str">
        <f>IFERROR(__xludf.DUMMYFUNCTION("""COMPUTED_VALUE"""),"BN JUAL BELI")</f>
        <v>BN JUAL BELI</v>
      </c>
      <c r="H4896" s="42">
        <f t="shared" si="1"/>
        <v>2147</v>
      </c>
    </row>
    <row r="4897" ht="22.5" customHeight="1">
      <c r="B4897" s="42" t="str">
        <f>IFERROR(__xludf.DUMMYFUNCTION("""COMPUTED_VALUE"""),"K/37/120625/1")</f>
        <v>K/37/120625/1</v>
      </c>
      <c r="C4897" s="42" t="str">
        <f>IFERROR(__xludf.DUMMYFUNCTION("""COMPUTED_VALUE"""),"Nibel. B. 412/ Kemiling Permai")</f>
        <v>Nibel. B. 412/ Kemiling Permai</v>
      </c>
      <c r="D4897" s="42"/>
      <c r="E4897" s="42"/>
      <c r="F4897" s="48" t="str">
        <f>IFERROR(__xludf.DUMMYFUNCTION("""COMPUTED_VALUE"""),"")</f>
        <v/>
      </c>
      <c r="G4897" s="42" t="str">
        <f>IFERROR(__xludf.DUMMYFUNCTION("""COMPUTED_VALUE"""),"Perubahan Hak")</f>
        <v>Perubahan Hak</v>
      </c>
      <c r="H4897" s="42">
        <f t="shared" si="1"/>
        <v>2147</v>
      </c>
    </row>
    <row r="4898" ht="22.5" customHeight="1">
      <c r="B4898" s="42" t="str">
        <f>IFERROR(__xludf.DUMMYFUNCTION("""COMPUTED_VALUE"""),"K/38/120625/1")</f>
        <v>K/38/120625/1</v>
      </c>
      <c r="C4898" s="42" t="str">
        <f>IFERROR(__xludf.DUMMYFUNCTION("""COMPUTED_VALUE"""),"M. 12688/KALI BALAU KENCANA")</f>
        <v>M. 12688/KALI BALAU KENCANA</v>
      </c>
      <c r="D4898" s="42" t="str">
        <f>IFERROR(__xludf.DUMMYFUNCTION("""COMPUTED_VALUE"""),"David")</f>
        <v>David</v>
      </c>
      <c r="E4898" s="42" t="str">
        <f>IFERROR(__xludf.DUMMYFUNCTION("""COMPUTED_VALUE"""),"DISERAHKAN")</f>
        <v>DISERAHKAN</v>
      </c>
      <c r="F4898" s="48">
        <f>IFERROR(__xludf.DUMMYFUNCTION("""COMPUTED_VALUE"""),45849.43451872685)</f>
        <v>45849.43452</v>
      </c>
      <c r="G4898" s="42" t="str">
        <f>IFERROR(__xludf.DUMMYFUNCTION("""COMPUTED_VALUE"""),"BN HIBAH")</f>
        <v>BN HIBAH</v>
      </c>
      <c r="H4898" s="42">
        <f t="shared" si="1"/>
        <v>2148</v>
      </c>
    </row>
    <row r="4899" ht="22.5" customHeight="1">
      <c r="B4899" s="42" t="str">
        <f>IFERROR(__xludf.DUMMYFUNCTION("""COMPUTED_VALUE"""),"K/39/120625/1")</f>
        <v>K/39/120625/1</v>
      </c>
      <c r="C4899" s="42" t="str">
        <f>IFERROR(__xludf.DUMMYFUNCTION("""COMPUTED_VALUE"""),"M. 726/ Rajabasa Nunyai")</f>
        <v>M. 726/ Rajabasa Nunyai</v>
      </c>
      <c r="D4899" s="42"/>
      <c r="E4899" s="42"/>
      <c r="F4899" s="48" t="str">
        <f>IFERROR(__xludf.DUMMYFUNCTION("""COMPUTED_VALUE"""),"")</f>
        <v/>
      </c>
      <c r="G4899" s="42" t="str">
        <f>IFERROR(__xludf.DUMMYFUNCTION("""COMPUTED_VALUE"""),"PTPGT (Pemecahan)")</f>
        <v>PTPGT (Pemecahan)</v>
      </c>
      <c r="H4899" s="42">
        <f t="shared" si="1"/>
        <v>2148</v>
      </c>
    </row>
    <row r="4900" ht="22.5" customHeight="1">
      <c r="B4900" s="42" t="str">
        <f>IFERROR(__xludf.DUMMYFUNCTION("""COMPUTED_VALUE"""),"K/32/120625/2")</f>
        <v>K/32/120625/2</v>
      </c>
      <c r="C4900" s="42" t="str">
        <f>IFERROR(__xludf.DUMMYFUNCTION("""COMPUTED_VALUE"""),"M.732/PESAWAHAN")</f>
        <v>M.732/PESAWAHAN</v>
      </c>
      <c r="D4900" s="42" t="str">
        <f>IFERROR(__xludf.DUMMYFUNCTION("""COMPUTED_VALUE"""),"David")</f>
        <v>David</v>
      </c>
      <c r="E4900" s="42" t="str">
        <f>IFERROR(__xludf.DUMMYFUNCTION("""COMPUTED_VALUE"""),"DISERAHKAN")</f>
        <v>DISERAHKAN</v>
      </c>
      <c r="F4900" s="48">
        <f>IFERROR(__xludf.DUMMYFUNCTION("""COMPUTED_VALUE"""),45832.534894212964)</f>
        <v>45832.53489</v>
      </c>
      <c r="G4900" s="42" t="str">
        <f>IFERROR(__xludf.DUMMYFUNCTION("""COMPUTED_VALUE"""),"ROYA")</f>
        <v>ROYA</v>
      </c>
      <c r="H4900" s="42">
        <f t="shared" si="1"/>
        <v>2149</v>
      </c>
    </row>
    <row r="4901" ht="22.5" customHeight="1">
      <c r="B4901" s="42" t="str">
        <f>IFERROR(__xludf.DUMMYFUNCTION("""COMPUTED_VALUE"""),"K/40/120625/1")</f>
        <v>K/40/120625/1</v>
      </c>
      <c r="C4901" s="42" t="str">
        <f>IFERROR(__xludf.DUMMYFUNCTION("""COMPUTED_VALUE"""),"NIBEL M 11220/RAJABASA JAYA")</f>
        <v>NIBEL M 11220/RAJABASA JAYA</v>
      </c>
      <c r="D4901" s="42"/>
      <c r="E4901" s="42"/>
      <c r="F4901" s="48" t="str">
        <f>IFERROR(__xludf.DUMMYFUNCTION("""COMPUTED_VALUE"""),"")</f>
        <v/>
      </c>
      <c r="G4901" s="42" t="str">
        <f>IFERROR(__xludf.DUMMYFUNCTION("""COMPUTED_VALUE"""),"PTPGT")</f>
        <v>PTPGT</v>
      </c>
      <c r="H4901" s="42">
        <f t="shared" si="1"/>
        <v>2149</v>
      </c>
    </row>
    <row r="4902" ht="22.5" customHeight="1">
      <c r="B4902" s="42" t="str">
        <f>IFERROR(__xludf.DUMMYFUNCTION("""COMPUTED_VALUE"""),"K/41/120625/1")</f>
        <v>K/41/120625/1</v>
      </c>
      <c r="C4902" s="42" t="str">
        <f>IFERROR(__xludf.DUMMYFUNCTION("""COMPUTED_VALUE"""),"M. 1351/NEGERI OLOK GADING")</f>
        <v>M. 1351/NEGERI OLOK GADING</v>
      </c>
      <c r="D4902" s="42" t="str">
        <f>IFERROR(__xludf.DUMMYFUNCTION("""COMPUTED_VALUE"""),"Berry")</f>
        <v>Berry</v>
      </c>
      <c r="E4902" s="42" t="str">
        <f>IFERROR(__xludf.DUMMYFUNCTION("""COMPUTED_VALUE"""),"DISERAHKAN")</f>
        <v>DISERAHKAN</v>
      </c>
      <c r="F4902" s="48">
        <f>IFERROR(__xludf.DUMMYFUNCTION("""COMPUTED_VALUE"""),45845.71785671296)</f>
        <v>45845.71786</v>
      </c>
      <c r="G4902" s="42" t="str">
        <f>IFERROR(__xludf.DUMMYFUNCTION("""COMPUTED_VALUE"""),"BN JUAL BELI")</f>
        <v>BN JUAL BELI</v>
      </c>
      <c r="H4902" s="42">
        <f t="shared" si="1"/>
        <v>2150</v>
      </c>
    </row>
    <row r="4903" ht="22.5" customHeight="1">
      <c r="B4903" s="42" t="str">
        <f>IFERROR(__xludf.DUMMYFUNCTION("""COMPUTED_VALUE"""),"L/11/130625/1")</f>
        <v>L/11/130625/1</v>
      </c>
      <c r="C4903" s="42" t="str">
        <f>IFERROR(__xludf.DUMMYFUNCTION("""COMPUTED_VALUE"""),"M.1722/LABUHAN DALAM ")</f>
        <v>M.1722/LABUHAN DALAM </v>
      </c>
      <c r="D4903" s="42" t="str">
        <f>IFERROR(__xludf.DUMMYFUNCTION("""COMPUTED_VALUE"""),"David")</f>
        <v>David</v>
      </c>
      <c r="E4903" s="42" t="str">
        <f>IFERROR(__xludf.DUMMYFUNCTION("""COMPUTED_VALUE"""),"DISERAHKAN")</f>
        <v>DISERAHKAN</v>
      </c>
      <c r="F4903" s="48">
        <f>IFERROR(__xludf.DUMMYFUNCTION("""COMPUTED_VALUE"""),45875.487193125)</f>
        <v>45875.48719</v>
      </c>
      <c r="G4903" s="42" t="str">
        <f>IFERROR(__xludf.DUMMYFUNCTION("""COMPUTED_VALUE"""),"ROYA")</f>
        <v>ROYA</v>
      </c>
      <c r="H4903" s="42">
        <f t="shared" si="1"/>
        <v>2151</v>
      </c>
    </row>
    <row r="4904" ht="22.5" customHeight="1">
      <c r="B4904" s="42" t="str">
        <f>IFERROR(__xludf.DUMMYFUNCTION("""COMPUTED_VALUE"""),"K/1/130625/1")</f>
        <v>K/1/130625/1</v>
      </c>
      <c r="C4904" s="42" t="str">
        <f>IFERROR(__xludf.DUMMYFUNCTION("""COMPUTED_VALUE"""),"M. 2881/ Sukarame Baru")</f>
        <v>M. 2881/ Sukarame Baru</v>
      </c>
      <c r="D4904" s="42"/>
      <c r="E4904" s="42"/>
      <c r="F4904" s="48" t="str">
        <f>IFERROR(__xludf.DUMMYFUNCTION("""COMPUTED_VALUE"""),"")</f>
        <v/>
      </c>
      <c r="G4904" s="42" t="str">
        <f>IFERROR(__xludf.DUMMYFUNCTION("""COMPUTED_VALUE"""),"BN JUAL BELI")</f>
        <v>BN JUAL BELI</v>
      </c>
      <c r="H4904" s="42">
        <f t="shared" si="1"/>
        <v>2151</v>
      </c>
    </row>
    <row r="4905" ht="22.5" customHeight="1">
      <c r="B4905" s="42" t="str">
        <f>IFERROR(__xludf.DUMMYFUNCTION("""COMPUTED_VALUE"""),"K/5/130625/1")</f>
        <v>K/5/130625/1</v>
      </c>
      <c r="C4905" s="42" t="str">
        <f>IFERROR(__xludf.DUMMYFUNCTION("""COMPUTED_VALUE"""),"M. 2645/RAJABASA JAYA")</f>
        <v>M. 2645/RAJABASA JAYA</v>
      </c>
      <c r="D4905" s="42" t="str">
        <f>IFERROR(__xludf.DUMMYFUNCTION("""COMPUTED_VALUE"""),"Berry")</f>
        <v>Berry</v>
      </c>
      <c r="E4905" s="42" t="str">
        <f>IFERROR(__xludf.DUMMYFUNCTION("""COMPUTED_VALUE"""),"DISERAHKAN")</f>
        <v>DISERAHKAN</v>
      </c>
      <c r="F4905" s="48">
        <f>IFERROR(__xludf.DUMMYFUNCTION("""COMPUTED_VALUE"""),45825.51539372685)</f>
        <v>45825.51539</v>
      </c>
      <c r="G4905" s="42" t="str">
        <f>IFERROR(__xludf.DUMMYFUNCTION("""COMPUTED_VALUE"""),"BN JUAL BELI")</f>
        <v>BN JUAL BELI</v>
      </c>
      <c r="H4905" s="42">
        <f t="shared" si="1"/>
        <v>2152</v>
      </c>
    </row>
    <row r="4906" ht="22.5" customHeight="1">
      <c r="B4906" s="42" t="str">
        <f>IFERROR(__xludf.DUMMYFUNCTION("""COMPUTED_VALUE"""),"K/2/130625/2")</f>
        <v>K/2/130625/2</v>
      </c>
      <c r="C4906" s="42" t="str">
        <f>IFERROR(__xludf.DUMMYFUNCTION("""COMPUTED_VALUE"""),"B. 739/ Sumur Putri")</f>
        <v>B. 739/ Sumur Putri</v>
      </c>
      <c r="D4906" s="42" t="str">
        <f>IFERROR(__xludf.DUMMYFUNCTION("""COMPUTED_VALUE"""),"David")</f>
        <v>David</v>
      </c>
      <c r="E4906" s="42" t="str">
        <f>IFERROR(__xludf.DUMMYFUNCTION("""COMPUTED_VALUE"""),"DISERAHKAN")</f>
        <v>DISERAHKAN</v>
      </c>
      <c r="F4906" s="48">
        <f>IFERROR(__xludf.DUMMYFUNCTION("""COMPUTED_VALUE"""),45848.52925317129)</f>
        <v>45848.52925</v>
      </c>
      <c r="G4906" s="42" t="str">
        <f>IFERROR(__xludf.DUMMYFUNCTION("""COMPUTED_VALUE"""),"BN JUAL BELI")</f>
        <v>BN JUAL BELI</v>
      </c>
      <c r="H4906" s="42">
        <f t="shared" si="1"/>
        <v>2153</v>
      </c>
    </row>
    <row r="4907" ht="22.5" customHeight="1">
      <c r="B4907" s="42" t="str">
        <f>IFERROR(__xludf.DUMMYFUNCTION("""COMPUTED_VALUE"""),"K/3/130625/3")</f>
        <v>K/3/130625/3</v>
      </c>
      <c r="C4907" s="42" t="str">
        <f>IFERROR(__xludf.DUMMYFUNCTION("""COMPUTED_VALUE"""),"Nibel 917/ Pematang wangi")</f>
        <v>Nibel 917/ Pematang wangi</v>
      </c>
      <c r="D4907" s="42"/>
      <c r="E4907" s="42"/>
      <c r="F4907" s="48" t="str">
        <f>IFERROR(__xludf.DUMMYFUNCTION("""COMPUTED_VALUE"""),"")</f>
        <v/>
      </c>
      <c r="G4907" s="42" t="str">
        <f>IFERROR(__xludf.DUMMYFUNCTION("""COMPUTED_VALUE"""),"BN JUAL BELI")</f>
        <v>BN JUAL BELI</v>
      </c>
      <c r="H4907" s="42">
        <f t="shared" si="1"/>
        <v>2153</v>
      </c>
    </row>
    <row r="4908" ht="22.5" customHeight="1">
      <c r="B4908" s="42" t="str">
        <f>IFERROR(__xludf.DUMMYFUNCTION("""COMPUTED_VALUE"""),"K/4/130625/4")</f>
        <v>K/4/130625/4</v>
      </c>
      <c r="C4908" s="42" t="str">
        <f>IFERROR(__xludf.DUMMYFUNCTION("""COMPUTED_VALUE"""),"Nibel 21373/ sumur putri")</f>
        <v>Nibel 21373/ sumur putri</v>
      </c>
      <c r="D4908" s="42"/>
      <c r="E4908" s="42"/>
      <c r="F4908" s="48" t="str">
        <f>IFERROR(__xludf.DUMMYFUNCTION("""COMPUTED_VALUE"""),"")</f>
        <v/>
      </c>
      <c r="G4908" s="42" t="str">
        <f>IFERROR(__xludf.DUMMYFUNCTION("""COMPUTED_VALUE"""),"PERUBAHAN HAK")</f>
        <v>PERUBAHAN HAK</v>
      </c>
      <c r="H4908" s="42">
        <f t="shared" si="1"/>
        <v>2153</v>
      </c>
    </row>
    <row r="4909" ht="22.5" customHeight="1">
      <c r="B4909" s="42" t="str">
        <f>IFERROR(__xludf.DUMMYFUNCTION("""COMPUTED_VALUE"""),"K/6/130625/1")</f>
        <v>K/6/130625/1</v>
      </c>
      <c r="C4909" s="42" t="str">
        <f>IFERROR(__xludf.DUMMYFUNCTION("""COMPUTED_VALUE"""),"M. 4710/ Beringin Raya")</f>
        <v>M. 4710/ Beringin Raya</v>
      </c>
      <c r="D4909" s="42" t="str">
        <f>IFERROR(__xludf.DUMMYFUNCTION("""COMPUTED_VALUE"""),"Berry")</f>
        <v>Berry</v>
      </c>
      <c r="E4909" s="42" t="str">
        <f>IFERROR(__xludf.DUMMYFUNCTION("""COMPUTED_VALUE"""),"DISERAHKAN")</f>
        <v>DISERAHKAN</v>
      </c>
      <c r="F4909" s="48">
        <f>IFERROR(__xludf.DUMMYFUNCTION("""COMPUTED_VALUE"""),45854.57728640046)</f>
        <v>45854.57729</v>
      </c>
      <c r="G4909" s="42" t="str">
        <f>IFERROR(__xludf.DUMMYFUNCTION("""COMPUTED_VALUE"""),"ROYA")</f>
        <v>ROYA</v>
      </c>
      <c r="H4909" s="42">
        <f t="shared" si="1"/>
        <v>2154</v>
      </c>
    </row>
    <row r="4910" ht="22.5" customHeight="1">
      <c r="B4910" s="42" t="str">
        <f>IFERROR(__xludf.DUMMYFUNCTION("""COMPUTED_VALUE"""),"K/7/130625/1")</f>
        <v>K/7/130625/1</v>
      </c>
      <c r="C4910" s="42" t="str">
        <f>IFERROR(__xludf.DUMMYFUNCTION("""COMPUTED_VALUE"""),"M. 1757/LABUHAN RATU RAYA")</f>
        <v>M. 1757/LABUHAN RATU RAYA</v>
      </c>
      <c r="D4910" s="42" t="str">
        <f>IFERROR(__xludf.DUMMYFUNCTION("""COMPUTED_VALUE"""),"Berry")</f>
        <v>Berry</v>
      </c>
      <c r="E4910" s="42" t="str">
        <f>IFERROR(__xludf.DUMMYFUNCTION("""COMPUTED_VALUE"""),"DISERAHKAN")</f>
        <v>DISERAHKAN</v>
      </c>
      <c r="F4910" s="48">
        <f>IFERROR(__xludf.DUMMYFUNCTION("""COMPUTED_VALUE"""),45831.535561620374)</f>
        <v>45831.53556</v>
      </c>
      <c r="G4910" s="42" t="str">
        <f>IFERROR(__xludf.DUMMYFUNCTION("""COMPUTED_VALUE"""),"BN JUAL BELI")</f>
        <v>BN JUAL BELI</v>
      </c>
      <c r="H4910" s="42">
        <f t="shared" si="1"/>
        <v>2155</v>
      </c>
    </row>
    <row r="4911" ht="22.5" customHeight="1">
      <c r="B4911" s="42" t="str">
        <f>IFERROR(__xludf.DUMMYFUNCTION("""COMPUTED_VALUE"""),"K/9/130625/1")</f>
        <v>K/9/130625/1</v>
      </c>
      <c r="C4911" s="42" t="str">
        <f>IFERROR(__xludf.DUMMYFUNCTION("""COMPUTED_VALUE"""),"M. 1203/ Labuhan Dalam")</f>
        <v>M. 1203/ Labuhan Dalam</v>
      </c>
      <c r="D4911" s="42" t="str">
        <f>IFERROR(__xludf.DUMMYFUNCTION("""COMPUTED_VALUE"""),"David")</f>
        <v>David</v>
      </c>
      <c r="E4911" s="42" t="str">
        <f>IFERROR(__xludf.DUMMYFUNCTION("""COMPUTED_VALUE"""),"DISERAHKAN")</f>
        <v>DISERAHKAN</v>
      </c>
      <c r="F4911" s="48">
        <f>IFERROR(__xludf.DUMMYFUNCTION("""COMPUTED_VALUE"""),45849.45773996528)</f>
        <v>45849.45774</v>
      </c>
      <c r="G4911" s="42" t="str">
        <f>IFERROR(__xludf.DUMMYFUNCTION("""COMPUTED_VALUE"""),"BN Jual Beli")</f>
        <v>BN Jual Beli</v>
      </c>
      <c r="H4911" s="42">
        <f t="shared" si="1"/>
        <v>2156</v>
      </c>
    </row>
    <row r="4912" ht="22.5" customHeight="1">
      <c r="B4912" s="42" t="str">
        <f>IFERROR(__xludf.DUMMYFUNCTION("""COMPUTED_VALUE"""),"K/10/130625/1")</f>
        <v>K/10/130625/1</v>
      </c>
      <c r="C4912" s="42" t="str">
        <f>IFERROR(__xludf.DUMMYFUNCTION("""COMPUTED_VALUE"""),"NIBEL M.18659/KEDATON")</f>
        <v>NIBEL M.18659/KEDATON</v>
      </c>
      <c r="D4912" s="42"/>
      <c r="E4912" s="42"/>
      <c r="F4912" s="48" t="str">
        <f>IFERROR(__xludf.DUMMYFUNCTION("""COMPUTED_VALUE"""),"")</f>
        <v/>
      </c>
      <c r="G4912" s="42" t="str">
        <f>IFERROR(__xludf.DUMMYFUNCTION("""COMPUTED_VALUE"""),"APHB")</f>
        <v>APHB</v>
      </c>
      <c r="H4912" s="42">
        <f t="shared" si="1"/>
        <v>2156</v>
      </c>
    </row>
    <row r="4913" ht="22.5" customHeight="1">
      <c r="B4913" s="42" t="str">
        <f>IFERROR(__xludf.DUMMYFUNCTION("""COMPUTED_VALUE"""),"L/13/130625/1")</f>
        <v>L/13/130625/1</v>
      </c>
      <c r="C4913" s="42" t="str">
        <f>IFERROR(__xludf.DUMMYFUNCTION("""COMPUTED_VALUE"""),"M.13/BATU PUTUK")</f>
        <v>M.13/BATU PUTUK</v>
      </c>
      <c r="D4913" s="42" t="str">
        <f>IFERROR(__xludf.DUMMYFUNCTION("""COMPUTED_VALUE"""),"David")</f>
        <v>David</v>
      </c>
      <c r="E4913" s="42" t="str">
        <f>IFERROR(__xludf.DUMMYFUNCTION("""COMPUTED_VALUE"""),"DISERAHKAN")</f>
        <v>DISERAHKAN</v>
      </c>
      <c r="F4913" s="48">
        <f>IFERROR(__xludf.DUMMYFUNCTION("""COMPUTED_VALUE"""),45849.47673400463)</f>
        <v>45849.47673</v>
      </c>
      <c r="G4913" s="42" t="str">
        <f>IFERROR(__xludf.DUMMYFUNCTION("""COMPUTED_VALUE"""),"ROYA")</f>
        <v>ROYA</v>
      </c>
      <c r="H4913" s="42">
        <f t="shared" si="1"/>
        <v>2157</v>
      </c>
    </row>
    <row r="4914" ht="22.5" customHeight="1">
      <c r="B4914" s="42" t="str">
        <f>IFERROR(__xludf.DUMMYFUNCTION("""COMPUTED_VALUE"""),"K/12/130625/1")</f>
        <v>K/12/130625/1</v>
      </c>
      <c r="C4914" s="42" t="str">
        <f>IFERROR(__xludf.DUMMYFUNCTION("""COMPUTED_VALUE"""),"Nibel. M. 18523/ Gedong Meneng")</f>
        <v>Nibel. M. 18523/ Gedong Meneng</v>
      </c>
      <c r="D4914" s="42"/>
      <c r="E4914" s="42"/>
      <c r="F4914" s="48" t="str">
        <f>IFERROR(__xludf.DUMMYFUNCTION("""COMPUTED_VALUE"""),"")</f>
        <v/>
      </c>
      <c r="G4914" s="42" t="str">
        <f>IFERROR(__xludf.DUMMYFUNCTION("""COMPUTED_VALUE"""),"Pemecahan")</f>
        <v>Pemecahan</v>
      </c>
      <c r="H4914" s="42">
        <f t="shared" si="1"/>
        <v>2157</v>
      </c>
    </row>
    <row r="4915" ht="22.5" customHeight="1">
      <c r="B4915" s="42" t="str">
        <f>IFERROR(__xludf.DUMMYFUNCTION("""COMPUTED_VALUE"""),"K/14/130625/1")</f>
        <v>K/14/130625/1</v>
      </c>
      <c r="C4915" s="42" t="str">
        <f>IFERROR(__xludf.DUMMYFUNCTION("""COMPUTED_VALUE"""),"M. 3559/ Beringin Raya")</f>
        <v>M. 3559/ Beringin Raya</v>
      </c>
      <c r="D4915" s="42" t="str">
        <f>IFERROR(__xludf.DUMMYFUNCTION("""COMPUTED_VALUE"""),"David")</f>
        <v>David</v>
      </c>
      <c r="E4915" s="42" t="str">
        <f>IFERROR(__xludf.DUMMYFUNCTION("""COMPUTED_VALUE"""),"DISERAHKAN")</f>
        <v>DISERAHKAN</v>
      </c>
      <c r="F4915" s="48">
        <f>IFERROR(__xludf.DUMMYFUNCTION("""COMPUTED_VALUE"""),45849.466044699075)</f>
        <v>45849.46604</v>
      </c>
      <c r="G4915" s="42" t="str">
        <f>IFERROR(__xludf.DUMMYFUNCTION("""COMPUTED_VALUE"""),"Roya")</f>
        <v>Roya</v>
      </c>
      <c r="H4915" s="42">
        <f t="shared" si="1"/>
        <v>2158</v>
      </c>
    </row>
    <row r="4916" ht="22.5" customHeight="1">
      <c r="B4916" s="42" t="str">
        <f>IFERROR(__xludf.DUMMYFUNCTION("""COMPUTED_VALUE"""),"K/8/130625/2")</f>
        <v>K/8/130625/2</v>
      </c>
      <c r="C4916" s="42" t="str">
        <f>IFERROR(__xludf.DUMMYFUNCTION("""COMPUTED_VALUE"""),"M. 2490/SUSUNAN BARU")</f>
        <v>M. 2490/SUSUNAN BARU</v>
      </c>
      <c r="D4916" s="42" t="str">
        <f>IFERROR(__xludf.DUMMYFUNCTION("""COMPUTED_VALUE"""),"Berry")</f>
        <v>Berry</v>
      </c>
      <c r="E4916" s="42" t="str">
        <f>IFERROR(__xludf.DUMMYFUNCTION("""COMPUTED_VALUE"""),"DISERAHKAN")</f>
        <v>DISERAHKAN</v>
      </c>
      <c r="F4916" s="48">
        <f>IFERROR(__xludf.DUMMYFUNCTION("""COMPUTED_VALUE"""),45847.50083283565)</f>
        <v>45847.50083</v>
      </c>
      <c r="G4916" s="42" t="str">
        <f>IFERROR(__xludf.DUMMYFUNCTION("""COMPUTED_VALUE"""),"BN JUAL BELI")</f>
        <v>BN JUAL BELI</v>
      </c>
      <c r="H4916" s="42">
        <f t="shared" si="1"/>
        <v>2159</v>
      </c>
    </row>
    <row r="4917" ht="22.5" customHeight="1">
      <c r="B4917" s="42" t="str">
        <f>IFERROR(__xludf.DUMMYFUNCTION("""COMPUTED_VALUE"""),"K/15/130625/1")</f>
        <v>K/15/130625/1</v>
      </c>
      <c r="C4917" s="42" t="str">
        <f>IFERROR(__xludf.DUMMYFUNCTION("""COMPUTED_VALUE"""),"M.2681/SUKARAME BARU")</f>
        <v>M.2681/SUKARAME BARU</v>
      </c>
      <c r="D4917" s="42" t="str">
        <f>IFERROR(__xludf.DUMMYFUNCTION("""COMPUTED_VALUE"""),"Berry")</f>
        <v>Berry</v>
      </c>
      <c r="E4917" s="42" t="str">
        <f>IFERROR(__xludf.DUMMYFUNCTION("""COMPUTED_VALUE"""),"DISERAHKAN")</f>
        <v>DISERAHKAN</v>
      </c>
      <c r="F4917" s="48">
        <f>IFERROR(__xludf.DUMMYFUNCTION("""COMPUTED_VALUE"""),45834.45526341435)</f>
        <v>45834.45526</v>
      </c>
      <c r="G4917" s="42" t="str">
        <f>IFERROR(__xludf.DUMMYFUNCTION("""COMPUTED_VALUE"""),"BN JUAL BELI")</f>
        <v>BN JUAL BELI</v>
      </c>
      <c r="H4917" s="42">
        <f t="shared" si="1"/>
        <v>2160</v>
      </c>
    </row>
    <row r="4918" ht="22.5" customHeight="1">
      <c r="B4918" s="42" t="str">
        <f>IFERROR(__xludf.DUMMYFUNCTION("""COMPUTED_VALUE"""),"K/16/130625/2")</f>
        <v>K/16/130625/2</v>
      </c>
      <c r="C4918" s="42" t="str">
        <f>IFERROR(__xludf.DUMMYFUNCTION("""COMPUTED_VALUE"""),"NIBEL B. 20572/LABUHAN RATU RAYA")</f>
        <v>NIBEL B. 20572/LABUHAN RATU RAYA</v>
      </c>
      <c r="D4918" s="42"/>
      <c r="E4918" s="42"/>
      <c r="F4918" s="48" t="str">
        <f>IFERROR(__xludf.DUMMYFUNCTION("""COMPUTED_VALUE"""),"")</f>
        <v/>
      </c>
      <c r="G4918" s="42" t="str">
        <f>IFERROR(__xludf.DUMMYFUNCTION("""COMPUTED_VALUE"""),"PENINGKATAN HAK")</f>
        <v>PENINGKATAN HAK</v>
      </c>
      <c r="H4918" s="42">
        <f t="shared" si="1"/>
        <v>2160</v>
      </c>
    </row>
    <row r="4919" ht="22.5" customHeight="1">
      <c r="B4919" s="42" t="str">
        <f>IFERROR(__xludf.DUMMYFUNCTION("""COMPUTED_VALUE"""),"K/18/130625/1")</f>
        <v>K/18/130625/1</v>
      </c>
      <c r="C4919" s="42" t="str">
        <f>IFERROR(__xludf.DUMMYFUNCTION("""COMPUTED_VALUE"""),"M. 4628/ Campang Raya")</f>
        <v>M. 4628/ Campang Raya</v>
      </c>
      <c r="D4919" s="42" t="str">
        <f>IFERROR(__xludf.DUMMYFUNCTION("""COMPUTED_VALUE"""),"Berry")</f>
        <v>Berry</v>
      </c>
      <c r="E4919" s="42" t="str">
        <f>IFERROR(__xludf.DUMMYFUNCTION("""COMPUTED_VALUE"""),"DISERAHKAN")</f>
        <v>DISERAHKAN</v>
      </c>
      <c r="F4919" s="48">
        <f>IFERROR(__xludf.DUMMYFUNCTION("""COMPUTED_VALUE"""),45839.62296636574)</f>
        <v>45839.62297</v>
      </c>
      <c r="G4919" s="42" t="str">
        <f>IFERROR(__xludf.DUMMYFUNCTION("""COMPUTED_VALUE"""),"BN JUAL BELI")</f>
        <v>BN JUAL BELI</v>
      </c>
      <c r="H4919" s="42">
        <f t="shared" si="1"/>
        <v>2161</v>
      </c>
    </row>
    <row r="4920" ht="22.5" customHeight="1">
      <c r="B4920" s="42" t="str">
        <f>IFERROR(__xludf.DUMMYFUNCTION("""COMPUTED_VALUE"""),"K/17/130625/3")</f>
        <v>K/17/130625/3</v>
      </c>
      <c r="C4920" s="42" t="str">
        <f>IFERROR(__xludf.DUMMYFUNCTION("""COMPUTED_VALUE"""),"NIBEL M. 17981/KEDAUNG")</f>
        <v>NIBEL M. 17981/KEDAUNG</v>
      </c>
      <c r="D4920" s="42"/>
      <c r="E4920" s="42"/>
      <c r="F4920" s="48" t="str">
        <f>IFERROR(__xludf.DUMMYFUNCTION("""COMPUTED_VALUE"""),"")</f>
        <v/>
      </c>
      <c r="G4920" s="42" t="str">
        <f>IFERROR(__xludf.DUMMYFUNCTION("""COMPUTED_VALUE"""),"BN JUAL BELI")</f>
        <v>BN JUAL BELI</v>
      </c>
      <c r="H4920" s="42">
        <f t="shared" si="1"/>
        <v>2161</v>
      </c>
    </row>
    <row r="4921" ht="22.5" customHeight="1">
      <c r="B4921" s="42" t="str">
        <f>IFERROR(__xludf.DUMMYFUNCTION("""COMPUTED_VALUE"""),"K/19/130625/1")</f>
        <v>K/19/130625/1</v>
      </c>
      <c r="C4921" s="42" t="str">
        <f>IFERROR(__xludf.DUMMYFUNCTION("""COMPUTED_VALUE"""),"M.146/WAY HALIM PERMAI")</f>
        <v>M.146/WAY HALIM PERMAI</v>
      </c>
      <c r="D4921" s="42" t="str">
        <f>IFERROR(__xludf.DUMMYFUNCTION("""COMPUTED_VALUE"""),"Berry")</f>
        <v>Berry</v>
      </c>
      <c r="E4921" s="42" t="str">
        <f>IFERROR(__xludf.DUMMYFUNCTION("""COMPUTED_VALUE"""),"DISERAHKAN")</f>
        <v>DISERAHKAN</v>
      </c>
      <c r="F4921" s="48">
        <f>IFERROR(__xludf.DUMMYFUNCTION("""COMPUTED_VALUE"""),45849.50674991898)</f>
        <v>45849.50675</v>
      </c>
      <c r="G4921" s="42" t="str">
        <f>IFERROR(__xludf.DUMMYFUNCTION("""COMPUTED_VALUE"""),"KEWARISAN")</f>
        <v>KEWARISAN</v>
      </c>
      <c r="H4921" s="42">
        <f t="shared" si="1"/>
        <v>2162</v>
      </c>
    </row>
    <row r="4922" ht="22.5" customHeight="1">
      <c r="B4922" s="42" t="str">
        <f>IFERROR(__xludf.DUMMYFUNCTION("""COMPUTED_VALUE"""),"K/20/130625/1")</f>
        <v>K/20/130625/1</v>
      </c>
      <c r="C4922" s="42" t="str">
        <f>IFERROR(__xludf.DUMMYFUNCTION("""COMPUTED_VALUE"""),"Nibel. M. 19092/ Rajabasa Jaya")</f>
        <v>Nibel. M. 19092/ Rajabasa Jaya</v>
      </c>
      <c r="D4922" s="42"/>
      <c r="E4922" s="42"/>
      <c r="F4922" s="48" t="str">
        <f>IFERROR(__xludf.DUMMYFUNCTION("""COMPUTED_VALUE"""),"")</f>
        <v/>
      </c>
      <c r="G4922" s="42" t="str">
        <f>IFERROR(__xludf.DUMMYFUNCTION("""COMPUTED_VALUE"""),"BN Jual Beli")</f>
        <v>BN Jual Beli</v>
      </c>
      <c r="H4922" s="42">
        <f t="shared" si="1"/>
        <v>2162</v>
      </c>
    </row>
    <row r="4923" ht="22.5" customHeight="1">
      <c r="B4923" s="42" t="str">
        <f>IFERROR(__xludf.DUMMYFUNCTION("""COMPUTED_VALUE"""),"K/21/130625/2")</f>
        <v>K/21/130625/2</v>
      </c>
      <c r="C4923" s="42" t="str">
        <f>IFERROR(__xludf.DUMMYFUNCTION("""COMPUTED_VALUE"""),"Nibel. M. 19102/ Rajabasa Jaya")</f>
        <v>Nibel. M. 19102/ Rajabasa Jaya</v>
      </c>
      <c r="D4923" s="42"/>
      <c r="E4923" s="42"/>
      <c r="F4923" s="48" t="str">
        <f>IFERROR(__xludf.DUMMYFUNCTION("""COMPUTED_VALUE"""),"")</f>
        <v/>
      </c>
      <c r="G4923" s="42" t="str">
        <f>IFERROR(__xludf.DUMMYFUNCTION("""COMPUTED_VALUE"""),"BN Jual Beli")</f>
        <v>BN Jual Beli</v>
      </c>
      <c r="H4923" s="42">
        <f t="shared" si="1"/>
        <v>2162</v>
      </c>
    </row>
    <row r="4924" ht="22.5" customHeight="1">
      <c r="B4924" s="42" t="str">
        <f>IFERROR(__xludf.DUMMYFUNCTION("""COMPUTED_VALUE"""),"L/22/130625/1")</f>
        <v>L/22/130625/1</v>
      </c>
      <c r="C4924" s="42" t="str">
        <f>IFERROR(__xludf.DUMMYFUNCTION("""COMPUTED_VALUE"""),"M.12307/LABUHAN RATU")</f>
        <v>M.12307/LABUHAN RATU</v>
      </c>
      <c r="D4924" s="42" t="str">
        <f>IFERROR(__xludf.DUMMYFUNCTION("""COMPUTED_VALUE"""),"David")</f>
        <v>David</v>
      </c>
      <c r="E4924" s="42" t="str">
        <f>IFERROR(__xludf.DUMMYFUNCTION("""COMPUTED_VALUE"""),"DISERAHKAN")</f>
        <v>DISERAHKAN</v>
      </c>
      <c r="F4924" s="48">
        <f>IFERROR(__xludf.DUMMYFUNCTION("""COMPUTED_VALUE"""),45849.65133179398)</f>
        <v>45849.65133</v>
      </c>
      <c r="G4924" s="42" t="str">
        <f>IFERROR(__xludf.DUMMYFUNCTION("""COMPUTED_VALUE"""),"ROYA")</f>
        <v>ROYA</v>
      </c>
      <c r="H4924" s="42">
        <f t="shared" si="1"/>
        <v>2163</v>
      </c>
    </row>
    <row r="4925" ht="22.5" customHeight="1">
      <c r="B4925" s="42" t="str">
        <f>IFERROR(__xludf.DUMMYFUNCTION("""COMPUTED_VALUE"""),"K/23/130625/1")</f>
        <v>K/23/130625/1</v>
      </c>
      <c r="C4925" s="42" t="str">
        <f>IFERROR(__xludf.DUMMYFUNCTION("""COMPUTED_VALUE"""),"M. 1962/ Kedaung")</f>
        <v>M. 1962/ Kedaung</v>
      </c>
      <c r="D4925" s="42"/>
      <c r="E4925" s="42"/>
      <c r="F4925" s="48" t="str">
        <f>IFERROR(__xludf.DUMMYFUNCTION("""COMPUTED_VALUE"""),"")</f>
        <v/>
      </c>
      <c r="G4925" s="42" t="str">
        <f>IFERROR(__xludf.DUMMYFUNCTION("""COMPUTED_VALUE"""),"BN Jual Beli")</f>
        <v>BN Jual Beli</v>
      </c>
      <c r="H4925" s="42">
        <f t="shared" si="1"/>
        <v>2163</v>
      </c>
    </row>
    <row r="4926" ht="22.5" customHeight="1">
      <c r="B4926" s="42" t="str">
        <f>IFERROR(__xludf.DUMMYFUNCTION("""COMPUTED_VALUE"""),"L/26/130625/1")</f>
        <v>L/26/130625/1</v>
      </c>
      <c r="C4926" s="42" t="str">
        <f>IFERROR(__xludf.DUMMYFUNCTION("""COMPUTED_VALUE"""),"B.134/RAJABASA RAYA")</f>
        <v>B.134/RAJABASA RAYA</v>
      </c>
      <c r="D4926" s="42" t="str">
        <f>IFERROR(__xludf.DUMMYFUNCTION("""COMPUTED_VALUE"""),"Berry")</f>
        <v>Berry</v>
      </c>
      <c r="E4926" s="42" t="str">
        <f>IFERROR(__xludf.DUMMYFUNCTION("""COMPUTED_VALUE"""),"DISERAHKAN")</f>
        <v>DISERAHKAN</v>
      </c>
      <c r="F4926" s="48">
        <f>IFERROR(__xludf.DUMMYFUNCTION("""COMPUTED_VALUE"""),45840.57185756945)</f>
        <v>45840.57186</v>
      </c>
      <c r="G4926" s="42" t="str">
        <f>IFERROR(__xludf.DUMMYFUNCTION("""COMPUTED_VALUE"""),"PH")</f>
        <v>PH</v>
      </c>
      <c r="H4926" s="42">
        <f t="shared" si="1"/>
        <v>2164</v>
      </c>
    </row>
    <row r="4927" ht="22.5" customHeight="1">
      <c r="B4927" s="42" t="str">
        <f>IFERROR(__xludf.DUMMYFUNCTION("""COMPUTED_VALUE"""),"K/24/130625/1")</f>
        <v>K/24/130625/1</v>
      </c>
      <c r="C4927" s="42" t="str">
        <f>IFERROR(__xludf.DUMMYFUNCTION("""COMPUTED_VALUE"""),"M. 13069/BERINGIN RAYA")</f>
        <v>M. 13069/BERINGIN RAYA</v>
      </c>
      <c r="D4927" s="42" t="str">
        <f>IFERROR(__xludf.DUMMYFUNCTION("""COMPUTED_VALUE"""),"Berry")</f>
        <v>Berry</v>
      </c>
      <c r="E4927" s="42" t="str">
        <f>IFERROR(__xludf.DUMMYFUNCTION("""COMPUTED_VALUE"""),"DISERAHKAN")</f>
        <v>DISERAHKAN</v>
      </c>
      <c r="F4927" s="48">
        <f>IFERROR(__xludf.DUMMYFUNCTION("""COMPUTED_VALUE"""),45845.71639366898)</f>
        <v>45845.71639</v>
      </c>
      <c r="G4927" s="42" t="str">
        <f>IFERROR(__xludf.DUMMYFUNCTION("""COMPUTED_VALUE"""),"BN JUAL BELI")</f>
        <v>BN JUAL BELI</v>
      </c>
      <c r="H4927" s="42">
        <f t="shared" si="1"/>
        <v>2165</v>
      </c>
    </row>
    <row r="4928" ht="22.5" customHeight="1">
      <c r="B4928" s="42" t="str">
        <f>IFERROR(__xludf.DUMMYFUNCTION("""COMPUTED_VALUE"""),"K/25/130625/1")</f>
        <v>K/25/130625/1</v>
      </c>
      <c r="C4928" s="42" t="str">
        <f>IFERROR(__xludf.DUMMYFUNCTION("""COMPUTED_VALUE"""),"NIBEL B.19555/WAY HALIM PERMAI")</f>
        <v>NIBEL B.19555/WAY HALIM PERMAI</v>
      </c>
      <c r="D4928" s="42"/>
      <c r="E4928" s="42"/>
      <c r="F4928" s="48" t="str">
        <f>IFERROR(__xludf.DUMMYFUNCTION("""COMPUTED_VALUE"""),"")</f>
        <v/>
      </c>
      <c r="G4928" s="42" t="str">
        <f>IFERROR(__xludf.DUMMYFUNCTION("""COMPUTED_VALUE"""),"JUAL BELI")</f>
        <v>JUAL BELI</v>
      </c>
      <c r="H4928" s="42">
        <f t="shared" si="1"/>
        <v>2165</v>
      </c>
    </row>
    <row r="4929" ht="22.5" customHeight="1">
      <c r="B4929" s="42" t="str">
        <f>IFERROR(__xludf.DUMMYFUNCTION("""COMPUTED_VALUE"""),"L/28/130625/1")</f>
        <v>L/28/130625/1</v>
      </c>
      <c r="C4929" s="42" t="str">
        <f>IFERROR(__xludf.DUMMYFUNCTION("""COMPUTED_VALUE"""),"M.2046/ WAY HALIM PERMAI")</f>
        <v>M.2046/ WAY HALIM PERMAI</v>
      </c>
      <c r="D4929" s="42" t="str">
        <f>IFERROR(__xludf.DUMMYFUNCTION("""COMPUTED_VALUE"""),"Berry")</f>
        <v>Berry</v>
      </c>
      <c r="E4929" s="42" t="str">
        <f>IFERROR(__xludf.DUMMYFUNCTION("""COMPUTED_VALUE"""),"DISERAHKAN")</f>
        <v>DISERAHKAN</v>
      </c>
      <c r="F4929" s="48">
        <f>IFERROR(__xludf.DUMMYFUNCTION("""COMPUTED_VALUE"""),45841.52203847222)</f>
        <v>45841.52204</v>
      </c>
      <c r="G4929" s="42" t="str">
        <f>IFERROR(__xludf.DUMMYFUNCTION("""COMPUTED_VALUE"""),"PERALIHAN HAK HIBAH")</f>
        <v>PERALIHAN HAK HIBAH</v>
      </c>
      <c r="H4929" s="42">
        <f t="shared" si="1"/>
        <v>2166</v>
      </c>
    </row>
    <row r="4930" ht="22.5" customHeight="1">
      <c r="B4930" s="42" t="str">
        <f>IFERROR(__xludf.DUMMYFUNCTION("""COMPUTED_VALUE"""),"K/30/130625/1")</f>
        <v>K/30/130625/1</v>
      </c>
      <c r="C4930" s="42" t="str">
        <f>IFERROR(__xludf.DUMMYFUNCTION("""COMPUTED_VALUE"""),"Nibel 18447/ Gunung Sulah")</f>
        <v>Nibel 18447/ Gunung Sulah</v>
      </c>
      <c r="D4930" s="42"/>
      <c r="E4930" s="42"/>
      <c r="F4930" s="48" t="str">
        <f>IFERROR(__xludf.DUMMYFUNCTION("""COMPUTED_VALUE"""),"")</f>
        <v/>
      </c>
      <c r="G4930" s="42" t="str">
        <f>IFERROR(__xludf.DUMMYFUNCTION("""COMPUTED_VALUE"""),"BN JUAL BELI")</f>
        <v>BN JUAL BELI</v>
      </c>
      <c r="H4930" s="42">
        <f t="shared" si="1"/>
        <v>2166</v>
      </c>
    </row>
    <row r="4931" ht="22.5" customHeight="1">
      <c r="B4931" s="42" t="str">
        <f>IFERROR(__xludf.DUMMYFUNCTION("""COMPUTED_VALUE"""),"K/31/130625/2")</f>
        <v>K/31/130625/2</v>
      </c>
      <c r="C4931" s="42" t="str">
        <f>IFERROR(__xludf.DUMMYFUNCTION("""COMPUTED_VALUE"""),"M. 1134/ Sukamaju")</f>
        <v>M. 1134/ Sukamaju</v>
      </c>
      <c r="D4931" s="42" t="str">
        <f>IFERROR(__xludf.DUMMYFUNCTION("""COMPUTED_VALUE"""),"Berry")</f>
        <v>Berry</v>
      </c>
      <c r="E4931" s="42" t="str">
        <f>IFERROR(__xludf.DUMMYFUNCTION("""COMPUTED_VALUE"""),"DISERAHKAN")</f>
        <v>DISERAHKAN</v>
      </c>
      <c r="F4931" s="48">
        <f>IFERROR(__xludf.DUMMYFUNCTION("""COMPUTED_VALUE"""),45880.715402013884)</f>
        <v>45880.7154</v>
      </c>
      <c r="G4931" s="42" t="str">
        <f>IFERROR(__xludf.DUMMYFUNCTION("""COMPUTED_VALUE"""),"BN HIBAH")</f>
        <v>BN HIBAH</v>
      </c>
      <c r="H4931" s="42">
        <f t="shared" si="1"/>
        <v>2167</v>
      </c>
    </row>
    <row r="4932" ht="22.5" customHeight="1">
      <c r="B4932" s="42" t="str">
        <f>IFERROR(__xludf.DUMMYFUNCTION("""COMPUTED_VALUE"""),"K/32/130625/3")</f>
        <v>K/32/130625/3</v>
      </c>
      <c r="C4932" s="42" t="str">
        <f>IFERROR(__xludf.DUMMYFUNCTION("""COMPUTED_VALUE"""),"M. 680/ Gedong Air")</f>
        <v>M. 680/ Gedong Air</v>
      </c>
      <c r="D4932" s="42" t="str">
        <f>IFERROR(__xludf.DUMMYFUNCTION("""COMPUTED_VALUE"""),"Berry")</f>
        <v>Berry</v>
      </c>
      <c r="E4932" s="42" t="str">
        <f>IFERROR(__xludf.DUMMYFUNCTION("""COMPUTED_VALUE"""),"DISERAHKAN")</f>
        <v>DISERAHKAN</v>
      </c>
      <c r="F4932" s="48">
        <f>IFERROR(__xludf.DUMMYFUNCTION("""COMPUTED_VALUE"""),45841.50528012731)</f>
        <v>45841.50528</v>
      </c>
      <c r="G4932" s="42" t="str">
        <f>IFERROR(__xludf.DUMMYFUNCTION("""COMPUTED_VALUE"""),"BN JUAL BELI")</f>
        <v>BN JUAL BELI</v>
      </c>
      <c r="H4932" s="42">
        <f t="shared" si="1"/>
        <v>2168</v>
      </c>
    </row>
    <row r="4933" ht="22.5" customHeight="1">
      <c r="B4933" s="42" t="str">
        <f>IFERROR(__xludf.DUMMYFUNCTION("""COMPUTED_VALUE"""),"K/33/130625/4")</f>
        <v>K/33/130625/4</v>
      </c>
      <c r="C4933" s="42" t="str">
        <f>IFERROR(__xludf.DUMMYFUNCTION("""COMPUTED_VALUE"""),"Nibel 19843/ Langkapura")</f>
        <v>Nibel 19843/ Langkapura</v>
      </c>
      <c r="D4933" s="42"/>
      <c r="E4933" s="42"/>
      <c r="F4933" s="48" t="str">
        <f>IFERROR(__xludf.DUMMYFUNCTION("""COMPUTED_VALUE"""),"")</f>
        <v/>
      </c>
      <c r="G4933" s="42" t="str">
        <f>IFERROR(__xludf.DUMMYFUNCTION("""COMPUTED_VALUE"""),"BN JUAL BELI")</f>
        <v>BN JUAL BELI</v>
      </c>
      <c r="H4933" s="42">
        <f t="shared" si="1"/>
        <v>2168</v>
      </c>
    </row>
    <row r="4934" ht="22.5" customHeight="1">
      <c r="B4934" s="42" t="str">
        <f>IFERROR(__xludf.DUMMYFUNCTION("""COMPUTED_VALUE"""),"K/34/130625/5")</f>
        <v>K/34/130625/5</v>
      </c>
      <c r="C4934" s="42" t="str">
        <f>IFERROR(__xludf.DUMMYFUNCTION("""COMPUTED_VALUE"""),"Nibel 20578/ Kemiling Permai")</f>
        <v>Nibel 20578/ Kemiling Permai</v>
      </c>
      <c r="D4934" s="42"/>
      <c r="E4934" s="42"/>
      <c r="F4934" s="48" t="str">
        <f>IFERROR(__xludf.DUMMYFUNCTION("""COMPUTED_VALUE"""),"")</f>
        <v/>
      </c>
      <c r="G4934" s="42" t="str">
        <f>IFERROR(__xludf.DUMMYFUNCTION("""COMPUTED_VALUE"""),"PERUBAHAN HAK")</f>
        <v>PERUBAHAN HAK</v>
      </c>
      <c r="H4934" s="42">
        <f t="shared" si="1"/>
        <v>2168</v>
      </c>
    </row>
    <row r="4935" ht="22.5" customHeight="1">
      <c r="B4935" s="42" t="str">
        <f>IFERROR(__xludf.DUMMYFUNCTION("""COMPUTED_VALUE"""),"K/35/130625/1")</f>
        <v>K/35/130625/1</v>
      </c>
      <c r="C4935" s="42" t="str">
        <f>IFERROR(__xludf.DUMMYFUNCTION("""COMPUTED_VALUE"""),"M. 5780/ Kedaton")</f>
        <v>M. 5780/ Kedaton</v>
      </c>
      <c r="D4935" s="42"/>
      <c r="E4935" s="42"/>
      <c r="F4935" s="48" t="str">
        <f>IFERROR(__xludf.DUMMYFUNCTION("""COMPUTED_VALUE"""),"")</f>
        <v/>
      </c>
      <c r="G4935" s="42" t="str">
        <f>IFERROR(__xludf.DUMMYFUNCTION("""COMPUTED_VALUE"""),"Roya")</f>
        <v>Roya</v>
      </c>
      <c r="H4935" s="42">
        <f t="shared" si="1"/>
        <v>2168</v>
      </c>
    </row>
    <row r="4936" ht="22.5" customHeight="1">
      <c r="B4936" s="42" t="str">
        <f>IFERROR(__xludf.DUMMYFUNCTION("""COMPUTED_VALUE"""),"K/36/130625/1")</f>
        <v>K/36/130625/1</v>
      </c>
      <c r="C4936" s="42" t="str">
        <f>IFERROR(__xludf.DUMMYFUNCTION("""COMPUTED_VALUE"""),"M. 11904/ Kedamaian")</f>
        <v>M. 11904/ Kedamaian</v>
      </c>
      <c r="D4936" s="42" t="str">
        <f>IFERROR(__xludf.DUMMYFUNCTION("""COMPUTED_VALUE"""),"David")</f>
        <v>David</v>
      </c>
      <c r="E4936" s="42" t="str">
        <f>IFERROR(__xludf.DUMMYFUNCTION("""COMPUTED_VALUE"""),"DISERAHKAN")</f>
        <v>DISERAHKAN</v>
      </c>
      <c r="F4936" s="48">
        <f>IFERROR(__xludf.DUMMYFUNCTION("""COMPUTED_VALUE"""),45916.405798402775)</f>
        <v>45916.4058</v>
      </c>
      <c r="G4936" s="42" t="str">
        <f>IFERROR(__xludf.DUMMYFUNCTION("""COMPUTED_VALUE"""),"Ganti Nama HT")</f>
        <v>Ganti Nama HT</v>
      </c>
      <c r="H4936" s="42">
        <f t="shared" si="1"/>
        <v>2169</v>
      </c>
    </row>
    <row r="4937" ht="22.5" customHeight="1">
      <c r="B4937" s="42" t="str">
        <f>IFERROR(__xludf.DUMMYFUNCTION("""COMPUTED_VALUE"""),"K/37/130625/2")</f>
        <v>K/37/130625/2</v>
      </c>
      <c r="C4937" s="42" t="str">
        <f>IFERROR(__xludf.DUMMYFUNCTION("""COMPUTED_VALUE"""),"M. 13574/ Kedamaian")</f>
        <v>M. 13574/ Kedamaian</v>
      </c>
      <c r="D4937" s="42" t="str">
        <f>IFERROR(__xludf.DUMMYFUNCTION("""COMPUTED_VALUE"""),"David")</f>
        <v>David</v>
      </c>
      <c r="E4937" s="42" t="str">
        <f>IFERROR(__xludf.DUMMYFUNCTION("""COMPUTED_VALUE"""),"DISERAHKAN")</f>
        <v>DISERAHKAN</v>
      </c>
      <c r="F4937" s="48">
        <f>IFERROR(__xludf.DUMMYFUNCTION("""COMPUTED_VALUE"""),45876.64315503472)</f>
        <v>45876.64316</v>
      </c>
      <c r="G4937" s="42" t="str">
        <f>IFERROR(__xludf.DUMMYFUNCTION("""COMPUTED_VALUE"""),"Ganti Nama HT")</f>
        <v>Ganti Nama HT</v>
      </c>
      <c r="H4937" s="42">
        <f t="shared" si="1"/>
        <v>2170</v>
      </c>
    </row>
    <row r="4938" ht="22.5" customHeight="1">
      <c r="B4938" s="42" t="str">
        <f>IFERROR(__xludf.DUMMYFUNCTION("""COMPUTED_VALUE"""),"L/40/130625/1")</f>
        <v>L/40/130625/1</v>
      </c>
      <c r="C4938" s="42" t="str">
        <f>IFERROR(__xludf.DUMMYFUNCTION("""COMPUTED_VALUE"""),"M.2045/WAY HALIM PERMAI")</f>
        <v>M.2045/WAY HALIM PERMAI</v>
      </c>
      <c r="D4938" s="42" t="str">
        <f>IFERROR(__xludf.DUMMYFUNCTION("""COMPUTED_VALUE"""),"Berry")</f>
        <v>Berry</v>
      </c>
      <c r="E4938" s="42" t="str">
        <f>IFERROR(__xludf.DUMMYFUNCTION("""COMPUTED_VALUE"""),"DISERAHKAN")</f>
        <v>DISERAHKAN</v>
      </c>
      <c r="F4938" s="48">
        <f>IFERROR(__xludf.DUMMYFUNCTION("""COMPUTED_VALUE"""),45841.524308912034)</f>
        <v>45841.52431</v>
      </c>
      <c r="G4938" s="42" t="str">
        <f>IFERROR(__xludf.DUMMYFUNCTION("""COMPUTED_VALUE"""),"PERALIHAN HAK HIBAH")</f>
        <v>PERALIHAN HAK HIBAH</v>
      </c>
      <c r="H4938" s="42">
        <f t="shared" si="1"/>
        <v>2171</v>
      </c>
    </row>
    <row r="4939" ht="22.5" customHeight="1">
      <c r="B4939" s="42" t="str">
        <f>IFERROR(__xludf.DUMMYFUNCTION("""COMPUTED_VALUE"""),"K/38/130625/1")</f>
        <v>K/38/130625/1</v>
      </c>
      <c r="C4939" s="42" t="str">
        <f>IFERROR(__xludf.DUMMYFUNCTION("""COMPUTED_VALUE"""),"Nibel. M. 18092/ Kemiling Permai")</f>
        <v>Nibel. M. 18092/ Kemiling Permai</v>
      </c>
      <c r="D4939" s="42"/>
      <c r="E4939" s="42"/>
      <c r="F4939" s="48" t="str">
        <f>IFERROR(__xludf.DUMMYFUNCTION("""COMPUTED_VALUE"""),"")</f>
        <v/>
      </c>
      <c r="G4939" s="42" t="str">
        <f>IFERROR(__xludf.DUMMYFUNCTION("""COMPUTED_VALUE"""),"Pemecahan")</f>
        <v>Pemecahan</v>
      </c>
      <c r="H4939" s="42">
        <f t="shared" si="1"/>
        <v>2171</v>
      </c>
    </row>
    <row r="4940" ht="22.5" customHeight="1">
      <c r="B4940" s="42" t="str">
        <f>IFERROR(__xludf.DUMMYFUNCTION("""COMPUTED_VALUE"""),"K/41/130625/1")</f>
        <v>K/41/130625/1</v>
      </c>
      <c r="C4940" s="42" t="str">
        <f>IFERROR(__xludf.DUMMYFUNCTION("""COMPUTED_VALUE"""),"NIBEL B 21979/SUKABUMI")</f>
        <v>NIBEL B 21979/SUKABUMI</v>
      </c>
      <c r="D4940" s="42"/>
      <c r="E4940" s="42"/>
      <c r="F4940" s="48" t="str">
        <f>IFERROR(__xludf.DUMMYFUNCTION("""COMPUTED_VALUE"""),"")</f>
        <v/>
      </c>
      <c r="G4940" s="42" t="str">
        <f>IFERROR(__xludf.DUMMYFUNCTION("""COMPUTED_VALUE"""),"PENINGKATAN HAK")</f>
        <v>PENINGKATAN HAK</v>
      </c>
      <c r="H4940" s="42">
        <f t="shared" si="1"/>
        <v>2171</v>
      </c>
    </row>
    <row r="4941" ht="22.5" customHeight="1">
      <c r="B4941" s="42" t="str">
        <f>IFERROR(__xludf.DUMMYFUNCTION("""COMPUTED_VALUE"""),"K/39/130625/1")</f>
        <v>K/39/130625/1</v>
      </c>
      <c r="C4941" s="42" t="str">
        <f>IFERROR(__xludf.DUMMYFUNCTION("""COMPUTED_VALUE"""),"M. 9369/ Surabaya")</f>
        <v>M. 9369/ Surabaya</v>
      </c>
      <c r="D4941" s="42"/>
      <c r="E4941" s="42"/>
      <c r="F4941" s="48" t="str">
        <f>IFERROR(__xludf.DUMMYFUNCTION("""COMPUTED_VALUE"""),"")</f>
        <v/>
      </c>
      <c r="G4941" s="42" t="str">
        <f>IFERROR(__xludf.DUMMYFUNCTION("""COMPUTED_VALUE"""),"BN Waris")</f>
        <v>BN Waris</v>
      </c>
      <c r="H4941" s="42">
        <f t="shared" si="1"/>
        <v>2171</v>
      </c>
    </row>
    <row r="4942" ht="22.5" customHeight="1">
      <c r="B4942" s="42" t="str">
        <f>IFERROR(__xludf.DUMMYFUNCTION("""COMPUTED_VALUE"""),"K/42/130625/1")</f>
        <v>K/42/130625/1</v>
      </c>
      <c r="C4942" s="42" t="str">
        <f>IFERROR(__xludf.DUMMYFUNCTION("""COMPUTED_VALUE"""),"Nibel. M. 16355/ Kedaton")</f>
        <v>Nibel. M. 16355/ Kedaton</v>
      </c>
      <c r="D4942" s="42"/>
      <c r="E4942" s="42"/>
      <c r="F4942" s="48" t="str">
        <f>IFERROR(__xludf.DUMMYFUNCTION("""COMPUTED_VALUE"""),"")</f>
        <v/>
      </c>
      <c r="G4942" s="42" t="str">
        <f>IFERROR(__xludf.DUMMYFUNCTION("""COMPUTED_VALUE"""),"BN Jual Beli")</f>
        <v>BN Jual Beli</v>
      </c>
      <c r="H4942" s="42">
        <f t="shared" si="1"/>
        <v>2171</v>
      </c>
    </row>
    <row r="4943" ht="22.5" customHeight="1">
      <c r="B4943" s="42" t="str">
        <f>IFERROR(__xludf.DUMMYFUNCTION("""COMPUTED_VALUE"""),"K/27/130625/1")</f>
        <v>K/27/130625/1</v>
      </c>
      <c r="C4943" s="42" t="str">
        <f>IFERROR(__xludf.DUMMYFUNCTION("""COMPUTED_VALUE"""),"NIBEL M. 374/GUNUNG SULAH")</f>
        <v>NIBEL M. 374/GUNUNG SULAH</v>
      </c>
      <c r="D4943" s="42"/>
      <c r="E4943" s="42"/>
      <c r="F4943" s="48" t="str">
        <f>IFERROR(__xludf.DUMMYFUNCTION("""COMPUTED_VALUE"""),"")</f>
        <v/>
      </c>
      <c r="G4943" s="42" t="str">
        <f>IFERROR(__xludf.DUMMYFUNCTION("""COMPUTED_VALUE"""),"BN JUAL BELI")</f>
        <v>BN JUAL BELI</v>
      </c>
      <c r="H4943" s="42">
        <f t="shared" si="1"/>
        <v>2171</v>
      </c>
    </row>
    <row r="4944" ht="22.5" customHeight="1">
      <c r="B4944" s="42" t="str">
        <f>IFERROR(__xludf.DUMMYFUNCTION("""COMPUTED_VALUE"""),"K/43/130625/1")</f>
        <v>K/43/130625/1</v>
      </c>
      <c r="C4944" s="42" t="str">
        <f>IFERROR(__xludf.DUMMYFUNCTION("""COMPUTED_VALUE"""),"M. 13, 14/ Way Dadi")</f>
        <v>M. 13, 14/ Way Dadi</v>
      </c>
      <c r="D4944" s="42" t="str">
        <f>IFERROR(__xludf.DUMMYFUNCTION("""COMPUTED_VALUE"""),"David")</f>
        <v>David</v>
      </c>
      <c r="E4944" s="42" t="str">
        <f>IFERROR(__xludf.DUMMYFUNCTION("""COMPUTED_VALUE"""),"DISERAHKAN")</f>
        <v>DISERAHKAN</v>
      </c>
      <c r="F4944" s="48">
        <f>IFERROR(__xludf.DUMMYFUNCTION("""COMPUTED_VALUE"""),45847.649795590274)</f>
        <v>45847.6498</v>
      </c>
      <c r="G4944" s="42" t="str">
        <f>IFERROR(__xludf.DUMMYFUNCTION("""COMPUTED_VALUE"""),"ROYA")</f>
        <v>ROYA</v>
      </c>
      <c r="H4944" s="42">
        <f t="shared" si="1"/>
        <v>2172</v>
      </c>
    </row>
    <row r="4945" ht="22.5" customHeight="1">
      <c r="B4945" s="42" t="str">
        <f>IFERROR(__xludf.DUMMYFUNCTION("""COMPUTED_VALUE"""),"K/44/130625/1")</f>
        <v>K/44/130625/1</v>
      </c>
      <c r="C4945" s="42" t="str">
        <f>IFERROR(__xludf.DUMMYFUNCTION("""COMPUTED_VALUE"""),"NIBEL M. 21434/CAMPANG JAYA")</f>
        <v>NIBEL M. 21434/CAMPANG JAYA</v>
      </c>
      <c r="D4945" s="42"/>
      <c r="E4945" s="42"/>
      <c r="F4945" s="48" t="str">
        <f>IFERROR(__xludf.DUMMYFUNCTION("""COMPUTED_VALUE"""),"")</f>
        <v/>
      </c>
      <c r="G4945" s="42" t="str">
        <f>IFERROR(__xludf.DUMMYFUNCTION("""COMPUTED_VALUE"""),"BN JUAL BELI")</f>
        <v>BN JUAL BELI</v>
      </c>
      <c r="H4945" s="42">
        <f t="shared" si="1"/>
        <v>2172</v>
      </c>
    </row>
    <row r="4946" ht="22.5" customHeight="1">
      <c r="B4946" s="42" t="str">
        <f>IFERROR(__xludf.DUMMYFUNCTION("""COMPUTED_VALUE"""),"L/1/140625/PELATARAN")</f>
        <v>L/1/140625/PELATARAN</v>
      </c>
      <c r="C4946" s="42" t="str">
        <f>IFERROR(__xludf.DUMMYFUNCTION("""COMPUTED_VALUE"""),"Nibel 17701/ Sukabumi")</f>
        <v>Nibel 17701/ Sukabumi</v>
      </c>
      <c r="D4946" s="42"/>
      <c r="E4946" s="42"/>
      <c r="F4946" s="48" t="str">
        <f>IFERROR(__xludf.DUMMYFUNCTION("""COMPUTED_VALUE"""),"")</f>
        <v/>
      </c>
      <c r="G4946" s="42" t="str">
        <f>IFERROR(__xludf.DUMMYFUNCTION("""COMPUTED_VALUE"""),"PTPGT PEMECAHAN")</f>
        <v>PTPGT PEMECAHAN</v>
      </c>
      <c r="H4946" s="42">
        <f t="shared" si="1"/>
        <v>2172</v>
      </c>
    </row>
    <row r="4947" ht="22.5" customHeight="1">
      <c r="B4947" s="42" t="str">
        <f>IFERROR(__xludf.DUMMYFUNCTION("""COMPUTED_VALUE"""),"L/1/150625/PELATARAN")</f>
        <v>L/1/150625/PELATARAN</v>
      </c>
      <c r="C4947" s="42" t="str">
        <f>IFERROR(__xludf.DUMMYFUNCTION("""COMPUTED_VALUE"""),"M.846/SUMUR BATU")</f>
        <v>M.846/SUMUR BATU</v>
      </c>
      <c r="D4947" s="42"/>
      <c r="E4947" s="42"/>
      <c r="F4947" s="48" t="str">
        <f>IFERROR(__xludf.DUMMYFUNCTION("""COMPUTED_VALUE"""),"")</f>
        <v/>
      </c>
      <c r="G4947" s="42" t="str">
        <f>IFERROR(__xludf.DUMMYFUNCTION("""COMPUTED_VALUE"""),"KEWARISAN")</f>
        <v>KEWARISAN</v>
      </c>
      <c r="H4947" s="42">
        <f t="shared" si="1"/>
        <v>2172</v>
      </c>
    </row>
    <row r="4948" ht="22.5" customHeight="1">
      <c r="B4948" s="42" t="str">
        <f>IFERROR(__xludf.DUMMYFUNCTION("""COMPUTED_VALUE"""),"L/2/150625/PELATARAN")</f>
        <v>L/2/150625/PELATARAN</v>
      </c>
      <c r="C4948" s="42" t="str">
        <f>IFERROR(__xludf.DUMMYFUNCTION("""COMPUTED_VALUE"""),"M.1851/RAJABASA NUNYAI")</f>
        <v>M.1851/RAJABASA NUNYAI</v>
      </c>
      <c r="D4948" s="42" t="str">
        <f>IFERROR(__xludf.DUMMYFUNCTION("""COMPUTED_VALUE"""),"Berry")</f>
        <v>Berry</v>
      </c>
      <c r="E4948" s="42" t="str">
        <f>IFERROR(__xludf.DUMMYFUNCTION("""COMPUTED_VALUE"""),"DISERAHKAN")</f>
        <v>DISERAHKAN</v>
      </c>
      <c r="F4948" s="48">
        <f>IFERROR(__xludf.DUMMYFUNCTION("""COMPUTED_VALUE"""),45853.723264201384)</f>
        <v>45853.72326</v>
      </c>
      <c r="G4948" s="42" t="str">
        <f>IFERROR(__xludf.DUMMYFUNCTION("""COMPUTED_VALUE"""),"KEWARISAN")</f>
        <v>KEWARISAN</v>
      </c>
      <c r="H4948" s="42">
        <f t="shared" si="1"/>
        <v>2173</v>
      </c>
    </row>
    <row r="4949" ht="22.5" customHeight="1">
      <c r="B4949" s="42" t="str">
        <f>IFERROR(__xludf.DUMMYFUNCTION("""COMPUTED_VALUE"""),"L/1/160625/1")</f>
        <v>L/1/160625/1</v>
      </c>
      <c r="C4949" s="42" t="str">
        <f>IFERROR(__xludf.DUMMYFUNCTION("""COMPUTED_VALUE"""),"KAMPUNG BARU")</f>
        <v>KAMPUNG BARU</v>
      </c>
      <c r="D4949" s="42"/>
      <c r="E4949" s="42"/>
      <c r="F4949" s="48" t="str">
        <f>IFERROR(__xludf.DUMMYFUNCTION("""COMPUTED_VALUE"""),"")</f>
        <v/>
      </c>
      <c r="G4949" s="42" t="str">
        <f>IFERROR(__xludf.DUMMYFUNCTION("""COMPUTED_VALUE"""),"PERTAMA KALI")</f>
        <v>PERTAMA KALI</v>
      </c>
      <c r="H4949" s="42">
        <f t="shared" si="1"/>
        <v>2173</v>
      </c>
    </row>
    <row r="4950" ht="22.5" customHeight="1">
      <c r="B4950" s="42" t="str">
        <f>IFERROR(__xludf.DUMMYFUNCTION("""COMPUTED_VALUE"""),"K/2/160625/1")</f>
        <v>K/2/160625/1</v>
      </c>
      <c r="C4950" s="42" t="str">
        <f>IFERROR(__xludf.DUMMYFUNCTION("""COMPUTED_VALUE"""),"M. 1761/KALIAWI")</f>
        <v>M. 1761/KALIAWI</v>
      </c>
      <c r="D4950" s="42" t="str">
        <f>IFERROR(__xludf.DUMMYFUNCTION("""COMPUTED_VALUE"""),"Berry")</f>
        <v>Berry</v>
      </c>
      <c r="E4950" s="42" t="str">
        <f>IFERROR(__xludf.DUMMYFUNCTION("""COMPUTED_VALUE"""),"DISERAHKAN")</f>
        <v>DISERAHKAN</v>
      </c>
      <c r="F4950" s="48">
        <f>IFERROR(__xludf.DUMMYFUNCTION("""COMPUTED_VALUE"""),45910.593502592594)</f>
        <v>45910.5935</v>
      </c>
      <c r="G4950" s="42" t="str">
        <f>IFERROR(__xludf.DUMMYFUNCTION("""COMPUTED_VALUE"""),"BN WARIS")</f>
        <v>BN WARIS</v>
      </c>
      <c r="H4950" s="42">
        <f t="shared" si="1"/>
        <v>2174</v>
      </c>
    </row>
    <row r="4951" ht="22.5" customHeight="1">
      <c r="B4951" s="42" t="str">
        <f>IFERROR(__xludf.DUMMYFUNCTION("""COMPUTED_VALUE"""),"K/43/120625/1")</f>
        <v>K/43/120625/1</v>
      </c>
      <c r="C4951" s="42" t="str">
        <f>IFERROR(__xludf.DUMMYFUNCTION("""COMPUTED_VALUE"""),"M.2/SUSUNAN BARU")</f>
        <v>M.2/SUSUNAN BARU</v>
      </c>
      <c r="D4951" s="42" t="str">
        <f>IFERROR(__xludf.DUMMYFUNCTION("""COMPUTED_VALUE"""),"David")</f>
        <v>David</v>
      </c>
      <c r="E4951" s="42" t="str">
        <f>IFERROR(__xludf.DUMMYFUNCTION("""COMPUTED_VALUE"""),"DISERAHKAN")</f>
        <v>DISERAHKAN</v>
      </c>
      <c r="F4951" s="48">
        <f>IFERROR(__xludf.DUMMYFUNCTION("""COMPUTED_VALUE"""),45852.642492037034)</f>
        <v>45852.64249</v>
      </c>
      <c r="G4951" s="42" t="str">
        <f>IFERROR(__xludf.DUMMYFUNCTION("""COMPUTED_VALUE"""),"GANTI NAMA HT")</f>
        <v>GANTI NAMA HT</v>
      </c>
      <c r="H4951" s="42">
        <f t="shared" si="1"/>
        <v>2175</v>
      </c>
    </row>
    <row r="4952" ht="22.5" customHeight="1">
      <c r="B4952" s="42" t="str">
        <f>IFERROR(__xludf.DUMMYFUNCTION("""COMPUTED_VALUE"""),"K/3/160625/1")</f>
        <v>K/3/160625/1</v>
      </c>
      <c r="C4952" s="42" t="str">
        <f>IFERROR(__xludf.DUMMYFUNCTION("""COMPUTED_VALUE"""),"M. 14163/ Rajabasa")</f>
        <v>M. 14163/ Rajabasa</v>
      </c>
      <c r="D4952" s="42" t="str">
        <f>IFERROR(__xludf.DUMMYFUNCTION("""COMPUTED_VALUE"""),"David")</f>
        <v>David</v>
      </c>
      <c r="E4952" s="42" t="str">
        <f>IFERROR(__xludf.DUMMYFUNCTION("""COMPUTED_VALUE"""),"DISERAHKAN")</f>
        <v>DISERAHKAN</v>
      </c>
      <c r="F4952" s="48">
        <f>IFERROR(__xludf.DUMMYFUNCTION("""COMPUTED_VALUE"""),45849.47048458333)</f>
        <v>45849.47048</v>
      </c>
      <c r="G4952" s="42" t="str">
        <f>IFERROR(__xludf.DUMMYFUNCTION("""COMPUTED_VALUE"""),"Roya")</f>
        <v>Roya</v>
      </c>
      <c r="H4952" s="42">
        <f t="shared" si="1"/>
        <v>2176</v>
      </c>
    </row>
    <row r="4953" ht="22.5" customHeight="1">
      <c r="B4953" s="42" t="str">
        <f>IFERROR(__xludf.DUMMYFUNCTION("""COMPUTED_VALUE"""),"K/4/160625/1")</f>
        <v>K/4/160625/1</v>
      </c>
      <c r="C4953" s="42" t="str">
        <f>IFERROR(__xludf.DUMMYFUNCTION("""COMPUTED_VALUE"""),"M. 11085/ Sukabumi")</f>
        <v>M. 11085/ Sukabumi</v>
      </c>
      <c r="D4953" s="42" t="str">
        <f>IFERROR(__xludf.DUMMYFUNCTION("""COMPUTED_VALUE"""),"David")</f>
        <v>David</v>
      </c>
      <c r="E4953" s="42" t="str">
        <f>IFERROR(__xludf.DUMMYFUNCTION("""COMPUTED_VALUE"""),"DISERAHKAN")</f>
        <v>DISERAHKAN</v>
      </c>
      <c r="F4953" s="48">
        <f>IFERROR(__xludf.DUMMYFUNCTION("""COMPUTED_VALUE"""),45863.60683971064)</f>
        <v>45863.60684</v>
      </c>
      <c r="G4953" s="42" t="str">
        <f>IFERROR(__xludf.DUMMYFUNCTION("""COMPUTED_VALUE"""),"BN Jual Beli")</f>
        <v>BN Jual Beli</v>
      </c>
      <c r="H4953" s="42">
        <f t="shared" si="1"/>
        <v>2177</v>
      </c>
    </row>
    <row r="4954" ht="22.5" customHeight="1">
      <c r="B4954" s="42" t="str">
        <f>IFERROR(__xludf.DUMMYFUNCTION("""COMPUTED_VALUE"""),"K/6/160627/1")</f>
        <v>K/6/160627/1</v>
      </c>
      <c r="C4954" s="42" t="str">
        <f>IFERROR(__xludf.DUMMYFUNCTION("""COMPUTED_VALUE"""),"NIBEL M. 21283/TANJUNG SENANG")</f>
        <v>NIBEL M. 21283/TANJUNG SENANG</v>
      </c>
      <c r="D4954" s="42"/>
      <c r="E4954" s="42"/>
      <c r="F4954" s="48" t="str">
        <f>IFERROR(__xludf.DUMMYFUNCTION("""COMPUTED_VALUE"""),"")</f>
        <v/>
      </c>
      <c r="G4954" s="42" t="str">
        <f>IFERROR(__xludf.DUMMYFUNCTION("""COMPUTED_VALUE"""),"BN WARIS")</f>
        <v>BN WARIS</v>
      </c>
      <c r="H4954" s="42">
        <f t="shared" si="1"/>
        <v>2177</v>
      </c>
    </row>
    <row r="4955" ht="22.5" customHeight="1">
      <c r="B4955" s="42" t="str">
        <f>IFERROR(__xludf.DUMMYFUNCTION("""COMPUTED_VALUE"""),"K/5/160626/1")</f>
        <v>K/5/160626/1</v>
      </c>
      <c r="C4955" s="42" t="str">
        <f>IFERROR(__xludf.DUMMYFUNCTION("""COMPUTED_VALUE"""),"B.4618/SUKABUMI")</f>
        <v>B.4618/SUKABUMI</v>
      </c>
      <c r="D4955" s="42"/>
      <c r="E4955" s="42"/>
      <c r="F4955" s="48" t="str">
        <f>IFERROR(__xludf.DUMMYFUNCTION("""COMPUTED_VALUE"""),"")</f>
        <v/>
      </c>
      <c r="G4955" s="42" t="str">
        <f>IFERROR(__xludf.DUMMYFUNCTION("""COMPUTED_VALUE"""),"SKPT LELANG")</f>
        <v>SKPT LELANG</v>
      </c>
      <c r="H4955" s="42">
        <f t="shared" si="1"/>
        <v>2177</v>
      </c>
    </row>
    <row r="4956" ht="22.5" customHeight="1">
      <c r="B4956" s="42" t="str">
        <f>IFERROR(__xludf.DUMMYFUNCTION("""COMPUTED_VALUE"""),"K/7/160628/2")</f>
        <v>K/7/160628/2</v>
      </c>
      <c r="C4956" s="42" t="str">
        <f>IFERROR(__xludf.DUMMYFUNCTION("""COMPUTED_VALUE"""),"NIBEL M.21282/TANJUNG SENANG")</f>
        <v>NIBEL M.21282/TANJUNG SENANG</v>
      </c>
      <c r="D4956" s="42"/>
      <c r="E4956" s="42"/>
      <c r="F4956" s="48" t="str">
        <f>IFERROR(__xludf.DUMMYFUNCTION("""COMPUTED_VALUE"""),"")</f>
        <v/>
      </c>
      <c r="G4956" s="42" t="str">
        <f>IFERROR(__xludf.DUMMYFUNCTION("""COMPUTED_VALUE"""),"BN WARIS")</f>
        <v>BN WARIS</v>
      </c>
      <c r="H4956" s="42">
        <f t="shared" si="1"/>
        <v>2177</v>
      </c>
    </row>
    <row r="4957" ht="22.5" customHeight="1">
      <c r="B4957" s="42" t="str">
        <f>IFERROR(__xludf.DUMMYFUNCTION("""COMPUTED_VALUE"""),"K/8/160629/1")</f>
        <v>K/8/160629/1</v>
      </c>
      <c r="C4957" s="42" t="str">
        <f>IFERROR(__xludf.DUMMYFUNCTION("""COMPUTED_VALUE"""),"M. 1169/ Pematang Wangi")</f>
        <v>M. 1169/ Pematang Wangi</v>
      </c>
      <c r="D4957" s="42" t="str">
        <f>IFERROR(__xludf.DUMMYFUNCTION("""COMPUTED_VALUE"""),"Berry")</f>
        <v>Berry</v>
      </c>
      <c r="E4957" s="42" t="str">
        <f>IFERROR(__xludf.DUMMYFUNCTION("""COMPUTED_VALUE"""),"DISERAHKAN")</f>
        <v>DISERAHKAN</v>
      </c>
      <c r="F4957" s="48">
        <f>IFERROR(__xludf.DUMMYFUNCTION("""COMPUTED_VALUE"""),45841.50648743055)</f>
        <v>45841.50649</v>
      </c>
      <c r="G4957" s="42" t="str">
        <f>IFERROR(__xludf.DUMMYFUNCTION("""COMPUTED_VALUE"""),"BN JUAL BELI")</f>
        <v>BN JUAL BELI</v>
      </c>
      <c r="H4957" s="42">
        <f t="shared" si="1"/>
        <v>2178</v>
      </c>
    </row>
    <row r="4958" ht="22.5" customHeight="1">
      <c r="B4958" s="42" t="str">
        <f>IFERROR(__xludf.DUMMYFUNCTION("""COMPUTED_VALUE"""),"K/9/160630/2")</f>
        <v>K/9/160630/2</v>
      </c>
      <c r="C4958" s="42" t="str">
        <f>IFERROR(__xludf.DUMMYFUNCTION("""COMPUTED_VALUE"""),"M. 707/ Sumur Putri")</f>
        <v>M. 707/ Sumur Putri</v>
      </c>
      <c r="D4958" s="42" t="str">
        <f>IFERROR(__xludf.DUMMYFUNCTION("""COMPUTED_VALUE"""),"Berry")</f>
        <v>Berry</v>
      </c>
      <c r="E4958" s="42" t="str">
        <f>IFERROR(__xludf.DUMMYFUNCTION("""COMPUTED_VALUE"""),"DISERAHKAN")</f>
        <v>DISERAHKAN</v>
      </c>
      <c r="F4958" s="48">
        <f>IFERROR(__xludf.DUMMYFUNCTION("""COMPUTED_VALUE"""),45847.48779518518)</f>
        <v>45847.4878</v>
      </c>
      <c r="G4958" s="42" t="str">
        <f>IFERROR(__xludf.DUMMYFUNCTION("""COMPUTED_VALUE"""),"BN JUAL BELI")</f>
        <v>BN JUAL BELI</v>
      </c>
      <c r="H4958" s="42">
        <f t="shared" si="1"/>
        <v>2179</v>
      </c>
    </row>
    <row r="4959" ht="22.5" customHeight="1">
      <c r="B4959" s="42" t="str">
        <f>IFERROR(__xludf.DUMMYFUNCTION("""COMPUTED_VALUE"""),"K/14/160635/4")</f>
        <v>K/14/160635/4</v>
      </c>
      <c r="C4959" s="42" t="str">
        <f>IFERROR(__xludf.DUMMYFUNCTION("""COMPUTED_VALUE"""),"Nibel. B. 16239/ Sumur Putri")</f>
        <v>Nibel. B. 16239/ Sumur Putri</v>
      </c>
      <c r="D4959" s="42"/>
      <c r="E4959" s="42"/>
      <c r="F4959" s="48" t="str">
        <f>IFERROR(__xludf.DUMMYFUNCTION("""COMPUTED_VALUE"""),"")</f>
        <v/>
      </c>
      <c r="G4959" s="42" t="str">
        <f>IFERROR(__xludf.DUMMYFUNCTION("""COMPUTED_VALUE"""),"Perubahan Hak")</f>
        <v>Perubahan Hak</v>
      </c>
      <c r="H4959" s="42">
        <f t="shared" si="1"/>
        <v>2179</v>
      </c>
    </row>
    <row r="4960" ht="22.5" customHeight="1">
      <c r="B4960" s="42" t="str">
        <f>IFERROR(__xludf.DUMMYFUNCTION("""COMPUTED_VALUE"""),"K/13/160634/3")</f>
        <v>K/13/160634/3</v>
      </c>
      <c r="C4960" s="42" t="str">
        <f>IFERROR(__xludf.DUMMYFUNCTION("""COMPUTED_VALUE"""),"Nibel. M. 19080/ Gunung Agung")</f>
        <v>Nibel. M. 19080/ Gunung Agung</v>
      </c>
      <c r="D4960" s="42"/>
      <c r="E4960" s="42"/>
      <c r="F4960" s="48" t="str">
        <f>IFERROR(__xludf.DUMMYFUNCTION("""COMPUTED_VALUE"""),"")</f>
        <v/>
      </c>
      <c r="G4960" s="42" t="str">
        <f>IFERROR(__xludf.DUMMYFUNCTION("""COMPUTED_VALUE"""),"BN Jual Beli")</f>
        <v>BN Jual Beli</v>
      </c>
      <c r="H4960" s="42">
        <f t="shared" si="1"/>
        <v>2179</v>
      </c>
    </row>
    <row r="4961" ht="22.5" customHeight="1">
      <c r="B4961" s="42" t="str">
        <f>IFERROR(__xludf.DUMMYFUNCTION("""COMPUTED_VALUE"""),"K/11/160632/1")</f>
        <v>K/11/160632/1</v>
      </c>
      <c r="C4961" s="42" t="str">
        <f>IFERROR(__xludf.DUMMYFUNCTION("""COMPUTED_VALUE"""),"M. 1593/ Pengajaran")</f>
        <v>M. 1593/ Pengajaran</v>
      </c>
      <c r="D4961" s="42" t="str">
        <f>IFERROR(__xludf.DUMMYFUNCTION("""COMPUTED_VALUE"""),"Berry")</f>
        <v>Berry</v>
      </c>
      <c r="E4961" s="42" t="str">
        <f>IFERROR(__xludf.DUMMYFUNCTION("""COMPUTED_VALUE"""),"DISERAHKAN")</f>
        <v>DISERAHKAN</v>
      </c>
      <c r="F4961" s="48">
        <f>IFERROR(__xludf.DUMMYFUNCTION("""COMPUTED_VALUE"""),45838.66810119213)</f>
        <v>45838.6681</v>
      </c>
      <c r="G4961" s="42" t="str">
        <f>IFERROR(__xludf.DUMMYFUNCTION("""COMPUTED_VALUE"""),"BN Hibah")</f>
        <v>BN Hibah</v>
      </c>
      <c r="H4961" s="42">
        <f t="shared" si="1"/>
        <v>2180</v>
      </c>
    </row>
    <row r="4962" ht="22.5" customHeight="1">
      <c r="B4962" s="42" t="str">
        <f>IFERROR(__xludf.DUMMYFUNCTION("""COMPUTED_VALUE"""),"K/12/160633/2")</f>
        <v>K/12/160633/2</v>
      </c>
      <c r="C4962" s="42" t="str">
        <f>IFERROR(__xludf.DUMMYFUNCTION("""COMPUTED_VALUE"""),"M. 2212/ Sukarame Baru")</f>
        <v>M. 2212/ Sukarame Baru</v>
      </c>
      <c r="D4962" s="42" t="str">
        <f>IFERROR(__xludf.DUMMYFUNCTION("""COMPUTED_VALUE"""),"Berry")</f>
        <v>Berry</v>
      </c>
      <c r="E4962" s="42" t="str">
        <f>IFERROR(__xludf.DUMMYFUNCTION("""COMPUTED_VALUE"""),"DISERAHKAN")</f>
        <v>DISERAHKAN</v>
      </c>
      <c r="F4962" s="48">
        <f>IFERROR(__xludf.DUMMYFUNCTION("""COMPUTED_VALUE"""),45838.65181384259)</f>
        <v>45838.65181</v>
      </c>
      <c r="G4962" s="42" t="str">
        <f>IFERROR(__xludf.DUMMYFUNCTION("""COMPUTED_VALUE"""),"BN Jual Beli")</f>
        <v>BN Jual Beli</v>
      </c>
      <c r="H4962" s="42">
        <f t="shared" si="1"/>
        <v>2181</v>
      </c>
    </row>
    <row r="4963" ht="22.5" customHeight="1">
      <c r="B4963" s="42" t="str">
        <f>IFERROR(__xludf.DUMMYFUNCTION("""COMPUTED_VALUE"""),"K/15/160635/1")</f>
        <v>K/15/160635/1</v>
      </c>
      <c r="C4963" s="42" t="str">
        <f>IFERROR(__xludf.DUMMYFUNCTION("""COMPUTED_VALUE"""),"M. 817/ Way Dadi")</f>
        <v>M. 817/ Way Dadi</v>
      </c>
      <c r="D4963" s="42"/>
      <c r="E4963" s="42"/>
      <c r="F4963" s="48" t="str">
        <f>IFERROR(__xludf.DUMMYFUNCTION("""COMPUTED_VALUE"""),"")</f>
        <v/>
      </c>
      <c r="G4963" s="42" t="str">
        <f>IFERROR(__xludf.DUMMYFUNCTION("""COMPUTED_VALUE"""),"PTPGT (Pemecahan)")</f>
        <v>PTPGT (Pemecahan)</v>
      </c>
      <c r="H4963" s="42">
        <f t="shared" si="1"/>
        <v>2181</v>
      </c>
    </row>
    <row r="4964" ht="22.5" customHeight="1">
      <c r="B4964" s="42" t="str">
        <f>IFERROR(__xludf.DUMMYFUNCTION("""COMPUTED_VALUE"""),"K/10/160631/1")</f>
        <v>K/10/160631/1</v>
      </c>
      <c r="C4964" s="42" t="str">
        <f>IFERROR(__xludf.DUMMYFUNCTION("""COMPUTED_VALUE"""),"M.4745/WAY KANDIS")</f>
        <v>M.4745/WAY KANDIS</v>
      </c>
      <c r="D4964" s="42" t="str">
        <f>IFERROR(__xludf.DUMMYFUNCTION("""COMPUTED_VALUE"""),"Berry")</f>
        <v>Berry</v>
      </c>
      <c r="E4964" s="42" t="str">
        <f>IFERROR(__xludf.DUMMYFUNCTION("""COMPUTED_VALUE"""),"DISERAHKAN")</f>
        <v>DISERAHKAN</v>
      </c>
      <c r="F4964" s="48">
        <f>IFERROR(__xludf.DUMMYFUNCTION("""COMPUTED_VALUE"""),45841.506774629626)</f>
        <v>45841.50677</v>
      </c>
      <c r="G4964" s="42" t="str">
        <f>IFERROR(__xludf.DUMMYFUNCTION("""COMPUTED_VALUE"""),"JUAL BELI ")</f>
        <v>JUAL BELI </v>
      </c>
      <c r="H4964" s="42">
        <f t="shared" si="1"/>
        <v>2182</v>
      </c>
    </row>
    <row r="4965" ht="22.5" customHeight="1">
      <c r="B4965" s="42" t="str">
        <f>IFERROR(__xludf.DUMMYFUNCTION("""COMPUTED_VALUE"""),"K/16/160635/1")</f>
        <v>K/16/160635/1</v>
      </c>
      <c r="C4965" s="42" t="str">
        <f>IFERROR(__xludf.DUMMYFUNCTION("""COMPUTED_VALUE"""),"M. 2919/ Beringin Raya")</f>
        <v>M. 2919/ Beringin Raya</v>
      </c>
      <c r="D4965" s="42"/>
      <c r="E4965" s="42"/>
      <c r="F4965" s="48" t="str">
        <f>IFERROR(__xludf.DUMMYFUNCTION("""COMPUTED_VALUE"""),"")</f>
        <v/>
      </c>
      <c r="G4965" s="42" t="str">
        <f>IFERROR(__xludf.DUMMYFUNCTION("""COMPUTED_VALUE"""),"skpt lelang")</f>
        <v>skpt lelang</v>
      </c>
      <c r="H4965" s="42">
        <f t="shared" si="1"/>
        <v>2182</v>
      </c>
    </row>
    <row r="4966" ht="22.5" customHeight="1">
      <c r="B4966" s="42" t="str">
        <f>IFERROR(__xludf.DUMMYFUNCTION("""COMPUTED_VALUE"""),"K/18/160635/1")</f>
        <v>K/18/160635/1</v>
      </c>
      <c r="C4966" s="42" t="str">
        <f>IFERROR(__xludf.DUMMYFUNCTION("""COMPUTED_VALUE"""),"B.771/SUMUR PUTRI")</f>
        <v>B.771/SUMUR PUTRI</v>
      </c>
      <c r="D4966" s="42" t="str">
        <f>IFERROR(__xludf.DUMMYFUNCTION("""COMPUTED_VALUE"""),"Berry")</f>
        <v>Berry</v>
      </c>
      <c r="E4966" s="42" t="str">
        <f>IFERROR(__xludf.DUMMYFUNCTION("""COMPUTED_VALUE"""),"DISERAHKAN")</f>
        <v>DISERAHKAN</v>
      </c>
      <c r="F4966" s="48">
        <f>IFERROR(__xludf.DUMMYFUNCTION("""COMPUTED_VALUE"""),45841.511229571755)</f>
        <v>45841.51123</v>
      </c>
      <c r="G4966" s="42" t="str">
        <f>IFERROR(__xludf.DUMMYFUNCTION("""COMPUTED_VALUE"""),"HIBAH")</f>
        <v>HIBAH</v>
      </c>
      <c r="H4966" s="42">
        <f t="shared" si="1"/>
        <v>2183</v>
      </c>
    </row>
    <row r="4967" ht="22.5" customHeight="1">
      <c r="B4967" s="42" t="str">
        <f>IFERROR(__xludf.DUMMYFUNCTION("""COMPUTED_VALUE"""),"K/17/160635/2")</f>
        <v>K/17/160635/2</v>
      </c>
      <c r="C4967" s="42" t="str">
        <f>IFERROR(__xludf.DUMMYFUNCTION("""COMPUTED_VALUE"""),"M. 2945/ Beringin Raya")</f>
        <v>M. 2945/ Beringin Raya</v>
      </c>
      <c r="D4967" s="42"/>
      <c r="E4967" s="42"/>
      <c r="F4967" s="48" t="str">
        <f>IFERROR(__xludf.DUMMYFUNCTION("""COMPUTED_VALUE"""),"")</f>
        <v/>
      </c>
      <c r="G4967" s="42" t="str">
        <f>IFERROR(__xludf.DUMMYFUNCTION("""COMPUTED_VALUE"""),"SKPT LELANG")</f>
        <v>SKPT LELANG</v>
      </c>
      <c r="H4967" s="42">
        <f t="shared" si="1"/>
        <v>2183</v>
      </c>
    </row>
    <row r="4968" ht="22.5" customHeight="1">
      <c r="B4968" s="42" t="str">
        <f>IFERROR(__xludf.DUMMYFUNCTION("""COMPUTED_VALUE"""),"L/19/160635/1")</f>
        <v>L/19/160635/1</v>
      </c>
      <c r="C4968" s="42" t="str">
        <f>IFERROR(__xludf.DUMMYFUNCTION("""COMPUTED_VALUE"""),"HM 16448/SUKARAME ")</f>
        <v>HM 16448/SUKARAME </v>
      </c>
      <c r="D4968" s="42" t="str">
        <f>IFERROR(__xludf.DUMMYFUNCTION("""COMPUTED_VALUE"""),"David")</f>
        <v>David</v>
      </c>
      <c r="E4968" s="42" t="str">
        <f>IFERROR(__xludf.DUMMYFUNCTION("""COMPUTED_VALUE"""),"DISERAHKAN")</f>
        <v>DISERAHKAN</v>
      </c>
      <c r="F4968" s="48">
        <f>IFERROR(__xludf.DUMMYFUNCTION("""COMPUTED_VALUE"""),45849.47075216435)</f>
        <v>45849.47075</v>
      </c>
      <c r="G4968" s="42" t="str">
        <f>IFERROR(__xludf.DUMMYFUNCTION("""COMPUTED_VALUE"""),"ROYA")</f>
        <v>ROYA</v>
      </c>
      <c r="H4968" s="42">
        <f t="shared" si="1"/>
        <v>2184</v>
      </c>
    </row>
    <row r="4969" ht="22.5" customHeight="1">
      <c r="B4969" s="42" t="str">
        <f>IFERROR(__xludf.DUMMYFUNCTION("""COMPUTED_VALUE"""),"K/22/160635/1")</f>
        <v>K/22/160635/1</v>
      </c>
      <c r="C4969" s="42" t="str">
        <f>IFERROR(__xludf.DUMMYFUNCTION("""COMPUTED_VALUE"""),"M. 4351/LANGKAPURA")</f>
        <v>M. 4351/LANGKAPURA</v>
      </c>
      <c r="D4969" s="42"/>
      <c r="E4969" s="42"/>
      <c r="F4969" s="48" t="str">
        <f>IFERROR(__xludf.DUMMYFUNCTION("""COMPUTED_VALUE"""),"")</f>
        <v/>
      </c>
      <c r="G4969" s="42" t="str">
        <f>IFERROR(__xludf.DUMMYFUNCTION("""COMPUTED_VALUE"""),"SKPT LELANG")</f>
        <v>SKPT LELANG</v>
      </c>
      <c r="H4969" s="42">
        <f t="shared" si="1"/>
        <v>2184</v>
      </c>
    </row>
    <row r="4970" ht="22.5" customHeight="1">
      <c r="B4970" s="42" t="str">
        <f>IFERROR(__xludf.DUMMYFUNCTION("""COMPUTED_VALUE"""),"K/23/160635/1")</f>
        <v>K/23/160635/1</v>
      </c>
      <c r="C4970" s="42" t="str">
        <f>IFERROR(__xludf.DUMMYFUNCTION("""COMPUTED_VALUE"""),"M. 42/ Jagabaya III")</f>
        <v>M. 42/ Jagabaya III</v>
      </c>
      <c r="D4970" s="42"/>
      <c r="E4970" s="42"/>
      <c r="F4970" s="48" t="str">
        <f>IFERROR(__xludf.DUMMYFUNCTION("""COMPUTED_VALUE"""),"")</f>
        <v/>
      </c>
      <c r="G4970" s="42" t="str">
        <f>IFERROR(__xludf.DUMMYFUNCTION("""COMPUTED_VALUE"""),"BN Jual Beli")</f>
        <v>BN Jual Beli</v>
      </c>
      <c r="H4970" s="42">
        <f t="shared" si="1"/>
        <v>2184</v>
      </c>
    </row>
    <row r="4971" ht="22.5" customHeight="1">
      <c r="B4971" s="42" t="str">
        <f>IFERROR(__xludf.DUMMYFUNCTION("""COMPUTED_VALUE"""),"K/24/160635/1")</f>
        <v>K/24/160635/1</v>
      </c>
      <c r="C4971" s="42" t="str">
        <f>IFERROR(__xludf.DUMMYFUNCTION("""COMPUTED_VALUE"""),"Nibel 21402/ Kota Baru")</f>
        <v>Nibel 21402/ Kota Baru</v>
      </c>
      <c r="D4971" s="42"/>
      <c r="E4971" s="42"/>
      <c r="F4971" s="48" t="str">
        <f>IFERROR(__xludf.DUMMYFUNCTION("""COMPUTED_VALUE"""),"")</f>
        <v/>
      </c>
      <c r="G4971" s="42" t="str">
        <f>IFERROR(__xludf.DUMMYFUNCTION("""COMPUTED_VALUE"""),"BN JUAL BELI")</f>
        <v>BN JUAL BELI</v>
      </c>
      <c r="H4971" s="42">
        <f t="shared" si="1"/>
        <v>2184</v>
      </c>
    </row>
    <row r="4972" ht="22.5" customHeight="1">
      <c r="B4972" s="42" t="str">
        <f>IFERROR(__xludf.DUMMYFUNCTION("""COMPUTED_VALUE"""),"K/25/160635/2")</f>
        <v>K/25/160635/2</v>
      </c>
      <c r="C4972" s="42" t="str">
        <f>IFERROR(__xludf.DUMMYFUNCTION("""COMPUTED_VALUE"""),"M.2872/SUKARAME BARU")</f>
        <v>M.2872/SUKARAME BARU</v>
      </c>
      <c r="D4972" s="42" t="str">
        <f>IFERROR(__xludf.DUMMYFUNCTION("""COMPUTED_VALUE"""),"David")</f>
        <v>David</v>
      </c>
      <c r="E4972" s="42" t="str">
        <f>IFERROR(__xludf.DUMMYFUNCTION("""COMPUTED_VALUE"""),"DISERAHKAN")</f>
        <v>DISERAHKAN</v>
      </c>
      <c r="F4972" s="48">
        <f>IFERROR(__xludf.DUMMYFUNCTION("""COMPUTED_VALUE"""),45848.61885752315)</f>
        <v>45848.61886</v>
      </c>
      <c r="G4972" s="42" t="str">
        <f>IFERROR(__xludf.DUMMYFUNCTION("""COMPUTED_VALUE"""),"JUAL BELI")</f>
        <v>JUAL BELI</v>
      </c>
      <c r="H4972" s="42">
        <f t="shared" si="1"/>
        <v>2185</v>
      </c>
    </row>
    <row r="4973" ht="22.5" customHeight="1">
      <c r="B4973" s="42" t="str">
        <f>IFERROR(__xludf.DUMMYFUNCTION("""COMPUTED_VALUE"""),"K/29/160635/2")</f>
        <v>K/29/160635/2</v>
      </c>
      <c r="C4973" s="42" t="str">
        <f>IFERROR(__xludf.DUMMYFUNCTION("""COMPUTED_VALUE"""),"M.2877/SUKARAME BARU")</f>
        <v>M.2877/SUKARAME BARU</v>
      </c>
      <c r="D4973" s="42" t="str">
        <f>IFERROR(__xludf.DUMMYFUNCTION("""COMPUTED_VALUE"""),"Berry")</f>
        <v>Berry</v>
      </c>
      <c r="E4973" s="42" t="str">
        <f>IFERROR(__xludf.DUMMYFUNCTION("""COMPUTED_VALUE"""),"DISERAHKAN")</f>
        <v>DISERAHKAN</v>
      </c>
      <c r="F4973" s="48">
        <f>IFERROR(__xludf.DUMMYFUNCTION("""COMPUTED_VALUE"""),45841.51086214121)</f>
        <v>45841.51086</v>
      </c>
      <c r="G4973" s="42" t="str">
        <f>IFERROR(__xludf.DUMMYFUNCTION("""COMPUTED_VALUE"""),"JUAL BELI")</f>
        <v>JUAL BELI</v>
      </c>
      <c r="H4973" s="42">
        <f t="shared" si="1"/>
        <v>2186</v>
      </c>
    </row>
    <row r="4974" ht="22.5" customHeight="1">
      <c r="B4974" s="42" t="str">
        <f>IFERROR(__xludf.DUMMYFUNCTION("""COMPUTED_VALUE"""),"K/27/160635/1")</f>
        <v>K/27/160635/1</v>
      </c>
      <c r="C4974" s="42" t="str">
        <f>IFERROR(__xludf.DUMMYFUNCTION("""COMPUTED_VALUE"""),"Nibel. M. 18919/ Rajabasa Jaya")</f>
        <v>Nibel. M. 18919/ Rajabasa Jaya</v>
      </c>
      <c r="D4974" s="42"/>
      <c r="E4974" s="42"/>
      <c r="F4974" s="48" t="str">
        <f>IFERROR(__xludf.DUMMYFUNCTION("""COMPUTED_VALUE"""),"")</f>
        <v/>
      </c>
      <c r="G4974" s="42" t="str">
        <f>IFERROR(__xludf.DUMMYFUNCTION("""COMPUTED_VALUE"""),"BN Jual Beli")</f>
        <v>BN Jual Beli</v>
      </c>
      <c r="H4974" s="42">
        <f t="shared" si="1"/>
        <v>2186</v>
      </c>
    </row>
    <row r="4975" ht="22.5" customHeight="1">
      <c r="B4975" s="42" t="str">
        <f>IFERROR(__xludf.DUMMYFUNCTION("""COMPUTED_VALUE"""),"K/28/160635/1")</f>
        <v>K/28/160635/1</v>
      </c>
      <c r="C4975" s="42" t="str">
        <f>IFERROR(__xludf.DUMMYFUNCTION("""COMPUTED_VALUE"""),"TANAH MENTAH")</f>
        <v>TANAH MENTAH</v>
      </c>
      <c r="D4975" s="42"/>
      <c r="E4975" s="42"/>
      <c r="F4975" s="48" t="str">
        <f>IFERROR(__xludf.DUMMYFUNCTION("""COMPUTED_VALUE"""),"")</f>
        <v/>
      </c>
      <c r="G4975" s="42" t="str">
        <f>IFERROR(__xludf.DUMMYFUNCTION("""COMPUTED_VALUE"""),"PENGUKURAN PERTAMA KALI")</f>
        <v>PENGUKURAN PERTAMA KALI</v>
      </c>
      <c r="H4975" s="42">
        <f t="shared" si="1"/>
        <v>2186</v>
      </c>
    </row>
    <row r="4976" ht="22.5" customHeight="1">
      <c r="B4976" s="42" t="str">
        <f>IFERROR(__xludf.DUMMYFUNCTION("""COMPUTED_VALUE"""),"K/29/160635/1")</f>
        <v>K/29/160635/1</v>
      </c>
      <c r="C4976" s="42" t="str">
        <f>IFERROR(__xludf.DUMMYFUNCTION("""COMPUTED_VALUE"""),"Nibel. M. 3809/ Kota Baru")</f>
        <v>Nibel. M. 3809/ Kota Baru</v>
      </c>
      <c r="D4976" s="42"/>
      <c r="E4976" s="42"/>
      <c r="F4976" s="48" t="str">
        <f>IFERROR(__xludf.DUMMYFUNCTION("""COMPUTED_VALUE"""),"")</f>
        <v/>
      </c>
      <c r="G4976" s="42" t="str">
        <f>IFERROR(__xludf.DUMMYFUNCTION("""COMPUTED_VALUE"""),"BN Jual Beli")</f>
        <v>BN Jual Beli</v>
      </c>
      <c r="H4976" s="42">
        <f t="shared" si="1"/>
        <v>2186</v>
      </c>
    </row>
    <row r="4977" ht="22.5" customHeight="1">
      <c r="B4977" s="42" t="str">
        <f>IFERROR(__xludf.DUMMYFUNCTION("""COMPUTED_VALUE"""),"L/33/160635/1")</f>
        <v>L/33/160635/1</v>
      </c>
      <c r="C4977" s="42" t="str">
        <f>IFERROR(__xludf.DUMMYFUNCTION("""COMPUTED_VALUE"""),"HM 1977/SUSUNAN BARU")</f>
        <v>HM 1977/SUSUNAN BARU</v>
      </c>
      <c r="D4977" s="42" t="str">
        <f>IFERROR(__xludf.DUMMYFUNCTION("""COMPUTED_VALUE"""),"David")</f>
        <v>David</v>
      </c>
      <c r="E4977" s="42" t="str">
        <f>IFERROR(__xludf.DUMMYFUNCTION("""COMPUTED_VALUE"""),"DISERAHKAN")</f>
        <v>DISERAHKAN</v>
      </c>
      <c r="F4977" s="48">
        <f>IFERROR(__xludf.DUMMYFUNCTION("""COMPUTED_VALUE"""),45869.664671273145)</f>
        <v>45869.66467</v>
      </c>
      <c r="G4977" s="42" t="str">
        <f>IFERROR(__xludf.DUMMYFUNCTION("""COMPUTED_VALUE"""),"ROYA")</f>
        <v>ROYA</v>
      </c>
      <c r="H4977" s="42">
        <f t="shared" si="1"/>
        <v>2187</v>
      </c>
    </row>
    <row r="4978" ht="22.5" customHeight="1">
      <c r="B4978" s="42" t="str">
        <f>IFERROR(__xludf.DUMMYFUNCTION("""COMPUTED_VALUE"""),"L/37/160635/1")</f>
        <v>L/37/160635/1</v>
      </c>
      <c r="C4978" s="42" t="str">
        <f>IFERROR(__xludf.DUMMYFUNCTION("""COMPUTED_VALUE"""),"HM 2683/KEMILING PERMAI")</f>
        <v>HM 2683/KEMILING PERMAI</v>
      </c>
      <c r="D4978" s="42" t="str">
        <f>IFERROR(__xludf.DUMMYFUNCTION("""COMPUTED_VALUE"""),"David")</f>
        <v>David</v>
      </c>
      <c r="E4978" s="42" t="str">
        <f>IFERROR(__xludf.DUMMYFUNCTION("""COMPUTED_VALUE"""),"DISERAHKAN")</f>
        <v>DISERAHKAN</v>
      </c>
      <c r="F4978" s="48">
        <f>IFERROR(__xludf.DUMMYFUNCTION("""COMPUTED_VALUE"""),45846.66482430555)</f>
        <v>45846.66482</v>
      </c>
      <c r="G4978" s="42" t="str">
        <f>IFERROR(__xludf.DUMMYFUNCTION("""COMPUTED_VALUE"""),"ROYA")</f>
        <v>ROYA</v>
      </c>
      <c r="H4978" s="42">
        <f t="shared" si="1"/>
        <v>2188</v>
      </c>
    </row>
    <row r="4979" ht="22.5" customHeight="1">
      <c r="B4979" s="42" t="str">
        <f>IFERROR(__xludf.DUMMYFUNCTION("""COMPUTED_VALUE"""),"K/34/160635/1")</f>
        <v>K/34/160635/1</v>
      </c>
      <c r="C4979" s="42" t="str">
        <f>IFERROR(__xludf.DUMMYFUNCTION("""COMPUTED_VALUE"""),"NIBEL B. 406/KEMILING PERMAI")</f>
        <v>NIBEL B. 406/KEMILING PERMAI</v>
      </c>
      <c r="D4979" s="42"/>
      <c r="E4979" s="42"/>
      <c r="F4979" s="48" t="str">
        <f>IFERROR(__xludf.DUMMYFUNCTION("""COMPUTED_VALUE"""),"")</f>
        <v/>
      </c>
      <c r="G4979" s="42" t="str">
        <f>IFERROR(__xludf.DUMMYFUNCTION("""COMPUTED_VALUE"""),"PERUBAHAN HAK")</f>
        <v>PERUBAHAN HAK</v>
      </c>
      <c r="H4979" s="42">
        <f t="shared" si="1"/>
        <v>2188</v>
      </c>
    </row>
    <row r="4980" ht="22.5" customHeight="1">
      <c r="B4980" s="42" t="str">
        <f>IFERROR(__xludf.DUMMYFUNCTION("""COMPUTED_VALUE"""),"K/35/160635/2")</f>
        <v>K/35/160635/2</v>
      </c>
      <c r="C4980" s="42" t="str">
        <f>IFERROR(__xludf.DUMMYFUNCTION("""COMPUTED_VALUE"""),"NIBEL B. 410/KEMILING PERMAI")</f>
        <v>NIBEL B. 410/KEMILING PERMAI</v>
      </c>
      <c r="D4980" s="42"/>
      <c r="E4980" s="42"/>
      <c r="F4980" s="48" t="str">
        <f>IFERROR(__xludf.DUMMYFUNCTION("""COMPUTED_VALUE"""),"")</f>
        <v/>
      </c>
      <c r="G4980" s="42" t="str">
        <f>IFERROR(__xludf.DUMMYFUNCTION("""COMPUTED_VALUE"""),"PERUBAHAN HAK")</f>
        <v>PERUBAHAN HAK</v>
      </c>
      <c r="H4980" s="42">
        <f t="shared" si="1"/>
        <v>2188</v>
      </c>
    </row>
    <row r="4981" ht="22.5" customHeight="1">
      <c r="B4981" s="42" t="str">
        <f>IFERROR(__xludf.DUMMYFUNCTION("""COMPUTED_VALUE"""),"K/36/160635/3")</f>
        <v>K/36/160635/3</v>
      </c>
      <c r="C4981" s="42" t="str">
        <f>IFERROR(__xludf.DUMMYFUNCTION("""COMPUTED_VALUE"""),"NIBEL B. 431/KEMILING PERMAI")</f>
        <v>NIBEL B. 431/KEMILING PERMAI</v>
      </c>
      <c r="D4981" s="42"/>
      <c r="E4981" s="42"/>
      <c r="F4981" s="48" t="str">
        <f>IFERROR(__xludf.DUMMYFUNCTION("""COMPUTED_VALUE"""),"")</f>
        <v/>
      </c>
      <c r="G4981" s="42" t="str">
        <f>IFERROR(__xludf.DUMMYFUNCTION("""COMPUTED_VALUE"""),"BN JUAL BELI")</f>
        <v>BN JUAL BELI</v>
      </c>
      <c r="H4981" s="42">
        <f t="shared" si="1"/>
        <v>2188</v>
      </c>
    </row>
    <row r="4982" ht="22.5" customHeight="1">
      <c r="B4982" s="42" t="str">
        <f>IFERROR(__xludf.DUMMYFUNCTION("""COMPUTED_VALUE"""),"K/39/160635/1")</f>
        <v>K/39/160635/1</v>
      </c>
      <c r="C4982" s="42" t="str">
        <f>IFERROR(__xludf.DUMMYFUNCTION("""COMPUTED_VALUE"""),"M.3342/KEMILING PERMAI")</f>
        <v>M.3342/KEMILING PERMAI</v>
      </c>
      <c r="D4982" s="42" t="str">
        <f>IFERROR(__xludf.DUMMYFUNCTION("""COMPUTED_VALUE"""),"Berry")</f>
        <v>Berry</v>
      </c>
      <c r="E4982" s="42" t="str">
        <f>IFERROR(__xludf.DUMMYFUNCTION("""COMPUTED_VALUE"""),"DISERAHKAN")</f>
        <v>DISERAHKAN</v>
      </c>
      <c r="F4982" s="48">
        <f>IFERROR(__xludf.DUMMYFUNCTION("""COMPUTED_VALUE"""),45861.617461354166)</f>
        <v>45861.61746</v>
      </c>
      <c r="G4982" s="42" t="str">
        <f>IFERROR(__xludf.DUMMYFUNCTION("""COMPUTED_VALUE"""),"HIBAH")</f>
        <v>HIBAH</v>
      </c>
      <c r="H4982" s="42">
        <f t="shared" si="1"/>
        <v>2189</v>
      </c>
    </row>
    <row r="4983" ht="22.5" customHeight="1">
      <c r="B4983" s="42" t="str">
        <f>IFERROR(__xludf.DUMMYFUNCTION("""COMPUTED_VALUE"""),"K/35/160635/1")</f>
        <v>K/35/160635/1</v>
      </c>
      <c r="C4983" s="42" t="str">
        <f>IFERROR(__xludf.DUMMYFUNCTION("""COMPUTED_VALUE"""),"M. 707/ Pengajaran")</f>
        <v>M. 707/ Pengajaran</v>
      </c>
      <c r="D4983" s="42" t="str">
        <f>IFERROR(__xludf.DUMMYFUNCTION("""COMPUTED_VALUE"""),"David")</f>
        <v>David</v>
      </c>
      <c r="E4983" s="42" t="str">
        <f>IFERROR(__xludf.DUMMYFUNCTION("""COMPUTED_VALUE"""),"DISERAHKAN")</f>
        <v>DISERAHKAN</v>
      </c>
      <c r="F4983" s="48">
        <f>IFERROR(__xludf.DUMMYFUNCTION("""COMPUTED_VALUE"""),45842.60975821759)</f>
        <v>45842.60976</v>
      </c>
      <c r="G4983" s="42" t="str">
        <f>IFERROR(__xludf.DUMMYFUNCTION("""COMPUTED_VALUE"""),"Roya")</f>
        <v>Roya</v>
      </c>
      <c r="H4983" s="42">
        <f t="shared" si="1"/>
        <v>2190</v>
      </c>
    </row>
    <row r="4984" ht="22.5" customHeight="1">
      <c r="B4984" s="42" t="str">
        <f>IFERROR(__xludf.DUMMYFUNCTION("""COMPUTED_VALUE"""),"K/37/160635/2")</f>
        <v>K/37/160635/2</v>
      </c>
      <c r="C4984" s="42" t="str">
        <f>IFERROR(__xludf.DUMMYFUNCTION("""COMPUTED_VALUE"""),"M. 10383/ Segala Mider")</f>
        <v>M. 10383/ Segala Mider</v>
      </c>
      <c r="D4984" s="42" t="str">
        <f>IFERROR(__xludf.DUMMYFUNCTION("""COMPUTED_VALUE"""),"Berry")</f>
        <v>Berry</v>
      </c>
      <c r="E4984" s="42" t="str">
        <f>IFERROR(__xludf.DUMMYFUNCTION("""COMPUTED_VALUE"""),"DISERAHKAN")</f>
        <v>DISERAHKAN</v>
      </c>
      <c r="F4984" s="48">
        <f>IFERROR(__xludf.DUMMYFUNCTION("""COMPUTED_VALUE"""),45845.67470969907)</f>
        <v>45845.67471</v>
      </c>
      <c r="G4984" s="42" t="str">
        <f>IFERROR(__xludf.DUMMYFUNCTION("""COMPUTED_VALUE"""),"BN Waris")</f>
        <v>BN Waris</v>
      </c>
      <c r="H4984" s="42">
        <f t="shared" si="1"/>
        <v>2191</v>
      </c>
    </row>
    <row r="4985" ht="22.5" customHeight="1">
      <c r="B4985" s="42" t="str">
        <f>IFERROR(__xludf.DUMMYFUNCTION("""COMPUTED_VALUE"""),"K/38/160635/1")</f>
        <v>K/38/160635/1</v>
      </c>
      <c r="C4985" s="42" t="str">
        <f>IFERROR(__xludf.DUMMYFUNCTION("""COMPUTED_VALUE"""),"M. 2010/ Kota Karang")</f>
        <v>M. 2010/ Kota Karang</v>
      </c>
      <c r="D4985" s="42"/>
      <c r="E4985" s="42"/>
      <c r="F4985" s="48" t="str">
        <f>IFERROR(__xludf.DUMMYFUNCTION("""COMPUTED_VALUE"""),"")</f>
        <v/>
      </c>
      <c r="G4985" s="42" t="str">
        <f>IFERROR(__xludf.DUMMYFUNCTION("""COMPUTED_VALUE"""),"BN Waris")</f>
        <v>BN Waris</v>
      </c>
      <c r="H4985" s="42">
        <f t="shared" si="1"/>
        <v>2191</v>
      </c>
    </row>
    <row r="4986" ht="22.5" customHeight="1">
      <c r="B4986" s="42" t="str">
        <f>IFERROR(__xludf.DUMMYFUNCTION("""COMPUTED_VALUE"""),"L/40/130625/1")</f>
        <v>L/40/130625/1</v>
      </c>
      <c r="C4986" s="42" t="str">
        <f>IFERROR(__xludf.DUMMYFUNCTION("""COMPUTED_VALUE"""),"NIB 2283/KBK")</f>
        <v>NIB 2283/KBK</v>
      </c>
      <c r="D4986" s="42"/>
      <c r="E4986" s="42"/>
      <c r="F4986" s="48" t="str">
        <f>IFERROR(__xludf.DUMMYFUNCTION("""COMPUTED_VALUE"""),"")</f>
        <v/>
      </c>
      <c r="G4986" s="42" t="str">
        <f>IFERROR(__xludf.DUMMYFUNCTION("""COMPUTED_VALUE"""),"BN HIBAH")</f>
        <v>BN HIBAH</v>
      </c>
      <c r="H4986" s="42">
        <f t="shared" si="1"/>
        <v>2191</v>
      </c>
    </row>
    <row r="4987" ht="22.5" customHeight="1">
      <c r="B4987" s="42" t="str">
        <f>IFERROR(__xludf.DUMMYFUNCTION("""COMPUTED_VALUE"""),"K/42/160635/1")</f>
        <v>K/42/160635/1</v>
      </c>
      <c r="C4987" s="42" t="str">
        <f>IFERROR(__xludf.DUMMYFUNCTION("""COMPUTED_VALUE"""),"M. 834/ Gedong Air")</f>
        <v>M. 834/ Gedong Air</v>
      </c>
      <c r="D4987" s="42" t="str">
        <f>IFERROR(__xludf.DUMMYFUNCTION("""COMPUTED_VALUE"""),"Berry")</f>
        <v>Berry</v>
      </c>
      <c r="E4987" s="42" t="str">
        <f>IFERROR(__xludf.DUMMYFUNCTION("""COMPUTED_VALUE"""),"DISERAHKAN")</f>
        <v>DISERAHKAN</v>
      </c>
      <c r="F4987" s="48">
        <f>IFERROR(__xludf.DUMMYFUNCTION("""COMPUTED_VALUE"""),45845.69889752315)</f>
        <v>45845.6989</v>
      </c>
      <c r="G4987" s="42" t="str">
        <f>IFERROR(__xludf.DUMMYFUNCTION("""COMPUTED_VALUE"""),"BN WARIS")</f>
        <v>BN WARIS</v>
      </c>
      <c r="H4987" s="42">
        <f t="shared" si="1"/>
        <v>2192</v>
      </c>
    </row>
    <row r="4988" ht="22.5" customHeight="1">
      <c r="B4988" s="42" t="str">
        <f>IFERROR(__xludf.DUMMYFUNCTION("""COMPUTED_VALUE"""),"K/41/160635/1")</f>
        <v>K/41/160635/1</v>
      </c>
      <c r="C4988" s="42" t="str">
        <f>IFERROR(__xludf.DUMMYFUNCTION("""COMPUTED_VALUE"""),"NIBEL M.20809/SUKABUMI")</f>
        <v>NIBEL M.20809/SUKABUMI</v>
      </c>
      <c r="D4988" s="42"/>
      <c r="E4988" s="42"/>
      <c r="F4988" s="48" t="str">
        <f>IFERROR(__xludf.DUMMYFUNCTION("""COMPUTED_VALUE"""),"")</f>
        <v/>
      </c>
      <c r="G4988" s="42" t="str">
        <f>IFERROR(__xludf.DUMMYFUNCTION("""COMPUTED_VALUE"""),"JUAL BELI")</f>
        <v>JUAL BELI</v>
      </c>
      <c r="H4988" s="42">
        <f t="shared" si="1"/>
        <v>2192</v>
      </c>
    </row>
    <row r="4989" ht="22.5" customHeight="1">
      <c r="B4989" s="42" t="str">
        <f>IFERROR(__xludf.DUMMYFUNCTION("""COMPUTED_VALUE"""),"K/43/160635/1")</f>
        <v>K/43/160635/1</v>
      </c>
      <c r="C4989" s="42" t="str">
        <f>IFERROR(__xludf.DUMMYFUNCTION("""COMPUTED_VALUE"""),"M.278/WAY KANDIS")</f>
        <v>M.278/WAY KANDIS</v>
      </c>
      <c r="D4989" s="42"/>
      <c r="E4989" s="42"/>
      <c r="F4989" s="48" t="str">
        <f>IFERROR(__xludf.DUMMYFUNCTION("""COMPUTED_VALUE"""),"")</f>
        <v/>
      </c>
      <c r="G4989" s="42" t="str">
        <f>IFERROR(__xludf.DUMMYFUNCTION("""COMPUTED_VALUE"""),"JUAL BELI")</f>
        <v>JUAL BELI</v>
      </c>
      <c r="H4989" s="42">
        <f t="shared" si="1"/>
        <v>2192</v>
      </c>
    </row>
    <row r="4990" ht="22.5" customHeight="1">
      <c r="B4990" s="42" t="str">
        <f>IFERROR(__xludf.DUMMYFUNCTION("""COMPUTED_VALUE"""),"K/44/160635/2")</f>
        <v>K/44/160635/2</v>
      </c>
      <c r="C4990" s="42" t="str">
        <f>IFERROR(__xludf.DUMMYFUNCTION("""COMPUTED_VALUE"""),"M.1173/PEMATANGW ANGI")</f>
        <v>M.1173/PEMATANGW ANGI</v>
      </c>
      <c r="D4990" s="42" t="str">
        <f>IFERROR(__xludf.DUMMYFUNCTION("""COMPUTED_VALUE"""),"Berry")</f>
        <v>Berry</v>
      </c>
      <c r="E4990" s="42" t="str">
        <f>IFERROR(__xludf.DUMMYFUNCTION("""COMPUTED_VALUE"""),"DISERAHKAN")</f>
        <v>DISERAHKAN</v>
      </c>
      <c r="F4990" s="48">
        <f>IFERROR(__xludf.DUMMYFUNCTION("""COMPUTED_VALUE"""),45845.70550506945)</f>
        <v>45845.70551</v>
      </c>
      <c r="G4990" s="42" t="str">
        <f>IFERROR(__xludf.DUMMYFUNCTION("""COMPUTED_VALUE"""),"JUAL BELI")</f>
        <v>JUAL BELI</v>
      </c>
      <c r="H4990" s="42">
        <f t="shared" si="1"/>
        <v>2193</v>
      </c>
    </row>
    <row r="4991" ht="22.5" customHeight="1">
      <c r="B4991" s="42" t="str">
        <f>IFERROR(__xludf.DUMMYFUNCTION("""COMPUTED_VALUE"""),"K/1/170625/1")</f>
        <v>K/1/170625/1</v>
      </c>
      <c r="C4991" s="42" t="str">
        <f>IFERROR(__xludf.DUMMYFUNCTION("""COMPUTED_VALUE"""),"M. 1560/ Bumi waras")</f>
        <v>M. 1560/ Bumi waras</v>
      </c>
      <c r="D4991" s="42"/>
      <c r="E4991" s="42"/>
      <c r="F4991" s="48" t="str">
        <f>IFERROR(__xludf.DUMMYFUNCTION("""COMPUTED_VALUE"""),"")</f>
        <v/>
      </c>
      <c r="G4991" s="42" t="str">
        <f>IFERROR(__xludf.DUMMYFUNCTION("""COMPUTED_VALUE"""),"SKPT LELANG")</f>
        <v>SKPT LELANG</v>
      </c>
      <c r="H4991" s="42">
        <f t="shared" si="1"/>
        <v>2193</v>
      </c>
    </row>
    <row r="4992" ht="22.5" customHeight="1">
      <c r="B4992" s="42" t="str">
        <f>IFERROR(__xludf.DUMMYFUNCTION("""COMPUTED_VALUE"""),"K/2/170625/2")</f>
        <v>K/2/170625/2</v>
      </c>
      <c r="C4992" s="42" t="str">
        <f>IFERROR(__xludf.DUMMYFUNCTION("""COMPUTED_VALUE"""),"M. 777/ KOta Baru")</f>
        <v>M. 777/ KOta Baru</v>
      </c>
      <c r="D4992" s="42"/>
      <c r="E4992" s="42"/>
      <c r="F4992" s="48" t="str">
        <f>IFERROR(__xludf.DUMMYFUNCTION("""COMPUTED_VALUE"""),"")</f>
        <v/>
      </c>
      <c r="G4992" s="42" t="str">
        <f>IFERROR(__xludf.DUMMYFUNCTION("""COMPUTED_VALUE"""),"SKPT LELANG")</f>
        <v>SKPT LELANG</v>
      </c>
      <c r="H4992" s="42">
        <f t="shared" si="1"/>
        <v>2193</v>
      </c>
    </row>
    <row r="4993" ht="22.5" customHeight="1">
      <c r="B4993" s="42" t="str">
        <f>IFERROR(__xludf.DUMMYFUNCTION("""COMPUTED_VALUE"""),"K/3/170625/3")</f>
        <v>K/3/170625/3</v>
      </c>
      <c r="C4993" s="42" t="str">
        <f>IFERROR(__xludf.DUMMYFUNCTION("""COMPUTED_VALUE"""),"M. 1165/ Bumi waras")</f>
        <v>M. 1165/ Bumi waras</v>
      </c>
      <c r="D4993" s="42"/>
      <c r="E4993" s="42"/>
      <c r="F4993" s="48" t="str">
        <f>IFERROR(__xludf.DUMMYFUNCTION("""COMPUTED_VALUE"""),"")</f>
        <v/>
      </c>
      <c r="G4993" s="42" t="str">
        <f>IFERROR(__xludf.DUMMYFUNCTION("""COMPUTED_VALUE"""),"SKPT LELANG")</f>
        <v>SKPT LELANG</v>
      </c>
      <c r="H4993" s="42">
        <f t="shared" si="1"/>
        <v>2193</v>
      </c>
    </row>
    <row r="4994" ht="22.5" customHeight="1">
      <c r="B4994" s="42" t="str">
        <f>IFERROR(__xludf.DUMMYFUNCTION("""COMPUTED_VALUE"""),"K/4/170625/1")</f>
        <v>K/4/170625/1</v>
      </c>
      <c r="C4994" s="42" t="str">
        <f>IFERROR(__xludf.DUMMYFUNCTION("""COMPUTED_VALUE"""),"M. 2587/ Sukarame Baru")</f>
        <v>M. 2587/ Sukarame Baru</v>
      </c>
      <c r="D4994" s="42" t="str">
        <f>IFERROR(__xludf.DUMMYFUNCTION("""COMPUTED_VALUE"""),"Berry")</f>
        <v>Berry</v>
      </c>
      <c r="E4994" s="42" t="str">
        <f>IFERROR(__xludf.DUMMYFUNCTION("""COMPUTED_VALUE"""),"DISERAHKAN")</f>
        <v>DISERAHKAN</v>
      </c>
      <c r="F4994" s="48">
        <f>IFERROR(__xludf.DUMMYFUNCTION("""COMPUTED_VALUE"""),45869.49676701389)</f>
        <v>45869.49677</v>
      </c>
      <c r="G4994" s="42" t="str">
        <f>IFERROR(__xludf.DUMMYFUNCTION("""COMPUTED_VALUE"""),"BN Jual Beli")</f>
        <v>BN Jual Beli</v>
      </c>
      <c r="H4994" s="42">
        <f t="shared" si="1"/>
        <v>2194</v>
      </c>
    </row>
    <row r="4995" ht="22.5" customHeight="1">
      <c r="B4995" s="42" t="str">
        <f>IFERROR(__xludf.DUMMYFUNCTION("""COMPUTED_VALUE"""),"K/5/170625/1")</f>
        <v>K/5/170625/1</v>
      </c>
      <c r="C4995" s="42" t="str">
        <f>IFERROR(__xludf.DUMMYFUNCTION("""COMPUTED_VALUE"""),"M. 1766/ Keteguhan")</f>
        <v>M. 1766/ Keteguhan</v>
      </c>
      <c r="D4995" s="42" t="str">
        <f>IFERROR(__xludf.DUMMYFUNCTION("""COMPUTED_VALUE"""),"Berry")</f>
        <v>Berry</v>
      </c>
      <c r="E4995" s="42" t="str">
        <f>IFERROR(__xludf.DUMMYFUNCTION("""COMPUTED_VALUE"""),"DISERAHKAN")</f>
        <v>DISERAHKAN</v>
      </c>
      <c r="F4995" s="48">
        <f>IFERROR(__xludf.DUMMYFUNCTION("""COMPUTED_VALUE"""),45845.66963791667)</f>
        <v>45845.66964</v>
      </c>
      <c r="G4995" s="42" t="str">
        <f>IFERROR(__xludf.DUMMYFUNCTION("""COMPUTED_VALUE"""),"BN Jual Beli")</f>
        <v>BN Jual Beli</v>
      </c>
      <c r="H4995" s="42">
        <f t="shared" si="1"/>
        <v>2195</v>
      </c>
    </row>
    <row r="4996" ht="22.5" customHeight="1">
      <c r="B4996" s="42" t="str">
        <f>IFERROR(__xludf.DUMMYFUNCTION("""COMPUTED_VALUE"""),"K/6/170625/1")</f>
        <v>K/6/170625/1</v>
      </c>
      <c r="C4996" s="42" t="str">
        <f>IFERROR(__xludf.DUMMYFUNCTION("""COMPUTED_VALUE"""),"M. 48/TANJUNG RAYA")</f>
        <v>M. 48/TANJUNG RAYA</v>
      </c>
      <c r="D4996" s="42"/>
      <c r="E4996" s="42"/>
      <c r="F4996" s="48" t="str">
        <f>IFERROR(__xludf.DUMMYFUNCTION("""COMPUTED_VALUE"""),"")</f>
        <v/>
      </c>
      <c r="G4996" s="42" t="str">
        <f>IFERROR(__xludf.DUMMYFUNCTION("""COMPUTED_VALUE"""),"GANTI BLANKO")</f>
        <v>GANTI BLANKO</v>
      </c>
      <c r="H4996" s="42">
        <f t="shared" si="1"/>
        <v>2195</v>
      </c>
    </row>
    <row r="4997" ht="22.5" customHeight="1">
      <c r="B4997" s="42" t="str">
        <f>IFERROR(__xludf.DUMMYFUNCTION("""COMPUTED_VALUE"""),"K/7/170625/2")</f>
        <v>K/7/170625/2</v>
      </c>
      <c r="C4997" s="42" t="str">
        <f>IFERROR(__xludf.DUMMYFUNCTION("""COMPUTED_VALUE"""),"M.826/TANJUNG RAYA")</f>
        <v>M.826/TANJUNG RAYA</v>
      </c>
      <c r="D4997" s="42"/>
      <c r="E4997" s="42"/>
      <c r="F4997" s="48" t="str">
        <f>IFERROR(__xludf.DUMMYFUNCTION("""COMPUTED_VALUE"""),"")</f>
        <v/>
      </c>
      <c r="G4997" s="42" t="str">
        <f>IFERROR(__xludf.DUMMYFUNCTION("""COMPUTED_VALUE"""),"GANTI BLANKO")</f>
        <v>GANTI BLANKO</v>
      </c>
      <c r="H4997" s="42">
        <f t="shared" si="1"/>
        <v>2195</v>
      </c>
    </row>
    <row r="4998" ht="22.5" customHeight="1">
      <c r="B4998" s="42" t="str">
        <f>IFERROR(__xludf.DUMMYFUNCTION("""COMPUTED_VALUE"""),"K/8/170625/1")</f>
        <v>K/8/170625/1</v>
      </c>
      <c r="C4998" s="42" t="str">
        <f>IFERROR(__xludf.DUMMYFUNCTION("""COMPUTED_VALUE"""),"M. 197/ Negeri Olok Gading")</f>
        <v>M. 197/ Negeri Olok Gading</v>
      </c>
      <c r="D4998" s="42" t="str">
        <f>IFERROR(__xludf.DUMMYFUNCTION("""COMPUTED_VALUE"""),"Berry")</f>
        <v>Berry</v>
      </c>
      <c r="E4998" s="42" t="str">
        <f>IFERROR(__xludf.DUMMYFUNCTION("""COMPUTED_VALUE"""),"DISERAHKAN")</f>
        <v>DISERAHKAN</v>
      </c>
      <c r="F4998" s="48">
        <f>IFERROR(__xludf.DUMMYFUNCTION("""COMPUTED_VALUE"""),45852.62731174768)</f>
        <v>45852.62731</v>
      </c>
      <c r="G4998" s="42" t="str">
        <f>IFERROR(__xludf.DUMMYFUNCTION("""COMPUTED_VALUE"""),"BN JUAL BELI")</f>
        <v>BN JUAL BELI</v>
      </c>
      <c r="H4998" s="42">
        <f t="shared" si="1"/>
        <v>2196</v>
      </c>
    </row>
    <row r="4999" ht="22.5" customHeight="1">
      <c r="B4999" s="42" t="str">
        <f>IFERROR(__xludf.DUMMYFUNCTION("""COMPUTED_VALUE"""),"K/9/170625/1")</f>
        <v>K/9/170625/1</v>
      </c>
      <c r="C4999" s="42" t="str">
        <f>IFERROR(__xludf.DUMMYFUNCTION("""COMPUTED_VALUE"""),"M. 1756/LABUHAN RATU RAYA")</f>
        <v>M. 1756/LABUHAN RATU RAYA</v>
      </c>
      <c r="D4999" s="42" t="str">
        <f>IFERROR(__xludf.DUMMYFUNCTION("""COMPUTED_VALUE"""),"Berry")</f>
        <v>Berry</v>
      </c>
      <c r="E4999" s="42" t="str">
        <f>IFERROR(__xludf.DUMMYFUNCTION("""COMPUTED_VALUE"""),"DISERAHKAN")</f>
        <v>DISERAHKAN</v>
      </c>
      <c r="F4999" s="48">
        <f>IFERROR(__xludf.DUMMYFUNCTION("""COMPUTED_VALUE"""),45845.71163780092)</f>
        <v>45845.71164</v>
      </c>
      <c r="G4999" s="42" t="str">
        <f>IFERROR(__xludf.DUMMYFUNCTION("""COMPUTED_VALUE"""),"BN JUAL BELI")</f>
        <v>BN JUAL BELI</v>
      </c>
      <c r="H4999" s="42">
        <f t="shared" si="1"/>
        <v>2197</v>
      </c>
    </row>
    <row r="5000" ht="22.5" customHeight="1">
      <c r="B5000" s="42" t="str">
        <f>IFERROR(__xludf.DUMMYFUNCTION("""COMPUTED_VALUE"""),"K/10/170625/1")</f>
        <v>K/10/170625/1</v>
      </c>
      <c r="C5000" s="42" t="str">
        <f>IFERROR(__xludf.DUMMYFUNCTION("""COMPUTED_VALUE"""),"NIBEL B 354/NEGERI OLOK GADING")</f>
        <v>NIBEL B 354/NEGERI OLOK GADING</v>
      </c>
      <c r="D5000" s="42"/>
      <c r="E5000" s="42"/>
      <c r="F5000" s="48" t="str">
        <f>IFERROR(__xludf.DUMMYFUNCTION("""COMPUTED_VALUE"""),"")</f>
        <v/>
      </c>
      <c r="G5000" s="42" t="str">
        <f>IFERROR(__xludf.DUMMYFUNCTION("""COMPUTED_VALUE"""),"PENINGKATAN HAK")</f>
        <v>PENINGKATAN HAK</v>
      </c>
      <c r="H5000" s="42">
        <f t="shared" si="1"/>
        <v>2197</v>
      </c>
    </row>
    <row r="5001" ht="22.5" customHeight="1">
      <c r="B5001" s="42" t="str">
        <f>IFERROR(__xludf.DUMMYFUNCTION("""COMPUTED_VALUE"""),"L/13/170625/1")</f>
        <v>L/13/170625/1</v>
      </c>
      <c r="C5001" s="42" t="str">
        <f>IFERROR(__xludf.DUMMYFUNCTION("""COMPUTED_VALUE"""),"HM 72/KEMILING PERMAI")</f>
        <v>HM 72/KEMILING PERMAI</v>
      </c>
      <c r="D5001" s="42" t="str">
        <f>IFERROR(__xludf.DUMMYFUNCTION("""COMPUTED_VALUE"""),"David")</f>
        <v>David</v>
      </c>
      <c r="E5001" s="42" t="str">
        <f>IFERROR(__xludf.DUMMYFUNCTION("""COMPUTED_VALUE"""),"DISERAHKAN")</f>
        <v>DISERAHKAN</v>
      </c>
      <c r="F5001" s="48">
        <f>IFERROR(__xludf.DUMMYFUNCTION("""COMPUTED_VALUE"""),45874.687826608795)</f>
        <v>45874.68783</v>
      </c>
      <c r="G5001" s="42" t="str">
        <f>IFERROR(__xludf.DUMMYFUNCTION("""COMPUTED_VALUE"""),"ROYA")</f>
        <v>ROYA</v>
      </c>
      <c r="H5001" s="42">
        <f t="shared" si="1"/>
        <v>2198</v>
      </c>
    </row>
    <row r="5002" ht="22.5" customHeight="1">
      <c r="B5002" s="42" t="str">
        <f>IFERROR(__xludf.DUMMYFUNCTION("""COMPUTED_VALUE"""),"K/11/170625/1")</f>
        <v>K/11/170625/1</v>
      </c>
      <c r="C5002" s="42" t="str">
        <f>IFERROR(__xludf.DUMMYFUNCTION("""COMPUTED_VALUE"""),"M.2339/SUKAMAJU")</f>
        <v>M.2339/SUKAMAJU</v>
      </c>
      <c r="D5002" s="42" t="str">
        <f>IFERROR(__xludf.DUMMYFUNCTION("""COMPUTED_VALUE"""),"David")</f>
        <v>David</v>
      </c>
      <c r="E5002" s="42" t="str">
        <f>IFERROR(__xludf.DUMMYFUNCTION("""COMPUTED_VALUE"""),"DISERAHKAN")</f>
        <v>DISERAHKAN</v>
      </c>
      <c r="F5002" s="48">
        <f>IFERROR(__xludf.DUMMYFUNCTION("""COMPUTED_VALUE"""),45849.435614155096)</f>
        <v>45849.43561</v>
      </c>
      <c r="G5002" s="42" t="str">
        <f>IFERROR(__xludf.DUMMYFUNCTION("""COMPUTED_VALUE"""),"BN JUAL BELI")</f>
        <v>BN JUAL BELI</v>
      </c>
      <c r="H5002" s="42">
        <f t="shared" si="1"/>
        <v>2199</v>
      </c>
    </row>
    <row r="5003" ht="22.5" customHeight="1">
      <c r="B5003" s="42" t="str">
        <f>IFERROR(__xludf.DUMMYFUNCTION("""COMPUTED_VALUE"""),"K/14/170625/1")</f>
        <v>K/14/170625/1</v>
      </c>
      <c r="C5003" s="42" t="str">
        <f>IFERROR(__xludf.DUMMYFUNCTION("""COMPUTED_VALUE"""),"NIBEL B. 21685/KAMPUNG BARU")</f>
        <v>NIBEL B. 21685/KAMPUNG BARU</v>
      </c>
      <c r="D5003" s="42"/>
      <c r="E5003" s="42"/>
      <c r="F5003" s="48" t="str">
        <f>IFERROR(__xludf.DUMMYFUNCTION("""COMPUTED_VALUE"""),"")</f>
        <v/>
      </c>
      <c r="G5003" s="42" t="str">
        <f>IFERROR(__xludf.DUMMYFUNCTION("""COMPUTED_VALUE"""),"BN JUAL BELI")</f>
        <v>BN JUAL BELI</v>
      </c>
      <c r="H5003" s="42">
        <f t="shared" si="1"/>
        <v>2199</v>
      </c>
    </row>
    <row r="5004" ht="22.5" customHeight="1">
      <c r="B5004" s="42" t="str">
        <f>IFERROR(__xludf.DUMMYFUNCTION("""COMPUTED_VALUE"""),"K/15/170625/1")</f>
        <v>K/15/170625/1</v>
      </c>
      <c r="C5004" s="42" t="str">
        <f>IFERROR(__xludf.DUMMYFUNCTION("""COMPUTED_VALUE"""),"M.933/PEMATANG WANGI")</f>
        <v>M.933/PEMATANG WANGI</v>
      </c>
      <c r="D5004" s="42" t="str">
        <f>IFERROR(__xludf.DUMMYFUNCTION("""COMPUTED_VALUE"""),"Berry")</f>
        <v>Berry</v>
      </c>
      <c r="E5004" s="42" t="str">
        <f>IFERROR(__xludf.DUMMYFUNCTION("""COMPUTED_VALUE"""),"DISERAHKAN")</f>
        <v>DISERAHKAN</v>
      </c>
      <c r="F5004" s="48">
        <f>IFERROR(__xludf.DUMMYFUNCTION("""COMPUTED_VALUE"""),45845.715330590276)</f>
        <v>45845.71533</v>
      </c>
      <c r="G5004" s="42" t="str">
        <f>IFERROR(__xludf.DUMMYFUNCTION("""COMPUTED_VALUE"""),"BN JUAL BELI")</f>
        <v>BN JUAL BELI</v>
      </c>
      <c r="H5004" s="42">
        <f t="shared" si="1"/>
        <v>2200</v>
      </c>
    </row>
    <row r="5005" ht="22.5" customHeight="1">
      <c r="B5005" s="42" t="str">
        <f>IFERROR(__xludf.DUMMYFUNCTION("""COMPUTED_VALUE"""),"K/12/170625/2")</f>
        <v>K/12/170625/2</v>
      </c>
      <c r="C5005" s="42" t="str">
        <f>IFERROR(__xludf.DUMMYFUNCTION("""COMPUTED_VALUE"""),"M.293/SEPANG JAYA")</f>
        <v>M.293/SEPANG JAYA</v>
      </c>
      <c r="D5005" s="42" t="str">
        <f>IFERROR(__xludf.DUMMYFUNCTION("""COMPUTED_VALUE"""),"Berry")</f>
        <v>Berry</v>
      </c>
      <c r="E5005" s="42" t="str">
        <f>IFERROR(__xludf.DUMMYFUNCTION("""COMPUTED_VALUE"""),"DISERAHKAN")</f>
        <v>DISERAHKAN</v>
      </c>
      <c r="F5005" s="48">
        <f>IFERROR(__xludf.DUMMYFUNCTION("""COMPUTED_VALUE"""),45845.70395940972)</f>
        <v>45845.70396</v>
      </c>
      <c r="G5005" s="42" t="str">
        <f>IFERROR(__xludf.DUMMYFUNCTION("""COMPUTED_VALUE"""),"JUAL BELI")</f>
        <v>JUAL BELI</v>
      </c>
      <c r="H5005" s="42">
        <f t="shared" si="1"/>
        <v>2201</v>
      </c>
    </row>
    <row r="5006" ht="22.5" customHeight="1">
      <c r="B5006" s="42" t="str">
        <f>IFERROR(__xludf.DUMMYFUNCTION("""COMPUTED_VALUE"""),"L/19/170625/1")</f>
        <v>L/19/170625/1</v>
      </c>
      <c r="C5006" s="42" t="str">
        <f>IFERROR(__xludf.DUMMYFUNCTION("""COMPUTED_VALUE"""),"HM 13389/SEGALA MIDER")</f>
        <v>HM 13389/SEGALA MIDER</v>
      </c>
      <c r="D5006" s="42" t="str">
        <f>IFERROR(__xludf.DUMMYFUNCTION("""COMPUTED_VALUE"""),"David")</f>
        <v>David</v>
      </c>
      <c r="E5006" s="42" t="str">
        <f>IFERROR(__xludf.DUMMYFUNCTION("""COMPUTED_VALUE"""),"DISERAHKAN")</f>
        <v>DISERAHKAN</v>
      </c>
      <c r="F5006" s="48">
        <f>IFERROR(__xludf.DUMMYFUNCTION("""COMPUTED_VALUE"""),45849.467695949075)</f>
        <v>45849.4677</v>
      </c>
      <c r="G5006" s="42" t="str">
        <f>IFERROR(__xludf.DUMMYFUNCTION("""COMPUTED_VALUE"""),"ROYA")</f>
        <v>ROYA</v>
      </c>
      <c r="H5006" s="42">
        <f t="shared" si="1"/>
        <v>2202</v>
      </c>
    </row>
    <row r="5007" ht="22.5" customHeight="1">
      <c r="B5007" s="42" t="str">
        <f>IFERROR(__xludf.DUMMYFUNCTION("""COMPUTED_VALUE"""),"K/16/170625/1")</f>
        <v>K/16/170625/1</v>
      </c>
      <c r="C5007" s="42" t="str">
        <f>IFERROR(__xludf.DUMMYFUNCTION("""COMPUTED_VALUE"""),"M. 3215/ Gedong Air")</f>
        <v>M. 3215/ Gedong Air</v>
      </c>
      <c r="D5007" s="42" t="str">
        <f>IFERROR(__xludf.DUMMYFUNCTION("""COMPUTED_VALUE"""),"Berry")</f>
        <v>Berry</v>
      </c>
      <c r="E5007" s="42" t="str">
        <f>IFERROR(__xludf.DUMMYFUNCTION("""COMPUTED_VALUE"""),"DISERAHKAN")</f>
        <v>DISERAHKAN</v>
      </c>
      <c r="F5007" s="48">
        <f>IFERROR(__xludf.DUMMYFUNCTION("""COMPUTED_VALUE"""),45853.720024062495)</f>
        <v>45853.72002</v>
      </c>
      <c r="G5007" s="42" t="str">
        <f>IFERROR(__xludf.DUMMYFUNCTION("""COMPUTED_VALUE"""),"BN Jual Beli")</f>
        <v>BN Jual Beli</v>
      </c>
      <c r="H5007" s="42">
        <f t="shared" si="1"/>
        <v>2203</v>
      </c>
    </row>
    <row r="5008" ht="22.5" customHeight="1">
      <c r="B5008" s="42" t="str">
        <f>IFERROR(__xludf.DUMMYFUNCTION("""COMPUTED_VALUE"""),"L/21/170625/1")</f>
        <v>L/21/170625/1</v>
      </c>
      <c r="C5008" s="42" t="str">
        <f>IFERROR(__xludf.DUMMYFUNCTION("""COMPUTED_VALUE"""),"HM 818/SUSUNAN BARU")</f>
        <v>HM 818/SUSUNAN BARU</v>
      </c>
      <c r="D5008" s="42" t="str">
        <f>IFERROR(__xludf.DUMMYFUNCTION("""COMPUTED_VALUE"""),"David")</f>
        <v>David</v>
      </c>
      <c r="E5008" s="42" t="str">
        <f>IFERROR(__xludf.DUMMYFUNCTION("""COMPUTED_VALUE"""),"DISERAHKAN")</f>
        <v>DISERAHKAN</v>
      </c>
      <c r="F5008" s="48">
        <f>IFERROR(__xludf.DUMMYFUNCTION("""COMPUTED_VALUE"""),45841.70167681713)</f>
        <v>45841.70168</v>
      </c>
      <c r="G5008" s="42" t="str">
        <f>IFERROR(__xludf.DUMMYFUNCTION("""COMPUTED_VALUE"""),"ROYA")</f>
        <v>ROYA</v>
      </c>
      <c r="H5008" s="42">
        <f t="shared" si="1"/>
        <v>2204</v>
      </c>
    </row>
    <row r="5009" ht="22.5" customHeight="1">
      <c r="B5009" s="42" t="str">
        <f>IFERROR(__xludf.DUMMYFUNCTION("""COMPUTED_VALUE"""),"K/20/170625/1")</f>
        <v>K/20/170625/1</v>
      </c>
      <c r="C5009" s="42" t="str">
        <f>IFERROR(__xludf.DUMMYFUNCTION("""COMPUTED_VALUE"""),"M. 9011/TANJUNGBARU")</f>
        <v>M. 9011/TANJUNGBARU</v>
      </c>
      <c r="D5009" s="42" t="str">
        <f>IFERROR(__xludf.DUMMYFUNCTION("""COMPUTED_VALUE"""),"Berry")</f>
        <v>Berry</v>
      </c>
      <c r="E5009" s="42" t="str">
        <f>IFERROR(__xludf.DUMMYFUNCTION("""COMPUTED_VALUE"""),"DISERAHKAN")</f>
        <v>DISERAHKAN</v>
      </c>
      <c r="F5009" s="48">
        <f>IFERROR(__xludf.DUMMYFUNCTION("""COMPUTED_VALUE"""),45842.5864024537)</f>
        <v>45842.5864</v>
      </c>
      <c r="G5009" s="42" t="str">
        <f>IFERROR(__xludf.DUMMYFUNCTION("""COMPUTED_VALUE"""),"BN JUAL BELI")</f>
        <v>BN JUAL BELI</v>
      </c>
      <c r="H5009" s="42">
        <f t="shared" si="1"/>
        <v>2205</v>
      </c>
    </row>
    <row r="5010" ht="22.5" customHeight="1">
      <c r="B5010" s="42" t="str">
        <f>IFERROR(__xludf.DUMMYFUNCTION("""COMPUTED_VALUE"""),"L/22/170625/1")</f>
        <v>L/22/170625/1</v>
      </c>
      <c r="C5010" s="42" t="str">
        <f>IFERROR(__xludf.DUMMYFUNCTION("""COMPUTED_VALUE"""),"HM 11244/LABNUHAN RATU")</f>
        <v>HM 11244/LABNUHAN RATU</v>
      </c>
      <c r="D5010" s="42" t="str">
        <f>IFERROR(__xludf.DUMMYFUNCTION("""COMPUTED_VALUE"""),"David")</f>
        <v>David</v>
      </c>
      <c r="E5010" s="42" t="str">
        <f>IFERROR(__xludf.DUMMYFUNCTION("""COMPUTED_VALUE"""),"DISERAHKAN")</f>
        <v>DISERAHKAN</v>
      </c>
      <c r="F5010" s="48">
        <f>IFERROR(__xludf.DUMMYFUNCTION("""COMPUTED_VALUE"""),45856.63686162037)</f>
        <v>45856.63686</v>
      </c>
      <c r="G5010" s="42" t="str">
        <f>IFERROR(__xludf.DUMMYFUNCTION("""COMPUTED_VALUE"""),"ROYA")</f>
        <v>ROYA</v>
      </c>
      <c r="H5010" s="42">
        <f t="shared" si="1"/>
        <v>2206</v>
      </c>
    </row>
    <row r="5011" ht="22.5" customHeight="1">
      <c r="B5011" s="42" t="str">
        <f>IFERROR(__xludf.DUMMYFUNCTION("""COMPUTED_VALUE"""),"K/18/170625/1")</f>
        <v>K/18/170625/1</v>
      </c>
      <c r="C5011" s="42" t="str">
        <f>IFERROR(__xludf.DUMMYFUNCTION("""COMPUTED_VALUE"""),"B.541/KEMILING PERMAI")</f>
        <v>B.541/KEMILING PERMAI</v>
      </c>
      <c r="D5011" s="42"/>
      <c r="E5011" s="42"/>
      <c r="F5011" s="48" t="str">
        <f>IFERROR(__xludf.DUMMYFUNCTION("""COMPUTED_VALUE"""),"")</f>
        <v/>
      </c>
      <c r="G5011" s="42" t="str">
        <f>IFERROR(__xludf.DUMMYFUNCTION("""COMPUTED_VALUE"""),"PENINGKATAN HAK")</f>
        <v>PENINGKATAN HAK</v>
      </c>
      <c r="H5011" s="42">
        <f t="shared" si="1"/>
        <v>2206</v>
      </c>
    </row>
    <row r="5012" ht="22.5" customHeight="1">
      <c r="B5012" s="42" t="str">
        <f>IFERROR(__xludf.DUMMYFUNCTION("""COMPUTED_VALUE"""),"K/23/170625/1")</f>
        <v>K/23/170625/1</v>
      </c>
      <c r="C5012" s="42" t="str">
        <f>IFERROR(__xludf.DUMMYFUNCTION("""COMPUTED_VALUE"""),"NIBEL M.18139/GUNUNG TERANG")</f>
        <v>NIBEL M.18139/GUNUNG TERANG</v>
      </c>
      <c r="D5012" s="42"/>
      <c r="E5012" s="42"/>
      <c r="F5012" s="48" t="str">
        <f>IFERROR(__xludf.DUMMYFUNCTION("""COMPUTED_VALUE"""),"")</f>
        <v/>
      </c>
      <c r="G5012" s="42" t="str">
        <f>IFERROR(__xludf.DUMMYFUNCTION("""COMPUTED_VALUE"""),"JUAL BELI")</f>
        <v>JUAL BELI</v>
      </c>
      <c r="H5012" s="42">
        <f t="shared" si="1"/>
        <v>2206</v>
      </c>
    </row>
    <row r="5013" ht="22.5" customHeight="1">
      <c r="B5013" s="42" t="str">
        <f>IFERROR(__xludf.DUMMYFUNCTION("""COMPUTED_VALUE"""),"K/24/170625/1")</f>
        <v>K/24/170625/1</v>
      </c>
      <c r="C5013" s="42" t="str">
        <f>IFERROR(__xludf.DUMMYFUNCTION("""COMPUTED_VALUE"""),"M.1983/SUSUNAN BARU")</f>
        <v>M.1983/SUSUNAN BARU</v>
      </c>
      <c r="D5013" s="42" t="str">
        <f>IFERROR(__xludf.DUMMYFUNCTION("""COMPUTED_VALUE"""),"David")</f>
        <v>David</v>
      </c>
      <c r="E5013" s="42" t="str">
        <f>IFERROR(__xludf.DUMMYFUNCTION("""COMPUTED_VALUE"""),"DISERAHKAN")</f>
        <v>DISERAHKAN</v>
      </c>
      <c r="F5013" s="48">
        <f>IFERROR(__xludf.DUMMYFUNCTION("""COMPUTED_VALUE"""),45848.61704827547)</f>
        <v>45848.61705</v>
      </c>
      <c r="G5013" s="42" t="str">
        <f>IFERROR(__xludf.DUMMYFUNCTION("""COMPUTED_VALUE"""),"JUAL BELI")</f>
        <v>JUAL BELI</v>
      </c>
      <c r="H5013" s="42">
        <f t="shared" si="1"/>
        <v>2207</v>
      </c>
    </row>
    <row r="5014" ht="22.5" customHeight="1">
      <c r="B5014" s="42" t="str">
        <f>IFERROR(__xludf.DUMMYFUNCTION("""COMPUTED_VALUE"""),"K/25/170625/2")</f>
        <v>K/25/170625/2</v>
      </c>
      <c r="C5014" s="42" t="str">
        <f>IFERROR(__xludf.DUMMYFUNCTION("""COMPUTED_VALUE"""),"NIBEL M 18287/GEDONG AIR")</f>
        <v>NIBEL M 18287/GEDONG AIR</v>
      </c>
      <c r="D5014" s="42"/>
      <c r="E5014" s="42"/>
      <c r="F5014" s="48" t="str">
        <f>IFERROR(__xludf.DUMMYFUNCTION("""COMPUTED_VALUE"""),"")</f>
        <v/>
      </c>
      <c r="G5014" s="42" t="str">
        <f>IFERROR(__xludf.DUMMYFUNCTION("""COMPUTED_VALUE"""),"JUAL BELI")</f>
        <v>JUAL BELI</v>
      </c>
      <c r="H5014" s="42">
        <f t="shared" si="1"/>
        <v>2207</v>
      </c>
    </row>
    <row r="5015" ht="22.5" customHeight="1">
      <c r="B5015" s="42" t="str">
        <f>IFERROR(__xludf.DUMMYFUNCTION("""COMPUTED_VALUE"""),"K/27/170625/1")</f>
        <v>K/27/170625/1</v>
      </c>
      <c r="C5015" s="42" t="str">
        <f>IFERROR(__xludf.DUMMYFUNCTION("""COMPUTED_VALUE"""),"Nibel 12145/ Sukarame Baru")</f>
        <v>Nibel 12145/ Sukarame Baru</v>
      </c>
      <c r="D5015" s="42"/>
      <c r="E5015" s="42"/>
      <c r="F5015" s="48" t="str">
        <f>IFERROR(__xludf.DUMMYFUNCTION("""COMPUTED_VALUE"""),"")</f>
        <v/>
      </c>
      <c r="G5015" s="42" t="str">
        <f>IFERROR(__xludf.DUMMYFUNCTION("""COMPUTED_VALUE"""),"BN JUAL BELI")</f>
        <v>BN JUAL BELI</v>
      </c>
      <c r="H5015" s="42">
        <f t="shared" si="1"/>
        <v>2207</v>
      </c>
    </row>
    <row r="5016" ht="22.5" customHeight="1">
      <c r="B5016" s="42" t="str">
        <f>IFERROR(__xludf.DUMMYFUNCTION("""COMPUTED_VALUE"""),"K/26/170625/3")</f>
        <v>K/26/170625/3</v>
      </c>
      <c r="C5016" s="42" t="str">
        <f>IFERROR(__xludf.DUMMYFUNCTION("""COMPUTED_VALUE"""),"M.2294/PERUMNAS WAY HALIM")</f>
        <v>M.2294/PERUMNAS WAY HALIM</v>
      </c>
      <c r="D5016" s="42" t="str">
        <f>IFERROR(__xludf.DUMMYFUNCTION("""COMPUTED_VALUE"""),"David")</f>
        <v>David</v>
      </c>
      <c r="E5016" s="42" t="str">
        <f>IFERROR(__xludf.DUMMYFUNCTION("""COMPUTED_VALUE"""),"DISERAHKAN")</f>
        <v>DISERAHKAN</v>
      </c>
      <c r="F5016" s="48">
        <f>IFERROR(__xludf.DUMMYFUNCTION("""COMPUTED_VALUE"""),45848.61918052084)</f>
        <v>45848.61918</v>
      </c>
      <c r="G5016" s="42" t="str">
        <f>IFERROR(__xludf.DUMMYFUNCTION("""COMPUTED_VALUE"""),"JUAL BELI")</f>
        <v>JUAL BELI</v>
      </c>
      <c r="H5016" s="42">
        <f t="shared" si="1"/>
        <v>2208</v>
      </c>
    </row>
    <row r="5017" ht="22.5" customHeight="1">
      <c r="B5017" s="42" t="str">
        <f>IFERROR(__xludf.DUMMYFUNCTION("""COMPUTED_VALUE"""),"K/17/170625/1")</f>
        <v>K/17/170625/1</v>
      </c>
      <c r="C5017" s="42" t="str">
        <f>IFERROR(__xludf.DUMMYFUNCTION("""COMPUTED_VALUE"""),"B. 369/ Nusantara Permai")</f>
        <v>B. 369/ Nusantara Permai</v>
      </c>
      <c r="D5017" s="42" t="str">
        <f>IFERROR(__xludf.DUMMYFUNCTION("""COMPUTED_VALUE"""),"Berry")</f>
        <v>Berry</v>
      </c>
      <c r="E5017" s="42" t="str">
        <f>IFERROR(__xludf.DUMMYFUNCTION("""COMPUTED_VALUE"""),"DISERAHKAN")</f>
        <v>DISERAHKAN</v>
      </c>
      <c r="F5017" s="48">
        <f>IFERROR(__xludf.DUMMYFUNCTION("""COMPUTED_VALUE"""),45840.570838796295)</f>
        <v>45840.57084</v>
      </c>
      <c r="G5017" s="42" t="str">
        <f>IFERROR(__xludf.DUMMYFUNCTION("""COMPUTED_VALUE"""),"Perubahan Hak")</f>
        <v>Perubahan Hak</v>
      </c>
      <c r="H5017" s="42">
        <f t="shared" si="1"/>
        <v>2209</v>
      </c>
    </row>
    <row r="5018" ht="22.5" customHeight="1">
      <c r="B5018" s="42" t="str">
        <f>IFERROR(__xludf.DUMMYFUNCTION("""COMPUTED_VALUE"""),"L/30/170625/1")</f>
        <v>L/30/170625/1</v>
      </c>
      <c r="C5018" s="42" t="str">
        <f>IFERROR(__xludf.DUMMYFUNCTION("""COMPUTED_VALUE"""),"HM 1432/BAKUNG")</f>
        <v>HM 1432/BAKUNG</v>
      </c>
      <c r="D5018" s="42" t="str">
        <f>IFERROR(__xludf.DUMMYFUNCTION("""COMPUTED_VALUE"""),"David")</f>
        <v>David</v>
      </c>
      <c r="E5018" s="42" t="str">
        <f>IFERROR(__xludf.DUMMYFUNCTION("""COMPUTED_VALUE"""),"DISERAHKAN")</f>
        <v>DISERAHKAN</v>
      </c>
      <c r="F5018" s="48">
        <f>IFERROR(__xludf.DUMMYFUNCTION("""COMPUTED_VALUE"""),45847.65947196759)</f>
        <v>45847.65947</v>
      </c>
      <c r="G5018" s="42" t="str">
        <f>IFERROR(__xludf.DUMMYFUNCTION("""COMPUTED_VALUE"""),"ROYA")</f>
        <v>ROYA</v>
      </c>
      <c r="H5018" s="42">
        <f t="shared" si="1"/>
        <v>2210</v>
      </c>
    </row>
    <row r="5019" ht="22.5" customHeight="1">
      <c r="B5019" s="42" t="str">
        <f>IFERROR(__xludf.DUMMYFUNCTION("""COMPUTED_VALUE"""),"K/29/170625/1")</f>
        <v>K/29/170625/1</v>
      </c>
      <c r="C5019" s="42" t="str">
        <f>IFERROR(__xludf.DUMMYFUNCTION("""COMPUTED_VALUE"""),"B. 1212/ Sukabumi Indah")</f>
        <v>B. 1212/ Sukabumi Indah</v>
      </c>
      <c r="D5019" s="42" t="str">
        <f>IFERROR(__xludf.DUMMYFUNCTION("""COMPUTED_VALUE"""),"Berry")</f>
        <v>Berry</v>
      </c>
      <c r="E5019" s="42" t="str">
        <f>IFERROR(__xludf.DUMMYFUNCTION("""COMPUTED_VALUE"""),"DISERAHKAN")</f>
        <v>DISERAHKAN</v>
      </c>
      <c r="F5019" s="48">
        <f>IFERROR(__xludf.DUMMYFUNCTION("""COMPUTED_VALUE"""),45841.50558402778)</f>
        <v>45841.50558</v>
      </c>
      <c r="G5019" s="42" t="str">
        <f>IFERROR(__xludf.DUMMYFUNCTION("""COMPUTED_VALUE"""),"BN JUAL BELI")</f>
        <v>BN JUAL BELI</v>
      </c>
      <c r="H5019" s="42">
        <f t="shared" si="1"/>
        <v>2211</v>
      </c>
    </row>
    <row r="5020" ht="22.5" customHeight="1">
      <c r="B5020" s="42" t="str">
        <f>IFERROR(__xludf.DUMMYFUNCTION("""COMPUTED_VALUE"""),"K/45/120625/1")</f>
        <v>K/45/120625/1</v>
      </c>
      <c r="C5020" s="42" t="str">
        <f>IFERROR(__xludf.DUMMYFUNCTION("""COMPUTED_VALUE"""),"M.3267/BERINGIN RAYA")</f>
        <v>M.3267/BERINGIN RAYA</v>
      </c>
      <c r="D5020" s="42" t="str">
        <f>IFERROR(__xludf.DUMMYFUNCTION("""COMPUTED_VALUE"""),"David")</f>
        <v>David</v>
      </c>
      <c r="E5020" s="42" t="str">
        <f>IFERROR(__xludf.DUMMYFUNCTION("""COMPUTED_VALUE"""),"DISERAHKAN")</f>
        <v>DISERAHKAN</v>
      </c>
      <c r="F5020" s="48">
        <f>IFERROR(__xludf.DUMMYFUNCTION("""COMPUTED_VALUE"""),45842.60791331019)</f>
        <v>45842.60791</v>
      </c>
      <c r="G5020" s="42" t="str">
        <f>IFERROR(__xludf.DUMMYFUNCTION("""COMPUTED_VALUE"""),"ROYA")</f>
        <v>ROYA</v>
      </c>
      <c r="H5020" s="42">
        <f t="shared" si="1"/>
        <v>2212</v>
      </c>
    </row>
    <row r="5021" ht="22.5" customHeight="1">
      <c r="B5021" s="42" t="str">
        <f>IFERROR(__xludf.DUMMYFUNCTION("""COMPUTED_VALUE"""),"K/31/170625/1")</f>
        <v>K/31/170625/1</v>
      </c>
      <c r="C5021" s="42" t="str">
        <f>IFERROR(__xludf.DUMMYFUNCTION("""COMPUTED_VALUE"""),"M. 1266/ Langkapura Baru")</f>
        <v>M. 1266/ Langkapura Baru</v>
      </c>
      <c r="D5021" s="42" t="str">
        <f>IFERROR(__xludf.DUMMYFUNCTION("""COMPUTED_VALUE"""),"Berry")</f>
        <v>Berry</v>
      </c>
      <c r="E5021" s="42" t="str">
        <f>IFERROR(__xludf.DUMMYFUNCTION("""COMPUTED_VALUE"""),"DISERAHKAN")</f>
        <v>DISERAHKAN</v>
      </c>
      <c r="F5021" s="48">
        <f>IFERROR(__xludf.DUMMYFUNCTION("""COMPUTED_VALUE"""),45838.65076358797)</f>
        <v>45838.65076</v>
      </c>
      <c r="G5021" s="42" t="str">
        <f>IFERROR(__xludf.DUMMYFUNCTION("""COMPUTED_VALUE"""),"BN Jual Beli")</f>
        <v>BN Jual Beli</v>
      </c>
      <c r="H5021" s="42">
        <f t="shared" si="1"/>
        <v>2213</v>
      </c>
    </row>
    <row r="5022" ht="22.5" customHeight="1">
      <c r="B5022" s="42" t="str">
        <f>IFERROR(__xludf.DUMMYFUNCTION("""COMPUTED_VALUE"""),"K/32/170625/1")</f>
        <v>K/32/170625/1</v>
      </c>
      <c r="C5022" s="42" t="str">
        <f>IFERROR(__xludf.DUMMYFUNCTION("""COMPUTED_VALUE"""),"M. 9451/TANJUNG BARU")</f>
        <v>M. 9451/TANJUNG BARU</v>
      </c>
      <c r="D5022" s="42" t="str">
        <f>IFERROR(__xludf.DUMMYFUNCTION("""COMPUTED_VALUE"""),"David")</f>
        <v>David</v>
      </c>
      <c r="E5022" s="42" t="str">
        <f>IFERROR(__xludf.DUMMYFUNCTION("""COMPUTED_VALUE"""),"DISERAHKAN")</f>
        <v>DISERAHKAN</v>
      </c>
      <c r="F5022" s="48">
        <f>IFERROR(__xludf.DUMMYFUNCTION("""COMPUTED_VALUE"""),45842.608116689815)</f>
        <v>45842.60812</v>
      </c>
      <c r="G5022" s="42" t="str">
        <f>IFERROR(__xludf.DUMMYFUNCTION("""COMPUTED_VALUE"""),"ROYA")</f>
        <v>ROYA</v>
      </c>
      <c r="H5022" s="42">
        <f t="shared" si="1"/>
        <v>2214</v>
      </c>
    </row>
    <row r="5023" ht="22.5" customHeight="1">
      <c r="B5023" s="42" t="str">
        <f>IFERROR(__xludf.DUMMYFUNCTION("""COMPUTED_VALUE"""),"K/33/170625/1")</f>
        <v>K/33/170625/1</v>
      </c>
      <c r="C5023" s="42" t="str">
        <f>IFERROR(__xludf.DUMMYFUNCTION("""COMPUTED_VALUE"""),"M. 1209/ Labuhan Ratu Raya")</f>
        <v>M. 1209/ Labuhan Ratu Raya</v>
      </c>
      <c r="D5023" s="42" t="str">
        <f>IFERROR(__xludf.DUMMYFUNCTION("""COMPUTED_VALUE"""),"Berry")</f>
        <v>Berry</v>
      </c>
      <c r="E5023" s="42" t="str">
        <f>IFERROR(__xludf.DUMMYFUNCTION("""COMPUTED_VALUE"""),"DISERAHKAN")</f>
        <v>DISERAHKAN</v>
      </c>
      <c r="F5023" s="48">
        <f>IFERROR(__xludf.DUMMYFUNCTION("""COMPUTED_VALUE"""),45853.72095155093)</f>
        <v>45853.72095</v>
      </c>
      <c r="G5023" s="42" t="str">
        <f>IFERROR(__xludf.DUMMYFUNCTION("""COMPUTED_VALUE"""),"BN Jual Beli")</f>
        <v>BN Jual Beli</v>
      </c>
      <c r="H5023" s="42">
        <f t="shared" si="1"/>
        <v>2215</v>
      </c>
    </row>
    <row r="5024" ht="22.5" customHeight="1">
      <c r="B5024" s="42" t="str">
        <f>IFERROR(__xludf.DUMMYFUNCTION("""COMPUTED_VALUE"""),"K/28/170625/1")</f>
        <v>K/28/170625/1</v>
      </c>
      <c r="C5024" s="42" t="str">
        <f>IFERROR(__xludf.DUMMYFUNCTION("""COMPUTED_VALUE"""),"M.1170/BUMI WARAS")</f>
        <v>M.1170/BUMI WARAS</v>
      </c>
      <c r="D5024" s="42" t="str">
        <f>IFERROR(__xludf.DUMMYFUNCTION("""COMPUTED_VALUE"""),"Berry")</f>
        <v>Berry</v>
      </c>
      <c r="E5024" s="42" t="str">
        <f>IFERROR(__xludf.DUMMYFUNCTION("""COMPUTED_VALUE"""),"DISERAHKAN")</f>
        <v>DISERAHKAN</v>
      </c>
      <c r="F5024" s="48">
        <f>IFERROR(__xludf.DUMMYFUNCTION("""COMPUTED_VALUE"""),45867.50509702547)</f>
        <v>45867.5051</v>
      </c>
      <c r="G5024" s="42" t="str">
        <f>IFERROR(__xludf.DUMMYFUNCTION("""COMPUTED_VALUE"""),"ROYA")</f>
        <v>ROYA</v>
      </c>
      <c r="H5024" s="42">
        <f t="shared" si="1"/>
        <v>2216</v>
      </c>
    </row>
    <row r="5025" ht="22.5" customHeight="1">
      <c r="B5025" s="42" t="str">
        <f>IFERROR(__xludf.DUMMYFUNCTION("""COMPUTED_VALUE"""),"K/34/170625/1")</f>
        <v>K/34/170625/1</v>
      </c>
      <c r="C5025" s="42" t="str">
        <f>IFERROR(__xludf.DUMMYFUNCTION("""COMPUTED_VALUE"""),"NIBEL M 3592/SUKADANAHAM")</f>
        <v>NIBEL M 3592/SUKADANAHAM</v>
      </c>
      <c r="D5025" s="42"/>
      <c r="E5025" s="42"/>
      <c r="F5025" s="48" t="str">
        <f>IFERROR(__xludf.DUMMYFUNCTION("""COMPUTED_VALUE"""),"")</f>
        <v/>
      </c>
      <c r="G5025" s="42" t="str">
        <f>IFERROR(__xludf.DUMMYFUNCTION("""COMPUTED_VALUE"""),"JUAL BELI")</f>
        <v>JUAL BELI</v>
      </c>
      <c r="H5025" s="42">
        <f t="shared" si="1"/>
        <v>2216</v>
      </c>
    </row>
    <row r="5026" ht="22.5" customHeight="1">
      <c r="B5026" s="42" t="str">
        <f>IFERROR(__xludf.DUMMYFUNCTION("""COMPUTED_VALUE"""),"K/44/120625/1")</f>
        <v>K/44/120625/1</v>
      </c>
      <c r="C5026" s="42" t="str">
        <f>IFERROR(__xludf.DUMMYFUNCTION("""COMPUTED_VALUE"""),"M.1351/NOG")</f>
        <v>M.1351/NOG</v>
      </c>
      <c r="D5026" s="42"/>
      <c r="E5026" s="42"/>
      <c r="F5026" s="48" t="str">
        <f>IFERROR(__xludf.DUMMYFUNCTION("""COMPUTED_VALUE"""),"")</f>
        <v/>
      </c>
      <c r="G5026" s="42" t="str">
        <f>IFERROR(__xludf.DUMMYFUNCTION("""COMPUTED_VALUE"""),"BN JUAL BELI")</f>
        <v>BN JUAL BELI</v>
      </c>
      <c r="H5026" s="42">
        <f t="shared" si="1"/>
        <v>2216</v>
      </c>
    </row>
    <row r="5027" ht="22.5" customHeight="1">
      <c r="B5027" s="42" t="str">
        <f>IFERROR(__xludf.DUMMYFUNCTION("""COMPUTED_VALUE"""),"K/1/180625/1")</f>
        <v>K/1/180625/1</v>
      </c>
      <c r="C5027" s="42" t="str">
        <f>IFERROR(__xludf.DUMMYFUNCTION("""COMPUTED_VALUE"""),"M. 15585/ Sukabumi")</f>
        <v>M. 15585/ Sukabumi</v>
      </c>
      <c r="D5027" s="42" t="str">
        <f>IFERROR(__xludf.DUMMYFUNCTION("""COMPUTED_VALUE"""),"David")</f>
        <v>David</v>
      </c>
      <c r="E5027" s="42" t="str">
        <f>IFERROR(__xludf.DUMMYFUNCTION("""COMPUTED_VALUE"""),"DISERAHKAN")</f>
        <v>DISERAHKAN</v>
      </c>
      <c r="F5027" s="48">
        <f>IFERROR(__xludf.DUMMYFUNCTION("""COMPUTED_VALUE"""),45848.57758607639)</f>
        <v>45848.57759</v>
      </c>
      <c r="G5027" s="42" t="str">
        <f>IFERROR(__xludf.DUMMYFUNCTION("""COMPUTED_VALUE"""),"BN Jual Beli")</f>
        <v>BN Jual Beli</v>
      </c>
      <c r="H5027" s="42">
        <f t="shared" si="1"/>
        <v>2217</v>
      </c>
    </row>
    <row r="5028" ht="22.5" customHeight="1">
      <c r="B5028" s="42" t="str">
        <f>IFERROR(__xludf.DUMMYFUNCTION("""COMPUTED_VALUE"""),"L/2/180625/1")</f>
        <v>L/2/180625/1</v>
      </c>
      <c r="C5028" s="42" t="str">
        <f>IFERROR(__xludf.DUMMYFUNCTION("""COMPUTED_VALUE"""),"HM 6394/WAY KANDIS")</f>
        <v>HM 6394/WAY KANDIS</v>
      </c>
      <c r="D5028" s="42" t="str">
        <f>IFERROR(__xludf.DUMMYFUNCTION("""COMPUTED_VALUE"""),"Berry")</f>
        <v>Berry</v>
      </c>
      <c r="E5028" s="42" t="str">
        <f>IFERROR(__xludf.DUMMYFUNCTION("""COMPUTED_VALUE"""),"DISERAHKAN")</f>
        <v>DISERAHKAN</v>
      </c>
      <c r="F5028" s="48">
        <f>IFERROR(__xludf.DUMMYFUNCTION("""COMPUTED_VALUE"""),45838.666731273144)</f>
        <v>45838.66673</v>
      </c>
      <c r="G5028" s="42" t="str">
        <f>IFERROR(__xludf.DUMMYFUNCTION("""COMPUTED_VALUE"""),"BN JUAL-BELI")</f>
        <v>BN JUAL-BELI</v>
      </c>
      <c r="H5028" s="42">
        <f t="shared" si="1"/>
        <v>2218</v>
      </c>
    </row>
    <row r="5029" ht="22.5" customHeight="1">
      <c r="B5029" s="42" t="str">
        <f>IFERROR(__xludf.DUMMYFUNCTION("""COMPUTED_VALUE"""),"L/3/180625/1")</f>
        <v>L/3/180625/1</v>
      </c>
      <c r="C5029" s="42" t="str">
        <f>IFERROR(__xludf.DUMMYFUNCTION("""COMPUTED_VALUE"""),"HM 2302/KALIAWI")</f>
        <v>HM 2302/KALIAWI</v>
      </c>
      <c r="D5029" s="42" t="str">
        <f>IFERROR(__xludf.DUMMYFUNCTION("""COMPUTED_VALUE"""),"Berry")</f>
        <v>Berry</v>
      </c>
      <c r="E5029" s="42" t="str">
        <f>IFERROR(__xludf.DUMMYFUNCTION("""COMPUTED_VALUE"""),"DISERAHKAN")</f>
        <v>DISERAHKAN</v>
      </c>
      <c r="F5029" s="48">
        <f>IFERROR(__xludf.DUMMYFUNCTION("""COMPUTED_VALUE"""),45902.634085729165)</f>
        <v>45902.63409</v>
      </c>
      <c r="G5029" s="42" t="str">
        <f>IFERROR(__xludf.DUMMYFUNCTION("""COMPUTED_VALUE"""),"ROYA")</f>
        <v>ROYA</v>
      </c>
      <c r="H5029" s="42">
        <f t="shared" si="1"/>
        <v>2219</v>
      </c>
    </row>
    <row r="5030" ht="22.5" customHeight="1">
      <c r="B5030" s="42" t="str">
        <f>IFERROR(__xludf.DUMMYFUNCTION("""COMPUTED_VALUE"""),"K/4/180625/1")</f>
        <v>K/4/180625/1</v>
      </c>
      <c r="C5030" s="42" t="str">
        <f>IFERROR(__xludf.DUMMYFUNCTION("""COMPUTED_VALUE"""),"M. 1894/ Batu Putuk")</f>
        <v>M. 1894/ Batu Putuk</v>
      </c>
      <c r="D5030" s="42" t="str">
        <f>IFERROR(__xludf.DUMMYFUNCTION("""COMPUTED_VALUE"""),"Berry")</f>
        <v>Berry</v>
      </c>
      <c r="E5030" s="42" t="str">
        <f>IFERROR(__xludf.DUMMYFUNCTION("""COMPUTED_VALUE"""),"DISERAHKAN")</f>
        <v>DISERAHKAN</v>
      </c>
      <c r="F5030" s="48">
        <f>IFERROR(__xludf.DUMMYFUNCTION("""COMPUTED_VALUE"""),45869.499157743056)</f>
        <v>45869.49916</v>
      </c>
      <c r="G5030" s="42" t="str">
        <f>IFERROR(__xludf.DUMMYFUNCTION("""COMPUTED_VALUE"""),"BN Jual Beli")</f>
        <v>BN Jual Beli</v>
      </c>
      <c r="H5030" s="42">
        <f t="shared" si="1"/>
        <v>2220</v>
      </c>
    </row>
    <row r="5031" ht="22.5" customHeight="1">
      <c r="B5031" s="42" t="str">
        <f>IFERROR(__xludf.DUMMYFUNCTION("""COMPUTED_VALUE"""),"K/6/180625/2")</f>
        <v>K/6/180625/2</v>
      </c>
      <c r="C5031" s="42" t="str">
        <f>IFERROR(__xludf.DUMMYFUNCTION("""COMPUTED_VALUE"""),"M. 11031/ Gedong Meneng")</f>
        <v>M. 11031/ Gedong Meneng</v>
      </c>
      <c r="D5031" s="42" t="str">
        <f>IFERROR(__xludf.DUMMYFUNCTION("""COMPUTED_VALUE"""),"Berry")</f>
        <v>Berry</v>
      </c>
      <c r="E5031" s="42" t="str">
        <f>IFERROR(__xludf.DUMMYFUNCTION("""COMPUTED_VALUE"""),"DISERAHKAN")</f>
        <v>DISERAHKAN</v>
      </c>
      <c r="F5031" s="48">
        <f>IFERROR(__xludf.DUMMYFUNCTION("""COMPUTED_VALUE"""),45845.66021646991)</f>
        <v>45845.66022</v>
      </c>
      <c r="G5031" s="42" t="str">
        <f>IFERROR(__xludf.DUMMYFUNCTION("""COMPUTED_VALUE"""),"BN Hibah")</f>
        <v>BN Hibah</v>
      </c>
      <c r="H5031" s="42">
        <f t="shared" si="1"/>
        <v>2221</v>
      </c>
    </row>
    <row r="5032" ht="22.5" customHeight="1">
      <c r="B5032" s="42" t="str">
        <f>IFERROR(__xludf.DUMMYFUNCTION("""COMPUTED_VALUE"""),"K/5/180625/1")</f>
        <v>K/5/180625/1</v>
      </c>
      <c r="C5032" s="42" t="str">
        <f>IFERROR(__xludf.DUMMYFUNCTION("""COMPUTED_VALUE"""),"M. 11030/ Gedong Meneng")</f>
        <v>M. 11030/ Gedong Meneng</v>
      </c>
      <c r="D5032" s="42" t="str">
        <f>IFERROR(__xludf.DUMMYFUNCTION("""COMPUTED_VALUE"""),"Berry")</f>
        <v>Berry</v>
      </c>
      <c r="E5032" s="42" t="str">
        <f>IFERROR(__xludf.DUMMYFUNCTION("""COMPUTED_VALUE"""),"DISERAHKAN")</f>
        <v>DISERAHKAN</v>
      </c>
      <c r="F5032" s="48">
        <f>IFERROR(__xludf.DUMMYFUNCTION("""COMPUTED_VALUE"""),45842.58751457176)</f>
        <v>45842.58751</v>
      </c>
      <c r="G5032" s="42" t="str">
        <f>IFERROR(__xludf.DUMMYFUNCTION("""COMPUTED_VALUE"""),"BN Hibah")</f>
        <v>BN Hibah</v>
      </c>
      <c r="H5032" s="42">
        <f t="shared" si="1"/>
        <v>2222</v>
      </c>
    </row>
    <row r="5033" ht="22.5" customHeight="1">
      <c r="B5033" s="42" t="str">
        <f>IFERROR(__xludf.DUMMYFUNCTION("""COMPUTED_VALUE"""),"K/8/180625/1")</f>
        <v>K/8/180625/1</v>
      </c>
      <c r="C5033" s="42" t="str">
        <f>IFERROR(__xludf.DUMMYFUNCTION("""COMPUTED_VALUE"""),"M. 1262/SUKARAME BARU")</f>
        <v>M. 1262/SUKARAME BARU</v>
      </c>
      <c r="D5033" s="42" t="str">
        <f>IFERROR(__xludf.DUMMYFUNCTION("""COMPUTED_VALUE"""),"Berry")</f>
        <v>Berry</v>
      </c>
      <c r="E5033" s="42" t="str">
        <f>IFERROR(__xludf.DUMMYFUNCTION("""COMPUTED_VALUE"""),"DISERAHKAN")</f>
        <v>DISERAHKAN</v>
      </c>
      <c r="F5033" s="48">
        <f>IFERROR(__xludf.DUMMYFUNCTION("""COMPUTED_VALUE"""),45845.71665619213)</f>
        <v>45845.71666</v>
      </c>
      <c r="G5033" s="42" t="str">
        <f>IFERROR(__xludf.DUMMYFUNCTION("""COMPUTED_VALUE"""),"BN JUAL BELI")</f>
        <v>BN JUAL BELI</v>
      </c>
      <c r="H5033" s="42">
        <f t="shared" si="1"/>
        <v>2223</v>
      </c>
    </row>
    <row r="5034" ht="22.5" customHeight="1">
      <c r="B5034" s="42" t="str">
        <f>IFERROR(__xludf.DUMMYFUNCTION("""COMPUTED_VALUE"""),"K/7/180625/1")</f>
        <v>K/7/180625/1</v>
      </c>
      <c r="C5034" s="42" t="str">
        <f>IFERROR(__xludf.DUMMYFUNCTION("""COMPUTED_VALUE"""),"M. 2507/ Pinang Jaya")</f>
        <v>M. 2507/ Pinang Jaya</v>
      </c>
      <c r="D5034" s="42" t="str">
        <f>IFERROR(__xludf.DUMMYFUNCTION("""COMPUTED_VALUE"""),"Berry")</f>
        <v>Berry</v>
      </c>
      <c r="E5034" s="42" t="str">
        <f>IFERROR(__xludf.DUMMYFUNCTION("""COMPUTED_VALUE"""),"DISERAHKAN")</f>
        <v>DISERAHKAN</v>
      </c>
      <c r="F5034" s="48">
        <f>IFERROR(__xludf.DUMMYFUNCTION("""COMPUTED_VALUE"""),45852.63472931713)</f>
        <v>45852.63473</v>
      </c>
      <c r="G5034" s="42" t="str">
        <f>IFERROR(__xludf.DUMMYFUNCTION("""COMPUTED_VALUE"""),"BN JUAL BELI")</f>
        <v>BN JUAL BELI</v>
      </c>
      <c r="H5034" s="42">
        <f t="shared" si="1"/>
        <v>2224</v>
      </c>
    </row>
    <row r="5035" ht="22.5" customHeight="1">
      <c r="B5035" s="42" t="str">
        <f>IFERROR(__xludf.DUMMYFUNCTION("""COMPUTED_VALUE"""),"L/13/180625/1")</f>
        <v>L/13/180625/1</v>
      </c>
      <c r="C5035" s="42" t="str">
        <f>IFERROR(__xludf.DUMMYFUNCTION("""COMPUTED_VALUE"""),"HGB 850/PWK")</f>
        <v>HGB 850/PWK</v>
      </c>
      <c r="D5035" s="42" t="str">
        <f>IFERROR(__xludf.DUMMYFUNCTION("""COMPUTED_VALUE"""),"Berry")</f>
        <v>Berry</v>
      </c>
      <c r="E5035" s="42" t="str">
        <f>IFERROR(__xludf.DUMMYFUNCTION("""COMPUTED_VALUE"""),"DISERAHKAN")</f>
        <v>DISERAHKAN</v>
      </c>
      <c r="F5035" s="48">
        <f>IFERROR(__xludf.DUMMYFUNCTION("""COMPUTED_VALUE"""),45840.572253356484)</f>
        <v>45840.57225</v>
      </c>
      <c r="G5035" s="42" t="str">
        <f>IFERROR(__xludf.DUMMYFUNCTION("""COMPUTED_VALUE"""),"PH")</f>
        <v>PH</v>
      </c>
      <c r="H5035" s="42">
        <f t="shared" si="1"/>
        <v>2225</v>
      </c>
    </row>
    <row r="5036" ht="22.5" customHeight="1">
      <c r="B5036" s="42" t="str">
        <f>IFERROR(__xludf.DUMMYFUNCTION("""COMPUTED_VALUE"""),"K/11/180625/1")</f>
        <v>K/11/180625/1</v>
      </c>
      <c r="C5036" s="42" t="str">
        <f>IFERROR(__xludf.DUMMYFUNCTION("""COMPUTED_VALUE"""),"NIBEL B. 16241/SUMUR PUTRI")</f>
        <v>NIBEL B. 16241/SUMUR PUTRI</v>
      </c>
      <c r="D5036" s="42"/>
      <c r="E5036" s="42"/>
      <c r="F5036" s="48" t="str">
        <f>IFERROR(__xludf.DUMMYFUNCTION("""COMPUTED_VALUE"""),"")</f>
        <v/>
      </c>
      <c r="G5036" s="42" t="str">
        <f>IFERROR(__xludf.DUMMYFUNCTION("""COMPUTED_VALUE"""),"BN JUAL BELI")</f>
        <v>BN JUAL BELI</v>
      </c>
      <c r="H5036" s="42">
        <f t="shared" si="1"/>
        <v>2225</v>
      </c>
    </row>
    <row r="5037" ht="22.5" customHeight="1">
      <c r="B5037" s="42" t="str">
        <f>IFERROR(__xludf.DUMMYFUNCTION("""COMPUTED_VALUE"""),"L/14/180625/1")</f>
        <v>L/14/180625/1</v>
      </c>
      <c r="C5037" s="42" t="str">
        <f>IFERROR(__xludf.DUMMYFUNCTION("""COMPUTED_VALUE"""),"HGB 766/BAKUNG")</f>
        <v>HGB 766/BAKUNG</v>
      </c>
      <c r="D5037" s="42" t="str">
        <f>IFERROR(__xludf.DUMMYFUNCTION("""COMPUTED_VALUE"""),"David")</f>
        <v>David</v>
      </c>
      <c r="E5037" s="42" t="str">
        <f>IFERROR(__xludf.DUMMYFUNCTION("""COMPUTED_VALUE"""),"DISERAHKAN")</f>
        <v>DISERAHKAN</v>
      </c>
      <c r="F5037" s="48">
        <f>IFERROR(__xludf.DUMMYFUNCTION("""COMPUTED_VALUE"""),45847.65794447917)</f>
        <v>45847.65794</v>
      </c>
      <c r="G5037" s="42" t="str">
        <f>IFERROR(__xludf.DUMMYFUNCTION("""COMPUTED_VALUE"""),"ROYA")</f>
        <v>ROYA</v>
      </c>
      <c r="H5037" s="42">
        <f t="shared" si="1"/>
        <v>2226</v>
      </c>
    </row>
    <row r="5038" ht="22.5" customHeight="1">
      <c r="B5038" s="42" t="str">
        <f>IFERROR(__xludf.DUMMYFUNCTION("""COMPUTED_VALUE"""),"K/12/180625/2")</f>
        <v>K/12/180625/2</v>
      </c>
      <c r="C5038" s="42" t="str">
        <f>IFERROR(__xludf.DUMMYFUNCTION("""COMPUTED_VALUE"""),"NIBEL B. 21020/SUMUR PUTRI")</f>
        <v>NIBEL B. 21020/SUMUR PUTRI</v>
      </c>
      <c r="D5038" s="42"/>
      <c r="E5038" s="42"/>
      <c r="F5038" s="48" t="str">
        <f>IFERROR(__xludf.DUMMYFUNCTION("""COMPUTED_VALUE"""),"")</f>
        <v/>
      </c>
      <c r="G5038" s="42" t="str">
        <f>IFERROR(__xludf.DUMMYFUNCTION("""COMPUTED_VALUE"""),"PENINGKATAN HAK")</f>
        <v>PENINGKATAN HAK</v>
      </c>
      <c r="H5038" s="42">
        <f t="shared" si="1"/>
        <v>2226</v>
      </c>
    </row>
    <row r="5039" ht="22.5" customHeight="1">
      <c r="B5039" s="42" t="str">
        <f>IFERROR(__xludf.DUMMYFUNCTION("""COMPUTED_VALUE"""),"L/15/180625/1")</f>
        <v>L/15/180625/1</v>
      </c>
      <c r="C5039" s="42" t="str">
        <f>IFERROR(__xludf.DUMMYFUNCTION("""COMPUTED_VALUE"""),"HGB 218/LANGKAPURA")</f>
        <v>HGB 218/LANGKAPURA</v>
      </c>
      <c r="D5039" s="42" t="str">
        <f>IFERROR(__xludf.DUMMYFUNCTION("""COMPUTED_VALUE"""),"David")</f>
        <v>David</v>
      </c>
      <c r="E5039" s="42" t="str">
        <f>IFERROR(__xludf.DUMMYFUNCTION("""COMPUTED_VALUE"""),"DISERAHKAN")</f>
        <v>DISERAHKAN</v>
      </c>
      <c r="F5039" s="48">
        <f>IFERROR(__xludf.DUMMYFUNCTION("""COMPUTED_VALUE"""),45849.46799302084)</f>
        <v>45849.46799</v>
      </c>
      <c r="G5039" s="42" t="str">
        <f>IFERROR(__xludf.DUMMYFUNCTION("""COMPUTED_VALUE"""),"ROYA")</f>
        <v>ROYA</v>
      </c>
      <c r="H5039" s="42">
        <f t="shared" si="1"/>
        <v>2227</v>
      </c>
    </row>
    <row r="5040" ht="22.5" customHeight="1">
      <c r="B5040" s="42" t="str">
        <f>IFERROR(__xludf.DUMMYFUNCTION("""COMPUTED_VALUE"""),"K/16/180625/1")</f>
        <v>K/16/180625/1</v>
      </c>
      <c r="C5040" s="42" t="str">
        <f>IFERROR(__xludf.DUMMYFUNCTION("""COMPUTED_VALUE"""),"M. 1834/ Negeri Olok Gading")</f>
        <v>M. 1834/ Negeri Olok Gading</v>
      </c>
      <c r="D5040" s="42"/>
      <c r="E5040" s="42"/>
      <c r="F5040" s="48" t="str">
        <f>IFERROR(__xludf.DUMMYFUNCTION("""COMPUTED_VALUE"""),"")</f>
        <v/>
      </c>
      <c r="G5040" s="42" t="str">
        <f>IFERROR(__xludf.DUMMYFUNCTION("""COMPUTED_VALUE"""),"HAPUS BPHTB")</f>
        <v>HAPUS BPHTB</v>
      </c>
      <c r="H5040" s="42">
        <f t="shared" si="1"/>
        <v>2227</v>
      </c>
    </row>
    <row r="5041" ht="22.5" customHeight="1">
      <c r="B5041" s="42" t="str">
        <f>IFERROR(__xludf.DUMMYFUNCTION("""COMPUTED_VALUE"""),"K/18/180625/1")</f>
        <v>K/18/180625/1</v>
      </c>
      <c r="C5041" s="42" t="str">
        <f>IFERROR(__xludf.DUMMYFUNCTION("""COMPUTED_VALUE"""),"M. 1637/RAJABASA PEMUKA")</f>
        <v>M. 1637/RAJABASA PEMUKA</v>
      </c>
      <c r="D5041" s="42" t="str">
        <f>IFERROR(__xludf.DUMMYFUNCTION("""COMPUTED_VALUE"""),"Berry")</f>
        <v>Berry</v>
      </c>
      <c r="E5041" s="42" t="str">
        <f>IFERROR(__xludf.DUMMYFUNCTION("""COMPUTED_VALUE"""),"DISERAHKAN")</f>
        <v>DISERAHKAN</v>
      </c>
      <c r="F5041" s="48">
        <f>IFERROR(__xludf.DUMMYFUNCTION("""COMPUTED_VALUE"""),45845.713047812504)</f>
        <v>45845.71305</v>
      </c>
      <c r="G5041" s="42" t="str">
        <f>IFERROR(__xludf.DUMMYFUNCTION("""COMPUTED_VALUE"""),"BN JUAL BELI")</f>
        <v>BN JUAL BELI</v>
      </c>
      <c r="H5041" s="42">
        <f t="shared" si="1"/>
        <v>2228</v>
      </c>
    </row>
    <row r="5042" ht="22.5" customHeight="1">
      <c r="B5042" s="42" t="str">
        <f>IFERROR(__xludf.DUMMYFUNCTION("""COMPUTED_VALUE"""),"K/10/180625/1")</f>
        <v>K/10/180625/1</v>
      </c>
      <c r="C5042" s="42" t="str">
        <f>IFERROR(__xludf.DUMMYFUNCTION("""COMPUTED_VALUE"""),"M. 1516/ Batu Putuk")</f>
        <v>M. 1516/ Batu Putuk</v>
      </c>
      <c r="D5042" s="42" t="str">
        <f>IFERROR(__xludf.DUMMYFUNCTION("""COMPUTED_VALUE"""),"Berry")</f>
        <v>Berry</v>
      </c>
      <c r="E5042" s="42" t="str">
        <f>IFERROR(__xludf.DUMMYFUNCTION("""COMPUTED_VALUE"""),"DISERAHKAN")</f>
        <v>DISERAHKAN</v>
      </c>
      <c r="F5042" s="48">
        <f>IFERROR(__xludf.DUMMYFUNCTION("""COMPUTED_VALUE"""),45867.715762685184)</f>
        <v>45867.71576</v>
      </c>
      <c r="G5042" s="42" t="str">
        <f>IFERROR(__xludf.DUMMYFUNCTION("""COMPUTED_VALUE"""),"BN Jual Beli")</f>
        <v>BN Jual Beli</v>
      </c>
      <c r="H5042" s="42">
        <f t="shared" si="1"/>
        <v>2229</v>
      </c>
    </row>
    <row r="5043" ht="22.5" customHeight="1">
      <c r="B5043" s="42" t="str">
        <f>IFERROR(__xludf.DUMMYFUNCTION("""COMPUTED_VALUE"""),"K/17/180625/1")</f>
        <v>K/17/180625/1</v>
      </c>
      <c r="C5043" s="42" t="str">
        <f>IFERROR(__xludf.DUMMYFUNCTION("""COMPUTED_VALUE"""),"M.906/WAY HALIM PERMAI")</f>
        <v>M.906/WAY HALIM PERMAI</v>
      </c>
      <c r="D5043" s="42"/>
      <c r="E5043" s="42"/>
      <c r="F5043" s="48" t="str">
        <f>IFERROR(__xludf.DUMMYFUNCTION("""COMPUTED_VALUE"""),"")</f>
        <v/>
      </c>
      <c r="G5043" s="42" t="str">
        <f>IFERROR(__xludf.DUMMYFUNCTION("""COMPUTED_VALUE"""),"ROYA")</f>
        <v>ROYA</v>
      </c>
      <c r="H5043" s="42">
        <f t="shared" si="1"/>
        <v>2229</v>
      </c>
    </row>
    <row r="5044" ht="22.5" customHeight="1">
      <c r="B5044" s="42" t="str">
        <f>IFERROR(__xludf.DUMMYFUNCTION("""COMPUTED_VALUE"""),"K/19/180625/2")</f>
        <v>K/19/180625/2</v>
      </c>
      <c r="C5044" s="42" t="str">
        <f>IFERROR(__xludf.DUMMYFUNCTION("""COMPUTED_VALUE"""),"M. 10532/SIDODADI")</f>
        <v>M. 10532/SIDODADI</v>
      </c>
      <c r="D5044" s="42" t="str">
        <f>IFERROR(__xludf.DUMMYFUNCTION("""COMPUTED_VALUE"""),"Berry")</f>
        <v>Berry</v>
      </c>
      <c r="E5044" s="42" t="str">
        <f>IFERROR(__xludf.DUMMYFUNCTION("""COMPUTED_VALUE"""),"DISERAHKAN")</f>
        <v>DISERAHKAN</v>
      </c>
      <c r="F5044" s="48">
        <f>IFERROR(__xludf.DUMMYFUNCTION("""COMPUTED_VALUE"""),45845.7168721875)</f>
        <v>45845.71687</v>
      </c>
      <c r="G5044" s="42" t="str">
        <f>IFERROR(__xludf.DUMMYFUNCTION("""COMPUTED_VALUE"""),"BN JUAL BELI")</f>
        <v>BN JUAL BELI</v>
      </c>
      <c r="H5044" s="42">
        <f t="shared" si="1"/>
        <v>2230</v>
      </c>
    </row>
    <row r="5045" ht="22.5" customHeight="1">
      <c r="B5045" s="42" t="str">
        <f>IFERROR(__xludf.DUMMYFUNCTION("""COMPUTED_VALUE"""),"K/20/180625/3")</f>
        <v>K/20/180625/3</v>
      </c>
      <c r="C5045" s="42" t="str">
        <f>IFERROR(__xludf.DUMMYFUNCTION("""COMPUTED_VALUE"""),"NIBEL M. 1493/GEDONG AIR")</f>
        <v>NIBEL M. 1493/GEDONG AIR</v>
      </c>
      <c r="D5045" s="42"/>
      <c r="E5045" s="42"/>
      <c r="F5045" s="48" t="str">
        <f>IFERROR(__xludf.DUMMYFUNCTION("""COMPUTED_VALUE"""),"")</f>
        <v/>
      </c>
      <c r="G5045" s="42" t="str">
        <f>IFERROR(__xludf.DUMMYFUNCTION("""COMPUTED_VALUE"""),"BN JUAL BELI")</f>
        <v>BN JUAL BELI</v>
      </c>
      <c r="H5045" s="42">
        <f t="shared" si="1"/>
        <v>2230</v>
      </c>
    </row>
    <row r="5046" ht="22.5" customHeight="1">
      <c r="B5046" s="42" t="str">
        <f>IFERROR(__xludf.DUMMYFUNCTION("""COMPUTED_VALUE"""),"K/9/180625/1")</f>
        <v>K/9/180625/1</v>
      </c>
      <c r="C5046" s="42" t="str">
        <f>IFERROR(__xludf.DUMMYFUNCTION("""COMPUTED_VALUE"""),"M. 1919/ Batu Putuk")</f>
        <v>M. 1919/ Batu Putuk</v>
      </c>
      <c r="D5046" s="42" t="str">
        <f>IFERROR(__xludf.DUMMYFUNCTION("""COMPUTED_VALUE"""),"David")</f>
        <v>David</v>
      </c>
      <c r="E5046" s="42" t="str">
        <f>IFERROR(__xludf.DUMMYFUNCTION("""COMPUTED_VALUE"""),"DISERAHKAN")</f>
        <v>DISERAHKAN</v>
      </c>
      <c r="F5046" s="48">
        <f>IFERROR(__xludf.DUMMYFUNCTION("""COMPUTED_VALUE"""),45849.46177376158)</f>
        <v>45849.46177</v>
      </c>
      <c r="G5046" s="42" t="str">
        <f>IFERROR(__xludf.DUMMYFUNCTION("""COMPUTED_VALUE"""),"BN Jual Beli")</f>
        <v>BN Jual Beli</v>
      </c>
      <c r="H5046" s="42">
        <f t="shared" si="1"/>
        <v>2231</v>
      </c>
    </row>
    <row r="5047" ht="22.5" customHeight="1">
      <c r="B5047" s="42" t="str">
        <f>IFERROR(__xludf.DUMMYFUNCTION("""COMPUTED_VALUE"""),"K/21/180625/4")</f>
        <v>K/21/180625/4</v>
      </c>
      <c r="C5047" s="42" t="str">
        <f>IFERROR(__xludf.DUMMYFUNCTION("""COMPUTED_VALUE"""),"NIBEL M. 1494/GEDONG AIR")</f>
        <v>NIBEL M. 1494/GEDONG AIR</v>
      </c>
      <c r="D5047" s="42"/>
      <c r="E5047" s="42"/>
      <c r="F5047" s="48" t="str">
        <f>IFERROR(__xludf.DUMMYFUNCTION("""COMPUTED_VALUE"""),"")</f>
        <v/>
      </c>
      <c r="G5047" s="42" t="str">
        <f>IFERROR(__xludf.DUMMYFUNCTION("""COMPUTED_VALUE"""),"BN JUAL BELI")</f>
        <v>BN JUAL BELI</v>
      </c>
      <c r="H5047" s="42">
        <f t="shared" si="1"/>
        <v>2231</v>
      </c>
    </row>
    <row r="5048" ht="22.5" customHeight="1">
      <c r="B5048" s="42" t="str">
        <f>IFERROR(__xludf.DUMMYFUNCTION("""COMPUTED_VALUE"""),"K/24/180625/1")</f>
        <v>K/24/180625/1</v>
      </c>
      <c r="C5048" s="42" t="str">
        <f>IFERROR(__xludf.DUMMYFUNCTION("""COMPUTED_VALUE"""),"M. 1995/ Jagabaya III")</f>
        <v>M. 1995/ Jagabaya III</v>
      </c>
      <c r="D5048" s="42" t="str">
        <f>IFERROR(__xludf.DUMMYFUNCTION("""COMPUTED_VALUE"""),"Berry")</f>
        <v>Berry</v>
      </c>
      <c r="E5048" s="42" t="str">
        <f>IFERROR(__xludf.DUMMYFUNCTION("""COMPUTED_VALUE"""),"DISERAHKAN")</f>
        <v>DISERAHKAN</v>
      </c>
      <c r="F5048" s="48">
        <f>IFERROR(__xludf.DUMMYFUNCTION("""COMPUTED_VALUE"""),45849.49728697917)</f>
        <v>45849.49729</v>
      </c>
      <c r="G5048" s="42" t="str">
        <f>IFERROR(__xludf.DUMMYFUNCTION("""COMPUTED_VALUE"""),"BN Hibah")</f>
        <v>BN Hibah</v>
      </c>
      <c r="H5048" s="42">
        <f t="shared" si="1"/>
        <v>2232</v>
      </c>
    </row>
    <row r="5049" ht="22.5" customHeight="1">
      <c r="B5049" s="42" t="str">
        <f>IFERROR(__xludf.DUMMYFUNCTION("""COMPUTED_VALUE"""),"K/22/180625/1")</f>
        <v>K/22/180625/1</v>
      </c>
      <c r="C5049" s="42" t="str">
        <f>IFERROR(__xludf.DUMMYFUNCTION("""COMPUTED_VALUE"""),"M.1609/KUPANG KOTA")</f>
        <v>M.1609/KUPANG KOTA</v>
      </c>
      <c r="D5049" s="42" t="str">
        <f>IFERROR(__xludf.DUMMYFUNCTION("""COMPUTED_VALUE"""),"David")</f>
        <v>David</v>
      </c>
      <c r="E5049" s="42" t="str">
        <f>IFERROR(__xludf.DUMMYFUNCTION("""COMPUTED_VALUE"""),"DISERAHKAN")</f>
        <v>DISERAHKAN</v>
      </c>
      <c r="F5049" s="48">
        <f>IFERROR(__xludf.DUMMYFUNCTION("""COMPUTED_VALUE"""),45848.61801604167)</f>
        <v>45848.61802</v>
      </c>
      <c r="G5049" s="42" t="str">
        <f>IFERROR(__xludf.DUMMYFUNCTION("""COMPUTED_VALUE"""),"KEWARISAN")</f>
        <v>KEWARISAN</v>
      </c>
      <c r="H5049" s="42">
        <f t="shared" si="1"/>
        <v>2233</v>
      </c>
    </row>
    <row r="5050" ht="22.5" customHeight="1">
      <c r="B5050" s="42" t="str">
        <f>IFERROR(__xludf.DUMMYFUNCTION("""COMPUTED_VALUE"""),"K/23/180625/1")</f>
        <v>K/23/180625/1</v>
      </c>
      <c r="C5050" s="42" t="str">
        <f>IFERROR(__xludf.DUMMYFUNCTION("""COMPUTED_VALUE"""),"M. 78/ Ketapang Kuala")</f>
        <v>M. 78/ Ketapang Kuala</v>
      </c>
      <c r="D5050" s="42" t="str">
        <f>IFERROR(__xludf.DUMMYFUNCTION("""COMPUTED_VALUE"""),"Berry")</f>
        <v>Berry</v>
      </c>
      <c r="E5050" s="42" t="str">
        <f>IFERROR(__xludf.DUMMYFUNCTION("""COMPUTED_VALUE"""),"DISERAHKAN")</f>
        <v>DISERAHKAN</v>
      </c>
      <c r="F5050" s="48">
        <f>IFERROR(__xludf.DUMMYFUNCTION("""COMPUTED_VALUE"""),45860.6629994213)</f>
        <v>45860.663</v>
      </c>
      <c r="G5050" s="42" t="str">
        <f>IFERROR(__xludf.DUMMYFUNCTION("""COMPUTED_VALUE"""),"BN JUAL BELI")</f>
        <v>BN JUAL BELI</v>
      </c>
      <c r="H5050" s="42">
        <f t="shared" si="1"/>
        <v>2234</v>
      </c>
    </row>
    <row r="5051" ht="22.5" customHeight="1">
      <c r="B5051" s="42" t="str">
        <f>IFERROR(__xludf.DUMMYFUNCTION("""COMPUTED_VALUE"""),"K/26/180625/1")</f>
        <v>K/26/180625/1</v>
      </c>
      <c r="C5051" s="42" t="str">
        <f>IFERROR(__xludf.DUMMYFUNCTION("""COMPUTED_VALUE"""),"B. 30/ Sidodadi")</f>
        <v>B. 30/ Sidodadi</v>
      </c>
      <c r="D5051" s="42" t="str">
        <f>IFERROR(__xludf.DUMMYFUNCTION("""COMPUTED_VALUE"""),"David")</f>
        <v>David</v>
      </c>
      <c r="E5051" s="42" t="str">
        <f>IFERROR(__xludf.DUMMYFUNCTION("""COMPUTED_VALUE"""),"DISERAHKAN")</f>
        <v>DISERAHKAN</v>
      </c>
      <c r="F5051" s="48">
        <f>IFERROR(__xludf.DUMMYFUNCTION("""COMPUTED_VALUE"""),45847.665188900464)</f>
        <v>45847.66519</v>
      </c>
      <c r="G5051" s="42" t="str">
        <f>IFERROR(__xludf.DUMMYFUNCTION("""COMPUTED_VALUE"""),"Roya")</f>
        <v>Roya</v>
      </c>
      <c r="H5051" s="42">
        <f t="shared" si="1"/>
        <v>2235</v>
      </c>
    </row>
    <row r="5052" ht="22.5" customHeight="1">
      <c r="B5052" s="42" t="str">
        <f>IFERROR(__xludf.DUMMYFUNCTION("""COMPUTED_VALUE"""),"L/27/180625/1")</f>
        <v>L/27/180625/1</v>
      </c>
      <c r="C5052" s="42" t="str">
        <f>IFERROR(__xludf.DUMMYFUNCTION("""COMPUTED_VALUE"""),"HM 11980/SUKARAME")</f>
        <v>HM 11980/SUKARAME</v>
      </c>
      <c r="D5052" s="42" t="str">
        <f>IFERROR(__xludf.DUMMYFUNCTION("""COMPUTED_VALUE"""),"David")</f>
        <v>David</v>
      </c>
      <c r="E5052" s="42" t="str">
        <f>IFERROR(__xludf.DUMMYFUNCTION("""COMPUTED_VALUE"""),"DISERAHKAN")</f>
        <v>DISERAHKAN</v>
      </c>
      <c r="F5052" s="48">
        <f>IFERROR(__xludf.DUMMYFUNCTION("""COMPUTED_VALUE"""),45849.65587165509)</f>
        <v>45849.65587</v>
      </c>
      <c r="G5052" s="42" t="str">
        <f>IFERROR(__xludf.DUMMYFUNCTION("""COMPUTED_VALUE"""),"ROYA")</f>
        <v>ROYA</v>
      </c>
      <c r="H5052" s="42">
        <f t="shared" si="1"/>
        <v>2236</v>
      </c>
    </row>
    <row r="5053" ht="22.5" customHeight="1">
      <c r="B5053" s="42" t="str">
        <f>IFERROR(__xludf.DUMMYFUNCTION("""COMPUTED_VALUE"""),"K/28/180625/1")</f>
        <v>K/28/180625/1</v>
      </c>
      <c r="C5053" s="42" t="str">
        <f>IFERROR(__xludf.DUMMYFUNCTION("""COMPUTED_VALUE"""),"M. 3405/ Beringin Jaya")</f>
        <v>M. 3405/ Beringin Jaya</v>
      </c>
      <c r="D5053" s="42" t="str">
        <f>IFERROR(__xludf.DUMMYFUNCTION("""COMPUTED_VALUE"""),"Berry")</f>
        <v>Berry</v>
      </c>
      <c r="E5053" s="42" t="str">
        <f>IFERROR(__xludf.DUMMYFUNCTION("""COMPUTED_VALUE"""),"DISERAHKAN")</f>
        <v>DISERAHKAN</v>
      </c>
      <c r="F5053" s="48">
        <f>IFERROR(__xludf.DUMMYFUNCTION("""COMPUTED_VALUE"""),45845.673747256944)</f>
        <v>45845.67375</v>
      </c>
      <c r="G5053" s="42" t="str">
        <f>IFERROR(__xludf.DUMMYFUNCTION("""COMPUTED_VALUE"""),"BN Jual Beli")</f>
        <v>BN Jual Beli</v>
      </c>
      <c r="H5053" s="42">
        <f t="shared" si="1"/>
        <v>2237</v>
      </c>
    </row>
    <row r="5054" ht="22.5" customHeight="1">
      <c r="B5054" s="42" t="str">
        <f>IFERROR(__xludf.DUMMYFUNCTION("""COMPUTED_VALUE"""),"K/25/180625/1")</f>
        <v>K/25/180625/1</v>
      </c>
      <c r="C5054" s="42" t="str">
        <f>IFERROR(__xludf.DUMMYFUNCTION("""COMPUTED_VALUE"""),"NIBEL B22316/GEDONG MENENG")</f>
        <v>NIBEL B22316/GEDONG MENENG</v>
      </c>
      <c r="D5054" s="42"/>
      <c r="E5054" s="42"/>
      <c r="F5054" s="48" t="str">
        <f>IFERROR(__xludf.DUMMYFUNCTION("""COMPUTED_VALUE"""),"")</f>
        <v/>
      </c>
      <c r="G5054" s="42" t="str">
        <f>IFERROR(__xludf.DUMMYFUNCTION("""COMPUTED_VALUE"""),"PENINGKATAN HAK")</f>
        <v>PENINGKATAN HAK</v>
      </c>
      <c r="H5054" s="42">
        <f t="shared" si="1"/>
        <v>2237</v>
      </c>
    </row>
    <row r="5055" ht="22.5" customHeight="1">
      <c r="B5055" s="42" t="str">
        <f>IFERROR(__xludf.DUMMYFUNCTION("""COMPUTED_VALUE"""),"K/29/180625/1")</f>
        <v>K/29/180625/1</v>
      </c>
      <c r="C5055" s="42" t="str">
        <f>IFERROR(__xludf.DUMMYFUNCTION("""COMPUTED_VALUE"""),"M. 1326/ Pengajaran")</f>
        <v>M. 1326/ Pengajaran</v>
      </c>
      <c r="D5055" s="42"/>
      <c r="E5055" s="42"/>
      <c r="F5055" s="48" t="str">
        <f>IFERROR(__xludf.DUMMYFUNCTION("""COMPUTED_VALUE"""),"")</f>
        <v/>
      </c>
      <c r="G5055" s="42" t="str">
        <f>IFERROR(__xludf.DUMMYFUNCTION("""COMPUTED_VALUE"""),"BN Waris")</f>
        <v>BN Waris</v>
      </c>
      <c r="H5055" s="42">
        <f t="shared" si="1"/>
        <v>2237</v>
      </c>
    </row>
    <row r="5056" ht="22.5" customHeight="1">
      <c r="B5056" s="42" t="str">
        <f>IFERROR(__xludf.DUMMYFUNCTION("""COMPUTED_VALUE"""),"K/31/180625/1")</f>
        <v>K/31/180625/1</v>
      </c>
      <c r="C5056" s="42" t="str">
        <f>IFERROR(__xludf.DUMMYFUNCTION("""COMPUTED_VALUE"""),"B. 5641/ Beringin Raya")</f>
        <v>B. 5641/ Beringin Raya</v>
      </c>
      <c r="D5056" s="42"/>
      <c r="E5056" s="42"/>
      <c r="F5056" s="48" t="str">
        <f>IFERROR(__xludf.DUMMYFUNCTION("""COMPUTED_VALUE"""),"")</f>
        <v/>
      </c>
      <c r="G5056" s="42" t="str">
        <f>IFERROR(__xludf.DUMMYFUNCTION("""COMPUTED_VALUE"""),"PERUBAHAN HAK")</f>
        <v>PERUBAHAN HAK</v>
      </c>
      <c r="H5056" s="42">
        <f t="shared" si="1"/>
        <v>2237</v>
      </c>
    </row>
    <row r="5057" ht="22.5" customHeight="1">
      <c r="B5057" s="42" t="str">
        <f>IFERROR(__xludf.DUMMYFUNCTION("""COMPUTED_VALUE"""),"K/32/180625/2")</f>
        <v>K/32/180625/2</v>
      </c>
      <c r="C5057" s="42" t="str">
        <f>IFERROR(__xludf.DUMMYFUNCTION("""COMPUTED_VALUE"""),"M. 2392/ Campang Jaya")</f>
        <v>M. 2392/ Campang Jaya</v>
      </c>
      <c r="D5057" s="42" t="str">
        <f>IFERROR(__xludf.DUMMYFUNCTION("""COMPUTED_VALUE"""),"Berry")</f>
        <v>Berry</v>
      </c>
      <c r="E5057" s="42" t="str">
        <f>IFERROR(__xludf.DUMMYFUNCTION("""COMPUTED_VALUE"""),"DISERAHKAN")</f>
        <v>DISERAHKAN</v>
      </c>
      <c r="F5057" s="48">
        <f>IFERROR(__xludf.DUMMYFUNCTION("""COMPUTED_VALUE"""),45838.65998237269)</f>
        <v>45838.65998</v>
      </c>
      <c r="G5057" s="42" t="str">
        <f>IFERROR(__xludf.DUMMYFUNCTION("""COMPUTED_VALUE"""),"BN PENETAPAN/ PUTUSAN")</f>
        <v>BN PENETAPAN/ PUTUSAN</v>
      </c>
      <c r="H5057" s="42">
        <f t="shared" si="1"/>
        <v>2238</v>
      </c>
    </row>
    <row r="5058" ht="22.5" customHeight="1">
      <c r="B5058" s="42" t="str">
        <f>IFERROR(__xludf.DUMMYFUNCTION("""COMPUTED_VALUE"""),"K/30/180625/1")</f>
        <v>K/30/180625/1</v>
      </c>
      <c r="C5058" s="42" t="str">
        <f>IFERROR(__xludf.DUMMYFUNCTION("""COMPUTED_VALUE"""),"NIBEL M 19069/RAJABASA JAYA")</f>
        <v>NIBEL M 19069/RAJABASA JAYA</v>
      </c>
      <c r="D5058" s="42"/>
      <c r="E5058" s="42"/>
      <c r="F5058" s="48" t="str">
        <f>IFERROR(__xludf.DUMMYFUNCTION("""COMPUTED_VALUE"""),"")</f>
        <v/>
      </c>
      <c r="G5058" s="42" t="str">
        <f>IFERROR(__xludf.DUMMYFUNCTION("""COMPUTED_VALUE"""),"JUAL BELI")</f>
        <v>JUAL BELI</v>
      </c>
      <c r="H5058" s="42">
        <f t="shared" si="1"/>
        <v>2238</v>
      </c>
    </row>
    <row r="5059" ht="22.5" customHeight="1">
      <c r="B5059" s="42" t="str">
        <f>IFERROR(__xludf.DUMMYFUNCTION("""COMPUTED_VALUE"""),"K/33/180625/1")</f>
        <v>K/33/180625/1</v>
      </c>
      <c r="C5059" s="42" t="str">
        <f>IFERROR(__xludf.DUMMYFUNCTION("""COMPUTED_VALUE"""),"M.6392/WAY KANDIS")</f>
        <v>M.6392/WAY KANDIS</v>
      </c>
      <c r="D5059" s="42" t="str">
        <f>IFERROR(__xludf.DUMMYFUNCTION("""COMPUTED_VALUE"""),"David")</f>
        <v>David</v>
      </c>
      <c r="E5059" s="42" t="str">
        <f>IFERROR(__xludf.DUMMYFUNCTION("""COMPUTED_VALUE"""),"DISERAHKAN")</f>
        <v>DISERAHKAN</v>
      </c>
      <c r="F5059" s="48">
        <f>IFERROR(__xludf.DUMMYFUNCTION("""COMPUTED_VALUE"""),45848.617522835644)</f>
        <v>45848.61752</v>
      </c>
      <c r="G5059" s="42" t="str">
        <f>IFERROR(__xludf.DUMMYFUNCTION("""COMPUTED_VALUE"""),"JUAL BELI")</f>
        <v>JUAL BELI</v>
      </c>
      <c r="H5059" s="42">
        <f t="shared" si="1"/>
        <v>2239</v>
      </c>
    </row>
    <row r="5060" ht="22.5" customHeight="1">
      <c r="B5060" s="42" t="str">
        <f>IFERROR(__xludf.DUMMYFUNCTION("""COMPUTED_VALUE"""),"K/34/180625/2")</f>
        <v>K/34/180625/2</v>
      </c>
      <c r="C5060" s="42" t="str">
        <f>IFERROR(__xludf.DUMMYFUNCTION("""COMPUTED_VALUE"""),"M.6471/WAY KANDIS")</f>
        <v>M.6471/WAY KANDIS</v>
      </c>
      <c r="D5060" s="42" t="str">
        <f>IFERROR(__xludf.DUMMYFUNCTION("""COMPUTED_VALUE"""),"Berry")</f>
        <v>Berry</v>
      </c>
      <c r="E5060" s="42" t="str">
        <f>IFERROR(__xludf.DUMMYFUNCTION("""COMPUTED_VALUE"""),"DISERAHKAN")</f>
        <v>DISERAHKAN</v>
      </c>
      <c r="F5060" s="48">
        <f>IFERROR(__xludf.DUMMYFUNCTION("""COMPUTED_VALUE"""),45845.70673453704)</f>
        <v>45845.70673</v>
      </c>
      <c r="G5060" s="42" t="str">
        <f>IFERROR(__xludf.DUMMYFUNCTION("""COMPUTED_VALUE"""),"JUAL BELI")</f>
        <v>JUAL BELI</v>
      </c>
      <c r="H5060" s="42">
        <f t="shared" si="1"/>
        <v>2240</v>
      </c>
    </row>
    <row r="5061" ht="22.5" customHeight="1">
      <c r="B5061" s="42" t="str">
        <f>IFERROR(__xludf.DUMMYFUNCTION("""COMPUTED_VALUE"""),"K/36/180625/1")</f>
        <v>K/36/180625/1</v>
      </c>
      <c r="C5061" s="42" t="str">
        <f>IFERROR(__xludf.DUMMYFUNCTION("""COMPUTED_VALUE"""),"M. 1128/ Keteguhan")</f>
        <v>M. 1128/ Keteguhan</v>
      </c>
      <c r="D5061" s="42" t="str">
        <f>IFERROR(__xludf.DUMMYFUNCTION("""COMPUTED_VALUE"""),"Berry")</f>
        <v>Berry</v>
      </c>
      <c r="E5061" s="42" t="str">
        <f>IFERROR(__xludf.DUMMYFUNCTION("""COMPUTED_VALUE"""),"DISERAHKAN")</f>
        <v>DISERAHKAN</v>
      </c>
      <c r="F5061" s="48">
        <f>IFERROR(__xludf.DUMMYFUNCTION("""COMPUTED_VALUE"""),45852.6265458912)</f>
        <v>45852.62655</v>
      </c>
      <c r="G5061" s="42" t="str">
        <f>IFERROR(__xludf.DUMMYFUNCTION("""COMPUTED_VALUE"""),"BN JUAL BELI")</f>
        <v>BN JUAL BELI</v>
      </c>
      <c r="H5061" s="42">
        <f t="shared" si="1"/>
        <v>2241</v>
      </c>
    </row>
    <row r="5062" ht="22.5" customHeight="1">
      <c r="B5062" s="42" t="str">
        <f>IFERROR(__xludf.DUMMYFUNCTION("""COMPUTED_VALUE"""),"K/37/180625/2")</f>
        <v>K/37/180625/2</v>
      </c>
      <c r="C5062" s="42" t="str">
        <f>IFERROR(__xludf.DUMMYFUNCTION("""COMPUTED_VALUE"""),"M. 4498/ Keteguhan")</f>
        <v>M. 4498/ Keteguhan</v>
      </c>
      <c r="D5062" s="42" t="str">
        <f>IFERROR(__xludf.DUMMYFUNCTION("""COMPUTED_VALUE"""),"Berry")</f>
        <v>Berry</v>
      </c>
      <c r="E5062" s="42" t="str">
        <f>IFERROR(__xludf.DUMMYFUNCTION("""COMPUTED_VALUE"""),"DISERAHKAN")</f>
        <v>DISERAHKAN</v>
      </c>
      <c r="F5062" s="48">
        <f>IFERROR(__xludf.DUMMYFUNCTION("""COMPUTED_VALUE"""),45852.62489040509)</f>
        <v>45852.62489</v>
      </c>
      <c r="G5062" s="42" t="str">
        <f>IFERROR(__xludf.DUMMYFUNCTION("""COMPUTED_VALUE"""),"BN JUAL BELI")</f>
        <v>BN JUAL BELI</v>
      </c>
      <c r="H5062" s="42">
        <f t="shared" si="1"/>
        <v>2242</v>
      </c>
    </row>
    <row r="5063" ht="22.5" customHeight="1">
      <c r="B5063" s="42" t="str">
        <f>IFERROR(__xludf.DUMMYFUNCTION("""COMPUTED_VALUE"""),"K/35/180625/3")</f>
        <v>K/35/180625/3</v>
      </c>
      <c r="C5063" s="42" t="str">
        <f>IFERROR(__xludf.DUMMYFUNCTION("""COMPUTED_VALUE"""),"M.6470/WAY KANDIS ")</f>
        <v>M.6470/WAY KANDIS </v>
      </c>
      <c r="D5063" s="42" t="str">
        <f>IFERROR(__xludf.DUMMYFUNCTION("""COMPUTED_VALUE"""),"David")</f>
        <v>David</v>
      </c>
      <c r="E5063" s="42" t="str">
        <f>IFERROR(__xludf.DUMMYFUNCTION("""COMPUTED_VALUE"""),"DISERAHKAN")</f>
        <v>DISERAHKAN</v>
      </c>
      <c r="F5063" s="48">
        <f>IFERROR(__xludf.DUMMYFUNCTION("""COMPUTED_VALUE"""),45848.61724082176)</f>
        <v>45848.61724</v>
      </c>
      <c r="G5063" s="42" t="str">
        <f>IFERROR(__xludf.DUMMYFUNCTION("""COMPUTED_VALUE"""),"JUAL BELI")</f>
        <v>JUAL BELI</v>
      </c>
      <c r="H5063" s="42">
        <f t="shared" si="1"/>
        <v>2243</v>
      </c>
    </row>
    <row r="5064" ht="22.5" customHeight="1">
      <c r="B5064" s="42" t="str">
        <f>IFERROR(__xludf.DUMMYFUNCTION("""COMPUTED_VALUE"""),"K/38/180625/1")</f>
        <v>K/38/180625/1</v>
      </c>
      <c r="C5064" s="42" t="str">
        <f>IFERROR(__xludf.DUMMYFUNCTION("""COMPUTED_VALUE"""),"M. 1638/ Rajabasa Pemuka")</f>
        <v>M. 1638/ Rajabasa Pemuka</v>
      </c>
      <c r="D5064" s="42" t="str">
        <f>IFERROR(__xludf.DUMMYFUNCTION("""COMPUTED_VALUE"""),"Berry")</f>
        <v>Berry</v>
      </c>
      <c r="E5064" s="42" t="str">
        <f>IFERROR(__xludf.DUMMYFUNCTION("""COMPUTED_VALUE"""),"DISERAHKAN")</f>
        <v>DISERAHKAN</v>
      </c>
      <c r="F5064" s="48">
        <f>IFERROR(__xludf.DUMMYFUNCTION("""COMPUTED_VALUE"""),45861.62676994213)</f>
        <v>45861.62677</v>
      </c>
      <c r="G5064" s="42" t="str">
        <f>IFERROR(__xludf.DUMMYFUNCTION("""COMPUTED_VALUE"""),"BN Jual Beli")</f>
        <v>BN Jual Beli</v>
      </c>
      <c r="H5064" s="42">
        <f t="shared" si="1"/>
        <v>2244</v>
      </c>
    </row>
    <row r="5065" ht="22.5" customHeight="1">
      <c r="B5065" s="42" t="str">
        <f>IFERROR(__xludf.DUMMYFUNCTION("""COMPUTED_VALUE"""),"K/39/180625/2")</f>
        <v>K/39/180625/2</v>
      </c>
      <c r="C5065" s="42" t="str">
        <f>IFERROR(__xludf.DUMMYFUNCTION("""COMPUTED_VALUE"""),"M. 249/ Penengahan Raya")</f>
        <v>M. 249/ Penengahan Raya</v>
      </c>
      <c r="D5065" s="42" t="str">
        <f>IFERROR(__xludf.DUMMYFUNCTION("""COMPUTED_VALUE"""),"Berry")</f>
        <v>Berry</v>
      </c>
      <c r="E5065" s="42" t="str">
        <f>IFERROR(__xludf.DUMMYFUNCTION("""COMPUTED_VALUE"""),"DISERAHKAN")</f>
        <v>DISERAHKAN</v>
      </c>
      <c r="F5065" s="48">
        <f>IFERROR(__xludf.DUMMYFUNCTION("""COMPUTED_VALUE"""),45838.65197993055)</f>
        <v>45838.65198</v>
      </c>
      <c r="G5065" s="42" t="str">
        <f>IFERROR(__xludf.DUMMYFUNCTION("""COMPUTED_VALUE"""),"BN Jual Beli")</f>
        <v>BN Jual Beli</v>
      </c>
      <c r="H5065" s="42">
        <f t="shared" si="1"/>
        <v>2245</v>
      </c>
    </row>
    <row r="5066" ht="22.5" customHeight="1">
      <c r="B5066" s="42" t="str">
        <f>IFERROR(__xludf.DUMMYFUNCTION("""COMPUTED_VALUE"""),"K/40/180625/1")</f>
        <v>K/40/180625/1</v>
      </c>
      <c r="C5066" s="42" t="str">
        <f>IFERROR(__xludf.DUMMYFUNCTION("""COMPUTED_VALUE"""),"M. 4908/WAY KANDIS")</f>
        <v>M. 4908/WAY KANDIS</v>
      </c>
      <c r="D5066" s="42" t="str">
        <f>IFERROR(__xludf.DUMMYFUNCTION("""COMPUTED_VALUE"""),"Berry")</f>
        <v>Berry</v>
      </c>
      <c r="E5066" s="42" t="str">
        <f>IFERROR(__xludf.DUMMYFUNCTION("""COMPUTED_VALUE"""),"DISERAHKAN")</f>
        <v>DISERAHKAN</v>
      </c>
      <c r="F5066" s="48">
        <f>IFERROR(__xludf.DUMMYFUNCTION("""COMPUTED_VALUE"""),45860.66822702547)</f>
        <v>45860.66823</v>
      </c>
      <c r="G5066" s="42" t="str">
        <f>IFERROR(__xludf.DUMMYFUNCTION("""COMPUTED_VALUE"""),"BN JUAL BELI")</f>
        <v>BN JUAL BELI</v>
      </c>
      <c r="H5066" s="42">
        <f t="shared" si="1"/>
        <v>2246</v>
      </c>
    </row>
    <row r="5067" ht="22.5" customHeight="1">
      <c r="B5067" s="42" t="str">
        <f>IFERROR(__xludf.DUMMYFUNCTION("""COMPUTED_VALUE"""),"K/41/180625/2")</f>
        <v>K/41/180625/2</v>
      </c>
      <c r="C5067" s="42" t="str">
        <f>IFERROR(__xludf.DUMMYFUNCTION("""COMPUTED_VALUE"""),"Nibel. B. 20355/ Sumur Putri")</f>
        <v>Nibel. B. 20355/ Sumur Putri</v>
      </c>
      <c r="D5067" s="42"/>
      <c r="E5067" s="42"/>
      <c r="F5067" s="48" t="str">
        <f>IFERROR(__xludf.DUMMYFUNCTION("""COMPUTED_VALUE"""),"")</f>
        <v/>
      </c>
      <c r="G5067" s="42" t="str">
        <f>IFERROR(__xludf.DUMMYFUNCTION("""COMPUTED_VALUE"""),"Perubahan Hak")</f>
        <v>Perubahan Hak</v>
      </c>
      <c r="H5067" s="42">
        <f t="shared" si="1"/>
        <v>2246</v>
      </c>
    </row>
    <row r="5068" ht="22.5" customHeight="1">
      <c r="B5068" s="42" t="str">
        <f>IFERROR(__xludf.DUMMYFUNCTION("""COMPUTED_VALUE"""),"K/42/180625/1")</f>
        <v>K/42/180625/1</v>
      </c>
      <c r="C5068" s="42" t="str">
        <f>IFERROR(__xludf.DUMMYFUNCTION("""COMPUTED_VALUE"""),"M.1304/KEMILING RAYA")</f>
        <v>M.1304/KEMILING RAYA</v>
      </c>
      <c r="D5068" s="42"/>
      <c r="E5068" s="42"/>
      <c r="F5068" s="48" t="str">
        <f>IFERROR(__xludf.DUMMYFUNCTION("""COMPUTED_VALUE"""),"")</f>
        <v/>
      </c>
      <c r="G5068" s="42" t="str">
        <f>IFERROR(__xludf.DUMMYFUNCTION("""COMPUTED_VALUE"""),"JUAL BELI")</f>
        <v>JUAL BELI</v>
      </c>
      <c r="H5068" s="42">
        <f t="shared" si="1"/>
        <v>2246</v>
      </c>
    </row>
    <row r="5069" ht="22.5" customHeight="1">
      <c r="B5069" s="42" t="str">
        <f>IFERROR(__xludf.DUMMYFUNCTION("""COMPUTED_VALUE"""),"K/43/180625/2")</f>
        <v>K/43/180625/2</v>
      </c>
      <c r="C5069" s="42" t="str">
        <f>IFERROR(__xludf.DUMMYFUNCTION("""COMPUTED_VALUE"""),"NIBEL M.21552/LABUHAN RATU")</f>
        <v>NIBEL M.21552/LABUHAN RATU</v>
      </c>
      <c r="D5069" s="42"/>
      <c r="E5069" s="42"/>
      <c r="F5069" s="48" t="str">
        <f>IFERROR(__xludf.DUMMYFUNCTION("""COMPUTED_VALUE"""),"")</f>
        <v/>
      </c>
      <c r="G5069" s="42" t="str">
        <f>IFERROR(__xludf.DUMMYFUNCTION("""COMPUTED_VALUE"""),"KEWARISAN")</f>
        <v>KEWARISAN</v>
      </c>
      <c r="H5069" s="42">
        <f t="shared" si="1"/>
        <v>2246</v>
      </c>
    </row>
    <row r="5070" ht="22.5" customHeight="1">
      <c r="B5070" s="42" t="str">
        <f>IFERROR(__xludf.DUMMYFUNCTION("""COMPUTED_VALUE"""),"K/44/180625/1")</f>
        <v>K/44/180625/1</v>
      </c>
      <c r="C5070" s="42" t="str">
        <f>IFERROR(__xludf.DUMMYFUNCTION("""COMPUTED_VALUE"""),"NIbel 17957/ Sukarame")</f>
        <v>NIbel 17957/ Sukarame</v>
      </c>
      <c r="D5070" s="42"/>
      <c r="E5070" s="42"/>
      <c r="F5070" s="48" t="str">
        <f>IFERROR(__xludf.DUMMYFUNCTION("""COMPUTED_VALUE"""),"")</f>
        <v/>
      </c>
      <c r="G5070" s="42" t="str">
        <f>IFERROR(__xludf.DUMMYFUNCTION("""COMPUTED_VALUE"""),"BN JUAL BELI")</f>
        <v>BN JUAL BELI</v>
      </c>
      <c r="H5070" s="42">
        <f t="shared" si="1"/>
        <v>2246</v>
      </c>
    </row>
    <row r="5071" ht="22.5" customHeight="1">
      <c r="B5071" s="42" t="str">
        <f>IFERROR(__xludf.DUMMYFUNCTION("""COMPUTED_VALUE"""),"K/45/180625/1")</f>
        <v>K/45/180625/1</v>
      </c>
      <c r="C5071" s="42" t="str">
        <f>IFERROR(__xludf.DUMMYFUNCTION("""COMPUTED_VALUE"""),"NIBEL M 17998/LABUHAN RATU RAYA")</f>
        <v>NIBEL M 17998/LABUHAN RATU RAYA</v>
      </c>
      <c r="D5071" s="42"/>
      <c r="E5071" s="42"/>
      <c r="F5071" s="48" t="str">
        <f>IFERROR(__xludf.DUMMYFUNCTION("""COMPUTED_VALUE"""),"")</f>
        <v/>
      </c>
      <c r="G5071" s="42" t="str">
        <f>IFERROR(__xludf.DUMMYFUNCTION("""COMPUTED_VALUE"""),"JUAL BELI")</f>
        <v>JUAL BELI</v>
      </c>
      <c r="H5071" s="42">
        <f t="shared" si="1"/>
        <v>2246</v>
      </c>
    </row>
    <row r="5072" ht="22.5" customHeight="1">
      <c r="B5072" s="42" t="str">
        <f>IFERROR(__xludf.DUMMYFUNCTION("""COMPUTED_VALUE"""),"K/46/180625/2")</f>
        <v>K/46/180625/2</v>
      </c>
      <c r="C5072" s="42" t="str">
        <f>IFERROR(__xludf.DUMMYFUNCTION("""COMPUTED_VALUE"""),"NIBEL M 18347/LABUHAN RATU RAYA")</f>
        <v>NIBEL M 18347/LABUHAN RATU RAYA</v>
      </c>
      <c r="D5072" s="42"/>
      <c r="E5072" s="42"/>
      <c r="F5072" s="48" t="str">
        <f>IFERROR(__xludf.DUMMYFUNCTION("""COMPUTED_VALUE"""),"")</f>
        <v/>
      </c>
      <c r="G5072" s="42" t="str">
        <f>IFERROR(__xludf.DUMMYFUNCTION("""COMPUTED_VALUE"""),"JUAL BELI")</f>
        <v>JUAL BELI</v>
      </c>
      <c r="H5072" s="42">
        <f t="shared" si="1"/>
        <v>2246</v>
      </c>
    </row>
    <row r="5073" ht="22.5" customHeight="1">
      <c r="B5073" s="42" t="str">
        <f>IFERROR(__xludf.DUMMYFUNCTION("""COMPUTED_VALUE"""),"K/47/180625/3")</f>
        <v>K/47/180625/3</v>
      </c>
      <c r="C5073" s="42" t="str">
        <f>IFERROR(__xludf.DUMMYFUNCTION("""COMPUTED_VALUE"""),"NIBEL M 18352/LABUHAN RATU RAYA")</f>
        <v>NIBEL M 18352/LABUHAN RATU RAYA</v>
      </c>
      <c r="D5073" s="42"/>
      <c r="E5073" s="42"/>
      <c r="F5073" s="48" t="str">
        <f>IFERROR(__xludf.DUMMYFUNCTION("""COMPUTED_VALUE"""),"")</f>
        <v/>
      </c>
      <c r="G5073" s="42" t="str">
        <f>IFERROR(__xludf.DUMMYFUNCTION("""COMPUTED_VALUE"""),"JUAL BELI ")</f>
        <v>JUAL BELI </v>
      </c>
      <c r="H5073" s="42">
        <f t="shared" si="1"/>
        <v>2246</v>
      </c>
    </row>
    <row r="5074" ht="22.5" customHeight="1">
      <c r="B5074" s="42" t="str">
        <f>IFERROR(__xludf.DUMMYFUNCTION("""COMPUTED_VALUE"""),"K/48/180625/1")</f>
        <v>K/48/180625/1</v>
      </c>
      <c r="C5074" s="42" t="str">
        <f>IFERROR(__xludf.DUMMYFUNCTION("""COMPUTED_VALUE"""),"B. 580/ Nusantara Permai")</f>
        <v>B. 580/ Nusantara Permai</v>
      </c>
      <c r="D5074" s="42" t="str">
        <f>IFERROR(__xludf.DUMMYFUNCTION("""COMPUTED_VALUE"""),"Berry")</f>
        <v>Berry</v>
      </c>
      <c r="E5074" s="42" t="str">
        <f>IFERROR(__xludf.DUMMYFUNCTION("""COMPUTED_VALUE"""),"DISERAHKAN")</f>
        <v>DISERAHKAN</v>
      </c>
      <c r="F5074" s="48">
        <f>IFERROR(__xludf.DUMMYFUNCTION("""COMPUTED_VALUE"""),45845.680939328704)</f>
        <v>45845.68094</v>
      </c>
      <c r="G5074" s="42" t="str">
        <f>IFERROR(__xludf.DUMMYFUNCTION("""COMPUTED_VALUE"""),"BN WARIS")</f>
        <v>BN WARIS</v>
      </c>
      <c r="H5074" s="42">
        <f t="shared" si="1"/>
        <v>2247</v>
      </c>
    </row>
    <row r="5075" ht="22.5" customHeight="1">
      <c r="B5075" s="42" t="str">
        <f>IFERROR(__xludf.DUMMYFUNCTION("""COMPUTED_VALUE"""),"K/49/180625/4")</f>
        <v>K/49/180625/4</v>
      </c>
      <c r="C5075" s="42" t="str">
        <f>IFERROR(__xludf.DUMMYFUNCTION("""COMPUTED_VALUE"""),"NIBEL B 21954/SUMUR PUTRI")</f>
        <v>NIBEL B 21954/SUMUR PUTRI</v>
      </c>
      <c r="D5075" s="42"/>
      <c r="E5075" s="42"/>
      <c r="F5075" s="48" t="str">
        <f>IFERROR(__xludf.DUMMYFUNCTION("""COMPUTED_VALUE"""),"")</f>
        <v/>
      </c>
      <c r="G5075" s="42" t="str">
        <f>IFERROR(__xludf.DUMMYFUNCTION("""COMPUTED_VALUE"""),"PENINGKATAN HAK")</f>
        <v>PENINGKATAN HAK</v>
      </c>
      <c r="H5075" s="42">
        <f t="shared" si="1"/>
        <v>2247</v>
      </c>
    </row>
    <row r="5076" ht="22.5" customHeight="1">
      <c r="B5076" s="42" t="str">
        <f>IFERROR(__xludf.DUMMYFUNCTION("""COMPUTED_VALUE"""),"K/50/180625/1")</f>
        <v>K/50/180625/1</v>
      </c>
      <c r="C5076" s="42" t="str">
        <f>IFERROR(__xludf.DUMMYFUNCTION("""COMPUTED_VALUE"""),"NIBEL M. 11698/LABUHAN RATU RAYA")</f>
        <v>NIBEL M. 11698/LABUHAN RATU RAYA</v>
      </c>
      <c r="D5076" s="42"/>
      <c r="E5076" s="42"/>
      <c r="F5076" s="48" t="str">
        <f>IFERROR(__xludf.DUMMYFUNCTION("""COMPUTED_VALUE"""),"")</f>
        <v/>
      </c>
      <c r="G5076" s="42" t="str">
        <f>IFERROR(__xludf.DUMMYFUNCTION("""COMPUTED_VALUE"""),"BN JUAL BELI")</f>
        <v>BN JUAL BELI</v>
      </c>
      <c r="H5076" s="42">
        <f t="shared" si="1"/>
        <v>2247</v>
      </c>
    </row>
    <row r="5077" ht="22.5" customHeight="1">
      <c r="B5077" s="42" t="str">
        <f>IFERROR(__xludf.DUMMYFUNCTION("""COMPUTED_VALUE"""),"K/51/180625/2")</f>
        <v>K/51/180625/2</v>
      </c>
      <c r="C5077" s="42" t="str">
        <f>IFERROR(__xludf.DUMMYFUNCTION("""COMPUTED_VALUE"""),"NIBEL B.402/KEMILING PERMAI")</f>
        <v>NIBEL B.402/KEMILING PERMAI</v>
      </c>
      <c r="D5077" s="42"/>
      <c r="E5077" s="42"/>
      <c r="F5077" s="48" t="str">
        <f>IFERROR(__xludf.DUMMYFUNCTION("""COMPUTED_VALUE"""),"")</f>
        <v/>
      </c>
      <c r="G5077" s="42" t="str">
        <f>IFERROR(__xludf.DUMMYFUNCTION("""COMPUTED_VALUE"""),"BN JUAL BELI")</f>
        <v>BN JUAL BELI</v>
      </c>
      <c r="H5077" s="42">
        <f t="shared" si="1"/>
        <v>2247</v>
      </c>
    </row>
    <row r="5078" ht="22.5" customHeight="1">
      <c r="B5078" s="42" t="str">
        <f>IFERROR(__xludf.DUMMYFUNCTION("""COMPUTED_VALUE"""),"K/52/180625/3")</f>
        <v>K/52/180625/3</v>
      </c>
      <c r="C5078" s="42" t="str">
        <f>IFERROR(__xludf.DUMMYFUNCTION("""COMPUTED_VALUE"""),"NIBEL B. 20519/KEMILING PERMAI")</f>
        <v>NIBEL B. 20519/KEMILING PERMAI</v>
      </c>
      <c r="D5078" s="42"/>
      <c r="E5078" s="42"/>
      <c r="F5078" s="48" t="str">
        <f>IFERROR(__xludf.DUMMYFUNCTION("""COMPUTED_VALUE"""),"")</f>
        <v/>
      </c>
      <c r="G5078" s="42" t="str">
        <f>IFERROR(__xludf.DUMMYFUNCTION("""COMPUTED_VALUE"""),"PENINGKATAN HAK")</f>
        <v>PENINGKATAN HAK</v>
      </c>
      <c r="H5078" s="42">
        <f t="shared" si="1"/>
        <v>2247</v>
      </c>
    </row>
    <row r="5079" ht="22.5" customHeight="1">
      <c r="B5079" s="42" t="str">
        <f>IFERROR(__xludf.DUMMYFUNCTION("""COMPUTED_VALUE"""),"K/54/180625/1")</f>
        <v>K/54/180625/1</v>
      </c>
      <c r="C5079" s="42" t="str">
        <f>IFERROR(__xludf.DUMMYFUNCTION("""COMPUTED_VALUE"""),"M. 383/ Sukarame II")</f>
        <v>M. 383/ Sukarame II</v>
      </c>
      <c r="D5079" s="42"/>
      <c r="E5079" s="42"/>
      <c r="F5079" s="48" t="str">
        <f>IFERROR(__xludf.DUMMYFUNCTION("""COMPUTED_VALUE"""),"")</f>
        <v/>
      </c>
      <c r="G5079" s="42" t="str">
        <f>IFERROR(__xludf.DUMMYFUNCTION("""COMPUTED_VALUE"""),"BN Jual Beli")</f>
        <v>BN Jual Beli</v>
      </c>
      <c r="H5079" s="42">
        <f t="shared" si="1"/>
        <v>2247</v>
      </c>
    </row>
    <row r="5080" ht="22.5" customHeight="1">
      <c r="B5080" s="42" t="str">
        <f>IFERROR(__xludf.DUMMYFUNCTION("""COMPUTED_VALUE"""),"K/1/190625/1")</f>
        <v>K/1/190625/1</v>
      </c>
      <c r="C5080" s="42" t="str">
        <f>IFERROR(__xludf.DUMMYFUNCTION("""COMPUTED_VALUE"""),"B.3792/BERINGIN RAYA")</f>
        <v>B.3792/BERINGIN RAYA</v>
      </c>
      <c r="D5080" s="42" t="str">
        <f>IFERROR(__xludf.DUMMYFUNCTION("""COMPUTED_VALUE"""),"Berry")</f>
        <v>Berry</v>
      </c>
      <c r="E5080" s="42" t="str">
        <f>IFERROR(__xludf.DUMMYFUNCTION("""COMPUTED_VALUE"""),"DISERAHKAN")</f>
        <v>DISERAHKAN</v>
      </c>
      <c r="F5080" s="48">
        <f>IFERROR(__xludf.DUMMYFUNCTION("""COMPUTED_VALUE"""),45909.594175474536)</f>
        <v>45909.59418</v>
      </c>
      <c r="G5080" s="42" t="str">
        <f>IFERROR(__xludf.DUMMYFUNCTION("""COMPUTED_VALUE"""),"ROYA")</f>
        <v>ROYA</v>
      </c>
      <c r="H5080" s="42">
        <f t="shared" si="1"/>
        <v>2248</v>
      </c>
    </row>
    <row r="5081" ht="22.5" customHeight="1">
      <c r="B5081" s="42" t="str">
        <f>IFERROR(__xludf.DUMMYFUNCTION("""COMPUTED_VALUE"""),"K/2/190625/2")</f>
        <v>K/2/190625/2</v>
      </c>
      <c r="C5081" s="42" t="str">
        <f>IFERROR(__xludf.DUMMYFUNCTION("""COMPUTED_VALUE"""),"B.3183/BERINGIN RAYA")</f>
        <v>B.3183/BERINGIN RAYA</v>
      </c>
      <c r="D5081" s="42" t="str">
        <f>IFERROR(__xludf.DUMMYFUNCTION("""COMPUTED_VALUE"""),"Berry")</f>
        <v>Berry</v>
      </c>
      <c r="E5081" s="42" t="str">
        <f>IFERROR(__xludf.DUMMYFUNCTION("""COMPUTED_VALUE"""),"DISERAHKAN")</f>
        <v>DISERAHKAN</v>
      </c>
      <c r="F5081" s="48">
        <f>IFERROR(__xludf.DUMMYFUNCTION("""COMPUTED_VALUE"""),45867.50577334491)</f>
        <v>45867.50577</v>
      </c>
      <c r="G5081" s="42" t="str">
        <f>IFERROR(__xludf.DUMMYFUNCTION("""COMPUTED_VALUE"""),"ROYA")</f>
        <v>ROYA</v>
      </c>
      <c r="H5081" s="42">
        <f t="shared" si="1"/>
        <v>2249</v>
      </c>
    </row>
    <row r="5082" ht="22.5" customHeight="1">
      <c r="B5082" s="42" t="str">
        <f>IFERROR(__xludf.DUMMYFUNCTION("""COMPUTED_VALUE"""),"K/3/190625/1")</f>
        <v>K/3/190625/1</v>
      </c>
      <c r="C5082" s="42" t="str">
        <f>IFERROR(__xludf.DUMMYFUNCTION("""COMPUTED_VALUE"""),"M. 1184/ Kangkung")</f>
        <v>M. 1184/ Kangkung</v>
      </c>
      <c r="D5082" s="42" t="str">
        <f>IFERROR(__xludf.DUMMYFUNCTION("""COMPUTED_VALUE"""),"Berry")</f>
        <v>Berry</v>
      </c>
      <c r="E5082" s="42" t="str">
        <f>IFERROR(__xludf.DUMMYFUNCTION("""COMPUTED_VALUE"""),"DISERAHKAN")</f>
        <v>DISERAHKAN</v>
      </c>
      <c r="F5082" s="48">
        <f>IFERROR(__xludf.DUMMYFUNCTION("""COMPUTED_VALUE"""),45860.666119155096)</f>
        <v>45860.66612</v>
      </c>
      <c r="G5082" s="42" t="str">
        <f>IFERROR(__xludf.DUMMYFUNCTION("""COMPUTED_VALUE"""),"BN Jual Beli")</f>
        <v>BN Jual Beli</v>
      </c>
      <c r="H5082" s="42">
        <f t="shared" si="1"/>
        <v>2250</v>
      </c>
    </row>
    <row r="5083" ht="22.5" customHeight="1">
      <c r="B5083" s="42" t="str">
        <f>IFERROR(__xludf.DUMMYFUNCTION("""COMPUTED_VALUE"""),"K/4/190625/1")</f>
        <v>K/4/190625/1</v>
      </c>
      <c r="C5083" s="42" t="str">
        <f>IFERROR(__xludf.DUMMYFUNCTION("""COMPUTED_VALUE"""),"M. 632/ Pahoman")</f>
        <v>M. 632/ Pahoman</v>
      </c>
      <c r="D5083" s="42" t="str">
        <f>IFERROR(__xludf.DUMMYFUNCTION("""COMPUTED_VALUE"""),"Berry")</f>
        <v>Berry</v>
      </c>
      <c r="E5083" s="42" t="str">
        <f>IFERROR(__xludf.DUMMYFUNCTION("""COMPUTED_VALUE"""),"DISERAHKAN")</f>
        <v>DISERAHKAN</v>
      </c>
      <c r="F5083" s="48">
        <f>IFERROR(__xludf.DUMMYFUNCTION("""COMPUTED_VALUE"""),45856.53313016203)</f>
        <v>45856.53313</v>
      </c>
      <c r="G5083" s="42" t="str">
        <f>IFERROR(__xludf.DUMMYFUNCTION("""COMPUTED_VALUE"""),"BN WARIS")</f>
        <v>BN WARIS</v>
      </c>
      <c r="H5083" s="42">
        <f t="shared" si="1"/>
        <v>2251</v>
      </c>
    </row>
    <row r="5084" ht="22.5" customHeight="1">
      <c r="B5084" s="42" t="str">
        <f>IFERROR(__xludf.DUMMYFUNCTION("""COMPUTED_VALUE"""),"K/5/190625/2")</f>
        <v>K/5/190625/2</v>
      </c>
      <c r="C5084" s="42" t="str">
        <f>IFERROR(__xludf.DUMMYFUNCTION("""COMPUTED_VALUE"""),"M. 11642/ Sukabumi")</f>
        <v>M. 11642/ Sukabumi</v>
      </c>
      <c r="D5084" s="42" t="str">
        <f>IFERROR(__xludf.DUMMYFUNCTION("""COMPUTED_VALUE"""),"David")</f>
        <v>David</v>
      </c>
      <c r="E5084" s="42" t="str">
        <f>IFERROR(__xludf.DUMMYFUNCTION("""COMPUTED_VALUE"""),"DISERAHKAN")</f>
        <v>DISERAHKAN</v>
      </c>
      <c r="F5084" s="48">
        <f>IFERROR(__xludf.DUMMYFUNCTION("""COMPUTED_VALUE"""),45842.608384189814)</f>
        <v>45842.60838</v>
      </c>
      <c r="G5084" s="42" t="str">
        <f>IFERROR(__xludf.DUMMYFUNCTION("""COMPUTED_VALUE"""),"ROYA")</f>
        <v>ROYA</v>
      </c>
      <c r="H5084" s="42">
        <f t="shared" si="1"/>
        <v>2252</v>
      </c>
    </row>
    <row r="5085" ht="22.5" customHeight="1">
      <c r="B5085" s="42" t="str">
        <f>IFERROR(__xludf.DUMMYFUNCTION("""COMPUTED_VALUE"""),"L/7/190625/1")</f>
        <v>L/7/190625/1</v>
      </c>
      <c r="C5085" s="42" t="str">
        <f>IFERROR(__xludf.DUMMYFUNCTION("""COMPUTED_VALUE"""),"HM 1361/BERINGIN JAYA")</f>
        <v>HM 1361/BERINGIN JAYA</v>
      </c>
      <c r="D5085" s="42" t="str">
        <f>IFERROR(__xludf.DUMMYFUNCTION("""COMPUTED_VALUE"""),"David")</f>
        <v>David</v>
      </c>
      <c r="E5085" s="42" t="str">
        <f>IFERROR(__xludf.DUMMYFUNCTION("""COMPUTED_VALUE"""),"DISERAHKAN")</f>
        <v>DISERAHKAN</v>
      </c>
      <c r="F5085" s="48">
        <f>IFERROR(__xludf.DUMMYFUNCTION("""COMPUTED_VALUE"""),45849.4181321875)</f>
        <v>45849.41813</v>
      </c>
      <c r="G5085" s="42" t="str">
        <f>IFERROR(__xludf.DUMMYFUNCTION("""COMPUTED_VALUE"""),"BN WARIS")</f>
        <v>BN WARIS</v>
      </c>
      <c r="H5085" s="42">
        <f t="shared" si="1"/>
        <v>2253</v>
      </c>
    </row>
    <row r="5086" ht="22.5" customHeight="1">
      <c r="B5086" s="42" t="str">
        <f>IFERROR(__xludf.DUMMYFUNCTION("""COMPUTED_VALUE"""),"K/8/190625/1")</f>
        <v>K/8/190625/1</v>
      </c>
      <c r="C5086" s="42" t="str">
        <f>IFERROR(__xludf.DUMMYFUNCTION("""COMPUTED_VALUE"""),"M. 524/ Kebon Jeruk")</f>
        <v>M. 524/ Kebon Jeruk</v>
      </c>
      <c r="D5086" s="42" t="str">
        <f>IFERROR(__xludf.DUMMYFUNCTION("""COMPUTED_VALUE"""),"Berry")</f>
        <v>Berry</v>
      </c>
      <c r="E5086" s="42" t="str">
        <f>IFERROR(__xludf.DUMMYFUNCTION("""COMPUTED_VALUE"""),"DISERAHKAN")</f>
        <v>DISERAHKAN</v>
      </c>
      <c r="F5086" s="48">
        <f>IFERROR(__xludf.DUMMYFUNCTION("""COMPUTED_VALUE"""),45845.67252878472)</f>
        <v>45845.67253</v>
      </c>
      <c r="G5086" s="42" t="str">
        <f>IFERROR(__xludf.DUMMYFUNCTION("""COMPUTED_VALUE"""),"BN Jual Beli")</f>
        <v>BN Jual Beli</v>
      </c>
      <c r="H5086" s="42">
        <f t="shared" si="1"/>
        <v>2254</v>
      </c>
    </row>
    <row r="5087" ht="22.5" customHeight="1">
      <c r="B5087" s="42" t="str">
        <f>IFERROR(__xludf.DUMMYFUNCTION("""COMPUTED_VALUE"""),"K/53/180625/4")</f>
        <v>K/53/180625/4</v>
      </c>
      <c r="C5087" s="42" t="str">
        <f>IFERROR(__xludf.DUMMYFUNCTION("""COMPUTED_VALUE"""),"NIBELB. 20874/KEMILING PERMAI")</f>
        <v>NIBELB. 20874/KEMILING PERMAI</v>
      </c>
      <c r="D5087" s="42"/>
      <c r="E5087" s="42"/>
      <c r="F5087" s="48" t="str">
        <f>IFERROR(__xludf.DUMMYFUNCTION("""COMPUTED_VALUE"""),"")</f>
        <v/>
      </c>
      <c r="G5087" s="42" t="str">
        <f>IFERROR(__xludf.DUMMYFUNCTION("""COMPUTED_VALUE"""),"PENINGKATAN HAK")</f>
        <v>PENINGKATAN HAK</v>
      </c>
      <c r="H5087" s="42">
        <f t="shared" si="1"/>
        <v>2254</v>
      </c>
    </row>
    <row r="5088" ht="22.5" customHeight="1">
      <c r="B5088" s="42" t="str">
        <f>IFERROR(__xludf.DUMMYFUNCTION("""COMPUTED_VALUE"""),"K/6/190625/3")</f>
        <v>K/6/190625/3</v>
      </c>
      <c r="C5088" s="42" t="str">
        <f>IFERROR(__xludf.DUMMYFUNCTION("""COMPUTED_VALUE"""),"M.2702/KOTA BARU")</f>
        <v>M.2702/KOTA BARU</v>
      </c>
      <c r="D5088" s="42" t="str">
        <f>IFERROR(__xludf.DUMMYFUNCTION("""COMPUTED_VALUE"""),"Berry")</f>
        <v>Berry</v>
      </c>
      <c r="E5088" s="42" t="str">
        <f>IFERROR(__xludf.DUMMYFUNCTION("""COMPUTED_VALUE"""),"DISERAHKAN")</f>
        <v>DISERAHKAN</v>
      </c>
      <c r="F5088" s="48">
        <f>IFERROR(__xludf.DUMMYFUNCTION("""COMPUTED_VALUE"""),45838.66504608796)</f>
        <v>45838.66505</v>
      </c>
      <c r="G5088" s="42" t="str">
        <f>IFERROR(__xludf.DUMMYFUNCTION("""COMPUTED_VALUE"""),"JUAL BELI")</f>
        <v>JUAL BELI</v>
      </c>
      <c r="H5088" s="42">
        <f t="shared" si="1"/>
        <v>2255</v>
      </c>
    </row>
    <row r="5089" ht="22.5" customHeight="1">
      <c r="B5089" s="42" t="str">
        <f>IFERROR(__xludf.DUMMYFUNCTION("""COMPUTED_VALUE"""),"L/12/190625/1")</f>
        <v>L/12/190625/1</v>
      </c>
      <c r="C5089" s="42" t="str">
        <f>IFERROR(__xludf.DUMMYFUNCTION("""COMPUTED_VALUE"""),"HM 782/BERINGIN JAYA")</f>
        <v>HM 782/BERINGIN JAYA</v>
      </c>
      <c r="D5089" s="42"/>
      <c r="E5089" s="42"/>
      <c r="F5089" s="48" t="str">
        <f>IFERROR(__xludf.DUMMYFUNCTION("""COMPUTED_VALUE"""),"")</f>
        <v/>
      </c>
      <c r="G5089" s="42" t="str">
        <f>IFERROR(__xludf.DUMMYFUNCTION("""COMPUTED_VALUE"""),"PENGAHPUSAN BPHTB")</f>
        <v>PENGAHPUSAN BPHTB</v>
      </c>
      <c r="H5089" s="42">
        <f t="shared" si="1"/>
        <v>2255</v>
      </c>
    </row>
    <row r="5090" ht="22.5" customHeight="1">
      <c r="B5090" s="42" t="str">
        <f>IFERROR(__xludf.DUMMYFUNCTION("""COMPUTED_VALUE"""),"K/9/190625/1")</f>
        <v>K/9/190625/1</v>
      </c>
      <c r="C5090" s="42" t="str">
        <f>IFERROR(__xludf.DUMMYFUNCTION("""COMPUTED_VALUE"""),"NIBEL M.2285/KALI BALAU KENCANA")</f>
        <v>NIBEL M.2285/KALI BALAU KENCANA</v>
      </c>
      <c r="D5090" s="42"/>
      <c r="E5090" s="42"/>
      <c r="F5090" s="48" t="str">
        <f>IFERROR(__xludf.DUMMYFUNCTION("""COMPUTED_VALUE"""),"")</f>
        <v/>
      </c>
      <c r="G5090" s="42" t="str">
        <f>IFERROR(__xludf.DUMMYFUNCTION("""COMPUTED_VALUE"""),"BN HIBAH")</f>
        <v>BN HIBAH</v>
      </c>
      <c r="H5090" s="42">
        <f t="shared" si="1"/>
        <v>2255</v>
      </c>
    </row>
    <row r="5091" ht="22.5" customHeight="1">
      <c r="B5091" s="42" t="str">
        <f>IFERROR(__xludf.DUMMYFUNCTION("""COMPUTED_VALUE"""),"K/11/190625/1")</f>
        <v>K/11/190625/1</v>
      </c>
      <c r="C5091" s="42" t="str">
        <f>IFERROR(__xludf.DUMMYFUNCTION("""COMPUTED_VALUE"""),"M.1320/RAJABASA JAYA")</f>
        <v>M.1320/RAJABASA JAYA</v>
      </c>
      <c r="D5091" s="42" t="str">
        <f>IFERROR(__xludf.DUMMYFUNCTION("""COMPUTED_VALUE"""),"David")</f>
        <v>David</v>
      </c>
      <c r="E5091" s="42" t="str">
        <f>IFERROR(__xludf.DUMMYFUNCTION("""COMPUTED_VALUE"""),"DISERAHKAN")</f>
        <v>DISERAHKAN</v>
      </c>
      <c r="F5091" s="48">
        <f>IFERROR(__xludf.DUMMYFUNCTION("""COMPUTED_VALUE"""),45848.615799618055)</f>
        <v>45848.6158</v>
      </c>
      <c r="G5091" s="42" t="str">
        <f>IFERROR(__xludf.DUMMYFUNCTION("""COMPUTED_VALUE"""),"JUAL BELI")</f>
        <v>JUAL BELI</v>
      </c>
      <c r="H5091" s="42">
        <f t="shared" si="1"/>
        <v>2256</v>
      </c>
    </row>
    <row r="5092" ht="22.5" customHeight="1">
      <c r="B5092" s="42" t="str">
        <f>IFERROR(__xludf.DUMMYFUNCTION("""COMPUTED_VALUE"""),"K/13/190625/1")</f>
        <v>K/13/190625/1</v>
      </c>
      <c r="C5092" s="42" t="str">
        <f>IFERROR(__xludf.DUMMYFUNCTION("""COMPUTED_VALUE"""),"NIBEL B. 22366/GEDONG MENENG")</f>
        <v>NIBEL B. 22366/GEDONG MENENG</v>
      </c>
      <c r="D5092" s="42"/>
      <c r="E5092" s="42"/>
      <c r="F5092" s="48" t="str">
        <f>IFERROR(__xludf.DUMMYFUNCTION("""COMPUTED_VALUE"""),"")</f>
        <v/>
      </c>
      <c r="G5092" s="42" t="str">
        <f>IFERROR(__xludf.DUMMYFUNCTION("""COMPUTED_VALUE"""),"PENINGKATAN HAK")</f>
        <v>PENINGKATAN HAK</v>
      </c>
      <c r="H5092" s="42">
        <f t="shared" si="1"/>
        <v>2256</v>
      </c>
    </row>
    <row r="5093" ht="22.5" customHeight="1">
      <c r="B5093" s="42" t="str">
        <f>IFERROR(__xludf.DUMMYFUNCTION("""COMPUTED_VALUE"""),"K/15/190625/1")</f>
        <v>K/15/190625/1</v>
      </c>
      <c r="C5093" s="42" t="str">
        <f>IFERROR(__xludf.DUMMYFUNCTION("""COMPUTED_VALUE"""),"M. 1095/SUKARAJA")</f>
        <v>M. 1095/SUKARAJA</v>
      </c>
      <c r="D5093" s="42"/>
      <c r="E5093" s="42"/>
      <c r="F5093" s="48" t="str">
        <f>IFERROR(__xludf.DUMMYFUNCTION("""COMPUTED_VALUE"""),"")</f>
        <v/>
      </c>
      <c r="G5093" s="42" t="str">
        <f>IFERROR(__xludf.DUMMYFUNCTION("""COMPUTED_VALUE"""),"PENGHAPUSAN BPHTB")</f>
        <v>PENGHAPUSAN BPHTB</v>
      </c>
      <c r="H5093" s="42">
        <f t="shared" si="1"/>
        <v>2256</v>
      </c>
    </row>
    <row r="5094" ht="22.5" customHeight="1">
      <c r="B5094" s="42" t="str">
        <f>IFERROR(__xludf.DUMMYFUNCTION("""COMPUTED_VALUE"""),"L/16/190625/1")</f>
        <v>L/16/190625/1</v>
      </c>
      <c r="C5094" s="42" t="str">
        <f>IFERROR(__xludf.DUMMYFUNCTION("""COMPUTED_VALUE"""),"HM 4952/TANJUNG SENANG")</f>
        <v>HM 4952/TANJUNG SENANG</v>
      </c>
      <c r="D5094" s="42" t="str">
        <f>IFERROR(__xludf.DUMMYFUNCTION("""COMPUTED_VALUE"""),"David")</f>
        <v>David</v>
      </c>
      <c r="E5094" s="42" t="str">
        <f>IFERROR(__xludf.DUMMYFUNCTION("""COMPUTED_VALUE"""),"DISERAHKAN")</f>
        <v>DISERAHKAN</v>
      </c>
      <c r="F5094" s="48">
        <f>IFERROR(__xludf.DUMMYFUNCTION("""COMPUTED_VALUE"""),45863.60706608796)</f>
        <v>45863.60707</v>
      </c>
      <c r="G5094" s="42" t="str">
        <f>IFERROR(__xludf.DUMMYFUNCTION("""COMPUTED_VALUE"""),"BN JUAL-BELI")</f>
        <v>BN JUAL-BELI</v>
      </c>
      <c r="H5094" s="42">
        <f t="shared" si="1"/>
        <v>2257</v>
      </c>
    </row>
    <row r="5095" ht="22.5" customHeight="1">
      <c r="B5095" s="42" t="str">
        <f>IFERROR(__xludf.DUMMYFUNCTION("""COMPUTED_VALUE"""),"K/14/190625/1")</f>
        <v>K/14/190625/1</v>
      </c>
      <c r="C5095" s="42" t="str">
        <f>IFERROR(__xludf.DUMMYFUNCTION("""COMPUTED_VALUE"""),"M.3528/BERINGIN RAYA")</f>
        <v>M.3528/BERINGIN RAYA</v>
      </c>
      <c r="D5095" s="42" t="str">
        <f>IFERROR(__xludf.DUMMYFUNCTION("""COMPUTED_VALUE"""),"Berry")</f>
        <v>Berry</v>
      </c>
      <c r="E5095" s="42" t="str">
        <f>IFERROR(__xludf.DUMMYFUNCTION("""COMPUTED_VALUE"""),"DISERAHKAN")</f>
        <v>DISERAHKAN</v>
      </c>
      <c r="F5095" s="48">
        <f>IFERROR(__xludf.DUMMYFUNCTION("""COMPUTED_VALUE"""),45852.63051293981)</f>
        <v>45852.63051</v>
      </c>
      <c r="G5095" s="42" t="str">
        <f>IFERROR(__xludf.DUMMYFUNCTION("""COMPUTED_VALUE"""),"JUAL BELI")</f>
        <v>JUAL BELI</v>
      </c>
      <c r="H5095" s="42">
        <f t="shared" si="1"/>
        <v>2258</v>
      </c>
    </row>
    <row r="5096" ht="22.5" customHeight="1">
      <c r="B5096" s="42" t="str">
        <f>IFERROR(__xludf.DUMMYFUNCTION("""COMPUTED_VALUE"""),"K/17/190625/1")</f>
        <v>K/17/190625/1</v>
      </c>
      <c r="C5096" s="42" t="str">
        <f>IFERROR(__xludf.DUMMYFUNCTION("""COMPUTED_VALUE"""),"Nibel 18083/ Labuhan Dalam")</f>
        <v>Nibel 18083/ Labuhan Dalam</v>
      </c>
      <c r="D5096" s="42"/>
      <c r="E5096" s="42"/>
      <c r="F5096" s="48" t="str">
        <f>IFERROR(__xludf.DUMMYFUNCTION("""COMPUTED_VALUE"""),"")</f>
        <v/>
      </c>
      <c r="G5096" s="42" t="str">
        <f>IFERROR(__xludf.DUMMYFUNCTION("""COMPUTED_VALUE"""),"BN JUAL BELI")</f>
        <v>BN JUAL BELI</v>
      </c>
      <c r="H5096" s="42">
        <f t="shared" si="1"/>
        <v>2258</v>
      </c>
    </row>
    <row r="5097" ht="22.5" customHeight="1">
      <c r="B5097" s="42" t="str">
        <f>IFERROR(__xludf.DUMMYFUNCTION("""COMPUTED_VALUE"""),"K/18/190625/2")</f>
        <v>K/18/190625/2</v>
      </c>
      <c r="C5097" s="42" t="str">
        <f>IFERROR(__xludf.DUMMYFUNCTION("""COMPUTED_VALUE"""),"Nibel 18791/ Labuhan Ratu Raya")</f>
        <v>Nibel 18791/ Labuhan Ratu Raya</v>
      </c>
      <c r="D5097" s="42"/>
      <c r="E5097" s="42"/>
      <c r="F5097" s="48" t="str">
        <f>IFERROR(__xludf.DUMMYFUNCTION("""COMPUTED_VALUE"""),"")</f>
        <v/>
      </c>
      <c r="G5097" s="42" t="str">
        <f>IFERROR(__xludf.DUMMYFUNCTION("""COMPUTED_VALUE"""),"BN JUAL BELI")</f>
        <v>BN JUAL BELI</v>
      </c>
      <c r="H5097" s="42">
        <f t="shared" si="1"/>
        <v>2258</v>
      </c>
    </row>
    <row r="5098" ht="22.5" customHeight="1">
      <c r="B5098" s="42" t="str">
        <f>IFERROR(__xludf.DUMMYFUNCTION("""COMPUTED_VALUE"""),"K/20/190625/1")</f>
        <v>K/20/190625/1</v>
      </c>
      <c r="C5098" s="42" t="str">
        <f>IFERROR(__xludf.DUMMYFUNCTION("""COMPUTED_VALUE"""),"M. 2630/ Pinang Jaya")</f>
        <v>M. 2630/ Pinang Jaya</v>
      </c>
      <c r="D5098" s="42" t="str">
        <f>IFERROR(__xludf.DUMMYFUNCTION("""COMPUTED_VALUE"""),"David")</f>
        <v>David</v>
      </c>
      <c r="E5098" s="42" t="str">
        <f>IFERROR(__xludf.DUMMYFUNCTION("""COMPUTED_VALUE"""),"DISERAHKAN")</f>
        <v>DISERAHKAN</v>
      </c>
      <c r="F5098" s="48">
        <f>IFERROR(__xludf.DUMMYFUNCTION("""COMPUTED_VALUE"""),45848.55640378472)</f>
        <v>45848.5564</v>
      </c>
      <c r="G5098" s="42" t="str">
        <f>IFERROR(__xludf.DUMMYFUNCTION("""COMPUTED_VALUE"""),"BN Jual Beli")</f>
        <v>BN Jual Beli</v>
      </c>
      <c r="H5098" s="42">
        <f t="shared" si="1"/>
        <v>2259</v>
      </c>
    </row>
    <row r="5099" ht="22.5" customHeight="1">
      <c r="B5099" s="42" t="str">
        <f>IFERROR(__xludf.DUMMYFUNCTION("""COMPUTED_VALUE"""),"K/21/190625/2")</f>
        <v>K/21/190625/2</v>
      </c>
      <c r="C5099" s="42" t="str">
        <f>IFERROR(__xludf.DUMMYFUNCTION("""COMPUTED_VALUE"""),"Nibel. B. 18384/ Way Dadi Baru")</f>
        <v>Nibel. B. 18384/ Way Dadi Baru</v>
      </c>
      <c r="D5099" s="42"/>
      <c r="E5099" s="42"/>
      <c r="F5099" s="48" t="str">
        <f>IFERROR(__xludf.DUMMYFUNCTION("""COMPUTED_VALUE"""),"")</f>
        <v/>
      </c>
      <c r="G5099" s="42" t="str">
        <f>IFERROR(__xludf.DUMMYFUNCTION("""COMPUTED_VALUE"""),"BN Jual Beli")</f>
        <v>BN Jual Beli</v>
      </c>
      <c r="H5099" s="42">
        <f t="shared" si="1"/>
        <v>2259</v>
      </c>
    </row>
    <row r="5100" ht="22.5" customHeight="1">
      <c r="B5100" s="42" t="str">
        <f>IFERROR(__xludf.DUMMYFUNCTION("""COMPUTED_VALUE"""),"K/22/190625/3")</f>
        <v>K/22/190625/3</v>
      </c>
      <c r="C5100" s="42" t="str">
        <f>IFERROR(__xludf.DUMMYFUNCTION("""COMPUTED_VALUE"""),"M. 12731/ Kedaton")</f>
        <v>M. 12731/ Kedaton</v>
      </c>
      <c r="D5100" s="42" t="str">
        <f>IFERROR(__xludf.DUMMYFUNCTION("""COMPUTED_VALUE"""),"Berry")</f>
        <v>Berry</v>
      </c>
      <c r="E5100" s="42" t="str">
        <f>IFERROR(__xludf.DUMMYFUNCTION("""COMPUTED_VALUE"""),"DISERAHKAN")</f>
        <v>DISERAHKAN</v>
      </c>
      <c r="F5100" s="48">
        <f>IFERROR(__xludf.DUMMYFUNCTION("""COMPUTED_VALUE"""),45853.72191569445)</f>
        <v>45853.72192</v>
      </c>
      <c r="G5100" s="42" t="str">
        <f>IFERROR(__xludf.DUMMYFUNCTION("""COMPUTED_VALUE"""),"BN Jual Beli")</f>
        <v>BN Jual Beli</v>
      </c>
      <c r="H5100" s="42">
        <f t="shared" si="1"/>
        <v>2260</v>
      </c>
    </row>
    <row r="5101" ht="22.5" customHeight="1">
      <c r="B5101" s="42" t="str">
        <f>IFERROR(__xludf.DUMMYFUNCTION("""COMPUTED_VALUE"""),"K/23/190625/4")</f>
        <v>K/23/190625/4</v>
      </c>
      <c r="C5101" s="42" t="str">
        <f>IFERROR(__xludf.DUMMYFUNCTION("""COMPUTED_VALUE"""),"M. 2627/ Pinang Jaya")</f>
        <v>M. 2627/ Pinang Jaya</v>
      </c>
      <c r="D5101" s="42" t="str">
        <f>IFERROR(__xludf.DUMMYFUNCTION("""COMPUTED_VALUE"""),"Berry")</f>
        <v>Berry</v>
      </c>
      <c r="E5101" s="42" t="str">
        <f>IFERROR(__xludf.DUMMYFUNCTION("""COMPUTED_VALUE"""),"DISERAHKAN")</f>
        <v>DISERAHKAN</v>
      </c>
      <c r="F5101" s="48">
        <f>IFERROR(__xludf.DUMMYFUNCTION("""COMPUTED_VALUE"""),45838.652231134256)</f>
        <v>45838.65223</v>
      </c>
      <c r="G5101" s="42" t="str">
        <f>IFERROR(__xludf.DUMMYFUNCTION("""COMPUTED_VALUE"""),"BN Jual Beli")</f>
        <v>BN Jual Beli</v>
      </c>
      <c r="H5101" s="42">
        <f t="shared" si="1"/>
        <v>2261</v>
      </c>
    </row>
    <row r="5102" ht="22.5" customHeight="1">
      <c r="B5102" s="42" t="str">
        <f>IFERROR(__xludf.DUMMYFUNCTION("""COMPUTED_VALUE"""),"K/24/190625/1")</f>
        <v>K/24/190625/1</v>
      </c>
      <c r="C5102" s="42" t="str">
        <f>IFERROR(__xludf.DUMMYFUNCTION("""COMPUTED_VALUE"""),"NIBEL B. 95/SUMBERREJO SEJAHTERA")</f>
        <v>NIBEL B. 95/SUMBERREJO SEJAHTERA</v>
      </c>
      <c r="D5102" s="42"/>
      <c r="E5102" s="42"/>
      <c r="F5102" s="48" t="str">
        <f>IFERROR(__xludf.DUMMYFUNCTION("""COMPUTED_VALUE"""),"")</f>
        <v/>
      </c>
      <c r="G5102" s="42" t="str">
        <f>IFERROR(__xludf.DUMMYFUNCTION("""COMPUTED_VALUE"""),"PENINGKATAN HAK")</f>
        <v>PENINGKATAN HAK</v>
      </c>
      <c r="H5102" s="42">
        <f t="shared" si="1"/>
        <v>2261</v>
      </c>
    </row>
    <row r="5103" ht="22.5" customHeight="1">
      <c r="B5103" s="42" t="str">
        <f>IFERROR(__xludf.DUMMYFUNCTION("""COMPUTED_VALUE"""),"K/25/190625/1")</f>
        <v>K/25/190625/1</v>
      </c>
      <c r="C5103" s="42" t="str">
        <f>IFERROR(__xludf.DUMMYFUNCTION("""COMPUTED_VALUE"""),"M. 3807/ Way Kandis")</f>
        <v>M. 3807/ Way Kandis</v>
      </c>
      <c r="D5103" s="42" t="str">
        <f>IFERROR(__xludf.DUMMYFUNCTION("""COMPUTED_VALUE"""),"David")</f>
        <v>David</v>
      </c>
      <c r="E5103" s="42" t="str">
        <f>IFERROR(__xludf.DUMMYFUNCTION("""COMPUTED_VALUE"""),"DISERAHKAN")</f>
        <v>DISERAHKAN</v>
      </c>
      <c r="F5103" s="48">
        <f>IFERROR(__xludf.DUMMYFUNCTION("""COMPUTED_VALUE"""),45849.43327761574)</f>
        <v>45849.43328</v>
      </c>
      <c r="G5103" s="42" t="str">
        <f>IFERROR(__xludf.DUMMYFUNCTION("""COMPUTED_VALUE"""),"BN JUAL BELI")</f>
        <v>BN JUAL BELI</v>
      </c>
      <c r="H5103" s="42">
        <f t="shared" si="1"/>
        <v>2262</v>
      </c>
    </row>
    <row r="5104" ht="22.5" customHeight="1">
      <c r="B5104" s="42" t="str">
        <f>IFERROR(__xludf.DUMMYFUNCTION("""COMPUTED_VALUE"""),"K/26/190625/1")</f>
        <v>K/26/190625/1</v>
      </c>
      <c r="C5104" s="42" t="str">
        <f>IFERROR(__xludf.DUMMYFUNCTION("""COMPUTED_VALUE"""),"M. 901/RAJABASA RAYA")</f>
        <v>M. 901/RAJABASA RAYA</v>
      </c>
      <c r="D5104" s="42" t="str">
        <f>IFERROR(__xludf.DUMMYFUNCTION("""COMPUTED_VALUE"""),"David")</f>
        <v>David</v>
      </c>
      <c r="E5104" s="42" t="str">
        <f>IFERROR(__xludf.DUMMYFUNCTION("""COMPUTED_VALUE"""),"DISERAHKAN")</f>
        <v>DISERAHKAN</v>
      </c>
      <c r="F5104" s="48">
        <f>IFERROR(__xludf.DUMMYFUNCTION("""COMPUTED_VALUE"""),45849.43591753472)</f>
        <v>45849.43592</v>
      </c>
      <c r="G5104" s="42" t="str">
        <f>IFERROR(__xludf.DUMMYFUNCTION("""COMPUTED_VALUE"""),"BN JUAL BELI")</f>
        <v>BN JUAL BELI</v>
      </c>
      <c r="H5104" s="42">
        <f t="shared" si="1"/>
        <v>2263</v>
      </c>
    </row>
    <row r="5105" ht="22.5" customHeight="1">
      <c r="B5105" s="42" t="str">
        <f>IFERROR(__xludf.DUMMYFUNCTION("""COMPUTED_VALUE"""),"K/27/190625/2")</f>
        <v>K/27/190625/2</v>
      </c>
      <c r="C5105" s="42" t="str">
        <f>IFERROR(__xludf.DUMMYFUNCTION("""COMPUTED_VALUE"""),"NIBEL M. 2215/SUKABUMI")</f>
        <v>NIBEL M. 2215/SUKABUMI</v>
      </c>
      <c r="D5105" s="42"/>
      <c r="E5105" s="42"/>
      <c r="F5105" s="48" t="str">
        <f>IFERROR(__xludf.DUMMYFUNCTION("""COMPUTED_VALUE"""),"")</f>
        <v/>
      </c>
      <c r="G5105" s="42" t="str">
        <f>IFERROR(__xludf.DUMMYFUNCTION("""COMPUTED_VALUE"""),"BN JUAL BELI")</f>
        <v>BN JUAL BELI</v>
      </c>
      <c r="H5105" s="42">
        <f t="shared" si="1"/>
        <v>2263</v>
      </c>
    </row>
    <row r="5106" ht="22.5" customHeight="1">
      <c r="B5106" s="42" t="str">
        <f>IFERROR(__xludf.DUMMYFUNCTION("""COMPUTED_VALUE"""),"L/29/190625/1")</f>
        <v>L/29/190625/1</v>
      </c>
      <c r="C5106" s="42" t="str">
        <f>IFERROR(__xludf.DUMMYFUNCTION("""COMPUTED_VALUE"""),"HM 1151/JAGABAYA III")</f>
        <v>HM 1151/JAGABAYA III</v>
      </c>
      <c r="D5106" s="42"/>
      <c r="E5106" s="42"/>
      <c r="F5106" s="48" t="str">
        <f>IFERROR(__xludf.DUMMYFUNCTION("""COMPUTED_VALUE"""),"")</f>
        <v/>
      </c>
      <c r="G5106" s="42" t="str">
        <f>IFERROR(__xludf.DUMMYFUNCTION("""COMPUTED_VALUE"""),"ROYA")</f>
        <v>ROYA</v>
      </c>
      <c r="H5106" s="42">
        <f t="shared" si="1"/>
        <v>2263</v>
      </c>
    </row>
    <row r="5107" ht="22.5" customHeight="1">
      <c r="B5107" s="42" t="str">
        <f>IFERROR(__xludf.DUMMYFUNCTION("""COMPUTED_VALUE"""),"K/28/190625/2")</f>
        <v>K/28/190625/2</v>
      </c>
      <c r="C5107" s="42" t="str">
        <f>IFERROR(__xludf.DUMMYFUNCTION("""COMPUTED_VALUE"""),"M. 998 / BATU PUTUK")</f>
        <v>M. 998 / BATU PUTUK</v>
      </c>
      <c r="D5107" s="42" t="str">
        <f>IFERROR(__xludf.DUMMYFUNCTION("""COMPUTED_VALUE"""),"Berry")</f>
        <v>Berry</v>
      </c>
      <c r="E5107" s="42" t="str">
        <f>IFERROR(__xludf.DUMMYFUNCTION("""COMPUTED_VALUE"""),"DISERAHKAN")</f>
        <v>DISERAHKAN</v>
      </c>
      <c r="F5107" s="48">
        <f>IFERROR(__xludf.DUMMYFUNCTION("""COMPUTED_VALUE"""),45856.532033055555)</f>
        <v>45856.53203</v>
      </c>
      <c r="G5107" s="42" t="str">
        <f>IFERROR(__xludf.DUMMYFUNCTION("""COMPUTED_VALUE"""),"BN JUAL BELI")</f>
        <v>BN JUAL BELI</v>
      </c>
      <c r="H5107" s="42">
        <f t="shared" si="1"/>
        <v>2264</v>
      </c>
    </row>
    <row r="5108" ht="22.5" customHeight="1">
      <c r="B5108" s="42" t="str">
        <f>IFERROR(__xludf.DUMMYFUNCTION("""COMPUTED_VALUE"""),"K/19/190625/1")</f>
        <v>K/19/190625/1</v>
      </c>
      <c r="C5108" s="42" t="str">
        <f>IFERROR(__xludf.DUMMYFUNCTION("""COMPUTED_VALUE"""),"M.12080/JAGABAYA II")</f>
        <v>M.12080/JAGABAYA II</v>
      </c>
      <c r="D5108" s="42" t="str">
        <f>IFERROR(__xludf.DUMMYFUNCTION("""COMPUTED_VALUE"""),"David")</f>
        <v>David</v>
      </c>
      <c r="E5108" s="42" t="str">
        <f>IFERROR(__xludf.DUMMYFUNCTION("""COMPUTED_VALUE"""),"DISERAHKAN")</f>
        <v>DISERAHKAN</v>
      </c>
      <c r="F5108" s="48">
        <f>IFERROR(__xludf.DUMMYFUNCTION("""COMPUTED_VALUE"""),45849.65041716435)</f>
        <v>45849.65042</v>
      </c>
      <c r="G5108" s="42" t="str">
        <f>IFERROR(__xludf.DUMMYFUNCTION("""COMPUTED_VALUE"""),"ROYA")</f>
        <v>ROYA</v>
      </c>
      <c r="H5108" s="42">
        <f t="shared" si="1"/>
        <v>2265</v>
      </c>
    </row>
    <row r="5109" ht="22.5" customHeight="1">
      <c r="B5109" s="42" t="str">
        <f>IFERROR(__xludf.DUMMYFUNCTION("""COMPUTED_VALUE"""),"K/30/190625/1")</f>
        <v>K/30/190625/1</v>
      </c>
      <c r="C5109" s="42" t="str">
        <f>IFERROR(__xludf.DUMMYFUNCTION("""COMPUTED_VALUE"""),"B. 680/ Kemiling Permai")</f>
        <v>B. 680/ Kemiling Permai</v>
      </c>
      <c r="D5109" s="42" t="str">
        <f>IFERROR(__xludf.DUMMYFUNCTION("""COMPUTED_VALUE"""),"Berry")</f>
        <v>Berry</v>
      </c>
      <c r="E5109" s="42" t="str">
        <f>IFERROR(__xludf.DUMMYFUNCTION("""COMPUTED_VALUE"""),"DISERAHKAN")</f>
        <v>DISERAHKAN</v>
      </c>
      <c r="F5109" s="48">
        <f>IFERROR(__xludf.DUMMYFUNCTION("""COMPUTED_VALUE"""),45868.64984791666)</f>
        <v>45868.64985</v>
      </c>
      <c r="G5109" s="42" t="str">
        <f>IFERROR(__xludf.DUMMYFUNCTION("""COMPUTED_VALUE"""),"BN JUAL BELI")</f>
        <v>BN JUAL BELI</v>
      </c>
      <c r="H5109" s="42">
        <f t="shared" si="1"/>
        <v>2266</v>
      </c>
    </row>
    <row r="5110" ht="22.5" customHeight="1">
      <c r="B5110" s="42" t="str">
        <f>IFERROR(__xludf.DUMMYFUNCTION("""COMPUTED_VALUE"""),"K/32/190625/1")</f>
        <v>K/32/190625/1</v>
      </c>
      <c r="C5110" s="42" t="str">
        <f>IFERROR(__xludf.DUMMYFUNCTION("""COMPUTED_VALUE"""),"PBT. 87/2025 (Pematang Wangi)")</f>
        <v>PBT. 87/2025 (Pematang Wangi)</v>
      </c>
      <c r="D5110" s="42"/>
      <c r="E5110" s="42"/>
      <c r="F5110" s="48" t="str">
        <f>IFERROR(__xludf.DUMMYFUNCTION("""COMPUTED_VALUE"""),"")</f>
        <v/>
      </c>
      <c r="G5110" s="42" t="str">
        <f>IFERROR(__xludf.DUMMYFUNCTION("""COMPUTED_VALUE"""),"PTPGT (Pertama Kali)")</f>
        <v>PTPGT (Pertama Kali)</v>
      </c>
      <c r="H5110" s="42">
        <f t="shared" si="1"/>
        <v>2266</v>
      </c>
    </row>
    <row r="5111" ht="22.5" customHeight="1">
      <c r="B5111" s="42" t="str">
        <f>IFERROR(__xludf.DUMMYFUNCTION("""COMPUTED_VALUE"""),"K/33/190625/1")</f>
        <v>K/33/190625/1</v>
      </c>
      <c r="C5111" s="42" t="str">
        <f>IFERROR(__xludf.DUMMYFUNCTION("""COMPUTED_VALUE"""),"Nibel. M. 16716/ Sumber Agung")</f>
        <v>Nibel. M. 16716/ Sumber Agung</v>
      </c>
      <c r="D5111" s="42"/>
      <c r="E5111" s="42"/>
      <c r="F5111" s="48" t="str">
        <f>IFERROR(__xludf.DUMMYFUNCTION("""COMPUTED_VALUE"""),"")</f>
        <v/>
      </c>
      <c r="G5111" s="42" t="str">
        <f>IFERROR(__xludf.DUMMYFUNCTION("""COMPUTED_VALUE"""),"BN Jual Beli")</f>
        <v>BN Jual Beli</v>
      </c>
      <c r="H5111" s="42">
        <f t="shared" si="1"/>
        <v>2266</v>
      </c>
    </row>
    <row r="5112" ht="22.5" customHeight="1">
      <c r="B5112" s="42" t="str">
        <f>IFERROR(__xludf.DUMMYFUNCTION("""COMPUTED_VALUE"""),"K/31/190625/1")</f>
        <v>K/31/190625/1</v>
      </c>
      <c r="C5112" s="42" t="str">
        <f>IFERROR(__xludf.DUMMYFUNCTION("""COMPUTED_VALUE"""),"M.2447/GEDONG AIR")</f>
        <v>M.2447/GEDONG AIR</v>
      </c>
      <c r="D5112" s="42" t="str">
        <f>IFERROR(__xludf.DUMMYFUNCTION("""COMPUTED_VALUE"""),"Berry")</f>
        <v>Berry</v>
      </c>
      <c r="E5112" s="42" t="str">
        <f>IFERROR(__xludf.DUMMYFUNCTION("""COMPUTED_VALUE"""),"DISERAHKAN")</f>
        <v>DISERAHKAN</v>
      </c>
      <c r="F5112" s="48">
        <f>IFERROR(__xludf.DUMMYFUNCTION("""COMPUTED_VALUE"""),45839.62381917824)</f>
        <v>45839.62382</v>
      </c>
      <c r="G5112" s="42" t="str">
        <f>IFERROR(__xludf.DUMMYFUNCTION("""COMPUTED_VALUE"""),"JUAL BELI ")</f>
        <v>JUAL BELI </v>
      </c>
      <c r="H5112" s="42">
        <f t="shared" si="1"/>
        <v>2267</v>
      </c>
    </row>
    <row r="5113" ht="22.5" customHeight="1">
      <c r="B5113" s="42" t="str">
        <f>IFERROR(__xludf.DUMMYFUNCTION("""COMPUTED_VALUE"""),"K/34/190625/1")</f>
        <v>K/34/190625/1</v>
      </c>
      <c r="C5113" s="42" t="str">
        <f>IFERROR(__xludf.DUMMYFUNCTION("""COMPUTED_VALUE"""),"M.2684/WAY KANDIS ")</f>
        <v>M.2684/WAY KANDIS </v>
      </c>
      <c r="D5113" s="42" t="str">
        <f>IFERROR(__xludf.DUMMYFUNCTION("""COMPUTED_VALUE"""),"Berry")</f>
        <v>Berry</v>
      </c>
      <c r="E5113" s="42" t="str">
        <f>IFERROR(__xludf.DUMMYFUNCTION("""COMPUTED_VALUE"""),"DISERAHKAN")</f>
        <v>DISERAHKAN</v>
      </c>
      <c r="F5113" s="48">
        <f>IFERROR(__xludf.DUMMYFUNCTION("""COMPUTED_VALUE"""),45845.70462484953)</f>
        <v>45845.70462</v>
      </c>
      <c r="G5113" s="42" t="str">
        <f>IFERROR(__xludf.DUMMYFUNCTION("""COMPUTED_VALUE"""),"JUAL BELI")</f>
        <v>JUAL BELI</v>
      </c>
      <c r="H5113" s="42">
        <f t="shared" si="1"/>
        <v>2268</v>
      </c>
    </row>
    <row r="5114" ht="22.5" customHeight="1">
      <c r="B5114" s="42" t="str">
        <f>IFERROR(__xludf.DUMMYFUNCTION("""COMPUTED_VALUE"""),"K/35/190625/1")</f>
        <v>K/35/190625/1</v>
      </c>
      <c r="C5114" s="42" t="str">
        <f>IFERROR(__xludf.DUMMYFUNCTION("""COMPUTED_VALUE"""),"M. 4927/ Sukadana Ham")</f>
        <v>M. 4927/ Sukadana Ham</v>
      </c>
      <c r="D5114" s="42" t="str">
        <f>IFERROR(__xludf.DUMMYFUNCTION("""COMPUTED_VALUE"""),"Berry")</f>
        <v>Berry</v>
      </c>
      <c r="E5114" s="42" t="str">
        <f>IFERROR(__xludf.DUMMYFUNCTION("""COMPUTED_VALUE"""),"DISERAHKAN")</f>
        <v>DISERAHKAN</v>
      </c>
      <c r="F5114" s="48">
        <f>IFERROR(__xludf.DUMMYFUNCTION("""COMPUTED_VALUE"""),45839.62663408565)</f>
        <v>45839.62663</v>
      </c>
      <c r="G5114" s="42" t="str">
        <f>IFERROR(__xludf.DUMMYFUNCTION("""COMPUTED_VALUE"""),"BN Jual Beli")</f>
        <v>BN Jual Beli</v>
      </c>
      <c r="H5114" s="42">
        <f t="shared" si="1"/>
        <v>2269</v>
      </c>
    </row>
    <row r="5115" ht="22.5" customHeight="1">
      <c r="B5115" s="42" t="str">
        <f>IFERROR(__xludf.DUMMYFUNCTION("""COMPUTED_VALUE"""),"K/36/190625/1")</f>
        <v>K/36/190625/1</v>
      </c>
      <c r="C5115" s="42" t="str">
        <f>IFERROR(__xludf.DUMMYFUNCTION("""COMPUTED_VALUE"""),"B.71/KOTA KARANG")</f>
        <v>B.71/KOTA KARANG</v>
      </c>
      <c r="D5115" s="42"/>
      <c r="E5115" s="42"/>
      <c r="F5115" s="48" t="str">
        <f>IFERROR(__xludf.DUMMYFUNCTION("""COMPUTED_VALUE"""),"")</f>
        <v/>
      </c>
      <c r="G5115" s="42" t="str">
        <f>IFERROR(__xludf.DUMMYFUNCTION("""COMPUTED_VALUE"""),"PENINGKATAN HAK")</f>
        <v>PENINGKATAN HAK</v>
      </c>
      <c r="H5115" s="42">
        <f t="shared" si="1"/>
        <v>2269</v>
      </c>
    </row>
    <row r="5116" ht="22.5" customHeight="1">
      <c r="B5116" s="42" t="str">
        <f>IFERROR(__xludf.DUMMYFUNCTION("""COMPUTED_VALUE"""),"K/37/190625/2")</f>
        <v>K/37/190625/2</v>
      </c>
      <c r="C5116" s="42" t="str">
        <f>IFERROR(__xludf.DUMMYFUNCTION("""COMPUTED_VALUE"""),"M.3390/KOTA BARU")</f>
        <v>M.3390/KOTA BARU</v>
      </c>
      <c r="D5116" s="42" t="str">
        <f>IFERROR(__xludf.DUMMYFUNCTION("""COMPUTED_VALUE"""),"Berry")</f>
        <v>Berry</v>
      </c>
      <c r="E5116" s="42" t="str">
        <f>IFERROR(__xludf.DUMMYFUNCTION("""COMPUTED_VALUE"""),"DISERAHKAN")</f>
        <v>DISERAHKAN</v>
      </c>
      <c r="F5116" s="48">
        <f>IFERROR(__xludf.DUMMYFUNCTION("""COMPUTED_VALUE"""),45845.704262037034)</f>
        <v>45845.70426</v>
      </c>
      <c r="G5116" s="42" t="str">
        <f>IFERROR(__xludf.DUMMYFUNCTION("""COMPUTED_VALUE"""),"JUAL BELI")</f>
        <v>JUAL BELI</v>
      </c>
      <c r="H5116" s="42">
        <f t="shared" si="1"/>
        <v>2270</v>
      </c>
    </row>
    <row r="5117" ht="22.5" customHeight="1">
      <c r="B5117" s="42" t="str">
        <f>IFERROR(__xludf.DUMMYFUNCTION("""COMPUTED_VALUE"""),"K/10/190625/2")</f>
        <v>K/10/190625/2</v>
      </c>
      <c r="C5117" s="42" t="str">
        <f>IFERROR(__xludf.DUMMYFUNCTION("""COMPUTED_VALUE"""),"NIBEL M.2282/KALI BALAU KENCANA")</f>
        <v>NIBEL M.2282/KALI BALAU KENCANA</v>
      </c>
      <c r="D5117" s="42"/>
      <c r="E5117" s="42"/>
      <c r="F5117" s="48" t="str">
        <f>IFERROR(__xludf.DUMMYFUNCTION("""COMPUTED_VALUE"""),"")</f>
        <v/>
      </c>
      <c r="G5117" s="42" t="str">
        <f>IFERROR(__xludf.DUMMYFUNCTION("""COMPUTED_VALUE"""),"BN HIBAH")</f>
        <v>BN HIBAH</v>
      </c>
      <c r="H5117" s="42">
        <f t="shared" si="1"/>
        <v>2270</v>
      </c>
    </row>
    <row r="5118" ht="22.5" customHeight="1">
      <c r="B5118" s="42" t="str">
        <f>IFERROR(__xludf.DUMMYFUNCTION("""COMPUTED_VALUE"""),"K/38/190625/1")</f>
        <v>K/38/190625/1</v>
      </c>
      <c r="C5118" s="42" t="str">
        <f>IFERROR(__xludf.DUMMYFUNCTION("""COMPUTED_VALUE"""),"M. 1253/BERINGIN JAYA")</f>
        <v>M. 1253/BERINGIN JAYA</v>
      </c>
      <c r="D5118" s="42" t="str">
        <f>IFERROR(__xludf.DUMMYFUNCTION("""COMPUTED_VALUE"""),"Berry")</f>
        <v>Berry</v>
      </c>
      <c r="E5118" s="42" t="str">
        <f>IFERROR(__xludf.DUMMYFUNCTION("""COMPUTED_VALUE"""),"DISERAHKAN")</f>
        <v>DISERAHKAN</v>
      </c>
      <c r="F5118" s="48">
        <f>IFERROR(__xludf.DUMMYFUNCTION("""COMPUTED_VALUE"""),45845.71196966435)</f>
        <v>45845.71197</v>
      </c>
      <c r="G5118" s="42" t="str">
        <f>IFERROR(__xludf.DUMMYFUNCTION("""COMPUTED_VALUE"""),"BN JUAL BELI")</f>
        <v>BN JUAL BELI</v>
      </c>
      <c r="H5118" s="42">
        <f t="shared" si="1"/>
        <v>2271</v>
      </c>
    </row>
    <row r="5119" ht="22.5" customHeight="1">
      <c r="B5119" s="42" t="str">
        <f>IFERROR(__xludf.DUMMYFUNCTION("""COMPUTED_VALUE"""),"K/39/190625/1")</f>
        <v>K/39/190625/1</v>
      </c>
      <c r="C5119" s="42" t="str">
        <f>IFERROR(__xludf.DUMMYFUNCTION("""COMPUTED_VALUE"""),"M. 4582/ Langkapura")</f>
        <v>M. 4582/ Langkapura</v>
      </c>
      <c r="D5119" s="42" t="str">
        <f>IFERROR(__xludf.DUMMYFUNCTION("""COMPUTED_VALUE"""),"Berry")</f>
        <v>Berry</v>
      </c>
      <c r="E5119" s="42" t="str">
        <f>IFERROR(__xludf.DUMMYFUNCTION("""COMPUTED_VALUE"""),"DISERAHKAN")</f>
        <v>DISERAHKAN</v>
      </c>
      <c r="F5119" s="48">
        <f>IFERROR(__xludf.DUMMYFUNCTION("""COMPUTED_VALUE"""),45875.63567737269)</f>
        <v>45875.63568</v>
      </c>
      <c r="G5119" s="42" t="str">
        <f>IFERROR(__xludf.DUMMYFUNCTION("""COMPUTED_VALUE"""),"BN JUAL BELI")</f>
        <v>BN JUAL BELI</v>
      </c>
      <c r="H5119" s="42">
        <f t="shared" si="1"/>
        <v>2272</v>
      </c>
    </row>
    <row r="5120" ht="22.5" customHeight="1">
      <c r="B5120" s="42" t="str">
        <f>IFERROR(__xludf.DUMMYFUNCTION("""COMPUTED_VALUE"""),"K/40/190625/2")</f>
        <v>K/40/190625/2</v>
      </c>
      <c r="C5120" s="42" t="str">
        <f>IFERROR(__xludf.DUMMYFUNCTION("""COMPUTED_VALUE"""),"M. 1128/ Korpri Jaya")</f>
        <v>M. 1128/ Korpri Jaya</v>
      </c>
      <c r="D5120" s="42" t="str">
        <f>IFERROR(__xludf.DUMMYFUNCTION("""COMPUTED_VALUE"""),"Berry")</f>
        <v>Berry</v>
      </c>
      <c r="E5120" s="42" t="str">
        <f>IFERROR(__xludf.DUMMYFUNCTION("""COMPUTED_VALUE"""),"DISERAHKAN")</f>
        <v>DISERAHKAN</v>
      </c>
      <c r="F5120" s="48">
        <f>IFERROR(__xludf.DUMMYFUNCTION("""COMPUTED_VALUE"""),45852.624480185186)</f>
        <v>45852.62448</v>
      </c>
      <c r="G5120" s="42" t="str">
        <f>IFERROR(__xludf.DUMMYFUNCTION("""COMPUTED_VALUE"""),"BN JUAL BELI")</f>
        <v>BN JUAL BELI</v>
      </c>
      <c r="H5120" s="42">
        <f t="shared" si="1"/>
        <v>2273</v>
      </c>
    </row>
    <row r="5121" ht="22.5" customHeight="1">
      <c r="B5121" s="42" t="str">
        <f>IFERROR(__xludf.DUMMYFUNCTION("""COMPUTED_VALUE"""),"K/41/190625/3")</f>
        <v>K/41/190625/3</v>
      </c>
      <c r="C5121" s="42" t="str">
        <f>IFERROR(__xludf.DUMMYFUNCTION("""COMPUTED_VALUE"""),"M. 2608/ Durian Payung")</f>
        <v>M. 2608/ Durian Payung</v>
      </c>
      <c r="D5121" s="42" t="str">
        <f>IFERROR(__xludf.DUMMYFUNCTION("""COMPUTED_VALUE"""),"David")</f>
        <v>David</v>
      </c>
      <c r="E5121" s="42" t="str">
        <f>IFERROR(__xludf.DUMMYFUNCTION("""COMPUTED_VALUE"""),"DISERAHKAN")</f>
        <v>DISERAHKAN</v>
      </c>
      <c r="F5121" s="48">
        <f>IFERROR(__xludf.DUMMYFUNCTION("""COMPUTED_VALUE"""),45848.52373621528)</f>
        <v>45848.52374</v>
      </c>
      <c r="G5121" s="42" t="str">
        <f>IFERROR(__xludf.DUMMYFUNCTION("""COMPUTED_VALUE"""),"BN JUAL BELI")</f>
        <v>BN JUAL BELI</v>
      </c>
      <c r="H5121" s="42">
        <f t="shared" si="1"/>
        <v>2274</v>
      </c>
    </row>
    <row r="5122" ht="22.5" customHeight="1">
      <c r="B5122" s="42" t="str">
        <f>IFERROR(__xludf.DUMMYFUNCTION("""COMPUTED_VALUE"""),"K/42/190625/1")</f>
        <v>K/42/190625/1</v>
      </c>
      <c r="C5122" s="42" t="str">
        <f>IFERROR(__xludf.DUMMYFUNCTION("""COMPUTED_VALUE"""),"M.491/SUKARAME BARU")</f>
        <v>M.491/SUKARAME BARU</v>
      </c>
      <c r="D5122" s="42"/>
      <c r="E5122" s="42"/>
      <c r="F5122" s="48" t="str">
        <f>IFERROR(__xludf.DUMMYFUNCTION("""COMPUTED_VALUE"""),"")</f>
        <v/>
      </c>
      <c r="G5122" s="42" t="str">
        <f>IFERROR(__xludf.DUMMYFUNCTION("""COMPUTED_VALUE"""),"PTPGT")</f>
        <v>PTPGT</v>
      </c>
      <c r="H5122" s="42">
        <f t="shared" si="1"/>
        <v>2274</v>
      </c>
    </row>
    <row r="5123" ht="22.5" customHeight="1">
      <c r="B5123" s="42" t="str">
        <f>IFERROR(__xludf.DUMMYFUNCTION("""COMPUTED_VALUE"""),"K/43/190625/1")</f>
        <v>K/43/190625/1</v>
      </c>
      <c r="C5123" s="42" t="str">
        <f>IFERROR(__xludf.DUMMYFUNCTION("""COMPUTED_VALUE"""),"M. 5084/ Rajabasa Jaya")</f>
        <v>M. 5084/ Rajabasa Jaya</v>
      </c>
      <c r="D5123" s="42" t="str">
        <f>IFERROR(__xludf.DUMMYFUNCTION("""COMPUTED_VALUE"""),"David")</f>
        <v>David</v>
      </c>
      <c r="E5123" s="42" t="str">
        <f>IFERROR(__xludf.DUMMYFUNCTION("""COMPUTED_VALUE"""),"DISERAHKAN")</f>
        <v>DISERAHKAN</v>
      </c>
      <c r="F5123" s="48">
        <f>IFERROR(__xludf.DUMMYFUNCTION("""COMPUTED_VALUE"""),45873.62627728009)</f>
        <v>45873.62628</v>
      </c>
      <c r="G5123" s="42" t="str">
        <f>IFERROR(__xludf.DUMMYFUNCTION("""COMPUTED_VALUE"""),"BN JUAL BELI")</f>
        <v>BN JUAL BELI</v>
      </c>
      <c r="H5123" s="42">
        <f t="shared" si="1"/>
        <v>2275</v>
      </c>
    </row>
    <row r="5124" ht="22.5" customHeight="1">
      <c r="B5124" s="42" t="str">
        <f>IFERROR(__xludf.DUMMYFUNCTION("""COMPUTED_VALUE"""),"K/44/190625/2")</f>
        <v>K/44/190625/2</v>
      </c>
      <c r="C5124" s="42" t="str">
        <f>IFERROR(__xludf.DUMMYFUNCTION("""COMPUTED_VALUE"""),"M. 1634/ Rajabsa Pemuka")</f>
        <v>M. 1634/ Rajabsa Pemuka</v>
      </c>
      <c r="D5124" s="42"/>
      <c r="E5124" s="42"/>
      <c r="F5124" s="48" t="str">
        <f>IFERROR(__xludf.DUMMYFUNCTION("""COMPUTED_VALUE"""),"")</f>
        <v/>
      </c>
      <c r="G5124" s="42" t="str">
        <f>IFERROR(__xludf.DUMMYFUNCTION("""COMPUTED_VALUE"""),"BN JUAL BELI")</f>
        <v>BN JUAL BELI</v>
      </c>
      <c r="H5124" s="42">
        <f t="shared" si="1"/>
        <v>2275</v>
      </c>
    </row>
    <row r="5125" ht="22.5" customHeight="1">
      <c r="B5125" s="42" t="str">
        <f>IFERROR(__xludf.DUMMYFUNCTION("""COMPUTED_VALUE"""),"K/45/190625/3")</f>
        <v>K/45/190625/3</v>
      </c>
      <c r="C5125" s="42" t="str">
        <f>IFERROR(__xludf.DUMMYFUNCTION("""COMPUTED_VALUE"""),"M. 311/ Way Laga")</f>
        <v>M. 311/ Way Laga</v>
      </c>
      <c r="D5125" s="42" t="str">
        <f>IFERROR(__xludf.DUMMYFUNCTION("""COMPUTED_VALUE"""),"David")</f>
        <v>David</v>
      </c>
      <c r="E5125" s="42" t="str">
        <f>IFERROR(__xludf.DUMMYFUNCTION("""COMPUTED_VALUE"""),"DISERAHKAN")</f>
        <v>DISERAHKAN</v>
      </c>
      <c r="F5125" s="48">
        <f>IFERROR(__xludf.DUMMYFUNCTION("""COMPUTED_VALUE"""),45848.52373621528)</f>
        <v>45848.52374</v>
      </c>
      <c r="G5125" s="42" t="str">
        <f>IFERROR(__xludf.DUMMYFUNCTION("""COMPUTED_VALUE"""),"BN JUAL BELI")</f>
        <v>BN JUAL BELI</v>
      </c>
      <c r="H5125" s="42">
        <f t="shared" si="1"/>
        <v>2276</v>
      </c>
    </row>
    <row r="5126" ht="22.5" customHeight="1">
      <c r="B5126" s="42" t="str">
        <f>IFERROR(__xludf.DUMMYFUNCTION("""COMPUTED_VALUE"""),"K/1/200625/1")</f>
        <v>K/1/200625/1</v>
      </c>
      <c r="C5126" s="42" t="str">
        <f>IFERROR(__xludf.DUMMYFUNCTION("""COMPUTED_VALUE"""),"M. 2041/ Susunan Baru")</f>
        <v>M. 2041/ Susunan Baru</v>
      </c>
      <c r="D5126" s="42" t="str">
        <f>IFERROR(__xludf.DUMMYFUNCTION("""COMPUTED_VALUE"""),"Berry")</f>
        <v>Berry</v>
      </c>
      <c r="E5126" s="42" t="str">
        <f>IFERROR(__xludf.DUMMYFUNCTION("""COMPUTED_VALUE"""),"DISERAHKAN")</f>
        <v>DISERAHKAN</v>
      </c>
      <c r="F5126" s="48">
        <f>IFERROR(__xludf.DUMMYFUNCTION("""COMPUTED_VALUE"""),45841.50297162037)</f>
        <v>45841.50297</v>
      </c>
      <c r="G5126" s="42" t="str">
        <f>IFERROR(__xludf.DUMMYFUNCTION("""COMPUTED_VALUE"""),"BN JUAL BELI")</f>
        <v>BN JUAL BELI</v>
      </c>
      <c r="H5126" s="42">
        <f t="shared" si="1"/>
        <v>2277</v>
      </c>
    </row>
    <row r="5127" ht="22.5" customHeight="1">
      <c r="B5127" s="42" t="str">
        <f>IFERROR(__xludf.DUMMYFUNCTION("""COMPUTED_VALUE"""),"L/2/200625/1")</f>
        <v>L/2/200625/1</v>
      </c>
      <c r="C5127" s="42" t="str">
        <f>IFERROR(__xludf.DUMMYFUNCTION("""COMPUTED_VALUE"""),"HGB 308/SEGALA MIDER")</f>
        <v>HGB 308/SEGALA MIDER</v>
      </c>
      <c r="D5127" s="42"/>
      <c r="E5127" s="42"/>
      <c r="F5127" s="48" t="str">
        <f>IFERROR(__xludf.DUMMYFUNCTION("""COMPUTED_VALUE"""),"")</f>
        <v/>
      </c>
      <c r="G5127" s="42" t="str">
        <f>IFERROR(__xludf.DUMMYFUNCTION("""COMPUTED_VALUE"""),"ASPEK")</f>
        <v>ASPEK</v>
      </c>
      <c r="H5127" s="42">
        <f t="shared" si="1"/>
        <v>2277</v>
      </c>
    </row>
    <row r="5128" ht="22.5" customHeight="1">
      <c r="B5128" s="42" t="str">
        <f>IFERROR(__xludf.DUMMYFUNCTION("""COMPUTED_VALUE"""),"K/3/200625/1")</f>
        <v>K/3/200625/1</v>
      </c>
      <c r="C5128" s="42" t="str">
        <f>IFERROR(__xludf.DUMMYFUNCTION("""COMPUTED_VALUE"""),"M.6393/WAY KANDIS")</f>
        <v>M.6393/WAY KANDIS</v>
      </c>
      <c r="D5128" s="42" t="str">
        <f>IFERROR(__xludf.DUMMYFUNCTION("""COMPUTED_VALUE"""),"David")</f>
        <v>David</v>
      </c>
      <c r="E5128" s="42" t="str">
        <f>IFERROR(__xludf.DUMMYFUNCTION("""COMPUTED_VALUE"""),"DISERAHKAN")</f>
        <v>DISERAHKAN</v>
      </c>
      <c r="F5128" s="48">
        <f>IFERROR(__xludf.DUMMYFUNCTION("""COMPUTED_VALUE"""),45848.616045902774)</f>
        <v>45848.61605</v>
      </c>
      <c r="G5128" s="42" t="str">
        <f>IFERROR(__xludf.DUMMYFUNCTION("""COMPUTED_VALUE"""),"JUAL BELI")</f>
        <v>JUAL BELI</v>
      </c>
      <c r="H5128" s="42">
        <f t="shared" si="1"/>
        <v>2278</v>
      </c>
    </row>
    <row r="5129" ht="22.5" customHeight="1">
      <c r="B5129" s="42" t="str">
        <f>IFERROR(__xludf.DUMMYFUNCTION("""COMPUTED_VALUE"""),"K/4/200625/1")</f>
        <v>K/4/200625/1</v>
      </c>
      <c r="C5129" s="42" t="str">
        <f>IFERROR(__xludf.DUMMYFUNCTION("""COMPUTED_VALUE"""),"NIBEL B17610/NUSANTARA PERMAI")</f>
        <v>NIBEL B17610/NUSANTARA PERMAI</v>
      </c>
      <c r="D5129" s="42"/>
      <c r="E5129" s="42"/>
      <c r="F5129" s="48" t="str">
        <f>IFERROR(__xludf.DUMMYFUNCTION("""COMPUTED_VALUE"""),"")</f>
        <v/>
      </c>
      <c r="G5129" s="42" t="str">
        <f>IFERROR(__xludf.DUMMYFUNCTION("""COMPUTED_VALUE"""),"SKPT INFORMASI ")</f>
        <v>SKPT INFORMASI </v>
      </c>
      <c r="H5129" s="42">
        <f t="shared" si="1"/>
        <v>2278</v>
      </c>
    </row>
    <row r="5130" ht="22.5" customHeight="1">
      <c r="B5130" s="42" t="str">
        <f>IFERROR(__xludf.DUMMYFUNCTION("""COMPUTED_VALUE"""),"L/6/200625/1")</f>
        <v>L/6/200625/1</v>
      </c>
      <c r="C5130" s="42" t="str">
        <f>IFERROR(__xludf.DUMMYFUNCTION("""COMPUTED_VALUE"""),"HM 1913/TANJUNG SENANG")</f>
        <v>HM 1913/TANJUNG SENANG</v>
      </c>
      <c r="D5130" s="42"/>
      <c r="E5130" s="42"/>
      <c r="F5130" s="48" t="str">
        <f>IFERROR(__xludf.DUMMYFUNCTION("""COMPUTED_VALUE"""),"")</f>
        <v/>
      </c>
      <c r="G5130" s="42" t="str">
        <f>IFERROR(__xludf.DUMMYFUNCTION("""COMPUTED_VALUE"""),"ROYA")</f>
        <v>ROYA</v>
      </c>
      <c r="H5130" s="42">
        <f t="shared" si="1"/>
        <v>2278</v>
      </c>
    </row>
    <row r="5131" ht="22.5" customHeight="1">
      <c r="B5131" s="42" t="str">
        <f>IFERROR(__xludf.DUMMYFUNCTION("""COMPUTED_VALUE"""),"K/7/200625/1")</f>
        <v>K/7/200625/1</v>
      </c>
      <c r="C5131" s="42" t="str">
        <f>IFERROR(__xludf.DUMMYFUNCTION("""COMPUTED_VALUE"""),"NIbel 8410/ Sukarame Baru")</f>
        <v>NIbel 8410/ Sukarame Baru</v>
      </c>
      <c r="D5131" s="42"/>
      <c r="E5131" s="42"/>
      <c r="F5131" s="48" t="str">
        <f>IFERROR(__xludf.DUMMYFUNCTION("""COMPUTED_VALUE"""),"")</f>
        <v/>
      </c>
      <c r="G5131" s="42" t="str">
        <f>IFERROR(__xludf.DUMMYFUNCTION("""COMPUTED_VALUE"""),"BN JUAL BELI")</f>
        <v>BN JUAL BELI</v>
      </c>
      <c r="H5131" s="42">
        <f t="shared" si="1"/>
        <v>2278</v>
      </c>
    </row>
    <row r="5132" ht="22.5" customHeight="1">
      <c r="B5132" s="42" t="str">
        <f>IFERROR(__xludf.DUMMYFUNCTION("""COMPUTED_VALUE"""),"K/8/200625/2")</f>
        <v>K/8/200625/2</v>
      </c>
      <c r="C5132" s="42" t="str">
        <f>IFERROR(__xludf.DUMMYFUNCTION("""COMPUTED_VALUE"""),"M. 345/ rajabasa Jaya")</f>
        <v>M. 345/ rajabasa Jaya</v>
      </c>
      <c r="D5132" s="42"/>
      <c r="E5132" s="42"/>
      <c r="F5132" s="48" t="str">
        <f>IFERROR(__xludf.DUMMYFUNCTION("""COMPUTED_VALUE"""),"")</f>
        <v/>
      </c>
      <c r="G5132" s="42" t="str">
        <f>IFERROR(__xludf.DUMMYFUNCTION("""COMPUTED_VALUE"""),"PTPGT PEMECAHAN/PEMISAHAN")</f>
        <v>PTPGT PEMECAHAN/PEMISAHAN</v>
      </c>
      <c r="H5132" s="42">
        <f t="shared" si="1"/>
        <v>2278</v>
      </c>
    </row>
    <row r="5133" ht="22.5" customHeight="1">
      <c r="B5133" s="42" t="str">
        <f>IFERROR(__xludf.DUMMYFUNCTION("""COMPUTED_VALUE"""),"K/5/200625/1")</f>
        <v>K/5/200625/1</v>
      </c>
      <c r="C5133" s="42" t="str">
        <f>IFERROR(__xludf.DUMMYFUNCTION("""COMPUTED_VALUE"""),"SUMBER AGUNG (LUAS 1.100 M2)")</f>
        <v>SUMBER AGUNG (LUAS 1.100 M2)</v>
      </c>
      <c r="D5133" s="42"/>
      <c r="E5133" s="42"/>
      <c r="F5133" s="48" t="str">
        <f>IFERROR(__xludf.DUMMYFUNCTION("""COMPUTED_VALUE"""),"")</f>
        <v/>
      </c>
      <c r="G5133" s="42" t="str">
        <f>IFERROR(__xludf.DUMMYFUNCTION("""COMPUTED_VALUE"""),"PENGUKURAN PERTAMA KALI")</f>
        <v>PENGUKURAN PERTAMA KALI</v>
      </c>
      <c r="H5133" s="42">
        <f t="shared" si="1"/>
        <v>2278</v>
      </c>
    </row>
    <row r="5134" ht="22.5" customHeight="1">
      <c r="B5134" s="42" t="str">
        <f>IFERROR(__xludf.DUMMYFUNCTION("""COMPUTED_VALUE"""),"L/9/200625/1")</f>
        <v>L/9/200625/1</v>
      </c>
      <c r="C5134" s="42" t="str">
        <f>IFERROR(__xludf.DUMMYFUNCTION("""COMPUTED_VALUE"""),"HM 336/GULAK GALIK")</f>
        <v>HM 336/GULAK GALIK</v>
      </c>
      <c r="D5134" s="42"/>
      <c r="E5134" s="42"/>
      <c r="F5134" s="48" t="str">
        <f>IFERROR(__xludf.DUMMYFUNCTION("""COMPUTED_VALUE"""),"")</f>
        <v/>
      </c>
      <c r="G5134" s="42" t="str">
        <f>IFERROR(__xludf.DUMMYFUNCTION("""COMPUTED_VALUE"""),"BN WARIS")</f>
        <v>BN WARIS</v>
      </c>
      <c r="H5134" s="42">
        <f t="shared" si="1"/>
        <v>2278</v>
      </c>
    </row>
    <row r="5135" ht="22.5" customHeight="1">
      <c r="B5135" s="42" t="str">
        <f>IFERROR(__xludf.DUMMYFUNCTION("""COMPUTED_VALUE"""),"K/10/200625/1")</f>
        <v>K/10/200625/1</v>
      </c>
      <c r="C5135" s="42" t="str">
        <f>IFERROR(__xludf.DUMMYFUNCTION("""COMPUTED_VALUE"""),"M. 3370/ Kemiling Permai")</f>
        <v>M. 3370/ Kemiling Permai</v>
      </c>
      <c r="D5135" s="42" t="str">
        <f>IFERROR(__xludf.DUMMYFUNCTION("""COMPUTED_VALUE"""),"Berry")</f>
        <v>Berry</v>
      </c>
      <c r="E5135" s="42" t="str">
        <f>IFERROR(__xludf.DUMMYFUNCTION("""COMPUTED_VALUE"""),"DISERAHKAN")</f>
        <v>DISERAHKAN</v>
      </c>
      <c r="F5135" s="48">
        <f>IFERROR(__xludf.DUMMYFUNCTION("""COMPUTED_VALUE"""),45845.67392671296)</f>
        <v>45845.67393</v>
      </c>
      <c r="G5135" s="42" t="str">
        <f>IFERROR(__xludf.DUMMYFUNCTION("""COMPUTED_VALUE"""),"BN Jual Beli")</f>
        <v>BN Jual Beli</v>
      </c>
      <c r="H5135" s="42">
        <f t="shared" si="1"/>
        <v>2279</v>
      </c>
    </row>
    <row r="5136" ht="22.5" customHeight="1">
      <c r="B5136" s="42" t="str">
        <f>IFERROR(__xludf.DUMMYFUNCTION("""COMPUTED_VALUE"""),"L/11/200625/1")</f>
        <v>L/11/200625/1</v>
      </c>
      <c r="C5136" s="42" t="str">
        <f>IFERROR(__xludf.DUMMYFUNCTION("""COMPUTED_VALUE"""),"HM 12054/SUKABUMI")</f>
        <v>HM 12054/SUKABUMI</v>
      </c>
      <c r="D5136" s="42"/>
      <c r="E5136" s="42"/>
      <c r="F5136" s="48" t="str">
        <f>IFERROR(__xludf.DUMMYFUNCTION("""COMPUTED_VALUE"""),"")</f>
        <v/>
      </c>
      <c r="G5136" s="42" t="str">
        <f>IFERROR(__xludf.DUMMYFUNCTION("""COMPUTED_VALUE"""),"ROYA")</f>
        <v>ROYA</v>
      </c>
      <c r="H5136" s="42">
        <f t="shared" si="1"/>
        <v>2279</v>
      </c>
    </row>
    <row r="5137" ht="22.5" customHeight="1">
      <c r="B5137" s="42" t="str">
        <f>IFERROR(__xludf.DUMMYFUNCTION("""COMPUTED_VALUE"""),"L/15/200625/1")</f>
        <v>L/15/200625/1</v>
      </c>
      <c r="C5137" s="42" t="str">
        <f>IFERROR(__xludf.DUMMYFUNCTION("""COMPUTED_VALUE"""),"HM 167/NUSANTARA PERMAI")</f>
        <v>HM 167/NUSANTARA PERMAI</v>
      </c>
      <c r="D5137" s="42" t="str">
        <f>IFERROR(__xludf.DUMMYFUNCTION("""COMPUTED_VALUE"""),"David")</f>
        <v>David</v>
      </c>
      <c r="E5137" s="42" t="str">
        <f>IFERROR(__xludf.DUMMYFUNCTION("""COMPUTED_VALUE"""),"DISERAHKAN")</f>
        <v>DISERAHKAN</v>
      </c>
      <c r="F5137" s="48">
        <f>IFERROR(__xludf.DUMMYFUNCTION("""COMPUTED_VALUE"""),45846.668464270835)</f>
        <v>45846.66846</v>
      </c>
      <c r="G5137" s="42" t="str">
        <f>IFERROR(__xludf.DUMMYFUNCTION("""COMPUTED_VALUE"""),"ROYA")</f>
        <v>ROYA</v>
      </c>
      <c r="H5137" s="42">
        <f t="shared" si="1"/>
        <v>2280</v>
      </c>
    </row>
    <row r="5138" ht="22.5" customHeight="1">
      <c r="B5138" s="42" t="str">
        <f>IFERROR(__xludf.DUMMYFUNCTION("""COMPUTED_VALUE"""),"K/13/200625/1")</f>
        <v>K/13/200625/1</v>
      </c>
      <c r="C5138" s="42" t="str">
        <f>IFERROR(__xludf.DUMMYFUNCTION("""COMPUTED_VALUE"""),"M. 1244/ Campang Jaya")</f>
        <v>M. 1244/ Campang Jaya</v>
      </c>
      <c r="D5138" s="42"/>
      <c r="E5138" s="42"/>
      <c r="F5138" s="48" t="str">
        <f>IFERROR(__xludf.DUMMYFUNCTION("""COMPUTED_VALUE"""),"")</f>
        <v/>
      </c>
      <c r="G5138" s="42" t="str">
        <f>IFERROR(__xludf.DUMMYFUNCTION("""COMPUTED_VALUE"""),"HAPUS BPHTB")</f>
        <v>HAPUS BPHTB</v>
      </c>
      <c r="H5138" s="42">
        <f t="shared" si="1"/>
        <v>2280</v>
      </c>
    </row>
    <row r="5139" ht="22.5" customHeight="1">
      <c r="B5139" s="42" t="str">
        <f>IFERROR(__xludf.DUMMYFUNCTION("""COMPUTED_VALUE"""),"K/12/200625/1")</f>
        <v>K/12/200625/1</v>
      </c>
      <c r="C5139" s="42" t="str">
        <f>IFERROR(__xludf.DUMMYFUNCTION("""COMPUTED_VALUE"""),"B. 991/BERINGIN JAYA")</f>
        <v>B. 991/BERINGIN JAYA</v>
      </c>
      <c r="D5139" s="42"/>
      <c r="E5139" s="42"/>
      <c r="F5139" s="48" t="str">
        <f>IFERROR(__xludf.DUMMYFUNCTION("""COMPUTED_VALUE"""),"")</f>
        <v/>
      </c>
      <c r="G5139" s="42" t="str">
        <f>IFERROR(__xludf.DUMMYFUNCTION("""COMPUTED_VALUE"""),"PERUBAHAN HAK")</f>
        <v>PERUBAHAN HAK</v>
      </c>
      <c r="H5139" s="42">
        <f t="shared" si="1"/>
        <v>2280</v>
      </c>
    </row>
    <row r="5140" ht="22.5" customHeight="1">
      <c r="B5140" s="42" t="str">
        <f>IFERROR(__xludf.DUMMYFUNCTION("""COMPUTED_VALUE"""),"K/14/200625/1")</f>
        <v>K/14/200625/1</v>
      </c>
      <c r="C5140" s="42" t="str">
        <f>IFERROR(__xludf.DUMMYFUNCTION("""COMPUTED_VALUE"""),"M. 1824/ Way Kandis")</f>
        <v>M. 1824/ Way Kandis</v>
      </c>
      <c r="D5140" s="42" t="str">
        <f>IFERROR(__xludf.DUMMYFUNCTION("""COMPUTED_VALUE"""),"Berry")</f>
        <v>Berry</v>
      </c>
      <c r="E5140" s="42" t="str">
        <f>IFERROR(__xludf.DUMMYFUNCTION("""COMPUTED_VALUE"""),"DISERAHKAN")</f>
        <v>DISERAHKAN</v>
      </c>
      <c r="F5140" s="48">
        <f>IFERROR(__xludf.DUMMYFUNCTION("""COMPUTED_VALUE"""),45853.72204824074)</f>
        <v>45853.72205</v>
      </c>
      <c r="G5140" s="42" t="str">
        <f>IFERROR(__xludf.DUMMYFUNCTION("""COMPUTED_VALUE"""),"BN Jual Beli")</f>
        <v>BN Jual Beli</v>
      </c>
      <c r="H5140" s="42">
        <f t="shared" si="1"/>
        <v>2281</v>
      </c>
    </row>
    <row r="5141" ht="22.5" customHeight="1">
      <c r="B5141" s="42" t="str">
        <f>IFERROR(__xludf.DUMMYFUNCTION("""COMPUTED_VALUE"""),"K/17/200625/1")</f>
        <v>K/17/200625/1</v>
      </c>
      <c r="C5141" s="42" t="str">
        <f>IFERROR(__xludf.DUMMYFUNCTION("""COMPUTED_VALUE"""),"M. 11546/ Sukabumi")</f>
        <v>M. 11546/ Sukabumi</v>
      </c>
      <c r="D5141" s="42"/>
      <c r="E5141" s="42"/>
      <c r="F5141" s="48" t="str">
        <f>IFERROR(__xludf.DUMMYFUNCTION("""COMPUTED_VALUE"""),"")</f>
        <v/>
      </c>
      <c r="G5141" s="42" t="str">
        <f>IFERROR(__xludf.DUMMYFUNCTION("""COMPUTED_VALUE"""),"BLOKIR")</f>
        <v>BLOKIR</v>
      </c>
      <c r="H5141" s="42">
        <f t="shared" si="1"/>
        <v>2281</v>
      </c>
    </row>
    <row r="5142" ht="22.5" customHeight="1">
      <c r="B5142" s="42" t="str">
        <f>IFERROR(__xludf.DUMMYFUNCTION("""COMPUTED_VALUE"""),"K/16/200625/1")</f>
        <v>K/16/200625/1</v>
      </c>
      <c r="C5142" s="42" t="str">
        <f>IFERROR(__xludf.DUMMYFUNCTION("""COMPUTED_VALUE"""),"M. 734/BERINGIN JAYA")</f>
        <v>M. 734/BERINGIN JAYA</v>
      </c>
      <c r="D5142" s="42"/>
      <c r="E5142" s="42"/>
      <c r="F5142" s="48" t="str">
        <f>IFERROR(__xludf.DUMMYFUNCTION("""COMPUTED_VALUE"""),"")</f>
        <v/>
      </c>
      <c r="G5142" s="42" t="str">
        <f>IFERROR(__xludf.DUMMYFUNCTION("""COMPUTED_VALUE"""),"HAPUS BPHTB")</f>
        <v>HAPUS BPHTB</v>
      </c>
      <c r="H5142" s="42">
        <f t="shared" si="1"/>
        <v>2281</v>
      </c>
    </row>
    <row r="5143" ht="22.5" customHeight="1">
      <c r="B5143" s="42" t="str">
        <f>IFERROR(__xludf.DUMMYFUNCTION("""COMPUTED_VALUE"""),"K/19/200625/1")</f>
        <v>K/19/200625/1</v>
      </c>
      <c r="C5143" s="42" t="str">
        <f>IFERROR(__xludf.DUMMYFUNCTION("""COMPUTED_VALUE"""),"M. 1281/ Kelapa Tiga ")</f>
        <v>M. 1281/ Kelapa Tiga </v>
      </c>
      <c r="D5143" s="42"/>
      <c r="E5143" s="42"/>
      <c r="F5143" s="48" t="str">
        <f>IFERROR(__xludf.DUMMYFUNCTION("""COMPUTED_VALUE"""),"")</f>
        <v/>
      </c>
      <c r="G5143" s="42" t="str">
        <f>IFERROR(__xludf.DUMMYFUNCTION("""COMPUTED_VALUE"""),"BN Jual Beli")</f>
        <v>BN Jual Beli</v>
      </c>
      <c r="H5143" s="42">
        <f t="shared" si="1"/>
        <v>2281</v>
      </c>
    </row>
    <row r="5144" ht="22.5" customHeight="1">
      <c r="B5144" s="42" t="str">
        <f>IFERROR(__xludf.DUMMYFUNCTION("""COMPUTED_VALUE"""),"K/22/200625/1")</f>
        <v>K/22/200625/1</v>
      </c>
      <c r="C5144" s="42" t="str">
        <f>IFERROR(__xludf.DUMMYFUNCTION("""COMPUTED_VALUE"""),"Nibel. M. 19066/ Rajabasa Jaya")</f>
        <v>Nibel. M. 19066/ Rajabasa Jaya</v>
      </c>
      <c r="D5144" s="42"/>
      <c r="E5144" s="42"/>
      <c r="F5144" s="48" t="str">
        <f>IFERROR(__xludf.DUMMYFUNCTION("""COMPUTED_VALUE"""),"")</f>
        <v/>
      </c>
      <c r="G5144" s="42" t="str">
        <f>IFERROR(__xludf.DUMMYFUNCTION("""COMPUTED_VALUE"""),"BN Jual Beli")</f>
        <v>BN Jual Beli</v>
      </c>
      <c r="H5144" s="42">
        <f t="shared" si="1"/>
        <v>2281</v>
      </c>
    </row>
    <row r="5145" ht="22.5" customHeight="1">
      <c r="B5145" s="42" t="str">
        <f>IFERROR(__xludf.DUMMYFUNCTION("""COMPUTED_VALUE"""),"K/20/200625/1")</f>
        <v>K/20/200625/1</v>
      </c>
      <c r="C5145" s="42" t="str">
        <f>IFERROR(__xludf.DUMMYFUNCTION("""COMPUTED_VALUE"""),"NIBEL M.2887/WAY KANDIS")</f>
        <v>NIBEL M.2887/WAY KANDIS</v>
      </c>
      <c r="D5145" s="42"/>
      <c r="E5145" s="42"/>
      <c r="F5145" s="48" t="str">
        <f>IFERROR(__xludf.DUMMYFUNCTION("""COMPUTED_VALUE"""),"")</f>
        <v/>
      </c>
      <c r="G5145" s="42" t="str">
        <f>IFERROR(__xludf.DUMMYFUNCTION("""COMPUTED_VALUE"""),"BN JUAL BELI ")</f>
        <v>BN JUAL BELI </v>
      </c>
      <c r="H5145" s="42">
        <f t="shared" si="1"/>
        <v>2281</v>
      </c>
    </row>
    <row r="5146" ht="22.5" customHeight="1">
      <c r="B5146" s="42" t="str">
        <f>IFERROR(__xludf.DUMMYFUNCTION("""COMPUTED_VALUE"""),"K/21/200625/2")</f>
        <v>K/21/200625/2</v>
      </c>
      <c r="C5146" s="42" t="str">
        <f>IFERROR(__xludf.DUMMYFUNCTION("""COMPUTED_VALUE"""),"NIBEL B. 21000/SUMUR PUTRI")</f>
        <v>NIBEL B. 21000/SUMUR PUTRI</v>
      </c>
      <c r="D5146" s="42"/>
      <c r="E5146" s="42"/>
      <c r="F5146" s="48" t="str">
        <f>IFERROR(__xludf.DUMMYFUNCTION("""COMPUTED_VALUE"""),"")</f>
        <v/>
      </c>
      <c r="G5146" s="42" t="str">
        <f>IFERROR(__xludf.DUMMYFUNCTION("""COMPUTED_VALUE"""),"PENINGKATAN HAK")</f>
        <v>PENINGKATAN HAK</v>
      </c>
      <c r="H5146" s="42">
        <f t="shared" si="1"/>
        <v>2281</v>
      </c>
    </row>
    <row r="5147" ht="22.5" customHeight="1">
      <c r="B5147" s="42" t="str">
        <f>IFERROR(__xludf.DUMMYFUNCTION("""COMPUTED_VALUE"""),"K/23/200625/1")</f>
        <v>K/23/200625/1</v>
      </c>
      <c r="C5147" s="42" t="str">
        <f>IFERROR(__xludf.DUMMYFUNCTION("""COMPUTED_VALUE"""),"Nibel 3273/ Rajabasa Pemuka")</f>
        <v>Nibel 3273/ Rajabasa Pemuka</v>
      </c>
      <c r="D5147" s="42"/>
      <c r="E5147" s="42"/>
      <c r="F5147" s="48" t="str">
        <f>IFERROR(__xludf.DUMMYFUNCTION("""COMPUTED_VALUE"""),"")</f>
        <v/>
      </c>
      <c r="G5147" s="42" t="str">
        <f>IFERROR(__xludf.DUMMYFUNCTION("""COMPUTED_VALUE"""),"BN JUAL BELI")</f>
        <v>BN JUAL BELI</v>
      </c>
      <c r="H5147" s="42">
        <f t="shared" si="1"/>
        <v>2281</v>
      </c>
    </row>
    <row r="5148" ht="22.5" customHeight="1">
      <c r="B5148" s="42" t="str">
        <f>IFERROR(__xludf.DUMMYFUNCTION("""COMPUTED_VALUE"""),"K/24/200625/2")</f>
        <v>K/24/200625/2</v>
      </c>
      <c r="C5148" s="42" t="str">
        <f>IFERROR(__xludf.DUMMYFUNCTION("""COMPUTED_VALUE"""),"B. 930/ Sukabumi Indah")</f>
        <v>B. 930/ Sukabumi Indah</v>
      </c>
      <c r="D5148" s="42" t="str">
        <f>IFERROR(__xludf.DUMMYFUNCTION("""COMPUTED_VALUE"""),"David")</f>
        <v>David</v>
      </c>
      <c r="E5148" s="42" t="str">
        <f>IFERROR(__xludf.DUMMYFUNCTION("""COMPUTED_VALUE"""),"DISERAHKAN")</f>
        <v>DISERAHKAN</v>
      </c>
      <c r="F5148" s="48">
        <f>IFERROR(__xludf.DUMMYFUNCTION("""COMPUTED_VALUE"""),45849.43346438657)</f>
        <v>45849.43346</v>
      </c>
      <c r="G5148" s="42" t="str">
        <f>IFERROR(__xludf.DUMMYFUNCTION("""COMPUTED_VALUE"""),"BN JUAL BELI")</f>
        <v>BN JUAL BELI</v>
      </c>
      <c r="H5148" s="42">
        <f t="shared" si="1"/>
        <v>2282</v>
      </c>
    </row>
    <row r="5149" ht="22.5" customHeight="1">
      <c r="B5149" s="42" t="str">
        <f>IFERROR(__xludf.DUMMYFUNCTION("""COMPUTED_VALUE"""),"K/25/200625/3")</f>
        <v>K/25/200625/3</v>
      </c>
      <c r="C5149" s="42" t="str">
        <f>IFERROR(__xludf.DUMMYFUNCTION("""COMPUTED_VALUE"""),"M. 436/ Kali Balau Kencana")</f>
        <v>M. 436/ Kali Balau Kencana</v>
      </c>
      <c r="D5149" s="42" t="str">
        <f>IFERROR(__xludf.DUMMYFUNCTION("""COMPUTED_VALUE"""),"Berry")</f>
        <v>Berry</v>
      </c>
      <c r="E5149" s="42" t="str">
        <f>IFERROR(__xludf.DUMMYFUNCTION("""COMPUTED_VALUE"""),"DISERAHKAN")</f>
        <v>DISERAHKAN</v>
      </c>
      <c r="F5149" s="48">
        <f>IFERROR(__xludf.DUMMYFUNCTION("""COMPUTED_VALUE"""),45870.674055613425)</f>
        <v>45870.67406</v>
      </c>
      <c r="G5149" s="42" t="str">
        <f>IFERROR(__xludf.DUMMYFUNCTION("""COMPUTED_VALUE"""),"BN WARIS")</f>
        <v>BN WARIS</v>
      </c>
      <c r="H5149" s="42">
        <f t="shared" si="1"/>
        <v>2283</v>
      </c>
    </row>
    <row r="5150" ht="22.5" customHeight="1">
      <c r="B5150" s="42" t="str">
        <f>IFERROR(__xludf.DUMMYFUNCTION("""COMPUTED_VALUE"""),"K/28/200625/1")</f>
        <v>K/28/200625/1</v>
      </c>
      <c r="C5150" s="42" t="str">
        <f>IFERROR(__xludf.DUMMYFUNCTION("""COMPUTED_VALUE"""),"NIbel 8291/ Sukabumi")</f>
        <v>NIbel 8291/ Sukabumi</v>
      </c>
      <c r="D5150" s="42"/>
      <c r="E5150" s="42"/>
      <c r="F5150" s="48" t="str">
        <f>IFERROR(__xludf.DUMMYFUNCTION("""COMPUTED_VALUE"""),"")</f>
        <v/>
      </c>
      <c r="G5150" s="42" t="str">
        <f>IFERROR(__xludf.DUMMYFUNCTION("""COMPUTED_VALUE"""),"BN PHB")</f>
        <v>BN PHB</v>
      </c>
      <c r="H5150" s="42">
        <f t="shared" si="1"/>
        <v>2283</v>
      </c>
    </row>
    <row r="5151" ht="22.5" customHeight="1">
      <c r="B5151" s="42" t="str">
        <f>IFERROR(__xludf.DUMMYFUNCTION("""COMPUTED_VALUE"""),"K/29/200625/2")</f>
        <v>K/29/200625/2</v>
      </c>
      <c r="C5151" s="42" t="str">
        <f>IFERROR(__xludf.DUMMYFUNCTION("""COMPUTED_VALUE"""),"Nibel 19636/ Sukarame")</f>
        <v>Nibel 19636/ Sukarame</v>
      </c>
      <c r="D5151" s="42"/>
      <c r="E5151" s="42"/>
      <c r="F5151" s="48" t="str">
        <f>IFERROR(__xludf.DUMMYFUNCTION("""COMPUTED_VALUE"""),"")</f>
        <v/>
      </c>
      <c r="G5151" s="42" t="str">
        <f>IFERROR(__xludf.DUMMYFUNCTION("""COMPUTED_VALUE"""),"BN JUAL BELI")</f>
        <v>BN JUAL BELI</v>
      </c>
      <c r="H5151" s="42">
        <f t="shared" si="1"/>
        <v>2283</v>
      </c>
    </row>
    <row r="5152" ht="22.5" customHeight="1">
      <c r="B5152" s="42" t="str">
        <f>IFERROR(__xludf.DUMMYFUNCTION("""COMPUTED_VALUE"""),"K/27/200625/1")</f>
        <v>K/27/200625/1</v>
      </c>
      <c r="C5152" s="42" t="str">
        <f>IFERROR(__xludf.DUMMYFUNCTION("""COMPUTED_VALUE"""),"B.149/SUMBEREJO SEJAHTERA")</f>
        <v>B.149/SUMBEREJO SEJAHTERA</v>
      </c>
      <c r="D5152" s="42" t="str">
        <f>IFERROR(__xludf.DUMMYFUNCTION("""COMPUTED_VALUE"""),"Berry")</f>
        <v>Berry</v>
      </c>
      <c r="E5152" s="42" t="str">
        <f>IFERROR(__xludf.DUMMYFUNCTION("""COMPUTED_VALUE"""),"DISERAHKAN")</f>
        <v>DISERAHKAN</v>
      </c>
      <c r="F5152" s="48">
        <f>IFERROR(__xludf.DUMMYFUNCTION("""COMPUTED_VALUE"""),45845.70194388889)</f>
        <v>45845.70194</v>
      </c>
      <c r="G5152" s="42" t="str">
        <f>IFERROR(__xludf.DUMMYFUNCTION("""COMPUTED_VALUE"""),"JUAL BELI")</f>
        <v>JUAL BELI</v>
      </c>
      <c r="H5152" s="42">
        <f t="shared" si="1"/>
        <v>2284</v>
      </c>
    </row>
    <row r="5153" ht="22.5" customHeight="1">
      <c r="B5153" s="42" t="str">
        <f>IFERROR(__xludf.DUMMYFUNCTION("""COMPUTED_VALUE"""),"K/30/200625/1")</f>
        <v>K/30/200625/1</v>
      </c>
      <c r="C5153" s="42" t="str">
        <f>IFERROR(__xludf.DUMMYFUNCTION("""COMPUTED_VALUE"""),"M.2134/SUKADANAHAM")</f>
        <v>M.2134/SUKADANAHAM</v>
      </c>
      <c r="D5153" s="42"/>
      <c r="E5153" s="42"/>
      <c r="F5153" s="48" t="str">
        <f>IFERROR(__xludf.DUMMYFUNCTION("""COMPUTED_VALUE"""),"")</f>
        <v/>
      </c>
      <c r="G5153" s="42" t="str">
        <f>IFERROR(__xludf.DUMMYFUNCTION("""COMPUTED_VALUE"""),"BLOKIR")</f>
        <v>BLOKIR</v>
      </c>
      <c r="H5153" s="42">
        <f t="shared" si="1"/>
        <v>2284</v>
      </c>
    </row>
    <row r="5154" ht="22.5" customHeight="1">
      <c r="B5154" s="42" t="str">
        <f>IFERROR(__xludf.DUMMYFUNCTION("""COMPUTED_VALUE"""),"K/31/200625/2")</f>
        <v>K/31/200625/2</v>
      </c>
      <c r="C5154" s="42" t="str">
        <f>IFERROR(__xludf.DUMMYFUNCTION("""COMPUTED_VALUE"""),"M.1385/KUPANG TEBA")</f>
        <v>M.1385/KUPANG TEBA</v>
      </c>
      <c r="D5154" s="42"/>
      <c r="E5154" s="42"/>
      <c r="F5154" s="48" t="str">
        <f>IFERROR(__xludf.DUMMYFUNCTION("""COMPUTED_VALUE"""),"")</f>
        <v/>
      </c>
      <c r="G5154" s="42" t="str">
        <f>IFERROR(__xludf.DUMMYFUNCTION("""COMPUTED_VALUE"""),"BLOKIR")</f>
        <v>BLOKIR</v>
      </c>
      <c r="H5154" s="42">
        <f t="shared" si="1"/>
        <v>2284</v>
      </c>
    </row>
    <row r="5155" ht="22.5" customHeight="1">
      <c r="B5155" s="42" t="str">
        <f>IFERROR(__xludf.DUMMYFUNCTION("""COMPUTED_VALUE"""),"K/32/200625/1")</f>
        <v>K/32/200625/1</v>
      </c>
      <c r="C5155" s="42" t="str">
        <f>IFERROR(__xludf.DUMMYFUNCTION("""COMPUTED_VALUE"""),"M. 2070/CAMPANG JAYA")</f>
        <v>M. 2070/CAMPANG JAYA</v>
      </c>
      <c r="D5155" s="42" t="str">
        <f>IFERROR(__xludf.DUMMYFUNCTION("""COMPUTED_VALUE"""),"Berry")</f>
        <v>Berry</v>
      </c>
      <c r="E5155" s="42" t="str">
        <f>IFERROR(__xludf.DUMMYFUNCTION("""COMPUTED_VALUE"""),"DISERAHKAN")</f>
        <v>DISERAHKAN</v>
      </c>
      <c r="F5155" s="48">
        <f>IFERROR(__xludf.DUMMYFUNCTION("""COMPUTED_VALUE"""),45841.51293416666)</f>
        <v>45841.51293</v>
      </c>
      <c r="G5155" s="42" t="str">
        <f>IFERROR(__xludf.DUMMYFUNCTION("""COMPUTED_VALUE"""),"BN JUAL BELI ")</f>
        <v>BN JUAL BELI </v>
      </c>
      <c r="H5155" s="42">
        <f t="shared" si="1"/>
        <v>2285</v>
      </c>
    </row>
    <row r="5156" ht="22.5" customHeight="1">
      <c r="B5156" s="42" t="str">
        <f>IFERROR(__xludf.DUMMYFUNCTION("""COMPUTED_VALUE"""),"L/34/200625/1")</f>
        <v>L/34/200625/1</v>
      </c>
      <c r="C5156" s="42" t="str">
        <f>IFERROR(__xludf.DUMMYFUNCTION("""COMPUTED_VALUE"""),"HM 12726/SUKABUMI")</f>
        <v>HM 12726/SUKABUMI</v>
      </c>
      <c r="D5156" s="42" t="str">
        <f>IFERROR(__xludf.DUMMYFUNCTION("""COMPUTED_VALUE"""),"David")</f>
        <v>David</v>
      </c>
      <c r="E5156" s="42" t="str">
        <f>IFERROR(__xludf.DUMMYFUNCTION("""COMPUTED_VALUE"""),"DISERAHKAN")</f>
        <v>DISERAHKAN</v>
      </c>
      <c r="F5156" s="48">
        <f>IFERROR(__xludf.DUMMYFUNCTION("""COMPUTED_VALUE"""),45841.7029628125)</f>
        <v>45841.70296</v>
      </c>
      <c r="G5156" s="42" t="str">
        <f>IFERROR(__xludf.DUMMYFUNCTION("""COMPUTED_VALUE"""),"ROYA")</f>
        <v>ROYA</v>
      </c>
      <c r="H5156" s="42">
        <f t="shared" si="1"/>
        <v>2286</v>
      </c>
    </row>
    <row r="5157" ht="22.5" customHeight="1">
      <c r="B5157" s="42" t="str">
        <f>IFERROR(__xludf.DUMMYFUNCTION("""COMPUTED_VALUE"""),"K/33/200625/2")</f>
        <v>K/33/200625/2</v>
      </c>
      <c r="C5157" s="42" t="str">
        <f>IFERROR(__xludf.DUMMYFUNCTION("""COMPUTED_VALUE"""),"M. 2071/CAMPANG JAYA")</f>
        <v>M. 2071/CAMPANG JAYA</v>
      </c>
      <c r="D5157" s="42" t="str">
        <f>IFERROR(__xludf.DUMMYFUNCTION("""COMPUTED_VALUE"""),"Berry")</f>
        <v>Berry</v>
      </c>
      <c r="E5157" s="42" t="str">
        <f>IFERROR(__xludf.DUMMYFUNCTION("""COMPUTED_VALUE"""),"DISERAHKAN")</f>
        <v>DISERAHKAN</v>
      </c>
      <c r="F5157" s="48">
        <f>IFERROR(__xludf.DUMMYFUNCTION("""COMPUTED_VALUE"""),45841.512809837965)</f>
        <v>45841.51281</v>
      </c>
      <c r="G5157" s="42" t="str">
        <f>IFERROR(__xludf.DUMMYFUNCTION("""COMPUTED_VALUE"""),"BN JUAL BELI ")</f>
        <v>BN JUAL BELI </v>
      </c>
      <c r="H5157" s="42">
        <f t="shared" si="1"/>
        <v>2287</v>
      </c>
    </row>
    <row r="5158" ht="22.5" customHeight="1">
      <c r="B5158" s="42" t="str">
        <f>IFERROR(__xludf.DUMMYFUNCTION("""COMPUTED_VALUE"""),"K/36/200625/1")</f>
        <v>K/36/200625/1</v>
      </c>
      <c r="C5158" s="42" t="str">
        <f>IFERROR(__xludf.DUMMYFUNCTION("""COMPUTED_VALUE"""),"M. 2300/ Panjang Utara")</f>
        <v>M. 2300/ Panjang Utara</v>
      </c>
      <c r="D5158" s="42"/>
      <c r="E5158" s="42"/>
      <c r="F5158" s="48" t="str">
        <f>IFERROR(__xludf.DUMMYFUNCTION("""COMPUTED_VALUE"""),"")</f>
        <v/>
      </c>
      <c r="G5158" s="42" t="str">
        <f>IFERROR(__xludf.DUMMYFUNCTION("""COMPUTED_VALUE"""),"Roya")</f>
        <v>Roya</v>
      </c>
      <c r="H5158" s="42">
        <f t="shared" si="1"/>
        <v>2287</v>
      </c>
    </row>
    <row r="5159" ht="22.5" customHeight="1">
      <c r="B5159" s="42" t="str">
        <f>IFERROR(__xludf.DUMMYFUNCTION("""COMPUTED_VALUE"""),"K/37/200625/1")</f>
        <v>K/37/200625/1</v>
      </c>
      <c r="C5159" s="42" t="str">
        <f>IFERROR(__xludf.DUMMYFUNCTION("""COMPUTED_VALUE"""),"M. 9437/ Labuhan Ratu")</f>
        <v>M. 9437/ Labuhan Ratu</v>
      </c>
      <c r="D5159" s="42" t="str">
        <f>IFERROR(__xludf.DUMMYFUNCTION("""COMPUTED_VALUE"""),"David")</f>
        <v>David</v>
      </c>
      <c r="E5159" s="42" t="str">
        <f>IFERROR(__xludf.DUMMYFUNCTION("""COMPUTED_VALUE"""),"DISERAHKAN")</f>
        <v>DISERAHKAN</v>
      </c>
      <c r="F5159" s="48">
        <f>IFERROR(__xludf.DUMMYFUNCTION("""COMPUTED_VALUE"""),45863.606744062505)</f>
        <v>45863.60674</v>
      </c>
      <c r="G5159" s="42" t="str">
        <f>IFERROR(__xludf.DUMMYFUNCTION("""COMPUTED_VALUE"""),"BN Hibah")</f>
        <v>BN Hibah</v>
      </c>
      <c r="H5159" s="42">
        <f t="shared" si="1"/>
        <v>2288</v>
      </c>
    </row>
    <row r="5160" ht="22.5" customHeight="1">
      <c r="B5160" s="42" t="str">
        <f>IFERROR(__xludf.DUMMYFUNCTION("""COMPUTED_VALUE"""),"K/38/200625/2")</f>
        <v>K/38/200625/2</v>
      </c>
      <c r="C5160" s="42" t="str">
        <f>IFERROR(__xludf.DUMMYFUNCTION("""COMPUTED_VALUE"""),"M. 9438/ Labuhan Ratu")</f>
        <v>M. 9438/ Labuhan Ratu</v>
      </c>
      <c r="D5160" s="42" t="str">
        <f>IFERROR(__xludf.DUMMYFUNCTION("""COMPUTED_VALUE"""),"Berry")</f>
        <v>Berry</v>
      </c>
      <c r="E5160" s="42" t="str">
        <f>IFERROR(__xludf.DUMMYFUNCTION("""COMPUTED_VALUE"""),"DISERAHKAN")</f>
        <v>DISERAHKAN</v>
      </c>
      <c r="F5160" s="48">
        <f>IFERROR(__xludf.DUMMYFUNCTION("""COMPUTED_VALUE"""),45849.50178864584)</f>
        <v>45849.50179</v>
      </c>
      <c r="G5160" s="42" t="str">
        <f>IFERROR(__xludf.DUMMYFUNCTION("""COMPUTED_VALUE"""),"BN Hibah")</f>
        <v>BN Hibah</v>
      </c>
      <c r="H5160" s="42">
        <f t="shared" si="1"/>
        <v>2289</v>
      </c>
    </row>
    <row r="5161" ht="22.5" customHeight="1">
      <c r="B5161" s="42" t="str">
        <f>IFERROR(__xludf.DUMMYFUNCTION("""COMPUTED_VALUE"""),"K/39/200625/1")</f>
        <v>K/39/200625/1</v>
      </c>
      <c r="C5161" s="42" t="str">
        <f>IFERROR(__xludf.DUMMYFUNCTION("""COMPUTED_VALUE"""),"M. 10434/ Jagabaya II")</f>
        <v>M. 10434/ Jagabaya II</v>
      </c>
      <c r="D5161" s="42"/>
      <c r="E5161" s="42"/>
      <c r="F5161" s="48" t="str">
        <f>IFERROR(__xludf.DUMMYFUNCTION("""COMPUTED_VALUE"""),"")</f>
        <v/>
      </c>
      <c r="G5161" s="42" t="str">
        <f>IFERROR(__xludf.DUMMYFUNCTION("""COMPUTED_VALUE"""),"Roya")</f>
        <v>Roya</v>
      </c>
      <c r="H5161" s="42">
        <f t="shared" si="1"/>
        <v>2289</v>
      </c>
    </row>
    <row r="5162" ht="22.5" customHeight="1">
      <c r="B5162" s="42" t="str">
        <f>IFERROR(__xludf.DUMMYFUNCTION("""COMPUTED_VALUE"""),"K/35/200625/1")</f>
        <v>K/35/200625/1</v>
      </c>
      <c r="C5162" s="42" t="str">
        <f>IFERROR(__xludf.DUMMYFUNCTION("""COMPUTED_VALUE"""),"NIBEL M 12554/SUKARAME BARU")</f>
        <v>NIBEL M 12554/SUKARAME BARU</v>
      </c>
      <c r="D5162" s="42"/>
      <c r="E5162" s="42"/>
      <c r="F5162" s="48" t="str">
        <f>IFERROR(__xludf.DUMMYFUNCTION("""COMPUTED_VALUE"""),"")</f>
        <v/>
      </c>
      <c r="G5162" s="42" t="str">
        <f>IFERROR(__xludf.DUMMYFUNCTION("""COMPUTED_VALUE"""),"JUAL BELI")</f>
        <v>JUAL BELI</v>
      </c>
      <c r="H5162" s="42">
        <f t="shared" si="1"/>
        <v>2289</v>
      </c>
    </row>
    <row r="5163" ht="22.5" customHeight="1">
      <c r="B5163" s="42" t="str">
        <f>IFERROR(__xludf.DUMMYFUNCTION("""COMPUTED_VALUE"""),"K/40/200625/1")</f>
        <v>K/40/200625/1</v>
      </c>
      <c r="C5163" s="42" t="str">
        <f>IFERROR(__xludf.DUMMYFUNCTION("""COMPUTED_VALUE"""),"M. 303/NUSANTARA PERMAI")</f>
        <v>M. 303/NUSANTARA PERMAI</v>
      </c>
      <c r="D5163" s="42" t="str">
        <f>IFERROR(__xludf.DUMMYFUNCTION("""COMPUTED_VALUE"""),"Berry")</f>
        <v>Berry</v>
      </c>
      <c r="E5163" s="42" t="str">
        <f>IFERROR(__xludf.DUMMYFUNCTION("""COMPUTED_VALUE"""),"DISERAHKAN")</f>
        <v>DISERAHKAN</v>
      </c>
      <c r="F5163" s="48">
        <f>IFERROR(__xludf.DUMMYFUNCTION("""COMPUTED_VALUE"""),45845.71810890046)</f>
        <v>45845.71811</v>
      </c>
      <c r="G5163" s="42" t="str">
        <f>IFERROR(__xludf.DUMMYFUNCTION("""COMPUTED_VALUE"""),"BN LELANG")</f>
        <v>BN LELANG</v>
      </c>
      <c r="H5163" s="42">
        <f t="shared" si="1"/>
        <v>2290</v>
      </c>
    </row>
    <row r="5164" ht="22.5" customHeight="1">
      <c r="B5164" s="42" t="str">
        <f>IFERROR(__xludf.DUMMYFUNCTION("""COMPUTED_VALUE"""),"K/42/200625/1")</f>
        <v>K/42/200625/1</v>
      </c>
      <c r="C5164" s="42" t="str">
        <f>IFERROR(__xludf.DUMMYFUNCTION("""COMPUTED_VALUE"""),"M.138/RAJABASA JAYA")</f>
        <v>M.138/RAJABASA JAYA</v>
      </c>
      <c r="D5164" s="42" t="str">
        <f>IFERROR(__xludf.DUMMYFUNCTION("""COMPUTED_VALUE"""),"Berry")</f>
        <v>Berry</v>
      </c>
      <c r="E5164" s="42" t="str">
        <f>IFERROR(__xludf.DUMMYFUNCTION("""COMPUTED_VALUE"""),"DISERAHKAN")</f>
        <v>DISERAHKAN</v>
      </c>
      <c r="F5164" s="48">
        <f>IFERROR(__xludf.DUMMYFUNCTION("""COMPUTED_VALUE"""),45867.50826966435)</f>
        <v>45867.50827</v>
      </c>
      <c r="G5164" s="42" t="str">
        <f>IFERROR(__xludf.DUMMYFUNCTION("""COMPUTED_VALUE"""),"ROYA")</f>
        <v>ROYA</v>
      </c>
      <c r="H5164" s="42">
        <f t="shared" si="1"/>
        <v>2291</v>
      </c>
    </row>
    <row r="5165" ht="22.5" customHeight="1">
      <c r="B5165" s="42" t="str">
        <f>IFERROR(__xludf.DUMMYFUNCTION("""COMPUTED_VALUE"""),"K/43/200625/1")</f>
        <v>K/43/200625/1</v>
      </c>
      <c r="C5165" s="42" t="str">
        <f>IFERROR(__xludf.DUMMYFUNCTION("""COMPUTED_VALUE"""),"M.1137/TANJUNG KARANG")</f>
        <v>M.1137/TANJUNG KARANG</v>
      </c>
      <c r="D5165" s="42" t="str">
        <f>IFERROR(__xludf.DUMMYFUNCTION("""COMPUTED_VALUE"""),"David")</f>
        <v>David</v>
      </c>
      <c r="E5165" s="42" t="str">
        <f>IFERROR(__xludf.DUMMYFUNCTION("""COMPUTED_VALUE"""),"DISERAHKAN")</f>
        <v>DISERAHKAN</v>
      </c>
      <c r="F5165" s="48">
        <f>IFERROR(__xludf.DUMMYFUNCTION("""COMPUTED_VALUE"""),45875.62515574074)</f>
        <v>45875.62516</v>
      </c>
      <c r="G5165" s="42" t="str">
        <f>IFERROR(__xludf.DUMMYFUNCTION("""COMPUTED_VALUE"""),"ROYA")</f>
        <v>ROYA</v>
      </c>
      <c r="H5165" s="42">
        <f t="shared" si="1"/>
        <v>2292</v>
      </c>
    </row>
    <row r="5166" ht="22.5" customHeight="1">
      <c r="B5166" s="42" t="str">
        <f>IFERROR(__xludf.DUMMYFUNCTION("""COMPUTED_VALUE"""),"K/45/200625/1")</f>
        <v>K/45/200625/1</v>
      </c>
      <c r="C5166" s="42" t="str">
        <f>IFERROR(__xludf.DUMMYFUNCTION("""COMPUTED_VALUE"""),"B.569/RAJABASA NUNYAI")</f>
        <v>B.569/RAJABASA NUNYAI</v>
      </c>
      <c r="D5166" s="42" t="str">
        <f>IFERROR(__xludf.DUMMYFUNCTION("""COMPUTED_VALUE"""),"Berry")</f>
        <v>Berry</v>
      </c>
      <c r="E5166" s="42" t="str">
        <f>IFERROR(__xludf.DUMMYFUNCTION("""COMPUTED_VALUE"""),"DISERAHKAN")</f>
        <v>DISERAHKAN</v>
      </c>
      <c r="F5166" s="48">
        <f>IFERROR(__xludf.DUMMYFUNCTION("""COMPUTED_VALUE"""),45853.72340884259)</f>
        <v>45853.72341</v>
      </c>
      <c r="G5166" s="42" t="str">
        <f>IFERROR(__xludf.DUMMYFUNCTION("""COMPUTED_VALUE"""),"PENINGKATAN HAK")</f>
        <v>PENINGKATAN HAK</v>
      </c>
      <c r="H5166" s="42">
        <f t="shared" si="1"/>
        <v>2293</v>
      </c>
    </row>
    <row r="5167" ht="22.5" customHeight="1">
      <c r="B5167" s="42" t="str">
        <f>IFERROR(__xludf.DUMMYFUNCTION("""COMPUTED_VALUE"""),"K/44/200625/1")</f>
        <v>K/44/200625/1</v>
      </c>
      <c r="C5167" s="42" t="str">
        <f>IFERROR(__xludf.DUMMYFUNCTION("""COMPUTED_VALUE"""),"M.6508/WAY KANDIS")</f>
        <v>M.6508/WAY KANDIS</v>
      </c>
      <c r="D5167" s="42" t="str">
        <f>IFERROR(__xludf.DUMMYFUNCTION("""COMPUTED_VALUE"""),"Berry")</f>
        <v>Berry</v>
      </c>
      <c r="E5167" s="42" t="str">
        <f>IFERROR(__xludf.DUMMYFUNCTION("""COMPUTED_VALUE"""),"DISERAHKAN")</f>
        <v>DISERAHKAN</v>
      </c>
      <c r="F5167" s="48">
        <f>IFERROR(__xludf.DUMMYFUNCTION("""COMPUTED_VALUE"""),45838.662126967596)</f>
        <v>45838.66213</v>
      </c>
      <c r="G5167" s="42" t="str">
        <f>IFERROR(__xludf.DUMMYFUNCTION("""COMPUTED_VALUE"""),"BN JUAL BELI")</f>
        <v>BN JUAL BELI</v>
      </c>
      <c r="H5167" s="42">
        <f t="shared" si="1"/>
        <v>2294</v>
      </c>
    </row>
    <row r="5168" ht="22.5" customHeight="1">
      <c r="B5168" s="42" t="str">
        <f>IFERROR(__xludf.DUMMYFUNCTION("""COMPUTED_VALUE"""),"L/1/210625/PELATARAN")</f>
        <v>L/1/210625/PELATARAN</v>
      </c>
      <c r="C5168" s="42" t="str">
        <f>IFERROR(__xludf.DUMMYFUNCTION("""COMPUTED_VALUE"""),"M. 1320/BAKUNG")</f>
        <v>M. 1320/BAKUNG</v>
      </c>
      <c r="D5168" s="42"/>
      <c r="E5168" s="42"/>
      <c r="F5168" s="48" t="str">
        <f>IFERROR(__xludf.DUMMYFUNCTION("""COMPUTED_VALUE"""),"")</f>
        <v/>
      </c>
      <c r="G5168" s="42" t="str">
        <f>IFERROR(__xludf.DUMMYFUNCTION("""COMPUTED_VALUE"""),"ROYA")</f>
        <v>ROYA</v>
      </c>
      <c r="H5168" s="42">
        <f t="shared" si="1"/>
        <v>2294</v>
      </c>
    </row>
    <row r="5169" ht="22.5" customHeight="1">
      <c r="B5169" s="42" t="str">
        <f>IFERROR(__xludf.DUMMYFUNCTION("""COMPUTED_VALUE"""),"L/2/210625/PELATARAN")</f>
        <v>L/2/210625/PELATARAN</v>
      </c>
      <c r="C5169" s="42" t="str">
        <f>IFERROR(__xludf.DUMMYFUNCTION("""COMPUTED_VALUE"""),"M. 67/SUKARAME BARU")</f>
        <v>M. 67/SUKARAME BARU</v>
      </c>
      <c r="D5169" s="42"/>
      <c r="E5169" s="42"/>
      <c r="F5169" s="48" t="str">
        <f>IFERROR(__xludf.DUMMYFUNCTION("""COMPUTED_VALUE"""),"")</f>
        <v/>
      </c>
      <c r="G5169" s="42" t="str">
        <f>IFERROR(__xludf.DUMMYFUNCTION("""COMPUTED_VALUE"""),"ROYA")</f>
        <v>ROYA</v>
      </c>
      <c r="H5169" s="42">
        <f t="shared" si="1"/>
        <v>2294</v>
      </c>
    </row>
    <row r="5170" ht="22.5" customHeight="1">
      <c r="B5170" s="42" t="str">
        <f>IFERROR(__xludf.DUMMYFUNCTION("""COMPUTED_VALUE"""),"L/3/210625/PELATARAN")</f>
        <v>L/3/210625/PELATARAN</v>
      </c>
      <c r="C5170" s="42" t="str">
        <f>IFERROR(__xludf.DUMMYFUNCTION("""COMPUTED_VALUE"""),"NIBEL M.17698/SUKABUMI")</f>
        <v>NIBEL M.17698/SUKABUMI</v>
      </c>
      <c r="D5170" s="42"/>
      <c r="E5170" s="42"/>
      <c r="F5170" s="48" t="str">
        <f>IFERROR(__xludf.DUMMYFUNCTION("""COMPUTED_VALUE"""),"")</f>
        <v/>
      </c>
      <c r="G5170" s="42" t="str">
        <f>IFERROR(__xludf.DUMMYFUNCTION("""COMPUTED_VALUE"""),"PTPGT")</f>
        <v>PTPGT</v>
      </c>
      <c r="H5170" s="42">
        <f t="shared" si="1"/>
        <v>2294</v>
      </c>
    </row>
    <row r="5171" ht="22.5" customHeight="1">
      <c r="B5171" s="42" t="str">
        <f>IFERROR(__xludf.DUMMYFUNCTION("""COMPUTED_VALUE"""),"L/4/210625/PELATARAN")</f>
        <v>L/4/210625/PELATARAN</v>
      </c>
      <c r="C5171" s="42" t="str">
        <f>IFERROR(__xludf.DUMMYFUNCTION("""COMPUTED_VALUE"""),"M. 1539/BUMI KEDAMAIAN")</f>
        <v>M. 1539/BUMI KEDAMAIAN</v>
      </c>
      <c r="D5171" s="42"/>
      <c r="E5171" s="42"/>
      <c r="F5171" s="48" t="str">
        <f>IFERROR(__xludf.DUMMYFUNCTION("""COMPUTED_VALUE"""),"")</f>
        <v/>
      </c>
      <c r="G5171" s="42" t="str">
        <f>IFERROR(__xludf.DUMMYFUNCTION("""COMPUTED_VALUE"""),"GANTI NAMA")</f>
        <v>GANTI NAMA</v>
      </c>
      <c r="H5171" s="42">
        <f t="shared" si="1"/>
        <v>2294</v>
      </c>
    </row>
    <row r="5172" ht="22.5" customHeight="1">
      <c r="B5172" s="42" t="str">
        <f>IFERROR(__xludf.DUMMYFUNCTION("""COMPUTED_VALUE"""),"L/1/220625/PELATARAN")</f>
        <v>L/1/220625/PELATARAN</v>
      </c>
      <c r="C5172" s="42" t="str">
        <f>IFERROR(__xludf.DUMMYFUNCTION("""COMPUTED_VALUE"""),"HM 660/SEPANG JAYA")</f>
        <v>HM 660/SEPANG JAYA</v>
      </c>
      <c r="D5172" s="42"/>
      <c r="E5172" s="42"/>
      <c r="F5172" s="48" t="str">
        <f>IFERROR(__xludf.DUMMYFUNCTION("""COMPUTED_VALUE"""),"")</f>
        <v/>
      </c>
      <c r="G5172" s="42" t="str">
        <f>IFERROR(__xludf.DUMMYFUNCTION("""COMPUTED_VALUE"""),"ROYA")</f>
        <v>ROYA</v>
      </c>
      <c r="H5172" s="42">
        <f t="shared" si="1"/>
        <v>2294</v>
      </c>
    </row>
    <row r="5173" ht="22.5" customHeight="1">
      <c r="B5173" s="42" t="str">
        <f>IFERROR(__xludf.DUMMYFUNCTION("""COMPUTED_VALUE"""),"L/1/230625/1")</f>
        <v>L/1/230625/1</v>
      </c>
      <c r="C5173" s="42" t="str">
        <f>IFERROR(__xludf.DUMMYFUNCTION("""COMPUTED_VALUE"""),"HM 10010/TANJUNG BARU")</f>
        <v>HM 10010/TANJUNG BARU</v>
      </c>
      <c r="D5173" s="42" t="str">
        <f>IFERROR(__xludf.DUMMYFUNCTION("""COMPUTED_VALUE"""),"David")</f>
        <v>David</v>
      </c>
      <c r="E5173" s="42" t="str">
        <f>IFERROR(__xludf.DUMMYFUNCTION("""COMPUTED_VALUE"""),"DISERAHKAN")</f>
        <v>DISERAHKAN</v>
      </c>
      <c r="F5173" s="48">
        <f>IFERROR(__xludf.DUMMYFUNCTION("""COMPUTED_VALUE"""),45847.65830391204)</f>
        <v>45847.6583</v>
      </c>
      <c r="G5173" s="42" t="str">
        <f>IFERROR(__xludf.DUMMYFUNCTION("""COMPUTED_VALUE"""),"ROYA")</f>
        <v>ROYA</v>
      </c>
      <c r="H5173" s="42">
        <f t="shared" si="1"/>
        <v>2295</v>
      </c>
    </row>
    <row r="5174" ht="22.5" customHeight="1">
      <c r="B5174" s="42" t="str">
        <f>IFERROR(__xludf.DUMMYFUNCTION("""COMPUTED_VALUE"""),"K/41/200625/1")</f>
        <v>K/41/200625/1</v>
      </c>
      <c r="C5174" s="42" t="str">
        <f>IFERROR(__xludf.DUMMYFUNCTION("""COMPUTED_VALUE"""),"B. 2334/ Sukarame I (FC)")</f>
        <v>B. 2334/ Sukarame I (FC)</v>
      </c>
      <c r="D5174" s="42"/>
      <c r="E5174" s="42"/>
      <c r="F5174" s="48" t="str">
        <f>IFERROR(__xludf.DUMMYFUNCTION("""COMPUTED_VALUE"""),"")</f>
        <v/>
      </c>
      <c r="G5174" s="42" t="str">
        <f>IFERROR(__xludf.DUMMYFUNCTION("""COMPUTED_VALUE"""),"PTPGT HGB BERKAHIR")</f>
        <v>PTPGT HGB BERKAHIR</v>
      </c>
      <c r="H5174" s="42">
        <f t="shared" si="1"/>
        <v>2295</v>
      </c>
    </row>
    <row r="5175" ht="22.5" customHeight="1">
      <c r="B5175" s="42" t="str">
        <f>IFERROR(__xludf.DUMMYFUNCTION("""COMPUTED_VALUE"""),"K/3/230625/1")</f>
        <v>K/3/230625/1</v>
      </c>
      <c r="C5175" s="42" t="str">
        <f>IFERROR(__xludf.DUMMYFUNCTION("""COMPUTED_VALUE"""),"Nibel 21354/ Sukarame")</f>
        <v>Nibel 21354/ Sukarame</v>
      </c>
      <c r="D5175" s="42"/>
      <c r="E5175" s="42"/>
      <c r="F5175" s="48" t="str">
        <f>IFERROR(__xludf.DUMMYFUNCTION("""COMPUTED_VALUE"""),"")</f>
        <v/>
      </c>
      <c r="G5175" s="42" t="str">
        <f>IFERROR(__xludf.DUMMYFUNCTION("""COMPUTED_VALUE"""),"PERUBAHAN HAK")</f>
        <v>PERUBAHAN HAK</v>
      </c>
      <c r="H5175" s="42">
        <f t="shared" si="1"/>
        <v>2295</v>
      </c>
    </row>
    <row r="5176" ht="22.5" customHeight="1">
      <c r="B5176" s="42" t="str">
        <f>IFERROR(__xludf.DUMMYFUNCTION("""COMPUTED_VALUE"""),"K/2/230625/1")</f>
        <v>K/2/230625/1</v>
      </c>
      <c r="C5176" s="42" t="str">
        <f>IFERROR(__xludf.DUMMYFUNCTION("""COMPUTED_VALUE"""),"NIBEL M 1939/SUKARAME BARU")</f>
        <v>NIBEL M 1939/SUKARAME BARU</v>
      </c>
      <c r="D5176" s="42"/>
      <c r="E5176" s="42"/>
      <c r="F5176" s="48" t="str">
        <f>IFERROR(__xludf.DUMMYFUNCTION("""COMPUTED_VALUE"""),"")</f>
        <v/>
      </c>
      <c r="G5176" s="42" t="str">
        <f>IFERROR(__xludf.DUMMYFUNCTION("""COMPUTED_VALUE"""),"JUAL BELI")</f>
        <v>JUAL BELI</v>
      </c>
      <c r="H5176" s="42">
        <f t="shared" si="1"/>
        <v>2295</v>
      </c>
    </row>
    <row r="5177" ht="22.5" customHeight="1">
      <c r="B5177" s="42" t="str">
        <f>IFERROR(__xludf.DUMMYFUNCTION("""COMPUTED_VALUE"""),"K/5/230625/1")</f>
        <v>K/5/230625/1</v>
      </c>
      <c r="C5177" s="42" t="str">
        <f>IFERROR(__xludf.DUMMYFUNCTION("""COMPUTED_VALUE"""),"M. 4538/ Gunung Terang")</f>
        <v>M. 4538/ Gunung Terang</v>
      </c>
      <c r="D5177" s="42" t="str">
        <f>IFERROR(__xludf.DUMMYFUNCTION("""COMPUTED_VALUE"""),"Berry")</f>
        <v>Berry</v>
      </c>
      <c r="E5177" s="42" t="str">
        <f>IFERROR(__xludf.DUMMYFUNCTION("""COMPUTED_VALUE"""),"DISERAHKAN")</f>
        <v>DISERAHKAN</v>
      </c>
      <c r="F5177" s="48">
        <f>IFERROR(__xludf.DUMMYFUNCTION("""COMPUTED_VALUE"""),45859.6379297338)</f>
        <v>45859.63793</v>
      </c>
      <c r="G5177" s="42" t="str">
        <f>IFERROR(__xludf.DUMMYFUNCTION("""COMPUTED_VALUE"""),"BN JUAL BELI")</f>
        <v>BN JUAL BELI</v>
      </c>
      <c r="H5177" s="42">
        <f t="shared" si="1"/>
        <v>2296</v>
      </c>
    </row>
    <row r="5178" ht="22.5" customHeight="1">
      <c r="B5178" s="42" t="str">
        <f>IFERROR(__xludf.DUMMYFUNCTION("""COMPUTED_VALUE"""),"K/4/230625/1")</f>
        <v>K/4/230625/1</v>
      </c>
      <c r="C5178" s="42" t="str">
        <f>IFERROR(__xludf.DUMMYFUNCTION("""COMPUTED_VALUE"""),"Nibel. M. 11701/ Sukabumi")</f>
        <v>Nibel. M. 11701/ Sukabumi</v>
      </c>
      <c r="D5178" s="42"/>
      <c r="E5178" s="42"/>
      <c r="F5178" s="48" t="str">
        <f>IFERROR(__xludf.DUMMYFUNCTION("""COMPUTED_VALUE"""),"")</f>
        <v/>
      </c>
      <c r="G5178" s="42" t="str">
        <f>IFERROR(__xludf.DUMMYFUNCTION("""COMPUTED_VALUE"""),"SKPT Lelang")</f>
        <v>SKPT Lelang</v>
      </c>
      <c r="H5178" s="42">
        <f t="shared" si="1"/>
        <v>2296</v>
      </c>
    </row>
    <row r="5179" ht="22.5" customHeight="1">
      <c r="B5179" s="42" t="str">
        <f>IFERROR(__xludf.DUMMYFUNCTION("""COMPUTED_VALUE"""),"K/6/230625/1")</f>
        <v>K/6/230625/1</v>
      </c>
      <c r="C5179" s="42" t="str">
        <f>IFERROR(__xludf.DUMMYFUNCTION("""COMPUTED_VALUE"""),"NIBEL M. 4951/SAWAH BREBES")</f>
        <v>NIBEL M. 4951/SAWAH BREBES</v>
      </c>
      <c r="D5179" s="42"/>
      <c r="E5179" s="42"/>
      <c r="F5179" s="48" t="str">
        <f>IFERROR(__xludf.DUMMYFUNCTION("""COMPUTED_VALUE"""),"")</f>
        <v/>
      </c>
      <c r="G5179" s="42" t="str">
        <f>IFERROR(__xludf.DUMMYFUNCTION("""COMPUTED_VALUE"""),"BN APHB")</f>
        <v>BN APHB</v>
      </c>
      <c r="H5179" s="42">
        <f t="shared" si="1"/>
        <v>2296</v>
      </c>
    </row>
    <row r="5180" ht="22.5" customHeight="1">
      <c r="B5180" s="42" t="str">
        <f>IFERROR(__xludf.DUMMYFUNCTION("""COMPUTED_VALUE"""),"K/8/230625/1")</f>
        <v>K/8/230625/1</v>
      </c>
      <c r="C5180" s="42" t="str">
        <f>IFERROR(__xludf.DUMMYFUNCTION("""COMPUTED_VALUE"""),"M. 2723/ Sumberrejo")</f>
        <v>M. 2723/ Sumberrejo</v>
      </c>
      <c r="D5180" s="42" t="str">
        <f>IFERROR(__xludf.DUMMYFUNCTION("""COMPUTED_VALUE"""),"Berry")</f>
        <v>Berry</v>
      </c>
      <c r="E5180" s="42" t="str">
        <f>IFERROR(__xludf.DUMMYFUNCTION("""COMPUTED_VALUE"""),"DISERAHKAN")</f>
        <v>DISERAHKAN</v>
      </c>
      <c r="F5180" s="48">
        <f>IFERROR(__xludf.DUMMYFUNCTION("""COMPUTED_VALUE"""),45867.71626512731)</f>
        <v>45867.71627</v>
      </c>
      <c r="G5180" s="42" t="str">
        <f>IFERROR(__xludf.DUMMYFUNCTION("""COMPUTED_VALUE"""),"BN Jual Beli")</f>
        <v>BN Jual Beli</v>
      </c>
      <c r="H5180" s="42">
        <f t="shared" si="1"/>
        <v>2297</v>
      </c>
    </row>
    <row r="5181" ht="22.5" customHeight="1">
      <c r="B5181" s="42" t="str">
        <f>IFERROR(__xludf.DUMMYFUNCTION("""COMPUTED_VALUE"""),"K/9/230625/1")</f>
        <v>K/9/230625/1</v>
      </c>
      <c r="C5181" s="42" t="str">
        <f>IFERROR(__xludf.DUMMYFUNCTION("""COMPUTED_VALUE"""),"M. 9247/ Kedaton")</f>
        <v>M. 9247/ Kedaton</v>
      </c>
      <c r="D5181" s="42" t="str">
        <f>IFERROR(__xludf.DUMMYFUNCTION("""COMPUTED_VALUE"""),"Berry")</f>
        <v>Berry</v>
      </c>
      <c r="E5181" s="42" t="str">
        <f>IFERROR(__xludf.DUMMYFUNCTION("""COMPUTED_VALUE"""),"DISERAHKAN")</f>
        <v>DISERAHKAN</v>
      </c>
      <c r="F5181" s="48">
        <f>IFERROR(__xludf.DUMMYFUNCTION("""COMPUTED_VALUE"""),45852.62362427083)</f>
        <v>45852.62362</v>
      </c>
      <c r="G5181" s="42" t="str">
        <f>IFERROR(__xludf.DUMMYFUNCTION("""COMPUTED_VALUE"""),"BN HIBAH")</f>
        <v>BN HIBAH</v>
      </c>
      <c r="H5181" s="42">
        <f t="shared" si="1"/>
        <v>2298</v>
      </c>
    </row>
    <row r="5182" ht="22.5" customHeight="1">
      <c r="B5182" s="42" t="str">
        <f>IFERROR(__xludf.DUMMYFUNCTION("""COMPUTED_VALUE"""),"K/10/230625/1")</f>
        <v>K/10/230625/1</v>
      </c>
      <c r="C5182" s="42" t="str">
        <f>IFERROR(__xludf.DUMMYFUNCTION("""COMPUTED_VALUE"""),"NIBEL M.7958/KETEGUHAN")</f>
        <v>NIBEL M.7958/KETEGUHAN</v>
      </c>
      <c r="D5182" s="42"/>
      <c r="E5182" s="42"/>
      <c r="F5182" s="48" t="str">
        <f>IFERROR(__xludf.DUMMYFUNCTION("""COMPUTED_VALUE"""),"")</f>
        <v/>
      </c>
      <c r="G5182" s="42" t="str">
        <f>IFERROR(__xludf.DUMMYFUNCTION("""COMPUTED_VALUE"""),"PTPGT")</f>
        <v>PTPGT</v>
      </c>
      <c r="H5182" s="42">
        <f t="shared" si="1"/>
        <v>2298</v>
      </c>
    </row>
    <row r="5183" ht="22.5" customHeight="1">
      <c r="B5183" s="42" t="str">
        <f>IFERROR(__xludf.DUMMYFUNCTION("""COMPUTED_VALUE"""),"L/11/230625/1")</f>
        <v>L/11/230625/1</v>
      </c>
      <c r="C5183" s="42" t="str">
        <f>IFERROR(__xludf.DUMMYFUNCTION("""COMPUTED_VALUE"""),"HM 9425/KAMPUNG BARU")</f>
        <v>HM 9425/KAMPUNG BARU</v>
      </c>
      <c r="D5183" s="42"/>
      <c r="E5183" s="42"/>
      <c r="F5183" s="48" t="str">
        <f>IFERROR(__xludf.DUMMYFUNCTION("""COMPUTED_VALUE"""),"")</f>
        <v/>
      </c>
      <c r="G5183" s="42" t="str">
        <f>IFERROR(__xludf.DUMMYFUNCTION("""COMPUTED_VALUE"""),"ARLIYUS RAHMAN")</f>
        <v>ARLIYUS RAHMAN</v>
      </c>
      <c r="H5183" s="42">
        <f t="shared" si="1"/>
        <v>2298</v>
      </c>
    </row>
    <row r="5184" ht="22.5" customHeight="1">
      <c r="B5184" s="42" t="str">
        <f>IFERROR(__xludf.DUMMYFUNCTION("""COMPUTED_VALUE"""),"K/12/230625/1")</f>
        <v>K/12/230625/1</v>
      </c>
      <c r="C5184" s="42" t="str">
        <f>IFERROR(__xludf.DUMMYFUNCTION("""COMPUTED_VALUE"""),"NIBEL M 20845/KALI BALAU KENCANA")</f>
        <v>NIBEL M 20845/KALI BALAU KENCANA</v>
      </c>
      <c r="D5184" s="42"/>
      <c r="E5184" s="42"/>
      <c r="F5184" s="48" t="str">
        <f>IFERROR(__xludf.DUMMYFUNCTION("""COMPUTED_VALUE"""),"")</f>
        <v/>
      </c>
      <c r="G5184" s="42" t="str">
        <f>IFERROR(__xludf.DUMMYFUNCTION("""COMPUTED_VALUE"""),"JUAL BELI")</f>
        <v>JUAL BELI</v>
      </c>
      <c r="H5184" s="42">
        <f t="shared" si="1"/>
        <v>2298</v>
      </c>
    </row>
    <row r="5185" ht="22.5" customHeight="1">
      <c r="B5185" s="42" t="str">
        <f>IFERROR(__xludf.DUMMYFUNCTION("""COMPUTED_VALUE"""),"K/13/230625/1")</f>
        <v>K/13/230625/1</v>
      </c>
      <c r="C5185" s="42" t="str">
        <f>IFERROR(__xludf.DUMMYFUNCTION("""COMPUTED_VALUE"""),"M. 13205/ Kedamaian")</f>
        <v>M. 13205/ Kedamaian</v>
      </c>
      <c r="D5185" s="42"/>
      <c r="E5185" s="42"/>
      <c r="F5185" s="48" t="str">
        <f>IFERROR(__xludf.DUMMYFUNCTION("""COMPUTED_VALUE"""),"")</f>
        <v/>
      </c>
      <c r="G5185" s="42" t="str">
        <f>IFERROR(__xludf.DUMMYFUNCTION("""COMPUTED_VALUE"""),"BN Waris")</f>
        <v>BN Waris</v>
      </c>
      <c r="H5185" s="42">
        <f t="shared" si="1"/>
        <v>2298</v>
      </c>
    </row>
    <row r="5186" ht="22.5" customHeight="1">
      <c r="B5186" s="42" t="str">
        <f>IFERROR(__xludf.DUMMYFUNCTION("""COMPUTED_VALUE"""),"K/7/230625/2")</f>
        <v>K/7/230625/2</v>
      </c>
      <c r="C5186" s="42" t="str">
        <f>IFERROR(__xludf.DUMMYFUNCTION("""COMPUTED_VALUE"""),"M. 9107/TANJUNG BARU")</f>
        <v>M. 9107/TANJUNG BARU</v>
      </c>
      <c r="D5186" s="42" t="str">
        <f>IFERROR(__xludf.DUMMYFUNCTION("""COMPUTED_VALUE"""),"David")</f>
        <v>David</v>
      </c>
      <c r="E5186" s="42" t="str">
        <f>IFERROR(__xludf.DUMMYFUNCTION("""COMPUTED_VALUE"""),"DISERAHKAN")</f>
        <v>DISERAHKAN</v>
      </c>
      <c r="F5186" s="48">
        <f>IFERROR(__xludf.DUMMYFUNCTION("""COMPUTED_VALUE"""),45849.43472913194)</f>
        <v>45849.43473</v>
      </c>
      <c r="G5186" s="42" t="str">
        <f>IFERROR(__xludf.DUMMYFUNCTION("""COMPUTED_VALUE"""),"BN JUAL BELI")</f>
        <v>BN JUAL BELI</v>
      </c>
      <c r="H5186" s="42">
        <f t="shared" si="1"/>
        <v>2299</v>
      </c>
    </row>
    <row r="5187" ht="22.5" customHeight="1">
      <c r="B5187" s="42" t="str">
        <f>IFERROR(__xludf.DUMMYFUNCTION("""COMPUTED_VALUE"""),"K/15/230625/1")</f>
        <v>K/15/230625/1</v>
      </c>
      <c r="C5187" s="42" t="str">
        <f>IFERROR(__xludf.DUMMYFUNCTION("""COMPUTED_VALUE"""),"M. 888/SUMBER REJO")</f>
        <v>M. 888/SUMBER REJO</v>
      </c>
      <c r="D5187" s="42" t="str">
        <f>IFERROR(__xludf.DUMMYFUNCTION("""COMPUTED_VALUE"""),"Berry")</f>
        <v>Berry</v>
      </c>
      <c r="E5187" s="42" t="str">
        <f>IFERROR(__xludf.DUMMYFUNCTION("""COMPUTED_VALUE"""),"DISERAHKAN")</f>
        <v>DISERAHKAN</v>
      </c>
      <c r="F5187" s="48">
        <f>IFERROR(__xludf.DUMMYFUNCTION("""COMPUTED_VALUE"""),45867.674002326385)</f>
        <v>45867.674</v>
      </c>
      <c r="G5187" s="42" t="str">
        <f>IFERROR(__xludf.DUMMYFUNCTION("""COMPUTED_VALUE"""),"BN WARIS")</f>
        <v>BN WARIS</v>
      </c>
      <c r="H5187" s="42">
        <f t="shared" si="1"/>
        <v>2300</v>
      </c>
    </row>
    <row r="5188" ht="22.5" customHeight="1">
      <c r="B5188" s="42" t="str">
        <f>IFERROR(__xludf.DUMMYFUNCTION("""COMPUTED_VALUE"""),"K/16/230625/1")</f>
        <v>K/16/230625/1</v>
      </c>
      <c r="C5188" s="42" t="str">
        <f>IFERROR(__xludf.DUMMYFUNCTION("""COMPUTED_VALUE"""),"M. 5724/ Kampung Baru")</f>
        <v>M. 5724/ Kampung Baru</v>
      </c>
      <c r="D5188" s="42"/>
      <c r="E5188" s="42"/>
      <c r="F5188" s="48" t="str">
        <f>IFERROR(__xludf.DUMMYFUNCTION("""COMPUTED_VALUE"""),"")</f>
        <v/>
      </c>
      <c r="G5188" s="42" t="str">
        <f>IFERROR(__xludf.DUMMYFUNCTION("""COMPUTED_VALUE"""),"SKPT Informasi")</f>
        <v>SKPT Informasi</v>
      </c>
      <c r="H5188" s="42">
        <f t="shared" si="1"/>
        <v>2300</v>
      </c>
    </row>
    <row r="5189" ht="22.5" customHeight="1">
      <c r="B5189" s="42" t="str">
        <f>IFERROR(__xludf.DUMMYFUNCTION("""COMPUTED_VALUE"""),"K/17/230625/1")</f>
        <v>K/17/230625/1</v>
      </c>
      <c r="C5189" s="42" t="str">
        <f>IFERROR(__xludf.DUMMYFUNCTION("""COMPUTED_VALUE"""),"M. 773/ Rajabasa Pemuka")</f>
        <v>M. 773/ Rajabasa Pemuka</v>
      </c>
      <c r="D5189" s="42" t="str">
        <f>IFERROR(__xludf.DUMMYFUNCTION("""COMPUTED_VALUE"""),"Berry")</f>
        <v>Berry</v>
      </c>
      <c r="E5189" s="42" t="str">
        <f>IFERROR(__xludf.DUMMYFUNCTION("""COMPUTED_VALUE"""),"DISERAHKAN")</f>
        <v>DISERAHKAN</v>
      </c>
      <c r="F5189" s="48">
        <f>IFERROR(__xludf.DUMMYFUNCTION("""COMPUTED_VALUE"""),45852.62666081019)</f>
        <v>45852.62666</v>
      </c>
      <c r="G5189" s="42" t="str">
        <f>IFERROR(__xludf.DUMMYFUNCTION("""COMPUTED_VALUE"""),"BN JUAL BELI")</f>
        <v>BN JUAL BELI</v>
      </c>
      <c r="H5189" s="42">
        <f t="shared" si="1"/>
        <v>2301</v>
      </c>
    </row>
    <row r="5190" ht="22.5" customHeight="1">
      <c r="B5190" s="42" t="str">
        <f>IFERROR(__xludf.DUMMYFUNCTION("""COMPUTED_VALUE"""),"K/14/230625/2")</f>
        <v>K/14/230625/2</v>
      </c>
      <c r="C5190" s="42" t="str">
        <f>IFERROR(__xludf.DUMMYFUNCTION("""COMPUTED_VALUE"""),"NIBEL M 2324/RAWA LAUT")</f>
        <v>NIBEL M 2324/RAWA LAUT</v>
      </c>
      <c r="D5190" s="42"/>
      <c r="E5190" s="42"/>
      <c r="F5190" s="48" t="str">
        <f>IFERROR(__xludf.DUMMYFUNCTION("""COMPUTED_VALUE"""),"")</f>
        <v/>
      </c>
      <c r="G5190" s="42" t="str">
        <f>IFERROR(__xludf.DUMMYFUNCTION("""COMPUTED_VALUE"""),"JUAL BELI")</f>
        <v>JUAL BELI</v>
      </c>
      <c r="H5190" s="42">
        <f t="shared" si="1"/>
        <v>2301</v>
      </c>
    </row>
    <row r="5191" ht="22.5" customHeight="1">
      <c r="B5191" s="42" t="str">
        <f>IFERROR(__xludf.DUMMYFUNCTION("""COMPUTED_VALUE"""),"K/18/230625/1")</f>
        <v>K/18/230625/1</v>
      </c>
      <c r="C5191" s="42" t="str">
        <f>IFERROR(__xludf.DUMMYFUNCTION("""COMPUTED_VALUE"""),"M.12850/SUKARAME")</f>
        <v>M.12850/SUKARAME</v>
      </c>
      <c r="D5191" s="42"/>
      <c r="E5191" s="42"/>
      <c r="F5191" s="48" t="str">
        <f>IFERROR(__xludf.DUMMYFUNCTION("""COMPUTED_VALUE"""),"")</f>
        <v/>
      </c>
      <c r="G5191" s="42" t="str">
        <f>IFERROR(__xludf.DUMMYFUNCTION("""COMPUTED_VALUE"""),"PTPGT")</f>
        <v>PTPGT</v>
      </c>
      <c r="H5191" s="42">
        <f t="shared" si="1"/>
        <v>2301</v>
      </c>
    </row>
    <row r="5192" ht="22.5" customHeight="1">
      <c r="B5192" s="42" t="str">
        <f>IFERROR(__xludf.DUMMYFUNCTION("""COMPUTED_VALUE"""),"K/19/230625/1")</f>
        <v>K/19/230625/1</v>
      </c>
      <c r="C5192" s="42" t="str">
        <f>IFERROR(__xludf.DUMMYFUNCTION("""COMPUTED_VALUE"""),"NIBEL M 20376/WAY KANDIS ")</f>
        <v>NIBEL M 20376/WAY KANDIS </v>
      </c>
      <c r="D5192" s="42"/>
      <c r="E5192" s="42"/>
      <c r="F5192" s="48" t="str">
        <f>IFERROR(__xludf.DUMMYFUNCTION("""COMPUTED_VALUE"""),"")</f>
        <v/>
      </c>
      <c r="G5192" s="42" t="str">
        <f>IFERROR(__xludf.DUMMYFUNCTION("""COMPUTED_VALUE"""),"JUAL BELI")</f>
        <v>JUAL BELI</v>
      </c>
      <c r="H5192" s="42">
        <f t="shared" si="1"/>
        <v>2301</v>
      </c>
    </row>
    <row r="5193" ht="22.5" customHeight="1">
      <c r="B5193" s="42" t="str">
        <f>IFERROR(__xludf.DUMMYFUNCTION("""COMPUTED_VALUE"""),"L/21/230625/1")</f>
        <v>L/21/230625/1</v>
      </c>
      <c r="C5193" s="42" t="str">
        <f>IFERROR(__xludf.DUMMYFUNCTION("""COMPUTED_VALUE"""),"GUNUNG TERANG")</f>
        <v>GUNUNG TERANG</v>
      </c>
      <c r="D5193" s="42"/>
      <c r="E5193" s="42"/>
      <c r="F5193" s="48" t="str">
        <f>IFERROR(__xludf.DUMMYFUNCTION("""COMPUTED_VALUE"""),"")</f>
        <v/>
      </c>
      <c r="G5193" s="42" t="str">
        <f>IFERROR(__xludf.DUMMYFUNCTION("""COMPUTED_VALUE"""),"PERTAMA KALI")</f>
        <v>PERTAMA KALI</v>
      </c>
      <c r="H5193" s="42">
        <f t="shared" si="1"/>
        <v>2301</v>
      </c>
    </row>
    <row r="5194" ht="22.5" customHeight="1">
      <c r="B5194" s="42" t="str">
        <f>IFERROR(__xludf.DUMMYFUNCTION("""COMPUTED_VALUE"""),"L/22/230625/1")</f>
        <v>L/22/230625/1</v>
      </c>
      <c r="C5194" s="42" t="str">
        <f>IFERROR(__xludf.DUMMYFUNCTION("""COMPUTED_VALUE"""),"HM 1146/TANJUNG  BARU")</f>
        <v>HM 1146/TANJUNG  BARU</v>
      </c>
      <c r="D5194" s="42"/>
      <c r="E5194" s="42"/>
      <c r="F5194" s="48" t="str">
        <f>IFERROR(__xludf.DUMMYFUNCTION("""COMPUTED_VALUE"""),"")</f>
        <v/>
      </c>
      <c r="G5194" s="42" t="str">
        <f>IFERROR(__xludf.DUMMYFUNCTION("""COMPUTED_VALUE"""),"PENGHAPUSAN BPHTB")</f>
        <v>PENGHAPUSAN BPHTB</v>
      </c>
      <c r="H5194" s="42">
        <f t="shared" si="1"/>
        <v>2301</v>
      </c>
    </row>
    <row r="5195" ht="22.5" customHeight="1">
      <c r="B5195" s="42" t="str">
        <f>IFERROR(__xludf.DUMMYFUNCTION("""COMPUTED_VALUE"""),"K/23/230625/1")</f>
        <v>K/23/230625/1</v>
      </c>
      <c r="C5195" s="42" t="str">
        <f>IFERROR(__xludf.DUMMYFUNCTION("""COMPUTED_VALUE"""),"Nibel. M. 20695/ Rajabasa Jaya")</f>
        <v>Nibel. M. 20695/ Rajabasa Jaya</v>
      </c>
      <c r="D5195" s="42"/>
      <c r="E5195" s="42"/>
      <c r="F5195" s="48" t="str">
        <f>IFERROR(__xludf.DUMMYFUNCTION("""COMPUTED_VALUE"""),"")</f>
        <v/>
      </c>
      <c r="G5195" s="42" t="str">
        <f>IFERROR(__xludf.DUMMYFUNCTION("""COMPUTED_VALUE"""),"Pemecahan")</f>
        <v>Pemecahan</v>
      </c>
      <c r="H5195" s="42">
        <f t="shared" si="1"/>
        <v>2301</v>
      </c>
    </row>
    <row r="5196" ht="22.5" customHeight="1">
      <c r="B5196" s="42" t="str">
        <f>IFERROR(__xludf.DUMMYFUNCTION("""COMPUTED_VALUE"""),"L/25/230625/1")</f>
        <v>L/25/230625/1</v>
      </c>
      <c r="C5196" s="42" t="str">
        <f>IFERROR(__xludf.DUMMYFUNCTION("""COMPUTED_VALUE"""),"HM 3286/KETEGUHAN")</f>
        <v>HM 3286/KETEGUHAN</v>
      </c>
      <c r="D5196" s="42"/>
      <c r="E5196" s="42"/>
      <c r="F5196" s="48" t="str">
        <f>IFERROR(__xludf.DUMMYFUNCTION("""COMPUTED_VALUE"""),"")</f>
        <v/>
      </c>
      <c r="G5196" s="42" t="str">
        <f>IFERROR(__xludf.DUMMYFUNCTION("""COMPUTED_VALUE"""),"GANTI BLANGKO")</f>
        <v>GANTI BLANGKO</v>
      </c>
      <c r="H5196" s="42">
        <f t="shared" si="1"/>
        <v>2301</v>
      </c>
    </row>
    <row r="5197" ht="22.5" customHeight="1">
      <c r="B5197" s="42" t="str">
        <f>IFERROR(__xludf.DUMMYFUNCTION("""COMPUTED_VALUE"""),"L/26/230625/2")</f>
        <v>L/26/230625/2</v>
      </c>
      <c r="C5197" s="42" t="str">
        <f>IFERROR(__xludf.DUMMYFUNCTION("""COMPUTED_VALUE"""),"HM 2197/KETEGUHAN")</f>
        <v>HM 2197/KETEGUHAN</v>
      </c>
      <c r="D5197" s="42"/>
      <c r="E5197" s="42"/>
      <c r="F5197" s="48" t="str">
        <f>IFERROR(__xludf.DUMMYFUNCTION("""COMPUTED_VALUE"""),"")</f>
        <v/>
      </c>
      <c r="G5197" s="42" t="str">
        <f>IFERROR(__xludf.DUMMYFUNCTION("""COMPUTED_VALUE"""),"GANTI BLANGKO")</f>
        <v>GANTI BLANGKO</v>
      </c>
      <c r="H5197" s="42">
        <f t="shared" si="1"/>
        <v>2301</v>
      </c>
    </row>
    <row r="5198" ht="22.5" customHeight="1">
      <c r="B5198" s="42" t="str">
        <f>IFERROR(__xludf.DUMMYFUNCTION("""COMPUTED_VALUE"""),"L/27/230625/3")</f>
        <v>L/27/230625/3</v>
      </c>
      <c r="C5198" s="42" t="str">
        <f>IFERROR(__xludf.DUMMYFUNCTION("""COMPUTED_VALUE"""),"HM 2200/KETEGUHAN")</f>
        <v>HM 2200/KETEGUHAN</v>
      </c>
      <c r="D5198" s="42"/>
      <c r="E5198" s="42"/>
      <c r="F5198" s="48" t="str">
        <f>IFERROR(__xludf.DUMMYFUNCTION("""COMPUTED_VALUE"""),"")</f>
        <v/>
      </c>
      <c r="G5198" s="42" t="str">
        <f>IFERROR(__xludf.DUMMYFUNCTION("""COMPUTED_VALUE"""),"GANTI BLANGKO")</f>
        <v>GANTI BLANGKO</v>
      </c>
      <c r="H5198" s="42">
        <f t="shared" si="1"/>
        <v>2301</v>
      </c>
    </row>
    <row r="5199" ht="22.5" customHeight="1">
      <c r="B5199" s="42" t="str">
        <f>IFERROR(__xludf.DUMMYFUNCTION("""COMPUTED_VALUE"""),"K/24/230625/1")</f>
        <v>K/24/230625/1</v>
      </c>
      <c r="C5199" s="42" t="str">
        <f>IFERROR(__xludf.DUMMYFUNCTION("""COMPUTED_VALUE"""),"Nibel 16245/ Sumur Putri")</f>
        <v>Nibel 16245/ Sumur Putri</v>
      </c>
      <c r="D5199" s="42"/>
      <c r="E5199" s="42"/>
      <c r="F5199" s="48" t="str">
        <f>IFERROR(__xludf.DUMMYFUNCTION("""COMPUTED_VALUE"""),"")</f>
        <v/>
      </c>
      <c r="G5199" s="42" t="str">
        <f>IFERROR(__xludf.DUMMYFUNCTION("""COMPUTED_VALUE"""),"PERUBAHAN HAK")</f>
        <v>PERUBAHAN HAK</v>
      </c>
      <c r="H5199" s="42">
        <f t="shared" si="1"/>
        <v>2301</v>
      </c>
    </row>
    <row r="5200" ht="22.5" customHeight="1">
      <c r="B5200" s="42" t="str">
        <f>IFERROR(__xludf.DUMMYFUNCTION("""COMPUTED_VALUE"""),"K/28/230625/1")</f>
        <v>K/28/230625/1</v>
      </c>
      <c r="C5200" s="42" t="str">
        <f>IFERROR(__xludf.DUMMYFUNCTION("""COMPUTED_VALUE"""),"B. 177/ Labuhan Ratu Raya")</f>
        <v>B. 177/ Labuhan Ratu Raya</v>
      </c>
      <c r="D5200" s="42" t="str">
        <f>IFERROR(__xludf.DUMMYFUNCTION("""COMPUTED_VALUE"""),"David")</f>
        <v>David</v>
      </c>
      <c r="E5200" s="42" t="str">
        <f>IFERROR(__xludf.DUMMYFUNCTION("""COMPUTED_VALUE"""),"DISERAHKAN")</f>
        <v>DISERAHKAN</v>
      </c>
      <c r="F5200" s="48">
        <f>IFERROR(__xludf.DUMMYFUNCTION("""COMPUTED_VALUE"""),45863.60657857639)</f>
        <v>45863.60658</v>
      </c>
      <c r="G5200" s="42" t="str">
        <f>IFERROR(__xludf.DUMMYFUNCTION("""COMPUTED_VALUE"""),"BN Jual Beli")</f>
        <v>BN Jual Beli</v>
      </c>
      <c r="H5200" s="42">
        <f t="shared" si="1"/>
        <v>2302</v>
      </c>
    </row>
    <row r="5201" ht="22.5" customHeight="1">
      <c r="B5201" s="42" t="str">
        <f>IFERROR(__xludf.DUMMYFUNCTION("""COMPUTED_VALUE"""),"K/20/230625/1")</f>
        <v>K/20/230625/1</v>
      </c>
      <c r="C5201" s="42" t="str">
        <f>IFERROR(__xludf.DUMMYFUNCTION("""COMPUTED_VALUE"""),"M.405/PALAPA ")</f>
        <v>M.405/PALAPA </v>
      </c>
      <c r="D5201" s="42" t="str">
        <f>IFERROR(__xludf.DUMMYFUNCTION("""COMPUTED_VALUE"""),"Berry")</f>
        <v>Berry</v>
      </c>
      <c r="E5201" s="42" t="str">
        <f>IFERROR(__xludf.DUMMYFUNCTION("""COMPUTED_VALUE"""),"DISERAHKAN")</f>
        <v>DISERAHKAN</v>
      </c>
      <c r="F5201" s="48">
        <f>IFERROR(__xludf.DUMMYFUNCTION("""COMPUTED_VALUE"""),45859.637164178246)</f>
        <v>45859.63716</v>
      </c>
      <c r="G5201" s="42" t="str">
        <f>IFERROR(__xludf.DUMMYFUNCTION("""COMPUTED_VALUE"""),"JUAL BELI ")</f>
        <v>JUAL BELI </v>
      </c>
      <c r="H5201" s="42">
        <f t="shared" si="1"/>
        <v>2303</v>
      </c>
    </row>
    <row r="5202" ht="22.5" customHeight="1">
      <c r="B5202" s="42" t="str">
        <f>IFERROR(__xludf.DUMMYFUNCTION("""COMPUTED_VALUE"""),"K/29/230625/1")</f>
        <v>K/29/230625/1</v>
      </c>
      <c r="C5202" s="42" t="str">
        <f>IFERROR(__xludf.DUMMYFUNCTION("""COMPUTED_VALUE"""),"M.9663/TANJUNG BARU")</f>
        <v>M.9663/TANJUNG BARU</v>
      </c>
      <c r="D5202" s="42" t="str">
        <f>IFERROR(__xludf.DUMMYFUNCTION("""COMPUTED_VALUE"""),"Berry")</f>
        <v>Berry</v>
      </c>
      <c r="E5202" s="42" t="str">
        <f>IFERROR(__xludf.DUMMYFUNCTION("""COMPUTED_VALUE"""),"DISERAHKAN")</f>
        <v>DISERAHKAN</v>
      </c>
      <c r="F5202" s="48">
        <f>IFERROR(__xludf.DUMMYFUNCTION("""COMPUTED_VALUE"""),45852.63065172454)</f>
        <v>45852.63065</v>
      </c>
      <c r="G5202" s="42" t="str">
        <f>IFERROR(__xludf.DUMMYFUNCTION("""COMPUTED_VALUE"""),"JUAL BELI")</f>
        <v>JUAL BELI</v>
      </c>
      <c r="H5202" s="42">
        <f t="shared" si="1"/>
        <v>2304</v>
      </c>
    </row>
    <row r="5203" ht="22.5" customHeight="1">
      <c r="B5203" s="42" t="str">
        <f>IFERROR(__xludf.DUMMYFUNCTION("""COMPUTED_VALUE"""),"K/30/230625/1")</f>
        <v>K/30/230625/1</v>
      </c>
      <c r="C5203" s="42" t="str">
        <f>IFERROR(__xludf.DUMMYFUNCTION("""COMPUTED_VALUE"""),"Nibel 19712/ Negeri Olok Gading")</f>
        <v>Nibel 19712/ Negeri Olok Gading</v>
      </c>
      <c r="D5203" s="42"/>
      <c r="E5203" s="42"/>
      <c r="F5203" s="48" t="str">
        <f>IFERROR(__xludf.DUMMYFUNCTION("""COMPUTED_VALUE"""),"")</f>
        <v/>
      </c>
      <c r="G5203" s="42" t="str">
        <f>IFERROR(__xludf.DUMMYFUNCTION("""COMPUTED_VALUE"""),"BN JUAL BELI")</f>
        <v>BN JUAL BELI</v>
      </c>
      <c r="H5203" s="42">
        <f t="shared" si="1"/>
        <v>2304</v>
      </c>
    </row>
    <row r="5204" ht="22.5" customHeight="1">
      <c r="B5204" s="42" t="str">
        <f>IFERROR(__xludf.DUMMYFUNCTION("""COMPUTED_VALUE"""),"K/31/230625/2")</f>
        <v>K/31/230625/2</v>
      </c>
      <c r="C5204" s="42" t="str">
        <f>IFERROR(__xludf.DUMMYFUNCTION("""COMPUTED_VALUE"""),"M. 1484/Way Halim Permai")</f>
        <v>M. 1484/Way Halim Permai</v>
      </c>
      <c r="D5204" s="42"/>
      <c r="E5204" s="42"/>
      <c r="F5204" s="48" t="str">
        <f>IFERROR(__xludf.DUMMYFUNCTION("""COMPUTED_VALUE"""),"")</f>
        <v/>
      </c>
      <c r="G5204" s="42" t="str">
        <f>IFERROR(__xludf.DUMMYFUNCTION("""COMPUTED_VALUE"""),"ROYA")</f>
        <v>ROYA</v>
      </c>
      <c r="H5204" s="42">
        <f t="shared" si="1"/>
        <v>2304</v>
      </c>
    </row>
    <row r="5205" ht="22.5" customHeight="1">
      <c r="B5205" s="42" t="str">
        <f>IFERROR(__xludf.DUMMYFUNCTION("""COMPUTED_VALUE"""),"K/33/230625/1")</f>
        <v>K/33/230625/1</v>
      </c>
      <c r="C5205" s="42" t="str">
        <f>IFERROR(__xludf.DUMMYFUNCTION("""COMPUTED_VALUE"""),"NIBEL M 721/GUNUNG AGUNG")</f>
        <v>NIBEL M 721/GUNUNG AGUNG</v>
      </c>
      <c r="D5205" s="42"/>
      <c r="E5205" s="42"/>
      <c r="F5205" s="48" t="str">
        <f>IFERROR(__xludf.DUMMYFUNCTION("""COMPUTED_VALUE"""),"")</f>
        <v/>
      </c>
      <c r="G5205" s="42" t="str">
        <f>IFERROR(__xludf.DUMMYFUNCTION("""COMPUTED_VALUE"""),"JUAL BELI")</f>
        <v>JUAL BELI</v>
      </c>
      <c r="H5205" s="42">
        <f t="shared" si="1"/>
        <v>2304</v>
      </c>
    </row>
    <row r="5206" ht="22.5" customHeight="1">
      <c r="B5206" s="42" t="str">
        <f>IFERROR(__xludf.DUMMYFUNCTION("""COMPUTED_VALUE"""),"K/34/230625/1")</f>
        <v>K/34/230625/1</v>
      </c>
      <c r="C5206" s="42" t="str">
        <f>IFERROR(__xludf.DUMMYFUNCTION("""COMPUTED_VALUE"""),"M. 10254/ Sukabumi")</f>
        <v>M. 10254/ Sukabumi</v>
      </c>
      <c r="D5206" s="42" t="str">
        <f>IFERROR(__xludf.DUMMYFUNCTION("""COMPUTED_VALUE"""),"Berry")</f>
        <v>Berry</v>
      </c>
      <c r="E5206" s="42" t="str">
        <f>IFERROR(__xludf.DUMMYFUNCTION("""COMPUTED_VALUE"""),"DISERAHKAN")</f>
        <v>DISERAHKAN</v>
      </c>
      <c r="F5206" s="48">
        <f>IFERROR(__xludf.DUMMYFUNCTION("""COMPUTED_VALUE"""),45847.49084730324)</f>
        <v>45847.49085</v>
      </c>
      <c r="G5206" s="42" t="str">
        <f>IFERROR(__xludf.DUMMYFUNCTION("""COMPUTED_VALUE"""),"BN HIBAH")</f>
        <v>BN HIBAH</v>
      </c>
      <c r="H5206" s="42">
        <f t="shared" si="1"/>
        <v>2305</v>
      </c>
    </row>
    <row r="5207" ht="22.5" customHeight="1">
      <c r="B5207" s="42" t="str">
        <f>IFERROR(__xludf.DUMMYFUNCTION("""COMPUTED_VALUE"""),"K/32/230625/1")</f>
        <v>K/32/230625/1</v>
      </c>
      <c r="C5207" s="42" t="str">
        <f>IFERROR(__xludf.DUMMYFUNCTION("""COMPUTED_VALUE"""),"NIBEL M. 20850/NUSANTARA PERMAI")</f>
        <v>NIBEL M. 20850/NUSANTARA PERMAI</v>
      </c>
      <c r="D5207" s="42"/>
      <c r="E5207" s="42"/>
      <c r="F5207" s="48" t="str">
        <f>IFERROR(__xludf.DUMMYFUNCTION("""COMPUTED_VALUE"""),"")</f>
        <v/>
      </c>
      <c r="G5207" s="42" t="str">
        <f>IFERROR(__xludf.DUMMYFUNCTION("""COMPUTED_VALUE"""),"BN JUAL BELI")</f>
        <v>BN JUAL BELI</v>
      </c>
      <c r="H5207" s="42">
        <f t="shared" si="1"/>
        <v>2305</v>
      </c>
    </row>
    <row r="5208" ht="22.5" customHeight="1">
      <c r="B5208" s="42" t="str">
        <f>IFERROR(__xludf.DUMMYFUNCTION("""COMPUTED_VALUE"""),"K/37/230625/2")</f>
        <v>K/37/230625/2</v>
      </c>
      <c r="C5208" s="42" t="str">
        <f>IFERROR(__xludf.DUMMYFUNCTION("""COMPUTED_VALUE"""),"B. 638/ Sukamaju")</f>
        <v>B. 638/ Sukamaju</v>
      </c>
      <c r="D5208" s="42" t="str">
        <f>IFERROR(__xludf.DUMMYFUNCTION("""COMPUTED_VALUE"""),"Berry")</f>
        <v>Berry</v>
      </c>
      <c r="E5208" s="42" t="str">
        <f>IFERROR(__xludf.DUMMYFUNCTION("""COMPUTED_VALUE"""),"DISERAHKAN")</f>
        <v>DISERAHKAN</v>
      </c>
      <c r="F5208" s="48">
        <f>IFERROR(__xludf.DUMMYFUNCTION("""COMPUTED_VALUE"""),45867.68517109954)</f>
        <v>45867.68517</v>
      </c>
      <c r="G5208" s="42" t="str">
        <f>IFERROR(__xludf.DUMMYFUNCTION("""COMPUTED_VALUE"""),"BN Jual Beli")</f>
        <v>BN Jual Beli</v>
      </c>
      <c r="H5208" s="42">
        <f t="shared" si="1"/>
        <v>2306</v>
      </c>
    </row>
    <row r="5209" ht="22.5" customHeight="1">
      <c r="B5209" s="42" t="str">
        <f>IFERROR(__xludf.DUMMYFUNCTION("""COMPUTED_VALUE"""),"K/36/230625/1")</f>
        <v>K/36/230625/1</v>
      </c>
      <c r="C5209" s="42" t="str">
        <f>IFERROR(__xludf.DUMMYFUNCTION("""COMPUTED_VALUE"""),"M. 123/ Nusantara Permai")</f>
        <v>M. 123/ Nusantara Permai</v>
      </c>
      <c r="D5209" s="42" t="str">
        <f>IFERROR(__xludf.DUMMYFUNCTION("""COMPUTED_VALUE"""),"Berry")</f>
        <v>Berry</v>
      </c>
      <c r="E5209" s="42" t="str">
        <f>IFERROR(__xludf.DUMMYFUNCTION("""COMPUTED_VALUE"""),"DISERAHKAN")</f>
        <v>DISERAHKAN</v>
      </c>
      <c r="F5209" s="48">
        <f>IFERROR(__xludf.DUMMYFUNCTION("""COMPUTED_VALUE"""),45853.71957511574)</f>
        <v>45853.71958</v>
      </c>
      <c r="G5209" s="42" t="str">
        <f>IFERROR(__xludf.DUMMYFUNCTION("""COMPUTED_VALUE"""),"BN Jual Beli")</f>
        <v>BN Jual Beli</v>
      </c>
      <c r="H5209" s="42">
        <f t="shared" si="1"/>
        <v>2307</v>
      </c>
    </row>
    <row r="5210" ht="22.5" customHeight="1">
      <c r="B5210" s="42" t="str">
        <f>IFERROR(__xludf.DUMMYFUNCTION("""COMPUTED_VALUE"""),"K/38/230625/1")</f>
        <v>K/38/230625/1</v>
      </c>
      <c r="C5210" s="42" t="str">
        <f>IFERROR(__xludf.DUMMYFUNCTION("""COMPUTED_VALUE"""),"Nibel 20288/ Gunung Terang")</f>
        <v>Nibel 20288/ Gunung Terang</v>
      </c>
      <c r="D5210" s="42"/>
      <c r="E5210" s="42"/>
      <c r="F5210" s="48" t="str">
        <f>IFERROR(__xludf.DUMMYFUNCTION("""COMPUTED_VALUE"""),"")</f>
        <v/>
      </c>
      <c r="G5210" s="42" t="str">
        <f>IFERROR(__xludf.DUMMYFUNCTION("""COMPUTED_VALUE"""),"BN HIBAH")</f>
        <v>BN HIBAH</v>
      </c>
      <c r="H5210" s="42">
        <f t="shared" si="1"/>
        <v>2307</v>
      </c>
    </row>
    <row r="5211" ht="22.5" customHeight="1">
      <c r="B5211" s="42" t="str">
        <f>IFERROR(__xludf.DUMMYFUNCTION("""COMPUTED_VALUE"""),"K/39/230625/1")</f>
        <v>K/39/230625/1</v>
      </c>
      <c r="C5211" s="42" t="str">
        <f>IFERROR(__xludf.DUMMYFUNCTION("""COMPUTED_VALUE"""),"B. 98 / LABUHAN RATU")</f>
        <v>B. 98 / LABUHAN RATU</v>
      </c>
      <c r="D5211" s="42" t="str">
        <f>IFERROR(__xludf.DUMMYFUNCTION("""COMPUTED_VALUE"""),"David")</f>
        <v>David</v>
      </c>
      <c r="E5211" s="42" t="str">
        <f>IFERROR(__xludf.DUMMYFUNCTION("""COMPUTED_VALUE"""),"DISERAHKAN")</f>
        <v>DISERAHKAN</v>
      </c>
      <c r="F5211" s="48">
        <f>IFERROR(__xludf.DUMMYFUNCTION("""COMPUTED_VALUE"""),45847.6603559375)</f>
        <v>45847.66036</v>
      </c>
      <c r="G5211" s="42" t="str">
        <f>IFERROR(__xludf.DUMMYFUNCTION("""COMPUTED_VALUE"""),"ROYA")</f>
        <v>ROYA</v>
      </c>
      <c r="H5211" s="42">
        <f t="shared" si="1"/>
        <v>2308</v>
      </c>
    </row>
    <row r="5212" ht="22.5" customHeight="1">
      <c r="B5212" s="42" t="str">
        <f>IFERROR(__xludf.DUMMYFUNCTION("""COMPUTED_VALUE"""),"K/35/230625/2")</f>
        <v>K/35/230625/2</v>
      </c>
      <c r="C5212" s="42" t="str">
        <f>IFERROR(__xludf.DUMMYFUNCTION("""COMPUTED_VALUE"""),"NIBEL M 21132/KANGKUNG")</f>
        <v>NIBEL M 21132/KANGKUNG</v>
      </c>
      <c r="D5212" s="42"/>
      <c r="E5212" s="42"/>
      <c r="F5212" s="48" t="str">
        <f>IFERROR(__xludf.DUMMYFUNCTION("""COMPUTED_VALUE"""),"")</f>
        <v/>
      </c>
      <c r="G5212" s="42" t="str">
        <f>IFERROR(__xludf.DUMMYFUNCTION("""COMPUTED_VALUE"""),"JUAL BELI ")</f>
        <v>JUAL BELI </v>
      </c>
      <c r="H5212" s="42">
        <f t="shared" si="1"/>
        <v>2308</v>
      </c>
    </row>
    <row r="5213" ht="22.5" customHeight="1">
      <c r="B5213" s="42" t="str">
        <f>IFERROR(__xludf.DUMMYFUNCTION("""COMPUTED_VALUE"""),"K/1/240625/1")</f>
        <v>K/1/240625/1</v>
      </c>
      <c r="C5213" s="42" t="str">
        <f>IFERROR(__xludf.DUMMYFUNCTION("""COMPUTED_VALUE"""),"M. 1288/ Kedamaian")</f>
        <v>M. 1288/ Kedamaian</v>
      </c>
      <c r="D5213" s="42" t="str">
        <f>IFERROR(__xludf.DUMMYFUNCTION("""COMPUTED_VALUE"""),"Berry")</f>
        <v>Berry</v>
      </c>
      <c r="E5213" s="42" t="str">
        <f>IFERROR(__xludf.DUMMYFUNCTION("""COMPUTED_VALUE"""),"DISERAHKAN")</f>
        <v>DISERAHKAN</v>
      </c>
      <c r="F5213" s="48">
        <f>IFERROR(__xludf.DUMMYFUNCTION("""COMPUTED_VALUE"""),45849.493867048615)</f>
        <v>45849.49387</v>
      </c>
      <c r="G5213" s="42" t="str">
        <f>IFERROR(__xludf.DUMMYFUNCTION("""COMPUTED_VALUE"""),"BN Jual Beli")</f>
        <v>BN Jual Beli</v>
      </c>
      <c r="H5213" s="42">
        <f t="shared" si="1"/>
        <v>2309</v>
      </c>
    </row>
    <row r="5214" ht="22.5" customHeight="1">
      <c r="B5214" s="42" t="str">
        <f>IFERROR(__xludf.DUMMYFUNCTION("""COMPUTED_VALUE"""),"K/2/240625/2")</f>
        <v>K/2/240625/2</v>
      </c>
      <c r="C5214" s="42" t="str">
        <f>IFERROR(__xludf.DUMMYFUNCTION("""COMPUTED_VALUE"""),"M. 13851/ Rajabasa")</f>
        <v>M. 13851/ Rajabasa</v>
      </c>
      <c r="D5214" s="42" t="str">
        <f>IFERROR(__xludf.DUMMYFUNCTION("""COMPUTED_VALUE"""),"David")</f>
        <v>David</v>
      </c>
      <c r="E5214" s="42" t="str">
        <f>IFERROR(__xludf.DUMMYFUNCTION("""COMPUTED_VALUE"""),"DISERAHKAN")</f>
        <v>DISERAHKAN</v>
      </c>
      <c r="F5214" s="48">
        <f>IFERROR(__xludf.DUMMYFUNCTION("""COMPUTED_VALUE"""),45852.64274820602)</f>
        <v>45852.64275</v>
      </c>
      <c r="G5214" s="42" t="str">
        <f>IFERROR(__xludf.DUMMYFUNCTION("""COMPUTED_VALUE"""),"Roya")</f>
        <v>Roya</v>
      </c>
      <c r="H5214" s="42">
        <f t="shared" si="1"/>
        <v>2310</v>
      </c>
    </row>
    <row r="5215" ht="22.5" customHeight="1">
      <c r="B5215" s="42" t="str">
        <f>IFERROR(__xludf.DUMMYFUNCTION("""COMPUTED_VALUE"""),"K/4/240625/1")</f>
        <v>K/4/240625/1</v>
      </c>
      <c r="C5215" s="42" t="str">
        <f>IFERROR(__xludf.DUMMYFUNCTION("""COMPUTED_VALUE"""),"M. 2254/ Rajabasa Raya")</f>
        <v>M. 2254/ Rajabasa Raya</v>
      </c>
      <c r="D5215" s="42" t="str">
        <f>IFERROR(__xludf.DUMMYFUNCTION("""COMPUTED_VALUE"""),"Berry")</f>
        <v>Berry</v>
      </c>
      <c r="E5215" s="42" t="str">
        <f>IFERROR(__xludf.DUMMYFUNCTION("""COMPUTED_VALUE"""),"DISERAHKAN")</f>
        <v>DISERAHKAN</v>
      </c>
      <c r="F5215" s="48">
        <f>IFERROR(__xludf.DUMMYFUNCTION("""COMPUTED_VALUE"""),45853.72060596065)</f>
        <v>45853.72061</v>
      </c>
      <c r="G5215" s="42" t="str">
        <f>IFERROR(__xludf.DUMMYFUNCTION("""COMPUTED_VALUE"""),"BN Hibah")</f>
        <v>BN Hibah</v>
      </c>
      <c r="H5215" s="42">
        <f t="shared" si="1"/>
        <v>2311</v>
      </c>
    </row>
    <row r="5216" ht="22.5" customHeight="1">
      <c r="B5216" s="42" t="str">
        <f>IFERROR(__xludf.DUMMYFUNCTION("""COMPUTED_VALUE"""),"K/3/240625/1")</f>
        <v>K/3/240625/1</v>
      </c>
      <c r="C5216" s="42" t="str">
        <f>IFERROR(__xludf.DUMMYFUNCTION("""COMPUTED_VALUE"""),"M. 1845/ Rajabasa Pemuka")</f>
        <v>M. 1845/ Rajabasa Pemuka</v>
      </c>
      <c r="D5216" s="42" t="str">
        <f>IFERROR(__xludf.DUMMYFUNCTION("""COMPUTED_VALUE"""),"Berry")</f>
        <v>Berry</v>
      </c>
      <c r="E5216" s="42" t="str">
        <f>IFERROR(__xludf.DUMMYFUNCTION("""COMPUTED_VALUE"""),"DISERAHKAN")</f>
        <v>DISERAHKAN</v>
      </c>
      <c r="F5216" s="48">
        <f>IFERROR(__xludf.DUMMYFUNCTION("""COMPUTED_VALUE"""),45859.61708083333)</f>
        <v>45859.61708</v>
      </c>
      <c r="G5216" s="42" t="str">
        <f>IFERROR(__xludf.DUMMYFUNCTION("""COMPUTED_VALUE"""),"BN WARIS")</f>
        <v>BN WARIS</v>
      </c>
      <c r="H5216" s="42">
        <f t="shared" si="1"/>
        <v>2312</v>
      </c>
    </row>
    <row r="5217" ht="22.5" customHeight="1">
      <c r="B5217" s="42" t="str">
        <f>IFERROR(__xludf.DUMMYFUNCTION("""COMPUTED_VALUE"""),"K/5/240625/1")</f>
        <v>K/5/240625/1</v>
      </c>
      <c r="C5217" s="42" t="str">
        <f>IFERROR(__xludf.DUMMYFUNCTION("""COMPUTED_VALUE"""),"M.1236/PERUMNAS WAY KANDIS")</f>
        <v>M.1236/PERUMNAS WAY KANDIS</v>
      </c>
      <c r="D5217" s="42"/>
      <c r="E5217" s="42"/>
      <c r="F5217" s="48" t="str">
        <f>IFERROR(__xludf.DUMMYFUNCTION("""COMPUTED_VALUE"""),"")</f>
        <v/>
      </c>
      <c r="G5217" s="42" t="str">
        <f>IFERROR(__xludf.DUMMYFUNCTION("""COMPUTED_VALUE"""),"PENATAAN BATAS")</f>
        <v>PENATAAN BATAS</v>
      </c>
      <c r="H5217" s="42">
        <f t="shared" si="1"/>
        <v>2312</v>
      </c>
    </row>
    <row r="5218" ht="22.5" customHeight="1">
      <c r="B5218" s="42" t="str">
        <f>IFERROR(__xludf.DUMMYFUNCTION("""COMPUTED_VALUE"""),"K/6/240625/1")</f>
        <v>K/6/240625/1</v>
      </c>
      <c r="C5218" s="42" t="str">
        <f>IFERROR(__xludf.DUMMYFUNCTION("""COMPUTED_VALUE"""),"B. 902/SUKARAME BARU")</f>
        <v>B. 902/SUKARAME BARU</v>
      </c>
      <c r="D5218" s="42" t="str">
        <f>IFERROR(__xludf.DUMMYFUNCTION("""COMPUTED_VALUE"""),"Berry")</f>
        <v>Berry</v>
      </c>
      <c r="E5218" s="42" t="str">
        <f>IFERROR(__xludf.DUMMYFUNCTION("""COMPUTED_VALUE"""),"DISERAHKAN")</f>
        <v>DISERAHKAN</v>
      </c>
      <c r="F5218" s="48">
        <f>IFERROR(__xludf.DUMMYFUNCTION("""COMPUTED_VALUE"""),45852.641589907405)</f>
        <v>45852.64159</v>
      </c>
      <c r="G5218" s="42" t="str">
        <f>IFERROR(__xludf.DUMMYFUNCTION("""COMPUTED_VALUE"""),"PERUBAHAN HAK")</f>
        <v>PERUBAHAN HAK</v>
      </c>
      <c r="H5218" s="42">
        <f t="shared" si="1"/>
        <v>2313</v>
      </c>
    </row>
    <row r="5219" ht="22.5" customHeight="1">
      <c r="B5219" s="42" t="str">
        <f>IFERROR(__xludf.DUMMYFUNCTION("""COMPUTED_VALUE"""),"K/7/240625/1")</f>
        <v>K/7/240625/1</v>
      </c>
      <c r="C5219" s="42" t="str">
        <f>IFERROR(__xludf.DUMMYFUNCTION("""COMPUTED_VALUE"""),"M. 12950/ Sukabumi")</f>
        <v>M. 12950/ Sukabumi</v>
      </c>
      <c r="D5219" s="42" t="str">
        <f>IFERROR(__xludf.DUMMYFUNCTION("""COMPUTED_VALUE"""),"Berry")</f>
        <v>Berry</v>
      </c>
      <c r="E5219" s="42" t="str">
        <f>IFERROR(__xludf.DUMMYFUNCTION("""COMPUTED_VALUE"""),"DISERAHKAN")</f>
        <v>DISERAHKAN</v>
      </c>
      <c r="F5219" s="48">
        <f>IFERROR(__xludf.DUMMYFUNCTION("""COMPUTED_VALUE"""),45860.663171990745)</f>
        <v>45860.66317</v>
      </c>
      <c r="G5219" s="42" t="str">
        <f>IFERROR(__xludf.DUMMYFUNCTION("""COMPUTED_VALUE"""),"BN Waris")</f>
        <v>BN Waris</v>
      </c>
      <c r="H5219" s="42">
        <f t="shared" si="1"/>
        <v>2314</v>
      </c>
    </row>
    <row r="5220" ht="22.5" customHeight="1">
      <c r="B5220" s="42" t="str">
        <f>IFERROR(__xludf.DUMMYFUNCTION("""COMPUTED_VALUE"""),"K/8/240625/1")</f>
        <v>K/8/240625/1</v>
      </c>
      <c r="C5220" s="42" t="str">
        <f>IFERROR(__xludf.DUMMYFUNCTION("""COMPUTED_VALUE"""),"M.2639/PINANG JAYA")</f>
        <v>M.2639/PINANG JAYA</v>
      </c>
      <c r="D5220" s="42"/>
      <c r="E5220" s="42"/>
      <c r="F5220" s="48" t="str">
        <f>IFERROR(__xludf.DUMMYFUNCTION("""COMPUTED_VALUE"""),"")</f>
        <v/>
      </c>
      <c r="G5220" s="42" t="str">
        <f>IFERROR(__xludf.DUMMYFUNCTION("""COMPUTED_VALUE"""),"JUAL BELI")</f>
        <v>JUAL BELI</v>
      </c>
      <c r="H5220" s="42">
        <f t="shared" si="1"/>
        <v>2314</v>
      </c>
    </row>
    <row r="5221" ht="22.5" customHeight="1">
      <c r="B5221" s="42" t="str">
        <f>IFERROR(__xludf.DUMMYFUNCTION("""COMPUTED_VALUE"""),"K/9/240625/1")</f>
        <v>K/9/240625/1</v>
      </c>
      <c r="C5221" s="42" t="str">
        <f>IFERROR(__xludf.DUMMYFUNCTION("""COMPUTED_VALUE"""),"M. 9937/ Jagabaya II")</f>
        <v>M. 9937/ Jagabaya II</v>
      </c>
      <c r="D5221" s="42" t="str">
        <f>IFERROR(__xludf.DUMMYFUNCTION("""COMPUTED_VALUE"""),"Berry")</f>
        <v>Berry</v>
      </c>
      <c r="E5221" s="42" t="str">
        <f>IFERROR(__xludf.DUMMYFUNCTION("""COMPUTED_VALUE"""),"DISERAHKAN")</f>
        <v>DISERAHKAN</v>
      </c>
      <c r="F5221" s="48">
        <f>IFERROR(__xludf.DUMMYFUNCTION("""COMPUTED_VALUE"""),45852.62832834491)</f>
        <v>45852.62833</v>
      </c>
      <c r="G5221" s="42" t="str">
        <f>IFERROR(__xludf.DUMMYFUNCTION("""COMPUTED_VALUE"""),"BN PHB")</f>
        <v>BN PHB</v>
      </c>
      <c r="H5221" s="42">
        <f t="shared" si="1"/>
        <v>2315</v>
      </c>
    </row>
    <row r="5222" ht="22.5" customHeight="1">
      <c r="B5222" s="42" t="str">
        <f>IFERROR(__xludf.DUMMYFUNCTION("""COMPUTED_VALUE"""),"K/10/240625/1")</f>
        <v>K/10/240625/1</v>
      </c>
      <c r="C5222" s="42" t="str">
        <f>IFERROR(__xludf.DUMMYFUNCTION("""COMPUTED_VALUE"""),"M.713/TANJUNG SENENG")</f>
        <v>M.713/TANJUNG SENENG</v>
      </c>
      <c r="D5222" s="42" t="str">
        <f>IFERROR(__xludf.DUMMYFUNCTION("""COMPUTED_VALUE"""),"Berry")</f>
        <v>Berry</v>
      </c>
      <c r="E5222" s="42" t="str">
        <f>IFERROR(__xludf.DUMMYFUNCTION("""COMPUTED_VALUE"""),"DISERAHKAN")</f>
        <v>DISERAHKAN</v>
      </c>
      <c r="F5222" s="48">
        <f>IFERROR(__xludf.DUMMYFUNCTION("""COMPUTED_VALUE"""),45856.528582847226)</f>
        <v>45856.52858</v>
      </c>
      <c r="G5222" s="42" t="str">
        <f>IFERROR(__xludf.DUMMYFUNCTION("""COMPUTED_VALUE"""),"KEWARISAN")</f>
        <v>KEWARISAN</v>
      </c>
      <c r="H5222" s="42">
        <f t="shared" si="1"/>
        <v>2316</v>
      </c>
    </row>
    <row r="5223" ht="22.5" customHeight="1">
      <c r="B5223" s="42" t="str">
        <f>IFERROR(__xludf.DUMMYFUNCTION("""COMPUTED_VALUE"""),"K/11/240625/1")</f>
        <v>K/11/240625/1</v>
      </c>
      <c r="C5223" s="42" t="str">
        <f>IFERROR(__xludf.DUMMYFUNCTION("""COMPUTED_VALUE"""),"Nibel. M. 18391/ Rajabasa Raya")</f>
        <v>Nibel. M. 18391/ Rajabasa Raya</v>
      </c>
      <c r="D5223" s="42"/>
      <c r="E5223" s="42"/>
      <c r="F5223" s="48" t="str">
        <f>IFERROR(__xludf.DUMMYFUNCTION("""COMPUTED_VALUE"""),"")</f>
        <v/>
      </c>
      <c r="G5223" s="42" t="str">
        <f>IFERROR(__xludf.DUMMYFUNCTION("""COMPUTED_VALUE"""),"BN Jual Beli")</f>
        <v>BN Jual Beli</v>
      </c>
      <c r="H5223" s="42">
        <f t="shared" si="1"/>
        <v>2316</v>
      </c>
    </row>
    <row r="5224" ht="22.5" customHeight="1">
      <c r="B5224" s="42" t="str">
        <f>IFERROR(__xludf.DUMMYFUNCTION("""COMPUTED_VALUE"""),"L/12/240625/1")</f>
        <v>L/12/240625/1</v>
      </c>
      <c r="C5224" s="42" t="str">
        <f>IFERROR(__xludf.DUMMYFUNCTION("""COMPUTED_VALUE"""),"HM 16958/SUKARAME")</f>
        <v>HM 16958/SUKARAME</v>
      </c>
      <c r="D5224" s="42" t="str">
        <f>IFERROR(__xludf.DUMMYFUNCTION("""COMPUTED_VALUE"""),"David")</f>
        <v>David</v>
      </c>
      <c r="E5224" s="42" t="str">
        <f>IFERROR(__xludf.DUMMYFUNCTION("""COMPUTED_VALUE"""),"DISERAHKAN")</f>
        <v>DISERAHKAN</v>
      </c>
      <c r="F5224" s="48">
        <f>IFERROR(__xludf.DUMMYFUNCTION("""COMPUTED_VALUE"""),45849.65612722222)</f>
        <v>45849.65613</v>
      </c>
      <c r="G5224" s="42" t="str">
        <f>IFERROR(__xludf.DUMMYFUNCTION("""COMPUTED_VALUE"""),"ROYA")</f>
        <v>ROYA</v>
      </c>
      <c r="H5224" s="42">
        <f t="shared" si="1"/>
        <v>2317</v>
      </c>
    </row>
    <row r="5225" ht="22.5" customHeight="1">
      <c r="B5225" s="42" t="str">
        <f>IFERROR(__xludf.DUMMYFUNCTION("""COMPUTED_VALUE"""),"K/13/240625/1")</f>
        <v>K/13/240625/1</v>
      </c>
      <c r="C5225" s="42" t="str">
        <f>IFERROR(__xludf.DUMMYFUNCTION("""COMPUTED_VALUE"""),"B. 22/ Labuhan Ratu")</f>
        <v>B. 22/ Labuhan Ratu</v>
      </c>
      <c r="D5225" s="42" t="str">
        <f>IFERROR(__xludf.DUMMYFUNCTION("""COMPUTED_VALUE"""),"Berry")</f>
        <v>Berry</v>
      </c>
      <c r="E5225" s="42" t="str">
        <f>IFERROR(__xludf.DUMMYFUNCTION("""COMPUTED_VALUE"""),"DISERAHKAN")</f>
        <v>DISERAHKAN</v>
      </c>
      <c r="F5225" s="48">
        <f>IFERROR(__xludf.DUMMYFUNCTION("""COMPUTED_VALUE"""),45873.63444782408)</f>
        <v>45873.63445</v>
      </c>
      <c r="G5225" s="42" t="str">
        <f>IFERROR(__xludf.DUMMYFUNCTION("""COMPUTED_VALUE"""),"ROYA")</f>
        <v>ROYA</v>
      </c>
      <c r="H5225" s="42">
        <f t="shared" si="1"/>
        <v>2318</v>
      </c>
    </row>
    <row r="5226" ht="22.5" customHeight="1">
      <c r="B5226" s="42" t="str">
        <f>IFERROR(__xludf.DUMMYFUNCTION("""COMPUTED_VALUE"""),"L/14/240625/1")</f>
        <v>L/14/240625/1</v>
      </c>
      <c r="C5226" s="42" t="str">
        <f>IFERROR(__xludf.DUMMYFUNCTION("""COMPUTED_VALUE"""),"HM 1995/TANJUNG SENANG")</f>
        <v>HM 1995/TANJUNG SENANG</v>
      </c>
      <c r="D5226" s="42" t="str">
        <f>IFERROR(__xludf.DUMMYFUNCTION("""COMPUTED_VALUE"""),"David")</f>
        <v>David</v>
      </c>
      <c r="E5226" s="42" t="str">
        <f>IFERROR(__xludf.DUMMYFUNCTION("""COMPUTED_VALUE"""),"DISERAHKAN")</f>
        <v>DISERAHKAN</v>
      </c>
      <c r="F5226" s="48">
        <f>IFERROR(__xludf.DUMMYFUNCTION("""COMPUTED_VALUE"""),45856.62449266204)</f>
        <v>45856.62449</v>
      </c>
      <c r="G5226" s="42" t="str">
        <f>IFERROR(__xludf.DUMMYFUNCTION("""COMPUTED_VALUE"""),"ROYA")</f>
        <v>ROYA</v>
      </c>
      <c r="H5226" s="42">
        <f t="shared" si="1"/>
        <v>2319</v>
      </c>
    </row>
    <row r="5227" ht="22.5" customHeight="1">
      <c r="B5227" s="42" t="str">
        <f>IFERROR(__xludf.DUMMYFUNCTION("""COMPUTED_VALUE"""),"L/17/240625/1")</f>
        <v>L/17/240625/1</v>
      </c>
      <c r="C5227" s="42" t="str">
        <f>IFERROR(__xludf.DUMMYFUNCTION("""COMPUTED_VALUE"""),"HGB 1230/SUKABUMI")</f>
        <v>HGB 1230/SUKABUMI</v>
      </c>
      <c r="D5227" s="42"/>
      <c r="E5227" s="42"/>
      <c r="F5227" s="48" t="str">
        <f>IFERROR(__xludf.DUMMYFUNCTION("""COMPUTED_VALUE"""),"")</f>
        <v/>
      </c>
      <c r="G5227" s="42" t="str">
        <f>IFERROR(__xludf.DUMMYFUNCTION("""COMPUTED_VALUE"""),"HGB 1230/SUKABUMI")</f>
        <v>HGB 1230/SUKABUMI</v>
      </c>
      <c r="H5227" s="42">
        <f t="shared" si="1"/>
        <v>2319</v>
      </c>
    </row>
    <row r="5228" ht="22.5" customHeight="1">
      <c r="B5228" s="42" t="str">
        <f>IFERROR(__xludf.DUMMYFUNCTION("""COMPUTED_VALUE"""),"K/15/240625/1")</f>
        <v>K/15/240625/1</v>
      </c>
      <c r="C5228" s="42" t="str">
        <f>IFERROR(__xludf.DUMMYFUNCTION("""COMPUTED_VALUE"""),"M. 56/ Rawa Laut")</f>
        <v>M. 56/ Rawa Laut</v>
      </c>
      <c r="D5228" s="42"/>
      <c r="E5228" s="42"/>
      <c r="F5228" s="48" t="str">
        <f>IFERROR(__xludf.DUMMYFUNCTION("""COMPUTED_VALUE"""),"")</f>
        <v/>
      </c>
      <c r="G5228" s="42" t="str">
        <f>IFERROR(__xludf.DUMMYFUNCTION("""COMPUTED_VALUE"""),"SKPT LELANG")</f>
        <v>SKPT LELANG</v>
      </c>
      <c r="H5228" s="42">
        <f t="shared" si="1"/>
        <v>2319</v>
      </c>
    </row>
    <row r="5229" ht="22.5" customHeight="1">
      <c r="B5229" s="42" t="str">
        <f>IFERROR(__xludf.DUMMYFUNCTION("""COMPUTED_VALUE"""),"K/16/240625/2")</f>
        <v>K/16/240625/2</v>
      </c>
      <c r="C5229" s="42" t="str">
        <f>IFERROR(__xludf.DUMMYFUNCTION("""COMPUTED_VALUE"""),"M. 660/ Tanjung Gading")</f>
        <v>M. 660/ Tanjung Gading</v>
      </c>
      <c r="D5229" s="42"/>
      <c r="E5229" s="42"/>
      <c r="F5229" s="48" t="str">
        <f>IFERROR(__xludf.DUMMYFUNCTION("""COMPUTED_VALUE"""),"")</f>
        <v/>
      </c>
      <c r="G5229" s="42" t="str">
        <f>IFERROR(__xludf.DUMMYFUNCTION("""COMPUTED_VALUE"""),"SKPT LELANG")</f>
        <v>SKPT LELANG</v>
      </c>
      <c r="H5229" s="42">
        <f t="shared" si="1"/>
        <v>2319</v>
      </c>
    </row>
    <row r="5230" ht="22.5" customHeight="1">
      <c r="B5230" s="42" t="str">
        <f>IFERROR(__xludf.DUMMYFUNCTION("""COMPUTED_VALUE"""),"K/18/240625/1")</f>
        <v>K/18/240625/1</v>
      </c>
      <c r="C5230" s="42" t="str">
        <f>IFERROR(__xludf.DUMMYFUNCTION("""COMPUTED_VALUE"""),"M. 459/ Sukabumi Indah")</f>
        <v>M. 459/ Sukabumi Indah</v>
      </c>
      <c r="D5230" s="42" t="str">
        <f>IFERROR(__xludf.DUMMYFUNCTION("""COMPUTED_VALUE"""),"Berry")</f>
        <v>Berry</v>
      </c>
      <c r="E5230" s="42" t="str">
        <f>IFERROR(__xludf.DUMMYFUNCTION("""COMPUTED_VALUE"""),"DISERAHKAN")</f>
        <v>DISERAHKAN</v>
      </c>
      <c r="F5230" s="48">
        <f>IFERROR(__xludf.DUMMYFUNCTION("""COMPUTED_VALUE"""),45852.62562414352)</f>
        <v>45852.62562</v>
      </c>
      <c r="G5230" s="42" t="str">
        <f>IFERROR(__xludf.DUMMYFUNCTION("""COMPUTED_VALUE"""),"BN JUAL BELI")</f>
        <v>BN JUAL BELI</v>
      </c>
      <c r="H5230" s="42">
        <f t="shared" si="1"/>
        <v>2320</v>
      </c>
    </row>
    <row r="5231" ht="22.5" customHeight="1">
      <c r="B5231" s="42" t="str">
        <f>IFERROR(__xludf.DUMMYFUNCTION("""COMPUTED_VALUE"""),"L/19/240625/1")</f>
        <v>L/19/240625/1</v>
      </c>
      <c r="C5231" s="42" t="str">
        <f>IFERROR(__xludf.DUMMYFUNCTION("""COMPUTED_VALUE"""),"HGB 1367/PINANG JAYA")</f>
        <v>HGB 1367/PINANG JAYA</v>
      </c>
      <c r="D5231" s="42"/>
      <c r="E5231" s="42"/>
      <c r="F5231" s="48" t="str">
        <f>IFERROR(__xludf.DUMMYFUNCTION("""COMPUTED_VALUE"""),"")</f>
        <v/>
      </c>
      <c r="G5231" s="42" t="str">
        <f>IFERROR(__xludf.DUMMYFUNCTION("""COMPUTED_VALUE"""),"PH")</f>
        <v>PH</v>
      </c>
      <c r="H5231" s="42">
        <f t="shared" si="1"/>
        <v>2320</v>
      </c>
    </row>
    <row r="5232" ht="22.5" customHeight="1">
      <c r="B5232" s="42" t="str">
        <f>IFERROR(__xludf.DUMMYFUNCTION("""COMPUTED_VALUE"""),"L/20/240625/1")</f>
        <v>L/20/240625/1</v>
      </c>
      <c r="C5232" s="42" t="str">
        <f>IFERROR(__xludf.DUMMYFUNCTION("""COMPUTED_VALUE"""),"HGB 992/CAMPANG RAYA")</f>
        <v>HGB 992/CAMPANG RAYA</v>
      </c>
      <c r="D5232" s="42" t="str">
        <f>IFERROR(__xludf.DUMMYFUNCTION("""COMPUTED_VALUE"""),"David")</f>
        <v>David</v>
      </c>
      <c r="E5232" s="42" t="str">
        <f>IFERROR(__xludf.DUMMYFUNCTION("""COMPUTED_VALUE"""),"DISERAHKAN")</f>
        <v>DISERAHKAN</v>
      </c>
      <c r="F5232" s="48">
        <f>IFERROR(__xludf.DUMMYFUNCTION("""COMPUTED_VALUE"""),45922.61835237269)</f>
        <v>45922.61835</v>
      </c>
      <c r="G5232" s="42" t="str">
        <f>IFERROR(__xludf.DUMMYFUNCTION("""COMPUTED_VALUE"""),"ROYA")</f>
        <v>ROYA</v>
      </c>
      <c r="H5232" s="42">
        <f t="shared" si="1"/>
        <v>2321</v>
      </c>
    </row>
    <row r="5233" ht="22.5" customHeight="1">
      <c r="B5233" s="42" t="str">
        <f>IFERROR(__xludf.DUMMYFUNCTION("""COMPUTED_VALUE"""),"L/21/240625/1")</f>
        <v>L/21/240625/1</v>
      </c>
      <c r="C5233" s="42" t="str">
        <f>IFERROR(__xludf.DUMMYFUNCTION("""COMPUTED_VALUE"""),"HM 878/KOTA BARU")</f>
        <v>HM 878/KOTA BARU</v>
      </c>
      <c r="D5233" s="42"/>
      <c r="E5233" s="42"/>
      <c r="F5233" s="48" t="str">
        <f>IFERROR(__xludf.DUMMYFUNCTION("""COMPUTED_VALUE"""),"")</f>
        <v/>
      </c>
      <c r="G5233" s="42" t="str">
        <f>IFERROR(__xludf.DUMMYFUNCTION("""COMPUTED_VALUE"""),"ROYA WARIS")</f>
        <v>ROYA WARIS</v>
      </c>
      <c r="H5233" s="42">
        <f t="shared" si="1"/>
        <v>2321</v>
      </c>
    </row>
    <row r="5234" ht="22.5" customHeight="1">
      <c r="B5234" s="42" t="str">
        <f>IFERROR(__xludf.DUMMYFUNCTION("""COMPUTED_VALUE"""),"L/23/240625/1")</f>
        <v>L/23/240625/1</v>
      </c>
      <c r="C5234" s="42" t="str">
        <f>IFERROR(__xludf.DUMMYFUNCTION("""COMPUTED_VALUE"""),"HM 11570/SEGALA MIDER")</f>
        <v>HM 11570/SEGALA MIDER</v>
      </c>
      <c r="D5234" s="42" t="str">
        <f>IFERROR(__xludf.DUMMYFUNCTION("""COMPUTED_VALUE"""),"Berry")</f>
        <v>Berry</v>
      </c>
      <c r="E5234" s="42" t="str">
        <f>IFERROR(__xludf.DUMMYFUNCTION("""COMPUTED_VALUE"""),"DISERAHKAN")</f>
        <v>DISERAHKAN</v>
      </c>
      <c r="F5234" s="48">
        <f>IFERROR(__xludf.DUMMYFUNCTION("""COMPUTED_VALUE"""),45863.60756157407)</f>
        <v>45863.60756</v>
      </c>
      <c r="G5234" s="42" t="str">
        <f>IFERROR(__xludf.DUMMYFUNCTION("""COMPUTED_VALUE"""),"ROYA")</f>
        <v>ROYA</v>
      </c>
      <c r="H5234" s="42">
        <f t="shared" si="1"/>
        <v>2322</v>
      </c>
    </row>
    <row r="5235" ht="22.5" customHeight="1">
      <c r="B5235" s="42" t="str">
        <f>IFERROR(__xludf.DUMMYFUNCTION("""COMPUTED_VALUE"""),"K/22/240625/1")</f>
        <v>K/22/240625/1</v>
      </c>
      <c r="C5235" s="42" t="str">
        <f>IFERROR(__xludf.DUMMYFUNCTION("""COMPUTED_VALUE"""),"M.1239/PERUMNAS WAY KANDIS ")</f>
        <v>M.1239/PERUMNAS WAY KANDIS </v>
      </c>
      <c r="D5235" s="42" t="str">
        <f>IFERROR(__xludf.DUMMYFUNCTION("""COMPUTED_VALUE"""),"Berry")</f>
        <v>Berry</v>
      </c>
      <c r="E5235" s="42" t="str">
        <f>IFERROR(__xludf.DUMMYFUNCTION("""COMPUTED_VALUE"""),"DISERAHKAN")</f>
        <v>DISERAHKAN</v>
      </c>
      <c r="F5235" s="48">
        <f>IFERROR(__xludf.DUMMYFUNCTION("""COMPUTED_VALUE"""),45845.702149930556)</f>
        <v>45845.70215</v>
      </c>
      <c r="G5235" s="42" t="str">
        <f>IFERROR(__xludf.DUMMYFUNCTION("""COMPUTED_VALUE"""),"JUAL BELI")</f>
        <v>JUAL BELI</v>
      </c>
      <c r="H5235" s="42">
        <f t="shared" si="1"/>
        <v>2323</v>
      </c>
    </row>
    <row r="5236" ht="22.5" customHeight="1">
      <c r="B5236" s="42" t="str">
        <f>IFERROR(__xludf.DUMMYFUNCTION("""COMPUTED_VALUE"""),"L/25/240625/1")</f>
        <v>L/25/240625/1</v>
      </c>
      <c r="C5236" s="42" t="str">
        <f>IFERROR(__xludf.DUMMYFUNCTION("""COMPUTED_VALUE"""),"HM 09/KOTA KARANG RAYA")</f>
        <v>HM 09/KOTA KARANG RAYA</v>
      </c>
      <c r="D5236" s="42" t="str">
        <f>IFERROR(__xludf.DUMMYFUNCTION("""COMPUTED_VALUE"""),"David")</f>
        <v>David</v>
      </c>
      <c r="E5236" s="42" t="str">
        <f>IFERROR(__xludf.DUMMYFUNCTION("""COMPUTED_VALUE"""),"DISERAHKAN")</f>
        <v>DISERAHKAN</v>
      </c>
      <c r="F5236" s="48">
        <f>IFERROR(__xludf.DUMMYFUNCTION("""COMPUTED_VALUE"""),45849.658887314814)</f>
        <v>45849.65889</v>
      </c>
      <c r="G5236" s="42" t="str">
        <f>IFERROR(__xludf.DUMMYFUNCTION("""COMPUTED_VALUE"""),"RAHMAT HIDAYAT ")</f>
        <v>RAHMAT HIDAYAT </v>
      </c>
      <c r="H5236" s="42">
        <f t="shared" si="1"/>
        <v>2324</v>
      </c>
    </row>
    <row r="5237" ht="22.5" customHeight="1">
      <c r="B5237" s="42" t="str">
        <f>IFERROR(__xludf.DUMMYFUNCTION("""COMPUTED_VALUE"""),"K/26/240625/1")</f>
        <v>K/26/240625/1</v>
      </c>
      <c r="C5237" s="42" t="str">
        <f>IFERROR(__xludf.DUMMYFUNCTION("""COMPUTED_VALUE"""),"Nibel. M. 6071/ Gunung Sulah")</f>
        <v>Nibel. M. 6071/ Gunung Sulah</v>
      </c>
      <c r="D5237" s="42"/>
      <c r="E5237" s="42"/>
      <c r="F5237" s="48" t="str">
        <f>IFERROR(__xludf.DUMMYFUNCTION("""COMPUTED_VALUE"""),"")</f>
        <v/>
      </c>
      <c r="G5237" s="42" t="str">
        <f>IFERROR(__xludf.DUMMYFUNCTION("""COMPUTED_VALUE"""),"BN Jual Beli")</f>
        <v>BN Jual Beli</v>
      </c>
      <c r="H5237" s="42">
        <f t="shared" si="1"/>
        <v>2324</v>
      </c>
    </row>
    <row r="5238" ht="22.5" customHeight="1">
      <c r="B5238" s="42" t="str">
        <f>IFERROR(__xludf.DUMMYFUNCTION("""COMPUTED_VALUE"""),"K/24/240625/1")</f>
        <v>K/24/240625/1</v>
      </c>
      <c r="C5238" s="42" t="str">
        <f>IFERROR(__xludf.DUMMYFUNCTION("""COMPUTED_VALUE"""),"M. 1360/LABUHAN DALAM")</f>
        <v>M. 1360/LABUHAN DALAM</v>
      </c>
      <c r="D5238" s="42" t="str">
        <f>IFERROR(__xludf.DUMMYFUNCTION("""COMPUTED_VALUE"""),"Berry")</f>
        <v>Berry</v>
      </c>
      <c r="E5238" s="42" t="str">
        <f>IFERROR(__xludf.DUMMYFUNCTION("""COMPUTED_VALUE"""),"DISERAHKAN")</f>
        <v>DISERAHKAN</v>
      </c>
      <c r="F5238" s="48">
        <f>IFERROR(__xludf.DUMMYFUNCTION("""COMPUTED_VALUE"""),45910.64058216436)</f>
        <v>45910.64058</v>
      </c>
      <c r="G5238" s="42" t="str">
        <f>IFERROR(__xludf.DUMMYFUNCTION("""COMPUTED_VALUE"""),"BN JUAL BELI")</f>
        <v>BN JUAL BELI</v>
      </c>
      <c r="H5238" s="42">
        <f t="shared" si="1"/>
        <v>2325</v>
      </c>
    </row>
    <row r="5239" ht="22.5" customHeight="1">
      <c r="B5239" s="42" t="str">
        <f>IFERROR(__xludf.DUMMYFUNCTION("""COMPUTED_VALUE"""),"K/28/240625/1")</f>
        <v>K/28/240625/1</v>
      </c>
      <c r="C5239" s="42" t="str">
        <f>IFERROR(__xludf.DUMMYFUNCTION("""COMPUTED_VALUE"""),"Nibel. M. 6072/ Gunung Sulah")</f>
        <v>Nibel. M. 6072/ Gunung Sulah</v>
      </c>
      <c r="D5239" s="42"/>
      <c r="E5239" s="42"/>
      <c r="F5239" s="48" t="str">
        <f>IFERROR(__xludf.DUMMYFUNCTION("""COMPUTED_VALUE"""),"")</f>
        <v/>
      </c>
      <c r="G5239" s="42" t="str">
        <f>IFERROR(__xludf.DUMMYFUNCTION("""COMPUTED_VALUE"""),"BN Jual Beli")</f>
        <v>BN Jual Beli</v>
      </c>
      <c r="H5239" s="42">
        <f t="shared" si="1"/>
        <v>2325</v>
      </c>
    </row>
    <row r="5240" ht="22.5" customHeight="1">
      <c r="B5240" s="42" t="str">
        <f>IFERROR(__xludf.DUMMYFUNCTION("""COMPUTED_VALUE"""),"L/29/240625/1")</f>
        <v>L/29/240625/1</v>
      </c>
      <c r="C5240" s="42" t="str">
        <f>IFERROR(__xludf.DUMMYFUNCTION("""COMPUTED_VALUE"""),"HGB 264/PANJANG UTARA")</f>
        <v>HGB 264/PANJANG UTARA</v>
      </c>
      <c r="D5240" s="42"/>
      <c r="E5240" s="42"/>
      <c r="F5240" s="48" t="str">
        <f>IFERROR(__xludf.DUMMYFUNCTION("""COMPUTED_VALUE"""),"")</f>
        <v/>
      </c>
      <c r="G5240" s="42" t="str">
        <f>IFERROR(__xludf.DUMMYFUNCTION("""COMPUTED_VALUE"""),"PEMBAHARUAN HGB")</f>
        <v>PEMBAHARUAN HGB</v>
      </c>
      <c r="H5240" s="42">
        <f t="shared" si="1"/>
        <v>2325</v>
      </c>
    </row>
    <row r="5241" ht="22.5" customHeight="1">
      <c r="B5241" s="42" t="str">
        <f>IFERROR(__xludf.DUMMYFUNCTION("""COMPUTED_VALUE"""),"K/32/240625/1")</f>
        <v>K/32/240625/1</v>
      </c>
      <c r="C5241" s="42" t="str">
        <f>IFERROR(__xludf.DUMMYFUNCTION("""COMPUTED_VALUE"""),"B. 817/ Kemiling Permai")</f>
        <v>B. 817/ Kemiling Permai</v>
      </c>
      <c r="D5241" s="42" t="str">
        <f>IFERROR(__xludf.DUMMYFUNCTION("""COMPUTED_VALUE"""),"Berry")</f>
        <v>Berry</v>
      </c>
      <c r="E5241" s="42" t="str">
        <f>IFERROR(__xludf.DUMMYFUNCTION("""COMPUTED_VALUE"""),"DISERAHKAN")</f>
        <v>DISERAHKAN</v>
      </c>
      <c r="F5241" s="48">
        <f>IFERROR(__xludf.DUMMYFUNCTION("""COMPUTED_VALUE"""),45845.69909435185)</f>
        <v>45845.69909</v>
      </c>
      <c r="G5241" s="42" t="str">
        <f>IFERROR(__xludf.DUMMYFUNCTION("""COMPUTED_VALUE"""),"BN JUAL BELI")</f>
        <v>BN JUAL BELI</v>
      </c>
      <c r="H5241" s="42">
        <f t="shared" si="1"/>
        <v>2326</v>
      </c>
    </row>
    <row r="5242" ht="22.5" customHeight="1">
      <c r="B5242" s="42" t="str">
        <f>IFERROR(__xludf.DUMMYFUNCTION("""COMPUTED_VALUE"""),"K/33/240625/2")</f>
        <v>K/33/240625/2</v>
      </c>
      <c r="C5242" s="42" t="str">
        <f>IFERROR(__xludf.DUMMYFUNCTION("""COMPUTED_VALUE"""),"Nibel 19175/ Way Kandis")</f>
        <v>Nibel 19175/ Way Kandis</v>
      </c>
      <c r="D5242" s="42"/>
      <c r="E5242" s="42"/>
      <c r="F5242" s="48" t="str">
        <f>IFERROR(__xludf.DUMMYFUNCTION("""COMPUTED_VALUE"""),"")</f>
        <v/>
      </c>
      <c r="G5242" s="42" t="str">
        <f>IFERROR(__xludf.DUMMYFUNCTION("""COMPUTED_VALUE"""),"BN JUAL BELI")</f>
        <v>BN JUAL BELI</v>
      </c>
      <c r="H5242" s="42">
        <f t="shared" si="1"/>
        <v>2326</v>
      </c>
    </row>
    <row r="5243" ht="22.5" customHeight="1">
      <c r="B5243" s="42" t="str">
        <f>IFERROR(__xludf.DUMMYFUNCTION("""COMPUTED_VALUE"""),"K/34/240625/3")</f>
        <v>K/34/240625/3</v>
      </c>
      <c r="C5243" s="42" t="str">
        <f>IFERROR(__xludf.DUMMYFUNCTION("""COMPUTED_VALUE"""),"Nibel 18822.4/ Kota Sepang")</f>
        <v>Nibel 18822.4/ Kota Sepang</v>
      </c>
      <c r="D5243" s="42"/>
      <c r="E5243" s="42"/>
      <c r="F5243" s="48" t="str">
        <f>IFERROR(__xludf.DUMMYFUNCTION("""COMPUTED_VALUE"""),"")</f>
        <v/>
      </c>
      <c r="G5243" s="42" t="str">
        <f>IFERROR(__xludf.DUMMYFUNCTION("""COMPUTED_VALUE"""),"BN JUAL BELI")</f>
        <v>BN JUAL BELI</v>
      </c>
      <c r="H5243" s="42">
        <f t="shared" si="1"/>
        <v>2326</v>
      </c>
    </row>
    <row r="5244" ht="22.5" customHeight="1">
      <c r="B5244" s="42" t="str">
        <f>IFERROR(__xludf.DUMMYFUNCTION("""COMPUTED_VALUE"""),"K/35/240625/1")</f>
        <v>K/35/240625/1</v>
      </c>
      <c r="C5244" s="42" t="str">
        <f>IFERROR(__xludf.DUMMYFUNCTION("""COMPUTED_VALUE"""),"M. 13640/ Sukarame")</f>
        <v>M. 13640/ Sukarame</v>
      </c>
      <c r="D5244" s="42" t="str">
        <f>IFERROR(__xludf.DUMMYFUNCTION("""COMPUTED_VALUE"""),"David")</f>
        <v>David</v>
      </c>
      <c r="E5244" s="42" t="str">
        <f>IFERROR(__xludf.DUMMYFUNCTION("""COMPUTED_VALUE"""),"DISERAHKAN")</f>
        <v>DISERAHKAN</v>
      </c>
      <c r="F5244" s="48">
        <f>IFERROR(__xludf.DUMMYFUNCTION("""COMPUTED_VALUE"""),45986.59639877315)</f>
        <v>45986.5964</v>
      </c>
      <c r="G5244" s="42" t="str">
        <f>IFERROR(__xludf.DUMMYFUNCTION("""COMPUTED_VALUE"""),"Roya")</f>
        <v>Roya</v>
      </c>
      <c r="H5244" s="42">
        <f t="shared" si="1"/>
        <v>2327</v>
      </c>
    </row>
    <row r="5245" ht="22.5" customHeight="1">
      <c r="B5245" s="42" t="str">
        <f>IFERROR(__xludf.DUMMYFUNCTION("""COMPUTED_VALUE"""),"K/27/240625/1")</f>
        <v>K/27/240625/1</v>
      </c>
      <c r="C5245" s="42" t="str">
        <f>IFERROR(__xludf.DUMMYFUNCTION("""COMPUTED_VALUE"""),"NIBEL M 2973/BILABONG JAYA")</f>
        <v>NIBEL M 2973/BILABONG JAYA</v>
      </c>
      <c r="D5245" s="42"/>
      <c r="E5245" s="42"/>
      <c r="F5245" s="48" t="str">
        <f>IFERROR(__xludf.DUMMYFUNCTION("""COMPUTED_VALUE"""),"")</f>
        <v/>
      </c>
      <c r="G5245" s="42" t="str">
        <f>IFERROR(__xludf.DUMMYFUNCTION("""COMPUTED_VALUE"""),"JUAL BELI")</f>
        <v>JUAL BELI</v>
      </c>
      <c r="H5245" s="42">
        <f t="shared" si="1"/>
        <v>2327</v>
      </c>
    </row>
    <row r="5246" ht="22.5" customHeight="1">
      <c r="B5246" s="42" t="str">
        <f>IFERROR(__xludf.DUMMYFUNCTION("""COMPUTED_VALUE"""),"K/38/240625/2")</f>
        <v>K/38/240625/2</v>
      </c>
      <c r="C5246" s="42" t="str">
        <f>IFERROR(__xludf.DUMMYFUNCTION("""COMPUTED_VALUE"""),"M.1168/PEMATANG WANGI")</f>
        <v>M.1168/PEMATANG WANGI</v>
      </c>
      <c r="D5246" s="42" t="str">
        <f>IFERROR(__xludf.DUMMYFUNCTION("""COMPUTED_VALUE"""),"David")</f>
        <v>David</v>
      </c>
      <c r="E5246" s="42" t="str">
        <f>IFERROR(__xludf.DUMMYFUNCTION("""COMPUTED_VALUE"""),"DISERAHKAN")</f>
        <v>DISERAHKAN</v>
      </c>
      <c r="F5246" s="48">
        <f>IFERROR(__xludf.DUMMYFUNCTION("""COMPUTED_VALUE"""),45848.52854221065)</f>
        <v>45848.52854</v>
      </c>
      <c r="G5246" s="42" t="str">
        <f>IFERROR(__xludf.DUMMYFUNCTION("""COMPUTED_VALUE"""),"JUAL BELI")</f>
        <v>JUAL BELI</v>
      </c>
      <c r="H5246" s="42">
        <f t="shared" si="1"/>
        <v>2328</v>
      </c>
    </row>
    <row r="5247" ht="22.5" customHeight="1">
      <c r="B5247" s="42" t="str">
        <f>IFERROR(__xludf.DUMMYFUNCTION("""COMPUTED_VALUE"""),"K/30/240625/1")</f>
        <v>K/30/240625/1</v>
      </c>
      <c r="C5247" s="42" t="str">
        <f>IFERROR(__xludf.DUMMYFUNCTION("""COMPUTED_VALUE"""),"Nibel. M. 2292/ Penengahan Raya")</f>
        <v>Nibel. M. 2292/ Penengahan Raya</v>
      </c>
      <c r="D5247" s="42"/>
      <c r="E5247" s="42"/>
      <c r="F5247" s="48" t="str">
        <f>IFERROR(__xludf.DUMMYFUNCTION("""COMPUTED_VALUE"""),"")</f>
        <v/>
      </c>
      <c r="G5247" s="42" t="str">
        <f>IFERROR(__xludf.DUMMYFUNCTION("""COMPUTED_VALUE"""),"BN Jual Beli")</f>
        <v>BN Jual Beli</v>
      </c>
      <c r="H5247" s="42">
        <f t="shared" si="1"/>
        <v>2328</v>
      </c>
    </row>
    <row r="5248" ht="22.5" customHeight="1">
      <c r="B5248" s="42" t="str">
        <f>IFERROR(__xludf.DUMMYFUNCTION("""COMPUTED_VALUE"""),"L/40/240625/1")</f>
        <v>L/40/240625/1</v>
      </c>
      <c r="C5248" s="42" t="str">
        <f>IFERROR(__xludf.DUMMYFUNCTION("""COMPUTED_VALUE"""),"HM 853/RAJABASA RAYA")</f>
        <v>HM 853/RAJABASA RAYA</v>
      </c>
      <c r="D5248" s="42" t="str">
        <f>IFERROR(__xludf.DUMMYFUNCTION("""COMPUTED_VALUE"""),"David")</f>
        <v>David</v>
      </c>
      <c r="E5248" s="42" t="str">
        <f>IFERROR(__xludf.DUMMYFUNCTION("""COMPUTED_VALUE"""),"DISERAHKAN")</f>
        <v>DISERAHKAN</v>
      </c>
      <c r="F5248" s="48">
        <f>IFERROR(__xludf.DUMMYFUNCTION("""COMPUTED_VALUE"""),45849.4770196412)</f>
        <v>45849.47702</v>
      </c>
      <c r="G5248" s="42" t="str">
        <f>IFERROR(__xludf.DUMMYFUNCTION("""COMPUTED_VALUE"""),"ROYA")</f>
        <v>ROYA</v>
      </c>
      <c r="H5248" s="42">
        <f t="shared" si="1"/>
        <v>2329</v>
      </c>
    </row>
    <row r="5249" ht="22.5" customHeight="1">
      <c r="B5249" s="42" t="str">
        <f>IFERROR(__xludf.DUMMYFUNCTION("""COMPUTED_VALUE"""),"K/31/240625/2")</f>
        <v>K/31/240625/2</v>
      </c>
      <c r="C5249" s="42" t="str">
        <f>IFERROR(__xludf.DUMMYFUNCTION("""COMPUTED_VALUE"""),"Nibel. M. 2291/ Penengahan Raya")</f>
        <v>Nibel. M. 2291/ Penengahan Raya</v>
      </c>
      <c r="D5249" s="42"/>
      <c r="E5249" s="42"/>
      <c r="F5249" s="48" t="str">
        <f>IFERROR(__xludf.DUMMYFUNCTION("""COMPUTED_VALUE"""),"")</f>
        <v/>
      </c>
      <c r="G5249" s="42" t="str">
        <f>IFERROR(__xludf.DUMMYFUNCTION("""COMPUTED_VALUE"""),"BN Jual Beli")</f>
        <v>BN Jual Beli</v>
      </c>
      <c r="H5249" s="42">
        <f t="shared" si="1"/>
        <v>2329</v>
      </c>
    </row>
    <row r="5250" ht="22.5" customHeight="1">
      <c r="B5250" s="42" t="str">
        <f>IFERROR(__xludf.DUMMYFUNCTION("""COMPUTED_VALUE"""),"K/39/240625/1")</f>
        <v>K/39/240625/1</v>
      </c>
      <c r="C5250" s="42" t="str">
        <f>IFERROR(__xludf.DUMMYFUNCTION("""COMPUTED_VALUE"""),"PBT 87/2024 SUKARAME ")</f>
        <v>PBT 87/2024 SUKARAME </v>
      </c>
      <c r="D5250" s="42"/>
      <c r="E5250" s="42"/>
      <c r="F5250" s="48" t="str">
        <f>IFERROR(__xludf.DUMMYFUNCTION("""COMPUTED_VALUE"""),"")</f>
        <v/>
      </c>
      <c r="G5250" s="42" t="str">
        <f>IFERROR(__xludf.DUMMYFUNCTION("""COMPUTED_VALUE"""),"PERMOHONAN SK")</f>
        <v>PERMOHONAN SK</v>
      </c>
      <c r="H5250" s="42">
        <f t="shared" si="1"/>
        <v>2329</v>
      </c>
    </row>
    <row r="5251" ht="22.5" customHeight="1">
      <c r="B5251" s="42" t="str">
        <f>IFERROR(__xludf.DUMMYFUNCTION("""COMPUTED_VALUE"""),"K/36/240625/3")</f>
        <v>K/36/240625/3</v>
      </c>
      <c r="C5251" s="42" t="str">
        <f>IFERROR(__xludf.DUMMYFUNCTION("""COMPUTED_VALUE"""),"Nibel. M. 17224/ Rajabasa Pemuka ")</f>
        <v>Nibel. M. 17224/ Rajabasa Pemuka </v>
      </c>
      <c r="D5251" s="42"/>
      <c r="E5251" s="42"/>
      <c r="F5251" s="48" t="str">
        <f>IFERROR(__xludf.DUMMYFUNCTION("""COMPUTED_VALUE"""),"")</f>
        <v/>
      </c>
      <c r="G5251" s="42" t="str">
        <f>IFERROR(__xludf.DUMMYFUNCTION("""COMPUTED_VALUE"""),"BN PHB")</f>
        <v>BN PHB</v>
      </c>
      <c r="H5251" s="42">
        <f t="shared" si="1"/>
        <v>2329</v>
      </c>
    </row>
    <row r="5252" ht="22.5" customHeight="1">
      <c r="B5252" s="42" t="str">
        <f>IFERROR(__xludf.DUMMYFUNCTION("""COMPUTED_VALUE"""),"L/40/240625/1")</f>
        <v>L/40/240625/1</v>
      </c>
      <c r="C5252" s="42" t="str">
        <f>IFERROR(__xludf.DUMMYFUNCTION("""COMPUTED_VALUE"""),"HM 853/RAJABASA RAYA")</f>
        <v>HM 853/RAJABASA RAYA</v>
      </c>
      <c r="D5252" s="42" t="str">
        <f>IFERROR(__xludf.DUMMYFUNCTION("""COMPUTED_VALUE"""),"David")</f>
        <v>David</v>
      </c>
      <c r="E5252" s="42" t="str">
        <f>IFERROR(__xludf.DUMMYFUNCTION("""COMPUTED_VALUE"""),"DISERAHKAN")</f>
        <v>DISERAHKAN</v>
      </c>
      <c r="F5252" s="48">
        <f>IFERROR(__xludf.DUMMYFUNCTION("""COMPUTED_VALUE"""),45849.4773997338)</f>
        <v>45849.4774</v>
      </c>
      <c r="G5252" s="42" t="str">
        <f>IFERROR(__xludf.DUMMYFUNCTION("""COMPUTED_VALUE"""),"ROYA")</f>
        <v>ROYA</v>
      </c>
      <c r="H5252" s="42">
        <f t="shared" si="1"/>
        <v>2330</v>
      </c>
    </row>
    <row r="5253" ht="22.5" customHeight="1">
      <c r="B5253" s="42" t="str">
        <f>IFERROR(__xludf.DUMMYFUNCTION("""COMPUTED_VALUE"""),"K/37/240625/4")</f>
        <v>K/37/240625/4</v>
      </c>
      <c r="C5253" s="42" t="str">
        <f>IFERROR(__xludf.DUMMYFUNCTION("""COMPUTED_VALUE"""),"Nibel. M. 17222/ Rajabasa Pemuka")</f>
        <v>Nibel. M. 17222/ Rajabasa Pemuka</v>
      </c>
      <c r="D5253" s="42"/>
      <c r="E5253" s="42"/>
      <c r="F5253" s="48" t="str">
        <f>IFERROR(__xludf.DUMMYFUNCTION("""COMPUTED_VALUE"""),"")</f>
        <v/>
      </c>
      <c r="G5253" s="42" t="str">
        <f>IFERROR(__xludf.DUMMYFUNCTION("""COMPUTED_VALUE"""),"BN PHB")</f>
        <v>BN PHB</v>
      </c>
      <c r="H5253" s="42">
        <f t="shared" si="1"/>
        <v>2330</v>
      </c>
    </row>
    <row r="5254" ht="22.5" customHeight="1">
      <c r="B5254" s="42" t="str">
        <f>IFERROR(__xludf.DUMMYFUNCTION("""COMPUTED_VALUE"""),"K/41/240625/1")</f>
        <v>K/41/240625/1</v>
      </c>
      <c r="C5254" s="42" t="str">
        <f>IFERROR(__xludf.DUMMYFUNCTION("""COMPUTED_VALUE"""),"M. 592/ Korpri Raya")</f>
        <v>M. 592/ Korpri Raya</v>
      </c>
      <c r="D5254" s="42"/>
      <c r="E5254" s="42"/>
      <c r="F5254" s="48" t="str">
        <f>IFERROR(__xludf.DUMMYFUNCTION("""COMPUTED_VALUE"""),"")</f>
        <v/>
      </c>
      <c r="G5254" s="42" t="str">
        <f>IFERROR(__xludf.DUMMYFUNCTION("""COMPUTED_VALUE"""),"BN WARIS")</f>
        <v>BN WARIS</v>
      </c>
      <c r="H5254" s="42">
        <f t="shared" si="1"/>
        <v>2330</v>
      </c>
    </row>
    <row r="5255" ht="22.5" customHeight="1">
      <c r="B5255" s="42" t="str">
        <f>IFERROR(__xludf.DUMMYFUNCTION("""COMPUTED_VALUE"""),"K/42/240625/1")</f>
        <v>K/42/240625/1</v>
      </c>
      <c r="C5255" s="42" t="str">
        <f>IFERROR(__xludf.DUMMYFUNCTION("""COMPUTED_VALUE"""),"NIB 19699/GUNUNG SULAH")</f>
        <v>NIB 19699/GUNUNG SULAH</v>
      </c>
      <c r="D5255" s="42"/>
      <c r="E5255" s="42"/>
      <c r="F5255" s="48" t="str">
        <f>IFERROR(__xludf.DUMMYFUNCTION("""COMPUTED_VALUE"""),"")</f>
        <v/>
      </c>
      <c r="G5255" s="42" t="str">
        <f>IFERROR(__xludf.DUMMYFUNCTION("""COMPUTED_VALUE"""),"BN JUAL - BELI")</f>
        <v>BN JUAL - BELI</v>
      </c>
      <c r="H5255" s="42">
        <f t="shared" si="1"/>
        <v>2330</v>
      </c>
    </row>
    <row r="5256" ht="22.5" customHeight="1">
      <c r="B5256" s="42" t="str">
        <f>IFERROR(__xludf.DUMMYFUNCTION("""COMPUTED_VALUE"""),"K/44/240625/2")</f>
        <v>K/44/240625/2</v>
      </c>
      <c r="C5256" s="42" t="str">
        <f>IFERROR(__xludf.DUMMYFUNCTION("""COMPUTED_VALUE"""),"M. 1423/ Sukarame Baru")</f>
        <v>M. 1423/ Sukarame Baru</v>
      </c>
      <c r="D5256" s="42" t="str">
        <f>IFERROR(__xludf.DUMMYFUNCTION("""COMPUTED_VALUE"""),"David")</f>
        <v>David</v>
      </c>
      <c r="E5256" s="42" t="str">
        <f>IFERROR(__xludf.DUMMYFUNCTION("""COMPUTED_VALUE"""),"DISERAHKAN")</f>
        <v>DISERAHKAN</v>
      </c>
      <c r="F5256" s="48">
        <f>IFERROR(__xludf.DUMMYFUNCTION("""COMPUTED_VALUE"""),45860.68589284722)</f>
        <v>45860.68589</v>
      </c>
      <c r="G5256" s="42" t="str">
        <f>IFERROR(__xludf.DUMMYFUNCTION("""COMPUTED_VALUE"""),"Roya")</f>
        <v>Roya</v>
      </c>
      <c r="H5256" s="42">
        <f t="shared" si="1"/>
        <v>2331</v>
      </c>
    </row>
    <row r="5257" ht="22.5" customHeight="1">
      <c r="B5257" s="42" t="str">
        <f>IFERROR(__xludf.DUMMYFUNCTION("""COMPUTED_VALUE"""),"K/43/240625/1")</f>
        <v>K/43/240625/1</v>
      </c>
      <c r="C5257" s="42" t="str">
        <f>IFERROR(__xludf.DUMMYFUNCTION("""COMPUTED_VALUE"""),"Nibel. B. 353/ Negeri Olok Gading")</f>
        <v>Nibel. B. 353/ Negeri Olok Gading</v>
      </c>
      <c r="D5257" s="42"/>
      <c r="E5257" s="42"/>
      <c r="F5257" s="48" t="str">
        <f>IFERROR(__xludf.DUMMYFUNCTION("""COMPUTED_VALUE"""),"")</f>
        <v/>
      </c>
      <c r="G5257" s="42" t="str">
        <f>IFERROR(__xludf.DUMMYFUNCTION("""COMPUTED_VALUE"""),"Perubahan Hak")</f>
        <v>Perubahan Hak</v>
      </c>
      <c r="H5257" s="42">
        <f t="shared" si="1"/>
        <v>2331</v>
      </c>
    </row>
    <row r="5258" ht="22.5" customHeight="1">
      <c r="B5258" s="42" t="str">
        <f>IFERROR(__xludf.DUMMYFUNCTION("""COMPUTED_VALUE"""),"K/45/240625/1")</f>
        <v>K/45/240625/1</v>
      </c>
      <c r="C5258" s="42" t="str">
        <f>IFERROR(__xludf.DUMMYFUNCTION("""COMPUTED_VALUE"""),"B. 199/SUKARAJA")</f>
        <v>B. 199/SUKARAJA</v>
      </c>
      <c r="D5258" s="42"/>
      <c r="E5258" s="42"/>
      <c r="F5258" s="48" t="str">
        <f>IFERROR(__xludf.DUMMYFUNCTION("""COMPUTED_VALUE"""),"")</f>
        <v/>
      </c>
      <c r="G5258" s="42" t="str">
        <f>IFERROR(__xludf.DUMMYFUNCTION("""COMPUTED_VALUE"""),"PTPGT")</f>
        <v>PTPGT</v>
      </c>
      <c r="H5258" s="42">
        <f t="shared" si="1"/>
        <v>2331</v>
      </c>
    </row>
    <row r="5259" ht="22.5" customHeight="1">
      <c r="B5259" s="42" t="str">
        <f>IFERROR(__xludf.DUMMYFUNCTION("""COMPUTED_VALUE"""),"K/47/240625/1")</f>
        <v>K/47/240625/1</v>
      </c>
      <c r="C5259" s="42" t="str">
        <f>IFERROR(__xludf.DUMMYFUNCTION("""COMPUTED_VALUE"""),"M. 583/ Bumi Raya")</f>
        <v>M. 583/ Bumi Raya</v>
      </c>
      <c r="D5259" s="42" t="str">
        <f>IFERROR(__xludf.DUMMYFUNCTION("""COMPUTED_VALUE"""),"Berry")</f>
        <v>Berry</v>
      </c>
      <c r="E5259" s="42" t="str">
        <f>IFERROR(__xludf.DUMMYFUNCTION("""COMPUTED_VALUE"""),"DISERAHKAN")</f>
        <v>DISERAHKAN</v>
      </c>
      <c r="F5259" s="48">
        <f>IFERROR(__xludf.DUMMYFUNCTION("""COMPUTED_VALUE"""),45861.630106701385)</f>
        <v>45861.63011</v>
      </c>
      <c r="G5259" s="42" t="str">
        <f>IFERROR(__xludf.DUMMYFUNCTION("""COMPUTED_VALUE"""),"BN JUAL BELIO")</f>
        <v>BN JUAL BELIO</v>
      </c>
      <c r="H5259" s="42">
        <f t="shared" si="1"/>
        <v>2332</v>
      </c>
    </row>
    <row r="5260" ht="22.5" customHeight="1">
      <c r="B5260" s="42" t="str">
        <f>IFERROR(__xludf.DUMMYFUNCTION("""COMPUTED_VALUE"""),"K/48/240625/2")</f>
        <v>K/48/240625/2</v>
      </c>
      <c r="C5260" s="42" t="str">
        <f>IFERROR(__xludf.DUMMYFUNCTION("""COMPUTED_VALUE"""),"M. 1369/ Bumi Raya")</f>
        <v>M. 1369/ Bumi Raya</v>
      </c>
      <c r="D5260" s="42" t="str">
        <f>IFERROR(__xludf.DUMMYFUNCTION("""COMPUTED_VALUE"""),"Berry")</f>
        <v>Berry</v>
      </c>
      <c r="E5260" s="42" t="str">
        <f>IFERROR(__xludf.DUMMYFUNCTION("""COMPUTED_VALUE"""),"DISERAHKAN")</f>
        <v>DISERAHKAN</v>
      </c>
      <c r="F5260" s="48">
        <f>IFERROR(__xludf.DUMMYFUNCTION("""COMPUTED_VALUE"""),45852.62617733797)</f>
        <v>45852.62618</v>
      </c>
      <c r="G5260" s="42" t="str">
        <f>IFERROR(__xludf.DUMMYFUNCTION("""COMPUTED_VALUE"""),"BN JUAL BELI")</f>
        <v>BN JUAL BELI</v>
      </c>
      <c r="H5260" s="42">
        <f t="shared" si="1"/>
        <v>2333</v>
      </c>
    </row>
    <row r="5261" ht="22.5" customHeight="1">
      <c r="B5261" s="42" t="str">
        <f>IFERROR(__xludf.DUMMYFUNCTION("""COMPUTED_VALUE"""),"K/49/240625/3")</f>
        <v>K/49/240625/3</v>
      </c>
      <c r="C5261" s="42" t="str">
        <f>IFERROR(__xludf.DUMMYFUNCTION("""COMPUTED_VALUE"""),"M. 1220/ Kangkung")</f>
        <v>M. 1220/ Kangkung</v>
      </c>
      <c r="D5261" s="42" t="str">
        <f>IFERROR(__xludf.DUMMYFUNCTION("""COMPUTED_VALUE"""),"Berry")</f>
        <v>Berry</v>
      </c>
      <c r="E5261" s="42" t="str">
        <f>IFERROR(__xludf.DUMMYFUNCTION("""COMPUTED_VALUE"""),"DISERAHKAN")</f>
        <v>DISERAHKAN</v>
      </c>
      <c r="F5261" s="48">
        <f>IFERROR(__xludf.DUMMYFUNCTION("""COMPUTED_VALUE"""),45859.614059768515)</f>
        <v>45859.61406</v>
      </c>
      <c r="G5261" s="42" t="str">
        <f>IFERROR(__xludf.DUMMYFUNCTION("""COMPUTED_VALUE"""),"BN JUAL BELI")</f>
        <v>BN JUAL BELI</v>
      </c>
      <c r="H5261" s="42">
        <f t="shared" si="1"/>
        <v>2334</v>
      </c>
    </row>
    <row r="5262" ht="22.5" customHeight="1">
      <c r="B5262" s="42" t="str">
        <f>IFERROR(__xludf.DUMMYFUNCTION("""COMPUTED_VALUE"""),"K/46/240625/2")</f>
        <v>K/46/240625/2</v>
      </c>
      <c r="C5262" s="42" t="str">
        <f>IFERROR(__xludf.DUMMYFUNCTION("""COMPUTED_VALUE"""),"B. 117/SUKARAJA")</f>
        <v>B. 117/SUKARAJA</v>
      </c>
      <c r="D5262" s="42"/>
      <c r="E5262" s="42"/>
      <c r="F5262" s="48" t="str">
        <f>IFERROR(__xludf.DUMMYFUNCTION("""COMPUTED_VALUE"""),"")</f>
        <v/>
      </c>
      <c r="G5262" s="42" t="str">
        <f>IFERROR(__xludf.DUMMYFUNCTION("""COMPUTED_VALUE"""),"PTPGT")</f>
        <v>PTPGT</v>
      </c>
      <c r="H5262" s="42">
        <f t="shared" si="1"/>
        <v>2334</v>
      </c>
    </row>
    <row r="5263" ht="22.5" customHeight="1">
      <c r="B5263" s="42" t="str">
        <f>IFERROR(__xludf.DUMMYFUNCTION("""COMPUTED_VALUE"""),"K/50/240625/1")</f>
        <v>K/50/240625/1</v>
      </c>
      <c r="C5263" s="42" t="str">
        <f>IFERROR(__xludf.DUMMYFUNCTION("""COMPUTED_VALUE"""),"GUNUNG AGUNG")</f>
        <v>GUNUNG AGUNG</v>
      </c>
      <c r="D5263" s="42"/>
      <c r="E5263" s="42"/>
      <c r="F5263" s="48" t="str">
        <f>IFERROR(__xludf.DUMMYFUNCTION("""COMPUTED_VALUE"""),"")</f>
        <v/>
      </c>
      <c r="G5263" s="42" t="str">
        <f>IFERROR(__xludf.DUMMYFUNCTION("""COMPUTED_VALUE"""),"TANAH MENTAH")</f>
        <v>TANAH MENTAH</v>
      </c>
      <c r="H5263" s="42">
        <f t="shared" si="1"/>
        <v>2334</v>
      </c>
    </row>
    <row r="5264" ht="22.5" customHeight="1">
      <c r="B5264" s="42" t="str">
        <f>IFERROR(__xludf.DUMMYFUNCTION("""COMPUTED_VALUE"""),"L/1/250625/1")</f>
        <v>L/1/250625/1</v>
      </c>
      <c r="C5264" s="42" t="str">
        <f>IFERROR(__xludf.DUMMYFUNCTION("""COMPUTED_VALUE"""),"NIB 18651/GUNUNG SULAH")</f>
        <v>NIB 18651/GUNUNG SULAH</v>
      </c>
      <c r="D5264" s="42"/>
      <c r="E5264" s="42"/>
      <c r="F5264" s="48" t="str">
        <f>IFERROR(__xludf.DUMMYFUNCTION("""COMPUTED_VALUE"""),"")</f>
        <v/>
      </c>
      <c r="G5264" s="42" t="str">
        <f>IFERROR(__xludf.DUMMYFUNCTION("""COMPUTED_VALUE"""),"PH")</f>
        <v>PH</v>
      </c>
      <c r="H5264" s="42">
        <f t="shared" si="1"/>
        <v>2334</v>
      </c>
    </row>
    <row r="5265" ht="22.5" customHeight="1">
      <c r="B5265" s="42" t="str">
        <f>IFERROR(__xludf.DUMMYFUNCTION("""COMPUTED_VALUE"""),"K/2/250625/1")</f>
        <v>K/2/250625/1</v>
      </c>
      <c r="C5265" s="42" t="str">
        <f>IFERROR(__xludf.DUMMYFUNCTION("""COMPUTED_VALUE"""),"NIBEL M2602/PANJANG UTARA")</f>
        <v>NIBEL M2602/PANJANG UTARA</v>
      </c>
      <c r="D5265" s="42"/>
      <c r="E5265" s="42"/>
      <c r="F5265" s="48" t="str">
        <f>IFERROR(__xludf.DUMMYFUNCTION("""COMPUTED_VALUE"""),"")</f>
        <v/>
      </c>
      <c r="G5265" s="42" t="str">
        <f>IFERROR(__xludf.DUMMYFUNCTION("""COMPUTED_VALUE"""),"PTPGT")</f>
        <v>PTPGT</v>
      </c>
      <c r="H5265" s="42">
        <f t="shared" si="1"/>
        <v>2334</v>
      </c>
    </row>
    <row r="5266" ht="22.5" customHeight="1">
      <c r="B5266" s="42" t="str">
        <f>IFERROR(__xludf.DUMMYFUNCTION("""COMPUTED_VALUE"""),"K/3/250625/1")</f>
        <v>K/3/250625/1</v>
      </c>
      <c r="C5266" s="42" t="str">
        <f>IFERROR(__xludf.DUMMYFUNCTION("""COMPUTED_VALUE"""),"M. 547/KEDAUNG")</f>
        <v>M. 547/KEDAUNG</v>
      </c>
      <c r="D5266" s="42"/>
      <c r="E5266" s="42"/>
      <c r="F5266" s="48" t="str">
        <f>IFERROR(__xludf.DUMMYFUNCTION("""COMPUTED_VALUE"""),"")</f>
        <v/>
      </c>
      <c r="G5266" s="42" t="str">
        <f>IFERROR(__xludf.DUMMYFUNCTION("""COMPUTED_VALUE"""),"PEMECAHAN ")</f>
        <v>PEMECAHAN </v>
      </c>
      <c r="H5266" s="42">
        <f t="shared" si="1"/>
        <v>2334</v>
      </c>
    </row>
    <row r="5267" ht="22.5" customHeight="1">
      <c r="B5267" s="42" t="str">
        <f>IFERROR(__xludf.DUMMYFUNCTION("""COMPUTED_VALUE"""),"K/5/250625/1")</f>
        <v>K/5/250625/1</v>
      </c>
      <c r="C5267" s="42" t="str">
        <f>IFERROR(__xludf.DUMMYFUNCTION("""COMPUTED_VALUE"""),"B. 4986/CAMPANG RAYA")</f>
        <v>B. 4986/CAMPANG RAYA</v>
      </c>
      <c r="D5267" s="42"/>
      <c r="E5267" s="42"/>
      <c r="F5267" s="48" t="str">
        <f>IFERROR(__xludf.DUMMYFUNCTION("""COMPUTED_VALUE"""),"")</f>
        <v/>
      </c>
      <c r="G5267" s="42" t="str">
        <f>IFERROR(__xludf.DUMMYFUNCTION("""COMPUTED_VALUE"""),"PENINGKATAN HAK")</f>
        <v>PENINGKATAN HAK</v>
      </c>
      <c r="H5267" s="42">
        <f t="shared" si="1"/>
        <v>2334</v>
      </c>
    </row>
    <row r="5268" ht="22.5" customHeight="1">
      <c r="B5268" s="42" t="str">
        <f>IFERROR(__xludf.DUMMYFUNCTION("""COMPUTED_VALUE"""),"K/6/250625/1")</f>
        <v>K/6/250625/1</v>
      </c>
      <c r="C5268" s="42" t="str">
        <f>IFERROR(__xludf.DUMMYFUNCTION("""COMPUTED_VALUE"""),"Nibel. B. 21705/ Negeri Olok Gading")</f>
        <v>Nibel. B. 21705/ Negeri Olok Gading</v>
      </c>
      <c r="D5268" s="42"/>
      <c r="E5268" s="42"/>
      <c r="F5268" s="48" t="str">
        <f>IFERROR(__xludf.DUMMYFUNCTION("""COMPUTED_VALUE"""),"")</f>
        <v/>
      </c>
      <c r="G5268" s="42" t="str">
        <f>IFERROR(__xludf.DUMMYFUNCTION("""COMPUTED_VALUE"""),"Perubahan Hak")</f>
        <v>Perubahan Hak</v>
      </c>
      <c r="H5268" s="42">
        <f t="shared" si="1"/>
        <v>2334</v>
      </c>
    </row>
    <row r="5269" ht="22.5" customHeight="1">
      <c r="B5269" s="42" t="str">
        <f>IFERROR(__xludf.DUMMYFUNCTION("""COMPUTED_VALUE"""),"K/4/250625/2")</f>
        <v>K/4/250625/2</v>
      </c>
      <c r="C5269" s="42" t="str">
        <f>IFERROR(__xludf.DUMMYFUNCTION("""COMPUTED_VALUE"""),"M. 548/KEDAUNG")</f>
        <v>M. 548/KEDAUNG</v>
      </c>
      <c r="D5269" s="42"/>
      <c r="E5269" s="42"/>
      <c r="F5269" s="48" t="str">
        <f>IFERROR(__xludf.DUMMYFUNCTION("""COMPUTED_VALUE"""),"")</f>
        <v/>
      </c>
      <c r="G5269" s="42" t="str">
        <f>IFERROR(__xludf.DUMMYFUNCTION("""COMPUTED_VALUE"""),"PEMECAHAN")</f>
        <v>PEMECAHAN</v>
      </c>
      <c r="H5269" s="42">
        <f t="shared" si="1"/>
        <v>2334</v>
      </c>
    </row>
    <row r="5270" ht="22.5" customHeight="1">
      <c r="B5270" s="42" t="str">
        <f>IFERROR(__xludf.DUMMYFUNCTION("""COMPUTED_VALUE"""),"K/7/250625/1")</f>
        <v>K/7/250625/1</v>
      </c>
      <c r="C5270" s="42" t="str">
        <f>IFERROR(__xludf.DUMMYFUNCTION("""COMPUTED_VALUE"""),"M. 3197/ Labuhan Dalam")</f>
        <v>M. 3197/ Labuhan Dalam</v>
      </c>
      <c r="D5270" s="42" t="str">
        <f>IFERROR(__xludf.DUMMYFUNCTION("""COMPUTED_VALUE"""),"Berry")</f>
        <v>Berry</v>
      </c>
      <c r="E5270" s="42" t="str">
        <f>IFERROR(__xludf.DUMMYFUNCTION("""COMPUTED_VALUE"""),"DISERAHKAN")</f>
        <v>DISERAHKAN</v>
      </c>
      <c r="F5270" s="48">
        <f>IFERROR(__xludf.DUMMYFUNCTION("""COMPUTED_VALUE"""),45852.62502118056)</f>
        <v>45852.62502</v>
      </c>
      <c r="G5270" s="42" t="str">
        <f>IFERROR(__xludf.DUMMYFUNCTION("""COMPUTED_VALUE"""),"BN JUAL BELI")</f>
        <v>BN JUAL BELI</v>
      </c>
      <c r="H5270" s="42">
        <f t="shared" si="1"/>
        <v>2335</v>
      </c>
    </row>
    <row r="5271" ht="22.5" customHeight="1">
      <c r="B5271" s="42" t="str">
        <f>IFERROR(__xludf.DUMMYFUNCTION("""COMPUTED_VALUE"""),"L/8/250625/1")</f>
        <v>L/8/250625/1</v>
      </c>
      <c r="C5271" s="42" t="str">
        <f>IFERROR(__xludf.DUMMYFUNCTION("""COMPUTED_VALUE"""),"HM 817/WHP")</f>
        <v>HM 817/WHP</v>
      </c>
      <c r="D5271" s="42" t="str">
        <f>IFERROR(__xludf.DUMMYFUNCTION("""COMPUTED_VALUE"""),"David")</f>
        <v>David</v>
      </c>
      <c r="E5271" s="42" t="str">
        <f>IFERROR(__xludf.DUMMYFUNCTION("""COMPUTED_VALUE"""),"DISERAHKAN")</f>
        <v>DISERAHKAN</v>
      </c>
      <c r="F5271" s="48">
        <f>IFERROR(__xludf.DUMMYFUNCTION("""COMPUTED_VALUE"""),45849.65163366898)</f>
        <v>45849.65163</v>
      </c>
      <c r="G5271" s="42" t="str">
        <f>IFERROR(__xludf.DUMMYFUNCTION("""COMPUTED_VALUE"""),"ROYA")</f>
        <v>ROYA</v>
      </c>
      <c r="H5271" s="42">
        <f t="shared" si="1"/>
        <v>2336</v>
      </c>
    </row>
    <row r="5272" ht="22.5" customHeight="1">
      <c r="B5272" s="42" t="str">
        <f>IFERROR(__xludf.DUMMYFUNCTION("""COMPUTED_VALUE"""),"K/9/250625/1")</f>
        <v>K/9/250625/1</v>
      </c>
      <c r="C5272" s="42" t="str">
        <f>IFERROR(__xludf.DUMMYFUNCTION("""COMPUTED_VALUE"""),"NIBEL M 18230/BERINGIN RAYA")</f>
        <v>NIBEL M 18230/BERINGIN RAYA</v>
      </c>
      <c r="D5272" s="42"/>
      <c r="E5272" s="42"/>
      <c r="F5272" s="48" t="str">
        <f>IFERROR(__xludf.DUMMYFUNCTION("""COMPUTED_VALUE"""),"")</f>
        <v/>
      </c>
      <c r="G5272" s="42" t="str">
        <f>IFERROR(__xludf.DUMMYFUNCTION("""COMPUTED_VALUE"""),"JUAL BELI")</f>
        <v>JUAL BELI</v>
      </c>
      <c r="H5272" s="42">
        <f t="shared" si="1"/>
        <v>2336</v>
      </c>
    </row>
    <row r="5273" ht="22.5" customHeight="1">
      <c r="B5273" s="42" t="str">
        <f>IFERROR(__xludf.DUMMYFUNCTION("""COMPUTED_VALUE"""),"K/10/250625/2")</f>
        <v>K/10/250625/2</v>
      </c>
      <c r="C5273" s="42" t="str">
        <f>IFERROR(__xludf.DUMMYFUNCTION("""COMPUTED_VALUE"""),"NIBEL M 22272/SUMUR PUTRI")</f>
        <v>NIBEL M 22272/SUMUR PUTRI</v>
      </c>
      <c r="D5273" s="42"/>
      <c r="E5273" s="42"/>
      <c r="F5273" s="48" t="str">
        <f>IFERROR(__xludf.DUMMYFUNCTION("""COMPUTED_VALUE"""),"")</f>
        <v/>
      </c>
      <c r="G5273" s="42" t="str">
        <f>IFERROR(__xludf.DUMMYFUNCTION("""COMPUTED_VALUE"""),"JUAL BELI")</f>
        <v>JUAL BELI</v>
      </c>
      <c r="H5273" s="42">
        <f t="shared" si="1"/>
        <v>2336</v>
      </c>
    </row>
    <row r="5274" ht="22.5" customHeight="1">
      <c r="B5274" s="42" t="str">
        <f>IFERROR(__xludf.DUMMYFUNCTION("""COMPUTED_VALUE"""),"L/12/250625/1")</f>
        <v>L/12/250625/1</v>
      </c>
      <c r="C5274" s="42" t="str">
        <f>IFERROR(__xludf.DUMMYFUNCTION("""COMPUTED_VALUE"""),"HM 16871/SUKARAME")</f>
        <v>HM 16871/SUKARAME</v>
      </c>
      <c r="D5274" s="42" t="str">
        <f>IFERROR(__xludf.DUMMYFUNCTION("""COMPUTED_VALUE"""),"David")</f>
        <v>David</v>
      </c>
      <c r="E5274" s="42" t="str">
        <f>IFERROR(__xludf.DUMMYFUNCTION("""COMPUTED_VALUE"""),"DISERAHKAN")</f>
        <v>DISERAHKAN</v>
      </c>
      <c r="F5274" s="48">
        <f>IFERROR(__xludf.DUMMYFUNCTION("""COMPUTED_VALUE"""),45859.66144820602)</f>
        <v>45859.66145</v>
      </c>
      <c r="G5274" s="42" t="str">
        <f>IFERROR(__xludf.DUMMYFUNCTION("""COMPUTED_VALUE"""),"ROYA")</f>
        <v>ROYA</v>
      </c>
      <c r="H5274" s="42">
        <f t="shared" si="1"/>
        <v>2337</v>
      </c>
    </row>
    <row r="5275" ht="22.5" customHeight="1">
      <c r="B5275" s="42" t="str">
        <f>IFERROR(__xludf.DUMMYFUNCTION("""COMPUTED_VALUE"""),"K/11/250625/1")</f>
        <v>K/11/250625/1</v>
      </c>
      <c r="C5275" s="42" t="str">
        <f>IFERROR(__xludf.DUMMYFUNCTION("""COMPUTED_VALUE"""),"NIBEL M. 19176/WAY KANDIS")</f>
        <v>NIBEL M. 19176/WAY KANDIS</v>
      </c>
      <c r="D5275" s="42"/>
      <c r="E5275" s="42"/>
      <c r="F5275" s="48" t="str">
        <f>IFERROR(__xludf.DUMMYFUNCTION("""COMPUTED_VALUE"""),"")</f>
        <v/>
      </c>
      <c r="G5275" s="42" t="str">
        <f>IFERROR(__xludf.DUMMYFUNCTION("""COMPUTED_VALUE"""),"BN JUAL BELI")</f>
        <v>BN JUAL BELI</v>
      </c>
      <c r="H5275" s="42">
        <f t="shared" si="1"/>
        <v>2337</v>
      </c>
    </row>
    <row r="5276" ht="22.5" customHeight="1">
      <c r="B5276" s="42" t="str">
        <f>IFERROR(__xludf.DUMMYFUNCTION("""COMPUTED_VALUE"""),"K/13/250625/1")</f>
        <v>K/13/250625/1</v>
      </c>
      <c r="C5276" s="42" t="str">
        <f>IFERROR(__xludf.DUMMYFUNCTION("""COMPUTED_VALUE"""),"M.575/TANJUNG SENENG")</f>
        <v>M.575/TANJUNG SENENG</v>
      </c>
      <c r="D5276" s="42" t="str">
        <f>IFERROR(__xludf.DUMMYFUNCTION("""COMPUTED_VALUE"""),"David")</f>
        <v>David</v>
      </c>
      <c r="E5276" s="42" t="str">
        <f>IFERROR(__xludf.DUMMYFUNCTION("""COMPUTED_VALUE"""),"DISERAHKAN")</f>
        <v>DISERAHKAN</v>
      </c>
      <c r="F5276" s="48">
        <f>IFERROR(__xludf.DUMMYFUNCTION("""COMPUTED_VALUE"""),45922.6211384375)</f>
        <v>45922.62114</v>
      </c>
      <c r="G5276" s="42" t="str">
        <f>IFERROR(__xludf.DUMMYFUNCTION("""COMPUTED_VALUE"""),"ROYA")</f>
        <v>ROYA</v>
      </c>
      <c r="H5276" s="42">
        <f t="shared" si="1"/>
        <v>2338</v>
      </c>
    </row>
    <row r="5277" ht="22.5" customHeight="1">
      <c r="B5277" s="42" t="str">
        <f>IFERROR(__xludf.DUMMYFUNCTION("""COMPUTED_VALUE"""),"K/14/250625/1")</f>
        <v>K/14/250625/1</v>
      </c>
      <c r="C5277" s="42" t="str">
        <f>IFERROR(__xludf.DUMMYFUNCTION("""COMPUTED_VALUE"""),"M. 965/LANGKAPURA BARU")</f>
        <v>M. 965/LANGKAPURA BARU</v>
      </c>
      <c r="D5277" s="42"/>
      <c r="E5277" s="42"/>
      <c r="F5277" s="48" t="str">
        <f>IFERROR(__xludf.DUMMYFUNCTION("""COMPUTED_VALUE"""),"")</f>
        <v/>
      </c>
      <c r="G5277" s="42" t="str">
        <f>IFERROR(__xludf.DUMMYFUNCTION("""COMPUTED_VALUE"""),"BN JUAL BELI")</f>
        <v>BN JUAL BELI</v>
      </c>
      <c r="H5277" s="42">
        <f t="shared" si="1"/>
        <v>2338</v>
      </c>
    </row>
    <row r="5278" ht="22.5" customHeight="1">
      <c r="B5278" s="42" t="str">
        <f>IFERROR(__xludf.DUMMYFUNCTION("""COMPUTED_VALUE"""),"L/16/250625/1")</f>
        <v>L/16/250625/1</v>
      </c>
      <c r="C5278" s="42" t="str">
        <f>IFERROR(__xludf.DUMMYFUNCTION("""COMPUTED_VALUE"""),"HM 15790/SUKARAME")</f>
        <v>HM 15790/SUKARAME</v>
      </c>
      <c r="D5278" s="42" t="str">
        <f>IFERROR(__xludf.DUMMYFUNCTION("""COMPUTED_VALUE"""),"David")</f>
        <v>David</v>
      </c>
      <c r="E5278" s="42" t="str">
        <f>IFERROR(__xludf.DUMMYFUNCTION("""COMPUTED_VALUE"""),"DISERAHKAN")</f>
        <v>DISERAHKAN</v>
      </c>
      <c r="F5278" s="48">
        <f>IFERROR(__xludf.DUMMYFUNCTION("""COMPUTED_VALUE"""),45883.492778125)</f>
        <v>45883.49278</v>
      </c>
      <c r="G5278" s="42" t="str">
        <f>IFERROR(__xludf.DUMMYFUNCTION("""COMPUTED_VALUE"""),"ROYA")</f>
        <v>ROYA</v>
      </c>
      <c r="H5278" s="42">
        <f t="shared" si="1"/>
        <v>2339</v>
      </c>
    </row>
    <row r="5279" ht="22.5" customHeight="1">
      <c r="B5279" s="42" t="str">
        <f>IFERROR(__xludf.DUMMYFUNCTION("""COMPUTED_VALUE"""),"K/17/250625/1")</f>
        <v>K/17/250625/1</v>
      </c>
      <c r="C5279" s="42" t="str">
        <f>IFERROR(__xludf.DUMMYFUNCTION("""COMPUTED_VALUE"""),"M. 18171/ Sukarame")</f>
        <v>M. 18171/ Sukarame</v>
      </c>
      <c r="D5279" s="42" t="str">
        <f>IFERROR(__xludf.DUMMYFUNCTION("""COMPUTED_VALUE"""),"Berry")</f>
        <v>Berry</v>
      </c>
      <c r="E5279" s="42" t="str">
        <f>IFERROR(__xludf.DUMMYFUNCTION("""COMPUTED_VALUE"""),"DISERAHKAN")</f>
        <v>DISERAHKAN</v>
      </c>
      <c r="F5279" s="48">
        <f>IFERROR(__xludf.DUMMYFUNCTION("""COMPUTED_VALUE"""),45849.50383284722)</f>
        <v>45849.50383</v>
      </c>
      <c r="G5279" s="42" t="str">
        <f>IFERROR(__xludf.DUMMYFUNCTION("""COMPUTED_VALUE"""),"BN Jual Beli")</f>
        <v>BN Jual Beli</v>
      </c>
      <c r="H5279" s="42">
        <f t="shared" si="1"/>
        <v>2340</v>
      </c>
    </row>
    <row r="5280" ht="22.5" customHeight="1">
      <c r="B5280" s="42" t="str">
        <f>IFERROR(__xludf.DUMMYFUNCTION("""COMPUTED_VALUE"""),"K/18/250625/2")</f>
        <v>K/18/250625/2</v>
      </c>
      <c r="C5280" s="42" t="str">
        <f>IFERROR(__xludf.DUMMYFUNCTION("""COMPUTED_VALUE"""),"M. 1281/ Kangkung")</f>
        <v>M. 1281/ Kangkung</v>
      </c>
      <c r="D5280" s="42" t="str">
        <f>IFERROR(__xludf.DUMMYFUNCTION("""COMPUTED_VALUE"""),"Berry")</f>
        <v>Berry</v>
      </c>
      <c r="E5280" s="42" t="str">
        <f>IFERROR(__xludf.DUMMYFUNCTION("""COMPUTED_VALUE"""),"DISERAHKAN")</f>
        <v>DISERAHKAN</v>
      </c>
      <c r="F5280" s="48">
        <f>IFERROR(__xludf.DUMMYFUNCTION("""COMPUTED_VALUE"""),45849.49253716435)</f>
        <v>45849.49254</v>
      </c>
      <c r="G5280" s="42" t="str">
        <f>IFERROR(__xludf.DUMMYFUNCTION("""COMPUTED_VALUE"""),"BN Jual Beli")</f>
        <v>BN Jual Beli</v>
      </c>
      <c r="H5280" s="42">
        <f t="shared" si="1"/>
        <v>2341</v>
      </c>
    </row>
    <row r="5281" ht="22.5" customHeight="1">
      <c r="B5281" s="42" t="str">
        <f>IFERROR(__xludf.DUMMYFUNCTION("""COMPUTED_VALUE"""),"K/19/250625/1")</f>
        <v>K/19/250625/1</v>
      </c>
      <c r="C5281" s="42" t="str">
        <f>IFERROR(__xludf.DUMMYFUNCTION("""COMPUTED_VALUE"""),"B. 1478/ Way Halim Permai")</f>
        <v>B. 1478/ Way Halim Permai</v>
      </c>
      <c r="D5281" s="42" t="str">
        <f>IFERROR(__xludf.DUMMYFUNCTION("""COMPUTED_VALUE"""),"Berry")</f>
        <v>Berry</v>
      </c>
      <c r="E5281" s="42" t="str">
        <f>IFERROR(__xludf.DUMMYFUNCTION("""COMPUTED_VALUE"""),"DISERAHKAN")</f>
        <v>DISERAHKAN</v>
      </c>
      <c r="F5281" s="48">
        <f>IFERROR(__xludf.DUMMYFUNCTION("""COMPUTED_VALUE"""),45845.66985630787)</f>
        <v>45845.66986</v>
      </c>
      <c r="G5281" s="42" t="str">
        <f>IFERROR(__xludf.DUMMYFUNCTION("""COMPUTED_VALUE"""),"BN Jual Beli")</f>
        <v>BN Jual Beli</v>
      </c>
      <c r="H5281" s="42">
        <f t="shared" si="1"/>
        <v>2342</v>
      </c>
    </row>
    <row r="5282" ht="22.5" customHeight="1">
      <c r="B5282" s="42" t="str">
        <f>IFERROR(__xludf.DUMMYFUNCTION("""COMPUTED_VALUE"""),"K/15/250625/1")</f>
        <v>K/15/250625/1</v>
      </c>
      <c r="C5282" s="42" t="str">
        <f>IFERROR(__xludf.DUMMYFUNCTION("""COMPUTED_VALUE"""),"NIBEL M 7698/KALI BALAU KENCANA")</f>
        <v>NIBEL M 7698/KALI BALAU KENCANA</v>
      </c>
      <c r="D5282" s="42"/>
      <c r="E5282" s="42"/>
      <c r="F5282" s="48" t="str">
        <f>IFERROR(__xludf.DUMMYFUNCTION("""COMPUTED_VALUE"""),"")</f>
        <v/>
      </c>
      <c r="G5282" s="42" t="str">
        <f>IFERROR(__xludf.DUMMYFUNCTION("""COMPUTED_VALUE"""),"JUAL BELI")</f>
        <v>JUAL BELI</v>
      </c>
      <c r="H5282" s="42">
        <f t="shared" si="1"/>
        <v>2342</v>
      </c>
    </row>
    <row r="5283" ht="22.5" customHeight="1">
      <c r="B5283" s="42" t="str">
        <f>IFERROR(__xludf.DUMMYFUNCTION("""COMPUTED_VALUE"""),"K/23/250625/1")</f>
        <v>K/23/250625/1</v>
      </c>
      <c r="C5283" s="42" t="str">
        <f>IFERROR(__xludf.DUMMYFUNCTION("""COMPUTED_VALUE"""),"Nibel. M. 19684/ Tanjung Senang")</f>
        <v>Nibel. M. 19684/ Tanjung Senang</v>
      </c>
      <c r="D5283" s="42"/>
      <c r="E5283" s="42"/>
      <c r="F5283" s="48" t="str">
        <f>IFERROR(__xludf.DUMMYFUNCTION("""COMPUTED_VALUE"""),"")</f>
        <v/>
      </c>
      <c r="G5283" s="42" t="str">
        <f>IFERROR(__xludf.DUMMYFUNCTION("""COMPUTED_VALUE"""),"BN Jual Beli")</f>
        <v>BN Jual Beli</v>
      </c>
      <c r="H5283" s="42">
        <f t="shared" si="1"/>
        <v>2342</v>
      </c>
    </row>
    <row r="5284" ht="22.5" customHeight="1">
      <c r="B5284" s="42" t="str">
        <f>IFERROR(__xludf.DUMMYFUNCTION("""COMPUTED_VALUE"""),"K/21/250625/1")</f>
        <v>K/21/250625/1</v>
      </c>
      <c r="C5284" s="42" t="str">
        <f>IFERROR(__xludf.DUMMYFUNCTION("""COMPUTED_VALUE"""),"Nibel 2293/ Penengahan Raya")</f>
        <v>Nibel 2293/ Penengahan Raya</v>
      </c>
      <c r="D5284" s="42"/>
      <c r="E5284" s="42"/>
      <c r="F5284" s="48" t="str">
        <f>IFERROR(__xludf.DUMMYFUNCTION("""COMPUTED_VALUE"""),"")</f>
        <v/>
      </c>
      <c r="G5284" s="42" t="str">
        <f>IFERROR(__xludf.DUMMYFUNCTION("""COMPUTED_VALUE"""),"BN JUAL BELI")</f>
        <v>BN JUAL BELI</v>
      </c>
      <c r="H5284" s="42">
        <f t="shared" si="1"/>
        <v>2342</v>
      </c>
    </row>
    <row r="5285" ht="22.5" customHeight="1">
      <c r="B5285" s="42" t="str">
        <f>IFERROR(__xludf.DUMMYFUNCTION("""COMPUTED_VALUE"""),"K/22/250625/2")</f>
        <v>K/22/250625/2</v>
      </c>
      <c r="C5285" s="42" t="str">
        <f>IFERROR(__xludf.DUMMYFUNCTION("""COMPUTED_VALUE"""),"Nibel 17223/ Rajabasa Pemuka")</f>
        <v>Nibel 17223/ Rajabasa Pemuka</v>
      </c>
      <c r="D5285" s="42"/>
      <c r="E5285" s="42"/>
      <c r="F5285" s="48" t="str">
        <f>IFERROR(__xludf.DUMMYFUNCTION("""COMPUTED_VALUE"""),"")</f>
        <v/>
      </c>
      <c r="G5285" s="42" t="str">
        <f>IFERROR(__xludf.DUMMYFUNCTION("""COMPUTED_VALUE"""),"BN PHB")</f>
        <v>BN PHB</v>
      </c>
      <c r="H5285" s="42">
        <f t="shared" si="1"/>
        <v>2342</v>
      </c>
    </row>
    <row r="5286" ht="22.5" customHeight="1">
      <c r="B5286" s="42" t="str">
        <f>IFERROR(__xludf.DUMMYFUNCTION("""COMPUTED_VALUE"""),"K/24/250625/1")</f>
        <v>K/24/250625/1</v>
      </c>
      <c r="C5286" s="42" t="str">
        <f>IFERROR(__xludf.DUMMYFUNCTION("""COMPUTED_VALUE"""),"NIBEL M. 1457/GEDONG AIR")</f>
        <v>NIBEL M. 1457/GEDONG AIR</v>
      </c>
      <c r="D5286" s="42"/>
      <c r="E5286" s="42"/>
      <c r="F5286" s="48" t="str">
        <f>IFERROR(__xludf.DUMMYFUNCTION("""COMPUTED_VALUE"""),"")</f>
        <v/>
      </c>
      <c r="G5286" s="42" t="str">
        <f>IFERROR(__xludf.DUMMYFUNCTION("""COMPUTED_VALUE"""),"BN JUAL BELI")</f>
        <v>BN JUAL BELI</v>
      </c>
      <c r="H5286" s="42">
        <f t="shared" si="1"/>
        <v>2342</v>
      </c>
    </row>
    <row r="5287" ht="22.5" customHeight="1">
      <c r="B5287" s="42" t="str">
        <f>IFERROR(__xludf.DUMMYFUNCTION("""COMPUTED_VALUE"""),"K/25/250625/2")</f>
        <v>K/25/250625/2</v>
      </c>
      <c r="C5287" s="42" t="str">
        <f>IFERROR(__xludf.DUMMYFUNCTION("""COMPUTED_VALUE"""),"NIBEL B. 133/KELAPA TIGA")</f>
        <v>NIBEL B. 133/KELAPA TIGA</v>
      </c>
      <c r="D5287" s="42"/>
      <c r="E5287" s="42"/>
      <c r="F5287" s="48" t="str">
        <f>IFERROR(__xludf.DUMMYFUNCTION("""COMPUTED_VALUE"""),"")</f>
        <v/>
      </c>
      <c r="G5287" s="42" t="str">
        <f>IFERROR(__xludf.DUMMYFUNCTION("""COMPUTED_VALUE"""),"BN JUAL BELI")</f>
        <v>BN JUAL BELI</v>
      </c>
      <c r="H5287" s="42">
        <f t="shared" si="1"/>
        <v>2342</v>
      </c>
    </row>
    <row r="5288" ht="22.5" customHeight="1">
      <c r="B5288" s="42" t="str">
        <f>IFERROR(__xludf.DUMMYFUNCTION("""COMPUTED_VALUE"""),"K/26/250625/3")</f>
        <v>K/26/250625/3</v>
      </c>
      <c r="C5288" s="42" t="str">
        <f>IFERROR(__xludf.DUMMYFUNCTION("""COMPUTED_VALUE"""),"NIBEL M. 17556/SEGALA MIDER")</f>
        <v>NIBEL M. 17556/SEGALA MIDER</v>
      </c>
      <c r="D5288" s="42"/>
      <c r="E5288" s="42"/>
      <c r="F5288" s="48" t="str">
        <f>IFERROR(__xludf.DUMMYFUNCTION("""COMPUTED_VALUE"""),"")</f>
        <v/>
      </c>
      <c r="G5288" s="42" t="str">
        <f>IFERROR(__xludf.DUMMYFUNCTION("""COMPUTED_VALUE"""),"BN JUAL BELI")</f>
        <v>BN JUAL BELI</v>
      </c>
      <c r="H5288" s="42">
        <f t="shared" si="1"/>
        <v>2342</v>
      </c>
    </row>
    <row r="5289" ht="22.5" customHeight="1">
      <c r="B5289" s="42" t="str">
        <f>IFERROR(__xludf.DUMMYFUNCTION("""COMPUTED_VALUE"""),"L/28/250625/1")</f>
        <v>L/28/250625/1</v>
      </c>
      <c r="C5289" s="42" t="str">
        <f>IFERROR(__xludf.DUMMYFUNCTION("""COMPUTED_VALUE"""),"HM1393/LABUHAN DALAM")</f>
        <v>HM1393/LABUHAN DALAM</v>
      </c>
      <c r="D5289" s="42" t="str">
        <f>IFERROR(__xludf.DUMMYFUNCTION("""COMPUTED_VALUE"""),"David")</f>
        <v>David</v>
      </c>
      <c r="E5289" s="42" t="str">
        <f>IFERROR(__xludf.DUMMYFUNCTION("""COMPUTED_VALUE"""),"DISERAHKAN")</f>
        <v>DISERAHKAN</v>
      </c>
      <c r="F5289" s="48">
        <f>IFERROR(__xludf.DUMMYFUNCTION("""COMPUTED_VALUE"""),45856.62482481482)</f>
        <v>45856.62482</v>
      </c>
      <c r="G5289" s="42" t="str">
        <f>IFERROR(__xludf.DUMMYFUNCTION("""COMPUTED_VALUE"""),"ROYA")</f>
        <v>ROYA</v>
      </c>
      <c r="H5289" s="42">
        <f t="shared" si="1"/>
        <v>2343</v>
      </c>
    </row>
    <row r="5290" ht="22.5" customHeight="1">
      <c r="B5290" s="42" t="str">
        <f>IFERROR(__xludf.DUMMYFUNCTION("""COMPUTED_VALUE"""),"K/27/250625/4")</f>
        <v>K/27/250625/4</v>
      </c>
      <c r="C5290" s="42" t="str">
        <f>IFERROR(__xludf.DUMMYFUNCTION("""COMPUTED_VALUE"""),"M. 2680/KEMILING PERMAI")</f>
        <v>M. 2680/KEMILING PERMAI</v>
      </c>
      <c r="D5290" s="42" t="str">
        <f>IFERROR(__xludf.DUMMYFUNCTION("""COMPUTED_VALUE"""),"Berry")</f>
        <v>Berry</v>
      </c>
      <c r="E5290" s="42" t="str">
        <f>IFERROR(__xludf.DUMMYFUNCTION("""COMPUTED_VALUE"""),"DISERAHKAN")</f>
        <v>DISERAHKAN</v>
      </c>
      <c r="F5290" s="48">
        <f>IFERROR(__xludf.DUMMYFUNCTION("""COMPUTED_VALUE"""),45856.53339696759)</f>
        <v>45856.5334</v>
      </c>
      <c r="G5290" s="42" t="str">
        <f>IFERROR(__xludf.DUMMYFUNCTION("""COMPUTED_VALUE"""),"BN JUAL BELI")</f>
        <v>BN JUAL BELI</v>
      </c>
      <c r="H5290" s="42">
        <f t="shared" si="1"/>
        <v>2344</v>
      </c>
    </row>
    <row r="5291" ht="22.5" customHeight="1">
      <c r="B5291" s="42" t="str">
        <f>IFERROR(__xludf.DUMMYFUNCTION("""COMPUTED_VALUE"""),"K/29/250625/1")</f>
        <v>K/29/250625/1</v>
      </c>
      <c r="C5291" s="42" t="str">
        <f>IFERROR(__xludf.DUMMYFUNCTION("""COMPUTED_VALUE"""),"M. 1801/ Kali Balau Kencana")</f>
        <v>M. 1801/ Kali Balau Kencana</v>
      </c>
      <c r="D5291" s="42" t="str">
        <f>IFERROR(__xludf.DUMMYFUNCTION("""COMPUTED_VALUE"""),"Berry")</f>
        <v>Berry</v>
      </c>
      <c r="E5291" s="42" t="str">
        <f>IFERROR(__xludf.DUMMYFUNCTION("""COMPUTED_VALUE"""),"DISERAHKAN")</f>
        <v>DISERAHKAN</v>
      </c>
      <c r="F5291" s="48">
        <f>IFERROR(__xludf.DUMMYFUNCTION("""COMPUTED_VALUE"""),45847.491167569446)</f>
        <v>45847.49117</v>
      </c>
      <c r="G5291" s="42" t="str">
        <f>IFERROR(__xludf.DUMMYFUNCTION("""COMPUTED_VALUE"""),"BN WARIS")</f>
        <v>BN WARIS</v>
      </c>
      <c r="H5291" s="42">
        <f t="shared" si="1"/>
        <v>2345</v>
      </c>
    </row>
    <row r="5292" ht="22.5" customHeight="1">
      <c r="B5292" s="42" t="str">
        <f>IFERROR(__xludf.DUMMYFUNCTION("""COMPUTED_VALUE"""),"K/20/250625/2")</f>
        <v>K/20/250625/2</v>
      </c>
      <c r="C5292" s="42" t="str">
        <f>IFERROR(__xludf.DUMMYFUNCTION("""COMPUTED_VALUE"""),"M.7004/TANJUNG SENENG")</f>
        <v>M.7004/TANJUNG SENENG</v>
      </c>
      <c r="D5292" s="42" t="str">
        <f>IFERROR(__xludf.DUMMYFUNCTION("""COMPUTED_VALUE"""),"Berry")</f>
        <v>Berry</v>
      </c>
      <c r="E5292" s="42" t="str">
        <f>IFERROR(__xludf.DUMMYFUNCTION("""COMPUTED_VALUE"""),"DISERAHKAN")</f>
        <v>DISERAHKAN</v>
      </c>
      <c r="F5292" s="48">
        <f>IFERROR(__xludf.DUMMYFUNCTION("""COMPUTED_VALUE"""),45841.50921322917)</f>
        <v>45841.50921</v>
      </c>
      <c r="G5292" s="42" t="str">
        <f>IFERROR(__xludf.DUMMYFUNCTION("""COMPUTED_VALUE"""),"JUAL BELI")</f>
        <v>JUAL BELI</v>
      </c>
      <c r="H5292" s="42">
        <f t="shared" si="1"/>
        <v>2346</v>
      </c>
    </row>
    <row r="5293" ht="22.5" customHeight="1">
      <c r="B5293" s="42" t="str">
        <f>IFERROR(__xludf.DUMMYFUNCTION("""COMPUTED_VALUE"""),"L/30/250625/1")</f>
        <v>L/30/250625/1</v>
      </c>
      <c r="C5293" s="42" t="str">
        <f>IFERROR(__xludf.DUMMYFUNCTION("""COMPUTED_VALUE"""),"HM 3675/BERINGIN RAYA")</f>
        <v>HM 3675/BERINGIN RAYA</v>
      </c>
      <c r="D5293" s="42"/>
      <c r="E5293" s="42"/>
      <c r="F5293" s="48" t="str">
        <f>IFERROR(__xludf.DUMMYFUNCTION("""COMPUTED_VALUE"""),"")</f>
        <v/>
      </c>
      <c r="G5293" s="42" t="str">
        <f>IFERROR(__xludf.DUMMYFUNCTION("""COMPUTED_VALUE"""),"ROYA")</f>
        <v>ROYA</v>
      </c>
      <c r="H5293" s="42">
        <f t="shared" si="1"/>
        <v>2346</v>
      </c>
    </row>
    <row r="5294" ht="22.5" customHeight="1">
      <c r="B5294" s="42" t="str">
        <f>IFERROR(__xludf.DUMMYFUNCTION("""COMPUTED_VALUE"""),"K/32/250625/1")</f>
        <v>K/32/250625/1</v>
      </c>
      <c r="C5294" s="42" t="str">
        <f>IFERROR(__xludf.DUMMYFUNCTION("""COMPUTED_VALUE"""),"M. 962/ Korpri Jaya")</f>
        <v>M. 962/ Korpri Jaya</v>
      </c>
      <c r="D5294" s="42" t="str">
        <f>IFERROR(__xludf.DUMMYFUNCTION("""COMPUTED_VALUE"""),"Berry")</f>
        <v>Berry</v>
      </c>
      <c r="E5294" s="42" t="str">
        <f>IFERROR(__xludf.DUMMYFUNCTION("""COMPUTED_VALUE"""),"DISERAHKAN")</f>
        <v>DISERAHKAN</v>
      </c>
      <c r="F5294" s="48">
        <f>IFERROR(__xludf.DUMMYFUNCTION("""COMPUTED_VALUE"""),45860.65882002315)</f>
        <v>45860.65882</v>
      </c>
      <c r="G5294" s="42" t="str">
        <f>IFERROR(__xludf.DUMMYFUNCTION("""COMPUTED_VALUE"""),"BN Jual Beli")</f>
        <v>BN Jual Beli</v>
      </c>
      <c r="H5294" s="42">
        <f t="shared" si="1"/>
        <v>2347</v>
      </c>
    </row>
    <row r="5295" ht="22.5" customHeight="1">
      <c r="B5295" s="42" t="str">
        <f>IFERROR(__xludf.DUMMYFUNCTION("""COMPUTED_VALUE"""),"K/33/250625/1")</f>
        <v>K/33/250625/1</v>
      </c>
      <c r="C5295" s="42" t="str">
        <f>IFERROR(__xludf.DUMMYFUNCTION("""COMPUTED_VALUE"""),"NIBEL M. 20800/KELAPA TIGA")</f>
        <v>NIBEL M. 20800/KELAPA TIGA</v>
      </c>
      <c r="D5295" s="42"/>
      <c r="E5295" s="42"/>
      <c r="F5295" s="48" t="str">
        <f>IFERROR(__xludf.DUMMYFUNCTION("""COMPUTED_VALUE"""),"")</f>
        <v/>
      </c>
      <c r="G5295" s="42" t="str">
        <f>IFERROR(__xludf.DUMMYFUNCTION("""COMPUTED_VALUE"""),"BN JUAL BELI")</f>
        <v>BN JUAL BELI</v>
      </c>
      <c r="H5295" s="42">
        <f t="shared" si="1"/>
        <v>2347</v>
      </c>
    </row>
    <row r="5296" ht="22.5" customHeight="1">
      <c r="B5296" s="42" t="str">
        <f>IFERROR(__xludf.DUMMYFUNCTION("""COMPUTED_VALUE"""),"K/31/250625/1")</f>
        <v>K/31/250625/1</v>
      </c>
      <c r="C5296" s="42" t="str">
        <f>IFERROR(__xludf.DUMMYFUNCTION("""COMPUTED_VALUE"""),"M.2893/SUKARAME BARU")</f>
        <v>M.2893/SUKARAME BARU</v>
      </c>
      <c r="D5296" s="42" t="str">
        <f>IFERROR(__xludf.DUMMYFUNCTION("""COMPUTED_VALUE"""),"Berry")</f>
        <v>Berry</v>
      </c>
      <c r="E5296" s="42" t="str">
        <f>IFERROR(__xludf.DUMMYFUNCTION("""COMPUTED_VALUE"""),"DISERAHKAN")</f>
        <v>DISERAHKAN</v>
      </c>
      <c r="F5296" s="48">
        <f>IFERROR(__xludf.DUMMYFUNCTION("""COMPUTED_VALUE"""),45894.55789701389)</f>
        <v>45894.5579</v>
      </c>
      <c r="G5296" s="42" t="str">
        <f>IFERROR(__xludf.DUMMYFUNCTION("""COMPUTED_VALUE"""),"JUAL BELI")</f>
        <v>JUAL BELI</v>
      </c>
      <c r="H5296" s="42">
        <f t="shared" si="1"/>
        <v>2348</v>
      </c>
    </row>
    <row r="5297" ht="22.5" customHeight="1">
      <c r="B5297" s="42" t="str">
        <f>IFERROR(__xludf.DUMMYFUNCTION("""COMPUTED_VALUE"""),"K/35/250625/1")</f>
        <v>K/35/250625/1</v>
      </c>
      <c r="C5297" s="42" t="str">
        <f>IFERROR(__xludf.DUMMYFUNCTION("""COMPUTED_VALUE"""),"Nibel 21757/ Sumur Putri")</f>
        <v>Nibel 21757/ Sumur Putri</v>
      </c>
      <c r="D5297" s="42"/>
      <c r="E5297" s="42"/>
      <c r="F5297" s="48" t="str">
        <f>IFERROR(__xludf.DUMMYFUNCTION("""COMPUTED_VALUE"""),"")</f>
        <v/>
      </c>
      <c r="G5297" s="42" t="str">
        <f>IFERROR(__xludf.DUMMYFUNCTION("""COMPUTED_VALUE"""),"PERUBAHAN HAK")</f>
        <v>PERUBAHAN HAK</v>
      </c>
      <c r="H5297" s="42">
        <f t="shared" si="1"/>
        <v>2348</v>
      </c>
    </row>
    <row r="5298" ht="22.5" customHeight="1">
      <c r="B5298" s="42" t="str">
        <f>IFERROR(__xludf.DUMMYFUNCTION("""COMPUTED_VALUE"""),"K/36/250625/2")</f>
        <v>K/36/250625/2</v>
      </c>
      <c r="C5298" s="42" t="str">
        <f>IFERROR(__xludf.DUMMYFUNCTION("""COMPUTED_VALUE"""),"Nibel 18229/ Sukabumi")</f>
        <v>Nibel 18229/ Sukabumi</v>
      </c>
      <c r="D5298" s="42"/>
      <c r="E5298" s="42"/>
      <c r="F5298" s="48" t="str">
        <f>IFERROR(__xludf.DUMMYFUNCTION("""COMPUTED_VALUE"""),"")</f>
        <v/>
      </c>
      <c r="G5298" s="42" t="str">
        <f>IFERROR(__xludf.DUMMYFUNCTION("""COMPUTED_VALUE"""),"BN JUAL BELI")</f>
        <v>BN JUAL BELI</v>
      </c>
      <c r="H5298" s="42">
        <f t="shared" si="1"/>
        <v>2348</v>
      </c>
    </row>
    <row r="5299" ht="22.5" customHeight="1">
      <c r="B5299" s="42" t="str">
        <f>IFERROR(__xludf.DUMMYFUNCTION("""COMPUTED_VALUE"""),"K/38/250625/1")</f>
        <v>K/38/250625/1</v>
      </c>
      <c r="C5299" s="42" t="str">
        <f>IFERROR(__xludf.DUMMYFUNCTION("""COMPUTED_VALUE"""),"M. 12720/ Sukabumi")</f>
        <v>M. 12720/ Sukabumi</v>
      </c>
      <c r="D5299" s="42"/>
      <c r="E5299" s="42"/>
      <c r="F5299" s="48" t="str">
        <f>IFERROR(__xludf.DUMMYFUNCTION("""COMPUTED_VALUE"""),"")</f>
        <v/>
      </c>
      <c r="G5299" s="42" t="str">
        <f>IFERROR(__xludf.DUMMYFUNCTION("""COMPUTED_VALUE"""),"BN JUAL BELI")</f>
        <v>BN JUAL BELI</v>
      </c>
      <c r="H5299" s="42">
        <f t="shared" si="1"/>
        <v>2348</v>
      </c>
    </row>
    <row r="5300" ht="22.5" customHeight="1">
      <c r="B5300" s="42" t="str">
        <f>IFERROR(__xludf.DUMMYFUNCTION("""COMPUTED_VALUE"""),"K/34/250625/2")</f>
        <v>K/34/250625/2</v>
      </c>
      <c r="C5300" s="42" t="str">
        <f>IFERROR(__xludf.DUMMYFUNCTION("""COMPUTED_VALUE"""),"M. 939/PERUMNAS WAY KANDIS")</f>
        <v>M. 939/PERUMNAS WAY KANDIS</v>
      </c>
      <c r="D5300" s="42" t="str">
        <f>IFERROR(__xludf.DUMMYFUNCTION("""COMPUTED_VALUE"""),"Berry")</f>
        <v>Berry</v>
      </c>
      <c r="E5300" s="42" t="str">
        <f>IFERROR(__xludf.DUMMYFUNCTION("""COMPUTED_VALUE"""),"DISERAHKAN")</f>
        <v>DISERAHKAN</v>
      </c>
      <c r="F5300" s="48">
        <f>IFERROR(__xludf.DUMMYFUNCTION("""COMPUTED_VALUE"""),45852.63370396991)</f>
        <v>45852.6337</v>
      </c>
      <c r="G5300" s="42" t="str">
        <f>IFERROR(__xludf.DUMMYFUNCTION("""COMPUTED_VALUE"""),"BN JUAL BELI")</f>
        <v>BN JUAL BELI</v>
      </c>
      <c r="H5300" s="42">
        <f t="shared" si="1"/>
        <v>2349</v>
      </c>
    </row>
    <row r="5301" ht="22.5" customHeight="1">
      <c r="B5301" s="42" t="str">
        <f>IFERROR(__xludf.DUMMYFUNCTION("""COMPUTED_VALUE"""),"K/37/250625/1")</f>
        <v>K/37/250625/1</v>
      </c>
      <c r="C5301" s="42" t="str">
        <f>IFERROR(__xludf.DUMMYFUNCTION("""COMPUTED_VALUE"""),"M.664/CAMPANG JAYA")</f>
        <v>M.664/CAMPANG JAYA</v>
      </c>
      <c r="D5301" s="42" t="str">
        <f>IFERROR(__xludf.DUMMYFUNCTION("""COMPUTED_VALUE"""),"Berry")</f>
        <v>Berry</v>
      </c>
      <c r="E5301" s="42" t="str">
        <f>IFERROR(__xludf.DUMMYFUNCTION("""COMPUTED_VALUE"""),"DISERAHKAN")</f>
        <v>DISERAHKAN</v>
      </c>
      <c r="F5301" s="48">
        <f>IFERROR(__xludf.DUMMYFUNCTION("""COMPUTED_VALUE"""),45856.52753101852)</f>
        <v>45856.52753</v>
      </c>
      <c r="G5301" s="42" t="str">
        <f>IFERROR(__xludf.DUMMYFUNCTION("""COMPUTED_VALUE"""),"JUAL BELI")</f>
        <v>JUAL BELI</v>
      </c>
      <c r="H5301" s="42">
        <f t="shared" si="1"/>
        <v>2350</v>
      </c>
    </row>
    <row r="5302" ht="22.5" customHeight="1">
      <c r="B5302" s="42" t="str">
        <f>IFERROR(__xludf.DUMMYFUNCTION("""COMPUTED_VALUE"""),"K/1/26/6/25/1")</f>
        <v>K/1/26/6/25/1</v>
      </c>
      <c r="C5302" s="42" t="str">
        <f>IFERROR(__xludf.DUMMYFUNCTION("""COMPUTED_VALUE"""),"M.11548/SUKABUMI")</f>
        <v>M.11548/SUKABUMI</v>
      </c>
      <c r="D5302" s="42"/>
      <c r="E5302" s="42"/>
      <c r="F5302" s="48" t="str">
        <f>IFERROR(__xludf.DUMMYFUNCTION("""COMPUTED_VALUE"""),"")</f>
        <v/>
      </c>
      <c r="G5302" s="42" t="str">
        <f>IFERROR(__xludf.DUMMYFUNCTION("""COMPUTED_VALUE"""),"SKPT LELANG")</f>
        <v>SKPT LELANG</v>
      </c>
      <c r="H5302" s="42">
        <f t="shared" si="1"/>
        <v>2350</v>
      </c>
    </row>
    <row r="5303" ht="22.5" customHeight="1">
      <c r="B5303" s="42" t="str">
        <f>IFERROR(__xludf.DUMMYFUNCTION("""COMPUTED_VALUE"""),"K/2/26/6/25/1")</f>
        <v>K/2/26/6/25/1</v>
      </c>
      <c r="C5303" s="42" t="str">
        <f>IFERROR(__xludf.DUMMYFUNCTION("""COMPUTED_VALUE"""),"NIBEL M.19292/KURIPAN")</f>
        <v>NIBEL M.19292/KURIPAN</v>
      </c>
      <c r="D5303" s="42"/>
      <c r="E5303" s="42"/>
      <c r="F5303" s="48" t="str">
        <f>IFERROR(__xludf.DUMMYFUNCTION("""COMPUTED_VALUE"""),"")</f>
        <v/>
      </c>
      <c r="G5303" s="42" t="str">
        <f>IFERROR(__xludf.DUMMYFUNCTION("""COMPUTED_VALUE"""),"JUAL BELI")</f>
        <v>JUAL BELI</v>
      </c>
      <c r="H5303" s="42">
        <f t="shared" si="1"/>
        <v>2350</v>
      </c>
    </row>
    <row r="5304" ht="22.5" customHeight="1">
      <c r="B5304" s="42" t="str">
        <f>IFERROR(__xludf.DUMMYFUNCTION("""COMPUTED_VALUE"""),"K/3/260625/1")</f>
        <v>K/3/260625/1</v>
      </c>
      <c r="C5304" s="42" t="str">
        <f>IFERROR(__xludf.DUMMYFUNCTION("""COMPUTED_VALUE"""),"M. 439/ Kota Karang Raya")</f>
        <v>M. 439/ Kota Karang Raya</v>
      </c>
      <c r="D5304" s="42" t="str">
        <f>IFERROR(__xludf.DUMMYFUNCTION("""COMPUTED_VALUE"""),"Berry")</f>
        <v>Berry</v>
      </c>
      <c r="E5304" s="42" t="str">
        <f>IFERROR(__xludf.DUMMYFUNCTION("""COMPUTED_VALUE"""),"DISERAHKAN")</f>
        <v>DISERAHKAN</v>
      </c>
      <c r="F5304" s="48">
        <f>IFERROR(__xludf.DUMMYFUNCTION("""COMPUTED_VALUE"""),45859.62121758102)</f>
        <v>45859.62122</v>
      </c>
      <c r="G5304" s="42" t="str">
        <f>IFERROR(__xludf.DUMMYFUNCTION("""COMPUTED_VALUE"""),"BN WARIS")</f>
        <v>BN WARIS</v>
      </c>
      <c r="H5304" s="42">
        <f t="shared" si="1"/>
        <v>2351</v>
      </c>
    </row>
    <row r="5305" ht="22.5" customHeight="1">
      <c r="B5305" s="42" t="str">
        <f>IFERROR(__xludf.DUMMYFUNCTION("""COMPUTED_VALUE"""),"K/6/260625/3")</f>
        <v>K/6/260625/3</v>
      </c>
      <c r="C5305" s="42" t="str">
        <f>IFERROR(__xludf.DUMMYFUNCTION("""COMPUTED_VALUE"""),"M. 3472/ Rajabasa Jaya")</f>
        <v>M. 3472/ Rajabasa Jaya</v>
      </c>
      <c r="D5305" s="42"/>
      <c r="E5305" s="42"/>
      <c r="F5305" s="48" t="str">
        <f>IFERROR(__xludf.DUMMYFUNCTION("""COMPUTED_VALUE"""),"")</f>
        <v/>
      </c>
      <c r="G5305" s="42" t="str">
        <f>IFERROR(__xludf.DUMMYFUNCTION("""COMPUTED_VALUE"""),"Hapus BPHTB")</f>
        <v>Hapus BPHTB</v>
      </c>
      <c r="H5305" s="42">
        <f t="shared" si="1"/>
        <v>2351</v>
      </c>
    </row>
    <row r="5306" ht="22.5" customHeight="1">
      <c r="B5306" s="42" t="str">
        <f>IFERROR(__xludf.DUMMYFUNCTION("""COMPUTED_VALUE"""),"K/4/260625/1")</f>
        <v>K/4/260625/1</v>
      </c>
      <c r="C5306" s="42" t="str">
        <f>IFERROR(__xludf.DUMMYFUNCTION("""COMPUTED_VALUE"""),"M. 3475/ Rajabasa Jaya")</f>
        <v>M. 3475/ Rajabasa Jaya</v>
      </c>
      <c r="D5306" s="42"/>
      <c r="E5306" s="42"/>
      <c r="F5306" s="48" t="str">
        <f>IFERROR(__xludf.DUMMYFUNCTION("""COMPUTED_VALUE"""),"")</f>
        <v/>
      </c>
      <c r="G5306" s="42" t="str">
        <f>IFERROR(__xludf.DUMMYFUNCTION("""COMPUTED_VALUE"""),"Hapus BHTB")</f>
        <v>Hapus BHTB</v>
      </c>
      <c r="H5306" s="42">
        <f t="shared" si="1"/>
        <v>2351</v>
      </c>
    </row>
    <row r="5307" ht="22.5" customHeight="1">
      <c r="B5307" s="42" t="str">
        <f>IFERROR(__xludf.DUMMYFUNCTION("""COMPUTED_VALUE"""),"K/5/260625/2")</f>
        <v>K/5/260625/2</v>
      </c>
      <c r="C5307" s="42" t="str">
        <f>IFERROR(__xludf.DUMMYFUNCTION("""COMPUTED_VALUE"""),"M. 3474/ Rajabasa Jaya")</f>
        <v>M. 3474/ Rajabasa Jaya</v>
      </c>
      <c r="D5307" s="42"/>
      <c r="E5307" s="42"/>
      <c r="F5307" s="48" t="str">
        <f>IFERROR(__xludf.DUMMYFUNCTION("""COMPUTED_VALUE"""),"")</f>
        <v/>
      </c>
      <c r="G5307" s="42" t="str">
        <f>IFERROR(__xludf.DUMMYFUNCTION("""COMPUTED_VALUE"""),"Hapus BPHTB")</f>
        <v>Hapus BPHTB</v>
      </c>
      <c r="H5307" s="42">
        <f t="shared" si="1"/>
        <v>2351</v>
      </c>
    </row>
    <row r="5308" ht="22.5" customHeight="1">
      <c r="B5308" s="42" t="str">
        <f>IFERROR(__xludf.DUMMYFUNCTION("""COMPUTED_VALUE"""),"K/7/260625/1")</f>
        <v>K/7/260625/1</v>
      </c>
      <c r="C5308" s="42" t="str">
        <f>IFERROR(__xludf.DUMMYFUNCTION("""COMPUTED_VALUE"""),"Nibel 21751/ Nusantara Permai")</f>
        <v>Nibel 21751/ Nusantara Permai</v>
      </c>
      <c r="D5308" s="42"/>
      <c r="E5308" s="42"/>
      <c r="F5308" s="48" t="str">
        <f>IFERROR(__xludf.DUMMYFUNCTION("""COMPUTED_VALUE"""),"")</f>
        <v/>
      </c>
      <c r="G5308" s="42" t="str">
        <f>IFERROR(__xludf.DUMMYFUNCTION("""COMPUTED_VALUE"""),"PERUBAHAN HAK")</f>
        <v>PERUBAHAN HAK</v>
      </c>
      <c r="H5308" s="42">
        <f t="shared" si="1"/>
        <v>2351</v>
      </c>
    </row>
    <row r="5309" ht="22.5" customHeight="1">
      <c r="B5309" s="42" t="str">
        <f>IFERROR(__xludf.DUMMYFUNCTION("""COMPUTED_VALUE"""),"K/9/260625/1")</f>
        <v>K/9/260625/1</v>
      </c>
      <c r="C5309" s="42" t="str">
        <f>IFERROR(__xludf.DUMMYFUNCTION("""COMPUTED_VALUE"""),"NIBEL B 21624/SUKARAME ")</f>
        <v>NIBEL B 21624/SUKARAME </v>
      </c>
      <c r="D5309" s="42"/>
      <c r="E5309" s="42"/>
      <c r="F5309" s="48" t="str">
        <f>IFERROR(__xludf.DUMMYFUNCTION("""COMPUTED_VALUE"""),"")</f>
        <v/>
      </c>
      <c r="G5309" s="42" t="str">
        <f>IFERROR(__xludf.DUMMYFUNCTION("""COMPUTED_VALUE"""),"PENINGKATAN ")</f>
        <v>PENINGKATAN </v>
      </c>
      <c r="H5309" s="42">
        <f t="shared" si="1"/>
        <v>2351</v>
      </c>
    </row>
    <row r="5310" ht="22.5" customHeight="1">
      <c r="B5310" s="42" t="str">
        <f>IFERROR(__xludf.DUMMYFUNCTION("""COMPUTED_VALUE"""),"K/8/260625/1")</f>
        <v>K/8/260625/1</v>
      </c>
      <c r="C5310" s="42" t="str">
        <f>IFERROR(__xludf.DUMMYFUNCTION("""COMPUTED_VALUE"""),"M. 12938/JAGABAYA II")</f>
        <v>M. 12938/JAGABAYA II</v>
      </c>
      <c r="D5310" s="42" t="str">
        <f>IFERROR(__xludf.DUMMYFUNCTION("""COMPUTED_VALUE"""),"Berry")</f>
        <v>Berry</v>
      </c>
      <c r="E5310" s="42" t="str">
        <f>IFERROR(__xludf.DUMMYFUNCTION("""COMPUTED_VALUE"""),"DISERAHKAN")</f>
        <v>DISERAHKAN</v>
      </c>
      <c r="F5310" s="48">
        <f>IFERROR(__xludf.DUMMYFUNCTION("""COMPUTED_VALUE"""),45860.66172444445)</f>
        <v>45860.66172</v>
      </c>
      <c r="G5310" s="42" t="str">
        <f>IFERROR(__xludf.DUMMYFUNCTION("""COMPUTED_VALUE"""),"BN WARIS")</f>
        <v>BN WARIS</v>
      </c>
      <c r="H5310" s="42">
        <f t="shared" si="1"/>
        <v>2352</v>
      </c>
    </row>
    <row r="5311" ht="22.5" customHeight="1">
      <c r="B5311" s="42" t="str">
        <f>IFERROR(__xludf.DUMMYFUNCTION("""COMPUTED_VALUE"""),"L/12/260625/1")</f>
        <v>L/12/260625/1</v>
      </c>
      <c r="C5311" s="42" t="str">
        <f>IFERROR(__xludf.DUMMYFUNCTION("""COMPUTED_VALUE"""),"HM 556/SAWAH LAMA")</f>
        <v>HM 556/SAWAH LAMA</v>
      </c>
      <c r="D5311" s="42" t="str">
        <f>IFERROR(__xludf.DUMMYFUNCTION("""COMPUTED_VALUE"""),"David")</f>
        <v>David</v>
      </c>
      <c r="E5311" s="42" t="str">
        <f>IFERROR(__xludf.DUMMYFUNCTION("""COMPUTED_VALUE"""),"DISERAHKAN")</f>
        <v>DISERAHKAN</v>
      </c>
      <c r="F5311" s="48">
        <f>IFERROR(__xludf.DUMMYFUNCTION("""COMPUTED_VALUE"""),45856.62854046296)</f>
        <v>45856.62854</v>
      </c>
      <c r="G5311" s="42" t="str">
        <f>IFERROR(__xludf.DUMMYFUNCTION("""COMPUTED_VALUE"""),"ROYA")</f>
        <v>ROYA</v>
      </c>
      <c r="H5311" s="42">
        <f t="shared" si="1"/>
        <v>2353</v>
      </c>
    </row>
    <row r="5312" ht="22.5" customHeight="1">
      <c r="B5312" s="42" t="str">
        <f>IFERROR(__xludf.DUMMYFUNCTION("""COMPUTED_VALUE"""),"K/11/260625/1")</f>
        <v>K/11/260625/1</v>
      </c>
      <c r="C5312" s="42" t="str">
        <f>IFERROR(__xludf.DUMMYFUNCTION("""COMPUTED_VALUE"""),"M. 956/ Pengajaran")</f>
        <v>M. 956/ Pengajaran</v>
      </c>
      <c r="D5312" s="42"/>
      <c r="E5312" s="42"/>
      <c r="F5312" s="48" t="str">
        <f>IFERROR(__xludf.DUMMYFUNCTION("""COMPUTED_VALUE"""),"")</f>
        <v/>
      </c>
      <c r="G5312" s="42" t="str">
        <f>IFERROR(__xludf.DUMMYFUNCTION("""COMPUTED_VALUE"""),"BN WARIS")</f>
        <v>BN WARIS</v>
      </c>
      <c r="H5312" s="42">
        <f t="shared" si="1"/>
        <v>2353</v>
      </c>
    </row>
    <row r="5313" ht="22.5" customHeight="1">
      <c r="B5313" s="42" t="str">
        <f>IFERROR(__xludf.DUMMYFUNCTION("""COMPUTED_VALUE"""),"L/13/260625/1")</f>
        <v>L/13/260625/1</v>
      </c>
      <c r="C5313" s="42" t="str">
        <f>IFERROR(__xludf.DUMMYFUNCTION("""COMPUTED_VALUE"""),"HM 645/KEMILING RAYA")</f>
        <v>HM 645/KEMILING RAYA</v>
      </c>
      <c r="D5313" s="42"/>
      <c r="E5313" s="42"/>
      <c r="F5313" s="48" t="str">
        <f>IFERROR(__xludf.DUMMYFUNCTION("""COMPUTED_VALUE"""),"")</f>
        <v/>
      </c>
      <c r="G5313" s="42" t="str">
        <f>IFERROR(__xludf.DUMMYFUNCTION("""COMPUTED_VALUE"""),"SKPT INFORMASI")</f>
        <v>SKPT INFORMASI</v>
      </c>
      <c r="H5313" s="42">
        <f t="shared" si="1"/>
        <v>2353</v>
      </c>
    </row>
    <row r="5314" ht="22.5" customHeight="1">
      <c r="B5314" s="42" t="str">
        <f>IFERROR(__xludf.DUMMYFUNCTION("""COMPUTED_VALUE"""),"L/14/260625/1")</f>
        <v>L/14/260625/1</v>
      </c>
      <c r="C5314" s="42" t="str">
        <f>IFERROR(__xludf.DUMMYFUNCTION("""COMPUTED_VALUE"""),"HM 66/SEPANG JAYA")</f>
        <v>HM 66/SEPANG JAYA</v>
      </c>
      <c r="D5314" s="42" t="str">
        <f>IFERROR(__xludf.DUMMYFUNCTION("""COMPUTED_VALUE"""),"David")</f>
        <v>David</v>
      </c>
      <c r="E5314" s="42" t="str">
        <f>IFERROR(__xludf.DUMMYFUNCTION("""COMPUTED_VALUE"""),"DISERAHKAN")</f>
        <v>DISERAHKAN</v>
      </c>
      <c r="F5314" s="48">
        <f>IFERROR(__xludf.DUMMYFUNCTION("""COMPUTED_VALUE"""),45912.52419186343)</f>
        <v>45912.52419</v>
      </c>
      <c r="G5314" s="42" t="str">
        <f>IFERROR(__xludf.DUMMYFUNCTION("""COMPUTED_VALUE"""),"ROYA")</f>
        <v>ROYA</v>
      </c>
      <c r="H5314" s="42">
        <f t="shared" si="1"/>
        <v>2354</v>
      </c>
    </row>
    <row r="5315" ht="22.5" customHeight="1">
      <c r="B5315" s="42" t="str">
        <f>IFERROR(__xludf.DUMMYFUNCTION("""COMPUTED_VALUE"""),"L/15/260625/1")</f>
        <v>L/15/260625/1</v>
      </c>
      <c r="C5315" s="42" t="str">
        <f>IFERROR(__xludf.DUMMYFUNCTION("""COMPUTED_VALUE"""),"NIB 22407/TANJUNG SENANG")</f>
        <v>NIB 22407/TANJUNG SENANG</v>
      </c>
      <c r="D5315" s="42"/>
      <c r="E5315" s="42"/>
      <c r="F5315" s="48" t="str">
        <f>IFERROR(__xludf.DUMMYFUNCTION("""COMPUTED_VALUE"""),"")</f>
        <v/>
      </c>
      <c r="G5315" s="42" t="str">
        <f>IFERROR(__xludf.DUMMYFUNCTION("""COMPUTED_VALUE"""),"BN LELANG")</f>
        <v>BN LELANG</v>
      </c>
      <c r="H5315" s="42">
        <f t="shared" si="1"/>
        <v>2354</v>
      </c>
    </row>
    <row r="5316" ht="22.5" customHeight="1">
      <c r="B5316" s="42" t="str">
        <f>IFERROR(__xludf.DUMMYFUNCTION("""COMPUTED_VALUE"""),"L/19/260625/1")</f>
        <v>L/19/260625/1</v>
      </c>
      <c r="C5316" s="42" t="str">
        <f>IFERROR(__xludf.DUMMYFUNCTION("""COMPUTED_VALUE"""),"HM 2277,2171.2215/SUKAJAWA")</f>
        <v>HM 2277,2171.2215/SUKAJAWA</v>
      </c>
      <c r="D5316" s="42" t="str">
        <f>IFERROR(__xludf.DUMMYFUNCTION("""COMPUTED_VALUE"""),"Berry")</f>
        <v>Berry</v>
      </c>
      <c r="E5316" s="42" t="str">
        <f>IFERROR(__xludf.DUMMYFUNCTION("""COMPUTED_VALUE"""),"DISERAHKAN")</f>
        <v>DISERAHKAN</v>
      </c>
      <c r="F5316" s="48">
        <f>IFERROR(__xludf.DUMMYFUNCTION("""COMPUTED_VALUE"""),45867.50891690972)</f>
        <v>45867.50892</v>
      </c>
      <c r="G5316" s="42" t="str">
        <f>IFERROR(__xludf.DUMMYFUNCTION("""COMPUTED_VALUE"""),"ROYA")</f>
        <v>ROYA</v>
      </c>
      <c r="H5316" s="42">
        <f t="shared" si="1"/>
        <v>2355</v>
      </c>
    </row>
    <row r="5317" ht="22.5" customHeight="1">
      <c r="B5317" s="42" t="str">
        <f>IFERROR(__xludf.DUMMYFUNCTION("""COMPUTED_VALUE"""),"K/16/260625/1")</f>
        <v>K/16/260625/1</v>
      </c>
      <c r="C5317" s="42" t="str">
        <f>IFERROR(__xludf.DUMMYFUNCTION("""COMPUTED_VALUE"""),"Nibel. M. 18974/ Sidodadi")</f>
        <v>Nibel. M. 18974/ Sidodadi</v>
      </c>
      <c r="D5317" s="42"/>
      <c r="E5317" s="42"/>
      <c r="F5317" s="48" t="str">
        <f>IFERROR(__xludf.DUMMYFUNCTION("""COMPUTED_VALUE"""),"")</f>
        <v/>
      </c>
      <c r="G5317" s="42" t="str">
        <f>IFERROR(__xludf.DUMMYFUNCTION("""COMPUTED_VALUE"""),"BN Jua Beli")</f>
        <v>BN Jua Beli</v>
      </c>
      <c r="H5317" s="42">
        <f t="shared" si="1"/>
        <v>2355</v>
      </c>
    </row>
    <row r="5318" ht="22.5" customHeight="1">
      <c r="B5318" s="42" t="str">
        <f>IFERROR(__xludf.DUMMYFUNCTION("""COMPUTED_VALUE"""),"K/18/260625/2")</f>
        <v>K/18/260625/2</v>
      </c>
      <c r="C5318" s="42" t="str">
        <f>IFERROR(__xludf.DUMMYFUNCTION("""COMPUTED_VALUE"""),"M. 10146/ Gedong Meneng")</f>
        <v>M. 10146/ Gedong Meneng</v>
      </c>
      <c r="D5318" s="42" t="str">
        <f>IFERROR(__xludf.DUMMYFUNCTION("""COMPUTED_VALUE"""),"David")</f>
        <v>David</v>
      </c>
      <c r="E5318" s="42" t="str">
        <f>IFERROR(__xludf.DUMMYFUNCTION("""COMPUTED_VALUE"""),"DISERAHKAN")</f>
        <v>DISERAHKAN</v>
      </c>
      <c r="F5318" s="48">
        <f>IFERROR(__xludf.DUMMYFUNCTION("""COMPUTED_VALUE"""),45876.64331436343)</f>
        <v>45876.64331</v>
      </c>
      <c r="G5318" s="42" t="str">
        <f>IFERROR(__xludf.DUMMYFUNCTION("""COMPUTED_VALUE"""),"Roya")</f>
        <v>Roya</v>
      </c>
      <c r="H5318" s="42">
        <f t="shared" si="1"/>
        <v>2356</v>
      </c>
    </row>
    <row r="5319" ht="22.5" customHeight="1">
      <c r="B5319" s="42" t="str">
        <f>IFERROR(__xludf.DUMMYFUNCTION("""COMPUTED_VALUE"""),"L/21/260625/1")</f>
        <v>L/21/260625/1</v>
      </c>
      <c r="C5319" s="42" t="str">
        <f>IFERROR(__xludf.DUMMYFUNCTION("""COMPUTED_VALUE"""),"HGB 208/CAMPANG RAYA")</f>
        <v>HGB 208/CAMPANG RAYA</v>
      </c>
      <c r="D5319" s="42" t="str">
        <f>IFERROR(__xludf.DUMMYFUNCTION("""COMPUTED_VALUE"""),"Berry")</f>
        <v>Berry</v>
      </c>
      <c r="E5319" s="42" t="str">
        <f>IFERROR(__xludf.DUMMYFUNCTION("""COMPUTED_VALUE"""),"DISERAHKAN")</f>
        <v>DISERAHKAN</v>
      </c>
      <c r="F5319" s="48">
        <f>IFERROR(__xludf.DUMMYFUNCTION("""COMPUTED_VALUE"""),45852.64011846065)</f>
        <v>45852.64012</v>
      </c>
      <c r="G5319" s="42" t="str">
        <f>IFERROR(__xludf.DUMMYFUNCTION("""COMPUTED_VALUE"""),"PH")</f>
        <v>PH</v>
      </c>
      <c r="H5319" s="42">
        <f t="shared" si="1"/>
        <v>2357</v>
      </c>
    </row>
    <row r="5320" ht="22.5" customHeight="1">
      <c r="B5320" s="42" t="str">
        <f>IFERROR(__xludf.DUMMYFUNCTION("""COMPUTED_VALUE"""),"L/22/260625/1")</f>
        <v>L/22/260625/1</v>
      </c>
      <c r="C5320" s="42" t="str">
        <f>IFERROR(__xludf.DUMMYFUNCTION("""COMPUTED_VALUE"""),"HM 11762/KEDATON")</f>
        <v>HM 11762/KEDATON</v>
      </c>
      <c r="D5320" s="42"/>
      <c r="E5320" s="42"/>
      <c r="F5320" s="48" t="str">
        <f>IFERROR(__xludf.DUMMYFUNCTION("""COMPUTED_VALUE"""),"")</f>
        <v/>
      </c>
      <c r="G5320" s="42" t="str">
        <f>IFERROR(__xludf.DUMMYFUNCTION("""COMPUTED_VALUE"""),"SERTIPIKAT HILANG")</f>
        <v>SERTIPIKAT HILANG</v>
      </c>
      <c r="H5320" s="42">
        <f t="shared" si="1"/>
        <v>2357</v>
      </c>
    </row>
    <row r="5321" ht="22.5" customHeight="1">
      <c r="B5321" s="42" t="str">
        <f>IFERROR(__xludf.DUMMYFUNCTION("""COMPUTED_VALUE"""),"K/23/260625/1")</f>
        <v>K/23/260625/1</v>
      </c>
      <c r="C5321" s="42" t="str">
        <f>IFERROR(__xludf.DUMMYFUNCTION("""COMPUTED_VALUE"""),"M. 2851/ Sukarame Baru")</f>
        <v>M. 2851/ Sukarame Baru</v>
      </c>
      <c r="D5321" s="42" t="str">
        <f>IFERROR(__xludf.DUMMYFUNCTION("""COMPUTED_VALUE"""),"Berry")</f>
        <v>Berry</v>
      </c>
      <c r="E5321" s="42" t="str">
        <f>IFERROR(__xludf.DUMMYFUNCTION("""COMPUTED_VALUE"""),"DISERAHKAN")</f>
        <v>DISERAHKAN</v>
      </c>
      <c r="F5321" s="48">
        <f>IFERROR(__xludf.DUMMYFUNCTION("""COMPUTED_VALUE"""),45852.626777812504)</f>
        <v>45852.62678</v>
      </c>
      <c r="G5321" s="42" t="str">
        <f>IFERROR(__xludf.DUMMYFUNCTION("""COMPUTED_VALUE"""),"BN JUAL BELI")</f>
        <v>BN JUAL BELI</v>
      </c>
      <c r="H5321" s="42">
        <f t="shared" si="1"/>
        <v>2358</v>
      </c>
    </row>
    <row r="5322" ht="22.5" customHeight="1">
      <c r="B5322" s="42" t="str">
        <f>IFERROR(__xludf.DUMMYFUNCTION("""COMPUTED_VALUE"""),"K/17/260625/1")</f>
        <v>K/17/260625/1</v>
      </c>
      <c r="C5322" s="42" t="str">
        <f>IFERROR(__xludf.DUMMYFUNCTION("""COMPUTED_VALUE"""),"M. 675/ Jagabaya III")</f>
        <v>M. 675/ Jagabaya III</v>
      </c>
      <c r="D5322" s="42" t="str">
        <f>IFERROR(__xludf.DUMMYFUNCTION("""COMPUTED_VALUE"""),"Berry")</f>
        <v>Berry</v>
      </c>
      <c r="E5322" s="42" t="str">
        <f>IFERROR(__xludf.DUMMYFUNCTION("""COMPUTED_VALUE"""),"DISERAHKAN")</f>
        <v>DISERAHKAN</v>
      </c>
      <c r="F5322" s="48">
        <f>IFERROR(__xludf.DUMMYFUNCTION("""COMPUTED_VALUE"""),45890.66917328704)</f>
        <v>45890.66917</v>
      </c>
      <c r="G5322" s="42" t="str">
        <f>IFERROR(__xludf.DUMMYFUNCTION("""COMPUTED_VALUE"""),"BN Waris")</f>
        <v>BN Waris</v>
      </c>
      <c r="H5322" s="42">
        <f t="shared" si="1"/>
        <v>2359</v>
      </c>
    </row>
    <row r="5323" ht="22.5" customHeight="1">
      <c r="B5323" s="42" t="str">
        <f>IFERROR(__xludf.DUMMYFUNCTION("""COMPUTED_VALUE"""),"K/24/260625/2")</f>
        <v>K/24/260625/2</v>
      </c>
      <c r="C5323" s="42" t="str">
        <f>IFERROR(__xludf.DUMMYFUNCTION("""COMPUTED_VALUE"""),"Nibel 21866/ Tanjung Senang")</f>
        <v>Nibel 21866/ Tanjung Senang</v>
      </c>
      <c r="D5323" s="42"/>
      <c r="E5323" s="42"/>
      <c r="F5323" s="48" t="str">
        <f>IFERROR(__xludf.DUMMYFUNCTION("""COMPUTED_VALUE"""),"")</f>
        <v/>
      </c>
      <c r="G5323" s="42" t="str">
        <f>IFERROR(__xludf.DUMMYFUNCTION("""COMPUTED_VALUE"""),"BN JUAL BELI")</f>
        <v>BN JUAL BELI</v>
      </c>
      <c r="H5323" s="42">
        <f t="shared" si="1"/>
        <v>2359</v>
      </c>
    </row>
    <row r="5324" ht="22.5" customHeight="1">
      <c r="B5324" s="42" t="str">
        <f>IFERROR(__xludf.DUMMYFUNCTION("""COMPUTED_VALUE"""),"K/25/260625/1")</f>
        <v>K/25/260625/1</v>
      </c>
      <c r="C5324" s="42" t="str">
        <f>IFERROR(__xludf.DUMMYFUNCTION("""COMPUTED_VALUE"""),"NIBEL M.20777/SUKAMAJU")</f>
        <v>NIBEL M.20777/SUKAMAJU</v>
      </c>
      <c r="D5324" s="42"/>
      <c r="E5324" s="42"/>
      <c r="F5324" s="48" t="str">
        <f>IFERROR(__xludf.DUMMYFUNCTION("""COMPUTED_VALUE"""),"")</f>
        <v/>
      </c>
      <c r="G5324" s="42" t="str">
        <f>IFERROR(__xludf.DUMMYFUNCTION("""COMPUTED_VALUE"""),"JUAL BELI")</f>
        <v>JUAL BELI</v>
      </c>
      <c r="H5324" s="42">
        <f t="shared" si="1"/>
        <v>2359</v>
      </c>
    </row>
    <row r="5325" ht="22.5" customHeight="1">
      <c r="B5325" s="42" t="str">
        <f>IFERROR(__xludf.DUMMYFUNCTION("""COMPUTED_VALUE"""),"K/26/260625/2")</f>
        <v>K/26/260625/2</v>
      </c>
      <c r="C5325" s="42" t="str">
        <f>IFERROR(__xludf.DUMMYFUNCTION("""COMPUTED_VALUE"""),"M.5746/TANJUNG SENENG")</f>
        <v>M.5746/TANJUNG SENENG</v>
      </c>
      <c r="D5325" s="42" t="str">
        <f>IFERROR(__xludf.DUMMYFUNCTION("""COMPUTED_VALUE"""),"Berry")</f>
        <v>Berry</v>
      </c>
      <c r="E5325" s="42" t="str">
        <f>IFERROR(__xludf.DUMMYFUNCTION("""COMPUTED_VALUE"""),"DISERAHKAN")</f>
        <v>DISERAHKAN</v>
      </c>
      <c r="F5325" s="48">
        <f>IFERROR(__xludf.DUMMYFUNCTION("""COMPUTED_VALUE"""),45856.52630199074)</f>
        <v>45856.5263</v>
      </c>
      <c r="G5325" s="42" t="str">
        <f>IFERROR(__xludf.DUMMYFUNCTION("""COMPUTED_VALUE"""),"JUAL BELI")</f>
        <v>JUAL BELI</v>
      </c>
      <c r="H5325" s="42">
        <f t="shared" si="1"/>
        <v>2360</v>
      </c>
    </row>
    <row r="5326" ht="22.5" customHeight="1">
      <c r="B5326" s="42" t="str">
        <f>IFERROR(__xludf.DUMMYFUNCTION("""COMPUTED_VALUE"""),"L/27/260625/1")</f>
        <v>L/27/260625/1</v>
      </c>
      <c r="C5326" s="42" t="str">
        <f>IFERROR(__xludf.DUMMYFUNCTION("""COMPUTED_VALUE"""),"HM 2982/SUKARAME II")</f>
        <v>HM 2982/SUKARAME II</v>
      </c>
      <c r="D5326" s="42"/>
      <c r="E5326" s="42"/>
      <c r="F5326" s="48" t="str">
        <f>IFERROR(__xludf.DUMMYFUNCTION("""COMPUTED_VALUE"""),"")</f>
        <v/>
      </c>
      <c r="G5326" s="42" t="str">
        <f>IFERROR(__xludf.DUMMYFUNCTION("""COMPUTED_VALUE"""),"PEMECAHAN")</f>
        <v>PEMECAHAN</v>
      </c>
      <c r="H5326" s="42">
        <f t="shared" si="1"/>
        <v>2360</v>
      </c>
    </row>
    <row r="5327" ht="22.5" customHeight="1">
      <c r="B5327" s="42" t="str">
        <f>IFERROR(__xludf.DUMMYFUNCTION("""COMPUTED_VALUE"""),"K/20/260625/1")</f>
        <v>K/20/260625/1</v>
      </c>
      <c r="C5327" s="42" t="str">
        <f>IFERROR(__xludf.DUMMYFUNCTION("""COMPUTED_VALUE"""),"Nibel 18330/Langkapura")</f>
        <v>Nibel 18330/Langkapura</v>
      </c>
      <c r="D5327" s="42"/>
      <c r="E5327" s="42"/>
      <c r="F5327" s="48" t="str">
        <f>IFERROR(__xludf.DUMMYFUNCTION("""COMPUTED_VALUE"""),"")</f>
        <v/>
      </c>
      <c r="G5327" s="42" t="str">
        <f>IFERROR(__xludf.DUMMYFUNCTION("""COMPUTED_VALUE"""),"BN JUAL BELI")</f>
        <v>BN JUAL BELI</v>
      </c>
      <c r="H5327" s="42">
        <f t="shared" si="1"/>
        <v>2360</v>
      </c>
    </row>
    <row r="5328" ht="22.5" customHeight="1">
      <c r="B5328" s="42" t="str">
        <f>IFERROR(__xludf.DUMMYFUNCTION("""COMPUTED_VALUE"""),"K/28/260625/1")</f>
        <v>K/28/260625/1</v>
      </c>
      <c r="C5328" s="42" t="str">
        <f>IFERROR(__xludf.DUMMYFUNCTION("""COMPUTED_VALUE"""),"Nibel. M. 20889/ Kota Baru")</f>
        <v>Nibel. M. 20889/ Kota Baru</v>
      </c>
      <c r="D5328" s="42"/>
      <c r="E5328" s="42"/>
      <c r="F5328" s="48" t="str">
        <f>IFERROR(__xludf.DUMMYFUNCTION("""COMPUTED_VALUE"""),"")</f>
        <v/>
      </c>
      <c r="G5328" s="42" t="str">
        <f>IFERROR(__xludf.DUMMYFUNCTION("""COMPUTED_VALUE"""),"BN PHB")</f>
        <v>BN PHB</v>
      </c>
      <c r="H5328" s="42">
        <f t="shared" si="1"/>
        <v>2360</v>
      </c>
    </row>
    <row r="5329" ht="22.5" customHeight="1">
      <c r="B5329" s="42" t="str">
        <f>IFERROR(__xludf.DUMMYFUNCTION("""COMPUTED_VALUE"""),"K/10/260625/1")</f>
        <v>K/10/260625/1</v>
      </c>
      <c r="C5329" s="42" t="str">
        <f>IFERROR(__xludf.DUMMYFUNCTION("""COMPUTED_VALUE"""),"NIBEL M. 2890/WAY KANDIS")</f>
        <v>NIBEL M. 2890/WAY KANDIS</v>
      </c>
      <c r="D5329" s="42"/>
      <c r="E5329" s="42"/>
      <c r="F5329" s="48" t="str">
        <f>IFERROR(__xludf.DUMMYFUNCTION("""COMPUTED_VALUE"""),"")</f>
        <v/>
      </c>
      <c r="G5329" s="42" t="str">
        <f>IFERROR(__xludf.DUMMYFUNCTION("""COMPUTED_VALUE"""),"BN JUAL BELI")</f>
        <v>BN JUAL BELI</v>
      </c>
      <c r="H5329" s="42">
        <f t="shared" si="1"/>
        <v>2360</v>
      </c>
    </row>
    <row r="5330" ht="22.5" customHeight="1">
      <c r="B5330" s="42" t="str">
        <f>IFERROR(__xludf.DUMMYFUNCTION("""COMPUTED_VALUE"""),"L/31/260625/1")</f>
        <v>L/31/260625/1</v>
      </c>
      <c r="C5330" s="42" t="str">
        <f>IFERROR(__xludf.DUMMYFUNCTION("""COMPUTED_VALUE"""),"HGB 905/SUKARAME BARU")</f>
        <v>HGB 905/SUKARAME BARU</v>
      </c>
      <c r="D5330" s="42" t="str">
        <f>IFERROR(__xludf.DUMMYFUNCTION("""COMPUTED_VALUE"""),"Berry")</f>
        <v>Berry</v>
      </c>
      <c r="E5330" s="42" t="str">
        <f>IFERROR(__xludf.DUMMYFUNCTION("""COMPUTED_VALUE"""),"DISERAHKAN")</f>
        <v>DISERAHKAN</v>
      </c>
      <c r="F5330" s="48">
        <f>IFERROR(__xludf.DUMMYFUNCTION("""COMPUTED_VALUE"""),45852.64032201389)</f>
        <v>45852.64032</v>
      </c>
      <c r="G5330" s="42" t="str">
        <f>IFERROR(__xludf.DUMMYFUNCTION("""COMPUTED_VALUE"""),"PH")</f>
        <v>PH</v>
      </c>
      <c r="H5330" s="42">
        <f t="shared" si="1"/>
        <v>2361</v>
      </c>
    </row>
    <row r="5331" ht="22.5" customHeight="1">
      <c r="B5331" s="42" t="str">
        <f>IFERROR(__xludf.DUMMYFUNCTION("""COMPUTED_VALUE"""),"K/30/260625/1")</f>
        <v>K/30/260625/1</v>
      </c>
      <c r="C5331" s="42" t="str">
        <f>IFERROR(__xludf.DUMMYFUNCTION("""COMPUTED_VALUE"""),"M. 5046/RAJABASA JAYA")</f>
        <v>M. 5046/RAJABASA JAYA</v>
      </c>
      <c r="D5331" s="42" t="str">
        <f>IFERROR(__xludf.DUMMYFUNCTION("""COMPUTED_VALUE"""),"Berry")</f>
        <v>Berry</v>
      </c>
      <c r="E5331" s="42" t="str">
        <f>IFERROR(__xludf.DUMMYFUNCTION("""COMPUTED_VALUE"""),"DISERAHKAN")</f>
        <v>DISERAHKAN</v>
      </c>
      <c r="F5331" s="48">
        <f>IFERROR(__xludf.DUMMYFUNCTION("""COMPUTED_VALUE"""),45847.49323739583)</f>
        <v>45847.49324</v>
      </c>
      <c r="G5331" s="42" t="str">
        <f>IFERROR(__xludf.DUMMYFUNCTION("""COMPUTED_VALUE"""),"BN JUAL BELI")</f>
        <v>BN JUAL BELI</v>
      </c>
      <c r="H5331" s="42">
        <f t="shared" si="1"/>
        <v>2362</v>
      </c>
    </row>
    <row r="5332" ht="22.5" customHeight="1">
      <c r="B5332" s="42" t="str">
        <f>IFERROR(__xludf.DUMMYFUNCTION("""COMPUTED_VALUE"""),"L/32/260625/1")</f>
        <v>L/32/260625/1</v>
      </c>
      <c r="C5332" s="42" t="str">
        <f>IFERROR(__xludf.DUMMYFUNCTION("""COMPUTED_VALUE"""),"HGB 197/CAMPANG RAYA")</f>
        <v>HGB 197/CAMPANG RAYA</v>
      </c>
      <c r="D5332" s="42" t="str">
        <f>IFERROR(__xludf.DUMMYFUNCTION("""COMPUTED_VALUE"""),"Berry")</f>
        <v>Berry</v>
      </c>
      <c r="E5332" s="42" t="str">
        <f>IFERROR(__xludf.DUMMYFUNCTION("""COMPUTED_VALUE"""),"DISERAHKAN")</f>
        <v>DISERAHKAN</v>
      </c>
      <c r="F5332" s="48">
        <f>IFERROR(__xludf.DUMMYFUNCTION("""COMPUTED_VALUE"""),45852.63779253472)</f>
        <v>45852.63779</v>
      </c>
      <c r="G5332" s="42" t="str">
        <f>IFERROR(__xludf.DUMMYFUNCTION("""COMPUTED_VALUE"""),"PH")</f>
        <v>PH</v>
      </c>
      <c r="H5332" s="42">
        <f t="shared" si="1"/>
        <v>2363</v>
      </c>
    </row>
    <row r="5333" ht="22.5" customHeight="1">
      <c r="B5333" s="42" t="str">
        <f>IFERROR(__xludf.DUMMYFUNCTION("""COMPUTED_VALUE"""),"K/33/260625/1")</f>
        <v>K/33/260625/1</v>
      </c>
      <c r="C5333" s="42" t="str">
        <f>IFERROR(__xludf.DUMMYFUNCTION("""COMPUTED_VALUE"""),"M. 1501/ Rajabasa Nunyai")</f>
        <v>M. 1501/ Rajabasa Nunyai</v>
      </c>
      <c r="D5333" s="42" t="str">
        <f>IFERROR(__xludf.DUMMYFUNCTION("""COMPUTED_VALUE"""),"David")</f>
        <v>David</v>
      </c>
      <c r="E5333" s="42" t="str">
        <f>IFERROR(__xludf.DUMMYFUNCTION("""COMPUTED_VALUE"""),"DISERAHKAN")</f>
        <v>DISERAHKAN</v>
      </c>
      <c r="F5333" s="48">
        <f>IFERROR(__xludf.DUMMYFUNCTION("""COMPUTED_VALUE"""),45863.6057768287)</f>
        <v>45863.60578</v>
      </c>
      <c r="G5333" s="42" t="str">
        <f>IFERROR(__xludf.DUMMYFUNCTION("""COMPUTED_VALUE"""),"BN JUAL BELI")</f>
        <v>BN JUAL BELI</v>
      </c>
      <c r="H5333" s="42">
        <f t="shared" si="1"/>
        <v>2364</v>
      </c>
    </row>
    <row r="5334" ht="22.5" customHeight="1">
      <c r="B5334" s="42" t="str">
        <f>IFERROR(__xludf.DUMMYFUNCTION("""COMPUTED_VALUE"""),"K/34/260625/2")</f>
        <v>K/34/260625/2</v>
      </c>
      <c r="C5334" s="42" t="str">
        <f>IFERROR(__xludf.DUMMYFUNCTION("""COMPUTED_VALUE"""),"M. 5831/ Way Kandis")</f>
        <v>M. 5831/ Way Kandis</v>
      </c>
      <c r="D5334" s="42" t="str">
        <f>IFERROR(__xludf.DUMMYFUNCTION("""COMPUTED_VALUE"""),"David")</f>
        <v>David</v>
      </c>
      <c r="E5334" s="42" t="str">
        <f>IFERROR(__xludf.DUMMYFUNCTION("""COMPUTED_VALUE"""),"DISERAHKAN")</f>
        <v>DISERAHKAN</v>
      </c>
      <c r="F5334" s="48">
        <f>IFERROR(__xludf.DUMMYFUNCTION("""COMPUTED_VALUE"""),45848.52496113426)</f>
        <v>45848.52496</v>
      </c>
      <c r="G5334" s="42" t="str">
        <f>IFERROR(__xludf.DUMMYFUNCTION("""COMPUTED_VALUE"""),"BN WARIIS")</f>
        <v>BN WARIIS</v>
      </c>
      <c r="H5334" s="42">
        <f t="shared" si="1"/>
        <v>2365</v>
      </c>
    </row>
    <row r="5335" ht="22.5" customHeight="1">
      <c r="B5335" s="42" t="str">
        <f>IFERROR(__xludf.DUMMYFUNCTION("""COMPUTED_VALUE"""),"K/35/260625/1")</f>
        <v>K/35/260625/1</v>
      </c>
      <c r="C5335" s="42" t="str">
        <f>IFERROR(__xludf.DUMMYFUNCTION("""COMPUTED_VALUE"""),"NIBEL M. 20833/TANJUNG GADING")</f>
        <v>NIBEL M. 20833/TANJUNG GADING</v>
      </c>
      <c r="D5335" s="42"/>
      <c r="E5335" s="42"/>
      <c r="F5335" s="48" t="str">
        <f>IFERROR(__xludf.DUMMYFUNCTION("""COMPUTED_VALUE"""),"")</f>
        <v/>
      </c>
      <c r="G5335" s="42" t="str">
        <f>IFERROR(__xludf.DUMMYFUNCTION("""COMPUTED_VALUE"""),"BN JUAL BELI")</f>
        <v>BN JUAL BELI</v>
      </c>
      <c r="H5335" s="42">
        <f t="shared" si="1"/>
        <v>2365</v>
      </c>
    </row>
    <row r="5336" ht="22.5" customHeight="1">
      <c r="B5336" s="42" t="str">
        <f>IFERROR(__xludf.DUMMYFUNCTION("""COMPUTED_VALUE"""),"K/29/260625/1")</f>
        <v>K/29/260625/1</v>
      </c>
      <c r="C5336" s="42" t="str">
        <f>IFERROR(__xludf.DUMMYFUNCTION("""COMPUTED_VALUE"""),"B.906/SUKARAME BARU")</f>
        <v>B.906/SUKARAME BARU</v>
      </c>
      <c r="D5336" s="42" t="str">
        <f>IFERROR(__xludf.DUMMYFUNCTION("""COMPUTED_VALUE"""),"Berry")</f>
        <v>Berry</v>
      </c>
      <c r="E5336" s="42" t="str">
        <f>IFERROR(__xludf.DUMMYFUNCTION("""COMPUTED_VALUE"""),"DISERAHKAN")</f>
        <v>DISERAHKAN</v>
      </c>
      <c r="F5336" s="48">
        <f>IFERROR(__xludf.DUMMYFUNCTION("""COMPUTED_VALUE"""),45853.72350357639)</f>
        <v>45853.7235</v>
      </c>
      <c r="G5336" s="42" t="str">
        <f>IFERROR(__xludf.DUMMYFUNCTION("""COMPUTED_VALUE"""),"PERNINGKATAN ")</f>
        <v>PERNINGKATAN </v>
      </c>
      <c r="H5336" s="42">
        <f t="shared" si="1"/>
        <v>2366</v>
      </c>
    </row>
    <row r="5337" ht="22.5" customHeight="1">
      <c r="B5337" s="42" t="str">
        <f>IFERROR(__xludf.DUMMYFUNCTION("""COMPUTED_VALUE"""),"K/36/260625/1")</f>
        <v>K/36/260625/1</v>
      </c>
      <c r="C5337" s="42" t="str">
        <f>IFERROR(__xludf.DUMMYFUNCTION("""COMPUTED_VALUE"""),"B.815/SUMUR PUTRI")</f>
        <v>B.815/SUMUR PUTRI</v>
      </c>
      <c r="D5337" s="42" t="str">
        <f>IFERROR(__xludf.DUMMYFUNCTION("""COMPUTED_VALUE"""),"Berry")</f>
        <v>Berry</v>
      </c>
      <c r="E5337" s="42" t="str">
        <f>IFERROR(__xludf.DUMMYFUNCTION("""COMPUTED_VALUE"""),"DISERAHKAN")</f>
        <v>DISERAHKAN</v>
      </c>
      <c r="F5337" s="48">
        <f>IFERROR(__xludf.DUMMYFUNCTION("""COMPUTED_VALUE"""),45894.5746933912)</f>
        <v>45894.57469</v>
      </c>
      <c r="G5337" s="42" t="str">
        <f>IFERROR(__xludf.DUMMYFUNCTION("""COMPUTED_VALUE"""),"JUAL BELI")</f>
        <v>JUAL BELI</v>
      </c>
      <c r="H5337" s="42">
        <f t="shared" si="1"/>
        <v>2367</v>
      </c>
    </row>
    <row r="5338" ht="22.5" customHeight="1">
      <c r="B5338" s="42" t="str">
        <f>IFERROR(__xludf.DUMMYFUNCTION("""COMPUTED_VALUE"""),"K/37/260625/2")</f>
        <v>K/37/260625/2</v>
      </c>
      <c r="C5338" s="42" t="str">
        <f>IFERROR(__xludf.DUMMYFUNCTION("""COMPUTED_VALUE"""),"NIBEL B.16244/SUMUR PUTRI")</f>
        <v>NIBEL B.16244/SUMUR PUTRI</v>
      </c>
      <c r="D5338" s="42"/>
      <c r="E5338" s="42"/>
      <c r="F5338" s="48" t="str">
        <f>IFERROR(__xludf.DUMMYFUNCTION("""COMPUTED_VALUE"""),"")</f>
        <v/>
      </c>
      <c r="G5338" s="42" t="str">
        <f>IFERROR(__xludf.DUMMYFUNCTION("""COMPUTED_VALUE"""),"JUAL BELI")</f>
        <v>JUAL BELI</v>
      </c>
      <c r="H5338" s="42">
        <f t="shared" si="1"/>
        <v>2367</v>
      </c>
    </row>
    <row r="5339" ht="22.5" customHeight="1">
      <c r="B5339" s="42" t="str">
        <f>IFERROR(__xludf.DUMMYFUNCTION("""COMPUTED_VALUE"""),"L/38/260625/1")</f>
        <v>L/38/260625/1</v>
      </c>
      <c r="C5339" s="42" t="str">
        <f>IFERROR(__xludf.DUMMYFUNCTION("""COMPUTED_VALUE"""),"HM 355/KEBON JERUK")</f>
        <v>HM 355/KEBON JERUK</v>
      </c>
      <c r="D5339" s="42" t="str">
        <f>IFERROR(__xludf.DUMMYFUNCTION("""COMPUTED_VALUE"""),"David")</f>
        <v>David</v>
      </c>
      <c r="E5339" s="42" t="str">
        <f>IFERROR(__xludf.DUMMYFUNCTION("""COMPUTED_VALUE"""),"DISERAHKAN")</f>
        <v>DISERAHKAN</v>
      </c>
      <c r="F5339" s="48">
        <f>IFERROR(__xludf.DUMMYFUNCTION("""COMPUTED_VALUE"""),45855.6499605787)</f>
        <v>45855.64996</v>
      </c>
      <c r="G5339" s="42" t="str">
        <f>IFERROR(__xludf.DUMMYFUNCTION("""COMPUTED_VALUE"""),"ROYA")</f>
        <v>ROYA</v>
      </c>
      <c r="H5339" s="42">
        <f t="shared" si="1"/>
        <v>2368</v>
      </c>
    </row>
    <row r="5340" ht="22.5" customHeight="1">
      <c r="B5340" s="42" t="str">
        <f>IFERROR(__xludf.DUMMYFUNCTION("""COMPUTED_VALUE"""),"K/40/260625/1")</f>
        <v>K/40/260625/1</v>
      </c>
      <c r="C5340" s="42" t="str">
        <f>IFERROR(__xludf.DUMMYFUNCTION("""COMPUTED_VALUE"""),"M. 2441/ Kedaung")</f>
        <v>M. 2441/ Kedaung</v>
      </c>
      <c r="D5340" s="42" t="str">
        <f>IFERROR(__xludf.DUMMYFUNCTION("""COMPUTED_VALUE"""),"Berry")</f>
        <v>Berry</v>
      </c>
      <c r="E5340" s="42" t="str">
        <f>IFERROR(__xludf.DUMMYFUNCTION("""COMPUTED_VALUE"""),"DISERAHKAN")</f>
        <v>DISERAHKAN</v>
      </c>
      <c r="F5340" s="48">
        <f>IFERROR(__xludf.DUMMYFUNCTION("""COMPUTED_VALUE"""),45869.498645011576)</f>
        <v>45869.49865</v>
      </c>
      <c r="G5340" s="42" t="str">
        <f>IFERROR(__xludf.DUMMYFUNCTION("""COMPUTED_VALUE"""),"BN Jual Beli")</f>
        <v>BN Jual Beli</v>
      </c>
      <c r="H5340" s="42">
        <f t="shared" si="1"/>
        <v>2369</v>
      </c>
    </row>
    <row r="5341" ht="22.5" customHeight="1">
      <c r="B5341" s="42" t="str">
        <f>IFERROR(__xludf.DUMMYFUNCTION("""COMPUTED_VALUE"""),"L/42/260625/1")</f>
        <v>L/42/260625/1</v>
      </c>
      <c r="C5341" s="42" t="str">
        <f>IFERROR(__xludf.DUMMYFUNCTION("""COMPUTED_VALUE"""),"HM 29/NUSANTARA PERMAI")</f>
        <v>HM 29/NUSANTARA PERMAI</v>
      </c>
      <c r="D5341" s="42" t="str">
        <f>IFERROR(__xludf.DUMMYFUNCTION("""COMPUTED_VALUE"""),"David")</f>
        <v>David</v>
      </c>
      <c r="E5341" s="42" t="str">
        <f>IFERROR(__xludf.DUMMYFUNCTION("""COMPUTED_VALUE"""),"DISERAHKAN")</f>
        <v>DISERAHKAN</v>
      </c>
      <c r="F5341" s="48">
        <f>IFERROR(__xludf.DUMMYFUNCTION("""COMPUTED_VALUE"""),45860.68739564814)</f>
        <v>45860.6874</v>
      </c>
      <c r="G5341" s="42" t="str">
        <f>IFERROR(__xludf.DUMMYFUNCTION("""COMPUTED_VALUE"""),"ROYA")</f>
        <v>ROYA</v>
      </c>
      <c r="H5341" s="42">
        <f t="shared" si="1"/>
        <v>2370</v>
      </c>
    </row>
    <row r="5342" ht="22.5" customHeight="1">
      <c r="B5342" s="42" t="str">
        <f>IFERROR(__xludf.DUMMYFUNCTION("""COMPUTED_VALUE"""),"K/41/260625/2")</f>
        <v>K/41/260625/2</v>
      </c>
      <c r="C5342" s="42" t="str">
        <f>IFERROR(__xludf.DUMMYFUNCTION("""COMPUTED_VALUE"""),"M. 4928/ Sukadana Ham")</f>
        <v>M. 4928/ Sukadana Ham</v>
      </c>
      <c r="D5342" s="42" t="str">
        <f>IFERROR(__xludf.DUMMYFUNCTION("""COMPUTED_VALUE"""),"Berry")</f>
        <v>Berry</v>
      </c>
      <c r="E5342" s="42" t="str">
        <f>IFERROR(__xludf.DUMMYFUNCTION("""COMPUTED_VALUE"""),"DISERAHKAN")</f>
        <v>DISERAHKAN</v>
      </c>
      <c r="F5342" s="48">
        <f>IFERROR(__xludf.DUMMYFUNCTION("""COMPUTED_VALUE"""),45860.657378379634)</f>
        <v>45860.65738</v>
      </c>
      <c r="G5342" s="42" t="str">
        <f>IFERROR(__xludf.DUMMYFUNCTION("""COMPUTED_VALUE"""),"BN Jual Beli")</f>
        <v>BN Jual Beli</v>
      </c>
      <c r="H5342" s="42">
        <f t="shared" si="1"/>
        <v>2371</v>
      </c>
    </row>
    <row r="5343" ht="22.5" customHeight="1">
      <c r="B5343" s="42" t="str">
        <f>IFERROR(__xludf.DUMMYFUNCTION("""COMPUTED_VALUE"""),"K/39/260625/1")</f>
        <v>K/39/260625/1</v>
      </c>
      <c r="C5343" s="42" t="str">
        <f>IFERROR(__xludf.DUMMYFUNCTION("""COMPUTED_VALUE"""),"M.19648/SUKARAME ")</f>
        <v>M.19648/SUKARAME </v>
      </c>
      <c r="D5343" s="42" t="str">
        <f>IFERROR(__xludf.DUMMYFUNCTION("""COMPUTED_VALUE"""),"Berry")</f>
        <v>Berry</v>
      </c>
      <c r="E5343" s="42" t="str">
        <f>IFERROR(__xludf.DUMMYFUNCTION("""COMPUTED_VALUE"""),"DISERAHKAN")</f>
        <v>DISERAHKAN</v>
      </c>
      <c r="F5343" s="48">
        <f>IFERROR(__xludf.DUMMYFUNCTION("""COMPUTED_VALUE"""),45856.52656083333)</f>
        <v>45856.52656</v>
      </c>
      <c r="G5343" s="42" t="str">
        <f>IFERROR(__xludf.DUMMYFUNCTION("""COMPUTED_VALUE"""),"JUAL BELI")</f>
        <v>JUAL BELI</v>
      </c>
      <c r="H5343" s="42">
        <f t="shared" si="1"/>
        <v>2372</v>
      </c>
    </row>
    <row r="5344" ht="22.5" customHeight="1">
      <c r="B5344" s="42" t="str">
        <f>IFERROR(__xludf.DUMMYFUNCTION("""COMPUTED_VALUE"""),"K/1/300625/1")</f>
        <v>K/1/300625/1</v>
      </c>
      <c r="C5344" s="42" t="str">
        <f>IFERROR(__xludf.DUMMYFUNCTION("""COMPUTED_VALUE"""),"HM 4584/GUNUNG TERANG")</f>
        <v>HM 4584/GUNUNG TERANG</v>
      </c>
      <c r="D5344" s="42"/>
      <c r="E5344" s="42"/>
      <c r="F5344" s="48" t="str">
        <f>IFERROR(__xludf.DUMMYFUNCTION("""COMPUTED_VALUE"""),"")</f>
        <v/>
      </c>
      <c r="G5344" s="42" t="str">
        <f>IFERROR(__xludf.DUMMYFUNCTION("""COMPUTED_VALUE"""),"BN JUAL-BELI")</f>
        <v>BN JUAL-BELI</v>
      </c>
      <c r="H5344" s="42">
        <f t="shared" si="1"/>
        <v>2372</v>
      </c>
    </row>
    <row r="5345" ht="22.5" customHeight="1">
      <c r="B5345" s="42" t="str">
        <f>IFERROR(__xludf.DUMMYFUNCTION("""COMPUTED_VALUE"""),"L/2/300625/1")</f>
        <v>L/2/300625/1</v>
      </c>
      <c r="C5345" s="42" t="str">
        <f>IFERROR(__xludf.DUMMYFUNCTION("""COMPUTED_VALUE"""),"HM 11926/SUKABUMI")</f>
        <v>HM 11926/SUKABUMI</v>
      </c>
      <c r="D5345" s="42" t="str">
        <f>IFERROR(__xludf.DUMMYFUNCTION("""COMPUTED_VALUE"""),"Berry")</f>
        <v>Berry</v>
      </c>
      <c r="E5345" s="42" t="str">
        <f>IFERROR(__xludf.DUMMYFUNCTION("""COMPUTED_VALUE"""),"DISERAHKAN")</f>
        <v>DISERAHKAN</v>
      </c>
      <c r="F5345" s="48">
        <f>IFERROR(__xludf.DUMMYFUNCTION("""COMPUTED_VALUE"""),45873.63519032407)</f>
        <v>45873.63519</v>
      </c>
      <c r="G5345" s="42" t="str">
        <f>IFERROR(__xludf.DUMMYFUNCTION("""COMPUTED_VALUE"""),"ROYA")</f>
        <v>ROYA</v>
      </c>
      <c r="H5345" s="42">
        <f t="shared" si="1"/>
        <v>2373</v>
      </c>
    </row>
    <row r="5346" ht="22.5" customHeight="1">
      <c r="B5346" s="42" t="str">
        <f>IFERROR(__xludf.DUMMYFUNCTION("""COMPUTED_VALUE"""),"L/3/300625/1")</f>
        <v>L/3/300625/1</v>
      </c>
      <c r="C5346" s="42" t="str">
        <f>IFERROR(__xludf.DUMMYFUNCTION("""COMPUTED_VALUE"""),"HM 355/SUKABUMI INDAH")</f>
        <v>HM 355/SUKABUMI INDAH</v>
      </c>
      <c r="D5346" s="42"/>
      <c r="E5346" s="42"/>
      <c r="F5346" s="48" t="str">
        <f>IFERROR(__xludf.DUMMYFUNCTION("""COMPUTED_VALUE"""),"")</f>
        <v/>
      </c>
      <c r="G5346" s="42" t="str">
        <f>IFERROR(__xludf.DUMMYFUNCTION("""COMPUTED_VALUE"""),"GANTI BLANGKO")</f>
        <v>GANTI BLANGKO</v>
      </c>
      <c r="H5346" s="42">
        <f t="shared" si="1"/>
        <v>2373</v>
      </c>
    </row>
    <row r="5347" ht="22.5" customHeight="1">
      <c r="B5347" s="42" t="str">
        <f>IFERROR(__xludf.DUMMYFUNCTION("""COMPUTED_VALUE"""),"L/4/300625/1")</f>
        <v>L/4/300625/1</v>
      </c>
      <c r="C5347" s="42" t="str">
        <f>IFERROR(__xludf.DUMMYFUNCTION("""COMPUTED_VALUE"""),"NIB 2283/KBK")</f>
        <v>NIB 2283/KBK</v>
      </c>
      <c r="D5347" s="42"/>
      <c r="E5347" s="42"/>
      <c r="F5347" s="48" t="str">
        <f>IFERROR(__xludf.DUMMYFUNCTION("""COMPUTED_VALUE"""),"")</f>
        <v/>
      </c>
      <c r="G5347" s="42" t="str">
        <f>IFERROR(__xludf.DUMMYFUNCTION("""COMPUTED_VALUE"""),"BN HIBAH")</f>
        <v>BN HIBAH</v>
      </c>
      <c r="H5347" s="42">
        <f t="shared" si="1"/>
        <v>2373</v>
      </c>
    </row>
    <row r="5348" ht="22.5" customHeight="1">
      <c r="B5348" s="42" t="str">
        <f>IFERROR(__xludf.DUMMYFUNCTION("""COMPUTED_VALUE"""),"K/5/300625/1")</f>
        <v>K/5/300625/1</v>
      </c>
      <c r="C5348" s="42" t="str">
        <f>IFERROR(__xludf.DUMMYFUNCTION("""COMPUTED_VALUE"""),"B. 854/ Perumnas way kandis")</f>
        <v>B. 854/ Perumnas way kandis</v>
      </c>
      <c r="D5348" s="42"/>
      <c r="E5348" s="42"/>
      <c r="F5348" s="48" t="str">
        <f>IFERROR(__xludf.DUMMYFUNCTION("""COMPUTED_VALUE"""),"")</f>
        <v/>
      </c>
      <c r="G5348" s="42" t="str">
        <f>IFERROR(__xludf.DUMMYFUNCTION("""COMPUTED_VALUE"""),"BN WARIS")</f>
        <v>BN WARIS</v>
      </c>
      <c r="H5348" s="42">
        <f t="shared" si="1"/>
        <v>2373</v>
      </c>
    </row>
    <row r="5349" ht="22.5" customHeight="1">
      <c r="B5349" s="42" t="str">
        <f>IFERROR(__xludf.DUMMYFUNCTION("""COMPUTED_VALUE"""),"L/6/300625/1")</f>
        <v>L/6/300625/1</v>
      </c>
      <c r="C5349" s="42" t="str">
        <f>IFERROR(__xludf.DUMMYFUNCTION("""COMPUTED_VALUE"""),"HM 12044/SUKABUMI")</f>
        <v>HM 12044/SUKABUMI</v>
      </c>
      <c r="D5349" s="42" t="str">
        <f>IFERROR(__xludf.DUMMYFUNCTION("""COMPUTED_VALUE"""),"David")</f>
        <v>David</v>
      </c>
      <c r="E5349" s="42" t="str">
        <f>IFERROR(__xludf.DUMMYFUNCTION("""COMPUTED_VALUE"""),"DISERAHKAN")</f>
        <v>DISERAHKAN</v>
      </c>
      <c r="F5349" s="48">
        <f>IFERROR(__xludf.DUMMYFUNCTION("""COMPUTED_VALUE"""),45860.68683210648)</f>
        <v>45860.68683</v>
      </c>
      <c r="G5349" s="42" t="str">
        <f>IFERROR(__xludf.DUMMYFUNCTION("""COMPUTED_VALUE"""),"ROYA")</f>
        <v>ROYA</v>
      </c>
      <c r="H5349" s="42">
        <f t="shared" si="1"/>
        <v>2374</v>
      </c>
    </row>
    <row r="5350" ht="22.5" customHeight="1">
      <c r="B5350" s="42" t="str">
        <f>IFERROR(__xludf.DUMMYFUNCTION("""COMPUTED_VALUE"""),"K/7/300625/1")</f>
        <v>K/7/300625/1</v>
      </c>
      <c r="C5350" s="42" t="str">
        <f>IFERROR(__xludf.DUMMYFUNCTION("""COMPUTED_VALUE"""),"M. 900/ KORPRI JAYA")</f>
        <v>M. 900/ KORPRI JAYA</v>
      </c>
      <c r="D5350" s="42" t="str">
        <f>IFERROR(__xludf.DUMMYFUNCTION("""COMPUTED_VALUE"""),"David")</f>
        <v>David</v>
      </c>
      <c r="E5350" s="42" t="str">
        <f>IFERROR(__xludf.DUMMYFUNCTION("""COMPUTED_VALUE"""),"DISERAHKAN")</f>
        <v>DISERAHKAN</v>
      </c>
      <c r="F5350" s="48">
        <f>IFERROR(__xludf.DUMMYFUNCTION("""COMPUTED_VALUE"""),45863.60566476852)</f>
        <v>45863.60566</v>
      </c>
      <c r="G5350" s="42" t="str">
        <f>IFERROR(__xludf.DUMMYFUNCTION("""COMPUTED_VALUE"""),"BN JUAL BELI ")</f>
        <v>BN JUAL BELI </v>
      </c>
      <c r="H5350" s="42">
        <f t="shared" si="1"/>
        <v>2375</v>
      </c>
    </row>
    <row r="5351" ht="22.5" customHeight="1">
      <c r="B5351" s="42" t="str">
        <f>IFERROR(__xludf.DUMMYFUNCTION("""COMPUTED_VALUE"""),"L/8/300625/1")</f>
        <v>L/8/300625/1</v>
      </c>
      <c r="C5351" s="42" t="str">
        <f>IFERROR(__xludf.DUMMYFUNCTION("""COMPUTED_VALUE"""),"HM 301/TANJUNG AGUNG")</f>
        <v>HM 301/TANJUNG AGUNG</v>
      </c>
      <c r="D5351" s="42" t="str">
        <f>IFERROR(__xludf.DUMMYFUNCTION("""COMPUTED_VALUE"""),"David")</f>
        <v>David</v>
      </c>
      <c r="E5351" s="42" t="str">
        <f>IFERROR(__xludf.DUMMYFUNCTION("""COMPUTED_VALUE"""),"DISERAHKAN")</f>
        <v>DISERAHKAN</v>
      </c>
      <c r="F5351" s="48">
        <f>IFERROR(__xludf.DUMMYFUNCTION("""COMPUTED_VALUE"""),45926.584264432866)</f>
        <v>45926.58426</v>
      </c>
      <c r="G5351" s="42" t="str">
        <f>IFERROR(__xludf.DUMMYFUNCTION("""COMPUTED_VALUE"""),"ROYA")</f>
        <v>ROYA</v>
      </c>
      <c r="H5351" s="42">
        <f t="shared" si="1"/>
        <v>2376</v>
      </c>
    </row>
    <row r="5352" ht="22.5" customHeight="1">
      <c r="B5352" s="42" t="str">
        <f>IFERROR(__xludf.DUMMYFUNCTION("""COMPUTED_VALUE"""),"L/9/300625/1")</f>
        <v>L/9/300625/1</v>
      </c>
      <c r="C5352" s="42" t="str">
        <f>IFERROR(__xludf.DUMMYFUNCTION("""COMPUTED_VALUE"""),"HM 2035/KUPANG TEBA")</f>
        <v>HM 2035/KUPANG TEBA</v>
      </c>
      <c r="D5352" s="42" t="str">
        <f>IFERROR(__xludf.DUMMYFUNCTION("""COMPUTED_VALUE"""),"Berry")</f>
        <v>Berry</v>
      </c>
      <c r="E5352" s="42" t="str">
        <f>IFERROR(__xludf.DUMMYFUNCTION("""COMPUTED_VALUE"""),"DISERAHKAN")</f>
        <v>DISERAHKAN</v>
      </c>
      <c r="F5352" s="48">
        <f>IFERROR(__xludf.DUMMYFUNCTION("""COMPUTED_VALUE"""),45890.58895675926)</f>
        <v>45890.58896</v>
      </c>
      <c r="G5352" s="42" t="str">
        <f>IFERROR(__xludf.DUMMYFUNCTION("""COMPUTED_VALUE"""),"ROYA")</f>
        <v>ROYA</v>
      </c>
      <c r="H5352" s="42">
        <f t="shared" si="1"/>
        <v>2377</v>
      </c>
    </row>
    <row r="5353" ht="22.5" customHeight="1">
      <c r="B5353" s="42" t="str">
        <f>IFERROR(__xludf.DUMMYFUNCTION("""COMPUTED_VALUE"""),"K/11/300625/1")</f>
        <v>K/11/300625/1</v>
      </c>
      <c r="C5353" s="42" t="str">
        <f>IFERROR(__xludf.DUMMYFUNCTION("""COMPUTED_VALUE"""),"M. 664/ Tanjung Raya")</f>
        <v>M. 664/ Tanjung Raya</v>
      </c>
      <c r="D5353" s="42" t="str">
        <f>IFERROR(__xludf.DUMMYFUNCTION("""COMPUTED_VALUE"""),"David")</f>
        <v>David</v>
      </c>
      <c r="E5353" s="42" t="str">
        <f>IFERROR(__xludf.DUMMYFUNCTION("""COMPUTED_VALUE"""),"DISERAHKAN")</f>
        <v>DISERAHKAN</v>
      </c>
      <c r="F5353" s="48">
        <f>IFERROR(__xludf.DUMMYFUNCTION("""COMPUTED_VALUE"""),45861.61578057871)</f>
        <v>45861.61578</v>
      </c>
      <c r="G5353" s="42" t="str">
        <f>IFERROR(__xludf.DUMMYFUNCTION("""COMPUTED_VALUE"""),"ROYA")</f>
        <v>ROYA</v>
      </c>
      <c r="H5353" s="42">
        <f t="shared" si="1"/>
        <v>2378</v>
      </c>
    </row>
    <row r="5354" ht="22.5" customHeight="1">
      <c r="B5354" s="42" t="str">
        <f>IFERROR(__xludf.DUMMYFUNCTION("""COMPUTED_VALUE"""),"L/12/300625/1")</f>
        <v>L/12/300625/1</v>
      </c>
      <c r="C5354" s="42" t="str">
        <f>IFERROR(__xludf.DUMMYFUNCTION("""COMPUTED_VALUE"""),"HM 1026/RAJABASA RAYA")</f>
        <v>HM 1026/RAJABASA RAYA</v>
      </c>
      <c r="D5354" s="42" t="str">
        <f>IFERROR(__xludf.DUMMYFUNCTION("""COMPUTED_VALUE"""),"Berry")</f>
        <v>Berry</v>
      </c>
      <c r="E5354" s="42" t="str">
        <f>IFERROR(__xludf.DUMMYFUNCTION("""COMPUTED_VALUE"""),"DISERAHKAN")</f>
        <v>DISERAHKAN</v>
      </c>
      <c r="F5354" s="48">
        <f>IFERROR(__xludf.DUMMYFUNCTION("""COMPUTED_VALUE"""),45894.55134017361)</f>
        <v>45894.55134</v>
      </c>
      <c r="G5354" s="42" t="str">
        <f>IFERROR(__xludf.DUMMYFUNCTION("""COMPUTED_VALUE"""),"ROYA")</f>
        <v>ROYA</v>
      </c>
      <c r="H5354" s="42">
        <f t="shared" si="1"/>
        <v>2379</v>
      </c>
    </row>
    <row r="5355" ht="22.5" customHeight="1">
      <c r="B5355" s="42" t="str">
        <f>IFERROR(__xludf.DUMMYFUNCTION("""COMPUTED_VALUE"""),"K/13/300625/1")</f>
        <v>K/13/300625/1</v>
      </c>
      <c r="C5355" s="42" t="str">
        <f>IFERROR(__xludf.DUMMYFUNCTION("""COMPUTED_VALUE"""),"M. 152/ Sumber Agung")</f>
        <v>M. 152/ Sumber Agung</v>
      </c>
      <c r="D5355" s="42"/>
      <c r="E5355" s="42"/>
      <c r="F5355" s="48" t="str">
        <f>IFERROR(__xludf.DUMMYFUNCTION("""COMPUTED_VALUE"""),"")</f>
        <v/>
      </c>
      <c r="G5355" s="42" t="str">
        <f>IFERROR(__xludf.DUMMYFUNCTION("""COMPUTED_VALUE"""),"ROYA")</f>
        <v>ROYA</v>
      </c>
      <c r="H5355" s="42">
        <f t="shared" si="1"/>
        <v>2379</v>
      </c>
    </row>
    <row r="5356" ht="22.5" customHeight="1">
      <c r="B5356" s="42" t="str">
        <f>IFERROR(__xludf.DUMMYFUNCTION("""COMPUTED_VALUE"""),"K/14/300625/1")</f>
        <v>K/14/300625/1</v>
      </c>
      <c r="C5356" s="42" t="str">
        <f>IFERROR(__xludf.DUMMYFUNCTION("""COMPUTED_VALUE"""),"B. 2163/ Sukarame")</f>
        <v>B. 2163/ Sukarame</v>
      </c>
      <c r="D5356" s="42" t="str">
        <f>IFERROR(__xludf.DUMMYFUNCTION("""COMPUTED_VALUE"""),"David")</f>
        <v>David</v>
      </c>
      <c r="E5356" s="42" t="str">
        <f>IFERROR(__xludf.DUMMYFUNCTION("""COMPUTED_VALUE"""),"DISERAHKAN")</f>
        <v>DISERAHKAN</v>
      </c>
      <c r="F5356" s="48">
        <f>IFERROR(__xludf.DUMMYFUNCTION("""COMPUTED_VALUE"""),45862.690036851855)</f>
        <v>45862.69004</v>
      </c>
      <c r="G5356" s="42" t="str">
        <f>IFERROR(__xludf.DUMMYFUNCTION("""COMPUTED_VALUE"""),"Perubahan Hak")</f>
        <v>Perubahan Hak</v>
      </c>
      <c r="H5356" s="42">
        <f t="shared" si="1"/>
        <v>2380</v>
      </c>
    </row>
    <row r="5357" ht="22.5" customHeight="1">
      <c r="B5357" s="42" t="str">
        <f>IFERROR(__xludf.DUMMYFUNCTION("""COMPUTED_VALUE"""),"L/15/300625/1")</f>
        <v>L/15/300625/1</v>
      </c>
      <c r="C5357" s="42" t="str">
        <f>IFERROR(__xludf.DUMMYFUNCTION("""COMPUTED_VALUE"""),"NIB 20967/TANJUNG SENANG")</f>
        <v>NIB 20967/TANJUNG SENANG</v>
      </c>
      <c r="D5357" s="42"/>
      <c r="E5357" s="42"/>
      <c r="F5357" s="48" t="str">
        <f>IFERROR(__xludf.DUMMYFUNCTION("""COMPUTED_VALUE"""),"")</f>
        <v/>
      </c>
      <c r="G5357" s="42" t="str">
        <f>IFERROR(__xludf.DUMMYFUNCTION("""COMPUTED_VALUE"""),"PEMECAHAN")</f>
        <v>PEMECAHAN</v>
      </c>
      <c r="H5357" s="42">
        <f t="shared" si="1"/>
        <v>2380</v>
      </c>
    </row>
    <row r="5358" ht="22.5" customHeight="1">
      <c r="B5358" s="42" t="str">
        <f>IFERROR(__xludf.DUMMYFUNCTION("""COMPUTED_VALUE"""),"K/16/300625/1")</f>
        <v>K/16/300625/1</v>
      </c>
      <c r="C5358" s="42" t="str">
        <f>IFERROR(__xludf.DUMMYFUNCTION("""COMPUTED_VALUE"""),"Nibel. M. 17488/ Campang Raya")</f>
        <v>Nibel. M. 17488/ Campang Raya</v>
      </c>
      <c r="D5358" s="42"/>
      <c r="E5358" s="42"/>
      <c r="F5358" s="48" t="str">
        <f>IFERROR(__xludf.DUMMYFUNCTION("""COMPUTED_VALUE"""),"")</f>
        <v/>
      </c>
      <c r="G5358" s="42" t="str">
        <f>IFERROR(__xludf.DUMMYFUNCTION("""COMPUTED_VALUE"""),"BN PHB")</f>
        <v>BN PHB</v>
      </c>
      <c r="H5358" s="42">
        <f t="shared" si="1"/>
        <v>2380</v>
      </c>
    </row>
    <row r="5359" ht="22.5" customHeight="1">
      <c r="B5359" s="42" t="str">
        <f>IFERROR(__xludf.DUMMYFUNCTION("""COMPUTED_VALUE"""),"L/17/300625/1")</f>
        <v>L/17/300625/1</v>
      </c>
      <c r="C5359" s="42" t="str">
        <f>IFERROR(__xludf.DUMMYFUNCTION("""COMPUTED_VALUE"""),"HM 11115/LABUHAN RATU")</f>
        <v>HM 11115/LABUHAN RATU</v>
      </c>
      <c r="D5359" s="42" t="str">
        <f>IFERROR(__xludf.DUMMYFUNCTION("""COMPUTED_VALUE"""),"David")</f>
        <v>David</v>
      </c>
      <c r="E5359" s="42" t="str">
        <f>IFERROR(__xludf.DUMMYFUNCTION("""COMPUTED_VALUE"""),"DISERAHKAN")</f>
        <v>DISERAHKAN</v>
      </c>
      <c r="F5359" s="48">
        <f>IFERROR(__xludf.DUMMYFUNCTION("""COMPUTED_VALUE"""),45846.66084337963)</f>
        <v>45846.66084</v>
      </c>
      <c r="G5359" s="42" t="str">
        <f>IFERROR(__xludf.DUMMYFUNCTION("""COMPUTED_VALUE"""),"ROYA")</f>
        <v>ROYA</v>
      </c>
      <c r="H5359" s="42">
        <f t="shared" si="1"/>
        <v>2381</v>
      </c>
    </row>
    <row r="5360" ht="22.5" customHeight="1">
      <c r="B5360" s="42" t="str">
        <f>IFERROR(__xludf.DUMMYFUNCTION("""COMPUTED_VALUE"""),"K/18/300625/1")</f>
        <v>K/18/300625/1</v>
      </c>
      <c r="C5360" s="42" t="str">
        <f>IFERROR(__xludf.DUMMYFUNCTION("""COMPUTED_VALUE"""),"M. 3691 ; 3690/ Nusantara Permai")</f>
        <v>M. 3691 ; 3690/ Nusantara Permai</v>
      </c>
      <c r="D5360" s="42"/>
      <c r="E5360" s="42"/>
      <c r="F5360" s="48" t="str">
        <f>IFERROR(__xludf.DUMMYFUNCTION("""COMPUTED_VALUE"""),"")</f>
        <v/>
      </c>
      <c r="G5360" s="42" t="str">
        <f>IFERROR(__xludf.DUMMYFUNCTION("""COMPUTED_VALUE"""),"Penggabungan")</f>
        <v>Penggabungan</v>
      </c>
      <c r="H5360" s="42">
        <f t="shared" si="1"/>
        <v>2381</v>
      </c>
    </row>
    <row r="5361" ht="22.5" customHeight="1">
      <c r="B5361" s="42" t="str">
        <f>IFERROR(__xludf.DUMMYFUNCTION("""COMPUTED_VALUE"""),"K/10/300625/1")</f>
        <v>K/10/300625/1</v>
      </c>
      <c r="C5361" s="42" t="str">
        <f>IFERROR(__xludf.DUMMYFUNCTION("""COMPUTED_VALUE"""),"M.1383/KUPANG TEBA")</f>
        <v>M.1383/KUPANG TEBA</v>
      </c>
      <c r="D5361" s="42" t="str">
        <f>IFERROR(__xludf.DUMMYFUNCTION("""COMPUTED_VALUE"""),"Berry")</f>
        <v>Berry</v>
      </c>
      <c r="E5361" s="42" t="str">
        <f>IFERROR(__xludf.DUMMYFUNCTION("""COMPUTED_VALUE"""),"DISERAHKAN")</f>
        <v>DISERAHKAN</v>
      </c>
      <c r="F5361" s="48">
        <f>IFERROR(__xludf.DUMMYFUNCTION("""COMPUTED_VALUE"""),45852.63434001157)</f>
        <v>45852.63434</v>
      </c>
      <c r="G5361" s="42" t="str">
        <f>IFERROR(__xludf.DUMMYFUNCTION("""COMPUTED_VALUE"""),"BN JUAL BELI")</f>
        <v>BN JUAL BELI</v>
      </c>
      <c r="H5361" s="42">
        <f t="shared" si="1"/>
        <v>2382</v>
      </c>
    </row>
    <row r="5362" ht="22.5" customHeight="1">
      <c r="B5362" s="42" t="str">
        <f>IFERROR(__xludf.DUMMYFUNCTION("""COMPUTED_VALUE"""),"K/19/300625/1")</f>
        <v>K/19/300625/1</v>
      </c>
      <c r="C5362" s="42" t="str">
        <f>IFERROR(__xludf.DUMMYFUNCTION("""COMPUTED_VALUE"""),"M. 734/PERWATA")</f>
        <v>M. 734/PERWATA</v>
      </c>
      <c r="D5362" s="42"/>
      <c r="E5362" s="42"/>
      <c r="F5362" s="48" t="str">
        <f>IFERROR(__xludf.DUMMYFUNCTION("""COMPUTED_VALUE"""),"")</f>
        <v/>
      </c>
      <c r="G5362" s="42" t="str">
        <f>IFERROR(__xludf.DUMMYFUNCTION("""COMPUTED_VALUE"""),"SKPT LELANG")</f>
        <v>SKPT LELANG</v>
      </c>
      <c r="H5362" s="42">
        <f t="shared" si="1"/>
        <v>2382</v>
      </c>
    </row>
    <row r="5363" ht="22.5" customHeight="1">
      <c r="B5363" s="42" t="str">
        <f>IFERROR(__xludf.DUMMYFUNCTION("""COMPUTED_VALUE"""),"K/20/300625/2")</f>
        <v>K/20/300625/2</v>
      </c>
      <c r="C5363" s="42" t="str">
        <f>IFERROR(__xludf.DUMMYFUNCTION("""COMPUTED_VALUE"""),"M.733/PERWATA")</f>
        <v>M.733/PERWATA</v>
      </c>
      <c r="D5363" s="42"/>
      <c r="E5363" s="42"/>
      <c r="F5363" s="48" t="str">
        <f>IFERROR(__xludf.DUMMYFUNCTION("""COMPUTED_VALUE"""),"")</f>
        <v/>
      </c>
      <c r="G5363" s="42" t="str">
        <f>IFERROR(__xludf.DUMMYFUNCTION("""COMPUTED_VALUE"""),"SKPT LELANG")</f>
        <v>SKPT LELANG</v>
      </c>
      <c r="H5363" s="42">
        <f t="shared" si="1"/>
        <v>2382</v>
      </c>
    </row>
    <row r="5364" ht="22.5" customHeight="1">
      <c r="B5364" s="42" t="str">
        <f>IFERROR(__xludf.DUMMYFUNCTION("""COMPUTED_VALUE"""),"K/22/300625/1")</f>
        <v>K/22/300625/1</v>
      </c>
      <c r="C5364" s="42" t="str">
        <f>IFERROR(__xludf.DUMMYFUNCTION("""COMPUTED_VALUE"""),"M.11300/SUKARAME")</f>
        <v>M.11300/SUKARAME</v>
      </c>
      <c r="D5364" s="42"/>
      <c r="E5364" s="42"/>
      <c r="F5364" s="48" t="str">
        <f>IFERROR(__xludf.DUMMYFUNCTION("""COMPUTED_VALUE"""),"")</f>
        <v/>
      </c>
      <c r="G5364" s="42" t="str">
        <f>IFERROR(__xludf.DUMMYFUNCTION("""COMPUTED_VALUE"""),"SKPT LELANG")</f>
        <v>SKPT LELANG</v>
      </c>
      <c r="H5364" s="42">
        <f t="shared" si="1"/>
        <v>2382</v>
      </c>
    </row>
    <row r="5365" ht="22.5" customHeight="1">
      <c r="B5365" s="42" t="str">
        <f>IFERROR(__xludf.DUMMYFUNCTION("""COMPUTED_VALUE"""),"L/23/300625/1")</f>
        <v>L/23/300625/1</v>
      </c>
      <c r="C5365" s="42" t="str">
        <f>IFERROR(__xludf.DUMMYFUNCTION("""COMPUTED_VALUE"""),"HM 10217/JAGABAYA II")</f>
        <v>HM 10217/JAGABAYA II</v>
      </c>
      <c r="D5365" s="42"/>
      <c r="E5365" s="42"/>
      <c r="F5365" s="48" t="str">
        <f>IFERROR(__xludf.DUMMYFUNCTION("""COMPUTED_VALUE"""),"")</f>
        <v/>
      </c>
      <c r="G5365" s="42" t="str">
        <f>IFERROR(__xludf.DUMMYFUNCTION("""COMPUTED_VALUE"""),"ROYA")</f>
        <v>ROYA</v>
      </c>
      <c r="H5365" s="42">
        <f t="shared" si="1"/>
        <v>2382</v>
      </c>
    </row>
    <row r="5366" ht="22.5" customHeight="1">
      <c r="B5366" s="42" t="str">
        <f>IFERROR(__xludf.DUMMYFUNCTION("""COMPUTED_VALUE"""),"L/24/300625/2")</f>
        <v>L/24/300625/2</v>
      </c>
      <c r="C5366" s="42" t="str">
        <f>IFERROR(__xludf.DUMMYFUNCTION("""COMPUTED_VALUE"""),"HM 630/TANJUNG AGUNG")</f>
        <v>HM 630/TANJUNG AGUNG</v>
      </c>
      <c r="D5366" s="42"/>
      <c r="E5366" s="42"/>
      <c r="F5366" s="48" t="str">
        <f>IFERROR(__xludf.DUMMYFUNCTION("""COMPUTED_VALUE"""),"")</f>
        <v/>
      </c>
      <c r="G5366" s="42" t="str">
        <f>IFERROR(__xludf.DUMMYFUNCTION("""COMPUTED_VALUE"""),"ROYA")</f>
        <v>ROYA</v>
      </c>
      <c r="H5366" s="42">
        <f t="shared" si="1"/>
        <v>2382</v>
      </c>
    </row>
    <row r="5367" ht="22.5" customHeight="1">
      <c r="B5367" s="42" t="str">
        <f>IFERROR(__xludf.DUMMYFUNCTION("""COMPUTED_VALUE"""),"K/26/300625/1")</f>
        <v>K/26/300625/1</v>
      </c>
      <c r="C5367" s="42" t="str">
        <f>IFERROR(__xludf.DUMMYFUNCTION("""COMPUTED_VALUE"""),"Nibel 19088/ Rajabasa Jaya")</f>
        <v>Nibel 19088/ Rajabasa Jaya</v>
      </c>
      <c r="D5367" s="42"/>
      <c r="E5367" s="42"/>
      <c r="F5367" s="48" t="str">
        <f>IFERROR(__xludf.DUMMYFUNCTION("""COMPUTED_VALUE"""),"")</f>
        <v/>
      </c>
      <c r="G5367" s="42" t="str">
        <f>IFERROR(__xludf.DUMMYFUNCTION("""COMPUTED_VALUE"""),"BN JUAL BELI")</f>
        <v>BN JUAL BELI</v>
      </c>
      <c r="H5367" s="42">
        <f t="shared" si="1"/>
        <v>2382</v>
      </c>
    </row>
    <row r="5368" ht="22.5" customHeight="1">
      <c r="B5368" s="42" t="str">
        <f>IFERROR(__xludf.DUMMYFUNCTION("""COMPUTED_VALUE"""),"L/25/300625/3")</f>
        <v>L/25/300625/3</v>
      </c>
      <c r="C5368" s="42" t="str">
        <f>IFERROR(__xludf.DUMMYFUNCTION("""COMPUTED_VALUE"""),"HM 63/TANJUNG AGUNG")</f>
        <v>HM 63/TANJUNG AGUNG</v>
      </c>
      <c r="D5368" s="42" t="str">
        <f>IFERROR(__xludf.DUMMYFUNCTION("""COMPUTED_VALUE"""),"David")</f>
        <v>David</v>
      </c>
      <c r="E5368" s="42" t="str">
        <f>IFERROR(__xludf.DUMMYFUNCTION("""COMPUTED_VALUE"""),"DISERAHKAN")</f>
        <v>DISERAHKAN</v>
      </c>
      <c r="F5368" s="48">
        <f>IFERROR(__xludf.DUMMYFUNCTION("""COMPUTED_VALUE"""),45874.68722677084)</f>
        <v>45874.68723</v>
      </c>
      <c r="G5368" s="42" t="str">
        <f>IFERROR(__xludf.DUMMYFUNCTION("""COMPUTED_VALUE"""),"ROYA")</f>
        <v>ROYA</v>
      </c>
      <c r="H5368" s="42">
        <f t="shared" si="1"/>
        <v>2383</v>
      </c>
    </row>
    <row r="5369" ht="22.5" customHeight="1">
      <c r="B5369" s="42" t="str">
        <f>IFERROR(__xludf.DUMMYFUNCTION("""COMPUTED_VALUE"""),"K/27/300625/1")</f>
        <v>K/27/300625/1</v>
      </c>
      <c r="C5369" s="42" t="str">
        <f>IFERROR(__xludf.DUMMYFUNCTION("""COMPUTED_VALUE"""),"M. 894/ Tanjungkarang")</f>
        <v>M. 894/ Tanjungkarang</v>
      </c>
      <c r="D5369" s="42" t="str">
        <f>IFERROR(__xludf.DUMMYFUNCTION("""COMPUTED_VALUE"""),"Berry")</f>
        <v>Berry</v>
      </c>
      <c r="E5369" s="42" t="str">
        <f>IFERROR(__xludf.DUMMYFUNCTION("""COMPUTED_VALUE"""),"DISERAHKAN")</f>
        <v>DISERAHKAN</v>
      </c>
      <c r="F5369" s="48">
        <f>IFERROR(__xludf.DUMMYFUNCTION("""COMPUTED_VALUE"""),45847.48814509259)</f>
        <v>45847.48815</v>
      </c>
      <c r="G5369" s="42" t="str">
        <f>IFERROR(__xludf.DUMMYFUNCTION("""COMPUTED_VALUE"""),"BN JUAL BELI")</f>
        <v>BN JUAL BELI</v>
      </c>
      <c r="H5369" s="42">
        <f t="shared" si="1"/>
        <v>2384</v>
      </c>
    </row>
    <row r="5370" ht="22.5" customHeight="1">
      <c r="B5370" s="42" t="str">
        <f>IFERROR(__xludf.DUMMYFUNCTION("""COMPUTED_VALUE"""),"K/21/300625/3")</f>
        <v>K/21/300625/3</v>
      </c>
      <c r="C5370" s="42" t="str">
        <f>IFERROR(__xludf.DUMMYFUNCTION("""COMPUTED_VALUE"""),"M. 2056/LABUHAN DALAM")</f>
        <v>M. 2056/LABUHAN DALAM</v>
      </c>
      <c r="D5370" s="42"/>
      <c r="E5370" s="42"/>
      <c r="F5370" s="48" t="str">
        <f>IFERROR(__xludf.DUMMYFUNCTION("""COMPUTED_VALUE"""),"")</f>
        <v/>
      </c>
      <c r="G5370" s="42" t="str">
        <f>IFERROR(__xludf.DUMMYFUNCTION("""COMPUTED_VALUE"""),"SKPT LELANG")</f>
        <v>SKPT LELANG</v>
      </c>
      <c r="H5370" s="42">
        <f t="shared" si="1"/>
        <v>2384</v>
      </c>
    </row>
    <row r="5371" ht="22.5" customHeight="1">
      <c r="B5371" s="42" t="str">
        <f>IFERROR(__xludf.DUMMYFUNCTION("""COMPUTED_VALUE"""),"K/1/26/6/25/1")</f>
        <v>K/1/26/6/25/1</v>
      </c>
      <c r="C5371" s="42" t="str">
        <f>IFERROR(__xludf.DUMMYFUNCTION("""COMPUTED_VALUE"""),"M.11548/SUKABUMI")</f>
        <v>M.11548/SUKABUMI</v>
      </c>
      <c r="D5371" s="42"/>
      <c r="E5371" s="42"/>
      <c r="F5371" s="48" t="str">
        <f>IFERROR(__xludf.DUMMYFUNCTION("""COMPUTED_VALUE"""),"")</f>
        <v/>
      </c>
      <c r="G5371" s="42" t="str">
        <f>IFERROR(__xludf.DUMMYFUNCTION("""COMPUTED_VALUE"""),"SKPT LELANG")</f>
        <v>SKPT LELANG</v>
      </c>
      <c r="H5371" s="42">
        <f t="shared" si="1"/>
        <v>2384</v>
      </c>
    </row>
    <row r="5372" ht="22.5" customHeight="1">
      <c r="B5372" s="42" t="str">
        <f>IFERROR(__xludf.DUMMYFUNCTION("""COMPUTED_VALUE"""),"K/1/010725/1")</f>
        <v>K/1/010725/1</v>
      </c>
      <c r="C5372" s="42" t="str">
        <f>IFERROR(__xludf.DUMMYFUNCTION("""COMPUTED_VALUE"""),"Nibel 20301/ Labuhan Ratu Raya")</f>
        <v>Nibel 20301/ Labuhan Ratu Raya</v>
      </c>
      <c r="D5372" s="42"/>
      <c r="E5372" s="42"/>
      <c r="F5372" s="48" t="str">
        <f>IFERROR(__xludf.DUMMYFUNCTION("""COMPUTED_VALUE"""),"")</f>
        <v/>
      </c>
      <c r="G5372" s="42" t="str">
        <f>IFERROR(__xludf.DUMMYFUNCTION("""COMPUTED_VALUE"""),"PERUBAHAN HAK")</f>
        <v>PERUBAHAN HAK</v>
      </c>
      <c r="H5372" s="42">
        <f t="shared" si="1"/>
        <v>2384</v>
      </c>
    </row>
    <row r="5373" ht="22.5" customHeight="1">
      <c r="B5373" s="42" t="str">
        <f>IFERROR(__xludf.DUMMYFUNCTION("""COMPUTED_VALUE"""),"L/2/010725/1")</f>
        <v>L/2/010725/1</v>
      </c>
      <c r="C5373" s="42" t="str">
        <f>IFERROR(__xludf.DUMMYFUNCTION("""COMPUTED_VALUE"""),"HGB 605/NUSANTARA PERMAI")</f>
        <v>HGB 605/NUSANTARA PERMAI</v>
      </c>
      <c r="D5373" s="42" t="str">
        <f>IFERROR(__xludf.DUMMYFUNCTION("""COMPUTED_VALUE"""),"Berry")</f>
        <v>Berry</v>
      </c>
      <c r="E5373" s="42" t="str">
        <f>IFERROR(__xludf.DUMMYFUNCTION("""COMPUTED_VALUE"""),"DISERAHKAN")</f>
        <v>DISERAHKAN</v>
      </c>
      <c r="F5373" s="48">
        <f>IFERROR(__xludf.DUMMYFUNCTION("""COMPUTED_VALUE"""),45852.639752337964)</f>
        <v>45852.63975</v>
      </c>
      <c r="G5373" s="42" t="str">
        <f>IFERROR(__xludf.DUMMYFUNCTION("""COMPUTED_VALUE"""),"PH")</f>
        <v>PH</v>
      </c>
      <c r="H5373" s="42">
        <f t="shared" si="1"/>
        <v>2385</v>
      </c>
    </row>
    <row r="5374" ht="22.5" customHeight="1">
      <c r="B5374" s="42" t="str">
        <f>IFERROR(__xludf.DUMMYFUNCTION("""COMPUTED_VALUE"""),"L/3/010725/1")</f>
        <v>L/3/010725/1</v>
      </c>
      <c r="C5374" s="42" t="str">
        <f>IFERROR(__xludf.DUMMYFUNCTION("""COMPUTED_VALUE"""),"NIB 3525/SUSUNAN BARU")</f>
        <v>NIB 3525/SUSUNAN BARU</v>
      </c>
      <c r="D5374" s="42"/>
      <c r="E5374" s="42"/>
      <c r="F5374" s="48" t="str">
        <f>IFERROR(__xludf.DUMMYFUNCTION("""COMPUTED_VALUE"""),"")</f>
        <v/>
      </c>
      <c r="G5374" s="42" t="str">
        <f>IFERROR(__xludf.DUMMYFUNCTION("""COMPUTED_VALUE"""),"SKPT INFORMASI")</f>
        <v>SKPT INFORMASI</v>
      </c>
      <c r="H5374" s="42">
        <f t="shared" si="1"/>
        <v>2385</v>
      </c>
    </row>
    <row r="5375" ht="22.5" customHeight="1">
      <c r="B5375" s="42" t="str">
        <f>IFERROR(__xludf.DUMMYFUNCTION("""COMPUTED_VALUE"""),"K/4/010725/1")</f>
        <v>K/4/010725/1</v>
      </c>
      <c r="C5375" s="42" t="str">
        <f>IFERROR(__xludf.DUMMYFUNCTION("""COMPUTED_VALUE"""),"M.498/PINANG JAYA")</f>
        <v>M.498/PINANG JAYA</v>
      </c>
      <c r="D5375" s="42"/>
      <c r="E5375" s="42"/>
      <c r="F5375" s="48" t="str">
        <f>IFERROR(__xludf.DUMMYFUNCTION("""COMPUTED_VALUE"""),"")</f>
        <v/>
      </c>
      <c r="G5375" s="42" t="str">
        <f>IFERROR(__xludf.DUMMYFUNCTION("""COMPUTED_VALUE"""),"PTPGT ")</f>
        <v>PTPGT </v>
      </c>
      <c r="H5375" s="42">
        <f t="shared" si="1"/>
        <v>2385</v>
      </c>
    </row>
    <row r="5376" ht="22.5" customHeight="1">
      <c r="B5376" s="42" t="str">
        <f>IFERROR(__xludf.DUMMYFUNCTION("""COMPUTED_VALUE"""),"K/5/010725/1")</f>
        <v>K/5/010725/1</v>
      </c>
      <c r="C5376" s="42" t="str">
        <f>IFERROR(__xludf.DUMMYFUNCTION("""COMPUTED_VALUE"""),"SK 254/ HGB/BPN.18.71/III/2025")</f>
        <v>SK 254/ HGB/BPN.18.71/III/2025</v>
      </c>
      <c r="D5376" s="42"/>
      <c r="E5376" s="42"/>
      <c r="F5376" s="48" t="str">
        <f>IFERROR(__xludf.DUMMYFUNCTION("""COMPUTED_VALUE"""),"")</f>
        <v/>
      </c>
      <c r="G5376" s="42" t="str">
        <f>IFERROR(__xludf.DUMMYFUNCTION("""COMPUTED_VALUE"""),"PENDAFTARAN SK")</f>
        <v>PENDAFTARAN SK</v>
      </c>
      <c r="H5376" s="42">
        <f t="shared" si="1"/>
        <v>2385</v>
      </c>
    </row>
    <row r="5377" ht="22.5" customHeight="1">
      <c r="B5377" s="42" t="str">
        <f>IFERROR(__xludf.DUMMYFUNCTION("""COMPUTED_VALUE"""),"L/6/010725/1")</f>
        <v>L/6/010725/1</v>
      </c>
      <c r="C5377" s="42" t="str">
        <f>IFERROR(__xludf.DUMMYFUNCTION("""COMPUTED_VALUE"""),"GOTONG ROYONG")</f>
        <v>GOTONG ROYONG</v>
      </c>
      <c r="D5377" s="42"/>
      <c r="E5377" s="42"/>
      <c r="F5377" s="48" t="str">
        <f>IFERROR(__xludf.DUMMYFUNCTION("""COMPUTED_VALUE"""),"")</f>
        <v/>
      </c>
      <c r="G5377" s="42" t="str">
        <f>IFERROR(__xludf.DUMMYFUNCTION("""COMPUTED_VALUE"""),"PERTAMA KALI")</f>
        <v>PERTAMA KALI</v>
      </c>
      <c r="H5377" s="42">
        <f t="shared" si="1"/>
        <v>2385</v>
      </c>
    </row>
    <row r="5378" ht="22.5" customHeight="1">
      <c r="B5378" s="42" t="str">
        <f>IFERROR(__xludf.DUMMYFUNCTION("""COMPUTED_VALUE"""),"K/7/010725/1")</f>
        <v>K/7/010725/1</v>
      </c>
      <c r="C5378" s="42" t="str">
        <f>IFERROR(__xludf.DUMMYFUNCTION("""COMPUTED_VALUE"""),"PBT 312/2024 KAMPUNG BARU")</f>
        <v>PBT 312/2024 KAMPUNG BARU</v>
      </c>
      <c r="D5378" s="42"/>
      <c r="E5378" s="42"/>
      <c r="F5378" s="48" t="str">
        <f>IFERROR(__xludf.DUMMYFUNCTION("""COMPUTED_VALUE"""),"")</f>
        <v/>
      </c>
      <c r="G5378" s="42" t="str">
        <f>IFERROR(__xludf.DUMMYFUNCTION("""COMPUTED_VALUE"""),"PERMOHONAN SK")</f>
        <v>PERMOHONAN SK</v>
      </c>
      <c r="H5378" s="42">
        <f t="shared" si="1"/>
        <v>2385</v>
      </c>
    </row>
    <row r="5379" ht="22.5" customHeight="1">
      <c r="B5379" s="42" t="str">
        <f>IFERROR(__xludf.DUMMYFUNCTION("""COMPUTED_VALUE"""),"L/9/010725/1")</f>
        <v>L/9/010725/1</v>
      </c>
      <c r="C5379" s="42" t="str">
        <f>IFERROR(__xludf.DUMMYFUNCTION("""COMPUTED_VALUE"""),"HM 395/GUNUNG TERANG")</f>
        <v>HM 395/GUNUNG TERANG</v>
      </c>
      <c r="D5379" s="42" t="str">
        <f>IFERROR(__xludf.DUMMYFUNCTION("""COMPUTED_VALUE"""),"Berry")</f>
        <v>Berry</v>
      </c>
      <c r="E5379" s="42" t="str">
        <f>IFERROR(__xludf.DUMMYFUNCTION("""COMPUTED_VALUE"""),"DISERAHKAN")</f>
        <v>DISERAHKAN</v>
      </c>
      <c r="F5379" s="48">
        <f>IFERROR(__xludf.DUMMYFUNCTION("""COMPUTED_VALUE"""),45869.49735935185)</f>
        <v>45869.49736</v>
      </c>
      <c r="G5379" s="42" t="str">
        <f>IFERROR(__xludf.DUMMYFUNCTION("""COMPUTED_VALUE"""),"BN WARIS")</f>
        <v>BN WARIS</v>
      </c>
      <c r="H5379" s="42">
        <f t="shared" si="1"/>
        <v>2386</v>
      </c>
    </row>
    <row r="5380" ht="22.5" customHeight="1">
      <c r="B5380" s="42" t="str">
        <f>IFERROR(__xludf.DUMMYFUNCTION("""COMPUTED_VALUE"""),"K/8/010725/1")</f>
        <v>K/8/010725/1</v>
      </c>
      <c r="C5380" s="42" t="str">
        <f>IFERROR(__xludf.DUMMYFUNCTION("""COMPUTED_VALUE"""),"TNAH MENTAH")</f>
        <v>TNAH MENTAH</v>
      </c>
      <c r="D5380" s="42"/>
      <c r="E5380" s="42"/>
      <c r="F5380" s="48" t="str">
        <f>IFERROR(__xludf.DUMMYFUNCTION("""COMPUTED_VALUE"""),"")</f>
        <v/>
      </c>
      <c r="G5380" s="42" t="str">
        <f>IFERROR(__xludf.DUMMYFUNCTION("""COMPUTED_VALUE"""),"PENGUKURAN PERTAMA KALI")</f>
        <v>PENGUKURAN PERTAMA KALI</v>
      </c>
      <c r="H5380" s="42">
        <f t="shared" si="1"/>
        <v>2386</v>
      </c>
    </row>
    <row r="5381" ht="22.5" customHeight="1">
      <c r="B5381" s="42" t="str">
        <f>IFERROR(__xludf.DUMMYFUNCTION("""COMPUTED_VALUE"""),"L/11/010725/1")</f>
        <v>L/11/010725/1</v>
      </c>
      <c r="C5381" s="42" t="str">
        <f>IFERROR(__xludf.DUMMYFUNCTION("""COMPUTED_VALUE"""),"HM3819/SUMBEREJO K")</f>
        <v>HM3819/SUMBEREJO K</v>
      </c>
      <c r="D5381" s="42" t="str">
        <f>IFERROR(__xludf.DUMMYFUNCTION("""COMPUTED_VALUE"""),"David")</f>
        <v>David</v>
      </c>
      <c r="E5381" s="42" t="str">
        <f>IFERROR(__xludf.DUMMYFUNCTION("""COMPUTED_VALUE"""),"DISERAHKAN")</f>
        <v>DISERAHKAN</v>
      </c>
      <c r="F5381" s="48">
        <f>IFERROR(__xludf.DUMMYFUNCTION("""COMPUTED_VALUE"""),45894.55097660879)</f>
        <v>45894.55098</v>
      </c>
      <c r="G5381" s="42" t="str">
        <f>IFERROR(__xludf.DUMMYFUNCTION("""COMPUTED_VALUE"""),"ROYA")</f>
        <v>ROYA</v>
      </c>
      <c r="H5381" s="42">
        <f t="shared" si="1"/>
        <v>2387</v>
      </c>
    </row>
    <row r="5382" ht="22.5" customHeight="1">
      <c r="B5382" s="42" t="str">
        <f>IFERROR(__xludf.DUMMYFUNCTION("""COMPUTED_VALUE"""),"K/12/010725/1")</f>
        <v>K/12/010725/1</v>
      </c>
      <c r="C5382" s="42" t="str">
        <f>IFERROR(__xludf.DUMMYFUNCTION("""COMPUTED_VALUE"""),"M. 13182/SUKARAME")</f>
        <v>M. 13182/SUKARAME</v>
      </c>
      <c r="D5382" s="42"/>
      <c r="E5382" s="42"/>
      <c r="F5382" s="48" t="str">
        <f>IFERROR(__xludf.DUMMYFUNCTION("""COMPUTED_VALUE"""),"")</f>
        <v/>
      </c>
      <c r="G5382" s="42" t="str">
        <f>IFERROR(__xludf.DUMMYFUNCTION("""COMPUTED_VALUE"""),"SKPT LELANG")</f>
        <v>SKPT LELANG</v>
      </c>
      <c r="H5382" s="42">
        <f t="shared" si="1"/>
        <v>2387</v>
      </c>
    </row>
    <row r="5383" ht="22.5" customHeight="1">
      <c r="B5383" s="42" t="str">
        <f>IFERROR(__xludf.DUMMYFUNCTION("""COMPUTED_VALUE"""),"K/13/010725/1")</f>
        <v>K/13/010725/1</v>
      </c>
      <c r="C5383" s="42" t="str">
        <f>IFERROR(__xludf.DUMMYFUNCTION("""COMPUTED_VALUE"""),"M. 1119/ Bakung")</f>
        <v>M. 1119/ Bakung</v>
      </c>
      <c r="D5383" s="42" t="str">
        <f>IFERROR(__xludf.DUMMYFUNCTION("""COMPUTED_VALUE"""),"Berry")</f>
        <v>Berry</v>
      </c>
      <c r="E5383" s="42" t="str">
        <f>IFERROR(__xludf.DUMMYFUNCTION("""COMPUTED_VALUE"""),"DISERAHKAN")</f>
        <v>DISERAHKAN</v>
      </c>
      <c r="F5383" s="48">
        <f>IFERROR(__xludf.DUMMYFUNCTION("""COMPUTED_VALUE"""),45854.577870532405)</f>
        <v>45854.57787</v>
      </c>
      <c r="G5383" s="42" t="str">
        <f>IFERROR(__xludf.DUMMYFUNCTION("""COMPUTED_VALUE"""),"ROYA")</f>
        <v>ROYA</v>
      </c>
      <c r="H5383" s="42">
        <f t="shared" si="1"/>
        <v>2388</v>
      </c>
    </row>
    <row r="5384" ht="22.5" customHeight="1">
      <c r="B5384" s="42" t="str">
        <f>IFERROR(__xludf.DUMMYFUNCTION("""COMPUTED_VALUE"""),"K/18/010725/1")</f>
        <v>K/18/010725/1</v>
      </c>
      <c r="C5384" s="42" t="str">
        <f>IFERROR(__xludf.DUMMYFUNCTION("""COMPUTED_VALUE"""),"B.2409/CAMPANG JAYA")</f>
        <v>B.2409/CAMPANG JAYA</v>
      </c>
      <c r="D5384" s="42" t="str">
        <f>IFERROR(__xludf.DUMMYFUNCTION("""COMPUTED_VALUE"""),"Berry")</f>
        <v>Berry</v>
      </c>
      <c r="E5384" s="42" t="str">
        <f>IFERROR(__xludf.DUMMYFUNCTION("""COMPUTED_VALUE"""),"DISERAHKAN")</f>
        <v>DISERAHKAN</v>
      </c>
      <c r="F5384" s="48">
        <f>IFERROR(__xludf.DUMMYFUNCTION("""COMPUTED_VALUE"""),45847.4923092824)</f>
        <v>45847.49231</v>
      </c>
      <c r="G5384" s="42" t="str">
        <f>IFERROR(__xludf.DUMMYFUNCTION("""COMPUTED_VALUE"""),"BN JUAL BELI")</f>
        <v>BN JUAL BELI</v>
      </c>
      <c r="H5384" s="42">
        <f t="shared" si="1"/>
        <v>2389</v>
      </c>
    </row>
    <row r="5385" ht="22.5" customHeight="1">
      <c r="B5385" s="42" t="str">
        <f>IFERROR(__xludf.DUMMYFUNCTION("""COMPUTED_VALUE"""),"K/14/010725/2")</f>
        <v>K/14/010725/2</v>
      </c>
      <c r="C5385" s="42" t="str">
        <f>IFERROR(__xludf.DUMMYFUNCTION("""COMPUTED_VALUE"""),"M. 2463/ Sukarame Baru")</f>
        <v>M. 2463/ Sukarame Baru</v>
      </c>
      <c r="D5385" s="42" t="str">
        <f>IFERROR(__xludf.DUMMYFUNCTION("""COMPUTED_VALUE"""),"Berry")</f>
        <v>Berry</v>
      </c>
      <c r="E5385" s="42" t="str">
        <f>IFERROR(__xludf.DUMMYFUNCTION("""COMPUTED_VALUE"""),"DISERAHKAN")</f>
        <v>DISERAHKAN</v>
      </c>
      <c r="F5385" s="48">
        <f>IFERROR(__xludf.DUMMYFUNCTION("""COMPUTED_VALUE"""),45859.62505109954)</f>
        <v>45859.62505</v>
      </c>
      <c r="G5385" s="42" t="str">
        <f>IFERROR(__xludf.DUMMYFUNCTION("""COMPUTED_VALUE"""),"BN JUAL BELI")</f>
        <v>BN JUAL BELI</v>
      </c>
      <c r="H5385" s="42">
        <f t="shared" si="1"/>
        <v>2390</v>
      </c>
    </row>
    <row r="5386" ht="22.5" customHeight="1">
      <c r="B5386" s="42" t="str">
        <f>IFERROR(__xludf.DUMMYFUNCTION("""COMPUTED_VALUE"""),"K/15/010725/3")</f>
        <v>K/15/010725/3</v>
      </c>
      <c r="C5386" s="42" t="str">
        <f>IFERROR(__xludf.DUMMYFUNCTION("""COMPUTED_VALUE"""),"M. 918/ Jagabaya III")</f>
        <v>M. 918/ Jagabaya III</v>
      </c>
      <c r="D5386" s="42" t="str">
        <f>IFERROR(__xludf.DUMMYFUNCTION("""COMPUTED_VALUE"""),"Berry")</f>
        <v>Berry</v>
      </c>
      <c r="E5386" s="42" t="str">
        <f>IFERROR(__xludf.DUMMYFUNCTION("""COMPUTED_VALUE"""),"DISERAHKAN")</f>
        <v>DISERAHKAN</v>
      </c>
      <c r="F5386" s="48">
        <f>IFERROR(__xludf.DUMMYFUNCTION("""COMPUTED_VALUE"""),45856.5205374537)</f>
        <v>45856.52054</v>
      </c>
      <c r="G5386" s="42" t="str">
        <f>IFERROR(__xludf.DUMMYFUNCTION("""COMPUTED_VALUE"""),"BN JUAL BELI")</f>
        <v>BN JUAL BELI</v>
      </c>
      <c r="H5386" s="42">
        <f t="shared" si="1"/>
        <v>2391</v>
      </c>
    </row>
    <row r="5387" ht="22.5" customHeight="1">
      <c r="B5387" s="42" t="str">
        <f>IFERROR(__xludf.DUMMYFUNCTION("""COMPUTED_VALUE"""),"K/10/010725/1")</f>
        <v>K/10/010725/1</v>
      </c>
      <c r="C5387" s="42" t="str">
        <f>IFERROR(__xludf.DUMMYFUNCTION("""COMPUTED_VALUE"""),"B.748/SUMUR PUTRI")</f>
        <v>B.748/SUMUR PUTRI</v>
      </c>
      <c r="D5387" s="42" t="str">
        <f>IFERROR(__xludf.DUMMYFUNCTION("""COMPUTED_VALUE"""),"David")</f>
        <v>David</v>
      </c>
      <c r="E5387" s="42" t="str">
        <f>IFERROR(__xludf.DUMMYFUNCTION("""COMPUTED_VALUE"""),"DISERAHKAN")</f>
        <v>DISERAHKAN</v>
      </c>
      <c r="F5387" s="48">
        <f>IFERROR(__xludf.DUMMYFUNCTION("""COMPUTED_VALUE"""),45848.52738834491)</f>
        <v>45848.52739</v>
      </c>
      <c r="G5387" s="42" t="str">
        <f>IFERROR(__xludf.DUMMYFUNCTION("""COMPUTED_VALUE"""),"JUAL BELI")</f>
        <v>JUAL BELI</v>
      </c>
      <c r="H5387" s="42">
        <f t="shared" si="1"/>
        <v>2392</v>
      </c>
    </row>
    <row r="5388" ht="22.5" customHeight="1">
      <c r="B5388" s="42" t="str">
        <f>IFERROR(__xludf.DUMMYFUNCTION("""COMPUTED_VALUE"""),"K/16/010725/4")</f>
        <v>K/16/010725/4</v>
      </c>
      <c r="C5388" s="42" t="str">
        <f>IFERROR(__xludf.DUMMYFUNCTION("""COMPUTED_VALUE"""),"M. 919/ Jagabaya III")</f>
        <v>M. 919/ Jagabaya III</v>
      </c>
      <c r="D5388" s="42" t="str">
        <f>IFERROR(__xludf.DUMMYFUNCTION("""COMPUTED_VALUE"""),"Berry")</f>
        <v>Berry</v>
      </c>
      <c r="E5388" s="42" t="str">
        <f>IFERROR(__xludf.DUMMYFUNCTION("""COMPUTED_VALUE"""),"DISERAHKAN")</f>
        <v>DISERAHKAN</v>
      </c>
      <c r="F5388" s="48">
        <f>IFERROR(__xludf.DUMMYFUNCTION("""COMPUTED_VALUE"""),45859.619423807875)</f>
        <v>45859.61942</v>
      </c>
      <c r="G5388" s="42" t="str">
        <f>IFERROR(__xludf.DUMMYFUNCTION("""COMPUTED_VALUE"""),"BN JUAL BELI")</f>
        <v>BN JUAL BELI</v>
      </c>
      <c r="H5388" s="42">
        <f t="shared" si="1"/>
        <v>2393</v>
      </c>
    </row>
    <row r="5389" ht="22.5" customHeight="1">
      <c r="B5389" s="42" t="str">
        <f>IFERROR(__xludf.DUMMYFUNCTION("""COMPUTED_VALUE"""),"K/19/010725/1")</f>
        <v>K/19/010725/1</v>
      </c>
      <c r="C5389" s="42" t="str">
        <f>IFERROR(__xludf.DUMMYFUNCTION("""COMPUTED_VALUE"""),"NIBEL M 19178/WAY KANDIS ")</f>
        <v>NIBEL M 19178/WAY KANDIS </v>
      </c>
      <c r="D5389" s="42"/>
      <c r="E5389" s="42"/>
      <c r="F5389" s="48" t="str">
        <f>IFERROR(__xludf.DUMMYFUNCTION("""COMPUTED_VALUE"""),"")</f>
        <v/>
      </c>
      <c r="G5389" s="42" t="str">
        <f>IFERROR(__xludf.DUMMYFUNCTION("""COMPUTED_VALUE"""),"JUAL BELI")</f>
        <v>JUAL BELI</v>
      </c>
      <c r="H5389" s="42">
        <f t="shared" si="1"/>
        <v>2393</v>
      </c>
    </row>
    <row r="5390" ht="22.5" customHeight="1">
      <c r="B5390" s="42" t="str">
        <f>IFERROR(__xludf.DUMMYFUNCTION("""COMPUTED_VALUE"""),"K/20/010725/2")</f>
        <v>K/20/010725/2</v>
      </c>
      <c r="C5390" s="42" t="str">
        <f>IFERROR(__xludf.DUMMYFUNCTION("""COMPUTED_VALUE"""),"M.6962/TANJUNG SENENG")</f>
        <v>M.6962/TANJUNG SENENG</v>
      </c>
      <c r="D5390" s="42" t="str">
        <f>IFERROR(__xludf.DUMMYFUNCTION("""COMPUTED_VALUE"""),"David")</f>
        <v>David</v>
      </c>
      <c r="E5390" s="42" t="str">
        <f>IFERROR(__xludf.DUMMYFUNCTION("""COMPUTED_VALUE"""),"DISERAHKAN")</f>
        <v>DISERAHKAN</v>
      </c>
      <c r="F5390" s="48">
        <f>IFERROR(__xludf.DUMMYFUNCTION("""COMPUTED_VALUE"""),45848.526242314816)</f>
        <v>45848.52624</v>
      </c>
      <c r="G5390" s="42" t="str">
        <f>IFERROR(__xludf.DUMMYFUNCTION("""COMPUTED_VALUE"""),"JUAL BELI")</f>
        <v>JUAL BELI</v>
      </c>
      <c r="H5390" s="42">
        <f t="shared" si="1"/>
        <v>2394</v>
      </c>
    </row>
    <row r="5391" ht="22.5" customHeight="1">
      <c r="B5391" s="42" t="str">
        <f>IFERROR(__xludf.DUMMYFUNCTION("""COMPUTED_VALUE"""),"K/17/010725/5")</f>
        <v>K/17/010725/5</v>
      </c>
      <c r="C5391" s="42" t="str">
        <f>IFERROR(__xludf.DUMMYFUNCTION("""COMPUTED_VALUE"""),"Nibel 20403/ Bumi Raya")</f>
        <v>Nibel 20403/ Bumi Raya</v>
      </c>
      <c r="D5391" s="42"/>
      <c r="E5391" s="42"/>
      <c r="F5391" s="48" t="str">
        <f>IFERROR(__xludf.DUMMYFUNCTION("""COMPUTED_VALUE"""),"")</f>
        <v/>
      </c>
      <c r="G5391" s="42" t="str">
        <f>IFERROR(__xludf.DUMMYFUNCTION("""COMPUTED_VALUE"""),"BN PHB")</f>
        <v>BN PHB</v>
      </c>
      <c r="H5391" s="42">
        <f t="shared" si="1"/>
        <v>2394</v>
      </c>
    </row>
    <row r="5392" ht="22.5" customHeight="1">
      <c r="B5392" s="42" t="str">
        <f>IFERROR(__xludf.DUMMYFUNCTION("""COMPUTED_VALUE"""),"K/22/010725/1")</f>
        <v>K/22/010725/1</v>
      </c>
      <c r="C5392" s="42" t="str">
        <f>IFERROR(__xludf.DUMMYFUNCTION("""COMPUTED_VALUE"""),"M. 12729/ Kedamaian")</f>
        <v>M. 12729/ Kedamaian</v>
      </c>
      <c r="D5392" s="42" t="str">
        <f>IFERROR(__xludf.DUMMYFUNCTION("""COMPUTED_VALUE"""),"Berry")</f>
        <v>Berry</v>
      </c>
      <c r="E5392" s="42" t="str">
        <f>IFERROR(__xludf.DUMMYFUNCTION("""COMPUTED_VALUE"""),"DISERAHKAN")</f>
        <v>DISERAHKAN</v>
      </c>
      <c r="F5392" s="48">
        <f>IFERROR(__xludf.DUMMYFUNCTION("""COMPUTED_VALUE"""),45880.71724219907)</f>
        <v>45880.71724</v>
      </c>
      <c r="G5392" s="42" t="str">
        <f>IFERROR(__xludf.DUMMYFUNCTION("""COMPUTED_VALUE"""),"BN JUAL BELI")</f>
        <v>BN JUAL BELI</v>
      </c>
      <c r="H5392" s="42">
        <f t="shared" si="1"/>
        <v>2395</v>
      </c>
    </row>
    <row r="5393" ht="22.5" customHeight="1">
      <c r="B5393" s="42" t="str">
        <f>IFERROR(__xludf.DUMMYFUNCTION("""COMPUTED_VALUE"""),"K/21/010725/1")</f>
        <v>K/21/010725/1</v>
      </c>
      <c r="C5393" s="42" t="str">
        <f>IFERROR(__xludf.DUMMYFUNCTION("""COMPUTED_VALUE"""),"M.2448/KEDAUNG")</f>
        <v>M.2448/KEDAUNG</v>
      </c>
      <c r="D5393" s="42" t="str">
        <f>IFERROR(__xludf.DUMMYFUNCTION("""COMPUTED_VALUE"""),"Berry")</f>
        <v>Berry</v>
      </c>
      <c r="E5393" s="42" t="str">
        <f>IFERROR(__xludf.DUMMYFUNCTION("""COMPUTED_VALUE"""),"DISERAHKAN")</f>
        <v>DISERAHKAN</v>
      </c>
      <c r="F5393" s="48">
        <f>IFERROR(__xludf.DUMMYFUNCTION("""COMPUTED_VALUE"""),45852.628889583335)</f>
        <v>45852.62889</v>
      </c>
      <c r="G5393" s="42" t="str">
        <f>IFERROR(__xludf.DUMMYFUNCTION("""COMPUTED_VALUE"""),"JUAL BELI")</f>
        <v>JUAL BELI</v>
      </c>
      <c r="H5393" s="42">
        <f t="shared" si="1"/>
        <v>2396</v>
      </c>
    </row>
    <row r="5394" ht="22.5" customHeight="1">
      <c r="B5394" s="42" t="str">
        <f>IFERROR(__xludf.DUMMYFUNCTION("""COMPUTED_VALUE"""),"K/23/010725/2")</f>
        <v>K/23/010725/2</v>
      </c>
      <c r="C5394" s="42" t="str">
        <f>IFERROR(__xludf.DUMMYFUNCTION("""COMPUTED_VALUE"""),"M. 12728/ Kedamaian")</f>
        <v>M. 12728/ Kedamaian</v>
      </c>
      <c r="D5394" s="42" t="str">
        <f>IFERROR(__xludf.DUMMYFUNCTION("""COMPUTED_VALUE"""),"David")</f>
        <v>David</v>
      </c>
      <c r="E5394" s="42" t="str">
        <f>IFERROR(__xludf.DUMMYFUNCTION("""COMPUTED_VALUE"""),"DISERAHKAN")</f>
        <v>DISERAHKAN</v>
      </c>
      <c r="F5394" s="48">
        <f>IFERROR(__xludf.DUMMYFUNCTION("""COMPUTED_VALUE"""),45880.715402013884)</f>
        <v>45880.7154</v>
      </c>
      <c r="G5394" s="42" t="str">
        <f>IFERROR(__xludf.DUMMYFUNCTION("""COMPUTED_VALUE"""),"BN JUAL BELI")</f>
        <v>BN JUAL BELI</v>
      </c>
      <c r="H5394" s="42">
        <f t="shared" si="1"/>
        <v>2397</v>
      </c>
    </row>
    <row r="5395" ht="22.5" customHeight="1">
      <c r="B5395" s="42" t="str">
        <f>IFERROR(__xludf.DUMMYFUNCTION("""COMPUTED_VALUE"""),"K/24/010725/3")</f>
        <v>K/24/010725/3</v>
      </c>
      <c r="C5395" s="42" t="str">
        <f>IFERROR(__xludf.DUMMYFUNCTION("""COMPUTED_VALUE"""),"M. 12725/ Kedamaian")</f>
        <v>M. 12725/ Kedamaian</v>
      </c>
      <c r="D5395" s="42" t="str">
        <f>IFERROR(__xludf.DUMMYFUNCTION("""COMPUTED_VALUE"""),"David")</f>
        <v>David</v>
      </c>
      <c r="E5395" s="42" t="str">
        <f>IFERROR(__xludf.DUMMYFUNCTION("""COMPUTED_VALUE"""),"DISERAHKAN")</f>
        <v>DISERAHKAN</v>
      </c>
      <c r="F5395" s="48">
        <f>IFERROR(__xludf.DUMMYFUNCTION("""COMPUTED_VALUE"""),45849.42559938657)</f>
        <v>45849.4256</v>
      </c>
      <c r="G5395" s="42" t="str">
        <f>IFERROR(__xludf.DUMMYFUNCTION("""COMPUTED_VALUE"""),"BN JUAL BELI")</f>
        <v>BN JUAL BELI</v>
      </c>
      <c r="H5395" s="42">
        <f t="shared" si="1"/>
        <v>2398</v>
      </c>
    </row>
    <row r="5396" ht="22.5" customHeight="1">
      <c r="B5396" s="42" t="str">
        <f>IFERROR(__xludf.DUMMYFUNCTION("""COMPUTED_VALUE"""),"L/26/010725/1")</f>
        <v>L/26/010725/1</v>
      </c>
      <c r="C5396" s="42" t="str">
        <f>IFERROR(__xludf.DUMMYFUNCTION("""COMPUTED_VALUE"""),"HM 159/SUKABUMI INDAH")</f>
        <v>HM 159/SUKABUMI INDAH</v>
      </c>
      <c r="D5396" s="42" t="str">
        <f>IFERROR(__xludf.DUMMYFUNCTION("""COMPUTED_VALUE"""),"Berry")</f>
        <v>Berry</v>
      </c>
      <c r="E5396" s="42" t="str">
        <f>IFERROR(__xludf.DUMMYFUNCTION("""COMPUTED_VALUE"""),"DISERAHKAN")</f>
        <v>DISERAHKAN</v>
      </c>
      <c r="F5396" s="48">
        <f>IFERROR(__xludf.DUMMYFUNCTION("""COMPUTED_VALUE"""),45898.65033024305)</f>
        <v>45898.65033</v>
      </c>
      <c r="G5396" s="42" t="str">
        <f>IFERROR(__xludf.DUMMYFUNCTION("""COMPUTED_VALUE"""),"ROYA")</f>
        <v>ROYA</v>
      </c>
      <c r="H5396" s="42">
        <f t="shared" si="1"/>
        <v>2399</v>
      </c>
    </row>
    <row r="5397" ht="22.5" customHeight="1">
      <c r="B5397" s="42" t="str">
        <f>IFERROR(__xludf.DUMMYFUNCTION("""COMPUTED_VALUE"""),"K/25/010725/4")</f>
        <v>K/25/010725/4</v>
      </c>
      <c r="C5397" s="42" t="str">
        <f>IFERROR(__xludf.DUMMYFUNCTION("""COMPUTED_VALUE"""),"M. 9259/ Kedamaian")</f>
        <v>M. 9259/ Kedamaian</v>
      </c>
      <c r="D5397" s="42" t="str">
        <f>IFERROR(__xludf.DUMMYFUNCTION("""COMPUTED_VALUE"""),"Berry")</f>
        <v>Berry</v>
      </c>
      <c r="E5397" s="42" t="str">
        <f>IFERROR(__xludf.DUMMYFUNCTION("""COMPUTED_VALUE"""),"DISERAHKAN")</f>
        <v>DISERAHKAN</v>
      </c>
      <c r="F5397" s="48">
        <f>IFERROR(__xludf.DUMMYFUNCTION("""COMPUTED_VALUE"""),45868.64909769676)</f>
        <v>45868.6491</v>
      </c>
      <c r="G5397" s="42" t="str">
        <f>IFERROR(__xludf.DUMMYFUNCTION("""COMPUTED_VALUE"""),"BN JUAL BELI")</f>
        <v>BN JUAL BELI</v>
      </c>
      <c r="H5397" s="42">
        <f t="shared" si="1"/>
        <v>2400</v>
      </c>
    </row>
    <row r="5398" ht="22.5" customHeight="1">
      <c r="B5398" s="42" t="str">
        <f>IFERROR(__xludf.DUMMYFUNCTION("""COMPUTED_VALUE"""),"K/28/010725/1")</f>
        <v>K/28/010725/1</v>
      </c>
      <c r="C5398" s="42" t="str">
        <f>IFERROR(__xludf.DUMMYFUNCTION("""COMPUTED_VALUE"""),"M. 2614/ Kupang Teba")</f>
        <v>M. 2614/ Kupang Teba</v>
      </c>
      <c r="D5398" s="42" t="str">
        <f>IFERROR(__xludf.DUMMYFUNCTION("""COMPUTED_VALUE"""),"Berry")</f>
        <v>Berry</v>
      </c>
      <c r="E5398" s="42" t="str">
        <f>IFERROR(__xludf.DUMMYFUNCTION("""COMPUTED_VALUE"""),"DISERAHKAN")</f>
        <v>DISERAHKAN</v>
      </c>
      <c r="F5398" s="48">
        <f>IFERROR(__xludf.DUMMYFUNCTION("""COMPUTED_VALUE"""),45870.674330532405)</f>
        <v>45870.67433</v>
      </c>
      <c r="G5398" s="42" t="str">
        <f>IFERROR(__xludf.DUMMYFUNCTION("""COMPUTED_VALUE"""),"bn waris")</f>
        <v>bn waris</v>
      </c>
      <c r="H5398" s="42">
        <f t="shared" si="1"/>
        <v>2401</v>
      </c>
    </row>
    <row r="5399" ht="22.5" customHeight="1">
      <c r="B5399" s="42" t="str">
        <f>IFERROR(__xludf.DUMMYFUNCTION("""COMPUTED_VALUE"""),"K/29/010725/1")</f>
        <v>K/29/010725/1</v>
      </c>
      <c r="C5399" s="42" t="str">
        <f>IFERROR(__xludf.DUMMYFUNCTION("""COMPUTED_VALUE"""),"M. 11691/ Sukabumi")</f>
        <v>M. 11691/ Sukabumi</v>
      </c>
      <c r="D5399" s="42" t="str">
        <f>IFERROR(__xludf.DUMMYFUNCTION("""COMPUTED_VALUE"""),"David")</f>
        <v>David</v>
      </c>
      <c r="E5399" s="42" t="str">
        <f>IFERROR(__xludf.DUMMYFUNCTION("""COMPUTED_VALUE"""),"DISERAHKAN")</f>
        <v>DISERAHKAN</v>
      </c>
      <c r="F5399" s="48">
        <f>IFERROR(__xludf.DUMMYFUNCTION("""COMPUTED_VALUE"""),45856.628879780095)</f>
        <v>45856.62888</v>
      </c>
      <c r="G5399" s="42" t="str">
        <f>IFERROR(__xludf.DUMMYFUNCTION("""COMPUTED_VALUE"""),"ROYA")</f>
        <v>ROYA</v>
      </c>
      <c r="H5399" s="42">
        <f t="shared" si="1"/>
        <v>2402</v>
      </c>
    </row>
    <row r="5400" ht="22.5" customHeight="1">
      <c r="B5400" s="42" t="str">
        <f>IFERROR(__xludf.DUMMYFUNCTION("""COMPUTED_VALUE"""),"K/31/010725/1")</f>
        <v>K/31/010725/1</v>
      </c>
      <c r="C5400" s="42" t="str">
        <f>IFERROR(__xludf.DUMMYFUNCTION("""COMPUTED_VALUE"""),"M. 4721/ Rajabasa Jaya")</f>
        <v>M. 4721/ Rajabasa Jaya</v>
      </c>
      <c r="D5400" s="42" t="str">
        <f>IFERROR(__xludf.DUMMYFUNCTION("""COMPUTED_VALUE"""),"David")</f>
        <v>David</v>
      </c>
      <c r="E5400" s="42" t="str">
        <f>IFERROR(__xludf.DUMMYFUNCTION("""COMPUTED_VALUE"""),"DISERAHKAN")</f>
        <v>DISERAHKAN</v>
      </c>
      <c r="F5400" s="48">
        <f>IFERROR(__xludf.DUMMYFUNCTION("""COMPUTED_VALUE"""),45880.715402013884)</f>
        <v>45880.7154</v>
      </c>
      <c r="G5400" s="42" t="str">
        <f>IFERROR(__xludf.DUMMYFUNCTION("""COMPUTED_VALUE"""),"BN JUAL BELI")</f>
        <v>BN JUAL BELI</v>
      </c>
      <c r="H5400" s="42">
        <f t="shared" si="1"/>
        <v>2403</v>
      </c>
    </row>
    <row r="5401" ht="22.5" customHeight="1">
      <c r="B5401" s="42" t="str">
        <f>IFERROR(__xludf.DUMMYFUNCTION("""COMPUTED_VALUE"""),"K/30/010725/1")</f>
        <v>K/30/010725/1</v>
      </c>
      <c r="C5401" s="42" t="str">
        <f>IFERROR(__xludf.DUMMYFUNCTION("""COMPUTED_VALUE"""),"M.816/WAY DADI")</f>
        <v>M.816/WAY DADI</v>
      </c>
      <c r="D5401" s="42" t="str">
        <f>IFERROR(__xludf.DUMMYFUNCTION("""COMPUTED_VALUE"""),"Berry")</f>
        <v>Berry</v>
      </c>
      <c r="E5401" s="42" t="str">
        <f>IFERROR(__xludf.DUMMYFUNCTION("""COMPUTED_VALUE"""),"DISERAHKAN")</f>
        <v>DISERAHKAN</v>
      </c>
      <c r="F5401" s="48">
        <f>IFERROR(__xludf.DUMMYFUNCTION("""COMPUTED_VALUE"""),45861.62698260417)</f>
        <v>45861.62698</v>
      </c>
      <c r="G5401" s="42" t="str">
        <f>IFERROR(__xludf.DUMMYFUNCTION("""COMPUTED_VALUE"""),"JUAL BELI")</f>
        <v>JUAL BELI</v>
      </c>
      <c r="H5401" s="42">
        <f t="shared" si="1"/>
        <v>2404</v>
      </c>
    </row>
    <row r="5402" ht="22.5" customHeight="1">
      <c r="B5402" s="42" t="str">
        <f>IFERROR(__xludf.DUMMYFUNCTION("""COMPUTED_VALUE"""),"K/37/010725/1")</f>
        <v>K/37/010725/1</v>
      </c>
      <c r="C5402" s="42" t="str">
        <f>IFERROR(__xludf.DUMMYFUNCTION("""COMPUTED_VALUE"""),"M.2698/SUKARAME BARU")</f>
        <v>M.2698/SUKARAME BARU</v>
      </c>
      <c r="D5402" s="42" t="str">
        <f>IFERROR(__xludf.DUMMYFUNCTION("""COMPUTED_VALUE"""),"Berry")</f>
        <v>Berry</v>
      </c>
      <c r="E5402" s="42" t="str">
        <f>IFERROR(__xludf.DUMMYFUNCTION("""COMPUTED_VALUE"""),"DISERAHKAN")</f>
        <v>DISERAHKAN</v>
      </c>
      <c r="F5402" s="48">
        <f>IFERROR(__xludf.DUMMYFUNCTION("""COMPUTED_VALUE"""),45859.63935409722)</f>
        <v>45859.63935</v>
      </c>
      <c r="G5402" s="42" t="str">
        <f>IFERROR(__xludf.DUMMYFUNCTION("""COMPUTED_VALUE"""),"JUAL BELI")</f>
        <v>JUAL BELI</v>
      </c>
      <c r="H5402" s="42">
        <f t="shared" si="1"/>
        <v>2405</v>
      </c>
    </row>
    <row r="5403" ht="22.5" customHeight="1">
      <c r="B5403" s="42" t="str">
        <f>IFERROR(__xludf.DUMMYFUNCTION("""COMPUTED_VALUE"""),"K/32/010725/1")</f>
        <v>K/32/010725/1</v>
      </c>
      <c r="C5403" s="42" t="str">
        <f>IFERROR(__xludf.DUMMYFUNCTION("""COMPUTED_VALUE"""),"M. 182/ Tanjung Senang")</f>
        <v>M. 182/ Tanjung Senang</v>
      </c>
      <c r="D5403" s="42"/>
      <c r="E5403" s="42" t="str">
        <f>IFERROR(__xludf.DUMMYFUNCTION("""COMPUTED_VALUE"""),"DISERAHKAN")</f>
        <v>DISERAHKAN</v>
      </c>
      <c r="F5403" s="48">
        <f>IFERROR(__xludf.DUMMYFUNCTION("""COMPUTED_VALUE"""),45846.419689710645)</f>
        <v>45846.41969</v>
      </c>
      <c r="G5403" s="42" t="str">
        <f>IFERROR(__xludf.DUMMYFUNCTION("""COMPUTED_VALUE"""),"BN Jual Beli")</f>
        <v>BN Jual Beli</v>
      </c>
      <c r="H5403" s="42">
        <f t="shared" si="1"/>
        <v>2406</v>
      </c>
    </row>
    <row r="5404" ht="22.5" customHeight="1">
      <c r="B5404" s="42" t="str">
        <f>IFERROR(__xludf.DUMMYFUNCTION("""COMPUTED_VALUE"""),"K/38/010725/1")</f>
        <v>K/38/010725/1</v>
      </c>
      <c r="C5404" s="42" t="str">
        <f>IFERROR(__xludf.DUMMYFUNCTION("""COMPUTED_VALUE"""),"M.206/GUNUNG MAS ")</f>
        <v>M.206/GUNUNG MAS </v>
      </c>
      <c r="D5404" s="42" t="str">
        <f>IFERROR(__xludf.DUMMYFUNCTION("""COMPUTED_VALUE"""),"Berry")</f>
        <v>Berry</v>
      </c>
      <c r="E5404" s="42" t="str">
        <f>IFERROR(__xludf.DUMMYFUNCTION("""COMPUTED_VALUE"""),"DISERAHKAN")</f>
        <v>DISERAHKAN</v>
      </c>
      <c r="F5404" s="48">
        <f>IFERROR(__xludf.DUMMYFUNCTION("""COMPUTED_VALUE"""),45856.52076737268)</f>
        <v>45856.52077</v>
      </c>
      <c r="G5404" s="42" t="str">
        <f>IFERROR(__xludf.DUMMYFUNCTION("""COMPUTED_VALUE"""),"HIBAH")</f>
        <v>HIBAH</v>
      </c>
      <c r="H5404" s="42">
        <f t="shared" si="1"/>
        <v>2407</v>
      </c>
    </row>
    <row r="5405" ht="22.5" customHeight="1">
      <c r="B5405" s="42" t="str">
        <f>IFERROR(__xludf.DUMMYFUNCTION("""COMPUTED_VALUE"""),"K/33/010725/1")</f>
        <v>K/33/010725/1</v>
      </c>
      <c r="C5405" s="42" t="str">
        <f>IFERROR(__xludf.DUMMYFUNCTION("""COMPUTED_VALUE"""),"M. 124/ Gedung Meneng Baru")</f>
        <v>M. 124/ Gedung Meneng Baru</v>
      </c>
      <c r="D5405" s="42" t="str">
        <f>IFERROR(__xludf.DUMMYFUNCTION("""COMPUTED_VALUE"""),"David")</f>
        <v>David</v>
      </c>
      <c r="E5405" s="42" t="str">
        <f>IFERROR(__xludf.DUMMYFUNCTION("""COMPUTED_VALUE"""),"DISERAHKAN")</f>
        <v>DISERAHKAN</v>
      </c>
      <c r="F5405" s="48">
        <f>IFERROR(__xludf.DUMMYFUNCTION("""COMPUTED_VALUE"""),45880.6305817824)</f>
        <v>45880.63058</v>
      </c>
      <c r="G5405" s="42" t="str">
        <f>IFERROR(__xludf.DUMMYFUNCTION("""COMPUTED_VALUE"""),"BN Waris")</f>
        <v>BN Waris</v>
      </c>
      <c r="H5405" s="42">
        <f t="shared" si="1"/>
        <v>2408</v>
      </c>
    </row>
    <row r="5406" ht="22.5" customHeight="1">
      <c r="B5406" s="42" t="str">
        <f>IFERROR(__xludf.DUMMYFUNCTION("""COMPUTED_VALUE"""),"K/34/010725/2")</f>
        <v>K/34/010725/2</v>
      </c>
      <c r="C5406" s="42" t="str">
        <f>IFERROR(__xludf.DUMMYFUNCTION("""COMPUTED_VALUE"""),"M. 493/ Kota Sepang")</f>
        <v>M. 493/ Kota Sepang</v>
      </c>
      <c r="D5406" s="42" t="str">
        <f>IFERROR(__xludf.DUMMYFUNCTION("""COMPUTED_VALUE"""),"Berry")</f>
        <v>Berry</v>
      </c>
      <c r="E5406" s="42" t="str">
        <f>IFERROR(__xludf.DUMMYFUNCTION("""COMPUTED_VALUE"""),"DISERAHKAN")</f>
        <v>DISERAHKAN</v>
      </c>
      <c r="F5406" s="48">
        <f>IFERROR(__xludf.DUMMYFUNCTION("""COMPUTED_VALUE"""),45860.65836048611)</f>
        <v>45860.65836</v>
      </c>
      <c r="G5406" s="42" t="str">
        <f>IFERROR(__xludf.DUMMYFUNCTION("""COMPUTED_VALUE"""),"BN Waris")</f>
        <v>BN Waris</v>
      </c>
      <c r="H5406" s="42">
        <f t="shared" si="1"/>
        <v>2409</v>
      </c>
    </row>
    <row r="5407" ht="22.5" customHeight="1">
      <c r="B5407" s="42" t="str">
        <f>IFERROR(__xludf.DUMMYFUNCTION("""COMPUTED_VALUE"""),"K/35/010725/1")</f>
        <v>K/35/010725/1</v>
      </c>
      <c r="C5407" s="42" t="str">
        <f>IFERROR(__xludf.DUMMYFUNCTION("""COMPUTED_VALUE"""),"M. 5128/ Rajabasa Jaya")</f>
        <v>M. 5128/ Rajabasa Jaya</v>
      </c>
      <c r="D5407" s="42" t="str">
        <f>IFERROR(__xludf.DUMMYFUNCTION("""COMPUTED_VALUE"""),"Berry")</f>
        <v>Berry</v>
      </c>
      <c r="E5407" s="42" t="str">
        <f>IFERROR(__xludf.DUMMYFUNCTION("""COMPUTED_VALUE"""),"DISERAHKAN")</f>
        <v>DISERAHKAN</v>
      </c>
      <c r="F5407" s="48">
        <f>IFERROR(__xludf.DUMMYFUNCTION("""COMPUTED_VALUE"""),45853.72151120371)</f>
        <v>45853.72151</v>
      </c>
      <c r="G5407" s="42" t="str">
        <f>IFERROR(__xludf.DUMMYFUNCTION("""COMPUTED_VALUE"""),"BN Jual Beli")</f>
        <v>BN Jual Beli</v>
      </c>
      <c r="H5407" s="42">
        <f t="shared" si="1"/>
        <v>2410</v>
      </c>
    </row>
    <row r="5408" ht="22.5" customHeight="1">
      <c r="B5408" s="42" t="str">
        <f>IFERROR(__xludf.DUMMYFUNCTION("""COMPUTED_VALUE"""),"K/36/010725/2")</f>
        <v>K/36/010725/2</v>
      </c>
      <c r="C5408" s="42" t="str">
        <f>IFERROR(__xludf.DUMMYFUNCTION("""COMPUTED_VALUE"""),"M. 5481/ Tanjung Senang")</f>
        <v>M. 5481/ Tanjung Senang</v>
      </c>
      <c r="D5408" s="42" t="str">
        <f>IFERROR(__xludf.DUMMYFUNCTION("""COMPUTED_VALUE"""),"Berry")</f>
        <v>Berry</v>
      </c>
      <c r="E5408" s="42" t="str">
        <f>IFERROR(__xludf.DUMMYFUNCTION("""COMPUTED_VALUE"""),"DISERAHKAN")</f>
        <v>DISERAHKAN</v>
      </c>
      <c r="F5408" s="48">
        <f>IFERROR(__xludf.DUMMYFUNCTION("""COMPUTED_VALUE"""),45867.685657442125)</f>
        <v>45867.68566</v>
      </c>
      <c r="G5408" s="42" t="str">
        <f>IFERROR(__xludf.DUMMYFUNCTION("""COMPUTED_VALUE"""),"BN Jual Beli")</f>
        <v>BN Jual Beli</v>
      </c>
      <c r="H5408" s="42">
        <f t="shared" si="1"/>
        <v>2411</v>
      </c>
    </row>
    <row r="5409" ht="22.5" customHeight="1">
      <c r="B5409" s="42" t="str">
        <f>IFERROR(__xludf.DUMMYFUNCTION("""COMPUTED_VALUE"""),"L/40/010725/1")</f>
        <v>L/40/010725/1</v>
      </c>
      <c r="C5409" s="42" t="str">
        <f>IFERROR(__xludf.DUMMYFUNCTION("""COMPUTED_VALUE"""),"HGB 4955/BERINGIN RAYA")</f>
        <v>HGB 4955/BERINGIN RAYA</v>
      </c>
      <c r="D5409" s="42"/>
      <c r="E5409" s="42"/>
      <c r="F5409" s="48" t="str">
        <f>IFERROR(__xludf.DUMMYFUNCTION("""COMPUTED_VALUE"""),"")</f>
        <v/>
      </c>
      <c r="G5409" s="42" t="str">
        <f>IFERROR(__xludf.DUMMYFUNCTION("""COMPUTED_VALUE"""),"PH")</f>
        <v>PH</v>
      </c>
      <c r="H5409" s="42">
        <f t="shared" si="1"/>
        <v>2411</v>
      </c>
    </row>
    <row r="5410" ht="22.5" customHeight="1">
      <c r="B5410" s="42" t="str">
        <f>IFERROR(__xludf.DUMMYFUNCTION("""COMPUTED_VALUE"""),"K/27/010725/1")</f>
        <v>K/27/010725/1</v>
      </c>
      <c r="C5410" s="42" t="str">
        <f>IFERROR(__xludf.DUMMYFUNCTION("""COMPUTED_VALUE"""),"B. 2407/SUKARAME")</f>
        <v>B. 2407/SUKARAME</v>
      </c>
      <c r="D5410" s="42"/>
      <c r="E5410" s="42"/>
      <c r="F5410" s="48" t="str">
        <f>IFERROR(__xludf.DUMMYFUNCTION("""COMPUTED_VALUE"""),"")</f>
        <v/>
      </c>
      <c r="G5410" s="42" t="str">
        <f>IFERROR(__xludf.DUMMYFUNCTION("""COMPUTED_VALUE"""),"PERUBAHAN HAK")</f>
        <v>PERUBAHAN HAK</v>
      </c>
      <c r="H5410" s="42">
        <f t="shared" si="1"/>
        <v>2411</v>
      </c>
    </row>
    <row r="5411" ht="22.5" customHeight="1">
      <c r="B5411" s="42" t="str">
        <f>IFERROR(__xludf.DUMMYFUNCTION("""COMPUTED_VALUE"""),"K/41/010725/1")</f>
        <v>K/41/010725/1</v>
      </c>
      <c r="C5411" s="42" t="str">
        <f>IFERROR(__xludf.DUMMYFUNCTION("""COMPUTED_VALUE"""),"M. 1891/JAGABAYA III")</f>
        <v>M. 1891/JAGABAYA III</v>
      </c>
      <c r="D5411" s="42" t="str">
        <f>IFERROR(__xludf.DUMMYFUNCTION("""COMPUTED_VALUE"""),"Berry")</f>
        <v>Berry</v>
      </c>
      <c r="E5411" s="42" t="str">
        <f>IFERROR(__xludf.DUMMYFUNCTION("""COMPUTED_VALUE"""),"DISERAHKAN")</f>
        <v>DISERAHKAN</v>
      </c>
      <c r="F5411" s="48">
        <f>IFERROR(__xludf.DUMMYFUNCTION("""COMPUTED_VALUE"""),45852.63335609954)</f>
        <v>45852.63336</v>
      </c>
      <c r="G5411" s="42" t="str">
        <f>IFERROR(__xludf.DUMMYFUNCTION("""COMPUTED_VALUE"""),"BN JUAL BELI")</f>
        <v>BN JUAL BELI</v>
      </c>
      <c r="H5411" s="42">
        <f t="shared" si="1"/>
        <v>2412</v>
      </c>
    </row>
    <row r="5412" ht="22.5" customHeight="1">
      <c r="B5412" s="42" t="str">
        <f>IFERROR(__xludf.DUMMYFUNCTION("""COMPUTED_VALUE"""),"L/44/010725/1")</f>
        <v>L/44/010725/1</v>
      </c>
      <c r="C5412" s="42" t="str">
        <f>IFERROR(__xludf.DUMMYFUNCTION("""COMPUTED_VALUE"""),"HGB 439/KBK")</f>
        <v>HGB 439/KBK</v>
      </c>
      <c r="D5412" s="42"/>
      <c r="E5412" s="42"/>
      <c r="F5412" s="48" t="str">
        <f>IFERROR(__xludf.DUMMYFUNCTION("""COMPUTED_VALUE"""),"")</f>
        <v/>
      </c>
      <c r="G5412" s="42" t="str">
        <f>IFERROR(__xludf.DUMMYFUNCTION("""COMPUTED_VALUE"""),"PH")</f>
        <v>PH</v>
      </c>
      <c r="H5412" s="42">
        <f t="shared" si="1"/>
        <v>2412</v>
      </c>
    </row>
    <row r="5413" ht="22.5" customHeight="1">
      <c r="B5413" s="42" t="str">
        <f>IFERROR(__xludf.DUMMYFUNCTION("""COMPUTED_VALUE"""),"K/42/010725/1")</f>
        <v>K/42/010725/1</v>
      </c>
      <c r="C5413" s="42" t="str">
        <f>IFERROR(__xludf.DUMMYFUNCTION("""COMPUTED_VALUE"""),"M. 12749/ Sukabumi")</f>
        <v>M. 12749/ Sukabumi</v>
      </c>
      <c r="D5413" s="42" t="str">
        <f>IFERROR(__xludf.DUMMYFUNCTION("""COMPUTED_VALUE"""),"Berry")</f>
        <v>Berry</v>
      </c>
      <c r="E5413" s="42" t="str">
        <f>IFERROR(__xludf.DUMMYFUNCTION("""COMPUTED_VALUE"""),"DISERAHKAN")</f>
        <v>DISERAHKAN</v>
      </c>
      <c r="F5413" s="48">
        <f>IFERROR(__xludf.DUMMYFUNCTION("""COMPUTED_VALUE"""),45873.634747268516)</f>
        <v>45873.63475</v>
      </c>
      <c r="G5413" s="42" t="str">
        <f>IFERROR(__xludf.DUMMYFUNCTION("""COMPUTED_VALUE"""),"Roya")</f>
        <v>Roya</v>
      </c>
      <c r="H5413" s="42">
        <f t="shared" si="1"/>
        <v>2413</v>
      </c>
    </row>
    <row r="5414" ht="22.5" customHeight="1">
      <c r="B5414" s="42" t="str">
        <f>IFERROR(__xludf.DUMMYFUNCTION("""COMPUTED_VALUE"""),"K/39/010725/2")</f>
        <v>K/39/010725/2</v>
      </c>
      <c r="C5414" s="42" t="str">
        <f>IFERROR(__xludf.DUMMYFUNCTION("""COMPUTED_VALUE"""),"M.84/GUNUNG MAS")</f>
        <v>M.84/GUNUNG MAS</v>
      </c>
      <c r="D5414" s="42" t="str">
        <f>IFERROR(__xludf.DUMMYFUNCTION("""COMPUTED_VALUE"""),"Berry")</f>
        <v>Berry</v>
      </c>
      <c r="E5414" s="42" t="str">
        <f>IFERROR(__xludf.DUMMYFUNCTION("""COMPUTED_VALUE"""),"DISERAHKAN")</f>
        <v>DISERAHKAN</v>
      </c>
      <c r="F5414" s="48">
        <f>IFERROR(__xludf.DUMMYFUNCTION("""COMPUTED_VALUE"""),45856.5277484838)</f>
        <v>45856.52775</v>
      </c>
      <c r="G5414" s="42" t="str">
        <f>IFERROR(__xludf.DUMMYFUNCTION("""COMPUTED_VALUE"""),"HIBAH")</f>
        <v>HIBAH</v>
      </c>
      <c r="H5414" s="42">
        <f t="shared" si="1"/>
        <v>2414</v>
      </c>
    </row>
    <row r="5415" ht="22.5" customHeight="1">
      <c r="B5415" s="42" t="str">
        <f>IFERROR(__xludf.DUMMYFUNCTION("""COMPUTED_VALUE"""),"K/43/010725/2")</f>
        <v>K/43/010725/2</v>
      </c>
      <c r="C5415" s="42" t="str">
        <f>IFERROR(__xludf.DUMMYFUNCTION("""COMPUTED_VALUE"""),"Nibel. M. 19597/ Gedoang Air")</f>
        <v>Nibel. M. 19597/ Gedoang Air</v>
      </c>
      <c r="D5415" s="42"/>
      <c r="E5415" s="42"/>
      <c r="F5415" s="48" t="str">
        <f>IFERROR(__xludf.DUMMYFUNCTION("""COMPUTED_VALUE"""),"")</f>
        <v/>
      </c>
      <c r="G5415" s="42" t="str">
        <f>IFERROR(__xludf.DUMMYFUNCTION("""COMPUTED_VALUE"""),"BN Jual Beli")</f>
        <v>BN Jual Beli</v>
      </c>
      <c r="H5415" s="42">
        <f t="shared" si="1"/>
        <v>2414</v>
      </c>
    </row>
    <row r="5416" ht="22.5" customHeight="1">
      <c r="B5416" s="42" t="str">
        <f>IFERROR(__xludf.DUMMYFUNCTION("""COMPUTED_VALUE"""),"K/45/010725/1")</f>
        <v>K/45/010725/1</v>
      </c>
      <c r="C5416" s="42" t="str">
        <f>IFERROR(__xludf.DUMMYFUNCTION("""COMPUTED_VALUE"""),"M.1073/KEMILING RAYA")</f>
        <v>M.1073/KEMILING RAYA</v>
      </c>
      <c r="D5416" s="42"/>
      <c r="E5416" s="42"/>
      <c r="F5416" s="48" t="str">
        <f>IFERROR(__xludf.DUMMYFUNCTION("""COMPUTED_VALUE"""),"")</f>
        <v/>
      </c>
      <c r="G5416" s="42" t="str">
        <f>IFERROR(__xludf.DUMMYFUNCTION("""COMPUTED_VALUE"""),"HAPUS BPHTB")</f>
        <v>HAPUS BPHTB</v>
      </c>
      <c r="H5416" s="42">
        <f t="shared" si="1"/>
        <v>2414</v>
      </c>
    </row>
    <row r="5417" ht="22.5" customHeight="1">
      <c r="B5417" s="42" t="str">
        <f>IFERROR(__xludf.DUMMYFUNCTION("""COMPUTED_VALUE"""),"L/46/010725/1")</f>
        <v>L/46/010725/1</v>
      </c>
      <c r="C5417" s="42" t="str">
        <f>IFERROR(__xludf.DUMMYFUNCTION("""COMPUTED_VALUE"""),"HM 10525/KEDAMAIAN")</f>
        <v>HM 10525/KEDAMAIAN</v>
      </c>
      <c r="D5417" s="42" t="str">
        <f>IFERROR(__xludf.DUMMYFUNCTION("""COMPUTED_VALUE"""),"Berry")</f>
        <v>Berry</v>
      </c>
      <c r="E5417" s="42" t="str">
        <f>IFERROR(__xludf.DUMMYFUNCTION("""COMPUTED_VALUE"""),"DISERAHKAN")</f>
        <v>DISERAHKAN</v>
      </c>
      <c r="F5417" s="48">
        <f>IFERROR(__xludf.DUMMYFUNCTION("""COMPUTED_VALUE"""),45873.63384731481)</f>
        <v>45873.63385</v>
      </c>
      <c r="G5417" s="42" t="str">
        <f>IFERROR(__xludf.DUMMYFUNCTION("""COMPUTED_VALUE"""),"ROYA")</f>
        <v>ROYA</v>
      </c>
      <c r="H5417" s="42">
        <f t="shared" si="1"/>
        <v>2415</v>
      </c>
    </row>
    <row r="5418" ht="22.5" customHeight="1">
      <c r="B5418" s="42" t="str">
        <f>IFERROR(__xludf.DUMMYFUNCTION("""COMPUTED_VALUE"""),"K/47/010725/1")</f>
        <v>K/47/010725/1</v>
      </c>
      <c r="C5418" s="42" t="str">
        <f>IFERROR(__xludf.DUMMYFUNCTION("""COMPUTED_VALUE"""),"M. 2631/ Pinang Jaya")</f>
        <v>M. 2631/ Pinang Jaya</v>
      </c>
      <c r="D5418" s="42" t="str">
        <f>IFERROR(__xludf.DUMMYFUNCTION("""COMPUTED_VALUE"""),"Berry")</f>
        <v>Berry</v>
      </c>
      <c r="E5418" s="42" t="str">
        <f>IFERROR(__xludf.DUMMYFUNCTION("""COMPUTED_VALUE"""),"DISERAHKAN")</f>
        <v>DISERAHKAN</v>
      </c>
      <c r="F5418" s="48">
        <f>IFERROR(__xludf.DUMMYFUNCTION("""COMPUTED_VALUE"""),45847.48596644676)</f>
        <v>45847.48597</v>
      </c>
      <c r="G5418" s="42" t="str">
        <f>IFERROR(__xludf.DUMMYFUNCTION("""COMPUTED_VALUE"""),"BN JUAL BELI")</f>
        <v>BN JUAL BELI</v>
      </c>
      <c r="H5418" s="42">
        <f t="shared" si="1"/>
        <v>2416</v>
      </c>
    </row>
    <row r="5419" ht="22.5" customHeight="1">
      <c r="B5419" s="42" t="str">
        <f>IFERROR(__xludf.DUMMYFUNCTION("""COMPUTED_VALUE"""),"K/48/010725/1")</f>
        <v>K/48/010725/1</v>
      </c>
      <c r="C5419" s="42" t="str">
        <f>IFERROR(__xludf.DUMMYFUNCTION("""COMPUTED_VALUE"""),"NIBEL B. 20835/NOG")</f>
        <v>NIBEL B. 20835/NOG</v>
      </c>
      <c r="D5419" s="42"/>
      <c r="E5419" s="42"/>
      <c r="F5419" s="48" t="str">
        <f>IFERROR(__xludf.DUMMYFUNCTION("""COMPUTED_VALUE"""),"")</f>
        <v/>
      </c>
      <c r="G5419" s="42" t="str">
        <f>IFERROR(__xludf.DUMMYFUNCTION("""COMPUTED_VALUE"""),"PERUBAHAN HAK")</f>
        <v>PERUBAHAN HAK</v>
      </c>
      <c r="H5419" s="42">
        <f t="shared" si="1"/>
        <v>2416</v>
      </c>
    </row>
    <row r="5420" ht="22.5" customHeight="1">
      <c r="B5420" s="42" t="str">
        <f>IFERROR(__xludf.DUMMYFUNCTION("""COMPUTED_VALUE"""),"K/49/010725/2")</f>
        <v>K/49/010725/2</v>
      </c>
      <c r="C5420" s="42" t="str">
        <f>IFERROR(__xludf.DUMMYFUNCTION("""COMPUTED_VALUE"""),"NIBEL B. 20998/NOG")</f>
        <v>NIBEL B. 20998/NOG</v>
      </c>
      <c r="D5420" s="42"/>
      <c r="E5420" s="42"/>
      <c r="F5420" s="48" t="str">
        <f>IFERROR(__xludf.DUMMYFUNCTION("""COMPUTED_VALUE"""),"")</f>
        <v/>
      </c>
      <c r="G5420" s="42" t="str">
        <f>IFERROR(__xludf.DUMMYFUNCTION("""COMPUTED_VALUE"""),"PENINGKATAN HAK")</f>
        <v>PENINGKATAN HAK</v>
      </c>
      <c r="H5420" s="42">
        <f t="shared" si="1"/>
        <v>2416</v>
      </c>
    </row>
    <row r="5421" ht="22.5" customHeight="1">
      <c r="B5421" s="42" t="str">
        <f>IFERROR(__xludf.DUMMYFUNCTION("""COMPUTED_VALUE"""),"K/51/010725/1")</f>
        <v>K/51/010725/1</v>
      </c>
      <c r="C5421" s="42" t="str">
        <f>IFERROR(__xludf.DUMMYFUNCTION("""COMPUTED_VALUE"""),"Nibel 21149/ Sumur Putri")</f>
        <v>Nibel 21149/ Sumur Putri</v>
      </c>
      <c r="D5421" s="42"/>
      <c r="E5421" s="42"/>
      <c r="F5421" s="48" t="str">
        <f>IFERROR(__xludf.DUMMYFUNCTION("""COMPUTED_VALUE"""),"")</f>
        <v/>
      </c>
      <c r="G5421" s="42" t="str">
        <f>IFERROR(__xludf.DUMMYFUNCTION("""COMPUTED_VALUE"""),"PERUBAHAN HAK")</f>
        <v>PERUBAHAN HAK</v>
      </c>
      <c r="H5421" s="42">
        <f t="shared" si="1"/>
        <v>2416</v>
      </c>
    </row>
    <row r="5422" ht="22.5" customHeight="1">
      <c r="B5422" s="42" t="str">
        <f>IFERROR(__xludf.DUMMYFUNCTION("""COMPUTED_VALUE"""),"K/1/020725/1")</f>
        <v>K/1/020725/1</v>
      </c>
      <c r="C5422" s="42" t="str">
        <f>IFERROR(__xludf.DUMMYFUNCTION("""COMPUTED_VALUE"""),"Nibel20607/ Bumi Raya")</f>
        <v>Nibel20607/ Bumi Raya</v>
      </c>
      <c r="D5422" s="42"/>
      <c r="E5422" s="42"/>
      <c r="F5422" s="48" t="str">
        <f>IFERROR(__xludf.DUMMYFUNCTION("""COMPUTED_VALUE"""),"")</f>
        <v/>
      </c>
      <c r="G5422" s="42" t="str">
        <f>IFERROR(__xludf.DUMMYFUNCTION("""COMPUTED_VALUE"""),"BN PHB")</f>
        <v>BN PHB</v>
      </c>
      <c r="H5422" s="42">
        <f t="shared" si="1"/>
        <v>2416</v>
      </c>
    </row>
    <row r="5423" ht="22.5" customHeight="1">
      <c r="B5423" s="42" t="str">
        <f>IFERROR(__xludf.DUMMYFUNCTION("""COMPUTED_VALUE"""),"K/2/020725/2")</f>
        <v>K/2/020725/2</v>
      </c>
      <c r="C5423" s="42" t="str">
        <f>IFERROR(__xludf.DUMMYFUNCTION("""COMPUTED_VALUE"""),"Nibel 20643/ Bumi raya")</f>
        <v>Nibel 20643/ Bumi raya</v>
      </c>
      <c r="D5423" s="42"/>
      <c r="E5423" s="42"/>
      <c r="F5423" s="48" t="str">
        <f>IFERROR(__xludf.DUMMYFUNCTION("""COMPUTED_VALUE"""),"")</f>
        <v/>
      </c>
      <c r="G5423" s="42" t="str">
        <f>IFERROR(__xludf.DUMMYFUNCTION("""COMPUTED_VALUE"""),"BN PHB")</f>
        <v>BN PHB</v>
      </c>
      <c r="H5423" s="42">
        <f t="shared" si="1"/>
        <v>2416</v>
      </c>
    </row>
    <row r="5424" ht="22.5" customHeight="1">
      <c r="B5424" s="42" t="str">
        <f>IFERROR(__xludf.DUMMYFUNCTION("""COMPUTED_VALUE"""),"K/3/020725/3")</f>
        <v>K/3/020725/3</v>
      </c>
      <c r="C5424" s="42" t="str">
        <f>IFERROR(__xludf.DUMMYFUNCTION("""COMPUTED_VALUE"""),"Nibel 20646/ Bumi Raya")</f>
        <v>Nibel 20646/ Bumi Raya</v>
      </c>
      <c r="D5424" s="42"/>
      <c r="E5424" s="42"/>
      <c r="F5424" s="48" t="str">
        <f>IFERROR(__xludf.DUMMYFUNCTION("""COMPUTED_VALUE"""),"")</f>
        <v/>
      </c>
      <c r="G5424" s="42" t="str">
        <f>IFERROR(__xludf.DUMMYFUNCTION("""COMPUTED_VALUE"""),"BN PHB")</f>
        <v>BN PHB</v>
      </c>
      <c r="H5424" s="42">
        <f t="shared" si="1"/>
        <v>2416</v>
      </c>
    </row>
    <row r="5425" ht="22.5" customHeight="1">
      <c r="B5425" s="42" t="str">
        <f>IFERROR(__xludf.DUMMYFUNCTION("""COMPUTED_VALUE"""),"K/4/020725/4")</f>
        <v>K/4/020725/4</v>
      </c>
      <c r="C5425" s="42" t="str">
        <f>IFERROR(__xludf.DUMMYFUNCTION("""COMPUTED_VALUE"""),"M. 1043/ Negeri olok gading")</f>
        <v>M. 1043/ Negeri olok gading</v>
      </c>
      <c r="D5425" s="42" t="str">
        <f>IFERROR(__xludf.DUMMYFUNCTION("""COMPUTED_VALUE"""),"Berry")</f>
        <v>Berry</v>
      </c>
      <c r="E5425" s="42" t="str">
        <f>IFERROR(__xludf.DUMMYFUNCTION("""COMPUTED_VALUE"""),"DISERAHKAN")</f>
        <v>DISERAHKAN</v>
      </c>
      <c r="F5425" s="48">
        <f>IFERROR(__xludf.DUMMYFUNCTION("""COMPUTED_VALUE"""),45859.61989061342)</f>
        <v>45859.61989</v>
      </c>
      <c r="G5425" s="42" t="str">
        <f>IFERROR(__xludf.DUMMYFUNCTION("""COMPUTED_VALUE"""),"BN JUAL BELI")</f>
        <v>BN JUAL BELI</v>
      </c>
      <c r="H5425" s="42">
        <f t="shared" si="1"/>
        <v>2417</v>
      </c>
    </row>
    <row r="5426" ht="22.5" customHeight="1">
      <c r="B5426" s="42" t="str">
        <f>IFERROR(__xludf.DUMMYFUNCTION("""COMPUTED_VALUE"""),"K/52/010725/1")</f>
        <v>K/52/010725/1</v>
      </c>
      <c r="C5426" s="42" t="str">
        <f>IFERROR(__xludf.DUMMYFUNCTION("""COMPUTED_VALUE"""),"NIBEL M 17039/KALIAWI")</f>
        <v>NIBEL M 17039/KALIAWI</v>
      </c>
      <c r="D5426" s="42"/>
      <c r="E5426" s="42"/>
      <c r="F5426" s="48" t="str">
        <f>IFERROR(__xludf.DUMMYFUNCTION("""COMPUTED_VALUE"""),"")</f>
        <v/>
      </c>
      <c r="G5426" s="42" t="str">
        <f>IFERROR(__xludf.DUMMYFUNCTION("""COMPUTED_VALUE"""),"JUAL BELI")</f>
        <v>JUAL BELI</v>
      </c>
      <c r="H5426" s="42">
        <f t="shared" si="1"/>
        <v>2417</v>
      </c>
    </row>
    <row r="5427" ht="22.5" customHeight="1">
      <c r="B5427" s="42" t="str">
        <f>IFERROR(__xludf.DUMMYFUNCTION("""COMPUTED_VALUE"""),"K/50/010725/3")</f>
        <v>K/50/010725/3</v>
      </c>
      <c r="C5427" s="42" t="str">
        <f>IFERROR(__xludf.DUMMYFUNCTION("""COMPUTED_VALUE"""),"NIBEL B. 20997/NOG")</f>
        <v>NIBEL B. 20997/NOG</v>
      </c>
      <c r="D5427" s="42"/>
      <c r="E5427" s="42"/>
      <c r="F5427" s="48" t="str">
        <f>IFERROR(__xludf.DUMMYFUNCTION("""COMPUTED_VALUE"""),"")</f>
        <v/>
      </c>
      <c r="G5427" s="42" t="str">
        <f>IFERROR(__xludf.DUMMYFUNCTION("""COMPUTED_VALUE"""),"PENINGKATAN HAK")</f>
        <v>PENINGKATAN HAK</v>
      </c>
      <c r="H5427" s="42">
        <f t="shared" si="1"/>
        <v>2417</v>
      </c>
    </row>
    <row r="5428" ht="22.5" customHeight="1">
      <c r="B5428" s="42" t="str">
        <f>IFERROR(__xludf.DUMMYFUNCTION("""COMPUTED_VALUE"""),"K/5/020725/1")</f>
        <v>K/5/020725/1</v>
      </c>
      <c r="C5428" s="42" t="str">
        <f>IFERROR(__xludf.DUMMYFUNCTION("""COMPUTED_VALUE"""),"M.187,M.457/PIDADA")</f>
        <v>M.187,M.457/PIDADA</v>
      </c>
      <c r="D5428" s="42" t="str">
        <f>IFERROR(__xludf.DUMMYFUNCTION("""COMPUTED_VALUE"""),"Berry")</f>
        <v>Berry</v>
      </c>
      <c r="E5428" s="42" t="str">
        <f>IFERROR(__xludf.DUMMYFUNCTION("""COMPUTED_VALUE"""),"DISERAHKAN")</f>
        <v>DISERAHKAN</v>
      </c>
      <c r="F5428" s="48">
        <f>IFERROR(__xludf.DUMMYFUNCTION("""COMPUTED_VALUE"""),45890.59680849537)</f>
        <v>45890.59681</v>
      </c>
      <c r="G5428" s="42" t="str">
        <f>IFERROR(__xludf.DUMMYFUNCTION("""COMPUTED_VALUE"""),"ROYA")</f>
        <v>ROYA</v>
      </c>
      <c r="H5428" s="42">
        <f t="shared" si="1"/>
        <v>2418</v>
      </c>
    </row>
    <row r="5429" ht="22.5" customHeight="1">
      <c r="B5429" s="42" t="str">
        <f>IFERROR(__xludf.DUMMYFUNCTION("""COMPUTED_VALUE"""),"L/6/020725/1")</f>
        <v>L/6/020725/1</v>
      </c>
      <c r="C5429" s="42" t="str">
        <f>IFERROR(__xludf.DUMMYFUNCTION("""COMPUTED_VALUE"""),"HM 605/PALAPA")</f>
        <v>HM 605/PALAPA</v>
      </c>
      <c r="D5429" s="42" t="str">
        <f>IFERROR(__xludf.DUMMYFUNCTION("""COMPUTED_VALUE"""),"David")</f>
        <v>David</v>
      </c>
      <c r="E5429" s="42" t="str">
        <f>IFERROR(__xludf.DUMMYFUNCTION("""COMPUTED_VALUE"""),"DISERAHKAN")</f>
        <v>DISERAHKAN</v>
      </c>
      <c r="F5429" s="48">
        <f>IFERROR(__xludf.DUMMYFUNCTION("""COMPUTED_VALUE"""),45856.62520809028)</f>
        <v>45856.62521</v>
      </c>
      <c r="G5429" s="42" t="str">
        <f>IFERROR(__xludf.DUMMYFUNCTION("""COMPUTED_VALUE"""),"ROYA")</f>
        <v>ROYA</v>
      </c>
      <c r="H5429" s="42">
        <f t="shared" si="1"/>
        <v>2419</v>
      </c>
    </row>
    <row r="5430" ht="22.5" customHeight="1">
      <c r="B5430" s="42" t="str">
        <f>IFERROR(__xludf.DUMMYFUNCTION("""COMPUTED_VALUE"""),"L/8/020725/1")</f>
        <v>L/8/020725/1</v>
      </c>
      <c r="C5430" s="42" t="str">
        <f>IFERROR(__xludf.DUMMYFUNCTION("""COMPUTED_VALUE"""),"HM 424/BERINGIN RAYA")</f>
        <v>HM 424/BERINGIN RAYA</v>
      </c>
      <c r="D5430" s="42"/>
      <c r="E5430" s="42"/>
      <c r="F5430" s="48" t="str">
        <f>IFERROR(__xludf.DUMMYFUNCTION("""COMPUTED_VALUE"""),"")</f>
        <v/>
      </c>
      <c r="G5430" s="42" t="str">
        <f>IFERROR(__xludf.DUMMYFUNCTION("""COMPUTED_VALUE"""),"GANTI BLANGKO")</f>
        <v>GANTI BLANGKO</v>
      </c>
      <c r="H5430" s="42">
        <f t="shared" si="1"/>
        <v>2419</v>
      </c>
    </row>
    <row r="5431" ht="22.5" customHeight="1">
      <c r="B5431" s="42" t="str">
        <f>IFERROR(__xludf.DUMMYFUNCTION("""COMPUTED_VALUE"""),"K/7/020725/1")</f>
        <v>K/7/020725/1</v>
      </c>
      <c r="C5431" s="42" t="str">
        <f>IFERROR(__xludf.DUMMYFUNCTION("""COMPUTED_VALUE"""),"NIBEL M.204710/SUKABUMI INDAH")</f>
        <v>NIBEL M.204710/SUKABUMI INDAH</v>
      </c>
      <c r="D5431" s="42"/>
      <c r="E5431" s="42"/>
      <c r="F5431" s="48" t="str">
        <f>IFERROR(__xludf.DUMMYFUNCTION("""COMPUTED_VALUE"""),"")</f>
        <v/>
      </c>
      <c r="G5431" s="42" t="str">
        <f>IFERROR(__xludf.DUMMYFUNCTION("""COMPUTED_VALUE"""),"JUAL BELI")</f>
        <v>JUAL BELI</v>
      </c>
      <c r="H5431" s="42">
        <f t="shared" si="1"/>
        <v>2419</v>
      </c>
    </row>
    <row r="5432" ht="22.5" customHeight="1">
      <c r="B5432" s="42" t="str">
        <f>IFERROR(__xludf.DUMMYFUNCTION("""COMPUTED_VALUE"""),"K/9/020725/1")</f>
        <v>K/9/020725/1</v>
      </c>
      <c r="C5432" s="42" t="str">
        <f>IFERROR(__xludf.DUMMYFUNCTION("""COMPUTED_VALUE"""),"M.13624/SEGALAMIDER")</f>
        <v>M.13624/SEGALAMIDER</v>
      </c>
      <c r="D5432" s="42"/>
      <c r="E5432" s="42"/>
      <c r="F5432" s="48" t="str">
        <f>IFERROR(__xludf.DUMMYFUNCTION("""COMPUTED_VALUE"""),"")</f>
        <v/>
      </c>
      <c r="G5432" s="42" t="str">
        <f>IFERROR(__xludf.DUMMYFUNCTION("""COMPUTED_VALUE"""),"HIBAH")</f>
        <v>HIBAH</v>
      </c>
      <c r="H5432" s="42">
        <f t="shared" si="1"/>
        <v>2419</v>
      </c>
    </row>
    <row r="5433" ht="22.5" customHeight="1">
      <c r="B5433" s="42" t="str">
        <f>IFERROR(__xludf.DUMMYFUNCTION("""COMPUTED_VALUE"""),"K/10/020725/1")</f>
        <v>K/10/020725/1</v>
      </c>
      <c r="C5433" s="42" t="str">
        <f>IFERROR(__xludf.DUMMYFUNCTION("""COMPUTED_VALUE"""),"NIBEL M. 18316/KEBON JERUK")</f>
        <v>NIBEL M. 18316/KEBON JERUK</v>
      </c>
      <c r="D5433" s="42"/>
      <c r="E5433" s="42"/>
      <c r="F5433" s="48" t="str">
        <f>IFERROR(__xludf.DUMMYFUNCTION("""COMPUTED_VALUE"""),"")</f>
        <v/>
      </c>
      <c r="G5433" s="42" t="str">
        <f>IFERROR(__xludf.DUMMYFUNCTION("""COMPUTED_VALUE"""),"BN JUAL BELI")</f>
        <v>BN JUAL BELI</v>
      </c>
      <c r="H5433" s="42">
        <f t="shared" si="1"/>
        <v>2419</v>
      </c>
    </row>
    <row r="5434" ht="22.5" customHeight="1">
      <c r="B5434" s="42" t="str">
        <f>IFERROR(__xludf.DUMMYFUNCTION("""COMPUTED_VALUE"""),"K/11/020725/1")</f>
        <v>K/11/020725/1</v>
      </c>
      <c r="C5434" s="42" t="str">
        <f>IFERROR(__xludf.DUMMYFUNCTION("""COMPUTED_VALUE"""),"M.3374/KEMILING PERMAI")</f>
        <v>M.3374/KEMILING PERMAI</v>
      </c>
      <c r="D5434" s="42" t="str">
        <f>IFERROR(__xludf.DUMMYFUNCTION("""COMPUTED_VALUE"""),"Berry")</f>
        <v>Berry</v>
      </c>
      <c r="E5434" s="42" t="str">
        <f>IFERROR(__xludf.DUMMYFUNCTION("""COMPUTED_VALUE"""),"DISERAHKAN")</f>
        <v>DISERAHKAN</v>
      </c>
      <c r="F5434" s="48">
        <f>IFERROR(__xludf.DUMMYFUNCTION("""COMPUTED_VALUE"""),45856.52879373843)</f>
        <v>45856.52879</v>
      </c>
      <c r="G5434" s="42" t="str">
        <f>IFERROR(__xludf.DUMMYFUNCTION("""COMPUTED_VALUE"""),"JUAL BELI")</f>
        <v>JUAL BELI</v>
      </c>
      <c r="H5434" s="42">
        <f t="shared" si="1"/>
        <v>2420</v>
      </c>
    </row>
    <row r="5435" ht="22.5" customHeight="1">
      <c r="B5435" s="42" t="str">
        <f>IFERROR(__xludf.DUMMYFUNCTION("""COMPUTED_VALUE"""),"L/12/020725/1")</f>
        <v>L/12/020725/1</v>
      </c>
      <c r="C5435" s="42" t="str">
        <f>IFERROR(__xludf.DUMMYFUNCTION("""COMPUTED_VALUE"""),"HM 989/PENGAJARAN")</f>
        <v>HM 989/PENGAJARAN</v>
      </c>
      <c r="D5435" s="42" t="str">
        <f>IFERROR(__xludf.DUMMYFUNCTION("""COMPUTED_VALUE"""),"David")</f>
        <v>David</v>
      </c>
      <c r="E5435" s="42" t="str">
        <f>IFERROR(__xludf.DUMMYFUNCTION("""COMPUTED_VALUE"""),"DISERAHKAN")</f>
        <v>DISERAHKAN</v>
      </c>
      <c r="F5435" s="48">
        <f>IFERROR(__xludf.DUMMYFUNCTION("""COMPUTED_VALUE"""),45855.65242614583)</f>
        <v>45855.65243</v>
      </c>
      <c r="G5435" s="42" t="str">
        <f>IFERROR(__xludf.DUMMYFUNCTION("""COMPUTED_VALUE"""),"ROYA")</f>
        <v>ROYA</v>
      </c>
      <c r="H5435" s="42">
        <f t="shared" si="1"/>
        <v>2421</v>
      </c>
    </row>
    <row r="5436" ht="22.5" customHeight="1">
      <c r="B5436" s="42" t="str">
        <f>IFERROR(__xludf.DUMMYFUNCTION("""COMPUTED_VALUE"""),"K/13/020725/1")</f>
        <v>K/13/020725/1</v>
      </c>
      <c r="C5436" s="42" t="str">
        <f>IFERROR(__xludf.DUMMYFUNCTION("""COMPUTED_VALUE"""),"M.8742/SUKABUMI")</f>
        <v>M.8742/SUKABUMI</v>
      </c>
      <c r="D5436" s="42" t="str">
        <f>IFERROR(__xludf.DUMMYFUNCTION("""COMPUTED_VALUE"""),"David")</f>
        <v>David</v>
      </c>
      <c r="E5436" s="42" t="str">
        <f>IFERROR(__xludf.DUMMYFUNCTION("""COMPUTED_VALUE"""),"DISERAHKAN")</f>
        <v>DISERAHKAN</v>
      </c>
      <c r="F5436" s="48">
        <f>IFERROR(__xludf.DUMMYFUNCTION("""COMPUTED_VALUE"""),45880.63144140046)</f>
        <v>45880.63144</v>
      </c>
      <c r="G5436" s="42" t="str">
        <f>IFERROR(__xludf.DUMMYFUNCTION("""COMPUTED_VALUE"""),"KEWARISAN")</f>
        <v>KEWARISAN</v>
      </c>
      <c r="H5436" s="42">
        <f t="shared" si="1"/>
        <v>2422</v>
      </c>
    </row>
    <row r="5437" ht="22.5" customHeight="1">
      <c r="B5437" s="42" t="str">
        <f>IFERROR(__xludf.DUMMYFUNCTION("""COMPUTED_VALUE"""),"L/17/020725/1")</f>
        <v>L/17/020725/1</v>
      </c>
      <c r="C5437" s="42" t="str">
        <f>IFERROR(__xludf.DUMMYFUNCTION("""COMPUTED_VALUE"""),"NIB 176990/SUKABUMI")</f>
        <v>NIB 176990/SUKABUMI</v>
      </c>
      <c r="D5437" s="42"/>
      <c r="E5437" s="42"/>
      <c r="F5437" s="48" t="str">
        <f>IFERROR(__xludf.DUMMYFUNCTION("""COMPUTED_VALUE"""),"")</f>
        <v/>
      </c>
      <c r="G5437" s="42" t="str">
        <f>IFERROR(__xludf.DUMMYFUNCTION("""COMPUTED_VALUE"""),"PEMECAHAN")</f>
        <v>PEMECAHAN</v>
      </c>
      <c r="H5437" s="42">
        <f t="shared" si="1"/>
        <v>2422</v>
      </c>
    </row>
    <row r="5438" ht="22.5" customHeight="1">
      <c r="B5438" s="42" t="str">
        <f>IFERROR(__xludf.DUMMYFUNCTION("""COMPUTED_VALUE"""),"K/14/020725/1")</f>
        <v>K/14/020725/1</v>
      </c>
      <c r="C5438" s="42" t="str">
        <f>IFERROR(__xludf.DUMMYFUNCTION("""COMPUTED_VALUE"""),"M.872/SUKABUMI INDAH")</f>
        <v>M.872/SUKABUMI INDAH</v>
      </c>
      <c r="D5438" s="42" t="str">
        <f>IFERROR(__xludf.DUMMYFUNCTION("""COMPUTED_VALUE"""),"David")</f>
        <v>David</v>
      </c>
      <c r="E5438" s="42" t="str">
        <f>IFERROR(__xludf.DUMMYFUNCTION("""COMPUTED_VALUE"""),"DISERAHKAN")</f>
        <v>DISERAHKAN</v>
      </c>
      <c r="F5438" s="48">
        <f>IFERROR(__xludf.DUMMYFUNCTION("""COMPUTED_VALUE"""),45883.4937484375)</f>
        <v>45883.49375</v>
      </c>
      <c r="G5438" s="42" t="str">
        <f>IFERROR(__xludf.DUMMYFUNCTION("""COMPUTED_VALUE"""),"ROYA")</f>
        <v>ROYA</v>
      </c>
      <c r="H5438" s="42">
        <f t="shared" si="1"/>
        <v>2423</v>
      </c>
    </row>
    <row r="5439" ht="22.5" customHeight="1">
      <c r="B5439" s="42" t="str">
        <f>IFERROR(__xludf.DUMMYFUNCTION("""COMPUTED_VALUE"""),"K/15/020725/1")</f>
        <v>K/15/020725/1</v>
      </c>
      <c r="C5439" s="42" t="str">
        <f>IFERROR(__xludf.DUMMYFUNCTION("""COMPUTED_VALUE"""),"Nibel. M. 18366/ Gunung Terang")</f>
        <v>Nibel. M. 18366/ Gunung Terang</v>
      </c>
      <c r="D5439" s="42"/>
      <c r="E5439" s="42"/>
      <c r="F5439" s="48" t="str">
        <f>IFERROR(__xludf.DUMMYFUNCTION("""COMPUTED_VALUE"""),"")</f>
        <v/>
      </c>
      <c r="G5439" s="42" t="str">
        <f>IFERROR(__xludf.DUMMYFUNCTION("""COMPUTED_VALUE"""),"BN Jual Beli")</f>
        <v>BN Jual Beli</v>
      </c>
      <c r="H5439" s="42">
        <f t="shared" si="1"/>
        <v>2423</v>
      </c>
    </row>
    <row r="5440" ht="22.5" customHeight="1">
      <c r="B5440" s="42" t="str">
        <f>IFERROR(__xludf.DUMMYFUNCTION("""COMPUTED_VALUE"""),"L/18/020725/2")</f>
        <v>L/18/020725/2</v>
      </c>
      <c r="C5440" s="42" t="str">
        <f>IFERROR(__xludf.DUMMYFUNCTION("""COMPUTED_VALUE"""),"NIB 17701/SUKABUMI")</f>
        <v>NIB 17701/SUKABUMI</v>
      </c>
      <c r="D5440" s="42"/>
      <c r="E5440" s="42"/>
      <c r="F5440" s="48" t="str">
        <f>IFERROR(__xludf.DUMMYFUNCTION("""COMPUTED_VALUE"""),"")</f>
        <v/>
      </c>
      <c r="G5440" s="42" t="str">
        <f>IFERROR(__xludf.DUMMYFUNCTION("""COMPUTED_VALUE"""),"PEMECAHAN")</f>
        <v>PEMECAHAN</v>
      </c>
      <c r="H5440" s="42">
        <f t="shared" si="1"/>
        <v>2423</v>
      </c>
    </row>
    <row r="5441" ht="22.5" customHeight="1">
      <c r="B5441" s="42" t="str">
        <f>IFERROR(__xludf.DUMMYFUNCTION("""COMPUTED_VALUE"""),"K/16/020725/1")</f>
        <v>K/16/020725/1</v>
      </c>
      <c r="C5441" s="42" t="str">
        <f>IFERROR(__xludf.DUMMYFUNCTION("""COMPUTED_VALUE"""),"M. 6265/ Way Kandis")</f>
        <v>M. 6265/ Way Kandis</v>
      </c>
      <c r="D5441" s="42" t="str">
        <f>IFERROR(__xludf.DUMMYFUNCTION("""COMPUTED_VALUE"""),"Berry")</f>
        <v>Berry</v>
      </c>
      <c r="E5441" s="42" t="str">
        <f>IFERROR(__xludf.DUMMYFUNCTION("""COMPUTED_VALUE"""),"DISERAHKAN")</f>
        <v>DISERAHKAN</v>
      </c>
      <c r="F5441" s="48">
        <f>IFERROR(__xludf.DUMMYFUNCTION("""COMPUTED_VALUE"""),45859.63867608796)</f>
        <v>45859.63868</v>
      </c>
      <c r="G5441" s="42" t="str">
        <f>IFERROR(__xludf.DUMMYFUNCTION("""COMPUTED_VALUE"""),"BN Jual Beli")</f>
        <v>BN Jual Beli</v>
      </c>
      <c r="H5441" s="42">
        <f t="shared" si="1"/>
        <v>2424</v>
      </c>
    </row>
    <row r="5442" ht="22.5" customHeight="1">
      <c r="B5442" s="42" t="str">
        <f>IFERROR(__xludf.DUMMYFUNCTION("""COMPUTED_VALUE"""),"L/19/020725/1")</f>
        <v>L/19/020725/1</v>
      </c>
      <c r="C5442" s="42" t="str">
        <f>IFERROR(__xludf.DUMMYFUNCTION("""COMPUTED_VALUE"""),"HM 1019/WHP")</f>
        <v>HM 1019/WHP</v>
      </c>
      <c r="D5442" s="42" t="str">
        <f>IFERROR(__xludf.DUMMYFUNCTION("""COMPUTED_VALUE"""),"David")</f>
        <v>David</v>
      </c>
      <c r="E5442" s="42" t="str">
        <f>IFERROR(__xludf.DUMMYFUNCTION("""COMPUTED_VALUE"""),"DISERAHKAN")</f>
        <v>DISERAHKAN</v>
      </c>
      <c r="F5442" s="48">
        <f>IFERROR(__xludf.DUMMYFUNCTION("""COMPUTED_VALUE"""),45856.62711105324)</f>
        <v>45856.62711</v>
      </c>
      <c r="G5442" s="42" t="str">
        <f>IFERROR(__xludf.DUMMYFUNCTION("""COMPUTED_VALUE"""),"ROYA")</f>
        <v>ROYA</v>
      </c>
      <c r="H5442" s="42">
        <f t="shared" si="1"/>
        <v>2425</v>
      </c>
    </row>
    <row r="5443" ht="22.5" customHeight="1">
      <c r="B5443" s="42" t="str">
        <f>IFERROR(__xludf.DUMMYFUNCTION("""COMPUTED_VALUE"""),"K/21/020725/1")</f>
        <v>K/21/020725/1</v>
      </c>
      <c r="C5443" s="42" t="str">
        <f>IFERROR(__xludf.DUMMYFUNCTION("""COMPUTED_VALUE"""),"M. 1496/ Rawa Laut")</f>
        <v>M. 1496/ Rawa Laut</v>
      </c>
      <c r="D5443" s="42" t="str">
        <f>IFERROR(__xludf.DUMMYFUNCTION("""COMPUTED_VALUE"""),"Berry")</f>
        <v>Berry</v>
      </c>
      <c r="E5443" s="42" t="str">
        <f>IFERROR(__xludf.DUMMYFUNCTION("""COMPUTED_VALUE"""),"DISERAHKAN")</f>
        <v>DISERAHKAN</v>
      </c>
      <c r="F5443" s="48">
        <f>IFERROR(__xludf.DUMMYFUNCTION("""COMPUTED_VALUE"""),45859.634458298606)</f>
        <v>45859.63446</v>
      </c>
      <c r="G5443" s="42" t="str">
        <f>IFERROR(__xludf.DUMMYFUNCTION("""COMPUTED_VALUE"""),"BN Jual Beli")</f>
        <v>BN Jual Beli</v>
      </c>
      <c r="H5443" s="42">
        <f t="shared" si="1"/>
        <v>2426</v>
      </c>
    </row>
    <row r="5444" ht="22.5" customHeight="1">
      <c r="B5444" s="42" t="str">
        <f>IFERROR(__xludf.DUMMYFUNCTION("""COMPUTED_VALUE"""),"K/22/020725/1")</f>
        <v>K/22/020725/1</v>
      </c>
      <c r="C5444" s="42" t="str">
        <f>IFERROR(__xludf.DUMMYFUNCTION("""COMPUTED_VALUE"""),"B. 151/ Nusantara Permai")</f>
        <v>B. 151/ Nusantara Permai</v>
      </c>
      <c r="D5444" s="42" t="str">
        <f>IFERROR(__xludf.DUMMYFUNCTION("""COMPUTED_VALUE"""),"Berry")</f>
        <v>Berry</v>
      </c>
      <c r="E5444" s="42" t="str">
        <f>IFERROR(__xludf.DUMMYFUNCTION("""COMPUTED_VALUE"""),"DISERAHKAN")</f>
        <v>DISERAHKAN</v>
      </c>
      <c r="F5444" s="48">
        <f>IFERROR(__xludf.DUMMYFUNCTION("""COMPUTED_VALUE"""),45856.517279444444)</f>
        <v>45856.51728</v>
      </c>
      <c r="G5444" s="42" t="str">
        <f>IFERROR(__xludf.DUMMYFUNCTION("""COMPUTED_VALUE"""),"BN JUAL BELI")</f>
        <v>BN JUAL BELI</v>
      </c>
      <c r="H5444" s="42">
        <f t="shared" si="1"/>
        <v>2427</v>
      </c>
    </row>
    <row r="5445" ht="22.5" customHeight="1">
      <c r="B5445" s="42" t="str">
        <f>IFERROR(__xludf.DUMMYFUNCTION("""COMPUTED_VALUE"""),"K/23/020725/1")</f>
        <v>K/23/020725/1</v>
      </c>
      <c r="C5445" s="42" t="str">
        <f>IFERROR(__xludf.DUMMYFUNCTION("""COMPUTED_VALUE"""),"M. 14993/ Rajabasa")</f>
        <v>M. 14993/ Rajabasa</v>
      </c>
      <c r="D5445" s="42" t="str">
        <f>IFERROR(__xludf.DUMMYFUNCTION("""COMPUTED_VALUE"""),"Berry")</f>
        <v>Berry</v>
      </c>
      <c r="E5445" s="42" t="str">
        <f>IFERROR(__xludf.DUMMYFUNCTION("""COMPUTED_VALUE"""),"DISERAHKAN")</f>
        <v>DISERAHKAN</v>
      </c>
      <c r="F5445" s="48">
        <f>IFERROR(__xludf.DUMMYFUNCTION("""COMPUTED_VALUE"""),45859.63836131945)</f>
        <v>45859.63836</v>
      </c>
      <c r="G5445" s="42" t="str">
        <f>IFERROR(__xludf.DUMMYFUNCTION("""COMPUTED_VALUE"""),"BN Jual Beli")</f>
        <v>BN Jual Beli</v>
      </c>
      <c r="H5445" s="42">
        <f t="shared" si="1"/>
        <v>2428</v>
      </c>
    </row>
    <row r="5446" ht="22.5" customHeight="1">
      <c r="B5446" s="42" t="str">
        <f>IFERROR(__xludf.DUMMYFUNCTION("""COMPUTED_VALUE"""),"K/24/020725/1")</f>
        <v>K/24/020725/1</v>
      </c>
      <c r="C5446" s="42" t="str">
        <f>IFERROR(__xludf.DUMMYFUNCTION("""COMPUTED_VALUE"""),"M. 8441/KEDATON")</f>
        <v>M. 8441/KEDATON</v>
      </c>
      <c r="D5446" s="42" t="str">
        <f>IFERROR(__xludf.DUMMYFUNCTION("""COMPUTED_VALUE"""),"Berry")</f>
        <v>Berry</v>
      </c>
      <c r="E5446" s="42" t="str">
        <f>IFERROR(__xludf.DUMMYFUNCTION("""COMPUTED_VALUE"""),"DISERAHKAN")</f>
        <v>DISERAHKAN</v>
      </c>
      <c r="F5446" s="48">
        <f>IFERROR(__xludf.DUMMYFUNCTION("""COMPUTED_VALUE"""),45847.4914713426)</f>
        <v>45847.49147</v>
      </c>
      <c r="G5446" s="42" t="str">
        <f>IFERROR(__xludf.DUMMYFUNCTION("""COMPUTED_VALUE"""),"BN JUAL BELI")</f>
        <v>BN JUAL BELI</v>
      </c>
      <c r="H5446" s="42">
        <f t="shared" si="1"/>
        <v>2429</v>
      </c>
    </row>
    <row r="5447" ht="22.5" customHeight="1">
      <c r="B5447" s="42" t="str">
        <f>IFERROR(__xludf.DUMMYFUNCTION("""COMPUTED_VALUE"""),"K/25/020725/1")</f>
        <v>K/25/020725/1</v>
      </c>
      <c r="C5447" s="42" t="str">
        <f>IFERROR(__xludf.DUMMYFUNCTION("""COMPUTED_VALUE"""),"B. 583/ Nusantara Permai")</f>
        <v>B. 583/ Nusantara Permai</v>
      </c>
      <c r="D5447" s="42" t="str">
        <f>IFERROR(__xludf.DUMMYFUNCTION("""COMPUTED_VALUE"""),"Berry")</f>
        <v>Berry</v>
      </c>
      <c r="E5447" s="42" t="str">
        <f>IFERROR(__xludf.DUMMYFUNCTION("""COMPUTED_VALUE"""),"DISERAHKAN")</f>
        <v>DISERAHKAN</v>
      </c>
      <c r="F5447" s="48">
        <f>IFERROR(__xludf.DUMMYFUNCTION("""COMPUTED_VALUE"""),45869.49758452547)</f>
        <v>45869.49758</v>
      </c>
      <c r="G5447" s="42" t="str">
        <f>IFERROR(__xludf.DUMMYFUNCTION("""COMPUTED_VALUE"""),"BN Waris")</f>
        <v>BN Waris</v>
      </c>
      <c r="H5447" s="42">
        <f t="shared" si="1"/>
        <v>2430</v>
      </c>
    </row>
    <row r="5448" ht="22.5" customHeight="1">
      <c r="B5448" s="42" t="str">
        <f>IFERROR(__xludf.DUMMYFUNCTION("""COMPUTED_VALUE"""),"K/26/020725/2")</f>
        <v>K/26/020725/2</v>
      </c>
      <c r="C5448" s="42" t="str">
        <f>IFERROR(__xludf.DUMMYFUNCTION("""COMPUTED_VALUE"""),"B. 584/ Nusantara Permai")</f>
        <v>B. 584/ Nusantara Permai</v>
      </c>
      <c r="D5448" s="42" t="str">
        <f>IFERROR(__xludf.DUMMYFUNCTION("""COMPUTED_VALUE"""),"Berry")</f>
        <v>Berry</v>
      </c>
      <c r="E5448" s="42" t="str">
        <f>IFERROR(__xludf.DUMMYFUNCTION("""COMPUTED_VALUE"""),"DISERAHKAN")</f>
        <v>DISERAHKAN</v>
      </c>
      <c r="F5448" s="48">
        <f>IFERROR(__xludf.DUMMYFUNCTION("""COMPUTED_VALUE"""),45869.4977669213)</f>
        <v>45869.49777</v>
      </c>
      <c r="G5448" s="42" t="str">
        <f>IFERROR(__xludf.DUMMYFUNCTION("""COMPUTED_VALUE"""),"BN Waris")</f>
        <v>BN Waris</v>
      </c>
      <c r="H5448" s="42">
        <f t="shared" si="1"/>
        <v>2431</v>
      </c>
    </row>
    <row r="5449" ht="22.5" customHeight="1">
      <c r="B5449" s="42" t="str">
        <f>IFERROR(__xludf.DUMMYFUNCTION("""COMPUTED_VALUE"""),"L/20/020725/1")</f>
        <v>L/20/020725/1</v>
      </c>
      <c r="C5449" s="42" t="str">
        <f>IFERROR(__xludf.DUMMYFUNCTION("""COMPUTED_VALUE"""),"HM 988/PENGAJARAN")</f>
        <v>HM 988/PENGAJARAN</v>
      </c>
      <c r="D5449" s="42" t="str">
        <f>IFERROR(__xludf.DUMMYFUNCTION("""COMPUTED_VALUE"""),"David")</f>
        <v>David</v>
      </c>
      <c r="E5449" s="42" t="str">
        <f>IFERROR(__xludf.DUMMYFUNCTION("""COMPUTED_VALUE"""),"DISERAHKAN")</f>
        <v>DISERAHKAN</v>
      </c>
      <c r="F5449" s="48">
        <f>IFERROR(__xludf.DUMMYFUNCTION("""COMPUTED_VALUE"""),45860.68620149305)</f>
        <v>45860.6862</v>
      </c>
      <c r="G5449" s="42" t="str">
        <f>IFERROR(__xludf.DUMMYFUNCTION("""COMPUTED_VALUE"""),"ROYA")</f>
        <v>ROYA</v>
      </c>
      <c r="H5449" s="42">
        <f t="shared" si="1"/>
        <v>2432</v>
      </c>
    </row>
    <row r="5450" ht="22.5" customHeight="1">
      <c r="B5450" s="42" t="str">
        <f>IFERROR(__xludf.DUMMYFUNCTION("""COMPUTED_VALUE"""),"K/27/020725/1")</f>
        <v>K/27/020725/1</v>
      </c>
      <c r="C5450" s="42" t="str">
        <f>IFERROR(__xludf.DUMMYFUNCTION("""COMPUTED_VALUE"""),"B. 166/ Way Laga")</f>
        <v>B. 166/ Way Laga</v>
      </c>
      <c r="D5450" s="42" t="str">
        <f>IFERROR(__xludf.DUMMYFUNCTION("""COMPUTED_VALUE"""),"Berry")</f>
        <v>Berry</v>
      </c>
      <c r="E5450" s="42" t="str">
        <f>IFERROR(__xludf.DUMMYFUNCTION("""COMPUTED_VALUE"""),"DISERAHKAN")</f>
        <v>DISERAHKAN</v>
      </c>
      <c r="F5450" s="48">
        <f>IFERROR(__xludf.DUMMYFUNCTION("""COMPUTED_VALUE"""),45861.632935243055)</f>
        <v>45861.63294</v>
      </c>
      <c r="G5450" s="42" t="str">
        <f>IFERROR(__xludf.DUMMYFUNCTION("""COMPUTED_VALUE"""),"BN JUAL BELI")</f>
        <v>BN JUAL BELI</v>
      </c>
      <c r="H5450" s="42">
        <f t="shared" si="1"/>
        <v>2433</v>
      </c>
    </row>
    <row r="5451" ht="22.5" customHeight="1">
      <c r="B5451" s="42" t="str">
        <f>IFERROR(__xludf.DUMMYFUNCTION("""COMPUTED_VALUE"""),"K/28/020725/1")</f>
        <v>K/28/020725/1</v>
      </c>
      <c r="C5451" s="42" t="str">
        <f>IFERROR(__xludf.DUMMYFUNCTION("""COMPUTED_VALUE"""),"B. 522/SURABAYA")</f>
        <v>B. 522/SURABAYA</v>
      </c>
      <c r="D5451" s="42"/>
      <c r="E5451" s="42"/>
      <c r="F5451" s="48" t="str">
        <f>IFERROR(__xludf.DUMMYFUNCTION("""COMPUTED_VALUE"""),"")</f>
        <v/>
      </c>
      <c r="G5451" s="42" t="str">
        <f>IFERROR(__xludf.DUMMYFUNCTION("""COMPUTED_VALUE"""),"PTPGT")</f>
        <v>PTPGT</v>
      </c>
      <c r="H5451" s="42">
        <f t="shared" si="1"/>
        <v>2433</v>
      </c>
    </row>
    <row r="5452" ht="22.5" customHeight="1">
      <c r="B5452" s="42" t="str">
        <f>IFERROR(__xludf.DUMMYFUNCTION("""COMPUTED_VALUE"""),"K/29/020725/2")</f>
        <v>K/29/020725/2</v>
      </c>
      <c r="C5452" s="42" t="str">
        <f>IFERROR(__xludf.DUMMYFUNCTION("""COMPUTED_VALUE"""),"B. 478/SURABAYA")</f>
        <v>B. 478/SURABAYA</v>
      </c>
      <c r="D5452" s="42"/>
      <c r="E5452" s="42"/>
      <c r="F5452" s="48" t="str">
        <f>IFERROR(__xludf.DUMMYFUNCTION("""COMPUTED_VALUE"""),"")</f>
        <v/>
      </c>
      <c r="G5452" s="42" t="str">
        <f>IFERROR(__xludf.DUMMYFUNCTION("""COMPUTED_VALUE"""),"PTPGT")</f>
        <v>PTPGT</v>
      </c>
      <c r="H5452" s="42">
        <f t="shared" si="1"/>
        <v>2433</v>
      </c>
    </row>
    <row r="5453" ht="22.5" customHeight="1">
      <c r="B5453" s="42" t="str">
        <f>IFERROR(__xludf.DUMMYFUNCTION("""COMPUTED_VALUE"""),"K/31/020725/1")</f>
        <v>K/31/020725/1</v>
      </c>
      <c r="C5453" s="42" t="str">
        <f>IFERROR(__xludf.DUMMYFUNCTION("""COMPUTED_VALUE"""),"Nibel 21227/ Sumur Putri")</f>
        <v>Nibel 21227/ Sumur Putri</v>
      </c>
      <c r="D5453" s="42"/>
      <c r="E5453" s="42"/>
      <c r="F5453" s="48" t="str">
        <f>IFERROR(__xludf.DUMMYFUNCTION("""COMPUTED_VALUE"""),"")</f>
        <v/>
      </c>
      <c r="G5453" s="42" t="str">
        <f>IFERROR(__xludf.DUMMYFUNCTION("""COMPUTED_VALUE"""),"PERUBAHAN HAK")</f>
        <v>PERUBAHAN HAK</v>
      </c>
      <c r="H5453" s="42">
        <f t="shared" si="1"/>
        <v>2433</v>
      </c>
    </row>
    <row r="5454" ht="22.5" customHeight="1">
      <c r="B5454" s="42" t="str">
        <f>IFERROR(__xludf.DUMMYFUNCTION("""COMPUTED_VALUE"""),"K/30/020725/1")</f>
        <v>K/30/020725/1</v>
      </c>
      <c r="C5454" s="42" t="str">
        <f>IFERROR(__xludf.DUMMYFUNCTION("""COMPUTED_VALUE"""),"NIBEL M.18284/KEMILING RAYA")</f>
        <v>NIBEL M.18284/KEMILING RAYA</v>
      </c>
      <c r="D5454" s="42"/>
      <c r="E5454" s="42"/>
      <c r="F5454" s="48" t="str">
        <f>IFERROR(__xludf.DUMMYFUNCTION("""COMPUTED_VALUE"""),"")</f>
        <v/>
      </c>
      <c r="G5454" s="42" t="str">
        <f>IFERROR(__xludf.DUMMYFUNCTION("""COMPUTED_VALUE"""),"PEMISAHAN")</f>
        <v>PEMISAHAN</v>
      </c>
      <c r="H5454" s="42">
        <f t="shared" si="1"/>
        <v>2433</v>
      </c>
    </row>
    <row r="5455" ht="22.5" customHeight="1">
      <c r="B5455" s="42" t="str">
        <f>IFERROR(__xludf.DUMMYFUNCTION("""COMPUTED_VALUE"""),"L/1/030725/1")</f>
        <v>L/1/030725/1</v>
      </c>
      <c r="C5455" s="42" t="str">
        <f>IFERROR(__xludf.DUMMYFUNCTION("""COMPUTED_VALUE"""),"HM 1863/TANJUNG SENANG")</f>
        <v>HM 1863/TANJUNG SENANG</v>
      </c>
      <c r="D5455" s="42" t="str">
        <f>IFERROR(__xludf.DUMMYFUNCTION("""COMPUTED_VALUE"""),"David")</f>
        <v>David</v>
      </c>
      <c r="E5455" s="42" t="str">
        <f>IFERROR(__xludf.DUMMYFUNCTION("""COMPUTED_VALUE"""),"DISERAHKAN")</f>
        <v>DISERAHKAN</v>
      </c>
      <c r="F5455" s="48">
        <f>IFERROR(__xludf.DUMMYFUNCTION("""COMPUTED_VALUE"""),45855.65268034722)</f>
        <v>45855.65268</v>
      </c>
      <c r="G5455" s="42" t="str">
        <f>IFERROR(__xludf.DUMMYFUNCTION("""COMPUTED_VALUE"""),"ROYA")</f>
        <v>ROYA</v>
      </c>
      <c r="H5455" s="42">
        <f t="shared" si="1"/>
        <v>2434</v>
      </c>
    </row>
    <row r="5456" ht="22.5" customHeight="1">
      <c r="B5456" s="42" t="str">
        <f>IFERROR(__xludf.DUMMYFUNCTION("""COMPUTED_VALUE"""),"L/2/030725/1")</f>
        <v>L/2/030725/1</v>
      </c>
      <c r="C5456" s="42" t="str">
        <f>IFERROR(__xludf.DUMMYFUNCTION("""COMPUTED_VALUE"""),"HGB 491/KETEGUHAN")</f>
        <v>HGB 491/KETEGUHAN</v>
      </c>
      <c r="D5456" s="42" t="str">
        <f>IFERROR(__xludf.DUMMYFUNCTION("""COMPUTED_VALUE"""),"Berry")</f>
        <v>Berry</v>
      </c>
      <c r="E5456" s="42" t="str">
        <f>IFERROR(__xludf.DUMMYFUNCTION("""COMPUTED_VALUE"""),"DISERAHKAN")</f>
        <v>DISERAHKAN</v>
      </c>
      <c r="F5456" s="48">
        <f>IFERROR(__xludf.DUMMYFUNCTION("""COMPUTED_VALUE"""),45860.66252106482)</f>
        <v>45860.66252</v>
      </c>
      <c r="G5456" s="42" t="str">
        <f>IFERROR(__xludf.DUMMYFUNCTION("""COMPUTED_VALUE"""),"BN PUTUSAN PENGADILAN")</f>
        <v>BN PUTUSAN PENGADILAN</v>
      </c>
      <c r="H5456" s="42">
        <f t="shared" si="1"/>
        <v>2435</v>
      </c>
    </row>
    <row r="5457" ht="22.5" customHeight="1">
      <c r="B5457" s="42" t="str">
        <f>IFERROR(__xludf.DUMMYFUNCTION("""COMPUTED_VALUE"""),"K/3/030725/1")</f>
        <v>K/3/030725/1</v>
      </c>
      <c r="C5457" s="42" t="str">
        <f>IFERROR(__xludf.DUMMYFUNCTION("""COMPUTED_VALUE"""),"Nibel 21612/ Korpri Raya")</f>
        <v>Nibel 21612/ Korpri Raya</v>
      </c>
      <c r="D5457" s="42"/>
      <c r="E5457" s="42"/>
      <c r="F5457" s="48" t="str">
        <f>IFERROR(__xludf.DUMMYFUNCTION("""COMPUTED_VALUE"""),"")</f>
        <v/>
      </c>
      <c r="G5457" s="42" t="str">
        <f>IFERROR(__xludf.DUMMYFUNCTION("""COMPUTED_VALUE"""),"BN JUAL BELI")</f>
        <v>BN JUAL BELI</v>
      </c>
      <c r="H5457" s="42">
        <f t="shared" si="1"/>
        <v>2435</v>
      </c>
    </row>
    <row r="5458" ht="22.5" customHeight="1">
      <c r="B5458" s="42" t="str">
        <f>IFERROR(__xludf.DUMMYFUNCTION("""COMPUTED_VALUE"""),"L/4/030725/1")</f>
        <v>L/4/030725/1</v>
      </c>
      <c r="C5458" s="42" t="str">
        <f>IFERROR(__xludf.DUMMYFUNCTION("""COMPUTED_VALUE"""),"HM 2013/KALIAWI")</f>
        <v>HM 2013/KALIAWI</v>
      </c>
      <c r="D5458" s="42" t="str">
        <f>IFERROR(__xludf.DUMMYFUNCTION("""COMPUTED_VALUE"""),"David")</f>
        <v>David</v>
      </c>
      <c r="E5458" s="42" t="str">
        <f>IFERROR(__xludf.DUMMYFUNCTION("""COMPUTED_VALUE"""),"DISERAHKAN")</f>
        <v>DISERAHKAN</v>
      </c>
      <c r="F5458" s="48">
        <f>IFERROR(__xludf.DUMMYFUNCTION("""COMPUTED_VALUE"""),45868.655331284725)</f>
        <v>45868.65533</v>
      </c>
      <c r="G5458" s="42" t="str">
        <f>IFERROR(__xludf.DUMMYFUNCTION("""COMPUTED_VALUE"""),"ROYA")</f>
        <v>ROYA</v>
      </c>
      <c r="H5458" s="42">
        <f t="shared" si="1"/>
        <v>2436</v>
      </c>
    </row>
    <row r="5459" ht="22.5" customHeight="1">
      <c r="B5459" s="42" t="str">
        <f>IFERROR(__xludf.DUMMYFUNCTION("""COMPUTED_VALUE"""),"L/5/030725/1")</f>
        <v>L/5/030725/1</v>
      </c>
      <c r="C5459" s="42" t="str">
        <f>IFERROR(__xludf.DUMMYFUNCTION("""COMPUTED_VALUE"""),"HM 12007/LABUHGAN RATU")</f>
        <v>HM 12007/LABUHGAN RATU</v>
      </c>
      <c r="D5459" s="42" t="str">
        <f>IFERROR(__xludf.DUMMYFUNCTION("""COMPUTED_VALUE"""),"David")</f>
        <v>David</v>
      </c>
      <c r="E5459" s="42" t="str">
        <f>IFERROR(__xludf.DUMMYFUNCTION("""COMPUTED_VALUE"""),"DISERAHKAN")</f>
        <v>DISERAHKAN</v>
      </c>
      <c r="F5459" s="48">
        <f>IFERROR(__xludf.DUMMYFUNCTION("""COMPUTED_VALUE"""),45856.62743140046)</f>
        <v>45856.62743</v>
      </c>
      <c r="G5459" s="42" t="str">
        <f>IFERROR(__xludf.DUMMYFUNCTION("""COMPUTED_VALUE"""),"ROYA")</f>
        <v>ROYA</v>
      </c>
      <c r="H5459" s="42">
        <f t="shared" si="1"/>
        <v>2437</v>
      </c>
    </row>
    <row r="5460" ht="22.5" customHeight="1">
      <c r="B5460" s="42" t="str">
        <f>IFERROR(__xludf.DUMMYFUNCTION("""COMPUTED_VALUE"""),"K/6/030725/1")</f>
        <v>K/6/030725/1</v>
      </c>
      <c r="C5460" s="42" t="str">
        <f>IFERROR(__xludf.DUMMYFUNCTION("""COMPUTED_VALUE"""),"M. 1314/ Susunan Baru")</f>
        <v>M. 1314/ Susunan Baru</v>
      </c>
      <c r="D5460" s="42"/>
      <c r="E5460" s="42"/>
      <c r="F5460" s="48" t="str">
        <f>IFERROR(__xludf.DUMMYFUNCTION("""COMPUTED_VALUE"""),"")</f>
        <v/>
      </c>
      <c r="G5460" s="42" t="str">
        <f>IFERROR(__xludf.DUMMYFUNCTION("""COMPUTED_VALUE"""),"PTPGT (Pemecahan)")</f>
        <v>PTPGT (Pemecahan)</v>
      </c>
      <c r="H5460" s="42">
        <f t="shared" si="1"/>
        <v>2437</v>
      </c>
    </row>
    <row r="5461" ht="22.5" customHeight="1">
      <c r="B5461" s="42" t="str">
        <f>IFERROR(__xludf.DUMMYFUNCTION("""COMPUTED_VALUE"""),"L/7/030725/1")</f>
        <v>L/7/030725/1</v>
      </c>
      <c r="C5461" s="42" t="str">
        <f>IFERROR(__xludf.DUMMYFUNCTION("""COMPUTED_VALUE"""),"HM 9560/SURABAYA")</f>
        <v>HM 9560/SURABAYA</v>
      </c>
      <c r="D5461" s="42"/>
      <c r="E5461" s="42"/>
      <c r="F5461" s="48" t="str">
        <f>IFERROR(__xludf.DUMMYFUNCTION("""COMPUTED_VALUE"""),"")</f>
        <v/>
      </c>
      <c r="G5461" s="42" t="str">
        <f>IFERROR(__xludf.DUMMYFUNCTION("""COMPUTED_VALUE"""),"GANTI BLANGKO")</f>
        <v>GANTI BLANGKO</v>
      </c>
      <c r="H5461" s="42">
        <f t="shared" si="1"/>
        <v>2437</v>
      </c>
    </row>
    <row r="5462" ht="22.5" customHeight="1">
      <c r="B5462" s="42" t="str">
        <f>IFERROR(__xludf.DUMMYFUNCTION("""COMPUTED_VALUE"""),"K/8/030725/1")</f>
        <v>K/8/030725/1</v>
      </c>
      <c r="C5462" s="42" t="str">
        <f>IFERROR(__xludf.DUMMYFUNCTION("""COMPUTED_VALUE"""),"PBT. 74/2025")</f>
        <v>PBT. 74/2025</v>
      </c>
      <c r="D5462" s="42"/>
      <c r="E5462" s="42"/>
      <c r="F5462" s="48" t="str">
        <f>IFERROR(__xludf.DUMMYFUNCTION("""COMPUTED_VALUE"""),"")</f>
        <v/>
      </c>
      <c r="G5462" s="42" t="str">
        <f>IFERROR(__xludf.DUMMYFUNCTION("""COMPUTED_VALUE"""),"PTPGT (Pertama Kali)")</f>
        <v>PTPGT (Pertama Kali)</v>
      </c>
      <c r="H5462" s="42">
        <f t="shared" si="1"/>
        <v>2437</v>
      </c>
    </row>
    <row r="5463" ht="22.5" customHeight="1">
      <c r="B5463" s="42" t="str">
        <f>IFERROR(__xludf.DUMMYFUNCTION("""COMPUTED_VALUE"""),"K/10/030725/1")</f>
        <v>K/10/030725/1</v>
      </c>
      <c r="C5463" s="42" t="str">
        <f>IFERROR(__xludf.DUMMYFUNCTION("""COMPUTED_VALUE"""),"NIBEL M.18958/SUKABUMI")</f>
        <v>NIBEL M.18958/SUKABUMI</v>
      </c>
      <c r="D5463" s="42"/>
      <c r="E5463" s="42"/>
      <c r="F5463" s="48" t="str">
        <f>IFERROR(__xludf.DUMMYFUNCTION("""COMPUTED_VALUE"""),"")</f>
        <v/>
      </c>
      <c r="G5463" s="42" t="str">
        <f>IFERROR(__xludf.DUMMYFUNCTION("""COMPUTED_VALUE"""),"JUAL BELI")</f>
        <v>JUAL BELI</v>
      </c>
      <c r="H5463" s="42">
        <f t="shared" si="1"/>
        <v>2437</v>
      </c>
    </row>
    <row r="5464" ht="22.5" customHeight="1">
      <c r="B5464" s="42" t="str">
        <f>IFERROR(__xludf.DUMMYFUNCTION("""COMPUTED_VALUE"""),"K/9/030725/1")</f>
        <v>K/9/030725/1</v>
      </c>
      <c r="C5464" s="42" t="str">
        <f>IFERROR(__xludf.DUMMYFUNCTION("""COMPUTED_VALUE"""),"M. 1610/ Beringin Jaya")</f>
        <v>M. 1610/ Beringin Jaya</v>
      </c>
      <c r="D5464" s="42" t="str">
        <f>IFERROR(__xludf.DUMMYFUNCTION("""COMPUTED_VALUE"""),"Berry")</f>
        <v>Berry</v>
      </c>
      <c r="E5464" s="42" t="str">
        <f>IFERROR(__xludf.DUMMYFUNCTION("""COMPUTED_VALUE"""),"DISERAHKAN")</f>
        <v>DISERAHKAN</v>
      </c>
      <c r="F5464" s="48">
        <f>IFERROR(__xludf.DUMMYFUNCTION("""COMPUTED_VALUE"""),45852.625779594906)</f>
        <v>45852.62578</v>
      </c>
      <c r="G5464" s="42" t="str">
        <f>IFERROR(__xludf.DUMMYFUNCTION("""COMPUTED_VALUE"""),"BN JUAL BELI")</f>
        <v>BN JUAL BELI</v>
      </c>
      <c r="H5464" s="42">
        <f t="shared" si="1"/>
        <v>2438</v>
      </c>
    </row>
    <row r="5465" ht="22.5" customHeight="1">
      <c r="B5465" s="42" t="str">
        <f>IFERROR(__xludf.DUMMYFUNCTION("""COMPUTED_VALUE"""),"L/11/030725/1")</f>
        <v>L/11/030725/1</v>
      </c>
      <c r="C5465" s="42" t="str">
        <f>IFERROR(__xludf.DUMMYFUNCTION("""COMPUTED_VALUE"""),"HGB 1368/PINNAG JAYA")</f>
        <v>HGB 1368/PINNAG JAYA</v>
      </c>
      <c r="D5465" s="42" t="str">
        <f>IFERROR(__xludf.DUMMYFUNCTION("""COMPUTED_VALUE"""),"David")</f>
        <v>David</v>
      </c>
      <c r="E5465" s="42" t="str">
        <f>IFERROR(__xludf.DUMMYFUNCTION("""COMPUTED_VALUE"""),"DISERAHKAN")</f>
        <v>DISERAHKAN</v>
      </c>
      <c r="F5465" s="48">
        <f>IFERROR(__xludf.DUMMYFUNCTION("""COMPUTED_VALUE"""),45862.69411210648)</f>
        <v>45862.69411</v>
      </c>
      <c r="G5465" s="42" t="str">
        <f>IFERROR(__xludf.DUMMYFUNCTION("""COMPUTED_VALUE"""),"PH")</f>
        <v>PH</v>
      </c>
      <c r="H5465" s="42">
        <f t="shared" si="1"/>
        <v>2439</v>
      </c>
    </row>
    <row r="5466" ht="22.5" customHeight="1">
      <c r="B5466" s="42" t="str">
        <f>IFERROR(__xludf.DUMMYFUNCTION("""COMPUTED_VALUE"""),"L/13/030725/1")</f>
        <v>L/13/030725/1</v>
      </c>
      <c r="C5466" s="42" t="str">
        <f>IFERROR(__xludf.DUMMYFUNCTION("""COMPUTED_VALUE"""),"HM 703/SUSUNAN BARU")</f>
        <v>HM 703/SUSUNAN BARU</v>
      </c>
      <c r="D5466" s="42"/>
      <c r="E5466" s="42"/>
      <c r="F5466" s="48" t="str">
        <f>IFERROR(__xludf.DUMMYFUNCTION("""COMPUTED_VALUE"""),"")</f>
        <v/>
      </c>
      <c r="G5466" s="42" t="str">
        <f>IFERROR(__xludf.DUMMYFUNCTION("""COMPUTED_VALUE"""),"BN WARIS")</f>
        <v>BN WARIS</v>
      </c>
      <c r="H5466" s="42">
        <f t="shared" si="1"/>
        <v>2439</v>
      </c>
    </row>
    <row r="5467" ht="22.5" customHeight="1">
      <c r="B5467" s="42" t="str">
        <f>IFERROR(__xludf.DUMMYFUNCTION("""COMPUTED_VALUE"""),"K/12/030725/1")</f>
        <v>K/12/030725/1</v>
      </c>
      <c r="C5467" s="42" t="str">
        <f>IFERROR(__xludf.DUMMYFUNCTION("""COMPUTED_VALUE"""),"M. 2643/ Sukamaju")</f>
        <v>M. 2643/ Sukamaju</v>
      </c>
      <c r="D5467" s="42"/>
      <c r="E5467" s="42"/>
      <c r="F5467" s="48" t="str">
        <f>IFERROR(__xludf.DUMMYFUNCTION("""COMPUTED_VALUE"""),"")</f>
        <v/>
      </c>
      <c r="G5467" s="42" t="str">
        <f>IFERROR(__xludf.DUMMYFUNCTION("""COMPUTED_VALUE"""),"HAPUS BPHTB")</f>
        <v>HAPUS BPHTB</v>
      </c>
      <c r="H5467" s="42">
        <f t="shared" si="1"/>
        <v>2439</v>
      </c>
    </row>
    <row r="5468" ht="22.5" customHeight="1">
      <c r="B5468" s="42" t="str">
        <f>IFERROR(__xludf.DUMMYFUNCTION("""COMPUTED_VALUE"""),"K/15/030725/1")</f>
        <v>K/15/030725/1</v>
      </c>
      <c r="C5468" s="42" t="str">
        <f>IFERROR(__xludf.DUMMYFUNCTION("""COMPUTED_VALUE"""),"SUKADANAHAM")</f>
        <v>SUKADANAHAM</v>
      </c>
      <c r="D5468" s="42"/>
      <c r="E5468" s="42"/>
      <c r="F5468" s="48" t="str">
        <f>IFERROR(__xludf.DUMMYFUNCTION("""COMPUTED_VALUE"""),"")</f>
        <v/>
      </c>
      <c r="G5468" s="42" t="str">
        <f>IFERROR(__xludf.DUMMYFUNCTION("""COMPUTED_VALUE"""),"TANAH MENTAH")</f>
        <v>TANAH MENTAH</v>
      </c>
      <c r="H5468" s="42">
        <f t="shared" si="1"/>
        <v>2439</v>
      </c>
    </row>
    <row r="5469" ht="22.5" customHeight="1">
      <c r="B5469" s="42" t="str">
        <f>IFERROR(__xludf.DUMMYFUNCTION("""COMPUTED_VALUE"""),"L/14/030725/2")</f>
        <v>L/14/030725/2</v>
      </c>
      <c r="C5469" s="42" t="str">
        <f>IFERROR(__xludf.DUMMYFUNCTION("""COMPUTED_VALUE"""),"HM 730/SUSUNAN BARU")</f>
        <v>HM 730/SUSUNAN BARU</v>
      </c>
      <c r="D5469" s="42"/>
      <c r="E5469" s="42"/>
      <c r="F5469" s="48" t="str">
        <f>IFERROR(__xludf.DUMMYFUNCTION("""COMPUTED_VALUE"""),"")</f>
        <v/>
      </c>
      <c r="G5469" s="42" t="str">
        <f>IFERROR(__xludf.DUMMYFUNCTION("""COMPUTED_VALUE"""),"BN WARIS")</f>
        <v>BN WARIS</v>
      </c>
      <c r="H5469" s="42">
        <f t="shared" si="1"/>
        <v>2439</v>
      </c>
    </row>
    <row r="5470" ht="22.5" customHeight="1">
      <c r="B5470" s="42" t="str">
        <f>IFERROR(__xludf.DUMMYFUNCTION("""COMPUTED_VALUE"""),"K/16/030725/1")</f>
        <v>K/16/030725/1</v>
      </c>
      <c r="C5470" s="42" t="str">
        <f>IFERROR(__xludf.DUMMYFUNCTION("""COMPUTED_VALUE"""),"M. 806/ Rawa Laut")</f>
        <v>M. 806/ Rawa Laut</v>
      </c>
      <c r="D5470" s="42" t="str">
        <f>IFERROR(__xludf.DUMMYFUNCTION("""COMPUTED_VALUE"""),"Berry")</f>
        <v>Berry</v>
      </c>
      <c r="E5470" s="42" t="str">
        <f>IFERROR(__xludf.DUMMYFUNCTION("""COMPUTED_VALUE"""),"DISERAHKAN")</f>
        <v>DISERAHKAN</v>
      </c>
      <c r="F5470" s="48">
        <f>IFERROR(__xludf.DUMMYFUNCTION("""COMPUTED_VALUE"""),45869.496150694446)</f>
        <v>45869.49615</v>
      </c>
      <c r="G5470" s="42" t="str">
        <f>IFERROR(__xludf.DUMMYFUNCTION("""COMPUTED_VALUE"""),"BN Waris")</f>
        <v>BN Waris</v>
      </c>
      <c r="H5470" s="42">
        <f t="shared" si="1"/>
        <v>2440</v>
      </c>
    </row>
    <row r="5471" ht="22.5" customHeight="1">
      <c r="B5471" s="42" t="str">
        <f>IFERROR(__xludf.DUMMYFUNCTION("""COMPUTED_VALUE"""),"K/17/030725/1")</f>
        <v>K/17/030725/1</v>
      </c>
      <c r="C5471" s="42" t="str">
        <f>IFERROR(__xludf.DUMMYFUNCTION("""COMPUTED_VALUE"""),"M. 9753/ Sidodadi")</f>
        <v>M. 9753/ Sidodadi</v>
      </c>
      <c r="D5471" s="42" t="str">
        <f>IFERROR(__xludf.DUMMYFUNCTION("""COMPUTED_VALUE"""),"Berry")</f>
        <v>Berry</v>
      </c>
      <c r="E5471" s="42" t="str">
        <f>IFERROR(__xludf.DUMMYFUNCTION("""COMPUTED_VALUE"""),"DISERAHKAN")</f>
        <v>DISERAHKAN</v>
      </c>
      <c r="F5471" s="48">
        <f>IFERROR(__xludf.DUMMYFUNCTION("""COMPUTED_VALUE"""),45870.678314652774)</f>
        <v>45870.67831</v>
      </c>
      <c r="G5471" s="42" t="str">
        <f>IFERROR(__xludf.DUMMYFUNCTION("""COMPUTED_VALUE"""),"BN HIBAH")</f>
        <v>BN HIBAH</v>
      </c>
      <c r="H5471" s="42">
        <f t="shared" si="1"/>
        <v>2441</v>
      </c>
    </row>
    <row r="5472" ht="22.5" customHeight="1">
      <c r="B5472" s="42" t="str">
        <f>IFERROR(__xludf.DUMMYFUNCTION("""COMPUTED_VALUE"""),"K/18/030725/1")</f>
        <v>K/18/030725/1</v>
      </c>
      <c r="C5472" s="42" t="str">
        <f>IFERROR(__xludf.DUMMYFUNCTION("""COMPUTED_VALUE""")," M.1117/PERUMNAS WAY KANDIS")</f>
        <v> M.1117/PERUMNAS WAY KANDIS</v>
      </c>
      <c r="D5472" s="42" t="str">
        <f>IFERROR(__xludf.DUMMYFUNCTION("""COMPUTED_VALUE"""),"Berry")</f>
        <v>Berry</v>
      </c>
      <c r="E5472" s="42" t="str">
        <f>IFERROR(__xludf.DUMMYFUNCTION("""COMPUTED_VALUE"""),"DISERAHKAN")</f>
        <v>DISERAHKAN</v>
      </c>
      <c r="F5472" s="48">
        <f>IFERROR(__xludf.DUMMYFUNCTION("""COMPUTED_VALUE"""),45856.51494732639)</f>
        <v>45856.51495</v>
      </c>
      <c r="G5472" s="42" t="str">
        <f>IFERROR(__xludf.DUMMYFUNCTION("""COMPUTED_VALUE"""),"JUAL BELI")</f>
        <v>JUAL BELI</v>
      </c>
      <c r="H5472" s="42">
        <f t="shared" si="1"/>
        <v>2442</v>
      </c>
    </row>
    <row r="5473" ht="22.5" customHeight="1">
      <c r="B5473" s="42" t="str">
        <f>IFERROR(__xludf.DUMMYFUNCTION("""COMPUTED_VALUE"""),"L/19/030725/1")</f>
        <v>L/19/030725/1</v>
      </c>
      <c r="C5473" s="42" t="str">
        <f>IFERROR(__xludf.DUMMYFUNCTION("""COMPUTED_VALUE"""),"HM 1337/GUNUNG TERANG")</f>
        <v>HM 1337/GUNUNG TERANG</v>
      </c>
      <c r="D5473" s="42" t="str">
        <f>IFERROR(__xludf.DUMMYFUNCTION("""COMPUTED_VALUE"""),"David")</f>
        <v>David</v>
      </c>
      <c r="E5473" s="42" t="str">
        <f>IFERROR(__xludf.DUMMYFUNCTION("""COMPUTED_VALUE"""),"DISERAHKAN")</f>
        <v>DISERAHKAN</v>
      </c>
      <c r="F5473" s="48">
        <f>IFERROR(__xludf.DUMMYFUNCTION("""COMPUTED_VALUE"""),45861.61401763889)</f>
        <v>45861.61402</v>
      </c>
      <c r="G5473" s="42" t="str">
        <f>IFERROR(__xludf.DUMMYFUNCTION("""COMPUTED_VALUE"""),"SISKA AULIA SARI")</f>
        <v>SISKA AULIA SARI</v>
      </c>
      <c r="H5473" s="42">
        <f t="shared" si="1"/>
        <v>2443</v>
      </c>
    </row>
    <row r="5474" ht="22.5" customHeight="1">
      <c r="B5474" s="42" t="str">
        <f>IFERROR(__xludf.DUMMYFUNCTION("""COMPUTED_VALUE"""),"K/20/030725/1")</f>
        <v>K/20/030725/1</v>
      </c>
      <c r="C5474" s="42" t="str">
        <f>IFERROR(__xludf.DUMMYFUNCTION("""COMPUTED_VALUE"""),"B. 484/ Srengsem")</f>
        <v>B. 484/ Srengsem</v>
      </c>
      <c r="D5474" s="42"/>
      <c r="E5474" s="42"/>
      <c r="F5474" s="48" t="str">
        <f>IFERROR(__xludf.DUMMYFUNCTION("""COMPUTED_VALUE"""),"")</f>
        <v/>
      </c>
      <c r="G5474" s="42" t="str">
        <f>IFERROR(__xludf.DUMMYFUNCTION("""COMPUTED_VALUE"""),"SKPT Informasi")</f>
        <v>SKPT Informasi</v>
      </c>
      <c r="H5474" s="42">
        <f t="shared" si="1"/>
        <v>2443</v>
      </c>
    </row>
    <row r="5475" ht="22.5" customHeight="1">
      <c r="B5475" s="42" t="str">
        <f>IFERROR(__xludf.DUMMYFUNCTION("""COMPUTED_VALUE"""),"K/23/030725/4")</f>
        <v>K/23/030725/4</v>
      </c>
      <c r="C5475" s="42" t="str">
        <f>IFERROR(__xludf.DUMMYFUNCTION("""COMPUTED_VALUE"""),"B. 483/ Srengsem")</f>
        <v>B. 483/ Srengsem</v>
      </c>
      <c r="D5475" s="42"/>
      <c r="E5475" s="42"/>
      <c r="F5475" s="48" t="str">
        <f>IFERROR(__xludf.DUMMYFUNCTION("""COMPUTED_VALUE"""),"")</f>
        <v/>
      </c>
      <c r="G5475" s="42" t="str">
        <f>IFERROR(__xludf.DUMMYFUNCTION("""COMPUTED_VALUE"""),"SKPT Informasi")</f>
        <v>SKPT Informasi</v>
      </c>
      <c r="H5475" s="42">
        <f t="shared" si="1"/>
        <v>2443</v>
      </c>
    </row>
    <row r="5476" ht="22.5" customHeight="1">
      <c r="B5476" s="42" t="str">
        <f>IFERROR(__xludf.DUMMYFUNCTION("""COMPUTED_VALUE"""),"K/22/030725/3")</f>
        <v>K/22/030725/3</v>
      </c>
      <c r="C5476" s="42" t="str">
        <f>IFERROR(__xludf.DUMMYFUNCTION("""COMPUTED_VALUE"""),"B. 429/ Srengsem")</f>
        <v>B. 429/ Srengsem</v>
      </c>
      <c r="D5476" s="42"/>
      <c r="E5476" s="42"/>
      <c r="F5476" s="48" t="str">
        <f>IFERROR(__xludf.DUMMYFUNCTION("""COMPUTED_VALUE"""),"")</f>
        <v/>
      </c>
      <c r="G5476" s="42" t="str">
        <f>IFERROR(__xludf.DUMMYFUNCTION("""COMPUTED_VALUE"""),"SKPT Informasi")</f>
        <v>SKPT Informasi</v>
      </c>
      <c r="H5476" s="42">
        <f t="shared" si="1"/>
        <v>2443</v>
      </c>
    </row>
    <row r="5477" ht="22.5" customHeight="1">
      <c r="B5477" s="42" t="str">
        <f>IFERROR(__xludf.DUMMYFUNCTION("""COMPUTED_VALUE"""),"K/21/030725/2")</f>
        <v>K/21/030725/2</v>
      </c>
      <c r="C5477" s="42" t="str">
        <f>IFERROR(__xludf.DUMMYFUNCTION("""COMPUTED_VALUE"""),"B. 482/ Srengsem")</f>
        <v>B. 482/ Srengsem</v>
      </c>
      <c r="D5477" s="42"/>
      <c r="E5477" s="42"/>
      <c r="F5477" s="48" t="str">
        <f>IFERROR(__xludf.DUMMYFUNCTION("""COMPUTED_VALUE"""),"")</f>
        <v/>
      </c>
      <c r="G5477" s="42" t="str">
        <f>IFERROR(__xludf.DUMMYFUNCTION("""COMPUTED_VALUE"""),"SKPT Informasi")</f>
        <v>SKPT Informasi</v>
      </c>
      <c r="H5477" s="42">
        <f t="shared" si="1"/>
        <v>2443</v>
      </c>
    </row>
    <row r="5478" ht="22.5" customHeight="1">
      <c r="B5478" s="42" t="str">
        <f>IFERROR(__xludf.DUMMYFUNCTION("""COMPUTED_VALUE"""),"K/24/030725/1")</f>
        <v>K/24/030725/1</v>
      </c>
      <c r="C5478" s="42" t="str">
        <f>IFERROR(__xludf.DUMMYFUNCTION("""COMPUTED_VALUE"""),"NIBEL M.18353/LABUHAN RATU RAYA")</f>
        <v>NIBEL M.18353/LABUHAN RATU RAYA</v>
      </c>
      <c r="D5478" s="42"/>
      <c r="E5478" s="42"/>
      <c r="F5478" s="48" t="str">
        <f>IFERROR(__xludf.DUMMYFUNCTION("""COMPUTED_VALUE"""),"")</f>
        <v/>
      </c>
      <c r="G5478" s="42" t="str">
        <f>IFERROR(__xludf.DUMMYFUNCTION("""COMPUTED_VALUE"""),"JUAL BELI")</f>
        <v>JUAL BELI</v>
      </c>
      <c r="H5478" s="42">
        <f t="shared" si="1"/>
        <v>2443</v>
      </c>
    </row>
    <row r="5479" ht="22.5" customHeight="1">
      <c r="B5479" s="42" t="str">
        <f>IFERROR(__xludf.DUMMYFUNCTION("""COMPUTED_VALUE"""),"K/25/030725/2")</f>
        <v>K/25/030725/2</v>
      </c>
      <c r="C5479" s="42" t="str">
        <f>IFERROR(__xludf.DUMMYFUNCTION("""COMPUTED_VALUE"""),"NIBEL M 18349/LABUHAN RATU RAYA ")</f>
        <v>NIBEL M 18349/LABUHAN RATU RAYA </v>
      </c>
      <c r="D5479" s="42"/>
      <c r="E5479" s="42"/>
      <c r="F5479" s="48" t="str">
        <f>IFERROR(__xludf.DUMMYFUNCTION("""COMPUTED_VALUE"""),"")</f>
        <v/>
      </c>
      <c r="G5479" s="42" t="str">
        <f>IFERROR(__xludf.DUMMYFUNCTION("""COMPUTED_VALUE"""),"JUAL BELI")</f>
        <v>JUAL BELI</v>
      </c>
      <c r="H5479" s="42">
        <f t="shared" si="1"/>
        <v>2443</v>
      </c>
    </row>
    <row r="5480" ht="22.5" customHeight="1">
      <c r="B5480" s="42" t="str">
        <f>IFERROR(__xludf.DUMMYFUNCTION("""COMPUTED_VALUE"""),"K/26/030725/1")</f>
        <v>K/26/030725/1</v>
      </c>
      <c r="C5480" s="42" t="str">
        <f>IFERROR(__xludf.DUMMYFUNCTION("""COMPUTED_VALUE"""),"B. 381/ Segala Mider")</f>
        <v>B. 381/ Segala Mider</v>
      </c>
      <c r="D5480" s="42"/>
      <c r="E5480" s="42"/>
      <c r="F5480" s="48" t="str">
        <f>IFERROR(__xludf.DUMMYFUNCTION("""COMPUTED_VALUE"""),"")</f>
        <v/>
      </c>
      <c r="G5480" s="42" t="str">
        <f>IFERROR(__xludf.DUMMYFUNCTION("""COMPUTED_VALUE"""),"SKPT LELANG")</f>
        <v>SKPT LELANG</v>
      </c>
      <c r="H5480" s="42">
        <f t="shared" si="1"/>
        <v>2443</v>
      </c>
    </row>
    <row r="5481" ht="22.5" customHeight="1">
      <c r="B5481" s="42" t="str">
        <f>IFERROR(__xludf.DUMMYFUNCTION("""COMPUTED_VALUE"""),"K/31/030725/1")</f>
        <v>K/31/030725/1</v>
      </c>
      <c r="C5481" s="42" t="str">
        <f>IFERROR(__xludf.DUMMYFUNCTION("""COMPUTED_VALUE"""),"B.851/PERUMNAS WAY KANDIS")</f>
        <v>B.851/PERUMNAS WAY KANDIS</v>
      </c>
      <c r="D5481" s="42" t="str">
        <f>IFERROR(__xludf.DUMMYFUNCTION("""COMPUTED_VALUE"""),"Berry")</f>
        <v>Berry</v>
      </c>
      <c r="E5481" s="42" t="str">
        <f>IFERROR(__xludf.DUMMYFUNCTION("""COMPUTED_VALUE"""),"DISERAHKAN")</f>
        <v>DISERAHKAN</v>
      </c>
      <c r="F5481" s="48">
        <f>IFERROR(__xludf.DUMMYFUNCTION("""COMPUTED_VALUE"""),45852.633856030094)</f>
        <v>45852.63386</v>
      </c>
      <c r="G5481" s="42" t="str">
        <f>IFERROR(__xludf.DUMMYFUNCTION("""COMPUTED_VALUE"""),"BN WARIS")</f>
        <v>BN WARIS</v>
      </c>
      <c r="H5481" s="42">
        <f t="shared" si="1"/>
        <v>2444</v>
      </c>
    </row>
    <row r="5482" ht="22.5" customHeight="1">
      <c r="B5482" s="42" t="str">
        <f>IFERROR(__xludf.DUMMYFUNCTION("""COMPUTED_VALUE"""),"K/27/030725/2")</f>
        <v>K/27/030725/2</v>
      </c>
      <c r="C5482" s="42" t="str">
        <f>IFERROR(__xludf.DUMMYFUNCTION("""COMPUTED_VALUE"""),"B. 382/ Segala Mider")</f>
        <v>B. 382/ Segala Mider</v>
      </c>
      <c r="D5482" s="42"/>
      <c r="E5482" s="42"/>
      <c r="F5482" s="48" t="str">
        <f>IFERROR(__xludf.DUMMYFUNCTION("""COMPUTED_VALUE"""),"")</f>
        <v/>
      </c>
      <c r="G5482" s="42" t="str">
        <f>IFERROR(__xludf.DUMMYFUNCTION("""COMPUTED_VALUE"""),"SKPT LELANG")</f>
        <v>SKPT LELANG</v>
      </c>
      <c r="H5482" s="42">
        <f t="shared" si="1"/>
        <v>2444</v>
      </c>
    </row>
    <row r="5483" ht="22.5" customHeight="1">
      <c r="B5483" s="42" t="str">
        <f>IFERROR(__xludf.DUMMYFUNCTION("""COMPUTED_VALUE"""),"K/28/030725/3")</f>
        <v>K/28/030725/3</v>
      </c>
      <c r="C5483" s="42" t="str">
        <f>IFERROR(__xludf.DUMMYFUNCTION("""COMPUTED_VALUE"""),"B. 383/ Segala Mider")</f>
        <v>B. 383/ Segala Mider</v>
      </c>
      <c r="D5483" s="42"/>
      <c r="E5483" s="42"/>
      <c r="F5483" s="48" t="str">
        <f>IFERROR(__xludf.DUMMYFUNCTION("""COMPUTED_VALUE"""),"")</f>
        <v/>
      </c>
      <c r="G5483" s="42" t="str">
        <f>IFERROR(__xludf.DUMMYFUNCTION("""COMPUTED_VALUE"""),"SKPT LELANG")</f>
        <v>SKPT LELANG</v>
      </c>
      <c r="H5483" s="42">
        <f t="shared" si="1"/>
        <v>2444</v>
      </c>
    </row>
    <row r="5484" ht="22.5" customHeight="1">
      <c r="B5484" s="42" t="str">
        <f>IFERROR(__xludf.DUMMYFUNCTION("""COMPUTED_VALUE"""),"K/29/030725/4")</f>
        <v>K/29/030725/4</v>
      </c>
      <c r="C5484" s="42" t="str">
        <f>IFERROR(__xludf.DUMMYFUNCTION("""COMPUTED_VALUE"""),"M. 13383/ Tanjung Baru")</f>
        <v>M. 13383/ Tanjung Baru</v>
      </c>
      <c r="D5484" s="42"/>
      <c r="E5484" s="42"/>
      <c r="F5484" s="48" t="str">
        <f>IFERROR(__xludf.DUMMYFUNCTION("""COMPUTED_VALUE"""),"")</f>
        <v/>
      </c>
      <c r="G5484" s="42" t="str">
        <f>IFERROR(__xludf.DUMMYFUNCTION("""COMPUTED_VALUE"""),"SKPT LELANG")</f>
        <v>SKPT LELANG</v>
      </c>
      <c r="H5484" s="42">
        <f t="shared" si="1"/>
        <v>2444</v>
      </c>
    </row>
    <row r="5485" ht="22.5" customHeight="1">
      <c r="B5485" s="42" t="str">
        <f>IFERROR(__xludf.DUMMYFUNCTION("""COMPUTED_VALUE"""),"K/33/030725/1")</f>
        <v>K/33/030725/1</v>
      </c>
      <c r="C5485" s="42" t="str">
        <f>IFERROR(__xludf.DUMMYFUNCTION("""COMPUTED_VALUE"""),"M. 1946/ Keteguhan")</f>
        <v>M. 1946/ Keteguhan</v>
      </c>
      <c r="D5485" s="42"/>
      <c r="E5485" s="42"/>
      <c r="F5485" s="48" t="str">
        <f>IFERROR(__xludf.DUMMYFUNCTION("""COMPUTED_VALUE"""),"")</f>
        <v/>
      </c>
      <c r="G5485" s="42" t="str">
        <f>IFERROR(__xludf.DUMMYFUNCTION("""COMPUTED_VALUE"""),"BN Waris")</f>
        <v>BN Waris</v>
      </c>
      <c r="H5485" s="42">
        <f t="shared" si="1"/>
        <v>2444</v>
      </c>
    </row>
    <row r="5486" ht="22.5" customHeight="1">
      <c r="B5486" s="42" t="str">
        <f>IFERROR(__xludf.DUMMYFUNCTION("""COMPUTED_VALUE"""),"K/30/030725/5")</f>
        <v>K/30/030725/5</v>
      </c>
      <c r="C5486" s="42" t="str">
        <f>IFERROR(__xludf.DUMMYFUNCTION("""COMPUTED_VALUE"""),"M. 410/ Way Dadi")</f>
        <v>M. 410/ Way Dadi</v>
      </c>
      <c r="D5486" s="42"/>
      <c r="E5486" s="42"/>
      <c r="F5486" s="48" t="str">
        <f>IFERROR(__xludf.DUMMYFUNCTION("""COMPUTED_VALUE"""),"")</f>
        <v/>
      </c>
      <c r="G5486" s="42" t="str">
        <f>IFERROR(__xludf.DUMMYFUNCTION("""COMPUTED_VALUE"""),"SKPT LELANG")</f>
        <v>SKPT LELANG</v>
      </c>
      <c r="H5486" s="42">
        <f t="shared" si="1"/>
        <v>2444</v>
      </c>
    </row>
    <row r="5487" ht="22.5" customHeight="1">
      <c r="B5487" s="42" t="str">
        <f>IFERROR(__xludf.DUMMYFUNCTION("""COMPUTED_VALUE"""),"K/32/030725/1")</f>
        <v>K/32/030725/1</v>
      </c>
      <c r="C5487" s="42" t="str">
        <f>IFERROR(__xludf.DUMMYFUNCTION("""COMPUTED_VALUE"""),"M. 11744/SEGALA MIDER")</f>
        <v>M. 11744/SEGALA MIDER</v>
      </c>
      <c r="D5487" s="42" t="str">
        <f>IFERROR(__xludf.DUMMYFUNCTION("""COMPUTED_VALUE"""),"Berry")</f>
        <v>Berry</v>
      </c>
      <c r="E5487" s="42" t="str">
        <f>IFERROR(__xludf.DUMMYFUNCTION("""COMPUTED_VALUE"""),"DISERAHKAN")</f>
        <v>DISERAHKAN</v>
      </c>
      <c r="F5487" s="48">
        <f>IFERROR(__xludf.DUMMYFUNCTION("""COMPUTED_VALUE"""),45888.61447863426)</f>
        <v>45888.61448</v>
      </c>
      <c r="G5487" s="42" t="str">
        <f>IFERROR(__xludf.DUMMYFUNCTION("""COMPUTED_VALUE"""),"KEWARISAN")</f>
        <v>KEWARISAN</v>
      </c>
      <c r="H5487" s="42">
        <f t="shared" si="1"/>
        <v>2445</v>
      </c>
    </row>
    <row r="5488" ht="22.5" customHeight="1">
      <c r="B5488" s="42" t="str">
        <f>IFERROR(__xludf.DUMMYFUNCTION("""COMPUTED_VALUE"""),"K/36/030725/1")</f>
        <v>K/36/030725/1</v>
      </c>
      <c r="C5488" s="42" t="str">
        <f>IFERROR(__xludf.DUMMYFUNCTION("""COMPUTED_VALUE"""),"M. 3220/ Way Kandis")</f>
        <v>M. 3220/ Way Kandis</v>
      </c>
      <c r="D5488" s="42" t="str">
        <f>IFERROR(__xludf.DUMMYFUNCTION("""COMPUTED_VALUE"""),"Berry")</f>
        <v>Berry</v>
      </c>
      <c r="E5488" s="42" t="str">
        <f>IFERROR(__xludf.DUMMYFUNCTION("""COMPUTED_VALUE"""),"DISERAHKAN")</f>
        <v>DISERAHKAN</v>
      </c>
      <c r="F5488" s="48">
        <f>IFERROR(__xludf.DUMMYFUNCTION("""COMPUTED_VALUE"""),45918.555012916666)</f>
        <v>45918.55501</v>
      </c>
      <c r="G5488" s="42" t="str">
        <f>IFERROR(__xludf.DUMMYFUNCTION("""COMPUTED_VALUE"""),"BN JUAL BELI")</f>
        <v>BN JUAL BELI</v>
      </c>
      <c r="H5488" s="42">
        <f t="shared" si="1"/>
        <v>2446</v>
      </c>
    </row>
    <row r="5489" ht="22.5" customHeight="1">
      <c r="B5489" s="42" t="str">
        <f>IFERROR(__xludf.DUMMYFUNCTION("""COMPUTED_VALUE"""),"K/37/030725/2")</f>
        <v>K/37/030725/2</v>
      </c>
      <c r="C5489" s="42" t="str">
        <f>IFERROR(__xludf.DUMMYFUNCTION("""COMPUTED_VALUE"""),"M. 3218/ Way Kandis")</f>
        <v>M. 3218/ Way Kandis</v>
      </c>
      <c r="D5489" s="42" t="str">
        <f>IFERROR(__xludf.DUMMYFUNCTION("""COMPUTED_VALUE"""),"Berry")</f>
        <v>Berry</v>
      </c>
      <c r="E5489" s="42" t="str">
        <f>IFERROR(__xludf.DUMMYFUNCTION("""COMPUTED_VALUE"""),"DISERAHKAN")</f>
        <v>DISERAHKAN</v>
      </c>
      <c r="F5489" s="48">
        <f>IFERROR(__xludf.DUMMYFUNCTION("""COMPUTED_VALUE"""),45918.5550399537)</f>
        <v>45918.55504</v>
      </c>
      <c r="G5489" s="42" t="str">
        <f>IFERROR(__xludf.DUMMYFUNCTION("""COMPUTED_VALUE"""),"BN JUAL BELI")</f>
        <v>BN JUAL BELI</v>
      </c>
      <c r="H5489" s="42">
        <f t="shared" si="1"/>
        <v>2447</v>
      </c>
    </row>
    <row r="5490" ht="22.5" customHeight="1">
      <c r="B5490" s="42" t="str">
        <f>IFERROR(__xludf.DUMMYFUNCTION("""COMPUTED_VALUE"""),"K/34/030725/1")</f>
        <v>K/34/030725/1</v>
      </c>
      <c r="C5490" s="42" t="str">
        <f>IFERROR(__xludf.DUMMYFUNCTION("""COMPUTED_VALUE"""),"Nibel. B. 411/ Kemiling Permai")</f>
        <v>Nibel. B. 411/ Kemiling Permai</v>
      </c>
      <c r="D5490" s="42"/>
      <c r="E5490" s="42"/>
      <c r="F5490" s="48" t="str">
        <f>IFERROR(__xludf.DUMMYFUNCTION("""COMPUTED_VALUE"""),"")</f>
        <v/>
      </c>
      <c r="G5490" s="42" t="str">
        <f>IFERROR(__xludf.DUMMYFUNCTION("""COMPUTED_VALUE"""),"Perubahan Hak")</f>
        <v>Perubahan Hak</v>
      </c>
      <c r="H5490" s="42">
        <f t="shared" si="1"/>
        <v>2447</v>
      </c>
    </row>
    <row r="5491" ht="22.5" customHeight="1">
      <c r="B5491" s="42" t="str">
        <f>IFERROR(__xludf.DUMMYFUNCTION("""COMPUTED_VALUE"""),"K/38/030725/3")</f>
        <v>K/38/030725/3</v>
      </c>
      <c r="C5491" s="42" t="str">
        <f>IFERROR(__xludf.DUMMYFUNCTION("""COMPUTED_VALUE"""),"Nibel 9408/ Way kandis")</f>
        <v>Nibel 9408/ Way kandis</v>
      </c>
      <c r="D5491" s="42"/>
      <c r="E5491" s="42"/>
      <c r="F5491" s="48" t="str">
        <f>IFERROR(__xludf.DUMMYFUNCTION("""COMPUTED_VALUE"""),"")</f>
        <v/>
      </c>
      <c r="G5491" s="42" t="str">
        <f>IFERROR(__xludf.DUMMYFUNCTION("""COMPUTED_VALUE"""),"BN JUAL BELI")</f>
        <v>BN JUAL BELI</v>
      </c>
      <c r="H5491" s="42">
        <f t="shared" si="1"/>
        <v>2447</v>
      </c>
    </row>
    <row r="5492" ht="22.5" customHeight="1">
      <c r="B5492" s="42" t="str">
        <f>IFERROR(__xludf.DUMMYFUNCTION("""COMPUTED_VALUE"""),"K/35/030725/2")</f>
        <v>K/35/030725/2</v>
      </c>
      <c r="C5492" s="42" t="str">
        <f>IFERROR(__xludf.DUMMYFUNCTION("""COMPUTED_VALUE"""),"Nibel. M. 19094/ Sukabumi")</f>
        <v>Nibel. M. 19094/ Sukabumi</v>
      </c>
      <c r="D5492" s="42"/>
      <c r="E5492" s="42"/>
      <c r="F5492" s="48" t="str">
        <f>IFERROR(__xludf.DUMMYFUNCTION("""COMPUTED_VALUE"""),"")</f>
        <v/>
      </c>
      <c r="G5492" s="42" t="str">
        <f>IFERROR(__xludf.DUMMYFUNCTION("""COMPUTED_VALUE"""),"BN Jual Beli")</f>
        <v>BN Jual Beli</v>
      </c>
      <c r="H5492" s="42">
        <f t="shared" si="1"/>
        <v>2447</v>
      </c>
    </row>
    <row r="5493" ht="22.5" customHeight="1">
      <c r="B5493" s="42" t="str">
        <f>IFERROR(__xludf.DUMMYFUNCTION("""COMPUTED_VALUE"""),"K/40/030725/2")</f>
        <v>K/40/030725/2</v>
      </c>
      <c r="C5493" s="42" t="str">
        <f>IFERROR(__xludf.DUMMYFUNCTION("""COMPUTED_VALUE"""),"Nibel. M. 20772/ Sumber Agung")</f>
        <v>Nibel. M. 20772/ Sumber Agung</v>
      </c>
      <c r="D5493" s="42" t="str">
        <f>IFERROR(__xludf.DUMMYFUNCTION("""COMPUTED_VALUE"""),"Berry")</f>
        <v>Berry</v>
      </c>
      <c r="E5493" s="42" t="str">
        <f>IFERROR(__xludf.DUMMYFUNCTION("""COMPUTED_VALUE"""),"DISERAHKAN")</f>
        <v>DISERAHKAN</v>
      </c>
      <c r="F5493" s="48">
        <f>IFERROR(__xludf.DUMMYFUNCTION("""COMPUTED_VALUE"""),45966.65148328704)</f>
        <v>45966.65148</v>
      </c>
      <c r="G5493" s="42" t="str">
        <f>IFERROR(__xludf.DUMMYFUNCTION("""COMPUTED_VALUE"""),"BN Hibah")</f>
        <v>BN Hibah</v>
      </c>
      <c r="H5493" s="42">
        <f t="shared" si="1"/>
        <v>2448</v>
      </c>
    </row>
    <row r="5494" ht="22.5" customHeight="1">
      <c r="B5494" s="42" t="str">
        <f>IFERROR(__xludf.DUMMYFUNCTION("""COMPUTED_VALUE"""),"K/39/030725/1")</f>
        <v>K/39/030725/1</v>
      </c>
      <c r="C5494" s="42" t="str">
        <f>IFERROR(__xludf.DUMMYFUNCTION("""COMPUTED_VALUE"""),"M. 3127/ Kupang Teba")</f>
        <v>M. 3127/ Kupang Teba</v>
      </c>
      <c r="D5494" s="42"/>
      <c r="E5494" s="42"/>
      <c r="F5494" s="48" t="str">
        <f>IFERROR(__xludf.DUMMYFUNCTION("""COMPUTED_VALUE"""),"")</f>
        <v/>
      </c>
      <c r="G5494" s="42" t="str">
        <f>IFERROR(__xludf.DUMMYFUNCTION("""COMPUTED_VALUE"""),"Hapus BPHTB ")</f>
        <v>Hapus BPHTB </v>
      </c>
      <c r="H5494" s="42">
        <f t="shared" si="1"/>
        <v>2448</v>
      </c>
    </row>
    <row r="5495" ht="22.5" customHeight="1">
      <c r="B5495" s="42" t="str">
        <f>IFERROR(__xludf.DUMMYFUNCTION("""COMPUTED_VALUE"""),"K/41/030725/3")</f>
        <v>K/41/030725/3</v>
      </c>
      <c r="C5495" s="42" t="str">
        <f>IFERROR(__xludf.DUMMYFUNCTION("""COMPUTED_VALUE"""),"M. 3365/ Beringin Raya")</f>
        <v>M. 3365/ Beringin Raya</v>
      </c>
      <c r="D5495" s="42" t="str">
        <f>IFERROR(__xludf.DUMMYFUNCTION("""COMPUTED_VALUE"""),"Berry")</f>
        <v>Berry</v>
      </c>
      <c r="E5495" s="42" t="str">
        <f>IFERROR(__xludf.DUMMYFUNCTION("""COMPUTED_VALUE"""),"DISERAHKAN")</f>
        <v>DISERAHKAN</v>
      </c>
      <c r="F5495" s="48">
        <f>IFERROR(__xludf.DUMMYFUNCTION("""COMPUTED_VALUE"""),45861.61890078704)</f>
        <v>45861.6189</v>
      </c>
      <c r="G5495" s="42" t="str">
        <f>IFERROR(__xludf.DUMMYFUNCTION("""COMPUTED_VALUE"""),"BN Hibah")</f>
        <v>BN Hibah</v>
      </c>
      <c r="H5495" s="42">
        <f t="shared" si="1"/>
        <v>2449</v>
      </c>
    </row>
    <row r="5496" ht="22.5" customHeight="1">
      <c r="B5496" s="42" t="str">
        <f>IFERROR(__xludf.DUMMYFUNCTION("""COMPUTED_VALUE"""),"L/42/030725/1")</f>
        <v>L/42/030725/1</v>
      </c>
      <c r="C5496" s="42" t="str">
        <f>IFERROR(__xludf.DUMMYFUNCTION("""COMPUTED_VALUE"""),"HM 2299/PINANG JAYA")</f>
        <v>HM 2299/PINANG JAYA</v>
      </c>
      <c r="D5496" s="42"/>
      <c r="E5496" s="42"/>
      <c r="F5496" s="48" t="str">
        <f>IFERROR(__xludf.DUMMYFUNCTION("""COMPUTED_VALUE"""),"")</f>
        <v/>
      </c>
      <c r="G5496" s="42" t="str">
        <f>IFERROR(__xludf.DUMMYFUNCTION("""COMPUTED_VALUE"""),"BN HIBAH")</f>
        <v>BN HIBAH</v>
      </c>
      <c r="H5496" s="42">
        <f t="shared" si="1"/>
        <v>2449</v>
      </c>
    </row>
    <row r="5497" ht="22.5" customHeight="1">
      <c r="B5497" s="42" t="str">
        <f>IFERROR(__xludf.DUMMYFUNCTION("""COMPUTED_VALUE"""),"L/43/030725/2")</f>
        <v>L/43/030725/2</v>
      </c>
      <c r="C5497" s="42" t="str">
        <f>IFERROR(__xludf.DUMMYFUNCTION("""COMPUTED_VALUE"""),"HM 3311/LANGKAPURA BARU")</f>
        <v>HM 3311/LANGKAPURA BARU</v>
      </c>
      <c r="D5497" s="42"/>
      <c r="E5497" s="42"/>
      <c r="F5497" s="48" t="str">
        <f>IFERROR(__xludf.DUMMYFUNCTION("""COMPUTED_VALUE"""),"")</f>
        <v/>
      </c>
      <c r="G5497" s="42" t="str">
        <f>IFERROR(__xludf.DUMMYFUNCTION("""COMPUTED_VALUE"""),"BN JUAL-BELI")</f>
        <v>BN JUAL-BELI</v>
      </c>
      <c r="H5497" s="42">
        <f t="shared" si="1"/>
        <v>2449</v>
      </c>
    </row>
    <row r="5498" ht="22.5" customHeight="1">
      <c r="B5498" s="42" t="str">
        <f>IFERROR(__xludf.DUMMYFUNCTION("""COMPUTED_VALUE"""),"L/1/040725/1")</f>
        <v>L/1/040725/1</v>
      </c>
      <c r="C5498" s="42" t="str">
        <f>IFERROR(__xludf.DUMMYFUNCTION("""COMPUTED_VALUE"""),"HM 2163/WHP")</f>
        <v>HM 2163/WHP</v>
      </c>
      <c r="D5498" s="42" t="str">
        <f>IFERROR(__xludf.DUMMYFUNCTION("""COMPUTED_VALUE"""),"Berry")</f>
        <v>Berry</v>
      </c>
      <c r="E5498" s="42" t="str">
        <f>IFERROR(__xludf.DUMMYFUNCTION("""COMPUTED_VALUE"""),"DISERAHKAN")</f>
        <v>DISERAHKAN</v>
      </c>
      <c r="F5498" s="48">
        <f>IFERROR(__xludf.DUMMYFUNCTION("""COMPUTED_VALUE"""),45861.61851342593)</f>
        <v>45861.61851</v>
      </c>
      <c r="G5498" s="42" t="str">
        <f>IFERROR(__xludf.DUMMYFUNCTION("""COMPUTED_VALUE"""),"GANTI NAMA")</f>
        <v>GANTI NAMA</v>
      </c>
      <c r="H5498" s="42">
        <f t="shared" si="1"/>
        <v>2450</v>
      </c>
    </row>
    <row r="5499" ht="22.5" customHeight="1">
      <c r="B5499" s="42" t="str">
        <f>IFERROR(__xludf.DUMMYFUNCTION("""COMPUTED_VALUE"""),"K/3/040725/1")</f>
        <v>K/3/040725/1</v>
      </c>
      <c r="C5499" s="42" t="str">
        <f>IFERROR(__xludf.DUMMYFUNCTION("""COMPUTED_VALUE"""),"M. 596/ Korpri Raya")</f>
        <v>M. 596/ Korpri Raya</v>
      </c>
      <c r="D5499" s="42" t="str">
        <f>IFERROR(__xludf.DUMMYFUNCTION("""COMPUTED_VALUE"""),"Berry")</f>
        <v>Berry</v>
      </c>
      <c r="E5499" s="42" t="str">
        <f>IFERROR(__xludf.DUMMYFUNCTION("""COMPUTED_VALUE"""),"DISERAHKAN")</f>
        <v>DISERAHKAN</v>
      </c>
      <c r="F5499" s="48">
        <f>IFERROR(__xludf.DUMMYFUNCTION("""COMPUTED_VALUE"""),45867.383022974536)</f>
        <v>45867.38302</v>
      </c>
      <c r="G5499" s="42" t="str">
        <f>IFERROR(__xludf.DUMMYFUNCTION("""COMPUTED_VALUE"""),"BN WARIS")</f>
        <v>BN WARIS</v>
      </c>
      <c r="H5499" s="42">
        <f t="shared" si="1"/>
        <v>2451</v>
      </c>
    </row>
    <row r="5500" ht="22.5" customHeight="1">
      <c r="B5500" s="42" t="str">
        <f>IFERROR(__xludf.DUMMYFUNCTION("""COMPUTED_VALUE"""),"K/4/040725/1")</f>
        <v>K/4/040725/1</v>
      </c>
      <c r="C5500" s="42" t="str">
        <f>IFERROR(__xludf.DUMMYFUNCTION("""COMPUTED_VALUE"""),"Nibel 3237/ Sukamenanti")</f>
        <v>Nibel 3237/ Sukamenanti</v>
      </c>
      <c r="D5500" s="42"/>
      <c r="E5500" s="42"/>
      <c r="F5500" s="48" t="str">
        <f>IFERROR(__xludf.DUMMYFUNCTION("""COMPUTED_VALUE"""),"")</f>
        <v/>
      </c>
      <c r="G5500" s="42" t="str">
        <f>IFERROR(__xludf.DUMMYFUNCTION("""COMPUTED_VALUE"""),"BN JUAL BELI")</f>
        <v>BN JUAL BELI</v>
      </c>
      <c r="H5500" s="42">
        <f t="shared" si="1"/>
        <v>2451</v>
      </c>
    </row>
    <row r="5501" ht="22.5" customHeight="1">
      <c r="B5501" s="42" t="str">
        <f>IFERROR(__xludf.DUMMYFUNCTION("""COMPUTED_VALUE"""),"K/6/040725/1")</f>
        <v>K/6/040725/1</v>
      </c>
      <c r="C5501" s="42" t="str">
        <f>IFERROR(__xludf.DUMMYFUNCTION("""COMPUTED_VALUE"""),"Nibel 20787/ Way Halim Permai")</f>
        <v>Nibel 20787/ Way Halim Permai</v>
      </c>
      <c r="D5501" s="42"/>
      <c r="E5501" s="42"/>
      <c r="F5501" s="48" t="str">
        <f>IFERROR(__xludf.DUMMYFUNCTION("""COMPUTED_VALUE"""),"")</f>
        <v/>
      </c>
      <c r="G5501" s="42" t="str">
        <f>IFERROR(__xludf.DUMMYFUNCTION("""COMPUTED_VALUE"""),"BN JUAL BELI")</f>
        <v>BN JUAL BELI</v>
      </c>
      <c r="H5501" s="42">
        <f t="shared" si="1"/>
        <v>2451</v>
      </c>
    </row>
    <row r="5502" ht="22.5" customHeight="1">
      <c r="B5502" s="42" t="str">
        <f>IFERROR(__xludf.DUMMYFUNCTION("""COMPUTED_VALUE"""),"K/2/040725/1")</f>
        <v>K/2/040725/1</v>
      </c>
      <c r="C5502" s="42" t="str">
        <f>IFERROR(__xludf.DUMMYFUNCTION("""COMPUTED_VALUE"""),"M. 12589/SUKARAME")</f>
        <v>M. 12589/SUKARAME</v>
      </c>
      <c r="D5502" s="42"/>
      <c r="E5502" s="42"/>
      <c r="F5502" s="48" t="str">
        <f>IFERROR(__xludf.DUMMYFUNCTION("""COMPUTED_VALUE"""),"")</f>
        <v/>
      </c>
      <c r="G5502" s="42" t="str">
        <f>IFERROR(__xludf.DUMMYFUNCTION("""COMPUTED_VALUE"""),"BN WARIS")</f>
        <v>BN WARIS</v>
      </c>
      <c r="H5502" s="42">
        <f t="shared" si="1"/>
        <v>2451</v>
      </c>
    </row>
    <row r="5503" ht="22.5" customHeight="1">
      <c r="B5503" s="42" t="str">
        <f>IFERROR(__xludf.DUMMYFUNCTION("""COMPUTED_VALUE"""),"K/7/040725/1")</f>
        <v>K/7/040725/1</v>
      </c>
      <c r="C5503" s="42" t="str">
        <f>IFERROR(__xludf.DUMMYFUNCTION("""COMPUTED_VALUE"""),"M.11085/GEDONG MENENG")</f>
        <v>M.11085/GEDONG MENENG</v>
      </c>
      <c r="D5503" s="42" t="str">
        <f>IFERROR(__xludf.DUMMYFUNCTION("""COMPUTED_VALUE"""),"Berry")</f>
        <v>Berry</v>
      </c>
      <c r="E5503" s="42" t="str">
        <f>IFERROR(__xludf.DUMMYFUNCTION("""COMPUTED_VALUE"""),"DISERAHKAN")</f>
        <v>DISERAHKAN</v>
      </c>
      <c r="F5503" s="48">
        <f>IFERROR(__xludf.DUMMYFUNCTION("""COMPUTED_VALUE"""),45852.63296653936)</f>
        <v>45852.63297</v>
      </c>
      <c r="G5503" s="42" t="str">
        <f>IFERROR(__xludf.DUMMYFUNCTION("""COMPUTED_VALUE"""),"BN HIBAH")</f>
        <v>BN HIBAH</v>
      </c>
      <c r="H5503" s="42">
        <f t="shared" si="1"/>
        <v>2452</v>
      </c>
    </row>
    <row r="5504" ht="22.5" customHeight="1">
      <c r="B5504" s="42" t="str">
        <f>IFERROR(__xludf.DUMMYFUNCTION("""COMPUTED_VALUE"""),"K/8/040725/1")</f>
        <v>K/8/040725/1</v>
      </c>
      <c r="C5504" s="42" t="str">
        <f>IFERROR(__xludf.DUMMYFUNCTION("""COMPUTED_VALUE"""),"B. 2141/ Sukarame I")</f>
        <v>B. 2141/ Sukarame I</v>
      </c>
      <c r="D5504" s="42" t="str">
        <f>IFERROR(__xludf.DUMMYFUNCTION("""COMPUTED_VALUE"""),"Berry")</f>
        <v>Berry</v>
      </c>
      <c r="E5504" s="42" t="str">
        <f>IFERROR(__xludf.DUMMYFUNCTION("""COMPUTED_VALUE"""),"DISERAHKAN")</f>
        <v>DISERAHKAN</v>
      </c>
      <c r="F5504" s="48">
        <f>IFERROR(__xludf.DUMMYFUNCTION("""COMPUTED_VALUE"""),45870.67513344907)</f>
        <v>45870.67513</v>
      </c>
      <c r="G5504" s="42" t="str">
        <f>IFERROR(__xludf.DUMMYFUNCTION("""COMPUTED_VALUE"""),"BN WARIS")</f>
        <v>BN WARIS</v>
      </c>
      <c r="H5504" s="42">
        <f t="shared" si="1"/>
        <v>2453</v>
      </c>
    </row>
    <row r="5505" ht="22.5" customHeight="1">
      <c r="B5505" s="42" t="str">
        <f>IFERROR(__xludf.DUMMYFUNCTION("""COMPUTED_VALUE"""),"L/9/040725/1")</f>
        <v>L/9/040725/1</v>
      </c>
      <c r="C5505" s="42" t="str">
        <f>IFERROR(__xludf.DUMMYFUNCTION("""COMPUTED_VALUE"""),"HM 1303/WAY LUNIK")</f>
        <v>HM 1303/WAY LUNIK</v>
      </c>
      <c r="D5505" s="42" t="str">
        <f>IFERROR(__xludf.DUMMYFUNCTION("""COMPUTED_VALUE"""),"David")</f>
        <v>David</v>
      </c>
      <c r="E5505" s="42" t="str">
        <f>IFERROR(__xludf.DUMMYFUNCTION("""COMPUTED_VALUE"""),"DISERAHKAN")</f>
        <v>DISERAHKAN</v>
      </c>
      <c r="F5505" s="48">
        <f>IFERROR(__xludf.DUMMYFUNCTION("""COMPUTED_VALUE"""),45863.60697248843)</f>
        <v>45863.60697</v>
      </c>
      <c r="G5505" s="42" t="str">
        <f>IFERROR(__xludf.DUMMYFUNCTION("""COMPUTED_VALUE"""),"BN WARIS")</f>
        <v>BN WARIS</v>
      </c>
      <c r="H5505" s="42">
        <f t="shared" si="1"/>
        <v>2454</v>
      </c>
    </row>
    <row r="5506" ht="22.5" customHeight="1">
      <c r="B5506" s="42" t="str">
        <f>IFERROR(__xludf.DUMMYFUNCTION("""COMPUTED_VALUE"""),"K/10/040725/1")</f>
        <v>K/10/040725/1</v>
      </c>
      <c r="C5506" s="42" t="str">
        <f>IFERROR(__xludf.DUMMYFUNCTION("""COMPUTED_VALUE"""),"M. 243/ Sukarama Baru ")</f>
        <v>M. 243/ Sukarama Baru </v>
      </c>
      <c r="D5506" s="42"/>
      <c r="E5506" s="42"/>
      <c r="F5506" s="48" t="str">
        <f>IFERROR(__xludf.DUMMYFUNCTION("""COMPUTED_VALUE"""),"")</f>
        <v/>
      </c>
      <c r="G5506" s="42" t="str">
        <f>IFERROR(__xludf.DUMMYFUNCTION("""COMPUTED_VALUE"""),"PTPTGT PEMECAHAN")</f>
        <v>PTPTGT PEMECAHAN</v>
      </c>
      <c r="H5506" s="42">
        <f t="shared" si="1"/>
        <v>2454</v>
      </c>
    </row>
    <row r="5507" ht="22.5" customHeight="1">
      <c r="B5507" s="42" t="str">
        <f>IFERROR(__xludf.DUMMYFUNCTION("""COMPUTED_VALUE"""),"K/11/040725/2")</f>
        <v>K/11/040725/2</v>
      </c>
      <c r="C5507" s="42" t="str">
        <f>IFERROR(__xludf.DUMMYFUNCTION("""COMPUTED_VALUE"""),"M. 245/ Sukarame Baru")</f>
        <v>M. 245/ Sukarame Baru</v>
      </c>
      <c r="D5507" s="42"/>
      <c r="E5507" s="42"/>
      <c r="F5507" s="48" t="str">
        <f>IFERROR(__xludf.DUMMYFUNCTION("""COMPUTED_VALUE"""),"")</f>
        <v/>
      </c>
      <c r="G5507" s="42" t="str">
        <f>IFERROR(__xludf.DUMMYFUNCTION("""COMPUTED_VALUE"""),"PTPGT PEMECAHAN")</f>
        <v>PTPGT PEMECAHAN</v>
      </c>
      <c r="H5507" s="42">
        <f t="shared" si="1"/>
        <v>2454</v>
      </c>
    </row>
    <row r="5508" ht="22.5" customHeight="1">
      <c r="B5508" s="42" t="str">
        <f>IFERROR(__xludf.DUMMYFUNCTION("""COMPUTED_VALUE"""),"K/12/040725/1")</f>
        <v>K/12/040725/1</v>
      </c>
      <c r="C5508" s="42" t="str">
        <f>IFERROR(__xludf.DUMMYFUNCTION("""COMPUTED_VALUE"""),"SK. 272/HGB/BPN.18.17/VI/2025")</f>
        <v>SK. 272/HGB/BPN.18.17/VI/2025</v>
      </c>
      <c r="D5508" s="42"/>
      <c r="E5508" s="42"/>
      <c r="F5508" s="48" t="str">
        <f>IFERROR(__xludf.DUMMYFUNCTION("""COMPUTED_VALUE"""),"")</f>
        <v/>
      </c>
      <c r="G5508" s="42" t="str">
        <f>IFERROR(__xludf.DUMMYFUNCTION("""COMPUTED_VALUE"""),"PENDAFTARAN SK")</f>
        <v>PENDAFTARAN SK</v>
      </c>
      <c r="H5508" s="42">
        <f t="shared" si="1"/>
        <v>2454</v>
      </c>
    </row>
    <row r="5509" ht="22.5" customHeight="1">
      <c r="B5509" s="42" t="str">
        <f>IFERROR(__xludf.DUMMYFUNCTION("""COMPUTED_VALUE"""),"K/5/040725/1")</f>
        <v>K/5/040725/1</v>
      </c>
      <c r="C5509" s="42" t="str">
        <f>IFERROR(__xludf.DUMMYFUNCTION("""COMPUTED_VALUE"""),"M.2125/LABUHAN RATU RAYA")</f>
        <v>M.2125/LABUHAN RATU RAYA</v>
      </c>
      <c r="D5509" s="42"/>
      <c r="E5509" s="42"/>
      <c r="F5509" s="48" t="str">
        <f>IFERROR(__xludf.DUMMYFUNCTION("""COMPUTED_VALUE"""),"")</f>
        <v/>
      </c>
      <c r="G5509" s="42" t="str">
        <f>IFERROR(__xludf.DUMMYFUNCTION("""COMPUTED_VALUE"""),"JUAL BELI")</f>
        <v>JUAL BELI</v>
      </c>
      <c r="H5509" s="42">
        <f t="shared" si="1"/>
        <v>2454</v>
      </c>
    </row>
    <row r="5510" ht="22.5" customHeight="1">
      <c r="B5510" s="42" t="str">
        <f>IFERROR(__xludf.DUMMYFUNCTION("""COMPUTED_VALUE"""),"K/17/040725/1")</f>
        <v>K/17/040725/1</v>
      </c>
      <c r="C5510" s="42" t="str">
        <f>IFERROR(__xludf.DUMMYFUNCTION("""COMPUTED_VALUE"""),"Nibel. M. 18350/ Labuhan Ratu Raya")</f>
        <v>Nibel. M. 18350/ Labuhan Ratu Raya</v>
      </c>
      <c r="D5510" s="42"/>
      <c r="E5510" s="42"/>
      <c r="F5510" s="48" t="str">
        <f>IFERROR(__xludf.DUMMYFUNCTION("""COMPUTED_VALUE"""),"")</f>
        <v/>
      </c>
      <c r="G5510" s="42" t="str">
        <f>IFERROR(__xludf.DUMMYFUNCTION("""COMPUTED_VALUE"""),"BN Jual Beli")</f>
        <v>BN Jual Beli</v>
      </c>
      <c r="H5510" s="42">
        <f t="shared" si="1"/>
        <v>2454</v>
      </c>
    </row>
    <row r="5511" ht="22.5" customHeight="1">
      <c r="B5511" s="42" t="str">
        <f>IFERROR(__xludf.DUMMYFUNCTION("""COMPUTED_VALUE"""),"K/13/040725/1")</f>
        <v>K/13/040725/1</v>
      </c>
      <c r="C5511" s="42" t="str">
        <f>IFERROR(__xludf.DUMMYFUNCTION("""COMPUTED_VALUE"""),"M. 1032/SUKARAME BARU")</f>
        <v>M. 1032/SUKARAME BARU</v>
      </c>
      <c r="D5511" s="42" t="str">
        <f>IFERROR(__xludf.DUMMYFUNCTION("""COMPUTED_VALUE"""),"Berry")</f>
        <v>Berry</v>
      </c>
      <c r="E5511" s="42" t="str">
        <f>IFERROR(__xludf.DUMMYFUNCTION("""COMPUTED_VALUE"""),"DISERAHKAN")</f>
        <v>DISERAHKAN</v>
      </c>
      <c r="F5511" s="48">
        <f>IFERROR(__xludf.DUMMYFUNCTION("""COMPUTED_VALUE"""),45856.53066657408)</f>
        <v>45856.53067</v>
      </c>
      <c r="G5511" s="42" t="str">
        <f>IFERROR(__xludf.DUMMYFUNCTION("""COMPUTED_VALUE"""),"BN JUAL BELI")</f>
        <v>BN JUAL BELI</v>
      </c>
      <c r="H5511" s="42">
        <f t="shared" si="1"/>
        <v>2455</v>
      </c>
    </row>
    <row r="5512" ht="22.5" customHeight="1">
      <c r="B5512" s="42" t="str">
        <f>IFERROR(__xludf.DUMMYFUNCTION("""COMPUTED_VALUE"""),"K/14/040725/2")</f>
        <v>K/14/040725/2</v>
      </c>
      <c r="C5512" s="42" t="str">
        <f>IFERROR(__xludf.DUMMYFUNCTION("""COMPUTED_VALUE"""),"NIBEL M. 21749/SUKARAME")</f>
        <v>NIBEL M. 21749/SUKARAME</v>
      </c>
      <c r="D5512" s="42"/>
      <c r="E5512" s="42"/>
      <c r="F5512" s="48" t="str">
        <f>IFERROR(__xludf.DUMMYFUNCTION("""COMPUTED_VALUE"""),"")</f>
        <v/>
      </c>
      <c r="G5512" s="42" t="str">
        <f>IFERROR(__xludf.DUMMYFUNCTION("""COMPUTED_VALUE"""),"BN JUAL BELI")</f>
        <v>BN JUAL BELI</v>
      </c>
      <c r="H5512" s="42">
        <f t="shared" si="1"/>
        <v>2455</v>
      </c>
    </row>
    <row r="5513" ht="22.5" customHeight="1">
      <c r="B5513" s="42" t="str">
        <f>IFERROR(__xludf.DUMMYFUNCTION("""COMPUTED_VALUE"""),"K/15/040725/3")</f>
        <v>K/15/040725/3</v>
      </c>
      <c r="C5513" s="42" t="str">
        <f>IFERROR(__xludf.DUMMYFUNCTION("""COMPUTED_VALUE"""),"M. 2204/GUNUNG TERANG")</f>
        <v>M. 2204/GUNUNG TERANG</v>
      </c>
      <c r="D5513" s="42" t="str">
        <f>IFERROR(__xludf.DUMMYFUNCTION("""COMPUTED_VALUE"""),"Berry")</f>
        <v>Berry</v>
      </c>
      <c r="E5513" s="42" t="str">
        <f>IFERROR(__xludf.DUMMYFUNCTION("""COMPUTED_VALUE"""),"DISERAHKAN")</f>
        <v>DISERAHKAN</v>
      </c>
      <c r="F5513" s="48">
        <f>IFERROR(__xludf.DUMMYFUNCTION("""COMPUTED_VALUE"""),45852.63399023148)</f>
        <v>45852.63399</v>
      </c>
      <c r="G5513" s="42" t="str">
        <f>IFERROR(__xludf.DUMMYFUNCTION("""COMPUTED_VALUE"""),"BN WARIS")</f>
        <v>BN WARIS</v>
      </c>
      <c r="H5513" s="42">
        <f t="shared" si="1"/>
        <v>2456</v>
      </c>
    </row>
    <row r="5514" ht="22.5" customHeight="1">
      <c r="B5514" s="42" t="str">
        <f>IFERROR(__xludf.DUMMYFUNCTION("""COMPUTED_VALUE"""),"K/16/040725/1")</f>
        <v>K/16/040725/1</v>
      </c>
      <c r="C5514" s="42" t="str">
        <f>IFERROR(__xludf.DUMMYFUNCTION("""COMPUTED_VALUE"""),"M.116/KALIAWI PERSADA")</f>
        <v>M.116/KALIAWI PERSADA</v>
      </c>
      <c r="D5514" s="42" t="str">
        <f>IFERROR(__xludf.DUMMYFUNCTION("""COMPUTED_VALUE"""),"Berry")</f>
        <v>Berry</v>
      </c>
      <c r="E5514" s="42" t="str">
        <f>IFERROR(__xludf.DUMMYFUNCTION("""COMPUTED_VALUE"""),"DISERAHKAN")</f>
        <v>DISERAHKAN</v>
      </c>
      <c r="F5514" s="48">
        <f>IFERROR(__xludf.DUMMYFUNCTION("""COMPUTED_VALUE"""),45867.684099398146)</f>
        <v>45867.6841</v>
      </c>
      <c r="G5514" s="42" t="str">
        <f>IFERROR(__xludf.DUMMYFUNCTION("""COMPUTED_VALUE"""),"JUAL BELI")</f>
        <v>JUAL BELI</v>
      </c>
      <c r="H5514" s="42">
        <f t="shared" si="1"/>
        <v>2457</v>
      </c>
    </row>
    <row r="5515" ht="22.5" customHeight="1">
      <c r="B5515" s="42" t="str">
        <f>IFERROR(__xludf.DUMMYFUNCTION("""COMPUTED_VALUE"""),"K/18/040725/1")</f>
        <v>K/18/040725/1</v>
      </c>
      <c r="C5515" s="42" t="str">
        <f>IFERROR(__xludf.DUMMYFUNCTION("""COMPUTED_VALUE"""),"NIBEL M 22391/KEMILING PERMAI")</f>
        <v>NIBEL M 22391/KEMILING PERMAI</v>
      </c>
      <c r="D5515" s="42"/>
      <c r="E5515" s="42"/>
      <c r="F5515" s="48" t="str">
        <f>IFERROR(__xludf.DUMMYFUNCTION("""COMPUTED_VALUE"""),"")</f>
        <v/>
      </c>
      <c r="G5515" s="42" t="str">
        <f>IFERROR(__xludf.DUMMYFUNCTION("""COMPUTED_VALUE"""),"LELANG")</f>
        <v>LELANG</v>
      </c>
      <c r="H5515" s="42">
        <f t="shared" si="1"/>
        <v>2457</v>
      </c>
    </row>
    <row r="5516" ht="22.5" customHeight="1">
      <c r="B5516" s="42" t="str">
        <f>IFERROR(__xludf.DUMMYFUNCTION("""COMPUTED_VALUE"""),"K/19/040725/1")</f>
        <v>K/19/040725/1</v>
      </c>
      <c r="C5516" s="42" t="str">
        <f>IFERROR(__xludf.DUMMYFUNCTION("""COMPUTED_VALUE"""),"M. 1550/ Susunan Baru")</f>
        <v>M. 1550/ Susunan Baru</v>
      </c>
      <c r="D5516" s="42"/>
      <c r="E5516" s="42"/>
      <c r="F5516" s="48" t="str">
        <f>IFERROR(__xludf.DUMMYFUNCTION("""COMPUTED_VALUE"""),"")</f>
        <v/>
      </c>
      <c r="G5516" s="42" t="str">
        <f>IFERROR(__xludf.DUMMYFUNCTION("""COMPUTED_VALUE"""),"SKPT LELANG")</f>
        <v>SKPT LELANG</v>
      </c>
      <c r="H5516" s="42">
        <f t="shared" si="1"/>
        <v>2457</v>
      </c>
    </row>
    <row r="5517" ht="22.5" customHeight="1">
      <c r="B5517" s="42" t="str">
        <f>IFERROR(__xludf.DUMMYFUNCTION("""COMPUTED_VALUE"""),"K/20/040725/2")</f>
        <v>K/20/040725/2</v>
      </c>
      <c r="C5517" s="42" t="str">
        <f>IFERROR(__xludf.DUMMYFUNCTION("""COMPUTED_VALUE"""),"M. 1501/ Susuna Baru")</f>
        <v>M. 1501/ Susuna Baru</v>
      </c>
      <c r="D5517" s="42"/>
      <c r="E5517" s="42"/>
      <c r="F5517" s="48" t="str">
        <f>IFERROR(__xludf.DUMMYFUNCTION("""COMPUTED_VALUE"""),"")</f>
        <v/>
      </c>
      <c r="G5517" s="42" t="str">
        <f>IFERROR(__xludf.DUMMYFUNCTION("""COMPUTED_VALUE"""),"SKPT LELANG")</f>
        <v>SKPT LELANG</v>
      </c>
      <c r="H5517" s="42">
        <f t="shared" si="1"/>
        <v>2457</v>
      </c>
    </row>
    <row r="5518" ht="22.5" customHeight="1">
      <c r="B5518" s="42" t="str">
        <f>IFERROR(__xludf.DUMMYFUNCTION("""COMPUTED_VALUE"""),"K/21/040725/3")</f>
        <v>K/21/040725/3</v>
      </c>
      <c r="C5518" s="42" t="str">
        <f>IFERROR(__xludf.DUMMYFUNCTION("""COMPUTED_VALUE"""),"M. 1549/ Susuna Baru")</f>
        <v>M. 1549/ Susuna Baru</v>
      </c>
      <c r="D5518" s="42"/>
      <c r="E5518" s="42"/>
      <c r="F5518" s="48" t="str">
        <f>IFERROR(__xludf.DUMMYFUNCTION("""COMPUTED_VALUE"""),"")</f>
        <v/>
      </c>
      <c r="G5518" s="42" t="str">
        <f>IFERROR(__xludf.DUMMYFUNCTION("""COMPUTED_VALUE"""),"SKPT LELANG")</f>
        <v>SKPT LELANG</v>
      </c>
      <c r="H5518" s="42">
        <f t="shared" si="1"/>
        <v>2457</v>
      </c>
    </row>
    <row r="5519" ht="22.5" customHeight="1">
      <c r="B5519" s="42" t="str">
        <f>IFERROR(__xludf.DUMMYFUNCTION("""COMPUTED_VALUE"""),"K/22/040725/4")</f>
        <v>K/22/040725/4</v>
      </c>
      <c r="C5519" s="42" t="str">
        <f>IFERROR(__xludf.DUMMYFUNCTION("""COMPUTED_VALUE"""),"M. 1500/ Susunan Baru")</f>
        <v>M. 1500/ Susunan Baru</v>
      </c>
      <c r="D5519" s="42"/>
      <c r="E5519" s="42"/>
      <c r="F5519" s="48" t="str">
        <f>IFERROR(__xludf.DUMMYFUNCTION("""COMPUTED_VALUE"""),"")</f>
        <v/>
      </c>
      <c r="G5519" s="42" t="str">
        <f>IFERROR(__xludf.DUMMYFUNCTION("""COMPUTED_VALUE"""),"SKPT LELANG")</f>
        <v>SKPT LELANG</v>
      </c>
      <c r="H5519" s="42">
        <f t="shared" si="1"/>
        <v>2457</v>
      </c>
    </row>
    <row r="5520" ht="22.5" customHeight="1">
      <c r="B5520" s="42" t="str">
        <f>IFERROR(__xludf.DUMMYFUNCTION("""COMPUTED_VALUE"""),"K/23/040725/1")</f>
        <v>K/23/040725/1</v>
      </c>
      <c r="C5520" s="42" t="str">
        <f>IFERROR(__xludf.DUMMYFUNCTION("""COMPUTED_VALUE"""),"M. 7772/ Sukabumi")</f>
        <v>M. 7772/ Sukabumi</v>
      </c>
      <c r="D5520" s="42"/>
      <c r="E5520" s="42"/>
      <c r="F5520" s="48" t="str">
        <f>IFERROR(__xludf.DUMMYFUNCTION("""COMPUTED_VALUE"""),"")</f>
        <v/>
      </c>
      <c r="G5520" s="42" t="str">
        <f>IFERROR(__xludf.DUMMYFUNCTION("""COMPUTED_VALUE"""),"PEMECAHAN BIDANG")</f>
        <v>PEMECAHAN BIDANG</v>
      </c>
      <c r="H5520" s="42">
        <f t="shared" si="1"/>
        <v>2457</v>
      </c>
    </row>
    <row r="5521" ht="22.5" customHeight="1">
      <c r="B5521" s="42" t="str">
        <f>IFERROR(__xludf.DUMMYFUNCTION("""COMPUTED_VALUE"""),"K/24/040725/1")</f>
        <v>K/24/040725/1</v>
      </c>
      <c r="C5521" s="42" t="str">
        <f>IFERROR(__xludf.DUMMYFUNCTION("""COMPUTED_VALUE"""),"M. 2583/ Sukarame II")</f>
        <v>M. 2583/ Sukarame II</v>
      </c>
      <c r="D5521" s="42" t="str">
        <f>IFERROR(__xludf.DUMMYFUNCTION("""COMPUTED_VALUE"""),"Berry")</f>
        <v>Berry</v>
      </c>
      <c r="E5521" s="42" t="str">
        <f>IFERROR(__xludf.DUMMYFUNCTION("""COMPUTED_VALUE"""),"DISERAHKAN")</f>
        <v>DISERAHKAN</v>
      </c>
      <c r="F5521" s="48">
        <f>IFERROR(__xludf.DUMMYFUNCTION("""COMPUTED_VALUE"""),45859.634711481485)</f>
        <v>45859.63471</v>
      </c>
      <c r="G5521" s="42" t="str">
        <f>IFERROR(__xludf.DUMMYFUNCTION("""COMPUTED_VALUE"""),"BN Jual Beli")</f>
        <v>BN Jual Beli</v>
      </c>
      <c r="H5521" s="42">
        <f t="shared" si="1"/>
        <v>2458</v>
      </c>
    </row>
    <row r="5522" ht="22.5" customHeight="1">
      <c r="B5522" s="42" t="str">
        <f>IFERROR(__xludf.DUMMYFUNCTION("""COMPUTED_VALUE"""),"K/25/040725/2")</f>
        <v>K/25/040725/2</v>
      </c>
      <c r="C5522" s="42" t="str">
        <f>IFERROR(__xludf.DUMMYFUNCTION("""COMPUTED_VALUE"""),"M. 2712/ Sukarame II")</f>
        <v>M. 2712/ Sukarame II</v>
      </c>
      <c r="D5522" s="42" t="str">
        <f>IFERROR(__xludf.DUMMYFUNCTION("""COMPUTED_VALUE"""),"Berry")</f>
        <v>Berry</v>
      </c>
      <c r="E5522" s="42" t="str">
        <f>IFERROR(__xludf.DUMMYFUNCTION("""COMPUTED_VALUE"""),"DISERAHKAN")</f>
        <v>DISERAHKAN</v>
      </c>
      <c r="F5522" s="48">
        <f>IFERROR(__xludf.DUMMYFUNCTION("""COMPUTED_VALUE"""),45867.71599899305)</f>
        <v>45867.716</v>
      </c>
      <c r="G5522" s="42" t="str">
        <f>IFERROR(__xludf.DUMMYFUNCTION("""COMPUTED_VALUE"""),"BN Jual Beli")</f>
        <v>BN Jual Beli</v>
      </c>
      <c r="H5522" s="42">
        <f t="shared" si="1"/>
        <v>2459</v>
      </c>
    </row>
    <row r="5523" ht="22.5" customHeight="1">
      <c r="B5523" s="42" t="str">
        <f>IFERROR(__xludf.DUMMYFUNCTION("""COMPUTED_VALUE"""),"K/26/040725/3")</f>
        <v>K/26/040725/3</v>
      </c>
      <c r="C5523" s="42" t="str">
        <f>IFERROR(__xludf.DUMMYFUNCTION("""COMPUTED_VALUE"""),"M. 2730/ Sukarame II")</f>
        <v>M. 2730/ Sukarame II</v>
      </c>
      <c r="D5523" s="42" t="str">
        <f>IFERROR(__xludf.DUMMYFUNCTION("""COMPUTED_VALUE"""),"David")</f>
        <v>David</v>
      </c>
      <c r="E5523" s="42" t="str">
        <f>IFERROR(__xludf.DUMMYFUNCTION("""COMPUTED_VALUE"""),"DISERAHKAN")</f>
        <v>DISERAHKAN</v>
      </c>
      <c r="F5523" s="48">
        <f>IFERROR(__xludf.DUMMYFUNCTION("""COMPUTED_VALUE"""),45880.647545995365)</f>
        <v>45880.64755</v>
      </c>
      <c r="G5523" s="42" t="str">
        <f>IFERROR(__xludf.DUMMYFUNCTION("""COMPUTED_VALUE"""),"BN Jual Beli")</f>
        <v>BN Jual Beli</v>
      </c>
      <c r="H5523" s="42">
        <f t="shared" si="1"/>
        <v>2460</v>
      </c>
    </row>
    <row r="5524" ht="22.5" customHeight="1">
      <c r="B5524" s="42" t="str">
        <f>IFERROR(__xludf.DUMMYFUNCTION("""COMPUTED_VALUE"""),"K/27/040725/1")</f>
        <v>K/27/040725/1</v>
      </c>
      <c r="C5524" s="42" t="str">
        <f>IFERROR(__xludf.DUMMYFUNCTION("""COMPUTED_VALUE"""),"M. 1975/ Kota Karang")</f>
        <v>M. 1975/ Kota Karang</v>
      </c>
      <c r="D5524" s="42" t="str">
        <f>IFERROR(__xludf.DUMMYFUNCTION("""COMPUTED_VALUE"""),"David")</f>
        <v>David</v>
      </c>
      <c r="E5524" s="42" t="str">
        <f>IFERROR(__xludf.DUMMYFUNCTION("""COMPUTED_VALUE"""),"DISERAHKAN")</f>
        <v>DISERAHKAN</v>
      </c>
      <c r="F5524" s="48">
        <f>IFERROR(__xludf.DUMMYFUNCTION("""COMPUTED_VALUE"""),45861.61182002314)</f>
        <v>45861.61182</v>
      </c>
      <c r="G5524" s="42" t="str">
        <f>IFERROR(__xludf.DUMMYFUNCTION("""COMPUTED_VALUE"""),"Roya")</f>
        <v>Roya</v>
      </c>
      <c r="H5524" s="42">
        <f t="shared" si="1"/>
        <v>2461</v>
      </c>
    </row>
    <row r="5525" ht="22.5" customHeight="1">
      <c r="B5525" s="42" t="str">
        <f>IFERROR(__xludf.DUMMYFUNCTION("""COMPUTED_VALUE"""),"K/28/040725/2")</f>
        <v>K/28/040725/2</v>
      </c>
      <c r="C5525" s="42" t="str">
        <f>IFERROR(__xludf.DUMMYFUNCTION("""COMPUTED_VALUE"""),"M. 15520/ Sukarame")</f>
        <v>M. 15520/ Sukarame</v>
      </c>
      <c r="D5525" s="42" t="str">
        <f>IFERROR(__xludf.DUMMYFUNCTION("""COMPUTED_VALUE"""),"Berry")</f>
        <v>Berry</v>
      </c>
      <c r="E5525" s="42" t="str">
        <f>IFERROR(__xludf.DUMMYFUNCTION("""COMPUTED_VALUE"""),"DISERAHKAN")</f>
        <v>DISERAHKAN</v>
      </c>
      <c r="F5525" s="48">
        <f>IFERROR(__xludf.DUMMYFUNCTION("""COMPUTED_VALUE"""),45869.49568741898)</f>
        <v>45869.49569</v>
      </c>
      <c r="G5525" s="42" t="str">
        <f>IFERROR(__xludf.DUMMYFUNCTION("""COMPUTED_VALUE"""),"BN Jual Beli")</f>
        <v>BN Jual Beli</v>
      </c>
      <c r="H5525" s="42">
        <f t="shared" si="1"/>
        <v>2462</v>
      </c>
    </row>
    <row r="5526" ht="22.5" customHeight="1">
      <c r="B5526" s="42" t="str">
        <f>IFERROR(__xludf.DUMMYFUNCTION("""COMPUTED_VALUE"""),"L/31/040725/1")</f>
        <v>L/31/040725/1</v>
      </c>
      <c r="C5526" s="42" t="str">
        <f>IFERROR(__xludf.DUMMYFUNCTION("""COMPUTED_VALUE"""),"HM 250/PENENGAHAN")</f>
        <v>HM 250/PENENGAHAN</v>
      </c>
      <c r="D5526" s="42" t="str">
        <f>IFERROR(__xludf.DUMMYFUNCTION("""COMPUTED_VALUE"""),"David")</f>
        <v>David</v>
      </c>
      <c r="E5526" s="42" t="str">
        <f>IFERROR(__xludf.DUMMYFUNCTION("""COMPUTED_VALUE"""),"DISERAHKAN")</f>
        <v>DISERAHKAN</v>
      </c>
      <c r="F5526" s="48">
        <f>IFERROR(__xludf.DUMMYFUNCTION("""COMPUTED_VALUE"""),45869.66486409723)</f>
        <v>45869.66486</v>
      </c>
      <c r="G5526" s="42" t="str">
        <f>IFERROR(__xludf.DUMMYFUNCTION("""COMPUTED_VALUE"""),"ROYA")</f>
        <v>ROYA</v>
      </c>
      <c r="H5526" s="42">
        <f t="shared" si="1"/>
        <v>2463</v>
      </c>
    </row>
    <row r="5527" ht="22.5" customHeight="1">
      <c r="B5527" s="42" t="str">
        <f>IFERROR(__xludf.DUMMYFUNCTION("""COMPUTED_VALUE"""),"K/29/040725/1")</f>
        <v>K/29/040725/1</v>
      </c>
      <c r="C5527" s="42" t="str">
        <f>IFERROR(__xludf.DUMMYFUNCTION("""COMPUTED_VALUE"""),"M. 4717/ Rajabasa Jaya")</f>
        <v>M. 4717/ Rajabasa Jaya</v>
      </c>
      <c r="D5527" s="42" t="str">
        <f>IFERROR(__xludf.DUMMYFUNCTION("""COMPUTED_VALUE"""),"Berry")</f>
        <v>Berry</v>
      </c>
      <c r="E5527" s="42" t="str">
        <f>IFERROR(__xludf.DUMMYFUNCTION("""COMPUTED_VALUE"""),"DISERAHKAN")</f>
        <v>DISERAHKAN</v>
      </c>
      <c r="F5527" s="48">
        <f>IFERROR(__xludf.DUMMYFUNCTION("""COMPUTED_VALUE"""),45853.72026954861)</f>
        <v>45853.72027</v>
      </c>
      <c r="G5527" s="42" t="str">
        <f>IFERROR(__xludf.DUMMYFUNCTION("""COMPUTED_VALUE"""),"BN Jual Beli")</f>
        <v>BN Jual Beli</v>
      </c>
      <c r="H5527" s="42">
        <f t="shared" si="1"/>
        <v>2464</v>
      </c>
    </row>
    <row r="5528" ht="22.5" customHeight="1">
      <c r="B5528" s="42" t="str">
        <f>IFERROR(__xludf.DUMMYFUNCTION("""COMPUTED_VALUE"""),"K/32/040725/1")</f>
        <v>K/32/040725/1</v>
      </c>
      <c r="C5528" s="42" t="str">
        <f>IFERROR(__xludf.DUMMYFUNCTION("""COMPUTED_VALUE"""),"M. 374/ Sukamenanti Baru")</f>
        <v>M. 374/ Sukamenanti Baru</v>
      </c>
      <c r="D5528" s="42" t="str">
        <f>IFERROR(__xludf.DUMMYFUNCTION("""COMPUTED_VALUE"""),"Berry")</f>
        <v>Berry</v>
      </c>
      <c r="E5528" s="42" t="str">
        <f>IFERROR(__xludf.DUMMYFUNCTION("""COMPUTED_VALUE"""),"DISERAHKAN")</f>
        <v>DISERAHKAN</v>
      </c>
      <c r="F5528" s="48">
        <f>IFERROR(__xludf.DUMMYFUNCTION("""COMPUTED_VALUE"""),45856.51891229166)</f>
        <v>45856.51891</v>
      </c>
      <c r="G5528" s="42" t="str">
        <f>IFERROR(__xludf.DUMMYFUNCTION("""COMPUTED_VALUE"""),"BN WARIS")</f>
        <v>BN WARIS</v>
      </c>
      <c r="H5528" s="42">
        <f t="shared" si="1"/>
        <v>2465</v>
      </c>
    </row>
    <row r="5529" ht="22.5" customHeight="1">
      <c r="B5529" s="42" t="str">
        <f>IFERROR(__xludf.DUMMYFUNCTION("""COMPUTED_VALUE"""),"K/30/040725/1")</f>
        <v>K/30/040725/1</v>
      </c>
      <c r="C5529" s="42" t="str">
        <f>IFERROR(__xludf.DUMMYFUNCTION("""COMPUTED_VALUE"""),"B.666/ Kemiling Permai")</f>
        <v>B.666/ Kemiling Permai</v>
      </c>
      <c r="D5529" s="42" t="str">
        <f>IFERROR(__xludf.DUMMYFUNCTION("""COMPUTED_VALUE"""),"David")</f>
        <v>David</v>
      </c>
      <c r="E5529" s="42" t="str">
        <f>IFERROR(__xludf.DUMMYFUNCTION("""COMPUTED_VALUE"""),"DISERAHKAN")</f>
        <v>DISERAHKAN</v>
      </c>
      <c r="F5529" s="48">
        <f>IFERROR(__xludf.DUMMYFUNCTION("""COMPUTED_VALUE"""),45863.60644940972)</f>
        <v>45863.60645</v>
      </c>
      <c r="G5529" s="42" t="str">
        <f>IFERROR(__xludf.DUMMYFUNCTION("""COMPUTED_VALUE"""),"BN Jual Beli")</f>
        <v>BN Jual Beli</v>
      </c>
      <c r="H5529" s="42">
        <f t="shared" si="1"/>
        <v>2466</v>
      </c>
    </row>
    <row r="5530" ht="22.5" customHeight="1">
      <c r="B5530" s="42" t="str">
        <f>IFERROR(__xludf.DUMMYFUNCTION("""COMPUTED_VALUE"""),"L/35/040725/1")</f>
        <v>L/35/040725/1</v>
      </c>
      <c r="C5530" s="42" t="str">
        <f>IFERROR(__xludf.DUMMYFUNCTION("""COMPUTED_VALUE"""),"HM 1156/PENENGAHAN")</f>
        <v>HM 1156/PENENGAHAN</v>
      </c>
      <c r="D5530" s="42" t="str">
        <f>IFERROR(__xludf.DUMMYFUNCTION("""COMPUTED_VALUE"""),"David")</f>
        <v>David</v>
      </c>
      <c r="E5530" s="42" t="str">
        <f>IFERROR(__xludf.DUMMYFUNCTION("""COMPUTED_VALUE"""),"DISERAHKAN")</f>
        <v>DISERAHKAN</v>
      </c>
      <c r="F5530" s="48">
        <f>IFERROR(__xludf.DUMMYFUNCTION("""COMPUTED_VALUE"""),45868.65554461806)</f>
        <v>45868.65554</v>
      </c>
      <c r="G5530" s="42" t="str">
        <f>IFERROR(__xludf.DUMMYFUNCTION("""COMPUTED_VALUE"""),"ROYA WARIS")</f>
        <v>ROYA WARIS</v>
      </c>
      <c r="H5530" s="42">
        <f t="shared" si="1"/>
        <v>2467</v>
      </c>
    </row>
    <row r="5531" ht="22.5" customHeight="1">
      <c r="B5531" s="42" t="str">
        <f>IFERROR(__xludf.DUMMYFUNCTION("""COMPUTED_VALUE"""),"K/34/040725/2")</f>
        <v>K/34/040725/2</v>
      </c>
      <c r="C5531" s="42" t="str">
        <f>IFERROR(__xludf.DUMMYFUNCTION("""COMPUTED_VALUE"""),"M. 2897/ Beringin Jaya")</f>
        <v>M. 2897/ Beringin Jaya</v>
      </c>
      <c r="D5531" s="42" t="str">
        <f>IFERROR(__xludf.DUMMYFUNCTION("""COMPUTED_VALUE"""),"Berry")</f>
        <v>Berry</v>
      </c>
      <c r="E5531" s="42" t="str">
        <f>IFERROR(__xludf.DUMMYFUNCTION("""COMPUTED_VALUE"""),"DISERAHKAN")</f>
        <v>DISERAHKAN</v>
      </c>
      <c r="F5531" s="48">
        <f>IFERROR(__xludf.DUMMYFUNCTION("""COMPUTED_VALUE"""),45860.657593125)</f>
        <v>45860.65759</v>
      </c>
      <c r="G5531" s="42" t="str">
        <f>IFERROR(__xludf.DUMMYFUNCTION("""COMPUTED_VALUE"""),"BN Jual Beli")</f>
        <v>BN Jual Beli</v>
      </c>
      <c r="H5531" s="42">
        <f t="shared" si="1"/>
        <v>2468</v>
      </c>
    </row>
    <row r="5532" ht="22.5" customHeight="1">
      <c r="B5532" s="42" t="str">
        <f>IFERROR(__xludf.DUMMYFUNCTION("""COMPUTED_VALUE"""),"K/33/040725/1")</f>
        <v>K/33/040725/1</v>
      </c>
      <c r="C5532" s="42" t="str">
        <f>IFERROR(__xludf.DUMMYFUNCTION("""COMPUTED_VALUE"""),"B. 2303/BERINGIN RAYA")</f>
        <v>B. 2303/BERINGIN RAYA</v>
      </c>
      <c r="D5532" s="42" t="str">
        <f>IFERROR(__xludf.DUMMYFUNCTION("""COMPUTED_VALUE"""),"Berry")</f>
        <v>Berry</v>
      </c>
      <c r="E5532" s="42" t="str">
        <f>IFERROR(__xludf.DUMMYFUNCTION("""COMPUTED_VALUE"""),"DISERAHKAN")</f>
        <v>DISERAHKAN</v>
      </c>
      <c r="F5532" s="48">
        <f>IFERROR(__xludf.DUMMYFUNCTION("""COMPUTED_VALUE"""),45856.5322807176)</f>
        <v>45856.53228</v>
      </c>
      <c r="G5532" s="42" t="str">
        <f>IFERROR(__xludf.DUMMYFUNCTION("""COMPUTED_VALUE"""),"BN JUAL BELI")</f>
        <v>BN JUAL BELI</v>
      </c>
      <c r="H5532" s="42">
        <f t="shared" si="1"/>
        <v>2469</v>
      </c>
    </row>
    <row r="5533" ht="22.5" customHeight="1">
      <c r="B5533" s="42" t="str">
        <f>IFERROR(__xludf.DUMMYFUNCTION("""COMPUTED_VALUE"""),"K/37/040725/1")</f>
        <v>K/37/040725/1</v>
      </c>
      <c r="C5533" s="42" t="str">
        <f>IFERROR(__xludf.DUMMYFUNCTION("""COMPUTED_VALUE"""),"M.4718/RAJABASA JAYA")</f>
        <v>M.4718/RAJABASA JAYA</v>
      </c>
      <c r="D5533" s="42" t="str">
        <f>IFERROR(__xludf.DUMMYFUNCTION("""COMPUTED_VALUE"""),"Berry")</f>
        <v>Berry</v>
      </c>
      <c r="E5533" s="42" t="str">
        <f>IFERROR(__xludf.DUMMYFUNCTION("""COMPUTED_VALUE"""),"DISERAHKAN")</f>
        <v>DISERAHKAN</v>
      </c>
      <c r="F5533" s="48">
        <f>IFERROR(__xludf.DUMMYFUNCTION("""COMPUTED_VALUE"""),45856.51325592592)</f>
        <v>45856.51326</v>
      </c>
      <c r="G5533" s="42" t="str">
        <f>IFERROR(__xludf.DUMMYFUNCTION("""COMPUTED_VALUE"""),"JUAL BELI")</f>
        <v>JUAL BELI</v>
      </c>
      <c r="H5533" s="42">
        <f t="shared" si="1"/>
        <v>2470</v>
      </c>
    </row>
    <row r="5534" ht="22.5" customHeight="1">
      <c r="B5534" s="42" t="str">
        <f>IFERROR(__xludf.DUMMYFUNCTION("""COMPUTED_VALUE"""),"K/38/040725/1")</f>
        <v>K/38/040725/1</v>
      </c>
      <c r="C5534" s="42" t="str">
        <f>IFERROR(__xludf.DUMMYFUNCTION("""COMPUTED_VALUE"""),"M.937/BUMI KEDAMAIAN")</f>
        <v>M.937/BUMI KEDAMAIAN</v>
      </c>
      <c r="D5534" s="42"/>
      <c r="E5534" s="42"/>
      <c r="F5534" s="48" t="str">
        <f>IFERROR(__xludf.DUMMYFUNCTION("""COMPUTED_VALUE"""),"")</f>
        <v/>
      </c>
      <c r="G5534" s="42" t="str">
        <f>IFERROR(__xludf.DUMMYFUNCTION("""COMPUTED_VALUE"""),"TUKAR MENUKAR ")</f>
        <v>TUKAR MENUKAR </v>
      </c>
      <c r="H5534" s="42">
        <f t="shared" si="1"/>
        <v>2470</v>
      </c>
    </row>
    <row r="5535" ht="22.5" customHeight="1">
      <c r="B5535" s="42" t="str">
        <f>IFERROR(__xludf.DUMMYFUNCTION("""COMPUTED_VALUE"""),"K/39/040725/2")</f>
        <v>K/39/040725/2</v>
      </c>
      <c r="C5535" s="42" t="str">
        <f>IFERROR(__xludf.DUMMYFUNCTION("""COMPUTED_VALUE"""),"M.1667/BUMI KEDAMAIAN")</f>
        <v>M.1667/BUMI KEDAMAIAN</v>
      </c>
      <c r="D5535" s="42" t="str">
        <f>IFERROR(__xludf.DUMMYFUNCTION("""COMPUTED_VALUE"""),"David")</f>
        <v>David</v>
      </c>
      <c r="E5535" s="42" t="str">
        <f>IFERROR(__xludf.DUMMYFUNCTION("""COMPUTED_VALUE"""),"DISERAHKAN")</f>
        <v>DISERAHKAN</v>
      </c>
      <c r="F5535" s="48">
        <f>IFERROR(__xludf.DUMMYFUNCTION("""COMPUTED_VALUE"""),45873.62627728009)</f>
        <v>45873.62628</v>
      </c>
      <c r="G5535" s="42" t="str">
        <f>IFERROR(__xludf.DUMMYFUNCTION("""COMPUTED_VALUE"""),"TUKAR MENUKAR")</f>
        <v>TUKAR MENUKAR</v>
      </c>
      <c r="H5535" s="42">
        <f t="shared" si="1"/>
        <v>2471</v>
      </c>
    </row>
    <row r="5536" ht="22.5" customHeight="1">
      <c r="B5536" s="42" t="str">
        <f>IFERROR(__xludf.DUMMYFUNCTION("""COMPUTED_VALUE"""),"K/40/040725/1")</f>
        <v>K/40/040725/1</v>
      </c>
      <c r="C5536" s="42" t="str">
        <f>IFERROR(__xludf.DUMMYFUNCTION("""COMPUTED_VALUE"""),"M. 4988/ Campang raya")</f>
        <v>M. 4988/ Campang raya</v>
      </c>
      <c r="D5536" s="42"/>
      <c r="E5536" s="42"/>
      <c r="F5536" s="48" t="str">
        <f>IFERROR(__xludf.DUMMYFUNCTION("""COMPUTED_VALUE"""),"")</f>
        <v/>
      </c>
      <c r="G5536" s="42" t="str">
        <f>IFERROR(__xludf.DUMMYFUNCTION("""COMPUTED_VALUE"""),"GANTI NAMA")</f>
        <v>GANTI NAMA</v>
      </c>
      <c r="H5536" s="42">
        <f t="shared" si="1"/>
        <v>2471</v>
      </c>
    </row>
    <row r="5537" ht="22.5" customHeight="1">
      <c r="B5537" s="42" t="str">
        <f>IFERROR(__xludf.DUMMYFUNCTION("""COMPUTED_VALUE"""),"K/42/040725/1")</f>
        <v>K/42/040725/1</v>
      </c>
      <c r="C5537" s="42" t="str">
        <f>IFERROR(__xludf.DUMMYFUNCTION("""COMPUTED_VALUE"""),"M. 17246/ Sukarame")</f>
        <v>M. 17246/ Sukarame</v>
      </c>
      <c r="D5537" s="42"/>
      <c r="E5537" s="42"/>
      <c r="F5537" s="48" t="str">
        <f>IFERROR(__xludf.DUMMYFUNCTION("""COMPUTED_VALUE"""),"")</f>
        <v/>
      </c>
      <c r="G5537" s="42" t="str">
        <f>IFERROR(__xludf.DUMMYFUNCTION("""COMPUTED_VALUE"""),"BN Waris")</f>
        <v>BN Waris</v>
      </c>
      <c r="H5537" s="42">
        <f t="shared" si="1"/>
        <v>2471</v>
      </c>
    </row>
    <row r="5538" ht="22.5" customHeight="1">
      <c r="B5538" s="42" t="str">
        <f>IFERROR(__xludf.DUMMYFUNCTION("""COMPUTED_VALUE"""),"K/41/040725/2")</f>
        <v>K/41/040725/2</v>
      </c>
      <c r="C5538" s="42" t="str">
        <f>IFERROR(__xludf.DUMMYFUNCTION("""COMPUTED_VALUE"""),"M. 4989/ Campang raya")</f>
        <v>M. 4989/ Campang raya</v>
      </c>
      <c r="D5538" s="42"/>
      <c r="E5538" s="42"/>
      <c r="F5538" s="48" t="str">
        <f>IFERROR(__xludf.DUMMYFUNCTION("""COMPUTED_VALUE"""),"")</f>
        <v/>
      </c>
      <c r="G5538" s="42" t="str">
        <f>IFERROR(__xludf.DUMMYFUNCTION("""COMPUTED_VALUE"""),"GANTI NAMA")</f>
        <v>GANTI NAMA</v>
      </c>
      <c r="H5538" s="42">
        <f t="shared" si="1"/>
        <v>2471</v>
      </c>
    </row>
    <row r="5539" ht="22.5" customHeight="1">
      <c r="B5539" s="42" t="str">
        <f>IFERROR(__xludf.DUMMYFUNCTION("""COMPUTED_VALUE"""),"K/44/040725/1")</f>
        <v>K/44/040725/1</v>
      </c>
      <c r="C5539" s="42" t="str">
        <f>IFERROR(__xludf.DUMMYFUNCTION("""COMPUTED_VALUE"""),"M.641/SUSUNAN BARU")</f>
        <v>M.641/SUSUNAN BARU</v>
      </c>
      <c r="D5539" s="42"/>
      <c r="E5539" s="42"/>
      <c r="F5539" s="48" t="str">
        <f>IFERROR(__xludf.DUMMYFUNCTION("""COMPUTED_VALUE"""),"")</f>
        <v/>
      </c>
      <c r="G5539" s="42" t="str">
        <f>IFERROR(__xludf.DUMMYFUNCTION("""COMPUTED_VALUE"""),"ROYA")</f>
        <v>ROYA</v>
      </c>
      <c r="H5539" s="42">
        <f t="shared" si="1"/>
        <v>2471</v>
      </c>
    </row>
    <row r="5540" ht="22.5" customHeight="1">
      <c r="B5540" s="42" t="str">
        <f>IFERROR(__xludf.DUMMYFUNCTION("""COMPUTED_VALUE"""),"K/43/040725/2")</f>
        <v>K/43/040725/2</v>
      </c>
      <c r="C5540" s="42" t="str">
        <f>IFERROR(__xludf.DUMMYFUNCTION("""COMPUTED_VALUE"""),"Nibel. M. 12318/ Way Kandis")</f>
        <v>Nibel. M. 12318/ Way Kandis</v>
      </c>
      <c r="D5540" s="42"/>
      <c r="E5540" s="42"/>
      <c r="F5540" s="48" t="str">
        <f>IFERROR(__xludf.DUMMYFUNCTION("""COMPUTED_VALUE"""),"")</f>
        <v/>
      </c>
      <c r="G5540" s="42" t="str">
        <f>IFERROR(__xludf.DUMMYFUNCTION("""COMPUTED_VALUE"""),"BN Jual Beli")</f>
        <v>BN Jual Beli</v>
      </c>
      <c r="H5540" s="42">
        <f t="shared" si="1"/>
        <v>2471</v>
      </c>
    </row>
    <row r="5541" ht="22.5" customHeight="1">
      <c r="B5541" s="42" t="str">
        <f>IFERROR(__xludf.DUMMYFUNCTION("""COMPUTED_VALUE"""),"K/45/040725/3")</f>
        <v>K/45/040725/3</v>
      </c>
      <c r="C5541" s="42" t="str">
        <f>IFERROR(__xludf.DUMMYFUNCTION("""COMPUTED_VALUE"""),"Nibel. M. 2192/ Gunung Terang")</f>
        <v>Nibel. M. 2192/ Gunung Terang</v>
      </c>
      <c r="D5541" s="42"/>
      <c r="E5541" s="42"/>
      <c r="F5541" s="48" t="str">
        <f>IFERROR(__xludf.DUMMYFUNCTION("""COMPUTED_VALUE"""),"")</f>
        <v/>
      </c>
      <c r="G5541" s="42" t="str">
        <f>IFERROR(__xludf.DUMMYFUNCTION("""COMPUTED_VALUE"""),"BN Jual Beli")</f>
        <v>BN Jual Beli</v>
      </c>
      <c r="H5541" s="42">
        <f t="shared" si="1"/>
        <v>2471</v>
      </c>
    </row>
    <row r="5542" ht="22.5" customHeight="1">
      <c r="B5542" s="42" t="str">
        <f>IFERROR(__xludf.DUMMYFUNCTION("""COMPUTED_VALUE"""),"K/46/040725/4")</f>
        <v>K/46/040725/4</v>
      </c>
      <c r="C5542" s="42" t="str">
        <f>IFERROR(__xludf.DUMMYFUNCTION("""COMPUTED_VALUE"""),"Nibel. M. 18386/ Rajabasa Raya")</f>
        <v>Nibel. M. 18386/ Rajabasa Raya</v>
      </c>
      <c r="D5542" s="42"/>
      <c r="E5542" s="42"/>
      <c r="F5542" s="48" t="str">
        <f>IFERROR(__xludf.DUMMYFUNCTION("""COMPUTED_VALUE"""),"")</f>
        <v/>
      </c>
      <c r="G5542" s="42" t="str">
        <f>IFERROR(__xludf.DUMMYFUNCTION("""COMPUTED_VALUE"""),"BN Jual Beli")</f>
        <v>BN Jual Beli</v>
      </c>
      <c r="H5542" s="42">
        <f t="shared" si="1"/>
        <v>2471</v>
      </c>
    </row>
    <row r="5543" ht="22.5" customHeight="1">
      <c r="B5543" s="42" t="str">
        <f>IFERROR(__xludf.DUMMYFUNCTION("""COMPUTED_VALUE"""),"K/47/040725/1")</f>
        <v>K/47/040725/1</v>
      </c>
      <c r="C5543" s="42" t="str">
        <f>IFERROR(__xludf.DUMMYFUNCTION("""COMPUTED_VALUE"""),"M. 3661/ Way kandis")</f>
        <v>M. 3661/ Way kandis</v>
      </c>
      <c r="D5543" s="42"/>
      <c r="E5543" s="42"/>
      <c r="F5543" s="48" t="str">
        <f>IFERROR(__xludf.DUMMYFUNCTION("""COMPUTED_VALUE"""),"")</f>
        <v/>
      </c>
      <c r="G5543" s="42" t="str">
        <f>IFERROR(__xludf.DUMMYFUNCTION("""COMPUTED_VALUE"""),"BN WARIS")</f>
        <v>BN WARIS</v>
      </c>
      <c r="H5543" s="42">
        <f t="shared" si="1"/>
        <v>2471</v>
      </c>
    </row>
    <row r="5544" ht="22.5" customHeight="1">
      <c r="B5544" s="42" t="str">
        <f>IFERROR(__xludf.DUMMYFUNCTION("""COMPUTED_VALUE"""),"K/36/040725/1")</f>
        <v>K/36/040725/1</v>
      </c>
      <c r="C5544" s="42" t="str">
        <f>IFERROR(__xludf.DUMMYFUNCTION("""COMPUTED_VALUE"""),"NIBEL B. 17676/KETEGUHAN")</f>
        <v>NIBEL B. 17676/KETEGUHAN</v>
      </c>
      <c r="D5544" s="42"/>
      <c r="E5544" s="42"/>
      <c r="F5544" s="48" t="str">
        <f>IFERROR(__xludf.DUMMYFUNCTION("""COMPUTED_VALUE"""),"")</f>
        <v/>
      </c>
      <c r="G5544" s="42" t="str">
        <f>IFERROR(__xludf.DUMMYFUNCTION("""COMPUTED_VALUE"""),"PERUBAHAN HAK")</f>
        <v>PERUBAHAN HAK</v>
      </c>
      <c r="H5544" s="42">
        <f t="shared" si="1"/>
        <v>2471</v>
      </c>
    </row>
    <row r="5545" ht="22.5" customHeight="1">
      <c r="B5545" s="42" t="str">
        <f>IFERROR(__xludf.DUMMYFUNCTION("""COMPUTED_VALUE"""),"K/51/040725/1")</f>
        <v>K/51/040725/1</v>
      </c>
      <c r="C5545" s="42" t="str">
        <f>IFERROR(__xludf.DUMMYFUNCTION("""COMPUTED_VALUE"""),"Nibel. B. 3100/ Srengsem")</f>
        <v>Nibel. B. 3100/ Srengsem</v>
      </c>
      <c r="D5545" s="42"/>
      <c r="E5545" s="42"/>
      <c r="F5545" s="48" t="str">
        <f>IFERROR(__xludf.DUMMYFUNCTION("""COMPUTED_VALUE"""),"")</f>
        <v/>
      </c>
      <c r="G5545" s="42" t="str">
        <f>IFERROR(__xludf.DUMMYFUNCTION("""COMPUTED_VALUE"""),"SKPT Informasi")</f>
        <v>SKPT Informasi</v>
      </c>
      <c r="H5545" s="42">
        <f t="shared" si="1"/>
        <v>2471</v>
      </c>
    </row>
    <row r="5546" ht="22.5" customHeight="1">
      <c r="B5546" s="42" t="str">
        <f>IFERROR(__xludf.DUMMYFUNCTION("""COMPUTED_VALUE"""),"K/52/040725/1")</f>
        <v>K/52/040725/1</v>
      </c>
      <c r="C5546" s="42" t="str">
        <f>IFERROR(__xludf.DUMMYFUNCTION("""COMPUTED_VALUE"""),"M.9997/KAMPUNG BARU")</f>
        <v>M.9997/KAMPUNG BARU</v>
      </c>
      <c r="D5546" s="42" t="str">
        <f>IFERROR(__xludf.DUMMYFUNCTION("""COMPUTED_VALUE"""),"Berry")</f>
        <v>Berry</v>
      </c>
      <c r="E5546" s="42" t="str">
        <f>IFERROR(__xludf.DUMMYFUNCTION("""COMPUTED_VALUE"""),"DISERAHKAN")</f>
        <v>DISERAHKAN</v>
      </c>
      <c r="F5546" s="48">
        <f>IFERROR(__xludf.DUMMYFUNCTION("""COMPUTED_VALUE"""),45856.52909393518)</f>
        <v>45856.52909</v>
      </c>
      <c r="G5546" s="42" t="str">
        <f>IFERROR(__xludf.DUMMYFUNCTION("""COMPUTED_VALUE"""),"BN JUAL BELI")</f>
        <v>BN JUAL BELI</v>
      </c>
      <c r="H5546" s="42">
        <f t="shared" si="1"/>
        <v>2472</v>
      </c>
    </row>
    <row r="5547" ht="22.5" customHeight="1">
      <c r="B5547" s="42" t="str">
        <f>IFERROR(__xludf.DUMMYFUNCTION("""COMPUTED_VALUE"""),"K/53/040725/1")</f>
        <v>K/53/040725/1</v>
      </c>
      <c r="C5547" s="42" t="str">
        <f>IFERROR(__xludf.DUMMYFUNCTION("""COMPUTED_VALUE""")," V")</f>
        <v> V</v>
      </c>
      <c r="D5547" s="42"/>
      <c r="E5547" s="42"/>
      <c r="F5547" s="48" t="str">
        <f>IFERROR(__xludf.DUMMYFUNCTION("""COMPUTED_VALUE"""),"")</f>
        <v/>
      </c>
      <c r="G5547" s="42" t="str">
        <f>IFERROR(__xludf.DUMMYFUNCTION("""COMPUTED_VALUE"""),"BN JUAL BELI")</f>
        <v>BN JUAL BELI</v>
      </c>
      <c r="H5547" s="42">
        <f t="shared" si="1"/>
        <v>2472</v>
      </c>
    </row>
    <row r="5548" ht="22.5" customHeight="1">
      <c r="B5548" s="42" t="str">
        <f>IFERROR(__xludf.DUMMYFUNCTION("""COMPUTED_VALUE"""),"K/49/040725/3")</f>
        <v>K/49/040725/3</v>
      </c>
      <c r="C5548" s="42" t="str">
        <f>IFERROR(__xludf.DUMMYFUNCTION("""COMPUTED_VALUE"""),"M. 1489/ Keteguhan")</f>
        <v>M. 1489/ Keteguhan</v>
      </c>
      <c r="D5548" s="42" t="str">
        <f>IFERROR(__xludf.DUMMYFUNCTION("""COMPUTED_VALUE"""),"Berry")</f>
        <v>Berry</v>
      </c>
      <c r="E5548" s="42" t="str">
        <f>IFERROR(__xludf.DUMMYFUNCTION("""COMPUTED_VALUE"""),"DISERAHKAN")</f>
        <v>DISERAHKAN</v>
      </c>
      <c r="F5548" s="48">
        <f>IFERROR(__xludf.DUMMYFUNCTION("""COMPUTED_VALUE"""),45867.68468908565)</f>
        <v>45867.68469</v>
      </c>
      <c r="G5548" s="42" t="str">
        <f>IFERROR(__xludf.DUMMYFUNCTION("""COMPUTED_VALUE"""),"BN Hiibah")</f>
        <v>BN Hiibah</v>
      </c>
      <c r="H5548" s="42">
        <f t="shared" si="1"/>
        <v>2473</v>
      </c>
    </row>
    <row r="5549" ht="22.5" customHeight="1">
      <c r="B5549" s="42" t="str">
        <f>IFERROR(__xludf.DUMMYFUNCTION("""COMPUTED_VALUE"""),"K/50/040725/4")</f>
        <v>K/50/040725/4</v>
      </c>
      <c r="C5549" s="42" t="str">
        <f>IFERROR(__xludf.DUMMYFUNCTION("""COMPUTED_VALUE"""),"Nibel. M. 20776/ Kota Karang Raya")</f>
        <v>Nibel. M. 20776/ Kota Karang Raya</v>
      </c>
      <c r="D5549" s="42"/>
      <c r="E5549" s="42"/>
      <c r="F5549" s="48" t="str">
        <f>IFERROR(__xludf.DUMMYFUNCTION("""COMPUTED_VALUE"""),"")</f>
        <v/>
      </c>
      <c r="G5549" s="42" t="str">
        <f>IFERROR(__xludf.DUMMYFUNCTION("""COMPUTED_VALUE"""),"BN Hibah")</f>
        <v>BN Hibah</v>
      </c>
      <c r="H5549" s="42">
        <f t="shared" si="1"/>
        <v>2473</v>
      </c>
    </row>
    <row r="5550" ht="22.5" customHeight="1">
      <c r="B5550" s="42" t="str">
        <f>IFERROR(__xludf.DUMMYFUNCTION("""COMPUTED_VALUE"""),"K/48/040725/1")</f>
        <v>K/48/040725/1</v>
      </c>
      <c r="C5550" s="42" t="str">
        <f>IFERROR(__xludf.DUMMYFUNCTION("""COMPUTED_VALUE"""),"M.799/RAJABASA RAYA")</f>
        <v>M.799/RAJABASA RAYA</v>
      </c>
      <c r="D5550" s="42" t="str">
        <f>IFERROR(__xludf.DUMMYFUNCTION("""COMPUTED_VALUE"""),"Berry")</f>
        <v>Berry</v>
      </c>
      <c r="E5550" s="42" t="str">
        <f>IFERROR(__xludf.DUMMYFUNCTION("""COMPUTED_VALUE"""),"DISERAHKAN")</f>
        <v>DISERAHKAN</v>
      </c>
      <c r="F5550" s="48">
        <f>IFERROR(__xludf.DUMMYFUNCTION("""COMPUTED_VALUE"""),45854.57799979167)</f>
        <v>45854.578</v>
      </c>
      <c r="G5550" s="42" t="str">
        <f>IFERROR(__xludf.DUMMYFUNCTION("""COMPUTED_VALUE"""),"ROYA")</f>
        <v>ROYA</v>
      </c>
      <c r="H5550" s="42">
        <f t="shared" si="1"/>
        <v>2474</v>
      </c>
    </row>
    <row r="5551" ht="22.5" customHeight="1">
      <c r="B5551" s="42" t="str">
        <f>IFERROR(__xludf.DUMMYFUNCTION("""COMPUTED_VALUE"""),"K/54/040725/1")</f>
        <v>K/54/040725/1</v>
      </c>
      <c r="C5551" s="42" t="str">
        <f>IFERROR(__xludf.DUMMYFUNCTION("""COMPUTED_VALUE"""),"MARS 284/SUMUR PUTRI")</f>
        <v>MARS 284/SUMUR PUTRI</v>
      </c>
      <c r="D5551" s="42" t="str">
        <f>IFERROR(__xludf.DUMMYFUNCTION("""COMPUTED_VALUE"""),"Berry")</f>
        <v>Berry</v>
      </c>
      <c r="E5551" s="42" t="str">
        <f>IFERROR(__xludf.DUMMYFUNCTION("""COMPUTED_VALUE"""),"DISERAHKAN")</f>
        <v>DISERAHKAN</v>
      </c>
      <c r="F5551" s="48">
        <f>IFERROR(__xludf.DUMMYFUNCTION("""COMPUTED_VALUE"""),45867.680190983796)</f>
        <v>45867.68019</v>
      </c>
      <c r="G5551" s="42" t="str">
        <f>IFERROR(__xludf.DUMMYFUNCTION("""COMPUTED_VALUE"""),"JUAL BELI")</f>
        <v>JUAL BELI</v>
      </c>
      <c r="H5551" s="42">
        <f t="shared" si="1"/>
        <v>2475</v>
      </c>
    </row>
    <row r="5552" ht="22.5" customHeight="1">
      <c r="B5552" s="42" t="str">
        <f>IFERROR(__xludf.DUMMYFUNCTION("""COMPUTED_VALUE"""),"K/55/040725/2")</f>
        <v>K/55/040725/2</v>
      </c>
      <c r="C5552" s="42" t="str">
        <f>IFERROR(__xludf.DUMMYFUNCTION("""COMPUTED_VALUE"""),"B.384/KEMILING PERMAI")</f>
        <v>B.384/KEMILING PERMAI</v>
      </c>
      <c r="D5552" s="42" t="str">
        <f>IFERROR(__xludf.DUMMYFUNCTION("""COMPUTED_VALUE"""),"Berry")</f>
        <v>Berry</v>
      </c>
      <c r="E5552" s="42" t="str">
        <f>IFERROR(__xludf.DUMMYFUNCTION("""COMPUTED_VALUE"""),"DISERAHKAN")</f>
        <v>DISERAHKAN</v>
      </c>
      <c r="F5552" s="48">
        <f>IFERROR(__xludf.DUMMYFUNCTION("""COMPUTED_VALUE"""),45852.62846994213)</f>
        <v>45852.62847</v>
      </c>
      <c r="G5552" s="42" t="str">
        <f>IFERROR(__xludf.DUMMYFUNCTION("""COMPUTED_VALUE"""),"JUAL BELI")</f>
        <v>JUAL BELI</v>
      </c>
      <c r="H5552" s="42">
        <f t="shared" si="1"/>
        <v>2476</v>
      </c>
    </row>
    <row r="5553" ht="22.5" customHeight="1">
      <c r="B5553" s="42" t="str">
        <f>IFERROR(__xludf.DUMMYFUNCTION("""COMPUTED_VALUE"""),"K/1/070725/1")</f>
        <v>K/1/070725/1</v>
      </c>
      <c r="C5553" s="42" t="str">
        <f>IFERROR(__xludf.DUMMYFUNCTION("""COMPUTED_VALUE"""),"B. 841/ Perumnas Way Kandis")</f>
        <v>B. 841/ Perumnas Way Kandis</v>
      </c>
      <c r="D5553" s="42"/>
      <c r="E5553" s="42"/>
      <c r="F5553" s="48" t="str">
        <f>IFERROR(__xludf.DUMMYFUNCTION("""COMPUTED_VALUE"""),"")</f>
        <v/>
      </c>
      <c r="G5553" s="42" t="str">
        <f>IFERROR(__xludf.DUMMYFUNCTION("""COMPUTED_VALUE"""),"BN WARIS")</f>
        <v>BN WARIS</v>
      </c>
      <c r="H5553" s="42">
        <f t="shared" si="1"/>
        <v>2476</v>
      </c>
    </row>
    <row r="5554" ht="22.5" customHeight="1">
      <c r="B5554" s="42" t="str">
        <f>IFERROR(__xludf.DUMMYFUNCTION("""COMPUTED_VALUE"""),"L/2/070725/1")</f>
        <v>L/2/070725/1</v>
      </c>
      <c r="C5554" s="42" t="str">
        <f>IFERROR(__xludf.DUMMYFUNCTION("""COMPUTED_VALUE"""),"NIB 17698/SUKABUMI")</f>
        <v>NIB 17698/SUKABUMI</v>
      </c>
      <c r="D5554" s="42"/>
      <c r="E5554" s="42"/>
      <c r="F5554" s="48" t="str">
        <f>IFERROR(__xludf.DUMMYFUNCTION("""COMPUTED_VALUE"""),"")</f>
        <v/>
      </c>
      <c r="G5554" s="42" t="str">
        <f>IFERROR(__xludf.DUMMYFUNCTION("""COMPUTED_VALUE"""),"PEMECAHAN")</f>
        <v>PEMECAHAN</v>
      </c>
      <c r="H5554" s="42">
        <f t="shared" si="1"/>
        <v>2476</v>
      </c>
    </row>
    <row r="5555" ht="22.5" customHeight="1">
      <c r="B5555" s="42" t="str">
        <f>IFERROR(__xludf.DUMMYFUNCTION("""COMPUTED_VALUE"""),"K/3/070725/1")</f>
        <v>K/3/070725/1</v>
      </c>
      <c r="C5555" s="42" t="str">
        <f>IFERROR(__xludf.DUMMYFUNCTION("""COMPUTED_VALUE"""),"M.15842/SUKARAME")</f>
        <v>M.15842/SUKARAME</v>
      </c>
      <c r="D5555" s="42" t="str">
        <f>IFERROR(__xludf.DUMMYFUNCTION("""COMPUTED_VALUE"""),"Berry")</f>
        <v>Berry</v>
      </c>
      <c r="E5555" s="42" t="str">
        <f>IFERROR(__xludf.DUMMYFUNCTION("""COMPUTED_VALUE"""),"DISERAHKAN")</f>
        <v>DISERAHKAN</v>
      </c>
      <c r="F5555" s="48">
        <f>IFERROR(__xludf.DUMMYFUNCTION("""COMPUTED_VALUE"""),45883.66376949074)</f>
        <v>45883.66377</v>
      </c>
      <c r="G5555" s="42" t="str">
        <f>IFERROR(__xludf.DUMMYFUNCTION("""COMPUTED_VALUE"""),"JUAL BELI")</f>
        <v>JUAL BELI</v>
      </c>
      <c r="H5555" s="42">
        <f t="shared" si="1"/>
        <v>2477</v>
      </c>
    </row>
    <row r="5556" ht="22.5" customHeight="1">
      <c r="B5556" s="42" t="str">
        <f>IFERROR(__xludf.DUMMYFUNCTION("""COMPUTED_VALUE"""),"K/4/070725/1")</f>
        <v>K/4/070725/1</v>
      </c>
      <c r="C5556" s="42" t="str">
        <f>IFERROR(__xludf.DUMMYFUNCTION("""COMPUTED_VALUE"""),"M. 310/ Nusantara Permai")</f>
        <v>M. 310/ Nusantara Permai</v>
      </c>
      <c r="D5556" s="42" t="str">
        <f>IFERROR(__xludf.DUMMYFUNCTION("""COMPUTED_VALUE"""),"Berry")</f>
        <v>Berry</v>
      </c>
      <c r="E5556" s="42" t="str">
        <f>IFERROR(__xludf.DUMMYFUNCTION("""COMPUTED_VALUE"""),"DISERAHKAN")</f>
        <v>DISERAHKAN</v>
      </c>
      <c r="F5556" s="48">
        <f>IFERROR(__xludf.DUMMYFUNCTION("""COMPUTED_VALUE"""),45867.684923043984)</f>
        <v>45867.68492</v>
      </c>
      <c r="G5556" s="42" t="str">
        <f>IFERROR(__xludf.DUMMYFUNCTION("""COMPUTED_VALUE"""),"BN Jual Beli")</f>
        <v>BN Jual Beli</v>
      </c>
      <c r="H5556" s="42">
        <f t="shared" si="1"/>
        <v>2478</v>
      </c>
    </row>
    <row r="5557" ht="22.5" customHeight="1">
      <c r="B5557" s="42" t="str">
        <f>IFERROR(__xludf.DUMMYFUNCTION("""COMPUTED_VALUE"""),"K/5/070725/2")</f>
        <v>K/5/070725/2</v>
      </c>
      <c r="C5557" s="42" t="str">
        <f>IFERROR(__xludf.DUMMYFUNCTION("""COMPUTED_VALUE"""),"Nibel/ M. 2747/ Langkapura")</f>
        <v>Nibel/ M. 2747/ Langkapura</v>
      </c>
      <c r="D5557" s="42"/>
      <c r="E5557" s="42"/>
      <c r="F5557" s="48" t="str">
        <f>IFERROR(__xludf.DUMMYFUNCTION("""COMPUTED_VALUE"""),"")</f>
        <v/>
      </c>
      <c r="G5557" s="42" t="str">
        <f>IFERROR(__xludf.DUMMYFUNCTION("""COMPUTED_VALUE"""),"BN Jual Beli")</f>
        <v>BN Jual Beli</v>
      </c>
      <c r="H5557" s="42">
        <f t="shared" si="1"/>
        <v>2478</v>
      </c>
    </row>
    <row r="5558" ht="22.5" customHeight="1">
      <c r="B5558" s="42" t="str">
        <f>IFERROR(__xludf.DUMMYFUNCTION("""COMPUTED_VALUE"""),"L/6/070725/1")</f>
        <v>L/6/070725/1</v>
      </c>
      <c r="C5558" s="42" t="str">
        <f>IFERROR(__xludf.DUMMYFUNCTION("""COMPUTED_VALUE"""),"HM 12255/SEGALA MIDER")</f>
        <v>HM 12255/SEGALA MIDER</v>
      </c>
      <c r="D5558" s="42" t="str">
        <f>IFERROR(__xludf.DUMMYFUNCTION("""COMPUTED_VALUE"""),"David")</f>
        <v>David</v>
      </c>
      <c r="E5558" s="42" t="str">
        <f>IFERROR(__xludf.DUMMYFUNCTION("""COMPUTED_VALUE"""),"DISERAHKAN")</f>
        <v>DISERAHKAN</v>
      </c>
      <c r="F5558" s="48">
        <f>IFERROR(__xludf.DUMMYFUNCTION("""COMPUTED_VALUE"""),45874.68742427083)</f>
        <v>45874.68742</v>
      </c>
      <c r="G5558" s="42" t="str">
        <f>IFERROR(__xludf.DUMMYFUNCTION("""COMPUTED_VALUE"""),"ROYA")</f>
        <v>ROYA</v>
      </c>
      <c r="H5558" s="42">
        <f t="shared" si="1"/>
        <v>2479</v>
      </c>
    </row>
    <row r="5559" ht="22.5" customHeight="1">
      <c r="B5559" s="42" t="str">
        <f>IFERROR(__xludf.DUMMYFUNCTION("""COMPUTED_VALUE"""),"L/7/070725/2")</f>
        <v>L/7/070725/2</v>
      </c>
      <c r="C5559" s="42" t="str">
        <f>IFERROR(__xludf.DUMMYFUNCTION("""COMPUTED_VALUE"""),"HM 11446/SEGALA MIDER")</f>
        <v>HM 11446/SEGALA MIDER</v>
      </c>
      <c r="D5559" s="42" t="str">
        <f>IFERROR(__xludf.DUMMYFUNCTION("""COMPUTED_VALUE"""),"Berry")</f>
        <v>Berry</v>
      </c>
      <c r="E5559" s="42" t="str">
        <f>IFERROR(__xludf.DUMMYFUNCTION("""COMPUTED_VALUE"""),"DISERAHKAN")</f>
        <v>DISERAHKAN</v>
      </c>
      <c r="F5559" s="48">
        <f>IFERROR(__xludf.DUMMYFUNCTION("""COMPUTED_VALUE"""),45873.63399152778)</f>
        <v>45873.63399</v>
      </c>
      <c r="G5559" s="42" t="str">
        <f>IFERROR(__xludf.DUMMYFUNCTION("""COMPUTED_VALUE"""),"ROYA")</f>
        <v>ROYA</v>
      </c>
      <c r="H5559" s="42">
        <f t="shared" si="1"/>
        <v>2480</v>
      </c>
    </row>
    <row r="5560" ht="22.5" customHeight="1">
      <c r="B5560" s="42" t="str">
        <f>IFERROR(__xludf.DUMMYFUNCTION("""COMPUTED_VALUE"""),"L/10/070725/1")</f>
        <v>L/10/070725/1</v>
      </c>
      <c r="C5560" s="42" t="str">
        <f>IFERROR(__xludf.DUMMYFUNCTION("""COMPUTED_VALUE"""),"HM 564/RAJABASA RAYA")</f>
        <v>HM 564/RAJABASA RAYA</v>
      </c>
      <c r="D5560" s="42" t="str">
        <f>IFERROR(__xludf.DUMMYFUNCTION("""COMPUTED_VALUE"""),"Berry")</f>
        <v>Berry</v>
      </c>
      <c r="E5560" s="42" t="str">
        <f>IFERROR(__xludf.DUMMYFUNCTION("""COMPUTED_VALUE"""),"DISERAHKAN")</f>
        <v>DISERAHKAN</v>
      </c>
      <c r="F5560" s="48">
        <f>IFERROR(__xludf.DUMMYFUNCTION("""COMPUTED_VALUE"""),45898.6504713426)</f>
        <v>45898.65047</v>
      </c>
      <c r="G5560" s="42" t="str">
        <f>IFERROR(__xludf.DUMMYFUNCTION("""COMPUTED_VALUE"""),"ROYA")</f>
        <v>ROYA</v>
      </c>
      <c r="H5560" s="42">
        <f t="shared" si="1"/>
        <v>2481</v>
      </c>
    </row>
    <row r="5561" ht="22.5" customHeight="1">
      <c r="B5561" s="42" t="str">
        <f>IFERROR(__xludf.DUMMYFUNCTION("""COMPUTED_VALUE"""),"K/11/070725/1")</f>
        <v>K/11/070725/1</v>
      </c>
      <c r="C5561" s="42" t="str">
        <f>IFERROR(__xludf.DUMMYFUNCTION("""COMPUTED_VALUE"""),"M. 13966/SUKARAME")</f>
        <v>M. 13966/SUKARAME</v>
      </c>
      <c r="D5561" s="42" t="str">
        <f>IFERROR(__xludf.DUMMYFUNCTION("""COMPUTED_VALUE"""),"Berry")</f>
        <v>Berry</v>
      </c>
      <c r="E5561" s="42" t="str">
        <f>IFERROR(__xludf.DUMMYFUNCTION("""COMPUTED_VALUE"""),"DISERAHKAN")</f>
        <v>DISERAHKAN</v>
      </c>
      <c r="F5561" s="48">
        <f>IFERROR(__xludf.DUMMYFUNCTION("""COMPUTED_VALUE"""),45888.609720671295)</f>
        <v>45888.60972</v>
      </c>
      <c r="G5561" s="42" t="str">
        <f>IFERROR(__xludf.DUMMYFUNCTION("""COMPUTED_VALUE"""),"ROYA")</f>
        <v>ROYA</v>
      </c>
      <c r="H5561" s="42">
        <f t="shared" si="1"/>
        <v>2482</v>
      </c>
    </row>
    <row r="5562" ht="22.5" customHeight="1">
      <c r="B5562" s="42" t="str">
        <f>IFERROR(__xludf.DUMMYFUNCTION("""COMPUTED_VALUE"""),"K/8/070725/1")</f>
        <v>K/8/070725/1</v>
      </c>
      <c r="C5562" s="42" t="str">
        <f>IFERROR(__xludf.DUMMYFUNCTION("""COMPUTED_VALUE"""),"M. 525/ Sukabumi Indah")</f>
        <v>M. 525/ Sukabumi Indah</v>
      </c>
      <c r="D5562" s="42" t="str">
        <f>IFERROR(__xludf.DUMMYFUNCTION("""COMPUTED_VALUE"""),"Berry")</f>
        <v>Berry</v>
      </c>
      <c r="E5562" s="42" t="str">
        <f>IFERROR(__xludf.DUMMYFUNCTION("""COMPUTED_VALUE"""),"DISERAHKAN")</f>
        <v>DISERAHKAN</v>
      </c>
      <c r="F5562" s="48">
        <f>IFERROR(__xludf.DUMMYFUNCTION("""COMPUTED_VALUE"""),45861.63051729166)</f>
        <v>45861.63052</v>
      </c>
      <c r="G5562" s="42" t="str">
        <f>IFERROR(__xludf.DUMMYFUNCTION("""COMPUTED_VALUE"""),"BN JUAL BELI")</f>
        <v>BN JUAL BELI</v>
      </c>
      <c r="H5562" s="42">
        <f t="shared" si="1"/>
        <v>2483</v>
      </c>
    </row>
    <row r="5563" ht="22.5" customHeight="1">
      <c r="B5563" s="42" t="str">
        <f>IFERROR(__xludf.DUMMYFUNCTION("""COMPUTED_VALUE"""),"K/12/070725/1")</f>
        <v>K/12/070725/1</v>
      </c>
      <c r="C5563" s="42" t="str">
        <f>IFERROR(__xludf.DUMMYFUNCTION("""COMPUTED_VALUE"""),"Nibel. B. 20834/ Sumur Putri")</f>
        <v>Nibel. B. 20834/ Sumur Putri</v>
      </c>
      <c r="D5563" s="42"/>
      <c r="E5563" s="42"/>
      <c r="F5563" s="48" t="str">
        <f>IFERROR(__xludf.DUMMYFUNCTION("""COMPUTED_VALUE"""),"")</f>
        <v/>
      </c>
      <c r="G5563" s="42" t="str">
        <f>IFERROR(__xludf.DUMMYFUNCTION("""COMPUTED_VALUE"""),"Perubahan Hak")</f>
        <v>Perubahan Hak</v>
      </c>
      <c r="H5563" s="42">
        <f t="shared" si="1"/>
        <v>2483</v>
      </c>
    </row>
    <row r="5564" ht="22.5" customHeight="1">
      <c r="B5564" s="42" t="str">
        <f>IFERROR(__xludf.DUMMYFUNCTION("""COMPUTED_VALUE"""),"K/9/070725/2")</f>
        <v>K/9/070725/2</v>
      </c>
      <c r="C5564" s="42" t="str">
        <f>IFERROR(__xludf.DUMMYFUNCTION("""COMPUTED_VALUE"""),"M. 1857/ sumberrejo sejahtera")</f>
        <v>M. 1857/ sumberrejo sejahtera</v>
      </c>
      <c r="D5564" s="42" t="str">
        <f>IFERROR(__xludf.DUMMYFUNCTION("""COMPUTED_VALUE"""),"Berry")</f>
        <v>Berry</v>
      </c>
      <c r="E5564" s="42" t="str">
        <f>IFERROR(__xludf.DUMMYFUNCTION("""COMPUTED_VALUE"""),"DISERAHKAN")</f>
        <v>DISERAHKAN</v>
      </c>
      <c r="F5564" s="48">
        <f>IFERROR(__xludf.DUMMYFUNCTION("""COMPUTED_VALUE"""),45880.71872427083)</f>
        <v>45880.71872</v>
      </c>
      <c r="G5564" s="42" t="str">
        <f>IFERROR(__xludf.DUMMYFUNCTION("""COMPUTED_VALUE"""),"BN PHB")</f>
        <v>BN PHB</v>
      </c>
      <c r="H5564" s="42">
        <f t="shared" si="1"/>
        <v>2484</v>
      </c>
    </row>
    <row r="5565" ht="22.5" customHeight="1">
      <c r="B5565" s="42" t="str">
        <f>IFERROR(__xludf.DUMMYFUNCTION("""COMPUTED_VALUE"""),"K/13/070725/1")</f>
        <v>K/13/070725/1</v>
      </c>
      <c r="C5565" s="42" t="str">
        <f>IFERROR(__xludf.DUMMYFUNCTION("""COMPUTED_VALUE"""),"M. 942/ Kuripan")</f>
        <v>M. 942/ Kuripan</v>
      </c>
      <c r="D5565" s="42"/>
      <c r="E5565" s="42"/>
      <c r="F5565" s="48" t="str">
        <f>IFERROR(__xludf.DUMMYFUNCTION("""COMPUTED_VALUE"""),"")</f>
        <v/>
      </c>
      <c r="G5565" s="42" t="str">
        <f>IFERROR(__xludf.DUMMYFUNCTION("""COMPUTED_VALUE"""),"SKPT LELANG")</f>
        <v>SKPT LELANG</v>
      </c>
      <c r="H5565" s="42">
        <f t="shared" si="1"/>
        <v>2484</v>
      </c>
    </row>
    <row r="5566" ht="22.5" customHeight="1">
      <c r="B5566" s="42" t="str">
        <f>IFERROR(__xludf.DUMMYFUNCTION("""COMPUTED_VALUE"""),"K/15/070725/1")</f>
        <v>K/15/070725/1</v>
      </c>
      <c r="C5566" s="42" t="str">
        <f>IFERROR(__xludf.DUMMYFUNCTION("""COMPUTED_VALUE"""),"M. 801/ Negeri Olok Gading")</f>
        <v>M. 801/ Negeri Olok Gading</v>
      </c>
      <c r="D5566" s="42" t="str">
        <f>IFERROR(__xludf.DUMMYFUNCTION("""COMPUTED_VALUE"""),"Berry")</f>
        <v>Berry</v>
      </c>
      <c r="E5566" s="42" t="str">
        <f>IFERROR(__xludf.DUMMYFUNCTION("""COMPUTED_VALUE"""),"DISERAHKAN")</f>
        <v>DISERAHKAN</v>
      </c>
      <c r="F5566" s="48">
        <f>IFERROR(__xludf.DUMMYFUNCTION("""COMPUTED_VALUE"""),45863.60806078704)</f>
        <v>45863.60806</v>
      </c>
      <c r="G5566" s="42" t="str">
        <f>IFERROR(__xludf.DUMMYFUNCTION("""COMPUTED_VALUE"""),"ROYA")</f>
        <v>ROYA</v>
      </c>
      <c r="H5566" s="42">
        <f t="shared" si="1"/>
        <v>2485</v>
      </c>
    </row>
    <row r="5567" ht="22.5" customHeight="1">
      <c r="B5567" s="42" t="str">
        <f>IFERROR(__xludf.DUMMYFUNCTION("""COMPUTED_VALUE"""),"K/16/070725/2")</f>
        <v>K/16/070725/2</v>
      </c>
      <c r="C5567" s="42" t="str">
        <f>IFERROR(__xludf.DUMMYFUNCTION("""COMPUTED_VALUE"""),"Nibel 3069.1/  Keteguhan")</f>
        <v>Nibel 3069.1/  Keteguhan</v>
      </c>
      <c r="D5567" s="42"/>
      <c r="E5567" s="42"/>
      <c r="F5567" s="48" t="str">
        <f>IFERROR(__xludf.DUMMYFUNCTION("""COMPUTED_VALUE"""),"")</f>
        <v/>
      </c>
      <c r="G5567" s="42" t="str">
        <f>IFERROR(__xludf.DUMMYFUNCTION("""COMPUTED_VALUE"""),"BN JUAL BELI")</f>
        <v>BN JUAL BELI</v>
      </c>
      <c r="H5567" s="42">
        <f t="shared" si="1"/>
        <v>2485</v>
      </c>
    </row>
    <row r="5568" ht="22.5" customHeight="1">
      <c r="B5568" s="42" t="str">
        <f>IFERROR(__xludf.DUMMYFUNCTION("""COMPUTED_VALUE"""),"K/17/070725/1")</f>
        <v>K/17/070725/1</v>
      </c>
      <c r="C5568" s="42" t="str">
        <f>IFERROR(__xludf.DUMMYFUNCTION("""COMPUTED_VALUE"""),"M. 520/ Kupang raya")</f>
        <v>M. 520/ Kupang raya</v>
      </c>
      <c r="D5568" s="42"/>
      <c r="E5568" s="42"/>
      <c r="F5568" s="48" t="str">
        <f>IFERROR(__xludf.DUMMYFUNCTION("""COMPUTED_VALUE"""),"")</f>
        <v/>
      </c>
      <c r="G5568" s="42" t="str">
        <f>IFERROR(__xludf.DUMMYFUNCTION("""COMPUTED_VALUE"""),"HAPUS BPHTB")</f>
        <v>HAPUS BPHTB</v>
      </c>
      <c r="H5568" s="42">
        <f t="shared" si="1"/>
        <v>2485</v>
      </c>
    </row>
    <row r="5569" ht="22.5" customHeight="1">
      <c r="B5569" s="42" t="str">
        <f>IFERROR(__xludf.DUMMYFUNCTION("""COMPUTED_VALUE"""),"K/14/070725/1")</f>
        <v>K/14/070725/1</v>
      </c>
      <c r="C5569" s="42" t="str">
        <f>IFERROR(__xludf.DUMMYFUNCTION("""COMPUTED_VALUE"""),"NIBEL M 18165/GUNUNG TERANG")</f>
        <v>NIBEL M 18165/GUNUNG TERANG</v>
      </c>
      <c r="D5569" s="42"/>
      <c r="E5569" s="42"/>
      <c r="F5569" s="48" t="str">
        <f>IFERROR(__xludf.DUMMYFUNCTION("""COMPUTED_VALUE"""),"")</f>
        <v/>
      </c>
      <c r="G5569" s="42" t="str">
        <f>IFERROR(__xludf.DUMMYFUNCTION("""COMPUTED_VALUE"""),"JUAL BELI")</f>
        <v>JUAL BELI</v>
      </c>
      <c r="H5569" s="42">
        <f t="shared" si="1"/>
        <v>2485</v>
      </c>
    </row>
    <row r="5570" ht="22.5" customHeight="1">
      <c r="B5570" s="42" t="str">
        <f>IFERROR(__xludf.DUMMYFUNCTION("""COMPUTED_VALUE"""),"K/18/070725/1")</f>
        <v>K/18/070725/1</v>
      </c>
      <c r="C5570" s="42" t="str">
        <f>IFERROR(__xludf.DUMMYFUNCTION("""COMPUTED_VALUE"""),"M.14197/KEDAMAIAN")</f>
        <v>M.14197/KEDAMAIAN</v>
      </c>
      <c r="D5570" s="42" t="str">
        <f>IFERROR(__xludf.DUMMYFUNCTION("""COMPUTED_VALUE"""),"Berry")</f>
        <v>Berry</v>
      </c>
      <c r="E5570" s="42" t="str">
        <f>IFERROR(__xludf.DUMMYFUNCTION("""COMPUTED_VALUE"""),"DISERAHKAN")</f>
        <v>DISERAHKAN</v>
      </c>
      <c r="F5570" s="48">
        <f>IFERROR(__xludf.DUMMYFUNCTION("""COMPUTED_VALUE"""),45852.63253263889)</f>
        <v>45852.63253</v>
      </c>
      <c r="G5570" s="42" t="str">
        <f>IFERROR(__xludf.DUMMYFUNCTION("""COMPUTED_VALUE"""),"GANTI NAMA")</f>
        <v>GANTI NAMA</v>
      </c>
      <c r="H5570" s="42">
        <f t="shared" si="1"/>
        <v>2486</v>
      </c>
    </row>
    <row r="5571" ht="22.5" customHeight="1">
      <c r="B5571" s="42" t="str">
        <f>IFERROR(__xludf.DUMMYFUNCTION("""COMPUTED_VALUE"""),"L/19/070725/1")</f>
        <v>L/19/070725/1</v>
      </c>
      <c r="C5571" s="42" t="str">
        <f>IFERROR(__xludf.DUMMYFUNCTION("""COMPUTED_VALUE"""),"HM 10967/PENGAJARAN")</f>
        <v>HM 10967/PENGAJARAN</v>
      </c>
      <c r="D5571" s="42" t="str">
        <f>IFERROR(__xludf.DUMMYFUNCTION("""COMPUTED_VALUE"""),"David")</f>
        <v>David</v>
      </c>
      <c r="E5571" s="42" t="str">
        <f>IFERROR(__xludf.DUMMYFUNCTION("""COMPUTED_VALUE"""),"DISERAHKAN")</f>
        <v>DISERAHKAN</v>
      </c>
      <c r="F5571" s="48">
        <f>IFERROR(__xludf.DUMMYFUNCTION("""COMPUTED_VALUE"""),45863.61488300926)</f>
        <v>45863.61488</v>
      </c>
      <c r="G5571" s="42" t="str">
        <f>IFERROR(__xludf.DUMMYFUNCTION("""COMPUTED_VALUE"""),"BN WARIS")</f>
        <v>BN WARIS</v>
      </c>
      <c r="H5571" s="42">
        <f t="shared" si="1"/>
        <v>2487</v>
      </c>
    </row>
    <row r="5572" ht="22.5" customHeight="1">
      <c r="B5572" s="42" t="str">
        <f>IFERROR(__xludf.DUMMYFUNCTION("""COMPUTED_VALUE"""),"K/21/070725/2")</f>
        <v>K/21/070725/2</v>
      </c>
      <c r="C5572" s="42" t="str">
        <f>IFERROR(__xludf.DUMMYFUNCTION("""COMPUTED_VALUE"""),"M. 2439/ Kedaung")</f>
        <v>M. 2439/ Kedaung</v>
      </c>
      <c r="D5572" s="42" t="str">
        <f>IFERROR(__xludf.DUMMYFUNCTION("""COMPUTED_VALUE"""),"Berry")</f>
        <v>Berry</v>
      </c>
      <c r="E5572" s="42" t="str">
        <f>IFERROR(__xludf.DUMMYFUNCTION("""COMPUTED_VALUE"""),"DISERAHKAN")</f>
        <v>DISERAHKAN</v>
      </c>
      <c r="F5572" s="48">
        <f>IFERROR(__xludf.DUMMYFUNCTION("""COMPUTED_VALUE"""),45869.49886865741)</f>
        <v>45869.49887</v>
      </c>
      <c r="G5572" s="42" t="str">
        <f>IFERROR(__xludf.DUMMYFUNCTION("""COMPUTED_VALUE"""),"BN Jual Beli")</f>
        <v>BN Jual Beli</v>
      </c>
      <c r="H5572" s="42">
        <f t="shared" si="1"/>
        <v>2488</v>
      </c>
    </row>
    <row r="5573" ht="22.5" customHeight="1">
      <c r="B5573" s="42" t="str">
        <f>IFERROR(__xludf.DUMMYFUNCTION("""COMPUTED_VALUE"""),"K/20/070725/1")</f>
        <v>K/20/070725/1</v>
      </c>
      <c r="C5573" s="42" t="str">
        <f>IFERROR(__xludf.DUMMYFUNCTION("""COMPUTED_VALUE"""),"M. 2602/ Sumber Agung")</f>
        <v>M. 2602/ Sumber Agung</v>
      </c>
      <c r="D5573" s="42" t="str">
        <f>IFERROR(__xludf.DUMMYFUNCTION("""COMPUTED_VALUE"""),"Berry")</f>
        <v>Berry</v>
      </c>
      <c r="E5573" s="42" t="str">
        <f>IFERROR(__xludf.DUMMYFUNCTION("""COMPUTED_VALUE"""),"DISERAHKAN")</f>
        <v>DISERAHKAN</v>
      </c>
      <c r="F5573" s="48">
        <f>IFERROR(__xludf.DUMMYFUNCTION("""COMPUTED_VALUE"""),45890.66809361111)</f>
        <v>45890.66809</v>
      </c>
      <c r="G5573" s="42" t="str">
        <f>IFERROR(__xludf.DUMMYFUNCTION("""COMPUTED_VALUE"""),"BN Jual Beli")</f>
        <v>BN Jual Beli</v>
      </c>
      <c r="H5573" s="42">
        <f t="shared" si="1"/>
        <v>2489</v>
      </c>
    </row>
    <row r="5574" ht="22.5" customHeight="1">
      <c r="B5574" s="42" t="str">
        <f>IFERROR(__xludf.DUMMYFUNCTION("""COMPUTED_VALUE"""),"K/23/070725/1")</f>
        <v>K/23/070725/1</v>
      </c>
      <c r="C5574" s="42" t="str">
        <f>IFERROR(__xludf.DUMMYFUNCTION("""COMPUTED_VALUE"""),"M. 1071/ Gunung terang")</f>
        <v>M. 1071/ Gunung terang</v>
      </c>
      <c r="D5574" s="42" t="str">
        <f>IFERROR(__xludf.DUMMYFUNCTION("""COMPUTED_VALUE"""),"Berry")</f>
        <v>Berry</v>
      </c>
      <c r="E5574" s="42" t="str">
        <f>IFERROR(__xludf.DUMMYFUNCTION("""COMPUTED_VALUE"""),"DISERAHKAN")</f>
        <v>DISERAHKAN</v>
      </c>
      <c r="F5574" s="48">
        <f>IFERROR(__xludf.DUMMYFUNCTION("""COMPUTED_VALUE"""),45880.71612143518)</f>
        <v>45880.71612</v>
      </c>
      <c r="G5574" s="42" t="str">
        <f>IFERROR(__xludf.DUMMYFUNCTION("""COMPUTED_VALUE"""),"BN WARIS")</f>
        <v>BN WARIS</v>
      </c>
      <c r="H5574" s="42">
        <f t="shared" si="1"/>
        <v>2490</v>
      </c>
    </row>
    <row r="5575" ht="22.5" customHeight="1">
      <c r="B5575" s="42" t="str">
        <f>IFERROR(__xludf.DUMMYFUNCTION("""COMPUTED_VALUE"""),"K/22/070725/1")</f>
        <v>K/22/070725/1</v>
      </c>
      <c r="C5575" s="42" t="str">
        <f>IFERROR(__xludf.DUMMYFUNCTION("""COMPUTED_VALUE"""),"B. 1214/RAJABASA")</f>
        <v>B. 1214/RAJABASA</v>
      </c>
      <c r="D5575" s="42" t="str">
        <f>IFERROR(__xludf.DUMMYFUNCTION("""COMPUTED_VALUE"""),"David")</f>
        <v>David</v>
      </c>
      <c r="E5575" s="42" t="str">
        <f>IFERROR(__xludf.DUMMYFUNCTION("""COMPUTED_VALUE"""),"DISERAHKAN")</f>
        <v>DISERAHKAN</v>
      </c>
      <c r="F5575" s="48">
        <f>IFERROR(__xludf.DUMMYFUNCTION("""COMPUTED_VALUE"""),45861.61422690972)</f>
        <v>45861.61423</v>
      </c>
      <c r="G5575" s="42" t="str">
        <f>IFERROR(__xludf.DUMMYFUNCTION("""COMPUTED_VALUE"""),"ROYA")</f>
        <v>ROYA</v>
      </c>
      <c r="H5575" s="42">
        <f t="shared" si="1"/>
        <v>2491</v>
      </c>
    </row>
    <row r="5576" ht="22.5" customHeight="1">
      <c r="B5576" s="42" t="str">
        <f>IFERROR(__xludf.DUMMYFUNCTION("""COMPUTED_VALUE"""),"K/10/260625/1")</f>
        <v>K/10/260625/1</v>
      </c>
      <c r="C5576" s="42" t="str">
        <f>IFERROR(__xludf.DUMMYFUNCTION("""COMPUTED_VALUE"""),"NIBEL M. 2890/WAY KANDIS")</f>
        <v>NIBEL M. 2890/WAY KANDIS</v>
      </c>
      <c r="D5576" s="42"/>
      <c r="E5576" s="42"/>
      <c r="F5576" s="48" t="str">
        <f>IFERROR(__xludf.DUMMYFUNCTION("""COMPUTED_VALUE"""),"")</f>
        <v/>
      </c>
      <c r="G5576" s="42" t="str">
        <f>IFERROR(__xludf.DUMMYFUNCTION("""COMPUTED_VALUE"""),"BN JUAL BELI")</f>
        <v>BN JUAL BELI</v>
      </c>
      <c r="H5576" s="42">
        <f t="shared" si="1"/>
        <v>2491</v>
      </c>
    </row>
    <row r="5577" ht="22.5" customHeight="1">
      <c r="B5577" s="42" t="str">
        <f>IFERROR(__xludf.DUMMYFUNCTION("""COMPUTED_VALUE"""),"K/24/070725/1")</f>
        <v>K/24/070725/1</v>
      </c>
      <c r="C5577" s="42" t="str">
        <f>IFERROR(__xludf.DUMMYFUNCTION("""COMPUTED_VALUE"""),"Nibel 21458/ Tanjung senang")</f>
        <v>Nibel 21458/ Tanjung senang</v>
      </c>
      <c r="D5577" s="42"/>
      <c r="E5577" s="42"/>
      <c r="F5577" s="48" t="str">
        <f>IFERROR(__xludf.DUMMYFUNCTION("""COMPUTED_VALUE"""),"")</f>
        <v/>
      </c>
      <c r="G5577" s="42" t="str">
        <f>IFERROR(__xludf.DUMMYFUNCTION("""COMPUTED_VALUE"""),"BN JUAL BELI")</f>
        <v>BN JUAL BELI</v>
      </c>
      <c r="H5577" s="42">
        <f t="shared" si="1"/>
        <v>2491</v>
      </c>
    </row>
    <row r="5578" ht="22.5" customHeight="1">
      <c r="B5578" s="42" t="str">
        <f>IFERROR(__xludf.DUMMYFUNCTION("""COMPUTED_VALUE"""),"K/26/070725/1")</f>
        <v>K/26/070725/1</v>
      </c>
      <c r="C5578" s="42" t="str">
        <f>IFERROR(__xludf.DUMMYFUNCTION("""COMPUTED_VALUE"""),"PBT. 90/2025 (Srengsem)")</f>
        <v>PBT. 90/2025 (Srengsem)</v>
      </c>
      <c r="D5578" s="42"/>
      <c r="E5578" s="42"/>
      <c r="F5578" s="48" t="str">
        <f>IFERROR(__xludf.DUMMYFUNCTION("""COMPUTED_VALUE"""),"")</f>
        <v/>
      </c>
      <c r="G5578" s="42" t="str">
        <f>IFERROR(__xludf.DUMMYFUNCTION("""COMPUTED_VALUE"""),"PTPGT (Pertama Kali)")</f>
        <v>PTPGT (Pertama Kali)</v>
      </c>
      <c r="H5578" s="42">
        <f t="shared" si="1"/>
        <v>2491</v>
      </c>
    </row>
    <row r="5579" ht="22.5" customHeight="1">
      <c r="B5579" s="42" t="str">
        <f>IFERROR(__xludf.DUMMYFUNCTION("""COMPUTED_VALUE"""),"K/25/070725/2")</f>
        <v>K/25/070725/2</v>
      </c>
      <c r="C5579" s="42" t="str">
        <f>IFERROR(__xludf.DUMMYFUNCTION("""COMPUTED_VALUE"""),"M. 941/ Batu Putuk")</f>
        <v>M. 941/ Batu Putuk</v>
      </c>
      <c r="D5579" s="42" t="str">
        <f>IFERROR(__xludf.DUMMYFUNCTION("""COMPUTED_VALUE"""),"Berry")</f>
        <v>Berry</v>
      </c>
      <c r="E5579" s="42" t="str">
        <f>IFERROR(__xludf.DUMMYFUNCTION("""COMPUTED_VALUE"""),"DISERAHKAN")</f>
        <v>DISERAHKAN</v>
      </c>
      <c r="F5579" s="48">
        <f>IFERROR(__xludf.DUMMYFUNCTION("""COMPUTED_VALUE"""),45861.63173034722)</f>
        <v>45861.63173</v>
      </c>
      <c r="G5579" s="42" t="str">
        <f>IFERROR(__xludf.DUMMYFUNCTION("""COMPUTED_VALUE"""),"BN JUAL BELI")</f>
        <v>BN JUAL BELI</v>
      </c>
      <c r="H5579" s="42">
        <f t="shared" si="1"/>
        <v>2492</v>
      </c>
    </row>
    <row r="5580" ht="22.5" customHeight="1">
      <c r="B5580" s="42" t="str">
        <f>IFERROR(__xludf.DUMMYFUNCTION("""COMPUTED_VALUE"""),"K/27/070725/1")</f>
        <v>K/27/070725/1</v>
      </c>
      <c r="C5580" s="42" t="str">
        <f>IFERROR(__xludf.DUMMYFUNCTION("""COMPUTED_VALUE"""),"M. 4442/ Gunung Terang")</f>
        <v>M. 4442/ Gunung Terang</v>
      </c>
      <c r="D5580" s="42" t="str">
        <f>IFERROR(__xludf.DUMMYFUNCTION("""COMPUTED_VALUE"""),"Berry")</f>
        <v>Berry</v>
      </c>
      <c r="E5580" s="42" t="str">
        <f>IFERROR(__xludf.DUMMYFUNCTION("""COMPUTED_VALUE"""),"DISERAHKAN")</f>
        <v>DISERAHKAN</v>
      </c>
      <c r="F5580" s="48">
        <f>IFERROR(__xludf.DUMMYFUNCTION("""COMPUTED_VALUE"""),45860.660913831016)</f>
        <v>45860.66091</v>
      </c>
      <c r="G5580" s="42" t="str">
        <f>IFERROR(__xludf.DUMMYFUNCTION("""COMPUTED_VALUE"""),"BN Waris")</f>
        <v>BN Waris</v>
      </c>
      <c r="H5580" s="42">
        <f t="shared" si="1"/>
        <v>2493</v>
      </c>
    </row>
    <row r="5581" ht="22.5" customHeight="1">
      <c r="B5581" s="42" t="str">
        <f>IFERROR(__xludf.DUMMYFUNCTION("""COMPUTED_VALUE"""),"K/28/070725/1")</f>
        <v>K/28/070725/1</v>
      </c>
      <c r="C5581" s="42" t="str">
        <f>IFERROR(__xludf.DUMMYFUNCTION("""COMPUTED_VALUE"""),"B. 761/SUMUR PUTRI")</f>
        <v>B. 761/SUMUR PUTRI</v>
      </c>
      <c r="D5581" s="42"/>
      <c r="E5581" s="42"/>
      <c r="F5581" s="48" t="str">
        <f>IFERROR(__xludf.DUMMYFUNCTION("""COMPUTED_VALUE"""),"")</f>
        <v/>
      </c>
      <c r="G5581" s="42" t="str">
        <f>IFERROR(__xludf.DUMMYFUNCTION("""COMPUTED_VALUE"""),"BN JUAL BELI")</f>
        <v>BN JUAL BELI</v>
      </c>
      <c r="H5581" s="42">
        <f t="shared" si="1"/>
        <v>2493</v>
      </c>
    </row>
    <row r="5582" ht="22.5" customHeight="1">
      <c r="B5582" s="42" t="str">
        <f>IFERROR(__xludf.DUMMYFUNCTION("""COMPUTED_VALUE"""),"K/30/070725/1")</f>
        <v>K/30/070725/1</v>
      </c>
      <c r="C5582" s="42" t="str">
        <f>IFERROR(__xludf.DUMMYFUNCTION("""COMPUTED_VALUE"""),"M. 2400/ Campang Jaya")</f>
        <v>M. 2400/ Campang Jaya</v>
      </c>
      <c r="D5582" s="42" t="str">
        <f>IFERROR(__xludf.DUMMYFUNCTION("""COMPUTED_VALUE"""),"David")</f>
        <v>David</v>
      </c>
      <c r="E5582" s="42" t="str">
        <f>IFERROR(__xludf.DUMMYFUNCTION("""COMPUTED_VALUE"""),"DISERAHKAN")</f>
        <v>DISERAHKAN</v>
      </c>
      <c r="F5582" s="48">
        <f>IFERROR(__xludf.DUMMYFUNCTION("""COMPUTED_VALUE"""),45873.62627728009)</f>
        <v>45873.62628</v>
      </c>
      <c r="G5582" s="42" t="str">
        <f>IFERROR(__xludf.DUMMYFUNCTION("""COMPUTED_VALUE"""),"BN Jual Beli")</f>
        <v>BN Jual Beli</v>
      </c>
      <c r="H5582" s="42">
        <f t="shared" si="1"/>
        <v>2494</v>
      </c>
    </row>
    <row r="5583" ht="22.5" customHeight="1">
      <c r="B5583" s="42" t="str">
        <f>IFERROR(__xludf.DUMMYFUNCTION("""COMPUTED_VALUE"""),"K/32/070725/1")</f>
        <v>K/32/070725/1</v>
      </c>
      <c r="C5583" s="42" t="str">
        <f>IFERROR(__xludf.DUMMYFUNCTION("""COMPUTED_VALUE"""),"M.65/RAJABASA PEMUKA")</f>
        <v>M.65/RAJABASA PEMUKA</v>
      </c>
      <c r="D5583" s="42"/>
      <c r="E5583" s="42"/>
      <c r="F5583" s="48" t="str">
        <f>IFERROR(__xludf.DUMMYFUNCTION("""COMPUTED_VALUE"""),"")</f>
        <v/>
      </c>
      <c r="G5583" s="42" t="str">
        <f>IFERROR(__xludf.DUMMYFUNCTION("""COMPUTED_VALUE"""),"HIBAH")</f>
        <v>HIBAH</v>
      </c>
      <c r="H5583" s="42">
        <f t="shared" si="1"/>
        <v>2494</v>
      </c>
    </row>
    <row r="5584" ht="22.5" customHeight="1">
      <c r="B5584" s="42" t="str">
        <f>IFERROR(__xludf.DUMMYFUNCTION("""COMPUTED_VALUE"""),"K/31/070725/1")</f>
        <v>K/31/070725/1</v>
      </c>
      <c r="C5584" s="42" t="str">
        <f>IFERROR(__xludf.DUMMYFUNCTION("""COMPUTED_VALUE"""),"NIBEL M. 16595/WAY HALIM PERMAI")</f>
        <v>NIBEL M. 16595/WAY HALIM PERMAI</v>
      </c>
      <c r="D5584" s="42"/>
      <c r="E5584" s="42"/>
      <c r="F5584" s="48" t="str">
        <f>IFERROR(__xludf.DUMMYFUNCTION("""COMPUTED_VALUE"""),"")</f>
        <v/>
      </c>
      <c r="G5584" s="42" t="str">
        <f>IFERROR(__xludf.DUMMYFUNCTION("""COMPUTED_VALUE"""),"PEMECAHAN")</f>
        <v>PEMECAHAN</v>
      </c>
      <c r="H5584" s="42">
        <f t="shared" si="1"/>
        <v>2494</v>
      </c>
    </row>
    <row r="5585" ht="22.5" customHeight="1">
      <c r="B5585" s="42" t="str">
        <f>IFERROR(__xludf.DUMMYFUNCTION("""COMPUTED_VALUE"""),"K/31/070725/1")</f>
        <v>K/31/070725/1</v>
      </c>
      <c r="C5585" s="42" t="str">
        <f>IFERROR(__xludf.DUMMYFUNCTION("""COMPUTED_VALUE"""),"NIBEL M. 16595/WAY HALIM PERMAI")</f>
        <v>NIBEL M. 16595/WAY HALIM PERMAI</v>
      </c>
      <c r="D5585" s="42"/>
      <c r="E5585" s="42"/>
      <c r="F5585" s="48" t="str">
        <f>IFERROR(__xludf.DUMMYFUNCTION("""COMPUTED_VALUE"""),"")</f>
        <v/>
      </c>
      <c r="G5585" s="42" t="str">
        <f>IFERROR(__xludf.DUMMYFUNCTION("""COMPUTED_VALUE"""),"PEMECAHAN")</f>
        <v>PEMECAHAN</v>
      </c>
      <c r="H5585" s="42">
        <f t="shared" si="1"/>
        <v>2494</v>
      </c>
    </row>
    <row r="5586" ht="22.5" customHeight="1">
      <c r="B5586" s="42" t="str">
        <f>IFERROR(__xludf.DUMMYFUNCTION("""COMPUTED_VALUE"""),"K/33/070725/1")</f>
        <v>K/33/070725/1</v>
      </c>
      <c r="C5586" s="42" t="str">
        <f>IFERROR(__xludf.DUMMYFUNCTION("""COMPUTED_VALUE"""),"B. 570/ rajabsa nunyai")</f>
        <v>B. 570/ rajabsa nunyai</v>
      </c>
      <c r="D5586" s="42"/>
      <c r="E5586" s="42"/>
      <c r="F5586" s="48" t="str">
        <f>IFERROR(__xludf.DUMMYFUNCTION("""COMPUTED_VALUE"""),"")</f>
        <v/>
      </c>
      <c r="G5586" s="42" t="str">
        <f>IFERROR(__xludf.DUMMYFUNCTION("""COMPUTED_VALUE"""),"PERUBAHAN HAK")</f>
        <v>PERUBAHAN HAK</v>
      </c>
      <c r="H5586" s="42">
        <f t="shared" si="1"/>
        <v>2494</v>
      </c>
    </row>
    <row r="5587" ht="22.5" customHeight="1">
      <c r="B5587" s="42" t="str">
        <f>IFERROR(__xludf.DUMMYFUNCTION("""COMPUTED_VALUE"""),"K/34/070725/1")</f>
        <v>K/34/070725/1</v>
      </c>
      <c r="C5587" s="42" t="str">
        <f>IFERROR(__xludf.DUMMYFUNCTION("""COMPUTED_VALUE"""),"M. 9456/ Gedung Meneng")</f>
        <v>M. 9456/ Gedung Meneng</v>
      </c>
      <c r="D5587" s="42" t="str">
        <f>IFERROR(__xludf.DUMMYFUNCTION("""COMPUTED_VALUE"""),"Berry")</f>
        <v>Berry</v>
      </c>
      <c r="E5587" s="42" t="str">
        <f>IFERROR(__xludf.DUMMYFUNCTION("""COMPUTED_VALUE"""),"DISERAHKAN")</f>
        <v>DISERAHKAN</v>
      </c>
      <c r="F5587" s="48">
        <f>IFERROR(__xludf.DUMMYFUNCTION("""COMPUTED_VALUE"""),45880.720041249995)</f>
        <v>45880.72004</v>
      </c>
      <c r="G5587" s="42" t="str">
        <f>IFERROR(__xludf.DUMMYFUNCTION("""COMPUTED_VALUE"""),"BN Jual Beli")</f>
        <v>BN Jual Beli</v>
      </c>
      <c r="H5587" s="42">
        <f t="shared" si="1"/>
        <v>2495</v>
      </c>
    </row>
    <row r="5588" ht="22.5" customHeight="1">
      <c r="B5588" s="42" t="str">
        <f>IFERROR(__xludf.DUMMYFUNCTION("""COMPUTED_VALUE"""),"K/35/070725/2")</f>
        <v>K/35/070725/2</v>
      </c>
      <c r="C5588" s="42" t="str">
        <f>IFERROR(__xludf.DUMMYFUNCTION("""COMPUTED_VALUE"""),"M. 10488/ Kampung Baru")</f>
        <v>M. 10488/ Kampung Baru</v>
      </c>
      <c r="D5588" s="42"/>
      <c r="E5588" s="42"/>
      <c r="F5588" s="48" t="str">
        <f>IFERROR(__xludf.DUMMYFUNCTION("""COMPUTED_VALUE"""),"")</f>
        <v/>
      </c>
      <c r="G5588" s="42" t="str">
        <f>IFERROR(__xludf.DUMMYFUNCTION("""COMPUTED_VALUE"""),"BN Jual Beli")</f>
        <v>BN Jual Beli</v>
      </c>
      <c r="H5588" s="42">
        <f t="shared" si="1"/>
        <v>2495</v>
      </c>
    </row>
    <row r="5589" ht="22.5" customHeight="1">
      <c r="B5589" s="42" t="str">
        <f>IFERROR(__xludf.DUMMYFUNCTION("""COMPUTED_VALUE"""),"L/1/080725/1")</f>
        <v>L/1/080725/1</v>
      </c>
      <c r="C5589" s="42" t="str">
        <f>IFERROR(__xludf.DUMMYFUNCTION("""COMPUTED_VALUE"""),"HGB 1215/SUKABUMI INDAH")</f>
        <v>HGB 1215/SUKABUMI INDAH</v>
      </c>
      <c r="D5589" s="42" t="str">
        <f>IFERROR(__xludf.DUMMYFUNCTION("""COMPUTED_VALUE"""),"Berry")</f>
        <v>Berry</v>
      </c>
      <c r="E5589" s="42" t="str">
        <f>IFERROR(__xludf.DUMMYFUNCTION("""COMPUTED_VALUE"""),"DISERAHKAN")</f>
        <v>DISERAHKAN</v>
      </c>
      <c r="F5589" s="48">
        <f>IFERROR(__xludf.DUMMYFUNCTION("""COMPUTED_VALUE"""),45867.38257541667)</f>
        <v>45867.38258</v>
      </c>
      <c r="G5589" s="42" t="str">
        <f>IFERROR(__xludf.DUMMYFUNCTION("""COMPUTED_VALUE"""),"BN WARIS")</f>
        <v>BN WARIS</v>
      </c>
      <c r="H5589" s="42">
        <f t="shared" si="1"/>
        <v>2496</v>
      </c>
    </row>
    <row r="5590" ht="22.5" customHeight="1">
      <c r="B5590" s="42" t="str">
        <f>IFERROR(__xludf.DUMMYFUNCTION("""COMPUTED_VALUE"""),"L/2/080725/1")</f>
        <v>L/2/080725/1</v>
      </c>
      <c r="C5590" s="42" t="str">
        <f>IFERROR(__xludf.DUMMYFUNCTION("""COMPUTED_VALUE"""),"HGB 1370/PINANG JAYA")</f>
        <v>HGB 1370/PINANG JAYA</v>
      </c>
      <c r="D5590" s="42"/>
      <c r="E5590" s="42"/>
      <c r="F5590" s="48" t="str">
        <f>IFERROR(__xludf.DUMMYFUNCTION("""COMPUTED_VALUE"""),"")</f>
        <v/>
      </c>
      <c r="G5590" s="42" t="str">
        <f>IFERROR(__xludf.DUMMYFUNCTION("""COMPUTED_VALUE"""),"PH")</f>
        <v>PH</v>
      </c>
      <c r="H5590" s="42">
        <f t="shared" si="1"/>
        <v>2496</v>
      </c>
    </row>
    <row r="5591" ht="22.5" customHeight="1">
      <c r="B5591" s="42" t="str">
        <f>IFERROR(__xludf.DUMMYFUNCTION("""COMPUTED_VALUE"""),"K/3/080725/1")</f>
        <v>K/3/080725/1</v>
      </c>
      <c r="C5591" s="42" t="str">
        <f>IFERROR(__xludf.DUMMYFUNCTION("""COMPUTED_VALUE"""),"M. 66/ Sukarame")</f>
        <v>M. 66/ Sukarame</v>
      </c>
      <c r="D5591" s="42" t="str">
        <f>IFERROR(__xludf.DUMMYFUNCTION("""COMPUTED_VALUE"""),"Berry")</f>
        <v>Berry</v>
      </c>
      <c r="E5591" s="42" t="str">
        <f>IFERROR(__xludf.DUMMYFUNCTION("""COMPUTED_VALUE"""),"DISERAHKAN")</f>
        <v>DISERAHKAN</v>
      </c>
      <c r="F5591" s="48">
        <f>IFERROR(__xludf.DUMMYFUNCTION("""COMPUTED_VALUE"""),45867.68431690973)</f>
        <v>45867.68432</v>
      </c>
      <c r="G5591" s="42" t="str">
        <f>IFERROR(__xludf.DUMMYFUNCTION("""COMPUTED_VALUE"""),"Ganti Nama")</f>
        <v>Ganti Nama</v>
      </c>
      <c r="H5591" s="42">
        <f t="shared" si="1"/>
        <v>2497</v>
      </c>
    </row>
    <row r="5592" ht="22.5" customHeight="1">
      <c r="B5592" s="42" t="str">
        <f>IFERROR(__xludf.DUMMYFUNCTION("""COMPUTED_VALUE"""),"L/4/080725/1")</f>
        <v>L/4/080725/1</v>
      </c>
      <c r="C5592" s="42" t="str">
        <f>IFERROR(__xludf.DUMMYFUNCTION("""COMPUTED_VALUE"""),"SUKADANA HAM")</f>
        <v>SUKADANA HAM</v>
      </c>
      <c r="D5592" s="42"/>
      <c r="E5592" s="42"/>
      <c r="F5592" s="48" t="str">
        <f>IFERROR(__xludf.DUMMYFUNCTION("""COMPUTED_VALUE"""),"")</f>
        <v/>
      </c>
      <c r="G5592" s="42" t="str">
        <f>IFERROR(__xludf.DUMMYFUNCTION("""COMPUTED_VALUE"""),"PERTAMA KALI")</f>
        <v>PERTAMA KALI</v>
      </c>
      <c r="H5592" s="42">
        <f t="shared" si="1"/>
        <v>2497</v>
      </c>
    </row>
    <row r="5593" ht="22.5" customHeight="1">
      <c r="B5593" s="42" t="str">
        <f>IFERROR(__xludf.DUMMYFUNCTION("""COMPUTED_VALUE"""),"K/5/080725/1")</f>
        <v>K/5/080725/1</v>
      </c>
      <c r="C5593" s="42" t="str">
        <f>IFERROR(__xludf.DUMMYFUNCTION("""COMPUTED_VALUE"""),"NIBEL M. 3243/LANGKAPURA")</f>
        <v>NIBEL M. 3243/LANGKAPURA</v>
      </c>
      <c r="D5593" s="42"/>
      <c r="E5593" s="42"/>
      <c r="F5593" s="48" t="str">
        <f>IFERROR(__xludf.DUMMYFUNCTION("""COMPUTED_VALUE"""),"")</f>
        <v/>
      </c>
      <c r="G5593" s="42" t="str">
        <f>IFERROR(__xludf.DUMMYFUNCTION("""COMPUTED_VALUE"""),"BN JUAL BELI")</f>
        <v>BN JUAL BELI</v>
      </c>
      <c r="H5593" s="42">
        <f t="shared" si="1"/>
        <v>2497</v>
      </c>
    </row>
    <row r="5594" ht="22.5" customHeight="1">
      <c r="B5594" s="42" t="str">
        <f>IFERROR(__xludf.DUMMYFUNCTION("""COMPUTED_VALUE"""),"K/6/080725/2")</f>
        <v>K/6/080725/2</v>
      </c>
      <c r="C5594" s="42" t="str">
        <f>IFERROR(__xludf.DUMMYFUNCTION("""COMPUTED_VALUE"""),"B. 669/SUMUR PUTRI")</f>
        <v>B. 669/SUMUR PUTRI</v>
      </c>
      <c r="D5594" s="42" t="str">
        <f>IFERROR(__xludf.DUMMYFUNCTION("""COMPUTED_VALUE"""),"Berry")</f>
        <v>Berry</v>
      </c>
      <c r="E5594" s="42" t="str">
        <f>IFERROR(__xludf.DUMMYFUNCTION("""COMPUTED_VALUE"""),"DISERAHKAN")</f>
        <v>DISERAHKAN</v>
      </c>
      <c r="F5594" s="48">
        <f>IFERROR(__xludf.DUMMYFUNCTION("""COMPUTED_VALUE"""),45908.63481325231)</f>
        <v>45908.63481</v>
      </c>
      <c r="G5594" s="42" t="str">
        <f>IFERROR(__xludf.DUMMYFUNCTION("""COMPUTED_VALUE"""),"BN JUAL BELI")</f>
        <v>BN JUAL BELI</v>
      </c>
      <c r="H5594" s="42">
        <f t="shared" si="1"/>
        <v>2498</v>
      </c>
    </row>
    <row r="5595" ht="22.5" customHeight="1">
      <c r="B5595" s="42" t="str">
        <f>IFERROR(__xludf.DUMMYFUNCTION("""COMPUTED_VALUE"""),"K/7/080725/1")</f>
        <v>K/7/080725/1</v>
      </c>
      <c r="C5595" s="42" t="str">
        <f>IFERROR(__xludf.DUMMYFUNCTION("""COMPUTED_VALUE"""),"M. 1390/ Gunung Sulah")</f>
        <v>M. 1390/ Gunung Sulah</v>
      </c>
      <c r="D5595" s="42" t="str">
        <f>IFERROR(__xludf.DUMMYFUNCTION("""COMPUTED_VALUE"""),"Berry")</f>
        <v>Berry</v>
      </c>
      <c r="E5595" s="42" t="str">
        <f>IFERROR(__xludf.DUMMYFUNCTION("""COMPUTED_VALUE"""),"DISERAHKAN")</f>
        <v>DISERAHKAN</v>
      </c>
      <c r="F5595" s="48">
        <f>IFERROR(__xludf.DUMMYFUNCTION("""COMPUTED_VALUE"""),45852.62688328704)</f>
        <v>45852.62688</v>
      </c>
      <c r="G5595" s="42" t="str">
        <f>IFERROR(__xludf.DUMMYFUNCTION("""COMPUTED_VALUE"""),"BN JUAL BELI")</f>
        <v>BN JUAL BELI</v>
      </c>
      <c r="H5595" s="42">
        <f t="shared" si="1"/>
        <v>2499</v>
      </c>
    </row>
    <row r="5596" ht="22.5" customHeight="1">
      <c r="B5596" s="42" t="str">
        <f>IFERROR(__xludf.DUMMYFUNCTION("""COMPUTED_VALUE"""),"K/8/080725/1")</f>
        <v>K/8/080725/1</v>
      </c>
      <c r="C5596" s="42" t="str">
        <f>IFERROR(__xludf.DUMMYFUNCTION("""COMPUTED_VALUE"""),"M. 3661/ Sukadanaham")</f>
        <v>M. 3661/ Sukadanaham</v>
      </c>
      <c r="D5596" s="42"/>
      <c r="E5596" s="42"/>
      <c r="F5596" s="48" t="str">
        <f>IFERROR(__xludf.DUMMYFUNCTION("""COMPUTED_VALUE"""),"")</f>
        <v/>
      </c>
      <c r="G5596" s="42" t="str">
        <f>IFERROR(__xludf.DUMMYFUNCTION("""COMPUTED_VALUE"""),"SKPT LELANG")</f>
        <v>SKPT LELANG</v>
      </c>
      <c r="H5596" s="42">
        <f t="shared" si="1"/>
        <v>2499</v>
      </c>
    </row>
    <row r="5597" ht="22.5" customHeight="1">
      <c r="B5597" s="42" t="str">
        <f>IFERROR(__xludf.DUMMYFUNCTION("""COMPUTED_VALUE"""),"K/9/080725/1")</f>
        <v>K/9/080725/1</v>
      </c>
      <c r="C5597" s="42" t="str">
        <f>IFERROR(__xludf.DUMMYFUNCTION("""COMPUTED_VALUE"""),"M. 105/ Sepang Jaya")</f>
        <v>M. 105/ Sepang Jaya</v>
      </c>
      <c r="D5597" s="42"/>
      <c r="E5597" s="42"/>
      <c r="F5597" s="48" t="str">
        <f>IFERROR(__xludf.DUMMYFUNCTION("""COMPUTED_VALUE"""),"")</f>
        <v/>
      </c>
      <c r="G5597" s="42" t="str">
        <f>IFERROR(__xludf.DUMMYFUNCTION("""COMPUTED_VALUE"""),"SKPT Lelang")</f>
        <v>SKPT Lelang</v>
      </c>
      <c r="H5597" s="42">
        <f t="shared" si="1"/>
        <v>2499</v>
      </c>
    </row>
    <row r="5598" ht="22.5" customHeight="1">
      <c r="B5598" s="42" t="str">
        <f>IFERROR(__xludf.DUMMYFUNCTION("""COMPUTED_VALUE"""),"L/11/080725/1")</f>
        <v>L/11/080725/1</v>
      </c>
      <c r="C5598" s="42" t="str">
        <f>IFERROR(__xludf.DUMMYFUNCTION("""COMPUTED_VALUE"""),"HGB 5643/BERINGIN RAYA")</f>
        <v>HGB 5643/BERINGIN RAYA</v>
      </c>
      <c r="D5598" s="42"/>
      <c r="E5598" s="42"/>
      <c r="F5598" s="48" t="str">
        <f>IFERROR(__xludf.DUMMYFUNCTION("""COMPUTED_VALUE"""),"")</f>
        <v/>
      </c>
      <c r="G5598" s="42" t="str">
        <f>IFERROR(__xludf.DUMMYFUNCTION("""COMPUTED_VALUE"""),"PH")</f>
        <v>PH</v>
      </c>
      <c r="H5598" s="42">
        <f t="shared" si="1"/>
        <v>2499</v>
      </c>
    </row>
    <row r="5599" ht="22.5" customHeight="1">
      <c r="B5599" s="42" t="str">
        <f>IFERROR(__xludf.DUMMYFUNCTION("""COMPUTED_VALUE"""),"L/12/080725/1")</f>
        <v>L/12/080725/1</v>
      </c>
      <c r="C5599" s="42" t="str">
        <f>IFERROR(__xludf.DUMMYFUNCTION("""COMPUTED_VALUE"""),"HM 2676/SUKADANA HAM")</f>
        <v>HM 2676/SUKADANA HAM</v>
      </c>
      <c r="D5599" s="42" t="str">
        <f>IFERROR(__xludf.DUMMYFUNCTION("""COMPUTED_VALUE"""),"Berry")</f>
        <v>Berry</v>
      </c>
      <c r="E5599" s="42" t="str">
        <f>IFERROR(__xludf.DUMMYFUNCTION("""COMPUTED_VALUE"""),"DISERAHKAN")</f>
        <v>DISERAHKAN</v>
      </c>
      <c r="F5599" s="48">
        <f>IFERROR(__xludf.DUMMYFUNCTION("""COMPUTED_VALUE"""),45863.607861400465)</f>
        <v>45863.60786</v>
      </c>
      <c r="G5599" s="42" t="str">
        <f>IFERROR(__xludf.DUMMYFUNCTION("""COMPUTED_VALUE"""),"ROYA")</f>
        <v>ROYA</v>
      </c>
      <c r="H5599" s="42">
        <f t="shared" si="1"/>
        <v>2500</v>
      </c>
    </row>
    <row r="5600" ht="22.5" customHeight="1">
      <c r="B5600" s="42" t="str">
        <f>IFERROR(__xludf.DUMMYFUNCTION("""COMPUTED_VALUE"""),"K/13/080725/1")</f>
        <v>K/13/080725/1</v>
      </c>
      <c r="C5600" s="42" t="str">
        <f>IFERROR(__xludf.DUMMYFUNCTION("""COMPUTED_VALUE"""),"M. 2535/ Pinang Jaya")</f>
        <v>M. 2535/ Pinang Jaya</v>
      </c>
      <c r="D5600" s="42" t="str">
        <f>IFERROR(__xludf.DUMMYFUNCTION("""COMPUTED_VALUE"""),"Berry")</f>
        <v>Berry</v>
      </c>
      <c r="E5600" s="42" t="str">
        <f>IFERROR(__xludf.DUMMYFUNCTION("""COMPUTED_VALUE"""),"DISERAHKAN")</f>
        <v>DISERAHKAN</v>
      </c>
      <c r="F5600" s="48">
        <f>IFERROR(__xludf.DUMMYFUNCTION("""COMPUTED_VALUE"""),45860.65939260417)</f>
        <v>45860.65939</v>
      </c>
      <c r="G5600" s="42" t="str">
        <f>IFERROR(__xludf.DUMMYFUNCTION("""COMPUTED_VALUE"""),"BN Jual Beli")</f>
        <v>BN Jual Beli</v>
      </c>
      <c r="H5600" s="42">
        <f t="shared" si="1"/>
        <v>2501</v>
      </c>
    </row>
    <row r="5601" ht="22.5" customHeight="1">
      <c r="B5601" s="42" t="str">
        <f>IFERROR(__xludf.DUMMYFUNCTION("""COMPUTED_VALUE"""),"K/14/080725/1")</f>
        <v>K/14/080725/1</v>
      </c>
      <c r="C5601" s="42" t="str">
        <f>IFERROR(__xludf.DUMMYFUNCTION("""COMPUTED_VALUE"""),"M.271/GULAK GALIK")</f>
        <v>M.271/GULAK GALIK</v>
      </c>
      <c r="D5601" s="42"/>
      <c r="E5601" s="42"/>
      <c r="F5601" s="48" t="str">
        <f>IFERROR(__xludf.DUMMYFUNCTION("""COMPUTED_VALUE"""),"")</f>
        <v/>
      </c>
      <c r="G5601" s="42" t="str">
        <f>IFERROR(__xludf.DUMMYFUNCTION("""COMPUTED_VALUE"""),"BN JUAL BELI")</f>
        <v>BN JUAL BELI</v>
      </c>
      <c r="H5601" s="42">
        <f t="shared" si="1"/>
        <v>2501</v>
      </c>
    </row>
    <row r="5602" ht="22.5" customHeight="1">
      <c r="B5602" s="42" t="str">
        <f>IFERROR(__xludf.DUMMYFUNCTION("""COMPUTED_VALUE"""),"K/15/080725/1")</f>
        <v>K/15/080725/1</v>
      </c>
      <c r="C5602" s="42" t="str">
        <f>IFERROR(__xludf.DUMMYFUNCTION("""COMPUTED_VALUE"""),"Sporadik A. Rasyid Ridho/ Gulak Galik")</f>
        <v>Sporadik A. Rasyid Ridho/ Gulak Galik</v>
      </c>
      <c r="D5602" s="42"/>
      <c r="E5602" s="42"/>
      <c r="F5602" s="48" t="str">
        <f>IFERROR(__xludf.DUMMYFUNCTION("""COMPUTED_VALUE"""),"")</f>
        <v/>
      </c>
      <c r="G5602" s="42" t="str">
        <f>IFERROR(__xludf.DUMMYFUNCTION("""COMPUTED_VALUE"""),"Pertama Kali")</f>
        <v>Pertama Kali</v>
      </c>
      <c r="H5602" s="42">
        <f t="shared" si="1"/>
        <v>2501</v>
      </c>
    </row>
    <row r="5603" ht="22.5" customHeight="1">
      <c r="B5603" s="42" t="str">
        <f>IFERROR(__xludf.DUMMYFUNCTION("""COMPUTED_VALUE"""),"K/10/080725/1")</f>
        <v>K/10/080725/1</v>
      </c>
      <c r="C5603" s="42" t="str">
        <f>IFERROR(__xludf.DUMMYFUNCTION("""COMPUTED_VALUE"""),"M.1068/TANJUNGKARANG")</f>
        <v>M.1068/TANJUNGKARANG</v>
      </c>
      <c r="D5603" s="42" t="str">
        <f>IFERROR(__xludf.DUMMYFUNCTION("""COMPUTED_VALUE"""),"Berry")</f>
        <v>Berry</v>
      </c>
      <c r="E5603" s="42" t="str">
        <f>IFERROR(__xludf.DUMMYFUNCTION("""COMPUTED_VALUE"""),"DISERAHKAN")</f>
        <v>DISERAHKAN</v>
      </c>
      <c r="F5603" s="48">
        <f>IFERROR(__xludf.DUMMYFUNCTION("""COMPUTED_VALUE"""),45852.632100625)</f>
        <v>45852.6321</v>
      </c>
      <c r="G5603" s="42" t="str">
        <f>IFERROR(__xludf.DUMMYFUNCTION("""COMPUTED_VALUE"""),"HIBAH")</f>
        <v>HIBAH</v>
      </c>
      <c r="H5603" s="42">
        <f t="shared" si="1"/>
        <v>2502</v>
      </c>
    </row>
    <row r="5604" ht="22.5" customHeight="1">
      <c r="B5604" s="42" t="str">
        <f>IFERROR(__xludf.DUMMYFUNCTION("""COMPUTED_VALUE"""),"K/16/080725/1")</f>
        <v>K/16/080725/1</v>
      </c>
      <c r="C5604" s="42" t="str">
        <f>IFERROR(__xludf.DUMMYFUNCTION("""COMPUTED_VALUE"""),"M. 11620/ Tanjung Baru")</f>
        <v>M. 11620/ Tanjung Baru</v>
      </c>
      <c r="D5604" s="42" t="str">
        <f>IFERROR(__xludf.DUMMYFUNCTION("""COMPUTED_VALUE"""),"Berry")</f>
        <v>Berry</v>
      </c>
      <c r="E5604" s="42" t="str">
        <f>IFERROR(__xludf.DUMMYFUNCTION("""COMPUTED_VALUE"""),"DISERAHKAN")</f>
        <v>DISERAHKAN</v>
      </c>
      <c r="F5604" s="48">
        <f>IFERROR(__xludf.DUMMYFUNCTION("""COMPUTED_VALUE"""),45863.60797149305)</f>
        <v>45863.60797</v>
      </c>
      <c r="G5604" s="42" t="str">
        <f>IFERROR(__xludf.DUMMYFUNCTION("""COMPUTED_VALUE"""),"ROYA")</f>
        <v>ROYA</v>
      </c>
      <c r="H5604" s="42">
        <f t="shared" si="1"/>
        <v>2503</v>
      </c>
    </row>
    <row r="5605" ht="22.5" customHeight="1">
      <c r="B5605" s="42" t="str">
        <f>IFERROR(__xludf.DUMMYFUNCTION("""COMPUTED_VALUE"""),"K/17/080725/1")</f>
        <v>K/17/080725/1</v>
      </c>
      <c r="C5605" s="42" t="str">
        <f>IFERROR(__xludf.DUMMYFUNCTION("""COMPUTED_VALUE"""),"M. 13770/SUKABUMI")</f>
        <v>M. 13770/SUKABUMI</v>
      </c>
      <c r="D5605" s="42"/>
      <c r="E5605" s="42"/>
      <c r="F5605" s="48" t="str">
        <f>IFERROR(__xludf.DUMMYFUNCTION("""COMPUTED_VALUE"""),"")</f>
        <v/>
      </c>
      <c r="G5605" s="42" t="str">
        <f>IFERROR(__xludf.DUMMYFUNCTION("""COMPUTED_VALUE"""),"BN JUAL BELI")</f>
        <v>BN JUAL BELI</v>
      </c>
      <c r="H5605" s="42">
        <f t="shared" si="1"/>
        <v>2503</v>
      </c>
    </row>
    <row r="5606" ht="22.5" customHeight="1">
      <c r="B5606" s="42" t="str">
        <f>IFERROR(__xludf.DUMMYFUNCTION("""COMPUTED_VALUE"""),"K/18/080725/1")</f>
        <v>K/18/080725/1</v>
      </c>
      <c r="C5606" s="42" t="str">
        <f>IFERROR(__xludf.DUMMYFUNCTION("""COMPUTED_VALUE"""),"M. 1398/ Rajabasa Pemuka")</f>
        <v>M. 1398/ Rajabasa Pemuka</v>
      </c>
      <c r="D5606" s="42" t="str">
        <f>IFERROR(__xludf.DUMMYFUNCTION("""COMPUTED_VALUE"""),"Berry")</f>
        <v>Berry</v>
      </c>
      <c r="E5606" s="42" t="str">
        <f>IFERROR(__xludf.DUMMYFUNCTION("""COMPUTED_VALUE"""),"DISERAHKAN")</f>
        <v>DISERAHKAN</v>
      </c>
      <c r="F5606" s="48">
        <f>IFERROR(__xludf.DUMMYFUNCTION("""COMPUTED_VALUE"""),45860.661148263884)</f>
        <v>45860.66115</v>
      </c>
      <c r="G5606" s="42" t="str">
        <f>IFERROR(__xludf.DUMMYFUNCTION("""COMPUTED_VALUE"""),"BN Jual Beli")</f>
        <v>BN Jual Beli</v>
      </c>
      <c r="H5606" s="42">
        <f t="shared" si="1"/>
        <v>2504</v>
      </c>
    </row>
    <row r="5607" ht="22.5" customHeight="1">
      <c r="B5607" s="42" t="str">
        <f>IFERROR(__xludf.DUMMYFUNCTION("""COMPUTED_VALUE"""),"K/19/080725/2")</f>
        <v>K/19/080725/2</v>
      </c>
      <c r="C5607" s="42" t="str">
        <f>IFERROR(__xludf.DUMMYFUNCTION("""COMPUTED_VALUE"""),"M. 1058/ Rajabasa Pemuka")</f>
        <v>M. 1058/ Rajabasa Pemuka</v>
      </c>
      <c r="D5607" s="42" t="str">
        <f>IFERROR(__xludf.DUMMYFUNCTION("""COMPUTED_VALUE"""),"Berry")</f>
        <v>Berry</v>
      </c>
      <c r="E5607" s="42" t="str">
        <f>IFERROR(__xludf.DUMMYFUNCTION("""COMPUTED_VALUE"""),"DISERAHKAN")</f>
        <v>DISERAHKAN</v>
      </c>
      <c r="F5607" s="48">
        <f>IFERROR(__xludf.DUMMYFUNCTION("""COMPUTED_VALUE"""),45853.72106545139)</f>
        <v>45853.72107</v>
      </c>
      <c r="G5607" s="42" t="str">
        <f>IFERROR(__xludf.DUMMYFUNCTION("""COMPUTED_VALUE"""),"BN Jual Beli")</f>
        <v>BN Jual Beli</v>
      </c>
      <c r="H5607" s="42">
        <f t="shared" si="1"/>
        <v>2505</v>
      </c>
    </row>
    <row r="5608" ht="22.5" customHeight="1">
      <c r="B5608" s="42" t="str">
        <f>IFERROR(__xludf.DUMMYFUNCTION("""COMPUTED_VALUE"""),"K/20/080725/3")</f>
        <v>K/20/080725/3</v>
      </c>
      <c r="C5608" s="42" t="str">
        <f>IFERROR(__xludf.DUMMYFUNCTION("""COMPUTED_VALUE"""),"M. 1399/ Rajabasa Pemuka")</f>
        <v>M. 1399/ Rajabasa Pemuka</v>
      </c>
      <c r="D5608" s="42" t="str">
        <f>IFERROR(__xludf.DUMMYFUNCTION("""COMPUTED_VALUE"""),"Berry")</f>
        <v>Berry</v>
      </c>
      <c r="E5608" s="42" t="str">
        <f>IFERROR(__xludf.DUMMYFUNCTION("""COMPUTED_VALUE"""),"DISERAHKAN")</f>
        <v>DISERAHKAN</v>
      </c>
      <c r="F5608" s="48">
        <f>IFERROR(__xludf.DUMMYFUNCTION("""COMPUTED_VALUE"""),45938.486979629626)</f>
        <v>45938.48698</v>
      </c>
      <c r="G5608" s="42" t="str">
        <f>IFERROR(__xludf.DUMMYFUNCTION("""COMPUTED_VALUE"""),"BN Jual Beli")</f>
        <v>BN Jual Beli</v>
      </c>
      <c r="H5608" s="42">
        <f t="shared" si="1"/>
        <v>2506</v>
      </c>
    </row>
    <row r="5609" ht="22.5" customHeight="1">
      <c r="B5609" s="42" t="str">
        <f>IFERROR(__xludf.DUMMYFUNCTION("""COMPUTED_VALUE"""),"K/22/080725/1")</f>
        <v>K/22/080725/1</v>
      </c>
      <c r="C5609" s="42" t="str">
        <f>IFERROR(__xludf.DUMMYFUNCTION("""COMPUTED_VALUE"""),"Nibel 16737/ Rajabasa Jaya")</f>
        <v>Nibel 16737/ Rajabasa Jaya</v>
      </c>
      <c r="D5609" s="42"/>
      <c r="E5609" s="42"/>
      <c r="F5609" s="48" t="str">
        <f>IFERROR(__xludf.DUMMYFUNCTION("""COMPUTED_VALUE"""),"")</f>
        <v/>
      </c>
      <c r="G5609" s="42" t="str">
        <f>IFERROR(__xludf.DUMMYFUNCTION("""COMPUTED_VALUE"""),"BN JUAL BELI")</f>
        <v>BN JUAL BELI</v>
      </c>
      <c r="H5609" s="42">
        <f t="shared" si="1"/>
        <v>2506</v>
      </c>
    </row>
    <row r="5610" ht="22.5" customHeight="1">
      <c r="B5610" s="42" t="str">
        <f>IFERROR(__xludf.DUMMYFUNCTION("""COMPUTED_VALUE"""),"K/23/080725/2")</f>
        <v>K/23/080725/2</v>
      </c>
      <c r="C5610" s="42" t="str">
        <f>IFERROR(__xludf.DUMMYFUNCTION("""COMPUTED_VALUE"""),"B. 27/ Kampung Baru")</f>
        <v>B. 27/ Kampung Baru</v>
      </c>
      <c r="D5610" s="42"/>
      <c r="E5610" s="42"/>
      <c r="F5610" s="48" t="str">
        <f>IFERROR(__xludf.DUMMYFUNCTION("""COMPUTED_VALUE"""),"")</f>
        <v/>
      </c>
      <c r="G5610" s="42" t="str">
        <f>IFERROR(__xludf.DUMMYFUNCTION("""COMPUTED_VALUE"""),"PERUBAHN HAK")</f>
        <v>PERUBAHN HAK</v>
      </c>
      <c r="H5610" s="42">
        <f t="shared" si="1"/>
        <v>2506</v>
      </c>
    </row>
    <row r="5611" ht="22.5" customHeight="1">
      <c r="B5611" s="42" t="str">
        <f>IFERROR(__xludf.DUMMYFUNCTION("""COMPUTED_VALUE"""),"K/24/080725/3")</f>
        <v>K/24/080725/3</v>
      </c>
      <c r="C5611" s="42" t="str">
        <f>IFERROR(__xludf.DUMMYFUNCTION("""COMPUTED_VALUE"""),"M. 1710/ Labuhan Dalam")</f>
        <v>M. 1710/ Labuhan Dalam</v>
      </c>
      <c r="D5611" s="42"/>
      <c r="E5611" s="42"/>
      <c r="F5611" s="48" t="str">
        <f>IFERROR(__xludf.DUMMYFUNCTION("""COMPUTED_VALUE"""),"")</f>
        <v/>
      </c>
      <c r="G5611" s="42" t="str">
        <f>IFERROR(__xludf.DUMMYFUNCTION("""COMPUTED_VALUE"""),"BN JUAL BELI")</f>
        <v>BN JUAL BELI</v>
      </c>
      <c r="H5611" s="42">
        <f t="shared" si="1"/>
        <v>2506</v>
      </c>
    </row>
    <row r="5612" ht="22.5" customHeight="1">
      <c r="B5612" s="42" t="str">
        <f>IFERROR(__xludf.DUMMYFUNCTION("""COMPUTED_VALUE"""),"L/25/080725/1")</f>
        <v>L/25/080725/1</v>
      </c>
      <c r="C5612" s="42" t="str">
        <f>IFERROR(__xludf.DUMMYFUNCTION("""COMPUTED_VALUE"""),"HM 1507/BUMI KEDAMAIAN")</f>
        <v>HM 1507/BUMI KEDAMAIAN</v>
      </c>
      <c r="D5612" s="42"/>
      <c r="E5612" s="42"/>
      <c r="F5612" s="48" t="str">
        <f>IFERROR(__xludf.DUMMYFUNCTION("""COMPUTED_VALUE"""),"")</f>
        <v/>
      </c>
      <c r="G5612" s="42" t="str">
        <f>IFERROR(__xludf.DUMMYFUNCTION("""COMPUTED_VALUE"""),"PEMECAHAN")</f>
        <v>PEMECAHAN</v>
      </c>
      <c r="H5612" s="42">
        <f t="shared" si="1"/>
        <v>2506</v>
      </c>
    </row>
    <row r="5613" ht="22.5" customHeight="1">
      <c r="B5613" s="42" t="str">
        <f>IFERROR(__xludf.DUMMYFUNCTION("""COMPUTED_VALUE"""),"K/26/080725/1")</f>
        <v>K/26/080725/1</v>
      </c>
      <c r="C5613" s="42" t="str">
        <f>IFERROR(__xludf.DUMMYFUNCTION("""COMPUTED_VALUE"""),"Nibel. B. 19467/ Pasir Gintung")</f>
        <v>Nibel. B. 19467/ Pasir Gintung</v>
      </c>
      <c r="D5613" s="42"/>
      <c r="E5613" s="42"/>
      <c r="F5613" s="48" t="str">
        <f>IFERROR(__xludf.DUMMYFUNCTION("""COMPUTED_VALUE"""),"")</f>
        <v/>
      </c>
      <c r="G5613" s="42" t="str">
        <f>IFERROR(__xludf.DUMMYFUNCTION("""COMPUTED_VALUE"""),"BN Jual Beli")</f>
        <v>BN Jual Beli</v>
      </c>
      <c r="H5613" s="42">
        <f t="shared" si="1"/>
        <v>2506</v>
      </c>
    </row>
    <row r="5614" ht="22.5" customHeight="1">
      <c r="B5614" s="42" t="str">
        <f>IFERROR(__xludf.DUMMYFUNCTION("""COMPUTED_VALUE"""),"L/29/080725/1")</f>
        <v>L/29/080725/1</v>
      </c>
      <c r="C5614" s="42" t="str">
        <f>IFERROR(__xludf.DUMMYFUNCTION("""COMPUTED_VALUE"""),"NIB 21398/NUSANTARA PERMAI")</f>
        <v>NIB 21398/NUSANTARA PERMAI</v>
      </c>
      <c r="D5614" s="42"/>
      <c r="E5614" s="42"/>
      <c r="F5614" s="48" t="str">
        <f>IFERROR(__xludf.DUMMYFUNCTION("""COMPUTED_VALUE"""),"")</f>
        <v/>
      </c>
      <c r="G5614" s="42" t="str">
        <f>IFERROR(__xludf.DUMMYFUNCTION("""COMPUTED_VALUE"""),"PH")</f>
        <v>PH</v>
      </c>
      <c r="H5614" s="42">
        <f t="shared" si="1"/>
        <v>2506</v>
      </c>
    </row>
    <row r="5615" ht="22.5" customHeight="1">
      <c r="B5615" s="42" t="str">
        <f>IFERROR(__xludf.DUMMYFUNCTION("""COMPUTED_VALUE"""),"K/27/080725/1")</f>
        <v>K/27/080725/1</v>
      </c>
      <c r="C5615" s="42" t="str">
        <f>IFERROR(__xludf.DUMMYFUNCTION("""COMPUTED_VALUE"""),"M. 3689/NUSANTARA PERMAI")</f>
        <v>M. 3689/NUSANTARA PERMAI</v>
      </c>
      <c r="D5615" s="42" t="str">
        <f>IFERROR(__xludf.DUMMYFUNCTION("""COMPUTED_VALUE"""),"Berry")</f>
        <v>Berry</v>
      </c>
      <c r="E5615" s="42" t="str">
        <f>IFERROR(__xludf.DUMMYFUNCTION("""COMPUTED_VALUE"""),"DISERAHKAN")</f>
        <v>DISERAHKAN</v>
      </c>
      <c r="F5615" s="48">
        <f>IFERROR(__xludf.DUMMYFUNCTION("""COMPUTED_VALUE"""),45861.617780810186)</f>
        <v>45861.61778</v>
      </c>
      <c r="G5615" s="42" t="str">
        <f>IFERROR(__xludf.DUMMYFUNCTION("""COMPUTED_VALUE"""),"BN JUAL BELI")</f>
        <v>BN JUAL BELI</v>
      </c>
      <c r="H5615" s="42">
        <f t="shared" si="1"/>
        <v>2507</v>
      </c>
    </row>
    <row r="5616" ht="22.5" customHeight="1">
      <c r="B5616" s="42" t="str">
        <f>IFERROR(__xludf.DUMMYFUNCTION("""COMPUTED_VALUE"""),"K/28/080725/1")</f>
        <v>K/28/080725/1</v>
      </c>
      <c r="C5616" s="42" t="str">
        <f>IFERROR(__xludf.DUMMYFUNCTION("""COMPUTED_VALUE"""),"Nibel. M. 18182/ Gunung Terang")</f>
        <v>Nibel. M. 18182/ Gunung Terang</v>
      </c>
      <c r="D5616" s="42"/>
      <c r="E5616" s="42"/>
      <c r="F5616" s="48" t="str">
        <f>IFERROR(__xludf.DUMMYFUNCTION("""COMPUTED_VALUE"""),"")</f>
        <v/>
      </c>
      <c r="G5616" s="42" t="str">
        <f>IFERROR(__xludf.DUMMYFUNCTION("""COMPUTED_VALUE"""),"BN Jual Beli")</f>
        <v>BN Jual Beli</v>
      </c>
      <c r="H5616" s="42">
        <f t="shared" si="1"/>
        <v>2507</v>
      </c>
    </row>
    <row r="5617" ht="22.5" customHeight="1">
      <c r="B5617" s="42" t="str">
        <f>IFERROR(__xludf.DUMMYFUNCTION("""COMPUTED_VALUE"""),"K/30/080725/1")</f>
        <v>K/30/080725/1</v>
      </c>
      <c r="C5617" s="42" t="str">
        <f>IFERROR(__xludf.DUMMYFUNCTION("""COMPUTED_VALUE"""),"M. 9659/KEDAMAIAN")</f>
        <v>M. 9659/KEDAMAIAN</v>
      </c>
      <c r="D5617" s="42" t="str">
        <f>IFERROR(__xludf.DUMMYFUNCTION("""COMPUTED_VALUE"""),"Berry")</f>
        <v>Berry</v>
      </c>
      <c r="E5617" s="42" t="str">
        <f>IFERROR(__xludf.DUMMYFUNCTION("""COMPUTED_VALUE"""),"DISERAHKAN")</f>
        <v>DISERAHKAN</v>
      </c>
      <c r="F5617" s="48">
        <f>IFERROR(__xludf.DUMMYFUNCTION("""COMPUTED_VALUE"""),45856.53098202546)</f>
        <v>45856.53098</v>
      </c>
      <c r="G5617" s="42" t="str">
        <f>IFERROR(__xludf.DUMMYFUNCTION("""COMPUTED_VALUE"""),"GANTI NAMA")</f>
        <v>GANTI NAMA</v>
      </c>
      <c r="H5617" s="42">
        <f t="shared" si="1"/>
        <v>2508</v>
      </c>
    </row>
    <row r="5618" ht="22.5" customHeight="1">
      <c r="B5618" s="42" t="str">
        <f>IFERROR(__xludf.DUMMYFUNCTION("""COMPUTED_VALUE"""),"K/31/080725/1")</f>
        <v>K/31/080725/1</v>
      </c>
      <c r="C5618" s="42" t="str">
        <f>IFERROR(__xludf.DUMMYFUNCTION("""COMPUTED_VALUE"""),"M. 1865/ Tanjung Seneng")</f>
        <v>M. 1865/ Tanjung Seneng</v>
      </c>
      <c r="D5618" s="42" t="str">
        <f>IFERROR(__xludf.DUMMYFUNCTION("""COMPUTED_VALUE"""),"Berry")</f>
        <v>Berry</v>
      </c>
      <c r="E5618" s="42" t="str">
        <f>IFERROR(__xludf.DUMMYFUNCTION("""COMPUTED_VALUE"""),"DISERAHKAN")</f>
        <v>DISERAHKAN</v>
      </c>
      <c r="F5618" s="48">
        <f>IFERROR(__xludf.DUMMYFUNCTION("""COMPUTED_VALUE"""),45915.583130659725)</f>
        <v>45915.58313</v>
      </c>
      <c r="G5618" s="42" t="str">
        <f>IFERROR(__xludf.DUMMYFUNCTION("""COMPUTED_VALUE"""),"BN JUAL BELI")</f>
        <v>BN JUAL BELI</v>
      </c>
      <c r="H5618" s="42">
        <f t="shared" si="1"/>
        <v>2509</v>
      </c>
    </row>
    <row r="5619" ht="22.5" customHeight="1">
      <c r="B5619" s="42" t="str">
        <f>IFERROR(__xludf.DUMMYFUNCTION("""COMPUTED_VALUE"""),"K/32/080725/1")</f>
        <v>K/32/080725/1</v>
      </c>
      <c r="C5619" s="42" t="str">
        <f>IFERROR(__xludf.DUMMYFUNCTION("""COMPUTED_VALUE"""),"M. 16109/ Sukabumi")</f>
        <v>M. 16109/ Sukabumi</v>
      </c>
      <c r="D5619" s="42" t="str">
        <f>IFERROR(__xludf.DUMMYFUNCTION("""COMPUTED_VALUE"""),"David")</f>
        <v>David</v>
      </c>
      <c r="E5619" s="42" t="str">
        <f>IFERROR(__xludf.DUMMYFUNCTION("""COMPUTED_VALUE"""),"DISERAHKAN")</f>
        <v>DISERAHKAN</v>
      </c>
      <c r="F5619" s="48">
        <f>IFERROR(__xludf.DUMMYFUNCTION("""COMPUTED_VALUE"""),45873.62627728009)</f>
        <v>45873.62628</v>
      </c>
      <c r="G5619" s="42" t="str">
        <f>IFERROR(__xludf.DUMMYFUNCTION("""COMPUTED_VALUE"""),"BN Jual Beli")</f>
        <v>BN Jual Beli</v>
      </c>
      <c r="H5619" s="42">
        <f t="shared" si="1"/>
        <v>2510</v>
      </c>
    </row>
    <row r="5620" ht="22.5" customHeight="1">
      <c r="B5620" s="42" t="str">
        <f>IFERROR(__xludf.DUMMYFUNCTION("""COMPUTED_VALUE"""),"K/33/080725/2")</f>
        <v>K/33/080725/2</v>
      </c>
      <c r="C5620" s="42" t="str">
        <f>IFERROR(__xludf.DUMMYFUNCTION("""COMPUTED_VALUE"""),"Nibel. M. 21275/ Rajabasa Jaya")</f>
        <v>Nibel. M. 21275/ Rajabasa Jaya</v>
      </c>
      <c r="D5620" s="42"/>
      <c r="E5620" s="42"/>
      <c r="F5620" s="48" t="str">
        <f>IFERROR(__xludf.DUMMYFUNCTION("""COMPUTED_VALUE"""),"")</f>
        <v/>
      </c>
      <c r="G5620" s="42" t="str">
        <f>IFERROR(__xludf.DUMMYFUNCTION("""COMPUTED_VALUE"""),"BN Jual Beli")</f>
        <v>BN Jual Beli</v>
      </c>
      <c r="H5620" s="42">
        <f t="shared" si="1"/>
        <v>2510</v>
      </c>
    </row>
    <row r="5621" ht="22.5" customHeight="1">
      <c r="B5621" s="42" t="str">
        <f>IFERROR(__xludf.DUMMYFUNCTION("""COMPUTED_VALUE"""),"K/34/080725/3")</f>
        <v>K/34/080725/3</v>
      </c>
      <c r="C5621" s="42" t="str">
        <f>IFERROR(__xludf.DUMMYFUNCTION("""COMPUTED_VALUE"""),"Nibel. M. 12746/ Rajabasa Jaya")</f>
        <v>Nibel. M. 12746/ Rajabasa Jaya</v>
      </c>
      <c r="D5621" s="42"/>
      <c r="E5621" s="42"/>
      <c r="F5621" s="48" t="str">
        <f>IFERROR(__xludf.DUMMYFUNCTION("""COMPUTED_VALUE"""),"")</f>
        <v/>
      </c>
      <c r="G5621" s="42" t="str">
        <f>IFERROR(__xludf.DUMMYFUNCTION("""COMPUTED_VALUE"""),"BN Jual Beli")</f>
        <v>BN Jual Beli</v>
      </c>
      <c r="H5621" s="42">
        <f t="shared" si="1"/>
        <v>2510</v>
      </c>
    </row>
    <row r="5622" ht="22.5" customHeight="1">
      <c r="B5622" s="42" t="str">
        <f>IFERROR(__xludf.DUMMYFUNCTION("""COMPUTED_VALUE"""),"K/35/080725/1")</f>
        <v>K/35/080725/1</v>
      </c>
      <c r="C5622" s="42" t="str">
        <f>IFERROR(__xludf.DUMMYFUNCTION("""COMPUTED_VALUE"""),"SK 273/HGB/BPN.08.71/VII/2025")</f>
        <v>SK 273/HGB/BPN.08.71/VII/2025</v>
      </c>
      <c r="D5622" s="42"/>
      <c r="E5622" s="42"/>
      <c r="F5622" s="48" t="str">
        <f>IFERROR(__xludf.DUMMYFUNCTION("""COMPUTED_VALUE"""),"")</f>
        <v/>
      </c>
      <c r="G5622" s="42" t="str">
        <f>IFERROR(__xludf.DUMMYFUNCTION("""COMPUTED_VALUE"""),"PENDAFTARAN SK")</f>
        <v>PENDAFTARAN SK</v>
      </c>
      <c r="H5622" s="42">
        <f t="shared" si="1"/>
        <v>2510</v>
      </c>
    </row>
    <row r="5623" ht="22.5" customHeight="1">
      <c r="B5623" s="42" t="str">
        <f>IFERROR(__xludf.DUMMYFUNCTION("""COMPUTED_VALUE"""),"L/37/080725/1")</f>
        <v>L/37/080725/1</v>
      </c>
      <c r="C5623" s="42" t="str">
        <f>IFERROR(__xludf.DUMMYFUNCTION("""COMPUTED_VALUE"""),"HGB 1369/PINANG JAYA")</f>
        <v>HGB 1369/PINANG JAYA</v>
      </c>
      <c r="D5623" s="42" t="str">
        <f>IFERROR(__xludf.DUMMYFUNCTION("""COMPUTED_VALUE"""),"Berry")</f>
        <v>Berry</v>
      </c>
      <c r="E5623" s="42" t="str">
        <f>IFERROR(__xludf.DUMMYFUNCTION("""COMPUTED_VALUE"""),"DISERAHKAN")</f>
        <v>DISERAHKAN</v>
      </c>
      <c r="F5623" s="48">
        <f>IFERROR(__xludf.DUMMYFUNCTION("""COMPUTED_VALUE"""),45874.65128443287)</f>
        <v>45874.65128</v>
      </c>
      <c r="G5623" s="42" t="str">
        <f>IFERROR(__xludf.DUMMYFUNCTION("""COMPUTED_VALUE"""),"PH")</f>
        <v>PH</v>
      </c>
      <c r="H5623" s="42">
        <f t="shared" si="1"/>
        <v>2511</v>
      </c>
    </row>
    <row r="5624" ht="22.5" customHeight="1">
      <c r="B5624" s="42" t="str">
        <f>IFERROR(__xludf.DUMMYFUNCTION("""COMPUTED_VALUE"""),"K/21/080725/1")</f>
        <v>K/21/080725/1</v>
      </c>
      <c r="C5624" s="42" t="str">
        <f>IFERROR(__xludf.DUMMYFUNCTION("""COMPUTED_VALUE"""),"NIBEL M 18209/RAJABASA JAYA")</f>
        <v>NIBEL M 18209/RAJABASA JAYA</v>
      </c>
      <c r="D5624" s="42"/>
      <c r="E5624" s="42"/>
      <c r="F5624" s="48" t="str">
        <f>IFERROR(__xludf.DUMMYFUNCTION("""COMPUTED_VALUE"""),"")</f>
        <v/>
      </c>
      <c r="G5624" s="42" t="str">
        <f>IFERROR(__xludf.DUMMYFUNCTION("""COMPUTED_VALUE"""),"JUAL BELI")</f>
        <v>JUAL BELI</v>
      </c>
      <c r="H5624" s="42">
        <f t="shared" si="1"/>
        <v>2511</v>
      </c>
    </row>
    <row r="5625" ht="22.5" customHeight="1">
      <c r="B5625" s="42" t="str">
        <f>IFERROR(__xludf.DUMMYFUNCTION("""COMPUTED_VALUE"""),"K/38/080725/1")</f>
        <v>K/38/080725/1</v>
      </c>
      <c r="C5625" s="42" t="str">
        <f>IFERROR(__xludf.DUMMYFUNCTION("""COMPUTED_VALUE"""),"B.137/SUKARAME I")</f>
        <v>B.137/SUKARAME I</v>
      </c>
      <c r="D5625" s="42" t="str">
        <f>IFERROR(__xludf.DUMMYFUNCTION("""COMPUTED_VALUE"""),"David")</f>
        <v>David</v>
      </c>
      <c r="E5625" s="42" t="str">
        <f>IFERROR(__xludf.DUMMYFUNCTION("""COMPUTED_VALUE"""),"DISERAHKAN")</f>
        <v>DISERAHKAN</v>
      </c>
      <c r="F5625" s="48">
        <f>IFERROR(__xludf.DUMMYFUNCTION("""COMPUTED_VALUE"""),45875.62539615741)</f>
        <v>45875.6254</v>
      </c>
      <c r="G5625" s="42" t="str">
        <f>IFERROR(__xludf.DUMMYFUNCTION("""COMPUTED_VALUE"""),"ROYA")</f>
        <v>ROYA</v>
      </c>
      <c r="H5625" s="42">
        <f t="shared" si="1"/>
        <v>2512</v>
      </c>
    </row>
    <row r="5626" ht="22.5" customHeight="1">
      <c r="B5626" s="42" t="str">
        <f>IFERROR(__xludf.DUMMYFUNCTION("""COMPUTED_VALUE"""),"K/39/080725/1")</f>
        <v>K/39/080725/1</v>
      </c>
      <c r="C5626" s="42" t="str">
        <f>IFERROR(__xludf.DUMMYFUNCTION("""COMPUTED_VALUE"""),"M.1159/KALIAWI")</f>
        <v>M.1159/KALIAWI</v>
      </c>
      <c r="D5626" s="42" t="str">
        <f>IFERROR(__xludf.DUMMYFUNCTION("""COMPUTED_VALUE"""),"Berry")</f>
        <v>Berry</v>
      </c>
      <c r="E5626" s="42" t="str">
        <f>IFERROR(__xludf.DUMMYFUNCTION("""COMPUTED_VALUE"""),"DISERAHKAN")</f>
        <v>DISERAHKAN</v>
      </c>
      <c r="F5626" s="48">
        <f>IFERROR(__xludf.DUMMYFUNCTION("""COMPUTED_VALUE"""),45868.652352812496)</f>
        <v>45868.65235</v>
      </c>
      <c r="G5626" s="42" t="str">
        <f>IFERROR(__xludf.DUMMYFUNCTION("""COMPUTED_VALUE"""),"JUAL BELI")</f>
        <v>JUAL BELI</v>
      </c>
      <c r="H5626" s="42">
        <f t="shared" si="1"/>
        <v>2513</v>
      </c>
    </row>
    <row r="5627" ht="22.5" customHeight="1">
      <c r="B5627" s="42" t="str">
        <f>IFERROR(__xludf.DUMMYFUNCTION("""COMPUTED_VALUE"""),"K/1/090725/1")</f>
        <v>K/1/090725/1</v>
      </c>
      <c r="C5627" s="42" t="str">
        <f>IFERROR(__xludf.DUMMYFUNCTION("""COMPUTED_VALUE"""),"M.483/SUKARAME BARU")</f>
        <v>M.483/SUKARAME BARU</v>
      </c>
      <c r="D5627" s="42" t="str">
        <f>IFERROR(__xludf.DUMMYFUNCTION("""COMPUTED_VALUE"""),"David")</f>
        <v>David</v>
      </c>
      <c r="E5627" s="42" t="str">
        <f>IFERROR(__xludf.DUMMYFUNCTION("""COMPUTED_VALUE"""),"DISERAHKAN")</f>
        <v>DISERAHKAN</v>
      </c>
      <c r="F5627" s="48">
        <f>IFERROR(__xludf.DUMMYFUNCTION("""COMPUTED_VALUE"""),45880.632442581016)</f>
        <v>45880.63244</v>
      </c>
      <c r="G5627" s="42" t="str">
        <f>IFERROR(__xludf.DUMMYFUNCTION("""COMPUTED_VALUE"""),"JUAL BELI")</f>
        <v>JUAL BELI</v>
      </c>
      <c r="H5627" s="42">
        <f t="shared" si="1"/>
        <v>2514</v>
      </c>
    </row>
    <row r="5628" ht="22.5" customHeight="1">
      <c r="B5628" s="42" t="str">
        <f>IFERROR(__xludf.DUMMYFUNCTION("""COMPUTED_VALUE"""),"K/2/090725/1")</f>
        <v>K/2/090725/1</v>
      </c>
      <c r="C5628" s="42" t="str">
        <f>IFERROR(__xludf.DUMMYFUNCTION("""COMPUTED_VALUE"""),"M. 9939/ Segala Mider")</f>
        <v>M. 9939/ Segala Mider</v>
      </c>
      <c r="D5628" s="42"/>
      <c r="E5628" s="42"/>
      <c r="F5628" s="48" t="str">
        <f>IFERROR(__xludf.DUMMYFUNCTION("""COMPUTED_VALUE"""),"")</f>
        <v/>
      </c>
      <c r="G5628" s="42" t="str">
        <f>IFERROR(__xludf.DUMMYFUNCTION("""COMPUTED_VALUE"""),"PEMECAHAN BIDANG")</f>
        <v>PEMECAHAN BIDANG</v>
      </c>
      <c r="H5628" s="42">
        <f t="shared" si="1"/>
        <v>2514</v>
      </c>
    </row>
    <row r="5629" ht="22.5" customHeight="1">
      <c r="B5629" s="42" t="str">
        <f>IFERROR(__xludf.DUMMYFUNCTION("""COMPUTED_VALUE"""),"K/3/090725/1")</f>
        <v>K/3/090725/1</v>
      </c>
      <c r="C5629" s="42" t="str">
        <f>IFERROR(__xludf.DUMMYFUNCTION("""COMPUTED_VALUE"""),"M.577/KORPRI RAYA")</f>
        <v>M.577/KORPRI RAYA</v>
      </c>
      <c r="D5629" s="42" t="str">
        <f>IFERROR(__xludf.DUMMYFUNCTION("""COMPUTED_VALUE"""),"Berry")</f>
        <v>Berry</v>
      </c>
      <c r="E5629" s="42" t="str">
        <f>IFERROR(__xludf.DUMMYFUNCTION("""COMPUTED_VALUE"""),"DISERAHKAN")</f>
        <v>DISERAHKAN</v>
      </c>
      <c r="F5629" s="48">
        <f>IFERROR(__xludf.DUMMYFUNCTION("""COMPUTED_VALUE"""),45867.68325648148)</f>
        <v>45867.68326</v>
      </c>
      <c r="G5629" s="42" t="str">
        <f>IFERROR(__xludf.DUMMYFUNCTION("""COMPUTED_VALUE"""),"JUAL BELI")</f>
        <v>JUAL BELI</v>
      </c>
      <c r="H5629" s="42">
        <f t="shared" si="1"/>
        <v>2515</v>
      </c>
    </row>
    <row r="5630" ht="22.5" customHeight="1">
      <c r="B5630" s="42" t="str">
        <f>IFERROR(__xludf.DUMMYFUNCTION("""COMPUTED_VALUE"""),"K/4/090725/1")</f>
        <v>K/4/090725/1</v>
      </c>
      <c r="C5630" s="42" t="str">
        <f>IFERROR(__xludf.DUMMYFUNCTION("""COMPUTED_VALUE"""),"M. 565/SUKARAME BARU")</f>
        <v>M. 565/SUKARAME BARU</v>
      </c>
      <c r="D5630" s="42" t="str">
        <f>IFERROR(__xludf.DUMMYFUNCTION("""COMPUTED_VALUE"""),"Berry")</f>
        <v>Berry</v>
      </c>
      <c r="E5630" s="42" t="str">
        <f>IFERROR(__xludf.DUMMYFUNCTION("""COMPUTED_VALUE"""),"DISERAHKAN")</f>
        <v>DISERAHKAN</v>
      </c>
      <c r="F5630" s="48">
        <f>IFERROR(__xludf.DUMMYFUNCTION("""COMPUTED_VALUE"""),45863.60775173611)</f>
        <v>45863.60775</v>
      </c>
      <c r="G5630" s="42" t="str">
        <f>IFERROR(__xludf.DUMMYFUNCTION("""COMPUTED_VALUE"""),"ROYA")</f>
        <v>ROYA</v>
      </c>
      <c r="H5630" s="42">
        <f t="shared" si="1"/>
        <v>2516</v>
      </c>
    </row>
    <row r="5631" ht="22.5" customHeight="1">
      <c r="B5631" s="42" t="str">
        <f>IFERROR(__xludf.DUMMYFUNCTION("""COMPUTED_VALUE"""),"K/5/090725/2")</f>
        <v>K/5/090725/2</v>
      </c>
      <c r="C5631" s="42" t="str">
        <f>IFERROR(__xludf.DUMMYFUNCTION("""COMPUTED_VALUE"""),"M. 556/SUKARAME BARU")</f>
        <v>M. 556/SUKARAME BARU</v>
      </c>
      <c r="D5631" s="42" t="str">
        <f>IFERROR(__xludf.DUMMYFUNCTION("""COMPUTED_VALUE"""),"David")</f>
        <v>David</v>
      </c>
      <c r="E5631" s="42" t="str">
        <f>IFERROR(__xludf.DUMMYFUNCTION("""COMPUTED_VALUE"""),"DISERAHKAN")</f>
        <v>DISERAHKAN</v>
      </c>
      <c r="F5631" s="48">
        <f>IFERROR(__xludf.DUMMYFUNCTION("""COMPUTED_VALUE"""),45860.68772903935)</f>
        <v>45860.68773</v>
      </c>
      <c r="G5631" s="42" t="str">
        <f>IFERROR(__xludf.DUMMYFUNCTION("""COMPUTED_VALUE"""),"ROYA")</f>
        <v>ROYA</v>
      </c>
      <c r="H5631" s="42">
        <f t="shared" si="1"/>
        <v>2517</v>
      </c>
    </row>
    <row r="5632" ht="22.5" customHeight="1">
      <c r="B5632" s="42" t="str">
        <f>IFERROR(__xludf.DUMMYFUNCTION("""COMPUTED_VALUE"""),"K/36/080725/1")</f>
        <v>K/36/080725/1</v>
      </c>
      <c r="C5632" s="42" t="str">
        <f>IFERROR(__xludf.DUMMYFUNCTION("""COMPUTED_VALUE"""),"B.2221/ Keteguhan")</f>
        <v>B.2221/ Keteguhan</v>
      </c>
      <c r="D5632" s="42"/>
      <c r="E5632" s="42"/>
      <c r="F5632" s="48" t="str">
        <f>IFERROR(__xludf.DUMMYFUNCTION("""COMPUTED_VALUE"""),"")</f>
        <v/>
      </c>
      <c r="G5632" s="42" t="str">
        <f>IFERROR(__xludf.DUMMYFUNCTION("""COMPUTED_VALUE"""),"Perubahan Hak")</f>
        <v>Perubahan Hak</v>
      </c>
      <c r="H5632" s="42">
        <f t="shared" si="1"/>
        <v>2517</v>
      </c>
    </row>
    <row r="5633" ht="22.5" customHeight="1">
      <c r="B5633" s="42" t="str">
        <f>IFERROR(__xludf.DUMMYFUNCTION("""COMPUTED_VALUE"""),"K/6/090725/1")</f>
        <v>K/6/090725/1</v>
      </c>
      <c r="C5633" s="42" t="str">
        <f>IFERROR(__xludf.DUMMYFUNCTION("""COMPUTED_VALUE"""),"M.2696/SUKARAME BARU")</f>
        <v>M.2696/SUKARAME BARU</v>
      </c>
      <c r="D5633" s="42" t="str">
        <f>IFERROR(__xludf.DUMMYFUNCTION("""COMPUTED_VALUE"""),"Berry")</f>
        <v>Berry</v>
      </c>
      <c r="E5633" s="42" t="str">
        <f>IFERROR(__xludf.DUMMYFUNCTION("""COMPUTED_VALUE"""),"DISERAHKAN")</f>
        <v>DISERAHKAN</v>
      </c>
      <c r="F5633" s="48">
        <f>IFERROR(__xludf.DUMMYFUNCTION("""COMPUTED_VALUE"""),45861.6272084838)</f>
        <v>45861.62721</v>
      </c>
      <c r="G5633" s="42" t="str">
        <f>IFERROR(__xludf.DUMMYFUNCTION("""COMPUTED_VALUE"""),"JUAL BELI")</f>
        <v>JUAL BELI</v>
      </c>
      <c r="H5633" s="42">
        <f t="shared" si="1"/>
        <v>2518</v>
      </c>
    </row>
    <row r="5634" ht="22.5" customHeight="1">
      <c r="B5634" s="42" t="str">
        <f>IFERROR(__xludf.DUMMYFUNCTION("""COMPUTED_VALUE"""),"K/7/090725/1")</f>
        <v>K/7/090725/1</v>
      </c>
      <c r="C5634" s="42" t="str">
        <f>IFERROR(__xludf.DUMMYFUNCTION("""COMPUTED_VALUE"""),"M.1570/WAY GUBAK")</f>
        <v>M.1570/WAY GUBAK</v>
      </c>
      <c r="D5634" s="42"/>
      <c r="E5634" s="42"/>
      <c r="F5634" s="48" t="str">
        <f>IFERROR(__xludf.DUMMYFUNCTION("""COMPUTED_VALUE"""),"")</f>
        <v/>
      </c>
      <c r="G5634" s="42" t="str">
        <f>IFERROR(__xludf.DUMMYFUNCTION("""COMPUTED_VALUE"""),"HAPUS BPHTB")</f>
        <v>HAPUS BPHTB</v>
      </c>
      <c r="H5634" s="42">
        <f t="shared" si="1"/>
        <v>2518</v>
      </c>
    </row>
    <row r="5635" ht="22.5" customHeight="1">
      <c r="B5635" s="42" t="str">
        <f>IFERROR(__xludf.DUMMYFUNCTION("""COMPUTED_VALUE"""),"K/8/090725/2")</f>
        <v>K/8/090725/2</v>
      </c>
      <c r="C5635" s="42" t="str">
        <f>IFERROR(__xludf.DUMMYFUNCTION("""COMPUTED_VALUE"""),"M.1102/SUMBEREJO SEJAHTERA")</f>
        <v>M.1102/SUMBEREJO SEJAHTERA</v>
      </c>
      <c r="D5635" s="42"/>
      <c r="E5635" s="42"/>
      <c r="F5635" s="48" t="str">
        <f>IFERROR(__xludf.DUMMYFUNCTION("""COMPUTED_VALUE"""),"")</f>
        <v/>
      </c>
      <c r="G5635" s="42" t="str">
        <f>IFERROR(__xludf.DUMMYFUNCTION("""COMPUTED_VALUE"""),"HAPUS BPHTB")</f>
        <v>HAPUS BPHTB</v>
      </c>
      <c r="H5635" s="42">
        <f t="shared" si="1"/>
        <v>2518</v>
      </c>
    </row>
    <row r="5636" ht="22.5" customHeight="1">
      <c r="B5636" s="42" t="str">
        <f>IFERROR(__xludf.DUMMYFUNCTION("""COMPUTED_VALUE"""),"K/9/090725/1")</f>
        <v>K/9/090725/1</v>
      </c>
      <c r="C5636" s="42" t="str">
        <f>IFERROR(__xludf.DUMMYFUNCTION("""COMPUTED_VALUE"""),"NIbel 20693/ Kali Balau Kencana")</f>
        <v>NIbel 20693/ Kali Balau Kencana</v>
      </c>
      <c r="D5636" s="42"/>
      <c r="E5636" s="42"/>
      <c r="F5636" s="48" t="str">
        <f>IFERROR(__xludf.DUMMYFUNCTION("""COMPUTED_VALUE"""),"")</f>
        <v/>
      </c>
      <c r="G5636" s="42" t="str">
        <f>IFERROR(__xludf.DUMMYFUNCTION("""COMPUTED_VALUE"""),"BN JUAL BELI")</f>
        <v>BN JUAL BELI</v>
      </c>
      <c r="H5636" s="42">
        <f t="shared" si="1"/>
        <v>2518</v>
      </c>
    </row>
    <row r="5637" ht="22.5" customHeight="1">
      <c r="B5637" s="42" t="str">
        <f>IFERROR(__xludf.DUMMYFUNCTION("""COMPUTED_VALUE"""),"K/10/090725/1")</f>
        <v>K/10/090725/1</v>
      </c>
      <c r="C5637" s="42" t="str">
        <f>IFERROR(__xludf.DUMMYFUNCTION("""COMPUTED_VALUE"""),"M.3651/SURABAYA")</f>
        <v>M.3651/SURABAYA</v>
      </c>
      <c r="D5637" s="42" t="str">
        <f>IFERROR(__xludf.DUMMYFUNCTION("""COMPUTED_VALUE"""),"Berry")</f>
        <v>Berry</v>
      </c>
      <c r="E5637" s="42" t="str">
        <f>IFERROR(__xludf.DUMMYFUNCTION("""COMPUTED_VALUE"""),"DISERAHKAN")</f>
        <v>DISERAHKAN</v>
      </c>
      <c r="F5637" s="48">
        <f>IFERROR(__xludf.DUMMYFUNCTION("""COMPUTED_VALUE"""),45860.66199202546)</f>
        <v>45860.66199</v>
      </c>
      <c r="G5637" s="42" t="str">
        <f>IFERROR(__xludf.DUMMYFUNCTION("""COMPUTED_VALUE"""),"KEWARISAN")</f>
        <v>KEWARISAN</v>
      </c>
      <c r="H5637" s="42">
        <f t="shared" si="1"/>
        <v>2519</v>
      </c>
    </row>
    <row r="5638" ht="22.5" customHeight="1">
      <c r="B5638" s="42" t="str">
        <f>IFERROR(__xludf.DUMMYFUNCTION("""COMPUTED_VALUE"""),"K/11/090725/1")</f>
        <v>K/11/090725/1</v>
      </c>
      <c r="C5638" s="42" t="str">
        <f>IFERROR(__xludf.DUMMYFUNCTION("""COMPUTED_VALUE"""),"M.587/KUPANG RAYA")</f>
        <v>M.587/KUPANG RAYA</v>
      </c>
      <c r="D5638" s="42"/>
      <c r="E5638" s="42"/>
      <c r="F5638" s="48" t="str">
        <f>IFERROR(__xludf.DUMMYFUNCTION("""COMPUTED_VALUE"""),"")</f>
        <v/>
      </c>
      <c r="G5638" s="42" t="str">
        <f>IFERROR(__xludf.DUMMYFUNCTION("""COMPUTED_VALUE"""),"JUAL BELI")</f>
        <v>JUAL BELI</v>
      </c>
      <c r="H5638" s="42">
        <f t="shared" si="1"/>
        <v>2519</v>
      </c>
    </row>
    <row r="5639" ht="22.5" customHeight="1">
      <c r="B5639" s="42" t="str">
        <f>IFERROR(__xludf.DUMMYFUNCTION("""COMPUTED_VALUE"""),"L/12/090725/1")</f>
        <v>L/12/090725/1</v>
      </c>
      <c r="C5639" s="42" t="str">
        <f>IFERROR(__xludf.DUMMYFUNCTION("""COMPUTED_VALUE"""),"HM 473/PAHOMAN")</f>
        <v>HM 473/PAHOMAN</v>
      </c>
      <c r="D5639" s="42"/>
      <c r="E5639" s="42"/>
      <c r="F5639" s="48" t="str">
        <f>IFERROR(__xludf.DUMMYFUNCTION("""COMPUTED_VALUE"""),"")</f>
        <v/>
      </c>
      <c r="G5639" s="42" t="str">
        <f>IFERROR(__xludf.DUMMYFUNCTION("""COMPUTED_VALUE"""),"SERTIPIKAT HILANG")</f>
        <v>SERTIPIKAT HILANG</v>
      </c>
      <c r="H5639" s="42">
        <f t="shared" si="1"/>
        <v>2519</v>
      </c>
    </row>
    <row r="5640" ht="22.5" customHeight="1">
      <c r="B5640" s="42" t="str">
        <f>IFERROR(__xludf.DUMMYFUNCTION("""COMPUTED_VALUE"""),"K/13/090725/1")</f>
        <v>K/13/090725/1</v>
      </c>
      <c r="C5640" s="42" t="str">
        <f>IFERROR(__xludf.DUMMYFUNCTION("""COMPUTED_VALUE"""),"M. 17731/ Sukarame I")</f>
        <v>M. 17731/ Sukarame I</v>
      </c>
      <c r="D5640" s="42" t="str">
        <f>IFERROR(__xludf.DUMMYFUNCTION("""COMPUTED_VALUE"""),"David")</f>
        <v>David</v>
      </c>
      <c r="E5640" s="42" t="str">
        <f>IFERROR(__xludf.DUMMYFUNCTION("""COMPUTED_VALUE"""),"DISERAHKAN")</f>
        <v>DISERAHKAN</v>
      </c>
      <c r="F5640" s="48">
        <f>IFERROR(__xludf.DUMMYFUNCTION("""COMPUTED_VALUE"""),45861.614618101856)</f>
        <v>45861.61462</v>
      </c>
      <c r="G5640" s="42" t="str">
        <f>IFERROR(__xludf.DUMMYFUNCTION("""COMPUTED_VALUE"""),"ROYA")</f>
        <v>ROYA</v>
      </c>
      <c r="H5640" s="42">
        <f t="shared" si="1"/>
        <v>2520</v>
      </c>
    </row>
    <row r="5641" ht="22.5" customHeight="1">
      <c r="B5641" s="42" t="str">
        <f>IFERROR(__xludf.DUMMYFUNCTION("""COMPUTED_VALUE"""),"K/14/090725/1")</f>
        <v>K/14/090725/1</v>
      </c>
      <c r="C5641" s="42" t="str">
        <f>IFERROR(__xludf.DUMMYFUNCTION("""COMPUTED_VALUE"""),"M.20/TALANG")</f>
        <v>M.20/TALANG</v>
      </c>
      <c r="D5641" s="42" t="str">
        <f>IFERROR(__xludf.DUMMYFUNCTION("""COMPUTED_VALUE"""),"David")</f>
        <v>David</v>
      </c>
      <c r="E5641" s="42" t="str">
        <f>IFERROR(__xludf.DUMMYFUNCTION("""COMPUTED_VALUE"""),"DISERAHKAN")</f>
        <v>DISERAHKAN</v>
      </c>
      <c r="F5641" s="48">
        <f>IFERROR(__xludf.DUMMYFUNCTION("""COMPUTED_VALUE"""),45912.521726273146)</f>
        <v>45912.52173</v>
      </c>
      <c r="G5641" s="42" t="str">
        <f>IFERROR(__xludf.DUMMYFUNCTION("""COMPUTED_VALUE"""),"ROYA")</f>
        <v>ROYA</v>
      </c>
      <c r="H5641" s="42">
        <f t="shared" si="1"/>
        <v>2521</v>
      </c>
    </row>
    <row r="5642" ht="22.5" customHeight="1">
      <c r="B5642" s="42" t="str">
        <f>IFERROR(__xludf.DUMMYFUNCTION("""COMPUTED_VALUE"""),"L/15/090725/1")</f>
        <v>L/15/090725/1</v>
      </c>
      <c r="C5642" s="42" t="str">
        <f>IFERROR(__xludf.DUMMYFUNCTION("""COMPUTED_VALUE"""),"HM 9897")</f>
        <v>HM 9897</v>
      </c>
      <c r="D5642" s="42"/>
      <c r="E5642" s="42"/>
      <c r="F5642" s="48" t="str">
        <f>IFERROR(__xludf.DUMMYFUNCTION("""COMPUTED_VALUE"""),"")</f>
        <v/>
      </c>
      <c r="G5642" s="42" t="str">
        <f>IFERROR(__xludf.DUMMYFUNCTION("""COMPUTED_VALUE"""),"SKPT INFORMASI")</f>
        <v>SKPT INFORMASI</v>
      </c>
      <c r="H5642" s="42">
        <f t="shared" si="1"/>
        <v>2521</v>
      </c>
    </row>
    <row r="5643" ht="22.5" customHeight="1">
      <c r="B5643" s="42" t="str">
        <f>IFERROR(__xludf.DUMMYFUNCTION("""COMPUTED_VALUE"""),"K/17/090725/1")</f>
        <v>K/17/090725/1</v>
      </c>
      <c r="C5643" s="42" t="str">
        <f>IFERROR(__xludf.DUMMYFUNCTION("""COMPUTED_VALUE"""),"M. 602/ Sumber Agung")</f>
        <v>M. 602/ Sumber Agung</v>
      </c>
      <c r="D5643" s="42" t="str">
        <f>IFERROR(__xludf.DUMMYFUNCTION("""COMPUTED_VALUE"""),"Berry")</f>
        <v>Berry</v>
      </c>
      <c r="E5643" s="42" t="str">
        <f>IFERROR(__xludf.DUMMYFUNCTION("""COMPUTED_VALUE"""),"DISERAHKAN")</f>
        <v>DISERAHKAN</v>
      </c>
      <c r="F5643" s="48">
        <f>IFERROR(__xludf.DUMMYFUNCTION("""COMPUTED_VALUE"""),45880.71769611111)</f>
        <v>45880.7177</v>
      </c>
      <c r="G5643" s="42" t="str">
        <f>IFERROR(__xludf.DUMMYFUNCTION("""COMPUTED_VALUE"""),"BN JUAL BELI")</f>
        <v>BN JUAL BELI</v>
      </c>
      <c r="H5643" s="42">
        <f t="shared" si="1"/>
        <v>2522</v>
      </c>
    </row>
    <row r="5644" ht="22.5" customHeight="1">
      <c r="B5644" s="42" t="str">
        <f>IFERROR(__xludf.DUMMYFUNCTION("""COMPUTED_VALUE"""),"K/18/090725/2")</f>
        <v>K/18/090725/2</v>
      </c>
      <c r="C5644" s="42" t="str">
        <f>IFERROR(__xludf.DUMMYFUNCTION("""COMPUTED_VALUE"""),"M. 817/ Way Dadi")</f>
        <v>M. 817/ Way Dadi</v>
      </c>
      <c r="D5644" s="42"/>
      <c r="E5644" s="42"/>
      <c r="F5644" s="48" t="str">
        <f>IFERROR(__xludf.DUMMYFUNCTION("""COMPUTED_VALUE"""),"")</f>
        <v/>
      </c>
      <c r="G5644" s="42" t="str">
        <f>IFERROR(__xludf.DUMMYFUNCTION("""COMPUTED_VALUE"""),"PEMECAHAN BIDANG")</f>
        <v>PEMECAHAN BIDANG</v>
      </c>
      <c r="H5644" s="42">
        <f t="shared" si="1"/>
        <v>2522</v>
      </c>
    </row>
    <row r="5645" ht="22.5" customHeight="1">
      <c r="B5645" s="42" t="str">
        <f>IFERROR(__xludf.DUMMYFUNCTION("""COMPUTED_VALUE"""),"K/19/090725/1")</f>
        <v>K/19/090725/1</v>
      </c>
      <c r="C5645" s="42" t="str">
        <f>IFERROR(__xludf.DUMMYFUNCTION("""COMPUTED_VALUE"""),"M. 2560/ Sumber Agung")</f>
        <v>M. 2560/ Sumber Agung</v>
      </c>
      <c r="D5645" s="42" t="str">
        <f>IFERROR(__xludf.DUMMYFUNCTION("""COMPUTED_VALUE"""),"Berry")</f>
        <v>Berry</v>
      </c>
      <c r="E5645" s="42" t="str">
        <f>IFERROR(__xludf.DUMMYFUNCTION("""COMPUTED_VALUE"""),"DISERAHKAN")</f>
        <v>DISERAHKAN</v>
      </c>
      <c r="F5645" s="48">
        <f>IFERROR(__xludf.DUMMYFUNCTION("""COMPUTED_VALUE"""),45880.645832650465)</f>
        <v>45880.64583</v>
      </c>
      <c r="G5645" s="42" t="str">
        <f>IFERROR(__xludf.DUMMYFUNCTION("""COMPUTED_VALUE"""),"BN Jual Beli")</f>
        <v>BN Jual Beli</v>
      </c>
      <c r="H5645" s="42">
        <f t="shared" si="1"/>
        <v>2523</v>
      </c>
    </row>
    <row r="5646" ht="22.5" customHeight="1">
      <c r="B5646" s="42" t="str">
        <f>IFERROR(__xludf.DUMMYFUNCTION("""COMPUTED_VALUE"""),"K/20/090725/1")</f>
        <v>K/20/090725/1</v>
      </c>
      <c r="C5646" s="42" t="str">
        <f>IFERROR(__xludf.DUMMYFUNCTION("""COMPUTED_VALUE"""),"B. 1283/ N O G")</f>
        <v>B. 1283/ N O G</v>
      </c>
      <c r="D5646" s="42"/>
      <c r="E5646" s="42"/>
      <c r="F5646" s="48" t="str">
        <f>IFERROR(__xludf.DUMMYFUNCTION("""COMPUTED_VALUE"""),"")</f>
        <v/>
      </c>
      <c r="G5646" s="42" t="str">
        <f>IFERROR(__xludf.DUMMYFUNCTION("""COMPUTED_VALUE"""),"PTPGT (Perpanjangan)")</f>
        <v>PTPGT (Perpanjangan)</v>
      </c>
      <c r="H5646" s="42">
        <f t="shared" si="1"/>
        <v>2523</v>
      </c>
    </row>
    <row r="5647" ht="22.5" customHeight="1">
      <c r="B5647" s="42" t="str">
        <f>IFERROR(__xludf.DUMMYFUNCTION("""COMPUTED_VALUE"""),"L/22/090725/1")</f>
        <v>L/22/090725/1</v>
      </c>
      <c r="C5647" s="42" t="str">
        <f>IFERROR(__xludf.DUMMYFUNCTION("""COMPUTED_VALUE"""),"HM 13979/TANJUNG BARU")</f>
        <v>HM 13979/TANJUNG BARU</v>
      </c>
      <c r="D5647" s="42"/>
      <c r="E5647" s="42"/>
      <c r="F5647" s="48" t="str">
        <f>IFERROR(__xludf.DUMMYFUNCTION("""COMPUTED_VALUE"""),"")</f>
        <v/>
      </c>
      <c r="G5647" s="42" t="str">
        <f>IFERROR(__xludf.DUMMYFUNCTION("""COMPUTED_VALUE"""),"BN JUAL- BELI")</f>
        <v>BN JUAL- BELI</v>
      </c>
      <c r="H5647" s="42">
        <f t="shared" si="1"/>
        <v>2523</v>
      </c>
    </row>
    <row r="5648" ht="22.5" customHeight="1">
      <c r="B5648" s="42" t="str">
        <f>IFERROR(__xludf.DUMMYFUNCTION("""COMPUTED_VALUE"""),"K/21/090725/1")</f>
        <v>K/21/090725/1</v>
      </c>
      <c r="C5648" s="42" t="str">
        <f>IFERROR(__xludf.DUMMYFUNCTION("""COMPUTED_VALUE"""),"M. 78/ Langkapura Baru")</f>
        <v>M. 78/ Langkapura Baru</v>
      </c>
      <c r="D5648" s="42" t="str">
        <f>IFERROR(__xludf.DUMMYFUNCTION("""COMPUTED_VALUE"""),"David")</f>
        <v>David</v>
      </c>
      <c r="E5648" s="42" t="str">
        <f>IFERROR(__xludf.DUMMYFUNCTION("""COMPUTED_VALUE"""),"DISERAHKAN")</f>
        <v>DISERAHKAN</v>
      </c>
      <c r="F5648" s="48">
        <f>IFERROR(__xludf.DUMMYFUNCTION("""COMPUTED_VALUE"""),45861.612412083334)</f>
        <v>45861.61241</v>
      </c>
      <c r="G5648" s="42" t="str">
        <f>IFERROR(__xludf.DUMMYFUNCTION("""COMPUTED_VALUE"""),"Roya")</f>
        <v>Roya</v>
      </c>
      <c r="H5648" s="42">
        <f t="shared" si="1"/>
        <v>2524</v>
      </c>
    </row>
    <row r="5649" ht="22.5" customHeight="1">
      <c r="B5649" s="42" t="str">
        <f>IFERROR(__xludf.DUMMYFUNCTION("""COMPUTED_VALUE"""),"K/23/090725/1")</f>
        <v>K/23/090725/1</v>
      </c>
      <c r="C5649" s="42" t="str">
        <f>IFERROR(__xludf.DUMMYFUNCTION("""COMPUTED_VALUE"""),"M. 1573/ Sukarame Baru")</f>
        <v>M. 1573/ Sukarame Baru</v>
      </c>
      <c r="D5649" s="42" t="str">
        <f>IFERROR(__xludf.DUMMYFUNCTION("""COMPUTED_VALUE"""),"Berry")</f>
        <v>Berry</v>
      </c>
      <c r="E5649" s="42" t="str">
        <f>IFERROR(__xludf.DUMMYFUNCTION("""COMPUTED_VALUE"""),"DISERAHKAN")</f>
        <v>DISERAHKAN</v>
      </c>
      <c r="F5649" s="48">
        <f>IFERROR(__xludf.DUMMYFUNCTION("""COMPUTED_VALUE"""),45859.63118105324)</f>
        <v>45859.63118</v>
      </c>
      <c r="G5649" s="42" t="str">
        <f>IFERROR(__xludf.DUMMYFUNCTION("""COMPUTED_VALUE"""),"BN Jual Beli")</f>
        <v>BN Jual Beli</v>
      </c>
      <c r="H5649" s="42">
        <f t="shared" si="1"/>
        <v>2525</v>
      </c>
    </row>
    <row r="5650" ht="22.5" customHeight="1">
      <c r="B5650" s="42" t="str">
        <f>IFERROR(__xludf.DUMMYFUNCTION("""COMPUTED_VALUE"""),"K/16/090725/1")</f>
        <v>K/16/090725/1</v>
      </c>
      <c r="C5650" s="42" t="str">
        <f>IFERROR(__xludf.DUMMYFUNCTION("""COMPUTED_VALUE"""),"M.2056/RAJABASA RAYA")</f>
        <v>M.2056/RAJABASA RAYA</v>
      </c>
      <c r="D5650" s="42" t="str">
        <f>IFERROR(__xludf.DUMMYFUNCTION("""COMPUTED_VALUE"""),"Berry")</f>
        <v>Berry</v>
      </c>
      <c r="E5650" s="42" t="str">
        <f>IFERROR(__xludf.DUMMYFUNCTION("""COMPUTED_VALUE"""),"DISERAHKAN")</f>
        <v>DISERAHKAN</v>
      </c>
      <c r="F5650" s="48">
        <f>IFERROR(__xludf.DUMMYFUNCTION("""COMPUTED_VALUE"""),45867.683470289354)</f>
        <v>45867.68347</v>
      </c>
      <c r="G5650" s="42" t="str">
        <f>IFERROR(__xludf.DUMMYFUNCTION("""COMPUTED_VALUE"""),"JUAL BELI ")</f>
        <v>JUAL BELI </v>
      </c>
      <c r="H5650" s="42">
        <f t="shared" si="1"/>
        <v>2526</v>
      </c>
    </row>
    <row r="5651" ht="22.5" customHeight="1">
      <c r="B5651" s="42" t="str">
        <f>IFERROR(__xludf.DUMMYFUNCTION("""COMPUTED_VALUE"""),"L/24/090725/1")</f>
        <v>L/24/090725/1</v>
      </c>
      <c r="C5651" s="42" t="str">
        <f>IFERROR(__xludf.DUMMYFUNCTION("""COMPUTED_VALUE"""),"HM 16108/SUKARAME ")</f>
        <v>HM 16108/SUKARAME </v>
      </c>
      <c r="D5651" s="42" t="str">
        <f>IFERROR(__xludf.DUMMYFUNCTION("""COMPUTED_VALUE"""),"Berry")</f>
        <v>Berry</v>
      </c>
      <c r="E5651" s="42" t="str">
        <f>IFERROR(__xludf.DUMMYFUNCTION("""COMPUTED_VALUE"""),"DISERAHKAN")</f>
        <v>DISERAHKAN</v>
      </c>
      <c r="F5651" s="48">
        <f>IFERROR(__xludf.DUMMYFUNCTION("""COMPUTED_VALUE"""),45863.60823945602)</f>
        <v>45863.60824</v>
      </c>
      <c r="G5651" s="42" t="str">
        <f>IFERROR(__xludf.DUMMYFUNCTION("""COMPUTED_VALUE"""),"ROYA")</f>
        <v>ROYA</v>
      </c>
      <c r="H5651" s="42">
        <f t="shared" si="1"/>
        <v>2527</v>
      </c>
    </row>
    <row r="5652" ht="22.5" customHeight="1">
      <c r="B5652" s="42" t="str">
        <f>IFERROR(__xludf.DUMMYFUNCTION("""COMPUTED_VALUE"""),"K/25/090725/1")</f>
        <v>K/25/090725/1</v>
      </c>
      <c r="C5652" s="42" t="str">
        <f>IFERROR(__xludf.DUMMYFUNCTION("""COMPUTED_VALUE"""),"KORPRI JAYA")</f>
        <v>KORPRI JAYA</v>
      </c>
      <c r="D5652" s="42"/>
      <c r="E5652" s="42"/>
      <c r="F5652" s="48" t="str">
        <f>IFERROR(__xludf.DUMMYFUNCTION("""COMPUTED_VALUE"""),"")</f>
        <v/>
      </c>
      <c r="G5652" s="42" t="str">
        <f>IFERROR(__xludf.DUMMYFUNCTION("""COMPUTED_VALUE"""),"TANAH MENTAH")</f>
        <v>TANAH MENTAH</v>
      </c>
      <c r="H5652" s="42">
        <f t="shared" si="1"/>
        <v>2527</v>
      </c>
    </row>
    <row r="5653" ht="22.5" customHeight="1">
      <c r="B5653" s="42" t="str">
        <f>IFERROR(__xludf.DUMMYFUNCTION("""COMPUTED_VALUE"""),"K/27/090725/1")</f>
        <v>K/27/090725/1</v>
      </c>
      <c r="C5653" s="42" t="str">
        <f>IFERROR(__xludf.DUMMYFUNCTION("""COMPUTED_VALUE"""),"M. 2151/ Sukadana Ham")</f>
        <v>M. 2151/ Sukadana Ham</v>
      </c>
      <c r="D5653" s="42" t="str">
        <f>IFERROR(__xludf.DUMMYFUNCTION("""COMPUTED_VALUE"""),"David")</f>
        <v>David</v>
      </c>
      <c r="E5653" s="42" t="str">
        <f>IFERROR(__xludf.DUMMYFUNCTION("""COMPUTED_VALUE"""),"DISERAHKAN")</f>
        <v>DISERAHKAN</v>
      </c>
      <c r="F5653" s="48">
        <f>IFERROR(__xludf.DUMMYFUNCTION("""COMPUTED_VALUE"""),45880.64707641204)</f>
        <v>45880.64708</v>
      </c>
      <c r="G5653" s="42" t="str">
        <f>IFERROR(__xludf.DUMMYFUNCTION("""COMPUTED_VALUE"""),"BN Jual Beli")</f>
        <v>BN Jual Beli</v>
      </c>
      <c r="H5653" s="42">
        <f t="shared" si="1"/>
        <v>2528</v>
      </c>
    </row>
    <row r="5654" ht="22.5" customHeight="1">
      <c r="B5654" s="42" t="str">
        <f>IFERROR(__xludf.DUMMYFUNCTION("""COMPUTED_VALUE"""),"K/28/090725/1")</f>
        <v>K/28/090725/1</v>
      </c>
      <c r="C5654" s="42" t="str">
        <f>IFERROR(__xludf.DUMMYFUNCTION("""COMPUTED_VALUE"""),"M.1330, M. 1331/PESAWAHAN")</f>
        <v>M.1330, M. 1331/PESAWAHAN</v>
      </c>
      <c r="D5654" s="42"/>
      <c r="E5654" s="42"/>
      <c r="F5654" s="48" t="str">
        <f>IFERROR(__xludf.DUMMYFUNCTION("""COMPUTED_VALUE"""),"")</f>
        <v/>
      </c>
      <c r="G5654" s="42" t="str">
        <f>IFERROR(__xludf.DUMMYFUNCTION("""COMPUTED_VALUE"""),"ROYA")</f>
        <v>ROYA</v>
      </c>
      <c r="H5654" s="42">
        <f t="shared" si="1"/>
        <v>2528</v>
      </c>
    </row>
    <row r="5655" ht="22.5" customHeight="1">
      <c r="B5655" s="42" t="str">
        <f>IFERROR(__xludf.DUMMYFUNCTION("""COMPUTED_VALUE"""),"K/29/090725/2")</f>
        <v>K/29/090725/2</v>
      </c>
      <c r="C5655" s="42" t="str">
        <f>IFERROR(__xludf.DUMMYFUNCTION("""COMPUTED_VALUE"""),"NIBEL M. 22526/SUKAMAJU")</f>
        <v>NIBEL M. 22526/SUKAMAJU</v>
      </c>
      <c r="D5655" s="42"/>
      <c r="E5655" s="42"/>
      <c r="F5655" s="48" t="str">
        <f>IFERROR(__xludf.DUMMYFUNCTION("""COMPUTED_VALUE"""),"")</f>
        <v/>
      </c>
      <c r="G5655" s="42" t="str">
        <f>IFERROR(__xludf.DUMMYFUNCTION("""COMPUTED_VALUE"""),"BN LELANG")</f>
        <v>BN LELANG</v>
      </c>
      <c r="H5655" s="42">
        <f t="shared" si="1"/>
        <v>2528</v>
      </c>
    </row>
    <row r="5656" ht="22.5" customHeight="1">
      <c r="B5656" s="42" t="str">
        <f>IFERROR(__xludf.DUMMYFUNCTION("""COMPUTED_VALUE"""),"K/26/090725/2")</f>
        <v>K/26/090725/2</v>
      </c>
      <c r="C5656" s="42" t="str">
        <f>IFERROR(__xludf.DUMMYFUNCTION("""COMPUTED_VALUE"""),"KORPRI JAYA")</f>
        <v>KORPRI JAYA</v>
      </c>
      <c r="D5656" s="42"/>
      <c r="E5656" s="42"/>
      <c r="F5656" s="48" t="str">
        <f>IFERROR(__xludf.DUMMYFUNCTION("""COMPUTED_VALUE"""),"")</f>
        <v/>
      </c>
      <c r="G5656" s="42" t="str">
        <f>IFERROR(__xludf.DUMMYFUNCTION("""COMPUTED_VALUE"""),"TANAH MENTAH ")</f>
        <v>TANAH MENTAH </v>
      </c>
      <c r="H5656" s="42">
        <f t="shared" si="1"/>
        <v>2528</v>
      </c>
    </row>
    <row r="5657" ht="22.5" customHeight="1">
      <c r="B5657" s="42" t="str">
        <f>IFERROR(__xludf.DUMMYFUNCTION("""COMPUTED_VALUE"""),"K/30/090725/1")</f>
        <v>K/30/090725/1</v>
      </c>
      <c r="C5657" s="42" t="str">
        <f>IFERROR(__xludf.DUMMYFUNCTION("""COMPUTED_VALUE"""),"NIBEL M 21002/SUKAMENANTI")</f>
        <v>NIBEL M 21002/SUKAMENANTI</v>
      </c>
      <c r="D5657" s="42"/>
      <c r="E5657" s="42"/>
      <c r="F5657" s="48" t="str">
        <f>IFERROR(__xludf.DUMMYFUNCTION("""COMPUTED_VALUE"""),"")</f>
        <v/>
      </c>
      <c r="G5657" s="42" t="str">
        <f>IFERROR(__xludf.DUMMYFUNCTION("""COMPUTED_VALUE"""),"PEMECAHAN")</f>
        <v>PEMECAHAN</v>
      </c>
      <c r="H5657" s="42">
        <f t="shared" si="1"/>
        <v>2528</v>
      </c>
    </row>
    <row r="5658" ht="22.5" customHeight="1">
      <c r="B5658" s="42" t="str">
        <f>IFERROR(__xludf.DUMMYFUNCTION("""COMPUTED_VALUE"""),"K/31/090725/1")</f>
        <v>K/31/090725/1</v>
      </c>
      <c r="C5658" s="42" t="str">
        <f>IFERROR(__xludf.DUMMYFUNCTION("""COMPUTED_VALUE"""),"M. 606/ Bumi Kedamaian")</f>
        <v>M. 606/ Bumi Kedamaian</v>
      </c>
      <c r="D5658" s="42"/>
      <c r="E5658" s="42"/>
      <c r="F5658" s="48" t="str">
        <f>IFERROR(__xludf.DUMMYFUNCTION("""COMPUTED_VALUE"""),"")</f>
        <v/>
      </c>
      <c r="G5658" s="42" t="str">
        <f>IFERROR(__xludf.DUMMYFUNCTION("""COMPUTED_VALUE"""),"PTPGT (Pemecahan)")</f>
        <v>PTPGT (Pemecahan)</v>
      </c>
      <c r="H5658" s="42">
        <f t="shared" si="1"/>
        <v>2528</v>
      </c>
    </row>
    <row r="5659" ht="22.5" customHeight="1">
      <c r="B5659" s="42" t="str">
        <f>IFERROR(__xludf.DUMMYFUNCTION("""COMPUTED_VALUE"""),"K/33/090725/1")</f>
        <v>K/33/090725/1</v>
      </c>
      <c r="C5659" s="42" t="str">
        <f>IFERROR(__xludf.DUMMYFUNCTION("""COMPUTED_VALUE"""),"M. 3150/ Beringin Raya")</f>
        <v>M. 3150/ Beringin Raya</v>
      </c>
      <c r="D5659" s="42" t="str">
        <f>IFERROR(__xludf.DUMMYFUNCTION("""COMPUTED_VALUE"""),"Berry")</f>
        <v>Berry</v>
      </c>
      <c r="E5659" s="42" t="str">
        <f>IFERROR(__xludf.DUMMYFUNCTION("""COMPUTED_VALUE"""),"DISERAHKAN")</f>
        <v>DISERAHKAN</v>
      </c>
      <c r="F5659" s="48">
        <f>IFERROR(__xludf.DUMMYFUNCTION("""COMPUTED_VALUE"""),45859.62531590278)</f>
        <v>45859.62532</v>
      </c>
      <c r="G5659" s="42" t="str">
        <f>IFERROR(__xludf.DUMMYFUNCTION("""COMPUTED_VALUE"""),"BN JUAL BELI")</f>
        <v>BN JUAL BELI</v>
      </c>
      <c r="H5659" s="42">
        <f t="shared" si="1"/>
        <v>2529</v>
      </c>
    </row>
    <row r="5660" ht="22.5" customHeight="1">
      <c r="B5660" s="42" t="str">
        <f>IFERROR(__xludf.DUMMYFUNCTION("""COMPUTED_VALUE"""),"K/34/090725/1")</f>
        <v>K/34/090725/1</v>
      </c>
      <c r="C5660" s="42" t="str">
        <f>IFERROR(__xludf.DUMMYFUNCTION("""COMPUTED_VALUE"""),"M. 13475/TANJUNG BARU")</f>
        <v>M. 13475/TANJUNG BARU</v>
      </c>
      <c r="D5660" s="42"/>
      <c r="E5660" s="42"/>
      <c r="F5660" s="48" t="str">
        <f>IFERROR(__xludf.DUMMYFUNCTION("""COMPUTED_VALUE"""),"")</f>
        <v/>
      </c>
      <c r="G5660" s="42" t="str">
        <f>IFERROR(__xludf.DUMMYFUNCTION("""COMPUTED_VALUE"""),"BN JUAL BELI")</f>
        <v>BN JUAL BELI</v>
      </c>
      <c r="H5660" s="42">
        <f t="shared" si="1"/>
        <v>2529</v>
      </c>
    </row>
    <row r="5661" ht="22.5" customHeight="1">
      <c r="B5661" s="42" t="str">
        <f>IFERROR(__xludf.DUMMYFUNCTION("""COMPUTED_VALUE"""),"K/32/090725/1")</f>
        <v>K/32/090725/1</v>
      </c>
      <c r="C5661" s="42" t="str">
        <f>IFERROR(__xludf.DUMMYFUNCTION("""COMPUTED_VALUE"""),"M.9531/KEDATON")</f>
        <v>M.9531/KEDATON</v>
      </c>
      <c r="D5661" s="42" t="str">
        <f>IFERROR(__xludf.DUMMYFUNCTION("""COMPUTED_VALUE"""),"David")</f>
        <v>David</v>
      </c>
      <c r="E5661" s="42" t="str">
        <f>IFERROR(__xludf.DUMMYFUNCTION("""COMPUTED_VALUE"""),"DISERAHKAN")</f>
        <v>DISERAHKAN</v>
      </c>
      <c r="F5661" s="48">
        <f>IFERROR(__xludf.DUMMYFUNCTION("""COMPUTED_VALUE"""),45904.61680290509)</f>
        <v>45904.6168</v>
      </c>
      <c r="G5661" s="42" t="str">
        <f>IFERROR(__xludf.DUMMYFUNCTION("""COMPUTED_VALUE"""),"ROYA")</f>
        <v>ROYA</v>
      </c>
      <c r="H5661" s="42">
        <f t="shared" si="1"/>
        <v>2530</v>
      </c>
    </row>
    <row r="5662" ht="22.5" customHeight="1">
      <c r="B5662" s="42" t="str">
        <f>IFERROR(__xludf.DUMMYFUNCTION("""COMPUTED_VALUE"""),"K/1/100725/1")</f>
        <v>K/1/100725/1</v>
      </c>
      <c r="C5662" s="42" t="str">
        <f>IFERROR(__xludf.DUMMYFUNCTION("""COMPUTED_VALUE"""),"NIBEL B18997/KAMPUNG BARU")</f>
        <v>NIBEL B18997/KAMPUNG BARU</v>
      </c>
      <c r="D5662" s="42"/>
      <c r="E5662" s="42"/>
      <c r="F5662" s="48" t="str">
        <f>IFERROR(__xludf.DUMMYFUNCTION("""COMPUTED_VALUE"""),"")</f>
        <v/>
      </c>
      <c r="G5662" s="42" t="str">
        <f>IFERROR(__xludf.DUMMYFUNCTION("""COMPUTED_VALUE"""),"PENINGKATAN HAK")</f>
        <v>PENINGKATAN HAK</v>
      </c>
      <c r="H5662" s="42">
        <f t="shared" si="1"/>
        <v>2530</v>
      </c>
    </row>
    <row r="5663" ht="22.5" customHeight="1">
      <c r="B5663" s="42" t="str">
        <f>IFERROR(__xludf.DUMMYFUNCTION("""COMPUTED_VALUE"""),"K/2/100725/1")</f>
        <v>K/2/100725/1</v>
      </c>
      <c r="C5663" s="42" t="str">
        <f>IFERROR(__xludf.DUMMYFUNCTION("""COMPUTED_VALUE"""),"M. 1436/ Kali Balau Kencana")</f>
        <v>M. 1436/ Kali Balau Kencana</v>
      </c>
      <c r="D5663" s="42" t="str">
        <f>IFERROR(__xludf.DUMMYFUNCTION("""COMPUTED_VALUE"""),"Berry")</f>
        <v>Berry</v>
      </c>
      <c r="E5663" s="42" t="str">
        <f>IFERROR(__xludf.DUMMYFUNCTION("""COMPUTED_VALUE"""),"DISERAHKAN")</f>
        <v>DISERAHKAN</v>
      </c>
      <c r="F5663" s="48">
        <f>IFERROR(__xludf.DUMMYFUNCTION("""COMPUTED_VALUE"""),45897.493455497686)</f>
        <v>45897.49346</v>
      </c>
      <c r="G5663" s="42" t="str">
        <f>IFERROR(__xludf.DUMMYFUNCTION("""COMPUTED_VALUE"""),"Roya")</f>
        <v>Roya</v>
      </c>
      <c r="H5663" s="42">
        <f t="shared" si="1"/>
        <v>2531</v>
      </c>
    </row>
    <row r="5664" ht="22.5" customHeight="1">
      <c r="B5664" s="42" t="str">
        <f>IFERROR(__xludf.DUMMYFUNCTION("""COMPUTED_VALUE"""),"K/3/100725/1")</f>
        <v>K/3/100725/1</v>
      </c>
      <c r="C5664" s="42" t="str">
        <f>IFERROR(__xludf.DUMMYFUNCTION("""COMPUTED_VALUE"""),"Nibel 2602/ Panjang Utara")</f>
        <v>Nibel 2602/ Panjang Utara</v>
      </c>
      <c r="D5664" s="42"/>
      <c r="E5664" s="42"/>
      <c r="F5664" s="48" t="str">
        <f>IFERROR(__xludf.DUMMYFUNCTION("""COMPUTED_VALUE"""),"")</f>
        <v/>
      </c>
      <c r="G5664" s="42" t="str">
        <f>IFERROR(__xludf.DUMMYFUNCTION("""COMPUTED_VALUE"""),"PEMECAHAN BIDANG")</f>
        <v>PEMECAHAN BIDANG</v>
      </c>
      <c r="H5664" s="42">
        <f t="shared" si="1"/>
        <v>2531</v>
      </c>
    </row>
    <row r="5665" ht="22.5" customHeight="1">
      <c r="B5665" s="42" t="str">
        <f>IFERROR(__xludf.DUMMYFUNCTION("""COMPUTED_VALUE"""),"L/5/100725/1")</f>
        <v>L/5/100725/1</v>
      </c>
      <c r="C5665" s="42" t="str">
        <f>IFERROR(__xludf.DUMMYFUNCTION("""COMPUTED_VALUE"""),"HM 1052/GUNUNG SULAH")</f>
        <v>HM 1052/GUNUNG SULAH</v>
      </c>
      <c r="D5665" s="42"/>
      <c r="E5665" s="42"/>
      <c r="F5665" s="48" t="str">
        <f>IFERROR(__xludf.DUMMYFUNCTION("""COMPUTED_VALUE"""),"")</f>
        <v/>
      </c>
      <c r="G5665" s="42" t="str">
        <f>IFERROR(__xludf.DUMMYFUNCTION("""COMPUTED_VALUE"""),"ROYA WARIS")</f>
        <v>ROYA WARIS</v>
      </c>
      <c r="H5665" s="42">
        <f t="shared" si="1"/>
        <v>2531</v>
      </c>
    </row>
    <row r="5666" ht="22.5" customHeight="1">
      <c r="B5666" s="42" t="str">
        <f>IFERROR(__xludf.DUMMYFUNCTION("""COMPUTED_VALUE"""),"K/4/100725/1")</f>
        <v>K/4/100725/1</v>
      </c>
      <c r="C5666" s="42" t="str">
        <f>IFERROR(__xludf.DUMMYFUNCTION("""COMPUTED_VALUE"""),"B.2412/CAMPANG JAYA")</f>
        <v>B.2412/CAMPANG JAYA</v>
      </c>
      <c r="D5666" s="42"/>
      <c r="E5666" s="42"/>
      <c r="F5666" s="48" t="str">
        <f>IFERROR(__xludf.DUMMYFUNCTION("""COMPUTED_VALUE"""),"")</f>
        <v/>
      </c>
      <c r="G5666" s="42" t="str">
        <f>IFERROR(__xludf.DUMMYFUNCTION("""COMPUTED_VALUE"""),"PENINGKATAN HAK")</f>
        <v>PENINGKATAN HAK</v>
      </c>
      <c r="H5666" s="42">
        <f t="shared" si="1"/>
        <v>2531</v>
      </c>
    </row>
    <row r="5667" ht="22.5" customHeight="1">
      <c r="B5667" s="42" t="str">
        <f>IFERROR(__xludf.DUMMYFUNCTION("""COMPUTED_VALUE"""),"K/6/100725/1")</f>
        <v>K/6/100725/1</v>
      </c>
      <c r="C5667" s="42" t="str">
        <f>IFERROR(__xludf.DUMMYFUNCTION("""COMPUTED_VALUE"""),"B. 1199/ Way Halim Permai")</f>
        <v>B. 1199/ Way Halim Permai</v>
      </c>
      <c r="D5667" s="42" t="str">
        <f>IFERROR(__xludf.DUMMYFUNCTION("""COMPUTED_VALUE"""),"Berry")</f>
        <v>Berry</v>
      </c>
      <c r="E5667" s="42" t="str">
        <f>IFERROR(__xludf.DUMMYFUNCTION("""COMPUTED_VALUE"""),"DISERAHKAN")</f>
        <v>DISERAHKAN</v>
      </c>
      <c r="F5667" s="48">
        <f>IFERROR(__xludf.DUMMYFUNCTION("""COMPUTED_VALUE"""),45873.635688124996)</f>
        <v>45873.63569</v>
      </c>
      <c r="G5667" s="42" t="str">
        <f>IFERROR(__xludf.DUMMYFUNCTION("""COMPUTED_VALUE"""),"ROYA")</f>
        <v>ROYA</v>
      </c>
      <c r="H5667" s="42">
        <f t="shared" si="1"/>
        <v>2532</v>
      </c>
    </row>
    <row r="5668" ht="22.5" customHeight="1">
      <c r="B5668" s="42" t="str">
        <f>IFERROR(__xludf.DUMMYFUNCTION("""COMPUTED_VALUE"""),"K/9/100725/1")</f>
        <v>K/9/100725/1</v>
      </c>
      <c r="C5668" s="42" t="str">
        <f>IFERROR(__xludf.DUMMYFUNCTION("""COMPUTED_VALUE"""),"B. 145/ Gunung Sari")</f>
        <v>B. 145/ Gunung Sari</v>
      </c>
      <c r="D5668" s="42" t="str">
        <f>IFERROR(__xludf.DUMMYFUNCTION("""COMPUTED_VALUE"""),"Berry")</f>
        <v>Berry</v>
      </c>
      <c r="E5668" s="42" t="str">
        <f>IFERROR(__xludf.DUMMYFUNCTION("""COMPUTED_VALUE"""),"DISERAHKAN")</f>
        <v>DISERAHKAN</v>
      </c>
      <c r="F5668" s="48">
        <f>IFERROR(__xludf.DUMMYFUNCTION("""COMPUTED_VALUE"""),45888.60894921296)</f>
        <v>45888.60895</v>
      </c>
      <c r="G5668" s="42" t="str">
        <f>IFERROR(__xludf.DUMMYFUNCTION("""COMPUTED_VALUE"""),"ROYA")</f>
        <v>ROYA</v>
      </c>
      <c r="H5668" s="42">
        <f t="shared" si="1"/>
        <v>2533</v>
      </c>
    </row>
    <row r="5669" ht="22.5" customHeight="1">
      <c r="B5669" s="42" t="str">
        <f>IFERROR(__xludf.DUMMYFUNCTION("""COMPUTED_VALUE"""),"K/10/100725/2")</f>
        <v>K/10/100725/2</v>
      </c>
      <c r="C5669" s="42" t="str">
        <f>IFERROR(__xludf.DUMMYFUNCTION("""COMPUTED_VALUE"""),"B. 146/ Gunung Sari")</f>
        <v>B. 146/ Gunung Sari</v>
      </c>
      <c r="D5669" s="42" t="str">
        <f>IFERROR(__xludf.DUMMYFUNCTION("""COMPUTED_VALUE"""),"Berry")</f>
        <v>Berry</v>
      </c>
      <c r="E5669" s="42" t="str">
        <f>IFERROR(__xludf.DUMMYFUNCTION("""COMPUTED_VALUE"""),"DISERAHKAN")</f>
        <v>DISERAHKAN</v>
      </c>
      <c r="F5669" s="48">
        <f>IFERROR(__xludf.DUMMYFUNCTION("""COMPUTED_VALUE"""),45888.60904607639)</f>
        <v>45888.60905</v>
      </c>
      <c r="G5669" s="42" t="str">
        <f>IFERROR(__xludf.DUMMYFUNCTION("""COMPUTED_VALUE"""),"ROYA")</f>
        <v>ROYA</v>
      </c>
      <c r="H5669" s="42">
        <f t="shared" si="1"/>
        <v>2534</v>
      </c>
    </row>
    <row r="5670" ht="22.5" customHeight="1">
      <c r="B5670" s="42" t="str">
        <f>IFERROR(__xludf.DUMMYFUNCTION("""COMPUTED_VALUE"""),"K/11/100725/3")</f>
        <v>K/11/100725/3</v>
      </c>
      <c r="C5670" s="42" t="str">
        <f>IFERROR(__xludf.DUMMYFUNCTION("""COMPUTED_VALUE"""),"B. 161/ Gunung Sari")</f>
        <v>B. 161/ Gunung Sari</v>
      </c>
      <c r="D5670" s="42" t="str">
        <f>IFERROR(__xludf.DUMMYFUNCTION("""COMPUTED_VALUE"""),"Berry")</f>
        <v>Berry</v>
      </c>
      <c r="E5670" s="42" t="str">
        <f>IFERROR(__xludf.DUMMYFUNCTION("""COMPUTED_VALUE"""),"DISERAHKAN")</f>
        <v>DISERAHKAN</v>
      </c>
      <c r="F5670" s="48">
        <f>IFERROR(__xludf.DUMMYFUNCTION("""COMPUTED_VALUE"""),45888.60912083334)</f>
        <v>45888.60912</v>
      </c>
      <c r="G5670" s="42" t="str">
        <f>IFERROR(__xludf.DUMMYFUNCTION("""COMPUTED_VALUE"""),"ROYA")</f>
        <v>ROYA</v>
      </c>
      <c r="H5670" s="42">
        <f t="shared" si="1"/>
        <v>2535</v>
      </c>
    </row>
    <row r="5671" ht="22.5" customHeight="1">
      <c r="B5671" s="42" t="str">
        <f>IFERROR(__xludf.DUMMYFUNCTION("""COMPUTED_VALUE"""),"K/12/100725/4")</f>
        <v>K/12/100725/4</v>
      </c>
      <c r="C5671" s="42" t="str">
        <f>IFERROR(__xludf.DUMMYFUNCTION("""COMPUTED_VALUE"""),"M. 12339/ Jagabaya II")</f>
        <v>M. 12339/ Jagabaya II</v>
      </c>
      <c r="D5671" s="42" t="str">
        <f>IFERROR(__xludf.DUMMYFUNCTION("""COMPUTED_VALUE"""),"Berry")</f>
        <v>Berry</v>
      </c>
      <c r="E5671" s="42" t="str">
        <f>IFERROR(__xludf.DUMMYFUNCTION("""COMPUTED_VALUE"""),"DISERAHKAN")</f>
        <v>DISERAHKAN</v>
      </c>
      <c r="F5671" s="48">
        <f>IFERROR(__xludf.DUMMYFUNCTION("""COMPUTED_VALUE"""),45898.65139341435)</f>
        <v>45898.65139</v>
      </c>
      <c r="G5671" s="42" t="str">
        <f>IFERROR(__xludf.DUMMYFUNCTION("""COMPUTED_VALUE"""),"ROYA")</f>
        <v>ROYA</v>
      </c>
      <c r="H5671" s="42">
        <f t="shared" si="1"/>
        <v>2536</v>
      </c>
    </row>
    <row r="5672" ht="22.5" customHeight="1">
      <c r="B5672" s="42" t="str">
        <f>IFERROR(__xludf.DUMMYFUNCTION("""COMPUTED_VALUE"""),"K/8/100725/1")</f>
        <v>K/8/100725/1</v>
      </c>
      <c r="C5672" s="42" t="str">
        <f>IFERROR(__xludf.DUMMYFUNCTION("""COMPUTED_VALUE"""),"M. 2275/PINANG JAYA")</f>
        <v>M. 2275/PINANG JAYA</v>
      </c>
      <c r="D5672" s="42" t="str">
        <f>IFERROR(__xludf.DUMMYFUNCTION("""COMPUTED_VALUE"""),"Berry")</f>
        <v>Berry</v>
      </c>
      <c r="E5672" s="42" t="str">
        <f>IFERROR(__xludf.DUMMYFUNCTION("""COMPUTED_VALUE"""),"DISERAHKAN")</f>
        <v>DISERAHKAN</v>
      </c>
      <c r="F5672" s="48">
        <f>IFERROR(__xludf.DUMMYFUNCTION("""COMPUTED_VALUE"""),45856.52941681713)</f>
        <v>45856.52942</v>
      </c>
      <c r="G5672" s="42" t="str">
        <f>IFERROR(__xludf.DUMMYFUNCTION("""COMPUTED_VALUE"""),"BN JUAL BELI")</f>
        <v>BN JUAL BELI</v>
      </c>
      <c r="H5672" s="42">
        <f t="shared" si="1"/>
        <v>2537</v>
      </c>
    </row>
    <row r="5673" ht="22.5" customHeight="1">
      <c r="B5673" s="42" t="str">
        <f>IFERROR(__xludf.DUMMYFUNCTION("""COMPUTED_VALUE"""),"K/13/100725/1")</f>
        <v>K/13/100725/1</v>
      </c>
      <c r="C5673" s="42" t="str">
        <f>IFERROR(__xludf.DUMMYFUNCTION("""COMPUTED_VALUE"""),"NIbel 130/ Gedong Air")</f>
        <v>NIbel 130/ Gedong Air</v>
      </c>
      <c r="D5673" s="42"/>
      <c r="E5673" s="42"/>
      <c r="F5673" s="48" t="str">
        <f>IFERROR(__xludf.DUMMYFUNCTION("""COMPUTED_VALUE"""),"")</f>
        <v/>
      </c>
      <c r="G5673" s="42" t="str">
        <f>IFERROR(__xludf.DUMMYFUNCTION("""COMPUTED_VALUE"""),"BN JUAL BELI")</f>
        <v>BN JUAL BELI</v>
      </c>
      <c r="H5673" s="42">
        <f t="shared" si="1"/>
        <v>2537</v>
      </c>
    </row>
    <row r="5674" ht="22.5" customHeight="1">
      <c r="B5674" s="42" t="str">
        <f>IFERROR(__xludf.DUMMYFUNCTION("""COMPUTED_VALUE"""),"K/14/100725/1")</f>
        <v>K/14/100725/1</v>
      </c>
      <c r="C5674" s="42" t="str">
        <f>IFERROR(__xludf.DUMMYFUNCTION("""COMPUTED_VALUE"""),"Nibel. M. 5586/ Gunung Terang")</f>
        <v>Nibel. M. 5586/ Gunung Terang</v>
      </c>
      <c r="D5674" s="42"/>
      <c r="E5674" s="42"/>
      <c r="F5674" s="48" t="str">
        <f>IFERROR(__xludf.DUMMYFUNCTION("""COMPUTED_VALUE"""),"")</f>
        <v/>
      </c>
      <c r="G5674" s="42" t="str">
        <f>IFERROR(__xludf.DUMMYFUNCTION("""COMPUTED_VALUE"""),"BN Jual Beli")</f>
        <v>BN Jual Beli</v>
      </c>
      <c r="H5674" s="42">
        <f t="shared" si="1"/>
        <v>2537</v>
      </c>
    </row>
    <row r="5675" ht="22.5" customHeight="1">
      <c r="B5675" s="42" t="str">
        <f>IFERROR(__xludf.DUMMYFUNCTION("""COMPUTED_VALUE"""),"K/16/100725/1")</f>
        <v>K/16/100725/1</v>
      </c>
      <c r="C5675" s="42" t="str">
        <f>IFERROR(__xludf.DUMMYFUNCTION("""COMPUTED_VALUE"""),"M. 2005/ Rajabasa Raya")</f>
        <v>M. 2005/ Rajabasa Raya</v>
      </c>
      <c r="D5675" s="42"/>
      <c r="E5675" s="42"/>
      <c r="F5675" s="48" t="str">
        <f>IFERROR(__xludf.DUMMYFUNCTION("""COMPUTED_VALUE"""),"")</f>
        <v/>
      </c>
      <c r="G5675" s="42" t="str">
        <f>IFERROR(__xludf.DUMMYFUNCTION("""COMPUTED_VALUE"""),"BN Jual Beli")</f>
        <v>BN Jual Beli</v>
      </c>
      <c r="H5675" s="42">
        <f t="shared" si="1"/>
        <v>2537</v>
      </c>
    </row>
    <row r="5676" ht="22.5" customHeight="1">
      <c r="B5676" s="42" t="str">
        <f>IFERROR(__xludf.DUMMYFUNCTION("""COMPUTED_VALUE"""),"K/15/100725/1")</f>
        <v>K/15/100725/1</v>
      </c>
      <c r="C5676" s="42" t="str">
        <f>IFERROR(__xludf.DUMMYFUNCTION("""COMPUTED_VALUE"""),"M. 2576/ Sumber Agung")</f>
        <v>M. 2576/ Sumber Agung</v>
      </c>
      <c r="D5676" s="42" t="str">
        <f>IFERROR(__xludf.DUMMYFUNCTION("""COMPUTED_VALUE"""),"Berry")</f>
        <v>Berry</v>
      </c>
      <c r="E5676" s="42" t="str">
        <f>IFERROR(__xludf.DUMMYFUNCTION("""COMPUTED_VALUE"""),"DISERAHKAN")</f>
        <v>DISERAHKAN</v>
      </c>
      <c r="F5676" s="48">
        <f>IFERROR(__xludf.DUMMYFUNCTION("""COMPUTED_VALUE"""),45867.68645206018)</f>
        <v>45867.68645</v>
      </c>
      <c r="G5676" s="42" t="str">
        <f>IFERROR(__xludf.DUMMYFUNCTION("""COMPUTED_VALUE"""),"BN Jual Beli")</f>
        <v>BN Jual Beli</v>
      </c>
      <c r="H5676" s="42">
        <f t="shared" si="1"/>
        <v>2538</v>
      </c>
    </row>
    <row r="5677" ht="22.5" customHeight="1">
      <c r="B5677" s="42" t="str">
        <f>IFERROR(__xludf.DUMMYFUNCTION("""COMPUTED_VALUE"""),"K/7/100725/1")</f>
        <v>K/7/100725/1</v>
      </c>
      <c r="C5677" s="42" t="str">
        <f>IFERROR(__xludf.DUMMYFUNCTION("""COMPUTED_VALUE"""),"NIBEL M.20875/GEDONG AIR")</f>
        <v>NIBEL M.20875/GEDONG AIR</v>
      </c>
      <c r="D5677" s="42"/>
      <c r="E5677" s="42"/>
      <c r="F5677" s="48" t="str">
        <f>IFERROR(__xludf.DUMMYFUNCTION("""COMPUTED_VALUE"""),"")</f>
        <v/>
      </c>
      <c r="G5677" s="42" t="str">
        <f>IFERROR(__xludf.DUMMYFUNCTION("""COMPUTED_VALUE"""),"PEMECAHAN")</f>
        <v>PEMECAHAN</v>
      </c>
      <c r="H5677" s="42">
        <f t="shared" si="1"/>
        <v>2538</v>
      </c>
    </row>
    <row r="5678" ht="22.5" customHeight="1">
      <c r="B5678" s="42" t="str">
        <f>IFERROR(__xludf.DUMMYFUNCTION("""COMPUTED_VALUE"""),"K/17/100725/2")</f>
        <v>K/17/100725/2</v>
      </c>
      <c r="C5678" s="42" t="str">
        <f>IFERROR(__xludf.DUMMYFUNCTION("""COMPUTED_VALUE"""),"M. 2006/ Rajabasa Raya")</f>
        <v>M. 2006/ Rajabasa Raya</v>
      </c>
      <c r="D5678" s="42"/>
      <c r="E5678" s="42"/>
      <c r="F5678" s="48" t="str">
        <f>IFERROR(__xludf.DUMMYFUNCTION("""COMPUTED_VALUE"""),"")</f>
        <v/>
      </c>
      <c r="G5678" s="42" t="str">
        <f>IFERROR(__xludf.DUMMYFUNCTION("""COMPUTED_VALUE"""),"BN Jual Beli")</f>
        <v>BN Jual Beli</v>
      </c>
      <c r="H5678" s="42">
        <f t="shared" si="1"/>
        <v>2538</v>
      </c>
    </row>
    <row r="5679" ht="22.5" customHeight="1">
      <c r="B5679" s="42" t="str">
        <f>IFERROR(__xludf.DUMMYFUNCTION("""COMPUTED_VALUE"""),"K/19/100725/1")</f>
        <v>K/19/100725/1</v>
      </c>
      <c r="C5679" s="42" t="str">
        <f>IFERROR(__xludf.DUMMYFUNCTION("""COMPUTED_VALUE"""),"Nibel 17047/ Langkapura")</f>
        <v>Nibel 17047/ Langkapura</v>
      </c>
      <c r="D5679" s="42"/>
      <c r="E5679" s="42"/>
      <c r="F5679" s="48" t="str">
        <f>IFERROR(__xludf.DUMMYFUNCTION("""COMPUTED_VALUE"""),"")</f>
        <v/>
      </c>
      <c r="G5679" s="42" t="str">
        <f>IFERROR(__xludf.DUMMYFUNCTION("""COMPUTED_VALUE"""),"BN JUAL BELI")</f>
        <v>BN JUAL BELI</v>
      </c>
      <c r="H5679" s="42">
        <f t="shared" si="1"/>
        <v>2538</v>
      </c>
    </row>
    <row r="5680" ht="22.5" customHeight="1">
      <c r="B5680" s="42" t="str">
        <f>IFERROR(__xludf.DUMMYFUNCTION("""COMPUTED_VALUE"""),"K/18/100725/1")</f>
        <v>K/18/100725/1</v>
      </c>
      <c r="C5680" s="42" t="str">
        <f>IFERROR(__xludf.DUMMYFUNCTION("""COMPUTED_VALUE"""),"B. 1497/ Kemiling Permai")</f>
        <v>B. 1497/ Kemiling Permai</v>
      </c>
      <c r="D5680" s="42" t="str">
        <f>IFERROR(__xludf.DUMMYFUNCTION("""COMPUTED_VALUE"""),"Berry")</f>
        <v>Berry</v>
      </c>
      <c r="E5680" s="42" t="str">
        <f>IFERROR(__xludf.DUMMYFUNCTION("""COMPUTED_VALUE"""),"DISERAHKAN")</f>
        <v>DISERAHKAN</v>
      </c>
      <c r="F5680" s="48">
        <f>IFERROR(__xludf.DUMMYFUNCTION("""COMPUTED_VALUE"""),45874.65092811343)</f>
        <v>45874.65093</v>
      </c>
      <c r="G5680" s="42" t="str">
        <f>IFERROR(__xludf.DUMMYFUNCTION("""COMPUTED_VALUE"""),"BN Jual Beli")</f>
        <v>BN Jual Beli</v>
      </c>
      <c r="H5680" s="42">
        <f t="shared" si="1"/>
        <v>2539</v>
      </c>
    </row>
    <row r="5681" ht="22.5" customHeight="1">
      <c r="B5681" s="42" t="str">
        <f>IFERROR(__xludf.DUMMYFUNCTION("""COMPUTED_VALUE"""),"K/20/100725/2")</f>
        <v>K/20/100725/2</v>
      </c>
      <c r="C5681" s="42" t="str">
        <f>IFERROR(__xludf.DUMMYFUNCTION("""COMPUTED_VALUE"""),"M. 1820/ Tanjung Seneng")</f>
        <v>M. 1820/ Tanjung Seneng</v>
      </c>
      <c r="D5681" s="42" t="str">
        <f>IFERROR(__xludf.DUMMYFUNCTION("""COMPUTED_VALUE"""),"Berry")</f>
        <v>Berry</v>
      </c>
      <c r="E5681" s="42" t="str">
        <f>IFERROR(__xludf.DUMMYFUNCTION("""COMPUTED_VALUE"""),"DISERAHKAN")</f>
        <v>DISERAHKAN</v>
      </c>
      <c r="F5681" s="48">
        <f>IFERROR(__xludf.DUMMYFUNCTION("""COMPUTED_VALUE"""),45861.63072318287)</f>
        <v>45861.63072</v>
      </c>
      <c r="G5681" s="42" t="str">
        <f>IFERROR(__xludf.DUMMYFUNCTION("""COMPUTED_VALUE"""),"BN JUAL BELI")</f>
        <v>BN JUAL BELI</v>
      </c>
      <c r="H5681" s="42">
        <f t="shared" si="1"/>
        <v>2540</v>
      </c>
    </row>
    <row r="5682" ht="22.5" customHeight="1">
      <c r="B5682" s="42" t="str">
        <f>IFERROR(__xludf.DUMMYFUNCTION("""COMPUTED_VALUE"""),"L/22/100725/1")</f>
        <v>L/22/100725/1</v>
      </c>
      <c r="C5682" s="42" t="str">
        <f>IFERROR(__xludf.DUMMYFUNCTION("""COMPUTED_VALUE"""),"HM 162/SUMUR BATU")</f>
        <v>HM 162/SUMUR BATU</v>
      </c>
      <c r="D5682" s="42"/>
      <c r="E5682" s="42"/>
      <c r="F5682" s="48" t="str">
        <f>IFERROR(__xludf.DUMMYFUNCTION("""COMPUTED_VALUE"""),"")</f>
        <v/>
      </c>
      <c r="G5682" s="42" t="str">
        <f>IFERROR(__xludf.DUMMYFUNCTION("""COMPUTED_VALUE"""),"BN WARIS")</f>
        <v>BN WARIS</v>
      </c>
      <c r="H5682" s="42">
        <f t="shared" si="1"/>
        <v>2540</v>
      </c>
    </row>
    <row r="5683" ht="22.5" customHeight="1">
      <c r="B5683" s="42" t="str">
        <f>IFERROR(__xludf.DUMMYFUNCTION("""COMPUTED_VALUE"""),"L/23/100725/1")</f>
        <v>L/23/100725/1</v>
      </c>
      <c r="C5683" s="42" t="str">
        <f>IFERROR(__xludf.DUMMYFUNCTION("""COMPUTED_VALUE"""),"HM 838/RI")</f>
        <v>HM 838/RI</v>
      </c>
      <c r="D5683" s="42"/>
      <c r="E5683" s="42"/>
      <c r="F5683" s="48" t="str">
        <f>IFERROR(__xludf.DUMMYFUNCTION("""COMPUTED_VALUE"""),"")</f>
        <v/>
      </c>
      <c r="G5683" s="42" t="str">
        <f>IFERROR(__xludf.DUMMYFUNCTION("""COMPUTED_VALUE"""),"SKPT INFORMASI")</f>
        <v>SKPT INFORMASI</v>
      </c>
      <c r="H5683" s="42">
        <f t="shared" si="1"/>
        <v>2540</v>
      </c>
    </row>
    <row r="5684" ht="22.5" customHeight="1">
      <c r="B5684" s="42" t="str">
        <f>IFERROR(__xludf.DUMMYFUNCTION("""COMPUTED_VALUE"""),"L/24/100725/1")</f>
        <v>L/24/100725/1</v>
      </c>
      <c r="C5684" s="42" t="str">
        <f>IFERROR(__xludf.DUMMYFUNCTION("""COMPUTED_VALUE"""),"HM 12006/SUKABUMI")</f>
        <v>HM 12006/SUKABUMI</v>
      </c>
      <c r="D5684" s="42" t="str">
        <f>IFERROR(__xludf.DUMMYFUNCTION("""COMPUTED_VALUE"""),"Berry")</f>
        <v>Berry</v>
      </c>
      <c r="E5684" s="42" t="str">
        <f>IFERROR(__xludf.DUMMYFUNCTION("""COMPUTED_VALUE"""),"DISERAHKAN")</f>
        <v>DISERAHKAN</v>
      </c>
      <c r="F5684" s="48">
        <f>IFERROR(__xludf.DUMMYFUNCTION("""COMPUTED_VALUE"""),45863.60814635416)</f>
        <v>45863.60815</v>
      </c>
      <c r="G5684" s="42" t="str">
        <f>IFERROR(__xludf.DUMMYFUNCTION("""COMPUTED_VALUE"""),"ROYA")</f>
        <v>ROYA</v>
      </c>
      <c r="H5684" s="42">
        <f t="shared" si="1"/>
        <v>2541</v>
      </c>
    </row>
    <row r="5685" ht="22.5" customHeight="1">
      <c r="B5685" s="42" t="str">
        <f>IFERROR(__xludf.DUMMYFUNCTION("""COMPUTED_VALUE"""),"L/28/100725/1")</f>
        <v>L/28/100725/1</v>
      </c>
      <c r="C5685" s="42" t="str">
        <f>IFERROR(__xludf.DUMMYFUNCTION("""COMPUTED_VALUE"""),"HGB 3616/BERINGIN RAYA")</f>
        <v>HGB 3616/BERINGIN RAYA</v>
      </c>
      <c r="D5685" s="42"/>
      <c r="E5685" s="42"/>
      <c r="F5685" s="48" t="str">
        <f>IFERROR(__xludf.DUMMYFUNCTION("""COMPUTED_VALUE"""),"")</f>
        <v/>
      </c>
      <c r="G5685" s="42" t="str">
        <f>IFERROR(__xludf.DUMMYFUNCTION("""COMPUTED_VALUE"""),"PTPGT")</f>
        <v>PTPGT</v>
      </c>
      <c r="H5685" s="42">
        <f t="shared" si="1"/>
        <v>2541</v>
      </c>
    </row>
    <row r="5686" ht="22.5" customHeight="1">
      <c r="B5686" s="42" t="str">
        <f>IFERROR(__xludf.DUMMYFUNCTION("""COMPUTED_VALUE"""),"K/25/100725/1")</f>
        <v>K/25/100725/1</v>
      </c>
      <c r="C5686" s="42" t="str">
        <f>IFERROR(__xludf.DUMMYFUNCTION("""COMPUTED_VALUE"""),"Nibel. M. 20659/ Way Kandis")</f>
        <v>Nibel. M. 20659/ Way Kandis</v>
      </c>
      <c r="D5686" s="42"/>
      <c r="E5686" s="42"/>
      <c r="F5686" s="48" t="str">
        <f>IFERROR(__xludf.DUMMYFUNCTION("""COMPUTED_VALUE"""),"")</f>
        <v/>
      </c>
      <c r="G5686" s="42" t="str">
        <f>IFERROR(__xludf.DUMMYFUNCTION("""COMPUTED_VALUE"""),"BN Jual Beli")</f>
        <v>BN Jual Beli</v>
      </c>
      <c r="H5686" s="42">
        <f t="shared" si="1"/>
        <v>2541</v>
      </c>
    </row>
    <row r="5687" ht="22.5" customHeight="1">
      <c r="B5687" s="42" t="str">
        <f>IFERROR(__xludf.DUMMYFUNCTION("""COMPUTED_VALUE"""),"L/29/100725/1")</f>
        <v>L/29/100725/1</v>
      </c>
      <c r="C5687" s="42" t="str">
        <f>IFERROR(__xludf.DUMMYFUNCTION("""COMPUTED_VALUE"""),"HGB 40/BUMI KEDAMAIAN")</f>
        <v>HGB 40/BUMI KEDAMAIAN</v>
      </c>
      <c r="D5687" s="42"/>
      <c r="E5687" s="42"/>
      <c r="F5687" s="48" t="str">
        <f>IFERROR(__xludf.DUMMYFUNCTION("""COMPUTED_VALUE"""),"")</f>
        <v/>
      </c>
      <c r="G5687" s="42" t="str">
        <f>IFERROR(__xludf.DUMMYFUNCTION("""COMPUTED_VALUE"""),"PH")</f>
        <v>PH</v>
      </c>
      <c r="H5687" s="42">
        <f t="shared" si="1"/>
        <v>2541</v>
      </c>
    </row>
    <row r="5688" ht="22.5" customHeight="1">
      <c r="B5688" s="42" t="str">
        <f>IFERROR(__xludf.DUMMYFUNCTION("""COMPUTED_VALUE"""),"K/26/100725/2")</f>
        <v>K/26/100725/2</v>
      </c>
      <c r="C5688" s="42" t="str">
        <f>IFERROR(__xludf.DUMMYFUNCTION("""COMPUTED_VALUE"""),"M. 1599/ Kemiling Raya")</f>
        <v>M. 1599/ Kemiling Raya</v>
      </c>
      <c r="D5688" s="42" t="str">
        <f>IFERROR(__xludf.DUMMYFUNCTION("""COMPUTED_VALUE"""),"Berry")</f>
        <v>Berry</v>
      </c>
      <c r="E5688" s="42" t="str">
        <f>IFERROR(__xludf.DUMMYFUNCTION("""COMPUTED_VALUE"""),"DISERAHKAN")</f>
        <v>DISERAHKAN</v>
      </c>
      <c r="F5688" s="48">
        <f>IFERROR(__xludf.DUMMYFUNCTION("""COMPUTED_VALUE"""),45869.49832924768)</f>
        <v>45869.49833</v>
      </c>
      <c r="G5688" s="42" t="str">
        <f>IFERROR(__xludf.DUMMYFUNCTION("""COMPUTED_VALUE"""),"BN Jual Beli")</f>
        <v>BN Jual Beli</v>
      </c>
      <c r="H5688" s="42">
        <f t="shared" si="1"/>
        <v>2542</v>
      </c>
    </row>
    <row r="5689" ht="22.5" customHeight="1">
      <c r="B5689" s="42" t="str">
        <f>IFERROR(__xludf.DUMMYFUNCTION("""COMPUTED_VALUE"""),"K/21/100725/1")</f>
        <v>K/21/100725/1</v>
      </c>
      <c r="C5689" s="42" t="str">
        <f>IFERROR(__xludf.DUMMYFUNCTION("""COMPUTED_VALUE"""),"M.271/GULAK GALIK")</f>
        <v>M.271/GULAK GALIK</v>
      </c>
      <c r="D5689" s="42"/>
      <c r="E5689" s="42"/>
      <c r="F5689" s="48" t="str">
        <f>IFERROR(__xludf.DUMMYFUNCTION("""COMPUTED_VALUE"""),"")</f>
        <v/>
      </c>
      <c r="G5689" s="42" t="str">
        <f>IFERROR(__xludf.DUMMYFUNCTION("""COMPUTED_VALUE"""),"BLOKIR ")</f>
        <v>BLOKIR </v>
      </c>
      <c r="H5689" s="42">
        <f t="shared" si="1"/>
        <v>2542</v>
      </c>
    </row>
    <row r="5690" ht="22.5" customHeight="1">
      <c r="B5690" s="42" t="str">
        <f>IFERROR(__xludf.DUMMYFUNCTION("""COMPUTED_VALUE"""),"K/27/100725/3")</f>
        <v>K/27/100725/3</v>
      </c>
      <c r="C5690" s="42" t="str">
        <f>IFERROR(__xludf.DUMMYFUNCTION("""COMPUTED_VALUE"""),"M. 1607/ Kemiling Raya")</f>
        <v>M. 1607/ Kemiling Raya</v>
      </c>
      <c r="D5690" s="42" t="str">
        <f>IFERROR(__xludf.DUMMYFUNCTION("""COMPUTED_VALUE"""),"Berry")</f>
        <v>Berry</v>
      </c>
      <c r="E5690" s="42" t="str">
        <f>IFERROR(__xludf.DUMMYFUNCTION("""COMPUTED_VALUE"""),"DISERAHKAN")</f>
        <v>DISERAHKAN</v>
      </c>
      <c r="F5690" s="48">
        <f>IFERROR(__xludf.DUMMYFUNCTION("""COMPUTED_VALUE"""),45867.68669028935)</f>
        <v>45867.68669</v>
      </c>
      <c r="G5690" s="42" t="str">
        <f>IFERROR(__xludf.DUMMYFUNCTION("""COMPUTED_VALUE"""),"BN Jual Beli")</f>
        <v>BN Jual Beli</v>
      </c>
      <c r="H5690" s="42">
        <f t="shared" si="1"/>
        <v>2543</v>
      </c>
    </row>
    <row r="5691" ht="22.5" customHeight="1">
      <c r="B5691" s="42" t="str">
        <f>IFERROR(__xludf.DUMMYFUNCTION("""COMPUTED_VALUE"""),"L/31/100725/1")</f>
        <v>L/31/100725/1</v>
      </c>
      <c r="C5691" s="42" t="str">
        <f>IFERROR(__xludf.DUMMYFUNCTION("""COMPUTED_VALUE"""),"HM 12859/BERINGIN RAYA")</f>
        <v>HM 12859/BERINGIN RAYA</v>
      </c>
      <c r="D5691" s="42" t="str">
        <f>IFERROR(__xludf.DUMMYFUNCTION("""COMPUTED_VALUE"""),"Berry")</f>
        <v>Berry</v>
      </c>
      <c r="E5691" s="42" t="str">
        <f>IFERROR(__xludf.DUMMYFUNCTION("""COMPUTED_VALUE"""),"DISERAHKAN")</f>
        <v>DISERAHKAN</v>
      </c>
      <c r="F5691" s="48">
        <f>IFERROR(__xludf.DUMMYFUNCTION("""COMPUTED_VALUE"""),45863.60844141204)</f>
        <v>45863.60844</v>
      </c>
      <c r="G5691" s="42" t="str">
        <f>IFERROR(__xludf.DUMMYFUNCTION("""COMPUTED_VALUE"""),"ROYA")</f>
        <v>ROYA</v>
      </c>
      <c r="H5691" s="42">
        <f t="shared" si="1"/>
        <v>2544</v>
      </c>
    </row>
    <row r="5692" ht="22.5" customHeight="1">
      <c r="B5692" s="42" t="str">
        <f>IFERROR(__xludf.DUMMYFUNCTION("""COMPUTED_VALUE"""),"L/33/100725/1")</f>
        <v>L/33/100725/1</v>
      </c>
      <c r="C5692" s="42" t="str">
        <f>IFERROR(__xludf.DUMMYFUNCTION("""COMPUTED_VALUE"""),"HM 981/SEPANG JAYA")</f>
        <v>HM 981/SEPANG JAYA</v>
      </c>
      <c r="D5692" s="42" t="str">
        <f>IFERROR(__xludf.DUMMYFUNCTION("""COMPUTED_VALUE"""),"Berry")</f>
        <v>Berry</v>
      </c>
      <c r="E5692" s="42" t="str">
        <f>IFERROR(__xludf.DUMMYFUNCTION("""COMPUTED_VALUE"""),"DISERAHKAN")</f>
        <v>DISERAHKAN</v>
      </c>
      <c r="F5692" s="48">
        <f>IFERROR(__xludf.DUMMYFUNCTION("""COMPUTED_VALUE"""),45863.60833084491)</f>
        <v>45863.60833</v>
      </c>
      <c r="G5692" s="42" t="str">
        <f>IFERROR(__xludf.DUMMYFUNCTION("""COMPUTED_VALUE"""),"ROYA")</f>
        <v>ROYA</v>
      </c>
      <c r="H5692" s="42">
        <f t="shared" si="1"/>
        <v>2545</v>
      </c>
    </row>
    <row r="5693" ht="22.5" customHeight="1">
      <c r="B5693" s="42" t="str">
        <f>IFERROR(__xludf.DUMMYFUNCTION("""COMPUTED_VALUE"""),"K/32/100725/1")</f>
        <v>K/32/100725/1</v>
      </c>
      <c r="C5693" s="42" t="str">
        <f>IFERROR(__xludf.DUMMYFUNCTION("""COMPUTED_VALUE"""),"M. 594/ Korpri Raya")</f>
        <v>M. 594/ Korpri Raya</v>
      </c>
      <c r="D5693" s="42" t="str">
        <f>IFERROR(__xludf.DUMMYFUNCTION("""COMPUTED_VALUE"""),"David")</f>
        <v>David</v>
      </c>
      <c r="E5693" s="42" t="str">
        <f>IFERROR(__xludf.DUMMYFUNCTION("""COMPUTED_VALUE"""),"DISERAHKAN")</f>
        <v>DISERAHKAN</v>
      </c>
      <c r="F5693" s="48">
        <f>IFERROR(__xludf.DUMMYFUNCTION("""COMPUTED_VALUE"""),45880.715402013884)</f>
        <v>45880.7154</v>
      </c>
      <c r="G5693" s="42" t="str">
        <f>IFERROR(__xludf.DUMMYFUNCTION("""COMPUTED_VALUE"""),"BN WARIS")</f>
        <v>BN WARIS</v>
      </c>
      <c r="H5693" s="42">
        <f t="shared" si="1"/>
        <v>2546</v>
      </c>
    </row>
    <row r="5694" ht="22.5" customHeight="1">
      <c r="B5694" s="42" t="str">
        <f>IFERROR(__xludf.DUMMYFUNCTION("""COMPUTED_VALUE"""),"K/36/100725/1")</f>
        <v>K/36/100725/1</v>
      </c>
      <c r="C5694" s="42" t="str">
        <f>IFERROR(__xludf.DUMMYFUNCTION("""COMPUTED_VALUE"""),"M.15538/SUKABUMI")</f>
        <v>M.15538/SUKABUMI</v>
      </c>
      <c r="D5694" s="42" t="str">
        <f>IFERROR(__xludf.DUMMYFUNCTION("""COMPUTED_VALUE"""),"Berry")</f>
        <v>Berry</v>
      </c>
      <c r="E5694" s="42" t="str">
        <f>IFERROR(__xludf.DUMMYFUNCTION("""COMPUTED_VALUE"""),"DISERAHKAN")</f>
        <v>DISERAHKAN</v>
      </c>
      <c r="F5694" s="48">
        <f>IFERROR(__xludf.DUMMYFUNCTION("""COMPUTED_VALUE"""),45867.68074048611)</f>
        <v>45867.68074</v>
      </c>
      <c r="G5694" s="42" t="str">
        <f>IFERROR(__xludf.DUMMYFUNCTION("""COMPUTED_VALUE"""),"JUAL BELI")</f>
        <v>JUAL BELI</v>
      </c>
      <c r="H5694" s="42">
        <f t="shared" si="1"/>
        <v>2547</v>
      </c>
    </row>
    <row r="5695" ht="22.5" customHeight="1">
      <c r="B5695" s="42" t="str">
        <f>IFERROR(__xludf.DUMMYFUNCTION("""COMPUTED_VALUE"""),"K/35/100725/2")</f>
        <v>K/35/100725/2</v>
      </c>
      <c r="C5695" s="42" t="str">
        <f>IFERROR(__xludf.DUMMYFUNCTION("""COMPUTED_VALUE"""),"M. 2400/ Pinang Jaya")</f>
        <v>M. 2400/ Pinang Jaya</v>
      </c>
      <c r="D5695" s="42" t="str">
        <f>IFERROR(__xludf.DUMMYFUNCTION("""COMPUTED_VALUE"""),"David")</f>
        <v>David</v>
      </c>
      <c r="E5695" s="42" t="str">
        <f>IFERROR(__xludf.DUMMYFUNCTION("""COMPUTED_VALUE"""),"DISERAHKAN")</f>
        <v>DISERAHKAN</v>
      </c>
      <c r="F5695" s="48">
        <f>IFERROR(__xludf.DUMMYFUNCTION("""COMPUTED_VALUE"""),45880.64777199074)</f>
        <v>45880.64777</v>
      </c>
      <c r="G5695" s="42" t="str">
        <f>IFERROR(__xludf.DUMMYFUNCTION("""COMPUTED_VALUE"""),"BN Jual Beli")</f>
        <v>BN Jual Beli</v>
      </c>
      <c r="H5695" s="42">
        <f t="shared" si="1"/>
        <v>2548</v>
      </c>
    </row>
    <row r="5696" ht="22.5" customHeight="1">
      <c r="B5696" s="42" t="str">
        <f>IFERROR(__xludf.DUMMYFUNCTION("""COMPUTED_VALUE"""),"L/38/100725/1")</f>
        <v>L/38/100725/1</v>
      </c>
      <c r="C5696" s="42" t="str">
        <f>IFERROR(__xludf.DUMMYFUNCTION("""COMPUTED_VALUE"""),"SUKAMAJU")</f>
        <v>SUKAMAJU</v>
      </c>
      <c r="D5696" s="42"/>
      <c r="E5696" s="42"/>
      <c r="F5696" s="48" t="str">
        <f>IFERROR(__xludf.DUMMYFUNCTION("""COMPUTED_VALUE"""),"")</f>
        <v/>
      </c>
      <c r="G5696" s="42" t="str">
        <f>IFERROR(__xludf.DUMMYFUNCTION("""COMPUTED_VALUE"""),"PERTAMA KALI")</f>
        <v>PERTAMA KALI</v>
      </c>
      <c r="H5696" s="42">
        <f t="shared" si="1"/>
        <v>2548</v>
      </c>
    </row>
    <row r="5697" ht="22.5" customHeight="1">
      <c r="B5697" s="42" t="str">
        <f>IFERROR(__xludf.DUMMYFUNCTION("""COMPUTED_VALUE"""),"L/42/100725/1")</f>
        <v>L/42/100725/1</v>
      </c>
      <c r="C5697" s="42" t="str">
        <f>IFERROR(__xludf.DUMMYFUNCTION("""COMPUTED_VALUE"""),"HM 5733/WAY KANDIS")</f>
        <v>HM 5733/WAY KANDIS</v>
      </c>
      <c r="D5697" s="42"/>
      <c r="E5697" s="42"/>
      <c r="F5697" s="48" t="str">
        <f>IFERROR(__xludf.DUMMYFUNCTION("""COMPUTED_VALUE"""),"")</f>
        <v/>
      </c>
      <c r="G5697" s="42" t="str">
        <f>IFERROR(__xludf.DUMMYFUNCTION("""COMPUTED_VALUE"""),"PTPGT")</f>
        <v>PTPGT</v>
      </c>
      <c r="H5697" s="42">
        <f t="shared" si="1"/>
        <v>2548</v>
      </c>
    </row>
    <row r="5698" ht="22.5" customHeight="1">
      <c r="B5698" s="42" t="str">
        <f>IFERROR(__xludf.DUMMYFUNCTION("""COMPUTED_VALUE"""),"K/39/100725/1")</f>
        <v>K/39/100725/1</v>
      </c>
      <c r="C5698" s="42" t="str">
        <f>IFERROR(__xludf.DUMMYFUNCTION("""COMPUTED_VALUE"""),"M. 9865/ Kampung Baru")</f>
        <v>M. 9865/ Kampung Baru</v>
      </c>
      <c r="D5698" s="42" t="str">
        <f>IFERROR(__xludf.DUMMYFUNCTION("""COMPUTED_VALUE"""),"David")</f>
        <v>David</v>
      </c>
      <c r="E5698" s="42" t="str">
        <f>IFERROR(__xludf.DUMMYFUNCTION("""COMPUTED_VALUE"""),"DISERAHKAN")</f>
        <v>DISERAHKAN</v>
      </c>
      <c r="F5698" s="48">
        <f>IFERROR(__xludf.DUMMYFUNCTION("""COMPUTED_VALUE"""),45868.65506392361)</f>
        <v>45868.65506</v>
      </c>
      <c r="G5698" s="42" t="str">
        <f>IFERROR(__xludf.DUMMYFUNCTION("""COMPUTED_VALUE"""),"ROYA")</f>
        <v>ROYA</v>
      </c>
      <c r="H5698" s="42">
        <f t="shared" si="1"/>
        <v>2549</v>
      </c>
    </row>
    <row r="5699" ht="22.5" customHeight="1">
      <c r="B5699" s="42" t="str">
        <f>IFERROR(__xludf.DUMMYFUNCTION("""COMPUTED_VALUE"""),"K/40/100725/2")</f>
        <v>K/40/100725/2</v>
      </c>
      <c r="C5699" s="42" t="str">
        <f>IFERROR(__xludf.DUMMYFUNCTION("""COMPUTED_VALUE"""),"Nibel 20331/ Gunung Terang")</f>
        <v>Nibel 20331/ Gunung Terang</v>
      </c>
      <c r="D5699" s="42"/>
      <c r="E5699" s="42"/>
      <c r="F5699" s="48" t="str">
        <f>IFERROR(__xludf.DUMMYFUNCTION("""COMPUTED_VALUE"""),"")</f>
        <v/>
      </c>
      <c r="G5699" s="42" t="str">
        <f>IFERROR(__xludf.DUMMYFUNCTION("""COMPUTED_VALUE"""),"BN JUAL BELI")</f>
        <v>BN JUAL BELI</v>
      </c>
      <c r="H5699" s="42">
        <f t="shared" si="1"/>
        <v>2549</v>
      </c>
    </row>
    <row r="5700" ht="22.5" customHeight="1">
      <c r="B5700" s="42" t="str">
        <f>IFERROR(__xludf.DUMMYFUNCTION("""COMPUTED_VALUE"""),"K/41/100725/3")</f>
        <v>K/41/100725/3</v>
      </c>
      <c r="C5700" s="42" t="str">
        <f>IFERROR(__xludf.DUMMYFUNCTION("""COMPUTED_VALUE"""),"M. 255/ Pesawahan")</f>
        <v>M. 255/ Pesawahan</v>
      </c>
      <c r="D5700" s="42" t="str">
        <f>IFERROR(__xludf.DUMMYFUNCTION("""COMPUTED_VALUE"""),"Berry")</f>
        <v>Berry</v>
      </c>
      <c r="E5700" s="42" t="str">
        <f>IFERROR(__xludf.DUMMYFUNCTION("""COMPUTED_VALUE"""),"DISERAHKAN")</f>
        <v>DISERAHKAN</v>
      </c>
      <c r="F5700" s="48">
        <f>IFERROR(__xludf.DUMMYFUNCTION("""COMPUTED_VALUE"""),45856.51917814815)</f>
        <v>45856.51918</v>
      </c>
      <c r="G5700" s="42" t="str">
        <f>IFERROR(__xludf.DUMMYFUNCTION("""COMPUTED_VALUE"""),"BN JUAL BELI")</f>
        <v>BN JUAL BELI</v>
      </c>
      <c r="H5700" s="42">
        <f t="shared" si="1"/>
        <v>2550</v>
      </c>
    </row>
    <row r="5701" ht="22.5" customHeight="1">
      <c r="B5701" s="42" t="str">
        <f>IFERROR(__xludf.DUMMYFUNCTION("""COMPUTED_VALUE"""),"K/37/100725/1")</f>
        <v>K/37/100725/1</v>
      </c>
      <c r="C5701" s="42" t="str">
        <f>IFERROR(__xludf.DUMMYFUNCTION("""COMPUTED_VALUE"""),"M.4706/BERINGIN RAYA")</f>
        <v>M.4706/BERINGIN RAYA</v>
      </c>
      <c r="D5701" s="42" t="str">
        <f>IFERROR(__xludf.DUMMYFUNCTION("""COMPUTED_VALUE"""),"Berry")</f>
        <v>Berry</v>
      </c>
      <c r="E5701" s="42" t="str">
        <f>IFERROR(__xludf.DUMMYFUNCTION("""COMPUTED_VALUE"""),"DISERAHKAN")</f>
        <v>DISERAHKAN</v>
      </c>
      <c r="F5701" s="48">
        <f>IFERROR(__xludf.DUMMYFUNCTION("""COMPUTED_VALUE"""),45891.59146747685)</f>
        <v>45891.59147</v>
      </c>
      <c r="G5701" s="42" t="str">
        <f>IFERROR(__xludf.DUMMYFUNCTION("""COMPUTED_VALUE"""),"ROYA")</f>
        <v>ROYA</v>
      </c>
      <c r="H5701" s="42">
        <f t="shared" si="1"/>
        <v>2551</v>
      </c>
    </row>
    <row r="5702" ht="22.5" customHeight="1">
      <c r="B5702" s="42" t="str">
        <f>IFERROR(__xludf.DUMMYFUNCTION("""COMPUTED_VALUE"""),"L/1/110725/1")</f>
        <v>L/1/110725/1</v>
      </c>
      <c r="C5702" s="42" t="str">
        <f>IFERROR(__xludf.DUMMYFUNCTION("""COMPUTED_VALUE"""),"HGB 242/JAGABAYA II")</f>
        <v>HGB 242/JAGABAYA II</v>
      </c>
      <c r="D5702" s="42"/>
      <c r="E5702" s="42"/>
      <c r="F5702" s="48" t="str">
        <f>IFERROR(__xludf.DUMMYFUNCTION("""COMPUTED_VALUE"""),"")</f>
        <v/>
      </c>
      <c r="G5702" s="42" t="str">
        <f>IFERROR(__xludf.DUMMYFUNCTION("""COMPUTED_VALUE"""),"PERMOHONAN SK")</f>
        <v>PERMOHONAN SK</v>
      </c>
      <c r="H5702" s="42">
        <f t="shared" si="1"/>
        <v>2551</v>
      </c>
    </row>
    <row r="5703" ht="22.5" customHeight="1">
      <c r="B5703" s="42" t="str">
        <f>IFERROR(__xludf.DUMMYFUNCTION("""COMPUTED_VALUE"""),"K/2/110725/1")</f>
        <v>K/2/110725/1</v>
      </c>
      <c r="C5703" s="42" t="str">
        <f>IFERROR(__xludf.DUMMYFUNCTION("""COMPUTED_VALUE"""),"M. 1233/ Kota Baru")</f>
        <v>M. 1233/ Kota Baru</v>
      </c>
      <c r="D5703" s="42" t="str">
        <f>IFERROR(__xludf.DUMMYFUNCTION("""COMPUTED_VALUE"""),"David")</f>
        <v>David</v>
      </c>
      <c r="E5703" s="42" t="str">
        <f>IFERROR(__xludf.DUMMYFUNCTION("""COMPUTED_VALUE"""),"DISERAHKAN")</f>
        <v>DISERAHKAN</v>
      </c>
      <c r="F5703" s="48">
        <f>IFERROR(__xludf.DUMMYFUNCTION("""COMPUTED_VALUE"""),45863.60597451389)</f>
        <v>45863.60597</v>
      </c>
      <c r="G5703" s="42" t="str">
        <f>IFERROR(__xludf.DUMMYFUNCTION("""COMPUTED_VALUE"""),"BN JUAL BELI")</f>
        <v>BN JUAL BELI</v>
      </c>
      <c r="H5703" s="42">
        <f t="shared" si="1"/>
        <v>2552</v>
      </c>
    </row>
    <row r="5704" ht="22.5" customHeight="1">
      <c r="B5704" s="42" t="str">
        <f>IFERROR(__xludf.DUMMYFUNCTION("""COMPUTED_VALUE"""),"K/3/110725/1")</f>
        <v>K/3/110725/1</v>
      </c>
      <c r="C5704" s="42" t="str">
        <f>IFERROR(__xludf.DUMMYFUNCTION("""COMPUTED_VALUE"""),"Nibel. M. 18214/ Keteguhan")</f>
        <v>Nibel. M. 18214/ Keteguhan</v>
      </c>
      <c r="D5704" s="42"/>
      <c r="E5704" s="42"/>
      <c r="F5704" s="48" t="str">
        <f>IFERROR(__xludf.DUMMYFUNCTION("""COMPUTED_VALUE"""),"")</f>
        <v/>
      </c>
      <c r="G5704" s="42" t="str">
        <f>IFERROR(__xludf.DUMMYFUNCTION("""COMPUTED_VALUE"""),"Pemecahan")</f>
        <v>Pemecahan</v>
      </c>
      <c r="H5704" s="42">
        <f t="shared" si="1"/>
        <v>2552</v>
      </c>
    </row>
    <row r="5705" ht="22.5" customHeight="1">
      <c r="B5705" s="42" t="str">
        <f>IFERROR(__xludf.DUMMYFUNCTION("""COMPUTED_VALUE"""),"K/30/100725/1")</f>
        <v>K/30/100725/1</v>
      </c>
      <c r="C5705" s="42" t="str">
        <f>IFERROR(__xludf.DUMMYFUNCTION("""COMPUTED_VALUE"""),"M.15467, M.18138/SUKARAME")</f>
        <v>M.15467, M.18138/SUKARAME</v>
      </c>
      <c r="D5705" s="42" t="str">
        <f>IFERROR(__xludf.DUMMYFUNCTION("""COMPUTED_VALUE"""),"David")</f>
        <v>David</v>
      </c>
      <c r="E5705" s="42" t="str">
        <f>IFERROR(__xludf.DUMMYFUNCTION("""COMPUTED_VALUE"""),"DISERAHKAN")</f>
        <v>DISERAHKAN</v>
      </c>
      <c r="F5705" s="48">
        <f>IFERROR(__xludf.DUMMYFUNCTION("""COMPUTED_VALUE"""),45860.68798577547)</f>
        <v>45860.68799</v>
      </c>
      <c r="G5705" s="42" t="str">
        <f>IFERROR(__xludf.DUMMYFUNCTION("""COMPUTED_VALUE"""),"ROYA")</f>
        <v>ROYA</v>
      </c>
      <c r="H5705" s="42">
        <f t="shared" si="1"/>
        <v>2553</v>
      </c>
    </row>
    <row r="5706" ht="22.5" customHeight="1">
      <c r="B5706" s="42" t="str">
        <f>IFERROR(__xludf.DUMMYFUNCTION("""COMPUTED_VALUE"""),"K/4/110725/1")</f>
        <v>K/4/110725/1</v>
      </c>
      <c r="C5706" s="42" t="str">
        <f>IFERROR(__xludf.DUMMYFUNCTION("""COMPUTED_VALUE"""),"M.367/TANJUNG SENANG")</f>
        <v>M.367/TANJUNG SENANG</v>
      </c>
      <c r="D5706" s="42" t="str">
        <f>IFERROR(__xludf.DUMMYFUNCTION("""COMPUTED_VALUE"""),"David")</f>
        <v>David</v>
      </c>
      <c r="E5706" s="42" t="str">
        <f>IFERROR(__xludf.DUMMYFUNCTION("""COMPUTED_VALUE"""),"DISERAHKAN")</f>
        <v>DISERAHKAN</v>
      </c>
      <c r="F5706" s="48">
        <f>IFERROR(__xludf.DUMMYFUNCTION("""COMPUTED_VALUE"""),45883.65859982639)</f>
        <v>45883.6586</v>
      </c>
      <c r="G5706" s="42" t="str">
        <f>IFERROR(__xludf.DUMMYFUNCTION("""COMPUTED_VALUE"""),"BN JUAL BELI")</f>
        <v>BN JUAL BELI</v>
      </c>
      <c r="H5706" s="42">
        <f t="shared" si="1"/>
        <v>2554</v>
      </c>
    </row>
    <row r="5707" ht="22.5" customHeight="1">
      <c r="B5707" s="42" t="str">
        <f>IFERROR(__xludf.DUMMYFUNCTION("""COMPUTED_VALUE"""),"L/5/110725/1")</f>
        <v>L/5/110725/1</v>
      </c>
      <c r="C5707" s="42" t="str">
        <f>IFERROR(__xludf.DUMMYFUNCTION("""COMPUTED_VALUE"""),"HGB 213/KOTA BARU")</f>
        <v>HGB 213/KOTA BARU</v>
      </c>
      <c r="D5707" s="42"/>
      <c r="E5707" s="42"/>
      <c r="F5707" s="48" t="str">
        <f>IFERROR(__xludf.DUMMYFUNCTION("""COMPUTED_VALUE"""),"")</f>
        <v/>
      </c>
      <c r="G5707" s="42" t="str">
        <f>IFERROR(__xludf.DUMMYFUNCTION("""COMPUTED_VALUE"""),"PH")</f>
        <v>PH</v>
      </c>
      <c r="H5707" s="42">
        <f t="shared" si="1"/>
        <v>2554</v>
      </c>
    </row>
    <row r="5708" ht="22.5" customHeight="1">
      <c r="B5708" s="42" t="str">
        <f>IFERROR(__xludf.DUMMYFUNCTION("""COMPUTED_VALUE"""),"L/6/110725/1")</f>
        <v>L/6/110725/1</v>
      </c>
      <c r="C5708" s="42" t="str">
        <f>IFERROR(__xludf.DUMMYFUNCTION("""COMPUTED_VALUE"""),"LABUHAN DALAM")</f>
        <v>LABUHAN DALAM</v>
      </c>
      <c r="D5708" s="42"/>
      <c r="E5708" s="42"/>
      <c r="F5708" s="48" t="str">
        <f>IFERROR(__xludf.DUMMYFUNCTION("""COMPUTED_VALUE"""),"")</f>
        <v/>
      </c>
      <c r="G5708" s="42" t="str">
        <f>IFERROR(__xludf.DUMMYFUNCTION("""COMPUTED_VALUE"""),"ASPEK")</f>
        <v>ASPEK</v>
      </c>
      <c r="H5708" s="42">
        <f t="shared" si="1"/>
        <v>2554</v>
      </c>
    </row>
    <row r="5709" ht="22.5" customHeight="1">
      <c r="B5709" s="42" t="str">
        <f>IFERROR(__xludf.DUMMYFUNCTION("""COMPUTED_VALUE"""),"K/43/100725/1")</f>
        <v>K/43/100725/1</v>
      </c>
      <c r="C5709" s="42" t="str">
        <f>IFERROR(__xludf.DUMMYFUNCTION("""COMPUTED_VALUE"""),"M.12361/SUKABUMI")</f>
        <v>M.12361/SUKABUMI</v>
      </c>
      <c r="D5709" s="42" t="str">
        <f>IFERROR(__xludf.DUMMYFUNCTION("""COMPUTED_VALUE"""),"Berry")</f>
        <v>Berry</v>
      </c>
      <c r="E5709" s="42" t="str">
        <f>IFERROR(__xludf.DUMMYFUNCTION("""COMPUTED_VALUE"""),"DISERAHKAN")</f>
        <v>DISERAHKAN</v>
      </c>
      <c r="F5709" s="48">
        <f>IFERROR(__xludf.DUMMYFUNCTION("""COMPUTED_VALUE"""),45856.515250069446)</f>
        <v>45856.51525</v>
      </c>
      <c r="G5709" s="42" t="str">
        <f>IFERROR(__xludf.DUMMYFUNCTION("""COMPUTED_VALUE"""),"JUAL BELI")</f>
        <v>JUAL BELI</v>
      </c>
      <c r="H5709" s="42">
        <f t="shared" si="1"/>
        <v>2555</v>
      </c>
    </row>
    <row r="5710" ht="22.5" customHeight="1">
      <c r="B5710" s="42" t="str">
        <f>IFERROR(__xludf.DUMMYFUNCTION("""COMPUTED_VALUE"""),"K/7/110725/1")</f>
        <v>K/7/110725/1</v>
      </c>
      <c r="C5710" s="42" t="str">
        <f>IFERROR(__xludf.DUMMYFUNCTION("""COMPUTED_VALUE"""),"M.596/RAJABASA PEMUKA")</f>
        <v>M.596/RAJABASA PEMUKA</v>
      </c>
      <c r="D5710" s="42" t="str">
        <f>IFERROR(__xludf.DUMMYFUNCTION("""COMPUTED_VALUE"""),"Berry")</f>
        <v>Berry</v>
      </c>
      <c r="E5710" s="42" t="str">
        <f>IFERROR(__xludf.DUMMYFUNCTION("""COMPUTED_VALUE"""),"DISERAHKAN")</f>
        <v>DISERAHKAN</v>
      </c>
      <c r="F5710" s="48">
        <f>IFERROR(__xludf.DUMMYFUNCTION("""COMPUTED_VALUE"""),45867.68370621528)</f>
        <v>45867.68371</v>
      </c>
      <c r="G5710" s="42" t="str">
        <f>IFERROR(__xludf.DUMMYFUNCTION("""COMPUTED_VALUE"""),"JUAL BELI")</f>
        <v>JUAL BELI</v>
      </c>
      <c r="H5710" s="42">
        <f t="shared" si="1"/>
        <v>2556</v>
      </c>
    </row>
    <row r="5711" ht="22.5" customHeight="1">
      <c r="B5711" s="42" t="str">
        <f>IFERROR(__xludf.DUMMYFUNCTION("""COMPUTED_VALUE"""),"K/8/110725/2")</f>
        <v>K/8/110725/2</v>
      </c>
      <c r="C5711" s="42" t="str">
        <f>IFERROR(__xludf.DUMMYFUNCTION("""COMPUTED_VALUE"""),"NIBEL M.22569/RAWA LAUT")</f>
        <v>NIBEL M.22569/RAWA LAUT</v>
      </c>
      <c r="D5711" s="42"/>
      <c r="E5711" s="42"/>
      <c r="F5711" s="48" t="str">
        <f>IFERROR(__xludf.DUMMYFUNCTION("""COMPUTED_VALUE"""),"")</f>
        <v/>
      </c>
      <c r="G5711" s="42" t="str">
        <f>IFERROR(__xludf.DUMMYFUNCTION("""COMPUTED_VALUE"""),"JUAL BELI ")</f>
        <v>JUAL BELI </v>
      </c>
      <c r="H5711" s="42">
        <f t="shared" si="1"/>
        <v>2556</v>
      </c>
    </row>
    <row r="5712" ht="22.5" customHeight="1">
      <c r="B5712" s="42" t="str">
        <f>IFERROR(__xludf.DUMMYFUNCTION("""COMPUTED_VALUE"""),"K/10/110725/1")</f>
        <v>K/10/110725/1</v>
      </c>
      <c r="C5712" s="42" t="str">
        <f>IFERROR(__xludf.DUMMYFUNCTION("""COMPUTED_VALUE"""),"M. 5430/ Way Kandis")</f>
        <v>M. 5430/ Way Kandis</v>
      </c>
      <c r="D5712" s="42"/>
      <c r="E5712" s="42"/>
      <c r="F5712" s="48" t="str">
        <f>IFERROR(__xludf.DUMMYFUNCTION("""COMPUTED_VALUE"""),"")</f>
        <v/>
      </c>
      <c r="G5712" s="42" t="str">
        <f>IFERROR(__xludf.DUMMYFUNCTION("""COMPUTED_VALUE"""),"HAPUS BPHTB")</f>
        <v>HAPUS BPHTB</v>
      </c>
      <c r="H5712" s="42">
        <f t="shared" si="1"/>
        <v>2556</v>
      </c>
    </row>
    <row r="5713" ht="22.5" customHeight="1">
      <c r="B5713" s="42" t="str">
        <f>IFERROR(__xludf.DUMMYFUNCTION("""COMPUTED_VALUE"""),"K/11/110725/2")</f>
        <v>K/11/110725/2</v>
      </c>
      <c r="C5713" s="42" t="str">
        <f>IFERROR(__xludf.DUMMYFUNCTION("""COMPUTED_VALUE"""),"M. 5576/ way kandis")</f>
        <v>M. 5576/ way kandis</v>
      </c>
      <c r="D5713" s="42" t="str">
        <f>IFERROR(__xludf.DUMMYFUNCTION("""COMPUTED_VALUE"""),"Berry")</f>
        <v>Berry</v>
      </c>
      <c r="E5713" s="42" t="str">
        <f>IFERROR(__xludf.DUMMYFUNCTION("""COMPUTED_VALUE"""),"DISERAHKAN")</f>
        <v>DISERAHKAN</v>
      </c>
      <c r="F5713" s="48">
        <f>IFERROR(__xludf.DUMMYFUNCTION("""COMPUTED_VALUE"""),45861.62816545139)</f>
        <v>45861.62817</v>
      </c>
      <c r="G5713" s="42" t="str">
        <f>IFERROR(__xludf.DUMMYFUNCTION("""COMPUTED_VALUE"""),"BN JUAL BELI")</f>
        <v>BN JUAL BELI</v>
      </c>
      <c r="H5713" s="42">
        <f t="shared" si="1"/>
        <v>2557</v>
      </c>
    </row>
    <row r="5714" ht="22.5" customHeight="1">
      <c r="B5714" s="42" t="str">
        <f>IFERROR(__xludf.DUMMYFUNCTION("""COMPUTED_VALUE"""),"K/9/110725/3")</f>
        <v>K/9/110725/3</v>
      </c>
      <c r="C5714" s="42" t="str">
        <f>IFERROR(__xludf.DUMMYFUNCTION("""COMPUTED_VALUE"""),"NIBEL M 22304/KAMPUNG BARU")</f>
        <v>NIBEL M 22304/KAMPUNG BARU</v>
      </c>
      <c r="D5714" s="42"/>
      <c r="E5714" s="42"/>
      <c r="F5714" s="48" t="str">
        <f>IFERROR(__xludf.DUMMYFUNCTION("""COMPUTED_VALUE"""),"")</f>
        <v/>
      </c>
      <c r="G5714" s="42" t="str">
        <f>IFERROR(__xludf.DUMMYFUNCTION("""COMPUTED_VALUE"""),"JUAL BELI")</f>
        <v>JUAL BELI</v>
      </c>
      <c r="H5714" s="42">
        <f t="shared" si="1"/>
        <v>2557</v>
      </c>
    </row>
    <row r="5715" ht="22.5" customHeight="1">
      <c r="B5715" s="42" t="str">
        <f>IFERROR(__xludf.DUMMYFUNCTION("""COMPUTED_VALUE"""),"L/12/110725/1")</f>
        <v>L/12/110725/1</v>
      </c>
      <c r="C5715" s="42" t="str">
        <f>IFERROR(__xludf.DUMMYFUNCTION("""COMPUTED_VALUE"""),"HGB 207/GEDUNG MENENG")</f>
        <v>HGB 207/GEDUNG MENENG</v>
      </c>
      <c r="D5715" s="42"/>
      <c r="E5715" s="42"/>
      <c r="F5715" s="48" t="str">
        <f>IFERROR(__xludf.DUMMYFUNCTION("""COMPUTED_VALUE"""),"")</f>
        <v/>
      </c>
      <c r="G5715" s="42" t="str">
        <f>IFERROR(__xludf.DUMMYFUNCTION("""COMPUTED_VALUE"""),"PH")</f>
        <v>PH</v>
      </c>
      <c r="H5715" s="42">
        <f t="shared" si="1"/>
        <v>2557</v>
      </c>
    </row>
    <row r="5716" ht="22.5" customHeight="1">
      <c r="B5716" s="42" t="str">
        <f>IFERROR(__xludf.DUMMYFUNCTION("""COMPUTED_VALUE"""),"K/17/110725/1")</f>
        <v>K/17/110725/1</v>
      </c>
      <c r="C5716" s="42" t="str">
        <f>IFERROR(__xludf.DUMMYFUNCTION("""COMPUTED_VALUE"""),"M. 1162/ Tanjung Gading")</f>
        <v>M. 1162/ Tanjung Gading</v>
      </c>
      <c r="D5716" s="42" t="str">
        <f>IFERROR(__xludf.DUMMYFUNCTION("""COMPUTED_VALUE"""),"Berry")</f>
        <v>Berry</v>
      </c>
      <c r="E5716" s="42" t="str">
        <f>IFERROR(__xludf.DUMMYFUNCTION("""COMPUTED_VALUE"""),"DISERAHKAN")</f>
        <v>DISERAHKAN</v>
      </c>
      <c r="F5716" s="48">
        <f>IFERROR(__xludf.DUMMYFUNCTION("""COMPUTED_VALUE"""),45880.71949998842)</f>
        <v>45880.7195</v>
      </c>
      <c r="G5716" s="42" t="str">
        <f>IFERROR(__xludf.DUMMYFUNCTION("""COMPUTED_VALUE"""),"BN JUAL BELI")</f>
        <v>BN JUAL BELI</v>
      </c>
      <c r="H5716" s="42">
        <f t="shared" si="1"/>
        <v>2558</v>
      </c>
    </row>
    <row r="5717" ht="22.5" customHeight="1">
      <c r="B5717" s="42" t="str">
        <f>IFERROR(__xludf.DUMMYFUNCTION("""COMPUTED_VALUE"""),"K/16/110725/4")</f>
        <v>K/16/110725/4</v>
      </c>
      <c r="C5717" s="42" t="str">
        <f>IFERROR(__xludf.DUMMYFUNCTION("""COMPUTED_VALUE"""),"M. 14992/ Rajabasa")</f>
        <v>M. 14992/ Rajabasa</v>
      </c>
      <c r="D5717" s="42" t="str">
        <f>IFERROR(__xludf.DUMMYFUNCTION("""COMPUTED_VALUE"""),"Berry")</f>
        <v>Berry</v>
      </c>
      <c r="E5717" s="42" t="str">
        <f>IFERROR(__xludf.DUMMYFUNCTION("""COMPUTED_VALUE"""),"DISERAHKAN")</f>
        <v>DISERAHKAN</v>
      </c>
      <c r="F5717" s="48">
        <f>IFERROR(__xludf.DUMMYFUNCTION("""COMPUTED_VALUE"""),45867.71657925926)</f>
        <v>45867.71658</v>
      </c>
      <c r="G5717" s="42" t="str">
        <f>IFERROR(__xludf.DUMMYFUNCTION("""COMPUTED_VALUE"""),"BN Jual Beli")</f>
        <v>BN Jual Beli</v>
      </c>
      <c r="H5717" s="42">
        <f t="shared" si="1"/>
        <v>2559</v>
      </c>
    </row>
    <row r="5718" ht="22.5" customHeight="1">
      <c r="B5718" s="42" t="str">
        <f>IFERROR(__xludf.DUMMYFUNCTION("""COMPUTED_VALUE"""),"K/15/110725/3")</f>
        <v>K/15/110725/3</v>
      </c>
      <c r="C5718" s="42" t="str">
        <f>IFERROR(__xludf.DUMMYFUNCTION("""COMPUTED_VALUE"""),"M. 10290/ SUkabumi")</f>
        <v>M. 10290/ SUkabumi</v>
      </c>
      <c r="D5718" s="42" t="str">
        <f>IFERROR(__xludf.DUMMYFUNCTION("""COMPUTED_VALUE"""),"Berry")</f>
        <v>Berry</v>
      </c>
      <c r="E5718" s="42" t="str">
        <f>IFERROR(__xludf.DUMMYFUNCTION("""COMPUTED_VALUE"""),"DISERAHKAN")</f>
        <v>DISERAHKAN</v>
      </c>
      <c r="F5718" s="48">
        <f>IFERROR(__xludf.DUMMYFUNCTION("""COMPUTED_VALUE"""),45916.659228310185)</f>
        <v>45916.65923</v>
      </c>
      <c r="G5718" s="42" t="str">
        <f>IFERROR(__xludf.DUMMYFUNCTION("""COMPUTED_VALUE"""),"Roya")</f>
        <v>Roya</v>
      </c>
      <c r="H5718" s="42">
        <f t="shared" si="1"/>
        <v>2560</v>
      </c>
    </row>
    <row r="5719" ht="22.5" customHeight="1">
      <c r="B5719" s="42" t="str">
        <f>IFERROR(__xludf.DUMMYFUNCTION("""COMPUTED_VALUE"""),"K/18/110725/1")</f>
        <v>K/18/110725/1</v>
      </c>
      <c r="C5719" s="42" t="str">
        <f>IFERROR(__xludf.DUMMYFUNCTION("""COMPUTED_VALUE"""),"M. 1616/ Rajabasa Nunyai")</f>
        <v>M. 1616/ Rajabasa Nunyai</v>
      </c>
      <c r="D5719" s="42" t="str">
        <f>IFERROR(__xludf.DUMMYFUNCTION("""COMPUTED_VALUE"""),"Berry")</f>
        <v>Berry</v>
      </c>
      <c r="E5719" s="42" t="str">
        <f>IFERROR(__xludf.DUMMYFUNCTION("""COMPUTED_VALUE"""),"DISERAHKAN")</f>
        <v>DISERAHKAN</v>
      </c>
      <c r="F5719" s="48">
        <f>IFERROR(__xludf.DUMMYFUNCTION("""COMPUTED_VALUE"""),45861.63198583333)</f>
        <v>45861.63199</v>
      </c>
      <c r="G5719" s="42" t="str">
        <f>IFERROR(__xludf.DUMMYFUNCTION("""COMPUTED_VALUE"""),"BN JUAL BELI")</f>
        <v>BN JUAL BELI</v>
      </c>
      <c r="H5719" s="42">
        <f t="shared" si="1"/>
        <v>2561</v>
      </c>
    </row>
    <row r="5720" ht="22.5" customHeight="1">
      <c r="B5720" s="42" t="str">
        <f>IFERROR(__xludf.DUMMYFUNCTION("""COMPUTED_VALUE"""),"K/14/110725/2")</f>
        <v>K/14/110725/2</v>
      </c>
      <c r="C5720" s="42" t="str">
        <f>IFERROR(__xludf.DUMMYFUNCTION("""COMPUTED_VALUE"""),"M. 424/ Bumi Kedamaian")</f>
        <v>M. 424/ Bumi Kedamaian</v>
      </c>
      <c r="D5720" s="42" t="str">
        <f>IFERROR(__xludf.DUMMYFUNCTION("""COMPUTED_VALUE"""),"Berry")</f>
        <v>Berry</v>
      </c>
      <c r="E5720" s="42" t="str">
        <f>IFERROR(__xludf.DUMMYFUNCTION("""COMPUTED_VALUE"""),"DISERAHKAN")</f>
        <v>DISERAHKAN</v>
      </c>
      <c r="F5720" s="48">
        <f>IFERROR(__xludf.DUMMYFUNCTION("""COMPUTED_VALUE"""),45898.65097152778)</f>
        <v>45898.65097</v>
      </c>
      <c r="G5720" s="42" t="str">
        <f>IFERROR(__xludf.DUMMYFUNCTION("""COMPUTED_VALUE"""),"Roya")</f>
        <v>Roya</v>
      </c>
      <c r="H5720" s="42">
        <f t="shared" si="1"/>
        <v>2562</v>
      </c>
    </row>
    <row r="5721" ht="22.5" customHeight="1">
      <c r="B5721" s="42" t="str">
        <f>IFERROR(__xludf.DUMMYFUNCTION("""COMPUTED_VALUE"""),"K/13/110725/1")</f>
        <v>K/13/110725/1</v>
      </c>
      <c r="C5721" s="42" t="str">
        <f>IFERROR(__xludf.DUMMYFUNCTION("""COMPUTED_VALUE"""),"M. 256/ Gunung Mas")</f>
        <v>M. 256/ Gunung Mas</v>
      </c>
      <c r="D5721" s="42" t="str">
        <f>IFERROR(__xludf.DUMMYFUNCTION("""COMPUTED_VALUE"""),"Berry")</f>
        <v>Berry</v>
      </c>
      <c r="E5721" s="42" t="str">
        <f>IFERROR(__xludf.DUMMYFUNCTION("""COMPUTED_VALUE"""),"DISERAHKAN")</f>
        <v>DISERAHKAN</v>
      </c>
      <c r="F5721" s="48">
        <f>IFERROR(__xludf.DUMMYFUNCTION("""COMPUTED_VALUE"""),45897.4931409375)</f>
        <v>45897.49314</v>
      </c>
      <c r="G5721" s="42" t="str">
        <f>IFERROR(__xludf.DUMMYFUNCTION("""COMPUTED_VALUE"""),"Roya")</f>
        <v>Roya</v>
      </c>
      <c r="H5721" s="42">
        <f t="shared" si="1"/>
        <v>2563</v>
      </c>
    </row>
    <row r="5722" ht="22.5" customHeight="1">
      <c r="B5722" s="42" t="str">
        <f>IFERROR(__xludf.DUMMYFUNCTION("""COMPUTED_VALUE"""),"K/19/110725/1")</f>
        <v>K/19/110725/1</v>
      </c>
      <c r="C5722" s="42" t="str">
        <f>IFERROR(__xludf.DUMMYFUNCTION("""COMPUTED_VALUE"""),"Nibel. M. 21815/ Kaliawi Persada")</f>
        <v>Nibel. M. 21815/ Kaliawi Persada</v>
      </c>
      <c r="D5722" s="42"/>
      <c r="E5722" s="42"/>
      <c r="F5722" s="48" t="str">
        <f>IFERROR(__xludf.DUMMYFUNCTION("""COMPUTED_VALUE"""),"")</f>
        <v/>
      </c>
      <c r="G5722" s="42" t="str">
        <f>IFERROR(__xludf.DUMMYFUNCTION("""COMPUTED_VALUE"""),"BN Jual Beli")</f>
        <v>BN Jual Beli</v>
      </c>
      <c r="H5722" s="42">
        <f t="shared" si="1"/>
        <v>2563</v>
      </c>
    </row>
    <row r="5723" ht="22.5" customHeight="1">
      <c r="B5723" s="42" t="str">
        <f>IFERROR(__xludf.DUMMYFUNCTION("""COMPUTED_VALUE"""),"L/20/110725/1")</f>
        <v>L/20/110725/1</v>
      </c>
      <c r="C5723" s="42" t="str">
        <f>IFERROR(__xludf.DUMMYFUNCTION("""COMPUTED_VALUE"""),"HM 13589/LABUHAN RATU")</f>
        <v>HM 13589/LABUHAN RATU</v>
      </c>
      <c r="D5723" s="42" t="str">
        <f>IFERROR(__xludf.DUMMYFUNCTION("""COMPUTED_VALUE"""),"David")</f>
        <v>David</v>
      </c>
      <c r="E5723" s="42" t="str">
        <f>IFERROR(__xludf.DUMMYFUNCTION("""COMPUTED_VALUE"""),"DISERAHKAN")</f>
        <v>DISERAHKAN</v>
      </c>
      <c r="F5723" s="48">
        <f>IFERROR(__xludf.DUMMYFUNCTION("""COMPUTED_VALUE"""),45877.491211493056)</f>
        <v>45877.49121</v>
      </c>
      <c r="G5723" s="42" t="str">
        <f>IFERROR(__xludf.DUMMYFUNCTION("""COMPUTED_VALUE"""),"ROYA")</f>
        <v>ROYA</v>
      </c>
      <c r="H5723" s="42">
        <f t="shared" si="1"/>
        <v>2564</v>
      </c>
    </row>
    <row r="5724" ht="22.5" customHeight="1">
      <c r="B5724" s="42" t="str">
        <f>IFERROR(__xludf.DUMMYFUNCTION("""COMPUTED_VALUE"""),"K/22/110725/1")</f>
        <v>K/22/110725/1</v>
      </c>
      <c r="C5724" s="42" t="str">
        <f>IFERROR(__xludf.DUMMYFUNCTION("""COMPUTED_VALUE"""),"NIBEL M 18348/LABUHAN RATU RAYA")</f>
        <v>NIBEL M 18348/LABUHAN RATU RAYA</v>
      </c>
      <c r="D5724" s="42"/>
      <c r="E5724" s="42"/>
      <c r="F5724" s="48" t="str">
        <f>IFERROR(__xludf.DUMMYFUNCTION("""COMPUTED_VALUE"""),"")</f>
        <v/>
      </c>
      <c r="G5724" s="42" t="str">
        <f>IFERROR(__xludf.DUMMYFUNCTION("""COMPUTED_VALUE"""),"JUAL BELI")</f>
        <v>JUAL BELI</v>
      </c>
      <c r="H5724" s="42">
        <f t="shared" si="1"/>
        <v>2564</v>
      </c>
    </row>
    <row r="5725" ht="22.5" customHeight="1">
      <c r="B5725" s="42" t="str">
        <f>IFERROR(__xludf.DUMMYFUNCTION("""COMPUTED_VALUE"""),"L/21/110725/2")</f>
        <v>L/21/110725/2</v>
      </c>
      <c r="C5725" s="42" t="str">
        <f>IFERROR(__xludf.DUMMYFUNCTION("""COMPUTED_VALUE"""),"HM 13538/LABUHAN RATU")</f>
        <v>HM 13538/LABUHAN RATU</v>
      </c>
      <c r="D5725" s="42" t="str">
        <f>IFERROR(__xludf.DUMMYFUNCTION("""COMPUTED_VALUE"""),"David")</f>
        <v>David</v>
      </c>
      <c r="E5725" s="42" t="str">
        <f>IFERROR(__xludf.DUMMYFUNCTION("""COMPUTED_VALUE"""),"DISERAHKAN")</f>
        <v>DISERAHKAN</v>
      </c>
      <c r="F5725" s="48">
        <f>IFERROR(__xludf.DUMMYFUNCTION("""COMPUTED_VALUE"""),45877.49099693287)</f>
        <v>45877.491</v>
      </c>
      <c r="G5725" s="42" t="str">
        <f>IFERROR(__xludf.DUMMYFUNCTION("""COMPUTED_VALUE"""),"ROYA")</f>
        <v>ROYA</v>
      </c>
      <c r="H5725" s="42">
        <f t="shared" si="1"/>
        <v>2565</v>
      </c>
    </row>
    <row r="5726" ht="22.5" customHeight="1">
      <c r="B5726" s="42" t="str">
        <f>IFERROR(__xludf.DUMMYFUNCTION("""COMPUTED_VALUE"""),"K/23/110725/1")</f>
        <v>K/23/110725/1</v>
      </c>
      <c r="C5726" s="42" t="str">
        <f>IFERROR(__xludf.DUMMYFUNCTION("""COMPUTED_VALUE"""),"M. 2086/ Sumber Agung")</f>
        <v>M. 2086/ Sumber Agung</v>
      </c>
      <c r="D5726" s="42"/>
      <c r="E5726" s="42"/>
      <c r="F5726" s="48" t="str">
        <f>IFERROR(__xludf.DUMMYFUNCTION("""COMPUTED_VALUE"""),"")</f>
        <v/>
      </c>
      <c r="G5726" s="42" t="str">
        <f>IFERROR(__xludf.DUMMYFUNCTION("""COMPUTED_VALUE"""),"BN Jual Beli")</f>
        <v>BN Jual Beli</v>
      </c>
      <c r="H5726" s="42">
        <f t="shared" si="1"/>
        <v>2565</v>
      </c>
    </row>
    <row r="5727" ht="22.5" customHeight="1">
      <c r="B5727" s="42" t="str">
        <f>IFERROR(__xludf.DUMMYFUNCTION("""COMPUTED_VALUE"""),"K/24/110725/1")</f>
        <v>K/24/110725/1</v>
      </c>
      <c r="C5727" s="42" t="str">
        <f>IFERROR(__xludf.DUMMYFUNCTION("""COMPUTED_VALUE"""),"NIBEL M 16492/LABUHAN DALAM")</f>
        <v>NIBEL M 16492/LABUHAN DALAM</v>
      </c>
      <c r="D5727" s="42"/>
      <c r="E5727" s="42"/>
      <c r="F5727" s="48" t="str">
        <f>IFERROR(__xludf.DUMMYFUNCTION("""COMPUTED_VALUE"""),"")</f>
        <v/>
      </c>
      <c r="G5727" s="42" t="str">
        <f>IFERROR(__xludf.DUMMYFUNCTION("""COMPUTED_VALUE"""),"JUAL BELI")</f>
        <v>JUAL BELI</v>
      </c>
      <c r="H5727" s="42">
        <f t="shared" si="1"/>
        <v>2565</v>
      </c>
    </row>
    <row r="5728" ht="22.5" customHeight="1">
      <c r="B5728" s="42" t="str">
        <f>IFERROR(__xludf.DUMMYFUNCTION("""COMPUTED_VALUE"""),"K/25/110725/2")</f>
        <v>K/25/110725/2</v>
      </c>
      <c r="C5728" s="42" t="str">
        <f>IFERROR(__xludf.DUMMYFUNCTION("""COMPUTED_VALUE"""),"NIBEL M.18595/GUNUNG AGUNG")</f>
        <v>NIBEL M.18595/GUNUNG AGUNG</v>
      </c>
      <c r="D5728" s="42"/>
      <c r="E5728" s="42"/>
      <c r="F5728" s="48" t="str">
        <f>IFERROR(__xludf.DUMMYFUNCTION("""COMPUTED_VALUE"""),"")</f>
        <v/>
      </c>
      <c r="G5728" s="42" t="str">
        <f>IFERROR(__xludf.DUMMYFUNCTION("""COMPUTED_VALUE"""),"JUAL BELI")</f>
        <v>JUAL BELI</v>
      </c>
      <c r="H5728" s="42">
        <f t="shared" si="1"/>
        <v>2565</v>
      </c>
    </row>
    <row r="5729" ht="22.5" customHeight="1">
      <c r="B5729" s="42" t="str">
        <f>IFERROR(__xludf.DUMMYFUNCTION("""COMPUTED_VALUE"""),"K/26/110725/1")</f>
        <v>K/26/110725/1</v>
      </c>
      <c r="C5729" s="42" t="str">
        <f>IFERROR(__xludf.DUMMYFUNCTION("""COMPUTED_VALUE"""),"M. 2621/ Pinang Jaya")</f>
        <v>M. 2621/ Pinang Jaya</v>
      </c>
      <c r="D5729" s="42" t="str">
        <f>IFERROR(__xludf.DUMMYFUNCTION("""COMPUTED_VALUE"""),"Berry")</f>
        <v>Berry</v>
      </c>
      <c r="E5729" s="42" t="str">
        <f>IFERROR(__xludf.DUMMYFUNCTION("""COMPUTED_VALUE"""),"DISERAHKAN")</f>
        <v>DISERAHKAN</v>
      </c>
      <c r="F5729" s="48">
        <f>IFERROR(__xludf.DUMMYFUNCTION("""COMPUTED_VALUE"""),45880.71561289352)</f>
        <v>45880.71561</v>
      </c>
      <c r="G5729" s="42" t="str">
        <f>IFERROR(__xludf.DUMMYFUNCTION("""COMPUTED_VALUE"""),"BN JUAL BELI")</f>
        <v>BN JUAL BELI</v>
      </c>
      <c r="H5729" s="42">
        <f t="shared" si="1"/>
        <v>2566</v>
      </c>
    </row>
    <row r="5730" ht="22.5" customHeight="1">
      <c r="B5730" s="42" t="str">
        <f>IFERROR(__xludf.DUMMYFUNCTION("""COMPUTED_VALUE"""),"K/27/110725/1")</f>
        <v>K/27/110725/1</v>
      </c>
      <c r="C5730" s="42" t="str">
        <f>IFERROR(__xludf.DUMMYFUNCTION("""COMPUTED_VALUE"""),"M. 1464/KEMILING PERMAI")</f>
        <v>M. 1464/KEMILING PERMAI</v>
      </c>
      <c r="D5730" s="42" t="str">
        <f>IFERROR(__xludf.DUMMYFUNCTION("""COMPUTED_VALUE"""),"Berry")</f>
        <v>Berry</v>
      </c>
      <c r="E5730" s="42" t="str">
        <f>IFERROR(__xludf.DUMMYFUNCTION("""COMPUTED_VALUE"""),"DISERAHKAN")</f>
        <v>DISERAHKAN</v>
      </c>
      <c r="F5730" s="48">
        <f>IFERROR(__xludf.DUMMYFUNCTION("""COMPUTED_VALUE"""),45869.49797694445)</f>
        <v>45869.49798</v>
      </c>
      <c r="G5730" s="42" t="str">
        <f>IFERROR(__xludf.DUMMYFUNCTION("""COMPUTED_VALUE"""),"BN JUAL BELI")</f>
        <v>BN JUAL BELI</v>
      </c>
      <c r="H5730" s="42">
        <f t="shared" si="1"/>
        <v>2567</v>
      </c>
    </row>
    <row r="5731" ht="22.5" customHeight="1">
      <c r="B5731" s="42" t="str">
        <f>IFERROR(__xludf.DUMMYFUNCTION("""COMPUTED_VALUE"""),"K/30/110725/1")</f>
        <v>K/30/110725/1</v>
      </c>
      <c r="C5731" s="42" t="str">
        <f>IFERROR(__xludf.DUMMYFUNCTION("""COMPUTED_VALUE"""),"M. 1867/ Rajabasa Nunyai")</f>
        <v>M. 1867/ Rajabasa Nunyai</v>
      </c>
      <c r="D5731" s="42" t="str">
        <f>IFERROR(__xludf.DUMMYFUNCTION("""COMPUTED_VALUE"""),"Berry")</f>
        <v>Berry</v>
      </c>
      <c r="E5731" s="42" t="str">
        <f>IFERROR(__xludf.DUMMYFUNCTION("""COMPUTED_VALUE"""),"DISERAHKAN")</f>
        <v>DISERAHKAN</v>
      </c>
      <c r="F5731" s="48">
        <f>IFERROR(__xludf.DUMMYFUNCTION("""COMPUTED_VALUE"""),45870.678076620374)</f>
        <v>45870.67808</v>
      </c>
      <c r="G5731" s="42" t="str">
        <f>IFERROR(__xludf.DUMMYFUNCTION("""COMPUTED_VALUE"""),"BN JUAL BELI")</f>
        <v>BN JUAL BELI</v>
      </c>
      <c r="H5731" s="42">
        <f t="shared" si="1"/>
        <v>2568</v>
      </c>
    </row>
    <row r="5732" ht="22.5" customHeight="1">
      <c r="B5732" s="42" t="str">
        <f>IFERROR(__xludf.DUMMYFUNCTION("""COMPUTED_VALUE"""),"K/29/110725/1")</f>
        <v>K/29/110725/1</v>
      </c>
      <c r="C5732" s="42" t="str">
        <f>IFERROR(__xludf.DUMMYFUNCTION("""COMPUTED_VALUE"""),"NIBEL B. 3076.1/KETEGUHAN")</f>
        <v>NIBEL B. 3076.1/KETEGUHAN</v>
      </c>
      <c r="D5732" s="42"/>
      <c r="E5732" s="42"/>
      <c r="F5732" s="48" t="str">
        <f>IFERROR(__xludf.DUMMYFUNCTION("""COMPUTED_VALUE"""),"")</f>
        <v/>
      </c>
      <c r="G5732" s="42" t="str">
        <f>IFERROR(__xludf.DUMMYFUNCTION("""COMPUTED_VALUE"""),"PENINGKATAN HAK")</f>
        <v>PENINGKATAN HAK</v>
      </c>
      <c r="H5732" s="42">
        <f t="shared" si="1"/>
        <v>2568</v>
      </c>
    </row>
    <row r="5733" ht="22.5" customHeight="1">
      <c r="B5733" s="42" t="str">
        <f>IFERROR(__xludf.DUMMYFUNCTION("""COMPUTED_VALUE"""),"K/31/110725/1")</f>
        <v>K/31/110725/1</v>
      </c>
      <c r="C5733" s="42" t="str">
        <f>IFERROR(__xludf.DUMMYFUNCTION("""COMPUTED_VALUE"""),"M.224/PERWATA")</f>
        <v>M.224/PERWATA</v>
      </c>
      <c r="D5733" s="42" t="str">
        <f>IFERROR(__xludf.DUMMYFUNCTION("""COMPUTED_VALUE"""),"Berry")</f>
        <v>Berry</v>
      </c>
      <c r="E5733" s="42" t="str">
        <f>IFERROR(__xludf.DUMMYFUNCTION("""COMPUTED_VALUE"""),"DISERAHKAN")</f>
        <v>DISERAHKAN</v>
      </c>
      <c r="F5733" s="48">
        <f>IFERROR(__xludf.DUMMYFUNCTION("""COMPUTED_VALUE"""),45867.68103046296)</f>
        <v>45867.68103</v>
      </c>
      <c r="G5733" s="42" t="str">
        <f>IFERROR(__xludf.DUMMYFUNCTION("""COMPUTED_VALUE"""),"JUAL BELI")</f>
        <v>JUAL BELI</v>
      </c>
      <c r="H5733" s="42">
        <f t="shared" si="1"/>
        <v>2569</v>
      </c>
    </row>
    <row r="5734" ht="22.5" customHeight="1">
      <c r="B5734" s="42" t="str">
        <f>IFERROR(__xludf.DUMMYFUNCTION("""COMPUTED_VALUE"""),"L/33/110725/1")</f>
        <v>L/33/110725/1</v>
      </c>
      <c r="C5734" s="42" t="str">
        <f>IFERROR(__xludf.DUMMYFUNCTION("""COMPUTED_VALUE"""),"HM 12359/LABUHAN RATU")</f>
        <v>HM 12359/LABUHAN RATU</v>
      </c>
      <c r="D5734" s="42" t="str">
        <f>IFERROR(__xludf.DUMMYFUNCTION("""COMPUTED_VALUE"""),"David")</f>
        <v>David</v>
      </c>
      <c r="E5734" s="42" t="str">
        <f>IFERROR(__xludf.DUMMYFUNCTION("""COMPUTED_VALUE"""),"DISERAHKAN")</f>
        <v>DISERAHKAN</v>
      </c>
      <c r="F5734" s="48">
        <f>IFERROR(__xludf.DUMMYFUNCTION("""COMPUTED_VALUE"""),45883.4929944676)</f>
        <v>45883.49299</v>
      </c>
      <c r="G5734" s="42" t="str">
        <f>IFERROR(__xludf.DUMMYFUNCTION("""COMPUTED_VALUE"""),"ROYA")</f>
        <v>ROYA</v>
      </c>
      <c r="H5734" s="42">
        <f t="shared" si="1"/>
        <v>2570</v>
      </c>
    </row>
    <row r="5735" ht="22.5" customHeight="1">
      <c r="B5735" s="42" t="str">
        <f>IFERROR(__xludf.DUMMYFUNCTION("""COMPUTED_VALUE"""),"K/36/110725/1")</f>
        <v>K/36/110725/1</v>
      </c>
      <c r="C5735" s="42" t="str">
        <f>IFERROR(__xludf.DUMMYFUNCTION("""COMPUTED_VALUE"""),"M.1167/TANJUNG RAYA")</f>
        <v>M.1167/TANJUNG RAYA</v>
      </c>
      <c r="D5735" s="42"/>
      <c r="E5735" s="42"/>
      <c r="F5735" s="48" t="str">
        <f>IFERROR(__xludf.DUMMYFUNCTION("""COMPUTED_VALUE"""),"")</f>
        <v/>
      </c>
      <c r="G5735" s="42" t="str">
        <f>IFERROR(__xludf.DUMMYFUNCTION("""COMPUTED_VALUE"""),"HAPUS BPHTB")</f>
        <v>HAPUS BPHTB</v>
      </c>
      <c r="H5735" s="42">
        <f t="shared" si="1"/>
        <v>2570</v>
      </c>
    </row>
    <row r="5736" ht="22.5" customHeight="1">
      <c r="B5736" s="42" t="str">
        <f>IFERROR(__xludf.DUMMYFUNCTION("""COMPUTED_VALUE"""),"K/35/110725/2")</f>
        <v>K/35/110725/2</v>
      </c>
      <c r="C5736" s="42" t="str">
        <f>IFERROR(__xludf.DUMMYFUNCTION("""COMPUTED_VALUE"""),"Nibel. M. 18581/ Rajabasa Raya")</f>
        <v>Nibel. M. 18581/ Rajabasa Raya</v>
      </c>
      <c r="D5736" s="42"/>
      <c r="E5736" s="42"/>
      <c r="F5736" s="48" t="str">
        <f>IFERROR(__xludf.DUMMYFUNCTION("""COMPUTED_VALUE"""),"")</f>
        <v/>
      </c>
      <c r="G5736" s="42" t="str">
        <f>IFERROR(__xludf.DUMMYFUNCTION("""COMPUTED_VALUE"""),"BN Jual Beli")</f>
        <v>BN Jual Beli</v>
      </c>
      <c r="H5736" s="42">
        <f t="shared" si="1"/>
        <v>2570</v>
      </c>
    </row>
    <row r="5737" ht="22.5" customHeight="1">
      <c r="B5737" s="42" t="str">
        <f>IFERROR(__xludf.DUMMYFUNCTION("""COMPUTED_VALUE"""),"K/34/110725/1")</f>
        <v>K/34/110725/1</v>
      </c>
      <c r="C5737" s="42" t="str">
        <f>IFERROR(__xludf.DUMMYFUNCTION("""COMPUTED_VALUE"""),"Nibel. M. 18579/ Rajabasa Raya")</f>
        <v>Nibel. M. 18579/ Rajabasa Raya</v>
      </c>
      <c r="D5737" s="42"/>
      <c r="E5737" s="42"/>
      <c r="F5737" s="48" t="str">
        <f>IFERROR(__xludf.DUMMYFUNCTION("""COMPUTED_VALUE"""),"")</f>
        <v/>
      </c>
      <c r="G5737" s="42" t="str">
        <f>IFERROR(__xludf.DUMMYFUNCTION("""COMPUTED_VALUE"""),"BN Jual Beli")</f>
        <v>BN Jual Beli</v>
      </c>
      <c r="H5737" s="42">
        <f t="shared" si="1"/>
        <v>2570</v>
      </c>
    </row>
    <row r="5738" ht="22.5" customHeight="1">
      <c r="B5738" s="42" t="str">
        <f>IFERROR(__xludf.DUMMYFUNCTION("""COMPUTED_VALUE"""),"K/32/110725/1")</f>
        <v>K/32/110725/1</v>
      </c>
      <c r="C5738" s="42" t="str">
        <f>IFERROR(__xludf.DUMMYFUNCTION("""COMPUTED_VALUE"""),"M. 13520/SUKARAME")</f>
        <v>M. 13520/SUKARAME</v>
      </c>
      <c r="D5738" s="42" t="str">
        <f>IFERROR(__xludf.DUMMYFUNCTION("""COMPUTED_VALUE"""),"Berry")</f>
        <v>Berry</v>
      </c>
      <c r="E5738" s="42" t="str">
        <f>IFERROR(__xludf.DUMMYFUNCTION("""COMPUTED_VALUE"""),"DISERAHKAN")</f>
        <v>DISERAHKAN</v>
      </c>
      <c r="F5738" s="48">
        <f>IFERROR(__xludf.DUMMYFUNCTION("""COMPUTED_VALUE"""),45869.49527158565)</f>
        <v>45869.49527</v>
      </c>
      <c r="G5738" s="42" t="str">
        <f>IFERROR(__xludf.DUMMYFUNCTION("""COMPUTED_VALUE"""),"BN WARIS")</f>
        <v>BN WARIS</v>
      </c>
      <c r="H5738" s="42">
        <f t="shared" si="1"/>
        <v>2571</v>
      </c>
    </row>
    <row r="5739" ht="22.5" customHeight="1">
      <c r="B5739" s="42" t="str">
        <f>IFERROR(__xludf.DUMMYFUNCTION("""COMPUTED_VALUE"""),"K/28/110725/1")</f>
        <v>K/28/110725/1</v>
      </c>
      <c r="C5739" s="42" t="str">
        <f>IFERROR(__xludf.DUMMYFUNCTION("""COMPUTED_VALUE"""),"B. 4412/SUKABUMI")</f>
        <v>B. 4412/SUKABUMI</v>
      </c>
      <c r="D5739" s="42"/>
      <c r="E5739" s="42"/>
      <c r="F5739" s="48" t="str">
        <f>IFERROR(__xludf.DUMMYFUNCTION("""COMPUTED_VALUE"""),"")</f>
        <v/>
      </c>
      <c r="G5739" s="42" t="str">
        <f>IFERROR(__xludf.DUMMYFUNCTION("""COMPUTED_VALUE"""),"PERUBAHAN HAK")</f>
        <v>PERUBAHAN HAK</v>
      </c>
      <c r="H5739" s="42">
        <f t="shared" si="1"/>
        <v>2571</v>
      </c>
    </row>
    <row r="5740" ht="22.5" customHeight="1">
      <c r="B5740" s="42" t="str">
        <f>IFERROR(__xludf.DUMMYFUNCTION("""COMPUTED_VALUE"""),"K/37/110725/PELATARAN")</f>
        <v>K/37/110725/PELATARAN</v>
      </c>
      <c r="C5740" s="42" t="str">
        <f>IFERROR(__xludf.DUMMYFUNCTION("""COMPUTED_VALUE"""),"NIBEL B. 22642/JAGBAYA III")</f>
        <v>NIBEL B. 22642/JAGBAYA III</v>
      </c>
      <c r="D5740" s="42"/>
      <c r="E5740" s="42"/>
      <c r="F5740" s="48" t="str">
        <f>IFERROR(__xludf.DUMMYFUNCTION("""COMPUTED_VALUE"""),"")</f>
        <v/>
      </c>
      <c r="G5740" s="42" t="str">
        <f>IFERROR(__xludf.DUMMYFUNCTION("""COMPUTED_VALUE"""),"PERUBAHAN HAK")</f>
        <v>PERUBAHAN HAK</v>
      </c>
      <c r="H5740" s="42">
        <f t="shared" si="1"/>
        <v>2571</v>
      </c>
    </row>
    <row r="5741" ht="22.5" customHeight="1">
      <c r="B5741" s="42" t="str">
        <f>IFERROR(__xludf.DUMMYFUNCTION("""COMPUTED_VALUE"""),"L/2/110725/PELATARAN")</f>
        <v>L/2/110725/PELATARAN</v>
      </c>
      <c r="C5741" s="42" t="str">
        <f>IFERROR(__xludf.DUMMYFUNCTION("""COMPUTED_VALUE"""),"M. 419/SUKARAME II")</f>
        <v>M. 419/SUKARAME II</v>
      </c>
      <c r="D5741" s="42"/>
      <c r="E5741" s="42"/>
      <c r="F5741" s="48" t="str">
        <f>IFERROR(__xludf.DUMMYFUNCTION("""COMPUTED_VALUE"""),"")</f>
        <v/>
      </c>
      <c r="G5741" s="42" t="str">
        <f>IFERROR(__xludf.DUMMYFUNCTION("""COMPUTED_VALUE"""),"ROYA")</f>
        <v>ROYA</v>
      </c>
      <c r="H5741" s="42">
        <f t="shared" si="1"/>
        <v>2571</v>
      </c>
    </row>
    <row r="5742" ht="22.5" customHeight="1">
      <c r="B5742" s="42" t="str">
        <f>IFERROR(__xludf.DUMMYFUNCTION("""COMPUTED_VALUE"""),"L/3/110725/PELATARAN")</f>
        <v>L/3/110725/PELATARAN</v>
      </c>
      <c r="C5742" s="42" t="str">
        <f>IFERROR(__xludf.DUMMYFUNCTION("""COMPUTED_VALUE"""),"M.752/PALAPA")</f>
        <v>M.752/PALAPA</v>
      </c>
      <c r="D5742" s="42"/>
      <c r="E5742" s="42"/>
      <c r="F5742" s="48" t="str">
        <f>IFERROR(__xludf.DUMMYFUNCTION("""COMPUTED_VALUE"""),"")</f>
        <v/>
      </c>
      <c r="G5742" s="42" t="str">
        <f>IFERROR(__xludf.DUMMYFUNCTION("""COMPUTED_VALUE"""),"PTPGT")</f>
        <v>PTPGT</v>
      </c>
      <c r="H5742" s="42">
        <f t="shared" si="1"/>
        <v>2571</v>
      </c>
    </row>
    <row r="5743" ht="22.5" customHeight="1">
      <c r="B5743" s="42" t="str">
        <f>IFERROR(__xludf.DUMMYFUNCTION("""COMPUTED_VALUE"""),"L/4/110725/PELATARAN")</f>
        <v>L/4/110725/PELATARAN</v>
      </c>
      <c r="C5743" s="42" t="str">
        <f>IFERROR(__xludf.DUMMYFUNCTION("""COMPUTED_VALUE"""),"M.551/PERUMNAS WAY HALIM")</f>
        <v>M.551/PERUMNAS WAY HALIM</v>
      </c>
      <c r="D5743" s="42" t="str">
        <f>IFERROR(__xludf.DUMMYFUNCTION("""COMPUTED_VALUE"""),"Berry")</f>
        <v>Berry</v>
      </c>
      <c r="E5743" s="42" t="str">
        <f>IFERROR(__xludf.DUMMYFUNCTION("""COMPUTED_VALUE"""),"DISERAHKAN")</f>
        <v>DISERAHKAN</v>
      </c>
      <c r="F5743" s="48">
        <f>IFERROR(__xludf.DUMMYFUNCTION("""COMPUTED_VALUE"""),45916.659228310185)</f>
        <v>45916.65923</v>
      </c>
      <c r="G5743" s="42" t="str">
        <f>IFERROR(__xludf.DUMMYFUNCTION("""COMPUTED_VALUE"""),"ROYA")</f>
        <v>ROYA</v>
      </c>
      <c r="H5743" s="42">
        <f t="shared" si="1"/>
        <v>2572</v>
      </c>
    </row>
    <row r="5744" ht="22.5" customHeight="1">
      <c r="B5744" s="42" t="str">
        <f>IFERROR(__xludf.DUMMYFUNCTION("""COMPUTED_VALUE"""),"L/5/130725/PELATARAN")</f>
        <v>L/5/130725/PELATARAN</v>
      </c>
      <c r="C5744" s="42" t="str">
        <f>IFERROR(__xludf.DUMMYFUNCTION("""COMPUTED_VALUE"""),"NIB 20526/SUKABUMI")</f>
        <v>NIB 20526/SUKABUMI</v>
      </c>
      <c r="D5744" s="42"/>
      <c r="E5744" s="42"/>
      <c r="F5744" s="48" t="str">
        <f>IFERROR(__xludf.DUMMYFUNCTION("""COMPUTED_VALUE"""),"")</f>
        <v/>
      </c>
      <c r="G5744" s="42" t="str">
        <f>IFERROR(__xludf.DUMMYFUNCTION("""COMPUTED_VALUE"""),"PH")</f>
        <v>PH</v>
      </c>
      <c r="H5744" s="42">
        <f t="shared" si="1"/>
        <v>2572</v>
      </c>
    </row>
    <row r="5745" ht="22.5" customHeight="1">
      <c r="B5745" s="42" t="str">
        <f>IFERROR(__xludf.DUMMYFUNCTION("""COMPUTED_VALUE"""),"K/1/140725/1")</f>
        <v>K/1/140725/1</v>
      </c>
      <c r="C5745" s="42" t="str">
        <f>IFERROR(__xludf.DUMMYFUNCTION("""COMPUTED_VALUE"""),"M. 2665/ Kota Karang")</f>
        <v>M. 2665/ Kota Karang</v>
      </c>
      <c r="D5745" s="42" t="str">
        <f>IFERROR(__xludf.DUMMYFUNCTION("""COMPUTED_VALUE"""),"Berry")</f>
        <v>Berry</v>
      </c>
      <c r="E5745" s="42" t="str">
        <f>IFERROR(__xludf.DUMMYFUNCTION("""COMPUTED_VALUE"""),"DISERAHKAN")</f>
        <v>DISERAHKAN</v>
      </c>
      <c r="F5745" s="48">
        <f>IFERROR(__xludf.DUMMYFUNCTION("""COMPUTED_VALUE"""),45874.64563564815)</f>
        <v>45874.64564</v>
      </c>
      <c r="G5745" s="42" t="str">
        <f>IFERROR(__xludf.DUMMYFUNCTION("""COMPUTED_VALUE"""),"BN Waris")</f>
        <v>BN Waris</v>
      </c>
      <c r="H5745" s="42">
        <f t="shared" si="1"/>
        <v>2573</v>
      </c>
    </row>
    <row r="5746" ht="22.5" customHeight="1">
      <c r="B5746" s="42" t="str">
        <f>IFERROR(__xludf.DUMMYFUNCTION("""COMPUTED_VALUE"""),"K/2/140725/1")</f>
        <v>K/2/140725/1</v>
      </c>
      <c r="C5746" s="42" t="str">
        <f>IFERROR(__xludf.DUMMYFUNCTION("""COMPUTED_VALUE"""),"M. 1723/CAMPANG RAYA")</f>
        <v>M. 1723/CAMPANG RAYA</v>
      </c>
      <c r="D5746" s="42"/>
      <c r="E5746" s="42"/>
      <c r="F5746" s="48" t="str">
        <f>IFERROR(__xludf.DUMMYFUNCTION("""COMPUTED_VALUE"""),"")</f>
        <v/>
      </c>
      <c r="G5746" s="42" t="str">
        <f>IFERROR(__xludf.DUMMYFUNCTION("""COMPUTED_VALUE"""),"SKPT INFORMASI")</f>
        <v>SKPT INFORMASI</v>
      </c>
      <c r="H5746" s="42">
        <f t="shared" si="1"/>
        <v>2573</v>
      </c>
    </row>
    <row r="5747" ht="22.5" customHeight="1">
      <c r="B5747" s="42" t="str">
        <f>IFERROR(__xludf.DUMMYFUNCTION("""COMPUTED_VALUE"""),"K/5/140725/1")</f>
        <v>K/5/140725/1</v>
      </c>
      <c r="C5747" s="42" t="str">
        <f>IFERROR(__xludf.DUMMYFUNCTION("""COMPUTED_VALUE"""),"PBT 1/2025 LABUHAN RATU")</f>
        <v>PBT 1/2025 LABUHAN RATU</v>
      </c>
      <c r="D5747" s="42"/>
      <c r="E5747" s="42"/>
      <c r="F5747" s="48" t="str">
        <f>IFERROR(__xludf.DUMMYFUNCTION("""COMPUTED_VALUE"""),"")</f>
        <v/>
      </c>
      <c r="G5747" s="42" t="str">
        <f>IFERROR(__xludf.DUMMYFUNCTION("""COMPUTED_VALUE"""),"PTPGT")</f>
        <v>PTPGT</v>
      </c>
      <c r="H5747" s="42">
        <f t="shared" si="1"/>
        <v>2573</v>
      </c>
    </row>
    <row r="5748" ht="22.5" customHeight="1">
      <c r="B5748" s="42" t="str">
        <f>IFERROR(__xludf.DUMMYFUNCTION("""COMPUTED_VALUE"""),"K/6/140725/2")</f>
        <v>K/6/140725/2</v>
      </c>
      <c r="C5748" s="42" t="str">
        <f>IFERROR(__xludf.DUMMYFUNCTION("""COMPUTED_VALUE"""),"Nibel. M. 3687/ Labuhan Ratu Raya")</f>
        <v>Nibel. M. 3687/ Labuhan Ratu Raya</v>
      </c>
      <c r="D5748" s="42"/>
      <c r="E5748" s="42"/>
      <c r="F5748" s="48" t="str">
        <f>IFERROR(__xludf.DUMMYFUNCTION("""COMPUTED_VALUE"""),"")</f>
        <v/>
      </c>
      <c r="G5748" s="42" t="str">
        <f>IFERROR(__xludf.DUMMYFUNCTION("""COMPUTED_VALUE"""),"BN Jual Beli")</f>
        <v>BN Jual Beli</v>
      </c>
      <c r="H5748" s="42">
        <f t="shared" si="1"/>
        <v>2573</v>
      </c>
    </row>
    <row r="5749" ht="22.5" customHeight="1">
      <c r="B5749" s="42" t="str">
        <f>IFERROR(__xludf.DUMMYFUNCTION("""COMPUTED_VALUE"""),"K/4/140725/1")</f>
        <v>K/4/140725/1</v>
      </c>
      <c r="C5749" s="42" t="str">
        <f>IFERROR(__xludf.DUMMYFUNCTION("""COMPUTED_VALUE"""),"M. 399/ Kupang Kota")</f>
        <v>M. 399/ Kupang Kota</v>
      </c>
      <c r="D5749" s="42"/>
      <c r="E5749" s="42"/>
      <c r="F5749" s="48" t="str">
        <f>IFERROR(__xludf.DUMMYFUNCTION("""COMPUTED_VALUE"""),"")</f>
        <v/>
      </c>
      <c r="G5749" s="42" t="str">
        <f>IFERROR(__xludf.DUMMYFUNCTION("""COMPUTED_VALUE"""),"Penataan Batas")</f>
        <v>Penataan Batas</v>
      </c>
      <c r="H5749" s="42">
        <f t="shared" si="1"/>
        <v>2573</v>
      </c>
    </row>
    <row r="5750" ht="22.5" customHeight="1">
      <c r="B5750" s="42" t="str">
        <f>IFERROR(__xludf.DUMMYFUNCTION("""COMPUTED_VALUE"""),"K/7/140725/1")</f>
        <v>K/7/140725/1</v>
      </c>
      <c r="C5750" s="42" t="str">
        <f>IFERROR(__xludf.DUMMYFUNCTION("""COMPUTED_VALUE"""),"Nibel 7904/ Sukabumi")</f>
        <v>Nibel 7904/ Sukabumi</v>
      </c>
      <c r="D5750" s="42"/>
      <c r="E5750" s="42"/>
      <c r="F5750" s="48" t="str">
        <f>IFERROR(__xludf.DUMMYFUNCTION("""COMPUTED_VALUE"""),"")</f>
        <v/>
      </c>
      <c r="G5750" s="42" t="str">
        <f>IFERROR(__xludf.DUMMYFUNCTION("""COMPUTED_VALUE"""),"BN HIBAH")</f>
        <v>BN HIBAH</v>
      </c>
      <c r="H5750" s="42">
        <f t="shared" si="1"/>
        <v>2573</v>
      </c>
    </row>
    <row r="5751" ht="22.5" customHeight="1">
      <c r="B5751" s="42" t="str">
        <f>IFERROR(__xludf.DUMMYFUNCTION("""COMPUTED_VALUE"""),"K/8/140725/2")</f>
        <v>K/8/140725/2</v>
      </c>
      <c r="C5751" s="42" t="str">
        <f>IFERROR(__xludf.DUMMYFUNCTION("""COMPUTED_VALUE"""),"Nibel 7903/ Sukabumi")</f>
        <v>Nibel 7903/ Sukabumi</v>
      </c>
      <c r="D5751" s="42"/>
      <c r="E5751" s="42"/>
      <c r="F5751" s="48" t="str">
        <f>IFERROR(__xludf.DUMMYFUNCTION("""COMPUTED_VALUE"""),"")</f>
        <v/>
      </c>
      <c r="G5751" s="42" t="str">
        <f>IFERROR(__xludf.DUMMYFUNCTION("""COMPUTED_VALUE"""),"BN HIBAH")</f>
        <v>BN HIBAH</v>
      </c>
      <c r="H5751" s="42">
        <f t="shared" si="1"/>
        <v>2573</v>
      </c>
    </row>
    <row r="5752" ht="22.5" customHeight="1">
      <c r="B5752" s="42" t="str">
        <f>IFERROR(__xludf.DUMMYFUNCTION("""COMPUTED_VALUE"""),"K/3/140725/2")</f>
        <v>K/3/140725/2</v>
      </c>
      <c r="C5752" s="42" t="str">
        <f>IFERROR(__xludf.DUMMYFUNCTION("""COMPUTED_VALUE"""),"M. 1724/CAMPANG RAYA")</f>
        <v>M. 1724/CAMPANG RAYA</v>
      </c>
      <c r="D5752" s="42"/>
      <c r="E5752" s="42"/>
      <c r="F5752" s="48" t="str">
        <f>IFERROR(__xludf.DUMMYFUNCTION("""COMPUTED_VALUE"""),"")</f>
        <v/>
      </c>
      <c r="G5752" s="42" t="str">
        <f>IFERROR(__xludf.DUMMYFUNCTION("""COMPUTED_VALUE"""),"SKPT INFORMASI ")</f>
        <v>SKPT INFORMASI </v>
      </c>
      <c r="H5752" s="42">
        <f t="shared" si="1"/>
        <v>2573</v>
      </c>
    </row>
    <row r="5753" ht="22.5" customHeight="1">
      <c r="B5753" s="42" t="str">
        <f>IFERROR(__xludf.DUMMYFUNCTION("""COMPUTED_VALUE"""),"K/9/140725/1")</f>
        <v>K/9/140725/1</v>
      </c>
      <c r="C5753" s="42" t="str">
        <f>IFERROR(__xludf.DUMMYFUNCTION("""COMPUTED_VALUE"""),"M. 3013/SUKARAME BARU")</f>
        <v>M. 3013/SUKARAME BARU</v>
      </c>
      <c r="D5753" s="42" t="str">
        <f>IFERROR(__xludf.DUMMYFUNCTION("""COMPUTED_VALUE"""),"Berry")</f>
        <v>Berry</v>
      </c>
      <c r="E5753" s="42" t="str">
        <f>IFERROR(__xludf.DUMMYFUNCTION("""COMPUTED_VALUE"""),"DISERAHKAN")</f>
        <v>DISERAHKAN</v>
      </c>
      <c r="F5753" s="48">
        <f>IFERROR(__xludf.DUMMYFUNCTION("""COMPUTED_VALUE"""),45874.65155603009)</f>
        <v>45874.65156</v>
      </c>
      <c r="G5753" s="42" t="str">
        <f>IFERROR(__xludf.DUMMYFUNCTION("""COMPUTED_VALUE"""),"BN WARIS")</f>
        <v>BN WARIS</v>
      </c>
      <c r="H5753" s="42">
        <f t="shared" si="1"/>
        <v>2574</v>
      </c>
    </row>
    <row r="5754" ht="22.5" customHeight="1">
      <c r="B5754" s="42" t="str">
        <f>IFERROR(__xludf.DUMMYFUNCTION("""COMPUTED_VALUE"""),"K/10/140725/1")</f>
        <v>K/10/140725/1</v>
      </c>
      <c r="C5754" s="42" t="str">
        <f>IFERROR(__xludf.DUMMYFUNCTION("""COMPUTED_VALUE"""),"M. 10181/ Jagabaya II")</f>
        <v>M. 10181/ Jagabaya II</v>
      </c>
      <c r="D5754" s="42" t="str">
        <f>IFERROR(__xludf.DUMMYFUNCTION("""COMPUTED_VALUE"""),"David")</f>
        <v>David</v>
      </c>
      <c r="E5754" s="42" t="str">
        <f>IFERROR(__xludf.DUMMYFUNCTION("""COMPUTED_VALUE"""),"DISERAHKAN")</f>
        <v>DISERAHKAN</v>
      </c>
      <c r="F5754" s="48">
        <f>IFERROR(__xludf.DUMMYFUNCTION("""COMPUTED_VALUE"""),45902.63292458333)</f>
        <v>45902.63292</v>
      </c>
      <c r="G5754" s="42" t="str">
        <f>IFERROR(__xludf.DUMMYFUNCTION("""COMPUTED_VALUE"""),"BN Waris")</f>
        <v>BN Waris</v>
      </c>
      <c r="H5754" s="42">
        <f t="shared" si="1"/>
        <v>2575</v>
      </c>
    </row>
    <row r="5755" ht="22.5" customHeight="1">
      <c r="B5755" s="42" t="str">
        <f>IFERROR(__xludf.DUMMYFUNCTION("""COMPUTED_VALUE"""),"K/11/140725/1")</f>
        <v>K/11/140725/1</v>
      </c>
      <c r="C5755" s="42" t="str">
        <f>IFERROR(__xludf.DUMMYFUNCTION("""COMPUTED_VALUE"""),"M. 1713/ Sukajawa")</f>
        <v>M. 1713/ Sukajawa</v>
      </c>
      <c r="D5755" s="42" t="str">
        <f>IFERROR(__xludf.DUMMYFUNCTION("""COMPUTED_VALUE"""),"Berry")</f>
        <v>Berry</v>
      </c>
      <c r="E5755" s="42" t="str">
        <f>IFERROR(__xludf.DUMMYFUNCTION("""COMPUTED_VALUE"""),"DISERAHKAN")</f>
        <v>DISERAHKAN</v>
      </c>
      <c r="F5755" s="48">
        <f>IFERROR(__xludf.DUMMYFUNCTION("""COMPUTED_VALUE"""),45880.715402013884)</f>
        <v>45880.7154</v>
      </c>
      <c r="G5755" s="42" t="str">
        <f>IFERROR(__xludf.DUMMYFUNCTION("""COMPUTED_VALUE"""),"BN WARIS")</f>
        <v>BN WARIS</v>
      </c>
      <c r="H5755" s="42">
        <f t="shared" si="1"/>
        <v>2576</v>
      </c>
    </row>
    <row r="5756" ht="22.5" customHeight="1">
      <c r="B5756" s="42" t="str">
        <f>IFERROR(__xludf.DUMMYFUNCTION("""COMPUTED_VALUE"""),"K/12/140725/2")</f>
        <v>K/12/140725/2</v>
      </c>
      <c r="C5756" s="42" t="str">
        <f>IFERROR(__xludf.DUMMYFUNCTION("""COMPUTED_VALUE"""),"M. 1714/ Sukajawa")</f>
        <v>M. 1714/ Sukajawa</v>
      </c>
      <c r="D5756" s="42" t="str">
        <f>IFERROR(__xludf.DUMMYFUNCTION("""COMPUTED_VALUE"""),"Berry")</f>
        <v>Berry</v>
      </c>
      <c r="E5756" s="42" t="str">
        <f>IFERROR(__xludf.DUMMYFUNCTION("""COMPUTED_VALUE"""),"DISERAHKAN")</f>
        <v>DISERAHKAN</v>
      </c>
      <c r="F5756" s="48">
        <f>IFERROR(__xludf.DUMMYFUNCTION("""COMPUTED_VALUE"""),45880.715402013884)</f>
        <v>45880.7154</v>
      </c>
      <c r="G5756" s="42" t="str">
        <f>IFERROR(__xludf.DUMMYFUNCTION("""COMPUTED_VALUE"""),"BN WARIS")</f>
        <v>BN WARIS</v>
      </c>
      <c r="H5756" s="42">
        <f t="shared" si="1"/>
        <v>2577</v>
      </c>
    </row>
    <row r="5757" ht="22.5" customHeight="1">
      <c r="B5757" s="42" t="str">
        <f>IFERROR(__xludf.DUMMYFUNCTION("""COMPUTED_VALUE"""),"L/13/140725/1")</f>
        <v>L/13/140725/1</v>
      </c>
      <c r="C5757" s="42" t="str">
        <f>IFERROR(__xludf.DUMMYFUNCTION("""COMPUTED_VALUE"""),"HM 2532/GUNUNG TERANG")</f>
        <v>HM 2532/GUNUNG TERANG</v>
      </c>
      <c r="D5757" s="42" t="str">
        <f>IFERROR(__xludf.DUMMYFUNCTION("""COMPUTED_VALUE"""),"David")</f>
        <v>David</v>
      </c>
      <c r="E5757" s="42" t="str">
        <f>IFERROR(__xludf.DUMMYFUNCTION("""COMPUTED_VALUE"""),"DISERAHKAN")</f>
        <v>DISERAHKAN</v>
      </c>
      <c r="F5757" s="48">
        <f>IFERROR(__xludf.DUMMYFUNCTION("""COMPUTED_VALUE"""),45883.4932699537)</f>
        <v>45883.49327</v>
      </c>
      <c r="G5757" s="42" t="str">
        <f>IFERROR(__xludf.DUMMYFUNCTION("""COMPUTED_VALUE"""),"ROYA")</f>
        <v>ROYA</v>
      </c>
      <c r="H5757" s="42">
        <f t="shared" si="1"/>
        <v>2578</v>
      </c>
    </row>
    <row r="5758" ht="22.5" customHeight="1">
      <c r="B5758" s="42" t="str">
        <f>IFERROR(__xludf.DUMMYFUNCTION("""COMPUTED_VALUE"""),"L/14/140725/1")</f>
        <v>L/14/140725/1</v>
      </c>
      <c r="C5758" s="42" t="str">
        <f>IFERROR(__xludf.DUMMYFUNCTION("""COMPUTED_VALUE"""),"HM 3329/KETEGUHAN")</f>
        <v>HM 3329/KETEGUHAN</v>
      </c>
      <c r="D5758" s="42"/>
      <c r="E5758" s="42"/>
      <c r="F5758" s="48" t="str">
        <f>IFERROR(__xludf.DUMMYFUNCTION("""COMPUTED_VALUE"""),"")</f>
        <v/>
      </c>
      <c r="G5758" s="42" t="str">
        <f>IFERROR(__xludf.DUMMYFUNCTION("""COMPUTED_VALUE"""),"PENGHAPUSAN BPHTB")</f>
        <v>PENGHAPUSAN BPHTB</v>
      </c>
      <c r="H5758" s="42">
        <f t="shared" si="1"/>
        <v>2578</v>
      </c>
    </row>
    <row r="5759" ht="22.5" customHeight="1">
      <c r="B5759" s="42" t="str">
        <f>IFERROR(__xludf.DUMMYFUNCTION("""COMPUTED_VALUE"""),"K/15/140725/1")</f>
        <v>K/15/140725/1</v>
      </c>
      <c r="C5759" s="42" t="str">
        <f>IFERROR(__xludf.DUMMYFUNCTION("""COMPUTED_VALUE"""),"M. 4080/ Langkapura")</f>
        <v>M. 4080/ Langkapura</v>
      </c>
      <c r="D5759" s="42" t="str">
        <f>IFERROR(__xludf.DUMMYFUNCTION("""COMPUTED_VALUE"""),"Berry")</f>
        <v>Berry</v>
      </c>
      <c r="E5759" s="42" t="str">
        <f>IFERROR(__xludf.DUMMYFUNCTION("""COMPUTED_VALUE"""),"DISERAHKAN")</f>
        <v>DISERAHKAN</v>
      </c>
      <c r="F5759" s="48">
        <f>IFERROR(__xludf.DUMMYFUNCTION("""COMPUTED_VALUE"""),45867.68538952546)</f>
        <v>45867.68539</v>
      </c>
      <c r="G5759" s="42" t="str">
        <f>IFERROR(__xludf.DUMMYFUNCTION("""COMPUTED_VALUE"""),"BN Jual Beli")</f>
        <v>BN Jual Beli</v>
      </c>
      <c r="H5759" s="42">
        <f t="shared" si="1"/>
        <v>2579</v>
      </c>
    </row>
    <row r="5760" ht="22.5" customHeight="1">
      <c r="B5760" s="42" t="str">
        <f>IFERROR(__xludf.DUMMYFUNCTION("""COMPUTED_VALUE"""),"K/16/140725/1")</f>
        <v>K/16/140725/1</v>
      </c>
      <c r="C5760" s="42" t="str">
        <f>IFERROR(__xludf.DUMMYFUNCTION("""COMPUTED_VALUE"""),"Nibel 1230/ Sukarame Baru")</f>
        <v>Nibel 1230/ Sukarame Baru</v>
      </c>
      <c r="D5760" s="42"/>
      <c r="E5760" s="42"/>
      <c r="F5760" s="48" t="str">
        <f>IFERROR(__xludf.DUMMYFUNCTION("""COMPUTED_VALUE"""),"")</f>
        <v/>
      </c>
      <c r="G5760" s="42" t="str">
        <f>IFERROR(__xludf.DUMMYFUNCTION("""COMPUTED_VALUE"""),"BN JUAL BELI")</f>
        <v>BN JUAL BELI</v>
      </c>
      <c r="H5760" s="42">
        <f t="shared" si="1"/>
        <v>2579</v>
      </c>
    </row>
    <row r="5761" ht="22.5" customHeight="1">
      <c r="B5761" s="42" t="str">
        <f>IFERROR(__xludf.DUMMYFUNCTION("""COMPUTED_VALUE"""),"K/17/140725/2")</f>
        <v>K/17/140725/2</v>
      </c>
      <c r="C5761" s="42" t="str">
        <f>IFERROR(__xludf.DUMMYFUNCTION("""COMPUTED_VALUE"""),"Nibel 17610/ Nusantara Permai")</f>
        <v>Nibel 17610/ Nusantara Permai</v>
      </c>
      <c r="D5761" s="42"/>
      <c r="E5761" s="42"/>
      <c r="F5761" s="48" t="str">
        <f>IFERROR(__xludf.DUMMYFUNCTION("""COMPUTED_VALUE"""),"")</f>
        <v/>
      </c>
      <c r="G5761" s="42" t="str">
        <f>IFERROR(__xludf.DUMMYFUNCTION("""COMPUTED_VALUE"""),"PTPGT PERPANJANG")</f>
        <v>PTPGT PERPANJANG</v>
      </c>
      <c r="H5761" s="42">
        <f t="shared" si="1"/>
        <v>2579</v>
      </c>
    </row>
    <row r="5762" ht="22.5" customHeight="1">
      <c r="B5762" s="42" t="str">
        <f>IFERROR(__xludf.DUMMYFUNCTION("""COMPUTED_VALUE"""),"L/18/140725/1")</f>
        <v>L/18/140725/1</v>
      </c>
      <c r="C5762" s="42" t="str">
        <f>IFERROR(__xludf.DUMMYFUNCTION("""COMPUTED_VALUE"""),"HM 827/LANGKAPURA BARU")</f>
        <v>HM 827/LANGKAPURA BARU</v>
      </c>
      <c r="D5762" s="42"/>
      <c r="E5762" s="42"/>
      <c r="F5762" s="48" t="str">
        <f>IFERROR(__xludf.DUMMYFUNCTION("""COMPUTED_VALUE"""),"")</f>
        <v/>
      </c>
      <c r="G5762" s="42" t="str">
        <f>IFERROR(__xludf.DUMMYFUNCTION("""COMPUTED_VALUE"""),"PENGHAPUSAN BPHTB")</f>
        <v>PENGHAPUSAN BPHTB</v>
      </c>
      <c r="H5762" s="42">
        <f t="shared" si="1"/>
        <v>2579</v>
      </c>
    </row>
    <row r="5763" ht="22.5" customHeight="1">
      <c r="B5763" s="42" t="str">
        <f>IFERROR(__xludf.DUMMYFUNCTION("""COMPUTED_VALUE"""),"L/20/140725/1")</f>
        <v>L/20/140725/1</v>
      </c>
      <c r="C5763" s="42" t="str">
        <f>IFERROR(__xludf.DUMMYFUNCTION("""COMPUTED_VALUE"""),"HM 1777/LANGKAPURA")</f>
        <v>HM 1777/LANGKAPURA</v>
      </c>
      <c r="D5763" s="42"/>
      <c r="E5763" s="42"/>
      <c r="F5763" s="48" t="str">
        <f>IFERROR(__xludf.DUMMYFUNCTION("""COMPUTED_VALUE"""),"")</f>
        <v/>
      </c>
      <c r="G5763" s="42" t="str">
        <f>IFERROR(__xludf.DUMMYFUNCTION("""COMPUTED_VALUE"""),"ROYA")</f>
        <v>ROYA</v>
      </c>
      <c r="H5763" s="42">
        <f t="shared" si="1"/>
        <v>2579</v>
      </c>
    </row>
    <row r="5764" ht="22.5" customHeight="1">
      <c r="B5764" s="42" t="str">
        <f>IFERROR(__xludf.DUMMYFUNCTION("""COMPUTED_VALUE"""),"L/21/140725/1")</f>
        <v>L/21/140725/1</v>
      </c>
      <c r="C5764" s="42" t="str">
        <f>IFERROR(__xludf.DUMMYFUNCTION("""COMPUTED_VALUE"""),"HM 2248/GEDONG AIR")</f>
        <v>HM 2248/GEDONG AIR</v>
      </c>
      <c r="D5764" s="42" t="str">
        <f>IFERROR(__xludf.DUMMYFUNCTION("""COMPUTED_VALUE"""),"David")</f>
        <v>David</v>
      </c>
      <c r="E5764" s="42" t="str">
        <f>IFERROR(__xludf.DUMMYFUNCTION("""COMPUTED_VALUE"""),"DISERAHKAN")</f>
        <v>DISERAHKAN</v>
      </c>
      <c r="F5764" s="48">
        <f>IFERROR(__xludf.DUMMYFUNCTION("""COMPUTED_VALUE"""),45874.68696649306)</f>
        <v>45874.68697</v>
      </c>
      <c r="G5764" s="42" t="str">
        <f>IFERROR(__xludf.DUMMYFUNCTION("""COMPUTED_VALUE"""),"ROYA")</f>
        <v>ROYA</v>
      </c>
      <c r="H5764" s="42">
        <f t="shared" si="1"/>
        <v>2580</v>
      </c>
    </row>
    <row r="5765" ht="22.5" customHeight="1">
      <c r="B5765" s="42" t="str">
        <f>IFERROR(__xludf.DUMMYFUNCTION("""COMPUTED_VALUE"""),"L/22/140725/1")</f>
        <v>L/22/140725/1</v>
      </c>
      <c r="C5765" s="42" t="str">
        <f>IFERROR(__xludf.DUMMYFUNCTION("""COMPUTED_VALUE"""),"HM 827/LANGKAPURA BARU")</f>
        <v>HM 827/LANGKAPURA BARU</v>
      </c>
      <c r="D5765" s="42"/>
      <c r="E5765" s="42"/>
      <c r="F5765" s="48" t="str">
        <f>IFERROR(__xludf.DUMMYFUNCTION("""COMPUTED_VALUE"""),"")</f>
        <v/>
      </c>
      <c r="G5765" s="42" t="str">
        <f>IFERROR(__xludf.DUMMYFUNCTION("""COMPUTED_VALUE"""),"PENGHAPUSAN BPHTB")</f>
        <v>PENGHAPUSAN BPHTB</v>
      </c>
      <c r="H5765" s="42">
        <f t="shared" si="1"/>
        <v>2580</v>
      </c>
    </row>
    <row r="5766" ht="22.5" customHeight="1">
      <c r="B5766" s="42" t="str">
        <f>IFERROR(__xludf.DUMMYFUNCTION("""COMPUTED_VALUE"""),"K/23/140725/1")</f>
        <v>K/23/140725/1</v>
      </c>
      <c r="C5766" s="42" t="str">
        <f>IFERROR(__xludf.DUMMYFUNCTION("""COMPUTED_VALUE"""),"Nibel. M. 20939/ Sukarame Baru")</f>
        <v>Nibel. M. 20939/ Sukarame Baru</v>
      </c>
      <c r="D5766" s="42"/>
      <c r="E5766" s="42"/>
      <c r="F5766" s="48" t="str">
        <f>IFERROR(__xludf.DUMMYFUNCTION("""COMPUTED_VALUE"""),"")</f>
        <v/>
      </c>
      <c r="G5766" s="42" t="str">
        <f>IFERROR(__xludf.DUMMYFUNCTION("""COMPUTED_VALUE"""),"BN Jual Beli")</f>
        <v>BN Jual Beli</v>
      </c>
      <c r="H5766" s="42">
        <f t="shared" si="1"/>
        <v>2580</v>
      </c>
    </row>
    <row r="5767" ht="22.5" customHeight="1">
      <c r="B5767" s="42" t="str">
        <f>IFERROR(__xludf.DUMMYFUNCTION("""COMPUTED_VALUE"""),"K/25/140725/1")</f>
        <v>K/25/140725/1</v>
      </c>
      <c r="C5767" s="42" t="str">
        <f>IFERROR(__xludf.DUMMYFUNCTION("""COMPUTED_VALUE"""),"B.75/GULAK GALIK")</f>
        <v>B.75/GULAK GALIK</v>
      </c>
      <c r="D5767" s="42"/>
      <c r="E5767" s="42"/>
      <c r="F5767" s="48" t="str">
        <f>IFERROR(__xludf.DUMMYFUNCTION("""COMPUTED_VALUE"""),"")</f>
        <v/>
      </c>
      <c r="G5767" s="42" t="str">
        <f>IFERROR(__xludf.DUMMYFUNCTION("""COMPUTED_VALUE"""),"PENINGKATAN ")</f>
        <v>PENINGKATAN </v>
      </c>
      <c r="H5767" s="42">
        <f t="shared" si="1"/>
        <v>2580</v>
      </c>
    </row>
    <row r="5768" ht="22.5" customHeight="1">
      <c r="B5768" s="42" t="str">
        <f>IFERROR(__xludf.DUMMYFUNCTION("""COMPUTED_VALUE"""),"L/27/140725/1")</f>
        <v>L/27/140725/1</v>
      </c>
      <c r="C5768" s="42" t="str">
        <f>IFERROR(__xludf.DUMMYFUNCTION("""COMPUTED_VALUE"""),"HM 2560/GUNUNG TERANG")</f>
        <v>HM 2560/GUNUNG TERANG</v>
      </c>
      <c r="D5768" s="42" t="str">
        <f>IFERROR(__xludf.DUMMYFUNCTION("""COMPUTED_VALUE"""),"David")</f>
        <v>David</v>
      </c>
      <c r="E5768" s="42" t="str">
        <f>IFERROR(__xludf.DUMMYFUNCTION("""COMPUTED_VALUE"""),"DISERAHKAN")</f>
        <v>DISERAHKAN</v>
      </c>
      <c r="F5768" s="48">
        <f>IFERROR(__xludf.DUMMYFUNCTION("""COMPUTED_VALUE"""),45922.62064355324)</f>
        <v>45922.62064</v>
      </c>
      <c r="G5768" s="42" t="str">
        <f>IFERROR(__xludf.DUMMYFUNCTION("""COMPUTED_VALUE"""),"ROYA")</f>
        <v>ROYA</v>
      </c>
      <c r="H5768" s="42">
        <f t="shared" si="1"/>
        <v>2581</v>
      </c>
    </row>
    <row r="5769" ht="22.5" customHeight="1">
      <c r="B5769" s="42" t="str">
        <f>IFERROR(__xludf.DUMMYFUNCTION("""COMPUTED_VALUE"""),"K/28/140725/1")</f>
        <v>K/28/140725/1</v>
      </c>
      <c r="C5769" s="42" t="str">
        <f>IFERROR(__xludf.DUMMYFUNCTION("""COMPUTED_VALUE"""),"B.4618/SUKABUMI")</f>
        <v>B.4618/SUKABUMI</v>
      </c>
      <c r="D5769" s="42" t="str">
        <f>IFERROR(__xludf.DUMMYFUNCTION("""COMPUTED_VALUE"""),"Berry")</f>
        <v>Berry</v>
      </c>
      <c r="E5769" s="42" t="str">
        <f>IFERROR(__xludf.DUMMYFUNCTION("""COMPUTED_VALUE"""),"DISERAHKAN")</f>
        <v>DISERAHKAN</v>
      </c>
      <c r="F5769" s="48">
        <f>IFERROR(__xludf.DUMMYFUNCTION("""COMPUTED_VALUE"""),45867.50791270833)</f>
        <v>45867.50791</v>
      </c>
      <c r="G5769" s="42" t="str">
        <f>IFERROR(__xludf.DUMMYFUNCTION("""COMPUTED_VALUE"""),"ROYA")</f>
        <v>ROYA</v>
      </c>
      <c r="H5769" s="42">
        <f t="shared" si="1"/>
        <v>2582</v>
      </c>
    </row>
    <row r="5770" ht="22.5" customHeight="1">
      <c r="B5770" s="42" t="str">
        <f>IFERROR(__xludf.DUMMYFUNCTION("""COMPUTED_VALUE"""),"K/29/140725/1")</f>
        <v>K/29/140725/1</v>
      </c>
      <c r="C5770" s="42" t="str">
        <f>IFERROR(__xludf.DUMMYFUNCTION("""COMPUTED_VALUE"""),"M.502/SEPANG JAYA")</f>
        <v>M.502/SEPANG JAYA</v>
      </c>
      <c r="D5770" s="42" t="str">
        <f>IFERROR(__xludf.DUMMYFUNCTION("""COMPUTED_VALUE"""),"Berry")</f>
        <v>Berry</v>
      </c>
      <c r="E5770" s="42" t="str">
        <f>IFERROR(__xludf.DUMMYFUNCTION("""COMPUTED_VALUE"""),"DISERAHKAN")</f>
        <v>DISERAHKAN</v>
      </c>
      <c r="F5770" s="48">
        <f>IFERROR(__xludf.DUMMYFUNCTION("""COMPUTED_VALUE"""),45867.68126646991)</f>
        <v>45867.68127</v>
      </c>
      <c r="G5770" s="42" t="str">
        <f>IFERROR(__xludf.DUMMYFUNCTION("""COMPUTED_VALUE"""),"KEWARISAN")</f>
        <v>KEWARISAN</v>
      </c>
      <c r="H5770" s="42">
        <f t="shared" si="1"/>
        <v>2583</v>
      </c>
    </row>
    <row r="5771" ht="22.5" customHeight="1">
      <c r="B5771" s="42" t="str">
        <f>IFERROR(__xludf.DUMMYFUNCTION("""COMPUTED_VALUE"""),"K/30/140725/2")</f>
        <v>K/30/140725/2</v>
      </c>
      <c r="C5771" s="42" t="str">
        <f>IFERROR(__xludf.DUMMYFUNCTION("""COMPUTED_VALUE"""),"M.542/SEPANG JAYA")</f>
        <v>M.542/SEPANG JAYA</v>
      </c>
      <c r="D5771" s="42" t="str">
        <f>IFERROR(__xludf.DUMMYFUNCTION("""COMPUTED_VALUE"""),"Berry")</f>
        <v>Berry</v>
      </c>
      <c r="E5771" s="42" t="str">
        <f>IFERROR(__xludf.DUMMYFUNCTION("""COMPUTED_VALUE"""),"DISERAHKAN")</f>
        <v>DISERAHKAN</v>
      </c>
      <c r="F5771" s="48">
        <f>IFERROR(__xludf.DUMMYFUNCTION("""COMPUTED_VALUE"""),45859.63378290509)</f>
        <v>45859.63378</v>
      </c>
      <c r="G5771" s="42" t="str">
        <f>IFERROR(__xludf.DUMMYFUNCTION("""COMPUTED_VALUE"""),"KEWARISAN")</f>
        <v>KEWARISAN</v>
      </c>
      <c r="H5771" s="42">
        <f t="shared" si="1"/>
        <v>2584</v>
      </c>
    </row>
    <row r="5772" ht="22.5" customHeight="1">
      <c r="B5772" s="42" t="str">
        <f>IFERROR(__xludf.DUMMYFUNCTION("""COMPUTED_VALUE"""),"K/31/140725/3")</f>
        <v>K/31/140725/3</v>
      </c>
      <c r="C5772" s="42" t="str">
        <f>IFERROR(__xludf.DUMMYFUNCTION("""COMPUTED_VALUE"""),"M.10717/SEGALA MIDER")</f>
        <v>M.10717/SEGALA MIDER</v>
      </c>
      <c r="D5772" s="42" t="str">
        <f>IFERROR(__xludf.DUMMYFUNCTION("""COMPUTED_VALUE"""),"Berry")</f>
        <v>Berry</v>
      </c>
      <c r="E5772" s="42" t="str">
        <f>IFERROR(__xludf.DUMMYFUNCTION("""COMPUTED_VALUE"""),"DISERAHKAN")</f>
        <v>DISERAHKAN</v>
      </c>
      <c r="F5772" s="48">
        <f>IFERROR(__xludf.DUMMYFUNCTION("""COMPUTED_VALUE"""),45867.6814944213)</f>
        <v>45867.68149</v>
      </c>
      <c r="G5772" s="42" t="str">
        <f>IFERROR(__xludf.DUMMYFUNCTION("""COMPUTED_VALUE"""),"KEWARISAN")</f>
        <v>KEWARISAN</v>
      </c>
      <c r="H5772" s="42">
        <f t="shared" si="1"/>
        <v>2585</v>
      </c>
    </row>
    <row r="5773" ht="22.5" customHeight="1">
      <c r="B5773" s="42" t="str">
        <f>IFERROR(__xludf.DUMMYFUNCTION("""COMPUTED_VALUE"""),"K/32/140725/1")</f>
        <v>K/32/140725/1</v>
      </c>
      <c r="C5773" s="42" t="str">
        <f>IFERROR(__xludf.DUMMYFUNCTION("""COMPUTED_VALUE"""),"Nibel. M. 21800/ Gedong Meneng")</f>
        <v>Nibel. M. 21800/ Gedong Meneng</v>
      </c>
      <c r="D5773" s="42"/>
      <c r="E5773" s="42"/>
      <c r="F5773" s="48" t="str">
        <f>IFERROR(__xludf.DUMMYFUNCTION("""COMPUTED_VALUE"""),"")</f>
        <v/>
      </c>
      <c r="G5773" s="42" t="str">
        <f>IFERROR(__xludf.DUMMYFUNCTION("""COMPUTED_VALUE"""),"PTPGT (Pemecahan)")</f>
        <v>PTPGT (Pemecahan)</v>
      </c>
      <c r="H5773" s="42">
        <f t="shared" si="1"/>
        <v>2585</v>
      </c>
    </row>
    <row r="5774" ht="22.5" customHeight="1">
      <c r="B5774" s="42" t="str">
        <f>IFERROR(__xludf.DUMMYFUNCTION("""COMPUTED_VALUE"""),"K/24/140725/1")</f>
        <v>K/24/140725/1</v>
      </c>
      <c r="C5774" s="42" t="str">
        <f>IFERROR(__xludf.DUMMYFUNCTION("""COMPUTED_VALUE"""),"NIBEL M. 21022/GUNUNG AGUNG")</f>
        <v>NIBEL M. 21022/GUNUNG AGUNG</v>
      </c>
      <c r="D5774" s="42"/>
      <c r="E5774" s="42"/>
      <c r="F5774" s="48" t="str">
        <f>IFERROR(__xludf.DUMMYFUNCTION("""COMPUTED_VALUE"""),"")</f>
        <v/>
      </c>
      <c r="G5774" s="42" t="str">
        <f>IFERROR(__xludf.DUMMYFUNCTION("""COMPUTED_VALUE"""),"BN JUAL BELI")</f>
        <v>BN JUAL BELI</v>
      </c>
      <c r="H5774" s="42">
        <f t="shared" si="1"/>
        <v>2585</v>
      </c>
    </row>
    <row r="5775" ht="22.5" customHeight="1">
      <c r="B5775" s="42" t="str">
        <f>IFERROR(__xludf.DUMMYFUNCTION("""COMPUTED_VALUE"""),"K/33/140725/1")</f>
        <v>K/33/140725/1</v>
      </c>
      <c r="C5775" s="42" t="str">
        <f>IFERROR(__xludf.DUMMYFUNCTION("""COMPUTED_VALUE"""),"M.19754/SUKARAME")</f>
        <v>M.19754/SUKARAME</v>
      </c>
      <c r="D5775" s="42"/>
      <c r="E5775" s="42"/>
      <c r="F5775" s="48" t="str">
        <f>IFERROR(__xludf.DUMMYFUNCTION("""COMPUTED_VALUE"""),"")</f>
        <v/>
      </c>
      <c r="G5775" s="42" t="str">
        <f>IFERROR(__xludf.DUMMYFUNCTION("""COMPUTED_VALUE"""),"BN JUAL BELI")</f>
        <v>BN JUAL BELI</v>
      </c>
      <c r="H5775" s="42">
        <f t="shared" si="1"/>
        <v>2585</v>
      </c>
    </row>
    <row r="5776" ht="22.5" customHeight="1">
      <c r="B5776" s="42" t="str">
        <f>IFERROR(__xludf.DUMMYFUNCTION("""COMPUTED_VALUE"""),"K/34/140725/2")</f>
        <v>K/34/140725/2</v>
      </c>
      <c r="C5776" s="42" t="str">
        <f>IFERROR(__xludf.DUMMYFUNCTION("""COMPUTED_VALUE"""),"M.1267/LANGKAPURA BARU")</f>
        <v>M.1267/LANGKAPURA BARU</v>
      </c>
      <c r="D5776" s="42" t="str">
        <f>IFERROR(__xludf.DUMMYFUNCTION("""COMPUTED_VALUE"""),"Berry")</f>
        <v>Berry</v>
      </c>
      <c r="E5776" s="42" t="str">
        <f>IFERROR(__xludf.DUMMYFUNCTION("""COMPUTED_VALUE"""),"DISERAHKAN")</f>
        <v>DISERAHKAN</v>
      </c>
      <c r="F5776" s="48">
        <f>IFERROR(__xludf.DUMMYFUNCTION("""COMPUTED_VALUE"""),45910.593337858794)</f>
        <v>45910.59334</v>
      </c>
      <c r="G5776" s="42" t="str">
        <f>IFERROR(__xludf.DUMMYFUNCTION("""COMPUTED_VALUE"""),"BN HIBAH")</f>
        <v>BN HIBAH</v>
      </c>
      <c r="H5776" s="42">
        <f t="shared" si="1"/>
        <v>2586</v>
      </c>
    </row>
    <row r="5777" ht="22.5" customHeight="1">
      <c r="B5777" s="42" t="str">
        <f>IFERROR(__xludf.DUMMYFUNCTION("""COMPUTED_VALUE""")," K/35/140725/1")</f>
        <v> K/35/140725/1</v>
      </c>
      <c r="C5777" s="42" t="str">
        <f>IFERROR(__xludf.DUMMYFUNCTION("""COMPUTED_VALUE"""),"B. 4929/ Beringin Raya")</f>
        <v>B. 4929/ Beringin Raya</v>
      </c>
      <c r="D5777" s="42"/>
      <c r="E5777" s="42"/>
      <c r="F5777" s="48" t="str">
        <f>IFERROR(__xludf.DUMMYFUNCTION("""COMPUTED_VALUE"""),"")</f>
        <v/>
      </c>
      <c r="G5777" s="42" t="str">
        <f>IFERROR(__xludf.DUMMYFUNCTION("""COMPUTED_VALUE"""),"BN JUAL BELI")</f>
        <v>BN JUAL BELI</v>
      </c>
      <c r="H5777" s="42">
        <f t="shared" si="1"/>
        <v>2586</v>
      </c>
    </row>
    <row r="5778" ht="22.5" customHeight="1">
      <c r="B5778" s="42" t="str">
        <f>IFERROR(__xludf.DUMMYFUNCTION("""COMPUTED_VALUE"""),"K/38/140725/1")</f>
        <v>K/38/140725/1</v>
      </c>
      <c r="C5778" s="42" t="str">
        <f>IFERROR(__xludf.DUMMYFUNCTION("""COMPUTED_VALUE"""),"M. 9821/ Gedung Meneng")</f>
        <v>M. 9821/ Gedung Meneng</v>
      </c>
      <c r="D5778" s="42" t="str">
        <f>IFERROR(__xludf.DUMMYFUNCTION("""COMPUTED_VALUE"""),"Berry")</f>
        <v>Berry</v>
      </c>
      <c r="E5778" s="42" t="str">
        <f>IFERROR(__xludf.DUMMYFUNCTION("""COMPUTED_VALUE"""),"DISERAHKAN")</f>
        <v>DISERAHKAN</v>
      </c>
      <c r="F5778" s="48">
        <f>IFERROR(__xludf.DUMMYFUNCTION("""COMPUTED_VALUE"""),45880.715402013884)</f>
        <v>45880.7154</v>
      </c>
      <c r="G5778" s="42" t="str">
        <f>IFERROR(__xludf.DUMMYFUNCTION("""COMPUTED_VALUE"""),"BN JUAL BELI")</f>
        <v>BN JUAL BELI</v>
      </c>
      <c r="H5778" s="42">
        <f t="shared" si="1"/>
        <v>2587</v>
      </c>
    </row>
    <row r="5779" ht="22.5" customHeight="1">
      <c r="B5779" s="42" t="str">
        <f>IFERROR(__xludf.DUMMYFUNCTION("""COMPUTED_VALUE"""),"K/37/140725/3")</f>
        <v>K/37/140725/3</v>
      </c>
      <c r="C5779" s="42" t="str">
        <f>IFERROR(__xludf.DUMMYFUNCTION("""COMPUTED_VALUE"""),"NIBEL B.21759/WAY LAGA")</f>
        <v>NIBEL B.21759/WAY LAGA</v>
      </c>
      <c r="D5779" s="42"/>
      <c r="E5779" s="42"/>
      <c r="F5779" s="48" t="str">
        <f>IFERROR(__xludf.DUMMYFUNCTION("""COMPUTED_VALUE"""),"")</f>
        <v/>
      </c>
      <c r="G5779" s="42" t="str">
        <f>IFERROR(__xludf.DUMMYFUNCTION("""COMPUTED_VALUE"""),"PERUBAHAN HAK")</f>
        <v>PERUBAHAN HAK</v>
      </c>
      <c r="H5779" s="42">
        <f t="shared" si="1"/>
        <v>2587</v>
      </c>
    </row>
    <row r="5780" ht="22.5" customHeight="1">
      <c r="B5780" s="42" t="str">
        <f>IFERROR(__xludf.DUMMYFUNCTION("""COMPUTED_VALUE"""),"L/39/140725/1")</f>
        <v>L/39/140725/1</v>
      </c>
      <c r="C5780" s="42" t="str">
        <f>IFERROR(__xludf.DUMMYFUNCTION("""COMPUTED_VALUE"""),"HGB 607/NUSANTARA PERMAI")</f>
        <v>HGB 607/NUSANTARA PERMAI</v>
      </c>
      <c r="D5780" s="42"/>
      <c r="E5780" s="42"/>
      <c r="F5780" s="48" t="str">
        <f>IFERROR(__xludf.DUMMYFUNCTION("""COMPUTED_VALUE"""),"")</f>
        <v/>
      </c>
      <c r="G5780" s="42" t="str">
        <f>IFERROR(__xludf.DUMMYFUNCTION("""COMPUTED_VALUE"""),"PH")</f>
        <v>PH</v>
      </c>
      <c r="H5780" s="42">
        <f t="shared" si="1"/>
        <v>2587</v>
      </c>
    </row>
    <row r="5781" ht="22.5" customHeight="1">
      <c r="B5781" s="42" t="str">
        <f>IFERROR(__xludf.DUMMYFUNCTION("""COMPUTED_VALUE"""),"L/40/140725/1")</f>
        <v>L/40/140725/1</v>
      </c>
      <c r="C5781" s="42" t="str">
        <f>IFERROR(__xludf.DUMMYFUNCTION("""COMPUTED_VALUE"""),"HM 1554/WHP")</f>
        <v>HM 1554/WHP</v>
      </c>
      <c r="D5781" s="42" t="str">
        <f>IFERROR(__xludf.DUMMYFUNCTION("""COMPUTED_VALUE"""),"David")</f>
        <v>David</v>
      </c>
      <c r="E5781" s="42" t="str">
        <f>IFERROR(__xludf.DUMMYFUNCTION("""COMPUTED_VALUE"""),"DISERAHKAN")</f>
        <v>DISERAHKAN</v>
      </c>
      <c r="F5781" s="48">
        <f>IFERROR(__xludf.DUMMYFUNCTION("""COMPUTED_VALUE"""),45868.65575670139)</f>
        <v>45868.65576</v>
      </c>
      <c r="G5781" s="42" t="str">
        <f>IFERROR(__xludf.DUMMYFUNCTION("""COMPUTED_VALUE"""),"ROYA")</f>
        <v>ROYA</v>
      </c>
      <c r="H5781" s="42">
        <f t="shared" si="1"/>
        <v>2588</v>
      </c>
    </row>
    <row r="5782" ht="22.5" customHeight="1">
      <c r="B5782" s="42" t="str">
        <f>IFERROR(__xludf.DUMMYFUNCTION("""COMPUTED_VALUE"""),"K/41/140725/1")</f>
        <v>K/41/140725/1</v>
      </c>
      <c r="C5782" s="42" t="str">
        <f>IFERROR(__xludf.DUMMYFUNCTION("""COMPUTED_VALUE"""),"M. 2138/ Labuhan Ratu Raya")</f>
        <v>M. 2138/ Labuhan Ratu Raya</v>
      </c>
      <c r="D5782" s="42" t="str">
        <f>IFERROR(__xludf.DUMMYFUNCTION("""COMPUTED_VALUE"""),"David")</f>
        <v>David</v>
      </c>
      <c r="E5782" s="42" t="str">
        <f>IFERROR(__xludf.DUMMYFUNCTION("""COMPUTED_VALUE"""),"DISERAHKAN")</f>
        <v>DISERAHKAN</v>
      </c>
      <c r="F5782" s="48">
        <f>IFERROR(__xludf.DUMMYFUNCTION("""COMPUTED_VALUE"""),45863.606192060186)</f>
        <v>45863.60619</v>
      </c>
      <c r="G5782" s="42" t="str">
        <f>IFERROR(__xludf.DUMMYFUNCTION("""COMPUTED_VALUE"""),"BN JUAL BELI")</f>
        <v>BN JUAL BELI</v>
      </c>
      <c r="H5782" s="42">
        <f t="shared" si="1"/>
        <v>2589</v>
      </c>
    </row>
    <row r="5783" ht="22.5" customHeight="1">
      <c r="B5783" s="42" t="str">
        <f>IFERROR(__xludf.DUMMYFUNCTION("""COMPUTED_VALUE"""),"L/43/140725/1")</f>
        <v>L/43/140725/1</v>
      </c>
      <c r="C5783" s="42" t="str">
        <f>IFERROR(__xludf.DUMMYFUNCTION("""COMPUTED_VALUE"""),"HM 3494/GUNUNG TERANG")</f>
        <v>HM 3494/GUNUNG TERANG</v>
      </c>
      <c r="D5783" s="42"/>
      <c r="E5783" s="42"/>
      <c r="F5783" s="48" t="str">
        <f>IFERROR(__xludf.DUMMYFUNCTION("""COMPUTED_VALUE"""),"")</f>
        <v/>
      </c>
      <c r="G5783" s="42" t="str">
        <f>IFERROR(__xludf.DUMMYFUNCTION("""COMPUTED_VALUE"""),"PEMECAHAN")</f>
        <v>PEMECAHAN</v>
      </c>
      <c r="H5783" s="42">
        <f t="shared" si="1"/>
        <v>2589</v>
      </c>
    </row>
    <row r="5784" ht="22.5" customHeight="1">
      <c r="B5784" s="42" t="str">
        <f>IFERROR(__xludf.DUMMYFUNCTION("""COMPUTED_VALUE"""),"K/42/140725/1")</f>
        <v>K/42/140725/1</v>
      </c>
      <c r="C5784" s="42" t="str">
        <f>IFERROR(__xludf.DUMMYFUNCTION("""COMPUTED_VALUE"""),"NIBEL M. 21277/RAJABASA JAYA")</f>
        <v>NIBEL M. 21277/RAJABASA JAYA</v>
      </c>
      <c r="D5784" s="42"/>
      <c r="E5784" s="42"/>
      <c r="F5784" s="48" t="str">
        <f>IFERROR(__xludf.DUMMYFUNCTION("""COMPUTED_VALUE"""),"")</f>
        <v/>
      </c>
      <c r="G5784" s="42" t="str">
        <f>IFERROR(__xludf.DUMMYFUNCTION("""COMPUTED_VALUE"""),"BN JUAL BELI")</f>
        <v>BN JUAL BELI</v>
      </c>
      <c r="H5784" s="42">
        <f t="shared" si="1"/>
        <v>2589</v>
      </c>
    </row>
    <row r="5785" ht="22.5" customHeight="1">
      <c r="B5785" s="42" t="str">
        <f>IFERROR(__xludf.DUMMYFUNCTION("""COMPUTED_VALUE"""),"K/36/140725/1")</f>
        <v>K/36/140725/1</v>
      </c>
      <c r="C5785" s="42" t="str">
        <f>IFERROR(__xludf.DUMMYFUNCTION("""COMPUTED_VALUE"""),"M.1040/SUKARAME II")</f>
        <v>M.1040/SUKARAME II</v>
      </c>
      <c r="D5785" s="42" t="str">
        <f>IFERROR(__xludf.DUMMYFUNCTION("""COMPUTED_VALUE"""),"Berry")</f>
        <v>Berry</v>
      </c>
      <c r="E5785" s="42" t="str">
        <f>IFERROR(__xludf.DUMMYFUNCTION("""COMPUTED_VALUE"""),"DISERAHKAN")</f>
        <v>DISERAHKAN</v>
      </c>
      <c r="F5785" s="48">
        <f>IFERROR(__xludf.DUMMYFUNCTION("""COMPUTED_VALUE"""),45867.680427280095)</f>
        <v>45867.68043</v>
      </c>
      <c r="G5785" s="42" t="str">
        <f>IFERROR(__xludf.DUMMYFUNCTION("""COMPUTED_VALUE"""),"JUAL BELI")</f>
        <v>JUAL BELI</v>
      </c>
      <c r="H5785" s="42">
        <f t="shared" si="1"/>
        <v>2590</v>
      </c>
    </row>
    <row r="5786" ht="22.5" customHeight="1">
      <c r="B5786" s="42" t="str">
        <f>IFERROR(__xludf.DUMMYFUNCTION("""COMPUTED_VALUE"""),"L/47/140725/1")</f>
        <v>L/47/140725/1</v>
      </c>
      <c r="C5786" s="42" t="str">
        <f>IFERROR(__xludf.DUMMYFUNCTION("""COMPUTED_VALUE"""),"HM 338/KELAPA TIGA PERMAI")</f>
        <v>HM 338/KELAPA TIGA PERMAI</v>
      </c>
      <c r="D5786" s="42" t="str">
        <f>IFERROR(__xludf.DUMMYFUNCTION("""COMPUTED_VALUE"""),"Berry")</f>
        <v>Berry</v>
      </c>
      <c r="E5786" s="42" t="str">
        <f>IFERROR(__xludf.DUMMYFUNCTION("""COMPUTED_VALUE"""),"DISERAHKAN")</f>
        <v>DISERAHKAN</v>
      </c>
      <c r="F5786" s="48">
        <f>IFERROR(__xludf.DUMMYFUNCTION("""COMPUTED_VALUE"""),45891.59063)</f>
        <v>45891.59063</v>
      </c>
      <c r="G5786" s="42" t="str">
        <f>IFERROR(__xludf.DUMMYFUNCTION("""COMPUTED_VALUE"""),"ROYA")</f>
        <v>ROYA</v>
      </c>
      <c r="H5786" s="42">
        <f t="shared" si="1"/>
        <v>2591</v>
      </c>
    </row>
    <row r="5787" ht="22.5" customHeight="1">
      <c r="B5787" s="42" t="str">
        <f>IFERROR(__xludf.DUMMYFUNCTION("""COMPUTED_VALUE"""),"K/44/140725/1")</f>
        <v>K/44/140725/1</v>
      </c>
      <c r="C5787" s="42" t="str">
        <f>IFERROR(__xludf.DUMMYFUNCTION("""COMPUTED_VALUE"""),"NIBEL M 18263/SEGALA MIDER")</f>
        <v>NIBEL M 18263/SEGALA MIDER</v>
      </c>
      <c r="D5787" s="42"/>
      <c r="E5787" s="42"/>
      <c r="F5787" s="48" t="str">
        <f>IFERROR(__xludf.DUMMYFUNCTION("""COMPUTED_VALUE"""),"")</f>
        <v/>
      </c>
      <c r="G5787" s="42" t="str">
        <f>IFERROR(__xludf.DUMMYFUNCTION("""COMPUTED_VALUE"""),"JUAL BELI")</f>
        <v>JUAL BELI</v>
      </c>
      <c r="H5787" s="42">
        <f t="shared" si="1"/>
        <v>2591</v>
      </c>
    </row>
    <row r="5788" ht="22.5" customHeight="1">
      <c r="B5788" s="42" t="str">
        <f>IFERROR(__xludf.DUMMYFUNCTION("""COMPUTED_VALUE"""),"K/26/140725/1")</f>
        <v>K/26/140725/1</v>
      </c>
      <c r="C5788" s="42" t="str">
        <f>IFERROR(__xludf.DUMMYFUNCTION("""COMPUTED_VALUE"""),"M. 338/ Sukabumi Indah")</f>
        <v>M. 338/ Sukabumi Indah</v>
      </c>
      <c r="D5788" s="42" t="str">
        <f>IFERROR(__xludf.DUMMYFUNCTION("""COMPUTED_VALUE"""),"Berry")</f>
        <v>Berry</v>
      </c>
      <c r="E5788" s="42" t="str">
        <f>IFERROR(__xludf.DUMMYFUNCTION("""COMPUTED_VALUE"""),"DISERAHKAN")</f>
        <v>DISERAHKAN</v>
      </c>
      <c r="F5788" s="48">
        <f>IFERROR(__xludf.DUMMYFUNCTION("""COMPUTED_VALUE"""),45890.59536665509)</f>
        <v>45890.59537</v>
      </c>
      <c r="G5788" s="42" t="str">
        <f>IFERROR(__xludf.DUMMYFUNCTION("""COMPUTED_VALUE"""),"ROYA")</f>
        <v>ROYA</v>
      </c>
      <c r="H5788" s="42">
        <f t="shared" si="1"/>
        <v>2592</v>
      </c>
    </row>
    <row r="5789" ht="22.5" customHeight="1">
      <c r="B5789" s="42" t="str">
        <f>IFERROR(__xludf.DUMMYFUNCTION("""COMPUTED_VALUE"""),"K/45/140725/2")</f>
        <v>K/45/140725/2</v>
      </c>
      <c r="C5789" s="42" t="str">
        <f>IFERROR(__xludf.DUMMYFUNCTION("""COMPUTED_VALUE"""),"NIBEL M 18262/SEGALA MIDER")</f>
        <v>NIBEL M 18262/SEGALA MIDER</v>
      </c>
      <c r="D5789" s="42"/>
      <c r="E5789" s="42"/>
      <c r="F5789" s="48" t="str">
        <f>IFERROR(__xludf.DUMMYFUNCTION("""COMPUTED_VALUE"""),"")</f>
        <v/>
      </c>
      <c r="G5789" s="42" t="str">
        <f>IFERROR(__xludf.DUMMYFUNCTION("""COMPUTED_VALUE"""),"JUAL BELI")</f>
        <v>JUAL BELI</v>
      </c>
      <c r="H5789" s="42">
        <f t="shared" si="1"/>
        <v>2592</v>
      </c>
    </row>
    <row r="5790" ht="22.5" customHeight="1">
      <c r="B5790" s="42" t="str">
        <f>IFERROR(__xludf.DUMMYFUNCTION("""COMPUTED_VALUE"""),"K/46/140725/3")</f>
        <v>K/46/140725/3</v>
      </c>
      <c r="C5790" s="42" t="str">
        <f>IFERROR(__xludf.DUMMYFUNCTION("""COMPUTED_VALUE"""),"NIBEL M 18264/SEGALA MIDER")</f>
        <v>NIBEL M 18264/SEGALA MIDER</v>
      </c>
      <c r="D5790" s="42"/>
      <c r="E5790" s="42"/>
      <c r="F5790" s="48" t="str">
        <f>IFERROR(__xludf.DUMMYFUNCTION("""COMPUTED_VALUE"""),"")</f>
        <v/>
      </c>
      <c r="G5790" s="42" t="str">
        <f>IFERROR(__xludf.DUMMYFUNCTION("""COMPUTED_VALUE"""),"JUAL BELI")</f>
        <v>JUAL BELI</v>
      </c>
      <c r="H5790" s="42">
        <f t="shared" si="1"/>
        <v>2592</v>
      </c>
    </row>
    <row r="5791" ht="22.5" customHeight="1">
      <c r="B5791" s="42" t="str">
        <f>IFERROR(__xludf.DUMMYFUNCTION("""COMPUTED_VALUE"""),"K/48/140725/1")</f>
        <v>K/48/140725/1</v>
      </c>
      <c r="C5791" s="42" t="str">
        <f>IFERROR(__xludf.DUMMYFUNCTION("""COMPUTED_VALUE"""),"Nibel. M. 18110/ Way Kandis")</f>
        <v>Nibel. M. 18110/ Way Kandis</v>
      </c>
      <c r="D5791" s="42"/>
      <c r="E5791" s="42"/>
      <c r="F5791" s="48" t="str">
        <f>IFERROR(__xludf.DUMMYFUNCTION("""COMPUTED_VALUE"""),"")</f>
        <v/>
      </c>
      <c r="G5791" s="42" t="str">
        <f>IFERROR(__xludf.DUMMYFUNCTION("""COMPUTED_VALUE"""),"BN Jual Beli")</f>
        <v>BN Jual Beli</v>
      </c>
      <c r="H5791" s="42">
        <f t="shared" si="1"/>
        <v>2592</v>
      </c>
    </row>
    <row r="5792" ht="22.5" customHeight="1">
      <c r="B5792" s="42" t="str">
        <f>IFERROR(__xludf.DUMMYFUNCTION("""COMPUTED_VALUE"""),"K/49/140725/1")</f>
        <v>K/49/140725/1</v>
      </c>
      <c r="C5792" s="42" t="str">
        <f>IFERROR(__xludf.DUMMYFUNCTION("""COMPUTED_VALUE"""),"M. 2331/ Rajabasa Jaya")</f>
        <v>M. 2331/ Rajabasa Jaya</v>
      </c>
      <c r="D5792" s="42" t="str">
        <f>IFERROR(__xludf.DUMMYFUNCTION("""COMPUTED_VALUE"""),"Berry")</f>
        <v>Berry</v>
      </c>
      <c r="E5792" s="42" t="str">
        <f>IFERROR(__xludf.DUMMYFUNCTION("""COMPUTED_VALUE"""),"DISERAHKAN")</f>
        <v>DISERAHKAN</v>
      </c>
      <c r="F5792" s="48">
        <f>IFERROR(__xludf.DUMMYFUNCTION("""COMPUTED_VALUE"""),45867.716954664356)</f>
        <v>45867.71695</v>
      </c>
      <c r="G5792" s="42" t="str">
        <f>IFERROR(__xludf.DUMMYFUNCTION("""COMPUTED_VALUE"""),"BN Jual Beli")</f>
        <v>BN Jual Beli</v>
      </c>
      <c r="H5792" s="42">
        <f t="shared" si="1"/>
        <v>2593</v>
      </c>
    </row>
    <row r="5793" ht="22.5" customHeight="1">
      <c r="B5793" s="42" t="str">
        <f>IFERROR(__xludf.DUMMYFUNCTION("""COMPUTED_VALUE"""),"K/19/140725/1")</f>
        <v>K/19/140725/1</v>
      </c>
      <c r="C5793" s="42" t="str">
        <f>IFERROR(__xludf.DUMMYFUNCTION("""COMPUTED_VALUE"""),"B. 1841/ Beringin Raya( PBT. 94/2025)")</f>
        <v>B. 1841/ Beringin Raya( PBT. 94/2025)</v>
      </c>
      <c r="D5793" s="42"/>
      <c r="E5793" s="42"/>
      <c r="F5793" s="48" t="str">
        <f>IFERROR(__xludf.DUMMYFUNCTION("""COMPUTED_VALUE"""),"")</f>
        <v/>
      </c>
      <c r="G5793" s="42" t="str">
        <f>IFERROR(__xludf.DUMMYFUNCTION("""COMPUTED_VALUE"""),"Permohonan SK")</f>
        <v>Permohonan SK</v>
      </c>
      <c r="H5793" s="42">
        <f t="shared" si="1"/>
        <v>2593</v>
      </c>
    </row>
    <row r="5794" ht="22.5" customHeight="1">
      <c r="B5794" s="42" t="str">
        <f>IFERROR(__xludf.DUMMYFUNCTION("""COMPUTED_VALUE"""),"K/2/150725/1")</f>
        <v>K/2/150725/1</v>
      </c>
      <c r="C5794" s="42" t="str">
        <f>IFERROR(__xludf.DUMMYFUNCTION("""COMPUTED_VALUE"""),"M. 5203/ Way Kandis")</f>
        <v>M. 5203/ Way Kandis</v>
      </c>
      <c r="D5794" s="42" t="str">
        <f>IFERROR(__xludf.DUMMYFUNCTION("""COMPUTED_VALUE"""),"Berry")</f>
        <v>Berry</v>
      </c>
      <c r="E5794" s="42" t="str">
        <f>IFERROR(__xludf.DUMMYFUNCTION("""COMPUTED_VALUE"""),"DISERAHKAN")</f>
        <v>DISERAHKAN</v>
      </c>
      <c r="F5794" s="48">
        <f>IFERROR(__xludf.DUMMYFUNCTION("""COMPUTED_VALUE"""),45870.67650105324)</f>
        <v>45870.6765</v>
      </c>
      <c r="G5794" s="42" t="str">
        <f>IFERROR(__xludf.DUMMYFUNCTION("""COMPUTED_VALUE"""),"BN JUAL BELI")</f>
        <v>BN JUAL BELI</v>
      </c>
      <c r="H5794" s="42">
        <f t="shared" si="1"/>
        <v>2594</v>
      </c>
    </row>
    <row r="5795" ht="22.5" customHeight="1">
      <c r="B5795" s="42" t="str">
        <f>IFERROR(__xludf.DUMMYFUNCTION("""COMPUTED_VALUE"""),"K/4/150725/1")</f>
        <v>K/4/150725/1</v>
      </c>
      <c r="C5795" s="42" t="str">
        <f>IFERROR(__xludf.DUMMYFUNCTION("""COMPUTED_VALUE"""),"M. 647/PERWATA")</f>
        <v>M. 647/PERWATA</v>
      </c>
      <c r="D5795" s="42" t="str">
        <f>IFERROR(__xludf.DUMMYFUNCTION("""COMPUTED_VALUE"""),"David")</f>
        <v>David</v>
      </c>
      <c r="E5795" s="42" t="str">
        <f>IFERROR(__xludf.DUMMYFUNCTION("""COMPUTED_VALUE"""),"DISERAHKAN")</f>
        <v>DISERAHKAN</v>
      </c>
      <c r="F5795" s="48">
        <f>IFERROR(__xludf.DUMMYFUNCTION("""COMPUTED_VALUE"""),45863.60553273148)</f>
        <v>45863.60553</v>
      </c>
      <c r="G5795" s="42" t="str">
        <f>IFERROR(__xludf.DUMMYFUNCTION("""COMPUTED_VALUE"""),"BN JUAL BELI")</f>
        <v>BN JUAL BELI</v>
      </c>
      <c r="H5795" s="42">
        <f t="shared" si="1"/>
        <v>2595</v>
      </c>
    </row>
    <row r="5796" ht="22.5" customHeight="1">
      <c r="B5796" s="42" t="str">
        <f>IFERROR(__xludf.DUMMYFUNCTION("""COMPUTED_VALUE"""),"L/1/150725/1")</f>
        <v>L/1/150725/1</v>
      </c>
      <c r="C5796" s="42" t="str">
        <f>IFERROR(__xludf.DUMMYFUNCTION("""COMPUTED_VALUE"""),"B. 308/ Segala Mider")</f>
        <v>B. 308/ Segala Mider</v>
      </c>
      <c r="D5796" s="42" t="str">
        <f>IFERROR(__xludf.DUMMYFUNCTION("""COMPUTED_VALUE"""),"Berry")</f>
        <v>Berry</v>
      </c>
      <c r="E5796" s="42" t="str">
        <f>IFERROR(__xludf.DUMMYFUNCTION("""COMPUTED_VALUE"""),"DISERAHKAN")</f>
        <v>DISERAHKAN</v>
      </c>
      <c r="F5796" s="48">
        <f>IFERROR(__xludf.DUMMYFUNCTION("""COMPUTED_VALUE"""),45870.48499695602)</f>
        <v>45870.485</v>
      </c>
      <c r="G5796" s="42" t="str">
        <f>IFERROR(__xludf.DUMMYFUNCTION("""COMPUTED_VALUE"""),"Perubahan Hak")</f>
        <v>Perubahan Hak</v>
      </c>
      <c r="H5796" s="42">
        <f t="shared" si="1"/>
        <v>2596</v>
      </c>
    </row>
    <row r="5797" ht="22.5" customHeight="1">
      <c r="B5797" s="42" t="str">
        <f>IFERROR(__xludf.DUMMYFUNCTION("""COMPUTED_VALUE"""),"K/5/150725/1")</f>
        <v>K/5/150725/1</v>
      </c>
      <c r="C5797" s="42" t="str">
        <f>IFERROR(__xludf.DUMMYFUNCTION("""COMPUTED_VALUE"""),"M. 2041/ Gunung Terang")</f>
        <v>M. 2041/ Gunung Terang</v>
      </c>
      <c r="D5797" s="42" t="str">
        <f>IFERROR(__xludf.DUMMYFUNCTION("""COMPUTED_VALUE"""),"David")</f>
        <v>David</v>
      </c>
      <c r="E5797" s="42" t="str">
        <f>IFERROR(__xludf.DUMMYFUNCTION("""COMPUTED_VALUE"""),"DISERAHKAN")</f>
        <v>DISERAHKAN</v>
      </c>
      <c r="F5797" s="48">
        <f>IFERROR(__xludf.DUMMYFUNCTION("""COMPUTED_VALUE"""),45880.715402013884)</f>
        <v>45880.7154</v>
      </c>
      <c r="G5797" s="42" t="str">
        <f>IFERROR(__xludf.DUMMYFUNCTION("""COMPUTED_VALUE"""),"BN Jual Beli")</f>
        <v>BN Jual Beli</v>
      </c>
      <c r="H5797" s="42">
        <f t="shared" si="1"/>
        <v>2597</v>
      </c>
    </row>
    <row r="5798" ht="22.5" customHeight="1">
      <c r="B5798" s="42" t="str">
        <f>IFERROR(__xludf.DUMMYFUNCTION("""COMPUTED_VALUE"""),"K/6/150725/2")</f>
        <v>K/6/150725/2</v>
      </c>
      <c r="C5798" s="42" t="str">
        <f>IFERROR(__xludf.DUMMYFUNCTION("""COMPUTED_VALUE"""),"M. 1855/ Rajabasa Nunyai")</f>
        <v>M. 1855/ Rajabasa Nunyai</v>
      </c>
      <c r="D5798" s="42" t="str">
        <f>IFERROR(__xludf.DUMMYFUNCTION("""COMPUTED_VALUE"""),"David")</f>
        <v>David</v>
      </c>
      <c r="E5798" s="42" t="str">
        <f>IFERROR(__xludf.DUMMYFUNCTION("""COMPUTED_VALUE"""),"DISERAHKAN")</f>
        <v>DISERAHKAN</v>
      </c>
      <c r="F5798" s="48">
        <f>IFERROR(__xludf.DUMMYFUNCTION("""COMPUTED_VALUE"""),45882.63826576389)</f>
        <v>45882.63827</v>
      </c>
      <c r="G5798" s="42" t="str">
        <f>IFERROR(__xludf.DUMMYFUNCTION("""COMPUTED_VALUE"""),"BN Jual Beli")</f>
        <v>BN Jual Beli</v>
      </c>
      <c r="H5798" s="42">
        <f t="shared" si="1"/>
        <v>2598</v>
      </c>
    </row>
    <row r="5799" ht="22.5" customHeight="1">
      <c r="B5799" s="42" t="str">
        <f>IFERROR(__xludf.DUMMYFUNCTION("""COMPUTED_VALUE"""),"K/3/150725/2")</f>
        <v>K/3/150725/2</v>
      </c>
      <c r="C5799" s="42" t="str">
        <f>IFERROR(__xludf.DUMMYFUNCTION("""COMPUTED_VALUE"""),"Nibel 22797/ Tanjung Raya")</f>
        <v>Nibel 22797/ Tanjung Raya</v>
      </c>
      <c r="D5799" s="42"/>
      <c r="E5799" s="42"/>
      <c r="F5799" s="48" t="str">
        <f>IFERROR(__xludf.DUMMYFUNCTION("""COMPUTED_VALUE"""),"")</f>
        <v/>
      </c>
      <c r="G5799" s="42" t="str">
        <f>IFERROR(__xludf.DUMMYFUNCTION("""COMPUTED_VALUE"""),"BN HIBAH")</f>
        <v>BN HIBAH</v>
      </c>
      <c r="H5799" s="42">
        <f t="shared" si="1"/>
        <v>2598</v>
      </c>
    </row>
    <row r="5800" ht="22.5" customHeight="1">
      <c r="B5800" s="42" t="str">
        <f>IFERROR(__xludf.DUMMYFUNCTION("""COMPUTED_VALUE"""),"K/7/150725/1")</f>
        <v>K/7/150725/1</v>
      </c>
      <c r="C5800" s="42" t="str">
        <f>IFERROR(__xludf.DUMMYFUNCTION("""COMPUTED_VALUE"""),"M. 13039/ Beringin Raya")</f>
        <v>M. 13039/ Beringin Raya</v>
      </c>
      <c r="D5800" s="42" t="str">
        <f>IFERROR(__xludf.DUMMYFUNCTION("""COMPUTED_VALUE"""),"David")</f>
        <v>David</v>
      </c>
      <c r="E5800" s="42" t="str">
        <f>IFERROR(__xludf.DUMMYFUNCTION("""COMPUTED_VALUE"""),"DISERAHKAN")</f>
        <v>DISERAHKAN</v>
      </c>
      <c r="F5800" s="48">
        <f>IFERROR(__xludf.DUMMYFUNCTION("""COMPUTED_VALUE"""),45863.606088437504)</f>
        <v>45863.60609</v>
      </c>
      <c r="G5800" s="42" t="str">
        <f>IFERROR(__xludf.DUMMYFUNCTION("""COMPUTED_VALUE"""),"BN HIBAH")</f>
        <v>BN HIBAH</v>
      </c>
      <c r="H5800" s="42">
        <f t="shared" si="1"/>
        <v>2599</v>
      </c>
    </row>
    <row r="5801" ht="22.5" customHeight="1">
      <c r="B5801" s="42" t="str">
        <f>IFERROR(__xludf.DUMMYFUNCTION("""COMPUTED_VALUE"""),"L/8/150725/1")</f>
        <v>L/8/150725/1</v>
      </c>
      <c r="C5801" s="42" t="str">
        <f>IFERROR(__xludf.DUMMYFUNCTION("""COMPUTED_VALUE"""),"NIBEL M.18666/KEMILING RAYA")</f>
        <v>NIBEL M.18666/KEMILING RAYA</v>
      </c>
      <c r="D5801" s="42"/>
      <c r="E5801" s="42"/>
      <c r="F5801" s="48" t="str">
        <f>IFERROR(__xludf.DUMMYFUNCTION("""COMPUTED_VALUE"""),"")</f>
        <v/>
      </c>
      <c r="G5801" s="42" t="str">
        <f>IFERROR(__xludf.DUMMYFUNCTION("""COMPUTED_VALUE"""),"LELANG")</f>
        <v>LELANG</v>
      </c>
      <c r="H5801" s="42">
        <f t="shared" si="1"/>
        <v>2599</v>
      </c>
    </row>
    <row r="5802" ht="22.5" customHeight="1">
      <c r="B5802" s="42" t="str">
        <f>IFERROR(__xludf.DUMMYFUNCTION("""COMPUTED_VALUE"""),"K/9/150725/1")</f>
        <v>K/9/150725/1</v>
      </c>
      <c r="C5802" s="42" t="str">
        <f>IFERROR(__xludf.DUMMYFUNCTION("""COMPUTED_VALUE"""),"RAJABASA JAYA")</f>
        <v>RAJABASA JAYA</v>
      </c>
      <c r="D5802" s="42"/>
      <c r="E5802" s="42"/>
      <c r="F5802" s="48" t="str">
        <f>IFERROR(__xludf.DUMMYFUNCTION("""COMPUTED_VALUE"""),"")</f>
        <v/>
      </c>
      <c r="G5802" s="42" t="str">
        <f>IFERROR(__xludf.DUMMYFUNCTION("""COMPUTED_VALUE"""),"PENGUKURAN PERTAMA KALI")</f>
        <v>PENGUKURAN PERTAMA KALI</v>
      </c>
      <c r="H5802" s="42">
        <f t="shared" si="1"/>
        <v>2599</v>
      </c>
    </row>
    <row r="5803" ht="22.5" customHeight="1">
      <c r="B5803" s="42" t="str">
        <f>IFERROR(__xludf.DUMMYFUNCTION("""COMPUTED_VALUE"""),"K/10/150725/1")</f>
        <v>K/10/150725/1</v>
      </c>
      <c r="C5803" s="42" t="str">
        <f>IFERROR(__xludf.DUMMYFUNCTION("""COMPUTED_VALUE"""),"M. 178/ Kaliawi Persada")</f>
        <v>M. 178/ Kaliawi Persada</v>
      </c>
      <c r="D5803" s="42"/>
      <c r="E5803" s="42"/>
      <c r="F5803" s="48" t="str">
        <f>IFERROR(__xludf.DUMMYFUNCTION("""COMPUTED_VALUE"""),"")</f>
        <v/>
      </c>
      <c r="G5803" s="42" t="str">
        <f>IFERROR(__xludf.DUMMYFUNCTION("""COMPUTED_VALUE"""),"SUKANAH")</f>
        <v>SUKANAH</v>
      </c>
      <c r="H5803" s="42">
        <f t="shared" si="1"/>
        <v>2599</v>
      </c>
    </row>
    <row r="5804" ht="22.5" customHeight="1">
      <c r="B5804" s="42" t="str">
        <f>IFERROR(__xludf.DUMMYFUNCTION("""COMPUTED_VALUE"""),"L/12/150725/1")</f>
        <v>L/12/150725/1</v>
      </c>
      <c r="C5804" s="42" t="str">
        <f>IFERROR(__xludf.DUMMYFUNCTION("""COMPUTED_VALUE"""),"B. 306/ Nusantara Permai")</f>
        <v>B. 306/ Nusantara Permai</v>
      </c>
      <c r="D5804" s="42"/>
      <c r="E5804" s="42"/>
      <c r="F5804" s="48" t="str">
        <f>IFERROR(__xludf.DUMMYFUNCTION("""COMPUTED_VALUE"""),"")</f>
        <v/>
      </c>
      <c r="G5804" s="42" t="str">
        <f>IFERROR(__xludf.DUMMYFUNCTION("""COMPUTED_VALUE"""),"Perubahan Hak")</f>
        <v>Perubahan Hak</v>
      </c>
      <c r="H5804" s="42">
        <f t="shared" si="1"/>
        <v>2599</v>
      </c>
    </row>
    <row r="5805" ht="22.5" customHeight="1">
      <c r="B5805" s="42" t="str">
        <f>IFERROR(__xludf.DUMMYFUNCTION("""COMPUTED_VALUE"""),"K/11/150725/1")</f>
        <v>K/11/150725/1</v>
      </c>
      <c r="C5805" s="42" t="str">
        <f>IFERROR(__xludf.DUMMYFUNCTION("""COMPUTED_VALUE"""),"NIBEL M. 20807/GUNUNG TERANG")</f>
        <v>NIBEL M. 20807/GUNUNG TERANG</v>
      </c>
      <c r="D5805" s="42"/>
      <c r="E5805" s="42"/>
      <c r="F5805" s="48" t="str">
        <f>IFERROR(__xludf.DUMMYFUNCTION("""COMPUTED_VALUE"""),"")</f>
        <v/>
      </c>
      <c r="G5805" s="42" t="str">
        <f>IFERROR(__xludf.DUMMYFUNCTION("""COMPUTED_VALUE"""),"BN JUAL BELI")</f>
        <v>BN JUAL BELI</v>
      </c>
      <c r="H5805" s="42">
        <f t="shared" si="1"/>
        <v>2599</v>
      </c>
    </row>
    <row r="5806" ht="22.5" customHeight="1">
      <c r="B5806" s="42" t="str">
        <f>IFERROR(__xludf.DUMMYFUNCTION("""COMPUTED_VALUE"""),"K/13/150725/1")</f>
        <v>K/13/150725/1</v>
      </c>
      <c r="C5806" s="42" t="str">
        <f>IFERROR(__xludf.DUMMYFUNCTION("""COMPUTED_VALUE"""),"Nibel. B. 17023/ Sumberejo Sejahtera")</f>
        <v>Nibel. B. 17023/ Sumberejo Sejahtera</v>
      </c>
      <c r="D5806" s="42"/>
      <c r="E5806" s="42"/>
      <c r="F5806" s="48" t="str">
        <f>IFERROR(__xludf.DUMMYFUNCTION("""COMPUTED_VALUE"""),"")</f>
        <v/>
      </c>
      <c r="G5806" s="42" t="str">
        <f>IFERROR(__xludf.DUMMYFUNCTION("""COMPUTED_VALUE"""),"BN Jual Beli")</f>
        <v>BN Jual Beli</v>
      </c>
      <c r="H5806" s="42">
        <f t="shared" si="1"/>
        <v>2599</v>
      </c>
    </row>
    <row r="5807" ht="22.5" customHeight="1">
      <c r="B5807" s="42" t="str">
        <f>IFERROR(__xludf.DUMMYFUNCTION("""COMPUTED_VALUE"""),"L/15/150725/1")</f>
        <v>L/15/150725/1</v>
      </c>
      <c r="C5807" s="42" t="str">
        <f>IFERROR(__xludf.DUMMYFUNCTION("""COMPUTED_VALUE"""),"PBT 95/2025 KEBON JERUK")</f>
        <v>PBT 95/2025 KEBON JERUK</v>
      </c>
      <c r="D5807" s="42"/>
      <c r="E5807" s="42"/>
      <c r="F5807" s="48" t="str">
        <f>IFERROR(__xludf.DUMMYFUNCTION("""COMPUTED_VALUE"""),"")</f>
        <v/>
      </c>
      <c r="G5807" s="42" t="str">
        <f>IFERROR(__xludf.DUMMYFUNCTION("""COMPUTED_VALUE"""),"PTPGT")</f>
        <v>PTPGT</v>
      </c>
      <c r="H5807" s="42">
        <f t="shared" si="1"/>
        <v>2599</v>
      </c>
    </row>
    <row r="5808" ht="22.5" customHeight="1">
      <c r="B5808" s="42" t="str">
        <f>IFERROR(__xludf.DUMMYFUNCTION("""COMPUTED_VALUE"""),"L/16/150725/1")</f>
        <v>L/16/150725/1</v>
      </c>
      <c r="C5808" s="42" t="str">
        <f>IFERROR(__xludf.DUMMYFUNCTION("""COMPUTED_VALUE"""),"M.1017/LABUHAN RATU RAYA")</f>
        <v>M.1017/LABUHAN RATU RAYA</v>
      </c>
      <c r="D5808" s="42" t="str">
        <f>IFERROR(__xludf.DUMMYFUNCTION("""COMPUTED_VALUE"""),"Berry")</f>
        <v>Berry</v>
      </c>
      <c r="E5808" s="42" t="str">
        <f>IFERROR(__xludf.DUMMYFUNCTION("""COMPUTED_VALUE"""),"DISERAHKAN")</f>
        <v>DISERAHKAN</v>
      </c>
      <c r="F5808" s="48">
        <f>IFERROR(__xludf.DUMMYFUNCTION("""COMPUTED_VALUE"""),45873.63539546296)</f>
        <v>45873.6354</v>
      </c>
      <c r="G5808" s="42" t="str">
        <f>IFERROR(__xludf.DUMMYFUNCTION("""COMPUTED_VALUE"""),"ROYA")</f>
        <v>ROYA</v>
      </c>
      <c r="H5808" s="42">
        <f t="shared" si="1"/>
        <v>2600</v>
      </c>
    </row>
    <row r="5809" ht="22.5" customHeight="1">
      <c r="B5809" s="42" t="str">
        <f>IFERROR(__xludf.DUMMYFUNCTION("""COMPUTED_VALUE"""),"K/17/150725/1")</f>
        <v>K/17/150725/1</v>
      </c>
      <c r="C5809" s="42" t="str">
        <f>IFERROR(__xludf.DUMMYFUNCTION("""COMPUTED_VALUE"""),"B. 1365/ Pinang Jaya")</f>
        <v>B. 1365/ Pinang Jaya</v>
      </c>
      <c r="D5809" s="42" t="str">
        <f>IFERROR(__xludf.DUMMYFUNCTION("""COMPUTED_VALUE"""),"Berry")</f>
        <v>Berry</v>
      </c>
      <c r="E5809" s="42" t="str">
        <f>IFERROR(__xludf.DUMMYFUNCTION("""COMPUTED_VALUE"""),"DISERAHKAN")</f>
        <v>DISERAHKAN</v>
      </c>
      <c r="F5809" s="48">
        <f>IFERROR(__xludf.DUMMYFUNCTION("""COMPUTED_VALUE"""),45870.48712549769)</f>
        <v>45870.48713</v>
      </c>
      <c r="G5809" s="42" t="str">
        <f>IFERROR(__xludf.DUMMYFUNCTION("""COMPUTED_VALUE"""),"PERUBAHAN HAK")</f>
        <v>PERUBAHAN HAK</v>
      </c>
      <c r="H5809" s="42">
        <f t="shared" si="1"/>
        <v>2601</v>
      </c>
    </row>
    <row r="5810" ht="22.5" customHeight="1">
      <c r="B5810" s="42" t="str">
        <f>IFERROR(__xludf.DUMMYFUNCTION("""COMPUTED_VALUE"""),"L/18/150725/1")</f>
        <v>L/18/150725/1</v>
      </c>
      <c r="C5810" s="42" t="str">
        <f>IFERROR(__xludf.DUMMYFUNCTION("""COMPUTED_VALUE"""),"NIBEL B 17579/BERINGIN JAYA")</f>
        <v>NIBEL B 17579/BERINGIN JAYA</v>
      </c>
      <c r="D5810" s="42"/>
      <c r="E5810" s="42"/>
      <c r="F5810" s="48" t="str">
        <f>IFERROR(__xludf.DUMMYFUNCTION("""COMPUTED_VALUE"""),"")</f>
        <v/>
      </c>
      <c r="G5810" s="42" t="str">
        <f>IFERROR(__xludf.DUMMYFUNCTION("""COMPUTED_VALUE"""),"PENINGKATAN")</f>
        <v>PENINGKATAN</v>
      </c>
      <c r="H5810" s="42">
        <f t="shared" si="1"/>
        <v>2601</v>
      </c>
    </row>
    <row r="5811" ht="22.5" customHeight="1">
      <c r="B5811" s="42" t="str">
        <f>IFERROR(__xludf.DUMMYFUNCTION("""COMPUTED_VALUE"""),"K/19/150725/1")</f>
        <v>K/19/150725/1</v>
      </c>
      <c r="C5811" s="42" t="str">
        <f>IFERROR(__xludf.DUMMYFUNCTION("""COMPUTED_VALUE"""),"Nibel. M. 20498/ Gunung Terang")</f>
        <v>Nibel. M. 20498/ Gunung Terang</v>
      </c>
      <c r="D5811" s="42"/>
      <c r="E5811" s="42"/>
      <c r="F5811" s="48" t="str">
        <f>IFERROR(__xludf.DUMMYFUNCTION("""COMPUTED_VALUE"""),"")</f>
        <v/>
      </c>
      <c r="G5811" s="42" t="str">
        <f>IFERROR(__xludf.DUMMYFUNCTION("""COMPUTED_VALUE"""),"BN Jual Beli")</f>
        <v>BN Jual Beli</v>
      </c>
      <c r="H5811" s="42">
        <f t="shared" si="1"/>
        <v>2601</v>
      </c>
    </row>
    <row r="5812" ht="22.5" customHeight="1">
      <c r="B5812" s="42" t="str">
        <f>IFERROR(__xludf.DUMMYFUNCTION("""COMPUTED_VALUE"""),"K/20/150725/1")</f>
        <v>K/20/150725/1</v>
      </c>
      <c r="C5812" s="42" t="str">
        <f>IFERROR(__xludf.DUMMYFUNCTION("""COMPUTED_VALUE"""),"Nibel. M. 2712/ Beringin Raya")</f>
        <v>Nibel. M. 2712/ Beringin Raya</v>
      </c>
      <c r="D5812" s="42"/>
      <c r="E5812" s="42"/>
      <c r="F5812" s="48" t="str">
        <f>IFERROR(__xludf.DUMMYFUNCTION("""COMPUTED_VALUE"""),"")</f>
        <v/>
      </c>
      <c r="G5812" s="42" t="str">
        <f>IFERROR(__xludf.DUMMYFUNCTION("""COMPUTED_VALUE"""),"BN Jual Beli")</f>
        <v>BN Jual Beli</v>
      </c>
      <c r="H5812" s="42">
        <f t="shared" si="1"/>
        <v>2601</v>
      </c>
    </row>
    <row r="5813" ht="22.5" customHeight="1">
      <c r="B5813" s="42" t="str">
        <f>IFERROR(__xludf.DUMMYFUNCTION("""COMPUTED_VALUE"""),"K/14/150725/1")</f>
        <v>K/14/150725/1</v>
      </c>
      <c r="C5813" s="42" t="str">
        <f>IFERROR(__xludf.DUMMYFUNCTION("""COMPUTED_VALUE"""),"NIBEL M. 375/GUNUNG SULAH")</f>
        <v>NIBEL M. 375/GUNUNG SULAH</v>
      </c>
      <c r="D5813" s="42"/>
      <c r="E5813" s="42"/>
      <c r="F5813" s="48" t="str">
        <f>IFERROR(__xludf.DUMMYFUNCTION("""COMPUTED_VALUE"""),"")</f>
        <v/>
      </c>
      <c r="G5813" s="42" t="str">
        <f>IFERROR(__xludf.DUMMYFUNCTION("""COMPUTED_VALUE"""),"BN JUAL BELI ")</f>
        <v>BN JUAL BELI </v>
      </c>
      <c r="H5813" s="42">
        <f t="shared" si="1"/>
        <v>2601</v>
      </c>
    </row>
    <row r="5814" ht="22.5" customHeight="1">
      <c r="B5814" s="42" t="str">
        <f>IFERROR(__xludf.DUMMYFUNCTION("""COMPUTED_VALUE"""),"L/25/150725/1")</f>
        <v>L/25/150725/1</v>
      </c>
      <c r="C5814" s="42" t="str">
        <f>IFERROR(__xludf.DUMMYFUNCTION("""COMPUTED_VALUE"""),"PBT 72/2025 TANJUNG AGUNG")</f>
        <v>PBT 72/2025 TANJUNG AGUNG</v>
      </c>
      <c r="D5814" s="42"/>
      <c r="E5814" s="42"/>
      <c r="F5814" s="48" t="str">
        <f>IFERROR(__xludf.DUMMYFUNCTION("""COMPUTED_VALUE"""),"")</f>
        <v/>
      </c>
      <c r="G5814" s="42" t="str">
        <f>IFERROR(__xludf.DUMMYFUNCTION("""COMPUTED_VALUE"""),"PTPGT")</f>
        <v>PTPGT</v>
      </c>
      <c r="H5814" s="42">
        <f t="shared" si="1"/>
        <v>2601</v>
      </c>
    </row>
    <row r="5815" ht="22.5" customHeight="1">
      <c r="B5815" s="42" t="str">
        <f>IFERROR(__xludf.DUMMYFUNCTION("""COMPUTED_VALUE"""),"K/26/150725/1")</f>
        <v>K/26/150725/1</v>
      </c>
      <c r="C5815" s="42" t="str">
        <f>IFERROR(__xludf.DUMMYFUNCTION("""COMPUTED_VALUE"""),"M.3384/GUNUNG TERANG")</f>
        <v>M.3384/GUNUNG TERANG</v>
      </c>
      <c r="D5815" s="42"/>
      <c r="E5815" s="42"/>
      <c r="F5815" s="48" t="str">
        <f>IFERROR(__xludf.DUMMYFUNCTION("""COMPUTED_VALUE"""),"")</f>
        <v/>
      </c>
      <c r="G5815" s="42" t="str">
        <f>IFERROR(__xludf.DUMMYFUNCTION("""COMPUTED_VALUE"""),"PTPGT")</f>
        <v>PTPGT</v>
      </c>
      <c r="H5815" s="42">
        <f t="shared" si="1"/>
        <v>2601</v>
      </c>
    </row>
    <row r="5816" ht="22.5" customHeight="1">
      <c r="B5816" s="42" t="str">
        <f>IFERROR(__xludf.DUMMYFUNCTION("""COMPUTED_VALUE"""),"K/21/150725/1")</f>
        <v>K/21/150725/1</v>
      </c>
      <c r="C5816" s="42" t="str">
        <f>IFERROR(__xludf.DUMMYFUNCTION("""COMPUTED_VALUE"""),"M. 1032/ Gotong Royong")</f>
        <v>M. 1032/ Gotong Royong</v>
      </c>
      <c r="D5816" s="42" t="str">
        <f>IFERROR(__xludf.DUMMYFUNCTION("""COMPUTED_VALUE"""),"David")</f>
        <v>David</v>
      </c>
      <c r="E5816" s="42" t="str">
        <f>IFERROR(__xludf.DUMMYFUNCTION("""COMPUTED_VALUE"""),"DISERAHKAN")</f>
        <v>DISERAHKAN</v>
      </c>
      <c r="F5816" s="48">
        <f>IFERROR(__xludf.DUMMYFUNCTION("""COMPUTED_VALUE"""),45894.54821761574)</f>
        <v>45894.54822</v>
      </c>
      <c r="G5816" s="42" t="str">
        <f>IFERROR(__xludf.DUMMYFUNCTION("""COMPUTED_VALUE"""),"BN WARIS")</f>
        <v>BN WARIS</v>
      </c>
      <c r="H5816" s="42">
        <f t="shared" si="1"/>
        <v>2602</v>
      </c>
    </row>
    <row r="5817" ht="22.5" customHeight="1">
      <c r="B5817" s="42" t="str">
        <f>IFERROR(__xludf.DUMMYFUNCTION("""COMPUTED_VALUE"""),"K/22/150725/2")</f>
        <v>K/22/150725/2</v>
      </c>
      <c r="C5817" s="42" t="str">
        <f>IFERROR(__xludf.DUMMYFUNCTION("""COMPUTED_VALUE"""),"M. 2158/ Labuhan Ratu Raya")</f>
        <v>M. 2158/ Labuhan Ratu Raya</v>
      </c>
      <c r="D5817" s="42"/>
      <c r="E5817" s="42"/>
      <c r="F5817" s="48" t="str">
        <f>IFERROR(__xludf.DUMMYFUNCTION("""COMPUTED_VALUE"""),"")</f>
        <v/>
      </c>
      <c r="G5817" s="42" t="str">
        <f>IFERROR(__xludf.DUMMYFUNCTION("""COMPUTED_VALUE"""),"BN WARIS")</f>
        <v>BN WARIS</v>
      </c>
      <c r="H5817" s="42">
        <f t="shared" si="1"/>
        <v>2602</v>
      </c>
    </row>
    <row r="5818" ht="22.5" customHeight="1">
      <c r="B5818" s="42" t="str">
        <f>IFERROR(__xludf.DUMMYFUNCTION("""COMPUTED_VALUE"""),"K/23/150725/3")</f>
        <v>K/23/150725/3</v>
      </c>
      <c r="C5818" s="42" t="str">
        <f>IFERROR(__xludf.DUMMYFUNCTION("""COMPUTED_VALUE"""),"M. 2019/ Kali Balai Kencana")</f>
        <v>M. 2019/ Kali Balai Kencana</v>
      </c>
      <c r="D5818" s="42" t="str">
        <f>IFERROR(__xludf.DUMMYFUNCTION("""COMPUTED_VALUE"""),"Berry")</f>
        <v>Berry</v>
      </c>
      <c r="E5818" s="42" t="str">
        <f>IFERROR(__xludf.DUMMYFUNCTION("""COMPUTED_VALUE"""),"DISERAHKAN")</f>
        <v>DISERAHKAN</v>
      </c>
      <c r="F5818" s="48">
        <f>IFERROR(__xludf.DUMMYFUNCTION("""COMPUTED_VALUE"""),45880.719678078705)</f>
        <v>45880.71968</v>
      </c>
      <c r="G5818" s="42" t="str">
        <f>IFERROR(__xludf.DUMMYFUNCTION("""COMPUTED_VALUE"""),"BN HIBAH")</f>
        <v>BN HIBAH</v>
      </c>
      <c r="H5818" s="42">
        <f t="shared" si="1"/>
        <v>2603</v>
      </c>
    </row>
    <row r="5819" ht="22.5" customHeight="1">
      <c r="B5819" s="42" t="str">
        <f>IFERROR(__xludf.DUMMYFUNCTION("""COMPUTED_VALUE"""),"K/24/150725/1")</f>
        <v>K/24/150725/1</v>
      </c>
      <c r="C5819" s="42" t="str">
        <f>IFERROR(__xludf.DUMMYFUNCTION("""COMPUTED_VALUE"""),"M. 2849/ Beringin Raya")</f>
        <v>M. 2849/ Beringin Raya</v>
      </c>
      <c r="D5819" s="42" t="str">
        <f>IFERROR(__xludf.DUMMYFUNCTION("""COMPUTED_VALUE"""),"David")</f>
        <v>David</v>
      </c>
      <c r="E5819" s="42" t="str">
        <f>IFERROR(__xludf.DUMMYFUNCTION("""COMPUTED_VALUE"""),"DISERAHKAN")</f>
        <v>DISERAHKAN</v>
      </c>
      <c r="F5819" s="48">
        <f>IFERROR(__xludf.DUMMYFUNCTION("""COMPUTED_VALUE"""),45930.60036181713)</f>
        <v>45930.60036</v>
      </c>
      <c r="G5819" s="42" t="str">
        <f>IFERROR(__xludf.DUMMYFUNCTION("""COMPUTED_VALUE"""),"ROYA")</f>
        <v>ROYA</v>
      </c>
      <c r="H5819" s="42">
        <f t="shared" si="1"/>
        <v>2604</v>
      </c>
    </row>
    <row r="5820" ht="22.5" customHeight="1">
      <c r="B5820" s="42" t="str">
        <f>IFERROR(__xludf.DUMMYFUNCTION("""COMPUTED_VALUE"""),"K/27/150725/1")</f>
        <v>K/27/150725/1</v>
      </c>
      <c r="C5820" s="42" t="str">
        <f>IFERROR(__xludf.DUMMYFUNCTION("""COMPUTED_VALUE"""),"M. 11877/KEDATON")</f>
        <v>M. 11877/KEDATON</v>
      </c>
      <c r="D5820" s="42"/>
      <c r="E5820" s="42"/>
      <c r="F5820" s="48" t="str">
        <f>IFERROR(__xludf.DUMMYFUNCTION("""COMPUTED_VALUE"""),"")</f>
        <v/>
      </c>
      <c r="G5820" s="42" t="str">
        <f>IFERROR(__xludf.DUMMYFUNCTION("""COMPUTED_VALUE"""),"BLOKIR")</f>
        <v>BLOKIR</v>
      </c>
      <c r="H5820" s="42">
        <f t="shared" si="1"/>
        <v>2604</v>
      </c>
    </row>
    <row r="5821" ht="22.5" customHeight="1">
      <c r="B5821" s="42" t="str">
        <f>IFERROR(__xludf.DUMMYFUNCTION("""COMPUTED_VALUE"""),"K/28/150725/2")</f>
        <v>K/28/150725/2</v>
      </c>
      <c r="C5821" s="42" t="str">
        <f>IFERROR(__xludf.DUMMYFUNCTION("""COMPUTED_VALUE"""),"M.10250/KEDATON")</f>
        <v>M.10250/KEDATON</v>
      </c>
      <c r="D5821" s="42"/>
      <c r="E5821" s="42"/>
      <c r="F5821" s="48" t="str">
        <f>IFERROR(__xludf.DUMMYFUNCTION("""COMPUTED_VALUE"""),"")</f>
        <v/>
      </c>
      <c r="G5821" s="42" t="str">
        <f>IFERROR(__xludf.DUMMYFUNCTION("""COMPUTED_VALUE"""),"BLOKIR")</f>
        <v>BLOKIR</v>
      </c>
      <c r="H5821" s="42">
        <f t="shared" si="1"/>
        <v>2604</v>
      </c>
    </row>
    <row r="5822" ht="22.5" customHeight="1">
      <c r="B5822" s="42" t="str">
        <f>IFERROR(__xludf.DUMMYFUNCTION("""COMPUTED_VALUE"""),"K/29/150725/3")</f>
        <v>K/29/150725/3</v>
      </c>
      <c r="C5822" s="42" t="str">
        <f>IFERROR(__xludf.DUMMYFUNCTION("""COMPUTED_VALUE"""),"M.10251/KEDATON")</f>
        <v>M.10251/KEDATON</v>
      </c>
      <c r="D5822" s="42"/>
      <c r="E5822" s="42"/>
      <c r="F5822" s="48" t="str">
        <f>IFERROR(__xludf.DUMMYFUNCTION("""COMPUTED_VALUE"""),"")</f>
        <v/>
      </c>
      <c r="G5822" s="42" t="str">
        <f>IFERROR(__xludf.DUMMYFUNCTION("""COMPUTED_VALUE"""),"BLOKIR")</f>
        <v>BLOKIR</v>
      </c>
      <c r="H5822" s="42">
        <f t="shared" si="1"/>
        <v>2604</v>
      </c>
    </row>
    <row r="5823" ht="22.5" customHeight="1">
      <c r="B5823" s="42" t="str">
        <f>IFERROR(__xludf.DUMMYFUNCTION("""COMPUTED_VALUE"""),"K/30/150725/4")</f>
        <v>K/30/150725/4</v>
      </c>
      <c r="C5823" s="42" t="str">
        <f>IFERROR(__xludf.DUMMYFUNCTION("""COMPUTED_VALUE"""),"M. 9015/KEDATON")</f>
        <v>M. 9015/KEDATON</v>
      </c>
      <c r="D5823" s="42"/>
      <c r="E5823" s="42"/>
      <c r="F5823" s="48" t="str">
        <f>IFERROR(__xludf.DUMMYFUNCTION("""COMPUTED_VALUE"""),"")</f>
        <v/>
      </c>
      <c r="G5823" s="42" t="str">
        <f>IFERROR(__xludf.DUMMYFUNCTION("""COMPUTED_VALUE"""),"BLOKIR")</f>
        <v>BLOKIR</v>
      </c>
      <c r="H5823" s="42">
        <f t="shared" si="1"/>
        <v>2604</v>
      </c>
    </row>
    <row r="5824" ht="22.5" customHeight="1">
      <c r="B5824" s="42" t="str">
        <f>IFERROR(__xludf.DUMMYFUNCTION("""COMPUTED_VALUE"""),"K/31/150725/5")</f>
        <v>K/31/150725/5</v>
      </c>
      <c r="C5824" s="42" t="str">
        <f>IFERROR(__xludf.DUMMYFUNCTION("""COMPUTED_VALUE"""),"M. 9862/KEDATON")</f>
        <v>M. 9862/KEDATON</v>
      </c>
      <c r="D5824" s="42"/>
      <c r="E5824" s="42"/>
      <c r="F5824" s="48" t="str">
        <f>IFERROR(__xludf.DUMMYFUNCTION("""COMPUTED_VALUE"""),"")</f>
        <v/>
      </c>
      <c r="G5824" s="42" t="str">
        <f>IFERROR(__xludf.DUMMYFUNCTION("""COMPUTED_VALUE"""),"BLOKIR")</f>
        <v>BLOKIR</v>
      </c>
      <c r="H5824" s="42">
        <f t="shared" si="1"/>
        <v>2604</v>
      </c>
    </row>
    <row r="5825" ht="22.5" customHeight="1">
      <c r="B5825" s="42" t="str">
        <f>IFERROR(__xludf.DUMMYFUNCTION("""COMPUTED_VALUE"""),"K/32/150725/1")</f>
        <v>K/32/150725/1</v>
      </c>
      <c r="C5825" s="42" t="str">
        <f>IFERROR(__xludf.DUMMYFUNCTION("""COMPUTED_VALUE"""),"PBT 30/2025")</f>
        <v>PBT 30/2025</v>
      </c>
      <c r="D5825" s="42"/>
      <c r="E5825" s="42"/>
      <c r="F5825" s="48" t="str">
        <f>IFERROR(__xludf.DUMMYFUNCTION("""COMPUTED_VALUE"""),"")</f>
        <v/>
      </c>
      <c r="G5825" s="42" t="str">
        <f>IFERROR(__xludf.DUMMYFUNCTION("""COMPUTED_VALUE"""),"PERMOHONAN SK PERTAMA KALI")</f>
        <v>PERMOHONAN SK PERTAMA KALI</v>
      </c>
      <c r="H5825" s="42">
        <f t="shared" si="1"/>
        <v>2604</v>
      </c>
    </row>
    <row r="5826" ht="22.5" customHeight="1">
      <c r="B5826" s="42" t="str">
        <f>IFERROR(__xludf.DUMMYFUNCTION("""COMPUTED_VALUE"""),"L/33/150725/1")</f>
        <v>L/33/150725/1</v>
      </c>
      <c r="C5826" s="42" t="str">
        <f>IFERROR(__xludf.DUMMYFUNCTION("""COMPUTED_VALUE"""),"M.4346/WAY KANDIS ")</f>
        <v>M.4346/WAY KANDIS </v>
      </c>
      <c r="D5826" s="42"/>
      <c r="E5826" s="42"/>
      <c r="F5826" s="48" t="str">
        <f>IFERROR(__xludf.DUMMYFUNCTION("""COMPUTED_VALUE"""),"")</f>
        <v/>
      </c>
      <c r="G5826" s="42" t="str">
        <f>IFERROR(__xludf.DUMMYFUNCTION("""COMPUTED_VALUE"""),"HAPUS BPHTB")</f>
        <v>HAPUS BPHTB</v>
      </c>
      <c r="H5826" s="42">
        <f t="shared" si="1"/>
        <v>2604</v>
      </c>
    </row>
    <row r="5827" ht="22.5" customHeight="1">
      <c r="B5827" s="42" t="str">
        <f>IFERROR(__xludf.DUMMYFUNCTION("""COMPUTED_VALUE"""),"K/34/150725/1")</f>
        <v>K/34/150725/1</v>
      </c>
      <c r="C5827" s="42" t="str">
        <f>IFERROR(__xludf.DUMMYFUNCTION("""COMPUTED_VALUE"""),"NIBEL B. 21356/BERINGIN RAYA")</f>
        <v>NIBEL B. 21356/BERINGIN RAYA</v>
      </c>
      <c r="D5827" s="42"/>
      <c r="E5827" s="42"/>
      <c r="F5827" s="48" t="str">
        <f>IFERROR(__xludf.DUMMYFUNCTION("""COMPUTED_VALUE"""),"")</f>
        <v/>
      </c>
      <c r="G5827" s="42" t="str">
        <f>IFERROR(__xludf.DUMMYFUNCTION("""COMPUTED_VALUE"""),"PENINGKATAN HAK")</f>
        <v>PENINGKATAN HAK</v>
      </c>
      <c r="H5827" s="42">
        <f t="shared" si="1"/>
        <v>2604</v>
      </c>
    </row>
    <row r="5828" ht="22.5" customHeight="1">
      <c r="B5828" s="42" t="str">
        <f>IFERROR(__xludf.DUMMYFUNCTION("""COMPUTED_VALUE"""),"K/35/150725/2")</f>
        <v>K/35/150725/2</v>
      </c>
      <c r="C5828" s="42" t="str">
        <f>IFERROR(__xludf.DUMMYFUNCTION("""COMPUTED_VALUE"""),"M.1768/RAJABASA NUNYAI")</f>
        <v>M.1768/RAJABASA NUNYAI</v>
      </c>
      <c r="D5828" s="42"/>
      <c r="E5828" s="42"/>
      <c r="F5828" s="48" t="str">
        <f>IFERROR(__xludf.DUMMYFUNCTION("""COMPUTED_VALUE"""),"")</f>
        <v/>
      </c>
      <c r="G5828" s="42" t="str">
        <f>IFERROR(__xludf.DUMMYFUNCTION("""COMPUTED_VALUE"""),"BN JUAL BELI")</f>
        <v>BN JUAL BELI</v>
      </c>
      <c r="H5828" s="42">
        <f t="shared" si="1"/>
        <v>2604</v>
      </c>
    </row>
    <row r="5829" ht="22.5" customHeight="1">
      <c r="B5829" s="42" t="str">
        <f>IFERROR(__xludf.DUMMYFUNCTION("""COMPUTED_VALUE"""),"K/36/150725/3")</f>
        <v>K/36/150725/3</v>
      </c>
      <c r="C5829" s="42" t="str">
        <f>IFERROR(__xludf.DUMMYFUNCTION("""COMPUTED_VALUE"""),"M. 1767/RAJABASA NUNYAI")</f>
        <v>M. 1767/RAJABASA NUNYAI</v>
      </c>
      <c r="D5829" s="42" t="str">
        <f>IFERROR(__xludf.DUMMYFUNCTION("""COMPUTED_VALUE"""),"Berry")</f>
        <v>Berry</v>
      </c>
      <c r="E5829" s="42" t="str">
        <f>IFERROR(__xludf.DUMMYFUNCTION("""COMPUTED_VALUE"""),"DISERAHKAN")</f>
        <v>DISERAHKAN</v>
      </c>
      <c r="F5829" s="48">
        <f>IFERROR(__xludf.DUMMYFUNCTION("""COMPUTED_VALUE"""),45869.494358854165)</f>
        <v>45869.49436</v>
      </c>
      <c r="G5829" s="42" t="str">
        <f>IFERROR(__xludf.DUMMYFUNCTION("""COMPUTED_VALUE"""),"BN JUAL BELI")</f>
        <v>BN JUAL BELI</v>
      </c>
      <c r="H5829" s="42">
        <f t="shared" si="1"/>
        <v>2605</v>
      </c>
    </row>
    <row r="5830" ht="22.5" customHeight="1">
      <c r="B5830" s="42" t="str">
        <f>IFERROR(__xludf.DUMMYFUNCTION("""COMPUTED_VALUE"""),"K/37/150725/4")</f>
        <v>K/37/150725/4</v>
      </c>
      <c r="C5830" s="42" t="str">
        <f>IFERROR(__xludf.DUMMYFUNCTION("""COMPUTED_VALUE"""),"M. 3377/KEMILING PERMAI")</f>
        <v>M. 3377/KEMILING PERMAI</v>
      </c>
      <c r="D5830" s="42" t="str">
        <f>IFERROR(__xludf.DUMMYFUNCTION("""COMPUTED_VALUE"""),"Berry")</f>
        <v>Berry</v>
      </c>
      <c r="E5830" s="42" t="str">
        <f>IFERROR(__xludf.DUMMYFUNCTION("""COMPUTED_VALUE"""),"DISERAHKAN")</f>
        <v>DISERAHKAN</v>
      </c>
      <c r="F5830" s="48">
        <f>IFERROR(__xludf.DUMMYFUNCTION("""COMPUTED_VALUE"""),45867.675064849536)</f>
        <v>45867.67506</v>
      </c>
      <c r="G5830" s="42" t="str">
        <f>IFERROR(__xludf.DUMMYFUNCTION("""COMPUTED_VALUE"""),"BN WARIS")</f>
        <v>BN WARIS</v>
      </c>
      <c r="H5830" s="42">
        <f t="shared" si="1"/>
        <v>2606</v>
      </c>
    </row>
    <row r="5831" ht="22.5" customHeight="1">
      <c r="B5831" s="42" t="str">
        <f>IFERROR(__xludf.DUMMYFUNCTION("""COMPUTED_VALUE"""),"K/38/150725/1")</f>
        <v>K/38/150725/1</v>
      </c>
      <c r="C5831" s="42" t="str">
        <f>IFERROR(__xludf.DUMMYFUNCTION("""COMPUTED_VALUE"""),"NIBEL B. 432/KEMILING PERMAI")</f>
        <v>NIBEL B. 432/KEMILING PERMAI</v>
      </c>
      <c r="D5831" s="42"/>
      <c r="E5831" s="42"/>
      <c r="F5831" s="48" t="str">
        <f>IFERROR(__xludf.DUMMYFUNCTION("""COMPUTED_VALUE"""),"")</f>
        <v/>
      </c>
      <c r="G5831" s="42" t="str">
        <f>IFERROR(__xludf.DUMMYFUNCTION("""COMPUTED_VALUE"""),"PENINGKATAN HAK")</f>
        <v>PENINGKATAN HAK</v>
      </c>
      <c r="H5831" s="42">
        <f t="shared" si="1"/>
        <v>2606</v>
      </c>
    </row>
    <row r="5832" ht="22.5" customHeight="1">
      <c r="B5832" s="42" t="str">
        <f>IFERROR(__xludf.DUMMYFUNCTION("""COMPUTED_VALUE"""),"L/2/160725/1")</f>
        <v>L/2/160725/1</v>
      </c>
      <c r="C5832" s="42" t="str">
        <f>IFERROR(__xludf.DUMMYFUNCTION("""COMPUTED_VALUE"""),"HGB 3237/SUKABUMI")</f>
        <v>HGB 3237/SUKABUMI</v>
      </c>
      <c r="D5832" s="42"/>
      <c r="E5832" s="42"/>
      <c r="F5832" s="48" t="str">
        <f>IFERROR(__xludf.DUMMYFUNCTION("""COMPUTED_VALUE"""),"")</f>
        <v/>
      </c>
      <c r="G5832" s="42" t="str">
        <f>IFERROR(__xludf.DUMMYFUNCTION("""COMPUTED_VALUE"""),"ROYA")</f>
        <v>ROYA</v>
      </c>
      <c r="H5832" s="42">
        <f t="shared" si="1"/>
        <v>2606</v>
      </c>
    </row>
    <row r="5833" ht="22.5" customHeight="1">
      <c r="B5833" s="42" t="str">
        <f>IFERROR(__xludf.DUMMYFUNCTION("""COMPUTED_VALUE"""),"K/3/160725/1")</f>
        <v>K/3/160725/1</v>
      </c>
      <c r="C5833" s="42" t="str">
        <f>IFERROR(__xludf.DUMMYFUNCTION("""COMPUTED_VALUE"""),"B. 19/ Perwata")</f>
        <v>B. 19/ Perwata</v>
      </c>
      <c r="D5833" s="42"/>
      <c r="E5833" s="42"/>
      <c r="F5833" s="48" t="str">
        <f>IFERROR(__xludf.DUMMYFUNCTION("""COMPUTED_VALUE"""),"")</f>
        <v/>
      </c>
      <c r="G5833" s="42" t="str">
        <f>IFERROR(__xludf.DUMMYFUNCTION("""COMPUTED_VALUE"""),"PERUBAHAN HAK")</f>
        <v>PERUBAHAN HAK</v>
      </c>
      <c r="H5833" s="42">
        <f t="shared" si="1"/>
        <v>2606</v>
      </c>
    </row>
    <row r="5834" ht="22.5" customHeight="1">
      <c r="B5834" s="42" t="str">
        <f>IFERROR(__xludf.DUMMYFUNCTION("""COMPUTED_VALUE"""),"K/1/160725/1")</f>
        <v>K/1/160725/1</v>
      </c>
      <c r="C5834" s="42" t="str">
        <f>IFERROR(__xludf.DUMMYFUNCTION("""COMPUTED_VALUE"""),"B. 1842/ Beringin Raya")</f>
        <v>B. 1842/ Beringin Raya</v>
      </c>
      <c r="D5834" s="42"/>
      <c r="E5834" s="42"/>
      <c r="F5834" s="48" t="str">
        <f>IFERROR(__xludf.DUMMYFUNCTION("""COMPUTED_VALUE"""),"")</f>
        <v/>
      </c>
      <c r="G5834" s="42" t="str">
        <f>IFERROR(__xludf.DUMMYFUNCTION("""COMPUTED_VALUE"""),"Perubahan Hakl")</f>
        <v>Perubahan Hakl</v>
      </c>
      <c r="H5834" s="42">
        <f t="shared" si="1"/>
        <v>2606</v>
      </c>
    </row>
    <row r="5835" ht="22.5" customHeight="1">
      <c r="B5835" s="42" t="str">
        <f>IFERROR(__xludf.DUMMYFUNCTION("""COMPUTED_VALUE"""),"K/5/160725/1")</f>
        <v>K/5/160725/1</v>
      </c>
      <c r="C5835" s="42" t="str">
        <f>IFERROR(__xludf.DUMMYFUNCTION("""COMPUTED_VALUE"""),"M. 1146/KORPRI JAYA")</f>
        <v>M. 1146/KORPRI JAYA</v>
      </c>
      <c r="D5835" s="42" t="str">
        <f>IFERROR(__xludf.DUMMYFUNCTION("""COMPUTED_VALUE"""),"Berry")</f>
        <v>Berry</v>
      </c>
      <c r="E5835" s="42" t="str">
        <f>IFERROR(__xludf.DUMMYFUNCTION("""COMPUTED_VALUE"""),"DISERAHKAN")</f>
        <v>DISERAHKAN</v>
      </c>
      <c r="F5835" s="48">
        <f>IFERROR(__xludf.DUMMYFUNCTION("""COMPUTED_VALUE"""),45867.6747811574)</f>
        <v>45867.67478</v>
      </c>
      <c r="G5835" s="42" t="str">
        <f>IFERROR(__xludf.DUMMYFUNCTION("""COMPUTED_VALUE"""),"BN WARIS")</f>
        <v>BN WARIS</v>
      </c>
      <c r="H5835" s="42">
        <f t="shared" si="1"/>
        <v>2607</v>
      </c>
    </row>
    <row r="5836" ht="22.5" customHeight="1">
      <c r="B5836" s="42" t="str">
        <f>IFERROR(__xludf.DUMMYFUNCTION("""COMPUTED_VALUE"""),"K/6/160725/1")</f>
        <v>K/6/160725/1</v>
      </c>
      <c r="C5836" s="42" t="str">
        <f>IFERROR(__xludf.DUMMYFUNCTION("""COMPUTED_VALUE"""),"NIBEL M. 20938/SUKARAME BARU")</f>
        <v>NIBEL M. 20938/SUKARAME BARU</v>
      </c>
      <c r="D5836" s="42"/>
      <c r="E5836" s="42"/>
      <c r="F5836" s="48" t="str">
        <f>IFERROR(__xludf.DUMMYFUNCTION("""COMPUTED_VALUE"""),"")</f>
        <v/>
      </c>
      <c r="G5836" s="42" t="str">
        <f>IFERROR(__xludf.DUMMYFUNCTION("""COMPUTED_VALUE"""),"BN JUAL BELI")</f>
        <v>BN JUAL BELI</v>
      </c>
      <c r="H5836" s="42">
        <f t="shared" si="1"/>
        <v>2607</v>
      </c>
    </row>
    <row r="5837" ht="22.5" customHeight="1">
      <c r="B5837" s="42" t="str">
        <f>IFERROR(__xludf.DUMMYFUNCTION("""COMPUTED_VALUE"""),"L/7/160725/1")</f>
        <v>L/7/160725/1</v>
      </c>
      <c r="C5837" s="42" t="str">
        <f>IFERROR(__xludf.DUMMYFUNCTION("""COMPUTED_VALUE"""),"HM 17511/SUKARAME")</f>
        <v>HM 17511/SUKARAME</v>
      </c>
      <c r="D5837" s="42"/>
      <c r="E5837" s="42"/>
      <c r="F5837" s="48" t="str">
        <f>IFERROR(__xludf.DUMMYFUNCTION("""COMPUTED_VALUE"""),"")</f>
        <v/>
      </c>
      <c r="G5837" s="42" t="str">
        <f>IFERROR(__xludf.DUMMYFUNCTION("""COMPUTED_VALUE"""),"ROYA")</f>
        <v>ROYA</v>
      </c>
      <c r="H5837" s="42">
        <f t="shared" si="1"/>
        <v>2607</v>
      </c>
    </row>
    <row r="5838" ht="22.5" customHeight="1">
      <c r="B5838" s="42" t="str">
        <f>IFERROR(__xludf.DUMMYFUNCTION("""COMPUTED_VALUE"""),"K/8/160725/1")</f>
        <v>K/8/160725/1</v>
      </c>
      <c r="C5838" s="42" t="str">
        <f>IFERROR(__xludf.DUMMYFUNCTION("""COMPUTED_VALUE"""),"NIbel 21525/ Korpri Jaya")</f>
        <v>NIbel 21525/ Korpri Jaya</v>
      </c>
      <c r="D5838" s="42"/>
      <c r="E5838" s="42"/>
      <c r="F5838" s="48" t="str">
        <f>IFERROR(__xludf.DUMMYFUNCTION("""COMPUTED_VALUE"""),"")</f>
        <v/>
      </c>
      <c r="G5838" s="42" t="str">
        <f>IFERROR(__xludf.DUMMYFUNCTION("""COMPUTED_VALUE"""),"PERUBAHAN HAK")</f>
        <v>PERUBAHAN HAK</v>
      </c>
      <c r="H5838" s="42">
        <f t="shared" si="1"/>
        <v>2607</v>
      </c>
    </row>
    <row r="5839" ht="22.5" customHeight="1">
      <c r="B5839" s="42" t="str">
        <f>IFERROR(__xludf.DUMMYFUNCTION("""COMPUTED_VALUE"""),"K/9/160725/2")</f>
        <v>K/9/160725/2</v>
      </c>
      <c r="C5839" s="42" t="str">
        <f>IFERROR(__xludf.DUMMYFUNCTION("""COMPUTED_VALUE"""),"M. 5624/ Langkapura")</f>
        <v>M. 5624/ Langkapura</v>
      </c>
      <c r="D5839" s="42" t="str">
        <f>IFERROR(__xludf.DUMMYFUNCTION("""COMPUTED_VALUE"""),"David")</f>
        <v>David</v>
      </c>
      <c r="E5839" s="42" t="str">
        <f>IFERROR(__xludf.DUMMYFUNCTION("""COMPUTED_VALUE"""),"DISERAHKAN")</f>
        <v>DISERAHKAN</v>
      </c>
      <c r="F5839" s="48">
        <f>IFERROR(__xludf.DUMMYFUNCTION("""COMPUTED_VALUE"""),45883.65590096065)</f>
        <v>45883.6559</v>
      </c>
      <c r="G5839" s="42" t="str">
        <f>IFERROR(__xludf.DUMMYFUNCTION("""COMPUTED_VALUE"""),"BN JUAL BELI")</f>
        <v>BN JUAL BELI</v>
      </c>
      <c r="H5839" s="42">
        <f t="shared" si="1"/>
        <v>2608</v>
      </c>
    </row>
    <row r="5840" ht="22.5" customHeight="1">
      <c r="B5840" s="42" t="str">
        <f>IFERROR(__xludf.DUMMYFUNCTION("""COMPUTED_VALUE"""),"K/10/160725/1")</f>
        <v>K/10/160725/1</v>
      </c>
      <c r="C5840" s="42" t="str">
        <f>IFERROR(__xludf.DUMMYFUNCTION("""COMPUTED_VALUE"""),"M. 9838/KEDATON")</f>
        <v>M. 9838/KEDATON</v>
      </c>
      <c r="D5840" s="42"/>
      <c r="E5840" s="42"/>
      <c r="F5840" s="48" t="str">
        <f>IFERROR(__xludf.DUMMYFUNCTION("""COMPUTED_VALUE"""),"")</f>
        <v/>
      </c>
      <c r="G5840" s="42" t="str">
        <f>IFERROR(__xludf.DUMMYFUNCTION("""COMPUTED_VALUE"""),"BLOKIR")</f>
        <v>BLOKIR</v>
      </c>
      <c r="H5840" s="42">
        <f t="shared" si="1"/>
        <v>2608</v>
      </c>
    </row>
    <row r="5841" ht="22.5" customHeight="1">
      <c r="B5841" s="42" t="str">
        <f>IFERROR(__xludf.DUMMYFUNCTION("""COMPUTED_VALUE"""),"K/11/160725/2")</f>
        <v>K/11/160725/2</v>
      </c>
      <c r="C5841" s="42" t="str">
        <f>IFERROR(__xludf.DUMMYFUNCTION("""COMPUTED_VALUE"""),"M.9837/KEDATON")</f>
        <v>M.9837/KEDATON</v>
      </c>
      <c r="D5841" s="42"/>
      <c r="E5841" s="42"/>
      <c r="F5841" s="48" t="str">
        <f>IFERROR(__xludf.DUMMYFUNCTION("""COMPUTED_VALUE"""),"")</f>
        <v/>
      </c>
      <c r="G5841" s="42" t="str">
        <f>IFERROR(__xludf.DUMMYFUNCTION("""COMPUTED_VALUE"""),"BLOKIR")</f>
        <v>BLOKIR</v>
      </c>
      <c r="H5841" s="42">
        <f t="shared" si="1"/>
        <v>2608</v>
      </c>
    </row>
    <row r="5842" ht="22.5" customHeight="1">
      <c r="B5842" s="42" t="str">
        <f>IFERROR(__xludf.DUMMYFUNCTION("""COMPUTED_VALUE"""),"K/12/160725/1")</f>
        <v>K/12/160725/1</v>
      </c>
      <c r="C5842" s="42" t="str">
        <f>IFERROR(__xludf.DUMMYFUNCTION("""COMPUTED_VALUE"""),"M.1124/LANGKAPURA")</f>
        <v>M.1124/LANGKAPURA</v>
      </c>
      <c r="D5842" s="42" t="str">
        <f>IFERROR(__xludf.DUMMYFUNCTION("""COMPUTED_VALUE"""),"Berry")</f>
        <v>Berry</v>
      </c>
      <c r="E5842" s="42" t="str">
        <f>IFERROR(__xludf.DUMMYFUNCTION("""COMPUTED_VALUE"""),"DISERAHKAN")</f>
        <v>DISERAHKAN</v>
      </c>
      <c r="F5842" s="48">
        <f>IFERROR(__xludf.DUMMYFUNCTION("""COMPUTED_VALUE"""),45888.60943315973)</f>
        <v>45888.60943</v>
      </c>
      <c r="G5842" s="42" t="str">
        <f>IFERROR(__xludf.DUMMYFUNCTION("""COMPUTED_VALUE"""),"ROYA")</f>
        <v>ROYA</v>
      </c>
      <c r="H5842" s="42">
        <f t="shared" si="1"/>
        <v>2609</v>
      </c>
    </row>
    <row r="5843" ht="22.5" customHeight="1">
      <c r="B5843" s="42" t="str">
        <f>IFERROR(__xludf.DUMMYFUNCTION("""COMPUTED_VALUE"""),"K/4/160725/1")</f>
        <v>K/4/160725/1</v>
      </c>
      <c r="C5843" s="42" t="str">
        <f>IFERROR(__xludf.DUMMYFUNCTION("""COMPUTED_VALUE"""),"Nibel. M. 13082/ Rajabasa Raya")</f>
        <v>Nibel. M. 13082/ Rajabasa Raya</v>
      </c>
      <c r="D5843" s="42"/>
      <c r="E5843" s="42"/>
      <c r="F5843" s="48" t="str">
        <f>IFERROR(__xludf.DUMMYFUNCTION("""COMPUTED_VALUE"""),"")</f>
        <v/>
      </c>
      <c r="G5843" s="42" t="str">
        <f>IFERROR(__xludf.DUMMYFUNCTION("""COMPUTED_VALUE"""),"BN Jual Beli")</f>
        <v>BN Jual Beli</v>
      </c>
      <c r="H5843" s="42">
        <f t="shared" si="1"/>
        <v>2609</v>
      </c>
    </row>
    <row r="5844" ht="22.5" customHeight="1">
      <c r="B5844" s="42" t="str">
        <f>IFERROR(__xludf.DUMMYFUNCTION("""COMPUTED_VALUE"""),"K/13/160725/2")</f>
        <v>K/13/160725/2</v>
      </c>
      <c r="C5844" s="42" t="str">
        <f>IFERROR(__xludf.DUMMYFUNCTION("""COMPUTED_VALUE"""),"M. 20864/ Kemiling Permai")</f>
        <v>M. 20864/ Kemiling Permai</v>
      </c>
      <c r="D5844" s="42"/>
      <c r="E5844" s="42"/>
      <c r="F5844" s="48" t="str">
        <f>IFERROR(__xludf.DUMMYFUNCTION("""COMPUTED_VALUE"""),"")</f>
        <v/>
      </c>
      <c r="G5844" s="42" t="str">
        <f>IFERROR(__xludf.DUMMYFUNCTION("""COMPUTED_VALUE"""),"BN Hibah")</f>
        <v>BN Hibah</v>
      </c>
      <c r="H5844" s="42">
        <f t="shared" si="1"/>
        <v>2609</v>
      </c>
    </row>
    <row r="5845" ht="22.5" customHeight="1">
      <c r="B5845" s="42" t="str">
        <f>IFERROR(__xludf.DUMMYFUNCTION("""COMPUTED_VALUE"""),"L/14/160725/1")</f>
        <v>L/14/160725/1</v>
      </c>
      <c r="C5845" s="42" t="str">
        <f>IFERROR(__xludf.DUMMYFUNCTION("""COMPUTED_VALUE"""),"HGB 3217/SUKABUMI")</f>
        <v>HGB 3217/SUKABUMI</v>
      </c>
      <c r="D5845" s="42"/>
      <c r="E5845" s="42"/>
      <c r="F5845" s="48" t="str">
        <f>IFERROR(__xludf.DUMMYFUNCTION("""COMPUTED_VALUE"""),"")</f>
        <v/>
      </c>
      <c r="G5845" s="42" t="str">
        <f>IFERROR(__xludf.DUMMYFUNCTION("""COMPUTED_VALUE"""),"PH")</f>
        <v>PH</v>
      </c>
      <c r="H5845" s="42">
        <f t="shared" si="1"/>
        <v>2609</v>
      </c>
    </row>
    <row r="5846" ht="22.5" customHeight="1">
      <c r="B5846" s="42" t="str">
        <f>IFERROR(__xludf.DUMMYFUNCTION("""COMPUTED_VALUE"""),"K/15/160725/1")</f>
        <v>K/15/160725/1</v>
      </c>
      <c r="C5846" s="42" t="str">
        <f>IFERROR(__xludf.DUMMYFUNCTION("""COMPUTED_VALUE"""),"M. 1517/ Durian Payung")</f>
        <v>M. 1517/ Durian Payung</v>
      </c>
      <c r="D5846" s="42" t="str">
        <f>IFERROR(__xludf.DUMMYFUNCTION("""COMPUTED_VALUE"""),"Berry")</f>
        <v>Berry</v>
      </c>
      <c r="E5846" s="42" t="str">
        <f>IFERROR(__xludf.DUMMYFUNCTION("""COMPUTED_VALUE"""),"DISERAHKAN")</f>
        <v>DISERAHKAN</v>
      </c>
      <c r="F5846" s="48">
        <f>IFERROR(__xludf.DUMMYFUNCTION("""COMPUTED_VALUE"""),45910.59062340278)</f>
        <v>45910.59062</v>
      </c>
      <c r="G5846" s="42" t="str">
        <f>IFERROR(__xludf.DUMMYFUNCTION("""COMPUTED_VALUE"""),"BN Jual Beli")</f>
        <v>BN Jual Beli</v>
      </c>
      <c r="H5846" s="42">
        <f t="shared" si="1"/>
        <v>2610</v>
      </c>
    </row>
    <row r="5847" ht="22.5" customHeight="1">
      <c r="B5847" s="42" t="str">
        <f>IFERROR(__xludf.DUMMYFUNCTION("""COMPUTED_VALUE"""),"K/16/160725/1")</f>
        <v>K/16/160725/1</v>
      </c>
      <c r="C5847" s="42" t="str">
        <f>IFERROR(__xludf.DUMMYFUNCTION("""COMPUTED_VALUE"""),"PBT 34/2024")</f>
        <v>PBT 34/2024</v>
      </c>
      <c r="D5847" s="42"/>
      <c r="E5847" s="42"/>
      <c r="F5847" s="48" t="str">
        <f>IFERROR(__xludf.DUMMYFUNCTION("""COMPUTED_VALUE"""),"")</f>
        <v/>
      </c>
      <c r="G5847" s="42" t="str">
        <f>IFERROR(__xludf.DUMMYFUNCTION("""COMPUTED_VALUE"""),"PERMOHONAN SK PERTAMA KALI")</f>
        <v>PERMOHONAN SK PERTAMA KALI</v>
      </c>
      <c r="H5847" s="42">
        <f t="shared" si="1"/>
        <v>2610</v>
      </c>
    </row>
    <row r="5848" ht="22.5" customHeight="1">
      <c r="B5848" s="42" t="str">
        <f>IFERROR(__xludf.DUMMYFUNCTION("""COMPUTED_VALUE"""),"L/17/160725/1")</f>
        <v>L/17/160725/1</v>
      </c>
      <c r="C5848" s="42" t="str">
        <f>IFERROR(__xludf.DUMMYFUNCTION("""COMPUTED_VALUE"""),"HM 1155/LANGKAPURA")</f>
        <v>HM 1155/LANGKAPURA</v>
      </c>
      <c r="D5848" s="42" t="str">
        <f>IFERROR(__xludf.DUMMYFUNCTION("""COMPUTED_VALUE"""),"Berry")</f>
        <v>Berry</v>
      </c>
      <c r="E5848" s="42" t="str">
        <f>IFERROR(__xludf.DUMMYFUNCTION("""COMPUTED_VALUE"""),"DISERAHKAN")</f>
        <v>DISERAHKAN</v>
      </c>
      <c r="F5848" s="48">
        <f>IFERROR(__xludf.DUMMYFUNCTION("""COMPUTED_VALUE"""),45890.594808078706)</f>
        <v>45890.59481</v>
      </c>
      <c r="G5848" s="42" t="str">
        <f>IFERROR(__xludf.DUMMYFUNCTION("""COMPUTED_VALUE"""),"ROYA WARIS")</f>
        <v>ROYA WARIS</v>
      </c>
      <c r="H5848" s="42">
        <f t="shared" si="1"/>
        <v>2611</v>
      </c>
    </row>
    <row r="5849" ht="22.5" customHeight="1">
      <c r="B5849" s="42" t="str">
        <f>IFERROR(__xludf.DUMMYFUNCTION("""COMPUTED_VALUE"""),"K/19/160725/1")</f>
        <v>K/19/160725/1</v>
      </c>
      <c r="C5849" s="42" t="str">
        <f>IFERROR(__xludf.DUMMYFUNCTION("""COMPUTED_VALUE"""),"M. 995/ Pahoman")</f>
        <v>M. 995/ Pahoman</v>
      </c>
      <c r="D5849" s="42"/>
      <c r="E5849" s="42"/>
      <c r="F5849" s="48" t="str">
        <f>IFERROR(__xludf.DUMMYFUNCTION("""COMPUTED_VALUE"""),"")</f>
        <v/>
      </c>
      <c r="G5849" s="42" t="str">
        <f>IFERROR(__xludf.DUMMYFUNCTION("""COMPUTED_VALUE"""),"Hapus BPHTB")</f>
        <v>Hapus BPHTB</v>
      </c>
      <c r="H5849" s="42">
        <f t="shared" si="1"/>
        <v>2611</v>
      </c>
    </row>
    <row r="5850" ht="22.5" customHeight="1">
      <c r="B5850" s="42" t="str">
        <f>IFERROR(__xludf.DUMMYFUNCTION("""COMPUTED_VALUE"""),"K/20/160725/1")</f>
        <v>K/20/160725/1</v>
      </c>
      <c r="C5850" s="42" t="str">
        <f>IFERROR(__xludf.DUMMYFUNCTION("""COMPUTED_VALUE"""),"M. 12664/ Jagabaya II")</f>
        <v>M. 12664/ Jagabaya II</v>
      </c>
      <c r="D5850" s="42"/>
      <c r="E5850" s="42"/>
      <c r="F5850" s="48" t="str">
        <f>IFERROR(__xludf.DUMMYFUNCTION("""COMPUTED_VALUE"""),"")</f>
        <v/>
      </c>
      <c r="G5850" s="42" t="str">
        <f>IFERROR(__xludf.DUMMYFUNCTION("""COMPUTED_VALUE"""),"Hapus BPHTB")</f>
        <v>Hapus BPHTB</v>
      </c>
      <c r="H5850" s="42">
        <f t="shared" si="1"/>
        <v>2611</v>
      </c>
    </row>
    <row r="5851" ht="22.5" customHeight="1">
      <c r="B5851" s="42" t="str">
        <f>IFERROR(__xludf.DUMMYFUNCTION("""COMPUTED_VALUE"""),"L/21/160725/1")</f>
        <v>L/21/160725/1</v>
      </c>
      <c r="C5851" s="42" t="str">
        <f>IFERROR(__xludf.DUMMYFUNCTION("""COMPUTED_VALUE"""),"NIB 22794/SUKABUMI")</f>
        <v>NIB 22794/SUKABUMI</v>
      </c>
      <c r="D5851" s="42"/>
      <c r="E5851" s="42"/>
      <c r="F5851" s="48" t="str">
        <f>IFERROR(__xludf.DUMMYFUNCTION("""COMPUTED_VALUE"""),"")</f>
        <v/>
      </c>
      <c r="G5851" s="42" t="str">
        <f>IFERROR(__xludf.DUMMYFUNCTION("""COMPUTED_VALUE"""),"BN LELANG")</f>
        <v>BN LELANG</v>
      </c>
      <c r="H5851" s="42">
        <f t="shared" si="1"/>
        <v>2611</v>
      </c>
    </row>
    <row r="5852" ht="22.5" customHeight="1">
      <c r="B5852" s="42" t="str">
        <f>IFERROR(__xludf.DUMMYFUNCTION("""COMPUTED_VALUE"""),"L/22/160725/1")</f>
        <v>L/22/160725/1</v>
      </c>
      <c r="C5852" s="42" t="str">
        <f>IFERROR(__xludf.DUMMYFUNCTION("""COMPUTED_VALUE"""),"HM 12957/SUKABUMI")</f>
        <v>HM 12957/SUKABUMI</v>
      </c>
      <c r="D5852" s="42" t="str">
        <f>IFERROR(__xludf.DUMMYFUNCTION("""COMPUTED_VALUE"""),"David")</f>
        <v>David</v>
      </c>
      <c r="E5852" s="42" t="str">
        <f>IFERROR(__xludf.DUMMYFUNCTION("""COMPUTED_VALUE"""),"DISERAHKAN")</f>
        <v>DISERAHKAN</v>
      </c>
      <c r="F5852" s="48">
        <f>IFERROR(__xludf.DUMMYFUNCTION("""COMPUTED_VALUE"""),45883.49348789352)</f>
        <v>45883.49349</v>
      </c>
      <c r="G5852" s="42" t="str">
        <f>IFERROR(__xludf.DUMMYFUNCTION("""COMPUTED_VALUE"""),"ROYA")</f>
        <v>ROYA</v>
      </c>
      <c r="H5852" s="42">
        <f t="shared" si="1"/>
        <v>2612</v>
      </c>
    </row>
    <row r="5853" ht="22.5" customHeight="1">
      <c r="B5853" s="42" t="str">
        <f>IFERROR(__xludf.DUMMYFUNCTION("""COMPUTED_VALUE"""),"K/25/160725/1")</f>
        <v>K/25/160725/1</v>
      </c>
      <c r="C5853" s="42" t="str">
        <f>IFERROR(__xludf.DUMMYFUNCTION("""COMPUTED_VALUE"""),"M. 2899/ Labuhan Dalam")</f>
        <v>M. 2899/ Labuhan Dalam</v>
      </c>
      <c r="D5853" s="42" t="str">
        <f>IFERROR(__xludf.DUMMYFUNCTION("""COMPUTED_VALUE"""),"Berry")</f>
        <v>Berry</v>
      </c>
      <c r="E5853" s="42" t="str">
        <f>IFERROR(__xludf.DUMMYFUNCTION("""COMPUTED_VALUE"""),"DISERAHKAN")</f>
        <v>DISERAHKAN</v>
      </c>
      <c r="F5853" s="48">
        <f>IFERROR(__xludf.DUMMYFUNCTION("""COMPUTED_VALUE"""),45891.59845096065)</f>
        <v>45891.59845</v>
      </c>
      <c r="G5853" s="42" t="str">
        <f>IFERROR(__xludf.DUMMYFUNCTION("""COMPUTED_VALUE"""),"BN JUAL BELI")</f>
        <v>BN JUAL BELI</v>
      </c>
      <c r="H5853" s="42">
        <f t="shared" si="1"/>
        <v>2613</v>
      </c>
    </row>
    <row r="5854" ht="22.5" customHeight="1">
      <c r="B5854" s="42" t="str">
        <f>IFERROR(__xludf.DUMMYFUNCTION("""COMPUTED_VALUE"""),"K/18/160725/1")</f>
        <v>K/18/160725/1</v>
      </c>
      <c r="C5854" s="42" t="str">
        <f>IFERROR(__xludf.DUMMYFUNCTION("""COMPUTED_VALUE"""),"B. 179/SUMBERREJO SEJAHTERA")</f>
        <v>B. 179/SUMBERREJO SEJAHTERA</v>
      </c>
      <c r="D5854" s="42"/>
      <c r="E5854" s="42"/>
      <c r="F5854" s="48" t="str">
        <f>IFERROR(__xludf.DUMMYFUNCTION("""COMPUTED_VALUE"""),"")</f>
        <v/>
      </c>
      <c r="G5854" s="42" t="str">
        <f>IFERROR(__xludf.DUMMYFUNCTION("""COMPUTED_VALUE"""),"BN JUAL BELI")</f>
        <v>BN JUAL BELI</v>
      </c>
      <c r="H5854" s="42">
        <f t="shared" si="1"/>
        <v>2613</v>
      </c>
    </row>
    <row r="5855" ht="22.5" customHeight="1">
      <c r="B5855" s="42" t="str">
        <f>IFERROR(__xludf.DUMMYFUNCTION("""COMPUTED_VALUE"""),"K/23/160725/1")</f>
        <v>K/23/160725/1</v>
      </c>
      <c r="C5855" s="42" t="str">
        <f>IFERROR(__xludf.DUMMYFUNCTION("""COMPUTED_VALUE"""),"M. 572/ Pematang Wangi")</f>
        <v>M. 572/ Pematang Wangi</v>
      </c>
      <c r="D5855" s="42"/>
      <c r="E5855" s="42"/>
      <c r="F5855" s="48" t="str">
        <f>IFERROR(__xludf.DUMMYFUNCTION("""COMPUTED_VALUE"""),"")</f>
        <v/>
      </c>
      <c r="G5855" s="42" t="str">
        <f>IFERROR(__xludf.DUMMYFUNCTION("""COMPUTED_VALUE"""),"PTPGT (Pemisahan)")</f>
        <v>PTPGT (Pemisahan)</v>
      </c>
      <c r="H5855" s="42">
        <f t="shared" si="1"/>
        <v>2613</v>
      </c>
    </row>
    <row r="5856" ht="22.5" customHeight="1">
      <c r="B5856" s="42" t="str">
        <f>IFERROR(__xludf.DUMMYFUNCTION("""COMPUTED_VALUE"""),"K/24/160725/2")</f>
        <v>K/24/160725/2</v>
      </c>
      <c r="C5856" s="42" t="str">
        <f>IFERROR(__xludf.DUMMYFUNCTION("""COMPUTED_VALUE"""),"Nibel. B. 21859/ Sukarame Baru")</f>
        <v>Nibel. B. 21859/ Sukarame Baru</v>
      </c>
      <c r="D5856" s="42"/>
      <c r="E5856" s="42"/>
      <c r="F5856" s="48" t="str">
        <f>IFERROR(__xludf.DUMMYFUNCTION("""COMPUTED_VALUE"""),"")</f>
        <v/>
      </c>
      <c r="G5856" s="42" t="str">
        <f>IFERROR(__xludf.DUMMYFUNCTION("""COMPUTED_VALUE"""),"Perubahan Hak")</f>
        <v>Perubahan Hak</v>
      </c>
      <c r="H5856" s="42">
        <f t="shared" si="1"/>
        <v>2613</v>
      </c>
    </row>
    <row r="5857" ht="22.5" customHeight="1">
      <c r="B5857" s="42" t="str">
        <f>IFERROR(__xludf.DUMMYFUNCTION("""COMPUTED_VALUE"""),"K/28/160725/1")</f>
        <v>K/28/160725/1</v>
      </c>
      <c r="C5857" s="42" t="str">
        <f>IFERROR(__xludf.DUMMYFUNCTION("""COMPUTED_VALUE"""),"M. 915/ Korpri Jaya")</f>
        <v>M. 915/ Korpri Jaya</v>
      </c>
      <c r="D5857" s="42" t="str">
        <f>IFERROR(__xludf.DUMMYFUNCTION("""COMPUTED_VALUE"""),"Berry")</f>
        <v>Berry</v>
      </c>
      <c r="E5857" s="42" t="str">
        <f>IFERROR(__xludf.DUMMYFUNCTION("""COMPUTED_VALUE"""),"DISERAHKAN")</f>
        <v>DISERAHKAN</v>
      </c>
      <c r="F5857" s="48">
        <f>IFERROR(__xludf.DUMMYFUNCTION("""COMPUTED_VALUE"""),45908.63238358796)</f>
        <v>45908.63238</v>
      </c>
      <c r="G5857" s="42" t="str">
        <f>IFERROR(__xludf.DUMMYFUNCTION("""COMPUTED_VALUE"""),"BN JUAL BELI")</f>
        <v>BN JUAL BELI</v>
      </c>
      <c r="H5857" s="42">
        <f t="shared" si="1"/>
        <v>2614</v>
      </c>
    </row>
    <row r="5858" ht="22.5" customHeight="1">
      <c r="B5858" s="42" t="str">
        <f>IFERROR(__xludf.DUMMYFUNCTION("""COMPUTED_VALUE"""),"K/29/160725/2")</f>
        <v>K/29/160725/2</v>
      </c>
      <c r="C5858" s="42" t="str">
        <f>IFERROR(__xludf.DUMMYFUNCTION("""COMPUTED_VALUE"""),"M. 996/ Panjang Utara")</f>
        <v>M. 996/ Panjang Utara</v>
      </c>
      <c r="D5858" s="42"/>
      <c r="E5858" s="42"/>
      <c r="F5858" s="48" t="str">
        <f>IFERROR(__xludf.DUMMYFUNCTION("""COMPUTED_VALUE"""),"")</f>
        <v/>
      </c>
      <c r="G5858" s="42" t="str">
        <f>IFERROR(__xludf.DUMMYFUNCTION("""COMPUTED_VALUE"""),"BN JUAL BELI")</f>
        <v>BN JUAL BELI</v>
      </c>
      <c r="H5858" s="42">
        <f t="shared" si="1"/>
        <v>2614</v>
      </c>
    </row>
    <row r="5859" ht="22.5" customHeight="1">
      <c r="B5859" s="42" t="str">
        <f>IFERROR(__xludf.DUMMYFUNCTION("""COMPUTED_VALUE"""),"K/26/160725/1")</f>
        <v>K/26/160725/1</v>
      </c>
      <c r="C5859" s="42" t="str">
        <f>IFERROR(__xludf.DUMMYFUNCTION("""COMPUTED_VALUE"""),"Nibel. B. 417/ Kemiling Permai")</f>
        <v>Nibel. B. 417/ Kemiling Permai</v>
      </c>
      <c r="D5859" s="42"/>
      <c r="E5859" s="42"/>
      <c r="F5859" s="48" t="str">
        <f>IFERROR(__xludf.DUMMYFUNCTION("""COMPUTED_VALUE"""),"")</f>
        <v/>
      </c>
      <c r="G5859" s="42" t="str">
        <f>IFERROR(__xludf.DUMMYFUNCTION("""COMPUTED_VALUE"""),"Perubahan Hak")</f>
        <v>Perubahan Hak</v>
      </c>
      <c r="H5859" s="42">
        <f t="shared" si="1"/>
        <v>2614</v>
      </c>
    </row>
    <row r="5860" ht="22.5" customHeight="1">
      <c r="B5860" s="42" t="str">
        <f>IFERROR(__xludf.DUMMYFUNCTION("""COMPUTED_VALUE"""),"L/30/160725/1")</f>
        <v>L/30/160725/1</v>
      </c>
      <c r="C5860" s="42" t="str">
        <f>IFERROR(__xludf.DUMMYFUNCTION("""COMPUTED_VALUE"""),"NIB 21936/BERINGIN RAYA")</f>
        <v>NIB 21936/BERINGIN RAYA</v>
      </c>
      <c r="D5860" s="42"/>
      <c r="E5860" s="42"/>
      <c r="F5860" s="48" t="str">
        <f>IFERROR(__xludf.DUMMYFUNCTION("""COMPUTED_VALUE"""),"")</f>
        <v/>
      </c>
      <c r="G5860" s="42" t="str">
        <f>IFERROR(__xludf.DUMMYFUNCTION("""COMPUTED_VALUE"""),"PTPGT")</f>
        <v>PTPGT</v>
      </c>
      <c r="H5860" s="42">
        <f t="shared" si="1"/>
        <v>2614</v>
      </c>
    </row>
    <row r="5861" ht="22.5" customHeight="1">
      <c r="B5861" s="42" t="str">
        <f>IFERROR(__xludf.DUMMYFUNCTION("""COMPUTED_VALUE"""),"K/31/160725/1")</f>
        <v>K/31/160725/1</v>
      </c>
      <c r="C5861" s="42" t="str">
        <f>IFERROR(__xludf.DUMMYFUNCTION("""COMPUTED_VALUE"""),"B. 370/ Kemiling Permai")</f>
        <v>B. 370/ Kemiling Permai</v>
      </c>
      <c r="D5861" s="42" t="str">
        <f>IFERROR(__xludf.DUMMYFUNCTION("""COMPUTED_VALUE"""),"David")</f>
        <v>David</v>
      </c>
      <c r="E5861" s="42" t="str">
        <f>IFERROR(__xludf.DUMMYFUNCTION("""COMPUTED_VALUE"""),"DISERAHKAN")</f>
        <v>DISERAHKAN</v>
      </c>
      <c r="F5861" s="48">
        <f>IFERROR(__xludf.DUMMYFUNCTION("""COMPUTED_VALUE"""),45880.630346226855)</f>
        <v>45880.63035</v>
      </c>
      <c r="G5861" s="42" t="str">
        <f>IFERROR(__xludf.DUMMYFUNCTION("""COMPUTED_VALUE"""),"Perubahan Hak")</f>
        <v>Perubahan Hak</v>
      </c>
      <c r="H5861" s="42">
        <f t="shared" si="1"/>
        <v>2615</v>
      </c>
    </row>
    <row r="5862" ht="22.5" customHeight="1">
      <c r="B5862" s="42" t="str">
        <f>IFERROR(__xludf.DUMMYFUNCTION("""COMPUTED_VALUE"""),"K/32/160725/1")</f>
        <v>K/32/160725/1</v>
      </c>
      <c r="C5862" s="42" t="str">
        <f>IFERROR(__xludf.DUMMYFUNCTION("""COMPUTED_VALUE"""),"NIBEL M.2692/TANJUNG SENENG")</f>
        <v>NIBEL M.2692/TANJUNG SENENG</v>
      </c>
      <c r="D5862" s="42"/>
      <c r="E5862" s="42"/>
      <c r="F5862" s="48" t="str">
        <f>IFERROR(__xludf.DUMMYFUNCTION("""COMPUTED_VALUE"""),"")</f>
        <v/>
      </c>
      <c r="G5862" s="42" t="str">
        <f>IFERROR(__xludf.DUMMYFUNCTION("""COMPUTED_VALUE"""),"JUAL BELI")</f>
        <v>JUAL BELI</v>
      </c>
      <c r="H5862" s="42">
        <f t="shared" si="1"/>
        <v>2615</v>
      </c>
    </row>
    <row r="5863" ht="22.5" customHeight="1">
      <c r="B5863" s="42" t="str">
        <f>IFERROR(__xludf.DUMMYFUNCTION("""COMPUTED_VALUE"""),"K/33/160725/1")</f>
        <v>K/33/160725/1</v>
      </c>
      <c r="C5863" s="42" t="str">
        <f>IFERROR(__xludf.DUMMYFUNCTION("""COMPUTED_VALUE"""),"M. 12376/ Jagabaya II")</f>
        <v>M. 12376/ Jagabaya II</v>
      </c>
      <c r="D5863" s="42" t="str">
        <f>IFERROR(__xludf.DUMMYFUNCTION("""COMPUTED_VALUE"""),"Berry")</f>
        <v>Berry</v>
      </c>
      <c r="E5863" s="42" t="str">
        <f>IFERROR(__xludf.DUMMYFUNCTION("""COMPUTED_VALUE"""),"DISERAHKAN")</f>
        <v>DISERAHKAN</v>
      </c>
      <c r="F5863" s="48">
        <f>IFERROR(__xludf.DUMMYFUNCTION("""COMPUTED_VALUE"""),45869.497052314815)</f>
        <v>45869.49705</v>
      </c>
      <c r="G5863" s="42" t="str">
        <f>IFERROR(__xludf.DUMMYFUNCTION("""COMPUTED_VALUE"""),"BN Jual Beli")</f>
        <v>BN Jual Beli</v>
      </c>
      <c r="H5863" s="42">
        <f t="shared" si="1"/>
        <v>2616</v>
      </c>
    </row>
    <row r="5864" ht="22.5" customHeight="1">
      <c r="B5864" s="42" t="str">
        <f>IFERROR(__xludf.DUMMYFUNCTION("""COMPUTED_VALUE"""),"K/34/160725/1")</f>
        <v>K/34/160725/1</v>
      </c>
      <c r="C5864" s="42" t="str">
        <f>IFERROR(__xludf.DUMMYFUNCTION("""COMPUTED_VALUE"""),"M.1073/KEMILING RAYA")</f>
        <v>M.1073/KEMILING RAYA</v>
      </c>
      <c r="D5864" s="42"/>
      <c r="E5864" s="42"/>
      <c r="F5864" s="48" t="str">
        <f>IFERROR(__xludf.DUMMYFUNCTION("""COMPUTED_VALUE"""),"")</f>
        <v/>
      </c>
      <c r="G5864" s="42" t="str">
        <f>IFERROR(__xludf.DUMMYFUNCTION("""COMPUTED_VALUE"""),"PTPGT")</f>
        <v>PTPGT</v>
      </c>
      <c r="H5864" s="42">
        <f t="shared" si="1"/>
        <v>2616</v>
      </c>
    </row>
    <row r="5865" ht="22.5" customHeight="1">
      <c r="B5865" s="42" t="str">
        <f>IFERROR(__xludf.DUMMYFUNCTION("""COMPUTED_VALUE"""),"K/27/160725/1")</f>
        <v>K/27/160725/1</v>
      </c>
      <c r="C5865" s="42" t="str">
        <f>IFERROR(__xludf.DUMMYFUNCTION("""COMPUTED_VALUE"""),"M. 726/RAJABASA NUNYAI")</f>
        <v>M. 726/RAJABASA NUNYAI</v>
      </c>
      <c r="D5865" s="42"/>
      <c r="E5865" s="42"/>
      <c r="F5865" s="48" t="str">
        <f>IFERROR(__xludf.DUMMYFUNCTION("""COMPUTED_VALUE"""),"")</f>
        <v/>
      </c>
      <c r="G5865" s="42" t="str">
        <f>IFERROR(__xludf.DUMMYFUNCTION("""COMPUTED_VALUE"""),"PEMECAHAN")</f>
        <v>PEMECAHAN</v>
      </c>
      <c r="H5865" s="42">
        <f t="shared" si="1"/>
        <v>2616</v>
      </c>
    </row>
    <row r="5866" ht="22.5" customHeight="1">
      <c r="B5866" s="42" t="str">
        <f>IFERROR(__xludf.DUMMYFUNCTION("""COMPUTED_VALUE"""),"K/35/160725/1")</f>
        <v>K/35/160725/1</v>
      </c>
      <c r="C5866" s="42" t="str">
        <f>IFERROR(__xludf.DUMMYFUNCTION("""COMPUTED_VALUE"""),"M. 2875/SUKARAME BARU")</f>
        <v>M. 2875/SUKARAME BARU</v>
      </c>
      <c r="D5866" s="42" t="str">
        <f>IFERROR(__xludf.DUMMYFUNCTION("""COMPUTED_VALUE"""),"Berry")</f>
        <v>Berry</v>
      </c>
      <c r="E5866" s="42" t="str">
        <f>IFERROR(__xludf.DUMMYFUNCTION("""COMPUTED_VALUE"""),"DISERAHKAN")</f>
        <v>DISERAHKAN</v>
      </c>
      <c r="F5866" s="48">
        <f>IFERROR(__xludf.DUMMYFUNCTION("""COMPUTED_VALUE"""),45870.676215775464)</f>
        <v>45870.67622</v>
      </c>
      <c r="G5866" s="42" t="str">
        <f>IFERROR(__xludf.DUMMYFUNCTION("""COMPUTED_VALUE"""),"BN JUAL BELI")</f>
        <v>BN JUAL BELI</v>
      </c>
      <c r="H5866" s="42">
        <f t="shared" si="1"/>
        <v>2617</v>
      </c>
    </row>
    <row r="5867" ht="22.5" customHeight="1">
      <c r="B5867" s="42" t="str">
        <f>IFERROR(__xludf.DUMMYFUNCTION("""COMPUTED_VALUE"""),"L/37/160725/1")</f>
        <v>L/37/160725/1</v>
      </c>
      <c r="C5867" s="42" t="str">
        <f>IFERROR(__xludf.DUMMYFUNCTION("""COMPUTED_VALUE"""),"NIB 21937/BERINGIN RAYA")</f>
        <v>NIB 21937/BERINGIN RAYA</v>
      </c>
      <c r="D5867" s="42"/>
      <c r="E5867" s="42"/>
      <c r="F5867" s="48" t="str">
        <f>IFERROR(__xludf.DUMMYFUNCTION("""COMPUTED_VALUE"""),"")</f>
        <v/>
      </c>
      <c r="G5867" s="42" t="str">
        <f>IFERROR(__xludf.DUMMYFUNCTION("""COMPUTED_VALUE"""),"PH")</f>
        <v>PH</v>
      </c>
      <c r="H5867" s="42">
        <f t="shared" si="1"/>
        <v>2617</v>
      </c>
    </row>
    <row r="5868" ht="22.5" customHeight="1">
      <c r="B5868" s="42" t="str">
        <f>IFERROR(__xludf.DUMMYFUNCTION("""COMPUTED_VALUE"""),"K/38/160725/1")</f>
        <v>K/38/160725/1</v>
      </c>
      <c r="C5868" s="42" t="str">
        <f>IFERROR(__xludf.DUMMYFUNCTION("""COMPUTED_VALUE"""),"B. 2640/ Sukarame ")</f>
        <v>B. 2640/ Sukarame </v>
      </c>
      <c r="D5868" s="42"/>
      <c r="E5868" s="42"/>
      <c r="F5868" s="48" t="str">
        <f>IFERROR(__xludf.DUMMYFUNCTION("""COMPUTED_VALUE"""),"")</f>
        <v/>
      </c>
      <c r="G5868" s="42" t="str">
        <f>IFERROR(__xludf.DUMMYFUNCTION("""COMPUTED_VALUE"""),"PERUBAHAN HAK")</f>
        <v>PERUBAHAN HAK</v>
      </c>
      <c r="H5868" s="42">
        <f t="shared" si="1"/>
        <v>2617</v>
      </c>
    </row>
    <row r="5869" ht="22.5" customHeight="1">
      <c r="B5869" s="42" t="str">
        <f>IFERROR(__xludf.DUMMYFUNCTION("""COMPUTED_VALUE"""),"L/39/160725/1")</f>
        <v>L/39/160725/1</v>
      </c>
      <c r="C5869" s="42" t="str">
        <f>IFERROR(__xludf.DUMMYFUNCTION("""COMPUTED_VALUE"""),"HGB 904/SUKARAME BARU")</f>
        <v>HGB 904/SUKARAME BARU</v>
      </c>
      <c r="D5869" s="42" t="str">
        <f>IFERROR(__xludf.DUMMYFUNCTION("""COMPUTED_VALUE"""),"Berry")</f>
        <v>Berry</v>
      </c>
      <c r="E5869" s="42" t="str">
        <f>IFERROR(__xludf.DUMMYFUNCTION("""COMPUTED_VALUE"""),"DISERAHKAN")</f>
        <v>DISERAHKAN</v>
      </c>
      <c r="F5869" s="48">
        <f>IFERROR(__xludf.DUMMYFUNCTION("""COMPUTED_VALUE"""),45870.492071319444)</f>
        <v>45870.49207</v>
      </c>
      <c r="G5869" s="42" t="str">
        <f>IFERROR(__xludf.DUMMYFUNCTION("""COMPUTED_VALUE"""),"PH")</f>
        <v>PH</v>
      </c>
      <c r="H5869" s="42">
        <f t="shared" si="1"/>
        <v>2618</v>
      </c>
    </row>
    <row r="5870" ht="22.5" customHeight="1">
      <c r="B5870" s="42" t="str">
        <f>IFERROR(__xludf.DUMMYFUNCTION("""COMPUTED_VALUE"""),"K/36/160725/2")</f>
        <v>K/36/160725/2</v>
      </c>
      <c r="C5870" s="42" t="str">
        <f>IFERROR(__xludf.DUMMYFUNCTION("""COMPUTED_VALUE"""),"M. 2873/SUKARAME BARU")</f>
        <v>M. 2873/SUKARAME BARU</v>
      </c>
      <c r="D5870" s="42" t="str">
        <f>IFERROR(__xludf.DUMMYFUNCTION("""COMPUTED_VALUE"""),"Berry")</f>
        <v>Berry</v>
      </c>
      <c r="E5870" s="42" t="str">
        <f>IFERROR(__xludf.DUMMYFUNCTION("""COMPUTED_VALUE"""),"DISERAHKAN")</f>
        <v>DISERAHKAN</v>
      </c>
      <c r="F5870" s="48">
        <f>IFERROR(__xludf.DUMMYFUNCTION("""COMPUTED_VALUE"""),45870.675384594906)</f>
        <v>45870.67538</v>
      </c>
      <c r="G5870" s="42" t="str">
        <f>IFERROR(__xludf.DUMMYFUNCTION("""COMPUTED_VALUE"""),"BN JUAL BELI")</f>
        <v>BN JUAL BELI</v>
      </c>
      <c r="H5870" s="42">
        <f t="shared" si="1"/>
        <v>2619</v>
      </c>
    </row>
    <row r="5871" ht="22.5" customHeight="1">
      <c r="B5871" s="42" t="str">
        <f>IFERROR(__xludf.DUMMYFUNCTION("""COMPUTED_VALUE"""),"K/42/160725/1")</f>
        <v>K/42/160725/1</v>
      </c>
      <c r="C5871" s="42" t="str">
        <f>IFERROR(__xludf.DUMMYFUNCTION("""COMPUTED_VALUE"""),"Nibel 20606/ Rajabasa Pemuka")</f>
        <v>Nibel 20606/ Rajabasa Pemuka</v>
      </c>
      <c r="D5871" s="42"/>
      <c r="E5871" s="42"/>
      <c r="F5871" s="48" t="str">
        <f>IFERROR(__xludf.DUMMYFUNCTION("""COMPUTED_VALUE"""),"")</f>
        <v/>
      </c>
      <c r="G5871" s="42" t="str">
        <f>IFERROR(__xludf.DUMMYFUNCTION("""COMPUTED_VALUE"""),"PTPGT PEMECAHAN")</f>
        <v>PTPGT PEMECAHAN</v>
      </c>
      <c r="H5871" s="42">
        <f t="shared" si="1"/>
        <v>2619</v>
      </c>
    </row>
    <row r="5872" ht="22.5" customHeight="1">
      <c r="B5872" s="42" t="str">
        <f>IFERROR(__xludf.DUMMYFUNCTION("""COMPUTED_VALUE"""),"K/41/160725/1")</f>
        <v>K/41/160725/1</v>
      </c>
      <c r="C5872" s="42" t="str">
        <f>IFERROR(__xludf.DUMMYFUNCTION("""COMPUTED_VALUE"""),"M. 463/ Pinang Jaya")</f>
        <v>M. 463/ Pinang Jaya</v>
      </c>
      <c r="D5872" s="42" t="str">
        <f>IFERROR(__xludf.DUMMYFUNCTION("""COMPUTED_VALUE"""),"David")</f>
        <v>David</v>
      </c>
      <c r="E5872" s="42" t="str">
        <f>IFERROR(__xludf.DUMMYFUNCTION("""COMPUTED_VALUE"""),"DISERAHKAN")</f>
        <v>DISERAHKAN</v>
      </c>
      <c r="F5872" s="48">
        <f>IFERROR(__xludf.DUMMYFUNCTION("""COMPUTED_VALUE"""),45880.715402013884)</f>
        <v>45880.7154</v>
      </c>
      <c r="G5872" s="42" t="str">
        <f>IFERROR(__xludf.DUMMYFUNCTION("""COMPUTED_VALUE"""),"BN Jual Beli")</f>
        <v>BN Jual Beli</v>
      </c>
      <c r="H5872" s="42">
        <f t="shared" si="1"/>
        <v>2620</v>
      </c>
    </row>
    <row r="5873" ht="22.5" customHeight="1">
      <c r="B5873" s="42" t="str">
        <f>IFERROR(__xludf.DUMMYFUNCTION("""COMPUTED_VALUE"""),"K/40/160725/1")</f>
        <v>K/40/160725/1</v>
      </c>
      <c r="C5873" s="42" t="str">
        <f>IFERROR(__xludf.DUMMYFUNCTION("""COMPUTED_VALUE"""),"NIBEL B.19647/KALI BALAU KENCANA")</f>
        <v>NIBEL B.19647/KALI BALAU KENCANA</v>
      </c>
      <c r="D5873" s="42"/>
      <c r="E5873" s="42"/>
      <c r="F5873" s="48" t="str">
        <f>IFERROR(__xludf.DUMMYFUNCTION("""COMPUTED_VALUE"""),"")</f>
        <v/>
      </c>
      <c r="G5873" s="42" t="str">
        <f>IFERROR(__xludf.DUMMYFUNCTION("""COMPUTED_VALUE"""),"JUAL BELI")</f>
        <v>JUAL BELI</v>
      </c>
      <c r="H5873" s="42">
        <f t="shared" si="1"/>
        <v>2620</v>
      </c>
    </row>
    <row r="5874" ht="22.5" customHeight="1">
      <c r="B5874" s="42" t="str">
        <f>IFERROR(__xludf.DUMMYFUNCTION("""COMPUTED_VALUE"""),"L/1/170725/1")</f>
        <v>L/1/170725/1</v>
      </c>
      <c r="C5874" s="42" t="str">
        <f>IFERROR(__xludf.DUMMYFUNCTION("""COMPUTED_VALUE"""),"HM 17838/SUKARAME I")</f>
        <v>HM 17838/SUKARAME I</v>
      </c>
      <c r="D5874" s="42" t="str">
        <f>IFERROR(__xludf.DUMMYFUNCTION("""COMPUTED_VALUE"""),"David")</f>
        <v>David</v>
      </c>
      <c r="E5874" s="42" t="str">
        <f>IFERROR(__xludf.DUMMYFUNCTION("""COMPUTED_VALUE"""),"DISERAHKAN")</f>
        <v>DISERAHKAN</v>
      </c>
      <c r="F5874" s="48">
        <f>IFERROR(__xludf.DUMMYFUNCTION("""COMPUTED_VALUE"""),45877.49074461806)</f>
        <v>45877.49074</v>
      </c>
      <c r="G5874" s="42" t="str">
        <f>IFERROR(__xludf.DUMMYFUNCTION("""COMPUTED_VALUE"""),"ROYA")</f>
        <v>ROYA</v>
      </c>
      <c r="H5874" s="42">
        <f t="shared" si="1"/>
        <v>2621</v>
      </c>
    </row>
    <row r="5875" ht="22.5" customHeight="1">
      <c r="B5875" s="42" t="str">
        <f>IFERROR(__xludf.DUMMYFUNCTION("""COMPUTED_VALUE"""),"L/2/170725/1")</f>
        <v>L/2/170725/1</v>
      </c>
      <c r="C5875" s="42" t="str">
        <f>IFERROR(__xludf.DUMMYFUNCTION("""COMPUTED_VALUE"""),"HM 3933/GUNUNG TERANG")</f>
        <v>HM 3933/GUNUNG TERANG</v>
      </c>
      <c r="D5875" s="42"/>
      <c r="E5875" s="42"/>
      <c r="F5875" s="48" t="str">
        <f>IFERROR(__xludf.DUMMYFUNCTION("""COMPUTED_VALUE"""),"")</f>
        <v/>
      </c>
      <c r="G5875" s="42" t="str">
        <f>IFERROR(__xludf.DUMMYFUNCTION("""COMPUTED_VALUE"""),"BN LELANG")</f>
        <v>BN LELANG</v>
      </c>
      <c r="H5875" s="42">
        <f t="shared" si="1"/>
        <v>2621</v>
      </c>
    </row>
    <row r="5876" ht="22.5" customHeight="1">
      <c r="B5876" s="42" t="str">
        <f>IFERROR(__xludf.DUMMYFUNCTION("""COMPUTED_VALUE"""),"K/3/170725/1")</f>
        <v>K/3/170725/1</v>
      </c>
      <c r="C5876" s="42" t="str">
        <f>IFERROR(__xludf.DUMMYFUNCTION("""COMPUTED_VALUE"""),"M.872/PASIR GINTUNG")</f>
        <v>M.872/PASIR GINTUNG</v>
      </c>
      <c r="D5876" s="42"/>
      <c r="E5876" s="42"/>
      <c r="F5876" s="48" t="str">
        <f>IFERROR(__xludf.DUMMYFUNCTION("""COMPUTED_VALUE"""),"")</f>
        <v/>
      </c>
      <c r="G5876" s="42" t="str">
        <f>IFERROR(__xludf.DUMMYFUNCTION("""COMPUTED_VALUE"""),"KEWARISAN")</f>
        <v>KEWARISAN</v>
      </c>
      <c r="H5876" s="42">
        <f t="shared" si="1"/>
        <v>2621</v>
      </c>
    </row>
    <row r="5877" ht="22.5" customHeight="1">
      <c r="B5877" s="42" t="str">
        <f>IFERROR(__xludf.DUMMYFUNCTION("""COMPUTED_VALUE"""),"L/4/170725/1")</f>
        <v>L/4/170725/1</v>
      </c>
      <c r="C5877" s="42" t="str">
        <f>IFERROR(__xludf.DUMMYFUNCTION("""COMPUTED_VALUE"""),"HM 480/GARUNTANG")</f>
        <v>HM 480/GARUNTANG</v>
      </c>
      <c r="D5877" s="42" t="str">
        <f>IFERROR(__xludf.DUMMYFUNCTION("""COMPUTED_VALUE"""),"Berry")</f>
        <v>Berry</v>
      </c>
      <c r="E5877" s="42" t="str">
        <f>IFERROR(__xludf.DUMMYFUNCTION("""COMPUTED_VALUE"""),"DISERAHKAN")</f>
        <v>DISERAHKAN</v>
      </c>
      <c r="F5877" s="48">
        <f>IFERROR(__xludf.DUMMYFUNCTION("""COMPUTED_VALUE"""),45891.590370254635)</f>
        <v>45891.59037</v>
      </c>
      <c r="G5877" s="42" t="str">
        <f>IFERROR(__xludf.DUMMYFUNCTION("""COMPUTED_VALUE"""),"ROYA")</f>
        <v>ROYA</v>
      </c>
      <c r="H5877" s="42">
        <f t="shared" si="1"/>
        <v>2622</v>
      </c>
    </row>
    <row r="5878" ht="22.5" customHeight="1">
      <c r="B5878" s="42" t="str">
        <f>IFERROR(__xludf.DUMMYFUNCTION("""COMPUTED_VALUE"""),"K/5/170725/1")</f>
        <v>K/5/170725/1</v>
      </c>
      <c r="C5878" s="42" t="str">
        <f>IFERROR(__xludf.DUMMYFUNCTION("""COMPUTED_VALUE"""),"M.1112/SUMBEREJO SEJAHTERA")</f>
        <v>M.1112/SUMBEREJO SEJAHTERA</v>
      </c>
      <c r="D5878" s="42"/>
      <c r="E5878" s="42"/>
      <c r="F5878" s="48" t="str">
        <f>IFERROR(__xludf.DUMMYFUNCTION("""COMPUTED_VALUE"""),"")</f>
        <v/>
      </c>
      <c r="G5878" s="42" t="str">
        <f>IFERROR(__xludf.DUMMYFUNCTION("""COMPUTED_VALUE"""),"HAPUS BPHTB")</f>
        <v>HAPUS BPHTB</v>
      </c>
      <c r="H5878" s="42">
        <f t="shared" si="1"/>
        <v>2622</v>
      </c>
    </row>
    <row r="5879" ht="22.5" customHeight="1">
      <c r="B5879" s="42" t="str">
        <f>IFERROR(__xludf.DUMMYFUNCTION("""COMPUTED_VALUE"""),"L/6/170725/1")</f>
        <v>L/6/170725/1</v>
      </c>
      <c r="C5879" s="42" t="str">
        <f>IFERROR(__xludf.DUMMYFUNCTION("""COMPUTED_VALUE"""),"HM 14/GUNUNG TERANG")</f>
        <v>HM 14/GUNUNG TERANG</v>
      </c>
      <c r="D5879" s="42" t="str">
        <f>IFERROR(__xludf.DUMMYFUNCTION("""COMPUTED_VALUE"""),"Berry")</f>
        <v>Berry</v>
      </c>
      <c r="E5879" s="42" t="str">
        <f>IFERROR(__xludf.DUMMYFUNCTION("""COMPUTED_VALUE"""),"DISERAHKAN")</f>
        <v>DISERAHKAN</v>
      </c>
      <c r="F5879" s="48">
        <f>IFERROR(__xludf.DUMMYFUNCTION("""COMPUTED_VALUE"""),45890.591987962966)</f>
        <v>45890.59199</v>
      </c>
      <c r="G5879" s="42" t="str">
        <f>IFERROR(__xludf.DUMMYFUNCTION("""COMPUTED_VALUE"""),"ROYA")</f>
        <v>ROYA</v>
      </c>
      <c r="H5879" s="42">
        <f t="shared" si="1"/>
        <v>2623</v>
      </c>
    </row>
    <row r="5880" ht="22.5" customHeight="1">
      <c r="B5880" s="42" t="str">
        <f>IFERROR(__xludf.DUMMYFUNCTION("""COMPUTED_VALUE"""),"K/7/170725/1")</f>
        <v>K/7/170725/1</v>
      </c>
      <c r="C5880" s="42" t="str">
        <f>IFERROR(__xludf.DUMMYFUNCTION("""COMPUTED_VALUE"""),"NIBEL M. 3246/LANGKAPURA")</f>
        <v>NIBEL M. 3246/LANGKAPURA</v>
      </c>
      <c r="D5880" s="42"/>
      <c r="E5880" s="42"/>
      <c r="F5880" s="48" t="str">
        <f>IFERROR(__xludf.DUMMYFUNCTION("""COMPUTED_VALUE"""),"")</f>
        <v/>
      </c>
      <c r="G5880" s="42" t="str">
        <f>IFERROR(__xludf.DUMMYFUNCTION("""COMPUTED_VALUE"""),"BN JUAL BELI")</f>
        <v>BN JUAL BELI</v>
      </c>
      <c r="H5880" s="42">
        <f t="shared" si="1"/>
        <v>2623</v>
      </c>
    </row>
    <row r="5881" ht="22.5" customHeight="1">
      <c r="B5881" s="42" t="str">
        <f>IFERROR(__xludf.DUMMYFUNCTION("""COMPUTED_VALUE"""),"K/9/170725/2")</f>
        <v>K/9/170725/2</v>
      </c>
      <c r="C5881" s="42" t="str">
        <f>IFERROR(__xludf.DUMMYFUNCTION("""COMPUTED_VALUE"""),"Nibel. M. 18368/ Sumber Agung")</f>
        <v>Nibel. M. 18368/ Sumber Agung</v>
      </c>
      <c r="D5881" s="42"/>
      <c r="E5881" s="42"/>
      <c r="F5881" s="48" t="str">
        <f>IFERROR(__xludf.DUMMYFUNCTION("""COMPUTED_VALUE"""),"")</f>
        <v/>
      </c>
      <c r="G5881" s="42" t="str">
        <f>IFERROR(__xludf.DUMMYFUNCTION("""COMPUTED_VALUE"""),"BN Jual Beli")</f>
        <v>BN Jual Beli</v>
      </c>
      <c r="H5881" s="42">
        <f t="shared" si="1"/>
        <v>2623</v>
      </c>
    </row>
    <row r="5882" ht="22.5" customHeight="1">
      <c r="B5882" s="42" t="str">
        <f>IFERROR(__xludf.DUMMYFUNCTION("""COMPUTED_VALUE"""),"K/8/170725/1")</f>
        <v>K/8/170725/1</v>
      </c>
      <c r="C5882" s="42" t="str">
        <f>IFERROR(__xludf.DUMMYFUNCTION("""COMPUTED_VALUE"""),"Nibel. B. 23352/ Sukabumi")</f>
        <v>Nibel. B. 23352/ Sukabumi</v>
      </c>
      <c r="D5882" s="42"/>
      <c r="E5882" s="42"/>
      <c r="F5882" s="48" t="str">
        <f>IFERROR(__xludf.DUMMYFUNCTION("""COMPUTED_VALUE"""),"")</f>
        <v/>
      </c>
      <c r="G5882" s="42" t="str">
        <f>IFERROR(__xludf.DUMMYFUNCTION("""COMPUTED_VALUE"""),"Perubahan Hak")</f>
        <v>Perubahan Hak</v>
      </c>
      <c r="H5882" s="42">
        <f t="shared" si="1"/>
        <v>2623</v>
      </c>
    </row>
    <row r="5883" ht="22.5" customHeight="1">
      <c r="B5883" s="42" t="str">
        <f>IFERROR(__xludf.DUMMYFUNCTION("""COMPUTED_VALUE"""),"K/10/170725/1")</f>
        <v>K/10/170725/1</v>
      </c>
      <c r="C5883" s="42" t="str">
        <f>IFERROR(__xludf.DUMMYFUNCTION("""COMPUTED_VALUE"""),"Nibel 19177/ Way Kandis")</f>
        <v>Nibel 19177/ Way Kandis</v>
      </c>
      <c r="D5883" s="42"/>
      <c r="E5883" s="42"/>
      <c r="F5883" s="48" t="str">
        <f>IFERROR(__xludf.DUMMYFUNCTION("""COMPUTED_VALUE"""),"")</f>
        <v/>
      </c>
      <c r="G5883" s="42" t="str">
        <f>IFERROR(__xludf.DUMMYFUNCTION("""COMPUTED_VALUE"""),"BN JUAL BELI")</f>
        <v>BN JUAL BELI</v>
      </c>
      <c r="H5883" s="42">
        <f t="shared" si="1"/>
        <v>2623</v>
      </c>
    </row>
    <row r="5884" ht="22.5" customHeight="1">
      <c r="B5884" s="42" t="str">
        <f>IFERROR(__xludf.DUMMYFUNCTION("""COMPUTED_VALUE"""),"K/11/170725/1")</f>
        <v>K/11/170725/1</v>
      </c>
      <c r="C5884" s="42" t="str">
        <f>IFERROR(__xludf.DUMMYFUNCTION("""COMPUTED_VALUE"""),"Nibel 21395/ Surabaya")</f>
        <v>Nibel 21395/ Surabaya</v>
      </c>
      <c r="D5884" s="42"/>
      <c r="E5884" s="42"/>
      <c r="F5884" s="48" t="str">
        <f>IFERROR(__xludf.DUMMYFUNCTION("""COMPUTED_VALUE"""),"")</f>
        <v/>
      </c>
      <c r="G5884" s="42" t="str">
        <f>IFERROR(__xludf.DUMMYFUNCTION("""COMPUTED_VALUE"""),"BN PHB")</f>
        <v>BN PHB</v>
      </c>
      <c r="H5884" s="42">
        <f t="shared" si="1"/>
        <v>2623</v>
      </c>
    </row>
    <row r="5885" ht="22.5" customHeight="1">
      <c r="B5885" s="42" t="str">
        <f>IFERROR(__xludf.DUMMYFUNCTION("""COMPUTED_VALUE"""),"K/12/170725/1")</f>
        <v>K/12/170725/1</v>
      </c>
      <c r="C5885" s="42" t="str">
        <f>IFERROR(__xludf.DUMMYFUNCTION("""COMPUTED_VALUE"""),"B. 617/SUKABUMI")</f>
        <v>B. 617/SUKABUMI</v>
      </c>
      <c r="D5885" s="42"/>
      <c r="E5885" s="42"/>
      <c r="F5885" s="48" t="str">
        <f>IFERROR(__xludf.DUMMYFUNCTION("""COMPUTED_VALUE"""),"")</f>
        <v/>
      </c>
      <c r="G5885" s="42" t="str">
        <f>IFERROR(__xludf.DUMMYFUNCTION("""COMPUTED_VALUE"""),"PENGUKURAN PERTAMA KALI")</f>
        <v>PENGUKURAN PERTAMA KALI</v>
      </c>
      <c r="H5885" s="42">
        <f t="shared" si="1"/>
        <v>2623</v>
      </c>
    </row>
    <row r="5886" ht="22.5" customHeight="1">
      <c r="B5886" s="42" t="str">
        <f>IFERROR(__xludf.DUMMYFUNCTION("""COMPUTED_VALUE"""),"K/13/170725/1")</f>
        <v>K/13/170725/1</v>
      </c>
      <c r="C5886" s="42" t="str">
        <f>IFERROR(__xludf.DUMMYFUNCTION("""COMPUTED_VALUE"""),"M. 14102/ Sukabumi")</f>
        <v>M. 14102/ Sukabumi</v>
      </c>
      <c r="D5886" s="42" t="str">
        <f>IFERROR(__xludf.DUMMYFUNCTION("""COMPUTED_VALUE"""),"David")</f>
        <v>David</v>
      </c>
      <c r="E5886" s="42" t="str">
        <f>IFERROR(__xludf.DUMMYFUNCTION("""COMPUTED_VALUE"""),"DISERAHKAN")</f>
        <v>DISERAHKAN</v>
      </c>
      <c r="F5886" s="48">
        <f>IFERROR(__xludf.DUMMYFUNCTION("""COMPUTED_VALUE"""),45876.643526608794)</f>
        <v>45876.64353</v>
      </c>
      <c r="G5886" s="42" t="str">
        <f>IFERROR(__xludf.DUMMYFUNCTION("""COMPUTED_VALUE"""),"Roya ")</f>
        <v>Roya </v>
      </c>
      <c r="H5886" s="42">
        <f t="shared" si="1"/>
        <v>2624</v>
      </c>
    </row>
    <row r="5887" ht="22.5" customHeight="1">
      <c r="B5887" s="42" t="str">
        <f>IFERROR(__xludf.DUMMYFUNCTION("""COMPUTED_VALUE"""),"K/14/170725/1")</f>
        <v>K/14/170725/1</v>
      </c>
      <c r="C5887" s="42" t="str">
        <f>IFERROR(__xludf.DUMMYFUNCTION("""COMPUTED_VALUE"""),"NIBEL M.19663/SUKARAME")</f>
        <v>NIBEL M.19663/SUKARAME</v>
      </c>
      <c r="D5887" s="42"/>
      <c r="E5887" s="42"/>
      <c r="F5887" s="48" t="str">
        <f>IFERROR(__xludf.DUMMYFUNCTION("""COMPUTED_VALUE"""),"")</f>
        <v/>
      </c>
      <c r="G5887" s="42" t="str">
        <f>IFERROR(__xludf.DUMMYFUNCTION("""COMPUTED_VALUE"""),"JUAL BELI")</f>
        <v>JUAL BELI</v>
      </c>
      <c r="H5887" s="42">
        <f t="shared" si="1"/>
        <v>2624</v>
      </c>
    </row>
    <row r="5888" ht="22.5" customHeight="1">
      <c r="B5888" s="42" t="str">
        <f>IFERROR(__xludf.DUMMYFUNCTION("""COMPUTED_VALUE"""),"K/16/170725/1")</f>
        <v>K/16/170725/1</v>
      </c>
      <c r="C5888" s="42" t="str">
        <f>IFERROR(__xludf.DUMMYFUNCTION("""COMPUTED_VALUE"""),"M. 894/KUPANG KOTA")</f>
        <v>M. 894/KUPANG KOTA</v>
      </c>
      <c r="D5888" s="42"/>
      <c r="E5888" s="42"/>
      <c r="F5888" s="48" t="str">
        <f>IFERROR(__xludf.DUMMYFUNCTION("""COMPUTED_VALUE"""),"")</f>
        <v/>
      </c>
      <c r="G5888" s="42" t="str">
        <f>IFERROR(__xludf.DUMMYFUNCTION("""COMPUTED_VALUE"""),"SKPT LELANG")</f>
        <v>SKPT LELANG</v>
      </c>
      <c r="H5888" s="42">
        <f t="shared" si="1"/>
        <v>2624</v>
      </c>
    </row>
    <row r="5889" ht="22.5" customHeight="1">
      <c r="B5889" s="42" t="str">
        <f>IFERROR(__xludf.DUMMYFUNCTION("""COMPUTED_VALUE"""),"K/17/170725/2")</f>
        <v>K/17/170725/2</v>
      </c>
      <c r="C5889" s="42" t="str">
        <f>IFERROR(__xludf.DUMMYFUNCTION("""COMPUTED_VALUE"""),"M. 410/KUPANG KOTA")</f>
        <v>M. 410/KUPANG KOTA</v>
      </c>
      <c r="D5889" s="42"/>
      <c r="E5889" s="42"/>
      <c r="F5889" s="48" t="str">
        <f>IFERROR(__xludf.DUMMYFUNCTION("""COMPUTED_VALUE"""),"")</f>
        <v/>
      </c>
      <c r="G5889" s="42" t="str">
        <f>IFERROR(__xludf.DUMMYFUNCTION("""COMPUTED_VALUE"""),"SKPT LELANG")</f>
        <v>SKPT LELANG</v>
      </c>
      <c r="H5889" s="42">
        <f t="shared" si="1"/>
        <v>2624</v>
      </c>
    </row>
    <row r="5890" ht="22.5" customHeight="1">
      <c r="B5890" s="42" t="str">
        <f>IFERROR(__xludf.DUMMYFUNCTION("""COMPUTED_VALUE"""),"K/18/170725/3")</f>
        <v>K/18/170725/3</v>
      </c>
      <c r="C5890" s="42" t="str">
        <f>IFERROR(__xludf.DUMMYFUNCTION("""COMPUTED_VALUE"""),"M. 12177/RAJABASA")</f>
        <v>M. 12177/RAJABASA</v>
      </c>
      <c r="D5890" s="42"/>
      <c r="E5890" s="42"/>
      <c r="F5890" s="48" t="str">
        <f>IFERROR(__xludf.DUMMYFUNCTION("""COMPUTED_VALUE"""),"")</f>
        <v/>
      </c>
      <c r="G5890" s="42" t="str">
        <f>IFERROR(__xludf.DUMMYFUNCTION("""COMPUTED_VALUE"""),"SKPT LELANG")</f>
        <v>SKPT LELANG</v>
      </c>
      <c r="H5890" s="42">
        <f t="shared" si="1"/>
        <v>2624</v>
      </c>
    </row>
    <row r="5891" ht="22.5" customHeight="1">
      <c r="B5891" s="42" t="str">
        <f>IFERROR(__xludf.DUMMYFUNCTION("""COMPUTED_VALUE"""),"L/20/170725/1")</f>
        <v>L/20/170725/1</v>
      </c>
      <c r="C5891" s="42" t="str">
        <f>IFERROR(__xludf.DUMMYFUNCTION("""COMPUTED_VALUE"""),"HM 9952/GEDONG MENENG")</f>
        <v>HM 9952/GEDONG MENENG</v>
      </c>
      <c r="D5891" s="42"/>
      <c r="E5891" s="42"/>
      <c r="F5891" s="48" t="str">
        <f>IFERROR(__xludf.DUMMYFUNCTION("""COMPUTED_VALUE"""),"")</f>
        <v/>
      </c>
      <c r="G5891" s="42" t="str">
        <f>IFERROR(__xludf.DUMMYFUNCTION("""COMPUTED_VALUE"""),"GANTI NAMA")</f>
        <v>GANTI NAMA</v>
      </c>
      <c r="H5891" s="42">
        <f t="shared" si="1"/>
        <v>2624</v>
      </c>
    </row>
    <row r="5892" ht="22.5" customHeight="1">
      <c r="B5892" s="42" t="str">
        <f>IFERROR(__xludf.DUMMYFUNCTION("""COMPUTED_VALUE"""),"K/19/170725/4")</f>
        <v>K/19/170725/4</v>
      </c>
      <c r="C5892" s="42" t="str">
        <f>IFERROR(__xludf.DUMMYFUNCTION("""COMPUTED_VALUE"""),"M. 1548/KUPANG KOTA")</f>
        <v>M. 1548/KUPANG KOTA</v>
      </c>
      <c r="D5892" s="42"/>
      <c r="E5892" s="42"/>
      <c r="F5892" s="48" t="str">
        <f>IFERROR(__xludf.DUMMYFUNCTION("""COMPUTED_VALUE"""),"")</f>
        <v/>
      </c>
      <c r="G5892" s="42" t="str">
        <f>IFERROR(__xludf.DUMMYFUNCTION("""COMPUTED_VALUE"""),"SKPT LELANG")</f>
        <v>SKPT LELANG</v>
      </c>
      <c r="H5892" s="42">
        <f t="shared" si="1"/>
        <v>2624</v>
      </c>
    </row>
    <row r="5893" ht="22.5" customHeight="1">
      <c r="B5893" s="42" t="str">
        <f>IFERROR(__xludf.DUMMYFUNCTION("""COMPUTED_VALUE"""),"L/21/170725/1")</f>
        <v>L/21/170725/1</v>
      </c>
      <c r="C5893" s="42" t="str">
        <f>IFERROR(__xludf.DUMMYFUNCTION("""COMPUTED_VALUE"""),"HGB 199/GEDUNG MENENG")</f>
        <v>HGB 199/GEDUNG MENENG</v>
      </c>
      <c r="D5893" s="42"/>
      <c r="E5893" s="42"/>
      <c r="F5893" s="48" t="str">
        <f>IFERROR(__xludf.DUMMYFUNCTION("""COMPUTED_VALUE"""),"")</f>
        <v/>
      </c>
      <c r="G5893" s="42" t="str">
        <f>IFERROR(__xludf.DUMMYFUNCTION("""COMPUTED_VALUE"""),"PH")</f>
        <v>PH</v>
      </c>
      <c r="H5893" s="42">
        <f t="shared" si="1"/>
        <v>2624</v>
      </c>
    </row>
    <row r="5894" ht="22.5" customHeight="1">
      <c r="B5894" s="42" t="str">
        <f>IFERROR(__xludf.DUMMYFUNCTION("""COMPUTED_VALUE"""),"K/22/170725/1")</f>
        <v>K/22/170725/1</v>
      </c>
      <c r="C5894" s="42" t="str">
        <f>IFERROR(__xludf.DUMMYFUNCTION("""COMPUTED_VALUE"""),"M. 19606/ Sukarame")</f>
        <v>M. 19606/ Sukarame</v>
      </c>
      <c r="D5894" s="42"/>
      <c r="E5894" s="42"/>
      <c r="F5894" s="48" t="str">
        <f>IFERROR(__xludf.DUMMYFUNCTION("""COMPUTED_VALUE"""),"")</f>
        <v/>
      </c>
      <c r="G5894" s="42" t="str">
        <f>IFERROR(__xludf.DUMMYFUNCTION("""COMPUTED_VALUE"""),"BN JUAL BELI")</f>
        <v>BN JUAL BELI</v>
      </c>
      <c r="H5894" s="42">
        <f t="shared" si="1"/>
        <v>2624</v>
      </c>
    </row>
    <row r="5895" ht="22.5" customHeight="1">
      <c r="B5895" s="42" t="str">
        <f>IFERROR(__xludf.DUMMYFUNCTION("""COMPUTED_VALUE"""),"L/23/170725/1")</f>
        <v>L/23/170725/1</v>
      </c>
      <c r="C5895" s="42" t="str">
        <f>IFERROR(__xludf.DUMMYFUNCTION("""COMPUTED_VALUE"""),"HM 656/NOG")</f>
        <v>HM 656/NOG</v>
      </c>
      <c r="D5895" s="42" t="str">
        <f>IFERROR(__xludf.DUMMYFUNCTION("""COMPUTED_VALUE"""),"Berry")</f>
        <v>Berry</v>
      </c>
      <c r="E5895" s="42" t="str">
        <f>IFERROR(__xludf.DUMMYFUNCTION("""COMPUTED_VALUE"""),"DISERAHKAN")</f>
        <v>DISERAHKAN</v>
      </c>
      <c r="F5895" s="48">
        <f>IFERROR(__xludf.DUMMYFUNCTION("""COMPUTED_VALUE"""),45891.59081763889)</f>
        <v>45891.59082</v>
      </c>
      <c r="G5895" s="42" t="str">
        <f>IFERROR(__xludf.DUMMYFUNCTION("""COMPUTED_VALUE"""),"ROYA")</f>
        <v>ROYA</v>
      </c>
      <c r="H5895" s="42">
        <f t="shared" si="1"/>
        <v>2625</v>
      </c>
    </row>
    <row r="5896" ht="22.5" customHeight="1">
      <c r="B5896" s="42" t="str">
        <f>IFERROR(__xludf.DUMMYFUNCTION("""COMPUTED_VALUE"""),"K/15/170725/1")</f>
        <v>K/15/170725/1</v>
      </c>
      <c r="C5896" s="42" t="str">
        <f>IFERROR(__xludf.DUMMYFUNCTION("""COMPUTED_VALUE"""),"M.1576/SUMBER AGUNG")</f>
        <v>M.1576/SUMBER AGUNG</v>
      </c>
      <c r="D5896" s="42" t="str">
        <f>IFERROR(__xludf.DUMMYFUNCTION("""COMPUTED_VALUE"""),"Berry")</f>
        <v>Berry</v>
      </c>
      <c r="E5896" s="42" t="str">
        <f>IFERROR(__xludf.DUMMYFUNCTION("""COMPUTED_VALUE"""),"DISERAHKAN")</f>
        <v>DISERAHKAN</v>
      </c>
      <c r="F5896" s="48">
        <f>IFERROR(__xludf.DUMMYFUNCTION("""COMPUTED_VALUE"""),45860.65663459491)</f>
        <v>45860.65663</v>
      </c>
      <c r="G5896" s="42" t="str">
        <f>IFERROR(__xludf.DUMMYFUNCTION("""COMPUTED_VALUE"""),"JUAL BELI")</f>
        <v>JUAL BELI</v>
      </c>
      <c r="H5896" s="42">
        <f t="shared" si="1"/>
        <v>2626</v>
      </c>
    </row>
    <row r="5897" ht="22.5" customHeight="1">
      <c r="B5897" s="42" t="str">
        <f>IFERROR(__xludf.DUMMYFUNCTION("""COMPUTED_VALUE"""),"K/24/170725/1")</f>
        <v>K/24/170725/1</v>
      </c>
      <c r="C5897" s="42" t="str">
        <f>IFERROR(__xludf.DUMMYFUNCTION("""COMPUTED_VALUE"""),"SK 53/HM/BPN.18.71/VII/2025")</f>
        <v>SK 53/HM/BPN.18.71/VII/2025</v>
      </c>
      <c r="D5897" s="42"/>
      <c r="E5897" s="42"/>
      <c r="F5897" s="48" t="str">
        <f>IFERROR(__xludf.DUMMYFUNCTION("""COMPUTED_VALUE"""),"")</f>
        <v/>
      </c>
      <c r="G5897" s="42" t="str">
        <f>IFERROR(__xludf.DUMMYFUNCTION("""COMPUTED_VALUE"""),"PENDAFTARAN SK")</f>
        <v>PENDAFTARAN SK</v>
      </c>
      <c r="H5897" s="42">
        <f t="shared" si="1"/>
        <v>2626</v>
      </c>
    </row>
    <row r="5898" ht="22.5" customHeight="1">
      <c r="B5898" s="42" t="str">
        <f>IFERROR(__xludf.DUMMYFUNCTION("""COMPUTED_VALUE"""),"L/26/170725/1")</f>
        <v>L/26/170725/1</v>
      </c>
      <c r="C5898" s="42" t="str">
        <f>IFERROR(__xludf.DUMMYFUNCTION("""COMPUTED_VALUE"""),"NIB 22913/BAKUNG")</f>
        <v>NIB 22913/BAKUNG</v>
      </c>
      <c r="D5898" s="42"/>
      <c r="E5898" s="42"/>
      <c r="F5898" s="48" t="str">
        <f>IFERROR(__xludf.DUMMYFUNCTION("""COMPUTED_VALUE"""),"")</f>
        <v/>
      </c>
      <c r="G5898" s="42" t="str">
        <f>IFERROR(__xludf.DUMMYFUNCTION("""COMPUTED_VALUE"""),"PH")</f>
        <v>PH</v>
      </c>
      <c r="H5898" s="42">
        <f t="shared" si="1"/>
        <v>2626</v>
      </c>
    </row>
    <row r="5899" ht="22.5" customHeight="1">
      <c r="B5899" s="42" t="str">
        <f>IFERROR(__xludf.DUMMYFUNCTION("""COMPUTED_VALUE"""),"K/25/170725/1")</f>
        <v>K/25/170725/1</v>
      </c>
      <c r="C5899" s="42" t="str">
        <f>IFERROR(__xludf.DUMMYFUNCTION("""COMPUTED_VALUE"""),"M. 178/ Way Kandis")</f>
        <v>M. 178/ Way Kandis</v>
      </c>
      <c r="D5899" s="42" t="str">
        <f>IFERROR(__xludf.DUMMYFUNCTION("""COMPUTED_VALUE"""),"David")</f>
        <v>David</v>
      </c>
      <c r="E5899" s="42" t="str">
        <f>IFERROR(__xludf.DUMMYFUNCTION("""COMPUTED_VALUE"""),"DISERAHKAN")</f>
        <v>DISERAHKAN</v>
      </c>
      <c r="F5899" s="48">
        <f>IFERROR(__xludf.DUMMYFUNCTION("""COMPUTED_VALUE"""),45863.60715840278)</f>
        <v>45863.60716</v>
      </c>
      <c r="G5899" s="42" t="str">
        <f>IFERROR(__xludf.DUMMYFUNCTION("""COMPUTED_VALUE"""),"BN Waris")</f>
        <v>BN Waris</v>
      </c>
      <c r="H5899" s="42">
        <f t="shared" si="1"/>
        <v>2627</v>
      </c>
    </row>
    <row r="5900" ht="22.5" customHeight="1">
      <c r="B5900" s="42" t="str">
        <f>IFERROR(__xludf.DUMMYFUNCTION("""COMPUTED_VALUE"""),"K/27/170725/1")</f>
        <v>K/27/170725/1</v>
      </c>
      <c r="C5900" s="42" t="str">
        <f>IFERROR(__xludf.DUMMYFUNCTION("""COMPUTED_VALUE"""),"NIBEL M 20520/SUKARAME II")</f>
        <v>NIBEL M 20520/SUKARAME II</v>
      </c>
      <c r="D5900" s="42"/>
      <c r="E5900" s="42"/>
      <c r="F5900" s="48" t="str">
        <f>IFERROR(__xludf.DUMMYFUNCTION("""COMPUTED_VALUE"""),"")</f>
        <v/>
      </c>
      <c r="G5900" s="42" t="str">
        <f>IFERROR(__xludf.DUMMYFUNCTION("""COMPUTED_VALUE"""),"JUAL BELI")</f>
        <v>JUAL BELI</v>
      </c>
      <c r="H5900" s="42">
        <f t="shared" si="1"/>
        <v>2627</v>
      </c>
    </row>
    <row r="5901" ht="22.5" customHeight="1">
      <c r="B5901" s="42" t="str">
        <f>IFERROR(__xludf.DUMMYFUNCTION("""COMPUTED_VALUE"""),"K/28/170725/2")</f>
        <v>K/28/170725/2</v>
      </c>
      <c r="C5901" s="42" t="str">
        <f>IFERROR(__xludf.DUMMYFUNCTION("""COMPUTED_VALUE"""),"NIBEL M 18412/RAJABASA NUNYAI")</f>
        <v>NIBEL M 18412/RAJABASA NUNYAI</v>
      </c>
      <c r="D5901" s="42"/>
      <c r="E5901" s="42"/>
      <c r="F5901" s="48" t="str">
        <f>IFERROR(__xludf.DUMMYFUNCTION("""COMPUTED_VALUE"""),"")</f>
        <v/>
      </c>
      <c r="G5901" s="42" t="str">
        <f>IFERROR(__xludf.DUMMYFUNCTION("""COMPUTED_VALUE"""),"JUAL BELI")</f>
        <v>JUAL BELI</v>
      </c>
      <c r="H5901" s="42">
        <f t="shared" si="1"/>
        <v>2627</v>
      </c>
    </row>
    <row r="5902" ht="22.5" customHeight="1">
      <c r="B5902" s="42" t="str">
        <f>IFERROR(__xludf.DUMMYFUNCTION("""COMPUTED_VALUE"""),"K/29/170725/1")</f>
        <v>K/29/170725/1</v>
      </c>
      <c r="C5902" s="42" t="str">
        <f>IFERROR(__xludf.DUMMYFUNCTION("""COMPUTED_VALUE"""),"Nibel 20689/ Langkapura")</f>
        <v>Nibel 20689/ Langkapura</v>
      </c>
      <c r="D5902" s="42"/>
      <c r="E5902" s="42"/>
      <c r="F5902" s="48" t="str">
        <f>IFERROR(__xludf.DUMMYFUNCTION("""COMPUTED_VALUE"""),"")</f>
        <v/>
      </c>
      <c r="G5902" s="42" t="str">
        <f>IFERROR(__xludf.DUMMYFUNCTION("""COMPUTED_VALUE"""),"PTPGT PEMECAHAN")</f>
        <v>PTPGT PEMECAHAN</v>
      </c>
      <c r="H5902" s="42">
        <f t="shared" si="1"/>
        <v>2627</v>
      </c>
    </row>
    <row r="5903" ht="22.5" customHeight="1">
      <c r="B5903" s="42" t="str">
        <f>IFERROR(__xludf.DUMMYFUNCTION("""COMPUTED_VALUE"""),"K/30/170725/1")</f>
        <v>K/30/170725/1</v>
      </c>
      <c r="C5903" s="42" t="str">
        <f>IFERROR(__xludf.DUMMYFUNCTION("""COMPUTED_VALUE"""),"M.1447/TELUKBETUNG")</f>
        <v>M.1447/TELUKBETUNG</v>
      </c>
      <c r="D5903" s="42" t="str">
        <f>IFERROR(__xludf.DUMMYFUNCTION("""COMPUTED_VALUE"""),"Berry")</f>
        <v>Berry</v>
      </c>
      <c r="E5903" s="42" t="str">
        <f>IFERROR(__xludf.DUMMYFUNCTION("""COMPUTED_VALUE"""),"DISERAHKAN")</f>
        <v>DISERAHKAN</v>
      </c>
      <c r="F5903" s="48">
        <f>IFERROR(__xludf.DUMMYFUNCTION("""COMPUTED_VALUE"""),45867.68173045139)</f>
        <v>45867.68173</v>
      </c>
      <c r="G5903" s="42" t="str">
        <f>IFERROR(__xludf.DUMMYFUNCTION("""COMPUTED_VALUE"""),"HIBAH")</f>
        <v>HIBAH</v>
      </c>
      <c r="H5903" s="42">
        <f t="shared" si="1"/>
        <v>2628</v>
      </c>
    </row>
    <row r="5904" ht="22.5" customHeight="1">
      <c r="B5904" s="42" t="str">
        <f>IFERROR(__xludf.DUMMYFUNCTION("""COMPUTED_VALUE"""),"K/31/170725/2")</f>
        <v>K/31/170725/2</v>
      </c>
      <c r="C5904" s="42" t="str">
        <f>IFERROR(__xludf.DUMMYFUNCTION("""COMPUTED_VALUE"""),"NIBEL M.21106/GUNUNG SULAH")</f>
        <v>NIBEL M.21106/GUNUNG SULAH</v>
      </c>
      <c r="D5904" s="42"/>
      <c r="E5904" s="42"/>
      <c r="F5904" s="48" t="str">
        <f>IFERROR(__xludf.DUMMYFUNCTION("""COMPUTED_VALUE"""),"")</f>
        <v/>
      </c>
      <c r="G5904" s="42" t="str">
        <f>IFERROR(__xludf.DUMMYFUNCTION("""COMPUTED_VALUE"""),"APHB")</f>
        <v>APHB</v>
      </c>
      <c r="H5904" s="42">
        <f t="shared" si="1"/>
        <v>2628</v>
      </c>
    </row>
    <row r="5905" ht="22.5" customHeight="1">
      <c r="B5905" s="42" t="str">
        <f>IFERROR(__xludf.DUMMYFUNCTION("""COMPUTED_VALUE"""),"K/32/170725/1")</f>
        <v>K/32/170725/1</v>
      </c>
      <c r="C5905" s="42" t="str">
        <f>IFERROR(__xludf.DUMMYFUNCTION("""COMPUTED_VALUE"""),"Nibel 16240/ Sumur Putri")</f>
        <v>Nibel 16240/ Sumur Putri</v>
      </c>
      <c r="D5905" s="42"/>
      <c r="E5905" s="42"/>
      <c r="F5905" s="48" t="str">
        <f>IFERROR(__xludf.DUMMYFUNCTION("""COMPUTED_VALUE"""),"")</f>
        <v/>
      </c>
      <c r="G5905" s="42" t="str">
        <f>IFERROR(__xludf.DUMMYFUNCTION("""COMPUTED_VALUE"""),"PERUBAHAN HAK")</f>
        <v>PERUBAHAN HAK</v>
      </c>
      <c r="H5905" s="42">
        <f t="shared" si="1"/>
        <v>2628</v>
      </c>
    </row>
    <row r="5906" ht="22.5" customHeight="1">
      <c r="B5906" s="42" t="str">
        <f>IFERROR(__xludf.DUMMYFUNCTION("""COMPUTED_VALUE"""),"K/33/170725/1")</f>
        <v>K/33/170725/1</v>
      </c>
      <c r="C5906" s="42" t="str">
        <f>IFERROR(__xludf.DUMMYFUNCTION("""COMPUTED_VALUE"""),"Nibel. M. 20479/ Gunung Agung")</f>
        <v>Nibel. M. 20479/ Gunung Agung</v>
      </c>
      <c r="D5906" s="42"/>
      <c r="E5906" s="42"/>
      <c r="F5906" s="48" t="str">
        <f>IFERROR(__xludf.DUMMYFUNCTION("""COMPUTED_VALUE"""),"")</f>
        <v/>
      </c>
      <c r="G5906" s="42" t="str">
        <f>IFERROR(__xludf.DUMMYFUNCTION("""COMPUTED_VALUE"""),"PTPGT (Pemecahan)")</f>
        <v>PTPGT (Pemecahan)</v>
      </c>
      <c r="H5906" s="42">
        <f t="shared" si="1"/>
        <v>2628</v>
      </c>
    </row>
    <row r="5907" ht="22.5" customHeight="1">
      <c r="B5907" s="42" t="str">
        <f>IFERROR(__xludf.DUMMYFUNCTION("""COMPUTED_VALUE"""),"K/35/170725/2")</f>
        <v>K/35/170725/2</v>
      </c>
      <c r="C5907" s="42" t="str">
        <f>IFERROR(__xludf.DUMMYFUNCTION("""COMPUTED_VALUE"""),"M. 178/ Sumur Putri")</f>
        <v>M. 178/ Sumur Putri</v>
      </c>
      <c r="D5907" s="42" t="str">
        <f>IFERROR(__xludf.DUMMYFUNCTION("""COMPUTED_VALUE"""),"Berry")</f>
        <v>Berry</v>
      </c>
      <c r="E5907" s="42" t="str">
        <f>IFERROR(__xludf.DUMMYFUNCTION("""COMPUTED_VALUE"""),"DISERAHKAN")</f>
        <v>DISERAHKAN</v>
      </c>
      <c r="F5907" s="48">
        <f>IFERROR(__xludf.DUMMYFUNCTION("""COMPUTED_VALUE"""),45868.65291097222)</f>
        <v>45868.65291</v>
      </c>
      <c r="G5907" s="42" t="str">
        <f>IFERROR(__xludf.DUMMYFUNCTION("""COMPUTED_VALUE"""),"BN Jual Beli")</f>
        <v>BN Jual Beli</v>
      </c>
      <c r="H5907" s="42">
        <f t="shared" si="1"/>
        <v>2629</v>
      </c>
    </row>
    <row r="5908" ht="22.5" customHeight="1">
      <c r="B5908" s="42" t="str">
        <f>IFERROR(__xludf.DUMMYFUNCTION("""COMPUTED_VALUE"""),"K/34/170725/1")</f>
        <v>K/34/170725/1</v>
      </c>
      <c r="C5908" s="42" t="str">
        <f>IFERROR(__xludf.DUMMYFUNCTION("""COMPUTED_VALUE"""),"NIBEL M 21165/NEGERI OLOK GADING ")</f>
        <v>NIBEL M 21165/NEGERI OLOK GADING </v>
      </c>
      <c r="D5908" s="42"/>
      <c r="E5908" s="42"/>
      <c r="F5908" s="48" t="str">
        <f>IFERROR(__xludf.DUMMYFUNCTION("""COMPUTED_VALUE"""),"")</f>
        <v/>
      </c>
      <c r="G5908" s="42" t="str">
        <f>IFERROR(__xludf.DUMMYFUNCTION("""COMPUTED_VALUE"""),"JUAL BELI")</f>
        <v>JUAL BELI</v>
      </c>
      <c r="H5908" s="42">
        <f t="shared" si="1"/>
        <v>2629</v>
      </c>
    </row>
    <row r="5909" ht="22.5" customHeight="1">
      <c r="B5909" s="42" t="str">
        <f>IFERROR(__xludf.DUMMYFUNCTION("""COMPUTED_VALUE"""),"K/36/170725/1")</f>
        <v>K/36/170725/1</v>
      </c>
      <c r="C5909" s="42" t="str">
        <f>IFERROR(__xludf.DUMMYFUNCTION("""COMPUTED_VALUE"""),"M.415/KORPRI RAYA")</f>
        <v>M.415/KORPRI RAYA</v>
      </c>
      <c r="D5909" s="42" t="str">
        <f>IFERROR(__xludf.DUMMYFUNCTION("""COMPUTED_VALUE"""),"Berry")</f>
        <v>Berry</v>
      </c>
      <c r="E5909" s="42" t="str">
        <f>IFERROR(__xludf.DUMMYFUNCTION("""COMPUTED_VALUE"""),"DISERAHKAN")</f>
        <v>DISERAHKAN</v>
      </c>
      <c r="F5909" s="48">
        <f>IFERROR(__xludf.DUMMYFUNCTION("""COMPUTED_VALUE"""),45868.65268645833)</f>
        <v>45868.65269</v>
      </c>
      <c r="G5909" s="42" t="str">
        <f>IFERROR(__xludf.DUMMYFUNCTION("""COMPUTED_VALUE"""),"JUAL BELI")</f>
        <v>JUAL BELI</v>
      </c>
      <c r="H5909" s="42">
        <f t="shared" si="1"/>
        <v>2630</v>
      </c>
    </row>
    <row r="5910" ht="22.5" customHeight="1">
      <c r="B5910" s="42" t="str">
        <f>IFERROR(__xludf.DUMMYFUNCTION("""COMPUTED_VALUE"""),"K/1/180725/1")</f>
        <v>K/1/180725/1</v>
      </c>
      <c r="C5910" s="42" t="str">
        <f>IFERROR(__xludf.DUMMYFUNCTION("""COMPUTED_VALUE"""),"HM 4558/GUNUNG TERANG")</f>
        <v>HM 4558/GUNUNG TERANG</v>
      </c>
      <c r="D5910" s="42"/>
      <c r="E5910" s="42"/>
      <c r="F5910" s="48" t="str">
        <f>IFERROR(__xludf.DUMMYFUNCTION("""COMPUTED_VALUE"""),"")</f>
        <v/>
      </c>
      <c r="G5910" s="42" t="str">
        <f>IFERROR(__xludf.DUMMYFUNCTION("""COMPUTED_VALUE"""),"BN JUAL-BELI")</f>
        <v>BN JUAL-BELI</v>
      </c>
      <c r="H5910" s="42">
        <f t="shared" si="1"/>
        <v>2630</v>
      </c>
    </row>
    <row r="5911" ht="22.5" customHeight="1">
      <c r="B5911" s="42" t="str">
        <f>IFERROR(__xludf.DUMMYFUNCTION("""COMPUTED_VALUE"""),"K/2/180725/1")</f>
        <v>K/2/180725/1</v>
      </c>
      <c r="C5911" s="42" t="str">
        <f>IFERROR(__xludf.DUMMYFUNCTION("""COMPUTED_VALUE"""),"M.13176/RAJABASA")</f>
        <v>M.13176/RAJABASA</v>
      </c>
      <c r="D5911" s="42" t="str">
        <f>IFERROR(__xludf.DUMMYFUNCTION("""COMPUTED_VALUE"""),"Berry")</f>
        <v>Berry</v>
      </c>
      <c r="E5911" s="42" t="str">
        <f>IFERROR(__xludf.DUMMYFUNCTION("""COMPUTED_VALUE"""),"DISERAHKAN")</f>
        <v>DISERAHKAN</v>
      </c>
      <c r="F5911" s="48">
        <f>IFERROR(__xludf.DUMMYFUNCTION("""COMPUTED_VALUE"""),45888.61460835648)</f>
        <v>45888.61461</v>
      </c>
      <c r="G5911" s="42" t="str">
        <f>IFERROR(__xludf.DUMMYFUNCTION("""COMPUTED_VALUE"""),"ROYA")</f>
        <v>ROYA</v>
      </c>
      <c r="H5911" s="42">
        <f t="shared" si="1"/>
        <v>2631</v>
      </c>
    </row>
    <row r="5912" ht="22.5" customHeight="1">
      <c r="B5912" s="42" t="str">
        <f>IFERROR(__xludf.DUMMYFUNCTION("""COMPUTED_VALUE"""),"K/3/180725/1")</f>
        <v>K/3/180725/1</v>
      </c>
      <c r="C5912" s="42" t="str">
        <f>IFERROR(__xludf.DUMMYFUNCTION("""COMPUTED_VALUE"""),"M. 450/ Kota Sepang")</f>
        <v>M. 450/ Kota Sepang</v>
      </c>
      <c r="D5912" s="42"/>
      <c r="E5912" s="42"/>
      <c r="F5912" s="48" t="str">
        <f>IFERROR(__xludf.DUMMYFUNCTION("""COMPUTED_VALUE"""),"")</f>
        <v/>
      </c>
      <c r="G5912" s="42" t="str">
        <f>IFERROR(__xludf.DUMMYFUNCTION("""COMPUTED_VALUE"""),"BN Jual Beli")</f>
        <v>BN Jual Beli</v>
      </c>
      <c r="H5912" s="42">
        <f t="shared" si="1"/>
        <v>2631</v>
      </c>
    </row>
    <row r="5913" ht="22.5" customHeight="1">
      <c r="B5913" s="42" t="str">
        <f>IFERROR(__xludf.DUMMYFUNCTION("""COMPUTED_VALUE"""),"K/4/180725/1")</f>
        <v>K/4/180725/1</v>
      </c>
      <c r="C5913" s="42" t="str">
        <f>IFERROR(__xludf.DUMMYFUNCTION("""COMPUTED_VALUE"""),"Nibel 18198/ Rajabasa Jaya")</f>
        <v>Nibel 18198/ Rajabasa Jaya</v>
      </c>
      <c r="D5913" s="42"/>
      <c r="E5913" s="42"/>
      <c r="F5913" s="48" t="str">
        <f>IFERROR(__xludf.DUMMYFUNCTION("""COMPUTED_VALUE"""),"")</f>
        <v/>
      </c>
      <c r="G5913" s="42" t="str">
        <f>IFERROR(__xludf.DUMMYFUNCTION("""COMPUTED_VALUE"""),"BN JUAL BELIQ")</f>
        <v>BN JUAL BELIQ</v>
      </c>
      <c r="H5913" s="42">
        <f t="shared" si="1"/>
        <v>2631</v>
      </c>
    </row>
    <row r="5914" ht="22.5" customHeight="1">
      <c r="B5914" s="42" t="str">
        <f>IFERROR(__xludf.DUMMYFUNCTION("""COMPUTED_VALUE"""),"K/5/180725/2")</f>
        <v>K/5/180725/2</v>
      </c>
      <c r="C5914" s="42" t="str">
        <f>IFERROR(__xludf.DUMMYFUNCTION("""COMPUTED_VALUE"""),"Nibel 18163/ Rajabasa Jaya")</f>
        <v>Nibel 18163/ Rajabasa Jaya</v>
      </c>
      <c r="D5914" s="42"/>
      <c r="E5914" s="42"/>
      <c r="F5914" s="48" t="str">
        <f>IFERROR(__xludf.DUMMYFUNCTION("""COMPUTED_VALUE"""),"")</f>
        <v/>
      </c>
      <c r="G5914" s="42" t="str">
        <f>IFERROR(__xludf.DUMMYFUNCTION("""COMPUTED_VALUE"""),"BN JUAL BELI")</f>
        <v>BN JUAL BELI</v>
      </c>
      <c r="H5914" s="42">
        <f t="shared" si="1"/>
        <v>2631</v>
      </c>
    </row>
    <row r="5915" ht="22.5" customHeight="1">
      <c r="B5915" s="42" t="str">
        <f>IFERROR(__xludf.DUMMYFUNCTION("""COMPUTED_VALUE"""),"K/8/180725/2")</f>
        <v>K/8/180725/2</v>
      </c>
      <c r="C5915" s="42" t="str">
        <f>IFERROR(__xludf.DUMMYFUNCTION("""COMPUTED_VALUE"""),"M. 243/ Sukarame Baru")</f>
        <v>M. 243/ Sukarame Baru</v>
      </c>
      <c r="D5915" s="42"/>
      <c r="E5915" s="42"/>
      <c r="F5915" s="48" t="str">
        <f>IFERROR(__xludf.DUMMYFUNCTION("""COMPUTED_VALUE"""),"")</f>
        <v/>
      </c>
      <c r="G5915" s="42" t="str">
        <f>IFERROR(__xludf.DUMMYFUNCTION("""COMPUTED_VALUE"""),"Pemecahan")</f>
        <v>Pemecahan</v>
      </c>
      <c r="H5915" s="42">
        <f t="shared" si="1"/>
        <v>2631</v>
      </c>
    </row>
    <row r="5916" ht="22.5" customHeight="1">
      <c r="B5916" s="42" t="str">
        <f>IFERROR(__xludf.DUMMYFUNCTION("""COMPUTED_VALUE"""),"K/7/180725/1")</f>
        <v>K/7/180725/1</v>
      </c>
      <c r="C5916" s="42" t="str">
        <f>IFERROR(__xludf.DUMMYFUNCTION("""COMPUTED_VALUE"""),"M. 245/ Sukarame Baru")</f>
        <v>M. 245/ Sukarame Baru</v>
      </c>
      <c r="D5916" s="42"/>
      <c r="E5916" s="42"/>
      <c r="F5916" s="48" t="str">
        <f>IFERROR(__xludf.DUMMYFUNCTION("""COMPUTED_VALUE"""),"")</f>
        <v/>
      </c>
      <c r="G5916" s="42" t="str">
        <f>IFERROR(__xludf.DUMMYFUNCTION("""COMPUTED_VALUE"""),"Pemecahan")</f>
        <v>Pemecahan</v>
      </c>
      <c r="H5916" s="42">
        <f t="shared" si="1"/>
        <v>2631</v>
      </c>
    </row>
    <row r="5917" ht="22.5" customHeight="1">
      <c r="B5917" s="42" t="str">
        <f>IFERROR(__xludf.DUMMYFUNCTION("""COMPUTED_VALUE"""),"K/6/180725/1")</f>
        <v>K/6/180725/1</v>
      </c>
      <c r="C5917" s="42" t="str">
        <f>IFERROR(__xludf.DUMMYFUNCTION("""COMPUTED_VALUE"""),"M.12627/SEGALA MIDER ")</f>
        <v>M.12627/SEGALA MIDER </v>
      </c>
      <c r="D5917" s="42" t="str">
        <f>IFERROR(__xludf.DUMMYFUNCTION("""COMPUTED_VALUE"""),"Berry")</f>
        <v>Berry</v>
      </c>
      <c r="E5917" s="42" t="str">
        <f>IFERROR(__xludf.DUMMYFUNCTION("""COMPUTED_VALUE"""),"DISERAHKAN")</f>
        <v>DISERAHKAN</v>
      </c>
      <c r="F5917" s="48">
        <f>IFERROR(__xludf.DUMMYFUNCTION("""COMPUTED_VALUE"""),45880.644524814816)</f>
        <v>45880.64452</v>
      </c>
      <c r="G5917" s="42" t="str">
        <f>IFERROR(__xludf.DUMMYFUNCTION("""COMPUTED_VALUE"""),"JUAL BELI")</f>
        <v>JUAL BELI</v>
      </c>
      <c r="H5917" s="42">
        <f t="shared" si="1"/>
        <v>2632</v>
      </c>
    </row>
    <row r="5918" ht="22.5" customHeight="1">
      <c r="B5918" s="42" t="str">
        <f>IFERROR(__xludf.DUMMYFUNCTION("""COMPUTED_VALUE"""),"K/9/180725/1")</f>
        <v>K/9/180725/1</v>
      </c>
      <c r="C5918" s="42" t="str">
        <f>IFERROR(__xludf.DUMMYFUNCTION("""COMPUTED_VALUE"""),"M.13805/LABUHAN RATU")</f>
        <v>M.13805/LABUHAN RATU</v>
      </c>
      <c r="D5918" s="42"/>
      <c r="E5918" s="42"/>
      <c r="F5918" s="48" t="str">
        <f>IFERROR(__xludf.DUMMYFUNCTION("""COMPUTED_VALUE"""),"")</f>
        <v/>
      </c>
      <c r="G5918" s="42" t="str">
        <f>IFERROR(__xludf.DUMMYFUNCTION("""COMPUTED_VALUE"""),"SKPT ")</f>
        <v>SKPT </v>
      </c>
      <c r="H5918" s="42">
        <f t="shared" si="1"/>
        <v>2632</v>
      </c>
    </row>
    <row r="5919" ht="22.5" customHeight="1">
      <c r="B5919" s="42" t="str">
        <f>IFERROR(__xludf.DUMMYFUNCTION("""COMPUTED_VALUE"""),"K/10/180725/1")</f>
        <v>K/10/180725/1</v>
      </c>
      <c r="C5919" s="42" t="str">
        <f>IFERROR(__xludf.DUMMYFUNCTION("""COMPUTED_VALUE"""),"M. 4705/ Langkapura")</f>
        <v>M. 4705/ Langkapura</v>
      </c>
      <c r="D5919" s="42"/>
      <c r="E5919" s="42"/>
      <c r="F5919" s="48" t="str">
        <f>IFERROR(__xludf.DUMMYFUNCTION("""COMPUTED_VALUE"""),"")</f>
        <v/>
      </c>
      <c r="G5919" s="42" t="str">
        <f>IFERROR(__xludf.DUMMYFUNCTION("""COMPUTED_VALUE"""),"Penataan Batas")</f>
        <v>Penataan Batas</v>
      </c>
      <c r="H5919" s="42">
        <f t="shared" si="1"/>
        <v>2632</v>
      </c>
    </row>
    <row r="5920" ht="22.5" customHeight="1">
      <c r="B5920" s="42" t="str">
        <f>IFERROR(__xludf.DUMMYFUNCTION("""COMPUTED_VALUE"""),"K/11/180725/1")</f>
        <v>K/11/180725/1</v>
      </c>
      <c r="C5920" s="42" t="str">
        <f>IFERROR(__xludf.DUMMYFUNCTION("""COMPUTED_VALUE"""),"M. 2394/SUKADANA HAM")</f>
        <v>M. 2394/SUKADANA HAM</v>
      </c>
      <c r="D5920" s="42"/>
      <c r="E5920" s="42"/>
      <c r="F5920" s="48" t="str">
        <f>IFERROR(__xludf.DUMMYFUNCTION("""COMPUTED_VALUE"""),"")</f>
        <v/>
      </c>
      <c r="G5920" s="42" t="str">
        <f>IFERROR(__xludf.DUMMYFUNCTION("""COMPUTED_VALUE"""),"SKPT LELANG")</f>
        <v>SKPT LELANG</v>
      </c>
      <c r="H5920" s="42">
        <f t="shared" si="1"/>
        <v>2632</v>
      </c>
    </row>
    <row r="5921" ht="22.5" customHeight="1">
      <c r="B5921" s="42" t="str">
        <f>IFERROR(__xludf.DUMMYFUNCTION("""COMPUTED_VALUE"""),"K/12/180725/2")</f>
        <v>K/12/180725/2</v>
      </c>
      <c r="C5921" s="42" t="str">
        <f>IFERROR(__xludf.DUMMYFUNCTION("""COMPUTED_VALUE"""),"M. 2392/SUKADANA HAM")</f>
        <v>M. 2392/SUKADANA HAM</v>
      </c>
      <c r="D5921" s="42"/>
      <c r="E5921" s="42"/>
      <c r="F5921" s="48" t="str">
        <f>IFERROR(__xludf.DUMMYFUNCTION("""COMPUTED_VALUE"""),"")</f>
        <v/>
      </c>
      <c r="G5921" s="42" t="str">
        <f>IFERROR(__xludf.DUMMYFUNCTION("""COMPUTED_VALUE"""),"SKPT LELANG")</f>
        <v>SKPT LELANG</v>
      </c>
      <c r="H5921" s="42">
        <f t="shared" si="1"/>
        <v>2632</v>
      </c>
    </row>
    <row r="5922" ht="22.5" customHeight="1">
      <c r="B5922" s="42" t="str">
        <f>IFERROR(__xludf.DUMMYFUNCTION("""COMPUTED_VALUE"""),"K/13/180725/3")</f>
        <v>K/13/180725/3</v>
      </c>
      <c r="C5922" s="42" t="str">
        <f>IFERROR(__xludf.DUMMYFUNCTION("""COMPUTED_VALUE"""),"M. 15323 / SUKARAME")</f>
        <v>M. 15323 / SUKARAME</v>
      </c>
      <c r="D5922" s="42"/>
      <c r="E5922" s="42"/>
      <c r="F5922" s="48" t="str">
        <f>IFERROR(__xludf.DUMMYFUNCTION("""COMPUTED_VALUE"""),"")</f>
        <v/>
      </c>
      <c r="G5922" s="42" t="str">
        <f>IFERROR(__xludf.DUMMYFUNCTION("""COMPUTED_VALUE"""),"SKPT LELANG")</f>
        <v>SKPT LELANG</v>
      </c>
      <c r="H5922" s="42">
        <f t="shared" si="1"/>
        <v>2632</v>
      </c>
    </row>
    <row r="5923" ht="22.5" customHeight="1">
      <c r="B5923" s="42" t="str">
        <f>IFERROR(__xludf.DUMMYFUNCTION("""COMPUTED_VALUE"""),"K/15/180725/1")</f>
        <v>K/15/180725/1</v>
      </c>
      <c r="C5923" s="42" t="str">
        <f>IFERROR(__xludf.DUMMYFUNCTION("""COMPUTED_VALUE"""),"B. 2413/ Campang Jaya")</f>
        <v>B. 2413/ Campang Jaya</v>
      </c>
      <c r="D5923" s="42" t="str">
        <f>IFERROR(__xludf.DUMMYFUNCTION("""COMPUTED_VALUE"""),"Berry")</f>
        <v>Berry</v>
      </c>
      <c r="E5923" s="42" t="str">
        <f>IFERROR(__xludf.DUMMYFUNCTION("""COMPUTED_VALUE"""),"DISERAHKAN")</f>
        <v>DISERAHKAN</v>
      </c>
      <c r="F5923" s="48">
        <f>IFERROR(__xludf.DUMMYFUNCTION("""COMPUTED_VALUE"""),45882.63826576389)</f>
        <v>45882.63827</v>
      </c>
      <c r="G5923" s="42" t="str">
        <f>IFERROR(__xludf.DUMMYFUNCTION("""COMPUTED_VALUE"""),"BN Jual Beli")</f>
        <v>BN Jual Beli</v>
      </c>
      <c r="H5923" s="42">
        <f t="shared" si="1"/>
        <v>2633</v>
      </c>
    </row>
    <row r="5924" ht="22.5" customHeight="1">
      <c r="B5924" s="42" t="str">
        <f>IFERROR(__xludf.DUMMYFUNCTION("""COMPUTED_VALUE"""),"K/14/180725/1")</f>
        <v>K/14/180725/1</v>
      </c>
      <c r="C5924" s="42" t="str">
        <f>IFERROR(__xludf.DUMMYFUNCTION("""COMPUTED_VALUE"""),"M. 4797/ LANGKAPURA")</f>
        <v>M. 4797/ LANGKAPURA</v>
      </c>
      <c r="D5924" s="42"/>
      <c r="E5924" s="42"/>
      <c r="F5924" s="48" t="str">
        <f>IFERROR(__xludf.DUMMYFUNCTION("""COMPUTED_VALUE"""),"")</f>
        <v/>
      </c>
      <c r="G5924" s="42" t="str">
        <f>IFERROR(__xludf.DUMMYFUNCTION("""COMPUTED_VALUE"""),"BN JUAL BELI")</f>
        <v>BN JUAL BELI</v>
      </c>
      <c r="H5924" s="42">
        <f t="shared" si="1"/>
        <v>2633</v>
      </c>
    </row>
    <row r="5925" ht="22.5" customHeight="1">
      <c r="B5925" s="42" t="str">
        <f>IFERROR(__xludf.DUMMYFUNCTION("""COMPUTED_VALUE"""),"K/16/180725/1")</f>
        <v>K/16/180725/1</v>
      </c>
      <c r="C5925" s="42" t="str">
        <f>IFERROR(__xludf.DUMMYFUNCTION("""COMPUTED_VALUE"""),"NIBEL M 21740/PALAPA")</f>
        <v>NIBEL M 21740/PALAPA</v>
      </c>
      <c r="D5925" s="42"/>
      <c r="E5925" s="42"/>
      <c r="F5925" s="48" t="str">
        <f>IFERROR(__xludf.DUMMYFUNCTION("""COMPUTED_VALUE"""),"")</f>
        <v/>
      </c>
      <c r="G5925" s="42" t="str">
        <f>IFERROR(__xludf.DUMMYFUNCTION("""COMPUTED_VALUE"""),"APHB")</f>
        <v>APHB</v>
      </c>
      <c r="H5925" s="42">
        <f t="shared" si="1"/>
        <v>2633</v>
      </c>
    </row>
    <row r="5926" ht="22.5" customHeight="1">
      <c r="B5926" s="42" t="str">
        <f>IFERROR(__xludf.DUMMYFUNCTION("""COMPUTED_VALUE"""),"K/17/180725/1")</f>
        <v>K/17/180725/1</v>
      </c>
      <c r="C5926" s="42" t="str">
        <f>IFERROR(__xludf.DUMMYFUNCTION("""COMPUTED_VALUE"""),"M. 9057/ Surabaya")</f>
        <v>M. 9057/ Surabaya</v>
      </c>
      <c r="D5926" s="42"/>
      <c r="E5926" s="42"/>
      <c r="F5926" s="48" t="str">
        <f>IFERROR(__xludf.DUMMYFUNCTION("""COMPUTED_VALUE"""),"")</f>
        <v/>
      </c>
      <c r="G5926" s="42" t="str">
        <f>IFERROR(__xludf.DUMMYFUNCTION("""COMPUTED_VALUE"""),"PTPGT PEMECAHAN")</f>
        <v>PTPGT PEMECAHAN</v>
      </c>
      <c r="H5926" s="42">
        <f t="shared" si="1"/>
        <v>2633</v>
      </c>
    </row>
    <row r="5927" ht="22.5" customHeight="1">
      <c r="B5927" s="42" t="str">
        <f>IFERROR(__xludf.DUMMYFUNCTION("""COMPUTED_VALUE"""),"K/18/180725/1")</f>
        <v>K/18/180725/1</v>
      </c>
      <c r="C5927" s="42" t="str">
        <f>IFERROR(__xludf.DUMMYFUNCTION("""COMPUTED_VALUE"""),"M. 542/ Labuhan Dalam")</f>
        <v>M. 542/ Labuhan Dalam</v>
      </c>
      <c r="D5927" s="42" t="str">
        <f>IFERROR(__xludf.DUMMYFUNCTION("""COMPUTED_VALUE"""),"Berry")</f>
        <v>Berry</v>
      </c>
      <c r="E5927" s="42" t="str">
        <f>IFERROR(__xludf.DUMMYFUNCTION("""COMPUTED_VALUE"""),"DISERAHKAN")</f>
        <v>DISERAHKAN</v>
      </c>
      <c r="F5927" s="48">
        <f>IFERROR(__xludf.DUMMYFUNCTION("""COMPUTED_VALUE"""),45874.64588946759)</f>
        <v>45874.64589</v>
      </c>
      <c r="G5927" s="42" t="str">
        <f>IFERROR(__xludf.DUMMYFUNCTION("""COMPUTED_VALUE"""),"BN Jual Beli")</f>
        <v>BN Jual Beli</v>
      </c>
      <c r="H5927" s="42">
        <f t="shared" si="1"/>
        <v>2634</v>
      </c>
    </row>
    <row r="5928" ht="22.5" customHeight="1">
      <c r="B5928" s="42" t="str">
        <f>IFERROR(__xludf.DUMMYFUNCTION("""COMPUTED_VALUE"""),"K/19/180725/1")</f>
        <v>K/19/180725/1</v>
      </c>
      <c r="C5928" s="42" t="str">
        <f>IFERROR(__xludf.DUMMYFUNCTION("""COMPUTED_VALUE"""),"M. 11263/ Tanjung Baru")</f>
        <v>M. 11263/ Tanjung Baru</v>
      </c>
      <c r="D5928" s="42" t="str">
        <f>IFERROR(__xludf.DUMMYFUNCTION("""COMPUTED_VALUE"""),"Berry")</f>
        <v>Berry</v>
      </c>
      <c r="E5928" s="42" t="str">
        <f>IFERROR(__xludf.DUMMYFUNCTION("""COMPUTED_VALUE"""),"DISERAHKAN")</f>
        <v>DISERAHKAN</v>
      </c>
      <c r="F5928" s="48">
        <f>IFERROR(__xludf.DUMMYFUNCTION("""COMPUTED_VALUE"""),45894.58412262732)</f>
        <v>45894.58412</v>
      </c>
      <c r="G5928" s="42" t="str">
        <f>IFERROR(__xludf.DUMMYFUNCTION("""COMPUTED_VALUE"""),"BN WARIS")</f>
        <v>BN WARIS</v>
      </c>
      <c r="H5928" s="42">
        <f t="shared" si="1"/>
        <v>2635</v>
      </c>
    </row>
    <row r="5929" ht="22.5" customHeight="1">
      <c r="B5929" s="42" t="str">
        <f>IFERROR(__xludf.DUMMYFUNCTION("""COMPUTED_VALUE"""),"K/20/180725/1")</f>
        <v>K/20/180725/1</v>
      </c>
      <c r="C5929" s="42" t="str">
        <f>IFERROR(__xludf.DUMMYFUNCTION("""COMPUTED_VALUE"""),"Nibel. B. 2926/ Sukabumi")</f>
        <v>Nibel. B. 2926/ Sukabumi</v>
      </c>
      <c r="D5929" s="42"/>
      <c r="E5929" s="42"/>
      <c r="F5929" s="48" t="str">
        <f>IFERROR(__xludf.DUMMYFUNCTION("""COMPUTED_VALUE"""),"")</f>
        <v/>
      </c>
      <c r="G5929" s="42" t="str">
        <f>IFERROR(__xludf.DUMMYFUNCTION("""COMPUTED_VALUE"""),"Perubahan Hak")</f>
        <v>Perubahan Hak</v>
      </c>
      <c r="H5929" s="42">
        <f t="shared" si="1"/>
        <v>2635</v>
      </c>
    </row>
    <row r="5930" ht="22.5" customHeight="1">
      <c r="B5930" s="42" t="str">
        <f>IFERROR(__xludf.DUMMYFUNCTION("""COMPUTED_VALUE"""),"L/22/180725/1")</f>
        <v>L/22/180725/1</v>
      </c>
      <c r="C5930" s="42" t="str">
        <f>IFERROR(__xludf.DUMMYFUNCTION("""COMPUTED_VALUE"""),"HGB 14/RAJABASA JAYA")</f>
        <v>HGB 14/RAJABASA JAYA</v>
      </c>
      <c r="D5930" s="42"/>
      <c r="E5930" s="42"/>
      <c r="F5930" s="48" t="str">
        <f>IFERROR(__xludf.DUMMYFUNCTION("""COMPUTED_VALUE"""),"")</f>
        <v/>
      </c>
      <c r="G5930" s="42" t="str">
        <f>IFERROR(__xludf.DUMMYFUNCTION("""COMPUTED_VALUE"""),"PH")</f>
        <v>PH</v>
      </c>
      <c r="H5930" s="42">
        <f t="shared" si="1"/>
        <v>2635</v>
      </c>
    </row>
    <row r="5931" ht="22.5" customHeight="1">
      <c r="B5931" s="42" t="str">
        <f>IFERROR(__xludf.DUMMYFUNCTION("""COMPUTED_VALUE"""),"K/21/180725/1")</f>
        <v>K/21/180725/1</v>
      </c>
      <c r="C5931" s="42" t="str">
        <f>IFERROR(__xludf.DUMMYFUNCTION("""COMPUTED_VALUE"""),"M. 862/ Korpri Jaya")</f>
        <v>M. 862/ Korpri Jaya</v>
      </c>
      <c r="D5931" s="42" t="str">
        <f>IFERROR(__xludf.DUMMYFUNCTION("""COMPUTED_VALUE"""),"Berry")</f>
        <v>Berry</v>
      </c>
      <c r="E5931" s="42" t="str">
        <f>IFERROR(__xludf.DUMMYFUNCTION("""COMPUTED_VALUE"""),"DISERAHKAN")</f>
        <v>DISERAHKAN</v>
      </c>
      <c r="F5931" s="48">
        <f>IFERROR(__xludf.DUMMYFUNCTION("""COMPUTED_VALUE"""),45908.63366287037)</f>
        <v>45908.63366</v>
      </c>
      <c r="G5931" s="42" t="str">
        <f>IFERROR(__xludf.DUMMYFUNCTION("""COMPUTED_VALUE"""),"BN WARIS")</f>
        <v>BN WARIS</v>
      </c>
      <c r="H5931" s="42">
        <f t="shared" si="1"/>
        <v>2636</v>
      </c>
    </row>
    <row r="5932" ht="22.5" customHeight="1">
      <c r="B5932" s="42" t="str">
        <f>IFERROR(__xludf.DUMMYFUNCTION("""COMPUTED_VALUE"""),"L/23/180725/1")</f>
        <v>L/23/180725/1</v>
      </c>
      <c r="C5932" s="42" t="str">
        <f>IFERROR(__xludf.DUMMYFUNCTION("""COMPUTED_VALUE"""),"HM 12146JAGABAYA II")</f>
        <v>HM 12146JAGABAYA II</v>
      </c>
      <c r="D5932" s="42" t="str">
        <f>IFERROR(__xludf.DUMMYFUNCTION("""COMPUTED_VALUE"""),"David")</f>
        <v>David</v>
      </c>
      <c r="E5932" s="42" t="str">
        <f>IFERROR(__xludf.DUMMYFUNCTION("""COMPUTED_VALUE"""),"DISERAHKAN")</f>
        <v>DISERAHKAN</v>
      </c>
      <c r="F5932" s="48">
        <f>IFERROR(__xludf.DUMMYFUNCTION("""COMPUTED_VALUE"""),45915.50043241898)</f>
        <v>45915.50043</v>
      </c>
      <c r="G5932" s="42" t="str">
        <f>IFERROR(__xludf.DUMMYFUNCTION("""COMPUTED_VALUE"""),"ROYA")</f>
        <v>ROYA</v>
      </c>
      <c r="H5932" s="42">
        <f t="shared" si="1"/>
        <v>2637</v>
      </c>
    </row>
    <row r="5933" ht="22.5" customHeight="1">
      <c r="B5933" s="42" t="str">
        <f>IFERROR(__xludf.DUMMYFUNCTION("""COMPUTED_VALUE"""),"K/24/180725/1")</f>
        <v>K/24/180725/1</v>
      </c>
      <c r="C5933" s="42" t="str">
        <f>IFERROR(__xludf.DUMMYFUNCTION("""COMPUTED_VALUE"""),"NIBEL B.449/SUMBER AGUNG")</f>
        <v>NIBEL B.449/SUMBER AGUNG</v>
      </c>
      <c r="D5933" s="42"/>
      <c r="E5933" s="42"/>
      <c r="F5933" s="48" t="str">
        <f>IFERROR(__xludf.DUMMYFUNCTION("""COMPUTED_VALUE"""),"")</f>
        <v/>
      </c>
      <c r="G5933" s="42" t="str">
        <f>IFERROR(__xludf.DUMMYFUNCTION("""COMPUTED_VALUE"""),"JUAL BELI")</f>
        <v>JUAL BELI</v>
      </c>
      <c r="H5933" s="42">
        <f t="shared" si="1"/>
        <v>2637</v>
      </c>
    </row>
    <row r="5934" ht="22.5" customHeight="1">
      <c r="B5934" s="42" t="str">
        <f>IFERROR(__xludf.DUMMYFUNCTION("""COMPUTED_VALUE"""),"K/25/180725/1")</f>
        <v>K/25/180725/1</v>
      </c>
      <c r="C5934" s="42" t="str">
        <f>IFERROR(__xludf.DUMMYFUNCTION("""COMPUTED_VALUE"""),"M. 11078/ Sukabumi")</f>
        <v>M. 11078/ Sukabumi</v>
      </c>
      <c r="D5934" s="42" t="str">
        <f>IFERROR(__xludf.DUMMYFUNCTION("""COMPUTED_VALUE"""),"Berry")</f>
        <v>Berry</v>
      </c>
      <c r="E5934" s="42" t="str">
        <f>IFERROR(__xludf.DUMMYFUNCTION("""COMPUTED_VALUE"""),"DISERAHKAN")</f>
        <v>DISERAHKAN</v>
      </c>
      <c r="F5934" s="48">
        <f>IFERROR(__xludf.DUMMYFUNCTION("""COMPUTED_VALUE"""),45908.63110528935)</f>
        <v>45908.63111</v>
      </c>
      <c r="G5934" s="42" t="str">
        <f>IFERROR(__xludf.DUMMYFUNCTION("""COMPUTED_VALUE"""),"BN JUAL BELI")</f>
        <v>BN JUAL BELI</v>
      </c>
      <c r="H5934" s="42">
        <f t="shared" si="1"/>
        <v>2638</v>
      </c>
    </row>
    <row r="5935" ht="22.5" customHeight="1">
      <c r="B5935" s="42" t="str">
        <f>IFERROR(__xludf.DUMMYFUNCTION("""COMPUTED_VALUE"""),"K/30/180725/1")</f>
        <v>K/30/180725/1</v>
      </c>
      <c r="C5935" s="42" t="str">
        <f>IFERROR(__xludf.DUMMYFUNCTION("""COMPUTED_VALUE"""),"M. 2614/ Pinang Jaya")</f>
        <v>M. 2614/ Pinang Jaya</v>
      </c>
      <c r="D5935" s="42"/>
      <c r="E5935" s="42"/>
      <c r="F5935" s="48" t="str">
        <f>IFERROR(__xludf.DUMMYFUNCTION("""COMPUTED_VALUE"""),"")</f>
        <v/>
      </c>
      <c r="G5935" s="42" t="str">
        <f>IFERROR(__xludf.DUMMYFUNCTION("""COMPUTED_VALUE"""),"BN Jual Beli")</f>
        <v>BN Jual Beli</v>
      </c>
      <c r="H5935" s="42">
        <f t="shared" si="1"/>
        <v>2638</v>
      </c>
    </row>
    <row r="5936" ht="22.5" customHeight="1">
      <c r="B5936" s="42" t="str">
        <f>IFERROR(__xludf.DUMMYFUNCTION("""COMPUTED_VALUE"""),"K/31/180725/2")</f>
        <v>K/31/180725/2</v>
      </c>
      <c r="C5936" s="42" t="str">
        <f>IFERROR(__xludf.DUMMYFUNCTION("""COMPUTED_VALUE"""),"Nibel. M. 3285/ Rajabasa Pemuka")</f>
        <v>Nibel. M. 3285/ Rajabasa Pemuka</v>
      </c>
      <c r="D5936" s="42"/>
      <c r="E5936" s="42"/>
      <c r="F5936" s="48" t="str">
        <f>IFERROR(__xludf.DUMMYFUNCTION("""COMPUTED_VALUE"""),"")</f>
        <v/>
      </c>
      <c r="G5936" s="42" t="str">
        <f>IFERROR(__xludf.DUMMYFUNCTION("""COMPUTED_VALUE"""),"BN Jual Beli")</f>
        <v>BN Jual Beli</v>
      </c>
      <c r="H5936" s="42">
        <f t="shared" si="1"/>
        <v>2638</v>
      </c>
    </row>
    <row r="5937" ht="22.5" customHeight="1">
      <c r="B5937" s="42" t="str">
        <f>IFERROR(__xludf.DUMMYFUNCTION("""COMPUTED_VALUE"""),"K/26/180725/2")</f>
        <v>K/26/180725/2</v>
      </c>
      <c r="C5937" s="42" t="str">
        <f>IFERROR(__xludf.DUMMYFUNCTION("""COMPUTED_VALUE"""),"M. 16320/ Sukabumi")</f>
        <v>M. 16320/ Sukabumi</v>
      </c>
      <c r="D5937" s="42" t="str">
        <f>IFERROR(__xludf.DUMMYFUNCTION("""COMPUTED_VALUE"""),"Berry")</f>
        <v>Berry</v>
      </c>
      <c r="E5937" s="42" t="str">
        <f>IFERROR(__xludf.DUMMYFUNCTION("""COMPUTED_VALUE"""),"DISERAHKAN")</f>
        <v>DISERAHKAN</v>
      </c>
      <c r="F5937" s="48">
        <f>IFERROR(__xludf.DUMMYFUNCTION("""COMPUTED_VALUE"""),45894.58262064814)</f>
        <v>45894.58262</v>
      </c>
      <c r="G5937" s="42" t="str">
        <f>IFERROR(__xludf.DUMMYFUNCTION("""COMPUTED_VALUE"""),"BN JUAL BELI")</f>
        <v>BN JUAL BELI</v>
      </c>
      <c r="H5937" s="42">
        <f t="shared" si="1"/>
        <v>2639</v>
      </c>
    </row>
    <row r="5938" ht="22.5" customHeight="1">
      <c r="B5938" s="42" t="str">
        <f>IFERROR(__xludf.DUMMYFUNCTION("""COMPUTED_VALUE"""),"K/33/180725/1")</f>
        <v>K/33/180725/1</v>
      </c>
      <c r="C5938" s="42" t="str">
        <f>IFERROR(__xludf.DUMMYFUNCTION("""COMPUTED_VALUE"""),"PBT 105/2025 /KEDAUNG")</f>
        <v>PBT 105/2025 /KEDAUNG</v>
      </c>
      <c r="D5938" s="42"/>
      <c r="E5938" s="42"/>
      <c r="F5938" s="48" t="str">
        <f>IFERROR(__xludf.DUMMYFUNCTION("""COMPUTED_VALUE"""),"")</f>
        <v/>
      </c>
      <c r="G5938" s="42" t="str">
        <f>IFERROR(__xludf.DUMMYFUNCTION("""COMPUTED_VALUE"""),"PTPGT TANAH MENTAH")</f>
        <v>PTPGT TANAH MENTAH</v>
      </c>
      <c r="H5938" s="42">
        <f t="shared" si="1"/>
        <v>2639</v>
      </c>
    </row>
    <row r="5939" ht="22.5" customHeight="1">
      <c r="B5939" s="42" t="str">
        <f>IFERROR(__xludf.DUMMYFUNCTION("""COMPUTED_VALUE"""),"K/32/180725/2")</f>
        <v>K/32/180725/2</v>
      </c>
      <c r="C5939" s="42" t="str">
        <f>IFERROR(__xludf.DUMMYFUNCTION("""COMPUTED_VALUE"""),"NIBEL B.458/SUMBER AGUNG")</f>
        <v>NIBEL B.458/SUMBER AGUNG</v>
      </c>
      <c r="D5939" s="42"/>
      <c r="E5939" s="42"/>
      <c r="F5939" s="48" t="str">
        <f>IFERROR(__xludf.DUMMYFUNCTION("""COMPUTED_VALUE"""),"")</f>
        <v/>
      </c>
      <c r="G5939" s="42" t="str">
        <f>IFERROR(__xludf.DUMMYFUNCTION("""COMPUTED_VALUE"""),"JUAL BELI")</f>
        <v>JUAL BELI</v>
      </c>
      <c r="H5939" s="42">
        <f t="shared" si="1"/>
        <v>2639</v>
      </c>
    </row>
    <row r="5940" ht="22.5" customHeight="1">
      <c r="B5940" s="42" t="str">
        <f>IFERROR(__xludf.DUMMYFUNCTION("""COMPUTED_VALUE"""),"K/27/180725/3")</f>
        <v>K/27/180725/3</v>
      </c>
      <c r="C5940" s="42" t="str">
        <f>IFERROR(__xludf.DUMMYFUNCTION("""COMPUTED_VALUE"""),"M. 2219/ Tanjung Seneng")</f>
        <v>M. 2219/ Tanjung Seneng</v>
      </c>
      <c r="D5940" s="42" t="str">
        <f>IFERROR(__xludf.DUMMYFUNCTION("""COMPUTED_VALUE"""),"Berry")</f>
        <v>Berry</v>
      </c>
      <c r="E5940" s="42" t="str">
        <f>IFERROR(__xludf.DUMMYFUNCTION("""COMPUTED_VALUE"""),"DISERAHKAN")</f>
        <v>DISERAHKAN</v>
      </c>
      <c r="F5940" s="48">
        <f>IFERROR(__xludf.DUMMYFUNCTION("""COMPUTED_VALUE"""),45889.53571214121)</f>
        <v>45889.53571</v>
      </c>
      <c r="G5940" s="42" t="str">
        <f>IFERROR(__xludf.DUMMYFUNCTION("""COMPUTED_VALUE"""),"ROYA")</f>
        <v>ROYA</v>
      </c>
      <c r="H5940" s="42">
        <f t="shared" si="1"/>
        <v>2640</v>
      </c>
    </row>
    <row r="5941" ht="22.5" customHeight="1">
      <c r="B5941" s="42" t="str">
        <f>IFERROR(__xludf.DUMMYFUNCTION("""COMPUTED_VALUE"""),"K/34/180725/1")</f>
        <v>K/34/180725/1</v>
      </c>
      <c r="C5941" s="42" t="str">
        <f>IFERROR(__xludf.DUMMYFUNCTION("""COMPUTED_VALUE"""),"M.15008/RAJABASA")</f>
        <v>M.15008/RAJABASA</v>
      </c>
      <c r="D5941" s="42" t="str">
        <f>IFERROR(__xludf.DUMMYFUNCTION("""COMPUTED_VALUE"""),"Berry")</f>
        <v>Berry</v>
      </c>
      <c r="E5941" s="42" t="str">
        <f>IFERROR(__xludf.DUMMYFUNCTION("""COMPUTED_VALUE"""),"DISERAHKAN")</f>
        <v>DISERAHKAN</v>
      </c>
      <c r="F5941" s="48">
        <f>IFERROR(__xludf.DUMMYFUNCTION("""COMPUTED_VALUE"""),45880.715402013884)</f>
        <v>45880.7154</v>
      </c>
      <c r="G5941" s="42" t="str">
        <f>IFERROR(__xludf.DUMMYFUNCTION("""COMPUTED_VALUE"""),"JUAL BELI")</f>
        <v>JUAL BELI</v>
      </c>
      <c r="H5941" s="42">
        <f t="shared" si="1"/>
        <v>2641</v>
      </c>
    </row>
    <row r="5942" ht="22.5" customHeight="1">
      <c r="B5942" s="42" t="str">
        <f>IFERROR(__xludf.DUMMYFUNCTION("""COMPUTED_VALUE"""),"K/35/180725/2")</f>
        <v>K/35/180725/2</v>
      </c>
      <c r="C5942" s="42" t="str">
        <f>IFERROR(__xludf.DUMMYFUNCTION("""COMPUTED_VALUE"""),"NIBEL M 21584/SEGALA MIDER")</f>
        <v>NIBEL M 21584/SEGALA MIDER</v>
      </c>
      <c r="D5942" s="42"/>
      <c r="E5942" s="42"/>
      <c r="F5942" s="48" t="str">
        <f>IFERROR(__xludf.DUMMYFUNCTION("""COMPUTED_VALUE"""),"")</f>
        <v/>
      </c>
      <c r="G5942" s="42" t="str">
        <f>IFERROR(__xludf.DUMMYFUNCTION("""COMPUTED_VALUE"""),"JUAL BELI")</f>
        <v>JUAL BELI</v>
      </c>
      <c r="H5942" s="42">
        <f t="shared" si="1"/>
        <v>2641</v>
      </c>
    </row>
    <row r="5943" ht="22.5" customHeight="1">
      <c r="B5943" s="42" t="str">
        <f>IFERROR(__xludf.DUMMYFUNCTION("""COMPUTED_VALUE"""),"K/36/180725/1")</f>
        <v>K/36/180725/1</v>
      </c>
      <c r="C5943" s="42" t="str">
        <f>IFERROR(__xludf.DUMMYFUNCTION("""COMPUTED_VALUE"""),"M.6557/TANJUNG SENENG")</f>
        <v>M.6557/TANJUNG SENENG</v>
      </c>
      <c r="D5943" s="42" t="str">
        <f>IFERROR(__xludf.DUMMYFUNCTION("""COMPUTED_VALUE"""),"David")</f>
        <v>David</v>
      </c>
      <c r="E5943" s="42" t="str">
        <f>IFERROR(__xludf.DUMMYFUNCTION("""COMPUTED_VALUE"""),"DISERAHKAN")</f>
        <v>DISERAHKAN</v>
      </c>
      <c r="F5943" s="48">
        <f>IFERROR(__xludf.DUMMYFUNCTION("""COMPUTED_VALUE"""),45883.66319421296)</f>
        <v>45883.66319</v>
      </c>
      <c r="G5943" s="42" t="str">
        <f>IFERROR(__xludf.DUMMYFUNCTION("""COMPUTED_VALUE"""),"JUAL BELI")</f>
        <v>JUAL BELI</v>
      </c>
      <c r="H5943" s="42">
        <f t="shared" si="1"/>
        <v>2642</v>
      </c>
    </row>
    <row r="5944" ht="22.5" customHeight="1">
      <c r="B5944" s="42" t="str">
        <f>IFERROR(__xludf.DUMMYFUNCTION("""COMPUTED_VALUE"""),"K/37/180725/1")</f>
        <v>K/37/180725/1</v>
      </c>
      <c r="C5944" s="42" t="str">
        <f>IFERROR(__xludf.DUMMYFUNCTION("""COMPUTED_VALUE"""),"M.1522/GUNUNG TERANG")</f>
        <v>M.1522/GUNUNG TERANG</v>
      </c>
      <c r="D5944" s="42"/>
      <c r="E5944" s="42"/>
      <c r="F5944" s="48" t="str">
        <f>IFERROR(__xludf.DUMMYFUNCTION("""COMPUTED_VALUE"""),"")</f>
        <v/>
      </c>
      <c r="G5944" s="42" t="str">
        <f>IFERROR(__xludf.DUMMYFUNCTION("""COMPUTED_VALUE"""),"JUAL BELI")</f>
        <v>JUAL BELI</v>
      </c>
      <c r="H5944" s="42">
        <f t="shared" si="1"/>
        <v>2642</v>
      </c>
    </row>
    <row r="5945" ht="22.5" customHeight="1">
      <c r="B5945" s="42" t="str">
        <f>IFERROR(__xludf.DUMMYFUNCTION("""COMPUTED_VALUE"""),"K/39/180725/1")</f>
        <v>K/39/180725/1</v>
      </c>
      <c r="C5945" s="42" t="str">
        <f>IFERROR(__xludf.DUMMYFUNCTION("""COMPUTED_VALUE"""),"M. 1738/ Labuhan Ratu Raya")</f>
        <v>M. 1738/ Labuhan Ratu Raya</v>
      </c>
      <c r="D5945" s="42"/>
      <c r="E5945" s="42"/>
      <c r="F5945" s="48" t="str">
        <f>IFERROR(__xludf.DUMMYFUNCTION("""COMPUTED_VALUE"""),"")</f>
        <v/>
      </c>
      <c r="G5945" s="42" t="str">
        <f>IFERROR(__xludf.DUMMYFUNCTION("""COMPUTED_VALUE"""),"Hapus BPHTB")</f>
        <v>Hapus BPHTB</v>
      </c>
      <c r="H5945" s="42">
        <f t="shared" si="1"/>
        <v>2642</v>
      </c>
    </row>
    <row r="5946" ht="22.5" customHeight="1">
      <c r="B5946" s="42" t="str">
        <f>IFERROR(__xludf.DUMMYFUNCTION("""COMPUTED_VALUE"""),"K/40/180725/1")</f>
        <v>K/40/180725/1</v>
      </c>
      <c r="C5946" s="42" t="str">
        <f>IFERROR(__xludf.DUMMYFUNCTION("""COMPUTED_VALUE"""),"PBT 47/2024 SUKARAME")</f>
        <v>PBT 47/2024 SUKARAME</v>
      </c>
      <c r="D5946" s="42"/>
      <c r="E5946" s="42"/>
      <c r="F5946" s="48" t="str">
        <f>IFERROR(__xludf.DUMMYFUNCTION("""COMPUTED_VALUE"""),"")</f>
        <v/>
      </c>
      <c r="G5946" s="42" t="str">
        <f>IFERROR(__xludf.DUMMYFUNCTION("""COMPUTED_VALUE"""),"PERMOHONAN SK")</f>
        <v>PERMOHONAN SK</v>
      </c>
      <c r="H5946" s="42">
        <f t="shared" si="1"/>
        <v>2642</v>
      </c>
    </row>
    <row r="5947" ht="22.5" customHeight="1">
      <c r="B5947" s="42" t="str">
        <f>IFERROR(__xludf.DUMMYFUNCTION("""COMPUTED_VALUE"""),"L/1/190725/1")</f>
        <v>L/1/190725/1</v>
      </c>
      <c r="C5947" s="42" t="str">
        <f>IFERROR(__xludf.DUMMYFUNCTION("""COMPUTED_VALUE"""),"SUMBEREJO")</f>
        <v>SUMBEREJO</v>
      </c>
      <c r="D5947" s="42"/>
      <c r="E5947" s="42"/>
      <c r="F5947" s="48" t="str">
        <f>IFERROR(__xludf.DUMMYFUNCTION("""COMPUTED_VALUE"""),"")</f>
        <v/>
      </c>
      <c r="G5947" s="42" t="str">
        <f>IFERROR(__xludf.DUMMYFUNCTION("""COMPUTED_VALUE"""),"PERTAMA KALI")</f>
        <v>PERTAMA KALI</v>
      </c>
      <c r="H5947" s="42">
        <f t="shared" si="1"/>
        <v>2642</v>
      </c>
    </row>
    <row r="5948" ht="22.5" customHeight="1">
      <c r="B5948" s="42" t="str">
        <f>IFERROR(__xludf.DUMMYFUNCTION("""COMPUTED_VALUE"""),"L/3/190726/1")</f>
        <v>L/3/190726/1</v>
      </c>
      <c r="C5948" s="42" t="str">
        <f>IFERROR(__xludf.DUMMYFUNCTION("""COMPUTED_VALUE"""),"M.555/PWH")</f>
        <v>M.555/PWH</v>
      </c>
      <c r="D5948" s="42"/>
      <c r="E5948" s="42"/>
      <c r="F5948" s="48" t="str">
        <f>IFERROR(__xludf.DUMMYFUNCTION("""COMPUTED_VALUE"""),"")</f>
        <v/>
      </c>
      <c r="G5948" s="42" t="str">
        <f>IFERROR(__xludf.DUMMYFUNCTION("""COMPUTED_VALUE"""),"ROYA")</f>
        <v>ROYA</v>
      </c>
      <c r="H5948" s="42">
        <f t="shared" si="1"/>
        <v>2642</v>
      </c>
    </row>
    <row r="5949" ht="22.5" customHeight="1">
      <c r="B5949" s="42" t="str">
        <f>IFERROR(__xludf.DUMMYFUNCTION("""COMPUTED_VALUE"""),"L/4/190726/1")</f>
        <v>L/4/190726/1</v>
      </c>
      <c r="C5949" s="42" t="str">
        <f>IFERROR(__xludf.DUMMYFUNCTION("""COMPUTED_VALUE"""),"M.1016/ENGGAL")</f>
        <v>M.1016/ENGGAL</v>
      </c>
      <c r="D5949" s="42" t="str">
        <f>IFERROR(__xludf.DUMMYFUNCTION("""COMPUTED_VALUE"""),"Berry")</f>
        <v>Berry</v>
      </c>
      <c r="E5949" s="42" t="str">
        <f>IFERROR(__xludf.DUMMYFUNCTION("""COMPUTED_VALUE"""),"DISERAHKAN")</f>
        <v>DISERAHKAN</v>
      </c>
      <c r="F5949" s="48">
        <f>IFERROR(__xludf.DUMMYFUNCTION("""COMPUTED_VALUE"""),45882.63826576389)</f>
        <v>45882.63827</v>
      </c>
      <c r="G5949" s="42" t="str">
        <f>IFERROR(__xludf.DUMMYFUNCTION("""COMPUTED_VALUE"""),"GANTI TAHUN LAHIR")</f>
        <v>GANTI TAHUN LAHIR</v>
      </c>
      <c r="H5949" s="42">
        <f t="shared" si="1"/>
        <v>2643</v>
      </c>
    </row>
    <row r="5950" ht="22.5" customHeight="1">
      <c r="B5950" s="42" t="str">
        <f>IFERROR(__xludf.DUMMYFUNCTION("""COMPUTED_VALUE"""),"L/5/190727/1")</f>
        <v>L/5/190727/1</v>
      </c>
      <c r="C5950" s="42" t="str">
        <f>IFERROR(__xludf.DUMMYFUNCTION("""COMPUTED_VALUE"""),"M.35/KEDAUNG")</f>
        <v>M.35/KEDAUNG</v>
      </c>
      <c r="D5950" s="42"/>
      <c r="E5950" s="42"/>
      <c r="F5950" s="48" t="str">
        <f>IFERROR(__xludf.DUMMYFUNCTION("""COMPUTED_VALUE"""),"")</f>
        <v/>
      </c>
      <c r="G5950" s="42" t="str">
        <f>IFERROR(__xludf.DUMMYFUNCTION("""COMPUTED_VALUE"""),"PTPGT")</f>
        <v>PTPGT</v>
      </c>
      <c r="H5950" s="42">
        <f t="shared" si="1"/>
        <v>2643</v>
      </c>
    </row>
    <row r="5951" ht="22.5" customHeight="1">
      <c r="B5951" s="42" t="str">
        <f>IFERROR(__xludf.DUMMYFUNCTION("""COMPUTED_VALUE"""),"K/38/180725/2")</f>
        <v>K/38/180725/2</v>
      </c>
      <c r="C5951" s="42" t="str">
        <f>IFERROR(__xludf.DUMMYFUNCTION("""COMPUTED_VALUE"""),"NIBEL M.19363/SUKABUMI")</f>
        <v>NIBEL M.19363/SUKABUMI</v>
      </c>
      <c r="D5951" s="42"/>
      <c r="E5951" s="42"/>
      <c r="F5951" s="48" t="str">
        <f>IFERROR(__xludf.DUMMYFUNCTION("""COMPUTED_VALUE"""),"")</f>
        <v/>
      </c>
      <c r="G5951" s="42" t="str">
        <f>IFERROR(__xludf.DUMMYFUNCTION("""COMPUTED_VALUE"""),"JUAL BELI")</f>
        <v>JUAL BELI</v>
      </c>
      <c r="H5951" s="42">
        <f t="shared" si="1"/>
        <v>2643</v>
      </c>
    </row>
    <row r="5952" ht="22.5" customHeight="1">
      <c r="B5952" s="42" t="str">
        <f>IFERROR(__xludf.DUMMYFUNCTION("""COMPUTED_VALUE"""),"K/1/210725/1")</f>
        <v>K/1/210725/1</v>
      </c>
      <c r="C5952" s="42" t="str">
        <f>IFERROR(__xludf.DUMMYFUNCTION("""COMPUTED_VALUE"""),"M.6130/WAY KANDIS ")</f>
        <v>M.6130/WAY KANDIS </v>
      </c>
      <c r="D5952" s="42" t="str">
        <f>IFERROR(__xludf.DUMMYFUNCTION("""COMPUTED_VALUE"""),"David")</f>
        <v>David</v>
      </c>
      <c r="E5952" s="42" t="str">
        <f>IFERROR(__xludf.DUMMYFUNCTION("""COMPUTED_VALUE"""),"DISERAHKAN")</f>
        <v>DISERAHKAN</v>
      </c>
      <c r="F5952" s="48">
        <f>IFERROR(__xludf.DUMMYFUNCTION("""COMPUTED_VALUE"""),45873.62627728009)</f>
        <v>45873.62628</v>
      </c>
      <c r="G5952" s="42" t="str">
        <f>IFERROR(__xludf.DUMMYFUNCTION("""COMPUTED_VALUE"""),"HIBAH")</f>
        <v>HIBAH</v>
      </c>
      <c r="H5952" s="42">
        <f t="shared" si="1"/>
        <v>2644</v>
      </c>
    </row>
    <row r="5953" ht="22.5" customHeight="1">
      <c r="B5953" s="42" t="str">
        <f>IFERROR(__xludf.DUMMYFUNCTION("""COMPUTED_VALUE"""),"K/3/210725/1")</f>
        <v>K/3/210725/1</v>
      </c>
      <c r="C5953" s="42" t="str">
        <f>IFERROR(__xludf.DUMMYFUNCTION("""COMPUTED_VALUE"""),"M. 1712/NEGERI OLOK GADING")</f>
        <v>M. 1712/NEGERI OLOK GADING</v>
      </c>
      <c r="D5953" s="42" t="str">
        <f>IFERROR(__xludf.DUMMYFUNCTION("""COMPUTED_VALUE"""),"David")</f>
        <v>David</v>
      </c>
      <c r="E5953" s="42" t="str">
        <f>IFERROR(__xludf.DUMMYFUNCTION("""COMPUTED_VALUE"""),"DISERAHKAN")</f>
        <v>DISERAHKAN</v>
      </c>
      <c r="F5953" s="48">
        <f>IFERROR(__xludf.DUMMYFUNCTION("""COMPUTED_VALUE"""),45930.600486875)</f>
        <v>45930.60049</v>
      </c>
      <c r="G5953" s="42" t="str">
        <f>IFERROR(__xludf.DUMMYFUNCTION("""COMPUTED_VALUE"""),"ROYA")</f>
        <v>ROYA</v>
      </c>
      <c r="H5953" s="42">
        <f t="shared" si="1"/>
        <v>2645</v>
      </c>
    </row>
    <row r="5954" ht="22.5" customHeight="1">
      <c r="B5954" s="42" t="str">
        <f>IFERROR(__xludf.DUMMYFUNCTION("""COMPUTED_VALUE"""),"K/4/210725/1")</f>
        <v>K/4/210725/1</v>
      </c>
      <c r="C5954" s="42" t="str">
        <f>IFERROR(__xludf.DUMMYFUNCTION("""COMPUTED_VALUE"""),"M. 1276/ Campang Jaya")</f>
        <v>M. 1276/ Campang Jaya</v>
      </c>
      <c r="D5954" s="42"/>
      <c r="E5954" s="42"/>
      <c r="F5954" s="48" t="str">
        <f>IFERROR(__xludf.DUMMYFUNCTION("""COMPUTED_VALUE"""),"")</f>
        <v/>
      </c>
      <c r="G5954" s="42" t="str">
        <f>IFERROR(__xludf.DUMMYFUNCTION("""COMPUTED_VALUE"""),"HAPUS BPHTB")</f>
        <v>HAPUS BPHTB</v>
      </c>
      <c r="H5954" s="42">
        <f t="shared" si="1"/>
        <v>2645</v>
      </c>
    </row>
    <row r="5955" ht="22.5" customHeight="1">
      <c r="B5955" s="42" t="str">
        <f>IFERROR(__xludf.DUMMYFUNCTION("""COMPUTED_VALUE"""),"L/5/210725/1")</f>
        <v>L/5/210725/1</v>
      </c>
      <c r="C5955" s="42" t="str">
        <f>IFERROR(__xludf.DUMMYFUNCTION("""COMPUTED_VALUE"""),"NIB 21742/TALANG")</f>
        <v>NIB 21742/TALANG</v>
      </c>
      <c r="D5955" s="42"/>
      <c r="E5955" s="42"/>
      <c r="F5955" s="48" t="str">
        <f>IFERROR(__xludf.DUMMYFUNCTION("""COMPUTED_VALUE"""),"")</f>
        <v/>
      </c>
      <c r="G5955" s="42" t="str">
        <f>IFERROR(__xludf.DUMMYFUNCTION("""COMPUTED_VALUE"""),"MANSYUR/CS")</f>
        <v>MANSYUR/CS</v>
      </c>
      <c r="H5955" s="42">
        <f t="shared" si="1"/>
        <v>2645</v>
      </c>
    </row>
    <row r="5956" ht="22.5" customHeight="1">
      <c r="B5956" s="42" t="str">
        <f>IFERROR(__xludf.DUMMYFUNCTION("""COMPUTED_VALUE"""),"K/6/210725/1")</f>
        <v>K/6/210725/1</v>
      </c>
      <c r="C5956" s="42" t="str">
        <f>IFERROR(__xludf.DUMMYFUNCTION("""COMPUTED_VALUE"""),"M. 3506/BERINGIN RAYA")</f>
        <v>M. 3506/BERINGIN RAYA</v>
      </c>
      <c r="D5956" s="42"/>
      <c r="E5956" s="42"/>
      <c r="F5956" s="48" t="str">
        <f>IFERROR(__xludf.DUMMYFUNCTION("""COMPUTED_VALUE"""),"")</f>
        <v/>
      </c>
      <c r="G5956" s="42" t="str">
        <f>IFERROR(__xludf.DUMMYFUNCTION("""COMPUTED_VALUE"""),"BN JUAL BELI")</f>
        <v>BN JUAL BELI</v>
      </c>
      <c r="H5956" s="42">
        <f t="shared" si="1"/>
        <v>2645</v>
      </c>
    </row>
    <row r="5957" ht="22.5" customHeight="1">
      <c r="B5957" s="42" t="str">
        <f>IFERROR(__xludf.DUMMYFUNCTION("""COMPUTED_VALUE"""),"K/7/210725/1")</f>
        <v>K/7/210725/1</v>
      </c>
      <c r="C5957" s="42" t="str">
        <f>IFERROR(__xludf.DUMMYFUNCTION("""COMPUTED_VALUE"""),"LANGKAPURA")</f>
        <v>LANGKAPURA</v>
      </c>
      <c r="D5957" s="42"/>
      <c r="E5957" s="42"/>
      <c r="F5957" s="48" t="str">
        <f>IFERROR(__xludf.DUMMYFUNCTION("""COMPUTED_VALUE"""),"")</f>
        <v/>
      </c>
      <c r="G5957" s="42" t="str">
        <f>IFERROR(__xludf.DUMMYFUNCTION("""COMPUTED_VALUE"""),"TANAH MENTAH")</f>
        <v>TANAH MENTAH</v>
      </c>
      <c r="H5957" s="42">
        <f t="shared" si="1"/>
        <v>2645</v>
      </c>
    </row>
    <row r="5958" ht="22.5" customHeight="1">
      <c r="B5958" s="42" t="str">
        <f>IFERROR(__xludf.DUMMYFUNCTION("""COMPUTED_VALUE"""),"K/8/210725/1")</f>
        <v>K/8/210725/1</v>
      </c>
      <c r="C5958" s="42" t="str">
        <f>IFERROR(__xludf.DUMMYFUNCTION("""COMPUTED_VALUE"""),"M.17180/SUKARAME ")</f>
        <v>M.17180/SUKARAME </v>
      </c>
      <c r="D5958" s="42" t="str">
        <f>IFERROR(__xludf.DUMMYFUNCTION("""COMPUTED_VALUE"""),"David")</f>
        <v>David</v>
      </c>
      <c r="E5958" s="42" t="str">
        <f>IFERROR(__xludf.DUMMYFUNCTION("""COMPUTED_VALUE"""),"DISERAHKAN")</f>
        <v>DISERAHKAN</v>
      </c>
      <c r="F5958" s="48">
        <f>IFERROR(__xludf.DUMMYFUNCTION("""COMPUTED_VALUE"""),45880.63084684028)</f>
        <v>45880.63085</v>
      </c>
      <c r="G5958" s="42" t="str">
        <f>IFERROR(__xludf.DUMMYFUNCTION("""COMPUTED_VALUE"""),"JUAL BELI")</f>
        <v>JUAL BELI</v>
      </c>
      <c r="H5958" s="42">
        <f t="shared" si="1"/>
        <v>2646</v>
      </c>
    </row>
    <row r="5959" ht="22.5" customHeight="1">
      <c r="B5959" s="42" t="str">
        <f>IFERROR(__xludf.DUMMYFUNCTION("""COMPUTED_VALUE"""),"K/10/210725/1")</f>
        <v>K/10/210725/1</v>
      </c>
      <c r="C5959" s="42" t="str">
        <f>IFERROR(__xludf.DUMMYFUNCTION("""COMPUTED_VALUE"""),"B. 117/ Sukaraja")</f>
        <v>B. 117/ Sukaraja</v>
      </c>
      <c r="D5959" s="42"/>
      <c r="E5959" s="42"/>
      <c r="F5959" s="48" t="str">
        <f>IFERROR(__xludf.DUMMYFUNCTION("""COMPUTED_VALUE"""),"")</f>
        <v/>
      </c>
      <c r="G5959" s="42" t="str">
        <f>IFERROR(__xludf.DUMMYFUNCTION("""COMPUTED_VALUE"""),"PERUBAHAN HAK YAYASAN")</f>
        <v>PERUBAHAN HAK YAYASAN</v>
      </c>
      <c r="H5959" s="42">
        <f t="shared" si="1"/>
        <v>2646</v>
      </c>
    </row>
    <row r="5960" ht="22.5" customHeight="1">
      <c r="B5960" s="42" t="str">
        <f>IFERROR(__xludf.DUMMYFUNCTION("""COMPUTED_VALUE"""),"K/11/210725/2")</f>
        <v>K/11/210725/2</v>
      </c>
      <c r="C5960" s="42" t="str">
        <f>IFERROR(__xludf.DUMMYFUNCTION("""COMPUTED_VALUE"""),"B. 199/ Sukaraja")</f>
        <v>B. 199/ Sukaraja</v>
      </c>
      <c r="D5960" s="42"/>
      <c r="E5960" s="42"/>
      <c r="F5960" s="48" t="str">
        <f>IFERROR(__xludf.DUMMYFUNCTION("""COMPUTED_VALUE"""),"")</f>
        <v/>
      </c>
      <c r="G5960" s="42" t="str">
        <f>IFERROR(__xludf.DUMMYFUNCTION("""COMPUTED_VALUE"""),"PRUBAHAN HAK YAYASAN")</f>
        <v>PRUBAHAN HAK YAYASAN</v>
      </c>
      <c r="H5960" s="42">
        <f t="shared" si="1"/>
        <v>2646</v>
      </c>
    </row>
    <row r="5961" ht="22.5" customHeight="1">
      <c r="B5961" s="42" t="str">
        <f>IFERROR(__xludf.DUMMYFUNCTION("""COMPUTED_VALUE"""),"K/2/210725/1")</f>
        <v>K/2/210725/1</v>
      </c>
      <c r="C5961" s="42" t="str">
        <f>IFERROR(__xludf.DUMMYFUNCTION("""COMPUTED_VALUE"""),"M. 1028/ Way Gubak")</f>
        <v>M. 1028/ Way Gubak</v>
      </c>
      <c r="D5961" s="42"/>
      <c r="E5961" s="42"/>
      <c r="F5961" s="48" t="str">
        <f>IFERROR(__xludf.DUMMYFUNCTION("""COMPUTED_VALUE"""),"")</f>
        <v/>
      </c>
      <c r="G5961" s="42" t="str">
        <f>IFERROR(__xludf.DUMMYFUNCTION("""COMPUTED_VALUE"""),"Hapus BPHTB")</f>
        <v>Hapus BPHTB</v>
      </c>
      <c r="H5961" s="42">
        <f t="shared" si="1"/>
        <v>2646</v>
      </c>
    </row>
    <row r="5962" ht="22.5" customHeight="1">
      <c r="B5962" s="42" t="str">
        <f>IFERROR(__xludf.DUMMYFUNCTION("""COMPUTED_VALUE"""),"K/12/210725/1")</f>
        <v>K/12/210725/1</v>
      </c>
      <c r="C5962" s="42" t="str">
        <f>IFERROR(__xludf.DUMMYFUNCTION("""COMPUTED_VALUE"""),"Nibel. M. 21164/ Kedamian")</f>
        <v>Nibel. M. 21164/ Kedamian</v>
      </c>
      <c r="D5962" s="42"/>
      <c r="E5962" s="42"/>
      <c r="F5962" s="48" t="str">
        <f>IFERROR(__xludf.DUMMYFUNCTION("""COMPUTED_VALUE"""),"")</f>
        <v/>
      </c>
      <c r="G5962" s="42" t="str">
        <f>IFERROR(__xludf.DUMMYFUNCTION("""COMPUTED_VALUE"""),"PTPGT (Pemecahan)")</f>
        <v>PTPGT (Pemecahan)</v>
      </c>
      <c r="H5962" s="42">
        <f t="shared" si="1"/>
        <v>2646</v>
      </c>
    </row>
    <row r="5963" ht="22.5" customHeight="1">
      <c r="B5963" s="42" t="str">
        <f>IFERROR(__xludf.DUMMYFUNCTION("""COMPUTED_VALUE"""),"L/13/210725/1")</f>
        <v>L/13/210725/1</v>
      </c>
      <c r="C5963" s="42" t="str">
        <f>IFERROR(__xludf.DUMMYFUNCTION("""COMPUTED_VALUE"""),"HM 9909/KAMPUNG BARU")</f>
        <v>HM 9909/KAMPUNG BARU</v>
      </c>
      <c r="D5963" s="42" t="str">
        <f>IFERROR(__xludf.DUMMYFUNCTION("""COMPUTED_VALUE"""),"Berry")</f>
        <v>Berry</v>
      </c>
      <c r="E5963" s="42" t="str">
        <f>IFERROR(__xludf.DUMMYFUNCTION("""COMPUTED_VALUE"""),"DISERAHKAN")</f>
        <v>DISERAHKAN</v>
      </c>
      <c r="F5963" s="48">
        <f>IFERROR(__xludf.DUMMYFUNCTION("""COMPUTED_VALUE"""),45891.59098875)</f>
        <v>45891.59099</v>
      </c>
      <c r="G5963" s="42" t="str">
        <f>IFERROR(__xludf.DUMMYFUNCTION("""COMPUTED_VALUE"""),"ROYA")</f>
        <v>ROYA</v>
      </c>
      <c r="H5963" s="42">
        <f t="shared" si="1"/>
        <v>2647</v>
      </c>
    </row>
    <row r="5964" ht="22.5" customHeight="1">
      <c r="B5964" s="42" t="str">
        <f>IFERROR(__xludf.DUMMYFUNCTION("""COMPUTED_VALUE"""),"K/14/210725/1")</f>
        <v>K/14/210725/1</v>
      </c>
      <c r="C5964" s="42" t="str">
        <f>IFERROR(__xludf.DUMMYFUNCTION("""COMPUTED_VALUE"""),"M. 5353/ Tanjung Senang")</f>
        <v>M. 5353/ Tanjung Senang</v>
      </c>
      <c r="D5964" s="42" t="str">
        <f>IFERROR(__xludf.DUMMYFUNCTION("""COMPUTED_VALUE"""),"Berry")</f>
        <v>Berry</v>
      </c>
      <c r="E5964" s="42" t="str">
        <f>IFERROR(__xludf.DUMMYFUNCTION("""COMPUTED_VALUE"""),"DISERAHKAN")</f>
        <v>DISERAHKAN</v>
      </c>
      <c r="F5964" s="48">
        <f>IFERROR(__xludf.DUMMYFUNCTION("""COMPUTED_VALUE"""),45932.70485184027)</f>
        <v>45932.70485</v>
      </c>
      <c r="G5964" s="42" t="str">
        <f>IFERROR(__xludf.DUMMYFUNCTION("""COMPUTED_VALUE"""),"BN JUAL BELI")</f>
        <v>BN JUAL BELI</v>
      </c>
      <c r="H5964" s="42">
        <f t="shared" si="1"/>
        <v>2648</v>
      </c>
    </row>
    <row r="5965" ht="22.5" customHeight="1">
      <c r="B5965" s="42" t="str">
        <f>IFERROR(__xludf.DUMMYFUNCTION("""COMPUTED_VALUE"""),"K/15/210725/1")</f>
        <v>K/15/210725/1</v>
      </c>
      <c r="C5965" s="42" t="str">
        <f>IFERROR(__xludf.DUMMYFUNCTION("""COMPUTED_VALUE"""),"Nibel 16462/ Labuhan Ratu")</f>
        <v>Nibel 16462/ Labuhan Ratu</v>
      </c>
      <c r="D5965" s="42"/>
      <c r="E5965" s="42"/>
      <c r="F5965" s="48" t="str">
        <f>IFERROR(__xludf.DUMMYFUNCTION("""COMPUTED_VALUE"""),"")</f>
        <v/>
      </c>
      <c r="G5965" s="42" t="str">
        <f>IFERROR(__xludf.DUMMYFUNCTION("""COMPUTED_VALUE"""),"BN JUAL BELI")</f>
        <v>BN JUAL BELI</v>
      </c>
      <c r="H5965" s="42">
        <f t="shared" si="1"/>
        <v>2648</v>
      </c>
    </row>
    <row r="5966" ht="22.5" customHeight="1">
      <c r="B5966" s="42" t="str">
        <f>IFERROR(__xludf.DUMMYFUNCTION("""COMPUTED_VALUE"""),"K/16/210725/1")</f>
        <v>K/16/210725/1</v>
      </c>
      <c r="C5966" s="42" t="str">
        <f>IFERROR(__xludf.DUMMYFUNCTION("""COMPUTED_VALUE"""),"B. 624/ Sumber Agung")</f>
        <v>B. 624/ Sumber Agung</v>
      </c>
      <c r="D5966" s="42" t="str">
        <f>IFERROR(__xludf.DUMMYFUNCTION("""COMPUTED_VALUE"""),"David")</f>
        <v>David</v>
      </c>
      <c r="E5966" s="42" t="str">
        <f>IFERROR(__xludf.DUMMYFUNCTION("""COMPUTED_VALUE"""),"DISERAHKAN")</f>
        <v>DISERAHKAN</v>
      </c>
      <c r="F5966" s="48">
        <f>IFERROR(__xludf.DUMMYFUNCTION("""COMPUTED_VALUE"""),45880.62992673611)</f>
        <v>45880.62993</v>
      </c>
      <c r="G5966" s="42" t="str">
        <f>IFERROR(__xludf.DUMMYFUNCTION("""COMPUTED_VALUE"""),"BN Jual Beli")</f>
        <v>BN Jual Beli</v>
      </c>
      <c r="H5966" s="42">
        <f t="shared" si="1"/>
        <v>2649</v>
      </c>
    </row>
    <row r="5967" ht="22.5" customHeight="1">
      <c r="B5967" s="42" t="str">
        <f>IFERROR(__xludf.DUMMYFUNCTION("""COMPUTED_VALUE"""),"K/17/210725/1")</f>
        <v>K/17/210725/1</v>
      </c>
      <c r="C5967" s="42" t="str">
        <f>IFERROR(__xludf.DUMMYFUNCTION("""COMPUTED_VALUE"""),"M.58/PESAWAHAN DAN M.668/PESAWAHAN")</f>
        <v>M.58/PESAWAHAN DAN M.668/PESAWAHAN</v>
      </c>
      <c r="D5967" s="42"/>
      <c r="E5967" s="42"/>
      <c r="F5967" s="48" t="str">
        <f>IFERROR(__xludf.DUMMYFUNCTION("""COMPUTED_VALUE"""),"")</f>
        <v/>
      </c>
      <c r="G5967" s="42" t="str">
        <f>IFERROR(__xludf.DUMMYFUNCTION("""COMPUTED_VALUE"""),"ROYA")</f>
        <v>ROYA</v>
      </c>
      <c r="H5967" s="42">
        <f t="shared" si="1"/>
        <v>2649</v>
      </c>
    </row>
    <row r="5968" ht="22.5" customHeight="1">
      <c r="B5968" s="42" t="str">
        <f>IFERROR(__xludf.DUMMYFUNCTION("""COMPUTED_VALUE"""),"K/18/210725/2")</f>
        <v>K/18/210725/2</v>
      </c>
      <c r="C5968" s="42" t="str">
        <f>IFERROR(__xludf.DUMMYFUNCTION("""COMPUTED_VALUE"""),"B.611/SUKAMAJU")</f>
        <v>B.611/SUKAMAJU</v>
      </c>
      <c r="D5968" s="42" t="str">
        <f>IFERROR(__xludf.DUMMYFUNCTION("""COMPUTED_VALUE"""),"David")</f>
        <v>David</v>
      </c>
      <c r="E5968" s="42" t="str">
        <f>IFERROR(__xludf.DUMMYFUNCTION("""COMPUTED_VALUE"""),"DISERAHKAN")</f>
        <v>DISERAHKAN</v>
      </c>
      <c r="F5968" s="48">
        <f>IFERROR(__xludf.DUMMYFUNCTION("""COMPUTED_VALUE"""),45880.63180127315)</f>
        <v>45880.6318</v>
      </c>
      <c r="G5968" s="42" t="str">
        <f>IFERROR(__xludf.DUMMYFUNCTION("""COMPUTED_VALUE"""),"JUAL BELI")</f>
        <v>JUAL BELI</v>
      </c>
      <c r="H5968" s="42">
        <f t="shared" si="1"/>
        <v>2650</v>
      </c>
    </row>
    <row r="5969" ht="22.5" customHeight="1">
      <c r="B5969" s="42" t="str">
        <f>IFERROR(__xludf.DUMMYFUNCTION("""COMPUTED_VALUE"""),"K/19/210725/3")</f>
        <v>K/19/210725/3</v>
      </c>
      <c r="C5969" s="42" t="str">
        <f>IFERROR(__xludf.DUMMYFUNCTION("""COMPUTED_VALUE"""),"B.610/SUKAMAJU")</f>
        <v>B.610/SUKAMAJU</v>
      </c>
      <c r="D5969" s="42"/>
      <c r="E5969" s="42"/>
      <c r="F5969" s="48" t="str">
        <f>IFERROR(__xludf.DUMMYFUNCTION("""COMPUTED_VALUE"""),"")</f>
        <v/>
      </c>
      <c r="G5969" s="42" t="str">
        <f>IFERROR(__xludf.DUMMYFUNCTION("""COMPUTED_VALUE"""),"JUAL BELI")</f>
        <v>JUAL BELI</v>
      </c>
      <c r="H5969" s="42">
        <f t="shared" si="1"/>
        <v>2650</v>
      </c>
    </row>
    <row r="5970" ht="22.5" customHeight="1">
      <c r="B5970" s="42" t="str">
        <f>IFERROR(__xludf.DUMMYFUNCTION("""COMPUTED_VALUE"""),"L/20/210725/1")</f>
        <v>L/20/210725/1</v>
      </c>
      <c r="C5970" s="42" t="str">
        <f>IFERROR(__xludf.DUMMYFUNCTION("""COMPUTED_VALUE"""),"HM 2059/SUMBEREJO K")</f>
        <v>HM 2059/SUMBEREJO K</v>
      </c>
      <c r="D5970" s="42" t="str">
        <f>IFERROR(__xludf.DUMMYFUNCTION("""COMPUTED_VALUE"""),"Berry")</f>
        <v>Berry</v>
      </c>
      <c r="E5970" s="42" t="str">
        <f>IFERROR(__xludf.DUMMYFUNCTION("""COMPUTED_VALUE"""),"DISERAHKAN")</f>
        <v>DISERAHKAN</v>
      </c>
      <c r="F5970" s="48">
        <f>IFERROR(__xludf.DUMMYFUNCTION("""COMPUTED_VALUE"""),45890.59504922453)</f>
        <v>45890.59505</v>
      </c>
      <c r="G5970" s="42" t="str">
        <f>IFERROR(__xludf.DUMMYFUNCTION("""COMPUTED_VALUE"""),"ROYA")</f>
        <v>ROYA</v>
      </c>
      <c r="H5970" s="42">
        <f t="shared" si="1"/>
        <v>2651</v>
      </c>
    </row>
    <row r="5971" ht="22.5" customHeight="1">
      <c r="B5971" s="42" t="str">
        <f>IFERROR(__xludf.DUMMYFUNCTION("""COMPUTED_VALUE"""),"K/21/210725/1")</f>
        <v>K/21/210725/1</v>
      </c>
      <c r="C5971" s="42" t="str">
        <f>IFERROR(__xludf.DUMMYFUNCTION("""COMPUTED_VALUE"""),"M.4251/GUNUNG TERANG")</f>
        <v>M.4251/GUNUNG TERANG</v>
      </c>
      <c r="D5971" s="42" t="str">
        <f>IFERROR(__xludf.DUMMYFUNCTION("""COMPUTED_VALUE"""),"David")</f>
        <v>David</v>
      </c>
      <c r="E5971" s="42" t="str">
        <f>IFERROR(__xludf.DUMMYFUNCTION("""COMPUTED_VALUE"""),"DISERAHKAN")</f>
        <v>DISERAHKAN</v>
      </c>
      <c r="F5971" s="48">
        <f>IFERROR(__xludf.DUMMYFUNCTION("""COMPUTED_VALUE"""),45880.63114966435)</f>
        <v>45880.63115</v>
      </c>
      <c r="G5971" s="42" t="str">
        <f>IFERROR(__xludf.DUMMYFUNCTION("""COMPUTED_VALUE"""),"JUAL BELI")</f>
        <v>JUAL BELI</v>
      </c>
      <c r="H5971" s="42">
        <f t="shared" si="1"/>
        <v>2652</v>
      </c>
    </row>
    <row r="5972" ht="22.5" customHeight="1">
      <c r="B5972" s="42" t="str">
        <f>IFERROR(__xludf.DUMMYFUNCTION("""COMPUTED_VALUE"""),"K/22/210725/1")</f>
        <v>K/22/210725/1</v>
      </c>
      <c r="C5972" s="42" t="str">
        <f>IFERROR(__xludf.DUMMYFUNCTION("""COMPUTED_VALUE"""),"M. 4576/ Gunung Terang")</f>
        <v>M. 4576/ Gunung Terang</v>
      </c>
      <c r="D5972" s="42" t="str">
        <f>IFERROR(__xludf.DUMMYFUNCTION("""COMPUTED_VALUE"""),"Berry")</f>
        <v>Berry</v>
      </c>
      <c r="E5972" s="42" t="str">
        <f>IFERROR(__xludf.DUMMYFUNCTION("""COMPUTED_VALUE"""),"DISERAHKAN")</f>
        <v>DISERAHKAN</v>
      </c>
      <c r="F5972" s="48">
        <f>IFERROR(__xludf.DUMMYFUNCTION("""COMPUTED_VALUE"""),45897.6558994213)</f>
        <v>45897.6559</v>
      </c>
      <c r="G5972" s="42" t="str">
        <f>IFERROR(__xludf.DUMMYFUNCTION("""COMPUTED_VALUE"""),"BN Jual Beli")</f>
        <v>BN Jual Beli</v>
      </c>
      <c r="H5972" s="42">
        <f t="shared" si="1"/>
        <v>2653</v>
      </c>
    </row>
    <row r="5973" ht="22.5" customHeight="1">
      <c r="B5973" s="42" t="str">
        <f>IFERROR(__xludf.DUMMYFUNCTION("""COMPUTED_VALUE"""),"K/23/210725/1")</f>
        <v>K/23/210725/1</v>
      </c>
      <c r="C5973" s="42" t="str">
        <f>IFERROR(__xludf.DUMMYFUNCTION("""COMPUTED_VALUE"""),"M. 789/ Sepang Jaya")</f>
        <v>M. 789/ Sepang Jaya</v>
      </c>
      <c r="D5973" s="42"/>
      <c r="E5973" s="42"/>
      <c r="F5973" s="48" t="str">
        <f>IFERROR(__xludf.DUMMYFUNCTION("""COMPUTED_VALUE"""),"")</f>
        <v/>
      </c>
      <c r="G5973" s="42" t="str">
        <f>IFERROR(__xludf.DUMMYFUNCTION("""COMPUTED_VALUE"""),"BN Waris")</f>
        <v>BN Waris</v>
      </c>
      <c r="H5973" s="42">
        <f t="shared" si="1"/>
        <v>2653</v>
      </c>
    </row>
    <row r="5974" ht="22.5" customHeight="1">
      <c r="B5974" s="42" t="str">
        <f>IFERROR(__xludf.DUMMYFUNCTION("""COMPUTED_VALUE"""),"L/24/210725/1")</f>
        <v>L/24/210725/1</v>
      </c>
      <c r="C5974" s="42" t="str">
        <f>IFERROR(__xludf.DUMMYFUNCTION("""COMPUTED_VALUE"""),"HM 296/SUMBEREJO K ")</f>
        <v>HM 296/SUMBEREJO K </v>
      </c>
      <c r="D5974" s="42" t="str">
        <f>IFERROR(__xludf.DUMMYFUNCTION("""COMPUTED_VALUE"""),"Berry")</f>
        <v>Berry</v>
      </c>
      <c r="E5974" s="42" t="str">
        <f>IFERROR(__xludf.DUMMYFUNCTION("""COMPUTED_VALUE"""),"DISERAHKAN")</f>
        <v>DISERAHKAN</v>
      </c>
      <c r="F5974" s="48">
        <f>IFERROR(__xludf.DUMMYFUNCTION("""COMPUTED_VALUE"""),45898.65160696759)</f>
        <v>45898.65161</v>
      </c>
      <c r="G5974" s="42" t="str">
        <f>IFERROR(__xludf.DUMMYFUNCTION("""COMPUTED_VALUE"""),"ROYA")</f>
        <v>ROYA</v>
      </c>
      <c r="H5974" s="42">
        <f t="shared" si="1"/>
        <v>2654</v>
      </c>
    </row>
    <row r="5975" ht="22.5" customHeight="1">
      <c r="B5975" s="42" t="str">
        <f>IFERROR(__xludf.DUMMYFUNCTION("""COMPUTED_VALUE"""),"K/25/210725/1")</f>
        <v>K/25/210725/1</v>
      </c>
      <c r="C5975" s="42" t="str">
        <f>IFERROR(__xludf.DUMMYFUNCTION("""COMPUTED_VALUE"""),"M. 1517/ Rajabasa Jaya")</f>
        <v>M. 1517/ Rajabasa Jaya</v>
      </c>
      <c r="D5975" s="42"/>
      <c r="E5975" s="42"/>
      <c r="F5975" s="48" t="str">
        <f>IFERROR(__xludf.DUMMYFUNCTION("""COMPUTED_VALUE"""),"")</f>
        <v/>
      </c>
      <c r="G5975" s="42" t="str">
        <f>IFERROR(__xludf.DUMMYFUNCTION("""COMPUTED_VALUE"""),"BN Waris")</f>
        <v>BN Waris</v>
      </c>
      <c r="H5975" s="42">
        <f t="shared" si="1"/>
        <v>2654</v>
      </c>
    </row>
    <row r="5976" ht="22.5" customHeight="1">
      <c r="B5976" s="42" t="str">
        <f>IFERROR(__xludf.DUMMYFUNCTION("""COMPUTED_VALUE"""),"K/9/210725/1")</f>
        <v>K/9/210725/1</v>
      </c>
      <c r="C5976" s="42" t="str">
        <f>IFERROR(__xludf.DUMMYFUNCTION("""COMPUTED_VALUE"""),"M. 2290/DURIAN PAYUNG")</f>
        <v>M. 2290/DURIAN PAYUNG</v>
      </c>
      <c r="D5976" s="42"/>
      <c r="E5976" s="42"/>
      <c r="F5976" s="48" t="str">
        <f>IFERROR(__xludf.DUMMYFUNCTION("""COMPUTED_VALUE"""),"")</f>
        <v/>
      </c>
      <c r="G5976" s="42" t="str">
        <f>IFERROR(__xludf.DUMMYFUNCTION("""COMPUTED_VALUE"""),"SKPT LELANG")</f>
        <v>SKPT LELANG</v>
      </c>
      <c r="H5976" s="42">
        <f t="shared" si="1"/>
        <v>2654</v>
      </c>
    </row>
    <row r="5977" ht="22.5" customHeight="1">
      <c r="B5977" s="42" t="str">
        <f>IFERROR(__xludf.DUMMYFUNCTION("""COMPUTED_VALUE"""),"K/27/210725/1")</f>
        <v>K/27/210725/1</v>
      </c>
      <c r="C5977" s="42" t="str">
        <f>IFERROR(__xludf.DUMMYFUNCTION("""COMPUTED_VALUE"""),"M. 1375/BATU PUTUK")</f>
        <v>M. 1375/BATU PUTUK</v>
      </c>
      <c r="D5977" s="42"/>
      <c r="E5977" s="42"/>
      <c r="F5977" s="48" t="str">
        <f>IFERROR(__xludf.DUMMYFUNCTION("""COMPUTED_VALUE"""),"")</f>
        <v/>
      </c>
      <c r="G5977" s="42" t="str">
        <f>IFERROR(__xludf.DUMMYFUNCTION("""COMPUTED_VALUE"""),"PTPGT")</f>
        <v>PTPGT</v>
      </c>
      <c r="H5977" s="42">
        <f t="shared" si="1"/>
        <v>2654</v>
      </c>
    </row>
    <row r="5978" ht="22.5" customHeight="1">
      <c r="B5978" s="42" t="str">
        <f>IFERROR(__xludf.DUMMYFUNCTION("""COMPUTED_VALUE"""),"L/30/210725/1")</f>
        <v>L/30/210725/1</v>
      </c>
      <c r="C5978" s="42" t="str">
        <f>IFERROR(__xludf.DUMMYFUNCTION("""COMPUTED_VALUE"""),"NIB 17333/SUKARAME")</f>
        <v>NIB 17333/SUKARAME</v>
      </c>
      <c r="D5978" s="42"/>
      <c r="E5978" s="42"/>
      <c r="F5978" s="48" t="str">
        <f>IFERROR(__xludf.DUMMYFUNCTION("""COMPUTED_VALUE"""),"")</f>
        <v/>
      </c>
      <c r="G5978" s="42" t="str">
        <f>IFERROR(__xludf.DUMMYFUNCTION("""COMPUTED_VALUE"""),"PH")</f>
        <v>PH</v>
      </c>
      <c r="H5978" s="42">
        <f t="shared" si="1"/>
        <v>2654</v>
      </c>
    </row>
    <row r="5979" ht="22.5" customHeight="1">
      <c r="B5979" s="42" t="str">
        <f>IFERROR(__xludf.DUMMYFUNCTION("""COMPUTED_VALUE"""),"K/28/210725/2")</f>
        <v>K/28/210725/2</v>
      </c>
      <c r="C5979" s="42" t="str">
        <f>IFERROR(__xludf.DUMMYFUNCTION("""COMPUTED_VALUE"""),"M. 2092/LABUHAN DALAM")</f>
        <v>M. 2092/LABUHAN DALAM</v>
      </c>
      <c r="D5979" s="42"/>
      <c r="E5979" s="42"/>
      <c r="F5979" s="48" t="str">
        <f>IFERROR(__xludf.DUMMYFUNCTION("""COMPUTED_VALUE"""),"")</f>
        <v/>
      </c>
      <c r="G5979" s="42" t="str">
        <f>IFERROR(__xludf.DUMMYFUNCTION("""COMPUTED_VALUE"""),"HAPUS BPHTB")</f>
        <v>HAPUS BPHTB</v>
      </c>
      <c r="H5979" s="42">
        <f t="shared" si="1"/>
        <v>2654</v>
      </c>
    </row>
    <row r="5980" ht="22.5" customHeight="1">
      <c r="B5980" s="42" t="str">
        <f>IFERROR(__xludf.DUMMYFUNCTION("""COMPUTED_VALUE"""),"K/31/210725/1")</f>
        <v>K/31/210725/1</v>
      </c>
      <c r="C5980" s="42" t="str">
        <f>IFERROR(__xludf.DUMMYFUNCTION("""COMPUTED_VALUE"""),"M.303/PERUMNAS WAY HALIM")</f>
        <v>M.303/PERUMNAS WAY HALIM</v>
      </c>
      <c r="D5980" s="42"/>
      <c r="E5980" s="42"/>
      <c r="F5980" s="48" t="str">
        <f>IFERROR(__xludf.DUMMYFUNCTION("""COMPUTED_VALUE"""),"")</f>
        <v/>
      </c>
      <c r="G5980" s="42" t="str">
        <f>IFERROR(__xludf.DUMMYFUNCTION("""COMPUTED_VALUE"""),"JUAL BELI")</f>
        <v>JUAL BELI</v>
      </c>
      <c r="H5980" s="42">
        <f t="shared" si="1"/>
        <v>2654</v>
      </c>
    </row>
    <row r="5981" ht="22.5" customHeight="1">
      <c r="B5981" s="42" t="str">
        <f>IFERROR(__xludf.DUMMYFUNCTION("""COMPUTED_VALUE"""),"K/29/210725/3")</f>
        <v>K/29/210725/3</v>
      </c>
      <c r="C5981" s="42" t="str">
        <f>IFERROR(__xludf.DUMMYFUNCTION("""COMPUTED_VALUE"""),"NIBEL M. 18587/SEGALA MIDER")</f>
        <v>NIBEL M. 18587/SEGALA MIDER</v>
      </c>
      <c r="D5981" s="42"/>
      <c r="E5981" s="42"/>
      <c r="F5981" s="48" t="str">
        <f>IFERROR(__xludf.DUMMYFUNCTION("""COMPUTED_VALUE"""),"")</f>
        <v/>
      </c>
      <c r="G5981" s="42" t="str">
        <f>IFERROR(__xludf.DUMMYFUNCTION("""COMPUTED_VALUE"""),"BN JUAL BELI")</f>
        <v>BN JUAL BELI</v>
      </c>
      <c r="H5981" s="42">
        <f t="shared" si="1"/>
        <v>2654</v>
      </c>
    </row>
    <row r="5982" ht="22.5" customHeight="1">
      <c r="B5982" s="42" t="str">
        <f>IFERROR(__xludf.DUMMYFUNCTION("""COMPUTED_VALUE"""),"K/32/210725/2")</f>
        <v>K/32/210725/2</v>
      </c>
      <c r="C5982" s="42" t="str">
        <f>IFERROR(__xludf.DUMMYFUNCTION("""COMPUTED_VALUE"""),"M.2169/SEPANG JAYA")</f>
        <v>M.2169/SEPANG JAYA</v>
      </c>
      <c r="D5982" s="42" t="str">
        <f>IFERROR(__xludf.DUMMYFUNCTION("""COMPUTED_VALUE"""),"Berry")</f>
        <v>Berry</v>
      </c>
      <c r="E5982" s="42" t="str">
        <f>IFERROR(__xludf.DUMMYFUNCTION("""COMPUTED_VALUE"""),"DISERAHKAN")</f>
        <v>DISERAHKAN</v>
      </c>
      <c r="F5982" s="48">
        <f>IFERROR(__xludf.DUMMYFUNCTION("""COMPUTED_VALUE"""),45880.64659408564)</f>
        <v>45880.64659</v>
      </c>
      <c r="G5982" s="42" t="str">
        <f>IFERROR(__xludf.DUMMYFUNCTION("""COMPUTED_VALUE"""),"JUAL BELI")</f>
        <v>JUAL BELI</v>
      </c>
      <c r="H5982" s="42">
        <f t="shared" si="1"/>
        <v>2655</v>
      </c>
    </row>
    <row r="5983" ht="22.5" customHeight="1">
      <c r="B5983" s="42" t="str">
        <f>IFERROR(__xludf.DUMMYFUNCTION("""COMPUTED_VALUE"""),"K/26/210725/1")</f>
        <v>K/26/210725/1</v>
      </c>
      <c r="C5983" s="42" t="str">
        <f>IFERROR(__xludf.DUMMYFUNCTION("""COMPUTED_VALUE"""),"Nibel. M. 10137/Sukarame Baru")</f>
        <v>Nibel. M. 10137/Sukarame Baru</v>
      </c>
      <c r="D5983" s="42"/>
      <c r="E5983" s="42"/>
      <c r="F5983" s="48" t="str">
        <f>IFERROR(__xludf.DUMMYFUNCTION("""COMPUTED_VALUE"""),"")</f>
        <v/>
      </c>
      <c r="G5983" s="42" t="str">
        <f>IFERROR(__xludf.DUMMYFUNCTION("""COMPUTED_VALUE"""),"BN Jual Beli")</f>
        <v>BN Jual Beli</v>
      </c>
      <c r="H5983" s="42">
        <f t="shared" si="1"/>
        <v>2655</v>
      </c>
    </row>
    <row r="5984" ht="22.5" customHeight="1">
      <c r="B5984" s="42" t="str">
        <f>IFERROR(__xludf.DUMMYFUNCTION("""COMPUTED_VALUE"""),"K/33/210725/1")</f>
        <v>K/33/210725/1</v>
      </c>
      <c r="C5984" s="42" t="str">
        <f>IFERROR(__xludf.DUMMYFUNCTION("""COMPUTED_VALUE"""),"M. 646/PALAPA")</f>
        <v>M. 646/PALAPA</v>
      </c>
      <c r="D5984" s="42" t="str">
        <f>IFERROR(__xludf.DUMMYFUNCTION("""COMPUTED_VALUE"""),"Berry")</f>
        <v>Berry</v>
      </c>
      <c r="E5984" s="42" t="str">
        <f>IFERROR(__xludf.DUMMYFUNCTION("""COMPUTED_VALUE"""),"DISERAHKAN")</f>
        <v>DISERAHKAN</v>
      </c>
      <c r="F5984" s="48">
        <f>IFERROR(__xludf.DUMMYFUNCTION("""COMPUTED_VALUE"""),45888.61000436342)</f>
        <v>45888.61</v>
      </c>
      <c r="G5984" s="42" t="str">
        <f>IFERROR(__xludf.DUMMYFUNCTION("""COMPUTED_VALUE"""),"ROYA")</f>
        <v>ROYA</v>
      </c>
      <c r="H5984" s="42">
        <f t="shared" si="1"/>
        <v>2656</v>
      </c>
    </row>
    <row r="5985" ht="22.5" customHeight="1">
      <c r="B5985" s="42" t="str">
        <f>IFERROR(__xludf.DUMMYFUNCTION("""COMPUTED_VALUE"""),"K/34/210725/2")</f>
        <v>K/34/210725/2</v>
      </c>
      <c r="C5985" s="42" t="str">
        <f>IFERROR(__xludf.DUMMYFUNCTION("""COMPUTED_VALUE"""),"M. 683/PALAPA")</f>
        <v>M. 683/PALAPA</v>
      </c>
      <c r="D5985" s="42" t="str">
        <f>IFERROR(__xludf.DUMMYFUNCTION("""COMPUTED_VALUE"""),"David")</f>
        <v>David</v>
      </c>
      <c r="E5985" s="42" t="str">
        <f>IFERROR(__xludf.DUMMYFUNCTION("""COMPUTED_VALUE"""),"DISERAHKAN")</f>
        <v>DISERAHKAN</v>
      </c>
      <c r="F5985" s="48">
        <f>IFERROR(__xludf.DUMMYFUNCTION("""COMPUTED_VALUE"""),45912.524687638885)</f>
        <v>45912.52469</v>
      </c>
      <c r="G5985" s="42" t="str">
        <f>IFERROR(__xludf.DUMMYFUNCTION("""COMPUTED_VALUE"""),"ROYA")</f>
        <v>ROYA</v>
      </c>
      <c r="H5985" s="42">
        <f t="shared" si="1"/>
        <v>2657</v>
      </c>
    </row>
    <row r="5986" ht="22.5" customHeight="1">
      <c r="B5986" s="42" t="str">
        <f>IFERROR(__xludf.DUMMYFUNCTION("""COMPUTED_VALUE"""),"K/1/220725/1")</f>
        <v>K/1/220725/1</v>
      </c>
      <c r="C5986" s="42" t="str">
        <f>IFERROR(__xludf.DUMMYFUNCTION("""COMPUTED_VALUE"""),"M. 1899/ Sumber Agung")</f>
        <v>M. 1899/ Sumber Agung</v>
      </c>
      <c r="D5986" s="42" t="str">
        <f>IFERROR(__xludf.DUMMYFUNCTION("""COMPUTED_VALUE"""),"Berry")</f>
        <v>Berry</v>
      </c>
      <c r="E5986" s="42" t="str">
        <f>IFERROR(__xludf.DUMMYFUNCTION("""COMPUTED_VALUE"""),"DISERAHKAN")</f>
        <v>DISERAHKAN</v>
      </c>
      <c r="F5986" s="48">
        <f>IFERROR(__xludf.DUMMYFUNCTION("""COMPUTED_VALUE"""),45870.67487640046)</f>
        <v>45870.67488</v>
      </c>
      <c r="G5986" s="42" t="str">
        <f>IFERROR(__xludf.DUMMYFUNCTION("""COMPUTED_VALUE"""),"BN JUAL BELI")</f>
        <v>BN JUAL BELI</v>
      </c>
      <c r="H5986" s="42">
        <f t="shared" si="1"/>
        <v>2658</v>
      </c>
    </row>
    <row r="5987" ht="22.5" customHeight="1">
      <c r="B5987" s="42" t="str">
        <f>IFERROR(__xludf.DUMMYFUNCTION("""COMPUTED_VALUE"""),"K/2/220725/2")</f>
        <v>K/2/220725/2</v>
      </c>
      <c r="C5987" s="42" t="str">
        <f>IFERROR(__xludf.DUMMYFUNCTION("""COMPUTED_VALUE"""),"M. 2208/ Sukamaju")</f>
        <v>M. 2208/ Sukamaju</v>
      </c>
      <c r="D5987" s="42" t="str">
        <f>IFERROR(__xludf.DUMMYFUNCTION("""COMPUTED_VALUE"""),"Berry")</f>
        <v>Berry</v>
      </c>
      <c r="E5987" s="42" t="str">
        <f>IFERROR(__xludf.DUMMYFUNCTION("""COMPUTED_VALUE"""),"DISERAHKAN")</f>
        <v>DISERAHKAN</v>
      </c>
      <c r="F5987" s="48">
        <f>IFERROR(__xludf.DUMMYFUNCTION("""COMPUTED_VALUE"""),45880.715402013884)</f>
        <v>45880.7154</v>
      </c>
      <c r="G5987" s="42" t="str">
        <f>IFERROR(__xludf.DUMMYFUNCTION("""COMPUTED_VALUE"""),"BN JUAL BELI")</f>
        <v>BN JUAL BELI</v>
      </c>
      <c r="H5987" s="42">
        <f t="shared" si="1"/>
        <v>2659</v>
      </c>
    </row>
    <row r="5988" ht="22.5" customHeight="1">
      <c r="B5988" s="42" t="str">
        <f>IFERROR(__xludf.DUMMYFUNCTION("""COMPUTED_VALUE"""),"K/3/220725/1")</f>
        <v>K/3/220725/1</v>
      </c>
      <c r="C5988" s="42" t="str">
        <f>IFERROR(__xludf.DUMMYFUNCTION("""COMPUTED_VALUE"""),"M. 1414/SUKABUMI INDAH")</f>
        <v>M. 1414/SUKABUMI INDAH</v>
      </c>
      <c r="D5988" s="42"/>
      <c r="E5988" s="42"/>
      <c r="F5988" s="48" t="str">
        <f>IFERROR(__xludf.DUMMYFUNCTION("""COMPUTED_VALUE"""),"")</f>
        <v/>
      </c>
      <c r="G5988" s="42" t="str">
        <f>IFERROR(__xludf.DUMMYFUNCTION("""COMPUTED_VALUE"""),"BN WARIS")</f>
        <v>BN WARIS</v>
      </c>
      <c r="H5988" s="42">
        <f t="shared" si="1"/>
        <v>2659</v>
      </c>
    </row>
    <row r="5989" ht="22.5" customHeight="1">
      <c r="B5989" s="42" t="str">
        <f>IFERROR(__xludf.DUMMYFUNCTION("""COMPUTED_VALUE"""),"K/4/220725/1")</f>
        <v>K/4/220725/1</v>
      </c>
      <c r="C5989" s="42" t="str">
        <f>IFERROR(__xludf.DUMMYFUNCTION("""COMPUTED_VALUE"""),"M.1090/PERUMNAS WAY HALIM")</f>
        <v>M.1090/PERUMNAS WAY HALIM</v>
      </c>
      <c r="D5989" s="42"/>
      <c r="E5989" s="42"/>
      <c r="F5989" s="48" t="str">
        <f>IFERROR(__xludf.DUMMYFUNCTION("""COMPUTED_VALUE"""),"")</f>
        <v/>
      </c>
      <c r="G5989" s="42" t="str">
        <f>IFERROR(__xludf.DUMMYFUNCTION("""COMPUTED_VALUE"""),"KEWARISAN")</f>
        <v>KEWARISAN</v>
      </c>
      <c r="H5989" s="42">
        <f t="shared" si="1"/>
        <v>2659</v>
      </c>
    </row>
    <row r="5990" ht="22.5" customHeight="1">
      <c r="B5990" s="42" t="str">
        <f>IFERROR(__xludf.DUMMYFUNCTION("""COMPUTED_VALUE"""),"K/5/220725/1")</f>
        <v>K/5/220725/1</v>
      </c>
      <c r="C5990" s="42" t="str">
        <f>IFERROR(__xludf.DUMMYFUNCTION("""COMPUTED_VALUE"""),"NIBEL M. 3558/KEDAUNG")</f>
        <v>NIBEL M. 3558/KEDAUNG</v>
      </c>
      <c r="D5990" s="42"/>
      <c r="E5990" s="42"/>
      <c r="F5990" s="48" t="str">
        <f>IFERROR(__xludf.DUMMYFUNCTION("""COMPUTED_VALUE"""),"")</f>
        <v/>
      </c>
      <c r="G5990" s="42" t="str">
        <f>IFERROR(__xludf.DUMMYFUNCTION("""COMPUTED_VALUE"""),"BN JUAL BELI")</f>
        <v>BN JUAL BELI</v>
      </c>
      <c r="H5990" s="42">
        <f t="shared" si="1"/>
        <v>2659</v>
      </c>
    </row>
    <row r="5991" ht="22.5" customHeight="1">
      <c r="B5991" s="42" t="str">
        <f>IFERROR(__xludf.DUMMYFUNCTION("""COMPUTED_VALUE"""),"L/7/220725/1")</f>
        <v>L/7/220725/1</v>
      </c>
      <c r="C5991" s="42" t="str">
        <f>IFERROR(__xludf.DUMMYFUNCTION("""COMPUTED_VALUE"""),"WAY KANDIS")</f>
        <v>WAY KANDIS</v>
      </c>
      <c r="D5991" s="42"/>
      <c r="E5991" s="42"/>
      <c r="F5991" s="48" t="str">
        <f>IFERROR(__xludf.DUMMYFUNCTION("""COMPUTED_VALUE"""),"")</f>
        <v/>
      </c>
      <c r="G5991" s="42" t="str">
        <f>IFERROR(__xludf.DUMMYFUNCTION("""COMPUTED_VALUE"""),"PENDAFTARAN SK")</f>
        <v>PENDAFTARAN SK</v>
      </c>
      <c r="H5991" s="42">
        <f t="shared" si="1"/>
        <v>2659</v>
      </c>
    </row>
    <row r="5992" ht="22.5" customHeight="1">
      <c r="B5992" s="42" t="str">
        <f>IFERROR(__xludf.DUMMYFUNCTION("""COMPUTED_VALUE"""),"K/6/220725/1")</f>
        <v>K/6/220725/1</v>
      </c>
      <c r="C5992" s="42" t="str">
        <f>IFERROR(__xludf.DUMMYFUNCTION("""COMPUTED_VALUE"""),"M.3498/RAJABASA JAYA")</f>
        <v>M.3498/RAJABASA JAYA</v>
      </c>
      <c r="D5992" s="42" t="str">
        <f>IFERROR(__xludf.DUMMYFUNCTION("""COMPUTED_VALUE"""),"Berry")</f>
        <v>Berry</v>
      </c>
      <c r="E5992" s="42" t="str">
        <f>IFERROR(__xludf.DUMMYFUNCTION("""COMPUTED_VALUE"""),"DISERAHKAN")</f>
        <v>DISERAHKAN</v>
      </c>
      <c r="F5992" s="48">
        <f>IFERROR(__xludf.DUMMYFUNCTION("""COMPUTED_VALUE"""),45867.68212439815)</f>
        <v>45867.68212</v>
      </c>
      <c r="G5992" s="42" t="str">
        <f>IFERROR(__xludf.DUMMYFUNCTION("""COMPUTED_VALUE"""),"JUAL BELI")</f>
        <v>JUAL BELI</v>
      </c>
      <c r="H5992" s="42">
        <f t="shared" si="1"/>
        <v>2660</v>
      </c>
    </row>
    <row r="5993" ht="22.5" customHeight="1">
      <c r="B5993" s="42" t="str">
        <f>IFERROR(__xludf.DUMMYFUNCTION("""COMPUTED_VALUE"""),"L/11/220725/1")</f>
        <v>L/11/220725/1</v>
      </c>
      <c r="C5993" s="42" t="str">
        <f>IFERROR(__xludf.DUMMYFUNCTION("""COMPUTED_VALUE"""),"NIB 18880/LANGKAPURA")</f>
        <v>NIB 18880/LANGKAPURA</v>
      </c>
      <c r="D5993" s="42"/>
      <c r="E5993" s="42"/>
      <c r="F5993" s="48" t="str">
        <f>IFERROR(__xludf.DUMMYFUNCTION("""COMPUTED_VALUE"""),"")</f>
        <v/>
      </c>
      <c r="G5993" s="42" t="str">
        <f>IFERROR(__xludf.DUMMYFUNCTION("""COMPUTED_VALUE"""),"PH")</f>
        <v>PH</v>
      </c>
      <c r="H5993" s="42">
        <f t="shared" si="1"/>
        <v>2660</v>
      </c>
    </row>
    <row r="5994" ht="22.5" customHeight="1">
      <c r="B5994" s="42" t="str">
        <f>IFERROR(__xludf.DUMMYFUNCTION("""COMPUTED_VALUE"""),"K/9/220725/1")</f>
        <v>K/9/220725/1</v>
      </c>
      <c r="C5994" s="42" t="str">
        <f>IFERROR(__xludf.DUMMYFUNCTION("""COMPUTED_VALUE"""),"M. 1718/ Kupang ")</f>
        <v>M. 1718/ Kupang </v>
      </c>
      <c r="D5994" s="42" t="str">
        <f>IFERROR(__xludf.DUMMYFUNCTION("""COMPUTED_VALUE"""),"David")</f>
        <v>David</v>
      </c>
      <c r="E5994" s="42" t="str">
        <f>IFERROR(__xludf.DUMMYFUNCTION("""COMPUTED_VALUE"""),"DISERAHKAN")</f>
        <v>DISERAHKAN</v>
      </c>
      <c r="F5994" s="48">
        <f>IFERROR(__xludf.DUMMYFUNCTION("""COMPUTED_VALUE"""),45880.715402013884)</f>
        <v>45880.7154</v>
      </c>
      <c r="G5994" s="42" t="str">
        <f>IFERROR(__xludf.DUMMYFUNCTION("""COMPUTED_VALUE"""),"BN Jual Beli")</f>
        <v>BN Jual Beli</v>
      </c>
      <c r="H5994" s="42">
        <f t="shared" si="1"/>
        <v>2661</v>
      </c>
    </row>
    <row r="5995" ht="22.5" customHeight="1">
      <c r="B5995" s="42" t="str">
        <f>IFERROR(__xludf.DUMMYFUNCTION("""COMPUTED_VALUE"""),"K/10/220725/2")</f>
        <v>K/10/220725/2</v>
      </c>
      <c r="C5995" s="42" t="str">
        <f>IFERROR(__xludf.DUMMYFUNCTION("""COMPUTED_VALUE"""),"M. 3260/ Kota Karang")</f>
        <v>M. 3260/ Kota Karang</v>
      </c>
      <c r="D5995" s="42" t="str">
        <f>IFERROR(__xludf.DUMMYFUNCTION("""COMPUTED_VALUE"""),"David")</f>
        <v>David</v>
      </c>
      <c r="E5995" s="42" t="str">
        <f>IFERROR(__xludf.DUMMYFUNCTION("""COMPUTED_VALUE"""),"DISERAHKAN")</f>
        <v>DISERAHKAN</v>
      </c>
      <c r="F5995" s="48">
        <f>IFERROR(__xludf.DUMMYFUNCTION("""COMPUTED_VALUE"""),45880.715402013884)</f>
        <v>45880.7154</v>
      </c>
      <c r="G5995" s="42" t="str">
        <f>IFERROR(__xludf.DUMMYFUNCTION("""COMPUTED_VALUE"""),"BN Waris")</f>
        <v>BN Waris</v>
      </c>
      <c r="H5995" s="42">
        <f t="shared" si="1"/>
        <v>2662</v>
      </c>
    </row>
    <row r="5996" ht="22.5" customHeight="1">
      <c r="B5996" s="42" t="str">
        <f>IFERROR(__xludf.DUMMYFUNCTION("""COMPUTED_VALUE"""),"K/12/220725/1")</f>
        <v>K/12/220725/1</v>
      </c>
      <c r="C5996" s="42" t="str">
        <f>IFERROR(__xludf.DUMMYFUNCTION("""COMPUTED_VALUE"""),"B. 355/ Negeri Olok Gading")</f>
        <v>B. 355/ Negeri Olok Gading</v>
      </c>
      <c r="D5996" s="42"/>
      <c r="E5996" s="42"/>
      <c r="F5996" s="48" t="str">
        <f>IFERROR(__xludf.DUMMYFUNCTION("""COMPUTED_VALUE"""),"")</f>
        <v/>
      </c>
      <c r="G5996" s="42" t="str">
        <f>IFERROR(__xludf.DUMMYFUNCTION("""COMPUTED_VALUE"""),"PERUBAHAN HAK")</f>
        <v>PERUBAHAN HAK</v>
      </c>
      <c r="H5996" s="42">
        <f t="shared" si="1"/>
        <v>2662</v>
      </c>
    </row>
    <row r="5997" ht="22.5" customHeight="1">
      <c r="B5997" s="42" t="str">
        <f>IFERROR(__xludf.DUMMYFUNCTION("""COMPUTED_VALUE"""),"K/8/220725/1")</f>
        <v>K/8/220725/1</v>
      </c>
      <c r="C5997" s="42" t="str">
        <f>IFERROR(__xludf.DUMMYFUNCTION("""COMPUTED_VALUE"""),"B.606/SUMBER AGUNG")</f>
        <v>B.606/SUMBER AGUNG</v>
      </c>
      <c r="D5997" s="42" t="str">
        <f>IFERROR(__xludf.DUMMYFUNCTION("""COMPUTED_VALUE"""),"Berry")</f>
        <v>Berry</v>
      </c>
      <c r="E5997" s="42" t="str">
        <f>IFERROR(__xludf.DUMMYFUNCTION("""COMPUTED_VALUE"""),"DISERAHKAN")</f>
        <v>DISERAHKAN</v>
      </c>
      <c r="F5997" s="48">
        <f>IFERROR(__xludf.DUMMYFUNCTION("""COMPUTED_VALUE"""),45894.56525413194)</f>
        <v>45894.56525</v>
      </c>
      <c r="G5997" s="42" t="str">
        <f>IFERROR(__xludf.DUMMYFUNCTION("""COMPUTED_VALUE"""),"JUAL BELI")</f>
        <v>JUAL BELI</v>
      </c>
      <c r="H5997" s="42">
        <f t="shared" si="1"/>
        <v>2663</v>
      </c>
    </row>
    <row r="5998" ht="22.5" customHeight="1">
      <c r="B5998" s="42" t="str">
        <f>IFERROR(__xludf.DUMMYFUNCTION("""COMPUTED_VALUE"""),"K/14/220725/1")</f>
        <v>K/14/220725/1</v>
      </c>
      <c r="C5998" s="42" t="str">
        <f>IFERROR(__xludf.DUMMYFUNCTION("""COMPUTED_VALUE"""),"M. 787/ Kuripan")</f>
        <v>M. 787/ Kuripan</v>
      </c>
      <c r="D5998" s="42" t="str">
        <f>IFERROR(__xludf.DUMMYFUNCTION("""COMPUTED_VALUE"""),"David")</f>
        <v>David</v>
      </c>
      <c r="E5998" s="42" t="str">
        <f>IFERROR(__xludf.DUMMYFUNCTION("""COMPUTED_VALUE"""),"DISERAHKAN")</f>
        <v>DISERAHKAN</v>
      </c>
      <c r="F5998" s="48">
        <f>IFERROR(__xludf.DUMMYFUNCTION("""COMPUTED_VALUE"""),45880.715402013884)</f>
        <v>45880.7154</v>
      </c>
      <c r="G5998" s="42" t="str">
        <f>IFERROR(__xludf.DUMMYFUNCTION("""COMPUTED_VALUE"""),"BN HIBAH")</f>
        <v>BN HIBAH</v>
      </c>
      <c r="H5998" s="42">
        <f t="shared" si="1"/>
        <v>2664</v>
      </c>
    </row>
    <row r="5999" ht="22.5" customHeight="1">
      <c r="B5999" s="42" t="str">
        <f>IFERROR(__xludf.DUMMYFUNCTION("""COMPUTED_VALUE"""),"K/18/220725/1")</f>
        <v>K/18/220725/1</v>
      </c>
      <c r="C5999" s="42" t="str">
        <f>IFERROR(__xludf.DUMMYFUNCTION("""COMPUTED_VALUE"""),"Nibel. B. 22365/ Sumberejo Sjhtra")</f>
        <v>Nibel. B. 22365/ Sumberejo Sjhtra</v>
      </c>
      <c r="D5999" s="42"/>
      <c r="E5999" s="42"/>
      <c r="F5999" s="48" t="str">
        <f>IFERROR(__xludf.DUMMYFUNCTION("""COMPUTED_VALUE"""),"")</f>
        <v/>
      </c>
      <c r="G5999" s="42" t="str">
        <f>IFERROR(__xludf.DUMMYFUNCTION("""COMPUTED_VALUE"""),"Perubahan Hak")</f>
        <v>Perubahan Hak</v>
      </c>
      <c r="H5999" s="42">
        <f t="shared" si="1"/>
        <v>2664</v>
      </c>
    </row>
    <row r="6000" ht="22.5" customHeight="1">
      <c r="B6000" s="42" t="str">
        <f>IFERROR(__xludf.DUMMYFUNCTION("""COMPUTED_VALUE"""),"K/15/220725/1")</f>
        <v>K/15/220725/1</v>
      </c>
      <c r="C6000" s="42" t="str">
        <f>IFERROR(__xludf.DUMMYFUNCTION("""COMPUTED_VALUE"""),"B.86/KALIAWI PERSADA")</f>
        <v>B.86/KALIAWI PERSADA</v>
      </c>
      <c r="D6000" s="42"/>
      <c r="E6000" s="42"/>
      <c r="F6000" s="48" t="str">
        <f>IFERROR(__xludf.DUMMYFUNCTION("""COMPUTED_VALUE"""),"")</f>
        <v/>
      </c>
      <c r="G6000" s="42" t="str">
        <f>IFERROR(__xludf.DUMMYFUNCTION("""COMPUTED_VALUE"""),"PTPGT")</f>
        <v>PTPGT</v>
      </c>
      <c r="H6000" s="42">
        <f t="shared" si="1"/>
        <v>2664</v>
      </c>
    </row>
    <row r="6001" ht="22.5" customHeight="1">
      <c r="B6001" s="42" t="str">
        <f>IFERROR(__xludf.DUMMYFUNCTION("""COMPUTED_VALUE"""),"K/16/220725/2")</f>
        <v>K/16/220725/2</v>
      </c>
      <c r="C6001" s="42" t="str">
        <f>IFERROR(__xludf.DUMMYFUNCTION("""COMPUTED_VALUE"""),"B.88/KALIAWI PERSADA")</f>
        <v>B.88/KALIAWI PERSADA</v>
      </c>
      <c r="D6001" s="42"/>
      <c r="E6001" s="42"/>
      <c r="F6001" s="48" t="str">
        <f>IFERROR(__xludf.DUMMYFUNCTION("""COMPUTED_VALUE"""),"")</f>
        <v/>
      </c>
      <c r="G6001" s="42" t="str">
        <f>IFERROR(__xludf.DUMMYFUNCTION("""COMPUTED_VALUE"""),"PTPGT")</f>
        <v>PTPGT</v>
      </c>
      <c r="H6001" s="42">
        <f t="shared" si="1"/>
        <v>2664</v>
      </c>
    </row>
    <row r="6002" ht="22.5" customHeight="1">
      <c r="B6002" s="42" t="str">
        <f>IFERROR(__xludf.DUMMYFUNCTION("""COMPUTED_VALUE"""),"K/17/220725/3")</f>
        <v>K/17/220725/3</v>
      </c>
      <c r="C6002" s="42" t="str">
        <f>IFERROR(__xludf.DUMMYFUNCTION("""COMPUTED_VALUE"""),"NIBEL M. 18265/SEGALA MIDER")</f>
        <v>NIBEL M. 18265/SEGALA MIDER</v>
      </c>
      <c r="D6002" s="42"/>
      <c r="E6002" s="42"/>
      <c r="F6002" s="48" t="str">
        <f>IFERROR(__xludf.DUMMYFUNCTION("""COMPUTED_VALUE"""),"")</f>
        <v/>
      </c>
      <c r="G6002" s="42" t="str">
        <f>IFERROR(__xludf.DUMMYFUNCTION("""COMPUTED_VALUE"""),"JUAL BELI")</f>
        <v>JUAL BELI</v>
      </c>
      <c r="H6002" s="42">
        <f t="shared" si="1"/>
        <v>2664</v>
      </c>
    </row>
    <row r="6003" ht="22.5" customHeight="1">
      <c r="B6003" s="42" t="str">
        <f>IFERROR(__xludf.DUMMYFUNCTION("""COMPUTED_VALUE"""),"K/19/220725/1")</f>
        <v>K/19/220725/1</v>
      </c>
      <c r="C6003" s="42" t="str">
        <f>IFERROR(__xludf.DUMMYFUNCTION("""COMPUTED_VALUE"""),"Nibel 3218/ Sumber rejo")</f>
        <v>Nibel 3218/ Sumber rejo</v>
      </c>
      <c r="D6003" s="42"/>
      <c r="E6003" s="42"/>
      <c r="F6003" s="48" t="str">
        <f>IFERROR(__xludf.DUMMYFUNCTION("""COMPUTED_VALUE"""),"")</f>
        <v/>
      </c>
      <c r="G6003" s="42" t="str">
        <f>IFERROR(__xludf.DUMMYFUNCTION("""COMPUTED_VALUE"""),"BN JUAL BELI")</f>
        <v>BN JUAL BELI</v>
      </c>
      <c r="H6003" s="42">
        <f t="shared" si="1"/>
        <v>2664</v>
      </c>
    </row>
    <row r="6004" ht="22.5" customHeight="1">
      <c r="B6004" s="42" t="str">
        <f>IFERROR(__xludf.DUMMYFUNCTION("""COMPUTED_VALUE"""),"K/20/220725/1")</f>
        <v>K/20/220725/1</v>
      </c>
      <c r="C6004" s="42" t="str">
        <f>IFERROR(__xludf.DUMMYFUNCTION("""COMPUTED_VALUE"""),"M. 2473/ Sukarame Baru")</f>
        <v>M. 2473/ Sukarame Baru</v>
      </c>
      <c r="D6004" s="42" t="str">
        <f>IFERROR(__xludf.DUMMYFUNCTION("""COMPUTED_VALUE"""),"David")</f>
        <v>David</v>
      </c>
      <c r="E6004" s="42" t="str">
        <f>IFERROR(__xludf.DUMMYFUNCTION("""COMPUTED_VALUE"""),"DISERAHKAN")</f>
        <v>DISERAHKAN</v>
      </c>
      <c r="F6004" s="48">
        <f>IFERROR(__xludf.DUMMYFUNCTION("""COMPUTED_VALUE"""),45880.71848953704)</f>
        <v>45880.71849</v>
      </c>
      <c r="G6004" s="42" t="str">
        <f>IFERROR(__xludf.DUMMYFUNCTION("""COMPUTED_VALUE"""),"BN JUAL BELI")</f>
        <v>BN JUAL BELI</v>
      </c>
      <c r="H6004" s="42">
        <f t="shared" si="1"/>
        <v>2665</v>
      </c>
    </row>
    <row r="6005" ht="22.5" customHeight="1">
      <c r="B6005" s="42" t="str">
        <f>IFERROR(__xludf.DUMMYFUNCTION("""COMPUTED_VALUE"""),"K/21/220725/2")</f>
        <v>K/21/220725/2</v>
      </c>
      <c r="C6005" s="42" t="str">
        <f>IFERROR(__xludf.DUMMYFUNCTION("""COMPUTED_VALUE"""),"M. 1380/ Way Lunik")</f>
        <v>M. 1380/ Way Lunik</v>
      </c>
      <c r="D6005" s="42" t="str">
        <f>IFERROR(__xludf.DUMMYFUNCTION("""COMPUTED_VALUE"""),"David")</f>
        <v>David</v>
      </c>
      <c r="E6005" s="42" t="str">
        <f>IFERROR(__xludf.DUMMYFUNCTION("""COMPUTED_VALUE"""),"DISERAHKAN")</f>
        <v>DISERAHKAN</v>
      </c>
      <c r="F6005" s="48">
        <f>IFERROR(__xludf.DUMMYFUNCTION("""COMPUTED_VALUE"""),45880.717988425924)</f>
        <v>45880.71799</v>
      </c>
      <c r="G6005" s="42" t="str">
        <f>IFERROR(__xludf.DUMMYFUNCTION("""COMPUTED_VALUE"""),"BN JUAL BELI")</f>
        <v>BN JUAL BELI</v>
      </c>
      <c r="H6005" s="42">
        <f t="shared" si="1"/>
        <v>2666</v>
      </c>
    </row>
    <row r="6006" ht="22.5" customHeight="1">
      <c r="B6006" s="42" t="str">
        <f>IFERROR(__xludf.DUMMYFUNCTION("""COMPUTED_VALUE"""),"L/22/220725/1")</f>
        <v>L/22/220725/1</v>
      </c>
      <c r="C6006" s="42" t="str">
        <f>IFERROR(__xludf.DUMMYFUNCTION("""COMPUTED_VALUE"""),"NIB 19345/BAKUNG")</f>
        <v>NIB 19345/BAKUNG</v>
      </c>
      <c r="D6006" s="42"/>
      <c r="E6006" s="42"/>
      <c r="F6006" s="48" t="str">
        <f>IFERROR(__xludf.DUMMYFUNCTION("""COMPUTED_VALUE"""),"")</f>
        <v/>
      </c>
      <c r="G6006" s="42" t="str">
        <f>IFERROR(__xludf.DUMMYFUNCTION("""COMPUTED_VALUE"""),"PH")</f>
        <v>PH</v>
      </c>
      <c r="H6006" s="42">
        <f t="shared" si="1"/>
        <v>2666</v>
      </c>
    </row>
    <row r="6007" ht="22.5" customHeight="1">
      <c r="B6007" s="42" t="str">
        <f>IFERROR(__xludf.DUMMYFUNCTION("""COMPUTED_VALUE"""),"K/13/220725/1")</f>
        <v>K/13/220725/1</v>
      </c>
      <c r="C6007" s="42" t="str">
        <f>IFERROR(__xludf.DUMMYFUNCTION("""COMPUTED_VALUE"""),"NIBEL M. 16824/WAY KANDIS")</f>
        <v>NIBEL M. 16824/WAY KANDIS</v>
      </c>
      <c r="D6007" s="42"/>
      <c r="E6007" s="42"/>
      <c r="F6007" s="48" t="str">
        <f>IFERROR(__xludf.DUMMYFUNCTION("""COMPUTED_VALUE"""),"")</f>
        <v/>
      </c>
      <c r="G6007" s="42" t="str">
        <f>IFERROR(__xludf.DUMMYFUNCTION("""COMPUTED_VALUE"""),"BN JUAL BELI")</f>
        <v>BN JUAL BELI</v>
      </c>
      <c r="H6007" s="42">
        <f t="shared" si="1"/>
        <v>2666</v>
      </c>
    </row>
    <row r="6008" ht="22.5" customHeight="1">
      <c r="B6008" s="42" t="str">
        <f>IFERROR(__xludf.DUMMYFUNCTION("""COMPUTED_VALUE"""),"L/23/220725/2")</f>
        <v>L/23/220725/2</v>
      </c>
      <c r="C6008" s="42" t="str">
        <f>IFERROR(__xludf.DUMMYFUNCTION("""COMPUTED_VALUE"""),"NIB 19155/BAKUNG")</f>
        <v>NIB 19155/BAKUNG</v>
      </c>
      <c r="D6008" s="42"/>
      <c r="E6008" s="42"/>
      <c r="F6008" s="48" t="str">
        <f>IFERROR(__xludf.DUMMYFUNCTION("""COMPUTED_VALUE"""),"")</f>
        <v/>
      </c>
      <c r="G6008" s="42" t="str">
        <f>IFERROR(__xludf.DUMMYFUNCTION("""COMPUTED_VALUE"""),"PH")</f>
        <v>PH</v>
      </c>
      <c r="H6008" s="42">
        <f t="shared" si="1"/>
        <v>2666</v>
      </c>
    </row>
    <row r="6009" ht="22.5" customHeight="1">
      <c r="B6009" s="42" t="str">
        <f>IFERROR(__xludf.DUMMYFUNCTION("""COMPUTED_VALUE"""),"K/24/220725/1")</f>
        <v>K/24/220725/1</v>
      </c>
      <c r="C6009" s="42" t="str">
        <f>IFERROR(__xludf.DUMMYFUNCTION("""COMPUTED_VALUE"""),"NIBEL M. 22409/KEDAMAIAN")</f>
        <v>NIBEL M. 22409/KEDAMAIAN</v>
      </c>
      <c r="D6009" s="42"/>
      <c r="E6009" s="42"/>
      <c r="F6009" s="48" t="str">
        <f>IFERROR(__xludf.DUMMYFUNCTION("""COMPUTED_VALUE"""),"")</f>
        <v/>
      </c>
      <c r="G6009" s="42" t="str">
        <f>IFERROR(__xludf.DUMMYFUNCTION("""COMPUTED_VALUE"""),"BN JUAL BELI")</f>
        <v>BN JUAL BELI</v>
      </c>
      <c r="H6009" s="42">
        <f t="shared" si="1"/>
        <v>2666</v>
      </c>
    </row>
    <row r="6010" ht="22.5" customHeight="1">
      <c r="B6010" s="42" t="str">
        <f>IFERROR(__xludf.DUMMYFUNCTION("""COMPUTED_VALUE"""),"L/26/220725/1")</f>
        <v>L/26/220725/1</v>
      </c>
      <c r="C6010" s="42" t="str">
        <f>IFERROR(__xludf.DUMMYFUNCTION("""COMPUTED_VALUE"""),"HGB 1043/TANJUNG SENANG")</f>
        <v>HGB 1043/TANJUNG SENANG</v>
      </c>
      <c r="D6010" s="42"/>
      <c r="E6010" s="42"/>
      <c r="F6010" s="48" t="str">
        <f>IFERROR(__xludf.DUMMYFUNCTION("""COMPUTED_VALUE"""),"")</f>
        <v/>
      </c>
      <c r="G6010" s="42" t="str">
        <f>IFERROR(__xludf.DUMMYFUNCTION("""COMPUTED_VALUE"""),"ROYA")</f>
        <v>ROYA</v>
      </c>
      <c r="H6010" s="42">
        <f t="shared" si="1"/>
        <v>2666</v>
      </c>
    </row>
    <row r="6011" ht="22.5" customHeight="1">
      <c r="B6011" s="42" t="str">
        <f>IFERROR(__xludf.DUMMYFUNCTION("""COMPUTED_VALUE"""),"K/25/220725/1")</f>
        <v>K/25/220725/1</v>
      </c>
      <c r="C6011" s="42" t="str">
        <f>IFERROR(__xludf.DUMMYFUNCTION("""COMPUTED_VALUE"""),"M. 2265/ Keteguhan")</f>
        <v>M. 2265/ Keteguhan</v>
      </c>
      <c r="D6011" s="42" t="str">
        <f>IFERROR(__xludf.DUMMYFUNCTION("""COMPUTED_VALUE"""),"Berry")</f>
        <v>Berry</v>
      </c>
      <c r="E6011" s="42" t="str">
        <f>IFERROR(__xludf.DUMMYFUNCTION("""COMPUTED_VALUE"""),"DISERAHKAN")</f>
        <v>DISERAHKAN</v>
      </c>
      <c r="F6011" s="48">
        <f>IFERROR(__xludf.DUMMYFUNCTION("""COMPUTED_VALUE"""),45894.576205046294)</f>
        <v>45894.57621</v>
      </c>
      <c r="G6011" s="42" t="str">
        <f>IFERROR(__xludf.DUMMYFUNCTION("""COMPUTED_VALUE"""),"BN Waris")</f>
        <v>BN Waris</v>
      </c>
      <c r="H6011" s="42">
        <f t="shared" si="1"/>
        <v>2667</v>
      </c>
    </row>
    <row r="6012" ht="22.5" customHeight="1">
      <c r="B6012" s="42" t="str">
        <f>IFERROR(__xludf.DUMMYFUNCTION("""COMPUTED_VALUE"""),"K/29/220725/1")</f>
        <v>K/29/220725/1</v>
      </c>
      <c r="C6012" s="42" t="str">
        <f>IFERROR(__xludf.DUMMYFUNCTION("""COMPUTED_VALUE"""),"M. 1050/ Gunung Agung")</f>
        <v>M. 1050/ Gunung Agung</v>
      </c>
      <c r="D6012" s="42" t="str">
        <f>IFERROR(__xludf.DUMMYFUNCTION("""COMPUTED_VALUE"""),"Berry")</f>
        <v>Berry</v>
      </c>
      <c r="E6012" s="42" t="str">
        <f>IFERROR(__xludf.DUMMYFUNCTION("""COMPUTED_VALUE"""),"DISERAHKAN")</f>
        <v>DISERAHKAN</v>
      </c>
      <c r="F6012" s="48">
        <f>IFERROR(__xludf.DUMMYFUNCTION("""COMPUTED_VALUE"""),45880.64500042824)</f>
        <v>45880.645</v>
      </c>
      <c r="G6012" s="42" t="str">
        <f>IFERROR(__xludf.DUMMYFUNCTION("""COMPUTED_VALUE"""),"BN Waris")</f>
        <v>BN Waris</v>
      </c>
      <c r="H6012" s="42">
        <f t="shared" si="1"/>
        <v>2668</v>
      </c>
    </row>
    <row r="6013" ht="22.5" customHeight="1">
      <c r="B6013" s="42" t="str">
        <f>IFERROR(__xludf.DUMMYFUNCTION("""COMPUTED_VALUE"""),"K/27/220725/1")</f>
        <v>K/27/220725/1</v>
      </c>
      <c r="C6013" s="42" t="str">
        <f>IFERROR(__xludf.DUMMYFUNCTION("""COMPUTED_VALUE"""),"NIBEL M.22416/TANJUNG SENENG")</f>
        <v>NIBEL M.22416/TANJUNG SENENG</v>
      </c>
      <c r="D6013" s="42"/>
      <c r="E6013" s="42"/>
      <c r="F6013" s="48" t="str">
        <f>IFERROR(__xludf.DUMMYFUNCTION("""COMPUTED_VALUE"""),"")</f>
        <v/>
      </c>
      <c r="G6013" s="42" t="str">
        <f>IFERROR(__xludf.DUMMYFUNCTION("""COMPUTED_VALUE"""),"JUAL BELI")</f>
        <v>JUAL BELI</v>
      </c>
      <c r="H6013" s="42">
        <f t="shared" si="1"/>
        <v>2668</v>
      </c>
    </row>
    <row r="6014" ht="22.5" customHeight="1">
      <c r="B6014" s="42" t="str">
        <f>IFERROR(__xludf.DUMMYFUNCTION("""COMPUTED_VALUE"""),"K/31/220725/1")</f>
        <v>K/31/220725/1</v>
      </c>
      <c r="C6014" s="42" t="str">
        <f>IFERROR(__xludf.DUMMYFUNCTION("""COMPUTED_VALUE"""),"M. 14371/ Sukabumi")</f>
        <v>M. 14371/ Sukabumi</v>
      </c>
      <c r="D6014" s="42" t="str">
        <f>IFERROR(__xludf.DUMMYFUNCTION("""COMPUTED_VALUE"""),"Berry")</f>
        <v>Berry</v>
      </c>
      <c r="E6014" s="42" t="str">
        <f>IFERROR(__xludf.DUMMYFUNCTION("""COMPUTED_VALUE"""),"DISERAHKAN")</f>
        <v>DISERAHKAN</v>
      </c>
      <c r="F6014" s="48">
        <f>IFERROR(__xludf.DUMMYFUNCTION("""COMPUTED_VALUE"""),45880.71825322916)</f>
        <v>45880.71825</v>
      </c>
      <c r="G6014" s="42" t="str">
        <f>IFERROR(__xludf.DUMMYFUNCTION("""COMPUTED_VALUE"""),"BN JUAL BELI")</f>
        <v>BN JUAL BELI</v>
      </c>
      <c r="H6014" s="42">
        <f t="shared" si="1"/>
        <v>2669</v>
      </c>
    </row>
    <row r="6015" ht="22.5" customHeight="1">
      <c r="B6015" s="42" t="str">
        <f>IFERROR(__xludf.DUMMYFUNCTION("""COMPUTED_VALUE"""),"K/32/220725/2")</f>
        <v>K/32/220725/2</v>
      </c>
      <c r="C6015" s="42" t="str">
        <f>IFERROR(__xludf.DUMMYFUNCTION("""COMPUTED_VALUE"""),"Nibel 3599/ Sukadana Ham")</f>
        <v>Nibel 3599/ Sukadana Ham</v>
      </c>
      <c r="D6015" s="42"/>
      <c r="E6015" s="42"/>
      <c r="F6015" s="48" t="str">
        <f>IFERROR(__xludf.DUMMYFUNCTION("""COMPUTED_VALUE"""),"")</f>
        <v/>
      </c>
      <c r="G6015" s="42" t="str">
        <f>IFERROR(__xludf.DUMMYFUNCTION("""COMPUTED_VALUE"""),"BN JUAL BELI")</f>
        <v>BN JUAL BELI</v>
      </c>
      <c r="H6015" s="42">
        <f t="shared" si="1"/>
        <v>2669</v>
      </c>
    </row>
    <row r="6016" ht="22.5" customHeight="1">
      <c r="B6016" s="42" t="str">
        <f>IFERROR(__xludf.DUMMYFUNCTION("""COMPUTED_VALUE"""),"K/30/220725/1")</f>
        <v>K/30/220725/1</v>
      </c>
      <c r="C6016" s="42" t="str">
        <f>IFERROR(__xludf.DUMMYFUNCTION("""COMPUTED_VALUE"""),"M.16753/SUKABUMI")</f>
        <v>M.16753/SUKABUMI</v>
      </c>
      <c r="D6016" s="42" t="str">
        <f>IFERROR(__xludf.DUMMYFUNCTION("""COMPUTED_VALUE"""),"David")</f>
        <v>David</v>
      </c>
      <c r="E6016" s="42" t="str">
        <f>IFERROR(__xludf.DUMMYFUNCTION("""COMPUTED_VALUE"""),"DISERAHKAN")</f>
        <v>DISERAHKAN</v>
      </c>
      <c r="F6016" s="48">
        <f>IFERROR(__xludf.DUMMYFUNCTION("""COMPUTED_VALUE"""),45880.64420546296)</f>
        <v>45880.64421</v>
      </c>
      <c r="G6016" s="42" t="str">
        <f>IFERROR(__xludf.DUMMYFUNCTION("""COMPUTED_VALUE"""),"JUAL BELI")</f>
        <v>JUAL BELI</v>
      </c>
      <c r="H6016" s="42">
        <f t="shared" si="1"/>
        <v>2670</v>
      </c>
    </row>
    <row r="6017" ht="22.5" customHeight="1">
      <c r="B6017" s="42" t="str">
        <f>IFERROR(__xludf.DUMMYFUNCTION("""COMPUTED_VALUE"""),"K/36/220725/3")</f>
        <v>K/36/220725/3</v>
      </c>
      <c r="C6017" s="42" t="str">
        <f>IFERROR(__xludf.DUMMYFUNCTION("""COMPUTED_VALUE"""),"M. 184/ Kota Sepang")</f>
        <v>M. 184/ Kota Sepang</v>
      </c>
      <c r="D6017" s="42"/>
      <c r="E6017" s="42"/>
      <c r="F6017" s="48" t="str">
        <f>IFERROR(__xludf.DUMMYFUNCTION("""COMPUTED_VALUE"""),"")</f>
        <v/>
      </c>
      <c r="G6017" s="42" t="str">
        <f>IFERROR(__xludf.DUMMYFUNCTION("""COMPUTED_VALUE"""),"BN Waris ")</f>
        <v>BN Waris </v>
      </c>
      <c r="H6017" s="42">
        <f t="shared" si="1"/>
        <v>2670</v>
      </c>
    </row>
    <row r="6018" ht="22.5" customHeight="1">
      <c r="B6018" s="42" t="str">
        <f>IFERROR(__xludf.DUMMYFUNCTION("""COMPUTED_VALUE"""),"K/34/220725/1")</f>
        <v>K/34/220725/1</v>
      </c>
      <c r="C6018" s="42" t="str">
        <f>IFERROR(__xludf.DUMMYFUNCTION("""COMPUTED_VALUE"""),"M. 10786/ Gedong Meneng")</f>
        <v>M. 10786/ Gedong Meneng</v>
      </c>
      <c r="D6018" s="42"/>
      <c r="E6018" s="42"/>
      <c r="F6018" s="48" t="str">
        <f>IFERROR(__xludf.DUMMYFUNCTION("""COMPUTED_VALUE"""),"")</f>
        <v/>
      </c>
      <c r="G6018" s="42" t="str">
        <f>IFERROR(__xludf.DUMMYFUNCTION("""COMPUTED_VALUE"""),"BN Jual Beli")</f>
        <v>BN Jual Beli</v>
      </c>
      <c r="H6018" s="42">
        <f t="shared" si="1"/>
        <v>2670</v>
      </c>
    </row>
    <row r="6019" ht="22.5" customHeight="1">
      <c r="B6019" s="42" t="str">
        <f>IFERROR(__xludf.DUMMYFUNCTION("""COMPUTED_VALUE"""),"K/35/220725/2")</f>
        <v>K/35/220725/2</v>
      </c>
      <c r="C6019" s="42" t="str">
        <f>IFERROR(__xludf.DUMMYFUNCTION("""COMPUTED_VALUE"""),"M. 10785/ Gedong Meneng")</f>
        <v>M. 10785/ Gedong Meneng</v>
      </c>
      <c r="D6019" s="42"/>
      <c r="E6019" s="42"/>
      <c r="F6019" s="48" t="str">
        <f>IFERROR(__xludf.DUMMYFUNCTION("""COMPUTED_VALUE"""),"")</f>
        <v/>
      </c>
      <c r="G6019" s="42" t="str">
        <f>IFERROR(__xludf.DUMMYFUNCTION("""COMPUTED_VALUE"""),"BN Jual Beli")</f>
        <v>BN Jual Beli</v>
      </c>
      <c r="H6019" s="42">
        <f t="shared" si="1"/>
        <v>2670</v>
      </c>
    </row>
    <row r="6020" ht="22.5" customHeight="1">
      <c r="B6020" s="42" t="str">
        <f>IFERROR(__xludf.DUMMYFUNCTION("""COMPUTED_VALUE"""),"K/33/220725/3")</f>
        <v>K/33/220725/3</v>
      </c>
      <c r="C6020" s="42" t="str">
        <f>IFERROR(__xludf.DUMMYFUNCTION("""COMPUTED_VALUE"""),"B. 765/ SUmur Putri")</f>
        <v>B. 765/ SUmur Putri</v>
      </c>
      <c r="D6020" s="42"/>
      <c r="E6020" s="42"/>
      <c r="F6020" s="48" t="str">
        <f>IFERROR(__xludf.DUMMYFUNCTION("""COMPUTED_VALUE"""),"")</f>
        <v/>
      </c>
      <c r="G6020" s="42" t="str">
        <f>IFERROR(__xludf.DUMMYFUNCTION("""COMPUTED_VALUE"""),"BN JUAL BELI")</f>
        <v>BN JUAL BELI</v>
      </c>
      <c r="H6020" s="42">
        <f t="shared" si="1"/>
        <v>2670</v>
      </c>
    </row>
    <row r="6021" ht="22.5" customHeight="1">
      <c r="B6021" s="42" t="str">
        <f>IFERROR(__xludf.DUMMYFUNCTION("""COMPUTED_VALUE"""),"L/1/230725/1")</f>
        <v>L/1/230725/1</v>
      </c>
      <c r="C6021" s="42" t="str">
        <f>IFERROR(__xludf.DUMMYFUNCTION("""COMPUTED_VALUE"""),"HGB 37/RAJABASA PEMUKA")</f>
        <v>HGB 37/RAJABASA PEMUKA</v>
      </c>
      <c r="D6021" s="42" t="str">
        <f>IFERROR(__xludf.DUMMYFUNCTION("""COMPUTED_VALUE"""),"Berry")</f>
        <v>Berry</v>
      </c>
      <c r="E6021" s="42" t="str">
        <f>IFERROR(__xludf.DUMMYFUNCTION("""COMPUTED_VALUE"""),"DISERAHKAN")</f>
        <v>DISERAHKAN</v>
      </c>
      <c r="F6021" s="48">
        <f>IFERROR(__xludf.DUMMYFUNCTION("""COMPUTED_VALUE"""),45889.581246608795)</f>
        <v>45889.58125</v>
      </c>
      <c r="G6021" s="42" t="str">
        <f>IFERROR(__xludf.DUMMYFUNCTION("""COMPUTED_VALUE"""),"PH")</f>
        <v>PH</v>
      </c>
      <c r="H6021" s="42">
        <f t="shared" si="1"/>
        <v>2671</v>
      </c>
    </row>
    <row r="6022" ht="22.5" customHeight="1">
      <c r="B6022" s="42" t="str">
        <f>IFERROR(__xludf.DUMMYFUNCTION("""COMPUTED_VALUE"""),"K/3/230725/1")</f>
        <v>K/3/230725/1</v>
      </c>
      <c r="C6022" s="42" t="str">
        <f>IFERROR(__xludf.DUMMYFUNCTION("""COMPUTED_VALUE"""),"B. 3495/ Sukarame")</f>
        <v>B. 3495/ Sukarame</v>
      </c>
      <c r="D6022" s="42" t="str">
        <f>IFERROR(__xludf.DUMMYFUNCTION("""COMPUTED_VALUE"""),"Berry")</f>
        <v>Berry</v>
      </c>
      <c r="E6022" s="42" t="str">
        <f>IFERROR(__xludf.DUMMYFUNCTION("""COMPUTED_VALUE"""),"DISERAHKAN")</f>
        <v>DISERAHKAN</v>
      </c>
      <c r="F6022" s="48">
        <f>IFERROR(__xludf.DUMMYFUNCTION("""COMPUTED_VALUE"""),45894.59293564815)</f>
        <v>45894.59294</v>
      </c>
      <c r="G6022" s="42" t="str">
        <f>IFERROR(__xludf.DUMMYFUNCTION("""COMPUTED_VALUE"""),"BN JUAL BELI")</f>
        <v>BN JUAL BELI</v>
      </c>
      <c r="H6022" s="42">
        <f t="shared" si="1"/>
        <v>2672</v>
      </c>
    </row>
    <row r="6023" ht="22.5" customHeight="1">
      <c r="B6023" s="42" t="str">
        <f>IFERROR(__xludf.DUMMYFUNCTION("""COMPUTED_VALUE"""),"K/4/230725/2")</f>
        <v>K/4/230725/2</v>
      </c>
      <c r="C6023" s="42" t="str">
        <f>IFERROR(__xludf.DUMMYFUNCTION("""COMPUTED_VALUE"""),"Nibel 17498/ Campang raya")</f>
        <v>Nibel 17498/ Campang raya</v>
      </c>
      <c r="D6023" s="42"/>
      <c r="E6023" s="42"/>
      <c r="F6023" s="48" t="str">
        <f>IFERROR(__xludf.DUMMYFUNCTION("""COMPUTED_VALUE"""),"")</f>
        <v/>
      </c>
      <c r="G6023" s="42" t="str">
        <f>IFERROR(__xludf.DUMMYFUNCTION("""COMPUTED_VALUE"""),"BN JUAL BELI")</f>
        <v>BN JUAL BELI</v>
      </c>
      <c r="H6023" s="42">
        <f t="shared" si="1"/>
        <v>2672</v>
      </c>
    </row>
    <row r="6024" ht="22.5" customHeight="1">
      <c r="B6024" s="42" t="str">
        <f>IFERROR(__xludf.DUMMYFUNCTION("""COMPUTED_VALUE"""),"K/5/230725/1")</f>
        <v>K/5/230725/1</v>
      </c>
      <c r="C6024" s="42" t="str">
        <f>IFERROR(__xludf.DUMMYFUNCTION("""COMPUTED_VALUE"""),"M. 18194/ Sukarame")</f>
        <v>M. 18194/ Sukarame</v>
      </c>
      <c r="D6024" s="42" t="str">
        <f>IFERROR(__xludf.DUMMYFUNCTION("""COMPUTED_VALUE"""),"Berry")</f>
        <v>Berry</v>
      </c>
      <c r="E6024" s="42" t="str">
        <f>IFERROR(__xludf.DUMMYFUNCTION("""COMPUTED_VALUE"""),"DISERAHKAN")</f>
        <v>DISERAHKAN</v>
      </c>
      <c r="F6024" s="48">
        <f>IFERROR(__xludf.DUMMYFUNCTION("""COMPUTED_VALUE"""),45880.715402013884)</f>
        <v>45880.7154</v>
      </c>
      <c r="G6024" s="42" t="str">
        <f>IFERROR(__xludf.DUMMYFUNCTION("""COMPUTED_VALUE"""),"BN JUAL BELI")</f>
        <v>BN JUAL BELI</v>
      </c>
      <c r="H6024" s="42">
        <f t="shared" si="1"/>
        <v>2673</v>
      </c>
    </row>
    <row r="6025" ht="22.5" customHeight="1">
      <c r="B6025" s="42" t="str">
        <f>IFERROR(__xludf.DUMMYFUNCTION("""COMPUTED_VALUE"""),"L/6/230725/1")</f>
        <v>L/6/230725/1</v>
      </c>
      <c r="C6025" s="42" t="str">
        <f>IFERROR(__xludf.DUMMYFUNCTION("""COMPUTED_VALUE"""),"HGB 1594/BUMI KEDAMAIAN")</f>
        <v>HGB 1594/BUMI KEDAMAIAN</v>
      </c>
      <c r="D6025" s="42"/>
      <c r="E6025" s="42"/>
      <c r="F6025" s="48" t="str">
        <f>IFERROR(__xludf.DUMMYFUNCTION("""COMPUTED_VALUE"""),"")</f>
        <v/>
      </c>
      <c r="G6025" s="42" t="str">
        <f>IFERROR(__xludf.DUMMYFUNCTION("""COMPUTED_VALUE"""),"PH")</f>
        <v>PH</v>
      </c>
      <c r="H6025" s="42">
        <f t="shared" si="1"/>
        <v>2673</v>
      </c>
    </row>
    <row r="6026" ht="22.5" customHeight="1">
      <c r="B6026" s="42" t="str">
        <f>IFERROR(__xludf.DUMMYFUNCTION("""COMPUTED_VALUE"""),"K/37/220725/1")</f>
        <v>K/37/220725/1</v>
      </c>
      <c r="C6026" s="42" t="str">
        <f>IFERROR(__xludf.DUMMYFUNCTION("""COMPUTED_VALUE"""),"B.192/SUKAMAJU")</f>
        <v>B.192/SUKAMAJU</v>
      </c>
      <c r="D6026" s="42"/>
      <c r="E6026" s="42"/>
      <c r="F6026" s="48" t="str">
        <f>IFERROR(__xludf.DUMMYFUNCTION("""COMPUTED_VALUE"""),"")</f>
        <v/>
      </c>
      <c r="G6026" s="42" t="str">
        <f>IFERROR(__xludf.DUMMYFUNCTION("""COMPUTED_VALUE"""),"PENDAFTARAN SK")</f>
        <v>PENDAFTARAN SK</v>
      </c>
      <c r="H6026" s="42">
        <f t="shared" si="1"/>
        <v>2673</v>
      </c>
    </row>
    <row r="6027" ht="22.5" customHeight="1">
      <c r="B6027" s="42" t="str">
        <f>IFERROR(__xludf.DUMMYFUNCTION("""COMPUTED_VALUE"""),"K/28/220725/1")</f>
        <v>K/28/220725/1</v>
      </c>
      <c r="C6027" s="42" t="str">
        <f>IFERROR(__xludf.DUMMYFUNCTION("""COMPUTED_VALUE"""),"NIBEL M. 21190/SUMUR PUTRI")</f>
        <v>NIBEL M. 21190/SUMUR PUTRI</v>
      </c>
      <c r="D6027" s="42"/>
      <c r="E6027" s="42"/>
      <c r="F6027" s="48" t="str">
        <f>IFERROR(__xludf.DUMMYFUNCTION("""COMPUTED_VALUE"""),"")</f>
        <v/>
      </c>
      <c r="G6027" s="42" t="str">
        <f>IFERROR(__xludf.DUMMYFUNCTION("""COMPUTED_VALUE"""),"JUAL BELI")</f>
        <v>JUAL BELI</v>
      </c>
      <c r="H6027" s="42">
        <f t="shared" si="1"/>
        <v>2673</v>
      </c>
    </row>
    <row r="6028" ht="22.5" customHeight="1">
      <c r="B6028" s="42" t="str">
        <f>IFERROR(__xludf.DUMMYFUNCTION("""COMPUTED_VALUE"""),"K/8/230725/1")</f>
        <v>K/8/230725/1</v>
      </c>
      <c r="C6028" s="42" t="str">
        <f>IFERROR(__xludf.DUMMYFUNCTION("""COMPUTED_VALUE"""),"B. 616/ Nusantara Permai")</f>
        <v>B. 616/ Nusantara Permai</v>
      </c>
      <c r="D6028" s="42"/>
      <c r="E6028" s="42"/>
      <c r="F6028" s="48" t="str">
        <f>IFERROR(__xludf.DUMMYFUNCTION("""COMPUTED_VALUE"""),"")</f>
        <v/>
      </c>
      <c r="G6028" s="42" t="str">
        <f>IFERROR(__xludf.DUMMYFUNCTION("""COMPUTED_VALUE"""),"Perubahan Hak")</f>
        <v>Perubahan Hak</v>
      </c>
      <c r="H6028" s="42">
        <f t="shared" si="1"/>
        <v>2673</v>
      </c>
    </row>
    <row r="6029" ht="22.5" customHeight="1">
      <c r="B6029" s="42" t="str">
        <f>IFERROR(__xludf.DUMMYFUNCTION("""COMPUTED_VALUE"""),"K/7/230725/1")</f>
        <v>K/7/230725/1</v>
      </c>
      <c r="C6029" s="42" t="str">
        <f>IFERROR(__xludf.DUMMYFUNCTION("""COMPUTED_VALUE"""),"M.10502/KAMPUNG BARU")</f>
        <v>M.10502/KAMPUNG BARU</v>
      </c>
      <c r="D6029" s="42"/>
      <c r="E6029" s="42"/>
      <c r="F6029" s="48" t="str">
        <f>IFERROR(__xludf.DUMMYFUNCTION("""COMPUTED_VALUE"""),"")</f>
        <v/>
      </c>
      <c r="G6029" s="42" t="str">
        <f>IFERROR(__xludf.DUMMYFUNCTION("""COMPUTED_VALUE"""),"JUAL BELI")</f>
        <v>JUAL BELI</v>
      </c>
      <c r="H6029" s="42">
        <f t="shared" si="1"/>
        <v>2673</v>
      </c>
    </row>
    <row r="6030" ht="22.5" customHeight="1">
      <c r="B6030" s="42" t="str">
        <f>IFERROR(__xludf.DUMMYFUNCTION("""COMPUTED_VALUE"""),"K/10/230725/1")</f>
        <v>K/10/230725/1</v>
      </c>
      <c r="C6030" s="42" t="str">
        <f>IFERROR(__xludf.DUMMYFUNCTION("""COMPUTED_VALUE"""),"M. 2391/ Langkapura")</f>
        <v>M. 2391/ Langkapura</v>
      </c>
      <c r="D6030" s="42" t="str">
        <f>IFERROR(__xludf.DUMMYFUNCTION("""COMPUTED_VALUE"""),"Berry")</f>
        <v>Berry</v>
      </c>
      <c r="E6030" s="42" t="str">
        <f>IFERROR(__xludf.DUMMYFUNCTION("""COMPUTED_VALUE"""),"DISERAHKAN")</f>
        <v>DISERAHKAN</v>
      </c>
      <c r="F6030" s="48">
        <f>IFERROR(__xludf.DUMMYFUNCTION("""COMPUTED_VALUE"""),45891.59118167824)</f>
        <v>45891.59118</v>
      </c>
      <c r="G6030" s="42" t="str">
        <f>IFERROR(__xludf.DUMMYFUNCTION("""COMPUTED_VALUE"""),"ROYA")</f>
        <v>ROYA</v>
      </c>
      <c r="H6030" s="42">
        <f t="shared" si="1"/>
        <v>2674</v>
      </c>
    </row>
    <row r="6031" ht="22.5" customHeight="1">
      <c r="B6031" s="42" t="str">
        <f>IFERROR(__xludf.DUMMYFUNCTION("""COMPUTED_VALUE"""),"K/11/230725/1")</f>
        <v>K/11/230725/1</v>
      </c>
      <c r="C6031" s="42" t="str">
        <f>IFERROR(__xludf.DUMMYFUNCTION("""COMPUTED_VALUE"""),"M.1927/SUMUR BATU")</f>
        <v>M.1927/SUMUR BATU</v>
      </c>
      <c r="D6031" s="42" t="str">
        <f>IFERROR(__xludf.DUMMYFUNCTION("""COMPUTED_VALUE"""),"Berry")</f>
        <v>Berry</v>
      </c>
      <c r="E6031" s="42" t="str">
        <f>IFERROR(__xludf.DUMMYFUNCTION("""COMPUTED_VALUE"""),"DISERAHKAN")</f>
        <v>DISERAHKAN</v>
      </c>
      <c r="F6031" s="48">
        <f>IFERROR(__xludf.DUMMYFUNCTION("""COMPUTED_VALUE"""),45880.64607127315)</f>
        <v>45880.64607</v>
      </c>
      <c r="G6031" s="42" t="str">
        <f>IFERROR(__xludf.DUMMYFUNCTION("""COMPUTED_VALUE"""),"JUAL BELI")</f>
        <v>JUAL BELI</v>
      </c>
      <c r="H6031" s="42">
        <f t="shared" si="1"/>
        <v>2675</v>
      </c>
    </row>
    <row r="6032" ht="22.5" customHeight="1">
      <c r="B6032" s="42" t="str">
        <f>IFERROR(__xludf.DUMMYFUNCTION("""COMPUTED_VALUE"""),"K/9/230725/1")</f>
        <v>K/9/230725/1</v>
      </c>
      <c r="C6032" s="42" t="str">
        <f>IFERROR(__xludf.DUMMYFUNCTION("""COMPUTED_VALUE"""),"GULAK GALIK")</f>
        <v>GULAK GALIK</v>
      </c>
      <c r="D6032" s="42"/>
      <c r="E6032" s="42"/>
      <c r="F6032" s="48" t="str">
        <f>IFERROR(__xludf.DUMMYFUNCTION("""COMPUTED_VALUE"""),"")</f>
        <v/>
      </c>
      <c r="G6032" s="42" t="str">
        <f>IFERROR(__xludf.DUMMYFUNCTION("""COMPUTED_VALUE"""),"PENGUKURAN TANAH MENTAH")</f>
        <v>PENGUKURAN TANAH MENTAH</v>
      </c>
      <c r="H6032" s="42">
        <f t="shared" si="1"/>
        <v>2675</v>
      </c>
    </row>
    <row r="6033" ht="22.5" customHeight="1">
      <c r="B6033" s="42" t="str">
        <f>IFERROR(__xludf.DUMMYFUNCTION("""COMPUTED_VALUE"""),"K/13/230725/1")</f>
        <v>K/13/230725/1</v>
      </c>
      <c r="C6033" s="42" t="str">
        <f>IFERROR(__xludf.DUMMYFUNCTION("""COMPUTED_VALUE"""),"M. 5623/ Way Kandis")</f>
        <v>M. 5623/ Way Kandis</v>
      </c>
      <c r="D6033" s="42"/>
      <c r="E6033" s="42"/>
      <c r="F6033" s="48" t="str">
        <f>IFERROR(__xludf.DUMMYFUNCTION("""COMPUTED_VALUE"""),"")</f>
        <v/>
      </c>
      <c r="G6033" s="42" t="str">
        <f>IFERROR(__xludf.DUMMYFUNCTION("""COMPUTED_VALUE"""),"Hapus BPHTB")</f>
        <v>Hapus BPHTB</v>
      </c>
      <c r="H6033" s="42">
        <f t="shared" si="1"/>
        <v>2675</v>
      </c>
    </row>
    <row r="6034" ht="22.5" customHeight="1">
      <c r="B6034" s="42" t="str">
        <f>IFERROR(__xludf.DUMMYFUNCTION("""COMPUTED_VALUE"""),"K/11/230725/2")</f>
        <v>K/11/230725/2</v>
      </c>
      <c r="C6034" s="42" t="str">
        <f>IFERROR(__xludf.DUMMYFUNCTION("""COMPUTED_VALUE"""),"B. 614/ Nusantara Permai")</f>
        <v>B. 614/ Nusantara Permai</v>
      </c>
      <c r="D6034" s="42"/>
      <c r="E6034" s="42"/>
      <c r="F6034" s="48" t="str">
        <f>IFERROR(__xludf.DUMMYFUNCTION("""COMPUTED_VALUE"""),"")</f>
        <v/>
      </c>
      <c r="G6034" s="42" t="str">
        <f>IFERROR(__xludf.DUMMYFUNCTION("""COMPUTED_VALUE"""),"PERUBAHAN HAK")</f>
        <v>PERUBAHAN HAK</v>
      </c>
      <c r="H6034" s="42">
        <f t="shared" si="1"/>
        <v>2675</v>
      </c>
    </row>
    <row r="6035" ht="22.5" customHeight="1">
      <c r="B6035" s="42" t="str">
        <f>IFERROR(__xludf.DUMMYFUNCTION("""COMPUTED_VALUE"""),"K/14/230725/1")</f>
        <v>K/14/230725/1</v>
      </c>
      <c r="C6035" s="42" t="str">
        <f>IFERROR(__xludf.DUMMYFUNCTION("""COMPUTED_VALUE"""),"M. 1901/ Kota Baru")</f>
        <v>M. 1901/ Kota Baru</v>
      </c>
      <c r="D6035" s="42" t="str">
        <f>IFERROR(__xludf.DUMMYFUNCTION("""COMPUTED_VALUE"""),"David")</f>
        <v>David</v>
      </c>
      <c r="E6035" s="42" t="str">
        <f>IFERROR(__xludf.DUMMYFUNCTION("""COMPUTED_VALUE"""),"DISERAHKAN")</f>
        <v>DISERAHKAN</v>
      </c>
      <c r="F6035" s="48">
        <f>IFERROR(__xludf.DUMMYFUNCTION("""COMPUTED_VALUE"""),45880.64826934028)</f>
        <v>45880.64827</v>
      </c>
      <c r="G6035" s="42" t="str">
        <f>IFERROR(__xludf.DUMMYFUNCTION("""COMPUTED_VALUE"""),"BN Jual Beli")</f>
        <v>BN Jual Beli</v>
      </c>
      <c r="H6035" s="42">
        <f t="shared" si="1"/>
        <v>2676</v>
      </c>
    </row>
    <row r="6036" ht="22.5" customHeight="1">
      <c r="B6036" s="42" t="str">
        <f>IFERROR(__xludf.DUMMYFUNCTION("""COMPUTED_VALUE"""),"L/17/230725/1")</f>
        <v>L/17/230725/1</v>
      </c>
      <c r="C6036" s="42" t="str">
        <f>IFERROR(__xludf.DUMMYFUNCTION("""COMPUTED_VALUE"""),"HGB 1112/SUKABUMI INDAH")</f>
        <v>HGB 1112/SUKABUMI INDAH</v>
      </c>
      <c r="D6036" s="42"/>
      <c r="E6036" s="42"/>
      <c r="F6036" s="48" t="str">
        <f>IFERROR(__xludf.DUMMYFUNCTION("""COMPUTED_VALUE"""),"")</f>
        <v/>
      </c>
      <c r="G6036" s="42" t="str">
        <f>IFERROR(__xludf.DUMMYFUNCTION("""COMPUTED_VALUE"""),"PH")</f>
        <v>PH</v>
      </c>
      <c r="H6036" s="42">
        <f t="shared" si="1"/>
        <v>2676</v>
      </c>
    </row>
    <row r="6037" ht="22.5" customHeight="1">
      <c r="B6037" s="42" t="str">
        <f>IFERROR(__xludf.DUMMYFUNCTION("""COMPUTED_VALUE"""),"K/15/230725/1")</f>
        <v>K/15/230725/1</v>
      </c>
      <c r="C6037" s="42" t="str">
        <f>IFERROR(__xludf.DUMMYFUNCTION("""COMPUTED_VALUE"""),"NIBEL M 21497/SUKABUMI")</f>
        <v>NIBEL M 21497/SUKABUMI</v>
      </c>
      <c r="D6037" s="42"/>
      <c r="E6037" s="42"/>
      <c r="F6037" s="48" t="str">
        <f>IFERROR(__xludf.DUMMYFUNCTION("""COMPUTED_VALUE"""),"")</f>
        <v/>
      </c>
      <c r="G6037" s="42" t="str">
        <f>IFERROR(__xludf.DUMMYFUNCTION("""COMPUTED_VALUE"""),"JUAL BELI")</f>
        <v>JUAL BELI</v>
      </c>
      <c r="H6037" s="42">
        <f t="shared" si="1"/>
        <v>2676</v>
      </c>
    </row>
    <row r="6038" ht="22.5" customHeight="1">
      <c r="B6038" s="42" t="str">
        <f>IFERROR(__xludf.DUMMYFUNCTION("""COMPUTED_VALUE"""),"K/16/230725/2")</f>
        <v>K/16/230725/2</v>
      </c>
      <c r="C6038" s="42" t="str">
        <f>IFERROR(__xludf.DUMMYFUNCTION("""COMPUTED_VALUE"""),"NIBEL.18390/RAJABASA RAYA")</f>
        <v>NIBEL.18390/RAJABASA RAYA</v>
      </c>
      <c r="D6038" s="42"/>
      <c r="E6038" s="42"/>
      <c r="F6038" s="48" t="str">
        <f>IFERROR(__xludf.DUMMYFUNCTION("""COMPUTED_VALUE"""),"")</f>
        <v/>
      </c>
      <c r="G6038" s="42" t="str">
        <f>IFERROR(__xludf.DUMMYFUNCTION("""COMPUTED_VALUE"""),"JUAL BELI")</f>
        <v>JUAL BELI</v>
      </c>
      <c r="H6038" s="42">
        <f t="shared" si="1"/>
        <v>2676</v>
      </c>
    </row>
    <row r="6039" ht="22.5" customHeight="1">
      <c r="B6039" s="42" t="str">
        <f>IFERROR(__xludf.DUMMYFUNCTION("""COMPUTED_VALUE"""),"K/18/230725/1")</f>
        <v>K/18/230725/1</v>
      </c>
      <c r="C6039" s="42" t="str">
        <f>IFERROR(__xludf.DUMMYFUNCTION("""COMPUTED_VALUE"""),"NIbel 12280/ Rajabasa Jaya")</f>
        <v>NIbel 12280/ Rajabasa Jaya</v>
      </c>
      <c r="D6039" s="42"/>
      <c r="E6039" s="42"/>
      <c r="F6039" s="48" t="str">
        <f>IFERROR(__xludf.DUMMYFUNCTION("""COMPUTED_VALUE"""),"")</f>
        <v/>
      </c>
      <c r="G6039" s="42" t="str">
        <f>IFERROR(__xludf.DUMMYFUNCTION("""COMPUTED_VALUE"""),"BN JUAL BELI")</f>
        <v>BN JUAL BELI</v>
      </c>
      <c r="H6039" s="42">
        <f t="shared" si="1"/>
        <v>2676</v>
      </c>
    </row>
    <row r="6040" ht="22.5" customHeight="1">
      <c r="B6040" s="42" t="str">
        <f>IFERROR(__xludf.DUMMYFUNCTION("""COMPUTED_VALUE"""),"K/19/230725/1")</f>
        <v>K/19/230725/1</v>
      </c>
      <c r="C6040" s="42" t="str">
        <f>IFERROR(__xludf.DUMMYFUNCTION("""COMPUTED_VALUE"""),"HM 2749/SUMBER REJO")</f>
        <v>HM 2749/SUMBER REJO</v>
      </c>
      <c r="D6040" s="42"/>
      <c r="E6040" s="42"/>
      <c r="F6040" s="48" t="str">
        <f>IFERROR(__xludf.DUMMYFUNCTION("""COMPUTED_VALUE"""),"")</f>
        <v/>
      </c>
      <c r="G6040" s="42" t="str">
        <f>IFERROR(__xludf.DUMMYFUNCTION("""COMPUTED_VALUE"""),"BN JUAL - BELI")</f>
        <v>BN JUAL - BELI</v>
      </c>
      <c r="H6040" s="42">
        <f t="shared" si="1"/>
        <v>2676</v>
      </c>
    </row>
    <row r="6041" ht="22.5" customHeight="1">
      <c r="B6041" s="42" t="str">
        <f>IFERROR(__xludf.DUMMYFUNCTION("""COMPUTED_VALUE"""),"K/20/230725/2")</f>
        <v>K/20/230725/2</v>
      </c>
      <c r="C6041" s="42" t="str">
        <f>IFERROR(__xludf.DUMMYFUNCTION("""COMPUTED_VALUE"""),"HM 70/PINANG JAYA")</f>
        <v>HM 70/PINANG JAYA</v>
      </c>
      <c r="D6041" s="42"/>
      <c r="E6041" s="42"/>
      <c r="F6041" s="48" t="str">
        <f>IFERROR(__xludf.DUMMYFUNCTION("""COMPUTED_VALUE"""),"")</f>
        <v/>
      </c>
      <c r="G6041" s="42" t="str">
        <f>IFERROR(__xludf.DUMMYFUNCTION("""COMPUTED_VALUE"""),"BN JUAL-BELI")</f>
        <v>BN JUAL-BELI</v>
      </c>
      <c r="H6041" s="42">
        <f t="shared" si="1"/>
        <v>2676</v>
      </c>
    </row>
    <row r="6042" ht="22.5" customHeight="1">
      <c r="B6042" s="42" t="str">
        <f>IFERROR(__xludf.DUMMYFUNCTION("""COMPUTED_VALUE"""),"K/21/230725/3")</f>
        <v>K/21/230725/3</v>
      </c>
      <c r="C6042" s="42" t="str">
        <f>IFERROR(__xludf.DUMMYFUNCTION("""COMPUTED_VALUE"""),"HM 1070/BAKUNG")</f>
        <v>HM 1070/BAKUNG</v>
      </c>
      <c r="D6042" s="42"/>
      <c r="E6042" s="42"/>
      <c r="F6042" s="48" t="str">
        <f>IFERROR(__xludf.DUMMYFUNCTION("""COMPUTED_VALUE"""),"")</f>
        <v/>
      </c>
      <c r="G6042" s="42" t="str">
        <f>IFERROR(__xludf.DUMMYFUNCTION("""COMPUTED_VALUE"""),"ABN JUAL-BELI")</f>
        <v>ABN JUAL-BELI</v>
      </c>
      <c r="H6042" s="42">
        <f t="shared" si="1"/>
        <v>2676</v>
      </c>
    </row>
    <row r="6043" ht="22.5" customHeight="1">
      <c r="B6043" s="42" t="str">
        <f>IFERROR(__xludf.DUMMYFUNCTION("""COMPUTED_VALUE"""),"L/25/230725/1")</f>
        <v>L/25/230725/1</v>
      </c>
      <c r="C6043" s="42" t="str">
        <f>IFERROR(__xludf.DUMMYFUNCTION("""COMPUTED_VALUE"""),"B.604/NUSANTARA PERMAI")</f>
        <v>B.604/NUSANTARA PERMAI</v>
      </c>
      <c r="D6043" s="42"/>
      <c r="E6043" s="42"/>
      <c r="F6043" s="48" t="str">
        <f>IFERROR(__xludf.DUMMYFUNCTION("""COMPUTED_VALUE"""),"")</f>
        <v/>
      </c>
      <c r="G6043" s="42" t="str">
        <f>IFERROR(__xludf.DUMMYFUNCTION("""COMPUTED_VALUE"""),"PENINGKATAN HAK")</f>
        <v>PENINGKATAN HAK</v>
      </c>
      <c r="H6043" s="42">
        <f t="shared" si="1"/>
        <v>2676</v>
      </c>
    </row>
    <row r="6044" ht="22.5" customHeight="1">
      <c r="B6044" s="42" t="str">
        <f>IFERROR(__xludf.DUMMYFUNCTION("""COMPUTED_VALUE"""),"K/22/230725/1")</f>
        <v>K/22/230725/1</v>
      </c>
      <c r="C6044" s="42" t="str">
        <f>IFERROR(__xludf.DUMMYFUNCTION("""COMPUTED_VALUE"""),"M. 1952/NOG")</f>
        <v>M. 1952/NOG</v>
      </c>
      <c r="D6044" s="42" t="str">
        <f>IFERROR(__xludf.DUMMYFUNCTION("""COMPUTED_VALUE"""),"Berry")</f>
        <v>Berry</v>
      </c>
      <c r="E6044" s="42" t="str">
        <f>IFERROR(__xludf.DUMMYFUNCTION("""COMPUTED_VALUE"""),"DISERAHKAN")</f>
        <v>DISERAHKAN</v>
      </c>
      <c r="F6044" s="48">
        <f>IFERROR(__xludf.DUMMYFUNCTION("""COMPUTED_VALUE"""),45894.59536506944)</f>
        <v>45894.59537</v>
      </c>
      <c r="G6044" s="42" t="str">
        <f>IFERROR(__xludf.DUMMYFUNCTION("""COMPUTED_VALUE"""),"JUAL BELI")</f>
        <v>JUAL BELI</v>
      </c>
      <c r="H6044" s="42">
        <f t="shared" si="1"/>
        <v>2677</v>
      </c>
    </row>
    <row r="6045" ht="22.5" customHeight="1">
      <c r="B6045" s="42" t="str">
        <f>IFERROR(__xludf.DUMMYFUNCTION("""COMPUTED_VALUE"""),"K/24/230725/2")</f>
        <v>K/24/230725/2</v>
      </c>
      <c r="C6045" s="42" t="str">
        <f>IFERROR(__xludf.DUMMYFUNCTION("""COMPUTED_VALUE"""),"NIBEL 17929/GOTONG ROYONG")</f>
        <v>NIBEL 17929/GOTONG ROYONG</v>
      </c>
      <c r="D6045" s="42"/>
      <c r="E6045" s="42"/>
      <c r="F6045" s="48" t="str">
        <f>IFERROR(__xludf.DUMMYFUNCTION("""COMPUTED_VALUE"""),"")</f>
        <v/>
      </c>
      <c r="G6045" s="42" t="str">
        <f>IFERROR(__xludf.DUMMYFUNCTION("""COMPUTED_VALUE"""),"BN WARIS")</f>
        <v>BN WARIS</v>
      </c>
      <c r="H6045" s="42">
        <f t="shared" si="1"/>
        <v>2677</v>
      </c>
    </row>
    <row r="6046" ht="22.5" customHeight="1">
      <c r="B6046" s="42" t="str">
        <f>IFERROR(__xludf.DUMMYFUNCTION("""COMPUTED_VALUE"""),"K/28/230725/3")</f>
        <v>K/28/230725/3</v>
      </c>
      <c r="C6046" s="42" t="str">
        <f>IFERROR(__xludf.DUMMYFUNCTION("""COMPUTED_VALUE"""),"M. 12984/SEGALA MIDER")</f>
        <v>M. 12984/SEGALA MIDER</v>
      </c>
      <c r="D6046" s="42" t="str">
        <f>IFERROR(__xludf.DUMMYFUNCTION("""COMPUTED_VALUE"""),"David")</f>
        <v>David</v>
      </c>
      <c r="E6046" s="42" t="str">
        <f>IFERROR(__xludf.DUMMYFUNCTION("""COMPUTED_VALUE"""),"DISERAHKAN")</f>
        <v>DISERAHKAN</v>
      </c>
      <c r="F6046" s="48">
        <f>IFERROR(__xludf.DUMMYFUNCTION("""COMPUTED_VALUE"""),45904.617246608796)</f>
        <v>45904.61725</v>
      </c>
      <c r="G6046" s="42" t="str">
        <f>IFERROR(__xludf.DUMMYFUNCTION("""COMPUTED_VALUE"""),"ROYA")</f>
        <v>ROYA</v>
      </c>
      <c r="H6046" s="42">
        <f t="shared" si="1"/>
        <v>2678</v>
      </c>
    </row>
    <row r="6047" ht="22.5" customHeight="1">
      <c r="B6047" s="42" t="str">
        <f>IFERROR(__xludf.DUMMYFUNCTION("""COMPUTED_VALUE"""),"K/30/230725/2")</f>
        <v>K/30/230725/2</v>
      </c>
      <c r="C6047" s="42" t="str">
        <f>IFERROR(__xludf.DUMMYFUNCTION("""COMPUTED_VALUE"""),"NIBEL 19706")</f>
        <v>NIBEL 19706</v>
      </c>
      <c r="D6047" s="42"/>
      <c r="E6047" s="42"/>
      <c r="F6047" s="48" t="str">
        <f>IFERROR(__xludf.DUMMYFUNCTION("""COMPUTED_VALUE"""),"")</f>
        <v/>
      </c>
      <c r="G6047" s="42" t="str">
        <f>IFERROR(__xludf.DUMMYFUNCTION("""COMPUTED_VALUE"""),"Peralihan Perorangan")</f>
        <v>Peralihan Perorangan</v>
      </c>
      <c r="H6047" s="42">
        <f t="shared" si="1"/>
        <v>2678</v>
      </c>
    </row>
    <row r="6048" ht="22.5" customHeight="1">
      <c r="B6048" s="42" t="str">
        <f>IFERROR(__xludf.DUMMYFUNCTION("""COMPUTED_VALUE"""),"K/29/230725/1")</f>
        <v>K/29/230725/1</v>
      </c>
      <c r="C6048" s="42" t="str">
        <f>IFERROR(__xludf.DUMMYFUNCTION("""COMPUTED_VALUE"""),"NIBEL M.08.01.000021172.0")</f>
        <v>NIBEL M.08.01.000021172.0</v>
      </c>
      <c r="D6048" s="42"/>
      <c r="E6048" s="42"/>
      <c r="F6048" s="48" t="str">
        <f>IFERROR(__xludf.DUMMYFUNCTION("""COMPUTED_VALUE"""),"")</f>
        <v/>
      </c>
      <c r="G6048" s="42" t="str">
        <f>IFERROR(__xludf.DUMMYFUNCTION("""COMPUTED_VALUE"""),"PENATAAN BATAS")</f>
        <v>PENATAAN BATAS</v>
      </c>
      <c r="H6048" s="42">
        <f t="shared" si="1"/>
        <v>2678</v>
      </c>
    </row>
    <row r="6049" ht="22.5" customHeight="1">
      <c r="B6049" s="42" t="str">
        <f>IFERROR(__xludf.DUMMYFUNCTION("""COMPUTED_VALUE"""),"K/26/230725/1")</f>
        <v>K/26/230725/1</v>
      </c>
      <c r="C6049" s="42" t="str">
        <f>IFERROR(__xludf.DUMMYFUNCTION("""COMPUTED_VALUE"""),"M.01073/Kemiling Raya")</f>
        <v>M.01073/Kemiling Raya</v>
      </c>
      <c r="D6049" s="42"/>
      <c r="E6049" s="42"/>
      <c r="F6049" s="48" t="str">
        <f>IFERROR(__xludf.DUMMYFUNCTION("""COMPUTED_VALUE"""),"")</f>
        <v/>
      </c>
      <c r="G6049" s="42" t="str">
        <f>IFERROR(__xludf.DUMMYFUNCTION("""COMPUTED_VALUE"""),"PEMECAHAN")</f>
        <v>PEMECAHAN</v>
      </c>
      <c r="H6049" s="42">
        <f t="shared" si="1"/>
        <v>2678</v>
      </c>
    </row>
    <row r="6050" ht="22.5" customHeight="1">
      <c r="B6050" s="42" t="str">
        <f>IFERROR(__xludf.DUMMYFUNCTION("""COMPUTED_VALUE"""),"K/31/230725/2")</f>
        <v>K/31/230725/2</v>
      </c>
      <c r="C6050" s="42" t="str">
        <f>IFERROR(__xludf.DUMMYFUNCTION("""COMPUTED_VALUE"""),"HM 1184/Gulak Galik")</f>
        <v>HM 1184/Gulak Galik</v>
      </c>
      <c r="D6050" s="42"/>
      <c r="E6050" s="42"/>
      <c r="F6050" s="48" t="str">
        <f>IFERROR(__xludf.DUMMYFUNCTION("""COMPUTED_VALUE"""),"")</f>
        <v/>
      </c>
      <c r="G6050" s="42" t="str">
        <f>IFERROR(__xludf.DUMMYFUNCTION("""COMPUTED_VALUE"""),"peralihan perorangan")</f>
        <v>peralihan perorangan</v>
      </c>
      <c r="H6050" s="42">
        <f t="shared" si="1"/>
        <v>2678</v>
      </c>
    </row>
    <row r="6051" ht="22.5" customHeight="1">
      <c r="B6051" s="42" t="str">
        <f>IFERROR(__xludf.DUMMYFUNCTION("""COMPUTED_VALUE"""),"K/32/230725/2")</f>
        <v>K/32/230725/2</v>
      </c>
      <c r="C6051" s="42" t="str">
        <f>IFERROR(__xludf.DUMMYFUNCTION("""COMPUTED_VALUE"""),"HM 1182/Gulak Galik")</f>
        <v>HM 1182/Gulak Galik</v>
      </c>
      <c r="D6051" s="42"/>
      <c r="E6051" s="42"/>
      <c r="F6051" s="48" t="str">
        <f>IFERROR(__xludf.DUMMYFUNCTION("""COMPUTED_VALUE"""),"")</f>
        <v/>
      </c>
      <c r="G6051" s="42" t="str">
        <f>IFERROR(__xludf.DUMMYFUNCTION("""COMPUTED_VALUE"""),"peralihan perorangan")</f>
        <v>peralihan perorangan</v>
      </c>
      <c r="H6051" s="42">
        <f t="shared" si="1"/>
        <v>2678</v>
      </c>
    </row>
    <row r="6052" ht="22.5" customHeight="1">
      <c r="B6052" s="42" t="str">
        <f>IFERROR(__xludf.DUMMYFUNCTION("""COMPUTED_VALUE"""),"K/23/230725/1")</f>
        <v>K/23/230725/1</v>
      </c>
      <c r="C6052" s="42" t="str">
        <f>IFERROR(__xludf.DUMMYFUNCTION("""COMPUTED_VALUE"""),"M.2397/Sumberrejo")</f>
        <v>M.2397/Sumberrejo</v>
      </c>
      <c r="D6052" s="42"/>
      <c r="E6052" s="42"/>
      <c r="F6052" s="48" t="str">
        <f>IFERROR(__xludf.DUMMYFUNCTION("""COMPUTED_VALUE"""),"")</f>
        <v/>
      </c>
      <c r="G6052" s="42" t="str">
        <f>IFERROR(__xludf.DUMMYFUNCTION("""COMPUTED_VALUE"""),"PERALIHAN HAK (JUAL BELI)")</f>
        <v>PERALIHAN HAK (JUAL BELI)</v>
      </c>
      <c r="H6052" s="42">
        <f t="shared" si="1"/>
        <v>2678</v>
      </c>
    </row>
    <row r="6053" ht="22.5" customHeight="1">
      <c r="B6053" s="42" t="str">
        <f>IFERROR(__xludf.DUMMYFUNCTION("""COMPUTED_VALUE"""),"K/33/230725/2")</f>
        <v>K/33/230725/2</v>
      </c>
      <c r="C6053" s="42" t="str">
        <f>IFERROR(__xludf.DUMMYFUNCTION("""COMPUTED_VALUE"""),"HGB 123/Kemiling Permai")</f>
        <v>HGB 123/Kemiling Permai</v>
      </c>
      <c r="D6053" s="42" t="str">
        <f>IFERROR(__xludf.DUMMYFUNCTION("""COMPUTED_VALUE"""),"Berry")</f>
        <v>Berry</v>
      </c>
      <c r="E6053" s="42" t="str">
        <f>IFERROR(__xludf.DUMMYFUNCTION("""COMPUTED_VALUE"""),"DISERAHKAN")</f>
        <v>DISERAHKAN</v>
      </c>
      <c r="F6053" s="48">
        <f>IFERROR(__xludf.DUMMYFUNCTION("""COMPUTED_VALUE"""),45888.61185003472)</f>
        <v>45888.61185</v>
      </c>
      <c r="G6053" s="42" t="str">
        <f>IFERROR(__xludf.DUMMYFUNCTION("""COMPUTED_VALUE"""),"Roya")</f>
        <v>Roya</v>
      </c>
      <c r="H6053" s="42">
        <f t="shared" si="1"/>
        <v>2679</v>
      </c>
    </row>
    <row r="6054" ht="22.5" customHeight="1">
      <c r="B6054" s="42" t="str">
        <f>IFERROR(__xludf.DUMMYFUNCTION("""COMPUTED_VALUE"""),"K/1/240725/1")</f>
        <v>K/1/240725/1</v>
      </c>
      <c r="C6054" s="42" t="str">
        <f>IFERROR(__xludf.DUMMYFUNCTION("""COMPUTED_VALUE"""),"Nibel 3276/ Rajabasa Pemuka")</f>
        <v>Nibel 3276/ Rajabasa Pemuka</v>
      </c>
      <c r="D6054" s="42"/>
      <c r="E6054" s="42"/>
      <c r="F6054" s="48" t="str">
        <f>IFERROR(__xludf.DUMMYFUNCTION("""COMPUTED_VALUE"""),"")</f>
        <v/>
      </c>
      <c r="G6054" s="42" t="str">
        <f>IFERROR(__xludf.DUMMYFUNCTION("""COMPUTED_VALUE"""),"BN JUAL BELI")</f>
        <v>BN JUAL BELI</v>
      </c>
      <c r="H6054" s="42">
        <f t="shared" si="1"/>
        <v>2679</v>
      </c>
    </row>
    <row r="6055" ht="22.5" customHeight="1">
      <c r="B6055" s="42" t="str">
        <f>IFERROR(__xludf.DUMMYFUNCTION("""COMPUTED_VALUE"""),"L/27/230725/1")</f>
        <v>L/27/230725/1</v>
      </c>
      <c r="C6055" s="42" t="str">
        <f>IFERROR(__xludf.DUMMYFUNCTION("""COMPUTED_VALUE"""),"B. 696/NEGERI OLOK GADING")</f>
        <v>B. 696/NEGERI OLOK GADING</v>
      </c>
      <c r="D6055" s="42" t="str">
        <f>IFERROR(__xludf.DUMMYFUNCTION("""COMPUTED_VALUE"""),"Berry")</f>
        <v>Berry</v>
      </c>
      <c r="E6055" s="42" t="str">
        <f>IFERROR(__xludf.DUMMYFUNCTION("""COMPUTED_VALUE"""),"DISERAHKAN")</f>
        <v>DISERAHKAN</v>
      </c>
      <c r="F6055" s="48">
        <f>IFERROR(__xludf.DUMMYFUNCTION("""COMPUTED_VALUE"""),45891.59347907407)</f>
        <v>45891.59348</v>
      </c>
      <c r="G6055" s="42" t="str">
        <f>IFERROR(__xludf.DUMMYFUNCTION("""COMPUTED_VALUE"""),"ROYA")</f>
        <v>ROYA</v>
      </c>
      <c r="H6055" s="42">
        <f t="shared" si="1"/>
        <v>2680</v>
      </c>
    </row>
    <row r="6056" ht="22.5" customHeight="1">
      <c r="B6056" s="42" t="str">
        <f>IFERROR(__xludf.DUMMYFUNCTION("""COMPUTED_VALUE"""),"/2/240725/1")</f>
        <v>/2/240725/1</v>
      </c>
      <c r="C6056" s="42" t="str">
        <f>IFERROR(__xludf.DUMMYFUNCTION("""COMPUTED_VALUE"""),"HGB 4052/SUKABUMI")</f>
        <v>HGB 4052/SUKABUMI</v>
      </c>
      <c r="D6056" s="42"/>
      <c r="E6056" s="42"/>
      <c r="F6056" s="48" t="str">
        <f>IFERROR(__xludf.DUMMYFUNCTION("""COMPUTED_VALUE"""),"")</f>
        <v/>
      </c>
      <c r="G6056" s="42" t="str">
        <f>IFERROR(__xludf.DUMMYFUNCTION("""COMPUTED_VALUE"""),"PH")</f>
        <v>PH</v>
      </c>
      <c r="H6056" s="42">
        <f t="shared" si="1"/>
        <v>2680</v>
      </c>
    </row>
    <row r="6057" ht="22.5" customHeight="1">
      <c r="B6057" s="42" t="str">
        <f>IFERROR(__xludf.DUMMYFUNCTION("""COMPUTED_VALUE"""),"K/3/240725/1")</f>
        <v>K/3/240725/1</v>
      </c>
      <c r="C6057" s="42" t="str">
        <f>IFERROR(__xludf.DUMMYFUNCTION("""COMPUTED_VALUE"""),"Nibel 18770/ Pengajaran")</f>
        <v>Nibel 18770/ Pengajaran</v>
      </c>
      <c r="D6057" s="42"/>
      <c r="E6057" s="42"/>
      <c r="F6057" s="48" t="str">
        <f>IFERROR(__xludf.DUMMYFUNCTION("""COMPUTED_VALUE"""),"")</f>
        <v/>
      </c>
      <c r="G6057" s="42" t="str">
        <f>IFERROR(__xludf.DUMMYFUNCTION("""COMPUTED_VALUE"""),"SKPT INFORMASI")</f>
        <v>SKPT INFORMASI</v>
      </c>
      <c r="H6057" s="42">
        <f t="shared" si="1"/>
        <v>2680</v>
      </c>
    </row>
    <row r="6058" ht="22.5" customHeight="1">
      <c r="B6058" s="42" t="str">
        <f>IFERROR(__xludf.DUMMYFUNCTION("""COMPUTED_VALUE"""),"K/4/240725/1")</f>
        <v>K/4/240725/1</v>
      </c>
      <c r="C6058" s="42" t="str">
        <f>IFERROR(__xludf.DUMMYFUNCTION("""COMPUTED_VALUE"""),"M. 13156/ Beringin Raya")</f>
        <v>M. 13156/ Beringin Raya</v>
      </c>
      <c r="D6058" s="42" t="str">
        <f>IFERROR(__xludf.DUMMYFUNCTION("""COMPUTED_VALUE"""),"Berry")</f>
        <v>Berry</v>
      </c>
      <c r="E6058" s="42" t="str">
        <f>IFERROR(__xludf.DUMMYFUNCTION("""COMPUTED_VALUE"""),"DISERAHKAN")</f>
        <v>DISERAHKAN</v>
      </c>
      <c r="F6058" s="48">
        <f>IFERROR(__xludf.DUMMYFUNCTION("""COMPUTED_VALUE"""),45880.71924908565)</f>
        <v>45880.71925</v>
      </c>
      <c r="G6058" s="42" t="str">
        <f>IFERROR(__xludf.DUMMYFUNCTION("""COMPUTED_VALUE"""),"MEGA PUTERI")</f>
        <v>MEGA PUTERI</v>
      </c>
      <c r="H6058" s="42">
        <f t="shared" si="1"/>
        <v>2681</v>
      </c>
    </row>
    <row r="6059" ht="22.5" customHeight="1">
      <c r="B6059" s="42" t="str">
        <f>IFERROR(__xludf.DUMMYFUNCTION("""COMPUTED_VALUE"""),"L/7/240725/1")</f>
        <v>L/7/240725/1</v>
      </c>
      <c r="C6059" s="42" t="str">
        <f>IFERROR(__xludf.DUMMYFUNCTION("""COMPUTED_VALUE"""),"HM 1384/SUKADANA HAM")</f>
        <v>HM 1384/SUKADANA HAM</v>
      </c>
      <c r="D6059" s="42" t="str">
        <f>IFERROR(__xludf.DUMMYFUNCTION("""COMPUTED_VALUE"""),"David")</f>
        <v>David</v>
      </c>
      <c r="E6059" s="42" t="str">
        <f>IFERROR(__xludf.DUMMYFUNCTION("""COMPUTED_VALUE"""),"DISERAHKAN")</f>
        <v>DISERAHKAN</v>
      </c>
      <c r="F6059" s="48">
        <f>IFERROR(__xludf.DUMMYFUNCTION("""COMPUTED_VALUE"""),45957.61647324074)</f>
        <v>45957.61647</v>
      </c>
      <c r="G6059" s="42" t="str">
        <f>IFERROR(__xludf.DUMMYFUNCTION("""COMPUTED_VALUE"""),"ROYA WARIS")</f>
        <v>ROYA WARIS</v>
      </c>
      <c r="H6059" s="42">
        <f t="shared" si="1"/>
        <v>2682</v>
      </c>
    </row>
    <row r="6060" ht="22.5" customHeight="1">
      <c r="B6060" s="42" t="str">
        <f>IFERROR(__xludf.DUMMYFUNCTION("""COMPUTED_VALUE"""),"K/5/240725/1")</f>
        <v>K/5/240725/1</v>
      </c>
      <c r="C6060" s="42" t="str">
        <f>IFERROR(__xludf.DUMMYFUNCTION("""COMPUTED_VALUE"""),"M. 3171/SUKARAME BARU")</f>
        <v>M. 3171/SUKARAME BARU</v>
      </c>
      <c r="D6060" s="42"/>
      <c r="E6060" s="42"/>
      <c r="F6060" s="48" t="str">
        <f>IFERROR(__xludf.DUMMYFUNCTION("""COMPUTED_VALUE"""),"")</f>
        <v/>
      </c>
      <c r="G6060" s="42" t="str">
        <f>IFERROR(__xludf.DUMMYFUNCTION("""COMPUTED_VALUE"""),"BN JUAL BELI")</f>
        <v>BN JUAL BELI</v>
      </c>
      <c r="H6060" s="42">
        <f t="shared" si="1"/>
        <v>2682</v>
      </c>
    </row>
    <row r="6061" ht="22.5" customHeight="1">
      <c r="B6061" s="42" t="str">
        <f>IFERROR(__xludf.DUMMYFUNCTION("""COMPUTED_VALUE"""),"K/6/240725/2")</f>
        <v>K/6/240725/2</v>
      </c>
      <c r="C6061" s="42" t="str">
        <f>IFERROR(__xludf.DUMMYFUNCTION("""COMPUTED_VALUE"""),"NIBEL M. 22481/KORPRI JAYA")</f>
        <v>NIBEL M. 22481/KORPRI JAYA</v>
      </c>
      <c r="D6061" s="42"/>
      <c r="E6061" s="42"/>
      <c r="F6061" s="48" t="str">
        <f>IFERROR(__xludf.DUMMYFUNCTION("""COMPUTED_VALUE"""),"")</f>
        <v/>
      </c>
      <c r="G6061" s="42" t="str">
        <f>IFERROR(__xludf.DUMMYFUNCTION("""COMPUTED_VALUE"""),"BN HIBAH")</f>
        <v>BN HIBAH</v>
      </c>
      <c r="H6061" s="42">
        <f t="shared" si="1"/>
        <v>2682</v>
      </c>
    </row>
    <row r="6062" ht="22.5" customHeight="1">
      <c r="B6062" s="42" t="str">
        <f>IFERROR(__xludf.DUMMYFUNCTION("""COMPUTED_VALUE"""),"L/9/240725/1")</f>
        <v>L/9/240725/1</v>
      </c>
      <c r="C6062" s="42" t="str">
        <f>IFERROR(__xludf.DUMMYFUNCTION("""COMPUTED_VALUE"""),"SRENGSEM")</f>
        <v>SRENGSEM</v>
      </c>
      <c r="D6062" s="42"/>
      <c r="E6062" s="42"/>
      <c r="F6062" s="48" t="str">
        <f>IFERROR(__xludf.DUMMYFUNCTION("""COMPUTED_VALUE"""),"")</f>
        <v/>
      </c>
      <c r="G6062" s="42" t="str">
        <f>IFERROR(__xludf.DUMMYFUNCTION("""COMPUTED_VALUE"""),"PERTAMA KALI")</f>
        <v>PERTAMA KALI</v>
      </c>
      <c r="H6062" s="42">
        <f t="shared" si="1"/>
        <v>2682</v>
      </c>
    </row>
    <row r="6063" ht="22.5" customHeight="1">
      <c r="B6063" s="42" t="str">
        <f>IFERROR(__xludf.DUMMYFUNCTION("""COMPUTED_VALUE"""),"K/8/240725/1")</f>
        <v>K/8/240725/1</v>
      </c>
      <c r="C6063" s="42" t="str">
        <f>IFERROR(__xludf.DUMMYFUNCTION("""COMPUTED_VALUE"""),"M. 1269/ Langkapura Baru")</f>
        <v>M. 1269/ Langkapura Baru</v>
      </c>
      <c r="D6063" s="42"/>
      <c r="E6063" s="42"/>
      <c r="F6063" s="48" t="str">
        <f>IFERROR(__xludf.DUMMYFUNCTION("""COMPUTED_VALUE"""),"")</f>
        <v/>
      </c>
      <c r="G6063" s="42" t="str">
        <f>IFERROR(__xludf.DUMMYFUNCTION("""COMPUTED_VALUE"""),"BN Waris")</f>
        <v>BN Waris</v>
      </c>
      <c r="H6063" s="42">
        <f t="shared" si="1"/>
        <v>2682</v>
      </c>
    </row>
    <row r="6064" ht="22.5" customHeight="1">
      <c r="B6064" s="42" t="str">
        <f>IFERROR(__xludf.DUMMYFUNCTION("""COMPUTED_VALUE"""),"K/12/240725/1")</f>
        <v>K/12/240725/1</v>
      </c>
      <c r="C6064" s="42" t="str">
        <f>IFERROR(__xludf.DUMMYFUNCTION("""COMPUTED_VALUE"""),"M. 5521/ Rajabasa Jaya")</f>
        <v>M. 5521/ Rajabasa Jaya</v>
      </c>
      <c r="D6064" s="42" t="str">
        <f>IFERROR(__xludf.DUMMYFUNCTION("""COMPUTED_VALUE"""),"David")</f>
        <v>David</v>
      </c>
      <c r="E6064" s="42" t="str">
        <f>IFERROR(__xludf.DUMMYFUNCTION("""COMPUTED_VALUE"""),"DISERAHKAN")</f>
        <v>DISERAHKAN</v>
      </c>
      <c r="F6064" s="48">
        <f>IFERROR(__xludf.DUMMYFUNCTION("""COMPUTED_VALUE"""),45880.715402013884)</f>
        <v>45880.7154</v>
      </c>
      <c r="G6064" s="42" t="str">
        <f>IFERROR(__xludf.DUMMYFUNCTION("""COMPUTED_VALUE"""),"BN Waris")</f>
        <v>BN Waris</v>
      </c>
      <c r="H6064" s="42">
        <f t="shared" si="1"/>
        <v>2683</v>
      </c>
    </row>
    <row r="6065" ht="22.5" customHeight="1">
      <c r="B6065" s="42" t="str">
        <f>IFERROR(__xludf.DUMMYFUNCTION("""COMPUTED_VALUE"""),"K/10/240725/1")</f>
        <v>K/10/240725/1</v>
      </c>
      <c r="C6065" s="42" t="str">
        <f>IFERROR(__xludf.DUMMYFUNCTION("""COMPUTED_VALUE"""),"Nibel 2493/ Sumberrejo Sejahtera")</f>
        <v>Nibel 2493/ Sumberrejo Sejahtera</v>
      </c>
      <c r="D6065" s="42"/>
      <c r="E6065" s="42"/>
      <c r="F6065" s="48" t="str">
        <f>IFERROR(__xludf.DUMMYFUNCTION("""COMPUTED_VALUE"""),"")</f>
        <v/>
      </c>
      <c r="G6065" s="42" t="str">
        <f>IFERROR(__xludf.DUMMYFUNCTION("""COMPUTED_VALUE"""),"BN JUAL BELI")</f>
        <v>BN JUAL BELI</v>
      </c>
      <c r="H6065" s="42">
        <f t="shared" si="1"/>
        <v>2683</v>
      </c>
    </row>
    <row r="6066" ht="22.5" customHeight="1">
      <c r="B6066" s="42" t="str">
        <f>IFERROR(__xludf.DUMMYFUNCTION("""COMPUTED_VALUE"""),"K/11/240725/2")</f>
        <v>K/11/240725/2</v>
      </c>
      <c r="C6066" s="42" t="str">
        <f>IFERROR(__xludf.DUMMYFUNCTION("""COMPUTED_VALUE"""),"NIbel 17298/ Way kandis")</f>
        <v>NIbel 17298/ Way kandis</v>
      </c>
      <c r="D6066" s="42"/>
      <c r="E6066" s="42"/>
      <c r="F6066" s="48" t="str">
        <f>IFERROR(__xludf.DUMMYFUNCTION("""COMPUTED_VALUE"""),"")</f>
        <v/>
      </c>
      <c r="G6066" s="42" t="str">
        <f>IFERROR(__xludf.DUMMYFUNCTION("""COMPUTED_VALUE"""),"BN JUAL BELI")</f>
        <v>BN JUAL BELI</v>
      </c>
      <c r="H6066" s="42">
        <f t="shared" si="1"/>
        <v>2683</v>
      </c>
    </row>
    <row r="6067" ht="22.5" customHeight="1">
      <c r="B6067" s="42" t="str">
        <f>IFERROR(__xludf.DUMMYFUNCTION("""COMPUTED_VALUE"""),"K/13/240725/1")</f>
        <v>K/13/240725/1</v>
      </c>
      <c r="C6067" s="42" t="str">
        <f>IFERROR(__xludf.DUMMYFUNCTION("""COMPUTED_VALUE"""),"M. 2555/ Keteguhan")</f>
        <v>M. 2555/ Keteguhan</v>
      </c>
      <c r="D6067" s="42" t="str">
        <f>IFERROR(__xludf.DUMMYFUNCTION("""COMPUTED_VALUE"""),"David")</f>
        <v>David</v>
      </c>
      <c r="E6067" s="42" t="str">
        <f>IFERROR(__xludf.DUMMYFUNCTION("""COMPUTED_VALUE"""),"DISERAHKAN")</f>
        <v>DISERAHKAN</v>
      </c>
      <c r="F6067" s="48">
        <f>IFERROR(__xludf.DUMMYFUNCTION("""COMPUTED_VALUE"""),45880.715402013884)</f>
        <v>45880.7154</v>
      </c>
      <c r="G6067" s="42" t="str">
        <f>IFERROR(__xludf.DUMMYFUNCTION("""COMPUTED_VALUE"""),"BN Jual Beli")</f>
        <v>BN Jual Beli</v>
      </c>
      <c r="H6067" s="42">
        <f t="shared" si="1"/>
        <v>2684</v>
      </c>
    </row>
    <row r="6068" ht="22.5" customHeight="1">
      <c r="B6068" s="42" t="str">
        <f>IFERROR(__xludf.DUMMYFUNCTION("""COMPUTED_VALUE"""),"K/14/240725/1")</f>
        <v>K/14/240725/1</v>
      </c>
      <c r="C6068" s="42" t="str">
        <f>IFERROR(__xludf.DUMMYFUNCTION("""COMPUTED_VALUE"""),"M. 767/ Sumur Putri")</f>
        <v>M. 767/ Sumur Putri</v>
      </c>
      <c r="D6068" s="42" t="str">
        <f>IFERROR(__xludf.DUMMYFUNCTION("""COMPUTED_VALUE"""),"Berry")</f>
        <v>Berry</v>
      </c>
      <c r="E6068" s="42" t="str">
        <f>IFERROR(__xludf.DUMMYFUNCTION("""COMPUTED_VALUE"""),"DISERAHKAN")</f>
        <v>DISERAHKAN</v>
      </c>
      <c r="F6068" s="48">
        <f>IFERROR(__xludf.DUMMYFUNCTION("""COMPUTED_VALUE"""),45891.59865753472)</f>
        <v>45891.59866</v>
      </c>
      <c r="G6068" s="42" t="str">
        <f>IFERROR(__xludf.DUMMYFUNCTION("""COMPUTED_VALUE"""),"BN Jual Beli")</f>
        <v>BN Jual Beli</v>
      </c>
      <c r="H6068" s="42">
        <f t="shared" si="1"/>
        <v>2685</v>
      </c>
    </row>
    <row r="6069" ht="22.5" customHeight="1">
      <c r="B6069" s="42" t="str">
        <f>IFERROR(__xludf.DUMMYFUNCTION("""COMPUTED_VALUE"""),"K/37/240725/1")</f>
        <v>K/37/240725/1</v>
      </c>
      <c r="C6069" s="42" t="str">
        <f>IFERROR(__xludf.DUMMYFUNCTION("""COMPUTED_VALUE"""),"Nibel. B. 16243/ Sumur Putri")</f>
        <v>Nibel. B. 16243/ Sumur Putri</v>
      </c>
      <c r="D6069" s="42"/>
      <c r="E6069" s="42"/>
      <c r="F6069" s="48" t="str">
        <f>IFERROR(__xludf.DUMMYFUNCTION("""COMPUTED_VALUE"""),"")</f>
        <v/>
      </c>
      <c r="G6069" s="42" t="str">
        <f>IFERROR(__xludf.DUMMYFUNCTION("""COMPUTED_VALUE"""),"BN Jual Beli")</f>
        <v>BN Jual Beli</v>
      </c>
      <c r="H6069" s="42">
        <f t="shared" si="1"/>
        <v>2685</v>
      </c>
    </row>
    <row r="6070" ht="22.5" customHeight="1">
      <c r="B6070" s="42" t="str">
        <f>IFERROR(__xludf.DUMMYFUNCTION("""COMPUTED_VALUE"""),"K/15/240725/1")</f>
        <v>K/15/240725/1</v>
      </c>
      <c r="C6070" s="42" t="str">
        <f>IFERROR(__xludf.DUMMYFUNCTION("""COMPUTED_VALUE"""),"Nibel. M. 16632/ Gunung Terang")</f>
        <v>Nibel. M. 16632/ Gunung Terang</v>
      </c>
      <c r="D6070" s="42"/>
      <c r="E6070" s="42"/>
      <c r="F6070" s="48" t="str">
        <f>IFERROR(__xludf.DUMMYFUNCTION("""COMPUTED_VALUE"""),"")</f>
        <v/>
      </c>
      <c r="G6070" s="42" t="str">
        <f>IFERROR(__xludf.DUMMYFUNCTION("""COMPUTED_VALUE"""),"BN Jual Beli")</f>
        <v>BN Jual Beli</v>
      </c>
      <c r="H6070" s="42">
        <f t="shared" si="1"/>
        <v>2685</v>
      </c>
    </row>
    <row r="6071" ht="22.5" customHeight="1">
      <c r="B6071" s="42" t="str">
        <f>IFERROR(__xludf.DUMMYFUNCTION("""COMPUTED_VALUE"""),"K/18/240725/1")</f>
        <v>K/18/240725/1</v>
      </c>
      <c r="C6071" s="42" t="str">
        <f>IFERROR(__xludf.DUMMYFUNCTION("""COMPUTED_VALUE"""),"M. 401/ Rajabasa Raya")</f>
        <v>M. 401/ Rajabasa Raya</v>
      </c>
      <c r="D6071" s="42"/>
      <c r="E6071" s="42"/>
      <c r="F6071" s="48" t="str">
        <f>IFERROR(__xludf.DUMMYFUNCTION("""COMPUTED_VALUE"""),"")</f>
        <v/>
      </c>
      <c r="G6071" s="42" t="str">
        <f>IFERROR(__xludf.DUMMYFUNCTION("""COMPUTED_VALUE"""),"BN WARIS")</f>
        <v>BN WARIS</v>
      </c>
      <c r="H6071" s="42">
        <f t="shared" si="1"/>
        <v>2685</v>
      </c>
    </row>
    <row r="6072" ht="22.5" customHeight="1">
      <c r="B6072" s="42" t="str">
        <f>IFERROR(__xludf.DUMMYFUNCTION("""COMPUTED_VALUE"""),"K/16/240725/1")</f>
        <v>K/16/240725/1</v>
      </c>
      <c r="C6072" s="42" t="str">
        <f>IFERROR(__xludf.DUMMYFUNCTION("""COMPUTED_VALUE"""),"B.499/SUMBER AGUNG")</f>
        <v>B.499/SUMBER AGUNG</v>
      </c>
      <c r="D6072" s="42" t="str">
        <f>IFERROR(__xludf.DUMMYFUNCTION("""COMPUTED_VALUE"""),"David")</f>
        <v>David</v>
      </c>
      <c r="E6072" s="42" t="str">
        <f>IFERROR(__xludf.DUMMYFUNCTION("""COMPUTED_VALUE"""),"DISERAHKAN")</f>
        <v>DISERAHKAN</v>
      </c>
      <c r="F6072" s="48">
        <f>IFERROR(__xludf.DUMMYFUNCTION("""COMPUTED_VALUE"""),45880.63199686343)</f>
        <v>45880.632</v>
      </c>
      <c r="G6072" s="42" t="str">
        <f>IFERROR(__xludf.DUMMYFUNCTION("""COMPUTED_VALUE"""),"JUAL BELI")</f>
        <v>JUAL BELI</v>
      </c>
      <c r="H6072" s="42">
        <f t="shared" si="1"/>
        <v>2686</v>
      </c>
    </row>
    <row r="6073" ht="22.5" customHeight="1">
      <c r="B6073" s="42" t="str">
        <f>IFERROR(__xludf.DUMMYFUNCTION("""COMPUTED_VALUE"""),"K/17/240725/2")</f>
        <v>K/17/240725/2</v>
      </c>
      <c r="C6073" s="42" t="str">
        <f>IFERROR(__xludf.DUMMYFUNCTION("""COMPUTED_VALUE"""),"NIBEL B 13357/SUMBER AGUNG")</f>
        <v>NIBEL B 13357/SUMBER AGUNG</v>
      </c>
      <c r="D6073" s="42"/>
      <c r="E6073" s="42"/>
      <c r="F6073" s="48" t="str">
        <f>IFERROR(__xludf.DUMMYFUNCTION("""COMPUTED_VALUE"""),"")</f>
        <v/>
      </c>
      <c r="G6073" s="42" t="str">
        <f>IFERROR(__xludf.DUMMYFUNCTION("""COMPUTED_VALUE"""),"JUAL BELI")</f>
        <v>JUAL BELI</v>
      </c>
      <c r="H6073" s="42">
        <f t="shared" si="1"/>
        <v>2686</v>
      </c>
    </row>
    <row r="6074" ht="22.5" customHeight="1">
      <c r="B6074" s="42" t="str">
        <f>IFERROR(__xludf.DUMMYFUNCTION("""COMPUTED_VALUE"""),"K/19/240725/1")</f>
        <v>K/19/240725/1</v>
      </c>
      <c r="C6074" s="42" t="str">
        <f>IFERROR(__xludf.DUMMYFUNCTION("""COMPUTED_VALUE"""),"M.14138/SUKARAME ")</f>
        <v>M.14138/SUKARAME </v>
      </c>
      <c r="D6074" s="42"/>
      <c r="E6074" s="42"/>
      <c r="F6074" s="48" t="str">
        <f>IFERROR(__xludf.DUMMYFUNCTION("""COMPUTED_VALUE"""),"")</f>
        <v/>
      </c>
      <c r="G6074" s="42" t="str">
        <f>IFERROR(__xludf.DUMMYFUNCTION("""COMPUTED_VALUE"""),"PEMISAHAN")</f>
        <v>PEMISAHAN</v>
      </c>
      <c r="H6074" s="42">
        <f t="shared" si="1"/>
        <v>2686</v>
      </c>
    </row>
    <row r="6075" ht="22.5" customHeight="1">
      <c r="B6075" s="42" t="str">
        <f>IFERROR(__xludf.DUMMYFUNCTION("""COMPUTED_VALUE"""),"K/17/240725/1")</f>
        <v>K/17/240725/1</v>
      </c>
      <c r="C6075" s="42" t="str">
        <f>IFERROR(__xludf.DUMMYFUNCTION("""COMPUTED_VALUE"""),"M. 1911/SUKARAME BARU")</f>
        <v>M. 1911/SUKARAME BARU</v>
      </c>
      <c r="D6075" s="42"/>
      <c r="E6075" s="42"/>
      <c r="F6075" s="48" t="str">
        <f>IFERROR(__xludf.DUMMYFUNCTION("""COMPUTED_VALUE"""),"")</f>
        <v/>
      </c>
      <c r="G6075" s="42" t="str">
        <f>IFERROR(__xludf.DUMMYFUNCTION("""COMPUTED_VALUE"""),"BN JUAL BELI")</f>
        <v>BN JUAL BELI</v>
      </c>
      <c r="H6075" s="42">
        <f t="shared" si="1"/>
        <v>2686</v>
      </c>
    </row>
    <row r="6076" ht="22.5" customHeight="1">
      <c r="B6076" s="42" t="str">
        <f>IFERROR(__xludf.DUMMYFUNCTION("""COMPUTED_VALUE"""),"L/20/240725/1")</f>
        <v>L/20/240725/1</v>
      </c>
      <c r="C6076" s="42" t="str">
        <f>IFERROR(__xludf.DUMMYFUNCTION("""COMPUTED_VALUE"""),"HM 648/WHP")</f>
        <v>HM 648/WHP</v>
      </c>
      <c r="D6076" s="42" t="str">
        <f>IFERROR(__xludf.DUMMYFUNCTION("""COMPUTED_VALUE"""),"David")</f>
        <v>David</v>
      </c>
      <c r="E6076" s="42" t="str">
        <f>IFERROR(__xludf.DUMMYFUNCTION("""COMPUTED_VALUE"""),"DISERAHKAN")</f>
        <v>DISERAHKAN</v>
      </c>
      <c r="F6076" s="48">
        <f>IFERROR(__xludf.DUMMYFUNCTION("""COMPUTED_VALUE"""),45916.406118831015)</f>
        <v>45916.40612</v>
      </c>
      <c r="G6076" s="42" t="str">
        <f>IFERROR(__xludf.DUMMYFUNCTION("""COMPUTED_VALUE"""),"ROYA")</f>
        <v>ROYA</v>
      </c>
      <c r="H6076" s="42">
        <f t="shared" si="1"/>
        <v>2687</v>
      </c>
    </row>
    <row r="6077" ht="22.5" customHeight="1">
      <c r="B6077" s="42" t="str">
        <f>IFERROR(__xludf.DUMMYFUNCTION("""COMPUTED_VALUE"""),"K/21/240725/1")</f>
        <v>K/21/240725/1</v>
      </c>
      <c r="C6077" s="42" t="str">
        <f>IFERROR(__xludf.DUMMYFUNCTION("""COMPUTED_VALUE"""),"NIBEL M. 6442/RAJABASA PEMUKA")</f>
        <v>NIBEL M. 6442/RAJABASA PEMUKA</v>
      </c>
      <c r="D6077" s="42"/>
      <c r="E6077" s="42"/>
      <c r="F6077" s="48" t="str">
        <f>IFERROR(__xludf.DUMMYFUNCTION("""COMPUTED_VALUE"""),"")</f>
        <v/>
      </c>
      <c r="G6077" s="42" t="str">
        <f>IFERROR(__xludf.DUMMYFUNCTION("""COMPUTED_VALUE"""),"BN JUAL BELI")</f>
        <v>BN JUAL BELI</v>
      </c>
      <c r="H6077" s="42">
        <f t="shared" si="1"/>
        <v>2687</v>
      </c>
    </row>
    <row r="6078" ht="22.5" customHeight="1">
      <c r="B6078" s="42" t="str">
        <f>IFERROR(__xludf.DUMMYFUNCTION("""COMPUTED_VALUE"""),"K/22/240725/2")</f>
        <v>K/22/240725/2</v>
      </c>
      <c r="C6078" s="42" t="str">
        <f>IFERROR(__xludf.DUMMYFUNCTION("""COMPUTED_VALUE"""),"NIBEL M. 6441/RAJABASA PEMUKA")</f>
        <v>NIBEL M. 6441/RAJABASA PEMUKA</v>
      </c>
      <c r="D6078" s="42"/>
      <c r="E6078" s="42"/>
      <c r="F6078" s="48" t="str">
        <f>IFERROR(__xludf.DUMMYFUNCTION("""COMPUTED_VALUE"""),"")</f>
        <v/>
      </c>
      <c r="G6078" s="42" t="str">
        <f>IFERROR(__xludf.DUMMYFUNCTION("""COMPUTED_VALUE"""),"BN JUAL BELI")</f>
        <v>BN JUAL BELI</v>
      </c>
      <c r="H6078" s="42">
        <f t="shared" si="1"/>
        <v>2687</v>
      </c>
    </row>
    <row r="6079" ht="22.5" customHeight="1">
      <c r="B6079" s="42" t="str">
        <f>IFERROR(__xludf.DUMMYFUNCTION("""COMPUTED_VALUE"""),"K/25/240726/1")</f>
        <v>K/25/240726/1</v>
      </c>
      <c r="C6079" s="42" t="str">
        <f>IFERROR(__xludf.DUMMYFUNCTION("""COMPUTED_VALUE"""),"M. 53/ Gulak Galik")</f>
        <v>M. 53/ Gulak Galik</v>
      </c>
      <c r="D6079" s="42" t="str">
        <f>IFERROR(__xludf.DUMMYFUNCTION("""COMPUTED_VALUE"""),"Berry")</f>
        <v>Berry</v>
      </c>
      <c r="E6079" s="42" t="str">
        <f>IFERROR(__xludf.DUMMYFUNCTION("""COMPUTED_VALUE"""),"DISERAHKAN")</f>
        <v>DISERAHKAN</v>
      </c>
      <c r="F6079" s="48">
        <f>IFERROR(__xludf.DUMMYFUNCTION("""COMPUTED_VALUE"""),45880.64556619213)</f>
        <v>45880.64557</v>
      </c>
      <c r="G6079" s="42" t="str">
        <f>IFERROR(__xludf.DUMMYFUNCTION("""COMPUTED_VALUE"""),"BN Jual Beli")</f>
        <v>BN Jual Beli</v>
      </c>
      <c r="H6079" s="42">
        <f t="shared" si="1"/>
        <v>2688</v>
      </c>
    </row>
    <row r="6080" ht="22.5" customHeight="1">
      <c r="B6080" s="42" t="str">
        <f>IFERROR(__xludf.DUMMYFUNCTION("""COMPUTED_VALUE"""),"K/24/240726/1")</f>
        <v>K/24/240726/1</v>
      </c>
      <c r="C6080" s="42" t="str">
        <f>IFERROR(__xludf.DUMMYFUNCTION("""COMPUTED_VALUE"""),"M. 2111/ Sukarame Baru")</f>
        <v>M. 2111/ Sukarame Baru</v>
      </c>
      <c r="D6080" s="42"/>
      <c r="E6080" s="42"/>
      <c r="F6080" s="48" t="str">
        <f>IFERROR(__xludf.DUMMYFUNCTION("""COMPUTED_VALUE"""),"")</f>
        <v/>
      </c>
      <c r="G6080" s="42" t="str">
        <f>IFERROR(__xludf.DUMMYFUNCTION("""COMPUTED_VALUE"""),"BN JUAL BELI")</f>
        <v>BN JUAL BELI</v>
      </c>
      <c r="H6080" s="42">
        <f t="shared" si="1"/>
        <v>2688</v>
      </c>
    </row>
    <row r="6081" ht="22.5" customHeight="1">
      <c r="B6081" s="42" t="str">
        <f>IFERROR(__xludf.DUMMYFUNCTION("""COMPUTED_VALUE"""),"K/23/240725/3")</f>
        <v>K/23/240725/3</v>
      </c>
      <c r="C6081" s="42" t="str">
        <f>IFERROR(__xludf.DUMMYFUNCTION("""COMPUTED_VALUE"""),"NIBEL M. 10943/RAJABASA PEMUKA")</f>
        <v>NIBEL M. 10943/RAJABASA PEMUKA</v>
      </c>
      <c r="D6081" s="42"/>
      <c r="E6081" s="42"/>
      <c r="F6081" s="48" t="str">
        <f>IFERROR(__xludf.DUMMYFUNCTION("""COMPUTED_VALUE"""),"")</f>
        <v/>
      </c>
      <c r="G6081" s="42" t="str">
        <f>IFERROR(__xludf.DUMMYFUNCTION("""COMPUTED_VALUE"""),"BN JUAL BELI")</f>
        <v>BN JUAL BELI</v>
      </c>
      <c r="H6081" s="42">
        <f t="shared" si="1"/>
        <v>2688</v>
      </c>
    </row>
    <row r="6082" ht="22.5" customHeight="1">
      <c r="B6082" s="42" t="str">
        <f>IFERROR(__xludf.DUMMYFUNCTION("""COMPUTED_VALUE"""),"K/26/240726/2")</f>
        <v>K/26/240726/2</v>
      </c>
      <c r="C6082" s="42" t="str">
        <f>IFERROR(__xludf.DUMMYFUNCTION("""COMPUTED_VALUE"""),"Nibel. M. 21916/ Gulak Galik")</f>
        <v>Nibel. M. 21916/ Gulak Galik</v>
      </c>
      <c r="D6082" s="42"/>
      <c r="E6082" s="42"/>
      <c r="F6082" s="48" t="str">
        <f>IFERROR(__xludf.DUMMYFUNCTION("""COMPUTED_VALUE"""),"")</f>
        <v/>
      </c>
      <c r="G6082" s="42" t="str">
        <f>IFERROR(__xludf.DUMMYFUNCTION("""COMPUTED_VALUE"""),"BN Jual Beli")</f>
        <v>BN Jual Beli</v>
      </c>
      <c r="H6082" s="42">
        <f t="shared" si="1"/>
        <v>2688</v>
      </c>
    </row>
    <row r="6083" ht="22.5" customHeight="1">
      <c r="B6083" s="42" t="str">
        <f>IFERROR(__xludf.DUMMYFUNCTION("""COMPUTED_VALUE"""),"K/27/240726/1")</f>
        <v>K/27/240726/1</v>
      </c>
      <c r="C6083" s="42" t="str">
        <f>IFERROR(__xludf.DUMMYFUNCTION("""COMPUTED_VALUE"""),"Nibel. M. 3502/ Bumi Raya")</f>
        <v>Nibel. M. 3502/ Bumi Raya</v>
      </c>
      <c r="D6083" s="42"/>
      <c r="E6083" s="42"/>
      <c r="F6083" s="48" t="str">
        <f>IFERROR(__xludf.DUMMYFUNCTION("""COMPUTED_VALUE"""),"")</f>
        <v/>
      </c>
      <c r="G6083" s="42" t="str">
        <f>IFERROR(__xludf.DUMMYFUNCTION("""COMPUTED_VALUE"""),"BN Hibah")</f>
        <v>BN Hibah</v>
      </c>
      <c r="H6083" s="42">
        <f t="shared" si="1"/>
        <v>2688</v>
      </c>
    </row>
    <row r="6084" ht="22.5" customHeight="1">
      <c r="B6084" s="42" t="str">
        <f>IFERROR(__xludf.DUMMYFUNCTION("""COMPUTED_VALUE"""),"K/28/240726/1")</f>
        <v>K/28/240726/1</v>
      </c>
      <c r="C6084" s="42" t="str">
        <f>IFERROR(__xludf.DUMMYFUNCTION("""COMPUTED_VALUE"""),"Nibel. M. 22946/ Segala Mider")</f>
        <v>Nibel. M. 22946/ Segala Mider</v>
      </c>
      <c r="D6084" s="42"/>
      <c r="E6084" s="42"/>
      <c r="F6084" s="48" t="str">
        <f>IFERROR(__xludf.DUMMYFUNCTION("""COMPUTED_VALUE"""),"")</f>
        <v/>
      </c>
      <c r="G6084" s="42" t="str">
        <f>IFERROR(__xludf.DUMMYFUNCTION("""COMPUTED_VALUE"""),"BN Jual Beli")</f>
        <v>BN Jual Beli</v>
      </c>
      <c r="H6084" s="42">
        <f t="shared" si="1"/>
        <v>2688</v>
      </c>
    </row>
    <row r="6085" ht="22.5" customHeight="1">
      <c r="B6085" s="42" t="str">
        <f>IFERROR(__xludf.DUMMYFUNCTION("""COMPUTED_VALUE"""),"K/29/240726/1")</f>
        <v>K/29/240726/1</v>
      </c>
      <c r="C6085" s="42" t="str">
        <f>IFERROR(__xludf.DUMMYFUNCTION("""COMPUTED_VALUE"""),"M. 2457/ Kedaung")</f>
        <v>M. 2457/ Kedaung</v>
      </c>
      <c r="D6085" s="42" t="str">
        <f>IFERROR(__xludf.DUMMYFUNCTION("""COMPUTED_VALUE"""),"Berry")</f>
        <v>Berry</v>
      </c>
      <c r="E6085" s="42" t="str">
        <f>IFERROR(__xludf.DUMMYFUNCTION("""COMPUTED_VALUE"""),"DISERAHKAN")</f>
        <v>DISERAHKAN</v>
      </c>
      <c r="F6085" s="48">
        <f>IFERROR(__xludf.DUMMYFUNCTION("""COMPUTED_VALUE"""),45880.646791770836)</f>
        <v>45880.64679</v>
      </c>
      <c r="G6085" s="42" t="str">
        <f>IFERROR(__xludf.DUMMYFUNCTION("""COMPUTED_VALUE"""),"BN Jual Beli")</f>
        <v>BN Jual Beli</v>
      </c>
      <c r="H6085" s="42">
        <f t="shared" si="1"/>
        <v>2689</v>
      </c>
    </row>
    <row r="6086" ht="22.5" customHeight="1">
      <c r="B6086" s="42" t="str">
        <f>IFERROR(__xludf.DUMMYFUNCTION("""COMPUTED_VALUE"""),"K/30/240726/2")</f>
        <v>K/30/240726/2</v>
      </c>
      <c r="C6086" s="42" t="str">
        <f>IFERROR(__xludf.DUMMYFUNCTION("""COMPUTED_VALUE"""),"M. 2440/ Kedaung")</f>
        <v>M. 2440/ Kedaung</v>
      </c>
      <c r="D6086" s="42" t="str">
        <f>IFERROR(__xludf.DUMMYFUNCTION("""COMPUTED_VALUE"""),"David")</f>
        <v>David</v>
      </c>
      <c r="E6086" s="42" t="str">
        <f>IFERROR(__xludf.DUMMYFUNCTION("""COMPUTED_VALUE"""),"DISERAHKAN")</f>
        <v>DISERAHKAN</v>
      </c>
      <c r="F6086" s="48">
        <f>IFERROR(__xludf.DUMMYFUNCTION("""COMPUTED_VALUE"""),45880.64797452546)</f>
        <v>45880.64797</v>
      </c>
      <c r="G6086" s="42" t="str">
        <f>IFERROR(__xludf.DUMMYFUNCTION("""COMPUTED_VALUE"""),"BN Jual Beli")</f>
        <v>BN Jual Beli</v>
      </c>
      <c r="H6086" s="42">
        <f t="shared" si="1"/>
        <v>2690</v>
      </c>
    </row>
    <row r="6087" ht="22.5" customHeight="1">
      <c r="B6087" s="42" t="str">
        <f>IFERROR(__xludf.DUMMYFUNCTION("""COMPUTED_VALUE"""),"K/32/240726/1")</f>
        <v>K/32/240726/1</v>
      </c>
      <c r="C6087" s="42" t="str">
        <f>IFERROR(__xludf.DUMMYFUNCTION("""COMPUTED_VALUE"""),"M. 3371/ Kemiling Permai")</f>
        <v>M. 3371/ Kemiling Permai</v>
      </c>
      <c r="D6087" s="42" t="str">
        <f>IFERROR(__xludf.DUMMYFUNCTION("""COMPUTED_VALUE"""),"Berry")</f>
        <v>Berry</v>
      </c>
      <c r="E6087" s="42" t="str">
        <f>IFERROR(__xludf.DUMMYFUNCTION("""COMPUTED_VALUE"""),"DISERAHKAN")</f>
        <v>DISERAHKAN</v>
      </c>
      <c r="F6087" s="48">
        <f>IFERROR(__xludf.DUMMYFUNCTION("""COMPUTED_VALUE"""),45908.634153136576)</f>
        <v>45908.63415</v>
      </c>
      <c r="G6087" s="42" t="str">
        <f>IFERROR(__xludf.DUMMYFUNCTION("""COMPUTED_VALUE"""),"BN Jual Beli")</f>
        <v>BN Jual Beli</v>
      </c>
      <c r="H6087" s="42">
        <f t="shared" si="1"/>
        <v>2691</v>
      </c>
    </row>
    <row r="6088" ht="22.5" customHeight="1">
      <c r="B6088" s="42" t="str">
        <f>IFERROR(__xludf.DUMMYFUNCTION("""COMPUTED_VALUE"""),"K/33/240726/2")</f>
        <v>K/33/240726/2</v>
      </c>
      <c r="C6088" s="42" t="str">
        <f>IFERROR(__xludf.DUMMYFUNCTION("""COMPUTED_VALUE"""),"M. 10239/ Sukamenanti")</f>
        <v>M. 10239/ Sukamenanti</v>
      </c>
      <c r="D6088" s="42" t="str">
        <f>IFERROR(__xludf.DUMMYFUNCTION("""COMPUTED_VALUE"""),"Berry")</f>
        <v>Berry</v>
      </c>
      <c r="E6088" s="42" t="str">
        <f>IFERROR(__xludf.DUMMYFUNCTION("""COMPUTED_VALUE"""),"DISERAHKAN")</f>
        <v>DISERAHKAN</v>
      </c>
      <c r="F6088" s="48">
        <f>IFERROR(__xludf.DUMMYFUNCTION("""COMPUTED_VALUE"""),45880.644733611116)</f>
        <v>45880.64473</v>
      </c>
      <c r="G6088" s="42" t="str">
        <f>IFERROR(__xludf.DUMMYFUNCTION("""COMPUTED_VALUE"""),"BN Hibah")</f>
        <v>BN Hibah</v>
      </c>
      <c r="H6088" s="42">
        <f t="shared" si="1"/>
        <v>2692</v>
      </c>
    </row>
    <row r="6089" ht="22.5" customHeight="1">
      <c r="B6089" s="42" t="str">
        <f>IFERROR(__xludf.DUMMYFUNCTION("""COMPUTED_VALUE"""),"K/31/240726/1")</f>
        <v>K/31/240726/1</v>
      </c>
      <c r="C6089" s="42" t="str">
        <f>IFERROR(__xludf.DUMMYFUNCTION("""COMPUTED_VALUE"""),"NIBEL M 3588/RAJABASA JAYA")</f>
        <v>NIBEL M 3588/RAJABASA JAYA</v>
      </c>
      <c r="D6089" s="42"/>
      <c r="E6089" s="42"/>
      <c r="F6089" s="48" t="str">
        <f>IFERROR(__xludf.DUMMYFUNCTION("""COMPUTED_VALUE"""),"")</f>
        <v/>
      </c>
      <c r="G6089" s="42" t="str">
        <f>IFERROR(__xludf.DUMMYFUNCTION("""COMPUTED_VALUE"""),"JUAL BELI ")</f>
        <v>JUAL BELI </v>
      </c>
      <c r="H6089" s="42">
        <f t="shared" si="1"/>
        <v>2692</v>
      </c>
    </row>
    <row r="6090" ht="22.5" customHeight="1">
      <c r="B6090" s="42" t="str">
        <f>IFERROR(__xludf.DUMMYFUNCTION("""COMPUTED_VALUE"""),"K/34/240726/1")</f>
        <v>K/34/240726/1</v>
      </c>
      <c r="C6090" s="42" t="str">
        <f>IFERROR(__xludf.DUMMYFUNCTION("""COMPUTED_VALUE"""),"B.493/BAKUNG")</f>
        <v>B.493/BAKUNG</v>
      </c>
      <c r="D6090" s="42" t="str">
        <f>IFERROR(__xludf.DUMMYFUNCTION("""COMPUTED_VALUE"""),"Berry")</f>
        <v>Berry</v>
      </c>
      <c r="E6090" s="42" t="str">
        <f>IFERROR(__xludf.DUMMYFUNCTION("""COMPUTED_VALUE"""),"DISERAHKAN")</f>
        <v>DISERAHKAN</v>
      </c>
      <c r="F6090" s="48">
        <f>IFERROR(__xludf.DUMMYFUNCTION("""COMPUTED_VALUE"""),45888.61486726852)</f>
        <v>45888.61487</v>
      </c>
      <c r="G6090" s="42" t="str">
        <f>IFERROR(__xludf.DUMMYFUNCTION("""COMPUTED_VALUE"""),"ROYA")</f>
        <v>ROYA</v>
      </c>
      <c r="H6090" s="42">
        <f t="shared" si="1"/>
        <v>2693</v>
      </c>
    </row>
    <row r="6091" ht="22.5" customHeight="1">
      <c r="B6091" s="42" t="str">
        <f>IFERROR(__xludf.DUMMYFUNCTION("""COMPUTED_VALUE"""),"K/35/240726/1")</f>
        <v>K/35/240726/1</v>
      </c>
      <c r="C6091" s="42" t="str">
        <f>IFERROR(__xludf.DUMMYFUNCTION("""COMPUTED_VALUE"""),"B. 151/ Sepang Jaya")</f>
        <v>B. 151/ Sepang Jaya</v>
      </c>
      <c r="D6091" s="42" t="str">
        <f>IFERROR(__xludf.DUMMYFUNCTION("""COMPUTED_VALUE"""),"Berry")</f>
        <v>Berry</v>
      </c>
      <c r="E6091" s="42" t="str">
        <f>IFERROR(__xludf.DUMMYFUNCTION("""COMPUTED_VALUE"""),"DISERAHKAN")</f>
        <v>DISERAHKAN</v>
      </c>
      <c r="F6091" s="48">
        <f>IFERROR(__xludf.DUMMYFUNCTION("""COMPUTED_VALUE"""),45891.59775158565)</f>
        <v>45891.59775</v>
      </c>
      <c r="G6091" s="42" t="str">
        <f>IFERROR(__xludf.DUMMYFUNCTION("""COMPUTED_VALUE"""),"BN JUAL BELI")</f>
        <v>BN JUAL BELI</v>
      </c>
      <c r="H6091" s="42">
        <f t="shared" si="1"/>
        <v>2694</v>
      </c>
    </row>
    <row r="6092" ht="22.5" customHeight="1">
      <c r="B6092" s="42" t="str">
        <f>IFERROR(__xludf.DUMMYFUNCTION("""COMPUTED_VALUE"""),"K/2/230725/1")</f>
        <v>K/2/230725/1</v>
      </c>
      <c r="C6092" s="42" t="str">
        <f>IFERROR(__xludf.DUMMYFUNCTION("""COMPUTED_VALUE"""),"Nibel. B. 21845/ Rajabasa Nunyai")</f>
        <v>Nibel. B. 21845/ Rajabasa Nunyai</v>
      </c>
      <c r="D6092" s="42"/>
      <c r="E6092" s="42"/>
      <c r="F6092" s="48" t="str">
        <f>IFERROR(__xludf.DUMMYFUNCTION("""COMPUTED_VALUE"""),"")</f>
        <v/>
      </c>
      <c r="G6092" s="42" t="str">
        <f>IFERROR(__xludf.DUMMYFUNCTION("""COMPUTED_VALUE"""),"Perubahan Hak")</f>
        <v>Perubahan Hak</v>
      </c>
      <c r="H6092" s="42">
        <f t="shared" si="1"/>
        <v>2694</v>
      </c>
    </row>
    <row r="6093" ht="22.5" customHeight="1">
      <c r="B6093" s="42" t="str">
        <f>IFERROR(__xludf.DUMMYFUNCTION("""COMPUTED_VALUE"""),"K/36/240726/1")</f>
        <v>K/36/240726/1</v>
      </c>
      <c r="C6093" s="42" t="str">
        <f>IFERROR(__xludf.DUMMYFUNCTION("""COMPUTED_VALUE"""),"NIBEL M. 22417/SURABAYA")</f>
        <v>NIBEL M. 22417/SURABAYA</v>
      </c>
      <c r="D6093" s="42"/>
      <c r="E6093" s="42"/>
      <c r="F6093" s="48" t="str">
        <f>IFERROR(__xludf.DUMMYFUNCTION("""COMPUTED_VALUE"""),"")</f>
        <v/>
      </c>
      <c r="G6093" s="42" t="str">
        <f>IFERROR(__xludf.DUMMYFUNCTION("""COMPUTED_VALUE"""),"JUAL BELI")</f>
        <v>JUAL BELI</v>
      </c>
      <c r="H6093" s="42">
        <f t="shared" si="1"/>
        <v>2694</v>
      </c>
    </row>
    <row r="6094" ht="22.5" customHeight="1">
      <c r="B6094" s="42" t="str">
        <f>IFERROR(__xludf.DUMMYFUNCTION("""COMPUTED_VALUE"""),"K/1/250725/1")</f>
        <v>K/1/250725/1</v>
      </c>
      <c r="C6094" s="42" t="str">
        <f>IFERROR(__xludf.DUMMYFUNCTION("""COMPUTED_VALUE"""),"M. 1492, 2305/ Campang Jaya")</f>
        <v>M. 1492, 2305/ Campang Jaya</v>
      </c>
      <c r="D6094" s="42" t="str">
        <f>IFERROR(__xludf.DUMMYFUNCTION("""COMPUTED_VALUE"""),"David")</f>
        <v>David</v>
      </c>
      <c r="E6094" s="42" t="str">
        <f>IFERROR(__xludf.DUMMYFUNCTION("""COMPUTED_VALUE"""),"DISERAHKAN")</f>
        <v>DISERAHKAN</v>
      </c>
      <c r="F6094" s="48">
        <f>IFERROR(__xludf.DUMMYFUNCTION("""COMPUTED_VALUE"""),45883.65829953704)</f>
        <v>45883.6583</v>
      </c>
      <c r="G6094" s="42" t="str">
        <f>IFERROR(__xludf.DUMMYFUNCTION("""COMPUTED_VALUE"""),"BN TUKAR MENUKAR")</f>
        <v>BN TUKAR MENUKAR</v>
      </c>
      <c r="H6094" s="42">
        <f t="shared" si="1"/>
        <v>2695</v>
      </c>
    </row>
    <row r="6095" ht="22.5" customHeight="1">
      <c r="B6095" s="42" t="str">
        <f>IFERROR(__xludf.DUMMYFUNCTION("""COMPUTED_VALUE"""),"K/3/250725/1")</f>
        <v>K/3/250725/1</v>
      </c>
      <c r="C6095" s="42" t="str">
        <f>IFERROR(__xludf.DUMMYFUNCTION("""COMPUTED_VALUE"""),"NIBEL M 20858/RAJABASA")</f>
        <v>NIBEL M 20858/RAJABASA</v>
      </c>
      <c r="D6095" s="42"/>
      <c r="E6095" s="42"/>
      <c r="F6095" s="48" t="str">
        <f>IFERROR(__xludf.DUMMYFUNCTION("""COMPUTED_VALUE"""),"")</f>
        <v/>
      </c>
      <c r="G6095" s="42" t="str">
        <f>IFERROR(__xludf.DUMMYFUNCTION("""COMPUTED_VALUE"""),"SKPT ")</f>
        <v>SKPT </v>
      </c>
      <c r="H6095" s="42">
        <f t="shared" si="1"/>
        <v>2695</v>
      </c>
    </row>
    <row r="6096" ht="22.5" customHeight="1">
      <c r="B6096" s="42" t="str">
        <f>IFERROR(__xludf.DUMMYFUNCTION("""COMPUTED_VALUE"""),"L/5/250725/1")</f>
        <v>L/5/250725/1</v>
      </c>
      <c r="C6096" s="42" t="str">
        <f>IFERROR(__xludf.DUMMYFUNCTION("""COMPUTED_VALUE"""),"HM 2068/PWH")</f>
        <v>HM 2068/PWH</v>
      </c>
      <c r="D6096" s="42" t="str">
        <f>IFERROR(__xludf.DUMMYFUNCTION("""COMPUTED_VALUE"""),"Berry")</f>
        <v>Berry</v>
      </c>
      <c r="E6096" s="42" t="str">
        <f>IFERROR(__xludf.DUMMYFUNCTION("""COMPUTED_VALUE"""),"DISERAHKAN")</f>
        <v>DISERAHKAN</v>
      </c>
      <c r="F6096" s="48">
        <f>IFERROR(__xludf.DUMMYFUNCTION("""COMPUTED_VALUE"""),45894.551802222224)</f>
        <v>45894.5518</v>
      </c>
      <c r="G6096" s="42" t="str">
        <f>IFERROR(__xludf.DUMMYFUNCTION("""COMPUTED_VALUE"""),"ROYA")</f>
        <v>ROYA</v>
      </c>
      <c r="H6096" s="42">
        <f t="shared" si="1"/>
        <v>2696</v>
      </c>
    </row>
    <row r="6097" ht="22.5" customHeight="1">
      <c r="B6097" s="42" t="str">
        <f>IFERROR(__xludf.DUMMYFUNCTION("""COMPUTED_VALUE"""),"K/7/250725/1")</f>
        <v>K/7/250725/1</v>
      </c>
      <c r="C6097" s="42" t="str">
        <f>IFERROR(__xludf.DUMMYFUNCTION("""COMPUTED_VALUE"""),"NIBEL B 22944/SUKABUMI")</f>
        <v>NIBEL B 22944/SUKABUMI</v>
      </c>
      <c r="D6097" s="42"/>
      <c r="E6097" s="42"/>
      <c r="F6097" s="48" t="str">
        <f>IFERROR(__xludf.DUMMYFUNCTION("""COMPUTED_VALUE"""),"")</f>
        <v/>
      </c>
      <c r="G6097" s="42" t="str">
        <f>IFERROR(__xludf.DUMMYFUNCTION("""COMPUTED_VALUE"""),"SKPT ")</f>
        <v>SKPT </v>
      </c>
      <c r="H6097" s="42">
        <f t="shared" si="1"/>
        <v>2696</v>
      </c>
    </row>
    <row r="6098" ht="22.5" customHeight="1">
      <c r="B6098" s="42" t="str">
        <f>IFERROR(__xludf.DUMMYFUNCTION("""COMPUTED_VALUE"""),"L/12/250725/1")</f>
        <v>L/12/250725/1</v>
      </c>
      <c r="C6098" s="42" t="str">
        <f>IFERROR(__xludf.DUMMYFUNCTION("""COMPUTED_VALUE"""),"HM 201/JAGABAYA II")</f>
        <v>HM 201/JAGABAYA II</v>
      </c>
      <c r="D6098" s="42"/>
      <c r="E6098" s="42"/>
      <c r="F6098" s="48" t="str">
        <f>IFERROR(__xludf.DUMMYFUNCTION("""COMPUTED_VALUE"""),"")</f>
        <v/>
      </c>
      <c r="G6098" s="42" t="str">
        <f>IFERROR(__xludf.DUMMYFUNCTION("""COMPUTED_VALUE"""),"ANGKAT SITA")</f>
        <v>ANGKAT SITA</v>
      </c>
      <c r="H6098" s="42">
        <f t="shared" si="1"/>
        <v>2696</v>
      </c>
    </row>
    <row r="6099" ht="22.5" customHeight="1">
      <c r="B6099" s="42" t="str">
        <f>IFERROR(__xludf.DUMMYFUNCTION("""COMPUTED_VALUE"""),"K/8/250725/2")</f>
        <v>K/8/250725/2</v>
      </c>
      <c r="C6099" s="42" t="str">
        <f>IFERROR(__xludf.DUMMYFUNCTION("""COMPUTED_VALUE"""),"NIBEL B 23069/SUKABUMI")</f>
        <v>NIBEL B 23069/SUKABUMI</v>
      </c>
      <c r="D6099" s="42"/>
      <c r="E6099" s="42"/>
      <c r="F6099" s="48" t="str">
        <f>IFERROR(__xludf.DUMMYFUNCTION("""COMPUTED_VALUE"""),"")</f>
        <v/>
      </c>
      <c r="G6099" s="42" t="str">
        <f>IFERROR(__xludf.DUMMYFUNCTION("""COMPUTED_VALUE"""),"SKPT ")</f>
        <v>SKPT </v>
      </c>
      <c r="H6099" s="42">
        <f t="shared" si="1"/>
        <v>2696</v>
      </c>
    </row>
    <row r="6100" ht="22.5" customHeight="1">
      <c r="B6100" s="42" t="str">
        <f>IFERROR(__xludf.DUMMYFUNCTION("""COMPUTED_VALUE"""),"K/9/250725/3")</f>
        <v>K/9/250725/3</v>
      </c>
      <c r="C6100" s="42" t="str">
        <f>IFERROR(__xludf.DUMMYFUNCTION("""COMPUTED_VALUE"""),"NIBEL B 23091/SUKABUMI")</f>
        <v>NIBEL B 23091/SUKABUMI</v>
      </c>
      <c r="D6100" s="42"/>
      <c r="E6100" s="42"/>
      <c r="F6100" s="48" t="str">
        <f>IFERROR(__xludf.DUMMYFUNCTION("""COMPUTED_VALUE"""),"")</f>
        <v/>
      </c>
      <c r="G6100" s="42" t="str">
        <f>IFERROR(__xludf.DUMMYFUNCTION("""COMPUTED_VALUE"""),"SKPT ")</f>
        <v>SKPT </v>
      </c>
      <c r="H6100" s="42">
        <f t="shared" si="1"/>
        <v>2696</v>
      </c>
    </row>
    <row r="6101" ht="22.5" customHeight="1">
      <c r="B6101" s="42" t="str">
        <f>IFERROR(__xludf.DUMMYFUNCTION("""COMPUTED_VALUE"""),"K/10/250725/4")</f>
        <v>K/10/250725/4</v>
      </c>
      <c r="C6101" s="42" t="str">
        <f>IFERROR(__xludf.DUMMYFUNCTION("""COMPUTED_VALUE"""),"NIBEL B 22945/SUKABUMI")</f>
        <v>NIBEL B 22945/SUKABUMI</v>
      </c>
      <c r="D6101" s="42"/>
      <c r="E6101" s="42"/>
      <c r="F6101" s="48" t="str">
        <f>IFERROR(__xludf.DUMMYFUNCTION("""COMPUTED_VALUE"""),"")</f>
        <v/>
      </c>
      <c r="G6101" s="42" t="str">
        <f>IFERROR(__xludf.DUMMYFUNCTION("""COMPUTED_VALUE"""),"SKPT ")</f>
        <v>SKPT </v>
      </c>
      <c r="H6101" s="42">
        <f t="shared" si="1"/>
        <v>2696</v>
      </c>
    </row>
    <row r="6102" ht="22.5" customHeight="1">
      <c r="B6102" s="42" t="str">
        <f>IFERROR(__xludf.DUMMYFUNCTION("""COMPUTED_VALUE"""),"K/2/250725/1")</f>
        <v>K/2/250725/1</v>
      </c>
      <c r="C6102" s="42" t="str">
        <f>IFERROR(__xludf.DUMMYFUNCTION("""COMPUTED_VALUE"""),"Tanah Mentah")</f>
        <v>Tanah Mentah</v>
      </c>
      <c r="D6102" s="42"/>
      <c r="E6102" s="42"/>
      <c r="F6102" s="48" t="str">
        <f>IFERROR(__xludf.DUMMYFUNCTION("""COMPUTED_VALUE"""),"")</f>
        <v/>
      </c>
      <c r="G6102" s="42" t="str">
        <f>IFERROR(__xludf.DUMMYFUNCTION("""COMPUTED_VALUE"""),"PENGUKURAN PERTAMA KALI")</f>
        <v>PENGUKURAN PERTAMA KALI</v>
      </c>
      <c r="H6102" s="42">
        <f t="shared" si="1"/>
        <v>2696</v>
      </c>
    </row>
    <row r="6103" ht="22.5" customHeight="1">
      <c r="B6103" s="42" t="str">
        <f>IFERROR(__xludf.DUMMYFUNCTION("""COMPUTED_VALUE"""),"K/11/250725/5")</f>
        <v>K/11/250725/5</v>
      </c>
      <c r="C6103" s="42" t="str">
        <f>IFERROR(__xludf.DUMMYFUNCTION("""COMPUTED_VALUE"""),"NIBEL B 23064/SUKABUMI")</f>
        <v>NIBEL B 23064/SUKABUMI</v>
      </c>
      <c r="D6103" s="42"/>
      <c r="E6103" s="42"/>
      <c r="F6103" s="48" t="str">
        <f>IFERROR(__xludf.DUMMYFUNCTION("""COMPUTED_VALUE"""),"")</f>
        <v/>
      </c>
      <c r="G6103" s="42" t="str">
        <f>IFERROR(__xludf.DUMMYFUNCTION("""COMPUTED_VALUE"""),"SKPT ")</f>
        <v>SKPT </v>
      </c>
      <c r="H6103" s="42">
        <f t="shared" si="1"/>
        <v>2696</v>
      </c>
    </row>
    <row r="6104" ht="22.5" customHeight="1">
      <c r="B6104" s="42" t="str">
        <f>IFERROR(__xludf.DUMMYFUNCTION("""COMPUTED_VALUE"""),"K/13/250725/1")</f>
        <v>K/13/250725/1</v>
      </c>
      <c r="C6104" s="42" t="str">
        <f>IFERROR(__xludf.DUMMYFUNCTION("""COMPUTED_VALUE"""),"M. 526/ Palapa")</f>
        <v>M. 526/ Palapa</v>
      </c>
      <c r="D6104" s="42"/>
      <c r="E6104" s="42"/>
      <c r="F6104" s="48" t="str">
        <f>IFERROR(__xludf.DUMMYFUNCTION("""COMPUTED_VALUE"""),"")</f>
        <v/>
      </c>
      <c r="G6104" s="42" t="str">
        <f>IFERROR(__xludf.DUMMYFUNCTION("""COMPUTED_VALUE"""),"BN Jual Beli")</f>
        <v>BN Jual Beli</v>
      </c>
      <c r="H6104" s="42">
        <f t="shared" si="1"/>
        <v>2696</v>
      </c>
    </row>
    <row r="6105" ht="22.5" customHeight="1">
      <c r="B6105" s="42" t="str">
        <f>IFERROR(__xludf.DUMMYFUNCTION("""COMPUTED_VALUE"""),"K/14/250725/1")</f>
        <v>K/14/250725/1</v>
      </c>
      <c r="C6105" s="42" t="str">
        <f>IFERROR(__xludf.DUMMYFUNCTION("""COMPUTED_VALUE"""),"M. 2451/ Kaliawi")</f>
        <v>M. 2451/ Kaliawi</v>
      </c>
      <c r="D6105" s="42"/>
      <c r="E6105" s="42"/>
      <c r="F6105" s="48" t="str">
        <f>IFERROR(__xludf.DUMMYFUNCTION("""COMPUTED_VALUE"""),"")</f>
        <v/>
      </c>
      <c r="G6105" s="42" t="str">
        <f>IFERROR(__xludf.DUMMYFUNCTION("""COMPUTED_VALUE"""),"BN Jual Beli")</f>
        <v>BN Jual Beli</v>
      </c>
      <c r="H6105" s="42">
        <f t="shared" si="1"/>
        <v>2696</v>
      </c>
    </row>
    <row r="6106" ht="22.5" customHeight="1">
      <c r="B6106" s="42" t="str">
        <f>IFERROR(__xludf.DUMMYFUNCTION("""COMPUTED_VALUE"""),"L/15/250725/1")</f>
        <v>L/15/250725/1</v>
      </c>
      <c r="C6106" s="42" t="str">
        <f>IFERROR(__xludf.DUMMYFUNCTION("""COMPUTED_VALUE"""),"HM 11463/SUKABUMI")</f>
        <v>HM 11463/SUKABUMI</v>
      </c>
      <c r="D6106" s="42" t="str">
        <f>IFERROR(__xludf.DUMMYFUNCTION("""COMPUTED_VALUE"""),"David")</f>
        <v>David</v>
      </c>
      <c r="E6106" s="42" t="str">
        <f>IFERROR(__xludf.DUMMYFUNCTION("""COMPUTED_VALUE"""),"DISERAHKAN")</f>
        <v>DISERAHKAN</v>
      </c>
      <c r="F6106" s="48">
        <f>IFERROR(__xludf.DUMMYFUNCTION("""COMPUTED_VALUE"""),45883.6554805787)</f>
        <v>45883.65548</v>
      </c>
      <c r="G6106" s="42" t="str">
        <f>IFERROR(__xludf.DUMMYFUNCTION("""COMPUTED_VALUE"""),"BN WARIS")</f>
        <v>BN WARIS</v>
      </c>
      <c r="H6106" s="42">
        <f t="shared" si="1"/>
        <v>2697</v>
      </c>
    </row>
    <row r="6107" ht="22.5" customHeight="1">
      <c r="B6107" s="42" t="str">
        <f>IFERROR(__xludf.DUMMYFUNCTION("""COMPUTED_VALUE"""),"K/6/250725/1")</f>
        <v>K/6/250725/1</v>
      </c>
      <c r="C6107" s="42" t="str">
        <f>IFERROR(__xludf.DUMMYFUNCTION("""COMPUTED_VALUE"""),"B. 790/SUMUR PUTRI")</f>
        <v>B. 790/SUMUR PUTRI</v>
      </c>
      <c r="D6107" s="42" t="str">
        <f>IFERROR(__xludf.DUMMYFUNCTION("""COMPUTED_VALUE"""),"David")</f>
        <v>David</v>
      </c>
      <c r="E6107" s="42" t="str">
        <f>IFERROR(__xludf.DUMMYFUNCTION("""COMPUTED_VALUE"""),"DISERAHKAN")</f>
        <v>DISERAHKAN</v>
      </c>
      <c r="F6107" s="48">
        <f>IFERROR(__xludf.DUMMYFUNCTION("""COMPUTED_VALUE"""),45960.6325431713)</f>
        <v>45960.63254</v>
      </c>
      <c r="G6107" s="42" t="str">
        <f>IFERROR(__xludf.DUMMYFUNCTION("""COMPUTED_VALUE"""),"BN JUAL BELI")</f>
        <v>BN JUAL BELI</v>
      </c>
      <c r="H6107" s="42">
        <f t="shared" si="1"/>
        <v>2698</v>
      </c>
    </row>
    <row r="6108" ht="22.5" customHeight="1">
      <c r="B6108" s="42" t="str">
        <f>IFERROR(__xludf.DUMMYFUNCTION("""COMPUTED_VALUE"""),"K/18/250725/1")</f>
        <v>K/18/250725/1</v>
      </c>
      <c r="C6108" s="42" t="str">
        <f>IFERROR(__xludf.DUMMYFUNCTION("""COMPUTED_VALUE"""),"M.2516/PINANG JAYA")</f>
        <v>M.2516/PINANG JAYA</v>
      </c>
      <c r="D6108" s="42"/>
      <c r="E6108" s="42"/>
      <c r="F6108" s="48" t="str">
        <f>IFERROR(__xludf.DUMMYFUNCTION("""COMPUTED_VALUE"""),"")</f>
        <v/>
      </c>
      <c r="G6108" s="42" t="str">
        <f>IFERROR(__xludf.DUMMYFUNCTION("""COMPUTED_VALUE"""),"BN JUAL BELI")</f>
        <v>BN JUAL BELI</v>
      </c>
      <c r="H6108" s="42">
        <f t="shared" si="1"/>
        <v>2698</v>
      </c>
    </row>
    <row r="6109" ht="22.5" customHeight="1">
      <c r="B6109" s="42" t="str">
        <f>IFERROR(__xludf.DUMMYFUNCTION("""COMPUTED_VALUE"""),"K/19/250725/2")</f>
        <v>K/19/250725/2</v>
      </c>
      <c r="C6109" s="42" t="str">
        <f>IFERROR(__xludf.DUMMYFUNCTION("""COMPUTED_VALUE"""),"M. 2388/PINANG JAYA")</f>
        <v>M. 2388/PINANG JAYA</v>
      </c>
      <c r="D6109" s="42" t="str">
        <f>IFERROR(__xludf.DUMMYFUNCTION("""COMPUTED_VALUE"""),"David")</f>
        <v>David</v>
      </c>
      <c r="E6109" s="42" t="str">
        <f>IFERROR(__xludf.DUMMYFUNCTION("""COMPUTED_VALUE"""),"DISERAHKAN")</f>
        <v>DISERAHKAN</v>
      </c>
      <c r="F6109" s="48">
        <f>IFERROR(__xludf.DUMMYFUNCTION("""COMPUTED_VALUE"""),45882.63826576389)</f>
        <v>45882.63827</v>
      </c>
      <c r="G6109" s="42" t="str">
        <f>IFERROR(__xludf.DUMMYFUNCTION("""COMPUTED_VALUE"""),"BN JUAL BELI")</f>
        <v>BN JUAL BELI</v>
      </c>
      <c r="H6109" s="42">
        <f t="shared" si="1"/>
        <v>2699</v>
      </c>
    </row>
    <row r="6110" ht="22.5" customHeight="1">
      <c r="B6110" s="42" t="str">
        <f>IFERROR(__xludf.DUMMYFUNCTION("""COMPUTED_VALUE"""),"K/20/250725/3")</f>
        <v>K/20/250725/3</v>
      </c>
      <c r="C6110" s="42" t="str">
        <f>IFERROR(__xludf.DUMMYFUNCTION("""COMPUTED_VALUE"""),"M. 2527/PINANG JAYA")</f>
        <v>M. 2527/PINANG JAYA</v>
      </c>
      <c r="D6110" s="42"/>
      <c r="E6110" s="42"/>
      <c r="F6110" s="48" t="str">
        <f>IFERROR(__xludf.DUMMYFUNCTION("""COMPUTED_VALUE"""),"")</f>
        <v/>
      </c>
      <c r="G6110" s="42" t="str">
        <f>IFERROR(__xludf.DUMMYFUNCTION("""COMPUTED_VALUE"""),"BN JUAL BELI")</f>
        <v>BN JUAL BELI</v>
      </c>
      <c r="H6110" s="42">
        <f t="shared" si="1"/>
        <v>2699</v>
      </c>
    </row>
    <row r="6111" ht="22.5" customHeight="1">
      <c r="B6111" s="42" t="str">
        <f>IFERROR(__xludf.DUMMYFUNCTION("""COMPUTED_VALUE"""),"L/21/250725/1")</f>
        <v>L/21/250725/1</v>
      </c>
      <c r="C6111" s="42" t="str">
        <f>IFERROR(__xludf.DUMMYFUNCTION("""COMPUTED_VALUE"""),"HM 836/SUMBER AGUNG")</f>
        <v>HM 836/SUMBER AGUNG</v>
      </c>
      <c r="D6111" s="42"/>
      <c r="E6111" s="42"/>
      <c r="F6111" s="48" t="str">
        <f>IFERROR(__xludf.DUMMYFUNCTION("""COMPUTED_VALUE"""),"")</f>
        <v/>
      </c>
      <c r="G6111" s="42" t="str">
        <f>IFERROR(__xludf.DUMMYFUNCTION("""COMPUTED_VALUE"""),"SKPT INFORMASI")</f>
        <v>SKPT INFORMASI</v>
      </c>
      <c r="H6111" s="42">
        <f t="shared" si="1"/>
        <v>2699</v>
      </c>
    </row>
    <row r="6112" ht="22.5" customHeight="1">
      <c r="B6112" s="42" t="str">
        <f>IFERROR(__xludf.DUMMYFUNCTION("""COMPUTED_VALUE"""),"K/22/250725/1")</f>
        <v>K/22/250725/1</v>
      </c>
      <c r="C6112" s="42" t="str">
        <f>IFERROR(__xludf.DUMMYFUNCTION("""COMPUTED_VALUE"""),"NIBEL M. 20630/RAJABASA JAYA")</f>
        <v>NIBEL M. 20630/RAJABASA JAYA</v>
      </c>
      <c r="D6112" s="42"/>
      <c r="E6112" s="42"/>
      <c r="F6112" s="48" t="str">
        <f>IFERROR(__xludf.DUMMYFUNCTION("""COMPUTED_VALUE"""),"")</f>
        <v/>
      </c>
      <c r="G6112" s="42" t="str">
        <f>IFERROR(__xludf.DUMMYFUNCTION("""COMPUTED_VALUE"""),"BN JUAL BELI")</f>
        <v>BN JUAL BELI</v>
      </c>
      <c r="H6112" s="42">
        <f t="shared" si="1"/>
        <v>2699</v>
      </c>
    </row>
    <row r="6113" ht="22.5" customHeight="1">
      <c r="B6113" s="42" t="str">
        <f>IFERROR(__xludf.DUMMYFUNCTION("""COMPUTED_VALUE"""),"K/23/250725/1")</f>
        <v>K/23/250725/1</v>
      </c>
      <c r="C6113" s="42" t="str">
        <f>IFERROR(__xludf.DUMMYFUNCTION("""COMPUTED_VALUE"""),"TANAH MENTAH")</f>
        <v>TANAH MENTAH</v>
      </c>
      <c r="D6113" s="42"/>
      <c r="E6113" s="42"/>
      <c r="F6113" s="48" t="str">
        <f>IFERROR(__xludf.DUMMYFUNCTION("""COMPUTED_VALUE"""),"")</f>
        <v/>
      </c>
      <c r="G6113" s="42" t="str">
        <f>IFERROR(__xludf.DUMMYFUNCTION("""COMPUTED_VALUE"""),"PENGUKURAN PERTAMA KALI")</f>
        <v>PENGUKURAN PERTAMA KALI</v>
      </c>
      <c r="H6113" s="42">
        <f t="shared" si="1"/>
        <v>2699</v>
      </c>
    </row>
    <row r="6114" ht="22.5" customHeight="1">
      <c r="B6114" s="42" t="str">
        <f>IFERROR(__xludf.DUMMYFUNCTION("""COMPUTED_VALUE"""),"K/16/250725/1")</f>
        <v>K/16/250725/1</v>
      </c>
      <c r="C6114" s="42" t="str">
        <f>IFERROR(__xludf.DUMMYFUNCTION("""COMPUTED_VALUE"""),"Nibel. B. 17934/ Kedamaian")</f>
        <v>Nibel. B. 17934/ Kedamaian</v>
      </c>
      <c r="D6114" s="42"/>
      <c r="E6114" s="42"/>
      <c r="F6114" s="48" t="str">
        <f>IFERROR(__xludf.DUMMYFUNCTION("""COMPUTED_VALUE"""),"")</f>
        <v/>
      </c>
      <c r="G6114" s="42" t="str">
        <f>IFERROR(__xludf.DUMMYFUNCTION("""COMPUTED_VALUE"""),"Perubahan Hak")</f>
        <v>Perubahan Hak</v>
      </c>
      <c r="H6114" s="42">
        <f t="shared" si="1"/>
        <v>2699</v>
      </c>
    </row>
    <row r="6115" ht="22.5" customHeight="1">
      <c r="B6115" s="42" t="str">
        <f>IFERROR(__xludf.DUMMYFUNCTION("""COMPUTED_VALUE"""),"K/24/250725/1")</f>
        <v>K/24/250725/1</v>
      </c>
      <c r="C6115" s="42" t="str">
        <f>IFERROR(__xludf.DUMMYFUNCTION("""COMPUTED_VALUE"""),"M. 868/ Way Halim Permai")</f>
        <v>M. 868/ Way Halim Permai</v>
      </c>
      <c r="D6115" s="42" t="str">
        <f>IFERROR(__xludf.DUMMYFUNCTION("""COMPUTED_VALUE"""),"David")</f>
        <v>David</v>
      </c>
      <c r="E6115" s="42" t="str">
        <f>IFERROR(__xludf.DUMMYFUNCTION("""COMPUTED_VALUE"""),"DISERAHKAN")</f>
        <v>DISERAHKAN</v>
      </c>
      <c r="F6115" s="48">
        <f>IFERROR(__xludf.DUMMYFUNCTION("""COMPUTED_VALUE"""),45904.617025590276)</f>
        <v>45904.61703</v>
      </c>
      <c r="G6115" s="42" t="str">
        <f>IFERROR(__xludf.DUMMYFUNCTION("""COMPUTED_VALUE"""),"Roya")</f>
        <v>Roya</v>
      </c>
      <c r="H6115" s="42">
        <f t="shared" si="1"/>
        <v>2700</v>
      </c>
    </row>
    <row r="6116" ht="22.5" customHeight="1">
      <c r="B6116" s="42" t="str">
        <f>IFERROR(__xludf.DUMMYFUNCTION("""COMPUTED_VALUE"""),"K/17/250725/1")</f>
        <v>K/17/250725/1</v>
      </c>
      <c r="C6116" s="42" t="str">
        <f>IFERROR(__xludf.DUMMYFUNCTION("""COMPUTED_VALUE"""),"M.1522/SUKARAME BARU")</f>
        <v>M.1522/SUKARAME BARU</v>
      </c>
      <c r="D6116" s="42" t="str">
        <f>IFERROR(__xludf.DUMMYFUNCTION("""COMPUTED_VALUE"""),"Berry")</f>
        <v>Berry</v>
      </c>
      <c r="E6116" s="42" t="str">
        <f>IFERROR(__xludf.DUMMYFUNCTION("""COMPUTED_VALUE"""),"DISERAHKAN")</f>
        <v>DISERAHKAN</v>
      </c>
      <c r="F6116" s="48">
        <f>IFERROR(__xludf.DUMMYFUNCTION("""COMPUTED_VALUE"""),45894.56462535879)</f>
        <v>45894.56463</v>
      </c>
      <c r="G6116" s="42" t="str">
        <f>IFERROR(__xludf.DUMMYFUNCTION("""COMPUTED_VALUE"""),"JUAL BELI")</f>
        <v>JUAL BELI</v>
      </c>
      <c r="H6116" s="42">
        <f t="shared" si="1"/>
        <v>2701</v>
      </c>
    </row>
    <row r="6117" ht="22.5" customHeight="1">
      <c r="B6117" s="42" t="str">
        <f>IFERROR(__xludf.DUMMYFUNCTION("""COMPUTED_VALUE"""),"K/25/250725/2")</f>
        <v>K/25/250725/2</v>
      </c>
      <c r="C6117" s="42" t="str">
        <f>IFERROR(__xludf.DUMMYFUNCTION("""COMPUTED_VALUE"""),"M. 1373/RAWA LAUT")</f>
        <v>M. 1373/RAWA LAUT</v>
      </c>
      <c r="D6117" s="42" t="str">
        <f>IFERROR(__xludf.DUMMYFUNCTION("""COMPUTED_VALUE"""),"David")</f>
        <v>David</v>
      </c>
      <c r="E6117" s="42" t="str">
        <f>IFERROR(__xludf.DUMMYFUNCTION("""COMPUTED_VALUE"""),"DISERAHKAN")</f>
        <v>DISERAHKAN</v>
      </c>
      <c r="F6117" s="48">
        <f>IFERROR(__xludf.DUMMYFUNCTION("""COMPUTED_VALUE"""),45883.65993685185)</f>
        <v>45883.65994</v>
      </c>
      <c r="G6117" s="42" t="str">
        <f>IFERROR(__xludf.DUMMYFUNCTION("""COMPUTED_VALUE"""),"DIAN EKA SARI / IRSAN")</f>
        <v>DIAN EKA SARI / IRSAN</v>
      </c>
      <c r="H6117" s="42">
        <f t="shared" si="1"/>
        <v>2702</v>
      </c>
    </row>
    <row r="6118" ht="22.5" customHeight="1">
      <c r="B6118" s="42" t="str">
        <f>IFERROR(__xludf.DUMMYFUNCTION("""COMPUTED_VALUE"""),"K/26/250725/1")</f>
        <v>K/26/250725/1</v>
      </c>
      <c r="C6118" s="42" t="str">
        <f>IFERROR(__xludf.DUMMYFUNCTION("""COMPUTED_VALUE"""),"M. 3384/GUNUNG TERANG")</f>
        <v>M. 3384/GUNUNG TERANG</v>
      </c>
      <c r="D6118" s="42"/>
      <c r="E6118" s="42"/>
      <c r="F6118" s="48" t="str">
        <f>IFERROR(__xludf.DUMMYFUNCTION("""COMPUTED_VALUE"""),"")</f>
        <v/>
      </c>
      <c r="G6118" s="42" t="str">
        <f>IFERROR(__xludf.DUMMYFUNCTION("""COMPUTED_VALUE"""),"PEMECAHAN")</f>
        <v>PEMECAHAN</v>
      </c>
      <c r="H6118" s="42">
        <f t="shared" si="1"/>
        <v>2702</v>
      </c>
    </row>
    <row r="6119" ht="22.5" customHeight="1">
      <c r="B6119" s="42" t="str">
        <f>IFERROR(__xludf.DUMMYFUNCTION("""COMPUTED_VALUE"""),"K/27/250725/2")</f>
        <v>K/27/250725/2</v>
      </c>
      <c r="C6119" s="42" t="str">
        <f>IFERROR(__xludf.DUMMYFUNCTION("""COMPUTED_VALUE"""),"NIBEL M.21426/JAGABAYA II")</f>
        <v>NIBEL M.21426/JAGABAYA II</v>
      </c>
      <c r="D6119" s="42"/>
      <c r="E6119" s="42"/>
      <c r="F6119" s="48" t="str">
        <f>IFERROR(__xludf.DUMMYFUNCTION("""COMPUTED_VALUE"""),"")</f>
        <v/>
      </c>
      <c r="G6119" s="42" t="str">
        <f>IFERROR(__xludf.DUMMYFUNCTION("""COMPUTED_VALUE"""),"BN JUAL BELI")</f>
        <v>BN JUAL BELI</v>
      </c>
      <c r="H6119" s="42">
        <f t="shared" si="1"/>
        <v>2702</v>
      </c>
    </row>
    <row r="6120" ht="22.5" customHeight="1">
      <c r="B6120" s="42" t="str">
        <f>IFERROR(__xludf.DUMMYFUNCTION("""COMPUTED_VALUE"""),"K/28/250725/1")</f>
        <v>K/28/250725/1</v>
      </c>
      <c r="C6120" s="42" t="str">
        <f>IFERROR(__xludf.DUMMYFUNCTION("""COMPUTED_VALUE"""),"M.113/RAJABASA NUNYAI")</f>
        <v>M.113/RAJABASA NUNYAI</v>
      </c>
      <c r="D6120" s="42" t="str">
        <f>IFERROR(__xludf.DUMMYFUNCTION("""COMPUTED_VALUE"""),"Berry")</f>
        <v>Berry</v>
      </c>
      <c r="E6120" s="42" t="str">
        <f>IFERROR(__xludf.DUMMYFUNCTION("""COMPUTED_VALUE"""),"DISERAHKAN")</f>
        <v>DISERAHKAN</v>
      </c>
      <c r="F6120" s="48">
        <f>IFERROR(__xludf.DUMMYFUNCTION("""COMPUTED_VALUE"""),45883.66072010416)</f>
        <v>45883.66072</v>
      </c>
      <c r="G6120" s="42" t="str">
        <f>IFERROR(__xludf.DUMMYFUNCTION("""COMPUTED_VALUE"""),"JUAL BELI")</f>
        <v>JUAL BELI</v>
      </c>
      <c r="H6120" s="42">
        <f t="shared" si="1"/>
        <v>2703</v>
      </c>
    </row>
    <row r="6121" ht="22.5" customHeight="1">
      <c r="B6121" s="42" t="str">
        <f>IFERROR(__xludf.DUMMYFUNCTION("""COMPUTED_VALUE"""),"K/30/250725/1")</f>
        <v>K/30/250725/1</v>
      </c>
      <c r="C6121" s="42" t="str">
        <f>IFERROR(__xludf.DUMMYFUNCTION("""COMPUTED_VALUE"""),"Nibel 21499/ Sukabumi")</f>
        <v>Nibel 21499/ Sukabumi</v>
      </c>
      <c r="D6121" s="42"/>
      <c r="E6121" s="42"/>
      <c r="F6121" s="48" t="str">
        <f>IFERROR(__xludf.DUMMYFUNCTION("""COMPUTED_VALUE"""),"")</f>
        <v/>
      </c>
      <c r="G6121" s="42" t="str">
        <f>IFERROR(__xludf.DUMMYFUNCTION("""COMPUTED_VALUE"""),"BN JUAL BELI")</f>
        <v>BN JUAL BELI</v>
      </c>
      <c r="H6121" s="42">
        <f t="shared" si="1"/>
        <v>2703</v>
      </c>
    </row>
    <row r="6122" ht="22.5" customHeight="1">
      <c r="B6122" s="42" t="str">
        <f>IFERROR(__xludf.DUMMYFUNCTION("""COMPUTED_VALUE"""),"K/29/250725/2")</f>
        <v>K/29/250725/2</v>
      </c>
      <c r="C6122" s="42" t="str">
        <f>IFERROR(__xludf.DUMMYFUNCTION("""COMPUTED_VALUE"""),"M.112/RAJABASA NUNYAI")</f>
        <v>M.112/RAJABASA NUNYAI</v>
      </c>
      <c r="D6122" s="42" t="str">
        <f>IFERROR(__xludf.DUMMYFUNCTION("""COMPUTED_VALUE"""),"Berry")</f>
        <v>Berry</v>
      </c>
      <c r="E6122" s="42" t="str">
        <f>IFERROR(__xludf.DUMMYFUNCTION("""COMPUTED_VALUE"""),"DISERAHKAN")</f>
        <v>DISERAHKAN</v>
      </c>
      <c r="F6122" s="48">
        <f>IFERROR(__xludf.DUMMYFUNCTION("""COMPUTED_VALUE"""),45880.71697879629)</f>
        <v>45880.71698</v>
      </c>
      <c r="G6122" s="42" t="str">
        <f>IFERROR(__xludf.DUMMYFUNCTION("""COMPUTED_VALUE"""),"JUAL BELI")</f>
        <v>JUAL BELI</v>
      </c>
      <c r="H6122" s="42">
        <f t="shared" si="1"/>
        <v>2704</v>
      </c>
    </row>
    <row r="6123" ht="22.5" customHeight="1">
      <c r="B6123" s="42" t="str">
        <f>IFERROR(__xludf.DUMMYFUNCTION("""COMPUTED_VALUE"""),"K/31/250725/2")</f>
        <v>K/31/250725/2</v>
      </c>
      <c r="C6123" s="42" t="str">
        <f>IFERROR(__xludf.DUMMYFUNCTION("""COMPUTED_VALUE"""),"Nibel 19296/ Kedaung")</f>
        <v>Nibel 19296/ Kedaung</v>
      </c>
      <c r="D6123" s="42"/>
      <c r="E6123" s="42"/>
      <c r="F6123" s="48" t="str">
        <f>IFERROR(__xludf.DUMMYFUNCTION("""COMPUTED_VALUE"""),"")</f>
        <v/>
      </c>
      <c r="G6123" s="42" t="str">
        <f>IFERROR(__xludf.DUMMYFUNCTION("""COMPUTED_VALUE"""),"BN JUAL BELI")</f>
        <v>BN JUAL BELI</v>
      </c>
      <c r="H6123" s="42">
        <f t="shared" si="1"/>
        <v>2704</v>
      </c>
    </row>
    <row r="6124" ht="22.5" customHeight="1">
      <c r="B6124" s="42" t="str">
        <f>IFERROR(__xludf.DUMMYFUNCTION("""COMPUTED_VALUE"""),"K/32/250725/1")</f>
        <v>K/32/250725/1</v>
      </c>
      <c r="C6124" s="42" t="str">
        <f>IFERROR(__xludf.DUMMYFUNCTION("""COMPUTED_VALUE"""),"M. 14869/ Sukarame")</f>
        <v>M. 14869/ Sukarame</v>
      </c>
      <c r="D6124" s="42"/>
      <c r="E6124" s="42"/>
      <c r="F6124" s="48" t="str">
        <f>IFERROR(__xludf.DUMMYFUNCTION("""COMPUTED_VALUE"""),"")</f>
        <v/>
      </c>
      <c r="G6124" s="42" t="str">
        <f>IFERROR(__xludf.DUMMYFUNCTION("""COMPUTED_VALUE"""),"BN Waris")</f>
        <v>BN Waris</v>
      </c>
      <c r="H6124" s="42">
        <f t="shared" si="1"/>
        <v>2704</v>
      </c>
    </row>
    <row r="6125" ht="22.5" customHeight="1">
      <c r="B6125" s="42" t="str">
        <f>IFERROR(__xludf.DUMMYFUNCTION("""COMPUTED_VALUE"""),"K/33/250725/2")</f>
        <v>K/33/250725/2</v>
      </c>
      <c r="C6125" s="42" t="str">
        <f>IFERROR(__xludf.DUMMYFUNCTION("""COMPUTED_VALUE"""),"B. 834/ Beringin Jaya")</f>
        <v>B. 834/ Beringin Jaya</v>
      </c>
      <c r="D6125" s="42"/>
      <c r="E6125" s="42"/>
      <c r="F6125" s="48" t="str">
        <f>IFERROR(__xludf.DUMMYFUNCTION("""COMPUTED_VALUE"""),"")</f>
        <v/>
      </c>
      <c r="G6125" s="42" t="str">
        <f>IFERROR(__xludf.DUMMYFUNCTION("""COMPUTED_VALUE"""),"Ganti Nama")</f>
        <v>Ganti Nama</v>
      </c>
      <c r="H6125" s="42">
        <f t="shared" si="1"/>
        <v>2704</v>
      </c>
    </row>
    <row r="6126" ht="22.5" customHeight="1">
      <c r="B6126" s="42" t="str">
        <f>IFERROR(__xludf.DUMMYFUNCTION("""COMPUTED_VALUE"""),"K/34/250725/1")</f>
        <v>K/34/250725/1</v>
      </c>
      <c r="C6126" s="42" t="str">
        <f>IFERROR(__xludf.DUMMYFUNCTION("""COMPUTED_VALUE"""),"NIBEL M. 22012/KANGKUNG")</f>
        <v>NIBEL M. 22012/KANGKUNG</v>
      </c>
      <c r="D6126" s="42"/>
      <c r="E6126" s="42"/>
      <c r="F6126" s="48" t="str">
        <f>IFERROR(__xludf.DUMMYFUNCTION("""COMPUTED_VALUE"""),"")</f>
        <v/>
      </c>
      <c r="G6126" s="42" t="str">
        <f>IFERROR(__xludf.DUMMYFUNCTION("""COMPUTED_VALUE"""),"BN JUAL BELI")</f>
        <v>BN JUAL BELI</v>
      </c>
      <c r="H6126" s="42">
        <f t="shared" si="1"/>
        <v>2704</v>
      </c>
    </row>
    <row r="6127" ht="22.5" customHeight="1">
      <c r="B6127" s="42" t="str">
        <f>IFERROR(__xludf.DUMMYFUNCTION("""COMPUTED_VALUE"""),"K/35/250725/1")</f>
        <v>K/35/250725/1</v>
      </c>
      <c r="C6127" s="42" t="str">
        <f>IFERROR(__xludf.DUMMYFUNCTION("""COMPUTED_VALUE"""),"Nibel 22408/ Sepang Jaya")</f>
        <v>Nibel 22408/ Sepang Jaya</v>
      </c>
      <c r="D6127" s="42"/>
      <c r="E6127" s="42"/>
      <c r="F6127" s="48" t="str">
        <f>IFERROR(__xludf.DUMMYFUNCTION("""COMPUTED_VALUE"""),"")</f>
        <v/>
      </c>
      <c r="G6127" s="42" t="str">
        <f>IFERROR(__xludf.DUMMYFUNCTION("""COMPUTED_VALUE"""),"GANTI NAMA")</f>
        <v>GANTI NAMA</v>
      </c>
      <c r="H6127" s="42">
        <f t="shared" si="1"/>
        <v>2704</v>
      </c>
    </row>
    <row r="6128" ht="22.5" customHeight="1">
      <c r="B6128" s="42" t="str">
        <f>IFERROR(__xludf.DUMMYFUNCTION("""COMPUTED_VALUE"""),"K/36/250725/1")</f>
        <v>K/36/250725/1</v>
      </c>
      <c r="C6128" s="42" t="str">
        <f>IFERROR(__xludf.DUMMYFUNCTION("""COMPUTED_VALUE"""),"B. 876/ Sukarame Baru")</f>
        <v>B. 876/ Sukarame Baru</v>
      </c>
      <c r="D6128" s="42" t="str">
        <f>IFERROR(__xludf.DUMMYFUNCTION("""COMPUTED_VALUE"""),"Berry")</f>
        <v>Berry</v>
      </c>
      <c r="E6128" s="42" t="str">
        <f>IFERROR(__xludf.DUMMYFUNCTION("""COMPUTED_VALUE"""),"DISERAHKAN")</f>
        <v>DISERAHKAN</v>
      </c>
      <c r="F6128" s="48">
        <f>IFERROR(__xludf.DUMMYFUNCTION("""COMPUTED_VALUE"""),45908.63350664351)</f>
        <v>45908.63351</v>
      </c>
      <c r="G6128" s="42" t="str">
        <f>IFERROR(__xludf.DUMMYFUNCTION("""COMPUTED_VALUE"""),"BN JUAL BELI")</f>
        <v>BN JUAL BELI</v>
      </c>
      <c r="H6128" s="42">
        <f t="shared" si="1"/>
        <v>2705</v>
      </c>
    </row>
    <row r="6129" ht="22.5" customHeight="1">
      <c r="B6129" s="42" t="str">
        <f>IFERROR(__xludf.DUMMYFUNCTION("""COMPUTED_VALUE"""),"K/37/250725/1")</f>
        <v>K/37/250725/1</v>
      </c>
      <c r="C6129" s="42" t="str">
        <f>IFERROR(__xludf.DUMMYFUNCTION("""COMPUTED_VALUE"""),"M.1105/SUKARAME BARU")</f>
        <v>M.1105/SUKARAME BARU</v>
      </c>
      <c r="D6129" s="42"/>
      <c r="E6129" s="42"/>
      <c r="F6129" s="48" t="str">
        <f>IFERROR(__xludf.DUMMYFUNCTION("""COMPUTED_VALUE"""),"")</f>
        <v/>
      </c>
      <c r="G6129" s="42" t="str">
        <f>IFERROR(__xludf.DUMMYFUNCTION("""COMPUTED_VALUE"""),"JUAL BELI")</f>
        <v>JUAL BELI</v>
      </c>
      <c r="H6129" s="42">
        <f t="shared" si="1"/>
        <v>2705</v>
      </c>
    </row>
    <row r="6130" ht="22.5" customHeight="1">
      <c r="B6130" s="42" t="str">
        <f>IFERROR(__xludf.DUMMYFUNCTION("""COMPUTED_VALUE"""),"K/38/250725/1")</f>
        <v>K/38/250725/1</v>
      </c>
      <c r="C6130" s="42" t="str">
        <f>IFERROR(__xludf.DUMMYFUNCTION("""COMPUTED_VALUE"""),"M.973/JAGABAYA III")</f>
        <v>M.973/JAGABAYA III</v>
      </c>
      <c r="D6130" s="42" t="str">
        <f>IFERROR(__xludf.DUMMYFUNCTION("""COMPUTED_VALUE"""),"David")</f>
        <v>David</v>
      </c>
      <c r="E6130" s="42" t="str">
        <f>IFERROR(__xludf.DUMMYFUNCTION("""COMPUTED_VALUE"""),"DISERAHKAN")</f>
        <v>DISERAHKAN</v>
      </c>
      <c r="F6130" s="48">
        <f>IFERROR(__xludf.DUMMYFUNCTION("""COMPUTED_VALUE"""),45904.61662094908)</f>
        <v>45904.61662</v>
      </c>
      <c r="G6130" s="42" t="str">
        <f>IFERROR(__xludf.DUMMYFUNCTION("""COMPUTED_VALUE"""),"ROYA")</f>
        <v>ROYA</v>
      </c>
      <c r="H6130" s="42">
        <f t="shared" si="1"/>
        <v>2706</v>
      </c>
    </row>
    <row r="6131" ht="22.5" customHeight="1">
      <c r="B6131" s="42" t="str">
        <f>IFERROR(__xludf.DUMMYFUNCTION("""COMPUTED_VALUE"""),"K/40/250725/1")</f>
        <v>K/40/250725/1</v>
      </c>
      <c r="C6131" s="42" t="str">
        <f>IFERROR(__xludf.DUMMYFUNCTION("""COMPUTED_VALUE"""),"M. 1039/ Tanjung Gading")</f>
        <v>M. 1039/ Tanjung Gading</v>
      </c>
      <c r="D6131" s="42" t="str">
        <f>IFERROR(__xludf.DUMMYFUNCTION("""COMPUTED_VALUE"""),"Berry")</f>
        <v>Berry</v>
      </c>
      <c r="E6131" s="42" t="str">
        <f>IFERROR(__xludf.DUMMYFUNCTION("""COMPUTED_VALUE"""),"DISERAHKAN")</f>
        <v>DISERAHKAN</v>
      </c>
      <c r="F6131" s="48">
        <f>IFERROR(__xludf.DUMMYFUNCTION("""COMPUTED_VALUE"""),45882.63826576389)</f>
        <v>45882.63827</v>
      </c>
      <c r="G6131" s="42" t="str">
        <f>IFERROR(__xludf.DUMMYFUNCTION("""COMPUTED_VALUE"""),"BN Hibah")</f>
        <v>BN Hibah</v>
      </c>
      <c r="H6131" s="42">
        <f t="shared" si="1"/>
        <v>2707</v>
      </c>
    </row>
    <row r="6132" ht="22.5" customHeight="1">
      <c r="B6132" s="42" t="str">
        <f>IFERROR(__xludf.DUMMYFUNCTION("""COMPUTED_VALUE"""),"K/39/250725/1")</f>
        <v>K/39/250725/1</v>
      </c>
      <c r="C6132" s="42" t="str">
        <f>IFERROR(__xludf.DUMMYFUNCTION("""COMPUTED_VALUE"""),"M.13797/RAJABASA")</f>
        <v>M.13797/RAJABASA</v>
      </c>
      <c r="D6132" s="42"/>
      <c r="E6132" s="42"/>
      <c r="F6132" s="48" t="str">
        <f>IFERROR(__xludf.DUMMYFUNCTION("""COMPUTED_VALUE"""),"")</f>
        <v/>
      </c>
      <c r="G6132" s="42" t="str">
        <f>IFERROR(__xludf.DUMMYFUNCTION("""COMPUTED_VALUE"""),"BLOKIR")</f>
        <v>BLOKIR</v>
      </c>
      <c r="H6132" s="42">
        <f t="shared" si="1"/>
        <v>2707</v>
      </c>
    </row>
    <row r="6133" ht="22.5" customHeight="1">
      <c r="B6133" s="42" t="str">
        <f>IFERROR(__xludf.DUMMYFUNCTION("""COMPUTED_VALUE"""),"L/1/270725/PELATARAN ")</f>
        <v>L/1/270725/PELATARAN </v>
      </c>
      <c r="C6133" s="42" t="str">
        <f>IFERROR(__xludf.DUMMYFUNCTION("""COMPUTED_VALUE"""),"M. 1860/SUSUNAN BARU")</f>
        <v>M. 1860/SUSUNAN BARU</v>
      </c>
      <c r="D6133" s="42" t="str">
        <f>IFERROR(__xludf.DUMMYFUNCTION("""COMPUTED_VALUE"""),"Berry")</f>
        <v>Berry</v>
      </c>
      <c r="E6133" s="42" t="str">
        <f>IFERROR(__xludf.DUMMYFUNCTION("""COMPUTED_VALUE"""),"DISERAHKAN")</f>
        <v>DISERAHKAN</v>
      </c>
      <c r="F6133" s="48">
        <f>IFERROR(__xludf.DUMMYFUNCTION("""COMPUTED_VALUE"""),45869.499421967594)</f>
        <v>45869.49942</v>
      </c>
      <c r="G6133" s="42" t="str">
        <f>IFERROR(__xludf.DUMMYFUNCTION("""COMPUTED_VALUE"""),"JUAL BELI ")</f>
        <v>JUAL BELI </v>
      </c>
      <c r="H6133" s="42">
        <f t="shared" si="1"/>
        <v>2708</v>
      </c>
    </row>
    <row r="6134" ht="22.5" customHeight="1">
      <c r="B6134" s="42" t="str">
        <f>IFERROR(__xludf.DUMMYFUNCTION("""COMPUTED_VALUE"""),"K/1/280725/1")</f>
        <v>K/1/280725/1</v>
      </c>
      <c r="C6134" s="42" t="str">
        <f>IFERROR(__xludf.DUMMYFUNCTION("""COMPUTED_VALUE"""),"M. 276/ Rajabasa Pemuka")</f>
        <v>M. 276/ Rajabasa Pemuka</v>
      </c>
      <c r="D6134" s="42" t="str">
        <f>IFERROR(__xludf.DUMMYFUNCTION("""COMPUTED_VALUE"""),"Berry")</f>
        <v>Berry</v>
      </c>
      <c r="E6134" s="42" t="str">
        <f>IFERROR(__xludf.DUMMYFUNCTION("""COMPUTED_VALUE"""),"DISERAHKAN")</f>
        <v>DISERAHKAN</v>
      </c>
      <c r="F6134" s="48">
        <f>IFERROR(__xludf.DUMMYFUNCTION("""COMPUTED_VALUE"""),45880.715402013884)</f>
        <v>45880.7154</v>
      </c>
      <c r="G6134" s="42" t="str">
        <f>IFERROR(__xludf.DUMMYFUNCTION("""COMPUTED_VALUE"""),"BN Hibah")</f>
        <v>BN Hibah</v>
      </c>
      <c r="H6134" s="42">
        <f t="shared" si="1"/>
        <v>2709</v>
      </c>
    </row>
    <row r="6135" ht="22.5" customHeight="1">
      <c r="B6135" s="42" t="str">
        <f>IFERROR(__xludf.DUMMYFUNCTION("""COMPUTED_VALUE"""),"K/2/280725/1")</f>
        <v>K/2/280725/1</v>
      </c>
      <c r="C6135" s="42" t="str">
        <f>IFERROR(__xludf.DUMMYFUNCTION("""COMPUTED_VALUE"""),"NIBEL M 21081/LANGKAPURA")</f>
        <v>NIBEL M 21081/LANGKAPURA</v>
      </c>
      <c r="D6135" s="42"/>
      <c r="E6135" s="42"/>
      <c r="F6135" s="48" t="str">
        <f>IFERROR(__xludf.DUMMYFUNCTION("""COMPUTED_VALUE"""),"")</f>
        <v/>
      </c>
      <c r="G6135" s="42" t="str">
        <f>IFERROR(__xludf.DUMMYFUNCTION("""COMPUTED_VALUE"""),"PTPGT")</f>
        <v>PTPGT</v>
      </c>
      <c r="H6135" s="42">
        <f t="shared" si="1"/>
        <v>2709</v>
      </c>
    </row>
    <row r="6136" ht="22.5" customHeight="1">
      <c r="B6136" s="42" t="str">
        <f>IFERROR(__xludf.DUMMYFUNCTION("""COMPUTED_VALUE"""),"L/3/280725/1")</f>
        <v>L/3/280725/1</v>
      </c>
      <c r="C6136" s="42" t="str">
        <f>IFERROR(__xludf.DUMMYFUNCTION("""COMPUTED_VALUE"""),"PEMATANG WANGI")</f>
        <v>PEMATANG WANGI</v>
      </c>
      <c r="D6136" s="42"/>
      <c r="E6136" s="42"/>
      <c r="F6136" s="48" t="str">
        <f>IFERROR(__xludf.DUMMYFUNCTION("""COMPUTED_VALUE"""),"")</f>
        <v/>
      </c>
      <c r="G6136" s="42" t="str">
        <f>IFERROR(__xludf.DUMMYFUNCTION("""COMPUTED_VALUE"""),"PERTAMA KALI")</f>
        <v>PERTAMA KALI</v>
      </c>
      <c r="H6136" s="42">
        <f t="shared" si="1"/>
        <v>2709</v>
      </c>
    </row>
    <row r="6137" ht="22.5" customHeight="1">
      <c r="B6137" s="42" t="str">
        <f>IFERROR(__xludf.DUMMYFUNCTION("""COMPUTED_VALUE"""),"K/41/250725/1")</f>
        <v>K/41/250725/1</v>
      </c>
      <c r="C6137" s="42" t="str">
        <f>IFERROR(__xludf.DUMMYFUNCTION("""COMPUTED_VALUE"""),"M. 1142/WAY KANDIS")</f>
        <v>M. 1142/WAY KANDIS</v>
      </c>
      <c r="D6137" s="42"/>
      <c r="E6137" s="42"/>
      <c r="F6137" s="48" t="str">
        <f>IFERROR(__xludf.DUMMYFUNCTION("""COMPUTED_VALUE"""),"")</f>
        <v/>
      </c>
      <c r="G6137" s="42" t="str">
        <f>IFERROR(__xludf.DUMMYFUNCTION("""COMPUTED_VALUE"""),"PENATAAN BATAS")</f>
        <v>PENATAAN BATAS</v>
      </c>
      <c r="H6137" s="42">
        <f t="shared" si="1"/>
        <v>2709</v>
      </c>
    </row>
    <row r="6138" ht="22.5" customHeight="1">
      <c r="B6138" s="42" t="str">
        <f>IFERROR(__xludf.DUMMYFUNCTION("""COMPUTED_VALUE"""),"K/4/280725/1")</f>
        <v>K/4/280725/1</v>
      </c>
      <c r="C6138" s="42" t="str">
        <f>IFERROR(__xludf.DUMMYFUNCTION("""COMPUTED_VALUE"""),"M. 1205/BUMI KEDAMAIAN")</f>
        <v>M. 1205/BUMI KEDAMAIAN</v>
      </c>
      <c r="D6138" s="42"/>
      <c r="E6138" s="42"/>
      <c r="F6138" s="48" t="str">
        <f>IFERROR(__xludf.DUMMYFUNCTION("""COMPUTED_VALUE"""),"")</f>
        <v/>
      </c>
      <c r="G6138" s="42" t="str">
        <f>IFERROR(__xludf.DUMMYFUNCTION("""COMPUTED_VALUE"""),"BN JUAL BELI ")</f>
        <v>BN JUAL BELI </v>
      </c>
      <c r="H6138" s="42">
        <f t="shared" si="1"/>
        <v>2709</v>
      </c>
    </row>
    <row r="6139" ht="22.5" customHeight="1">
      <c r="B6139" s="42" t="str">
        <f>IFERROR(__xludf.DUMMYFUNCTION("""COMPUTED_VALUE"""),"K/5/280725/1")</f>
        <v>K/5/280725/1</v>
      </c>
      <c r="C6139" s="42" t="str">
        <f>IFERROR(__xludf.DUMMYFUNCTION("""COMPUTED_VALUE"""),"M. 417/KETAPANG")</f>
        <v>M. 417/KETAPANG</v>
      </c>
      <c r="D6139" s="42"/>
      <c r="E6139" s="42"/>
      <c r="F6139" s="48" t="str">
        <f>IFERROR(__xludf.DUMMYFUNCTION("""COMPUTED_VALUE"""),"")</f>
        <v/>
      </c>
      <c r="G6139" s="42" t="str">
        <f>IFERROR(__xludf.DUMMYFUNCTION("""COMPUTED_VALUE"""),"SKPT LELANG")</f>
        <v>SKPT LELANG</v>
      </c>
      <c r="H6139" s="42">
        <f t="shared" si="1"/>
        <v>2709</v>
      </c>
    </row>
    <row r="6140" ht="22.5" customHeight="1">
      <c r="B6140" s="42" t="str">
        <f>IFERROR(__xludf.DUMMYFUNCTION("""COMPUTED_VALUE"""),"K/7/280725/1")</f>
        <v>K/7/280725/1</v>
      </c>
      <c r="C6140" s="42" t="str">
        <f>IFERROR(__xludf.DUMMYFUNCTION("""COMPUTED_VALUE"""),"M. 2405/ Negeri Olok Gading")</f>
        <v>M. 2405/ Negeri Olok Gading</v>
      </c>
      <c r="D6140" s="42"/>
      <c r="E6140" s="42"/>
      <c r="F6140" s="48" t="str">
        <f>IFERROR(__xludf.DUMMYFUNCTION("""COMPUTED_VALUE"""),"")</f>
        <v/>
      </c>
      <c r="G6140" s="42" t="str">
        <f>IFERROR(__xludf.DUMMYFUNCTION("""COMPUTED_VALUE"""),"BN Jual Beli")</f>
        <v>BN Jual Beli</v>
      </c>
      <c r="H6140" s="42">
        <f t="shared" si="1"/>
        <v>2709</v>
      </c>
    </row>
    <row r="6141" ht="22.5" customHeight="1">
      <c r="B6141" s="42" t="str">
        <f>IFERROR(__xludf.DUMMYFUNCTION("""COMPUTED_VALUE"""),"K/6/280725/2")</f>
        <v>K/6/280725/2</v>
      </c>
      <c r="C6141" s="42" t="str">
        <f>IFERROR(__xludf.DUMMYFUNCTION("""COMPUTED_VALUE"""),"M. 4081/BERINGIN RAYA")</f>
        <v>M. 4081/BERINGIN RAYA</v>
      </c>
      <c r="D6141" s="42"/>
      <c r="E6141" s="42"/>
      <c r="F6141" s="48" t="str">
        <f>IFERROR(__xludf.DUMMYFUNCTION("""COMPUTED_VALUE"""),"")</f>
        <v/>
      </c>
      <c r="G6141" s="42" t="str">
        <f>IFERROR(__xludf.DUMMYFUNCTION("""COMPUTED_VALUE"""),"SKPT LELANG")</f>
        <v>SKPT LELANG</v>
      </c>
      <c r="H6141" s="42">
        <f t="shared" si="1"/>
        <v>2709</v>
      </c>
    </row>
    <row r="6142" ht="22.5" customHeight="1">
      <c r="B6142" s="42" t="str">
        <f>IFERROR(__xludf.DUMMYFUNCTION("""COMPUTED_VALUE"""),"K/8/280725/2")</f>
        <v>K/8/280725/2</v>
      </c>
      <c r="C6142" s="42" t="str">
        <f>IFERROR(__xludf.DUMMYFUNCTION("""COMPUTED_VALUE"""),"Nibel. M. 23371/ Sumur Putri")</f>
        <v>Nibel. M. 23371/ Sumur Putri</v>
      </c>
      <c r="D6142" s="42"/>
      <c r="E6142" s="42"/>
      <c r="F6142" s="48" t="str">
        <f>IFERROR(__xludf.DUMMYFUNCTION("""COMPUTED_VALUE"""),"")</f>
        <v/>
      </c>
      <c r="G6142" s="42" t="str">
        <f>IFERROR(__xludf.DUMMYFUNCTION("""COMPUTED_VALUE"""),"BN Hibah")</f>
        <v>BN Hibah</v>
      </c>
      <c r="H6142" s="42">
        <f t="shared" si="1"/>
        <v>2709</v>
      </c>
    </row>
    <row r="6143" ht="22.5" customHeight="1">
      <c r="B6143" s="42" t="str">
        <f>IFERROR(__xludf.DUMMYFUNCTION("""COMPUTED_VALUE"""),"K/9/280725/1")</f>
        <v>K/9/280725/1</v>
      </c>
      <c r="C6143" s="42" t="str">
        <f>IFERROR(__xludf.DUMMYFUNCTION("""COMPUTED_VALUE"""),"M. 99/ Bilabong Jaya")</f>
        <v>M. 99/ Bilabong Jaya</v>
      </c>
      <c r="D6143" s="42" t="str">
        <f>IFERROR(__xludf.DUMMYFUNCTION("""COMPUTED_VALUE"""),"Berry")</f>
        <v>Berry</v>
      </c>
      <c r="E6143" s="42" t="str">
        <f>IFERROR(__xludf.DUMMYFUNCTION("""COMPUTED_VALUE"""),"DISERAHKAN")</f>
        <v>DISERAHKAN</v>
      </c>
      <c r="F6143" s="48">
        <f>IFERROR(__xludf.DUMMYFUNCTION("""COMPUTED_VALUE"""),45880.64521850694)</f>
        <v>45880.64522</v>
      </c>
      <c r="G6143" s="42" t="str">
        <f>IFERROR(__xludf.DUMMYFUNCTION("""COMPUTED_VALUE"""),"BN Jual Beli")</f>
        <v>BN Jual Beli</v>
      </c>
      <c r="H6143" s="42">
        <f t="shared" si="1"/>
        <v>2710</v>
      </c>
    </row>
    <row r="6144" ht="22.5" customHeight="1">
      <c r="B6144" s="42" t="str">
        <f>IFERROR(__xludf.DUMMYFUNCTION("""COMPUTED_VALUE"""),"K/11/280725/1")</f>
        <v>K/11/280725/1</v>
      </c>
      <c r="C6144" s="42" t="str">
        <f>IFERROR(__xludf.DUMMYFUNCTION("""COMPUTED_VALUE"""),"NIBEL M 19268/BERINGIN JAYA")</f>
        <v>NIBEL M 19268/BERINGIN JAYA</v>
      </c>
      <c r="D6144" s="42"/>
      <c r="E6144" s="42"/>
      <c r="F6144" s="48" t="str">
        <f>IFERROR(__xludf.DUMMYFUNCTION("""COMPUTED_VALUE"""),"")</f>
        <v/>
      </c>
      <c r="G6144" s="42" t="str">
        <f>IFERROR(__xludf.DUMMYFUNCTION("""COMPUTED_VALUE"""),"PEMECAHAN")</f>
        <v>PEMECAHAN</v>
      </c>
      <c r="H6144" s="42">
        <f t="shared" si="1"/>
        <v>2710</v>
      </c>
    </row>
    <row r="6145" ht="22.5" customHeight="1">
      <c r="B6145" s="42" t="str">
        <f>IFERROR(__xludf.DUMMYFUNCTION("""COMPUTED_VALUE"""),"K/10/280725/1")</f>
        <v>K/10/280725/1</v>
      </c>
      <c r="C6145" s="42" t="str">
        <f>IFERROR(__xludf.DUMMYFUNCTION("""COMPUTED_VALUE"""),"Nibel 23554/ Gunung agung")</f>
        <v>Nibel 23554/ Gunung agung</v>
      </c>
      <c r="D6145" s="42"/>
      <c r="E6145" s="42"/>
      <c r="F6145" s="48" t="str">
        <f>IFERROR(__xludf.DUMMYFUNCTION("""COMPUTED_VALUE"""),"")</f>
        <v/>
      </c>
      <c r="G6145" s="42" t="str">
        <f>IFERROR(__xludf.DUMMYFUNCTION("""COMPUTED_VALUE"""),"BN LELANG")</f>
        <v>BN LELANG</v>
      </c>
      <c r="H6145" s="42">
        <f t="shared" si="1"/>
        <v>2710</v>
      </c>
    </row>
    <row r="6146" ht="22.5" customHeight="1">
      <c r="B6146" s="42" t="str">
        <f>IFERROR(__xludf.DUMMYFUNCTION("""COMPUTED_VALUE"""),"L/14/280725/1")</f>
        <v>L/14/280725/1</v>
      </c>
      <c r="C6146" s="42" t="str">
        <f>IFERROR(__xludf.DUMMYFUNCTION("""COMPUTED_VALUE"""),"HM 71/SUMBEREJO")</f>
        <v>HM 71/SUMBEREJO</v>
      </c>
      <c r="D6146" s="42"/>
      <c r="E6146" s="42"/>
      <c r="F6146" s="48" t="str">
        <f>IFERROR(__xludf.DUMMYFUNCTION("""COMPUTED_VALUE"""),"")</f>
        <v/>
      </c>
      <c r="G6146" s="42" t="str">
        <f>IFERROR(__xludf.DUMMYFUNCTION("""COMPUTED_VALUE"""),"ROYA")</f>
        <v>ROYA</v>
      </c>
      <c r="H6146" s="42">
        <f t="shared" si="1"/>
        <v>2710</v>
      </c>
    </row>
    <row r="6147" ht="22.5" customHeight="1">
      <c r="B6147" s="42" t="str">
        <f>IFERROR(__xludf.DUMMYFUNCTION("""COMPUTED_VALUE"""),"K/13/280725/1")</f>
        <v>K/13/280725/1</v>
      </c>
      <c r="C6147" s="42" t="str">
        <f>IFERROR(__xludf.DUMMYFUNCTION("""COMPUTED_VALUE"""),"Nibel 23363/ Gunung agung")</f>
        <v>Nibel 23363/ Gunung agung</v>
      </c>
      <c r="D6147" s="42"/>
      <c r="E6147" s="42"/>
      <c r="F6147" s="48" t="str">
        <f>IFERROR(__xludf.DUMMYFUNCTION("""COMPUTED_VALUE"""),"")</f>
        <v/>
      </c>
      <c r="G6147" s="42" t="str">
        <f>IFERROR(__xludf.DUMMYFUNCTION("""COMPUTED_VALUE"""),"BN LELANG")</f>
        <v>BN LELANG</v>
      </c>
      <c r="H6147" s="42">
        <f t="shared" si="1"/>
        <v>2710</v>
      </c>
    </row>
    <row r="6148" ht="22.5" customHeight="1">
      <c r="B6148" s="42" t="str">
        <f>IFERROR(__xludf.DUMMYFUNCTION("""COMPUTED_VALUE"""),"K/12/280725/2")</f>
        <v>K/12/280725/2</v>
      </c>
      <c r="C6148" s="42" t="str">
        <f>IFERROR(__xludf.DUMMYFUNCTION("""COMPUTED_VALUE"""),"NIBEL M 19494/BERINGIN JAYA")</f>
        <v>NIBEL M 19494/BERINGIN JAYA</v>
      </c>
      <c r="D6148" s="42"/>
      <c r="E6148" s="42"/>
      <c r="F6148" s="48" t="str">
        <f>IFERROR(__xludf.DUMMYFUNCTION("""COMPUTED_VALUE"""),"")</f>
        <v/>
      </c>
      <c r="G6148" s="42" t="str">
        <f>IFERROR(__xludf.DUMMYFUNCTION("""COMPUTED_VALUE"""),"PEMECAHAN")</f>
        <v>PEMECAHAN</v>
      </c>
      <c r="H6148" s="42">
        <f t="shared" si="1"/>
        <v>2710</v>
      </c>
    </row>
    <row r="6149" ht="22.5" customHeight="1">
      <c r="B6149" s="42" t="str">
        <f>IFERROR(__xludf.DUMMYFUNCTION("""COMPUTED_VALUE"""),"L/15/280725/1")</f>
        <v>L/15/280725/1</v>
      </c>
      <c r="C6149" s="42" t="str">
        <f>IFERROR(__xludf.DUMMYFUNCTION("""COMPUTED_VALUE"""),"NIB 23183/PEMATANG WANGI")</f>
        <v>NIB 23183/PEMATANG WANGI</v>
      </c>
      <c r="D6149" s="42"/>
      <c r="E6149" s="42"/>
      <c r="F6149" s="48" t="str">
        <f>IFERROR(__xludf.DUMMYFUNCTION("""COMPUTED_VALUE"""),"")</f>
        <v/>
      </c>
      <c r="G6149" s="42" t="str">
        <f>IFERROR(__xludf.DUMMYFUNCTION("""COMPUTED_VALUE"""),"PH")</f>
        <v>PH</v>
      </c>
      <c r="H6149" s="42">
        <f t="shared" si="1"/>
        <v>2710</v>
      </c>
    </row>
    <row r="6150" ht="22.5" customHeight="1">
      <c r="B6150" s="42" t="str">
        <f>IFERROR(__xludf.DUMMYFUNCTION("""COMPUTED_VALUE"""),"K/17/280725/1")</f>
        <v>K/17/280725/1</v>
      </c>
      <c r="C6150" s="42" t="str">
        <f>IFERROR(__xludf.DUMMYFUNCTION("""COMPUTED_VALUE"""),"NIbel 3069.1/ Keteguhan")</f>
        <v>NIbel 3069.1/ Keteguhan</v>
      </c>
      <c r="D6150" s="42"/>
      <c r="E6150" s="42"/>
      <c r="F6150" s="48" t="str">
        <f>IFERROR(__xludf.DUMMYFUNCTION("""COMPUTED_VALUE"""),"")</f>
        <v/>
      </c>
      <c r="G6150" s="42" t="str">
        <f>IFERROR(__xludf.DUMMYFUNCTION("""COMPUTED_VALUE"""),"PERUBAHAN HAK")</f>
        <v>PERUBAHAN HAK</v>
      </c>
      <c r="H6150" s="42">
        <f t="shared" si="1"/>
        <v>2710</v>
      </c>
    </row>
    <row r="6151" ht="22.5" customHeight="1">
      <c r="B6151" s="42" t="str">
        <f>IFERROR(__xludf.DUMMYFUNCTION("""COMPUTED_VALUE"""),"K/21/280725/1")</f>
        <v>K/21/280725/1</v>
      </c>
      <c r="C6151" s="42" t="str">
        <f>IFERROR(__xludf.DUMMYFUNCTION("""COMPUTED_VALUE"""),"M. 2005/JAGABAYA III")</f>
        <v>M. 2005/JAGABAYA III</v>
      </c>
      <c r="D6151" s="42"/>
      <c r="E6151" s="42"/>
      <c r="F6151" s="48" t="str">
        <f>IFERROR(__xludf.DUMMYFUNCTION("""COMPUTED_VALUE"""),"")</f>
        <v/>
      </c>
      <c r="G6151" s="42" t="str">
        <f>IFERROR(__xludf.DUMMYFUNCTION("""COMPUTED_VALUE"""),"BN WARIS")</f>
        <v>BN WARIS</v>
      </c>
      <c r="H6151" s="42">
        <f t="shared" si="1"/>
        <v>2710</v>
      </c>
    </row>
    <row r="6152" ht="22.5" customHeight="1">
      <c r="B6152" s="42" t="str">
        <f>IFERROR(__xludf.DUMMYFUNCTION("""COMPUTED_VALUE"""),"K/20/280725/3")</f>
        <v>K/20/280725/3</v>
      </c>
      <c r="C6152" s="42" t="str">
        <f>IFERROR(__xludf.DUMMYFUNCTION("""COMPUTED_VALUE"""),"M. 1487/ Kota Karang")</f>
        <v>M. 1487/ Kota Karang</v>
      </c>
      <c r="D6152" s="42" t="str">
        <f>IFERROR(__xludf.DUMMYFUNCTION("""COMPUTED_VALUE"""),"David")</f>
        <v>David</v>
      </c>
      <c r="E6152" s="42" t="str">
        <f>IFERROR(__xludf.DUMMYFUNCTION("""COMPUTED_VALUE"""),"DISERAHKAN")</f>
        <v>DISERAHKAN</v>
      </c>
      <c r="F6152" s="48">
        <f>IFERROR(__xludf.DUMMYFUNCTION("""COMPUTED_VALUE"""),45904.616221689816)</f>
        <v>45904.61622</v>
      </c>
      <c r="G6152" s="42" t="str">
        <f>IFERROR(__xludf.DUMMYFUNCTION("""COMPUTED_VALUE"""),"Roya")</f>
        <v>Roya</v>
      </c>
      <c r="H6152" s="42">
        <f t="shared" si="1"/>
        <v>2711</v>
      </c>
    </row>
    <row r="6153" ht="22.5" customHeight="1">
      <c r="B6153" s="42" t="str">
        <f>IFERROR(__xludf.DUMMYFUNCTION("""COMPUTED_VALUE"""),"K/18/280725/1")</f>
        <v>K/18/280725/1</v>
      </c>
      <c r="C6153" s="42" t="str">
        <f>IFERROR(__xludf.DUMMYFUNCTION("""COMPUTED_VALUE"""),"Nibel. M. 20585/ Sukarame")</f>
        <v>Nibel. M. 20585/ Sukarame</v>
      </c>
      <c r="D6153" s="42"/>
      <c r="E6153" s="42"/>
      <c r="F6153" s="48" t="str">
        <f>IFERROR(__xludf.DUMMYFUNCTION("""COMPUTED_VALUE"""),"")</f>
        <v/>
      </c>
      <c r="G6153" s="42" t="str">
        <f>IFERROR(__xludf.DUMMYFUNCTION("""COMPUTED_VALUE"""),"BN Jual Beli")</f>
        <v>BN Jual Beli</v>
      </c>
      <c r="H6153" s="42">
        <f t="shared" si="1"/>
        <v>2711</v>
      </c>
    </row>
    <row r="6154" ht="22.5" customHeight="1">
      <c r="B6154" s="42" t="str">
        <f>IFERROR(__xludf.DUMMYFUNCTION("""COMPUTED_VALUE"""),"K/22/280725/1")</f>
        <v>K/22/280725/1</v>
      </c>
      <c r="C6154" s="42" t="str">
        <f>IFERROR(__xludf.DUMMYFUNCTION("""COMPUTED_VALUE"""),"Nibel 2100/ Rajabasa Jaya")</f>
        <v>Nibel 2100/ Rajabasa Jaya</v>
      </c>
      <c r="D6154" s="42"/>
      <c r="E6154" s="42"/>
      <c r="F6154" s="48" t="str">
        <f>IFERROR(__xludf.DUMMYFUNCTION("""COMPUTED_VALUE"""),"")</f>
        <v/>
      </c>
      <c r="G6154" s="42" t="str">
        <f>IFERROR(__xludf.DUMMYFUNCTION("""COMPUTED_VALUE"""),"BN JUAL BELI")</f>
        <v>BN JUAL BELI</v>
      </c>
      <c r="H6154" s="42">
        <f t="shared" si="1"/>
        <v>2711</v>
      </c>
    </row>
    <row r="6155" ht="22.5" customHeight="1">
      <c r="B6155" s="42" t="str">
        <f>IFERROR(__xludf.DUMMYFUNCTION("""COMPUTED_VALUE"""),"K/19/280725/2")</f>
        <v>K/19/280725/2</v>
      </c>
      <c r="C6155" s="42" t="str">
        <f>IFERROR(__xludf.DUMMYFUNCTION("""COMPUTED_VALUE"""),"M. 1434/ Kemiling Permai")</f>
        <v>M. 1434/ Kemiling Permai</v>
      </c>
      <c r="D6155" s="42" t="str">
        <f>IFERROR(__xludf.DUMMYFUNCTION("""COMPUTED_VALUE"""),"David")</f>
        <v>David</v>
      </c>
      <c r="E6155" s="42" t="str">
        <f>IFERROR(__xludf.DUMMYFUNCTION("""COMPUTED_VALUE"""),"DISERAHKAN")</f>
        <v>DISERAHKAN</v>
      </c>
      <c r="F6155" s="48">
        <f>IFERROR(__xludf.DUMMYFUNCTION("""COMPUTED_VALUE"""),45894.54839304398)</f>
        <v>45894.54839</v>
      </c>
      <c r="G6155" s="42" t="str">
        <f>IFERROR(__xludf.DUMMYFUNCTION("""COMPUTED_VALUE"""),"BN Jual Beli")</f>
        <v>BN Jual Beli</v>
      </c>
      <c r="H6155" s="42">
        <f t="shared" si="1"/>
        <v>2712</v>
      </c>
    </row>
    <row r="6156" ht="22.5" customHeight="1">
      <c r="B6156" s="42" t="str">
        <f>IFERROR(__xludf.DUMMYFUNCTION("""COMPUTED_VALUE"""),"K/23/280725/1")</f>
        <v>K/23/280725/1</v>
      </c>
      <c r="C6156" s="42" t="str">
        <f>IFERROR(__xludf.DUMMYFUNCTION("""COMPUTED_VALUE"""),"M.193/NUSANTARA PERMAI")</f>
        <v>M.193/NUSANTARA PERMAI</v>
      </c>
      <c r="D6156" s="42"/>
      <c r="E6156" s="42"/>
      <c r="F6156" s="48" t="str">
        <f>IFERROR(__xludf.DUMMYFUNCTION("""COMPUTED_VALUE"""),"")</f>
        <v/>
      </c>
      <c r="G6156" s="42" t="str">
        <f>IFERROR(__xludf.DUMMYFUNCTION("""COMPUTED_VALUE"""),"JUAL BELI")</f>
        <v>JUAL BELI</v>
      </c>
      <c r="H6156" s="42">
        <f t="shared" si="1"/>
        <v>2712</v>
      </c>
    </row>
    <row r="6157" ht="22.5" customHeight="1">
      <c r="B6157" s="42" t="str">
        <f>IFERROR(__xludf.DUMMYFUNCTION("""COMPUTED_VALUE"""),"K/24/280725/2")</f>
        <v>K/24/280725/2</v>
      </c>
      <c r="C6157" s="42" t="str">
        <f>IFERROR(__xludf.DUMMYFUNCTION("""COMPUTED_VALUE"""),"M.1559/NEGERI OLOK GADING")</f>
        <v>M.1559/NEGERI OLOK GADING</v>
      </c>
      <c r="D6157" s="42" t="str">
        <f>IFERROR(__xludf.DUMMYFUNCTION("""COMPUTED_VALUE"""),"Berry")</f>
        <v>Berry</v>
      </c>
      <c r="E6157" s="42" t="str">
        <f>IFERROR(__xludf.DUMMYFUNCTION("""COMPUTED_VALUE"""),"DISERAHKAN")</f>
        <v>DISERAHKAN</v>
      </c>
      <c r="F6157" s="48">
        <f>IFERROR(__xludf.DUMMYFUNCTION("""COMPUTED_VALUE"""),45891.59245344908)</f>
        <v>45891.59245</v>
      </c>
      <c r="G6157" s="42" t="str">
        <f>IFERROR(__xludf.DUMMYFUNCTION("""COMPUTED_VALUE"""),"GANTI NAMA HT")</f>
        <v>GANTI NAMA HT</v>
      </c>
      <c r="H6157" s="42">
        <f t="shared" si="1"/>
        <v>2713</v>
      </c>
    </row>
    <row r="6158" ht="22.5" customHeight="1">
      <c r="B6158" s="42" t="str">
        <f>IFERROR(__xludf.DUMMYFUNCTION("""COMPUTED_VALUE"""),"K/27/280725/1")</f>
        <v>K/27/280725/1</v>
      </c>
      <c r="C6158" s="42" t="str">
        <f>IFERROR(__xludf.DUMMYFUNCTION("""COMPUTED_VALUE"""),"M. 3737/ Tj Seneng")</f>
        <v>M. 3737/ Tj Seneng</v>
      </c>
      <c r="D6158" s="42" t="str">
        <f>IFERROR(__xludf.DUMMYFUNCTION("""COMPUTED_VALUE"""),"Berry")</f>
        <v>Berry</v>
      </c>
      <c r="E6158" s="42" t="str">
        <f>IFERROR(__xludf.DUMMYFUNCTION("""COMPUTED_VALUE"""),"DISERAHKAN")</f>
        <v>DISERAHKAN</v>
      </c>
      <c r="F6158" s="48">
        <f>IFERROR(__xludf.DUMMYFUNCTION("""COMPUTED_VALUE"""),45870.67671061342)</f>
        <v>45870.67671</v>
      </c>
      <c r="G6158" s="42" t="str">
        <f>IFERROR(__xludf.DUMMYFUNCTION("""COMPUTED_VALUE"""),"BN JUAL BELI")</f>
        <v>BN JUAL BELI</v>
      </c>
      <c r="H6158" s="42">
        <f t="shared" si="1"/>
        <v>2714</v>
      </c>
    </row>
    <row r="6159" ht="22.5" customHeight="1">
      <c r="B6159" s="42" t="str">
        <f>IFERROR(__xludf.DUMMYFUNCTION("""COMPUTED_VALUE"""),"K/28/280725/1")</f>
        <v>K/28/280725/1</v>
      </c>
      <c r="C6159" s="42" t="str">
        <f>IFERROR(__xludf.DUMMYFUNCTION("""COMPUTED_VALUE"""),"Nibel. M. 21583/ Segala Mider")</f>
        <v>Nibel. M. 21583/ Segala Mider</v>
      </c>
      <c r="D6159" s="42"/>
      <c r="E6159" s="42"/>
      <c r="F6159" s="48" t="str">
        <f>IFERROR(__xludf.DUMMYFUNCTION("""COMPUTED_VALUE"""),"")</f>
        <v/>
      </c>
      <c r="G6159" s="42" t="str">
        <f>IFERROR(__xludf.DUMMYFUNCTION("""COMPUTED_VALUE"""),"BN Jual Beli")</f>
        <v>BN Jual Beli</v>
      </c>
      <c r="H6159" s="42">
        <f t="shared" si="1"/>
        <v>2714</v>
      </c>
    </row>
    <row r="6160" ht="22.5" customHeight="1">
      <c r="B6160" s="42" t="str">
        <f>IFERROR(__xludf.DUMMYFUNCTION("""COMPUTED_VALUE"""),"K/29/280725/1")</f>
        <v>K/29/280725/1</v>
      </c>
      <c r="C6160" s="42" t="str">
        <f>IFERROR(__xludf.DUMMYFUNCTION("""COMPUTED_VALUE"""),"NIB 19701/GUNUNG SULAH")</f>
        <v>NIB 19701/GUNUNG SULAH</v>
      </c>
      <c r="D6160" s="42"/>
      <c r="E6160" s="42"/>
      <c r="F6160" s="48" t="str">
        <f>IFERROR(__xludf.DUMMYFUNCTION("""COMPUTED_VALUE"""),"")</f>
        <v/>
      </c>
      <c r="G6160" s="42" t="str">
        <f>IFERROR(__xludf.DUMMYFUNCTION("""COMPUTED_VALUE"""),"BN JUAL-BELI")</f>
        <v>BN JUAL-BELI</v>
      </c>
      <c r="H6160" s="42">
        <f t="shared" si="1"/>
        <v>2714</v>
      </c>
    </row>
    <row r="6161" ht="22.5" customHeight="1">
      <c r="B6161" s="42" t="str">
        <f>IFERROR(__xludf.DUMMYFUNCTION("""COMPUTED_VALUE"""),"K/30/280725/2")</f>
        <v>K/30/280725/2</v>
      </c>
      <c r="C6161" s="42" t="str">
        <f>IFERROR(__xludf.DUMMYFUNCTION("""COMPUTED_VALUE"""),"NIB 19700/GUNUNG SULAH")</f>
        <v>NIB 19700/GUNUNG SULAH</v>
      </c>
      <c r="D6161" s="42"/>
      <c r="E6161" s="42"/>
      <c r="F6161" s="48" t="str">
        <f>IFERROR(__xludf.DUMMYFUNCTION("""COMPUTED_VALUE"""),"")</f>
        <v/>
      </c>
      <c r="G6161" s="42" t="str">
        <f>IFERROR(__xludf.DUMMYFUNCTION("""COMPUTED_VALUE"""),"BN JUAL-BELI")</f>
        <v>BN JUAL-BELI</v>
      </c>
      <c r="H6161" s="42">
        <f t="shared" si="1"/>
        <v>2714</v>
      </c>
    </row>
    <row r="6162" ht="22.5" customHeight="1">
      <c r="B6162" s="42" t="str">
        <f>IFERROR(__xludf.DUMMYFUNCTION("""COMPUTED_VALUE"""),"K/31/280725/1")</f>
        <v>K/31/280725/1</v>
      </c>
      <c r="C6162" s="42" t="str">
        <f>IFERROR(__xludf.DUMMYFUNCTION("""COMPUTED_VALUE"""),"Nibel. B. 425/ Kemiling Permai")</f>
        <v>Nibel. B. 425/ Kemiling Permai</v>
      </c>
      <c r="D6162" s="42"/>
      <c r="E6162" s="42"/>
      <c r="F6162" s="48" t="str">
        <f>IFERROR(__xludf.DUMMYFUNCTION("""COMPUTED_VALUE"""),"")</f>
        <v/>
      </c>
      <c r="G6162" s="42" t="str">
        <f>IFERROR(__xludf.DUMMYFUNCTION("""COMPUTED_VALUE"""),"BN Jual Beli")</f>
        <v>BN Jual Beli</v>
      </c>
      <c r="H6162" s="42">
        <f t="shared" si="1"/>
        <v>2714</v>
      </c>
    </row>
    <row r="6163" ht="22.5" customHeight="1">
      <c r="B6163" s="42" t="str">
        <f>IFERROR(__xludf.DUMMYFUNCTION("""COMPUTED_VALUE"""),"K/25/280725/3")</f>
        <v>K/25/280725/3</v>
      </c>
      <c r="C6163" s="42" t="str">
        <f>IFERROR(__xludf.DUMMYFUNCTION("""COMPUTED_VALUE"""),"M.9141/JAGABAYA II")</f>
        <v>M.9141/JAGABAYA II</v>
      </c>
      <c r="D6163" s="42" t="str">
        <f>IFERROR(__xludf.DUMMYFUNCTION("""COMPUTED_VALUE"""),"Berry")</f>
        <v>Berry</v>
      </c>
      <c r="E6163" s="42" t="str">
        <f>IFERROR(__xludf.DUMMYFUNCTION("""COMPUTED_VALUE"""),"DISERAHKAN")</f>
        <v>DISERAHKAN</v>
      </c>
      <c r="F6163" s="48">
        <f>IFERROR(__xludf.DUMMYFUNCTION("""COMPUTED_VALUE"""),45924.68971158565)</f>
        <v>45924.68971</v>
      </c>
      <c r="G6163" s="42" t="str">
        <f>IFERROR(__xludf.DUMMYFUNCTION("""COMPUTED_VALUE"""),"GANTI NAMA HT")</f>
        <v>GANTI NAMA HT</v>
      </c>
      <c r="H6163" s="42">
        <f t="shared" si="1"/>
        <v>2715</v>
      </c>
    </row>
    <row r="6164" ht="22.5" customHeight="1">
      <c r="B6164" s="42" t="str">
        <f>IFERROR(__xludf.DUMMYFUNCTION("""COMPUTED_VALUE"""),"K/32/280725/1")</f>
        <v>K/32/280725/1</v>
      </c>
      <c r="C6164" s="42" t="str">
        <f>IFERROR(__xludf.DUMMYFUNCTION("""COMPUTED_VALUE"""),"M.606/BUMI KEDAMAIAN")</f>
        <v>M.606/BUMI KEDAMAIAN</v>
      </c>
      <c r="D6164" s="42"/>
      <c r="E6164" s="42"/>
      <c r="F6164" s="48" t="str">
        <f>IFERROR(__xludf.DUMMYFUNCTION("""COMPUTED_VALUE"""),"")</f>
        <v/>
      </c>
      <c r="G6164" s="42" t="str">
        <f>IFERROR(__xludf.DUMMYFUNCTION("""COMPUTED_VALUE"""),"PEMECAHAN")</f>
        <v>PEMECAHAN</v>
      </c>
      <c r="H6164" s="42">
        <f t="shared" si="1"/>
        <v>2715</v>
      </c>
    </row>
    <row r="6165" ht="22.5" customHeight="1">
      <c r="B6165" s="42" t="str">
        <f>IFERROR(__xludf.DUMMYFUNCTION("""COMPUTED_VALUE"""),"K/33/280725/1")</f>
        <v>K/33/280725/1</v>
      </c>
      <c r="C6165" s="42" t="str">
        <f>IFERROR(__xludf.DUMMYFUNCTION("""COMPUTED_VALUE"""),"M. 2197/ Pengajaran")</f>
        <v>M. 2197/ Pengajaran</v>
      </c>
      <c r="D6165" s="42"/>
      <c r="E6165" s="42"/>
      <c r="F6165" s="48" t="str">
        <f>IFERROR(__xludf.DUMMYFUNCTION("""COMPUTED_VALUE"""),"")</f>
        <v/>
      </c>
      <c r="G6165" s="42" t="str">
        <f>IFERROR(__xludf.DUMMYFUNCTION("""COMPUTED_VALUE"""),"BN Jual Beli")</f>
        <v>BN Jual Beli</v>
      </c>
      <c r="H6165" s="42">
        <f t="shared" si="1"/>
        <v>2715</v>
      </c>
    </row>
    <row r="6166" ht="22.5" customHeight="1">
      <c r="B6166" s="42" t="str">
        <f>IFERROR(__xludf.DUMMYFUNCTION("""COMPUTED_VALUE"""),"K/34/280725/1")</f>
        <v>K/34/280725/1</v>
      </c>
      <c r="C6166" s="42" t="str">
        <f>IFERROR(__xludf.DUMMYFUNCTION("""COMPUTED_VALUE"""),"M. 3692/ Nusantara Permai")</f>
        <v>M. 3692/ Nusantara Permai</v>
      </c>
      <c r="D6166" s="42" t="str">
        <f>IFERROR(__xludf.DUMMYFUNCTION("""COMPUTED_VALUE"""),"Berry")</f>
        <v>Berry</v>
      </c>
      <c r="E6166" s="42" t="str">
        <f>IFERROR(__xludf.DUMMYFUNCTION("""COMPUTED_VALUE"""),"DISERAHKAN")</f>
        <v>DISERAHKAN</v>
      </c>
      <c r="F6166" s="48">
        <f>IFERROR(__xludf.DUMMYFUNCTION("""COMPUTED_VALUE"""),45880.717445648144)</f>
        <v>45880.71745</v>
      </c>
      <c r="G6166" s="42" t="str">
        <f>IFERROR(__xludf.DUMMYFUNCTION("""COMPUTED_VALUE"""),"BN JUAL BELI")</f>
        <v>BN JUAL BELI</v>
      </c>
      <c r="H6166" s="42">
        <f t="shared" si="1"/>
        <v>2716</v>
      </c>
    </row>
    <row r="6167" ht="22.5" customHeight="1">
      <c r="B6167" s="42" t="str">
        <f>IFERROR(__xludf.DUMMYFUNCTION("""COMPUTED_VALUE"""),"L/35/280725/1")</f>
        <v>L/35/280725/1</v>
      </c>
      <c r="C6167" s="42" t="str">
        <f>IFERROR(__xludf.DUMMYFUNCTION("""COMPUTED_VALUE"""),"HGB 4315/SUKABUMI")</f>
        <v>HGB 4315/SUKABUMI</v>
      </c>
      <c r="D6167" s="42"/>
      <c r="E6167" s="42"/>
      <c r="F6167" s="48" t="str">
        <f>IFERROR(__xludf.DUMMYFUNCTION("""COMPUTED_VALUE"""),"")</f>
        <v/>
      </c>
      <c r="G6167" s="42" t="str">
        <f>IFERROR(__xludf.DUMMYFUNCTION("""COMPUTED_VALUE"""),"PH")</f>
        <v>PH</v>
      </c>
      <c r="H6167" s="42">
        <f t="shared" si="1"/>
        <v>2716</v>
      </c>
    </row>
    <row r="6168" ht="22.5" customHeight="1">
      <c r="B6168" s="42" t="str">
        <f>IFERROR(__xludf.DUMMYFUNCTION("""COMPUTED_VALUE"""),"K/36/280725/1")</f>
        <v>K/36/280725/1</v>
      </c>
      <c r="C6168" s="42" t="str">
        <f>IFERROR(__xludf.DUMMYFUNCTION("""COMPUTED_VALUE"""),"M,2363/SUMBER AGUNG")</f>
        <v>M,2363/SUMBER AGUNG</v>
      </c>
      <c r="D6168" s="42" t="str">
        <f>IFERROR(__xludf.DUMMYFUNCTION("""COMPUTED_VALUE"""),"Berry")</f>
        <v>Berry</v>
      </c>
      <c r="E6168" s="42" t="str">
        <f>IFERROR(__xludf.DUMMYFUNCTION("""COMPUTED_VALUE"""),"DISERAHKAN")</f>
        <v>DISERAHKAN</v>
      </c>
      <c r="F6168" s="48">
        <f>IFERROR(__xludf.DUMMYFUNCTION("""COMPUTED_VALUE"""),45880.646306828705)</f>
        <v>45880.64631</v>
      </c>
      <c r="G6168" s="42" t="str">
        <f>IFERROR(__xludf.DUMMYFUNCTION("""COMPUTED_VALUE"""),"JUAL BELI")</f>
        <v>JUAL BELI</v>
      </c>
      <c r="H6168" s="42">
        <f t="shared" si="1"/>
        <v>2717</v>
      </c>
    </row>
    <row r="6169" ht="22.5" customHeight="1">
      <c r="B6169" s="42" t="str">
        <f>IFERROR(__xludf.DUMMYFUNCTION("""COMPUTED_VALUE"""),"K/37/280725/2")</f>
        <v>K/37/280725/2</v>
      </c>
      <c r="C6169" s="42" t="str">
        <f>IFERROR(__xludf.DUMMYFUNCTION("""COMPUTED_VALUE"""),"M.2370/SUMBER AGUNG")</f>
        <v>M.2370/SUMBER AGUNG</v>
      </c>
      <c r="D6169" s="42" t="str">
        <f>IFERROR(__xludf.DUMMYFUNCTION("""COMPUTED_VALUE"""),"Berry")</f>
        <v>Berry</v>
      </c>
      <c r="E6169" s="42" t="str">
        <f>IFERROR(__xludf.DUMMYFUNCTION("""COMPUTED_VALUE"""),"DISERAHKAN")</f>
        <v>DISERAHKAN</v>
      </c>
      <c r="F6169" s="48">
        <f>IFERROR(__xludf.DUMMYFUNCTION("""COMPUTED_VALUE"""),45883.66224626158)</f>
        <v>45883.66225</v>
      </c>
      <c r="G6169" s="42" t="str">
        <f>IFERROR(__xludf.DUMMYFUNCTION("""COMPUTED_VALUE"""),"JUAL BELI")</f>
        <v>JUAL BELI</v>
      </c>
      <c r="H6169" s="42">
        <f t="shared" si="1"/>
        <v>2718</v>
      </c>
    </row>
    <row r="6170" ht="22.5" customHeight="1">
      <c r="B6170" s="42" t="str">
        <f>IFERROR(__xludf.DUMMYFUNCTION("""COMPUTED_VALUE"""),"L/1/290725/1")</f>
        <v>L/1/290725/1</v>
      </c>
      <c r="C6170" s="42" t="str">
        <f>IFERROR(__xludf.DUMMYFUNCTION("""COMPUTED_VALUE"""),"HM 244/GUNUNG SULAH")</f>
        <v>HM 244/GUNUNG SULAH</v>
      </c>
      <c r="D6170" s="42" t="str">
        <f>IFERROR(__xludf.DUMMYFUNCTION("""COMPUTED_VALUE"""),"Pras")</f>
        <v>Pras</v>
      </c>
      <c r="E6170" s="42" t="str">
        <f>IFERROR(__xludf.DUMMYFUNCTION("""COMPUTED_VALUE"""),"DISERAHKAN")</f>
        <v>DISERAHKAN</v>
      </c>
      <c r="F6170" s="48">
        <f>IFERROR(__xludf.DUMMYFUNCTION("""COMPUTED_VALUE"""),45876.616117881946)</f>
        <v>45876.61612</v>
      </c>
      <c r="G6170" s="42" t="str">
        <f>IFERROR(__xludf.DUMMYFUNCTION("""COMPUTED_VALUE"""),"BN JUAL-BELI")</f>
        <v>BN JUAL-BELI</v>
      </c>
      <c r="H6170" s="42">
        <f t="shared" si="1"/>
        <v>2719</v>
      </c>
    </row>
    <row r="6171" ht="22.5" customHeight="1">
      <c r="B6171" s="42" t="str">
        <f>IFERROR(__xludf.DUMMYFUNCTION("""COMPUTED_VALUE"""),"K/38/280725/3")</f>
        <v>K/38/280725/3</v>
      </c>
      <c r="C6171" s="42" t="str">
        <f>IFERROR(__xludf.DUMMYFUNCTION("""COMPUTED_VALUE"""),"M.2362/SUMBER AGUNG")</f>
        <v>M.2362/SUMBER AGUNG</v>
      </c>
      <c r="D6171" s="42" t="str">
        <f>IFERROR(__xludf.DUMMYFUNCTION("""COMPUTED_VALUE"""),"Berry")</f>
        <v>Berry</v>
      </c>
      <c r="E6171" s="42" t="str">
        <f>IFERROR(__xludf.DUMMYFUNCTION("""COMPUTED_VALUE"""),"DISERAHKAN")</f>
        <v>DISERAHKAN</v>
      </c>
      <c r="F6171" s="48">
        <f>IFERROR(__xludf.DUMMYFUNCTION("""COMPUTED_VALUE"""),45883.66276342593)</f>
        <v>45883.66276</v>
      </c>
      <c r="G6171" s="42" t="str">
        <f>IFERROR(__xludf.DUMMYFUNCTION("""COMPUTED_VALUE"""),"JUAL BELI ")</f>
        <v>JUAL BELI </v>
      </c>
      <c r="H6171" s="42">
        <f t="shared" si="1"/>
        <v>2720</v>
      </c>
    </row>
    <row r="6172" ht="22.5" customHeight="1">
      <c r="B6172" s="42" t="str">
        <f>IFERROR(__xludf.DUMMYFUNCTION("""COMPUTED_VALUE"""),"K/2/290725/1")</f>
        <v>K/2/290725/1</v>
      </c>
      <c r="C6172" s="42" t="str">
        <f>IFERROR(__xludf.DUMMYFUNCTION("""COMPUTED_VALUE"""),"Nibel. M. 23424/ Sukarame Baru")</f>
        <v>Nibel. M. 23424/ Sukarame Baru</v>
      </c>
      <c r="D6172" s="42"/>
      <c r="E6172" s="42"/>
      <c r="F6172" s="48" t="str">
        <f>IFERROR(__xludf.DUMMYFUNCTION("""COMPUTED_VALUE"""),"")</f>
        <v/>
      </c>
      <c r="G6172" s="42" t="str">
        <f>IFERROR(__xludf.DUMMYFUNCTION("""COMPUTED_VALUE"""),"PTPGT (Pemecahan)")</f>
        <v>PTPGT (Pemecahan)</v>
      </c>
      <c r="H6172" s="42">
        <f t="shared" si="1"/>
        <v>2720</v>
      </c>
    </row>
    <row r="6173" ht="22.5" customHeight="1">
      <c r="B6173" s="42" t="str">
        <f>IFERROR(__xludf.DUMMYFUNCTION("""COMPUTED_VALUE"""),"L/3/290725/1")</f>
        <v>L/3/290725/1</v>
      </c>
      <c r="C6173" s="42" t="str">
        <f>IFERROR(__xludf.DUMMYFUNCTION("""COMPUTED_VALUE"""),"HGB 1595/BUMI KEDAMAIAN")</f>
        <v>HGB 1595/BUMI KEDAMAIAN</v>
      </c>
      <c r="D6173" s="42"/>
      <c r="E6173" s="42"/>
      <c r="F6173" s="48" t="str">
        <f>IFERROR(__xludf.DUMMYFUNCTION("""COMPUTED_VALUE"""),"")</f>
        <v/>
      </c>
      <c r="G6173" s="42" t="str">
        <f>IFERROR(__xludf.DUMMYFUNCTION("""COMPUTED_VALUE"""),"PH")</f>
        <v>PH</v>
      </c>
      <c r="H6173" s="42">
        <f t="shared" si="1"/>
        <v>2720</v>
      </c>
    </row>
    <row r="6174" ht="22.5" customHeight="1">
      <c r="B6174" s="42" t="str">
        <f>IFERROR(__xludf.DUMMYFUNCTION("""COMPUTED_VALUE"""),"K/4/290725/1")</f>
        <v>K/4/290725/1</v>
      </c>
      <c r="C6174" s="42" t="str">
        <f>IFERROR(__xludf.DUMMYFUNCTION("""COMPUTED_VALUE"""),"NIbel 17251/ Langkapura Baru")</f>
        <v>NIbel 17251/ Langkapura Baru</v>
      </c>
      <c r="D6174" s="42"/>
      <c r="E6174" s="42"/>
      <c r="F6174" s="48" t="str">
        <f>IFERROR(__xludf.DUMMYFUNCTION("""COMPUTED_VALUE"""),"")</f>
        <v/>
      </c>
      <c r="G6174" s="42" t="str">
        <f>IFERROR(__xludf.DUMMYFUNCTION("""COMPUTED_VALUE"""),"BN PHB")</f>
        <v>BN PHB</v>
      </c>
      <c r="H6174" s="42">
        <f t="shared" si="1"/>
        <v>2720</v>
      </c>
    </row>
    <row r="6175" ht="22.5" customHeight="1">
      <c r="B6175" s="42" t="str">
        <f>IFERROR(__xludf.DUMMYFUNCTION("""COMPUTED_VALUE"""),"K/5/290725/1")</f>
        <v>K/5/290725/1</v>
      </c>
      <c r="C6175" s="42" t="str">
        <f>IFERROR(__xludf.DUMMYFUNCTION("""COMPUTED_VALUE"""),"NIB 17475/GUNUNG SULAH")</f>
        <v>NIB 17475/GUNUNG SULAH</v>
      </c>
      <c r="D6175" s="42"/>
      <c r="E6175" s="42"/>
      <c r="F6175" s="48" t="str">
        <f>IFERROR(__xludf.DUMMYFUNCTION("""COMPUTED_VALUE"""),"")</f>
        <v/>
      </c>
      <c r="G6175" s="42" t="str">
        <f>IFERROR(__xludf.DUMMYFUNCTION("""COMPUTED_VALUE"""),"BN JUAL-BELI")</f>
        <v>BN JUAL-BELI</v>
      </c>
      <c r="H6175" s="42">
        <f t="shared" si="1"/>
        <v>2720</v>
      </c>
    </row>
    <row r="6176" ht="22.5" customHeight="1">
      <c r="B6176" s="42" t="str">
        <f>IFERROR(__xludf.DUMMYFUNCTION("""COMPUTED_VALUE"""),"K/26/280725/1")</f>
        <v>K/26/280725/1</v>
      </c>
      <c r="C6176" s="42" t="str">
        <f>IFERROR(__xludf.DUMMYFUNCTION("""COMPUTED_VALUE"""),"M. 12615 / KEDATON")</f>
        <v>M. 12615 / KEDATON</v>
      </c>
      <c r="D6176" s="42"/>
      <c r="E6176" s="42"/>
      <c r="F6176" s="48" t="str">
        <f>IFERROR(__xludf.DUMMYFUNCTION("""COMPUTED_VALUE"""),"")</f>
        <v/>
      </c>
      <c r="G6176" s="42" t="str">
        <f>IFERROR(__xludf.DUMMYFUNCTION("""COMPUTED_VALUE"""),"BN JUAL BELI")</f>
        <v>BN JUAL BELI</v>
      </c>
      <c r="H6176" s="42">
        <f t="shared" si="1"/>
        <v>2720</v>
      </c>
    </row>
    <row r="6177" ht="22.5" customHeight="1">
      <c r="B6177" s="42" t="str">
        <f>IFERROR(__xludf.DUMMYFUNCTION("""COMPUTED_VALUE"""),"K/6/290725/1")</f>
        <v>K/6/290725/1</v>
      </c>
      <c r="C6177" s="42" t="str">
        <f>IFERROR(__xludf.DUMMYFUNCTION("""COMPUTED_VALUE"""),"NIBEL M. 21004/PALAPA")</f>
        <v>NIBEL M. 21004/PALAPA</v>
      </c>
      <c r="D6177" s="42"/>
      <c r="E6177" s="42"/>
      <c r="F6177" s="48" t="str">
        <f>IFERROR(__xludf.DUMMYFUNCTION("""COMPUTED_VALUE"""),"")</f>
        <v/>
      </c>
      <c r="G6177" s="42" t="str">
        <f>IFERROR(__xludf.DUMMYFUNCTION("""COMPUTED_VALUE"""),"BN JUAL BELI")</f>
        <v>BN JUAL BELI</v>
      </c>
      <c r="H6177" s="42">
        <f t="shared" si="1"/>
        <v>2720</v>
      </c>
    </row>
    <row r="6178" ht="22.5" customHeight="1">
      <c r="B6178" s="42" t="str">
        <f>IFERROR(__xludf.DUMMYFUNCTION("""COMPUTED_VALUE"""),"L/7/290725/1")</f>
        <v>L/7/290725/1</v>
      </c>
      <c r="C6178" s="42" t="str">
        <f>IFERROR(__xludf.DUMMYFUNCTION("""COMPUTED_VALUE"""),"HM 12784/RAJABASA")</f>
        <v>HM 12784/RAJABASA</v>
      </c>
      <c r="D6178" s="42" t="str">
        <f>IFERROR(__xludf.DUMMYFUNCTION("""COMPUTED_VALUE"""),"David")</f>
        <v>David</v>
      </c>
      <c r="E6178" s="42" t="str">
        <f>IFERROR(__xludf.DUMMYFUNCTION("""COMPUTED_VALUE"""),"DISERAHKAN")</f>
        <v>DISERAHKAN</v>
      </c>
      <c r="F6178" s="48">
        <f>IFERROR(__xludf.DUMMYFUNCTION("""COMPUTED_VALUE"""),45904.61598452546)</f>
        <v>45904.61598</v>
      </c>
      <c r="G6178" s="42" t="str">
        <f>IFERROR(__xludf.DUMMYFUNCTION("""COMPUTED_VALUE"""),"ROYA")</f>
        <v>ROYA</v>
      </c>
      <c r="H6178" s="42">
        <f t="shared" si="1"/>
        <v>2721</v>
      </c>
    </row>
    <row r="6179" ht="22.5" customHeight="1">
      <c r="B6179" s="42" t="str">
        <f>IFERROR(__xludf.DUMMYFUNCTION("""COMPUTED_VALUE"""),"K/8/290725/1")</f>
        <v>K/8/290725/1</v>
      </c>
      <c r="C6179" s="42" t="str">
        <f>IFERROR(__xludf.DUMMYFUNCTION("""COMPUTED_VALUE"""),"M. 2127/ Sukarame II")</f>
        <v>M. 2127/ Sukarame II</v>
      </c>
      <c r="D6179" s="42" t="str">
        <f>IFERROR(__xludf.DUMMYFUNCTION("""COMPUTED_VALUE"""),"David")</f>
        <v>David</v>
      </c>
      <c r="E6179" s="42" t="str">
        <f>IFERROR(__xludf.DUMMYFUNCTION("""COMPUTED_VALUE"""),"DISERAHKAN")</f>
        <v>DISERAHKAN</v>
      </c>
      <c r="F6179" s="48">
        <f>IFERROR(__xludf.DUMMYFUNCTION("""COMPUTED_VALUE"""),45882.63826576389)</f>
        <v>45882.63827</v>
      </c>
      <c r="G6179" s="42" t="str">
        <f>IFERROR(__xludf.DUMMYFUNCTION("""COMPUTED_VALUE"""),"BN Jual Beli")</f>
        <v>BN Jual Beli</v>
      </c>
      <c r="H6179" s="42">
        <f t="shared" si="1"/>
        <v>2722</v>
      </c>
    </row>
    <row r="6180" ht="22.5" customHeight="1">
      <c r="B6180" s="42" t="str">
        <f>IFERROR(__xludf.DUMMYFUNCTION("""COMPUTED_VALUE"""),"K/10/290725/1")</f>
        <v>K/10/290725/1</v>
      </c>
      <c r="C6180" s="42" t="str">
        <f>IFERROR(__xludf.DUMMYFUNCTION("""COMPUTED_VALUE"""),"M. 14990/ Rajabasa")</f>
        <v>M. 14990/ Rajabasa</v>
      </c>
      <c r="D6180" s="42"/>
      <c r="E6180" s="42"/>
      <c r="F6180" s="48" t="str">
        <f>IFERROR(__xludf.DUMMYFUNCTION("""COMPUTED_VALUE"""),"")</f>
        <v/>
      </c>
      <c r="G6180" s="42" t="str">
        <f>IFERROR(__xludf.DUMMYFUNCTION("""COMPUTED_VALUE"""),"BN JUAL BELI")</f>
        <v>BN JUAL BELI</v>
      </c>
      <c r="H6180" s="42">
        <f t="shared" si="1"/>
        <v>2722</v>
      </c>
    </row>
    <row r="6181" ht="22.5" customHeight="1">
      <c r="B6181" s="42" t="str">
        <f>IFERROR(__xludf.DUMMYFUNCTION("""COMPUTED_VALUE"""),"K/11/290725/1")</f>
        <v>K/11/290725/1</v>
      </c>
      <c r="C6181" s="42" t="str">
        <f>IFERROR(__xludf.DUMMYFUNCTION("""COMPUTED_VALUE"""),"M. 232/BILABONG JAYA")</f>
        <v>M. 232/BILABONG JAYA</v>
      </c>
      <c r="D6181" s="42"/>
      <c r="E6181" s="42"/>
      <c r="F6181" s="48" t="str">
        <f>IFERROR(__xludf.DUMMYFUNCTION("""COMPUTED_VALUE"""),"")</f>
        <v/>
      </c>
      <c r="G6181" s="42" t="str">
        <f>IFERROR(__xludf.DUMMYFUNCTION("""COMPUTED_VALUE"""),"BN JUAL BELI")</f>
        <v>BN JUAL BELI</v>
      </c>
      <c r="H6181" s="42">
        <f t="shared" si="1"/>
        <v>2722</v>
      </c>
    </row>
    <row r="6182" ht="22.5" customHeight="1">
      <c r="B6182" s="42" t="str">
        <f>IFERROR(__xludf.DUMMYFUNCTION("""COMPUTED_VALUE"""),"L/13/290725/1")</f>
        <v>L/13/290725/1</v>
      </c>
      <c r="C6182" s="42" t="str">
        <f>IFERROR(__xludf.DUMMYFUNCTION("""COMPUTED_VALUE"""),"HGB 4128/SUKABUMI")</f>
        <v>HGB 4128/SUKABUMI</v>
      </c>
      <c r="D6182" s="42"/>
      <c r="E6182" s="42"/>
      <c r="F6182" s="48" t="str">
        <f>IFERROR(__xludf.DUMMYFUNCTION("""COMPUTED_VALUE"""),"")</f>
        <v/>
      </c>
      <c r="G6182" s="42" t="str">
        <f>IFERROR(__xludf.DUMMYFUNCTION("""COMPUTED_VALUE"""),"PH")</f>
        <v>PH</v>
      </c>
      <c r="H6182" s="42">
        <f t="shared" si="1"/>
        <v>2722</v>
      </c>
    </row>
    <row r="6183" ht="22.5" customHeight="1">
      <c r="B6183" s="42" t="str">
        <f>IFERROR(__xludf.DUMMYFUNCTION("""COMPUTED_VALUE"""),"K/12/290725/1")</f>
        <v>K/12/290725/1</v>
      </c>
      <c r="C6183" s="42" t="str">
        <f>IFERROR(__xludf.DUMMYFUNCTION("""COMPUTED_VALUE"""),"M. 2057/LABUHAN DALAM")</f>
        <v>M. 2057/LABUHAN DALAM</v>
      </c>
      <c r="D6183" s="42"/>
      <c r="E6183" s="42"/>
      <c r="F6183" s="48" t="str">
        <f>IFERROR(__xludf.DUMMYFUNCTION("""COMPUTED_VALUE"""),"")</f>
        <v/>
      </c>
      <c r="G6183" s="42" t="str">
        <f>IFERROR(__xludf.DUMMYFUNCTION("""COMPUTED_VALUE"""),"SKPT LELANG")</f>
        <v>SKPT LELANG</v>
      </c>
      <c r="H6183" s="42">
        <f t="shared" si="1"/>
        <v>2722</v>
      </c>
    </row>
    <row r="6184" ht="22.5" customHeight="1">
      <c r="B6184" s="42" t="str">
        <f>IFERROR(__xludf.DUMMYFUNCTION("""COMPUTED_VALUE"""),"L/14/290725/1")</f>
        <v>L/14/290725/1</v>
      </c>
      <c r="C6184" s="42" t="str">
        <f>IFERROR(__xludf.DUMMYFUNCTION("""COMPUTED_VALUE"""),"HM 235/BILABONG JAYA")</f>
        <v>HM 235/BILABONG JAYA</v>
      </c>
      <c r="D6184" s="42"/>
      <c r="E6184" s="42"/>
      <c r="F6184" s="48" t="str">
        <f>IFERROR(__xludf.DUMMYFUNCTION("""COMPUTED_VALUE"""),"")</f>
        <v/>
      </c>
      <c r="G6184" s="42" t="str">
        <f>IFERROR(__xludf.DUMMYFUNCTION("""COMPUTED_VALUE"""),"BN WARIS")</f>
        <v>BN WARIS</v>
      </c>
      <c r="H6184" s="42">
        <f t="shared" si="1"/>
        <v>2722</v>
      </c>
    </row>
    <row r="6185" ht="22.5" customHeight="1">
      <c r="B6185" s="42" t="str">
        <f>IFERROR(__xludf.DUMMYFUNCTION("""COMPUTED_VALUE"""),"K/9/290725/1")</f>
        <v>K/9/290725/1</v>
      </c>
      <c r="C6185" s="42" t="str">
        <f>IFERROR(__xludf.DUMMYFUNCTION("""COMPUTED_VALUE"""),"M. 2793/ Keteguhan")</f>
        <v>M. 2793/ Keteguhan</v>
      </c>
      <c r="D6185" s="42"/>
      <c r="E6185" s="42"/>
      <c r="F6185" s="48" t="str">
        <f>IFERROR(__xludf.DUMMYFUNCTION("""COMPUTED_VALUE"""),"")</f>
        <v/>
      </c>
      <c r="G6185" s="42" t="str">
        <f>IFERROR(__xludf.DUMMYFUNCTION("""COMPUTED_VALUE"""),"BN Jual Beli")</f>
        <v>BN Jual Beli</v>
      </c>
      <c r="H6185" s="42">
        <f t="shared" si="1"/>
        <v>2722</v>
      </c>
    </row>
    <row r="6186" ht="22.5" customHeight="1">
      <c r="B6186" s="42" t="str">
        <f>IFERROR(__xludf.DUMMYFUNCTION("""COMPUTED_VALUE"""),"L/16/290725/1")</f>
        <v>L/16/290725/1</v>
      </c>
      <c r="C6186" s="42" t="str">
        <f>IFERROR(__xludf.DUMMYFUNCTION("""COMPUTED_VALUE"""),"HGB 1366/PINANG JAYA")</f>
        <v>HGB 1366/PINANG JAYA</v>
      </c>
      <c r="D6186" s="42" t="str">
        <f>IFERROR(__xludf.DUMMYFUNCTION("""COMPUTED_VALUE"""),"Berry")</f>
        <v>Berry</v>
      </c>
      <c r="E6186" s="42" t="str">
        <f>IFERROR(__xludf.DUMMYFUNCTION("""COMPUTED_VALUE"""),"DISERAHKAN")</f>
        <v>DISERAHKAN</v>
      </c>
      <c r="F6186" s="48">
        <f>IFERROR(__xludf.DUMMYFUNCTION("""COMPUTED_VALUE"""),45889.580880995374)</f>
        <v>45889.58088</v>
      </c>
      <c r="G6186" s="42" t="str">
        <f>IFERROR(__xludf.DUMMYFUNCTION("""COMPUTED_VALUE"""),"PH")</f>
        <v>PH</v>
      </c>
      <c r="H6186" s="42">
        <f t="shared" si="1"/>
        <v>2723</v>
      </c>
    </row>
    <row r="6187" ht="22.5" customHeight="1">
      <c r="B6187" s="42" t="str">
        <f>IFERROR(__xludf.DUMMYFUNCTION("""COMPUTED_VALUE"""),"K/17/290725/1")</f>
        <v>K/17/290725/1</v>
      </c>
      <c r="C6187" s="42" t="str">
        <f>IFERROR(__xludf.DUMMYFUNCTION("""COMPUTED_VALUE"""),"M. 12189/ Rajabasa")</f>
        <v>M. 12189/ Rajabasa</v>
      </c>
      <c r="D6187" s="42" t="str">
        <f>IFERROR(__xludf.DUMMYFUNCTION("""COMPUTED_VALUE"""),"Berry")</f>
        <v>Berry</v>
      </c>
      <c r="E6187" s="42" t="str">
        <f>IFERROR(__xludf.DUMMYFUNCTION("""COMPUTED_VALUE"""),"DISERAHKAN")</f>
        <v>DISERAHKAN</v>
      </c>
      <c r="F6187" s="48">
        <f>IFERROR(__xludf.DUMMYFUNCTION("""COMPUTED_VALUE"""),45880.715402013884)</f>
        <v>45880.7154</v>
      </c>
      <c r="G6187" s="42" t="str">
        <f>IFERROR(__xludf.DUMMYFUNCTION("""COMPUTED_VALUE"""),"BN HIBAH")</f>
        <v>BN HIBAH</v>
      </c>
      <c r="H6187" s="42">
        <f t="shared" si="1"/>
        <v>2724</v>
      </c>
    </row>
    <row r="6188" ht="22.5" customHeight="1">
      <c r="B6188" s="42" t="str">
        <f>IFERROR(__xludf.DUMMYFUNCTION("""COMPUTED_VALUE"""),"K/18/290725/2")</f>
        <v>K/18/290725/2</v>
      </c>
      <c r="C6188" s="42" t="str">
        <f>IFERROR(__xludf.DUMMYFUNCTION("""COMPUTED_VALUE"""),"M. 12054/ Rajabasa")</f>
        <v>M. 12054/ Rajabasa</v>
      </c>
      <c r="D6188" s="42" t="str">
        <f>IFERROR(__xludf.DUMMYFUNCTION("""COMPUTED_VALUE"""),"Berry")</f>
        <v>Berry</v>
      </c>
      <c r="E6188" s="42" t="str">
        <f>IFERROR(__xludf.DUMMYFUNCTION("""COMPUTED_VALUE"""),"DISERAHKAN")</f>
        <v>DISERAHKAN</v>
      </c>
      <c r="F6188" s="48">
        <f>IFERROR(__xludf.DUMMYFUNCTION("""COMPUTED_VALUE"""),45883.65741395833)</f>
        <v>45883.65741</v>
      </c>
      <c r="G6188" s="42" t="str">
        <f>IFERROR(__xludf.DUMMYFUNCTION("""COMPUTED_VALUE"""),"BN HIBAH")</f>
        <v>BN HIBAH</v>
      </c>
      <c r="H6188" s="42">
        <f t="shared" si="1"/>
        <v>2725</v>
      </c>
    </row>
    <row r="6189" ht="22.5" customHeight="1">
      <c r="B6189" s="42" t="str">
        <f>IFERROR(__xludf.DUMMYFUNCTION("""COMPUTED_VALUE"""),"K/19/290725/3")</f>
        <v>K/19/290725/3</v>
      </c>
      <c r="C6189" s="42" t="str">
        <f>IFERROR(__xludf.DUMMYFUNCTION("""COMPUTED_VALUE"""),"M. 1821/ Campang Jaya")</f>
        <v>M. 1821/ Campang Jaya</v>
      </c>
      <c r="D6189" s="42" t="str">
        <f>IFERROR(__xludf.DUMMYFUNCTION("""COMPUTED_VALUE"""),"Berry")</f>
        <v>Berry</v>
      </c>
      <c r="E6189" s="42" t="str">
        <f>IFERROR(__xludf.DUMMYFUNCTION("""COMPUTED_VALUE"""),"DISERAHKAN")</f>
        <v>DISERAHKAN</v>
      </c>
      <c r="F6189" s="48">
        <f>IFERROR(__xludf.DUMMYFUNCTION("""COMPUTED_VALUE"""),45883.65684440972)</f>
        <v>45883.65684</v>
      </c>
      <c r="G6189" s="42" t="str">
        <f>IFERROR(__xludf.DUMMYFUNCTION("""COMPUTED_VALUE"""),"BN HIBAH")</f>
        <v>BN HIBAH</v>
      </c>
      <c r="H6189" s="42">
        <f t="shared" si="1"/>
        <v>2726</v>
      </c>
    </row>
    <row r="6190" ht="22.5" customHeight="1">
      <c r="B6190" s="42" t="str">
        <f>IFERROR(__xludf.DUMMYFUNCTION("""COMPUTED_VALUE"""),"L/20/290725/1")</f>
        <v>L/20/290725/1</v>
      </c>
      <c r="C6190" s="42" t="str">
        <f>IFERROR(__xludf.DUMMYFUNCTION("""COMPUTED_VALUE"""),"NIB 21936/BERINGIN RAYA")</f>
        <v>NIB 21936/BERINGIN RAYA</v>
      </c>
      <c r="D6190" s="42"/>
      <c r="E6190" s="42"/>
      <c r="F6190" s="48" t="str">
        <f>IFERROR(__xludf.DUMMYFUNCTION("""COMPUTED_VALUE"""),"")</f>
        <v/>
      </c>
      <c r="G6190" s="42" t="str">
        <f>IFERROR(__xludf.DUMMYFUNCTION("""COMPUTED_VALUE"""),"PH KONSTATASI")</f>
        <v>PH KONSTATASI</v>
      </c>
      <c r="H6190" s="42">
        <f t="shared" si="1"/>
        <v>2726</v>
      </c>
    </row>
    <row r="6191" ht="22.5" customHeight="1">
      <c r="B6191" s="42" t="str">
        <f>IFERROR(__xludf.DUMMYFUNCTION("""COMPUTED_VALUE"""),"K/15/290725/1")</f>
        <v>K/15/290725/1</v>
      </c>
      <c r="C6191" s="42" t="str">
        <f>IFERROR(__xludf.DUMMYFUNCTION("""COMPUTED_VALUE"""),"NIBEL M.21634/KETEGUHAN")</f>
        <v>NIBEL M.21634/KETEGUHAN</v>
      </c>
      <c r="D6191" s="42"/>
      <c r="E6191" s="42"/>
      <c r="F6191" s="48" t="str">
        <f>IFERROR(__xludf.DUMMYFUNCTION("""COMPUTED_VALUE"""),"")</f>
        <v/>
      </c>
      <c r="G6191" s="42" t="str">
        <f>IFERROR(__xludf.DUMMYFUNCTION("""COMPUTED_VALUE"""),"JUAL BELI")</f>
        <v>JUAL BELI</v>
      </c>
      <c r="H6191" s="42">
        <f t="shared" si="1"/>
        <v>2726</v>
      </c>
    </row>
    <row r="6192" ht="22.5" customHeight="1">
      <c r="B6192" s="42" t="str">
        <f>IFERROR(__xludf.DUMMYFUNCTION("""COMPUTED_VALUE"""),"K/24/290725/2")</f>
        <v>K/24/290725/2</v>
      </c>
      <c r="C6192" s="42" t="str">
        <f>IFERROR(__xludf.DUMMYFUNCTION("""COMPUTED_VALUE"""),"NIBEL M 21062/GEDONG MENENG")</f>
        <v>NIBEL M 21062/GEDONG MENENG</v>
      </c>
      <c r="D6192" s="42"/>
      <c r="E6192" s="42"/>
      <c r="F6192" s="48" t="str">
        <f>IFERROR(__xludf.DUMMYFUNCTION("""COMPUTED_VALUE"""),"")</f>
        <v/>
      </c>
      <c r="G6192" s="42" t="str">
        <f>IFERROR(__xludf.DUMMYFUNCTION("""COMPUTED_VALUE"""),"JUAL BELI")</f>
        <v>JUAL BELI</v>
      </c>
      <c r="H6192" s="42">
        <f t="shared" si="1"/>
        <v>2726</v>
      </c>
    </row>
    <row r="6193" ht="22.5" customHeight="1">
      <c r="B6193" s="42" t="str">
        <f>IFERROR(__xludf.DUMMYFUNCTION("""COMPUTED_VALUE"""),"K/22/290725/2")</f>
        <v>K/22/290725/2</v>
      </c>
      <c r="C6193" s="42" t="str">
        <f>IFERROR(__xludf.DUMMYFUNCTION("""COMPUTED_VALUE"""),"SK NO. 40/HM/BPN.1871/VI/2025")</f>
        <v>SK NO. 40/HM/BPN.1871/VI/2025</v>
      </c>
      <c r="D6193" s="42"/>
      <c r="E6193" s="42"/>
      <c r="F6193" s="48" t="str">
        <f>IFERROR(__xludf.DUMMYFUNCTION("""COMPUTED_VALUE"""),"")</f>
        <v/>
      </c>
      <c r="G6193" s="42" t="str">
        <f>IFERROR(__xludf.DUMMYFUNCTION("""COMPUTED_VALUE"""),"PENDAFTARAN SK")</f>
        <v>PENDAFTARAN SK</v>
      </c>
      <c r="H6193" s="42">
        <f t="shared" si="1"/>
        <v>2726</v>
      </c>
    </row>
    <row r="6194" ht="22.5" customHeight="1">
      <c r="B6194" s="42" t="str">
        <f>IFERROR(__xludf.DUMMYFUNCTION("""COMPUTED_VALUE"""),"K/23/290725/3")</f>
        <v>K/23/290725/3</v>
      </c>
      <c r="C6194" s="42" t="str">
        <f>IFERROR(__xludf.DUMMYFUNCTION("""COMPUTED_VALUE"""),"NIBEL M. 18341/LANGKAPURA")</f>
        <v>NIBEL M. 18341/LANGKAPURA</v>
      </c>
      <c r="D6194" s="42"/>
      <c r="E6194" s="42"/>
      <c r="F6194" s="48" t="str">
        <f>IFERROR(__xludf.DUMMYFUNCTION("""COMPUTED_VALUE"""),"")</f>
        <v/>
      </c>
      <c r="G6194" s="42" t="str">
        <f>IFERROR(__xludf.DUMMYFUNCTION("""COMPUTED_VALUE"""),"BN JUAL BELI")</f>
        <v>BN JUAL BELI</v>
      </c>
      <c r="H6194" s="42">
        <f t="shared" si="1"/>
        <v>2726</v>
      </c>
    </row>
    <row r="6195" ht="22.5" customHeight="1">
      <c r="B6195" s="42" t="str">
        <f>IFERROR(__xludf.DUMMYFUNCTION("""COMPUTED_VALUE"""),"K/25/290725/1")</f>
        <v>K/25/290725/1</v>
      </c>
      <c r="C6195" s="42" t="str">
        <f>IFERROR(__xludf.DUMMYFUNCTION("""COMPUTED_VALUE"""),"NIBEL B. 16242/SUMUR PUTRI")</f>
        <v>NIBEL B. 16242/SUMUR PUTRI</v>
      </c>
      <c r="D6195" s="42"/>
      <c r="E6195" s="42"/>
      <c r="F6195" s="48" t="str">
        <f>IFERROR(__xludf.DUMMYFUNCTION("""COMPUTED_VALUE"""),"")</f>
        <v/>
      </c>
      <c r="G6195" s="42" t="str">
        <f>IFERROR(__xludf.DUMMYFUNCTION("""COMPUTED_VALUE"""),"PENINGKATAN HAK")</f>
        <v>PENINGKATAN HAK</v>
      </c>
      <c r="H6195" s="42">
        <f t="shared" si="1"/>
        <v>2726</v>
      </c>
    </row>
    <row r="6196" ht="22.5" customHeight="1">
      <c r="B6196" s="42" t="str">
        <f>IFERROR(__xludf.DUMMYFUNCTION("""COMPUTED_VALUE"""),"K/26/290725/1")</f>
        <v>K/26/290725/1</v>
      </c>
      <c r="C6196" s="42" t="str">
        <f>IFERROR(__xludf.DUMMYFUNCTION("""COMPUTED_VALUE"""),"M. 5748/ Way Kandis")</f>
        <v>M. 5748/ Way Kandis</v>
      </c>
      <c r="D6196" s="42" t="str">
        <f>IFERROR(__xludf.DUMMYFUNCTION("""COMPUTED_VALUE"""),"David")</f>
        <v>David</v>
      </c>
      <c r="E6196" s="42" t="str">
        <f>IFERROR(__xludf.DUMMYFUNCTION("""COMPUTED_VALUE"""),"DISERAHKAN")</f>
        <v>DISERAHKAN</v>
      </c>
      <c r="F6196" s="48">
        <f>IFERROR(__xludf.DUMMYFUNCTION("""COMPUTED_VALUE"""),45882.63826576389)</f>
        <v>45882.63827</v>
      </c>
      <c r="G6196" s="42" t="str">
        <f>IFERROR(__xludf.DUMMYFUNCTION("""COMPUTED_VALUE"""),"BN Jual Beli")</f>
        <v>BN Jual Beli</v>
      </c>
      <c r="H6196" s="42">
        <f t="shared" si="1"/>
        <v>2727</v>
      </c>
    </row>
    <row r="6197" ht="22.5" customHeight="1">
      <c r="B6197" s="42" t="str">
        <f>IFERROR(__xludf.DUMMYFUNCTION("""COMPUTED_VALUE"""),"K/27/290725/1")</f>
        <v>K/27/290725/1</v>
      </c>
      <c r="C6197" s="42" t="str">
        <f>IFERROR(__xludf.DUMMYFUNCTION("""COMPUTED_VALUE"""),"Nibel 21968/ Pinang jaya")</f>
        <v>Nibel 21968/ Pinang jaya</v>
      </c>
      <c r="D6197" s="42"/>
      <c r="E6197" s="42"/>
      <c r="F6197" s="48" t="str">
        <f>IFERROR(__xludf.DUMMYFUNCTION("""COMPUTED_VALUE"""),"")</f>
        <v/>
      </c>
      <c r="G6197" s="42" t="str">
        <f>IFERROR(__xludf.DUMMYFUNCTION("""COMPUTED_VALUE"""),"PTPGT PEMECAHAN")</f>
        <v>PTPGT PEMECAHAN</v>
      </c>
      <c r="H6197" s="42">
        <f t="shared" si="1"/>
        <v>2727</v>
      </c>
    </row>
    <row r="6198" ht="22.5" customHeight="1">
      <c r="B6198" s="42" t="str">
        <f>IFERROR(__xludf.DUMMYFUNCTION("""COMPUTED_VALUE"""),"K/30/290725/1")</f>
        <v>K/30/290725/1</v>
      </c>
      <c r="C6198" s="42" t="str">
        <f>IFERROR(__xludf.DUMMYFUNCTION("""COMPUTED_VALUE"""),"M. 1095/ Sukaraja")</f>
        <v>M. 1095/ Sukaraja</v>
      </c>
      <c r="D6198" s="42" t="str">
        <f>IFERROR(__xludf.DUMMYFUNCTION("""COMPUTED_VALUE"""),"Berry")</f>
        <v>Berry</v>
      </c>
      <c r="E6198" s="42" t="str">
        <f>IFERROR(__xludf.DUMMYFUNCTION("""COMPUTED_VALUE"""),"DISERAHKAN")</f>
        <v>DISERAHKAN</v>
      </c>
      <c r="F6198" s="48">
        <f>IFERROR(__xludf.DUMMYFUNCTION("""COMPUTED_VALUE"""),45890.66885340278)</f>
        <v>45890.66885</v>
      </c>
      <c r="G6198" s="42" t="str">
        <f>IFERROR(__xludf.DUMMYFUNCTION("""COMPUTED_VALUE"""),"BN Waris")</f>
        <v>BN Waris</v>
      </c>
      <c r="H6198" s="42">
        <f t="shared" si="1"/>
        <v>2728</v>
      </c>
    </row>
    <row r="6199" ht="22.5" customHeight="1">
      <c r="B6199" s="42" t="str">
        <f>IFERROR(__xludf.DUMMYFUNCTION("""COMPUTED_VALUE"""),"K/28/290725/2")</f>
        <v>K/28/290725/2</v>
      </c>
      <c r="C6199" s="42" t="str">
        <f>IFERROR(__xludf.DUMMYFUNCTION("""COMPUTED_VALUE"""),"M. 1630/ Rajabasa Nunyai")</f>
        <v>M. 1630/ Rajabasa Nunyai</v>
      </c>
      <c r="D6199" s="42" t="str">
        <f>IFERROR(__xludf.DUMMYFUNCTION("""COMPUTED_VALUE"""),"Berry")</f>
        <v>Berry</v>
      </c>
      <c r="E6199" s="42" t="str">
        <f>IFERROR(__xludf.DUMMYFUNCTION("""COMPUTED_VALUE"""),"DISERAHKAN")</f>
        <v>DISERAHKAN</v>
      </c>
      <c r="F6199" s="48">
        <f>IFERROR(__xludf.DUMMYFUNCTION("""COMPUTED_VALUE"""),45890.67226481481)</f>
        <v>45890.67226</v>
      </c>
      <c r="G6199" s="42" t="str">
        <f>IFERROR(__xludf.DUMMYFUNCTION("""COMPUTED_VALUE"""),"BN JUAL BELI")</f>
        <v>BN JUAL BELI</v>
      </c>
      <c r="H6199" s="42">
        <f t="shared" si="1"/>
        <v>2729</v>
      </c>
    </row>
    <row r="6200" ht="22.5" customHeight="1">
      <c r="B6200" s="42" t="str">
        <f>IFERROR(__xludf.DUMMYFUNCTION("""COMPUTED_VALUE"""),"K/29/290725/3")</f>
        <v>K/29/290725/3</v>
      </c>
      <c r="C6200" s="42" t="str">
        <f>IFERROR(__xludf.DUMMYFUNCTION("""COMPUTED_VALUE"""),"M. 581/ Sukaraja")</f>
        <v>M. 581/ Sukaraja</v>
      </c>
      <c r="D6200" s="42" t="str">
        <f>IFERROR(__xludf.DUMMYFUNCTION("""COMPUTED_VALUE"""),"Berry")</f>
        <v>Berry</v>
      </c>
      <c r="E6200" s="42" t="str">
        <f>IFERROR(__xludf.DUMMYFUNCTION("""COMPUTED_VALUE"""),"DISERAHKAN")</f>
        <v>DISERAHKAN</v>
      </c>
      <c r="F6200" s="48">
        <f>IFERROR(__xludf.DUMMYFUNCTION("""COMPUTED_VALUE"""),45890.672801759254)</f>
        <v>45890.6728</v>
      </c>
      <c r="G6200" s="42" t="str">
        <f>IFERROR(__xludf.DUMMYFUNCTION("""COMPUTED_VALUE"""),"BN HIBAH")</f>
        <v>BN HIBAH</v>
      </c>
      <c r="H6200" s="42">
        <f t="shared" si="1"/>
        <v>2730</v>
      </c>
    </row>
    <row r="6201" ht="22.5" customHeight="1">
      <c r="B6201" s="42" t="str">
        <f>IFERROR(__xludf.DUMMYFUNCTION("""COMPUTED_VALUE"""),"K/31/290725/1")</f>
        <v>K/31/290725/1</v>
      </c>
      <c r="C6201" s="42" t="str">
        <f>IFERROR(__xludf.DUMMYFUNCTION("""COMPUTED_VALUE"""),"M. 854/SUMBER REJO")</f>
        <v>M. 854/SUMBER REJO</v>
      </c>
      <c r="D6201" s="42" t="str">
        <f>IFERROR(__xludf.DUMMYFUNCTION("""COMPUTED_VALUE"""),"David")</f>
        <v>David</v>
      </c>
      <c r="E6201" s="42" t="str">
        <f>IFERROR(__xludf.DUMMYFUNCTION("""COMPUTED_VALUE"""),"DISERAHKAN")</f>
        <v>DISERAHKAN</v>
      </c>
      <c r="F6201" s="48">
        <f>IFERROR(__xludf.DUMMYFUNCTION("""COMPUTED_VALUE"""),45904.61690702546)</f>
        <v>45904.61691</v>
      </c>
      <c r="G6201" s="42" t="str">
        <f>IFERROR(__xludf.DUMMYFUNCTION("""COMPUTED_VALUE"""),"ROYA")</f>
        <v>ROYA</v>
      </c>
      <c r="H6201" s="42">
        <f t="shared" si="1"/>
        <v>2731</v>
      </c>
    </row>
    <row r="6202" ht="22.5" customHeight="1">
      <c r="B6202" s="42" t="str">
        <f>IFERROR(__xludf.DUMMYFUNCTION("""COMPUTED_VALUE"""),"K/32/290725/1")</f>
        <v>K/32/290725/1</v>
      </c>
      <c r="C6202" s="42" t="str">
        <f>IFERROR(__xludf.DUMMYFUNCTION("""COMPUTED_VALUE"""),"M. 5044/ Rajabasa Jaya")</f>
        <v>M. 5044/ Rajabasa Jaya</v>
      </c>
      <c r="D6202" s="42" t="str">
        <f>IFERROR(__xludf.DUMMYFUNCTION("""COMPUTED_VALUE"""),"Berry")</f>
        <v>Berry</v>
      </c>
      <c r="E6202" s="42" t="str">
        <f>IFERROR(__xludf.DUMMYFUNCTION("""COMPUTED_VALUE"""),"DISERAHKAN")</f>
        <v>DISERAHKAN</v>
      </c>
      <c r="F6202" s="48">
        <f>IFERROR(__xludf.DUMMYFUNCTION("""COMPUTED_VALUE"""),45883.656239375)</f>
        <v>45883.65624</v>
      </c>
      <c r="G6202" s="42" t="str">
        <f>IFERROR(__xludf.DUMMYFUNCTION("""COMPUTED_VALUE"""),"BN JUAL BELI")</f>
        <v>BN JUAL BELI</v>
      </c>
      <c r="H6202" s="42">
        <f t="shared" si="1"/>
        <v>2732</v>
      </c>
    </row>
    <row r="6203" ht="22.5" customHeight="1">
      <c r="B6203" s="42" t="str">
        <f>IFERROR(__xludf.DUMMYFUNCTION("""COMPUTED_VALUE"""),"K/34/290725/1")</f>
        <v>K/34/290725/1</v>
      </c>
      <c r="C6203" s="42" t="str">
        <f>IFERROR(__xludf.DUMMYFUNCTION("""COMPUTED_VALUE"""),"NIBEL M 22394/KORPRI RAYA")</f>
        <v>NIBEL M 22394/KORPRI RAYA</v>
      </c>
      <c r="D6203" s="42"/>
      <c r="E6203" s="42"/>
      <c r="F6203" s="48" t="str">
        <f>IFERROR(__xludf.DUMMYFUNCTION("""COMPUTED_VALUE"""),"")</f>
        <v/>
      </c>
      <c r="G6203" s="42" t="str">
        <f>IFERROR(__xludf.DUMMYFUNCTION("""COMPUTED_VALUE"""),"JUAL BELI")</f>
        <v>JUAL BELI</v>
      </c>
      <c r="H6203" s="42">
        <f t="shared" si="1"/>
        <v>2732</v>
      </c>
    </row>
    <row r="6204" ht="22.5" customHeight="1">
      <c r="B6204" s="42" t="str">
        <f>IFERROR(__xludf.DUMMYFUNCTION("""COMPUTED_VALUE"""),"K/35/290725/2")</f>
        <v>K/35/290725/2</v>
      </c>
      <c r="C6204" s="42" t="str">
        <f>IFERROR(__xludf.DUMMYFUNCTION("""COMPUTED_VALUE"""),"M.2371/SUMBER AGUNG")</f>
        <v>M.2371/SUMBER AGUNG</v>
      </c>
      <c r="D6204" s="42"/>
      <c r="E6204" s="42"/>
      <c r="F6204" s="48" t="str">
        <f>IFERROR(__xludf.DUMMYFUNCTION("""COMPUTED_VALUE"""),"")</f>
        <v/>
      </c>
      <c r="G6204" s="42" t="str">
        <f>IFERROR(__xludf.DUMMYFUNCTION("""COMPUTED_VALUE"""),"JUAL BELI")</f>
        <v>JUAL BELI</v>
      </c>
      <c r="H6204" s="42">
        <f t="shared" si="1"/>
        <v>2732</v>
      </c>
    </row>
    <row r="6205" ht="22.5" customHeight="1">
      <c r="B6205" s="42" t="str">
        <f>IFERROR(__xludf.DUMMYFUNCTION("""COMPUTED_VALUE"""),"K/36/290725/1")</f>
        <v>K/36/290725/1</v>
      </c>
      <c r="C6205" s="42" t="str">
        <f>IFERROR(__xludf.DUMMYFUNCTION("""COMPUTED_VALUE"""),"Nibel. M. 21719/ Rajabasa Jaya")</f>
        <v>Nibel. M. 21719/ Rajabasa Jaya</v>
      </c>
      <c r="D6205" s="42"/>
      <c r="E6205" s="42"/>
      <c r="F6205" s="48" t="str">
        <f>IFERROR(__xludf.DUMMYFUNCTION("""COMPUTED_VALUE"""),"")</f>
        <v/>
      </c>
      <c r="G6205" s="42" t="str">
        <f>IFERROR(__xludf.DUMMYFUNCTION("""COMPUTED_VALUE"""),"BN Jual Beli")</f>
        <v>BN Jual Beli</v>
      </c>
      <c r="H6205" s="42">
        <f t="shared" si="1"/>
        <v>2732</v>
      </c>
    </row>
    <row r="6206" ht="22.5" customHeight="1">
      <c r="B6206" s="42" t="str">
        <f>IFERROR(__xludf.DUMMYFUNCTION("""COMPUTED_VALUE"""),"K/33/290725/1")</f>
        <v>K/33/290725/1</v>
      </c>
      <c r="C6206" s="42" t="str">
        <f>IFERROR(__xludf.DUMMYFUNCTION("""COMPUTED_VALUE"""),"B.78/GULAK GALIK")</f>
        <v>B.78/GULAK GALIK</v>
      </c>
      <c r="D6206" s="42"/>
      <c r="E6206" s="42"/>
      <c r="F6206" s="48" t="str">
        <f>IFERROR(__xludf.DUMMYFUNCTION("""COMPUTED_VALUE"""),"")</f>
        <v/>
      </c>
      <c r="G6206" s="42" t="str">
        <f>IFERROR(__xludf.DUMMYFUNCTION("""COMPUTED_VALUE"""),"PTPGT ")</f>
        <v>PTPGT </v>
      </c>
      <c r="H6206" s="42">
        <f t="shared" si="1"/>
        <v>2732</v>
      </c>
    </row>
    <row r="6207" ht="22.5" customHeight="1">
      <c r="B6207" s="42" t="str">
        <f>IFERROR(__xludf.DUMMYFUNCTION("""COMPUTED_VALUE"""),"K/37/290725/1")</f>
        <v>K/37/290725/1</v>
      </c>
      <c r="C6207" s="42" t="str">
        <f>IFERROR(__xludf.DUMMYFUNCTION("""COMPUTED_VALUE"""),"M. 1209/ L R R")</f>
        <v>M. 1209/ L R R</v>
      </c>
      <c r="D6207" s="42"/>
      <c r="E6207" s="42"/>
      <c r="F6207" s="48" t="str">
        <f>IFERROR(__xludf.DUMMYFUNCTION("""COMPUTED_VALUE"""),"")</f>
        <v/>
      </c>
      <c r="G6207" s="42" t="str">
        <f>IFERROR(__xludf.DUMMYFUNCTION("""COMPUTED_VALUE"""),"BN Jual Beli")</f>
        <v>BN Jual Beli</v>
      </c>
      <c r="H6207" s="42">
        <f t="shared" si="1"/>
        <v>2732</v>
      </c>
    </row>
    <row r="6208" ht="22.5" customHeight="1">
      <c r="B6208" s="42" t="str">
        <f>IFERROR(__xludf.DUMMYFUNCTION("""COMPUTED_VALUE"""),"K/38/290725/1")</f>
        <v>K/38/290725/1</v>
      </c>
      <c r="C6208" s="42" t="str">
        <f>IFERROR(__xludf.DUMMYFUNCTION("""COMPUTED_VALUE"""),"M. 2454/ Kedaung")</f>
        <v>M. 2454/ Kedaung</v>
      </c>
      <c r="D6208" s="42"/>
      <c r="E6208" s="42"/>
      <c r="F6208" s="48" t="str">
        <f>IFERROR(__xludf.DUMMYFUNCTION("""COMPUTED_VALUE"""),"")</f>
        <v/>
      </c>
      <c r="G6208" s="42" t="str">
        <f>IFERROR(__xludf.DUMMYFUNCTION("""COMPUTED_VALUE"""),"BN Jual Beli")</f>
        <v>BN Jual Beli</v>
      </c>
      <c r="H6208" s="42">
        <f t="shared" si="1"/>
        <v>2732</v>
      </c>
    </row>
    <row r="6209" ht="22.5" customHeight="1">
      <c r="B6209" s="42" t="str">
        <f>IFERROR(__xludf.DUMMYFUNCTION("""COMPUTED_VALUE"""),"K/39/290725/2")</f>
        <v>K/39/290725/2</v>
      </c>
      <c r="C6209" s="42" t="str">
        <f>IFERROR(__xludf.DUMMYFUNCTION("""COMPUTED_VALUE"""),"M. 4050/ Langkapura")</f>
        <v>M. 4050/ Langkapura</v>
      </c>
      <c r="D6209" s="42" t="str">
        <f>IFERROR(__xludf.DUMMYFUNCTION("""COMPUTED_VALUE"""),"Berry")</f>
        <v>Berry</v>
      </c>
      <c r="E6209" s="42" t="str">
        <f>IFERROR(__xludf.DUMMYFUNCTION("""COMPUTED_VALUE"""),"DISERAHKAN")</f>
        <v>DISERAHKAN</v>
      </c>
      <c r="F6209" s="48">
        <f>IFERROR(__xludf.DUMMYFUNCTION("""COMPUTED_VALUE"""),45894.575977037035)</f>
        <v>45894.57598</v>
      </c>
      <c r="G6209" s="42" t="str">
        <f>IFERROR(__xludf.DUMMYFUNCTION("""COMPUTED_VALUE"""),"BN Jual Beli")</f>
        <v>BN Jual Beli</v>
      </c>
      <c r="H6209" s="42">
        <f t="shared" si="1"/>
        <v>2733</v>
      </c>
    </row>
    <row r="6210" ht="22.5" customHeight="1">
      <c r="B6210" s="42" t="str">
        <f>IFERROR(__xludf.DUMMYFUNCTION("""COMPUTED_VALUE"""),"K/1/300725/1")</f>
        <v>K/1/300725/1</v>
      </c>
      <c r="C6210" s="42" t="str">
        <f>IFERROR(__xludf.DUMMYFUNCTION("""COMPUTED_VALUE"""),"M. 3357/ Kemiling Permai")</f>
        <v>M. 3357/ Kemiling Permai</v>
      </c>
      <c r="D6210" s="42" t="str">
        <f>IFERROR(__xludf.DUMMYFUNCTION("""COMPUTED_VALUE"""),"David")</f>
        <v>David</v>
      </c>
      <c r="E6210" s="42" t="str">
        <f>IFERROR(__xludf.DUMMYFUNCTION("""COMPUTED_VALUE"""),"DISERAHKAN")</f>
        <v>DISERAHKAN</v>
      </c>
      <c r="F6210" s="48">
        <f>IFERROR(__xludf.DUMMYFUNCTION("""COMPUTED_VALUE"""),45883.656108842595)</f>
        <v>45883.65611</v>
      </c>
      <c r="G6210" s="42" t="str">
        <f>IFERROR(__xludf.DUMMYFUNCTION("""COMPUTED_VALUE"""),"BN JUAL BELI")</f>
        <v>BN JUAL BELI</v>
      </c>
      <c r="H6210" s="42">
        <f t="shared" si="1"/>
        <v>2734</v>
      </c>
    </row>
    <row r="6211" ht="22.5" customHeight="1">
      <c r="B6211" s="42" t="str">
        <f>IFERROR(__xludf.DUMMYFUNCTION("""COMPUTED_VALUE"""),"K/2/300725/2")</f>
        <v>K/2/300725/2</v>
      </c>
      <c r="C6211" s="42" t="str">
        <f>IFERROR(__xludf.DUMMYFUNCTION("""COMPUTED_VALUE"""),"M. 3358/ Kemiling Permai")</f>
        <v>M. 3358/ Kemiling Permai</v>
      </c>
      <c r="D6211" s="42"/>
      <c r="E6211" s="42"/>
      <c r="F6211" s="48" t="str">
        <f>IFERROR(__xludf.DUMMYFUNCTION("""COMPUTED_VALUE"""),"")</f>
        <v/>
      </c>
      <c r="G6211" s="42" t="str">
        <f>IFERROR(__xludf.DUMMYFUNCTION("""COMPUTED_VALUE"""),"BN JUAL BELI")</f>
        <v>BN JUAL BELI</v>
      </c>
      <c r="H6211" s="42">
        <f t="shared" si="1"/>
        <v>2734</v>
      </c>
    </row>
    <row r="6212" ht="22.5" customHeight="1">
      <c r="B6212" s="42" t="str">
        <f>IFERROR(__xludf.DUMMYFUNCTION("""COMPUTED_VALUE"""),"K/3/300725/1")</f>
        <v>K/3/300725/1</v>
      </c>
      <c r="C6212" s="42" t="str">
        <f>IFERROR(__xludf.DUMMYFUNCTION("""COMPUTED_VALUE"""),"Nibel. M. 21773/ N O G")</f>
        <v>Nibel. M. 21773/ N O G</v>
      </c>
      <c r="D6212" s="42"/>
      <c r="E6212" s="42"/>
      <c r="F6212" s="48" t="str">
        <f>IFERROR(__xludf.DUMMYFUNCTION("""COMPUTED_VALUE"""),"")</f>
        <v/>
      </c>
      <c r="G6212" s="42" t="str">
        <f>IFERROR(__xludf.DUMMYFUNCTION("""COMPUTED_VALUE"""),"BN Lelang")</f>
        <v>BN Lelang</v>
      </c>
      <c r="H6212" s="42">
        <f t="shared" si="1"/>
        <v>2734</v>
      </c>
    </row>
    <row r="6213" ht="22.5" customHeight="1">
      <c r="B6213" s="42" t="str">
        <f>IFERROR(__xludf.DUMMYFUNCTION("""COMPUTED_VALUE"""),"L/4/300725/1")</f>
        <v>L/4/300725/1</v>
      </c>
      <c r="C6213" s="42" t="str">
        <f>IFERROR(__xludf.DUMMYFUNCTION("""COMPUTED_VALUE"""),"HM 11783/JAGABAYA II")</f>
        <v>HM 11783/JAGABAYA II</v>
      </c>
      <c r="D6213" s="42"/>
      <c r="E6213" s="42"/>
      <c r="F6213" s="48" t="str">
        <f>IFERROR(__xludf.DUMMYFUNCTION("""COMPUTED_VALUE"""),"")</f>
        <v/>
      </c>
      <c r="G6213" s="42" t="str">
        <f>IFERROR(__xludf.DUMMYFUNCTION("""COMPUTED_VALUE"""),"ROYA")</f>
        <v>ROYA</v>
      </c>
      <c r="H6213" s="42">
        <f t="shared" si="1"/>
        <v>2734</v>
      </c>
    </row>
    <row r="6214" ht="22.5" customHeight="1">
      <c r="B6214" s="42" t="str">
        <f>IFERROR(__xludf.DUMMYFUNCTION("""COMPUTED_VALUE"""),"K/5/300725/1")</f>
        <v>K/5/300725/1</v>
      </c>
      <c r="C6214" s="42" t="str">
        <f>IFERROR(__xludf.DUMMYFUNCTION("""COMPUTED_VALUE"""),"M. 667/ Bumi Kedamaian")</f>
        <v>M. 667/ Bumi Kedamaian</v>
      </c>
      <c r="D6214" s="42"/>
      <c r="E6214" s="42"/>
      <c r="F6214" s="48" t="str">
        <f>IFERROR(__xludf.DUMMYFUNCTION("""COMPUTED_VALUE"""),"")</f>
        <v/>
      </c>
      <c r="G6214" s="42" t="str">
        <f>IFERROR(__xludf.DUMMYFUNCTION("""COMPUTED_VALUE"""),"SKPT LELANG")</f>
        <v>SKPT LELANG</v>
      </c>
      <c r="H6214" s="42">
        <f t="shared" si="1"/>
        <v>2734</v>
      </c>
    </row>
    <row r="6215" ht="22.5" customHeight="1">
      <c r="B6215" s="42" t="str">
        <f>IFERROR(__xludf.DUMMYFUNCTION("""COMPUTED_VALUE"""),"K/6/300725/2")</f>
        <v>K/6/300725/2</v>
      </c>
      <c r="C6215" s="42" t="str">
        <f>IFERROR(__xludf.DUMMYFUNCTION("""COMPUTED_VALUE"""),"M. 1164/ Pesawahan")</f>
        <v>M. 1164/ Pesawahan</v>
      </c>
      <c r="D6215" s="42"/>
      <c r="E6215" s="42"/>
      <c r="F6215" s="48" t="str">
        <f>IFERROR(__xludf.DUMMYFUNCTION("""COMPUTED_VALUE"""),"")</f>
        <v/>
      </c>
      <c r="G6215" s="42" t="str">
        <f>IFERROR(__xludf.DUMMYFUNCTION("""COMPUTED_VALUE"""),"SKPT LELANG")</f>
        <v>SKPT LELANG</v>
      </c>
      <c r="H6215" s="42">
        <f t="shared" si="1"/>
        <v>2734</v>
      </c>
    </row>
    <row r="6216" ht="22.5" customHeight="1">
      <c r="B6216" s="42" t="str">
        <f>IFERROR(__xludf.DUMMYFUNCTION("""COMPUTED_VALUE"""),"K/7/300725/3")</f>
        <v>K/7/300725/3</v>
      </c>
      <c r="C6216" s="42" t="str">
        <f>IFERROR(__xludf.DUMMYFUNCTION("""COMPUTED_VALUE"""),"M. 1268/ Bumi Waras")</f>
        <v>M. 1268/ Bumi Waras</v>
      </c>
      <c r="D6216" s="42"/>
      <c r="E6216" s="42"/>
      <c r="F6216" s="48" t="str">
        <f>IFERROR(__xludf.DUMMYFUNCTION("""COMPUTED_VALUE"""),"")</f>
        <v/>
      </c>
      <c r="G6216" s="42" t="str">
        <f>IFERROR(__xludf.DUMMYFUNCTION("""COMPUTED_VALUE"""),"SKPT LELANG")</f>
        <v>SKPT LELANG</v>
      </c>
      <c r="H6216" s="42">
        <f t="shared" si="1"/>
        <v>2734</v>
      </c>
    </row>
    <row r="6217" ht="22.5" customHeight="1">
      <c r="B6217" s="42" t="str">
        <f>IFERROR(__xludf.DUMMYFUNCTION("""COMPUTED_VALUE"""),"K/8/300725/4")</f>
        <v>K/8/300725/4</v>
      </c>
      <c r="C6217" s="42" t="str">
        <f>IFERROR(__xludf.DUMMYFUNCTION("""COMPUTED_VALUE"""),"M. 11312/ Kedamaian")</f>
        <v>M. 11312/ Kedamaian</v>
      </c>
      <c r="D6217" s="42"/>
      <c r="E6217" s="42"/>
      <c r="F6217" s="48" t="str">
        <f>IFERROR(__xludf.DUMMYFUNCTION("""COMPUTED_VALUE"""),"")</f>
        <v/>
      </c>
      <c r="G6217" s="42" t="str">
        <f>IFERROR(__xludf.DUMMYFUNCTION("""COMPUTED_VALUE"""),"SKPT LELANG")</f>
        <v>SKPT LELANG</v>
      </c>
      <c r="H6217" s="42">
        <f t="shared" si="1"/>
        <v>2734</v>
      </c>
    </row>
    <row r="6218" ht="22.5" customHeight="1">
      <c r="B6218" s="42" t="str">
        <f>IFERROR(__xludf.DUMMYFUNCTION("""COMPUTED_VALUE"""),"K/40/290725/1")</f>
        <v>K/40/290725/1</v>
      </c>
      <c r="C6218" s="42" t="str">
        <f>IFERROR(__xludf.DUMMYFUNCTION("""COMPUTED_VALUE"""),"M. 12850/SUKARAME")</f>
        <v>M. 12850/SUKARAME</v>
      </c>
      <c r="D6218" s="42"/>
      <c r="E6218" s="42"/>
      <c r="F6218" s="48" t="str">
        <f>IFERROR(__xludf.DUMMYFUNCTION("""COMPUTED_VALUE"""),"")</f>
        <v/>
      </c>
      <c r="G6218" s="42" t="str">
        <f>IFERROR(__xludf.DUMMYFUNCTION("""COMPUTED_VALUE"""),"PEMECAHAN")</f>
        <v>PEMECAHAN</v>
      </c>
      <c r="H6218" s="42">
        <f t="shared" si="1"/>
        <v>2734</v>
      </c>
    </row>
    <row r="6219" ht="22.5" customHeight="1">
      <c r="B6219" s="42" t="str">
        <f>IFERROR(__xludf.DUMMYFUNCTION("""COMPUTED_VALUE"""),"K/10/300725/1")</f>
        <v>K/10/300725/1</v>
      </c>
      <c r="C6219" s="42" t="str">
        <f>IFERROR(__xludf.DUMMYFUNCTION("""COMPUTED_VALUE"""),"NIBEL M. 993/WAY KANDIS")</f>
        <v>NIBEL M. 993/WAY KANDIS</v>
      </c>
      <c r="D6219" s="42"/>
      <c r="E6219" s="42"/>
      <c r="F6219" s="48" t="str">
        <f>IFERROR(__xludf.DUMMYFUNCTION("""COMPUTED_VALUE"""),"")</f>
        <v/>
      </c>
      <c r="G6219" s="42" t="str">
        <f>IFERROR(__xludf.DUMMYFUNCTION("""COMPUTED_VALUE"""),"BN JUAL BELI")</f>
        <v>BN JUAL BELI</v>
      </c>
      <c r="H6219" s="42">
        <f t="shared" si="1"/>
        <v>2734</v>
      </c>
    </row>
    <row r="6220" ht="22.5" customHeight="1">
      <c r="B6220" s="42" t="str">
        <f>IFERROR(__xludf.DUMMYFUNCTION("""COMPUTED_VALUE"""),"K/11/300725/2")</f>
        <v>K/11/300725/2</v>
      </c>
      <c r="C6220" s="42" t="str">
        <f>IFERROR(__xludf.DUMMYFUNCTION("""COMPUTED_VALUE"""),"NIBEL M. 21558/SUMBER REJO")</f>
        <v>NIBEL M. 21558/SUMBER REJO</v>
      </c>
      <c r="D6220" s="42"/>
      <c r="E6220" s="42"/>
      <c r="F6220" s="48" t="str">
        <f>IFERROR(__xludf.DUMMYFUNCTION("""COMPUTED_VALUE"""),"")</f>
        <v/>
      </c>
      <c r="G6220" s="42" t="str">
        <f>IFERROR(__xludf.DUMMYFUNCTION("""COMPUTED_VALUE"""),"BN JUAL BELI")</f>
        <v>BN JUAL BELI</v>
      </c>
      <c r="H6220" s="42">
        <f t="shared" si="1"/>
        <v>2734</v>
      </c>
    </row>
    <row r="6221" ht="22.5" customHeight="1">
      <c r="B6221" s="42" t="str">
        <f>IFERROR(__xludf.DUMMYFUNCTION("""COMPUTED_VALUE"""),"K/9/300725/1")</f>
        <v>K/9/300725/1</v>
      </c>
      <c r="C6221" s="42" t="str">
        <f>IFERROR(__xludf.DUMMYFUNCTION("""COMPUTED_VALUE"""),"M.4338/WAY KANDIS")</f>
        <v>M.4338/WAY KANDIS</v>
      </c>
      <c r="D6221" s="42" t="str">
        <f>IFERROR(__xludf.DUMMYFUNCTION("""COMPUTED_VALUE"""),"David")</f>
        <v>David</v>
      </c>
      <c r="E6221" s="42" t="str">
        <f>IFERROR(__xludf.DUMMYFUNCTION("""COMPUTED_VALUE"""),"DISERAHKAN")</f>
        <v>DISERAHKAN</v>
      </c>
      <c r="F6221" s="48">
        <f>IFERROR(__xludf.DUMMYFUNCTION("""COMPUTED_VALUE"""),45882.63826576389)</f>
        <v>45882.63827</v>
      </c>
      <c r="G6221" s="42" t="str">
        <f>IFERROR(__xludf.DUMMYFUNCTION("""COMPUTED_VALUE"""),"JUAL BELI")</f>
        <v>JUAL BELI</v>
      </c>
      <c r="H6221" s="42">
        <f t="shared" si="1"/>
        <v>2735</v>
      </c>
    </row>
    <row r="6222" ht="22.5" customHeight="1">
      <c r="B6222" s="42" t="str">
        <f>IFERROR(__xludf.DUMMYFUNCTION("""COMPUTED_VALUE"""),"K/12/300725/1")</f>
        <v>K/12/300725/1</v>
      </c>
      <c r="C6222" s="42" t="str">
        <f>IFERROR(__xludf.DUMMYFUNCTION("""COMPUTED_VALUE"""),"B.3040/SUKABUMI")</f>
        <v>B.3040/SUKABUMI</v>
      </c>
      <c r="D6222" s="42" t="str">
        <f>IFERROR(__xludf.DUMMYFUNCTION("""COMPUTED_VALUE"""),"Berry")</f>
        <v>Berry</v>
      </c>
      <c r="E6222" s="42" t="str">
        <f>IFERROR(__xludf.DUMMYFUNCTION("""COMPUTED_VALUE"""),"DISERAHKAN")</f>
        <v>DISERAHKAN</v>
      </c>
      <c r="F6222" s="48">
        <f>IFERROR(__xludf.DUMMYFUNCTION("""COMPUTED_VALUE"""),45890.674161331015)</f>
        <v>45890.67416</v>
      </c>
      <c r="G6222" s="42" t="str">
        <f>IFERROR(__xludf.DUMMYFUNCTION("""COMPUTED_VALUE"""),"GANTI NAMA")</f>
        <v>GANTI NAMA</v>
      </c>
      <c r="H6222" s="42">
        <f t="shared" si="1"/>
        <v>2736</v>
      </c>
    </row>
    <row r="6223" ht="22.5" customHeight="1">
      <c r="B6223" s="42" t="str">
        <f>IFERROR(__xludf.DUMMYFUNCTION("""COMPUTED_VALUE"""),"K/15/300725/2")</f>
        <v>K/15/300725/2</v>
      </c>
      <c r="C6223" s="42" t="str">
        <f>IFERROR(__xludf.DUMMYFUNCTION("""COMPUTED_VALUE"""),"Nibel. M. 21772/ Bumi Raya")</f>
        <v>Nibel. M. 21772/ Bumi Raya</v>
      </c>
      <c r="D6223" s="42"/>
      <c r="E6223" s="42"/>
      <c r="F6223" s="48" t="str">
        <f>IFERROR(__xludf.DUMMYFUNCTION("""COMPUTED_VALUE"""),"")</f>
        <v/>
      </c>
      <c r="G6223" s="42" t="str">
        <f>IFERROR(__xludf.DUMMYFUNCTION("""COMPUTED_VALUE"""),"BN PHB")</f>
        <v>BN PHB</v>
      </c>
      <c r="H6223" s="42">
        <f t="shared" si="1"/>
        <v>2736</v>
      </c>
    </row>
    <row r="6224" ht="22.5" customHeight="1">
      <c r="B6224" s="42" t="str">
        <f>IFERROR(__xludf.DUMMYFUNCTION("""COMPUTED_VALUE"""),"K/14/300725/1")</f>
        <v>K/14/300725/1</v>
      </c>
      <c r="C6224" s="42" t="str">
        <f>IFERROR(__xludf.DUMMYFUNCTION("""COMPUTED_VALUE"""),"M. 1689/ Bumi Kedamaian")</f>
        <v>M. 1689/ Bumi Kedamaian</v>
      </c>
      <c r="D6224" s="42" t="str">
        <f>IFERROR(__xludf.DUMMYFUNCTION("""COMPUTED_VALUE"""),"Berry")</f>
        <v>Berry</v>
      </c>
      <c r="E6224" s="42" t="str">
        <f>IFERROR(__xludf.DUMMYFUNCTION("""COMPUTED_VALUE"""),"DISERAHKAN")</f>
        <v>DISERAHKAN</v>
      </c>
      <c r="F6224" s="48">
        <f>IFERROR(__xludf.DUMMYFUNCTION("""COMPUTED_VALUE"""),45890.666918310184)</f>
        <v>45890.66692</v>
      </c>
      <c r="G6224" s="42" t="str">
        <f>IFERROR(__xludf.DUMMYFUNCTION("""COMPUTED_VALUE"""),"BN Jual Beli")</f>
        <v>BN Jual Beli</v>
      </c>
      <c r="H6224" s="42">
        <f t="shared" si="1"/>
        <v>2737</v>
      </c>
    </row>
    <row r="6225" ht="22.5" customHeight="1">
      <c r="B6225" s="42" t="str">
        <f>IFERROR(__xludf.DUMMYFUNCTION("""COMPUTED_VALUE"""),"K/16/300725/1")</f>
        <v>K/16/300725/1</v>
      </c>
      <c r="C6225" s="42" t="str">
        <f>IFERROR(__xludf.DUMMYFUNCTION("""COMPUTED_VALUE"""),"TANAJ MENTAH")</f>
        <v>TANAJ MENTAH</v>
      </c>
      <c r="D6225" s="42"/>
      <c r="E6225" s="42"/>
      <c r="F6225" s="48" t="str">
        <f>IFERROR(__xludf.DUMMYFUNCTION("""COMPUTED_VALUE"""),"")</f>
        <v/>
      </c>
      <c r="G6225" s="42" t="str">
        <f>IFERROR(__xludf.DUMMYFUNCTION("""COMPUTED_VALUE"""),"PENGUKURAN PERTAMA KALI")</f>
        <v>PENGUKURAN PERTAMA KALI</v>
      </c>
      <c r="H6225" s="42">
        <f t="shared" si="1"/>
        <v>2737</v>
      </c>
    </row>
    <row r="6226" ht="22.5" customHeight="1">
      <c r="B6226" s="42" t="str">
        <f>IFERROR(__xludf.DUMMYFUNCTION("""COMPUTED_VALUE"""),"K/13/300725/2")</f>
        <v>K/13/300725/2</v>
      </c>
      <c r="C6226" s="42" t="str">
        <f>IFERROR(__xludf.DUMMYFUNCTION("""COMPUTED_VALUE"""),"B.3065/SUKABUMI")</f>
        <v>B.3065/SUKABUMI</v>
      </c>
      <c r="D6226" s="42"/>
      <c r="E6226" s="42"/>
      <c r="F6226" s="48" t="str">
        <f>IFERROR(__xludf.DUMMYFUNCTION("""COMPUTED_VALUE"""),"")</f>
        <v/>
      </c>
      <c r="G6226" s="42" t="str">
        <f>IFERROR(__xludf.DUMMYFUNCTION("""COMPUTED_VALUE"""),"PENINGKATAN HAK")</f>
        <v>PENINGKATAN HAK</v>
      </c>
      <c r="H6226" s="42">
        <f t="shared" si="1"/>
        <v>2737</v>
      </c>
    </row>
    <row r="6227" ht="22.5" customHeight="1">
      <c r="B6227" s="42" t="str">
        <f>IFERROR(__xludf.DUMMYFUNCTION("""COMPUTED_VALUE"""),"K/18/300725/1")</f>
        <v>K/18/300725/1</v>
      </c>
      <c r="C6227" s="42" t="str">
        <f>IFERROR(__xludf.DUMMYFUNCTION("""COMPUTED_VALUE"""),"M. 2304/SEPANG JAYA")</f>
        <v>M. 2304/SEPANG JAYA</v>
      </c>
      <c r="D6227" s="42" t="str">
        <f>IFERROR(__xludf.DUMMYFUNCTION("""COMPUTED_VALUE"""),"David")</f>
        <v>David</v>
      </c>
      <c r="E6227" s="42" t="str">
        <f>IFERROR(__xludf.DUMMYFUNCTION("""COMPUTED_VALUE"""),"DISERAHKAN")</f>
        <v>DISERAHKAN</v>
      </c>
      <c r="F6227" s="48">
        <f>IFERROR(__xludf.DUMMYFUNCTION("""COMPUTED_VALUE"""),45883.65920850694)</f>
        <v>45883.65921</v>
      </c>
      <c r="G6227" s="42" t="str">
        <f>IFERROR(__xludf.DUMMYFUNCTION("""COMPUTED_VALUE"""),"BN JUAL BELI")</f>
        <v>BN JUAL BELI</v>
      </c>
      <c r="H6227" s="42">
        <f t="shared" si="1"/>
        <v>2738</v>
      </c>
    </row>
    <row r="6228" ht="22.5" customHeight="1">
      <c r="B6228" s="42" t="str">
        <f>IFERROR(__xludf.DUMMYFUNCTION("""COMPUTED_VALUE"""),"K/21/300725/1")</f>
        <v>K/21/300725/1</v>
      </c>
      <c r="C6228" s="42" t="str">
        <f>IFERROR(__xludf.DUMMYFUNCTION("""COMPUTED_VALUE"""),"M. 68/ Bilabong Jaya")</f>
        <v>M. 68/ Bilabong Jaya</v>
      </c>
      <c r="D6228" s="42" t="str">
        <f>IFERROR(__xludf.DUMMYFUNCTION("""COMPUTED_VALUE"""),"David")</f>
        <v>David</v>
      </c>
      <c r="E6228" s="42" t="str">
        <f>IFERROR(__xludf.DUMMYFUNCTION("""COMPUTED_VALUE"""),"DISERAHKAN")</f>
        <v>DISERAHKAN</v>
      </c>
      <c r="F6228" s="48">
        <f>IFERROR(__xludf.DUMMYFUNCTION("""COMPUTED_VALUE"""),45882.63826576389)</f>
        <v>45882.63827</v>
      </c>
      <c r="G6228" s="42" t="str">
        <f>IFERROR(__xludf.DUMMYFUNCTION("""COMPUTED_VALUE"""),"BN Jual Beli")</f>
        <v>BN Jual Beli</v>
      </c>
      <c r="H6228" s="42">
        <f t="shared" si="1"/>
        <v>2739</v>
      </c>
    </row>
    <row r="6229" ht="22.5" customHeight="1">
      <c r="B6229" s="42" t="str">
        <f>IFERROR(__xludf.DUMMYFUNCTION("""COMPUTED_VALUE"""),"K/19/300725/2")</f>
        <v>K/19/300725/2</v>
      </c>
      <c r="C6229" s="42" t="str">
        <f>IFERROR(__xludf.DUMMYFUNCTION("""COMPUTED_VALUE"""),"M.2306/SEPANG JAYA")</f>
        <v>M.2306/SEPANG JAYA</v>
      </c>
      <c r="D6229" s="42" t="str">
        <f>IFERROR(__xludf.DUMMYFUNCTION("""COMPUTED_VALUE"""),"Berry")</f>
        <v>Berry</v>
      </c>
      <c r="E6229" s="42" t="str">
        <f>IFERROR(__xludf.DUMMYFUNCTION("""COMPUTED_VALUE"""),"DISERAHKAN")</f>
        <v>DISERAHKAN</v>
      </c>
      <c r="F6229" s="48">
        <f>IFERROR(__xludf.DUMMYFUNCTION("""COMPUTED_VALUE"""),45883.66414083334)</f>
        <v>45883.66414</v>
      </c>
      <c r="G6229" s="42" t="str">
        <f>IFERROR(__xludf.DUMMYFUNCTION("""COMPUTED_VALUE"""),"BN JUAL BELI")</f>
        <v>BN JUAL BELI</v>
      </c>
      <c r="H6229" s="42">
        <f t="shared" si="1"/>
        <v>2740</v>
      </c>
    </row>
    <row r="6230" ht="22.5" customHeight="1">
      <c r="B6230" s="42" t="str">
        <f>IFERROR(__xludf.DUMMYFUNCTION("""COMPUTED_VALUE"""),"K/22/300725/1")</f>
        <v>K/22/300725/1</v>
      </c>
      <c r="C6230" s="42" t="str">
        <f>IFERROR(__xludf.DUMMYFUNCTION("""COMPUTED_VALUE"""),"M. 995/ Pahoman")</f>
        <v>M. 995/ Pahoman</v>
      </c>
      <c r="D6230" s="42"/>
      <c r="E6230" s="42"/>
      <c r="F6230" s="48" t="str">
        <f>IFERROR(__xludf.DUMMYFUNCTION("""COMPUTED_VALUE"""),"")</f>
        <v/>
      </c>
      <c r="G6230" s="42" t="str">
        <f>IFERROR(__xludf.DUMMYFUNCTION("""COMPUTED_VALUE"""),"PTPGT PEMECAHAN")</f>
        <v>PTPGT PEMECAHAN</v>
      </c>
      <c r="H6230" s="42">
        <f t="shared" si="1"/>
        <v>2740</v>
      </c>
    </row>
    <row r="6231" ht="22.5" customHeight="1">
      <c r="B6231" s="42" t="str">
        <f>IFERROR(__xludf.DUMMYFUNCTION("""COMPUTED_VALUE"""),"K/23/300725/1")</f>
        <v>K/23/300725/1</v>
      </c>
      <c r="C6231" s="42" t="str">
        <f>IFERROR(__xludf.DUMMYFUNCTION("""COMPUTED_VALUE"""),"M. 12664/ Jagabaya II")</f>
        <v>M. 12664/ Jagabaya II</v>
      </c>
      <c r="D6231" s="42"/>
      <c r="E6231" s="42"/>
      <c r="F6231" s="48" t="str">
        <f>IFERROR(__xludf.DUMMYFUNCTION("""COMPUTED_VALUE"""),"")</f>
        <v/>
      </c>
      <c r="G6231" s="42" t="str">
        <f>IFERROR(__xludf.DUMMYFUNCTION("""COMPUTED_VALUE"""),"PTPGT (Pemecahan)")</f>
        <v>PTPGT (Pemecahan)</v>
      </c>
      <c r="H6231" s="42">
        <f t="shared" si="1"/>
        <v>2740</v>
      </c>
    </row>
    <row r="6232" ht="22.5" customHeight="1">
      <c r="B6232" s="42" t="str">
        <f>IFERROR(__xludf.DUMMYFUNCTION("""COMPUTED_VALUE"""),"K/17/300725/1")</f>
        <v>K/17/300725/1</v>
      </c>
      <c r="C6232" s="42" t="str">
        <f>IFERROR(__xludf.DUMMYFUNCTION("""COMPUTED_VALUE"""),"M.6552/TANJUNG SENENG")</f>
        <v>M.6552/TANJUNG SENENG</v>
      </c>
      <c r="D6232" s="42" t="str">
        <f>IFERROR(__xludf.DUMMYFUNCTION("""COMPUTED_VALUE"""),"Berry")</f>
        <v>Berry</v>
      </c>
      <c r="E6232" s="42" t="str">
        <f>IFERROR(__xludf.DUMMYFUNCTION("""COMPUTED_VALUE"""),"DISERAHKAN")</f>
        <v>DISERAHKAN</v>
      </c>
      <c r="F6232" s="48">
        <f>IFERROR(__xludf.DUMMYFUNCTION("""COMPUTED_VALUE"""),45880.716769108796)</f>
        <v>45880.71677</v>
      </c>
      <c r="G6232" s="42" t="str">
        <f>IFERROR(__xludf.DUMMYFUNCTION("""COMPUTED_VALUE"""),"JUAL BELI")</f>
        <v>JUAL BELI</v>
      </c>
      <c r="H6232" s="42">
        <f t="shared" si="1"/>
        <v>2741</v>
      </c>
    </row>
    <row r="6233" ht="22.5" customHeight="1">
      <c r="B6233" s="42" t="str">
        <f>IFERROR(__xludf.DUMMYFUNCTION("""COMPUTED_VALUE"""),"K/25/300725/1")</f>
        <v>K/25/300725/1</v>
      </c>
      <c r="C6233" s="42" t="str">
        <f>IFERROR(__xludf.DUMMYFUNCTION("""COMPUTED_VALUE"""),"M.783,781,780/GULAK GALIK")</f>
        <v>M.783,781,780/GULAK GALIK</v>
      </c>
      <c r="D6233" s="42" t="str">
        <f>IFERROR(__xludf.DUMMYFUNCTION("""COMPUTED_VALUE"""),"Berry")</f>
        <v>Berry</v>
      </c>
      <c r="E6233" s="42" t="str">
        <f>IFERROR(__xludf.DUMMYFUNCTION("""COMPUTED_VALUE"""),"DISERAHKAN")</f>
        <v>DISERAHKAN</v>
      </c>
      <c r="F6233" s="48">
        <f>IFERROR(__xludf.DUMMYFUNCTION("""COMPUTED_VALUE"""),45926.386709768514)</f>
        <v>45926.38671</v>
      </c>
      <c r="G6233" s="42" t="str">
        <f>IFERROR(__xludf.DUMMYFUNCTION("""COMPUTED_VALUE"""),"ROYA")</f>
        <v>ROYA</v>
      </c>
      <c r="H6233" s="42">
        <f t="shared" si="1"/>
        <v>2742</v>
      </c>
    </row>
    <row r="6234" ht="22.5" customHeight="1">
      <c r="B6234" s="42" t="str">
        <f>IFERROR(__xludf.DUMMYFUNCTION("""COMPUTED_VALUE"""),"K/26/300725/2")</f>
        <v>K/26/300725/2</v>
      </c>
      <c r="C6234" s="42" t="str">
        <f>IFERROR(__xludf.DUMMYFUNCTION("""COMPUTED_VALUE"""),"M.449, 347/KUPANG TEBA ")</f>
        <v>M.449, 347/KUPANG TEBA </v>
      </c>
      <c r="D6234" s="42" t="str">
        <f>IFERROR(__xludf.DUMMYFUNCTION("""COMPUTED_VALUE"""),"David")</f>
        <v>David</v>
      </c>
      <c r="E6234" s="42" t="str">
        <f>IFERROR(__xludf.DUMMYFUNCTION("""COMPUTED_VALUE"""),"DISERAHKAN")</f>
        <v>DISERAHKAN</v>
      </c>
      <c r="F6234" s="48">
        <f>IFERROR(__xludf.DUMMYFUNCTION("""COMPUTED_VALUE"""),45915.503280624995)</f>
        <v>45915.50328</v>
      </c>
      <c r="G6234" s="42" t="str">
        <f>IFERROR(__xludf.DUMMYFUNCTION("""COMPUTED_VALUE"""),"ROYA")</f>
        <v>ROYA</v>
      </c>
      <c r="H6234" s="42">
        <f t="shared" si="1"/>
        <v>2743</v>
      </c>
    </row>
    <row r="6235" ht="22.5" customHeight="1">
      <c r="B6235" s="42" t="str">
        <f>IFERROR(__xludf.DUMMYFUNCTION("""COMPUTED_VALUE"""),"K/27/300725/1")</f>
        <v>K/27/300725/1</v>
      </c>
      <c r="C6235" s="42" t="str">
        <f>IFERROR(__xludf.DUMMYFUNCTION("""COMPUTED_VALUE"""),"M. 2151/ Labuhan Dalam")</f>
        <v>M. 2151/ Labuhan Dalam</v>
      </c>
      <c r="D6235" s="42"/>
      <c r="E6235" s="42"/>
      <c r="F6235" s="48" t="str">
        <f>IFERROR(__xludf.DUMMYFUNCTION("""COMPUTED_VALUE"""),"")</f>
        <v/>
      </c>
      <c r="G6235" s="42" t="str">
        <f>IFERROR(__xludf.DUMMYFUNCTION("""COMPUTED_VALUE"""),"Hapus BPHTB")</f>
        <v>Hapus BPHTB</v>
      </c>
      <c r="H6235" s="42">
        <f t="shared" si="1"/>
        <v>2743</v>
      </c>
    </row>
    <row r="6236" ht="22.5" customHeight="1">
      <c r="B6236" s="42" t="str">
        <f>IFERROR(__xludf.DUMMYFUNCTION("""COMPUTED_VALUE"""),"K/24/300725/1")</f>
        <v>K/24/300725/1</v>
      </c>
      <c r="C6236" s="42" t="str">
        <f>IFERROR(__xludf.DUMMYFUNCTION("""COMPUTED_VALUE"""),"Nibel 21276/ Rajabasa Jaya")</f>
        <v>Nibel 21276/ Rajabasa Jaya</v>
      </c>
      <c r="D6236" s="42"/>
      <c r="E6236" s="42"/>
      <c r="F6236" s="48" t="str">
        <f>IFERROR(__xludf.DUMMYFUNCTION("""COMPUTED_VALUE"""),"")</f>
        <v/>
      </c>
      <c r="G6236" s="42" t="str">
        <f>IFERROR(__xludf.DUMMYFUNCTION("""COMPUTED_VALUE"""),"BN JUAL BELI")</f>
        <v>BN JUAL BELI</v>
      </c>
      <c r="H6236" s="42">
        <f t="shared" si="1"/>
        <v>2743</v>
      </c>
    </row>
    <row r="6237" ht="22.5" customHeight="1">
      <c r="B6237" s="42" t="str">
        <f>IFERROR(__xludf.DUMMYFUNCTION("""COMPUTED_VALUE"""),"K/28/300725/1")</f>
        <v>K/28/300725/1</v>
      </c>
      <c r="C6237" s="42" t="str">
        <f>IFERROR(__xludf.DUMMYFUNCTION("""COMPUTED_VALUE"""),"M. 12713/ Tanjung Baru")</f>
        <v>M. 12713/ Tanjung Baru</v>
      </c>
      <c r="D6237" s="42" t="str">
        <f>IFERROR(__xludf.DUMMYFUNCTION("""COMPUTED_VALUE"""),"Berry")</f>
        <v>Berry</v>
      </c>
      <c r="E6237" s="42" t="str">
        <f>IFERROR(__xludf.DUMMYFUNCTION("""COMPUTED_VALUE"""),"DISERAHKAN")</f>
        <v>DISERAHKAN</v>
      </c>
      <c r="F6237" s="48">
        <f>IFERROR(__xludf.DUMMYFUNCTION("""COMPUTED_VALUE"""),45890.67311152778)</f>
        <v>45890.67311</v>
      </c>
      <c r="G6237" s="42" t="str">
        <f>IFERROR(__xludf.DUMMYFUNCTION("""COMPUTED_VALUE"""),"BN JUAL BELI")</f>
        <v>BN JUAL BELI</v>
      </c>
      <c r="H6237" s="42">
        <f t="shared" si="1"/>
        <v>2744</v>
      </c>
    </row>
    <row r="6238" ht="22.5" customHeight="1">
      <c r="B6238" s="42" t="str">
        <f>IFERROR(__xludf.DUMMYFUNCTION("""COMPUTED_VALUE"""),"K/29/300725/1")</f>
        <v>K/29/300725/1</v>
      </c>
      <c r="C6238" s="42" t="str">
        <f>IFERROR(__xludf.DUMMYFUNCTION("""COMPUTED_VALUE"""),"NIB 7666/TANJUNG SENANG")</f>
        <v>NIB 7666/TANJUNG SENANG</v>
      </c>
      <c r="D6238" s="42"/>
      <c r="E6238" s="42"/>
      <c r="F6238" s="48" t="str">
        <f>IFERROR(__xludf.DUMMYFUNCTION("""COMPUTED_VALUE"""),"")</f>
        <v/>
      </c>
      <c r="G6238" s="42" t="str">
        <f>IFERROR(__xludf.DUMMYFUNCTION("""COMPUTED_VALUE"""),"BN JUAL-BELI")</f>
        <v>BN JUAL-BELI</v>
      </c>
      <c r="H6238" s="42">
        <f t="shared" si="1"/>
        <v>2744</v>
      </c>
    </row>
    <row r="6239" ht="22.5" customHeight="1">
      <c r="B6239" s="42" t="str">
        <f>IFERROR(__xludf.DUMMYFUNCTION("""COMPUTED_VALUE"""),"K/20/300725/3")</f>
        <v>K/20/300725/3</v>
      </c>
      <c r="C6239" s="42" t="str">
        <f>IFERROR(__xludf.DUMMYFUNCTION("""COMPUTED_VALUE"""),"NIBEL M. 5108/SEPANG JAYA")</f>
        <v>NIBEL M. 5108/SEPANG JAYA</v>
      </c>
      <c r="D6239" s="42"/>
      <c r="E6239" s="42"/>
      <c r="F6239" s="48" t="str">
        <f>IFERROR(__xludf.DUMMYFUNCTION("""COMPUTED_VALUE"""),"")</f>
        <v/>
      </c>
      <c r="G6239" s="42" t="str">
        <f>IFERROR(__xludf.DUMMYFUNCTION("""COMPUTED_VALUE"""),"BN JUAL BELI")</f>
        <v>BN JUAL BELI</v>
      </c>
      <c r="H6239" s="42">
        <f t="shared" si="1"/>
        <v>2744</v>
      </c>
    </row>
    <row r="6240" ht="22.5" customHeight="1">
      <c r="B6240" s="42" t="str">
        <f>IFERROR(__xludf.DUMMYFUNCTION("""COMPUTED_VALUE"""),"K/30/300725/1")</f>
        <v>K/30/300725/1</v>
      </c>
      <c r="C6240" s="42" t="str">
        <f>IFERROR(__xludf.DUMMYFUNCTION("""COMPUTED_VALUE"""),"M. 1124/ Pematang Wangi")</f>
        <v>M. 1124/ Pematang Wangi</v>
      </c>
      <c r="D6240" s="42"/>
      <c r="E6240" s="42"/>
      <c r="F6240" s="48" t="str">
        <f>IFERROR(__xludf.DUMMYFUNCTION("""COMPUTED_VALUE"""),"")</f>
        <v/>
      </c>
      <c r="G6240" s="42" t="str">
        <f>IFERROR(__xludf.DUMMYFUNCTION("""COMPUTED_VALUE"""),"BN Jual Beli")</f>
        <v>BN Jual Beli</v>
      </c>
      <c r="H6240" s="42">
        <f t="shared" si="1"/>
        <v>2744</v>
      </c>
    </row>
    <row r="6241" ht="22.5" customHeight="1">
      <c r="B6241" s="42" t="str">
        <f>IFERROR(__xludf.DUMMYFUNCTION("""COMPUTED_VALUE"""),"K/31/300725/1")</f>
        <v>K/31/300725/1</v>
      </c>
      <c r="C6241" s="42" t="str">
        <f>IFERROR(__xludf.DUMMYFUNCTION("""COMPUTED_VALUE"""),"B. 374/ Bakung")</f>
        <v>B. 374/ Bakung</v>
      </c>
      <c r="D6241" s="42" t="str">
        <f>IFERROR(__xludf.DUMMYFUNCTION("""COMPUTED_VALUE"""),"Berry")</f>
        <v>Berry</v>
      </c>
      <c r="E6241" s="42" t="str">
        <f>IFERROR(__xludf.DUMMYFUNCTION("""COMPUTED_VALUE"""),"DISERAHKAN")</f>
        <v>DISERAHKAN</v>
      </c>
      <c r="F6241" s="48">
        <f>IFERROR(__xludf.DUMMYFUNCTION("""COMPUTED_VALUE"""),45894.588343043986)</f>
        <v>45894.58834</v>
      </c>
      <c r="G6241" s="42" t="str">
        <f>IFERROR(__xludf.DUMMYFUNCTION("""COMPUTED_VALUE"""),"BN JUAL BELI")</f>
        <v>BN JUAL BELI</v>
      </c>
      <c r="H6241" s="42">
        <f t="shared" si="1"/>
        <v>2745</v>
      </c>
    </row>
    <row r="6242" ht="22.5" customHeight="1">
      <c r="B6242" s="42" t="str">
        <f>IFERROR(__xludf.DUMMYFUNCTION("""COMPUTED_VALUE"""),"K/32/300725/1")</f>
        <v>K/32/300725/1</v>
      </c>
      <c r="C6242" s="42" t="str">
        <f>IFERROR(__xludf.DUMMYFUNCTION("""COMPUTED_VALUE"""),"Nibel. B. 228634/ Kemiling Permai")</f>
        <v>Nibel. B. 228634/ Kemiling Permai</v>
      </c>
      <c r="D6242" s="42"/>
      <c r="E6242" s="42"/>
      <c r="F6242" s="48" t="str">
        <f>IFERROR(__xludf.DUMMYFUNCTION("""COMPUTED_VALUE"""),"")</f>
        <v/>
      </c>
      <c r="G6242" s="42" t="str">
        <f>IFERROR(__xludf.DUMMYFUNCTION("""COMPUTED_VALUE"""),"Perubahan Hak")</f>
        <v>Perubahan Hak</v>
      </c>
      <c r="H6242" s="42">
        <f t="shared" si="1"/>
        <v>2745</v>
      </c>
    </row>
    <row r="6243" ht="22.5" customHeight="1">
      <c r="B6243" s="42" t="str">
        <f>IFERROR(__xludf.DUMMYFUNCTION("""COMPUTED_VALUE"""),"L/33/300725/1")</f>
        <v>L/33/300725/1</v>
      </c>
      <c r="C6243" s="42" t="str">
        <f>IFERROR(__xludf.DUMMYFUNCTION("""COMPUTED_VALUE"""),"HM 703/NOG")</f>
        <v>HM 703/NOG</v>
      </c>
      <c r="D6243" s="42" t="str">
        <f>IFERROR(__xludf.DUMMYFUNCTION("""COMPUTED_VALUE"""),"David")</f>
        <v>David</v>
      </c>
      <c r="E6243" s="42" t="str">
        <f>IFERROR(__xludf.DUMMYFUNCTION("""COMPUTED_VALUE"""),"DISERAHKAN")</f>
        <v>DISERAHKAN</v>
      </c>
      <c r="F6243" s="48">
        <f>IFERROR(__xludf.DUMMYFUNCTION("""COMPUTED_VALUE"""),45923.6159659838)</f>
        <v>45923.61597</v>
      </c>
      <c r="G6243" s="42" t="str">
        <f>IFERROR(__xludf.DUMMYFUNCTION("""COMPUTED_VALUE"""),"ROYA")</f>
        <v>ROYA</v>
      </c>
      <c r="H6243" s="42">
        <f t="shared" si="1"/>
        <v>2746</v>
      </c>
    </row>
    <row r="6244" ht="22.5" customHeight="1">
      <c r="B6244" s="42" t="str">
        <f>IFERROR(__xludf.DUMMYFUNCTION("""COMPUTED_VALUE"""),"K/34/300725/1")</f>
        <v>K/34/300725/1</v>
      </c>
      <c r="C6244" s="42" t="str">
        <f>IFERROR(__xludf.DUMMYFUNCTION("""COMPUTED_VALUE"""),"B. 914/ Sukarame Baru")</f>
        <v>B. 914/ Sukarame Baru</v>
      </c>
      <c r="D6244" s="42"/>
      <c r="E6244" s="42"/>
      <c r="F6244" s="48" t="str">
        <f>IFERROR(__xludf.DUMMYFUNCTION("""COMPUTED_VALUE"""),"")</f>
        <v/>
      </c>
      <c r="G6244" s="42" t="str">
        <f>IFERROR(__xludf.DUMMYFUNCTION("""COMPUTED_VALUE"""),"Perubahan Hak")</f>
        <v>Perubahan Hak</v>
      </c>
      <c r="H6244" s="42">
        <f t="shared" si="1"/>
        <v>2746</v>
      </c>
    </row>
    <row r="6245" ht="22.5" customHeight="1">
      <c r="B6245" s="42" t="str">
        <f>IFERROR(__xludf.DUMMYFUNCTION("""COMPUTED_VALUE"""),"K/37/300725/1")</f>
        <v>K/37/300725/1</v>
      </c>
      <c r="C6245" s="42" t="str">
        <f>IFERROR(__xludf.DUMMYFUNCTION("""COMPUTED_VALUE"""),"M. 12689; 12693;12692; Nibel. M. 746; Nibel. M. 745/ Kedaton")</f>
        <v>M. 12689; 12693;12692; Nibel. M. 746; Nibel. M. 745/ Kedaton</v>
      </c>
      <c r="D6245" s="42"/>
      <c r="E6245" s="42"/>
      <c r="F6245" s="48" t="str">
        <f>IFERROR(__xludf.DUMMYFUNCTION("""COMPUTED_VALUE"""),"")</f>
        <v/>
      </c>
      <c r="G6245" s="42" t="str">
        <f>IFERROR(__xludf.DUMMYFUNCTION("""COMPUTED_VALUE"""),"Penggabungan")</f>
        <v>Penggabungan</v>
      </c>
      <c r="H6245" s="42">
        <f t="shared" si="1"/>
        <v>2746</v>
      </c>
    </row>
    <row r="6246" ht="22.5" customHeight="1">
      <c r="B6246" s="42" t="str">
        <f>IFERROR(__xludf.DUMMYFUNCTION("""COMPUTED_VALUE"""),"K/36/300725/1")</f>
        <v>K/36/300725/1</v>
      </c>
      <c r="C6246" s="42" t="str">
        <f>IFERROR(__xludf.DUMMYFUNCTION("""COMPUTED_VALUE"""),"B.441/NUSANTARA PERMAI")</f>
        <v>B.441/NUSANTARA PERMAI</v>
      </c>
      <c r="D6246" s="42"/>
      <c r="E6246" s="42"/>
      <c r="F6246" s="48" t="str">
        <f>IFERROR(__xludf.DUMMYFUNCTION("""COMPUTED_VALUE"""),"")</f>
        <v/>
      </c>
      <c r="G6246" s="42" t="str">
        <f>IFERROR(__xludf.DUMMYFUNCTION("""COMPUTED_VALUE"""),"SKPT INFORMASI")</f>
        <v>SKPT INFORMASI</v>
      </c>
      <c r="H6246" s="42">
        <f t="shared" si="1"/>
        <v>2746</v>
      </c>
    </row>
    <row r="6247" ht="22.5" customHeight="1">
      <c r="B6247" s="42" t="str">
        <f>IFERROR(__xludf.DUMMYFUNCTION("""COMPUTED_VALUE"""),"K/38/300725/1")</f>
        <v>K/38/300725/1</v>
      </c>
      <c r="C6247" s="42" t="str">
        <f>IFERROR(__xludf.DUMMYFUNCTION("""COMPUTED_VALUE"""),"M.766/WAY DADI ")</f>
        <v>M.766/WAY DADI </v>
      </c>
      <c r="D6247" s="42"/>
      <c r="E6247" s="42"/>
      <c r="F6247" s="48" t="str">
        <f>IFERROR(__xludf.DUMMYFUNCTION("""COMPUTED_VALUE"""),"")</f>
        <v/>
      </c>
      <c r="G6247" s="42" t="str">
        <f>IFERROR(__xludf.DUMMYFUNCTION("""COMPUTED_VALUE"""),"KEWARISAN")</f>
        <v>KEWARISAN</v>
      </c>
      <c r="H6247" s="42">
        <f t="shared" si="1"/>
        <v>2746</v>
      </c>
    </row>
    <row r="6248" ht="22.5" customHeight="1">
      <c r="B6248" s="42" t="str">
        <f>IFERROR(__xludf.DUMMYFUNCTION("""COMPUTED_VALUE"""),"K/1/310725/1")</f>
        <v>K/1/310725/1</v>
      </c>
      <c r="C6248" s="42" t="str">
        <f>IFERROR(__xludf.DUMMYFUNCTION("""COMPUTED_VALUE"""),"M. 86/ Langkapura Baru")</f>
        <v>M. 86/ Langkapura Baru</v>
      </c>
      <c r="D6248" s="42" t="str">
        <f>IFERROR(__xludf.DUMMYFUNCTION("""COMPUTED_VALUE"""),"Berry")</f>
        <v>Berry</v>
      </c>
      <c r="E6248" s="42" t="str">
        <f>IFERROR(__xludf.DUMMYFUNCTION("""COMPUTED_VALUE"""),"DISERAHKAN")</f>
        <v>DISERAHKAN</v>
      </c>
      <c r="F6248" s="48">
        <f>IFERROR(__xludf.DUMMYFUNCTION("""COMPUTED_VALUE"""),45894.59503020834)</f>
        <v>45894.59503</v>
      </c>
      <c r="G6248" s="42" t="str">
        <f>IFERROR(__xludf.DUMMYFUNCTION("""COMPUTED_VALUE"""),"BN JUAL BELI")</f>
        <v>BN JUAL BELI</v>
      </c>
      <c r="H6248" s="42">
        <f t="shared" si="1"/>
        <v>2747</v>
      </c>
    </row>
    <row r="6249" ht="22.5" customHeight="1">
      <c r="B6249" s="42" t="str">
        <f>IFERROR(__xludf.DUMMYFUNCTION("""COMPUTED_VALUE"""),"L/3/310725/1")</f>
        <v>L/3/310725/1</v>
      </c>
      <c r="C6249" s="42" t="str">
        <f>IFERROR(__xludf.DUMMYFUNCTION("""COMPUTED_VALUE"""),"HM 5065/SUKABUMI")</f>
        <v>HM 5065/SUKABUMI</v>
      </c>
      <c r="D6249" s="42"/>
      <c r="E6249" s="42"/>
      <c r="F6249" s="48" t="str">
        <f>IFERROR(__xludf.DUMMYFUNCTION("""COMPUTED_VALUE"""),"")</f>
        <v/>
      </c>
      <c r="G6249" s="42" t="str">
        <f>IFERROR(__xludf.DUMMYFUNCTION("""COMPUTED_VALUE"""),"PTPGT")</f>
        <v>PTPGT</v>
      </c>
      <c r="H6249" s="42">
        <f t="shared" si="1"/>
        <v>2747</v>
      </c>
    </row>
    <row r="6250" ht="22.5" customHeight="1">
      <c r="B6250" s="42" t="str">
        <f>IFERROR(__xludf.DUMMYFUNCTION("""COMPUTED_VALUE"""),"L/4/310725/2")</f>
        <v>L/4/310725/2</v>
      </c>
      <c r="C6250" s="42" t="str">
        <f>IFERROR(__xludf.DUMMYFUNCTION("""COMPUTED_VALUE"""),"HM 5063/SUKABUMI")</f>
        <v>HM 5063/SUKABUMI</v>
      </c>
      <c r="D6250" s="42"/>
      <c r="E6250" s="42"/>
      <c r="F6250" s="48" t="str">
        <f>IFERROR(__xludf.DUMMYFUNCTION("""COMPUTED_VALUE"""),"")</f>
        <v/>
      </c>
      <c r="G6250" s="42" t="str">
        <f>IFERROR(__xludf.DUMMYFUNCTION("""COMPUTED_VALUE"""),"PTPGT")</f>
        <v>PTPGT</v>
      </c>
      <c r="H6250" s="42">
        <f t="shared" si="1"/>
        <v>2747</v>
      </c>
    </row>
    <row r="6251" ht="22.5" customHeight="1">
      <c r="B6251" s="42" t="str">
        <f>IFERROR(__xludf.DUMMYFUNCTION("""COMPUTED_VALUE"""),"L/5/310725/3")</f>
        <v>L/5/310725/3</v>
      </c>
      <c r="C6251" s="42" t="str">
        <f>IFERROR(__xludf.DUMMYFUNCTION("""COMPUTED_VALUE"""),"HM 5062/SUKABUMI")</f>
        <v>HM 5062/SUKABUMI</v>
      </c>
      <c r="D6251" s="42"/>
      <c r="E6251" s="42"/>
      <c r="F6251" s="48" t="str">
        <f>IFERROR(__xludf.DUMMYFUNCTION("""COMPUTED_VALUE"""),"")</f>
        <v/>
      </c>
      <c r="G6251" s="42" t="str">
        <f>IFERROR(__xludf.DUMMYFUNCTION("""COMPUTED_VALUE"""),"PTPGT")</f>
        <v>PTPGT</v>
      </c>
      <c r="H6251" s="42">
        <f t="shared" si="1"/>
        <v>2747</v>
      </c>
    </row>
    <row r="6252" ht="22.5" customHeight="1">
      <c r="B6252" s="42" t="str">
        <f>IFERROR(__xludf.DUMMYFUNCTION("""COMPUTED_VALUE"""),"L/6/310725/4")</f>
        <v>L/6/310725/4</v>
      </c>
      <c r="C6252" s="42" t="str">
        <f>IFERROR(__xludf.DUMMYFUNCTION("""COMPUTED_VALUE"""),"HM 5064/SUKABUMI")</f>
        <v>HM 5064/SUKABUMI</v>
      </c>
      <c r="D6252" s="42"/>
      <c r="E6252" s="42"/>
      <c r="F6252" s="48" t="str">
        <f>IFERROR(__xludf.DUMMYFUNCTION("""COMPUTED_VALUE"""),"")</f>
        <v/>
      </c>
      <c r="G6252" s="42" t="str">
        <f>IFERROR(__xludf.DUMMYFUNCTION("""COMPUTED_VALUE"""),"PTPGT")</f>
        <v>PTPGT</v>
      </c>
      <c r="H6252" s="42">
        <f t="shared" si="1"/>
        <v>2747</v>
      </c>
    </row>
    <row r="6253" ht="22.5" customHeight="1">
      <c r="B6253" s="42" t="str">
        <f>IFERROR(__xludf.DUMMYFUNCTION("""COMPUTED_VALUE"""),"K/7/310725/1")</f>
        <v>K/7/310725/1</v>
      </c>
      <c r="C6253" s="42" t="str">
        <f>IFERROR(__xludf.DUMMYFUNCTION("""COMPUTED_VALUE"""),"M. 11267/ Rajabasa")</f>
        <v>M. 11267/ Rajabasa</v>
      </c>
      <c r="D6253" s="42" t="str">
        <f>IFERROR(__xludf.DUMMYFUNCTION("""COMPUTED_VALUE"""),"David")</f>
        <v>David</v>
      </c>
      <c r="E6253" s="42" t="str">
        <f>IFERROR(__xludf.DUMMYFUNCTION("""COMPUTED_VALUE"""),"DISERAHKAN")</f>
        <v>DISERAHKAN</v>
      </c>
      <c r="F6253" s="48">
        <f>IFERROR(__xludf.DUMMYFUNCTION("""COMPUTED_VALUE"""),45882.63826576389)</f>
        <v>45882.63827</v>
      </c>
      <c r="G6253" s="42" t="str">
        <f>IFERROR(__xludf.DUMMYFUNCTION("""COMPUTED_VALUE"""),"BN Hibah")</f>
        <v>BN Hibah</v>
      </c>
      <c r="H6253" s="42">
        <f t="shared" si="1"/>
        <v>2748</v>
      </c>
    </row>
    <row r="6254" ht="22.5" customHeight="1">
      <c r="B6254" s="42" t="str">
        <f>IFERROR(__xludf.DUMMYFUNCTION("""COMPUTED_VALUE"""),"K/10/310725/2")</f>
        <v>K/10/310725/2</v>
      </c>
      <c r="C6254" s="42" t="str">
        <f>IFERROR(__xludf.DUMMYFUNCTION("""COMPUTED_VALUE"""),"M. 1215/ Way Kandis")</f>
        <v>M. 1215/ Way Kandis</v>
      </c>
      <c r="D6254" s="42" t="str">
        <f>IFERROR(__xludf.DUMMYFUNCTION("""COMPUTED_VALUE"""),"Berry")</f>
        <v>Berry</v>
      </c>
      <c r="E6254" s="42" t="str">
        <f>IFERROR(__xludf.DUMMYFUNCTION("""COMPUTED_VALUE"""),"DISERAHKAN")</f>
        <v>DISERAHKAN</v>
      </c>
      <c r="F6254" s="48">
        <f>IFERROR(__xludf.DUMMYFUNCTION("""COMPUTED_VALUE"""),45890.673611921295)</f>
        <v>45890.67361</v>
      </c>
      <c r="G6254" s="42" t="str">
        <f>IFERROR(__xludf.DUMMYFUNCTION("""COMPUTED_VALUE"""),"BN Jual Beli")</f>
        <v>BN Jual Beli</v>
      </c>
      <c r="H6254" s="42">
        <f t="shared" si="1"/>
        <v>2749</v>
      </c>
    </row>
    <row r="6255" ht="22.5" customHeight="1">
      <c r="B6255" s="42" t="str">
        <f>IFERROR(__xludf.DUMMYFUNCTION("""COMPUTED_VALUE"""),"K/9/310725/1")</f>
        <v>K/9/310725/1</v>
      </c>
      <c r="C6255" s="42" t="str">
        <f>IFERROR(__xludf.DUMMYFUNCTION("""COMPUTED_VALUE"""),"M. 13768/ Sukabumi")</f>
        <v>M. 13768/ Sukabumi</v>
      </c>
      <c r="D6255" s="42" t="str">
        <f>IFERROR(__xludf.DUMMYFUNCTION("""COMPUTED_VALUE"""),"David")</f>
        <v>David</v>
      </c>
      <c r="E6255" s="42" t="str">
        <f>IFERROR(__xludf.DUMMYFUNCTION("""COMPUTED_VALUE"""),"DISERAHKAN")</f>
        <v>DISERAHKAN</v>
      </c>
      <c r="F6255" s="48">
        <f>IFERROR(__xludf.DUMMYFUNCTION("""COMPUTED_VALUE"""),45882.63826576389)</f>
        <v>45882.63827</v>
      </c>
      <c r="G6255" s="42" t="str">
        <f>IFERROR(__xludf.DUMMYFUNCTION("""COMPUTED_VALUE"""),"BN Jual Beli")</f>
        <v>BN Jual Beli</v>
      </c>
      <c r="H6255" s="42">
        <f t="shared" si="1"/>
        <v>2750</v>
      </c>
    </row>
    <row r="6256" ht="22.5" customHeight="1">
      <c r="B6256" s="42" t="str">
        <f>IFERROR(__xludf.DUMMYFUNCTION("""COMPUTED_VALUE"""),"L/11/310725/1")</f>
        <v>L/11/310725/1</v>
      </c>
      <c r="C6256" s="42" t="str">
        <f>IFERROR(__xludf.DUMMYFUNCTION("""COMPUTED_VALUE"""),"HM 12640/SEGALA MIDER")</f>
        <v>HM 12640/SEGALA MIDER</v>
      </c>
      <c r="D6256" s="42"/>
      <c r="E6256" s="42"/>
      <c r="F6256" s="48" t="str">
        <f>IFERROR(__xludf.DUMMYFUNCTION("""COMPUTED_VALUE"""),"")</f>
        <v/>
      </c>
      <c r="G6256" s="42" t="str">
        <f>IFERROR(__xludf.DUMMYFUNCTION("""COMPUTED_VALUE"""),"ROYA")</f>
        <v>ROYA</v>
      </c>
      <c r="H6256" s="42">
        <f t="shared" si="1"/>
        <v>2750</v>
      </c>
    </row>
    <row r="6257" ht="22.5" customHeight="1">
      <c r="B6257" s="42" t="str">
        <f>IFERROR(__xludf.DUMMYFUNCTION("""COMPUTED_VALUE"""),"K/12/310725/1")</f>
        <v>K/12/310725/1</v>
      </c>
      <c r="C6257" s="42" t="str">
        <f>IFERROR(__xludf.DUMMYFUNCTION("""COMPUTED_VALUE"""),"M. 1567/ Bumi Kedamaian")</f>
        <v>M. 1567/ Bumi Kedamaian</v>
      </c>
      <c r="D6257" s="42" t="str">
        <f>IFERROR(__xludf.DUMMYFUNCTION("""COMPUTED_VALUE"""),"Berry")</f>
        <v>Berry</v>
      </c>
      <c r="E6257" s="42" t="str">
        <f>IFERROR(__xludf.DUMMYFUNCTION("""COMPUTED_VALUE"""),"DISERAHKAN")</f>
        <v>DISERAHKAN</v>
      </c>
      <c r="F6257" s="48">
        <f>IFERROR(__xludf.DUMMYFUNCTION("""COMPUTED_VALUE"""),45880.71896842592)</f>
        <v>45880.71897</v>
      </c>
      <c r="G6257" s="42" t="str">
        <f>IFERROR(__xludf.DUMMYFUNCTION("""COMPUTED_VALUE"""),"BN PHB")</f>
        <v>BN PHB</v>
      </c>
      <c r="H6257" s="42">
        <f t="shared" si="1"/>
        <v>2751</v>
      </c>
    </row>
    <row r="6258" ht="22.5" customHeight="1">
      <c r="B6258" s="42" t="str">
        <f>IFERROR(__xludf.DUMMYFUNCTION("""COMPUTED_VALUE"""),"K/13/310725/2")</f>
        <v>K/13/310725/2</v>
      </c>
      <c r="C6258" s="42" t="str">
        <f>IFERROR(__xludf.DUMMYFUNCTION("""COMPUTED_VALUE"""),"M. 1568/ Bumi Kedamaian")</f>
        <v>M. 1568/ Bumi Kedamaian</v>
      </c>
      <c r="D6258" s="42" t="str">
        <f>IFERROR(__xludf.DUMMYFUNCTION("""COMPUTED_VALUE"""),"David")</f>
        <v>David</v>
      </c>
      <c r="E6258" s="42" t="str">
        <f>IFERROR(__xludf.DUMMYFUNCTION("""COMPUTED_VALUE"""),"DISERAHKAN")</f>
        <v>DISERAHKAN</v>
      </c>
      <c r="F6258" s="48">
        <f>IFERROR(__xludf.DUMMYFUNCTION("""COMPUTED_VALUE"""),45883.65780359953)</f>
        <v>45883.6578</v>
      </c>
      <c r="G6258" s="42" t="str">
        <f>IFERROR(__xludf.DUMMYFUNCTION("""COMPUTED_VALUE"""),"BN PHB")</f>
        <v>BN PHB</v>
      </c>
      <c r="H6258" s="42">
        <f t="shared" si="1"/>
        <v>2752</v>
      </c>
    </row>
    <row r="6259" ht="22.5" customHeight="1">
      <c r="B6259" s="42" t="str">
        <f>IFERROR(__xludf.DUMMYFUNCTION("""COMPUTED_VALUE"""),"K/14/310725/1")</f>
        <v>K/14/310725/1</v>
      </c>
      <c r="C6259" s="42" t="str">
        <f>IFERROR(__xludf.DUMMYFUNCTION("""COMPUTED_VALUE"""),"M. 11394/ LAbuhan Ratu")</f>
        <v>M. 11394/ LAbuhan Ratu</v>
      </c>
      <c r="D6259" s="42" t="str">
        <f>IFERROR(__xludf.DUMMYFUNCTION("""COMPUTED_VALUE"""),"Berry")</f>
        <v>Berry</v>
      </c>
      <c r="E6259" s="42" t="str">
        <f>IFERROR(__xludf.DUMMYFUNCTION("""COMPUTED_VALUE"""),"DISERAHKAN")</f>
        <v>DISERAHKAN</v>
      </c>
      <c r="F6259" s="48">
        <f>IFERROR(__xludf.DUMMYFUNCTION("""COMPUTED_VALUE"""),45894.586987268514)</f>
        <v>45894.58699</v>
      </c>
      <c r="G6259" s="42" t="str">
        <f>IFERROR(__xludf.DUMMYFUNCTION("""COMPUTED_VALUE"""),"BN HIBAH")</f>
        <v>BN HIBAH</v>
      </c>
      <c r="H6259" s="42">
        <f t="shared" si="1"/>
        <v>2753</v>
      </c>
    </row>
    <row r="6260" ht="22.5" customHeight="1">
      <c r="B6260" s="42" t="str">
        <f>IFERROR(__xludf.DUMMYFUNCTION("""COMPUTED_VALUE"""),"L/15/310725/1")</f>
        <v>L/15/310725/1</v>
      </c>
      <c r="C6260" s="42" t="str">
        <f>IFERROR(__xludf.DUMMYFUNCTION("""COMPUTED_VALUE"""),"HM 3465/TANJUNG SENANG")</f>
        <v>HM 3465/TANJUNG SENANG</v>
      </c>
      <c r="D6260" s="42" t="str">
        <f>IFERROR(__xludf.DUMMYFUNCTION("""COMPUTED_VALUE"""),"Berry")</f>
        <v>Berry</v>
      </c>
      <c r="E6260" s="42" t="str">
        <f>IFERROR(__xludf.DUMMYFUNCTION("""COMPUTED_VALUE"""),"DISERAHKAN")</f>
        <v>DISERAHKAN</v>
      </c>
      <c r="F6260" s="48">
        <f>IFERROR(__xludf.DUMMYFUNCTION("""COMPUTED_VALUE"""),45891.59323327546)</f>
        <v>45891.59323</v>
      </c>
      <c r="G6260" s="42" t="str">
        <f>IFERROR(__xludf.DUMMYFUNCTION("""COMPUTED_VALUE"""),"ROYA")</f>
        <v>ROYA</v>
      </c>
      <c r="H6260" s="42">
        <f t="shared" si="1"/>
        <v>2754</v>
      </c>
    </row>
    <row r="6261" ht="22.5" customHeight="1">
      <c r="B6261" s="42" t="str">
        <f>IFERROR(__xludf.DUMMYFUNCTION("""COMPUTED_VALUE"""),"K/2/310725/1")</f>
        <v>K/2/310725/1</v>
      </c>
      <c r="C6261" s="42" t="str">
        <f>IFERROR(__xludf.DUMMYFUNCTION("""COMPUTED_VALUE"""),"NIBEL M 21865/LABUHAN RATU RAYA")</f>
        <v>NIBEL M 21865/LABUHAN RATU RAYA</v>
      </c>
      <c r="D6261" s="42"/>
      <c r="E6261" s="42"/>
      <c r="F6261" s="48" t="str">
        <f>IFERROR(__xludf.DUMMYFUNCTION("""COMPUTED_VALUE"""),"")</f>
        <v/>
      </c>
      <c r="G6261" s="42" t="str">
        <f>IFERROR(__xludf.DUMMYFUNCTION("""COMPUTED_VALUE"""),"JUAL BELI")</f>
        <v>JUAL BELI</v>
      </c>
      <c r="H6261" s="42">
        <f t="shared" si="1"/>
        <v>2754</v>
      </c>
    </row>
    <row r="6262" ht="22.5" customHeight="1">
      <c r="B6262" s="42" t="str">
        <f>IFERROR(__xludf.DUMMYFUNCTION("""COMPUTED_VALUE"""),"K/16/310725/1")</f>
        <v>K/16/310725/1</v>
      </c>
      <c r="C6262" s="42" t="str">
        <f>IFERROR(__xludf.DUMMYFUNCTION("""COMPUTED_VALUE"""),"M. 2521/ Pinang Jaya")</f>
        <v>M. 2521/ Pinang Jaya</v>
      </c>
      <c r="D6262" s="42" t="str">
        <f>IFERROR(__xludf.DUMMYFUNCTION("""COMPUTED_VALUE"""),"Berry")</f>
        <v>Berry</v>
      </c>
      <c r="E6262" s="42" t="str">
        <f>IFERROR(__xludf.DUMMYFUNCTION("""COMPUTED_VALUE"""),"DISERAHKAN")</f>
        <v>DISERAHKAN</v>
      </c>
      <c r="F6262" s="48">
        <f>IFERROR(__xludf.DUMMYFUNCTION("""COMPUTED_VALUE"""),45880.71583538194)</f>
        <v>45880.71584</v>
      </c>
      <c r="G6262" s="42" t="str">
        <f>IFERROR(__xludf.DUMMYFUNCTION("""COMPUTED_VALUE"""),"BN JUAL BELI")</f>
        <v>BN JUAL BELI</v>
      </c>
      <c r="H6262" s="42">
        <f t="shared" si="1"/>
        <v>2755</v>
      </c>
    </row>
    <row r="6263" ht="22.5" customHeight="1">
      <c r="B6263" s="42" t="str">
        <f>IFERROR(__xludf.DUMMYFUNCTION("""COMPUTED_VALUE"""),"K/17/310725/2")</f>
        <v>K/17/310725/2</v>
      </c>
      <c r="C6263" s="42" t="str">
        <f>IFERROR(__xludf.DUMMYFUNCTION("""COMPUTED_VALUE"""),"M. 2311/ Pinang Jaya")</f>
        <v>M. 2311/ Pinang Jaya</v>
      </c>
      <c r="D6263" s="42" t="str">
        <f>IFERROR(__xludf.DUMMYFUNCTION("""COMPUTED_VALUE"""),"Berry")</f>
        <v>Berry</v>
      </c>
      <c r="E6263" s="42" t="str">
        <f>IFERROR(__xludf.DUMMYFUNCTION("""COMPUTED_VALUE"""),"DISERAHKAN")</f>
        <v>DISERAHKAN</v>
      </c>
      <c r="F6263" s="48">
        <f>IFERROR(__xludf.DUMMYFUNCTION("""COMPUTED_VALUE"""),45880.715402013884)</f>
        <v>45880.7154</v>
      </c>
      <c r="G6263" s="42" t="str">
        <f>IFERROR(__xludf.DUMMYFUNCTION("""COMPUTED_VALUE"""),"BN JUAL BELI")</f>
        <v>BN JUAL BELI</v>
      </c>
      <c r="H6263" s="42">
        <f t="shared" si="1"/>
        <v>2756</v>
      </c>
    </row>
    <row r="6264" ht="22.5" customHeight="1">
      <c r="B6264" s="42" t="str">
        <f>IFERROR(__xludf.DUMMYFUNCTION("""COMPUTED_VALUE"""),"K/18/310725/1")</f>
        <v>K/18/310725/1</v>
      </c>
      <c r="C6264" s="42" t="str">
        <f>IFERROR(__xludf.DUMMYFUNCTION("""COMPUTED_VALUE"""),"Nibel. M. 20504/ Rajabasa")</f>
        <v>Nibel. M. 20504/ Rajabasa</v>
      </c>
      <c r="D6264" s="42"/>
      <c r="E6264" s="42"/>
      <c r="F6264" s="48" t="str">
        <f>IFERROR(__xludf.DUMMYFUNCTION("""COMPUTED_VALUE"""),"")</f>
        <v/>
      </c>
      <c r="G6264" s="42" t="str">
        <f>IFERROR(__xludf.DUMMYFUNCTION("""COMPUTED_VALUE"""),"BN Jual Beli")</f>
        <v>BN Jual Beli</v>
      </c>
      <c r="H6264" s="42">
        <f t="shared" si="1"/>
        <v>2756</v>
      </c>
    </row>
    <row r="6265" ht="22.5" customHeight="1">
      <c r="B6265" s="42" t="str">
        <f>IFERROR(__xludf.DUMMYFUNCTION("""COMPUTED_VALUE"""),"K/19/310725/1")</f>
        <v>K/19/310725/1</v>
      </c>
      <c r="C6265" s="42" t="str">
        <f>IFERROR(__xludf.DUMMYFUNCTION("""COMPUTED_VALUE"""),"M.3458/BERINGIN RAYA")</f>
        <v>M.3458/BERINGIN RAYA</v>
      </c>
      <c r="D6265" s="42" t="str">
        <f>IFERROR(__xludf.DUMMYFUNCTION("""COMPUTED_VALUE"""),"Berry")</f>
        <v>Berry</v>
      </c>
      <c r="E6265" s="42" t="str">
        <f>IFERROR(__xludf.DUMMYFUNCTION("""COMPUTED_VALUE"""),"DISERAHKAN")</f>
        <v>DISERAHKAN</v>
      </c>
      <c r="F6265" s="48">
        <f>IFERROR(__xludf.DUMMYFUNCTION("""COMPUTED_VALUE"""),45888.615073796296)</f>
        <v>45888.61507</v>
      </c>
      <c r="G6265" s="42" t="str">
        <f>IFERROR(__xludf.DUMMYFUNCTION("""COMPUTED_VALUE"""),"ROYA")</f>
        <v>ROYA</v>
      </c>
      <c r="H6265" s="42">
        <f t="shared" si="1"/>
        <v>2757</v>
      </c>
    </row>
    <row r="6266" ht="22.5" customHeight="1">
      <c r="B6266" s="42" t="str">
        <f>IFERROR(__xludf.DUMMYFUNCTION("""COMPUTED_VALUE"""),"K/20/310725/1")</f>
        <v>K/20/310725/1</v>
      </c>
      <c r="C6266" s="42" t="str">
        <f>IFERROR(__xludf.DUMMYFUNCTION("""COMPUTED_VALUE"""),"SK. 304/HGB/2025 (B. 213/K.Kg) ")</f>
        <v>SK. 304/HGB/2025 (B. 213/K.Kg) </v>
      </c>
      <c r="D6266" s="42"/>
      <c r="E6266" s="42"/>
      <c r="F6266" s="48" t="str">
        <f>IFERROR(__xludf.DUMMYFUNCTION("""COMPUTED_VALUE"""),"")</f>
        <v/>
      </c>
      <c r="G6266" s="42" t="str">
        <f>IFERROR(__xludf.DUMMYFUNCTION("""COMPUTED_VALUE"""),"Pendaftaran SK")</f>
        <v>Pendaftaran SK</v>
      </c>
      <c r="H6266" s="42">
        <f t="shared" si="1"/>
        <v>2757</v>
      </c>
    </row>
    <row r="6267" ht="22.5" customHeight="1">
      <c r="B6267" s="42" t="str">
        <f>IFERROR(__xludf.DUMMYFUNCTION("""COMPUTED_VALUE"""),"L/21/310725/1")</f>
        <v>L/21/310725/1</v>
      </c>
      <c r="C6267" s="42" t="str">
        <f>IFERROR(__xludf.DUMMYFUNCTION("""COMPUTED_VALUE"""),"HM 3692/BERINGIN RAYA")</f>
        <v>HM 3692/BERINGIN RAYA</v>
      </c>
      <c r="D6267" s="42"/>
      <c r="E6267" s="42"/>
      <c r="F6267" s="48" t="str">
        <f>IFERROR(__xludf.DUMMYFUNCTION("""COMPUTED_VALUE"""),"")</f>
        <v/>
      </c>
      <c r="G6267" s="42" t="str">
        <f>IFERROR(__xludf.DUMMYFUNCTION("""COMPUTED_VALUE"""),"ROYA")</f>
        <v>ROYA</v>
      </c>
      <c r="H6267" s="42">
        <f t="shared" si="1"/>
        <v>2757</v>
      </c>
    </row>
    <row r="6268" ht="22.5" customHeight="1">
      <c r="B6268" s="42" t="str">
        <f>IFERROR(__xludf.DUMMYFUNCTION("""COMPUTED_VALUE"""),"K/22/310725/1")</f>
        <v>K/22/310725/1</v>
      </c>
      <c r="C6268" s="42" t="str">
        <f>IFERROR(__xludf.DUMMYFUNCTION("""COMPUTED_VALUE"""),"M. 2539/ Sumber Agung")</f>
        <v>M. 2539/ Sumber Agung</v>
      </c>
      <c r="D6268" s="42" t="str">
        <f>IFERROR(__xludf.DUMMYFUNCTION("""COMPUTED_VALUE"""),"David")</f>
        <v>David</v>
      </c>
      <c r="E6268" s="42" t="str">
        <f>IFERROR(__xludf.DUMMYFUNCTION("""COMPUTED_VALUE"""),"DISERAHKAN")</f>
        <v>DISERAHKAN</v>
      </c>
      <c r="F6268" s="48">
        <f>IFERROR(__xludf.DUMMYFUNCTION("""COMPUTED_VALUE"""),45883.65760135416)</f>
        <v>45883.6576</v>
      </c>
      <c r="G6268" s="42" t="str">
        <f>IFERROR(__xludf.DUMMYFUNCTION("""COMPUTED_VALUE"""),"BN JUAL BELI")</f>
        <v>BN JUAL BELI</v>
      </c>
      <c r="H6268" s="42">
        <f t="shared" si="1"/>
        <v>2758</v>
      </c>
    </row>
    <row r="6269" ht="22.5" customHeight="1">
      <c r="B6269" s="42" t="str">
        <f>IFERROR(__xludf.DUMMYFUNCTION("""COMPUTED_VALUE"""),"K/23/310725/2")</f>
        <v>K/23/310725/2</v>
      </c>
      <c r="C6269" s="42" t="str">
        <f>IFERROR(__xludf.DUMMYFUNCTION("""COMPUTED_VALUE"""),"M. 2545/ Sumber Agung")</f>
        <v>M. 2545/ Sumber Agung</v>
      </c>
      <c r="D6269" s="42" t="str">
        <f>IFERROR(__xludf.DUMMYFUNCTION("""COMPUTED_VALUE"""),"Berry")</f>
        <v>Berry</v>
      </c>
      <c r="E6269" s="42" t="str">
        <f>IFERROR(__xludf.DUMMYFUNCTION("""COMPUTED_VALUE"""),"DISERAHKAN")</f>
        <v>DISERAHKAN</v>
      </c>
      <c r="F6269" s="48">
        <f>IFERROR(__xludf.DUMMYFUNCTION("""COMPUTED_VALUE"""),45890.67192332176)</f>
        <v>45890.67192</v>
      </c>
      <c r="G6269" s="42" t="str">
        <f>IFERROR(__xludf.DUMMYFUNCTION("""COMPUTED_VALUE"""),"BN JUAL BELI")</f>
        <v>BN JUAL BELI</v>
      </c>
      <c r="H6269" s="42">
        <f t="shared" si="1"/>
        <v>2759</v>
      </c>
    </row>
    <row r="6270" ht="22.5" customHeight="1">
      <c r="B6270" s="42" t="str">
        <f>IFERROR(__xludf.DUMMYFUNCTION("""COMPUTED_VALUE"""),"K/24/310725/3")</f>
        <v>K/24/310725/3</v>
      </c>
      <c r="C6270" s="42" t="str">
        <f>IFERROR(__xludf.DUMMYFUNCTION("""COMPUTED_VALUE"""),"M. 2580/ Sumber Agung")</f>
        <v>M. 2580/ Sumber Agung</v>
      </c>
      <c r="D6270" s="42" t="str">
        <f>IFERROR(__xludf.DUMMYFUNCTION("""COMPUTED_VALUE"""),"David")</f>
        <v>David</v>
      </c>
      <c r="E6270" s="42" t="str">
        <f>IFERROR(__xludf.DUMMYFUNCTION("""COMPUTED_VALUE"""),"DISERAHKAN")</f>
        <v>DISERAHKAN</v>
      </c>
      <c r="F6270" s="48">
        <f>IFERROR(__xludf.DUMMYFUNCTION("""COMPUTED_VALUE"""),45883.65560650463)</f>
        <v>45883.65561</v>
      </c>
      <c r="G6270" s="42" t="str">
        <f>IFERROR(__xludf.DUMMYFUNCTION("""COMPUTED_VALUE"""),"BN JUAL BELI")</f>
        <v>BN JUAL BELI</v>
      </c>
      <c r="H6270" s="42">
        <f t="shared" si="1"/>
        <v>2760</v>
      </c>
    </row>
    <row r="6271" ht="22.5" customHeight="1">
      <c r="B6271" s="42" t="str">
        <f>IFERROR(__xludf.DUMMYFUNCTION("""COMPUTED_VALUE"""),"K/25/310725/1")</f>
        <v>K/25/310725/1</v>
      </c>
      <c r="C6271" s="42" t="str">
        <f>IFERROR(__xludf.DUMMYFUNCTION("""COMPUTED_VALUE"""),"M. 68/ Tanjung Agung Raya")</f>
        <v>M. 68/ Tanjung Agung Raya</v>
      </c>
      <c r="D6271" s="42"/>
      <c r="E6271" s="42"/>
      <c r="F6271" s="48" t="str">
        <f>IFERROR(__xludf.DUMMYFUNCTION("""COMPUTED_VALUE"""),"")</f>
        <v/>
      </c>
      <c r="G6271" s="42" t="str">
        <f>IFERROR(__xludf.DUMMYFUNCTION("""COMPUTED_VALUE"""),"BN Waris")</f>
        <v>BN Waris</v>
      </c>
      <c r="H6271" s="42">
        <f t="shared" si="1"/>
        <v>2760</v>
      </c>
    </row>
    <row r="6272" ht="22.5" customHeight="1">
      <c r="B6272" s="42" t="str">
        <f>IFERROR(__xludf.DUMMYFUNCTION("""COMPUTED_VALUE"""),"K/29/310725/1")</f>
        <v>K/29/310725/1</v>
      </c>
      <c r="C6272" s="42" t="str">
        <f>IFERROR(__xludf.DUMMYFUNCTION("""COMPUTED_VALUE"""),"B. 1841/ Beringin Raya")</f>
        <v>B. 1841/ Beringin Raya</v>
      </c>
      <c r="D6272" s="42"/>
      <c r="E6272" s="42"/>
      <c r="F6272" s="48" t="str">
        <f>IFERROR(__xludf.DUMMYFUNCTION("""COMPUTED_VALUE"""),"")</f>
        <v/>
      </c>
      <c r="G6272" s="42" t="str">
        <f>IFERROR(__xludf.DUMMYFUNCTION("""COMPUTED_VALUE"""),"Perubahan Hak")</f>
        <v>Perubahan Hak</v>
      </c>
      <c r="H6272" s="42">
        <f t="shared" si="1"/>
        <v>2760</v>
      </c>
    </row>
    <row r="6273" ht="22.5" customHeight="1">
      <c r="B6273" s="42" t="str">
        <f>IFERROR(__xludf.DUMMYFUNCTION("""COMPUTED_VALUE"""),"K/28/310725/1")</f>
        <v>K/28/310725/1</v>
      </c>
      <c r="C6273" s="42" t="str">
        <f>IFERROR(__xludf.DUMMYFUNCTION("""COMPUTED_VALUE"""),"NIBEL B. 914/KETEGUHAN")</f>
        <v>NIBEL B. 914/KETEGUHAN</v>
      </c>
      <c r="D6273" s="42"/>
      <c r="E6273" s="42"/>
      <c r="F6273" s="48" t="str">
        <f>IFERROR(__xludf.DUMMYFUNCTION("""COMPUTED_VALUE"""),"")</f>
        <v/>
      </c>
      <c r="G6273" s="42" t="str">
        <f>IFERROR(__xludf.DUMMYFUNCTION("""COMPUTED_VALUE"""),"PENINGKATAN HAK")</f>
        <v>PENINGKATAN HAK</v>
      </c>
      <c r="H6273" s="42">
        <f t="shared" si="1"/>
        <v>2760</v>
      </c>
    </row>
    <row r="6274" ht="22.5" customHeight="1">
      <c r="B6274" s="42" t="str">
        <f>IFERROR(__xludf.DUMMYFUNCTION("""COMPUTED_VALUE"""),"K/31/310725/1")</f>
        <v>K/31/310725/1</v>
      </c>
      <c r="C6274" s="42" t="str">
        <f>IFERROR(__xludf.DUMMYFUNCTION("""COMPUTED_VALUE"""),"Nibel 22688/ Sumber Agung")</f>
        <v>Nibel 22688/ Sumber Agung</v>
      </c>
      <c r="D6274" s="42"/>
      <c r="E6274" s="42"/>
      <c r="F6274" s="48" t="str">
        <f>IFERROR(__xludf.DUMMYFUNCTION("""COMPUTED_VALUE"""),"")</f>
        <v/>
      </c>
      <c r="G6274" s="42" t="str">
        <f>IFERROR(__xludf.DUMMYFUNCTION("""COMPUTED_VALUE"""),"PERUBAHAN HAK")</f>
        <v>PERUBAHAN HAK</v>
      </c>
      <c r="H6274" s="42">
        <f t="shared" si="1"/>
        <v>2760</v>
      </c>
    </row>
    <row r="6275" ht="22.5" customHeight="1">
      <c r="B6275" s="42" t="str">
        <f>IFERROR(__xludf.DUMMYFUNCTION("""COMPUTED_VALUE"""),"K/32/310725/1")</f>
        <v>K/32/310725/1</v>
      </c>
      <c r="C6275" s="42" t="str">
        <f>IFERROR(__xludf.DUMMYFUNCTION("""COMPUTED_VALUE"""),"Nibel. M. 19492/ Segala Mider ")</f>
        <v>Nibel. M. 19492/ Segala Mider </v>
      </c>
      <c r="D6275" s="42"/>
      <c r="E6275" s="42"/>
      <c r="F6275" s="48" t="str">
        <f>IFERROR(__xludf.DUMMYFUNCTION("""COMPUTED_VALUE"""),"")</f>
        <v/>
      </c>
      <c r="G6275" s="42" t="str">
        <f>IFERROR(__xludf.DUMMYFUNCTION("""COMPUTED_VALUE"""),"BN Jual Beli")</f>
        <v>BN Jual Beli</v>
      </c>
      <c r="H6275" s="42">
        <f t="shared" si="1"/>
        <v>2760</v>
      </c>
    </row>
    <row r="6276" ht="22.5" customHeight="1">
      <c r="B6276" s="42" t="str">
        <f>IFERROR(__xludf.DUMMYFUNCTION("""COMPUTED_VALUE"""),"K/30/310725/1")</f>
        <v>K/30/310725/1</v>
      </c>
      <c r="C6276" s="42" t="str">
        <f>IFERROR(__xludf.DUMMYFUNCTION("""COMPUTED_VALUE"""),"M. 5159/RAJABASA JAYA")</f>
        <v>M. 5159/RAJABASA JAYA</v>
      </c>
      <c r="D6276" s="42" t="str">
        <f>IFERROR(__xludf.DUMMYFUNCTION("""COMPUTED_VALUE"""),"David")</f>
        <v>David</v>
      </c>
      <c r="E6276" s="42" t="str">
        <f>IFERROR(__xludf.DUMMYFUNCTION("""COMPUTED_VALUE"""),"DISERAHKAN")</f>
        <v>DISERAHKAN</v>
      </c>
      <c r="F6276" s="48">
        <f>IFERROR(__xludf.DUMMYFUNCTION("""COMPUTED_VALUE"""),45883.659411458335)</f>
        <v>45883.65941</v>
      </c>
      <c r="G6276" s="42" t="str">
        <f>IFERROR(__xludf.DUMMYFUNCTION("""COMPUTED_VALUE"""),"BN JUAL BELI")</f>
        <v>BN JUAL BELI</v>
      </c>
      <c r="H6276" s="42">
        <f t="shared" si="1"/>
        <v>2761</v>
      </c>
    </row>
    <row r="6277" ht="22.5" customHeight="1">
      <c r="B6277" s="42" t="str">
        <f>IFERROR(__xludf.DUMMYFUNCTION("""COMPUTED_VALUE"""),"K/34/310725/1")</f>
        <v>K/34/310725/1</v>
      </c>
      <c r="C6277" s="42" t="str">
        <f>IFERROR(__xludf.DUMMYFUNCTION("""COMPUTED_VALUE"""),"M. 657/ Pasing")</f>
        <v>M. 657/ Pasing</v>
      </c>
      <c r="D6277" s="42"/>
      <c r="E6277" s="42"/>
      <c r="F6277" s="48" t="str">
        <f>IFERROR(__xludf.DUMMYFUNCTION("""COMPUTED_VALUE"""),"")</f>
        <v/>
      </c>
      <c r="G6277" s="42" t="str">
        <f>IFERROR(__xludf.DUMMYFUNCTION("""COMPUTED_VALUE"""),"BN Waris")</f>
        <v>BN Waris</v>
      </c>
      <c r="H6277" s="42">
        <f t="shared" si="1"/>
        <v>2761</v>
      </c>
    </row>
    <row r="6278" ht="22.5" customHeight="1">
      <c r="B6278" s="42" t="str">
        <f>IFERROR(__xludf.DUMMYFUNCTION("""COMPUTED_VALUE"""),"K/37/310725/4")</f>
        <v>K/37/310725/4</v>
      </c>
      <c r="C6278" s="42" t="str">
        <f>IFERROR(__xludf.DUMMYFUNCTION("""COMPUTED_VALUE"""),"Nibel. M. 18682/ Sukadana Ham")</f>
        <v>Nibel. M. 18682/ Sukadana Ham</v>
      </c>
      <c r="D6278" s="42"/>
      <c r="E6278" s="42"/>
      <c r="F6278" s="48" t="str">
        <f>IFERROR(__xludf.DUMMYFUNCTION("""COMPUTED_VALUE"""),"")</f>
        <v/>
      </c>
      <c r="G6278" s="42" t="str">
        <f>IFERROR(__xludf.DUMMYFUNCTION("""COMPUTED_VALUE"""),"BN Jual Beli")</f>
        <v>BN Jual Beli</v>
      </c>
      <c r="H6278" s="42">
        <f t="shared" si="1"/>
        <v>2761</v>
      </c>
    </row>
    <row r="6279" ht="22.5" customHeight="1">
      <c r="B6279" s="42" t="str">
        <f>IFERROR(__xludf.DUMMYFUNCTION("""COMPUTED_VALUE"""),"K/36/310725/3")</f>
        <v>K/36/310725/3</v>
      </c>
      <c r="C6279" s="42" t="str">
        <f>IFERROR(__xludf.DUMMYFUNCTION("""COMPUTED_VALUE"""),"Nibel. M. 22456/ Panjang Selatan")</f>
        <v>Nibel. M. 22456/ Panjang Selatan</v>
      </c>
      <c r="D6279" s="42"/>
      <c r="E6279" s="42"/>
      <c r="F6279" s="48" t="str">
        <f>IFERROR(__xludf.DUMMYFUNCTION("""COMPUTED_VALUE"""),"")</f>
        <v/>
      </c>
      <c r="G6279" s="42" t="str">
        <f>IFERROR(__xludf.DUMMYFUNCTION("""COMPUTED_VALUE"""),"BN Jual Beli")</f>
        <v>BN Jual Beli</v>
      </c>
      <c r="H6279" s="42">
        <f t="shared" si="1"/>
        <v>2761</v>
      </c>
    </row>
    <row r="6280" ht="22.5" customHeight="1">
      <c r="B6280" s="42" t="str">
        <f>IFERROR(__xludf.DUMMYFUNCTION("""COMPUTED_VALUE"""),"K/35/310725/2")</f>
        <v>K/35/310725/2</v>
      </c>
      <c r="C6280" s="42" t="str">
        <f>IFERROR(__xludf.DUMMYFUNCTION("""COMPUTED_VALUE"""),"Nibel. M. 2187/ Gunung Terang")</f>
        <v>Nibel. M. 2187/ Gunung Terang</v>
      </c>
      <c r="D6280" s="42"/>
      <c r="E6280" s="42"/>
      <c r="F6280" s="48" t="str">
        <f>IFERROR(__xludf.DUMMYFUNCTION("""COMPUTED_VALUE"""),"")</f>
        <v/>
      </c>
      <c r="G6280" s="42" t="str">
        <f>IFERROR(__xludf.DUMMYFUNCTION("""COMPUTED_VALUE"""),"BN Jual Beli")</f>
        <v>BN Jual Beli</v>
      </c>
      <c r="H6280" s="42">
        <f t="shared" si="1"/>
        <v>2761</v>
      </c>
    </row>
    <row r="6281" ht="22.5" customHeight="1">
      <c r="B6281" s="42" t="str">
        <f>IFERROR(__xludf.DUMMYFUNCTION("""COMPUTED_VALUE"""),"L/38/310725/1")</f>
        <v>L/38/310725/1</v>
      </c>
      <c r="C6281" s="42" t="str">
        <f>IFERROR(__xludf.DUMMYFUNCTION("""COMPUTED_VALUE"""),"HM 16992/SUKARAME")</f>
        <v>HM 16992/SUKARAME</v>
      </c>
      <c r="D6281" s="42" t="str">
        <f>IFERROR(__xludf.DUMMYFUNCTION("""COMPUTED_VALUE"""),"Berry")</f>
        <v>Berry</v>
      </c>
      <c r="E6281" s="42" t="str">
        <f>IFERROR(__xludf.DUMMYFUNCTION("""COMPUTED_VALUE"""),"DISERAHKAN")</f>
        <v>DISERAHKAN</v>
      </c>
      <c r="F6281" s="48">
        <f>IFERROR(__xludf.DUMMYFUNCTION("""COMPUTED_VALUE"""),45951.48104601852)</f>
        <v>45951.48105</v>
      </c>
      <c r="G6281" s="42" t="str">
        <f>IFERROR(__xludf.DUMMYFUNCTION("""COMPUTED_VALUE"""),"ROYA")</f>
        <v>ROYA</v>
      </c>
      <c r="H6281" s="42">
        <f t="shared" si="1"/>
        <v>2762</v>
      </c>
    </row>
    <row r="6282" ht="22.5" customHeight="1">
      <c r="B6282" s="42" t="str">
        <f>IFERROR(__xludf.DUMMYFUNCTION("""COMPUTED_VALUE"""),"K/27/310725/1")</f>
        <v>K/27/310725/1</v>
      </c>
      <c r="C6282" s="42" t="str">
        <f>IFERROR(__xludf.DUMMYFUNCTION("""COMPUTED_VALUE"""),"M.532/KEBON JERUK")</f>
        <v>M.532/KEBON JERUK</v>
      </c>
      <c r="D6282" s="42" t="str">
        <f>IFERROR(__xludf.DUMMYFUNCTION("""COMPUTED_VALUE"""),"David")</f>
        <v>David</v>
      </c>
      <c r="E6282" s="42" t="str">
        <f>IFERROR(__xludf.DUMMYFUNCTION("""COMPUTED_VALUE"""),"DISERAHKAN")</f>
        <v>DISERAHKAN</v>
      </c>
      <c r="F6282" s="48">
        <f>IFERROR(__xludf.DUMMYFUNCTION("""COMPUTED_VALUE"""),45915.503597303235)</f>
        <v>45915.5036</v>
      </c>
      <c r="G6282" s="42" t="str">
        <f>IFERROR(__xludf.DUMMYFUNCTION("""COMPUTED_VALUE"""),"ROYA")</f>
        <v>ROYA</v>
      </c>
      <c r="H6282" s="42">
        <f t="shared" si="1"/>
        <v>2763</v>
      </c>
    </row>
    <row r="6283" ht="22.5" customHeight="1">
      <c r="B6283" s="42" t="str">
        <f>IFERROR(__xludf.DUMMYFUNCTION("""COMPUTED_VALUE"""),"K/39/310725/1")</f>
        <v>K/39/310725/1</v>
      </c>
      <c r="C6283" s="42" t="str">
        <f>IFERROR(__xludf.DUMMYFUNCTION("""COMPUTED_VALUE"""),"Nibel 18081/Labuhan Dalam")</f>
        <v>Nibel 18081/Labuhan Dalam</v>
      </c>
      <c r="D6283" s="42"/>
      <c r="E6283" s="42"/>
      <c r="F6283" s="48" t="str">
        <f>IFERROR(__xludf.DUMMYFUNCTION("""COMPUTED_VALUE"""),"")</f>
        <v/>
      </c>
      <c r="G6283" s="42" t="str">
        <f>IFERROR(__xludf.DUMMYFUNCTION("""COMPUTED_VALUE"""),"BN JUAL BELI")</f>
        <v>BN JUAL BELI</v>
      </c>
      <c r="H6283" s="42">
        <f t="shared" si="1"/>
        <v>2763</v>
      </c>
    </row>
    <row r="6284" ht="22.5" customHeight="1">
      <c r="B6284" s="42" t="str">
        <f>IFERROR(__xludf.DUMMYFUNCTION("""COMPUTED_VALUE"""),"K/41/310725/1")</f>
        <v>K/41/310725/1</v>
      </c>
      <c r="C6284" s="42" t="str">
        <f>IFERROR(__xludf.DUMMYFUNCTION("""COMPUTED_VALUE"""),"Nibel 427/ Kemiling Permai")</f>
        <v>Nibel 427/ Kemiling Permai</v>
      </c>
      <c r="D6284" s="42"/>
      <c r="E6284" s="42"/>
      <c r="F6284" s="48" t="str">
        <f>IFERROR(__xludf.DUMMYFUNCTION("""COMPUTED_VALUE"""),"")</f>
        <v/>
      </c>
      <c r="G6284" s="42" t="str">
        <f>IFERROR(__xludf.DUMMYFUNCTION("""COMPUTED_VALUE"""),"BN JUAL BELI")</f>
        <v>BN JUAL BELI</v>
      </c>
      <c r="H6284" s="42">
        <f t="shared" si="1"/>
        <v>2763</v>
      </c>
    </row>
    <row r="6285" ht="22.5" customHeight="1">
      <c r="B6285" s="42" t="str">
        <f>IFERROR(__xludf.DUMMYFUNCTION("""COMPUTED_VALUE"""),"K/42/310725/2")</f>
        <v>K/42/310725/2</v>
      </c>
      <c r="C6285" s="42" t="str">
        <f>IFERROR(__xludf.DUMMYFUNCTION("""COMPUTED_VALUE"""),"Nibel 418/ Kemiling Permai")</f>
        <v>Nibel 418/ Kemiling Permai</v>
      </c>
      <c r="D6285" s="42"/>
      <c r="E6285" s="42"/>
      <c r="F6285" s="48" t="str">
        <f>IFERROR(__xludf.DUMMYFUNCTION("""COMPUTED_VALUE"""),"")</f>
        <v/>
      </c>
      <c r="G6285" s="42" t="str">
        <f>IFERROR(__xludf.DUMMYFUNCTION("""COMPUTED_VALUE"""),"BN JUAL BELI")</f>
        <v>BN JUAL BELI</v>
      </c>
      <c r="H6285" s="42">
        <f t="shared" si="1"/>
        <v>2763</v>
      </c>
    </row>
    <row r="6286" ht="22.5" customHeight="1">
      <c r="B6286" s="42" t="str">
        <f>IFERROR(__xludf.DUMMYFUNCTION("""COMPUTED_VALUE"""),"K/33/310725/1")</f>
        <v>K/33/310725/1</v>
      </c>
      <c r="C6286" s="42" t="str">
        <f>IFERROR(__xludf.DUMMYFUNCTION("""COMPUTED_VALUE"""),"M. 3960/SUKADANA HAM")</f>
        <v>M. 3960/SUKADANA HAM</v>
      </c>
      <c r="D6286" s="42"/>
      <c r="E6286" s="42"/>
      <c r="F6286" s="48" t="str">
        <f>IFERROR(__xludf.DUMMYFUNCTION("""COMPUTED_VALUE"""),"")</f>
        <v/>
      </c>
      <c r="G6286" s="42" t="str">
        <f>IFERROR(__xludf.DUMMYFUNCTION("""COMPUTED_VALUE"""),"WAKAF")</f>
        <v>WAKAF</v>
      </c>
      <c r="H6286" s="42">
        <f t="shared" si="1"/>
        <v>2763</v>
      </c>
    </row>
    <row r="6287" ht="22.5" customHeight="1">
      <c r="B6287" s="42" t="str">
        <f>IFERROR(__xludf.DUMMYFUNCTION("""COMPUTED_VALUE"""),"K/40/310725/1")</f>
        <v>K/40/310725/1</v>
      </c>
      <c r="C6287" s="42" t="str">
        <f>IFERROR(__xludf.DUMMYFUNCTION("""COMPUTED_VALUE"""),"M.2116/KOTA BARU")</f>
        <v>M.2116/KOTA BARU</v>
      </c>
      <c r="D6287" s="42" t="str">
        <f>IFERROR(__xludf.DUMMYFUNCTION("""COMPUTED_VALUE"""),"Berry")</f>
        <v>Berry</v>
      </c>
      <c r="E6287" s="42" t="str">
        <f>IFERROR(__xludf.DUMMYFUNCTION("""COMPUTED_VALUE"""),"DISERAHKAN")</f>
        <v>DISERAHKAN</v>
      </c>
      <c r="F6287" s="48">
        <f>IFERROR(__xludf.DUMMYFUNCTION("""COMPUTED_VALUE"""),45894.58212432871)</f>
        <v>45894.58212</v>
      </c>
      <c r="G6287" s="42" t="str">
        <f>IFERROR(__xludf.DUMMYFUNCTION("""COMPUTED_VALUE"""),"JUAL BELI")</f>
        <v>JUAL BELI</v>
      </c>
      <c r="H6287" s="42">
        <f t="shared" si="1"/>
        <v>2764</v>
      </c>
    </row>
    <row r="6288" ht="22.5" customHeight="1">
      <c r="B6288" s="42" t="str">
        <f>IFERROR(__xludf.DUMMYFUNCTION("""COMPUTED_VALUE"""),"K/44/310725/1")</f>
        <v>K/44/310725/1</v>
      </c>
      <c r="C6288" s="42" t="str">
        <f>IFERROR(__xludf.DUMMYFUNCTION("""COMPUTED_VALUE"""),"M.13418/SUKABUMI ")</f>
        <v>M.13418/SUKABUMI </v>
      </c>
      <c r="D6288" s="42"/>
      <c r="E6288" s="42"/>
      <c r="F6288" s="48" t="str">
        <f>IFERROR(__xludf.DUMMYFUNCTION("""COMPUTED_VALUE"""),"")</f>
        <v/>
      </c>
      <c r="G6288" s="42" t="str">
        <f>IFERROR(__xludf.DUMMYFUNCTION("""COMPUTED_VALUE"""),"PENATAAN BATAS ")</f>
        <v>PENATAAN BATAS </v>
      </c>
      <c r="H6288" s="42">
        <f t="shared" si="1"/>
        <v>2764</v>
      </c>
    </row>
    <row r="6289" ht="22.5" customHeight="1">
      <c r="B6289" s="42" t="str">
        <f>IFERROR(__xludf.DUMMYFUNCTION("""COMPUTED_VALUE"""),"K/43/310725/1")</f>
        <v>K/43/310725/1</v>
      </c>
      <c r="C6289" s="42" t="str">
        <f>IFERROR(__xludf.DUMMYFUNCTION("""COMPUTED_VALUE"""),"M. 1598/PENGAJARAN")</f>
        <v>M. 1598/PENGAJARAN</v>
      </c>
      <c r="D6289" s="42" t="str">
        <f>IFERROR(__xludf.DUMMYFUNCTION("""COMPUTED_VALUE"""),"Berry")</f>
        <v>Berry</v>
      </c>
      <c r="E6289" s="42" t="str">
        <f>IFERROR(__xludf.DUMMYFUNCTION("""COMPUTED_VALUE"""),"DISERAHKAN")</f>
        <v>DISERAHKAN</v>
      </c>
      <c r="F6289" s="48">
        <f>IFERROR(__xludf.DUMMYFUNCTION("""COMPUTED_VALUE"""),45894.579725902775)</f>
        <v>45894.57973</v>
      </c>
      <c r="G6289" s="42" t="str">
        <f>IFERROR(__xludf.DUMMYFUNCTION("""COMPUTED_VALUE"""),"BN HIBAH")</f>
        <v>BN HIBAH</v>
      </c>
      <c r="H6289" s="42">
        <f t="shared" si="1"/>
        <v>2765</v>
      </c>
    </row>
    <row r="6290" ht="22.5" customHeight="1">
      <c r="B6290" s="42" t="str">
        <f>IFERROR(__xludf.DUMMYFUNCTION("""COMPUTED_VALUE"""),"K/45/310725/1")</f>
        <v>K/45/310725/1</v>
      </c>
      <c r="C6290" s="42" t="str">
        <f>IFERROR(__xludf.DUMMYFUNCTION("""COMPUTED_VALUE"""),"M.1981/SUMBEREJO SEJAHTERA")</f>
        <v>M.1981/SUMBEREJO SEJAHTERA</v>
      </c>
      <c r="D6290" s="42"/>
      <c r="E6290" s="42"/>
      <c r="F6290" s="48" t="str">
        <f>IFERROR(__xludf.DUMMYFUNCTION("""COMPUTED_VALUE"""),"")</f>
        <v/>
      </c>
      <c r="G6290" s="42" t="str">
        <f>IFERROR(__xludf.DUMMYFUNCTION("""COMPUTED_VALUE"""),"JUAL BELI")</f>
        <v>JUAL BELI</v>
      </c>
      <c r="H6290" s="42">
        <f t="shared" si="1"/>
        <v>2765</v>
      </c>
    </row>
    <row r="6291" ht="22.5" customHeight="1">
      <c r="B6291" s="42" t="str">
        <f>IFERROR(__xludf.DUMMYFUNCTION("""COMPUTED_VALUE"""),"K/47/310725/1")</f>
        <v>K/47/310725/1</v>
      </c>
      <c r="C6291" s="42" t="str">
        <f>IFERROR(__xludf.DUMMYFUNCTION("""COMPUTED_VALUE"""),"PBT 498/2021/BAKUNG")</f>
        <v>PBT 498/2021/BAKUNG</v>
      </c>
      <c r="D6291" s="42"/>
      <c r="E6291" s="42"/>
      <c r="F6291" s="48" t="str">
        <f>IFERROR(__xludf.DUMMYFUNCTION("""COMPUTED_VALUE"""),"")</f>
        <v/>
      </c>
      <c r="G6291" s="42" t="str">
        <f>IFERROR(__xludf.DUMMYFUNCTION("""COMPUTED_VALUE"""),"PTPGT TANAH MENTAH")</f>
        <v>PTPGT TANAH MENTAH</v>
      </c>
      <c r="H6291" s="42">
        <f t="shared" si="1"/>
        <v>2765</v>
      </c>
    </row>
    <row r="6292" ht="22.5" customHeight="1">
      <c r="B6292" s="42" t="str">
        <f>IFERROR(__xludf.DUMMYFUNCTION("""COMPUTED_VALUE"""),"K/48/310725/1")</f>
        <v>K/48/310725/1</v>
      </c>
      <c r="C6292" s="42" t="str">
        <f>IFERROR(__xludf.DUMMYFUNCTION("""COMPUTED_VALUE"""),"M.1523/WAY KANDIS")</f>
        <v>M.1523/WAY KANDIS</v>
      </c>
      <c r="D6292" s="42"/>
      <c r="E6292" s="42"/>
      <c r="F6292" s="48" t="str">
        <f>IFERROR(__xludf.DUMMYFUNCTION("""COMPUTED_VALUE"""),"")</f>
        <v/>
      </c>
      <c r="G6292" s="42" t="str">
        <f>IFERROR(__xludf.DUMMYFUNCTION("""COMPUTED_VALUE"""),"BN WARIS")</f>
        <v>BN WARIS</v>
      </c>
      <c r="H6292" s="42">
        <f t="shared" si="1"/>
        <v>2765</v>
      </c>
    </row>
    <row r="6293" ht="22.5" customHeight="1">
      <c r="B6293" s="42" t="str">
        <f>IFERROR(__xludf.DUMMYFUNCTION("""COMPUTED_VALUE"""),"L/1/010825/1")</f>
        <v>L/1/010825/1</v>
      </c>
      <c r="C6293" s="42" t="str">
        <f>IFERROR(__xludf.DUMMYFUNCTION("""COMPUTED_VALUE"""),"HGB 4410/SUKABUMI")</f>
        <v>HGB 4410/SUKABUMI</v>
      </c>
      <c r="D6293" s="42" t="str">
        <f>IFERROR(__xludf.DUMMYFUNCTION("""COMPUTED_VALUE"""),"Berry")</f>
        <v>Berry</v>
      </c>
      <c r="E6293" s="42" t="str">
        <f>IFERROR(__xludf.DUMMYFUNCTION("""COMPUTED_VALUE"""),"DISERAHKAN")</f>
        <v>DISERAHKAN</v>
      </c>
      <c r="F6293" s="48">
        <f>IFERROR(__xludf.DUMMYFUNCTION("""COMPUTED_VALUE"""),45929.59860953703)</f>
        <v>45929.59861</v>
      </c>
      <c r="G6293" s="42" t="str">
        <f>IFERROR(__xludf.DUMMYFUNCTION("""COMPUTED_VALUE"""),"PH")</f>
        <v>PH</v>
      </c>
      <c r="H6293" s="42">
        <f t="shared" si="1"/>
        <v>2766</v>
      </c>
    </row>
    <row r="6294" ht="22.5" customHeight="1">
      <c r="B6294" s="42" t="str">
        <f>IFERROR(__xludf.DUMMYFUNCTION("""COMPUTED_VALUE"""),"L/3/010825/1")</f>
        <v>L/3/010825/1</v>
      </c>
      <c r="C6294" s="42" t="str">
        <f>IFERROR(__xludf.DUMMYFUNCTION("""COMPUTED_VALUE"""),"HM 9527/JAGABAYA II")</f>
        <v>HM 9527/JAGABAYA II</v>
      </c>
      <c r="D6294" s="42"/>
      <c r="E6294" s="42"/>
      <c r="F6294" s="48" t="str">
        <f>IFERROR(__xludf.DUMMYFUNCTION("""COMPUTED_VALUE"""),"")</f>
        <v/>
      </c>
      <c r="G6294" s="42" t="str">
        <f>IFERROR(__xludf.DUMMYFUNCTION("""COMPUTED_VALUE"""),"BN WARIS")</f>
        <v>BN WARIS</v>
      </c>
      <c r="H6294" s="42">
        <f t="shared" si="1"/>
        <v>2766</v>
      </c>
    </row>
    <row r="6295" ht="22.5" customHeight="1">
      <c r="B6295" s="42" t="str">
        <f>IFERROR(__xludf.DUMMYFUNCTION("""COMPUTED_VALUE"""),"K/2/010825/1")</f>
        <v>K/2/010825/1</v>
      </c>
      <c r="C6295" s="42" t="str">
        <f>IFERROR(__xludf.DUMMYFUNCTION("""COMPUTED_VALUE"""),"Sporadik Bustam Effendi/ Labuhan Dalam")</f>
        <v>Sporadik Bustam Effendi/ Labuhan Dalam</v>
      </c>
      <c r="D6295" s="42"/>
      <c r="E6295" s="42"/>
      <c r="F6295" s="48" t="str">
        <f>IFERROR(__xludf.DUMMYFUNCTION("""COMPUTED_VALUE"""),"")</f>
        <v/>
      </c>
      <c r="G6295" s="42" t="str">
        <f>IFERROR(__xludf.DUMMYFUNCTION("""COMPUTED_VALUE"""),"Pertama Kali")</f>
        <v>Pertama Kali</v>
      </c>
      <c r="H6295" s="42">
        <f t="shared" si="1"/>
        <v>2766</v>
      </c>
    </row>
    <row r="6296" ht="22.5" customHeight="1">
      <c r="B6296" s="42" t="str">
        <f>IFERROR(__xludf.DUMMYFUNCTION("""COMPUTED_VALUE"""),"L/4/010825/1")</f>
        <v>L/4/010825/1</v>
      </c>
      <c r="C6296" s="42" t="str">
        <f>IFERROR(__xludf.DUMMYFUNCTION("""COMPUTED_VALUE"""),"HM 608/PWH")</f>
        <v>HM 608/PWH</v>
      </c>
      <c r="D6296" s="42" t="str">
        <f>IFERROR(__xludf.DUMMYFUNCTION("""COMPUTED_VALUE"""),"David")</f>
        <v>David</v>
      </c>
      <c r="E6296" s="42" t="str">
        <f>IFERROR(__xludf.DUMMYFUNCTION("""COMPUTED_VALUE"""),"DISERAHKAN")</f>
        <v>DISERAHKAN</v>
      </c>
      <c r="F6296" s="48">
        <f>IFERROR(__xludf.DUMMYFUNCTION("""COMPUTED_VALUE"""),45930.60077737269)</f>
        <v>45930.60078</v>
      </c>
      <c r="G6296" s="42" t="str">
        <f>IFERROR(__xludf.DUMMYFUNCTION("""COMPUTED_VALUE"""),"ROYA")</f>
        <v>ROYA</v>
      </c>
      <c r="H6296" s="42">
        <f t="shared" si="1"/>
        <v>2767</v>
      </c>
    </row>
    <row r="6297" ht="22.5" customHeight="1">
      <c r="B6297" s="42" t="str">
        <f>IFERROR(__xludf.DUMMYFUNCTION("""COMPUTED_VALUE"""),"K/46/310725/2")</f>
        <v>K/46/310725/2</v>
      </c>
      <c r="C6297" s="42" t="str">
        <f>IFERROR(__xludf.DUMMYFUNCTION("""COMPUTED_VALUE"""),"M.4643/WAY KANDIS")</f>
        <v>M.4643/WAY KANDIS</v>
      </c>
      <c r="D6297" s="42" t="str">
        <f>IFERROR(__xludf.DUMMYFUNCTION("""COMPUTED_VALUE"""),"David")</f>
        <v>David</v>
      </c>
      <c r="E6297" s="42" t="str">
        <f>IFERROR(__xludf.DUMMYFUNCTION("""COMPUTED_VALUE"""),"DISERAHKAN")</f>
        <v>DISERAHKAN</v>
      </c>
      <c r="F6297" s="48">
        <f>IFERROR(__xludf.DUMMYFUNCTION("""COMPUTED_VALUE"""),45894.55759423611)</f>
        <v>45894.55759</v>
      </c>
      <c r="G6297" s="42" t="str">
        <f>IFERROR(__xludf.DUMMYFUNCTION("""COMPUTED_VALUE"""),"JUAL BELI")</f>
        <v>JUAL BELI</v>
      </c>
      <c r="H6297" s="42">
        <f t="shared" si="1"/>
        <v>2768</v>
      </c>
    </row>
    <row r="6298" ht="22.5" customHeight="1">
      <c r="B6298" s="42" t="str">
        <f>IFERROR(__xludf.DUMMYFUNCTION("""COMPUTED_VALUE"""),"K/6/010825/1")</f>
        <v>K/6/010825/1</v>
      </c>
      <c r="C6298" s="42" t="str">
        <f>IFERROR(__xludf.DUMMYFUNCTION("""COMPUTED_VALUE"""),"M. 83/KETAPANG")</f>
        <v>M. 83/KETAPANG</v>
      </c>
      <c r="D6298" s="42" t="str">
        <f>IFERROR(__xludf.DUMMYFUNCTION("""COMPUTED_VALUE"""),"David")</f>
        <v>David</v>
      </c>
      <c r="E6298" s="42" t="str">
        <f>IFERROR(__xludf.DUMMYFUNCTION("""COMPUTED_VALUE"""),"DISERAHKAN")</f>
        <v>DISERAHKAN</v>
      </c>
      <c r="F6298" s="48">
        <f>IFERROR(__xludf.DUMMYFUNCTION("""COMPUTED_VALUE"""),45904.617135821754)</f>
        <v>45904.61714</v>
      </c>
      <c r="G6298" s="42" t="str">
        <f>IFERROR(__xludf.DUMMYFUNCTION("""COMPUTED_VALUE"""),"ROYA")</f>
        <v>ROYA</v>
      </c>
      <c r="H6298" s="42">
        <f t="shared" si="1"/>
        <v>2769</v>
      </c>
    </row>
    <row r="6299" ht="22.5" customHeight="1">
      <c r="B6299" s="42" t="str">
        <f>IFERROR(__xludf.DUMMYFUNCTION("""COMPUTED_VALUE"""),"K/7/010825/1")</f>
        <v>K/7/010825/1</v>
      </c>
      <c r="C6299" s="42" t="str">
        <f>IFERROR(__xludf.DUMMYFUNCTION("""COMPUTED_VALUE"""),"M.500/TALANG")</f>
        <v>M.500/TALANG</v>
      </c>
      <c r="D6299" s="42" t="str">
        <f>IFERROR(__xludf.DUMMYFUNCTION("""COMPUTED_VALUE"""),"Berry")</f>
        <v>Berry</v>
      </c>
      <c r="E6299" s="42" t="str">
        <f>IFERROR(__xludf.DUMMYFUNCTION("""COMPUTED_VALUE"""),"DISERAHKAN")</f>
        <v>DISERAHKAN</v>
      </c>
      <c r="F6299" s="48">
        <f>IFERROR(__xludf.DUMMYFUNCTION("""COMPUTED_VALUE"""),45894.575443043985)</f>
        <v>45894.57544</v>
      </c>
      <c r="G6299" s="42" t="str">
        <f>IFERROR(__xludf.DUMMYFUNCTION("""COMPUTED_VALUE"""),"BN WARIS")</f>
        <v>BN WARIS</v>
      </c>
      <c r="H6299" s="42">
        <f t="shared" si="1"/>
        <v>2770</v>
      </c>
    </row>
    <row r="6300" ht="22.5" customHeight="1">
      <c r="B6300" s="42" t="str">
        <f>IFERROR(__xludf.DUMMYFUNCTION("""COMPUTED_VALUE"""),"K/11/010825/1")</f>
        <v>K/11/010825/1</v>
      </c>
      <c r="C6300" s="42" t="str">
        <f>IFERROR(__xludf.DUMMYFUNCTION("""COMPUTED_VALUE"""),"M. 2726/ Bumi Waras")</f>
        <v>M. 2726/ Bumi Waras</v>
      </c>
      <c r="D6300" s="42" t="str">
        <f>IFERROR(__xludf.DUMMYFUNCTION("""COMPUTED_VALUE"""),"David")</f>
        <v>David</v>
      </c>
      <c r="E6300" s="42" t="str">
        <f>IFERROR(__xludf.DUMMYFUNCTION("""COMPUTED_VALUE"""),"DISERAHKAN")</f>
        <v>DISERAHKAN</v>
      </c>
      <c r="F6300" s="48">
        <f>IFERROR(__xludf.DUMMYFUNCTION("""COMPUTED_VALUE"""),45926.58301824074)</f>
        <v>45926.58302</v>
      </c>
      <c r="G6300" s="42" t="str">
        <f>IFERROR(__xludf.DUMMYFUNCTION("""COMPUTED_VALUE"""),"Roya")</f>
        <v>Roya</v>
      </c>
      <c r="H6300" s="42">
        <f t="shared" si="1"/>
        <v>2771</v>
      </c>
    </row>
    <row r="6301" ht="22.5" customHeight="1">
      <c r="B6301" s="42" t="str">
        <f>IFERROR(__xludf.DUMMYFUNCTION("""COMPUTED_VALUE"""),"K/8/010825/2")</f>
        <v>K/8/010825/2</v>
      </c>
      <c r="C6301" s="42" t="str">
        <f>IFERROR(__xludf.DUMMYFUNCTION("""COMPUTED_VALUE"""),"B. 1005/CAMPANG JAYA")</f>
        <v>B. 1005/CAMPANG JAYA</v>
      </c>
      <c r="D6301" s="42"/>
      <c r="E6301" s="42"/>
      <c r="F6301" s="48" t="str">
        <f>IFERROR(__xludf.DUMMYFUNCTION("""COMPUTED_VALUE"""),"")</f>
        <v/>
      </c>
      <c r="G6301" s="42" t="str">
        <f>IFERROR(__xludf.DUMMYFUNCTION("""COMPUTED_VALUE"""),"BN JUAL BELI")</f>
        <v>BN JUAL BELI</v>
      </c>
      <c r="H6301" s="42">
        <f t="shared" si="1"/>
        <v>2771</v>
      </c>
    </row>
    <row r="6302" ht="22.5" customHeight="1">
      <c r="B6302" s="42" t="str">
        <f>IFERROR(__xludf.DUMMYFUNCTION("""COMPUTED_VALUE"""),"K/9/010825/3")</f>
        <v>K/9/010825/3</v>
      </c>
      <c r="C6302" s="42" t="str">
        <f>IFERROR(__xludf.DUMMYFUNCTION("""COMPUTED_VALUE"""),"M. 946/SUKARAJA")</f>
        <v>M. 946/SUKARAJA</v>
      </c>
      <c r="D6302" s="42"/>
      <c r="E6302" s="42"/>
      <c r="F6302" s="48" t="str">
        <f>IFERROR(__xludf.DUMMYFUNCTION("""COMPUTED_VALUE"""),"")</f>
        <v/>
      </c>
      <c r="G6302" s="42" t="str">
        <f>IFERROR(__xludf.DUMMYFUNCTION("""COMPUTED_VALUE"""),"BN JUAL BELI")</f>
        <v>BN JUAL BELI</v>
      </c>
      <c r="H6302" s="42">
        <f t="shared" si="1"/>
        <v>2771</v>
      </c>
    </row>
    <row r="6303" ht="22.5" customHeight="1">
      <c r="B6303" s="42" t="str">
        <f>IFERROR(__xludf.DUMMYFUNCTION("""COMPUTED_VALUE"""),"K/12/010825/1")</f>
        <v>K/12/010825/1</v>
      </c>
      <c r="C6303" s="42" t="str">
        <f>IFERROR(__xludf.DUMMYFUNCTION("""COMPUTED_VALUE"""),"HM 2290/GUNU8NG TERANG")</f>
        <v>HM 2290/GUNU8NG TERANG</v>
      </c>
      <c r="D6303" s="42"/>
      <c r="E6303" s="42"/>
      <c r="F6303" s="48" t="str">
        <f>IFERROR(__xludf.DUMMYFUNCTION("""COMPUTED_VALUE"""),"")</f>
        <v/>
      </c>
      <c r="G6303" s="42" t="str">
        <f>IFERROR(__xludf.DUMMYFUNCTION("""COMPUTED_VALUE"""),"BN JUAL-BELI")</f>
        <v>BN JUAL-BELI</v>
      </c>
      <c r="H6303" s="42">
        <f t="shared" si="1"/>
        <v>2771</v>
      </c>
    </row>
    <row r="6304" ht="22.5" customHeight="1">
      <c r="B6304" s="42" t="str">
        <f>IFERROR(__xludf.DUMMYFUNCTION("""COMPUTED_VALUE"""),"K/40/010825/1")</f>
        <v>K/40/010825/1</v>
      </c>
      <c r="C6304" s="42" t="str">
        <f>IFERROR(__xludf.DUMMYFUNCTION("""COMPUTED_VALUE"""),"Nibel. M. 23303/ Campang Raya")</f>
        <v>Nibel. M. 23303/ Campang Raya</v>
      </c>
      <c r="D6304" s="42"/>
      <c r="E6304" s="42"/>
      <c r="F6304" s="48" t="str">
        <f>IFERROR(__xludf.DUMMYFUNCTION("""COMPUTED_VALUE"""),"")</f>
        <v/>
      </c>
      <c r="G6304" s="42" t="str">
        <f>IFERROR(__xludf.DUMMYFUNCTION("""COMPUTED_VALUE"""),"BN Jual Beli")</f>
        <v>BN Jual Beli</v>
      </c>
      <c r="H6304" s="42">
        <f t="shared" si="1"/>
        <v>2771</v>
      </c>
    </row>
    <row r="6305" ht="22.5" customHeight="1">
      <c r="B6305" s="42" t="str">
        <f>IFERROR(__xludf.DUMMYFUNCTION("""COMPUTED_VALUE"""),"K/13/010825/1")</f>
        <v>K/13/010825/1</v>
      </c>
      <c r="C6305" s="42" t="str">
        <f>IFERROR(__xludf.DUMMYFUNCTION("""COMPUTED_VALUE"""),"Nibel. M. 22032/ Jagabaya II")</f>
        <v>Nibel. M. 22032/ Jagabaya II</v>
      </c>
      <c r="D6305" s="42"/>
      <c r="E6305" s="42"/>
      <c r="F6305" s="48" t="str">
        <f>IFERROR(__xludf.DUMMYFUNCTION("""COMPUTED_VALUE"""),"")</f>
        <v/>
      </c>
      <c r="G6305" s="42" t="str">
        <f>IFERROR(__xludf.DUMMYFUNCTION("""COMPUTED_VALUE"""),"BN Jual Beli")</f>
        <v>BN Jual Beli</v>
      </c>
      <c r="H6305" s="42">
        <f t="shared" si="1"/>
        <v>2771</v>
      </c>
    </row>
    <row r="6306" ht="22.5" customHeight="1">
      <c r="B6306" s="42" t="str">
        <f>IFERROR(__xludf.DUMMYFUNCTION("""COMPUTED_VALUE"""),"K/5/010825/1")</f>
        <v>K/5/010825/1</v>
      </c>
      <c r="C6306" s="42" t="str">
        <f>IFERROR(__xludf.DUMMYFUNCTION("""COMPUTED_VALUE"""),"M.69/RAJABASA NUNYAI")</f>
        <v>M.69/RAJABASA NUNYAI</v>
      </c>
      <c r="D6306" s="42"/>
      <c r="E6306" s="42"/>
      <c r="F6306" s="48" t="str">
        <f>IFERROR(__xludf.DUMMYFUNCTION("""COMPUTED_VALUE"""),"")</f>
        <v/>
      </c>
      <c r="G6306" s="42" t="str">
        <f>IFERROR(__xludf.DUMMYFUNCTION("""COMPUTED_VALUE"""),"JUAL BELI")</f>
        <v>JUAL BELI</v>
      </c>
      <c r="H6306" s="42">
        <f t="shared" si="1"/>
        <v>2771</v>
      </c>
    </row>
    <row r="6307" ht="22.5" customHeight="1">
      <c r="B6307" s="42" t="str">
        <f>IFERROR(__xludf.DUMMYFUNCTION("""COMPUTED_VALUE"""),"K/15/010825/1")</f>
        <v>K/15/010825/1</v>
      </c>
      <c r="C6307" s="42" t="str">
        <f>IFERROR(__xludf.DUMMYFUNCTION("""COMPUTED_VALUE"""),"M.14074/SUKABUMI")</f>
        <v>M.14074/SUKABUMI</v>
      </c>
      <c r="D6307" s="42"/>
      <c r="E6307" s="42"/>
      <c r="F6307" s="48" t="str">
        <f>IFERROR(__xludf.DUMMYFUNCTION("""COMPUTED_VALUE"""),"")</f>
        <v/>
      </c>
      <c r="G6307" s="42" t="str">
        <f>IFERROR(__xludf.DUMMYFUNCTION("""COMPUTED_VALUE"""),"JUAL BELI")</f>
        <v>JUAL BELI</v>
      </c>
      <c r="H6307" s="42">
        <f t="shared" si="1"/>
        <v>2771</v>
      </c>
    </row>
    <row r="6308" ht="22.5" customHeight="1">
      <c r="B6308" s="42" t="str">
        <f>IFERROR(__xludf.DUMMYFUNCTION("""COMPUTED_VALUE"""),"K/14/010825/1")</f>
        <v>K/14/010825/1</v>
      </c>
      <c r="C6308" s="42" t="str">
        <f>IFERROR(__xludf.DUMMYFUNCTION("""COMPUTED_VALUE"""),"M. 27/ Nusantara Permai")</f>
        <v>M. 27/ Nusantara Permai</v>
      </c>
      <c r="D6308" s="42" t="str">
        <f>IFERROR(__xludf.DUMMYFUNCTION("""COMPUTED_VALUE"""),"David")</f>
        <v>David</v>
      </c>
      <c r="E6308" s="42" t="str">
        <f>IFERROR(__xludf.DUMMYFUNCTION("""COMPUTED_VALUE"""),"DISERAHKAN")</f>
        <v>DISERAHKAN</v>
      </c>
      <c r="F6308" s="48">
        <f>IFERROR(__xludf.DUMMYFUNCTION("""COMPUTED_VALUE"""),45958.519917094905)</f>
        <v>45958.51992</v>
      </c>
      <c r="G6308" s="42" t="str">
        <f>IFERROR(__xludf.DUMMYFUNCTION("""COMPUTED_VALUE"""),"ROYA")</f>
        <v>ROYA</v>
      </c>
      <c r="H6308" s="42">
        <f t="shared" si="1"/>
        <v>2772</v>
      </c>
    </row>
    <row r="6309" ht="22.5" customHeight="1">
      <c r="B6309" s="42" t="str">
        <f>IFERROR(__xludf.DUMMYFUNCTION("""COMPUTED_VALUE"""),"K/16/010825/1")</f>
        <v>K/16/010825/1</v>
      </c>
      <c r="C6309" s="42" t="str">
        <f>IFERROR(__xludf.DUMMYFUNCTION("""COMPUTED_VALUE"""),"M. 2581/ Sumber Agung")</f>
        <v>M. 2581/ Sumber Agung</v>
      </c>
      <c r="D6309" s="42" t="str">
        <f>IFERROR(__xludf.DUMMYFUNCTION("""COMPUTED_VALUE"""),"Berry")</f>
        <v>Berry</v>
      </c>
      <c r="E6309" s="42" t="str">
        <f>IFERROR(__xludf.DUMMYFUNCTION("""COMPUTED_VALUE"""),"DISERAHKAN")</f>
        <v>DISERAHKAN</v>
      </c>
      <c r="F6309" s="48">
        <f>IFERROR(__xludf.DUMMYFUNCTION("""COMPUTED_VALUE"""),45891.59889717592)</f>
        <v>45891.5989</v>
      </c>
      <c r="G6309" s="42" t="str">
        <f>IFERROR(__xludf.DUMMYFUNCTION("""COMPUTED_VALUE"""),"BN Jual Beli")</f>
        <v>BN Jual Beli</v>
      </c>
      <c r="H6309" s="42">
        <f t="shared" si="1"/>
        <v>2773</v>
      </c>
    </row>
    <row r="6310" ht="22.5" customHeight="1">
      <c r="B6310" s="42" t="str">
        <f>IFERROR(__xludf.DUMMYFUNCTION("""COMPUTED_VALUE"""),"K/17/010825/2")</f>
        <v>K/17/010825/2</v>
      </c>
      <c r="C6310" s="42" t="str">
        <f>IFERROR(__xludf.DUMMYFUNCTION("""COMPUTED_VALUE"""),"M. 885/ Sumber Agung")</f>
        <v>M. 885/ Sumber Agung</v>
      </c>
      <c r="D6310" s="42" t="str">
        <f>IFERROR(__xludf.DUMMYFUNCTION("""COMPUTED_VALUE"""),"Berry")</f>
        <v>Berry</v>
      </c>
      <c r="E6310" s="42" t="str">
        <f>IFERROR(__xludf.DUMMYFUNCTION("""COMPUTED_VALUE"""),"DISERAHKAN")</f>
        <v>DISERAHKAN</v>
      </c>
      <c r="F6310" s="48">
        <f>IFERROR(__xludf.DUMMYFUNCTION("""COMPUTED_VALUE"""),45891.599352453704)</f>
        <v>45891.59935</v>
      </c>
      <c r="G6310" s="42" t="str">
        <f>IFERROR(__xludf.DUMMYFUNCTION("""COMPUTED_VALUE"""),"BN Jual Beli")</f>
        <v>BN Jual Beli</v>
      </c>
      <c r="H6310" s="42">
        <f t="shared" si="1"/>
        <v>2774</v>
      </c>
    </row>
    <row r="6311" ht="22.5" customHeight="1">
      <c r="B6311" s="42" t="str">
        <f>IFERROR(__xludf.DUMMYFUNCTION("""COMPUTED_VALUE"""),"K/18/010825/3")</f>
        <v>K/18/010825/3</v>
      </c>
      <c r="C6311" s="42" t="str">
        <f>IFERROR(__xludf.DUMMYFUNCTION("""COMPUTED_VALUE"""),"M. 859/ Sumber Agung")</f>
        <v>M. 859/ Sumber Agung</v>
      </c>
      <c r="D6311" s="42" t="str">
        <f>IFERROR(__xludf.DUMMYFUNCTION("""COMPUTED_VALUE"""),"David")</f>
        <v>David</v>
      </c>
      <c r="E6311" s="42" t="str">
        <f>IFERROR(__xludf.DUMMYFUNCTION("""COMPUTED_VALUE"""),"DISERAHKAN")</f>
        <v>DISERAHKAN</v>
      </c>
      <c r="F6311" s="48">
        <f>IFERROR(__xludf.DUMMYFUNCTION("""COMPUTED_VALUE"""),45888.62289383102)</f>
        <v>45888.62289</v>
      </c>
      <c r="G6311" s="42" t="str">
        <f>IFERROR(__xludf.DUMMYFUNCTION("""COMPUTED_VALUE"""),"BN Jual Beli")</f>
        <v>BN Jual Beli</v>
      </c>
      <c r="H6311" s="42">
        <f t="shared" si="1"/>
        <v>2775</v>
      </c>
    </row>
    <row r="6312" ht="22.5" customHeight="1">
      <c r="B6312" s="42" t="str">
        <f>IFERROR(__xludf.DUMMYFUNCTION("""COMPUTED_VALUE"""),"K/19/010825/4")</f>
        <v>K/19/010825/4</v>
      </c>
      <c r="C6312" s="42" t="str">
        <f>IFERROR(__xludf.DUMMYFUNCTION("""COMPUTED_VALUE"""),"M. 870/ Sumber Agung ")</f>
        <v>M. 870/ Sumber Agung </v>
      </c>
      <c r="D6312" s="42" t="str">
        <f>IFERROR(__xludf.DUMMYFUNCTION("""COMPUTED_VALUE"""),"Berry")</f>
        <v>Berry</v>
      </c>
      <c r="E6312" s="42" t="str">
        <f>IFERROR(__xludf.DUMMYFUNCTION("""COMPUTED_VALUE"""),"DISERAHKAN")</f>
        <v>DISERAHKAN</v>
      </c>
      <c r="F6312" s="48">
        <f>IFERROR(__xludf.DUMMYFUNCTION("""COMPUTED_VALUE"""),45908.63119581019)</f>
        <v>45908.6312</v>
      </c>
      <c r="G6312" s="42" t="str">
        <f>IFERROR(__xludf.DUMMYFUNCTION("""COMPUTED_VALUE"""),"BN Jual Beli")</f>
        <v>BN Jual Beli</v>
      </c>
      <c r="H6312" s="42">
        <f t="shared" si="1"/>
        <v>2776</v>
      </c>
    </row>
    <row r="6313" ht="22.5" customHeight="1">
      <c r="B6313" s="42" t="str">
        <f>IFERROR(__xludf.DUMMYFUNCTION("""COMPUTED_VALUE"""),"K/20/010825/5")</f>
        <v>K/20/010825/5</v>
      </c>
      <c r="C6313" s="42" t="str">
        <f>IFERROR(__xludf.DUMMYFUNCTION("""COMPUTED_VALUE"""),"Nibel. M. 21516/ Kedamaian ")</f>
        <v>Nibel. M. 21516/ Kedamaian </v>
      </c>
      <c r="D6313" s="42"/>
      <c r="E6313" s="42"/>
      <c r="F6313" s="48" t="str">
        <f>IFERROR(__xludf.DUMMYFUNCTION("""COMPUTED_VALUE"""),"")</f>
        <v/>
      </c>
      <c r="G6313" s="42" t="str">
        <f>IFERROR(__xludf.DUMMYFUNCTION("""COMPUTED_VALUE"""),"BN Jual Beli")</f>
        <v>BN Jual Beli</v>
      </c>
      <c r="H6313" s="42">
        <f t="shared" si="1"/>
        <v>2776</v>
      </c>
    </row>
    <row r="6314" ht="22.5" customHeight="1">
      <c r="B6314" s="42" t="str">
        <f>IFERROR(__xludf.DUMMYFUNCTION("""COMPUTED_VALUE"""),"K/21/010825/1")</f>
        <v>K/21/010825/1</v>
      </c>
      <c r="C6314" s="42" t="str">
        <f>IFERROR(__xludf.DUMMYFUNCTION("""COMPUTED_VALUE"""),"M.1251/KALI BALAU KENCANA")</f>
        <v>M.1251/KALI BALAU KENCANA</v>
      </c>
      <c r="D6314" s="42" t="str">
        <f>IFERROR(__xludf.DUMMYFUNCTION("""COMPUTED_VALUE"""),"David")</f>
        <v>David</v>
      </c>
      <c r="E6314" s="42" t="str">
        <f>IFERROR(__xludf.DUMMYFUNCTION("""COMPUTED_VALUE"""),"DISERAHKAN")</f>
        <v>DISERAHKAN</v>
      </c>
      <c r="F6314" s="48">
        <f>IFERROR(__xludf.DUMMYFUNCTION("""COMPUTED_VALUE"""),45882.53744771991)</f>
        <v>45882.53745</v>
      </c>
      <c r="G6314" s="42" t="str">
        <f>IFERROR(__xludf.DUMMYFUNCTION("""COMPUTED_VALUE"""),"JUAL BELI")</f>
        <v>JUAL BELI</v>
      </c>
      <c r="H6314" s="42">
        <f t="shared" si="1"/>
        <v>2777</v>
      </c>
    </row>
    <row r="6315" ht="22.5" customHeight="1">
      <c r="B6315" s="42" t="str">
        <f>IFERROR(__xludf.DUMMYFUNCTION("""COMPUTED_VALUE"""),"K/10/010825/4")</f>
        <v>K/10/010825/4</v>
      </c>
      <c r="C6315" s="42" t="str">
        <f>IFERROR(__xludf.DUMMYFUNCTION("""COMPUTED_VALUE"""),"B. 1004/CAMPANG JAYA")</f>
        <v>B. 1004/CAMPANG JAYA</v>
      </c>
      <c r="D6315" s="42"/>
      <c r="E6315" s="42"/>
      <c r="F6315" s="48" t="str">
        <f>IFERROR(__xludf.DUMMYFUNCTION("""COMPUTED_VALUE"""),"")</f>
        <v/>
      </c>
      <c r="G6315" s="42" t="str">
        <f>IFERROR(__xludf.DUMMYFUNCTION("""COMPUTED_VALUE"""),"BN JUAL BELI")</f>
        <v>BN JUAL BELI</v>
      </c>
      <c r="H6315" s="42">
        <f t="shared" si="1"/>
        <v>2777</v>
      </c>
    </row>
    <row r="6316" ht="22.5" customHeight="1">
      <c r="B6316" s="42" t="str">
        <f>IFERROR(__xludf.DUMMYFUNCTION("""COMPUTED_VALUE"""),"K/27/010825/1")</f>
        <v>K/27/010825/1</v>
      </c>
      <c r="C6316" s="42" t="str">
        <f>IFERROR(__xludf.DUMMYFUNCTION("""COMPUTED_VALUE"""),"M. 9519/ Kedaton")</f>
        <v>M. 9519/ Kedaton</v>
      </c>
      <c r="D6316" s="42" t="str">
        <f>IFERROR(__xludf.DUMMYFUNCTION("""COMPUTED_VALUE"""),"Berry")</f>
        <v>Berry</v>
      </c>
      <c r="E6316" s="42" t="str">
        <f>IFERROR(__xludf.DUMMYFUNCTION("""COMPUTED_VALUE"""),"DISERAHKAN")</f>
        <v>DISERAHKAN</v>
      </c>
      <c r="F6316" s="48">
        <f>IFERROR(__xludf.DUMMYFUNCTION("""COMPUTED_VALUE"""),45922.642526180556)</f>
        <v>45922.64253</v>
      </c>
      <c r="G6316" s="42" t="str">
        <f>IFERROR(__xludf.DUMMYFUNCTION("""COMPUTED_VALUE"""),"BN Jual Beli")</f>
        <v>BN Jual Beli</v>
      </c>
      <c r="H6316" s="42">
        <f t="shared" si="1"/>
        <v>2778</v>
      </c>
    </row>
    <row r="6317" ht="22.5" customHeight="1">
      <c r="B6317" s="42" t="str">
        <f>IFERROR(__xludf.DUMMYFUNCTION("""COMPUTED_VALUE"""),"K/28/010825/2")</f>
        <v>K/28/010825/2</v>
      </c>
      <c r="C6317" s="42" t="str">
        <f>IFERROR(__xludf.DUMMYFUNCTION("""COMPUTED_VALUE"""),"Nibel. B. 23441/ Rajabasa Nunyai ")</f>
        <v>Nibel. B. 23441/ Rajabasa Nunyai </v>
      </c>
      <c r="D6317" s="42"/>
      <c r="E6317" s="42"/>
      <c r="F6317" s="48" t="str">
        <f>IFERROR(__xludf.DUMMYFUNCTION("""COMPUTED_VALUE"""),"")</f>
        <v/>
      </c>
      <c r="G6317" s="42" t="str">
        <f>IFERROR(__xludf.DUMMYFUNCTION("""COMPUTED_VALUE"""),"Perubahan Hak")</f>
        <v>Perubahan Hak</v>
      </c>
      <c r="H6317" s="42">
        <f t="shared" si="1"/>
        <v>2778</v>
      </c>
    </row>
    <row r="6318" ht="22.5" customHeight="1">
      <c r="B6318" s="42" t="str">
        <f>IFERROR(__xludf.DUMMYFUNCTION("""COMPUTED_VALUE"""),"L/30/010825/1")</f>
        <v>L/30/010825/1</v>
      </c>
      <c r="C6318" s="42" t="str">
        <f>IFERROR(__xludf.DUMMYFUNCTION("""COMPUTED_VALUE"""),"HM 5368/WAY KANDIS")</f>
        <v>HM 5368/WAY KANDIS</v>
      </c>
      <c r="D6318" s="42"/>
      <c r="E6318" s="42"/>
      <c r="F6318" s="48" t="str">
        <f>IFERROR(__xludf.DUMMYFUNCTION("""COMPUTED_VALUE"""),"")</f>
        <v/>
      </c>
      <c r="G6318" s="42" t="str">
        <f>IFERROR(__xludf.DUMMYFUNCTION("""COMPUTED_VALUE"""),"PENGHAPUSAN BPHTB")</f>
        <v>PENGHAPUSAN BPHTB</v>
      </c>
      <c r="H6318" s="42">
        <f t="shared" si="1"/>
        <v>2778</v>
      </c>
    </row>
    <row r="6319" ht="22.5" customHeight="1">
      <c r="B6319" s="42" t="str">
        <f>IFERROR(__xludf.DUMMYFUNCTION("""COMPUTED_VALUE"""),"K/31/010825/1")</f>
        <v>K/31/010825/1</v>
      </c>
      <c r="C6319" s="42" t="str">
        <f>IFERROR(__xludf.DUMMYFUNCTION("""COMPUTED_VALUE"""),"B. 1502/KEMILING PERMAI")</f>
        <v>B. 1502/KEMILING PERMAI</v>
      </c>
      <c r="D6319" s="42"/>
      <c r="E6319" s="42"/>
      <c r="F6319" s="48" t="str">
        <f>IFERROR(__xludf.DUMMYFUNCTION("""COMPUTED_VALUE"""),"")</f>
        <v/>
      </c>
      <c r="G6319" s="42" t="str">
        <f>IFERROR(__xludf.DUMMYFUNCTION("""COMPUTED_VALUE"""),"PENINGKATAN HAK")</f>
        <v>PENINGKATAN HAK</v>
      </c>
      <c r="H6319" s="42">
        <f t="shared" si="1"/>
        <v>2778</v>
      </c>
    </row>
    <row r="6320" ht="22.5" customHeight="1">
      <c r="B6320" s="42" t="str">
        <f>IFERROR(__xludf.DUMMYFUNCTION("""COMPUTED_VALUE"""),"K/24/010825/1")</f>
        <v>K/24/010825/1</v>
      </c>
      <c r="C6320" s="42" t="str">
        <f>IFERROR(__xludf.DUMMYFUNCTION("""COMPUTED_VALUE"""),"M. 9241/ Way Halim Permai")</f>
        <v>M. 9241/ Way Halim Permai</v>
      </c>
      <c r="D6320" s="42" t="str">
        <f>IFERROR(__xludf.DUMMYFUNCTION("""COMPUTED_VALUE"""),"Berry")</f>
        <v>Berry</v>
      </c>
      <c r="E6320" s="42" t="str">
        <f>IFERROR(__xludf.DUMMYFUNCTION("""COMPUTED_VALUE"""),"DISERAHKAN")</f>
        <v>DISERAHKAN</v>
      </c>
      <c r="F6320" s="48">
        <f>IFERROR(__xludf.DUMMYFUNCTION("""COMPUTED_VALUE"""),45880.715402013884)</f>
        <v>45880.7154</v>
      </c>
      <c r="G6320" s="42" t="str">
        <f>IFERROR(__xludf.DUMMYFUNCTION("""COMPUTED_VALUE"""),"BN JUAL BELI")</f>
        <v>BN JUAL BELI</v>
      </c>
      <c r="H6320" s="42">
        <f t="shared" si="1"/>
        <v>2779</v>
      </c>
    </row>
    <row r="6321" ht="22.5" customHeight="1">
      <c r="B6321" s="42" t="str">
        <f>IFERROR(__xludf.DUMMYFUNCTION("""COMPUTED_VALUE"""),"K/25/010825/2")</f>
        <v>K/25/010825/2</v>
      </c>
      <c r="C6321" s="42" t="str">
        <f>IFERROR(__xludf.DUMMYFUNCTION("""COMPUTED_VALUE"""),"M. 965/ Perumnas way kandis")</f>
        <v>M. 965/ Perumnas way kandis</v>
      </c>
      <c r="D6321" s="42" t="str">
        <f>IFERROR(__xludf.DUMMYFUNCTION("""COMPUTED_VALUE"""),"Berry")</f>
        <v>Berry</v>
      </c>
      <c r="E6321" s="42" t="str">
        <f>IFERROR(__xludf.DUMMYFUNCTION("""COMPUTED_VALUE"""),"DISERAHKAN")</f>
        <v>DISERAHKAN</v>
      </c>
      <c r="F6321" s="48">
        <f>IFERROR(__xludf.DUMMYFUNCTION("""COMPUTED_VALUE"""),45880.716315)</f>
        <v>45880.71632</v>
      </c>
      <c r="G6321" s="42" t="str">
        <f>IFERROR(__xludf.DUMMYFUNCTION("""COMPUTED_VALUE"""),"BN JUAL BELI")</f>
        <v>BN JUAL BELI</v>
      </c>
      <c r="H6321" s="42">
        <f t="shared" si="1"/>
        <v>2780</v>
      </c>
    </row>
    <row r="6322" ht="22.5" customHeight="1">
      <c r="B6322" s="42" t="str">
        <f>IFERROR(__xludf.DUMMYFUNCTION("""COMPUTED_VALUE"""),"K/32/010825/1")</f>
        <v>K/32/010825/1</v>
      </c>
      <c r="C6322" s="42" t="str">
        <f>IFERROR(__xludf.DUMMYFUNCTION("""COMPUTED_VALUE"""),"M. 372/ Kangkung")</f>
        <v>M. 372/ Kangkung</v>
      </c>
      <c r="D6322" s="42" t="str">
        <f>IFERROR(__xludf.DUMMYFUNCTION("""COMPUTED_VALUE"""),"Berry")</f>
        <v>Berry</v>
      </c>
      <c r="E6322" s="42" t="str">
        <f>IFERROR(__xludf.DUMMYFUNCTION("""COMPUTED_VALUE"""),"DISERAHKAN")</f>
        <v>DISERAHKAN</v>
      </c>
      <c r="F6322" s="48">
        <f>IFERROR(__xludf.DUMMYFUNCTION("""COMPUTED_VALUE"""),45894.576837245375)</f>
        <v>45894.57684</v>
      </c>
      <c r="G6322" s="42" t="str">
        <f>IFERROR(__xludf.DUMMYFUNCTION("""COMPUTED_VALUE"""),"BN Jual Beli")</f>
        <v>BN Jual Beli</v>
      </c>
      <c r="H6322" s="42">
        <f t="shared" si="1"/>
        <v>2781</v>
      </c>
    </row>
    <row r="6323" ht="22.5" customHeight="1">
      <c r="B6323" s="42" t="str">
        <f>IFERROR(__xludf.DUMMYFUNCTION("""COMPUTED_VALUE"""),"K/26/010825/3")</f>
        <v>K/26/010825/3</v>
      </c>
      <c r="C6323" s="42" t="str">
        <f>IFERROR(__xludf.DUMMYFUNCTION("""COMPUTED_VALUE"""),"M. 964/ Perumnas Way Kandis")</f>
        <v>M. 964/ Perumnas Way Kandis</v>
      </c>
      <c r="D6323" s="42" t="str">
        <f>IFERROR(__xludf.DUMMYFUNCTION("""COMPUTED_VALUE"""),"Berry")</f>
        <v>Berry</v>
      </c>
      <c r="E6323" s="42" t="str">
        <f>IFERROR(__xludf.DUMMYFUNCTION("""COMPUTED_VALUE"""),"DISERAHKAN")</f>
        <v>DISERAHKAN</v>
      </c>
      <c r="F6323" s="48">
        <f>IFERROR(__xludf.DUMMYFUNCTION("""COMPUTED_VALUE"""),45890.6695675)</f>
        <v>45890.66957</v>
      </c>
      <c r="G6323" s="42" t="str">
        <f>IFERROR(__xludf.DUMMYFUNCTION("""COMPUTED_VALUE"""),"BN JUAL BELI")</f>
        <v>BN JUAL BELI</v>
      </c>
      <c r="H6323" s="42">
        <f t="shared" si="1"/>
        <v>2782</v>
      </c>
    </row>
    <row r="6324" ht="22.5" customHeight="1">
      <c r="B6324" s="42" t="str">
        <f>IFERROR(__xludf.DUMMYFUNCTION("""COMPUTED_VALUE"""),"K/33/010825/1")</f>
        <v>K/33/010825/1</v>
      </c>
      <c r="C6324" s="42" t="str">
        <f>IFERROR(__xludf.DUMMYFUNCTION("""COMPUTED_VALUE"""),"Nibel 1475/ Talang")</f>
        <v>Nibel 1475/ Talang</v>
      </c>
      <c r="D6324" s="42"/>
      <c r="E6324" s="42"/>
      <c r="F6324" s="48" t="str">
        <f>IFERROR(__xludf.DUMMYFUNCTION("""COMPUTED_VALUE"""),"")</f>
        <v/>
      </c>
      <c r="G6324" s="42" t="str">
        <f>IFERROR(__xludf.DUMMYFUNCTION("""COMPUTED_VALUE"""),"BN JUAL BELI")</f>
        <v>BN JUAL BELI</v>
      </c>
      <c r="H6324" s="42">
        <f t="shared" si="1"/>
        <v>2782</v>
      </c>
    </row>
    <row r="6325" ht="22.5" customHeight="1">
      <c r="B6325" s="42" t="str">
        <f>IFERROR(__xludf.DUMMYFUNCTION("""COMPUTED_VALUE"""),"K/34/010825/2")</f>
        <v>K/34/010825/2</v>
      </c>
      <c r="C6325" s="42" t="str">
        <f>IFERROR(__xludf.DUMMYFUNCTION("""COMPUTED_VALUE"""),"Nibel 22850/ NOG")</f>
        <v>Nibel 22850/ NOG</v>
      </c>
      <c r="D6325" s="42"/>
      <c r="E6325" s="42"/>
      <c r="F6325" s="48" t="str">
        <f>IFERROR(__xludf.DUMMYFUNCTION("""COMPUTED_VALUE"""),"")</f>
        <v/>
      </c>
      <c r="G6325" s="42" t="str">
        <f>IFERROR(__xludf.DUMMYFUNCTION("""COMPUTED_VALUE"""),"BN JUAL BELI")</f>
        <v>BN JUAL BELI</v>
      </c>
      <c r="H6325" s="42">
        <f t="shared" si="1"/>
        <v>2782</v>
      </c>
    </row>
    <row r="6326" ht="22.5" customHeight="1">
      <c r="B6326" s="42" t="str">
        <f>IFERROR(__xludf.DUMMYFUNCTION("""COMPUTED_VALUE"""),"K/23/010825/1")</f>
        <v>K/23/010825/1</v>
      </c>
      <c r="C6326" s="42" t="str">
        <f>IFERROR(__xludf.DUMMYFUNCTION("""COMPUTED_VALUE"""),"M.12662/BERINGIN RAYA")</f>
        <v>M.12662/BERINGIN RAYA</v>
      </c>
      <c r="D6326" s="42" t="str">
        <f>IFERROR(__xludf.DUMMYFUNCTION("""COMPUTED_VALUE"""),"Berry")</f>
        <v>Berry</v>
      </c>
      <c r="E6326" s="42" t="str">
        <f>IFERROR(__xludf.DUMMYFUNCTION("""COMPUTED_VALUE"""),"DISERAHKAN")</f>
        <v>DISERAHKAN</v>
      </c>
      <c r="F6326" s="48">
        <f>IFERROR(__xludf.DUMMYFUNCTION("""COMPUTED_VALUE"""),45880.720274189815)</f>
        <v>45880.72027</v>
      </c>
      <c r="G6326" s="42" t="str">
        <f>IFERROR(__xludf.DUMMYFUNCTION("""COMPUTED_VALUE"""),"JUAL BELI")</f>
        <v>JUAL BELI</v>
      </c>
      <c r="H6326" s="42">
        <f t="shared" si="1"/>
        <v>2783</v>
      </c>
    </row>
    <row r="6327" ht="22.5" customHeight="1">
      <c r="B6327" s="42" t="str">
        <f>IFERROR(__xludf.DUMMYFUNCTION("""COMPUTED_VALUE"""),"K/29/010825/1")</f>
        <v>K/29/010825/1</v>
      </c>
      <c r="C6327" s="42" t="str">
        <f>IFERROR(__xludf.DUMMYFUNCTION("""COMPUTED_VALUE"""),"M.3376/KEMILING PERMAI")</f>
        <v>M.3376/KEMILING PERMAI</v>
      </c>
      <c r="D6327" s="42"/>
      <c r="E6327" s="42"/>
      <c r="F6327" s="48" t="str">
        <f>IFERROR(__xludf.DUMMYFUNCTION("""COMPUTED_VALUE"""),"")</f>
        <v/>
      </c>
      <c r="G6327" s="42" t="str">
        <f>IFERROR(__xludf.DUMMYFUNCTION("""COMPUTED_VALUE"""),"JUAL BELI")</f>
        <v>JUAL BELI</v>
      </c>
      <c r="H6327" s="42">
        <f t="shared" si="1"/>
        <v>2783</v>
      </c>
    </row>
    <row r="6328" ht="22.5" customHeight="1">
      <c r="B6328" s="42" t="str">
        <f>IFERROR(__xludf.DUMMYFUNCTION("""COMPUTED_VALUE"""),"K/35/010825/2")</f>
        <v>K/35/010825/2</v>
      </c>
      <c r="C6328" s="42" t="str">
        <f>IFERROR(__xludf.DUMMYFUNCTION("""COMPUTED_VALUE"""),"NIBEL B.12563/KEMILING RAYA")</f>
        <v>NIBEL B.12563/KEMILING RAYA</v>
      </c>
      <c r="D6328" s="42"/>
      <c r="E6328" s="42"/>
      <c r="F6328" s="48" t="str">
        <f>IFERROR(__xludf.DUMMYFUNCTION("""COMPUTED_VALUE"""),"")</f>
        <v/>
      </c>
      <c r="G6328" s="42" t="str">
        <f>IFERROR(__xludf.DUMMYFUNCTION("""COMPUTED_VALUE"""),"JUAL BELI")</f>
        <v>JUAL BELI</v>
      </c>
      <c r="H6328" s="42">
        <f t="shared" si="1"/>
        <v>2783</v>
      </c>
    </row>
    <row r="6329" ht="22.5" customHeight="1">
      <c r="B6329" s="42" t="str">
        <f>IFERROR(__xludf.DUMMYFUNCTION("""COMPUTED_VALUE"""),"K/38/010825/1")</f>
        <v>K/38/010825/1</v>
      </c>
      <c r="C6329" s="42" t="str">
        <f>IFERROR(__xludf.DUMMYFUNCTION("""COMPUTED_VALUE"""),"M. 5049/TANJUNG SENANG")</f>
        <v>M. 5049/TANJUNG SENANG</v>
      </c>
      <c r="D6329" s="42" t="str">
        <f>IFERROR(__xludf.DUMMYFUNCTION("""COMPUTED_VALUE"""),"Berry")</f>
        <v>Berry</v>
      </c>
      <c r="E6329" s="42" t="str">
        <f>IFERROR(__xludf.DUMMYFUNCTION("""COMPUTED_VALUE"""),"DISERAHKAN")</f>
        <v>DISERAHKAN</v>
      </c>
      <c r="F6329" s="48">
        <f>IFERROR(__xludf.DUMMYFUNCTION("""COMPUTED_VALUE"""),45912.53188018518)</f>
        <v>45912.53188</v>
      </c>
      <c r="G6329" s="42" t="str">
        <f>IFERROR(__xludf.DUMMYFUNCTION("""COMPUTED_VALUE"""),"BN JUAL BELI")</f>
        <v>BN JUAL BELI</v>
      </c>
      <c r="H6329" s="42">
        <f t="shared" si="1"/>
        <v>2784</v>
      </c>
    </row>
    <row r="6330" ht="22.5" customHeight="1">
      <c r="B6330" s="42" t="str">
        <f>IFERROR(__xludf.DUMMYFUNCTION("""COMPUTED_VALUE"""),"K/37/010825/1")</f>
        <v>K/37/010825/1</v>
      </c>
      <c r="C6330" s="42" t="str">
        <f>IFERROR(__xludf.DUMMYFUNCTION("""COMPUTED_VALUE"""),"Nibel. M. 21767/ Segala Mider")</f>
        <v>Nibel. M. 21767/ Segala Mider</v>
      </c>
      <c r="D6330" s="42"/>
      <c r="E6330" s="42"/>
      <c r="F6330" s="48" t="str">
        <f>IFERROR(__xludf.DUMMYFUNCTION("""COMPUTED_VALUE"""),"")</f>
        <v/>
      </c>
      <c r="G6330" s="42" t="str">
        <f>IFERROR(__xludf.DUMMYFUNCTION("""COMPUTED_VALUE"""),"BN Jual Beli")</f>
        <v>BN Jual Beli</v>
      </c>
      <c r="H6330" s="42">
        <f t="shared" si="1"/>
        <v>2784</v>
      </c>
    </row>
    <row r="6331" ht="22.5" customHeight="1">
      <c r="B6331" s="42" t="str">
        <f>IFERROR(__xludf.DUMMYFUNCTION("""COMPUTED_VALUE"""),"L/1/020825/1")</f>
        <v>L/1/020825/1</v>
      </c>
      <c r="C6331" s="42" t="str">
        <f>IFERROR(__xludf.DUMMYFUNCTION("""COMPUTED_VALUE"""),"HM 4010/LANGKAPURA")</f>
        <v>HM 4010/LANGKAPURA</v>
      </c>
      <c r="D6331" s="42"/>
      <c r="E6331" s="42"/>
      <c r="F6331" s="48" t="str">
        <f>IFERROR(__xludf.DUMMYFUNCTION("""COMPUTED_VALUE"""),"")</f>
        <v/>
      </c>
      <c r="G6331" s="42" t="str">
        <f>IFERROR(__xludf.DUMMYFUNCTION("""COMPUTED_VALUE"""),"PTPGT")</f>
        <v>PTPGT</v>
      </c>
      <c r="H6331" s="42">
        <f t="shared" si="1"/>
        <v>2784</v>
      </c>
    </row>
    <row r="6332" ht="22.5" customHeight="1">
      <c r="B6332" s="42" t="str">
        <f>IFERROR(__xludf.DUMMYFUNCTION("""COMPUTED_VALUE"""),"L/2/020825/1")</f>
        <v>L/2/020825/1</v>
      </c>
      <c r="C6332" s="42" t="str">
        <f>IFERROR(__xludf.DUMMYFUNCTION("""COMPUTED_VALUE"""),"HGB 271/LABUHAN RATU R")</f>
        <v>HGB 271/LABUHAN RATU R</v>
      </c>
      <c r="D6332" s="42"/>
      <c r="E6332" s="42"/>
      <c r="F6332" s="48" t="str">
        <f>IFERROR(__xludf.DUMMYFUNCTION("""COMPUTED_VALUE"""),"")</f>
        <v/>
      </c>
      <c r="G6332" s="42" t="str">
        <f>IFERROR(__xludf.DUMMYFUNCTION("""COMPUTED_VALUE"""),"PH")</f>
        <v>PH</v>
      </c>
      <c r="H6332" s="42">
        <f t="shared" si="1"/>
        <v>2784</v>
      </c>
    </row>
    <row r="6333" ht="22.5" customHeight="1">
      <c r="B6333" s="42" t="str">
        <f>IFERROR(__xludf.DUMMYFUNCTION("""COMPUTED_VALUE"""),"K/36/010825/1")</f>
        <v>K/36/010825/1</v>
      </c>
      <c r="C6333" s="42" t="str">
        <f>IFERROR(__xludf.DUMMYFUNCTION("""COMPUTED_VALUE"""),"M.2803/SUMBER REJO")</f>
        <v>M.2803/SUMBER REJO</v>
      </c>
      <c r="D6333" s="42" t="str">
        <f>IFERROR(__xludf.DUMMYFUNCTION("""COMPUTED_VALUE"""),"Berry")</f>
        <v>Berry</v>
      </c>
      <c r="E6333" s="42" t="str">
        <f>IFERROR(__xludf.DUMMYFUNCTION("""COMPUTED_VALUE"""),"DISERAHKAN")</f>
        <v>DISERAHKAN</v>
      </c>
      <c r="F6333" s="48">
        <f>IFERROR(__xludf.DUMMYFUNCTION("""COMPUTED_VALUE"""),45894.58029246528)</f>
        <v>45894.58029</v>
      </c>
      <c r="G6333" s="42" t="str">
        <f>IFERROR(__xludf.DUMMYFUNCTION("""COMPUTED_VALUE"""),"KEWARISAN")</f>
        <v>KEWARISAN</v>
      </c>
      <c r="H6333" s="42">
        <f t="shared" si="1"/>
        <v>2785</v>
      </c>
    </row>
    <row r="6334" ht="22.5" customHeight="1">
      <c r="B6334" s="42" t="str">
        <f>IFERROR(__xludf.DUMMYFUNCTION("""COMPUTED_VALUE"""),"K/1/040825/1")</f>
        <v>K/1/040825/1</v>
      </c>
      <c r="C6334" s="42" t="str">
        <f>IFERROR(__xludf.DUMMYFUNCTION("""COMPUTED_VALUE"""),"M.2200/SUKAMAJU")</f>
        <v>M.2200/SUKAMAJU</v>
      </c>
      <c r="D6334" s="42"/>
      <c r="E6334" s="42"/>
      <c r="F6334" s="48" t="str">
        <f>IFERROR(__xludf.DUMMYFUNCTION("""COMPUTED_VALUE"""),"")</f>
        <v/>
      </c>
      <c r="G6334" s="42" t="str">
        <f>IFERROR(__xludf.DUMMYFUNCTION("""COMPUTED_VALUE"""),"SKPT")</f>
        <v>SKPT</v>
      </c>
      <c r="H6334" s="42">
        <f t="shared" si="1"/>
        <v>2785</v>
      </c>
    </row>
    <row r="6335" ht="22.5" customHeight="1">
      <c r="B6335" s="42" t="str">
        <f>IFERROR(__xludf.DUMMYFUNCTION("""COMPUTED_VALUE"""),"K/39/010825/2")</f>
        <v>K/39/010825/2</v>
      </c>
      <c r="C6335" s="42" t="str">
        <f>IFERROR(__xludf.DUMMYFUNCTION("""COMPUTED_VALUE"""),"NIBEL M. 16746//WAY KANDIS")</f>
        <v>NIBEL M. 16746//WAY KANDIS</v>
      </c>
      <c r="D6335" s="42"/>
      <c r="E6335" s="42"/>
      <c r="F6335" s="48" t="str">
        <f>IFERROR(__xludf.DUMMYFUNCTION("""COMPUTED_VALUE"""),"")</f>
        <v/>
      </c>
      <c r="G6335" s="42" t="str">
        <f>IFERROR(__xludf.DUMMYFUNCTION("""COMPUTED_VALUE"""),"BN JUAL BELI")</f>
        <v>BN JUAL BELI</v>
      </c>
      <c r="H6335" s="42">
        <f t="shared" si="1"/>
        <v>2785</v>
      </c>
    </row>
    <row r="6336" ht="22.5" customHeight="1">
      <c r="B6336" s="42" t="str">
        <f>IFERROR(__xludf.DUMMYFUNCTION("""COMPUTED_VALUE"""),"K/2/040825/1")</f>
        <v>K/2/040825/1</v>
      </c>
      <c r="C6336" s="42" t="str">
        <f>IFERROR(__xludf.DUMMYFUNCTION("""COMPUTED_VALUE"""),"Nibel. M. 7958/ Keteguhan ")</f>
        <v>Nibel. M. 7958/ Keteguhan </v>
      </c>
      <c r="D6336" s="42"/>
      <c r="E6336" s="42"/>
      <c r="F6336" s="48" t="str">
        <f>IFERROR(__xludf.DUMMYFUNCTION("""COMPUTED_VALUE"""),"")</f>
        <v/>
      </c>
      <c r="G6336" s="42" t="str">
        <f>IFERROR(__xludf.DUMMYFUNCTION("""COMPUTED_VALUE"""),"Pemecahan")</f>
        <v>Pemecahan</v>
      </c>
      <c r="H6336" s="42">
        <f t="shared" si="1"/>
        <v>2785</v>
      </c>
    </row>
    <row r="6337" ht="22.5" customHeight="1">
      <c r="B6337" s="42" t="str">
        <f>IFERROR(__xludf.DUMMYFUNCTION("""COMPUTED_VALUE"""),"K/3/040825/1")</f>
        <v>K/3/040825/1</v>
      </c>
      <c r="C6337" s="42" t="str">
        <f>IFERROR(__xludf.DUMMYFUNCTION("""COMPUTED_VALUE"""),"M. 3125/ Beringin Raya")</f>
        <v>M. 3125/ Beringin Raya</v>
      </c>
      <c r="D6337" s="42" t="str">
        <f>IFERROR(__xludf.DUMMYFUNCTION("""COMPUTED_VALUE"""),"Berry")</f>
        <v>Berry</v>
      </c>
      <c r="E6337" s="42" t="str">
        <f>IFERROR(__xludf.DUMMYFUNCTION("""COMPUTED_VALUE"""),"DISERAHKAN")</f>
        <v>DISERAHKAN</v>
      </c>
      <c r="F6337" s="48">
        <f>IFERROR(__xludf.DUMMYFUNCTION("""COMPUTED_VALUE"""),45890.597011875)</f>
        <v>45890.59701</v>
      </c>
      <c r="G6337" s="42" t="str">
        <f>IFERROR(__xludf.DUMMYFUNCTION("""COMPUTED_VALUE"""),"ROYA")</f>
        <v>ROYA</v>
      </c>
      <c r="H6337" s="42">
        <f t="shared" si="1"/>
        <v>2786</v>
      </c>
    </row>
    <row r="6338" ht="22.5" customHeight="1">
      <c r="B6338" s="42" t="str">
        <f>IFERROR(__xludf.DUMMYFUNCTION("""COMPUTED_VALUE"""),"K/4/040825/1")</f>
        <v>K/4/040825/1</v>
      </c>
      <c r="C6338" s="42" t="str">
        <f>IFERROR(__xludf.DUMMYFUNCTION("""COMPUTED_VALUE"""),"M. 426/PESWAHAN")</f>
        <v>M. 426/PESWAHAN</v>
      </c>
      <c r="D6338" s="42" t="str">
        <f>IFERROR(__xludf.DUMMYFUNCTION("""COMPUTED_VALUE"""),"Berry")</f>
        <v>Berry</v>
      </c>
      <c r="E6338" s="42" t="str">
        <f>IFERROR(__xludf.DUMMYFUNCTION("""COMPUTED_VALUE"""),"DISERAHKAN")</f>
        <v>DISERAHKAN</v>
      </c>
      <c r="F6338" s="48">
        <f>IFERROR(__xludf.DUMMYFUNCTION("""COMPUTED_VALUE"""),45894.5779246875)</f>
        <v>45894.57792</v>
      </c>
      <c r="G6338" s="42" t="str">
        <f>IFERROR(__xludf.DUMMYFUNCTION("""COMPUTED_VALUE"""),"BN WARIS")</f>
        <v>BN WARIS</v>
      </c>
      <c r="H6338" s="42">
        <f t="shared" si="1"/>
        <v>2787</v>
      </c>
    </row>
    <row r="6339" ht="22.5" customHeight="1">
      <c r="B6339" s="42" t="str">
        <f>IFERROR(__xludf.DUMMYFUNCTION("""COMPUTED_VALUE"""),"K/5/040825/1")</f>
        <v>K/5/040825/1</v>
      </c>
      <c r="C6339" s="42" t="str">
        <f>IFERROR(__xludf.DUMMYFUNCTION("""COMPUTED_VALUE"""),"B. 1500/ Kemiling Permai")</f>
        <v>B. 1500/ Kemiling Permai</v>
      </c>
      <c r="D6339" s="42"/>
      <c r="E6339" s="42"/>
      <c r="F6339" s="48" t="str">
        <f>IFERROR(__xludf.DUMMYFUNCTION("""COMPUTED_VALUE"""),"")</f>
        <v/>
      </c>
      <c r="G6339" s="42" t="str">
        <f>IFERROR(__xludf.DUMMYFUNCTION("""COMPUTED_VALUE"""),"Perubahan Hak")</f>
        <v>Perubahan Hak</v>
      </c>
      <c r="H6339" s="42">
        <f t="shared" si="1"/>
        <v>2787</v>
      </c>
    </row>
    <row r="6340" ht="22.5" customHeight="1">
      <c r="B6340" s="42" t="str">
        <f>IFERROR(__xludf.DUMMYFUNCTION("""COMPUTED_VALUE"""),"K/6/040825/1")</f>
        <v>K/6/040825/1</v>
      </c>
      <c r="C6340" s="42" t="str">
        <f>IFERROR(__xludf.DUMMYFUNCTION("""COMPUTED_VALUE"""),"M.2578/SUMBER AGUNG")</f>
        <v>M.2578/SUMBER AGUNG</v>
      </c>
      <c r="D6340" s="42" t="str">
        <f>IFERROR(__xludf.DUMMYFUNCTION("""COMPUTED_VALUE"""),"Berry")</f>
        <v>Berry</v>
      </c>
      <c r="E6340" s="42" t="str">
        <f>IFERROR(__xludf.DUMMYFUNCTION("""COMPUTED_VALUE"""),"DISERAHKAN")</f>
        <v>DISERAHKAN</v>
      </c>
      <c r="F6340" s="48">
        <f>IFERROR(__xludf.DUMMYFUNCTION("""COMPUTED_VALUE"""),45894.574354490745)</f>
        <v>45894.57435</v>
      </c>
      <c r="G6340" s="42" t="str">
        <f>IFERROR(__xludf.DUMMYFUNCTION("""COMPUTED_VALUE"""),"JUAL BELI")</f>
        <v>JUAL BELI</v>
      </c>
      <c r="H6340" s="42">
        <f t="shared" si="1"/>
        <v>2788</v>
      </c>
    </row>
    <row r="6341" ht="22.5" customHeight="1">
      <c r="B6341" s="42" t="str">
        <f>IFERROR(__xludf.DUMMYFUNCTION("""COMPUTED_VALUE"""),"K/7/040825/2")</f>
        <v>K/7/040825/2</v>
      </c>
      <c r="C6341" s="42" t="str">
        <f>IFERROR(__xludf.DUMMYFUNCTION("""COMPUTED_VALUE"""),"M.2583/SUMBER AGUNG")</f>
        <v>M.2583/SUMBER AGUNG</v>
      </c>
      <c r="D6341" s="42" t="str">
        <f>IFERROR(__xludf.DUMMYFUNCTION("""COMPUTED_VALUE"""),"Berry")</f>
        <v>Berry</v>
      </c>
      <c r="E6341" s="42" t="str">
        <f>IFERROR(__xludf.DUMMYFUNCTION("""COMPUTED_VALUE"""),"DISERAHKAN")</f>
        <v>DISERAHKAN</v>
      </c>
      <c r="F6341" s="48">
        <f>IFERROR(__xludf.DUMMYFUNCTION("""COMPUTED_VALUE"""),45894.56599192129)</f>
        <v>45894.56599</v>
      </c>
      <c r="G6341" s="42" t="str">
        <f>IFERROR(__xludf.DUMMYFUNCTION("""COMPUTED_VALUE"""),"JUAL BELI")</f>
        <v>JUAL BELI</v>
      </c>
      <c r="H6341" s="42">
        <f t="shared" si="1"/>
        <v>2789</v>
      </c>
    </row>
    <row r="6342" ht="22.5" customHeight="1">
      <c r="B6342" s="42" t="str">
        <f>IFERROR(__xludf.DUMMYFUNCTION("""COMPUTED_VALUE"""),"L/8/040825/1")</f>
        <v>L/8/040825/1</v>
      </c>
      <c r="C6342" s="42" t="str">
        <f>IFERROR(__xludf.DUMMYFUNCTION("""COMPUTED_VALUE"""),"HM 16489/SUKARAME I")</f>
        <v>HM 16489/SUKARAME I</v>
      </c>
      <c r="D6342" s="42"/>
      <c r="E6342" s="42"/>
      <c r="F6342" s="48" t="str">
        <f>IFERROR(__xludf.DUMMYFUNCTION("""COMPUTED_VALUE"""),"")</f>
        <v/>
      </c>
      <c r="G6342" s="42" t="str">
        <f>IFERROR(__xludf.DUMMYFUNCTION("""COMPUTED_VALUE"""),"BN WARIS")</f>
        <v>BN WARIS</v>
      </c>
      <c r="H6342" s="42">
        <f t="shared" si="1"/>
        <v>2789</v>
      </c>
    </row>
    <row r="6343" ht="22.5" customHeight="1">
      <c r="B6343" s="42" t="str">
        <f>IFERROR(__xludf.DUMMYFUNCTION("""COMPUTED_VALUE"""),"K/9/040825/1")</f>
        <v>K/9/040825/1</v>
      </c>
      <c r="C6343" s="42" t="str">
        <f>IFERROR(__xludf.DUMMYFUNCTION("""COMPUTED_VALUE"""),"M. 2552/ Pinang Jaya")</f>
        <v>M. 2552/ Pinang Jaya</v>
      </c>
      <c r="D6343" s="42" t="str">
        <f>IFERROR(__xludf.DUMMYFUNCTION("""COMPUTED_VALUE"""),"Berry")</f>
        <v>Berry</v>
      </c>
      <c r="E6343" s="42" t="str">
        <f>IFERROR(__xludf.DUMMYFUNCTION("""COMPUTED_VALUE"""),"DISERAHKAN")</f>
        <v>DISERAHKAN</v>
      </c>
      <c r="F6343" s="48">
        <f>IFERROR(__xludf.DUMMYFUNCTION("""COMPUTED_VALUE"""),45890.67249490741)</f>
        <v>45890.67249</v>
      </c>
      <c r="G6343" s="42" t="str">
        <f>IFERROR(__xludf.DUMMYFUNCTION("""COMPUTED_VALUE"""),"BN JUAL BELI")</f>
        <v>BN JUAL BELI</v>
      </c>
      <c r="H6343" s="42">
        <f t="shared" si="1"/>
        <v>2790</v>
      </c>
    </row>
    <row r="6344" ht="22.5" customHeight="1">
      <c r="B6344" s="42" t="str">
        <f>IFERROR(__xludf.DUMMYFUNCTION("""COMPUTED_VALUE"""),"L/10/040825/1")</f>
        <v>L/10/040825/1</v>
      </c>
      <c r="C6344" s="42" t="str">
        <f>IFERROR(__xludf.DUMMYFUNCTION("""COMPUTED_VALUE"""),"HM 2726/KEMILING PERMAI")</f>
        <v>HM 2726/KEMILING PERMAI</v>
      </c>
      <c r="D6344" s="42" t="str">
        <f>IFERROR(__xludf.DUMMYFUNCTION("""COMPUTED_VALUE"""),"David")</f>
        <v>David</v>
      </c>
      <c r="E6344" s="42" t="str">
        <f>IFERROR(__xludf.DUMMYFUNCTION("""COMPUTED_VALUE"""),"DISERAHKAN")</f>
        <v>DISERAHKAN</v>
      </c>
      <c r="F6344" s="48">
        <f>IFERROR(__xludf.DUMMYFUNCTION("""COMPUTED_VALUE"""),45926.58449408565)</f>
        <v>45926.58449</v>
      </c>
      <c r="G6344" s="42" t="str">
        <f>IFERROR(__xludf.DUMMYFUNCTION("""COMPUTED_VALUE"""),"ROYA")</f>
        <v>ROYA</v>
      </c>
      <c r="H6344" s="42">
        <f t="shared" si="1"/>
        <v>2791</v>
      </c>
    </row>
    <row r="6345" ht="22.5" customHeight="1">
      <c r="B6345" s="42" t="str">
        <f>IFERROR(__xludf.DUMMYFUNCTION("""COMPUTED_VALUE"""),"K/12/040825/1")</f>
        <v>K/12/040825/1</v>
      </c>
      <c r="C6345" s="42" t="str">
        <f>IFERROR(__xludf.DUMMYFUNCTION("""COMPUTED_VALUE"""),"M. 2274/ Way Kandis")</f>
        <v>M. 2274/ Way Kandis</v>
      </c>
      <c r="D6345" s="42"/>
      <c r="E6345" s="42"/>
      <c r="F6345" s="48" t="str">
        <f>IFERROR(__xludf.DUMMYFUNCTION("""COMPUTED_VALUE"""),"")</f>
        <v/>
      </c>
      <c r="G6345" s="42" t="str">
        <f>IFERROR(__xludf.DUMMYFUNCTION("""COMPUTED_VALUE"""),"BN Jual Beli")</f>
        <v>BN Jual Beli</v>
      </c>
      <c r="H6345" s="42">
        <f t="shared" si="1"/>
        <v>2791</v>
      </c>
    </row>
    <row r="6346" ht="22.5" customHeight="1">
      <c r="B6346" s="42" t="str">
        <f>IFERROR(__xludf.DUMMYFUNCTION("""COMPUTED_VALUE"""),"K/13/040825/2")</f>
        <v>K/13/040825/2</v>
      </c>
      <c r="C6346" s="42" t="str">
        <f>IFERROR(__xludf.DUMMYFUNCTION("""COMPUTED_VALUE"""),"M. 18341/ Sukarame")</f>
        <v>M. 18341/ Sukarame</v>
      </c>
      <c r="D6346" s="42" t="str">
        <f>IFERROR(__xludf.DUMMYFUNCTION("""COMPUTED_VALUE"""),"David")</f>
        <v>David</v>
      </c>
      <c r="E6346" s="42" t="str">
        <f>IFERROR(__xludf.DUMMYFUNCTION("""COMPUTED_VALUE"""),"DISERAHKAN")</f>
        <v>DISERAHKAN</v>
      </c>
      <c r="F6346" s="48">
        <f>IFERROR(__xludf.DUMMYFUNCTION("""COMPUTED_VALUE"""),45888.62261451389)</f>
        <v>45888.62261</v>
      </c>
      <c r="G6346" s="42" t="str">
        <f>IFERROR(__xludf.DUMMYFUNCTION("""COMPUTED_VALUE"""),"BN Jual Beli")</f>
        <v>BN Jual Beli</v>
      </c>
      <c r="H6346" s="42">
        <f t="shared" si="1"/>
        <v>2792</v>
      </c>
    </row>
    <row r="6347" ht="22.5" customHeight="1">
      <c r="B6347" s="42" t="str">
        <f>IFERROR(__xludf.DUMMYFUNCTION("""COMPUTED_VALUE"""),"K/14/040825/3")</f>
        <v>K/14/040825/3</v>
      </c>
      <c r="C6347" s="42" t="str">
        <f>IFERROR(__xludf.DUMMYFUNCTION("""COMPUTED_VALUE"""),"M. 124/ Sumur Putri")</f>
        <v>M. 124/ Sumur Putri</v>
      </c>
      <c r="D6347" s="42" t="str">
        <f>IFERROR(__xludf.DUMMYFUNCTION("""COMPUTED_VALUE"""),"Berry")</f>
        <v>Berry</v>
      </c>
      <c r="E6347" s="42" t="str">
        <f>IFERROR(__xludf.DUMMYFUNCTION("""COMPUTED_VALUE"""),"DISERAHKAN")</f>
        <v>DISERAHKAN</v>
      </c>
      <c r="F6347" s="48">
        <f>IFERROR(__xludf.DUMMYFUNCTION("""COMPUTED_VALUE"""),45894.57575655093)</f>
        <v>45894.57576</v>
      </c>
      <c r="G6347" s="42" t="str">
        <f>IFERROR(__xludf.DUMMYFUNCTION("""COMPUTED_VALUE"""),"BN Jual Beli")</f>
        <v>BN Jual Beli</v>
      </c>
      <c r="H6347" s="42">
        <f t="shared" si="1"/>
        <v>2793</v>
      </c>
    </row>
    <row r="6348" ht="22.5" customHeight="1">
      <c r="B6348" s="42" t="str">
        <f>IFERROR(__xludf.DUMMYFUNCTION("""COMPUTED_VALUE"""),"K/15/040825/4")</f>
        <v>K/15/040825/4</v>
      </c>
      <c r="C6348" s="42" t="str">
        <f>IFERROR(__xludf.DUMMYFUNCTION("""COMPUTED_VALUE"""),"Nibel. M. 16601/ Talang  ")</f>
        <v>Nibel. M. 16601/ Talang  </v>
      </c>
      <c r="D6348" s="42"/>
      <c r="E6348" s="42"/>
      <c r="F6348" s="48" t="str">
        <f>IFERROR(__xludf.DUMMYFUNCTION("""COMPUTED_VALUE"""),"")</f>
        <v/>
      </c>
      <c r="G6348" s="42" t="str">
        <f>IFERROR(__xludf.DUMMYFUNCTION("""COMPUTED_VALUE"""),"BN PHB")</f>
        <v>BN PHB</v>
      </c>
      <c r="H6348" s="42">
        <f t="shared" si="1"/>
        <v>2793</v>
      </c>
    </row>
    <row r="6349" ht="22.5" customHeight="1">
      <c r="B6349" s="42" t="str">
        <f>IFERROR(__xludf.DUMMYFUNCTION("""COMPUTED_VALUE"""),"K/16/040825/1")</f>
        <v>K/16/040825/1</v>
      </c>
      <c r="C6349" s="42" t="str">
        <f>IFERROR(__xludf.DUMMYFUNCTION("""COMPUTED_VALUE"""),"PBT 260/2024")</f>
        <v>PBT 260/2024</v>
      </c>
      <c r="D6349" s="42"/>
      <c r="E6349" s="42"/>
      <c r="F6349" s="48" t="str">
        <f>IFERROR(__xludf.DUMMYFUNCTION("""COMPUTED_VALUE"""),"")</f>
        <v/>
      </c>
      <c r="G6349" s="42" t="str">
        <f>IFERROR(__xludf.DUMMYFUNCTION("""COMPUTED_VALUE"""),"PTPGT TANAH MENTAH")</f>
        <v>PTPGT TANAH MENTAH</v>
      </c>
      <c r="H6349" s="42">
        <f t="shared" si="1"/>
        <v>2793</v>
      </c>
    </row>
    <row r="6350" ht="22.5" customHeight="1">
      <c r="B6350" s="42" t="str">
        <f>IFERROR(__xludf.DUMMYFUNCTION("""COMPUTED_VALUE"""),"K/17/040825/1")</f>
        <v>K/17/040825/1</v>
      </c>
      <c r="C6350" s="42" t="str">
        <f>IFERROR(__xludf.DUMMYFUNCTION("""COMPUTED_VALUE"""),"M. 1856/ Rajabasa Nunyai")</f>
        <v>M. 1856/ Rajabasa Nunyai</v>
      </c>
      <c r="D6350" s="42"/>
      <c r="E6350" s="42"/>
      <c r="F6350" s="48" t="str">
        <f>IFERROR(__xludf.DUMMYFUNCTION("""COMPUTED_VALUE"""),"")</f>
        <v/>
      </c>
      <c r="G6350" s="42" t="str">
        <f>IFERROR(__xludf.DUMMYFUNCTION("""COMPUTED_VALUE"""),"BN Jual Beli")</f>
        <v>BN Jual Beli</v>
      </c>
      <c r="H6350" s="42">
        <f t="shared" si="1"/>
        <v>2793</v>
      </c>
    </row>
    <row r="6351" ht="22.5" customHeight="1">
      <c r="B6351" s="42" t="str">
        <f>IFERROR(__xludf.DUMMYFUNCTION("""COMPUTED_VALUE"""),"L/18/040825/1")</f>
        <v>L/18/040825/1</v>
      </c>
      <c r="C6351" s="42" t="str">
        <f>IFERROR(__xludf.DUMMYFUNCTION("""COMPUTED_VALUE"""),"KEMILING RAYA")</f>
        <v>KEMILING RAYA</v>
      </c>
      <c r="D6351" s="42"/>
      <c r="E6351" s="42"/>
      <c r="F6351" s="48" t="str">
        <f>IFERROR(__xludf.DUMMYFUNCTION("""COMPUTED_VALUE"""),"")</f>
        <v/>
      </c>
      <c r="G6351" s="42" t="str">
        <f>IFERROR(__xludf.DUMMYFUNCTION("""COMPUTED_VALUE"""),"ASPEK")</f>
        <v>ASPEK</v>
      </c>
      <c r="H6351" s="42">
        <f t="shared" si="1"/>
        <v>2793</v>
      </c>
    </row>
    <row r="6352" ht="22.5" customHeight="1">
      <c r="B6352" s="42" t="str">
        <f>IFERROR(__xludf.DUMMYFUNCTION("""COMPUTED_VALUE"""),"K/19/040825/1")</f>
        <v>K/19/040825/1</v>
      </c>
      <c r="C6352" s="42" t="str">
        <f>IFERROR(__xludf.DUMMYFUNCTION("""COMPUTED_VALUE"""),"M. 3483/ Rajabasa Jaya")</f>
        <v>M. 3483/ Rajabasa Jaya</v>
      </c>
      <c r="D6352" s="42" t="str">
        <f>IFERROR(__xludf.DUMMYFUNCTION("""COMPUTED_VALUE"""),"Berry")</f>
        <v>Berry</v>
      </c>
      <c r="E6352" s="42" t="str">
        <f>IFERROR(__xludf.DUMMYFUNCTION("""COMPUTED_VALUE"""),"DISERAHKAN")</f>
        <v>DISERAHKAN</v>
      </c>
      <c r="F6352" s="48">
        <f>IFERROR(__xludf.DUMMYFUNCTION("""COMPUTED_VALUE"""),45894.58522743055)</f>
        <v>45894.58523</v>
      </c>
      <c r="G6352" s="42" t="str">
        <f>IFERROR(__xludf.DUMMYFUNCTION("""COMPUTED_VALUE"""),"BN JUAL BELI")</f>
        <v>BN JUAL BELI</v>
      </c>
      <c r="H6352" s="42">
        <f t="shared" si="1"/>
        <v>2794</v>
      </c>
    </row>
    <row r="6353" ht="22.5" customHeight="1">
      <c r="B6353" s="42" t="str">
        <f>IFERROR(__xludf.DUMMYFUNCTION("""COMPUTED_VALUE"""),"K/20/040825/2")</f>
        <v>K/20/040825/2</v>
      </c>
      <c r="C6353" s="42" t="str">
        <f>IFERROR(__xludf.DUMMYFUNCTION("""COMPUTED_VALUE"""),"M. 2572/ Way Kandis")</f>
        <v>M. 2572/ Way Kandis</v>
      </c>
      <c r="D6353" s="42" t="str">
        <f>IFERROR(__xludf.DUMMYFUNCTION("""COMPUTED_VALUE"""),"Berry")</f>
        <v>Berry</v>
      </c>
      <c r="E6353" s="42" t="str">
        <f>IFERROR(__xludf.DUMMYFUNCTION("""COMPUTED_VALUE"""),"DISERAHKAN")</f>
        <v>DISERAHKAN</v>
      </c>
      <c r="F6353" s="48">
        <f>IFERROR(__xludf.DUMMYFUNCTION("""COMPUTED_VALUE"""),45894.58668810185)</f>
        <v>45894.58669</v>
      </c>
      <c r="G6353" s="42" t="str">
        <f>IFERROR(__xludf.DUMMYFUNCTION("""COMPUTED_VALUE"""),"BN JUAL BELI")</f>
        <v>BN JUAL BELI</v>
      </c>
      <c r="H6353" s="42">
        <f t="shared" si="1"/>
        <v>2795</v>
      </c>
    </row>
    <row r="6354" ht="22.5" customHeight="1">
      <c r="B6354" s="42" t="str">
        <f>IFERROR(__xludf.DUMMYFUNCTION("""COMPUTED_VALUE"""),"K/21/040825/1")</f>
        <v>K/21/040825/1</v>
      </c>
      <c r="C6354" s="42" t="str">
        <f>IFERROR(__xludf.DUMMYFUNCTION("""COMPUTED_VALUE"""),"M. 2425/ Sukajawa")</f>
        <v>M. 2425/ Sukajawa</v>
      </c>
      <c r="D6354" s="42"/>
      <c r="E6354" s="42"/>
      <c r="F6354" s="48" t="str">
        <f>IFERROR(__xludf.DUMMYFUNCTION("""COMPUTED_VALUE"""),"")</f>
        <v/>
      </c>
      <c r="G6354" s="42" t="str">
        <f>IFERROR(__xludf.DUMMYFUNCTION("""COMPUTED_VALUE"""),"BN Jual Beli")</f>
        <v>BN Jual Beli</v>
      </c>
      <c r="H6354" s="42">
        <f t="shared" si="1"/>
        <v>2795</v>
      </c>
    </row>
    <row r="6355" ht="22.5" customHeight="1">
      <c r="B6355" s="42" t="str">
        <f>IFERROR(__xludf.DUMMYFUNCTION("""COMPUTED_VALUE"""),"K/22/040825/2")</f>
        <v>K/22/040825/2</v>
      </c>
      <c r="C6355" s="42" t="str">
        <f>IFERROR(__xludf.DUMMYFUNCTION("""COMPUTED_VALUE"""),"Nibel. M. 19769/ Jagabaya III  ")</f>
        <v>Nibel. M. 19769/ Jagabaya III  </v>
      </c>
      <c r="D6355" s="42"/>
      <c r="E6355" s="42"/>
      <c r="F6355" s="48" t="str">
        <f>IFERROR(__xludf.DUMMYFUNCTION("""COMPUTED_VALUE"""),"")</f>
        <v/>
      </c>
      <c r="G6355" s="42" t="str">
        <f>IFERROR(__xludf.DUMMYFUNCTION("""COMPUTED_VALUE"""),"BN Jual Beli")</f>
        <v>BN Jual Beli</v>
      </c>
      <c r="H6355" s="42">
        <f t="shared" si="1"/>
        <v>2795</v>
      </c>
    </row>
    <row r="6356" ht="22.5" customHeight="1">
      <c r="B6356" s="42" t="str">
        <f>IFERROR(__xludf.DUMMYFUNCTION("""COMPUTED_VALUE"""),"K/23/040825/3")</f>
        <v>K/23/040825/3</v>
      </c>
      <c r="C6356" s="42" t="str">
        <f>IFERROR(__xludf.DUMMYFUNCTION("""COMPUTED_VALUE"""),"M. 1025/ Jagabaya III  ")</f>
        <v>M. 1025/ Jagabaya III  </v>
      </c>
      <c r="D6356" s="42"/>
      <c r="E6356" s="42"/>
      <c r="F6356" s="48" t="str">
        <f>IFERROR(__xludf.DUMMYFUNCTION("""COMPUTED_VALUE"""),"")</f>
        <v/>
      </c>
      <c r="G6356" s="42" t="str">
        <f>IFERROR(__xludf.DUMMYFUNCTION("""COMPUTED_VALUE"""),"BN Jual Beli")</f>
        <v>BN Jual Beli</v>
      </c>
      <c r="H6356" s="42">
        <f t="shared" si="1"/>
        <v>2795</v>
      </c>
    </row>
    <row r="6357" ht="22.5" customHeight="1">
      <c r="B6357" s="42" t="str">
        <f>IFERROR(__xludf.DUMMYFUNCTION("""COMPUTED_VALUE"""),"L/25/040825/1")</f>
        <v>L/25/040825/1</v>
      </c>
      <c r="C6357" s="42" t="str">
        <f>IFERROR(__xludf.DUMMYFUNCTION("""COMPUTED_VALUE"""),"NIB 18092/KEMILING PERMAI")</f>
        <v>NIB 18092/KEMILING PERMAI</v>
      </c>
      <c r="D6357" s="42"/>
      <c r="E6357" s="42"/>
      <c r="F6357" s="48" t="str">
        <f>IFERROR(__xludf.DUMMYFUNCTION("""COMPUTED_VALUE"""),"")</f>
        <v/>
      </c>
      <c r="G6357" s="42" t="str">
        <f>IFERROR(__xludf.DUMMYFUNCTION("""COMPUTED_VALUE"""),"PEMECAHAN")</f>
        <v>PEMECAHAN</v>
      </c>
      <c r="H6357" s="42">
        <f t="shared" si="1"/>
        <v>2795</v>
      </c>
    </row>
    <row r="6358" ht="22.5" customHeight="1">
      <c r="B6358" s="42" t="str">
        <f>IFERROR(__xludf.DUMMYFUNCTION("""COMPUTED_VALUE"""),"K/26/040825/1")</f>
        <v>K/26/040825/1</v>
      </c>
      <c r="C6358" s="42" t="str">
        <f>IFERROR(__xludf.DUMMYFUNCTION("""COMPUTED_VALUE"""),"Nibel 22434/ Way Kandis")</f>
        <v>Nibel 22434/ Way Kandis</v>
      </c>
      <c r="D6358" s="42"/>
      <c r="E6358" s="42"/>
      <c r="F6358" s="48" t="str">
        <f>IFERROR(__xludf.DUMMYFUNCTION("""COMPUTED_VALUE"""),"")</f>
        <v/>
      </c>
      <c r="G6358" s="42" t="str">
        <f>IFERROR(__xludf.DUMMYFUNCTION("""COMPUTED_VALUE"""),"BN WARIS")</f>
        <v>BN WARIS</v>
      </c>
      <c r="H6358" s="42">
        <f t="shared" si="1"/>
        <v>2795</v>
      </c>
    </row>
    <row r="6359" ht="22.5" customHeight="1">
      <c r="B6359" s="42" t="str">
        <f>IFERROR(__xludf.DUMMYFUNCTION("""COMPUTED_VALUE"""),"K/28/040825/1")</f>
        <v>K/28/040825/1</v>
      </c>
      <c r="C6359" s="42" t="str">
        <f>IFERROR(__xludf.DUMMYFUNCTION("""COMPUTED_VALUE"""),"NIBEL M. 20189/SUKARAME II")</f>
        <v>NIBEL M. 20189/SUKARAME II</v>
      </c>
      <c r="D6359" s="42"/>
      <c r="E6359" s="42"/>
      <c r="F6359" s="48" t="str">
        <f>IFERROR(__xludf.DUMMYFUNCTION("""COMPUTED_VALUE"""),"")</f>
        <v/>
      </c>
      <c r="G6359" s="42" t="str">
        <f>IFERROR(__xludf.DUMMYFUNCTION("""COMPUTED_VALUE"""),"SKPT INFORMASI")</f>
        <v>SKPT INFORMASI</v>
      </c>
      <c r="H6359" s="42">
        <f t="shared" si="1"/>
        <v>2795</v>
      </c>
    </row>
    <row r="6360" ht="22.5" customHeight="1">
      <c r="B6360" s="42" t="str">
        <f>IFERROR(__xludf.DUMMYFUNCTION("""COMPUTED_VALUE"""),"K/27/040825/2")</f>
        <v>K/27/040825/2</v>
      </c>
      <c r="C6360" s="42" t="str">
        <f>IFERROR(__xludf.DUMMYFUNCTION("""COMPUTED_VALUE"""),"M. 5873/ Way Kandis")</f>
        <v>M. 5873/ Way Kandis</v>
      </c>
      <c r="D6360" s="42"/>
      <c r="E6360" s="42"/>
      <c r="F6360" s="48" t="str">
        <f>IFERROR(__xludf.DUMMYFUNCTION("""COMPUTED_VALUE"""),"")</f>
        <v/>
      </c>
      <c r="G6360" s="42" t="str">
        <f>IFERROR(__xludf.DUMMYFUNCTION("""COMPUTED_VALUE"""),"BN JUAL BELI")</f>
        <v>BN JUAL BELI</v>
      </c>
      <c r="H6360" s="42">
        <f t="shared" si="1"/>
        <v>2795</v>
      </c>
    </row>
    <row r="6361" ht="22.5" customHeight="1">
      <c r="B6361" s="42" t="str">
        <f>IFERROR(__xludf.DUMMYFUNCTION("""COMPUTED_VALUE"""),"K/29/040825/2")</f>
        <v>K/29/040825/2</v>
      </c>
      <c r="C6361" s="42" t="str">
        <f>IFERROR(__xludf.DUMMYFUNCTION("""COMPUTED_VALUE"""),"NIBEL B. 13016/SUKARAME II")</f>
        <v>NIBEL B. 13016/SUKARAME II</v>
      </c>
      <c r="D6361" s="42" t="str">
        <f>IFERROR(__xludf.DUMMYFUNCTION("""COMPUTED_VALUE"""),"Berry")</f>
        <v>Berry</v>
      </c>
      <c r="E6361" s="42" t="str">
        <f>IFERROR(__xludf.DUMMYFUNCTION("""COMPUTED_VALUE"""),"DISERAHKAN")</f>
        <v>DISERAHKAN</v>
      </c>
      <c r="F6361" s="48">
        <f>IFERROR(__xludf.DUMMYFUNCTION("""COMPUTED_VALUE"""),45908.6324759375)</f>
        <v>45908.63248</v>
      </c>
      <c r="G6361" s="42" t="str">
        <f>IFERROR(__xludf.DUMMYFUNCTION("""COMPUTED_VALUE"""),"SKPT INFORMASI")</f>
        <v>SKPT INFORMASI</v>
      </c>
      <c r="H6361" s="42">
        <f t="shared" si="1"/>
        <v>2796</v>
      </c>
    </row>
    <row r="6362" ht="22.5" customHeight="1">
      <c r="B6362" s="42" t="str">
        <f>IFERROR(__xludf.DUMMYFUNCTION("""COMPUTED_VALUE"""),"K/30/040825/3")</f>
        <v>K/30/040825/3</v>
      </c>
      <c r="C6362" s="42" t="str">
        <f>IFERROR(__xludf.DUMMYFUNCTION("""COMPUTED_VALUE"""),"NIBEL B. 13014/SUKARAME II")</f>
        <v>NIBEL B. 13014/SUKARAME II</v>
      </c>
      <c r="D6362" s="42"/>
      <c r="E6362" s="42"/>
      <c r="F6362" s="48" t="str">
        <f>IFERROR(__xludf.DUMMYFUNCTION("""COMPUTED_VALUE"""),"")</f>
        <v/>
      </c>
      <c r="G6362" s="42" t="str">
        <f>IFERROR(__xludf.DUMMYFUNCTION("""COMPUTED_VALUE"""),"SKPT INFORMASI")</f>
        <v>SKPT INFORMASI</v>
      </c>
      <c r="H6362" s="42">
        <f t="shared" si="1"/>
        <v>2796</v>
      </c>
    </row>
    <row r="6363" ht="22.5" customHeight="1">
      <c r="B6363" s="42" t="str">
        <f>IFERROR(__xludf.DUMMYFUNCTION("""COMPUTED_VALUE"""),"K/11/040825/1")</f>
        <v>K/11/040825/1</v>
      </c>
      <c r="C6363" s="42" t="str">
        <f>IFERROR(__xludf.DUMMYFUNCTION("""COMPUTED_VALUE"""),"NIBEL M 19349/LANGKAPURA")</f>
        <v>NIBEL M 19349/LANGKAPURA</v>
      </c>
      <c r="D6363" s="42"/>
      <c r="E6363" s="42"/>
      <c r="F6363" s="48" t="str">
        <f>IFERROR(__xludf.DUMMYFUNCTION("""COMPUTED_VALUE"""),"")</f>
        <v/>
      </c>
      <c r="G6363" s="42" t="str">
        <f>IFERROR(__xludf.DUMMYFUNCTION("""COMPUTED_VALUE"""),"JUAL BELI ")</f>
        <v>JUAL BELI </v>
      </c>
      <c r="H6363" s="42">
        <f t="shared" si="1"/>
        <v>2796</v>
      </c>
    </row>
    <row r="6364" ht="22.5" customHeight="1">
      <c r="B6364" s="42" t="str">
        <f>IFERROR(__xludf.DUMMYFUNCTION("""COMPUTED_VALUE"""),"K/32/040825/1")</f>
        <v>K/32/040825/1</v>
      </c>
      <c r="C6364" s="42" t="str">
        <f>IFERROR(__xludf.DUMMYFUNCTION("""COMPUTED_VALUE"""),"NIBEL B.402/KEMILING PERMAI ")</f>
        <v>NIBEL B.402/KEMILING PERMAI </v>
      </c>
      <c r="D6364" s="42"/>
      <c r="E6364" s="42"/>
      <c r="F6364" s="48" t="str">
        <f>IFERROR(__xludf.DUMMYFUNCTION("""COMPUTED_VALUE"""),"")</f>
        <v/>
      </c>
      <c r="G6364" s="42" t="str">
        <f>IFERROR(__xludf.DUMMYFUNCTION("""COMPUTED_VALUE"""),"PENINGKATAN")</f>
        <v>PENINGKATAN</v>
      </c>
      <c r="H6364" s="42">
        <f t="shared" si="1"/>
        <v>2796</v>
      </c>
    </row>
    <row r="6365" ht="22.5" customHeight="1">
      <c r="B6365" s="42" t="str">
        <f>IFERROR(__xludf.DUMMYFUNCTION("""COMPUTED_VALUE"""),"K/33/040825/2")</f>
        <v>K/33/040825/2</v>
      </c>
      <c r="C6365" s="42" t="str">
        <f>IFERROR(__xludf.DUMMYFUNCTION("""COMPUTED_VALUE"""),"NIBEL B 431/KEMILING PERMAI")</f>
        <v>NIBEL B 431/KEMILING PERMAI</v>
      </c>
      <c r="D6365" s="42"/>
      <c r="E6365" s="42"/>
      <c r="F6365" s="48" t="str">
        <f>IFERROR(__xludf.DUMMYFUNCTION("""COMPUTED_VALUE"""),"")</f>
        <v/>
      </c>
      <c r="G6365" s="42" t="str">
        <f>IFERROR(__xludf.DUMMYFUNCTION("""COMPUTED_VALUE"""),"PENINGKATAN")</f>
        <v>PENINGKATAN</v>
      </c>
      <c r="H6365" s="42">
        <f t="shared" si="1"/>
        <v>2796</v>
      </c>
    </row>
    <row r="6366" ht="22.5" customHeight="1">
      <c r="B6366" s="42" t="str">
        <f>IFERROR(__xludf.DUMMYFUNCTION("""COMPUTED_VALUE"""),"K/34/040825/1")</f>
        <v>K/34/040825/1</v>
      </c>
      <c r="C6366" s="42" t="str">
        <f>IFERROR(__xludf.DUMMYFUNCTION("""COMPUTED_VALUE"""),"B.75/GULAK GALIK")</f>
        <v>B.75/GULAK GALIK</v>
      </c>
      <c r="D6366" s="42"/>
      <c r="E6366" s="42"/>
      <c r="F6366" s="48" t="str">
        <f>IFERROR(__xludf.DUMMYFUNCTION("""COMPUTED_VALUE"""),"")</f>
        <v/>
      </c>
      <c r="G6366" s="42" t="str">
        <f>IFERROR(__xludf.DUMMYFUNCTION("""COMPUTED_VALUE"""),"PTPGT ")</f>
        <v>PTPGT </v>
      </c>
      <c r="H6366" s="42">
        <f t="shared" si="1"/>
        <v>2796</v>
      </c>
    </row>
    <row r="6367" ht="22.5" customHeight="1">
      <c r="B6367" s="42" t="str">
        <f>IFERROR(__xludf.DUMMYFUNCTION("""COMPUTED_VALUE"""),"K/1/050825/1")</f>
        <v>K/1/050825/1</v>
      </c>
      <c r="C6367" s="42" t="str">
        <f>IFERROR(__xludf.DUMMYFUNCTION("""COMPUTED_VALUE"""),"B. 2407/ Campang Jaya")</f>
        <v>B. 2407/ Campang Jaya</v>
      </c>
      <c r="D6367" s="42"/>
      <c r="E6367" s="42"/>
      <c r="F6367" s="48" t="str">
        <f>IFERROR(__xludf.DUMMYFUNCTION("""COMPUTED_VALUE"""),"")</f>
        <v/>
      </c>
      <c r="G6367" s="42" t="str">
        <f>IFERROR(__xludf.DUMMYFUNCTION("""COMPUTED_VALUE"""),"BN WARIS")</f>
        <v>BN WARIS</v>
      </c>
      <c r="H6367" s="42">
        <f t="shared" si="1"/>
        <v>2796</v>
      </c>
    </row>
    <row r="6368" ht="22.5" customHeight="1">
      <c r="B6368" s="42" t="str">
        <f>IFERROR(__xludf.DUMMYFUNCTION("""COMPUTED_VALUE"""),"K/31/040825/4")</f>
        <v>K/31/040825/4</v>
      </c>
      <c r="C6368" s="42" t="str">
        <f>IFERROR(__xludf.DUMMYFUNCTION("""COMPUTED_VALUE"""),"NIBEL M. 18119/SUKARAME II")</f>
        <v>NIBEL M. 18119/SUKARAME II</v>
      </c>
      <c r="D6368" s="42" t="str">
        <f>IFERROR(__xludf.DUMMYFUNCTION("""COMPUTED_VALUE"""),"David")</f>
        <v>David</v>
      </c>
      <c r="E6368" s="42" t="str">
        <f>IFERROR(__xludf.DUMMYFUNCTION("""COMPUTED_VALUE"""),"DISERAHKAN")</f>
        <v>DISERAHKAN</v>
      </c>
      <c r="F6368" s="48">
        <f>IFERROR(__xludf.DUMMYFUNCTION("""COMPUTED_VALUE"""),45883.658023888886)</f>
        <v>45883.65802</v>
      </c>
      <c r="G6368" s="42" t="str">
        <f>IFERROR(__xludf.DUMMYFUNCTION("""COMPUTED_VALUE"""),"SKPT INFORMASI")</f>
        <v>SKPT INFORMASI</v>
      </c>
      <c r="H6368" s="42">
        <f t="shared" si="1"/>
        <v>2797</v>
      </c>
    </row>
    <row r="6369" ht="22.5" customHeight="1">
      <c r="B6369" s="42" t="str">
        <f>IFERROR(__xludf.DUMMYFUNCTION("""COMPUTED_VALUE"""),"K/2/050825/1")</f>
        <v>K/2/050825/1</v>
      </c>
      <c r="C6369" s="42" t="str">
        <f>IFERROR(__xludf.DUMMYFUNCTION("""COMPUTED_VALUE"""),"M.10330/KEDAMAIAN")</f>
        <v>M.10330/KEDAMAIAN</v>
      </c>
      <c r="D6369" s="42"/>
      <c r="E6369" s="42"/>
      <c r="F6369" s="48" t="str">
        <f>IFERROR(__xludf.DUMMYFUNCTION("""COMPUTED_VALUE"""),"")</f>
        <v/>
      </c>
      <c r="G6369" s="42" t="str">
        <f>IFERROR(__xludf.DUMMYFUNCTION("""COMPUTED_VALUE"""),"BN WARIS")</f>
        <v>BN WARIS</v>
      </c>
      <c r="H6369" s="42">
        <f t="shared" si="1"/>
        <v>2797</v>
      </c>
    </row>
    <row r="6370" ht="22.5" customHeight="1">
      <c r="B6370" s="42" t="str">
        <f>IFERROR(__xludf.DUMMYFUNCTION("""COMPUTED_VALUE"""),"K/3/050825/1")</f>
        <v>K/3/050825/1</v>
      </c>
      <c r="C6370" s="42" t="str">
        <f>IFERROR(__xludf.DUMMYFUNCTION("""COMPUTED_VALUE"""),"M.5924/TANJUNG SENENG")</f>
        <v>M.5924/TANJUNG SENENG</v>
      </c>
      <c r="D6370" s="42"/>
      <c r="E6370" s="42"/>
      <c r="F6370" s="48" t="str">
        <f>IFERROR(__xludf.DUMMYFUNCTION("""COMPUTED_VALUE"""),"")</f>
        <v/>
      </c>
      <c r="G6370" s="42" t="str">
        <f>IFERROR(__xludf.DUMMYFUNCTION("""COMPUTED_VALUE"""),"KEWARISAN")</f>
        <v>KEWARISAN</v>
      </c>
      <c r="H6370" s="42">
        <f t="shared" si="1"/>
        <v>2797</v>
      </c>
    </row>
    <row r="6371" ht="22.5" customHeight="1">
      <c r="B6371" s="42" t="str">
        <f>IFERROR(__xludf.DUMMYFUNCTION("""COMPUTED_VALUE"""),"K/4/050825/1")</f>
        <v>K/4/050825/1</v>
      </c>
      <c r="C6371" s="42" t="str">
        <f>IFERROR(__xludf.DUMMYFUNCTION("""COMPUTED_VALUE"""),"M. 1936/ Rajabasa Raya")</f>
        <v>M. 1936/ Rajabasa Raya</v>
      </c>
      <c r="D6371" s="42" t="str">
        <f>IFERROR(__xludf.DUMMYFUNCTION("""COMPUTED_VALUE"""),"Berry")</f>
        <v>Berry</v>
      </c>
      <c r="E6371" s="42" t="str">
        <f>IFERROR(__xludf.DUMMYFUNCTION("""COMPUTED_VALUE"""),"DISERAHKAN")</f>
        <v>DISERAHKAN</v>
      </c>
      <c r="F6371" s="48">
        <f>IFERROR(__xludf.DUMMYFUNCTION("""COMPUTED_VALUE"""),45932.7050812963)</f>
        <v>45932.70508</v>
      </c>
      <c r="G6371" s="42" t="str">
        <f>IFERROR(__xludf.DUMMYFUNCTION("""COMPUTED_VALUE"""),"SKPT LELANG")</f>
        <v>SKPT LELANG</v>
      </c>
      <c r="H6371" s="42">
        <f t="shared" si="1"/>
        <v>2798</v>
      </c>
    </row>
    <row r="6372" ht="22.5" customHeight="1">
      <c r="B6372" s="42" t="str">
        <f>IFERROR(__xludf.DUMMYFUNCTION("""COMPUTED_VALUE"""),"K/5/050825/2")</f>
        <v>K/5/050825/2</v>
      </c>
      <c r="C6372" s="42" t="str">
        <f>IFERROR(__xludf.DUMMYFUNCTION("""COMPUTED_VALUE"""),"M. 256/ Rajabasa Raya")</f>
        <v>M. 256/ Rajabasa Raya</v>
      </c>
      <c r="D6372" s="42"/>
      <c r="E6372" s="42"/>
      <c r="F6372" s="48" t="str">
        <f>IFERROR(__xludf.DUMMYFUNCTION("""COMPUTED_VALUE"""),"")</f>
        <v/>
      </c>
      <c r="G6372" s="42" t="str">
        <f>IFERROR(__xludf.DUMMYFUNCTION("""COMPUTED_VALUE"""),"SKPT LELANG")</f>
        <v>SKPT LELANG</v>
      </c>
      <c r="H6372" s="42">
        <f t="shared" si="1"/>
        <v>2798</v>
      </c>
    </row>
    <row r="6373" ht="22.5" customHeight="1">
      <c r="B6373" s="42" t="str">
        <f>IFERROR(__xludf.DUMMYFUNCTION("""COMPUTED_VALUE"""),"K/6/050825/3")</f>
        <v>K/6/050825/3</v>
      </c>
      <c r="C6373" s="42" t="str">
        <f>IFERROR(__xludf.DUMMYFUNCTION("""COMPUTED_VALUE"""),"M. 621/ Rajabasa raya")</f>
        <v>M. 621/ Rajabasa raya</v>
      </c>
      <c r="D6373" s="42"/>
      <c r="E6373" s="42"/>
      <c r="F6373" s="48" t="str">
        <f>IFERROR(__xludf.DUMMYFUNCTION("""COMPUTED_VALUE"""),"")</f>
        <v/>
      </c>
      <c r="G6373" s="42" t="str">
        <f>IFERROR(__xludf.DUMMYFUNCTION("""COMPUTED_VALUE"""),"SKPT LELANG")</f>
        <v>SKPT LELANG</v>
      </c>
      <c r="H6373" s="42">
        <f t="shared" si="1"/>
        <v>2798</v>
      </c>
    </row>
    <row r="6374" ht="22.5" customHeight="1">
      <c r="B6374" s="42" t="str">
        <f>IFERROR(__xludf.DUMMYFUNCTION("""COMPUTED_VALUE"""),"L/7/050825/1")</f>
        <v>L/7/050825/1</v>
      </c>
      <c r="C6374" s="42" t="str">
        <f>IFERROR(__xludf.DUMMYFUNCTION("""COMPUTED_VALUE"""),"NIB 23831/SUKABUMI")</f>
        <v>NIB 23831/SUKABUMI</v>
      </c>
      <c r="D6374" s="42"/>
      <c r="E6374" s="42"/>
      <c r="F6374" s="48" t="str">
        <f>IFERROR(__xludf.DUMMYFUNCTION("""COMPUTED_VALUE"""),"")</f>
        <v/>
      </c>
      <c r="G6374" s="42" t="str">
        <f>IFERROR(__xludf.DUMMYFUNCTION("""COMPUTED_VALUE"""),"PH")</f>
        <v>PH</v>
      </c>
      <c r="H6374" s="42">
        <f t="shared" si="1"/>
        <v>2798</v>
      </c>
    </row>
    <row r="6375" ht="22.5" customHeight="1">
      <c r="B6375" s="42" t="str">
        <f>IFERROR(__xludf.DUMMYFUNCTION("""COMPUTED_VALUE"""),"L/10/050825/1")</f>
        <v>L/10/050825/1</v>
      </c>
      <c r="C6375" s="42" t="str">
        <f>IFERROR(__xludf.DUMMYFUNCTION("""COMPUTED_VALUE"""),"HM 1199/WHP")</f>
        <v>HM 1199/WHP</v>
      </c>
      <c r="D6375" s="42"/>
      <c r="E6375" s="42"/>
      <c r="F6375" s="48" t="str">
        <f>IFERROR(__xludf.DUMMYFUNCTION("""COMPUTED_VALUE"""),"")</f>
        <v/>
      </c>
      <c r="G6375" s="42" t="str">
        <f>IFERROR(__xludf.DUMMYFUNCTION("""COMPUTED_VALUE"""),"ROYA WARIS")</f>
        <v>ROYA WARIS</v>
      </c>
      <c r="H6375" s="42">
        <f t="shared" si="1"/>
        <v>2798</v>
      </c>
    </row>
    <row r="6376" ht="22.5" customHeight="1">
      <c r="B6376" s="42" t="str">
        <f>IFERROR(__xludf.DUMMYFUNCTION("""COMPUTED_VALUE"""),"K/8/050825/1")</f>
        <v>K/8/050825/1</v>
      </c>
      <c r="C6376" s="42" t="str">
        <f>IFERROR(__xludf.DUMMYFUNCTION("""COMPUTED_VALUE"""),"Nibel. M. 21263/ Pengajaran")</f>
        <v>Nibel. M. 21263/ Pengajaran</v>
      </c>
      <c r="D6376" s="42" t="str">
        <f>IFERROR(__xludf.DUMMYFUNCTION("""COMPUTED_VALUE"""),"David")</f>
        <v>David</v>
      </c>
      <c r="E6376" s="42" t="str">
        <f>IFERROR(__xludf.DUMMYFUNCTION("""COMPUTED_VALUE"""),"DISERAHKAN")</f>
        <v>DISERAHKAN</v>
      </c>
      <c r="F6376" s="48">
        <f>IFERROR(__xludf.DUMMYFUNCTION("""COMPUTED_VALUE"""),45908.62786479166)</f>
        <v>45908.62786</v>
      </c>
      <c r="G6376" s="42" t="str">
        <f>IFERROR(__xludf.DUMMYFUNCTION("""COMPUTED_VALUE"""),"BN Jual Beli")</f>
        <v>BN Jual Beli</v>
      </c>
      <c r="H6376" s="42">
        <f t="shared" si="1"/>
        <v>2799</v>
      </c>
    </row>
    <row r="6377" ht="22.5" customHeight="1">
      <c r="B6377" s="42" t="str">
        <f>IFERROR(__xludf.DUMMYFUNCTION("""COMPUTED_VALUE"""),"K/9/050825/1")</f>
        <v>K/9/050825/1</v>
      </c>
      <c r="C6377" s="42" t="str">
        <f>IFERROR(__xludf.DUMMYFUNCTION("""COMPUTED_VALUE"""),"M. 25/ Sukarame Baru")</f>
        <v>M. 25/ Sukarame Baru</v>
      </c>
      <c r="D6377" s="42"/>
      <c r="E6377" s="42"/>
      <c r="F6377" s="48" t="str">
        <f>IFERROR(__xludf.DUMMYFUNCTION("""COMPUTED_VALUE"""),"")</f>
        <v/>
      </c>
      <c r="G6377" s="42" t="str">
        <f>IFERROR(__xludf.DUMMYFUNCTION("""COMPUTED_VALUE"""),"BN Jual Bel")</f>
        <v>BN Jual Bel</v>
      </c>
      <c r="H6377" s="42">
        <f t="shared" si="1"/>
        <v>2799</v>
      </c>
    </row>
    <row r="6378" ht="22.5" customHeight="1">
      <c r="B6378" s="42" t="str">
        <f>IFERROR(__xludf.DUMMYFUNCTION("""COMPUTED_VALUE"""),"K/11/050825/1")</f>
        <v>K/11/050825/1</v>
      </c>
      <c r="C6378" s="42" t="str">
        <f>IFERROR(__xludf.DUMMYFUNCTION("""COMPUTED_VALUE"""),"NIBEL M 20503/RAJABASA ")</f>
        <v>NIBEL M 20503/RAJABASA </v>
      </c>
      <c r="D6378" s="42"/>
      <c r="E6378" s="42"/>
      <c r="F6378" s="48" t="str">
        <f>IFERROR(__xludf.DUMMYFUNCTION("""COMPUTED_VALUE"""),"")</f>
        <v/>
      </c>
      <c r="G6378" s="42" t="str">
        <f>IFERROR(__xludf.DUMMYFUNCTION("""COMPUTED_VALUE"""),"JUAL BELI")</f>
        <v>JUAL BELI</v>
      </c>
      <c r="H6378" s="42">
        <f t="shared" si="1"/>
        <v>2799</v>
      </c>
    </row>
    <row r="6379" ht="22.5" customHeight="1">
      <c r="B6379" s="42" t="str">
        <f>IFERROR(__xludf.DUMMYFUNCTION("""COMPUTED_VALUE"""),"L/12/050825/1")</f>
        <v>L/12/050825/1</v>
      </c>
      <c r="C6379" s="42" t="str">
        <f>IFERROR(__xludf.DUMMYFUNCTION("""COMPUTED_VALUE"""),"HM 41/SUKARAME BARU")</f>
        <v>HM 41/SUKARAME BARU</v>
      </c>
      <c r="D6379" s="42"/>
      <c r="E6379" s="42"/>
      <c r="F6379" s="48" t="str">
        <f>IFERROR(__xludf.DUMMYFUNCTION("""COMPUTED_VALUE"""),"")</f>
        <v/>
      </c>
      <c r="G6379" s="42" t="str">
        <f>IFERROR(__xludf.DUMMYFUNCTION("""COMPUTED_VALUE"""),"ROYA")</f>
        <v>ROYA</v>
      </c>
      <c r="H6379" s="42">
        <f t="shared" si="1"/>
        <v>2799</v>
      </c>
    </row>
    <row r="6380" ht="22.5" customHeight="1">
      <c r="B6380" s="42" t="str">
        <f>IFERROR(__xludf.DUMMYFUNCTION("""COMPUTED_VALUE"""),"K/14/050825/1")</f>
        <v>K/14/050825/1</v>
      </c>
      <c r="C6380" s="42" t="str">
        <f>IFERROR(__xludf.DUMMYFUNCTION("""COMPUTED_VALUE"""),"M. 17483/Sukarame")</f>
        <v>M. 17483/Sukarame</v>
      </c>
      <c r="D6380" s="42" t="str">
        <f>IFERROR(__xludf.DUMMYFUNCTION("""COMPUTED_VALUE"""),"Berry")</f>
        <v>Berry</v>
      </c>
      <c r="E6380" s="42" t="str">
        <f>IFERROR(__xludf.DUMMYFUNCTION("""COMPUTED_VALUE"""),"DISERAHKAN")</f>
        <v>DISERAHKAN</v>
      </c>
      <c r="F6380" s="48">
        <f>IFERROR(__xludf.DUMMYFUNCTION("""COMPUTED_VALUE"""),45891.592899131945)</f>
        <v>45891.5929</v>
      </c>
      <c r="G6380" s="42" t="str">
        <f>IFERROR(__xludf.DUMMYFUNCTION("""COMPUTED_VALUE"""),"BN JUAL BELI")</f>
        <v>BN JUAL BELI</v>
      </c>
      <c r="H6380" s="42">
        <f t="shared" si="1"/>
        <v>2800</v>
      </c>
    </row>
    <row r="6381" ht="22.5" customHeight="1">
      <c r="B6381" s="42" t="str">
        <f>IFERROR(__xludf.DUMMYFUNCTION("""COMPUTED_VALUE"""),"K/13/050825/1")</f>
        <v>K/13/050825/1</v>
      </c>
      <c r="C6381" s="42" t="str">
        <f>IFERROR(__xludf.DUMMYFUNCTION("""COMPUTED_VALUE"""),"NIBEL M. 17548/RAJABASA PEMUKA")</f>
        <v>NIBEL M. 17548/RAJABASA PEMUKA</v>
      </c>
      <c r="D6381" s="42" t="str">
        <f>IFERROR(__xludf.DUMMYFUNCTION("""COMPUTED_VALUE"""),"Berry")</f>
        <v>Berry</v>
      </c>
      <c r="E6381" s="42" t="str">
        <f>IFERROR(__xludf.DUMMYFUNCTION("""COMPUTED_VALUE"""),"DISERAHKAN")</f>
        <v>DISERAHKAN</v>
      </c>
      <c r="F6381" s="48">
        <f>IFERROR(__xludf.DUMMYFUNCTION("""COMPUTED_VALUE"""),45894.59333030092)</f>
        <v>45894.59333</v>
      </c>
      <c r="G6381" s="42" t="str">
        <f>IFERROR(__xludf.DUMMYFUNCTION("""COMPUTED_VALUE"""),"BN LELANG")</f>
        <v>BN LELANG</v>
      </c>
      <c r="H6381" s="42">
        <f t="shared" si="1"/>
        <v>2801</v>
      </c>
    </row>
    <row r="6382" ht="22.5" customHeight="1">
      <c r="B6382" s="42" t="str">
        <f>IFERROR(__xludf.DUMMYFUNCTION("""COMPUTED_VALUE"""),"K/15/050825/1")</f>
        <v>K/15/050825/1</v>
      </c>
      <c r="C6382" s="42" t="str">
        <f>IFERROR(__xludf.DUMMYFUNCTION("""COMPUTED_VALUE"""),"M.1852/WAY LAGA")</f>
        <v>M.1852/WAY LAGA</v>
      </c>
      <c r="D6382" s="42"/>
      <c r="E6382" s="42"/>
      <c r="F6382" s="48" t="str">
        <f>IFERROR(__xludf.DUMMYFUNCTION("""COMPUTED_VALUE"""),"")</f>
        <v/>
      </c>
      <c r="G6382" s="42" t="str">
        <f>IFERROR(__xludf.DUMMYFUNCTION("""COMPUTED_VALUE"""),"JUAL BELI")</f>
        <v>JUAL BELI</v>
      </c>
      <c r="H6382" s="42">
        <f t="shared" si="1"/>
        <v>2801</v>
      </c>
    </row>
    <row r="6383" ht="22.5" customHeight="1">
      <c r="B6383" s="42" t="str">
        <f>IFERROR(__xludf.DUMMYFUNCTION("""COMPUTED_VALUE"""),"L/17/050825/1")</f>
        <v>L/17/050825/1</v>
      </c>
      <c r="C6383" s="42" t="str">
        <f>IFERROR(__xludf.DUMMYFUNCTION("""COMPUTED_VALUE"""),"HGB 1371/PINANG JAYA")</f>
        <v>HGB 1371/PINANG JAYA</v>
      </c>
      <c r="D6383" s="42" t="str">
        <f>IFERROR(__xludf.DUMMYFUNCTION("""COMPUTED_VALUE"""),"Berry")</f>
        <v>Berry</v>
      </c>
      <c r="E6383" s="42" t="str">
        <f>IFERROR(__xludf.DUMMYFUNCTION("""COMPUTED_VALUE"""),"DISERAHKAN")</f>
        <v>DISERAHKAN</v>
      </c>
      <c r="F6383" s="48">
        <f>IFERROR(__xludf.DUMMYFUNCTION("""COMPUTED_VALUE"""),45883.66347194444)</f>
        <v>45883.66347</v>
      </c>
      <c r="G6383" s="42" t="str">
        <f>IFERROR(__xludf.DUMMYFUNCTION("""COMPUTED_VALUE"""),"PH")</f>
        <v>PH</v>
      </c>
      <c r="H6383" s="42">
        <f t="shared" si="1"/>
        <v>2802</v>
      </c>
    </row>
    <row r="6384" ht="22.5" customHeight="1">
      <c r="B6384" s="42" t="str">
        <f>IFERROR(__xludf.DUMMYFUNCTION("""COMPUTED_VALUE"""),"K/16/050825/1")</f>
        <v>K/16/050825/1</v>
      </c>
      <c r="C6384" s="42" t="str">
        <f>IFERROR(__xludf.DUMMYFUNCTION("""COMPUTED_VALUE"""),"M. 3927/CAMPANG RAYA")</f>
        <v>M. 3927/CAMPANG RAYA</v>
      </c>
      <c r="D6384" s="42"/>
      <c r="E6384" s="42"/>
      <c r="F6384" s="48" t="str">
        <f>IFERROR(__xludf.DUMMYFUNCTION("""COMPUTED_VALUE"""),"")</f>
        <v/>
      </c>
      <c r="G6384" s="42" t="str">
        <f>IFERROR(__xludf.DUMMYFUNCTION("""COMPUTED_VALUE"""),"HAPUS BPHTB")</f>
        <v>HAPUS BPHTB</v>
      </c>
      <c r="H6384" s="42">
        <f t="shared" si="1"/>
        <v>2802</v>
      </c>
    </row>
    <row r="6385" ht="22.5" customHeight="1">
      <c r="B6385" s="42" t="str">
        <f>IFERROR(__xludf.DUMMYFUNCTION("""COMPUTED_VALUE"""),"K/18/050825/1")</f>
        <v>K/18/050825/1</v>
      </c>
      <c r="C6385" s="42" t="str">
        <f>IFERROR(__xludf.DUMMYFUNCTION("""COMPUTED_VALUE"""),"Nibel. M. 21203/ Way Halim Permai")</f>
        <v>Nibel. M. 21203/ Way Halim Permai</v>
      </c>
      <c r="D6385" s="42"/>
      <c r="E6385" s="42"/>
      <c r="F6385" s="48" t="str">
        <f>IFERROR(__xludf.DUMMYFUNCTION("""COMPUTED_VALUE"""),"")</f>
        <v/>
      </c>
      <c r="G6385" s="42" t="str">
        <f>IFERROR(__xludf.DUMMYFUNCTION("""COMPUTED_VALUE"""),"BN Jual Beli")</f>
        <v>BN Jual Beli</v>
      </c>
      <c r="H6385" s="42">
        <f t="shared" si="1"/>
        <v>2802</v>
      </c>
    </row>
    <row r="6386" ht="22.5" customHeight="1">
      <c r="B6386" s="42" t="str">
        <f>IFERROR(__xludf.DUMMYFUNCTION("""COMPUTED_VALUE"""),"K/19/050825/1")</f>
        <v>K/19/050825/1</v>
      </c>
      <c r="C6386" s="42" t="str">
        <f>IFERROR(__xludf.DUMMYFUNCTION("""COMPUTED_VALUE"""),"M.2758/KEMILING PERMAI")</f>
        <v>M.2758/KEMILING PERMAI</v>
      </c>
      <c r="D6386" s="42"/>
      <c r="E6386" s="42"/>
      <c r="F6386" s="48" t="str">
        <f>IFERROR(__xludf.DUMMYFUNCTION("""COMPUTED_VALUE"""),"")</f>
        <v/>
      </c>
      <c r="G6386" s="42" t="str">
        <f>IFERROR(__xludf.DUMMYFUNCTION("""COMPUTED_VALUE"""),"ROYA")</f>
        <v>ROYA</v>
      </c>
      <c r="H6386" s="42">
        <f t="shared" si="1"/>
        <v>2802</v>
      </c>
    </row>
    <row r="6387" ht="22.5" customHeight="1">
      <c r="B6387" s="42" t="str">
        <f>IFERROR(__xludf.DUMMYFUNCTION("""COMPUTED_VALUE"""),"K/20/050825/1")</f>
        <v>K/20/050825/1</v>
      </c>
      <c r="C6387" s="42" t="str">
        <f>IFERROR(__xludf.DUMMYFUNCTION("""COMPUTED_VALUE"""),"M. 9352/ Sidodadi")</f>
        <v>M. 9352/ Sidodadi</v>
      </c>
      <c r="D6387" s="42" t="str">
        <f>IFERROR(__xludf.DUMMYFUNCTION("""COMPUTED_VALUE"""),"Berry")</f>
        <v>Berry</v>
      </c>
      <c r="E6387" s="42" t="str">
        <f>IFERROR(__xludf.DUMMYFUNCTION("""COMPUTED_VALUE"""),"DISERAHKAN")</f>
        <v>DISERAHKAN</v>
      </c>
      <c r="F6387" s="48">
        <f>IFERROR(__xludf.DUMMYFUNCTION("""COMPUTED_VALUE"""),45890.59559165509)</f>
        <v>45890.59559</v>
      </c>
      <c r="G6387" s="42" t="str">
        <f>IFERROR(__xludf.DUMMYFUNCTION("""COMPUTED_VALUE"""),"BN WARIS")</f>
        <v>BN WARIS</v>
      </c>
      <c r="H6387" s="42">
        <f t="shared" si="1"/>
        <v>2803</v>
      </c>
    </row>
    <row r="6388" ht="22.5" customHeight="1">
      <c r="B6388" s="42" t="str">
        <f>IFERROR(__xludf.DUMMYFUNCTION("""COMPUTED_VALUE"""),"K/21/050825/1")</f>
        <v>K/21/050825/1</v>
      </c>
      <c r="C6388" s="42" t="str">
        <f>IFERROR(__xludf.DUMMYFUNCTION("""COMPUTED_VALUE"""),"B. 4883/ Beringin Raya")</f>
        <v>B. 4883/ Beringin Raya</v>
      </c>
      <c r="D6388" s="42" t="str">
        <f>IFERROR(__xludf.DUMMYFUNCTION("""COMPUTED_VALUE"""),"Berry")</f>
        <v>Berry</v>
      </c>
      <c r="E6388" s="42" t="str">
        <f>IFERROR(__xludf.DUMMYFUNCTION("""COMPUTED_VALUE"""),"DISERAHKAN")</f>
        <v>DISERAHKAN</v>
      </c>
      <c r="F6388" s="48">
        <f>IFERROR(__xludf.DUMMYFUNCTION("""COMPUTED_VALUE"""),45945.68058231482)</f>
        <v>45945.68058</v>
      </c>
      <c r="G6388" s="42" t="str">
        <f>IFERROR(__xludf.DUMMYFUNCTION("""COMPUTED_VALUE"""),"Perubahan Hak")</f>
        <v>Perubahan Hak</v>
      </c>
      <c r="H6388" s="42">
        <f t="shared" si="1"/>
        <v>2804</v>
      </c>
    </row>
    <row r="6389" ht="22.5" customHeight="1">
      <c r="B6389" s="42" t="str">
        <f>IFERROR(__xludf.DUMMYFUNCTION("""COMPUTED_VALUE"""),"K/22/050825/1")</f>
        <v>K/22/050825/1</v>
      </c>
      <c r="C6389" s="42" t="str">
        <f>IFERROR(__xludf.DUMMYFUNCTION("""COMPUTED_VALUE"""),"M.933/SUMBEREJO SEJAHTERA")</f>
        <v>M.933/SUMBEREJO SEJAHTERA</v>
      </c>
      <c r="D6389" s="42"/>
      <c r="E6389" s="42"/>
      <c r="F6389" s="48" t="str">
        <f>IFERROR(__xludf.DUMMYFUNCTION("""COMPUTED_VALUE"""),"")</f>
        <v/>
      </c>
      <c r="G6389" s="42" t="str">
        <f>IFERROR(__xludf.DUMMYFUNCTION("""COMPUTED_VALUE"""),"HAPUS BPHTB")</f>
        <v>HAPUS BPHTB</v>
      </c>
      <c r="H6389" s="42">
        <f t="shared" si="1"/>
        <v>2804</v>
      </c>
    </row>
    <row r="6390" ht="22.5" customHeight="1">
      <c r="B6390" s="42" t="str">
        <f>IFERROR(__xludf.DUMMYFUNCTION("""COMPUTED_VALUE"""),"K/23/050825/1")</f>
        <v>K/23/050825/1</v>
      </c>
      <c r="C6390" s="42" t="str">
        <f>IFERROR(__xludf.DUMMYFUNCTION("""COMPUTED_VALUE"""),"M. 3375/ Kemiling Permai")</f>
        <v>M. 3375/ Kemiling Permai</v>
      </c>
      <c r="D6390" s="42"/>
      <c r="E6390" s="42"/>
      <c r="F6390" s="48" t="str">
        <f>IFERROR(__xludf.DUMMYFUNCTION("""COMPUTED_VALUE"""),"")</f>
        <v/>
      </c>
      <c r="G6390" s="42" t="str">
        <f>IFERROR(__xludf.DUMMYFUNCTION("""COMPUTED_VALUE"""),"BN JUAL BELI")</f>
        <v>BN JUAL BELI</v>
      </c>
      <c r="H6390" s="42">
        <f t="shared" si="1"/>
        <v>2804</v>
      </c>
    </row>
    <row r="6391" ht="22.5" customHeight="1">
      <c r="B6391" s="42" t="str">
        <f>IFERROR(__xludf.DUMMYFUNCTION("""COMPUTED_VALUE"""),"K/25/050825/2")</f>
        <v>K/25/050825/2</v>
      </c>
      <c r="C6391" s="42" t="str">
        <f>IFERROR(__xludf.DUMMYFUNCTION("""COMPUTED_VALUE"""),"M.2596/SUMBER AGUNG")</f>
        <v>M.2596/SUMBER AGUNG</v>
      </c>
      <c r="D6391" s="42"/>
      <c r="E6391" s="42"/>
      <c r="F6391" s="48" t="str">
        <f>IFERROR(__xludf.DUMMYFUNCTION("""COMPUTED_VALUE"""),"")</f>
        <v/>
      </c>
      <c r="G6391" s="42" t="str">
        <f>IFERROR(__xludf.DUMMYFUNCTION("""COMPUTED_VALUE"""),"JUAL BELI")</f>
        <v>JUAL BELI</v>
      </c>
      <c r="H6391" s="42">
        <f t="shared" si="1"/>
        <v>2804</v>
      </c>
    </row>
    <row r="6392" ht="22.5" customHeight="1">
      <c r="B6392" s="42" t="str">
        <f>IFERROR(__xludf.DUMMYFUNCTION("""COMPUTED_VALUE"""),"K/26/050825/3")</f>
        <v>K/26/050825/3</v>
      </c>
      <c r="C6392" s="42" t="str">
        <f>IFERROR(__xludf.DUMMYFUNCTION("""COMPUTED_VALUE"""),"M.2547/SUMBER AGUNG")</f>
        <v>M.2547/SUMBER AGUNG</v>
      </c>
      <c r="D6392" s="42" t="str">
        <f>IFERROR(__xludf.DUMMYFUNCTION("""COMPUTED_VALUE"""),"Berry")</f>
        <v>Berry</v>
      </c>
      <c r="E6392" s="42" t="str">
        <f>IFERROR(__xludf.DUMMYFUNCTION("""COMPUTED_VALUE"""),"DISERAHKAN")</f>
        <v>DISERAHKAN</v>
      </c>
      <c r="F6392" s="48">
        <f>IFERROR(__xludf.DUMMYFUNCTION("""COMPUTED_VALUE"""),45894.572362314815)</f>
        <v>45894.57236</v>
      </c>
      <c r="G6392" s="42" t="str">
        <f>IFERROR(__xludf.DUMMYFUNCTION("""COMPUTED_VALUE"""),"JUAL BELI")</f>
        <v>JUAL BELI</v>
      </c>
      <c r="H6392" s="42">
        <f t="shared" si="1"/>
        <v>2805</v>
      </c>
    </row>
    <row r="6393" ht="22.5" customHeight="1">
      <c r="B6393" s="42" t="str">
        <f>IFERROR(__xludf.DUMMYFUNCTION("""COMPUTED_VALUE"""),"K/24/050825/1")</f>
        <v>K/24/050825/1</v>
      </c>
      <c r="C6393" s="42" t="str">
        <f>IFERROR(__xludf.DUMMYFUNCTION("""COMPUTED_VALUE"""),"M. 2317/ Sukarame II")</f>
        <v>M. 2317/ Sukarame II</v>
      </c>
      <c r="D6393" s="42" t="str">
        <f>IFERROR(__xludf.DUMMYFUNCTION("""COMPUTED_VALUE"""),"Berry")</f>
        <v>Berry</v>
      </c>
      <c r="E6393" s="42" t="str">
        <f>IFERROR(__xludf.DUMMYFUNCTION("""COMPUTED_VALUE"""),"DISERAHKAN")</f>
        <v>DISERAHKAN</v>
      </c>
      <c r="F6393" s="48">
        <f>IFERROR(__xludf.DUMMYFUNCTION("""COMPUTED_VALUE"""),45894.565539999996)</f>
        <v>45894.56554</v>
      </c>
      <c r="G6393" s="42" t="str">
        <f>IFERROR(__xludf.DUMMYFUNCTION("""COMPUTED_VALUE"""),"HAPUS BPHTB")</f>
        <v>HAPUS BPHTB</v>
      </c>
      <c r="H6393" s="42">
        <f t="shared" si="1"/>
        <v>2806</v>
      </c>
    </row>
    <row r="6394" ht="22.5" customHeight="1">
      <c r="B6394" s="42" t="str">
        <f>IFERROR(__xludf.DUMMYFUNCTION("""COMPUTED_VALUE"""),"K/27/050825/4")</f>
        <v>K/27/050825/4</v>
      </c>
      <c r="C6394" s="42" t="str">
        <f>IFERROR(__xludf.DUMMYFUNCTION("""COMPUTED_VALUE"""),"M.2549/SUMBER AGUNG")</f>
        <v>M.2549/SUMBER AGUNG</v>
      </c>
      <c r="D6394" s="42"/>
      <c r="E6394" s="42"/>
      <c r="F6394" s="48" t="str">
        <f>IFERROR(__xludf.DUMMYFUNCTION("""COMPUTED_VALUE"""),"")</f>
        <v/>
      </c>
      <c r="G6394" s="42" t="str">
        <f>IFERROR(__xludf.DUMMYFUNCTION("""COMPUTED_VALUE"""),"JUAL BELI")</f>
        <v>JUAL BELI</v>
      </c>
      <c r="H6394" s="42">
        <f t="shared" si="1"/>
        <v>2806</v>
      </c>
    </row>
    <row r="6395" ht="22.5" customHeight="1">
      <c r="B6395" s="42" t="str">
        <f>IFERROR(__xludf.DUMMYFUNCTION("""COMPUTED_VALUE"""),"K/28/050825/5")</f>
        <v>K/28/050825/5</v>
      </c>
      <c r="C6395" s="42" t="str">
        <f>IFERROR(__xludf.DUMMYFUNCTION("""COMPUTED_VALUE"""),"M.2620/SUMBER AGUNG")</f>
        <v>M.2620/SUMBER AGUNG</v>
      </c>
      <c r="D6395" s="42" t="str">
        <f>IFERROR(__xludf.DUMMYFUNCTION("""COMPUTED_VALUE"""),"Berry")</f>
        <v>Berry</v>
      </c>
      <c r="E6395" s="42" t="str">
        <f>IFERROR(__xludf.DUMMYFUNCTION("""COMPUTED_VALUE"""),"DISERAHKAN")</f>
        <v>DISERAHKAN</v>
      </c>
      <c r="F6395" s="48">
        <f>IFERROR(__xludf.DUMMYFUNCTION("""COMPUTED_VALUE"""),45894.56491127315)</f>
        <v>45894.56491</v>
      </c>
      <c r="G6395" s="42" t="str">
        <f>IFERROR(__xludf.DUMMYFUNCTION("""COMPUTED_VALUE"""),"JUAL BELI")</f>
        <v>JUAL BELI</v>
      </c>
      <c r="H6395" s="42">
        <f t="shared" si="1"/>
        <v>2807</v>
      </c>
    </row>
    <row r="6396" ht="22.5" customHeight="1">
      <c r="B6396" s="42" t="str">
        <f>IFERROR(__xludf.DUMMYFUNCTION("""COMPUTED_VALUE"""),"K/29/050825/1")</f>
        <v>K/29/050825/1</v>
      </c>
      <c r="C6396" s="42" t="str">
        <f>IFERROR(__xludf.DUMMYFUNCTION("""COMPUTED_VALUE"""),"B. 05/SUKAMAJU")</f>
        <v>B. 05/SUKAMAJU</v>
      </c>
      <c r="D6396" s="42" t="str">
        <f>IFERROR(__xludf.DUMMYFUNCTION("""COMPUTED_VALUE"""),"David")</f>
        <v>David</v>
      </c>
      <c r="E6396" s="42" t="str">
        <f>IFERROR(__xludf.DUMMYFUNCTION("""COMPUTED_VALUE"""),"DISERAHKAN")</f>
        <v>DISERAHKAN</v>
      </c>
      <c r="F6396" s="48">
        <f>IFERROR(__xludf.DUMMYFUNCTION("""COMPUTED_VALUE"""),45883.66015964121)</f>
        <v>45883.66016</v>
      </c>
      <c r="G6396" s="42" t="str">
        <f>IFERROR(__xludf.DUMMYFUNCTION("""COMPUTED_VALUE"""),"PERUBAHAN HAK")</f>
        <v>PERUBAHAN HAK</v>
      </c>
      <c r="H6396" s="42">
        <f t="shared" si="1"/>
        <v>2808</v>
      </c>
    </row>
    <row r="6397" ht="22.5" customHeight="1">
      <c r="B6397" s="42" t="str">
        <f>IFERROR(__xludf.DUMMYFUNCTION("""COMPUTED_VALUE"""),"L/30/050825/1")</f>
        <v>L/30/050825/1</v>
      </c>
      <c r="C6397" s="42" t="str">
        <f>IFERROR(__xludf.DUMMYFUNCTION("""COMPUTED_VALUE"""),"HM 2066/SUKAMAJU")</f>
        <v>HM 2066/SUKAMAJU</v>
      </c>
      <c r="D6397" s="42"/>
      <c r="E6397" s="42"/>
      <c r="F6397" s="48" t="str">
        <f>IFERROR(__xludf.DUMMYFUNCTION("""COMPUTED_VALUE"""),"")</f>
        <v/>
      </c>
      <c r="G6397" s="42" t="str">
        <f>IFERROR(__xludf.DUMMYFUNCTION("""COMPUTED_VALUE"""),"ROYA")</f>
        <v>ROYA</v>
      </c>
      <c r="H6397" s="42">
        <f t="shared" si="1"/>
        <v>2808</v>
      </c>
    </row>
    <row r="6398" ht="22.5" customHeight="1">
      <c r="B6398" s="42" t="str">
        <f>IFERROR(__xludf.DUMMYFUNCTION("""COMPUTED_VALUE"""),"K/31/050825/1")</f>
        <v>K/31/050825/1</v>
      </c>
      <c r="C6398" s="42" t="str">
        <f>IFERROR(__xludf.DUMMYFUNCTION("""COMPUTED_VALUE"""),"S. Doris Timbang/ Rajabasa Raya")</f>
        <v>S. Doris Timbang/ Rajabasa Raya</v>
      </c>
      <c r="D6398" s="42" t="str">
        <f>IFERROR(__xludf.DUMMYFUNCTION("""COMPUTED_VALUE"""),"David")</f>
        <v>David</v>
      </c>
      <c r="E6398" s="42" t="str">
        <f>IFERROR(__xludf.DUMMYFUNCTION("""COMPUTED_VALUE"""),"DISERAHKAN")</f>
        <v>DISERAHKAN</v>
      </c>
      <c r="F6398" s="48">
        <f>IFERROR(__xludf.DUMMYFUNCTION("""COMPUTED_VALUE"""),45904.61607208333)</f>
        <v>45904.61607</v>
      </c>
      <c r="G6398" s="42" t="str">
        <f>IFERROR(__xludf.DUMMYFUNCTION("""COMPUTED_VALUE"""),"Pertama Kali")</f>
        <v>Pertama Kali</v>
      </c>
      <c r="H6398" s="42">
        <f t="shared" si="1"/>
        <v>2809</v>
      </c>
    </row>
    <row r="6399" ht="22.5" customHeight="1">
      <c r="B6399" s="42" t="str">
        <f>IFERROR(__xludf.DUMMYFUNCTION("""COMPUTED_VALUE"""),"K/33/050825/1")</f>
        <v>K/33/050825/1</v>
      </c>
      <c r="C6399" s="42" t="str">
        <f>IFERROR(__xludf.DUMMYFUNCTION("""COMPUTED_VALUE"""),"M. 272/ Labuhan Ratu Raya")</f>
        <v>M. 272/ Labuhan Ratu Raya</v>
      </c>
      <c r="D6399" s="42"/>
      <c r="E6399" s="42"/>
      <c r="F6399" s="48" t="str">
        <f>IFERROR(__xludf.DUMMYFUNCTION("""COMPUTED_VALUE"""),"")</f>
        <v/>
      </c>
      <c r="G6399" s="42" t="str">
        <f>IFERROR(__xludf.DUMMYFUNCTION("""COMPUTED_VALUE"""),"BN JUAL BELI")</f>
        <v>BN JUAL BELI</v>
      </c>
      <c r="H6399" s="42">
        <f t="shared" si="1"/>
        <v>2809</v>
      </c>
    </row>
    <row r="6400" ht="22.5" customHeight="1">
      <c r="B6400" s="42" t="str">
        <f>IFERROR(__xludf.DUMMYFUNCTION("""COMPUTED_VALUE"""),"K/32/050825/2")</f>
        <v>K/32/050825/2</v>
      </c>
      <c r="C6400" s="42" t="str">
        <f>IFERROR(__xludf.DUMMYFUNCTION("""COMPUTED_VALUE"""),"M. 2273/ Sepang Jaya")</f>
        <v>M. 2273/ Sepang Jaya</v>
      </c>
      <c r="D6400" s="42" t="str">
        <f>IFERROR(__xludf.DUMMYFUNCTION("""COMPUTED_VALUE"""),"Berry")</f>
        <v>Berry</v>
      </c>
      <c r="E6400" s="42" t="str">
        <f>IFERROR(__xludf.DUMMYFUNCTION("""COMPUTED_VALUE"""),"DISERAHKAN")</f>
        <v>DISERAHKAN</v>
      </c>
      <c r="F6400" s="48">
        <f>IFERROR(__xludf.DUMMYFUNCTION("""COMPUTED_VALUE"""),45891.59800890046)</f>
        <v>45891.59801</v>
      </c>
      <c r="G6400" s="42" t="str">
        <f>IFERROR(__xludf.DUMMYFUNCTION("""COMPUTED_VALUE"""),"BN Jual Beli")</f>
        <v>BN Jual Beli</v>
      </c>
      <c r="H6400" s="42">
        <f t="shared" si="1"/>
        <v>2810</v>
      </c>
    </row>
    <row r="6401" ht="22.5" customHeight="1">
      <c r="B6401" s="42" t="str">
        <f>IFERROR(__xludf.DUMMYFUNCTION("""COMPUTED_VALUE"""),"K/34/050825/1")</f>
        <v>K/34/050825/1</v>
      </c>
      <c r="C6401" s="42" t="str">
        <f>IFERROR(__xludf.DUMMYFUNCTION("""COMPUTED_VALUE"""),"M. 11012/GEDONG MENENG")</f>
        <v>M. 11012/GEDONG MENENG</v>
      </c>
      <c r="D6401" s="42" t="str">
        <f>IFERROR(__xludf.DUMMYFUNCTION("""COMPUTED_VALUE"""),"Berry")</f>
        <v>Berry</v>
      </c>
      <c r="E6401" s="42" t="str">
        <f>IFERROR(__xludf.DUMMYFUNCTION("""COMPUTED_VALUE"""),"DISERAHKAN")</f>
        <v>DISERAHKAN</v>
      </c>
      <c r="F6401" s="48">
        <f>IFERROR(__xludf.DUMMYFUNCTION("""COMPUTED_VALUE"""),45891.599130625)</f>
        <v>45891.59913</v>
      </c>
      <c r="G6401" s="42" t="str">
        <f>IFERROR(__xludf.DUMMYFUNCTION("""COMPUTED_VALUE"""),"BN WARIS")</f>
        <v>BN WARIS</v>
      </c>
      <c r="H6401" s="42">
        <f t="shared" si="1"/>
        <v>2811</v>
      </c>
    </row>
    <row r="6402" ht="22.5" customHeight="1">
      <c r="B6402" s="42" t="str">
        <f>IFERROR(__xludf.DUMMYFUNCTION("""COMPUTED_VALUE"""),"K/35/050825/1")</f>
        <v>K/35/050825/1</v>
      </c>
      <c r="C6402" s="42" t="str">
        <f>IFERROR(__xludf.DUMMYFUNCTION("""COMPUTED_VALUE"""),"M. 600/ Korpri Raya")</f>
        <v>M. 600/ Korpri Raya</v>
      </c>
      <c r="D6402" s="42"/>
      <c r="E6402" s="42"/>
      <c r="F6402" s="48" t="str">
        <f>IFERROR(__xludf.DUMMYFUNCTION("""COMPUTED_VALUE"""),"")</f>
        <v/>
      </c>
      <c r="G6402" s="42" t="str">
        <f>IFERROR(__xludf.DUMMYFUNCTION("""COMPUTED_VALUE"""),"BN WARIS")</f>
        <v>BN WARIS</v>
      </c>
      <c r="H6402" s="42">
        <f t="shared" si="1"/>
        <v>2811</v>
      </c>
    </row>
    <row r="6403" ht="22.5" customHeight="1">
      <c r="B6403" s="42" t="str">
        <f>IFERROR(__xludf.DUMMYFUNCTION("""COMPUTED_VALUE"""),"K/37/050825/1")</f>
        <v>K/37/050825/1</v>
      </c>
      <c r="C6403" s="42" t="str">
        <f>IFERROR(__xludf.DUMMYFUNCTION("""COMPUTED_VALUE"""),"Nibel  23500/ Sukarame Baru")</f>
        <v>Nibel  23500/ Sukarame Baru</v>
      </c>
      <c r="D6403" s="42"/>
      <c r="E6403" s="42"/>
      <c r="F6403" s="48" t="str">
        <f>IFERROR(__xludf.DUMMYFUNCTION("""COMPUTED_VALUE"""),"")</f>
        <v/>
      </c>
      <c r="G6403" s="42" t="str">
        <f>IFERROR(__xludf.DUMMYFUNCTION("""COMPUTED_VALUE"""),"BN LELANG")</f>
        <v>BN LELANG</v>
      </c>
      <c r="H6403" s="42">
        <f t="shared" si="1"/>
        <v>2811</v>
      </c>
    </row>
    <row r="6404" ht="22.5" customHeight="1">
      <c r="B6404" s="42" t="str">
        <f>IFERROR(__xludf.DUMMYFUNCTION("""COMPUTED_VALUE"""),"K/38/050825/1")</f>
        <v>K/38/050825/1</v>
      </c>
      <c r="C6404" s="42" t="str">
        <f>IFERROR(__xludf.DUMMYFUNCTION("""COMPUTED_VALUE"""),"M. 9913/ Segala Mider")</f>
        <v>M. 9913/ Segala Mider</v>
      </c>
      <c r="D6404" s="42"/>
      <c r="E6404" s="42"/>
      <c r="F6404" s="48" t="str">
        <f>IFERROR(__xludf.DUMMYFUNCTION("""COMPUTED_VALUE"""),"")</f>
        <v/>
      </c>
      <c r="G6404" s="42" t="str">
        <f>IFERROR(__xludf.DUMMYFUNCTION("""COMPUTED_VALUE"""),"BN Jual Beli")</f>
        <v>BN Jual Beli</v>
      </c>
      <c r="H6404" s="42">
        <f t="shared" si="1"/>
        <v>2811</v>
      </c>
    </row>
    <row r="6405" ht="22.5" customHeight="1">
      <c r="B6405" s="42" t="str">
        <f>IFERROR(__xludf.DUMMYFUNCTION("""COMPUTED_VALUE"""),"K/39/050825/1")</f>
        <v>K/39/050825/1</v>
      </c>
      <c r="C6405" s="42" t="str">
        <f>IFERROR(__xludf.DUMMYFUNCTION("""COMPUTED_VALUE"""),"M. 14961/ Sukabumi")</f>
        <v>M. 14961/ Sukabumi</v>
      </c>
      <c r="D6405" s="42"/>
      <c r="E6405" s="42"/>
      <c r="F6405" s="48" t="str">
        <f>IFERROR(__xludf.DUMMYFUNCTION("""COMPUTED_VALUE"""),"")</f>
        <v/>
      </c>
      <c r="G6405" s="42" t="str">
        <f>IFERROR(__xludf.DUMMYFUNCTION("""COMPUTED_VALUE"""),"BN Jual Beli")</f>
        <v>BN Jual Beli</v>
      </c>
      <c r="H6405" s="42">
        <f t="shared" si="1"/>
        <v>2811</v>
      </c>
    </row>
    <row r="6406" ht="22.5" customHeight="1">
      <c r="B6406" s="42" t="str">
        <f>IFERROR(__xludf.DUMMYFUNCTION("""COMPUTED_VALUE"""),"K/40/050825/1")</f>
        <v>K/40/050825/1</v>
      </c>
      <c r="C6406" s="42" t="str">
        <f>IFERROR(__xludf.DUMMYFUNCTION("""COMPUTED_VALUE"""),"M. 2662/ Gedong Air")</f>
        <v>M. 2662/ Gedong Air</v>
      </c>
      <c r="D6406" s="42"/>
      <c r="E6406" s="42"/>
      <c r="F6406" s="48" t="str">
        <f>IFERROR(__xludf.DUMMYFUNCTION("""COMPUTED_VALUE"""),"")</f>
        <v/>
      </c>
      <c r="G6406" s="42" t="str">
        <f>IFERROR(__xludf.DUMMYFUNCTION("""COMPUTED_VALUE"""),"BN Jual Beli")</f>
        <v>BN Jual Beli</v>
      </c>
      <c r="H6406" s="42">
        <f t="shared" si="1"/>
        <v>2811</v>
      </c>
    </row>
    <row r="6407" ht="22.5" customHeight="1">
      <c r="B6407" s="42" t="str">
        <f>IFERROR(__xludf.DUMMYFUNCTION("""COMPUTED_VALUE"""),"K/41/050825/1")</f>
        <v>K/41/050825/1</v>
      </c>
      <c r="C6407" s="42" t="str">
        <f>IFERROR(__xludf.DUMMYFUNCTION("""COMPUTED_VALUE"""),"M. 1938/ Sumber Rejo")</f>
        <v>M. 1938/ Sumber Rejo</v>
      </c>
      <c r="D6407" s="42"/>
      <c r="E6407" s="42"/>
      <c r="F6407" s="48" t="str">
        <f>IFERROR(__xludf.DUMMYFUNCTION("""COMPUTED_VALUE"""),"")</f>
        <v/>
      </c>
      <c r="G6407" s="42" t="str">
        <f>IFERROR(__xludf.DUMMYFUNCTION("""COMPUTED_VALUE"""),"BN Jual Beli")</f>
        <v>BN Jual Beli</v>
      </c>
      <c r="H6407" s="42">
        <f t="shared" si="1"/>
        <v>2811</v>
      </c>
    </row>
    <row r="6408" ht="22.5" customHeight="1">
      <c r="B6408" s="42" t="str">
        <f>IFERROR(__xludf.DUMMYFUNCTION("""COMPUTED_VALUE"""),"K/42/050825/2")</f>
        <v>K/42/050825/2</v>
      </c>
      <c r="C6408" s="42" t="str">
        <f>IFERROR(__xludf.DUMMYFUNCTION("""COMPUTED_VALUE"""),"B. 320/ Labuhan Ratu Raya")</f>
        <v>B. 320/ Labuhan Ratu Raya</v>
      </c>
      <c r="D6408" s="42"/>
      <c r="E6408" s="42"/>
      <c r="F6408" s="48" t="str">
        <f>IFERROR(__xludf.DUMMYFUNCTION("""COMPUTED_VALUE"""),"")</f>
        <v/>
      </c>
      <c r="G6408" s="42" t="str">
        <f>IFERROR(__xludf.DUMMYFUNCTION("""COMPUTED_VALUE"""),"BN Jual Beli")</f>
        <v>BN Jual Beli</v>
      </c>
      <c r="H6408" s="42">
        <f t="shared" si="1"/>
        <v>2811</v>
      </c>
    </row>
    <row r="6409" ht="22.5" customHeight="1">
      <c r="B6409" s="42" t="str">
        <f>IFERROR(__xludf.DUMMYFUNCTION("""COMPUTED_VALUE"""),"K/43/050825/3")</f>
        <v>K/43/050825/3</v>
      </c>
      <c r="C6409" s="42" t="str">
        <f>IFERROR(__xludf.DUMMYFUNCTION("""COMPUTED_VALUE"""),"Nibel. M. 22923/ Sukabumi")</f>
        <v>Nibel. M. 22923/ Sukabumi</v>
      </c>
      <c r="D6409" s="42"/>
      <c r="E6409" s="42"/>
      <c r="F6409" s="48" t="str">
        <f>IFERROR(__xludf.DUMMYFUNCTION("""COMPUTED_VALUE"""),"")</f>
        <v/>
      </c>
      <c r="G6409" s="42" t="str">
        <f>IFERROR(__xludf.DUMMYFUNCTION("""COMPUTED_VALUE"""),"BN Jual Beli")</f>
        <v>BN Jual Beli</v>
      </c>
      <c r="H6409" s="42">
        <f t="shared" si="1"/>
        <v>2811</v>
      </c>
    </row>
    <row r="6410" ht="22.5" customHeight="1">
      <c r="B6410" s="42" t="str">
        <f>IFERROR(__xludf.DUMMYFUNCTION("""COMPUTED_VALUE"""),"K/44/050825/4")</f>
        <v>K/44/050825/4</v>
      </c>
      <c r="C6410" s="42" t="str">
        <f>IFERROR(__xludf.DUMMYFUNCTION("""COMPUTED_VALUE"""),"Nibel. M. 20398/ Labuhan Dalam")</f>
        <v>Nibel. M. 20398/ Labuhan Dalam</v>
      </c>
      <c r="D6410" s="42"/>
      <c r="E6410" s="42"/>
      <c r="F6410" s="48" t="str">
        <f>IFERROR(__xludf.DUMMYFUNCTION("""COMPUTED_VALUE"""),"")</f>
        <v/>
      </c>
      <c r="G6410" s="42" t="str">
        <f>IFERROR(__xludf.DUMMYFUNCTION("""COMPUTED_VALUE"""),"BN Jual Beli")</f>
        <v>BN Jual Beli</v>
      </c>
      <c r="H6410" s="42">
        <f t="shared" si="1"/>
        <v>2811</v>
      </c>
    </row>
    <row r="6411" ht="22.5" customHeight="1">
      <c r="B6411" s="42" t="str">
        <f>IFERROR(__xludf.DUMMYFUNCTION("""COMPUTED_VALUE"""),"K/45/050825/1")</f>
        <v>K/45/050825/1</v>
      </c>
      <c r="C6411" s="42" t="str">
        <f>IFERROR(__xludf.DUMMYFUNCTION("""COMPUTED_VALUE"""),"M. 2664/ Sukadana Ham")</f>
        <v>M. 2664/ Sukadana Ham</v>
      </c>
      <c r="D6411" s="42"/>
      <c r="E6411" s="42"/>
      <c r="F6411" s="48" t="str">
        <f>IFERROR(__xludf.DUMMYFUNCTION("""COMPUTED_VALUE"""),"")</f>
        <v/>
      </c>
      <c r="G6411" s="42" t="str">
        <f>IFERROR(__xludf.DUMMYFUNCTION("""COMPUTED_VALUE"""),"PTPGT (Pemecahan)")</f>
        <v>PTPGT (Pemecahan)</v>
      </c>
      <c r="H6411" s="42">
        <f t="shared" si="1"/>
        <v>2811</v>
      </c>
    </row>
    <row r="6412" ht="22.5" customHeight="1">
      <c r="B6412" s="42" t="str">
        <f>IFERROR(__xludf.DUMMYFUNCTION("""COMPUTED_VALUE"""),"L/2/060825/1")</f>
        <v>L/2/060825/1</v>
      </c>
      <c r="C6412" s="42" t="str">
        <f>IFERROR(__xludf.DUMMYFUNCTION("""COMPUTED_VALUE"""),"HM 11752/KEDATON")</f>
        <v>HM 11752/KEDATON</v>
      </c>
      <c r="D6412" s="42"/>
      <c r="E6412" s="42"/>
      <c r="F6412" s="48" t="str">
        <f>IFERROR(__xludf.DUMMYFUNCTION("""COMPUTED_VALUE"""),"")</f>
        <v/>
      </c>
      <c r="G6412" s="42" t="str">
        <f>IFERROR(__xludf.DUMMYFUNCTION("""COMPUTED_VALUE"""),"ROYA")</f>
        <v>ROYA</v>
      </c>
      <c r="H6412" s="42">
        <f t="shared" si="1"/>
        <v>2811</v>
      </c>
    </row>
    <row r="6413" ht="22.5" customHeight="1">
      <c r="B6413" s="42" t="str">
        <f>IFERROR(__xludf.DUMMYFUNCTION("""COMPUTED_VALUE"""),"K/36/050825/1")</f>
        <v>K/36/050825/1</v>
      </c>
      <c r="C6413" s="42" t="str">
        <f>IFERROR(__xludf.DUMMYFUNCTION("""COMPUTED_VALUE"""),"PBT 202/2022/BERINGIN RAYA")</f>
        <v>PBT 202/2022/BERINGIN RAYA</v>
      </c>
      <c r="D6413" s="42" t="str">
        <f>IFERROR(__xludf.DUMMYFUNCTION("""COMPUTED_VALUE"""),"David")</f>
        <v>David</v>
      </c>
      <c r="E6413" s="42" t="str">
        <f>IFERROR(__xludf.DUMMYFUNCTION("""COMPUTED_VALUE"""),"DISERAHKAN")</f>
        <v>DISERAHKAN</v>
      </c>
      <c r="F6413" s="48">
        <f>IFERROR(__xludf.DUMMYFUNCTION("""COMPUTED_VALUE"""),45922.62012274306)</f>
        <v>45922.62012</v>
      </c>
      <c r="G6413" s="42" t="str">
        <f>IFERROR(__xludf.DUMMYFUNCTION("""COMPUTED_VALUE"""),"PERMOHONAN SK")</f>
        <v>PERMOHONAN SK</v>
      </c>
      <c r="H6413" s="42">
        <f t="shared" si="1"/>
        <v>2812</v>
      </c>
    </row>
    <row r="6414" ht="22.5" customHeight="1">
      <c r="B6414" s="42" t="str">
        <f>IFERROR(__xludf.DUMMYFUNCTION("""COMPUTED_VALUE"""),"K/3/060825/1")</f>
        <v>K/3/060825/1</v>
      </c>
      <c r="C6414" s="42" t="str">
        <f>IFERROR(__xludf.DUMMYFUNCTION("""COMPUTED_VALUE"""),"Nibel 3370/ Rajabasa Jaya")</f>
        <v>Nibel 3370/ Rajabasa Jaya</v>
      </c>
      <c r="D6414" s="42"/>
      <c r="E6414" s="42"/>
      <c r="F6414" s="48" t="str">
        <f>IFERROR(__xludf.DUMMYFUNCTION("""COMPUTED_VALUE"""),"")</f>
        <v/>
      </c>
      <c r="G6414" s="42" t="str">
        <f>IFERROR(__xludf.DUMMYFUNCTION("""COMPUTED_VALUE"""),"BN JUAL B ELI")</f>
        <v>BN JUAL B ELI</v>
      </c>
      <c r="H6414" s="42">
        <f t="shared" si="1"/>
        <v>2812</v>
      </c>
    </row>
    <row r="6415" ht="22.5" customHeight="1">
      <c r="B6415" s="42" t="str">
        <f>IFERROR(__xludf.DUMMYFUNCTION("""COMPUTED_VALUE"""),"L/4/060825/1")</f>
        <v>L/4/060825/1</v>
      </c>
      <c r="C6415" s="42" t="str">
        <f>IFERROR(__xludf.DUMMYFUNCTION("""COMPUTED_VALUE"""),"HM 12052/SUKABUMI")</f>
        <v>HM 12052/SUKABUMI</v>
      </c>
      <c r="D6415" s="42"/>
      <c r="E6415" s="42"/>
      <c r="F6415" s="48" t="str">
        <f>IFERROR(__xludf.DUMMYFUNCTION("""COMPUTED_VALUE"""),"")</f>
        <v/>
      </c>
      <c r="G6415" s="42" t="str">
        <f>IFERROR(__xludf.DUMMYFUNCTION("""COMPUTED_VALUE"""),"ROYA")</f>
        <v>ROYA</v>
      </c>
      <c r="H6415" s="42">
        <f t="shared" si="1"/>
        <v>2812</v>
      </c>
    </row>
    <row r="6416" ht="22.5" customHeight="1">
      <c r="B6416" s="42" t="str">
        <f>IFERROR(__xludf.DUMMYFUNCTION("""COMPUTED_VALUE"""),"K/5/060825/1")</f>
        <v>K/5/060825/1</v>
      </c>
      <c r="C6416" s="42" t="str">
        <f>IFERROR(__xludf.DUMMYFUNCTION("""COMPUTED_VALUE"""),"M. 13967/ Labuhan Ratu")</f>
        <v>M. 13967/ Labuhan Ratu</v>
      </c>
      <c r="D6416" s="42" t="str">
        <f>IFERROR(__xludf.DUMMYFUNCTION("""COMPUTED_VALUE"""),"Berry")</f>
        <v>Berry</v>
      </c>
      <c r="E6416" s="42" t="str">
        <f>IFERROR(__xludf.DUMMYFUNCTION("""COMPUTED_VALUE"""),"DISERAHKAN")</f>
        <v>DISERAHKAN</v>
      </c>
      <c r="F6416" s="48">
        <f>IFERROR(__xludf.DUMMYFUNCTION("""COMPUTED_VALUE"""),45915.64804085648)</f>
        <v>45915.64804</v>
      </c>
      <c r="G6416" s="42" t="str">
        <f>IFERROR(__xludf.DUMMYFUNCTION("""COMPUTED_VALUE"""),"HAPUS BPHTB")</f>
        <v>HAPUS BPHTB</v>
      </c>
      <c r="H6416" s="42">
        <f t="shared" si="1"/>
        <v>2813</v>
      </c>
    </row>
    <row r="6417" ht="22.5" customHeight="1">
      <c r="B6417" s="42" t="str">
        <f>IFERROR(__xludf.DUMMYFUNCTION("""COMPUTED_VALUE"""),"L/6/060825/1")</f>
        <v>L/6/060825/1</v>
      </c>
      <c r="C6417" s="42" t="str">
        <f>IFERROR(__xludf.DUMMYFUNCTION("""COMPUTED_VALUE"""),"HM 2260/KETEGUHAN")</f>
        <v>HM 2260/KETEGUHAN</v>
      </c>
      <c r="D6417" s="42"/>
      <c r="E6417" s="42"/>
      <c r="F6417" s="48" t="str">
        <f>IFERROR(__xludf.DUMMYFUNCTION("""COMPUTED_VALUE"""),"")</f>
        <v/>
      </c>
      <c r="G6417" s="42" t="str">
        <f>IFERROR(__xludf.DUMMYFUNCTION("""COMPUTED_VALUE"""),"ROYA")</f>
        <v>ROYA</v>
      </c>
      <c r="H6417" s="42">
        <f t="shared" si="1"/>
        <v>2813</v>
      </c>
    </row>
    <row r="6418" ht="22.5" customHeight="1">
      <c r="B6418" s="42" t="str">
        <f>IFERROR(__xludf.DUMMYFUNCTION("""COMPUTED_VALUE"""),"K/1/060825/1")</f>
        <v>K/1/060825/1</v>
      </c>
      <c r="C6418" s="42" t="str">
        <f>IFERROR(__xludf.DUMMYFUNCTION("""COMPUTED_VALUE"""),"M. 58/ Enggal")</f>
        <v>M. 58/ Enggal</v>
      </c>
      <c r="D6418" s="42" t="str">
        <f>IFERROR(__xludf.DUMMYFUNCTION("""COMPUTED_VALUE"""),"Berry")</f>
        <v>Berry</v>
      </c>
      <c r="E6418" s="42" t="str">
        <f>IFERROR(__xludf.DUMMYFUNCTION("""COMPUTED_VALUE"""),"DISERAHKAN")</f>
        <v>DISERAHKAN</v>
      </c>
      <c r="F6418" s="48">
        <f>IFERROR(__xludf.DUMMYFUNCTION("""COMPUTED_VALUE"""),45897.49432921296)</f>
        <v>45897.49433</v>
      </c>
      <c r="G6418" s="42" t="str">
        <f>IFERROR(__xludf.DUMMYFUNCTION("""COMPUTED_VALUE"""),"Ganti Blanko Lama")</f>
        <v>Ganti Blanko Lama</v>
      </c>
      <c r="H6418" s="42">
        <f t="shared" si="1"/>
        <v>2814</v>
      </c>
    </row>
    <row r="6419" ht="22.5" customHeight="1">
      <c r="B6419" s="42" t="str">
        <f>IFERROR(__xludf.DUMMYFUNCTION("""COMPUTED_VALUE"""),"K/7/060825/1")</f>
        <v>K/7/060825/1</v>
      </c>
      <c r="C6419" s="42" t="str">
        <f>IFERROR(__xludf.DUMMYFUNCTION("""COMPUTED_VALUE"""),"M. 1260/ Enggal ")</f>
        <v>M. 1260/ Enggal </v>
      </c>
      <c r="D6419" s="42"/>
      <c r="E6419" s="42"/>
      <c r="F6419" s="48" t="str">
        <f>IFERROR(__xludf.DUMMYFUNCTION("""COMPUTED_VALUE"""),"")</f>
        <v/>
      </c>
      <c r="G6419" s="42" t="str">
        <f>IFERROR(__xludf.DUMMYFUNCTION("""COMPUTED_VALUE"""),"BN Jual Beli")</f>
        <v>BN Jual Beli</v>
      </c>
      <c r="H6419" s="42">
        <f t="shared" si="1"/>
        <v>2814</v>
      </c>
    </row>
    <row r="6420" ht="22.5" customHeight="1">
      <c r="B6420" s="42" t="str">
        <f>IFERROR(__xludf.DUMMYFUNCTION("""COMPUTED_VALUE"""),"K/8/060825/1")</f>
        <v>K/8/060825/1</v>
      </c>
      <c r="C6420" s="42" t="str">
        <f>IFERROR(__xludf.DUMMYFUNCTION("""COMPUTED_VALUE"""),"Nibel 2749/ Langkapura")</f>
        <v>Nibel 2749/ Langkapura</v>
      </c>
      <c r="D6420" s="42" t="str">
        <f>IFERROR(__xludf.DUMMYFUNCTION("""COMPUTED_VALUE"""),"Berry")</f>
        <v>Berry</v>
      </c>
      <c r="E6420" s="42" t="str">
        <f>IFERROR(__xludf.DUMMYFUNCTION("""COMPUTED_VALUE"""),"DISERAHKAN")</f>
        <v>DISERAHKAN</v>
      </c>
      <c r="F6420" s="48">
        <f>IFERROR(__xludf.DUMMYFUNCTION("""COMPUTED_VALUE"""),45915.58758721065)</f>
        <v>45915.58759</v>
      </c>
      <c r="G6420" s="42" t="str">
        <f>IFERROR(__xludf.DUMMYFUNCTION("""COMPUTED_VALUE"""),"BN JUAL BELI")</f>
        <v>BN JUAL BELI</v>
      </c>
      <c r="H6420" s="42">
        <f t="shared" si="1"/>
        <v>2815</v>
      </c>
    </row>
    <row r="6421" ht="22.5" customHeight="1">
      <c r="B6421" s="42" t="str">
        <f>IFERROR(__xludf.DUMMYFUNCTION("""COMPUTED_VALUE"""),"K/9/060825/1")</f>
        <v>K/9/060825/1</v>
      </c>
      <c r="C6421" s="42" t="str">
        <f>IFERROR(__xludf.DUMMYFUNCTION("""COMPUTED_VALUE"""),"M.5529/RAJABASA JAYA")</f>
        <v>M.5529/RAJABASA JAYA</v>
      </c>
      <c r="D6421" s="42"/>
      <c r="E6421" s="42"/>
      <c r="F6421" s="48" t="str">
        <f>IFERROR(__xludf.DUMMYFUNCTION("""COMPUTED_VALUE"""),"")</f>
        <v/>
      </c>
      <c r="G6421" s="42" t="str">
        <f>IFERROR(__xludf.DUMMYFUNCTION("""COMPUTED_VALUE"""),"PTPGT")</f>
        <v>PTPGT</v>
      </c>
      <c r="H6421" s="42">
        <f t="shared" si="1"/>
        <v>2815</v>
      </c>
    </row>
    <row r="6422" ht="22.5" customHeight="1">
      <c r="B6422" s="42" t="str">
        <f>IFERROR(__xludf.DUMMYFUNCTION("""COMPUTED_VALUE"""),"L/11/060825/1")</f>
        <v>L/11/060825/1</v>
      </c>
      <c r="C6422" s="42" t="str">
        <f>IFERROR(__xludf.DUMMYFUNCTION("""COMPUTED_VALUE"""),"HGB 92/BAKUNG")</f>
        <v>HGB 92/BAKUNG</v>
      </c>
      <c r="D6422" s="42"/>
      <c r="E6422" s="42"/>
      <c r="F6422" s="48" t="str">
        <f>IFERROR(__xludf.DUMMYFUNCTION("""COMPUTED_VALUE"""),"")</f>
        <v/>
      </c>
      <c r="G6422" s="42" t="str">
        <f>IFERROR(__xludf.DUMMYFUNCTION("""COMPUTED_VALUE"""),"ROYA")</f>
        <v>ROYA</v>
      </c>
      <c r="H6422" s="42">
        <f t="shared" si="1"/>
        <v>2815</v>
      </c>
    </row>
    <row r="6423" ht="22.5" customHeight="1">
      <c r="B6423" s="42" t="str">
        <f>IFERROR(__xludf.DUMMYFUNCTION("""COMPUTED_VALUE"""),"K/10/060825/1")</f>
        <v>K/10/060825/1</v>
      </c>
      <c r="C6423" s="42" t="str">
        <f>IFERROR(__xludf.DUMMYFUNCTION("""COMPUTED_VALUE"""),"M.33/NUSANTARA PERMAI")</f>
        <v>M.33/NUSANTARA PERMAI</v>
      </c>
      <c r="D6423" s="42" t="str">
        <f>IFERROR(__xludf.DUMMYFUNCTION("""COMPUTED_VALUE"""),"Berry")</f>
        <v>Berry</v>
      </c>
      <c r="E6423" s="42" t="str">
        <f>IFERROR(__xludf.DUMMYFUNCTION("""COMPUTED_VALUE"""),"DISERAHKAN")</f>
        <v>DISERAHKAN</v>
      </c>
      <c r="F6423" s="48">
        <f>IFERROR(__xludf.DUMMYFUNCTION("""COMPUTED_VALUE"""),45915.64774277778)</f>
        <v>45915.64774</v>
      </c>
      <c r="G6423" s="42" t="str">
        <f>IFERROR(__xludf.DUMMYFUNCTION("""COMPUTED_VALUE"""),"ROYA")</f>
        <v>ROYA</v>
      </c>
      <c r="H6423" s="42">
        <f t="shared" si="1"/>
        <v>2816</v>
      </c>
    </row>
    <row r="6424" ht="22.5" customHeight="1">
      <c r="B6424" s="42" t="str">
        <f>IFERROR(__xludf.DUMMYFUNCTION("""COMPUTED_VALUE"""),"K/12/060825/1")</f>
        <v>K/12/060825/1</v>
      </c>
      <c r="C6424" s="42" t="str">
        <f>IFERROR(__xludf.DUMMYFUNCTION("""COMPUTED_VALUE"""),"Nibel  2216/ Sukabumi")</f>
        <v>Nibel  2216/ Sukabumi</v>
      </c>
      <c r="D6424" s="42" t="str">
        <f>IFERROR(__xludf.DUMMYFUNCTION("""COMPUTED_VALUE"""),"Berry")</f>
        <v>Berry</v>
      </c>
      <c r="E6424" s="42" t="str">
        <f>IFERROR(__xludf.DUMMYFUNCTION("""COMPUTED_VALUE"""),"DISERAHKAN")</f>
        <v>DISERAHKAN</v>
      </c>
      <c r="F6424" s="48">
        <f>IFERROR(__xludf.DUMMYFUNCTION("""COMPUTED_VALUE"""),45916.6592284375)</f>
        <v>45916.65923</v>
      </c>
      <c r="G6424" s="42" t="str">
        <f>IFERROR(__xludf.DUMMYFUNCTION("""COMPUTED_VALUE"""),"BN JUAL BELI")</f>
        <v>BN JUAL BELI</v>
      </c>
      <c r="H6424" s="42">
        <f t="shared" si="1"/>
        <v>2817</v>
      </c>
    </row>
    <row r="6425" ht="22.5" customHeight="1">
      <c r="B6425" s="42" t="str">
        <f>IFERROR(__xludf.DUMMYFUNCTION("""COMPUTED_VALUE"""),"K/13/060825/1")</f>
        <v>K/13/060825/1</v>
      </c>
      <c r="C6425" s="42" t="str">
        <f>IFERROR(__xludf.DUMMYFUNCTION("""COMPUTED_VALUE"""),"M. 1288/ Labuhan Ratu Raya")</f>
        <v>M. 1288/ Labuhan Ratu Raya</v>
      </c>
      <c r="D6425" s="42"/>
      <c r="E6425" s="42"/>
      <c r="F6425" s="48" t="str">
        <f>IFERROR(__xludf.DUMMYFUNCTION("""COMPUTED_VALUE"""),"")</f>
        <v/>
      </c>
      <c r="G6425" s="42" t="str">
        <f>IFERROR(__xludf.DUMMYFUNCTION("""COMPUTED_VALUE"""),"BN WARIS")</f>
        <v>BN WARIS</v>
      </c>
      <c r="H6425" s="42">
        <f t="shared" si="1"/>
        <v>2817</v>
      </c>
    </row>
    <row r="6426" ht="22.5" customHeight="1">
      <c r="B6426" s="42" t="str">
        <f>IFERROR(__xludf.DUMMYFUNCTION("""COMPUTED_VALUE"""),"K/14/060825/1")</f>
        <v>K/14/060825/1</v>
      </c>
      <c r="C6426" s="42" t="str">
        <f>IFERROR(__xludf.DUMMYFUNCTION("""COMPUTED_VALUE"""),"Nibel. B. 18437/ Labuhan Ratu Raya")</f>
        <v>Nibel. B. 18437/ Labuhan Ratu Raya</v>
      </c>
      <c r="D6426" s="42"/>
      <c r="E6426" s="42"/>
      <c r="F6426" s="48" t="str">
        <f>IFERROR(__xludf.DUMMYFUNCTION("""COMPUTED_VALUE"""),"")</f>
        <v/>
      </c>
      <c r="G6426" s="42" t="str">
        <f>IFERROR(__xludf.DUMMYFUNCTION("""COMPUTED_VALUE"""),"BN Jual Beli")</f>
        <v>BN Jual Beli</v>
      </c>
      <c r="H6426" s="42">
        <f t="shared" si="1"/>
        <v>2817</v>
      </c>
    </row>
    <row r="6427" ht="22.5" customHeight="1">
      <c r="B6427" s="42" t="str">
        <f>IFERROR(__xludf.DUMMYFUNCTION("""COMPUTED_VALUE"""),"DEBBY")</f>
        <v>DEBBY</v>
      </c>
      <c r="C6427" s="42" t="str">
        <f>IFERROR(__xludf.DUMMYFUNCTION("""COMPUTED_VALUE"""),"HM 2794/SUMBER REJO")</f>
        <v>HM 2794/SUMBER REJO</v>
      </c>
      <c r="D6427" s="42"/>
      <c r="E6427" s="42"/>
      <c r="F6427" s="48" t="str">
        <f>IFERROR(__xludf.DUMMYFUNCTION("""COMPUTED_VALUE"""),"")</f>
        <v/>
      </c>
      <c r="G6427" s="42" t="str">
        <f>IFERROR(__xludf.DUMMYFUNCTION("""COMPUTED_VALUE"""),"PTPGT")</f>
        <v>PTPGT</v>
      </c>
      <c r="H6427" s="42">
        <f t="shared" si="1"/>
        <v>2817</v>
      </c>
    </row>
    <row r="6428" ht="22.5" customHeight="1">
      <c r="B6428" s="42" t="str">
        <f>IFERROR(__xludf.DUMMYFUNCTION("""COMPUTED_VALUE"""),"L/16/060825/2")</f>
        <v>L/16/060825/2</v>
      </c>
      <c r="C6428" s="42" t="str">
        <f>IFERROR(__xludf.DUMMYFUNCTION("""COMPUTED_VALUE"""),"HM 2793/SUMBER REJO")</f>
        <v>HM 2793/SUMBER REJO</v>
      </c>
      <c r="D6428" s="42"/>
      <c r="E6428" s="42"/>
      <c r="F6428" s="48" t="str">
        <f>IFERROR(__xludf.DUMMYFUNCTION("""COMPUTED_VALUE"""),"")</f>
        <v/>
      </c>
      <c r="G6428" s="42" t="str">
        <f>IFERROR(__xludf.DUMMYFUNCTION("""COMPUTED_VALUE"""),"PTPGT")</f>
        <v>PTPGT</v>
      </c>
      <c r="H6428" s="42">
        <f t="shared" si="1"/>
        <v>2817</v>
      </c>
    </row>
    <row r="6429" ht="22.5" customHeight="1">
      <c r="B6429" s="42" t="str">
        <f>IFERROR(__xludf.DUMMYFUNCTION("""COMPUTED_VALUE"""),"K/17/060825/1")</f>
        <v>K/17/060825/1</v>
      </c>
      <c r="C6429" s="42" t="str">
        <f>IFERROR(__xludf.DUMMYFUNCTION("""COMPUTED_VALUE"""),"NIBEL B.437/KEMILING PERMAI")</f>
        <v>NIBEL B.437/KEMILING PERMAI</v>
      </c>
      <c r="D6429" s="42"/>
      <c r="E6429" s="42"/>
      <c r="F6429" s="48" t="str">
        <f>IFERROR(__xludf.DUMMYFUNCTION("""COMPUTED_VALUE"""),"")</f>
        <v/>
      </c>
      <c r="G6429" s="42" t="str">
        <f>IFERROR(__xludf.DUMMYFUNCTION("""COMPUTED_VALUE"""),"JUAL BELI")</f>
        <v>JUAL BELI</v>
      </c>
      <c r="H6429" s="42">
        <f t="shared" si="1"/>
        <v>2817</v>
      </c>
    </row>
    <row r="6430" ht="22.5" customHeight="1">
      <c r="B6430" s="42" t="str">
        <f>IFERROR(__xludf.DUMMYFUNCTION("""COMPUTED_VALUE"""),"K/18/060825/1")</f>
        <v>K/18/060825/1</v>
      </c>
      <c r="C6430" s="42" t="str">
        <f>IFERROR(__xludf.DUMMYFUNCTION("""COMPUTED_VALUE"""),"Nibel. M. 20392/ Labuhan Dalam")</f>
        <v>Nibel. M. 20392/ Labuhan Dalam</v>
      </c>
      <c r="D6430" s="42"/>
      <c r="E6430" s="42"/>
      <c r="F6430" s="48" t="str">
        <f>IFERROR(__xludf.DUMMYFUNCTION("""COMPUTED_VALUE"""),"")</f>
        <v/>
      </c>
      <c r="G6430" s="42" t="str">
        <f>IFERROR(__xludf.DUMMYFUNCTION("""COMPUTED_VALUE"""),"BN Jual Beli")</f>
        <v>BN Jual Beli</v>
      </c>
      <c r="H6430" s="42">
        <f t="shared" si="1"/>
        <v>2817</v>
      </c>
    </row>
    <row r="6431" ht="22.5" customHeight="1">
      <c r="B6431" s="42" t="str">
        <f>IFERROR(__xludf.DUMMYFUNCTION("""COMPUTED_VALUE"""),"K/19/060825/2")</f>
        <v>K/19/060825/2</v>
      </c>
      <c r="C6431" s="42" t="str">
        <f>IFERROR(__xludf.DUMMYFUNCTION("""COMPUTED_VALUE"""),"M. 2801/ Sumberejo Kemiling")</f>
        <v>M. 2801/ Sumberejo Kemiling</v>
      </c>
      <c r="D6431" s="42"/>
      <c r="E6431" s="42"/>
      <c r="F6431" s="48" t="str">
        <f>IFERROR(__xludf.DUMMYFUNCTION("""COMPUTED_VALUE"""),"")</f>
        <v/>
      </c>
      <c r="G6431" s="42" t="str">
        <f>IFERROR(__xludf.DUMMYFUNCTION("""COMPUTED_VALUE"""),"Roya")</f>
        <v>Roya</v>
      </c>
      <c r="H6431" s="42">
        <f t="shared" si="1"/>
        <v>2817</v>
      </c>
    </row>
    <row r="6432" ht="22.5" customHeight="1">
      <c r="B6432" s="42" t="str">
        <f>IFERROR(__xludf.DUMMYFUNCTION("""COMPUTED_VALUE"""),"K/20/060825/1")</f>
        <v>K/20/060825/1</v>
      </c>
      <c r="C6432" s="42" t="str">
        <f>IFERROR(__xludf.DUMMYFUNCTION("""COMPUTED_VALUE"""),"M.11958/SUKABUMI")</f>
        <v>M.11958/SUKABUMI</v>
      </c>
      <c r="D6432" s="42" t="str">
        <f>IFERROR(__xludf.DUMMYFUNCTION("""COMPUTED_VALUE"""),"Berry")</f>
        <v>Berry</v>
      </c>
      <c r="E6432" s="42" t="str">
        <f>IFERROR(__xludf.DUMMYFUNCTION("""COMPUTED_VALUE"""),"DISERAHKAN")</f>
        <v>DISERAHKAN</v>
      </c>
      <c r="F6432" s="48">
        <f>IFERROR(__xludf.DUMMYFUNCTION("""COMPUTED_VALUE"""),45891.59268888889)</f>
        <v>45891.59269</v>
      </c>
      <c r="G6432" s="42" t="str">
        <f>IFERROR(__xludf.DUMMYFUNCTION("""COMPUTED_VALUE"""),"SKPT ")</f>
        <v>SKPT </v>
      </c>
      <c r="H6432" s="42">
        <f t="shared" si="1"/>
        <v>2818</v>
      </c>
    </row>
    <row r="6433" ht="22.5" customHeight="1">
      <c r="B6433" s="42" t="str">
        <f>IFERROR(__xludf.DUMMYFUNCTION("""COMPUTED_VALUE"""),"K/22/060825/1")</f>
        <v>K/22/060825/1</v>
      </c>
      <c r="C6433" s="42" t="str">
        <f>IFERROR(__xludf.DUMMYFUNCTION("""COMPUTED_VALUE"""),"M.632/SUKARAJA")</f>
        <v>M.632/SUKARAJA</v>
      </c>
      <c r="D6433" s="42"/>
      <c r="E6433" s="42"/>
      <c r="F6433" s="48" t="str">
        <f>IFERROR(__xludf.DUMMYFUNCTION("""COMPUTED_VALUE"""),"")</f>
        <v/>
      </c>
      <c r="G6433" s="42" t="str">
        <f>IFERROR(__xludf.DUMMYFUNCTION("""COMPUTED_VALUE"""),"BLOKIR")</f>
        <v>BLOKIR</v>
      </c>
      <c r="H6433" s="42">
        <f t="shared" si="1"/>
        <v>2818</v>
      </c>
    </row>
    <row r="6434" ht="22.5" customHeight="1">
      <c r="B6434" s="42" t="str">
        <f>IFERROR(__xludf.DUMMYFUNCTION("""COMPUTED_VALUE"""),"K/23/060825/2")</f>
        <v>K/23/060825/2</v>
      </c>
      <c r="C6434" s="42" t="str">
        <f>IFERROR(__xludf.DUMMYFUNCTION("""COMPUTED_VALUE"""),"M. 633/SUKARAJA")</f>
        <v>M. 633/SUKARAJA</v>
      </c>
      <c r="D6434" s="42"/>
      <c r="E6434" s="42"/>
      <c r="F6434" s="48" t="str">
        <f>IFERROR(__xludf.DUMMYFUNCTION("""COMPUTED_VALUE"""),"")</f>
        <v/>
      </c>
      <c r="G6434" s="42" t="str">
        <f>IFERROR(__xludf.DUMMYFUNCTION("""COMPUTED_VALUE"""),"BLOKIR ")</f>
        <v>BLOKIR </v>
      </c>
      <c r="H6434" s="42">
        <f t="shared" si="1"/>
        <v>2818</v>
      </c>
    </row>
    <row r="6435" ht="22.5" customHeight="1">
      <c r="B6435" s="42" t="str">
        <f>IFERROR(__xludf.DUMMYFUNCTION("""COMPUTED_VALUE"""),"K/21/060825/2")</f>
        <v>K/21/060825/2</v>
      </c>
      <c r="C6435" s="42" t="str">
        <f>IFERROR(__xludf.DUMMYFUNCTION("""COMPUTED_VALUE"""),"M.60/RAJABASA NUNYAI")</f>
        <v>M.60/RAJABASA NUNYAI</v>
      </c>
      <c r="D6435" s="42"/>
      <c r="E6435" s="42"/>
      <c r="F6435" s="48" t="str">
        <f>IFERROR(__xludf.DUMMYFUNCTION("""COMPUTED_VALUE"""),"")</f>
        <v/>
      </c>
      <c r="G6435" s="42" t="str">
        <f>IFERROR(__xludf.DUMMYFUNCTION("""COMPUTED_VALUE"""),"SKPT ")</f>
        <v>SKPT </v>
      </c>
      <c r="H6435" s="42">
        <f t="shared" si="1"/>
        <v>2818</v>
      </c>
    </row>
    <row r="6436" ht="22.5" customHeight="1">
      <c r="B6436" s="42" t="str">
        <f>IFERROR(__xludf.DUMMYFUNCTION("""COMPUTED_VALUE"""),"K/25/060825/1")</f>
        <v>K/25/060825/1</v>
      </c>
      <c r="C6436" s="42" t="str">
        <f>IFERROR(__xludf.DUMMYFUNCTION("""COMPUTED_VALUE"""),"B. 322/ Pematang Wangi")</f>
        <v>B. 322/ Pematang Wangi</v>
      </c>
      <c r="D6436" s="42"/>
      <c r="E6436" s="42"/>
      <c r="F6436" s="48" t="str">
        <f>IFERROR(__xludf.DUMMYFUNCTION("""COMPUTED_VALUE"""),"")</f>
        <v/>
      </c>
      <c r="G6436" s="42" t="str">
        <f>IFERROR(__xludf.DUMMYFUNCTION("""COMPUTED_VALUE"""),"PTPGT PERPANJANGAN HGB")</f>
        <v>PTPGT PERPANJANGAN HGB</v>
      </c>
      <c r="H6436" s="42">
        <f t="shared" si="1"/>
        <v>2818</v>
      </c>
    </row>
    <row r="6437" ht="22.5" customHeight="1">
      <c r="B6437" s="42" t="str">
        <f>IFERROR(__xludf.DUMMYFUNCTION("""COMPUTED_VALUE"""),"K/26/060825/2")</f>
        <v>K/26/060825/2</v>
      </c>
      <c r="C6437" s="42" t="str">
        <f>IFERROR(__xludf.DUMMYFUNCTION("""COMPUTED_VALUE"""),"Nibel 21409/ Sunberrejo Sejahtera")</f>
        <v>Nibel 21409/ Sunberrejo Sejahtera</v>
      </c>
      <c r="D6437" s="42"/>
      <c r="E6437" s="42"/>
      <c r="F6437" s="48" t="str">
        <f>IFERROR(__xludf.DUMMYFUNCTION("""COMPUTED_VALUE"""),"")</f>
        <v/>
      </c>
      <c r="G6437" s="42" t="str">
        <f>IFERROR(__xludf.DUMMYFUNCTION("""COMPUTED_VALUE"""),"PERUBAHAN HAK")</f>
        <v>PERUBAHAN HAK</v>
      </c>
      <c r="H6437" s="42">
        <f t="shared" si="1"/>
        <v>2818</v>
      </c>
    </row>
    <row r="6438" ht="22.5" customHeight="1">
      <c r="B6438" s="42" t="str">
        <f>IFERROR(__xludf.DUMMYFUNCTION("""COMPUTED_VALUE"""),"L/27/060825/1")</f>
        <v>L/27/060825/1</v>
      </c>
      <c r="C6438" s="42" t="str">
        <f>IFERROR(__xludf.DUMMYFUNCTION("""COMPUTED_VALUE"""),"HM 13013/RAJABASA")</f>
        <v>HM 13013/RAJABASA</v>
      </c>
      <c r="D6438" s="42"/>
      <c r="E6438" s="42"/>
      <c r="F6438" s="48" t="str">
        <f>IFERROR(__xludf.DUMMYFUNCTION("""COMPUTED_VALUE"""),"")</f>
        <v/>
      </c>
      <c r="G6438" s="42" t="str">
        <f>IFERROR(__xludf.DUMMYFUNCTION("""COMPUTED_VALUE"""),"ROYA")</f>
        <v>ROYA</v>
      </c>
      <c r="H6438" s="42">
        <f t="shared" si="1"/>
        <v>2818</v>
      </c>
    </row>
    <row r="6439" ht="22.5" customHeight="1">
      <c r="B6439" s="42" t="str">
        <f>IFERROR(__xludf.DUMMYFUNCTION("""COMPUTED_VALUE"""),"K/24/060825/1")</f>
        <v>K/24/060825/1</v>
      </c>
      <c r="C6439" s="42" t="str">
        <f>IFERROR(__xludf.DUMMYFUNCTION("""COMPUTED_VALUE"""),"M.4226/BERINGIN RAYA")</f>
        <v>M.4226/BERINGIN RAYA</v>
      </c>
      <c r="D6439" s="42"/>
      <c r="E6439" s="42"/>
      <c r="F6439" s="48" t="str">
        <f>IFERROR(__xludf.DUMMYFUNCTION("""COMPUTED_VALUE"""),"")</f>
        <v/>
      </c>
      <c r="G6439" s="42" t="str">
        <f>IFERROR(__xludf.DUMMYFUNCTION("""COMPUTED_VALUE"""),"ROYA")</f>
        <v>ROYA</v>
      </c>
      <c r="H6439" s="42">
        <f t="shared" si="1"/>
        <v>2818</v>
      </c>
    </row>
    <row r="6440" ht="22.5" customHeight="1">
      <c r="B6440" s="42" t="str">
        <f>IFERROR(__xludf.DUMMYFUNCTION("""COMPUTED_VALUE"""),"K/28/060825/1")</f>
        <v>K/28/060825/1</v>
      </c>
      <c r="C6440" s="42" t="str">
        <f>IFERROR(__xludf.DUMMYFUNCTION("""COMPUTED_VALUE"""),"Nibel 23037/ Sidodadi")</f>
        <v>Nibel 23037/ Sidodadi</v>
      </c>
      <c r="D6440" s="42" t="str">
        <f>IFERROR(__xludf.DUMMYFUNCTION("""COMPUTED_VALUE"""),"Berry")</f>
        <v>Berry</v>
      </c>
      <c r="E6440" s="42" t="str">
        <f>IFERROR(__xludf.DUMMYFUNCTION("""COMPUTED_VALUE"""),"DISERAHKAN")</f>
        <v>DISERAHKAN</v>
      </c>
      <c r="F6440" s="48">
        <f>IFERROR(__xludf.DUMMYFUNCTION("""COMPUTED_VALUE"""),45891.593683032406)</f>
        <v>45891.59368</v>
      </c>
      <c r="G6440" s="42" t="str">
        <f>IFERROR(__xludf.DUMMYFUNCTION("""COMPUTED_VALUE"""),"Nibel 23037/ Sidodadi")</f>
        <v>Nibel 23037/ Sidodadi</v>
      </c>
      <c r="H6440" s="42">
        <f t="shared" si="1"/>
        <v>2819</v>
      </c>
    </row>
    <row r="6441" ht="22.5" customHeight="1">
      <c r="B6441" s="42" t="str">
        <f>IFERROR(__xludf.DUMMYFUNCTION("""COMPUTED_VALUE"""),"L/3/070825/1")</f>
        <v>L/3/070825/1</v>
      </c>
      <c r="C6441" s="42" t="str">
        <f>IFERROR(__xludf.DUMMYFUNCTION("""COMPUTED_VALUE"""),"M. 13571/SUKABUMI")</f>
        <v>M. 13571/SUKABUMI</v>
      </c>
      <c r="D6441" s="42"/>
      <c r="E6441" s="42"/>
      <c r="F6441" s="48" t="str">
        <f>IFERROR(__xludf.DUMMYFUNCTION("""COMPUTED_VALUE"""),"")</f>
        <v/>
      </c>
      <c r="G6441" s="42" t="str">
        <f>IFERROR(__xludf.DUMMYFUNCTION("""COMPUTED_VALUE"""),"ROYA")</f>
        <v>ROYA</v>
      </c>
      <c r="H6441" s="42">
        <f t="shared" si="1"/>
        <v>2819</v>
      </c>
    </row>
    <row r="6442" ht="22.5" customHeight="1">
      <c r="B6442" s="42" t="str">
        <f>IFERROR(__xludf.DUMMYFUNCTION("""COMPUTED_VALUE"""),"L/4/070825/1")</f>
        <v>L/4/070825/1</v>
      </c>
      <c r="C6442" s="42" t="str">
        <f>IFERROR(__xludf.DUMMYFUNCTION("""COMPUTED_VALUE"""),"KELURAHAN BAKUNG")</f>
        <v>KELURAHAN BAKUNG</v>
      </c>
      <c r="D6442" s="42" t="str">
        <f>IFERROR(__xludf.DUMMYFUNCTION("""COMPUTED_VALUE"""),"David")</f>
        <v>David</v>
      </c>
      <c r="E6442" s="42" t="str">
        <f>IFERROR(__xludf.DUMMYFUNCTION("""COMPUTED_VALUE"""),"DISERAHKAN")</f>
        <v>DISERAHKAN</v>
      </c>
      <c r="F6442" s="48">
        <f>IFERROR(__xludf.DUMMYFUNCTION("""COMPUTED_VALUE"""),45930.60121782408)</f>
        <v>45930.60122</v>
      </c>
      <c r="G6442" s="42" t="str">
        <f>IFERROR(__xludf.DUMMYFUNCTION("""COMPUTED_VALUE"""),"PENDAFTRAN SK")</f>
        <v>PENDAFTRAN SK</v>
      </c>
      <c r="H6442" s="42">
        <f t="shared" si="1"/>
        <v>2820</v>
      </c>
    </row>
    <row r="6443" ht="22.5" customHeight="1">
      <c r="B6443" s="42" t="str">
        <f>IFERROR(__xludf.DUMMYFUNCTION("""COMPUTED_VALUE"""),"L/6/070825/1")</f>
        <v>L/6/070825/1</v>
      </c>
      <c r="C6443" s="42" t="str">
        <f>IFERROR(__xludf.DUMMYFUNCTION("""COMPUTED_VALUE"""),"M. 1174/SUKABUMI INDAH")</f>
        <v>M. 1174/SUKABUMI INDAH</v>
      </c>
      <c r="D6443" s="42"/>
      <c r="E6443" s="42"/>
      <c r="F6443" s="48" t="str">
        <f>IFERROR(__xludf.DUMMYFUNCTION("""COMPUTED_VALUE"""),"")</f>
        <v/>
      </c>
      <c r="G6443" s="42" t="str">
        <f>IFERROR(__xludf.DUMMYFUNCTION("""COMPUTED_VALUE"""),"ROYA")</f>
        <v>ROYA</v>
      </c>
      <c r="H6443" s="42">
        <f t="shared" si="1"/>
        <v>2820</v>
      </c>
    </row>
    <row r="6444" ht="22.5" customHeight="1">
      <c r="B6444" s="42" t="str">
        <f>IFERROR(__xludf.DUMMYFUNCTION("""COMPUTED_VALUE"""),"K/7/070825/1")</f>
        <v>K/7/070825/1</v>
      </c>
      <c r="C6444" s="42" t="str">
        <f>IFERROR(__xludf.DUMMYFUNCTION("""COMPUTED_VALUE"""),"M. 9084/SUKAMENANTI")</f>
        <v>M. 9084/SUKAMENANTI</v>
      </c>
      <c r="D6444" s="42"/>
      <c r="E6444" s="42"/>
      <c r="F6444" s="48" t="str">
        <f>IFERROR(__xludf.DUMMYFUNCTION("""COMPUTED_VALUE"""),"")</f>
        <v/>
      </c>
      <c r="G6444" s="42" t="str">
        <f>IFERROR(__xludf.DUMMYFUNCTION("""COMPUTED_VALUE"""),"BN WARIS")</f>
        <v>BN WARIS</v>
      </c>
      <c r="H6444" s="42">
        <f t="shared" si="1"/>
        <v>2820</v>
      </c>
    </row>
    <row r="6445" ht="22.5" customHeight="1">
      <c r="B6445" s="42" t="str">
        <f>IFERROR(__xludf.DUMMYFUNCTION("""COMPUTED_VALUE"""),"K/1/070825/1")</f>
        <v>K/1/070825/1</v>
      </c>
      <c r="C6445" s="42" t="str">
        <f>IFERROR(__xludf.DUMMYFUNCTION("""COMPUTED_VALUE"""),"NIBEL 454/ SUMBER AGUNG")</f>
        <v>NIBEL 454/ SUMBER AGUNG</v>
      </c>
      <c r="D6445" s="42"/>
      <c r="E6445" s="42"/>
      <c r="F6445" s="48" t="str">
        <f>IFERROR(__xludf.DUMMYFUNCTION("""COMPUTED_VALUE"""),"")</f>
        <v/>
      </c>
      <c r="G6445" s="42" t="str">
        <f>IFERROR(__xludf.DUMMYFUNCTION("""COMPUTED_VALUE"""),"BN ")</f>
        <v>BN </v>
      </c>
      <c r="H6445" s="42">
        <f t="shared" si="1"/>
        <v>2820</v>
      </c>
    </row>
    <row r="6446" ht="22.5" customHeight="1">
      <c r="B6446" s="42" t="str">
        <f>IFERROR(__xludf.DUMMYFUNCTION("""COMPUTED_VALUE"""),"K/2/070825/1")</f>
        <v>K/2/070825/1</v>
      </c>
      <c r="C6446" s="42" t="str">
        <f>IFERROR(__xludf.DUMMYFUNCTION("""COMPUTED_VALUE"""),"tanah mentah")</f>
        <v>tanah mentah</v>
      </c>
      <c r="D6446" s="42"/>
      <c r="E6446" s="42"/>
      <c r="F6446" s="48" t="str">
        <f>IFERROR(__xludf.DUMMYFUNCTION("""COMPUTED_VALUE"""),"")</f>
        <v/>
      </c>
      <c r="G6446" s="42" t="str">
        <f>IFERROR(__xludf.DUMMYFUNCTION("""COMPUTED_VALUE"""),"Pengukuran Pertama Kali")</f>
        <v>Pengukuran Pertama Kali</v>
      </c>
      <c r="H6446" s="42">
        <f t="shared" si="1"/>
        <v>2820</v>
      </c>
    </row>
    <row r="6447" ht="22.5" customHeight="1">
      <c r="B6447" s="42" t="str">
        <f>IFERROR(__xludf.DUMMYFUNCTION("""COMPUTED_VALUE"""),"K/8/070825/1")</f>
        <v>K/8/070825/1</v>
      </c>
      <c r="C6447" s="42" t="str">
        <f>IFERROR(__xludf.DUMMYFUNCTION("""COMPUTED_VALUE"""),"B. 943/C.J")</f>
        <v>B. 943/C.J</v>
      </c>
      <c r="D6447" s="42"/>
      <c r="E6447" s="42"/>
      <c r="F6447" s="48" t="str">
        <f>IFERROR(__xludf.DUMMYFUNCTION("""COMPUTED_VALUE"""),"")</f>
        <v/>
      </c>
      <c r="G6447" s="42" t="str">
        <f>IFERROR(__xludf.DUMMYFUNCTION("""COMPUTED_VALUE"""),"bn jual beli")</f>
        <v>bn jual beli</v>
      </c>
      <c r="H6447" s="42">
        <f t="shared" si="1"/>
        <v>2820</v>
      </c>
    </row>
    <row r="6448" ht="22.5" customHeight="1">
      <c r="B6448" s="42" t="str">
        <f>IFERROR(__xludf.DUMMYFUNCTION("""COMPUTED_VALUE"""),"K/5/070825/1")</f>
        <v>K/5/070825/1</v>
      </c>
      <c r="C6448" s="42" t="str">
        <f>IFERROR(__xludf.DUMMYFUNCTION("""COMPUTED_VALUE"""),"RAJABASA PEMUKA")</f>
        <v>RAJABASA PEMUKA</v>
      </c>
      <c r="D6448" s="42" t="str">
        <f>IFERROR(__xludf.DUMMYFUNCTION("""COMPUTED_VALUE"""),"Berry")</f>
        <v>Berry</v>
      </c>
      <c r="E6448" s="42" t="str">
        <f>IFERROR(__xludf.DUMMYFUNCTION("""COMPUTED_VALUE"""),"DISERAHKAN")</f>
        <v>DISERAHKAN</v>
      </c>
      <c r="F6448" s="48">
        <f>IFERROR(__xludf.DUMMYFUNCTION("""COMPUTED_VALUE"""),45915.58280142361)</f>
        <v>45915.5828</v>
      </c>
      <c r="G6448" s="42" t="str">
        <f>IFERROR(__xludf.DUMMYFUNCTION("""COMPUTED_VALUE"""),"PENGUKURAN PERTAMA KALI")</f>
        <v>PENGUKURAN PERTAMA KALI</v>
      </c>
      <c r="H6448" s="42">
        <f t="shared" si="1"/>
        <v>2821</v>
      </c>
    </row>
    <row r="6449" ht="22.5" customHeight="1">
      <c r="B6449" s="42" t="str">
        <f>IFERROR(__xludf.DUMMYFUNCTION("""COMPUTED_VALUE"""),"K/9/070825/1")</f>
        <v>K/9/070825/1</v>
      </c>
      <c r="C6449" s="42" t="str">
        <f>IFERROR(__xludf.DUMMYFUNCTION("""COMPUTED_VALUE"""),"NIBEL B. 21326/SUKABUMI")</f>
        <v>NIBEL B. 21326/SUKABUMI</v>
      </c>
      <c r="D6449" s="42"/>
      <c r="E6449" s="42"/>
      <c r="F6449" s="48" t="str">
        <f>IFERROR(__xludf.DUMMYFUNCTION("""COMPUTED_VALUE"""),"")</f>
        <v/>
      </c>
      <c r="G6449" s="42" t="str">
        <f>IFERROR(__xludf.DUMMYFUNCTION("""COMPUTED_VALUE"""),"PENINGKATAN HAK")</f>
        <v>PENINGKATAN HAK</v>
      </c>
      <c r="H6449" s="42">
        <f t="shared" si="1"/>
        <v>2821</v>
      </c>
    </row>
    <row r="6450" ht="22.5" customHeight="1">
      <c r="B6450" s="42" t="str">
        <f>IFERROR(__xludf.DUMMYFUNCTION("""COMPUTED_VALUE"""),"K/11/070825/1")</f>
        <v>K/11/070825/1</v>
      </c>
      <c r="C6450" s="42" t="str">
        <f>IFERROR(__xludf.DUMMYFUNCTION("""COMPUTED_VALUE"""),"NIBEL. 10510/ LABUHAN DALAM")</f>
        <v>NIBEL. 10510/ LABUHAN DALAM</v>
      </c>
      <c r="D6450" s="42"/>
      <c r="E6450" s="42"/>
      <c r="F6450" s="48" t="str">
        <f>IFERROR(__xludf.DUMMYFUNCTION("""COMPUTED_VALUE"""),"")</f>
        <v/>
      </c>
      <c r="G6450" s="42" t="str">
        <f>IFERROR(__xludf.DUMMYFUNCTION("""COMPUTED_VALUE"""),"BN")</f>
        <v>BN</v>
      </c>
      <c r="H6450" s="42">
        <f t="shared" si="1"/>
        <v>2821</v>
      </c>
    </row>
    <row r="6451" ht="22.5" customHeight="1">
      <c r="B6451" s="42" t="str">
        <f>IFERROR(__xludf.DUMMYFUNCTION("""COMPUTED_VALUE"""),"K/13/070825/1")</f>
        <v>K/13/070825/1</v>
      </c>
      <c r="C6451" s="42" t="str">
        <f>IFERROR(__xludf.DUMMYFUNCTION("""COMPUTED_VALUE"""),"KORPRI JAYA")</f>
        <v>KORPRI JAYA</v>
      </c>
      <c r="D6451" s="42"/>
      <c r="E6451" s="42"/>
      <c r="F6451" s="48" t="str">
        <f>IFERROR(__xludf.DUMMYFUNCTION("""COMPUTED_VALUE"""),"")</f>
        <v/>
      </c>
      <c r="G6451" s="42" t="str">
        <f>IFERROR(__xludf.DUMMYFUNCTION("""COMPUTED_VALUE"""),"PERTAMA KALI")</f>
        <v>PERTAMA KALI</v>
      </c>
      <c r="H6451" s="42">
        <f t="shared" si="1"/>
        <v>2821</v>
      </c>
    </row>
    <row r="6452" ht="22.5" customHeight="1">
      <c r="B6452" s="42" t="str">
        <f>IFERROR(__xludf.DUMMYFUNCTION("""COMPUTED_VALUE"""),"K/12/070825/1")</f>
        <v>K/12/070825/1</v>
      </c>
      <c r="C6452" s="42" t="str">
        <f>IFERROR(__xludf.DUMMYFUNCTION("""COMPUTED_VALUE"""),"tanah mentah ")</f>
        <v>tanah mentah </v>
      </c>
      <c r="D6452" s="42"/>
      <c r="E6452" s="42"/>
      <c r="F6452" s="48" t="str">
        <f>IFERROR(__xludf.DUMMYFUNCTION("""COMPUTED_VALUE"""),"")</f>
        <v/>
      </c>
      <c r="G6452" s="42" t="str">
        <f>IFERROR(__xludf.DUMMYFUNCTION("""COMPUTED_VALUE"""),"Penatagunaan Pertama Kali")</f>
        <v>Penatagunaan Pertama Kali</v>
      </c>
      <c r="H6452" s="42">
        <f t="shared" si="1"/>
        <v>2821</v>
      </c>
    </row>
    <row r="6453" ht="22.5" customHeight="1">
      <c r="B6453" s="42" t="str">
        <f>IFERROR(__xludf.DUMMYFUNCTION("""COMPUTED_VALUE"""),"K/10/070825/1")</f>
        <v>K/10/070825/1</v>
      </c>
      <c r="C6453" s="42" t="str">
        <f>IFERROR(__xludf.DUMMYFUNCTION("""COMPUTED_VALUE"""),"M. 8975/KEDAMAIAN")</f>
        <v>M. 8975/KEDAMAIAN</v>
      </c>
      <c r="D6453" s="42"/>
      <c r="E6453" s="42"/>
      <c r="F6453" s="48" t="str">
        <f>IFERROR(__xludf.DUMMYFUNCTION("""COMPUTED_VALUE"""),"")</f>
        <v/>
      </c>
      <c r="G6453" s="42" t="str">
        <f>IFERROR(__xludf.DUMMYFUNCTION("""COMPUTED_VALUE"""),"PENATAAN BATAS ")</f>
        <v>PENATAAN BATAS </v>
      </c>
      <c r="H6453" s="42">
        <f t="shared" si="1"/>
        <v>2821</v>
      </c>
    </row>
    <row r="6454" ht="22.5" customHeight="1">
      <c r="B6454" s="42" t="str">
        <f>IFERROR(__xludf.DUMMYFUNCTION("""COMPUTED_VALUE"""),"K//070825/1")</f>
        <v>K//070825/1</v>
      </c>
      <c r="C6454" s="42" t="str">
        <f>IFERROR(__xludf.DUMMYFUNCTION("""COMPUTED_VALUE"""),"B. 319/ Pematang Wangi")</f>
        <v>B. 319/ Pematang Wangi</v>
      </c>
      <c r="D6454" s="42"/>
      <c r="E6454" s="42"/>
      <c r="F6454" s="48" t="str">
        <f>IFERROR(__xludf.DUMMYFUNCTION("""COMPUTED_VALUE"""),"")</f>
        <v/>
      </c>
      <c r="G6454" s="42" t="str">
        <f>IFERROR(__xludf.DUMMYFUNCTION("""COMPUTED_VALUE"""),"SK Pembaruan Hak")</f>
        <v>SK Pembaruan Hak</v>
      </c>
      <c r="H6454" s="42">
        <f t="shared" si="1"/>
        <v>2821</v>
      </c>
    </row>
    <row r="6455" ht="22.5" customHeight="1">
      <c r="B6455" s="42" t="str">
        <f>IFERROR(__xludf.DUMMYFUNCTION("""COMPUTED_VALUE"""),"L/16/070826/1")</f>
        <v>L/16/070826/1</v>
      </c>
      <c r="C6455" s="42" t="str">
        <f>IFERROR(__xludf.DUMMYFUNCTION("""COMPUTED_VALUE"""),"M. 9871/KAMPUNG BARU")</f>
        <v>M. 9871/KAMPUNG BARU</v>
      </c>
      <c r="D6455" s="42"/>
      <c r="E6455" s="42"/>
      <c r="F6455" s="48" t="str">
        <f>IFERROR(__xludf.DUMMYFUNCTION("""COMPUTED_VALUE"""),"")</f>
        <v/>
      </c>
      <c r="G6455" s="42" t="str">
        <f>IFERROR(__xludf.DUMMYFUNCTION("""COMPUTED_VALUE"""),"ROYA")</f>
        <v>ROYA</v>
      </c>
      <c r="H6455" s="42">
        <f t="shared" si="1"/>
        <v>2821</v>
      </c>
    </row>
    <row r="6456" ht="22.5" customHeight="1">
      <c r="B6456" s="42" t="str">
        <f>IFERROR(__xludf.DUMMYFUNCTION("""COMPUTED_VALUE"""),"K/17/070826/1")</f>
        <v>K/17/070826/1</v>
      </c>
      <c r="C6456" s="42" t="str">
        <f>IFERROR(__xludf.DUMMYFUNCTION("""COMPUTED_VALUE"""),"M. 10388/SUKABUMI")</f>
        <v>M. 10388/SUKABUMI</v>
      </c>
      <c r="D6456" s="42" t="str">
        <f>IFERROR(__xludf.DUMMYFUNCTION("""COMPUTED_VALUE"""),"David")</f>
        <v>David</v>
      </c>
      <c r="E6456" s="42" t="str">
        <f>IFERROR(__xludf.DUMMYFUNCTION("""COMPUTED_VALUE"""),"DISERAHKAN")</f>
        <v>DISERAHKAN</v>
      </c>
      <c r="F6456" s="48">
        <f>IFERROR(__xludf.DUMMYFUNCTION("""COMPUTED_VALUE"""),45912.52509844907)</f>
        <v>45912.5251</v>
      </c>
      <c r="G6456" s="42" t="str">
        <f>IFERROR(__xludf.DUMMYFUNCTION("""COMPUTED_VALUE"""),"ROYA")</f>
        <v>ROYA</v>
      </c>
      <c r="H6456" s="42">
        <f t="shared" si="1"/>
        <v>2822</v>
      </c>
    </row>
    <row r="6457" ht="22.5" customHeight="1">
      <c r="B6457" s="42" t="str">
        <f>IFERROR(__xludf.DUMMYFUNCTION("""COMPUTED_VALUE"""),"L/19/070826/1")</f>
        <v>L/19/070826/1</v>
      </c>
      <c r="C6457" s="42" t="str">
        <f>IFERROR(__xludf.DUMMYFUNCTION("""COMPUTED_VALUE"""),"M. 2456/KEMILING PERMAI")</f>
        <v>M. 2456/KEMILING PERMAI</v>
      </c>
      <c r="D6457" s="42" t="str">
        <f>IFERROR(__xludf.DUMMYFUNCTION("""COMPUTED_VALUE"""),"David")</f>
        <v>David</v>
      </c>
      <c r="E6457" s="42" t="str">
        <f>IFERROR(__xludf.DUMMYFUNCTION("""COMPUTED_VALUE"""),"DISERAHKAN")</f>
        <v>DISERAHKAN</v>
      </c>
      <c r="F6457" s="48">
        <f>IFERROR(__xludf.DUMMYFUNCTION("""COMPUTED_VALUE"""),45916.405407488426)</f>
        <v>45916.40541</v>
      </c>
      <c r="G6457" s="42" t="str">
        <f>IFERROR(__xludf.DUMMYFUNCTION("""COMPUTED_VALUE"""),"ROYA")</f>
        <v>ROYA</v>
      </c>
      <c r="H6457" s="42">
        <f t="shared" si="1"/>
        <v>2823</v>
      </c>
    </row>
    <row r="6458" ht="22.5" customHeight="1">
      <c r="B6458" s="42" t="str">
        <f>IFERROR(__xludf.DUMMYFUNCTION("""COMPUTED_VALUE"""),"L/20/070826/1")</f>
        <v>L/20/070826/1</v>
      </c>
      <c r="C6458" s="42" t="str">
        <f>IFERROR(__xludf.DUMMYFUNCTION("""COMPUTED_VALUE"""),"SHM, 406/KEMILING PERMAI")</f>
        <v>SHM, 406/KEMILING PERMAI</v>
      </c>
      <c r="D6458" s="42" t="str">
        <f>IFERROR(__xludf.DUMMYFUNCTION("""COMPUTED_VALUE"""),"David")</f>
        <v>David</v>
      </c>
      <c r="E6458" s="42" t="str">
        <f>IFERROR(__xludf.DUMMYFUNCTION("""COMPUTED_VALUE"""),"DISERAHKAN")</f>
        <v>DISERAHKAN</v>
      </c>
      <c r="F6458" s="48">
        <f>IFERROR(__xludf.DUMMYFUNCTION("""COMPUTED_VALUE"""),45908.62760431713)</f>
        <v>45908.6276</v>
      </c>
      <c r="G6458" s="42" t="str">
        <f>IFERROR(__xludf.DUMMYFUNCTION("""COMPUTED_VALUE"""),"ROYA")</f>
        <v>ROYA</v>
      </c>
      <c r="H6458" s="42">
        <f t="shared" si="1"/>
        <v>2824</v>
      </c>
    </row>
    <row r="6459" ht="22.5" customHeight="1">
      <c r="B6459" s="42" t="str">
        <f>IFERROR(__xludf.DUMMYFUNCTION("""COMPUTED_VALUE"""),"K/21/070826/1")</f>
        <v>K/21/070826/1</v>
      </c>
      <c r="C6459" s="42" t="str">
        <f>IFERROR(__xludf.DUMMYFUNCTION("""COMPUTED_VALUE"""),"M. 3661/ TANJUNG SENANG")</f>
        <v>M. 3661/ TANJUNG SENANG</v>
      </c>
      <c r="D6459" s="42" t="str">
        <f>IFERROR(__xludf.DUMMYFUNCTION("""COMPUTED_VALUE"""),"David")</f>
        <v>David</v>
      </c>
      <c r="E6459" s="42" t="str">
        <f>IFERROR(__xludf.DUMMYFUNCTION("""COMPUTED_VALUE"""),"DISERAHKAN")</f>
        <v>DISERAHKAN</v>
      </c>
      <c r="F6459" s="48">
        <f>IFERROR(__xludf.DUMMYFUNCTION("""COMPUTED_VALUE"""),45908.628011967594)</f>
        <v>45908.62801</v>
      </c>
      <c r="G6459" s="42" t="str">
        <f>IFERROR(__xludf.DUMMYFUNCTION("""COMPUTED_VALUE"""),"BN Waris")</f>
        <v>BN Waris</v>
      </c>
      <c r="H6459" s="42">
        <f t="shared" si="1"/>
        <v>2825</v>
      </c>
    </row>
    <row r="6460" ht="22.5" customHeight="1">
      <c r="B6460" s="42" t="str">
        <f>IFERROR(__xludf.DUMMYFUNCTION("""COMPUTED_VALUE"""),"K/18/070826/1")</f>
        <v>K/18/070826/1</v>
      </c>
      <c r="C6460" s="42" t="str">
        <f>IFERROR(__xludf.DUMMYFUNCTION("""COMPUTED_VALUE"""),"M. 710/ WAY DADI")</f>
        <v>M. 710/ WAY DADI</v>
      </c>
      <c r="D6460" s="42" t="str">
        <f>IFERROR(__xludf.DUMMYFUNCTION("""COMPUTED_VALUE"""),"Berry")</f>
        <v>Berry</v>
      </c>
      <c r="E6460" s="42" t="str">
        <f>IFERROR(__xludf.DUMMYFUNCTION("""COMPUTED_VALUE"""),"DISERAHKAN")</f>
        <v>DISERAHKAN</v>
      </c>
      <c r="F6460" s="48">
        <f>IFERROR(__xludf.DUMMYFUNCTION("""COMPUTED_VALUE"""),45908.63261571759)</f>
        <v>45908.63262</v>
      </c>
      <c r="G6460" s="42" t="str">
        <f>IFERROR(__xludf.DUMMYFUNCTION("""COMPUTED_VALUE"""),"BN HIBAH")</f>
        <v>BN HIBAH</v>
      </c>
      <c r="H6460" s="42">
        <f t="shared" si="1"/>
        <v>2826</v>
      </c>
    </row>
    <row r="6461" ht="22.5" customHeight="1">
      <c r="B6461" s="42" t="str">
        <f>IFERROR(__xludf.DUMMYFUNCTION("""COMPUTED_VALUE"""),"K/29/060825/1")</f>
        <v>K/29/060825/1</v>
      </c>
      <c r="C6461" s="42" t="str">
        <f>IFERROR(__xludf.DUMMYFUNCTION("""COMPUTED_VALUE"""),"M.760/NEGERI OLOK GADING")</f>
        <v>M.760/NEGERI OLOK GADING</v>
      </c>
      <c r="D6461" s="42" t="str">
        <f>IFERROR(__xludf.DUMMYFUNCTION("""COMPUTED_VALUE"""),"Berry")</f>
        <v>Berry</v>
      </c>
      <c r="E6461" s="42" t="str">
        <f>IFERROR(__xludf.DUMMYFUNCTION("""COMPUTED_VALUE"""),"DISERAHKAN")</f>
        <v>DISERAHKAN</v>
      </c>
      <c r="F6461" s="48">
        <f>IFERROR(__xludf.DUMMYFUNCTION("""COMPUTED_VALUE"""),45926.54795078703)</f>
        <v>45926.54795</v>
      </c>
      <c r="G6461" s="42" t="str">
        <f>IFERROR(__xludf.DUMMYFUNCTION("""COMPUTED_VALUE"""),"ROYA")</f>
        <v>ROYA</v>
      </c>
      <c r="H6461" s="42">
        <f t="shared" si="1"/>
        <v>2827</v>
      </c>
    </row>
    <row r="6462" ht="22.5" customHeight="1">
      <c r="B6462" s="42" t="str">
        <f>IFERROR(__xludf.DUMMYFUNCTION("""COMPUTED_VALUE"""),"K/29/060825/1")</f>
        <v>K/29/060825/1</v>
      </c>
      <c r="C6462" s="42" t="str">
        <f>IFERROR(__xludf.DUMMYFUNCTION("""COMPUTED_VALUE"""),"M.760/NEGERI OLOK GADING")</f>
        <v>M.760/NEGERI OLOK GADING</v>
      </c>
      <c r="D6462" s="42" t="str">
        <f>IFERROR(__xludf.DUMMYFUNCTION("""COMPUTED_VALUE"""),"Berry")</f>
        <v>Berry</v>
      </c>
      <c r="E6462" s="42" t="str">
        <f>IFERROR(__xludf.DUMMYFUNCTION("""COMPUTED_VALUE"""),"DISERAHKAN")</f>
        <v>DISERAHKAN</v>
      </c>
      <c r="F6462" s="48">
        <f>IFERROR(__xludf.DUMMYFUNCTION("""COMPUTED_VALUE"""),45889.53588002315)</f>
        <v>45889.53588</v>
      </c>
      <c r="G6462" s="42" t="str">
        <f>IFERROR(__xludf.DUMMYFUNCTION("""COMPUTED_VALUE"""),"ROYA")</f>
        <v>ROYA</v>
      </c>
      <c r="H6462" s="42">
        <f t="shared" si="1"/>
        <v>2828</v>
      </c>
    </row>
    <row r="6463" ht="22.5" customHeight="1">
      <c r="B6463" s="42" t="str">
        <f>IFERROR(__xludf.DUMMYFUNCTION("""COMPUTED_VALUE"""),"K/22/070826/1")</f>
        <v>K/22/070826/1</v>
      </c>
      <c r="C6463" s="42" t="str">
        <f>IFERROR(__xludf.DUMMYFUNCTION("""COMPUTED_VALUE"""),"Nibel 19295/ Way Kandis")</f>
        <v>Nibel 19295/ Way Kandis</v>
      </c>
      <c r="D6463" s="42"/>
      <c r="E6463" s="42"/>
      <c r="F6463" s="48" t="str">
        <f>IFERROR(__xludf.DUMMYFUNCTION("""COMPUTED_VALUE"""),"")</f>
        <v/>
      </c>
      <c r="G6463" s="42" t="str">
        <f>IFERROR(__xludf.DUMMYFUNCTION("""COMPUTED_VALUE"""),"pemecahan")</f>
        <v>pemecahan</v>
      </c>
      <c r="H6463" s="42">
        <f t="shared" si="1"/>
        <v>2828</v>
      </c>
    </row>
    <row r="6464" ht="22.5" customHeight="1">
      <c r="B6464" s="42" t="str">
        <f>IFERROR(__xludf.DUMMYFUNCTION("""COMPUTED_VALUE"""),"L/23/070827/1")</f>
        <v>L/23/070827/1</v>
      </c>
      <c r="C6464" s="42" t="str">
        <f>IFERROR(__xludf.DUMMYFUNCTION("""COMPUTED_VALUE"""),"B. 917/ SUKARAME BARU")</f>
        <v>B. 917/ SUKARAME BARU</v>
      </c>
      <c r="D6464" s="42"/>
      <c r="E6464" s="42"/>
      <c r="F6464" s="48" t="str">
        <f>IFERROR(__xludf.DUMMYFUNCTION("""COMPUTED_VALUE"""),"")</f>
        <v/>
      </c>
      <c r="G6464" s="42" t="str">
        <f>IFERROR(__xludf.DUMMYFUNCTION("""COMPUTED_VALUE"""),"PENINGKATAN HAK")</f>
        <v>PENINGKATAN HAK</v>
      </c>
      <c r="H6464" s="42">
        <f t="shared" si="1"/>
        <v>2828</v>
      </c>
    </row>
    <row r="6465" ht="22.5" customHeight="1">
      <c r="B6465" s="42" t="str">
        <f>IFERROR(__xludf.DUMMYFUNCTION("""COMPUTED_VALUE"""),"K/24/070827/1")</f>
        <v>K/24/070827/1</v>
      </c>
      <c r="C6465" s="42" t="str">
        <f>IFERROR(__xludf.DUMMYFUNCTION("""COMPUTED_VALUE"""),"M. 2217/SUKARAME BARU")</f>
        <v>M. 2217/SUKARAME BARU</v>
      </c>
      <c r="D6465" s="42"/>
      <c r="E6465" s="42"/>
      <c r="F6465" s="48" t="str">
        <f>IFERROR(__xludf.DUMMYFUNCTION("""COMPUTED_VALUE"""),"")</f>
        <v/>
      </c>
      <c r="G6465" s="42" t="str">
        <f>IFERROR(__xludf.DUMMYFUNCTION("""COMPUTED_VALUE"""),"BN JUAL BELI")</f>
        <v>BN JUAL BELI</v>
      </c>
      <c r="H6465" s="42">
        <f t="shared" si="1"/>
        <v>2828</v>
      </c>
    </row>
    <row r="6466" ht="22.5" customHeight="1">
      <c r="B6466" s="42" t="str">
        <f>IFERROR(__xludf.DUMMYFUNCTION("""COMPUTED_VALUE"""),"K/25/070827/1")</f>
        <v>K/25/070827/1</v>
      </c>
      <c r="C6466" s="42" t="str">
        <f>IFERROR(__xludf.DUMMYFUNCTION("""COMPUTED_VALUE"""),"M. 824/Langkapura Baru")</f>
        <v>M. 824/Langkapura Baru</v>
      </c>
      <c r="D6466" s="42" t="str">
        <f>IFERROR(__xludf.DUMMYFUNCTION("""COMPUTED_VALUE"""),"Berry")</f>
        <v>Berry</v>
      </c>
      <c r="E6466" s="42" t="str">
        <f>IFERROR(__xludf.DUMMYFUNCTION("""COMPUTED_VALUE"""),"DISERAHKAN")</f>
        <v>DISERAHKAN</v>
      </c>
      <c r="F6466" s="48">
        <f>IFERROR(__xludf.DUMMYFUNCTION("""COMPUTED_VALUE"""),45894.56629962963)</f>
        <v>45894.5663</v>
      </c>
      <c r="G6466" s="42" t="str">
        <f>IFERROR(__xludf.DUMMYFUNCTION("""COMPUTED_VALUE"""),"Penghapusan BPHTB PTSL")</f>
        <v>Penghapusan BPHTB PTSL</v>
      </c>
      <c r="H6466" s="42">
        <f t="shared" si="1"/>
        <v>2829</v>
      </c>
    </row>
    <row r="6467" ht="22.5" customHeight="1">
      <c r="B6467" s="42" t="str">
        <f>IFERROR(__xludf.DUMMYFUNCTION("""COMPUTED_VALUE"""),"K/26/070827/1")</f>
        <v>K/26/070827/1</v>
      </c>
      <c r="C6467" s="42" t="str">
        <f>IFERROR(__xludf.DUMMYFUNCTION("""COMPUTED_VALUE"""),"M. 1520/ BERINGIN JAYA")</f>
        <v>M. 1520/ BERINGIN JAYA</v>
      </c>
      <c r="D6467" s="42"/>
      <c r="E6467" s="42"/>
      <c r="F6467" s="48" t="str">
        <f>IFERROR(__xludf.DUMMYFUNCTION("""COMPUTED_VALUE"""),"")</f>
        <v/>
      </c>
      <c r="G6467" s="42" t="str">
        <f>IFERROR(__xludf.DUMMYFUNCTION("""COMPUTED_VALUE"""),"BN WARIS")</f>
        <v>BN WARIS</v>
      </c>
      <c r="H6467" s="42">
        <f t="shared" si="1"/>
        <v>2829</v>
      </c>
    </row>
    <row r="6468" ht="22.5" customHeight="1">
      <c r="B6468" s="42" t="str">
        <f>IFERROR(__xludf.DUMMYFUNCTION("""COMPUTED_VALUE"""),"K/27/070827/1")</f>
        <v>K/27/070827/1</v>
      </c>
      <c r="C6468" s="42" t="str">
        <f>IFERROR(__xludf.DUMMYFUNCTION("""COMPUTED_VALUE"""),"NIBEL B. 21593/KEMILING PERMAI")</f>
        <v>NIBEL B. 21593/KEMILING PERMAI</v>
      </c>
      <c r="D6468" s="42"/>
      <c r="E6468" s="42"/>
      <c r="F6468" s="48" t="str">
        <f>IFERROR(__xludf.DUMMYFUNCTION("""COMPUTED_VALUE"""),"")</f>
        <v/>
      </c>
      <c r="G6468" s="42" t="str">
        <f>IFERROR(__xludf.DUMMYFUNCTION("""COMPUTED_VALUE"""),"PENINGKATAN HAK")</f>
        <v>PENINGKATAN HAK</v>
      </c>
      <c r="H6468" s="42">
        <f t="shared" si="1"/>
        <v>2829</v>
      </c>
    </row>
    <row r="6469" ht="22.5" customHeight="1">
      <c r="B6469" s="42" t="str">
        <f>IFERROR(__xludf.DUMMYFUNCTION("""COMPUTED_VALUE"""),"K/1/080825/1")</f>
        <v>K/1/080825/1</v>
      </c>
      <c r="C6469" s="42" t="str">
        <f>IFERROR(__xludf.DUMMYFUNCTION("""COMPUTED_VALUE"""),"M. 9977/SUKARAME I")</f>
        <v>M. 9977/SUKARAME I</v>
      </c>
      <c r="D6469" s="42"/>
      <c r="E6469" s="42"/>
      <c r="F6469" s="48" t="str">
        <f>IFERROR(__xludf.DUMMYFUNCTION("""COMPUTED_VALUE"""),"")</f>
        <v/>
      </c>
      <c r="G6469" s="42" t="str">
        <f>IFERROR(__xludf.DUMMYFUNCTION("""COMPUTED_VALUE"""),"PENGGANTI KARNA HILANG")</f>
        <v>PENGGANTI KARNA HILANG</v>
      </c>
      <c r="H6469" s="42">
        <f t="shared" si="1"/>
        <v>2829</v>
      </c>
    </row>
    <row r="6470" ht="22.5" customHeight="1">
      <c r="B6470" s="42" t="str">
        <f>IFERROR(__xludf.DUMMYFUNCTION("""COMPUTED_VALUE"""),"K/29/080825/1")</f>
        <v>K/29/080825/1</v>
      </c>
      <c r="C6470" s="42" t="str">
        <f>IFERROR(__xludf.DUMMYFUNCTION("""COMPUTED_VALUE"""),"M. 660/Rajabasa Pemuka")</f>
        <v>M. 660/Rajabasa Pemuka</v>
      </c>
      <c r="D6470" s="42"/>
      <c r="E6470" s="42"/>
      <c r="F6470" s="48" t="str">
        <f>IFERROR(__xludf.DUMMYFUNCTION("""COMPUTED_VALUE"""),"")</f>
        <v/>
      </c>
      <c r="G6470" s="42" t="str">
        <f>IFERROR(__xludf.DUMMYFUNCTION("""COMPUTED_VALUE"""),"BN jual Beli")</f>
        <v>BN jual Beli</v>
      </c>
      <c r="H6470" s="42">
        <f t="shared" si="1"/>
        <v>2829</v>
      </c>
    </row>
    <row r="6471" ht="22.5" customHeight="1">
      <c r="B6471" s="42" t="str">
        <f>IFERROR(__xludf.DUMMYFUNCTION("""COMPUTED_VALUE"""),"K/30/080825/1")</f>
        <v>K/30/080825/1</v>
      </c>
      <c r="C6471" s="42" t="str">
        <f>IFERROR(__xludf.DUMMYFUNCTION("""COMPUTED_VALUE"""),"M. 1484/Sukajawa")</f>
        <v>M. 1484/Sukajawa</v>
      </c>
      <c r="D6471" s="42" t="str">
        <f>IFERROR(__xludf.DUMMYFUNCTION("""COMPUTED_VALUE"""),"Berry")</f>
        <v>Berry</v>
      </c>
      <c r="E6471" s="42" t="str">
        <f>IFERROR(__xludf.DUMMYFUNCTION("""COMPUTED_VALUE"""),"DISERAHKAN")</f>
        <v>DISERAHKAN</v>
      </c>
      <c r="F6471" s="48">
        <f>IFERROR(__xludf.DUMMYFUNCTION("""COMPUTED_VALUE"""),45908.633137916666)</f>
        <v>45908.63314</v>
      </c>
      <c r="G6471" s="42" t="str">
        <f>IFERROR(__xludf.DUMMYFUNCTION("""COMPUTED_VALUE"""),"SKPT Lelang")</f>
        <v>SKPT Lelang</v>
      </c>
      <c r="H6471" s="42">
        <f t="shared" si="1"/>
        <v>2830</v>
      </c>
    </row>
    <row r="6472" ht="22.5" customHeight="1">
      <c r="B6472" s="42" t="str">
        <f>IFERROR(__xludf.DUMMYFUNCTION("""COMPUTED_VALUE"""),"K/32/080825/1")</f>
        <v>K/32/080825/1</v>
      </c>
      <c r="C6472" s="42" t="str">
        <f>IFERROR(__xludf.DUMMYFUNCTION("""COMPUTED_VALUE"""),"M. 2451 Sumberjo, M. 907/Sumberejo, M. 909/Sumberejo")</f>
        <v>M. 2451 Sumberjo, M. 907/Sumberejo, M. 909/Sumberejo</v>
      </c>
      <c r="D6472" s="42"/>
      <c r="E6472" s="42"/>
      <c r="F6472" s="48" t="str">
        <f>IFERROR(__xludf.DUMMYFUNCTION("""COMPUTED_VALUE"""),"")</f>
        <v/>
      </c>
      <c r="G6472" s="42" t="str">
        <f>IFERROR(__xludf.DUMMYFUNCTION("""COMPUTED_VALUE"""),"SKPT Lelang")</f>
        <v>SKPT Lelang</v>
      </c>
      <c r="H6472" s="42">
        <f t="shared" si="1"/>
        <v>2830</v>
      </c>
    </row>
    <row r="6473" ht="22.5" customHeight="1">
      <c r="B6473" s="42" t="str">
        <f>IFERROR(__xludf.DUMMYFUNCTION("""COMPUTED_VALUE"""),"K/31/080825/1")</f>
        <v>K/31/080825/1</v>
      </c>
      <c r="C6473" s="42" t="str">
        <f>IFERROR(__xludf.DUMMYFUNCTION("""COMPUTED_VALUE"""),"21589/GUNUNG AGUNG")</f>
        <v>21589/GUNUNG AGUNG</v>
      </c>
      <c r="D6473" s="42"/>
      <c r="E6473" s="42"/>
      <c r="F6473" s="48" t="str">
        <f>IFERROR(__xludf.DUMMYFUNCTION("""COMPUTED_VALUE"""),"")</f>
        <v/>
      </c>
      <c r="G6473" s="42" t="str">
        <f>IFERROR(__xludf.DUMMYFUNCTION("""COMPUTED_VALUE"""),"PTPGT")</f>
        <v>PTPGT</v>
      </c>
      <c r="H6473" s="42">
        <f t="shared" si="1"/>
        <v>2830</v>
      </c>
    </row>
    <row r="6474" ht="22.5" customHeight="1">
      <c r="B6474" s="42" t="str">
        <f>IFERROR(__xludf.DUMMYFUNCTION("""COMPUTED_VALUE"""),"K/29/060825/1")</f>
        <v>K/29/060825/1</v>
      </c>
      <c r="C6474" s="42" t="str">
        <f>IFERROR(__xludf.DUMMYFUNCTION("""COMPUTED_VALUE"""),"M.760/NEGERI OLOK GADING")</f>
        <v>M.760/NEGERI OLOK GADING</v>
      </c>
      <c r="D6474" s="42"/>
      <c r="E6474" s="42"/>
      <c r="F6474" s="48" t="str">
        <f>IFERROR(__xludf.DUMMYFUNCTION("""COMPUTED_VALUE"""),"")</f>
        <v/>
      </c>
      <c r="G6474" s="42" t="str">
        <f>IFERROR(__xludf.DUMMYFUNCTION("""COMPUTED_VALUE"""),"ROYA")</f>
        <v>ROYA</v>
      </c>
      <c r="H6474" s="42">
        <f t="shared" si="1"/>
        <v>2830</v>
      </c>
    </row>
    <row r="6475" ht="22.5" customHeight="1">
      <c r="B6475" s="42" t="str">
        <f>IFERROR(__xludf.DUMMYFUNCTION("""COMPUTED_VALUE"""),"K/11/080825/1")</f>
        <v>K/11/080825/1</v>
      </c>
      <c r="C6475" s="42" t="str">
        <f>IFERROR(__xludf.DUMMYFUNCTION("""COMPUTED_VALUE"""),"Nibel 18429/Rajabasa Jaya")</f>
        <v>Nibel 18429/Rajabasa Jaya</v>
      </c>
      <c r="D6475" s="42"/>
      <c r="E6475" s="42"/>
      <c r="F6475" s="48" t="str">
        <f>IFERROR(__xludf.DUMMYFUNCTION("""COMPUTED_VALUE"""),"")</f>
        <v/>
      </c>
      <c r="G6475" s="42" t="str">
        <f>IFERROR(__xludf.DUMMYFUNCTION("""COMPUTED_VALUE"""),"BN Jual Beli")</f>
        <v>BN Jual Beli</v>
      </c>
      <c r="H6475" s="42">
        <f t="shared" si="1"/>
        <v>2830</v>
      </c>
    </row>
    <row r="6476" ht="22.5" customHeight="1">
      <c r="B6476" s="42" t="str">
        <f>IFERROR(__xludf.DUMMYFUNCTION("""COMPUTED_VALUE"""),"K/12/080825/1")</f>
        <v>K/12/080825/1</v>
      </c>
      <c r="C6476" s="42" t="str">
        <f>IFERROR(__xludf.DUMMYFUNCTION("""COMPUTED_VALUE"""),"M. 1028/WAY GUBAK")</f>
        <v>M. 1028/WAY GUBAK</v>
      </c>
      <c r="D6476" s="42"/>
      <c r="E6476" s="42"/>
      <c r="F6476" s="48" t="str">
        <f>IFERROR(__xludf.DUMMYFUNCTION("""COMPUTED_VALUE"""),"")</f>
        <v/>
      </c>
      <c r="G6476" s="42" t="str">
        <f>IFERROR(__xludf.DUMMYFUNCTION("""COMPUTED_VALUE"""),"PTPGT")</f>
        <v>PTPGT</v>
      </c>
      <c r="H6476" s="42">
        <f t="shared" si="1"/>
        <v>2830</v>
      </c>
    </row>
    <row r="6477" ht="22.5" customHeight="1">
      <c r="B6477" s="42" t="str">
        <f>IFERROR(__xludf.DUMMYFUNCTION("""COMPUTED_VALUE"""),"K/14/080825/1")</f>
        <v>K/14/080825/1</v>
      </c>
      <c r="C6477" s="42" t="str">
        <f>IFERROR(__xludf.DUMMYFUNCTION("""COMPUTED_VALUE"""),"11035/ SUKABUMI")</f>
        <v>11035/ SUKABUMI</v>
      </c>
      <c r="D6477" s="42"/>
      <c r="E6477" s="42"/>
      <c r="F6477" s="48" t="str">
        <f>IFERROR(__xludf.DUMMYFUNCTION("""COMPUTED_VALUE"""),"")</f>
        <v/>
      </c>
      <c r="G6477" s="42" t="str">
        <f>IFERROR(__xludf.DUMMYFUNCTION("""COMPUTED_VALUE"""),"BN JUAL BELI")</f>
        <v>BN JUAL BELI</v>
      </c>
      <c r="H6477" s="42">
        <f t="shared" si="1"/>
        <v>2830</v>
      </c>
    </row>
    <row r="6478" ht="22.5" customHeight="1">
      <c r="B6478" s="42" t="str">
        <f>IFERROR(__xludf.DUMMYFUNCTION("""COMPUTED_VALUE"""),"K/13/080825/2")</f>
        <v>K/13/080825/2</v>
      </c>
      <c r="C6478" s="42" t="str">
        <f>IFERROR(__xludf.DUMMYFUNCTION("""COMPUTED_VALUE"""),"Nibel 23251/Bilabong Jaya")</f>
        <v>Nibel 23251/Bilabong Jaya</v>
      </c>
      <c r="D6478" s="42"/>
      <c r="E6478" s="42"/>
      <c r="F6478" s="48" t="str">
        <f>IFERROR(__xludf.DUMMYFUNCTION("""COMPUTED_VALUE"""),"")</f>
        <v/>
      </c>
      <c r="G6478" s="42" t="str">
        <f>IFERROR(__xludf.DUMMYFUNCTION("""COMPUTED_VALUE"""),"BN Lelang")</f>
        <v>BN Lelang</v>
      </c>
      <c r="H6478" s="42">
        <f t="shared" si="1"/>
        <v>2830</v>
      </c>
    </row>
    <row r="6479" ht="22.5" customHeight="1">
      <c r="B6479" s="42" t="str">
        <f>IFERROR(__xludf.DUMMYFUNCTION("""COMPUTED_VALUE"""),"K/15/080825/2")</f>
        <v>K/15/080825/2</v>
      </c>
      <c r="C6479" s="42" t="str">
        <f>IFERROR(__xludf.DUMMYFUNCTION("""COMPUTED_VALUE"""),"M. 2340/ SUMBERREJO/KEMILING")</f>
        <v>M. 2340/ SUMBERREJO/KEMILING</v>
      </c>
      <c r="D6479" s="42"/>
      <c r="E6479" s="42"/>
      <c r="F6479" s="48" t="str">
        <f>IFERROR(__xludf.DUMMYFUNCTION("""COMPUTED_VALUE"""),"")</f>
        <v/>
      </c>
      <c r="G6479" s="42" t="str">
        <f>IFERROR(__xludf.DUMMYFUNCTION("""COMPUTED_VALUE"""),"GANTI DESA")</f>
        <v>GANTI DESA</v>
      </c>
      <c r="H6479" s="42">
        <f t="shared" si="1"/>
        <v>2830</v>
      </c>
    </row>
    <row r="6480" ht="22.5" customHeight="1">
      <c r="B6480" s="42" t="str">
        <f>IFERROR(__xludf.DUMMYFUNCTION("""COMPUTED_VALUE"""),"K/16/080825/3")</f>
        <v>K/16/080825/3</v>
      </c>
      <c r="C6480" s="42" t="str">
        <f>IFERROR(__xludf.DUMMYFUNCTION("""COMPUTED_VALUE"""),"tanah mentah")</f>
        <v>tanah mentah</v>
      </c>
      <c r="D6480" s="42"/>
      <c r="E6480" s="42"/>
      <c r="F6480" s="48" t="str">
        <f>IFERROR(__xludf.DUMMYFUNCTION("""COMPUTED_VALUE"""),"")</f>
        <v/>
      </c>
      <c r="G6480" s="42" t="str">
        <f>IFERROR(__xludf.DUMMYFUNCTION("""COMPUTED_VALUE"""),"tanah mentah")</f>
        <v>tanah mentah</v>
      </c>
      <c r="H6480" s="42">
        <f t="shared" si="1"/>
        <v>2830</v>
      </c>
    </row>
    <row r="6481" ht="22.5" customHeight="1">
      <c r="B6481" s="42" t="str">
        <f>IFERROR(__xludf.DUMMYFUNCTION("""COMPUTED_VALUE"""),"K/17/080825/1")</f>
        <v>K/17/080825/1</v>
      </c>
      <c r="C6481" s="42" t="str">
        <f>IFERROR(__xludf.DUMMYFUNCTION("""COMPUTED_VALUE"""),"NIBEL. 7387/RAJABASA RAYA")</f>
        <v>NIBEL. 7387/RAJABASA RAYA</v>
      </c>
      <c r="D6481" s="42"/>
      <c r="E6481" s="42"/>
      <c r="F6481" s="48" t="str">
        <f>IFERROR(__xludf.DUMMYFUNCTION("""COMPUTED_VALUE"""),"")</f>
        <v/>
      </c>
      <c r="G6481" s="42" t="str">
        <f>IFERROR(__xludf.DUMMYFUNCTION("""COMPUTED_VALUE"""),"PENINGKATAN")</f>
        <v>PENINGKATAN</v>
      </c>
      <c r="H6481" s="42">
        <f t="shared" si="1"/>
        <v>2830</v>
      </c>
    </row>
    <row r="6482" ht="22.5" customHeight="1">
      <c r="B6482" s="42" t="str">
        <f>IFERROR(__xludf.DUMMYFUNCTION("""COMPUTED_VALUE"""),"K/19/080825/1")</f>
        <v>K/19/080825/1</v>
      </c>
      <c r="C6482" s="42" t="str">
        <f>IFERROR(__xludf.DUMMYFUNCTION("""COMPUTED_VALUE"""),"Nibel 290/Kemiling Permai")</f>
        <v>Nibel 290/Kemiling Permai</v>
      </c>
      <c r="D6482" s="42"/>
      <c r="E6482" s="42"/>
      <c r="F6482" s="48" t="str">
        <f>IFERROR(__xludf.DUMMYFUNCTION("""COMPUTED_VALUE"""),"")</f>
        <v/>
      </c>
      <c r="G6482" s="42" t="str">
        <f>IFERROR(__xludf.DUMMYFUNCTION("""COMPUTED_VALUE"""),"Ganti Kelurahan")</f>
        <v>Ganti Kelurahan</v>
      </c>
      <c r="H6482" s="42">
        <f t="shared" si="1"/>
        <v>2830</v>
      </c>
    </row>
    <row r="6483" ht="22.5" customHeight="1">
      <c r="B6483" s="42" t="str">
        <f>IFERROR(__xludf.DUMMYFUNCTION("""COMPUTED_VALUE"""),"K/21/080825/1")</f>
        <v>K/21/080825/1</v>
      </c>
      <c r="C6483" s="42" t="str">
        <f>IFERROR(__xludf.DUMMYFUNCTION("""COMPUTED_VALUE"""),"M. 2613/Sumber Agung")</f>
        <v>M. 2613/Sumber Agung</v>
      </c>
      <c r="D6483" s="42"/>
      <c r="E6483" s="42"/>
      <c r="F6483" s="48" t="str">
        <f>IFERROR(__xludf.DUMMYFUNCTION("""COMPUTED_VALUE"""),"")</f>
        <v/>
      </c>
      <c r="G6483" s="42" t="str">
        <f>IFERROR(__xludf.DUMMYFUNCTION("""COMPUTED_VALUE"""),"BN Jual Beli")</f>
        <v>BN Jual Beli</v>
      </c>
      <c r="H6483" s="42">
        <f t="shared" si="1"/>
        <v>2830</v>
      </c>
    </row>
    <row r="6484" ht="22.5" customHeight="1">
      <c r="B6484" s="42" t="str">
        <f>IFERROR(__xludf.DUMMYFUNCTION("""COMPUTED_VALUE"""),"K/23/080825/1")</f>
        <v>K/23/080825/1</v>
      </c>
      <c r="C6484" s="42" t="str">
        <f>IFERROR(__xludf.DUMMYFUNCTION("""COMPUTED_VALUE"""),"NIBEL. 20600/ SUKABUMI")</f>
        <v>NIBEL. 20600/ SUKABUMI</v>
      </c>
      <c r="D6484" s="42" t="str">
        <f>IFERROR(__xludf.DUMMYFUNCTION("""COMPUTED_VALUE"""),"Berry")</f>
        <v>Berry</v>
      </c>
      <c r="E6484" s="42" t="str">
        <f>IFERROR(__xludf.DUMMYFUNCTION("""COMPUTED_VALUE"""),"DISERAHKAN")</f>
        <v>DISERAHKAN</v>
      </c>
      <c r="F6484" s="48">
        <f>IFERROR(__xludf.DUMMYFUNCTION("""COMPUTED_VALUE"""),45891.59816739583)</f>
        <v>45891.59817</v>
      </c>
      <c r="G6484" s="42" t="str">
        <f>IFERROR(__xludf.DUMMYFUNCTION("""COMPUTED_VALUE"""),"PENINGKATAN")</f>
        <v>PENINGKATAN</v>
      </c>
      <c r="H6484" s="42">
        <f t="shared" si="1"/>
        <v>2831</v>
      </c>
    </row>
    <row r="6485" ht="22.5" customHeight="1">
      <c r="B6485" s="42" t="str">
        <f>IFERROR(__xludf.DUMMYFUNCTION("""COMPUTED_VALUE"""),"K/24/080825/1")</f>
        <v>K/24/080825/1</v>
      </c>
      <c r="C6485" s="42" t="str">
        <f>IFERROR(__xludf.DUMMYFUNCTION("""COMPUTED_VALUE"""),"M. 4453/Gunung Terang")</f>
        <v>M. 4453/Gunung Terang</v>
      </c>
      <c r="D6485" s="42"/>
      <c r="E6485" s="42"/>
      <c r="F6485" s="48" t="str">
        <f>IFERROR(__xludf.DUMMYFUNCTION("""COMPUTED_VALUE"""),"")</f>
        <v/>
      </c>
      <c r="G6485" s="42" t="str">
        <f>IFERROR(__xludf.DUMMYFUNCTION("""COMPUTED_VALUE"""),"BN Jual Beli")</f>
        <v>BN Jual Beli</v>
      </c>
      <c r="H6485" s="42">
        <f t="shared" si="1"/>
        <v>2831</v>
      </c>
    </row>
    <row r="6486" ht="22.5" customHeight="1">
      <c r="B6486" s="42" t="str">
        <f>IFERROR(__xludf.DUMMYFUNCTION("""COMPUTED_VALUE"""),"K/26/080825/2")</f>
        <v>K/26/080825/2</v>
      </c>
      <c r="C6486" s="42" t="str">
        <f>IFERROR(__xludf.DUMMYFUNCTION("""COMPUTED_VALUE"""),"NIBEL. 21429/ LABUHAN DALAM")</f>
        <v>NIBEL. 21429/ LABUHAN DALAM</v>
      </c>
      <c r="D6486" s="42" t="str">
        <f>IFERROR(__xludf.DUMMYFUNCTION("""COMPUTED_VALUE"""),"Berry")</f>
        <v>Berry</v>
      </c>
      <c r="E6486" s="42" t="str">
        <f>IFERROR(__xludf.DUMMYFUNCTION("""COMPUTED_VALUE"""),"DISERAHKAN")</f>
        <v>DISERAHKAN</v>
      </c>
      <c r="F6486" s="48">
        <f>IFERROR(__xludf.DUMMYFUNCTION("""COMPUTED_VALUE"""),45910.59316361111)</f>
        <v>45910.59316</v>
      </c>
      <c r="G6486" s="42" t="str">
        <f>IFERROR(__xludf.DUMMYFUNCTION("""COMPUTED_VALUE"""),"BN JUAL BELI")</f>
        <v>BN JUAL BELI</v>
      </c>
      <c r="H6486" s="42">
        <f t="shared" si="1"/>
        <v>2832</v>
      </c>
    </row>
    <row r="6487" ht="22.5" customHeight="1">
      <c r="B6487" s="42" t="str">
        <f>IFERROR(__xludf.DUMMYFUNCTION("""COMPUTED_VALUE"""),"K/27/080825/1")</f>
        <v>K/27/080825/1</v>
      </c>
      <c r="C6487" s="42" t="str">
        <f>IFERROR(__xludf.DUMMYFUNCTION("""COMPUTED_VALUE"""),"Nibel 3112/Bumi Kedamaian")</f>
        <v>Nibel 3112/Bumi Kedamaian</v>
      </c>
      <c r="D6487" s="42"/>
      <c r="E6487" s="42"/>
      <c r="F6487" s="48" t="str">
        <f>IFERROR(__xludf.DUMMYFUNCTION("""COMPUTED_VALUE"""),"")</f>
        <v/>
      </c>
      <c r="G6487" s="42" t="str">
        <f>IFERROR(__xludf.DUMMYFUNCTION("""COMPUTED_VALUE"""),"BN Jual Beli")</f>
        <v>BN Jual Beli</v>
      </c>
      <c r="H6487" s="42">
        <f t="shared" si="1"/>
        <v>2832</v>
      </c>
    </row>
    <row r="6488" ht="22.5" customHeight="1">
      <c r="B6488" s="42" t="str">
        <f>IFERROR(__xludf.DUMMYFUNCTION("""COMPUTED_VALUE"""),"K/28/080825/1")</f>
        <v>K/28/080825/1</v>
      </c>
      <c r="C6488" s="42" t="str">
        <f>IFERROR(__xludf.DUMMYFUNCTION("""COMPUTED_VALUE"""),"M. 112/Harapan Jaya")</f>
        <v>M. 112/Harapan Jaya</v>
      </c>
      <c r="D6488" s="42"/>
      <c r="E6488" s="42"/>
      <c r="F6488" s="48" t="str">
        <f>IFERROR(__xludf.DUMMYFUNCTION("""COMPUTED_VALUE"""),"")</f>
        <v/>
      </c>
      <c r="G6488" s="42" t="str">
        <f>IFERROR(__xludf.DUMMYFUNCTION("""COMPUTED_VALUE"""),"Roya")</f>
        <v>Roya</v>
      </c>
      <c r="H6488" s="42">
        <f t="shared" si="1"/>
        <v>2832</v>
      </c>
    </row>
    <row r="6489" ht="22.5" customHeight="1">
      <c r="B6489" s="42" t="str">
        <f>IFERROR(__xludf.DUMMYFUNCTION("""COMPUTED_VALUE"""),"K/29/080825/3")</f>
        <v>K/29/080825/3</v>
      </c>
      <c r="C6489" s="42" t="str">
        <f>IFERROR(__xludf.DUMMYFUNCTION("""COMPUTED_VALUE"""),"M. 3870/ BERINGIN RAYA")</f>
        <v>M. 3870/ BERINGIN RAYA</v>
      </c>
      <c r="D6489" s="42" t="str">
        <f>IFERROR(__xludf.DUMMYFUNCTION("""COMPUTED_VALUE"""),"David")</f>
        <v>David</v>
      </c>
      <c r="E6489" s="42" t="str">
        <f>IFERROR(__xludf.DUMMYFUNCTION("""COMPUTED_VALUE"""),"DISERAHKAN")</f>
        <v>DISERAHKAN</v>
      </c>
      <c r="F6489" s="48">
        <f>IFERROR(__xludf.DUMMYFUNCTION("""COMPUTED_VALUE"""),45946.6401906713)</f>
        <v>45946.64019</v>
      </c>
      <c r="G6489" s="42" t="str">
        <f>IFERROR(__xludf.DUMMYFUNCTION("""COMPUTED_VALUE"""),"WARIS")</f>
        <v>WARIS</v>
      </c>
      <c r="H6489" s="42">
        <f t="shared" si="1"/>
        <v>2833</v>
      </c>
    </row>
    <row r="6490" ht="22.5" customHeight="1">
      <c r="B6490" s="42" t="str">
        <f>IFERROR(__xludf.DUMMYFUNCTION("""COMPUTED_VALUE"""),"K/38/080825/1")</f>
        <v>K/38/080825/1</v>
      </c>
      <c r="C6490" s="42" t="str">
        <f>IFERROR(__xludf.DUMMYFUNCTION("""COMPUTED_VALUE"""),"M. 303/ BUMI KEDAMAIAN")</f>
        <v>M. 303/ BUMI KEDAMAIAN</v>
      </c>
      <c r="D6490" s="42" t="str">
        <f>IFERROR(__xludf.DUMMYFUNCTION("""COMPUTED_VALUE"""),"Berry")</f>
        <v>Berry</v>
      </c>
      <c r="E6490" s="42" t="str">
        <f>IFERROR(__xludf.DUMMYFUNCTION("""COMPUTED_VALUE"""),"DISERAHKAN")</f>
        <v>DISERAHKAN</v>
      </c>
      <c r="F6490" s="48">
        <f>IFERROR(__xludf.DUMMYFUNCTION("""COMPUTED_VALUE"""),45910.59257395833)</f>
        <v>45910.59257</v>
      </c>
      <c r="G6490" s="42" t="str">
        <f>IFERROR(__xludf.DUMMYFUNCTION("""COMPUTED_VALUE"""),"PENGGANTI KARENA HILANG")</f>
        <v>PENGGANTI KARENA HILANG</v>
      </c>
      <c r="H6490" s="42">
        <f t="shared" si="1"/>
        <v>2834</v>
      </c>
    </row>
    <row r="6491" ht="22.5" customHeight="1">
      <c r="B6491" s="42" t="str">
        <f>IFERROR(__xludf.DUMMYFUNCTION("""COMPUTED_VALUE"""),"K/30/080825/1")</f>
        <v>K/30/080825/1</v>
      </c>
      <c r="C6491" s="42" t="str">
        <f>IFERROR(__xludf.DUMMYFUNCTION("""COMPUTED_VALUE"""),"M. 304/ BUMI KEDAMAIAN")</f>
        <v>M. 304/ BUMI KEDAMAIAN</v>
      </c>
      <c r="D6491" s="42"/>
      <c r="E6491" s="42"/>
      <c r="F6491" s="48" t="str">
        <f>IFERROR(__xludf.DUMMYFUNCTION("""COMPUTED_VALUE"""),"")</f>
        <v/>
      </c>
      <c r="G6491" s="42" t="str">
        <f>IFERROR(__xludf.DUMMYFUNCTION("""COMPUTED_VALUE"""),"PENGGANTI KARENA HILANG")</f>
        <v>PENGGANTI KARENA HILANG</v>
      </c>
      <c r="H6491" s="42">
        <f t="shared" si="1"/>
        <v>2834</v>
      </c>
    </row>
    <row r="6492" ht="22.5" customHeight="1">
      <c r="B6492" s="42" t="str">
        <f>IFERROR(__xludf.DUMMYFUNCTION("""COMPUTED_VALUE"""),"K/32/080825/3")</f>
        <v>K/32/080825/3</v>
      </c>
      <c r="C6492" s="42" t="str">
        <f>IFERROR(__xludf.DUMMYFUNCTION("""COMPUTED_VALUE"""),"M. 302/ BUMI KEDAMAIAN")</f>
        <v>M. 302/ BUMI KEDAMAIAN</v>
      </c>
      <c r="D6492" s="42"/>
      <c r="E6492" s="42"/>
      <c r="F6492" s="48" t="str">
        <f>IFERROR(__xludf.DUMMYFUNCTION("""COMPUTED_VALUE"""),"")</f>
        <v/>
      </c>
      <c r="G6492" s="42" t="str">
        <f>IFERROR(__xludf.DUMMYFUNCTION("""COMPUTED_VALUE"""),"PENGGANTI KARENA HILANG")</f>
        <v>PENGGANTI KARENA HILANG</v>
      </c>
      <c r="H6492" s="42">
        <f t="shared" si="1"/>
        <v>2834</v>
      </c>
    </row>
    <row r="6493" ht="22.5" customHeight="1">
      <c r="B6493" s="42" t="str">
        <f>IFERROR(__xludf.DUMMYFUNCTION("""COMPUTED_VALUE"""),"K/25/080825/1")</f>
        <v>K/25/080825/1</v>
      </c>
      <c r="C6493" s="42" t="str">
        <f>IFERROR(__xludf.DUMMYFUNCTION("""COMPUTED_VALUE"""),"M. 1999/LABUHAN DALAM")</f>
        <v>M. 1999/LABUHAN DALAM</v>
      </c>
      <c r="D6493" s="42"/>
      <c r="E6493" s="42"/>
      <c r="F6493" s="48" t="str">
        <f>IFERROR(__xludf.DUMMYFUNCTION("""COMPUTED_VALUE"""),"")</f>
        <v/>
      </c>
      <c r="G6493" s="42" t="str">
        <f>IFERROR(__xludf.DUMMYFUNCTION("""COMPUTED_VALUE"""),"BN JUAL BELI")</f>
        <v>BN JUAL BELI</v>
      </c>
      <c r="H6493" s="42">
        <f t="shared" si="1"/>
        <v>2834</v>
      </c>
    </row>
    <row r="6494" ht="22.5" customHeight="1">
      <c r="B6494" s="42" t="str">
        <f>IFERROR(__xludf.DUMMYFUNCTION("""COMPUTED_VALUE"""),"K/33/080825/1")</f>
        <v>K/33/080825/1</v>
      </c>
      <c r="C6494" s="42" t="str">
        <f>IFERROR(__xludf.DUMMYFUNCTION("""COMPUTED_VALUE"""),"NIBEL M. 18082/LABUHAN DALAM")</f>
        <v>NIBEL M. 18082/LABUHAN DALAM</v>
      </c>
      <c r="D6494" s="42"/>
      <c r="E6494" s="42"/>
      <c r="F6494" s="48" t="str">
        <f>IFERROR(__xludf.DUMMYFUNCTION("""COMPUTED_VALUE"""),"")</f>
        <v/>
      </c>
      <c r="G6494" s="42" t="str">
        <f>IFERROR(__xludf.DUMMYFUNCTION("""COMPUTED_VALUE"""),"BN JUAL BELI")</f>
        <v>BN JUAL BELI</v>
      </c>
      <c r="H6494" s="42">
        <f t="shared" si="1"/>
        <v>2834</v>
      </c>
    </row>
    <row r="6495" ht="22.5" customHeight="1">
      <c r="B6495" s="42" t="str">
        <f>IFERROR(__xludf.DUMMYFUNCTION("""COMPUTED_VALUE"""),"K/34/080825/2")</f>
        <v>K/34/080825/2</v>
      </c>
      <c r="C6495" s="42" t="str">
        <f>IFERROR(__xludf.DUMMYFUNCTION("""COMPUTED_VALUE"""),"B. 438/KALI BALAU KENCANA")</f>
        <v>B. 438/KALI BALAU KENCANA</v>
      </c>
      <c r="D6495" s="42"/>
      <c r="E6495" s="42"/>
      <c r="F6495" s="48" t="str">
        <f>IFERROR(__xludf.DUMMYFUNCTION("""COMPUTED_VALUE"""),"")</f>
        <v/>
      </c>
      <c r="G6495" s="42" t="str">
        <f>IFERROR(__xludf.DUMMYFUNCTION("""COMPUTED_VALUE"""),"BN JUAL BELI")</f>
        <v>BN JUAL BELI</v>
      </c>
      <c r="H6495" s="42">
        <f t="shared" si="1"/>
        <v>2834</v>
      </c>
    </row>
    <row r="6496" ht="22.5" customHeight="1">
      <c r="B6496" s="42" t="str">
        <f>IFERROR(__xludf.DUMMYFUNCTION("""COMPUTED_VALUE"""),"K/22/080825/1")</f>
        <v>K/22/080825/1</v>
      </c>
      <c r="C6496" s="42" t="str">
        <f>IFERROR(__xludf.DUMMYFUNCTION("""COMPUTED_VALUE"""),"M. 9101/KEDATON")</f>
        <v>M. 9101/KEDATON</v>
      </c>
      <c r="D6496" s="42" t="str">
        <f>IFERROR(__xludf.DUMMYFUNCTION("""COMPUTED_VALUE"""),"Berry")</f>
        <v>Berry</v>
      </c>
      <c r="E6496" s="42" t="str">
        <f>IFERROR(__xludf.DUMMYFUNCTION("""COMPUTED_VALUE"""),"DISERAHKAN")</f>
        <v>DISERAHKAN</v>
      </c>
      <c r="F6496" s="48">
        <f>IFERROR(__xludf.DUMMYFUNCTION("""COMPUTED_VALUE"""),45894.58169615741)</f>
        <v>45894.5817</v>
      </c>
      <c r="G6496" s="42" t="str">
        <f>IFERROR(__xludf.DUMMYFUNCTION("""COMPUTED_VALUE"""),"ROYA")</f>
        <v>ROYA</v>
      </c>
      <c r="H6496" s="42">
        <f t="shared" si="1"/>
        <v>2835</v>
      </c>
    </row>
    <row r="6497" ht="22.5" customHeight="1">
      <c r="B6497" s="42" t="str">
        <f>IFERROR(__xludf.DUMMYFUNCTION("""COMPUTED_VALUE"""),"K/35/080825/1")</f>
        <v>K/35/080825/1</v>
      </c>
      <c r="C6497" s="42" t="str">
        <f>IFERROR(__xludf.DUMMYFUNCTION("""COMPUTED_VALUE"""),"M. 2350/Sukajawa")</f>
        <v>M. 2350/Sukajawa</v>
      </c>
      <c r="D6497" s="42" t="str">
        <f>IFERROR(__xludf.DUMMYFUNCTION("""COMPUTED_VALUE"""),"Berry")</f>
        <v>Berry</v>
      </c>
      <c r="E6497" s="42" t="str">
        <f>IFERROR(__xludf.DUMMYFUNCTION("""COMPUTED_VALUE"""),"DISERAHKAN")</f>
        <v>DISERAHKAN</v>
      </c>
      <c r="F6497" s="48">
        <f>IFERROR(__xludf.DUMMYFUNCTION("""COMPUTED_VALUE"""),45890.58785694445)</f>
        <v>45890.58786</v>
      </c>
      <c r="G6497" s="42" t="str">
        <f>IFERROR(__xludf.DUMMYFUNCTION("""COMPUTED_VALUE"""),"SKPT Lelang")</f>
        <v>SKPT Lelang</v>
      </c>
      <c r="H6497" s="42">
        <f t="shared" si="1"/>
        <v>2836</v>
      </c>
    </row>
    <row r="6498" ht="22.5" customHeight="1">
      <c r="B6498" s="42" t="str">
        <f>IFERROR(__xludf.DUMMYFUNCTION("""COMPUTED_VALUE"""),"K/36/080825/1")</f>
        <v>K/36/080825/1</v>
      </c>
      <c r="C6498" s="42" t="str">
        <f>IFERROR(__xludf.DUMMYFUNCTION("""COMPUTED_VALUE"""),"M. 907/Sumberejo")</f>
        <v>M. 907/Sumberejo</v>
      </c>
      <c r="D6498" s="42"/>
      <c r="E6498" s="42"/>
      <c r="F6498" s="48" t="str">
        <f>IFERROR(__xludf.DUMMYFUNCTION("""COMPUTED_VALUE"""),"")</f>
        <v/>
      </c>
      <c r="G6498" s="42" t="str">
        <f>IFERROR(__xludf.DUMMYFUNCTION("""COMPUTED_VALUE"""),"SKPT Lelang")</f>
        <v>SKPT Lelang</v>
      </c>
      <c r="H6498" s="42">
        <f t="shared" si="1"/>
        <v>2836</v>
      </c>
    </row>
    <row r="6499" ht="22.5" customHeight="1">
      <c r="B6499" s="42" t="str">
        <f>IFERROR(__xludf.DUMMYFUNCTION("""COMPUTED_VALUE"""),"K/37/080825/1")</f>
        <v>K/37/080825/1</v>
      </c>
      <c r="C6499" s="42" t="str">
        <f>IFERROR(__xludf.DUMMYFUNCTION("""COMPUTED_VALUE"""),"M. 909/Sumberejo")</f>
        <v>M. 909/Sumberejo</v>
      </c>
      <c r="D6499" s="42"/>
      <c r="E6499" s="42"/>
      <c r="F6499" s="48" t="str">
        <f>IFERROR(__xludf.DUMMYFUNCTION("""COMPUTED_VALUE"""),"")</f>
        <v/>
      </c>
      <c r="G6499" s="42" t="str">
        <f>IFERROR(__xludf.DUMMYFUNCTION("""COMPUTED_VALUE"""),"SKPT Lelang")</f>
        <v>SKPT Lelang</v>
      </c>
      <c r="H6499" s="42">
        <f t="shared" si="1"/>
        <v>2836</v>
      </c>
    </row>
    <row r="6500" ht="22.5" customHeight="1">
      <c r="B6500" s="42" t="str">
        <f>IFERROR(__xludf.DUMMYFUNCTION("""COMPUTED_VALUE"""),"K/1/110825/1")</f>
        <v>K/1/110825/1</v>
      </c>
      <c r="C6500" s="42" t="str">
        <f>IFERROR(__xludf.DUMMYFUNCTION("""COMPUTED_VALUE"""),"M. 10965/JAGABAYA II")</f>
        <v>M. 10965/JAGABAYA II</v>
      </c>
      <c r="D6500" s="42"/>
      <c r="E6500" s="42"/>
      <c r="F6500" s="48" t="str">
        <f>IFERROR(__xludf.DUMMYFUNCTION("""COMPUTED_VALUE"""),"")</f>
        <v/>
      </c>
      <c r="G6500" s="42" t="str">
        <f>IFERROR(__xludf.DUMMYFUNCTION("""COMPUTED_VALUE"""),"PENATAAN BATAS")</f>
        <v>PENATAAN BATAS</v>
      </c>
      <c r="H6500" s="42">
        <f t="shared" si="1"/>
        <v>2836</v>
      </c>
    </row>
    <row r="6501" ht="22.5" customHeight="1">
      <c r="B6501" s="42" t="str">
        <f>IFERROR(__xludf.DUMMYFUNCTION("""COMPUTED_VALUE"""),"K/2/110825/1")</f>
        <v>K/2/110825/1</v>
      </c>
      <c r="C6501" s="42" t="str">
        <f>IFERROR(__xludf.DUMMYFUNCTION("""COMPUTED_VALUE"""),"B. 475/Tanjung Senang")</f>
        <v>B. 475/Tanjung Senang</v>
      </c>
      <c r="D6501" s="42" t="str">
        <f>IFERROR(__xludf.DUMMYFUNCTION("""COMPUTED_VALUE"""),"Berry")</f>
        <v>Berry</v>
      </c>
      <c r="E6501" s="42" t="str">
        <f>IFERROR(__xludf.DUMMYFUNCTION("""COMPUTED_VALUE"""),"DISERAHKAN")</f>
        <v>DISERAHKAN</v>
      </c>
      <c r="F6501" s="48">
        <f>IFERROR(__xludf.DUMMYFUNCTION("""COMPUTED_VALUE"""),45971.43416630787)</f>
        <v>45971.43417</v>
      </c>
      <c r="G6501" s="42" t="str">
        <f>IFERROR(__xludf.DUMMYFUNCTION("""COMPUTED_VALUE"""),"Ganti Kelurahan")</f>
        <v>Ganti Kelurahan</v>
      </c>
      <c r="H6501" s="42">
        <f t="shared" si="1"/>
        <v>2837</v>
      </c>
    </row>
    <row r="6502" ht="22.5" customHeight="1">
      <c r="B6502" s="42" t="str">
        <f>IFERROR(__xludf.DUMMYFUNCTION("""COMPUTED_VALUE"""),"K/3/110825/1")</f>
        <v>K/3/110825/1</v>
      </c>
      <c r="C6502" s="42" t="str">
        <f>IFERROR(__xludf.DUMMYFUNCTION("""COMPUTED_VALUE"""),"Nibel 3367/ Rajabasa Jaya")</f>
        <v>Nibel 3367/ Rajabasa Jaya</v>
      </c>
      <c r="D6502" s="42"/>
      <c r="E6502" s="42"/>
      <c r="F6502" s="48" t="str">
        <f>IFERROR(__xludf.DUMMYFUNCTION("""COMPUTED_VALUE"""),"")</f>
        <v/>
      </c>
      <c r="G6502" s="42" t="str">
        <f>IFERROR(__xludf.DUMMYFUNCTION("""COMPUTED_VALUE"""),"BN Jual Beli")</f>
        <v>BN Jual Beli</v>
      </c>
      <c r="H6502" s="42">
        <f t="shared" si="1"/>
        <v>2837</v>
      </c>
    </row>
    <row r="6503" ht="22.5" customHeight="1">
      <c r="B6503" s="42" t="str">
        <f>IFERROR(__xludf.DUMMYFUNCTION("""COMPUTED_VALUE"""),"K/4/110825/1")</f>
        <v>K/4/110825/1</v>
      </c>
      <c r="C6503" s="42" t="str">
        <f>IFERROR(__xludf.DUMMYFUNCTION("""COMPUTED_VALUE"""),"M. 12910/JAGABAYA II")</f>
        <v>M. 12910/JAGABAYA II</v>
      </c>
      <c r="D6503" s="42"/>
      <c r="E6503" s="42"/>
      <c r="F6503" s="48" t="str">
        <f>IFERROR(__xludf.DUMMYFUNCTION("""COMPUTED_VALUE"""),"")</f>
        <v/>
      </c>
      <c r="G6503" s="42" t="str">
        <f>IFERROR(__xludf.DUMMYFUNCTION("""COMPUTED_VALUE"""),"BATAL BERKAS")</f>
        <v>BATAL BERKAS</v>
      </c>
      <c r="H6503" s="42">
        <f t="shared" si="1"/>
        <v>2837</v>
      </c>
    </row>
    <row r="6504" ht="22.5" customHeight="1">
      <c r="B6504" s="42" t="str">
        <f>IFERROR(__xludf.DUMMYFUNCTION("""COMPUTED_VALUE"""),"K/5/110825/1")</f>
        <v>K/5/110825/1</v>
      </c>
      <c r="C6504" s="42" t="str">
        <f>IFERROR(__xludf.DUMMYFUNCTION("""COMPUTED_VALUE"""),"M. 667/Gunung Terang")</f>
        <v>M. 667/Gunung Terang</v>
      </c>
      <c r="D6504" s="42"/>
      <c r="E6504" s="42"/>
      <c r="F6504" s="48" t="str">
        <f>IFERROR(__xludf.DUMMYFUNCTION("""COMPUTED_VALUE"""),"")</f>
        <v/>
      </c>
      <c r="G6504" s="42" t="str">
        <f>IFERROR(__xludf.DUMMYFUNCTION("""COMPUTED_VALUE"""),"Ganti Kecamatan")</f>
        <v>Ganti Kecamatan</v>
      </c>
      <c r="H6504" s="42">
        <f t="shared" si="1"/>
        <v>2837</v>
      </c>
    </row>
    <row r="6505" ht="22.5" customHeight="1">
      <c r="B6505" s="42" t="str">
        <f>IFERROR(__xludf.DUMMYFUNCTION("""COMPUTED_VALUE"""),"K/6/110825/1")</f>
        <v>K/6/110825/1</v>
      </c>
      <c r="C6505" s="42" t="str">
        <f>IFERROR(__xludf.DUMMYFUNCTION("""COMPUTED_VALUE"""),"NIBEL B. 450/SUMBER AGUNG")</f>
        <v>NIBEL B. 450/SUMBER AGUNG</v>
      </c>
      <c r="D6505" s="42"/>
      <c r="E6505" s="42"/>
      <c r="F6505" s="48" t="str">
        <f>IFERROR(__xludf.DUMMYFUNCTION("""COMPUTED_VALUE"""),"")</f>
        <v/>
      </c>
      <c r="G6505" s="42" t="str">
        <f>IFERROR(__xludf.DUMMYFUNCTION("""COMPUTED_VALUE"""),"BN JUAL BELI ")</f>
        <v>BN JUAL BELI </v>
      </c>
      <c r="H6505" s="42">
        <f t="shared" si="1"/>
        <v>2837</v>
      </c>
    </row>
    <row r="6506" ht="22.5" customHeight="1">
      <c r="B6506" s="42" t="str">
        <f>IFERROR(__xludf.DUMMYFUNCTION("""COMPUTED_VALUE"""),"K/7/110825/2")</f>
        <v>K/7/110825/2</v>
      </c>
      <c r="C6506" s="42" t="str">
        <f>IFERROR(__xludf.DUMMYFUNCTION("""COMPUTED_VALUE"""),"NIBEL B.451/SUMBER AGUNG")</f>
        <v>NIBEL B.451/SUMBER AGUNG</v>
      </c>
      <c r="D6506" s="42"/>
      <c r="E6506" s="42"/>
      <c r="F6506" s="48" t="str">
        <f>IFERROR(__xludf.DUMMYFUNCTION("""COMPUTED_VALUE"""),"")</f>
        <v/>
      </c>
      <c r="G6506" s="42" t="str">
        <f>IFERROR(__xludf.DUMMYFUNCTION("""COMPUTED_VALUE"""),"BN JUAL BELI")</f>
        <v>BN JUAL BELI</v>
      </c>
      <c r="H6506" s="42">
        <f t="shared" si="1"/>
        <v>2837</v>
      </c>
    </row>
    <row r="6507" ht="22.5" customHeight="1">
      <c r="B6507" s="42" t="str">
        <f>IFERROR(__xludf.DUMMYFUNCTION("""COMPUTED_VALUE"""),"K/8/110825/1")</f>
        <v>K/8/110825/1</v>
      </c>
      <c r="C6507" s="42" t="str">
        <f>IFERROR(__xludf.DUMMYFUNCTION("""COMPUTED_VALUE"""),"M. 10309/ SIDODADI")</f>
        <v>M. 10309/ SIDODADI</v>
      </c>
      <c r="D6507" s="42"/>
      <c r="E6507" s="42"/>
      <c r="F6507" s="48" t="str">
        <f>IFERROR(__xludf.DUMMYFUNCTION("""COMPUTED_VALUE"""),"")</f>
        <v/>
      </c>
      <c r="G6507" s="42" t="str">
        <f>IFERROR(__xludf.DUMMYFUNCTION("""COMPUTED_VALUE"""),"BN WARIS")</f>
        <v>BN WARIS</v>
      </c>
      <c r="H6507" s="42">
        <f t="shared" si="1"/>
        <v>2837</v>
      </c>
    </row>
    <row r="6508" ht="22.5" customHeight="1">
      <c r="B6508" s="42" t="str">
        <f>IFERROR(__xludf.DUMMYFUNCTION("""COMPUTED_VALUE"""),"K/11/110825/1")</f>
        <v>K/11/110825/1</v>
      </c>
      <c r="C6508" s="42" t="str">
        <f>IFERROR(__xludf.DUMMYFUNCTION("""COMPUTED_VALUE"""),"NIBEL. 21510/ GEDONG AIR")</f>
        <v>NIBEL. 21510/ GEDONG AIR</v>
      </c>
      <c r="D6508" s="42"/>
      <c r="E6508" s="42"/>
      <c r="F6508" s="48" t="str">
        <f>IFERROR(__xludf.DUMMYFUNCTION("""COMPUTED_VALUE"""),"")</f>
        <v/>
      </c>
      <c r="G6508" s="42" t="str">
        <f>IFERROR(__xludf.DUMMYFUNCTION("""COMPUTED_VALUE"""),"BN APHB")</f>
        <v>BN APHB</v>
      </c>
      <c r="H6508" s="42">
        <f t="shared" si="1"/>
        <v>2837</v>
      </c>
    </row>
    <row r="6509" ht="22.5" customHeight="1">
      <c r="B6509" s="42" t="str">
        <f>IFERROR(__xludf.DUMMYFUNCTION("""COMPUTED_VALUE"""),"K/10/110825/1")</f>
        <v>K/10/110825/1</v>
      </c>
      <c r="C6509" s="42" t="str">
        <f>IFERROR(__xludf.DUMMYFUNCTION("""COMPUTED_VALUE"""),"B. 100/ Bumi Kedamaian")</f>
        <v>B. 100/ Bumi Kedamaian</v>
      </c>
      <c r="D6509" s="42"/>
      <c r="E6509" s="42"/>
      <c r="F6509" s="48" t="str">
        <f>IFERROR(__xludf.DUMMYFUNCTION("""COMPUTED_VALUE"""),"")</f>
        <v/>
      </c>
      <c r="G6509" s="42" t="str">
        <f>IFERROR(__xludf.DUMMYFUNCTION("""COMPUTED_VALUE"""),"Perubahan Hak")</f>
        <v>Perubahan Hak</v>
      </c>
      <c r="H6509" s="42">
        <f t="shared" si="1"/>
        <v>2837</v>
      </c>
    </row>
    <row r="6510" ht="22.5" customHeight="1">
      <c r="B6510" s="42" t="str">
        <f>IFERROR(__xludf.DUMMYFUNCTION("""COMPUTED_VALUE"""),"K/9/110825/3")</f>
        <v>K/9/110825/3</v>
      </c>
      <c r="C6510" s="42" t="str">
        <f>IFERROR(__xludf.DUMMYFUNCTION("""COMPUTED_VALUE"""),"M. 11403/SEGALA MIDER")</f>
        <v>M. 11403/SEGALA MIDER</v>
      </c>
      <c r="D6510" s="42"/>
      <c r="E6510" s="42"/>
      <c r="F6510" s="48" t="str">
        <f>IFERROR(__xludf.DUMMYFUNCTION("""COMPUTED_VALUE"""),"")</f>
        <v/>
      </c>
      <c r="G6510" s="42" t="str">
        <f>IFERROR(__xludf.DUMMYFUNCTION("""COMPUTED_VALUE"""),"ROYA")</f>
        <v>ROYA</v>
      </c>
      <c r="H6510" s="42">
        <f t="shared" si="1"/>
        <v>2837</v>
      </c>
    </row>
    <row r="6511" ht="22.5" customHeight="1">
      <c r="B6511" s="42" t="str">
        <f>IFERROR(__xludf.DUMMYFUNCTION("""COMPUTED_VALUE"""),"K/13/110825/1")</f>
        <v>K/13/110825/1</v>
      </c>
      <c r="C6511" s="42" t="str">
        <f>IFERROR(__xludf.DUMMYFUNCTION("""COMPUTED_VALUE"""),"M. 1264/ KUPANG TEBA")</f>
        <v>M. 1264/ KUPANG TEBA</v>
      </c>
      <c r="D6511" s="42" t="str">
        <f>IFERROR(__xludf.DUMMYFUNCTION("""COMPUTED_VALUE"""),"David")</f>
        <v>David</v>
      </c>
      <c r="E6511" s="42" t="str">
        <f>IFERROR(__xludf.DUMMYFUNCTION("""COMPUTED_VALUE"""),"DISERAHKAN")</f>
        <v>DISERAHKAN</v>
      </c>
      <c r="F6511" s="48">
        <f>IFERROR(__xludf.DUMMYFUNCTION("""COMPUTED_VALUE"""),45943.69747)</f>
        <v>45943.69747</v>
      </c>
      <c r="G6511" s="42" t="str">
        <f>IFERROR(__xludf.DUMMYFUNCTION("""COMPUTED_VALUE"""),"PLOTTING")</f>
        <v>PLOTTING</v>
      </c>
      <c r="H6511" s="42">
        <f t="shared" si="1"/>
        <v>2838</v>
      </c>
    </row>
    <row r="6512" ht="22.5" customHeight="1">
      <c r="B6512" s="42" t="str">
        <f>IFERROR(__xludf.DUMMYFUNCTION("""COMPUTED_VALUE"""),"K/12/110825/1")</f>
        <v>K/12/110825/1</v>
      </c>
      <c r="C6512" s="42" t="str">
        <f>IFERROR(__xludf.DUMMYFUNCTION("""COMPUTED_VALUE"""),"Nibel 23588/Way Halim Permai")</f>
        <v>Nibel 23588/Way Halim Permai</v>
      </c>
      <c r="D6512" s="42"/>
      <c r="E6512" s="42"/>
      <c r="F6512" s="48" t="str">
        <f>IFERROR(__xludf.DUMMYFUNCTION("""COMPUTED_VALUE"""),"")</f>
        <v/>
      </c>
      <c r="G6512" s="42" t="str">
        <f>IFERROR(__xludf.DUMMYFUNCTION("""COMPUTED_VALUE"""),"BN PHB")</f>
        <v>BN PHB</v>
      </c>
      <c r="H6512" s="42">
        <f t="shared" si="1"/>
        <v>2838</v>
      </c>
    </row>
    <row r="6513" ht="22.5" customHeight="1">
      <c r="B6513" s="42" t="str">
        <f>IFERROR(__xludf.DUMMYFUNCTION("""COMPUTED_VALUE"""),"K/15/110825/1")</f>
        <v>K/15/110825/1</v>
      </c>
      <c r="C6513" s="42" t="str">
        <f>IFERROR(__xludf.DUMMYFUNCTION("""COMPUTED_VALUE"""),"M. 1177/ KETEGUHAN")</f>
        <v>M. 1177/ KETEGUHAN</v>
      </c>
      <c r="D6513" s="42"/>
      <c r="E6513" s="42"/>
      <c r="F6513" s="48" t="str">
        <f>IFERROR(__xludf.DUMMYFUNCTION("""COMPUTED_VALUE"""),"")</f>
        <v/>
      </c>
      <c r="G6513" s="42" t="str">
        <f>IFERROR(__xludf.DUMMYFUNCTION("""COMPUTED_VALUE"""),"GANTI DESA")</f>
        <v>GANTI DESA</v>
      </c>
      <c r="H6513" s="42">
        <f t="shared" si="1"/>
        <v>2838</v>
      </c>
    </row>
    <row r="6514" ht="22.5" customHeight="1">
      <c r="B6514" s="42" t="str">
        <f>IFERROR(__xludf.DUMMYFUNCTION("""COMPUTED_VALUE"""),"K/16/110825/1")</f>
        <v>K/16/110825/1</v>
      </c>
      <c r="C6514" s="42" t="str">
        <f>IFERROR(__xludf.DUMMYFUNCTION("""COMPUTED_VALUE"""),"M. 1396/Serengsem")</f>
        <v>M. 1396/Serengsem</v>
      </c>
      <c r="D6514" s="42"/>
      <c r="E6514" s="42"/>
      <c r="F6514" s="48" t="str">
        <f>IFERROR(__xludf.DUMMYFUNCTION("""COMPUTED_VALUE"""),"")</f>
        <v/>
      </c>
      <c r="G6514" s="42" t="str">
        <f>IFERROR(__xludf.DUMMYFUNCTION("""COMPUTED_VALUE"""),"BN Pewarisan ")</f>
        <v>BN Pewarisan </v>
      </c>
      <c r="H6514" s="42">
        <f t="shared" si="1"/>
        <v>2838</v>
      </c>
    </row>
    <row r="6515" ht="22.5" customHeight="1">
      <c r="B6515" s="42" t="str">
        <f>IFERROR(__xludf.DUMMYFUNCTION("""COMPUTED_VALUE"""),"K/18/110825/1")</f>
        <v>K/18/110825/1</v>
      </c>
      <c r="C6515" s="42" t="str">
        <f>IFERROR(__xludf.DUMMYFUNCTION("""COMPUTED_VALUE"""),"M. 3836/ GUNUNG TERANG")</f>
        <v>M. 3836/ GUNUNG TERANG</v>
      </c>
      <c r="D6515" s="42" t="str">
        <f>IFERROR(__xludf.DUMMYFUNCTION("""COMPUTED_VALUE"""),"David")</f>
        <v>David</v>
      </c>
      <c r="E6515" s="42" t="str">
        <f>IFERROR(__xludf.DUMMYFUNCTION("""COMPUTED_VALUE"""),"DISERAHKAN")</f>
        <v>DISERAHKAN</v>
      </c>
      <c r="F6515" s="48">
        <f>IFERROR(__xludf.DUMMYFUNCTION("""COMPUTED_VALUE"""),45943.70205626157)</f>
        <v>45943.70206</v>
      </c>
      <c r="G6515" s="42" t="str">
        <f>IFERROR(__xludf.DUMMYFUNCTION("""COMPUTED_VALUE"""),"HAPUS BPHTB")</f>
        <v>HAPUS BPHTB</v>
      </c>
      <c r="H6515" s="42">
        <f t="shared" si="1"/>
        <v>2839</v>
      </c>
    </row>
    <row r="6516" ht="22.5" customHeight="1">
      <c r="B6516" s="42" t="str">
        <f>IFERROR(__xludf.DUMMYFUNCTION("""COMPUTED_VALUE"""),"L/19/110825/1")</f>
        <v>L/19/110825/1</v>
      </c>
      <c r="C6516" s="42" t="str">
        <f>IFERROR(__xludf.DUMMYFUNCTION("""COMPUTED_VALUE"""),"B. 4453/SUKABUMI")</f>
        <v>B. 4453/SUKABUMI</v>
      </c>
      <c r="D6516" s="42"/>
      <c r="E6516" s="42"/>
      <c r="F6516" s="48" t="str">
        <f>IFERROR(__xludf.DUMMYFUNCTION("""COMPUTED_VALUE"""),"")</f>
        <v/>
      </c>
      <c r="G6516" s="42" t="str">
        <f>IFERROR(__xludf.DUMMYFUNCTION("""COMPUTED_VALUE"""),"PENINGKATAN HAK")</f>
        <v>PENINGKATAN HAK</v>
      </c>
      <c r="H6516" s="42">
        <f t="shared" si="1"/>
        <v>2839</v>
      </c>
    </row>
    <row r="6517" ht="22.5" customHeight="1">
      <c r="B6517" s="42" t="str">
        <f>IFERROR(__xludf.DUMMYFUNCTION("""COMPUTED_VALUE"""),"K/21/110825/2")</f>
        <v>K/21/110825/2</v>
      </c>
      <c r="C6517" s="42" t="str">
        <f>IFERROR(__xludf.DUMMYFUNCTION("""COMPUTED_VALUE"""),"M. 1216/Serengsem")</f>
        <v>M. 1216/Serengsem</v>
      </c>
      <c r="D6517" s="42"/>
      <c r="E6517" s="42"/>
      <c r="F6517" s="48" t="str">
        <f>IFERROR(__xludf.DUMMYFUNCTION("""COMPUTED_VALUE"""),"")</f>
        <v/>
      </c>
      <c r="G6517" s="42" t="str">
        <f>IFERROR(__xludf.DUMMYFUNCTION("""COMPUTED_VALUE"""),"BN Pewarisan")</f>
        <v>BN Pewarisan</v>
      </c>
      <c r="H6517" s="42">
        <f t="shared" si="1"/>
        <v>2839</v>
      </c>
    </row>
    <row r="6518" ht="22.5" customHeight="1">
      <c r="B6518" s="42" t="str">
        <f>IFERROR(__xludf.DUMMYFUNCTION("""COMPUTED_VALUE"""),"K/14/110825/1")</f>
        <v>K/14/110825/1</v>
      </c>
      <c r="C6518" s="42" t="str">
        <f>IFERROR(__xludf.DUMMYFUNCTION("""COMPUTED_VALUE"""),"NIBEL B. 2558/PESWAHAN")</f>
        <v>NIBEL B. 2558/PESWAHAN</v>
      </c>
      <c r="D6518" s="42" t="str">
        <f>IFERROR(__xludf.DUMMYFUNCTION("""COMPUTED_VALUE"""),"David")</f>
        <v>David</v>
      </c>
      <c r="E6518" s="42" t="str">
        <f>IFERROR(__xludf.DUMMYFUNCTION("""COMPUTED_VALUE"""),"DISERAHKAN")</f>
        <v>DISERAHKAN</v>
      </c>
      <c r="F6518" s="48">
        <f>IFERROR(__xludf.DUMMYFUNCTION("""COMPUTED_VALUE"""),45943.70188826389)</f>
        <v>45943.70189</v>
      </c>
      <c r="G6518" s="42" t="str">
        <f>IFERROR(__xludf.DUMMYFUNCTION("""COMPUTED_VALUE"""),"PTPGT")</f>
        <v>PTPGT</v>
      </c>
      <c r="H6518" s="42">
        <f t="shared" si="1"/>
        <v>2840</v>
      </c>
    </row>
    <row r="6519" ht="22.5" customHeight="1">
      <c r="B6519" s="42" t="str">
        <f>IFERROR(__xludf.DUMMYFUNCTION("""COMPUTED_VALUE"""),"K/22/110825/3")</f>
        <v>K/22/110825/3</v>
      </c>
      <c r="C6519" s="42" t="str">
        <f>IFERROR(__xludf.DUMMYFUNCTION("""COMPUTED_VALUE"""),"M. 1187/Serengsem")</f>
        <v>M. 1187/Serengsem</v>
      </c>
      <c r="D6519" s="42"/>
      <c r="E6519" s="42"/>
      <c r="F6519" s="48" t="str">
        <f>IFERROR(__xludf.DUMMYFUNCTION("""COMPUTED_VALUE"""),"")</f>
        <v/>
      </c>
      <c r="G6519" s="42" t="str">
        <f>IFERROR(__xludf.DUMMYFUNCTION("""COMPUTED_VALUE"""),"BN Pewarisan")</f>
        <v>BN Pewarisan</v>
      </c>
      <c r="H6519" s="42">
        <f t="shared" si="1"/>
        <v>2840</v>
      </c>
    </row>
    <row r="6520" ht="22.5" customHeight="1">
      <c r="B6520" s="42" t="str">
        <f>IFERROR(__xludf.DUMMYFUNCTION("""COMPUTED_VALUE"""),"K/24/110825/4")</f>
        <v>K/24/110825/4</v>
      </c>
      <c r="C6520" s="42" t="str">
        <f>IFERROR(__xludf.DUMMYFUNCTION("""COMPUTED_VALUE"""),"M. 1198/Srengsem")</f>
        <v>M. 1198/Srengsem</v>
      </c>
      <c r="D6520" s="42" t="str">
        <f>IFERROR(__xludf.DUMMYFUNCTION("""COMPUTED_VALUE"""),"Berry")</f>
        <v>Berry</v>
      </c>
      <c r="E6520" s="42" t="str">
        <f>IFERROR(__xludf.DUMMYFUNCTION("""COMPUTED_VALUE"""),"DISERAHKAN")</f>
        <v>DISERAHKAN</v>
      </c>
      <c r="F6520" s="48">
        <f>IFERROR(__xludf.DUMMYFUNCTION("""COMPUTED_VALUE"""),45908.63552571759)</f>
        <v>45908.63553</v>
      </c>
      <c r="G6520" s="42" t="str">
        <f>IFERROR(__xludf.DUMMYFUNCTION("""COMPUTED_VALUE"""),"BN Pewarisan")</f>
        <v>BN Pewarisan</v>
      </c>
      <c r="H6520" s="42">
        <f t="shared" si="1"/>
        <v>2841</v>
      </c>
    </row>
    <row r="6521" ht="22.5" customHeight="1">
      <c r="B6521" s="42" t="str">
        <f>IFERROR(__xludf.DUMMYFUNCTION("""COMPUTED_VALUE"""),"L/25/110825/1")</f>
        <v>L/25/110825/1</v>
      </c>
      <c r="C6521" s="42" t="str">
        <f>IFERROR(__xludf.DUMMYFUNCTION("""COMPUTED_VALUE"""),"B. 407/KEDAMAIAN")</f>
        <v>B. 407/KEDAMAIAN</v>
      </c>
      <c r="D6521" s="42" t="str">
        <f>IFERROR(__xludf.DUMMYFUNCTION("""COMPUTED_VALUE"""),"Berry")</f>
        <v>Berry</v>
      </c>
      <c r="E6521" s="42" t="str">
        <f>IFERROR(__xludf.DUMMYFUNCTION("""COMPUTED_VALUE"""),"DISERAHKAN")</f>
        <v>DISERAHKAN</v>
      </c>
      <c r="F6521" s="48">
        <f>IFERROR(__xludf.DUMMYFUNCTION("""COMPUTED_VALUE"""),45894.58314644676)</f>
        <v>45894.58315</v>
      </c>
      <c r="G6521" s="42" t="str">
        <f>IFERROR(__xludf.DUMMYFUNCTION("""COMPUTED_VALUE"""),"ROYA WARIS")</f>
        <v>ROYA WARIS</v>
      </c>
      <c r="H6521" s="42">
        <f t="shared" si="1"/>
        <v>2842</v>
      </c>
    </row>
    <row r="6522" ht="22.5" customHeight="1">
      <c r="B6522" s="42" t="str">
        <f>IFERROR(__xludf.DUMMYFUNCTION("""COMPUTED_VALUE"""),"K/20/110825/1")</f>
        <v>K/20/110825/1</v>
      </c>
      <c r="C6522" s="42" t="str">
        <f>IFERROR(__xludf.DUMMYFUNCTION("""COMPUTED_VALUE"""),"22/ KE,ILING PERMAI")</f>
        <v>22/ KE,ILING PERMAI</v>
      </c>
      <c r="D6522" s="42" t="str">
        <f>IFERROR(__xludf.DUMMYFUNCTION("""COMPUTED_VALUE"""),"Berry")</f>
        <v>Berry</v>
      </c>
      <c r="E6522" s="42" t="str">
        <f>IFERROR(__xludf.DUMMYFUNCTION("""COMPUTED_VALUE"""),"DISERAHKAN")</f>
        <v>DISERAHKAN</v>
      </c>
      <c r="F6522" s="48">
        <f>IFERROR(__xludf.DUMMYFUNCTION("""COMPUTED_VALUE"""),45909.594397650464)</f>
        <v>45909.5944</v>
      </c>
      <c r="G6522" s="42" t="str">
        <f>IFERROR(__xludf.DUMMYFUNCTION("""COMPUTED_VALUE"""),"BN JUAL BELI")</f>
        <v>BN JUAL BELI</v>
      </c>
      <c r="H6522" s="42">
        <f t="shared" si="1"/>
        <v>2843</v>
      </c>
    </row>
    <row r="6523" ht="22.5" customHeight="1">
      <c r="B6523" s="42" t="str">
        <f>IFERROR(__xludf.DUMMYFUNCTION("""COMPUTED_VALUE"""),"K/23/110825/1")</f>
        <v>K/23/110825/1</v>
      </c>
      <c r="C6523" s="42" t="str">
        <f>IFERROR(__xludf.DUMMYFUNCTION("""COMPUTED_VALUE"""),"NIBEL M. 22338/LANGKAPURA BARU")</f>
        <v>NIBEL M. 22338/LANGKAPURA BARU</v>
      </c>
      <c r="D6523" s="42" t="str">
        <f>IFERROR(__xludf.DUMMYFUNCTION("""COMPUTED_VALUE"""),"Berry")</f>
        <v>Berry</v>
      </c>
      <c r="E6523" s="42" t="str">
        <f>IFERROR(__xludf.DUMMYFUNCTION("""COMPUTED_VALUE"""),"DISERAHKAN")</f>
        <v>DISERAHKAN</v>
      </c>
      <c r="F6523" s="48">
        <f>IFERROR(__xludf.DUMMYFUNCTION("""COMPUTED_VALUE"""),45908.631578217595)</f>
        <v>45908.63158</v>
      </c>
      <c r="G6523" s="42" t="str">
        <f>IFERROR(__xludf.DUMMYFUNCTION("""COMPUTED_VALUE"""),"BN JUAL BELI")</f>
        <v>BN JUAL BELI</v>
      </c>
      <c r="H6523" s="42">
        <f t="shared" si="1"/>
        <v>2844</v>
      </c>
    </row>
    <row r="6524" ht="22.5" customHeight="1">
      <c r="B6524" s="42" t="str">
        <f>IFERROR(__xludf.DUMMYFUNCTION("""COMPUTED_VALUE"""),"L/27/110825/1")</f>
        <v>L/27/110825/1</v>
      </c>
      <c r="C6524" s="42" t="str">
        <f>IFERROR(__xludf.DUMMYFUNCTION("""COMPUTED_VALUE"""),"B. 673 NUSANTARA PERMAI")</f>
        <v>B. 673 NUSANTARA PERMAI</v>
      </c>
      <c r="D6524" s="42"/>
      <c r="E6524" s="42"/>
      <c r="F6524" s="48" t="str">
        <f>IFERROR(__xludf.DUMMYFUNCTION("""COMPUTED_VALUE"""),"")</f>
        <v/>
      </c>
      <c r="G6524" s="42" t="str">
        <f>IFERROR(__xludf.DUMMYFUNCTION("""COMPUTED_VALUE"""),"PENINGKATAN HAK")</f>
        <v>PENINGKATAN HAK</v>
      </c>
      <c r="H6524" s="42">
        <f t="shared" si="1"/>
        <v>2844</v>
      </c>
    </row>
    <row r="6525" ht="22.5" customHeight="1">
      <c r="B6525" s="42" t="str">
        <f>IFERROR(__xludf.DUMMYFUNCTION("""COMPUTED_VALUE"""),"K/26/110825/1")</f>
        <v>K/26/110825/1</v>
      </c>
      <c r="C6525" s="42" t="str">
        <f>IFERROR(__xludf.DUMMYFUNCTION("""COMPUTED_VALUE"""),"B. 2640/SUKARAME I")</f>
        <v>B. 2640/SUKARAME I</v>
      </c>
      <c r="D6525" s="42"/>
      <c r="E6525" s="42"/>
      <c r="F6525" s="48" t="str">
        <f>IFERROR(__xludf.DUMMYFUNCTION("""COMPUTED_VALUE"""),"")</f>
        <v/>
      </c>
      <c r="G6525" s="42" t="str">
        <f>IFERROR(__xludf.DUMMYFUNCTION("""COMPUTED_VALUE"""),"GANTI NAMA")</f>
        <v>GANTI NAMA</v>
      </c>
      <c r="H6525" s="42">
        <f t="shared" si="1"/>
        <v>2844</v>
      </c>
    </row>
    <row r="6526" ht="22.5" customHeight="1">
      <c r="B6526" s="42" t="str">
        <f>IFERROR(__xludf.DUMMYFUNCTION("""COMPUTED_VALUE"""),"L/28/110825/1")</f>
        <v>L/28/110825/1</v>
      </c>
      <c r="C6526" s="42" t="str">
        <f>IFERROR(__xludf.DUMMYFUNCTION("""COMPUTED_VALUE"""),"KELURAHAN RAJABASA NUNYAI")</f>
        <v>KELURAHAN RAJABASA NUNYAI</v>
      </c>
      <c r="D6526" s="42"/>
      <c r="E6526" s="42"/>
      <c r="F6526" s="48" t="str">
        <f>IFERROR(__xludf.DUMMYFUNCTION("""COMPUTED_VALUE"""),"")</f>
        <v/>
      </c>
      <c r="G6526" s="42" t="str">
        <f>IFERROR(__xludf.DUMMYFUNCTION("""COMPUTED_VALUE"""),"PTPGT TAMEN")</f>
        <v>PTPGT TAMEN</v>
      </c>
      <c r="H6526" s="42">
        <f t="shared" si="1"/>
        <v>2844</v>
      </c>
    </row>
    <row r="6527" ht="22.5" customHeight="1">
      <c r="B6527" s="42" t="str">
        <f>IFERROR(__xludf.DUMMYFUNCTION("""COMPUTED_VALUE"""),"K/26/110825/1")</f>
        <v>K/26/110825/1</v>
      </c>
      <c r="C6527" s="42" t="str">
        <f>IFERROR(__xludf.DUMMYFUNCTION("""COMPUTED_VALUE"""),"B. 362/Rajabasa")</f>
        <v>B. 362/Rajabasa</v>
      </c>
      <c r="D6527" s="42"/>
      <c r="E6527" s="42"/>
      <c r="F6527" s="48" t="str">
        <f>IFERROR(__xludf.DUMMYFUNCTION("""COMPUTED_VALUE"""),"")</f>
        <v/>
      </c>
      <c r="G6527" s="42" t="str">
        <f>IFERROR(__xludf.DUMMYFUNCTION("""COMPUTED_VALUE"""),"Ganti Kelurahan")</f>
        <v>Ganti Kelurahan</v>
      </c>
      <c r="H6527" s="42">
        <f t="shared" si="1"/>
        <v>2844</v>
      </c>
    </row>
    <row r="6528" ht="22.5" customHeight="1">
      <c r="B6528" s="42" t="str">
        <f>IFERROR(__xludf.DUMMYFUNCTION("""COMPUTED_VALUE"""),"K/29/110825/1")</f>
        <v>K/29/110825/1</v>
      </c>
      <c r="C6528" s="42" t="str">
        <f>IFERROR(__xludf.DUMMYFUNCTION("""COMPUTED_VALUE"""),"M. 773/Kota Karang")</f>
        <v>M. 773/Kota Karang</v>
      </c>
      <c r="D6528" s="42"/>
      <c r="E6528" s="42"/>
      <c r="F6528" s="48" t="str">
        <f>IFERROR(__xludf.DUMMYFUNCTION("""COMPUTED_VALUE"""),"")</f>
        <v/>
      </c>
      <c r="G6528" s="42" t="str">
        <f>IFERROR(__xludf.DUMMYFUNCTION("""COMPUTED_VALUE"""),"BN Pewarisan")</f>
        <v>BN Pewarisan</v>
      </c>
      <c r="H6528" s="42">
        <f t="shared" si="1"/>
        <v>2844</v>
      </c>
    </row>
    <row r="6529" ht="22.5" customHeight="1">
      <c r="B6529" s="42" t="str">
        <f>IFERROR(__xludf.DUMMYFUNCTION("""COMPUTED_VALUE"""),"K/31/110825/1")</f>
        <v>K/31/110825/1</v>
      </c>
      <c r="C6529" s="42" t="str">
        <f>IFERROR(__xludf.DUMMYFUNCTION("""COMPUTED_VALUE"""),"B. 123/Rajabasa Pemuka")</f>
        <v>B. 123/Rajabasa Pemuka</v>
      </c>
      <c r="D6529" s="42" t="str">
        <f>IFERROR(__xludf.DUMMYFUNCTION("""COMPUTED_VALUE"""),"Berry")</f>
        <v>Berry</v>
      </c>
      <c r="E6529" s="42" t="str">
        <f>IFERROR(__xludf.DUMMYFUNCTION("""COMPUTED_VALUE"""),"DISERAHKAN")</f>
        <v>DISERAHKAN</v>
      </c>
      <c r="F6529" s="48">
        <f>IFERROR(__xludf.DUMMYFUNCTION("""COMPUTED_VALUE"""),45908.63326981482)</f>
        <v>45908.63327</v>
      </c>
      <c r="G6529" s="42" t="str">
        <f>IFERROR(__xludf.DUMMYFUNCTION("""COMPUTED_VALUE"""),"Perubahan Hak")</f>
        <v>Perubahan Hak</v>
      </c>
      <c r="H6529" s="42">
        <f t="shared" si="1"/>
        <v>2845</v>
      </c>
    </row>
    <row r="6530" ht="22.5" customHeight="1">
      <c r="B6530" s="42" t="str">
        <f>IFERROR(__xludf.DUMMYFUNCTION("""COMPUTED_VALUE"""),"K/30/110825/1")</f>
        <v>K/30/110825/1</v>
      </c>
      <c r="C6530" s="42" t="str">
        <f>IFERROR(__xludf.DUMMYFUNCTION("""COMPUTED_VALUE"""),"M. 2540/SUMBER AGUNG")</f>
        <v>M. 2540/SUMBER AGUNG</v>
      </c>
      <c r="D6530" s="42" t="str">
        <f>IFERROR(__xludf.DUMMYFUNCTION("""COMPUTED_VALUE"""),"David")</f>
        <v>David</v>
      </c>
      <c r="E6530" s="42" t="str">
        <f>IFERROR(__xludf.DUMMYFUNCTION("""COMPUTED_VALUE"""),"DISERAHKAN")</f>
        <v>DISERAHKAN</v>
      </c>
      <c r="F6530" s="48">
        <f>IFERROR(__xludf.DUMMYFUNCTION("""COMPUTED_VALUE"""),45908.66719939814)</f>
        <v>45908.6672</v>
      </c>
      <c r="G6530" s="42" t="str">
        <f>IFERROR(__xludf.DUMMYFUNCTION("""COMPUTED_VALUE"""),"BN JUAL BELI")</f>
        <v>BN JUAL BELI</v>
      </c>
      <c r="H6530" s="42">
        <f t="shared" si="1"/>
        <v>2846</v>
      </c>
    </row>
    <row r="6531" ht="22.5" customHeight="1">
      <c r="B6531" s="42" t="str">
        <f>IFERROR(__xludf.DUMMYFUNCTION("""COMPUTED_VALUE"""),"K/34/110825/1")</f>
        <v>K/34/110825/1</v>
      </c>
      <c r="C6531" s="42" t="str">
        <f>IFERROR(__xludf.DUMMYFUNCTION("""COMPUTED_VALUE"""),"M. 1366/ TANJUNG GADING")</f>
        <v>M. 1366/ TANJUNG GADING</v>
      </c>
      <c r="D6531" s="42" t="str">
        <f>IFERROR(__xludf.DUMMYFUNCTION("""COMPUTED_VALUE"""),"Berry")</f>
        <v>Berry</v>
      </c>
      <c r="E6531" s="42" t="str">
        <f>IFERROR(__xludf.DUMMYFUNCTION("""COMPUTED_VALUE"""),"DISERAHKAN")</f>
        <v>DISERAHKAN</v>
      </c>
      <c r="F6531" s="48">
        <f>IFERROR(__xludf.DUMMYFUNCTION("""COMPUTED_VALUE"""),45894.57517697917)</f>
        <v>45894.57518</v>
      </c>
      <c r="G6531" s="42" t="str">
        <f>IFERROR(__xludf.DUMMYFUNCTION("""COMPUTED_VALUE"""),"BN WARIS")</f>
        <v>BN WARIS</v>
      </c>
      <c r="H6531" s="42">
        <f t="shared" si="1"/>
        <v>2847</v>
      </c>
    </row>
    <row r="6532" ht="22.5" customHeight="1">
      <c r="B6532" s="42" t="str">
        <f>IFERROR(__xludf.DUMMYFUNCTION("""COMPUTED_VALUE"""),"K/32/110825/1")</f>
        <v>K/32/110825/1</v>
      </c>
      <c r="C6532" s="42" t="str">
        <f>IFERROR(__xludf.DUMMYFUNCTION("""COMPUTED_VALUE"""),"B. 693/KEMILING PERMAI")</f>
        <v>B. 693/KEMILING PERMAI</v>
      </c>
      <c r="D6532" s="42" t="str">
        <f>IFERROR(__xludf.DUMMYFUNCTION("""COMPUTED_VALUE"""),"Berry")</f>
        <v>Berry</v>
      </c>
      <c r="E6532" s="42" t="str">
        <f>IFERROR(__xludf.DUMMYFUNCTION("""COMPUTED_VALUE"""),"DISERAHKAN")</f>
        <v>DISERAHKAN</v>
      </c>
      <c r="F6532" s="48">
        <f>IFERROR(__xludf.DUMMYFUNCTION("""COMPUTED_VALUE"""),45996.58962533565)</f>
        <v>45996.58963</v>
      </c>
      <c r="G6532" s="42" t="str">
        <f>IFERROR(__xludf.DUMMYFUNCTION("""COMPUTED_VALUE"""),"BN JUAL BELI")</f>
        <v>BN JUAL BELI</v>
      </c>
      <c r="H6532" s="42">
        <f t="shared" si="1"/>
        <v>2848</v>
      </c>
    </row>
    <row r="6533" ht="22.5" customHeight="1">
      <c r="B6533" s="42" t="str">
        <f>IFERROR(__xludf.DUMMYFUNCTION("""COMPUTED_VALUE"""),"K/36/110825/1")</f>
        <v>K/36/110825/1</v>
      </c>
      <c r="C6533" s="42" t="str">
        <f>IFERROR(__xludf.DUMMYFUNCTION("""COMPUTED_VALUE"""),"NIBEL B. 23239/NUSANTARA PERAMAI")</f>
        <v>NIBEL B. 23239/NUSANTARA PERAMAI</v>
      </c>
      <c r="D6533" s="42"/>
      <c r="E6533" s="42"/>
      <c r="F6533" s="48" t="str">
        <f>IFERROR(__xludf.DUMMYFUNCTION("""COMPUTED_VALUE"""),"")</f>
        <v/>
      </c>
      <c r="G6533" s="42" t="str">
        <f>IFERROR(__xludf.DUMMYFUNCTION("""COMPUTED_VALUE"""),"PENINGKATAN HAK")</f>
        <v>PENINGKATAN HAK</v>
      </c>
      <c r="H6533" s="42">
        <f t="shared" si="1"/>
        <v>2848</v>
      </c>
    </row>
    <row r="6534" ht="22.5" customHeight="1">
      <c r="B6534" s="42" t="str">
        <f>IFERROR(__xludf.DUMMYFUNCTION("""COMPUTED_VALUE"""),"K/33/110825/1")</f>
        <v>K/33/110825/1</v>
      </c>
      <c r="C6534" s="42" t="str">
        <f>IFERROR(__xludf.DUMMYFUNCTION("""COMPUTED_VALUE"""),"NIBEL. 22966/ SUMUR PUTRI")</f>
        <v>NIBEL. 22966/ SUMUR PUTRI</v>
      </c>
      <c r="D6534" s="42"/>
      <c r="E6534" s="42"/>
      <c r="F6534" s="48" t="str">
        <f>IFERROR(__xludf.DUMMYFUNCTION("""COMPUTED_VALUE"""),"")</f>
        <v/>
      </c>
      <c r="G6534" s="42" t="str">
        <f>IFERROR(__xludf.DUMMYFUNCTION("""COMPUTED_VALUE"""),"PENINGKATAN")</f>
        <v>PENINGKATAN</v>
      </c>
      <c r="H6534" s="42">
        <f t="shared" si="1"/>
        <v>2848</v>
      </c>
    </row>
    <row r="6535" ht="22.5" customHeight="1">
      <c r="B6535" s="42" t="str">
        <f>IFERROR(__xludf.DUMMYFUNCTION("""COMPUTED_VALUE"""),"L/38/110826/1")</f>
        <v>L/38/110826/1</v>
      </c>
      <c r="C6535" s="42" t="str">
        <f>IFERROR(__xludf.DUMMYFUNCTION("""COMPUTED_VALUE"""),"B. 297/KBK")</f>
        <v>B. 297/KBK</v>
      </c>
      <c r="D6535" s="42"/>
      <c r="E6535" s="42"/>
      <c r="F6535" s="48" t="str">
        <f>IFERROR(__xludf.DUMMYFUNCTION("""COMPUTED_VALUE"""),"")</f>
        <v/>
      </c>
      <c r="G6535" s="42" t="str">
        <f>IFERROR(__xludf.DUMMYFUNCTION("""COMPUTED_VALUE"""),"PENGUKURAN HGB MATI")</f>
        <v>PENGUKURAN HGB MATI</v>
      </c>
      <c r="H6535" s="42">
        <f t="shared" si="1"/>
        <v>2848</v>
      </c>
    </row>
    <row r="6536" ht="22.5" customHeight="1">
      <c r="B6536" s="42" t="str">
        <f>IFERROR(__xludf.DUMMYFUNCTION("""COMPUTED_VALUE"""),"K/35/110825/1")</f>
        <v>K/35/110825/1</v>
      </c>
      <c r="C6536" s="42" t="str">
        <f>IFERROR(__xludf.DUMMYFUNCTION("""COMPUTED_VALUE"""),"M. 9506/Gedung Meneng")</f>
        <v>M. 9506/Gedung Meneng</v>
      </c>
      <c r="D6536" s="42"/>
      <c r="E6536" s="42"/>
      <c r="F6536" s="48" t="str">
        <f>IFERROR(__xludf.DUMMYFUNCTION("""COMPUTED_VALUE"""),"")</f>
        <v/>
      </c>
      <c r="G6536" s="42" t="str">
        <f>IFERROR(__xludf.DUMMYFUNCTION("""COMPUTED_VALUE"""),"BN Jual beli")</f>
        <v>BN Jual beli</v>
      </c>
      <c r="H6536" s="42">
        <f t="shared" si="1"/>
        <v>2848</v>
      </c>
    </row>
    <row r="6537" ht="22.5" customHeight="1">
      <c r="B6537" s="42" t="str">
        <f>IFERROR(__xludf.DUMMYFUNCTION("""COMPUTED_VALUE"""),"K/39/110825/1")</f>
        <v>K/39/110825/1</v>
      </c>
      <c r="C6537" s="42" t="str">
        <f>IFERROR(__xludf.DUMMYFUNCTION("""COMPUTED_VALUE"""),"M. 1711/Gunung Terang")</f>
        <v>M. 1711/Gunung Terang</v>
      </c>
      <c r="D6537" s="42" t="str">
        <f>IFERROR(__xludf.DUMMYFUNCTION("""COMPUTED_VALUE"""),"Berry")</f>
        <v>Berry</v>
      </c>
      <c r="E6537" s="42" t="str">
        <f>IFERROR(__xludf.DUMMYFUNCTION("""COMPUTED_VALUE"""),"DISERAHKAN")</f>
        <v>DISERAHKAN</v>
      </c>
      <c r="F6537" s="48">
        <f>IFERROR(__xludf.DUMMYFUNCTION("""COMPUTED_VALUE"""),45926.547473425926)</f>
        <v>45926.54747</v>
      </c>
      <c r="G6537" s="42" t="str">
        <f>IFERROR(__xludf.DUMMYFUNCTION("""COMPUTED_VALUE"""),"Roya")</f>
        <v>Roya</v>
      </c>
      <c r="H6537" s="42">
        <f t="shared" si="1"/>
        <v>2849</v>
      </c>
    </row>
    <row r="6538" ht="22.5" customHeight="1">
      <c r="B6538" s="42" t="str">
        <f>IFERROR(__xludf.DUMMYFUNCTION("""COMPUTED_VALUE"""),"K/37/110825/1")</f>
        <v>K/37/110825/1</v>
      </c>
      <c r="C6538" s="42" t="str">
        <f>IFERROR(__xludf.DUMMYFUNCTION("""COMPUTED_VALUE"""),"M. 3915/TANJUNG SENANG")</f>
        <v>M. 3915/TANJUNG SENANG</v>
      </c>
      <c r="D6538" s="42"/>
      <c r="E6538" s="42"/>
      <c r="F6538" s="48" t="str">
        <f>IFERROR(__xludf.DUMMYFUNCTION("""COMPUTED_VALUE"""),"")</f>
        <v/>
      </c>
      <c r="G6538" s="42" t="str">
        <f>IFERROR(__xludf.DUMMYFUNCTION("""COMPUTED_VALUE"""),"SKPT LELANG")</f>
        <v>SKPT LELANG</v>
      </c>
      <c r="H6538" s="42">
        <f t="shared" si="1"/>
        <v>2849</v>
      </c>
    </row>
    <row r="6539" ht="22.5" customHeight="1">
      <c r="B6539" s="42" t="str">
        <f>IFERROR(__xludf.DUMMYFUNCTION("""COMPUTED_VALUE"""),"L/40/110826/1")</f>
        <v>L/40/110826/1</v>
      </c>
      <c r="C6539" s="42" t="str">
        <f>IFERROR(__xludf.DUMMYFUNCTION("""COMPUTED_VALUE"""),"M. 4346/WAY KANDIS")</f>
        <v>M. 4346/WAY KANDIS</v>
      </c>
      <c r="D6539" s="42"/>
      <c r="E6539" s="42"/>
      <c r="F6539" s="48" t="str">
        <f>IFERROR(__xludf.DUMMYFUNCTION("""COMPUTED_VALUE"""),"")</f>
        <v/>
      </c>
      <c r="G6539" s="42" t="str">
        <f>IFERROR(__xludf.DUMMYFUNCTION("""COMPUTED_VALUE"""),"PTPGT PEMECAHAN")</f>
        <v>PTPGT PEMECAHAN</v>
      </c>
      <c r="H6539" s="42">
        <f t="shared" si="1"/>
        <v>2849</v>
      </c>
    </row>
    <row r="6540" ht="22.5" customHeight="1">
      <c r="B6540" s="42" t="str">
        <f>IFERROR(__xludf.DUMMYFUNCTION("""COMPUTED_VALUE"""),"L/2/120826/1")</f>
        <v>L/2/120826/1</v>
      </c>
      <c r="C6540" s="42" t="str">
        <f>IFERROR(__xludf.DUMMYFUNCTION("""COMPUTED_VALUE"""),"M. 1966/GEDONG AIR")</f>
        <v>M. 1966/GEDONG AIR</v>
      </c>
      <c r="D6540" s="42"/>
      <c r="E6540" s="42"/>
      <c r="F6540" s="48" t="str">
        <f>IFERROR(__xludf.DUMMYFUNCTION("""COMPUTED_VALUE"""),"")</f>
        <v/>
      </c>
      <c r="G6540" s="42" t="str">
        <f>IFERROR(__xludf.DUMMYFUNCTION("""COMPUTED_VALUE"""),"PTPGT PEMECAHAN")</f>
        <v>PTPGT PEMECAHAN</v>
      </c>
      <c r="H6540" s="42">
        <f t="shared" si="1"/>
        <v>2849</v>
      </c>
    </row>
    <row r="6541" ht="22.5" customHeight="1">
      <c r="B6541" s="42" t="str">
        <f>IFERROR(__xludf.DUMMYFUNCTION("""COMPUTED_VALUE"""),"K/1/120825/1")</f>
        <v>K/1/120825/1</v>
      </c>
      <c r="C6541" s="42" t="str">
        <f>IFERROR(__xludf.DUMMYFUNCTION("""COMPUTED_VALUE"""),"Nibel 21158/Keteguhan")</f>
        <v>Nibel 21158/Keteguhan</v>
      </c>
      <c r="D6541" s="42"/>
      <c r="E6541" s="42"/>
      <c r="F6541" s="48" t="str">
        <f>IFERROR(__xludf.DUMMYFUNCTION("""COMPUTED_VALUE"""),"")</f>
        <v/>
      </c>
      <c r="G6541" s="42" t="str">
        <f>IFERROR(__xludf.DUMMYFUNCTION("""COMPUTED_VALUE"""),"Perubahan Hak")</f>
        <v>Perubahan Hak</v>
      </c>
      <c r="H6541" s="42">
        <f t="shared" si="1"/>
        <v>2849</v>
      </c>
    </row>
    <row r="6542" ht="22.5" customHeight="1">
      <c r="B6542" s="42" t="str">
        <f>IFERROR(__xludf.DUMMYFUNCTION("""COMPUTED_VALUE"""),"K/3/120825/1")</f>
        <v>K/3/120825/1</v>
      </c>
      <c r="C6542" s="42" t="str">
        <f>IFERROR(__xludf.DUMMYFUNCTION("""COMPUTED_VALUE"""),"NIBEL. 23197/ SUMUR PUTRI")</f>
        <v>NIBEL. 23197/ SUMUR PUTRI</v>
      </c>
      <c r="D6542" s="42"/>
      <c r="E6542" s="42"/>
      <c r="F6542" s="48" t="str">
        <f>IFERROR(__xludf.DUMMYFUNCTION("""COMPUTED_VALUE"""),"")</f>
        <v/>
      </c>
      <c r="G6542" s="42" t="str">
        <f>IFERROR(__xludf.DUMMYFUNCTION("""COMPUTED_VALUE"""),"PENINGKATAN HAK")</f>
        <v>PENINGKATAN HAK</v>
      </c>
      <c r="H6542" s="42">
        <f t="shared" si="1"/>
        <v>2849</v>
      </c>
    </row>
    <row r="6543" ht="22.5" customHeight="1">
      <c r="B6543" s="42" t="str">
        <f>IFERROR(__xludf.DUMMYFUNCTION("""COMPUTED_VALUE"""),"K/4/120825/2")</f>
        <v>K/4/120825/2</v>
      </c>
      <c r="C6543" s="42" t="str">
        <f>IFERROR(__xludf.DUMMYFUNCTION("""COMPUTED_VALUE"""),"NIBEL. B 16244/ SUMUR PUTRI")</f>
        <v>NIBEL. B 16244/ SUMUR PUTRI</v>
      </c>
      <c r="D6543" s="42"/>
      <c r="E6543" s="42"/>
      <c r="F6543" s="48" t="str">
        <f>IFERROR(__xludf.DUMMYFUNCTION("""COMPUTED_VALUE"""),"")</f>
        <v/>
      </c>
      <c r="G6543" s="42" t="str">
        <f>IFERROR(__xludf.DUMMYFUNCTION("""COMPUTED_VALUE"""),"PENINGKATAN HAK")</f>
        <v>PENINGKATAN HAK</v>
      </c>
      <c r="H6543" s="42">
        <f t="shared" si="1"/>
        <v>2849</v>
      </c>
    </row>
    <row r="6544" ht="22.5" customHeight="1">
      <c r="B6544" s="42" t="str">
        <f>IFERROR(__xludf.DUMMYFUNCTION("""COMPUTED_VALUE"""),"K/5/120825/3")</f>
        <v>K/5/120825/3</v>
      </c>
      <c r="C6544" s="42" t="str">
        <f>IFERROR(__xludf.DUMMYFUNCTION("""COMPUTED_VALUE"""),"B. 737/ KEMILING PERMAI")</f>
        <v>B. 737/ KEMILING PERMAI</v>
      </c>
      <c r="D6544" s="42"/>
      <c r="E6544" s="42"/>
      <c r="F6544" s="48" t="str">
        <f>IFERROR(__xludf.DUMMYFUNCTION("""COMPUTED_VALUE"""),"")</f>
        <v/>
      </c>
      <c r="G6544" s="42" t="str">
        <f>IFERROR(__xludf.DUMMYFUNCTION("""COMPUTED_VALUE"""),"BN JUAL BELI")</f>
        <v>BN JUAL BELI</v>
      </c>
      <c r="H6544" s="42">
        <f t="shared" si="1"/>
        <v>2849</v>
      </c>
    </row>
    <row r="6545" ht="22.5" customHeight="1">
      <c r="B6545" s="42" t="str">
        <f>IFERROR(__xludf.DUMMYFUNCTION("""COMPUTED_VALUE"""),"K/6/120825/1")</f>
        <v>K/6/120825/1</v>
      </c>
      <c r="C6545" s="42" t="str">
        <f>IFERROR(__xludf.DUMMYFUNCTION("""COMPUTED_VALUE"""),"M. 45/Sukabumi Indah")</f>
        <v>M. 45/Sukabumi Indah</v>
      </c>
      <c r="D6545" s="42"/>
      <c r="E6545" s="42"/>
      <c r="F6545" s="48" t="str">
        <f>IFERROR(__xludf.DUMMYFUNCTION("""COMPUTED_VALUE"""),"")</f>
        <v/>
      </c>
      <c r="G6545" s="42" t="str">
        <f>IFERROR(__xludf.DUMMYFUNCTION("""COMPUTED_VALUE"""),"Roya")</f>
        <v>Roya</v>
      </c>
      <c r="H6545" s="42">
        <f t="shared" si="1"/>
        <v>2849</v>
      </c>
    </row>
    <row r="6546" ht="22.5" customHeight="1">
      <c r="B6546" s="42" t="str">
        <f>IFERROR(__xludf.DUMMYFUNCTION("""COMPUTED_VALUE"""),"K/7/120825/1")</f>
        <v>K/7/120825/1</v>
      </c>
      <c r="C6546" s="42" t="str">
        <f>IFERROR(__xludf.DUMMYFUNCTION("""COMPUTED_VALUE"""),"M. 929/Tanjung Senang")</f>
        <v>M. 929/Tanjung Senang</v>
      </c>
      <c r="D6546" s="42" t="str">
        <f>IFERROR(__xludf.DUMMYFUNCTION("""COMPUTED_VALUE"""),"David")</f>
        <v>David</v>
      </c>
      <c r="E6546" s="42" t="str">
        <f>IFERROR(__xludf.DUMMYFUNCTION("""COMPUTED_VALUE"""),"DISERAHKAN")</f>
        <v>DISERAHKAN</v>
      </c>
      <c r="F6546" s="48">
        <f>IFERROR(__xludf.DUMMYFUNCTION("""COMPUTED_VALUE"""),45915.5040489699)</f>
        <v>45915.50405</v>
      </c>
      <c r="G6546" s="42" t="str">
        <f>IFERROR(__xludf.DUMMYFUNCTION("""COMPUTED_VALUE"""),"BN Hibah")</f>
        <v>BN Hibah</v>
      </c>
      <c r="H6546" s="42">
        <f t="shared" si="1"/>
        <v>2850</v>
      </c>
    </row>
    <row r="6547" ht="22.5" customHeight="1">
      <c r="B6547" s="42" t="str">
        <f>IFERROR(__xludf.DUMMYFUNCTION("""COMPUTED_VALUE"""),"K/8/120825/1")</f>
        <v>K/8/120825/1</v>
      </c>
      <c r="C6547" s="42" t="str">
        <f>IFERROR(__xludf.DUMMYFUNCTION("""COMPUTED_VALUE"""),"M. 1006/ GEDONG AIR")</f>
        <v>M. 1006/ GEDONG AIR</v>
      </c>
      <c r="D6547" s="42"/>
      <c r="E6547" s="42"/>
      <c r="F6547" s="48" t="str">
        <f>IFERROR(__xludf.DUMMYFUNCTION("""COMPUTED_VALUE"""),"")</f>
        <v/>
      </c>
      <c r="G6547" s="42" t="str">
        <f>IFERROR(__xludf.DUMMYFUNCTION("""COMPUTED_VALUE"""),"BN WARIS")</f>
        <v>BN WARIS</v>
      </c>
      <c r="H6547" s="42">
        <f t="shared" si="1"/>
        <v>2850</v>
      </c>
    </row>
    <row r="6548" ht="22.5" customHeight="1">
      <c r="B6548" s="42" t="str">
        <f>IFERROR(__xludf.DUMMYFUNCTION("""COMPUTED_VALUE"""),"K/9/120825/1")</f>
        <v>K/9/120825/1</v>
      </c>
      <c r="C6548" s="42" t="str">
        <f>IFERROR(__xludf.DUMMYFUNCTION("""COMPUTED_VALUE"""),"M. 202/GUNUNG MAS")</f>
        <v>M. 202/GUNUNG MAS</v>
      </c>
      <c r="D6548" s="42"/>
      <c r="E6548" s="42"/>
      <c r="F6548" s="48" t="str">
        <f>IFERROR(__xludf.DUMMYFUNCTION("""COMPUTED_VALUE"""),"")</f>
        <v/>
      </c>
      <c r="G6548" s="42" t="str">
        <f>IFERROR(__xludf.DUMMYFUNCTION("""COMPUTED_VALUE"""),"SKPT LELANG")</f>
        <v>SKPT LELANG</v>
      </c>
      <c r="H6548" s="42">
        <f t="shared" si="1"/>
        <v>2850</v>
      </c>
    </row>
    <row r="6549" ht="22.5" customHeight="1">
      <c r="B6549" s="42" t="str">
        <f>IFERROR(__xludf.DUMMYFUNCTION("""COMPUTED_VALUE"""),"K/11/120825/1")</f>
        <v>K/11/120825/1</v>
      </c>
      <c r="C6549" s="42" t="str">
        <f>IFERROR(__xludf.DUMMYFUNCTION("""COMPUTED_VALUE"""),"M. 1439/KEMILING PERMAI")</f>
        <v>M. 1439/KEMILING PERMAI</v>
      </c>
      <c r="D6549" s="42"/>
      <c r="E6549" s="42"/>
      <c r="F6549" s="48" t="str">
        <f>IFERROR(__xludf.DUMMYFUNCTION("""COMPUTED_VALUE"""),"")</f>
        <v/>
      </c>
      <c r="G6549" s="42" t="str">
        <f>IFERROR(__xludf.DUMMYFUNCTION("""COMPUTED_VALUE"""),"BN HIBAH")</f>
        <v>BN HIBAH</v>
      </c>
      <c r="H6549" s="42">
        <f t="shared" si="1"/>
        <v>2850</v>
      </c>
    </row>
    <row r="6550" ht="22.5" customHeight="1">
      <c r="B6550" s="42" t="str">
        <f>IFERROR(__xludf.DUMMYFUNCTION("""COMPUTED_VALUE"""),"K/10/120825/1")</f>
        <v>K/10/120825/1</v>
      </c>
      <c r="C6550" s="42" t="str">
        <f>IFERROR(__xludf.DUMMYFUNCTION("""COMPUTED_VALUE"""),"B. 751/TANJUNG BARU")</f>
        <v>B. 751/TANJUNG BARU</v>
      </c>
      <c r="D6550" s="42" t="str">
        <f>IFERROR(__xludf.DUMMYFUNCTION("""COMPUTED_VALUE"""),"Berry")</f>
        <v>Berry</v>
      </c>
      <c r="E6550" s="42" t="str">
        <f>IFERROR(__xludf.DUMMYFUNCTION("""COMPUTED_VALUE"""),"DISERAHKAN")</f>
        <v>DISERAHKAN</v>
      </c>
      <c r="F6550" s="48">
        <f>IFERROR(__xludf.DUMMYFUNCTION("""COMPUTED_VALUE"""),45926.54676228009)</f>
        <v>45926.54676</v>
      </c>
      <c r="G6550" s="42" t="str">
        <f>IFERROR(__xludf.DUMMYFUNCTION("""COMPUTED_VALUE"""),"GANTI NAMA")</f>
        <v>GANTI NAMA</v>
      </c>
      <c r="H6550" s="42">
        <f t="shared" si="1"/>
        <v>2851</v>
      </c>
    </row>
    <row r="6551" ht="22.5" customHeight="1">
      <c r="B6551" s="42" t="str">
        <f>IFERROR(__xludf.DUMMYFUNCTION("""COMPUTED_VALUE"""),"K/13/120825/1")</f>
        <v>K/13/120825/1</v>
      </c>
      <c r="C6551" s="42" t="str">
        <f>IFERROR(__xludf.DUMMYFUNCTION("""COMPUTED_VALUE"""),"M. 1011/ PENGAJARAN")</f>
        <v>M. 1011/ PENGAJARAN</v>
      </c>
      <c r="D6551" s="42"/>
      <c r="E6551" s="42"/>
      <c r="F6551" s="48" t="str">
        <f>IFERROR(__xludf.DUMMYFUNCTION("""COMPUTED_VALUE"""),"")</f>
        <v/>
      </c>
      <c r="G6551" s="42" t="str">
        <f>IFERROR(__xludf.DUMMYFUNCTION("""COMPUTED_VALUE"""),"BN WARIS")</f>
        <v>BN WARIS</v>
      </c>
      <c r="H6551" s="42">
        <f t="shared" si="1"/>
        <v>2851</v>
      </c>
    </row>
    <row r="6552" ht="22.5" customHeight="1">
      <c r="B6552" s="42" t="str">
        <f>IFERROR(__xludf.DUMMYFUNCTION("""COMPUTED_VALUE"""),"K/12/120825/1")</f>
        <v>K/12/120825/1</v>
      </c>
      <c r="C6552" s="42" t="str">
        <f>IFERROR(__xludf.DUMMYFUNCTION("""COMPUTED_VALUE"""),"M. 1438/Kota Baru")</f>
        <v>M. 1438/Kota Baru</v>
      </c>
      <c r="D6552" s="42" t="str">
        <f>IFERROR(__xludf.DUMMYFUNCTION("""COMPUTED_VALUE"""),"Berry")</f>
        <v>Berry</v>
      </c>
      <c r="E6552" s="42" t="str">
        <f>IFERROR(__xludf.DUMMYFUNCTION("""COMPUTED_VALUE"""),"DISERAHKAN")</f>
        <v>DISERAHKAN</v>
      </c>
      <c r="F6552" s="48">
        <f>IFERROR(__xludf.DUMMYFUNCTION("""COMPUTED_VALUE"""),45938.49360851852)</f>
        <v>45938.49361</v>
      </c>
      <c r="G6552" s="42" t="str">
        <f>IFERROR(__xludf.DUMMYFUNCTION("""COMPUTED_VALUE"""),"BN Pewarisan")</f>
        <v>BN Pewarisan</v>
      </c>
      <c r="H6552" s="42">
        <f t="shared" si="1"/>
        <v>2852</v>
      </c>
    </row>
    <row r="6553" ht="22.5" customHeight="1">
      <c r="B6553" s="42" t="str">
        <f>IFERROR(__xludf.DUMMYFUNCTION("""COMPUTED_VALUE"""),"K/14/120825/1")</f>
        <v>K/14/120825/1</v>
      </c>
      <c r="C6553" s="42" t="str">
        <f>IFERROR(__xludf.DUMMYFUNCTION("""COMPUTED_VALUE"""),"Nibel 23390/Rajabasa Nunyai")</f>
        <v>Nibel 23390/Rajabasa Nunyai</v>
      </c>
      <c r="D6553" s="42" t="str">
        <f>IFERROR(__xludf.DUMMYFUNCTION("""COMPUTED_VALUE"""),"Berry")</f>
        <v>Berry</v>
      </c>
      <c r="E6553" s="42" t="str">
        <f>IFERROR(__xludf.DUMMYFUNCTION("""COMPUTED_VALUE"""),"DISERAHKAN")</f>
        <v>DISERAHKAN</v>
      </c>
      <c r="F6553" s="48">
        <f>IFERROR(__xludf.DUMMYFUNCTION("""COMPUTED_VALUE"""),45894.58238420139)</f>
        <v>45894.58238</v>
      </c>
      <c r="G6553" s="42" t="str">
        <f>IFERROR(__xludf.DUMMYFUNCTION("""COMPUTED_VALUE"""),"BN JUAL BELI")</f>
        <v>BN JUAL BELI</v>
      </c>
      <c r="H6553" s="42">
        <f t="shared" si="1"/>
        <v>2853</v>
      </c>
    </row>
    <row r="6554" ht="22.5" customHeight="1">
      <c r="B6554" s="42" t="str">
        <f>IFERROR(__xludf.DUMMYFUNCTION("""COMPUTED_VALUE"""),"K/14/120825/1")</f>
        <v>K/14/120825/1</v>
      </c>
      <c r="C6554" s="42" t="str">
        <f>IFERROR(__xludf.DUMMYFUNCTION("""COMPUTED_VALUE"""),"M. 1663/ SUMUR BATU")</f>
        <v>M. 1663/ SUMUR BATU</v>
      </c>
      <c r="D6554" s="42"/>
      <c r="E6554" s="42"/>
      <c r="F6554" s="48" t="str">
        <f>IFERROR(__xludf.DUMMYFUNCTION("""COMPUTED_VALUE"""),"")</f>
        <v/>
      </c>
      <c r="G6554" s="42" t="str">
        <f>IFERROR(__xludf.DUMMYFUNCTION("""COMPUTED_VALUE"""),"HAPUS BPHTB")</f>
        <v>HAPUS BPHTB</v>
      </c>
      <c r="H6554" s="42">
        <f t="shared" si="1"/>
        <v>2853</v>
      </c>
    </row>
    <row r="6555" ht="22.5" customHeight="1">
      <c r="B6555" s="42" t="str">
        <f>IFERROR(__xludf.DUMMYFUNCTION("""COMPUTED_VALUE"""),"K/15/120825/2")</f>
        <v>K/15/120825/2</v>
      </c>
      <c r="C6555" s="42" t="str">
        <f>IFERROR(__xludf.DUMMYFUNCTION("""COMPUTED_VALUE"""),"Nibel 22316/Gedong Meneng")</f>
        <v>Nibel 22316/Gedong Meneng</v>
      </c>
      <c r="D6555" s="42"/>
      <c r="E6555" s="42"/>
      <c r="F6555" s="48" t="str">
        <f>IFERROR(__xludf.DUMMYFUNCTION("""COMPUTED_VALUE"""),"")</f>
        <v/>
      </c>
      <c r="G6555" s="42" t="str">
        <f>IFERROR(__xludf.DUMMYFUNCTION("""COMPUTED_VALUE"""),"BN JUAL BELI")</f>
        <v>BN JUAL BELI</v>
      </c>
      <c r="H6555" s="42">
        <f t="shared" si="1"/>
        <v>2853</v>
      </c>
    </row>
    <row r="6556" ht="22.5" customHeight="1">
      <c r="B6556" s="42" t="str">
        <f>IFERROR(__xludf.DUMMYFUNCTION("""COMPUTED_VALUE"""),"L/16/120825/1")</f>
        <v>L/16/120825/1</v>
      </c>
      <c r="C6556" s="42" t="str">
        <f>IFERROR(__xludf.DUMMYFUNCTION("""COMPUTED_VALUE"""),"KELURAHAN SUKABUMI")</f>
        <v>KELURAHAN SUKABUMI</v>
      </c>
      <c r="D6556" s="42"/>
      <c r="E6556" s="42"/>
      <c r="F6556" s="48" t="str">
        <f>IFERROR(__xludf.DUMMYFUNCTION("""COMPUTED_VALUE"""),"")</f>
        <v/>
      </c>
      <c r="G6556" s="42" t="str">
        <f>IFERROR(__xludf.DUMMYFUNCTION("""COMPUTED_VALUE"""),"PENGUKURAN TAMEN")</f>
        <v>PENGUKURAN TAMEN</v>
      </c>
      <c r="H6556" s="42">
        <f t="shared" si="1"/>
        <v>2853</v>
      </c>
    </row>
    <row r="6557" ht="22.5" customHeight="1">
      <c r="B6557" s="42" t="str">
        <f>IFERROR(__xludf.DUMMYFUNCTION("""COMPUTED_VALUE"""),"K/17/120825/3")</f>
        <v>K/17/120825/3</v>
      </c>
      <c r="C6557" s="42" t="str">
        <f>IFERROR(__xludf.DUMMYFUNCTION("""COMPUTED_VALUE"""),"Nibel 22366/Gedong Meneng")</f>
        <v>Nibel 22366/Gedong Meneng</v>
      </c>
      <c r="D6557" s="42"/>
      <c r="E6557" s="42"/>
      <c r="F6557" s="48" t="str">
        <f>IFERROR(__xludf.DUMMYFUNCTION("""COMPUTED_VALUE"""),"")</f>
        <v/>
      </c>
      <c r="G6557" s="42" t="str">
        <f>IFERROR(__xludf.DUMMYFUNCTION("""COMPUTED_VALUE"""),"BN JUAL BELI")</f>
        <v>BN JUAL BELI</v>
      </c>
      <c r="H6557" s="42">
        <f t="shared" si="1"/>
        <v>2853</v>
      </c>
    </row>
    <row r="6558" ht="22.5" customHeight="1">
      <c r="B6558" s="42" t="str">
        <f>IFERROR(__xludf.DUMMYFUNCTION("""COMPUTED_VALUE"""),"K/19/120825/1")</f>
        <v>K/19/120825/1</v>
      </c>
      <c r="C6558" s="42" t="str">
        <f>IFERROR(__xludf.DUMMYFUNCTION("""COMPUTED_VALUE"""),"Nibel 29715/Tanjung Senang")</f>
        <v>Nibel 29715/Tanjung Senang</v>
      </c>
      <c r="D6558" s="42"/>
      <c r="E6558" s="42"/>
      <c r="F6558" s="48" t="str">
        <f>IFERROR(__xludf.DUMMYFUNCTION("""COMPUTED_VALUE"""),"")</f>
        <v/>
      </c>
      <c r="G6558" s="42" t="str">
        <f>IFERROR(__xludf.DUMMYFUNCTION("""COMPUTED_VALUE"""),"PTPGT")</f>
        <v>PTPGT</v>
      </c>
      <c r="H6558" s="42">
        <f t="shared" si="1"/>
        <v>2853</v>
      </c>
    </row>
    <row r="6559" ht="22.5" customHeight="1">
      <c r="B6559" s="42" t="str">
        <f>IFERROR(__xludf.DUMMYFUNCTION("""COMPUTED_VALUE"""),"K/20/120825/1")</f>
        <v>K/20/120825/1</v>
      </c>
      <c r="C6559" s="42" t="str">
        <f>IFERROR(__xludf.DUMMYFUNCTION("""COMPUTED_VALUE"""),"Nibel 20713/Tanjung Senang")</f>
        <v>Nibel 20713/Tanjung Senang</v>
      </c>
      <c r="D6559" s="42"/>
      <c r="E6559" s="42"/>
      <c r="F6559" s="48" t="str">
        <f>IFERROR(__xludf.DUMMYFUNCTION("""COMPUTED_VALUE"""),"")</f>
        <v/>
      </c>
      <c r="G6559" s="42" t="str">
        <f>IFERROR(__xludf.DUMMYFUNCTION("""COMPUTED_VALUE"""),"PTPGT")</f>
        <v>PTPGT</v>
      </c>
      <c r="H6559" s="42">
        <f t="shared" si="1"/>
        <v>2853</v>
      </c>
    </row>
    <row r="6560" ht="22.5" customHeight="1">
      <c r="B6560" s="42" t="str">
        <f>IFERROR(__xludf.DUMMYFUNCTION("""COMPUTED_VALUE"""),"L/21/120825/1")</f>
        <v>L/21/120825/1</v>
      </c>
      <c r="C6560" s="42" t="str">
        <f>IFERROR(__xludf.DUMMYFUNCTION("""COMPUTED_VALUE"""),"M. 1713/SUMUR PUTRI")</f>
        <v>M. 1713/SUMUR PUTRI</v>
      </c>
      <c r="D6560" s="42"/>
      <c r="E6560" s="42"/>
      <c r="F6560" s="48" t="str">
        <f>IFERROR(__xludf.DUMMYFUNCTION("""COMPUTED_VALUE"""),"")</f>
        <v/>
      </c>
      <c r="G6560" s="42" t="str">
        <f>IFERROR(__xludf.DUMMYFUNCTION("""COMPUTED_VALUE"""),"BN WARIS")</f>
        <v>BN WARIS</v>
      </c>
      <c r="H6560" s="42">
        <f t="shared" si="1"/>
        <v>2853</v>
      </c>
    </row>
    <row r="6561" ht="22.5" customHeight="1">
      <c r="B6561" s="42" t="str">
        <f>IFERROR(__xludf.DUMMYFUNCTION("""COMPUTED_VALUE"""),"K/22/120825/3")</f>
        <v>K/22/120825/3</v>
      </c>
      <c r="C6561" s="42" t="str">
        <f>IFERROR(__xludf.DUMMYFUNCTION("""COMPUTED_VALUE"""),"Nibel 20714/Tanjung Senang")</f>
        <v>Nibel 20714/Tanjung Senang</v>
      </c>
      <c r="D6561" s="42"/>
      <c r="E6561" s="42"/>
      <c r="F6561" s="48" t="str">
        <f>IFERROR(__xludf.DUMMYFUNCTION("""COMPUTED_VALUE"""),"")</f>
        <v/>
      </c>
      <c r="G6561" s="42" t="str">
        <f>IFERROR(__xludf.DUMMYFUNCTION("""COMPUTED_VALUE"""),"PTPGT")</f>
        <v>PTPGT</v>
      </c>
      <c r="H6561" s="42">
        <f t="shared" si="1"/>
        <v>2853</v>
      </c>
    </row>
    <row r="6562" ht="22.5" customHeight="1">
      <c r="B6562" s="42" t="str">
        <f>IFERROR(__xludf.DUMMYFUNCTION("""COMPUTED_VALUE"""),"K/23/120825/4")</f>
        <v>K/23/120825/4</v>
      </c>
      <c r="C6562" s="42" t="str">
        <f>IFERROR(__xludf.DUMMYFUNCTION("""COMPUTED_VALUE"""),"Nibel 20712/Tanjung Senang")</f>
        <v>Nibel 20712/Tanjung Senang</v>
      </c>
      <c r="D6562" s="42"/>
      <c r="E6562" s="42"/>
      <c r="F6562" s="48" t="str">
        <f>IFERROR(__xludf.DUMMYFUNCTION("""COMPUTED_VALUE"""),"")</f>
        <v/>
      </c>
      <c r="G6562" s="42" t="str">
        <f>IFERROR(__xludf.DUMMYFUNCTION("""COMPUTED_VALUE"""),"PTPGT")</f>
        <v>PTPGT</v>
      </c>
      <c r="H6562" s="42">
        <f t="shared" si="1"/>
        <v>2853</v>
      </c>
    </row>
    <row r="6563" ht="22.5" customHeight="1">
      <c r="B6563" s="42" t="str">
        <f>IFERROR(__xludf.DUMMYFUNCTION("""COMPUTED_VALUE"""),"K/18/120825/1")</f>
        <v>K/18/120825/1</v>
      </c>
      <c r="C6563" s="42" t="str">
        <f>IFERROR(__xludf.DUMMYFUNCTION("""COMPUTED_VALUE"""),"M. 13835/SEGALA MIDER")</f>
        <v>M. 13835/SEGALA MIDER</v>
      </c>
      <c r="D6563" s="42"/>
      <c r="E6563" s="42"/>
      <c r="F6563" s="48" t="str">
        <f>IFERROR(__xludf.DUMMYFUNCTION("""COMPUTED_VALUE"""),"")</f>
        <v/>
      </c>
      <c r="G6563" s="42" t="str">
        <f>IFERROR(__xludf.DUMMYFUNCTION("""COMPUTED_VALUE"""),"BLOKIR")</f>
        <v>BLOKIR</v>
      </c>
      <c r="H6563" s="42">
        <f t="shared" si="1"/>
        <v>2853</v>
      </c>
    </row>
    <row r="6564" ht="22.5" customHeight="1">
      <c r="B6564" s="42" t="str">
        <f>IFERROR(__xludf.DUMMYFUNCTION("""COMPUTED_VALUE"""),"K/24/120825/1")</f>
        <v>K/24/120825/1</v>
      </c>
      <c r="C6564" s="42" t="str">
        <f>IFERROR(__xludf.DUMMYFUNCTION("""COMPUTED_VALUE"""),"NIBEL M. 5322/SUKABUMI INDAH")</f>
        <v>NIBEL M. 5322/SUKABUMI INDAH</v>
      </c>
      <c r="D6564" s="42"/>
      <c r="E6564" s="42"/>
      <c r="F6564" s="48" t="str">
        <f>IFERROR(__xludf.DUMMYFUNCTION("""COMPUTED_VALUE"""),"")</f>
        <v/>
      </c>
      <c r="G6564" s="42" t="str">
        <f>IFERROR(__xludf.DUMMYFUNCTION("""COMPUTED_VALUE"""),"REFLAN RASYID / LUTFI MIFTAKHUL JANNAH")</f>
        <v>REFLAN RASYID / LUTFI MIFTAKHUL JANNAH</v>
      </c>
      <c r="H6564" s="42">
        <f t="shared" si="1"/>
        <v>2853</v>
      </c>
    </row>
    <row r="6565" ht="22.5" customHeight="1">
      <c r="B6565" s="42" t="str">
        <f>IFERROR(__xludf.DUMMYFUNCTION("""COMPUTED_VALUE"""),"K/25/120825/1")</f>
        <v>K/25/120825/1</v>
      </c>
      <c r="C6565" s="42" t="str">
        <f>IFERROR(__xludf.DUMMYFUNCTION("""COMPUTED_VALUE"""),"M. 3916/ BERINGIN RAYA")</f>
        <v>M. 3916/ BERINGIN RAYA</v>
      </c>
      <c r="D6565" s="42"/>
      <c r="E6565" s="42"/>
      <c r="F6565" s="48" t="str">
        <f>IFERROR(__xludf.DUMMYFUNCTION("""COMPUTED_VALUE"""),"")</f>
        <v/>
      </c>
      <c r="G6565" s="42" t="str">
        <f>IFERROR(__xludf.DUMMYFUNCTION("""COMPUTED_VALUE"""),"BN WARIS")</f>
        <v>BN WARIS</v>
      </c>
      <c r="H6565" s="42">
        <f t="shared" si="1"/>
        <v>2853</v>
      </c>
    </row>
    <row r="6566" ht="22.5" customHeight="1">
      <c r="B6566" s="42" t="str">
        <f>IFERROR(__xludf.DUMMYFUNCTION("""COMPUTED_VALUE"""),"L/26/120825/1")</f>
        <v>L/26/120825/1</v>
      </c>
      <c r="C6566" s="42" t="str">
        <f>IFERROR(__xludf.DUMMYFUNCTION("""COMPUTED_VALUE"""),"B. 2980/SUKABUMI")</f>
        <v>B. 2980/SUKABUMI</v>
      </c>
      <c r="D6566" s="42" t="str">
        <f>IFERROR(__xludf.DUMMYFUNCTION("""COMPUTED_VALUE"""),"Berry")</f>
        <v>Berry</v>
      </c>
      <c r="E6566" s="42" t="str">
        <f>IFERROR(__xludf.DUMMYFUNCTION("""COMPUTED_VALUE"""),"DISERAHKAN")</f>
        <v>DISERAHKAN</v>
      </c>
      <c r="F6566" s="48">
        <f>IFERROR(__xludf.DUMMYFUNCTION("""COMPUTED_VALUE"""),45910.59269765046)</f>
        <v>45910.5927</v>
      </c>
      <c r="G6566" s="42" t="str">
        <f>IFERROR(__xludf.DUMMYFUNCTION("""COMPUTED_VALUE"""),"PENINGKATAN HAK")</f>
        <v>PENINGKATAN HAK</v>
      </c>
      <c r="H6566" s="42">
        <f t="shared" si="1"/>
        <v>2854</v>
      </c>
    </row>
    <row r="6567" ht="22.5" customHeight="1">
      <c r="B6567" s="42" t="str">
        <f>IFERROR(__xludf.DUMMYFUNCTION("""COMPUTED_VALUE"""),"K/28/070827/1")</f>
        <v>K/28/070827/1</v>
      </c>
      <c r="C6567" s="42" t="str">
        <f>IFERROR(__xludf.DUMMYFUNCTION("""COMPUTED_VALUE"""),"Nibel 23834/ Bakung")</f>
        <v>Nibel 23834/ Bakung</v>
      </c>
      <c r="D6567" s="42"/>
      <c r="E6567" s="42"/>
      <c r="F6567" s="48" t="str">
        <f>IFERROR(__xludf.DUMMYFUNCTION("""COMPUTED_VALUE"""),"")</f>
        <v/>
      </c>
      <c r="G6567" s="42" t="str">
        <f>IFERROR(__xludf.DUMMYFUNCTION("""COMPUTED_VALUE"""),"BN Jual Beli")</f>
        <v>BN Jual Beli</v>
      </c>
      <c r="H6567" s="42">
        <f t="shared" si="1"/>
        <v>2854</v>
      </c>
    </row>
    <row r="6568" ht="22.5" customHeight="1">
      <c r="B6568" s="42" t="str">
        <f>IFERROR(__xludf.DUMMYFUNCTION("""COMPUTED_VALUE"""),"L/27/120825/1")</f>
        <v>L/27/120825/1</v>
      </c>
      <c r="C6568" s="42" t="str">
        <f>IFERROR(__xludf.DUMMYFUNCTION("""COMPUTED_VALUE"""),"B. 4181/SUKABUMI")</f>
        <v>B. 4181/SUKABUMI</v>
      </c>
      <c r="D6568" s="42"/>
      <c r="E6568" s="42"/>
      <c r="F6568" s="48" t="str">
        <f>IFERROR(__xludf.DUMMYFUNCTION("""COMPUTED_VALUE"""),"")</f>
        <v/>
      </c>
      <c r="G6568" s="42" t="str">
        <f>IFERROR(__xludf.DUMMYFUNCTION("""COMPUTED_VALUE"""),"PENINGKATAN HAK")</f>
        <v>PENINGKATAN HAK</v>
      </c>
      <c r="H6568" s="42">
        <f t="shared" si="1"/>
        <v>2854</v>
      </c>
    </row>
    <row r="6569" ht="22.5" customHeight="1">
      <c r="B6569" s="42" t="str">
        <f>IFERROR(__xludf.DUMMYFUNCTION("""COMPUTED_VALUE"""),"L/1/130825/1")</f>
        <v>L/1/130825/1</v>
      </c>
      <c r="C6569" s="42" t="str">
        <f>IFERROR(__xludf.DUMMYFUNCTION("""COMPUTED_VALUE"""),"M. 1282/GEDONG AIR")</f>
        <v>M. 1282/GEDONG AIR</v>
      </c>
      <c r="D6569" s="42"/>
      <c r="E6569" s="42"/>
      <c r="F6569" s="48" t="str">
        <f>IFERROR(__xludf.DUMMYFUNCTION("""COMPUTED_VALUE"""),"")</f>
        <v/>
      </c>
      <c r="G6569" s="42" t="str">
        <f>IFERROR(__xludf.DUMMYFUNCTION("""COMPUTED_VALUE"""),"ROYA")</f>
        <v>ROYA</v>
      </c>
      <c r="H6569" s="42">
        <f t="shared" si="1"/>
        <v>2854</v>
      </c>
    </row>
    <row r="6570" ht="22.5" customHeight="1">
      <c r="B6570" s="42" t="str">
        <f>IFERROR(__xludf.DUMMYFUNCTION("""COMPUTED_VALUE"""),"K/2/130825/1")</f>
        <v>K/2/130825/1</v>
      </c>
      <c r="C6570" s="42" t="str">
        <f>IFERROR(__xludf.DUMMYFUNCTION("""COMPUTED_VALUE"""),"B.2416/Campang Jaya")</f>
        <v>B.2416/Campang Jaya</v>
      </c>
      <c r="D6570" s="42" t="str">
        <f>IFERROR(__xludf.DUMMYFUNCTION("""COMPUTED_VALUE"""),"David")</f>
        <v>David</v>
      </c>
      <c r="E6570" s="42" t="str">
        <f>IFERROR(__xludf.DUMMYFUNCTION("""COMPUTED_VALUE"""),"DISERAHKAN")</f>
        <v>DISERAHKAN</v>
      </c>
      <c r="F6570" s="48">
        <f>IFERROR(__xludf.DUMMYFUNCTION("""COMPUTED_VALUE"""),45908.62805832176)</f>
        <v>45908.62806</v>
      </c>
      <c r="G6570" s="42" t="str">
        <f>IFERROR(__xludf.DUMMYFUNCTION("""COMPUTED_VALUE"""),"Peningkatan Hak")</f>
        <v>Peningkatan Hak</v>
      </c>
      <c r="H6570" s="42">
        <f t="shared" si="1"/>
        <v>2855</v>
      </c>
    </row>
    <row r="6571" ht="22.5" customHeight="1">
      <c r="B6571" s="42" t="str">
        <f>IFERROR(__xludf.DUMMYFUNCTION("""COMPUTED_VALUE"""),"L/3/130825/1")</f>
        <v>L/3/130825/1</v>
      </c>
      <c r="C6571" s="42" t="str">
        <f>IFERROR(__xludf.DUMMYFUNCTION("""COMPUTED_VALUE"""),"M. 98/BERINGIN JAYA")</f>
        <v>M. 98/BERINGIN JAYA</v>
      </c>
      <c r="D6571" s="42"/>
      <c r="E6571" s="42"/>
      <c r="F6571" s="48" t="str">
        <f>IFERROR(__xludf.DUMMYFUNCTION("""COMPUTED_VALUE"""),"")</f>
        <v/>
      </c>
      <c r="G6571" s="42" t="str">
        <f>IFERROR(__xludf.DUMMYFUNCTION("""COMPUTED_VALUE"""),"ROYA")</f>
        <v>ROYA</v>
      </c>
      <c r="H6571" s="42">
        <f t="shared" si="1"/>
        <v>2855</v>
      </c>
    </row>
    <row r="6572" ht="22.5" customHeight="1">
      <c r="B6572" s="42" t="str">
        <f>IFERROR(__xludf.DUMMYFUNCTION("""COMPUTED_VALUE"""),"K/5/120825/1")</f>
        <v>K/5/120825/1</v>
      </c>
      <c r="C6572" s="42" t="str">
        <f>IFERROR(__xludf.DUMMYFUNCTION("""COMPUTED_VALUE"""),"NIBEL. M. 23276/ SUMUR PUTRI")</f>
        <v>NIBEL. M. 23276/ SUMUR PUTRI</v>
      </c>
      <c r="D6572" s="42" t="str">
        <f>IFERROR(__xludf.DUMMYFUNCTION("""COMPUTED_VALUE"""),"David")</f>
        <v>David</v>
      </c>
      <c r="E6572" s="42" t="str">
        <f>IFERROR(__xludf.DUMMYFUNCTION("""COMPUTED_VALUE"""),"DISERAHKAN")</f>
        <v>DISERAHKAN</v>
      </c>
      <c r="F6572" s="48">
        <f>IFERROR(__xludf.DUMMYFUNCTION("""COMPUTED_VALUE"""),45915.504292627316)</f>
        <v>45915.50429</v>
      </c>
      <c r="G6572" s="42" t="str">
        <f>IFERROR(__xludf.DUMMYFUNCTION("""COMPUTED_VALUE"""),"PENINGKATAN HAK")</f>
        <v>PENINGKATAN HAK</v>
      </c>
      <c r="H6572" s="42">
        <f t="shared" si="1"/>
        <v>2856</v>
      </c>
    </row>
    <row r="6573" ht="22.5" customHeight="1">
      <c r="B6573" s="42" t="str">
        <f>IFERROR(__xludf.DUMMYFUNCTION("""COMPUTED_VALUE"""),"L/6/130825/1")</f>
        <v>L/6/130825/1</v>
      </c>
      <c r="C6573" s="42" t="str">
        <f>IFERROR(__xludf.DUMMYFUNCTION("""COMPUTED_VALUE"""),"M. 945/PECOH RAYA")</f>
        <v>M. 945/PECOH RAYA</v>
      </c>
      <c r="D6573" s="42"/>
      <c r="E6573" s="42"/>
      <c r="F6573" s="48" t="str">
        <f>IFERROR(__xludf.DUMMYFUNCTION("""COMPUTED_VALUE"""),"")</f>
        <v/>
      </c>
      <c r="G6573" s="42" t="str">
        <f>IFERROR(__xludf.DUMMYFUNCTION("""COMPUTED_VALUE"""),"ROYA")</f>
        <v>ROYA</v>
      </c>
      <c r="H6573" s="42">
        <f t="shared" si="1"/>
        <v>2856</v>
      </c>
    </row>
    <row r="6574" ht="22.5" customHeight="1">
      <c r="B6574" s="42" t="str">
        <f>IFERROR(__xludf.DUMMYFUNCTION("""COMPUTED_VALUE"""),"K/7/130825/1")</f>
        <v>K/7/130825/1</v>
      </c>
      <c r="C6574" s="42" t="str">
        <f>IFERROR(__xludf.DUMMYFUNCTION("""COMPUTED_VALUE"""),"M. 1013/ NOG")</f>
        <v>M. 1013/ NOG</v>
      </c>
      <c r="D6574" s="42"/>
      <c r="E6574" s="42"/>
      <c r="F6574" s="48" t="str">
        <f>IFERROR(__xludf.DUMMYFUNCTION("""COMPUTED_VALUE"""),"")</f>
        <v/>
      </c>
      <c r="G6574" s="42" t="str">
        <f>IFERROR(__xludf.DUMMYFUNCTION("""COMPUTED_VALUE"""),"ROYA")</f>
        <v>ROYA</v>
      </c>
      <c r="H6574" s="42">
        <f t="shared" si="1"/>
        <v>2856</v>
      </c>
    </row>
    <row r="6575" ht="22.5" customHeight="1">
      <c r="B6575" s="42" t="str">
        <f>IFERROR(__xludf.DUMMYFUNCTION("""COMPUTED_VALUE"""),"L/8/130825/1")</f>
        <v>L/8/130825/1</v>
      </c>
      <c r="C6575" s="42" t="str">
        <f>IFERROR(__xludf.DUMMYFUNCTION("""COMPUTED_VALUE"""),"M.5743/TANJUNG SENENG")</f>
        <v>M.5743/TANJUNG SENENG</v>
      </c>
      <c r="D6575" s="42" t="str">
        <f>IFERROR(__xludf.DUMMYFUNCTION("""COMPUTED_VALUE"""),"David")</f>
        <v>David</v>
      </c>
      <c r="E6575" s="42" t="str">
        <f>IFERROR(__xludf.DUMMYFUNCTION("""COMPUTED_VALUE"""),"DISERAHKAN")</f>
        <v>DISERAHKAN</v>
      </c>
      <c r="F6575" s="48">
        <f>IFERROR(__xludf.DUMMYFUNCTION("""COMPUTED_VALUE"""),45904.61578605324)</f>
        <v>45904.61579</v>
      </c>
      <c r="G6575" s="42" t="str">
        <f>IFERROR(__xludf.DUMMYFUNCTION("""COMPUTED_VALUE"""),"ROYA")</f>
        <v>ROYA</v>
      </c>
      <c r="H6575" s="42">
        <f t="shared" si="1"/>
        <v>2857</v>
      </c>
    </row>
    <row r="6576" ht="22.5" customHeight="1">
      <c r="B6576" s="42" t="str">
        <f>IFERROR(__xludf.DUMMYFUNCTION("""COMPUTED_VALUE"""),"K/4/130825/1")</f>
        <v>K/4/130825/1</v>
      </c>
      <c r="C6576" s="42" t="str">
        <f>IFERROR(__xludf.DUMMYFUNCTION("""COMPUTED_VALUE"""),"M. 1369/Gedong Air")</f>
        <v>M. 1369/Gedong Air</v>
      </c>
      <c r="D6576" s="42" t="str">
        <f>IFERROR(__xludf.DUMMYFUNCTION("""COMPUTED_VALUE"""),"David")</f>
        <v>David</v>
      </c>
      <c r="E6576" s="42" t="str">
        <f>IFERROR(__xludf.DUMMYFUNCTION("""COMPUTED_VALUE"""),"DISERAHKAN")</f>
        <v>DISERAHKAN</v>
      </c>
      <c r="F6576" s="48">
        <f>IFERROR(__xludf.DUMMYFUNCTION("""COMPUTED_VALUE"""),45930.60088165509)</f>
        <v>45930.60088</v>
      </c>
      <c r="G6576" s="42" t="str">
        <f>IFERROR(__xludf.DUMMYFUNCTION("""COMPUTED_VALUE"""),"BN Pewarisan")</f>
        <v>BN Pewarisan</v>
      </c>
      <c r="H6576" s="42">
        <f t="shared" si="1"/>
        <v>2858</v>
      </c>
    </row>
    <row r="6577" ht="22.5" customHeight="1">
      <c r="B6577" s="42" t="str">
        <f>IFERROR(__xludf.DUMMYFUNCTION("""COMPUTED_VALUE"""),"K/9/130825/1")</f>
        <v>K/9/130825/1</v>
      </c>
      <c r="C6577" s="42" t="str">
        <f>IFERROR(__xludf.DUMMYFUNCTION("""COMPUTED_VALUE"""),"Nibel 18405/ Sukarame Baru")</f>
        <v>Nibel 18405/ Sukarame Baru</v>
      </c>
      <c r="D6577" s="42"/>
      <c r="E6577" s="42"/>
      <c r="F6577" s="48" t="str">
        <f>IFERROR(__xludf.DUMMYFUNCTION("""COMPUTED_VALUE"""),"")</f>
        <v/>
      </c>
      <c r="G6577" s="42" t="str">
        <f>IFERROR(__xludf.DUMMYFUNCTION("""COMPUTED_VALUE"""),"Peningkatan Hak")</f>
        <v>Peningkatan Hak</v>
      </c>
      <c r="H6577" s="42">
        <f t="shared" si="1"/>
        <v>2858</v>
      </c>
    </row>
    <row r="6578" ht="22.5" customHeight="1">
      <c r="B6578" s="42" t="str">
        <f>IFERROR(__xludf.DUMMYFUNCTION("""COMPUTED_VALUE"""),"K/11/130825/1")</f>
        <v>K/11/130825/1</v>
      </c>
      <c r="C6578" s="42" t="str">
        <f>IFERROR(__xludf.DUMMYFUNCTION("""COMPUTED_VALUE"""),"Nibel 18405/ Sukarame Baru")</f>
        <v>Nibel 18405/ Sukarame Baru</v>
      </c>
      <c r="D6578" s="42"/>
      <c r="E6578" s="42"/>
      <c r="F6578" s="48" t="str">
        <f>IFERROR(__xludf.DUMMYFUNCTION("""COMPUTED_VALUE"""),"")</f>
        <v/>
      </c>
      <c r="G6578" s="42" t="str">
        <f>IFERROR(__xludf.DUMMYFUNCTION("""COMPUTED_VALUE"""),"Peningkatan Hak	")</f>
        <v>Peningkatan Hak	</v>
      </c>
      <c r="H6578" s="42">
        <f t="shared" si="1"/>
        <v>2858</v>
      </c>
    </row>
    <row r="6579" ht="22.5" customHeight="1">
      <c r="B6579" s="42" t="str">
        <f>IFERROR(__xludf.DUMMYFUNCTION("""COMPUTED_VALUE"""),"K/12/130825/1")</f>
        <v>K/12/130825/1</v>
      </c>
      <c r="C6579" s="42" t="str">
        <f>IFERROR(__xludf.DUMMYFUNCTION("""COMPUTED_VALUE"""),"M. 9057/ SURABAYA")</f>
        <v>M. 9057/ SURABAYA</v>
      </c>
      <c r="D6579" s="42"/>
      <c r="E6579" s="42"/>
      <c r="F6579" s="48" t="str">
        <f>IFERROR(__xludf.DUMMYFUNCTION("""COMPUTED_VALUE"""),"")</f>
        <v/>
      </c>
      <c r="G6579" s="42" t="str">
        <f>IFERROR(__xludf.DUMMYFUNCTION("""COMPUTED_VALUE"""),"PEMECAHAN")</f>
        <v>PEMECAHAN</v>
      </c>
      <c r="H6579" s="42">
        <f t="shared" si="1"/>
        <v>2858</v>
      </c>
    </row>
    <row r="6580" ht="22.5" customHeight="1">
      <c r="B6580" s="42" t="str">
        <f>IFERROR(__xludf.DUMMYFUNCTION("""COMPUTED_VALUE"""),"K/13/130825/1")</f>
        <v>K/13/130825/1</v>
      </c>
      <c r="C6580" s="42" t="str">
        <f>IFERROR(__xludf.DUMMYFUNCTION("""COMPUTED_VALUE"""),"M. 1528/Kedaung")</f>
        <v>M. 1528/Kedaung</v>
      </c>
      <c r="D6580" s="42"/>
      <c r="E6580" s="42"/>
      <c r="F6580" s="48" t="str">
        <f>IFERROR(__xludf.DUMMYFUNCTION("""COMPUTED_VALUE"""),"")</f>
        <v/>
      </c>
      <c r="G6580" s="42" t="str">
        <f>IFERROR(__xludf.DUMMYFUNCTION("""COMPUTED_VALUE"""),"Hapus BPHTB")</f>
        <v>Hapus BPHTB</v>
      </c>
      <c r="H6580" s="42">
        <f t="shared" si="1"/>
        <v>2858</v>
      </c>
    </row>
    <row r="6581" ht="22.5" customHeight="1">
      <c r="B6581" s="42" t="str">
        <f>IFERROR(__xludf.DUMMYFUNCTION("""COMPUTED_VALUE"""),"L/10/130825/1")</f>
        <v>L/10/130825/1</v>
      </c>
      <c r="C6581" s="42" t="str">
        <f>IFERROR(__xludf.DUMMYFUNCTION("""COMPUTED_VALUE"""),"M.27/GUNUNG SULAH")</f>
        <v>M.27/GUNUNG SULAH</v>
      </c>
      <c r="D6581" s="42"/>
      <c r="E6581" s="42"/>
      <c r="F6581" s="48" t="str">
        <f>IFERROR(__xludf.DUMMYFUNCTION("""COMPUTED_VALUE"""),"")</f>
        <v/>
      </c>
      <c r="G6581" s="42" t="str">
        <f>IFERROR(__xludf.DUMMYFUNCTION("""COMPUTED_VALUE"""),"ROYA")</f>
        <v>ROYA</v>
      </c>
      <c r="H6581" s="42">
        <f t="shared" si="1"/>
        <v>2858</v>
      </c>
    </row>
    <row r="6582" ht="22.5" customHeight="1">
      <c r="B6582" s="42" t="str">
        <f>IFERROR(__xludf.DUMMYFUNCTION("""COMPUTED_VALUE"""),"K/14/130825/1")</f>
        <v>K/14/130825/1</v>
      </c>
      <c r="C6582" s="42" t="str">
        <f>IFERROR(__xludf.DUMMYFUNCTION("""COMPUTED_VALUE"""),"M. 9453/ SEGALA MIDER")</f>
        <v>M. 9453/ SEGALA MIDER</v>
      </c>
      <c r="D6582" s="42" t="str">
        <f>IFERROR(__xludf.DUMMYFUNCTION("""COMPUTED_VALUE"""),"David")</f>
        <v>David</v>
      </c>
      <c r="E6582" s="42" t="str">
        <f>IFERROR(__xludf.DUMMYFUNCTION("""COMPUTED_VALUE"""),"DISERAHKAN")</f>
        <v>DISERAHKAN</v>
      </c>
      <c r="F6582" s="48">
        <f>IFERROR(__xludf.DUMMYFUNCTION("""COMPUTED_VALUE"""),45922.61956927083)</f>
        <v>45922.61957</v>
      </c>
      <c r="G6582" s="42" t="str">
        <f>IFERROR(__xludf.DUMMYFUNCTION("""COMPUTED_VALUE"""),"BN JUAL BELI")</f>
        <v>BN JUAL BELI</v>
      </c>
      <c r="H6582" s="42">
        <f t="shared" si="1"/>
        <v>2859</v>
      </c>
    </row>
    <row r="6583" ht="22.5" customHeight="1">
      <c r="B6583" s="42" t="str">
        <f>IFERROR(__xludf.DUMMYFUNCTION("""COMPUTED_VALUE"""),"L/15/130826/1")</f>
        <v>L/15/130826/1</v>
      </c>
      <c r="C6583" s="42" t="str">
        <f>IFERROR(__xludf.DUMMYFUNCTION("""COMPUTED_VALUE"""),"B. 164/CAMPANG RAYA")</f>
        <v>B. 164/CAMPANG RAYA</v>
      </c>
      <c r="D6583" s="42" t="str">
        <f>IFERROR(__xludf.DUMMYFUNCTION("""COMPUTED_VALUE"""),"Berry")</f>
        <v>Berry</v>
      </c>
      <c r="E6583" s="42" t="str">
        <f>IFERROR(__xludf.DUMMYFUNCTION("""COMPUTED_VALUE"""),"DISERAHKAN")</f>
        <v>DISERAHKAN</v>
      </c>
      <c r="F6583" s="48">
        <f>IFERROR(__xludf.DUMMYFUNCTION("""COMPUTED_VALUE"""),45926.54767018519)</f>
        <v>45926.54767</v>
      </c>
      <c r="G6583" s="42" t="str">
        <f>IFERROR(__xludf.DUMMYFUNCTION("""COMPUTED_VALUE"""),"ROYA")</f>
        <v>ROYA</v>
      </c>
      <c r="H6583" s="42">
        <f t="shared" si="1"/>
        <v>2860</v>
      </c>
    </row>
    <row r="6584" ht="22.5" customHeight="1">
      <c r="B6584" s="42" t="str">
        <f>IFERROR(__xludf.DUMMYFUNCTION("""COMPUTED_VALUE"""),"K/16/130827/1")</f>
        <v>K/16/130827/1</v>
      </c>
      <c r="C6584" s="42" t="str">
        <f>IFERROR(__xludf.DUMMYFUNCTION("""COMPUTED_VALUE"""),"Nibel 21800/Gedong Meneng	")</f>
        <v>Nibel 21800/Gedong Meneng	</v>
      </c>
      <c r="D6584" s="42"/>
      <c r="E6584" s="42"/>
      <c r="F6584" s="48" t="str">
        <f>IFERROR(__xludf.DUMMYFUNCTION("""COMPUTED_VALUE"""),"")</f>
        <v/>
      </c>
      <c r="G6584" s="42" t="str">
        <f>IFERROR(__xludf.DUMMYFUNCTION("""COMPUTED_VALUE"""),"Pemisahan")</f>
        <v>Pemisahan</v>
      </c>
      <c r="H6584" s="42">
        <f t="shared" si="1"/>
        <v>2860</v>
      </c>
    </row>
    <row r="6585" ht="22.5" customHeight="1">
      <c r="B6585" s="42" t="str">
        <f>IFERROR(__xludf.DUMMYFUNCTION("""COMPUTED_VALUE"""),"K/22/130825/1")</f>
        <v>K/22/130825/1</v>
      </c>
      <c r="C6585" s="42" t="str">
        <f>IFERROR(__xludf.DUMMYFUNCTION("""COMPUTED_VALUE"""),"SEGALA MIDER")</f>
        <v>SEGALA MIDER</v>
      </c>
      <c r="D6585" s="42"/>
      <c r="E6585" s="42"/>
      <c r="F6585" s="48" t="str">
        <f>IFERROR(__xludf.DUMMYFUNCTION("""COMPUTED_VALUE"""),"")</f>
        <v/>
      </c>
      <c r="G6585" s="42" t="str">
        <f>IFERROR(__xludf.DUMMYFUNCTION("""COMPUTED_VALUE"""),"PENGUKURAN PERTAMA KALI")</f>
        <v>PENGUKURAN PERTAMA KALI</v>
      </c>
      <c r="H6585" s="42">
        <f t="shared" si="1"/>
        <v>2860</v>
      </c>
    </row>
    <row r="6586" ht="22.5" customHeight="1">
      <c r="B6586" s="42" t="str">
        <f>IFERROR(__xludf.DUMMYFUNCTION("""COMPUTED_VALUE"""),"L/23/130825/1")</f>
        <v>L/23/130825/1</v>
      </c>
      <c r="C6586" s="42" t="str">
        <f>IFERROR(__xludf.DUMMYFUNCTION("""COMPUTED_VALUE"""),"KELURAHAN KAMPUNG BARU")</f>
        <v>KELURAHAN KAMPUNG BARU</v>
      </c>
      <c r="D6586" s="42"/>
      <c r="E6586" s="42"/>
      <c r="F6586" s="48" t="str">
        <f>IFERROR(__xludf.DUMMYFUNCTION("""COMPUTED_VALUE"""),"")</f>
        <v/>
      </c>
      <c r="G6586" s="42" t="str">
        <f>IFERROR(__xludf.DUMMYFUNCTION("""COMPUTED_VALUE"""),"PTPGT TANAH MENTAH")</f>
        <v>PTPGT TANAH MENTAH</v>
      </c>
      <c r="H6586" s="42">
        <f t="shared" si="1"/>
        <v>2860</v>
      </c>
    </row>
    <row r="6587" ht="22.5" customHeight="1">
      <c r="B6587" s="42" t="str">
        <f>IFERROR(__xludf.DUMMYFUNCTION("""COMPUTED_VALUE"""),"K/25/130825/1")</f>
        <v>K/25/130825/1</v>
      </c>
      <c r="C6587" s="42" t="str">
        <f>IFERROR(__xludf.DUMMYFUNCTION("""COMPUTED_VALUE"""),"M. 6413/ WAY KANDIS")</f>
        <v>M. 6413/ WAY KANDIS</v>
      </c>
      <c r="D6587" s="42"/>
      <c r="E6587" s="42"/>
      <c r="F6587" s="48" t="str">
        <f>IFERROR(__xludf.DUMMYFUNCTION("""COMPUTED_VALUE"""),"")</f>
        <v/>
      </c>
      <c r="G6587" s="42" t="str">
        <f>IFERROR(__xludf.DUMMYFUNCTION("""COMPUTED_VALUE"""),"BN JUAL BELI")</f>
        <v>BN JUAL BELI</v>
      </c>
      <c r="H6587" s="42">
        <f t="shared" si="1"/>
        <v>2860</v>
      </c>
    </row>
    <row r="6588" ht="22.5" customHeight="1">
      <c r="B6588" s="42" t="str">
        <f>IFERROR(__xludf.DUMMYFUNCTION("""COMPUTED_VALUE"""),"K/26/130825/1")</f>
        <v>K/26/130825/1</v>
      </c>
      <c r="C6588" s="42" t="str">
        <f>IFERROR(__xludf.DUMMYFUNCTION("""COMPUTED_VALUE"""),"M. 3077/ Keteguhan")</f>
        <v>M. 3077/ Keteguhan</v>
      </c>
      <c r="D6588" s="42" t="str">
        <f>IFERROR(__xludf.DUMMYFUNCTION("""COMPUTED_VALUE"""),"Berry")</f>
        <v>Berry</v>
      </c>
      <c r="E6588" s="42" t="str">
        <f>IFERROR(__xludf.DUMMYFUNCTION("""COMPUTED_VALUE"""),"DISERAHKAN")</f>
        <v>DISERAHKAN</v>
      </c>
      <c r="F6588" s="48">
        <f>IFERROR(__xludf.DUMMYFUNCTION("""COMPUTED_VALUE"""),45908.634031574074)</f>
        <v>45908.63403</v>
      </c>
      <c r="G6588" s="42" t="str">
        <f>IFERROR(__xludf.DUMMYFUNCTION("""COMPUTED_VALUE"""),"BN Waris")</f>
        <v>BN Waris</v>
      </c>
      <c r="H6588" s="42">
        <f t="shared" si="1"/>
        <v>2861</v>
      </c>
    </row>
    <row r="6589" ht="22.5" customHeight="1">
      <c r="B6589" s="42" t="str">
        <f>IFERROR(__xludf.DUMMYFUNCTION("""COMPUTED_VALUE"""),"K/26/130825/1")</f>
        <v>K/26/130825/1</v>
      </c>
      <c r="C6589" s="42" t="str">
        <f>IFERROR(__xludf.DUMMYFUNCTION("""COMPUTED_VALUE"""),"M. 3077/ Keteguhan")</f>
        <v>M. 3077/ Keteguhan</v>
      </c>
      <c r="D6589" s="42"/>
      <c r="E6589" s="42"/>
      <c r="F6589" s="48" t="str">
        <f>IFERROR(__xludf.DUMMYFUNCTION("""COMPUTED_VALUE"""),"")</f>
        <v/>
      </c>
      <c r="G6589" s="42" t="str">
        <f>IFERROR(__xludf.DUMMYFUNCTION("""COMPUTED_VALUE"""),"BN Waris")</f>
        <v>BN Waris</v>
      </c>
      <c r="H6589" s="42">
        <f t="shared" si="1"/>
        <v>2861</v>
      </c>
    </row>
    <row r="6590" ht="22.5" customHeight="1">
      <c r="B6590" s="42" t="str">
        <f>IFERROR(__xludf.DUMMYFUNCTION("""COMPUTED_VALUE"""),"L/27/130825/1")</f>
        <v>L/27/130825/1</v>
      </c>
      <c r="C6590" s="42" t="str">
        <f>IFERROR(__xludf.DUMMYFUNCTION("""COMPUTED_VALUE"""),"M. 4923/TANJUNG SENANG")</f>
        <v>M. 4923/TANJUNG SENANG</v>
      </c>
      <c r="D6590" s="42"/>
      <c r="E6590" s="42"/>
      <c r="F6590" s="48" t="str">
        <f>IFERROR(__xludf.DUMMYFUNCTION("""COMPUTED_VALUE"""),"")</f>
        <v/>
      </c>
      <c r="G6590" s="42" t="str">
        <f>IFERROR(__xludf.DUMMYFUNCTION("""COMPUTED_VALUE"""),"BN WARIS")</f>
        <v>BN WARIS</v>
      </c>
      <c r="H6590" s="42">
        <f t="shared" si="1"/>
        <v>2861</v>
      </c>
    </row>
    <row r="6591" ht="22.5" customHeight="1">
      <c r="B6591" s="42" t="str">
        <f>IFERROR(__xludf.DUMMYFUNCTION("""COMPUTED_VALUE"""),"K/28/130825/1")</f>
        <v>K/28/130825/1</v>
      </c>
      <c r="C6591" s="42" t="str">
        <f>IFERROR(__xludf.DUMMYFUNCTION("""COMPUTED_VALUE"""),"NIBEL. M 19301/ KALI BALAU KENCANA")</f>
        <v>NIBEL. M 19301/ KALI BALAU KENCANA</v>
      </c>
      <c r="D6591" s="42" t="str">
        <f>IFERROR(__xludf.DUMMYFUNCTION("""COMPUTED_VALUE"""),"Berry")</f>
        <v>Berry</v>
      </c>
      <c r="E6591" s="42" t="str">
        <f>IFERROR(__xludf.DUMMYFUNCTION("""COMPUTED_VALUE"""),"DISERAHKAN")</f>
        <v>DISERAHKAN</v>
      </c>
      <c r="F6591" s="48">
        <f>IFERROR(__xludf.DUMMYFUNCTION("""COMPUTED_VALUE"""),45915.58415377315)</f>
        <v>45915.58415</v>
      </c>
      <c r="G6591" s="42" t="str">
        <f>IFERROR(__xludf.DUMMYFUNCTION("""COMPUTED_VALUE"""),"BN JUAL BELI")</f>
        <v>BN JUAL BELI</v>
      </c>
      <c r="H6591" s="42">
        <f t="shared" si="1"/>
        <v>2862</v>
      </c>
    </row>
    <row r="6592" ht="22.5" customHeight="1">
      <c r="B6592" s="42" t="str">
        <f>IFERROR(__xludf.DUMMYFUNCTION("""COMPUTED_VALUE"""),"K/29/130825/1")</f>
        <v>K/29/130825/1</v>
      </c>
      <c r="C6592" s="42" t="str">
        <f>IFERROR(__xludf.DUMMYFUNCTION("""COMPUTED_VALUE"""),"M. 10448/Rajabasa")</f>
        <v>M. 10448/Rajabasa</v>
      </c>
      <c r="D6592" s="42"/>
      <c r="E6592" s="42"/>
      <c r="F6592" s="48" t="str">
        <f>IFERROR(__xludf.DUMMYFUNCTION("""COMPUTED_VALUE"""),"")</f>
        <v/>
      </c>
      <c r="G6592" s="42" t="str">
        <f>IFERROR(__xludf.DUMMYFUNCTION("""COMPUTED_VALUE"""),"Roya")</f>
        <v>Roya</v>
      </c>
      <c r="H6592" s="42">
        <f t="shared" si="1"/>
        <v>2862</v>
      </c>
    </row>
    <row r="6593" ht="22.5" customHeight="1">
      <c r="B6593" s="42" t="str">
        <f>IFERROR(__xludf.DUMMYFUNCTION("""COMPUTED_VALUE"""),"L/30/130825/1")</f>
        <v>L/30/130825/1</v>
      </c>
      <c r="C6593" s="42" t="str">
        <f>IFERROR(__xludf.DUMMYFUNCTION("""COMPUTED_VALUE"""),"B. 32/GUNUNG SULAH")</f>
        <v>B. 32/GUNUNG SULAH</v>
      </c>
      <c r="D6593" s="42" t="str">
        <f>IFERROR(__xludf.DUMMYFUNCTION("""COMPUTED_VALUE"""),"David")</f>
        <v>David</v>
      </c>
      <c r="E6593" s="42" t="str">
        <f>IFERROR(__xludf.DUMMYFUNCTION("""COMPUTED_VALUE"""),"DISERAHKAN")</f>
        <v>DISERAHKAN</v>
      </c>
      <c r="F6593" s="48">
        <f>IFERROR(__xludf.DUMMYFUNCTION("""COMPUTED_VALUE"""),45930.600979849536)</f>
        <v>45930.60098</v>
      </c>
      <c r="G6593" s="42" t="str">
        <f>IFERROR(__xludf.DUMMYFUNCTION("""COMPUTED_VALUE"""),"PERPANJANGAN HGB KONSTATASI")</f>
        <v>PERPANJANGAN HGB KONSTATASI</v>
      </c>
      <c r="H6593" s="42">
        <f t="shared" si="1"/>
        <v>2863</v>
      </c>
    </row>
    <row r="6594" ht="22.5" customHeight="1">
      <c r="B6594" s="42" t="str">
        <f>IFERROR(__xludf.DUMMYFUNCTION("""COMPUTED_VALUE"""),"K/17/130825/1")</f>
        <v>K/17/130825/1</v>
      </c>
      <c r="C6594" s="42" t="str">
        <f>IFERROR(__xludf.DUMMYFUNCTION("""COMPUTED_VALUE"""),"M. 13925/ TANJUNG BARU")</f>
        <v>M. 13925/ TANJUNG BARU</v>
      </c>
      <c r="D6594" s="42"/>
      <c r="E6594" s="42"/>
      <c r="F6594" s="48" t="str">
        <f>IFERROR(__xludf.DUMMYFUNCTION("""COMPUTED_VALUE"""),"")</f>
        <v/>
      </c>
      <c r="G6594" s="42" t="str">
        <f>IFERROR(__xludf.DUMMYFUNCTION("""COMPUTED_VALUE"""),"PENATAAN BATAS")</f>
        <v>PENATAAN BATAS</v>
      </c>
      <c r="H6594" s="42">
        <f t="shared" si="1"/>
        <v>2863</v>
      </c>
    </row>
    <row r="6595" ht="22.5" customHeight="1">
      <c r="B6595" s="42" t="str">
        <f>IFERROR(__xludf.DUMMYFUNCTION("""COMPUTED_VALUE"""),"L/31/130826/1")</f>
        <v>L/31/130826/1</v>
      </c>
      <c r="C6595" s="42" t="str">
        <f>IFERROR(__xludf.DUMMYFUNCTION("""COMPUTED_VALUE"""),"B NIB. 18153/PERUMNAS WAY KANDIS")</f>
        <v>B NIB. 18153/PERUMNAS WAY KANDIS</v>
      </c>
      <c r="D6595" s="42"/>
      <c r="E6595" s="42"/>
      <c r="F6595" s="48" t="str">
        <f>IFERROR(__xludf.DUMMYFUNCTION("""COMPUTED_VALUE"""),"")</f>
        <v/>
      </c>
      <c r="G6595" s="42" t="str">
        <f>IFERROR(__xludf.DUMMYFUNCTION("""COMPUTED_VALUE"""),"PENINGKATAN HAK")</f>
        <v>PENINGKATAN HAK</v>
      </c>
      <c r="H6595" s="42">
        <f t="shared" si="1"/>
        <v>2863</v>
      </c>
    </row>
    <row r="6596" ht="22.5" customHeight="1">
      <c r="B6596" s="42" t="str">
        <f>IFERROR(__xludf.DUMMYFUNCTION("""COMPUTED_VALUE"""),"K/32/130825/1")</f>
        <v>K/32/130825/1</v>
      </c>
      <c r="C6596" s="42" t="str">
        <f>IFERROR(__xludf.DUMMYFUNCTION("""COMPUTED_VALUE"""),"M. 1873/ RAJABASA NUNYAI")</f>
        <v>M. 1873/ RAJABASA NUNYAI</v>
      </c>
      <c r="D6596" s="42"/>
      <c r="E6596" s="42"/>
      <c r="F6596" s="48" t="str">
        <f>IFERROR(__xludf.DUMMYFUNCTION("""COMPUTED_VALUE"""),"")</f>
        <v/>
      </c>
      <c r="G6596" s="42" t="str">
        <f>IFERROR(__xludf.DUMMYFUNCTION("""COMPUTED_VALUE"""),"BN WARIS")</f>
        <v>BN WARIS</v>
      </c>
      <c r="H6596" s="42">
        <f t="shared" si="1"/>
        <v>2863</v>
      </c>
    </row>
    <row r="6597" ht="22.5" customHeight="1">
      <c r="B6597" s="42" t="str">
        <f>IFERROR(__xludf.DUMMYFUNCTION("""COMPUTED_VALUE"""),"K/33/130825/1")</f>
        <v>K/33/130825/1</v>
      </c>
      <c r="C6597" s="42" t="str">
        <f>IFERROR(__xludf.DUMMYFUNCTION("""COMPUTED_VALUE"""),"M. 353/Pesawahan")</f>
        <v>M. 353/Pesawahan</v>
      </c>
      <c r="D6597" s="42" t="str">
        <f>IFERROR(__xludf.DUMMYFUNCTION("""COMPUTED_VALUE"""),"Berry")</f>
        <v>Berry</v>
      </c>
      <c r="E6597" s="42" t="str">
        <f>IFERROR(__xludf.DUMMYFUNCTION("""COMPUTED_VALUE"""),"DISERAHKAN")</f>
        <v>DISERAHKAN</v>
      </c>
      <c r="F6597" s="48">
        <f>IFERROR(__xludf.DUMMYFUNCTION("""COMPUTED_VALUE"""),45908.634268622685)</f>
        <v>45908.63427</v>
      </c>
      <c r="G6597" s="42" t="str">
        <f>IFERROR(__xludf.DUMMYFUNCTION("""COMPUTED_VALUE"""),"BN Waris")</f>
        <v>BN Waris</v>
      </c>
      <c r="H6597" s="42">
        <f t="shared" si="1"/>
        <v>2864</v>
      </c>
    </row>
    <row r="6598" ht="22.5" customHeight="1">
      <c r="B6598" s="42" t="str">
        <f>IFERROR(__xludf.DUMMYFUNCTION("""COMPUTED_VALUE"""),"K/24/130825/1")</f>
        <v>K/24/130825/1</v>
      </c>
      <c r="C6598" s="42" t="str">
        <f>IFERROR(__xludf.DUMMYFUNCTION("""COMPUTED_VALUE"""),"M. 136/PERUMNAS WAY HALIM ")</f>
        <v>M. 136/PERUMNAS WAY HALIM </v>
      </c>
      <c r="D6598" s="42" t="str">
        <f>IFERROR(__xludf.DUMMYFUNCTION("""COMPUTED_VALUE"""),"David")</f>
        <v>David</v>
      </c>
      <c r="E6598" s="42" t="str">
        <f>IFERROR(__xludf.DUMMYFUNCTION("""COMPUTED_VALUE"""),"DISERAHKAN")</f>
        <v>DISERAHKAN</v>
      </c>
      <c r="F6598" s="48">
        <f>IFERROR(__xludf.DUMMYFUNCTION("""COMPUTED_VALUE"""),45957.49192407407)</f>
        <v>45957.49192</v>
      </c>
      <c r="G6598" s="42" t="str">
        <f>IFERROR(__xludf.DUMMYFUNCTION("""COMPUTED_VALUE"""),"BN WARIS")</f>
        <v>BN WARIS</v>
      </c>
      <c r="H6598" s="42">
        <f t="shared" si="1"/>
        <v>2865</v>
      </c>
    </row>
    <row r="6599" ht="22.5" customHeight="1">
      <c r="B6599" s="42" t="str">
        <f>IFERROR(__xludf.DUMMYFUNCTION("""COMPUTED_VALUE"""),"K/35/130825/1")</f>
        <v>K/35/130825/1</v>
      </c>
      <c r="C6599" s="42" t="str">
        <f>IFERROR(__xludf.DUMMYFUNCTION("""COMPUTED_VALUE"""),"M. 49/ PENENGAHAN RAYA")</f>
        <v>M. 49/ PENENGAHAN RAYA</v>
      </c>
      <c r="D6599" s="42"/>
      <c r="E6599" s="42"/>
      <c r="F6599" s="48" t="str">
        <f>IFERROR(__xludf.DUMMYFUNCTION("""COMPUTED_VALUE"""),"")</f>
        <v/>
      </c>
      <c r="G6599" s="42" t="str">
        <f>IFERROR(__xludf.DUMMYFUNCTION("""COMPUTED_VALUE"""),"HAPUS BPHTB")</f>
        <v>HAPUS BPHTB</v>
      </c>
      <c r="H6599" s="42">
        <f t="shared" si="1"/>
        <v>2865</v>
      </c>
    </row>
    <row r="6600" ht="22.5" customHeight="1">
      <c r="B6600" s="42" t="str">
        <f>IFERROR(__xludf.DUMMYFUNCTION("""COMPUTED_VALUE"""),"K/36/130825/1")</f>
        <v>K/36/130825/1</v>
      </c>
      <c r="C6600" s="42" t="str">
        <f>IFERROR(__xludf.DUMMYFUNCTION("""COMPUTED_VALUE"""),"M. 4342/Gunung Terang")</f>
        <v>M. 4342/Gunung Terang</v>
      </c>
      <c r="D6600" s="42"/>
      <c r="E6600" s="42"/>
      <c r="F6600" s="48" t="str">
        <f>IFERROR(__xludf.DUMMYFUNCTION("""COMPUTED_VALUE"""),"")</f>
        <v/>
      </c>
      <c r="G6600" s="42" t="str">
        <f>IFERROR(__xludf.DUMMYFUNCTION("""COMPUTED_VALUE"""),"PTPGT")</f>
        <v>PTPGT</v>
      </c>
      <c r="H6600" s="42">
        <f t="shared" si="1"/>
        <v>2865</v>
      </c>
    </row>
    <row r="6601" ht="22.5" customHeight="1">
      <c r="B6601" s="42" t="str">
        <f>IFERROR(__xludf.DUMMYFUNCTION("""COMPUTED_VALUE"""),"K/18/130825/2")</f>
        <v>K/18/130825/2</v>
      </c>
      <c r="C6601" s="42" t="str">
        <f>IFERROR(__xludf.DUMMYFUNCTION("""COMPUTED_VALUE"""),"M. 13928/ TANJUNG BARU")</f>
        <v>M. 13928/ TANJUNG BARU</v>
      </c>
      <c r="D6601" s="42"/>
      <c r="E6601" s="42"/>
      <c r="F6601" s="48" t="str">
        <f>IFERROR(__xludf.DUMMYFUNCTION("""COMPUTED_VALUE"""),"")</f>
        <v/>
      </c>
      <c r="G6601" s="42" t="str">
        <f>IFERROR(__xludf.DUMMYFUNCTION("""COMPUTED_VALUE"""),"PENATAAN BATAS")</f>
        <v>PENATAAN BATAS</v>
      </c>
      <c r="H6601" s="42">
        <f t="shared" si="1"/>
        <v>2865</v>
      </c>
    </row>
    <row r="6602" ht="22.5" customHeight="1">
      <c r="B6602" s="42" t="str">
        <f>IFERROR(__xludf.DUMMYFUNCTION("""COMPUTED_VALUE"""),"K/20/130825/4")</f>
        <v>K/20/130825/4</v>
      </c>
      <c r="C6602" s="42" t="str">
        <f>IFERROR(__xludf.DUMMYFUNCTION("""COMPUTED_VALUE"""),"M. 13924/ TANJUNG BARU")</f>
        <v>M. 13924/ TANJUNG BARU</v>
      </c>
      <c r="D6602" s="42" t="str">
        <f>IFERROR(__xludf.DUMMYFUNCTION("""COMPUTED_VALUE"""),"Berry")</f>
        <v>Berry</v>
      </c>
      <c r="E6602" s="42" t="str">
        <f>IFERROR(__xludf.DUMMYFUNCTION("""COMPUTED_VALUE"""),"DISERAHKAN")</f>
        <v>DISERAHKAN</v>
      </c>
      <c r="F6602" s="48">
        <f>IFERROR(__xludf.DUMMYFUNCTION("""COMPUTED_VALUE"""),45971.43437498843)</f>
        <v>45971.43437</v>
      </c>
      <c r="G6602" s="42" t="str">
        <f>IFERROR(__xludf.DUMMYFUNCTION("""COMPUTED_VALUE"""),"PENATAAN BATAS")</f>
        <v>PENATAAN BATAS</v>
      </c>
      <c r="H6602" s="42">
        <f t="shared" si="1"/>
        <v>2866</v>
      </c>
    </row>
    <row r="6603" ht="22.5" customHeight="1">
      <c r="B6603" s="42" t="str">
        <f>IFERROR(__xludf.DUMMYFUNCTION("""COMPUTED_VALUE"""),"K/21/130825/5")</f>
        <v>K/21/130825/5</v>
      </c>
      <c r="C6603" s="42" t="str">
        <f>IFERROR(__xludf.DUMMYFUNCTION("""COMPUTED_VALUE"""),"M. 13919/ TANJUNG BARU")</f>
        <v>M. 13919/ TANJUNG BARU</v>
      </c>
      <c r="D6603" s="42"/>
      <c r="E6603" s="42"/>
      <c r="F6603" s="48" t="str">
        <f>IFERROR(__xludf.DUMMYFUNCTION("""COMPUTED_VALUE"""),"")</f>
        <v/>
      </c>
      <c r="G6603" s="42" t="str">
        <f>IFERROR(__xludf.DUMMYFUNCTION("""COMPUTED_VALUE"""),"PENATAAN BATAS")</f>
        <v>PENATAAN BATAS</v>
      </c>
      <c r="H6603" s="42">
        <f t="shared" si="1"/>
        <v>2866</v>
      </c>
    </row>
    <row r="6604" ht="22.5" customHeight="1">
      <c r="B6604" s="42" t="str">
        <f>IFERROR(__xludf.DUMMYFUNCTION("""COMPUTED_VALUE"""),"K/19/130825/3")</f>
        <v>K/19/130825/3</v>
      </c>
      <c r="C6604" s="42" t="str">
        <f>IFERROR(__xludf.DUMMYFUNCTION("""COMPUTED_VALUE"""),"M. 13923/ TANJUNG BARU")</f>
        <v>M. 13923/ TANJUNG BARU</v>
      </c>
      <c r="D6604" s="42" t="str">
        <f>IFERROR(__xludf.DUMMYFUNCTION("""COMPUTED_VALUE"""),"Berry")</f>
        <v>Berry</v>
      </c>
      <c r="E6604" s="42" t="str">
        <f>IFERROR(__xludf.DUMMYFUNCTION("""COMPUTED_VALUE"""),"DISERAHKAN")</f>
        <v>DISERAHKAN</v>
      </c>
      <c r="F6604" s="48">
        <f>IFERROR(__xludf.DUMMYFUNCTION("""COMPUTED_VALUE"""),45971.43382615741)</f>
        <v>45971.43383</v>
      </c>
      <c r="G6604" s="42" t="str">
        <f>IFERROR(__xludf.DUMMYFUNCTION("""COMPUTED_VALUE"""),"PENATAAN BATAS")</f>
        <v>PENATAAN BATAS</v>
      </c>
      <c r="H6604" s="42">
        <f t="shared" si="1"/>
        <v>2867</v>
      </c>
    </row>
    <row r="6605" ht="22.5" customHeight="1">
      <c r="B6605" s="42" t="str">
        <f>IFERROR(__xludf.DUMMYFUNCTION("""COMPUTED_VALUE"""),"K/34/130825/1")</f>
        <v>K/34/130825/1</v>
      </c>
      <c r="C6605" s="42" t="str">
        <f>IFERROR(__xludf.DUMMYFUNCTION("""COMPUTED_VALUE"""),"NIBEL M. 3460/KORPRI RAYA")</f>
        <v>NIBEL M. 3460/KORPRI RAYA</v>
      </c>
      <c r="D6605" s="42"/>
      <c r="E6605" s="42"/>
      <c r="F6605" s="48" t="str">
        <f>IFERROR(__xludf.DUMMYFUNCTION("""COMPUTED_VALUE"""),"")</f>
        <v/>
      </c>
      <c r="G6605" s="42" t="str">
        <f>IFERROR(__xludf.DUMMYFUNCTION("""COMPUTED_VALUE"""),"BN JUAL BELI")</f>
        <v>BN JUAL BELI</v>
      </c>
      <c r="H6605" s="42">
        <f t="shared" si="1"/>
        <v>2867</v>
      </c>
    </row>
    <row r="6606" ht="22.5" customHeight="1">
      <c r="B6606" s="42" t="str">
        <f>IFERROR(__xludf.DUMMYFUNCTION("""COMPUTED_VALUE"""),"K/1/140825/1")</f>
        <v>K/1/140825/1</v>
      </c>
      <c r="C6606" s="42" t="str">
        <f>IFERROR(__xludf.DUMMYFUNCTION("""COMPUTED_VALUE"""),"M. 217/Sukajawa Baru")</f>
        <v>M. 217/Sukajawa Baru</v>
      </c>
      <c r="D6606" s="42"/>
      <c r="E6606" s="42"/>
      <c r="F6606" s="48" t="str">
        <f>IFERROR(__xludf.DUMMYFUNCTION("""COMPUTED_VALUE"""),"")</f>
        <v/>
      </c>
      <c r="G6606" s="42" t="str">
        <f>IFERROR(__xludf.DUMMYFUNCTION("""COMPUTED_VALUE"""),"BN Jual Beli")</f>
        <v>BN Jual Beli</v>
      </c>
      <c r="H6606" s="42">
        <f t="shared" si="1"/>
        <v>2867</v>
      </c>
    </row>
    <row r="6607" ht="22.5" customHeight="1">
      <c r="B6607" s="42" t="str">
        <f>IFERROR(__xludf.DUMMYFUNCTION("""COMPUTED_VALUE"""),"K/2/140825/1")</f>
        <v>K/2/140825/1</v>
      </c>
      <c r="C6607" s="42" t="str">
        <f>IFERROR(__xludf.DUMMYFUNCTION("""COMPUTED_VALUE"""),"NIBEL. M 16442/ GEDONG MENENG")</f>
        <v>NIBEL. M 16442/ GEDONG MENENG</v>
      </c>
      <c r="D6607" s="42"/>
      <c r="E6607" s="42"/>
      <c r="F6607" s="48" t="str">
        <f>IFERROR(__xludf.DUMMYFUNCTION("""COMPUTED_VALUE"""),"")</f>
        <v/>
      </c>
      <c r="G6607" s="42" t="str">
        <f>IFERROR(__xludf.DUMMYFUNCTION("""COMPUTED_VALUE"""),"SKPT INFORMASI")</f>
        <v>SKPT INFORMASI</v>
      </c>
      <c r="H6607" s="42">
        <f t="shared" si="1"/>
        <v>2867</v>
      </c>
    </row>
    <row r="6608" ht="22.5" customHeight="1">
      <c r="B6608" s="42" t="str">
        <f>IFERROR(__xludf.DUMMYFUNCTION("""COMPUTED_VALUE"""),"K/3/140825/1")</f>
        <v>K/3/140825/1</v>
      </c>
      <c r="C6608" s="42" t="str">
        <f>IFERROR(__xludf.DUMMYFUNCTION("""COMPUTED_VALUE"""),"M. 3595/Sukadanaham")</f>
        <v>M. 3595/Sukadanaham</v>
      </c>
      <c r="D6608" s="42"/>
      <c r="E6608" s="42"/>
      <c r="F6608" s="48" t="str">
        <f>IFERROR(__xludf.DUMMYFUNCTION("""COMPUTED_VALUE"""),"")</f>
        <v/>
      </c>
      <c r="G6608" s="42" t="str">
        <f>IFERROR(__xludf.DUMMYFUNCTION("""COMPUTED_VALUE"""),"BN Jual Beli")</f>
        <v>BN Jual Beli</v>
      </c>
      <c r="H6608" s="42">
        <f t="shared" si="1"/>
        <v>2867</v>
      </c>
    </row>
    <row r="6609" ht="22.5" customHeight="1">
      <c r="B6609" s="42" t="str">
        <f>IFERROR(__xludf.DUMMYFUNCTION("""COMPUTED_VALUE"""),"K/4/140825/1")</f>
        <v>K/4/140825/1</v>
      </c>
      <c r="C6609" s="42" t="str">
        <f>IFERROR(__xludf.DUMMYFUNCTION("""COMPUTED_VALUE"""),"M. 3790/Sukadana Ham")</f>
        <v>M. 3790/Sukadana Ham</v>
      </c>
      <c r="D6609" s="42"/>
      <c r="E6609" s="42"/>
      <c r="F6609" s="48" t="str">
        <f>IFERROR(__xludf.DUMMYFUNCTION("""COMPUTED_VALUE"""),"")</f>
        <v/>
      </c>
      <c r="G6609" s="42" t="str">
        <f>IFERROR(__xludf.DUMMYFUNCTION("""COMPUTED_VALUE"""),"Hapus BPHTB")</f>
        <v>Hapus BPHTB</v>
      </c>
      <c r="H6609" s="42">
        <f t="shared" si="1"/>
        <v>2867</v>
      </c>
    </row>
    <row r="6610" ht="22.5" customHeight="1">
      <c r="B6610" s="42" t="str">
        <f>IFERROR(__xludf.DUMMYFUNCTION("""COMPUTED_VALUE"""),"K/5/140825/1")</f>
        <v>K/5/140825/1</v>
      </c>
      <c r="C6610" s="42" t="str">
        <f>IFERROR(__xludf.DUMMYFUNCTION("""COMPUTED_VALUE"""),"M. 4343/ GUNUNG TERANG")</f>
        <v>M. 4343/ GUNUNG TERANG</v>
      </c>
      <c r="D6610" s="42"/>
      <c r="E6610" s="42"/>
      <c r="F6610" s="48" t="str">
        <f>IFERROR(__xludf.DUMMYFUNCTION("""COMPUTED_VALUE"""),"")</f>
        <v/>
      </c>
      <c r="G6610" s="42" t="str">
        <f>IFERROR(__xludf.DUMMYFUNCTION("""COMPUTED_VALUE"""),"PTPGT")</f>
        <v>PTPGT</v>
      </c>
      <c r="H6610" s="42">
        <f t="shared" si="1"/>
        <v>2867</v>
      </c>
    </row>
    <row r="6611" ht="22.5" customHeight="1">
      <c r="B6611" s="42" t="str">
        <f>IFERROR(__xludf.DUMMYFUNCTION("""COMPUTED_VALUE"""),"K/6/140825/1")</f>
        <v>K/6/140825/1</v>
      </c>
      <c r="C6611" s="42" t="str">
        <f>IFERROR(__xludf.DUMMYFUNCTION("""COMPUTED_VALUE"""),"M. 203/ KEDAUNG")</f>
        <v>M. 203/ KEDAUNG</v>
      </c>
      <c r="D6611" s="42"/>
      <c r="E6611" s="42"/>
      <c r="F6611" s="48" t="str">
        <f>IFERROR(__xludf.DUMMYFUNCTION("""COMPUTED_VALUE"""),"")</f>
        <v/>
      </c>
      <c r="G6611" s="42" t="str">
        <f>IFERROR(__xludf.DUMMYFUNCTION("""COMPUTED_VALUE"""),"PTPGT PEMECAHAN")</f>
        <v>PTPGT PEMECAHAN</v>
      </c>
      <c r="H6611" s="42">
        <f t="shared" si="1"/>
        <v>2867</v>
      </c>
    </row>
    <row r="6612" ht="22.5" customHeight="1">
      <c r="B6612" s="42" t="str">
        <f>IFERROR(__xludf.DUMMYFUNCTION("""COMPUTED_VALUE"""),"K/8/140825/1")</f>
        <v>K/8/140825/1</v>
      </c>
      <c r="C6612" s="42" t="str">
        <f>IFERROR(__xludf.DUMMYFUNCTION("""COMPUTED_VALUE"""),"NIBEL. M 22544/ KEMILING RAYA")</f>
        <v>NIBEL. M 22544/ KEMILING RAYA</v>
      </c>
      <c r="D6612" s="42"/>
      <c r="E6612" s="42"/>
      <c r="F6612" s="48" t="str">
        <f>IFERROR(__xludf.DUMMYFUNCTION("""COMPUTED_VALUE"""),"")</f>
        <v/>
      </c>
      <c r="G6612" s="42" t="str">
        <f>IFERROR(__xludf.DUMMYFUNCTION("""COMPUTED_VALUE"""),"PTPGT PEMECAHAN")</f>
        <v>PTPGT PEMECAHAN</v>
      </c>
      <c r="H6612" s="42">
        <f t="shared" si="1"/>
        <v>2867</v>
      </c>
    </row>
    <row r="6613" ht="22.5" customHeight="1">
      <c r="B6613" s="42" t="str">
        <f>IFERROR(__xludf.DUMMYFUNCTION("""COMPUTED_VALUE"""),"K/7/140825/1")</f>
        <v>K/7/140825/1</v>
      </c>
      <c r="C6613" s="42" t="str">
        <f>IFERROR(__xludf.DUMMYFUNCTION("""COMPUTED_VALUE"""),"M. 4632/RAJABASA JAYA")</f>
        <v>M. 4632/RAJABASA JAYA</v>
      </c>
      <c r="D6613" s="42"/>
      <c r="E6613" s="42"/>
      <c r="F6613" s="48" t="str">
        <f>IFERROR(__xludf.DUMMYFUNCTION("""COMPUTED_VALUE"""),"")</f>
        <v/>
      </c>
      <c r="G6613" s="42" t="str">
        <f>IFERROR(__xludf.DUMMYFUNCTION("""COMPUTED_VALUE"""),"BN JUAL BELI ")</f>
        <v>BN JUAL BELI </v>
      </c>
      <c r="H6613" s="42">
        <f t="shared" si="1"/>
        <v>2867</v>
      </c>
    </row>
    <row r="6614" ht="22.5" customHeight="1">
      <c r="B6614" s="42" t="str">
        <f>IFERROR(__xludf.DUMMYFUNCTION("""COMPUTED_VALUE"""),"K/9/140825/1")</f>
        <v>K/9/140825/1</v>
      </c>
      <c r="C6614" s="42" t="str">
        <f>IFERROR(__xludf.DUMMYFUNCTION("""COMPUTED_VALUE"""),"M. 1730/Campang Jaya")</f>
        <v>M. 1730/Campang Jaya</v>
      </c>
      <c r="D6614" s="42" t="str">
        <f>IFERROR(__xludf.DUMMYFUNCTION("""COMPUTED_VALUE"""),"Berry")</f>
        <v>Berry</v>
      </c>
      <c r="E6614" s="42" t="str">
        <f>IFERROR(__xludf.DUMMYFUNCTION("""COMPUTED_VALUE"""),"DISERAHKAN")</f>
        <v>DISERAHKAN</v>
      </c>
      <c r="F6614" s="48">
        <f>IFERROR(__xludf.DUMMYFUNCTION("""COMPUTED_VALUE"""),45908.631912847224)</f>
        <v>45908.63191</v>
      </c>
      <c r="G6614" s="42" t="str">
        <f>IFERROR(__xludf.DUMMYFUNCTION("""COMPUTED_VALUE"""),"SKPT Lelang")</f>
        <v>SKPT Lelang</v>
      </c>
      <c r="H6614" s="42">
        <f t="shared" si="1"/>
        <v>2868</v>
      </c>
    </row>
    <row r="6615" ht="22.5" customHeight="1">
      <c r="B6615" s="42" t="str">
        <f>IFERROR(__xludf.DUMMYFUNCTION("""COMPUTED_VALUE"""),"K/10/140825/2")</f>
        <v>K/10/140825/2</v>
      </c>
      <c r="C6615" s="42" t="str">
        <f>IFERROR(__xludf.DUMMYFUNCTION("""COMPUTED_VALUE"""),"NIBEL B. 23499/BUMI KEDAMAIAN")</f>
        <v>NIBEL B. 23499/BUMI KEDAMAIAN</v>
      </c>
      <c r="D6615" s="42"/>
      <c r="E6615" s="42"/>
      <c r="F6615" s="48" t="str">
        <f>IFERROR(__xludf.DUMMYFUNCTION("""COMPUTED_VALUE"""),"")</f>
        <v/>
      </c>
      <c r="G6615" s="42" t="str">
        <f>IFERROR(__xludf.DUMMYFUNCTION("""COMPUTED_VALUE"""),"BN WARIS")</f>
        <v>BN WARIS</v>
      </c>
      <c r="H6615" s="42">
        <f t="shared" si="1"/>
        <v>2868</v>
      </c>
    </row>
    <row r="6616" ht="22.5" customHeight="1">
      <c r="B6616" s="42" t="str">
        <f>IFERROR(__xludf.DUMMYFUNCTION("""COMPUTED_VALUE"""),"K/11/140825/3")</f>
        <v>K/11/140825/3</v>
      </c>
      <c r="C6616" s="42" t="str">
        <f>IFERROR(__xludf.DUMMYFUNCTION("""COMPUTED_VALUE"""),"M.4631/RAJABASA JAYA")</f>
        <v>M.4631/RAJABASA JAYA</v>
      </c>
      <c r="D6616" s="42"/>
      <c r="E6616" s="42"/>
      <c r="F6616" s="48" t="str">
        <f>IFERROR(__xludf.DUMMYFUNCTION("""COMPUTED_VALUE"""),"")</f>
        <v/>
      </c>
      <c r="G6616" s="42" t="str">
        <f>IFERROR(__xludf.DUMMYFUNCTION("""COMPUTED_VALUE"""),"BN JUAL BELI")</f>
        <v>BN JUAL BELI</v>
      </c>
      <c r="H6616" s="42">
        <f t="shared" si="1"/>
        <v>2868</v>
      </c>
    </row>
    <row r="6617" ht="22.5" customHeight="1">
      <c r="B6617" s="42" t="str">
        <f>IFERROR(__xludf.DUMMYFUNCTION("""COMPUTED_VALUE"""),"K/12/140825/1")</f>
        <v>K/12/140825/1</v>
      </c>
      <c r="C6617" s="42" t="str">
        <f>IFERROR(__xludf.DUMMYFUNCTION("""COMPUTED_VALUE"""),"M. 840/Sumur Putri")</f>
        <v>M. 840/Sumur Putri</v>
      </c>
      <c r="D6617" s="42"/>
      <c r="E6617" s="42"/>
      <c r="F6617" s="48" t="str">
        <f>IFERROR(__xludf.DUMMYFUNCTION("""COMPUTED_VALUE"""),"")</f>
        <v/>
      </c>
      <c r="G6617" s="42" t="str">
        <f>IFERROR(__xludf.DUMMYFUNCTION("""COMPUTED_VALUE"""),"SKPT Lelang")</f>
        <v>SKPT Lelang</v>
      </c>
      <c r="H6617" s="42">
        <f t="shared" si="1"/>
        <v>2868</v>
      </c>
    </row>
    <row r="6618" ht="22.5" customHeight="1">
      <c r="B6618" s="42" t="str">
        <f>IFERROR(__xludf.DUMMYFUNCTION("""COMPUTED_VALUE"""),"K/13/140825/4")</f>
        <v>K/13/140825/4</v>
      </c>
      <c r="C6618" s="42" t="str">
        <f>IFERROR(__xludf.DUMMYFUNCTION("""COMPUTED_VALUE"""),"M. 3042/KUPANG TEBA")</f>
        <v>M. 3042/KUPANG TEBA</v>
      </c>
      <c r="D6618" s="42"/>
      <c r="E6618" s="42"/>
      <c r="F6618" s="48" t="str">
        <f>IFERROR(__xludf.DUMMYFUNCTION("""COMPUTED_VALUE"""),"")</f>
        <v/>
      </c>
      <c r="G6618" s="42" t="str">
        <f>IFERROR(__xludf.DUMMYFUNCTION("""COMPUTED_VALUE"""),"BN JUAL BELI")</f>
        <v>BN JUAL BELI</v>
      </c>
      <c r="H6618" s="42">
        <f t="shared" si="1"/>
        <v>2868</v>
      </c>
    </row>
    <row r="6619" ht="22.5" customHeight="1">
      <c r="B6619" s="42" t="str">
        <f>IFERROR(__xludf.DUMMYFUNCTION("""COMPUTED_VALUE"""),"K/14/140825/1")</f>
        <v>K/14/140825/1</v>
      </c>
      <c r="C6619" s="42" t="str">
        <f>IFERROR(__xludf.DUMMYFUNCTION("""COMPUTED_VALUE"""),"M. 411/Way Halim Permai")</f>
        <v>M. 411/Way Halim Permai</v>
      </c>
      <c r="D6619" s="42" t="str">
        <f>IFERROR(__xludf.DUMMYFUNCTION("""COMPUTED_VALUE"""),"Berry")</f>
        <v>Berry</v>
      </c>
      <c r="E6619" s="42" t="str">
        <f>IFERROR(__xludf.DUMMYFUNCTION("""COMPUTED_VALUE"""),"DISERAHKAN")</f>
        <v>DISERAHKAN</v>
      </c>
      <c r="F6619" s="48">
        <f>IFERROR(__xludf.DUMMYFUNCTION("""COMPUTED_VALUE"""),45908.63492726852)</f>
        <v>45908.63493</v>
      </c>
      <c r="G6619" s="42" t="str">
        <f>IFERROR(__xludf.DUMMYFUNCTION("""COMPUTED_VALUE"""),"Pelepasan Hak")</f>
        <v>Pelepasan Hak</v>
      </c>
      <c r="H6619" s="42">
        <f t="shared" si="1"/>
        <v>2869</v>
      </c>
    </row>
    <row r="6620" ht="22.5" customHeight="1">
      <c r="B6620" s="42" t="str">
        <f>IFERROR(__xludf.DUMMYFUNCTION("""COMPUTED_VALUE"""),"K/15/140825/1")</f>
        <v>K/15/140825/1</v>
      </c>
      <c r="C6620" s="42" t="str">
        <f>IFERROR(__xludf.DUMMYFUNCTION("""COMPUTED_VALUE"""),"NIBEL. B 16241/ SUMUR PUTRI")</f>
        <v>NIBEL. B 16241/ SUMUR PUTRI</v>
      </c>
      <c r="D6620" s="42"/>
      <c r="E6620" s="42"/>
      <c r="F6620" s="48" t="str">
        <f>IFERROR(__xludf.DUMMYFUNCTION("""COMPUTED_VALUE"""),"")</f>
        <v/>
      </c>
      <c r="G6620" s="42" t="str">
        <f>IFERROR(__xludf.DUMMYFUNCTION("""COMPUTED_VALUE"""),"PENINGKATAN HAK")</f>
        <v>PENINGKATAN HAK</v>
      </c>
      <c r="H6620" s="42">
        <f t="shared" si="1"/>
        <v>2869</v>
      </c>
    </row>
    <row r="6621" ht="22.5" customHeight="1">
      <c r="B6621" s="42" t="str">
        <f>IFERROR(__xludf.DUMMYFUNCTION("""COMPUTED_VALUE"""),"K/16/140825/2")</f>
        <v>K/16/140825/2</v>
      </c>
      <c r="C6621" s="42" t="str">
        <f>IFERROR(__xludf.DUMMYFUNCTION("""COMPUTED_VALUE"""),"NIBEL. B. 23215/ SUMUR PUTRI")</f>
        <v>NIBEL. B. 23215/ SUMUR PUTRI</v>
      </c>
      <c r="D6621" s="42"/>
      <c r="E6621" s="42"/>
      <c r="F6621" s="48" t="str">
        <f>IFERROR(__xludf.DUMMYFUNCTION("""COMPUTED_VALUE"""),"")</f>
        <v/>
      </c>
      <c r="G6621" s="42" t="str">
        <f>IFERROR(__xludf.DUMMYFUNCTION("""COMPUTED_VALUE"""),"PENINGKATAN HAK")</f>
        <v>PENINGKATAN HAK</v>
      </c>
      <c r="H6621" s="42">
        <f t="shared" si="1"/>
        <v>2869</v>
      </c>
    </row>
    <row r="6622" ht="22.5" customHeight="1">
      <c r="B6622" s="42" t="str">
        <f>IFERROR(__xludf.DUMMYFUNCTION("""COMPUTED_VALUE"""),"K/18/140825/1")</f>
        <v>K/18/140825/1</v>
      </c>
      <c r="C6622" s="42" t="str">
        <f>IFERROR(__xludf.DUMMYFUNCTION("""COMPUTED_VALUE"""),"M. 10217/ JAGABAYA II")</f>
        <v>M. 10217/ JAGABAYA II</v>
      </c>
      <c r="D6622" s="42"/>
      <c r="E6622" s="42"/>
      <c r="F6622" s="48" t="str">
        <f>IFERROR(__xludf.DUMMYFUNCTION("""COMPUTED_VALUE"""),"")</f>
        <v/>
      </c>
      <c r="G6622" s="42" t="str">
        <f>IFERROR(__xludf.DUMMYFUNCTION("""COMPUTED_VALUE"""),"ROYA")</f>
        <v>ROYA</v>
      </c>
      <c r="H6622" s="42">
        <f t="shared" si="1"/>
        <v>2869</v>
      </c>
    </row>
    <row r="6623" ht="22.5" customHeight="1">
      <c r="B6623" s="42" t="str">
        <f>IFERROR(__xludf.DUMMYFUNCTION("""COMPUTED_VALUE"""),"K/19/140825/1")</f>
        <v>K/19/140825/1</v>
      </c>
      <c r="C6623" s="42" t="str">
        <f>IFERROR(__xludf.DUMMYFUNCTION("""COMPUTED_VALUE"""),"M. 9643/KEDATON")</f>
        <v>M. 9643/KEDATON</v>
      </c>
      <c r="D6623" s="42" t="str">
        <f>IFERROR(__xludf.DUMMYFUNCTION("""COMPUTED_VALUE"""),"David")</f>
        <v>David</v>
      </c>
      <c r="E6623" s="42" t="str">
        <f>IFERROR(__xludf.DUMMYFUNCTION("""COMPUTED_VALUE"""),"DISERAHKAN")</f>
        <v>DISERAHKAN</v>
      </c>
      <c r="F6623" s="48">
        <f>IFERROR(__xludf.DUMMYFUNCTION("""COMPUTED_VALUE"""),45930.60136107639)</f>
        <v>45930.60136</v>
      </c>
      <c r="G6623" s="42" t="str">
        <f>IFERROR(__xludf.DUMMYFUNCTION("""COMPUTED_VALUE"""),"ROYA LELANG")</f>
        <v>ROYA LELANG</v>
      </c>
      <c r="H6623" s="42">
        <f t="shared" si="1"/>
        <v>2870</v>
      </c>
    </row>
    <row r="6624" ht="22.5" customHeight="1">
      <c r="B6624" s="42" t="str">
        <f>IFERROR(__xludf.DUMMYFUNCTION("""COMPUTED_VALUE"""),"K/20/140825/1")</f>
        <v>K/20/140825/1</v>
      </c>
      <c r="C6624" s="42" t="str">
        <f>IFERROR(__xludf.DUMMYFUNCTION("""COMPUTED_VALUE"""),"NIBEL. B. 407/ KEMILING PERMAI")</f>
        <v>NIBEL. B. 407/ KEMILING PERMAI</v>
      </c>
      <c r="D6624" s="42" t="str">
        <f>IFERROR(__xludf.DUMMYFUNCTION("""COMPUTED_VALUE"""),"David")</f>
        <v>David</v>
      </c>
      <c r="E6624" s="42" t="str">
        <f>IFERROR(__xludf.DUMMYFUNCTION("""COMPUTED_VALUE"""),"DISERAHKAN")</f>
        <v>DISERAHKAN</v>
      </c>
      <c r="F6624" s="48">
        <f>IFERROR(__xludf.DUMMYFUNCTION("""COMPUTED_VALUE"""),45930.60061982639)</f>
        <v>45930.60062</v>
      </c>
      <c r="G6624" s="42" t="str">
        <f>IFERROR(__xludf.DUMMYFUNCTION("""COMPUTED_VALUE"""),"PENINGKATAN HAK")</f>
        <v>PENINGKATAN HAK</v>
      </c>
      <c r="H6624" s="42">
        <f t="shared" si="1"/>
        <v>2871</v>
      </c>
    </row>
    <row r="6625" ht="22.5" customHeight="1">
      <c r="B6625" s="42" t="str">
        <f>IFERROR(__xludf.DUMMYFUNCTION("""COMPUTED_VALUE"""),"K/21/140825/1")</f>
        <v>K/21/140825/1</v>
      </c>
      <c r="C6625" s="42" t="str">
        <f>IFERROR(__xludf.DUMMYFUNCTION("""COMPUTED_VALUE"""),"B. 1377/NOG")</f>
        <v>B. 1377/NOG</v>
      </c>
      <c r="D6625" s="42"/>
      <c r="E6625" s="42"/>
      <c r="F6625" s="48" t="str">
        <f>IFERROR(__xludf.DUMMYFUNCTION("""COMPUTED_VALUE"""),"")</f>
        <v/>
      </c>
      <c r="G6625" s="42" t="str">
        <f>IFERROR(__xludf.DUMMYFUNCTION("""COMPUTED_VALUE"""),"BN JUAL BELI EL")</f>
        <v>BN JUAL BELI EL</v>
      </c>
      <c r="H6625" s="42">
        <f t="shared" si="1"/>
        <v>2871</v>
      </c>
    </row>
    <row r="6626" ht="22.5" customHeight="1">
      <c r="B6626" s="42" t="str">
        <f>IFERROR(__xludf.DUMMYFUNCTION("""COMPUTED_VALUE"""),"K/22/140825/2")</f>
        <v>K/22/140825/2</v>
      </c>
      <c r="C6626" s="42" t="str">
        <f>IFERROR(__xludf.DUMMYFUNCTION("""COMPUTED_VALUE"""),"B. 1326/NOG")</f>
        <v>B. 1326/NOG</v>
      </c>
      <c r="D6626" s="42"/>
      <c r="E6626" s="42"/>
      <c r="F6626" s="48" t="str">
        <f>IFERROR(__xludf.DUMMYFUNCTION("""COMPUTED_VALUE"""),"")</f>
        <v/>
      </c>
      <c r="G6626" s="42" t="str">
        <f>IFERROR(__xludf.DUMMYFUNCTION("""COMPUTED_VALUE"""),"BN JUAL BELI EL")</f>
        <v>BN JUAL BELI EL</v>
      </c>
      <c r="H6626" s="42">
        <f t="shared" si="1"/>
        <v>2871</v>
      </c>
    </row>
    <row r="6627" ht="22.5" customHeight="1">
      <c r="B6627" s="42" t="str">
        <f>IFERROR(__xludf.DUMMYFUNCTION("""COMPUTED_VALUE"""),"L/17/140825/1")</f>
        <v>L/17/140825/1</v>
      </c>
      <c r="C6627" s="42" t="str">
        <f>IFERROR(__xludf.DUMMYFUNCTION("""COMPUTED_VALUE"""),"M. 1348/SRENGSEM")</f>
        <v>M. 1348/SRENGSEM</v>
      </c>
      <c r="D6627" s="42" t="str">
        <f>IFERROR(__xludf.DUMMYFUNCTION("""COMPUTED_VALUE"""),"Berry")</f>
        <v>Berry</v>
      </c>
      <c r="E6627" s="42" t="str">
        <f>IFERROR(__xludf.DUMMYFUNCTION("""COMPUTED_VALUE"""),"DISERAHKAN")</f>
        <v>DISERAHKAN</v>
      </c>
      <c r="F6627" s="48">
        <f>IFERROR(__xludf.DUMMYFUNCTION("""COMPUTED_VALUE"""),45908.63181622685)</f>
        <v>45908.63182</v>
      </c>
      <c r="G6627" s="42" t="str">
        <f>IFERROR(__xludf.DUMMYFUNCTION("""COMPUTED_VALUE"""),"ROYA")</f>
        <v>ROYA</v>
      </c>
      <c r="H6627" s="42">
        <f t="shared" si="1"/>
        <v>2872</v>
      </c>
    </row>
    <row r="6628" ht="22.5" customHeight="1">
      <c r="B6628" s="42" t="str">
        <f>IFERROR(__xludf.DUMMYFUNCTION("""COMPUTED_VALUE"""),"L/7/080825/2")</f>
        <v>L/7/080825/2</v>
      </c>
      <c r="C6628" s="42" t="str">
        <f>IFERROR(__xludf.DUMMYFUNCTION("""COMPUTED_VALUE"""),"M. 12263/SUKABUMI")</f>
        <v>M. 12263/SUKABUMI</v>
      </c>
      <c r="D6628" s="42"/>
      <c r="E6628" s="42"/>
      <c r="F6628" s="48" t="str">
        <f>IFERROR(__xludf.DUMMYFUNCTION("""COMPUTED_VALUE"""),"")</f>
        <v/>
      </c>
      <c r="G6628" s="42" t="str">
        <f>IFERROR(__xludf.DUMMYFUNCTION("""COMPUTED_VALUE"""),"ROYA")</f>
        <v>ROYA</v>
      </c>
      <c r="H6628" s="42">
        <f t="shared" si="1"/>
        <v>2872</v>
      </c>
    </row>
    <row r="6629" ht="22.5" customHeight="1">
      <c r="B6629" s="42" t="str">
        <f>IFERROR(__xludf.DUMMYFUNCTION("""COMPUTED_VALUE"""),"K/23/140825/1")</f>
        <v>K/23/140825/1</v>
      </c>
      <c r="C6629" s="42" t="str">
        <f>IFERROR(__xludf.DUMMYFUNCTION("""COMPUTED_VALUE"""),"PBT 128/ 2025/ KEMILING RAYA")</f>
        <v>PBT 128/ 2025/ KEMILING RAYA</v>
      </c>
      <c r="D6629" s="42" t="str">
        <f>IFERROR(__xludf.DUMMYFUNCTION("""COMPUTED_VALUE"""),"David")</f>
        <v>David</v>
      </c>
      <c r="E6629" s="42" t="str">
        <f>IFERROR(__xludf.DUMMYFUNCTION("""COMPUTED_VALUE"""),"DISERAHKAN")</f>
        <v>DISERAHKAN</v>
      </c>
      <c r="F6629" s="48">
        <f>IFERROR(__xludf.DUMMYFUNCTION("""COMPUTED_VALUE"""),45908.627723240745)</f>
        <v>45908.62772</v>
      </c>
      <c r="G6629" s="42" t="str">
        <f>IFERROR(__xludf.DUMMYFUNCTION("""COMPUTED_VALUE"""),"PTPGT TAMEN")</f>
        <v>PTPGT TAMEN</v>
      </c>
      <c r="H6629" s="42">
        <f t="shared" si="1"/>
        <v>2873</v>
      </c>
    </row>
    <row r="6630" ht="22.5" customHeight="1">
      <c r="B6630" s="42" t="str">
        <f>IFERROR(__xludf.DUMMYFUNCTION("""COMPUTED_VALUE"""),"K/24/140825/1")</f>
        <v>K/24/140825/1</v>
      </c>
      <c r="C6630" s="42" t="str">
        <f>IFERROR(__xludf.DUMMYFUNCTION("""COMPUTED_VALUE"""),"M. 1226/Perumnas Way Kandis")</f>
        <v>M. 1226/Perumnas Way Kandis</v>
      </c>
      <c r="D6630" s="42"/>
      <c r="E6630" s="42"/>
      <c r="F6630" s="48" t="str">
        <f>IFERROR(__xludf.DUMMYFUNCTION("""COMPUTED_VALUE"""),"")</f>
        <v/>
      </c>
      <c r="G6630" s="42" t="str">
        <f>IFERROR(__xludf.DUMMYFUNCTION("""COMPUTED_VALUE"""),"BN Waris")</f>
        <v>BN Waris</v>
      </c>
      <c r="H6630" s="42">
        <f t="shared" si="1"/>
        <v>2873</v>
      </c>
    </row>
    <row r="6631" ht="22.5" customHeight="1">
      <c r="B6631" s="42" t="str">
        <f>IFERROR(__xludf.DUMMYFUNCTION("""COMPUTED_VALUE"""),"K/25/140825/1")</f>
        <v>K/25/140825/1</v>
      </c>
      <c r="C6631" s="42" t="str">
        <f>IFERROR(__xludf.DUMMYFUNCTION("""COMPUTED_VALUE"""),"M. 1874/Rajabasa Nunyai")</f>
        <v>M. 1874/Rajabasa Nunyai</v>
      </c>
      <c r="D6631" s="42" t="str">
        <f>IFERROR(__xludf.DUMMYFUNCTION("""COMPUTED_VALUE"""),"Berry")</f>
        <v>Berry</v>
      </c>
      <c r="E6631" s="42" t="str">
        <f>IFERROR(__xludf.DUMMYFUNCTION("""COMPUTED_VALUE"""),"DISERAHKAN")</f>
        <v>DISERAHKAN</v>
      </c>
      <c r="F6631" s="48">
        <f>IFERROR(__xludf.DUMMYFUNCTION("""COMPUTED_VALUE"""),45912.53214105324)</f>
        <v>45912.53214</v>
      </c>
      <c r="G6631" s="42" t="str">
        <f>IFERROR(__xludf.DUMMYFUNCTION("""COMPUTED_VALUE"""),"BN Waris")</f>
        <v>BN Waris</v>
      </c>
      <c r="H6631" s="42">
        <f t="shared" si="1"/>
        <v>2874</v>
      </c>
    </row>
    <row r="6632" ht="22.5" customHeight="1">
      <c r="B6632" s="42" t="str">
        <f>IFERROR(__xludf.DUMMYFUNCTION("""COMPUTED_VALUE"""),"K/26/140825/2")</f>
        <v>K/26/140825/2</v>
      </c>
      <c r="C6632" s="42" t="str">
        <f>IFERROR(__xludf.DUMMYFUNCTION("""COMPUTED_VALUE"""),"M. 9043/Sukamenanti")</f>
        <v>M. 9043/Sukamenanti</v>
      </c>
      <c r="D6632" s="42" t="str">
        <f>IFERROR(__xludf.DUMMYFUNCTION("""COMPUTED_VALUE"""),"David")</f>
        <v>David</v>
      </c>
      <c r="E6632" s="42" t="str">
        <f>IFERROR(__xludf.DUMMYFUNCTION("""COMPUTED_VALUE"""),"DISERAHKAN")</f>
        <v>DISERAHKAN</v>
      </c>
      <c r="F6632" s="48">
        <f>IFERROR(__xludf.DUMMYFUNCTION("""COMPUTED_VALUE"""),45902.63344859953)</f>
        <v>45902.63345</v>
      </c>
      <c r="G6632" s="42" t="str">
        <f>IFERROR(__xludf.DUMMYFUNCTION("""COMPUTED_VALUE"""),"BN Wakif")</f>
        <v>BN Wakif</v>
      </c>
      <c r="H6632" s="42">
        <f t="shared" si="1"/>
        <v>2875</v>
      </c>
    </row>
    <row r="6633" ht="22.5" customHeight="1">
      <c r="B6633" s="42" t="str">
        <f>IFERROR(__xludf.DUMMYFUNCTION("""COMPUTED_VALUE"""),"K/28/140825/1")</f>
        <v>K/28/140825/1</v>
      </c>
      <c r="C6633" s="42" t="str">
        <f>IFERROR(__xludf.DUMMYFUNCTION("""COMPUTED_VALUE"""),"M. 365/ NOG")</f>
        <v>M. 365/ NOG</v>
      </c>
      <c r="D6633" s="42"/>
      <c r="E6633" s="42"/>
      <c r="F6633" s="48" t="str">
        <f>IFERROR(__xludf.DUMMYFUNCTION("""COMPUTED_VALUE"""),"")</f>
        <v/>
      </c>
      <c r="G6633" s="42" t="str">
        <f>IFERROR(__xludf.DUMMYFUNCTION("""COMPUTED_VALUE"""),"PTPGT PEMECAHAN")</f>
        <v>PTPGT PEMECAHAN</v>
      </c>
      <c r="H6633" s="42">
        <f t="shared" si="1"/>
        <v>2875</v>
      </c>
    </row>
    <row r="6634" ht="22.5" customHeight="1">
      <c r="B6634" s="42" t="str">
        <f>IFERROR(__xludf.DUMMYFUNCTION("""COMPUTED_VALUE"""),"K/29/140825/1")</f>
        <v>K/29/140825/1</v>
      </c>
      <c r="C6634" s="42" t="str">
        <f>IFERROR(__xludf.DUMMYFUNCTION("""COMPUTED_VALUE"""),"M. 1853/ RAJABASA NUNYAI")</f>
        <v>M. 1853/ RAJABASA NUNYAI</v>
      </c>
      <c r="D6634" s="42"/>
      <c r="E6634" s="42"/>
      <c r="F6634" s="48" t="str">
        <f>IFERROR(__xludf.DUMMYFUNCTION("""COMPUTED_VALUE"""),"")</f>
        <v/>
      </c>
      <c r="G6634" s="42" t="str">
        <f>IFERROR(__xludf.DUMMYFUNCTION("""COMPUTED_VALUE"""),"BN WARIS")</f>
        <v>BN WARIS</v>
      </c>
      <c r="H6634" s="42">
        <f t="shared" si="1"/>
        <v>2875</v>
      </c>
    </row>
    <row r="6635" ht="22.5" customHeight="1">
      <c r="B6635" s="42" t="str">
        <f>IFERROR(__xludf.DUMMYFUNCTION("""COMPUTED_VALUE"""),"K/30/140825/2")</f>
        <v>K/30/140825/2</v>
      </c>
      <c r="C6635" s="42" t="str">
        <f>IFERROR(__xludf.DUMMYFUNCTION("""COMPUTED_VALUE"""),"M. 20/ PIDADA")</f>
        <v>M. 20/ PIDADA</v>
      </c>
      <c r="D6635" s="42" t="str">
        <f>IFERROR(__xludf.DUMMYFUNCTION("""COMPUTED_VALUE"""),"Berry")</f>
        <v>Berry</v>
      </c>
      <c r="E6635" s="42" t="str">
        <f>IFERROR(__xludf.DUMMYFUNCTION("""COMPUTED_VALUE"""),"DISERAHKAN")</f>
        <v>DISERAHKAN</v>
      </c>
      <c r="F6635" s="48">
        <f>IFERROR(__xludf.DUMMYFUNCTION("""COMPUTED_VALUE"""),45975.49201219907)</f>
        <v>45975.49201</v>
      </c>
      <c r="G6635" s="42" t="str">
        <f>IFERROR(__xludf.DUMMYFUNCTION("""COMPUTED_VALUE"""),"ROYA")</f>
        <v>ROYA</v>
      </c>
      <c r="H6635" s="42">
        <f t="shared" si="1"/>
        <v>2876</v>
      </c>
    </row>
    <row r="6636" ht="22.5" customHeight="1">
      <c r="B6636" s="42" t="str">
        <f>IFERROR(__xludf.DUMMYFUNCTION("""COMPUTED_VALUE"""),"L/31/140826/1")</f>
        <v>L/31/140826/1</v>
      </c>
      <c r="C6636" s="42" t="str">
        <f>IFERROR(__xludf.DUMMYFUNCTION("""COMPUTED_VALUE"""),"B. 2221/SUKABUMI")</f>
        <v>B. 2221/SUKABUMI</v>
      </c>
      <c r="D6636" s="42"/>
      <c r="E6636" s="42"/>
      <c r="F6636" s="48" t="str">
        <f>IFERROR(__xludf.DUMMYFUNCTION("""COMPUTED_VALUE"""),"")</f>
        <v/>
      </c>
      <c r="G6636" s="42" t="str">
        <f>IFERROR(__xludf.DUMMYFUNCTION("""COMPUTED_VALUE"""),"PENINGKATAN HAK")</f>
        <v>PENINGKATAN HAK</v>
      </c>
      <c r="H6636" s="42">
        <f t="shared" si="1"/>
        <v>2876</v>
      </c>
    </row>
    <row r="6637" ht="22.5" customHeight="1">
      <c r="B6637" s="42" t="str">
        <f>IFERROR(__xludf.DUMMYFUNCTION("""COMPUTED_VALUE"""),"K/33/140826/1")</f>
        <v>K/33/140826/1</v>
      </c>
      <c r="C6637" s="42" t="str">
        <f>IFERROR(__xludf.DUMMYFUNCTION("""COMPUTED_VALUE"""),"M. 889/ SUMBER AGUNG")</f>
        <v>M. 889/ SUMBER AGUNG</v>
      </c>
      <c r="D6637" s="42"/>
      <c r="E6637" s="42"/>
      <c r="F6637" s="48" t="str">
        <f>IFERROR(__xludf.DUMMYFUNCTION("""COMPUTED_VALUE"""),"")</f>
        <v/>
      </c>
      <c r="G6637" s="42" t="str">
        <f>IFERROR(__xludf.DUMMYFUNCTION("""COMPUTED_VALUE"""),"BN JUAL BELI")</f>
        <v>BN JUAL BELI</v>
      </c>
      <c r="H6637" s="42">
        <f t="shared" si="1"/>
        <v>2876</v>
      </c>
    </row>
    <row r="6638" ht="22.5" customHeight="1">
      <c r="B6638" s="42" t="str">
        <f>IFERROR(__xludf.DUMMYFUNCTION("""COMPUTED_VALUE"""),"K/27/140825/3")</f>
        <v>K/27/140825/3</v>
      </c>
      <c r="C6638" s="42" t="str">
        <f>IFERROR(__xludf.DUMMYFUNCTION("""COMPUTED_VALUE"""),"m. 78/Gunung Agung")</f>
        <v>m. 78/Gunung Agung</v>
      </c>
      <c r="D6638" s="42" t="str">
        <f>IFERROR(__xludf.DUMMYFUNCTION("""COMPUTED_VALUE"""),"Berry")</f>
        <v>Berry</v>
      </c>
      <c r="E6638" s="42" t="str">
        <f>IFERROR(__xludf.DUMMYFUNCTION("""COMPUTED_VALUE"""),"DISERAHKAN")</f>
        <v>DISERAHKAN</v>
      </c>
      <c r="F6638" s="48">
        <f>IFERROR(__xludf.DUMMYFUNCTION("""COMPUTED_VALUE"""),45908.63145642361)</f>
        <v>45908.63146</v>
      </c>
      <c r="G6638" s="42" t="str">
        <f>IFERROR(__xludf.DUMMYFUNCTION("""COMPUTED_VALUE"""),"Roya")</f>
        <v>Roya</v>
      </c>
      <c r="H6638" s="42">
        <f t="shared" si="1"/>
        <v>2877</v>
      </c>
    </row>
    <row r="6639" ht="22.5" customHeight="1">
      <c r="B6639" s="42" t="str">
        <f>IFERROR(__xludf.DUMMYFUNCTION("""COMPUTED_VALUE"""),"K/34/140826/1")</f>
        <v>K/34/140826/1</v>
      </c>
      <c r="C6639" s="42" t="str">
        <f>IFERROR(__xludf.DUMMYFUNCTION("""COMPUTED_VALUE"""),"M. 535/Sepang Jaya")</f>
        <v>M. 535/Sepang Jaya</v>
      </c>
      <c r="D6639" s="42" t="str">
        <f>IFERROR(__xludf.DUMMYFUNCTION("""COMPUTED_VALUE"""),"David")</f>
        <v>David</v>
      </c>
      <c r="E6639" s="42" t="str">
        <f>IFERROR(__xludf.DUMMYFUNCTION("""COMPUTED_VALUE"""),"DISERAHKAN")</f>
        <v>DISERAHKAN</v>
      </c>
      <c r="F6639" s="48">
        <f>IFERROR(__xludf.DUMMYFUNCTION("""COMPUTED_VALUE"""),45926.58368079861)</f>
        <v>45926.58368</v>
      </c>
      <c r="G6639" s="42" t="str">
        <f>IFERROR(__xludf.DUMMYFUNCTION("""COMPUTED_VALUE"""),"BN Waris")</f>
        <v>BN Waris</v>
      </c>
      <c r="H6639" s="42">
        <f t="shared" si="1"/>
        <v>2878</v>
      </c>
    </row>
    <row r="6640" ht="22.5" customHeight="1">
      <c r="B6640" s="42" t="str">
        <f>IFERROR(__xludf.DUMMYFUNCTION("""COMPUTED_VALUE"""),"K/32/140826/1")</f>
        <v>K/32/140826/1</v>
      </c>
      <c r="C6640" s="42" t="str">
        <f>IFERROR(__xludf.DUMMYFUNCTION("""COMPUTED_VALUE"""),"KEDAMAIAN")</f>
        <v>KEDAMAIAN</v>
      </c>
      <c r="D6640" s="42" t="str">
        <f>IFERROR(__xludf.DUMMYFUNCTION("""COMPUTED_VALUE"""),"Berry")</f>
        <v>Berry</v>
      </c>
      <c r="E6640" s="42" t="str">
        <f>IFERROR(__xludf.DUMMYFUNCTION("""COMPUTED_VALUE"""),"DISERAHKAN")</f>
        <v>DISERAHKAN</v>
      </c>
      <c r="F6640" s="48">
        <f>IFERROR(__xludf.DUMMYFUNCTION("""COMPUTED_VALUE"""),45908.633397384256)</f>
        <v>45908.6334</v>
      </c>
      <c r="G6640" s="42" t="str">
        <f>IFERROR(__xludf.DUMMYFUNCTION("""COMPUTED_VALUE"""),"PENGUKURAN PERTAMA KALI")</f>
        <v>PENGUKURAN PERTAMA KALI</v>
      </c>
      <c r="H6640" s="42">
        <f t="shared" si="1"/>
        <v>2879</v>
      </c>
    </row>
    <row r="6641" ht="22.5" customHeight="1">
      <c r="B6641" s="42" t="str">
        <f>IFERROR(__xludf.DUMMYFUNCTION("""COMPUTED_VALUE"""),"K/35/140826/1")</f>
        <v>K/35/140826/1</v>
      </c>
      <c r="C6641" s="42" t="str">
        <f>IFERROR(__xludf.DUMMYFUNCTION("""COMPUTED_VALUE"""),"NIBEL. M. 18535/ PINANG JAYA")</f>
        <v>NIBEL. M. 18535/ PINANG JAYA</v>
      </c>
      <c r="D6641" s="42"/>
      <c r="E6641" s="42"/>
      <c r="F6641" s="48" t="str">
        <f>IFERROR(__xludf.DUMMYFUNCTION("""COMPUTED_VALUE"""),"")</f>
        <v/>
      </c>
      <c r="G6641" s="42" t="str">
        <f>IFERROR(__xludf.DUMMYFUNCTION("""COMPUTED_VALUE"""),"BN WARIS")</f>
        <v>BN WARIS</v>
      </c>
      <c r="H6641" s="42">
        <f t="shared" si="1"/>
        <v>2879</v>
      </c>
    </row>
    <row r="6642" ht="22.5" customHeight="1">
      <c r="B6642" s="42" t="str">
        <f>IFERROR(__xludf.DUMMYFUNCTION("""COMPUTED_VALUE"""),"L/38/080826/1")</f>
        <v>L/38/080826/1</v>
      </c>
      <c r="C6642" s="42" t="str">
        <f>IFERROR(__xludf.DUMMYFUNCTION("""COMPUTED_VALUE"""),"B. 1021/CAMPANG RAYA")</f>
        <v>B. 1021/CAMPANG RAYA</v>
      </c>
      <c r="D6642" s="42"/>
      <c r="E6642" s="42"/>
      <c r="F6642" s="48" t="str">
        <f>IFERROR(__xludf.DUMMYFUNCTION("""COMPUTED_VALUE"""),"")</f>
        <v/>
      </c>
      <c r="G6642" s="42" t="str">
        <f>IFERROR(__xludf.DUMMYFUNCTION("""COMPUTED_VALUE"""),"ROYA")</f>
        <v>ROYA</v>
      </c>
      <c r="H6642" s="42">
        <f t="shared" si="1"/>
        <v>2879</v>
      </c>
    </row>
    <row r="6643" ht="22.5" customHeight="1">
      <c r="B6643" s="42" t="str">
        <f>IFERROR(__xludf.DUMMYFUNCTION("""COMPUTED_VALUE"""),"L/39/080625/1")</f>
        <v>L/39/080625/1</v>
      </c>
      <c r="C6643" s="42" t="str">
        <f>IFERROR(__xludf.DUMMYFUNCTION("""COMPUTED_VALUE"""),"B. 915/SUKARAME BARU")</f>
        <v>B. 915/SUKARAME BARU</v>
      </c>
      <c r="D6643" s="42"/>
      <c r="E6643" s="42"/>
      <c r="F6643" s="48" t="str">
        <f>IFERROR(__xludf.DUMMYFUNCTION("""COMPUTED_VALUE"""),"")</f>
        <v/>
      </c>
      <c r="G6643" s="42" t="str">
        <f>IFERROR(__xludf.DUMMYFUNCTION("""COMPUTED_VALUE"""),"PENINGKATAN HAK")</f>
        <v>PENINGKATAN HAK</v>
      </c>
      <c r="H6643" s="42">
        <f t="shared" si="1"/>
        <v>2879</v>
      </c>
    </row>
    <row r="6644" ht="22.5" customHeight="1">
      <c r="B6644" s="42" t="str">
        <f>IFERROR(__xludf.DUMMYFUNCTION("""COMPUTED_VALUE"""),"L/40/080625/1")</f>
        <v>L/40/080625/1</v>
      </c>
      <c r="C6644" s="42" t="str">
        <f>IFERROR(__xludf.DUMMYFUNCTION("""COMPUTED_VALUE"""),"B. 440/KALI BALAU KENCANA")</f>
        <v>B. 440/KALI BALAU KENCANA</v>
      </c>
      <c r="D6644" s="42"/>
      <c r="E6644" s="42"/>
      <c r="F6644" s="48" t="str">
        <f>IFERROR(__xludf.DUMMYFUNCTION("""COMPUTED_VALUE"""),"")</f>
        <v/>
      </c>
      <c r="G6644" s="42" t="str">
        <f>IFERROR(__xludf.DUMMYFUNCTION("""COMPUTED_VALUE"""),"PENINGKATAN HAK")</f>
        <v>PENINGKATAN HAK</v>
      </c>
      <c r="H6644" s="42">
        <f t="shared" si="1"/>
        <v>2879</v>
      </c>
    </row>
    <row r="6645" ht="22.5" customHeight="1">
      <c r="B6645" s="42" t="str">
        <f>IFERROR(__xludf.DUMMYFUNCTION("""COMPUTED_VALUE"""),"K/1/150825/1")</f>
        <v>K/1/150825/1</v>
      </c>
      <c r="C6645" s="42" t="str">
        <f>IFERROR(__xludf.DUMMYFUNCTION("""COMPUTED_VALUE"""),"M. 1139/ PENGAJARAN")</f>
        <v>M. 1139/ PENGAJARAN</v>
      </c>
      <c r="D6645" s="42"/>
      <c r="E6645" s="42"/>
      <c r="F6645" s="48" t="str">
        <f>IFERROR(__xludf.DUMMYFUNCTION("""COMPUTED_VALUE"""),"")</f>
        <v/>
      </c>
      <c r="G6645" s="42" t="str">
        <f>IFERROR(__xludf.DUMMYFUNCTION("""COMPUTED_VALUE"""),"BN WARIS")</f>
        <v>BN WARIS</v>
      </c>
      <c r="H6645" s="42">
        <f t="shared" si="1"/>
        <v>2879</v>
      </c>
    </row>
    <row r="6646" ht="22.5" customHeight="1">
      <c r="B6646" s="42" t="str">
        <f>IFERROR(__xludf.DUMMYFUNCTION("""COMPUTED_VALUE"""),"K/2/150825/1")</f>
        <v>K/2/150825/1</v>
      </c>
      <c r="C6646" s="42" t="str">
        <f>IFERROR(__xludf.DUMMYFUNCTION("""COMPUTED_VALUE"""),"M. 2824/Campang Raya")</f>
        <v>M. 2824/Campang Raya</v>
      </c>
      <c r="D6646" s="42" t="str">
        <f>IFERROR(__xludf.DUMMYFUNCTION("""COMPUTED_VALUE"""),"Berry")</f>
        <v>Berry</v>
      </c>
      <c r="E6646" s="42" t="str">
        <f>IFERROR(__xludf.DUMMYFUNCTION("""COMPUTED_VALUE"""),"DISERAHKAN")</f>
        <v>DISERAHKAN</v>
      </c>
      <c r="F6646" s="48">
        <f>IFERROR(__xludf.DUMMYFUNCTION("""COMPUTED_VALUE"""),45938.498571979166)</f>
        <v>45938.49857</v>
      </c>
      <c r="G6646" s="42" t="str">
        <f>IFERROR(__xludf.DUMMYFUNCTION("""COMPUTED_VALUE"""),"Roya")</f>
        <v>Roya</v>
      </c>
      <c r="H6646" s="42">
        <f t="shared" si="1"/>
        <v>2880</v>
      </c>
    </row>
    <row r="6647" ht="22.5" customHeight="1">
      <c r="B6647" s="42" t="str">
        <f>IFERROR(__xludf.DUMMYFUNCTION("""COMPUTED_VALUE"""),"K/3/150825/2")</f>
        <v>K/3/150825/2</v>
      </c>
      <c r="C6647" s="42" t="str">
        <f>IFERROR(__xludf.DUMMYFUNCTION("""COMPUTED_VALUE"""),"M. 1031/ PENGAJARAN")</f>
        <v>M. 1031/ PENGAJARAN</v>
      </c>
      <c r="D6647" s="42" t="str">
        <f>IFERROR(__xludf.DUMMYFUNCTION("""COMPUTED_VALUE"""),"Berry")</f>
        <v>Berry</v>
      </c>
      <c r="E6647" s="42" t="str">
        <f>IFERROR(__xludf.DUMMYFUNCTION("""COMPUTED_VALUE"""),"DISERAHKAN")</f>
        <v>DISERAHKAN</v>
      </c>
      <c r="F6647" s="48">
        <f>IFERROR(__xludf.DUMMYFUNCTION("""COMPUTED_VALUE"""),45916.659228460645)</f>
        <v>45916.65923</v>
      </c>
      <c r="G6647" s="42" t="str">
        <f>IFERROR(__xludf.DUMMYFUNCTION("""COMPUTED_VALUE"""),"BN WARIS")</f>
        <v>BN WARIS</v>
      </c>
      <c r="H6647" s="42">
        <f t="shared" si="1"/>
        <v>2881</v>
      </c>
    </row>
    <row r="6648" ht="22.5" customHeight="1">
      <c r="B6648" s="42" t="str">
        <f>IFERROR(__xludf.DUMMYFUNCTION("""COMPUTED_VALUE"""),"L/5/150825/1")</f>
        <v>L/5/150825/1</v>
      </c>
      <c r="C6648" s="42" t="str">
        <f>IFERROR(__xludf.DUMMYFUNCTION("""COMPUTED_VALUE"""),"M. 386/ BERINGIN RAYA")</f>
        <v>M. 386/ BERINGIN RAYA</v>
      </c>
      <c r="D6648" s="42" t="str">
        <f>IFERROR(__xludf.DUMMYFUNCTION("""COMPUTED_VALUE"""),"Berry")</f>
        <v>Berry</v>
      </c>
      <c r="E6648" s="42" t="str">
        <f>IFERROR(__xludf.DUMMYFUNCTION("""COMPUTED_VALUE"""),"DISERAHKAN")</f>
        <v>DISERAHKAN</v>
      </c>
      <c r="F6648" s="48">
        <f>IFERROR(__xludf.DUMMYFUNCTION("""COMPUTED_VALUE"""),45938.49306623843)</f>
        <v>45938.49307</v>
      </c>
      <c r="G6648" s="42" t="str">
        <f>IFERROR(__xludf.DUMMYFUNCTION("""COMPUTED_VALUE"""),"ROYA ")</f>
        <v>ROYA </v>
      </c>
      <c r="H6648" s="42">
        <f t="shared" si="1"/>
        <v>2882</v>
      </c>
    </row>
    <row r="6649" ht="22.5" customHeight="1">
      <c r="B6649" s="42" t="str">
        <f>IFERROR(__xludf.DUMMYFUNCTION("""COMPUTED_VALUE"""),"K/4/150825/3")</f>
        <v>K/4/150825/3</v>
      </c>
      <c r="C6649" s="42" t="str">
        <f>IFERROR(__xludf.DUMMYFUNCTION("""COMPUTED_VALUE"""),"M. 1158/ PENGAJARAN")</f>
        <v>M. 1158/ PENGAJARAN</v>
      </c>
      <c r="D6649" s="42" t="str">
        <f>IFERROR(__xludf.DUMMYFUNCTION("""COMPUTED_VALUE"""),"David")</f>
        <v>David</v>
      </c>
      <c r="E6649" s="42" t="str">
        <f>IFERROR(__xludf.DUMMYFUNCTION("""COMPUTED_VALUE"""),"DISERAHKAN")</f>
        <v>DISERAHKAN</v>
      </c>
      <c r="F6649" s="48">
        <f>IFERROR(__xludf.DUMMYFUNCTION("""COMPUTED_VALUE"""),45943.69578421296)</f>
        <v>45943.69578</v>
      </c>
      <c r="G6649" s="42" t="str">
        <f>IFERROR(__xludf.DUMMYFUNCTION("""COMPUTED_VALUE"""),"BN WARIS")</f>
        <v>BN WARIS</v>
      </c>
      <c r="H6649" s="42">
        <f t="shared" si="1"/>
        <v>2883</v>
      </c>
    </row>
    <row r="6650" ht="22.5" customHeight="1">
      <c r="B6650" s="42" t="str">
        <f>IFERROR(__xludf.DUMMYFUNCTION("""COMPUTED_VALUE"""),"K/6/150825/1")</f>
        <v>K/6/150825/1</v>
      </c>
      <c r="C6650" s="42" t="str">
        <f>IFERROR(__xludf.DUMMYFUNCTION("""COMPUTED_VALUE"""),"LABUHAN DALAM")</f>
        <v>LABUHAN DALAM</v>
      </c>
      <c r="D6650" s="42" t="str">
        <f>IFERROR(__xludf.DUMMYFUNCTION("""COMPUTED_VALUE"""),"Berry")</f>
        <v>Berry</v>
      </c>
      <c r="E6650" s="42" t="str">
        <f>IFERROR(__xludf.DUMMYFUNCTION("""COMPUTED_VALUE"""),"DISERAHKAN")</f>
        <v>DISERAHKAN</v>
      </c>
      <c r="F6650" s="48">
        <f>IFERROR(__xludf.DUMMYFUNCTION("""COMPUTED_VALUE"""),45938.498882106476)</f>
        <v>45938.49888</v>
      </c>
      <c r="G6650" s="42" t="str">
        <f>IFERROR(__xludf.DUMMYFUNCTION("""COMPUTED_VALUE"""),"PENGUKURAN TAMEN")</f>
        <v>PENGUKURAN TAMEN</v>
      </c>
      <c r="H6650" s="42">
        <f t="shared" si="1"/>
        <v>2884</v>
      </c>
    </row>
    <row r="6651" ht="22.5" customHeight="1">
      <c r="B6651" s="42" t="str">
        <f>IFERROR(__xludf.DUMMYFUNCTION("""COMPUTED_VALUE"""),"L/7/150825/1")</f>
        <v>L/7/150825/1</v>
      </c>
      <c r="C6651" s="42" t="str">
        <f>IFERROR(__xludf.DUMMYFUNCTION("""COMPUTED_VALUE"""),"B. 260/PERUMNAS WAY KANDIS")</f>
        <v>B. 260/PERUMNAS WAY KANDIS</v>
      </c>
      <c r="D6651" s="42"/>
      <c r="E6651" s="42"/>
      <c r="F6651" s="48" t="str">
        <f>IFERROR(__xludf.DUMMYFUNCTION("""COMPUTED_VALUE"""),"")</f>
        <v/>
      </c>
      <c r="G6651" s="42" t="str">
        <f>IFERROR(__xludf.DUMMYFUNCTION("""COMPUTED_VALUE"""),"ROYA")</f>
        <v>ROYA</v>
      </c>
      <c r="H6651" s="42">
        <f t="shared" si="1"/>
        <v>2884</v>
      </c>
    </row>
    <row r="6652" ht="22.5" customHeight="1">
      <c r="B6652" s="42" t="str">
        <f>IFERROR(__xludf.DUMMYFUNCTION("""COMPUTED_VALUE"""),"L/8/150825/1")</f>
        <v>L/8/150825/1</v>
      </c>
      <c r="C6652" s="42" t="str">
        <f>IFERROR(__xludf.DUMMYFUNCTION("""COMPUTED_VALUE"""),"M. 816/PERUMNAS WAY KANDIS")</f>
        <v>M. 816/PERUMNAS WAY KANDIS</v>
      </c>
      <c r="D6652" s="42" t="str">
        <f>IFERROR(__xludf.DUMMYFUNCTION("""COMPUTED_VALUE"""),"David")</f>
        <v>David</v>
      </c>
      <c r="E6652" s="42" t="str">
        <f>IFERROR(__xludf.DUMMYFUNCTION("""COMPUTED_VALUE"""),"DISERAHKAN")</f>
        <v>DISERAHKAN</v>
      </c>
      <c r="F6652" s="48">
        <f>IFERROR(__xludf.DUMMYFUNCTION("""COMPUTED_VALUE"""),45926.583264375)</f>
        <v>45926.58326</v>
      </c>
      <c r="G6652" s="42" t="str">
        <f>IFERROR(__xludf.DUMMYFUNCTION("""COMPUTED_VALUE"""),"ROYA")</f>
        <v>ROYA</v>
      </c>
      <c r="H6652" s="42">
        <f t="shared" si="1"/>
        <v>2885</v>
      </c>
    </row>
    <row r="6653" ht="22.5" customHeight="1">
      <c r="B6653" s="42" t="str">
        <f>IFERROR(__xludf.DUMMYFUNCTION("""COMPUTED_VALUE"""),"K/9/150825/1")</f>
        <v>K/9/150825/1</v>
      </c>
      <c r="C6653" s="42" t="str">
        <f>IFERROR(__xludf.DUMMYFUNCTION("""COMPUTED_VALUE"""),"Pengukuran Pertama Kali")</f>
        <v>Pengukuran Pertama Kali</v>
      </c>
      <c r="D6653" s="42" t="str">
        <f>IFERROR(__xludf.DUMMYFUNCTION("""COMPUTED_VALUE"""),"David")</f>
        <v>David</v>
      </c>
      <c r="E6653" s="42" t="str">
        <f>IFERROR(__xludf.DUMMYFUNCTION("""COMPUTED_VALUE"""),"DISERAHKAN")</f>
        <v>DISERAHKAN</v>
      </c>
      <c r="F6653" s="48">
        <f>IFERROR(__xludf.DUMMYFUNCTION("""COMPUTED_VALUE"""),45926.583875358796)</f>
        <v>45926.58388</v>
      </c>
      <c r="G6653" s="42" t="str">
        <f>IFERROR(__xludf.DUMMYFUNCTION("""COMPUTED_VALUE"""),"Pengukuran Pertama Kali")</f>
        <v>Pengukuran Pertama Kali</v>
      </c>
      <c r="H6653" s="42">
        <f t="shared" si="1"/>
        <v>2886</v>
      </c>
    </row>
    <row r="6654" ht="22.5" customHeight="1">
      <c r="B6654" s="42" t="str">
        <f>IFERROR(__xludf.DUMMYFUNCTION("""COMPUTED_VALUE"""),"L/12/150825/1")</f>
        <v>L/12/150825/1</v>
      </c>
      <c r="C6654" s="42" t="str">
        <f>IFERROR(__xludf.DUMMYFUNCTION("""COMPUTED_VALUE"""),"KELURAHAN JAGABAYA II")</f>
        <v>KELURAHAN JAGABAYA II</v>
      </c>
      <c r="D6654" s="42"/>
      <c r="E6654" s="42"/>
      <c r="F6654" s="48" t="str">
        <f>IFERROR(__xludf.DUMMYFUNCTION("""COMPUTED_VALUE"""),"")</f>
        <v/>
      </c>
      <c r="G6654" s="42" t="str">
        <f>IFERROR(__xludf.DUMMYFUNCTION("""COMPUTED_VALUE"""),"PENGUKURAN PERTAMA KALI")</f>
        <v>PENGUKURAN PERTAMA KALI</v>
      </c>
      <c r="H6654" s="42">
        <f t="shared" si="1"/>
        <v>2886</v>
      </c>
    </row>
    <row r="6655" ht="22.5" customHeight="1">
      <c r="B6655" s="42" t="str">
        <f>IFERROR(__xludf.DUMMYFUNCTION("""COMPUTED_VALUE"""),"K/10/150825/1")</f>
        <v>K/10/150825/1</v>
      </c>
      <c r="C6655" s="42" t="str">
        <f>IFERROR(__xludf.DUMMYFUNCTION("""COMPUTED_VALUE"""),"M. 1192/ PEMATANG WANGI")</f>
        <v>M. 1192/ PEMATANG WANGI</v>
      </c>
      <c r="D6655" s="42"/>
      <c r="E6655" s="42"/>
      <c r="F6655" s="48" t="str">
        <f>IFERROR(__xludf.DUMMYFUNCTION("""COMPUTED_VALUE"""),"")</f>
        <v/>
      </c>
      <c r="G6655" s="42" t="str">
        <f>IFERROR(__xludf.DUMMYFUNCTION("""COMPUTED_VALUE"""),"BN JUAL BELI")</f>
        <v>BN JUAL BELI</v>
      </c>
      <c r="H6655" s="42">
        <f t="shared" si="1"/>
        <v>2886</v>
      </c>
    </row>
    <row r="6656" ht="22.5" customHeight="1">
      <c r="B6656" s="42" t="str">
        <f>IFERROR(__xludf.DUMMYFUNCTION("""COMPUTED_VALUE"""),"L/13/150825/1")</f>
        <v>L/13/150825/1</v>
      </c>
      <c r="C6656" s="42" t="str">
        <f>IFERROR(__xludf.DUMMYFUNCTION("""COMPUTED_VALUE"""),"M. 3656/ WAY KANDIS")</f>
        <v>M. 3656/ WAY KANDIS</v>
      </c>
      <c r="D6656" s="42" t="str">
        <f>IFERROR(__xludf.DUMMYFUNCTION("""COMPUTED_VALUE"""),"Berry")</f>
        <v>Berry</v>
      </c>
      <c r="E6656" s="42" t="str">
        <f>IFERROR(__xludf.DUMMYFUNCTION("""COMPUTED_VALUE"""),"DISERAHKAN")</f>
        <v>DISERAHKAN</v>
      </c>
      <c r="F6656" s="48">
        <f>IFERROR(__xludf.DUMMYFUNCTION("""COMPUTED_VALUE"""),45908.63165998843)</f>
        <v>45908.63166</v>
      </c>
      <c r="G6656" s="42" t="str">
        <f>IFERROR(__xludf.DUMMYFUNCTION("""COMPUTED_VALUE"""),"ROYA")</f>
        <v>ROYA</v>
      </c>
      <c r="H6656" s="42">
        <f t="shared" si="1"/>
        <v>2887</v>
      </c>
    </row>
    <row r="6657" ht="22.5" customHeight="1">
      <c r="B6657" s="42" t="str">
        <f>IFERROR(__xludf.DUMMYFUNCTION("""COMPUTED_VALUE"""),"K/11/150825/2")</f>
        <v>K/11/150825/2</v>
      </c>
      <c r="C6657" s="42" t="str">
        <f>IFERROR(__xludf.DUMMYFUNCTION("""COMPUTED_VALUE"""),"M. 1983/ LABUHAN RATU RAYA")</f>
        <v>M. 1983/ LABUHAN RATU RAYA</v>
      </c>
      <c r="D6657" s="42" t="str">
        <f>IFERROR(__xludf.DUMMYFUNCTION("""COMPUTED_VALUE"""),"David")</f>
        <v>David</v>
      </c>
      <c r="E6657" s="42" t="str">
        <f>IFERROR(__xludf.DUMMYFUNCTION("""COMPUTED_VALUE"""),"DISERAHKAN")</f>
        <v>DISERAHKAN</v>
      </c>
      <c r="F6657" s="48">
        <f>IFERROR(__xludf.DUMMYFUNCTION("""COMPUTED_VALUE"""),45904.616369525465)</f>
        <v>45904.61637</v>
      </c>
      <c r="G6657" s="42" t="str">
        <f>IFERROR(__xludf.DUMMYFUNCTION("""COMPUTED_VALUE"""),"BN JUAL BELI")</f>
        <v>BN JUAL BELI</v>
      </c>
      <c r="H6657" s="42">
        <f t="shared" si="1"/>
        <v>2888</v>
      </c>
    </row>
    <row r="6658" ht="22.5" customHeight="1">
      <c r="B6658" s="42" t="str">
        <f>IFERROR(__xludf.DUMMYFUNCTION("""COMPUTED_VALUE"""),"K/15/150825/1")</f>
        <v>K/15/150825/1</v>
      </c>
      <c r="C6658" s="42" t="str">
        <f>IFERROR(__xludf.DUMMYFUNCTION("""COMPUTED_VALUE"""),"M. 3030/ KOTA BARU")</f>
        <v>M. 3030/ KOTA BARU</v>
      </c>
      <c r="D6658" s="42" t="str">
        <f>IFERROR(__xludf.DUMMYFUNCTION("""COMPUTED_VALUE"""),"Berry")</f>
        <v>Berry</v>
      </c>
      <c r="E6658" s="42" t="str">
        <f>IFERROR(__xludf.DUMMYFUNCTION("""COMPUTED_VALUE"""),"DISERAHKAN")</f>
        <v>DISERAHKAN</v>
      </c>
      <c r="F6658" s="48">
        <f>IFERROR(__xludf.DUMMYFUNCTION("""COMPUTED_VALUE"""),45908.63132339121)</f>
        <v>45908.63132</v>
      </c>
      <c r="G6658" s="42" t="str">
        <f>IFERROR(__xludf.DUMMYFUNCTION("""COMPUTED_VALUE"""),"BN JUAL BELI")</f>
        <v>BN JUAL BELI</v>
      </c>
      <c r="H6658" s="42">
        <f t="shared" si="1"/>
        <v>2889</v>
      </c>
    </row>
    <row r="6659" ht="22.5" customHeight="1">
      <c r="B6659" s="42" t="str">
        <f>IFERROR(__xludf.DUMMYFUNCTION("""COMPUTED_VALUE"""),"K/16/150825/1")</f>
        <v>K/16/150825/1</v>
      </c>
      <c r="C6659" s="42" t="str">
        <f>IFERROR(__xludf.DUMMYFUNCTION("""COMPUTED_VALUE"""),"M. 12676/ SUKABUMI")</f>
        <v>M. 12676/ SUKABUMI</v>
      </c>
      <c r="D6659" s="42"/>
      <c r="E6659" s="42"/>
      <c r="F6659" s="48" t="str">
        <f>IFERROR(__xludf.DUMMYFUNCTION("""COMPUTED_VALUE"""),"")</f>
        <v/>
      </c>
      <c r="G6659" s="42" t="str">
        <f>IFERROR(__xludf.DUMMYFUNCTION("""COMPUTED_VALUE"""),"ROYA")</f>
        <v>ROYA</v>
      </c>
      <c r="H6659" s="42">
        <f t="shared" si="1"/>
        <v>2889</v>
      </c>
    </row>
    <row r="6660" ht="22.5" customHeight="1">
      <c r="B6660" s="42" t="str">
        <f>IFERROR(__xludf.DUMMYFUNCTION("""COMPUTED_VALUE"""),"L/14/150825/1")</f>
        <v>L/14/150825/1</v>
      </c>
      <c r="C6660" s="42" t="str">
        <f>IFERROR(__xludf.DUMMYFUNCTION("""COMPUTED_VALUE"""),"M. 13064/RAJABASA")</f>
        <v>M. 13064/RAJABASA</v>
      </c>
      <c r="D6660" s="42" t="str">
        <f>IFERROR(__xludf.DUMMYFUNCTION("""COMPUTED_VALUE"""),"David")</f>
        <v>David</v>
      </c>
      <c r="E6660" s="42" t="str">
        <f>IFERROR(__xludf.DUMMYFUNCTION("""COMPUTED_VALUE"""),"DISERAHKAN")</f>
        <v>DISERAHKAN</v>
      </c>
      <c r="F6660" s="48">
        <f>IFERROR(__xludf.DUMMYFUNCTION("""COMPUTED_VALUE"""),45904.61650729166)</f>
        <v>45904.61651</v>
      </c>
      <c r="G6660" s="42" t="str">
        <f>IFERROR(__xludf.DUMMYFUNCTION("""COMPUTED_VALUE"""),"ROYA")</f>
        <v>ROYA</v>
      </c>
      <c r="H6660" s="42">
        <f t="shared" si="1"/>
        <v>2890</v>
      </c>
    </row>
    <row r="6661" ht="22.5" customHeight="1">
      <c r="B6661" s="42" t="str">
        <f>IFERROR(__xludf.DUMMYFUNCTION("""COMPUTED_VALUE"""),"L/17/150825/1")</f>
        <v>L/17/150825/1</v>
      </c>
      <c r="C6661" s="42" t="str">
        <f>IFERROR(__xludf.DUMMYFUNCTION("""COMPUTED_VALUE"""),"M. 653/PELITA")</f>
        <v>M. 653/PELITA</v>
      </c>
      <c r="D6661" s="42" t="str">
        <f>IFERROR(__xludf.DUMMYFUNCTION("""COMPUTED_VALUE"""),"Berry")</f>
        <v>Berry</v>
      </c>
      <c r="E6661" s="42" t="str">
        <f>IFERROR(__xludf.DUMMYFUNCTION("""COMPUTED_VALUE"""),"DISERAHKAN")</f>
        <v>DISERAHKAN</v>
      </c>
      <c r="F6661" s="48">
        <f>IFERROR(__xludf.DUMMYFUNCTION("""COMPUTED_VALUE"""),45938.51234939815)</f>
        <v>45938.51235</v>
      </c>
      <c r="G6661" s="42" t="str">
        <f>IFERROR(__xludf.DUMMYFUNCTION("""COMPUTED_VALUE"""),"SERTIPIKAT HILANG")</f>
        <v>SERTIPIKAT HILANG</v>
      </c>
      <c r="H6661" s="42">
        <f t="shared" si="1"/>
        <v>2891</v>
      </c>
    </row>
    <row r="6662" ht="22.5" customHeight="1">
      <c r="B6662" s="42" t="str">
        <f>IFERROR(__xludf.DUMMYFUNCTION("""COMPUTED_VALUE"""),"K/18/150825/1")</f>
        <v>K/18/150825/1</v>
      </c>
      <c r="C6662" s="42" t="str">
        <f>IFERROR(__xludf.DUMMYFUNCTION("""COMPUTED_VALUE"""),"M. 11268/TANJUNG BARU")</f>
        <v>M. 11268/TANJUNG BARU</v>
      </c>
      <c r="D6662" s="42"/>
      <c r="E6662" s="42"/>
      <c r="F6662" s="48" t="str">
        <f>IFERROR(__xludf.DUMMYFUNCTION("""COMPUTED_VALUE"""),"")</f>
        <v/>
      </c>
      <c r="G6662" s="42" t="str">
        <f>IFERROR(__xludf.DUMMYFUNCTION("""COMPUTED_VALUE"""),"BN WARIS")</f>
        <v>BN WARIS</v>
      </c>
      <c r="H6662" s="42">
        <f t="shared" si="1"/>
        <v>2891</v>
      </c>
    </row>
    <row r="6663" ht="22.5" customHeight="1">
      <c r="B6663" s="42" t="str">
        <f>IFERROR(__xludf.DUMMYFUNCTION("""COMPUTED_VALUE"""),"K/19/150825/1")</f>
        <v>K/19/150825/1</v>
      </c>
      <c r="C6663" s="42" t="str">
        <f>IFERROR(__xludf.DUMMYFUNCTION("""COMPUTED_VALUE"""),"Nibel 914/Keteguhan")</f>
        <v>Nibel 914/Keteguhan</v>
      </c>
      <c r="D6663" s="42"/>
      <c r="E6663" s="42"/>
      <c r="F6663" s="48" t="str">
        <f>IFERROR(__xludf.DUMMYFUNCTION("""COMPUTED_VALUE"""),"")</f>
        <v/>
      </c>
      <c r="G6663" s="42" t="str">
        <f>IFERROR(__xludf.DUMMYFUNCTION("""COMPUTED_VALUE"""),"Peningkatan Hak")</f>
        <v>Peningkatan Hak</v>
      </c>
      <c r="H6663" s="42">
        <f t="shared" si="1"/>
        <v>2891</v>
      </c>
    </row>
    <row r="6664" ht="22.5" customHeight="1">
      <c r="B6664" s="42" t="str">
        <f>IFERROR(__xludf.DUMMYFUNCTION("""COMPUTED_VALUE"""),"K/20/150825/2")</f>
        <v>K/20/150825/2</v>
      </c>
      <c r="C6664" s="42" t="str">
        <f>IFERROR(__xludf.DUMMYFUNCTION("""COMPUTED_VALUE"""),"Nibel 21708/Rajabasa Jaya")</f>
        <v>Nibel 21708/Rajabasa Jaya</v>
      </c>
      <c r="D6664" s="42"/>
      <c r="E6664" s="42"/>
      <c r="F6664" s="48" t="str">
        <f>IFERROR(__xludf.DUMMYFUNCTION("""COMPUTED_VALUE"""),"")</f>
        <v/>
      </c>
      <c r="G6664" s="42" t="str">
        <f>IFERROR(__xludf.DUMMYFUNCTION("""COMPUTED_VALUE"""),"BN JUAL BELI")</f>
        <v>BN JUAL BELI</v>
      </c>
      <c r="H6664" s="42">
        <f t="shared" si="1"/>
        <v>2891</v>
      </c>
    </row>
    <row r="6665" ht="22.5" customHeight="1">
      <c r="B6665" s="42" t="str">
        <f>IFERROR(__xludf.DUMMYFUNCTION("""COMPUTED_VALUE"""),"K/21/150825/3")</f>
        <v>K/21/150825/3</v>
      </c>
      <c r="C6665" s="42" t="str">
        <f>IFERROR(__xludf.DUMMYFUNCTION("""COMPUTED_VALUE"""),"SHM 5064/Tanjung Senang")</f>
        <v>SHM 5064/Tanjung Senang</v>
      </c>
      <c r="D6665" s="42"/>
      <c r="E6665" s="42"/>
      <c r="F6665" s="48" t="str">
        <f>IFERROR(__xludf.DUMMYFUNCTION("""COMPUTED_VALUE"""),"")</f>
        <v/>
      </c>
      <c r="G6665" s="42" t="str">
        <f>IFERROR(__xludf.DUMMYFUNCTION("""COMPUTED_VALUE"""),"BN JUAL BELI")</f>
        <v>BN JUAL BELI</v>
      </c>
      <c r="H6665" s="42">
        <f t="shared" si="1"/>
        <v>2891</v>
      </c>
    </row>
    <row r="6666" ht="22.5" customHeight="1">
      <c r="B6666" s="42" t="str">
        <f>IFERROR(__xludf.DUMMYFUNCTION("""COMPUTED_VALUE"""),"L/26/150825/1")</f>
        <v>L/26/150825/1</v>
      </c>
      <c r="C6666" s="42" t="str">
        <f>IFERROR(__xludf.DUMMYFUNCTION("""COMPUTED_VALUE"""),"M. 833/LANGKAPURA BARU")</f>
        <v>M. 833/LANGKAPURA BARU</v>
      </c>
      <c r="D6666" s="42" t="str">
        <f>IFERROR(__xludf.DUMMYFUNCTION("""COMPUTED_VALUE"""),"Berry")</f>
        <v>Berry</v>
      </c>
      <c r="E6666" s="42" t="str">
        <f>IFERROR(__xludf.DUMMYFUNCTION("""COMPUTED_VALUE"""),"DISERAHKAN")</f>
        <v>DISERAHKAN</v>
      </c>
      <c r="F6666" s="48">
        <f>IFERROR(__xludf.DUMMYFUNCTION("""COMPUTED_VALUE"""),45908.63215414352)</f>
        <v>45908.63215</v>
      </c>
      <c r="G6666" s="42" t="str">
        <f>IFERROR(__xludf.DUMMYFUNCTION("""COMPUTED_VALUE"""),"HAPUS BPHTB")</f>
        <v>HAPUS BPHTB</v>
      </c>
      <c r="H6666" s="42">
        <f t="shared" si="1"/>
        <v>2892</v>
      </c>
    </row>
    <row r="6667" ht="22.5" customHeight="1">
      <c r="B6667" s="42" t="str">
        <f>IFERROR(__xludf.DUMMYFUNCTION("""COMPUTED_VALUE"""),"K/27/150825/1")</f>
        <v>K/27/150825/1</v>
      </c>
      <c r="C6667" s="42" t="str">
        <f>IFERROR(__xludf.DUMMYFUNCTION("""COMPUTED_VALUE"""),"M. 3327/Keteguhan")</f>
        <v>M. 3327/Keteguhan</v>
      </c>
      <c r="D6667" s="42"/>
      <c r="E6667" s="42"/>
      <c r="F6667" s="48" t="str">
        <f>IFERROR(__xludf.DUMMYFUNCTION("""COMPUTED_VALUE"""),"")</f>
        <v/>
      </c>
      <c r="G6667" s="42" t="str">
        <f>IFERROR(__xludf.DUMMYFUNCTION("""COMPUTED_VALUE"""),"BN Waris")</f>
        <v>BN Waris</v>
      </c>
      <c r="H6667" s="42">
        <f t="shared" si="1"/>
        <v>2892</v>
      </c>
    </row>
    <row r="6668" ht="22.5" customHeight="1">
      <c r="B6668" s="42" t="str">
        <f>IFERROR(__xludf.DUMMYFUNCTION("""COMPUTED_VALUE"""),"K/28/150825/2")</f>
        <v>K/28/150825/2</v>
      </c>
      <c r="C6668" s="42" t="str">
        <f>IFERROR(__xludf.DUMMYFUNCTION("""COMPUTED_VALUE"""),"Nibel 23263/Campang Jaya")</f>
        <v>Nibel 23263/Campang Jaya</v>
      </c>
      <c r="D6668" s="42"/>
      <c r="E6668" s="42"/>
      <c r="F6668" s="48" t="str">
        <f>IFERROR(__xludf.DUMMYFUNCTION("""COMPUTED_VALUE"""),"")</f>
        <v/>
      </c>
      <c r="G6668" s="42" t="str">
        <f>IFERROR(__xludf.DUMMYFUNCTION("""COMPUTED_VALUE"""),"Peningkatan Hak")</f>
        <v>Peningkatan Hak</v>
      </c>
      <c r="H6668" s="42">
        <f t="shared" si="1"/>
        <v>2892</v>
      </c>
    </row>
    <row r="6669" ht="22.5" customHeight="1">
      <c r="B6669" s="42" t="str">
        <f>IFERROR(__xludf.DUMMYFUNCTION("""COMPUTED_VALUE"""),"L/29/150825/1")</f>
        <v>L/29/150825/1</v>
      </c>
      <c r="C6669" s="42" t="str">
        <f>IFERROR(__xludf.DUMMYFUNCTION("""COMPUTED_VALUE"""),"M. 536/PERUMNAS WAY KANDIS")</f>
        <v>M. 536/PERUMNAS WAY KANDIS</v>
      </c>
      <c r="D6669" s="42"/>
      <c r="E6669" s="42"/>
      <c r="F6669" s="48" t="str">
        <f>IFERROR(__xludf.DUMMYFUNCTION("""COMPUTED_VALUE"""),"")</f>
        <v/>
      </c>
      <c r="G6669" s="42" t="str">
        <f>IFERROR(__xludf.DUMMYFUNCTION("""COMPUTED_VALUE"""),"BN WARIS")</f>
        <v>BN WARIS</v>
      </c>
      <c r="H6669" s="42">
        <f t="shared" si="1"/>
        <v>2892</v>
      </c>
    </row>
    <row r="6670" ht="22.5" customHeight="1">
      <c r="B6670" s="42" t="str">
        <f>IFERROR(__xludf.DUMMYFUNCTION("""COMPUTED_VALUE"""),"L/32/150825/1")</f>
        <v>L/32/150825/1</v>
      </c>
      <c r="C6670" s="42" t="str">
        <f>IFERROR(__xludf.DUMMYFUNCTION("""COMPUTED_VALUE"""),"B, 617/NUSANTARA PERMAI")</f>
        <v>B, 617/NUSANTARA PERMAI</v>
      </c>
      <c r="D6670" s="42" t="str">
        <f>IFERROR(__xludf.DUMMYFUNCTION("""COMPUTED_VALUE"""),"Berry")</f>
        <v>Berry</v>
      </c>
      <c r="E6670" s="42" t="str">
        <f>IFERROR(__xludf.DUMMYFUNCTION("""COMPUTED_VALUE"""),"DISERAHKAN")</f>
        <v>DISERAHKAN</v>
      </c>
      <c r="F6670" s="48">
        <f>IFERROR(__xludf.DUMMYFUNCTION("""COMPUTED_VALUE"""),45912.53226738426)</f>
        <v>45912.53227</v>
      </c>
      <c r="G6670" s="42" t="str">
        <f>IFERROR(__xludf.DUMMYFUNCTION("""COMPUTED_VALUE"""),"PENINGKATAN HAK")</f>
        <v>PENINGKATAN HAK</v>
      </c>
      <c r="H6670" s="42">
        <f t="shared" si="1"/>
        <v>2893</v>
      </c>
    </row>
    <row r="6671" ht="22.5" customHeight="1">
      <c r="B6671" s="42" t="str">
        <f>IFERROR(__xludf.DUMMYFUNCTION("""COMPUTED_VALUE"""),"K/33/150825/1")</f>
        <v>K/33/150825/1</v>
      </c>
      <c r="C6671" s="42" t="str">
        <f>IFERROR(__xludf.DUMMYFUNCTION("""COMPUTED_VALUE"""),"NIBEL SHGB. 438/ KEMILING PERMAI")</f>
        <v>NIBEL SHGB. 438/ KEMILING PERMAI</v>
      </c>
      <c r="D6671" s="42" t="str">
        <f>IFERROR(__xludf.DUMMYFUNCTION("""COMPUTED_VALUE"""),"Berry")</f>
        <v>Berry</v>
      </c>
      <c r="E6671" s="42" t="str">
        <f>IFERROR(__xludf.DUMMYFUNCTION("""COMPUTED_VALUE"""),"DISERAHKAN")</f>
        <v>DISERAHKAN</v>
      </c>
      <c r="F6671" s="48">
        <f>IFERROR(__xludf.DUMMYFUNCTION("""COMPUTED_VALUE"""),45908.668878321754)</f>
        <v>45908.66888</v>
      </c>
      <c r="G6671" s="42" t="str">
        <f>IFERROR(__xludf.DUMMYFUNCTION("""COMPUTED_VALUE"""),"PENINGKATAN")</f>
        <v>PENINGKATAN</v>
      </c>
      <c r="H6671" s="42">
        <f t="shared" si="1"/>
        <v>2894</v>
      </c>
    </row>
    <row r="6672" ht="22.5" customHeight="1">
      <c r="B6672" s="42" t="str">
        <f>IFERROR(__xludf.DUMMYFUNCTION("""COMPUTED_VALUE"""),"K/29/150825/1")</f>
        <v>K/29/150825/1</v>
      </c>
      <c r="C6672" s="42" t="str">
        <f>IFERROR(__xludf.DUMMYFUNCTION("""COMPUTED_VALUE"""),"Nibel 22446/Kelapa Tiga Permai")</f>
        <v>Nibel 22446/Kelapa Tiga Permai</v>
      </c>
      <c r="D6672" s="42"/>
      <c r="E6672" s="42"/>
      <c r="F6672" s="48" t="str">
        <f>IFERROR(__xludf.DUMMYFUNCTION("""COMPUTED_VALUE"""),"")</f>
        <v/>
      </c>
      <c r="G6672" s="42" t="str">
        <f>IFERROR(__xludf.DUMMYFUNCTION("""COMPUTED_VALUE"""),"BN Lelang")</f>
        <v>BN Lelang</v>
      </c>
      <c r="H6672" s="42">
        <f t="shared" si="1"/>
        <v>2894</v>
      </c>
    </row>
    <row r="6673" ht="22.5" customHeight="1">
      <c r="B6673" s="42" t="str">
        <f>IFERROR(__xludf.DUMMYFUNCTION("""COMPUTED_VALUE"""),"L/34/150825/1")</f>
        <v>L/34/150825/1</v>
      </c>
      <c r="C6673" s="42" t="str">
        <f>IFERROR(__xludf.DUMMYFUNCTION("""COMPUTED_VALUE"""),"M. 2631/ BUMI WARAS")</f>
        <v>M. 2631/ BUMI WARAS</v>
      </c>
      <c r="D6673" s="42"/>
      <c r="E6673" s="42"/>
      <c r="F6673" s="48" t="str">
        <f>IFERROR(__xludf.DUMMYFUNCTION("""COMPUTED_VALUE"""),"")</f>
        <v/>
      </c>
      <c r="G6673" s="42" t="str">
        <f>IFERROR(__xludf.DUMMYFUNCTION("""COMPUTED_VALUE"""),"ROYA")</f>
        <v>ROYA</v>
      </c>
      <c r="H6673" s="42">
        <f t="shared" si="1"/>
        <v>2894</v>
      </c>
    </row>
    <row r="6674" ht="22.5" customHeight="1">
      <c r="B6674" s="42" t="str">
        <f>IFERROR(__xludf.DUMMYFUNCTION("""COMPUTED_VALUE"""),"K/35/150825/2")</f>
        <v>K/35/150825/2</v>
      </c>
      <c r="C6674" s="42" t="str">
        <f>IFERROR(__xludf.DUMMYFUNCTION("""COMPUTED_VALUE"""),"M. 860/ SUMBER AGUNG")</f>
        <v>M. 860/ SUMBER AGUNG</v>
      </c>
      <c r="D6674" s="42" t="str">
        <f>IFERROR(__xludf.DUMMYFUNCTION("""COMPUTED_VALUE"""),"Berry")</f>
        <v>Berry</v>
      </c>
      <c r="E6674" s="42" t="str">
        <f>IFERROR(__xludf.DUMMYFUNCTION("""COMPUTED_VALUE"""),"DISERAHKAN")</f>
        <v>DISERAHKAN</v>
      </c>
      <c r="F6674" s="48">
        <f>IFERROR(__xludf.DUMMYFUNCTION("""COMPUTED_VALUE"""),45988.63768684027)</f>
        <v>45988.63769</v>
      </c>
      <c r="G6674" s="42" t="str">
        <f>IFERROR(__xludf.DUMMYFUNCTION("""COMPUTED_VALUE"""),"BN JUAL BELI")</f>
        <v>BN JUAL BELI</v>
      </c>
      <c r="H6674" s="42">
        <f t="shared" si="1"/>
        <v>2895</v>
      </c>
    </row>
    <row r="6675" ht="22.5" customHeight="1">
      <c r="B6675" s="42" t="str">
        <f>IFERROR(__xludf.DUMMYFUNCTION("""COMPUTED_VALUE"""),"K/34/150825/1")</f>
        <v>K/34/150825/1</v>
      </c>
      <c r="C6675" s="42" t="str">
        <f>IFERROR(__xludf.DUMMYFUNCTION("""COMPUTED_VALUE"""),"Nibel 22965/Sumber Agung")</f>
        <v>Nibel 22965/Sumber Agung</v>
      </c>
      <c r="D6675" s="42" t="str">
        <f>IFERROR(__xludf.DUMMYFUNCTION("""COMPUTED_VALUE"""),"Berry")</f>
        <v>Berry</v>
      </c>
      <c r="E6675" s="42" t="str">
        <f>IFERROR(__xludf.DUMMYFUNCTION("""COMPUTED_VALUE"""),"DISERAHKAN")</f>
        <v>DISERAHKAN</v>
      </c>
      <c r="F6675" s="48">
        <f>IFERROR(__xludf.DUMMYFUNCTION("""COMPUTED_VALUE"""),45915.5872790625)</f>
        <v>45915.58728</v>
      </c>
      <c r="G6675" s="42" t="str">
        <f>IFERROR(__xludf.DUMMYFUNCTION("""COMPUTED_VALUE"""),"Peningkatan Hak")</f>
        <v>Peningkatan Hak</v>
      </c>
      <c r="H6675" s="42">
        <f t="shared" si="1"/>
        <v>2896</v>
      </c>
    </row>
    <row r="6676" ht="22.5" customHeight="1">
      <c r="B6676" s="42" t="str">
        <f>IFERROR(__xludf.DUMMYFUNCTION("""COMPUTED_VALUE"""),"K/36/150825/2")</f>
        <v>K/36/150825/2</v>
      </c>
      <c r="C6676" s="42" t="str">
        <f>IFERROR(__xludf.DUMMYFUNCTION("""COMPUTED_VALUE"""),"Nibel 458/Sumber Agung")</f>
        <v>Nibel 458/Sumber Agung</v>
      </c>
      <c r="D6676" s="42"/>
      <c r="E6676" s="42"/>
      <c r="F6676" s="48" t="str">
        <f>IFERROR(__xludf.DUMMYFUNCTION("""COMPUTED_VALUE"""),"")</f>
        <v/>
      </c>
      <c r="G6676" s="42" t="str">
        <f>IFERROR(__xludf.DUMMYFUNCTION("""COMPUTED_VALUE"""),"Peningkatan Hak")</f>
        <v>Peningkatan Hak</v>
      </c>
      <c r="H6676" s="42">
        <f t="shared" si="1"/>
        <v>2896</v>
      </c>
    </row>
    <row r="6677" ht="22.5" customHeight="1">
      <c r="B6677" s="42" t="str">
        <f>IFERROR(__xludf.DUMMYFUNCTION("""COMPUTED_VALUE"""),"K/30/150825/1")</f>
        <v>K/30/150825/1</v>
      </c>
      <c r="C6677" s="42" t="str">
        <f>IFERROR(__xludf.DUMMYFUNCTION("""COMPUTED_VALUE"""),"M. 2380/ KANGKUNG")</f>
        <v>M. 2380/ KANGKUNG</v>
      </c>
      <c r="D6677" s="42"/>
      <c r="E6677" s="42"/>
      <c r="F6677" s="48" t="str">
        <f>IFERROR(__xludf.DUMMYFUNCTION("""COMPUTED_VALUE"""),"")</f>
        <v/>
      </c>
      <c r="G6677" s="42" t="str">
        <f>IFERROR(__xludf.DUMMYFUNCTION("""COMPUTED_VALUE"""),"ROYA")</f>
        <v>ROYA</v>
      </c>
      <c r="H6677" s="42">
        <f t="shared" si="1"/>
        <v>2896</v>
      </c>
    </row>
    <row r="6678" ht="22.5" customHeight="1">
      <c r="B6678" s="42" t="str">
        <f>IFERROR(__xludf.DUMMYFUNCTION("""COMPUTED_VALUE"""),"L/37/150825/1")</f>
        <v>L/37/150825/1</v>
      </c>
      <c r="C6678" s="42" t="str">
        <f>IFERROR(__xludf.DUMMYFUNCTION("""COMPUTED_VALUE"""),"M. 14793/ SUKARAME")</f>
        <v>M. 14793/ SUKARAME</v>
      </c>
      <c r="D6678" s="42" t="str">
        <f>IFERROR(__xludf.DUMMYFUNCTION("""COMPUTED_VALUE"""),"David")</f>
        <v>David</v>
      </c>
      <c r="E6678" s="42" t="str">
        <f>IFERROR(__xludf.DUMMYFUNCTION("""COMPUTED_VALUE"""),"DISERAHKAN")</f>
        <v>DISERAHKAN</v>
      </c>
      <c r="F6678" s="48">
        <f>IFERROR(__xludf.DUMMYFUNCTION("""COMPUTED_VALUE"""),45943.69633409722)</f>
        <v>45943.69633</v>
      </c>
      <c r="G6678" s="42" t="str">
        <f>IFERROR(__xludf.DUMMYFUNCTION("""COMPUTED_VALUE"""),"ROYA")</f>
        <v>ROYA</v>
      </c>
      <c r="H6678" s="42">
        <f t="shared" si="1"/>
        <v>2897</v>
      </c>
    </row>
    <row r="6679" ht="22.5" customHeight="1">
      <c r="B6679" s="42" t="str">
        <f>IFERROR(__xludf.DUMMYFUNCTION("""COMPUTED_VALUE"""),"K/31/150825/2")</f>
        <v>K/31/150825/2</v>
      </c>
      <c r="C6679" s="42" t="str">
        <f>IFERROR(__xludf.DUMMYFUNCTION("""COMPUTED_VALUE"""),"SHGB. 1116/ KETEGUHAN")</f>
        <v>SHGB. 1116/ KETEGUHAN</v>
      </c>
      <c r="D6679" s="42" t="str">
        <f>IFERROR(__xludf.DUMMYFUNCTION("""COMPUTED_VALUE"""),"David")</f>
        <v>David</v>
      </c>
      <c r="E6679" s="42" t="str">
        <f>IFERROR(__xludf.DUMMYFUNCTION("""COMPUTED_VALUE"""),"DISERAHKAN")</f>
        <v>DISERAHKAN</v>
      </c>
      <c r="F6679" s="48">
        <f>IFERROR(__xludf.DUMMYFUNCTION("""COMPUTED_VALUE"""),45908.62818814815)</f>
        <v>45908.62819</v>
      </c>
      <c r="G6679" s="42" t="str">
        <f>IFERROR(__xludf.DUMMYFUNCTION("""COMPUTED_VALUE"""),"BN JUAL BELI")</f>
        <v>BN JUAL BELI</v>
      </c>
      <c r="H6679" s="42">
        <f t="shared" si="1"/>
        <v>2898</v>
      </c>
    </row>
    <row r="6680" ht="22.5" customHeight="1">
      <c r="B6680" s="42" t="str">
        <f>IFERROR(__xludf.DUMMYFUNCTION("""COMPUTED_VALUE"""),"L/38/150825/1")</f>
        <v>L/38/150825/1</v>
      </c>
      <c r="C6680" s="42" t="str">
        <f>IFERROR(__xludf.DUMMYFUNCTION("""COMPUTED_VALUE"""),"SHM. 14777/SUKARAME ")</f>
        <v>SHM. 14777/SUKARAME </v>
      </c>
      <c r="D6680" s="42" t="str">
        <f>IFERROR(__xludf.DUMMYFUNCTION("""COMPUTED_VALUE"""),"Berry")</f>
        <v>Berry</v>
      </c>
      <c r="E6680" s="42" t="str">
        <f>IFERROR(__xludf.DUMMYFUNCTION("""COMPUTED_VALUE"""),"DISERAHKAN")</f>
        <v>DISERAHKAN</v>
      </c>
      <c r="F6680" s="48">
        <f>IFERROR(__xludf.DUMMYFUNCTION("""COMPUTED_VALUE"""),45912.53272495371)</f>
        <v>45912.53272</v>
      </c>
      <c r="G6680" s="42" t="str">
        <f>IFERROR(__xludf.DUMMYFUNCTION("""COMPUTED_VALUE"""),"ROYA")</f>
        <v>ROYA</v>
      </c>
      <c r="H6680" s="42">
        <f t="shared" si="1"/>
        <v>2899</v>
      </c>
    </row>
    <row r="6681" ht="22.5" customHeight="1">
      <c r="B6681" s="42" t="str">
        <f>IFERROR(__xludf.DUMMYFUNCTION("""COMPUTED_VALUE"""),"K/39/150825/1")</f>
        <v>K/39/150825/1</v>
      </c>
      <c r="C6681" s="42" t="str">
        <f>IFERROR(__xludf.DUMMYFUNCTION("""COMPUTED_VALUE"""),"M. 809/ KORPRI JAYA")</f>
        <v>M. 809/ KORPRI JAYA</v>
      </c>
      <c r="D6681" s="42" t="str">
        <f>IFERROR(__xludf.DUMMYFUNCTION("""COMPUTED_VALUE"""),"Berry")</f>
        <v>Berry</v>
      </c>
      <c r="E6681" s="42" t="str">
        <f>IFERROR(__xludf.DUMMYFUNCTION("""COMPUTED_VALUE"""),"DISERAHKAN")</f>
        <v>DISERAHKAN</v>
      </c>
      <c r="F6681" s="48">
        <f>IFERROR(__xludf.DUMMYFUNCTION("""COMPUTED_VALUE"""),45926.38696001157)</f>
        <v>45926.38696</v>
      </c>
      <c r="G6681" s="42" t="str">
        <f>IFERROR(__xludf.DUMMYFUNCTION("""COMPUTED_VALUE"""),"BN WARIS")</f>
        <v>BN WARIS</v>
      </c>
      <c r="H6681" s="42">
        <f t="shared" si="1"/>
        <v>2900</v>
      </c>
    </row>
    <row r="6682" ht="22.5" customHeight="1">
      <c r="B6682" s="42" t="str">
        <f>IFERROR(__xludf.DUMMYFUNCTION("""COMPUTED_VALUE"""),"K/37/150825/1")</f>
        <v>K/37/150825/1</v>
      </c>
      <c r="C6682" s="42" t="str">
        <f>IFERROR(__xludf.DUMMYFUNCTION("""COMPUTED_VALUE"""),"M. 4441/Gunung Terang")</f>
        <v>M. 4441/Gunung Terang</v>
      </c>
      <c r="D6682" s="42"/>
      <c r="E6682" s="42"/>
      <c r="F6682" s="48" t="str">
        <f>IFERROR(__xludf.DUMMYFUNCTION("""COMPUTED_VALUE"""),"")</f>
        <v/>
      </c>
      <c r="G6682" s="42" t="str">
        <f>IFERROR(__xludf.DUMMYFUNCTION("""COMPUTED_VALUE"""),"BN Waris")</f>
        <v>BN Waris</v>
      </c>
      <c r="H6682" s="42">
        <f t="shared" si="1"/>
        <v>2900</v>
      </c>
    </row>
    <row r="6683" ht="22.5" customHeight="1">
      <c r="B6683" s="42" t="str">
        <f>IFERROR(__xludf.DUMMYFUNCTION("""COMPUTED_VALUE"""),"K/40/150825/1")</f>
        <v>K/40/150825/1</v>
      </c>
      <c r="C6683" s="42" t="str">
        <f>IFERROR(__xludf.DUMMYFUNCTION("""COMPUTED_VALUE"""),"Nibel 18557/Susunan Baru")</f>
        <v>Nibel 18557/Susunan Baru</v>
      </c>
      <c r="D6683" s="42" t="str">
        <f>IFERROR(__xludf.DUMMYFUNCTION("""COMPUTED_VALUE"""),"Berry")</f>
        <v>Berry</v>
      </c>
      <c r="E6683" s="42" t="str">
        <f>IFERROR(__xludf.DUMMYFUNCTION("""COMPUTED_VALUE"""),"DISERAHKAN")</f>
        <v>DISERAHKAN</v>
      </c>
      <c r="F6683" s="48">
        <f>IFERROR(__xludf.DUMMYFUNCTION("""COMPUTED_VALUE"""),45918.55456909722)</f>
        <v>45918.55457</v>
      </c>
      <c r="G6683" s="42" t="str">
        <f>IFERROR(__xludf.DUMMYFUNCTION("""COMPUTED_VALUE"""),"BN Hibah")</f>
        <v>BN Hibah</v>
      </c>
      <c r="H6683" s="42">
        <f t="shared" si="1"/>
        <v>2901</v>
      </c>
    </row>
    <row r="6684" ht="22.5" customHeight="1">
      <c r="B6684" s="42" t="str">
        <f>IFERROR(__xludf.DUMMYFUNCTION("""COMPUTED_VALUE"""),"K/43/150825/1")</f>
        <v>K/43/150825/1</v>
      </c>
      <c r="C6684" s="42" t="str">
        <f>IFERROR(__xludf.DUMMYFUNCTION("""COMPUTED_VALUE"""),"NIBEL M. 23926/ SUKABUMI")</f>
        <v>NIBEL M. 23926/ SUKABUMI</v>
      </c>
      <c r="D6684" s="42"/>
      <c r="E6684" s="42"/>
      <c r="F6684" s="48" t="str">
        <f>IFERROR(__xludf.DUMMYFUNCTION("""COMPUTED_VALUE"""),"")</f>
        <v/>
      </c>
      <c r="G6684" s="42" t="str">
        <f>IFERROR(__xludf.DUMMYFUNCTION("""COMPUTED_VALUE"""),"BN LELANG")</f>
        <v>BN LELANG</v>
      </c>
      <c r="H6684" s="42">
        <f t="shared" si="1"/>
        <v>2901</v>
      </c>
    </row>
    <row r="6685" ht="22.5" customHeight="1">
      <c r="B6685" s="42" t="str">
        <f>IFERROR(__xludf.DUMMYFUNCTION("""COMPUTED_VALUE"""),"K/22/150825/1")</f>
        <v>K/22/150825/1</v>
      </c>
      <c r="C6685" s="42" t="str">
        <f>IFERROR(__xludf.DUMMYFUNCTION("""COMPUTED_VALUE"""),"M. 830/ JAGABAYA III")</f>
        <v>M. 830/ JAGABAYA III</v>
      </c>
      <c r="D6685" s="42"/>
      <c r="E6685" s="42"/>
      <c r="F6685" s="48" t="str">
        <f>IFERROR(__xludf.DUMMYFUNCTION("""COMPUTED_VALUE"""),"")</f>
        <v/>
      </c>
      <c r="G6685" s="42" t="str">
        <f>IFERROR(__xludf.DUMMYFUNCTION("""COMPUTED_VALUE"""),"ROYA")</f>
        <v>ROYA</v>
      </c>
      <c r="H6685" s="42">
        <f t="shared" si="1"/>
        <v>2901</v>
      </c>
    </row>
    <row r="6686" ht="22.5" customHeight="1">
      <c r="B6686" s="42" t="str">
        <f>IFERROR(__xludf.DUMMYFUNCTION("""COMPUTED_VALUE"""),"K/41/150825/1")</f>
        <v>K/41/150825/1</v>
      </c>
      <c r="C6686" s="42" t="str">
        <f>IFERROR(__xludf.DUMMYFUNCTION("""COMPUTED_VALUE"""),"M. 17651/Sukarame")</f>
        <v>M. 17651/Sukarame</v>
      </c>
      <c r="D6686" s="42"/>
      <c r="E6686" s="42"/>
      <c r="F6686" s="48" t="str">
        <f>IFERROR(__xludf.DUMMYFUNCTION("""COMPUTED_VALUE"""),"")</f>
        <v/>
      </c>
      <c r="G6686" s="42" t="str">
        <f>IFERROR(__xludf.DUMMYFUNCTION("""COMPUTED_VALUE"""),"Roya")</f>
        <v>Roya</v>
      </c>
      <c r="H6686" s="42">
        <f t="shared" si="1"/>
        <v>2901</v>
      </c>
    </row>
    <row r="6687" ht="22.5" customHeight="1">
      <c r="B6687" s="42" t="str">
        <f>IFERROR(__xludf.DUMMYFUNCTION("""COMPUTED_VALUE"""),"K/23/150825/2")</f>
        <v>K/23/150825/2</v>
      </c>
      <c r="C6687" s="42" t="str">
        <f>IFERROR(__xludf.DUMMYFUNCTION("""COMPUTED_VALUE"""),"B. 599/ SUMUR PUTRI")</f>
        <v>B. 599/ SUMUR PUTRI</v>
      </c>
      <c r="D6687" s="42"/>
      <c r="E6687" s="42"/>
      <c r="F6687" s="48" t="str">
        <f>IFERROR(__xludf.DUMMYFUNCTION("""COMPUTED_VALUE"""),"")</f>
        <v/>
      </c>
      <c r="G6687" s="42" t="str">
        <f>IFERROR(__xludf.DUMMYFUNCTION("""COMPUTED_VALUE"""),"BN JUAL BELI")</f>
        <v>BN JUAL BELI</v>
      </c>
      <c r="H6687" s="42">
        <f t="shared" si="1"/>
        <v>2901</v>
      </c>
    </row>
    <row r="6688" ht="22.5" customHeight="1">
      <c r="B6688" s="42" t="str">
        <f>IFERROR(__xludf.DUMMYFUNCTION("""COMPUTED_VALUE"""),"K/24/150825/3")</f>
        <v>K/24/150825/3</v>
      </c>
      <c r="C6688" s="42" t="str">
        <f>IFERROR(__xludf.DUMMYFUNCTION("""COMPUTED_VALUE"""),"M. 16236/ SUMUR PUTRI")</f>
        <v>M. 16236/ SUMUR PUTRI</v>
      </c>
      <c r="D6688" s="42"/>
      <c r="E6688" s="42"/>
      <c r="F6688" s="48" t="str">
        <f>IFERROR(__xludf.DUMMYFUNCTION("""COMPUTED_VALUE"""),"")</f>
        <v/>
      </c>
      <c r="G6688" s="42" t="str">
        <f>IFERROR(__xludf.DUMMYFUNCTION("""COMPUTED_VALUE"""),"BN JUAL BELI")</f>
        <v>BN JUAL BELI</v>
      </c>
      <c r="H6688" s="42">
        <f t="shared" si="1"/>
        <v>2901</v>
      </c>
    </row>
    <row r="6689" ht="22.5" customHeight="1">
      <c r="B6689" s="42" t="str">
        <f>IFERROR(__xludf.DUMMYFUNCTION("""COMPUTED_VALUE"""),"K/25/150825/4")</f>
        <v>K/25/150825/4</v>
      </c>
      <c r="C6689" s="42" t="str">
        <f>IFERROR(__xludf.DUMMYFUNCTION("""COMPUTED_VALUE"""),"M. 1223/ PANJANG UTARA")</f>
        <v>M. 1223/ PANJANG UTARA</v>
      </c>
      <c r="D6689" s="42"/>
      <c r="E6689" s="42"/>
      <c r="F6689" s="48" t="str">
        <f>IFERROR(__xludf.DUMMYFUNCTION("""COMPUTED_VALUE"""),"")</f>
        <v/>
      </c>
      <c r="G6689" s="42" t="str">
        <f>IFERROR(__xludf.DUMMYFUNCTION("""COMPUTED_VALUE"""),"BN WARIS")</f>
        <v>BN WARIS</v>
      </c>
      <c r="H6689" s="42">
        <f t="shared" si="1"/>
        <v>2901</v>
      </c>
    </row>
    <row r="6690" ht="22.5" customHeight="1">
      <c r="B6690" s="42" t="str">
        <f>IFERROR(__xludf.DUMMYFUNCTION("""COMPUTED_VALUE"""),"L/1/190825/1")</f>
        <v>L/1/190825/1</v>
      </c>
      <c r="C6690" s="42" t="str">
        <f>IFERROR(__xludf.DUMMYFUNCTION("""COMPUTED_VALUE"""),"B. 1374/PINANG JAYA")</f>
        <v>B. 1374/PINANG JAYA</v>
      </c>
      <c r="D6690" s="42" t="str">
        <f>IFERROR(__xludf.DUMMYFUNCTION("""COMPUTED_VALUE"""),"Berry")</f>
        <v>Berry</v>
      </c>
      <c r="E6690" s="42" t="str">
        <f>IFERROR(__xludf.DUMMYFUNCTION("""COMPUTED_VALUE"""),"DISERAHKAN")</f>
        <v>DISERAHKAN</v>
      </c>
      <c r="F6690" s="48">
        <f>IFERROR(__xludf.DUMMYFUNCTION("""COMPUTED_VALUE"""),45922.642176134264)</f>
        <v>45922.64218</v>
      </c>
      <c r="G6690" s="42" t="str">
        <f>IFERROR(__xludf.DUMMYFUNCTION("""COMPUTED_VALUE"""),"PENINGKATAN HAK")</f>
        <v>PENINGKATAN HAK</v>
      </c>
      <c r="H6690" s="42">
        <f t="shared" si="1"/>
        <v>2902</v>
      </c>
    </row>
    <row r="6691" ht="22.5" customHeight="1">
      <c r="B6691" s="42" t="str">
        <f>IFERROR(__xludf.DUMMYFUNCTION("""COMPUTED_VALUE"""),"L/42/150825/1")</f>
        <v>L/42/150825/1</v>
      </c>
      <c r="C6691" s="42" t="str">
        <f>IFERROR(__xludf.DUMMYFUNCTION("""COMPUTED_VALUE"""),"M. 14096/LABUHAN RATU")</f>
        <v>M. 14096/LABUHAN RATU</v>
      </c>
      <c r="D6691" s="42"/>
      <c r="E6691" s="42"/>
      <c r="F6691" s="48" t="str">
        <f>IFERROR(__xludf.DUMMYFUNCTION("""COMPUTED_VALUE"""),"")</f>
        <v/>
      </c>
      <c r="G6691" s="42" t="str">
        <f>IFERROR(__xludf.DUMMYFUNCTION("""COMPUTED_VALUE"""),"PENATAAN BATAS")</f>
        <v>PENATAAN BATAS</v>
      </c>
      <c r="H6691" s="42">
        <f t="shared" si="1"/>
        <v>2902</v>
      </c>
    </row>
    <row r="6692" ht="22.5" customHeight="1">
      <c r="B6692" s="42" t="str">
        <f>IFERROR(__xludf.DUMMYFUNCTION("""COMPUTED_VALUE"""),"L/2/190826/1")</f>
        <v>L/2/190826/1</v>
      </c>
      <c r="C6692" s="42" t="str">
        <f>IFERROR(__xludf.DUMMYFUNCTION("""COMPUTED_VALUE"""),"M. 5604/KEDATON")</f>
        <v>M. 5604/KEDATON</v>
      </c>
      <c r="D6692" s="42"/>
      <c r="E6692" s="42"/>
      <c r="F6692" s="48" t="str">
        <f>IFERROR(__xludf.DUMMYFUNCTION("""COMPUTED_VALUE"""),"")</f>
        <v/>
      </c>
      <c r="G6692" s="42" t="str">
        <f>IFERROR(__xludf.DUMMYFUNCTION("""COMPUTED_VALUE"""),"SERTIPIKAT HILANG")</f>
        <v>SERTIPIKAT HILANG</v>
      </c>
      <c r="H6692" s="42">
        <f t="shared" si="1"/>
        <v>2902</v>
      </c>
    </row>
    <row r="6693" ht="22.5" customHeight="1">
      <c r="B6693" s="42" t="str">
        <f>IFERROR(__xludf.DUMMYFUNCTION("""COMPUTED_VALUE"""),"L/3/190825/1")</f>
        <v>L/3/190825/1</v>
      </c>
      <c r="C6693" s="42" t="str">
        <f>IFERROR(__xludf.DUMMYFUNCTION("""COMPUTED_VALUE"""),"M. 837/LANGKAPURA BARU")</f>
        <v>M. 837/LANGKAPURA BARU</v>
      </c>
      <c r="D6693" s="42"/>
      <c r="E6693" s="42"/>
      <c r="F6693" s="48" t="str">
        <f>IFERROR(__xludf.DUMMYFUNCTION("""COMPUTED_VALUE"""),"")</f>
        <v/>
      </c>
      <c r="G6693" s="42" t="str">
        <f>IFERROR(__xludf.DUMMYFUNCTION("""COMPUTED_VALUE"""),"HAPUS BPHTB")</f>
        <v>HAPUS BPHTB</v>
      </c>
      <c r="H6693" s="42">
        <f t="shared" si="1"/>
        <v>2902</v>
      </c>
    </row>
    <row r="6694" ht="22.5" customHeight="1">
      <c r="B6694" s="42" t="str">
        <f>IFERROR(__xludf.DUMMYFUNCTION("""COMPUTED_VALUE"""),"K/6/190825/1")</f>
        <v>K/6/190825/1</v>
      </c>
      <c r="C6694" s="42" t="str">
        <f>IFERROR(__xludf.DUMMYFUNCTION("""COMPUTED_VALUE"""),"M. 9600/ KAMPUNG BARU")</f>
        <v>M. 9600/ KAMPUNG BARU</v>
      </c>
      <c r="D6694" s="42"/>
      <c r="E6694" s="42"/>
      <c r="F6694" s="48" t="str">
        <f>IFERROR(__xludf.DUMMYFUNCTION("""COMPUTED_VALUE"""),"")</f>
        <v/>
      </c>
      <c r="G6694" s="42" t="str">
        <f>IFERROR(__xludf.DUMMYFUNCTION("""COMPUTED_VALUE"""),"ROYA")</f>
        <v>ROYA</v>
      </c>
      <c r="H6694" s="42">
        <f t="shared" si="1"/>
        <v>2902</v>
      </c>
    </row>
    <row r="6695" ht="22.5" customHeight="1">
      <c r="B6695" s="42" t="str">
        <f>IFERROR(__xludf.DUMMYFUNCTION("""COMPUTED_VALUE"""),"K/4/190825/1")</f>
        <v>K/4/190825/1</v>
      </c>
      <c r="C6695" s="42" t="str">
        <f>IFERROR(__xludf.DUMMYFUNCTION("""COMPUTED_VALUE"""),"B. 622/NUSANTARA PERMAI")</f>
        <v>B. 622/NUSANTARA PERMAI</v>
      </c>
      <c r="D6695" s="42"/>
      <c r="E6695" s="42"/>
      <c r="F6695" s="48" t="str">
        <f>IFERROR(__xludf.DUMMYFUNCTION("""COMPUTED_VALUE"""),"")</f>
        <v/>
      </c>
      <c r="G6695" s="42" t="str">
        <f>IFERROR(__xludf.DUMMYFUNCTION("""COMPUTED_VALUE"""),"PENINGKATAN HAK")</f>
        <v>PENINGKATAN HAK</v>
      </c>
      <c r="H6695" s="42">
        <f t="shared" si="1"/>
        <v>2902</v>
      </c>
    </row>
    <row r="6696" ht="22.5" customHeight="1">
      <c r="B6696" s="42" t="str">
        <f>IFERROR(__xludf.DUMMYFUNCTION("""COMPUTED_VALUE"""),"K/7/190826/1")</f>
        <v>K/7/190826/1</v>
      </c>
      <c r="C6696" s="42" t="str">
        <f>IFERROR(__xludf.DUMMYFUNCTION("""COMPUTED_VALUE"""),"B. 624/NUSANTARA PERMAI")</f>
        <v>B. 624/NUSANTARA PERMAI</v>
      </c>
      <c r="D6696" s="42"/>
      <c r="E6696" s="42"/>
      <c r="F6696" s="48" t="str">
        <f>IFERROR(__xludf.DUMMYFUNCTION("""COMPUTED_VALUE"""),"")</f>
        <v/>
      </c>
      <c r="G6696" s="42" t="str">
        <f>IFERROR(__xludf.DUMMYFUNCTION("""COMPUTED_VALUE"""),"PERUBAHAN HAK")</f>
        <v>PERUBAHAN HAK</v>
      </c>
      <c r="H6696" s="42">
        <f t="shared" si="1"/>
        <v>2902</v>
      </c>
    </row>
    <row r="6697" ht="22.5" customHeight="1">
      <c r="B6697" s="42" t="str">
        <f>IFERROR(__xludf.DUMMYFUNCTION("""COMPUTED_VALUE"""),"L/8/190825/1")</f>
        <v>L/8/190825/1</v>
      </c>
      <c r="C6697" s="42" t="str">
        <f>IFERROR(__xludf.DUMMYFUNCTION("""COMPUTED_VALUE"""),"B. 1096/RAJABASA")</f>
        <v>B. 1096/RAJABASA</v>
      </c>
      <c r="D6697" s="42"/>
      <c r="E6697" s="42"/>
      <c r="F6697" s="48" t="str">
        <f>IFERROR(__xludf.DUMMYFUNCTION("""COMPUTED_VALUE"""),"")</f>
        <v/>
      </c>
      <c r="G6697" s="42" t="str">
        <f>IFERROR(__xludf.DUMMYFUNCTION("""COMPUTED_VALUE"""),"ROYA")</f>
        <v>ROYA</v>
      </c>
      <c r="H6697" s="42">
        <f t="shared" si="1"/>
        <v>2902</v>
      </c>
    </row>
    <row r="6698" ht="22.5" customHeight="1">
      <c r="B6698" s="42" t="str">
        <f>IFERROR(__xludf.DUMMYFUNCTION("""COMPUTED_VALUE"""),"K/5/190825/1")</f>
        <v>K/5/190825/1</v>
      </c>
      <c r="C6698" s="42" t="str">
        <f>IFERROR(__xludf.DUMMYFUNCTION("""COMPUTED_VALUE"""),"M. 2180/ KEDAUNG")</f>
        <v>M. 2180/ KEDAUNG</v>
      </c>
      <c r="D6698" s="42" t="str">
        <f>IFERROR(__xludf.DUMMYFUNCTION("""COMPUTED_VALUE"""),"Berry")</f>
        <v>Berry</v>
      </c>
      <c r="E6698" s="42" t="str">
        <f>IFERROR(__xludf.DUMMYFUNCTION("""COMPUTED_VALUE"""),"DISERAHKAN")</f>
        <v>DISERAHKAN</v>
      </c>
      <c r="F6698" s="48">
        <f>IFERROR(__xludf.DUMMYFUNCTION("""COMPUTED_VALUE"""),45951.48016111111)</f>
        <v>45951.48016</v>
      </c>
      <c r="G6698" s="42" t="str">
        <f>IFERROR(__xludf.DUMMYFUNCTION("""COMPUTED_VALUE"""),"SKPT LELANG")</f>
        <v>SKPT LELANG</v>
      </c>
      <c r="H6698" s="42">
        <f t="shared" si="1"/>
        <v>2903</v>
      </c>
    </row>
    <row r="6699" ht="22.5" customHeight="1">
      <c r="B6699" s="42" t="str">
        <f>IFERROR(__xludf.DUMMYFUNCTION("""COMPUTED_VALUE"""),"L/9/190825/1")</f>
        <v>L/9/190825/1</v>
      </c>
      <c r="C6699" s="42" t="str">
        <f>IFERROR(__xludf.DUMMYFUNCTION("""COMPUTED_VALUE"""),"B. 919/SUKARAME BARU")</f>
        <v>B. 919/SUKARAME BARU</v>
      </c>
      <c r="D6699" s="42"/>
      <c r="E6699" s="42"/>
      <c r="F6699" s="48" t="str">
        <f>IFERROR(__xludf.DUMMYFUNCTION("""COMPUTED_VALUE"""),"")</f>
        <v/>
      </c>
      <c r="G6699" s="42" t="str">
        <f>IFERROR(__xludf.DUMMYFUNCTION("""COMPUTED_VALUE"""),"PENINGKATAN HAK")</f>
        <v>PENINGKATAN HAK</v>
      </c>
      <c r="H6699" s="42">
        <f t="shared" si="1"/>
        <v>2903</v>
      </c>
    </row>
    <row r="6700" ht="22.5" customHeight="1">
      <c r="B6700" s="42" t="str">
        <f>IFERROR(__xludf.DUMMYFUNCTION("""COMPUTED_VALUE"""),"L/10/190825/1")</f>
        <v>L/10/190825/1</v>
      </c>
      <c r="C6700" s="42" t="str">
        <f>IFERROR(__xludf.DUMMYFUNCTION("""COMPUTED_VALUE"""),"B. 918/SUKARAME BARU")</f>
        <v>B. 918/SUKARAME BARU</v>
      </c>
      <c r="D6700" s="42" t="str">
        <f>IFERROR(__xludf.DUMMYFUNCTION("""COMPUTED_VALUE"""),"Berry")</f>
        <v>Berry</v>
      </c>
      <c r="E6700" s="42" t="str">
        <f>IFERROR(__xludf.DUMMYFUNCTION("""COMPUTED_VALUE"""),"DISERAHKAN")</f>
        <v>DISERAHKAN</v>
      </c>
      <c r="F6700" s="48">
        <f>IFERROR(__xludf.DUMMYFUNCTION("""COMPUTED_VALUE"""),45908.67025574074)</f>
        <v>45908.67026</v>
      </c>
      <c r="G6700" s="42" t="str">
        <f>IFERROR(__xludf.DUMMYFUNCTION("""COMPUTED_VALUE"""),"PENINGKATAN HAK")</f>
        <v>PENINGKATAN HAK</v>
      </c>
      <c r="H6700" s="42">
        <f t="shared" si="1"/>
        <v>2904</v>
      </c>
    </row>
    <row r="6701" ht="22.5" customHeight="1">
      <c r="B6701" s="42" t="str">
        <f>IFERROR(__xludf.DUMMYFUNCTION("""COMPUTED_VALUE"""),"K/11/190825/1")</f>
        <v>K/11/190825/1</v>
      </c>
      <c r="C6701" s="42" t="str">
        <f>IFERROR(__xludf.DUMMYFUNCTION("""COMPUTED_VALUE"""),"LABUHAN DALAM")</f>
        <v>LABUHAN DALAM</v>
      </c>
      <c r="D6701" s="42" t="str">
        <f>IFERROR(__xludf.DUMMYFUNCTION("""COMPUTED_VALUE"""),"David")</f>
        <v>David</v>
      </c>
      <c r="E6701" s="42" t="str">
        <f>IFERROR(__xludf.DUMMYFUNCTION("""COMPUTED_VALUE"""),"DISERAHKAN")</f>
        <v>DISERAHKAN</v>
      </c>
      <c r="F6701" s="48">
        <f>IFERROR(__xludf.DUMMYFUNCTION("""COMPUTED_VALUE"""),45908.66995519676)</f>
        <v>45908.66996</v>
      </c>
      <c r="G6701" s="42" t="str">
        <f>IFERROR(__xludf.DUMMYFUNCTION("""COMPUTED_VALUE"""),"PENGUKURAN PERTAMA KALI")</f>
        <v>PENGUKURAN PERTAMA KALI</v>
      </c>
      <c r="H6701" s="42">
        <f t="shared" si="1"/>
        <v>2905</v>
      </c>
    </row>
    <row r="6702" ht="22.5" customHeight="1">
      <c r="B6702" s="42" t="str">
        <f>IFERROR(__xludf.DUMMYFUNCTION("""COMPUTED_VALUE"""),"K/12/190825/1")</f>
        <v>K/12/190825/1</v>
      </c>
      <c r="C6702" s="42" t="str">
        <f>IFERROR(__xludf.DUMMYFUNCTION("""COMPUTED_VALUE"""),"B. 480/PERUMNAS WAY KANDIS")</f>
        <v>B. 480/PERUMNAS WAY KANDIS</v>
      </c>
      <c r="D6702" s="42"/>
      <c r="E6702" s="42"/>
      <c r="F6702" s="48" t="str">
        <f>IFERROR(__xludf.DUMMYFUNCTION("""COMPUTED_VALUE"""),"")</f>
        <v/>
      </c>
      <c r="G6702" s="42" t="str">
        <f>IFERROR(__xludf.DUMMYFUNCTION("""COMPUTED_VALUE"""),"BN JUAL BELI")</f>
        <v>BN JUAL BELI</v>
      </c>
      <c r="H6702" s="42">
        <f t="shared" si="1"/>
        <v>2905</v>
      </c>
    </row>
    <row r="6703" ht="22.5" customHeight="1">
      <c r="B6703" s="42" t="str">
        <f>IFERROR(__xludf.DUMMYFUNCTION("""COMPUTED_VALUE"""),"K/13/190825/1")</f>
        <v>K/13/190825/1</v>
      </c>
      <c r="C6703" s="42" t="str">
        <f>IFERROR(__xludf.DUMMYFUNCTION("""COMPUTED_VALUE"""),"NIBEL M. 3241/LANGKAPURA")</f>
        <v>NIBEL M. 3241/LANGKAPURA</v>
      </c>
      <c r="D6703" s="42" t="str">
        <f>IFERROR(__xludf.DUMMYFUNCTION("""COMPUTED_VALUE"""),"Berry")</f>
        <v>Berry</v>
      </c>
      <c r="E6703" s="42" t="str">
        <f>IFERROR(__xludf.DUMMYFUNCTION("""COMPUTED_VALUE"""),"DISERAHKAN")</f>
        <v>DISERAHKAN</v>
      </c>
      <c r="F6703" s="48">
        <f>IFERROR(__xludf.DUMMYFUNCTION("""COMPUTED_VALUE"""),45915.58846021991)</f>
        <v>45915.58846</v>
      </c>
      <c r="G6703" s="42" t="str">
        <f>IFERROR(__xludf.DUMMYFUNCTION("""COMPUTED_VALUE"""),"BN JUAL BELI")</f>
        <v>BN JUAL BELI</v>
      </c>
      <c r="H6703" s="42">
        <f t="shared" si="1"/>
        <v>2906</v>
      </c>
    </row>
    <row r="6704" ht="22.5" customHeight="1">
      <c r="B6704" s="42" t="str">
        <f>IFERROR(__xludf.DUMMYFUNCTION("""COMPUTED_VALUE"""),"L/17/190825/1")</f>
        <v>L/17/190825/1</v>
      </c>
      <c r="C6704" s="42" t="str">
        <f>IFERROR(__xludf.DUMMYFUNCTION("""COMPUTED_VALUE"""),"M. 2055/KOTA BARU")</f>
        <v>M. 2055/KOTA BARU</v>
      </c>
      <c r="D6704" s="42"/>
      <c r="E6704" s="42"/>
      <c r="F6704" s="48" t="str">
        <f>IFERROR(__xludf.DUMMYFUNCTION("""COMPUTED_VALUE"""),"")</f>
        <v/>
      </c>
      <c r="G6704" s="42" t="str">
        <f>IFERROR(__xludf.DUMMYFUNCTION("""COMPUTED_VALUE"""),"GANTI BLANKO")</f>
        <v>GANTI BLANKO</v>
      </c>
      <c r="H6704" s="42">
        <f t="shared" si="1"/>
        <v>2906</v>
      </c>
    </row>
    <row r="6705" ht="22.5" customHeight="1">
      <c r="B6705" s="42" t="str">
        <f>IFERROR(__xludf.DUMMYFUNCTION("""COMPUTED_VALUE"""),"L/19/190825/1")</f>
        <v>L/19/190825/1</v>
      </c>
      <c r="C6705" s="42" t="str">
        <f>IFERROR(__xludf.DUMMYFUNCTION("""COMPUTED_VALUE"""),"M NIB. 21164/KEDAMAIAN")</f>
        <v>M NIB. 21164/KEDAMAIAN</v>
      </c>
      <c r="D6705" s="42"/>
      <c r="E6705" s="42"/>
      <c r="F6705" s="48" t="str">
        <f>IFERROR(__xludf.DUMMYFUNCTION("""COMPUTED_VALUE"""),"")</f>
        <v/>
      </c>
      <c r="G6705" s="42" t="str">
        <f>IFERROR(__xludf.DUMMYFUNCTION("""COMPUTED_VALUE"""),"PEMECAHAN")</f>
        <v>PEMECAHAN</v>
      </c>
      <c r="H6705" s="42">
        <f t="shared" si="1"/>
        <v>2906</v>
      </c>
    </row>
    <row r="6706" ht="22.5" customHeight="1">
      <c r="B6706" s="42" t="str">
        <f>IFERROR(__xludf.DUMMYFUNCTION("""COMPUTED_VALUE"""),"L/23/190826/1")</f>
        <v>L/23/190826/1</v>
      </c>
      <c r="C6706" s="42" t="str">
        <f>IFERROR(__xludf.DUMMYFUNCTION("""COMPUTED_VALUE"""),"B. 184/GEDUNG MENENG")</f>
        <v>B. 184/GEDUNG MENENG</v>
      </c>
      <c r="D6706" s="42"/>
      <c r="E6706" s="42"/>
      <c r="F6706" s="48" t="str">
        <f>IFERROR(__xludf.DUMMYFUNCTION("""COMPUTED_VALUE"""),"")</f>
        <v/>
      </c>
      <c r="G6706" s="42" t="str">
        <f>IFERROR(__xludf.DUMMYFUNCTION("""COMPUTED_VALUE"""),"PENINGKATAN HAK")</f>
        <v>PENINGKATAN HAK</v>
      </c>
      <c r="H6706" s="42">
        <f t="shared" si="1"/>
        <v>2906</v>
      </c>
    </row>
    <row r="6707" ht="22.5" customHeight="1">
      <c r="B6707" s="42" t="str">
        <f>IFERROR(__xludf.DUMMYFUNCTION("""COMPUTED_VALUE"""),"K/16/190825/3")</f>
        <v>K/16/190825/3</v>
      </c>
      <c r="C6707" s="42" t="str">
        <f>IFERROR(__xludf.DUMMYFUNCTION("""COMPUTED_VALUE"""),"M. 595/ KORPRI RAYA")</f>
        <v>M. 595/ KORPRI RAYA</v>
      </c>
      <c r="D6707" s="42" t="str">
        <f>IFERROR(__xludf.DUMMYFUNCTION("""COMPUTED_VALUE"""),"David")</f>
        <v>David</v>
      </c>
      <c r="E6707" s="42" t="str">
        <f>IFERROR(__xludf.DUMMYFUNCTION("""COMPUTED_VALUE"""),"DISERAHKAN")</f>
        <v>DISERAHKAN</v>
      </c>
      <c r="F6707" s="48">
        <f>IFERROR(__xludf.DUMMYFUNCTION("""COMPUTED_VALUE"""),45908.6677809838)</f>
        <v>45908.66778</v>
      </c>
      <c r="G6707" s="42" t="str">
        <f>IFERROR(__xludf.DUMMYFUNCTION("""COMPUTED_VALUE"""),"BN HIBAH")</f>
        <v>BN HIBAH</v>
      </c>
      <c r="H6707" s="42">
        <f t="shared" si="1"/>
        <v>2907</v>
      </c>
    </row>
    <row r="6708" ht="22.5" customHeight="1">
      <c r="B6708" s="42" t="str">
        <f>IFERROR(__xludf.DUMMYFUNCTION("""COMPUTED_VALUE"""),"K/15/190825/2")</f>
        <v>K/15/190825/2</v>
      </c>
      <c r="C6708" s="42" t="str">
        <f>IFERROR(__xludf.DUMMYFUNCTION("""COMPUTED_VALUE"""),"M. 1412/ PESAWAHAN")</f>
        <v>M. 1412/ PESAWAHAN</v>
      </c>
      <c r="D6708" s="42" t="str">
        <f>IFERROR(__xludf.DUMMYFUNCTION("""COMPUTED_VALUE"""),"Berry")</f>
        <v>Berry</v>
      </c>
      <c r="E6708" s="42" t="str">
        <f>IFERROR(__xludf.DUMMYFUNCTION("""COMPUTED_VALUE"""),"DISERAHKAN")</f>
        <v>DISERAHKAN</v>
      </c>
      <c r="F6708" s="48">
        <f>IFERROR(__xludf.DUMMYFUNCTION("""COMPUTED_VALUE"""),45926.59575828703)</f>
        <v>45926.59576</v>
      </c>
      <c r="G6708" s="42" t="str">
        <f>IFERROR(__xludf.DUMMYFUNCTION("""COMPUTED_VALUE"""),"BN HIBAH")</f>
        <v>BN HIBAH</v>
      </c>
      <c r="H6708" s="42">
        <f t="shared" si="1"/>
        <v>2908</v>
      </c>
    </row>
    <row r="6709" ht="22.5" customHeight="1">
      <c r="B6709" s="42" t="str">
        <f>IFERROR(__xludf.DUMMYFUNCTION("""COMPUTED_VALUE"""),"K/14/190825/1")</f>
        <v>K/14/190825/1</v>
      </c>
      <c r="C6709" s="42" t="str">
        <f>IFERROR(__xludf.DUMMYFUNCTION("""COMPUTED_VALUE"""),"M. 1208/ RAWA LAUT")</f>
        <v>M. 1208/ RAWA LAUT</v>
      </c>
      <c r="D6709" s="42" t="str">
        <f>IFERROR(__xludf.DUMMYFUNCTION("""COMPUTED_VALUE"""),"Berry")</f>
        <v>Berry</v>
      </c>
      <c r="E6709" s="42" t="str">
        <f>IFERROR(__xludf.DUMMYFUNCTION("""COMPUTED_VALUE"""),"DISERAHKAN")</f>
        <v>DISERAHKAN</v>
      </c>
      <c r="F6709" s="48">
        <f>IFERROR(__xludf.DUMMYFUNCTION("""COMPUTED_VALUE"""),45908.63577908565)</f>
        <v>45908.63578</v>
      </c>
      <c r="G6709" s="42" t="str">
        <f>IFERROR(__xludf.DUMMYFUNCTION("""COMPUTED_VALUE"""),"BN HIBAH")</f>
        <v>BN HIBAH</v>
      </c>
      <c r="H6709" s="42">
        <f t="shared" si="1"/>
        <v>2909</v>
      </c>
    </row>
    <row r="6710" ht="22.5" customHeight="1">
      <c r="B6710" s="42" t="str">
        <f>IFERROR(__xludf.DUMMYFUNCTION("""COMPUTED_VALUE"""),"K/24/190826/1")</f>
        <v>K/24/190826/1</v>
      </c>
      <c r="C6710" s="42" t="str">
        <f>IFERROR(__xludf.DUMMYFUNCTION("""COMPUTED_VALUE"""),"NIBEL M. 17283/SIDODADI")</f>
        <v>NIBEL M. 17283/SIDODADI</v>
      </c>
      <c r="D6710" s="42" t="str">
        <f>IFERROR(__xludf.DUMMYFUNCTION("""COMPUTED_VALUE"""),"Berry")</f>
        <v>Berry</v>
      </c>
      <c r="E6710" s="42" t="str">
        <f>IFERROR(__xludf.DUMMYFUNCTION("""COMPUTED_VALUE"""),"DISERAHKAN")</f>
        <v>DISERAHKAN</v>
      </c>
      <c r="F6710" s="48">
        <f>IFERROR(__xludf.DUMMYFUNCTION("""COMPUTED_VALUE"""),45910.593028449075)</f>
        <v>45910.59303</v>
      </c>
      <c r="G6710" s="42" t="str">
        <f>IFERROR(__xludf.DUMMYFUNCTION("""COMPUTED_VALUE"""),"BN JUAL BELI")</f>
        <v>BN JUAL BELI</v>
      </c>
      <c r="H6710" s="42">
        <f t="shared" si="1"/>
        <v>2910</v>
      </c>
    </row>
    <row r="6711" ht="22.5" customHeight="1">
      <c r="B6711" s="42" t="str">
        <f>IFERROR(__xludf.DUMMYFUNCTION("""COMPUTED_VALUE"""),"K/29/190825/1")</f>
        <v>K/29/190825/1</v>
      </c>
      <c r="C6711" s="42" t="str">
        <f>IFERROR(__xludf.DUMMYFUNCTION("""COMPUTED_VALUE"""),"M. 11381/KEDAMAIAN")</f>
        <v>M. 11381/KEDAMAIAN</v>
      </c>
      <c r="D6711" s="42"/>
      <c r="E6711" s="42"/>
      <c r="F6711" s="48" t="str">
        <f>IFERROR(__xludf.DUMMYFUNCTION("""COMPUTED_VALUE"""),"")</f>
        <v/>
      </c>
      <c r="G6711" s="42" t="str">
        <f>IFERROR(__xludf.DUMMYFUNCTION("""COMPUTED_VALUE"""),"ROYA ")</f>
        <v>ROYA </v>
      </c>
      <c r="H6711" s="42">
        <f t="shared" si="1"/>
        <v>2910</v>
      </c>
    </row>
    <row r="6712" ht="22.5" customHeight="1">
      <c r="B6712" s="42" t="str">
        <f>IFERROR(__xludf.DUMMYFUNCTION("""COMPUTED_VALUE"""),"K/30/190825/1")</f>
        <v>K/30/190825/1</v>
      </c>
      <c r="C6712" s="42" t="str">
        <f>IFERROR(__xludf.DUMMYFUNCTION("""COMPUTED_VALUE"""),"NIBEL M. 19350/KEDAMAIAN")</f>
        <v>NIBEL M. 19350/KEDAMAIAN</v>
      </c>
      <c r="D6712" s="42"/>
      <c r="E6712" s="42"/>
      <c r="F6712" s="48" t="str">
        <f>IFERROR(__xludf.DUMMYFUNCTION("""COMPUTED_VALUE"""),"")</f>
        <v/>
      </c>
      <c r="G6712" s="42" t="str">
        <f>IFERROR(__xludf.DUMMYFUNCTION("""COMPUTED_VALUE"""),"BN APHB")</f>
        <v>BN APHB</v>
      </c>
      <c r="H6712" s="42">
        <f t="shared" si="1"/>
        <v>2910</v>
      </c>
    </row>
    <row r="6713" ht="22.5" customHeight="1">
      <c r="B6713" s="42" t="str">
        <f>IFERROR(__xludf.DUMMYFUNCTION("""COMPUTED_VALUE"""),"K/25/190825/1")</f>
        <v>K/25/190825/1</v>
      </c>
      <c r="C6713" s="42" t="str">
        <f>IFERROR(__xludf.DUMMYFUNCTION("""COMPUTED_VALUE"""),"M. 1608/ KETEGUHAN")</f>
        <v>M. 1608/ KETEGUHAN</v>
      </c>
      <c r="D6713" s="42"/>
      <c r="E6713" s="42"/>
      <c r="F6713" s="48" t="str">
        <f>IFERROR(__xludf.DUMMYFUNCTION("""COMPUTED_VALUE"""),"")</f>
        <v/>
      </c>
      <c r="G6713" s="42" t="str">
        <f>IFERROR(__xludf.DUMMYFUNCTION("""COMPUTED_VALUE"""),"BN JUAL BELI")</f>
        <v>BN JUAL BELI</v>
      </c>
      <c r="H6713" s="42">
        <f t="shared" si="1"/>
        <v>2910</v>
      </c>
    </row>
    <row r="6714" ht="22.5" customHeight="1">
      <c r="B6714" s="42" t="str">
        <f>IFERROR(__xludf.DUMMYFUNCTION("""COMPUTED_VALUE"""),"L/31/190825/1")</f>
        <v>L/31/190825/1</v>
      </c>
      <c r="C6714" s="42" t="str">
        <f>IFERROR(__xludf.DUMMYFUNCTION("""COMPUTED_VALUE"""),"M. 721/SUMBEREJO SEJAHTERA")</f>
        <v>M. 721/SUMBEREJO SEJAHTERA</v>
      </c>
      <c r="D6714" s="42" t="str">
        <f>IFERROR(__xludf.DUMMYFUNCTION("""COMPUTED_VALUE"""),"Berry")</f>
        <v>Berry</v>
      </c>
      <c r="E6714" s="42" t="str">
        <f>IFERROR(__xludf.DUMMYFUNCTION("""COMPUTED_VALUE"""),"DISERAHKAN")</f>
        <v>DISERAHKAN</v>
      </c>
      <c r="F6714" s="48">
        <f>IFERROR(__xludf.DUMMYFUNCTION("""COMPUTED_VALUE"""),45915.5867950463)</f>
        <v>45915.5868</v>
      </c>
      <c r="G6714" s="42" t="str">
        <f>IFERROR(__xludf.DUMMYFUNCTION("""COMPUTED_VALUE"""),"HAPUS BPHTB")</f>
        <v>HAPUS BPHTB</v>
      </c>
      <c r="H6714" s="42">
        <f t="shared" si="1"/>
        <v>2911</v>
      </c>
    </row>
    <row r="6715" ht="22.5" customHeight="1">
      <c r="B6715" s="42" t="str">
        <f>IFERROR(__xludf.DUMMYFUNCTION("""COMPUTED_VALUE"""),"K/26/190825/2")</f>
        <v>K/26/190825/2</v>
      </c>
      <c r="C6715" s="42" t="str">
        <f>IFERROR(__xludf.DUMMYFUNCTION("""COMPUTED_VALUE"""),"M. 1609/ KETEGUHAN")</f>
        <v>M. 1609/ KETEGUHAN</v>
      </c>
      <c r="D6715" s="42" t="str">
        <f>IFERROR(__xludf.DUMMYFUNCTION("""COMPUTED_VALUE"""),"Berry")</f>
        <v>Berry</v>
      </c>
      <c r="E6715" s="42" t="str">
        <f>IFERROR(__xludf.DUMMYFUNCTION("""COMPUTED_VALUE"""),"DISERAHKAN")</f>
        <v>DISERAHKAN</v>
      </c>
      <c r="F6715" s="48">
        <f>IFERROR(__xludf.DUMMYFUNCTION("""COMPUTED_VALUE"""),45904.595672696756)</f>
        <v>45904.59567</v>
      </c>
      <c r="G6715" s="42" t="str">
        <f>IFERROR(__xludf.DUMMYFUNCTION("""COMPUTED_VALUE"""),"BN JUAL BELI")</f>
        <v>BN JUAL BELI</v>
      </c>
      <c r="H6715" s="42">
        <f t="shared" si="1"/>
        <v>2912</v>
      </c>
    </row>
    <row r="6716" ht="22.5" customHeight="1">
      <c r="B6716" s="42" t="str">
        <f>IFERROR(__xludf.DUMMYFUNCTION("""COMPUTED_VALUE"""),"K/27/190825/3")</f>
        <v>K/27/190825/3</v>
      </c>
      <c r="C6716" s="42" t="str">
        <f>IFERROR(__xludf.DUMMYFUNCTION("""COMPUTED_VALUE"""),"M. 1726/ KETEGUHAN")</f>
        <v>M. 1726/ KETEGUHAN</v>
      </c>
      <c r="D6716" s="42" t="str">
        <f>IFERROR(__xludf.DUMMYFUNCTION("""COMPUTED_VALUE"""),"Berry")</f>
        <v>Berry</v>
      </c>
      <c r="E6716" s="42" t="str">
        <f>IFERROR(__xludf.DUMMYFUNCTION("""COMPUTED_VALUE"""),"DISERAHKAN")</f>
        <v>DISERAHKAN</v>
      </c>
      <c r="F6716" s="48">
        <f>IFERROR(__xludf.DUMMYFUNCTION("""COMPUTED_VALUE"""),45908.63390487268)</f>
        <v>45908.6339</v>
      </c>
      <c r="G6716" s="42" t="str">
        <f>IFERROR(__xludf.DUMMYFUNCTION("""COMPUTED_VALUE"""),"BN JUAL BELI")</f>
        <v>BN JUAL BELI</v>
      </c>
      <c r="H6716" s="42">
        <f t="shared" si="1"/>
        <v>2913</v>
      </c>
    </row>
    <row r="6717" ht="22.5" customHeight="1">
      <c r="B6717" s="42" t="str">
        <f>IFERROR(__xludf.DUMMYFUNCTION("""COMPUTED_VALUE"""),"K/28/190825/4")</f>
        <v>K/28/190825/4</v>
      </c>
      <c r="C6717" s="42" t="str">
        <f>IFERROR(__xludf.DUMMYFUNCTION("""COMPUTED_VALUE"""),"M. 1727/ KETEGUHAN")</f>
        <v>M. 1727/ KETEGUHAN</v>
      </c>
      <c r="D6717" s="42" t="str">
        <f>IFERROR(__xludf.DUMMYFUNCTION("""COMPUTED_VALUE"""),"Berry")</f>
        <v>Berry</v>
      </c>
      <c r="E6717" s="42" t="str">
        <f>IFERROR(__xludf.DUMMYFUNCTION("""COMPUTED_VALUE"""),"DISERAHKAN")</f>
        <v>DISERAHKAN</v>
      </c>
      <c r="F6717" s="48">
        <f>IFERROR(__xludf.DUMMYFUNCTION("""COMPUTED_VALUE"""),45915.58653217593)</f>
        <v>45915.58653</v>
      </c>
      <c r="G6717" s="42" t="str">
        <f>IFERROR(__xludf.DUMMYFUNCTION("""COMPUTED_VALUE"""),"BN JUAL BELI")</f>
        <v>BN JUAL BELI</v>
      </c>
      <c r="H6717" s="42">
        <f t="shared" si="1"/>
        <v>2914</v>
      </c>
    </row>
    <row r="6718" ht="22.5" customHeight="1">
      <c r="B6718" s="42" t="str">
        <f>IFERROR(__xludf.DUMMYFUNCTION("""COMPUTED_VALUE"""),"K/18/190825/1")</f>
        <v>K/18/190825/1</v>
      </c>
      <c r="C6718" s="42" t="str">
        <f>IFERROR(__xludf.DUMMYFUNCTION("""COMPUTED_VALUE"""),"M. 19118/ SUKARAME")</f>
        <v>M. 19118/ SUKARAME</v>
      </c>
      <c r="D6718" s="42" t="str">
        <f>IFERROR(__xludf.DUMMYFUNCTION("""COMPUTED_VALUE"""),"David")</f>
        <v>David</v>
      </c>
      <c r="E6718" s="42" t="str">
        <f>IFERROR(__xludf.DUMMYFUNCTION("""COMPUTED_VALUE"""),"DISERAHKAN")</f>
        <v>DISERAHKAN</v>
      </c>
      <c r="F6718" s="48">
        <f>IFERROR(__xludf.DUMMYFUNCTION("""COMPUTED_VALUE"""),45902.63318979167)</f>
        <v>45902.63319</v>
      </c>
      <c r="G6718" s="42" t="str">
        <f>IFERROR(__xludf.DUMMYFUNCTION("""COMPUTED_VALUE"""),"BN JUAL BELI")</f>
        <v>BN JUAL BELI</v>
      </c>
      <c r="H6718" s="42">
        <f t="shared" si="1"/>
        <v>2915</v>
      </c>
    </row>
    <row r="6719" ht="22.5" customHeight="1">
      <c r="B6719" s="42" t="str">
        <f>IFERROR(__xludf.DUMMYFUNCTION("""COMPUTED_VALUE"""),"K/32/190825/1")</f>
        <v>K/32/190825/1</v>
      </c>
      <c r="C6719" s="42" t="str">
        <f>IFERROR(__xludf.DUMMYFUNCTION("""COMPUTED_VALUE"""),"M. 10829/ GEDONG MENENG")</f>
        <v>M. 10829/ GEDONG MENENG</v>
      </c>
      <c r="D6719" s="42"/>
      <c r="E6719" s="42"/>
      <c r="F6719" s="48" t="str">
        <f>IFERROR(__xludf.DUMMYFUNCTION("""COMPUTED_VALUE"""),"")</f>
        <v/>
      </c>
      <c r="G6719" s="42" t="str">
        <f>IFERROR(__xludf.DUMMYFUNCTION("""COMPUTED_VALUE"""),"ROYA")</f>
        <v>ROYA</v>
      </c>
      <c r="H6719" s="42">
        <f t="shared" si="1"/>
        <v>2915</v>
      </c>
    </row>
    <row r="6720" ht="22.5" customHeight="1">
      <c r="B6720" s="42" t="str">
        <f>IFERROR(__xludf.DUMMYFUNCTION("""COMPUTED_VALUE"""),"K/23/070825/1")</f>
        <v>K/23/070825/1</v>
      </c>
      <c r="C6720" s="42" t="str">
        <f>IFERROR(__xludf.DUMMYFUNCTION("""COMPUTED_VALUE"""),"B.320/Pematang Wangi")</f>
        <v>B.320/Pematang Wangi</v>
      </c>
      <c r="D6720" s="42"/>
      <c r="E6720" s="42"/>
      <c r="F6720" s="48" t="str">
        <f>IFERROR(__xludf.DUMMYFUNCTION("""COMPUTED_VALUE"""),"")</f>
        <v/>
      </c>
      <c r="G6720" s="42" t="str">
        <f>IFERROR(__xludf.DUMMYFUNCTION("""COMPUTED_VALUE"""),"SK Pembaharuan HGB")</f>
        <v>SK Pembaharuan HGB</v>
      </c>
      <c r="H6720" s="42">
        <f t="shared" si="1"/>
        <v>2915</v>
      </c>
    </row>
    <row r="6721" ht="22.5" customHeight="1">
      <c r="B6721" s="42" t="str">
        <f>IFERROR(__xludf.DUMMYFUNCTION("""COMPUTED_VALUE"""),"K/1/200825/1")</f>
        <v>K/1/200825/1</v>
      </c>
      <c r="C6721" s="42" t="str">
        <f>IFERROR(__xludf.DUMMYFUNCTION("""COMPUTED_VALUE"""),"Nibel 23348/Labuhan Dalam")</f>
        <v>Nibel 23348/Labuhan Dalam</v>
      </c>
      <c r="D6721" s="42"/>
      <c r="E6721" s="42"/>
      <c r="F6721" s="48" t="str">
        <f>IFERROR(__xludf.DUMMYFUNCTION("""COMPUTED_VALUE"""),"")</f>
        <v/>
      </c>
      <c r="G6721" s="42" t="str">
        <f>IFERROR(__xludf.DUMMYFUNCTION("""COMPUTED_VALUE"""),"Fauziyah Astuti/Marsim")</f>
        <v>Fauziyah Astuti/Marsim</v>
      </c>
      <c r="H6721" s="42">
        <f t="shared" si="1"/>
        <v>2915</v>
      </c>
    </row>
    <row r="6722" ht="22.5" customHeight="1">
      <c r="B6722" s="42" t="str">
        <f>IFERROR(__xludf.DUMMYFUNCTION("""COMPUTED_VALUE"""),"K/2/200825/1")</f>
        <v>K/2/200825/1</v>
      </c>
      <c r="C6722" s="42" t="str">
        <f>IFERROR(__xludf.DUMMYFUNCTION("""COMPUTED_VALUE"""),"M. 6816/ TANJUNG SENANG")</f>
        <v>M. 6816/ TANJUNG SENANG</v>
      </c>
      <c r="D6722" s="42"/>
      <c r="E6722" s="42"/>
      <c r="F6722" s="48" t="str">
        <f>IFERROR(__xludf.DUMMYFUNCTION("""COMPUTED_VALUE"""),"")</f>
        <v/>
      </c>
      <c r="G6722" s="42" t="str">
        <f>IFERROR(__xludf.DUMMYFUNCTION("""COMPUTED_VALUE"""),"BN JUAL BELI")</f>
        <v>BN JUAL BELI</v>
      </c>
      <c r="H6722" s="42">
        <f t="shared" si="1"/>
        <v>2915</v>
      </c>
    </row>
    <row r="6723" ht="22.5" customHeight="1">
      <c r="B6723" s="42" t="str">
        <f>IFERROR(__xludf.DUMMYFUNCTION("""COMPUTED_VALUE"""),"K/3/200825/2")</f>
        <v>K/3/200825/2</v>
      </c>
      <c r="C6723" s="42" t="str">
        <f>IFERROR(__xludf.DUMMYFUNCTION("""COMPUTED_VALUE"""),"M. 11348/ KEDAMAIAN")</f>
        <v>M. 11348/ KEDAMAIAN</v>
      </c>
      <c r="D6723" s="42"/>
      <c r="E6723" s="42"/>
      <c r="F6723" s="48" t="str">
        <f>IFERROR(__xludf.DUMMYFUNCTION("""COMPUTED_VALUE"""),"")</f>
        <v/>
      </c>
      <c r="G6723" s="42" t="str">
        <f>IFERROR(__xludf.DUMMYFUNCTION("""COMPUTED_VALUE"""),"BN HIBAH")</f>
        <v>BN HIBAH</v>
      </c>
      <c r="H6723" s="42">
        <f t="shared" si="1"/>
        <v>2915</v>
      </c>
    </row>
    <row r="6724" ht="22.5" customHeight="1">
      <c r="B6724" s="42" t="str">
        <f>IFERROR(__xludf.DUMMYFUNCTION("""COMPUTED_VALUE"""),"K/9/200825/1")</f>
        <v>K/9/200825/1</v>
      </c>
      <c r="C6724" s="42" t="str">
        <f>IFERROR(__xludf.DUMMYFUNCTION("""COMPUTED_VALUE"""),"M. 1061/Gunung Sulah")</f>
        <v>M. 1061/Gunung Sulah</v>
      </c>
      <c r="D6724" s="42"/>
      <c r="E6724" s="42"/>
      <c r="F6724" s="48" t="str">
        <f>IFERROR(__xludf.DUMMYFUNCTION("""COMPUTED_VALUE"""),"")</f>
        <v/>
      </c>
      <c r="G6724" s="42" t="str">
        <f>IFERROR(__xludf.DUMMYFUNCTION("""COMPUTED_VALUE"""),"BN JUAL BELI")</f>
        <v>BN JUAL BELI</v>
      </c>
      <c r="H6724" s="42">
        <f t="shared" si="1"/>
        <v>2915</v>
      </c>
    </row>
    <row r="6725" ht="22.5" customHeight="1">
      <c r="B6725" s="42" t="str">
        <f>IFERROR(__xludf.DUMMYFUNCTION("""COMPUTED_VALUE"""),"K/4/200825/1")</f>
        <v>K/4/200825/1</v>
      </c>
      <c r="C6725" s="42" t="str">
        <f>IFERROR(__xludf.DUMMYFUNCTION("""COMPUTED_VALUE"""),"B. 3113/SUKABUMI")</f>
        <v>B. 3113/SUKABUMI</v>
      </c>
      <c r="D6725" s="42"/>
      <c r="E6725" s="42"/>
      <c r="F6725" s="48" t="str">
        <f>IFERROR(__xludf.DUMMYFUNCTION("""COMPUTED_VALUE"""),"")</f>
        <v/>
      </c>
      <c r="G6725" s="42" t="str">
        <f>IFERROR(__xludf.DUMMYFUNCTION("""COMPUTED_VALUE"""),"BLOKIR")</f>
        <v>BLOKIR</v>
      </c>
      <c r="H6725" s="42">
        <f t="shared" si="1"/>
        <v>2915</v>
      </c>
    </row>
    <row r="6726" ht="22.5" customHeight="1">
      <c r="B6726" s="42" t="str">
        <f>IFERROR(__xludf.DUMMYFUNCTION("""COMPUTED_VALUE"""),"K/10/200825/1")</f>
        <v>K/10/200825/1</v>
      </c>
      <c r="C6726" s="42" t="str">
        <f>IFERROR(__xludf.DUMMYFUNCTION("""COMPUTED_VALUE"""),"M. 1849/Labuhan Dalam")</f>
        <v>M. 1849/Labuhan Dalam</v>
      </c>
      <c r="D6726" s="42"/>
      <c r="E6726" s="42"/>
      <c r="F6726" s="48" t="str">
        <f>IFERROR(__xludf.DUMMYFUNCTION("""COMPUTED_VALUE"""),"")</f>
        <v/>
      </c>
      <c r="G6726" s="42" t="str">
        <f>IFERROR(__xludf.DUMMYFUNCTION("""COMPUTED_VALUE"""),"SKPT Lelang")</f>
        <v>SKPT Lelang</v>
      </c>
      <c r="H6726" s="42">
        <f t="shared" si="1"/>
        <v>2915</v>
      </c>
    </row>
    <row r="6727" ht="22.5" customHeight="1">
      <c r="B6727" s="42" t="str">
        <f>IFERROR(__xludf.DUMMYFUNCTION("""COMPUTED_VALUE"""),"K/11/200825/1")</f>
        <v>K/11/200825/1</v>
      </c>
      <c r="C6727" s="42" t="str">
        <f>IFERROR(__xludf.DUMMYFUNCTION("""COMPUTED_VALUE"""),"M. 2245/ LANGKAPURA")</f>
        <v>M. 2245/ LANGKAPURA</v>
      </c>
      <c r="D6727" s="42"/>
      <c r="E6727" s="42"/>
      <c r="F6727" s="48" t="str">
        <f>IFERROR(__xludf.DUMMYFUNCTION("""COMPUTED_VALUE"""),"")</f>
        <v/>
      </c>
      <c r="G6727" s="42" t="str">
        <f>IFERROR(__xludf.DUMMYFUNCTION("""COMPUTED_VALUE"""),"ROYA LELANG")</f>
        <v>ROYA LELANG</v>
      </c>
      <c r="H6727" s="42">
        <f t="shared" si="1"/>
        <v>2915</v>
      </c>
    </row>
    <row r="6728" ht="22.5" customHeight="1">
      <c r="B6728" s="42" t="str">
        <f>IFERROR(__xludf.DUMMYFUNCTION("""COMPUTED_VALUE"""),"K/12/200825/2")</f>
        <v>K/12/200825/2</v>
      </c>
      <c r="C6728" s="42" t="str">
        <f>IFERROR(__xludf.DUMMYFUNCTION("""COMPUTED_VALUE"""),"M. 128/Nusantara Permai")</f>
        <v>M. 128/Nusantara Permai</v>
      </c>
      <c r="D6728" s="42" t="str">
        <f>IFERROR(__xludf.DUMMYFUNCTION("""COMPUTED_VALUE"""),"David")</f>
        <v>David</v>
      </c>
      <c r="E6728" s="42"/>
      <c r="F6728" s="48" t="str">
        <f>IFERROR(__xludf.DUMMYFUNCTION("""COMPUTED_VALUE"""),"")</f>
        <v/>
      </c>
      <c r="G6728" s="42" t="str">
        <f>IFERROR(__xludf.DUMMYFUNCTION("""COMPUTED_VALUE"""),"SKPT Lelang")</f>
        <v>SKPT Lelang</v>
      </c>
      <c r="H6728" s="42">
        <f t="shared" si="1"/>
        <v>2915</v>
      </c>
    </row>
    <row r="6729" ht="22.5" customHeight="1">
      <c r="B6729" s="42" t="str">
        <f>IFERROR(__xludf.DUMMYFUNCTION("""COMPUTED_VALUE"""),"K/16/200825/1")</f>
        <v>K/16/200825/1</v>
      </c>
      <c r="C6729" s="42" t="str">
        <f>IFERROR(__xludf.DUMMYFUNCTION("""COMPUTED_VALUE"""),"NIBEL. SHGB 1420/ SUKABUMI INDAH")</f>
        <v>NIBEL. SHGB 1420/ SUKABUMI INDAH</v>
      </c>
      <c r="D6729" s="42"/>
      <c r="E6729" s="42"/>
      <c r="F6729" s="48" t="str">
        <f>IFERROR(__xludf.DUMMYFUNCTION("""COMPUTED_VALUE"""),"")</f>
        <v/>
      </c>
      <c r="G6729" s="42" t="str">
        <f>IFERROR(__xludf.DUMMYFUNCTION("""COMPUTED_VALUE"""),"PENINGKATAN HAK")</f>
        <v>PENINGKATAN HAK</v>
      </c>
      <c r="H6729" s="42">
        <f t="shared" si="1"/>
        <v>2915</v>
      </c>
    </row>
    <row r="6730" ht="22.5" customHeight="1">
      <c r="B6730" s="42" t="str">
        <f>IFERROR(__xludf.DUMMYFUNCTION("""COMPUTED_VALUE"""),"K/17/200825/1")</f>
        <v>K/17/200825/1</v>
      </c>
      <c r="C6730" s="42" t="str">
        <f>IFERROR(__xludf.DUMMYFUNCTION("""COMPUTED_VALUE"""),"M. 1660/Bumi Kedamaian")</f>
        <v>M. 1660/Bumi Kedamaian</v>
      </c>
      <c r="D6730" s="42"/>
      <c r="E6730" s="42"/>
      <c r="F6730" s="48" t="str">
        <f>IFERROR(__xludf.DUMMYFUNCTION("""COMPUTED_VALUE"""),"")</f>
        <v/>
      </c>
      <c r="G6730" s="42" t="str">
        <f>IFERROR(__xludf.DUMMYFUNCTION("""COMPUTED_VALUE"""),"BN Waris")</f>
        <v>BN Waris</v>
      </c>
      <c r="H6730" s="42">
        <f t="shared" si="1"/>
        <v>2915</v>
      </c>
    </row>
    <row r="6731" ht="22.5" customHeight="1">
      <c r="B6731" s="42" t="str">
        <f>IFERROR(__xludf.DUMMYFUNCTION("""COMPUTED_VALUE"""),"K/18/200825/1")</f>
        <v>K/18/200825/1</v>
      </c>
      <c r="C6731" s="42" t="str">
        <f>IFERROR(__xludf.DUMMYFUNCTION("""COMPUTED_VALUE"""),"PBT. NO. 49/ 2024/ BAKUNG")</f>
        <v>PBT. NO. 49/ 2024/ BAKUNG</v>
      </c>
      <c r="D6731" s="42"/>
      <c r="E6731" s="42"/>
      <c r="F6731" s="48" t="str">
        <f>IFERROR(__xludf.DUMMYFUNCTION("""COMPUTED_VALUE"""),"")</f>
        <v/>
      </c>
      <c r="G6731" s="42" t="str">
        <f>IFERROR(__xludf.DUMMYFUNCTION("""COMPUTED_VALUE"""),"PERMOHONAN SK")</f>
        <v>PERMOHONAN SK</v>
      </c>
      <c r="H6731" s="42">
        <f t="shared" si="1"/>
        <v>2915</v>
      </c>
    </row>
    <row r="6732" ht="22.5" customHeight="1">
      <c r="B6732" s="42" t="str">
        <f>IFERROR(__xludf.DUMMYFUNCTION("""COMPUTED_VALUE"""),"K/5/200825/2")</f>
        <v>K/5/200825/2</v>
      </c>
      <c r="C6732" s="42" t="str">
        <f>IFERROR(__xludf.DUMMYFUNCTION("""COMPUTED_VALUE"""),"B. 3112/SUKABUMI")</f>
        <v>B. 3112/SUKABUMI</v>
      </c>
      <c r="D6732" s="42"/>
      <c r="E6732" s="42"/>
      <c r="F6732" s="48" t="str">
        <f>IFERROR(__xludf.DUMMYFUNCTION("""COMPUTED_VALUE"""),"")</f>
        <v/>
      </c>
      <c r="G6732" s="42" t="str">
        <f>IFERROR(__xludf.DUMMYFUNCTION("""COMPUTED_VALUE"""),"BLOKIR ")</f>
        <v>BLOKIR </v>
      </c>
      <c r="H6732" s="42">
        <f t="shared" si="1"/>
        <v>2915</v>
      </c>
    </row>
    <row r="6733" ht="22.5" customHeight="1">
      <c r="B6733" s="42" t="str">
        <f>IFERROR(__xludf.DUMMYFUNCTION("""COMPUTED_VALUE"""),"K/6/200825/3")</f>
        <v>K/6/200825/3</v>
      </c>
      <c r="C6733" s="42" t="str">
        <f>IFERROR(__xludf.DUMMYFUNCTION("""COMPUTED_VALUE"""),"B. 3111/SUKABUMI")</f>
        <v>B. 3111/SUKABUMI</v>
      </c>
      <c r="D6733" s="42"/>
      <c r="E6733" s="42"/>
      <c r="F6733" s="48" t="str">
        <f>IFERROR(__xludf.DUMMYFUNCTION("""COMPUTED_VALUE"""),"")</f>
        <v/>
      </c>
      <c r="G6733" s="42" t="str">
        <f>IFERROR(__xludf.DUMMYFUNCTION("""COMPUTED_VALUE"""),"BLOKIR")</f>
        <v>BLOKIR</v>
      </c>
      <c r="H6733" s="42">
        <f t="shared" si="1"/>
        <v>2915</v>
      </c>
    </row>
    <row r="6734" ht="22.5" customHeight="1">
      <c r="B6734" s="42" t="str">
        <f>IFERROR(__xludf.DUMMYFUNCTION("""COMPUTED_VALUE"""),"K/7/200825/4")</f>
        <v>K/7/200825/4</v>
      </c>
      <c r="C6734" s="42" t="str">
        <f>IFERROR(__xludf.DUMMYFUNCTION("""COMPUTED_VALUE"""),"B.2043/SUKABUMI")</f>
        <v>B.2043/SUKABUMI</v>
      </c>
      <c r="D6734" s="42"/>
      <c r="E6734" s="42"/>
      <c r="F6734" s="48" t="str">
        <f>IFERROR(__xludf.DUMMYFUNCTION("""COMPUTED_VALUE"""),"")</f>
        <v/>
      </c>
      <c r="G6734" s="42" t="str">
        <f>IFERROR(__xludf.DUMMYFUNCTION("""COMPUTED_VALUE"""),"BLOKIR")</f>
        <v>BLOKIR</v>
      </c>
      <c r="H6734" s="42">
        <f t="shared" si="1"/>
        <v>2915</v>
      </c>
    </row>
    <row r="6735" ht="22.5" customHeight="1">
      <c r="B6735" s="42" t="str">
        <f>IFERROR(__xludf.DUMMYFUNCTION("""COMPUTED_VALUE"""),"K/19/200825/1")</f>
        <v>K/19/200825/1</v>
      </c>
      <c r="C6735" s="42" t="str">
        <f>IFERROR(__xludf.DUMMYFUNCTION("""COMPUTED_VALUE"""),"Nibel 17610/Nusantara Permai")</f>
        <v>Nibel 17610/Nusantara Permai</v>
      </c>
      <c r="D6735" s="42"/>
      <c r="E6735" s="42"/>
      <c r="F6735" s="48" t="str">
        <f>IFERROR(__xludf.DUMMYFUNCTION("""COMPUTED_VALUE"""),"")</f>
        <v/>
      </c>
      <c r="G6735" s="42" t="str">
        <f>IFERROR(__xludf.DUMMYFUNCTION("""COMPUTED_VALUE"""),"SK Perpanjangan HGB")</f>
        <v>SK Perpanjangan HGB</v>
      </c>
      <c r="H6735" s="42">
        <f t="shared" si="1"/>
        <v>2915</v>
      </c>
    </row>
    <row r="6736" ht="22.5" customHeight="1">
      <c r="B6736" s="42" t="str">
        <f>IFERROR(__xludf.DUMMYFUNCTION("""COMPUTED_VALUE"""),"K/20/200825/2")</f>
        <v>K/20/200825/2</v>
      </c>
      <c r="C6736" s="42" t="str">
        <f>IFERROR(__xludf.DUMMYFUNCTION("""COMPUTED_VALUE"""),"B. 507/Kedamaian")</f>
        <v>B. 507/Kedamaian</v>
      </c>
      <c r="D6736" s="42"/>
      <c r="E6736" s="42"/>
      <c r="F6736" s="48" t="str">
        <f>IFERROR(__xludf.DUMMYFUNCTION("""COMPUTED_VALUE"""),"")</f>
        <v/>
      </c>
      <c r="G6736" s="42" t="str">
        <f>IFERROR(__xludf.DUMMYFUNCTION("""COMPUTED_VALUE"""),"Roya Lelang")</f>
        <v>Roya Lelang</v>
      </c>
      <c r="H6736" s="42">
        <f t="shared" si="1"/>
        <v>2915</v>
      </c>
    </row>
    <row r="6737" ht="22.5" customHeight="1">
      <c r="B6737" s="42" t="str">
        <f>IFERROR(__xludf.DUMMYFUNCTION("""COMPUTED_VALUE"""),"K/8/200825/5")</f>
        <v>K/8/200825/5</v>
      </c>
      <c r="C6737" s="42" t="str">
        <f>IFERROR(__xludf.DUMMYFUNCTION("""COMPUTED_VALUE"""),"B.2042/SUKABUMI")</f>
        <v>B.2042/SUKABUMI</v>
      </c>
      <c r="D6737" s="42"/>
      <c r="E6737" s="42"/>
      <c r="F6737" s="48" t="str">
        <f>IFERROR(__xludf.DUMMYFUNCTION("""COMPUTED_VALUE"""),"")</f>
        <v/>
      </c>
      <c r="G6737" s="42" t="str">
        <f>IFERROR(__xludf.DUMMYFUNCTION("""COMPUTED_VALUE"""),"BLOKIR")</f>
        <v>BLOKIR</v>
      </c>
      <c r="H6737" s="42">
        <f t="shared" si="1"/>
        <v>2915</v>
      </c>
    </row>
    <row r="6738" ht="22.5" customHeight="1">
      <c r="B6738" s="42" t="str">
        <f>IFERROR(__xludf.DUMMYFUNCTION("""COMPUTED_VALUE"""),"K/21/200825/1")</f>
        <v>K/21/200825/1</v>
      </c>
      <c r="C6738" s="42" t="str">
        <f>IFERROR(__xludf.DUMMYFUNCTION("""COMPUTED_VALUE"""),"Tanah Mentah (Ada berkas asli)")</f>
        <v>Tanah Mentah (Ada berkas asli)</v>
      </c>
      <c r="D6738" s="42"/>
      <c r="E6738" s="42"/>
      <c r="F6738" s="48" t="str">
        <f>IFERROR(__xludf.DUMMYFUNCTION("""COMPUTED_VALUE"""),"")</f>
        <v/>
      </c>
      <c r="G6738" s="42" t="str">
        <f>IFERROR(__xludf.DUMMYFUNCTION("""COMPUTED_VALUE"""),"Pengukuran Pertama Kali")</f>
        <v>Pengukuran Pertama Kali</v>
      </c>
      <c r="H6738" s="42">
        <f t="shared" si="1"/>
        <v>2915</v>
      </c>
    </row>
    <row r="6739" ht="22.5" customHeight="1">
      <c r="B6739" s="42" t="str">
        <f>IFERROR(__xludf.DUMMYFUNCTION("""COMPUTED_VALUE"""),"K/25/200825/1")</f>
        <v>K/25/200825/1</v>
      </c>
      <c r="C6739" s="42" t="str">
        <f>IFERROR(__xludf.DUMMYFUNCTION("""COMPUTED_VALUE"""),"M. 23494/Kota Baru")</f>
        <v>M. 23494/Kota Baru</v>
      </c>
      <c r="D6739" s="42"/>
      <c r="E6739" s="42"/>
      <c r="F6739" s="48" t="str">
        <f>IFERROR(__xludf.DUMMYFUNCTION("""COMPUTED_VALUE"""),"")</f>
        <v/>
      </c>
      <c r="G6739" s="42" t="str">
        <f>IFERROR(__xludf.DUMMYFUNCTION("""COMPUTED_VALUE"""),"BN Jual Beli")</f>
        <v>BN Jual Beli</v>
      </c>
      <c r="H6739" s="42">
        <f t="shared" si="1"/>
        <v>2915</v>
      </c>
    </row>
    <row r="6740" ht="22.5" customHeight="1">
      <c r="B6740" s="42" t="str">
        <f>IFERROR(__xludf.DUMMYFUNCTION("""COMPUTED_VALUE"""),"K/26/200825/2")</f>
        <v>K/26/200825/2</v>
      </c>
      <c r="C6740" s="42" t="str">
        <f>IFERROR(__xludf.DUMMYFUNCTION("""COMPUTED_VALUE"""),"M. 19653/Sepang Jaya")</f>
        <v>M. 19653/Sepang Jaya</v>
      </c>
      <c r="D6740" s="42"/>
      <c r="E6740" s="42"/>
      <c r="F6740" s="48" t="str">
        <f>IFERROR(__xludf.DUMMYFUNCTION("""COMPUTED_VALUE"""),"")</f>
        <v/>
      </c>
      <c r="G6740" s="42" t="str">
        <f>IFERROR(__xludf.DUMMYFUNCTION("""COMPUTED_VALUE"""),"BN Jual Beli")</f>
        <v>BN Jual Beli</v>
      </c>
      <c r="H6740" s="42">
        <f t="shared" si="1"/>
        <v>2915</v>
      </c>
    </row>
    <row r="6741" ht="22.5" customHeight="1">
      <c r="B6741" s="42" t="str">
        <f>IFERROR(__xludf.DUMMYFUNCTION("""COMPUTED_VALUE"""),"L/24/200825/1")</f>
        <v>L/24/200825/1</v>
      </c>
      <c r="C6741" s="42" t="str">
        <f>IFERROR(__xludf.DUMMYFUNCTION("""COMPUTED_VALUE"""),"B. 623/NUSANTARA PERMAI")</f>
        <v>B. 623/NUSANTARA PERMAI</v>
      </c>
      <c r="D6741" s="42"/>
      <c r="E6741" s="42"/>
      <c r="F6741" s="48" t="str">
        <f>IFERROR(__xludf.DUMMYFUNCTION("""COMPUTED_VALUE"""),"")</f>
        <v/>
      </c>
      <c r="G6741" s="42" t="str">
        <f>IFERROR(__xludf.DUMMYFUNCTION("""COMPUTED_VALUE"""),"PENINGKATAN HAK")</f>
        <v>PENINGKATAN HAK</v>
      </c>
      <c r="H6741" s="42">
        <f t="shared" si="1"/>
        <v>2915</v>
      </c>
    </row>
    <row r="6742" ht="22.5" customHeight="1">
      <c r="B6742" s="42" t="str">
        <f>IFERROR(__xludf.DUMMYFUNCTION("""COMPUTED_VALUE"""),"L/29/200825/1")</f>
        <v>L/29/200825/1</v>
      </c>
      <c r="C6742" s="42" t="str">
        <f>IFERROR(__xludf.DUMMYFUNCTION("""COMPUTED_VALUE"""),"B NIB. 18658/BERINGIN JAYA")</f>
        <v>B NIB. 18658/BERINGIN JAYA</v>
      </c>
      <c r="D6742" s="42"/>
      <c r="E6742" s="42"/>
      <c r="F6742" s="48" t="str">
        <f>IFERROR(__xludf.DUMMYFUNCTION("""COMPUTED_VALUE"""),"")</f>
        <v/>
      </c>
      <c r="G6742" s="42" t="str">
        <f>IFERROR(__xludf.DUMMYFUNCTION("""COMPUTED_VALUE"""),"BN WARIS")</f>
        <v>BN WARIS</v>
      </c>
      <c r="H6742" s="42">
        <f t="shared" si="1"/>
        <v>2915</v>
      </c>
    </row>
    <row r="6743" ht="22.5" customHeight="1">
      <c r="B6743" s="42" t="str">
        <f>IFERROR(__xludf.DUMMYFUNCTION("""COMPUTED_VALUE"""),"K/27/200825/1")</f>
        <v>K/27/200825/1</v>
      </c>
      <c r="C6743" s="42" t="str">
        <f>IFERROR(__xludf.DUMMYFUNCTION("""COMPUTED_VALUE"""),"M.1168/PANJANG UTARA")</f>
        <v>M.1168/PANJANG UTARA</v>
      </c>
      <c r="D6743" s="42"/>
      <c r="E6743" s="42"/>
      <c r="F6743" s="48" t="str">
        <f>IFERROR(__xludf.DUMMYFUNCTION("""COMPUTED_VALUE"""),"")</f>
        <v/>
      </c>
      <c r="G6743" s="42" t="str">
        <f>IFERROR(__xludf.DUMMYFUNCTION("""COMPUTED_VALUE"""),"BN JUAL BELI EL")</f>
        <v>BN JUAL BELI EL</v>
      </c>
      <c r="H6743" s="42">
        <f t="shared" si="1"/>
        <v>2915</v>
      </c>
    </row>
    <row r="6744" ht="22.5" customHeight="1">
      <c r="B6744" s="42" t="str">
        <f>IFERROR(__xludf.DUMMYFUNCTION("""COMPUTED_VALUE"""),"L/31/200825/1")</f>
        <v>L/31/200825/1</v>
      </c>
      <c r="C6744" s="42" t="str">
        <f>IFERROR(__xludf.DUMMYFUNCTION("""COMPUTED_VALUE"""),"SK NO 306/HGB/BPN.18.71/VIII/2025")</f>
        <v>SK NO 306/HGB/BPN.18.71/VIII/2025</v>
      </c>
      <c r="D6744" s="42"/>
      <c r="E6744" s="42"/>
      <c r="F6744" s="48" t="str">
        <f>IFERROR(__xludf.DUMMYFUNCTION("""COMPUTED_VALUE"""),"")</f>
        <v/>
      </c>
      <c r="G6744" s="42" t="str">
        <f>IFERROR(__xludf.DUMMYFUNCTION("""COMPUTED_VALUE"""),"PENDAFTARAN SK")</f>
        <v>PENDAFTARAN SK</v>
      </c>
      <c r="H6744" s="42">
        <f t="shared" si="1"/>
        <v>2915</v>
      </c>
    </row>
    <row r="6745" ht="22.5" customHeight="1">
      <c r="B6745" s="42" t="str">
        <f>IFERROR(__xludf.DUMMYFUNCTION("""COMPUTED_VALUE"""),"K/30/200825/1")</f>
        <v>K/30/200825/1</v>
      </c>
      <c r="C6745" s="42" t="str">
        <f>IFERROR(__xludf.DUMMYFUNCTION("""COMPUTED_VALUE"""),"M. 1194/Jagabaya III")</f>
        <v>M. 1194/Jagabaya III</v>
      </c>
      <c r="D6745" s="42"/>
      <c r="E6745" s="42"/>
      <c r="F6745" s="48" t="str">
        <f>IFERROR(__xludf.DUMMYFUNCTION("""COMPUTED_VALUE"""),"")</f>
        <v/>
      </c>
      <c r="G6745" s="42" t="str">
        <f>IFERROR(__xludf.DUMMYFUNCTION("""COMPUTED_VALUE"""),"BN Jual Beli")</f>
        <v>BN Jual Beli</v>
      </c>
      <c r="H6745" s="42">
        <f t="shared" si="1"/>
        <v>2915</v>
      </c>
    </row>
    <row r="6746" ht="22.5" customHeight="1">
      <c r="B6746" s="42" t="str">
        <f>IFERROR(__xludf.DUMMYFUNCTION("""COMPUTED_VALUE"""),"K/28/200825/2")</f>
        <v>K/28/200825/2</v>
      </c>
      <c r="C6746" s="42" t="str">
        <f>IFERROR(__xludf.DUMMYFUNCTION("""COMPUTED_VALUE"""),"B. 442/KALI BALAU KENCANA")</f>
        <v>B. 442/KALI BALAU KENCANA</v>
      </c>
      <c r="D6746" s="42"/>
      <c r="E6746" s="42"/>
      <c r="F6746" s="48" t="str">
        <f>IFERROR(__xludf.DUMMYFUNCTION("""COMPUTED_VALUE"""),"")</f>
        <v/>
      </c>
      <c r="G6746" s="42" t="str">
        <f>IFERROR(__xludf.DUMMYFUNCTION("""COMPUTED_VALUE"""),"PERUBAHAN HAK")</f>
        <v>PERUBAHAN HAK</v>
      </c>
      <c r="H6746" s="42">
        <f t="shared" si="1"/>
        <v>2915</v>
      </c>
    </row>
    <row r="6747" ht="22.5" customHeight="1">
      <c r="B6747" s="42" t="str">
        <f>IFERROR(__xludf.DUMMYFUNCTION("""COMPUTED_VALUE"""),"K/32/200825/1")</f>
        <v>K/32/200825/1</v>
      </c>
      <c r="C6747" s="42" t="str">
        <f>IFERROR(__xludf.DUMMYFUNCTION("""COMPUTED_VALUE"""),"M. 10070/JAGABAYA II")</f>
        <v>M. 10070/JAGABAYA II</v>
      </c>
      <c r="D6747" s="42" t="str">
        <f>IFERROR(__xludf.DUMMYFUNCTION("""COMPUTED_VALUE"""),"Berry")</f>
        <v>Berry</v>
      </c>
      <c r="E6747" s="42" t="str">
        <f>IFERROR(__xludf.DUMMYFUNCTION("""COMPUTED_VALUE"""),"DISERAHKAN")</f>
        <v>DISERAHKAN</v>
      </c>
      <c r="F6747" s="48">
        <f>IFERROR(__xludf.DUMMYFUNCTION("""COMPUTED_VALUE"""),45908.669632731486)</f>
        <v>45908.66963</v>
      </c>
      <c r="G6747" s="42" t="str">
        <f>IFERROR(__xludf.DUMMYFUNCTION("""COMPUTED_VALUE"""),"BN JUAL BELI")</f>
        <v>BN JUAL BELI</v>
      </c>
      <c r="H6747" s="42">
        <f t="shared" si="1"/>
        <v>2916</v>
      </c>
    </row>
    <row r="6748" ht="22.5" customHeight="1">
      <c r="B6748" s="42" t="str">
        <f>IFERROR(__xludf.DUMMYFUNCTION("""COMPUTED_VALUE"""),"K/34/200825/1")</f>
        <v>K/34/200825/1</v>
      </c>
      <c r="C6748" s="42" t="str">
        <f>IFERROR(__xludf.DUMMYFUNCTION("""COMPUTED_VALUE"""),"Nibel 22860/Segala Mider")</f>
        <v>Nibel 22860/Segala Mider</v>
      </c>
      <c r="D6748" s="42" t="str">
        <f>IFERROR(__xludf.DUMMYFUNCTION("""COMPUTED_VALUE"""),"Berry")</f>
        <v>Berry</v>
      </c>
      <c r="E6748" s="42" t="str">
        <f>IFERROR(__xludf.DUMMYFUNCTION("""COMPUTED_VALUE"""),"DISERAHKAN")</f>
        <v>DISERAHKAN</v>
      </c>
      <c r="F6748" s="48">
        <f>IFERROR(__xludf.DUMMYFUNCTION("""COMPUTED_VALUE"""),45908.63516976852)</f>
        <v>45908.63517</v>
      </c>
      <c r="G6748" s="42" t="str">
        <f>IFERROR(__xludf.DUMMYFUNCTION("""COMPUTED_VALUE"""),"BN Jual Beli")</f>
        <v>BN Jual Beli</v>
      </c>
      <c r="H6748" s="42">
        <f t="shared" si="1"/>
        <v>2917</v>
      </c>
    </row>
    <row r="6749" ht="22.5" customHeight="1">
      <c r="B6749" s="42" t="str">
        <f>IFERROR(__xludf.DUMMYFUNCTION("""COMPUTED_VALUE"""),"K/35/200825/1")</f>
        <v>K/35/200825/1</v>
      </c>
      <c r="C6749" s="42" t="str">
        <f>IFERROR(__xludf.DUMMYFUNCTION("""COMPUTED_VALUE"""),"Nibel 16073/Kedamaian")</f>
        <v>Nibel 16073/Kedamaian</v>
      </c>
      <c r="D6749" s="42"/>
      <c r="E6749" s="42"/>
      <c r="F6749" s="48" t="str">
        <f>IFERROR(__xludf.DUMMYFUNCTION("""COMPUTED_VALUE"""),"")</f>
        <v/>
      </c>
      <c r="G6749" s="42" t="str">
        <f>IFERROR(__xludf.DUMMYFUNCTION("""COMPUTED_VALUE"""),"BN APHB")</f>
        <v>BN APHB</v>
      </c>
      <c r="H6749" s="42">
        <f t="shared" si="1"/>
        <v>2917</v>
      </c>
    </row>
    <row r="6750" ht="22.5" customHeight="1">
      <c r="B6750" s="42" t="str">
        <f>IFERROR(__xludf.DUMMYFUNCTION("""COMPUTED_VALUE"""),"K/38/200825/1")</f>
        <v>K/38/200825/1</v>
      </c>
      <c r="C6750" s="42" t="str">
        <f>IFERROR(__xludf.DUMMYFUNCTION("""COMPUTED_VALUE"""),"M. 3077/ BERINGIN RAYA")</f>
        <v>M. 3077/ BERINGIN RAYA</v>
      </c>
      <c r="D6750" s="42"/>
      <c r="E6750" s="42"/>
      <c r="F6750" s="48" t="str">
        <f>IFERROR(__xludf.DUMMYFUNCTION("""COMPUTED_VALUE"""),"")</f>
        <v/>
      </c>
      <c r="G6750" s="42" t="str">
        <f>IFERROR(__xludf.DUMMYFUNCTION("""COMPUTED_VALUE"""),"BN JUAL BELI")</f>
        <v>BN JUAL BELI</v>
      </c>
      <c r="H6750" s="42">
        <f t="shared" si="1"/>
        <v>2917</v>
      </c>
    </row>
    <row r="6751" ht="22.5" customHeight="1">
      <c r="B6751" s="42" t="str">
        <f>IFERROR(__xludf.DUMMYFUNCTION("""COMPUTED_VALUE"""),"K/36/200825/1")</f>
        <v>K/36/200825/1</v>
      </c>
      <c r="C6751" s="42" t="str">
        <f>IFERROR(__xludf.DUMMYFUNCTION("""COMPUTED_VALUE"""),"NIBEL M. 22792/ SEGALA MIDER")</f>
        <v>NIBEL M. 22792/ SEGALA MIDER</v>
      </c>
      <c r="D6751" s="42" t="str">
        <f>IFERROR(__xludf.DUMMYFUNCTION("""COMPUTED_VALUE"""),"Berry")</f>
        <v>Berry</v>
      </c>
      <c r="E6751" s="42" t="str">
        <f>IFERROR(__xludf.DUMMYFUNCTION("""COMPUTED_VALUE"""),"DISERAHKAN")</f>
        <v>DISERAHKAN</v>
      </c>
      <c r="F6751" s="48">
        <f>IFERROR(__xludf.DUMMYFUNCTION("""COMPUTED_VALUE"""),45926.54587436342)</f>
        <v>45926.54587</v>
      </c>
      <c r="G6751" s="42" t="str">
        <f>IFERROR(__xludf.DUMMYFUNCTION("""COMPUTED_VALUE"""),"BN JUAL BELI")</f>
        <v>BN JUAL BELI</v>
      </c>
      <c r="H6751" s="42">
        <f t="shared" si="1"/>
        <v>2918</v>
      </c>
    </row>
    <row r="6752" ht="22.5" customHeight="1">
      <c r="B6752" s="42" t="str">
        <f>IFERROR(__xludf.DUMMYFUNCTION("""COMPUTED_VALUE"""),"K/33/200825/1")</f>
        <v>K/33/200825/1</v>
      </c>
      <c r="C6752" s="42" t="str">
        <f>IFERROR(__xludf.DUMMYFUNCTION("""COMPUTED_VALUE"""),"M. 105/ PENENGAHAN")</f>
        <v>M. 105/ PENENGAHAN</v>
      </c>
      <c r="D6752" s="42"/>
      <c r="E6752" s="42"/>
      <c r="F6752" s="48" t="str">
        <f>IFERROR(__xludf.DUMMYFUNCTION("""COMPUTED_VALUE"""),"")</f>
        <v/>
      </c>
      <c r="G6752" s="42" t="str">
        <f>IFERROR(__xludf.DUMMYFUNCTION("""COMPUTED_VALUE"""),"BN WARIS")</f>
        <v>BN WARIS</v>
      </c>
      <c r="H6752" s="42">
        <f t="shared" si="1"/>
        <v>2918</v>
      </c>
    </row>
    <row r="6753" ht="22.5" customHeight="1">
      <c r="B6753" s="42" t="str">
        <f>IFERROR(__xludf.DUMMYFUNCTION("""COMPUTED_VALUE"""),"K/22/200825/1")</f>
        <v>K/22/200825/1</v>
      </c>
      <c r="C6753" s="42" t="str">
        <f>IFERROR(__xludf.DUMMYFUNCTION("""COMPUTED_VALUE"""),"NIBEL. M. 23559/ KELAPA TIGA")</f>
        <v>NIBEL. M. 23559/ KELAPA TIGA</v>
      </c>
      <c r="D6753" s="42" t="str">
        <f>IFERROR(__xludf.DUMMYFUNCTION("""COMPUTED_VALUE"""),"Berry")</f>
        <v>Berry</v>
      </c>
      <c r="E6753" s="42" t="str">
        <f>IFERROR(__xludf.DUMMYFUNCTION("""COMPUTED_VALUE"""),"DISERAHKAN")</f>
        <v>DISERAHKAN</v>
      </c>
      <c r="F6753" s="48">
        <f>IFERROR(__xludf.DUMMYFUNCTION("""COMPUTED_VALUE"""),45938.49625293982)</f>
        <v>45938.49625</v>
      </c>
      <c r="G6753" s="42" t="str">
        <f>IFERROR(__xludf.DUMMYFUNCTION("""COMPUTED_VALUE"""),"BN PEMBAGIAN HAK BERSAMA")</f>
        <v>BN PEMBAGIAN HAK BERSAMA</v>
      </c>
      <c r="H6753" s="42">
        <f t="shared" si="1"/>
        <v>2919</v>
      </c>
    </row>
    <row r="6754" ht="22.5" customHeight="1">
      <c r="B6754" s="42" t="str">
        <f>IFERROR(__xludf.DUMMYFUNCTION("""COMPUTED_VALUE"""),"K/22/200825/1")</f>
        <v>K/22/200825/1</v>
      </c>
      <c r="C6754" s="42" t="str">
        <f>IFERROR(__xludf.DUMMYFUNCTION("""COMPUTED_VALUE"""),"M. 13132/ BERINGIN RAYA")</f>
        <v>M. 13132/ BERINGIN RAYA</v>
      </c>
      <c r="D6754" s="42"/>
      <c r="E6754" s="42"/>
      <c r="F6754" s="48" t="str">
        <f>IFERROR(__xludf.DUMMYFUNCTION("""COMPUTED_VALUE"""),"")</f>
        <v/>
      </c>
      <c r="G6754" s="42" t="str">
        <f>IFERROR(__xludf.DUMMYFUNCTION("""COMPUTED_VALUE"""),"BN HIBAH")</f>
        <v>BN HIBAH</v>
      </c>
      <c r="H6754" s="42">
        <f t="shared" si="1"/>
        <v>2919</v>
      </c>
    </row>
    <row r="6755" ht="22.5" customHeight="1">
      <c r="B6755" s="42" t="str">
        <f>IFERROR(__xludf.DUMMYFUNCTION("""COMPUTED_VALUE"""),"K/37/200825/1")</f>
        <v>K/37/200825/1</v>
      </c>
      <c r="C6755" s="42" t="str">
        <f>IFERROR(__xludf.DUMMYFUNCTION("""COMPUTED_VALUE"""),"M. 2265/NOG")</f>
        <v>M. 2265/NOG</v>
      </c>
      <c r="D6755" s="42"/>
      <c r="E6755" s="42"/>
      <c r="F6755" s="48" t="str">
        <f>IFERROR(__xludf.DUMMYFUNCTION("""COMPUTED_VALUE"""),"")</f>
        <v/>
      </c>
      <c r="G6755" s="42" t="str">
        <f>IFERROR(__xludf.DUMMYFUNCTION("""COMPUTED_VALUE"""),"BN JUAL BELI")</f>
        <v>BN JUAL BELI</v>
      </c>
      <c r="H6755" s="42">
        <f t="shared" si="1"/>
        <v>2919</v>
      </c>
    </row>
    <row r="6756" ht="22.5" customHeight="1">
      <c r="B6756" s="42" t="str">
        <f>IFERROR(__xludf.DUMMYFUNCTION("""COMPUTED_VALUE"""),"K/38/200825/1")</f>
        <v>K/38/200825/1</v>
      </c>
      <c r="C6756" s="42" t="str">
        <f>IFERROR(__xludf.DUMMYFUNCTION("""COMPUTED_VALUE"""),"M. 1845")</f>
        <v>M. 1845</v>
      </c>
      <c r="D6756" s="42" t="str">
        <f>IFERROR(__xludf.DUMMYFUNCTION("""COMPUTED_VALUE"""),"Berry")</f>
        <v>Berry</v>
      </c>
      <c r="E6756" s="42" t="str">
        <f>IFERROR(__xludf.DUMMYFUNCTION("""COMPUTED_VALUE"""),"DISERAHKAN")</f>
        <v>DISERAHKAN</v>
      </c>
      <c r="F6756" s="48">
        <f>IFERROR(__xludf.DUMMYFUNCTION("""COMPUTED_VALUE"""),45910.59385392361)</f>
        <v>45910.59385</v>
      </c>
      <c r="G6756" s="42" t="str">
        <f>IFERROR(__xludf.DUMMYFUNCTION("""COMPUTED_VALUE"""),"BN JUAL BELI")</f>
        <v>BN JUAL BELI</v>
      </c>
      <c r="H6756" s="42">
        <f t="shared" si="1"/>
        <v>2920</v>
      </c>
    </row>
    <row r="6757" ht="22.5" customHeight="1">
      <c r="B6757" s="42" t="str">
        <f>IFERROR(__xludf.DUMMYFUNCTION("""COMPUTED_VALUE"""),"K/39/200825/2")</f>
        <v>K/39/200825/2</v>
      </c>
      <c r="C6757" s="42" t="str">
        <f>IFERROR(__xludf.DUMMYFUNCTION("""COMPUTED_VALUE"""),"NIBEL. B 440/ KEMILING PERMAI")</f>
        <v>NIBEL. B 440/ KEMILING PERMAI</v>
      </c>
      <c r="D6757" s="42"/>
      <c r="E6757" s="42"/>
      <c r="F6757" s="48" t="str">
        <f>IFERROR(__xludf.DUMMYFUNCTION("""COMPUTED_VALUE"""),"")</f>
        <v/>
      </c>
      <c r="G6757" s="42" t="str">
        <f>IFERROR(__xludf.DUMMYFUNCTION("""COMPUTED_VALUE"""),"BN JUAL BELI")</f>
        <v>BN JUAL BELI</v>
      </c>
      <c r="H6757" s="42">
        <f t="shared" si="1"/>
        <v>2920</v>
      </c>
    </row>
    <row r="6758" ht="22.5" customHeight="1">
      <c r="B6758" s="42" t="str">
        <f>IFERROR(__xludf.DUMMYFUNCTION("""COMPUTED_VALUE"""),"L/1/210825/1")</f>
        <v>L/1/210825/1</v>
      </c>
      <c r="C6758" s="42" t="str">
        <f>IFERROR(__xludf.DUMMYFUNCTION("""COMPUTED_VALUE"""),"M. 16996/SUKARAME I")</f>
        <v>M. 16996/SUKARAME I</v>
      </c>
      <c r="D6758" s="42"/>
      <c r="E6758" s="42"/>
      <c r="F6758" s="48" t="str">
        <f>IFERROR(__xludf.DUMMYFUNCTION("""COMPUTED_VALUE"""),"")</f>
        <v/>
      </c>
      <c r="G6758" s="42" t="str">
        <f>IFERROR(__xludf.DUMMYFUNCTION("""COMPUTED_VALUE"""),"ROYA")</f>
        <v>ROYA</v>
      </c>
      <c r="H6758" s="42">
        <f t="shared" si="1"/>
        <v>2920</v>
      </c>
    </row>
    <row r="6759" ht="22.5" customHeight="1">
      <c r="B6759" s="42" t="str">
        <f>IFERROR(__xludf.DUMMYFUNCTION("""COMPUTED_VALUE"""),"L/2/210825/1")</f>
        <v>L/2/210825/1</v>
      </c>
      <c r="C6759" s="42" t="str">
        <f>IFERROR(__xludf.DUMMYFUNCTION("""COMPUTED_VALUE"""),"M. 829/LANGKAPURA BARU")</f>
        <v>M. 829/LANGKAPURA BARU</v>
      </c>
      <c r="D6759" s="42" t="str">
        <f>IFERROR(__xludf.DUMMYFUNCTION("""COMPUTED_VALUE"""),"Berry")</f>
        <v>Berry</v>
      </c>
      <c r="E6759" s="42" t="str">
        <f>IFERROR(__xludf.DUMMYFUNCTION("""COMPUTED_VALUE"""),"DISERAHKAN")</f>
        <v>DISERAHKAN</v>
      </c>
      <c r="F6759" s="48">
        <f>IFERROR(__xludf.DUMMYFUNCTION("""COMPUTED_VALUE"""),45951.48040940972)</f>
        <v>45951.48041</v>
      </c>
      <c r="G6759" s="42" t="str">
        <f>IFERROR(__xludf.DUMMYFUNCTION("""COMPUTED_VALUE"""),"HAPUS BPHTB")</f>
        <v>HAPUS BPHTB</v>
      </c>
      <c r="H6759" s="42">
        <f t="shared" si="1"/>
        <v>2921</v>
      </c>
    </row>
    <row r="6760" ht="22.5" customHeight="1">
      <c r="B6760" s="42" t="str">
        <f>IFERROR(__xludf.DUMMYFUNCTION("""COMPUTED_VALUE"""),"K/3/210825/1")</f>
        <v>K/3/210825/1</v>
      </c>
      <c r="C6760" s="42" t="str">
        <f>IFERROR(__xludf.DUMMYFUNCTION("""COMPUTED_VALUE"""),"NIBEL M. 22655/SUMBER AGUNG")</f>
        <v>NIBEL M. 22655/SUMBER AGUNG</v>
      </c>
      <c r="D6760" s="42"/>
      <c r="E6760" s="42"/>
      <c r="F6760" s="48" t="str">
        <f>IFERROR(__xludf.DUMMYFUNCTION("""COMPUTED_VALUE"""),"")</f>
        <v/>
      </c>
      <c r="G6760" s="42" t="str">
        <f>IFERROR(__xludf.DUMMYFUNCTION("""COMPUTED_VALUE"""),"BN JUAL BELI")</f>
        <v>BN JUAL BELI</v>
      </c>
      <c r="H6760" s="42">
        <f t="shared" si="1"/>
        <v>2921</v>
      </c>
    </row>
    <row r="6761" ht="22.5" customHeight="1">
      <c r="B6761" s="42" t="str">
        <f>IFERROR(__xludf.DUMMYFUNCTION("""COMPUTED_VALUE"""),"K/4/210825/1")</f>
        <v>K/4/210825/1</v>
      </c>
      <c r="C6761" s="42" t="str">
        <f>IFERROR(__xludf.DUMMYFUNCTION("""COMPUTED_VALUE"""),"M. 1924/Perumnas Way Halim")</f>
        <v>M. 1924/Perumnas Way Halim</v>
      </c>
      <c r="D6761" s="42"/>
      <c r="E6761" s="42"/>
      <c r="F6761" s="48" t="str">
        <f>IFERROR(__xludf.DUMMYFUNCTION("""COMPUTED_VALUE"""),"")</f>
        <v/>
      </c>
      <c r="G6761" s="42" t="str">
        <f>IFERROR(__xludf.DUMMYFUNCTION("""COMPUTED_VALUE"""),"BN Jual beli")</f>
        <v>BN Jual beli</v>
      </c>
      <c r="H6761" s="42">
        <f t="shared" si="1"/>
        <v>2921</v>
      </c>
    </row>
    <row r="6762" ht="22.5" customHeight="1">
      <c r="B6762" s="42" t="str">
        <f>IFERROR(__xludf.DUMMYFUNCTION("""COMPUTED_VALUE"""),"K/5/210825/1")</f>
        <v>K/5/210825/1</v>
      </c>
      <c r="C6762" s="42" t="str">
        <f>IFERROR(__xludf.DUMMYFUNCTION("""COMPUTED_VALUE"""),"M. 4134/ GUNUNG TERANG")</f>
        <v>M. 4134/ GUNUNG TERANG</v>
      </c>
      <c r="D6762" s="42"/>
      <c r="E6762" s="42"/>
      <c r="F6762" s="48" t="str">
        <f>IFERROR(__xludf.DUMMYFUNCTION("""COMPUTED_VALUE"""),"")</f>
        <v/>
      </c>
      <c r="G6762" s="42" t="str">
        <f>IFERROR(__xludf.DUMMYFUNCTION("""COMPUTED_VALUE"""),"BN JUAL BELI")</f>
        <v>BN JUAL BELI</v>
      </c>
      <c r="H6762" s="42">
        <f t="shared" si="1"/>
        <v>2921</v>
      </c>
    </row>
    <row r="6763" ht="22.5" customHeight="1">
      <c r="B6763" s="42" t="str">
        <f>IFERROR(__xludf.DUMMYFUNCTION("""COMPUTED_VALUE"""),"L/6/210825/1")</f>
        <v>L/6/210825/1</v>
      </c>
      <c r="C6763" s="42" t="str">
        <f>IFERROR(__xludf.DUMMYFUNCTION("""COMPUTED_VALUE"""),"SHM NIB. 23699/SUMBER AGUNG")</f>
        <v>SHM NIB. 23699/SUMBER AGUNG</v>
      </c>
      <c r="D6763" s="42" t="str">
        <f>IFERROR(__xludf.DUMMYFUNCTION("""COMPUTED_VALUE"""),"Berry")</f>
        <v>Berry</v>
      </c>
      <c r="E6763" s="42" t="str">
        <f>IFERROR(__xludf.DUMMYFUNCTION("""COMPUTED_VALUE"""),"DISERAHKAN")</f>
        <v>DISERAHKAN</v>
      </c>
      <c r="F6763" s="48">
        <f>IFERROR(__xludf.DUMMYFUNCTION("""COMPUTED_VALUE"""),45922.64295432871)</f>
        <v>45922.64295</v>
      </c>
      <c r="G6763" s="42" t="str">
        <f>IFERROR(__xludf.DUMMYFUNCTION("""COMPUTED_VALUE"""),"PTPGT PEMECAHAN")</f>
        <v>PTPGT PEMECAHAN</v>
      </c>
      <c r="H6763" s="42">
        <f t="shared" si="1"/>
        <v>2922</v>
      </c>
    </row>
    <row r="6764" ht="22.5" customHeight="1">
      <c r="B6764" s="42" t="str">
        <f>IFERROR(__xludf.DUMMYFUNCTION("""COMPUTED_VALUE"""),"K/7/210825/1")</f>
        <v>K/7/210825/1</v>
      </c>
      <c r="C6764" s="42" t="str">
        <f>IFERROR(__xludf.DUMMYFUNCTION("""COMPUTED_VALUE"""),"M. 438/PEMATANG WANGI")</f>
        <v>M. 438/PEMATANG WANGI</v>
      </c>
      <c r="D6764" s="42"/>
      <c r="E6764" s="42"/>
      <c r="F6764" s="48" t="str">
        <f>IFERROR(__xludf.DUMMYFUNCTION("""COMPUTED_VALUE"""),"")</f>
        <v/>
      </c>
      <c r="G6764" s="42" t="str">
        <f>IFERROR(__xludf.DUMMYFUNCTION("""COMPUTED_VALUE"""),"BN JUAL BELI")</f>
        <v>BN JUAL BELI</v>
      </c>
      <c r="H6764" s="42">
        <f t="shared" si="1"/>
        <v>2922</v>
      </c>
    </row>
    <row r="6765" ht="22.5" customHeight="1">
      <c r="B6765" s="42" t="str">
        <f>IFERROR(__xludf.DUMMYFUNCTION("""COMPUTED_VALUE"""),"K/9/210825/2")</f>
        <v>K/9/210825/2</v>
      </c>
      <c r="C6765" s="42" t="str">
        <f>IFERROR(__xludf.DUMMYFUNCTION("""COMPUTED_VALUE"""),"M. 892/ NOG")</f>
        <v>M. 892/ NOG</v>
      </c>
      <c r="D6765" s="42" t="str">
        <f>IFERROR(__xludf.DUMMYFUNCTION("""COMPUTED_VALUE"""),"Berry")</f>
        <v>Berry</v>
      </c>
      <c r="E6765" s="42" t="str">
        <f>IFERROR(__xludf.DUMMYFUNCTION("""COMPUTED_VALUE"""),"DISERAHKAN")</f>
        <v>DISERAHKAN</v>
      </c>
      <c r="F6765" s="48">
        <f>IFERROR(__xludf.DUMMYFUNCTION("""COMPUTED_VALUE"""),45908.63562748843)</f>
        <v>45908.63563</v>
      </c>
      <c r="G6765" s="42" t="str">
        <f>IFERROR(__xludf.DUMMYFUNCTION("""COMPUTED_VALUE"""),"BN JUAL BELI")</f>
        <v>BN JUAL BELI</v>
      </c>
      <c r="H6765" s="42">
        <f t="shared" si="1"/>
        <v>2923</v>
      </c>
    </row>
    <row r="6766" ht="22.5" customHeight="1">
      <c r="B6766" s="42" t="str">
        <f>IFERROR(__xludf.DUMMYFUNCTION("""COMPUTED_VALUE"""),"K/8/210825/1")</f>
        <v>K/8/210825/1</v>
      </c>
      <c r="C6766" s="42" t="str">
        <f>IFERROR(__xludf.DUMMYFUNCTION("""COMPUTED_VALUE"""),"Nibel 15821/Sukarame Baru")</f>
        <v>Nibel 15821/Sukarame Baru</v>
      </c>
      <c r="D6766" s="42"/>
      <c r="E6766" s="42"/>
      <c r="F6766" s="48" t="str">
        <f>IFERROR(__xludf.DUMMYFUNCTION("""COMPUTED_VALUE"""),"")</f>
        <v/>
      </c>
      <c r="G6766" s="42" t="str">
        <f>IFERROR(__xludf.DUMMYFUNCTION("""COMPUTED_VALUE"""),"BN Jual beli")</f>
        <v>BN Jual beli</v>
      </c>
      <c r="H6766" s="42">
        <f t="shared" si="1"/>
        <v>2923</v>
      </c>
    </row>
    <row r="6767" ht="22.5" customHeight="1">
      <c r="B6767" s="42" t="str">
        <f>IFERROR(__xludf.DUMMYFUNCTION("""COMPUTED_VALUE"""),"K/10/210825/2")</f>
        <v>K/10/210825/2</v>
      </c>
      <c r="C6767" s="42" t="str">
        <f>IFERROR(__xludf.DUMMYFUNCTION("""COMPUTED_VALUE"""),"Nibel 20838/Sumur Putri")</f>
        <v>Nibel 20838/Sumur Putri</v>
      </c>
      <c r="D6767" s="42"/>
      <c r="E6767" s="42"/>
      <c r="F6767" s="48" t="str">
        <f>IFERROR(__xludf.DUMMYFUNCTION("""COMPUTED_VALUE"""),"")</f>
        <v/>
      </c>
      <c r="G6767" s="42" t="str">
        <f>IFERROR(__xludf.DUMMYFUNCTION("""COMPUTED_VALUE"""),"BN Jual beli")</f>
        <v>BN Jual beli</v>
      </c>
      <c r="H6767" s="42">
        <f t="shared" si="1"/>
        <v>2923</v>
      </c>
    </row>
    <row r="6768" ht="22.5" customHeight="1">
      <c r="B6768" s="42" t="str">
        <f>IFERROR(__xludf.DUMMYFUNCTION("""COMPUTED_VALUE"""),"K/12/210825/3")</f>
        <v>K/12/210825/3</v>
      </c>
      <c r="C6768" s="42" t="str">
        <f>IFERROR(__xludf.DUMMYFUNCTION("""COMPUTED_VALUE"""),"NIBEL M. 23887/ KOTA SEPANG")</f>
        <v>NIBEL M. 23887/ KOTA SEPANG</v>
      </c>
      <c r="D6768" s="42"/>
      <c r="E6768" s="42"/>
      <c r="F6768" s="48" t="str">
        <f>IFERROR(__xludf.DUMMYFUNCTION("""COMPUTED_VALUE"""),"")</f>
        <v/>
      </c>
      <c r="G6768" s="42" t="str">
        <f>IFERROR(__xludf.DUMMYFUNCTION("""COMPUTED_VALUE"""),"BN JUAL BELI")</f>
        <v>BN JUAL BELI</v>
      </c>
      <c r="H6768" s="42">
        <f t="shared" si="1"/>
        <v>2923</v>
      </c>
    </row>
    <row r="6769" ht="22.5" customHeight="1">
      <c r="B6769" s="42" t="str">
        <f>IFERROR(__xludf.DUMMYFUNCTION("""COMPUTED_VALUE"""),"K/13/210825/4")</f>
        <v>K/13/210825/4</v>
      </c>
      <c r="C6769" s="42" t="str">
        <f>IFERROR(__xludf.DUMMYFUNCTION("""COMPUTED_VALUE"""),"M. 497/ KOTA SEPANG")</f>
        <v>M. 497/ KOTA SEPANG</v>
      </c>
      <c r="D6769" s="42"/>
      <c r="E6769" s="42"/>
      <c r="F6769" s="48" t="str">
        <f>IFERROR(__xludf.DUMMYFUNCTION("""COMPUTED_VALUE"""),"")</f>
        <v/>
      </c>
      <c r="G6769" s="42" t="str">
        <f>IFERROR(__xludf.DUMMYFUNCTION("""COMPUTED_VALUE"""),"BN JUAL BELI")</f>
        <v>BN JUAL BELI</v>
      </c>
      <c r="H6769" s="42">
        <f t="shared" si="1"/>
        <v>2923</v>
      </c>
    </row>
    <row r="6770" ht="22.5" customHeight="1">
      <c r="B6770" s="42" t="str">
        <f>IFERROR(__xludf.DUMMYFUNCTION("""COMPUTED_VALUE"""),"K/11/210825/3")</f>
        <v>K/11/210825/3</v>
      </c>
      <c r="C6770" s="42" t="str">
        <f>IFERROR(__xludf.DUMMYFUNCTION("""COMPUTED_VALUE"""),"M. 2810/Sukarame Baru")</f>
        <v>M. 2810/Sukarame Baru</v>
      </c>
      <c r="D6770" s="42" t="str">
        <f>IFERROR(__xludf.DUMMYFUNCTION("""COMPUTED_VALUE"""),"David")</f>
        <v>David</v>
      </c>
      <c r="E6770" s="42" t="str">
        <f>IFERROR(__xludf.DUMMYFUNCTION("""COMPUTED_VALUE"""),"DISERAHKAN")</f>
        <v>DISERAHKAN</v>
      </c>
      <c r="F6770" s="48">
        <f>IFERROR(__xludf.DUMMYFUNCTION("""COMPUTED_VALUE"""),45945.62549878472)</f>
        <v>45945.6255</v>
      </c>
      <c r="G6770" s="42" t="str">
        <f>IFERROR(__xludf.DUMMYFUNCTION("""COMPUTED_VALUE"""),"BN Jual beli")</f>
        <v>BN Jual beli</v>
      </c>
      <c r="H6770" s="42">
        <f t="shared" si="1"/>
        <v>2924</v>
      </c>
    </row>
    <row r="6771" ht="22.5" customHeight="1">
      <c r="B6771" s="42" t="str">
        <f>IFERROR(__xludf.DUMMYFUNCTION("""COMPUTED_VALUE"""),"K/14/210825/1")</f>
        <v>K/14/210825/1</v>
      </c>
      <c r="C6771" s="42" t="str">
        <f>IFERROR(__xludf.DUMMYFUNCTION("""COMPUTED_VALUE"""),"M. 1100/Sumur Batu")</f>
        <v>M. 1100/Sumur Batu</v>
      </c>
      <c r="D6771" s="42" t="str">
        <f>IFERROR(__xludf.DUMMYFUNCTION("""COMPUTED_VALUE"""),"Berry")</f>
        <v>Berry</v>
      </c>
      <c r="E6771" s="42" t="str">
        <f>IFERROR(__xludf.DUMMYFUNCTION("""COMPUTED_VALUE"""),"DISERAHKAN")</f>
        <v>DISERAHKAN</v>
      </c>
      <c r="F6771" s="48">
        <f>IFERROR(__xludf.DUMMYFUNCTION("""COMPUTED_VALUE"""),45910.594446180556)</f>
        <v>45910.59445</v>
      </c>
      <c r="G6771" s="42" t="str">
        <f>IFERROR(__xludf.DUMMYFUNCTION("""COMPUTED_VALUE"""),"BN Jual beli")</f>
        <v>BN Jual beli</v>
      </c>
      <c r="H6771" s="42">
        <f t="shared" si="1"/>
        <v>2925</v>
      </c>
    </row>
    <row r="6772" ht="22.5" customHeight="1">
      <c r="B6772" s="42" t="str">
        <f>IFERROR(__xludf.DUMMYFUNCTION("""COMPUTED_VALUE"""),"K/19/210825/2")</f>
        <v>K/19/210825/2</v>
      </c>
      <c r="C6772" s="42" t="str">
        <f>IFERROR(__xludf.DUMMYFUNCTION("""COMPUTED_VALUE"""),"M. 1561/Sumur Batu")</f>
        <v>M. 1561/Sumur Batu</v>
      </c>
      <c r="D6772" s="42"/>
      <c r="E6772" s="42"/>
      <c r="F6772" s="48" t="str">
        <f>IFERROR(__xludf.DUMMYFUNCTION("""COMPUTED_VALUE"""),"")</f>
        <v/>
      </c>
      <c r="G6772" s="42" t="str">
        <f>IFERROR(__xludf.DUMMYFUNCTION("""COMPUTED_VALUE"""),"BN Jual beli")</f>
        <v>BN Jual beli</v>
      </c>
      <c r="H6772" s="42">
        <f t="shared" si="1"/>
        <v>2925</v>
      </c>
    </row>
    <row r="6773" ht="22.5" customHeight="1">
      <c r="B6773" s="42" t="str">
        <f>IFERROR(__xludf.DUMMYFUNCTION("""COMPUTED_VALUE"""),"L/20/210825/1")</f>
        <v>L/20/210825/1</v>
      </c>
      <c r="C6773" s="42" t="str">
        <f>IFERROR(__xludf.DUMMYFUNCTION("""COMPUTED_VALUE"""),"KELURAHAN TANJUNG AGUNG")</f>
        <v>KELURAHAN TANJUNG AGUNG</v>
      </c>
      <c r="D6773" s="42" t="str">
        <f>IFERROR(__xludf.DUMMYFUNCTION("""COMPUTED_VALUE"""),"Berry")</f>
        <v>Berry</v>
      </c>
      <c r="E6773" s="42" t="str">
        <f>IFERROR(__xludf.DUMMYFUNCTION("""COMPUTED_VALUE"""),"DISERAHKAN")</f>
        <v>DISERAHKAN</v>
      </c>
      <c r="F6773" s="48">
        <f>IFERROR(__xludf.DUMMYFUNCTION("""COMPUTED_VALUE"""),45932.70429421296)</f>
        <v>45932.70429</v>
      </c>
      <c r="G6773" s="42" t="str">
        <f>IFERROR(__xludf.DUMMYFUNCTION("""COMPUTED_VALUE"""),"PENGUKURAN PERTAMA KALI")</f>
        <v>PENGUKURAN PERTAMA KALI</v>
      </c>
      <c r="H6773" s="42">
        <f t="shared" si="1"/>
        <v>2926</v>
      </c>
    </row>
    <row r="6774" ht="22.5" customHeight="1">
      <c r="B6774" s="42" t="str">
        <f>IFERROR(__xludf.DUMMYFUNCTION("""COMPUTED_VALUE"""),"K/21/210825/1")</f>
        <v>K/21/210825/1</v>
      </c>
      <c r="C6774" s="42" t="str">
        <f>IFERROR(__xludf.DUMMYFUNCTION("""COMPUTED_VALUE"""),"M. 2651/SUMBER REJO")</f>
        <v>M. 2651/SUMBER REJO</v>
      </c>
      <c r="D6774" s="42"/>
      <c r="E6774" s="42"/>
      <c r="F6774" s="48" t="str">
        <f>IFERROR(__xludf.DUMMYFUNCTION("""COMPUTED_VALUE"""),"")</f>
        <v/>
      </c>
      <c r="G6774" s="42" t="str">
        <f>IFERROR(__xludf.DUMMYFUNCTION("""COMPUTED_VALUE"""),"BN JUAL BELI")</f>
        <v>BN JUAL BELI</v>
      </c>
      <c r="H6774" s="42">
        <f t="shared" si="1"/>
        <v>2926</v>
      </c>
    </row>
    <row r="6775" ht="22.5" customHeight="1">
      <c r="B6775" s="42" t="str">
        <f>IFERROR(__xludf.DUMMYFUNCTION("""COMPUTED_VALUE"""),"K/22/210825/1")</f>
        <v>K/22/210825/1</v>
      </c>
      <c r="C6775" s="42" t="str">
        <f>IFERROR(__xludf.DUMMYFUNCTION("""COMPUTED_VALUE"""),"M. 1137/KUPANG TEBA")</f>
        <v>M. 1137/KUPANG TEBA</v>
      </c>
      <c r="D6775" s="42" t="str">
        <f>IFERROR(__xludf.DUMMYFUNCTION("""COMPUTED_VALUE"""),"Berry")</f>
        <v>Berry</v>
      </c>
      <c r="E6775" s="42" t="str">
        <f>IFERROR(__xludf.DUMMYFUNCTION("""COMPUTED_VALUE"""),"DISERAHKAN")</f>
        <v>DISERAHKAN</v>
      </c>
      <c r="F6775" s="48">
        <f>IFERROR(__xludf.DUMMYFUNCTION("""COMPUTED_VALUE"""),45910.59362755787)</f>
        <v>45910.59363</v>
      </c>
      <c r="G6775" s="42" t="str">
        <f>IFERROR(__xludf.DUMMYFUNCTION("""COMPUTED_VALUE"""),"BN JUAL BELI")</f>
        <v>BN JUAL BELI</v>
      </c>
      <c r="H6775" s="42">
        <f t="shared" si="1"/>
        <v>2927</v>
      </c>
    </row>
    <row r="6776" ht="22.5" customHeight="1">
      <c r="B6776" s="42" t="str">
        <f>IFERROR(__xludf.DUMMYFUNCTION("""COMPUTED_VALUE"""),"K/23/210825/1")</f>
        <v>K/23/210825/1</v>
      </c>
      <c r="C6776" s="42" t="str">
        <f>IFERROR(__xludf.DUMMYFUNCTION("""COMPUTED_VALUE"""),"NIBEL. M 22362/ JAGABAYA II")</f>
        <v>NIBEL. M 22362/ JAGABAYA II</v>
      </c>
      <c r="D6776" s="42" t="str">
        <f>IFERROR(__xludf.DUMMYFUNCTION("""COMPUTED_VALUE"""),"Berry")</f>
        <v>Berry</v>
      </c>
      <c r="E6776" s="42" t="str">
        <f>IFERROR(__xludf.DUMMYFUNCTION("""COMPUTED_VALUE"""),"DISERAHKAN")</f>
        <v>DISERAHKAN</v>
      </c>
      <c r="F6776" s="48">
        <f>IFERROR(__xludf.DUMMYFUNCTION("""COMPUTED_VALUE"""),45938.48857652778)</f>
        <v>45938.48858</v>
      </c>
      <c r="G6776" s="42" t="str">
        <f>IFERROR(__xludf.DUMMYFUNCTION("""COMPUTED_VALUE"""),"BN HIBAH")</f>
        <v>BN HIBAH</v>
      </c>
      <c r="H6776" s="42">
        <f t="shared" si="1"/>
        <v>2928</v>
      </c>
    </row>
    <row r="6777" ht="22.5" customHeight="1">
      <c r="B6777" s="42" t="str">
        <f>IFERROR(__xludf.DUMMYFUNCTION("""COMPUTED_VALUE"""),"K/24/210825/1")</f>
        <v>K/24/210825/1</v>
      </c>
      <c r="C6777" s="42" t="str">
        <f>IFERROR(__xludf.DUMMYFUNCTION("""COMPUTED_VALUE"""),"M. 2534/Labuhan Dalam")</f>
        <v>M. 2534/Labuhan Dalam</v>
      </c>
      <c r="D6777" s="42"/>
      <c r="E6777" s="42"/>
      <c r="F6777" s="48" t="str">
        <f>IFERROR(__xludf.DUMMYFUNCTION("""COMPUTED_VALUE"""),"")</f>
        <v/>
      </c>
      <c r="G6777" s="42" t="str">
        <f>IFERROR(__xludf.DUMMYFUNCTION("""COMPUTED_VALUE"""),"Hapus BPHTB")</f>
        <v>Hapus BPHTB</v>
      </c>
      <c r="H6777" s="42">
        <f t="shared" si="1"/>
        <v>2928</v>
      </c>
    </row>
    <row r="6778" ht="22.5" customHeight="1">
      <c r="B6778" s="42" t="str">
        <f>IFERROR(__xludf.DUMMYFUNCTION("""COMPUTED_VALUE"""),"L/28/210826/1")</f>
        <v>L/28/210826/1</v>
      </c>
      <c r="C6778" s="42" t="str">
        <f>IFERROR(__xludf.DUMMYFUNCTION("""COMPUTED_VALUE"""),"SHGB 44 GOTONG ROYONG")</f>
        <v>SHGB 44 GOTONG ROYONG</v>
      </c>
      <c r="D6778" s="42"/>
      <c r="E6778" s="42"/>
      <c r="F6778" s="48" t="str">
        <f>IFERROR(__xludf.DUMMYFUNCTION("""COMPUTED_VALUE"""),"")</f>
        <v/>
      </c>
      <c r="G6778" s="42" t="str">
        <f>IFERROR(__xludf.DUMMYFUNCTION("""COMPUTED_VALUE"""),"ANGKAT SITA")</f>
        <v>ANGKAT SITA</v>
      </c>
      <c r="H6778" s="42">
        <f t="shared" si="1"/>
        <v>2928</v>
      </c>
    </row>
    <row r="6779" ht="22.5" customHeight="1">
      <c r="B6779" s="42" t="str">
        <f>IFERROR(__xludf.DUMMYFUNCTION("""COMPUTED_VALUE"""),"K/27/210825/1")</f>
        <v>K/27/210825/1</v>
      </c>
      <c r="C6779" s="42" t="str">
        <f>IFERROR(__xludf.DUMMYFUNCTION("""COMPUTED_VALUE"""),"M. 3050/LABUHAN DALAM")</f>
        <v>M. 3050/LABUHAN DALAM</v>
      </c>
      <c r="D6779" s="42"/>
      <c r="E6779" s="42"/>
      <c r="F6779" s="48" t="str">
        <f>IFERROR(__xludf.DUMMYFUNCTION("""COMPUTED_VALUE"""),"")</f>
        <v/>
      </c>
      <c r="G6779" s="42" t="str">
        <f>IFERROR(__xludf.DUMMYFUNCTION("""COMPUTED_VALUE"""),"PENATAAN BATAS")</f>
        <v>PENATAAN BATAS</v>
      </c>
      <c r="H6779" s="42">
        <f t="shared" si="1"/>
        <v>2928</v>
      </c>
    </row>
    <row r="6780" ht="22.5" customHeight="1">
      <c r="B6780" s="42" t="str">
        <f>IFERROR(__xludf.DUMMYFUNCTION("""COMPUTED_VALUE"""),"K/29/210825/1")</f>
        <v>K/29/210825/1</v>
      </c>
      <c r="C6780" s="42" t="str">
        <f>IFERROR(__xludf.DUMMYFUNCTION("""COMPUTED_VALUE"""),"NIBEL M 22857/ SEGALA MIDER")</f>
        <v>NIBEL M 22857/ SEGALA MIDER</v>
      </c>
      <c r="D6780" s="42"/>
      <c r="E6780" s="42"/>
      <c r="F6780" s="48" t="str">
        <f>IFERROR(__xludf.DUMMYFUNCTION("""COMPUTED_VALUE"""),"")</f>
        <v/>
      </c>
      <c r="G6780" s="42" t="str">
        <f>IFERROR(__xludf.DUMMYFUNCTION("""COMPUTED_VALUE"""),"BN JUAL BELI")</f>
        <v>BN JUAL BELI</v>
      </c>
      <c r="H6780" s="42">
        <f t="shared" si="1"/>
        <v>2928</v>
      </c>
    </row>
    <row r="6781" ht="22.5" customHeight="1">
      <c r="B6781" s="42" t="str">
        <f>IFERROR(__xludf.DUMMYFUNCTION("""COMPUTED_VALUE"""),"L/34/210826/1")</f>
        <v>L/34/210826/1</v>
      </c>
      <c r="C6781" s="42" t="str">
        <f>IFERROR(__xludf.DUMMYFUNCTION("""COMPUTED_VALUE"""),"B. 4057/SUKARAME I")</f>
        <v>B. 4057/SUKARAME I</v>
      </c>
      <c r="D6781" s="42"/>
      <c r="E6781" s="42"/>
      <c r="F6781" s="48" t="str">
        <f>IFERROR(__xludf.DUMMYFUNCTION("""COMPUTED_VALUE"""),"")</f>
        <v/>
      </c>
      <c r="G6781" s="42" t="str">
        <f>IFERROR(__xludf.DUMMYFUNCTION("""COMPUTED_VALUE"""),"PENINGKATAN HAK")</f>
        <v>PENINGKATAN HAK</v>
      </c>
      <c r="H6781" s="42">
        <f t="shared" si="1"/>
        <v>2928</v>
      </c>
    </row>
    <row r="6782" ht="22.5" customHeight="1">
      <c r="B6782" s="42" t="str">
        <f>IFERROR(__xludf.DUMMYFUNCTION("""COMPUTED_VALUE"""),"K/30/210825/2")</f>
        <v>K/30/210825/2</v>
      </c>
      <c r="C6782" s="42" t="str">
        <f>IFERROR(__xludf.DUMMYFUNCTION("""COMPUTED_VALUE"""),"NIBEL M 22861/ SEGALA MIDER")</f>
        <v>NIBEL M 22861/ SEGALA MIDER</v>
      </c>
      <c r="D6782" s="42" t="str">
        <f>IFERROR(__xludf.DUMMYFUNCTION("""COMPUTED_VALUE"""),"Berry")</f>
        <v>Berry</v>
      </c>
      <c r="E6782" s="42" t="str">
        <f>IFERROR(__xludf.DUMMYFUNCTION("""COMPUTED_VALUE"""),"DISERAHKAN")</f>
        <v>DISERAHKAN</v>
      </c>
      <c r="F6782" s="48">
        <f>IFERROR(__xludf.DUMMYFUNCTION("""COMPUTED_VALUE"""),45908.66616206018)</f>
        <v>45908.66616</v>
      </c>
      <c r="G6782" s="42" t="str">
        <f>IFERROR(__xludf.DUMMYFUNCTION("""COMPUTED_VALUE"""),"BN JUAL BELI")</f>
        <v>BN JUAL BELI</v>
      </c>
      <c r="H6782" s="42">
        <f t="shared" si="1"/>
        <v>2929</v>
      </c>
    </row>
    <row r="6783" ht="22.5" customHeight="1">
      <c r="B6783" s="42" t="str">
        <f>IFERROR(__xludf.DUMMYFUNCTION("""COMPUTED_VALUE"""),"K/31/210825/3")</f>
        <v>K/31/210825/3</v>
      </c>
      <c r="C6783" s="42" t="str">
        <f>IFERROR(__xludf.DUMMYFUNCTION("""COMPUTED_VALUE"""),"NIBEL M 20983/ LABUHAN DALAM")</f>
        <v>NIBEL M 20983/ LABUHAN DALAM</v>
      </c>
      <c r="D6783" s="42"/>
      <c r="E6783" s="42"/>
      <c r="F6783" s="48" t="str">
        <f>IFERROR(__xludf.DUMMYFUNCTION("""COMPUTED_VALUE"""),"")</f>
        <v/>
      </c>
      <c r="G6783" s="42" t="str">
        <f>IFERROR(__xludf.DUMMYFUNCTION("""COMPUTED_VALUE"""),"BN JUAL BELI")</f>
        <v>BN JUAL BELI</v>
      </c>
      <c r="H6783" s="42">
        <f t="shared" si="1"/>
        <v>2929</v>
      </c>
    </row>
    <row r="6784" ht="22.5" customHeight="1">
      <c r="B6784" s="42" t="str">
        <f>IFERROR(__xludf.DUMMYFUNCTION("""COMPUTED_VALUE"""),"K/32/210825/4")</f>
        <v>K/32/210825/4</v>
      </c>
      <c r="C6784" s="42" t="str">
        <f>IFERROR(__xludf.DUMMYFUNCTION("""COMPUTED_VALUE"""),"NIBEL M 22859/ SEGALA MIDER")</f>
        <v>NIBEL M 22859/ SEGALA MIDER</v>
      </c>
      <c r="D6784" s="42"/>
      <c r="E6784" s="42"/>
      <c r="F6784" s="48" t="str">
        <f>IFERROR(__xludf.DUMMYFUNCTION("""COMPUTED_VALUE"""),"")</f>
        <v/>
      </c>
      <c r="G6784" s="42" t="str">
        <f>IFERROR(__xludf.DUMMYFUNCTION("""COMPUTED_VALUE"""),"BN JUAL BELI")</f>
        <v>BN JUAL BELI</v>
      </c>
      <c r="H6784" s="42">
        <f t="shared" si="1"/>
        <v>2929</v>
      </c>
    </row>
    <row r="6785" ht="22.5" customHeight="1">
      <c r="B6785" s="42" t="str">
        <f>IFERROR(__xludf.DUMMYFUNCTION("""COMPUTED_VALUE"""),"K/33/210825/5")</f>
        <v>K/33/210825/5</v>
      </c>
      <c r="C6785" s="42" t="str">
        <f>IFERROR(__xludf.DUMMYFUNCTION("""COMPUTED_VALUE"""),"NIBEL M 18785/ LABUHAN RATU RAYA")</f>
        <v>NIBEL M 18785/ LABUHAN RATU RAYA</v>
      </c>
      <c r="D6785" s="42"/>
      <c r="E6785" s="42"/>
      <c r="F6785" s="48" t="str">
        <f>IFERROR(__xludf.DUMMYFUNCTION("""COMPUTED_VALUE"""),"")</f>
        <v/>
      </c>
      <c r="G6785" s="42" t="str">
        <f>IFERROR(__xludf.DUMMYFUNCTION("""COMPUTED_VALUE"""),"BN JUAL BELI")</f>
        <v>BN JUAL BELI</v>
      </c>
      <c r="H6785" s="42">
        <f t="shared" si="1"/>
        <v>2929</v>
      </c>
    </row>
    <row r="6786" ht="22.5" customHeight="1">
      <c r="B6786" s="42" t="str">
        <f>IFERROR(__xludf.DUMMYFUNCTION("""COMPUTED_VALUE"""),"K/35/210826/1")</f>
        <v>K/35/210826/1</v>
      </c>
      <c r="C6786" s="42" t="str">
        <f>IFERROR(__xludf.DUMMYFUNCTION("""COMPUTED_VALUE"""),"M. 580/PERUMNAS WAY HALIM")</f>
        <v>M. 580/PERUMNAS WAY HALIM</v>
      </c>
      <c r="D6786" s="42"/>
      <c r="E6786" s="42"/>
      <c r="F6786" s="48" t="str">
        <f>IFERROR(__xludf.DUMMYFUNCTION("""COMPUTED_VALUE"""),"")</f>
        <v/>
      </c>
      <c r="G6786" s="42" t="str">
        <f>IFERROR(__xludf.DUMMYFUNCTION("""COMPUTED_VALUE"""),"BN JUAL BELI")</f>
        <v>BN JUAL BELI</v>
      </c>
      <c r="H6786" s="42">
        <f t="shared" si="1"/>
        <v>2929</v>
      </c>
    </row>
    <row r="6787" ht="22.5" customHeight="1">
      <c r="B6787" s="42" t="str">
        <f>IFERROR(__xludf.DUMMYFUNCTION("""COMPUTED_VALUE"""),"K/36/210826/2")</f>
        <v>K/36/210826/2</v>
      </c>
      <c r="C6787" s="42" t="str">
        <f>IFERROR(__xludf.DUMMYFUNCTION("""COMPUTED_VALUE"""),"NIBEL M. 22327/SUMUR BATU")</f>
        <v>NIBEL M. 22327/SUMUR BATU</v>
      </c>
      <c r="D6787" s="42"/>
      <c r="E6787" s="42"/>
      <c r="F6787" s="48" t="str">
        <f>IFERROR(__xludf.DUMMYFUNCTION("""COMPUTED_VALUE"""),"")</f>
        <v/>
      </c>
      <c r="G6787" s="42" t="str">
        <f>IFERROR(__xludf.DUMMYFUNCTION("""COMPUTED_VALUE"""),"BN HIBAH EL")</f>
        <v>BN HIBAH EL</v>
      </c>
      <c r="H6787" s="42">
        <f t="shared" si="1"/>
        <v>2929</v>
      </c>
    </row>
    <row r="6788" ht="22.5" customHeight="1">
      <c r="B6788" s="42" t="str">
        <f>IFERROR(__xludf.DUMMYFUNCTION("""COMPUTED_VALUE"""),"K/37/210826/3")</f>
        <v>K/37/210826/3</v>
      </c>
      <c r="C6788" s="42" t="str">
        <f>IFERROR(__xludf.DUMMYFUNCTION("""COMPUTED_VALUE"""),"NIBEL M. 21324/SUMUR BATU")</f>
        <v>NIBEL M. 21324/SUMUR BATU</v>
      </c>
      <c r="D6788" s="42"/>
      <c r="E6788" s="42"/>
      <c r="F6788" s="48" t="str">
        <f>IFERROR(__xludf.DUMMYFUNCTION("""COMPUTED_VALUE"""),"")</f>
        <v/>
      </c>
      <c r="G6788" s="42" t="str">
        <f>IFERROR(__xludf.DUMMYFUNCTION("""COMPUTED_VALUE"""),"BN HIBAH EL")</f>
        <v>BN HIBAH EL</v>
      </c>
      <c r="H6788" s="42">
        <f t="shared" si="1"/>
        <v>2929</v>
      </c>
    </row>
    <row r="6789" ht="22.5" customHeight="1">
      <c r="B6789" s="42" t="str">
        <f>IFERROR(__xludf.DUMMYFUNCTION("""COMPUTED_VALUE"""),"K/38/210826/1")</f>
        <v>K/38/210826/1</v>
      </c>
      <c r="C6789" s="42" t="str">
        <f>IFERROR(__xludf.DUMMYFUNCTION("""COMPUTED_VALUE"""),"B.755/Sumur Putri")</f>
        <v>B.755/Sumur Putri</v>
      </c>
      <c r="D6789" s="42"/>
      <c r="E6789" s="42"/>
      <c r="F6789" s="48" t="str">
        <f>IFERROR(__xludf.DUMMYFUNCTION("""COMPUTED_VALUE"""),"")</f>
        <v/>
      </c>
      <c r="G6789" s="42" t="str">
        <f>IFERROR(__xludf.DUMMYFUNCTION("""COMPUTED_VALUE"""),"BN Jual beli")</f>
        <v>BN Jual beli</v>
      </c>
      <c r="H6789" s="42">
        <f t="shared" si="1"/>
        <v>2929</v>
      </c>
    </row>
    <row r="6790" ht="22.5" customHeight="1">
      <c r="B6790" s="42" t="str">
        <f>IFERROR(__xludf.DUMMYFUNCTION("""COMPUTED_VALUE"""),"K/39/210826/1")</f>
        <v>K/39/210826/1</v>
      </c>
      <c r="C6790" s="42" t="str">
        <f>IFERROR(__xludf.DUMMYFUNCTION("""COMPUTED_VALUE"""),"M. 4713/WAY KANDIS")</f>
        <v>M. 4713/WAY KANDIS</v>
      </c>
      <c r="D6790" s="42" t="str">
        <f>IFERROR(__xludf.DUMMYFUNCTION("""COMPUTED_VALUE"""),"Berry")</f>
        <v>Berry</v>
      </c>
      <c r="E6790" s="42" t="str">
        <f>IFERROR(__xludf.DUMMYFUNCTION("""COMPUTED_VALUE"""),"DISERAHKAN")</f>
        <v>DISERAHKAN</v>
      </c>
      <c r="F6790" s="48">
        <f>IFERROR(__xludf.DUMMYFUNCTION("""COMPUTED_VALUE"""),45912.532446875004)</f>
        <v>45912.53245</v>
      </c>
      <c r="G6790" s="42" t="str">
        <f>IFERROR(__xludf.DUMMYFUNCTION("""COMPUTED_VALUE"""),"BN JUAL BELI")</f>
        <v>BN JUAL BELI</v>
      </c>
      <c r="H6790" s="42">
        <f t="shared" si="1"/>
        <v>2930</v>
      </c>
    </row>
    <row r="6791" ht="22.5" customHeight="1">
      <c r="B6791" s="42" t="str">
        <f>IFERROR(__xludf.DUMMYFUNCTION("""COMPUTED_VALUE"""),"K/40/210826/2")</f>
        <v>K/40/210826/2</v>
      </c>
      <c r="C6791" s="42" t="str">
        <f>IFERROR(__xludf.DUMMYFUNCTION("""COMPUTED_VALUE"""),"NIBEL M. 18640/KEMILING PERMAI")</f>
        <v>NIBEL M. 18640/KEMILING PERMAI</v>
      </c>
      <c r="D6791" s="42" t="str">
        <f>IFERROR(__xludf.DUMMYFUNCTION("""COMPUTED_VALUE"""),"Berry")</f>
        <v>Berry</v>
      </c>
      <c r="E6791" s="42" t="str">
        <f>IFERROR(__xludf.DUMMYFUNCTION("""COMPUTED_VALUE"""),"DISERAHKAN")</f>
        <v>DISERAHKAN</v>
      </c>
      <c r="F6791" s="48">
        <f>IFERROR(__xludf.DUMMYFUNCTION("""COMPUTED_VALUE"""),45918.551986018516)</f>
        <v>45918.55199</v>
      </c>
      <c r="G6791" s="42" t="str">
        <f>IFERROR(__xludf.DUMMYFUNCTION("""COMPUTED_VALUE"""),"BN JUAL BELI")</f>
        <v>BN JUAL BELI</v>
      </c>
      <c r="H6791" s="42">
        <f t="shared" si="1"/>
        <v>2931</v>
      </c>
    </row>
    <row r="6792" ht="22.5" customHeight="1">
      <c r="B6792" s="42" t="str">
        <f>IFERROR(__xludf.DUMMYFUNCTION("""COMPUTED_VALUE"""),"K/41/210826/1")</f>
        <v>K/41/210826/1</v>
      </c>
      <c r="C6792" s="42" t="str">
        <f>IFERROR(__xludf.DUMMYFUNCTION("""COMPUTED_VALUE"""),"Nibel 17472/Gunung Sulah")</f>
        <v>Nibel 17472/Gunung Sulah</v>
      </c>
      <c r="D6792" s="42"/>
      <c r="E6792" s="42"/>
      <c r="F6792" s="48" t="str">
        <f>IFERROR(__xludf.DUMMYFUNCTION("""COMPUTED_VALUE"""),"")</f>
        <v/>
      </c>
      <c r="G6792" s="42" t="str">
        <f>IFERROR(__xludf.DUMMYFUNCTION("""COMPUTED_VALUE"""),"BN Jual beli")</f>
        <v>BN Jual beli</v>
      </c>
      <c r="H6792" s="42">
        <f t="shared" si="1"/>
        <v>2931</v>
      </c>
    </row>
    <row r="6793" ht="22.5" customHeight="1">
      <c r="B6793" s="42" t="str">
        <f>IFERROR(__xludf.DUMMYFUNCTION("""COMPUTED_VALUE"""),"K/42/210826/1")</f>
        <v>K/42/210826/1</v>
      </c>
      <c r="C6793" s="42" t="str">
        <f>IFERROR(__xludf.DUMMYFUNCTION("""COMPUTED_VALUE"""),"NIBEL M.20881/RAJABASA JAYA")</f>
        <v>NIBEL M.20881/RAJABASA JAYA</v>
      </c>
      <c r="D6793" s="42"/>
      <c r="E6793" s="42"/>
      <c r="F6793" s="48" t="str">
        <f>IFERROR(__xludf.DUMMYFUNCTION("""COMPUTED_VALUE"""),"")</f>
        <v/>
      </c>
      <c r="G6793" s="42" t="str">
        <f>IFERROR(__xludf.DUMMYFUNCTION("""COMPUTED_VALUE"""),"BN JUAL BELI")</f>
        <v>BN JUAL BELI</v>
      </c>
      <c r="H6793" s="42">
        <f t="shared" si="1"/>
        <v>2931</v>
      </c>
    </row>
    <row r="6794" ht="22.5" customHeight="1">
      <c r="B6794" s="42" t="str">
        <f>IFERROR(__xludf.DUMMYFUNCTION("""COMPUTED_VALUE"""),"L/48/210826/1")</f>
        <v>L/48/210826/1</v>
      </c>
      <c r="C6794" s="42" t="str">
        <f>IFERROR(__xludf.DUMMYFUNCTION("""COMPUTED_VALUE"""),"B. 621/NUSANTARA PERMAI")</f>
        <v>B. 621/NUSANTARA PERMAI</v>
      </c>
      <c r="D6794" s="42"/>
      <c r="E6794" s="42"/>
      <c r="F6794" s="48" t="str">
        <f>IFERROR(__xludf.DUMMYFUNCTION("""COMPUTED_VALUE"""),"")</f>
        <v/>
      </c>
      <c r="G6794" s="42" t="str">
        <f>IFERROR(__xludf.DUMMYFUNCTION("""COMPUTED_VALUE"""),"PENINGKATAN HAK")</f>
        <v>PENINGKATAN HAK</v>
      </c>
      <c r="H6794" s="42">
        <f t="shared" si="1"/>
        <v>2931</v>
      </c>
    </row>
    <row r="6795" ht="22.5" customHeight="1">
      <c r="B6795" s="42" t="str">
        <f>IFERROR(__xludf.DUMMYFUNCTION("""COMPUTED_VALUE"""),"K/49/210827/1")</f>
        <v>K/49/210827/1</v>
      </c>
      <c r="C6795" s="42" t="str">
        <f>IFERROR(__xludf.DUMMYFUNCTION("""COMPUTED_VALUE"""),"M. 11822/RAJABASA")</f>
        <v>M. 11822/RAJABASA</v>
      </c>
      <c r="D6795" s="42" t="str">
        <f>IFERROR(__xludf.DUMMYFUNCTION("""COMPUTED_VALUE"""),"David")</f>
        <v>David</v>
      </c>
      <c r="E6795" s="42" t="str">
        <f>IFERROR(__xludf.DUMMYFUNCTION("""COMPUTED_VALUE"""),"DISERAHKAN")</f>
        <v>DISERAHKAN</v>
      </c>
      <c r="F6795" s="48">
        <f>IFERROR(__xludf.DUMMYFUNCTION("""COMPUTED_VALUE"""),45908.66927366898)</f>
        <v>45908.66927</v>
      </c>
      <c r="G6795" s="42" t="str">
        <f>IFERROR(__xludf.DUMMYFUNCTION("""COMPUTED_VALUE"""),"BN JUAL BELI")</f>
        <v>BN JUAL BELI</v>
      </c>
      <c r="H6795" s="42">
        <f t="shared" si="1"/>
        <v>2932</v>
      </c>
    </row>
    <row r="6796" ht="22.5" customHeight="1">
      <c r="B6796" s="42" t="str">
        <f>IFERROR(__xludf.DUMMYFUNCTION("""COMPUTED_VALUE"""),"K/47/210825/4")</f>
        <v>K/47/210825/4</v>
      </c>
      <c r="C6796" s="42" t="str">
        <f>IFERROR(__xludf.DUMMYFUNCTION("""COMPUTED_VALUE"""),"NIBEL M 21788/ KOTA BARU")</f>
        <v>NIBEL M 21788/ KOTA BARU</v>
      </c>
      <c r="D6796" s="42"/>
      <c r="E6796" s="42"/>
      <c r="F6796" s="48" t="str">
        <f>IFERROR(__xludf.DUMMYFUNCTION("""COMPUTED_VALUE"""),"")</f>
        <v/>
      </c>
      <c r="G6796" s="42" t="str">
        <f>IFERROR(__xludf.DUMMYFUNCTION("""COMPUTED_VALUE"""),"BN JUAL BELI")</f>
        <v>BN JUAL BELI</v>
      </c>
      <c r="H6796" s="42">
        <f t="shared" si="1"/>
        <v>2932</v>
      </c>
    </row>
    <row r="6797" ht="22.5" customHeight="1">
      <c r="B6797" s="42" t="str">
        <f>IFERROR(__xludf.DUMMYFUNCTION("""COMPUTED_VALUE"""),"K/46/210825/3")</f>
        <v>K/46/210825/3</v>
      </c>
      <c r="C6797" s="42" t="str">
        <f>IFERROR(__xludf.DUMMYFUNCTION("""COMPUTED_VALUE"""),"M. 1189/ PENENGAHAN")</f>
        <v>M. 1189/ PENENGAHAN</v>
      </c>
      <c r="D6797" s="42"/>
      <c r="E6797" s="42"/>
      <c r="F6797" s="48" t="str">
        <f>IFERROR(__xludf.DUMMYFUNCTION("""COMPUTED_VALUE"""),"")</f>
        <v/>
      </c>
      <c r="G6797" s="42" t="str">
        <f>IFERROR(__xludf.DUMMYFUNCTION("""COMPUTED_VALUE"""),"BN JUAL BELI")</f>
        <v>BN JUAL BELI</v>
      </c>
      <c r="H6797" s="42">
        <f t="shared" si="1"/>
        <v>2932</v>
      </c>
    </row>
    <row r="6798" ht="22.5" customHeight="1">
      <c r="B6798" s="42" t="str">
        <f>IFERROR(__xludf.DUMMYFUNCTION("""COMPUTED_VALUE"""),"L/51/210829/1")</f>
        <v>L/51/210829/1</v>
      </c>
      <c r="C6798" s="42" t="str">
        <f>IFERROR(__xludf.DUMMYFUNCTION("""COMPUTED_VALUE"""),"M. 1101/CAMPANG RAYA")</f>
        <v>M. 1101/CAMPANG RAYA</v>
      </c>
      <c r="D6798" s="42"/>
      <c r="E6798" s="42"/>
      <c r="F6798" s="48" t="str">
        <f>IFERROR(__xludf.DUMMYFUNCTION("""COMPUTED_VALUE"""),"")</f>
        <v/>
      </c>
      <c r="G6798" s="42" t="str">
        <f>IFERROR(__xludf.DUMMYFUNCTION("""COMPUTED_VALUE"""),"ROYA")</f>
        <v>ROYA</v>
      </c>
      <c r="H6798" s="42">
        <f t="shared" si="1"/>
        <v>2932</v>
      </c>
    </row>
    <row r="6799" ht="22.5" customHeight="1">
      <c r="B6799" s="42" t="str">
        <f>IFERROR(__xludf.DUMMYFUNCTION("""COMPUTED_VALUE"""),"K/50/210828/1")</f>
        <v>K/50/210828/1</v>
      </c>
      <c r="C6799" s="42" t="str">
        <f>IFERROR(__xludf.DUMMYFUNCTION("""COMPUTED_VALUE"""),"Tanah Mentah  Suhartini")</f>
        <v>Tanah Mentah  Suhartini</v>
      </c>
      <c r="D6799" s="42"/>
      <c r="E6799" s="42"/>
      <c r="F6799" s="48" t="str">
        <f>IFERROR(__xludf.DUMMYFUNCTION("""COMPUTED_VALUE"""),"")</f>
        <v/>
      </c>
      <c r="G6799" s="42" t="str">
        <f>IFERROR(__xludf.DUMMYFUNCTION("""COMPUTED_VALUE"""),"Pendaftaran SK Hak")</f>
        <v>Pendaftaran SK Hak</v>
      </c>
      <c r="H6799" s="42">
        <f t="shared" si="1"/>
        <v>2932</v>
      </c>
    </row>
    <row r="6800" ht="22.5" customHeight="1">
      <c r="B6800" s="42" t="str">
        <f>IFERROR(__xludf.DUMMYFUNCTION("""COMPUTED_VALUE"""),"K/45/210825/2")</f>
        <v>K/45/210825/2</v>
      </c>
      <c r="C6800" s="42" t="str">
        <f>IFERROR(__xludf.DUMMYFUNCTION("""COMPUTED_VALUE"""),"NIBEL M. 23259/ CAMPANG RAYA")</f>
        <v>NIBEL M. 23259/ CAMPANG RAYA</v>
      </c>
      <c r="D6800" s="42"/>
      <c r="E6800" s="42"/>
      <c r="F6800" s="48" t="str">
        <f>IFERROR(__xludf.DUMMYFUNCTION("""COMPUTED_VALUE"""),"")</f>
        <v/>
      </c>
      <c r="G6800" s="42" t="str">
        <f>IFERROR(__xludf.DUMMYFUNCTION("""COMPUTED_VALUE"""),"BN JUAL BELI")</f>
        <v>BN JUAL BELI</v>
      </c>
      <c r="H6800" s="42">
        <f t="shared" si="1"/>
        <v>2932</v>
      </c>
    </row>
    <row r="6801" ht="22.5" customHeight="1">
      <c r="B6801" s="42" t="str">
        <f>IFERROR(__xludf.DUMMYFUNCTION("""COMPUTED_VALUE"""),"K/44/210825/1")</f>
        <v>K/44/210825/1</v>
      </c>
      <c r="C6801" s="42" t="str">
        <f>IFERROR(__xludf.DUMMYFUNCTION("""COMPUTED_VALUE"""),"NIBEL M 23260/ CAMPANG RAYA")</f>
        <v>NIBEL M 23260/ CAMPANG RAYA</v>
      </c>
      <c r="D6801" s="42"/>
      <c r="E6801" s="42"/>
      <c r="F6801" s="48" t="str">
        <f>IFERROR(__xludf.DUMMYFUNCTION("""COMPUTED_VALUE"""),"")</f>
        <v/>
      </c>
      <c r="G6801" s="42" t="str">
        <f>IFERROR(__xludf.DUMMYFUNCTION("""COMPUTED_VALUE"""),"BN JUAL BELI")</f>
        <v>BN JUAL BELI</v>
      </c>
      <c r="H6801" s="42">
        <f t="shared" si="1"/>
        <v>2932</v>
      </c>
    </row>
    <row r="6802" ht="22.5" customHeight="1">
      <c r="B6802" s="42" t="str">
        <f>IFERROR(__xludf.DUMMYFUNCTION("""COMPUTED_VALUE"""),"K/52/210830/2")</f>
        <v>K/52/210830/2</v>
      </c>
      <c r="C6802" s="42" t="str">
        <f>IFERROR(__xludf.DUMMYFUNCTION("""COMPUTED_VALUE"""),"M. 10499/Gedong Meneng")</f>
        <v>M. 10499/Gedong Meneng</v>
      </c>
      <c r="D6802" s="42"/>
      <c r="E6802" s="42"/>
      <c r="F6802" s="48" t="str">
        <f>IFERROR(__xludf.DUMMYFUNCTION("""COMPUTED_VALUE"""),"")</f>
        <v/>
      </c>
      <c r="G6802" s="42" t="str">
        <f>IFERROR(__xludf.DUMMYFUNCTION("""COMPUTED_VALUE"""),"BN Jual beli")</f>
        <v>BN Jual beli</v>
      </c>
      <c r="H6802" s="42">
        <f t="shared" si="1"/>
        <v>2932</v>
      </c>
    </row>
    <row r="6803" ht="22.5" customHeight="1">
      <c r="B6803" s="42" t="str">
        <f>IFERROR(__xludf.DUMMYFUNCTION("""COMPUTED_VALUE"""),"K/54/210825/1")</f>
        <v>K/54/210825/1</v>
      </c>
      <c r="C6803" s="42" t="str">
        <f>IFERROR(__xludf.DUMMYFUNCTION("""COMPUTED_VALUE"""),"B.4751/SUKARAME")</f>
        <v>B.4751/SUKARAME</v>
      </c>
      <c r="D6803" s="42"/>
      <c r="E6803" s="42"/>
      <c r="F6803" s="48" t="str">
        <f>IFERROR(__xludf.DUMMYFUNCTION("""COMPUTED_VALUE"""),"")</f>
        <v/>
      </c>
      <c r="G6803" s="42" t="str">
        <f>IFERROR(__xludf.DUMMYFUNCTION("""COMPUTED_VALUE"""),"BN JUAL BELI")</f>
        <v>BN JUAL BELI</v>
      </c>
      <c r="H6803" s="42">
        <f t="shared" si="1"/>
        <v>2932</v>
      </c>
    </row>
    <row r="6804" ht="22.5" customHeight="1">
      <c r="B6804" s="42" t="str">
        <f>IFERROR(__xludf.DUMMYFUNCTION("""COMPUTED_VALUE"""),"K/55/210825/2")</f>
        <v>K/55/210825/2</v>
      </c>
      <c r="C6804" s="42" t="str">
        <f>IFERROR(__xludf.DUMMYFUNCTION("""COMPUTED_VALUE"""),"NIBEL M. 21279/RAJABASA JAYA")</f>
        <v>NIBEL M. 21279/RAJABASA JAYA</v>
      </c>
      <c r="D6804" s="42" t="str">
        <f>IFERROR(__xludf.DUMMYFUNCTION("""COMPUTED_VALUE"""),"Berry")</f>
        <v>Berry</v>
      </c>
      <c r="E6804" s="42" t="str">
        <f>IFERROR(__xludf.DUMMYFUNCTION("""COMPUTED_VALUE"""),"DISERAHKAN")</f>
        <v>DISERAHKAN</v>
      </c>
      <c r="F6804" s="48">
        <f>IFERROR(__xludf.DUMMYFUNCTION("""COMPUTED_VALUE"""),45908.63200288195)</f>
        <v>45908.632</v>
      </c>
      <c r="G6804" s="42" t="str">
        <f>IFERROR(__xludf.DUMMYFUNCTION("""COMPUTED_VALUE"""),"BN JUAL BELI")</f>
        <v>BN JUAL BELI</v>
      </c>
      <c r="H6804" s="42">
        <f t="shared" si="1"/>
        <v>2933</v>
      </c>
    </row>
    <row r="6805" ht="22.5" customHeight="1">
      <c r="B6805" s="42" t="str">
        <f>IFERROR(__xludf.DUMMYFUNCTION("""COMPUTED_VALUE"""),"K/56/210825/1")</f>
        <v>K/56/210825/1</v>
      </c>
      <c r="C6805" s="42" t="str">
        <f>IFERROR(__xludf.DUMMYFUNCTION("""COMPUTED_VALUE"""),"Nibel 1754/Pinang Jaya")</f>
        <v>Nibel 1754/Pinang Jaya</v>
      </c>
      <c r="D6805" s="42"/>
      <c r="E6805" s="42"/>
      <c r="F6805" s="48" t="str">
        <f>IFERROR(__xludf.DUMMYFUNCTION("""COMPUTED_VALUE"""),"")</f>
        <v/>
      </c>
      <c r="G6805" s="42" t="str">
        <f>IFERROR(__xludf.DUMMYFUNCTION("""COMPUTED_VALUE"""),"Peningkatan hak")</f>
        <v>Peningkatan hak</v>
      </c>
      <c r="H6805" s="42">
        <f t="shared" si="1"/>
        <v>2933</v>
      </c>
    </row>
    <row r="6806" ht="22.5" customHeight="1">
      <c r="B6806" s="42" t="str">
        <f>IFERROR(__xludf.DUMMYFUNCTION("""COMPUTED_VALUE"""),"K/57/210825/2")</f>
        <v>K/57/210825/2</v>
      </c>
      <c r="C6806" s="42" t="str">
        <f>IFERROR(__xludf.DUMMYFUNCTION("""COMPUTED_VALUE"""),"Nibel 16760/Labuhan Ratu Raya")</f>
        <v>Nibel 16760/Labuhan Ratu Raya</v>
      </c>
      <c r="D6806" s="42"/>
      <c r="E6806" s="42"/>
      <c r="F6806" s="48" t="str">
        <f>IFERROR(__xludf.DUMMYFUNCTION("""COMPUTED_VALUE"""),"")</f>
        <v/>
      </c>
      <c r="G6806" s="42" t="str">
        <f>IFERROR(__xludf.DUMMYFUNCTION("""COMPUTED_VALUE"""),"BN Jual beli")</f>
        <v>BN Jual beli</v>
      </c>
      <c r="H6806" s="42">
        <f t="shared" si="1"/>
        <v>2933</v>
      </c>
    </row>
    <row r="6807" ht="22.5" customHeight="1">
      <c r="B6807" s="42" t="str">
        <f>IFERROR(__xludf.DUMMYFUNCTION("""COMPUTED_VALUE"""),"K/61/210825/3")</f>
        <v>K/61/210825/3</v>
      </c>
      <c r="C6807" s="42" t="str">
        <f>IFERROR(__xludf.DUMMYFUNCTION("""COMPUTED_VALUE"""),"Nibel 21970/Pinang Jaya")</f>
        <v>Nibel 21970/Pinang Jaya</v>
      </c>
      <c r="D6807" s="42"/>
      <c r="E6807" s="42"/>
      <c r="F6807" s="48" t="str">
        <f>IFERROR(__xludf.DUMMYFUNCTION("""COMPUTED_VALUE"""),"")</f>
        <v/>
      </c>
      <c r="G6807" s="42" t="str">
        <f>IFERROR(__xludf.DUMMYFUNCTION("""COMPUTED_VALUE"""),"BN Jual beli")</f>
        <v>BN Jual beli</v>
      </c>
      <c r="H6807" s="42">
        <f t="shared" si="1"/>
        <v>2933</v>
      </c>
    </row>
    <row r="6808" ht="22.5" customHeight="1">
      <c r="B6808" s="42" t="str">
        <f>IFERROR(__xludf.DUMMYFUNCTION("""COMPUTED_VALUE"""),"K/62/210825/4")</f>
        <v>K/62/210825/4</v>
      </c>
      <c r="C6808" s="42" t="str">
        <f>IFERROR(__xludf.DUMMYFUNCTION("""COMPUTED_VALUE"""),"Nibel 21969/Pinang Jaya")</f>
        <v>Nibel 21969/Pinang Jaya</v>
      </c>
      <c r="D6808" s="42"/>
      <c r="E6808" s="42"/>
      <c r="F6808" s="48" t="str">
        <f>IFERROR(__xludf.DUMMYFUNCTION("""COMPUTED_VALUE"""),"")</f>
        <v/>
      </c>
      <c r="G6808" s="42" t="str">
        <f>IFERROR(__xludf.DUMMYFUNCTION("""COMPUTED_VALUE"""),"BN Jual beli")</f>
        <v>BN Jual beli</v>
      </c>
      <c r="H6808" s="42">
        <f t="shared" si="1"/>
        <v>2933</v>
      </c>
    </row>
    <row r="6809" ht="22.5" customHeight="1">
      <c r="B6809" s="42" t="str">
        <f>IFERROR(__xludf.DUMMYFUNCTION("""COMPUTED_VALUE"""),"L/63/210825/1")</f>
        <v>L/63/210825/1</v>
      </c>
      <c r="C6809" s="42" t="str">
        <f>IFERROR(__xludf.DUMMYFUNCTION("""COMPUTED_VALUE"""),"M. 175/KETAPANG")</f>
        <v>M. 175/KETAPANG</v>
      </c>
      <c r="D6809" s="42"/>
      <c r="E6809" s="42"/>
      <c r="F6809" s="48" t="str">
        <f>IFERROR(__xludf.DUMMYFUNCTION("""COMPUTED_VALUE"""),"")</f>
        <v/>
      </c>
      <c r="G6809" s="42" t="str">
        <f>IFERROR(__xludf.DUMMYFUNCTION("""COMPUTED_VALUE"""),"GANTI NAMA")</f>
        <v>GANTI NAMA</v>
      </c>
      <c r="H6809" s="42">
        <f t="shared" si="1"/>
        <v>2933</v>
      </c>
    </row>
    <row r="6810" ht="22.5" customHeight="1">
      <c r="B6810" s="42" t="str">
        <f>IFERROR(__xludf.DUMMYFUNCTION("""COMPUTED_VALUE"""),"K/64/210825/1")</f>
        <v>K/64/210825/1</v>
      </c>
      <c r="C6810" s="42" t="str">
        <f>IFERROR(__xludf.DUMMYFUNCTION("""COMPUTED_VALUE"""),"WAY KANDIS")</f>
        <v>WAY KANDIS</v>
      </c>
      <c r="D6810" s="42"/>
      <c r="E6810" s="42"/>
      <c r="F6810" s="48" t="str">
        <f>IFERROR(__xludf.DUMMYFUNCTION("""COMPUTED_VALUE"""),"")</f>
        <v/>
      </c>
      <c r="G6810" s="42" t="str">
        <f>IFERROR(__xludf.DUMMYFUNCTION("""COMPUTED_VALUE"""),"PENGUKURAN PERTAMA KALI")</f>
        <v>PENGUKURAN PERTAMA KALI</v>
      </c>
      <c r="H6810" s="42">
        <f t="shared" si="1"/>
        <v>2933</v>
      </c>
    </row>
    <row r="6811" ht="22.5" customHeight="1">
      <c r="B6811" s="42" t="str">
        <f>IFERROR(__xludf.DUMMYFUNCTION("""COMPUTED_VALUE"""),"K/65/210825/1")</f>
        <v>K/65/210825/1</v>
      </c>
      <c r="C6811" s="42" t="str">
        <f>IFERROR(__xludf.DUMMYFUNCTION("""COMPUTED_VALUE"""),"M. 2058/GUNUNG TERANG")</f>
        <v>M. 2058/GUNUNG TERANG</v>
      </c>
      <c r="D6811" s="42"/>
      <c r="E6811" s="42"/>
      <c r="F6811" s="48" t="str">
        <f>IFERROR(__xludf.DUMMYFUNCTION("""COMPUTED_VALUE"""),"")</f>
        <v/>
      </c>
      <c r="G6811" s="42" t="str">
        <f>IFERROR(__xludf.DUMMYFUNCTION("""COMPUTED_VALUE"""),"BN JUAL BELI")</f>
        <v>BN JUAL BELI</v>
      </c>
      <c r="H6811" s="42">
        <f t="shared" si="1"/>
        <v>2933</v>
      </c>
    </row>
    <row r="6812" ht="22.5" customHeight="1">
      <c r="B6812" s="42" t="str">
        <f>IFERROR(__xludf.DUMMYFUNCTION("""COMPUTED_VALUE"""),"K/53/210825/1")</f>
        <v>K/53/210825/1</v>
      </c>
      <c r="C6812" s="42" t="str">
        <f>IFERROR(__xludf.DUMMYFUNCTION("""COMPUTED_VALUE"""),"M. 1048/ GEDONG AIR")</f>
        <v>M. 1048/ GEDONG AIR</v>
      </c>
      <c r="D6812" s="42" t="str">
        <f>IFERROR(__xludf.DUMMYFUNCTION("""COMPUTED_VALUE"""),"Berry")</f>
        <v>Berry</v>
      </c>
      <c r="E6812" s="42" t="str">
        <f>IFERROR(__xludf.DUMMYFUNCTION("""COMPUTED_VALUE"""),"DISERAHKAN")</f>
        <v>DISERAHKAN</v>
      </c>
      <c r="F6812" s="48">
        <f>IFERROR(__xludf.DUMMYFUNCTION("""COMPUTED_VALUE"""),45910.59027355324)</f>
        <v>45910.59027</v>
      </c>
      <c r="G6812" s="42" t="str">
        <f>IFERROR(__xludf.DUMMYFUNCTION("""COMPUTED_VALUE"""),"BN WARIS")</f>
        <v>BN WARIS</v>
      </c>
      <c r="H6812" s="42">
        <f t="shared" si="1"/>
        <v>2934</v>
      </c>
    </row>
    <row r="6813" ht="22.5" customHeight="1">
      <c r="B6813" s="42" t="str">
        <f>IFERROR(__xludf.DUMMYFUNCTION("""COMPUTED_VALUE"""),"K/9/050825/1")</f>
        <v>K/9/050825/1</v>
      </c>
      <c r="C6813" s="42" t="str">
        <f>IFERROR(__xludf.DUMMYFUNCTION("""COMPUTED_VALUE"""),"NIBEL M 22362/ JAGABAYA II")</f>
        <v>NIBEL M 22362/ JAGABAYA II</v>
      </c>
      <c r="D6813" s="42"/>
      <c r="E6813" s="42"/>
      <c r="F6813" s="48" t="str">
        <f>IFERROR(__xludf.DUMMYFUNCTION("""COMPUTED_VALUE"""),"")</f>
        <v/>
      </c>
      <c r="G6813" s="42" t="str">
        <f>IFERROR(__xludf.DUMMYFUNCTION("""COMPUTED_VALUE"""),"BN JUAL BELI")</f>
        <v>BN JUAL BELI</v>
      </c>
      <c r="H6813" s="42">
        <f t="shared" si="1"/>
        <v>2934</v>
      </c>
    </row>
    <row r="6814" ht="22.5" customHeight="1">
      <c r="B6814" s="42" t="str">
        <f>IFERROR(__xludf.DUMMYFUNCTION("""COMPUTED_VALUE"""),"K/25/210825/2")</f>
        <v>K/25/210825/2</v>
      </c>
      <c r="C6814" s="42" t="str">
        <f>IFERROR(__xludf.DUMMYFUNCTION("""COMPUTED_VALUE"""),"M. 5292/ LANGKAPURA")</f>
        <v>M. 5292/ LANGKAPURA</v>
      </c>
      <c r="D6814" s="42" t="str">
        <f>IFERROR(__xludf.DUMMYFUNCTION("""COMPUTED_VALUE"""),"Berry")</f>
        <v>Berry</v>
      </c>
      <c r="E6814" s="42" t="str">
        <f>IFERROR(__xludf.DUMMYFUNCTION("""COMPUTED_VALUE"""),"DISERAHKAN")</f>
        <v>DISERAHKAN</v>
      </c>
      <c r="F6814" s="48">
        <f>IFERROR(__xludf.DUMMYFUNCTION("""COMPUTED_VALUE"""),45908.63440722223)</f>
        <v>45908.63441</v>
      </c>
      <c r="G6814" s="42" t="str">
        <f>IFERROR(__xludf.DUMMYFUNCTION("""COMPUTED_VALUE"""),"BN JUAL BELI")</f>
        <v>BN JUAL BELI</v>
      </c>
      <c r="H6814" s="42">
        <f t="shared" si="1"/>
        <v>2935</v>
      </c>
    </row>
    <row r="6815" ht="22.5" customHeight="1">
      <c r="B6815" s="42" t="str">
        <f>IFERROR(__xludf.DUMMYFUNCTION("""COMPUTED_VALUE"""),"K/25/210825/")</f>
        <v>K/25/210825/</v>
      </c>
      <c r="C6815" s="42" t="str">
        <f>IFERROR(__xludf.DUMMYFUNCTION("""COMPUTED_VALUE"""),"M. 4814/ CAMPANG RAYA")</f>
        <v>M. 4814/ CAMPANG RAYA</v>
      </c>
      <c r="D6815" s="42"/>
      <c r="E6815" s="42"/>
      <c r="F6815" s="48" t="str">
        <f>IFERROR(__xludf.DUMMYFUNCTION("""COMPUTED_VALUE"""),"")</f>
        <v/>
      </c>
      <c r="G6815" s="42" t="str">
        <f>IFERROR(__xludf.DUMMYFUNCTION("""COMPUTED_VALUE"""),"BN JUAL BELI")</f>
        <v>BN JUAL BELI</v>
      </c>
      <c r="H6815" s="42">
        <f t="shared" si="1"/>
        <v>2935</v>
      </c>
    </row>
    <row r="6816" ht="22.5" customHeight="1">
      <c r="B6816" s="42" t="str">
        <f>IFERROR(__xludf.DUMMYFUNCTION("""COMPUTED_VALUE"""),"K/60/210825/3")</f>
        <v>K/60/210825/3</v>
      </c>
      <c r="C6816" s="42" t="str">
        <f>IFERROR(__xludf.DUMMYFUNCTION("""COMPUTED_VALUE"""),"M. 1506/ SUMUR BATU")</f>
        <v>M. 1506/ SUMUR BATU</v>
      </c>
      <c r="D6816" s="42" t="str">
        <f>IFERROR(__xludf.DUMMYFUNCTION("""COMPUTED_VALUE"""),"Berry")</f>
        <v>Berry</v>
      </c>
      <c r="E6816" s="42" t="str">
        <f>IFERROR(__xludf.DUMMYFUNCTION("""COMPUTED_VALUE"""),"DISERAHKAN")</f>
        <v>DISERAHKAN</v>
      </c>
      <c r="F6816" s="48">
        <f>IFERROR(__xludf.DUMMYFUNCTION("""COMPUTED_VALUE"""),45951.465482893516)</f>
        <v>45951.46548</v>
      </c>
      <c r="G6816" s="42" t="str">
        <f>IFERROR(__xludf.DUMMYFUNCTION("""COMPUTED_VALUE"""),"BN JUAL BELI")</f>
        <v>BN JUAL BELI</v>
      </c>
      <c r="H6816" s="42">
        <f t="shared" si="1"/>
        <v>2936</v>
      </c>
    </row>
    <row r="6817" ht="22.5" customHeight="1">
      <c r="B6817" s="42" t="str">
        <f>IFERROR(__xludf.DUMMYFUNCTION("""COMPUTED_VALUE"""),"K/58/210825/1")</f>
        <v>K/58/210825/1</v>
      </c>
      <c r="C6817" s="42" t="str">
        <f>IFERROR(__xludf.DUMMYFUNCTION("""COMPUTED_VALUE"""),"NIBEL B 416/ KEMILING PERMAI")</f>
        <v>NIBEL B 416/ KEMILING PERMAI</v>
      </c>
      <c r="D6817" s="42" t="str">
        <f>IFERROR(__xludf.DUMMYFUNCTION("""COMPUTED_VALUE"""),"Berry")</f>
        <v>Berry</v>
      </c>
      <c r="E6817" s="42" t="str">
        <f>IFERROR(__xludf.DUMMYFUNCTION("""COMPUTED_VALUE"""),"DISERAHKAN")</f>
        <v>DISERAHKAN</v>
      </c>
      <c r="F6817" s="48">
        <f>IFERROR(__xludf.DUMMYFUNCTION("""COMPUTED_VALUE"""),45951.472640092594)</f>
        <v>45951.47264</v>
      </c>
      <c r="G6817" s="42" t="str">
        <f>IFERROR(__xludf.DUMMYFUNCTION("""COMPUTED_VALUE"""),"BN JUAL BELI")</f>
        <v>BN JUAL BELI</v>
      </c>
      <c r="H6817" s="42">
        <f t="shared" si="1"/>
        <v>2937</v>
      </c>
    </row>
    <row r="6818" ht="22.5" customHeight="1">
      <c r="B6818" s="42" t="str">
        <f>IFERROR(__xludf.DUMMYFUNCTION("""COMPUTED_VALUE"""),"K/59/210825/1")</f>
        <v>K/59/210825/1</v>
      </c>
      <c r="C6818" s="42" t="str">
        <f>IFERROR(__xludf.DUMMYFUNCTION("""COMPUTED_VALUE"""),"NIBEL B. 422/ KEMILING PERMAI")</f>
        <v>NIBEL B. 422/ KEMILING PERMAI</v>
      </c>
      <c r="D6818" s="42"/>
      <c r="E6818" s="42"/>
      <c r="F6818" s="48" t="str">
        <f>IFERROR(__xludf.DUMMYFUNCTION("""COMPUTED_VALUE"""),"")</f>
        <v/>
      </c>
      <c r="G6818" s="42" t="str">
        <f>IFERROR(__xludf.DUMMYFUNCTION("""COMPUTED_VALUE"""),"BN JUAL BELI")</f>
        <v>BN JUAL BELI</v>
      </c>
      <c r="H6818" s="42">
        <f t="shared" si="1"/>
        <v>2937</v>
      </c>
    </row>
    <row r="6819" ht="22.5" customHeight="1">
      <c r="B6819" s="42" t="str">
        <f>IFERROR(__xludf.DUMMYFUNCTION("""COMPUTED_VALUE"""),"K/43/210825/1")</f>
        <v>K/43/210825/1</v>
      </c>
      <c r="C6819" s="42" t="str">
        <f>IFERROR(__xludf.DUMMYFUNCTION("""COMPUTED_VALUE"""),"NIBEL M 20689/ LANGKAPURA")</f>
        <v>NIBEL M 20689/ LANGKAPURA</v>
      </c>
      <c r="D6819" s="42"/>
      <c r="E6819" s="42"/>
      <c r="F6819" s="48" t="str">
        <f>IFERROR(__xludf.DUMMYFUNCTION("""COMPUTED_VALUE"""),"")</f>
        <v/>
      </c>
      <c r="G6819" s="42" t="str">
        <f>IFERROR(__xludf.DUMMYFUNCTION("""COMPUTED_VALUE"""),"PEMECAHAN")</f>
        <v>PEMECAHAN</v>
      </c>
      <c r="H6819" s="42">
        <f t="shared" si="1"/>
        <v>2937</v>
      </c>
    </row>
    <row r="6820" ht="22.5" customHeight="1">
      <c r="B6820" s="42" t="str">
        <f>IFERROR(__xludf.DUMMYFUNCTION("""COMPUTED_VALUE"""),"L/1/220825/1")</f>
        <v>L/1/220825/1</v>
      </c>
      <c r="C6820" s="42" t="str">
        <f>IFERROR(__xludf.DUMMYFUNCTION("""COMPUTED_VALUE"""),"M. 9008/GEDUNG MENENG")</f>
        <v>M. 9008/GEDUNG MENENG</v>
      </c>
      <c r="D6820" s="42"/>
      <c r="E6820" s="42"/>
      <c r="F6820" s="48" t="str">
        <f>IFERROR(__xludf.DUMMYFUNCTION("""COMPUTED_VALUE"""),"")</f>
        <v/>
      </c>
      <c r="G6820" s="42" t="str">
        <f>IFERROR(__xludf.DUMMYFUNCTION("""COMPUTED_VALUE"""),"ROYA")</f>
        <v>ROYA</v>
      </c>
      <c r="H6820" s="42">
        <f t="shared" si="1"/>
        <v>2937</v>
      </c>
    </row>
    <row r="6821" ht="22.5" customHeight="1">
      <c r="B6821" s="42" t="str">
        <f>IFERROR(__xludf.DUMMYFUNCTION("""COMPUTED_VALUE"""),"K/2/220825/1")</f>
        <v>K/2/220825/1</v>
      </c>
      <c r="C6821" s="42" t="str">
        <f>IFERROR(__xludf.DUMMYFUNCTION("""COMPUTED_VALUE"""),"SHM 1746/Beringin Jaya")</f>
        <v>SHM 1746/Beringin Jaya</v>
      </c>
      <c r="D6821" s="42" t="str">
        <f>IFERROR(__xludf.DUMMYFUNCTION("""COMPUTED_VALUE"""),"Berry")</f>
        <v>Berry</v>
      </c>
      <c r="E6821" s="42" t="str">
        <f>IFERROR(__xludf.DUMMYFUNCTION("""COMPUTED_VALUE"""),"DISERAHKAN")</f>
        <v>DISERAHKAN</v>
      </c>
      <c r="F6821" s="48">
        <f>IFERROR(__xludf.DUMMYFUNCTION("""COMPUTED_VALUE"""),45938.51265942129)</f>
        <v>45938.51266</v>
      </c>
      <c r="G6821" s="42" t="str">
        <f>IFERROR(__xludf.DUMMYFUNCTION("""COMPUTED_VALUE"""),"BN Jual beli")</f>
        <v>BN Jual beli</v>
      </c>
      <c r="H6821" s="42">
        <f t="shared" si="1"/>
        <v>2938</v>
      </c>
    </row>
    <row r="6822" ht="22.5" customHeight="1">
      <c r="B6822" s="42" t="str">
        <f>IFERROR(__xludf.DUMMYFUNCTION("""COMPUTED_VALUE"""),"L/3/220825/1")</f>
        <v>L/3/220825/1</v>
      </c>
      <c r="C6822" s="42" t="str">
        <f>IFERROR(__xludf.DUMMYFUNCTION("""COMPUTED_VALUE"""),"M. 10948/SUKABUMI")</f>
        <v>M. 10948/SUKABUMI</v>
      </c>
      <c r="D6822" s="42"/>
      <c r="E6822" s="42"/>
      <c r="F6822" s="48" t="str">
        <f>IFERROR(__xludf.DUMMYFUNCTION("""COMPUTED_VALUE"""),"")</f>
        <v/>
      </c>
      <c r="G6822" s="42" t="str">
        <f>IFERROR(__xludf.DUMMYFUNCTION("""COMPUTED_VALUE"""),"ROYA")</f>
        <v>ROYA</v>
      </c>
      <c r="H6822" s="42">
        <f t="shared" si="1"/>
        <v>2938</v>
      </c>
    </row>
    <row r="6823" ht="22.5" customHeight="1">
      <c r="B6823" s="42" t="str">
        <f>IFERROR(__xludf.DUMMYFUNCTION("""COMPUTED_VALUE"""),"K/4/220825/1")</f>
        <v>K/4/220825/1</v>
      </c>
      <c r="C6823" s="42" t="str">
        <f>IFERROR(__xludf.DUMMYFUNCTION("""COMPUTED_VALUE"""),"NIBEL M 20965/ RAJABASA PEMUKA")</f>
        <v>NIBEL M 20965/ RAJABASA PEMUKA</v>
      </c>
      <c r="D6823" s="42" t="str">
        <f>IFERROR(__xludf.DUMMYFUNCTION("""COMPUTED_VALUE"""),"Berry")</f>
        <v>Berry</v>
      </c>
      <c r="E6823" s="42" t="str">
        <f>IFERROR(__xludf.DUMMYFUNCTION("""COMPUTED_VALUE"""),"DISERAHKAN")</f>
        <v>DISERAHKAN</v>
      </c>
      <c r="F6823" s="48">
        <f>IFERROR(__xludf.DUMMYFUNCTION("""COMPUTED_VALUE"""),45926.3872384375)</f>
        <v>45926.38724</v>
      </c>
      <c r="G6823" s="42" t="str">
        <f>IFERROR(__xludf.DUMMYFUNCTION("""COMPUTED_VALUE"""),"BN PHB")</f>
        <v>BN PHB</v>
      </c>
      <c r="H6823" s="42">
        <f t="shared" si="1"/>
        <v>2939</v>
      </c>
    </row>
    <row r="6824" ht="22.5" customHeight="1">
      <c r="B6824" s="42" t="str">
        <f>IFERROR(__xludf.DUMMYFUNCTION("""COMPUTED_VALUE"""),"K/5/220825/1")</f>
        <v>K/5/220825/1</v>
      </c>
      <c r="C6824" s="42" t="str">
        <f>IFERROR(__xludf.DUMMYFUNCTION("""COMPUTED_VALUE"""),"M. 3757/CAMPANG RAYA")</f>
        <v>M. 3757/CAMPANG RAYA</v>
      </c>
      <c r="D6824" s="42"/>
      <c r="E6824" s="42"/>
      <c r="F6824" s="48" t="str">
        <f>IFERROR(__xludf.DUMMYFUNCTION("""COMPUTED_VALUE"""),"")</f>
        <v/>
      </c>
      <c r="G6824" s="42" t="str">
        <f>IFERROR(__xludf.DUMMYFUNCTION("""COMPUTED_VALUE"""),"BN JUAL BELI")</f>
        <v>BN JUAL BELI</v>
      </c>
      <c r="H6824" s="42">
        <f t="shared" si="1"/>
        <v>2939</v>
      </c>
    </row>
    <row r="6825" ht="22.5" customHeight="1">
      <c r="B6825" s="42" t="str">
        <f>IFERROR(__xludf.DUMMYFUNCTION("""COMPUTED_VALUE"""),"K/6/220825/1")</f>
        <v>K/6/220825/1</v>
      </c>
      <c r="C6825" s="42" t="str">
        <f>IFERROR(__xludf.DUMMYFUNCTION("""COMPUTED_VALUE"""),"Nibel 21986/ Kelapa Tiga")</f>
        <v>Nibel 21986/ Kelapa Tiga</v>
      </c>
      <c r="D6825" s="42" t="str">
        <f>IFERROR(__xludf.DUMMYFUNCTION("""COMPUTED_VALUE"""),"Berry")</f>
        <v>Berry</v>
      </c>
      <c r="E6825" s="42" t="str">
        <f>IFERROR(__xludf.DUMMYFUNCTION("""COMPUTED_VALUE"""),"DISERAHKAN")</f>
        <v>DISERAHKAN</v>
      </c>
      <c r="F6825" s="48">
        <f>IFERROR(__xludf.DUMMYFUNCTION("""COMPUTED_VALUE"""),45938.49695494213)</f>
        <v>45938.49695</v>
      </c>
      <c r="G6825" s="42" t="str">
        <f>IFERROR(__xludf.DUMMYFUNCTION("""COMPUTED_VALUE"""),"BN Jual beli")</f>
        <v>BN Jual beli</v>
      </c>
      <c r="H6825" s="42">
        <f t="shared" si="1"/>
        <v>2940</v>
      </c>
    </row>
    <row r="6826" ht="22.5" customHeight="1">
      <c r="B6826" s="42" t="str">
        <f>IFERROR(__xludf.DUMMYFUNCTION("""COMPUTED_VALUE"""),"L/11/220825/1")</f>
        <v>L/11/220825/1</v>
      </c>
      <c r="C6826" s="42" t="str">
        <f>IFERROR(__xludf.DUMMYFUNCTION("""COMPUTED_VALUE"""),"B. 573/NUSANTARA PERMAI")</f>
        <v>B. 573/NUSANTARA PERMAI</v>
      </c>
      <c r="D6826" s="42"/>
      <c r="E6826" s="42"/>
      <c r="F6826" s="48" t="str">
        <f>IFERROR(__xludf.DUMMYFUNCTION("""COMPUTED_VALUE"""),"")</f>
        <v/>
      </c>
      <c r="G6826" s="42" t="str">
        <f>IFERROR(__xludf.DUMMYFUNCTION("""COMPUTED_VALUE"""),"BN WARIS")</f>
        <v>BN WARIS</v>
      </c>
      <c r="H6826" s="42">
        <f t="shared" si="1"/>
        <v>2940</v>
      </c>
    </row>
    <row r="6827" ht="22.5" customHeight="1">
      <c r="B6827" s="42" t="str">
        <f>IFERROR(__xludf.DUMMYFUNCTION("""COMPUTED_VALUE"""),"K/7/220825/1")</f>
        <v>K/7/220825/1</v>
      </c>
      <c r="C6827" s="42" t="str">
        <f>IFERROR(__xludf.DUMMYFUNCTION("""COMPUTED_VALUE"""),"NIBEL M 16485/ SUKARAME")</f>
        <v>NIBEL M 16485/ SUKARAME</v>
      </c>
      <c r="D6827" s="42" t="str">
        <f>IFERROR(__xludf.DUMMYFUNCTION("""COMPUTED_VALUE"""),"Berry")</f>
        <v>Berry</v>
      </c>
      <c r="E6827" s="42" t="str">
        <f>IFERROR(__xludf.DUMMYFUNCTION("""COMPUTED_VALUE"""),"DISERAHKAN")</f>
        <v>DISERAHKAN</v>
      </c>
      <c r="F6827" s="48">
        <f>IFERROR(__xludf.DUMMYFUNCTION("""COMPUTED_VALUE"""),45908.633758298616)</f>
        <v>45908.63376</v>
      </c>
      <c r="G6827" s="42" t="str">
        <f>IFERROR(__xludf.DUMMYFUNCTION("""COMPUTED_VALUE"""),"BN JUAL BELI")</f>
        <v>BN JUAL BELI</v>
      </c>
      <c r="H6827" s="42">
        <f t="shared" si="1"/>
        <v>2941</v>
      </c>
    </row>
    <row r="6828" ht="22.5" customHeight="1">
      <c r="B6828" s="42" t="str">
        <f>IFERROR(__xludf.DUMMYFUNCTION("""COMPUTED_VALUE"""),"K/8/220825/2")</f>
        <v>K/8/220825/2</v>
      </c>
      <c r="C6828" s="42" t="str">
        <f>IFERROR(__xludf.DUMMYFUNCTION("""COMPUTED_VALUE"""),"M. 819/ RAJABASA JAYA")</f>
        <v>M. 819/ RAJABASA JAYA</v>
      </c>
      <c r="D6828" s="42"/>
      <c r="E6828" s="42"/>
      <c r="F6828" s="48" t="str">
        <f>IFERROR(__xludf.DUMMYFUNCTION("""COMPUTED_VALUE"""),"")</f>
        <v/>
      </c>
      <c r="G6828" s="42" t="str">
        <f>IFERROR(__xludf.DUMMYFUNCTION("""COMPUTED_VALUE"""),"BN JUAL BELI")</f>
        <v>BN JUAL BELI</v>
      </c>
      <c r="H6828" s="42">
        <f t="shared" si="1"/>
        <v>2941</v>
      </c>
    </row>
    <row r="6829" ht="22.5" customHeight="1">
      <c r="B6829" s="42" t="str">
        <f>IFERROR(__xludf.DUMMYFUNCTION("""COMPUTED_VALUE"""),"L/12/220825/1")</f>
        <v>L/12/220825/1</v>
      </c>
      <c r="C6829" s="42" t="str">
        <f>IFERROR(__xludf.DUMMYFUNCTION("""COMPUTED_VALUE"""),"M. 54/SUMBEREJO SEJAHTERA")</f>
        <v>M. 54/SUMBEREJO SEJAHTERA</v>
      </c>
      <c r="D6829" s="42" t="str">
        <f>IFERROR(__xludf.DUMMYFUNCTION("""COMPUTED_VALUE"""),"Berry")</f>
        <v>Berry</v>
      </c>
      <c r="E6829" s="42" t="str">
        <f>IFERROR(__xludf.DUMMYFUNCTION("""COMPUTED_VALUE"""),"DISERAHKAN")</f>
        <v>DISERAHKAN</v>
      </c>
      <c r="F6829" s="48">
        <f>IFERROR(__xludf.DUMMYFUNCTION("""COMPUTED_VALUE"""),45924.694803391205)</f>
        <v>45924.6948</v>
      </c>
      <c r="G6829" s="42" t="str">
        <f>IFERROR(__xludf.DUMMYFUNCTION("""COMPUTED_VALUE"""),"ROYA")</f>
        <v>ROYA</v>
      </c>
      <c r="H6829" s="42">
        <f t="shared" si="1"/>
        <v>2942</v>
      </c>
    </row>
    <row r="6830" ht="22.5" customHeight="1">
      <c r="B6830" s="42" t="str">
        <f>IFERROR(__xludf.DUMMYFUNCTION("""COMPUTED_VALUE"""),"K/9/220825/3")</f>
        <v>K/9/220825/3</v>
      </c>
      <c r="C6830" s="42" t="str">
        <f>IFERROR(__xludf.DUMMYFUNCTION("""COMPUTED_VALUE"""),"NIBEL M 20936/ RAJABASA PEMUKA")</f>
        <v>NIBEL M 20936/ RAJABASA PEMUKA</v>
      </c>
      <c r="D6830" s="42" t="str">
        <f>IFERROR(__xludf.DUMMYFUNCTION("""COMPUTED_VALUE"""),"Berry")</f>
        <v>Berry</v>
      </c>
      <c r="E6830" s="42" t="str">
        <f>IFERROR(__xludf.DUMMYFUNCTION("""COMPUTED_VALUE"""),"DISERAHKAN")</f>
        <v>DISERAHKAN</v>
      </c>
      <c r="F6830" s="48">
        <f>IFERROR(__xludf.DUMMYFUNCTION("""COMPUTED_VALUE"""),45988.63890951389)</f>
        <v>45988.63891</v>
      </c>
      <c r="G6830" s="42" t="str">
        <f>IFERROR(__xludf.DUMMYFUNCTION("""COMPUTED_VALUE"""),"BN JUAL BELI")</f>
        <v>BN JUAL BELI</v>
      </c>
      <c r="H6830" s="42">
        <f t="shared" si="1"/>
        <v>2943</v>
      </c>
    </row>
    <row r="6831" ht="22.5" customHeight="1">
      <c r="B6831" s="42" t="str">
        <f>IFERROR(__xludf.DUMMYFUNCTION("""COMPUTED_VALUE"""),"K/13/220825/1")</f>
        <v>K/13/220825/1</v>
      </c>
      <c r="C6831" s="42" t="str">
        <f>IFERROR(__xludf.DUMMYFUNCTION("""COMPUTED_VALUE"""),"M.50/Kemiling Permai ")</f>
        <v>M.50/Kemiling Permai </v>
      </c>
      <c r="D6831" s="42"/>
      <c r="E6831" s="42"/>
      <c r="F6831" s="48" t="str">
        <f>IFERROR(__xludf.DUMMYFUNCTION("""COMPUTED_VALUE"""),"")</f>
        <v/>
      </c>
      <c r="G6831" s="42" t="str">
        <f>IFERROR(__xludf.DUMMYFUNCTION("""COMPUTED_VALUE"""),"BN Jual beli")</f>
        <v>BN Jual beli</v>
      </c>
      <c r="H6831" s="42">
        <f t="shared" si="1"/>
        <v>2943</v>
      </c>
    </row>
    <row r="6832" ht="22.5" customHeight="1">
      <c r="B6832" s="42" t="str">
        <f>IFERROR(__xludf.DUMMYFUNCTION("""COMPUTED_VALUE"""),"K/10/220825/4")</f>
        <v>K/10/220825/4</v>
      </c>
      <c r="C6832" s="42" t="str">
        <f>IFERROR(__xludf.DUMMYFUNCTION("""COMPUTED_VALUE"""),"NIBEL M 22478/ LABUHAN RATU RAYA")</f>
        <v>NIBEL M 22478/ LABUHAN RATU RAYA</v>
      </c>
      <c r="D6832" s="42"/>
      <c r="E6832" s="42"/>
      <c r="F6832" s="48" t="str">
        <f>IFERROR(__xludf.DUMMYFUNCTION("""COMPUTED_VALUE"""),"")</f>
        <v/>
      </c>
      <c r="G6832" s="42" t="str">
        <f>IFERROR(__xludf.DUMMYFUNCTION("""COMPUTED_VALUE"""),"BN JUAL BELI")</f>
        <v>BN JUAL BELI</v>
      </c>
      <c r="H6832" s="42">
        <f t="shared" si="1"/>
        <v>2943</v>
      </c>
    </row>
    <row r="6833" ht="22.5" customHeight="1">
      <c r="B6833" s="42" t="str">
        <f>IFERROR(__xludf.DUMMYFUNCTION("""COMPUTED_VALUE"""),"K/14/220825/1")</f>
        <v>K/14/220825/1</v>
      </c>
      <c r="C6833" s="42" t="str">
        <f>IFERROR(__xludf.DUMMYFUNCTION("""COMPUTED_VALUE"""),"GANDES")</f>
        <v>GANDES</v>
      </c>
      <c r="D6833" s="42"/>
      <c r="E6833" s="42"/>
      <c r="F6833" s="48" t="str">
        <f>IFERROR(__xludf.DUMMYFUNCTION("""COMPUTED_VALUE"""),"")</f>
        <v/>
      </c>
      <c r="G6833" s="42" t="str">
        <f>IFERROR(__xludf.DUMMYFUNCTION("""COMPUTED_VALUE"""),"BN JUAL BELI EL")</f>
        <v>BN JUAL BELI EL</v>
      </c>
      <c r="H6833" s="42">
        <f t="shared" si="1"/>
        <v>2943</v>
      </c>
    </row>
    <row r="6834" ht="22.5" customHeight="1">
      <c r="B6834" s="42" t="str">
        <f>IFERROR(__xludf.DUMMYFUNCTION("""COMPUTED_VALUE"""),"K/15/220825/2")</f>
        <v>K/15/220825/2</v>
      </c>
      <c r="C6834" s="42" t="str">
        <f>IFERROR(__xludf.DUMMYFUNCTION("""COMPUTED_VALUE"""),"M. 2536/PINANG JAYA")</f>
        <v>M. 2536/PINANG JAYA</v>
      </c>
      <c r="D6834" s="42"/>
      <c r="E6834" s="42"/>
      <c r="F6834" s="48" t="str">
        <f>IFERROR(__xludf.DUMMYFUNCTION("""COMPUTED_VALUE"""),"")</f>
        <v/>
      </c>
      <c r="G6834" s="42" t="str">
        <f>IFERROR(__xludf.DUMMYFUNCTION("""COMPUTED_VALUE"""),"BN JUAL BELI EL")</f>
        <v>BN JUAL BELI EL</v>
      </c>
      <c r="H6834" s="42">
        <f t="shared" si="1"/>
        <v>2943</v>
      </c>
    </row>
    <row r="6835" ht="22.5" customHeight="1">
      <c r="B6835" s="42" t="str">
        <f>IFERROR(__xludf.DUMMYFUNCTION("""COMPUTED_VALUE"""),"K/16/220825/3")</f>
        <v>K/16/220825/3</v>
      </c>
      <c r="C6835" s="42" t="str">
        <f>IFERROR(__xludf.DUMMYFUNCTION("""COMPUTED_VALUE"""),"NIBEL M. 1978/SUKADANA HAM")</f>
        <v>NIBEL M. 1978/SUKADANA HAM</v>
      </c>
      <c r="D6835" s="42" t="str">
        <f>IFERROR(__xludf.DUMMYFUNCTION("""COMPUTED_VALUE"""),"Berry")</f>
        <v>Berry</v>
      </c>
      <c r="E6835" s="42" t="str">
        <f>IFERROR(__xludf.DUMMYFUNCTION("""COMPUTED_VALUE"""),"DISERAHKAN")</f>
        <v>DISERAHKAN</v>
      </c>
      <c r="F6835" s="48">
        <f>IFERROR(__xludf.DUMMYFUNCTION("""COMPUTED_VALUE"""),45945.679623449076)</f>
        <v>45945.67962</v>
      </c>
      <c r="G6835" s="42" t="str">
        <f>IFERROR(__xludf.DUMMYFUNCTION("""COMPUTED_VALUE"""),"BN JUAL BELI")</f>
        <v>BN JUAL BELI</v>
      </c>
      <c r="H6835" s="42">
        <f t="shared" si="1"/>
        <v>2944</v>
      </c>
    </row>
    <row r="6836" ht="22.5" customHeight="1">
      <c r="B6836" s="42" t="str">
        <f>IFERROR(__xludf.DUMMYFUNCTION("""COMPUTED_VALUE"""),"K/17/220825/4")</f>
        <v>K/17/220825/4</v>
      </c>
      <c r="C6836" s="42" t="str">
        <f>IFERROR(__xludf.DUMMYFUNCTION("""COMPUTED_VALUE"""),"M. 2450/KEDAUNG")</f>
        <v>M. 2450/KEDAUNG</v>
      </c>
      <c r="D6836" s="42"/>
      <c r="E6836" s="42"/>
      <c r="F6836" s="48" t="str">
        <f>IFERROR(__xludf.DUMMYFUNCTION("""COMPUTED_VALUE"""),"")</f>
        <v/>
      </c>
      <c r="G6836" s="42" t="str">
        <f>IFERROR(__xludf.DUMMYFUNCTION("""COMPUTED_VALUE"""),"BN JUAL BELI")</f>
        <v>BN JUAL BELI</v>
      </c>
      <c r="H6836" s="42">
        <f t="shared" si="1"/>
        <v>2944</v>
      </c>
    </row>
    <row r="6837" ht="22.5" customHeight="1">
      <c r="B6837" s="42" t="str">
        <f>IFERROR(__xludf.DUMMYFUNCTION("""COMPUTED_VALUE"""),"K/20/220825/1")</f>
        <v>K/20/220825/1</v>
      </c>
      <c r="C6837" s="42" t="str">
        <f>IFERROR(__xludf.DUMMYFUNCTION("""COMPUTED_VALUE"""),"NIBEL M 9187/ RAJABASA JAYA")</f>
        <v>NIBEL M 9187/ RAJABASA JAYA</v>
      </c>
      <c r="D6837" s="42" t="str">
        <f>IFERROR(__xludf.DUMMYFUNCTION("""COMPUTED_VALUE"""),"Berry")</f>
        <v>Berry</v>
      </c>
      <c r="E6837" s="42" t="str">
        <f>IFERROR(__xludf.DUMMYFUNCTION("""COMPUTED_VALUE"""),"DISERAHKAN")</f>
        <v>DISERAHKAN</v>
      </c>
      <c r="F6837" s="48">
        <f>IFERROR(__xludf.DUMMYFUNCTION("""COMPUTED_VALUE"""),45918.551187812496)</f>
        <v>45918.55119</v>
      </c>
      <c r="G6837" s="42" t="str">
        <f>IFERROR(__xludf.DUMMYFUNCTION("""COMPUTED_VALUE"""),"BN JUAL BELI")</f>
        <v>BN JUAL BELI</v>
      </c>
      <c r="H6837" s="42">
        <f t="shared" si="1"/>
        <v>2945</v>
      </c>
    </row>
    <row r="6838" ht="22.5" customHeight="1">
      <c r="B6838" s="42" t="str">
        <f>IFERROR(__xludf.DUMMYFUNCTION("""COMPUTED_VALUE"""),"K/18/220825/5")</f>
        <v>K/18/220825/5</v>
      </c>
      <c r="C6838" s="42" t="str">
        <f>IFERROR(__xludf.DUMMYFUNCTION("""COMPUTED_VALUE"""),"NIBEL M.17281/KALIAWI")</f>
        <v>NIBEL M.17281/KALIAWI</v>
      </c>
      <c r="D6838" s="42"/>
      <c r="E6838" s="42"/>
      <c r="F6838" s="48" t="str">
        <f>IFERROR(__xludf.DUMMYFUNCTION("""COMPUTED_VALUE"""),"")</f>
        <v/>
      </c>
      <c r="G6838" s="42" t="str">
        <f>IFERROR(__xludf.DUMMYFUNCTION("""COMPUTED_VALUE"""),"BN JUAL BELI EL")</f>
        <v>BN JUAL BELI EL</v>
      </c>
      <c r="H6838" s="42">
        <f t="shared" si="1"/>
        <v>2945</v>
      </c>
    </row>
    <row r="6839" ht="22.5" customHeight="1">
      <c r="B6839" s="42" t="str">
        <f>IFERROR(__xludf.DUMMYFUNCTION("""COMPUTED_VALUE"""),"K/19/220825/2")</f>
        <v>K/19/220825/2</v>
      </c>
      <c r="C6839" s="42" t="str">
        <f>IFERROR(__xludf.DUMMYFUNCTION("""COMPUTED_VALUE"""),"M.51/Kemiling Permai ")</f>
        <v>M.51/Kemiling Permai </v>
      </c>
      <c r="D6839" s="42"/>
      <c r="E6839" s="42"/>
      <c r="F6839" s="48" t="str">
        <f>IFERROR(__xludf.DUMMYFUNCTION("""COMPUTED_VALUE"""),"")</f>
        <v/>
      </c>
      <c r="G6839" s="42" t="str">
        <f>IFERROR(__xludf.DUMMYFUNCTION("""COMPUTED_VALUE"""),"BN Jual beli")</f>
        <v>BN Jual beli</v>
      </c>
      <c r="H6839" s="42">
        <f t="shared" si="1"/>
        <v>2945</v>
      </c>
    </row>
    <row r="6840" ht="22.5" customHeight="1">
      <c r="B6840" s="42" t="str">
        <f>IFERROR(__xludf.DUMMYFUNCTION("""COMPUTED_VALUE"""),"L/21/220825/1")</f>
        <v>L/21/220825/1</v>
      </c>
      <c r="C6840" s="42" t="str">
        <f>IFERROR(__xludf.DUMMYFUNCTION("""COMPUTED_VALUE"""),"M. 13400/SUKABUMI")</f>
        <v>M. 13400/SUKABUMI</v>
      </c>
      <c r="D6840" s="42" t="str">
        <f>IFERROR(__xludf.DUMMYFUNCTION("""COMPUTED_VALUE"""),"Berry")</f>
        <v>Berry</v>
      </c>
      <c r="E6840" s="42" t="str">
        <f>IFERROR(__xludf.DUMMYFUNCTION("""COMPUTED_VALUE"""),"DISERAHKAN")</f>
        <v>DISERAHKAN</v>
      </c>
      <c r="F6840" s="48">
        <f>IFERROR(__xludf.DUMMYFUNCTION("""COMPUTED_VALUE"""),45912.53289412037)</f>
        <v>45912.53289</v>
      </c>
      <c r="G6840" s="42" t="str">
        <f>IFERROR(__xludf.DUMMYFUNCTION("""COMPUTED_VALUE"""),"ROYA")</f>
        <v>ROYA</v>
      </c>
      <c r="H6840" s="42">
        <f t="shared" si="1"/>
        <v>2946</v>
      </c>
    </row>
    <row r="6841" ht="22.5" customHeight="1">
      <c r="B6841" s="42" t="str">
        <f>IFERROR(__xludf.DUMMYFUNCTION("""COMPUTED_VALUE"""),"K/22/220825/1")</f>
        <v>K/22/220825/1</v>
      </c>
      <c r="C6841" s="42" t="str">
        <f>IFERROR(__xludf.DUMMYFUNCTION("""COMPUTED_VALUE"""),"M. 1664/ BUMI KEDAMAIAN")</f>
        <v>M. 1664/ BUMI KEDAMAIAN</v>
      </c>
      <c r="D6841" s="42" t="str">
        <f>IFERROR(__xludf.DUMMYFUNCTION("""COMPUTED_VALUE"""),"David")</f>
        <v>David</v>
      </c>
      <c r="E6841" s="42" t="str">
        <f>IFERROR(__xludf.DUMMYFUNCTION("""COMPUTED_VALUE"""),"DISERAHKAN")</f>
        <v>DISERAHKAN</v>
      </c>
      <c r="F6841" s="48">
        <f>IFERROR(__xludf.DUMMYFUNCTION("""COMPUTED_VALUE"""),45930.60107152778)</f>
        <v>45930.60107</v>
      </c>
      <c r="G6841" s="42" t="str">
        <f>IFERROR(__xludf.DUMMYFUNCTION("""COMPUTED_VALUE"""),"BN JUAL BELI")</f>
        <v>BN JUAL BELI</v>
      </c>
      <c r="H6841" s="42">
        <f t="shared" si="1"/>
        <v>2947</v>
      </c>
    </row>
    <row r="6842" ht="22.5" customHeight="1">
      <c r="B6842" s="42" t="str">
        <f>IFERROR(__xludf.DUMMYFUNCTION("""COMPUTED_VALUE"""),"K/26/220825/1")</f>
        <v>K/26/220825/1</v>
      </c>
      <c r="C6842" s="42" t="str">
        <f>IFERROR(__xludf.DUMMYFUNCTION("""COMPUTED_VALUE"""),"NIBEL M 6986/ SUKABUMI")</f>
        <v>NIBEL M 6986/ SUKABUMI</v>
      </c>
      <c r="D6842" s="42" t="str">
        <f>IFERROR(__xludf.DUMMYFUNCTION("""COMPUTED_VALUE"""),"David")</f>
        <v>David</v>
      </c>
      <c r="E6842" s="42" t="str">
        <f>IFERROR(__xludf.DUMMYFUNCTION("""COMPUTED_VALUE"""),"DISERAHKAN")</f>
        <v>DISERAHKAN</v>
      </c>
      <c r="F6842" s="48">
        <f>IFERROR(__xludf.DUMMYFUNCTION("""COMPUTED_VALUE"""),45950.60179663195)</f>
        <v>45950.6018</v>
      </c>
      <c r="G6842" s="42" t="str">
        <f>IFERROR(__xludf.DUMMYFUNCTION("""COMPUTED_VALUE"""),"BN JUAL BELI")</f>
        <v>BN JUAL BELI</v>
      </c>
      <c r="H6842" s="42">
        <f t="shared" si="1"/>
        <v>2948</v>
      </c>
    </row>
    <row r="6843" ht="22.5" customHeight="1">
      <c r="B6843" s="42" t="str">
        <f>IFERROR(__xludf.DUMMYFUNCTION("""COMPUTED_VALUE"""),"K/23/220825/1")</f>
        <v>K/23/220825/1</v>
      </c>
      <c r="C6843" s="42" t="str">
        <f>IFERROR(__xludf.DUMMYFUNCTION("""COMPUTED_VALUE"""),"Nibel 21922/Sukarame Baru")</f>
        <v>Nibel 21922/Sukarame Baru</v>
      </c>
      <c r="D6843" s="42"/>
      <c r="E6843" s="42"/>
      <c r="F6843" s="48" t="str">
        <f>IFERROR(__xludf.DUMMYFUNCTION("""COMPUTED_VALUE"""),"")</f>
        <v/>
      </c>
      <c r="G6843" s="42" t="str">
        <f>IFERROR(__xludf.DUMMYFUNCTION("""COMPUTED_VALUE"""),"BN Jual beli")</f>
        <v>BN Jual beli</v>
      </c>
      <c r="H6843" s="42">
        <f t="shared" si="1"/>
        <v>2948</v>
      </c>
    </row>
    <row r="6844" ht="22.5" customHeight="1">
      <c r="B6844" s="42" t="str">
        <f>IFERROR(__xludf.DUMMYFUNCTION("""COMPUTED_VALUE"""),"K/24/220825/2")</f>
        <v>K/24/220825/2</v>
      </c>
      <c r="C6844" s="42" t="str">
        <f>IFERROR(__xludf.DUMMYFUNCTION("""COMPUTED_VALUE"""),"Nibel 3962/Sukarame Baru")</f>
        <v>Nibel 3962/Sukarame Baru</v>
      </c>
      <c r="D6844" s="42"/>
      <c r="E6844" s="42"/>
      <c r="F6844" s="48" t="str">
        <f>IFERROR(__xludf.DUMMYFUNCTION("""COMPUTED_VALUE"""),"")</f>
        <v/>
      </c>
      <c r="G6844" s="42" t="str">
        <f>IFERROR(__xludf.DUMMYFUNCTION("""COMPUTED_VALUE"""),"BN Jual beli")</f>
        <v>BN Jual beli</v>
      </c>
      <c r="H6844" s="42">
        <f t="shared" si="1"/>
        <v>2948</v>
      </c>
    </row>
    <row r="6845" ht="22.5" customHeight="1">
      <c r="B6845" s="42" t="str">
        <f>IFERROR(__xludf.DUMMYFUNCTION("""COMPUTED_VALUE"""),"K/28/220825/1")</f>
        <v>K/28/220825/1</v>
      </c>
      <c r="C6845" s="42" t="str">
        <f>IFERROR(__xludf.DUMMYFUNCTION("""COMPUTED_VALUE"""),"NIBEL M. 19689/RAJABASA")</f>
        <v>NIBEL M. 19689/RAJABASA</v>
      </c>
      <c r="D6845" s="42"/>
      <c r="E6845" s="42"/>
      <c r="F6845" s="48" t="str">
        <f>IFERROR(__xludf.DUMMYFUNCTION("""COMPUTED_VALUE"""),"")</f>
        <v/>
      </c>
      <c r="G6845" s="42" t="str">
        <f>IFERROR(__xludf.DUMMYFUNCTION("""COMPUTED_VALUE"""),"BN JUAL BELI EL")</f>
        <v>BN JUAL BELI EL</v>
      </c>
      <c r="H6845" s="42">
        <f t="shared" si="1"/>
        <v>2948</v>
      </c>
    </row>
    <row r="6846" ht="22.5" customHeight="1">
      <c r="B6846" s="42" t="str">
        <f>IFERROR(__xludf.DUMMYFUNCTION("""COMPUTED_VALUE"""),"L/27/220825/1")</f>
        <v>L/27/220825/1</v>
      </c>
      <c r="C6846" s="42" t="str">
        <f>IFERROR(__xludf.DUMMYFUNCTION("""COMPUTED_VALUE"""),"B NIB. 2033/KETEGUHAN")</f>
        <v>B NIB. 2033/KETEGUHAN</v>
      </c>
      <c r="D6846" s="42"/>
      <c r="E6846" s="42"/>
      <c r="F6846" s="48" t="str">
        <f>IFERROR(__xludf.DUMMYFUNCTION("""COMPUTED_VALUE"""),"")</f>
        <v/>
      </c>
      <c r="G6846" s="42" t="str">
        <f>IFERROR(__xludf.DUMMYFUNCTION("""COMPUTED_VALUE"""),"PENINGKATAN HAK")</f>
        <v>PENINGKATAN HAK</v>
      </c>
      <c r="H6846" s="42">
        <f t="shared" si="1"/>
        <v>2948</v>
      </c>
    </row>
    <row r="6847" ht="22.5" customHeight="1">
      <c r="B6847" s="42" t="str">
        <f>IFERROR(__xludf.DUMMYFUNCTION("""COMPUTED_VALUE"""),"K/29/220825/2")</f>
        <v>K/29/220825/2</v>
      </c>
      <c r="C6847" s="42" t="str">
        <f>IFERROR(__xludf.DUMMYFUNCTION("""COMPUTED_VALUE"""),"M.91/PERUMNAS WAY HALIM")</f>
        <v>M.91/PERUMNAS WAY HALIM</v>
      </c>
      <c r="D6847" s="42"/>
      <c r="E6847" s="42"/>
      <c r="F6847" s="48" t="str">
        <f>IFERROR(__xludf.DUMMYFUNCTION("""COMPUTED_VALUE"""),"")</f>
        <v/>
      </c>
      <c r="G6847" s="42" t="str">
        <f>IFERROR(__xludf.DUMMYFUNCTION("""COMPUTED_VALUE"""),"BN HIBAH EL")</f>
        <v>BN HIBAH EL</v>
      </c>
      <c r="H6847" s="42">
        <f t="shared" si="1"/>
        <v>2948</v>
      </c>
    </row>
    <row r="6848" ht="22.5" customHeight="1">
      <c r="B6848" s="42" t="str">
        <f>IFERROR(__xludf.DUMMYFUNCTION("""COMPUTED_VALUE"""),"L/32/220825/1")</f>
        <v>L/32/220825/1</v>
      </c>
      <c r="C6848" s="42" t="str">
        <f>IFERROR(__xludf.DUMMYFUNCTION("""COMPUTED_VALUE"""),"B NIB. 18876/NUSANTARA PERMAI")</f>
        <v>B NIB. 18876/NUSANTARA PERMAI</v>
      </c>
      <c r="D6848" s="42" t="str">
        <f>IFERROR(__xludf.DUMMYFUNCTION("""COMPUTED_VALUE"""),"Berry")</f>
        <v>Berry</v>
      </c>
      <c r="E6848" s="42" t="str">
        <f>IFERROR(__xludf.DUMMYFUNCTION("""COMPUTED_VALUE"""),"DISERAHKAN")</f>
        <v>DISERAHKAN</v>
      </c>
      <c r="F6848" s="48">
        <f>IFERROR(__xludf.DUMMYFUNCTION("""COMPUTED_VALUE"""),45910.592903888886)</f>
        <v>45910.5929</v>
      </c>
      <c r="G6848" s="42" t="str">
        <f>IFERROR(__xludf.DUMMYFUNCTION("""COMPUTED_VALUE"""),"PENINGKATAN HAK")</f>
        <v>PENINGKATAN HAK</v>
      </c>
      <c r="H6848" s="42">
        <f t="shared" si="1"/>
        <v>2949</v>
      </c>
    </row>
    <row r="6849" ht="22.5" customHeight="1">
      <c r="B6849" s="42" t="str">
        <f>IFERROR(__xludf.DUMMYFUNCTION("""COMPUTED_VALUE"""),"K/30/220825/3")</f>
        <v>K/30/220825/3</v>
      </c>
      <c r="C6849" s="42" t="str">
        <f>IFERROR(__xludf.DUMMYFUNCTION("""COMPUTED_VALUE"""),"NIBEL M. 23103/GUNUNG SULAH")</f>
        <v>NIBEL M. 23103/GUNUNG SULAH</v>
      </c>
      <c r="D6849" s="42"/>
      <c r="E6849" s="42"/>
      <c r="F6849" s="48" t="str">
        <f>IFERROR(__xludf.DUMMYFUNCTION("""COMPUTED_VALUE"""),"")</f>
        <v/>
      </c>
      <c r="G6849" s="42" t="str">
        <f>IFERROR(__xludf.DUMMYFUNCTION("""COMPUTED_VALUE"""),"BN JUAL BELI EL")</f>
        <v>BN JUAL BELI EL</v>
      </c>
      <c r="H6849" s="42">
        <f t="shared" si="1"/>
        <v>2949</v>
      </c>
    </row>
    <row r="6850" ht="22.5" customHeight="1">
      <c r="B6850" s="42" t="str">
        <f>IFERROR(__xludf.DUMMYFUNCTION("""COMPUTED_VALUE"""),"K/37/220825/1")</f>
        <v>K/37/220825/1</v>
      </c>
      <c r="C6850" s="42" t="str">
        <f>IFERROR(__xludf.DUMMYFUNCTION("""COMPUTED_VALUE"""),"NIBEL M 21178")</f>
        <v>NIBEL M 21178</v>
      </c>
      <c r="D6850" s="42"/>
      <c r="E6850" s="42"/>
      <c r="F6850" s="48" t="str">
        <f>IFERROR(__xludf.DUMMYFUNCTION("""COMPUTED_VALUE"""),"")</f>
        <v/>
      </c>
      <c r="G6850" s="42" t="str">
        <f>IFERROR(__xludf.DUMMYFUNCTION("""COMPUTED_VALUE"""),"BN JUAL BELI")</f>
        <v>BN JUAL BELI</v>
      </c>
      <c r="H6850" s="42">
        <f t="shared" si="1"/>
        <v>2949</v>
      </c>
    </row>
    <row r="6851" ht="22.5" customHeight="1">
      <c r="B6851" s="42" t="str">
        <f>IFERROR(__xludf.DUMMYFUNCTION("""COMPUTED_VALUE"""),"K/31/220825/4")</f>
        <v>K/31/220825/4</v>
      </c>
      <c r="C6851" s="42" t="str">
        <f>IFERROR(__xludf.DUMMYFUNCTION("""COMPUTED_VALUE"""),"M. 84/PERUMNAS WAY HALIM")</f>
        <v>M. 84/PERUMNAS WAY HALIM</v>
      </c>
      <c r="D6851" s="42"/>
      <c r="E6851" s="42"/>
      <c r="F6851" s="48" t="str">
        <f>IFERROR(__xludf.DUMMYFUNCTION("""COMPUTED_VALUE"""),"")</f>
        <v/>
      </c>
      <c r="G6851" s="42" t="str">
        <f>IFERROR(__xludf.DUMMYFUNCTION("""COMPUTED_VALUE"""),"BN HIBAH EL")</f>
        <v>BN HIBAH EL</v>
      </c>
      <c r="H6851" s="42">
        <f t="shared" si="1"/>
        <v>2949</v>
      </c>
    </row>
    <row r="6852" ht="22.5" customHeight="1">
      <c r="B6852" s="42" t="str">
        <f>IFERROR(__xludf.DUMMYFUNCTION("""COMPUTED_VALUE"""),"K/38/220825/2")</f>
        <v>K/38/220825/2</v>
      </c>
      <c r="C6852" s="42" t="str">
        <f>IFERROR(__xludf.DUMMYFUNCTION("""COMPUTED_VALUE"""),"NIBEL M 5030/ GUNUNG SULAH")</f>
        <v>NIBEL M 5030/ GUNUNG SULAH</v>
      </c>
      <c r="D6852" s="42" t="str">
        <f>IFERROR(__xludf.DUMMYFUNCTION("""COMPUTED_VALUE"""),"Berry")</f>
        <v>Berry</v>
      </c>
      <c r="E6852" s="42" t="str">
        <f>IFERROR(__xludf.DUMMYFUNCTION("""COMPUTED_VALUE"""),"DISERAHKAN")</f>
        <v>DISERAHKAN</v>
      </c>
      <c r="F6852" s="48">
        <f>IFERROR(__xludf.DUMMYFUNCTION("""COMPUTED_VALUE"""),45910.59280215278)</f>
        <v>45910.5928</v>
      </c>
      <c r="G6852" s="42" t="str">
        <f>IFERROR(__xludf.DUMMYFUNCTION("""COMPUTED_VALUE"""),"BN JUAL BELI")</f>
        <v>BN JUAL BELI</v>
      </c>
      <c r="H6852" s="42">
        <f t="shared" si="1"/>
        <v>2950</v>
      </c>
    </row>
    <row r="6853" ht="22.5" customHeight="1">
      <c r="B6853" s="42" t="str">
        <f>IFERROR(__xludf.DUMMYFUNCTION("""COMPUTED_VALUE"""),"K/37/220825/1")</f>
        <v>K/37/220825/1</v>
      </c>
      <c r="C6853" s="42" t="str">
        <f>IFERROR(__xludf.DUMMYFUNCTION("""COMPUTED_VALUE"""),"NIBEL M 21178/PEMATANG WANGI")</f>
        <v>NIBEL M 21178/PEMATANG WANGI</v>
      </c>
      <c r="D6853" s="42"/>
      <c r="E6853" s="42"/>
      <c r="F6853" s="48" t="str">
        <f>IFERROR(__xludf.DUMMYFUNCTION("""COMPUTED_VALUE"""),"")</f>
        <v/>
      </c>
      <c r="G6853" s="42" t="str">
        <f>IFERROR(__xludf.DUMMYFUNCTION("""COMPUTED_VALUE"""),"BN JUAL BELI")</f>
        <v>BN JUAL BELI</v>
      </c>
      <c r="H6853" s="42">
        <f t="shared" si="1"/>
        <v>2950</v>
      </c>
    </row>
    <row r="6854" ht="22.5" customHeight="1">
      <c r="B6854" s="42" t="str">
        <f>IFERROR(__xludf.DUMMYFUNCTION("""COMPUTED_VALUE"""),"K/39/220825/1")</f>
        <v>K/39/220825/1</v>
      </c>
      <c r="C6854" s="42" t="str">
        <f>IFERROR(__xludf.DUMMYFUNCTION("""COMPUTED_VALUE"""),"NIBEL M. 2527/KAMPUNG BARU")</f>
        <v>NIBEL M. 2527/KAMPUNG BARU</v>
      </c>
      <c r="D6854" s="42"/>
      <c r="E6854" s="42"/>
      <c r="F6854" s="48" t="str">
        <f>IFERROR(__xludf.DUMMYFUNCTION("""COMPUTED_VALUE"""),"")</f>
        <v/>
      </c>
      <c r="G6854" s="42" t="str">
        <f>IFERROR(__xludf.DUMMYFUNCTION("""COMPUTED_VALUE"""),"BN APHB EL")</f>
        <v>BN APHB EL</v>
      </c>
      <c r="H6854" s="42">
        <f t="shared" si="1"/>
        <v>2950</v>
      </c>
    </row>
    <row r="6855" ht="22.5" customHeight="1">
      <c r="B6855" s="42" t="str">
        <f>IFERROR(__xludf.DUMMYFUNCTION("""COMPUTED_VALUE"""),"K/40/220825/2")</f>
        <v>K/40/220825/2</v>
      </c>
      <c r="C6855" s="42" t="str">
        <f>IFERROR(__xludf.DUMMYFUNCTION("""COMPUTED_VALUE"""),"M.12288/SUKABUMI")</f>
        <v>M.12288/SUKABUMI</v>
      </c>
      <c r="D6855" s="42"/>
      <c r="E6855" s="42"/>
      <c r="F6855" s="48" t="str">
        <f>IFERROR(__xludf.DUMMYFUNCTION("""COMPUTED_VALUE"""),"")</f>
        <v/>
      </c>
      <c r="G6855" s="42" t="str">
        <f>IFERROR(__xludf.DUMMYFUNCTION("""COMPUTED_VALUE"""),"BN APHB EL")</f>
        <v>BN APHB EL</v>
      </c>
      <c r="H6855" s="42">
        <f t="shared" si="1"/>
        <v>2950</v>
      </c>
    </row>
    <row r="6856" ht="22.5" customHeight="1">
      <c r="B6856" s="42" t="str">
        <f>IFERROR(__xludf.DUMMYFUNCTION("""COMPUTED_VALUE"""),"K/41/220825/1")</f>
        <v>K/41/220825/1</v>
      </c>
      <c r="C6856" s="42" t="str">
        <f>IFERROR(__xludf.DUMMYFUNCTION("""COMPUTED_VALUE"""),"Nibel 19285 Gunung Terang")</f>
        <v>Nibel 19285 Gunung Terang</v>
      </c>
      <c r="D6856" s="42"/>
      <c r="E6856" s="42"/>
      <c r="F6856" s="48" t="str">
        <f>IFERROR(__xludf.DUMMYFUNCTION("""COMPUTED_VALUE"""),"")</f>
        <v/>
      </c>
      <c r="G6856" s="42" t="str">
        <f>IFERROR(__xludf.DUMMYFUNCTION("""COMPUTED_VALUE"""),"BN Jual beli	")</f>
        <v>BN Jual beli	</v>
      </c>
      <c r="H6856" s="42">
        <f t="shared" si="1"/>
        <v>2950</v>
      </c>
    </row>
    <row r="6857" ht="22.5" customHeight="1">
      <c r="B6857" s="42" t="str">
        <f>IFERROR(__xludf.DUMMYFUNCTION("""COMPUTED_VALUE"""),"K/42/220825/2	")</f>
        <v>K/42/220825/2	</v>
      </c>
      <c r="C6857" s="42" t="str">
        <f>IFERROR(__xludf.DUMMYFUNCTION("""COMPUTED_VALUE"""),"Nibel 21834/Langkapura	")</f>
        <v>Nibel 21834/Langkapura	</v>
      </c>
      <c r="D6857" s="42"/>
      <c r="E6857" s="42"/>
      <c r="F6857" s="48" t="str">
        <f>IFERROR(__xludf.DUMMYFUNCTION("""COMPUTED_VALUE"""),"")</f>
        <v/>
      </c>
      <c r="G6857" s="42" t="str">
        <f>IFERROR(__xludf.DUMMYFUNCTION("""COMPUTED_VALUE"""),"BN Jual beli	")</f>
        <v>BN Jual beli	</v>
      </c>
      <c r="H6857" s="42">
        <f t="shared" si="1"/>
        <v>2950</v>
      </c>
    </row>
    <row r="6858" ht="22.5" customHeight="1">
      <c r="B6858" s="42" t="str">
        <f>IFERROR(__xludf.DUMMYFUNCTION("""COMPUTED_VALUE"""),"K/43/220825/3	")</f>
        <v>K/43/220825/3	</v>
      </c>
      <c r="C6858" s="42" t="str">
        <f>IFERROR(__xludf.DUMMYFUNCTION("""COMPUTED_VALUE"""),"M. 10737/Sidodadi	")</f>
        <v>M. 10737/Sidodadi	</v>
      </c>
      <c r="D6858" s="42"/>
      <c r="E6858" s="42"/>
      <c r="F6858" s="48" t="str">
        <f>IFERROR(__xludf.DUMMYFUNCTION("""COMPUTED_VALUE"""),"")</f>
        <v/>
      </c>
      <c r="G6858" s="42" t="str">
        <f>IFERROR(__xludf.DUMMYFUNCTION("""COMPUTED_VALUE"""),"BN Jual beli	")</f>
        <v>BN Jual beli	</v>
      </c>
      <c r="H6858" s="42">
        <f t="shared" si="1"/>
        <v>2950</v>
      </c>
    </row>
    <row r="6859" ht="22.5" customHeight="1">
      <c r="B6859" s="42" t="str">
        <f>IFERROR(__xludf.DUMMYFUNCTION("""COMPUTED_VALUE"""),"K/47/220825/1")</f>
        <v>K/47/220825/1</v>
      </c>
      <c r="C6859" s="42" t="str">
        <f>IFERROR(__xludf.DUMMYFUNCTION("""COMPUTED_VALUE"""),"Nibel 23898/Tanjung Senang")</f>
        <v>Nibel 23898/Tanjung Senang</v>
      </c>
      <c r="D6859" s="42" t="str">
        <f>IFERROR(__xludf.DUMMYFUNCTION("""COMPUTED_VALUE"""),"Berry")</f>
        <v>Berry</v>
      </c>
      <c r="E6859" s="42" t="str">
        <f>IFERROR(__xludf.DUMMYFUNCTION("""COMPUTED_VALUE"""),"DISERAHKAN")</f>
        <v>DISERAHKAN</v>
      </c>
      <c r="F6859" s="48">
        <f>IFERROR(__xludf.DUMMYFUNCTION("""COMPUTED_VALUE"""),45926.54876777778)</f>
        <v>45926.54877</v>
      </c>
      <c r="G6859" s="42" t="str">
        <f>IFERROR(__xludf.DUMMYFUNCTION("""COMPUTED_VALUE"""),"BN Jual beli")</f>
        <v>BN Jual beli</v>
      </c>
      <c r="H6859" s="42">
        <f t="shared" si="1"/>
        <v>2951</v>
      </c>
    </row>
    <row r="6860" ht="22.5" customHeight="1">
      <c r="B6860" s="42" t="str">
        <f>IFERROR(__xludf.DUMMYFUNCTION("""COMPUTED_VALUE"""),"K/45/220825/1")</f>
        <v>K/45/220825/1</v>
      </c>
      <c r="C6860" s="42" t="str">
        <f>IFERROR(__xludf.DUMMYFUNCTION("""COMPUTED_VALUE"""),"B 161/ KOTA KARANG")</f>
        <v>B 161/ KOTA KARANG</v>
      </c>
      <c r="D6860" s="42"/>
      <c r="E6860" s="42"/>
      <c r="F6860" s="48" t="str">
        <f>IFERROR(__xludf.DUMMYFUNCTION("""COMPUTED_VALUE"""),"")</f>
        <v/>
      </c>
      <c r="G6860" s="42" t="str">
        <f>IFERROR(__xludf.DUMMYFUNCTION("""COMPUTED_VALUE"""),"BN JUAL BELI")</f>
        <v>BN JUAL BELI</v>
      </c>
      <c r="H6860" s="42">
        <f t="shared" si="1"/>
        <v>2951</v>
      </c>
    </row>
    <row r="6861" ht="22.5" customHeight="1">
      <c r="B6861" s="42" t="str">
        <f>IFERROR(__xludf.DUMMYFUNCTION("""COMPUTED_VALUE"""),"K/46/220825/2")</f>
        <v>K/46/220825/2</v>
      </c>
      <c r="C6861" s="42" t="str">
        <f>IFERROR(__xludf.DUMMYFUNCTION("""COMPUTED_VALUE"""),"B 163/ KOTA KARANG")</f>
        <v>B 163/ KOTA KARANG</v>
      </c>
      <c r="D6861" s="42" t="str">
        <f>IFERROR(__xludf.DUMMYFUNCTION("""COMPUTED_VALUE"""),"Berry")</f>
        <v>Berry</v>
      </c>
      <c r="E6861" s="42" t="str">
        <f>IFERROR(__xludf.DUMMYFUNCTION("""COMPUTED_VALUE"""),"DISERAHKAN")</f>
        <v>DISERAHKAN</v>
      </c>
      <c r="F6861" s="48">
        <f>IFERROR(__xludf.DUMMYFUNCTION("""COMPUTED_VALUE"""),45908.635283807875)</f>
        <v>45908.63528</v>
      </c>
      <c r="G6861" s="42" t="str">
        <f>IFERROR(__xludf.DUMMYFUNCTION("""COMPUTED_VALUE"""),"BN JUAL BELI")</f>
        <v>BN JUAL BELI</v>
      </c>
      <c r="H6861" s="42">
        <f t="shared" si="1"/>
        <v>2952</v>
      </c>
    </row>
    <row r="6862" ht="22.5" customHeight="1">
      <c r="B6862" s="42" t="str">
        <f>IFERROR(__xludf.DUMMYFUNCTION("""COMPUTED_VALUE"""),"K/52/220825/1")</f>
        <v>K/52/220825/1</v>
      </c>
      <c r="C6862" s="42" t="str">
        <f>IFERROR(__xludf.DUMMYFUNCTION("""COMPUTED_VALUE"""),"Nibel 22581/Way Kandis")</f>
        <v>Nibel 22581/Way Kandis</v>
      </c>
      <c r="D6862" s="42" t="str">
        <f>IFERROR(__xludf.DUMMYFUNCTION("""COMPUTED_VALUE"""),"Berry")</f>
        <v>Berry</v>
      </c>
      <c r="E6862" s="42" t="str">
        <f>IFERROR(__xludf.DUMMYFUNCTION("""COMPUTED_VALUE"""),"DISERAHKAN")</f>
        <v>DISERAHKAN</v>
      </c>
      <c r="F6862" s="48">
        <f>IFERROR(__xludf.DUMMYFUNCTION("""COMPUTED_VALUE"""),45908.635400486106)</f>
        <v>45908.6354</v>
      </c>
      <c r="G6862" s="42" t="str">
        <f>IFERROR(__xludf.DUMMYFUNCTION("""COMPUTED_VALUE"""),"BN Jual beli")</f>
        <v>BN Jual beli</v>
      </c>
      <c r="H6862" s="42">
        <f t="shared" si="1"/>
        <v>2953</v>
      </c>
    </row>
    <row r="6863" ht="22.5" customHeight="1">
      <c r="B6863" s="42" t="str">
        <f>IFERROR(__xludf.DUMMYFUNCTION("""COMPUTED_VALUE"""),"K/48/220825/1")</f>
        <v>K/48/220825/1</v>
      </c>
      <c r="C6863" s="42" t="str">
        <f>IFERROR(__xludf.DUMMYFUNCTION("""COMPUTED_VALUE"""),"M. 3861/RAJABASA JAYA")</f>
        <v>M. 3861/RAJABASA JAYA</v>
      </c>
      <c r="D6863" s="42"/>
      <c r="E6863" s="42"/>
      <c r="F6863" s="48" t="str">
        <f>IFERROR(__xludf.DUMMYFUNCTION("""COMPUTED_VALUE"""),"")</f>
        <v/>
      </c>
      <c r="G6863" s="42" t="str">
        <f>IFERROR(__xludf.DUMMYFUNCTION("""COMPUTED_VALUE"""),"BN JUAL BELI EL")</f>
        <v>BN JUAL BELI EL</v>
      </c>
      <c r="H6863" s="42">
        <f t="shared" si="1"/>
        <v>2953</v>
      </c>
    </row>
    <row r="6864" ht="22.5" customHeight="1">
      <c r="B6864" s="42" t="str">
        <f>IFERROR(__xludf.DUMMYFUNCTION("""COMPUTED_VALUE"""),"K/44/220825/1")</f>
        <v>K/44/220825/1</v>
      </c>
      <c r="C6864" s="42" t="str">
        <f>IFERROR(__xludf.DUMMYFUNCTION("""COMPUTED_VALUE"""),"NIBEL B 23661/ LABUHAN RATU RAYA")</f>
        <v>NIBEL B 23661/ LABUHAN RATU RAYA</v>
      </c>
      <c r="D6864" s="42" t="str">
        <f>IFERROR(__xludf.DUMMYFUNCTION("""COMPUTED_VALUE"""),"Berry")</f>
        <v>Berry</v>
      </c>
      <c r="E6864" s="42" t="str">
        <f>IFERROR(__xludf.DUMMYFUNCTION("""COMPUTED_VALUE"""),"DISERAHKAN")</f>
        <v>DISERAHKAN</v>
      </c>
      <c r="F6864" s="48">
        <f>IFERROR(__xludf.DUMMYFUNCTION("""COMPUTED_VALUE"""),45938.48717958333)</f>
        <v>45938.48718</v>
      </c>
      <c r="G6864" s="42" t="str">
        <f>IFERROR(__xludf.DUMMYFUNCTION("""COMPUTED_VALUE"""),"PENINGKATAN HAK")</f>
        <v>PENINGKATAN HAK</v>
      </c>
      <c r="H6864" s="42">
        <f t="shared" si="1"/>
        <v>2954</v>
      </c>
    </row>
    <row r="6865" ht="22.5" customHeight="1">
      <c r="B6865" s="42" t="str">
        <f>IFERROR(__xludf.DUMMYFUNCTION("""COMPUTED_VALUE"""),"K/49/220825/2")</f>
        <v>K/49/220825/2</v>
      </c>
      <c r="C6865" s="42" t="str">
        <f>IFERROR(__xludf.DUMMYFUNCTION("""COMPUTED_VALUE"""),"NIBEL M. 23313/RAJABASA RAYA")</f>
        <v>NIBEL M. 23313/RAJABASA RAYA</v>
      </c>
      <c r="D6865" s="42"/>
      <c r="E6865" s="42"/>
      <c r="F6865" s="48" t="str">
        <f>IFERROR(__xludf.DUMMYFUNCTION("""COMPUTED_VALUE"""),"")</f>
        <v/>
      </c>
      <c r="G6865" s="42" t="str">
        <f>IFERROR(__xludf.DUMMYFUNCTION("""COMPUTED_VALUE"""),"BN JUAL BELI")</f>
        <v>BN JUAL BELI</v>
      </c>
      <c r="H6865" s="42">
        <f t="shared" si="1"/>
        <v>2954</v>
      </c>
    </row>
    <row r="6866" ht="22.5" customHeight="1">
      <c r="B6866" s="42" t="str">
        <f>IFERROR(__xludf.DUMMYFUNCTION("""COMPUTED_VALUE"""),"K/50/220825/3")</f>
        <v>K/50/220825/3</v>
      </c>
      <c r="C6866" s="42" t="str">
        <f>IFERROR(__xludf.DUMMYFUNCTION("""COMPUTED_VALUE"""),"B. 1573/WAY HALIM PERMAI")</f>
        <v>B. 1573/WAY HALIM PERMAI</v>
      </c>
      <c r="D6866" s="42"/>
      <c r="E6866" s="42"/>
      <c r="F6866" s="48" t="str">
        <f>IFERROR(__xludf.DUMMYFUNCTION("""COMPUTED_VALUE"""),"")</f>
        <v/>
      </c>
      <c r="G6866" s="42" t="str">
        <f>IFERROR(__xludf.DUMMYFUNCTION("""COMPUTED_VALUE"""),"BN JUAL BELI EL")</f>
        <v>BN JUAL BELI EL</v>
      </c>
      <c r="H6866" s="42">
        <f t="shared" si="1"/>
        <v>2954</v>
      </c>
    </row>
    <row r="6867" ht="22.5" customHeight="1">
      <c r="B6867" s="42" t="str">
        <f>IFERROR(__xludf.DUMMYFUNCTION("""COMPUTED_VALUE"""),"K/53/220825/2")</f>
        <v>K/53/220825/2</v>
      </c>
      <c r="C6867" s="42" t="str">
        <f>IFERROR(__xludf.DUMMYFUNCTION("""COMPUTED_VALUE"""),"Nibel 21274/Rajabasa Raya")</f>
        <v>Nibel 21274/Rajabasa Raya</v>
      </c>
      <c r="D6867" s="42" t="str">
        <f>IFERROR(__xludf.DUMMYFUNCTION("""COMPUTED_VALUE"""),"Berry")</f>
        <v>Berry</v>
      </c>
      <c r="E6867" s="42" t="str">
        <f>IFERROR(__xludf.DUMMYFUNCTION("""COMPUTED_VALUE"""),"DISERAHKAN")</f>
        <v>DISERAHKAN</v>
      </c>
      <c r="F6867" s="48">
        <f>IFERROR(__xludf.DUMMYFUNCTION("""COMPUTED_VALUE"""),45938.49645071759)</f>
        <v>45938.49645</v>
      </c>
      <c r="G6867" s="42" t="str">
        <f>IFERROR(__xludf.DUMMYFUNCTION("""COMPUTED_VALUE"""),"BN Jual beli")</f>
        <v>BN Jual beli</v>
      </c>
      <c r="H6867" s="42">
        <f t="shared" si="1"/>
        <v>2955</v>
      </c>
    </row>
    <row r="6868" ht="22.5" customHeight="1">
      <c r="B6868" s="42" t="str">
        <f>IFERROR(__xludf.DUMMYFUNCTION("""COMPUTED_VALUE"""),"K/57/220825/1")</f>
        <v>K/57/220825/1</v>
      </c>
      <c r="C6868" s="42" t="str">
        <f>IFERROR(__xludf.DUMMYFUNCTION("""COMPUTED_VALUE"""),"M 795/ KUPANG KOTA")</f>
        <v>M 795/ KUPANG KOTA</v>
      </c>
      <c r="D6868" s="42"/>
      <c r="E6868" s="42"/>
      <c r="F6868" s="48" t="str">
        <f>IFERROR(__xludf.DUMMYFUNCTION("""COMPUTED_VALUE"""),"")</f>
        <v/>
      </c>
      <c r="G6868" s="42" t="str">
        <f>IFERROR(__xludf.DUMMYFUNCTION("""COMPUTED_VALUE"""),"BN JUAL BELI")</f>
        <v>BN JUAL BELI</v>
      </c>
      <c r="H6868" s="42">
        <f t="shared" si="1"/>
        <v>2955</v>
      </c>
    </row>
    <row r="6869" ht="22.5" customHeight="1">
      <c r="B6869" s="42" t="str">
        <f>IFERROR(__xludf.DUMMYFUNCTION("""COMPUTED_VALUE"""),"K/58/220825/2")</f>
        <v>K/58/220825/2</v>
      </c>
      <c r="C6869" s="42" t="str">
        <f>IFERROR(__xludf.DUMMYFUNCTION("""COMPUTED_VALUE"""),"NIBEL M 22270/ KALI BALAU KENCANA")</f>
        <v>NIBEL M 22270/ KALI BALAU KENCANA</v>
      </c>
      <c r="D6869" s="42"/>
      <c r="E6869" s="42"/>
      <c r="F6869" s="48" t="str">
        <f>IFERROR(__xludf.DUMMYFUNCTION("""COMPUTED_VALUE"""),"")</f>
        <v/>
      </c>
      <c r="G6869" s="42" t="str">
        <f>IFERROR(__xludf.DUMMYFUNCTION("""COMPUTED_VALUE"""),"BN JUAL BELI")</f>
        <v>BN JUAL BELI</v>
      </c>
      <c r="H6869" s="42">
        <f t="shared" si="1"/>
        <v>2955</v>
      </c>
    </row>
    <row r="6870" ht="22.5" customHeight="1">
      <c r="B6870" s="42" t="str">
        <f>IFERROR(__xludf.DUMMYFUNCTION("""COMPUTED_VALUE"""),"K/54/220825/3")</f>
        <v>K/54/220825/3</v>
      </c>
      <c r="C6870" s="42" t="str">
        <f>IFERROR(__xludf.DUMMYFUNCTION("""COMPUTED_VALUE"""),"Nibel 21272/Rajabasa Raya	")</f>
        <v>Nibel 21272/Rajabasa Raya	</v>
      </c>
      <c r="D6870" s="42"/>
      <c r="E6870" s="42"/>
      <c r="F6870" s="48" t="str">
        <f>IFERROR(__xludf.DUMMYFUNCTION("""COMPUTED_VALUE"""),"")</f>
        <v/>
      </c>
      <c r="G6870" s="42" t="str">
        <f>IFERROR(__xludf.DUMMYFUNCTION("""COMPUTED_VALUE"""),"BN Jual beli	")</f>
        <v>BN Jual beli	</v>
      </c>
      <c r="H6870" s="42">
        <f t="shared" si="1"/>
        <v>2955</v>
      </c>
    </row>
    <row r="6871" ht="22.5" customHeight="1">
      <c r="B6871" s="42" t="str">
        <f>IFERROR(__xludf.DUMMYFUNCTION("""COMPUTED_VALUE"""),"K/59/220825/3")</f>
        <v>K/59/220825/3</v>
      </c>
      <c r="C6871" s="42" t="str">
        <f>IFERROR(__xludf.DUMMYFUNCTION("""COMPUTED_VALUE"""),"NIBEL M 13136/ SUKABUMI")</f>
        <v>NIBEL M 13136/ SUKABUMI</v>
      </c>
      <c r="D6871" s="42"/>
      <c r="E6871" s="42"/>
      <c r="F6871" s="48" t="str">
        <f>IFERROR(__xludf.DUMMYFUNCTION("""COMPUTED_VALUE"""),"")</f>
        <v/>
      </c>
      <c r="G6871" s="42" t="str">
        <f>IFERROR(__xludf.DUMMYFUNCTION("""COMPUTED_VALUE"""),"BN JUAL BELI")</f>
        <v>BN JUAL BELI</v>
      </c>
      <c r="H6871" s="42">
        <f t="shared" si="1"/>
        <v>2955</v>
      </c>
    </row>
    <row r="6872" ht="22.5" customHeight="1">
      <c r="B6872" s="42" t="str">
        <f>IFERROR(__xludf.DUMMYFUNCTION("""COMPUTED_VALUE"""),"K/51/220825/4")</f>
        <v>K/51/220825/4</v>
      </c>
      <c r="C6872" s="42" t="str">
        <f>IFERROR(__xludf.DUMMYFUNCTION("""COMPUTED_VALUE"""),"M. 6262/TANJUNG SENANG")</f>
        <v>M. 6262/TANJUNG SENANG</v>
      </c>
      <c r="D6872" s="42" t="str">
        <f>IFERROR(__xludf.DUMMYFUNCTION("""COMPUTED_VALUE"""),"Berry")</f>
        <v>Berry</v>
      </c>
      <c r="E6872" s="42" t="str">
        <f>IFERROR(__xludf.DUMMYFUNCTION("""COMPUTED_VALUE"""),"DISERAHKAN")</f>
        <v>DISERAHKAN</v>
      </c>
      <c r="F6872" s="48">
        <f>IFERROR(__xludf.DUMMYFUNCTION("""COMPUTED_VALUE"""),45924.69020732639)</f>
        <v>45924.69021</v>
      </c>
      <c r="G6872" s="42" t="str">
        <f>IFERROR(__xludf.DUMMYFUNCTION("""COMPUTED_VALUE"""),"BN JUAL BELI")</f>
        <v>BN JUAL BELI</v>
      </c>
      <c r="H6872" s="42">
        <f t="shared" si="1"/>
        <v>2956</v>
      </c>
    </row>
    <row r="6873" ht="22.5" customHeight="1">
      <c r="B6873" s="42" t="str">
        <f>IFERROR(__xludf.DUMMYFUNCTION("""COMPUTED_VALUE"""),"K/55/220825/4")</f>
        <v>K/55/220825/4</v>
      </c>
      <c r="C6873" s="42" t="str">
        <f>IFERROR(__xludf.DUMMYFUNCTION("""COMPUTED_VALUE"""),"M.4520/Keteguhan	")</f>
        <v>M.4520/Keteguhan	</v>
      </c>
      <c r="D6873" s="42" t="str">
        <f>IFERROR(__xludf.DUMMYFUNCTION("""COMPUTED_VALUE"""),"Berry")</f>
        <v>Berry</v>
      </c>
      <c r="E6873" s="42" t="str">
        <f>IFERROR(__xludf.DUMMYFUNCTION("""COMPUTED_VALUE"""),"DISERAHKAN")</f>
        <v>DISERAHKAN</v>
      </c>
      <c r="F6873" s="48">
        <f>IFERROR(__xludf.DUMMYFUNCTION("""COMPUTED_VALUE"""),45922.64389107639)</f>
        <v>45922.64389</v>
      </c>
      <c r="G6873" s="42" t="str">
        <f>IFERROR(__xludf.DUMMYFUNCTION("""COMPUTED_VALUE"""),"BN Jual beli	")</f>
        <v>BN Jual beli	</v>
      </c>
      <c r="H6873" s="42">
        <f t="shared" si="1"/>
        <v>2957</v>
      </c>
    </row>
    <row r="6874" ht="22.5" customHeight="1">
      <c r="B6874" s="42" t="str">
        <f>IFERROR(__xludf.DUMMYFUNCTION("""COMPUTED_VALUE"""),"K/61/220825/1")</f>
        <v>K/61/220825/1</v>
      </c>
      <c r="C6874" s="42" t="str">
        <f>IFERROR(__xludf.DUMMYFUNCTION("""COMPUTED_VALUE"""),"NIBEL M. 18670/SUKARAME II")</f>
        <v>NIBEL M. 18670/SUKARAME II</v>
      </c>
      <c r="D6874" s="42" t="str">
        <f>IFERROR(__xludf.DUMMYFUNCTION("""COMPUTED_VALUE"""),"Berry")</f>
        <v>Berry</v>
      </c>
      <c r="E6874" s="42" t="str">
        <f>IFERROR(__xludf.DUMMYFUNCTION("""COMPUTED_VALUE"""),"DISERAHKAN")</f>
        <v>DISERAHKAN</v>
      </c>
      <c r="F6874" s="48">
        <f>IFERROR(__xludf.DUMMYFUNCTION("""COMPUTED_VALUE"""),45924.69078315972)</f>
        <v>45924.69078</v>
      </c>
      <c r="G6874" s="42" t="str">
        <f>IFERROR(__xludf.DUMMYFUNCTION("""COMPUTED_VALUE"""),"BN JUAL BELI ")</f>
        <v>BN JUAL BELI </v>
      </c>
      <c r="H6874" s="42">
        <f t="shared" si="1"/>
        <v>2958</v>
      </c>
    </row>
    <row r="6875" ht="22.5" customHeight="1">
      <c r="B6875" s="42" t="str">
        <f>IFERROR(__xludf.DUMMYFUNCTION("""COMPUTED_VALUE"""),"K/56/220825/5")</f>
        <v>K/56/220825/5</v>
      </c>
      <c r="C6875" s="42" t="str">
        <f>IFERROR(__xludf.DUMMYFUNCTION("""COMPUTED_VALUE"""),"B. 1158/Keteguhan")</f>
        <v>B. 1158/Keteguhan</v>
      </c>
      <c r="D6875" s="42"/>
      <c r="E6875" s="42"/>
      <c r="F6875" s="48" t="str">
        <f>IFERROR(__xludf.DUMMYFUNCTION("""COMPUTED_VALUE"""),"")</f>
        <v/>
      </c>
      <c r="G6875" s="42" t="str">
        <f>IFERROR(__xludf.DUMMYFUNCTION("""COMPUTED_VALUE"""),"BN Jual beli")</f>
        <v>BN Jual beli</v>
      </c>
      <c r="H6875" s="42">
        <f t="shared" si="1"/>
        <v>2958</v>
      </c>
    </row>
    <row r="6876" ht="22.5" customHeight="1">
      <c r="B6876" s="42" t="str">
        <f>IFERROR(__xludf.DUMMYFUNCTION("""COMPUTED_VALUE"""),"K/62/220825/1")</f>
        <v>K/62/220825/1</v>
      </c>
      <c r="C6876" s="42" t="str">
        <f>IFERROR(__xludf.DUMMYFUNCTION("""COMPUTED_VALUE"""),"NIBEL M 5548/ GEDONG AIR")</f>
        <v>NIBEL M 5548/ GEDONG AIR</v>
      </c>
      <c r="D6876" s="42" t="str">
        <f>IFERROR(__xludf.DUMMYFUNCTION("""COMPUTED_VALUE"""),"David")</f>
        <v>David</v>
      </c>
      <c r="E6876" s="42" t="str">
        <f>IFERROR(__xludf.DUMMYFUNCTION("""COMPUTED_VALUE"""),"DISERAHKAN")</f>
        <v>DISERAHKAN</v>
      </c>
      <c r="F6876" s="48">
        <f>IFERROR(__xludf.DUMMYFUNCTION("""COMPUTED_VALUE"""),45943.69977658565)</f>
        <v>45943.69978</v>
      </c>
      <c r="G6876" s="42" t="str">
        <f>IFERROR(__xludf.DUMMYFUNCTION("""COMPUTED_VALUE"""),"BN JUAL BELI")</f>
        <v>BN JUAL BELI</v>
      </c>
      <c r="H6876" s="42">
        <f t="shared" si="1"/>
        <v>2959</v>
      </c>
    </row>
    <row r="6877" ht="22.5" customHeight="1">
      <c r="B6877" s="42" t="str">
        <f>IFERROR(__xludf.DUMMYFUNCTION("""COMPUTED_VALUE"""),"K/63/220825/1")</f>
        <v>K/63/220825/1</v>
      </c>
      <c r="C6877" s="42" t="str">
        <f>IFERROR(__xludf.DUMMYFUNCTION("""COMPUTED_VALUE"""),"M. 12429/Kedaton	")</f>
        <v>M. 12429/Kedaton	</v>
      </c>
      <c r="D6877" s="42"/>
      <c r="E6877" s="42"/>
      <c r="F6877" s="48" t="str">
        <f>IFERROR(__xludf.DUMMYFUNCTION("""COMPUTED_VALUE"""),"")</f>
        <v/>
      </c>
      <c r="G6877" s="42" t="str">
        <f>IFERROR(__xludf.DUMMYFUNCTION("""COMPUTED_VALUE"""),"BN Jual beli	")</f>
        <v>BN Jual beli	</v>
      </c>
      <c r="H6877" s="42">
        <f t="shared" si="1"/>
        <v>2959</v>
      </c>
    </row>
    <row r="6878" ht="22.5" customHeight="1">
      <c r="B6878" s="42" t="str">
        <f>IFERROR(__xludf.DUMMYFUNCTION("""COMPUTED_VALUE"""),"K/64/220825/2")</f>
        <v>K/64/220825/2</v>
      </c>
      <c r="C6878" s="42" t="str">
        <f>IFERROR(__xludf.DUMMYFUNCTION("""COMPUTED_VALUE"""),"M. 6476/Way Kandis")</f>
        <v>M. 6476/Way Kandis</v>
      </c>
      <c r="D6878" s="42" t="str">
        <f>IFERROR(__xludf.DUMMYFUNCTION("""COMPUTED_VALUE"""),"Berry")</f>
        <v>Berry</v>
      </c>
      <c r="E6878" s="42" t="str">
        <f>IFERROR(__xludf.DUMMYFUNCTION("""COMPUTED_VALUE"""),"DISERAHKAN")</f>
        <v>DISERAHKAN</v>
      </c>
      <c r="F6878" s="48">
        <f>IFERROR(__xludf.DUMMYFUNCTION("""COMPUTED_VALUE"""),45926.548606400465)</f>
        <v>45926.54861</v>
      </c>
      <c r="G6878" s="42" t="str">
        <f>IFERROR(__xludf.DUMMYFUNCTION("""COMPUTED_VALUE"""),"BN Jual beli	")</f>
        <v>BN Jual beli	</v>
      </c>
      <c r="H6878" s="42">
        <f t="shared" si="1"/>
        <v>2960</v>
      </c>
    </row>
    <row r="6879" ht="22.5" customHeight="1">
      <c r="B6879" s="42" t="str">
        <f>IFERROR(__xludf.DUMMYFUNCTION("""COMPUTED_VALUE"""),"L/60/220825/1")</f>
        <v>L/60/220825/1</v>
      </c>
      <c r="C6879" s="42" t="str">
        <f>IFERROR(__xludf.DUMMYFUNCTION("""COMPUTED_VALUE"""),"M. 333/PERWATA")</f>
        <v>M. 333/PERWATA</v>
      </c>
      <c r="D6879" s="42"/>
      <c r="E6879" s="42"/>
      <c r="F6879" s="48" t="str">
        <f>IFERROR(__xludf.DUMMYFUNCTION("""COMPUTED_VALUE"""),"")</f>
        <v/>
      </c>
      <c r="G6879" s="42" t="str">
        <f>IFERROR(__xludf.DUMMYFUNCTION("""COMPUTED_VALUE"""),"ROYA")</f>
        <v>ROYA</v>
      </c>
      <c r="H6879" s="42">
        <f t="shared" si="1"/>
        <v>2960</v>
      </c>
    </row>
    <row r="6880" ht="22.5" customHeight="1">
      <c r="B6880" s="42" t="str">
        <f>IFERROR(__xludf.DUMMYFUNCTION("""COMPUTED_VALUE"""),"L/65/220825/1")</f>
        <v>L/65/220825/1</v>
      </c>
      <c r="C6880" s="42" t="str">
        <f>IFERROR(__xludf.DUMMYFUNCTION("""COMPUTED_VALUE"""),"B. 2188/SUKARAME I")</f>
        <v>B. 2188/SUKARAME I</v>
      </c>
      <c r="D6880" s="42" t="str">
        <f>IFERROR(__xludf.DUMMYFUNCTION("""COMPUTED_VALUE"""),"David")</f>
        <v>David</v>
      </c>
      <c r="E6880" s="42" t="str">
        <f>IFERROR(__xludf.DUMMYFUNCTION("""COMPUTED_VALUE"""),"DISERAHKAN")</f>
        <v>DISERAHKAN</v>
      </c>
      <c r="F6880" s="48">
        <f>IFERROR(__xludf.DUMMYFUNCTION("""COMPUTED_VALUE"""),45908.628293449074)</f>
        <v>45908.62829</v>
      </c>
      <c r="G6880" s="42" t="str">
        <f>IFERROR(__xludf.DUMMYFUNCTION("""COMPUTED_VALUE"""),"BN WARIS")</f>
        <v>BN WARIS</v>
      </c>
      <c r="H6880" s="42">
        <f t="shared" si="1"/>
        <v>2961</v>
      </c>
    </row>
    <row r="6881" ht="22.5" customHeight="1">
      <c r="B6881" s="42" t="str">
        <f>IFERROR(__xludf.DUMMYFUNCTION("""COMPUTED_VALUE"""),"K/66/220825/1")</f>
        <v>K/66/220825/1</v>
      </c>
      <c r="C6881" s="42" t="str">
        <f>IFERROR(__xludf.DUMMYFUNCTION("""COMPUTED_VALUE"""),"M. 1244/CAMPANG JAYA")</f>
        <v>M. 1244/CAMPANG JAYA</v>
      </c>
      <c r="D6881" s="42" t="str">
        <f>IFERROR(__xludf.DUMMYFUNCTION("""COMPUTED_VALUE"""),"Berry")</f>
        <v>Berry</v>
      </c>
      <c r="E6881" s="42" t="str">
        <f>IFERROR(__xludf.DUMMYFUNCTION("""COMPUTED_VALUE"""),"DISERAHKAN")</f>
        <v>DISERAHKAN</v>
      </c>
      <c r="F6881" s="48">
        <f>IFERROR(__xludf.DUMMYFUNCTION("""COMPUTED_VALUE"""),45938.49493152778)</f>
        <v>45938.49493</v>
      </c>
      <c r="G6881" s="42" t="str">
        <f>IFERROR(__xludf.DUMMYFUNCTION("""COMPUTED_VALUE"""),"BN JUAL BELI")</f>
        <v>BN JUAL BELI</v>
      </c>
      <c r="H6881" s="42">
        <f t="shared" si="1"/>
        <v>2962</v>
      </c>
    </row>
    <row r="6882" ht="22.5" customHeight="1">
      <c r="B6882" s="42" t="str">
        <f>IFERROR(__xludf.DUMMYFUNCTION("""COMPUTED_VALUE"""),"K/18/210825/4")</f>
        <v>K/18/210825/4</v>
      </c>
      <c r="C6882" s="42" t="str">
        <f>IFERROR(__xludf.DUMMYFUNCTION("""COMPUTED_VALUE"""),"NIBEL B 23271/ SUMUR PUTRI")</f>
        <v>NIBEL B 23271/ SUMUR PUTRI</v>
      </c>
      <c r="D6882" s="42" t="str">
        <f>IFERROR(__xludf.DUMMYFUNCTION("""COMPUTED_VALUE"""),"David")</f>
        <v>David</v>
      </c>
      <c r="E6882" s="42" t="str">
        <f>IFERROR(__xludf.DUMMYFUNCTION("""COMPUTED_VALUE"""),"DISERAHKAN")</f>
        <v>DISERAHKAN</v>
      </c>
      <c r="F6882" s="48">
        <f>IFERROR(__xludf.DUMMYFUNCTION("""COMPUTED_VALUE"""),45945.62576848379)</f>
        <v>45945.62577</v>
      </c>
      <c r="G6882" s="42" t="str">
        <f>IFERROR(__xludf.DUMMYFUNCTION("""COMPUTED_VALUE"""),"PENINGKATAN HAK")</f>
        <v>PENINGKATAN HAK</v>
      </c>
      <c r="H6882" s="42">
        <f t="shared" si="1"/>
        <v>2963</v>
      </c>
    </row>
    <row r="6883" ht="22.5" customHeight="1">
      <c r="B6883" s="42" t="str">
        <f>IFERROR(__xludf.DUMMYFUNCTION("""COMPUTED_VALUE"""),"K/17/210825/3")</f>
        <v>K/17/210825/3</v>
      </c>
      <c r="C6883" s="42" t="str">
        <f>IFERROR(__xludf.DUMMYFUNCTION("""COMPUTED_VALUE"""),"NIBEL M 23113/ KALI BALAU KENCANA")</f>
        <v>NIBEL M 23113/ KALI BALAU KENCANA</v>
      </c>
      <c r="D6883" s="42"/>
      <c r="E6883" s="42"/>
      <c r="F6883" s="48" t="str">
        <f>IFERROR(__xludf.DUMMYFUNCTION("""COMPUTED_VALUE"""),"")</f>
        <v/>
      </c>
      <c r="G6883" s="42" t="str">
        <f>IFERROR(__xludf.DUMMYFUNCTION("""COMPUTED_VALUE"""),"BN JUAL BELI")</f>
        <v>BN JUAL BELI</v>
      </c>
      <c r="H6883" s="42">
        <f t="shared" si="1"/>
        <v>2963</v>
      </c>
    </row>
    <row r="6884" ht="22.5" customHeight="1">
      <c r="B6884" s="42" t="str">
        <f>IFERROR(__xludf.DUMMYFUNCTION("""COMPUTED_VALUE"""),"K/16/210825/2")</f>
        <v>K/16/210825/2</v>
      </c>
      <c r="C6884" s="42" t="str">
        <f>IFERROR(__xludf.DUMMYFUNCTION("""COMPUTED_VALUE"""),"NIBEL M 23114/ KALI BALAU KENCANA")</f>
        <v>NIBEL M 23114/ KALI BALAU KENCANA</v>
      </c>
      <c r="D6884" s="42"/>
      <c r="E6884" s="42"/>
      <c r="F6884" s="48" t="str">
        <f>IFERROR(__xludf.DUMMYFUNCTION("""COMPUTED_VALUE"""),"")</f>
        <v/>
      </c>
      <c r="G6884" s="42" t="str">
        <f>IFERROR(__xludf.DUMMYFUNCTION("""COMPUTED_VALUE"""),"BN JUAL BELI")</f>
        <v>BN JUAL BELI</v>
      </c>
      <c r="H6884" s="42">
        <f t="shared" si="1"/>
        <v>2963</v>
      </c>
    </row>
    <row r="6885" ht="22.5" customHeight="1">
      <c r="B6885" s="42" t="str">
        <f>IFERROR(__xludf.DUMMYFUNCTION("""COMPUTED_VALUE"""),"K/15/210825/1")</f>
        <v>K/15/210825/1</v>
      </c>
      <c r="C6885" s="42" t="str">
        <f>IFERROR(__xludf.DUMMYFUNCTION("""COMPUTED_VALUE"""),"NIBEL M 2084/ BAKUNG")</f>
        <v>NIBEL M 2084/ BAKUNG</v>
      </c>
      <c r="D6885" s="42"/>
      <c r="E6885" s="42"/>
      <c r="F6885" s="48" t="str">
        <f>IFERROR(__xludf.DUMMYFUNCTION("""COMPUTED_VALUE"""),"")</f>
        <v/>
      </c>
      <c r="G6885" s="42" t="str">
        <f>IFERROR(__xludf.DUMMYFUNCTION("""COMPUTED_VALUE"""),"BN JUAL BELI")</f>
        <v>BN JUAL BELI</v>
      </c>
      <c r="H6885" s="42">
        <f t="shared" si="1"/>
        <v>2963</v>
      </c>
    </row>
    <row r="6886" ht="22.5" customHeight="1">
      <c r="B6886" s="42" t="str">
        <f>IFERROR(__xludf.DUMMYFUNCTION("""COMPUTED_VALUE"""),"K/33/220825/2")</f>
        <v>K/33/220825/2</v>
      </c>
      <c r="C6886" s="42" t="str">
        <f>IFERROR(__xludf.DUMMYFUNCTION("""COMPUTED_VALUE"""),"M 380/ SAWAH BREBES")</f>
        <v>M 380/ SAWAH BREBES</v>
      </c>
      <c r="D6886" s="42" t="str">
        <f>IFERROR(__xludf.DUMMYFUNCTION("""COMPUTED_VALUE"""),"Berry")</f>
        <v>Berry</v>
      </c>
      <c r="E6886" s="42" t="str">
        <f>IFERROR(__xludf.DUMMYFUNCTION("""COMPUTED_VALUE"""),"DISERAHKAN")</f>
        <v>DISERAHKAN</v>
      </c>
      <c r="F6886" s="48">
        <f>IFERROR(__xludf.DUMMYFUNCTION("""COMPUTED_VALUE"""),45926.5434753588)</f>
        <v>45926.54348</v>
      </c>
      <c r="G6886" s="42" t="str">
        <f>IFERROR(__xludf.DUMMYFUNCTION("""COMPUTED_VALUE"""),"BN WARIS")</f>
        <v>BN WARIS</v>
      </c>
      <c r="H6886" s="42">
        <f t="shared" si="1"/>
        <v>2964</v>
      </c>
    </row>
    <row r="6887" ht="22.5" customHeight="1">
      <c r="B6887" s="42" t="str">
        <f>IFERROR(__xludf.DUMMYFUNCTION("""COMPUTED_VALUE"""),"K/68/220825/1")</f>
        <v>K/68/220825/1</v>
      </c>
      <c r="C6887" s="42" t="str">
        <f>IFERROR(__xludf.DUMMYFUNCTION("""COMPUTED_VALUE"""),"NIBEL M 132/ JAGABAYA III")</f>
        <v>NIBEL M 132/ JAGABAYA III</v>
      </c>
      <c r="D6887" s="42"/>
      <c r="E6887" s="42"/>
      <c r="F6887" s="48" t="str">
        <f>IFERROR(__xludf.DUMMYFUNCTION("""COMPUTED_VALUE"""),"")</f>
        <v/>
      </c>
      <c r="G6887" s="42" t="str">
        <f>IFERROR(__xludf.DUMMYFUNCTION("""COMPUTED_VALUE"""),"BN JUAL BELI")</f>
        <v>BN JUAL BELI</v>
      </c>
      <c r="H6887" s="42">
        <f t="shared" si="1"/>
        <v>2964</v>
      </c>
    </row>
    <row r="6888" ht="22.5" customHeight="1">
      <c r="B6888" s="42" t="str">
        <f>IFERROR(__xludf.DUMMYFUNCTION("""COMPUTED_VALUE"""),"K/1/250825/1")</f>
        <v>K/1/250825/1</v>
      </c>
      <c r="C6888" s="42" t="str">
        <f>IFERROR(__xludf.DUMMYFUNCTION("""COMPUTED_VALUE"""),"SK NO 311/2025 PBT NO 6/2022/ SUKARAME")</f>
        <v>SK NO 311/2025 PBT NO 6/2022/ SUKARAME</v>
      </c>
      <c r="D6888" s="42"/>
      <c r="E6888" s="42"/>
      <c r="F6888" s="48" t="str">
        <f>IFERROR(__xludf.DUMMYFUNCTION("""COMPUTED_VALUE"""),"")</f>
        <v/>
      </c>
      <c r="G6888" s="42" t="str">
        <f>IFERROR(__xludf.DUMMYFUNCTION("""COMPUTED_VALUE"""),"PENDAFTARAN SK")</f>
        <v>PENDAFTARAN SK</v>
      </c>
      <c r="H6888" s="42">
        <f t="shared" si="1"/>
        <v>2964</v>
      </c>
    </row>
    <row r="6889" ht="22.5" customHeight="1">
      <c r="B6889" s="42" t="str">
        <f>IFERROR(__xludf.DUMMYFUNCTION("""COMPUTED_VALUE"""),"K/67/220825/2")</f>
        <v>K/67/220825/2</v>
      </c>
      <c r="C6889" s="42" t="str">
        <f>IFERROR(__xludf.DUMMYFUNCTION("""COMPUTED_VALUE"""),"M. 1302/CAMPANG JAYA")</f>
        <v>M. 1302/CAMPANG JAYA</v>
      </c>
      <c r="D6889" s="42"/>
      <c r="E6889" s="42"/>
      <c r="F6889" s="48" t="str">
        <f>IFERROR(__xludf.DUMMYFUNCTION("""COMPUTED_VALUE"""),"")</f>
        <v/>
      </c>
      <c r="G6889" s="42" t="str">
        <f>IFERROR(__xludf.DUMMYFUNCTION("""COMPUTED_VALUE"""),"BN JUAL BELI EL")</f>
        <v>BN JUAL BELI EL</v>
      </c>
      <c r="H6889" s="42">
        <f t="shared" si="1"/>
        <v>2964</v>
      </c>
    </row>
    <row r="6890" ht="22.5" customHeight="1">
      <c r="B6890" s="42" t="str">
        <f>IFERROR(__xludf.DUMMYFUNCTION("""COMPUTED_VALUE"""),"K/2/250825/1")</f>
        <v>K/2/250825/1</v>
      </c>
      <c r="C6890" s="42" t="str">
        <f>IFERROR(__xludf.DUMMYFUNCTION("""COMPUTED_VALUE"""),"M. 11594/JAGABAYA II")</f>
        <v>M. 11594/JAGABAYA II</v>
      </c>
      <c r="D6890" s="42" t="str">
        <f>IFERROR(__xludf.DUMMYFUNCTION("""COMPUTED_VALUE"""),"Berry")</f>
        <v>Berry</v>
      </c>
      <c r="E6890" s="42" t="str">
        <f>IFERROR(__xludf.DUMMYFUNCTION("""COMPUTED_VALUE"""),"DISERAHKAN")</f>
        <v>DISERAHKAN</v>
      </c>
      <c r="F6890" s="48">
        <f>IFERROR(__xludf.DUMMYFUNCTION("""COMPUTED_VALUE"""),45951.464046678244)</f>
        <v>45951.46405</v>
      </c>
      <c r="G6890" s="42" t="str">
        <f>IFERROR(__xludf.DUMMYFUNCTION("""COMPUTED_VALUE"""),"SKPT LELANG")</f>
        <v>SKPT LELANG</v>
      </c>
      <c r="H6890" s="42">
        <f t="shared" si="1"/>
        <v>2965</v>
      </c>
    </row>
    <row r="6891" ht="22.5" customHeight="1">
      <c r="B6891" s="42" t="str">
        <f>IFERROR(__xludf.DUMMYFUNCTION("""COMPUTED_VALUE"""),"K/3/250825/1")</f>
        <v>K/3/250825/1</v>
      </c>
      <c r="C6891" s="42" t="str">
        <f>IFERROR(__xludf.DUMMYFUNCTION("""COMPUTED_VALUE"""),"M. 1914/Beringin Jaya")</f>
        <v>M. 1914/Beringin Jaya</v>
      </c>
      <c r="D6891" s="42"/>
      <c r="E6891" s="42"/>
      <c r="F6891" s="48" t="str">
        <f>IFERROR(__xludf.DUMMYFUNCTION("""COMPUTED_VALUE"""),"")</f>
        <v/>
      </c>
      <c r="G6891" s="42" t="str">
        <f>IFERROR(__xludf.DUMMYFUNCTION("""COMPUTED_VALUE"""),"BN Jual Beli		")</f>
        <v>BN Jual Beli		</v>
      </c>
      <c r="H6891" s="42">
        <f t="shared" si="1"/>
        <v>2965</v>
      </c>
    </row>
    <row r="6892" ht="22.5" customHeight="1">
      <c r="B6892" s="42" t="str">
        <f>IFERROR(__xludf.DUMMYFUNCTION("""COMPUTED_VALUE"""),"K/5/250825/1")</f>
        <v>K/5/250825/1</v>
      </c>
      <c r="C6892" s="42" t="str">
        <f>IFERROR(__xludf.DUMMYFUNCTION("""COMPUTED_VALUE"""),"M. 615/Susunan Baru	")</f>
        <v>M. 615/Susunan Baru	</v>
      </c>
      <c r="D6892" s="42" t="str">
        <f>IFERROR(__xludf.DUMMYFUNCTION("""COMPUTED_VALUE"""),"Berry")</f>
        <v>Berry</v>
      </c>
      <c r="E6892" s="42" t="str">
        <f>IFERROR(__xludf.DUMMYFUNCTION("""COMPUTED_VALUE"""),"DISERAHKAN")</f>
        <v>DISERAHKAN</v>
      </c>
      <c r="F6892" s="48">
        <f>IFERROR(__xludf.DUMMYFUNCTION("""COMPUTED_VALUE"""),45988.641297106486)</f>
        <v>45988.6413</v>
      </c>
      <c r="G6892" s="42" t="str">
        <f>IFERROR(__xludf.DUMMYFUNCTION("""COMPUTED_VALUE"""),"BN Jual Beli	")</f>
        <v>BN Jual Beli	</v>
      </c>
      <c r="H6892" s="42">
        <f t="shared" si="1"/>
        <v>2966</v>
      </c>
    </row>
    <row r="6893" ht="22.5" customHeight="1">
      <c r="B6893" s="42" t="str">
        <f>IFERROR(__xludf.DUMMYFUNCTION("""COMPUTED_VALUE"""),"K/8/250825/1")</f>
        <v>K/8/250825/1</v>
      </c>
      <c r="C6893" s="42" t="str">
        <f>IFERROR(__xludf.DUMMYFUNCTION("""COMPUTED_VALUE"""),"M. 130/ KALIAWI")</f>
        <v>M. 130/ KALIAWI</v>
      </c>
      <c r="D6893" s="42" t="str">
        <f>IFERROR(__xludf.DUMMYFUNCTION("""COMPUTED_VALUE"""),"Berry")</f>
        <v>Berry</v>
      </c>
      <c r="E6893" s="42" t="str">
        <f>IFERROR(__xludf.DUMMYFUNCTION("""COMPUTED_VALUE"""),"DISERAHKAN")</f>
        <v>DISERAHKAN</v>
      </c>
      <c r="F6893" s="48">
        <f>IFERROR(__xludf.DUMMYFUNCTION("""COMPUTED_VALUE"""),45910.594193067125)</f>
        <v>45910.59419</v>
      </c>
      <c r="G6893" s="42" t="str">
        <f>IFERROR(__xludf.DUMMYFUNCTION("""COMPUTED_VALUE"""),"BN JUAL BELI EL")</f>
        <v>BN JUAL BELI EL</v>
      </c>
      <c r="H6893" s="42">
        <f t="shared" si="1"/>
        <v>2967</v>
      </c>
    </row>
    <row r="6894" ht="22.5" customHeight="1">
      <c r="B6894" s="42" t="str">
        <f>IFERROR(__xludf.DUMMYFUNCTION("""COMPUTED_VALUE"""),"K/9/250825/2")</f>
        <v>K/9/250825/2</v>
      </c>
      <c r="C6894" s="42" t="str">
        <f>IFERROR(__xludf.DUMMYFUNCTION("""COMPUTED_VALUE"""),"B. 749/SUMUR PUTRI")</f>
        <v>B. 749/SUMUR PUTRI</v>
      </c>
      <c r="D6894" s="42" t="str">
        <f>IFERROR(__xludf.DUMMYFUNCTION("""COMPUTED_VALUE"""),"Berry")</f>
        <v>Berry</v>
      </c>
      <c r="E6894" s="42" t="str">
        <f>IFERROR(__xludf.DUMMYFUNCTION("""COMPUTED_VALUE"""),"DISERAHKAN")</f>
        <v>DISERAHKAN</v>
      </c>
      <c r="F6894" s="48">
        <f>IFERROR(__xludf.DUMMYFUNCTION("""COMPUTED_VALUE"""),45938.494407962964)</f>
        <v>45938.49441</v>
      </c>
      <c r="G6894" s="42" t="str">
        <f>IFERROR(__xludf.DUMMYFUNCTION("""COMPUTED_VALUE"""),"BN JUAL BELI")</f>
        <v>BN JUAL BELI</v>
      </c>
      <c r="H6894" s="42">
        <f t="shared" si="1"/>
        <v>2968</v>
      </c>
    </row>
    <row r="6895" ht="22.5" customHeight="1">
      <c r="B6895" s="42" t="str">
        <f>IFERROR(__xludf.DUMMYFUNCTION("""COMPUTED_VALUE"""),"K/10/250825/3")</f>
        <v>K/10/250825/3</v>
      </c>
      <c r="C6895" s="42" t="str">
        <f>IFERROR(__xludf.DUMMYFUNCTION("""COMPUTED_VALUE"""),"M. 2104/SUKARAME BARU")</f>
        <v>M. 2104/SUKARAME BARU</v>
      </c>
      <c r="D6895" s="42" t="str">
        <f>IFERROR(__xludf.DUMMYFUNCTION("""COMPUTED_VALUE"""),"Berry")</f>
        <v>Berry</v>
      </c>
      <c r="E6895" s="42" t="str">
        <f>IFERROR(__xludf.DUMMYFUNCTION("""COMPUTED_VALUE"""),"DISERAHKAN")</f>
        <v>DISERAHKAN</v>
      </c>
      <c r="F6895" s="48">
        <f>IFERROR(__xludf.DUMMYFUNCTION("""COMPUTED_VALUE"""),45910.59395248843)</f>
        <v>45910.59395</v>
      </c>
      <c r="G6895" s="42" t="str">
        <f>IFERROR(__xludf.DUMMYFUNCTION("""COMPUTED_VALUE"""),"BN JUAL BELI EL ")</f>
        <v>BN JUAL BELI EL </v>
      </c>
      <c r="H6895" s="42">
        <f t="shared" si="1"/>
        <v>2969</v>
      </c>
    </row>
    <row r="6896" ht="22.5" customHeight="1">
      <c r="B6896" s="42" t="str">
        <f>IFERROR(__xludf.DUMMYFUNCTION("""COMPUTED_VALUE"""),"K/6/250825/2")</f>
        <v>K/6/250825/2</v>
      </c>
      <c r="C6896" s="42" t="str">
        <f>IFERROR(__xludf.DUMMYFUNCTION("""COMPUTED_VALUE"""),"M. 2085/Gunung Terang")</f>
        <v>M. 2085/Gunung Terang</v>
      </c>
      <c r="D6896" s="42"/>
      <c r="E6896" s="42"/>
      <c r="F6896" s="48" t="str">
        <f>IFERROR(__xludf.DUMMYFUNCTION("""COMPUTED_VALUE"""),"")</f>
        <v/>
      </c>
      <c r="G6896" s="42" t="str">
        <f>IFERROR(__xludf.DUMMYFUNCTION("""COMPUTED_VALUE"""),"BN Jual Beli	")</f>
        <v>BN Jual Beli	</v>
      </c>
      <c r="H6896" s="42">
        <f t="shared" si="1"/>
        <v>2969</v>
      </c>
    </row>
    <row r="6897" ht="22.5" customHeight="1">
      <c r="B6897" s="42" t="str">
        <f>IFERROR(__xludf.DUMMYFUNCTION("""COMPUTED_VALUE"""),"K/4/250825/1")</f>
        <v>K/4/250825/1</v>
      </c>
      <c r="C6897" s="42" t="str">
        <f>IFERROR(__xludf.DUMMYFUNCTION("""COMPUTED_VALUE"""),"M 334/ BUMI KEDAMAIAN")</f>
        <v>M 334/ BUMI KEDAMAIAN</v>
      </c>
      <c r="D6897" s="42" t="str">
        <f>IFERROR(__xludf.DUMMYFUNCTION("""COMPUTED_VALUE"""),"Berry")</f>
        <v>Berry</v>
      </c>
      <c r="E6897" s="42" t="str">
        <f>IFERROR(__xludf.DUMMYFUNCTION("""COMPUTED_VALUE"""),"DISERAHKAN")</f>
        <v>DISERAHKAN</v>
      </c>
      <c r="F6897" s="48">
        <f>IFERROR(__xludf.DUMMYFUNCTION("""COMPUTED_VALUE"""),45915.58869737269)</f>
        <v>45915.5887</v>
      </c>
      <c r="G6897" s="42" t="str">
        <f>IFERROR(__xludf.DUMMYFUNCTION("""COMPUTED_VALUE"""),"BN JUAL BELI")</f>
        <v>BN JUAL BELI</v>
      </c>
      <c r="H6897" s="42">
        <f t="shared" si="1"/>
        <v>2970</v>
      </c>
    </row>
    <row r="6898" ht="22.5" customHeight="1">
      <c r="B6898" s="42" t="str">
        <f>IFERROR(__xludf.DUMMYFUNCTION("""COMPUTED_VALUE"""),"K/11/250825/1")</f>
        <v>K/11/250825/1</v>
      </c>
      <c r="C6898" s="42" t="str">
        <f>IFERROR(__xludf.DUMMYFUNCTION("""COMPUTED_VALUE"""),"M. 4500/Sukadana Ham	")</f>
        <v>M. 4500/Sukadana Ham	</v>
      </c>
      <c r="D6898" s="42" t="str">
        <f>IFERROR(__xludf.DUMMYFUNCTION("""COMPUTED_VALUE"""),"Berry")</f>
        <v>Berry</v>
      </c>
      <c r="E6898" s="42" t="str">
        <f>IFERROR(__xludf.DUMMYFUNCTION("""COMPUTED_VALUE"""),"DISERAHKAN")</f>
        <v>DISERAHKAN</v>
      </c>
      <c r="F6898" s="48">
        <f>IFERROR(__xludf.DUMMYFUNCTION("""COMPUTED_VALUE"""),45938.49468552083)</f>
        <v>45938.49469</v>
      </c>
      <c r="G6898" s="42" t="str">
        <f>IFERROR(__xludf.DUMMYFUNCTION("""COMPUTED_VALUE"""),"BN Jual Beli	")</f>
        <v>BN Jual Beli	</v>
      </c>
      <c r="H6898" s="42">
        <f t="shared" si="1"/>
        <v>2971</v>
      </c>
    </row>
    <row r="6899" ht="22.5" customHeight="1">
      <c r="B6899" s="42" t="str">
        <f>IFERROR(__xludf.DUMMYFUNCTION("""COMPUTED_VALUE"""),"K/14/250825/1")</f>
        <v>K/14/250825/1</v>
      </c>
      <c r="C6899" s="42" t="str">
        <f>IFERROR(__xludf.DUMMYFUNCTION("""COMPUTED_VALUE"""),"M. 221/GULAK GALIK")</f>
        <v>M. 221/GULAK GALIK</v>
      </c>
      <c r="D6899" s="42" t="str">
        <f>IFERROR(__xludf.DUMMYFUNCTION("""COMPUTED_VALUE"""),"Berry")</f>
        <v>Berry</v>
      </c>
      <c r="E6899" s="42" t="str">
        <f>IFERROR(__xludf.DUMMYFUNCTION("""COMPUTED_VALUE"""),"DISERAHKAN")</f>
        <v>DISERAHKAN</v>
      </c>
      <c r="F6899" s="48">
        <f>IFERROR(__xludf.DUMMYFUNCTION("""COMPUTED_VALUE"""),45926.546957060185)</f>
        <v>45926.54696</v>
      </c>
      <c r="G6899" s="42" t="str">
        <f>IFERROR(__xludf.DUMMYFUNCTION("""COMPUTED_VALUE"""),"BN WARIS")</f>
        <v>BN WARIS</v>
      </c>
      <c r="H6899" s="42">
        <f t="shared" si="1"/>
        <v>2972</v>
      </c>
    </row>
    <row r="6900" ht="22.5" customHeight="1">
      <c r="B6900" s="42" t="str">
        <f>IFERROR(__xludf.DUMMYFUNCTION("""COMPUTED_VALUE"""),"K/13/250825/2")</f>
        <v>K/13/250825/2</v>
      </c>
      <c r="C6900" s="42" t="str">
        <f>IFERROR(__xludf.DUMMYFUNCTION("""COMPUTED_VALUE"""),"Nibel 18180/Sidodadi	")</f>
        <v>Nibel 18180/Sidodadi	</v>
      </c>
      <c r="D6900" s="42" t="str">
        <f>IFERROR(__xludf.DUMMYFUNCTION("""COMPUTED_VALUE"""),"Berry")</f>
        <v>Berry</v>
      </c>
      <c r="E6900" s="42" t="str">
        <f>IFERROR(__xludf.DUMMYFUNCTION("""COMPUTED_VALUE"""),"DISERAHKAN")</f>
        <v>DISERAHKAN</v>
      </c>
      <c r="F6900" s="48">
        <f>IFERROR(__xludf.DUMMYFUNCTION("""COMPUTED_VALUE"""),45908.63505385417)</f>
        <v>45908.63505</v>
      </c>
      <c r="G6900" s="42" t="str">
        <f>IFERROR(__xludf.DUMMYFUNCTION("""COMPUTED_VALUE"""),"BN PHB	")</f>
        <v>BN PHB	</v>
      </c>
      <c r="H6900" s="42">
        <f t="shared" si="1"/>
        <v>2973</v>
      </c>
    </row>
    <row r="6901" ht="22.5" customHeight="1">
      <c r="B6901" s="42" t="str">
        <f>IFERROR(__xludf.DUMMYFUNCTION("""COMPUTED_VALUE"""),"K/16/250825/1")</f>
        <v>K/16/250825/1</v>
      </c>
      <c r="C6901" s="42" t="str">
        <f>IFERROR(__xludf.DUMMYFUNCTION("""COMPUTED_VALUE"""),"M 3373/ BERINGIN RAYA")</f>
        <v>M 3373/ BERINGIN RAYA</v>
      </c>
      <c r="D6901" s="42"/>
      <c r="E6901" s="42"/>
      <c r="F6901" s="48" t="str">
        <f>IFERROR(__xludf.DUMMYFUNCTION("""COMPUTED_VALUE"""),"")</f>
        <v/>
      </c>
      <c r="G6901" s="42" t="str">
        <f>IFERROR(__xludf.DUMMYFUNCTION("""COMPUTED_VALUE"""),"BN JUAL BELI")</f>
        <v>BN JUAL BELI</v>
      </c>
      <c r="H6901" s="42">
        <f t="shared" si="1"/>
        <v>2973</v>
      </c>
    </row>
    <row r="6902" ht="22.5" customHeight="1">
      <c r="B6902" s="42" t="str">
        <f>IFERROR(__xludf.DUMMYFUNCTION("""COMPUTED_VALUE"""),"K/17/250825/1")</f>
        <v>K/17/250825/1</v>
      </c>
      <c r="C6902" s="42" t="str">
        <f>IFERROR(__xludf.DUMMYFUNCTION("""COMPUTED_VALUE"""),"M 104/ PASIR GINTUNG")</f>
        <v>M 104/ PASIR GINTUNG</v>
      </c>
      <c r="D6902" s="42" t="str">
        <f>IFERROR(__xludf.DUMMYFUNCTION("""COMPUTED_VALUE"""),"Berry")</f>
        <v>Berry</v>
      </c>
      <c r="E6902" s="42" t="str">
        <f>IFERROR(__xludf.DUMMYFUNCTION("""COMPUTED_VALUE"""),"DISERAHKAN")</f>
        <v>DISERAHKAN</v>
      </c>
      <c r="F6902" s="48">
        <f>IFERROR(__xludf.DUMMYFUNCTION("""COMPUTED_VALUE"""),45910.59241423611)</f>
        <v>45910.59241</v>
      </c>
      <c r="G6902" s="42" t="str">
        <f>IFERROR(__xludf.DUMMYFUNCTION("""COMPUTED_VALUE"""),"BN JUAL BELI")</f>
        <v>BN JUAL BELI</v>
      </c>
      <c r="H6902" s="42">
        <f t="shared" si="1"/>
        <v>2974</v>
      </c>
    </row>
    <row r="6903" ht="22.5" customHeight="1">
      <c r="B6903" s="42" t="str">
        <f>IFERROR(__xludf.DUMMYFUNCTION("""COMPUTED_VALUE"""),"K/15/250825/3")</f>
        <v>K/15/250825/3</v>
      </c>
      <c r="C6903" s="42" t="str">
        <f>IFERROR(__xludf.DUMMYFUNCTION("""COMPUTED_VALUE"""),"Nibel 19589/Sidodadi")</f>
        <v>Nibel 19589/Sidodadi</v>
      </c>
      <c r="D6903" s="42"/>
      <c r="E6903" s="42"/>
      <c r="F6903" s="48" t="str">
        <f>IFERROR(__xludf.DUMMYFUNCTION("""COMPUTED_VALUE"""),"")</f>
        <v/>
      </c>
      <c r="G6903" s="42" t="str">
        <f>IFERROR(__xludf.DUMMYFUNCTION("""COMPUTED_VALUE"""),"BN PHB		")</f>
        <v>BN PHB		</v>
      </c>
      <c r="H6903" s="42">
        <f t="shared" si="1"/>
        <v>2974</v>
      </c>
    </row>
    <row r="6904" ht="22.5" customHeight="1">
      <c r="B6904" s="42" t="str">
        <f>IFERROR(__xludf.DUMMYFUNCTION("""COMPUTED_VALUE"""),"L/12/250825/1")</f>
        <v>L/12/250825/1</v>
      </c>
      <c r="C6904" s="42" t="str">
        <f>IFERROR(__xludf.DUMMYFUNCTION("""COMPUTED_VALUE"""),"M. 4213/LANGKAPURA")</f>
        <v>M. 4213/LANGKAPURA</v>
      </c>
      <c r="D6904" s="42"/>
      <c r="E6904" s="42"/>
      <c r="F6904" s="48" t="str">
        <f>IFERROR(__xludf.DUMMYFUNCTION("""COMPUTED_VALUE"""),"")</f>
        <v/>
      </c>
      <c r="G6904" s="42" t="str">
        <f>IFERROR(__xludf.DUMMYFUNCTION("""COMPUTED_VALUE"""),"ROYA")</f>
        <v>ROYA</v>
      </c>
      <c r="H6904" s="42">
        <f t="shared" si="1"/>
        <v>2974</v>
      </c>
    </row>
    <row r="6905" ht="22.5" customHeight="1">
      <c r="B6905" s="42" t="str">
        <f>IFERROR(__xludf.DUMMYFUNCTION("""COMPUTED_VALUE"""),"K/19/250825/1")</f>
        <v>K/19/250825/1</v>
      </c>
      <c r="C6905" s="42" t="str">
        <f>IFERROR(__xludf.DUMMYFUNCTION("""COMPUTED_VALUE"""),"B 89/ KAMPUNG BARU RAYA")</f>
        <v>B 89/ KAMPUNG BARU RAYA</v>
      </c>
      <c r="D6905" s="42" t="str">
        <f>IFERROR(__xludf.DUMMYFUNCTION("""COMPUTED_VALUE"""),"David")</f>
        <v>David</v>
      </c>
      <c r="E6905" s="42" t="str">
        <f>IFERROR(__xludf.DUMMYFUNCTION("""COMPUTED_VALUE"""),"DISERAHKAN")</f>
        <v>DISERAHKAN</v>
      </c>
      <c r="F6905" s="48">
        <f>IFERROR(__xludf.DUMMYFUNCTION("""COMPUTED_VALUE"""),45922.620283321754)</f>
        <v>45922.62028</v>
      </c>
      <c r="G6905" s="42" t="str">
        <f>IFERROR(__xludf.DUMMYFUNCTION("""COMPUTED_VALUE"""),"BN JUAL BELI")</f>
        <v>BN JUAL BELI</v>
      </c>
      <c r="H6905" s="42">
        <f t="shared" si="1"/>
        <v>2975</v>
      </c>
    </row>
    <row r="6906" ht="22.5" customHeight="1">
      <c r="B6906" s="42" t="str">
        <f>IFERROR(__xludf.DUMMYFUNCTION("""COMPUTED_VALUE"""),"L/18/250825/1")</f>
        <v>L/18/250825/1</v>
      </c>
      <c r="C6906" s="42" t="str">
        <f>IFERROR(__xludf.DUMMYFUNCTION("""COMPUTED_VALUE"""),"M. 13588/RAJABASA")</f>
        <v>M. 13588/RAJABASA</v>
      </c>
      <c r="D6906" s="42"/>
      <c r="E6906" s="42"/>
      <c r="F6906" s="48" t="str">
        <f>IFERROR(__xludf.DUMMYFUNCTION("""COMPUTED_VALUE"""),"")</f>
        <v/>
      </c>
      <c r="G6906" s="42" t="str">
        <f>IFERROR(__xludf.DUMMYFUNCTION("""COMPUTED_VALUE"""),"ROYA")</f>
        <v>ROYA</v>
      </c>
      <c r="H6906" s="42">
        <f t="shared" si="1"/>
        <v>2975</v>
      </c>
    </row>
    <row r="6907" ht="22.5" customHeight="1">
      <c r="B6907" s="42" t="str">
        <f>IFERROR(__xludf.DUMMYFUNCTION("""COMPUTED_VALUE"""),"K/22/250825/1")</f>
        <v>K/22/250825/1</v>
      </c>
      <c r="C6907" s="42" t="str">
        <f>IFERROR(__xludf.DUMMYFUNCTION("""COMPUTED_VALUE"""),"NIBEL B 24001/ SUKARAME")</f>
        <v>NIBEL B 24001/ SUKARAME</v>
      </c>
      <c r="D6907" s="42" t="str">
        <f>IFERROR(__xludf.DUMMYFUNCTION("""COMPUTED_VALUE"""),"David")</f>
        <v>David</v>
      </c>
      <c r="E6907" s="42" t="str">
        <f>IFERROR(__xludf.DUMMYFUNCTION("""COMPUTED_VALUE"""),"DISERAHKAN")</f>
        <v>DISERAHKAN</v>
      </c>
      <c r="F6907" s="48">
        <f>IFERROR(__xludf.DUMMYFUNCTION("""COMPUTED_VALUE"""),45943.69764875)</f>
        <v>45943.69765</v>
      </c>
      <c r="G6907" s="42" t="str">
        <f>IFERROR(__xludf.DUMMYFUNCTION("""COMPUTED_VALUE"""),"PENINGKATAN HAK")</f>
        <v>PENINGKATAN HAK</v>
      </c>
      <c r="H6907" s="42">
        <f t="shared" si="1"/>
        <v>2976</v>
      </c>
    </row>
    <row r="6908" ht="22.5" customHeight="1">
      <c r="B6908" s="42" t="str">
        <f>IFERROR(__xludf.DUMMYFUNCTION("""COMPUTED_VALUE"""),"K/23/250825/1")</f>
        <v>K/23/250825/1</v>
      </c>
      <c r="C6908" s="42" t="str">
        <f>IFERROR(__xludf.DUMMYFUNCTION("""COMPUTED_VALUE"""),"Nibel 20606/Rajabasa Pemuka")</f>
        <v>Nibel 20606/Rajabasa Pemuka</v>
      </c>
      <c r="D6908" s="42"/>
      <c r="E6908" s="42"/>
      <c r="F6908" s="48" t="str">
        <f>IFERROR(__xludf.DUMMYFUNCTION("""COMPUTED_VALUE"""),"")</f>
        <v/>
      </c>
      <c r="G6908" s="42" t="str">
        <f>IFERROR(__xludf.DUMMYFUNCTION("""COMPUTED_VALUE"""),"Pemecahan		")</f>
        <v>Pemecahan		</v>
      </c>
      <c r="H6908" s="42">
        <f t="shared" si="1"/>
        <v>2976</v>
      </c>
    </row>
    <row r="6909" ht="22.5" customHeight="1">
      <c r="B6909" s="42" t="str">
        <f>IFERROR(__xludf.DUMMYFUNCTION("""COMPUTED_VALUE"""),"K/24/250825/1")</f>
        <v>K/24/250825/1</v>
      </c>
      <c r="C6909" s="42" t="str">
        <f>IFERROR(__xludf.DUMMYFUNCTION("""COMPUTED_VALUE"""),"NIBEL M. 17854/PEMATANG WANGI")</f>
        <v>NIBEL M. 17854/PEMATANG WANGI</v>
      </c>
      <c r="D6909" s="42"/>
      <c r="E6909" s="42"/>
      <c r="F6909" s="48" t="str">
        <f>IFERROR(__xludf.DUMMYFUNCTION("""COMPUTED_VALUE"""),"")</f>
        <v/>
      </c>
      <c r="G6909" s="42" t="str">
        <f>IFERROR(__xludf.DUMMYFUNCTION("""COMPUTED_VALUE"""),"BN JUAL BELI")</f>
        <v>BN JUAL BELI</v>
      </c>
      <c r="H6909" s="42">
        <f t="shared" si="1"/>
        <v>2976</v>
      </c>
    </row>
    <row r="6910" ht="22.5" customHeight="1">
      <c r="B6910" s="42" t="str">
        <f>IFERROR(__xludf.DUMMYFUNCTION("""COMPUTED_VALUE"""),"K/25/250825/2")</f>
        <v>K/25/250825/2</v>
      </c>
      <c r="C6910" s="42" t="str">
        <f>IFERROR(__xludf.DUMMYFUNCTION("""COMPUTED_VALUE"""),"NIBEL M. 17843/PEMATANG WANGI")</f>
        <v>NIBEL M. 17843/PEMATANG WANGI</v>
      </c>
      <c r="D6910" s="42"/>
      <c r="E6910" s="42"/>
      <c r="F6910" s="48" t="str">
        <f>IFERROR(__xludf.DUMMYFUNCTION("""COMPUTED_VALUE"""),"")</f>
        <v/>
      </c>
      <c r="G6910" s="42" t="str">
        <f>IFERROR(__xludf.DUMMYFUNCTION("""COMPUTED_VALUE"""),"BN JUAL BELI EL")</f>
        <v>BN JUAL BELI EL</v>
      </c>
      <c r="H6910" s="42">
        <f t="shared" si="1"/>
        <v>2976</v>
      </c>
    </row>
    <row r="6911" ht="22.5" customHeight="1">
      <c r="B6911" s="42" t="str">
        <f>IFERROR(__xludf.DUMMYFUNCTION("""COMPUTED_VALUE"""),"L/27/250825/1")</f>
        <v>L/27/250825/1</v>
      </c>
      <c r="C6911" s="42" t="str">
        <f>IFERROR(__xludf.DUMMYFUNCTION("""COMPUTED_VALUE"""),"B. 92/KEDAMAIAN")</f>
        <v>B. 92/KEDAMAIAN</v>
      </c>
      <c r="D6911" s="42"/>
      <c r="E6911" s="42"/>
      <c r="F6911" s="48" t="str">
        <f>IFERROR(__xludf.DUMMYFUNCTION("""COMPUTED_VALUE"""),"")</f>
        <v/>
      </c>
      <c r="G6911" s="42" t="str">
        <f>IFERROR(__xludf.DUMMYFUNCTION("""COMPUTED_VALUE"""),"PENGUKURAN HGB MATI")</f>
        <v>PENGUKURAN HGB MATI</v>
      </c>
      <c r="H6911" s="42">
        <f t="shared" si="1"/>
        <v>2976</v>
      </c>
    </row>
    <row r="6912" ht="22.5" customHeight="1">
      <c r="B6912" s="42"/>
      <c r="C6912" s="42" t="str">
        <f>IFERROR(__xludf.DUMMYFUNCTION("""COMPUTED_VALUE"""),"M 9954/ RAJABASA")</f>
        <v>M 9954/ RAJABASA</v>
      </c>
      <c r="D6912" s="42"/>
      <c r="E6912" s="42"/>
      <c r="F6912" s="48" t="str">
        <f>IFERROR(__xludf.DUMMYFUNCTION("""COMPUTED_VALUE"""),"")</f>
        <v/>
      </c>
      <c r="G6912" s="42" t="str">
        <f>IFERROR(__xludf.DUMMYFUNCTION("""COMPUTED_VALUE"""),"ROYA")</f>
        <v>ROYA</v>
      </c>
      <c r="H6912" s="42">
        <f t="shared" si="1"/>
        <v>2976</v>
      </c>
    </row>
    <row r="6913" ht="22.5" customHeight="1">
      <c r="B6913" s="42" t="str">
        <f>IFERROR(__xludf.DUMMYFUNCTION("""COMPUTED_VALUE"""),"K/26/250825/3")</f>
        <v>K/26/250825/3</v>
      </c>
      <c r="C6913" s="42" t="str">
        <f>IFERROR(__xludf.DUMMYFUNCTION("""COMPUTED_VALUE"""),"NIBEL M. 17853/PEMATANG WANGI")</f>
        <v>NIBEL M. 17853/PEMATANG WANGI</v>
      </c>
      <c r="D6913" s="42"/>
      <c r="E6913" s="42"/>
      <c r="F6913" s="48" t="str">
        <f>IFERROR(__xludf.DUMMYFUNCTION("""COMPUTED_VALUE"""),"")</f>
        <v/>
      </c>
      <c r="G6913" s="42" t="str">
        <f>IFERROR(__xludf.DUMMYFUNCTION("""COMPUTED_VALUE"""),"BN JUAL BELI")</f>
        <v>BN JUAL BELI</v>
      </c>
      <c r="H6913" s="42">
        <f t="shared" si="1"/>
        <v>2976</v>
      </c>
    </row>
    <row r="6914" ht="22.5" customHeight="1">
      <c r="B6914" s="42" t="str">
        <f>IFERROR(__xludf.DUMMYFUNCTION("""COMPUTED_VALUE"""),"K/29/250825/1")</f>
        <v>K/29/250825/1</v>
      </c>
      <c r="C6914" s="42" t="str">
        <f>IFERROR(__xludf.DUMMYFUNCTION("""COMPUTED_VALUE"""),"M 1357/ SUMUR PUTRI")</f>
        <v>M 1357/ SUMUR PUTRI</v>
      </c>
      <c r="D6914" s="42"/>
      <c r="E6914" s="42"/>
      <c r="F6914" s="48" t="str">
        <f>IFERROR(__xludf.DUMMYFUNCTION("""COMPUTED_VALUE"""),"")</f>
        <v/>
      </c>
      <c r="G6914" s="42" t="str">
        <f>IFERROR(__xludf.DUMMYFUNCTION("""COMPUTED_VALUE"""),"ROYA LELANG")</f>
        <v>ROYA LELANG</v>
      </c>
      <c r="H6914" s="42">
        <f t="shared" si="1"/>
        <v>2976</v>
      </c>
    </row>
    <row r="6915" ht="22.5" customHeight="1">
      <c r="B6915" s="42" t="str">
        <f>IFERROR(__xludf.DUMMYFUNCTION("""COMPUTED_VALUE"""),"K/30/060825/1")</f>
        <v>K/30/060825/1</v>
      </c>
      <c r="C6915" s="42" t="str">
        <f>IFERROR(__xludf.DUMMYFUNCTION("""COMPUTED_VALUE"""),"Nibel 18375/ Kota Baru	")</f>
        <v>Nibel 18375/ Kota Baru	</v>
      </c>
      <c r="D6915" s="42" t="str">
        <f>IFERROR(__xludf.DUMMYFUNCTION("""COMPUTED_VALUE"""),"David")</f>
        <v>David</v>
      </c>
      <c r="E6915" s="42" t="str">
        <f>IFERROR(__xludf.DUMMYFUNCTION("""COMPUTED_VALUE"""),"DISERAHKAN")</f>
        <v>DISERAHKAN</v>
      </c>
      <c r="F6915" s="48">
        <f>IFERROR(__xludf.DUMMYFUNCTION("""COMPUTED_VALUE"""),45957.6162003125)</f>
        <v>45957.6162</v>
      </c>
      <c r="G6915" s="42" t="str">
        <f>IFERROR(__xludf.DUMMYFUNCTION("""COMPUTED_VALUE"""),"BN Jual Beli	")</f>
        <v>BN Jual Beli	</v>
      </c>
      <c r="H6915" s="42">
        <f t="shared" si="1"/>
        <v>2977</v>
      </c>
    </row>
    <row r="6916" ht="22.5" customHeight="1">
      <c r="B6916" s="42" t="str">
        <f>IFERROR(__xludf.DUMMYFUNCTION("""COMPUTED_VALUE"""),"K/31/250825/1")</f>
        <v>K/31/250825/1</v>
      </c>
      <c r="C6916" s="42" t="str">
        <f>IFERROR(__xludf.DUMMYFUNCTION("""COMPUTED_VALUE"""),"M 1226/ KALIAWI")</f>
        <v>M 1226/ KALIAWI</v>
      </c>
      <c r="D6916" s="42"/>
      <c r="E6916" s="42"/>
      <c r="F6916" s="48" t="str">
        <f>IFERROR(__xludf.DUMMYFUNCTION("""COMPUTED_VALUE"""),"")</f>
        <v/>
      </c>
      <c r="G6916" s="42" t="str">
        <f>IFERROR(__xludf.DUMMYFUNCTION("""COMPUTED_VALUE"""),"BN HIBAH")</f>
        <v>BN HIBAH</v>
      </c>
      <c r="H6916" s="42">
        <f t="shared" si="1"/>
        <v>2977</v>
      </c>
    </row>
    <row r="6917" ht="22.5" customHeight="1">
      <c r="B6917" s="42" t="str">
        <f>IFERROR(__xludf.DUMMYFUNCTION("""COMPUTED_VALUE"""),"L/32/250825/1")</f>
        <v>L/32/250825/1</v>
      </c>
      <c r="C6917" s="42" t="str">
        <f>IFERROR(__xludf.DUMMYFUNCTION("""COMPUTED_VALUE"""),"M NIB. 21742/TALANG")</f>
        <v>M NIB. 21742/TALANG</v>
      </c>
      <c r="D6917" s="42"/>
      <c r="E6917" s="42"/>
      <c r="F6917" s="48" t="str">
        <f>IFERROR(__xludf.DUMMYFUNCTION("""COMPUTED_VALUE"""),"")</f>
        <v/>
      </c>
      <c r="G6917" s="42" t="str">
        <f>IFERROR(__xludf.DUMMYFUNCTION("""COMPUTED_VALUE"""),"PEMECAHAN")</f>
        <v>PEMECAHAN</v>
      </c>
      <c r="H6917" s="42">
        <f t="shared" si="1"/>
        <v>2977</v>
      </c>
    </row>
    <row r="6918" ht="22.5" customHeight="1">
      <c r="B6918" s="42" t="str">
        <f>IFERROR(__xludf.DUMMYFUNCTION("""COMPUTED_VALUE"""),"K/30/250825/1")</f>
        <v>K/30/250825/1</v>
      </c>
      <c r="C6918" s="42" t="str">
        <f>IFERROR(__xludf.DUMMYFUNCTION("""COMPUTED_VALUE"""),"NIBEL M. 23077/KOTA KARANG RAYA")</f>
        <v>NIBEL M. 23077/KOTA KARANG RAYA</v>
      </c>
      <c r="D6918" s="42"/>
      <c r="E6918" s="42"/>
      <c r="F6918" s="48" t="str">
        <f>IFERROR(__xludf.DUMMYFUNCTION("""COMPUTED_VALUE"""),"")</f>
        <v/>
      </c>
      <c r="G6918" s="42" t="str">
        <f>IFERROR(__xludf.DUMMYFUNCTION("""COMPUTED_VALUE"""),"BN JUAL BELI EL")</f>
        <v>BN JUAL BELI EL</v>
      </c>
      <c r="H6918" s="42">
        <f t="shared" si="1"/>
        <v>2977</v>
      </c>
    </row>
    <row r="6919" ht="22.5" customHeight="1">
      <c r="B6919" s="42" t="str">
        <f>IFERROR(__xludf.DUMMYFUNCTION("""COMPUTED_VALUE"""),"K/34/250825/1")</f>
        <v>K/34/250825/1</v>
      </c>
      <c r="C6919" s="42" t="str">
        <f>IFERROR(__xludf.DUMMYFUNCTION("""COMPUTED_VALUE"""),"NIBEL M 21901/ SEGALA MIDER")</f>
        <v>NIBEL M 21901/ SEGALA MIDER</v>
      </c>
      <c r="D6919" s="42"/>
      <c r="E6919" s="42"/>
      <c r="F6919" s="48" t="str">
        <f>IFERROR(__xludf.DUMMYFUNCTION("""COMPUTED_VALUE"""),"")</f>
        <v/>
      </c>
      <c r="G6919" s="42" t="str">
        <f>IFERROR(__xludf.DUMMYFUNCTION("""COMPUTED_VALUE"""),"BN JUAL BELI")</f>
        <v>BN JUAL BELI</v>
      </c>
      <c r="H6919" s="42">
        <f t="shared" si="1"/>
        <v>2977</v>
      </c>
    </row>
    <row r="6920" ht="22.5" customHeight="1">
      <c r="B6920" s="42" t="str">
        <f>IFERROR(__xludf.DUMMYFUNCTION("""COMPUTED_VALUE"""),"K/35/250825/1")</f>
        <v>K/35/250825/1</v>
      </c>
      <c r="C6920" s="42" t="str">
        <f>IFERROR(__xludf.DUMMYFUNCTION("""COMPUTED_VALUE"""),"NIBEL B 16383/ DURIAN PAYUNG")</f>
        <v>NIBEL B 16383/ DURIAN PAYUNG</v>
      </c>
      <c r="D6920" s="42"/>
      <c r="E6920" s="42"/>
      <c r="F6920" s="48" t="str">
        <f>IFERROR(__xludf.DUMMYFUNCTION("""COMPUTED_VALUE"""),"")</f>
        <v/>
      </c>
      <c r="G6920" s="42" t="str">
        <f>IFERROR(__xludf.DUMMYFUNCTION("""COMPUTED_VALUE"""),"BN JUAL BELI")</f>
        <v>BN JUAL BELI</v>
      </c>
      <c r="H6920" s="42">
        <f t="shared" si="1"/>
        <v>2977</v>
      </c>
    </row>
    <row r="6921" ht="22.5" customHeight="1">
      <c r="B6921" s="42" t="str">
        <f>IFERROR(__xludf.DUMMYFUNCTION("""COMPUTED_VALUE"""),"K/38/250825/1")</f>
        <v>K/38/250825/1</v>
      </c>
      <c r="C6921" s="42" t="str">
        <f>IFERROR(__xludf.DUMMYFUNCTION("""COMPUTED_VALUE"""),"M. 6043/Tanjung Senang	")</f>
        <v>M. 6043/Tanjung Senang	</v>
      </c>
      <c r="D6921" s="42"/>
      <c r="E6921" s="42"/>
      <c r="F6921" s="48" t="str">
        <f>IFERROR(__xludf.DUMMYFUNCTION("""COMPUTED_VALUE"""),"")</f>
        <v/>
      </c>
      <c r="G6921" s="42" t="str">
        <f>IFERROR(__xludf.DUMMYFUNCTION("""COMPUTED_VALUE"""),"Roya	")</f>
        <v>Roya	</v>
      </c>
      <c r="H6921" s="42">
        <f t="shared" si="1"/>
        <v>2977</v>
      </c>
    </row>
    <row r="6922" ht="22.5" customHeight="1">
      <c r="B6922" s="42" t="str">
        <f>IFERROR(__xludf.DUMMYFUNCTION("""COMPUTED_VALUE"""),"K/33/250825/1")</f>
        <v>K/33/250825/1</v>
      </c>
      <c r="C6922" s="42" t="str">
        <f>IFERROR(__xludf.DUMMYFUNCTION("""COMPUTED_VALUE"""),"M. 11101/KEDAMAIAN")</f>
        <v>M. 11101/KEDAMAIAN</v>
      </c>
      <c r="D6922" s="42"/>
      <c r="E6922" s="42"/>
      <c r="F6922" s="48" t="str">
        <f>IFERROR(__xludf.DUMMYFUNCTION("""COMPUTED_VALUE"""),"")</f>
        <v/>
      </c>
      <c r="G6922" s="42" t="str">
        <f>IFERROR(__xludf.DUMMYFUNCTION("""COMPUTED_VALUE"""),"BN JUAL BELI EL")</f>
        <v>BN JUAL BELI EL</v>
      </c>
      <c r="H6922" s="42">
        <f t="shared" si="1"/>
        <v>2977</v>
      </c>
    </row>
    <row r="6923" ht="22.5" customHeight="1">
      <c r="B6923" s="42" t="str">
        <f>IFERROR(__xludf.DUMMYFUNCTION("""COMPUTED_VALUE"""),"K/39/250825/1")</f>
        <v>K/39/250825/1</v>
      </c>
      <c r="C6923" s="42" t="str">
        <f>IFERROR(__xludf.DUMMYFUNCTION("""COMPUTED_VALUE"""),"NIBEL M. 13163/SUKABUMI")</f>
        <v>NIBEL M. 13163/SUKABUMI</v>
      </c>
      <c r="D6923" s="42"/>
      <c r="E6923" s="42"/>
      <c r="F6923" s="48" t="str">
        <f>IFERROR(__xludf.DUMMYFUNCTION("""COMPUTED_VALUE"""),"")</f>
        <v/>
      </c>
      <c r="G6923" s="42" t="str">
        <f>IFERROR(__xludf.DUMMYFUNCTION("""COMPUTED_VALUE"""),"BN JUAL BELI EL")</f>
        <v>BN JUAL BELI EL</v>
      </c>
      <c r="H6923" s="42">
        <f t="shared" si="1"/>
        <v>2977</v>
      </c>
    </row>
    <row r="6924" ht="22.5" customHeight="1">
      <c r="B6924" s="42" t="str">
        <f>IFERROR(__xludf.DUMMYFUNCTION("""COMPUTED_VALUE"""),"K/37/250825/1")</f>
        <v>K/37/250825/1</v>
      </c>
      <c r="C6924" s="42" t="str">
        <f>IFERROR(__xludf.DUMMYFUNCTION("""COMPUTED_VALUE"""),"NIBEL M 19692/ RAJABASA")</f>
        <v>NIBEL M 19692/ RAJABASA</v>
      </c>
      <c r="D6924" s="42"/>
      <c r="E6924" s="42"/>
      <c r="F6924" s="48" t="str">
        <f>IFERROR(__xludf.DUMMYFUNCTION("""COMPUTED_VALUE"""),"")</f>
        <v/>
      </c>
      <c r="G6924" s="42" t="str">
        <f>IFERROR(__xludf.DUMMYFUNCTION("""COMPUTED_VALUE"""),"BN JUAL BELI")</f>
        <v>BN JUAL BELI</v>
      </c>
      <c r="H6924" s="42">
        <f t="shared" si="1"/>
        <v>2977</v>
      </c>
    </row>
    <row r="6925" ht="22.5" customHeight="1">
      <c r="B6925" s="42" t="str">
        <f>IFERROR(__xludf.DUMMYFUNCTION("""COMPUTED_VALUE"""),"K/40/250825/2")</f>
        <v>K/40/250825/2</v>
      </c>
      <c r="C6925" s="42" t="str">
        <f>IFERROR(__xludf.DUMMYFUNCTION("""COMPUTED_VALUE"""),"NIBEL M.10511/LABUHAN DALAM")</f>
        <v>NIBEL M.10511/LABUHAN DALAM</v>
      </c>
      <c r="D6925" s="42"/>
      <c r="E6925" s="42"/>
      <c r="F6925" s="48" t="str">
        <f>IFERROR(__xludf.DUMMYFUNCTION("""COMPUTED_VALUE"""),"")</f>
        <v/>
      </c>
      <c r="G6925" s="42" t="str">
        <f>IFERROR(__xludf.DUMMYFUNCTION("""COMPUTED_VALUE"""),"BN JUAL BELI EL")</f>
        <v>BN JUAL BELI EL</v>
      </c>
      <c r="H6925" s="42">
        <f t="shared" si="1"/>
        <v>2977</v>
      </c>
    </row>
    <row r="6926" ht="22.5" customHeight="1">
      <c r="B6926" s="42" t="str">
        <f>IFERROR(__xludf.DUMMYFUNCTION("""COMPUTED_VALUE"""),"K/1/260825/1")</f>
        <v>K/1/260825/1</v>
      </c>
      <c r="C6926" s="42" t="str">
        <f>IFERROR(__xludf.DUMMYFUNCTION("""COMPUTED_VALUE"""),"M. 2076/Langkapura")</f>
        <v>M. 2076/Langkapura</v>
      </c>
      <c r="D6926" s="42"/>
      <c r="E6926" s="42"/>
      <c r="F6926" s="48" t="str">
        <f>IFERROR(__xludf.DUMMYFUNCTION("""COMPUTED_VALUE"""),"")</f>
        <v/>
      </c>
      <c r="G6926" s="42" t="str">
        <f>IFERROR(__xludf.DUMMYFUNCTION("""COMPUTED_VALUE"""),"Roya		")</f>
        <v>Roya		</v>
      </c>
      <c r="H6926" s="42">
        <f t="shared" si="1"/>
        <v>2977</v>
      </c>
    </row>
    <row r="6927" ht="22.5" customHeight="1">
      <c r="B6927" s="42" t="str">
        <f>IFERROR(__xludf.DUMMYFUNCTION("""COMPUTED_VALUE"""),"L/36/250825/1")</f>
        <v>L/36/250825/1</v>
      </c>
      <c r="C6927" s="42" t="str">
        <f>IFERROR(__xludf.DUMMYFUNCTION("""COMPUTED_VALUE"""),"M. 2442/TANJUNG SENENG")</f>
        <v>M. 2442/TANJUNG SENENG</v>
      </c>
      <c r="D6927" s="42"/>
      <c r="E6927" s="42"/>
      <c r="F6927" s="48" t="str">
        <f>IFERROR(__xludf.DUMMYFUNCTION("""COMPUTED_VALUE"""),"")</f>
        <v/>
      </c>
      <c r="G6927" s="42" t="str">
        <f>IFERROR(__xludf.DUMMYFUNCTION("""COMPUTED_VALUE"""),"ROYA")</f>
        <v>ROYA</v>
      </c>
      <c r="H6927" s="42">
        <f t="shared" si="1"/>
        <v>2977</v>
      </c>
    </row>
    <row r="6928" ht="22.5" customHeight="1">
      <c r="B6928" s="42" t="str">
        <f>IFERROR(__xludf.DUMMYFUNCTION("""COMPUTED_VALUE"""),"K/5/260825/1")</f>
        <v>K/5/260825/1</v>
      </c>
      <c r="C6928" s="42" t="str">
        <f>IFERROR(__xludf.DUMMYFUNCTION("""COMPUTED_VALUE"""),"M 597/ KORPRI RAYA")</f>
        <v>M 597/ KORPRI RAYA</v>
      </c>
      <c r="D6928" s="42" t="str">
        <f>IFERROR(__xludf.DUMMYFUNCTION("""COMPUTED_VALUE"""),"David")</f>
        <v>David</v>
      </c>
      <c r="E6928" s="42" t="str">
        <f>IFERROR(__xludf.DUMMYFUNCTION("""COMPUTED_VALUE"""),"DISERAHKAN")</f>
        <v>DISERAHKAN</v>
      </c>
      <c r="F6928" s="48">
        <f>IFERROR(__xludf.DUMMYFUNCTION("""COMPUTED_VALUE"""),45922.62086809028)</f>
        <v>45922.62087</v>
      </c>
      <c r="G6928" s="42" t="str">
        <f>IFERROR(__xludf.DUMMYFUNCTION("""COMPUTED_VALUE"""),"BN JUAL BELI")</f>
        <v>BN JUAL BELI</v>
      </c>
      <c r="H6928" s="42">
        <f t="shared" si="1"/>
        <v>2978</v>
      </c>
    </row>
    <row r="6929" ht="22.5" customHeight="1">
      <c r="B6929" s="42" t="str">
        <f>IFERROR(__xludf.DUMMYFUNCTION("""COMPUTED_VALUE"""),"L/4/260825/1")</f>
        <v>L/4/260825/1</v>
      </c>
      <c r="C6929" s="42" t="str">
        <f>IFERROR(__xludf.DUMMYFUNCTION("""COMPUTED_VALUE"""),"M. 1557/KALI BALAU KENCANA")</f>
        <v>M. 1557/KALI BALAU KENCANA</v>
      </c>
      <c r="D6929" s="42" t="str">
        <f>IFERROR(__xludf.DUMMYFUNCTION("""COMPUTED_VALUE"""),"David")</f>
        <v>David</v>
      </c>
      <c r="E6929" s="42" t="str">
        <f>IFERROR(__xludf.DUMMYFUNCTION("""COMPUTED_VALUE"""),"DISERAHKAN")</f>
        <v>DISERAHKAN</v>
      </c>
      <c r="F6929" s="48">
        <f>IFERROR(__xludf.DUMMYFUNCTION("""COMPUTED_VALUE"""),45945.626081932875)</f>
        <v>45945.62608</v>
      </c>
      <c r="G6929" s="42" t="str">
        <f>IFERROR(__xludf.DUMMYFUNCTION("""COMPUTED_VALUE"""),"PTPGT PEMECAHAN")</f>
        <v>PTPGT PEMECAHAN</v>
      </c>
      <c r="H6929" s="42">
        <f t="shared" si="1"/>
        <v>2979</v>
      </c>
    </row>
    <row r="6930" ht="22.5" customHeight="1">
      <c r="B6930" s="42" t="str">
        <f>IFERROR(__xludf.DUMMYFUNCTION("""COMPUTED_VALUE"""),"K/2/260825/2")</f>
        <v>K/2/260825/2</v>
      </c>
      <c r="C6930" s="42" t="str">
        <f>IFERROR(__xludf.DUMMYFUNCTION("""COMPUTED_VALUE"""),"M. 276/Kedaung	")</f>
        <v>M. 276/Kedaung	</v>
      </c>
      <c r="D6930" s="42"/>
      <c r="E6930" s="42"/>
      <c r="F6930" s="48" t="str">
        <f>IFERROR(__xludf.DUMMYFUNCTION("""COMPUTED_VALUE"""),"")</f>
        <v/>
      </c>
      <c r="G6930" s="42" t="str">
        <f>IFERROR(__xludf.DUMMYFUNCTION("""COMPUTED_VALUE"""),"Roya	")</f>
        <v>Roya	</v>
      </c>
      <c r="H6930" s="42">
        <f t="shared" si="1"/>
        <v>2979</v>
      </c>
    </row>
    <row r="6931" ht="22.5" customHeight="1">
      <c r="B6931" s="42" t="str">
        <f>IFERROR(__xludf.DUMMYFUNCTION("""COMPUTED_VALUE"""),"K/6/260825/1")</f>
        <v>K/6/260825/1</v>
      </c>
      <c r="C6931" s="42" t="str">
        <f>IFERROR(__xludf.DUMMYFUNCTION("""COMPUTED_VALUE"""),"B 603/ SUMBER AGUNG")</f>
        <v>B 603/ SUMBER AGUNG</v>
      </c>
      <c r="D6931" s="42"/>
      <c r="E6931" s="42"/>
      <c r="F6931" s="48" t="str">
        <f>IFERROR(__xludf.DUMMYFUNCTION("""COMPUTED_VALUE"""),"")</f>
        <v/>
      </c>
      <c r="G6931" s="42" t="str">
        <f>IFERROR(__xludf.DUMMYFUNCTION("""COMPUTED_VALUE"""),"BN JUAL BELI")</f>
        <v>BN JUAL BELI</v>
      </c>
      <c r="H6931" s="42">
        <f t="shared" si="1"/>
        <v>2979</v>
      </c>
    </row>
    <row r="6932" ht="22.5" customHeight="1">
      <c r="B6932" s="42" t="str">
        <f>IFERROR(__xludf.DUMMYFUNCTION("""COMPUTED_VALUE"""),"L/7/260825/1")</f>
        <v>L/7/260825/1</v>
      </c>
      <c r="C6932" s="42" t="str">
        <f>IFERROR(__xludf.DUMMYFUNCTION("""COMPUTED_VALUE"""),"B. 673/PERUMNAS WAY KANDIS")</f>
        <v>B. 673/PERUMNAS WAY KANDIS</v>
      </c>
      <c r="D6932" s="42" t="str">
        <f>IFERROR(__xludf.DUMMYFUNCTION("""COMPUTED_VALUE"""),"Berry")</f>
        <v>Berry</v>
      </c>
      <c r="E6932" s="42" t="str">
        <f>IFERROR(__xludf.DUMMYFUNCTION("""COMPUTED_VALUE"""),"DISERAHKAN")</f>
        <v>DISERAHKAN</v>
      </c>
      <c r="F6932" s="48">
        <f>IFERROR(__xludf.DUMMYFUNCTION("""COMPUTED_VALUE"""),45918.55425630787)</f>
        <v>45918.55426</v>
      </c>
      <c r="G6932" s="42" t="str">
        <f>IFERROR(__xludf.DUMMYFUNCTION("""COMPUTED_VALUE"""),"Balik Nama")</f>
        <v>Balik Nama</v>
      </c>
      <c r="H6932" s="42">
        <f t="shared" si="1"/>
        <v>2980</v>
      </c>
    </row>
    <row r="6933" ht="22.5" customHeight="1">
      <c r="B6933" s="42" t="str">
        <f>IFERROR(__xludf.DUMMYFUNCTION("""COMPUTED_VALUE"""),"K/9/260825/1")</f>
        <v>K/9/260825/1</v>
      </c>
      <c r="C6933" s="42" t="str">
        <f>IFERROR(__xludf.DUMMYFUNCTION("""COMPUTED_VALUE"""),"M. 9491/KAMPUNG BARU")</f>
        <v>M. 9491/KAMPUNG BARU</v>
      </c>
      <c r="D6933" s="42"/>
      <c r="E6933" s="42"/>
      <c r="F6933" s="48" t="str">
        <f>IFERROR(__xludf.DUMMYFUNCTION("""COMPUTED_VALUE"""),"")</f>
        <v/>
      </c>
      <c r="G6933" s="42" t="str">
        <f>IFERROR(__xludf.DUMMYFUNCTION("""COMPUTED_VALUE"""),"ROYA")</f>
        <v>ROYA</v>
      </c>
      <c r="H6933" s="42">
        <f t="shared" si="1"/>
        <v>2980</v>
      </c>
    </row>
    <row r="6934" ht="22.5" customHeight="1">
      <c r="B6934" s="42" t="str">
        <f>IFERROR(__xludf.DUMMYFUNCTION("""COMPUTED_VALUE"""),"L/8/260825/1")</f>
        <v>L/8/260825/1</v>
      </c>
      <c r="C6934" s="42" t="str">
        <f>IFERROR(__xludf.DUMMYFUNCTION("""COMPUTED_VALUE"""),"B NIB. 21100/PERUMNAS WAY KANDIS")</f>
        <v>B NIB. 21100/PERUMNAS WAY KANDIS</v>
      </c>
      <c r="D6934" s="42"/>
      <c r="E6934" s="42"/>
      <c r="F6934" s="48" t="str">
        <f>IFERROR(__xludf.DUMMYFUNCTION("""COMPUTED_VALUE"""),"")</f>
        <v/>
      </c>
      <c r="G6934" s="42" t="str">
        <f>IFERROR(__xludf.DUMMYFUNCTION("""COMPUTED_VALUE"""),"Balik Nama")</f>
        <v>Balik Nama</v>
      </c>
      <c r="H6934" s="42">
        <f t="shared" si="1"/>
        <v>2980</v>
      </c>
    </row>
    <row r="6935" ht="22.5" customHeight="1">
      <c r="B6935" s="42" t="str">
        <f>IFERROR(__xludf.DUMMYFUNCTION("""COMPUTED_VALUE"""),"K/10/260825/1")</f>
        <v>K/10/260825/1</v>
      </c>
      <c r="C6935" s="42" t="str">
        <f>IFERROR(__xludf.DUMMYFUNCTION("""COMPUTED_VALUE"""),"B. 23758/Way Laga	")</f>
        <v>B. 23758/Way Laga	</v>
      </c>
      <c r="D6935" s="42"/>
      <c r="E6935" s="42"/>
      <c r="F6935" s="48" t="str">
        <f>IFERROR(__xludf.DUMMYFUNCTION("""COMPUTED_VALUE"""),"")</f>
        <v/>
      </c>
      <c r="G6935" s="42" t="str">
        <f>IFERROR(__xludf.DUMMYFUNCTION("""COMPUTED_VALUE"""),"Peningkatan hak	")</f>
        <v>Peningkatan hak	</v>
      </c>
      <c r="H6935" s="42">
        <f t="shared" si="1"/>
        <v>2980</v>
      </c>
    </row>
    <row r="6936" ht="22.5" customHeight="1">
      <c r="B6936" s="42" t="str">
        <f>IFERROR(__xludf.DUMMYFUNCTION("""COMPUTED_VALUE"""),"K/11/260825/1")</f>
        <v>K/11/260825/1</v>
      </c>
      <c r="C6936" s="42" t="str">
        <f>IFERROR(__xludf.DUMMYFUNCTION("""COMPUTED_VALUE"""),"B 522/ SURABAYA")</f>
        <v>B 522/ SURABAYA</v>
      </c>
      <c r="D6936" s="42"/>
      <c r="E6936" s="42"/>
      <c r="F6936" s="48" t="str">
        <f>IFERROR(__xludf.DUMMYFUNCTION("""COMPUTED_VALUE"""),"")</f>
        <v/>
      </c>
      <c r="G6936" s="42" t="str">
        <f>IFERROR(__xludf.DUMMYFUNCTION("""COMPUTED_VALUE"""),"PERMOHONAN SK PERPANJANGAN HAK")</f>
        <v>PERMOHONAN SK PERPANJANGAN HAK</v>
      </c>
      <c r="H6936" s="42">
        <f t="shared" si="1"/>
        <v>2980</v>
      </c>
    </row>
    <row r="6937" ht="22.5" customHeight="1">
      <c r="B6937" s="42" t="str">
        <f>IFERROR(__xludf.DUMMYFUNCTION("""COMPUTED_VALUE"""),"K/12/260825/2")</f>
        <v>K/12/260825/2</v>
      </c>
      <c r="C6937" s="42" t="str">
        <f>IFERROR(__xludf.DUMMYFUNCTION("""COMPUTED_VALUE"""),"B 478/ SURABAYA")</f>
        <v>B 478/ SURABAYA</v>
      </c>
      <c r="D6937" s="42"/>
      <c r="E6937" s="42"/>
      <c r="F6937" s="48" t="str">
        <f>IFERROR(__xludf.DUMMYFUNCTION("""COMPUTED_VALUE"""),"")</f>
        <v/>
      </c>
      <c r="G6937" s="42" t="str">
        <f>IFERROR(__xludf.DUMMYFUNCTION("""COMPUTED_VALUE"""),"PERMOHONAN SK PERPANJANGAN HAK")</f>
        <v>PERMOHONAN SK PERPANJANGAN HAK</v>
      </c>
      <c r="H6937" s="42">
        <f t="shared" si="1"/>
        <v>2980</v>
      </c>
    </row>
    <row r="6938" ht="22.5" customHeight="1">
      <c r="B6938" s="42" t="str">
        <f>IFERROR(__xludf.DUMMYFUNCTION("""COMPUTED_VALUE"""),"L/13/260825/1")</f>
        <v>L/13/260825/1</v>
      </c>
      <c r="C6938" s="42" t="str">
        <f>IFERROR(__xludf.DUMMYFUNCTION("""COMPUTED_VALUE"""),"M. 1111/SUKABUMI INDAH")</f>
        <v>M. 1111/SUKABUMI INDAH</v>
      </c>
      <c r="D6938" s="42"/>
      <c r="E6938" s="42"/>
      <c r="F6938" s="48" t="str">
        <f>IFERROR(__xludf.DUMMYFUNCTION("""COMPUTED_VALUE"""),"")</f>
        <v/>
      </c>
      <c r="G6938" s="42" t="str">
        <f>IFERROR(__xludf.DUMMYFUNCTION("""COMPUTED_VALUE"""),"ROYA")</f>
        <v>ROYA</v>
      </c>
      <c r="H6938" s="42">
        <f t="shared" si="1"/>
        <v>2980</v>
      </c>
    </row>
    <row r="6939" ht="22.5" customHeight="1">
      <c r="B6939" s="42" t="str">
        <f>IFERROR(__xludf.DUMMYFUNCTION("""COMPUTED_VALUE"""),"K/14/260825/2")</f>
        <v>K/14/260825/2</v>
      </c>
      <c r="C6939" s="42" t="str">
        <f>IFERROR(__xludf.DUMMYFUNCTION("""COMPUTED_VALUE"""),"Nibel 453/Sumber Agung	")</f>
        <v>Nibel 453/Sumber Agung	</v>
      </c>
      <c r="D6939" s="42"/>
      <c r="E6939" s="42"/>
      <c r="F6939" s="48" t="str">
        <f>IFERROR(__xludf.DUMMYFUNCTION("""COMPUTED_VALUE"""),"")</f>
        <v/>
      </c>
      <c r="G6939" s="42" t="str">
        <f>IFERROR(__xludf.DUMMYFUNCTION("""COMPUTED_VALUE"""),"BN Jual Beli")</f>
        <v>BN Jual Beli</v>
      </c>
      <c r="H6939" s="42">
        <f t="shared" si="1"/>
        <v>2980</v>
      </c>
    </row>
    <row r="6940" ht="22.5" customHeight="1">
      <c r="B6940" s="42" t="str">
        <f>IFERROR(__xludf.DUMMYFUNCTION("""COMPUTED_VALUE"""),"K/15/260825/1")</f>
        <v>K/15/260825/1</v>
      </c>
      <c r="C6940" s="42" t="str">
        <f>IFERROR(__xludf.DUMMYFUNCTION("""COMPUTED_VALUE"""),"M. 13368/TANJUNG BARU")</f>
        <v>M. 13368/TANJUNG BARU</v>
      </c>
      <c r="D6940" s="42"/>
      <c r="E6940" s="42"/>
      <c r="F6940" s="48" t="str">
        <f>IFERROR(__xludf.DUMMYFUNCTION("""COMPUTED_VALUE"""),"")</f>
        <v/>
      </c>
      <c r="G6940" s="42" t="str">
        <f>IFERROR(__xludf.DUMMYFUNCTION("""COMPUTED_VALUE"""),"BN JUAL BELI EL")</f>
        <v>BN JUAL BELI EL</v>
      </c>
      <c r="H6940" s="42">
        <f t="shared" si="1"/>
        <v>2980</v>
      </c>
    </row>
    <row r="6941" ht="22.5" customHeight="1">
      <c r="B6941" s="42" t="str">
        <f>IFERROR(__xludf.DUMMYFUNCTION("""COMPUTED_VALUE"""),"K/16/260825/2")</f>
        <v>K/16/260825/2</v>
      </c>
      <c r="C6941" s="42" t="str">
        <f>IFERROR(__xludf.DUMMYFUNCTION("""COMPUTED_VALUE"""),"M.13349/TANJUNG BARU")</f>
        <v>M.13349/TANJUNG BARU</v>
      </c>
      <c r="D6941" s="42" t="str">
        <f>IFERROR(__xludf.DUMMYFUNCTION("""COMPUTED_VALUE"""),"Berry")</f>
        <v>Berry</v>
      </c>
      <c r="E6941" s="42" t="str">
        <f>IFERROR(__xludf.DUMMYFUNCTION("""COMPUTED_VALUE"""),"DISERAHKAN")</f>
        <v>DISERAHKAN</v>
      </c>
      <c r="F6941" s="48">
        <f>IFERROR(__xludf.DUMMYFUNCTION("""COMPUTED_VALUE"""),45945.67757461805)</f>
        <v>45945.67757</v>
      </c>
      <c r="G6941" s="42" t="str">
        <f>IFERROR(__xludf.DUMMYFUNCTION("""COMPUTED_VALUE"""),"BN JUAL BELI EL")</f>
        <v>BN JUAL BELI EL</v>
      </c>
      <c r="H6941" s="42">
        <f t="shared" si="1"/>
        <v>2981</v>
      </c>
    </row>
    <row r="6942" ht="22.5" customHeight="1">
      <c r="B6942" s="42" t="str">
        <f>IFERROR(__xludf.DUMMYFUNCTION("""COMPUTED_VALUE"""),"K/17/260825/1")</f>
        <v>K/17/260825/1</v>
      </c>
      <c r="C6942" s="42" t="str">
        <f>IFERROR(__xludf.DUMMYFUNCTION("""COMPUTED_VALUE"""),"Nibel 2690/Sukarame Baru")</f>
        <v>Nibel 2690/Sukarame Baru</v>
      </c>
      <c r="D6942" s="42" t="str">
        <f>IFERROR(__xludf.DUMMYFUNCTION("""COMPUTED_VALUE"""),"Berry")</f>
        <v>Berry</v>
      </c>
      <c r="E6942" s="42" t="str">
        <f>IFERROR(__xludf.DUMMYFUNCTION("""COMPUTED_VALUE"""),"DISERAHKAN")</f>
        <v>DISERAHKAN</v>
      </c>
      <c r="F6942" s="48">
        <f>IFERROR(__xludf.DUMMYFUNCTION("""COMPUTED_VALUE"""),45910.59039203703)</f>
        <v>45910.59039</v>
      </c>
      <c r="G6942" s="42" t="str">
        <f>IFERROR(__xludf.DUMMYFUNCTION("""COMPUTED_VALUE"""),"BN Jual Beli		")</f>
        <v>BN Jual Beli		</v>
      </c>
      <c r="H6942" s="42">
        <f t="shared" si="1"/>
        <v>2982</v>
      </c>
    </row>
    <row r="6943" ht="22.5" customHeight="1">
      <c r="B6943" s="42" t="str">
        <f>IFERROR(__xludf.DUMMYFUNCTION("""COMPUTED_VALUE"""),"K/19/260825/1")</f>
        <v>K/19/260825/1</v>
      </c>
      <c r="C6943" s="42" t="str">
        <f>IFERROR(__xludf.DUMMYFUNCTION("""COMPUTED_VALUE"""),"NIBEL M 17672/ WAY KANDIS")</f>
        <v>NIBEL M 17672/ WAY KANDIS</v>
      </c>
      <c r="D6943" s="42"/>
      <c r="E6943" s="42"/>
      <c r="F6943" s="48" t="str">
        <f>IFERROR(__xludf.DUMMYFUNCTION("""COMPUTED_VALUE"""),"")</f>
        <v/>
      </c>
      <c r="G6943" s="42" t="str">
        <f>IFERROR(__xludf.DUMMYFUNCTION("""COMPUTED_VALUE"""),"BN JUAL BELI")</f>
        <v>BN JUAL BELI</v>
      </c>
      <c r="H6943" s="42">
        <f t="shared" si="1"/>
        <v>2982</v>
      </c>
    </row>
    <row r="6944" ht="22.5" customHeight="1">
      <c r="B6944" s="42" t="str">
        <f>IFERROR(__xludf.DUMMYFUNCTION("""COMPUTED_VALUE"""),"K/20/260825/2")</f>
        <v>K/20/260825/2</v>
      </c>
      <c r="C6944" s="42" t="str">
        <f>IFERROR(__xludf.DUMMYFUNCTION("""COMPUTED_VALUE"""),"NIBEL M 17340/ SUKARAME BARU")</f>
        <v>NIBEL M 17340/ SUKARAME BARU</v>
      </c>
      <c r="D6944" s="42"/>
      <c r="E6944" s="42"/>
      <c r="F6944" s="48" t="str">
        <f>IFERROR(__xludf.DUMMYFUNCTION("""COMPUTED_VALUE"""),"")</f>
        <v/>
      </c>
      <c r="G6944" s="42" t="str">
        <f>IFERROR(__xludf.DUMMYFUNCTION("""COMPUTED_VALUE"""),"BN JUAL BELI")</f>
        <v>BN JUAL BELI</v>
      </c>
      <c r="H6944" s="42">
        <f t="shared" si="1"/>
        <v>2982</v>
      </c>
    </row>
    <row r="6945" ht="22.5" customHeight="1">
      <c r="B6945" s="42" t="str">
        <f>IFERROR(__xludf.DUMMYFUNCTION("""COMPUTED_VALUE"""),"K/18/260825/1")</f>
        <v>K/18/260825/1</v>
      </c>
      <c r="C6945" s="42" t="str">
        <f>IFERROR(__xludf.DUMMYFUNCTION("""COMPUTED_VALUE"""),"NIBEL M. 20216/SAWAH BREBES")</f>
        <v>NIBEL M. 20216/SAWAH BREBES</v>
      </c>
      <c r="D6945" s="42"/>
      <c r="E6945" s="42"/>
      <c r="F6945" s="48" t="str">
        <f>IFERROR(__xludf.DUMMYFUNCTION("""COMPUTED_VALUE"""),"")</f>
        <v/>
      </c>
      <c r="G6945" s="42" t="str">
        <f>IFERROR(__xludf.DUMMYFUNCTION("""COMPUTED_VALUE"""),"BN JUAL BELI")</f>
        <v>BN JUAL BELI</v>
      </c>
      <c r="H6945" s="42">
        <f t="shared" si="1"/>
        <v>2982</v>
      </c>
    </row>
    <row r="6946" ht="22.5" customHeight="1">
      <c r="B6946" s="42" t="str">
        <f>IFERROR(__xludf.DUMMYFUNCTION("""COMPUTED_VALUE"""),"K/21/260825/3")</f>
        <v>K/21/260825/3</v>
      </c>
      <c r="C6946" s="42" t="str">
        <f>IFERROR(__xludf.DUMMYFUNCTION("""COMPUTED_VALUE"""),"NIBEL M 3137/ GUNUNG SULAH")</f>
        <v>NIBEL M 3137/ GUNUNG SULAH</v>
      </c>
      <c r="D6946" s="42"/>
      <c r="E6946" s="42"/>
      <c r="F6946" s="48" t="str">
        <f>IFERROR(__xludf.DUMMYFUNCTION("""COMPUTED_VALUE"""),"")</f>
        <v/>
      </c>
      <c r="G6946" s="42" t="str">
        <f>IFERROR(__xludf.DUMMYFUNCTION("""COMPUTED_VALUE"""),"BN JUAL BELI")</f>
        <v>BN JUAL BELI</v>
      </c>
      <c r="H6946" s="42">
        <f t="shared" si="1"/>
        <v>2982</v>
      </c>
    </row>
    <row r="6947" ht="22.5" customHeight="1">
      <c r="B6947" s="42" t="str">
        <f>IFERROR(__xludf.DUMMYFUNCTION("""COMPUTED_VALUE"""),"K/22/260825/4")</f>
        <v>K/22/260825/4</v>
      </c>
      <c r="C6947" s="42" t="str">
        <f>IFERROR(__xludf.DUMMYFUNCTION("""COMPUTED_VALUE"""),"NIBEL M 10512/ LABUHAN DALAM")</f>
        <v>NIBEL M 10512/ LABUHAN DALAM</v>
      </c>
      <c r="D6947" s="42"/>
      <c r="E6947" s="42"/>
      <c r="F6947" s="48" t="str">
        <f>IFERROR(__xludf.DUMMYFUNCTION("""COMPUTED_VALUE"""),"")</f>
        <v/>
      </c>
      <c r="G6947" s="42" t="str">
        <f>IFERROR(__xludf.DUMMYFUNCTION("""COMPUTED_VALUE"""),"BN JUAL BELI")</f>
        <v>BN JUAL BELI</v>
      </c>
      <c r="H6947" s="42">
        <f t="shared" si="1"/>
        <v>2982</v>
      </c>
    </row>
    <row r="6948" ht="22.5" customHeight="1">
      <c r="B6948" s="42" t="str">
        <f>IFERROR(__xludf.DUMMYFUNCTION("""COMPUTED_VALUE"""),"K/25/260825/1")</f>
        <v>K/25/260825/1</v>
      </c>
      <c r="C6948" s="42" t="str">
        <f>IFERROR(__xludf.DUMMYFUNCTION("""COMPUTED_VALUE"""),"NIBEL M 3039/ SUKARAME")</f>
        <v>NIBEL M 3039/ SUKARAME</v>
      </c>
      <c r="D6948" s="42"/>
      <c r="E6948" s="42"/>
      <c r="F6948" s="48" t="str">
        <f>IFERROR(__xludf.DUMMYFUNCTION("""COMPUTED_VALUE"""),"")</f>
        <v/>
      </c>
      <c r="G6948" s="42" t="str">
        <f>IFERROR(__xludf.DUMMYFUNCTION("""COMPUTED_VALUE"""),"BN JUAL BELI")</f>
        <v>BN JUAL BELI</v>
      </c>
      <c r="H6948" s="42">
        <f t="shared" si="1"/>
        <v>2982</v>
      </c>
    </row>
    <row r="6949" ht="22.5" customHeight="1">
      <c r="B6949" s="42" t="str">
        <f>IFERROR(__xludf.DUMMYFUNCTION("""COMPUTED_VALUE"""),"K/24/260825/1")</f>
        <v>K/24/260825/1</v>
      </c>
      <c r="C6949" s="42" t="str">
        <f>IFERROR(__xludf.DUMMYFUNCTION("""COMPUTED_VALUE"""),"NIBEL M. 1968/SUKADANA HAM")</f>
        <v>NIBEL M. 1968/SUKADANA HAM</v>
      </c>
      <c r="D6949" s="42"/>
      <c r="E6949" s="42"/>
      <c r="F6949" s="48" t="str">
        <f>IFERROR(__xludf.DUMMYFUNCTION("""COMPUTED_VALUE"""),"")</f>
        <v/>
      </c>
      <c r="G6949" s="42" t="str">
        <f>IFERROR(__xludf.DUMMYFUNCTION("""COMPUTED_VALUE"""),"BN JUAL BELI EL")</f>
        <v>BN JUAL BELI EL</v>
      </c>
      <c r="H6949" s="42">
        <f t="shared" si="1"/>
        <v>2982</v>
      </c>
    </row>
    <row r="6950" ht="22.5" customHeight="1">
      <c r="B6950" s="42" t="str">
        <f>IFERROR(__xludf.DUMMYFUNCTION("""COMPUTED_VALUE"""),"K/26/260825/1")</f>
        <v>K/26/260825/1</v>
      </c>
      <c r="C6950" s="42" t="str">
        <f>IFERROR(__xludf.DUMMYFUNCTION("""COMPUTED_VALUE"""),"M. 2246/LANGKAPURA")</f>
        <v>M. 2246/LANGKAPURA</v>
      </c>
      <c r="D6950" s="42"/>
      <c r="E6950" s="42"/>
      <c r="F6950" s="48" t="str">
        <f>IFERROR(__xludf.DUMMYFUNCTION("""COMPUTED_VALUE"""),"")</f>
        <v/>
      </c>
      <c r="G6950" s="42" t="str">
        <f>IFERROR(__xludf.DUMMYFUNCTION("""COMPUTED_VALUE"""),"ROYA")</f>
        <v>ROYA</v>
      </c>
      <c r="H6950" s="42">
        <f t="shared" si="1"/>
        <v>2982</v>
      </c>
    </row>
    <row r="6951" ht="22.5" customHeight="1">
      <c r="B6951" s="42" t="str">
        <f>IFERROR(__xludf.DUMMYFUNCTION("""COMPUTED_VALUE"""),"K/27/260825/2")</f>
        <v>K/27/260825/2</v>
      </c>
      <c r="C6951" s="42" t="str">
        <f>IFERROR(__xludf.DUMMYFUNCTION("""COMPUTED_VALUE"""),"K/27/260825/2")</f>
        <v>K/27/260825/2</v>
      </c>
      <c r="D6951" s="42" t="str">
        <f>IFERROR(__xludf.DUMMYFUNCTION("""COMPUTED_VALUE"""),"David")</f>
        <v>David</v>
      </c>
      <c r="E6951" s="42" t="str">
        <f>IFERROR(__xludf.DUMMYFUNCTION("""COMPUTED_VALUE"""),"DISERAHKAN")</f>
        <v>DISERAHKAN</v>
      </c>
      <c r="F6951" s="48">
        <f>IFERROR(__xludf.DUMMYFUNCTION("""COMPUTED_VALUE"""),45926.58345310185)</f>
        <v>45926.58345</v>
      </c>
      <c r="G6951" s="42" t="str">
        <f>IFERROR(__xludf.DUMMYFUNCTION("""COMPUTED_VALUE"""),"PTPGT")</f>
        <v>PTPGT</v>
      </c>
      <c r="H6951" s="42">
        <f t="shared" si="1"/>
        <v>2983</v>
      </c>
    </row>
    <row r="6952" ht="22.5" customHeight="1">
      <c r="B6952" s="42" t="str">
        <f>IFERROR(__xludf.DUMMYFUNCTION("""COMPUTED_VALUE"""),"K/28/260825/1")</f>
        <v>K/28/260825/1</v>
      </c>
      <c r="C6952" s="42" t="str">
        <f>IFERROR(__xludf.DUMMYFUNCTION("""COMPUTED_VALUE"""),"B. 920/Sukarame Baru	")</f>
        <v>B. 920/Sukarame Baru	</v>
      </c>
      <c r="D6952" s="42"/>
      <c r="E6952" s="42"/>
      <c r="F6952" s="48" t="str">
        <f>IFERROR(__xludf.DUMMYFUNCTION("""COMPUTED_VALUE"""),"")</f>
        <v/>
      </c>
      <c r="G6952" s="42" t="str">
        <f>IFERROR(__xludf.DUMMYFUNCTION("""COMPUTED_VALUE"""),"Peningkatan hak	")</f>
        <v>Peningkatan hak	</v>
      </c>
      <c r="H6952" s="42">
        <f t="shared" si="1"/>
        <v>2983</v>
      </c>
    </row>
    <row r="6953" ht="22.5" customHeight="1">
      <c r="B6953" s="42" t="str">
        <f>IFERROR(__xludf.DUMMYFUNCTION("""COMPUTED_VALUE"""),"K/29/260825/1")</f>
        <v>K/29/260825/1</v>
      </c>
      <c r="C6953" s="42" t="str">
        <f>IFERROR(__xludf.DUMMYFUNCTION("""COMPUTED_VALUE"""),"LANGKAPURA/ 170")</f>
        <v>LANGKAPURA/ 170</v>
      </c>
      <c r="D6953" s="42" t="str">
        <f>IFERROR(__xludf.DUMMYFUNCTION("""COMPUTED_VALUE"""),"Berry")</f>
        <v>Berry</v>
      </c>
      <c r="E6953" s="42" t="str">
        <f>IFERROR(__xludf.DUMMYFUNCTION("""COMPUTED_VALUE"""),"DISERAHKAN")</f>
        <v>DISERAHKAN</v>
      </c>
      <c r="F6953" s="48">
        <f>IFERROR(__xludf.DUMMYFUNCTION("""COMPUTED_VALUE"""),45926.37870056713)</f>
        <v>45926.3787</v>
      </c>
      <c r="G6953" s="42" t="str">
        <f>IFERROR(__xludf.DUMMYFUNCTION("""COMPUTED_VALUE"""),"PENGUKURAN PERTAMA KALI")</f>
        <v>PENGUKURAN PERTAMA KALI</v>
      </c>
      <c r="H6953" s="42">
        <f t="shared" si="1"/>
        <v>2984</v>
      </c>
    </row>
    <row r="6954" ht="22.5" customHeight="1">
      <c r="B6954" s="42" t="str">
        <f>IFERROR(__xludf.DUMMYFUNCTION("""COMPUTED_VALUE"""),"K/30/260825/1")</f>
        <v>K/30/260825/1</v>
      </c>
      <c r="C6954" s="42" t="str">
        <f>IFERROR(__xludf.DUMMYFUNCTION("""COMPUTED_VALUE"""),"SUMUR BATU/ ABDUL RONI")</f>
        <v>SUMUR BATU/ ABDUL RONI</v>
      </c>
      <c r="D6954" s="42"/>
      <c r="E6954" s="42"/>
      <c r="F6954" s="48" t="str">
        <f>IFERROR(__xludf.DUMMYFUNCTION("""COMPUTED_VALUE"""),"")</f>
        <v/>
      </c>
      <c r="G6954" s="42" t="str">
        <f>IFERROR(__xludf.DUMMYFUNCTION("""COMPUTED_VALUE"""),"PENDAFTARAN SK")</f>
        <v>PENDAFTARAN SK</v>
      </c>
      <c r="H6954" s="42">
        <f t="shared" si="1"/>
        <v>2984</v>
      </c>
    </row>
    <row r="6955" ht="22.5" customHeight="1">
      <c r="B6955" s="42" t="str">
        <f>IFERROR(__xludf.DUMMYFUNCTION("""COMPUTED_VALUE"""),"K/31/260825/2")</f>
        <v>K/31/260825/2</v>
      </c>
      <c r="C6955" s="42" t="str">
        <f>IFERROR(__xludf.DUMMYFUNCTION("""COMPUTED_VALUE"""),"SUKARAME/ KARTIKA DEWI/ 318")</f>
        <v>SUKARAME/ KARTIKA DEWI/ 318</v>
      </c>
      <c r="D6955" s="42"/>
      <c r="E6955" s="42"/>
      <c r="F6955" s="48" t="str">
        <f>IFERROR(__xludf.DUMMYFUNCTION("""COMPUTED_VALUE"""),"")</f>
        <v/>
      </c>
      <c r="G6955" s="42" t="str">
        <f>IFERROR(__xludf.DUMMYFUNCTION("""COMPUTED_VALUE"""),"PENGUKURAN PERTAMA KALI")</f>
        <v>PENGUKURAN PERTAMA KALI</v>
      </c>
      <c r="H6955" s="42">
        <f t="shared" si="1"/>
        <v>2984</v>
      </c>
    </row>
    <row r="6956" ht="22.5" customHeight="1">
      <c r="B6956" s="42" t="str">
        <f>IFERROR(__xludf.DUMMYFUNCTION("""COMPUTED_VALUE"""),"K/32/260825/1")</f>
        <v>K/32/260825/1</v>
      </c>
      <c r="C6956" s="42" t="str">
        <f>IFERROR(__xludf.DUMMYFUNCTION("""COMPUTED_VALUE"""),"Tanah Mentah Yudha")</f>
        <v>Tanah Mentah Yudha</v>
      </c>
      <c r="D6956" s="42"/>
      <c r="E6956" s="42"/>
      <c r="F6956" s="48" t="str">
        <f>IFERROR(__xludf.DUMMYFUNCTION("""COMPUTED_VALUE"""),"")</f>
        <v/>
      </c>
      <c r="G6956" s="42" t="str">
        <f>IFERROR(__xludf.DUMMYFUNCTION("""COMPUTED_VALUE"""),"Pengukuran Pertama Kali")</f>
        <v>Pengukuran Pertama Kali</v>
      </c>
      <c r="H6956" s="42">
        <f t="shared" si="1"/>
        <v>2984</v>
      </c>
    </row>
    <row r="6957" ht="22.5" customHeight="1">
      <c r="B6957" s="42" t="str">
        <f>IFERROR(__xludf.DUMMYFUNCTION("""COMPUTED_VALUE"""),"L/23/260825/1")</f>
        <v>L/23/260825/1</v>
      </c>
      <c r="C6957" s="42" t="str">
        <f>IFERROR(__xludf.DUMMYFUNCTION("""COMPUTED_VALUE"""),"B. 105/SUMBEREJO SEJAHTERA")</f>
        <v>B. 105/SUMBEREJO SEJAHTERA</v>
      </c>
      <c r="D6957" s="42"/>
      <c r="E6957" s="42"/>
      <c r="F6957" s="48" t="str">
        <f>IFERROR(__xludf.DUMMYFUNCTION("""COMPUTED_VALUE"""),"")</f>
        <v/>
      </c>
      <c r="G6957" s="42" t="str">
        <f>IFERROR(__xludf.DUMMYFUNCTION("""COMPUTED_VALUE"""),"PENINGKATAN HAK")</f>
        <v>PENINGKATAN HAK</v>
      </c>
      <c r="H6957" s="42">
        <f t="shared" si="1"/>
        <v>2984</v>
      </c>
    </row>
    <row r="6958" ht="22.5" customHeight="1">
      <c r="B6958" s="42" t="str">
        <f>IFERROR(__xludf.DUMMYFUNCTION("""COMPUTED_VALUE"""),"K/33/260825/1")</f>
        <v>K/33/260825/1</v>
      </c>
      <c r="C6958" s="42" t="str">
        <f>IFERROR(__xludf.DUMMYFUNCTION("""COMPUTED_VALUE"""),"NIBEL M. 22831/KEMILING PERMAI")</f>
        <v>NIBEL M. 22831/KEMILING PERMAI</v>
      </c>
      <c r="D6958" s="42" t="str">
        <f>IFERROR(__xludf.DUMMYFUNCTION("""COMPUTED_VALUE"""),"Berry")</f>
        <v>Berry</v>
      </c>
      <c r="E6958" s="42" t="str">
        <f>IFERROR(__xludf.DUMMYFUNCTION("""COMPUTED_VALUE"""),"DISERAHKAN")</f>
        <v>DISERAHKAN</v>
      </c>
      <c r="F6958" s="48">
        <f>IFERROR(__xludf.DUMMYFUNCTION("""COMPUTED_VALUE"""),45929.59779934028)</f>
        <v>45929.5978</v>
      </c>
      <c r="G6958" s="42" t="str">
        <f>IFERROR(__xludf.DUMMYFUNCTION("""COMPUTED_VALUE"""),"BN JUAL BELI")</f>
        <v>BN JUAL BELI</v>
      </c>
      <c r="H6958" s="42">
        <f t="shared" si="1"/>
        <v>2985</v>
      </c>
    </row>
    <row r="6959" ht="22.5" customHeight="1">
      <c r="B6959" s="42" t="str">
        <f>IFERROR(__xludf.DUMMYFUNCTION("""COMPUTED_VALUE"""),"K/34/260825/1")</f>
        <v>K/34/260825/1</v>
      </c>
      <c r="C6959" s="42" t="str">
        <f>IFERROR(__xludf.DUMMYFUNCTION("""COMPUTED_VALUE"""),"M. 2963/LANGKAPURA")</f>
        <v>M. 2963/LANGKAPURA</v>
      </c>
      <c r="D6959" s="42"/>
      <c r="E6959" s="42"/>
      <c r="F6959" s="48" t="str">
        <f>IFERROR(__xludf.DUMMYFUNCTION("""COMPUTED_VALUE"""),"")</f>
        <v/>
      </c>
      <c r="G6959" s="42" t="str">
        <f>IFERROR(__xludf.DUMMYFUNCTION("""COMPUTED_VALUE"""),"PEMECAHAN")</f>
        <v>PEMECAHAN</v>
      </c>
      <c r="H6959" s="42">
        <f t="shared" si="1"/>
        <v>2985</v>
      </c>
    </row>
    <row r="6960" ht="22.5" customHeight="1">
      <c r="B6960" s="42" t="str">
        <f>IFERROR(__xludf.DUMMYFUNCTION("""COMPUTED_VALUE"""),"L/35/260825/1")</f>
        <v>L/35/260825/1</v>
      </c>
      <c r="C6960" s="42" t="str">
        <f>IFERROR(__xludf.DUMMYFUNCTION("""COMPUTED_VALUE"""),"B. 100/ BILABONG JAYA")</f>
        <v>B. 100/ BILABONG JAYA</v>
      </c>
      <c r="D6960" s="42"/>
      <c r="E6960" s="42"/>
      <c r="F6960" s="48" t="str">
        <f>IFERROR(__xludf.DUMMYFUNCTION("""COMPUTED_VALUE"""),"")</f>
        <v/>
      </c>
      <c r="G6960" s="42" t="str">
        <f>IFERROR(__xludf.DUMMYFUNCTION("""COMPUTED_VALUE"""),"PENINGKATAN HAK")</f>
        <v>PENINGKATAN HAK</v>
      </c>
      <c r="H6960" s="42">
        <f t="shared" si="1"/>
        <v>2985</v>
      </c>
    </row>
    <row r="6961" ht="22.5" customHeight="1">
      <c r="B6961" s="42" t="str">
        <f>IFERROR(__xludf.DUMMYFUNCTION("""COMPUTED_VALUE"""),"K/36/260825/1")</f>
        <v>K/36/260825/1</v>
      </c>
      <c r="C6961" s="42" t="str">
        <f>IFERROR(__xludf.DUMMYFUNCTION("""COMPUTED_VALUE"""),"M 1044/ TANJUNG GADING")</f>
        <v>M 1044/ TANJUNG GADING</v>
      </c>
      <c r="D6961" s="42"/>
      <c r="E6961" s="42"/>
      <c r="F6961" s="48" t="str">
        <f>IFERROR(__xludf.DUMMYFUNCTION("""COMPUTED_VALUE"""),"")</f>
        <v/>
      </c>
      <c r="G6961" s="42" t="str">
        <f>IFERROR(__xludf.DUMMYFUNCTION("""COMPUTED_VALUE"""),"SKPT LELANG")</f>
        <v>SKPT LELANG</v>
      </c>
      <c r="H6961" s="42">
        <f t="shared" si="1"/>
        <v>2985</v>
      </c>
    </row>
    <row r="6962" ht="22.5" customHeight="1">
      <c r="B6962" s="42" t="str">
        <f>IFERROR(__xludf.DUMMYFUNCTION("""COMPUTED_VALUE"""),"K/41/260825/1")</f>
        <v>K/41/260825/1</v>
      </c>
      <c r="C6962" s="42" t="str">
        <f>IFERROR(__xludf.DUMMYFUNCTION("""COMPUTED_VALUE"""),"NIBEL M. 21342/GUNUNG TERANG")</f>
        <v>NIBEL M. 21342/GUNUNG TERANG</v>
      </c>
      <c r="D6962" s="42"/>
      <c r="E6962" s="42"/>
      <c r="F6962" s="48" t="str">
        <f>IFERROR(__xludf.DUMMYFUNCTION("""COMPUTED_VALUE"""),"")</f>
        <v/>
      </c>
      <c r="G6962" s="42" t="str">
        <f>IFERROR(__xludf.DUMMYFUNCTION("""COMPUTED_VALUE"""),"PTPGT")</f>
        <v>PTPGT</v>
      </c>
      <c r="H6962" s="42">
        <f t="shared" si="1"/>
        <v>2985</v>
      </c>
    </row>
    <row r="6963" ht="22.5" customHeight="1">
      <c r="B6963" s="42" t="str">
        <f>IFERROR(__xludf.DUMMYFUNCTION("""COMPUTED_VALUE"""),"K/42/260825/1")</f>
        <v>K/42/260825/1</v>
      </c>
      <c r="C6963" s="42" t="str">
        <f>IFERROR(__xludf.DUMMYFUNCTION("""COMPUTED_VALUE"""),"M. 460/SUKABUMI INDAH")</f>
        <v>M. 460/SUKABUMI INDAH</v>
      </c>
      <c r="D6963" s="42"/>
      <c r="E6963" s="42"/>
      <c r="F6963" s="48" t="str">
        <f>IFERROR(__xludf.DUMMYFUNCTION("""COMPUTED_VALUE"""),"")</f>
        <v/>
      </c>
      <c r="G6963" s="42" t="str">
        <f>IFERROR(__xludf.DUMMYFUNCTION("""COMPUTED_VALUE"""),"BN JUAL BELI ")</f>
        <v>BN JUAL BELI </v>
      </c>
      <c r="H6963" s="42">
        <f t="shared" si="1"/>
        <v>2985</v>
      </c>
    </row>
    <row r="6964" ht="22.5" customHeight="1">
      <c r="B6964" s="42" t="str">
        <f>IFERROR(__xludf.DUMMYFUNCTION("""COMPUTED_VALUE"""),"K/44/260825/1")</f>
        <v>K/44/260825/1</v>
      </c>
      <c r="C6964" s="42" t="str">
        <f>IFERROR(__xludf.DUMMYFUNCTION("""COMPUTED_VALUE"""),"Nibel 10948/Labuhan Dalam	")</f>
        <v>Nibel 10948/Labuhan Dalam	</v>
      </c>
      <c r="D6964" s="42" t="str">
        <f>IFERROR(__xludf.DUMMYFUNCTION("""COMPUTED_VALUE"""),"David")</f>
        <v>David</v>
      </c>
      <c r="E6964" s="42" t="str">
        <f>IFERROR(__xludf.DUMMYFUNCTION("""COMPUTED_VALUE"""),"DISERAHKAN")</f>
        <v>DISERAHKAN</v>
      </c>
      <c r="F6964" s="48">
        <f>IFERROR(__xludf.DUMMYFUNCTION("""COMPUTED_VALUE"""),45993.58475324074)</f>
        <v>45993.58475</v>
      </c>
      <c r="G6964" s="42" t="str">
        <f>IFERROR(__xludf.DUMMYFUNCTION("""COMPUTED_VALUE"""),"BN Jual Beli	")</f>
        <v>BN Jual Beli	</v>
      </c>
      <c r="H6964" s="42">
        <f t="shared" si="1"/>
        <v>2986</v>
      </c>
    </row>
    <row r="6965" ht="22.5" customHeight="1">
      <c r="B6965" s="42" t="str">
        <f>IFERROR(__xludf.DUMMYFUNCTION("""COMPUTED_VALUE"""),"K/45/260825/1")</f>
        <v>K/45/260825/1</v>
      </c>
      <c r="C6965" s="42" t="str">
        <f>IFERROR(__xludf.DUMMYFUNCTION("""COMPUTED_VALUE"""),"M 503/ KEMILING PERMAI")</f>
        <v>M 503/ KEMILING PERMAI</v>
      </c>
      <c r="D6965" s="42"/>
      <c r="E6965" s="42"/>
      <c r="F6965" s="48" t="str">
        <f>IFERROR(__xludf.DUMMYFUNCTION("""COMPUTED_VALUE"""),"")</f>
        <v/>
      </c>
      <c r="G6965" s="42" t="str">
        <f>IFERROR(__xludf.DUMMYFUNCTION("""COMPUTED_VALUE"""),"BN JUAL BELI")</f>
        <v>BN JUAL BELI</v>
      </c>
      <c r="H6965" s="42">
        <f t="shared" si="1"/>
        <v>2986</v>
      </c>
    </row>
    <row r="6966" ht="22.5" customHeight="1">
      <c r="B6966" s="42" t="str">
        <f>IFERROR(__xludf.DUMMYFUNCTION("""COMPUTED_VALUE"""),"K/43/260825/2")</f>
        <v>K/43/260825/2</v>
      </c>
      <c r="C6966" s="42" t="str">
        <f>IFERROR(__xludf.DUMMYFUNCTION("""COMPUTED_VALUE"""),"B. 2558/SUKARAME")</f>
        <v>B. 2558/SUKARAME</v>
      </c>
      <c r="D6966" s="42" t="str">
        <f>IFERROR(__xludf.DUMMYFUNCTION("""COMPUTED_VALUE"""),"Berry")</f>
        <v>Berry</v>
      </c>
      <c r="E6966" s="42" t="str">
        <f>IFERROR(__xludf.DUMMYFUNCTION("""COMPUTED_VALUE"""),"DISERAHKAN")</f>
        <v>DISERAHKAN</v>
      </c>
      <c r="F6966" s="48">
        <f>IFERROR(__xludf.DUMMYFUNCTION("""COMPUTED_VALUE"""),45979.652104305555)</f>
        <v>45979.6521</v>
      </c>
      <c r="G6966" s="42" t="str">
        <f>IFERROR(__xludf.DUMMYFUNCTION("""COMPUTED_VALUE"""),"PTPGT")</f>
        <v>PTPGT</v>
      </c>
      <c r="H6966" s="42">
        <f t="shared" si="1"/>
        <v>2987</v>
      </c>
    </row>
    <row r="6967" ht="22.5" customHeight="1">
      <c r="B6967" s="42" t="str">
        <f>IFERROR(__xludf.DUMMYFUNCTION("""COMPUTED_VALUE"""),"K/46/260825/2")</f>
        <v>K/46/260825/2</v>
      </c>
      <c r="C6967" s="42" t="str">
        <f>IFERROR(__xludf.DUMMYFUNCTION("""COMPUTED_VALUE"""),"NIBEL M. 20217/SAWAH BREBES")</f>
        <v>NIBEL M. 20217/SAWAH BREBES</v>
      </c>
      <c r="D6967" s="42"/>
      <c r="E6967" s="42"/>
      <c r="F6967" s="48" t="str">
        <f>IFERROR(__xludf.DUMMYFUNCTION("""COMPUTED_VALUE"""),"")</f>
        <v/>
      </c>
      <c r="G6967" s="42" t="str">
        <f>IFERROR(__xludf.DUMMYFUNCTION("""COMPUTED_VALUE"""),"BN JUAL BELI EL")</f>
        <v>BN JUAL BELI EL</v>
      </c>
      <c r="H6967" s="42">
        <f t="shared" si="1"/>
        <v>2987</v>
      </c>
    </row>
    <row r="6968" ht="22.5" customHeight="1">
      <c r="B6968" s="42" t="str">
        <f>IFERROR(__xludf.DUMMYFUNCTION("""COMPUTED_VALUE"""),"L/48/260825/1")</f>
        <v>L/48/260825/1</v>
      </c>
      <c r="C6968" s="42" t="str">
        <f>IFERROR(__xludf.DUMMYFUNCTION("""COMPUTED_VALUE"""),"M. 2211/GUNUNG TERANG")</f>
        <v>M. 2211/GUNUNG TERANG</v>
      </c>
      <c r="D6968" s="42"/>
      <c r="E6968" s="42"/>
      <c r="F6968" s="48" t="str">
        <f>IFERROR(__xludf.DUMMYFUNCTION("""COMPUTED_VALUE"""),"")</f>
        <v/>
      </c>
      <c r="G6968" s="42" t="str">
        <f>IFERROR(__xludf.DUMMYFUNCTION("""COMPUTED_VALUE"""),"ROYA")</f>
        <v>ROYA</v>
      </c>
      <c r="H6968" s="42">
        <f t="shared" si="1"/>
        <v>2987</v>
      </c>
    </row>
    <row r="6969" ht="22.5" customHeight="1">
      <c r="B6969" s="42" t="str">
        <f>IFERROR(__xludf.DUMMYFUNCTION("""COMPUTED_VALUE"""),"K/47/260825/1")</f>
        <v>K/47/260825/1</v>
      </c>
      <c r="C6969" s="42" t="str">
        <f>IFERROR(__xludf.DUMMYFUNCTION("""COMPUTED_VALUE"""),"SK NO 71/ SRENGSEM")</f>
        <v>SK NO 71/ SRENGSEM</v>
      </c>
      <c r="D6969" s="42"/>
      <c r="E6969" s="42"/>
      <c r="F6969" s="48" t="str">
        <f>IFERROR(__xludf.DUMMYFUNCTION("""COMPUTED_VALUE"""),"")</f>
        <v/>
      </c>
      <c r="G6969" s="42" t="str">
        <f>IFERROR(__xludf.DUMMYFUNCTION("""COMPUTED_VALUE"""),"PENDAFTARAN SK")</f>
        <v>PENDAFTARAN SK</v>
      </c>
      <c r="H6969" s="42">
        <f t="shared" si="1"/>
        <v>2987</v>
      </c>
    </row>
    <row r="6970" ht="22.5" customHeight="1">
      <c r="B6970" s="42" t="str">
        <f>IFERROR(__xludf.DUMMYFUNCTION("""COMPUTED_VALUE"""),"K/49/260825/1")</f>
        <v>K/49/260825/1</v>
      </c>
      <c r="C6970" s="42" t="str">
        <f>IFERROR(__xludf.DUMMYFUNCTION("""COMPUTED_VALUE"""),"B. 135/Rajabasa Raya	")</f>
        <v>B. 135/Rajabasa Raya	</v>
      </c>
      <c r="D6970" s="42"/>
      <c r="E6970" s="42"/>
      <c r="F6970" s="48" t="str">
        <f>IFERROR(__xludf.DUMMYFUNCTION("""COMPUTED_VALUE"""),"")</f>
        <v/>
      </c>
      <c r="G6970" s="42" t="str">
        <f>IFERROR(__xludf.DUMMYFUNCTION("""COMPUTED_VALUE"""),"Peningkatan hak	")</f>
        <v>Peningkatan hak	</v>
      </c>
      <c r="H6970" s="42">
        <f t="shared" si="1"/>
        <v>2987</v>
      </c>
    </row>
    <row r="6971" ht="22.5" customHeight="1">
      <c r="B6971" s="42" t="str">
        <f>IFERROR(__xludf.DUMMYFUNCTION("""COMPUTED_VALUE"""),"K/50/260825/1")</f>
        <v>K/50/260825/1</v>
      </c>
      <c r="C6971" s="42" t="str">
        <f>IFERROR(__xludf.DUMMYFUNCTION("""COMPUTED_VALUE"""),"M 9831/ TANJUNG BARU")</f>
        <v>M 9831/ TANJUNG BARU</v>
      </c>
      <c r="D6971" s="42"/>
      <c r="E6971" s="42"/>
      <c r="F6971" s="48" t="str">
        <f>IFERROR(__xludf.DUMMYFUNCTION("""COMPUTED_VALUE"""),"")</f>
        <v/>
      </c>
      <c r="G6971" s="42" t="str">
        <f>IFERROR(__xludf.DUMMYFUNCTION("""COMPUTED_VALUE"""),"ROYA")</f>
        <v>ROYA</v>
      </c>
      <c r="H6971" s="42">
        <f t="shared" si="1"/>
        <v>2987</v>
      </c>
    </row>
    <row r="6972" ht="22.5" customHeight="1">
      <c r="B6972" s="42" t="str">
        <f>IFERROR(__xludf.DUMMYFUNCTION("""COMPUTED_VALUE"""),"K/51/260825/2")</f>
        <v>K/51/260825/2</v>
      </c>
      <c r="C6972" s="42" t="str">
        <f>IFERROR(__xludf.DUMMYFUNCTION("""COMPUTED_VALUE"""),"M 630/ TANJUNG AGUNG")</f>
        <v>M 630/ TANJUNG AGUNG</v>
      </c>
      <c r="D6972" s="42"/>
      <c r="E6972" s="42"/>
      <c r="F6972" s="48" t="str">
        <f>IFERROR(__xludf.DUMMYFUNCTION("""COMPUTED_VALUE"""),"")</f>
        <v/>
      </c>
      <c r="G6972" s="42" t="str">
        <f>IFERROR(__xludf.DUMMYFUNCTION("""COMPUTED_VALUE"""),"ROYA")</f>
        <v>ROYA</v>
      </c>
      <c r="H6972" s="42">
        <f t="shared" si="1"/>
        <v>2987</v>
      </c>
    </row>
    <row r="6973" ht="22.5" customHeight="1">
      <c r="B6973" s="42" t="str">
        <f>IFERROR(__xludf.DUMMYFUNCTION("""COMPUTED_VALUE"""),"K/52/260825/1")</f>
        <v>K/52/260825/1</v>
      </c>
      <c r="C6973" s="42" t="str">
        <f>IFERROR(__xludf.DUMMYFUNCTION("""COMPUTED_VALUE"""),"M.942/Kuripan	")</f>
        <v>M.942/Kuripan	</v>
      </c>
      <c r="D6973" s="42" t="str">
        <f>IFERROR(__xludf.DUMMYFUNCTION("""COMPUTED_VALUE"""),"David")</f>
        <v>David</v>
      </c>
      <c r="E6973" s="42" t="str">
        <f>IFERROR(__xludf.DUMMYFUNCTION("""COMPUTED_VALUE"""),"DISERAHKAN")</f>
        <v>DISERAHKAN</v>
      </c>
      <c r="F6973" s="48">
        <f>IFERROR(__xludf.DUMMYFUNCTION("""COMPUTED_VALUE"""),45926.58240993056)</f>
        <v>45926.58241</v>
      </c>
      <c r="G6973" s="42" t="str">
        <f>IFERROR(__xludf.DUMMYFUNCTION("""COMPUTED_VALUE"""),"SKPT Lelang	")</f>
        <v>SKPT Lelang	</v>
      </c>
      <c r="H6973" s="42">
        <f t="shared" si="1"/>
        <v>2988</v>
      </c>
    </row>
    <row r="6974" ht="22.5" customHeight="1">
      <c r="B6974" s="42" t="str">
        <f>IFERROR(__xludf.DUMMYFUNCTION("""COMPUTED_VALUE"""),"K/7/270825/1")</f>
        <v>K/7/270825/1</v>
      </c>
      <c r="C6974" s="42" t="str">
        <f>IFERROR(__xludf.DUMMYFUNCTION("""COMPUTED_VALUE"""),"M 13630/ KEDAMAIAN")</f>
        <v>M 13630/ KEDAMAIAN</v>
      </c>
      <c r="D6974" s="42"/>
      <c r="E6974" s="42"/>
      <c r="F6974" s="48" t="str">
        <f>IFERROR(__xludf.DUMMYFUNCTION("""COMPUTED_VALUE"""),"")</f>
        <v/>
      </c>
      <c r="G6974" s="42" t="str">
        <f>IFERROR(__xludf.DUMMYFUNCTION("""COMPUTED_VALUE"""),"ROYA LELANG")</f>
        <v>ROYA LELANG</v>
      </c>
      <c r="H6974" s="42">
        <f t="shared" si="1"/>
        <v>2988</v>
      </c>
    </row>
    <row r="6975" ht="22.5" customHeight="1">
      <c r="B6975" s="42" t="str">
        <f>IFERROR(__xludf.DUMMYFUNCTION("""COMPUTED_VALUE"""),"K/53/260825/1")</f>
        <v>K/53/260825/1</v>
      </c>
      <c r="C6975" s="42" t="str">
        <f>IFERROR(__xludf.DUMMYFUNCTION("""COMPUTED_VALUE"""),"NIBEL M 12237/ RAJABASA PEMUKA")</f>
        <v>NIBEL M 12237/ RAJABASA PEMUKA</v>
      </c>
      <c r="D6975" s="42" t="str">
        <f>IFERROR(__xludf.DUMMYFUNCTION("""COMPUTED_VALUE"""),"David")</f>
        <v>David</v>
      </c>
      <c r="E6975" s="42" t="str">
        <f>IFERROR(__xludf.DUMMYFUNCTION("""COMPUTED_VALUE"""),"DISERAHKAN")</f>
        <v>DISERAHKAN</v>
      </c>
      <c r="F6975" s="48">
        <f>IFERROR(__xludf.DUMMYFUNCTION("""COMPUTED_VALUE"""),45926.58403702546)</f>
        <v>45926.58404</v>
      </c>
      <c r="G6975" s="42" t="str">
        <f>IFERROR(__xludf.DUMMYFUNCTION("""COMPUTED_VALUE"""),"BN JUAL BELI")</f>
        <v>BN JUAL BELI</v>
      </c>
      <c r="H6975" s="42">
        <f t="shared" si="1"/>
        <v>2989</v>
      </c>
    </row>
    <row r="6976" ht="22.5" customHeight="1">
      <c r="B6976" s="42" t="str">
        <f>IFERROR(__xludf.DUMMYFUNCTION("""COMPUTED_VALUE"""),"K/37/260825/2")</f>
        <v>K/37/260825/2</v>
      </c>
      <c r="C6976" s="42" t="str">
        <f>IFERROR(__xludf.DUMMYFUNCTION("""COMPUTED_VALUE"""),"M 777/ KOTA BARU")</f>
        <v>M 777/ KOTA BARU</v>
      </c>
      <c r="D6976" s="42"/>
      <c r="E6976" s="42"/>
      <c r="F6976" s="48" t="str">
        <f>IFERROR(__xludf.DUMMYFUNCTION("""COMPUTED_VALUE"""),"")</f>
        <v/>
      </c>
      <c r="G6976" s="42" t="str">
        <f>IFERROR(__xludf.DUMMYFUNCTION("""COMPUTED_VALUE"""),"SKPT LELANG")</f>
        <v>SKPT LELANG</v>
      </c>
      <c r="H6976" s="42">
        <f t="shared" si="1"/>
        <v>2989</v>
      </c>
    </row>
    <row r="6977" ht="22.5" customHeight="1">
      <c r="B6977" s="42" t="str">
        <f>IFERROR(__xludf.DUMMYFUNCTION("""COMPUTED_VALUE"""),"K/38/260825/3")</f>
        <v>K/38/260825/3</v>
      </c>
      <c r="C6977" s="42" t="str">
        <f>IFERROR(__xludf.DUMMYFUNCTION("""COMPUTED_VALUE"""),"M 1043/ TANJUNG GADING")</f>
        <v>M 1043/ TANJUNG GADING</v>
      </c>
      <c r="D6977" s="42"/>
      <c r="E6977" s="42"/>
      <c r="F6977" s="48" t="str">
        <f>IFERROR(__xludf.DUMMYFUNCTION("""COMPUTED_VALUE"""),"")</f>
        <v/>
      </c>
      <c r="G6977" s="42" t="str">
        <f>IFERROR(__xludf.DUMMYFUNCTION("""COMPUTED_VALUE"""),"SKPT LELANG")</f>
        <v>SKPT LELANG</v>
      </c>
      <c r="H6977" s="42">
        <f t="shared" si="1"/>
        <v>2989</v>
      </c>
    </row>
    <row r="6978" ht="22.5" customHeight="1">
      <c r="B6978" s="42" t="str">
        <f>IFERROR(__xludf.DUMMYFUNCTION("""COMPUTED_VALUE"""),"K/39/260825/4")</f>
        <v>K/39/260825/4</v>
      </c>
      <c r="C6978" s="42" t="str">
        <f>IFERROR(__xludf.DUMMYFUNCTION("""COMPUTED_VALUE"""),"M 1252/ KANGKUNG")</f>
        <v>M 1252/ KANGKUNG</v>
      </c>
      <c r="D6978" s="42"/>
      <c r="E6978" s="42"/>
      <c r="F6978" s="48" t="str">
        <f>IFERROR(__xludf.DUMMYFUNCTION("""COMPUTED_VALUE"""),"")</f>
        <v/>
      </c>
      <c r="G6978" s="42" t="str">
        <f>IFERROR(__xludf.DUMMYFUNCTION("""COMPUTED_VALUE"""),"SKPT LELANG")</f>
        <v>SKPT LELANG</v>
      </c>
      <c r="H6978" s="42">
        <f t="shared" si="1"/>
        <v>2989</v>
      </c>
    </row>
    <row r="6979" ht="22.5" customHeight="1">
      <c r="B6979" s="42" t="str">
        <f>IFERROR(__xludf.DUMMYFUNCTION("""COMPUTED_VALUE"""),"K/40/260825/5")</f>
        <v>K/40/260825/5</v>
      </c>
      <c r="C6979" s="42" t="str">
        <f>IFERROR(__xludf.DUMMYFUNCTION("""COMPUTED_VALUE"""),"M 1042/ TANJUNG GADING")</f>
        <v>M 1042/ TANJUNG GADING</v>
      </c>
      <c r="D6979" s="42"/>
      <c r="E6979" s="42"/>
      <c r="F6979" s="48" t="str">
        <f>IFERROR(__xludf.DUMMYFUNCTION("""COMPUTED_VALUE"""),"")</f>
        <v/>
      </c>
      <c r="G6979" s="42" t="str">
        <f>IFERROR(__xludf.DUMMYFUNCTION("""COMPUTED_VALUE"""),"SKPT LELANG")</f>
        <v>SKPT LELANG</v>
      </c>
      <c r="H6979" s="42">
        <f t="shared" si="1"/>
        <v>2989</v>
      </c>
    </row>
    <row r="6980" ht="22.5" customHeight="1">
      <c r="B6980" s="42" t="str">
        <f>IFERROR(__xludf.DUMMYFUNCTION("""COMPUTED_VALUE"""),"L/1/270825/1")</f>
        <v>L/1/270825/1</v>
      </c>
      <c r="C6980" s="42" t="str">
        <f>IFERROR(__xludf.DUMMYFUNCTION("""COMPUTED_VALUE"""),"M. 2379/GEDONG AIR")</f>
        <v>M. 2379/GEDONG AIR</v>
      </c>
      <c r="D6980" s="42"/>
      <c r="E6980" s="42"/>
      <c r="F6980" s="48" t="str">
        <f>IFERROR(__xludf.DUMMYFUNCTION("""COMPUTED_VALUE"""),"")</f>
        <v/>
      </c>
      <c r="G6980" s="42" t="str">
        <f>IFERROR(__xludf.DUMMYFUNCTION("""COMPUTED_VALUE"""),"ROYA")</f>
        <v>ROYA</v>
      </c>
      <c r="H6980" s="42">
        <f t="shared" si="1"/>
        <v>2989</v>
      </c>
    </row>
    <row r="6981" ht="22.5" customHeight="1">
      <c r="B6981" s="42" t="str">
        <f>IFERROR(__xludf.DUMMYFUNCTION("""COMPUTED_VALUE"""),"K/2/270825/1")</f>
        <v>K/2/270825/1</v>
      </c>
      <c r="C6981" s="42" t="str">
        <f>IFERROR(__xludf.DUMMYFUNCTION("""COMPUTED_VALUE"""),"Nibel 17858/Pematang Wangi")</f>
        <v>Nibel 17858/Pematang Wangi</v>
      </c>
      <c r="D6981" s="42" t="str">
        <f>IFERROR(__xludf.DUMMYFUNCTION("""COMPUTED_VALUE"""),"David")</f>
        <v>David</v>
      </c>
      <c r="E6981" s="42" t="str">
        <f>IFERROR(__xludf.DUMMYFUNCTION("""COMPUTED_VALUE"""),"DISERAHKAN")</f>
        <v>DISERAHKAN</v>
      </c>
      <c r="F6981" s="48">
        <f>IFERROR(__xludf.DUMMYFUNCTION("""COMPUTED_VALUE"""),45958.521565787036)</f>
        <v>45958.52157</v>
      </c>
      <c r="G6981" s="42" t="str">
        <f>IFERROR(__xludf.DUMMYFUNCTION("""COMPUTED_VALUE"""),"BN Jual Beli		")</f>
        <v>BN Jual Beli		</v>
      </c>
      <c r="H6981" s="42">
        <f t="shared" si="1"/>
        <v>2990</v>
      </c>
    </row>
    <row r="6982" ht="22.5" customHeight="1">
      <c r="B6982" s="42" t="str">
        <f>IFERROR(__xludf.DUMMYFUNCTION("""COMPUTED_VALUE"""),"K/3/270825/2")</f>
        <v>K/3/270825/2</v>
      </c>
      <c r="C6982" s="42" t="str">
        <f>IFERROR(__xludf.DUMMYFUNCTION("""COMPUTED_VALUE"""),"Nibel 17842/Pematang Wangi	")</f>
        <v>Nibel 17842/Pematang Wangi	</v>
      </c>
      <c r="D6982" s="42"/>
      <c r="E6982" s="42"/>
      <c r="F6982" s="48" t="str">
        <f>IFERROR(__xludf.DUMMYFUNCTION("""COMPUTED_VALUE"""),"")</f>
        <v/>
      </c>
      <c r="G6982" s="42" t="str">
        <f>IFERROR(__xludf.DUMMYFUNCTION("""COMPUTED_VALUE"""),"BN Jual Beli	")</f>
        <v>BN Jual Beli	</v>
      </c>
      <c r="H6982" s="42">
        <f t="shared" si="1"/>
        <v>2990</v>
      </c>
    </row>
    <row r="6983" ht="22.5" customHeight="1">
      <c r="B6983" s="42" t="str">
        <f>IFERROR(__xludf.DUMMYFUNCTION("""COMPUTED_VALUE"""),"L/6/270825/1")</f>
        <v>L/6/270825/1</v>
      </c>
      <c r="C6983" s="42" t="str">
        <f>IFERROR(__xludf.DUMMYFUNCTION("""COMPUTED_VALUE"""),"M. 659/SAWAH BREBES")</f>
        <v>M. 659/SAWAH BREBES</v>
      </c>
      <c r="D6983" s="42"/>
      <c r="E6983" s="42"/>
      <c r="F6983" s="48" t="str">
        <f>IFERROR(__xludf.DUMMYFUNCTION("""COMPUTED_VALUE"""),"")</f>
        <v/>
      </c>
      <c r="G6983" s="42" t="str">
        <f>IFERROR(__xludf.DUMMYFUNCTION("""COMPUTED_VALUE"""),"BN WARIS")</f>
        <v>BN WARIS</v>
      </c>
      <c r="H6983" s="42">
        <f t="shared" si="1"/>
        <v>2990</v>
      </c>
    </row>
    <row r="6984" ht="22.5" customHeight="1">
      <c r="B6984" s="42" t="str">
        <f>IFERROR(__xludf.DUMMYFUNCTION("""COMPUTED_VALUE"""),"K/8/270825/1")</f>
        <v>K/8/270825/1</v>
      </c>
      <c r="C6984" s="42" t="str">
        <f>IFERROR(__xludf.DUMMYFUNCTION("""COMPUTED_VALUE"""),"M 989/ LABUHAN RATU RAYA")</f>
        <v>M 989/ LABUHAN RATU RAYA</v>
      </c>
      <c r="D6984" s="42" t="str">
        <f>IFERROR(__xludf.DUMMYFUNCTION("""COMPUTED_VALUE"""),"Berry")</f>
        <v>Berry</v>
      </c>
      <c r="E6984" s="42" t="str">
        <f>IFERROR(__xludf.DUMMYFUNCTION("""COMPUTED_VALUE"""),"DISERAHKAN")</f>
        <v>DISERAHKAN</v>
      </c>
      <c r="F6984" s="48">
        <f>IFERROR(__xludf.DUMMYFUNCTION("""COMPUTED_VALUE"""),45918.55396283565)</f>
        <v>45918.55396</v>
      </c>
      <c r="G6984" s="42" t="str">
        <f>IFERROR(__xludf.DUMMYFUNCTION("""COMPUTED_VALUE"""),"HAPUS BPHTB")</f>
        <v>HAPUS BPHTB</v>
      </c>
      <c r="H6984" s="42">
        <f t="shared" si="1"/>
        <v>2991</v>
      </c>
    </row>
    <row r="6985" ht="22.5" customHeight="1">
      <c r="B6985" s="42" t="str">
        <f>IFERROR(__xludf.DUMMYFUNCTION("""COMPUTED_VALUE"""),"K/9/270825/2")</f>
        <v>K/9/270825/2</v>
      </c>
      <c r="C6985" s="42" t="str">
        <f>IFERROR(__xludf.DUMMYFUNCTION("""COMPUTED_VALUE"""),"NIBEL M 13088/ SUKABUMI")</f>
        <v>NIBEL M 13088/ SUKABUMI</v>
      </c>
      <c r="D6985" s="42"/>
      <c r="E6985" s="42"/>
      <c r="F6985" s="48" t="str">
        <f>IFERROR(__xludf.DUMMYFUNCTION("""COMPUTED_VALUE"""),"")</f>
        <v/>
      </c>
      <c r="G6985" s="42" t="str">
        <f>IFERROR(__xludf.DUMMYFUNCTION("""COMPUTED_VALUE"""),"BN JUAL BELI")</f>
        <v>BN JUAL BELI</v>
      </c>
      <c r="H6985" s="42">
        <f t="shared" si="1"/>
        <v>2991</v>
      </c>
    </row>
    <row r="6986" ht="22.5" customHeight="1">
      <c r="B6986" s="42" t="str">
        <f>IFERROR(__xludf.DUMMYFUNCTION("""COMPUTED_VALUE"""),"K/10/270825/3")</f>
        <v>K/10/270825/3</v>
      </c>
      <c r="C6986" s="42" t="str">
        <f>IFERROR(__xludf.DUMMYFUNCTION("""COMPUTED_VALUE"""),"B 297/ NUSANTARA PERMAI")</f>
        <v>B 297/ NUSANTARA PERMAI</v>
      </c>
      <c r="D6986" s="42"/>
      <c r="E6986" s="42"/>
      <c r="F6986" s="48" t="str">
        <f>IFERROR(__xludf.DUMMYFUNCTION("""COMPUTED_VALUE"""),"")</f>
        <v/>
      </c>
      <c r="G6986" s="42" t="str">
        <f>IFERROR(__xludf.DUMMYFUNCTION("""COMPUTED_VALUE"""),"BN JUAL BELI")</f>
        <v>BN JUAL BELI</v>
      </c>
      <c r="H6986" s="42">
        <f t="shared" si="1"/>
        <v>2991</v>
      </c>
    </row>
    <row r="6987" ht="22.5" customHeight="1">
      <c r="B6987" s="42" t="str">
        <f>IFERROR(__xludf.DUMMYFUNCTION("""COMPUTED_VALUE"""),"K/11/270825/1")</f>
        <v>K/11/270825/1</v>
      </c>
      <c r="C6987" s="42" t="str">
        <f>IFERROR(__xludf.DUMMYFUNCTION("""COMPUTED_VALUE"""),"M. 1676/KEMILING RAYA")</f>
        <v>M. 1676/KEMILING RAYA</v>
      </c>
      <c r="D6987" s="42"/>
      <c r="E6987" s="42"/>
      <c r="F6987" s="48" t="str">
        <f>IFERROR(__xludf.DUMMYFUNCTION("""COMPUTED_VALUE"""),"")</f>
        <v/>
      </c>
      <c r="G6987" s="42" t="str">
        <f>IFERROR(__xludf.DUMMYFUNCTION("""COMPUTED_VALUE"""),"BN JUAL BELI EL")</f>
        <v>BN JUAL BELI EL</v>
      </c>
      <c r="H6987" s="42">
        <f t="shared" si="1"/>
        <v>2991</v>
      </c>
    </row>
    <row r="6988" ht="22.5" customHeight="1">
      <c r="B6988" s="42" t="str">
        <f>IFERROR(__xludf.DUMMYFUNCTION("""COMPUTED_VALUE"""),"K/12/270825/1")</f>
        <v>K/12/270825/1</v>
      </c>
      <c r="C6988" s="42" t="str">
        <f>IFERROR(__xludf.DUMMYFUNCTION("""COMPUTED_VALUE"""),"M. 805/Kali Balau Kencana	")</f>
        <v>M. 805/Kali Balau Kencana	</v>
      </c>
      <c r="D6988" s="42" t="str">
        <f>IFERROR(__xludf.DUMMYFUNCTION("""COMPUTED_VALUE"""),"Berry")</f>
        <v>Berry</v>
      </c>
      <c r="E6988" s="42" t="str">
        <f>IFERROR(__xludf.DUMMYFUNCTION("""COMPUTED_VALUE"""),"DISERAHKAN")</f>
        <v>DISERAHKAN</v>
      </c>
      <c r="F6988" s="48">
        <f>IFERROR(__xludf.DUMMYFUNCTION("""COMPUTED_VALUE"""),45918.55156554398)</f>
        <v>45918.55157</v>
      </c>
      <c r="G6988" s="42" t="str">
        <f>IFERROR(__xludf.DUMMYFUNCTION("""COMPUTED_VALUE"""),"BN Jual Beli	")</f>
        <v>BN Jual Beli	</v>
      </c>
      <c r="H6988" s="42">
        <f t="shared" si="1"/>
        <v>2992</v>
      </c>
    </row>
    <row r="6989" ht="22.5" customHeight="1">
      <c r="B6989" s="42" t="str">
        <f>IFERROR(__xludf.DUMMYFUNCTION("""COMPUTED_VALUE"""),"L/14/270825/1")</f>
        <v>L/14/270825/1</v>
      </c>
      <c r="C6989" s="42" t="str">
        <f>IFERROR(__xludf.DUMMYFUNCTION("""COMPUTED_VALUE"""),"B. 2435/SUKARAME I")</f>
        <v>B. 2435/SUKARAME I</v>
      </c>
      <c r="D6989" s="42" t="str">
        <f>IFERROR(__xludf.DUMMYFUNCTION("""COMPUTED_VALUE"""),"Berry")</f>
        <v>Berry</v>
      </c>
      <c r="E6989" s="42" t="str">
        <f>IFERROR(__xludf.DUMMYFUNCTION("""COMPUTED_VALUE"""),"DISERAHKAN")</f>
        <v>DISERAHKAN</v>
      </c>
      <c r="F6989" s="48">
        <f>IFERROR(__xludf.DUMMYFUNCTION("""COMPUTED_VALUE"""),45924.69463427083)</f>
        <v>45924.69463</v>
      </c>
      <c r="G6989" s="42" t="str">
        <f>IFERROR(__xludf.DUMMYFUNCTION("""COMPUTED_VALUE"""),"PENINGKATAN HAK")</f>
        <v>PENINGKATAN HAK</v>
      </c>
      <c r="H6989" s="42">
        <f t="shared" si="1"/>
        <v>2993</v>
      </c>
    </row>
    <row r="6990" ht="22.5" customHeight="1">
      <c r="B6990" s="42" t="str">
        <f>IFERROR(__xludf.DUMMYFUNCTION("""COMPUTED_VALUE"""),"K/13/270825/1")</f>
        <v>K/13/270825/1</v>
      </c>
      <c r="C6990" s="42" t="str">
        <f>IFERROR(__xludf.DUMMYFUNCTION("""COMPUTED_VALUE"""),"RAJABASA NUNYAI")</f>
        <v>RAJABASA NUNYAI</v>
      </c>
      <c r="D6990" s="42" t="str">
        <f>IFERROR(__xludf.DUMMYFUNCTION("""COMPUTED_VALUE"""),"Berry")</f>
        <v>Berry</v>
      </c>
      <c r="E6990" s="42" t="str">
        <f>IFERROR(__xludf.DUMMYFUNCTION("""COMPUTED_VALUE"""),"DISERAHKAN")</f>
        <v>DISERAHKAN</v>
      </c>
      <c r="F6990" s="48">
        <f>IFERROR(__xludf.DUMMYFUNCTION("""COMPUTED_VALUE"""),45926.383823344906)</f>
        <v>45926.38382</v>
      </c>
      <c r="G6990" s="42" t="str">
        <f>IFERROR(__xludf.DUMMYFUNCTION("""COMPUTED_VALUE"""),"PENGUKURAN PERTAMA KALI")</f>
        <v>PENGUKURAN PERTAMA KALI</v>
      </c>
      <c r="H6990" s="42">
        <f t="shared" si="1"/>
        <v>2994</v>
      </c>
    </row>
    <row r="6991" ht="22.5" customHeight="1">
      <c r="B6991" s="42" t="str">
        <f>IFERROR(__xludf.DUMMYFUNCTION("""COMPUTED_VALUE"""),"K/16/270825/1")</f>
        <v>K/16/270825/1</v>
      </c>
      <c r="C6991" s="42" t="str">
        <f>IFERROR(__xludf.DUMMYFUNCTION("""COMPUTED_VALUE"""),"M. 2765/Sukajawa	")</f>
        <v>M. 2765/Sukajawa	</v>
      </c>
      <c r="D6991" s="42"/>
      <c r="E6991" s="42"/>
      <c r="F6991" s="48" t="str">
        <f>IFERROR(__xludf.DUMMYFUNCTION("""COMPUTED_VALUE"""),"")</f>
        <v/>
      </c>
      <c r="G6991" s="42" t="str">
        <f>IFERROR(__xludf.DUMMYFUNCTION("""COMPUTED_VALUE"""),"BN Jual Beli	")</f>
        <v>BN Jual Beli	</v>
      </c>
      <c r="H6991" s="42">
        <f t="shared" si="1"/>
        <v>2994</v>
      </c>
    </row>
    <row r="6992" ht="22.5" customHeight="1">
      <c r="B6992" s="42" t="str">
        <f>IFERROR(__xludf.DUMMYFUNCTION("""COMPUTED_VALUE"""),"K/17/270825/1")</f>
        <v>K/17/270825/1</v>
      </c>
      <c r="C6992" s="42" t="str">
        <f>IFERROR(__xludf.DUMMYFUNCTION("""COMPUTED_VALUE"""),"M 318/ SUKABUMI INDAH")</f>
        <v>M 318/ SUKABUMI INDAH</v>
      </c>
      <c r="D6992" s="42"/>
      <c r="E6992" s="42"/>
      <c r="F6992" s="48" t="str">
        <f>IFERROR(__xludf.DUMMYFUNCTION("""COMPUTED_VALUE"""),"")</f>
        <v/>
      </c>
      <c r="G6992" s="42" t="str">
        <f>IFERROR(__xludf.DUMMYFUNCTION("""COMPUTED_VALUE"""),"BN HIBAH")</f>
        <v>BN HIBAH</v>
      </c>
      <c r="H6992" s="42">
        <f t="shared" si="1"/>
        <v>2994</v>
      </c>
    </row>
    <row r="6993" ht="22.5" customHeight="1">
      <c r="B6993" s="42" t="str">
        <f>IFERROR(__xludf.DUMMYFUNCTION("""COMPUTED_VALUE"""),"K/18/270825/2")</f>
        <v>K/18/270825/2</v>
      </c>
      <c r="C6993" s="42" t="str">
        <f>IFERROR(__xludf.DUMMYFUNCTION("""COMPUTED_VALUE"""),"B 4403/ SUKABUMI")</f>
        <v>B 4403/ SUKABUMI</v>
      </c>
      <c r="D6993" s="42" t="str">
        <f>IFERROR(__xludf.DUMMYFUNCTION("""COMPUTED_VALUE"""),"David")</f>
        <v>David</v>
      </c>
      <c r="E6993" s="42" t="str">
        <f>IFERROR(__xludf.DUMMYFUNCTION("""COMPUTED_VALUE"""),"DISERAHKAN")</f>
        <v>DISERAHKAN</v>
      </c>
      <c r="F6993" s="48">
        <f>IFERROR(__xludf.DUMMYFUNCTION("""COMPUTED_VALUE"""),45993.584555497684)</f>
        <v>45993.58456</v>
      </c>
      <c r="G6993" s="42" t="str">
        <f>IFERROR(__xludf.DUMMYFUNCTION("""COMPUTED_VALUE"""),"BN JUAL BELI")</f>
        <v>BN JUAL BELI</v>
      </c>
      <c r="H6993" s="42">
        <f t="shared" si="1"/>
        <v>2995</v>
      </c>
    </row>
    <row r="6994" ht="22.5" customHeight="1">
      <c r="B6994" s="42" t="str">
        <f>IFERROR(__xludf.DUMMYFUNCTION("""COMPUTED_VALUE"""),"K/15/270825/1")</f>
        <v>K/15/270825/1</v>
      </c>
      <c r="C6994" s="42" t="str">
        <f>IFERROR(__xludf.DUMMYFUNCTION("""COMPUTED_VALUE"""),"M. 1685/KEMILING RAYA")</f>
        <v>M. 1685/KEMILING RAYA</v>
      </c>
      <c r="D6994" s="42" t="str">
        <f>IFERROR(__xludf.DUMMYFUNCTION("""COMPUTED_VALUE"""),"Berry")</f>
        <v>Berry</v>
      </c>
      <c r="E6994" s="42" t="str">
        <f>IFERROR(__xludf.DUMMYFUNCTION("""COMPUTED_VALUE"""),"DISERAHKAN")</f>
        <v>DISERAHKAN</v>
      </c>
      <c r="F6994" s="48">
        <f>IFERROR(__xludf.DUMMYFUNCTION("""COMPUTED_VALUE"""),45988.63916851852)</f>
        <v>45988.63917</v>
      </c>
      <c r="G6994" s="42" t="str">
        <f>IFERROR(__xludf.DUMMYFUNCTION("""COMPUTED_VALUE"""),"BN WARIS")</f>
        <v>BN WARIS</v>
      </c>
      <c r="H6994" s="42">
        <f t="shared" si="1"/>
        <v>2996</v>
      </c>
    </row>
    <row r="6995" ht="22.5" customHeight="1">
      <c r="B6995" s="42" t="str">
        <f>IFERROR(__xludf.DUMMYFUNCTION("""COMPUTED_VALUE"""),"K/19/270825/3")</f>
        <v>K/19/270825/3</v>
      </c>
      <c r="C6995" s="42" t="str">
        <f>IFERROR(__xludf.DUMMYFUNCTION("""COMPUTED_VALUE"""),"NIBEL M 19716/ SUKARAME")</f>
        <v>NIBEL M 19716/ SUKARAME</v>
      </c>
      <c r="D6995" s="42" t="str">
        <f>IFERROR(__xludf.DUMMYFUNCTION("""COMPUTED_VALUE"""),"Berry")</f>
        <v>Berry</v>
      </c>
      <c r="E6995" s="42" t="str">
        <f>IFERROR(__xludf.DUMMYFUNCTION("""COMPUTED_VALUE"""),"DISERAHKAN")</f>
        <v>DISERAHKAN</v>
      </c>
      <c r="F6995" s="48">
        <f>IFERROR(__xludf.DUMMYFUNCTION("""COMPUTED_VALUE"""),45915.58146534722)</f>
        <v>45915.58147</v>
      </c>
      <c r="G6995" s="42" t="str">
        <f>IFERROR(__xludf.DUMMYFUNCTION("""COMPUTED_VALUE"""),"BN JUAL BELI")</f>
        <v>BN JUAL BELI</v>
      </c>
      <c r="H6995" s="42">
        <f t="shared" si="1"/>
        <v>2997</v>
      </c>
    </row>
    <row r="6996" ht="22.5" customHeight="1">
      <c r="B6996" s="42" t="str">
        <f>IFERROR(__xludf.DUMMYFUNCTION("""COMPUTED_VALUE"""),"L/21/270825/1")</f>
        <v>L/21/270825/1</v>
      </c>
      <c r="C6996" s="42" t="str">
        <f>IFERROR(__xludf.DUMMYFUNCTION("""COMPUTED_VALUE"""),"B. 2414 CAMPANG JAYA")</f>
        <v>B. 2414 CAMPANG JAYA</v>
      </c>
      <c r="D6996" s="42"/>
      <c r="E6996" s="42"/>
      <c r="F6996" s="48" t="str">
        <f>IFERROR(__xludf.DUMMYFUNCTION("""COMPUTED_VALUE"""),"")</f>
        <v/>
      </c>
      <c r="G6996" s="42" t="str">
        <f>IFERROR(__xludf.DUMMYFUNCTION("""COMPUTED_VALUE"""),"PENINGKATAN HAK")</f>
        <v>PENINGKATAN HAK</v>
      </c>
      <c r="H6996" s="42">
        <f t="shared" si="1"/>
        <v>2997</v>
      </c>
    </row>
    <row r="6997" ht="22.5" customHeight="1">
      <c r="B6997" s="42" t="str">
        <f>IFERROR(__xludf.DUMMYFUNCTION("""COMPUTED_VALUE"""),"K/20/270825/1")</f>
        <v>K/20/270825/1</v>
      </c>
      <c r="C6997" s="42" t="str">
        <f>IFERROR(__xludf.DUMMYFUNCTION("""COMPUTED_VALUE"""),"M. 13814/SUKABUMI")</f>
        <v>M. 13814/SUKABUMI</v>
      </c>
      <c r="D6997" s="42"/>
      <c r="E6997" s="42"/>
      <c r="F6997" s="48" t="str">
        <f>IFERROR(__xludf.DUMMYFUNCTION("""COMPUTED_VALUE"""),"")</f>
        <v/>
      </c>
      <c r="G6997" s="42" t="str">
        <f>IFERROR(__xludf.DUMMYFUNCTION("""COMPUTED_VALUE"""),"ROYA")</f>
        <v>ROYA</v>
      </c>
      <c r="H6997" s="42">
        <f t="shared" si="1"/>
        <v>2997</v>
      </c>
    </row>
    <row r="6998" ht="22.5" customHeight="1">
      <c r="B6998" s="42" t="str">
        <f>IFERROR(__xludf.DUMMYFUNCTION("""COMPUTED_VALUE"""),"K/22/270825/1")</f>
        <v>K/22/270825/1</v>
      </c>
      <c r="C6998" s="42" t="str">
        <f>IFERROR(__xludf.DUMMYFUNCTION("""COMPUTED_VALUE"""),"M. 963/Sumur Putri	")</f>
        <v>M. 963/Sumur Putri	</v>
      </c>
      <c r="D6998" s="42"/>
      <c r="E6998" s="42"/>
      <c r="F6998" s="48" t="str">
        <f>IFERROR(__xludf.DUMMYFUNCTION("""COMPUTED_VALUE"""),"")</f>
        <v/>
      </c>
      <c r="G6998" s="42" t="str">
        <f>IFERROR(__xludf.DUMMYFUNCTION("""COMPUTED_VALUE"""),"BN Jual Beli	")</f>
        <v>BN Jual Beli	</v>
      </c>
      <c r="H6998" s="42">
        <f t="shared" si="1"/>
        <v>2997</v>
      </c>
    </row>
    <row r="6999" ht="22.5" customHeight="1">
      <c r="B6999" s="42" t="str">
        <f>IFERROR(__xludf.DUMMYFUNCTION("""COMPUTED_VALUE"""),"K/25/270825/1")</f>
        <v>K/25/270825/1</v>
      </c>
      <c r="C6999" s="42" t="str">
        <f>IFERROR(__xludf.DUMMYFUNCTION("""COMPUTED_VALUE"""),"NIBEL M 23065/ LANGKAPURA BARU")</f>
        <v>NIBEL M 23065/ LANGKAPURA BARU</v>
      </c>
      <c r="D6999" s="42"/>
      <c r="E6999" s="42"/>
      <c r="F6999" s="48" t="str">
        <f>IFERROR(__xludf.DUMMYFUNCTION("""COMPUTED_VALUE"""),"")</f>
        <v/>
      </c>
      <c r="G6999" s="42" t="str">
        <f>IFERROR(__xludf.DUMMYFUNCTION("""COMPUTED_VALUE"""),"BN JUAL BELI")</f>
        <v>BN JUAL BELI</v>
      </c>
      <c r="H6999" s="42">
        <f t="shared" si="1"/>
        <v>2997</v>
      </c>
    </row>
    <row r="7000" ht="22.5" customHeight="1">
      <c r="B7000" s="42" t="str">
        <f>IFERROR(__xludf.DUMMYFUNCTION("""COMPUTED_VALUE"""),"K/23/270825/1")</f>
        <v>K/23/270825/1</v>
      </c>
      <c r="C7000" s="42" t="str">
        <f>IFERROR(__xludf.DUMMYFUNCTION("""COMPUTED_VALUE"""),"NIBEL M. 18911/SUKARAME BARU")</f>
        <v>NIBEL M. 18911/SUKARAME BARU</v>
      </c>
      <c r="D7000" s="42"/>
      <c r="E7000" s="42"/>
      <c r="F7000" s="48" t="str">
        <f>IFERROR(__xludf.DUMMYFUNCTION("""COMPUTED_VALUE"""),"")</f>
        <v/>
      </c>
      <c r="G7000" s="42" t="str">
        <f>IFERROR(__xludf.DUMMYFUNCTION("""COMPUTED_VALUE"""),"BN JUAL BELI EL")</f>
        <v>BN JUAL BELI EL</v>
      </c>
      <c r="H7000" s="42">
        <f t="shared" si="1"/>
        <v>2997</v>
      </c>
    </row>
    <row r="7001" ht="22.5" customHeight="1">
      <c r="B7001" s="42" t="str">
        <f>IFERROR(__xludf.DUMMYFUNCTION("""COMPUTED_VALUE"""),"K/28/270825/1")</f>
        <v>K/28/270825/1</v>
      </c>
      <c r="C7001" s="42" t="str">
        <f>IFERROR(__xludf.DUMMYFUNCTION("""COMPUTED_VALUE"""),"M 2420/ NOG")</f>
        <v>M 2420/ NOG</v>
      </c>
      <c r="D7001" s="42"/>
      <c r="E7001" s="42"/>
      <c r="F7001" s="48" t="str">
        <f>IFERROR(__xludf.DUMMYFUNCTION("""COMPUTED_VALUE"""),"")</f>
        <v/>
      </c>
      <c r="G7001" s="42" t="str">
        <f>IFERROR(__xludf.DUMMYFUNCTION("""COMPUTED_VALUE"""),"BN JUAL BELI")</f>
        <v>BN JUAL BELI</v>
      </c>
      <c r="H7001" s="42">
        <f t="shared" si="1"/>
        <v>2997</v>
      </c>
    </row>
    <row r="7002" ht="22.5" customHeight="1">
      <c r="B7002" s="42" t="str">
        <f>IFERROR(__xludf.DUMMYFUNCTION("""COMPUTED_VALUE"""),"L/27/270825/1")</f>
        <v>L/27/270825/1</v>
      </c>
      <c r="C7002" s="42" t="str">
        <f>IFERROR(__xludf.DUMMYFUNCTION("""COMPUTED_VALUE"""),"M. 1189/KEDAUNG")</f>
        <v>M. 1189/KEDAUNG</v>
      </c>
      <c r="D7002" s="42" t="str">
        <f>IFERROR(__xludf.DUMMYFUNCTION("""COMPUTED_VALUE"""),"David")</f>
        <v>David</v>
      </c>
      <c r="E7002" s="42" t="str">
        <f>IFERROR(__xludf.DUMMYFUNCTION("""COMPUTED_VALUE"""),"DISERAHKAN")</f>
        <v>DISERAHKAN</v>
      </c>
      <c r="F7002" s="48">
        <f>IFERROR(__xludf.DUMMYFUNCTION("""COMPUTED_VALUE"""),45950.6043428125)</f>
        <v>45950.60434</v>
      </c>
      <c r="G7002" s="42" t="str">
        <f>IFERROR(__xludf.DUMMYFUNCTION("""COMPUTED_VALUE"""),"HAPUS BPHTB")</f>
        <v>HAPUS BPHTB</v>
      </c>
      <c r="H7002" s="42">
        <f t="shared" si="1"/>
        <v>2998</v>
      </c>
    </row>
    <row r="7003" ht="22.5" customHeight="1">
      <c r="B7003" s="42" t="str">
        <f>IFERROR(__xludf.DUMMYFUNCTION("""COMPUTED_VALUE"""),"L/29/270825/1")</f>
        <v>L/29/270825/1</v>
      </c>
      <c r="C7003" s="42" t="str">
        <f>IFERROR(__xludf.DUMMYFUNCTION("""COMPUTED_VALUE"""),"B. 583/SUKAMAJU")</f>
        <v>B. 583/SUKAMAJU</v>
      </c>
      <c r="D7003" s="42" t="str">
        <f>IFERROR(__xludf.DUMMYFUNCTION("""COMPUTED_VALUE"""),"Berry")</f>
        <v>Berry</v>
      </c>
      <c r="E7003" s="42" t="str">
        <f>IFERROR(__xludf.DUMMYFUNCTION("""COMPUTED_VALUE"""),"DISERAHKAN")</f>
        <v>DISERAHKAN</v>
      </c>
      <c r="F7003" s="48">
        <f>IFERROR(__xludf.DUMMYFUNCTION("""COMPUTED_VALUE"""),45904.672870821756)</f>
        <v>45904.67287</v>
      </c>
      <c r="G7003" s="42" t="str">
        <f>IFERROR(__xludf.DUMMYFUNCTION("""COMPUTED_VALUE"""),"PENINGKATAN HAK")</f>
        <v>PENINGKATAN HAK</v>
      </c>
      <c r="H7003" s="42">
        <f t="shared" si="1"/>
        <v>2999</v>
      </c>
    </row>
    <row r="7004" ht="22.5" customHeight="1">
      <c r="B7004" s="42" t="str">
        <f>IFERROR(__xludf.DUMMYFUNCTION("""COMPUTED_VALUE"""),"K/33/270825/1")</f>
        <v>K/33/270825/1</v>
      </c>
      <c r="C7004" s="42" t="str">
        <f>IFERROR(__xludf.DUMMYFUNCTION("""COMPUTED_VALUE"""),"M 5520/ RAJABASA JAYA")</f>
        <v>M 5520/ RAJABASA JAYA</v>
      </c>
      <c r="D7004" s="42"/>
      <c r="E7004" s="42"/>
      <c r="F7004" s="48" t="str">
        <f>IFERROR(__xludf.DUMMYFUNCTION("""COMPUTED_VALUE"""),"")</f>
        <v/>
      </c>
      <c r="G7004" s="42" t="str">
        <f>IFERROR(__xludf.DUMMYFUNCTION("""COMPUTED_VALUE"""),"BN JUAL BELI")</f>
        <v>BN JUAL BELI</v>
      </c>
      <c r="H7004" s="42">
        <f t="shared" si="1"/>
        <v>2999</v>
      </c>
    </row>
    <row r="7005" ht="22.5" customHeight="1">
      <c r="B7005" s="42" t="str">
        <f>IFERROR(__xludf.DUMMYFUNCTION("""COMPUTED_VALUE"""),"K/30/270825/1")</f>
        <v>K/30/270825/1</v>
      </c>
      <c r="C7005" s="42" t="str">
        <f>IFERROR(__xludf.DUMMYFUNCTION("""COMPUTED_VALUE"""),"M. 1925/Rajabasa Raya	")</f>
        <v>M. 1925/Rajabasa Raya	</v>
      </c>
      <c r="D7005" s="42"/>
      <c r="E7005" s="42"/>
      <c r="F7005" s="48" t="str">
        <f>IFERROR(__xludf.DUMMYFUNCTION("""COMPUTED_VALUE"""),"")</f>
        <v/>
      </c>
      <c r="G7005" s="42" t="str">
        <f>IFERROR(__xludf.DUMMYFUNCTION("""COMPUTED_VALUE"""),"BN Jual Beli	")</f>
        <v>BN Jual Beli	</v>
      </c>
      <c r="H7005" s="42">
        <f t="shared" si="1"/>
        <v>2999</v>
      </c>
    </row>
    <row r="7006" ht="22.5" customHeight="1">
      <c r="B7006" s="42" t="str">
        <f>IFERROR(__xludf.DUMMYFUNCTION("""COMPUTED_VALUE"""),"K/26/270825/1")</f>
        <v>K/26/270825/1</v>
      </c>
      <c r="C7006" s="42" t="str">
        <f>IFERROR(__xludf.DUMMYFUNCTION("""COMPUTED_VALUE"""),"M. 1385/GEDONG AIR")</f>
        <v>M. 1385/GEDONG AIR</v>
      </c>
      <c r="D7006" s="42"/>
      <c r="E7006" s="42"/>
      <c r="F7006" s="48" t="str">
        <f>IFERROR(__xludf.DUMMYFUNCTION("""COMPUTED_VALUE"""),"")</f>
        <v/>
      </c>
      <c r="G7006" s="42" t="str">
        <f>IFERROR(__xludf.DUMMYFUNCTION("""COMPUTED_VALUE"""),"BN JUAL BELI EL")</f>
        <v>BN JUAL BELI EL</v>
      </c>
      <c r="H7006" s="42">
        <f t="shared" si="1"/>
        <v>2999</v>
      </c>
    </row>
    <row r="7007" ht="22.5" customHeight="1">
      <c r="B7007" s="42" t="str">
        <f>IFERROR(__xludf.DUMMYFUNCTION("""COMPUTED_VALUE"""),"K/35/270825/1")</f>
        <v>K/35/270825/1</v>
      </c>
      <c r="C7007" s="42" t="str">
        <f>IFERROR(__xludf.DUMMYFUNCTION("""COMPUTED_VALUE"""),"M 974/ JAGABAYA III")</f>
        <v>M 974/ JAGABAYA III</v>
      </c>
      <c r="D7007" s="42" t="str">
        <f>IFERROR(__xludf.DUMMYFUNCTION("""COMPUTED_VALUE"""),"Berry")</f>
        <v>Berry</v>
      </c>
      <c r="E7007" s="42" t="str">
        <f>IFERROR(__xludf.DUMMYFUNCTION("""COMPUTED_VALUE"""),"DISERAHKAN")</f>
        <v>DISERAHKAN</v>
      </c>
      <c r="F7007" s="48">
        <f>IFERROR(__xludf.DUMMYFUNCTION("""COMPUTED_VALUE"""),45996.58962533565)</f>
        <v>45996.58963</v>
      </c>
      <c r="G7007" s="42" t="str">
        <f>IFERROR(__xludf.DUMMYFUNCTION("""COMPUTED_VALUE"""),"SKPT LELANG")</f>
        <v>SKPT LELANG</v>
      </c>
      <c r="H7007" s="42">
        <f t="shared" si="1"/>
        <v>3000</v>
      </c>
    </row>
    <row r="7008" ht="22.5" customHeight="1">
      <c r="B7008" s="42" t="str">
        <f>IFERROR(__xludf.DUMMYFUNCTION("""COMPUTED_VALUE"""),"K/34/270825/1")</f>
        <v>K/34/270825/1</v>
      </c>
      <c r="C7008" s="42" t="str">
        <f>IFERROR(__xludf.DUMMYFUNCTION("""COMPUTED_VALUE"""),"NIBEL M. 19794/WAY KANDIS")</f>
        <v>NIBEL M. 19794/WAY KANDIS</v>
      </c>
      <c r="D7008" s="42"/>
      <c r="E7008" s="42"/>
      <c r="F7008" s="48" t="str">
        <f>IFERROR(__xludf.DUMMYFUNCTION("""COMPUTED_VALUE"""),"")</f>
        <v/>
      </c>
      <c r="G7008" s="42" t="str">
        <f>IFERROR(__xludf.DUMMYFUNCTION("""COMPUTED_VALUE"""),"BN JUAL BELI EL")</f>
        <v>BN JUAL BELI EL</v>
      </c>
      <c r="H7008" s="42">
        <f t="shared" si="1"/>
        <v>3000</v>
      </c>
    </row>
    <row r="7009" ht="22.5" customHeight="1">
      <c r="B7009" s="42" t="str">
        <f>IFERROR(__xludf.DUMMYFUNCTION("""COMPUTED_VALUE"""),"K/36/270825/1")</f>
        <v>K/36/270825/1</v>
      </c>
      <c r="C7009" s="42" t="str">
        <f>IFERROR(__xludf.DUMMYFUNCTION("""COMPUTED_VALUE"""),"B. 2043/CAMPANG RAYA")</f>
        <v>B. 2043/CAMPANG RAYA</v>
      </c>
      <c r="D7009" s="42"/>
      <c r="E7009" s="42"/>
      <c r="F7009" s="48" t="str">
        <f>IFERROR(__xludf.DUMMYFUNCTION("""COMPUTED_VALUE"""),"")</f>
        <v/>
      </c>
      <c r="G7009" s="42" t="str">
        <f>IFERROR(__xludf.DUMMYFUNCTION("""COMPUTED_VALUE"""),"BN JUAL BELI  EL")</f>
        <v>BN JUAL BELI  EL</v>
      </c>
      <c r="H7009" s="42">
        <f t="shared" si="1"/>
        <v>3000</v>
      </c>
    </row>
    <row r="7010" ht="22.5" customHeight="1">
      <c r="B7010" s="42" t="str">
        <f>IFERROR(__xludf.DUMMYFUNCTION("""COMPUTED_VALUE"""),"K/37/270825/1")</f>
        <v>K/37/270825/1</v>
      </c>
      <c r="C7010" s="42" t="str">
        <f>IFERROR(__xludf.DUMMYFUNCTION("""COMPUTED_VALUE"""),"NIBEL B 10956/ LABUHAN DALAM")</f>
        <v>NIBEL B 10956/ LABUHAN DALAM</v>
      </c>
      <c r="D7010" s="42"/>
      <c r="E7010" s="42"/>
      <c r="F7010" s="48" t="str">
        <f>IFERROR(__xludf.DUMMYFUNCTION("""COMPUTED_VALUE"""),"")</f>
        <v/>
      </c>
      <c r="G7010" s="42" t="str">
        <f>IFERROR(__xludf.DUMMYFUNCTION("""COMPUTED_VALUE"""),"BN JUAL BELI")</f>
        <v>BN JUAL BELI</v>
      </c>
      <c r="H7010" s="42">
        <f t="shared" si="1"/>
        <v>3000</v>
      </c>
    </row>
    <row r="7011" ht="22.5" customHeight="1">
      <c r="B7011" s="42" t="str">
        <f>IFERROR(__xludf.DUMMYFUNCTION("""COMPUTED_VALUE"""),"K/30/270825/1")</f>
        <v>K/30/270825/1</v>
      </c>
      <c r="C7011" s="42" t="str">
        <f>IFERROR(__xludf.DUMMYFUNCTION("""COMPUTED_VALUE"""),"M. 972/Beringin Jaya")</f>
        <v>M. 972/Beringin Jaya</v>
      </c>
      <c r="D7011" s="42"/>
      <c r="E7011" s="42"/>
      <c r="F7011" s="48" t="str">
        <f>IFERROR(__xludf.DUMMYFUNCTION("""COMPUTED_VALUE"""),"")</f>
        <v/>
      </c>
      <c r="G7011" s="42" t="str">
        <f>IFERROR(__xludf.DUMMYFUNCTION("""COMPUTED_VALUE"""),"BN Jual Beli	")</f>
        <v>BN Jual Beli	</v>
      </c>
      <c r="H7011" s="42">
        <f t="shared" si="1"/>
        <v>3000</v>
      </c>
    </row>
    <row r="7012" ht="22.5" customHeight="1">
      <c r="B7012" s="42" t="str">
        <f>IFERROR(__xludf.DUMMYFUNCTION("""COMPUTED_VALUE"""),"K/38/270825/1")</f>
        <v>K/38/270825/1</v>
      </c>
      <c r="C7012" s="42" t="str">
        <f>IFERROR(__xludf.DUMMYFUNCTION("""COMPUTED_VALUE"""),"M 842/ BERINGIN JAYA")</f>
        <v>M 842/ BERINGIN JAYA</v>
      </c>
      <c r="D7012" s="42" t="str">
        <f>IFERROR(__xludf.DUMMYFUNCTION("""COMPUTED_VALUE"""),"David")</f>
        <v>David</v>
      </c>
      <c r="E7012" s="42" t="str">
        <f>IFERROR(__xludf.DUMMYFUNCTION("""COMPUTED_VALUE"""),"DISERAHKAN")</f>
        <v>DISERAHKAN</v>
      </c>
      <c r="F7012" s="48">
        <f>IFERROR(__xludf.DUMMYFUNCTION("""COMPUTED_VALUE"""),45953.441975752314)</f>
        <v>45953.44198</v>
      </c>
      <c r="G7012" s="42" t="str">
        <f>IFERROR(__xludf.DUMMYFUNCTION("""COMPUTED_VALUE"""),"BN JUAL BELI")</f>
        <v>BN JUAL BELI</v>
      </c>
      <c r="H7012" s="42">
        <f t="shared" si="1"/>
        <v>3001</v>
      </c>
    </row>
    <row r="7013" ht="22.5" customHeight="1">
      <c r="B7013" s="42" t="str">
        <f>IFERROR(__xludf.DUMMYFUNCTION("""COMPUTED_VALUE"""),"K/39/270825/1")</f>
        <v>K/39/270825/1</v>
      </c>
      <c r="C7013" s="42" t="str">
        <f>IFERROR(__xludf.DUMMYFUNCTION("""COMPUTED_VALUE"""),"M 409/ HARAPAN JAYA")</f>
        <v>M 409/ HARAPAN JAYA</v>
      </c>
      <c r="D7013" s="42" t="str">
        <f>IFERROR(__xludf.DUMMYFUNCTION("""COMPUTED_VALUE"""),"Berry")</f>
        <v>Berry</v>
      </c>
      <c r="E7013" s="42" t="str">
        <f>IFERROR(__xludf.DUMMYFUNCTION("""COMPUTED_VALUE"""),"DISERAHKAN")</f>
        <v>DISERAHKAN</v>
      </c>
      <c r="F7013" s="48">
        <f>IFERROR(__xludf.DUMMYFUNCTION("""COMPUTED_VALUE"""),45908.634500879634)</f>
        <v>45908.6345</v>
      </c>
      <c r="G7013" s="42" t="str">
        <f>IFERROR(__xludf.DUMMYFUNCTION("""COMPUTED_VALUE"""),"BN JUAL BELI")</f>
        <v>BN JUAL BELI</v>
      </c>
      <c r="H7013" s="42">
        <f t="shared" si="1"/>
        <v>3002</v>
      </c>
    </row>
    <row r="7014" ht="22.5" customHeight="1">
      <c r="B7014" s="42" t="str">
        <f>IFERROR(__xludf.DUMMYFUNCTION("""COMPUTED_VALUE"""),"K/42/270825/1")</f>
        <v>K/42/270825/1</v>
      </c>
      <c r="C7014" s="42" t="str">
        <f>IFERROR(__xludf.DUMMYFUNCTION("""COMPUTED_VALUE"""),"M 9663/ SEGALA MIDER")</f>
        <v>M 9663/ SEGALA MIDER</v>
      </c>
      <c r="D7014" s="42"/>
      <c r="E7014" s="42"/>
      <c r="F7014" s="48" t="str">
        <f>IFERROR(__xludf.DUMMYFUNCTION("""COMPUTED_VALUE"""),"")</f>
        <v/>
      </c>
      <c r="G7014" s="42" t="str">
        <f>IFERROR(__xludf.DUMMYFUNCTION("""COMPUTED_VALUE"""),"BN JUAL BELI")</f>
        <v>BN JUAL BELI</v>
      </c>
      <c r="H7014" s="42">
        <f t="shared" si="1"/>
        <v>3002</v>
      </c>
    </row>
    <row r="7015" ht="22.5" customHeight="1">
      <c r="B7015" s="42" t="str">
        <f>IFERROR(__xludf.DUMMYFUNCTION("""COMPUTED_VALUE"""),"K/43/270825/2")</f>
        <v>K/43/270825/2</v>
      </c>
      <c r="C7015" s="42" t="str">
        <f>IFERROR(__xludf.DUMMYFUNCTION("""COMPUTED_VALUE"""),"M 211/ RAWA LAUT")</f>
        <v>M 211/ RAWA LAUT</v>
      </c>
      <c r="D7015" s="42" t="str">
        <f>IFERROR(__xludf.DUMMYFUNCTION("""COMPUTED_VALUE"""),"Berry")</f>
        <v>Berry</v>
      </c>
      <c r="E7015" s="42" t="str">
        <f>IFERROR(__xludf.DUMMYFUNCTION("""COMPUTED_VALUE"""),"DISERAHKAN")</f>
        <v>DISERAHKAN</v>
      </c>
      <c r="F7015" s="48">
        <f>IFERROR(__xludf.DUMMYFUNCTION("""COMPUTED_VALUE"""),45966.64745347222)</f>
        <v>45966.64745</v>
      </c>
      <c r="G7015" s="42" t="str">
        <f>IFERROR(__xludf.DUMMYFUNCTION("""COMPUTED_VALUE"""),"BN JUAL BELI")</f>
        <v>BN JUAL BELI</v>
      </c>
      <c r="H7015" s="42">
        <f t="shared" si="1"/>
        <v>3003</v>
      </c>
    </row>
    <row r="7016" ht="22.5" customHeight="1">
      <c r="B7016" s="42" t="str">
        <f>IFERROR(__xludf.DUMMYFUNCTION("""COMPUTED_VALUE"""),"K/44/270825/1")</f>
        <v>K/44/270825/1</v>
      </c>
      <c r="C7016" s="42" t="str">
        <f>IFERROR(__xludf.DUMMYFUNCTION("""COMPUTED_VALUE"""),"Tanah Mentah Sumiyati	")</f>
        <v>Tanah Mentah Sumiyati	</v>
      </c>
      <c r="D7016" s="42"/>
      <c r="E7016" s="42"/>
      <c r="F7016" s="48" t="str">
        <f>IFERROR(__xludf.DUMMYFUNCTION("""COMPUTED_VALUE"""),"")</f>
        <v/>
      </c>
      <c r="G7016" s="42" t="str">
        <f>IFERROR(__xludf.DUMMYFUNCTION("""COMPUTED_VALUE"""),"Pengukuran Pertama Kali	")</f>
        <v>Pengukuran Pertama Kali	</v>
      </c>
      <c r="H7016" s="42">
        <f t="shared" si="1"/>
        <v>3003</v>
      </c>
    </row>
    <row r="7017" ht="22.5" customHeight="1">
      <c r="B7017" s="42" t="str">
        <f>IFERROR(__xludf.DUMMYFUNCTION("""COMPUTED_VALUE"""),"K/1/280825/1")</f>
        <v>K/1/280825/1</v>
      </c>
      <c r="C7017" s="42" t="str">
        <f>IFERROR(__xludf.DUMMYFUNCTION("""COMPUTED_VALUE"""),"M 1200/ KUPANG TEBA")</f>
        <v>M 1200/ KUPANG TEBA</v>
      </c>
      <c r="D7017" s="42"/>
      <c r="E7017" s="42"/>
      <c r="F7017" s="48" t="str">
        <f>IFERROR(__xludf.DUMMYFUNCTION("""COMPUTED_VALUE"""),"")</f>
        <v/>
      </c>
      <c r="G7017" s="42" t="str">
        <f>IFERROR(__xludf.DUMMYFUNCTION("""COMPUTED_VALUE"""),"BN WARIS")</f>
        <v>BN WARIS</v>
      </c>
      <c r="H7017" s="42">
        <f t="shared" si="1"/>
        <v>3003</v>
      </c>
    </row>
    <row r="7018" ht="22.5" customHeight="1">
      <c r="B7018" s="42" t="str">
        <f>IFERROR(__xludf.DUMMYFUNCTION("""COMPUTED_VALUE"""),"L/41/270825/1")</f>
        <v>L/41/270825/1</v>
      </c>
      <c r="C7018" s="42" t="str">
        <f>IFERROR(__xludf.DUMMYFUNCTION("""COMPUTED_VALUE"""),"B. 2191/SUKARAME I")</f>
        <v>B. 2191/SUKARAME I</v>
      </c>
      <c r="D7018" s="42" t="str">
        <f>IFERROR(__xludf.DUMMYFUNCTION("""COMPUTED_VALUE"""),"Berry")</f>
        <v>Berry</v>
      </c>
      <c r="E7018" s="42" t="str">
        <f>IFERROR(__xludf.DUMMYFUNCTION("""COMPUTED_VALUE"""),"DISERAHKAN")</f>
        <v>DISERAHKAN</v>
      </c>
      <c r="F7018" s="48">
        <f>IFERROR(__xludf.DUMMYFUNCTION("""COMPUTED_VALUE"""),45918.554762037034)</f>
        <v>45918.55476</v>
      </c>
      <c r="G7018" s="42" t="str">
        <f>IFERROR(__xludf.DUMMYFUNCTION("""COMPUTED_VALUE"""),"BN WARIS")</f>
        <v>BN WARIS</v>
      </c>
      <c r="H7018" s="42">
        <f t="shared" si="1"/>
        <v>3004</v>
      </c>
    </row>
    <row r="7019" ht="22.5" customHeight="1">
      <c r="B7019" s="42" t="str">
        <f>IFERROR(__xludf.DUMMYFUNCTION("""COMPUTED_VALUE"""),"L/2/280825/1")</f>
        <v>L/2/280825/1</v>
      </c>
      <c r="C7019" s="42" t="str">
        <f>IFERROR(__xludf.DUMMYFUNCTION("""COMPUTED_VALUE"""),"B. 887/WAY KANDIS")</f>
        <v>B. 887/WAY KANDIS</v>
      </c>
      <c r="D7019" s="42"/>
      <c r="E7019" s="42"/>
      <c r="F7019" s="48" t="str">
        <f>IFERROR(__xludf.DUMMYFUNCTION("""COMPUTED_VALUE"""),"")</f>
        <v/>
      </c>
      <c r="G7019" s="42" t="str">
        <f>IFERROR(__xludf.DUMMYFUNCTION("""COMPUTED_VALUE"""),"ROYA")</f>
        <v>ROYA</v>
      </c>
      <c r="H7019" s="42">
        <f t="shared" si="1"/>
        <v>3004</v>
      </c>
    </row>
    <row r="7020" ht="22.5" customHeight="1">
      <c r="B7020" s="42" t="str">
        <f>IFERROR(__xludf.DUMMYFUNCTION("""COMPUTED_VALUE"""),"K/3/280825/1")</f>
        <v>K/3/280825/1</v>
      </c>
      <c r="C7020" s="42" t="str">
        <f>IFERROR(__xludf.DUMMYFUNCTION("""COMPUTED_VALUE"""),"B. 33/Campang Raya	")</f>
        <v>B. 33/Campang Raya	</v>
      </c>
      <c r="D7020" s="42"/>
      <c r="E7020" s="42"/>
      <c r="F7020" s="48" t="str">
        <f>IFERROR(__xludf.DUMMYFUNCTION("""COMPUTED_VALUE"""),"")</f>
        <v/>
      </c>
      <c r="G7020" s="42" t="str">
        <f>IFERROR(__xludf.DUMMYFUNCTION("""COMPUTED_VALUE"""),"Ganti Nama dan Tanggal Lahir	")</f>
        <v>Ganti Nama dan Tanggal Lahir	</v>
      </c>
      <c r="H7020" s="42">
        <f t="shared" si="1"/>
        <v>3004</v>
      </c>
    </row>
    <row r="7021" ht="22.5" customHeight="1">
      <c r="B7021" s="42" t="str">
        <f>IFERROR(__xludf.DUMMYFUNCTION("""COMPUTED_VALUE"""),"K/40/270825/1")</f>
        <v>K/40/270825/1</v>
      </c>
      <c r="C7021" s="42" t="str">
        <f>IFERROR(__xludf.DUMMYFUNCTION("""COMPUTED_VALUE"""),"M. 846/SEPANG JAYA")</f>
        <v>M. 846/SEPANG JAYA</v>
      </c>
      <c r="D7021" s="42"/>
      <c r="E7021" s="42"/>
      <c r="F7021" s="48" t="str">
        <f>IFERROR(__xludf.DUMMYFUNCTION("""COMPUTED_VALUE"""),"")</f>
        <v/>
      </c>
      <c r="G7021" s="42" t="str">
        <f>IFERROR(__xludf.DUMMYFUNCTION("""COMPUTED_VALUE"""),"BN JUAL BELI EL")</f>
        <v>BN JUAL BELI EL</v>
      </c>
      <c r="H7021" s="42">
        <f t="shared" si="1"/>
        <v>3004</v>
      </c>
    </row>
    <row r="7022" ht="22.5" customHeight="1">
      <c r="B7022" s="42" t="str">
        <f>IFERROR(__xludf.DUMMYFUNCTION("""COMPUTED_VALUE"""),"K/4/280825/1")</f>
        <v>K/4/280825/1</v>
      </c>
      <c r="C7022" s="42" t="str">
        <f>IFERROR(__xludf.DUMMYFUNCTION("""COMPUTED_VALUE"""),"M. 2303/PINANG JAYA")</f>
        <v>M. 2303/PINANG JAYA</v>
      </c>
      <c r="D7022" s="42"/>
      <c r="E7022" s="42"/>
      <c r="F7022" s="48" t="str">
        <f>IFERROR(__xludf.DUMMYFUNCTION("""COMPUTED_VALUE"""),"")</f>
        <v/>
      </c>
      <c r="G7022" s="42" t="str">
        <f>IFERROR(__xludf.DUMMYFUNCTION("""COMPUTED_VALUE"""),"BN JUAL BELI EL")</f>
        <v>BN JUAL BELI EL</v>
      </c>
      <c r="H7022" s="42">
        <f t="shared" si="1"/>
        <v>3004</v>
      </c>
    </row>
    <row r="7023" ht="22.5" customHeight="1">
      <c r="B7023" s="42" t="str">
        <f>IFERROR(__xludf.DUMMYFUNCTION("""COMPUTED_VALUE"""),"K/6/280825/1")</f>
        <v>K/6/280825/1</v>
      </c>
      <c r="C7023" s="42" t="str">
        <f>IFERROR(__xludf.DUMMYFUNCTION("""COMPUTED_VALUE"""),"B. 916/Sukabumi Indah	")</f>
        <v>B. 916/Sukabumi Indah	</v>
      </c>
      <c r="D7023" s="42" t="str">
        <f>IFERROR(__xludf.DUMMYFUNCTION("""COMPUTED_VALUE"""),"Berry")</f>
        <v>Berry</v>
      </c>
      <c r="E7023" s="42" t="str">
        <f>IFERROR(__xludf.DUMMYFUNCTION("""COMPUTED_VALUE"""),"DISERAHKAN")</f>
        <v>DISERAHKAN</v>
      </c>
      <c r="F7023" s="48">
        <f>IFERROR(__xludf.DUMMYFUNCTION("""COMPUTED_VALUE"""),45910.594075138884)</f>
        <v>45910.59408</v>
      </c>
      <c r="G7023" s="42" t="str">
        <f>IFERROR(__xludf.DUMMYFUNCTION("""COMPUTED_VALUE"""),"BN Putusan Pengadilan	")</f>
        <v>BN Putusan Pengadilan	</v>
      </c>
      <c r="H7023" s="42">
        <f t="shared" si="1"/>
        <v>3005</v>
      </c>
    </row>
    <row r="7024" ht="22.5" customHeight="1">
      <c r="B7024" s="42" t="str">
        <f>IFERROR(__xludf.DUMMYFUNCTION("""COMPUTED_VALUE"""),"K/8/280825/1")</f>
        <v>K/8/280825/1</v>
      </c>
      <c r="C7024" s="42" t="str">
        <f>IFERROR(__xludf.DUMMYFUNCTION("""COMPUTED_VALUE"""),"M 13486/ KEDAMAIAN")</f>
        <v>M 13486/ KEDAMAIAN</v>
      </c>
      <c r="D7024" s="42"/>
      <c r="E7024" s="42"/>
      <c r="F7024" s="48" t="str">
        <f>IFERROR(__xludf.DUMMYFUNCTION("""COMPUTED_VALUE"""),"")</f>
        <v/>
      </c>
      <c r="G7024" s="42" t="str">
        <f>IFERROR(__xludf.DUMMYFUNCTION("""COMPUTED_VALUE"""),"BN JUAL BELI ")</f>
        <v>BN JUAL BELI </v>
      </c>
      <c r="H7024" s="42">
        <f t="shared" si="1"/>
        <v>3005</v>
      </c>
    </row>
    <row r="7025" ht="22.5" customHeight="1">
      <c r="B7025" s="42" t="str">
        <f>IFERROR(__xludf.DUMMYFUNCTION("""COMPUTED_VALUE"""),"K/9/280825/2")</f>
        <v>K/9/280825/2</v>
      </c>
      <c r="C7025" s="42" t="str">
        <f>IFERROR(__xludf.DUMMYFUNCTION("""COMPUTED_VALUE"""),"B 793/ SUMUR PUTRI")</f>
        <v>B 793/ SUMUR PUTRI</v>
      </c>
      <c r="D7025" s="42" t="str">
        <f>IFERROR(__xludf.DUMMYFUNCTION("""COMPUTED_VALUE"""),"Berry")</f>
        <v>Berry</v>
      </c>
      <c r="E7025" s="42" t="str">
        <f>IFERROR(__xludf.DUMMYFUNCTION("""COMPUTED_VALUE"""),"DISERAHKAN")</f>
        <v>DISERAHKAN</v>
      </c>
      <c r="F7025" s="48">
        <f>IFERROR(__xludf.DUMMYFUNCTION("""COMPUTED_VALUE"""),45945.67842314814)</f>
        <v>45945.67842</v>
      </c>
      <c r="G7025" s="42" t="str">
        <f>IFERROR(__xludf.DUMMYFUNCTION("""COMPUTED_VALUE"""),"BN JUAL BELI")</f>
        <v>BN JUAL BELI</v>
      </c>
      <c r="H7025" s="42">
        <f t="shared" si="1"/>
        <v>3006</v>
      </c>
    </row>
    <row r="7026" ht="22.5" customHeight="1">
      <c r="B7026" s="42" t="str">
        <f>IFERROR(__xludf.DUMMYFUNCTION("""COMPUTED_VALUE"""),"K/11/280825/1")</f>
        <v>K/11/280825/1</v>
      </c>
      <c r="C7026" s="42" t="str">
        <f>IFERROR(__xludf.DUMMYFUNCTION("""COMPUTED_VALUE"""),"M. 2445/Sukamaju")</f>
        <v>M. 2445/Sukamaju</v>
      </c>
      <c r="D7026" s="42"/>
      <c r="E7026" s="42"/>
      <c r="F7026" s="48" t="str">
        <f>IFERROR(__xludf.DUMMYFUNCTION("""COMPUTED_VALUE"""),"")</f>
        <v/>
      </c>
      <c r="G7026" s="42" t="str">
        <f>IFERROR(__xludf.DUMMYFUNCTION("""COMPUTED_VALUE"""),"BN Jual Beli		")</f>
        <v>BN Jual Beli		</v>
      </c>
      <c r="H7026" s="42">
        <f t="shared" si="1"/>
        <v>3006</v>
      </c>
    </row>
    <row r="7027" ht="22.5" customHeight="1">
      <c r="B7027" s="42" t="str">
        <f>IFERROR(__xludf.DUMMYFUNCTION("""COMPUTED_VALUE"""),"K/12/280825/1")</f>
        <v>K/12/280825/1</v>
      </c>
      <c r="C7027" s="42" t="str">
        <f>IFERROR(__xludf.DUMMYFUNCTION("""COMPUTED_VALUE"""),"M 3997/ TANJUNG SENENG")</f>
        <v>M 3997/ TANJUNG SENENG</v>
      </c>
      <c r="D7027" s="42" t="str">
        <f>IFERROR(__xludf.DUMMYFUNCTION("""COMPUTED_VALUE"""),"Berry")</f>
        <v>Berry</v>
      </c>
      <c r="E7027" s="42" t="str">
        <f>IFERROR(__xludf.DUMMYFUNCTION("""COMPUTED_VALUE"""),"DISERAHKAN")</f>
        <v>DISERAHKAN</v>
      </c>
      <c r="F7027" s="48">
        <f>IFERROR(__xludf.DUMMYFUNCTION("""COMPUTED_VALUE"""),45951.476410243056)</f>
        <v>45951.47641</v>
      </c>
      <c r="G7027" s="42" t="str">
        <f>IFERROR(__xludf.DUMMYFUNCTION("""COMPUTED_VALUE"""),"SKPT LELANG")</f>
        <v>SKPT LELANG</v>
      </c>
      <c r="H7027" s="42">
        <f t="shared" si="1"/>
        <v>3007</v>
      </c>
    </row>
    <row r="7028" ht="22.5" customHeight="1">
      <c r="B7028" s="42" t="str">
        <f>IFERROR(__xludf.DUMMYFUNCTION("""COMPUTED_VALUE"""),"K/5/280825/2")</f>
        <v>K/5/280825/2</v>
      </c>
      <c r="C7028" s="42" t="str">
        <f>IFERROR(__xludf.DUMMYFUNCTION("""COMPUTED_VALUE"""),"NIBEL M. 10963/RAJABASA JAYA")</f>
        <v>NIBEL M. 10963/RAJABASA JAYA</v>
      </c>
      <c r="D7028" s="42"/>
      <c r="E7028" s="42"/>
      <c r="F7028" s="48" t="str">
        <f>IFERROR(__xludf.DUMMYFUNCTION("""COMPUTED_VALUE"""),"")</f>
        <v/>
      </c>
      <c r="G7028" s="42" t="str">
        <f>IFERROR(__xludf.DUMMYFUNCTION("""COMPUTED_VALUE"""),"BN JUAL BELI EL")</f>
        <v>BN JUAL BELI EL</v>
      </c>
      <c r="H7028" s="42">
        <f t="shared" si="1"/>
        <v>3007</v>
      </c>
    </row>
    <row r="7029" ht="22.5" customHeight="1">
      <c r="B7029" s="42" t="str">
        <f>IFERROR(__xludf.DUMMYFUNCTION("""COMPUTED_VALUE"""),"L/10/280825/1")</f>
        <v>L/10/280825/1</v>
      </c>
      <c r="C7029" s="42" t="str">
        <f>IFERROR(__xludf.DUMMYFUNCTION("""COMPUTED_VALUE"""),"KELURAHAN PALAPA")</f>
        <v>KELURAHAN PALAPA</v>
      </c>
      <c r="D7029" s="42"/>
      <c r="E7029" s="42"/>
      <c r="F7029" s="48" t="str">
        <f>IFERROR(__xludf.DUMMYFUNCTION("""COMPUTED_VALUE"""),"")</f>
        <v/>
      </c>
      <c r="G7029" s="42" t="str">
        <f>IFERROR(__xludf.DUMMYFUNCTION("""COMPUTED_VALUE"""),"PENGUKURAN PERTAMA KALI")</f>
        <v>PENGUKURAN PERTAMA KALI</v>
      </c>
      <c r="H7029" s="42">
        <f t="shared" si="1"/>
        <v>3007</v>
      </c>
    </row>
    <row r="7030" ht="22.5" customHeight="1">
      <c r="B7030" s="42" t="str">
        <f>IFERROR(__xludf.DUMMYFUNCTION("""COMPUTED_VALUE"""),"L/13/280825/1")</f>
        <v>L/13/280825/1</v>
      </c>
      <c r="C7030" s="42" t="str">
        <f>IFERROR(__xludf.DUMMYFUNCTION("""COMPUTED_VALUE"""),"B. 857/PERUMNAS WAY KANDIS")</f>
        <v>B. 857/PERUMNAS WAY KANDIS</v>
      </c>
      <c r="D7030" s="42"/>
      <c r="E7030" s="42"/>
      <c r="F7030" s="48" t="str">
        <f>IFERROR(__xludf.DUMMYFUNCTION("""COMPUTED_VALUE"""),"")</f>
        <v/>
      </c>
      <c r="G7030" s="42" t="str">
        <f>IFERROR(__xludf.DUMMYFUNCTION("""COMPUTED_VALUE"""),"PENINGKATAN HAK")</f>
        <v>PENINGKATAN HAK</v>
      </c>
      <c r="H7030" s="42">
        <f t="shared" si="1"/>
        <v>3007</v>
      </c>
    </row>
    <row r="7031" ht="22.5" customHeight="1">
      <c r="B7031" s="42" t="str">
        <f>IFERROR(__xludf.DUMMYFUNCTION("""COMPUTED_VALUE"""),"K/14/280825/1")</f>
        <v>K/14/280825/1</v>
      </c>
      <c r="C7031" s="42" t="str">
        <f>IFERROR(__xludf.DUMMYFUNCTION("""COMPUTED_VALUE"""),"M. 94/Kuripan	")</f>
        <v>M. 94/Kuripan	</v>
      </c>
      <c r="D7031" s="42" t="str">
        <f>IFERROR(__xludf.DUMMYFUNCTION("""COMPUTED_VALUE"""),"Berry")</f>
        <v>Berry</v>
      </c>
      <c r="E7031" s="42" t="str">
        <f>IFERROR(__xludf.DUMMYFUNCTION("""COMPUTED_VALUE"""),"DISERAHKAN")</f>
        <v>DISERAHKAN</v>
      </c>
      <c r="F7031" s="48">
        <f>IFERROR(__xludf.DUMMYFUNCTION("""COMPUTED_VALUE"""),45926.38400363426)</f>
        <v>45926.384</v>
      </c>
      <c r="G7031" s="42" t="str">
        <f>IFERROR(__xludf.DUMMYFUNCTION("""COMPUTED_VALUE"""),"Ganti Blanko	")</f>
        <v>Ganti Blanko	</v>
      </c>
      <c r="H7031" s="42">
        <f t="shared" si="1"/>
        <v>3008</v>
      </c>
    </row>
    <row r="7032" ht="22.5" customHeight="1">
      <c r="B7032" s="42" t="str">
        <f>IFERROR(__xludf.DUMMYFUNCTION("""COMPUTED_VALUE"""),"K/15/280825/2")</f>
        <v>K/15/280825/2</v>
      </c>
      <c r="C7032" s="42" t="str">
        <f>IFERROR(__xludf.DUMMYFUNCTION("""COMPUTED_VALUE"""),"M 4008/ TANJUNG SENANG")</f>
        <v>M 4008/ TANJUNG SENANG</v>
      </c>
      <c r="D7032" s="42"/>
      <c r="E7032" s="42"/>
      <c r="F7032" s="48" t="str">
        <f>IFERROR(__xludf.DUMMYFUNCTION("""COMPUTED_VALUE"""),"")</f>
        <v/>
      </c>
      <c r="G7032" s="42" t="str">
        <f>IFERROR(__xludf.DUMMYFUNCTION("""COMPUTED_VALUE"""),"SKPT LELANG")</f>
        <v>SKPT LELANG</v>
      </c>
      <c r="H7032" s="42">
        <f t="shared" si="1"/>
        <v>3008</v>
      </c>
    </row>
    <row r="7033" ht="22.5" customHeight="1">
      <c r="B7033" s="42" t="str">
        <f>IFERROR(__xludf.DUMMYFUNCTION("""COMPUTED_VALUE"""),"K/16/280825/1")</f>
        <v>K/16/280825/1</v>
      </c>
      <c r="C7033" s="42" t="str">
        <f>IFERROR(__xludf.DUMMYFUNCTION("""COMPUTED_VALUE"""),"NIBEL M 16758/ KEDATON")</f>
        <v>NIBEL M 16758/ KEDATON</v>
      </c>
      <c r="D7033" s="42"/>
      <c r="E7033" s="42"/>
      <c r="F7033" s="48" t="str">
        <f>IFERROR(__xludf.DUMMYFUNCTION("""COMPUTED_VALUE"""),"")</f>
        <v/>
      </c>
      <c r="G7033" s="42" t="str">
        <f>IFERROR(__xludf.DUMMYFUNCTION("""COMPUTED_VALUE"""),"BN HIBAH")</f>
        <v>BN HIBAH</v>
      </c>
      <c r="H7033" s="42">
        <f t="shared" si="1"/>
        <v>3008</v>
      </c>
    </row>
    <row r="7034" ht="22.5" customHeight="1">
      <c r="B7034" s="42" t="str">
        <f>IFERROR(__xludf.DUMMYFUNCTION("""COMPUTED_VALUE"""),"K/18/280825/1")</f>
        <v>K/18/280825/1</v>
      </c>
      <c r="C7034" s="42" t="str">
        <f>IFERROR(__xludf.DUMMYFUNCTION("""COMPUTED_VALUE"""),"Nibel 3283/Rajabasa Pemuka		")</f>
        <v>Nibel 3283/Rajabasa Pemuka		</v>
      </c>
      <c r="D7034" s="42"/>
      <c r="E7034" s="42"/>
      <c r="F7034" s="48" t="str">
        <f>IFERROR(__xludf.DUMMYFUNCTION("""COMPUTED_VALUE"""),"")</f>
        <v/>
      </c>
      <c r="G7034" s="42" t="str">
        <f>IFERROR(__xludf.DUMMYFUNCTION("""COMPUTED_VALUE"""),"BN Jual Beli	")</f>
        <v>BN Jual Beli	</v>
      </c>
      <c r="H7034" s="42">
        <f t="shared" si="1"/>
        <v>3008</v>
      </c>
    </row>
    <row r="7035" ht="22.5" customHeight="1">
      <c r="B7035" s="42" t="str">
        <f>IFERROR(__xludf.DUMMYFUNCTION("""COMPUTED_VALUE"""),"K/17/280825/2")</f>
        <v>K/17/280825/2</v>
      </c>
      <c r="C7035" s="42" t="str">
        <f>IFERROR(__xludf.DUMMYFUNCTION("""COMPUTED_VALUE"""),"NIBEL M 16759/ KEDATON")</f>
        <v>NIBEL M 16759/ KEDATON</v>
      </c>
      <c r="D7035" s="42"/>
      <c r="E7035" s="42"/>
      <c r="F7035" s="48" t="str">
        <f>IFERROR(__xludf.DUMMYFUNCTION("""COMPUTED_VALUE"""),"")</f>
        <v/>
      </c>
      <c r="G7035" s="42" t="str">
        <f>IFERROR(__xludf.DUMMYFUNCTION("""COMPUTED_VALUE"""),"BN HIBAH")</f>
        <v>BN HIBAH</v>
      </c>
      <c r="H7035" s="42">
        <f t="shared" si="1"/>
        <v>3008</v>
      </c>
    </row>
    <row r="7036" ht="22.5" customHeight="1">
      <c r="B7036" s="42" t="str">
        <f>IFERROR(__xludf.DUMMYFUNCTION("""COMPUTED_VALUE"""),"K/21/280825/1")</f>
        <v>K/21/280825/1</v>
      </c>
      <c r="C7036" s="42" t="str">
        <f>IFERROR(__xludf.DUMMYFUNCTION("""COMPUTED_VALUE"""),"M 40/ LANGKAPURA BARU")</f>
        <v>M 40/ LANGKAPURA BARU</v>
      </c>
      <c r="D7036" s="42"/>
      <c r="E7036" s="42"/>
      <c r="F7036" s="48" t="str">
        <f>IFERROR(__xludf.DUMMYFUNCTION("""COMPUTED_VALUE"""),"")</f>
        <v/>
      </c>
      <c r="G7036" s="42" t="str">
        <f>IFERROR(__xludf.DUMMYFUNCTION("""COMPUTED_VALUE"""),"BN JUAL BELI")</f>
        <v>BN JUAL BELI</v>
      </c>
      <c r="H7036" s="42">
        <f t="shared" si="1"/>
        <v>3008</v>
      </c>
    </row>
    <row r="7037" ht="22.5" customHeight="1">
      <c r="B7037" s="42" t="str">
        <f>IFERROR(__xludf.DUMMYFUNCTION("""COMPUTED_VALUE"""),"K/26/280825/1")</f>
        <v>K/26/280825/1</v>
      </c>
      <c r="C7037" s="42" t="str">
        <f>IFERROR(__xludf.DUMMYFUNCTION("""COMPUTED_VALUE"""),"B.625/Nusantara Permai	")</f>
        <v>B.625/Nusantara Permai	</v>
      </c>
      <c r="D7037" s="42" t="str">
        <f>IFERROR(__xludf.DUMMYFUNCTION("""COMPUTED_VALUE"""),"Berry")</f>
        <v>Berry</v>
      </c>
      <c r="E7037" s="42" t="str">
        <f>IFERROR(__xludf.DUMMYFUNCTION("""COMPUTED_VALUE"""),"DISERAHKAN")</f>
        <v>DISERAHKAN</v>
      </c>
      <c r="F7037" s="48">
        <f>IFERROR(__xludf.DUMMYFUNCTION("""COMPUTED_VALUE"""),45951.47986259259)</f>
        <v>45951.47986</v>
      </c>
      <c r="G7037" s="42" t="str">
        <f>IFERROR(__xludf.DUMMYFUNCTION("""COMPUTED_VALUE"""),"Peningkatan hak	")</f>
        <v>Peningkatan hak	</v>
      </c>
      <c r="H7037" s="42">
        <f t="shared" si="1"/>
        <v>3009</v>
      </c>
    </row>
    <row r="7038" ht="22.5" customHeight="1">
      <c r="B7038" s="42" t="str">
        <f>IFERROR(__xludf.DUMMYFUNCTION("""COMPUTED_VALUE"""),"K/22/280825/2")</f>
        <v>K/22/280825/2</v>
      </c>
      <c r="C7038" s="42" t="str">
        <f>IFERROR(__xludf.DUMMYFUNCTION("""COMPUTED_VALUE"""),"M 41/ LANGKAPURA BARU")</f>
        <v>M 41/ LANGKAPURA BARU</v>
      </c>
      <c r="D7038" s="42"/>
      <c r="E7038" s="42"/>
      <c r="F7038" s="48" t="str">
        <f>IFERROR(__xludf.DUMMYFUNCTION("""COMPUTED_VALUE"""),"")</f>
        <v/>
      </c>
      <c r="G7038" s="42" t="str">
        <f>IFERROR(__xludf.DUMMYFUNCTION("""COMPUTED_VALUE"""),"BN JUAL BELI")</f>
        <v>BN JUAL BELI</v>
      </c>
      <c r="H7038" s="42">
        <f t="shared" si="1"/>
        <v>3009</v>
      </c>
    </row>
    <row r="7039" ht="22.5" customHeight="1">
      <c r="B7039" s="42" t="str">
        <f>IFERROR(__xludf.DUMMYFUNCTION("""COMPUTED_VALUE"""),"K/23/280825/3")</f>
        <v>K/23/280825/3</v>
      </c>
      <c r="C7039" s="42" t="str">
        <f>IFERROR(__xludf.DUMMYFUNCTION("""COMPUTED_VALUE"""),"M 42/ LANGKAPURA BARU")</f>
        <v>M 42/ LANGKAPURA BARU</v>
      </c>
      <c r="D7039" s="42" t="str">
        <f>IFERROR(__xludf.DUMMYFUNCTION("""COMPUTED_VALUE"""),"Berry")</f>
        <v>Berry</v>
      </c>
      <c r="E7039" s="42" t="str">
        <f>IFERROR(__xludf.DUMMYFUNCTION("""COMPUTED_VALUE"""),"DISERAHKAN")</f>
        <v>DISERAHKAN</v>
      </c>
      <c r="F7039" s="48">
        <f>IFERROR(__xludf.DUMMYFUNCTION("""COMPUTED_VALUE"""),45922.64265528935)</f>
        <v>45922.64266</v>
      </c>
      <c r="G7039" s="42" t="str">
        <f>IFERROR(__xludf.DUMMYFUNCTION("""COMPUTED_VALUE"""),"BN JUAL BELI")</f>
        <v>BN JUAL BELI</v>
      </c>
      <c r="H7039" s="42">
        <f t="shared" si="1"/>
        <v>3010</v>
      </c>
    </row>
    <row r="7040" ht="22.5" customHeight="1">
      <c r="B7040" s="42" t="str">
        <f>IFERROR(__xludf.DUMMYFUNCTION("""COMPUTED_VALUE"""),"K/24/280825/4")</f>
        <v>K/24/280825/4</v>
      </c>
      <c r="C7040" s="42" t="str">
        <f>IFERROR(__xludf.DUMMYFUNCTION("""COMPUTED_VALUE"""),"M 43/ LANGKAPURA BARU")</f>
        <v>M 43/ LANGKAPURA BARU</v>
      </c>
      <c r="D7040" s="42" t="str">
        <f>IFERROR(__xludf.DUMMYFUNCTION("""COMPUTED_VALUE"""),"Berry")</f>
        <v>Berry</v>
      </c>
      <c r="E7040" s="42" t="str">
        <f>IFERROR(__xludf.DUMMYFUNCTION("""COMPUTED_VALUE"""),"DISERAHKAN")</f>
        <v>DISERAHKAN</v>
      </c>
      <c r="F7040" s="48">
        <f>IFERROR(__xludf.DUMMYFUNCTION("""COMPUTED_VALUE"""),45951.47804967593)</f>
        <v>45951.47805</v>
      </c>
      <c r="G7040" s="42" t="str">
        <f>IFERROR(__xludf.DUMMYFUNCTION("""COMPUTED_VALUE"""),"BN JUAL BELI")</f>
        <v>BN JUAL BELI</v>
      </c>
      <c r="H7040" s="42">
        <f t="shared" si="1"/>
        <v>3011</v>
      </c>
    </row>
    <row r="7041" ht="22.5" customHeight="1">
      <c r="B7041" s="42" t="str">
        <f>IFERROR(__xludf.DUMMYFUNCTION("""COMPUTED_VALUE"""),"K/20/280826/1")</f>
        <v>K/20/280826/1</v>
      </c>
      <c r="C7041" s="42" t="str">
        <f>IFERROR(__xludf.DUMMYFUNCTION("""COMPUTED_VALUE"""),"M. 1925/RAJBASA RAYA")</f>
        <v>M. 1925/RAJBASA RAYA</v>
      </c>
      <c r="D7041" s="42" t="str">
        <f>IFERROR(__xludf.DUMMYFUNCTION("""COMPUTED_VALUE"""),"David")</f>
        <v>David</v>
      </c>
      <c r="E7041" s="42" t="str">
        <f>IFERROR(__xludf.DUMMYFUNCTION("""COMPUTED_VALUE"""),"DISERAHKAN")</f>
        <v>DISERAHKAN</v>
      </c>
      <c r="F7041" s="48">
        <f>IFERROR(__xludf.DUMMYFUNCTION("""COMPUTED_VALUE"""),45945.62442943287)</f>
        <v>45945.62443</v>
      </c>
      <c r="G7041" s="42" t="str">
        <f>IFERROR(__xludf.DUMMYFUNCTION("""COMPUTED_VALUE"""),"BN JUAL BELI EL")</f>
        <v>BN JUAL BELI EL</v>
      </c>
      <c r="H7041" s="42">
        <f t="shared" si="1"/>
        <v>3012</v>
      </c>
    </row>
    <row r="7042" ht="22.5" customHeight="1">
      <c r="B7042" s="42" t="str">
        <f>IFERROR(__xludf.DUMMYFUNCTION("""COMPUTED_VALUE"""),"K/25/280825/5")</f>
        <v>K/25/280825/5</v>
      </c>
      <c r="C7042" s="42" t="str">
        <f>IFERROR(__xludf.DUMMYFUNCTION("""COMPUTED_VALUE"""),"M 1983/ SUMBERREJO SEJAHTERA")</f>
        <v>M 1983/ SUMBERREJO SEJAHTERA</v>
      </c>
      <c r="D7042" s="42"/>
      <c r="E7042" s="42"/>
      <c r="F7042" s="48" t="str">
        <f>IFERROR(__xludf.DUMMYFUNCTION("""COMPUTED_VALUE"""),"")</f>
        <v/>
      </c>
      <c r="G7042" s="42" t="str">
        <f>IFERROR(__xludf.DUMMYFUNCTION("""COMPUTED_VALUE"""),"BN JUAL BELI")</f>
        <v>BN JUAL BELI</v>
      </c>
      <c r="H7042" s="42">
        <f t="shared" si="1"/>
        <v>3012</v>
      </c>
    </row>
    <row r="7043" ht="22.5" customHeight="1">
      <c r="B7043" s="42" t="str">
        <f>IFERROR(__xludf.DUMMYFUNCTION("""COMPUTED_VALUE"""),"K/28/280825/1")</f>
        <v>K/28/280825/1</v>
      </c>
      <c r="C7043" s="42" t="str">
        <f>IFERROR(__xludf.DUMMYFUNCTION("""COMPUTED_VALUE"""),"M. 1117/Kali Balau Kencana	")</f>
        <v>M. 1117/Kali Balau Kencana	</v>
      </c>
      <c r="D7043" s="42"/>
      <c r="E7043" s="42"/>
      <c r="F7043" s="48" t="str">
        <f>IFERROR(__xludf.DUMMYFUNCTION("""COMPUTED_VALUE"""),"")</f>
        <v/>
      </c>
      <c r="G7043" s="42" t="str">
        <f>IFERROR(__xludf.DUMMYFUNCTION("""COMPUTED_VALUE"""),"Hapus BPHTB	")</f>
        <v>Hapus BPHTB	</v>
      </c>
      <c r="H7043" s="42">
        <f t="shared" si="1"/>
        <v>3012</v>
      </c>
    </row>
    <row r="7044" ht="22.5" customHeight="1">
      <c r="B7044" s="42" t="str">
        <f>IFERROR(__xludf.DUMMYFUNCTION("""COMPUTED_VALUE"""),"K/29/280825/1")</f>
        <v>K/29/280825/1</v>
      </c>
      <c r="C7044" s="42" t="str">
        <f>IFERROR(__xludf.DUMMYFUNCTION("""COMPUTED_VALUE"""),"M 1304/ PENGAJARAN")</f>
        <v>M 1304/ PENGAJARAN</v>
      </c>
      <c r="D7044" s="42"/>
      <c r="E7044" s="42"/>
      <c r="F7044" s="48" t="str">
        <f>IFERROR(__xludf.DUMMYFUNCTION("""COMPUTED_VALUE"""),"")</f>
        <v/>
      </c>
      <c r="G7044" s="42" t="str">
        <f>IFERROR(__xludf.DUMMYFUNCTION("""COMPUTED_VALUE"""),"BN JUAL BELI")</f>
        <v>BN JUAL BELI</v>
      </c>
      <c r="H7044" s="42">
        <f t="shared" si="1"/>
        <v>3012</v>
      </c>
    </row>
    <row r="7045" ht="22.5" customHeight="1">
      <c r="B7045" s="42" t="str">
        <f>IFERROR(__xludf.DUMMYFUNCTION("""COMPUTED_VALUE"""),"K/27/280825/1")</f>
        <v>K/27/280825/1</v>
      </c>
      <c r="C7045" s="42" t="str">
        <f>IFERROR(__xludf.DUMMYFUNCTION("""COMPUTED_VALUE"""),"M. 9389/ SURABAYA")</f>
        <v>M. 9389/ SURABAYA</v>
      </c>
      <c r="D7045" s="42" t="str">
        <f>IFERROR(__xludf.DUMMYFUNCTION("""COMPUTED_VALUE"""),"Berry")</f>
        <v>Berry</v>
      </c>
      <c r="E7045" s="42" t="str">
        <f>IFERROR(__xludf.DUMMYFUNCTION("""COMPUTED_VALUE"""),"DISERAHKAN")</f>
        <v>DISERAHKAN</v>
      </c>
      <c r="F7045" s="48">
        <f>IFERROR(__xludf.DUMMYFUNCTION("""COMPUTED_VALUE"""),45938.49915752315)</f>
        <v>45938.49916</v>
      </c>
      <c r="G7045" s="42" t="str">
        <f>IFERROR(__xludf.DUMMYFUNCTION("""COMPUTED_VALUE"""),"BN HIBAH EL")</f>
        <v>BN HIBAH EL</v>
      </c>
      <c r="H7045" s="42">
        <f t="shared" si="1"/>
        <v>3013</v>
      </c>
    </row>
    <row r="7046" ht="22.5" customHeight="1">
      <c r="B7046" s="42" t="str">
        <f>IFERROR(__xludf.DUMMYFUNCTION("""COMPUTED_VALUE"""),"L/31/280825/1")</f>
        <v>L/31/280825/1</v>
      </c>
      <c r="C7046" s="42" t="str">
        <f>IFERROR(__xludf.DUMMYFUNCTION("""COMPUTED_VALUE"""),"M. 341/RAJABASA PEMUKA")</f>
        <v>M. 341/RAJABASA PEMUKA</v>
      </c>
      <c r="D7046" s="42"/>
      <c r="E7046" s="42"/>
      <c r="F7046" s="48" t="str">
        <f>IFERROR(__xludf.DUMMYFUNCTION("""COMPUTED_VALUE"""),"")</f>
        <v/>
      </c>
      <c r="G7046" s="42" t="str">
        <f>IFERROR(__xludf.DUMMYFUNCTION("""COMPUTED_VALUE"""),"BN LELANG")</f>
        <v>BN LELANG</v>
      </c>
      <c r="H7046" s="42">
        <f t="shared" si="1"/>
        <v>3013</v>
      </c>
    </row>
    <row r="7047" ht="22.5" customHeight="1">
      <c r="B7047" s="42" t="str">
        <f>IFERROR(__xludf.DUMMYFUNCTION("""COMPUTED_VALUE"""),"K/30/280825/1")</f>
        <v>K/30/280825/1</v>
      </c>
      <c r="C7047" s="42" t="str">
        <f>IFERROR(__xludf.DUMMYFUNCTION("""COMPUTED_VALUE"""),"M. 10066/GEDUNG MENENG")</f>
        <v>M. 10066/GEDUNG MENENG</v>
      </c>
      <c r="D7047" s="42" t="str">
        <f>IFERROR(__xludf.DUMMYFUNCTION("""COMPUTED_VALUE"""),"Berry")</f>
        <v>Berry</v>
      </c>
      <c r="E7047" s="42" t="str">
        <f>IFERROR(__xludf.DUMMYFUNCTION("""COMPUTED_VALUE"""),"DISERAHKAN")</f>
        <v>DISERAHKAN</v>
      </c>
      <c r="F7047" s="48">
        <f>IFERROR(__xludf.DUMMYFUNCTION("""COMPUTED_VALUE"""),45932.70288094907)</f>
        <v>45932.70288</v>
      </c>
      <c r="G7047" s="42" t="str">
        <f>IFERROR(__xludf.DUMMYFUNCTION("""COMPUTED_VALUE"""),"BN JUAL BELI EL")</f>
        <v>BN JUAL BELI EL</v>
      </c>
      <c r="H7047" s="42">
        <f t="shared" si="1"/>
        <v>3014</v>
      </c>
    </row>
    <row r="7048" ht="22.5" customHeight="1">
      <c r="B7048" s="42" t="str">
        <f>IFERROR(__xludf.DUMMYFUNCTION("""COMPUTED_VALUE"""),"K/34/280825/1")</f>
        <v>K/34/280825/1</v>
      </c>
      <c r="C7048" s="42" t="str">
        <f>IFERROR(__xludf.DUMMYFUNCTION("""COMPUTED_VALUE"""),"M 3235/ GEDONG AIR")</f>
        <v>M 3235/ GEDONG AIR</v>
      </c>
      <c r="D7048" s="42" t="str">
        <f>IFERROR(__xludf.DUMMYFUNCTION("""COMPUTED_VALUE"""),"Berry")</f>
        <v>Berry</v>
      </c>
      <c r="E7048" s="42" t="str">
        <f>IFERROR(__xludf.DUMMYFUNCTION("""COMPUTED_VALUE"""),"DISERAHKAN")</f>
        <v>DISERAHKAN</v>
      </c>
      <c r="F7048" s="48">
        <f>IFERROR(__xludf.DUMMYFUNCTION("""COMPUTED_VALUE"""),45945.68031954861)</f>
        <v>45945.68032</v>
      </c>
      <c r="G7048" s="42" t="str">
        <f>IFERROR(__xludf.DUMMYFUNCTION("""COMPUTED_VALUE"""),"BN JUAL BELI")</f>
        <v>BN JUAL BELI</v>
      </c>
      <c r="H7048" s="42">
        <f t="shared" si="1"/>
        <v>3015</v>
      </c>
    </row>
    <row r="7049" ht="22.5" customHeight="1">
      <c r="B7049" s="42" t="str">
        <f>IFERROR(__xludf.DUMMYFUNCTION("""COMPUTED_VALUE"""),"K/33/280825/1")</f>
        <v>K/33/280825/1</v>
      </c>
      <c r="C7049" s="42" t="str">
        <f>IFERROR(__xludf.DUMMYFUNCTION("""COMPUTED_VALUE"""),"M. 9814/Segala Mider        ")</f>
        <v>M. 9814/Segala Mider        </v>
      </c>
      <c r="D7049" s="42"/>
      <c r="E7049" s="42"/>
      <c r="F7049" s="48" t="str">
        <f>IFERROR(__xludf.DUMMYFUNCTION("""COMPUTED_VALUE"""),"")</f>
        <v/>
      </c>
      <c r="G7049" s="42" t="str">
        <f>IFERROR(__xludf.DUMMYFUNCTION("""COMPUTED_VALUE"""),"PTPGT	")</f>
        <v>PTPGT	</v>
      </c>
      <c r="H7049" s="42">
        <f t="shared" si="1"/>
        <v>3015</v>
      </c>
    </row>
    <row r="7050" ht="22.5" customHeight="1">
      <c r="B7050" s="42" t="str">
        <f>IFERROR(__xludf.DUMMYFUNCTION("""COMPUTED_VALUE"""),"K/32/280825/1")</f>
        <v>K/32/280825/1</v>
      </c>
      <c r="C7050" s="42" t="str">
        <f>IFERROR(__xludf.DUMMYFUNCTION("""COMPUTED_VALUE"""),"M. 230/BILABONG JAYA")</f>
        <v>M. 230/BILABONG JAYA</v>
      </c>
      <c r="D7050" s="42"/>
      <c r="E7050" s="42"/>
      <c r="F7050" s="48" t="str">
        <f>IFERROR(__xludf.DUMMYFUNCTION("""COMPUTED_VALUE"""),"")</f>
        <v/>
      </c>
      <c r="G7050" s="42" t="str">
        <f>IFERROR(__xludf.DUMMYFUNCTION("""COMPUTED_VALUE"""),"BN JUAL BELI")</f>
        <v>BN JUAL BELI</v>
      </c>
      <c r="H7050" s="42">
        <f t="shared" si="1"/>
        <v>3015</v>
      </c>
    </row>
    <row r="7051" ht="22.5" customHeight="1">
      <c r="B7051" s="42" t="str">
        <f>IFERROR(__xludf.DUMMYFUNCTION("""COMPUTED_VALUE"""),"K/36/280825/1")</f>
        <v>K/36/280825/1</v>
      </c>
      <c r="C7051" s="42" t="str">
        <f>IFERROR(__xludf.DUMMYFUNCTION("""COMPUTED_VALUE"""),"B 84/ GULAK GALIK")</f>
        <v>B 84/ GULAK GALIK</v>
      </c>
      <c r="D7051" s="42" t="str">
        <f>IFERROR(__xludf.DUMMYFUNCTION("""COMPUTED_VALUE"""),"Berry")</f>
        <v>Berry</v>
      </c>
      <c r="E7051" s="42" t="str">
        <f>IFERROR(__xludf.DUMMYFUNCTION("""COMPUTED_VALUE"""),"DISERAHKAN")</f>
        <v>DISERAHKAN</v>
      </c>
      <c r="F7051" s="48">
        <f>IFERROR(__xludf.DUMMYFUNCTION("""COMPUTED_VALUE"""),45938.48084087963)</f>
        <v>45938.48084</v>
      </c>
      <c r="G7051" s="42" t="str">
        <f>IFERROR(__xludf.DUMMYFUNCTION("""COMPUTED_VALUE"""),"PTPGT")</f>
        <v>PTPGT</v>
      </c>
      <c r="H7051" s="42">
        <f t="shared" si="1"/>
        <v>3016</v>
      </c>
    </row>
    <row r="7052" ht="22.5" customHeight="1">
      <c r="B7052" s="42" t="str">
        <f>IFERROR(__xludf.DUMMYFUNCTION("""COMPUTED_VALUE"""),"L/37/280825/1")</f>
        <v>L/37/280825/1</v>
      </c>
      <c r="C7052" s="42" t="str">
        <f>IFERROR(__xludf.DUMMYFUNCTION("""COMPUTED_VALUE"""),"M NIB. 20699/SUMBER AGUNG")</f>
        <v>M NIB. 20699/SUMBER AGUNG</v>
      </c>
      <c r="D7052" s="42"/>
      <c r="E7052" s="42"/>
      <c r="F7052" s="48" t="str">
        <f>IFERROR(__xludf.DUMMYFUNCTION("""COMPUTED_VALUE"""),"")</f>
        <v/>
      </c>
      <c r="G7052" s="42" t="str">
        <f>IFERROR(__xludf.DUMMYFUNCTION("""COMPUTED_VALUE"""),"BN JUAL BELI")</f>
        <v>BN JUAL BELI</v>
      </c>
      <c r="H7052" s="42">
        <f t="shared" si="1"/>
        <v>3016</v>
      </c>
    </row>
    <row r="7053" ht="22.5" customHeight="1">
      <c r="B7053" s="42" t="str">
        <f>IFERROR(__xludf.DUMMYFUNCTION("""COMPUTED_VALUE"""),"L/45/280825/1")</f>
        <v>L/45/280825/1</v>
      </c>
      <c r="C7053" s="42" t="str">
        <f>IFERROR(__xludf.DUMMYFUNCTION("""COMPUTED_VALUE"""),"M. 201/JAGABAYA III")</f>
        <v>M. 201/JAGABAYA III</v>
      </c>
      <c r="D7053" s="42"/>
      <c r="E7053" s="42"/>
      <c r="F7053" s="48" t="str">
        <f>IFERROR(__xludf.DUMMYFUNCTION("""COMPUTED_VALUE"""),"")</f>
        <v/>
      </c>
      <c r="G7053" s="42" t="str">
        <f>IFERROR(__xludf.DUMMYFUNCTION("""COMPUTED_VALUE"""),"CABUT BLOKIR")</f>
        <v>CABUT BLOKIR</v>
      </c>
      <c r="H7053" s="42">
        <f t="shared" si="1"/>
        <v>3016</v>
      </c>
    </row>
    <row r="7054" ht="22.5" customHeight="1">
      <c r="B7054" s="42" t="str">
        <f>IFERROR(__xludf.DUMMYFUNCTION("""COMPUTED_VALUE"""),"L/46/280825/1")</f>
        <v>L/46/280825/1</v>
      </c>
      <c r="C7054" s="42" t="str">
        <f>IFERROR(__xludf.DUMMYFUNCTION("""COMPUTED_VALUE"""),"M. 200/JAGABAYA III")</f>
        <v>M. 200/JAGABAYA III</v>
      </c>
      <c r="D7054" s="42"/>
      <c r="E7054" s="42"/>
      <c r="F7054" s="48" t="str">
        <f>IFERROR(__xludf.DUMMYFUNCTION("""COMPUTED_VALUE"""),"")</f>
        <v/>
      </c>
      <c r="G7054" s="42" t="str">
        <f>IFERROR(__xludf.DUMMYFUNCTION("""COMPUTED_VALUE"""),"CABUT BLOKIR")</f>
        <v>CABUT BLOKIR</v>
      </c>
      <c r="H7054" s="42">
        <f t="shared" si="1"/>
        <v>3016</v>
      </c>
    </row>
    <row r="7055" ht="22.5" customHeight="1">
      <c r="B7055" s="42" t="str">
        <f>IFERROR(__xludf.DUMMYFUNCTION("""COMPUTED_VALUE"""),"L/47/280825/1")</f>
        <v>L/47/280825/1</v>
      </c>
      <c r="C7055" s="42" t="str">
        <f>IFERROR(__xludf.DUMMYFUNCTION("""COMPUTED_VALUE"""),"M. 197/JAGABAYA III")</f>
        <v>M. 197/JAGABAYA III</v>
      </c>
      <c r="D7055" s="42"/>
      <c r="E7055" s="42"/>
      <c r="F7055" s="48" t="str">
        <f>IFERROR(__xludf.DUMMYFUNCTION("""COMPUTED_VALUE"""),"")</f>
        <v/>
      </c>
      <c r="G7055" s="42" t="str">
        <f>IFERROR(__xludf.DUMMYFUNCTION("""COMPUTED_VALUE"""),"CABUT BLOKIR")</f>
        <v>CABUT BLOKIR</v>
      </c>
      <c r="H7055" s="42">
        <f t="shared" si="1"/>
        <v>3016</v>
      </c>
    </row>
    <row r="7056" ht="22.5" customHeight="1">
      <c r="B7056" s="42" t="str">
        <f>IFERROR(__xludf.DUMMYFUNCTION("""COMPUTED_VALUE"""),"L/48/280825/1")</f>
        <v>L/48/280825/1</v>
      </c>
      <c r="C7056" s="42" t="str">
        <f>IFERROR(__xludf.DUMMYFUNCTION("""COMPUTED_VALUE"""),"M. 11167/JAGABAYA III")</f>
        <v>M. 11167/JAGABAYA III</v>
      </c>
      <c r="D7056" s="42"/>
      <c r="E7056" s="42"/>
      <c r="F7056" s="48" t="str">
        <f>IFERROR(__xludf.DUMMYFUNCTION("""COMPUTED_VALUE"""),"")</f>
        <v/>
      </c>
      <c r="G7056" s="42" t="str">
        <f>IFERROR(__xludf.DUMMYFUNCTION("""COMPUTED_VALUE"""),"CABUT BLOKIR")</f>
        <v>CABUT BLOKIR</v>
      </c>
      <c r="H7056" s="42">
        <f t="shared" si="1"/>
        <v>3016</v>
      </c>
    </row>
    <row r="7057" ht="22.5" customHeight="1">
      <c r="B7057" s="42" t="str">
        <f>IFERROR(__xludf.DUMMYFUNCTION("""COMPUTED_VALUE"""),"K/38/280825/1")</f>
        <v>K/38/280825/1</v>
      </c>
      <c r="C7057" s="42" t="str">
        <f>IFERROR(__xludf.DUMMYFUNCTION("""COMPUTED_VALUE"""),"Nibel 16489/Labuhan Dalam	")</f>
        <v>Nibel 16489/Labuhan Dalam	</v>
      </c>
      <c r="D7057" s="42"/>
      <c r="E7057" s="42"/>
      <c r="F7057" s="48" t="str">
        <f>IFERROR(__xludf.DUMMYFUNCTION("""COMPUTED_VALUE"""),"")</f>
        <v/>
      </c>
      <c r="G7057" s="42" t="str">
        <f>IFERROR(__xludf.DUMMYFUNCTION("""COMPUTED_VALUE"""),"BN Jual Beli	")</f>
        <v>BN Jual Beli	</v>
      </c>
      <c r="H7057" s="42">
        <f t="shared" si="1"/>
        <v>3016</v>
      </c>
    </row>
    <row r="7058" ht="22.5" customHeight="1">
      <c r="B7058" s="42" t="str">
        <f>IFERROR(__xludf.DUMMYFUNCTION("""COMPUTED_VALUE"""),"K/35/280825/1")</f>
        <v>K/35/280825/1</v>
      </c>
      <c r="C7058" s="42" t="str">
        <f>IFERROR(__xludf.DUMMYFUNCTION("""COMPUTED_VALUE"""),"NIBEL M. 13151/LANGKAPURA")</f>
        <v>NIBEL M. 13151/LANGKAPURA</v>
      </c>
      <c r="D7058" s="42"/>
      <c r="E7058" s="42"/>
      <c r="F7058" s="48" t="str">
        <f>IFERROR(__xludf.DUMMYFUNCTION("""COMPUTED_VALUE"""),"")</f>
        <v/>
      </c>
      <c r="G7058" s="42" t="str">
        <f>IFERROR(__xludf.DUMMYFUNCTION("""COMPUTED_VALUE"""),"BN JUAL BELI ")</f>
        <v>BN JUAL BELI </v>
      </c>
      <c r="H7058" s="42">
        <f t="shared" si="1"/>
        <v>3016</v>
      </c>
    </row>
    <row r="7059" ht="22.5" customHeight="1">
      <c r="B7059" s="42" t="str">
        <f>IFERROR(__xludf.DUMMYFUNCTION("""COMPUTED_VALUE"""),"K/39/280825/2")</f>
        <v>K/39/280825/2</v>
      </c>
      <c r="C7059" s="42" t="str">
        <f>IFERROR(__xludf.DUMMYFUNCTION("""COMPUTED_VALUE"""),"M. 5950/Way Kandis	")</f>
        <v>M. 5950/Way Kandis	</v>
      </c>
      <c r="D7059" s="42"/>
      <c r="E7059" s="42"/>
      <c r="F7059" s="48" t="str">
        <f>IFERROR(__xludf.DUMMYFUNCTION("""COMPUTED_VALUE"""),"")</f>
        <v/>
      </c>
      <c r="G7059" s="42" t="str">
        <f>IFERROR(__xludf.DUMMYFUNCTION("""COMPUTED_VALUE"""),"BN Jual Beli	")</f>
        <v>BN Jual Beli	</v>
      </c>
      <c r="H7059" s="42">
        <f t="shared" si="1"/>
        <v>3016</v>
      </c>
    </row>
    <row r="7060" ht="22.5" customHeight="1">
      <c r="B7060" s="42" t="str">
        <f>IFERROR(__xludf.DUMMYFUNCTION("""COMPUTED_VALUE"""),"K/50/280825/1")</f>
        <v>K/50/280825/1</v>
      </c>
      <c r="C7060" s="42" t="str">
        <f>IFERROR(__xludf.DUMMYFUNCTION("""COMPUTED_VALUE"""),"M. 2675/KOTA BARU")</f>
        <v>M. 2675/KOTA BARU</v>
      </c>
      <c r="D7060" s="42"/>
      <c r="E7060" s="42"/>
      <c r="F7060" s="48" t="str">
        <f>IFERROR(__xludf.DUMMYFUNCTION("""COMPUTED_VALUE"""),"")</f>
        <v/>
      </c>
      <c r="G7060" s="42" t="str">
        <f>IFERROR(__xludf.DUMMYFUNCTION("""COMPUTED_VALUE"""),"SKPT LELANG")</f>
        <v>SKPT LELANG</v>
      </c>
      <c r="H7060" s="42">
        <f t="shared" si="1"/>
        <v>3016</v>
      </c>
    </row>
    <row r="7061" ht="22.5" customHeight="1">
      <c r="B7061" s="42" t="str">
        <f>IFERROR(__xludf.DUMMYFUNCTION("""COMPUTED_VALUE"""),"K/40/280825/3")</f>
        <v>K/40/280825/3</v>
      </c>
      <c r="C7061" s="42" t="str">
        <f>IFERROR(__xludf.DUMMYFUNCTION("""COMPUTED_VALUE"""),"Nibel 20624/Rajabasa Jaya	")</f>
        <v>Nibel 20624/Rajabasa Jaya	</v>
      </c>
      <c r="D7061" s="42"/>
      <c r="E7061" s="42"/>
      <c r="F7061" s="48" t="str">
        <f>IFERROR(__xludf.DUMMYFUNCTION("""COMPUTED_VALUE"""),"")</f>
        <v/>
      </c>
      <c r="G7061" s="42" t="str">
        <f>IFERROR(__xludf.DUMMYFUNCTION("""COMPUTED_VALUE"""),"BN Jual Beli	")</f>
        <v>BN Jual Beli	</v>
      </c>
      <c r="H7061" s="42">
        <f t="shared" si="1"/>
        <v>3016</v>
      </c>
    </row>
    <row r="7062" ht="22.5" customHeight="1">
      <c r="B7062" s="42" t="str">
        <f>IFERROR(__xludf.DUMMYFUNCTION("""COMPUTED_VALUE"""),"K/41/280825/4")</f>
        <v>K/41/280825/4</v>
      </c>
      <c r="C7062" s="42" t="str">
        <f>IFERROR(__xludf.DUMMYFUNCTION("""COMPUTED_VALUE"""),"SHM 3236/Labuhan Dalam	")</f>
        <v>SHM 3236/Labuhan Dalam	</v>
      </c>
      <c r="D7062" s="42"/>
      <c r="E7062" s="42"/>
      <c r="F7062" s="48" t="str">
        <f>IFERROR(__xludf.DUMMYFUNCTION("""COMPUTED_VALUE"""),"")</f>
        <v/>
      </c>
      <c r="G7062" s="42" t="str">
        <f>IFERROR(__xludf.DUMMYFUNCTION("""COMPUTED_VALUE"""),"BN Jual Beli	")</f>
        <v>BN Jual Beli	</v>
      </c>
      <c r="H7062" s="42">
        <f t="shared" si="1"/>
        <v>3016</v>
      </c>
    </row>
    <row r="7063" ht="22.5" customHeight="1">
      <c r="B7063" s="42" t="str">
        <f>IFERROR(__xludf.DUMMYFUNCTION("""COMPUTED_VALUE"""),"K/42/280825/5")</f>
        <v>K/42/280825/5</v>
      </c>
      <c r="C7063" s="42" t="str">
        <f>IFERROR(__xludf.DUMMYFUNCTION("""COMPUTED_VALUE"""),"Nibel 2982/Labuhan Dalam	")</f>
        <v>Nibel 2982/Labuhan Dalam	</v>
      </c>
      <c r="D7063" s="42" t="str">
        <f>IFERROR(__xludf.DUMMYFUNCTION("""COMPUTED_VALUE"""),"David")</f>
        <v>David</v>
      </c>
      <c r="E7063" s="42" t="str">
        <f>IFERROR(__xludf.DUMMYFUNCTION("""COMPUTED_VALUE"""),"DISERAHKAN")</f>
        <v>DISERAHKAN</v>
      </c>
      <c r="F7063" s="48">
        <f>IFERROR(__xludf.DUMMYFUNCTION("""COMPUTED_VALUE"""),45945.62471488426)</f>
        <v>45945.62471</v>
      </c>
      <c r="G7063" s="42" t="str">
        <f>IFERROR(__xludf.DUMMYFUNCTION("""COMPUTED_VALUE"""),"BN Jual Beli	")</f>
        <v>BN Jual Beli	</v>
      </c>
      <c r="H7063" s="42">
        <f t="shared" si="1"/>
        <v>3017</v>
      </c>
    </row>
    <row r="7064" ht="22.5" customHeight="1">
      <c r="B7064" s="42" t="str">
        <f>IFERROR(__xludf.DUMMYFUNCTION("""COMPUTED_VALUE"""),"K/43/280825/1")</f>
        <v>K/43/280825/1</v>
      </c>
      <c r="C7064" s="42" t="str">
        <f>IFERROR(__xludf.DUMMYFUNCTION("""COMPUTED_VALUE"""),"M 12709/ BERINGIN RAYA")</f>
        <v>M 12709/ BERINGIN RAYA</v>
      </c>
      <c r="D7064" s="42"/>
      <c r="E7064" s="42"/>
      <c r="F7064" s="48" t="str">
        <f>IFERROR(__xludf.DUMMYFUNCTION("""COMPUTED_VALUE"""),"")</f>
        <v/>
      </c>
      <c r="G7064" s="42" t="str">
        <f>IFERROR(__xludf.DUMMYFUNCTION("""COMPUTED_VALUE"""),"GANTI NAMA HAK TANGGUNGAN")</f>
        <v>GANTI NAMA HAK TANGGUNGAN</v>
      </c>
      <c r="H7064" s="42">
        <f t="shared" si="1"/>
        <v>3017</v>
      </c>
    </row>
    <row r="7065" ht="22.5" customHeight="1">
      <c r="B7065" s="42" t="str">
        <f>IFERROR(__xludf.DUMMYFUNCTION("""COMPUTED_VALUE"""),"K/51/280825/2")</f>
        <v>K/51/280825/2</v>
      </c>
      <c r="C7065" s="42" t="str">
        <f>IFERROR(__xludf.DUMMYFUNCTION("""COMPUTED_VALUE"""),"M. 1809/JAGABAYA III")</f>
        <v>M. 1809/JAGABAYA III</v>
      </c>
      <c r="D7065" s="42"/>
      <c r="E7065" s="42"/>
      <c r="F7065" s="48" t="str">
        <f>IFERROR(__xludf.DUMMYFUNCTION("""COMPUTED_VALUE"""),"")</f>
        <v/>
      </c>
      <c r="G7065" s="42" t="str">
        <f>IFERROR(__xludf.DUMMYFUNCTION("""COMPUTED_VALUE"""),"SKPT LELANG")</f>
        <v>SKPT LELANG</v>
      </c>
      <c r="H7065" s="42">
        <f t="shared" si="1"/>
        <v>3017</v>
      </c>
    </row>
    <row r="7066" ht="22.5" customHeight="1">
      <c r="B7066" s="42" t="str">
        <f>IFERROR(__xludf.DUMMYFUNCTION("""COMPUTED_VALUE"""),"K/52/280825/1")</f>
        <v>K/52/280825/1</v>
      </c>
      <c r="C7066" s="42" t="str">
        <f>IFERROR(__xludf.DUMMYFUNCTION("""COMPUTED_VALUE"""),"M.9776/SUKAMENANTI")</f>
        <v>M.9776/SUKAMENANTI</v>
      </c>
      <c r="D7066" s="42"/>
      <c r="E7066" s="42"/>
      <c r="F7066" s="48" t="str">
        <f>IFERROR(__xludf.DUMMYFUNCTION("""COMPUTED_VALUE"""),"")</f>
        <v/>
      </c>
      <c r="G7066" s="42" t="str">
        <f>IFERROR(__xludf.DUMMYFUNCTION("""COMPUTED_VALUE"""),"BN JUAL BELI EL")</f>
        <v>BN JUAL BELI EL</v>
      </c>
      <c r="H7066" s="42">
        <f t="shared" si="1"/>
        <v>3017</v>
      </c>
    </row>
    <row r="7067" ht="22.5" customHeight="1">
      <c r="B7067" s="42" t="str">
        <f>IFERROR(__xludf.DUMMYFUNCTION("""COMPUTED_VALUE"""),"K/53/280825/2")</f>
        <v>K/53/280825/2</v>
      </c>
      <c r="C7067" s="42" t="str">
        <f>IFERROR(__xludf.DUMMYFUNCTION("""COMPUTED_VALUE"""),"M. 6567/TANJUNG SENANG")</f>
        <v>M. 6567/TANJUNG SENANG</v>
      </c>
      <c r="D7067" s="42" t="str">
        <f>IFERROR(__xludf.DUMMYFUNCTION("""COMPUTED_VALUE"""),"David")</f>
        <v>David</v>
      </c>
      <c r="E7067" s="42" t="str">
        <f>IFERROR(__xludf.DUMMYFUNCTION("""COMPUTED_VALUE"""),"DISERAHKAN")</f>
        <v>DISERAHKAN</v>
      </c>
      <c r="F7067" s="48">
        <f>IFERROR(__xludf.DUMMYFUNCTION("""COMPUTED_VALUE"""),45957.491185046296)</f>
        <v>45957.49119</v>
      </c>
      <c r="G7067" s="42" t="str">
        <f>IFERROR(__xludf.DUMMYFUNCTION("""COMPUTED_VALUE"""),"BN JUAL BELI")</f>
        <v>BN JUAL BELI</v>
      </c>
      <c r="H7067" s="42">
        <f t="shared" si="1"/>
        <v>3018</v>
      </c>
    </row>
    <row r="7068" ht="22.5" customHeight="1">
      <c r="B7068" s="42" t="str">
        <f>IFERROR(__xludf.DUMMYFUNCTION("""COMPUTED_VALUE"""),"K/54/280825/3")</f>
        <v>K/54/280825/3</v>
      </c>
      <c r="C7068" s="42" t="str">
        <f>IFERROR(__xludf.DUMMYFUNCTION("""COMPUTED_VALUE"""),"M.894/TANJUNG RAYA")</f>
        <v>M.894/TANJUNG RAYA</v>
      </c>
      <c r="D7068" s="42" t="str">
        <f>IFERROR(__xludf.DUMMYFUNCTION("""COMPUTED_VALUE"""),"Berry")</f>
        <v>Berry</v>
      </c>
      <c r="E7068" s="42" t="str">
        <f>IFERROR(__xludf.DUMMYFUNCTION("""COMPUTED_VALUE"""),"DISERAHKAN")</f>
        <v>DISERAHKAN</v>
      </c>
      <c r="F7068" s="48">
        <f>IFERROR(__xludf.DUMMYFUNCTION("""COMPUTED_VALUE"""),45951.46979379629)</f>
        <v>45951.46979</v>
      </c>
      <c r="G7068" s="42" t="str">
        <f>IFERROR(__xludf.DUMMYFUNCTION("""COMPUTED_VALUE"""),"BN JUAL BELI")</f>
        <v>BN JUAL BELI</v>
      </c>
      <c r="H7068" s="42">
        <f t="shared" si="1"/>
        <v>3019</v>
      </c>
    </row>
    <row r="7069" ht="22.5" customHeight="1">
      <c r="B7069" s="42" t="str">
        <f>IFERROR(__xludf.DUMMYFUNCTION("""COMPUTED_VALUE"""),"K/55/280825/2")</f>
        <v>K/55/280825/2</v>
      </c>
      <c r="C7069" s="42" t="str">
        <f>IFERROR(__xludf.DUMMYFUNCTION("""COMPUTED_VALUE"""),"NIBEL M. 22411/GUNUNG TERANG")</f>
        <v>NIBEL M. 22411/GUNUNG TERANG</v>
      </c>
      <c r="D7069" s="42" t="str">
        <f>IFERROR(__xludf.DUMMYFUNCTION("""COMPUTED_VALUE"""),"Berry")</f>
        <v>Berry</v>
      </c>
      <c r="E7069" s="42" t="str">
        <f>IFERROR(__xludf.DUMMYFUNCTION("""COMPUTED_VALUE"""),"DISERAHKAN")</f>
        <v>DISERAHKAN</v>
      </c>
      <c r="F7069" s="48">
        <f>IFERROR(__xludf.DUMMYFUNCTION("""COMPUTED_VALUE"""),45918.55317865741)</f>
        <v>45918.55318</v>
      </c>
      <c r="G7069" s="42" t="str">
        <f>IFERROR(__xludf.DUMMYFUNCTION("""COMPUTED_VALUE"""),"BN JUAL BELI EL")</f>
        <v>BN JUAL BELI EL</v>
      </c>
      <c r="H7069" s="42">
        <f t="shared" si="1"/>
        <v>3020</v>
      </c>
    </row>
    <row r="7070" ht="22.5" customHeight="1">
      <c r="B7070" s="42" t="str">
        <f>IFERROR(__xludf.DUMMYFUNCTION("""COMPUTED_VALUE"""),"K/44/280825/2")</f>
        <v>K/44/280825/2</v>
      </c>
      <c r="C7070" s="42" t="str">
        <f>IFERROR(__xludf.DUMMYFUNCTION("""COMPUTED_VALUE"""),"M 205/ WAY KANDIS")</f>
        <v>M 205/ WAY KANDIS</v>
      </c>
      <c r="D7070" s="42"/>
      <c r="E7070" s="42"/>
      <c r="F7070" s="48" t="str">
        <f>IFERROR(__xludf.DUMMYFUNCTION("""COMPUTED_VALUE"""),"")</f>
        <v/>
      </c>
      <c r="G7070" s="42" t="str">
        <f>IFERROR(__xludf.DUMMYFUNCTION("""COMPUTED_VALUE"""),"BN WARIS")</f>
        <v>BN WARIS</v>
      </c>
      <c r="H7070" s="42">
        <f t="shared" si="1"/>
        <v>3020</v>
      </c>
    </row>
    <row r="7071" ht="22.5" customHeight="1">
      <c r="B7071" s="42" t="str">
        <f>IFERROR(__xludf.DUMMYFUNCTION("""COMPUTED_VALUE"""),"K/56/280825/3")</f>
        <v>K/56/280825/3</v>
      </c>
      <c r="C7071" s="42" t="str">
        <f>IFERROR(__xludf.DUMMYFUNCTION("""COMPUTED_VALUE"""),"NIBEL M. 19680/TANJUNG SENANG")</f>
        <v>NIBEL M. 19680/TANJUNG SENANG</v>
      </c>
      <c r="D7071" s="42"/>
      <c r="E7071" s="42"/>
      <c r="F7071" s="48" t="str">
        <f>IFERROR(__xludf.DUMMYFUNCTION("""COMPUTED_VALUE"""),"")</f>
        <v/>
      </c>
      <c r="G7071" s="42" t="str">
        <f>IFERROR(__xludf.DUMMYFUNCTION("""COMPUTED_VALUE"""),"BN JUAL BELI EL")</f>
        <v>BN JUAL BELI EL</v>
      </c>
      <c r="H7071" s="42">
        <f t="shared" si="1"/>
        <v>3020</v>
      </c>
    </row>
    <row r="7072" ht="22.5" customHeight="1">
      <c r="B7072" s="42" t="str">
        <f>IFERROR(__xludf.DUMMYFUNCTION("""COMPUTED_VALUE"""),"K/57/280825/4")</f>
        <v>K/57/280825/4</v>
      </c>
      <c r="C7072" s="42" t="str">
        <f>IFERROR(__xludf.DUMMYFUNCTION("""COMPUTED_VALUE"""),"NIBEL M.19686/TANJUNG SENANG")</f>
        <v>NIBEL M.19686/TANJUNG SENANG</v>
      </c>
      <c r="D7072" s="42"/>
      <c r="E7072" s="42"/>
      <c r="F7072" s="48" t="str">
        <f>IFERROR(__xludf.DUMMYFUNCTION("""COMPUTED_VALUE"""),"")</f>
        <v/>
      </c>
      <c r="G7072" s="42" t="str">
        <f>IFERROR(__xludf.DUMMYFUNCTION("""COMPUTED_VALUE"""),"BN JUAL BELI EL")</f>
        <v>BN JUAL BELI EL</v>
      </c>
      <c r="H7072" s="42">
        <f t="shared" si="1"/>
        <v>3020</v>
      </c>
    </row>
    <row r="7073" ht="22.5" customHeight="1">
      <c r="B7073" s="42" t="str">
        <f>IFERROR(__xludf.DUMMYFUNCTION("""COMPUTED_VALUE"""),"K/58/280825/5")</f>
        <v>K/58/280825/5</v>
      </c>
      <c r="C7073" s="42" t="str">
        <f>IFERROR(__xludf.DUMMYFUNCTION("""COMPUTED_VALUE"""),"NIBEL M. 19683/TANJUNG SENANG")</f>
        <v>NIBEL M. 19683/TANJUNG SENANG</v>
      </c>
      <c r="D7073" s="42"/>
      <c r="E7073" s="42"/>
      <c r="F7073" s="48" t="str">
        <f>IFERROR(__xludf.DUMMYFUNCTION("""COMPUTED_VALUE"""),"")</f>
        <v/>
      </c>
      <c r="G7073" s="42" t="str">
        <f>IFERROR(__xludf.DUMMYFUNCTION("""COMPUTED_VALUE"""),"BN JUAL BELI EL")</f>
        <v>BN JUAL BELI EL</v>
      </c>
      <c r="H7073" s="42">
        <f t="shared" si="1"/>
        <v>3020</v>
      </c>
    </row>
    <row r="7074" ht="22.5" customHeight="1">
      <c r="B7074" s="42" t="str">
        <f>IFERROR(__xludf.DUMMYFUNCTION("""COMPUTED_VALUE"""),"K/2/290825/1")</f>
        <v>K/2/290825/1</v>
      </c>
      <c r="C7074" s="42" t="str">
        <f>IFERROR(__xludf.DUMMYFUNCTION("""COMPUTED_VALUE"""),"M.9517/Sukabumi	")</f>
        <v>M.9517/Sukabumi	</v>
      </c>
      <c r="D7074" s="42"/>
      <c r="E7074" s="42"/>
      <c r="F7074" s="48" t="str">
        <f>IFERROR(__xludf.DUMMYFUNCTION("""COMPUTED_VALUE"""),"")</f>
        <v/>
      </c>
      <c r="G7074" s="42" t="str">
        <f>IFERROR(__xludf.DUMMYFUNCTION("""COMPUTED_VALUE"""),"BN Waris	")</f>
        <v>BN Waris	</v>
      </c>
      <c r="H7074" s="42">
        <f t="shared" si="1"/>
        <v>3020</v>
      </c>
    </row>
    <row r="7075" ht="22.5" customHeight="1">
      <c r="B7075" s="42" t="str">
        <f>IFERROR(__xludf.DUMMYFUNCTION("""COMPUTED_VALUE"""),"K/1/290825/1")</f>
        <v>K/1/290825/1</v>
      </c>
      <c r="C7075" s="42" t="str">
        <f>IFERROR(__xludf.DUMMYFUNCTION("""COMPUTED_VALUE"""),"B. 116/GULAK GALIK")</f>
        <v>B. 116/GULAK GALIK</v>
      </c>
      <c r="D7075" s="42"/>
      <c r="E7075" s="42"/>
      <c r="F7075" s="48" t="str">
        <f>IFERROR(__xludf.DUMMYFUNCTION("""COMPUTED_VALUE"""),"")</f>
        <v/>
      </c>
      <c r="G7075" s="42" t="str">
        <f>IFERROR(__xludf.DUMMYFUNCTION("""COMPUTED_VALUE"""),"PENINGKATAN HAK")</f>
        <v>PENINGKATAN HAK</v>
      </c>
      <c r="H7075" s="42">
        <f t="shared" si="1"/>
        <v>3020</v>
      </c>
    </row>
    <row r="7076" ht="22.5" customHeight="1">
      <c r="B7076" s="42" t="str">
        <f>IFERROR(__xludf.DUMMYFUNCTION("""COMPUTED_VALUE"""),"K/3/290825/1")</f>
        <v>K/3/290825/1</v>
      </c>
      <c r="C7076" s="42" t="str">
        <f>IFERROR(__xludf.DUMMYFUNCTION("""COMPUTED_VALUE"""),"M. 10781/SUKABUMI")</f>
        <v>M. 10781/SUKABUMI</v>
      </c>
      <c r="D7076" s="42"/>
      <c r="E7076" s="42"/>
      <c r="F7076" s="48" t="str">
        <f>IFERROR(__xludf.DUMMYFUNCTION("""COMPUTED_VALUE"""),"")</f>
        <v/>
      </c>
      <c r="G7076" s="42" t="str">
        <f>IFERROR(__xludf.DUMMYFUNCTION("""COMPUTED_VALUE"""),"MERGER HT")</f>
        <v>MERGER HT</v>
      </c>
      <c r="H7076" s="42">
        <f t="shared" si="1"/>
        <v>3020</v>
      </c>
    </row>
    <row r="7077" ht="22.5" customHeight="1">
      <c r="B7077" s="42" t="str">
        <f>IFERROR(__xludf.DUMMYFUNCTION("""COMPUTED_VALUE"""),"K/5/290825/1")</f>
        <v>K/5/290825/1</v>
      </c>
      <c r="C7077" s="42" t="str">
        <f>IFERROR(__xludf.DUMMYFUNCTION("""COMPUTED_VALUE"""),"B.746 Keteguhan	")</f>
        <v>B.746 Keteguhan	</v>
      </c>
      <c r="D7077" s="42"/>
      <c r="E7077" s="42"/>
      <c r="F7077" s="48" t="str">
        <f>IFERROR(__xludf.DUMMYFUNCTION("""COMPUTED_VALUE"""),"")</f>
        <v/>
      </c>
      <c r="G7077" s="42" t="str">
        <f>IFERROR(__xludf.DUMMYFUNCTION("""COMPUTED_VALUE"""),"Pendaftaran SK Hak	")</f>
        <v>Pendaftaran SK Hak	</v>
      </c>
      <c r="H7077" s="42">
        <f t="shared" si="1"/>
        <v>3020</v>
      </c>
    </row>
    <row r="7078" ht="22.5" customHeight="1">
      <c r="B7078" s="42" t="str">
        <f>IFERROR(__xludf.DUMMYFUNCTION("""COMPUTED_VALUE"""),"K/4/290825/2")</f>
        <v>K/4/290825/2</v>
      </c>
      <c r="C7078" s="42" t="str">
        <f>IFERROR(__xludf.DUMMYFUNCTION("""COMPUTED_VALUE"""),"M.14522/SUKARAME")</f>
        <v>M.14522/SUKARAME</v>
      </c>
      <c r="D7078" s="42"/>
      <c r="E7078" s="42"/>
      <c r="F7078" s="48" t="str">
        <f>IFERROR(__xludf.DUMMYFUNCTION("""COMPUTED_VALUE"""),"")</f>
        <v/>
      </c>
      <c r="G7078" s="42" t="str">
        <f>IFERROR(__xludf.DUMMYFUNCTION("""COMPUTED_VALUE"""),"MERGER HT")</f>
        <v>MERGER HT</v>
      </c>
      <c r="H7078" s="42">
        <f t="shared" si="1"/>
        <v>3020</v>
      </c>
    </row>
    <row r="7079" ht="22.5" customHeight="1">
      <c r="B7079" s="42" t="str">
        <f>IFERROR(__xludf.DUMMYFUNCTION("""COMPUTED_VALUE"""),"K/7/290825/1")</f>
        <v>K/7/290825/1</v>
      </c>
      <c r="C7079" s="42" t="str">
        <f>IFERROR(__xludf.DUMMYFUNCTION("""COMPUTED_VALUE"""),"B. 1744/Sukarame	")</f>
        <v>B. 1744/Sukarame	</v>
      </c>
      <c r="D7079" s="42"/>
      <c r="E7079" s="42"/>
      <c r="F7079" s="48" t="str">
        <f>IFERROR(__xludf.DUMMYFUNCTION("""COMPUTED_VALUE"""),"")</f>
        <v/>
      </c>
      <c r="G7079" s="42" t="str">
        <f>IFERROR(__xludf.DUMMYFUNCTION("""COMPUTED_VALUE"""),"Peningkatan hak	")</f>
        <v>Peningkatan hak	</v>
      </c>
      <c r="H7079" s="42">
        <f t="shared" si="1"/>
        <v>3020</v>
      </c>
    </row>
    <row r="7080" ht="22.5" customHeight="1">
      <c r="B7080" s="42" t="str">
        <f>IFERROR(__xludf.DUMMYFUNCTION("""COMPUTED_VALUE"""),"K/8/290825/1")</f>
        <v>K/8/290825/1</v>
      </c>
      <c r="C7080" s="42" t="str">
        <f>IFERROR(__xludf.DUMMYFUNCTION("""COMPUTED_VALUE"""),"M 941/ BATU PUTUK")</f>
        <v>M 941/ BATU PUTUK</v>
      </c>
      <c r="D7080" s="42"/>
      <c r="E7080" s="42"/>
      <c r="F7080" s="48" t="str">
        <f>IFERROR(__xludf.DUMMYFUNCTION("""COMPUTED_VALUE"""),"")</f>
        <v/>
      </c>
      <c r="G7080" s="42" t="str">
        <f>IFERROR(__xludf.DUMMYFUNCTION("""COMPUTED_VALUE"""),"PENATAAN BATAS")</f>
        <v>PENATAAN BATAS</v>
      </c>
      <c r="H7080" s="42">
        <f t="shared" si="1"/>
        <v>3020</v>
      </c>
    </row>
    <row r="7081" ht="22.5" customHeight="1">
      <c r="B7081" s="42" t="str">
        <f>IFERROR(__xludf.DUMMYFUNCTION("""COMPUTED_VALUE"""),"K/6/290825/1")</f>
        <v>K/6/290825/1</v>
      </c>
      <c r="C7081" s="42" t="str">
        <f>IFERROR(__xludf.DUMMYFUNCTION("""COMPUTED_VALUE"""),"M. 18456/SUKARAME")</f>
        <v>M. 18456/SUKARAME</v>
      </c>
      <c r="D7081" s="42"/>
      <c r="E7081" s="42"/>
      <c r="F7081" s="48" t="str">
        <f>IFERROR(__xludf.DUMMYFUNCTION("""COMPUTED_VALUE"""),"")</f>
        <v/>
      </c>
      <c r="G7081" s="42" t="str">
        <f>IFERROR(__xludf.DUMMYFUNCTION("""COMPUTED_VALUE"""),"SKPT LELANG")</f>
        <v>SKPT LELANG</v>
      </c>
      <c r="H7081" s="42">
        <f t="shared" si="1"/>
        <v>3020</v>
      </c>
    </row>
    <row r="7082" ht="22.5" customHeight="1">
      <c r="B7082" s="42" t="str">
        <f>IFERROR(__xludf.DUMMYFUNCTION("""COMPUTED_VALUE"""),"K/13/290825/1")</f>
        <v>K/13/290825/1</v>
      </c>
      <c r="C7082" s="42" t="str">
        <f>IFERROR(__xludf.DUMMYFUNCTION("""COMPUTED_VALUE"""),"Nibel 21877/ Bumi Waras	")</f>
        <v>Nibel 21877/ Bumi Waras	</v>
      </c>
      <c r="D7082" s="42"/>
      <c r="E7082" s="42"/>
      <c r="F7082" s="48" t="str">
        <f>IFERROR(__xludf.DUMMYFUNCTION("""COMPUTED_VALUE"""),"")</f>
        <v/>
      </c>
      <c r="G7082" s="42" t="str">
        <f>IFERROR(__xludf.DUMMYFUNCTION("""COMPUTED_VALUE"""),"BN Jual Beli	")</f>
        <v>BN Jual Beli	</v>
      </c>
      <c r="H7082" s="42">
        <f t="shared" si="1"/>
        <v>3020</v>
      </c>
    </row>
    <row r="7083" ht="22.5" customHeight="1">
      <c r="B7083" s="42" t="str">
        <f>IFERROR(__xludf.DUMMYFUNCTION("""COMPUTED_VALUE"""),"K/11/290825/1")</f>
        <v>K/11/290825/1</v>
      </c>
      <c r="C7083" s="42" t="str">
        <f>IFERROR(__xludf.DUMMYFUNCTION("""COMPUTED_VALUE"""),"M 47/ GUNUNG AGUNG")</f>
        <v>M 47/ GUNUNG AGUNG</v>
      </c>
      <c r="D7083" s="42"/>
      <c r="E7083" s="42"/>
      <c r="F7083" s="48" t="str">
        <f>IFERROR(__xludf.DUMMYFUNCTION("""COMPUTED_VALUE"""),"")</f>
        <v/>
      </c>
      <c r="G7083" s="42" t="str">
        <f>IFERROR(__xludf.DUMMYFUNCTION("""COMPUTED_VALUE"""),"ROYA")</f>
        <v>ROYA</v>
      </c>
      <c r="H7083" s="42">
        <f t="shared" si="1"/>
        <v>3020</v>
      </c>
    </row>
    <row r="7084" ht="22.5" customHeight="1">
      <c r="B7084" s="42" t="str">
        <f>IFERROR(__xludf.DUMMYFUNCTION("""COMPUTED_VALUE"""),"K/14/290825/1")</f>
        <v>K/14/290825/1</v>
      </c>
      <c r="C7084" s="42" t="str">
        <f>IFERROR(__xludf.DUMMYFUNCTION("""COMPUTED_VALUE"""),"B. 464/Bakung	")</f>
        <v>B. 464/Bakung	</v>
      </c>
      <c r="D7084" s="42" t="str">
        <f>IFERROR(__xludf.DUMMYFUNCTION("""COMPUTED_VALUE"""),"Berry")</f>
        <v>Berry</v>
      </c>
      <c r="E7084" s="42" t="str">
        <f>IFERROR(__xludf.DUMMYFUNCTION("""COMPUTED_VALUE"""),"DISERAHKAN")</f>
        <v>DISERAHKAN</v>
      </c>
      <c r="F7084" s="48">
        <f>IFERROR(__xludf.DUMMYFUNCTION("""COMPUTED_VALUE"""),45965.49451966435)</f>
        <v>45965.49452</v>
      </c>
      <c r="G7084" s="42" t="str">
        <f>IFERROR(__xludf.DUMMYFUNCTION("""COMPUTED_VALUE"""),"Roya	")</f>
        <v>Roya	</v>
      </c>
      <c r="H7084" s="42">
        <f t="shared" si="1"/>
        <v>3021</v>
      </c>
    </row>
    <row r="7085" ht="22.5" customHeight="1">
      <c r="B7085" s="42" t="str">
        <f>IFERROR(__xludf.DUMMYFUNCTION("""COMPUTED_VALUE"""),"K/12/290825/1")</f>
        <v>K/12/290825/1</v>
      </c>
      <c r="C7085" s="42" t="str">
        <f>IFERROR(__xludf.DUMMYFUNCTION("""COMPUTED_VALUE"""),"M 1225/ SUKARAME BARU")</f>
        <v>M 1225/ SUKARAME BARU</v>
      </c>
      <c r="D7085" s="42" t="str">
        <f>IFERROR(__xludf.DUMMYFUNCTION("""COMPUTED_VALUE"""),"Berry")</f>
        <v>Berry</v>
      </c>
      <c r="E7085" s="42" t="str">
        <f>IFERROR(__xludf.DUMMYFUNCTION("""COMPUTED_VALUE"""),"DISERAHKAN")</f>
        <v>DISERAHKAN</v>
      </c>
      <c r="F7085" s="48">
        <f>IFERROR(__xludf.DUMMYFUNCTION("""COMPUTED_VALUE"""),45924.689426944446)</f>
        <v>45924.68943</v>
      </c>
      <c r="G7085" s="42" t="str">
        <f>IFERROR(__xludf.DUMMYFUNCTION("""COMPUTED_VALUE"""),"BN JUAL BELI")</f>
        <v>BN JUAL BELI</v>
      </c>
      <c r="H7085" s="42">
        <f t="shared" si="1"/>
        <v>3022</v>
      </c>
    </row>
    <row r="7086" ht="22.5" customHeight="1">
      <c r="B7086" s="42" t="str">
        <f>IFERROR(__xludf.DUMMYFUNCTION("""COMPUTED_VALUE"""),"K/16/290825/1")</f>
        <v>K/16/290825/1</v>
      </c>
      <c r="C7086" s="42" t="str">
        <f>IFERROR(__xludf.DUMMYFUNCTION("""COMPUTED_VALUE"""),"Nibel 16365/Way Kandis	")</f>
        <v>Nibel 16365/Way Kandis	</v>
      </c>
      <c r="D7086" s="42" t="str">
        <f>IFERROR(__xludf.DUMMYFUNCTION("""COMPUTED_VALUE"""),"Berry")</f>
        <v>Berry</v>
      </c>
      <c r="E7086" s="42" t="str">
        <f>IFERROR(__xludf.DUMMYFUNCTION("""COMPUTED_VALUE"""),"DISERAHKAN")</f>
        <v>DISERAHKAN</v>
      </c>
      <c r="F7086" s="48">
        <f>IFERROR(__xludf.DUMMYFUNCTION("""COMPUTED_VALUE"""),45908.634719525464)</f>
        <v>45908.63472</v>
      </c>
      <c r="G7086" s="42" t="str">
        <f>IFERROR(__xludf.DUMMYFUNCTION("""COMPUTED_VALUE"""),"PTPGT	")</f>
        <v>PTPGT	</v>
      </c>
      <c r="H7086" s="42">
        <f t="shared" si="1"/>
        <v>3023</v>
      </c>
    </row>
    <row r="7087" ht="22.5" customHeight="1">
      <c r="B7087" s="42" t="str">
        <f>IFERROR(__xludf.DUMMYFUNCTION("""COMPUTED_VALUE"""),"K/17/290825/1")</f>
        <v>K/17/290825/1</v>
      </c>
      <c r="C7087" s="42" t="str">
        <f>IFERROR(__xludf.DUMMYFUNCTION("""COMPUTED_VALUE"""),"M 1172/ BATU PUTUK")</f>
        <v>M 1172/ BATU PUTUK</v>
      </c>
      <c r="D7087" s="42"/>
      <c r="E7087" s="42"/>
      <c r="F7087" s="48" t="str">
        <f>IFERROR(__xludf.DUMMYFUNCTION("""COMPUTED_VALUE"""),"")</f>
        <v/>
      </c>
      <c r="G7087" s="42" t="str">
        <f>IFERROR(__xludf.DUMMYFUNCTION("""COMPUTED_VALUE"""),"PENATAAN BATAS")</f>
        <v>PENATAAN BATAS</v>
      </c>
      <c r="H7087" s="42">
        <f t="shared" si="1"/>
        <v>3023</v>
      </c>
    </row>
    <row r="7088" ht="22.5" customHeight="1">
      <c r="B7088" s="42" t="str">
        <f>IFERROR(__xludf.DUMMYFUNCTION("""COMPUTED_VALUE"""),"K/18/290825/1")</f>
        <v>K/18/290825/1</v>
      </c>
      <c r="C7088" s="42" t="str">
        <f>IFERROR(__xludf.DUMMYFUNCTION("""COMPUTED_VALUE"""),"M 388/ SUKABUMI INDAH")</f>
        <v>M 388/ SUKABUMI INDAH</v>
      </c>
      <c r="D7088" s="42"/>
      <c r="E7088" s="42"/>
      <c r="F7088" s="48" t="str">
        <f>IFERROR(__xludf.DUMMYFUNCTION("""COMPUTED_VALUE"""),"")</f>
        <v/>
      </c>
      <c r="G7088" s="42" t="str">
        <f>IFERROR(__xludf.DUMMYFUNCTION("""COMPUTED_VALUE"""),"BN JUAL BELI")</f>
        <v>BN JUAL BELI</v>
      </c>
      <c r="H7088" s="42">
        <f t="shared" si="1"/>
        <v>3023</v>
      </c>
    </row>
    <row r="7089" ht="22.5" customHeight="1">
      <c r="B7089" s="42" t="str">
        <f>IFERROR(__xludf.DUMMYFUNCTION("""COMPUTED_VALUE"""),"K/9/290825/1")</f>
        <v>K/9/290825/1</v>
      </c>
      <c r="C7089" s="42" t="str">
        <f>IFERROR(__xludf.DUMMYFUNCTION("""COMPUTED_VALUE"""),"NIBEL M. 21081/LANGKAPURA")</f>
        <v>NIBEL M. 21081/LANGKAPURA</v>
      </c>
      <c r="D7089" s="42" t="str">
        <f>IFERROR(__xludf.DUMMYFUNCTION("""COMPUTED_VALUE"""),"Berry")</f>
        <v>Berry</v>
      </c>
      <c r="E7089" s="42" t="str">
        <f>IFERROR(__xludf.DUMMYFUNCTION("""COMPUTED_VALUE"""),"DISERAHKAN")</f>
        <v>DISERAHKAN</v>
      </c>
      <c r="F7089" s="48">
        <f>IFERROR(__xludf.DUMMYFUNCTION("""COMPUTED_VALUE"""),45910.59075045139)</f>
        <v>45910.59075</v>
      </c>
      <c r="G7089" s="42" t="str">
        <f>IFERROR(__xludf.DUMMYFUNCTION("""COMPUTED_VALUE"""),"PERUBAHAN HAK")</f>
        <v>PERUBAHAN HAK</v>
      </c>
      <c r="H7089" s="42">
        <f t="shared" si="1"/>
        <v>3024</v>
      </c>
    </row>
    <row r="7090" ht="22.5" customHeight="1">
      <c r="B7090" s="42" t="str">
        <f>IFERROR(__xludf.DUMMYFUNCTION("""COMPUTED_VALUE"""),"K/20/290825/1")</f>
        <v>K/20/290825/1</v>
      </c>
      <c r="C7090" s="42" t="str">
        <f>IFERROR(__xludf.DUMMYFUNCTION("""COMPUTED_VALUE"""),"M 4490/ GUNUNG TERANG")</f>
        <v>M 4490/ GUNUNG TERANG</v>
      </c>
      <c r="D7090" s="42"/>
      <c r="E7090" s="42"/>
      <c r="F7090" s="48" t="str">
        <f>IFERROR(__xludf.DUMMYFUNCTION("""COMPUTED_VALUE"""),"")</f>
        <v/>
      </c>
      <c r="G7090" s="42" t="str">
        <f>IFERROR(__xludf.DUMMYFUNCTION("""COMPUTED_VALUE"""),"BN WARIS")</f>
        <v>BN WARIS</v>
      </c>
      <c r="H7090" s="42">
        <f t="shared" si="1"/>
        <v>3024</v>
      </c>
    </row>
    <row r="7091" ht="22.5" customHeight="1">
      <c r="B7091" s="42" t="str">
        <f>IFERROR(__xludf.DUMMYFUNCTION("""COMPUTED_VALUE"""),"K/21/290825/1")</f>
        <v>K/21/290825/1</v>
      </c>
      <c r="C7091" s="42" t="str">
        <f>IFERROR(__xludf.DUMMYFUNCTION("""COMPUTED_VALUE"""),"M 816/ LABUHAN RATU RAYA")</f>
        <v>M 816/ LABUHAN RATU RAYA</v>
      </c>
      <c r="D7091" s="42" t="str">
        <f>IFERROR(__xludf.DUMMYFUNCTION("""COMPUTED_VALUE"""),"Berry")</f>
        <v>Berry</v>
      </c>
      <c r="E7091" s="42" t="str">
        <f>IFERROR(__xludf.DUMMYFUNCTION("""COMPUTED_VALUE"""),"DISERAHKAN")</f>
        <v>DISERAHKAN</v>
      </c>
      <c r="F7091" s="48">
        <f>IFERROR(__xludf.DUMMYFUNCTION("""COMPUTED_VALUE"""),45924.6903727662)</f>
        <v>45924.69037</v>
      </c>
      <c r="G7091" s="42" t="str">
        <f>IFERROR(__xludf.DUMMYFUNCTION("""COMPUTED_VALUE"""),"BN JUAL BELI")</f>
        <v>BN JUAL BELI</v>
      </c>
      <c r="H7091" s="42">
        <f t="shared" si="1"/>
        <v>3025</v>
      </c>
    </row>
    <row r="7092" ht="22.5" customHeight="1">
      <c r="B7092" s="42" t="str">
        <f>IFERROR(__xludf.DUMMYFUNCTION("""COMPUTED_VALUE"""),"K/19/290825/1")</f>
        <v>K/19/290825/1</v>
      </c>
      <c r="C7092" s="42" t="str">
        <f>IFERROR(__xludf.DUMMYFUNCTION("""COMPUTED_VALUE"""),"M. 997/PELITA")</f>
        <v>M. 997/PELITA</v>
      </c>
      <c r="D7092" s="42" t="str">
        <f>IFERROR(__xludf.DUMMYFUNCTION("""COMPUTED_VALUE"""),"Berry")</f>
        <v>Berry</v>
      </c>
      <c r="E7092" s="42" t="str">
        <f>IFERROR(__xludf.DUMMYFUNCTION("""COMPUTED_VALUE"""),"DISERAHKAN")</f>
        <v>DISERAHKAN</v>
      </c>
      <c r="F7092" s="48">
        <f>IFERROR(__xludf.DUMMYFUNCTION("""COMPUTED_VALUE"""),45979.65184038194)</f>
        <v>45979.65184</v>
      </c>
      <c r="G7092" s="42" t="str">
        <f>IFERROR(__xludf.DUMMYFUNCTION("""COMPUTED_VALUE"""),"ROYA")</f>
        <v>ROYA</v>
      </c>
      <c r="H7092" s="42">
        <f t="shared" si="1"/>
        <v>3026</v>
      </c>
    </row>
    <row r="7093" ht="22.5" customHeight="1">
      <c r="B7093" s="42" t="str">
        <f>IFERROR(__xludf.DUMMYFUNCTION("""COMPUTED_VALUE"""),"K/22/290825/1")</f>
        <v>K/22/290825/1</v>
      </c>
      <c r="C7093" s="42" t="str">
        <f>IFERROR(__xludf.DUMMYFUNCTION("""COMPUTED_VALUE"""),"NIBEL M 16074/ GUNUNG SULAH")</f>
        <v>NIBEL M 16074/ GUNUNG SULAH</v>
      </c>
      <c r="D7093" s="42" t="str">
        <f>IFERROR(__xludf.DUMMYFUNCTION("""COMPUTED_VALUE"""),"David")</f>
        <v>David</v>
      </c>
      <c r="E7093" s="42" t="str">
        <f>IFERROR(__xludf.DUMMYFUNCTION("""COMPUTED_VALUE"""),"DISERAHKAN")</f>
        <v>DISERAHKAN</v>
      </c>
      <c r="F7093" s="48">
        <f>IFERROR(__xludf.DUMMYFUNCTION("""COMPUTED_VALUE"""),45923.61507728009)</f>
        <v>45923.61508</v>
      </c>
      <c r="G7093" s="42" t="str">
        <f>IFERROR(__xludf.DUMMYFUNCTION("""COMPUTED_VALUE"""),"BN JUAL BELI")</f>
        <v>BN JUAL BELI</v>
      </c>
      <c r="H7093" s="42">
        <f t="shared" si="1"/>
        <v>3027</v>
      </c>
    </row>
    <row r="7094" ht="22.5" customHeight="1">
      <c r="B7094" s="42" t="str">
        <f>IFERROR(__xludf.DUMMYFUNCTION("""COMPUTED_VALUE"""),"K/23/290825/2")</f>
        <v>K/23/290825/2</v>
      </c>
      <c r="C7094" s="42" t="str">
        <f>IFERROR(__xludf.DUMMYFUNCTION("""COMPUTED_VALUE"""),"M 1174/ LABUHAN RATU RAYA")</f>
        <v>M 1174/ LABUHAN RATU RAYA</v>
      </c>
      <c r="D7094" s="42"/>
      <c r="E7094" s="42"/>
      <c r="F7094" s="48" t="str">
        <f>IFERROR(__xludf.DUMMYFUNCTION("""COMPUTED_VALUE"""),"")</f>
        <v/>
      </c>
      <c r="G7094" s="42" t="str">
        <f>IFERROR(__xludf.DUMMYFUNCTION("""COMPUTED_VALUE"""),"BN JUAL BELI")</f>
        <v>BN JUAL BELI</v>
      </c>
      <c r="H7094" s="42">
        <f t="shared" si="1"/>
        <v>3027</v>
      </c>
    </row>
    <row r="7095" ht="22.5" customHeight="1">
      <c r="B7095" s="42" t="str">
        <f>IFERROR(__xludf.DUMMYFUNCTION("""COMPUTED_VALUE"""),"K/24/290825/3")</f>
        <v>K/24/290825/3</v>
      </c>
      <c r="C7095" s="42" t="str">
        <f>IFERROR(__xludf.DUMMYFUNCTION("""COMPUTED_VALUE"""),"M 6221/ WAY KANDIS")</f>
        <v>M 6221/ WAY KANDIS</v>
      </c>
      <c r="D7095" s="42"/>
      <c r="E7095" s="42"/>
      <c r="F7095" s="48" t="str">
        <f>IFERROR(__xludf.DUMMYFUNCTION("""COMPUTED_VALUE"""),"")</f>
        <v/>
      </c>
      <c r="G7095" s="42" t="str">
        <f>IFERROR(__xludf.DUMMYFUNCTION("""COMPUTED_VALUE""")," BN JUAL BELI")</f>
        <v> BN JUAL BELI</v>
      </c>
      <c r="H7095" s="42">
        <f t="shared" si="1"/>
        <v>3027</v>
      </c>
    </row>
    <row r="7096" ht="22.5" customHeight="1">
      <c r="B7096" s="42" t="str">
        <f>IFERROR(__xludf.DUMMYFUNCTION("""COMPUTED_VALUE"""),"K/31/290825/1")</f>
        <v>K/31/290825/1</v>
      </c>
      <c r="C7096" s="42" t="str">
        <f>IFERROR(__xludf.DUMMYFUNCTION("""COMPUTED_VALUE"""),"M. 1604/TELUK BETUNG")</f>
        <v>M. 1604/TELUK BETUNG</v>
      </c>
      <c r="D7096" s="42" t="str">
        <f>IFERROR(__xludf.DUMMYFUNCTION("""COMPUTED_VALUE"""),"Berry")</f>
        <v>Berry</v>
      </c>
      <c r="E7096" s="42" t="str">
        <f>IFERROR(__xludf.DUMMYFUNCTION("""COMPUTED_VALUE"""),"DISERAHKAN")</f>
        <v>DISERAHKAN</v>
      </c>
      <c r="F7096" s="48">
        <f>IFERROR(__xludf.DUMMYFUNCTION("""COMPUTED_VALUE"""),45924.68996449074)</f>
        <v>45924.68996</v>
      </c>
      <c r="G7096" s="42" t="str">
        <f>IFERROR(__xludf.DUMMYFUNCTION("""COMPUTED_VALUE"""),"BN JUAL BELI EL")</f>
        <v>BN JUAL BELI EL</v>
      </c>
      <c r="H7096" s="42">
        <f t="shared" si="1"/>
        <v>3028</v>
      </c>
    </row>
    <row r="7097" ht="22.5" customHeight="1">
      <c r="B7097" s="42" t="str">
        <f>IFERROR(__xludf.DUMMYFUNCTION("""COMPUTED_VALUE"""),"K/25/290825/4")</f>
        <v>K/25/290825/4</v>
      </c>
      <c r="C7097" s="42" t="str">
        <f>IFERROR(__xludf.DUMMYFUNCTION("""COMPUTED_VALUE"""),"NIBEL B 9345/ NUSANTARA PERMAI")</f>
        <v>NIBEL B 9345/ NUSANTARA PERMAI</v>
      </c>
      <c r="D7097" s="42" t="str">
        <f>IFERROR(__xludf.DUMMYFUNCTION("""COMPUTED_VALUE"""),"Berry")</f>
        <v>Berry</v>
      </c>
      <c r="E7097" s="42" t="str">
        <f>IFERROR(__xludf.DUMMYFUNCTION("""COMPUTED_VALUE"""),"DISERAHKAN")</f>
        <v>DISERAHKAN</v>
      </c>
      <c r="F7097" s="48">
        <f>IFERROR(__xludf.DUMMYFUNCTION("""COMPUTED_VALUE"""),45910.59371869213)</f>
        <v>45910.59372</v>
      </c>
      <c r="G7097" s="42" t="str">
        <f>IFERROR(__xludf.DUMMYFUNCTION("""COMPUTED_VALUE"""),"BN JUAL BELI")</f>
        <v>BN JUAL BELI</v>
      </c>
      <c r="H7097" s="42">
        <f t="shared" si="1"/>
        <v>3029</v>
      </c>
    </row>
    <row r="7098" ht="22.5" customHeight="1">
      <c r="B7098" s="42" t="str">
        <f>IFERROR(__xludf.DUMMYFUNCTION("""COMPUTED_VALUE"""),"K/26/290825/1")</f>
        <v>K/26/290825/1</v>
      </c>
      <c r="C7098" s="42" t="str">
        <f>IFERROR(__xludf.DUMMYFUNCTION("""COMPUTED_VALUE"""),"Nibel 19406/Bumi Kedamaian	")</f>
        <v>Nibel 19406/Bumi Kedamaian	</v>
      </c>
      <c r="D7098" s="42"/>
      <c r="E7098" s="42"/>
      <c r="F7098" s="48" t="str">
        <f>IFERROR(__xludf.DUMMYFUNCTION("""COMPUTED_VALUE"""),"")</f>
        <v/>
      </c>
      <c r="G7098" s="42" t="str">
        <f>IFERROR(__xludf.DUMMYFUNCTION("""COMPUTED_VALUE"""),"BN Hibah	")</f>
        <v>BN Hibah	</v>
      </c>
      <c r="H7098" s="42">
        <f t="shared" si="1"/>
        <v>3029</v>
      </c>
    </row>
    <row r="7099" ht="22.5" customHeight="1">
      <c r="B7099" s="42" t="str">
        <f>IFERROR(__xludf.DUMMYFUNCTION("""COMPUTED_VALUE"""),"K/27/290825/2")</f>
        <v>K/27/290825/2</v>
      </c>
      <c r="C7099" s="42" t="str">
        <f>IFERROR(__xludf.DUMMYFUNCTION("""COMPUTED_VALUE"""),"Nibel 19403/Bumi Kedamaian")</f>
        <v>Nibel 19403/Bumi Kedamaian</v>
      </c>
      <c r="D7099" s="42"/>
      <c r="E7099" s="42"/>
      <c r="F7099" s="48" t="str">
        <f>IFERROR(__xludf.DUMMYFUNCTION("""COMPUTED_VALUE"""),"")</f>
        <v/>
      </c>
      <c r="G7099" s="42" t="str">
        <f>IFERROR(__xludf.DUMMYFUNCTION("""COMPUTED_VALUE"""),"BN Hibah	")</f>
        <v>BN Hibah	</v>
      </c>
      <c r="H7099" s="42">
        <f t="shared" si="1"/>
        <v>3029</v>
      </c>
    </row>
    <row r="7100" ht="22.5" customHeight="1">
      <c r="B7100" s="42" t="str">
        <f>IFERROR(__xludf.DUMMYFUNCTION("""COMPUTED_VALUE"""),"K/28/290825/3")</f>
        <v>K/28/290825/3</v>
      </c>
      <c r="C7100" s="42" t="str">
        <f>IFERROR(__xludf.DUMMYFUNCTION("""COMPUTED_VALUE"""),"Nibel 19405/Bumi Kedamaian")</f>
        <v>Nibel 19405/Bumi Kedamaian</v>
      </c>
      <c r="D7100" s="42"/>
      <c r="E7100" s="42"/>
      <c r="F7100" s="48" t="str">
        <f>IFERROR(__xludf.DUMMYFUNCTION("""COMPUTED_VALUE"""),"")</f>
        <v/>
      </c>
      <c r="G7100" s="42" t="str">
        <f>IFERROR(__xludf.DUMMYFUNCTION("""COMPUTED_VALUE"""),"BN Hibah	")</f>
        <v>BN Hibah	</v>
      </c>
      <c r="H7100" s="42">
        <f t="shared" si="1"/>
        <v>3029</v>
      </c>
    </row>
    <row r="7101" ht="22.5" customHeight="1">
      <c r="B7101" s="42" t="str">
        <f>IFERROR(__xludf.DUMMYFUNCTION("""COMPUTED_VALUE"""),"K/29/290825/4")</f>
        <v>K/29/290825/4</v>
      </c>
      <c r="C7101" s="42" t="str">
        <f>IFERROR(__xludf.DUMMYFUNCTION("""COMPUTED_VALUE"""),"M 220/ BILABONG JAYA")</f>
        <v>M 220/ BILABONG JAYA</v>
      </c>
      <c r="D7101" s="42"/>
      <c r="E7101" s="42"/>
      <c r="F7101" s="48" t="str">
        <f>IFERROR(__xludf.DUMMYFUNCTION("""COMPUTED_VALUE"""),"")</f>
        <v/>
      </c>
      <c r="G7101" s="42" t="str">
        <f>IFERROR(__xludf.DUMMYFUNCTION("""COMPUTED_VALUE"""),"BN JUAL BELI")</f>
        <v>BN JUAL BELI</v>
      </c>
      <c r="H7101" s="42">
        <f t="shared" si="1"/>
        <v>3029</v>
      </c>
    </row>
    <row r="7102" ht="22.5" customHeight="1">
      <c r="B7102" s="42" t="str">
        <f>IFERROR(__xludf.DUMMYFUNCTION("""COMPUTED_VALUE"""),"K/30/290825/5")</f>
        <v>K/30/290825/5</v>
      </c>
      <c r="C7102" s="42" t="str">
        <f>IFERROR(__xludf.DUMMYFUNCTION("""COMPUTED_VALUE"""),"M 12083/ KEDATON")</f>
        <v>M 12083/ KEDATON</v>
      </c>
      <c r="D7102" s="42" t="str">
        <f>IFERROR(__xludf.DUMMYFUNCTION("""COMPUTED_VALUE"""),"Berry")</f>
        <v>Berry</v>
      </c>
      <c r="E7102" s="42" t="str">
        <f>IFERROR(__xludf.DUMMYFUNCTION("""COMPUTED_VALUE"""),"DISERAHKAN")</f>
        <v>DISERAHKAN</v>
      </c>
      <c r="F7102" s="48">
        <f>IFERROR(__xludf.DUMMYFUNCTION("""COMPUTED_VALUE"""),45908.63462293982)</f>
        <v>45908.63462</v>
      </c>
      <c r="G7102" s="42" t="str">
        <f>IFERROR(__xludf.DUMMYFUNCTION("""COMPUTED_VALUE"""),"BN JUAL BELI")</f>
        <v>BN JUAL BELI</v>
      </c>
      <c r="H7102" s="42">
        <f t="shared" si="1"/>
        <v>3030</v>
      </c>
    </row>
    <row r="7103" ht="22.5" customHeight="1">
      <c r="B7103" s="42" t="str">
        <f>IFERROR(__xludf.DUMMYFUNCTION("""COMPUTED_VALUE"""),"L/49/280825/1")</f>
        <v>L/49/280825/1</v>
      </c>
      <c r="C7103" s="42" t="str">
        <f>IFERROR(__xludf.DUMMYFUNCTION("""COMPUTED_VALUE"""),"M. 478/GUNUNG AGUNG")</f>
        <v>M. 478/GUNUNG AGUNG</v>
      </c>
      <c r="D7103" s="42" t="str">
        <f>IFERROR(__xludf.DUMMYFUNCTION("""COMPUTED_VALUE"""),"Berry")</f>
        <v>Berry</v>
      </c>
      <c r="E7103" s="42" t="str">
        <f>IFERROR(__xludf.DUMMYFUNCTION("""COMPUTED_VALUE"""),"DISERAHKAN")</f>
        <v>DISERAHKAN</v>
      </c>
      <c r="F7103" s="48">
        <f>IFERROR(__xludf.DUMMYFUNCTION("""COMPUTED_VALUE"""),45910.59051512732)</f>
        <v>45910.59052</v>
      </c>
      <c r="G7103" s="42" t="str">
        <f>IFERROR(__xludf.DUMMYFUNCTION("""COMPUTED_VALUE"""),"HAPUS BPHTB")</f>
        <v>HAPUS BPHTB</v>
      </c>
      <c r="H7103" s="42">
        <f t="shared" si="1"/>
        <v>3031</v>
      </c>
    </row>
    <row r="7104" ht="22.5" customHeight="1">
      <c r="B7104" s="42" t="str">
        <f>IFERROR(__xludf.DUMMYFUNCTION("""COMPUTED_VALUE"""),"L/1/300825/1 (PELATARAN)")</f>
        <v>L/1/300825/1 (PELATARAN)</v>
      </c>
      <c r="C7104" s="42" t="str">
        <f>IFERROR(__xludf.DUMMYFUNCTION("""COMPUTED_VALUE"""),"M. 243/LANGKAPURA BARU")</f>
        <v>M. 243/LANGKAPURA BARU</v>
      </c>
      <c r="D7104" s="42" t="str">
        <f>IFERROR(__xludf.DUMMYFUNCTION("""COMPUTED_VALUE"""),"Berry")</f>
        <v>Berry</v>
      </c>
      <c r="E7104" s="42" t="str">
        <f>IFERROR(__xludf.DUMMYFUNCTION("""COMPUTED_VALUE"""),"DISERAHKAN")</f>
        <v>DISERAHKAN</v>
      </c>
      <c r="F7104" s="48">
        <f>IFERROR(__xludf.DUMMYFUNCTION("""COMPUTED_VALUE"""),45904.595672696756)</f>
        <v>45904.59567</v>
      </c>
      <c r="G7104" s="42" t="str">
        <f>IFERROR(__xludf.DUMMYFUNCTION("""COMPUTED_VALUE"""),"ROYA LELANG")</f>
        <v>ROYA LELANG</v>
      </c>
      <c r="H7104" s="42">
        <f t="shared" si="1"/>
        <v>3032</v>
      </c>
    </row>
    <row r="7105" ht="22.5" customHeight="1">
      <c r="B7105" s="42" t="str">
        <f>IFERROR(__xludf.DUMMYFUNCTION("""COMPUTED_VALUE"""),"L/32/290825/1")</f>
        <v>L/32/290825/1</v>
      </c>
      <c r="C7105" s="42" t="str">
        <f>IFERROR(__xludf.DUMMYFUNCTION("""COMPUTED_VALUE"""),"M. 1442/GUNUNG SULAH")</f>
        <v>M. 1442/GUNUNG SULAH</v>
      </c>
      <c r="D7105" s="42" t="str">
        <f>IFERROR(__xludf.DUMMYFUNCTION("""COMPUTED_VALUE"""),"David")</f>
        <v>David</v>
      </c>
      <c r="E7105" s="42" t="str">
        <f>IFERROR(__xludf.DUMMYFUNCTION("""COMPUTED_VALUE"""),"DISERAHKAN")</f>
        <v>DISERAHKAN</v>
      </c>
      <c r="F7105" s="48">
        <f>IFERROR(__xludf.DUMMYFUNCTION("""COMPUTED_VALUE"""),45923.6168324537)</f>
        <v>45923.61683</v>
      </c>
      <c r="G7105" s="42" t="str">
        <f>IFERROR(__xludf.DUMMYFUNCTION("""COMPUTED_VALUE"""),"BN WARIS")</f>
        <v>BN WARIS</v>
      </c>
      <c r="H7105" s="42">
        <f t="shared" si="1"/>
        <v>3033</v>
      </c>
    </row>
    <row r="7106" ht="22.5" customHeight="1">
      <c r="B7106" s="42" t="str">
        <f>IFERROR(__xludf.DUMMYFUNCTION("""COMPUTED_VALUE"""),"L/33/290825/1")</f>
        <v>L/33/290825/1</v>
      </c>
      <c r="C7106" s="42" t="str">
        <f>IFERROR(__xludf.DUMMYFUNCTION("""COMPUTED_VALUE"""),"B. 731/CAMPANG RAYA")</f>
        <v>B. 731/CAMPANG RAYA</v>
      </c>
      <c r="D7106" s="42" t="str">
        <f>IFERROR(__xludf.DUMMYFUNCTION("""COMPUTED_VALUE"""),"Berry")</f>
        <v>Berry</v>
      </c>
      <c r="E7106" s="42" t="str">
        <f>IFERROR(__xludf.DUMMYFUNCTION("""COMPUTED_VALUE"""),"DISERAHKAN")</f>
        <v>DISERAHKAN</v>
      </c>
      <c r="F7106" s="48">
        <f>IFERROR(__xludf.DUMMYFUNCTION("""COMPUTED_VALUE"""),45932.70307908565)</f>
        <v>45932.70308</v>
      </c>
      <c r="G7106" s="42" t="str">
        <f>IFERROR(__xludf.DUMMYFUNCTION("""COMPUTED_VALUE"""),"ROYA")</f>
        <v>ROYA</v>
      </c>
      <c r="H7106" s="42">
        <f t="shared" si="1"/>
        <v>3034</v>
      </c>
    </row>
    <row r="7107" ht="22.5" customHeight="1">
      <c r="B7107" s="42" t="str">
        <f>IFERROR(__xludf.DUMMYFUNCTION("""COMPUTED_VALUE"""),"L/34/290825/1")</f>
        <v>L/34/290825/1</v>
      </c>
      <c r="C7107" s="42" t="str">
        <f>IFERROR(__xludf.DUMMYFUNCTION("""COMPUTED_VALUE"""),"M. 1101/CAMPANG RAYA")</f>
        <v>M. 1101/CAMPANG RAYA</v>
      </c>
      <c r="D7107" s="42"/>
      <c r="E7107" s="42"/>
      <c r="F7107" s="48" t="str">
        <f>IFERROR(__xludf.DUMMYFUNCTION("""COMPUTED_VALUE"""),"")</f>
        <v/>
      </c>
      <c r="G7107" s="42" t="str">
        <f>IFERROR(__xludf.DUMMYFUNCTION("""COMPUTED_VALUE"""),"ROYA")</f>
        <v>ROYA</v>
      </c>
      <c r="H7107" s="42">
        <f t="shared" si="1"/>
        <v>3034</v>
      </c>
    </row>
    <row r="7108" ht="22.5" customHeight="1">
      <c r="B7108" s="42" t="str">
        <f>IFERROR(__xludf.DUMMYFUNCTION("""COMPUTED_VALUE"""),"K/2/010925/1")</f>
        <v>K/2/010925/1</v>
      </c>
      <c r="C7108" s="42" t="str">
        <f>IFERROR(__xludf.DUMMYFUNCTION("""COMPUTED_VALUE"""),"NIBEL M 22807/ LABUHAN DALAM")</f>
        <v>NIBEL M 22807/ LABUHAN DALAM</v>
      </c>
      <c r="D7108" s="42"/>
      <c r="E7108" s="42"/>
      <c r="F7108" s="48" t="str">
        <f>IFERROR(__xludf.DUMMYFUNCTION("""COMPUTED_VALUE"""),"")</f>
        <v/>
      </c>
      <c r="G7108" s="42" t="str">
        <f>IFERROR(__xludf.DUMMYFUNCTION("""COMPUTED_VALUE"""),"BN JUAL BELI")</f>
        <v>BN JUAL BELI</v>
      </c>
      <c r="H7108" s="42">
        <f t="shared" si="1"/>
        <v>3034</v>
      </c>
    </row>
    <row r="7109" ht="22.5" customHeight="1">
      <c r="B7109" s="42" t="str">
        <f>IFERROR(__xludf.DUMMYFUNCTION("""COMPUTED_VALUE"""),"K/1/010925/1")</f>
        <v>K/1/010925/1</v>
      </c>
      <c r="C7109" s="42" t="str">
        <f>IFERROR(__xludf.DUMMYFUNCTION("""COMPUTED_VALUE"""),"NIBEL M. 22809/LABUHAN DALAM")</f>
        <v>NIBEL M. 22809/LABUHAN DALAM</v>
      </c>
      <c r="D7109" s="42"/>
      <c r="E7109" s="42"/>
      <c r="F7109" s="48" t="str">
        <f>IFERROR(__xludf.DUMMYFUNCTION("""COMPUTED_VALUE"""),"")</f>
        <v/>
      </c>
      <c r="G7109" s="42" t="str">
        <f>IFERROR(__xludf.DUMMYFUNCTION("""COMPUTED_VALUE"""),"BN JUAL BELI EL")</f>
        <v>BN JUAL BELI EL</v>
      </c>
      <c r="H7109" s="42">
        <f t="shared" si="1"/>
        <v>3034</v>
      </c>
    </row>
    <row r="7110" ht="22.5" customHeight="1">
      <c r="B7110" s="42" t="str">
        <f>IFERROR(__xludf.DUMMYFUNCTION("""COMPUTED_VALUE"""),"K/3/010925/1")</f>
        <v>K/3/010925/1</v>
      </c>
      <c r="C7110" s="42" t="str">
        <f>IFERROR(__xludf.DUMMYFUNCTION("""COMPUTED_VALUE"""),"M 2071/ LABUHAN RATU RAYA")</f>
        <v>M 2071/ LABUHAN RATU RAYA</v>
      </c>
      <c r="D7110" s="42"/>
      <c r="E7110" s="42"/>
      <c r="F7110" s="48" t="str">
        <f>IFERROR(__xludf.DUMMYFUNCTION("""COMPUTED_VALUE"""),"")</f>
        <v/>
      </c>
      <c r="G7110" s="42" t="str">
        <f>IFERROR(__xludf.DUMMYFUNCTION("""COMPUTED_VALUE"""),"BN JUAL BELI ")</f>
        <v>BN JUAL BELI </v>
      </c>
      <c r="H7110" s="42">
        <f t="shared" si="1"/>
        <v>3034</v>
      </c>
    </row>
    <row r="7111" ht="22.5" customHeight="1">
      <c r="B7111" s="42" t="str">
        <f>IFERROR(__xludf.DUMMYFUNCTION("""COMPUTED_VALUE"""),"K/4/010925/2")</f>
        <v>K/4/010925/2</v>
      </c>
      <c r="C7111" s="42" t="str">
        <f>IFERROR(__xludf.DUMMYFUNCTION("""COMPUTED_VALUE"""),"NIBEL M 18617/ SUKARAME BARU")</f>
        <v>NIBEL M 18617/ SUKARAME BARU</v>
      </c>
      <c r="D7111" s="42" t="str">
        <f>IFERROR(__xludf.DUMMYFUNCTION("""COMPUTED_VALUE"""),"Berry")</f>
        <v>Berry</v>
      </c>
      <c r="E7111" s="42" t="str">
        <f>IFERROR(__xludf.DUMMYFUNCTION("""COMPUTED_VALUE"""),"DISERAHKAN")</f>
        <v>DISERAHKAN</v>
      </c>
      <c r="F7111" s="48">
        <f>IFERROR(__xludf.DUMMYFUNCTION("""COMPUTED_VALUE"""),45915.586250520835)</f>
        <v>45915.58625</v>
      </c>
      <c r="G7111" s="42" t="str">
        <f>IFERROR(__xludf.DUMMYFUNCTION("""COMPUTED_VALUE"""),"BN JUAL BELI")</f>
        <v>BN JUAL BELI</v>
      </c>
      <c r="H7111" s="42">
        <f t="shared" si="1"/>
        <v>3035</v>
      </c>
    </row>
    <row r="7112" ht="22.5" customHeight="1">
      <c r="B7112" s="42" t="str">
        <f>IFERROR(__xludf.DUMMYFUNCTION("""COMPUTED_VALUE"""),"K/5/010925/1")</f>
        <v>K/5/010925/1</v>
      </c>
      <c r="C7112" s="42" t="str">
        <f>IFERROR(__xludf.DUMMYFUNCTION("""COMPUTED_VALUE"""),"Nibel 290/Kemiling Raya	")</f>
        <v>Nibel 290/Kemiling Raya	</v>
      </c>
      <c r="D7112" s="42"/>
      <c r="E7112" s="42"/>
      <c r="F7112" s="48" t="str">
        <f>IFERROR(__xludf.DUMMYFUNCTION("""COMPUTED_VALUE"""),"")</f>
        <v/>
      </c>
      <c r="G7112" s="42" t="str">
        <f>IFERROR(__xludf.DUMMYFUNCTION("""COMPUTED_VALUE"""),"BN Jual Beli	")</f>
        <v>BN Jual Beli	</v>
      </c>
      <c r="H7112" s="42">
        <f t="shared" si="1"/>
        <v>3035</v>
      </c>
    </row>
    <row r="7113" ht="22.5" customHeight="1">
      <c r="B7113" s="42" t="str">
        <f>IFERROR(__xludf.DUMMYFUNCTION("""COMPUTED_VALUE"""),"K/6/010925/1")</f>
        <v>K/6/010925/1</v>
      </c>
      <c r="C7113" s="42" t="str">
        <f>IFERROR(__xludf.DUMMYFUNCTION("""COMPUTED_VALUE"""),"M. 18825/Sukarame	")</f>
        <v>M. 18825/Sukarame	</v>
      </c>
      <c r="D7113" s="42"/>
      <c r="E7113" s="42"/>
      <c r="F7113" s="48" t="str">
        <f>IFERROR(__xludf.DUMMYFUNCTION("""COMPUTED_VALUE"""),"")</f>
        <v/>
      </c>
      <c r="G7113" s="42" t="str">
        <f>IFERROR(__xludf.DUMMYFUNCTION("""COMPUTED_VALUE"""),"BN Jual Beli	")</f>
        <v>BN Jual Beli	</v>
      </c>
      <c r="H7113" s="42">
        <f t="shared" si="1"/>
        <v>3035</v>
      </c>
    </row>
    <row r="7114" ht="22.5" customHeight="1">
      <c r="B7114" s="42" t="str">
        <f>IFERROR(__xludf.DUMMYFUNCTION("""COMPUTED_VALUE"""),"L/1/020925/1")</f>
        <v>L/1/020925/1</v>
      </c>
      <c r="C7114" s="42" t="str">
        <f>IFERROR(__xludf.DUMMYFUNCTION("""COMPUTED_VALUE"""),"M. 2210/KOTA BARU")</f>
        <v>M. 2210/KOTA BARU</v>
      </c>
      <c r="D7114" s="42"/>
      <c r="E7114" s="42"/>
      <c r="F7114" s="48" t="str">
        <f>IFERROR(__xludf.DUMMYFUNCTION("""COMPUTED_VALUE"""),"")</f>
        <v/>
      </c>
      <c r="G7114" s="42" t="str">
        <f>IFERROR(__xludf.DUMMYFUNCTION("""COMPUTED_VALUE"""),"CABUT BLOKIR")</f>
        <v>CABUT BLOKIR</v>
      </c>
      <c r="H7114" s="42">
        <f t="shared" si="1"/>
        <v>3035</v>
      </c>
    </row>
    <row r="7115" ht="22.5" customHeight="1">
      <c r="B7115" s="42" t="str">
        <f>IFERROR(__xludf.DUMMYFUNCTION("""COMPUTED_VALUE"""),"L/2/020925/1")</f>
        <v>L/2/020925/1</v>
      </c>
      <c r="C7115" s="42" t="str">
        <f>IFERROR(__xludf.DUMMYFUNCTION("""COMPUTED_VALUE"""),"M. 2209/KOTA BARU")</f>
        <v>M. 2209/KOTA BARU</v>
      </c>
      <c r="D7115" s="42"/>
      <c r="E7115" s="42"/>
      <c r="F7115" s="48" t="str">
        <f>IFERROR(__xludf.DUMMYFUNCTION("""COMPUTED_VALUE"""),"")</f>
        <v/>
      </c>
      <c r="G7115" s="42" t="str">
        <f>IFERROR(__xludf.DUMMYFUNCTION("""COMPUTED_VALUE"""),"CABUT BLOKIR")</f>
        <v>CABUT BLOKIR</v>
      </c>
      <c r="H7115" s="42">
        <f t="shared" si="1"/>
        <v>3035</v>
      </c>
    </row>
    <row r="7116" ht="22.5" customHeight="1">
      <c r="B7116" s="42" t="str">
        <f>IFERROR(__xludf.DUMMYFUNCTION("""COMPUTED_VALUE"""),"K/3/020925/1")</f>
        <v>K/3/020925/1</v>
      </c>
      <c r="C7116" s="42" t="str">
        <f>IFERROR(__xludf.DUMMYFUNCTION("""COMPUTED_VALUE"""),"M. 17293/Sukarame 	")</f>
        <v>M. 17293/Sukarame 	</v>
      </c>
      <c r="D7116" s="42"/>
      <c r="E7116" s="42"/>
      <c r="F7116" s="48" t="str">
        <f>IFERROR(__xludf.DUMMYFUNCTION("""COMPUTED_VALUE"""),"")</f>
        <v/>
      </c>
      <c r="G7116" s="42" t="str">
        <f>IFERROR(__xludf.DUMMYFUNCTION("""COMPUTED_VALUE"""),"Roya	")</f>
        <v>Roya	</v>
      </c>
      <c r="H7116" s="42">
        <f t="shared" si="1"/>
        <v>3035</v>
      </c>
    </row>
    <row r="7117" ht="22.5" customHeight="1">
      <c r="B7117" s="42" t="str">
        <f>IFERROR(__xludf.DUMMYFUNCTION("""COMPUTED_VALUE"""),"K/4/020925/1")</f>
        <v>K/4/020925/1</v>
      </c>
      <c r="C7117" s="42" t="str">
        <f>IFERROR(__xludf.DUMMYFUNCTION("""COMPUTED_VALUE"""),"M. 480/RAJABASA JAYA")</f>
        <v>M. 480/RAJABASA JAYA</v>
      </c>
      <c r="D7117" s="42" t="str">
        <f>IFERROR(__xludf.DUMMYFUNCTION("""COMPUTED_VALUE"""),"David")</f>
        <v>David</v>
      </c>
      <c r="E7117" s="42" t="str">
        <f>IFERROR(__xludf.DUMMYFUNCTION("""COMPUTED_VALUE"""),"DISERAHKAN")</f>
        <v>DISERAHKAN</v>
      </c>
      <c r="F7117" s="48">
        <f>IFERROR(__xludf.DUMMYFUNCTION("""COMPUTED_VALUE"""),45926.58256113426)</f>
        <v>45926.58256</v>
      </c>
      <c r="G7117" s="42" t="str">
        <f>IFERROR(__xludf.DUMMYFUNCTION("""COMPUTED_VALUE"""),"BN JUAL BELI EL")</f>
        <v>BN JUAL BELI EL</v>
      </c>
      <c r="H7117" s="42">
        <f t="shared" si="1"/>
        <v>3036</v>
      </c>
    </row>
    <row r="7118" ht="22.5" customHeight="1">
      <c r="B7118" s="42" t="str">
        <f>IFERROR(__xludf.DUMMYFUNCTION("""COMPUTED_VALUE"""),"K/5/020925/2")</f>
        <v>K/5/020925/2</v>
      </c>
      <c r="C7118" s="42" t="str">
        <f>IFERROR(__xludf.DUMMYFUNCTION("""COMPUTED_VALUE"""),"NIBEL M. 22018/LANGKAPURA")</f>
        <v>NIBEL M. 22018/LANGKAPURA</v>
      </c>
      <c r="D7118" s="42"/>
      <c r="E7118" s="42"/>
      <c r="F7118" s="48" t="str">
        <f>IFERROR(__xludf.DUMMYFUNCTION("""COMPUTED_VALUE"""),"")</f>
        <v/>
      </c>
      <c r="G7118" s="42" t="str">
        <f>IFERROR(__xludf.DUMMYFUNCTION("""COMPUTED_VALUE"""),"BN JUAL BELI EL")</f>
        <v>BN JUAL BELI EL</v>
      </c>
      <c r="H7118" s="42">
        <f t="shared" si="1"/>
        <v>3036</v>
      </c>
    </row>
    <row r="7119" ht="22.5" customHeight="1">
      <c r="B7119" s="42" t="str">
        <f>IFERROR(__xludf.DUMMYFUNCTION("""COMPUTED_VALUE"""),"K/7/010925/2")</f>
        <v>K/7/010925/2</v>
      </c>
      <c r="C7119" s="42" t="str">
        <f>IFERROR(__xludf.DUMMYFUNCTION("""COMPUTED_VALUE"""),"Nibel 1777/Sukabumi Indah	")</f>
        <v>Nibel 1777/Sukabumi Indah	</v>
      </c>
      <c r="D7119" s="42"/>
      <c r="E7119" s="42"/>
      <c r="F7119" s="48" t="str">
        <f>IFERROR(__xludf.DUMMYFUNCTION("""COMPUTED_VALUE"""),"")</f>
        <v/>
      </c>
      <c r="G7119" s="42" t="str">
        <f>IFERROR(__xludf.DUMMYFUNCTION("""COMPUTED_VALUE"""),"BN Jual Beli	")</f>
        <v>BN Jual Beli	</v>
      </c>
      <c r="H7119" s="42">
        <f t="shared" si="1"/>
        <v>3036</v>
      </c>
    </row>
    <row r="7120" ht="22.5" customHeight="1">
      <c r="B7120" s="42" t="str">
        <f>IFERROR(__xludf.DUMMYFUNCTION("""COMPUTED_VALUE"""),"K/8/020925/1")</f>
        <v>K/8/020925/1</v>
      </c>
      <c r="C7120" s="42" t="str">
        <f>IFERROR(__xludf.DUMMYFUNCTION("""COMPUTED_VALUE"""),"M 4549/ GUNUNG TERANG")</f>
        <v>M 4549/ GUNUNG TERANG</v>
      </c>
      <c r="D7120" s="42" t="str">
        <f>IFERROR(__xludf.DUMMYFUNCTION("""COMPUTED_VALUE"""),"David")</f>
        <v>David</v>
      </c>
      <c r="E7120" s="42" t="str">
        <f>IFERROR(__xludf.DUMMYFUNCTION("""COMPUTED_VALUE"""),"DISERAHKAN")</f>
        <v>DISERAHKAN</v>
      </c>
      <c r="F7120" s="48">
        <f>IFERROR(__xludf.DUMMYFUNCTION("""COMPUTED_VALUE"""),45953.44144098379)</f>
        <v>45953.44144</v>
      </c>
      <c r="G7120" s="42" t="str">
        <f>IFERROR(__xludf.DUMMYFUNCTION("""COMPUTED_VALUE"""),"BN JUAL BELI")</f>
        <v>BN JUAL BELI</v>
      </c>
      <c r="H7120" s="42">
        <f t="shared" si="1"/>
        <v>3037</v>
      </c>
    </row>
    <row r="7121" ht="22.5" customHeight="1">
      <c r="B7121" s="42" t="str">
        <f>IFERROR(__xludf.DUMMYFUNCTION("""COMPUTED_VALUE"""),"K/9/020925/1")</f>
        <v>K/9/020925/1</v>
      </c>
      <c r="C7121" s="42" t="str">
        <f>IFERROR(__xludf.DUMMYFUNCTION("""COMPUTED_VALUE"""),"Nibel 21186/Pidada	")</f>
        <v>Nibel 21186/Pidada	</v>
      </c>
      <c r="D7121" s="42" t="str">
        <f>IFERROR(__xludf.DUMMYFUNCTION("""COMPUTED_VALUE"""),"Berry")</f>
        <v>Berry</v>
      </c>
      <c r="E7121" s="42" t="str">
        <f>IFERROR(__xludf.DUMMYFUNCTION("""COMPUTED_VALUE"""),"DISERAHKAN")</f>
        <v>DISERAHKAN</v>
      </c>
      <c r="F7121" s="48">
        <f>IFERROR(__xludf.DUMMYFUNCTION("""COMPUTED_VALUE"""),45945.67937081019)</f>
        <v>45945.67937</v>
      </c>
      <c r="G7121" s="42" t="str">
        <f>IFERROR(__xludf.DUMMYFUNCTION("""COMPUTED_VALUE"""),"APHB	")</f>
        <v>APHB	</v>
      </c>
      <c r="H7121" s="42">
        <f t="shared" si="1"/>
        <v>3038</v>
      </c>
    </row>
    <row r="7122" ht="22.5" customHeight="1">
      <c r="B7122" s="42" t="str">
        <f>IFERROR(__xludf.DUMMYFUNCTION("""COMPUTED_VALUE"""),"K/11/020925/1")</f>
        <v>K/11/020925/1</v>
      </c>
      <c r="C7122" s="42" t="str">
        <f>IFERROR(__xludf.DUMMYFUNCTION("""COMPUTED_VALUE"""),"NIBEL B 944/ KEDATON")</f>
        <v>NIBEL B 944/ KEDATON</v>
      </c>
      <c r="D7122" s="42"/>
      <c r="E7122" s="42"/>
      <c r="F7122" s="48" t="str">
        <f>IFERROR(__xludf.DUMMYFUNCTION("""COMPUTED_VALUE"""),"")</f>
        <v/>
      </c>
      <c r="G7122" s="42" t="str">
        <f>IFERROR(__xludf.DUMMYFUNCTION("""COMPUTED_VALUE"""),"PTPGT")</f>
        <v>PTPGT</v>
      </c>
      <c r="H7122" s="42">
        <f t="shared" si="1"/>
        <v>3038</v>
      </c>
    </row>
    <row r="7123" ht="22.5" customHeight="1">
      <c r="B7123" s="42" t="str">
        <f>IFERROR(__xludf.DUMMYFUNCTION("""COMPUTED_VALUE"""),"K/6/020925/3")</f>
        <v>K/6/020925/3</v>
      </c>
      <c r="C7123" s="42" t="str">
        <f>IFERROR(__xludf.DUMMYFUNCTION("""COMPUTED_VALUE"""),"M.1929/SUMBER AGUNG")</f>
        <v>M.1929/SUMBER AGUNG</v>
      </c>
      <c r="D7123" s="42"/>
      <c r="E7123" s="42"/>
      <c r="F7123" s="48" t="str">
        <f>IFERROR(__xludf.DUMMYFUNCTION("""COMPUTED_VALUE"""),"")</f>
        <v/>
      </c>
      <c r="G7123" s="42" t="str">
        <f>IFERROR(__xludf.DUMMYFUNCTION("""COMPUTED_VALUE"""),"BN JUAL BELI")</f>
        <v>BN JUAL BELI</v>
      </c>
      <c r="H7123" s="42">
        <f t="shared" si="1"/>
        <v>3038</v>
      </c>
    </row>
    <row r="7124" ht="22.5" customHeight="1">
      <c r="B7124" s="42" t="str">
        <f>IFERROR(__xludf.DUMMYFUNCTION("""COMPUTED_VALUE"""),"K/12/020925/1")</f>
        <v>K/12/020925/1</v>
      </c>
      <c r="C7124" s="42" t="str">
        <f>IFERROR(__xludf.DUMMYFUNCTION("""COMPUTED_VALUE"""),"M . 1876/RAJABASA NUNYAI")</f>
        <v>M . 1876/RAJABASA NUNYAI</v>
      </c>
      <c r="D7124" s="42" t="str">
        <f>IFERROR(__xludf.DUMMYFUNCTION("""COMPUTED_VALUE"""),"David")</f>
        <v>David</v>
      </c>
      <c r="E7124" s="42" t="str">
        <f>IFERROR(__xludf.DUMMYFUNCTION("""COMPUTED_VALUE"""),"DISERAHKAN")</f>
        <v>DISERAHKAN</v>
      </c>
      <c r="F7124" s="48">
        <f>IFERROR(__xludf.DUMMYFUNCTION("""COMPUTED_VALUE"""),45993.58698721065)</f>
        <v>45993.58699</v>
      </c>
      <c r="G7124" s="42" t="str">
        <f>IFERROR(__xludf.DUMMYFUNCTION("""COMPUTED_VALUE"""),"BN HIBAH EL")</f>
        <v>BN HIBAH EL</v>
      </c>
      <c r="H7124" s="42">
        <f t="shared" si="1"/>
        <v>3039</v>
      </c>
    </row>
    <row r="7125" ht="22.5" customHeight="1">
      <c r="B7125" s="42" t="str">
        <f>IFERROR(__xludf.DUMMYFUNCTION("""COMPUTED_VALUE"""),"K/21/020925/1")</f>
        <v>K/21/020925/1</v>
      </c>
      <c r="C7125" s="42" t="str">
        <f>IFERROR(__xludf.DUMMYFUNCTION("""COMPUTED_VALUE"""),"M 1139/ SUMUR BATU")</f>
        <v>M 1139/ SUMUR BATU</v>
      </c>
      <c r="D7125" s="42"/>
      <c r="E7125" s="42"/>
      <c r="F7125" s="48" t="str">
        <f>IFERROR(__xludf.DUMMYFUNCTION("""COMPUTED_VALUE"""),"")</f>
        <v/>
      </c>
      <c r="G7125" s="42" t="str">
        <f>IFERROR(__xludf.DUMMYFUNCTION("""COMPUTED_VALUE"""),"BN JUAL BELI")</f>
        <v>BN JUAL BELI</v>
      </c>
      <c r="H7125" s="42">
        <f t="shared" si="1"/>
        <v>3039</v>
      </c>
    </row>
    <row r="7126" ht="22.5" customHeight="1">
      <c r="B7126" s="42" t="str">
        <f>IFERROR(__xludf.DUMMYFUNCTION("""COMPUTED_VALUE"""),"K/13/020925/2")</f>
        <v>K/13/020925/2</v>
      </c>
      <c r="C7126" s="42" t="str">
        <f>IFERROR(__xludf.DUMMYFUNCTION("""COMPUTED_VALUE"""),"NIBEL M. 22549/KOTA SEPANG")</f>
        <v>NIBEL M. 22549/KOTA SEPANG</v>
      </c>
      <c r="D7126" s="42" t="str">
        <f>IFERROR(__xludf.DUMMYFUNCTION("""COMPUTED_VALUE"""),"Berry")</f>
        <v>Berry</v>
      </c>
      <c r="E7126" s="42" t="str">
        <f>IFERROR(__xludf.DUMMYFUNCTION("""COMPUTED_VALUE"""),"DISERAHKAN")</f>
        <v>DISERAHKAN</v>
      </c>
      <c r="F7126" s="48">
        <f>IFERROR(__xludf.DUMMYFUNCTION("""COMPUTED_VALUE"""),45915.58595871528)</f>
        <v>45915.58596</v>
      </c>
      <c r="G7126" s="42" t="str">
        <f>IFERROR(__xludf.DUMMYFUNCTION("""COMPUTED_VALUE"""),"BN JUAL BELI EL ")</f>
        <v>BN JUAL BELI EL </v>
      </c>
      <c r="H7126" s="42">
        <f t="shared" si="1"/>
        <v>3040</v>
      </c>
    </row>
    <row r="7127" ht="22.5" customHeight="1">
      <c r="B7127" s="42" t="str">
        <f>IFERROR(__xludf.DUMMYFUNCTION("""COMPUTED_VALUE"""),"K/22/020925/1")</f>
        <v>K/22/020925/1</v>
      </c>
      <c r="C7127" s="42" t="str">
        <f>IFERROR(__xludf.DUMMYFUNCTION("""COMPUTED_VALUE"""),"NIBEL M 23438/ SUKARAME")</f>
        <v>NIBEL M 23438/ SUKARAME</v>
      </c>
      <c r="D7127" s="42"/>
      <c r="E7127" s="42"/>
      <c r="F7127" s="48" t="str">
        <f>IFERROR(__xludf.DUMMYFUNCTION("""COMPUTED_VALUE"""),"")</f>
        <v/>
      </c>
      <c r="G7127" s="42" t="str">
        <f>IFERROR(__xludf.DUMMYFUNCTION("""COMPUTED_VALUE"""),"BN JUAL BELI")</f>
        <v>BN JUAL BELI</v>
      </c>
      <c r="H7127" s="42">
        <f t="shared" si="1"/>
        <v>3040</v>
      </c>
    </row>
    <row r="7128" ht="22.5" customHeight="1">
      <c r="B7128" s="42" t="str">
        <f>IFERROR(__xludf.DUMMYFUNCTION("""COMPUTED_VALUE"""),"K/23/020925/2")</f>
        <v>K/23/020925/2</v>
      </c>
      <c r="C7128" s="42" t="str">
        <f>IFERROR(__xludf.DUMMYFUNCTION("""COMPUTED_VALUE"""),"M 508/ TANJUNG AGUNG")</f>
        <v>M 508/ TANJUNG AGUNG</v>
      </c>
      <c r="D7128" s="42"/>
      <c r="E7128" s="42"/>
      <c r="F7128" s="48" t="str">
        <f>IFERROR(__xludf.DUMMYFUNCTION("""COMPUTED_VALUE"""),"")</f>
        <v/>
      </c>
      <c r="G7128" s="42" t="str">
        <f>IFERROR(__xludf.DUMMYFUNCTION("""COMPUTED_VALUE"""),"BN HIBAH")</f>
        <v>BN HIBAH</v>
      </c>
      <c r="H7128" s="42">
        <f t="shared" si="1"/>
        <v>3040</v>
      </c>
    </row>
    <row r="7129" ht="22.5" customHeight="1">
      <c r="B7129" s="42" t="str">
        <f>IFERROR(__xludf.DUMMYFUNCTION("""COMPUTED_VALUE"""),"K/24/020925/1")</f>
        <v>K/24/020925/1</v>
      </c>
      <c r="C7129" s="42" t="str">
        <f>IFERROR(__xludf.DUMMYFUNCTION("""COMPUTED_VALUE"""),"M. 6916/KEDATON")</f>
        <v>M. 6916/KEDATON</v>
      </c>
      <c r="D7129" s="42"/>
      <c r="E7129" s="42"/>
      <c r="F7129" s="48" t="str">
        <f>IFERROR(__xludf.DUMMYFUNCTION("""COMPUTED_VALUE"""),"")</f>
        <v/>
      </c>
      <c r="G7129" s="42" t="str">
        <f>IFERROR(__xludf.DUMMYFUNCTION("""COMPUTED_VALUE"""),"BN WARIS")</f>
        <v>BN WARIS</v>
      </c>
      <c r="H7129" s="42">
        <f t="shared" si="1"/>
        <v>3040</v>
      </c>
    </row>
    <row r="7130" ht="22.5" customHeight="1">
      <c r="B7130" s="42" t="str">
        <f>IFERROR(__xludf.DUMMYFUNCTION("""COMPUTED_VALUE"""),"K/25/020925/1")</f>
        <v>K/25/020925/1</v>
      </c>
      <c r="C7130" s="42" t="str">
        <f>IFERROR(__xludf.DUMMYFUNCTION("""COMPUTED_VALUE"""),"M. 3379/KEMILING PERMAI")</f>
        <v>M. 3379/KEMILING PERMAI</v>
      </c>
      <c r="D7130" s="42" t="str">
        <f>IFERROR(__xludf.DUMMYFUNCTION("""COMPUTED_VALUE"""),"Berry")</f>
        <v>Berry</v>
      </c>
      <c r="E7130" s="42" t="str">
        <f>IFERROR(__xludf.DUMMYFUNCTION("""COMPUTED_VALUE"""),"DISERAHKAN")</f>
        <v>DISERAHKAN</v>
      </c>
      <c r="F7130" s="48">
        <f>IFERROR(__xludf.DUMMYFUNCTION("""COMPUTED_VALUE"""),45915.58077325231)</f>
        <v>45915.58077</v>
      </c>
      <c r="G7130" s="42" t="str">
        <f>IFERROR(__xludf.DUMMYFUNCTION("""COMPUTED_VALUE"""),"BN JUAL BELI EL")</f>
        <v>BN JUAL BELI EL</v>
      </c>
      <c r="H7130" s="42">
        <f t="shared" si="1"/>
        <v>3041</v>
      </c>
    </row>
    <row r="7131" ht="22.5" customHeight="1">
      <c r="B7131" s="42" t="str">
        <f>IFERROR(__xludf.DUMMYFUNCTION("""COMPUTED_VALUE"""),"K/26/020925/1")</f>
        <v>K/26/020925/1</v>
      </c>
      <c r="C7131" s="42" t="str">
        <f>IFERROR(__xludf.DUMMYFUNCTION("""COMPUTED_VALUE"""),"NIBEL M 22445/ PAHOMAN")</f>
        <v>NIBEL M 22445/ PAHOMAN</v>
      </c>
      <c r="D7131" s="42" t="str">
        <f>IFERROR(__xludf.DUMMYFUNCTION("""COMPUTED_VALUE"""),"Berry")</f>
        <v>Berry</v>
      </c>
      <c r="E7131" s="42" t="str">
        <f>IFERROR(__xludf.DUMMYFUNCTION("""COMPUTED_VALUE"""),"DISERAHKAN")</f>
        <v>DISERAHKAN</v>
      </c>
      <c r="F7131" s="48">
        <f>IFERROR(__xludf.DUMMYFUNCTION("""COMPUTED_VALUE"""),45924.6905228588)</f>
        <v>45924.69052</v>
      </c>
      <c r="G7131" s="42" t="str">
        <f>IFERROR(__xludf.DUMMYFUNCTION("""COMPUTED_VALUE"""),"BN JUAL BELI")</f>
        <v>BN JUAL BELI</v>
      </c>
      <c r="H7131" s="42">
        <f t="shared" si="1"/>
        <v>3042</v>
      </c>
    </row>
    <row r="7132" ht="22.5" customHeight="1">
      <c r="B7132" s="42" t="str">
        <f>IFERROR(__xludf.DUMMYFUNCTION("""COMPUTED_VALUE"""),"K/27/020925/2")</f>
        <v>K/27/020925/2</v>
      </c>
      <c r="C7132" s="42" t="str">
        <f>IFERROR(__xludf.DUMMYFUNCTION("""COMPUTED_VALUE"""),"NIBEL M 19407/ BUMI KEDAMAIAN")</f>
        <v>NIBEL M 19407/ BUMI KEDAMAIAN</v>
      </c>
      <c r="D7132" s="42"/>
      <c r="E7132" s="42"/>
      <c r="F7132" s="48" t="str">
        <f>IFERROR(__xludf.DUMMYFUNCTION("""COMPUTED_VALUE"""),"")</f>
        <v/>
      </c>
      <c r="G7132" s="42" t="str">
        <f>IFERROR(__xludf.DUMMYFUNCTION("""COMPUTED_VALUE"""),"BN HIBAH")</f>
        <v>BN HIBAH</v>
      </c>
      <c r="H7132" s="42">
        <f t="shared" si="1"/>
        <v>3042</v>
      </c>
    </row>
    <row r="7133" ht="22.5" customHeight="1">
      <c r="B7133" s="42" t="str">
        <f>IFERROR(__xludf.DUMMYFUNCTION("""COMPUTED_VALUE"""),"L/7/020925/1")</f>
        <v>L/7/020925/1</v>
      </c>
      <c r="C7133" s="42" t="str">
        <f>IFERROR(__xludf.DUMMYFUNCTION("""COMPUTED_VALUE"""),"M. 2789/KEMILING PERMAI")</f>
        <v>M. 2789/KEMILING PERMAI</v>
      </c>
      <c r="D7133" s="42"/>
      <c r="E7133" s="42"/>
      <c r="F7133" s="48" t="str">
        <f>IFERROR(__xludf.DUMMYFUNCTION("""COMPUTED_VALUE"""),"")</f>
        <v/>
      </c>
      <c r="G7133" s="42" t="str">
        <f>IFERROR(__xludf.DUMMYFUNCTION("""COMPUTED_VALUE"""),"ROYA")</f>
        <v>ROYA</v>
      </c>
      <c r="H7133" s="42">
        <f t="shared" si="1"/>
        <v>3042</v>
      </c>
    </row>
    <row r="7134" ht="22.5" customHeight="1">
      <c r="B7134" s="42" t="str">
        <f>IFERROR(__xludf.DUMMYFUNCTION("""COMPUTED_VALUE"""),"K/34/020925/1")</f>
        <v>K/34/020925/1</v>
      </c>
      <c r="C7134" s="42" t="str">
        <f>IFERROR(__xludf.DUMMYFUNCTION("""COMPUTED_VALUE"""),"HGB 01/Tanjung Baru	")</f>
        <v>HGB 01/Tanjung Baru	</v>
      </c>
      <c r="D7134" s="42" t="str">
        <f>IFERROR(__xludf.DUMMYFUNCTION("""COMPUTED_VALUE"""),"David")</f>
        <v>David</v>
      </c>
      <c r="E7134" s="42" t="str">
        <f>IFERROR(__xludf.DUMMYFUNCTION("""COMPUTED_VALUE"""),"DISERAHKAN")</f>
        <v>DISERAHKAN</v>
      </c>
      <c r="F7134" s="48">
        <f>IFERROR(__xludf.DUMMYFUNCTION("""COMPUTED_VALUE"""),45943.69427314815)</f>
        <v>45943.69427</v>
      </c>
      <c r="G7134" s="42" t="str">
        <f>IFERROR(__xludf.DUMMYFUNCTION("""COMPUTED_VALUE"""),"PTPGT	")</f>
        <v>PTPGT	</v>
      </c>
      <c r="H7134" s="42">
        <f t="shared" si="1"/>
        <v>3043</v>
      </c>
    </row>
    <row r="7135" ht="22.5" customHeight="1">
      <c r="B7135" s="42" t="str">
        <f>IFERROR(__xludf.DUMMYFUNCTION("""COMPUTED_VALUE"""),"K/28/020925/1")</f>
        <v>K/28/020925/1</v>
      </c>
      <c r="C7135" s="42" t="str">
        <f>IFERROR(__xludf.DUMMYFUNCTION("""COMPUTED_VALUE"""),"M 422/ NOG")</f>
        <v>M 422/ NOG</v>
      </c>
      <c r="D7135" s="42"/>
      <c r="E7135" s="42"/>
      <c r="F7135" s="48" t="str">
        <f>IFERROR(__xludf.DUMMYFUNCTION("""COMPUTED_VALUE"""),"")</f>
        <v/>
      </c>
      <c r="G7135" s="42" t="str">
        <f>IFERROR(__xludf.DUMMYFUNCTION("""COMPUTED_VALUE"""),"SKPT ELANG")</f>
        <v>SKPT ELANG</v>
      </c>
      <c r="H7135" s="42">
        <f t="shared" si="1"/>
        <v>3043</v>
      </c>
    </row>
    <row r="7136" ht="22.5" customHeight="1">
      <c r="B7136" s="42" t="str">
        <f>IFERROR(__xludf.DUMMYFUNCTION("""COMPUTED_VALUE"""),"K/39/020925/1")</f>
        <v>K/39/020925/1</v>
      </c>
      <c r="C7136" s="42" t="str">
        <f>IFERROR(__xludf.DUMMYFUNCTION("""COMPUTED_VALUE"""),"M. 408/LABUHAN RATU RAYA")</f>
        <v>M. 408/LABUHAN RATU RAYA</v>
      </c>
      <c r="D7136" s="42"/>
      <c r="E7136" s="42"/>
      <c r="F7136" s="48" t="str">
        <f>IFERROR(__xludf.DUMMYFUNCTION("""COMPUTED_VALUE"""),"")</f>
        <v/>
      </c>
      <c r="G7136" s="42" t="str">
        <f>IFERROR(__xludf.DUMMYFUNCTION("""COMPUTED_VALUE"""),"BN JUAL BELI EL")</f>
        <v>BN JUAL BELI EL</v>
      </c>
      <c r="H7136" s="42">
        <f t="shared" si="1"/>
        <v>3043</v>
      </c>
    </row>
    <row r="7137" ht="22.5" customHeight="1">
      <c r="B7137" s="42" t="str">
        <f>IFERROR(__xludf.DUMMYFUNCTION("""COMPUTED_VALUE"""),"K/35/020925/1")</f>
        <v>K/35/020925/1</v>
      </c>
      <c r="C7137" s="42" t="str">
        <f>IFERROR(__xludf.DUMMYFUNCTION("""COMPUTED_VALUE"""),"M 1195/ PEMATANG WANGI")</f>
        <v>M 1195/ PEMATANG WANGI</v>
      </c>
      <c r="D7137" s="42" t="str">
        <f>IFERROR(__xludf.DUMMYFUNCTION("""COMPUTED_VALUE"""),"Berry")</f>
        <v>Berry</v>
      </c>
      <c r="E7137" s="42" t="str">
        <f>IFERROR(__xludf.DUMMYFUNCTION("""COMPUTED_VALUE"""),"DISERAHKAN")</f>
        <v>DISERAHKAN</v>
      </c>
      <c r="F7137" s="48">
        <f>IFERROR(__xludf.DUMMYFUNCTION("""COMPUTED_VALUE"""),45922.64367712963)</f>
        <v>45922.64368</v>
      </c>
      <c r="G7137" s="42" t="str">
        <f>IFERROR(__xludf.DUMMYFUNCTION("""COMPUTED_VALUE"""),"BN WARIS")</f>
        <v>BN WARIS</v>
      </c>
      <c r="H7137" s="42">
        <f t="shared" si="1"/>
        <v>3044</v>
      </c>
    </row>
    <row r="7138" ht="22.5" customHeight="1">
      <c r="B7138" s="42" t="str">
        <f>IFERROR(__xludf.DUMMYFUNCTION("""COMPUTED_VALUE"""),"K/40/020925/2")</f>
        <v>K/40/020925/2</v>
      </c>
      <c r="C7138" s="42" t="str">
        <f>IFERROR(__xludf.DUMMYFUNCTION("""COMPUTED_VALUE"""),"M. 2157/LABUHAN RATU RAYA")</f>
        <v>M. 2157/LABUHAN RATU RAYA</v>
      </c>
      <c r="D7138" s="42"/>
      <c r="E7138" s="42"/>
      <c r="F7138" s="48" t="str">
        <f>IFERROR(__xludf.DUMMYFUNCTION("""COMPUTED_VALUE"""),"")</f>
        <v/>
      </c>
      <c r="G7138" s="42" t="str">
        <f>IFERROR(__xludf.DUMMYFUNCTION("""COMPUTED_VALUE"""),"BN JUALN BELI EL")</f>
        <v>BN JUALN BELI EL</v>
      </c>
      <c r="H7138" s="42">
        <f t="shared" si="1"/>
        <v>3044</v>
      </c>
    </row>
    <row r="7139" ht="22.5" customHeight="1">
      <c r="B7139" s="42" t="str">
        <f>IFERROR(__xludf.DUMMYFUNCTION("""COMPUTED_VALUE"""),"K/29/020925/2")</f>
        <v>K/29/020925/2</v>
      </c>
      <c r="C7139" s="42" t="str">
        <f>IFERROR(__xludf.DUMMYFUNCTION("""COMPUTED_VALUE"""),"M 1013/ SUKADANA HAM")</f>
        <v>M 1013/ SUKADANA HAM</v>
      </c>
      <c r="D7139" s="42" t="str">
        <f>IFERROR(__xludf.DUMMYFUNCTION("""COMPUTED_VALUE"""),"Berry")</f>
        <v>Berry</v>
      </c>
      <c r="E7139" s="42" t="str">
        <f>IFERROR(__xludf.DUMMYFUNCTION("""COMPUTED_VALUE"""),"DISERAHKAN")</f>
        <v>DISERAHKAN</v>
      </c>
      <c r="F7139" s="48">
        <f>IFERROR(__xludf.DUMMYFUNCTION("""COMPUTED_VALUE"""),45945.681302349534)</f>
        <v>45945.6813</v>
      </c>
      <c r="G7139" s="42" t="str">
        <f>IFERROR(__xludf.DUMMYFUNCTION("""COMPUTED_VALUE"""),"SKPT LELANG")</f>
        <v>SKPT LELANG</v>
      </c>
      <c r="H7139" s="42">
        <f t="shared" si="1"/>
        <v>3045</v>
      </c>
    </row>
    <row r="7140" ht="22.5" customHeight="1">
      <c r="B7140" s="42" t="str">
        <f>IFERROR(__xludf.DUMMYFUNCTION("""COMPUTED_VALUE"""),"K/30/020925/3")</f>
        <v>K/30/020925/3</v>
      </c>
      <c r="C7140" s="42" t="str">
        <f>IFERROR(__xludf.DUMMYFUNCTION("""COMPUTED_VALUE"""),"M 1695/ SUMUR PUTRI")</f>
        <v>M 1695/ SUMUR PUTRI</v>
      </c>
      <c r="D7140" s="42"/>
      <c r="E7140" s="42"/>
      <c r="F7140" s="48" t="str">
        <f>IFERROR(__xludf.DUMMYFUNCTION("""COMPUTED_VALUE"""),"")</f>
        <v/>
      </c>
      <c r="G7140" s="42" t="str">
        <f>IFERROR(__xludf.DUMMYFUNCTION("""COMPUTED_VALUE"""),"SKPT LELANG")</f>
        <v>SKPT LELANG</v>
      </c>
      <c r="H7140" s="42">
        <f t="shared" si="1"/>
        <v>3045</v>
      </c>
    </row>
    <row r="7141" ht="22.5" customHeight="1">
      <c r="B7141" s="42" t="str">
        <f>IFERROR(__xludf.DUMMYFUNCTION("""COMPUTED_VALUE"""),"K/31/020925/4")</f>
        <v>K/31/020925/4</v>
      </c>
      <c r="C7141" s="42" t="str">
        <f>IFERROR(__xludf.DUMMYFUNCTION("""COMPUTED_VALUE"""),"M 479/ SUMUR PUTRI")</f>
        <v>M 479/ SUMUR PUTRI</v>
      </c>
      <c r="D7141" s="42"/>
      <c r="E7141" s="42"/>
      <c r="F7141" s="48" t="str">
        <f>IFERROR(__xludf.DUMMYFUNCTION("""COMPUTED_VALUE"""),"")</f>
        <v/>
      </c>
      <c r="G7141" s="42" t="str">
        <f>IFERROR(__xludf.DUMMYFUNCTION("""COMPUTED_VALUE"""),"SKPT LELANG")</f>
        <v>SKPT LELANG</v>
      </c>
      <c r="H7141" s="42">
        <f t="shared" si="1"/>
        <v>3045</v>
      </c>
    </row>
    <row r="7142" ht="22.5" customHeight="1">
      <c r="B7142" s="42" t="str">
        <f>IFERROR(__xludf.DUMMYFUNCTION("""COMPUTED_VALUE"""),"K/32/020925/5")</f>
        <v>K/32/020925/5</v>
      </c>
      <c r="C7142" s="42" t="str">
        <f>IFERROR(__xludf.DUMMYFUNCTION("""COMPUTED_VALUE"""),"M 187/ TANJUNG AGUNG")</f>
        <v>M 187/ TANJUNG AGUNG</v>
      </c>
      <c r="D7142" s="42"/>
      <c r="E7142" s="42"/>
      <c r="F7142" s="48" t="str">
        <f>IFERROR(__xludf.DUMMYFUNCTION("""COMPUTED_VALUE"""),"")</f>
        <v/>
      </c>
      <c r="G7142" s="42" t="str">
        <f>IFERROR(__xludf.DUMMYFUNCTION("""COMPUTED_VALUE"""),"SKPT LELANG")</f>
        <v>SKPT LELANG</v>
      </c>
      <c r="H7142" s="42">
        <f t="shared" si="1"/>
        <v>3045</v>
      </c>
    </row>
    <row r="7143" ht="22.5" customHeight="1">
      <c r="B7143" s="42" t="str">
        <f>IFERROR(__xludf.DUMMYFUNCTION("""COMPUTED_VALUE"""),"K/41/020925/1")</f>
        <v>K/41/020925/1</v>
      </c>
      <c r="C7143" s="42" t="str">
        <f>IFERROR(__xludf.DUMMYFUNCTION("""COMPUTED_VALUE"""),"Nibel 17087/Gunung Agung	")</f>
        <v>Nibel 17087/Gunung Agung	</v>
      </c>
      <c r="D7143" s="42"/>
      <c r="E7143" s="42"/>
      <c r="F7143" s="48" t="str">
        <f>IFERROR(__xludf.DUMMYFUNCTION("""COMPUTED_VALUE"""),"")</f>
        <v/>
      </c>
      <c r="G7143" s="42" t="str">
        <f>IFERROR(__xludf.DUMMYFUNCTION("""COMPUTED_VALUE"""),"BN Jual Beli	")</f>
        <v>BN Jual Beli	</v>
      </c>
      <c r="H7143" s="42">
        <f t="shared" si="1"/>
        <v>3045</v>
      </c>
    </row>
    <row r="7144" ht="22.5" customHeight="1">
      <c r="B7144" s="42" t="str">
        <f>IFERROR(__xludf.DUMMYFUNCTION("""COMPUTED_VALUE"""),"K/36/020925/2")</f>
        <v>K/36/020925/2</v>
      </c>
      <c r="C7144" s="42" t="str">
        <f>IFERROR(__xludf.DUMMYFUNCTION("""COMPUTED_VALUE"""),"M 969/ RAWA LAUT")</f>
        <v>M 969/ RAWA LAUT</v>
      </c>
      <c r="D7144" s="42"/>
      <c r="E7144" s="42"/>
      <c r="F7144" s="48" t="str">
        <f>IFERROR(__xludf.DUMMYFUNCTION("""COMPUTED_VALUE"""),"")</f>
        <v/>
      </c>
      <c r="G7144" s="42" t="str">
        <f>IFERROR(__xludf.DUMMYFUNCTION("""COMPUTED_VALUE"""),"BN JUAL BELI")</f>
        <v>BN JUAL BELI</v>
      </c>
      <c r="H7144" s="42">
        <f t="shared" si="1"/>
        <v>3045</v>
      </c>
    </row>
    <row r="7145" ht="22.5" customHeight="1">
      <c r="B7145" s="42" t="str">
        <f>IFERROR(__xludf.DUMMYFUNCTION("""COMPUTED_VALUE"""),"L/33/020925/1")</f>
        <v>L/33/020925/1</v>
      </c>
      <c r="C7145" s="42" t="str">
        <f>IFERROR(__xludf.DUMMYFUNCTION("""COMPUTED_VALUE"""),"M. 672/KALIAWI")</f>
        <v>M. 672/KALIAWI</v>
      </c>
      <c r="D7145" s="42"/>
      <c r="E7145" s="42"/>
      <c r="F7145" s="48" t="str">
        <f>IFERROR(__xludf.DUMMYFUNCTION("""COMPUTED_VALUE"""),"")</f>
        <v/>
      </c>
      <c r="G7145" s="42" t="str">
        <f>IFERROR(__xludf.DUMMYFUNCTION("""COMPUTED_VALUE"""),"SKPT INFORMASI")</f>
        <v>SKPT INFORMASI</v>
      </c>
      <c r="H7145" s="42">
        <f t="shared" si="1"/>
        <v>3045</v>
      </c>
    </row>
    <row r="7146" ht="22.5" customHeight="1">
      <c r="B7146" s="42" t="str">
        <f>IFERROR(__xludf.DUMMYFUNCTION("""COMPUTED_VALUE"""),"K/51/020925/1")</f>
        <v>K/51/020925/1</v>
      </c>
      <c r="C7146" s="42" t="str">
        <f>IFERROR(__xludf.DUMMYFUNCTION("""COMPUTED_VALUE"""),"M.16941/SUKARAME")</f>
        <v>M.16941/SUKARAME</v>
      </c>
      <c r="D7146" s="42"/>
      <c r="E7146" s="42"/>
      <c r="F7146" s="48" t="str">
        <f>IFERROR(__xludf.DUMMYFUNCTION("""COMPUTED_VALUE"""),"")</f>
        <v/>
      </c>
      <c r="G7146" s="42" t="str">
        <f>IFERROR(__xludf.DUMMYFUNCTION("""COMPUTED_VALUE"""),"HIBAH EL ")</f>
        <v>HIBAH EL </v>
      </c>
      <c r="H7146" s="42">
        <f t="shared" si="1"/>
        <v>3045</v>
      </c>
    </row>
    <row r="7147" ht="22.5" customHeight="1">
      <c r="B7147" s="42" t="str">
        <f>IFERROR(__xludf.DUMMYFUNCTION("""COMPUTED_VALUE"""),"L/43/020925/1")</f>
        <v>L/43/020925/1</v>
      </c>
      <c r="C7147" s="42" t="str">
        <f>IFERROR(__xludf.DUMMYFUNCTION("""COMPUTED_VALUE"""),"M. 11877/KEDATON")</f>
        <v>M. 11877/KEDATON</v>
      </c>
      <c r="D7147" s="42" t="str">
        <f>IFERROR(__xludf.DUMMYFUNCTION("""COMPUTED_VALUE"""),"Berry")</f>
        <v>Berry</v>
      </c>
      <c r="E7147" s="42" t="str">
        <f>IFERROR(__xludf.DUMMYFUNCTION("""COMPUTED_VALUE"""),"DISERAHKAN")</f>
        <v>DISERAHKAN</v>
      </c>
      <c r="F7147" s="48">
        <f>IFERROR(__xludf.DUMMYFUNCTION("""COMPUTED_VALUE"""),45951.4769608912)</f>
        <v>45951.47696</v>
      </c>
      <c r="G7147" s="42" t="str">
        <f>IFERROR(__xludf.DUMMYFUNCTION("""COMPUTED_VALUE"""),"ANGKAT SITA")</f>
        <v>ANGKAT SITA</v>
      </c>
      <c r="H7147" s="42">
        <f t="shared" si="1"/>
        <v>3046</v>
      </c>
    </row>
    <row r="7148" ht="22.5" customHeight="1">
      <c r="B7148" s="42" t="str">
        <f>IFERROR(__xludf.DUMMYFUNCTION("""COMPUTED_VALUE"""),"L/53/020925/1")</f>
        <v>L/53/020925/1</v>
      </c>
      <c r="C7148" s="42" t="str">
        <f>IFERROR(__xludf.DUMMYFUNCTION("""COMPUTED_VALUE"""),"B. 618/NUSANTARA PERMAI")</f>
        <v>B. 618/NUSANTARA PERMAI</v>
      </c>
      <c r="D7148" s="42"/>
      <c r="E7148" s="42"/>
      <c r="F7148" s="48" t="str">
        <f>IFERROR(__xludf.DUMMYFUNCTION("""COMPUTED_VALUE"""),"")</f>
        <v/>
      </c>
      <c r="G7148" s="42" t="str">
        <f>IFERROR(__xludf.DUMMYFUNCTION("""COMPUTED_VALUE"""),"BN WARIS")</f>
        <v>BN WARIS</v>
      </c>
      <c r="H7148" s="42">
        <f t="shared" si="1"/>
        <v>3046</v>
      </c>
    </row>
    <row r="7149" ht="22.5" customHeight="1">
      <c r="B7149" s="42" t="str">
        <f>IFERROR(__xludf.DUMMYFUNCTION("""COMPUTED_VALUE"""),"K/50/020925/1")</f>
        <v>K/50/020925/1</v>
      </c>
      <c r="C7149" s="42" t="str">
        <f>IFERROR(__xludf.DUMMYFUNCTION("""COMPUTED_VALUE"""),"M. 159/Palapa	")</f>
        <v>M. 159/Palapa	</v>
      </c>
      <c r="D7149" s="42" t="str">
        <f>IFERROR(__xludf.DUMMYFUNCTION("""COMPUTED_VALUE"""),"Berry")</f>
        <v>Berry</v>
      </c>
      <c r="E7149" s="42" t="str">
        <f>IFERROR(__xludf.DUMMYFUNCTION("""COMPUTED_VALUE"""),"DISERAHKAN")</f>
        <v>DISERAHKAN</v>
      </c>
      <c r="F7149" s="48">
        <f>IFERROR(__xludf.DUMMYFUNCTION("""COMPUTED_VALUE"""),45918.55334695602)</f>
        <v>45918.55335</v>
      </c>
      <c r="G7149" s="42" t="str">
        <f>IFERROR(__xludf.DUMMYFUNCTION("""COMPUTED_VALUE"""),"BN Waris	")</f>
        <v>BN Waris	</v>
      </c>
      <c r="H7149" s="42">
        <f t="shared" si="1"/>
        <v>3047</v>
      </c>
    </row>
    <row r="7150" ht="22.5" customHeight="1">
      <c r="B7150" s="42" t="str">
        <f>IFERROR(__xludf.DUMMYFUNCTION("""COMPUTED_VALUE"""),"L/44/020925/2")</f>
        <v>L/44/020925/2</v>
      </c>
      <c r="C7150" s="42" t="str">
        <f>IFERROR(__xludf.DUMMYFUNCTION("""COMPUTED_VALUE"""),"M. 10250/KEDATON")</f>
        <v>M. 10250/KEDATON</v>
      </c>
      <c r="D7150" s="42" t="str">
        <f>IFERROR(__xludf.DUMMYFUNCTION("""COMPUTED_VALUE"""),"Berry")</f>
        <v>Berry</v>
      </c>
      <c r="E7150" s="42" t="str">
        <f>IFERROR(__xludf.DUMMYFUNCTION("""COMPUTED_VALUE"""),"DISERAHKAN")</f>
        <v>DISERAHKAN</v>
      </c>
      <c r="F7150" s="48">
        <f>IFERROR(__xludf.DUMMYFUNCTION("""COMPUTED_VALUE"""),45915.58383234954)</f>
        <v>45915.58383</v>
      </c>
      <c r="G7150" s="42" t="str">
        <f>IFERROR(__xludf.DUMMYFUNCTION("""COMPUTED_VALUE"""),"ANGKAT SITA")</f>
        <v>ANGKAT SITA</v>
      </c>
      <c r="H7150" s="42">
        <f t="shared" si="1"/>
        <v>3048</v>
      </c>
    </row>
    <row r="7151" ht="22.5" customHeight="1">
      <c r="B7151" s="42" t="str">
        <f>IFERROR(__xludf.DUMMYFUNCTION("""COMPUTED_VALUE"""),"L/45/020925/3")</f>
        <v>L/45/020925/3</v>
      </c>
      <c r="C7151" s="42" t="str">
        <f>IFERROR(__xludf.DUMMYFUNCTION("""COMPUTED_VALUE"""),"M. 9015/KEDATON")</f>
        <v>M. 9015/KEDATON</v>
      </c>
      <c r="D7151" s="42"/>
      <c r="E7151" s="42"/>
      <c r="F7151" s="48" t="str">
        <f>IFERROR(__xludf.DUMMYFUNCTION("""COMPUTED_VALUE"""),"")</f>
        <v/>
      </c>
      <c r="G7151" s="42" t="str">
        <f>IFERROR(__xludf.DUMMYFUNCTION("""COMPUTED_VALUE"""),"ANGKAT SITA")</f>
        <v>ANGKAT SITA</v>
      </c>
      <c r="H7151" s="42">
        <f t="shared" si="1"/>
        <v>3048</v>
      </c>
    </row>
    <row r="7152" ht="22.5" customHeight="1">
      <c r="B7152" s="42" t="str">
        <f>IFERROR(__xludf.DUMMYFUNCTION("""COMPUTED_VALUE"""),"L/46/020925/4")</f>
        <v>L/46/020925/4</v>
      </c>
      <c r="C7152" s="42" t="str">
        <f>IFERROR(__xludf.DUMMYFUNCTION("""COMPUTED_VALUE"""),"M. 10251/KEDATON")</f>
        <v>M. 10251/KEDATON</v>
      </c>
      <c r="D7152" s="42"/>
      <c r="E7152" s="42"/>
      <c r="F7152" s="48" t="str">
        <f>IFERROR(__xludf.DUMMYFUNCTION("""COMPUTED_VALUE"""),"")</f>
        <v/>
      </c>
      <c r="G7152" s="42" t="str">
        <f>IFERROR(__xludf.DUMMYFUNCTION("""COMPUTED_VALUE"""),"ANGKAT SITA")</f>
        <v>ANGKAT SITA</v>
      </c>
      <c r="H7152" s="42">
        <f t="shared" si="1"/>
        <v>3048</v>
      </c>
    </row>
    <row r="7153" ht="22.5" customHeight="1">
      <c r="B7153" s="42" t="str">
        <f>IFERROR(__xludf.DUMMYFUNCTION("""COMPUTED_VALUE"""),"L/47/020925/5")</f>
        <v>L/47/020925/5</v>
      </c>
      <c r="C7153" s="42" t="str">
        <f>IFERROR(__xludf.DUMMYFUNCTION("""COMPUTED_VALUE"""),"M. 9838/KEDATON")</f>
        <v>M. 9838/KEDATON</v>
      </c>
      <c r="D7153" s="42"/>
      <c r="E7153" s="42"/>
      <c r="F7153" s="48" t="str">
        <f>IFERROR(__xludf.DUMMYFUNCTION("""COMPUTED_VALUE"""),"")</f>
        <v/>
      </c>
      <c r="G7153" s="42" t="str">
        <f>IFERROR(__xludf.DUMMYFUNCTION("""COMPUTED_VALUE"""),"ANGKAT SITA")</f>
        <v>ANGKAT SITA</v>
      </c>
      <c r="H7153" s="42">
        <f t="shared" si="1"/>
        <v>3048</v>
      </c>
    </row>
    <row r="7154" ht="22.5" customHeight="1">
      <c r="B7154" s="42" t="str">
        <f>IFERROR(__xludf.DUMMYFUNCTION("""COMPUTED_VALUE"""),"L/48/020925/6")</f>
        <v>L/48/020925/6</v>
      </c>
      <c r="C7154" s="42" t="str">
        <f>IFERROR(__xludf.DUMMYFUNCTION("""COMPUTED_VALUE"""),"M. 9862/KEDATON")</f>
        <v>M. 9862/KEDATON</v>
      </c>
      <c r="D7154" s="42"/>
      <c r="E7154" s="42"/>
      <c r="F7154" s="48" t="str">
        <f>IFERROR(__xludf.DUMMYFUNCTION("""COMPUTED_VALUE"""),"")</f>
        <v/>
      </c>
      <c r="G7154" s="42" t="str">
        <f>IFERROR(__xludf.DUMMYFUNCTION("""COMPUTED_VALUE"""),"ANGKAT SITA")</f>
        <v>ANGKAT SITA</v>
      </c>
      <c r="H7154" s="42">
        <f t="shared" si="1"/>
        <v>3048</v>
      </c>
    </row>
    <row r="7155" ht="22.5" customHeight="1">
      <c r="B7155" s="42" t="str">
        <f>IFERROR(__xludf.DUMMYFUNCTION("""COMPUTED_VALUE"""),"L/49/020925/7")</f>
        <v>L/49/020925/7</v>
      </c>
      <c r="C7155" s="42" t="str">
        <f>IFERROR(__xludf.DUMMYFUNCTION("""COMPUTED_VALUE"""),"M. 9837/KEDATON")</f>
        <v>M. 9837/KEDATON</v>
      </c>
      <c r="D7155" s="42"/>
      <c r="E7155" s="42"/>
      <c r="F7155" s="48" t="str">
        <f>IFERROR(__xludf.DUMMYFUNCTION("""COMPUTED_VALUE"""),"")</f>
        <v/>
      </c>
      <c r="G7155" s="42" t="str">
        <f>IFERROR(__xludf.DUMMYFUNCTION("""COMPUTED_VALUE"""),"ANGKAT SITA")</f>
        <v>ANGKAT SITA</v>
      </c>
      <c r="H7155" s="42">
        <f t="shared" si="1"/>
        <v>3048</v>
      </c>
    </row>
    <row r="7156" ht="22.5" customHeight="1">
      <c r="B7156" s="42" t="str">
        <f>IFERROR(__xludf.DUMMYFUNCTION("""COMPUTED_VALUE"""),"K/37/020925/3")</f>
        <v>K/37/020925/3</v>
      </c>
      <c r="C7156" s="42" t="str">
        <f>IFERROR(__xludf.DUMMYFUNCTION("""COMPUTED_VALUE"""),"M 3770/ CAMPANG RAYA")</f>
        <v>M 3770/ CAMPANG RAYA</v>
      </c>
      <c r="D7156" s="42"/>
      <c r="E7156" s="42"/>
      <c r="F7156" s="48" t="str">
        <f>IFERROR(__xludf.DUMMYFUNCTION("""COMPUTED_VALUE"""),"")</f>
        <v/>
      </c>
      <c r="G7156" s="42" t="str">
        <f>IFERROR(__xludf.DUMMYFUNCTION("""COMPUTED_VALUE"""),"BN JUAL BELI")</f>
        <v>BN JUAL BELI</v>
      </c>
      <c r="H7156" s="42">
        <f t="shared" si="1"/>
        <v>3048</v>
      </c>
    </row>
    <row r="7157" ht="22.5" customHeight="1">
      <c r="B7157" s="42" t="str">
        <f>IFERROR(__xludf.DUMMYFUNCTION("""COMPUTED_VALUE"""),"K/52/020925/2")</f>
        <v>K/52/020925/2</v>
      </c>
      <c r="C7157" s="42" t="str">
        <f>IFERROR(__xludf.DUMMYFUNCTION("""COMPUTED_VALUE"""),"M. 21744/SUMBER REJO")</f>
        <v>M. 21744/SUMBER REJO</v>
      </c>
      <c r="D7157" s="42" t="str">
        <f>IFERROR(__xludf.DUMMYFUNCTION("""COMPUTED_VALUE"""),"David")</f>
        <v>David</v>
      </c>
      <c r="E7157" s="42" t="str">
        <f>IFERROR(__xludf.DUMMYFUNCTION("""COMPUTED_VALUE"""),"DISERAHKAN")</f>
        <v>DISERAHKAN</v>
      </c>
      <c r="F7157" s="48">
        <f>IFERROR(__xludf.DUMMYFUNCTION("""COMPUTED_VALUE"""),45943.70157262731)</f>
        <v>45943.70157</v>
      </c>
      <c r="G7157" s="42" t="str">
        <f>IFERROR(__xludf.DUMMYFUNCTION("""COMPUTED_VALUE"""),"BN JUAL BELI EL")</f>
        <v>BN JUAL BELI EL</v>
      </c>
      <c r="H7157" s="42">
        <f t="shared" si="1"/>
        <v>3049</v>
      </c>
    </row>
    <row r="7158" ht="22.5" customHeight="1">
      <c r="B7158" s="42" t="str">
        <f>IFERROR(__xludf.DUMMYFUNCTION("""COMPUTED_VALUE"""),"K/55/020925/1")</f>
        <v>K/55/020925/1</v>
      </c>
      <c r="C7158" s="42" t="str">
        <f>IFERROR(__xludf.DUMMYFUNCTION("""COMPUTED_VALUE"""),"NIBEL B. 456/SUMBER AGUNG")</f>
        <v>NIBEL B. 456/SUMBER AGUNG</v>
      </c>
      <c r="D7158" s="42"/>
      <c r="E7158" s="42"/>
      <c r="F7158" s="48" t="str">
        <f>IFERROR(__xludf.DUMMYFUNCTION("""COMPUTED_VALUE"""),"")</f>
        <v/>
      </c>
      <c r="G7158" s="42" t="str">
        <f>IFERROR(__xludf.DUMMYFUNCTION("""COMPUTED_VALUE"""),"BN JUAL BELI EL")</f>
        <v>BN JUAL BELI EL</v>
      </c>
      <c r="H7158" s="42">
        <f t="shared" si="1"/>
        <v>3049</v>
      </c>
    </row>
    <row r="7159" ht="22.5" customHeight="1">
      <c r="B7159" s="42" t="str">
        <f>IFERROR(__xludf.DUMMYFUNCTION("""COMPUTED_VALUE"""),"K/56/020925/2")</f>
        <v>K/56/020925/2</v>
      </c>
      <c r="C7159" s="42" t="str">
        <f>IFERROR(__xludf.DUMMYFUNCTION("""COMPUTED_VALUE"""),"NIBEL M. 18098/RAJABASA JAYA")</f>
        <v>NIBEL M. 18098/RAJABASA JAYA</v>
      </c>
      <c r="D7159" s="42"/>
      <c r="E7159" s="42"/>
      <c r="F7159" s="48" t="str">
        <f>IFERROR(__xludf.DUMMYFUNCTION("""COMPUTED_VALUE"""),"")</f>
        <v/>
      </c>
      <c r="G7159" s="42" t="str">
        <f>IFERROR(__xludf.DUMMYFUNCTION("""COMPUTED_VALUE"""),"BN JUAL BELI EL")</f>
        <v>BN JUAL BELI EL</v>
      </c>
      <c r="H7159" s="42">
        <f t="shared" si="1"/>
        <v>3049</v>
      </c>
    </row>
    <row r="7160" ht="22.5" customHeight="1">
      <c r="B7160" s="42" t="str">
        <f>IFERROR(__xludf.DUMMYFUNCTION("""COMPUTED_VALUE"""),"K/38/020925/4")</f>
        <v>K/38/020925/4</v>
      </c>
      <c r="C7160" s="42" t="str">
        <f>IFERROR(__xludf.DUMMYFUNCTION("""COMPUTED_VALUE"""),"NIBEL M 7636/ GUNUNG TERANG")</f>
        <v>NIBEL M 7636/ GUNUNG TERANG</v>
      </c>
      <c r="D7160" s="42"/>
      <c r="E7160" s="42"/>
      <c r="F7160" s="48" t="str">
        <f>IFERROR(__xludf.DUMMYFUNCTION("""COMPUTED_VALUE"""),"")</f>
        <v/>
      </c>
      <c r="G7160" s="42" t="str">
        <f>IFERROR(__xludf.DUMMYFUNCTION("""COMPUTED_VALUE"""),"BN JUAL BELI")</f>
        <v>BN JUAL BELI</v>
      </c>
      <c r="H7160" s="42">
        <f t="shared" si="1"/>
        <v>3049</v>
      </c>
    </row>
    <row r="7161" ht="22.5" customHeight="1">
      <c r="B7161" s="42" t="str">
        <f>IFERROR(__xludf.DUMMYFUNCTION("""COMPUTED_VALUE"""),"L/61/020925/1")</f>
        <v>L/61/020925/1</v>
      </c>
      <c r="C7161" s="42" t="str">
        <f>IFERROR(__xludf.DUMMYFUNCTION("""COMPUTED_VALUE"""),"M. 490/PERUMNAS WAY KANDIS")</f>
        <v>M. 490/PERUMNAS WAY KANDIS</v>
      </c>
      <c r="D7161" s="42"/>
      <c r="E7161" s="42"/>
      <c r="F7161" s="48" t="str">
        <f>IFERROR(__xludf.DUMMYFUNCTION("""COMPUTED_VALUE"""),"")</f>
        <v/>
      </c>
      <c r="G7161" s="42" t="str">
        <f>IFERROR(__xludf.DUMMYFUNCTION("""COMPUTED_VALUE"""),"ROYA")</f>
        <v>ROYA</v>
      </c>
      <c r="H7161" s="42">
        <f t="shared" si="1"/>
        <v>3049</v>
      </c>
    </row>
    <row r="7162" ht="22.5" customHeight="1">
      <c r="B7162" s="42" t="str">
        <f>IFERROR(__xludf.DUMMYFUNCTION("""COMPUTED_VALUE"""),"K/62/020925/1")</f>
        <v>K/62/020925/1</v>
      </c>
      <c r="C7162" s="42" t="str">
        <f>IFERROR(__xludf.DUMMYFUNCTION("""COMPUTED_VALUE"""),"M 6223/ WAY KANDIS")</f>
        <v>M 6223/ WAY KANDIS</v>
      </c>
      <c r="D7162" s="42" t="str">
        <f>IFERROR(__xludf.DUMMYFUNCTION("""COMPUTED_VALUE"""),"David")</f>
        <v>David</v>
      </c>
      <c r="E7162" s="42" t="str">
        <f>IFERROR(__xludf.DUMMYFUNCTION("""COMPUTED_VALUE"""),"DISERAHKAN")</f>
        <v>DISERAHKAN</v>
      </c>
      <c r="F7162" s="48">
        <f>IFERROR(__xludf.DUMMYFUNCTION("""COMPUTED_VALUE"""),45930.60012822917)</f>
        <v>45930.60013</v>
      </c>
      <c r="G7162" s="42" t="str">
        <f>IFERROR(__xludf.DUMMYFUNCTION("""COMPUTED_VALUE"""),"BN JUAL BELI")</f>
        <v>BN JUAL BELI</v>
      </c>
      <c r="H7162" s="42">
        <f t="shared" si="1"/>
        <v>3050</v>
      </c>
    </row>
    <row r="7163" ht="22.5" customHeight="1">
      <c r="B7163" s="42" t="str">
        <f>IFERROR(__xludf.DUMMYFUNCTION("""COMPUTED_VALUE"""),"K/58/020925/1")</f>
        <v>K/58/020925/1</v>
      </c>
      <c r="C7163" s="42" t="str">
        <f>IFERROR(__xludf.DUMMYFUNCTION("""COMPUTED_VALUE"""),"Nibel 3274/Rajabasa Pemuka	")</f>
        <v>Nibel 3274/Rajabasa Pemuka	</v>
      </c>
      <c r="D7163" s="42"/>
      <c r="E7163" s="42"/>
      <c r="F7163" s="48" t="str">
        <f>IFERROR(__xludf.DUMMYFUNCTION("""COMPUTED_VALUE"""),"")</f>
        <v/>
      </c>
      <c r="G7163" s="42" t="str">
        <f>IFERROR(__xludf.DUMMYFUNCTION("""COMPUTED_VALUE"""),"BN Jual Beli	")</f>
        <v>BN Jual Beli	</v>
      </c>
      <c r="H7163" s="42">
        <f t="shared" si="1"/>
        <v>3050</v>
      </c>
    </row>
    <row r="7164" ht="22.5" customHeight="1">
      <c r="B7164" s="42" t="str">
        <f>IFERROR(__xludf.DUMMYFUNCTION("""COMPUTED_VALUE"""),"K/57/020925/3")</f>
        <v>K/57/020925/3</v>
      </c>
      <c r="C7164" s="42" t="str">
        <f>IFERROR(__xludf.DUMMYFUNCTION("""COMPUTED_VALUE"""),"NIBEL B. 24284/SUMUR PUTRI")</f>
        <v>NIBEL B. 24284/SUMUR PUTRI</v>
      </c>
      <c r="D7164" s="42"/>
      <c r="E7164" s="42"/>
      <c r="F7164" s="48" t="str">
        <f>IFERROR(__xludf.DUMMYFUNCTION("""COMPUTED_VALUE"""),"")</f>
        <v/>
      </c>
      <c r="G7164" s="42" t="str">
        <f>IFERROR(__xludf.DUMMYFUNCTION("""COMPUTED_VALUE"""),"PENINGKATAN HAK")</f>
        <v>PENINGKATAN HAK</v>
      </c>
      <c r="H7164" s="42">
        <f t="shared" si="1"/>
        <v>3050</v>
      </c>
    </row>
    <row r="7165" ht="22.5" customHeight="1">
      <c r="B7165" s="42" t="str">
        <f>IFERROR(__xludf.DUMMYFUNCTION("""COMPUTED_VALUE"""),"K/65/020925/2")</f>
        <v>K/65/020925/2</v>
      </c>
      <c r="C7165" s="42" t="str">
        <f>IFERROR(__xludf.DUMMYFUNCTION("""COMPUTED_VALUE"""),"M. 6241/ WAY KANDIS")</f>
        <v>M. 6241/ WAY KANDIS</v>
      </c>
      <c r="D7165" s="42"/>
      <c r="E7165" s="42"/>
      <c r="F7165" s="48" t="str">
        <f>IFERROR(__xludf.DUMMYFUNCTION("""COMPUTED_VALUE"""),"")</f>
        <v/>
      </c>
      <c r="G7165" s="42" t="str">
        <f>IFERROR(__xludf.DUMMYFUNCTION("""COMPUTED_VALUE"""),"BN JUAL BELI")</f>
        <v>BN JUAL BELI</v>
      </c>
      <c r="H7165" s="42">
        <f t="shared" si="1"/>
        <v>3050</v>
      </c>
    </row>
    <row r="7166" ht="22.5" customHeight="1">
      <c r="B7166" s="42" t="str">
        <f>IFERROR(__xludf.DUMMYFUNCTION("""COMPUTED_VALUE"""),"K/63/020925/1")</f>
        <v>K/63/020925/1</v>
      </c>
      <c r="C7166" s="42" t="str">
        <f>IFERROR(__xludf.DUMMYFUNCTION("""COMPUTED_VALUE"""),"B. 78/GULAK GALIK")</f>
        <v>B. 78/GULAK GALIK</v>
      </c>
      <c r="D7166" s="42" t="str">
        <f>IFERROR(__xludf.DUMMYFUNCTION("""COMPUTED_VALUE"""),"Berry")</f>
        <v>Berry</v>
      </c>
      <c r="E7166" s="42" t="str">
        <f>IFERROR(__xludf.DUMMYFUNCTION("""COMPUTED_VALUE"""),"DISERAHKAN")</f>
        <v>DISERAHKAN</v>
      </c>
      <c r="F7166" s="48">
        <f>IFERROR(__xludf.DUMMYFUNCTION("""COMPUTED_VALUE"""),45938.48831236111)</f>
        <v>45938.48831</v>
      </c>
      <c r="G7166" s="42" t="str">
        <f>IFERROR(__xludf.DUMMYFUNCTION("""COMPUTED_VALUE"""),"PERPANJANGAN HAK")</f>
        <v>PERPANJANGAN HAK</v>
      </c>
      <c r="H7166" s="42">
        <f t="shared" si="1"/>
        <v>3051</v>
      </c>
    </row>
    <row r="7167" ht="22.5" customHeight="1">
      <c r="B7167" s="42" t="str">
        <f>IFERROR(__xludf.DUMMYFUNCTION("""COMPUTED_VALUE"""),"K/59/020925/2")</f>
        <v>K/59/020925/2</v>
      </c>
      <c r="C7167" s="42" t="str">
        <f>IFERROR(__xludf.DUMMYFUNCTION("""COMPUTED_VALUE"""),"Nibel 3275/Rajabasa Pemuka	")</f>
        <v>Nibel 3275/Rajabasa Pemuka	</v>
      </c>
      <c r="D7167" s="42"/>
      <c r="E7167" s="42"/>
      <c r="F7167" s="48" t="str">
        <f>IFERROR(__xludf.DUMMYFUNCTION("""COMPUTED_VALUE"""),"")</f>
        <v/>
      </c>
      <c r="G7167" s="42" t="str">
        <f>IFERROR(__xludf.DUMMYFUNCTION("""COMPUTED_VALUE"""),"BN Jual Beli	")</f>
        <v>BN Jual Beli	</v>
      </c>
      <c r="H7167" s="42">
        <f t="shared" si="1"/>
        <v>3051</v>
      </c>
    </row>
    <row r="7168" ht="22.5" customHeight="1">
      <c r="B7168" s="42" t="str">
        <f>IFERROR(__xludf.DUMMYFUNCTION("""COMPUTED_VALUE"""),"K/64/020925/2")</f>
        <v>K/64/020925/2</v>
      </c>
      <c r="C7168" s="42" t="str">
        <f>IFERROR(__xludf.DUMMYFUNCTION("""COMPUTED_VALUE"""),"B. 75/GULAK GALIK")</f>
        <v>B. 75/GULAK GALIK</v>
      </c>
      <c r="D7168" s="42"/>
      <c r="E7168" s="42"/>
      <c r="F7168" s="48" t="str">
        <f>IFERROR(__xludf.DUMMYFUNCTION("""COMPUTED_VALUE"""),"")</f>
        <v/>
      </c>
      <c r="G7168" s="42" t="str">
        <f>IFERROR(__xludf.DUMMYFUNCTION("""COMPUTED_VALUE"""),"PERUBAHAN HAK KONSTATASI")</f>
        <v>PERUBAHAN HAK KONSTATASI</v>
      </c>
      <c r="H7168" s="42">
        <f t="shared" si="1"/>
        <v>3051</v>
      </c>
    </row>
    <row r="7169" ht="22.5" customHeight="1">
      <c r="B7169" s="42" t="str">
        <f>IFERROR(__xludf.DUMMYFUNCTION("""COMPUTED_VALUE"""),"K/66/020925/1")</f>
        <v>K/66/020925/1</v>
      </c>
      <c r="C7169" s="42" t="str">
        <f>IFERROR(__xludf.DUMMYFUNCTION("""COMPUTED_VALUE"""),"NIBEL M 485/ RAJABASA RAYA")</f>
        <v>NIBEL M 485/ RAJABASA RAYA</v>
      </c>
      <c r="D7169" s="42"/>
      <c r="E7169" s="42"/>
      <c r="F7169" s="48" t="str">
        <f>IFERROR(__xludf.DUMMYFUNCTION("""COMPUTED_VALUE"""),"")</f>
        <v/>
      </c>
      <c r="G7169" s="42" t="str">
        <f>IFERROR(__xludf.DUMMYFUNCTION("""COMPUTED_VALUE"""),"BN JUAL BELI")</f>
        <v>BN JUAL BELI</v>
      </c>
      <c r="H7169" s="42">
        <f t="shared" si="1"/>
        <v>3051</v>
      </c>
    </row>
    <row r="7170" ht="22.5" customHeight="1">
      <c r="B7170" s="42" t="str">
        <f>IFERROR(__xludf.DUMMYFUNCTION("""COMPUTED_VALUE"""),"K/67/020925/1")</f>
        <v>K/67/020925/1</v>
      </c>
      <c r="C7170" s="42" t="str">
        <f>IFERROR(__xludf.DUMMYFUNCTION("""COMPUTED_VALUE"""),"M. 920/ENGGAL")</f>
        <v>M. 920/ENGGAL</v>
      </c>
      <c r="D7170" s="42"/>
      <c r="E7170" s="42"/>
      <c r="F7170" s="48" t="str">
        <f>IFERROR(__xludf.DUMMYFUNCTION("""COMPUTED_VALUE"""),"")</f>
        <v/>
      </c>
      <c r="G7170" s="42" t="str">
        <f>IFERROR(__xludf.DUMMYFUNCTION("""COMPUTED_VALUE"""),"BN WARIS")</f>
        <v>BN WARIS</v>
      </c>
      <c r="H7170" s="42">
        <f t="shared" si="1"/>
        <v>3051</v>
      </c>
    </row>
    <row r="7171" ht="22.5" customHeight="1">
      <c r="B7171" s="42" t="str">
        <f>IFERROR(__xludf.DUMMYFUNCTION("""COMPUTED_VALUE"""),"L/66/210825/1")</f>
        <v>L/66/210825/1</v>
      </c>
      <c r="C7171" s="42" t="str">
        <f>IFERROR(__xludf.DUMMYFUNCTION("""COMPUTED_VALUE"""),"B. 44/GOTONG ROYONG")</f>
        <v>B. 44/GOTONG ROYONG</v>
      </c>
      <c r="D7171" s="42"/>
      <c r="E7171" s="42"/>
      <c r="F7171" s="48" t="str">
        <f>IFERROR(__xludf.DUMMYFUNCTION("""COMPUTED_VALUE"""),"")</f>
        <v/>
      </c>
      <c r="G7171" s="42" t="str">
        <f>IFERROR(__xludf.DUMMYFUNCTION("""COMPUTED_VALUE"""),"ANGKAT SITA")</f>
        <v>ANGKAT SITA</v>
      </c>
      <c r="H7171" s="42">
        <f t="shared" si="1"/>
        <v>3051</v>
      </c>
    </row>
    <row r="7172" ht="22.5" customHeight="1">
      <c r="B7172" s="42" t="str">
        <f>IFERROR(__xludf.DUMMYFUNCTION("""COMPUTED_VALUE"""),"L/1/030925/1")</f>
        <v>L/1/030925/1</v>
      </c>
      <c r="C7172" s="42" t="str">
        <f>IFERROR(__xludf.DUMMYFUNCTION("""COMPUTED_VALUE"""),"M. 1966/GEDONG AIR")</f>
        <v>M. 1966/GEDONG AIR</v>
      </c>
      <c r="D7172" s="42"/>
      <c r="E7172" s="42"/>
      <c r="F7172" s="48" t="str">
        <f>IFERROR(__xludf.DUMMYFUNCTION("""COMPUTED_VALUE"""),"")</f>
        <v/>
      </c>
      <c r="G7172" s="42" t="str">
        <f>IFERROR(__xludf.DUMMYFUNCTION("""COMPUTED_VALUE"""),"PEMECAHAN")</f>
        <v>PEMECAHAN</v>
      </c>
      <c r="H7172" s="42">
        <f t="shared" si="1"/>
        <v>3051</v>
      </c>
    </row>
    <row r="7173" ht="22.5" customHeight="1">
      <c r="B7173" s="42" t="str">
        <f>IFERROR(__xludf.DUMMYFUNCTION("""COMPUTED_VALUE"""),"L/2/030925/1")</f>
        <v>L/2/030925/1</v>
      </c>
      <c r="C7173" s="42" t="str">
        <f>IFERROR(__xludf.DUMMYFUNCTION("""COMPUTED_VALUE"""),"M. 2812/BERINGIN RAYA")</f>
        <v>M. 2812/BERINGIN RAYA</v>
      </c>
      <c r="D7173" s="42"/>
      <c r="E7173" s="42"/>
      <c r="F7173" s="48" t="str">
        <f>IFERROR(__xludf.DUMMYFUNCTION("""COMPUTED_VALUE"""),"")</f>
        <v/>
      </c>
      <c r="G7173" s="42" t="str">
        <f>IFERROR(__xludf.DUMMYFUNCTION("""COMPUTED_VALUE"""),"ROYA")</f>
        <v>ROYA</v>
      </c>
      <c r="H7173" s="42">
        <f t="shared" si="1"/>
        <v>3051</v>
      </c>
    </row>
    <row r="7174" ht="22.5" customHeight="1">
      <c r="B7174" s="42" t="str">
        <f>IFERROR(__xludf.DUMMYFUNCTION("""COMPUTED_VALUE"""),"K/4/270825/3	")</f>
        <v>K/4/270825/3	</v>
      </c>
      <c r="C7174" s="42" t="str">
        <f>IFERROR(__xludf.DUMMYFUNCTION("""COMPUTED_VALUE"""),"Nibel 17846/Pematang Wangi	")</f>
        <v>Nibel 17846/Pematang Wangi	</v>
      </c>
      <c r="D7174" s="42" t="str">
        <f>IFERROR(__xludf.DUMMYFUNCTION("""COMPUTED_VALUE"""),"David")</f>
        <v>David</v>
      </c>
      <c r="E7174" s="42" t="str">
        <f>IFERROR(__xludf.DUMMYFUNCTION("""COMPUTED_VALUE"""),"DISERAHKAN")</f>
        <v>DISERAHKAN</v>
      </c>
      <c r="F7174" s="48">
        <f>IFERROR(__xludf.DUMMYFUNCTION("""COMPUTED_VALUE"""),45923.6162625)</f>
        <v>45923.61626</v>
      </c>
      <c r="G7174" s="42" t="str">
        <f>IFERROR(__xludf.DUMMYFUNCTION("""COMPUTED_VALUE"""),"BN Jual Beli	")</f>
        <v>BN Jual Beli	</v>
      </c>
      <c r="H7174" s="42">
        <f t="shared" si="1"/>
        <v>3052</v>
      </c>
    </row>
    <row r="7175" ht="22.5" customHeight="1">
      <c r="B7175" s="42" t="str">
        <f>IFERROR(__xludf.DUMMYFUNCTION("""COMPUTED_VALUE"""),"K/3/260825/3		")</f>
        <v>K/3/260825/3		</v>
      </c>
      <c r="C7175" s="42" t="str">
        <f>IFERROR(__xludf.DUMMYFUNCTION("""COMPUTED_VALUE"""),"M. 2296/Tanjung Senang	")</f>
        <v>M. 2296/Tanjung Senang	</v>
      </c>
      <c r="D7175" s="42"/>
      <c r="E7175" s="42"/>
      <c r="F7175" s="48" t="str">
        <f>IFERROR(__xludf.DUMMYFUNCTION("""COMPUTED_VALUE"""),"")</f>
        <v/>
      </c>
      <c r="G7175" s="42" t="str">
        <f>IFERROR(__xludf.DUMMYFUNCTION("""COMPUTED_VALUE"""),"Roya")</f>
        <v>Roya</v>
      </c>
      <c r="H7175" s="42">
        <f t="shared" si="1"/>
        <v>3052</v>
      </c>
    </row>
    <row r="7176" ht="22.5" customHeight="1">
      <c r="B7176" s="42" t="str">
        <f>IFERROR(__xludf.DUMMYFUNCTION("""COMPUTED_VALUE"""),"K/3/030925/1")</f>
        <v>K/3/030925/1</v>
      </c>
      <c r="C7176" s="42" t="str">
        <f>IFERROR(__xludf.DUMMYFUNCTION("""COMPUTED_VALUE"""),"M. 1151/PERUMNAS WAY HALIM")</f>
        <v>M. 1151/PERUMNAS WAY HALIM</v>
      </c>
      <c r="D7176" s="42"/>
      <c r="E7176" s="42"/>
      <c r="F7176" s="48" t="str">
        <f>IFERROR(__xludf.DUMMYFUNCTION("""COMPUTED_VALUE"""),"")</f>
        <v/>
      </c>
      <c r="G7176" s="42" t="str">
        <f>IFERROR(__xludf.DUMMYFUNCTION("""COMPUTED_VALUE"""),"BN JUAL BELI EL")</f>
        <v>BN JUAL BELI EL</v>
      </c>
      <c r="H7176" s="42">
        <f t="shared" si="1"/>
        <v>3052</v>
      </c>
    </row>
    <row r="7177" ht="22.5" customHeight="1">
      <c r="B7177" s="42" t="str">
        <f>IFERROR(__xludf.DUMMYFUNCTION("""COMPUTED_VALUE"""),"K/4/030925/1")</f>
        <v>K/4/030925/1</v>
      </c>
      <c r="C7177" s="42" t="str">
        <f>IFERROR(__xludf.DUMMYFUNCTION("""COMPUTED_VALUE"""),"M. 2369/Sukamaju	")</f>
        <v>M. 2369/Sukamaju	</v>
      </c>
      <c r="D7177" s="42" t="str">
        <f>IFERROR(__xludf.DUMMYFUNCTION("""COMPUTED_VALUE"""),"David")</f>
        <v>David</v>
      </c>
      <c r="E7177" s="42" t="str">
        <f>IFERROR(__xludf.DUMMYFUNCTION("""COMPUTED_VALUE"""),"DISERAHKAN")</f>
        <v>DISERAHKAN</v>
      </c>
      <c r="F7177" s="48">
        <f>IFERROR(__xludf.DUMMYFUNCTION("""COMPUTED_VALUE"""),45986.603663981485)</f>
        <v>45986.60366</v>
      </c>
      <c r="G7177" s="42" t="str">
        <f>IFERROR(__xludf.DUMMYFUNCTION("""COMPUTED_VALUE"""),"SKPT Lelang	")</f>
        <v>SKPT Lelang	</v>
      </c>
      <c r="H7177" s="42">
        <f t="shared" si="1"/>
        <v>3053</v>
      </c>
    </row>
    <row r="7178" ht="22.5" customHeight="1">
      <c r="B7178" s="42" t="str">
        <f>IFERROR(__xludf.DUMMYFUNCTION("""COMPUTED_VALUE"""),"K/10/030925/1	")</f>
        <v>K/10/030925/1	</v>
      </c>
      <c r="C7178" s="42" t="str">
        <f>IFERROR(__xludf.DUMMYFUNCTION("""COMPUTED_VALUE"""),"M. 715/Enggal	")</f>
        <v>M. 715/Enggal	</v>
      </c>
      <c r="D7178" s="42"/>
      <c r="E7178" s="42"/>
      <c r="F7178" s="48" t="str">
        <f>IFERROR(__xludf.DUMMYFUNCTION("""COMPUTED_VALUE"""),"")</f>
        <v/>
      </c>
      <c r="G7178" s="42" t="str">
        <f>IFERROR(__xludf.DUMMYFUNCTION("""COMPUTED_VALUE"""),"BN Jual Beli	")</f>
        <v>BN Jual Beli	</v>
      </c>
      <c r="H7178" s="42">
        <f t="shared" si="1"/>
        <v>3053</v>
      </c>
    </row>
    <row r="7179" ht="22.5" customHeight="1">
      <c r="B7179" s="42" t="str">
        <f>IFERROR(__xludf.DUMMYFUNCTION("""COMPUTED_VALUE"""),"L/13/030925/1")</f>
        <v>L/13/030925/1</v>
      </c>
      <c r="C7179" s="42" t="str">
        <f>IFERROR(__xludf.DUMMYFUNCTION("""COMPUTED_VALUE"""),"M. 3276/BERINGIN RAYA")</f>
        <v>M. 3276/BERINGIN RAYA</v>
      </c>
      <c r="D7179" s="42" t="str">
        <f>IFERROR(__xludf.DUMMYFUNCTION("""COMPUTED_VALUE"""),"Berry")</f>
        <v>Berry</v>
      </c>
      <c r="E7179" s="42" t="str">
        <f>IFERROR(__xludf.DUMMYFUNCTION("""COMPUTED_VALUE"""),"DISERAHKAN")</f>
        <v>DISERAHKAN</v>
      </c>
      <c r="F7179" s="48">
        <f>IFERROR(__xludf.DUMMYFUNCTION("""COMPUTED_VALUE"""),45938.48944331019)</f>
        <v>45938.48944</v>
      </c>
      <c r="G7179" s="42" t="str">
        <f>IFERROR(__xludf.DUMMYFUNCTION("""COMPUTED_VALUE"""),"ROYA")</f>
        <v>ROYA</v>
      </c>
      <c r="H7179" s="42">
        <f t="shared" si="1"/>
        <v>3054</v>
      </c>
    </row>
    <row r="7180" ht="22.5" customHeight="1">
      <c r="B7180" s="42" t="str">
        <f>IFERROR(__xludf.DUMMYFUNCTION("""COMPUTED_VALUE"""),"K/5/030925/1")</f>
        <v>K/5/030925/1</v>
      </c>
      <c r="C7180" s="42" t="str">
        <f>IFERROR(__xludf.DUMMYFUNCTION("""COMPUTED_VALUE"""),"B 42/ RAJABSA NUNYAI")</f>
        <v>B 42/ RAJABSA NUNYAI</v>
      </c>
      <c r="D7180" s="42"/>
      <c r="E7180" s="42"/>
      <c r="F7180" s="48" t="str">
        <f>IFERROR(__xludf.DUMMYFUNCTION("""COMPUTED_VALUE"""),"")</f>
        <v/>
      </c>
      <c r="G7180" s="42" t="str">
        <f>IFERROR(__xludf.DUMMYFUNCTION("""COMPUTED_VALUE"""),"BN JUAL BELI")</f>
        <v>BN JUAL BELI</v>
      </c>
      <c r="H7180" s="42">
        <f t="shared" si="1"/>
        <v>3054</v>
      </c>
    </row>
    <row r="7181" ht="22.5" customHeight="1">
      <c r="B7181" s="42" t="str">
        <f>IFERROR(__xludf.DUMMYFUNCTION("""COMPUTED_VALUE"""),"K/6/030925/2")</f>
        <v>K/6/030925/2</v>
      </c>
      <c r="C7181" s="42" t="str">
        <f>IFERROR(__xludf.DUMMYFUNCTION("""COMPUTED_VALUE"""),"NIBEL M 19516/ SUMBERREJO SEJAHTERA")</f>
        <v>NIBEL M 19516/ SUMBERREJO SEJAHTERA</v>
      </c>
      <c r="D7181" s="42" t="str">
        <f>IFERROR(__xludf.DUMMYFUNCTION("""COMPUTED_VALUE"""),"Berry")</f>
        <v>Berry</v>
      </c>
      <c r="E7181" s="42" t="str">
        <f>IFERROR(__xludf.DUMMYFUNCTION("""COMPUTED_VALUE"""),"DISERAHKAN")</f>
        <v>DISERAHKAN</v>
      </c>
      <c r="F7181" s="48">
        <f>IFERROR(__xludf.DUMMYFUNCTION("""COMPUTED_VALUE"""),45951.469330810185)</f>
        <v>45951.46933</v>
      </c>
      <c r="G7181" s="42" t="str">
        <f>IFERROR(__xludf.DUMMYFUNCTION("""COMPUTED_VALUE"""),"BN JUAL BELI")</f>
        <v>BN JUAL BELI</v>
      </c>
      <c r="H7181" s="42">
        <f t="shared" si="1"/>
        <v>3055</v>
      </c>
    </row>
    <row r="7182" ht="22.5" customHeight="1">
      <c r="B7182" s="42" t="str">
        <f>IFERROR(__xludf.DUMMYFUNCTION("""COMPUTED_VALUE"""),"K/11/030925/2")</f>
        <v>K/11/030925/2</v>
      </c>
      <c r="C7182" s="42" t="str">
        <f>IFERROR(__xludf.DUMMYFUNCTION("""COMPUTED_VALUE"""),"M. 4358/Langkapura	")</f>
        <v>M. 4358/Langkapura	</v>
      </c>
      <c r="D7182" s="42"/>
      <c r="E7182" s="42"/>
      <c r="F7182" s="48" t="str">
        <f>IFERROR(__xludf.DUMMYFUNCTION("""COMPUTED_VALUE"""),"")</f>
        <v/>
      </c>
      <c r="G7182" s="42" t="str">
        <f>IFERROR(__xludf.DUMMYFUNCTION("""COMPUTED_VALUE"""),"BN Waris	")</f>
        <v>BN Waris	</v>
      </c>
      <c r="H7182" s="42">
        <f t="shared" si="1"/>
        <v>3055</v>
      </c>
    </row>
    <row r="7183" ht="22.5" customHeight="1">
      <c r="B7183" s="42" t="str">
        <f>IFERROR(__xludf.DUMMYFUNCTION("""COMPUTED_VALUE"""),"K/7/030925/3")</f>
        <v>K/7/030925/3</v>
      </c>
      <c r="C7183" s="42" t="str">
        <f>IFERROR(__xludf.DUMMYFUNCTION("""COMPUTED_VALUE"""),"B 57/ PINANG JAYA")</f>
        <v>B 57/ PINANG JAYA</v>
      </c>
      <c r="D7183" s="42" t="str">
        <f>IFERROR(__xludf.DUMMYFUNCTION("""COMPUTED_VALUE"""),"Berry")</f>
        <v>Berry</v>
      </c>
      <c r="E7183" s="42" t="str">
        <f>IFERROR(__xludf.DUMMYFUNCTION("""COMPUTED_VALUE"""),"DISERAHKAN")</f>
        <v>DISERAHKAN</v>
      </c>
      <c r="F7183" s="48">
        <f>IFERROR(__xludf.DUMMYFUNCTION("""COMPUTED_VALUE"""),45915.58334965278)</f>
        <v>45915.58335</v>
      </c>
      <c r="G7183" s="42" t="str">
        <f>IFERROR(__xludf.DUMMYFUNCTION("""COMPUTED_VALUE"""),"BN JUAL BELI")</f>
        <v>BN JUAL BELI</v>
      </c>
      <c r="H7183" s="42">
        <f t="shared" si="1"/>
        <v>3056</v>
      </c>
    </row>
    <row r="7184" ht="22.5" customHeight="1">
      <c r="B7184" s="42" t="str">
        <f>IFERROR(__xludf.DUMMYFUNCTION("""COMPUTED_VALUE"""),"K/8/030925/4")</f>
        <v>K/8/030925/4</v>
      </c>
      <c r="C7184" s="42" t="str">
        <f>IFERROR(__xludf.DUMMYFUNCTION("""COMPUTED_VALUE"""),"B 36/ RAJABASA NUNYAI")</f>
        <v>B 36/ RAJABASA NUNYAI</v>
      </c>
      <c r="D7184" s="42"/>
      <c r="E7184" s="42"/>
      <c r="F7184" s="48" t="str">
        <f>IFERROR(__xludf.DUMMYFUNCTION("""COMPUTED_VALUE"""),"")</f>
        <v/>
      </c>
      <c r="G7184" s="42" t="str">
        <f>IFERROR(__xludf.DUMMYFUNCTION("""COMPUTED_VALUE"""),"BN JUAL BELI")</f>
        <v>BN JUAL BELI</v>
      </c>
      <c r="H7184" s="42">
        <f t="shared" si="1"/>
        <v>3056</v>
      </c>
    </row>
    <row r="7185" ht="22.5" customHeight="1">
      <c r="B7185" s="42" t="str">
        <f>IFERROR(__xludf.DUMMYFUNCTION("""COMPUTED_VALUE"""),"K/14/030925/1")</f>
        <v>K/14/030925/1</v>
      </c>
      <c r="C7185" s="42" t="str">
        <f>IFERROR(__xludf.DUMMYFUNCTION("""COMPUTED_VALUE"""),"NIBEL M. 17837/PEMATANG WANGI")</f>
        <v>NIBEL M. 17837/PEMATANG WANGI</v>
      </c>
      <c r="D7185" s="42"/>
      <c r="E7185" s="42"/>
      <c r="F7185" s="48" t="str">
        <f>IFERROR(__xludf.DUMMYFUNCTION("""COMPUTED_VALUE"""),"")</f>
        <v/>
      </c>
      <c r="G7185" s="42" t="str">
        <f>IFERROR(__xludf.DUMMYFUNCTION("""COMPUTED_VALUE"""),"BN JUAL BELI EL ")</f>
        <v>BN JUAL BELI EL </v>
      </c>
      <c r="H7185" s="42">
        <f t="shared" si="1"/>
        <v>3056</v>
      </c>
    </row>
    <row r="7186" ht="22.5" customHeight="1">
      <c r="B7186" s="42" t="str">
        <f>IFERROR(__xludf.DUMMYFUNCTION("""COMPUTED_VALUE"""),"K/15/030925/2")</f>
        <v>K/15/030925/2</v>
      </c>
      <c r="C7186" s="42" t="str">
        <f>IFERROR(__xludf.DUMMYFUNCTION("""COMPUTED_VALUE"""),"NIBEL M. 17847/PEMATANG WANGI")</f>
        <v>NIBEL M. 17847/PEMATANG WANGI</v>
      </c>
      <c r="D7186" s="42"/>
      <c r="E7186" s="42"/>
      <c r="F7186" s="48" t="str">
        <f>IFERROR(__xludf.DUMMYFUNCTION("""COMPUTED_VALUE"""),"")</f>
        <v/>
      </c>
      <c r="G7186" s="42" t="str">
        <f>IFERROR(__xludf.DUMMYFUNCTION("""COMPUTED_VALUE"""),"BN JUAL BELI EL")</f>
        <v>BN JUAL BELI EL</v>
      </c>
      <c r="H7186" s="42">
        <f t="shared" si="1"/>
        <v>3056</v>
      </c>
    </row>
    <row r="7187" ht="22.5" customHeight="1">
      <c r="B7187" s="42" t="str">
        <f>IFERROR(__xludf.DUMMYFUNCTION("""COMPUTED_VALUE"""),"K/9/030925/5")</f>
        <v>K/9/030925/5</v>
      </c>
      <c r="C7187" s="42" t="str">
        <f>IFERROR(__xludf.DUMMYFUNCTION("""COMPUTED_VALUE"""),"NIBEL M 16651/ KEDAUANG")</f>
        <v>NIBEL M 16651/ KEDAUANG</v>
      </c>
      <c r="D7187" s="42"/>
      <c r="E7187" s="42"/>
      <c r="F7187" s="48" t="str">
        <f>IFERROR(__xludf.DUMMYFUNCTION("""COMPUTED_VALUE"""),"")</f>
        <v/>
      </c>
      <c r="G7187" s="42" t="str">
        <f>IFERROR(__xludf.DUMMYFUNCTION("""COMPUTED_VALUE"""),"BN JUAL BELI")</f>
        <v>BN JUAL BELI</v>
      </c>
      <c r="H7187" s="42">
        <f t="shared" si="1"/>
        <v>3056</v>
      </c>
    </row>
    <row r="7188" ht="22.5" customHeight="1">
      <c r="B7188" s="42" t="str">
        <f>IFERROR(__xludf.DUMMYFUNCTION("""COMPUTED_VALUE"""),"K/18/030925/1")</f>
        <v>K/18/030925/1</v>
      </c>
      <c r="C7188" s="42" t="str">
        <f>IFERROR(__xludf.DUMMYFUNCTION("""COMPUTED_VALUE"""),"M. 2225/Durian Payung	")</f>
        <v>M. 2225/Durian Payung	</v>
      </c>
      <c r="D7188" s="42"/>
      <c r="E7188" s="42"/>
      <c r="F7188" s="48" t="str">
        <f>IFERROR(__xludf.DUMMYFUNCTION("""COMPUTED_VALUE"""),"")</f>
        <v/>
      </c>
      <c r="G7188" s="42" t="str">
        <f>IFERROR(__xludf.DUMMYFUNCTION("""COMPUTED_VALUE"""),"Blokir	")</f>
        <v>Blokir	</v>
      </c>
      <c r="H7188" s="42">
        <f t="shared" si="1"/>
        <v>3056</v>
      </c>
    </row>
    <row r="7189" ht="22.5" customHeight="1">
      <c r="B7189" s="42" t="str">
        <f>IFERROR(__xludf.DUMMYFUNCTION("""COMPUTED_VALUE"""),"K/21/030925/1")</f>
        <v>K/21/030925/1</v>
      </c>
      <c r="C7189" s="42" t="str">
        <f>IFERROR(__xludf.DUMMYFUNCTION("""COMPUTED_VALUE"""),"M 498/ PINANG JAYA")</f>
        <v>M 498/ PINANG JAYA</v>
      </c>
      <c r="D7189" s="42"/>
      <c r="E7189" s="42"/>
      <c r="F7189" s="48" t="str">
        <f>IFERROR(__xludf.DUMMYFUNCTION("""COMPUTED_VALUE"""),"")</f>
        <v/>
      </c>
      <c r="G7189" s="42" t="str">
        <f>IFERROR(__xludf.DUMMYFUNCTION("""COMPUTED_VALUE"""),"PEMECAHAN")</f>
        <v>PEMECAHAN</v>
      </c>
      <c r="H7189" s="42">
        <f t="shared" si="1"/>
        <v>3056</v>
      </c>
    </row>
    <row r="7190" ht="22.5" customHeight="1">
      <c r="B7190" s="42" t="str">
        <f>IFERROR(__xludf.DUMMYFUNCTION("""COMPUTED_VALUE"""),"K/20/030925/3")</f>
        <v>K/20/030925/3</v>
      </c>
      <c r="C7190" s="42" t="str">
        <f>IFERROR(__xludf.DUMMYFUNCTION("""COMPUTED_VALUE"""),"M. 2239/Durian Payung	")</f>
        <v>M. 2239/Durian Payung	</v>
      </c>
      <c r="D7190" s="42"/>
      <c r="E7190" s="42"/>
      <c r="F7190" s="48" t="str">
        <f>IFERROR(__xludf.DUMMYFUNCTION("""COMPUTED_VALUE"""),"")</f>
        <v/>
      </c>
      <c r="G7190" s="42" t="str">
        <f>IFERROR(__xludf.DUMMYFUNCTION("""COMPUTED_VALUE"""),"Blokir")</f>
        <v>Blokir</v>
      </c>
      <c r="H7190" s="42">
        <f t="shared" si="1"/>
        <v>3056</v>
      </c>
    </row>
    <row r="7191" ht="22.5" customHeight="1">
      <c r="B7191" s="42" t="str">
        <f>IFERROR(__xludf.DUMMYFUNCTION("""COMPUTED_VALUE"""),"K/22/030925/1")</f>
        <v>K/22/030925/1</v>
      </c>
      <c r="C7191" s="42" t="str">
        <f>IFERROR(__xludf.DUMMYFUNCTION("""COMPUTED_VALUE"""),"NIBEL M 23275/ SUMUR PUTRI")</f>
        <v>NIBEL M 23275/ SUMUR PUTRI</v>
      </c>
      <c r="D7191" s="42"/>
      <c r="E7191" s="42"/>
      <c r="F7191" s="48" t="str">
        <f>IFERROR(__xludf.DUMMYFUNCTION("""COMPUTED_VALUE"""),"")</f>
        <v/>
      </c>
      <c r="G7191" s="42" t="str">
        <f>IFERROR(__xludf.DUMMYFUNCTION("""COMPUTED_VALUE"""),"PTPGT")</f>
        <v>PTPGT</v>
      </c>
      <c r="H7191" s="42">
        <f t="shared" si="1"/>
        <v>3056</v>
      </c>
    </row>
    <row r="7192" ht="22.5" customHeight="1">
      <c r="B7192" s="42" t="str">
        <f>IFERROR(__xludf.DUMMYFUNCTION("""COMPUTED_VALUE"""),"K/23/030925/2")</f>
        <v>K/23/030925/2</v>
      </c>
      <c r="C7192" s="42" t="str">
        <f>IFERROR(__xludf.DUMMYFUNCTION("""COMPUTED_VALUE"""),"M 2420/ TANJUNG SENANG")</f>
        <v>M 2420/ TANJUNG SENANG</v>
      </c>
      <c r="D7192" s="42"/>
      <c r="E7192" s="42"/>
      <c r="F7192" s="48" t="str">
        <f>IFERROR(__xludf.DUMMYFUNCTION("""COMPUTED_VALUE"""),"")</f>
        <v/>
      </c>
      <c r="G7192" s="42" t="str">
        <f>IFERROR(__xludf.DUMMYFUNCTION("""COMPUTED_VALUE"""),"PTPGT")</f>
        <v>PTPGT</v>
      </c>
      <c r="H7192" s="42">
        <f t="shared" si="1"/>
        <v>3056</v>
      </c>
    </row>
    <row r="7193" ht="22.5" customHeight="1">
      <c r="B7193" s="42" t="str">
        <f>IFERROR(__xludf.DUMMYFUNCTION("""COMPUTED_VALUE"""),"K/16/030925/3")</f>
        <v>K/16/030925/3</v>
      </c>
      <c r="C7193" s="42" t="str">
        <f>IFERROR(__xludf.DUMMYFUNCTION("""COMPUTED_VALUE"""),"NIBEL M. 17857/PEMATANG WANGI")</f>
        <v>NIBEL M. 17857/PEMATANG WANGI</v>
      </c>
      <c r="D7193" s="42"/>
      <c r="E7193" s="42"/>
      <c r="F7193" s="48" t="str">
        <f>IFERROR(__xludf.DUMMYFUNCTION("""COMPUTED_VALUE"""),"")</f>
        <v/>
      </c>
      <c r="G7193" s="42" t="str">
        <f>IFERROR(__xludf.DUMMYFUNCTION("""COMPUTED_VALUE"""),"BN JUAL BELI EL")</f>
        <v>BN JUAL BELI EL</v>
      </c>
      <c r="H7193" s="42">
        <f t="shared" si="1"/>
        <v>3056</v>
      </c>
    </row>
    <row r="7194" ht="22.5" customHeight="1">
      <c r="B7194" s="42" t="str">
        <f>IFERROR(__xludf.DUMMYFUNCTION("""COMPUTED_VALUE"""),"K/24/030925/1")</f>
        <v>K/24/030925/1</v>
      </c>
      <c r="C7194" s="42" t="str">
        <f>IFERROR(__xludf.DUMMYFUNCTION("""COMPUTED_VALUE"""),"M. 07/PERUMNAS WAY HALIM")</f>
        <v>M. 07/PERUMNAS WAY HALIM</v>
      </c>
      <c r="D7194" s="42"/>
      <c r="E7194" s="42"/>
      <c r="F7194" s="48" t="str">
        <f>IFERROR(__xludf.DUMMYFUNCTION("""COMPUTED_VALUE"""),"")</f>
        <v/>
      </c>
      <c r="G7194" s="42" t="str">
        <f>IFERROR(__xludf.DUMMYFUNCTION("""COMPUTED_VALUE"""),"ROYA")</f>
        <v>ROYA</v>
      </c>
      <c r="H7194" s="42">
        <f t="shared" si="1"/>
        <v>3056</v>
      </c>
    </row>
    <row r="7195" ht="22.5" customHeight="1">
      <c r="B7195" s="42" t="str">
        <f>IFERROR(__xludf.DUMMYFUNCTION("""COMPUTED_VALUE"""),"K/30/030925/1")</f>
        <v>K/30/030925/1</v>
      </c>
      <c r="C7195" s="42" t="str">
        <f>IFERROR(__xludf.DUMMYFUNCTION("""COMPUTED_VALUE"""),"NIBEL M 23967/ SUKARAME BARU")</f>
        <v>NIBEL M 23967/ SUKARAME BARU</v>
      </c>
      <c r="D7195" s="42" t="str">
        <f>IFERROR(__xludf.DUMMYFUNCTION("""COMPUTED_VALUE"""),"Berry")</f>
        <v>Berry</v>
      </c>
      <c r="E7195" s="42" t="str">
        <f>IFERROR(__xludf.DUMMYFUNCTION("""COMPUTED_VALUE"""),"DISERAHKAN")</f>
        <v>DISERAHKAN</v>
      </c>
      <c r="F7195" s="48">
        <f>IFERROR(__xludf.DUMMYFUNCTION("""COMPUTED_VALUE"""),45951.48247959491)</f>
        <v>45951.48248</v>
      </c>
      <c r="G7195" s="42" t="str">
        <f>IFERROR(__xludf.DUMMYFUNCTION("""COMPUTED_VALUE"""),"BN JUAL BELI")</f>
        <v>BN JUAL BELI</v>
      </c>
      <c r="H7195" s="42">
        <f t="shared" si="1"/>
        <v>3057</v>
      </c>
    </row>
    <row r="7196" ht="22.5" customHeight="1">
      <c r="B7196" s="42" t="str">
        <f>IFERROR(__xludf.DUMMYFUNCTION("""COMPUTED_VALUE"""),"K/31/030925/1")</f>
        <v>K/31/030925/1</v>
      </c>
      <c r="C7196" s="42" t="str">
        <f>IFERROR(__xludf.DUMMYFUNCTION("""COMPUTED_VALUE"""),"NIB 1287/ PBT 90/2025/ SRENGSEM")</f>
        <v>NIB 1287/ PBT 90/2025/ SRENGSEM</v>
      </c>
      <c r="D7196" s="42"/>
      <c r="E7196" s="42"/>
      <c r="F7196" s="48" t="str">
        <f>IFERROR(__xludf.DUMMYFUNCTION("""COMPUTED_VALUE"""),"")</f>
        <v/>
      </c>
      <c r="G7196" s="42" t="str">
        <f>IFERROR(__xludf.DUMMYFUNCTION("""COMPUTED_VALUE"""),"PERMOHONAN SK")</f>
        <v>PERMOHONAN SK</v>
      </c>
      <c r="H7196" s="42">
        <f t="shared" si="1"/>
        <v>3057</v>
      </c>
    </row>
    <row r="7197" ht="22.5" customHeight="1">
      <c r="B7197" s="42" t="str">
        <f>IFERROR(__xludf.DUMMYFUNCTION("""COMPUTED_VALUE"""),"L/17/030925/1")</f>
        <v>L/17/030925/1</v>
      </c>
      <c r="C7197" s="42" t="str">
        <f>IFERROR(__xludf.DUMMYFUNCTION("""COMPUTED_VALUE"""),"M. 1538/ LABUHAN DALAM DAN M. 1548/LABUHAN DALAM")</f>
        <v>M. 1538/ LABUHAN DALAM DAN M. 1548/LABUHAN DALAM</v>
      </c>
      <c r="D7197" s="42"/>
      <c r="E7197" s="42"/>
      <c r="F7197" s="48" t="str">
        <f>IFERROR(__xludf.DUMMYFUNCTION("""COMPUTED_VALUE"""),"")</f>
        <v/>
      </c>
      <c r="G7197" s="42" t="str">
        <f>IFERROR(__xludf.DUMMYFUNCTION("""COMPUTED_VALUE"""),"ROYA")</f>
        <v>ROYA</v>
      </c>
      <c r="H7197" s="42">
        <f t="shared" si="1"/>
        <v>3057</v>
      </c>
    </row>
    <row r="7198" ht="22.5" customHeight="1">
      <c r="B7198" s="42" t="str">
        <f>IFERROR(__xludf.DUMMYFUNCTION("""COMPUTED_VALUE"""),"L/32/030925/1")</f>
        <v>L/32/030925/1</v>
      </c>
      <c r="C7198" s="42" t="str">
        <f>IFERROR(__xludf.DUMMYFUNCTION("""COMPUTED_VALUE"""),"B. 20958/KOTA BARU")</f>
        <v>B. 20958/KOTA BARU</v>
      </c>
      <c r="D7198" s="42" t="str">
        <f>IFERROR(__xludf.DUMMYFUNCTION("""COMPUTED_VALUE"""),"David")</f>
        <v>David</v>
      </c>
      <c r="E7198" s="42" t="str">
        <f>IFERROR(__xludf.DUMMYFUNCTION("""COMPUTED_VALUE"""),"DISERAHKAN")</f>
        <v>DISERAHKAN</v>
      </c>
      <c r="F7198" s="48">
        <f>IFERROR(__xludf.DUMMYFUNCTION("""COMPUTED_VALUE"""),45958.52081105324)</f>
        <v>45958.52081</v>
      </c>
      <c r="G7198" s="42" t="str">
        <f>IFERROR(__xludf.DUMMYFUNCTION("""COMPUTED_VALUE"""),"PENINGKATAN HAK")</f>
        <v>PENINGKATAN HAK</v>
      </c>
      <c r="H7198" s="42">
        <f t="shared" si="1"/>
        <v>3058</v>
      </c>
    </row>
    <row r="7199" ht="22.5" customHeight="1">
      <c r="B7199" s="42" t="str">
        <f>IFERROR(__xludf.DUMMYFUNCTION("""COMPUTED_VALUE"""),"K/28/030925/4		")</f>
        <v>K/28/030925/4		</v>
      </c>
      <c r="C7199" s="42" t="str">
        <f>IFERROR(__xludf.DUMMYFUNCTION("""COMPUTED_VALUE"""),"M. 1305/Bumi Waras")</f>
        <v>M. 1305/Bumi Waras</v>
      </c>
      <c r="D7199" s="42"/>
      <c r="E7199" s="42"/>
      <c r="F7199" s="48" t="str">
        <f>IFERROR(__xludf.DUMMYFUNCTION("""COMPUTED_VALUE"""),"")</f>
        <v/>
      </c>
      <c r="G7199" s="42" t="str">
        <f>IFERROR(__xludf.DUMMYFUNCTION("""COMPUTED_VALUE"""),"SKPT Lelang")</f>
        <v>SKPT Lelang</v>
      </c>
      <c r="H7199" s="42">
        <f t="shared" si="1"/>
        <v>3058</v>
      </c>
    </row>
    <row r="7200" ht="22.5" customHeight="1">
      <c r="B7200" s="42" t="str">
        <f>IFERROR(__xludf.DUMMYFUNCTION("""COMPUTED_VALUE"""),"K/27/030925/3		")</f>
        <v>K/27/030925/3		</v>
      </c>
      <c r="C7200" s="42" t="str">
        <f>IFERROR(__xludf.DUMMYFUNCTION("""COMPUTED_VALUE"""),"M. 2501/Bumi Waras	")</f>
        <v>M. 2501/Bumi Waras	</v>
      </c>
      <c r="D7200" s="42"/>
      <c r="E7200" s="42"/>
      <c r="F7200" s="48" t="str">
        <f>IFERROR(__xludf.DUMMYFUNCTION("""COMPUTED_VALUE"""),"")</f>
        <v/>
      </c>
      <c r="G7200" s="42" t="str">
        <f>IFERROR(__xludf.DUMMYFUNCTION("""COMPUTED_VALUE"""),"SKPT Lelang")</f>
        <v>SKPT Lelang</v>
      </c>
      <c r="H7200" s="42">
        <f t="shared" si="1"/>
        <v>3058</v>
      </c>
    </row>
    <row r="7201" ht="22.5" customHeight="1">
      <c r="B7201" s="42" t="str">
        <f>IFERROR(__xludf.DUMMYFUNCTION("""COMPUTED_VALUE"""),"K/33/030925/1")</f>
        <v>K/33/030925/1</v>
      </c>
      <c r="C7201" s="42" t="str">
        <f>IFERROR(__xludf.DUMMYFUNCTION("""COMPUTED_VALUE"""),"M 1545/ KOTA BARU")</f>
        <v>M 1545/ KOTA BARU</v>
      </c>
      <c r="D7201" s="42"/>
      <c r="E7201" s="42"/>
      <c r="F7201" s="48" t="str">
        <f>IFERROR(__xludf.DUMMYFUNCTION("""COMPUTED_VALUE"""),"")</f>
        <v/>
      </c>
      <c r="G7201" s="42" t="str">
        <f>IFERROR(__xludf.DUMMYFUNCTION("""COMPUTED_VALUE"""),"BLOKIR")</f>
        <v>BLOKIR</v>
      </c>
      <c r="H7201" s="42">
        <f t="shared" si="1"/>
        <v>3058</v>
      </c>
    </row>
    <row r="7202" ht="22.5" customHeight="1">
      <c r="B7202" s="42" t="str">
        <f>IFERROR(__xludf.DUMMYFUNCTION("""COMPUTED_VALUE"""),"K/29/030925/5	")</f>
        <v>K/29/030925/5	</v>
      </c>
      <c r="C7202" s="42" t="str">
        <f>IFERROR(__xludf.DUMMYFUNCTION("""COMPUTED_VALUE"""),"M. 724 /Pesawahan	")</f>
        <v>M. 724 /Pesawahan	</v>
      </c>
      <c r="D7202" s="42"/>
      <c r="E7202" s="42"/>
      <c r="F7202" s="48" t="str">
        <f>IFERROR(__xludf.DUMMYFUNCTION("""COMPUTED_VALUE"""),"")</f>
        <v/>
      </c>
      <c r="G7202" s="42" t="str">
        <f>IFERROR(__xludf.DUMMYFUNCTION("""COMPUTED_VALUE"""),"SKPT	")</f>
        <v>SKPT	</v>
      </c>
      <c r="H7202" s="42">
        <f t="shared" si="1"/>
        <v>3058</v>
      </c>
    </row>
    <row r="7203" ht="22.5" customHeight="1">
      <c r="B7203" s="42" t="str">
        <f>IFERROR(__xludf.DUMMYFUNCTION("""COMPUTED_VALUE"""),"K/34/030925/2")</f>
        <v>K/34/030925/2</v>
      </c>
      <c r="C7203" s="42" t="str">
        <f>IFERROR(__xludf.DUMMYFUNCTION("""COMPUTED_VALUE"""),"M 804/ PAHOMAN")</f>
        <v>M 804/ PAHOMAN</v>
      </c>
      <c r="D7203" s="42"/>
      <c r="E7203" s="42"/>
      <c r="F7203" s="48" t="str">
        <f>IFERROR(__xludf.DUMMYFUNCTION("""COMPUTED_VALUE"""),"")</f>
        <v/>
      </c>
      <c r="G7203" s="42" t="str">
        <f>IFERROR(__xludf.DUMMYFUNCTION("""COMPUTED_VALUE"""),"BLOKIR")</f>
        <v>BLOKIR</v>
      </c>
      <c r="H7203" s="42">
        <f t="shared" si="1"/>
        <v>3058</v>
      </c>
    </row>
    <row r="7204" ht="22.5" customHeight="1">
      <c r="B7204" s="42" t="str">
        <f>IFERROR(__xludf.DUMMYFUNCTION("""COMPUTED_VALUE"""),"K/24/030925/1")</f>
        <v>K/24/030925/1</v>
      </c>
      <c r="C7204" s="42" t="str">
        <f>IFERROR(__xludf.DUMMYFUNCTION("""COMPUTED_VALUE"""),"M. 07/PERUMNAS WAY HALIM")</f>
        <v>M. 07/PERUMNAS WAY HALIM</v>
      </c>
      <c r="D7204" s="42"/>
      <c r="E7204" s="42"/>
      <c r="F7204" s="48" t="str">
        <f>IFERROR(__xludf.DUMMYFUNCTION("""COMPUTED_VALUE"""),"")</f>
        <v/>
      </c>
      <c r="G7204" s="42" t="str">
        <f>IFERROR(__xludf.DUMMYFUNCTION("""COMPUTED_VALUE"""),"ROYA")</f>
        <v>ROYA</v>
      </c>
      <c r="H7204" s="42">
        <f t="shared" si="1"/>
        <v>3058</v>
      </c>
    </row>
    <row r="7205" ht="22.5" customHeight="1">
      <c r="B7205" s="42" t="str">
        <f>IFERROR(__xludf.DUMMYFUNCTION("""COMPUTED_VALUE"""),"K/35/030925/1")</f>
        <v>K/35/030925/1</v>
      </c>
      <c r="C7205" s="42" t="str">
        <f>IFERROR(__xludf.DUMMYFUNCTION("""COMPUTED_VALUE"""),"NIBEL M. 22505/JAGABAYA II")</f>
        <v>NIBEL M. 22505/JAGABAYA II</v>
      </c>
      <c r="D7205" s="42"/>
      <c r="E7205" s="42"/>
      <c r="F7205" s="48" t="str">
        <f>IFERROR(__xludf.DUMMYFUNCTION("""COMPUTED_VALUE"""),"")</f>
        <v/>
      </c>
      <c r="G7205" s="42" t="str">
        <f>IFERROR(__xludf.DUMMYFUNCTION("""COMPUTED_VALUE"""),"BN APHB EL")</f>
        <v>BN APHB EL</v>
      </c>
      <c r="H7205" s="42">
        <f t="shared" si="1"/>
        <v>3058</v>
      </c>
    </row>
    <row r="7206" ht="22.5" customHeight="1">
      <c r="B7206" s="42" t="str">
        <f>IFERROR(__xludf.DUMMYFUNCTION("""COMPUTED_VALUE"""),"K/36/030925/2")</f>
        <v>K/36/030925/2</v>
      </c>
      <c r="C7206" s="42" t="str">
        <f>IFERROR(__xludf.DUMMYFUNCTION("""COMPUTED_VALUE"""),"M. 4097/WAY KANDIS")</f>
        <v>M. 4097/WAY KANDIS</v>
      </c>
      <c r="D7206" s="42"/>
      <c r="E7206" s="42"/>
      <c r="F7206" s="48" t="str">
        <f>IFERROR(__xludf.DUMMYFUNCTION("""COMPUTED_VALUE"""),"")</f>
        <v/>
      </c>
      <c r="G7206" s="42" t="str">
        <f>IFERROR(__xludf.DUMMYFUNCTION("""COMPUTED_VALUE"""),"HAPUS BPHTB")</f>
        <v>HAPUS BPHTB</v>
      </c>
      <c r="H7206" s="42">
        <f t="shared" si="1"/>
        <v>3058</v>
      </c>
    </row>
    <row r="7207" ht="22.5" customHeight="1">
      <c r="B7207" s="42" t="str">
        <f>IFERROR(__xludf.DUMMYFUNCTION("""COMPUTED_VALUE"""),"K/37/030925/3")</f>
        <v>K/37/030925/3</v>
      </c>
      <c r="C7207" s="42" t="str">
        <f>IFERROR(__xludf.DUMMYFUNCTION("""COMPUTED_VALUE"""),"M. 257/GEDONG AIR")</f>
        <v>M. 257/GEDONG AIR</v>
      </c>
      <c r="D7207" s="42"/>
      <c r="E7207" s="42"/>
      <c r="F7207" s="48" t="str">
        <f>IFERROR(__xludf.DUMMYFUNCTION("""COMPUTED_VALUE"""),"")</f>
        <v/>
      </c>
      <c r="G7207" s="42" t="str">
        <f>IFERROR(__xludf.DUMMYFUNCTION("""COMPUTED_VALUE"""),"BN JUAL BELI EL")</f>
        <v>BN JUAL BELI EL</v>
      </c>
      <c r="H7207" s="42">
        <f t="shared" si="1"/>
        <v>3058</v>
      </c>
    </row>
    <row r="7208" ht="22.5" customHeight="1">
      <c r="B7208" s="42" t="str">
        <f>IFERROR(__xludf.DUMMYFUNCTION("""COMPUTED_VALUE"""),"K/38/030925/1")</f>
        <v>K/38/030925/1</v>
      </c>
      <c r="C7208" s="42" t="str">
        <f>IFERROR(__xludf.DUMMYFUNCTION("""COMPUTED_VALUE"""),"Nibel 20182/Gedong Meneng	")</f>
        <v>Nibel 20182/Gedong Meneng	</v>
      </c>
      <c r="D7208" s="42" t="str">
        <f>IFERROR(__xludf.DUMMYFUNCTION("""COMPUTED_VALUE"""),"Berry")</f>
        <v>Berry</v>
      </c>
      <c r="E7208" s="42" t="str">
        <f>IFERROR(__xludf.DUMMYFUNCTION("""COMPUTED_VALUE"""),"DISERAHKAN")</f>
        <v>DISERAHKAN</v>
      </c>
      <c r="F7208" s="48">
        <f>IFERROR(__xludf.DUMMYFUNCTION("""COMPUTED_VALUE"""),45945.67733988426)</f>
        <v>45945.67734</v>
      </c>
      <c r="G7208" s="42" t="str">
        <f>IFERROR(__xludf.DUMMYFUNCTION("""COMPUTED_VALUE"""),"BN Jual Beli	")</f>
        <v>BN Jual Beli	</v>
      </c>
      <c r="H7208" s="42">
        <f t="shared" si="1"/>
        <v>3059</v>
      </c>
    </row>
    <row r="7209" ht="22.5" customHeight="1">
      <c r="B7209" s="42" t="str">
        <f>IFERROR(__xludf.DUMMYFUNCTION("""COMPUTED_VALUE"""),"K/39/030925/1")</f>
        <v>K/39/030925/1</v>
      </c>
      <c r="C7209" s="42" t="str">
        <f>IFERROR(__xludf.DUMMYFUNCTION("""COMPUTED_VALUE"""),"M 510/ KEBON JERUK")</f>
        <v>M 510/ KEBON JERUK</v>
      </c>
      <c r="D7209" s="42"/>
      <c r="E7209" s="42"/>
      <c r="F7209" s="48" t="str">
        <f>IFERROR(__xludf.DUMMYFUNCTION("""COMPUTED_VALUE"""),"")</f>
        <v/>
      </c>
      <c r="G7209" s="42" t="str">
        <f>IFERROR(__xludf.DUMMYFUNCTION("""COMPUTED_VALUE"""),"BN JUAL BELI")</f>
        <v>BN JUAL BELI</v>
      </c>
      <c r="H7209" s="42">
        <f t="shared" si="1"/>
        <v>3059</v>
      </c>
    </row>
    <row r="7210" ht="22.5" customHeight="1">
      <c r="B7210" s="42" t="str">
        <f>IFERROR(__xludf.DUMMYFUNCTION("""COMPUTED_VALUE"""),"K/40/030925/2")</f>
        <v>K/40/030925/2</v>
      </c>
      <c r="C7210" s="42" t="str">
        <f>IFERROR(__xludf.DUMMYFUNCTION("""COMPUTED_VALUE"""),"NIBEL M 18385/ GUNUNG TERANG")</f>
        <v>NIBEL M 18385/ GUNUNG TERANG</v>
      </c>
      <c r="D7210" s="42"/>
      <c r="E7210" s="42"/>
      <c r="F7210" s="48" t="str">
        <f>IFERROR(__xludf.DUMMYFUNCTION("""COMPUTED_VALUE"""),"")</f>
        <v/>
      </c>
      <c r="G7210" s="42" t="str">
        <f>IFERROR(__xludf.DUMMYFUNCTION("""COMPUTED_VALUE"""),"BN HIBAH")</f>
        <v>BN HIBAH</v>
      </c>
      <c r="H7210" s="42">
        <f t="shared" si="1"/>
        <v>3059</v>
      </c>
    </row>
    <row r="7211" ht="22.5" customHeight="1">
      <c r="B7211" s="42" t="str">
        <f>IFERROR(__xludf.DUMMYFUNCTION("""COMPUTED_VALUE"""),"K/43/030925/1")</f>
        <v>K/43/030925/1</v>
      </c>
      <c r="C7211" s="42" t="str">
        <f>IFERROR(__xludf.DUMMYFUNCTION("""COMPUTED_VALUE"""),"M.4546/WAY KANDIS")</f>
        <v>M.4546/WAY KANDIS</v>
      </c>
      <c r="D7211" s="42"/>
      <c r="E7211" s="42"/>
      <c r="F7211" s="48" t="str">
        <f>IFERROR(__xludf.DUMMYFUNCTION("""COMPUTED_VALUE"""),"")</f>
        <v/>
      </c>
      <c r="G7211" s="42" t="str">
        <f>IFERROR(__xludf.DUMMYFUNCTION("""COMPUTED_VALUE"""),"BN JUAL BELI EL")</f>
        <v>BN JUAL BELI EL</v>
      </c>
      <c r="H7211" s="42">
        <f t="shared" si="1"/>
        <v>3059</v>
      </c>
    </row>
    <row r="7212" ht="22.5" customHeight="1">
      <c r="B7212" s="42" t="str">
        <f>IFERROR(__xludf.DUMMYFUNCTION("""COMPUTED_VALUE"""),"K/41/030925/1")</f>
        <v>K/41/030925/1</v>
      </c>
      <c r="C7212" s="42" t="str">
        <f>IFERROR(__xludf.DUMMYFUNCTION("""COMPUTED_VALUE"""),"Tanah Mentah Kusmin	")</f>
        <v>Tanah Mentah Kusmin	</v>
      </c>
      <c r="D7212" s="42"/>
      <c r="E7212" s="42"/>
      <c r="F7212" s="48" t="str">
        <f>IFERROR(__xludf.DUMMYFUNCTION("""COMPUTED_VALUE"""),"")</f>
        <v/>
      </c>
      <c r="G7212" s="42" t="str">
        <f>IFERROR(__xludf.DUMMYFUNCTION("""COMPUTED_VALUE"""),"Pengukuran Pertama Kali	")</f>
        <v>Pengukuran Pertama Kali	</v>
      </c>
      <c r="H7212" s="42">
        <f t="shared" si="1"/>
        <v>3059</v>
      </c>
    </row>
    <row r="7213" ht="22.5" customHeight="1">
      <c r="B7213" s="42" t="str">
        <f>IFERROR(__xludf.DUMMYFUNCTION("""COMPUTED_VALUE"""),"K/44/030925/1")</f>
        <v>K/44/030925/1</v>
      </c>
      <c r="C7213" s="42" t="str">
        <f>IFERROR(__xludf.DUMMYFUNCTION("""COMPUTED_VALUE"""),"B. 1364/Pinang Jaya	")</f>
        <v>B. 1364/Pinang Jaya	</v>
      </c>
      <c r="D7213" s="42"/>
      <c r="E7213" s="42"/>
      <c r="F7213" s="48" t="str">
        <f>IFERROR(__xludf.DUMMYFUNCTION("""COMPUTED_VALUE"""),"")</f>
        <v/>
      </c>
      <c r="G7213" s="42" t="str">
        <f>IFERROR(__xludf.DUMMYFUNCTION("""COMPUTED_VALUE"""),"Peningkatan hak	")</f>
        <v>Peningkatan hak	</v>
      </c>
      <c r="H7213" s="42">
        <f t="shared" si="1"/>
        <v>3059</v>
      </c>
    </row>
    <row r="7214" ht="22.5" customHeight="1">
      <c r="B7214" s="42" t="str">
        <f>IFERROR(__xludf.DUMMYFUNCTION("""COMPUTED_VALUE"""),"K/46/030925/1")</f>
        <v>K/46/030925/1</v>
      </c>
      <c r="C7214" s="42" t="str">
        <f>IFERROR(__xludf.DUMMYFUNCTION("""COMPUTED_VALUE"""),"M 6225/ WAY KANDIS")</f>
        <v>M 6225/ WAY KANDIS</v>
      </c>
      <c r="D7214" s="42"/>
      <c r="E7214" s="42"/>
      <c r="F7214" s="48" t="str">
        <f>IFERROR(__xludf.DUMMYFUNCTION("""COMPUTED_VALUE"""),"")</f>
        <v/>
      </c>
      <c r="G7214" s="42" t="str">
        <f>IFERROR(__xludf.DUMMYFUNCTION("""COMPUTED_VALUE"""),"BN JUAL BELI")</f>
        <v>BN JUAL BELI</v>
      </c>
      <c r="H7214" s="42">
        <f t="shared" si="1"/>
        <v>3059</v>
      </c>
    </row>
    <row r="7215" ht="22.5" customHeight="1">
      <c r="B7215" s="42" t="str">
        <f>IFERROR(__xludf.DUMMYFUNCTION("""COMPUTED_VALUE"""),"K/45/030925/1")</f>
        <v>K/45/030925/1</v>
      </c>
      <c r="C7215" s="42" t="str">
        <f>IFERROR(__xludf.DUMMYFUNCTION("""COMPUTED_VALUE"""),"M. 306/Campang Jaya")</f>
        <v>M. 306/Campang Jaya</v>
      </c>
      <c r="D7215" s="42" t="str">
        <f>IFERROR(__xludf.DUMMYFUNCTION("""COMPUTED_VALUE"""),"Berry")</f>
        <v>Berry</v>
      </c>
      <c r="E7215" s="42" t="str">
        <f>IFERROR(__xludf.DUMMYFUNCTION("""COMPUTED_VALUE"""),"DISERAHKAN")</f>
        <v>DISERAHKAN</v>
      </c>
      <c r="F7215" s="48">
        <f>IFERROR(__xludf.DUMMYFUNCTION("""COMPUTED_VALUE"""),45966.650453483795)</f>
        <v>45966.65045</v>
      </c>
      <c r="G7215" s="42" t="str">
        <f>IFERROR(__xludf.DUMMYFUNCTION("""COMPUTED_VALUE"""),"BN Jual Beli		")</f>
        <v>BN Jual Beli		</v>
      </c>
      <c r="H7215" s="42">
        <f t="shared" si="1"/>
        <v>3060</v>
      </c>
    </row>
    <row r="7216" ht="22.5" customHeight="1">
      <c r="B7216" s="42" t="str">
        <f>IFERROR(__xludf.DUMMYFUNCTION("""COMPUTED_VALUE"""),"L/47/030925/1")</f>
        <v>L/47/030925/1</v>
      </c>
      <c r="C7216" s="42" t="str">
        <f>IFERROR(__xludf.DUMMYFUNCTION("""COMPUTED_VALUE"""),"M. 14048/TANJUNG BARU")</f>
        <v>M. 14048/TANJUNG BARU</v>
      </c>
      <c r="D7216" s="42" t="str">
        <f>IFERROR(__xludf.DUMMYFUNCTION("""COMPUTED_VALUE"""),"Berry")</f>
        <v>Berry</v>
      </c>
      <c r="E7216" s="42" t="str">
        <f>IFERROR(__xludf.DUMMYFUNCTION("""COMPUTED_VALUE"""),"DISERAHKAN")</f>
        <v>DISERAHKAN</v>
      </c>
      <c r="F7216" s="48">
        <f>IFERROR(__xludf.DUMMYFUNCTION("""COMPUTED_VALUE"""),45975.49828732639)</f>
        <v>45975.49829</v>
      </c>
      <c r="G7216" s="42" t="str">
        <f>IFERROR(__xludf.DUMMYFUNCTION("""COMPUTED_VALUE"""),"BN WARIS")</f>
        <v>BN WARIS</v>
      </c>
      <c r="H7216" s="42">
        <f t="shared" si="1"/>
        <v>3061</v>
      </c>
    </row>
    <row r="7217" ht="22.5" customHeight="1">
      <c r="B7217" s="42" t="str">
        <f>IFERROR(__xludf.DUMMYFUNCTION("""COMPUTED_VALUE"""),"K/25/220825/3	")</f>
        <v>K/25/220825/3	</v>
      </c>
      <c r="C7217" s="42" t="str">
        <f>IFERROR(__xludf.DUMMYFUNCTION("""COMPUTED_VALUE"""),"B.111/Rajabasa Nunyai	")</f>
        <v>B.111/Rajabasa Nunyai	</v>
      </c>
      <c r="D7217" s="42" t="str">
        <f>IFERROR(__xludf.DUMMYFUNCTION("""COMPUTED_VALUE"""),"Berry")</f>
        <v>Berry</v>
      </c>
      <c r="E7217" s="42" t="str">
        <f>IFERROR(__xludf.DUMMYFUNCTION("""COMPUTED_VALUE"""),"DISERAHKAN")</f>
        <v>DISERAHKAN</v>
      </c>
      <c r="F7217" s="48">
        <f>IFERROR(__xludf.DUMMYFUNCTION("""COMPUTED_VALUE"""),45929.58782439815)</f>
        <v>45929.58782</v>
      </c>
      <c r="G7217" s="42" t="str">
        <f>IFERROR(__xludf.DUMMYFUNCTION("""COMPUTED_VALUE"""),"BN Jual beli	")</f>
        <v>BN Jual beli	</v>
      </c>
      <c r="H7217" s="42">
        <f t="shared" si="1"/>
        <v>3062</v>
      </c>
    </row>
    <row r="7218" ht="22.5" customHeight="1">
      <c r="B7218" s="42" t="str">
        <f>IFERROR(__xludf.DUMMYFUNCTION("""COMPUTED_VALUE"""),"L/1/040925/1")</f>
        <v>L/1/040925/1</v>
      </c>
      <c r="C7218" s="42" t="str">
        <f>IFERROR(__xludf.DUMMYFUNCTION("""COMPUTED_VALUE"""),"M NIB 23699/SUMBER AGUNG")</f>
        <v>M NIB 23699/SUMBER AGUNG</v>
      </c>
      <c r="D7218" s="42" t="str">
        <f>IFERROR(__xludf.DUMMYFUNCTION("""COMPUTED_VALUE"""),"Berry")</f>
        <v>Berry</v>
      </c>
      <c r="E7218" s="42" t="str">
        <f>IFERROR(__xludf.DUMMYFUNCTION("""COMPUTED_VALUE"""),"DISERAHKAN")</f>
        <v>DISERAHKAN</v>
      </c>
      <c r="F7218" s="48">
        <f>IFERROR(__xludf.DUMMYFUNCTION("""COMPUTED_VALUE"""),45910.59433583333)</f>
        <v>45910.59434</v>
      </c>
      <c r="G7218" s="42" t="str">
        <f>IFERROR(__xludf.DUMMYFUNCTION("""COMPUTED_VALUE"""),"PEMECAHAN")</f>
        <v>PEMECAHAN</v>
      </c>
      <c r="H7218" s="42">
        <f t="shared" si="1"/>
        <v>3063</v>
      </c>
    </row>
    <row r="7219" ht="22.5" customHeight="1">
      <c r="B7219" s="42" t="str">
        <f>IFERROR(__xludf.DUMMYFUNCTION("""COMPUTED_VALUE"""),"K/2/040926/1")</f>
        <v>K/2/040926/1</v>
      </c>
      <c r="C7219" s="42" t="str">
        <f>IFERROR(__xludf.DUMMYFUNCTION("""COMPUTED_VALUE"""),"B. 788/Sumur Putri	")</f>
        <v>B. 788/Sumur Putri	</v>
      </c>
      <c r="D7219" s="42"/>
      <c r="E7219" s="42"/>
      <c r="F7219" s="48" t="str">
        <f>IFERROR(__xludf.DUMMYFUNCTION("""COMPUTED_VALUE"""),"")</f>
        <v/>
      </c>
      <c r="G7219" s="42" t="str">
        <f>IFERROR(__xludf.DUMMYFUNCTION("""COMPUTED_VALUE"""),"BN Jual Beli	")</f>
        <v>BN Jual Beli	</v>
      </c>
      <c r="H7219" s="42">
        <f t="shared" si="1"/>
        <v>3063</v>
      </c>
    </row>
    <row r="7220" ht="22.5" customHeight="1">
      <c r="B7220" s="42" t="str">
        <f>IFERROR(__xludf.DUMMYFUNCTION("""COMPUTED_VALUE"""),"K/3/040927/2")</f>
        <v>K/3/040927/2</v>
      </c>
      <c r="C7220" s="42" t="str">
        <f>IFERROR(__xludf.DUMMYFUNCTION("""COMPUTED_VALUE"""),"PBT 76/250")</f>
        <v>PBT 76/250</v>
      </c>
      <c r="D7220" s="42" t="str">
        <f>IFERROR(__xludf.DUMMYFUNCTION("""COMPUTED_VALUE"""),"David")</f>
        <v>David</v>
      </c>
      <c r="E7220" s="42" t="str">
        <f>IFERROR(__xludf.DUMMYFUNCTION("""COMPUTED_VALUE"""),"DISERAHKAN")</f>
        <v>DISERAHKAN</v>
      </c>
      <c r="F7220" s="48">
        <f>IFERROR(__xludf.DUMMYFUNCTION("""COMPUTED_VALUE"""),45943.699991574074)</f>
        <v>45943.69999</v>
      </c>
      <c r="G7220" s="42" t="str">
        <f>IFERROR(__xludf.DUMMYFUNCTION("""COMPUTED_VALUE"""),"Tanah Mentah Lili Rasyid/Vitta N")</f>
        <v>Tanah Mentah Lili Rasyid/Vitta N</v>
      </c>
      <c r="H7220" s="42">
        <f t="shared" si="1"/>
        <v>3064</v>
      </c>
    </row>
    <row r="7221" ht="22.5" customHeight="1">
      <c r="B7221" s="42" t="str">
        <f>IFERROR(__xludf.DUMMYFUNCTION("""COMPUTED_VALUE"""),"L/5/040928/1")</f>
        <v>L/5/040928/1</v>
      </c>
      <c r="C7221" s="42" t="str">
        <f>IFERROR(__xludf.DUMMYFUNCTION("""COMPUTED_VALUE"""),"M. 727 PERUMNAS WAY HALIM")</f>
        <v>M. 727 PERUMNAS WAY HALIM</v>
      </c>
      <c r="D7221" s="42"/>
      <c r="E7221" s="42"/>
      <c r="F7221" s="48" t="str">
        <f>IFERROR(__xludf.DUMMYFUNCTION("""COMPUTED_VALUE"""),"")</f>
        <v/>
      </c>
      <c r="G7221" s="42" t="str">
        <f>IFERROR(__xludf.DUMMYFUNCTION("""COMPUTED_VALUE"""),"ROYA WARIS")</f>
        <v>ROYA WARIS</v>
      </c>
      <c r="H7221" s="42">
        <f t="shared" si="1"/>
        <v>3064</v>
      </c>
    </row>
    <row r="7222" ht="22.5" customHeight="1">
      <c r="B7222" s="42" t="str">
        <f>IFERROR(__xludf.DUMMYFUNCTION("""COMPUTED_VALUE"""),"L/7/040928/1")</f>
        <v>L/7/040928/1</v>
      </c>
      <c r="C7222" s="42" t="str">
        <f>IFERROR(__xludf.DUMMYFUNCTION("""COMPUTED_VALUE"""),"M. 1446/SUKARAME II")</f>
        <v>M. 1446/SUKARAME II</v>
      </c>
      <c r="D7222" s="42"/>
      <c r="E7222" s="42"/>
      <c r="F7222" s="48" t="str">
        <f>IFERROR(__xludf.DUMMYFUNCTION("""COMPUTED_VALUE"""),"")</f>
        <v/>
      </c>
      <c r="G7222" s="42" t="str">
        <f>IFERROR(__xludf.DUMMYFUNCTION("""COMPUTED_VALUE"""),"ROYA")</f>
        <v>ROYA</v>
      </c>
      <c r="H7222" s="42">
        <f t="shared" si="1"/>
        <v>3064</v>
      </c>
    </row>
    <row r="7223" ht="22.5" customHeight="1">
      <c r="B7223" s="42" t="str">
        <f>IFERROR(__xludf.DUMMYFUNCTION("""COMPUTED_VALUE"""),"K/6/040928/1")</f>
        <v>K/6/040928/1</v>
      </c>
      <c r="C7223" s="42" t="str">
        <f>IFERROR(__xludf.DUMMYFUNCTION("""COMPUTED_VALUE"""),"M. 2071/KOTA BARU")</f>
        <v>M. 2071/KOTA BARU</v>
      </c>
      <c r="D7223" s="42"/>
      <c r="E7223" s="42"/>
      <c r="F7223" s="48" t="str">
        <f>IFERROR(__xludf.DUMMYFUNCTION("""COMPUTED_VALUE"""),"")</f>
        <v/>
      </c>
      <c r="G7223" s="42" t="str">
        <f>IFERROR(__xludf.DUMMYFUNCTION("""COMPUTED_VALUE"""),"BN JUAL BELI EL")</f>
        <v>BN JUAL BELI EL</v>
      </c>
      <c r="H7223" s="42">
        <f t="shared" si="1"/>
        <v>3064</v>
      </c>
    </row>
    <row r="7224" ht="22.5" customHeight="1">
      <c r="B7224" s="42" t="str">
        <f>IFERROR(__xludf.DUMMYFUNCTION("""COMPUTED_VALUE"""),"K/10/040928/1")</f>
        <v>K/10/040928/1</v>
      </c>
      <c r="C7224" s="42" t="str">
        <f>IFERROR(__xludf.DUMMYFUNCTION("""COMPUTED_VALUE"""),"M. 995/Pahoman 	")</f>
        <v>M. 995/Pahoman 	</v>
      </c>
      <c r="D7224" s="42" t="str">
        <f>IFERROR(__xludf.DUMMYFUNCTION("""COMPUTED_VALUE"""),"Berry")</f>
        <v>Berry</v>
      </c>
      <c r="E7224" s="42" t="str">
        <f>IFERROR(__xludf.DUMMYFUNCTION("""COMPUTED_VALUE"""),"DISERAHKAN")</f>
        <v>DISERAHKAN</v>
      </c>
      <c r="F7224" s="48">
        <f>IFERROR(__xludf.DUMMYFUNCTION("""COMPUTED_VALUE"""),45975.49397989584)</f>
        <v>45975.49398</v>
      </c>
      <c r="G7224" s="42" t="str">
        <f>IFERROR(__xludf.DUMMYFUNCTION("""COMPUTED_VALUE"""),"Pemecahan	")</f>
        <v>Pemecahan	</v>
      </c>
      <c r="H7224" s="42">
        <f t="shared" si="1"/>
        <v>3065</v>
      </c>
    </row>
    <row r="7225" ht="22.5" customHeight="1">
      <c r="B7225" s="42" t="str">
        <f>IFERROR(__xludf.DUMMYFUNCTION("""COMPUTED_VALUE"""),"K/8/040928/1")</f>
        <v>K/8/040928/1</v>
      </c>
      <c r="C7225" s="42" t="str">
        <f>IFERROR(__xludf.DUMMYFUNCTION("""COMPUTED_VALUE"""),"M. 1437/CAMPANG JAYA")</f>
        <v>M. 1437/CAMPANG JAYA</v>
      </c>
      <c r="D7225" s="42"/>
      <c r="E7225" s="42"/>
      <c r="F7225" s="48" t="str">
        <f>IFERROR(__xludf.DUMMYFUNCTION("""COMPUTED_VALUE"""),"")</f>
        <v/>
      </c>
      <c r="G7225" s="42" t="str">
        <f>IFERROR(__xludf.DUMMYFUNCTION("""COMPUTED_VALUE"""),"BN JUAL BELI EL")</f>
        <v>BN JUAL BELI EL</v>
      </c>
      <c r="H7225" s="42">
        <f t="shared" si="1"/>
        <v>3065</v>
      </c>
    </row>
    <row r="7226" ht="22.5" customHeight="1">
      <c r="B7226" s="42" t="str">
        <f>IFERROR(__xludf.DUMMYFUNCTION("""COMPUTED_VALUE"""),"K/11/040928/1")</f>
        <v>K/11/040928/1</v>
      </c>
      <c r="C7226" s="42" t="str">
        <f>IFERROR(__xludf.DUMMYFUNCTION("""COMPUTED_VALUE"""),"M. 19711/Gulak Galik")</f>
        <v>M. 19711/Gulak Galik</v>
      </c>
      <c r="D7226" s="42"/>
      <c r="E7226" s="42"/>
      <c r="F7226" s="48" t="str">
        <f>IFERROR(__xludf.DUMMYFUNCTION("""COMPUTED_VALUE"""),"")</f>
        <v/>
      </c>
      <c r="G7226" s="42" t="str">
        <f>IFERROR(__xludf.DUMMYFUNCTION("""COMPUTED_VALUE"""),"BN Hibah		")</f>
        <v>BN Hibah		</v>
      </c>
      <c r="H7226" s="42">
        <f t="shared" si="1"/>
        <v>3065</v>
      </c>
    </row>
    <row r="7227" ht="22.5" customHeight="1">
      <c r="B7227" s="42" t="str">
        <f>IFERROR(__xludf.DUMMYFUNCTION("""COMPUTED_VALUE"""),"K/12/040928/1")</f>
        <v>K/12/040928/1</v>
      </c>
      <c r="C7227" s="42" t="str">
        <f>IFERROR(__xludf.DUMMYFUNCTION("""COMPUTED_VALUE"""),"M 1536/ AHMAD KADAFI")</f>
        <v>M 1536/ AHMAD KADAFI</v>
      </c>
      <c r="D7227" s="42"/>
      <c r="E7227" s="42"/>
      <c r="F7227" s="48" t="str">
        <f>IFERROR(__xludf.DUMMYFUNCTION("""COMPUTED_VALUE"""),"")</f>
        <v/>
      </c>
      <c r="G7227" s="42" t="str">
        <f>IFERROR(__xludf.DUMMYFUNCTION("""COMPUTED_VALUE"""),"BN JUAL BELI")</f>
        <v>BN JUAL BELI</v>
      </c>
      <c r="H7227" s="42">
        <f t="shared" si="1"/>
        <v>3065</v>
      </c>
    </row>
    <row r="7228" ht="22.5" customHeight="1">
      <c r="B7228" s="42" t="str">
        <f>IFERROR(__xludf.DUMMYFUNCTION("""COMPUTED_VALUE"""),"L/13/040928/1")</f>
        <v>L/13/040928/1</v>
      </c>
      <c r="C7228" s="42" t="str">
        <f>IFERROR(__xludf.DUMMYFUNCTION("""COMPUTED_VALUE"""),"M. 15110/SUKARAME I")</f>
        <v>M. 15110/SUKARAME I</v>
      </c>
      <c r="D7228" s="42"/>
      <c r="E7228" s="42"/>
      <c r="F7228" s="48" t="str">
        <f>IFERROR(__xludf.DUMMYFUNCTION("""COMPUTED_VALUE"""),"")</f>
        <v/>
      </c>
      <c r="G7228" s="42" t="str">
        <f>IFERROR(__xludf.DUMMYFUNCTION("""COMPUTED_VALUE"""),"ROYA")</f>
        <v>ROYA</v>
      </c>
      <c r="H7228" s="42">
        <f t="shared" si="1"/>
        <v>3065</v>
      </c>
    </row>
    <row r="7229" ht="22.5" customHeight="1">
      <c r="B7229" s="42" t="str">
        <f>IFERROR(__xludf.DUMMYFUNCTION("""COMPUTED_VALUE"""),"K/9/040928/2")</f>
        <v>K/9/040928/2</v>
      </c>
      <c r="C7229" s="42" t="str">
        <f>IFERROR(__xludf.DUMMYFUNCTION("""COMPUTED_VALUE"""),"NIBEL M. 11886/KEMILING RAYA")</f>
        <v>NIBEL M. 11886/KEMILING RAYA</v>
      </c>
      <c r="D7229" s="42" t="str">
        <f>IFERROR(__xludf.DUMMYFUNCTION("""COMPUTED_VALUE"""),"David")</f>
        <v>David</v>
      </c>
      <c r="E7229" s="42" t="str">
        <f>IFERROR(__xludf.DUMMYFUNCTION("""COMPUTED_VALUE"""),"DISERAHKAN")</f>
        <v>DISERAHKAN</v>
      </c>
      <c r="F7229" s="48">
        <f>IFERROR(__xludf.DUMMYFUNCTION("""COMPUTED_VALUE"""),45923.61701850695)</f>
        <v>45923.61702</v>
      </c>
      <c r="G7229" s="42" t="str">
        <f>IFERROR(__xludf.DUMMYFUNCTION("""COMPUTED_VALUE"""),"BN JUAL BELI EL ")</f>
        <v>BN JUAL BELI EL </v>
      </c>
      <c r="H7229" s="42">
        <f t="shared" si="1"/>
        <v>3066</v>
      </c>
    </row>
    <row r="7230" ht="22.5" customHeight="1">
      <c r="B7230" s="42" t="str">
        <f>IFERROR(__xludf.DUMMYFUNCTION("""COMPUTED_VALUE"""),"K/14/040928/1")</f>
        <v>K/14/040928/1</v>
      </c>
      <c r="C7230" s="42" t="str">
        <f>IFERROR(__xludf.DUMMYFUNCTION("""COMPUTED_VALUE"""),"NIBEL B. 16382/DURIAN PAYUNG")</f>
        <v>NIBEL B. 16382/DURIAN PAYUNG</v>
      </c>
      <c r="D7230" s="42"/>
      <c r="E7230" s="42"/>
      <c r="F7230" s="48" t="str">
        <f>IFERROR(__xludf.DUMMYFUNCTION("""COMPUTED_VALUE"""),"")</f>
        <v/>
      </c>
      <c r="G7230" s="42" t="str">
        <f>IFERROR(__xludf.DUMMYFUNCTION("""COMPUTED_VALUE"""),"BN JUAL BELI EL")</f>
        <v>BN JUAL BELI EL</v>
      </c>
      <c r="H7230" s="42">
        <f t="shared" si="1"/>
        <v>3066</v>
      </c>
    </row>
    <row r="7231" ht="22.5" customHeight="1">
      <c r="B7231" s="42" t="str">
        <f>IFERROR(__xludf.DUMMYFUNCTION("""COMPUTED_VALUE"""),"K/15/040928/2")</f>
        <v>K/15/040928/2</v>
      </c>
      <c r="C7231" s="42" t="str">
        <f>IFERROR(__xludf.DUMMYFUNCTION("""COMPUTED_VALUE"""),"B. 754/SUMUR PUTRI")</f>
        <v>B. 754/SUMUR PUTRI</v>
      </c>
      <c r="D7231" s="42"/>
      <c r="E7231" s="42"/>
      <c r="F7231" s="48" t="str">
        <f>IFERROR(__xludf.DUMMYFUNCTION("""COMPUTED_VALUE"""),"")</f>
        <v/>
      </c>
      <c r="G7231" s="42" t="str">
        <f>IFERROR(__xludf.DUMMYFUNCTION("""COMPUTED_VALUE"""),"BN JUAL BELI EL")</f>
        <v>BN JUAL BELI EL</v>
      </c>
      <c r="H7231" s="42">
        <f t="shared" si="1"/>
        <v>3066</v>
      </c>
    </row>
    <row r="7232" ht="22.5" customHeight="1">
      <c r="B7232" s="42" t="str">
        <f>IFERROR(__xludf.DUMMYFUNCTION("""COMPUTED_VALUE"""),"L/16/040928/1")</f>
        <v>L/16/040928/1</v>
      </c>
      <c r="C7232" s="42" t="str">
        <f>IFERROR(__xludf.DUMMYFUNCTION("""COMPUTED_VALUE"""),"M NIB. 20538/LANGKAPURA BARU")</f>
        <v>M NIB. 20538/LANGKAPURA BARU</v>
      </c>
      <c r="D7232" s="42"/>
      <c r="E7232" s="42"/>
      <c r="F7232" s="48" t="str">
        <f>IFERROR(__xludf.DUMMYFUNCTION("""COMPUTED_VALUE"""),"")</f>
        <v/>
      </c>
      <c r="G7232" s="42" t="str">
        <f>IFERROR(__xludf.DUMMYFUNCTION("""COMPUTED_VALUE"""),"ROYA")</f>
        <v>ROYA</v>
      </c>
      <c r="H7232" s="42">
        <f t="shared" si="1"/>
        <v>3066</v>
      </c>
    </row>
    <row r="7233" ht="22.5" customHeight="1">
      <c r="B7233" s="42" t="str">
        <f>IFERROR(__xludf.DUMMYFUNCTION("""COMPUTED_VALUE"""),"K/19/040928/1")</f>
        <v>K/19/040928/1</v>
      </c>
      <c r="C7233" s="42" t="str">
        <f>IFERROR(__xludf.DUMMYFUNCTION("""COMPUTED_VALUE"""),"M 1017/ NOG")</f>
        <v>M 1017/ NOG</v>
      </c>
      <c r="D7233" s="42"/>
      <c r="E7233" s="42"/>
      <c r="F7233" s="48" t="str">
        <f>IFERROR(__xludf.DUMMYFUNCTION("""COMPUTED_VALUE"""),"")</f>
        <v/>
      </c>
      <c r="G7233" s="42" t="str">
        <f>IFERROR(__xludf.DUMMYFUNCTION("""COMPUTED_VALUE"""),"BN JUAL BELI")</f>
        <v>BN JUAL BELI</v>
      </c>
      <c r="H7233" s="42">
        <f t="shared" si="1"/>
        <v>3066</v>
      </c>
    </row>
    <row r="7234" ht="22.5" customHeight="1">
      <c r="B7234" s="42" t="str">
        <f>IFERROR(__xludf.DUMMYFUNCTION("""COMPUTED_VALUE"""),"K/20/040928/2")</f>
        <v>K/20/040928/2</v>
      </c>
      <c r="C7234" s="42" t="str">
        <f>IFERROR(__xludf.DUMMYFUNCTION("""COMPUTED_VALUE"""),"B 792/ SUMUR PUTRI")</f>
        <v>B 792/ SUMUR PUTRI</v>
      </c>
      <c r="D7234" s="42" t="str">
        <f>IFERROR(__xludf.DUMMYFUNCTION("""COMPUTED_VALUE"""),"Berry")</f>
        <v>Berry</v>
      </c>
      <c r="E7234" s="42" t="str">
        <f>IFERROR(__xludf.DUMMYFUNCTION("""COMPUTED_VALUE"""),"DISERAHKAN")</f>
        <v>DISERAHKAN</v>
      </c>
      <c r="F7234" s="48">
        <f>IFERROR(__xludf.DUMMYFUNCTION("""COMPUTED_VALUE"""),45975.49311365741)</f>
        <v>45975.49311</v>
      </c>
      <c r="G7234" s="42" t="str">
        <f>IFERROR(__xludf.DUMMYFUNCTION("""COMPUTED_VALUE"""),"BN JUAL BELI")</f>
        <v>BN JUAL BELI</v>
      </c>
      <c r="H7234" s="42">
        <f t="shared" si="1"/>
        <v>3067</v>
      </c>
    </row>
    <row r="7235" ht="22.5" customHeight="1">
      <c r="B7235" s="42" t="str">
        <f>IFERROR(__xludf.DUMMYFUNCTION("""COMPUTED_VALUE"""),"L/18/040928/1")</f>
        <v>L/18/040928/1</v>
      </c>
      <c r="C7235" s="42" t="str">
        <f>IFERROR(__xludf.DUMMYFUNCTION("""COMPUTED_VALUE"""),"M NIB. 21106/GUNUNG SULAH")</f>
        <v>M NIB. 21106/GUNUNG SULAH</v>
      </c>
      <c r="D7235" s="42" t="str">
        <f>IFERROR(__xludf.DUMMYFUNCTION("""COMPUTED_VALUE"""),"David")</f>
        <v>David</v>
      </c>
      <c r="E7235" s="42" t="str">
        <f>IFERROR(__xludf.DUMMYFUNCTION("""COMPUTED_VALUE"""),"DISERAHKAN")</f>
        <v>DISERAHKAN</v>
      </c>
      <c r="F7235" s="48">
        <f>IFERROR(__xludf.DUMMYFUNCTION("""COMPUTED_VALUE"""),45957.49220346065)</f>
        <v>45957.4922</v>
      </c>
      <c r="G7235" s="42" t="str">
        <f>IFERROR(__xludf.DUMMYFUNCTION("""COMPUTED_VALUE"""),"PTPGT PEMECAHAN")</f>
        <v>PTPGT PEMECAHAN</v>
      </c>
      <c r="H7235" s="42">
        <f t="shared" si="1"/>
        <v>3068</v>
      </c>
    </row>
    <row r="7236" ht="22.5" customHeight="1">
      <c r="B7236" s="42" t="str">
        <f>IFERROR(__xludf.DUMMYFUNCTION("""COMPUTED_VALUE"""),"K/21/040928/3")</f>
        <v>K/21/040928/3</v>
      </c>
      <c r="C7236" s="42" t="str">
        <f>IFERROR(__xludf.DUMMYFUNCTION("""COMPUTED_VALUE"""),"B 757/ SUMUR PUTRI")</f>
        <v>B 757/ SUMUR PUTRI</v>
      </c>
      <c r="D7236" s="42"/>
      <c r="E7236" s="42"/>
      <c r="F7236" s="48" t="str">
        <f>IFERROR(__xludf.DUMMYFUNCTION("""COMPUTED_VALUE"""),"")</f>
        <v/>
      </c>
      <c r="G7236" s="42" t="str">
        <f>IFERROR(__xludf.DUMMYFUNCTION("""COMPUTED_VALUE"""),"BN JUAL BELI")</f>
        <v>BN JUAL BELI</v>
      </c>
      <c r="H7236" s="42">
        <f t="shared" si="1"/>
        <v>3068</v>
      </c>
    </row>
    <row r="7237" ht="22.5" customHeight="1">
      <c r="B7237" s="42" t="str">
        <f>IFERROR(__xludf.DUMMYFUNCTION("""COMPUTED_VALUE"""),"K/22/040928/4")</f>
        <v>K/22/040928/4</v>
      </c>
      <c r="C7237" s="42" t="str">
        <f>IFERROR(__xludf.DUMMYFUNCTION("""COMPUTED_VALUE"""),"B 817/ SUMUR PUTRI")</f>
        <v>B 817/ SUMUR PUTRI</v>
      </c>
      <c r="D7237" s="42" t="str">
        <f>IFERROR(__xludf.DUMMYFUNCTION("""COMPUTED_VALUE"""),"Berry")</f>
        <v>Berry</v>
      </c>
      <c r="E7237" s="42" t="str">
        <f>IFERROR(__xludf.DUMMYFUNCTION("""COMPUTED_VALUE"""),"DISERAHKAN")</f>
        <v>DISERAHKAN</v>
      </c>
      <c r="F7237" s="48">
        <f>IFERROR(__xludf.DUMMYFUNCTION("""COMPUTED_VALUE"""),45951.4759285301)</f>
        <v>45951.47593</v>
      </c>
      <c r="G7237" s="42" t="str">
        <f>IFERROR(__xludf.DUMMYFUNCTION("""COMPUTED_VALUE"""),"BN JUAL BELI")</f>
        <v>BN JUAL BELI</v>
      </c>
      <c r="H7237" s="42">
        <f t="shared" si="1"/>
        <v>3069</v>
      </c>
    </row>
    <row r="7238" ht="22.5" customHeight="1">
      <c r="B7238" s="42" t="str">
        <f>IFERROR(__xludf.DUMMYFUNCTION("""COMPUTED_VALUE"""),"L/23/040925/1")</f>
        <v>L/23/040925/1</v>
      </c>
      <c r="C7238" s="42" t="str">
        <f>IFERROR(__xludf.DUMMYFUNCTION("""COMPUTED_VALUE"""),"B. 218/KOTA BARU")</f>
        <v>B. 218/KOTA BARU</v>
      </c>
      <c r="D7238" s="42" t="str">
        <f>IFERROR(__xludf.DUMMYFUNCTION("""COMPUTED_VALUE"""),"Berry")</f>
        <v>Berry</v>
      </c>
      <c r="E7238" s="42" t="str">
        <f>IFERROR(__xludf.DUMMYFUNCTION("""COMPUTED_VALUE"""),"DISERAHKAN")</f>
        <v>DISERAHKAN</v>
      </c>
      <c r="F7238" s="48">
        <f>IFERROR(__xludf.DUMMYFUNCTION("""COMPUTED_VALUE"""),45951.473150254635)</f>
        <v>45951.47315</v>
      </c>
      <c r="G7238" s="42" t="str">
        <f>IFERROR(__xludf.DUMMYFUNCTION("""COMPUTED_VALUE"""),"PENINGKATAN HAK")</f>
        <v>PENINGKATAN HAK</v>
      </c>
      <c r="H7238" s="42">
        <f t="shared" si="1"/>
        <v>3070</v>
      </c>
    </row>
    <row r="7239" ht="22.5" customHeight="1">
      <c r="B7239" s="42" t="str">
        <f>IFERROR(__xludf.DUMMYFUNCTION("""COMPUTED_VALUE"""),"K/25/040925/1")</f>
        <v>K/25/040925/1</v>
      </c>
      <c r="C7239" s="42" t="str">
        <f>IFERROR(__xludf.DUMMYFUNCTION("""COMPUTED_VALUE"""),"M 1837/ WAY KANDIS")</f>
        <v>M 1837/ WAY KANDIS</v>
      </c>
      <c r="D7239" s="42" t="str">
        <f>IFERROR(__xludf.DUMMYFUNCTION("""COMPUTED_VALUE"""),"Berry")</f>
        <v>Berry</v>
      </c>
      <c r="E7239" s="42" t="str">
        <f>IFERROR(__xludf.DUMMYFUNCTION("""COMPUTED_VALUE"""),"DISERAHKAN")</f>
        <v>DISERAHKAN</v>
      </c>
      <c r="F7239" s="48">
        <f>IFERROR(__xludf.DUMMYFUNCTION("""COMPUTED_VALUE"""),45929.59807504629)</f>
        <v>45929.59808</v>
      </c>
      <c r="G7239" s="42" t="str">
        <f>IFERROR(__xludf.DUMMYFUNCTION("""COMPUTED_VALUE"""),"PTPGT")</f>
        <v>PTPGT</v>
      </c>
      <c r="H7239" s="42">
        <f t="shared" si="1"/>
        <v>3071</v>
      </c>
    </row>
    <row r="7240" ht="22.5" customHeight="1">
      <c r="B7240" s="42" t="str">
        <f>IFERROR(__xludf.DUMMYFUNCTION("""COMPUTED_VALUE"""),"L/24/040925/2")</f>
        <v>L/24/040925/2</v>
      </c>
      <c r="C7240" s="42" t="str">
        <f>IFERROR(__xludf.DUMMYFUNCTION("""COMPUTED_VALUE"""),"B. 224/KOTA BARU")</f>
        <v>B. 224/KOTA BARU</v>
      </c>
      <c r="D7240" s="42"/>
      <c r="E7240" s="42"/>
      <c r="F7240" s="48" t="str">
        <f>IFERROR(__xludf.DUMMYFUNCTION("""COMPUTED_VALUE"""),"")</f>
        <v/>
      </c>
      <c r="G7240" s="42" t="str">
        <f>IFERROR(__xludf.DUMMYFUNCTION("""COMPUTED_VALUE"""),"PENINGKATAN HAK")</f>
        <v>PENINGKATAN HAK</v>
      </c>
      <c r="H7240" s="42">
        <f t="shared" si="1"/>
        <v>3071</v>
      </c>
    </row>
    <row r="7241" ht="22.5" customHeight="1">
      <c r="B7241" s="42" t="str">
        <f>IFERROR(__xludf.DUMMYFUNCTION("""COMPUTED_VALUE"""),"K/26/040925/1")</f>
        <v>K/26/040925/1</v>
      </c>
      <c r="C7241" s="42" t="str">
        <f>IFERROR(__xludf.DUMMYFUNCTION("""COMPUTED_VALUE"""),"M 3964/ SUKARAME BARU")</f>
        <v>M 3964/ SUKARAME BARU</v>
      </c>
      <c r="D7241" s="42"/>
      <c r="E7241" s="42"/>
      <c r="F7241" s="48" t="str">
        <f>IFERROR(__xludf.DUMMYFUNCTION("""COMPUTED_VALUE"""),"")</f>
        <v/>
      </c>
      <c r="G7241" s="42" t="str">
        <f>IFERROR(__xludf.DUMMYFUNCTION("""COMPUTED_VALUE"""),"BN JUAL BELI")</f>
        <v>BN JUAL BELI</v>
      </c>
      <c r="H7241" s="42">
        <f t="shared" si="1"/>
        <v>3071</v>
      </c>
    </row>
    <row r="7242" ht="22.5" customHeight="1">
      <c r="B7242" s="42" t="str">
        <f>IFERROR(__xludf.DUMMYFUNCTION("""COMPUTED_VALUE"""),"K/27/040925/2")</f>
        <v>K/27/040925/2</v>
      </c>
      <c r="C7242" s="42" t="str">
        <f>IFERROR(__xludf.DUMMYFUNCTION("""COMPUTED_VALUE"""),"NIBEL M 3966/ SUKARAME BARU")</f>
        <v>NIBEL M 3966/ SUKARAME BARU</v>
      </c>
      <c r="D7242" s="42"/>
      <c r="E7242" s="42"/>
      <c r="F7242" s="48" t="str">
        <f>IFERROR(__xludf.DUMMYFUNCTION("""COMPUTED_VALUE"""),"")</f>
        <v/>
      </c>
      <c r="G7242" s="42" t="str">
        <f>IFERROR(__xludf.DUMMYFUNCTION("""COMPUTED_VALUE"""),"BN JUAL BELI")</f>
        <v>BN JUAL BELI</v>
      </c>
      <c r="H7242" s="42">
        <f t="shared" si="1"/>
        <v>3071</v>
      </c>
    </row>
    <row r="7243" ht="22.5" customHeight="1">
      <c r="B7243" s="42" t="str">
        <f>IFERROR(__xludf.DUMMYFUNCTION("""COMPUTED_VALUE"""),"K/17/040928/1")</f>
        <v>K/17/040928/1</v>
      </c>
      <c r="C7243" s="42" t="str">
        <f>IFERROR(__xludf.DUMMYFUNCTION("""COMPUTED_VALUE"""),"NIBEL M. 23909/WAY DADI")</f>
        <v>NIBEL M. 23909/WAY DADI</v>
      </c>
      <c r="D7243" s="42"/>
      <c r="E7243" s="42"/>
      <c r="F7243" s="48" t="str">
        <f>IFERROR(__xludf.DUMMYFUNCTION("""COMPUTED_VALUE"""),"")</f>
        <v/>
      </c>
      <c r="G7243" s="42" t="str">
        <f>IFERROR(__xludf.DUMMYFUNCTION("""COMPUTED_VALUE"""),"BN JUAL BELI EL")</f>
        <v>BN JUAL BELI EL</v>
      </c>
      <c r="H7243" s="42">
        <f t="shared" si="1"/>
        <v>3071</v>
      </c>
    </row>
    <row r="7244" ht="22.5" customHeight="1">
      <c r="B7244" s="42" t="str">
        <f>IFERROR(__xludf.DUMMYFUNCTION("""COMPUTED_VALUE"""),"K/28/040925/1")</f>
        <v>K/28/040925/1</v>
      </c>
      <c r="C7244" s="42" t="str">
        <f>IFERROR(__xludf.DUMMYFUNCTION("""COMPUTED_VALUE"""),"M 959/ BUMI WARAS")</f>
        <v>M 959/ BUMI WARAS</v>
      </c>
      <c r="D7244" s="42"/>
      <c r="E7244" s="42"/>
      <c r="F7244" s="48" t="str">
        <f>IFERROR(__xludf.DUMMYFUNCTION("""COMPUTED_VALUE"""),"")</f>
        <v/>
      </c>
      <c r="G7244" s="42" t="str">
        <f>IFERROR(__xludf.DUMMYFUNCTION("""COMPUTED_VALUE"""),"SKPT LELANG")</f>
        <v>SKPT LELANG</v>
      </c>
      <c r="H7244" s="42">
        <f t="shared" si="1"/>
        <v>3071</v>
      </c>
    </row>
    <row r="7245" ht="22.5" customHeight="1">
      <c r="B7245" s="42" t="str">
        <f>IFERROR(__xludf.DUMMYFUNCTION("""COMPUTED_VALUE"""),"L/31/040925/1")</f>
        <v>L/31/040925/1</v>
      </c>
      <c r="C7245" s="42" t="str">
        <f>IFERROR(__xludf.DUMMYFUNCTION("""COMPUTED_VALUE"""),"M. 5804/TANJUNG SENANG")</f>
        <v>M. 5804/TANJUNG SENANG</v>
      </c>
      <c r="D7245" s="42"/>
      <c r="E7245" s="42"/>
      <c r="F7245" s="48" t="str">
        <f>IFERROR(__xludf.DUMMYFUNCTION("""COMPUTED_VALUE"""),"")</f>
        <v/>
      </c>
      <c r="G7245" s="42" t="str">
        <f>IFERROR(__xludf.DUMMYFUNCTION("""COMPUTED_VALUE"""),"BN WARIS")</f>
        <v>BN WARIS</v>
      </c>
      <c r="H7245" s="42">
        <f t="shared" si="1"/>
        <v>3071</v>
      </c>
    </row>
    <row r="7246" ht="22.5" customHeight="1">
      <c r="B7246" s="42" t="str">
        <f>IFERROR(__xludf.DUMMYFUNCTION("""COMPUTED_VALUE"""),"K/29/040925/2")</f>
        <v>K/29/040925/2</v>
      </c>
      <c r="C7246" s="42" t="str">
        <f>IFERROR(__xludf.DUMMYFUNCTION("""COMPUTED_VALUE"""),"M 459/ KUPANG TEBA")</f>
        <v>M 459/ KUPANG TEBA</v>
      </c>
      <c r="D7246" s="42" t="str">
        <f>IFERROR(__xludf.DUMMYFUNCTION("""COMPUTED_VALUE"""),"Berry")</f>
        <v>Berry</v>
      </c>
      <c r="E7246" s="42" t="str">
        <f>IFERROR(__xludf.DUMMYFUNCTION("""COMPUTED_VALUE"""),"DISERAHKAN")</f>
        <v>DISERAHKAN</v>
      </c>
      <c r="F7246" s="48">
        <f>IFERROR(__xludf.DUMMYFUNCTION("""COMPUTED_VALUE"""),45945.68138190972)</f>
        <v>45945.68138</v>
      </c>
      <c r="G7246" s="42" t="str">
        <f>IFERROR(__xludf.DUMMYFUNCTION("""COMPUTED_VALUE"""),"SKPT LELANG")</f>
        <v>SKPT LELANG</v>
      </c>
      <c r="H7246" s="42">
        <f t="shared" si="1"/>
        <v>3072</v>
      </c>
    </row>
    <row r="7247" ht="22.5" customHeight="1">
      <c r="B7247" s="42" t="str">
        <f>IFERROR(__xludf.DUMMYFUNCTION("""COMPUTED_VALUE"""),"L/32/040925/1")</f>
        <v>L/32/040925/1</v>
      </c>
      <c r="C7247" s="42" t="str">
        <f>IFERROR(__xludf.DUMMYFUNCTION("""COMPUTED_VALUE"""),"M. 521/TANJUNG AGUNG")</f>
        <v>M. 521/TANJUNG AGUNG</v>
      </c>
      <c r="D7247" s="42"/>
      <c r="E7247" s="42"/>
      <c r="F7247" s="48" t="str">
        <f>IFERROR(__xludf.DUMMYFUNCTION("""COMPUTED_VALUE"""),"")</f>
        <v/>
      </c>
      <c r="G7247" s="42" t="str">
        <f>IFERROR(__xludf.DUMMYFUNCTION("""COMPUTED_VALUE"""),"ROYA")</f>
        <v>ROYA</v>
      </c>
      <c r="H7247" s="42">
        <f t="shared" si="1"/>
        <v>3072</v>
      </c>
    </row>
    <row r="7248" ht="22.5" customHeight="1">
      <c r="B7248" s="42" t="str">
        <f>IFERROR(__xludf.DUMMYFUNCTION("""COMPUTED_VALUE"""),"K/33/040925/1")</f>
        <v>K/33/040925/1</v>
      </c>
      <c r="C7248" s="42" t="str">
        <f>IFERROR(__xludf.DUMMYFUNCTION("""COMPUTED_VALUE"""),"M. 19476/Sukaarame	")</f>
        <v>M. 19476/Sukaarame	</v>
      </c>
      <c r="D7248" s="42" t="str">
        <f>IFERROR(__xludf.DUMMYFUNCTION("""COMPUTED_VALUE"""),"Berry")</f>
        <v>Berry</v>
      </c>
      <c r="E7248" s="42" t="str">
        <f>IFERROR(__xludf.DUMMYFUNCTION("""COMPUTED_VALUE"""),"DISERAHKAN")</f>
        <v>DISERAHKAN</v>
      </c>
      <c r="F7248" s="48">
        <f>IFERROR(__xludf.DUMMYFUNCTION("""COMPUTED_VALUE"""),45996.58962533565)</f>
        <v>45996.58963</v>
      </c>
      <c r="G7248" s="42" t="str">
        <f>IFERROR(__xludf.DUMMYFUNCTION("""COMPUTED_VALUE"""),"BN Waris	")</f>
        <v>BN Waris	</v>
      </c>
      <c r="H7248" s="42">
        <f t="shared" si="1"/>
        <v>3073</v>
      </c>
    </row>
    <row r="7249" ht="22.5" customHeight="1">
      <c r="B7249" s="42" t="str">
        <f>IFERROR(__xludf.DUMMYFUNCTION("""COMPUTED_VALUE"""),"L/34/040925/1")</f>
        <v>L/34/040925/1</v>
      </c>
      <c r="C7249" s="42" t="str">
        <f>IFERROR(__xludf.DUMMYFUNCTION("""COMPUTED_VALUE"""),"KELURAHAN PESAWAHAN LUAS 105 M2")</f>
        <v>KELURAHAN PESAWAHAN LUAS 105 M2</v>
      </c>
      <c r="D7249" s="42" t="str">
        <f>IFERROR(__xludf.DUMMYFUNCTION("""COMPUTED_VALUE"""),"Berry")</f>
        <v>Berry</v>
      </c>
      <c r="E7249" s="42" t="str">
        <f>IFERROR(__xludf.DUMMYFUNCTION("""COMPUTED_VALUE"""),"DISERAHKAN")</f>
        <v>DISERAHKAN</v>
      </c>
      <c r="F7249" s="48">
        <f>IFERROR(__xludf.DUMMYFUNCTION("""COMPUTED_VALUE"""),45915.58887912037)</f>
        <v>45915.58888</v>
      </c>
      <c r="G7249" s="42" t="str">
        <f>IFERROR(__xludf.DUMMYFUNCTION("""COMPUTED_VALUE"""),"PENGUKURAN PERTAMA KALI")</f>
        <v>PENGUKURAN PERTAMA KALI</v>
      </c>
      <c r="H7249" s="42">
        <f t="shared" si="1"/>
        <v>3074</v>
      </c>
    </row>
    <row r="7250" ht="22.5" customHeight="1">
      <c r="B7250" s="42" t="str">
        <f>IFERROR(__xludf.DUMMYFUNCTION("""COMPUTED_VALUE"""),"K/36/040925/2")</f>
        <v>K/36/040925/2</v>
      </c>
      <c r="C7250" s="42" t="str">
        <f>IFERROR(__xludf.DUMMYFUNCTION("""COMPUTED_VALUE"""),"Nibel 23360/Labuhan Ratu	")</f>
        <v>Nibel 23360/Labuhan Ratu	</v>
      </c>
      <c r="D7250" s="42"/>
      <c r="E7250" s="42"/>
      <c r="F7250" s="48" t="str">
        <f>IFERROR(__xludf.DUMMYFUNCTION("""COMPUTED_VALUE"""),"")</f>
        <v/>
      </c>
      <c r="G7250" s="42" t="str">
        <f>IFERROR(__xludf.DUMMYFUNCTION("""COMPUTED_VALUE"""),"BN Jual Beli	")</f>
        <v>BN Jual Beli	</v>
      </c>
      <c r="H7250" s="42">
        <f t="shared" si="1"/>
        <v>3074</v>
      </c>
    </row>
    <row r="7251" ht="22.5" customHeight="1">
      <c r="B7251" s="42" t="str">
        <f>IFERROR(__xludf.DUMMYFUNCTION("""COMPUTED_VALUE"""),"K/37/040925/1")</f>
        <v>K/37/040925/1</v>
      </c>
      <c r="C7251" s="42" t="str">
        <f>IFERROR(__xludf.DUMMYFUNCTION("""COMPUTED_VALUE"""),"B 1376/ PINANG JAYA")</f>
        <v>B 1376/ PINANG JAYA</v>
      </c>
      <c r="D7251" s="42"/>
      <c r="E7251" s="42"/>
      <c r="F7251" s="48" t="str">
        <f>IFERROR(__xludf.DUMMYFUNCTION("""COMPUTED_VALUE"""),"")</f>
        <v/>
      </c>
      <c r="G7251" s="42" t="str">
        <f>IFERROR(__xludf.DUMMYFUNCTION("""COMPUTED_VALUE"""),"BN JUAL BELI")</f>
        <v>BN JUAL BELI</v>
      </c>
      <c r="H7251" s="42">
        <f t="shared" si="1"/>
        <v>3074</v>
      </c>
    </row>
    <row r="7252" ht="22.5" customHeight="1">
      <c r="B7252" s="42" t="str">
        <f>IFERROR(__xludf.DUMMYFUNCTION("""COMPUTED_VALUE"""),"K/35/040925/1")</f>
        <v>K/35/040925/1</v>
      </c>
      <c r="C7252" s="42" t="str">
        <f>IFERROR(__xludf.DUMMYFUNCTION("""COMPUTED_VALUE"""),"M. 3426/Kota Baru	")</f>
        <v>M. 3426/Kota Baru	</v>
      </c>
      <c r="D7252" s="42" t="str">
        <f>IFERROR(__xludf.DUMMYFUNCTION("""COMPUTED_VALUE"""),"David")</f>
        <v>David</v>
      </c>
      <c r="E7252" s="42" t="str">
        <f>IFERROR(__xludf.DUMMYFUNCTION("""COMPUTED_VALUE"""),"DISERAHKAN")</f>
        <v>DISERAHKAN</v>
      </c>
      <c r="F7252" s="48">
        <f>IFERROR(__xludf.DUMMYFUNCTION("""COMPUTED_VALUE"""),45957.49272545139)</f>
        <v>45957.49273</v>
      </c>
      <c r="G7252" s="42" t="str">
        <f>IFERROR(__xludf.DUMMYFUNCTION("""COMPUTED_VALUE"""),"BN Jual Beli")</f>
        <v>BN Jual Beli</v>
      </c>
      <c r="H7252" s="42">
        <f t="shared" si="1"/>
        <v>3075</v>
      </c>
    </row>
    <row r="7253" ht="22.5" customHeight="1">
      <c r="B7253" s="42" t="str">
        <f>IFERROR(__xludf.DUMMYFUNCTION("""COMPUTED_VALUE"""),"K/38/040925/1")</f>
        <v>K/38/040925/1</v>
      </c>
      <c r="C7253" s="42" t="str">
        <f>IFERROR(__xludf.DUMMYFUNCTION("""COMPUTED_VALUE"""),"B 3517/ SUKARAME")</f>
        <v>B 3517/ SUKARAME</v>
      </c>
      <c r="D7253" s="42"/>
      <c r="E7253" s="42"/>
      <c r="F7253" s="48" t="str">
        <f>IFERROR(__xludf.DUMMYFUNCTION("""COMPUTED_VALUE"""),"")</f>
        <v/>
      </c>
      <c r="G7253" s="42" t="str">
        <f>IFERROR(__xludf.DUMMYFUNCTION("""COMPUTED_VALUE"""),"PENINGKATAN HAK")</f>
        <v>PENINGKATAN HAK</v>
      </c>
      <c r="H7253" s="42">
        <f t="shared" si="1"/>
        <v>3075</v>
      </c>
    </row>
    <row r="7254" ht="22.5" customHeight="1">
      <c r="B7254" s="42" t="str">
        <f>IFERROR(__xludf.DUMMYFUNCTION("""COMPUTED_VALUE"""),"K/39/040925/1")</f>
        <v>K/39/040925/1</v>
      </c>
      <c r="C7254" s="42" t="str">
        <f>IFERROR(__xludf.DUMMYFUNCTION("""COMPUTED_VALUE"""),"M 13705/ SEGALA MIDER")</f>
        <v>M 13705/ SEGALA MIDER</v>
      </c>
      <c r="D7254" s="42"/>
      <c r="E7254" s="42"/>
      <c r="F7254" s="48" t="str">
        <f>IFERROR(__xludf.DUMMYFUNCTION("""COMPUTED_VALUE"""),"")</f>
        <v/>
      </c>
      <c r="G7254" s="42" t="str">
        <f>IFERROR(__xludf.DUMMYFUNCTION("""COMPUTED_VALUE"""),"BN JUAL BELI")</f>
        <v>BN JUAL BELI</v>
      </c>
      <c r="H7254" s="42">
        <f t="shared" si="1"/>
        <v>3075</v>
      </c>
    </row>
    <row r="7255" ht="22.5" customHeight="1">
      <c r="B7255" s="42" t="str">
        <f>IFERROR(__xludf.DUMMYFUNCTION("""COMPUTED_VALUE"""),"K/40/040925/1")</f>
        <v>K/40/040925/1</v>
      </c>
      <c r="C7255" s="42" t="str">
        <f>IFERROR(__xludf.DUMMYFUNCTION("""COMPUTED_VALUE"""),"M. 198/Rajabasa Raya	")</f>
        <v>M. 198/Rajabasa Raya	</v>
      </c>
      <c r="D7255" s="42" t="str">
        <f>IFERROR(__xludf.DUMMYFUNCTION("""COMPUTED_VALUE"""),"Berry")</f>
        <v>Berry</v>
      </c>
      <c r="E7255" s="42" t="str">
        <f>IFERROR(__xludf.DUMMYFUNCTION("""COMPUTED_VALUE"""),"DISERAHKAN")</f>
        <v>DISERAHKAN</v>
      </c>
      <c r="F7255" s="48">
        <f>IFERROR(__xludf.DUMMYFUNCTION("""COMPUTED_VALUE"""),45938.49417799768)</f>
        <v>45938.49418</v>
      </c>
      <c r="G7255" s="42" t="str">
        <f>IFERROR(__xludf.DUMMYFUNCTION("""COMPUTED_VALUE"""),"BN Waris	")</f>
        <v>BN Waris	</v>
      </c>
      <c r="H7255" s="42">
        <f t="shared" si="1"/>
        <v>3076</v>
      </c>
    </row>
    <row r="7256" ht="22.5" customHeight="1">
      <c r="B7256" s="42" t="str">
        <f>IFERROR(__xludf.DUMMYFUNCTION("""COMPUTED_VALUE"""),"K/1/080925/1")</f>
        <v>K/1/080925/1</v>
      </c>
      <c r="C7256" s="42" t="str">
        <f>IFERROR(__xludf.DUMMYFUNCTION("""COMPUTED_VALUE"""),"Nibel 18396/Jagabaya II	")</f>
        <v>Nibel 18396/Jagabaya II	</v>
      </c>
      <c r="D7256" s="42" t="str">
        <f>IFERROR(__xludf.DUMMYFUNCTION("""COMPUTED_VALUE"""),"Berry")</f>
        <v>Berry</v>
      </c>
      <c r="E7256" s="42" t="str">
        <f>IFERROR(__xludf.DUMMYFUNCTION("""COMPUTED_VALUE"""),"DISERAHKAN")</f>
        <v>DISERAHKAN</v>
      </c>
      <c r="F7256" s="48">
        <f>IFERROR(__xludf.DUMMYFUNCTION("""COMPUTED_VALUE"""),45938.48732918981)</f>
        <v>45938.48733</v>
      </c>
      <c r="G7256" s="42" t="str">
        <f>IFERROR(__xludf.DUMMYFUNCTION("""COMPUTED_VALUE"""),"BN Jual Beli	")</f>
        <v>BN Jual Beli	</v>
      </c>
      <c r="H7256" s="42">
        <f t="shared" si="1"/>
        <v>3077</v>
      </c>
    </row>
    <row r="7257" ht="22.5" customHeight="1">
      <c r="B7257" s="42" t="str">
        <f>IFERROR(__xludf.DUMMYFUNCTION("""COMPUTED_VALUE"""),"K/2/080925/1")</f>
        <v>K/2/080925/1</v>
      </c>
      <c r="C7257" s="42" t="str">
        <f>IFERROR(__xludf.DUMMYFUNCTION("""COMPUTED_VALUE"""),"B. 1800/Sukarame	")</f>
        <v>B. 1800/Sukarame	</v>
      </c>
      <c r="D7257" s="42"/>
      <c r="E7257" s="42"/>
      <c r="F7257" s="48" t="str">
        <f>IFERROR(__xludf.DUMMYFUNCTION("""COMPUTED_VALUE"""),"")</f>
        <v/>
      </c>
      <c r="G7257" s="42" t="str">
        <f>IFERROR(__xludf.DUMMYFUNCTION("""COMPUTED_VALUE"""),"Peningkatan hak	")</f>
        <v>Peningkatan hak	</v>
      </c>
      <c r="H7257" s="42">
        <f t="shared" si="1"/>
        <v>3077</v>
      </c>
    </row>
    <row r="7258" ht="22.5" customHeight="1">
      <c r="B7258" s="42" t="str">
        <f>IFERROR(__xludf.DUMMYFUNCTION("""COMPUTED_VALUE"""),"L/3/080925/1")</f>
        <v>L/3/080925/1</v>
      </c>
      <c r="C7258" s="42" t="str">
        <f>IFERROR(__xludf.DUMMYFUNCTION("""COMPUTED_VALUE"""),"M NIB. 24106/LANGKAPURA")</f>
        <v>M NIB. 24106/LANGKAPURA</v>
      </c>
      <c r="D7258" s="42" t="str">
        <f>IFERROR(__xludf.DUMMYFUNCTION("""COMPUTED_VALUE"""),"David")</f>
        <v>David</v>
      </c>
      <c r="E7258" s="42" t="str">
        <f>IFERROR(__xludf.DUMMYFUNCTION("""COMPUTED_VALUE"""),"DISERAHKAN")</f>
        <v>DISERAHKAN</v>
      </c>
      <c r="F7258" s="48">
        <f>IFERROR(__xludf.DUMMYFUNCTION("""COMPUTED_VALUE"""),45930.601981064814)</f>
        <v>45930.60198</v>
      </c>
      <c r="G7258" s="42" t="str">
        <f>IFERROR(__xludf.DUMMYFUNCTION("""COMPUTED_VALUE"""),"BN WARIS")</f>
        <v>BN WARIS</v>
      </c>
      <c r="H7258" s="42">
        <f t="shared" si="1"/>
        <v>3078</v>
      </c>
    </row>
    <row r="7259" ht="22.5" customHeight="1">
      <c r="B7259" s="42" t="str">
        <f>IFERROR(__xludf.DUMMYFUNCTION("""COMPUTED_VALUE"""),"L/4/080925/1")</f>
        <v>L/4/080925/1</v>
      </c>
      <c r="C7259" s="42" t="str">
        <f>IFERROR(__xludf.DUMMYFUNCTION("""COMPUTED_VALUE"""),"M. 12043/SUKARAME I")</f>
        <v>M. 12043/SUKARAME I</v>
      </c>
      <c r="D7259" s="42"/>
      <c r="E7259" s="42"/>
      <c r="F7259" s="48" t="str">
        <f>IFERROR(__xludf.DUMMYFUNCTION("""COMPUTED_VALUE"""),"")</f>
        <v/>
      </c>
      <c r="G7259" s="42" t="str">
        <f>IFERROR(__xludf.DUMMYFUNCTION("""COMPUTED_VALUE"""),"ROYA")</f>
        <v>ROYA</v>
      </c>
      <c r="H7259" s="42">
        <f t="shared" si="1"/>
        <v>3078</v>
      </c>
    </row>
    <row r="7260" ht="22.5" customHeight="1">
      <c r="B7260" s="42" t="str">
        <f>IFERROR(__xludf.DUMMYFUNCTION("""COMPUTED_VALUE"""),"K/5/080925/1")</f>
        <v>K/5/080925/1</v>
      </c>
      <c r="C7260" s="42" t="str">
        <f>IFERROR(__xludf.DUMMYFUNCTION("""COMPUTED_VALUE"""),"M.817/Way Dadi	")</f>
        <v>M.817/Way Dadi	</v>
      </c>
      <c r="D7260" s="42"/>
      <c r="E7260" s="42"/>
      <c r="F7260" s="48" t="str">
        <f>IFERROR(__xludf.DUMMYFUNCTION("""COMPUTED_VALUE"""),"")</f>
        <v/>
      </c>
      <c r="G7260" s="42" t="str">
        <f>IFERROR(__xludf.DUMMYFUNCTION("""COMPUTED_VALUE"""),"PTPGT	")</f>
        <v>PTPGT	</v>
      </c>
      <c r="H7260" s="42">
        <f t="shared" si="1"/>
        <v>3078</v>
      </c>
    </row>
    <row r="7261" ht="22.5" customHeight="1">
      <c r="B7261" s="42" t="str">
        <f>IFERROR(__xludf.DUMMYFUNCTION("""COMPUTED_VALUE"""),"K/30/040925/1")</f>
        <v>K/30/040925/1</v>
      </c>
      <c r="C7261" s="42" t="str">
        <f>IFERROR(__xludf.DUMMYFUNCTION("""COMPUTED_VALUE"""),"GUNUNG TERANG")</f>
        <v>GUNUNG TERANG</v>
      </c>
      <c r="D7261" s="42"/>
      <c r="E7261" s="42"/>
      <c r="F7261" s="48" t="str">
        <f>IFERROR(__xludf.DUMMYFUNCTION("""COMPUTED_VALUE"""),"")</f>
        <v/>
      </c>
      <c r="G7261" s="42" t="str">
        <f>IFERROR(__xludf.DUMMYFUNCTION("""COMPUTED_VALUE"""),"PENGUKURAN PERTAMA KALI")</f>
        <v>PENGUKURAN PERTAMA KALI</v>
      </c>
      <c r="H7261" s="42">
        <f t="shared" si="1"/>
        <v>3078</v>
      </c>
    </row>
    <row r="7262" ht="22.5" customHeight="1">
      <c r="B7262" s="42" t="str">
        <f>IFERROR(__xludf.DUMMYFUNCTION("""COMPUTED_VALUE"""),"K/8/080925/1")</f>
        <v>K/8/080925/1</v>
      </c>
      <c r="C7262" s="42" t="str">
        <f>IFERROR(__xludf.DUMMYFUNCTION("""COMPUTED_VALUE"""),"LUAS 491/ PALAPA")</f>
        <v>LUAS 491/ PALAPA</v>
      </c>
      <c r="D7262" s="42"/>
      <c r="E7262" s="42"/>
      <c r="F7262" s="48" t="str">
        <f>IFERROR(__xludf.DUMMYFUNCTION("""COMPUTED_VALUE"""),"")</f>
        <v/>
      </c>
      <c r="G7262" s="42" t="str">
        <f>IFERROR(__xludf.DUMMYFUNCTION("""COMPUTED_VALUE"""),"PENGUKURAN PERTAMA KALI")</f>
        <v>PENGUKURAN PERTAMA KALI</v>
      </c>
      <c r="H7262" s="42">
        <f t="shared" si="1"/>
        <v>3078</v>
      </c>
    </row>
    <row r="7263" ht="22.5" customHeight="1">
      <c r="B7263" s="42" t="str">
        <f>IFERROR(__xludf.DUMMYFUNCTION("""COMPUTED_VALUE"""),"K/7/080925/1")</f>
        <v>K/7/080925/1</v>
      </c>
      <c r="C7263" s="42" t="str">
        <f>IFERROR(__xludf.DUMMYFUNCTION("""COMPUTED_VALUE"""),"M. 3323/CAMPANG RAYA")</f>
        <v>M. 3323/CAMPANG RAYA</v>
      </c>
      <c r="D7263" s="42"/>
      <c r="E7263" s="42"/>
      <c r="F7263" s="48" t="str">
        <f>IFERROR(__xludf.DUMMYFUNCTION("""COMPUTED_VALUE"""),"")</f>
        <v/>
      </c>
      <c r="G7263" s="42" t="str">
        <f>IFERROR(__xludf.DUMMYFUNCTION("""COMPUTED_VALUE"""),"ROYA")</f>
        <v>ROYA</v>
      </c>
      <c r="H7263" s="42">
        <f t="shared" si="1"/>
        <v>3078</v>
      </c>
    </row>
    <row r="7264" ht="22.5" customHeight="1">
      <c r="B7264" s="42" t="str">
        <f>IFERROR(__xludf.DUMMYFUNCTION("""COMPUTED_VALUE"""),"L/9/080925/1")</f>
        <v>L/9/080925/1</v>
      </c>
      <c r="C7264" s="42" t="str">
        <f>IFERROR(__xludf.DUMMYFUNCTION("""COMPUTED_VALUE"""),"KELURAHAN KURIPAN")</f>
        <v>KELURAHAN KURIPAN</v>
      </c>
      <c r="D7264" s="42" t="str">
        <f>IFERROR(__xludf.DUMMYFUNCTION("""COMPUTED_VALUE"""),"David")</f>
        <v>David</v>
      </c>
      <c r="E7264" s="42" t="str">
        <f>IFERROR(__xludf.DUMMYFUNCTION("""COMPUTED_VALUE"""),"DISERAHKAN")</f>
        <v>DISERAHKAN</v>
      </c>
      <c r="F7264" s="48">
        <f>IFERROR(__xludf.DUMMYFUNCTION("""COMPUTED_VALUE"""),45943.696525266205)</f>
        <v>45943.69653</v>
      </c>
      <c r="G7264" s="42" t="str">
        <f>IFERROR(__xludf.DUMMYFUNCTION("""COMPUTED_VALUE"""),"SERTIPIKAT HILANG")</f>
        <v>SERTIPIKAT HILANG</v>
      </c>
      <c r="H7264" s="42">
        <f t="shared" si="1"/>
        <v>3079</v>
      </c>
    </row>
    <row r="7265" ht="22.5" customHeight="1">
      <c r="B7265" s="42" t="str">
        <f>IFERROR(__xludf.DUMMYFUNCTION("""COMPUTED_VALUE"""),"L/11/080925/1")</f>
        <v>L/11/080925/1</v>
      </c>
      <c r="C7265" s="42" t="str">
        <f>IFERROR(__xludf.DUMMYFUNCTION("""COMPUTED_VALUE"""),"M. 9136/KAMPUNG BARU")</f>
        <v>M. 9136/KAMPUNG BARU</v>
      </c>
      <c r="D7265" s="42"/>
      <c r="E7265" s="42"/>
      <c r="F7265" s="48" t="str">
        <f>IFERROR(__xludf.DUMMYFUNCTION("""COMPUTED_VALUE"""),"")</f>
        <v/>
      </c>
      <c r="G7265" s="42" t="str">
        <f>IFERROR(__xludf.DUMMYFUNCTION("""COMPUTED_VALUE"""),"ROYA")</f>
        <v>ROYA</v>
      </c>
      <c r="H7265" s="42">
        <f t="shared" si="1"/>
        <v>3079</v>
      </c>
    </row>
    <row r="7266" ht="22.5" customHeight="1">
      <c r="B7266" s="42" t="str">
        <f>IFERROR(__xludf.DUMMYFUNCTION("""COMPUTED_VALUE"""),"K/12/080925/1")</f>
        <v>K/12/080925/1</v>
      </c>
      <c r="C7266" s="42" t="str">
        <f>IFERROR(__xludf.DUMMYFUNCTION("""COMPUTED_VALUE"""),"Nibel 19647/Kali Balau Kencana")</f>
        <v>Nibel 19647/Kali Balau Kencana</v>
      </c>
      <c r="D7266" s="42"/>
      <c r="E7266" s="42"/>
      <c r="F7266" s="48" t="str">
        <f>IFERROR(__xludf.DUMMYFUNCTION("""COMPUTED_VALUE"""),"")</f>
        <v/>
      </c>
      <c r="G7266" s="42" t="str">
        <f>IFERROR(__xludf.DUMMYFUNCTION("""COMPUTED_VALUE"""),"Peningkatan hak		")</f>
        <v>Peningkatan hak		</v>
      </c>
      <c r="H7266" s="42">
        <f t="shared" si="1"/>
        <v>3079</v>
      </c>
    </row>
    <row r="7267" ht="22.5" customHeight="1">
      <c r="B7267" s="42" t="str">
        <f>IFERROR(__xludf.DUMMYFUNCTION("""COMPUTED_VALUE"""),"K/13/080925/1")</f>
        <v>K/13/080925/1</v>
      </c>
      <c r="C7267" s="42" t="str">
        <f>IFERROR(__xludf.DUMMYFUNCTION("""COMPUTED_VALUE"""),"M 11957/ SEGALA MIDER")</f>
        <v>M 11957/ SEGALA MIDER</v>
      </c>
      <c r="D7267" s="42"/>
      <c r="E7267" s="42"/>
      <c r="F7267" s="48" t="str">
        <f>IFERROR(__xludf.DUMMYFUNCTION("""COMPUTED_VALUE"""),"")</f>
        <v/>
      </c>
      <c r="G7267" s="42" t="str">
        <f>IFERROR(__xludf.DUMMYFUNCTION("""COMPUTED_VALUE"""),"ROYA")</f>
        <v>ROYA</v>
      </c>
      <c r="H7267" s="42">
        <f t="shared" si="1"/>
        <v>3079</v>
      </c>
    </row>
    <row r="7268" ht="22.5" customHeight="1">
      <c r="B7268" s="42" t="str">
        <f>IFERROR(__xludf.DUMMYFUNCTION("""COMPUTED_VALUE"""),"K/10/080925/1")</f>
        <v>K/10/080925/1</v>
      </c>
      <c r="C7268" s="42" t="str">
        <f>IFERROR(__xludf.DUMMYFUNCTION("""COMPUTED_VALUE"""),"NIBEL M. 23486/KEDAMAIAN")</f>
        <v>NIBEL M. 23486/KEDAMAIAN</v>
      </c>
      <c r="D7268" s="42"/>
      <c r="E7268" s="42"/>
      <c r="F7268" s="48" t="str">
        <f>IFERROR(__xludf.DUMMYFUNCTION("""COMPUTED_VALUE"""),"")</f>
        <v/>
      </c>
      <c r="G7268" s="42" t="str">
        <f>IFERROR(__xludf.DUMMYFUNCTION("""COMPUTED_VALUE"""),"BN JUAL BELI EL")</f>
        <v>BN JUAL BELI EL</v>
      </c>
      <c r="H7268" s="42">
        <f t="shared" si="1"/>
        <v>3079</v>
      </c>
    </row>
    <row r="7269" ht="22.5" customHeight="1">
      <c r="B7269" s="42" t="str">
        <f>IFERROR(__xludf.DUMMYFUNCTION("""COMPUTED_VALUE"""),"K/15/080925/1")</f>
        <v>K/15/080925/1</v>
      </c>
      <c r="C7269" s="42" t="str">
        <f>IFERROR(__xludf.DUMMYFUNCTION("""COMPUTED_VALUE"""),"M. 3191/Sukarame Baru	")</f>
        <v>M. 3191/Sukarame Baru	</v>
      </c>
      <c r="D7269" s="42"/>
      <c r="E7269" s="42"/>
      <c r="F7269" s="48" t="str">
        <f>IFERROR(__xludf.DUMMYFUNCTION("""COMPUTED_VALUE"""),"")</f>
        <v/>
      </c>
      <c r="G7269" s="42" t="str">
        <f>IFERROR(__xludf.DUMMYFUNCTION("""COMPUTED_VALUE"""),"BN Jual Beli	")</f>
        <v>BN Jual Beli	</v>
      </c>
      <c r="H7269" s="42">
        <f t="shared" si="1"/>
        <v>3079</v>
      </c>
    </row>
    <row r="7270" ht="22.5" customHeight="1">
      <c r="B7270" s="42" t="str">
        <f>IFERROR(__xludf.DUMMYFUNCTION("""COMPUTED_VALUE"""),"K/16/080925/1")</f>
        <v>K/16/080925/1</v>
      </c>
      <c r="C7270" s="42" t="str">
        <f>IFERROR(__xludf.DUMMYFUNCTION("""COMPUTED_VALUE"""),"Nibel 21968/Pinang Jaya	")</f>
        <v>Nibel 21968/Pinang Jaya	</v>
      </c>
      <c r="D7270" s="42"/>
      <c r="E7270" s="42"/>
      <c r="F7270" s="48" t="str">
        <f>IFERROR(__xludf.DUMMYFUNCTION("""COMPUTED_VALUE"""),"")</f>
        <v/>
      </c>
      <c r="G7270" s="42" t="str">
        <f>IFERROR(__xludf.DUMMYFUNCTION("""COMPUTED_VALUE"""),"Pemecahan	")</f>
        <v>Pemecahan	</v>
      </c>
      <c r="H7270" s="42">
        <f t="shared" si="1"/>
        <v>3079</v>
      </c>
    </row>
    <row r="7271" ht="22.5" customHeight="1">
      <c r="B7271" s="42" t="str">
        <f>IFERROR(__xludf.DUMMYFUNCTION("""COMPUTED_VALUE"""),"K/17/080925/1")</f>
        <v>K/17/080925/1</v>
      </c>
      <c r="C7271" s="42" t="str">
        <f>IFERROR(__xludf.DUMMYFUNCTION("""COMPUTED_VALUE"""),"NIBEL M. 21552/LABUHAN RATU")</f>
        <v>NIBEL M. 21552/LABUHAN RATU</v>
      </c>
      <c r="D7271" s="42"/>
      <c r="E7271" s="42"/>
      <c r="F7271" s="48" t="str">
        <f>IFERROR(__xludf.DUMMYFUNCTION("""COMPUTED_VALUE"""),"")</f>
        <v/>
      </c>
      <c r="G7271" s="42" t="str">
        <f>IFERROR(__xludf.DUMMYFUNCTION("""COMPUTED_VALUE"""),"BN APHB EL")</f>
        <v>BN APHB EL</v>
      </c>
      <c r="H7271" s="42">
        <f t="shared" si="1"/>
        <v>3079</v>
      </c>
    </row>
    <row r="7272" ht="22.5" customHeight="1">
      <c r="B7272" s="42" t="str">
        <f>IFERROR(__xludf.DUMMYFUNCTION("""COMPUTED_VALUE"""),"L/19/080925/1")</f>
        <v>L/19/080925/1</v>
      </c>
      <c r="C7272" s="42" t="str">
        <f>IFERROR(__xludf.DUMMYFUNCTION("""COMPUTED_VALUE"""),"B. 1146/SUKABUMI INDAH")</f>
        <v>B. 1146/SUKABUMI INDAH</v>
      </c>
      <c r="D7272" s="42"/>
      <c r="E7272" s="42"/>
      <c r="F7272" s="48" t="str">
        <f>IFERROR(__xludf.DUMMYFUNCTION("""COMPUTED_VALUE"""),"")</f>
        <v/>
      </c>
      <c r="G7272" s="42" t="str">
        <f>IFERROR(__xludf.DUMMYFUNCTION("""COMPUTED_VALUE"""),"PENINGKATAN HAK")</f>
        <v>PENINGKATAN HAK</v>
      </c>
      <c r="H7272" s="42">
        <f t="shared" si="1"/>
        <v>3079</v>
      </c>
    </row>
    <row r="7273" ht="22.5" customHeight="1">
      <c r="B7273" s="42" t="str">
        <f>IFERROR(__xludf.DUMMYFUNCTION("""COMPUTED_VALUE"""),"L/20/060925/1")</f>
        <v>L/20/060925/1</v>
      </c>
      <c r="C7273" s="42" t="str">
        <f>IFERROR(__xludf.DUMMYFUNCTION("""COMPUTED_VALUE"""),"B NIB. 11849/PERUMNAS WAY KANDIS (PELATARAN LUKMAN)")</f>
        <v>B NIB. 11849/PERUMNAS WAY KANDIS (PELATARAN LUKMAN)</v>
      </c>
      <c r="D7273" s="42"/>
      <c r="E7273" s="42"/>
      <c r="F7273" s="48" t="str">
        <f>IFERROR(__xludf.DUMMYFUNCTION("""COMPUTED_VALUE"""),"")</f>
        <v/>
      </c>
      <c r="G7273" s="42" t="str">
        <f>IFERROR(__xludf.DUMMYFUNCTION("""COMPUTED_VALUE"""),"PENINGKATAN HAK")</f>
        <v>PENINGKATAN HAK</v>
      </c>
      <c r="H7273" s="42">
        <f t="shared" si="1"/>
        <v>3079</v>
      </c>
    </row>
    <row r="7274" ht="22.5" customHeight="1">
      <c r="B7274" s="42" t="str">
        <f>IFERROR(__xludf.DUMMYFUNCTION("""COMPUTED_VALUE"""),"K/21/080925/1")</f>
        <v>K/21/080925/1</v>
      </c>
      <c r="C7274" s="42" t="str">
        <f>IFERROR(__xludf.DUMMYFUNCTION("""COMPUTED_VALUE"""),"M. 709/Way Dadi	")</f>
        <v>M. 709/Way Dadi	</v>
      </c>
      <c r="D7274" s="42"/>
      <c r="E7274" s="42"/>
      <c r="F7274" s="48" t="str">
        <f>IFERROR(__xludf.DUMMYFUNCTION("""COMPUTED_VALUE"""),"")</f>
        <v/>
      </c>
      <c r="G7274" s="42" t="str">
        <f>IFERROR(__xludf.DUMMYFUNCTION("""COMPUTED_VALUE"""),"BN Jual Beli	")</f>
        <v>BN Jual Beli	</v>
      </c>
      <c r="H7274" s="42">
        <f t="shared" si="1"/>
        <v>3079</v>
      </c>
    </row>
    <row r="7275" ht="22.5" customHeight="1">
      <c r="B7275" s="42" t="str">
        <f>IFERROR(__xludf.DUMMYFUNCTION("""COMPUTED_VALUE"""),"K/18/080925/2")</f>
        <v>K/18/080925/2</v>
      </c>
      <c r="C7275" s="42" t="str">
        <f>IFERROR(__xludf.DUMMYFUNCTION("""COMPUTED_VALUE"""),"M. 9895/SURABAYA")</f>
        <v>M. 9895/SURABAYA</v>
      </c>
      <c r="D7275" s="42" t="str">
        <f>IFERROR(__xludf.DUMMYFUNCTION("""COMPUTED_VALUE"""),"Berry")</f>
        <v>Berry</v>
      </c>
      <c r="E7275" s="42" t="str">
        <f>IFERROR(__xludf.DUMMYFUNCTION("""COMPUTED_VALUE"""),"DISERAHKAN")</f>
        <v>DISERAHKAN</v>
      </c>
      <c r="F7275" s="48">
        <f>IFERROR(__xludf.DUMMYFUNCTION("""COMPUTED_VALUE"""),45926.54810289352)</f>
        <v>45926.5481</v>
      </c>
      <c r="G7275" s="42" t="str">
        <f>IFERROR(__xludf.DUMMYFUNCTION("""COMPUTED_VALUE"""),"BN JUAL BELI EL")</f>
        <v>BN JUAL BELI EL</v>
      </c>
      <c r="H7275" s="42">
        <f t="shared" si="1"/>
        <v>3080</v>
      </c>
    </row>
    <row r="7276" ht="22.5" customHeight="1">
      <c r="B7276" s="42" t="str">
        <f>IFERROR(__xludf.DUMMYFUNCTION("""COMPUTED_VALUE"""),"K/22/080925/1")</f>
        <v>K/22/080925/1</v>
      </c>
      <c r="C7276" s="42" t="str">
        <f>IFERROR(__xludf.DUMMYFUNCTION("""COMPUTED_VALUE"""),"NIBEL M. 19198/JAGABAYA III")</f>
        <v>NIBEL M. 19198/JAGABAYA III</v>
      </c>
      <c r="D7276" s="42"/>
      <c r="E7276" s="42"/>
      <c r="F7276" s="48" t="str">
        <f>IFERROR(__xludf.DUMMYFUNCTION("""COMPUTED_VALUE"""),"")</f>
        <v/>
      </c>
      <c r="G7276" s="42" t="str">
        <f>IFERROR(__xludf.DUMMYFUNCTION("""COMPUTED_VALUE"""),"BN JUAL BELI EL")</f>
        <v>BN JUAL BELI EL</v>
      </c>
      <c r="H7276" s="42">
        <f t="shared" si="1"/>
        <v>3080</v>
      </c>
    </row>
    <row r="7277" ht="22.5" customHeight="1">
      <c r="B7277" s="42" t="str">
        <f>IFERROR(__xludf.DUMMYFUNCTION("""COMPUTED_VALUE"""),"K/23/080925/2")</f>
        <v>K/23/080925/2</v>
      </c>
      <c r="C7277" s="42" t="str">
        <f>IFERROR(__xludf.DUMMYFUNCTION("""COMPUTED_VALUE"""),"NIBEL B. 452/SUMBER AGUNG")</f>
        <v>NIBEL B. 452/SUMBER AGUNG</v>
      </c>
      <c r="D7277" s="42"/>
      <c r="E7277" s="42"/>
      <c r="F7277" s="48" t="str">
        <f>IFERROR(__xludf.DUMMYFUNCTION("""COMPUTED_VALUE"""),"")</f>
        <v/>
      </c>
      <c r="G7277" s="42" t="str">
        <f>IFERROR(__xludf.DUMMYFUNCTION("""COMPUTED_VALUE"""),"BN JUAL BELI EL")</f>
        <v>BN JUAL BELI EL</v>
      </c>
      <c r="H7277" s="42">
        <f t="shared" si="1"/>
        <v>3080</v>
      </c>
    </row>
    <row r="7278" ht="22.5" customHeight="1">
      <c r="B7278" s="42" t="str">
        <f>IFERROR(__xludf.DUMMYFUNCTION("""COMPUTED_VALUE"""),"K/24/080925/3")</f>
        <v>K/24/080925/3</v>
      </c>
      <c r="C7278" s="42" t="str">
        <f>IFERROR(__xludf.DUMMYFUNCTION("""COMPUTED_VALUE"""),"M. 13893/KEDAMAIAN")</f>
        <v>M. 13893/KEDAMAIAN</v>
      </c>
      <c r="D7278" s="42"/>
      <c r="E7278" s="42"/>
      <c r="F7278" s="48" t="str">
        <f>IFERROR(__xludf.DUMMYFUNCTION("""COMPUTED_VALUE"""),"")</f>
        <v/>
      </c>
      <c r="G7278" s="42" t="str">
        <f>IFERROR(__xludf.DUMMYFUNCTION("""COMPUTED_VALUE"""),"BN JUAL BELI EL")</f>
        <v>BN JUAL BELI EL</v>
      </c>
      <c r="H7278" s="42">
        <f t="shared" si="1"/>
        <v>3080</v>
      </c>
    </row>
    <row r="7279" ht="22.5" customHeight="1">
      <c r="B7279" s="42" t="str">
        <f>IFERROR(__xludf.DUMMYFUNCTION("""COMPUTED_VALUE"""),"L/27/080925/1")</f>
        <v>L/27/080925/1</v>
      </c>
      <c r="C7279" s="42" t="str">
        <f>IFERROR(__xludf.DUMMYFUNCTION("""COMPUTED_VALUE"""),"M. 1380/KELAPA TIGA")</f>
        <v>M. 1380/KELAPA TIGA</v>
      </c>
      <c r="D7279" s="42"/>
      <c r="E7279" s="42"/>
      <c r="F7279" s="48" t="str">
        <f>IFERROR(__xludf.DUMMYFUNCTION("""COMPUTED_VALUE"""),"")</f>
        <v/>
      </c>
      <c r="G7279" s="42" t="str">
        <f>IFERROR(__xludf.DUMMYFUNCTION("""COMPUTED_VALUE"""),"ROYA")</f>
        <v>ROYA</v>
      </c>
      <c r="H7279" s="42">
        <f t="shared" si="1"/>
        <v>3080</v>
      </c>
    </row>
    <row r="7280" ht="22.5" customHeight="1">
      <c r="B7280" s="42" t="str">
        <f>IFERROR(__xludf.DUMMYFUNCTION("""COMPUTED_VALUE"""),"K/25/080925/4")</f>
        <v>K/25/080925/4</v>
      </c>
      <c r="C7280" s="42" t="str">
        <f>IFERROR(__xludf.DUMMYFUNCTION("""COMPUTED_VALUE"""),"M. 13894/KEDAMAIAN")</f>
        <v>M. 13894/KEDAMAIAN</v>
      </c>
      <c r="D7280" s="42" t="str">
        <f>IFERROR(__xludf.DUMMYFUNCTION("""COMPUTED_VALUE"""),"David")</f>
        <v>David</v>
      </c>
      <c r="E7280" s="42" t="str">
        <f>IFERROR(__xludf.DUMMYFUNCTION("""COMPUTED_VALUE"""),"DISERAHKAN")</f>
        <v>DISERAHKAN</v>
      </c>
      <c r="F7280" s="48">
        <f>IFERROR(__xludf.DUMMYFUNCTION("""COMPUTED_VALUE"""),45957.61670133102)</f>
        <v>45957.6167</v>
      </c>
      <c r="G7280" s="42" t="str">
        <f>IFERROR(__xludf.DUMMYFUNCTION("""COMPUTED_VALUE"""),"BN JUAL BELI EL")</f>
        <v>BN JUAL BELI EL</v>
      </c>
      <c r="H7280" s="42">
        <f t="shared" si="1"/>
        <v>3081</v>
      </c>
    </row>
    <row r="7281" ht="22.5" customHeight="1">
      <c r="B7281" s="42" t="str">
        <f>IFERROR(__xludf.DUMMYFUNCTION("""COMPUTED_VALUE"""),"K/29/080925/1")</f>
        <v>K/29/080925/1</v>
      </c>
      <c r="C7281" s="42" t="str">
        <f>IFERROR(__xludf.DUMMYFUNCTION("""COMPUTED_VALUE"""),"M. 2314/Sukarame Baru	")</f>
        <v>M. 2314/Sukarame Baru	</v>
      </c>
      <c r="D7281" s="42" t="str">
        <f>IFERROR(__xludf.DUMMYFUNCTION("""COMPUTED_VALUE"""),"David")</f>
        <v>David</v>
      </c>
      <c r="E7281" s="42" t="str">
        <f>IFERROR(__xludf.DUMMYFUNCTION("""COMPUTED_VALUE"""),"DISERAHKAN")</f>
        <v>DISERAHKAN</v>
      </c>
      <c r="F7281" s="48">
        <f>IFERROR(__xludf.DUMMYFUNCTION("""COMPUTED_VALUE"""),45943.699371689814)</f>
        <v>45943.69937</v>
      </c>
      <c r="G7281" s="42" t="str">
        <f>IFERROR(__xludf.DUMMYFUNCTION("""COMPUTED_VALUE"""),"BN Jual Beli	")</f>
        <v>BN Jual Beli	</v>
      </c>
      <c r="H7281" s="42">
        <f t="shared" si="1"/>
        <v>3082</v>
      </c>
    </row>
    <row r="7282" ht="22.5" customHeight="1">
      <c r="B7282" s="42" t="str">
        <f>IFERROR(__xludf.DUMMYFUNCTION("""COMPUTED_VALUE"""),"K/32/080925/1")</f>
        <v>K/32/080925/1</v>
      </c>
      <c r="C7282" s="42" t="str">
        <f>IFERROR(__xludf.DUMMYFUNCTION("""COMPUTED_VALUE"""),"B 132/ PASIR GINTUNG")</f>
        <v>B 132/ PASIR GINTUNG</v>
      </c>
      <c r="D7282" s="42"/>
      <c r="E7282" s="42"/>
      <c r="F7282" s="48" t="str">
        <f>IFERROR(__xludf.DUMMYFUNCTION("""COMPUTED_VALUE"""),"")</f>
        <v/>
      </c>
      <c r="G7282" s="42" t="str">
        <f>IFERROR(__xludf.DUMMYFUNCTION("""COMPUTED_VALUE"""),"ROYA KARENA LELANG")</f>
        <v>ROYA KARENA LELANG</v>
      </c>
      <c r="H7282" s="42">
        <f t="shared" si="1"/>
        <v>3082</v>
      </c>
    </row>
    <row r="7283" ht="22.5" customHeight="1">
      <c r="B7283" s="42" t="str">
        <f>IFERROR(__xludf.DUMMYFUNCTION("""COMPUTED_VALUE"""),"K/26/080925/5")</f>
        <v>K/26/080925/5</v>
      </c>
      <c r="C7283" s="42" t="str">
        <f>IFERROR(__xludf.DUMMYFUNCTION("""COMPUTED_VALUE"""),"M. 13890/KEDAMAIAN")</f>
        <v>M. 13890/KEDAMAIAN</v>
      </c>
      <c r="D7283" s="42" t="str">
        <f>IFERROR(__xludf.DUMMYFUNCTION("""COMPUTED_VALUE"""),"David")</f>
        <v>David</v>
      </c>
      <c r="E7283" s="42" t="str">
        <f>IFERROR(__xludf.DUMMYFUNCTION("""COMPUTED_VALUE"""),"DISERAHKAN")</f>
        <v>DISERAHKAN</v>
      </c>
      <c r="F7283" s="48">
        <f>IFERROR(__xludf.DUMMYFUNCTION("""COMPUTED_VALUE"""),45950.60550684028)</f>
        <v>45950.60551</v>
      </c>
      <c r="G7283" s="42" t="str">
        <f>IFERROR(__xludf.DUMMYFUNCTION("""COMPUTED_VALUE"""),"BN JUAL BELI EL")</f>
        <v>BN JUAL BELI EL</v>
      </c>
      <c r="H7283" s="42">
        <f t="shared" si="1"/>
        <v>3083</v>
      </c>
    </row>
    <row r="7284" ht="22.5" customHeight="1">
      <c r="B7284" s="42" t="str">
        <f>IFERROR(__xludf.DUMMYFUNCTION("""COMPUTED_VALUE"""),"K/34/080925/2")</f>
        <v>K/34/080925/2</v>
      </c>
      <c r="C7284" s="42" t="str">
        <f>IFERROR(__xludf.DUMMYFUNCTION("""COMPUTED_VALUE"""),"M 1065/ PEMATANG WANGI")</f>
        <v>M 1065/ PEMATANG WANGI</v>
      </c>
      <c r="D7284" s="42" t="str">
        <f>IFERROR(__xludf.DUMMYFUNCTION("""COMPUTED_VALUE"""),"Berry")</f>
        <v>Berry</v>
      </c>
      <c r="E7284" s="42" t="str">
        <f>IFERROR(__xludf.DUMMYFUNCTION("""COMPUTED_VALUE"""),"DISERAHKAN")</f>
        <v>DISERAHKAN</v>
      </c>
      <c r="F7284" s="48">
        <f>IFERROR(__xludf.DUMMYFUNCTION("""COMPUTED_VALUE"""),45945.678141701384)</f>
        <v>45945.67814</v>
      </c>
      <c r="G7284" s="42" t="str">
        <f>IFERROR(__xludf.DUMMYFUNCTION("""COMPUTED_VALUE"""),"BN JUAL BELI")</f>
        <v>BN JUAL BELI</v>
      </c>
      <c r="H7284" s="42">
        <f t="shared" si="1"/>
        <v>3084</v>
      </c>
    </row>
    <row r="7285" ht="22.5" customHeight="1">
      <c r="B7285" s="42" t="str">
        <f>IFERROR(__xludf.DUMMYFUNCTION("""COMPUTED_VALUE"""),"K/31/080925/1")</f>
        <v>K/31/080925/1</v>
      </c>
      <c r="C7285" s="42" t="str">
        <f>IFERROR(__xludf.DUMMYFUNCTION("""COMPUTED_VALUE"""),"B. 88/Kaliawi Persada")</f>
        <v>B. 88/Kaliawi Persada</v>
      </c>
      <c r="D7285" s="42" t="str">
        <f>IFERROR(__xludf.DUMMYFUNCTION("""COMPUTED_VALUE"""),"David")</f>
        <v>David</v>
      </c>
      <c r="E7285" s="42" t="str">
        <f>IFERROR(__xludf.DUMMYFUNCTION("""COMPUTED_VALUE"""),"DISERAHKAN")</f>
        <v>DISERAHKAN</v>
      </c>
      <c r="F7285" s="48">
        <f>IFERROR(__xludf.DUMMYFUNCTION("""COMPUTED_VALUE"""),45993.45988018518)</f>
        <v>45993.45988</v>
      </c>
      <c r="G7285" s="42" t="str">
        <f>IFERROR(__xludf.DUMMYFUNCTION("""COMPUTED_VALUE"""),"BN Jual Beli		")</f>
        <v>BN Jual Beli		</v>
      </c>
      <c r="H7285" s="42">
        <f t="shared" si="1"/>
        <v>3085</v>
      </c>
    </row>
    <row r="7286" ht="22.5" customHeight="1">
      <c r="B7286" s="42" t="str">
        <f>IFERROR(__xludf.DUMMYFUNCTION("""COMPUTED_VALUE"""),"K/33/080925/1")</f>
        <v>K/33/080925/1</v>
      </c>
      <c r="C7286" s="42" t="str">
        <f>IFERROR(__xludf.DUMMYFUNCTION("""COMPUTED_VALUE"""),"NIBEL M. 3235/KAMPUNG BARU")</f>
        <v>NIBEL M. 3235/KAMPUNG BARU</v>
      </c>
      <c r="D7286" s="42"/>
      <c r="E7286" s="42"/>
      <c r="F7286" s="48" t="str">
        <f>IFERROR(__xludf.DUMMYFUNCTION("""COMPUTED_VALUE"""),"")</f>
        <v/>
      </c>
      <c r="G7286" s="42" t="str">
        <f>IFERROR(__xludf.DUMMYFUNCTION("""COMPUTED_VALUE"""),"PTPGT")</f>
        <v>PTPGT</v>
      </c>
      <c r="H7286" s="42">
        <f t="shared" si="1"/>
        <v>3085</v>
      </c>
    </row>
    <row r="7287" ht="22.5" customHeight="1">
      <c r="B7287" s="42" t="str">
        <f>IFERROR(__xludf.DUMMYFUNCTION("""COMPUTED_VALUE"""),"L/28/080925/1")</f>
        <v>L/28/080925/1</v>
      </c>
      <c r="C7287" s="42" t="str">
        <f>IFERROR(__xludf.DUMMYFUNCTION("""COMPUTED_VALUE"""),"M. 17529/SUKARAME I")</f>
        <v>M. 17529/SUKARAME I</v>
      </c>
      <c r="D7287" s="42"/>
      <c r="E7287" s="42"/>
      <c r="F7287" s="48" t="str">
        <f>IFERROR(__xludf.DUMMYFUNCTION("""COMPUTED_VALUE"""),"")</f>
        <v/>
      </c>
      <c r="G7287" s="42" t="str">
        <f>IFERROR(__xludf.DUMMYFUNCTION("""COMPUTED_VALUE"""),"ROYA")</f>
        <v>ROYA</v>
      </c>
      <c r="H7287" s="42">
        <f t="shared" si="1"/>
        <v>3085</v>
      </c>
    </row>
    <row r="7288" ht="22.5" customHeight="1">
      <c r="B7288" s="42" t="str">
        <f>IFERROR(__xludf.DUMMYFUNCTION("""COMPUTED_VALUE"""),"K/38/080925/1")</f>
        <v>K/38/080925/1</v>
      </c>
      <c r="C7288" s="42" t="str">
        <f>IFERROR(__xludf.DUMMYFUNCTION("""COMPUTED_VALUE"""),"M 6240/ WAY KANDIS")</f>
        <v>M 6240/ WAY KANDIS</v>
      </c>
      <c r="D7288" s="42" t="str">
        <f>IFERROR(__xludf.DUMMYFUNCTION("""COMPUTED_VALUE"""),"David")</f>
        <v>David</v>
      </c>
      <c r="E7288" s="42"/>
      <c r="F7288" s="48" t="str">
        <f>IFERROR(__xludf.DUMMYFUNCTION("""COMPUTED_VALUE"""),"")</f>
        <v/>
      </c>
      <c r="G7288" s="42" t="str">
        <f>IFERROR(__xludf.DUMMYFUNCTION("""COMPUTED_VALUE"""),"BN JUAL BELI")</f>
        <v>BN JUAL BELI</v>
      </c>
      <c r="H7288" s="42">
        <f t="shared" si="1"/>
        <v>3085</v>
      </c>
    </row>
    <row r="7289" ht="22.5" customHeight="1">
      <c r="B7289" s="42" t="str">
        <f>IFERROR(__xludf.DUMMYFUNCTION("""COMPUTED_VALUE"""),"L/41/050924/1")</f>
        <v>L/41/050924/1</v>
      </c>
      <c r="C7289" s="42" t="str">
        <f>IFERROR(__xludf.DUMMYFUNCTION("""COMPUTED_VALUE"""),"M. 1179/PANJANG SELATAN")</f>
        <v>M. 1179/PANJANG SELATAN</v>
      </c>
      <c r="D7289" s="42"/>
      <c r="E7289" s="42"/>
      <c r="F7289" s="48" t="str">
        <f>IFERROR(__xludf.DUMMYFUNCTION("""COMPUTED_VALUE"""),"")</f>
        <v/>
      </c>
      <c r="G7289" s="42" t="str">
        <f>IFERROR(__xludf.DUMMYFUNCTION("""COMPUTED_VALUE"""),"SERTIPIKAT HILANG")</f>
        <v>SERTIPIKAT HILANG</v>
      </c>
      <c r="H7289" s="42">
        <f t="shared" si="1"/>
        <v>3085</v>
      </c>
    </row>
    <row r="7290" ht="22.5" customHeight="1">
      <c r="B7290" s="42" t="str">
        <f>IFERROR(__xludf.DUMMYFUNCTION("""COMPUTED_VALUE"""),"K/42/080925/1")</f>
        <v>K/42/080925/1</v>
      </c>
      <c r="C7290" s="42" t="str">
        <f>IFERROR(__xludf.DUMMYFUNCTION("""COMPUTED_VALUE"""),"M. 5831/Kandis 	")</f>
        <v>M. 5831/Kandis 	</v>
      </c>
      <c r="D7290" s="42"/>
      <c r="E7290" s="42"/>
      <c r="F7290" s="48" t="str">
        <f>IFERROR(__xludf.DUMMYFUNCTION("""COMPUTED_VALUE"""),"")</f>
        <v/>
      </c>
      <c r="G7290" s="42" t="str">
        <f>IFERROR(__xludf.DUMMYFUNCTION("""COMPUTED_VALUE"""),"Penataan Batas	")</f>
        <v>Penataan Batas	</v>
      </c>
      <c r="H7290" s="42">
        <f t="shared" si="1"/>
        <v>3085</v>
      </c>
    </row>
    <row r="7291" ht="22.5" customHeight="1">
      <c r="B7291" s="42" t="str">
        <f>IFERROR(__xludf.DUMMYFUNCTION("""COMPUTED_VALUE"""),"K/39/080925/2")</f>
        <v>K/39/080925/2</v>
      </c>
      <c r="C7291" s="42" t="str">
        <f>IFERROR(__xludf.DUMMYFUNCTION("""COMPUTED_VALUE"""),"NIBEL M 23075/ PEMATANG WANGI")</f>
        <v>NIBEL M 23075/ PEMATANG WANGI</v>
      </c>
      <c r="D7291" s="42"/>
      <c r="E7291" s="42"/>
      <c r="F7291" s="48" t="str">
        <f>IFERROR(__xludf.DUMMYFUNCTION("""COMPUTED_VALUE"""),"")</f>
        <v/>
      </c>
      <c r="G7291" s="42" t="str">
        <f>IFERROR(__xludf.DUMMYFUNCTION("""COMPUTED_VALUE"""),"BN JUAL BELI")</f>
        <v>BN JUAL BELI</v>
      </c>
      <c r="H7291" s="42">
        <f t="shared" si="1"/>
        <v>3085</v>
      </c>
    </row>
    <row r="7292" ht="22.5" customHeight="1">
      <c r="B7292" s="42" t="str">
        <f>IFERROR(__xludf.DUMMYFUNCTION("""COMPUTED_VALUE"""),"K/40/080925/3")</f>
        <v>K/40/080925/3</v>
      </c>
      <c r="C7292" s="42" t="str">
        <f>IFERROR(__xludf.DUMMYFUNCTION("""COMPUTED_VALUE"""),"NIBEL M 18334/ LANGKAPURA")</f>
        <v>NIBEL M 18334/ LANGKAPURA</v>
      </c>
      <c r="D7292" s="42"/>
      <c r="E7292" s="42"/>
      <c r="F7292" s="48" t="str">
        <f>IFERROR(__xludf.DUMMYFUNCTION("""COMPUTED_VALUE"""),"")</f>
        <v/>
      </c>
      <c r="G7292" s="42" t="str">
        <f>IFERROR(__xludf.DUMMYFUNCTION("""COMPUTED_VALUE"""),"BN JUAL BELI")</f>
        <v>BN JUAL BELI</v>
      </c>
      <c r="H7292" s="42">
        <f t="shared" si="1"/>
        <v>3085</v>
      </c>
    </row>
    <row r="7293" ht="22.5" customHeight="1">
      <c r="B7293" s="42" t="str">
        <f>IFERROR(__xludf.DUMMYFUNCTION("""COMPUTED_VALUE"""),"K/37/080925/1")</f>
        <v>K/37/080925/1</v>
      </c>
      <c r="C7293" s="42" t="str">
        <f>IFERROR(__xludf.DUMMYFUNCTION("""COMPUTED_VALUE"""),"M. 9466/JAGABAYA II")</f>
        <v>M. 9466/JAGABAYA II</v>
      </c>
      <c r="D7293" s="42"/>
      <c r="E7293" s="42"/>
      <c r="F7293" s="48" t="str">
        <f>IFERROR(__xludf.DUMMYFUNCTION("""COMPUTED_VALUE"""),"")</f>
        <v/>
      </c>
      <c r="G7293" s="42" t="str">
        <f>IFERROR(__xludf.DUMMYFUNCTION("""COMPUTED_VALUE"""),"BN JUAL BELI EL")</f>
        <v>BN JUAL BELI EL</v>
      </c>
      <c r="H7293" s="42">
        <f t="shared" si="1"/>
        <v>3085</v>
      </c>
    </row>
    <row r="7294" ht="22.5" customHeight="1">
      <c r="B7294" s="42" t="str">
        <f>IFERROR(__xludf.DUMMYFUNCTION("""COMPUTED_VALUE"""),"K/43/080925/1")</f>
        <v>K/43/080925/1</v>
      </c>
      <c r="C7294" s="42" t="str">
        <f>IFERROR(__xludf.DUMMYFUNCTION("""COMPUTED_VALUE"""),"NIBEL M. 18793/LABUHAN RATU RAYA")</f>
        <v>NIBEL M. 18793/LABUHAN RATU RAYA</v>
      </c>
      <c r="D7294" s="42" t="str">
        <f>IFERROR(__xludf.DUMMYFUNCTION("""COMPUTED_VALUE"""),"Berry")</f>
        <v>Berry</v>
      </c>
      <c r="E7294" s="42" t="str">
        <f>IFERROR(__xludf.DUMMYFUNCTION("""COMPUTED_VALUE"""),"DISERAHKAN")</f>
        <v>DISERAHKAN</v>
      </c>
      <c r="F7294" s="48">
        <f>IFERROR(__xludf.DUMMYFUNCTION("""COMPUTED_VALUE"""),45938.489114814816)</f>
        <v>45938.48911</v>
      </c>
      <c r="G7294" s="42" t="str">
        <f>IFERROR(__xludf.DUMMYFUNCTION("""COMPUTED_VALUE"""),"BN JUAL BELI EL")</f>
        <v>BN JUAL BELI EL</v>
      </c>
      <c r="H7294" s="42">
        <f t="shared" si="1"/>
        <v>3086</v>
      </c>
    </row>
    <row r="7295" ht="22.5" customHeight="1">
      <c r="B7295" s="42" t="str">
        <f>IFERROR(__xludf.DUMMYFUNCTION("""COMPUTED_VALUE"""),"K/44/080925/2")</f>
        <v>K/44/080925/2</v>
      </c>
      <c r="C7295" s="42" t="str">
        <f>IFERROR(__xludf.DUMMYFUNCTION("""COMPUTED_VALUE"""),"M. 2046/SUKARAME BARU")</f>
        <v>M. 2046/SUKARAME BARU</v>
      </c>
      <c r="D7295" s="42"/>
      <c r="E7295" s="42"/>
      <c r="F7295" s="48" t="str">
        <f>IFERROR(__xludf.DUMMYFUNCTION("""COMPUTED_VALUE"""),"")</f>
        <v/>
      </c>
      <c r="G7295" s="42" t="str">
        <f>IFERROR(__xludf.DUMMYFUNCTION("""COMPUTED_VALUE"""),"BN JUAL BELI EL")</f>
        <v>BN JUAL BELI EL</v>
      </c>
      <c r="H7295" s="42">
        <f t="shared" si="1"/>
        <v>3086</v>
      </c>
    </row>
    <row r="7296" ht="22.5" customHeight="1">
      <c r="B7296" s="42" t="str">
        <f>IFERROR(__xludf.DUMMYFUNCTION("""COMPUTED_VALUE"""),"K/46/080925/1")</f>
        <v>K/46/080925/1</v>
      </c>
      <c r="C7296" s="42" t="str">
        <f>IFERROR(__xludf.DUMMYFUNCTION("""COMPUTED_VALUE"""),"M 3685/ KETEGUHAN")</f>
        <v>M 3685/ KETEGUHAN</v>
      </c>
      <c r="D7296" s="42" t="str">
        <f>IFERROR(__xludf.DUMMYFUNCTION("""COMPUTED_VALUE"""),"Berry")</f>
        <v>Berry</v>
      </c>
      <c r="E7296" s="42" t="str">
        <f>IFERROR(__xludf.DUMMYFUNCTION("""COMPUTED_VALUE"""),"DISERAHKAN")</f>
        <v>DISERAHKAN</v>
      </c>
      <c r="F7296" s="48">
        <f>IFERROR(__xludf.DUMMYFUNCTION("""COMPUTED_VALUE"""),45938.495189375)</f>
        <v>45938.49519</v>
      </c>
      <c r="G7296" s="42" t="str">
        <f>IFERROR(__xludf.DUMMYFUNCTION("""COMPUTED_VALUE"""),"HAPUS BPHTB")</f>
        <v>HAPUS BPHTB</v>
      </c>
      <c r="H7296" s="42">
        <f t="shared" si="1"/>
        <v>3087</v>
      </c>
    </row>
    <row r="7297" ht="22.5" customHeight="1">
      <c r="B7297" s="42" t="str">
        <f>IFERROR(__xludf.DUMMYFUNCTION("""COMPUTED_VALUE"""),"K/47/080925/1")</f>
        <v>K/47/080925/1</v>
      </c>
      <c r="C7297" s="42" t="str">
        <f>IFERROR(__xludf.DUMMYFUNCTION("""COMPUTED_VALUE"""),"LUAS 240/ SUKARAME")</f>
        <v>LUAS 240/ SUKARAME</v>
      </c>
      <c r="D7297" s="42"/>
      <c r="E7297" s="42"/>
      <c r="F7297" s="48" t="str">
        <f>IFERROR(__xludf.DUMMYFUNCTION("""COMPUTED_VALUE"""),"")</f>
        <v/>
      </c>
      <c r="G7297" s="42" t="str">
        <f>IFERROR(__xludf.DUMMYFUNCTION("""COMPUTED_VALUE"""),"PENGUKURAN PERTAMA KALI")</f>
        <v>PENGUKURAN PERTAMA KALI</v>
      </c>
      <c r="H7297" s="42">
        <f t="shared" si="1"/>
        <v>3087</v>
      </c>
    </row>
    <row r="7298" ht="22.5" customHeight="1">
      <c r="B7298" s="42" t="str">
        <f>IFERROR(__xludf.DUMMYFUNCTION("""COMPUTED_VALUE"""),"K/48/080925/1")</f>
        <v>K/48/080925/1</v>
      </c>
      <c r="C7298" s="42" t="str">
        <f>IFERROR(__xludf.DUMMYFUNCTION("""COMPUTED_VALUE"""),"Nibel 2705/Langkapura	")</f>
        <v>Nibel 2705/Langkapura	</v>
      </c>
      <c r="D7298" s="42"/>
      <c r="E7298" s="42"/>
      <c r="F7298" s="48" t="str">
        <f>IFERROR(__xludf.DUMMYFUNCTION("""COMPUTED_VALUE"""),"")</f>
        <v/>
      </c>
      <c r="G7298" s="42" t="str">
        <f>IFERROR(__xludf.DUMMYFUNCTION("""COMPUTED_VALUE"""),"BN Jual Beli	")</f>
        <v>BN Jual Beli	</v>
      </c>
      <c r="H7298" s="42">
        <f t="shared" si="1"/>
        <v>3087</v>
      </c>
    </row>
    <row r="7299" ht="22.5" customHeight="1">
      <c r="B7299" s="42" t="str">
        <f>IFERROR(__xludf.DUMMYFUNCTION("""COMPUTED_VALUE"""),"K/49/080925/2")</f>
        <v>K/49/080925/2</v>
      </c>
      <c r="C7299" s="42" t="str">
        <f>IFERROR(__xludf.DUMMYFUNCTION("""COMPUTED_VALUE"""),"B. 345/Tanjung Gading	")</f>
        <v>B. 345/Tanjung Gading	</v>
      </c>
      <c r="D7299" s="42"/>
      <c r="E7299" s="42"/>
      <c r="F7299" s="48" t="str">
        <f>IFERROR(__xludf.DUMMYFUNCTION("""COMPUTED_VALUE"""),"")</f>
        <v/>
      </c>
      <c r="G7299" s="42" t="str">
        <f>IFERROR(__xludf.DUMMYFUNCTION("""COMPUTED_VALUE"""),"BN Jual Beli	")</f>
        <v>BN Jual Beli	</v>
      </c>
      <c r="H7299" s="42">
        <f t="shared" si="1"/>
        <v>3087</v>
      </c>
    </row>
    <row r="7300" ht="22.5" customHeight="1">
      <c r="B7300" s="42" t="str">
        <f>IFERROR(__xludf.DUMMYFUNCTION("""COMPUTED_VALUE"""),"K/35/080925/3")</f>
        <v>K/35/080925/3</v>
      </c>
      <c r="C7300" s="42" t="str">
        <f>IFERROR(__xludf.DUMMYFUNCTION("""COMPUTED_VALUE"""),"M 16492/ SUKABUMI")</f>
        <v>M 16492/ SUKABUMI</v>
      </c>
      <c r="D7300" s="42"/>
      <c r="E7300" s="42"/>
      <c r="F7300" s="48" t="str">
        <f>IFERROR(__xludf.DUMMYFUNCTION("""COMPUTED_VALUE"""),"")</f>
        <v/>
      </c>
      <c r="G7300" s="42" t="str">
        <f>IFERROR(__xludf.DUMMYFUNCTION("""COMPUTED_VALUE"""),"BN JUAL BELI")</f>
        <v>BN JUAL BELI</v>
      </c>
      <c r="H7300" s="42">
        <f t="shared" si="1"/>
        <v>3087</v>
      </c>
    </row>
    <row r="7301" ht="22.5" customHeight="1">
      <c r="B7301" s="42" t="str">
        <f>IFERROR(__xludf.DUMMYFUNCTION("""COMPUTED_VALUE"""),"K/34/080925/2")</f>
        <v>K/34/080925/2</v>
      </c>
      <c r="C7301" s="42" t="str">
        <f>IFERROR(__xludf.DUMMYFUNCTION("""COMPUTED_VALUE"""),"M 1065/ PEMATANG WANGI")</f>
        <v>M 1065/ PEMATANG WANGI</v>
      </c>
      <c r="D7301" s="42" t="str">
        <f>IFERROR(__xludf.DUMMYFUNCTION("""COMPUTED_VALUE"""),"Berry")</f>
        <v>Berry</v>
      </c>
      <c r="E7301" s="42" t="str">
        <f>IFERROR(__xludf.DUMMYFUNCTION("""COMPUTED_VALUE"""),"DISERAHKAN")</f>
        <v>DISERAHKAN</v>
      </c>
      <c r="F7301" s="48">
        <f>IFERROR(__xludf.DUMMYFUNCTION("""COMPUTED_VALUE"""),45951.46848984953)</f>
        <v>45951.46849</v>
      </c>
      <c r="G7301" s="42" t="str">
        <f>IFERROR(__xludf.DUMMYFUNCTION("""COMPUTED_VALUE"""),"BN JUAL BELI")</f>
        <v>BN JUAL BELI</v>
      </c>
      <c r="H7301" s="42">
        <f t="shared" si="1"/>
        <v>3088</v>
      </c>
    </row>
    <row r="7302" ht="22.5" customHeight="1">
      <c r="B7302" s="42" t="str">
        <f>IFERROR(__xludf.DUMMYFUNCTION("""COMPUTED_VALUE"""),"K/1/090925/1")</f>
        <v>K/1/090925/1</v>
      </c>
      <c r="C7302" s="42" t="str">
        <f>IFERROR(__xludf.DUMMYFUNCTION("""COMPUTED_VALUE"""),"M. 45/Kebon Jeruk	")</f>
        <v>M. 45/Kebon Jeruk	</v>
      </c>
      <c r="D7302" s="42"/>
      <c r="E7302" s="42"/>
      <c r="F7302" s="48" t="str">
        <f>IFERROR(__xludf.DUMMYFUNCTION("""COMPUTED_VALUE"""),"")</f>
        <v/>
      </c>
      <c r="G7302" s="42" t="str">
        <f>IFERROR(__xludf.DUMMYFUNCTION("""COMPUTED_VALUE"""),"SKPT	")</f>
        <v>SKPT	</v>
      </c>
      <c r="H7302" s="42">
        <f t="shared" si="1"/>
        <v>3088</v>
      </c>
    </row>
    <row r="7303" ht="22.5" customHeight="1">
      <c r="B7303" s="42" t="str">
        <f>IFERROR(__xludf.DUMMYFUNCTION("""COMPUTED_VALUE"""),"K/2/090925/1")</f>
        <v>K/2/090925/1</v>
      </c>
      <c r="C7303" s="42" t="str">
        <f>IFERROR(__xludf.DUMMYFUNCTION("""COMPUTED_VALUE"""),"M 1059/ KUPANG KOTA")</f>
        <v>M 1059/ KUPANG KOTA</v>
      </c>
      <c r="D7303" s="42"/>
      <c r="E7303" s="42"/>
      <c r="F7303" s="48" t="str">
        <f>IFERROR(__xludf.DUMMYFUNCTION("""COMPUTED_VALUE"""),"")</f>
        <v/>
      </c>
      <c r="G7303" s="42" t="str">
        <f>IFERROR(__xludf.DUMMYFUNCTION("""COMPUTED_VALUE"""),"ROYA")</f>
        <v>ROYA</v>
      </c>
      <c r="H7303" s="42">
        <f t="shared" si="1"/>
        <v>3088</v>
      </c>
    </row>
    <row r="7304" ht="22.5" customHeight="1">
      <c r="B7304" s="42" t="str">
        <f>IFERROR(__xludf.DUMMYFUNCTION("""COMPUTED_VALUE"""),"L/3/090925/1")</f>
        <v>L/3/090925/1</v>
      </c>
      <c r="C7304" s="42" t="str">
        <f>IFERROR(__xludf.DUMMYFUNCTION("""COMPUTED_VALUE"""),"M. 541/RAJABASA NUNYAI")</f>
        <v>M. 541/RAJABASA NUNYAI</v>
      </c>
      <c r="D7304" s="42"/>
      <c r="E7304" s="42"/>
      <c r="F7304" s="48" t="str">
        <f>IFERROR(__xludf.DUMMYFUNCTION("""COMPUTED_VALUE"""),"")</f>
        <v/>
      </c>
      <c r="G7304" s="42" t="str">
        <f>IFERROR(__xludf.DUMMYFUNCTION("""COMPUTED_VALUE"""),"BN WARIS")</f>
        <v>BN WARIS</v>
      </c>
      <c r="H7304" s="42">
        <f t="shared" si="1"/>
        <v>3088</v>
      </c>
    </row>
    <row r="7305" ht="22.5" customHeight="1">
      <c r="B7305" s="42" t="str">
        <f>IFERROR(__xludf.DUMMYFUNCTION("""COMPUTED_VALUE"""),"L/4/090925/1")</f>
        <v>L/4/090925/1</v>
      </c>
      <c r="C7305" s="42" t="str">
        <f>IFERROR(__xludf.DUMMYFUNCTION("""COMPUTED_VALUE"""),"M. 2449/CAMPANG RAYA")</f>
        <v>M. 2449/CAMPANG RAYA</v>
      </c>
      <c r="D7305" s="42"/>
      <c r="E7305" s="42"/>
      <c r="F7305" s="48" t="str">
        <f>IFERROR(__xludf.DUMMYFUNCTION("""COMPUTED_VALUE"""),"")</f>
        <v/>
      </c>
      <c r="G7305" s="42" t="str">
        <f>IFERROR(__xludf.DUMMYFUNCTION("""COMPUTED_VALUE"""),"ROYA")</f>
        <v>ROYA</v>
      </c>
      <c r="H7305" s="42">
        <f t="shared" si="1"/>
        <v>3088</v>
      </c>
    </row>
    <row r="7306" ht="22.5" customHeight="1">
      <c r="B7306" s="42" t="str">
        <f>IFERROR(__xludf.DUMMYFUNCTION("""COMPUTED_VALUE"""),"L/5/090925/1")</f>
        <v>L/5/090925/1</v>
      </c>
      <c r="C7306" s="42" t="str">
        <f>IFERROR(__xludf.DUMMYFUNCTION("""COMPUTED_VALUE"""),"B NIB. 12203/SUKABUMI")</f>
        <v>B NIB. 12203/SUKABUMI</v>
      </c>
      <c r="D7306" s="42"/>
      <c r="E7306" s="42"/>
      <c r="F7306" s="48" t="str">
        <f>IFERROR(__xludf.DUMMYFUNCTION("""COMPUTED_VALUE"""),"")</f>
        <v/>
      </c>
      <c r="G7306" s="42" t="str">
        <f>IFERROR(__xludf.DUMMYFUNCTION("""COMPUTED_VALUE"""),"SKPT INFORMASI")</f>
        <v>SKPT INFORMASI</v>
      </c>
      <c r="H7306" s="42">
        <f t="shared" si="1"/>
        <v>3088</v>
      </c>
    </row>
    <row r="7307" ht="22.5" customHeight="1">
      <c r="B7307" s="42" t="str">
        <f>IFERROR(__xludf.DUMMYFUNCTION("""COMPUTED_VALUE"""),"K/45/080925/3")</f>
        <v>K/45/080925/3</v>
      </c>
      <c r="C7307" s="42" t="str">
        <f>IFERROR(__xludf.DUMMYFUNCTION("""COMPUTED_VALUE"""),"NIBEL M. 20707/RAJABASA")</f>
        <v>NIBEL M. 20707/RAJABASA</v>
      </c>
      <c r="D7307" s="42"/>
      <c r="E7307" s="42"/>
      <c r="F7307" s="48" t="str">
        <f>IFERROR(__xludf.DUMMYFUNCTION("""COMPUTED_VALUE"""),"")</f>
        <v/>
      </c>
      <c r="G7307" s="42" t="str">
        <f>IFERROR(__xludf.DUMMYFUNCTION("""COMPUTED_VALUE"""),"BN JUAL BELI EL")</f>
        <v>BN JUAL BELI EL</v>
      </c>
      <c r="H7307" s="42">
        <f t="shared" si="1"/>
        <v>3088</v>
      </c>
    </row>
    <row r="7308" ht="22.5" customHeight="1">
      <c r="B7308" s="42" t="str">
        <f>IFERROR(__xludf.DUMMYFUNCTION("""COMPUTED_VALUE"""),"L/7/090925/1")</f>
        <v>L/7/090925/1</v>
      </c>
      <c r="C7308" s="42" t="str">
        <f>IFERROR(__xludf.DUMMYFUNCTION("""COMPUTED_VALUE"""),"M. 869/PERUMNAS WAY HALIM")</f>
        <v>M. 869/PERUMNAS WAY HALIM</v>
      </c>
      <c r="D7308" s="42"/>
      <c r="E7308" s="42"/>
      <c r="F7308" s="48" t="str">
        <f>IFERROR(__xludf.DUMMYFUNCTION("""COMPUTED_VALUE"""),"")</f>
        <v/>
      </c>
      <c r="G7308" s="42" t="str">
        <f>IFERROR(__xludf.DUMMYFUNCTION("""COMPUTED_VALUE"""),"BN HIBAH")</f>
        <v>BN HIBAH</v>
      </c>
      <c r="H7308" s="42">
        <f t="shared" si="1"/>
        <v>3088</v>
      </c>
    </row>
    <row r="7309" ht="22.5" customHeight="1">
      <c r="B7309" s="42" t="str">
        <f>IFERROR(__xludf.DUMMYFUNCTION("""COMPUTED_VALUE"""),"K/6/090925/1")</f>
        <v>K/6/090925/1</v>
      </c>
      <c r="C7309" s="42" t="str">
        <f>IFERROR(__xludf.DUMMYFUNCTION("""COMPUTED_VALUE"""),"M. 653/WAY HALIM PERMAI")</f>
        <v>M. 653/WAY HALIM PERMAI</v>
      </c>
      <c r="D7309" s="42"/>
      <c r="E7309" s="42"/>
      <c r="F7309" s="48" t="str">
        <f>IFERROR(__xludf.DUMMYFUNCTION("""COMPUTED_VALUE"""),"")</f>
        <v/>
      </c>
      <c r="G7309" s="42" t="str">
        <f>IFERROR(__xludf.DUMMYFUNCTION("""COMPUTED_VALUE"""),"BN JUAL BELI EL")</f>
        <v>BN JUAL BELI EL</v>
      </c>
      <c r="H7309" s="42">
        <f t="shared" si="1"/>
        <v>3088</v>
      </c>
    </row>
    <row r="7310" ht="22.5" customHeight="1">
      <c r="B7310" s="42" t="str">
        <f>IFERROR(__xludf.DUMMYFUNCTION("""COMPUTED_VALUE"""),"K/8/090925/1")</f>
        <v>K/8/090925/1</v>
      </c>
      <c r="C7310" s="42" t="str">
        <f>IFERROR(__xludf.DUMMYFUNCTION("""COMPUTED_VALUE"""),"M. 2810/Sukadana Ham	")</f>
        <v>M. 2810/Sukadana Ham	</v>
      </c>
      <c r="D7310" s="42" t="str">
        <f>IFERROR(__xludf.DUMMYFUNCTION("""COMPUTED_VALUE"""),"Berry")</f>
        <v>Berry</v>
      </c>
      <c r="E7310" s="42" t="str">
        <f>IFERROR(__xludf.DUMMYFUNCTION("""COMPUTED_VALUE"""),"DISERAHKAN")</f>
        <v>DISERAHKAN</v>
      </c>
      <c r="F7310" s="48">
        <f>IFERROR(__xludf.DUMMYFUNCTION("""COMPUTED_VALUE"""),45945.68093608796)</f>
        <v>45945.68094</v>
      </c>
      <c r="G7310" s="42" t="str">
        <f>IFERROR(__xludf.DUMMYFUNCTION("""COMPUTED_VALUE"""),"BN Jual Beli	")</f>
        <v>BN Jual Beli	</v>
      </c>
      <c r="H7310" s="42">
        <f t="shared" si="1"/>
        <v>3089</v>
      </c>
    </row>
    <row r="7311" ht="22.5" customHeight="1">
      <c r="B7311" s="42" t="str">
        <f>IFERROR(__xludf.DUMMYFUNCTION("""COMPUTED_VALUE"""),"L/11/090925/1")</f>
        <v>L/11/090925/1</v>
      </c>
      <c r="C7311" s="42" t="str">
        <f>IFERROR(__xludf.DUMMYFUNCTION("""COMPUTED_VALUE"""),"M. 2984/GUNUNG TERANG")</f>
        <v>M. 2984/GUNUNG TERANG</v>
      </c>
      <c r="D7311" s="42" t="str">
        <f>IFERROR(__xludf.DUMMYFUNCTION("""COMPUTED_VALUE"""),"David")</f>
        <v>David</v>
      </c>
      <c r="E7311" s="42" t="str">
        <f>IFERROR(__xludf.DUMMYFUNCTION("""COMPUTED_VALUE"""),"DISERAHKAN")</f>
        <v>DISERAHKAN</v>
      </c>
      <c r="F7311" s="48">
        <f>IFERROR(__xludf.DUMMYFUNCTION("""COMPUTED_VALUE"""),45957.493790231485)</f>
        <v>45957.49379</v>
      </c>
      <c r="G7311" s="42" t="str">
        <f>IFERROR(__xludf.DUMMYFUNCTION("""COMPUTED_VALUE"""),"HAPUS BPHTB")</f>
        <v>HAPUS BPHTB</v>
      </c>
      <c r="H7311" s="42">
        <f t="shared" si="1"/>
        <v>3090</v>
      </c>
    </row>
    <row r="7312" ht="22.5" customHeight="1">
      <c r="B7312" s="42" t="str">
        <f>IFERROR(__xludf.DUMMYFUNCTION("""COMPUTED_VALUE"""),"K/13/090925/2")</f>
        <v>K/13/090925/2</v>
      </c>
      <c r="C7312" s="42" t="str">
        <f>IFERROR(__xludf.DUMMYFUNCTION("""COMPUTED_VALUE"""),"Nibel 19083/Gunung Agung	")</f>
        <v>Nibel 19083/Gunung Agung	</v>
      </c>
      <c r="D7312" s="42"/>
      <c r="E7312" s="42"/>
      <c r="F7312" s="48" t="str">
        <f>IFERROR(__xludf.DUMMYFUNCTION("""COMPUTED_VALUE"""),"")</f>
        <v/>
      </c>
      <c r="G7312" s="42" t="str">
        <f>IFERROR(__xludf.DUMMYFUNCTION("""COMPUTED_VALUE"""),"BN Jual Beli	")</f>
        <v>BN Jual Beli	</v>
      </c>
      <c r="H7312" s="42">
        <f t="shared" si="1"/>
        <v>3090</v>
      </c>
    </row>
    <row r="7313" ht="22.5" customHeight="1">
      <c r="B7313" s="42" t="str">
        <f>IFERROR(__xludf.DUMMYFUNCTION("""COMPUTED_VALUE"""),"L/14/090925/1")</f>
        <v>L/14/090925/1</v>
      </c>
      <c r="C7313" s="42" t="str">
        <f>IFERROR(__xludf.DUMMYFUNCTION("""COMPUTED_VALUE"""),"M. 1719/SUKARAME II")</f>
        <v>M. 1719/SUKARAME II</v>
      </c>
      <c r="D7313" s="42"/>
      <c r="E7313" s="42"/>
      <c r="F7313" s="48" t="str">
        <f>IFERROR(__xludf.DUMMYFUNCTION("""COMPUTED_VALUE"""),"")</f>
        <v/>
      </c>
      <c r="G7313" s="42" t="str">
        <f>IFERROR(__xludf.DUMMYFUNCTION("""COMPUTED_VALUE"""),"BN WARIS")</f>
        <v>BN WARIS</v>
      </c>
      <c r="H7313" s="42">
        <f t="shared" si="1"/>
        <v>3090</v>
      </c>
    </row>
    <row r="7314" ht="22.5" customHeight="1">
      <c r="B7314" s="42" t="str">
        <f>IFERROR(__xludf.DUMMYFUNCTION("""COMPUTED_VALUE"""),"K/10/090925/1")</f>
        <v>K/10/090925/1</v>
      </c>
      <c r="C7314" s="42" t="str">
        <f>IFERROR(__xludf.DUMMYFUNCTION("""COMPUTED_VALUE"""),"NIBEL M 22026/ SIDODADI")</f>
        <v>NIBEL M 22026/ SIDODADI</v>
      </c>
      <c r="D7314" s="42"/>
      <c r="E7314" s="42"/>
      <c r="F7314" s="48" t="str">
        <f>IFERROR(__xludf.DUMMYFUNCTION("""COMPUTED_VALUE"""),"")</f>
        <v/>
      </c>
      <c r="G7314" s="42" t="str">
        <f>IFERROR(__xludf.DUMMYFUNCTION("""COMPUTED_VALUE"""),"BN JUAL BELI")</f>
        <v>BN JUAL BELI</v>
      </c>
      <c r="H7314" s="42">
        <f t="shared" si="1"/>
        <v>3090</v>
      </c>
    </row>
    <row r="7315" ht="22.5" customHeight="1">
      <c r="B7315" s="42" t="str">
        <f>IFERROR(__xludf.DUMMYFUNCTION("""COMPUTED_VALUE"""),"K/15/090925/2")</f>
        <v>K/15/090925/2</v>
      </c>
      <c r="C7315" s="42" t="str">
        <f>IFERROR(__xludf.DUMMYFUNCTION("""COMPUTED_VALUE"""),"M 1100/ PINANG JAYA")</f>
        <v>M 1100/ PINANG JAYA</v>
      </c>
      <c r="D7315" s="42"/>
      <c r="E7315" s="42"/>
      <c r="F7315" s="48" t="str">
        <f>IFERROR(__xludf.DUMMYFUNCTION("""COMPUTED_VALUE"""),"")</f>
        <v/>
      </c>
      <c r="G7315" s="42" t="str">
        <f>IFERROR(__xludf.DUMMYFUNCTION("""COMPUTED_VALUE"""),"BN JUAL BELI")</f>
        <v>BN JUAL BELI</v>
      </c>
      <c r="H7315" s="42">
        <f t="shared" si="1"/>
        <v>3090</v>
      </c>
    </row>
    <row r="7316" ht="22.5" customHeight="1">
      <c r="B7316" s="42" t="str">
        <f>IFERROR(__xludf.DUMMYFUNCTION("""COMPUTED_VALUE"""),"L/16/090925/1")</f>
        <v>L/16/090925/1</v>
      </c>
      <c r="C7316" s="42" t="str">
        <f>IFERROR(__xludf.DUMMYFUNCTION("""COMPUTED_VALUE"""),"SHM. 4346/WAY KANDIS")</f>
        <v>SHM. 4346/WAY KANDIS</v>
      </c>
      <c r="D7316" s="42" t="str">
        <f>IFERROR(__xludf.DUMMYFUNCTION("""COMPUTED_VALUE"""),"David")</f>
        <v>David</v>
      </c>
      <c r="E7316" s="42" t="str">
        <f>IFERROR(__xludf.DUMMYFUNCTION("""COMPUTED_VALUE"""),"DISERAHKAN")</f>
        <v>DISERAHKAN</v>
      </c>
      <c r="F7316" s="48">
        <f>IFERROR(__xludf.DUMMYFUNCTION("""COMPUTED_VALUE"""),45945.626590949076)</f>
        <v>45945.62659</v>
      </c>
      <c r="G7316" s="42" t="str">
        <f>IFERROR(__xludf.DUMMYFUNCTION("""COMPUTED_VALUE"""),"PEMECAHAN")</f>
        <v>PEMECAHAN</v>
      </c>
      <c r="H7316" s="42">
        <f t="shared" si="1"/>
        <v>3091</v>
      </c>
    </row>
    <row r="7317" ht="22.5" customHeight="1">
      <c r="B7317" s="42" t="str">
        <f>IFERROR(__xludf.DUMMYFUNCTION("""COMPUTED_VALUE"""),"L/22/090925/1")</f>
        <v>L/22/090925/1</v>
      </c>
      <c r="C7317" s="42" t="str">
        <f>IFERROR(__xludf.DUMMYFUNCTION("""COMPUTED_VALUE"""),"M. 4505/TANJUNG SENANG")</f>
        <v>M. 4505/TANJUNG SENANG</v>
      </c>
      <c r="D7317" s="42"/>
      <c r="E7317" s="42"/>
      <c r="F7317" s="48" t="str">
        <f>IFERROR(__xludf.DUMMYFUNCTION("""COMPUTED_VALUE"""),"")</f>
        <v/>
      </c>
      <c r="G7317" s="42" t="str">
        <f>IFERROR(__xludf.DUMMYFUNCTION("""COMPUTED_VALUE"""),"ROYA")</f>
        <v>ROYA</v>
      </c>
      <c r="H7317" s="42">
        <f t="shared" si="1"/>
        <v>3091</v>
      </c>
    </row>
    <row r="7318" ht="22.5" customHeight="1">
      <c r="B7318" s="42" t="str">
        <f>IFERROR(__xludf.DUMMYFUNCTION("""COMPUTED_VALUE"""),"K/17/090925/1")</f>
        <v>K/17/090925/1</v>
      </c>
      <c r="C7318" s="42" t="str">
        <f>IFERROR(__xludf.DUMMYFUNCTION("""COMPUTED_VALUE"""),"B 5646/ BERINGIN RAYA")</f>
        <v>B 5646/ BERINGIN RAYA</v>
      </c>
      <c r="D7318" s="42"/>
      <c r="E7318" s="42"/>
      <c r="F7318" s="48" t="str">
        <f>IFERROR(__xludf.DUMMYFUNCTION("""COMPUTED_VALUE"""),"")</f>
        <v/>
      </c>
      <c r="G7318" s="42" t="str">
        <f>IFERROR(__xludf.DUMMYFUNCTION("""COMPUTED_VALUE"""),"BN WARIS")</f>
        <v>BN WARIS</v>
      </c>
      <c r="H7318" s="42">
        <f t="shared" si="1"/>
        <v>3091</v>
      </c>
    </row>
    <row r="7319" ht="22.5" customHeight="1">
      <c r="B7319" s="42" t="str">
        <f>IFERROR(__xludf.DUMMYFUNCTION("""COMPUTED_VALUE"""),"K/18/090925/2")</f>
        <v>K/18/090925/2</v>
      </c>
      <c r="C7319" s="42" t="str">
        <f>IFERROR(__xludf.DUMMYFUNCTION("""COMPUTED_VALUE"""),"M 9531/ KAMPUNG BARU")</f>
        <v>M 9531/ KAMPUNG BARU</v>
      </c>
      <c r="D7319" s="42"/>
      <c r="E7319" s="42"/>
      <c r="F7319" s="48" t="str">
        <f>IFERROR(__xludf.DUMMYFUNCTION("""COMPUTED_VALUE"""),"")</f>
        <v/>
      </c>
      <c r="G7319" s="42" t="str">
        <f>IFERROR(__xludf.DUMMYFUNCTION("""COMPUTED_VALUE"""),"BN JUAL BELI")</f>
        <v>BN JUAL BELI</v>
      </c>
      <c r="H7319" s="42">
        <f t="shared" si="1"/>
        <v>3091</v>
      </c>
    </row>
    <row r="7320" ht="22.5" customHeight="1">
      <c r="B7320" s="42" t="str">
        <f>IFERROR(__xludf.DUMMYFUNCTION("""COMPUTED_VALUE"""),"K/24/090925/2")</f>
        <v>K/24/090925/2</v>
      </c>
      <c r="C7320" s="42" t="str">
        <f>IFERROR(__xludf.DUMMYFUNCTION("""COMPUTED_VALUE"""),"Tanah Mentah Selvia Heryani	")</f>
        <v>Tanah Mentah Selvia Heryani	</v>
      </c>
      <c r="D7320" s="42" t="str">
        <f>IFERROR(__xludf.DUMMYFUNCTION("""COMPUTED_VALUE"""),"David")</f>
        <v>David</v>
      </c>
      <c r="E7320" s="42" t="str">
        <f>IFERROR(__xludf.DUMMYFUNCTION("""COMPUTED_VALUE"""),"DISERAHKAN")</f>
        <v>DISERAHKAN</v>
      </c>
      <c r="F7320" s="48">
        <f>IFERROR(__xludf.DUMMYFUNCTION("""COMPUTED_VALUE"""),45945.626913518514)</f>
        <v>45945.62691</v>
      </c>
      <c r="G7320" s="42" t="str">
        <f>IFERROR(__xludf.DUMMYFUNCTION("""COMPUTED_VALUE"""),"Pengukuran Pertama Kali	")</f>
        <v>Pengukuran Pertama Kali	</v>
      </c>
      <c r="H7320" s="42">
        <f t="shared" si="1"/>
        <v>3092</v>
      </c>
    </row>
    <row r="7321" ht="22.5" customHeight="1">
      <c r="B7321" s="42" t="str">
        <f>IFERROR(__xludf.DUMMYFUNCTION("""COMPUTED_VALUE"""),"K/19/090925/3")</f>
        <v>K/19/090925/3</v>
      </c>
      <c r="C7321" s="42" t="str">
        <f>IFERROR(__xludf.DUMMYFUNCTION("""COMPUTED_VALUE"""),"NIBEL M 376/ GUNUNG SULAH")</f>
        <v>NIBEL M 376/ GUNUNG SULAH</v>
      </c>
      <c r="D7321" s="42"/>
      <c r="E7321" s="42"/>
      <c r="F7321" s="48" t="str">
        <f>IFERROR(__xludf.DUMMYFUNCTION("""COMPUTED_VALUE"""),"")</f>
        <v/>
      </c>
      <c r="G7321" s="42" t="str">
        <f>IFERROR(__xludf.DUMMYFUNCTION("""COMPUTED_VALUE"""),"BN JUAL BELI")</f>
        <v>BN JUAL BELI</v>
      </c>
      <c r="H7321" s="42">
        <f t="shared" si="1"/>
        <v>3092</v>
      </c>
    </row>
    <row r="7322" ht="22.5" customHeight="1">
      <c r="B7322" s="42" t="str">
        <f>IFERROR(__xludf.DUMMYFUNCTION("""COMPUTED_VALUE"""),"L/25/090925/1")</f>
        <v>L/25/090925/1</v>
      </c>
      <c r="C7322" s="42" t="str">
        <f>IFERROR(__xludf.DUMMYFUNCTION("""COMPUTED_VALUE"""),"M. 9086/KEDATON")</f>
        <v>M. 9086/KEDATON</v>
      </c>
      <c r="D7322" s="42"/>
      <c r="E7322" s="42"/>
      <c r="F7322" s="48" t="str">
        <f>IFERROR(__xludf.DUMMYFUNCTION("""COMPUTED_VALUE"""),"")</f>
        <v/>
      </c>
      <c r="G7322" s="42" t="str">
        <f>IFERROR(__xludf.DUMMYFUNCTION("""COMPUTED_VALUE"""),"ROYA")</f>
        <v>ROYA</v>
      </c>
      <c r="H7322" s="42">
        <f t="shared" si="1"/>
        <v>3092</v>
      </c>
    </row>
    <row r="7323" ht="22.5" customHeight="1">
      <c r="B7323" s="42" t="str">
        <f>IFERROR(__xludf.DUMMYFUNCTION("""COMPUTED_VALUE"""),"K/20/090925/4")</f>
        <v>K/20/090925/4</v>
      </c>
      <c r="C7323" s="42" t="str">
        <f>IFERROR(__xludf.DUMMYFUNCTION("""COMPUTED_VALUE"""),"NIBEL M 377/ GUNUNG SULAH")</f>
        <v>NIBEL M 377/ GUNUNG SULAH</v>
      </c>
      <c r="D7323" s="42" t="str">
        <f>IFERROR(__xludf.DUMMYFUNCTION("""COMPUTED_VALUE"""),"David")</f>
        <v>David</v>
      </c>
      <c r="E7323" s="42" t="str">
        <f>IFERROR(__xludf.DUMMYFUNCTION("""COMPUTED_VALUE"""),"DISERAHKAN")</f>
        <v>DISERAHKAN</v>
      </c>
      <c r="F7323" s="48">
        <f>IFERROR(__xludf.DUMMYFUNCTION("""COMPUTED_VALUE"""),45929.60096372685)</f>
        <v>45929.60096</v>
      </c>
      <c r="G7323" s="42" t="str">
        <f>IFERROR(__xludf.DUMMYFUNCTION("""COMPUTED_VALUE"""),"BN JUAL BELI")</f>
        <v>BN JUAL BELI</v>
      </c>
      <c r="H7323" s="42">
        <f t="shared" si="1"/>
        <v>3093</v>
      </c>
    </row>
    <row r="7324" ht="22.5" customHeight="1">
      <c r="B7324" s="42" t="str">
        <f>IFERROR(__xludf.DUMMYFUNCTION("""COMPUTED_VALUE"""),"K/21/090925/5")</f>
        <v>K/21/090925/5</v>
      </c>
      <c r="C7324" s="42" t="str">
        <f>IFERROR(__xludf.DUMMYFUNCTION("""COMPUTED_VALUE"""),"NIBEL M 22767/ GUNUNG SULAH")</f>
        <v>NIBEL M 22767/ GUNUNG SULAH</v>
      </c>
      <c r="D7324" s="42"/>
      <c r="E7324" s="42"/>
      <c r="F7324" s="48" t="str">
        <f>IFERROR(__xludf.DUMMYFUNCTION("""COMPUTED_VALUE"""),"")</f>
        <v/>
      </c>
      <c r="G7324" s="42" t="str">
        <f>IFERROR(__xludf.DUMMYFUNCTION("""COMPUTED_VALUE"""),"BN JUAL BELI")</f>
        <v>BN JUAL BELI</v>
      </c>
      <c r="H7324" s="42">
        <f t="shared" si="1"/>
        <v>3093</v>
      </c>
    </row>
    <row r="7325" ht="22.5" customHeight="1">
      <c r="B7325" s="42" t="str">
        <f>IFERROR(__xludf.DUMMYFUNCTION("""COMPUTED_VALUE"""),"L/27/090925/1")</f>
        <v>L/27/090925/1</v>
      </c>
      <c r="C7325" s="42" t="str">
        <f>IFERROR(__xludf.DUMMYFUNCTION("""COMPUTED_VALUE"""),"B. 1956/SUKABUMI")</f>
        <v>B. 1956/SUKABUMI</v>
      </c>
      <c r="D7325" s="42"/>
      <c r="E7325" s="42"/>
      <c r="F7325" s="48" t="str">
        <f>IFERROR(__xludf.DUMMYFUNCTION("""COMPUTED_VALUE"""),"")</f>
        <v/>
      </c>
      <c r="G7325" s="42" t="str">
        <f>IFERROR(__xludf.DUMMYFUNCTION("""COMPUTED_VALUE"""),"PENINGKATAN HAK")</f>
        <v>PENINGKATAN HAK</v>
      </c>
      <c r="H7325" s="42">
        <f t="shared" si="1"/>
        <v>3093</v>
      </c>
    </row>
    <row r="7326" ht="22.5" customHeight="1">
      <c r="B7326" s="42" t="str">
        <f>IFERROR(__xludf.DUMMYFUNCTION("""COMPUTED_VALUE"""),"K/28/090925/1")</f>
        <v>K/28/090925/1</v>
      </c>
      <c r="C7326" s="42" t="str">
        <f>IFERROR(__xludf.DUMMYFUNCTION("""COMPUTED_VALUE"""),"M 1427/ BERINGIN RAYA")</f>
        <v>M 1427/ BERINGIN RAYA</v>
      </c>
      <c r="D7326" s="42"/>
      <c r="E7326" s="42"/>
      <c r="F7326" s="48" t="str">
        <f>IFERROR(__xludf.DUMMYFUNCTION("""COMPUTED_VALUE"""),"")</f>
        <v/>
      </c>
      <c r="G7326" s="42" t="str">
        <f>IFERROR(__xludf.DUMMYFUNCTION("""COMPUTED_VALUE"""),"BN JUAL BELI")</f>
        <v>BN JUAL BELI</v>
      </c>
      <c r="H7326" s="42">
        <f t="shared" si="1"/>
        <v>3093</v>
      </c>
    </row>
    <row r="7327" ht="22.5" customHeight="1">
      <c r="B7327" s="42" t="str">
        <f>IFERROR(__xludf.DUMMYFUNCTION("""COMPUTED_VALUE"""),"K/26/090925/1")</f>
        <v>K/26/090925/1</v>
      </c>
      <c r="C7327" s="42" t="str">
        <f>IFERROR(__xludf.DUMMYFUNCTION("""COMPUTED_VALUE"""),"NIBEL M.17674/WAY KANDIS")</f>
        <v>NIBEL M.17674/WAY KANDIS</v>
      </c>
      <c r="D7327" s="42" t="str">
        <f>IFERROR(__xludf.DUMMYFUNCTION("""COMPUTED_VALUE"""),"David")</f>
        <v>David</v>
      </c>
      <c r="E7327" s="42" t="str">
        <f>IFERROR(__xludf.DUMMYFUNCTION("""COMPUTED_VALUE"""),"DISERAHKAN")</f>
        <v>DISERAHKAN</v>
      </c>
      <c r="F7327" s="48">
        <f>IFERROR(__xludf.DUMMYFUNCTION("""COMPUTED_VALUE"""),45957.49318780092)</f>
        <v>45957.49319</v>
      </c>
      <c r="G7327" s="42" t="str">
        <f>IFERROR(__xludf.DUMMYFUNCTION("""COMPUTED_VALUE"""),"BN JUAL BELI EL")</f>
        <v>BN JUAL BELI EL</v>
      </c>
      <c r="H7327" s="42">
        <f t="shared" si="1"/>
        <v>3094</v>
      </c>
    </row>
    <row r="7328" ht="22.5" customHeight="1">
      <c r="B7328" s="42" t="str">
        <f>IFERROR(__xludf.DUMMYFUNCTION("""COMPUTED_VALUE"""),"K/29/090925/1")</f>
        <v>K/29/090925/1</v>
      </c>
      <c r="C7328" s="42" t="str">
        <f>IFERROR(__xludf.DUMMYFUNCTION("""COMPUTED_VALUE"""),"B. 3304/SUKABUMI")</f>
        <v>B. 3304/SUKABUMI</v>
      </c>
      <c r="D7328" s="42"/>
      <c r="E7328" s="42"/>
      <c r="F7328" s="48" t="str">
        <f>IFERROR(__xludf.DUMMYFUNCTION("""COMPUTED_VALUE"""),"")</f>
        <v/>
      </c>
      <c r="G7328" s="42" t="str">
        <f>IFERROR(__xludf.DUMMYFUNCTION("""COMPUTED_VALUE"""),"PERUBAHAN HAK")</f>
        <v>PERUBAHAN HAK</v>
      </c>
      <c r="H7328" s="42">
        <f t="shared" si="1"/>
        <v>3094</v>
      </c>
    </row>
    <row r="7329" ht="22.5" customHeight="1">
      <c r="B7329" s="42" t="str">
        <f>IFERROR(__xludf.DUMMYFUNCTION("""COMPUTED_VALUE"""),"K/31/090925/1")</f>
        <v>K/31/090925/1</v>
      </c>
      <c r="C7329" s="42" t="str">
        <f>IFERROR(__xludf.DUMMYFUNCTION("""COMPUTED_VALUE"""),"M 2342/ SEPANG JAYA")</f>
        <v>M 2342/ SEPANG JAYA</v>
      </c>
      <c r="D7329" s="42"/>
      <c r="E7329" s="42"/>
      <c r="F7329" s="48" t="str">
        <f>IFERROR(__xludf.DUMMYFUNCTION("""COMPUTED_VALUE"""),"")</f>
        <v/>
      </c>
      <c r="G7329" s="42" t="str">
        <f>IFERROR(__xludf.DUMMYFUNCTION("""COMPUTED_VALUE"""),"BN JUAL BELI")</f>
        <v>BN JUAL BELI</v>
      </c>
      <c r="H7329" s="42">
        <f t="shared" si="1"/>
        <v>3094</v>
      </c>
    </row>
    <row r="7330" ht="22.5" customHeight="1">
      <c r="B7330" s="42" t="str">
        <f>IFERROR(__xludf.DUMMYFUNCTION("""COMPUTED_VALUE"""),"K/30/090925/1")</f>
        <v>K/30/090925/1</v>
      </c>
      <c r="C7330" s="42" t="str">
        <f>IFERROR(__xludf.DUMMYFUNCTION("""COMPUTED_VALUE"""),"M. 9727/Kampung Baru	")</f>
        <v>M. 9727/Kampung Baru	</v>
      </c>
      <c r="D7330" s="42" t="str">
        <f>IFERROR(__xludf.DUMMYFUNCTION("""COMPUTED_VALUE"""),"Berry")</f>
        <v>Berry</v>
      </c>
      <c r="E7330" s="42" t="str">
        <f>IFERROR(__xludf.DUMMYFUNCTION("""COMPUTED_VALUE"""),"DISERAHKAN")</f>
        <v>DISERAHKAN</v>
      </c>
      <c r="F7330" s="48">
        <f>IFERROR(__xludf.DUMMYFUNCTION("""COMPUTED_VALUE"""),45996.58962533565)</f>
        <v>45996.58963</v>
      </c>
      <c r="G7330" s="42" t="str">
        <f>IFERROR(__xludf.DUMMYFUNCTION("""COMPUTED_VALUE"""),"BN Jual Beli	")</f>
        <v>BN Jual Beli	</v>
      </c>
      <c r="H7330" s="42">
        <f t="shared" si="1"/>
        <v>3095</v>
      </c>
    </row>
    <row r="7331" ht="22.5" customHeight="1">
      <c r="B7331" s="42" t="str">
        <f>IFERROR(__xludf.DUMMYFUNCTION("""COMPUTED_VALUE"""),"K/33/090925/1")</f>
        <v>K/33/090925/1</v>
      </c>
      <c r="C7331" s="42" t="str">
        <f>IFERROR(__xludf.DUMMYFUNCTION("""COMPUTED_VALUE"""),"Nibel 21156/Sidodadi	")</f>
        <v>Nibel 21156/Sidodadi	</v>
      </c>
      <c r="D7331" s="42"/>
      <c r="E7331" s="42"/>
      <c r="F7331" s="48" t="str">
        <f>IFERROR(__xludf.DUMMYFUNCTION("""COMPUTED_VALUE"""),"")</f>
        <v/>
      </c>
      <c r="G7331" s="42" t="str">
        <f>IFERROR(__xludf.DUMMYFUNCTION("""COMPUTED_VALUE"""),"BN Jual Beli	")</f>
        <v>BN Jual Beli	</v>
      </c>
      <c r="H7331" s="42">
        <f t="shared" si="1"/>
        <v>3095</v>
      </c>
    </row>
    <row r="7332" ht="22.5" customHeight="1">
      <c r="B7332" s="42" t="str">
        <f>IFERROR(__xludf.DUMMYFUNCTION("""COMPUTED_VALUE"""),"K/20/250825/4")</f>
        <v>K/20/250825/4</v>
      </c>
      <c r="C7332" s="42" t="str">
        <f>IFERROR(__xludf.DUMMYFUNCTION("""COMPUTED_VALUE"""),"Nibel 18181/Sidodadi	")</f>
        <v>Nibel 18181/Sidodadi	</v>
      </c>
      <c r="D7332" s="42"/>
      <c r="E7332" s="42"/>
      <c r="F7332" s="48" t="str">
        <f>IFERROR(__xludf.DUMMYFUNCTION("""COMPUTED_VALUE"""),"")</f>
        <v/>
      </c>
      <c r="G7332" s="42" t="str">
        <f>IFERROR(__xludf.DUMMYFUNCTION("""COMPUTED_VALUE"""),"BN PHB	")</f>
        <v>BN PHB	</v>
      </c>
      <c r="H7332" s="42">
        <f t="shared" si="1"/>
        <v>3095</v>
      </c>
    </row>
    <row r="7333" ht="22.5" customHeight="1">
      <c r="B7333" s="42" t="str">
        <f>IFERROR(__xludf.DUMMYFUNCTION("""COMPUTED_VALUE"""),"K/20/250825/4")</f>
        <v>K/20/250825/4</v>
      </c>
      <c r="C7333" s="42" t="str">
        <f>IFERROR(__xludf.DUMMYFUNCTION("""COMPUTED_VALUE"""),"Nibel 18181/Sidodadi	")</f>
        <v>Nibel 18181/Sidodadi	</v>
      </c>
      <c r="D7333" s="42"/>
      <c r="E7333" s="42"/>
      <c r="F7333" s="48" t="str">
        <f>IFERROR(__xludf.DUMMYFUNCTION("""COMPUTED_VALUE"""),"")</f>
        <v/>
      </c>
      <c r="G7333" s="42" t="str">
        <f>IFERROR(__xludf.DUMMYFUNCTION("""COMPUTED_VALUE"""),"BN PHB	")</f>
        <v>BN PHB	</v>
      </c>
      <c r="H7333" s="42">
        <f t="shared" si="1"/>
        <v>3095</v>
      </c>
    </row>
    <row r="7334" ht="22.5" customHeight="1">
      <c r="B7334" s="42" t="str">
        <f>IFERROR(__xludf.DUMMYFUNCTION("""COMPUTED_VALUE"""),"K/34/090925/1")</f>
        <v>K/34/090925/1</v>
      </c>
      <c r="C7334" s="42" t="str">
        <f>IFERROR(__xludf.DUMMYFUNCTION("""COMPUTED_VALUE"""),"B 506/ CAMPANG JAYA")</f>
        <v>B 506/ CAMPANG JAYA</v>
      </c>
      <c r="D7334" s="42"/>
      <c r="E7334" s="42"/>
      <c r="F7334" s="48" t="str">
        <f>IFERROR(__xludf.DUMMYFUNCTION("""COMPUTED_VALUE"""),"")</f>
        <v/>
      </c>
      <c r="G7334" s="42" t="str">
        <f>IFERROR(__xludf.DUMMYFUNCTION("""COMPUTED_VALUE"""),"BN JUAL BELI")</f>
        <v>BN JUAL BELI</v>
      </c>
      <c r="H7334" s="42">
        <f t="shared" si="1"/>
        <v>3095</v>
      </c>
    </row>
    <row r="7335" ht="22.5" customHeight="1">
      <c r="B7335" s="42" t="str">
        <f>IFERROR(__xludf.DUMMYFUNCTION("""COMPUTED_VALUE"""),"K/38/090925/1")</f>
        <v>K/38/090925/1</v>
      </c>
      <c r="C7335" s="42" t="str">
        <f>IFERROR(__xludf.DUMMYFUNCTION("""COMPUTED_VALUE"""),"M 798/ GOTONG ROYONG")</f>
        <v>M 798/ GOTONG ROYONG</v>
      </c>
      <c r="D7335" s="42" t="str">
        <f>IFERROR(__xludf.DUMMYFUNCTION("""COMPUTED_VALUE"""),"David")</f>
        <v>David</v>
      </c>
      <c r="E7335" s="42" t="str">
        <f>IFERROR(__xludf.DUMMYFUNCTION("""COMPUTED_VALUE"""),"DISERAHKAN")</f>
        <v>DISERAHKAN</v>
      </c>
      <c r="F7335" s="48">
        <f>IFERROR(__xludf.DUMMYFUNCTION("""COMPUTED_VALUE"""),45993.58358835649)</f>
        <v>45993.58359</v>
      </c>
      <c r="G7335" s="42" t="str">
        <f>IFERROR(__xludf.DUMMYFUNCTION("""COMPUTED_VALUE"""),"BN LELANG")</f>
        <v>BN LELANG</v>
      </c>
      <c r="H7335" s="42">
        <f t="shared" si="1"/>
        <v>3096</v>
      </c>
    </row>
    <row r="7336" ht="22.5" customHeight="1">
      <c r="B7336" s="42" t="str">
        <f>IFERROR(__xludf.DUMMYFUNCTION("""COMPUTED_VALUE"""),"L/32/090925/1")</f>
        <v>L/32/090925/1</v>
      </c>
      <c r="C7336" s="42" t="str">
        <f>IFERROR(__xludf.DUMMYFUNCTION("""COMPUTED_VALUE"""),"B. 457/CAMPANG RAYA")</f>
        <v>B. 457/CAMPANG RAYA</v>
      </c>
      <c r="D7336" s="42"/>
      <c r="E7336" s="42"/>
      <c r="F7336" s="48" t="str">
        <f>IFERROR(__xludf.DUMMYFUNCTION("""COMPUTED_VALUE"""),"")</f>
        <v/>
      </c>
      <c r="G7336" s="42" t="str">
        <f>IFERROR(__xludf.DUMMYFUNCTION("""COMPUTED_VALUE"""),"ROYA")</f>
        <v>ROYA</v>
      </c>
      <c r="H7336" s="42">
        <f t="shared" si="1"/>
        <v>3096</v>
      </c>
    </row>
    <row r="7337" ht="22.5" customHeight="1">
      <c r="B7337" s="42" t="str">
        <f>IFERROR(__xludf.DUMMYFUNCTION("""COMPUTED_VALUE"""),"L/39/090925/1")</f>
        <v>L/39/090925/1</v>
      </c>
      <c r="C7337" s="42" t="str">
        <f>IFERROR(__xludf.DUMMYFUNCTION("""COMPUTED_VALUE"""),"B. 224/LABUHAN RATU")</f>
        <v>B. 224/LABUHAN RATU</v>
      </c>
      <c r="D7337" s="42" t="str">
        <f>IFERROR(__xludf.DUMMYFUNCTION("""COMPUTED_VALUE"""),"David")</f>
        <v>David</v>
      </c>
      <c r="E7337" s="42" t="str">
        <f>IFERROR(__xludf.DUMMYFUNCTION("""COMPUTED_VALUE"""),"DISERAHKAN")</f>
        <v>DISERAHKAN</v>
      </c>
      <c r="F7337" s="48">
        <f>IFERROR(__xludf.DUMMYFUNCTION("""COMPUTED_VALUE"""),45958.520205127315)</f>
        <v>45958.52021</v>
      </c>
      <c r="G7337" s="42" t="str">
        <f>IFERROR(__xludf.DUMMYFUNCTION("""COMPUTED_VALUE"""),"ROYA")</f>
        <v>ROYA</v>
      </c>
      <c r="H7337" s="42">
        <f t="shared" si="1"/>
        <v>3097</v>
      </c>
    </row>
    <row r="7338" ht="22.5" customHeight="1">
      <c r="B7338" s="42" t="str">
        <f>IFERROR(__xludf.DUMMYFUNCTION("""COMPUTED_VALUE"""),"K/35/090925/1")</f>
        <v>K/35/090925/1</v>
      </c>
      <c r="C7338" s="42" t="str">
        <f>IFERROR(__xludf.DUMMYFUNCTION("""COMPUTED_VALUE"""),"NIBEL B. 21774/SUKABUMI INDAH")</f>
        <v>NIBEL B. 21774/SUKABUMI INDAH</v>
      </c>
      <c r="D7338" s="42"/>
      <c r="E7338" s="42"/>
      <c r="F7338" s="48" t="str">
        <f>IFERROR(__xludf.DUMMYFUNCTION("""COMPUTED_VALUE"""),"")</f>
        <v/>
      </c>
      <c r="G7338" s="42" t="str">
        <f>IFERROR(__xludf.DUMMYFUNCTION("""COMPUTED_VALUE"""),"PERUBAHAN HAK")</f>
        <v>PERUBAHAN HAK</v>
      </c>
      <c r="H7338" s="42">
        <f t="shared" si="1"/>
        <v>3097</v>
      </c>
    </row>
    <row r="7339" ht="22.5" customHeight="1">
      <c r="B7339" s="42" t="str">
        <f>IFERROR(__xludf.DUMMYFUNCTION("""COMPUTED_VALUE"""),"K/40/090925/1")</f>
        <v>K/40/090925/1</v>
      </c>
      <c r="C7339" s="42" t="str">
        <f>IFERROR(__xludf.DUMMYFUNCTION("""COMPUTED_VALUE"""),"M. 1879/Gunung Terang	")</f>
        <v>M. 1879/Gunung Terang	</v>
      </c>
      <c r="D7339" s="42"/>
      <c r="E7339" s="42"/>
      <c r="F7339" s="48" t="str">
        <f>IFERROR(__xludf.DUMMYFUNCTION("""COMPUTED_VALUE"""),"")</f>
        <v/>
      </c>
      <c r="G7339" s="42" t="str">
        <f>IFERROR(__xludf.DUMMYFUNCTION("""COMPUTED_VALUE"""),"BN Jual Beli	")</f>
        <v>BN Jual Beli	</v>
      </c>
      <c r="H7339" s="42">
        <f t="shared" si="1"/>
        <v>3097</v>
      </c>
    </row>
    <row r="7340" ht="22.5" customHeight="1">
      <c r="B7340" s="42" t="str">
        <f>IFERROR(__xludf.DUMMYFUNCTION("""COMPUTED_VALUE"""),"K/41/090925/1")</f>
        <v>K/41/090925/1</v>
      </c>
      <c r="C7340" s="42" t="str">
        <f>IFERROR(__xludf.DUMMYFUNCTION("""COMPUTED_VALUE"""),"B 452/ GUNUNG SULAH")</f>
        <v>B 452/ GUNUNG SULAH</v>
      </c>
      <c r="D7340" s="42"/>
      <c r="E7340" s="42"/>
      <c r="F7340" s="48" t="str">
        <f>IFERROR(__xludf.DUMMYFUNCTION("""COMPUTED_VALUE"""),"")</f>
        <v/>
      </c>
      <c r="G7340" s="42" t="str">
        <f>IFERROR(__xludf.DUMMYFUNCTION("""COMPUTED_VALUE"""),"BN JUAL BELI")</f>
        <v>BN JUAL BELI</v>
      </c>
      <c r="H7340" s="42">
        <f t="shared" si="1"/>
        <v>3097</v>
      </c>
    </row>
    <row r="7341" ht="22.5" customHeight="1">
      <c r="B7341" s="42" t="str">
        <f>IFERROR(__xludf.DUMMYFUNCTION("""COMPUTED_VALUE"""),"K/37/090925/3")</f>
        <v>K/37/090925/3</v>
      </c>
      <c r="C7341" s="42" t="str">
        <f>IFERROR(__xludf.DUMMYFUNCTION("""COMPUTED_VALUE"""),"M. 9724/KAMPUNG BARU")</f>
        <v>M. 9724/KAMPUNG BARU</v>
      </c>
      <c r="D7341" s="42"/>
      <c r="E7341" s="42"/>
      <c r="F7341" s="48" t="str">
        <f>IFERROR(__xludf.DUMMYFUNCTION("""COMPUTED_VALUE"""),"")</f>
        <v/>
      </c>
      <c r="G7341" s="42" t="str">
        <f>IFERROR(__xludf.DUMMYFUNCTION("""COMPUTED_VALUE"""),"BN JUAL BELI EL")</f>
        <v>BN JUAL BELI EL</v>
      </c>
      <c r="H7341" s="42">
        <f t="shared" si="1"/>
        <v>3097</v>
      </c>
    </row>
    <row r="7342" ht="22.5" customHeight="1">
      <c r="B7342" s="42" t="str">
        <f>IFERROR(__xludf.DUMMYFUNCTION("""COMPUTED_VALUE"""),"K/42/090925/1")</f>
        <v>K/42/090925/1</v>
      </c>
      <c r="C7342" s="42" t="str">
        <f>IFERROR(__xludf.DUMMYFUNCTION("""COMPUTED_VALUE"""),"M. 1155/KURIPAN")</f>
        <v>M. 1155/KURIPAN</v>
      </c>
      <c r="D7342" s="42"/>
      <c r="E7342" s="42"/>
      <c r="F7342" s="48" t="str">
        <f>IFERROR(__xludf.DUMMYFUNCTION("""COMPUTED_VALUE"""),"")</f>
        <v/>
      </c>
      <c r="G7342" s="42" t="str">
        <f>IFERROR(__xludf.DUMMYFUNCTION("""COMPUTED_VALUE"""),"ROYA")</f>
        <v>ROYA</v>
      </c>
      <c r="H7342" s="42">
        <f t="shared" si="1"/>
        <v>3097</v>
      </c>
    </row>
    <row r="7343" ht="22.5" customHeight="1">
      <c r="B7343" s="42" t="str">
        <f>IFERROR(__xludf.DUMMYFUNCTION("""COMPUTED_VALUE"""),"K/44/090925/1")</f>
        <v>K/44/090925/1</v>
      </c>
      <c r="C7343" s="42" t="str">
        <f>IFERROR(__xludf.DUMMYFUNCTION("""COMPUTED_VALUE"""),"B 916/ SUKARAME BARU")</f>
        <v>B 916/ SUKARAME BARU</v>
      </c>
      <c r="D7343" s="42" t="str">
        <f>IFERROR(__xludf.DUMMYFUNCTION("""COMPUTED_VALUE"""),"David")</f>
        <v>David</v>
      </c>
      <c r="E7343" s="42"/>
      <c r="F7343" s="48" t="str">
        <f>IFERROR(__xludf.DUMMYFUNCTION("""COMPUTED_VALUE"""),"")</f>
        <v/>
      </c>
      <c r="G7343" s="42" t="str">
        <f>IFERROR(__xludf.DUMMYFUNCTION("""COMPUTED_VALUE"""),"PENINGKATAN")</f>
        <v>PENINGKATAN</v>
      </c>
      <c r="H7343" s="42">
        <f t="shared" si="1"/>
        <v>3097</v>
      </c>
    </row>
    <row r="7344" ht="22.5" customHeight="1">
      <c r="B7344" s="42" t="str">
        <f>IFERROR(__xludf.DUMMYFUNCTION("""COMPUTED_VALUE"""),"K/43/090925/1")</f>
        <v>K/43/090925/1</v>
      </c>
      <c r="C7344" s="42" t="str">
        <f>IFERROR(__xludf.DUMMYFUNCTION("""COMPUTED_VALUE"""),"M. 1045/GUNUNG SULAH")</f>
        <v>M. 1045/GUNUNG SULAH</v>
      </c>
      <c r="D7344" s="42"/>
      <c r="E7344" s="42"/>
      <c r="F7344" s="48" t="str">
        <f>IFERROR(__xludf.DUMMYFUNCTION("""COMPUTED_VALUE"""),"")</f>
        <v/>
      </c>
      <c r="G7344" s="42" t="str">
        <f>IFERROR(__xludf.DUMMYFUNCTION("""COMPUTED_VALUE"""),"ROYA")</f>
        <v>ROYA</v>
      </c>
      <c r="H7344" s="42">
        <f t="shared" si="1"/>
        <v>3097</v>
      </c>
    </row>
    <row r="7345" ht="22.5" customHeight="1">
      <c r="B7345" s="42" t="str">
        <f>IFERROR(__xludf.DUMMYFUNCTION("""COMPUTED_VALUE"""),"K/10/100925/1")</f>
        <v>K/10/100925/1</v>
      </c>
      <c r="C7345" s="42" t="str">
        <f>IFERROR(__xludf.DUMMYFUNCTION("""COMPUTED_VALUE"""),"M. 761/Way Dadi	")</f>
        <v>M. 761/Way Dadi	</v>
      </c>
      <c r="D7345" s="42" t="str">
        <f>IFERROR(__xludf.DUMMYFUNCTION("""COMPUTED_VALUE"""),"David")</f>
        <v>David</v>
      </c>
      <c r="E7345" s="42" t="str">
        <f>IFERROR(__xludf.DUMMYFUNCTION("""COMPUTED_VALUE"""),"DISERAHKAN")</f>
        <v>DISERAHKAN</v>
      </c>
      <c r="F7345" s="48">
        <f>IFERROR(__xludf.DUMMYFUNCTION("""COMPUTED_VALUE"""),45957.61749444444)</f>
        <v>45957.61749</v>
      </c>
      <c r="G7345" s="42" t="str">
        <f>IFERROR(__xludf.DUMMYFUNCTION("""COMPUTED_VALUE"""),"BN Waris	")</f>
        <v>BN Waris	</v>
      </c>
      <c r="H7345" s="42">
        <f t="shared" si="1"/>
        <v>3098</v>
      </c>
    </row>
    <row r="7346" ht="22.5" customHeight="1">
      <c r="B7346" s="42" t="str">
        <f>IFERROR(__xludf.DUMMYFUNCTION("""COMPUTED_VALUE"""),"K/8/100925/1")</f>
        <v>K/8/100925/1</v>
      </c>
      <c r="C7346" s="42" t="str">
        <f>IFERROR(__xludf.DUMMYFUNCTION("""COMPUTED_VALUE"""),"SUKABUMI")</f>
        <v>SUKABUMI</v>
      </c>
      <c r="D7346" s="42" t="str">
        <f>IFERROR(__xludf.DUMMYFUNCTION("""COMPUTED_VALUE"""),"Berry")</f>
        <v>Berry</v>
      </c>
      <c r="E7346" s="42" t="str">
        <f>IFERROR(__xludf.DUMMYFUNCTION("""COMPUTED_VALUE"""),"DISERAHKAN")</f>
        <v>DISERAHKAN</v>
      </c>
      <c r="F7346" s="48">
        <f>IFERROR(__xludf.DUMMYFUNCTION("""COMPUTED_VALUE"""),45945.67890641204)</f>
        <v>45945.67891</v>
      </c>
      <c r="G7346" s="42" t="str">
        <f>IFERROR(__xludf.DUMMYFUNCTION("""COMPUTED_VALUE"""),"PENGUKURAN PERTAMA KALI")</f>
        <v>PENGUKURAN PERTAMA KALI</v>
      </c>
      <c r="H7346" s="42">
        <f t="shared" si="1"/>
        <v>3099</v>
      </c>
    </row>
    <row r="7347" ht="22.5" customHeight="1">
      <c r="B7347" s="42" t="str">
        <f>IFERROR(__xludf.DUMMYFUNCTION("""COMPUTED_VALUE"""),"K/11/100925/1")</f>
        <v>K/11/100925/1</v>
      </c>
      <c r="C7347" s="42" t="str">
        <f>IFERROR(__xludf.DUMMYFUNCTION("""COMPUTED_VALUE"""),"M. 2449/Kedaung	")</f>
        <v>M. 2449/Kedaung	</v>
      </c>
      <c r="D7347" s="42"/>
      <c r="E7347" s="42"/>
      <c r="F7347" s="48" t="str">
        <f>IFERROR(__xludf.DUMMYFUNCTION("""COMPUTED_VALUE"""),"")</f>
        <v/>
      </c>
      <c r="G7347" s="42" t="str">
        <f>IFERROR(__xludf.DUMMYFUNCTION("""COMPUTED_VALUE"""),"BN Jual Beli	")</f>
        <v>BN Jual Beli	</v>
      </c>
      <c r="H7347" s="42">
        <f t="shared" si="1"/>
        <v>3099</v>
      </c>
    </row>
    <row r="7348" ht="22.5" customHeight="1">
      <c r="B7348" s="42" t="str">
        <f>IFERROR(__xludf.DUMMYFUNCTION("""COMPUTED_VALUE"""),"K/12/100925/2")</f>
        <v>K/12/100925/2</v>
      </c>
      <c r="C7348" s="42" t="str">
        <f>IFERROR(__xludf.DUMMYFUNCTION("""COMPUTED_VALUE"""),"Nibel 20660/Way Kandis	")</f>
        <v>Nibel 20660/Way Kandis	</v>
      </c>
      <c r="D7348" s="42" t="str">
        <f>IFERROR(__xludf.DUMMYFUNCTION("""COMPUTED_VALUE"""),"Berry")</f>
        <v>Berry</v>
      </c>
      <c r="E7348" s="42" t="str">
        <f>IFERROR(__xludf.DUMMYFUNCTION("""COMPUTED_VALUE"""),"DISERAHKAN")</f>
        <v>DISERAHKAN</v>
      </c>
      <c r="F7348" s="48">
        <f>IFERROR(__xludf.DUMMYFUNCTION("""COMPUTED_VALUE"""),45951.47083585648)</f>
        <v>45951.47084</v>
      </c>
      <c r="G7348" s="42" t="str">
        <f>IFERROR(__xludf.DUMMYFUNCTION("""COMPUTED_VALUE"""),"BN Jual Beli	")</f>
        <v>BN Jual Beli	</v>
      </c>
      <c r="H7348" s="42">
        <f t="shared" si="1"/>
        <v>3100</v>
      </c>
    </row>
    <row r="7349" ht="22.5" customHeight="1">
      <c r="B7349" s="42" t="str">
        <f>IFERROR(__xludf.DUMMYFUNCTION("""COMPUTED_VALUE"""),"L/7/100925/1")</f>
        <v>L/7/100925/1</v>
      </c>
      <c r="C7349" s="42" t="str">
        <f>IFERROR(__xludf.DUMMYFUNCTION("""COMPUTED_VALUE"""),"M. 10342/GEDUNG MENENG")</f>
        <v>M. 10342/GEDUNG MENENG</v>
      </c>
      <c r="D7349" s="42"/>
      <c r="E7349" s="42"/>
      <c r="F7349" s="48" t="str">
        <f>IFERROR(__xludf.DUMMYFUNCTION("""COMPUTED_VALUE"""),"")</f>
        <v/>
      </c>
      <c r="G7349" s="42" t="str">
        <f>IFERROR(__xludf.DUMMYFUNCTION("""COMPUTED_VALUE"""),"ROYA")</f>
        <v>ROYA</v>
      </c>
      <c r="H7349" s="42">
        <f t="shared" si="1"/>
        <v>3100</v>
      </c>
    </row>
    <row r="7350" ht="22.5" customHeight="1">
      <c r="B7350" s="42" t="str">
        <f>IFERROR(__xludf.DUMMYFUNCTION("""COMPUTED_VALUE"""),"L/16/100925/1")</f>
        <v>L/16/100925/1</v>
      </c>
      <c r="C7350" s="42" t="str">
        <f>IFERROR(__xludf.DUMMYFUNCTION("""COMPUTED_VALUE"""),"B. 728/CAMPANG RAYA")</f>
        <v>B. 728/CAMPANG RAYA</v>
      </c>
      <c r="D7350" s="42"/>
      <c r="E7350" s="42"/>
      <c r="F7350" s="48" t="str">
        <f>IFERROR(__xludf.DUMMYFUNCTION("""COMPUTED_VALUE"""),"")</f>
        <v/>
      </c>
      <c r="G7350" s="42" t="str">
        <f>IFERROR(__xludf.DUMMYFUNCTION("""COMPUTED_VALUE"""),"PENINGKATAN HAK")</f>
        <v>PENINGKATAN HAK</v>
      </c>
      <c r="H7350" s="42">
        <f t="shared" si="1"/>
        <v>3100</v>
      </c>
    </row>
    <row r="7351" ht="22.5" customHeight="1">
      <c r="B7351" s="42" t="str">
        <f>IFERROR(__xludf.DUMMYFUNCTION("""COMPUTED_VALUE"""),"K/13/100925/3")</f>
        <v>K/13/100925/3</v>
      </c>
      <c r="C7351" s="42" t="str">
        <f>IFERROR(__xludf.DUMMYFUNCTION("""COMPUTED_VALUE"""),"Nibel 22052/Perumnas Way Halim")</f>
        <v>Nibel 22052/Perumnas Way Halim</v>
      </c>
      <c r="D7351" s="42"/>
      <c r="E7351" s="42"/>
      <c r="F7351" s="48" t="str">
        <f>IFERROR(__xludf.DUMMYFUNCTION("""COMPUTED_VALUE"""),"")</f>
        <v/>
      </c>
      <c r="G7351" s="42" t="str">
        <f>IFERROR(__xludf.DUMMYFUNCTION("""COMPUTED_VALUE"""),"BN Jual Beli	")</f>
        <v>BN Jual Beli	</v>
      </c>
      <c r="H7351" s="42">
        <f t="shared" si="1"/>
        <v>3100</v>
      </c>
    </row>
    <row r="7352" ht="22.5" customHeight="1">
      <c r="B7352" s="42" t="str">
        <f>IFERROR(__xludf.DUMMYFUNCTION("""COMPUTED_VALUE"""),"K/14/100925/4")</f>
        <v>K/14/100925/4</v>
      </c>
      <c r="C7352" s="42" t="str">
        <f>IFERROR(__xludf.DUMMYFUNCTION("""COMPUTED_VALUE"""),"Nibel 10966/Rajabasa Jaya	")</f>
        <v>Nibel 10966/Rajabasa Jaya	</v>
      </c>
      <c r="D7352" s="42"/>
      <c r="E7352" s="42"/>
      <c r="F7352" s="48" t="str">
        <f>IFERROR(__xludf.DUMMYFUNCTION("""COMPUTED_VALUE"""),"")</f>
        <v/>
      </c>
      <c r="G7352" s="42" t="str">
        <f>IFERROR(__xludf.DUMMYFUNCTION("""COMPUTED_VALUE"""),"BN Jual Beli	")</f>
        <v>BN Jual Beli	</v>
      </c>
      <c r="H7352" s="42">
        <f t="shared" si="1"/>
        <v>3100</v>
      </c>
    </row>
    <row r="7353" ht="22.5" customHeight="1">
      <c r="B7353" s="42" t="str">
        <f>IFERROR(__xludf.DUMMYFUNCTION("""COMPUTED_VALUE"""),"L/17/100925/1")</f>
        <v>L/17/100925/1</v>
      </c>
      <c r="C7353" s="42" t="str">
        <f>IFERROR(__xludf.DUMMYFUNCTION("""COMPUTED_VALUE"""),"KELURAHAN LABUHAN RATU RAYA")</f>
        <v>KELURAHAN LABUHAN RATU RAYA</v>
      </c>
      <c r="D7353" s="42"/>
      <c r="E7353" s="42"/>
      <c r="F7353" s="48" t="str">
        <f>IFERROR(__xludf.DUMMYFUNCTION("""COMPUTED_VALUE"""),"")</f>
        <v/>
      </c>
      <c r="G7353" s="42" t="str">
        <f>IFERROR(__xludf.DUMMYFUNCTION("""COMPUTED_VALUE"""),"PENGUKURAN PERTAMA KALI")</f>
        <v>PENGUKURAN PERTAMA KALI</v>
      </c>
      <c r="H7353" s="42">
        <f t="shared" si="1"/>
        <v>3100</v>
      </c>
    </row>
    <row r="7354" ht="22.5" customHeight="1">
      <c r="B7354" s="42" t="str">
        <f>IFERROR(__xludf.DUMMYFUNCTION("""COMPUTED_VALUE"""),"L/18/100925/1")</f>
        <v>L/18/100925/1</v>
      </c>
      <c r="C7354" s="42" t="str">
        <f>IFERROR(__xludf.DUMMYFUNCTION("""COMPUTED_VALUE"""),"B. 452/KETEGUHAN")</f>
        <v>B. 452/KETEGUHAN</v>
      </c>
      <c r="D7354" s="42"/>
      <c r="E7354" s="42"/>
      <c r="F7354" s="48" t="str">
        <f>IFERROR(__xludf.DUMMYFUNCTION("""COMPUTED_VALUE"""),"")</f>
        <v/>
      </c>
      <c r="G7354" s="42" t="str">
        <f>IFERROR(__xludf.DUMMYFUNCTION("""COMPUTED_VALUE"""),"ROYA")</f>
        <v>ROYA</v>
      </c>
      <c r="H7354" s="42">
        <f t="shared" si="1"/>
        <v>3100</v>
      </c>
    </row>
    <row r="7355" ht="22.5" customHeight="1">
      <c r="B7355" s="42" t="str">
        <f>IFERROR(__xludf.DUMMYFUNCTION("""COMPUTED_VALUE"""),"K/9/100925/1")</f>
        <v>K/9/100925/1</v>
      </c>
      <c r="C7355" s="42" t="str">
        <f>IFERROR(__xludf.DUMMYFUNCTION("""COMPUTED_VALUE"""),"M. 1844/KALI BALAU KENCANA")</f>
        <v>M. 1844/KALI BALAU KENCANA</v>
      </c>
      <c r="D7355" s="42" t="str">
        <f>IFERROR(__xludf.DUMMYFUNCTION("""COMPUTED_VALUE"""),"David")</f>
        <v>David</v>
      </c>
      <c r="E7355" s="42" t="str">
        <f>IFERROR(__xludf.DUMMYFUNCTION("""COMPUTED_VALUE"""),"DISERAHKAN")</f>
        <v>DISERAHKAN</v>
      </c>
      <c r="F7355" s="48">
        <f>IFERROR(__xludf.DUMMYFUNCTION("""COMPUTED_VALUE"""),45943.69448153935)</f>
        <v>45943.69448</v>
      </c>
      <c r="G7355" s="42" t="str">
        <f>IFERROR(__xludf.DUMMYFUNCTION("""COMPUTED_VALUE"""),"BN JUAL BELI EL ")</f>
        <v>BN JUAL BELI EL </v>
      </c>
      <c r="H7355" s="42">
        <f t="shared" si="1"/>
        <v>3101</v>
      </c>
    </row>
    <row r="7356" ht="22.5" customHeight="1">
      <c r="B7356" s="42" t="str">
        <f>IFERROR(__xludf.DUMMYFUNCTION("""COMPUTED_VALUE"""),"K/20/100925/1")</f>
        <v>K/20/100925/1</v>
      </c>
      <c r="C7356" s="42" t="str">
        <f>IFERROR(__xludf.DUMMYFUNCTION("""COMPUTED_VALUE"""),"M 1276/ CAMPANG JAYA")</f>
        <v>M 1276/ CAMPANG JAYA</v>
      </c>
      <c r="D7356" s="42" t="str">
        <f>IFERROR(__xludf.DUMMYFUNCTION("""COMPUTED_VALUE"""),"David")</f>
        <v>David</v>
      </c>
      <c r="E7356" s="42" t="str">
        <f>IFERROR(__xludf.DUMMYFUNCTION("""COMPUTED_VALUE"""),"DISERAHKAN")</f>
        <v>DISERAHKAN</v>
      </c>
      <c r="F7356" s="48">
        <f>IFERROR(__xludf.DUMMYFUNCTION("""COMPUTED_VALUE"""),45960.63474850694)</f>
        <v>45960.63475</v>
      </c>
      <c r="G7356" s="42" t="str">
        <f>IFERROR(__xludf.DUMMYFUNCTION("""COMPUTED_VALUE"""),"BN JUAL BELI")</f>
        <v>BN JUAL BELI</v>
      </c>
      <c r="H7356" s="42">
        <f t="shared" si="1"/>
        <v>3102</v>
      </c>
    </row>
    <row r="7357" ht="22.5" customHeight="1">
      <c r="B7357" s="42" t="str">
        <f>IFERROR(__xludf.DUMMYFUNCTION("""COMPUTED_VALUE"""),"K/21/100925/1")</f>
        <v>K/21/100925/1</v>
      </c>
      <c r="C7357" s="42" t="str">
        <f>IFERROR(__xludf.DUMMYFUNCTION("""COMPUTED_VALUE"""),"M 4341/ BERINGIN RAYA")</f>
        <v>M 4341/ BERINGIN RAYA</v>
      </c>
      <c r="D7357" s="42"/>
      <c r="E7357" s="42"/>
      <c r="F7357" s="48" t="str">
        <f>IFERROR(__xludf.DUMMYFUNCTION("""COMPUTED_VALUE"""),"")</f>
        <v/>
      </c>
      <c r="G7357" s="42" t="str">
        <f>IFERROR(__xludf.DUMMYFUNCTION("""COMPUTED_VALUE"""),"BN JUAL BELI")</f>
        <v>BN JUAL BELI</v>
      </c>
      <c r="H7357" s="42">
        <f t="shared" si="1"/>
        <v>3102</v>
      </c>
    </row>
    <row r="7358" ht="22.5" customHeight="1">
      <c r="B7358" s="42" t="str">
        <f>IFERROR(__xludf.DUMMYFUNCTION("""COMPUTED_VALUE"""),"L/22/100925/1")</f>
        <v>L/22/100925/1</v>
      </c>
      <c r="C7358" s="42" t="str">
        <f>IFERROR(__xludf.DUMMYFUNCTION("""COMPUTED_VALUE"""),"M. 294/RAJABASA PEMUKA")</f>
        <v>M. 294/RAJABASA PEMUKA</v>
      </c>
      <c r="D7358" s="42"/>
      <c r="E7358" s="42"/>
      <c r="F7358" s="48" t="str">
        <f>IFERROR(__xludf.DUMMYFUNCTION("""COMPUTED_VALUE"""),"")</f>
        <v/>
      </c>
      <c r="G7358" s="42" t="str">
        <f>IFERROR(__xludf.DUMMYFUNCTION("""COMPUTED_VALUE"""),"BN HIBAH")</f>
        <v>BN HIBAH</v>
      </c>
      <c r="H7358" s="42">
        <f t="shared" si="1"/>
        <v>3102</v>
      </c>
    </row>
    <row r="7359" ht="22.5" customHeight="1">
      <c r="B7359" s="42" t="str">
        <f>IFERROR(__xludf.DUMMYFUNCTION("""COMPUTED_VALUE"""),"K/23/100925/1")</f>
        <v>K/23/100925/1</v>
      </c>
      <c r="C7359" s="42" t="str">
        <f>IFERROR(__xludf.DUMMYFUNCTION("""COMPUTED_VALUE"""),"Nibel 17583/ Sukabumi")</f>
        <v>Nibel 17583/ Sukabumi</v>
      </c>
      <c r="D7359" s="42" t="str">
        <f>IFERROR(__xludf.DUMMYFUNCTION("""COMPUTED_VALUE"""),"Berry")</f>
        <v>Berry</v>
      </c>
      <c r="E7359" s="42" t="str">
        <f>IFERROR(__xludf.DUMMYFUNCTION("""COMPUTED_VALUE"""),"DISERAHKAN")</f>
        <v>DISERAHKAN</v>
      </c>
      <c r="F7359" s="48">
        <f>IFERROR(__xludf.DUMMYFUNCTION("""COMPUTED_VALUE"""),45926.5483059375)</f>
        <v>45926.54831</v>
      </c>
      <c r="G7359" s="42" t="str">
        <f>IFERROR(__xludf.DUMMYFUNCTION("""COMPUTED_VALUE"""),"PTPGT")</f>
        <v>PTPGT</v>
      </c>
      <c r="H7359" s="42">
        <f t="shared" si="1"/>
        <v>3103</v>
      </c>
    </row>
    <row r="7360" ht="22.5" customHeight="1">
      <c r="B7360" s="42" t="str">
        <f>IFERROR(__xludf.DUMMYFUNCTION("""COMPUTED_VALUE"""),"K/24/100925/1")</f>
        <v>K/24/100925/1</v>
      </c>
      <c r="C7360" s="42" t="str">
        <f>IFERROR(__xludf.DUMMYFUNCTION("""COMPUTED_VALUE"""),"B 796/ SUMUR PUTRI")</f>
        <v>B 796/ SUMUR PUTRI</v>
      </c>
      <c r="D7360" s="42"/>
      <c r="E7360" s="42"/>
      <c r="F7360" s="48" t="str">
        <f>IFERROR(__xludf.DUMMYFUNCTION("""COMPUTED_VALUE"""),"")</f>
        <v/>
      </c>
      <c r="G7360" s="42" t="str">
        <f>IFERROR(__xludf.DUMMYFUNCTION("""COMPUTED_VALUE"""),"BN JUAL BELI")</f>
        <v>BN JUAL BELI</v>
      </c>
      <c r="H7360" s="42">
        <f t="shared" si="1"/>
        <v>3103</v>
      </c>
    </row>
    <row r="7361" ht="22.5" customHeight="1">
      <c r="B7361" s="42" t="str">
        <f>IFERROR(__xludf.DUMMYFUNCTION("""COMPUTED_VALUE"""),"L/25/100925/1")</f>
        <v>L/25/100925/1</v>
      </c>
      <c r="C7361" s="42" t="str">
        <f>IFERROR(__xludf.DUMMYFUNCTION("""COMPUTED_VALUE"""),"B NIB. 23008/SUKABUMI INDAH")</f>
        <v>B NIB. 23008/SUKABUMI INDAH</v>
      </c>
      <c r="D7361" s="42" t="str">
        <f>IFERROR(__xludf.DUMMYFUNCTION("""COMPUTED_VALUE"""),"Berry")</f>
        <v>Berry</v>
      </c>
      <c r="E7361" s="42" t="str">
        <f>IFERROR(__xludf.DUMMYFUNCTION("""COMPUTED_VALUE"""),"DISERAHKAN")</f>
        <v>DISERAHKAN</v>
      </c>
      <c r="F7361" s="48">
        <f>IFERROR(__xludf.DUMMYFUNCTION("""COMPUTED_VALUE"""),45938.488830497685)</f>
        <v>45938.48883</v>
      </c>
      <c r="G7361" s="42" t="str">
        <f>IFERROR(__xludf.DUMMYFUNCTION("""COMPUTED_VALUE"""),"PENINGKATAN HAK")</f>
        <v>PENINGKATAN HAK</v>
      </c>
      <c r="H7361" s="42">
        <f t="shared" si="1"/>
        <v>3104</v>
      </c>
    </row>
    <row r="7362" ht="22.5" customHeight="1">
      <c r="B7362" s="42" t="str">
        <f>IFERROR(__xludf.DUMMYFUNCTION("""COMPUTED_VALUE"""),"K/26/100925/1")</f>
        <v>K/26/100925/1</v>
      </c>
      <c r="C7362" s="42" t="str">
        <f>IFERROR(__xludf.DUMMYFUNCTION("""COMPUTED_VALUE"""),"Nibel 21076/Talang	")</f>
        <v>Nibel 21076/Talang	</v>
      </c>
      <c r="D7362" s="42"/>
      <c r="E7362" s="42"/>
      <c r="F7362" s="48" t="str">
        <f>IFERROR(__xludf.DUMMYFUNCTION("""COMPUTED_VALUE"""),"")</f>
        <v/>
      </c>
      <c r="G7362" s="42" t="str">
        <f>IFERROR(__xludf.DUMMYFUNCTION("""COMPUTED_VALUE"""),"BN Jual Beli	")</f>
        <v>BN Jual Beli	</v>
      </c>
      <c r="H7362" s="42">
        <f t="shared" si="1"/>
        <v>3104</v>
      </c>
    </row>
    <row r="7363" ht="22.5" customHeight="1">
      <c r="B7363" s="42" t="str">
        <f>IFERROR(__xludf.DUMMYFUNCTION("""COMPUTED_VALUE"""),"K/30/100925/2")</f>
        <v>K/30/100925/2</v>
      </c>
      <c r="C7363" s="42" t="str">
        <f>IFERROR(__xludf.DUMMYFUNCTION("""COMPUTED_VALUE"""),"M 1264/ KUPANG TEBA")</f>
        <v>M 1264/ KUPANG TEBA</v>
      </c>
      <c r="D7363" s="42"/>
      <c r="E7363" s="42"/>
      <c r="F7363" s="48" t="str">
        <f>IFERROR(__xludf.DUMMYFUNCTION("""COMPUTED_VALUE"""),"")</f>
        <v/>
      </c>
      <c r="G7363" s="42" t="str">
        <f>IFERROR(__xludf.DUMMYFUNCTION("""COMPUTED_VALUE"""),"PELEPASAN HAK")</f>
        <v>PELEPASAN HAK</v>
      </c>
      <c r="H7363" s="42">
        <f t="shared" si="1"/>
        <v>3104</v>
      </c>
    </row>
    <row r="7364" ht="22.5" customHeight="1">
      <c r="B7364" s="42" t="str">
        <f>IFERROR(__xludf.DUMMYFUNCTION("""COMPUTED_VALUE"""),"K/19/100925/1")</f>
        <v>K/19/100925/1</v>
      </c>
      <c r="C7364" s="42" t="str">
        <f>IFERROR(__xludf.DUMMYFUNCTION("""COMPUTED_VALUE"""),"NIBEL M.21195/SUKABUMI")</f>
        <v>NIBEL M.21195/SUKABUMI</v>
      </c>
      <c r="D7364" s="42"/>
      <c r="E7364" s="42"/>
      <c r="F7364" s="48" t="str">
        <f>IFERROR(__xludf.DUMMYFUNCTION("""COMPUTED_VALUE"""),"")</f>
        <v/>
      </c>
      <c r="G7364" s="42" t="str">
        <f>IFERROR(__xludf.DUMMYFUNCTION("""COMPUTED_VALUE"""),"BN JUAL BELI EL")</f>
        <v>BN JUAL BELI EL</v>
      </c>
      <c r="H7364" s="42">
        <f t="shared" si="1"/>
        <v>3104</v>
      </c>
    </row>
    <row r="7365" ht="22.5" customHeight="1">
      <c r="B7365" s="42" t="str">
        <f>IFERROR(__xludf.DUMMYFUNCTION("""COMPUTED_VALUE"""),"K/31/100925/1")</f>
        <v>K/31/100925/1</v>
      </c>
      <c r="C7365" s="42" t="str">
        <f>IFERROR(__xludf.DUMMYFUNCTION("""COMPUTED_VALUE"""),"NIBEL B. 16368/DURIAN PAYUNG")</f>
        <v>NIBEL B. 16368/DURIAN PAYUNG</v>
      </c>
      <c r="D7365" s="42"/>
      <c r="E7365" s="42"/>
      <c r="F7365" s="48" t="str">
        <f>IFERROR(__xludf.DUMMYFUNCTION("""COMPUTED_VALUE"""),"")</f>
        <v/>
      </c>
      <c r="G7365" s="42" t="str">
        <f>IFERROR(__xludf.DUMMYFUNCTION("""COMPUTED_VALUE"""),"BN JUAL BELI EL")</f>
        <v>BN JUAL BELI EL</v>
      </c>
      <c r="H7365" s="42">
        <f t="shared" si="1"/>
        <v>3104</v>
      </c>
    </row>
    <row r="7366" ht="22.5" customHeight="1">
      <c r="B7366" s="42" t="str">
        <f>IFERROR(__xludf.DUMMYFUNCTION("""COMPUTED_VALUE"""),"K/32/100925/2")</f>
        <v>K/32/100925/2</v>
      </c>
      <c r="C7366" s="42" t="str">
        <f>IFERROR(__xludf.DUMMYFUNCTION("""COMPUTED_VALUE"""),"NIBEL M. 5526/GUNUNG TERANG")</f>
        <v>NIBEL M. 5526/GUNUNG TERANG</v>
      </c>
      <c r="D7366" s="42"/>
      <c r="E7366" s="42"/>
      <c r="F7366" s="48" t="str">
        <f>IFERROR(__xludf.DUMMYFUNCTION("""COMPUTED_VALUE"""),"")</f>
        <v/>
      </c>
      <c r="G7366" s="42" t="str">
        <f>IFERROR(__xludf.DUMMYFUNCTION("""COMPUTED_VALUE"""),"BN JUAL BELI EL")</f>
        <v>BN JUAL BELI EL</v>
      </c>
      <c r="H7366" s="42">
        <f t="shared" si="1"/>
        <v>3104</v>
      </c>
    </row>
    <row r="7367" ht="22.5" customHeight="1">
      <c r="B7367" s="42" t="str">
        <f>IFERROR(__xludf.DUMMYFUNCTION("""COMPUTED_VALUE"""),"K/33/100925/3")</f>
        <v>K/33/100925/3</v>
      </c>
      <c r="C7367" s="42" t="str">
        <f>IFERROR(__xludf.DUMMYFUNCTION("""COMPUTED_VALUE"""),"NIBEL M. 23833/RAJABASA NUNYAI")</f>
        <v>NIBEL M. 23833/RAJABASA NUNYAI</v>
      </c>
      <c r="D7367" s="42"/>
      <c r="E7367" s="42"/>
      <c r="F7367" s="48" t="str">
        <f>IFERROR(__xludf.DUMMYFUNCTION("""COMPUTED_VALUE"""),"")</f>
        <v/>
      </c>
      <c r="G7367" s="42" t="str">
        <f>IFERROR(__xludf.DUMMYFUNCTION("""COMPUTED_VALUE"""),"BN JUAL BELI EL")</f>
        <v>BN JUAL BELI EL</v>
      </c>
      <c r="H7367" s="42">
        <f t="shared" si="1"/>
        <v>3104</v>
      </c>
    </row>
    <row r="7368" ht="22.5" customHeight="1">
      <c r="B7368" s="42" t="str">
        <f>IFERROR(__xludf.DUMMYFUNCTION("""COMPUTED_VALUE"""),"K/27/100925/2")</f>
        <v>K/27/100925/2</v>
      </c>
      <c r="C7368" s="42" t="str">
        <f>IFERROR(__xludf.DUMMYFUNCTION("""COMPUTED_VALUE"""),"M. 2083/Pinang Jaya")</f>
        <v>M. 2083/Pinang Jaya</v>
      </c>
      <c r="D7368" s="42"/>
      <c r="E7368" s="42"/>
      <c r="F7368" s="48" t="str">
        <f>IFERROR(__xludf.DUMMYFUNCTION("""COMPUTED_VALUE"""),"")</f>
        <v/>
      </c>
      <c r="G7368" s="42" t="str">
        <f>IFERROR(__xludf.DUMMYFUNCTION("""COMPUTED_VALUE"""),"BN Jual Beli		")</f>
        <v>BN Jual Beli		</v>
      </c>
      <c r="H7368" s="42">
        <f t="shared" si="1"/>
        <v>3104</v>
      </c>
    </row>
    <row r="7369" ht="22.5" customHeight="1">
      <c r="B7369" s="42" t="str">
        <f>IFERROR(__xludf.DUMMYFUNCTION("""COMPUTED_VALUE"""),"K/35/100925/1")</f>
        <v>K/35/100925/1</v>
      </c>
      <c r="C7369" s="42" t="str">
        <f>IFERROR(__xludf.DUMMYFUNCTION("""COMPUTED_VALUE"""),"M 3209/ LANGKAPURA")</f>
        <v>M 3209/ LANGKAPURA</v>
      </c>
      <c r="D7369" s="42" t="str">
        <f>IFERROR(__xludf.DUMMYFUNCTION("""COMPUTED_VALUE"""),"Berry")</f>
        <v>Berry</v>
      </c>
      <c r="E7369" s="42" t="str">
        <f>IFERROR(__xludf.DUMMYFUNCTION("""COMPUTED_VALUE"""),"DISERAHKAN")</f>
        <v>DISERAHKAN</v>
      </c>
      <c r="F7369" s="48">
        <f>IFERROR(__xludf.DUMMYFUNCTION("""COMPUTED_VALUE"""),45932.70372422454)</f>
        <v>45932.70372</v>
      </c>
      <c r="G7369" s="42" t="str">
        <f>IFERROR(__xludf.DUMMYFUNCTION("""COMPUTED_VALUE"""),"ROYA")</f>
        <v>ROYA</v>
      </c>
      <c r="H7369" s="42">
        <f t="shared" si="1"/>
        <v>3105</v>
      </c>
    </row>
    <row r="7370" ht="22.5" customHeight="1">
      <c r="B7370" s="42" t="str">
        <f>IFERROR(__xludf.DUMMYFUNCTION("""COMPUTED_VALUE"""),"K/28/100925/3")</f>
        <v>K/28/100925/3</v>
      </c>
      <c r="C7370" s="42" t="str">
        <f>IFERROR(__xludf.DUMMYFUNCTION("""COMPUTED_VALUE"""),"M. 2285/Tanjung Seneng	")</f>
        <v>M. 2285/Tanjung Seneng	</v>
      </c>
      <c r="D7370" s="42" t="str">
        <f>IFERROR(__xludf.DUMMYFUNCTION("""COMPUTED_VALUE"""),"David")</f>
        <v>David</v>
      </c>
      <c r="E7370" s="42" t="str">
        <f>IFERROR(__xludf.DUMMYFUNCTION("""COMPUTED_VALUE"""),"DISERAHKAN")</f>
        <v>DISERAHKAN</v>
      </c>
      <c r="F7370" s="48">
        <f>IFERROR(__xludf.DUMMYFUNCTION("""COMPUTED_VALUE"""),45943.69613686342)</f>
        <v>45943.69614</v>
      </c>
      <c r="G7370" s="42" t="str">
        <f>IFERROR(__xludf.DUMMYFUNCTION("""COMPUTED_VALUE"""),"Roya	")</f>
        <v>Roya	</v>
      </c>
      <c r="H7370" s="42">
        <f t="shared" si="1"/>
        <v>3106</v>
      </c>
    </row>
    <row r="7371" ht="22.5" customHeight="1">
      <c r="B7371" s="42" t="str">
        <f>IFERROR(__xludf.DUMMYFUNCTION("""COMPUTED_VALUE"""),"K/36/100925/1")</f>
        <v>K/36/100925/1</v>
      </c>
      <c r="C7371" s="42" t="str">
        <f>IFERROR(__xludf.DUMMYFUNCTION("""COMPUTED_VALUE"""),"M 10708/ SEGALA MIDER")</f>
        <v>M 10708/ SEGALA MIDER</v>
      </c>
      <c r="D7371" s="42" t="str">
        <f>IFERROR(__xludf.DUMMYFUNCTION("""COMPUTED_VALUE"""),"Berry")</f>
        <v>Berry</v>
      </c>
      <c r="E7371" s="42" t="str">
        <f>IFERROR(__xludf.DUMMYFUNCTION("""COMPUTED_VALUE"""),"DISERAHKAN")</f>
        <v>DISERAHKAN</v>
      </c>
      <c r="F7371" s="48">
        <f>IFERROR(__xludf.DUMMYFUNCTION("""COMPUTED_VALUE"""),45938.51281479167)</f>
        <v>45938.51281</v>
      </c>
      <c r="G7371" s="42" t="str">
        <f>IFERROR(__xludf.DUMMYFUNCTION("""COMPUTED_VALUE"""),"BN JUAL BELI")</f>
        <v>BN JUAL BELI</v>
      </c>
      <c r="H7371" s="42">
        <f t="shared" si="1"/>
        <v>3107</v>
      </c>
    </row>
    <row r="7372" ht="22.5" customHeight="1">
      <c r="B7372" s="42" t="str">
        <f>IFERROR(__xludf.DUMMYFUNCTION("""COMPUTED_VALUE"""),"K/37/100925/2")</f>
        <v>K/37/100925/2</v>
      </c>
      <c r="C7372" s="42" t="str">
        <f>IFERROR(__xludf.DUMMYFUNCTION("""COMPUTED_VALUE"""),"M 4291/ GUNUNG TERANG")</f>
        <v>M 4291/ GUNUNG TERANG</v>
      </c>
      <c r="D7372" s="42" t="str">
        <f>IFERROR(__xludf.DUMMYFUNCTION("""COMPUTED_VALUE"""),"Berry")</f>
        <v>Berry</v>
      </c>
      <c r="E7372" s="42" t="str">
        <f>IFERROR(__xludf.DUMMYFUNCTION("""COMPUTED_VALUE"""),"DISERAHKAN")</f>
        <v>DISERAHKAN</v>
      </c>
      <c r="F7372" s="48">
        <f>IFERROR(__xludf.DUMMYFUNCTION("""COMPUTED_VALUE"""),45938.48803559028)</f>
        <v>45938.48804</v>
      </c>
      <c r="G7372" s="42" t="str">
        <f>IFERROR(__xludf.DUMMYFUNCTION("""COMPUTED_VALUE"""),"BN JUAL BELI")</f>
        <v>BN JUAL BELI</v>
      </c>
      <c r="H7372" s="42">
        <f t="shared" si="1"/>
        <v>3108</v>
      </c>
    </row>
    <row r="7373" ht="22.5" customHeight="1">
      <c r="B7373" s="42" t="str">
        <f>IFERROR(__xludf.DUMMYFUNCTION("""COMPUTED_VALUE"""),"K/38/100925/1")</f>
        <v>K/38/100925/1</v>
      </c>
      <c r="C7373" s="42" t="str">
        <f>IFERROR(__xludf.DUMMYFUNCTION("""COMPUTED_VALUE"""),"M. 2024/Kali Balau Kencana	")</f>
        <v>M. 2024/Kali Balau Kencana	</v>
      </c>
      <c r="D7373" s="42" t="str">
        <f>IFERROR(__xludf.DUMMYFUNCTION("""COMPUTED_VALUE"""),"Berry")</f>
        <v>Berry</v>
      </c>
      <c r="E7373" s="42" t="str">
        <f>IFERROR(__xludf.DUMMYFUNCTION("""COMPUTED_VALUE"""),"DISERAHKAN")</f>
        <v>DISERAHKAN</v>
      </c>
      <c r="F7373" s="48">
        <f>IFERROR(__xludf.DUMMYFUNCTION("""COMPUTED_VALUE"""),45922.643139259264)</f>
        <v>45922.64314</v>
      </c>
      <c r="G7373" s="42" t="str">
        <f>IFERROR(__xludf.DUMMYFUNCTION("""COMPUTED_VALUE"""),"BN Waris	")</f>
        <v>BN Waris	</v>
      </c>
      <c r="H7373" s="42">
        <f t="shared" si="1"/>
        <v>3109</v>
      </c>
    </row>
    <row r="7374" ht="22.5" customHeight="1">
      <c r="B7374" s="42" t="str">
        <f>IFERROR(__xludf.DUMMYFUNCTION("""COMPUTED_VALUE"""),"L/2/110925/1")</f>
        <v>L/2/110925/1</v>
      </c>
      <c r="C7374" s="42" t="str">
        <f>IFERROR(__xludf.DUMMYFUNCTION("""COMPUTED_VALUE"""),"M. 9080/SUKARAME")</f>
        <v>M. 9080/SUKARAME</v>
      </c>
      <c r="D7374" s="42" t="str">
        <f>IFERROR(__xludf.DUMMYFUNCTION("""COMPUTED_VALUE"""),"Berry")</f>
        <v>Berry</v>
      </c>
      <c r="E7374" s="42" t="str">
        <f>IFERROR(__xludf.DUMMYFUNCTION("""COMPUTED_VALUE"""),"DISERAHKAN")</f>
        <v>DISERAHKAN</v>
      </c>
      <c r="F7374" s="48">
        <f>IFERROR(__xludf.DUMMYFUNCTION("""COMPUTED_VALUE"""),45932.70230359954)</f>
        <v>45932.7023</v>
      </c>
      <c r="G7374" s="42" t="str">
        <f>IFERROR(__xludf.DUMMYFUNCTION("""COMPUTED_VALUE"""),"ROYA WARIS")</f>
        <v>ROYA WARIS</v>
      </c>
      <c r="H7374" s="42">
        <f t="shared" si="1"/>
        <v>3110</v>
      </c>
    </row>
    <row r="7375" ht="22.5" customHeight="1">
      <c r="B7375" s="42" t="str">
        <f>IFERROR(__xludf.DUMMYFUNCTION("""COMPUTED_VALUE"""),"L/3/110925/1")</f>
        <v>L/3/110925/1</v>
      </c>
      <c r="C7375" s="42" t="str">
        <f>IFERROR(__xludf.DUMMYFUNCTION("""COMPUTED_VALUE"""),"B NIB. 1605/NUSANTARA PERMAI")</f>
        <v>B NIB. 1605/NUSANTARA PERMAI</v>
      </c>
      <c r="D7375" s="42" t="str">
        <f>IFERROR(__xludf.DUMMYFUNCTION("""COMPUTED_VALUE"""),"Berry")</f>
        <v>Berry</v>
      </c>
      <c r="E7375" s="42" t="str">
        <f>IFERROR(__xludf.DUMMYFUNCTION("""COMPUTED_VALUE"""),"DISERAHKAN")</f>
        <v>DISERAHKAN</v>
      </c>
      <c r="F7375" s="48">
        <f>IFERROR(__xludf.DUMMYFUNCTION("""COMPUTED_VALUE"""),45979.6452196412)</f>
        <v>45979.64522</v>
      </c>
      <c r="G7375" s="42" t="str">
        <f>IFERROR(__xludf.DUMMYFUNCTION("""COMPUTED_VALUE"""),"PENINGKATAN HAK")</f>
        <v>PENINGKATAN HAK</v>
      </c>
      <c r="H7375" s="42">
        <f t="shared" si="1"/>
        <v>3111</v>
      </c>
    </row>
    <row r="7376" ht="22.5" customHeight="1">
      <c r="B7376" s="42" t="str">
        <f>IFERROR(__xludf.DUMMYFUNCTION("""COMPUTED_VALUE"""),"K/34/100925/4")</f>
        <v>K/34/100925/4</v>
      </c>
      <c r="C7376" s="42" t="str">
        <f>IFERROR(__xludf.DUMMYFUNCTION("""COMPUTED_VALUE"""),"B. 2410/CAMPANG JAYA")</f>
        <v>B. 2410/CAMPANG JAYA</v>
      </c>
      <c r="D7376" s="42"/>
      <c r="E7376" s="42"/>
      <c r="F7376" s="48" t="str">
        <f>IFERROR(__xludf.DUMMYFUNCTION("""COMPUTED_VALUE"""),"")</f>
        <v/>
      </c>
      <c r="G7376" s="42" t="str">
        <f>IFERROR(__xludf.DUMMYFUNCTION("""COMPUTED_VALUE"""),"BN JUAL BELI EL")</f>
        <v>BN JUAL BELI EL</v>
      </c>
      <c r="H7376" s="42">
        <f t="shared" si="1"/>
        <v>3111</v>
      </c>
    </row>
    <row r="7377" ht="22.5" customHeight="1">
      <c r="B7377" s="42" t="str">
        <f>IFERROR(__xludf.DUMMYFUNCTION("""COMPUTED_VALUE"""),"K/4/110925/1")</f>
        <v>K/4/110925/1</v>
      </c>
      <c r="C7377" s="42" t="str">
        <f>IFERROR(__xludf.DUMMYFUNCTION("""COMPUTED_VALUE"""),"NIBEL M. 18823.4/KOTA SEPANG")</f>
        <v>NIBEL M. 18823.4/KOTA SEPANG</v>
      </c>
      <c r="D7377" s="42" t="str">
        <f>IFERROR(__xludf.DUMMYFUNCTION("""COMPUTED_VALUE"""),"David")</f>
        <v>David</v>
      </c>
      <c r="E7377" s="42" t="str">
        <f>IFERROR(__xludf.DUMMYFUNCTION("""COMPUTED_VALUE"""),"DISERAHKAN")</f>
        <v>DISERAHKAN</v>
      </c>
      <c r="F7377" s="48">
        <f>IFERROR(__xludf.DUMMYFUNCTION("""COMPUTED_VALUE"""),45943.701306030096)</f>
        <v>45943.70131</v>
      </c>
      <c r="G7377" s="42" t="str">
        <f>IFERROR(__xludf.DUMMYFUNCTION("""COMPUTED_VALUE"""),"BN JUAL BELI EL")</f>
        <v>BN JUAL BELI EL</v>
      </c>
      <c r="H7377" s="42">
        <f t="shared" si="1"/>
        <v>3112</v>
      </c>
    </row>
    <row r="7378" ht="22.5" customHeight="1">
      <c r="B7378" s="42" t="str">
        <f>IFERROR(__xludf.DUMMYFUNCTION("""COMPUTED_VALUE"""),"K/8/110925/1")</f>
        <v>K/8/110925/1</v>
      </c>
      <c r="C7378" s="42" t="str">
        <f>IFERROR(__xludf.DUMMYFUNCTION("""COMPUTED_VALUE"""),"B. 631/Nusantara Permai	")</f>
        <v>B. 631/Nusantara Permai	</v>
      </c>
      <c r="D7378" s="42"/>
      <c r="E7378" s="42"/>
      <c r="F7378" s="48" t="str">
        <f>IFERROR(__xludf.DUMMYFUNCTION("""COMPUTED_VALUE"""),"")</f>
        <v/>
      </c>
      <c r="G7378" s="42" t="str">
        <f>IFERROR(__xludf.DUMMYFUNCTION("""COMPUTED_VALUE"""),"perubahan Hak ")</f>
        <v>perubahan Hak </v>
      </c>
      <c r="H7378" s="42">
        <f t="shared" si="1"/>
        <v>3112</v>
      </c>
    </row>
    <row r="7379" ht="22.5" customHeight="1">
      <c r="B7379" s="42" t="str">
        <f>IFERROR(__xludf.DUMMYFUNCTION("""COMPUTED_VALUE"""),"K/9/110925/1")</f>
        <v>K/9/110925/1</v>
      </c>
      <c r="C7379" s="42" t="str">
        <f>IFERROR(__xludf.DUMMYFUNCTION("""COMPUTED_VALUE"""),"M 2570/ SUMBER AGUNG")</f>
        <v>M 2570/ SUMBER AGUNG</v>
      </c>
      <c r="D7379" s="42"/>
      <c r="E7379" s="42"/>
      <c r="F7379" s="48" t="str">
        <f>IFERROR(__xludf.DUMMYFUNCTION("""COMPUTED_VALUE"""),"")</f>
        <v/>
      </c>
      <c r="G7379" s="42" t="str">
        <f>IFERROR(__xludf.DUMMYFUNCTION("""COMPUTED_VALUE"""),"BN JUAL BELI")</f>
        <v>BN JUAL BELI</v>
      </c>
      <c r="H7379" s="42">
        <f t="shared" si="1"/>
        <v>3112</v>
      </c>
    </row>
    <row r="7380" ht="22.5" customHeight="1">
      <c r="B7380" s="42" t="str">
        <f>IFERROR(__xludf.DUMMYFUNCTION("""COMPUTED_VALUE"""),"K/7/110925/1")</f>
        <v>K/7/110925/1</v>
      </c>
      <c r="C7380" s="42" t="str">
        <f>IFERROR(__xludf.DUMMYFUNCTION("""COMPUTED_VALUE"""),"NIBEL B 16243/ SUMUR PUTRI")</f>
        <v>NIBEL B 16243/ SUMUR PUTRI</v>
      </c>
      <c r="D7380" s="42" t="str">
        <f>IFERROR(__xludf.DUMMYFUNCTION("""COMPUTED_VALUE"""),"Berry")</f>
        <v>Berry</v>
      </c>
      <c r="E7380" s="42" t="str">
        <f>IFERROR(__xludf.DUMMYFUNCTION("""COMPUTED_VALUE"""),"DISERAHKAN")</f>
        <v>DISERAHKAN</v>
      </c>
      <c r="F7380" s="48">
        <f>IFERROR(__xludf.DUMMYFUNCTION("""COMPUTED_VALUE"""),45968.49134877315)</f>
        <v>45968.49135</v>
      </c>
      <c r="G7380" s="42" t="str">
        <f>IFERROR(__xludf.DUMMYFUNCTION("""COMPUTED_VALUE"""),"PENINGKATAN")</f>
        <v>PENINGKATAN</v>
      </c>
      <c r="H7380" s="42">
        <f t="shared" si="1"/>
        <v>3113</v>
      </c>
    </row>
    <row r="7381" ht="22.5" customHeight="1">
      <c r="B7381" s="42" t="str">
        <f>IFERROR(__xludf.DUMMYFUNCTION("""COMPUTED_VALUE"""),"K/1/110925/1")</f>
        <v>K/1/110925/1</v>
      </c>
      <c r="C7381" s="42" t="str">
        <f>IFERROR(__xludf.DUMMYFUNCTION("""COMPUTED_VALUE"""),"M 4822/ LANGKAPURA")</f>
        <v>M 4822/ LANGKAPURA</v>
      </c>
      <c r="D7381" s="42"/>
      <c r="E7381" s="42"/>
      <c r="F7381" s="48" t="str">
        <f>IFERROR(__xludf.DUMMYFUNCTION("""COMPUTED_VALUE"""),"")</f>
        <v/>
      </c>
      <c r="G7381" s="42" t="str">
        <f>IFERROR(__xludf.DUMMYFUNCTION("""COMPUTED_VALUE"""),"SKPT INFORMASI")</f>
        <v>SKPT INFORMASI</v>
      </c>
      <c r="H7381" s="42">
        <f t="shared" si="1"/>
        <v>3113</v>
      </c>
    </row>
    <row r="7382" ht="22.5" customHeight="1">
      <c r="B7382" s="42" t="str">
        <f>IFERROR(__xludf.DUMMYFUNCTION("""COMPUTED_VALUE"""),"L/10/110925/1")</f>
        <v>L/10/110925/1</v>
      </c>
      <c r="C7382" s="42" t="str">
        <f>IFERROR(__xludf.DUMMYFUNCTION("""COMPUTED_VALUE"""),"M. 17070/SUKARAME I")</f>
        <v>M. 17070/SUKARAME I</v>
      </c>
      <c r="D7382" s="42"/>
      <c r="E7382" s="42"/>
      <c r="F7382" s="48" t="str">
        <f>IFERROR(__xludf.DUMMYFUNCTION("""COMPUTED_VALUE"""),"")</f>
        <v/>
      </c>
      <c r="G7382" s="42" t="str">
        <f>IFERROR(__xludf.DUMMYFUNCTION("""COMPUTED_VALUE"""),"ROYA")</f>
        <v>ROYA</v>
      </c>
      <c r="H7382" s="42">
        <f t="shared" si="1"/>
        <v>3113</v>
      </c>
    </row>
    <row r="7383" ht="22.5" customHeight="1">
      <c r="B7383" s="42" t="str">
        <f>IFERROR(__xludf.DUMMYFUNCTION("""COMPUTED_VALUE"""),"K/11/110925/1")</f>
        <v>K/11/110925/1</v>
      </c>
      <c r="C7383" s="42" t="str">
        <f>IFERROR(__xludf.DUMMYFUNCTION("""COMPUTED_VALUE"""),"M. 703/Gunung Agung	")</f>
        <v>M. 703/Gunung Agung	</v>
      </c>
      <c r="D7383" s="42" t="str">
        <f>IFERROR(__xludf.DUMMYFUNCTION("""COMPUTED_VALUE"""),"David")</f>
        <v>David</v>
      </c>
      <c r="E7383" s="42" t="str">
        <f>IFERROR(__xludf.DUMMYFUNCTION("""COMPUTED_VALUE"""),"DISERAHKAN")</f>
        <v>DISERAHKAN</v>
      </c>
      <c r="F7383" s="48">
        <f>IFERROR(__xludf.DUMMYFUNCTION("""COMPUTED_VALUE"""),45943.69597032407)</f>
        <v>45943.69597</v>
      </c>
      <c r="G7383" s="42" t="str">
        <f>IFERROR(__xludf.DUMMYFUNCTION("""COMPUTED_VALUE"""),"BN Lelang	")</f>
        <v>BN Lelang	</v>
      </c>
      <c r="H7383" s="42">
        <f t="shared" si="1"/>
        <v>3114</v>
      </c>
    </row>
    <row r="7384" ht="22.5" customHeight="1">
      <c r="B7384" s="42" t="str">
        <f>IFERROR(__xludf.DUMMYFUNCTION("""COMPUTED_VALUE"""),"K/13/110925/1")</f>
        <v>K/13/110925/1</v>
      </c>
      <c r="C7384" s="42" t="str">
        <f>IFERROR(__xludf.DUMMYFUNCTION("""COMPUTED_VALUE"""),"M 1177/ KETEGUHAN")</f>
        <v>M 1177/ KETEGUHAN</v>
      </c>
      <c r="D7384" s="42" t="str">
        <f>IFERROR(__xludf.DUMMYFUNCTION("""COMPUTED_VALUE"""),"Berry")</f>
        <v>Berry</v>
      </c>
      <c r="E7384" s="42" t="str">
        <f>IFERROR(__xludf.DUMMYFUNCTION("""COMPUTED_VALUE"""),"DISERAHKAN")</f>
        <v>DISERAHKAN</v>
      </c>
      <c r="F7384" s="48">
        <f>IFERROR(__xludf.DUMMYFUNCTION("""COMPUTED_VALUE"""),45926.54841349537)</f>
        <v>45926.54841</v>
      </c>
      <c r="G7384" s="42" t="str">
        <f>IFERROR(__xludf.DUMMYFUNCTION("""COMPUTED_VALUE"""),"BN JUAL BELI")</f>
        <v>BN JUAL BELI</v>
      </c>
      <c r="H7384" s="42">
        <f t="shared" si="1"/>
        <v>3115</v>
      </c>
    </row>
    <row r="7385" ht="22.5" customHeight="1">
      <c r="B7385" s="42" t="str">
        <f>IFERROR(__xludf.DUMMYFUNCTION("""COMPUTED_VALUE"""),"K/12/110925/2 / ")</f>
        <v>K/12/110925/2 / </v>
      </c>
      <c r="C7385" s="42" t="str">
        <f>IFERROR(__xludf.DUMMYFUNCTION("""COMPUTED_VALUE"""),"M. 810.Way Laga	")</f>
        <v>M. 810.Way Laga	</v>
      </c>
      <c r="D7385" s="42"/>
      <c r="E7385" s="42"/>
      <c r="F7385" s="48" t="str">
        <f>IFERROR(__xludf.DUMMYFUNCTION("""COMPUTED_VALUE"""),"")</f>
        <v/>
      </c>
      <c r="G7385" s="42" t="str">
        <f>IFERROR(__xludf.DUMMYFUNCTION("""COMPUTED_VALUE"""),"Roya	")</f>
        <v>Roya	</v>
      </c>
      <c r="H7385" s="42">
        <f t="shared" si="1"/>
        <v>3115</v>
      </c>
    </row>
    <row r="7386" ht="22.5" customHeight="1">
      <c r="B7386" s="42" t="str">
        <f>IFERROR(__xludf.DUMMYFUNCTION("""COMPUTED_VALUE"""),"K/5/110925/2")</f>
        <v>K/5/110925/2</v>
      </c>
      <c r="C7386" s="42" t="str">
        <f>IFERROR(__xludf.DUMMYFUNCTION("""COMPUTED_VALUE"""),"M. 2435/SUKARAME BARU")</f>
        <v>M. 2435/SUKARAME BARU</v>
      </c>
      <c r="D7386" s="42" t="str">
        <f>IFERROR(__xludf.DUMMYFUNCTION("""COMPUTED_VALUE"""),"David")</f>
        <v>David</v>
      </c>
      <c r="E7386" s="42"/>
      <c r="F7386" s="48" t="str">
        <f>IFERROR(__xludf.DUMMYFUNCTION("""COMPUTED_VALUE"""),"")</f>
        <v/>
      </c>
      <c r="G7386" s="42" t="str">
        <f>IFERROR(__xludf.DUMMYFUNCTION("""COMPUTED_VALUE"""),"BN JUAL BELI EL")</f>
        <v>BN JUAL BELI EL</v>
      </c>
      <c r="H7386" s="42">
        <f t="shared" si="1"/>
        <v>3115</v>
      </c>
    </row>
    <row r="7387" ht="22.5" customHeight="1">
      <c r="B7387" s="42" t="str">
        <f>IFERROR(__xludf.DUMMYFUNCTION("""COMPUTED_VALUE"""),"L/15/110925/1")</f>
        <v>L/15/110925/1</v>
      </c>
      <c r="C7387" s="42" t="str">
        <f>IFERROR(__xludf.DUMMYFUNCTION("""COMPUTED_VALUE"""),"M. 9507/KEDAMAIAN")</f>
        <v>M. 9507/KEDAMAIAN</v>
      </c>
      <c r="D7387" s="42" t="str">
        <f>IFERROR(__xludf.DUMMYFUNCTION("""COMPUTED_VALUE"""),"David")</f>
        <v>David</v>
      </c>
      <c r="E7387" s="42" t="str">
        <f>IFERROR(__xludf.DUMMYFUNCTION("""COMPUTED_VALUE"""),"DISERAHKAN")</f>
        <v>DISERAHKAN</v>
      </c>
      <c r="F7387" s="48">
        <f>IFERROR(__xludf.DUMMYFUNCTION("""COMPUTED_VALUE"""),45943.698613182874)</f>
        <v>45943.69861</v>
      </c>
      <c r="G7387" s="42" t="str">
        <f>IFERROR(__xludf.DUMMYFUNCTION("""COMPUTED_VALUE"""),"ROYA")</f>
        <v>ROYA</v>
      </c>
      <c r="H7387" s="42">
        <f t="shared" si="1"/>
        <v>3116</v>
      </c>
    </row>
    <row r="7388" ht="22.5" customHeight="1">
      <c r="B7388" s="42" t="str">
        <f>IFERROR(__xludf.DUMMYFUNCTION("""COMPUTED_VALUE"""),"K/14/110925/1")</f>
        <v>K/14/110925/1</v>
      </c>
      <c r="C7388" s="42" t="str">
        <f>IFERROR(__xludf.DUMMYFUNCTION("""COMPUTED_VALUE"""),"M. 2177/LABUHAN RATU RAYA")</f>
        <v>M. 2177/LABUHAN RATU RAYA</v>
      </c>
      <c r="D7388" s="42" t="str">
        <f>IFERROR(__xludf.DUMMYFUNCTION("""COMPUTED_VALUE"""),"David")</f>
        <v>David</v>
      </c>
      <c r="E7388" s="42"/>
      <c r="F7388" s="48" t="str">
        <f>IFERROR(__xludf.DUMMYFUNCTION("""COMPUTED_VALUE"""),"")</f>
        <v/>
      </c>
      <c r="G7388" s="42" t="str">
        <f>IFERROR(__xludf.DUMMYFUNCTION("""COMPUTED_VALUE"""),"BN JUAL BELI EL ")</f>
        <v>BN JUAL BELI EL </v>
      </c>
      <c r="H7388" s="42">
        <f t="shared" si="1"/>
        <v>3116</v>
      </c>
    </row>
    <row r="7389" ht="22.5" customHeight="1">
      <c r="B7389" s="42" t="str">
        <f>IFERROR(__xludf.DUMMYFUNCTION("""COMPUTED_VALUE"""),"L/17/110925/1")</f>
        <v>L/17/110925/1</v>
      </c>
      <c r="C7389" s="42" t="str">
        <f>IFERROR(__xludf.DUMMYFUNCTION("""COMPUTED_VALUE"""),"M. 13376/SUKARAME I")</f>
        <v>M. 13376/SUKARAME I</v>
      </c>
      <c r="D7389" s="42"/>
      <c r="E7389" s="42"/>
      <c r="F7389" s="48" t="str">
        <f>IFERROR(__xludf.DUMMYFUNCTION("""COMPUTED_VALUE"""),"")</f>
        <v/>
      </c>
      <c r="G7389" s="42" t="str">
        <f>IFERROR(__xludf.DUMMYFUNCTION("""COMPUTED_VALUE"""),"ROYA")</f>
        <v>ROYA</v>
      </c>
      <c r="H7389" s="42">
        <f t="shared" si="1"/>
        <v>3116</v>
      </c>
    </row>
    <row r="7390" ht="22.5" customHeight="1">
      <c r="B7390" s="42" t="str">
        <f>IFERROR(__xludf.DUMMYFUNCTION("""COMPUTED_VALUE"""),"L/21/110925/1")</f>
        <v>L/21/110925/1</v>
      </c>
      <c r="C7390" s="42" t="str">
        <f>IFERROR(__xludf.DUMMYFUNCTION("""COMPUTED_VALUE"""),"B. 46/KAMPUNG BARU RAYA")</f>
        <v>B. 46/KAMPUNG BARU RAYA</v>
      </c>
      <c r="D7390" s="42"/>
      <c r="E7390" s="42"/>
      <c r="F7390" s="48" t="str">
        <f>IFERROR(__xludf.DUMMYFUNCTION("""COMPUTED_VALUE"""),"")</f>
        <v/>
      </c>
      <c r="G7390" s="42" t="str">
        <f>IFERROR(__xludf.DUMMYFUNCTION("""COMPUTED_VALUE"""),"PENINGKATAN HAK")</f>
        <v>PENINGKATAN HAK</v>
      </c>
      <c r="H7390" s="42">
        <f t="shared" si="1"/>
        <v>3116</v>
      </c>
    </row>
    <row r="7391" ht="22.5" customHeight="1">
      <c r="B7391" s="42" t="str">
        <f>IFERROR(__xludf.DUMMYFUNCTION("""COMPUTED_VALUE"""),"K/18/110925/1")</f>
        <v>K/18/110925/1</v>
      </c>
      <c r="C7391" s="42" t="str">
        <f>IFERROR(__xludf.DUMMYFUNCTION("""COMPUTED_VALUE"""),"Nibel 362/Kemiling Permai	")</f>
        <v>Nibel 362/Kemiling Permai	</v>
      </c>
      <c r="D7391" s="42" t="str">
        <f>IFERROR(__xludf.DUMMYFUNCTION("""COMPUTED_VALUE"""),"Berry")</f>
        <v>Berry</v>
      </c>
      <c r="E7391" s="42" t="str">
        <f>IFERROR(__xludf.DUMMYFUNCTION("""COMPUTED_VALUE"""),"DISERAHKAN")</f>
        <v>DISERAHKAN</v>
      </c>
      <c r="F7391" s="48">
        <f>IFERROR(__xludf.DUMMYFUNCTION("""COMPUTED_VALUE"""),45929.59831652778)</f>
        <v>45929.59832</v>
      </c>
      <c r="G7391" s="42" t="str">
        <f>IFERROR(__xludf.DUMMYFUNCTION("""COMPUTED_VALUE"""),"BN Jual Beli	")</f>
        <v>BN Jual Beli	</v>
      </c>
      <c r="H7391" s="42">
        <f t="shared" si="1"/>
        <v>3117</v>
      </c>
    </row>
    <row r="7392" ht="22.5" customHeight="1">
      <c r="B7392" s="42" t="str">
        <f>IFERROR(__xludf.DUMMYFUNCTION("""COMPUTED_VALUE"""),"K/22/110925/1")</f>
        <v>K/22/110925/1</v>
      </c>
      <c r="C7392" s="42" t="str">
        <f>IFERROR(__xludf.DUMMYFUNCTION("""COMPUTED_VALUE"""),"M 11692/ SUKABUMI")</f>
        <v>M 11692/ SUKABUMI</v>
      </c>
      <c r="D7392" s="42"/>
      <c r="E7392" s="42"/>
      <c r="F7392" s="48" t="str">
        <f>IFERROR(__xludf.DUMMYFUNCTION("""COMPUTED_VALUE"""),"")</f>
        <v/>
      </c>
      <c r="G7392" s="42" t="str">
        <f>IFERROR(__xludf.DUMMYFUNCTION("""COMPUTED_VALUE"""),"BN JUAL BELI")</f>
        <v>BN JUAL BELI</v>
      </c>
      <c r="H7392" s="42">
        <f t="shared" si="1"/>
        <v>3117</v>
      </c>
    </row>
    <row r="7393" ht="22.5" customHeight="1">
      <c r="B7393" s="42" t="str">
        <f>IFERROR(__xludf.DUMMYFUNCTION("""COMPUTED_VALUE"""),"L/25/110925/1")</f>
        <v>L/25/110925/1</v>
      </c>
      <c r="C7393" s="42" t="str">
        <f>IFERROR(__xludf.DUMMYFUNCTION("""COMPUTED_VALUE"""),"M. 42/KEMILING PERMAI")</f>
        <v>M. 42/KEMILING PERMAI</v>
      </c>
      <c r="D7393" s="42"/>
      <c r="E7393" s="42"/>
      <c r="F7393" s="48" t="str">
        <f>IFERROR(__xludf.DUMMYFUNCTION("""COMPUTED_VALUE"""),"")</f>
        <v/>
      </c>
      <c r="G7393" s="42" t="str">
        <f>IFERROR(__xludf.DUMMYFUNCTION("""COMPUTED_VALUE"""),"ROYA")</f>
        <v>ROYA</v>
      </c>
      <c r="H7393" s="42">
        <f t="shared" si="1"/>
        <v>3117</v>
      </c>
    </row>
    <row r="7394" ht="22.5" customHeight="1">
      <c r="B7394" s="42" t="str">
        <f>IFERROR(__xludf.DUMMYFUNCTION("""COMPUTED_VALUE"""),"K/19/110925/2")</f>
        <v>K/19/110925/2</v>
      </c>
      <c r="C7394" s="42" t="str">
        <f>IFERROR(__xludf.DUMMYFUNCTION("""COMPUTED_VALUE"""),"Nibel 17720/Kemiling Permai	")</f>
        <v>Nibel 17720/Kemiling Permai	</v>
      </c>
      <c r="D7394" s="42"/>
      <c r="E7394" s="42"/>
      <c r="F7394" s="48" t="str">
        <f>IFERROR(__xludf.DUMMYFUNCTION("""COMPUTED_VALUE"""),"")</f>
        <v/>
      </c>
      <c r="G7394" s="42" t="str">
        <f>IFERROR(__xludf.DUMMYFUNCTION("""COMPUTED_VALUE"""),"BN Jual Beli Badan Hukum	")</f>
        <v>BN Jual Beli Badan Hukum	</v>
      </c>
      <c r="H7394" s="42">
        <f t="shared" si="1"/>
        <v>3117</v>
      </c>
    </row>
    <row r="7395" ht="22.5" customHeight="1">
      <c r="B7395" s="42" t="str">
        <f>IFERROR(__xludf.DUMMYFUNCTION("""COMPUTED_VALUE"""),"K/23/110925/2")</f>
        <v>K/23/110925/2</v>
      </c>
      <c r="C7395" s="42" t="str">
        <f>IFERROR(__xludf.DUMMYFUNCTION("""COMPUTED_VALUE"""),"M 1015/ KORPRI JAYA")</f>
        <v>M 1015/ KORPRI JAYA</v>
      </c>
      <c r="D7395" s="42"/>
      <c r="E7395" s="42"/>
      <c r="F7395" s="48" t="str">
        <f>IFERROR(__xludf.DUMMYFUNCTION("""COMPUTED_VALUE"""),"")</f>
        <v/>
      </c>
      <c r="G7395" s="42" t="str">
        <f>IFERROR(__xludf.DUMMYFUNCTION("""COMPUTED_VALUE"""),"BN JUAL BELI")</f>
        <v>BN JUAL BELI</v>
      </c>
      <c r="H7395" s="42">
        <f t="shared" si="1"/>
        <v>3117</v>
      </c>
    </row>
    <row r="7396" ht="22.5" customHeight="1">
      <c r="B7396" s="42" t="str">
        <f>IFERROR(__xludf.DUMMYFUNCTION("""COMPUTED_VALUE"""),"K/16/110925/1")</f>
        <v>K/16/110925/1</v>
      </c>
      <c r="C7396" s="42" t="str">
        <f>IFERROR(__xludf.DUMMYFUNCTION("""COMPUTED_VALUE"""),"M. 9130/JAGABAYA II")</f>
        <v>M. 9130/JAGABAYA II</v>
      </c>
      <c r="D7396" s="42"/>
      <c r="E7396" s="42"/>
      <c r="F7396" s="48" t="str">
        <f>IFERROR(__xludf.DUMMYFUNCTION("""COMPUTED_VALUE"""),"")</f>
        <v/>
      </c>
      <c r="G7396" s="42" t="str">
        <f>IFERROR(__xludf.DUMMYFUNCTION("""COMPUTED_VALUE"""),"ROYA")</f>
        <v>ROYA</v>
      </c>
      <c r="H7396" s="42">
        <f t="shared" si="1"/>
        <v>3117</v>
      </c>
    </row>
    <row r="7397" ht="22.5" customHeight="1">
      <c r="B7397" s="42" t="str">
        <f>IFERROR(__xludf.DUMMYFUNCTION("""COMPUTED_VALUE"""),"K/29/110925/1")</f>
        <v>K/29/110925/1</v>
      </c>
      <c r="C7397" s="42" t="str">
        <f>IFERROR(__xludf.DUMMYFUNCTION("""COMPUTED_VALUE"""),"M 2009/ DURIAN PAYUNG")</f>
        <v>M 2009/ DURIAN PAYUNG</v>
      </c>
      <c r="D7397" s="42"/>
      <c r="E7397" s="42"/>
      <c r="F7397" s="48" t="str">
        <f>IFERROR(__xludf.DUMMYFUNCTION("""COMPUTED_VALUE"""),"")</f>
        <v/>
      </c>
      <c r="G7397" s="42" t="str">
        <f>IFERROR(__xludf.DUMMYFUNCTION("""COMPUTED_VALUE"""),"BN HIBAH")</f>
        <v>BN HIBAH</v>
      </c>
      <c r="H7397" s="42">
        <f t="shared" si="1"/>
        <v>3117</v>
      </c>
    </row>
    <row r="7398" ht="22.5" customHeight="1">
      <c r="B7398" s="42" t="str">
        <f>IFERROR(__xludf.DUMMYFUNCTION("""COMPUTED_VALUE"""),"K/26/110925/1")</f>
        <v>K/26/110925/1</v>
      </c>
      <c r="C7398" s="42" t="str">
        <f>IFERROR(__xludf.DUMMYFUNCTION("""COMPUTED_VALUE"""),"M. 16465/Sukabumi	")</f>
        <v>M. 16465/Sukabumi	</v>
      </c>
      <c r="D7398" s="42" t="str">
        <f>IFERROR(__xludf.DUMMYFUNCTION("""COMPUTED_VALUE"""),"David")</f>
        <v>David</v>
      </c>
      <c r="E7398" s="42" t="str">
        <f>IFERROR(__xludf.DUMMYFUNCTION("""COMPUTED_VALUE"""),"DISERAHKAN")</f>
        <v>DISERAHKAN</v>
      </c>
      <c r="F7398" s="48">
        <f>IFERROR(__xludf.DUMMYFUNCTION("""COMPUTED_VALUE"""),45960.64487729166)</f>
        <v>45960.64488</v>
      </c>
      <c r="G7398" s="42" t="str">
        <f>IFERROR(__xludf.DUMMYFUNCTION("""COMPUTED_VALUE"""),"BN Jual Beli 	")</f>
        <v>BN Jual Beli 	</v>
      </c>
      <c r="H7398" s="42">
        <f t="shared" si="1"/>
        <v>3118</v>
      </c>
    </row>
    <row r="7399" ht="22.5" customHeight="1">
      <c r="B7399" s="42" t="str">
        <f>IFERROR(__xludf.DUMMYFUNCTION("""COMPUTED_VALUE"""),"K/24/110925/3")</f>
        <v>K/24/110925/3</v>
      </c>
      <c r="C7399" s="42" t="str">
        <f>IFERROR(__xludf.DUMMYFUNCTION("""COMPUTED_VALUE"""),"M 12614/ SUKARAME")</f>
        <v>M 12614/ SUKARAME</v>
      </c>
      <c r="D7399" s="42" t="str">
        <f>IFERROR(__xludf.DUMMYFUNCTION("""COMPUTED_VALUE"""),"Berry")</f>
        <v>Berry</v>
      </c>
      <c r="E7399" s="42" t="str">
        <f>IFERROR(__xludf.DUMMYFUNCTION("""COMPUTED_VALUE"""),"DISERAHKAN")</f>
        <v>DISERAHKAN</v>
      </c>
      <c r="F7399" s="48">
        <f>IFERROR(__xludf.DUMMYFUNCTION("""COMPUTED_VALUE"""),45975.4915503588)</f>
        <v>45975.49155</v>
      </c>
      <c r="G7399" s="42" t="str">
        <f>IFERROR(__xludf.DUMMYFUNCTION("""COMPUTED_VALUE"""),"BN JUAL BELI")</f>
        <v>BN JUAL BELI</v>
      </c>
      <c r="H7399" s="42">
        <f t="shared" si="1"/>
        <v>3119</v>
      </c>
    </row>
    <row r="7400" ht="22.5" customHeight="1">
      <c r="B7400" s="42" t="str">
        <f>IFERROR(__xludf.DUMMYFUNCTION("""COMPUTED_VALUE"""),"K/27/110925/1")</f>
        <v>K/27/110925/1</v>
      </c>
      <c r="C7400" s="42" t="str">
        <f>IFERROR(__xludf.DUMMYFUNCTION("""COMPUTED_VALUE"""),"M. 1156/Sukarame II	")</f>
        <v>M. 1156/Sukarame II	</v>
      </c>
      <c r="D7400" s="42" t="str">
        <f>IFERROR(__xludf.DUMMYFUNCTION("""COMPUTED_VALUE"""),"Berry")</f>
        <v>Berry</v>
      </c>
      <c r="E7400" s="42" t="str">
        <f>IFERROR(__xludf.DUMMYFUNCTION("""COMPUTED_VALUE"""),"DISERAHKAN")</f>
        <v>DISERAHKAN</v>
      </c>
      <c r="F7400" s="48">
        <f>IFERROR(__xludf.DUMMYFUNCTION("""COMPUTED_VALUE"""),45988.63971633102)</f>
        <v>45988.63972</v>
      </c>
      <c r="G7400" s="42" t="str">
        <f>IFERROR(__xludf.DUMMYFUNCTION("""COMPUTED_VALUE"""),"BN Jual Beli 	")</f>
        <v>BN Jual Beli 	</v>
      </c>
      <c r="H7400" s="42">
        <f t="shared" si="1"/>
        <v>3120</v>
      </c>
    </row>
    <row r="7401" ht="22.5" customHeight="1">
      <c r="B7401" s="42" t="str">
        <f>IFERROR(__xludf.DUMMYFUNCTION("""COMPUTED_VALUE"""),"L/30/110925/1")</f>
        <v>L/30/110925/1</v>
      </c>
      <c r="C7401" s="42" t="str">
        <f>IFERROR(__xludf.DUMMYFUNCTION("""COMPUTED_VALUE"""),"LUAS 830 M2 KELURAHAN SIDODADI")</f>
        <v>LUAS 830 M2 KELURAHAN SIDODADI</v>
      </c>
      <c r="D7401" s="42"/>
      <c r="E7401" s="42"/>
      <c r="F7401" s="48" t="str">
        <f>IFERROR(__xludf.DUMMYFUNCTION("""COMPUTED_VALUE"""),"")</f>
        <v/>
      </c>
      <c r="G7401" s="42" t="str">
        <f>IFERROR(__xludf.DUMMYFUNCTION("""COMPUTED_VALUE"""),"PTPGT TANAH MENTAH")</f>
        <v>PTPGT TANAH MENTAH</v>
      </c>
      <c r="H7401" s="42">
        <f t="shared" si="1"/>
        <v>3120</v>
      </c>
    </row>
    <row r="7402" ht="22.5" customHeight="1">
      <c r="B7402" s="42" t="str">
        <f>IFERROR(__xludf.DUMMYFUNCTION("""COMPUTED_VALUE"""),"L/1/120925/1")</f>
        <v>L/1/120925/1</v>
      </c>
      <c r="C7402" s="42" t="str">
        <f>IFERROR(__xludf.DUMMYFUNCTION("""COMPUTED_VALUE"""),"M. 721/SUMBEREJO SEJAHTERA")</f>
        <v>M. 721/SUMBEREJO SEJAHTERA</v>
      </c>
      <c r="D7402" s="42"/>
      <c r="E7402" s="42"/>
      <c r="F7402" s="48" t="str">
        <f>IFERROR(__xludf.DUMMYFUNCTION("""COMPUTED_VALUE"""),"")</f>
        <v/>
      </c>
      <c r="G7402" s="42" t="str">
        <f>IFERROR(__xludf.DUMMYFUNCTION("""COMPUTED_VALUE"""),"PTPGT PEMECAHAN")</f>
        <v>PTPGT PEMECAHAN</v>
      </c>
      <c r="H7402" s="42">
        <f t="shared" si="1"/>
        <v>3120</v>
      </c>
    </row>
    <row r="7403" ht="22.5" customHeight="1">
      <c r="B7403" s="42" t="str">
        <f>IFERROR(__xludf.DUMMYFUNCTION("""COMPUTED_VALUE"""),"K/28/110925/1")</f>
        <v>K/28/110925/1</v>
      </c>
      <c r="C7403" s="42" t="str">
        <f>IFERROR(__xludf.DUMMYFUNCTION("""COMPUTED_VALUE"""),"NIBEL M. 21338/JAGABAYA II")</f>
        <v>NIBEL M. 21338/JAGABAYA II</v>
      </c>
      <c r="D7403" s="42"/>
      <c r="E7403" s="42"/>
      <c r="F7403" s="48" t="str">
        <f>IFERROR(__xludf.DUMMYFUNCTION("""COMPUTED_VALUE"""),"")</f>
        <v/>
      </c>
      <c r="G7403" s="42" t="str">
        <f>IFERROR(__xludf.DUMMYFUNCTION("""COMPUTED_VALUE"""),"BN JUAL BELI EL")</f>
        <v>BN JUAL BELI EL</v>
      </c>
      <c r="H7403" s="42">
        <f t="shared" si="1"/>
        <v>3120</v>
      </c>
    </row>
    <row r="7404" ht="22.5" customHeight="1">
      <c r="B7404" s="42" t="str">
        <f>IFERROR(__xludf.DUMMYFUNCTION("""COMPUTED_VALUE"""),"K/4/120925/3")</f>
        <v>K/4/120925/3</v>
      </c>
      <c r="C7404" s="42" t="str">
        <f>IFERROR(__xludf.DUMMYFUNCTION("""COMPUTED_VALUE"""),"M 6848/ KEMILING RAYA")</f>
        <v>M 6848/ KEMILING RAYA</v>
      </c>
      <c r="D7404" s="42"/>
      <c r="E7404" s="42"/>
      <c r="F7404" s="48" t="str">
        <f>IFERROR(__xludf.DUMMYFUNCTION("""COMPUTED_VALUE"""),"")</f>
        <v/>
      </c>
      <c r="G7404" s="42" t="str">
        <f>IFERROR(__xludf.DUMMYFUNCTION("""COMPUTED_VALUE"""),"BN PHB")</f>
        <v>BN PHB</v>
      </c>
      <c r="H7404" s="42">
        <f t="shared" si="1"/>
        <v>3120</v>
      </c>
    </row>
    <row r="7405" ht="22.5" customHeight="1">
      <c r="B7405" s="42" t="str">
        <f>IFERROR(__xludf.DUMMYFUNCTION("""COMPUTED_VALUE"""),"K/5/120925/1")</f>
        <v>K/5/120925/1</v>
      </c>
      <c r="C7405" s="42" t="str">
        <f>IFERROR(__xludf.DUMMYFUNCTION("""COMPUTED_VALUE"""),"M. 4729/SUKADANA HAM")</f>
        <v>M. 4729/SUKADANA HAM</v>
      </c>
      <c r="D7405" s="42"/>
      <c r="E7405" s="42"/>
      <c r="F7405" s="48" t="str">
        <f>IFERROR(__xludf.DUMMYFUNCTION("""COMPUTED_VALUE"""),"")</f>
        <v/>
      </c>
      <c r="G7405" s="42" t="str">
        <f>IFERROR(__xludf.DUMMYFUNCTION("""COMPUTED_VALUE"""),"BN JUAL BELI EL")</f>
        <v>BN JUAL BELI EL</v>
      </c>
      <c r="H7405" s="42">
        <f t="shared" si="1"/>
        <v>3120</v>
      </c>
    </row>
    <row r="7406" ht="22.5" customHeight="1">
      <c r="B7406" s="42" t="str">
        <f>IFERROR(__xludf.DUMMYFUNCTION("""COMPUTED_VALUE"""),"K/3/120925/2")</f>
        <v>K/3/120925/2</v>
      </c>
      <c r="C7406" s="42" t="str">
        <f>IFERROR(__xludf.DUMMYFUNCTION("""COMPUTED_VALUE"""),"M 2319/ RAJABASA RAYA")</f>
        <v>M 2319/ RAJABASA RAYA</v>
      </c>
      <c r="D7406" s="42"/>
      <c r="E7406" s="42"/>
      <c r="F7406" s="48" t="str">
        <f>IFERROR(__xludf.DUMMYFUNCTION("""COMPUTED_VALUE"""),"")</f>
        <v/>
      </c>
      <c r="G7406" s="42" t="str">
        <f>IFERROR(__xludf.DUMMYFUNCTION("""COMPUTED_VALUE"""),"BN WARIS")</f>
        <v>BN WARIS</v>
      </c>
      <c r="H7406" s="42">
        <f t="shared" si="1"/>
        <v>3120</v>
      </c>
    </row>
    <row r="7407" ht="22.5" customHeight="1">
      <c r="B7407" s="42" t="str">
        <f>IFERROR(__xludf.DUMMYFUNCTION("""COMPUTED_VALUE"""),"K/2/120925/1")</f>
        <v>K/2/120925/1</v>
      </c>
      <c r="C7407" s="42" t="str">
        <f>IFERROR(__xludf.DUMMYFUNCTION("""COMPUTED_VALUE"""),"M 18720/ GUNUNG TERANG")</f>
        <v>M 18720/ GUNUNG TERANG</v>
      </c>
      <c r="D7407" s="42"/>
      <c r="E7407" s="42"/>
      <c r="F7407" s="48" t="str">
        <f>IFERROR(__xludf.DUMMYFUNCTION("""COMPUTED_VALUE"""),"")</f>
        <v/>
      </c>
      <c r="G7407" s="42" t="str">
        <f>IFERROR(__xludf.DUMMYFUNCTION("""COMPUTED_VALUE"""),"BN JUAL BELI")</f>
        <v>BN JUAL BELI</v>
      </c>
      <c r="H7407" s="42">
        <f t="shared" si="1"/>
        <v>3120</v>
      </c>
    </row>
    <row r="7408" ht="22.5" customHeight="1">
      <c r="B7408" s="42" t="str">
        <f>IFERROR(__xludf.DUMMYFUNCTION("""COMPUTED_VALUE"""),"L/7/120925/1")</f>
        <v>L/7/120925/1</v>
      </c>
      <c r="C7408" s="42" t="str">
        <f>IFERROR(__xludf.DUMMYFUNCTION("""COMPUTED_VALUE"""),"B NIB. 18841/KETEGUHAN")</f>
        <v>B NIB. 18841/KETEGUHAN</v>
      </c>
      <c r="D7408" s="42"/>
      <c r="E7408" s="42"/>
      <c r="F7408" s="48" t="str">
        <f>IFERROR(__xludf.DUMMYFUNCTION("""COMPUTED_VALUE"""),"")</f>
        <v/>
      </c>
      <c r="G7408" s="42" t="str">
        <f>IFERROR(__xludf.DUMMYFUNCTION("""COMPUTED_VALUE"""),"PENINGKATAN HAK")</f>
        <v>PENINGKATAN HAK</v>
      </c>
      <c r="H7408" s="42">
        <f t="shared" si="1"/>
        <v>3120</v>
      </c>
    </row>
    <row r="7409" ht="22.5" customHeight="1">
      <c r="B7409" s="42" t="str">
        <f>IFERROR(__xludf.DUMMYFUNCTION("""COMPUTED_VALUE"""),"K/6/120925/2")</f>
        <v>K/6/120925/2</v>
      </c>
      <c r="C7409" s="42" t="str">
        <f>IFERROR(__xludf.DUMMYFUNCTION("""COMPUTED_VALUE"""),"M. 5186/RAJABASA JAYA")</f>
        <v>M. 5186/RAJABASA JAYA</v>
      </c>
      <c r="D7409" s="42"/>
      <c r="E7409" s="42"/>
      <c r="F7409" s="48" t="str">
        <f>IFERROR(__xludf.DUMMYFUNCTION("""COMPUTED_VALUE"""),"")</f>
        <v/>
      </c>
      <c r="G7409" s="42" t="str">
        <f>IFERROR(__xludf.DUMMYFUNCTION("""COMPUTED_VALUE"""),"BN JUAL BELI EL")</f>
        <v>BN JUAL BELI EL</v>
      </c>
      <c r="H7409" s="42">
        <f t="shared" si="1"/>
        <v>3120</v>
      </c>
    </row>
    <row r="7410" ht="22.5" customHeight="1">
      <c r="B7410" s="42" t="str">
        <f>IFERROR(__xludf.DUMMYFUNCTION("""COMPUTED_VALUE"""),"K/8/120925/1")</f>
        <v>K/8/120925/1</v>
      </c>
      <c r="C7410" s="42" t="str">
        <f>IFERROR(__xludf.DUMMYFUNCTION("""COMPUTED_VALUE"""),"M. 1062/Kupang Kota	")</f>
        <v>M. 1062/Kupang Kota	</v>
      </c>
      <c r="D7410" s="42"/>
      <c r="E7410" s="42"/>
      <c r="F7410" s="48" t="str">
        <f>IFERROR(__xludf.DUMMYFUNCTION("""COMPUTED_VALUE"""),"")</f>
        <v/>
      </c>
      <c r="G7410" s="42" t="str">
        <f>IFERROR(__xludf.DUMMYFUNCTION("""COMPUTED_VALUE"""),"BN Waris	")</f>
        <v>BN Waris	</v>
      </c>
      <c r="H7410" s="42">
        <f t="shared" si="1"/>
        <v>3120</v>
      </c>
    </row>
    <row r="7411" ht="22.5" customHeight="1">
      <c r="B7411" s="42" t="str">
        <f>IFERROR(__xludf.DUMMYFUNCTION("""COMPUTED_VALUE"""),"K/9/120925/2")</f>
        <v>K/9/120925/2</v>
      </c>
      <c r="C7411" s="42" t="str">
        <f>IFERROR(__xludf.DUMMYFUNCTION("""COMPUTED_VALUE"""),"M. 1383/Teluk Betung	")</f>
        <v>M. 1383/Teluk Betung	</v>
      </c>
      <c r="D7411" s="42"/>
      <c r="E7411" s="42"/>
      <c r="F7411" s="48" t="str">
        <f>IFERROR(__xludf.DUMMYFUNCTION("""COMPUTED_VALUE"""),"")</f>
        <v/>
      </c>
      <c r="G7411" s="42" t="str">
        <f>IFERROR(__xludf.DUMMYFUNCTION("""COMPUTED_VALUE"""),"BN Waris	")</f>
        <v>BN Waris	</v>
      </c>
      <c r="H7411" s="42">
        <f t="shared" si="1"/>
        <v>3120</v>
      </c>
    </row>
    <row r="7412" ht="22.5" customHeight="1">
      <c r="B7412" s="42" t="str">
        <f>IFERROR(__xludf.DUMMYFUNCTION("""COMPUTED_VALUE"""),"K/12/120925/1")</f>
        <v>K/12/120925/1</v>
      </c>
      <c r="C7412" s="42" t="str">
        <f>IFERROR(__xludf.DUMMYFUNCTION("""COMPUTED_VALUE"""),"M 16229/ SUKARAME")</f>
        <v>M 16229/ SUKARAME</v>
      </c>
      <c r="D7412" s="42"/>
      <c r="E7412" s="42"/>
      <c r="F7412" s="48" t="str">
        <f>IFERROR(__xludf.DUMMYFUNCTION("""COMPUTED_VALUE"""),"")</f>
        <v/>
      </c>
      <c r="G7412" s="42" t="str">
        <f>IFERROR(__xludf.DUMMYFUNCTION("""COMPUTED_VALUE"""),"ROYA")</f>
        <v>ROYA</v>
      </c>
      <c r="H7412" s="42">
        <f t="shared" si="1"/>
        <v>3120</v>
      </c>
    </row>
    <row r="7413" ht="22.5" customHeight="1">
      <c r="B7413" s="42" t="str">
        <f>IFERROR(__xludf.DUMMYFUNCTION("""COMPUTED_VALUE"""),"K/13/120925/1")</f>
        <v>K/13/120925/1</v>
      </c>
      <c r="C7413" s="42" t="str">
        <f>IFERROR(__xludf.DUMMYFUNCTION("""COMPUTED_VALUE"""),"NIBEL M 1999/ PERUMNAS WAY HALIM")</f>
        <v>NIBEL M 1999/ PERUMNAS WAY HALIM</v>
      </c>
      <c r="D7413" s="42"/>
      <c r="E7413" s="42"/>
      <c r="F7413" s="48" t="str">
        <f>IFERROR(__xludf.DUMMYFUNCTION("""COMPUTED_VALUE"""),"")</f>
        <v/>
      </c>
      <c r="G7413" s="42" t="str">
        <f>IFERROR(__xludf.DUMMYFUNCTION("""COMPUTED_VALUE"""),"BN JUAL BELI")</f>
        <v>BN JUAL BELI</v>
      </c>
      <c r="H7413" s="42">
        <f t="shared" si="1"/>
        <v>3120</v>
      </c>
    </row>
    <row r="7414" ht="22.5" customHeight="1">
      <c r="B7414" s="42" t="str">
        <f>IFERROR(__xludf.DUMMYFUNCTION("""COMPUTED_VALUE"""),"K/14/120925/1")</f>
        <v>K/14/120925/1</v>
      </c>
      <c r="C7414" s="42" t="str">
        <f>IFERROR(__xludf.DUMMYFUNCTION("""COMPUTED_VALUE"""),"Nibel 19082/Gunung Agung	")</f>
        <v>Nibel 19082/Gunung Agung	</v>
      </c>
      <c r="D7414" s="42"/>
      <c r="E7414" s="42"/>
      <c r="F7414" s="48" t="str">
        <f>IFERROR(__xludf.DUMMYFUNCTION("""COMPUTED_VALUE"""),"")</f>
        <v/>
      </c>
      <c r="G7414" s="42" t="str">
        <f>IFERROR(__xludf.DUMMYFUNCTION("""COMPUTED_VALUE"""),"BN Jual Beli	")</f>
        <v>BN Jual Beli	</v>
      </c>
      <c r="H7414" s="42">
        <f t="shared" si="1"/>
        <v>3120</v>
      </c>
    </row>
    <row r="7415" ht="22.5" customHeight="1">
      <c r="B7415" s="42" t="str">
        <f>IFERROR(__xludf.DUMMYFUNCTION("""COMPUTED_VALUE"""),"K/15/120925/2")</f>
        <v>K/15/120925/2</v>
      </c>
      <c r="C7415" s="42" t="str">
        <f>IFERROR(__xludf.DUMMYFUNCTION("""COMPUTED_VALUE"""),"m. 67/Sumber Agung	")</f>
        <v>m. 67/Sumber Agung	</v>
      </c>
      <c r="D7415" s="42"/>
      <c r="E7415" s="42"/>
      <c r="F7415" s="48" t="str">
        <f>IFERROR(__xludf.DUMMYFUNCTION("""COMPUTED_VALUE"""),"")</f>
        <v/>
      </c>
      <c r="G7415" s="42" t="str">
        <f>IFERROR(__xludf.DUMMYFUNCTION("""COMPUTED_VALUE"""),"PTPGT	")</f>
        <v>PTPGT	</v>
      </c>
      <c r="H7415" s="42">
        <f t="shared" si="1"/>
        <v>3120</v>
      </c>
    </row>
    <row r="7416" ht="22.5" customHeight="1">
      <c r="B7416" s="42" t="str">
        <f>IFERROR(__xludf.DUMMYFUNCTION("""COMPUTED_VALUE"""),"K/12/120925/1")</f>
        <v>K/12/120925/1</v>
      </c>
      <c r="C7416" s="42" t="str">
        <f>IFERROR(__xludf.DUMMYFUNCTION("""COMPUTED_VALUE"""),"NIBEL M. 19020/GEDUNG PAKUON")</f>
        <v>NIBEL M. 19020/GEDUNG PAKUON</v>
      </c>
      <c r="D7416" s="42"/>
      <c r="E7416" s="42"/>
      <c r="F7416" s="48" t="str">
        <f>IFERROR(__xludf.DUMMYFUNCTION("""COMPUTED_VALUE"""),"")</f>
        <v/>
      </c>
      <c r="G7416" s="42" t="str">
        <f>IFERROR(__xludf.DUMMYFUNCTION("""COMPUTED_VALUE"""),"BN JUAL BELI EL")</f>
        <v>BN JUAL BELI EL</v>
      </c>
      <c r="H7416" s="42">
        <f t="shared" si="1"/>
        <v>3120</v>
      </c>
    </row>
    <row r="7417" ht="22.5" customHeight="1">
      <c r="B7417" s="42" t="str">
        <f>IFERROR(__xludf.DUMMYFUNCTION("""COMPUTED_VALUE"""),"L/17/120925/1")</f>
        <v>L/17/120925/1</v>
      </c>
      <c r="C7417" s="42" t="str">
        <f>IFERROR(__xludf.DUMMYFUNCTION("""COMPUTED_VALUE"""),"KELUIRAHAN KETEGUHAN LUAS 115 M2")</f>
        <v>KELUIRAHAN KETEGUHAN LUAS 115 M2</v>
      </c>
      <c r="D7417" s="42"/>
      <c r="E7417" s="42"/>
      <c r="F7417" s="48" t="str">
        <f>IFERROR(__xludf.DUMMYFUNCTION("""COMPUTED_VALUE"""),"")</f>
        <v/>
      </c>
      <c r="G7417" s="42" t="str">
        <f>IFERROR(__xludf.DUMMYFUNCTION("""COMPUTED_VALUE"""),"PTPGT TANAH MENTAH")</f>
        <v>PTPGT TANAH MENTAH</v>
      </c>
      <c r="H7417" s="42">
        <f t="shared" si="1"/>
        <v>3120</v>
      </c>
    </row>
    <row r="7418" ht="22.5" customHeight="1">
      <c r="B7418" s="42" t="str">
        <f>IFERROR(__xludf.DUMMYFUNCTION("""COMPUTED_VALUE"""),"K/16/120925/1")</f>
        <v>K/16/120925/1</v>
      </c>
      <c r="C7418" s="42" t="str">
        <f>IFERROR(__xludf.DUMMYFUNCTION("""COMPUTED_VALUE"""),"B 620/ NUSANTARA PERMAI")</f>
        <v>B 620/ NUSANTARA PERMAI</v>
      </c>
      <c r="D7418" s="42"/>
      <c r="E7418" s="42"/>
      <c r="F7418" s="48" t="str">
        <f>IFERROR(__xludf.DUMMYFUNCTION("""COMPUTED_VALUE"""),"")</f>
        <v/>
      </c>
      <c r="G7418" s="42" t="str">
        <f>IFERROR(__xludf.DUMMYFUNCTION("""COMPUTED_VALUE"""),"BN JUAL BELI")</f>
        <v>BN JUAL BELI</v>
      </c>
      <c r="H7418" s="42">
        <f t="shared" si="1"/>
        <v>3120</v>
      </c>
    </row>
    <row r="7419" ht="22.5" customHeight="1">
      <c r="B7419" s="42" t="str">
        <f>IFERROR(__xludf.DUMMYFUNCTION("""COMPUTED_VALUE"""),"K/21/120925/1")</f>
        <v>K/21/120925/1</v>
      </c>
      <c r="C7419" s="42" t="str">
        <f>IFERROR(__xludf.DUMMYFUNCTION("""COMPUTED_VALUE"""),"NIBEL B 2797/ SUKARAME")</f>
        <v>NIBEL B 2797/ SUKARAME</v>
      </c>
      <c r="D7419" s="42"/>
      <c r="E7419" s="42"/>
      <c r="F7419" s="48" t="str">
        <f>IFERROR(__xludf.DUMMYFUNCTION("""COMPUTED_VALUE"""),"")</f>
        <v/>
      </c>
      <c r="G7419" s="42" t="str">
        <f>IFERROR(__xludf.DUMMYFUNCTION("""COMPUTED_VALUE"""),"PTPGT PEMECAHAN")</f>
        <v>PTPGT PEMECAHAN</v>
      </c>
      <c r="H7419" s="42">
        <f t="shared" si="1"/>
        <v>3120</v>
      </c>
    </row>
    <row r="7420" ht="22.5" customHeight="1">
      <c r="B7420" s="42" t="str">
        <f>IFERROR(__xludf.DUMMYFUNCTION("""COMPUTED_VALUE"""),"K/18/120925/1")</f>
        <v>K/18/120925/1</v>
      </c>
      <c r="C7420" s="42" t="str">
        <f>IFERROR(__xludf.DUMMYFUNCTION("""COMPUTED_VALUE"""),"M. 5374/Rajabasa Jaya	")</f>
        <v>M. 5374/Rajabasa Jaya	</v>
      </c>
      <c r="D7420" s="42"/>
      <c r="E7420" s="42"/>
      <c r="F7420" s="48" t="str">
        <f>IFERROR(__xludf.DUMMYFUNCTION("""COMPUTED_VALUE"""),"")</f>
        <v/>
      </c>
      <c r="G7420" s="42" t="str">
        <f>IFERROR(__xludf.DUMMYFUNCTION("""COMPUTED_VALUE"""),"BN Jual Beli	")</f>
        <v>BN Jual Beli	</v>
      </c>
      <c r="H7420" s="42">
        <f t="shared" si="1"/>
        <v>3120</v>
      </c>
    </row>
    <row r="7421" ht="22.5" customHeight="1">
      <c r="B7421" s="42" t="str">
        <f>IFERROR(__xludf.DUMMYFUNCTION("""COMPUTED_VALUE"""),"K/22/120925/1")</f>
        <v>K/22/120925/1</v>
      </c>
      <c r="C7421" s="42" t="str">
        <f>IFERROR(__xludf.DUMMYFUNCTION("""COMPUTED_VALUE"""),"M. 2530/SUMBER AGUNG")</f>
        <v>M. 2530/SUMBER AGUNG</v>
      </c>
      <c r="D7421" s="42"/>
      <c r="E7421" s="42"/>
      <c r="F7421" s="48" t="str">
        <f>IFERROR(__xludf.DUMMYFUNCTION("""COMPUTED_VALUE"""),"")</f>
        <v/>
      </c>
      <c r="G7421" s="42" t="str">
        <f>IFERROR(__xludf.DUMMYFUNCTION("""COMPUTED_VALUE"""),"BN JUAL BELI")</f>
        <v>BN JUAL BELI</v>
      </c>
      <c r="H7421" s="42">
        <f t="shared" si="1"/>
        <v>3120</v>
      </c>
    </row>
    <row r="7422" ht="22.5" customHeight="1">
      <c r="B7422" s="42" t="str">
        <f>IFERROR(__xludf.DUMMYFUNCTION("""COMPUTED_VALUE"""),"K/24/120925/1")</f>
        <v>K/24/120925/1</v>
      </c>
      <c r="C7422" s="42" t="str">
        <f>IFERROR(__xludf.DUMMYFUNCTION("""COMPUTED_VALUE"""),"B 367/ WAY HALIM PERMAI")</f>
        <v>B 367/ WAY HALIM PERMAI</v>
      </c>
      <c r="D7422" s="42"/>
      <c r="E7422" s="42"/>
      <c r="F7422" s="48" t="str">
        <f>IFERROR(__xludf.DUMMYFUNCTION("""COMPUTED_VALUE"""),"")</f>
        <v/>
      </c>
      <c r="G7422" s="42" t="str">
        <f>IFERROR(__xludf.DUMMYFUNCTION("""COMPUTED_VALUE"""),"PEMBAHARUAN HAK")</f>
        <v>PEMBAHARUAN HAK</v>
      </c>
      <c r="H7422" s="42">
        <f t="shared" si="1"/>
        <v>3120</v>
      </c>
    </row>
    <row r="7423" ht="22.5" customHeight="1">
      <c r="B7423" s="42" t="str">
        <f>IFERROR(__xludf.DUMMYFUNCTION("""COMPUTED_VALUE"""),"K/23/120925/2")</f>
        <v>K/23/120925/2</v>
      </c>
      <c r="C7423" s="42" t="str">
        <f>IFERROR(__xludf.DUMMYFUNCTION("""COMPUTED_VALUE"""),"M. 912/GUNUNG AGUNG")</f>
        <v>M. 912/GUNUNG AGUNG</v>
      </c>
      <c r="D7423" s="42"/>
      <c r="E7423" s="42"/>
      <c r="F7423" s="48" t="str">
        <f>IFERROR(__xludf.DUMMYFUNCTION("""COMPUTED_VALUE"""),"")</f>
        <v/>
      </c>
      <c r="G7423" s="42" t="str">
        <f>IFERROR(__xludf.DUMMYFUNCTION("""COMPUTED_VALUE"""),"BN JUAL BELI")</f>
        <v>BN JUAL BELI</v>
      </c>
      <c r="H7423" s="42">
        <f t="shared" si="1"/>
        <v>3120</v>
      </c>
    </row>
    <row r="7424" ht="22.5" customHeight="1">
      <c r="B7424" s="42" t="str">
        <f>IFERROR(__xludf.DUMMYFUNCTION("""COMPUTED_VALUE"""),"K/19/120925/2")</f>
        <v>K/19/120925/2</v>
      </c>
      <c r="C7424" s="42" t="str">
        <f>IFERROR(__xludf.DUMMYFUNCTION("""COMPUTED_VALUE"""),"M. 1911/Beringin Raya	")</f>
        <v>M. 1911/Beringin Raya	</v>
      </c>
      <c r="D7424" s="42"/>
      <c r="E7424" s="42"/>
      <c r="F7424" s="48" t="str">
        <f>IFERROR(__xludf.DUMMYFUNCTION("""COMPUTED_VALUE"""),"")</f>
        <v/>
      </c>
      <c r="G7424" s="42" t="str">
        <f>IFERROR(__xludf.DUMMYFUNCTION("""COMPUTED_VALUE"""),"BN Jual Beli	")</f>
        <v>BN Jual Beli	</v>
      </c>
      <c r="H7424" s="42">
        <f t="shared" si="1"/>
        <v>3120</v>
      </c>
    </row>
    <row r="7425" ht="22.5" customHeight="1">
      <c r="B7425" s="42" t="str">
        <f>IFERROR(__xludf.DUMMYFUNCTION("""COMPUTED_VALUE"""),"K/26/120925/1")</f>
        <v>K/26/120925/1</v>
      </c>
      <c r="C7425" s="42" t="str">
        <f>IFERROR(__xludf.DUMMYFUNCTION("""COMPUTED_VALUE"""),"M 2372/ SUSUNAN BARU")</f>
        <v>M 2372/ SUSUNAN BARU</v>
      </c>
      <c r="D7425" s="42" t="str">
        <f>IFERROR(__xludf.DUMMYFUNCTION("""COMPUTED_VALUE"""),"Berry")</f>
        <v>Berry</v>
      </c>
      <c r="E7425" s="42" t="str">
        <f>IFERROR(__xludf.DUMMYFUNCTION("""COMPUTED_VALUE"""),"DISERAHKAN")</f>
        <v>DISERAHKAN</v>
      </c>
      <c r="F7425" s="48">
        <f>IFERROR(__xludf.DUMMYFUNCTION("""COMPUTED_VALUE"""),45975.49241712963)</f>
        <v>45975.49242</v>
      </c>
      <c r="G7425" s="42" t="str">
        <f>IFERROR(__xludf.DUMMYFUNCTION("""COMPUTED_VALUE"""),"BN HIBAH")</f>
        <v>BN HIBAH</v>
      </c>
      <c r="H7425" s="42">
        <f t="shared" si="1"/>
        <v>3121</v>
      </c>
    </row>
    <row r="7426" ht="22.5" customHeight="1">
      <c r="B7426" s="42" t="str">
        <f>IFERROR(__xludf.DUMMYFUNCTION("""COMPUTED_VALUE"""),"K/20/120925/3")</f>
        <v>K/20/120925/3</v>
      </c>
      <c r="C7426" s="42" t="str">
        <f>IFERROR(__xludf.DUMMYFUNCTION("""COMPUTED_VALUE"""),"M. 1155/Jagabaya III	")</f>
        <v>M. 1155/Jagabaya III	</v>
      </c>
      <c r="D7426" s="42" t="str">
        <f>IFERROR(__xludf.DUMMYFUNCTION("""COMPUTED_VALUE"""),"Berry")</f>
        <v>Berry</v>
      </c>
      <c r="E7426" s="42" t="str">
        <f>IFERROR(__xludf.DUMMYFUNCTION("""COMPUTED_VALUE"""),"DISERAHKAN")</f>
        <v>DISERAHKAN</v>
      </c>
      <c r="F7426" s="48">
        <f>IFERROR(__xludf.DUMMYFUNCTION("""COMPUTED_VALUE"""),45979.652332592595)</f>
        <v>45979.65233</v>
      </c>
      <c r="G7426" s="42" t="str">
        <f>IFERROR(__xludf.DUMMYFUNCTION("""COMPUTED_VALUE"""),"BN Jual Beli	")</f>
        <v>BN Jual Beli	</v>
      </c>
      <c r="H7426" s="42">
        <f t="shared" si="1"/>
        <v>3122</v>
      </c>
    </row>
    <row r="7427" ht="22.5" customHeight="1">
      <c r="B7427" s="42" t="str">
        <f>IFERROR(__xludf.DUMMYFUNCTION("""COMPUTED_VALUE"""),"L/27/120925/1")</f>
        <v>L/27/120925/1</v>
      </c>
      <c r="C7427" s="42" t="str">
        <f>IFERROR(__xludf.DUMMYFUNCTION("""COMPUTED_VALUE"""),"B NIB. 23281/BUMI KEDAMAIAN")</f>
        <v>B NIB. 23281/BUMI KEDAMAIAN</v>
      </c>
      <c r="D7427" s="42"/>
      <c r="E7427" s="42"/>
      <c r="F7427" s="48" t="str">
        <f>IFERROR(__xludf.DUMMYFUNCTION("""COMPUTED_VALUE"""),"")</f>
        <v/>
      </c>
      <c r="G7427" s="42" t="str">
        <f>IFERROR(__xludf.DUMMYFUNCTION("""COMPUTED_VALUE"""),"PENINGKATAN HAK")</f>
        <v>PENINGKATAN HAK</v>
      </c>
      <c r="H7427" s="42">
        <f t="shared" si="1"/>
        <v>3122</v>
      </c>
    </row>
    <row r="7428" ht="22.5" customHeight="1">
      <c r="B7428" s="42" t="str">
        <f>IFERROR(__xludf.DUMMYFUNCTION("""COMPUTED_VALUE"""),"K/28/120925/1")</f>
        <v>K/28/120925/1</v>
      </c>
      <c r="C7428" s="42" t="str">
        <f>IFERROR(__xludf.DUMMYFUNCTION("""COMPUTED_VALUE"""),"Nibel 18920/Rajabasa Jaya	")</f>
        <v>Nibel 18920/Rajabasa Jaya	</v>
      </c>
      <c r="D7428" s="42"/>
      <c r="E7428" s="42"/>
      <c r="F7428" s="48" t="str">
        <f>IFERROR(__xludf.DUMMYFUNCTION("""COMPUTED_VALUE"""),"")</f>
        <v/>
      </c>
      <c r="G7428" s="42" t="str">
        <f>IFERROR(__xludf.DUMMYFUNCTION("""COMPUTED_VALUE"""),"BN Jual Beli	")</f>
        <v>BN Jual Beli	</v>
      </c>
      <c r="H7428" s="42">
        <f t="shared" si="1"/>
        <v>3122</v>
      </c>
    </row>
    <row r="7429" ht="22.5" customHeight="1">
      <c r="B7429" s="42" t="str">
        <f>IFERROR(__xludf.DUMMYFUNCTION("""COMPUTED_VALUE"""),"K/30/120925/1")</f>
        <v>K/30/120925/1</v>
      </c>
      <c r="C7429" s="42" t="str">
        <f>IFERROR(__xludf.DUMMYFUNCTION("""COMPUTED_VALUE"""),"M 12640/ RAJABASA ")</f>
        <v>M 12640/ RAJABASA </v>
      </c>
      <c r="D7429" s="42"/>
      <c r="E7429" s="42"/>
      <c r="F7429" s="48" t="str">
        <f>IFERROR(__xludf.DUMMYFUNCTION("""COMPUTED_VALUE"""),"")</f>
        <v/>
      </c>
      <c r="G7429" s="42" t="str">
        <f>IFERROR(__xludf.DUMMYFUNCTION("""COMPUTED_VALUE"""),"ROYA")</f>
        <v>ROYA</v>
      </c>
      <c r="H7429" s="42">
        <f t="shared" si="1"/>
        <v>3122</v>
      </c>
    </row>
    <row r="7430" ht="22.5" customHeight="1">
      <c r="B7430" s="42" t="str">
        <f>IFERROR(__xludf.DUMMYFUNCTION("""COMPUTED_VALUE"""),"K/25/120925/3")</f>
        <v>K/25/120925/3</v>
      </c>
      <c r="C7430" s="42" t="str">
        <f>IFERROR(__xludf.DUMMYFUNCTION("""COMPUTED_VALUE"""),"M. 1355/GUNUNG SULAH")</f>
        <v>M. 1355/GUNUNG SULAH</v>
      </c>
      <c r="D7430" s="42" t="str">
        <f>IFERROR(__xludf.DUMMYFUNCTION("""COMPUTED_VALUE"""),"Berry")</f>
        <v>Berry</v>
      </c>
      <c r="E7430" s="42" t="str">
        <f>IFERROR(__xludf.DUMMYFUNCTION("""COMPUTED_VALUE"""),"DISERAHKAN")</f>
        <v>DISERAHKAN</v>
      </c>
      <c r="F7430" s="48">
        <f>IFERROR(__xludf.DUMMYFUNCTION("""COMPUTED_VALUE"""),45988.6379509838)</f>
        <v>45988.63795</v>
      </c>
      <c r="G7430" s="42" t="str">
        <f>IFERROR(__xludf.DUMMYFUNCTION("""COMPUTED_VALUE"""),"BN JUAL BELI EL")</f>
        <v>BN JUAL BELI EL</v>
      </c>
      <c r="H7430" s="42">
        <f t="shared" si="1"/>
        <v>3123</v>
      </c>
    </row>
    <row r="7431" ht="22.5" customHeight="1">
      <c r="B7431" s="42" t="str">
        <f>IFERROR(__xludf.DUMMYFUNCTION("""COMPUTED_VALUE"""),"K/29/120925/2")</f>
        <v>K/29/120925/2</v>
      </c>
      <c r="C7431" s="42" t="str">
        <f>IFERROR(__xludf.DUMMYFUNCTION("""COMPUTED_VALUE"""),"Nibel 19698/Gunung Sulah	")</f>
        <v>Nibel 19698/Gunung Sulah	</v>
      </c>
      <c r="D7431" s="42"/>
      <c r="E7431" s="42"/>
      <c r="F7431" s="48" t="str">
        <f>IFERROR(__xludf.DUMMYFUNCTION("""COMPUTED_VALUE"""),"")</f>
        <v/>
      </c>
      <c r="G7431" s="42" t="str">
        <f>IFERROR(__xludf.DUMMYFUNCTION("""COMPUTED_VALUE"""),"BN Jual Beli	")</f>
        <v>BN Jual Beli	</v>
      </c>
      <c r="H7431" s="42">
        <f t="shared" si="1"/>
        <v>3123</v>
      </c>
    </row>
    <row r="7432" ht="22.5" customHeight="1">
      <c r="B7432" s="42" t="str">
        <f>IFERROR(__xludf.DUMMYFUNCTION("""COMPUTED_VALUE"""),"K/33/120925/1")</f>
        <v>K/33/120925/1</v>
      </c>
      <c r="C7432" s="42" t="str">
        <f>IFERROR(__xludf.DUMMYFUNCTION("""COMPUTED_VALUE"""),"M. 1849/Rajabasa Pemuka	")</f>
        <v>M. 1849/Rajabasa Pemuka	</v>
      </c>
      <c r="D7432" s="42"/>
      <c r="E7432" s="42"/>
      <c r="F7432" s="48" t="str">
        <f>IFERROR(__xludf.DUMMYFUNCTION("""COMPUTED_VALUE"""),"")</f>
        <v/>
      </c>
      <c r="G7432" s="42" t="str">
        <f>IFERROR(__xludf.DUMMYFUNCTION("""COMPUTED_VALUE"""),"BN Waris	")</f>
        <v>BN Waris	</v>
      </c>
      <c r="H7432" s="42">
        <f t="shared" si="1"/>
        <v>3123</v>
      </c>
    </row>
    <row r="7433" ht="22.5" customHeight="1">
      <c r="B7433" s="42" t="str">
        <f>IFERROR(__xludf.DUMMYFUNCTION("""COMPUTED_VALUE"""),"K/34/120925/2")</f>
        <v>K/34/120925/2</v>
      </c>
      <c r="C7433" s="42" t="str">
        <f>IFERROR(__xludf.DUMMYFUNCTION("""COMPUTED_VALUE"""),"M. 1849/Rajabasa Pemuka	")</f>
        <v>M. 1849/Rajabasa Pemuka	</v>
      </c>
      <c r="D7433" s="42"/>
      <c r="E7433" s="42"/>
      <c r="F7433" s="48" t="str">
        <f>IFERROR(__xludf.DUMMYFUNCTION("""COMPUTED_VALUE"""),"")</f>
        <v/>
      </c>
      <c r="G7433" s="42" t="str">
        <f>IFERROR(__xludf.DUMMYFUNCTION("""COMPUTED_VALUE"""),"BN Waris	")</f>
        <v>BN Waris	</v>
      </c>
      <c r="H7433" s="42">
        <f t="shared" si="1"/>
        <v>3123</v>
      </c>
    </row>
    <row r="7434" ht="22.5" customHeight="1">
      <c r="B7434" s="42" t="str">
        <f>IFERROR(__xludf.DUMMYFUNCTION("""COMPUTED_VALUE"""),"K/35/120925/1")</f>
        <v>K/35/120925/1</v>
      </c>
      <c r="C7434" s="42" t="str">
        <f>IFERROR(__xludf.DUMMYFUNCTION("""COMPUTED_VALUE"""),"M 9717/ KEDATON")</f>
        <v>M 9717/ KEDATON</v>
      </c>
      <c r="D7434" s="42" t="str">
        <f>IFERROR(__xludf.DUMMYFUNCTION("""COMPUTED_VALUE"""),"David")</f>
        <v>David</v>
      </c>
      <c r="E7434" s="42" t="str">
        <f>IFERROR(__xludf.DUMMYFUNCTION("""COMPUTED_VALUE"""),"DISERAHKAN")</f>
        <v>DISERAHKAN</v>
      </c>
      <c r="F7434" s="48">
        <f>IFERROR(__xludf.DUMMYFUNCTION("""COMPUTED_VALUE"""),45960.62956864583)</f>
        <v>45960.62957</v>
      </c>
      <c r="G7434" s="42" t="str">
        <f>IFERROR(__xludf.DUMMYFUNCTION("""COMPUTED_VALUE"""),"SHM HILANG")</f>
        <v>SHM HILANG</v>
      </c>
      <c r="H7434" s="42">
        <f t="shared" si="1"/>
        <v>3124</v>
      </c>
    </row>
    <row r="7435" ht="22.5" customHeight="1">
      <c r="B7435" s="42" t="str">
        <f>IFERROR(__xludf.DUMMYFUNCTION("""COMPUTED_VALUE"""),"K/32/120925/1")</f>
        <v>K/32/120925/1</v>
      </c>
      <c r="C7435" s="42" t="str">
        <f>IFERROR(__xludf.DUMMYFUNCTION("""COMPUTED_VALUE"""),"NIBEL M.18593/GUNUNG AGUNG")</f>
        <v>NIBEL M.18593/GUNUNG AGUNG</v>
      </c>
      <c r="D7435" s="42"/>
      <c r="E7435" s="42"/>
      <c r="F7435" s="48" t="str">
        <f>IFERROR(__xludf.DUMMYFUNCTION("""COMPUTED_VALUE"""),"")</f>
        <v/>
      </c>
      <c r="G7435" s="42" t="str">
        <f>IFERROR(__xludf.DUMMYFUNCTION("""COMPUTED_VALUE"""),"BN JUAL BELI EL")</f>
        <v>BN JUAL BELI EL</v>
      </c>
      <c r="H7435" s="42">
        <f t="shared" si="1"/>
        <v>3124</v>
      </c>
    </row>
    <row r="7436" ht="22.5" customHeight="1">
      <c r="B7436" s="42" t="str">
        <f>IFERROR(__xludf.DUMMYFUNCTION("""COMPUTED_VALUE"""),"K/36/120925/1")</f>
        <v>K/36/120925/1</v>
      </c>
      <c r="C7436" s="42" t="str">
        <f>IFERROR(__xludf.DUMMYFUNCTION("""COMPUTED_VALUE"""),"B. 33/SIDODADI")</f>
        <v>B. 33/SIDODADI</v>
      </c>
      <c r="D7436" s="42"/>
      <c r="E7436" s="42"/>
      <c r="F7436" s="48" t="str">
        <f>IFERROR(__xludf.DUMMYFUNCTION("""COMPUTED_VALUE"""),"")</f>
        <v/>
      </c>
      <c r="G7436" s="42" t="str">
        <f>IFERROR(__xludf.DUMMYFUNCTION("""COMPUTED_VALUE"""),"ROYA")</f>
        <v>ROYA</v>
      </c>
      <c r="H7436" s="42">
        <f t="shared" si="1"/>
        <v>3124</v>
      </c>
    </row>
    <row r="7437" ht="22.5" customHeight="1">
      <c r="B7437" s="42" t="str">
        <f>IFERROR(__xludf.DUMMYFUNCTION("""COMPUTED_VALUE"""),"K/37/120925/1")</f>
        <v>K/37/120925/1</v>
      </c>
      <c r="C7437" s="42" t="str">
        <f>IFERROR(__xludf.DUMMYFUNCTION("""COMPUTED_VALUE"""),"M 16229/ SUKARAME")</f>
        <v>M 16229/ SUKARAME</v>
      </c>
      <c r="D7437" s="42" t="str">
        <f>IFERROR(__xludf.DUMMYFUNCTION("""COMPUTED_VALUE"""),"Berry")</f>
        <v>Berry</v>
      </c>
      <c r="E7437" s="42" t="str">
        <f>IFERROR(__xludf.DUMMYFUNCTION("""COMPUTED_VALUE"""),"DISERAHKAN")</f>
        <v>DISERAHKAN</v>
      </c>
      <c r="F7437" s="48">
        <f>IFERROR(__xludf.DUMMYFUNCTION("""COMPUTED_VALUE"""),45965.49498396991)</f>
        <v>45965.49498</v>
      </c>
      <c r="G7437" s="42" t="str">
        <f>IFERROR(__xludf.DUMMYFUNCTION("""COMPUTED_VALUE"""),"ROYA")</f>
        <v>ROYA</v>
      </c>
      <c r="H7437" s="42">
        <f t="shared" si="1"/>
        <v>3125</v>
      </c>
    </row>
    <row r="7438" ht="22.5" customHeight="1">
      <c r="B7438" s="42" t="str">
        <f>IFERROR(__xludf.DUMMYFUNCTION("""COMPUTED_VALUE"""),"K/1/150925/1")</f>
        <v>K/1/150925/1</v>
      </c>
      <c r="C7438" s="42" t="str">
        <f>IFERROR(__xludf.DUMMYFUNCTION("""COMPUTED_VALUE"""),"M 13889/ KEDAMAIAN")</f>
        <v>M 13889/ KEDAMAIAN</v>
      </c>
      <c r="D7438" s="42"/>
      <c r="E7438" s="42"/>
      <c r="F7438" s="48" t="str">
        <f>IFERROR(__xludf.DUMMYFUNCTION("""COMPUTED_VALUE"""),"")</f>
        <v/>
      </c>
      <c r="G7438" s="42" t="str">
        <f>IFERROR(__xludf.DUMMYFUNCTION("""COMPUTED_VALUE"""),"BN JUAL BELI")</f>
        <v>BN JUAL BELI</v>
      </c>
      <c r="H7438" s="42">
        <f t="shared" si="1"/>
        <v>3125</v>
      </c>
    </row>
    <row r="7439" ht="22.5" customHeight="1">
      <c r="B7439" s="42" t="str">
        <f>IFERROR(__xludf.DUMMYFUNCTION("""COMPUTED_VALUE"""),"L/31/120925/1")</f>
        <v>L/31/120925/1</v>
      </c>
      <c r="C7439" s="42" t="str">
        <f>IFERROR(__xludf.DUMMYFUNCTION("""COMPUTED_VALUE"""),"KELURAHAN SUMBER AGUNG LUAS 175 M2")</f>
        <v>KELURAHAN SUMBER AGUNG LUAS 175 M2</v>
      </c>
      <c r="D7439" s="42"/>
      <c r="E7439" s="42"/>
      <c r="F7439" s="48" t="str">
        <f>IFERROR(__xludf.DUMMYFUNCTION("""COMPUTED_VALUE"""),"")</f>
        <v/>
      </c>
      <c r="G7439" s="42" t="str">
        <f>IFERROR(__xludf.DUMMYFUNCTION("""COMPUTED_VALUE"""),"PERMOHONAN SK")</f>
        <v>PERMOHONAN SK</v>
      </c>
      <c r="H7439" s="42">
        <f t="shared" si="1"/>
        <v>3125</v>
      </c>
    </row>
    <row r="7440" ht="22.5" customHeight="1">
      <c r="B7440" s="42" t="str">
        <f>IFERROR(__xludf.DUMMYFUNCTION("""COMPUTED_VALUE"""),"L/3/140925/1/PELATARAN")</f>
        <v>L/3/140925/1/PELATARAN</v>
      </c>
      <c r="C7440" s="42" t="str">
        <f>IFERROR(__xludf.DUMMYFUNCTION("""COMPUTED_VALUE"""),"B. 5156/BERINGIN RAYA")</f>
        <v>B. 5156/BERINGIN RAYA</v>
      </c>
      <c r="D7440" s="42"/>
      <c r="E7440" s="42"/>
      <c r="F7440" s="48" t="str">
        <f>IFERROR(__xludf.DUMMYFUNCTION("""COMPUTED_VALUE"""),"")</f>
        <v/>
      </c>
      <c r="G7440" s="42" t="str">
        <f>IFERROR(__xludf.DUMMYFUNCTION("""COMPUTED_VALUE"""),"PENINGKATAN HAK")</f>
        <v>PENINGKATAN HAK</v>
      </c>
      <c r="H7440" s="42">
        <f t="shared" si="1"/>
        <v>3125</v>
      </c>
    </row>
    <row r="7441" ht="22.5" customHeight="1">
      <c r="B7441" s="42" t="str">
        <f>IFERROR(__xludf.DUMMYFUNCTION("""COMPUTED_VALUE"""),"K/4/150925/2")</f>
        <v>K/4/150925/2</v>
      </c>
      <c r="C7441" s="42" t="str">
        <f>IFERROR(__xludf.DUMMYFUNCTION("""COMPUTED_VALUE"""),"M 13892/ KEDAMAIAN")</f>
        <v>M 13892/ KEDAMAIAN</v>
      </c>
      <c r="D7441" s="42" t="str">
        <f>IFERROR(__xludf.DUMMYFUNCTION("""COMPUTED_VALUE"""),"David")</f>
        <v>David</v>
      </c>
      <c r="E7441" s="42" t="str">
        <f>IFERROR(__xludf.DUMMYFUNCTION("""COMPUTED_VALUE"""),"DISERAHKAN")</f>
        <v>DISERAHKAN</v>
      </c>
      <c r="F7441" s="48">
        <f>IFERROR(__xludf.DUMMYFUNCTION("""COMPUTED_VALUE"""),45930.602099490745)</f>
        <v>45930.6021</v>
      </c>
      <c r="G7441" s="42" t="str">
        <f>IFERROR(__xludf.DUMMYFUNCTION("""COMPUTED_VALUE"""),"BN JUAL BELI")</f>
        <v>BN JUAL BELI</v>
      </c>
      <c r="H7441" s="42">
        <f t="shared" si="1"/>
        <v>3126</v>
      </c>
    </row>
    <row r="7442" ht="22.5" customHeight="1">
      <c r="B7442" s="42" t="str">
        <f>IFERROR(__xludf.DUMMYFUNCTION("""COMPUTED_VALUE"""),"K/2/150925/1")</f>
        <v>K/2/150925/1</v>
      </c>
      <c r="C7442" s="42" t="str">
        <f>IFERROR(__xludf.DUMMYFUNCTION("""COMPUTED_VALUE"""),"Nibel 5421/Pematang Wangi")</f>
        <v>Nibel 5421/Pematang Wangi</v>
      </c>
      <c r="D7442" s="42" t="str">
        <f>IFERROR(__xludf.DUMMYFUNCTION("""COMPUTED_VALUE"""),"Berry")</f>
        <v>Berry</v>
      </c>
      <c r="E7442" s="42" t="str">
        <f>IFERROR(__xludf.DUMMYFUNCTION("""COMPUTED_VALUE"""),"DISERAHKAN")</f>
        <v>DISERAHKAN</v>
      </c>
      <c r="F7442" s="48">
        <f>IFERROR(__xludf.DUMMYFUNCTION("""COMPUTED_VALUE"""),45951.476598379624)</f>
        <v>45951.4766</v>
      </c>
      <c r="G7442" s="42" t="str">
        <f>IFERROR(__xludf.DUMMYFUNCTION("""COMPUTED_VALUE"""),"Peningkatan hak		")</f>
        <v>Peningkatan hak		</v>
      </c>
      <c r="H7442" s="42">
        <f t="shared" si="1"/>
        <v>3127</v>
      </c>
    </row>
    <row r="7443" ht="22.5" customHeight="1">
      <c r="B7443" s="42" t="str">
        <f>IFERROR(__xludf.DUMMYFUNCTION("""COMPUTED_VALUE"""),"K/5/150925/3")</f>
        <v>K/5/150925/3</v>
      </c>
      <c r="C7443" s="42" t="str">
        <f>IFERROR(__xludf.DUMMYFUNCTION("""COMPUTED_VALUE"""),"M 13891/ KEDAMAIAN")</f>
        <v>M 13891/ KEDAMAIAN</v>
      </c>
      <c r="D7443" s="42"/>
      <c r="E7443" s="42"/>
      <c r="F7443" s="48" t="str">
        <f>IFERROR(__xludf.DUMMYFUNCTION("""COMPUTED_VALUE"""),"")</f>
        <v/>
      </c>
      <c r="G7443" s="42" t="str">
        <f>IFERROR(__xludf.DUMMYFUNCTION("""COMPUTED_VALUE"""),"BN JUAL BELI")</f>
        <v>BN JUAL BELI</v>
      </c>
      <c r="H7443" s="42">
        <f t="shared" si="1"/>
        <v>3127</v>
      </c>
    </row>
    <row r="7444" ht="22.5" customHeight="1">
      <c r="B7444" s="42" t="str">
        <f>IFERROR(__xludf.DUMMYFUNCTION("""COMPUTED_VALUE"""),"K/7/150925/1")</f>
        <v>K/7/150925/1</v>
      </c>
      <c r="C7444" s="42" t="str">
        <f>IFERROR(__xludf.DUMMYFUNCTION("""COMPUTED_VALUE"""),"M. 472/KORPRI JAYA")</f>
        <v>M. 472/KORPRI JAYA</v>
      </c>
      <c r="D7444" s="42" t="str">
        <f>IFERROR(__xludf.DUMMYFUNCTION("""COMPUTED_VALUE"""),"Berry")</f>
        <v>Berry</v>
      </c>
      <c r="E7444" s="42" t="str">
        <f>IFERROR(__xludf.DUMMYFUNCTION("""COMPUTED_VALUE"""),"DISERAHKAN")</f>
        <v>DISERAHKAN</v>
      </c>
      <c r="F7444" s="48">
        <f>IFERROR(__xludf.DUMMYFUNCTION("""COMPUTED_VALUE"""),45951.47676494213)</f>
        <v>45951.47676</v>
      </c>
      <c r="G7444" s="42" t="str">
        <f>IFERROR(__xludf.DUMMYFUNCTION("""COMPUTED_VALUE"""),"BN JUAL BELI EL")</f>
        <v>BN JUAL BELI EL</v>
      </c>
      <c r="H7444" s="42">
        <f t="shared" si="1"/>
        <v>3128</v>
      </c>
    </row>
    <row r="7445" ht="22.5" customHeight="1">
      <c r="B7445" s="42" t="str">
        <f>IFERROR(__xludf.DUMMYFUNCTION("""COMPUTED_VALUE"""),"K/10/150925/1")</f>
        <v>K/10/150925/1</v>
      </c>
      <c r="C7445" s="42" t="str">
        <f>IFERROR(__xludf.DUMMYFUNCTION("""COMPUTED_VALUE"""),"M 1763/ JAGABAYA III")</f>
        <v>M 1763/ JAGABAYA III</v>
      </c>
      <c r="D7445" s="42"/>
      <c r="E7445" s="42"/>
      <c r="F7445" s="48" t="str">
        <f>IFERROR(__xludf.DUMMYFUNCTION("""COMPUTED_VALUE"""),"")</f>
        <v/>
      </c>
      <c r="G7445" s="42" t="str">
        <f>IFERROR(__xludf.DUMMYFUNCTION("""COMPUTED_VALUE"""),"BN JUAL BELI")</f>
        <v>BN JUAL BELI</v>
      </c>
      <c r="H7445" s="42">
        <f t="shared" si="1"/>
        <v>3128</v>
      </c>
    </row>
    <row r="7446" ht="22.5" customHeight="1">
      <c r="B7446" s="42" t="str">
        <f>IFERROR(__xludf.DUMMYFUNCTION("""COMPUTED_VALUE"""),"L/9/150925/1")</f>
        <v>L/9/150925/1</v>
      </c>
      <c r="C7446" s="42" t="str">
        <f>IFERROR(__xludf.DUMMYFUNCTION("""COMPUTED_VALUE"""),"KELURAHAN PESAWAHAN")</f>
        <v>KELURAHAN PESAWAHAN</v>
      </c>
      <c r="D7446" s="42"/>
      <c r="E7446" s="42"/>
      <c r="F7446" s="48" t="str">
        <f>IFERROR(__xludf.DUMMYFUNCTION("""COMPUTED_VALUE"""),"")</f>
        <v/>
      </c>
      <c r="G7446" s="42" t="str">
        <f>IFERROR(__xludf.DUMMYFUNCTION("""COMPUTED_VALUE"""),"PENGUKURAN PERTAMA KALI")</f>
        <v>PENGUKURAN PERTAMA KALI</v>
      </c>
      <c r="H7446" s="42">
        <f t="shared" si="1"/>
        <v>3128</v>
      </c>
    </row>
    <row r="7447" ht="22.5" customHeight="1">
      <c r="B7447" s="42" t="str">
        <f>IFERROR(__xludf.DUMMYFUNCTION("""COMPUTED_VALUE"""),"K/8/150925/1")</f>
        <v>K/8/150925/1</v>
      </c>
      <c r="C7447" s="42" t="str">
        <f>IFERROR(__xludf.DUMMYFUNCTION("""COMPUTED_VALUE"""),"M. 2024/SUKARAME BARU ")</f>
        <v>M. 2024/SUKARAME BARU </v>
      </c>
      <c r="D7447" s="42"/>
      <c r="E7447" s="42"/>
      <c r="F7447" s="48" t="str">
        <f>IFERROR(__xludf.DUMMYFUNCTION("""COMPUTED_VALUE"""),"")</f>
        <v/>
      </c>
      <c r="G7447" s="42" t="str">
        <f>IFERROR(__xludf.DUMMYFUNCTION("""COMPUTED_VALUE"""),"PEMISAHAN")</f>
        <v>PEMISAHAN</v>
      </c>
      <c r="H7447" s="42">
        <f t="shared" si="1"/>
        <v>3128</v>
      </c>
    </row>
    <row r="7448" ht="22.5" customHeight="1">
      <c r="B7448" s="42" t="str">
        <f>IFERROR(__xludf.DUMMYFUNCTION("""COMPUTED_VALUE"""),"K/11/150925/1")</f>
        <v>K/11/150925/1</v>
      </c>
      <c r="C7448" s="42" t="str">
        <f>IFERROR(__xludf.DUMMYFUNCTION("""COMPUTED_VALUE"""),"Nibel 24930/Sukabumi	")</f>
        <v>Nibel 24930/Sukabumi	</v>
      </c>
      <c r="D7448" s="42"/>
      <c r="E7448" s="42"/>
      <c r="F7448" s="48" t="str">
        <f>IFERROR(__xludf.DUMMYFUNCTION("""COMPUTED_VALUE"""),"")</f>
        <v/>
      </c>
      <c r="G7448" s="42" t="str">
        <f>IFERROR(__xludf.DUMMYFUNCTION("""COMPUTED_VALUE"""),"Peningkatan hak	")</f>
        <v>Peningkatan hak	</v>
      </c>
      <c r="H7448" s="42">
        <f t="shared" si="1"/>
        <v>3128</v>
      </c>
    </row>
    <row r="7449" ht="22.5" customHeight="1">
      <c r="B7449" s="42" t="str">
        <f>IFERROR(__xludf.DUMMYFUNCTION("""COMPUTED_VALUE"""),"K/18/150925/1")</f>
        <v>K/18/150925/1</v>
      </c>
      <c r="C7449" s="42" t="str">
        <f>IFERROR(__xludf.DUMMYFUNCTION("""COMPUTED_VALUE"""),"NIBEL M 24228/ GUNUNG TERANG")</f>
        <v>NIBEL M 24228/ GUNUNG TERANG</v>
      </c>
      <c r="D7449" s="42"/>
      <c r="E7449" s="42"/>
      <c r="F7449" s="48" t="str">
        <f>IFERROR(__xludf.DUMMYFUNCTION("""COMPUTED_VALUE"""),"")</f>
        <v/>
      </c>
      <c r="G7449" s="42" t="str">
        <f>IFERROR(__xludf.DUMMYFUNCTION("""COMPUTED_VALUE"""),"BN JUAL BELI")</f>
        <v>BN JUAL BELI</v>
      </c>
      <c r="H7449" s="42">
        <f t="shared" si="1"/>
        <v>3128</v>
      </c>
    </row>
    <row r="7450" ht="22.5" customHeight="1">
      <c r="B7450" s="42" t="str">
        <f>IFERROR(__xludf.DUMMYFUNCTION("""COMPUTED_VALUE"""),"K/16/150925/1")</f>
        <v>K/16/150925/1</v>
      </c>
      <c r="C7450" s="42" t="str">
        <f>IFERROR(__xludf.DUMMYFUNCTION("""COMPUTED_VALUE"""),"M. 1827/JAGABAYA III")</f>
        <v>M. 1827/JAGABAYA III</v>
      </c>
      <c r="D7450" s="42"/>
      <c r="E7450" s="42"/>
      <c r="F7450" s="48" t="str">
        <f>IFERROR(__xludf.DUMMYFUNCTION("""COMPUTED_VALUE"""),"")</f>
        <v/>
      </c>
      <c r="G7450" s="42" t="str">
        <f>IFERROR(__xludf.DUMMYFUNCTION("""COMPUTED_VALUE"""),"BN JUAL BELI EL")</f>
        <v>BN JUAL BELI EL</v>
      </c>
      <c r="H7450" s="42">
        <f t="shared" si="1"/>
        <v>3128</v>
      </c>
    </row>
    <row r="7451" ht="22.5" customHeight="1">
      <c r="B7451" s="42" t="str">
        <f>IFERROR(__xludf.DUMMYFUNCTION("""COMPUTED_VALUE"""),"K/19/150925/2")</f>
        <v>K/19/150925/2</v>
      </c>
      <c r="C7451" s="42" t="str">
        <f>IFERROR(__xludf.DUMMYFUNCTION("""COMPUTED_VALUE"""),"NIBEL M 24227/ GUNUNG TERANG")</f>
        <v>NIBEL M 24227/ GUNUNG TERANG</v>
      </c>
      <c r="D7451" s="42"/>
      <c r="E7451" s="42"/>
      <c r="F7451" s="48" t="str">
        <f>IFERROR(__xludf.DUMMYFUNCTION("""COMPUTED_VALUE"""),"")</f>
        <v/>
      </c>
      <c r="G7451" s="42" t="str">
        <f>IFERROR(__xludf.DUMMYFUNCTION("""COMPUTED_VALUE"""),"BN JUAL BELI")</f>
        <v>BN JUAL BELI</v>
      </c>
      <c r="H7451" s="42">
        <f t="shared" si="1"/>
        <v>3128</v>
      </c>
    </row>
    <row r="7452" ht="22.5" customHeight="1">
      <c r="B7452" s="42" t="str">
        <f>IFERROR(__xludf.DUMMYFUNCTION("""COMPUTED_VALUE"""),"K/12/150925/2")</f>
        <v>K/12/150925/2</v>
      </c>
      <c r="C7452" s="42" t="str">
        <f>IFERROR(__xludf.DUMMYFUNCTION("""COMPUTED_VALUE"""),"M. 3130/Sukadana Ham	")</f>
        <v>M. 3130/Sukadana Ham	</v>
      </c>
      <c r="D7452" s="42"/>
      <c r="E7452" s="42"/>
      <c r="F7452" s="48" t="str">
        <f>IFERROR(__xludf.DUMMYFUNCTION("""COMPUTED_VALUE"""),"")</f>
        <v/>
      </c>
      <c r="G7452" s="42" t="str">
        <f>IFERROR(__xludf.DUMMYFUNCTION("""COMPUTED_VALUE"""),"BN Jual Beli	")</f>
        <v>BN Jual Beli	</v>
      </c>
      <c r="H7452" s="42">
        <f t="shared" si="1"/>
        <v>3128</v>
      </c>
    </row>
    <row r="7453" ht="22.5" customHeight="1">
      <c r="B7453" s="42" t="str">
        <f>IFERROR(__xludf.DUMMYFUNCTION("""COMPUTED_VALUE"""),"K/20/150925/3")</f>
        <v>K/20/150925/3</v>
      </c>
      <c r="C7453" s="42" t="str">
        <f>IFERROR(__xludf.DUMMYFUNCTION("""COMPUTED_VALUE"""),"NIBEL M 19656/ SEPANG JAYA")</f>
        <v>NIBEL M 19656/ SEPANG JAYA</v>
      </c>
      <c r="D7453" s="42"/>
      <c r="E7453" s="42"/>
      <c r="F7453" s="48" t="str">
        <f>IFERROR(__xludf.DUMMYFUNCTION("""COMPUTED_VALUE"""),"")</f>
        <v/>
      </c>
      <c r="G7453" s="42" t="str">
        <f>IFERROR(__xludf.DUMMYFUNCTION("""COMPUTED_VALUE"""),"BN JUAL BELI")</f>
        <v>BN JUAL BELI</v>
      </c>
      <c r="H7453" s="42">
        <f t="shared" si="1"/>
        <v>3128</v>
      </c>
    </row>
    <row r="7454" ht="22.5" customHeight="1">
      <c r="B7454" s="42" t="str">
        <f>IFERROR(__xludf.DUMMYFUNCTION("""COMPUTED_VALUE"""),"K/17/150925/2")</f>
        <v>K/17/150925/2</v>
      </c>
      <c r="C7454" s="42" t="str">
        <f>IFERROR(__xludf.DUMMYFUNCTION("""COMPUTED_VALUE"""),"M. 1831/JAGABAYA III")</f>
        <v>M. 1831/JAGABAYA III</v>
      </c>
      <c r="D7454" s="42"/>
      <c r="E7454" s="42"/>
      <c r="F7454" s="48" t="str">
        <f>IFERROR(__xludf.DUMMYFUNCTION("""COMPUTED_VALUE"""),"")</f>
        <v/>
      </c>
      <c r="G7454" s="42" t="str">
        <f>IFERROR(__xludf.DUMMYFUNCTION("""COMPUTED_VALUE"""),"BN JUAL BELI EL")</f>
        <v>BN JUAL BELI EL</v>
      </c>
      <c r="H7454" s="42">
        <f t="shared" si="1"/>
        <v>3128</v>
      </c>
    </row>
    <row r="7455" ht="22.5" customHeight="1">
      <c r="B7455" s="42" t="str">
        <f>IFERROR(__xludf.DUMMYFUNCTION("""COMPUTED_VALUE"""),"K/13/150925/3")</f>
        <v>K/13/150925/3</v>
      </c>
      <c r="C7455" s="42" t="str">
        <f>IFERROR(__xludf.DUMMYFUNCTION("""COMPUTED_VALUE"""),"Nibel 16374/Durian Payung	")</f>
        <v>Nibel 16374/Durian Payung	</v>
      </c>
      <c r="D7455" s="42" t="str">
        <f>IFERROR(__xludf.DUMMYFUNCTION("""COMPUTED_VALUE"""),"Berry")</f>
        <v>Berry</v>
      </c>
      <c r="E7455" s="42" t="str">
        <f>IFERROR(__xludf.DUMMYFUNCTION("""COMPUTED_VALUE"""),"DISERAHKAN")</f>
        <v>DISERAHKAN</v>
      </c>
      <c r="F7455" s="48">
        <f>IFERROR(__xludf.DUMMYFUNCTION("""COMPUTED_VALUE"""),45938.49544521991)</f>
        <v>45938.49545</v>
      </c>
      <c r="G7455" s="42" t="str">
        <f>IFERROR(__xludf.DUMMYFUNCTION("""COMPUTED_VALUE"""),"BN Jual Beli	")</f>
        <v>BN Jual Beli	</v>
      </c>
      <c r="H7455" s="42">
        <f t="shared" si="1"/>
        <v>3129</v>
      </c>
    </row>
    <row r="7456" ht="22.5" customHeight="1">
      <c r="B7456" s="42" t="str">
        <f>IFERROR(__xludf.DUMMYFUNCTION("""COMPUTED_VALUE"""),"K/21/150925/4")</f>
        <v>K/21/150925/4</v>
      </c>
      <c r="C7456" s="42" t="str">
        <f>IFERROR(__xludf.DUMMYFUNCTION("""COMPUTED_VALUE"""),"M 399/ PINANG JAYA")</f>
        <v>M 399/ PINANG JAYA</v>
      </c>
      <c r="D7456" s="42"/>
      <c r="E7456" s="42"/>
      <c r="F7456" s="48" t="str">
        <f>IFERROR(__xludf.DUMMYFUNCTION("""COMPUTED_VALUE"""),"")</f>
        <v/>
      </c>
      <c r="G7456" s="42" t="str">
        <f>IFERROR(__xludf.DUMMYFUNCTION("""COMPUTED_VALUE"""),"BN JUAL BELI")</f>
        <v>BN JUAL BELI</v>
      </c>
      <c r="H7456" s="42">
        <f t="shared" si="1"/>
        <v>3129</v>
      </c>
    </row>
    <row r="7457" ht="22.5" customHeight="1">
      <c r="B7457" s="42" t="str">
        <f>IFERROR(__xludf.DUMMYFUNCTION("""COMPUTED_VALUE"""),"K/22/150925/5")</f>
        <v>K/22/150925/5</v>
      </c>
      <c r="C7457" s="42" t="str">
        <f>IFERROR(__xludf.DUMMYFUNCTION("""COMPUTED_VALUE"""),"M 477/ SUKAMENANTI BARU")</f>
        <v>M 477/ SUKAMENANTI BARU</v>
      </c>
      <c r="D7457" s="42" t="str">
        <f>IFERROR(__xludf.DUMMYFUNCTION("""COMPUTED_VALUE"""),"Berry")</f>
        <v>Berry</v>
      </c>
      <c r="E7457" s="42" t="str">
        <f>IFERROR(__xludf.DUMMYFUNCTION("""COMPUTED_VALUE"""),"DISERAHKAN")</f>
        <v>DISERAHKAN</v>
      </c>
      <c r="F7457" s="48">
        <f>IFERROR(__xludf.DUMMYFUNCTION("""COMPUTED_VALUE"""),45966.64642001157)</f>
        <v>45966.64642</v>
      </c>
      <c r="G7457" s="42" t="str">
        <f>IFERROR(__xludf.DUMMYFUNCTION("""COMPUTED_VALUE"""),"BN JUAL BELI")</f>
        <v>BN JUAL BELI</v>
      </c>
      <c r="H7457" s="42">
        <f t="shared" si="1"/>
        <v>3130</v>
      </c>
    </row>
    <row r="7458" ht="22.5" customHeight="1">
      <c r="B7458" s="42" t="str">
        <f>IFERROR(__xludf.DUMMYFUNCTION("""COMPUTED_VALUE"""),"K/23/150925/1")</f>
        <v>K/23/150925/1</v>
      </c>
      <c r="C7458" s="42" t="str">
        <f>IFERROR(__xludf.DUMMYFUNCTION("""COMPUTED_VALUE"""),"B. 1503/KEMILING PERMAI")</f>
        <v>B. 1503/KEMILING PERMAI</v>
      </c>
      <c r="D7458" s="42"/>
      <c r="E7458" s="42"/>
      <c r="F7458" s="48" t="str">
        <f>IFERROR(__xludf.DUMMYFUNCTION("""COMPUTED_VALUE"""),"")</f>
        <v/>
      </c>
      <c r="G7458" s="42" t="str">
        <f>IFERROR(__xludf.DUMMYFUNCTION("""COMPUTED_VALUE"""),"BN WARIS")</f>
        <v>BN WARIS</v>
      </c>
      <c r="H7458" s="42">
        <f t="shared" si="1"/>
        <v>3130</v>
      </c>
    </row>
    <row r="7459" ht="22.5" customHeight="1">
      <c r="B7459" s="42" t="str">
        <f>IFERROR(__xludf.DUMMYFUNCTION("""COMPUTED_VALUE"""),"K/24/150925/1")</f>
        <v>K/24/150925/1</v>
      </c>
      <c r="C7459" s="42" t="str">
        <f>IFERROR(__xludf.DUMMYFUNCTION("""COMPUTED_VALUE"""),"M. 1543/Susunan Baru	")</f>
        <v>M. 1543/Susunan Baru	</v>
      </c>
      <c r="D7459" s="42"/>
      <c r="E7459" s="42"/>
      <c r="F7459" s="48" t="str">
        <f>IFERROR(__xludf.DUMMYFUNCTION("""COMPUTED_VALUE"""),"")</f>
        <v/>
      </c>
      <c r="G7459" s="42" t="str">
        <f>IFERROR(__xludf.DUMMYFUNCTION("""COMPUTED_VALUE"""),"BN Jual Beli	")</f>
        <v>BN Jual Beli	</v>
      </c>
      <c r="H7459" s="42">
        <f t="shared" si="1"/>
        <v>3130</v>
      </c>
    </row>
    <row r="7460" ht="22.5" customHeight="1">
      <c r="B7460" s="42" t="str">
        <f>IFERROR(__xludf.DUMMYFUNCTION("""COMPUTED_VALUE"""),"K/25/150925/1")</f>
        <v>K/25/150925/1</v>
      </c>
      <c r="C7460" s="42" t="str">
        <f>IFERROR(__xludf.DUMMYFUNCTION("""COMPUTED_VALUE"""),"M 1835/ RAJABASA PEMUKA")</f>
        <v>M 1835/ RAJABASA PEMUKA</v>
      </c>
      <c r="D7460" s="42"/>
      <c r="E7460" s="42"/>
      <c r="F7460" s="48" t="str">
        <f>IFERROR(__xludf.DUMMYFUNCTION("""COMPUTED_VALUE"""),"")</f>
        <v/>
      </c>
      <c r="G7460" s="42" t="str">
        <f>IFERROR(__xludf.DUMMYFUNCTION("""COMPUTED_VALUE"""),"BN JUAL BELI")</f>
        <v>BN JUAL BELI</v>
      </c>
      <c r="H7460" s="42">
        <f t="shared" si="1"/>
        <v>3130</v>
      </c>
    </row>
    <row r="7461" ht="22.5" customHeight="1">
      <c r="B7461" s="42" t="str">
        <f>IFERROR(__xludf.DUMMYFUNCTION("""COMPUTED_VALUE"""),"K/26/150925/2")</f>
        <v>K/26/150925/2</v>
      </c>
      <c r="C7461" s="42" t="str">
        <f>IFERROR(__xludf.DUMMYFUNCTION("""COMPUTED_VALUE"""),"NIBEL M 16738/ RAJABASA JAYA")</f>
        <v>NIBEL M 16738/ RAJABASA JAYA</v>
      </c>
      <c r="D7461" s="42" t="str">
        <f>IFERROR(__xludf.DUMMYFUNCTION("""COMPUTED_VALUE"""),"David")</f>
        <v>David</v>
      </c>
      <c r="E7461" s="42" t="str">
        <f>IFERROR(__xludf.DUMMYFUNCTION("""COMPUTED_VALUE"""),"DISERAHKAN")</f>
        <v>DISERAHKAN</v>
      </c>
      <c r="F7461" s="48">
        <f>IFERROR(__xludf.DUMMYFUNCTION("""COMPUTED_VALUE"""),45943.70101528935)</f>
        <v>45943.70102</v>
      </c>
      <c r="G7461" s="42" t="str">
        <f>IFERROR(__xludf.DUMMYFUNCTION("""COMPUTED_VALUE"""),"BN PHB")</f>
        <v>BN PHB</v>
      </c>
      <c r="H7461" s="42">
        <f t="shared" si="1"/>
        <v>3131</v>
      </c>
    </row>
    <row r="7462" ht="22.5" customHeight="1">
      <c r="B7462" s="42" t="str">
        <f>IFERROR(__xludf.DUMMYFUNCTION("""COMPUTED_VALUE"""),"K/27/150925/1")</f>
        <v>K/27/150925/1</v>
      </c>
      <c r="C7462" s="42" t="str">
        <f>IFERROR(__xludf.DUMMYFUNCTION("""COMPUTED_VALUE"""),"M. 12243/KEDAMAIAN")</f>
        <v>M. 12243/KEDAMAIAN</v>
      </c>
      <c r="D7462" s="42"/>
      <c r="E7462" s="42"/>
      <c r="F7462" s="48" t="str">
        <f>IFERROR(__xludf.DUMMYFUNCTION("""COMPUTED_VALUE"""),"")</f>
        <v/>
      </c>
      <c r="G7462" s="42" t="str">
        <f>IFERROR(__xludf.DUMMYFUNCTION("""COMPUTED_VALUE"""),"BLOKIR ")</f>
        <v>BLOKIR </v>
      </c>
      <c r="H7462" s="42">
        <f t="shared" si="1"/>
        <v>3131</v>
      </c>
    </row>
    <row r="7463" ht="22.5" customHeight="1">
      <c r="B7463" s="42" t="str">
        <f>IFERROR(__xludf.DUMMYFUNCTION("""COMPUTED_VALUE"""),"K/28/150925/1")</f>
        <v>K/28/150925/1</v>
      </c>
      <c r="C7463" s="42" t="str">
        <f>IFERROR(__xludf.DUMMYFUNCTION("""COMPUTED_VALUE"""),"NIBEL M 17749/ KEMILING PERMAI")</f>
        <v>NIBEL M 17749/ KEMILING PERMAI</v>
      </c>
      <c r="D7463" s="42"/>
      <c r="E7463" s="42"/>
      <c r="F7463" s="48" t="str">
        <f>IFERROR(__xludf.DUMMYFUNCTION("""COMPUTED_VALUE"""),"")</f>
        <v/>
      </c>
      <c r="G7463" s="42" t="str">
        <f>IFERROR(__xludf.DUMMYFUNCTION("""COMPUTED_VALUE"""),"BN JUAL BELI")</f>
        <v>BN JUAL BELI</v>
      </c>
      <c r="H7463" s="42">
        <f t="shared" si="1"/>
        <v>3131</v>
      </c>
    </row>
    <row r="7464" ht="22.5" customHeight="1">
      <c r="B7464" s="42" t="str">
        <f>IFERROR(__xludf.DUMMYFUNCTION("""COMPUTED_VALUE"""),"K/29/150925/2")</f>
        <v>K/29/150925/2</v>
      </c>
      <c r="C7464" s="42" t="str">
        <f>IFERROR(__xludf.DUMMYFUNCTION("""COMPUTED_VALUE"""),"NIBEL M 21457/ BUMI KEDAMAIAN")</f>
        <v>NIBEL M 21457/ BUMI KEDAMAIAN</v>
      </c>
      <c r="D7464" s="42"/>
      <c r="E7464" s="42"/>
      <c r="F7464" s="48" t="str">
        <f>IFERROR(__xludf.DUMMYFUNCTION("""COMPUTED_VALUE"""),"")</f>
        <v/>
      </c>
      <c r="G7464" s="42" t="str">
        <f>IFERROR(__xludf.DUMMYFUNCTION("""COMPUTED_VALUE"""),"BN JUAL BELI")</f>
        <v>BN JUAL BELI</v>
      </c>
      <c r="H7464" s="42">
        <f t="shared" si="1"/>
        <v>3131</v>
      </c>
    </row>
    <row r="7465" ht="22.5" customHeight="1">
      <c r="B7465" s="42" t="str">
        <f>IFERROR(__xludf.DUMMYFUNCTION("""COMPUTED_VALUE"""),"K/30/150925/3")</f>
        <v>K/30/150925/3</v>
      </c>
      <c r="C7465" s="42" t="str">
        <f>IFERROR(__xludf.DUMMYFUNCTION("""COMPUTED_VALUE"""),"NIBEL M 21925/ LANGKAPURA BARU")</f>
        <v>NIBEL M 21925/ LANGKAPURA BARU</v>
      </c>
      <c r="D7465" s="42"/>
      <c r="E7465" s="42"/>
      <c r="F7465" s="48" t="str">
        <f>IFERROR(__xludf.DUMMYFUNCTION("""COMPUTED_VALUE"""),"")</f>
        <v/>
      </c>
      <c r="G7465" s="42" t="str">
        <f>IFERROR(__xludf.DUMMYFUNCTION("""COMPUTED_VALUE"""),"BN JUAL BELI")</f>
        <v>BN JUAL BELI</v>
      </c>
      <c r="H7465" s="42">
        <f t="shared" si="1"/>
        <v>3131</v>
      </c>
    </row>
    <row r="7466" ht="22.5" customHeight="1">
      <c r="B7466" s="42" t="str">
        <f>IFERROR(__xludf.DUMMYFUNCTION("""COMPUTED_VALUE"""),"K/31/150925/1")</f>
        <v>K/31/150925/1</v>
      </c>
      <c r="C7466" s="42" t="str">
        <f>IFERROR(__xludf.DUMMYFUNCTION("""COMPUTED_VALUE"""),"M. 853/Gotong Royong	")</f>
        <v>M. 853/Gotong Royong	</v>
      </c>
      <c r="D7466" s="42"/>
      <c r="E7466" s="42"/>
      <c r="F7466" s="48" t="str">
        <f>IFERROR(__xludf.DUMMYFUNCTION("""COMPUTED_VALUE"""),"")</f>
        <v/>
      </c>
      <c r="G7466" s="42" t="str">
        <f>IFERROR(__xludf.DUMMYFUNCTION("""COMPUTED_VALUE"""),"BN Jual Beli	")</f>
        <v>BN Jual Beli	</v>
      </c>
      <c r="H7466" s="42">
        <f t="shared" si="1"/>
        <v>3131</v>
      </c>
    </row>
    <row r="7467" ht="22.5" customHeight="1">
      <c r="B7467" s="42" t="str">
        <f>IFERROR(__xludf.DUMMYFUNCTION("""COMPUTED_VALUE"""),"K/32/150925/2")</f>
        <v>K/32/150925/2</v>
      </c>
      <c r="C7467" s="42" t="str">
        <f>IFERROR(__xludf.DUMMYFUNCTION("""COMPUTED_VALUE"""),"M. 3517/Bilabong Jaya	")</f>
        <v>M. 3517/Bilabong Jaya	</v>
      </c>
      <c r="D7467" s="42" t="str">
        <f>IFERROR(__xludf.DUMMYFUNCTION("""COMPUTED_VALUE"""),"Berry")</f>
        <v>Berry</v>
      </c>
      <c r="E7467" s="42" t="str">
        <f>IFERROR(__xludf.DUMMYFUNCTION("""COMPUTED_VALUE"""),"DISERAHKAN")</f>
        <v>DISERAHKAN</v>
      </c>
      <c r="F7467" s="48">
        <f>IFERROR(__xludf.DUMMYFUNCTION("""COMPUTED_VALUE"""),45945.678625243054)</f>
        <v>45945.67863</v>
      </c>
      <c r="G7467" s="42" t="str">
        <f>IFERROR(__xludf.DUMMYFUNCTION("""COMPUTED_VALUE"""),"BN Jual Beli	")</f>
        <v>BN Jual Beli	</v>
      </c>
      <c r="H7467" s="42">
        <f t="shared" si="1"/>
        <v>3132</v>
      </c>
    </row>
    <row r="7468" ht="22.5" customHeight="1">
      <c r="B7468" s="42" t="str">
        <f>IFERROR(__xludf.DUMMYFUNCTION("""COMPUTED_VALUE"""),"K/34/150925/1")</f>
        <v>K/34/150925/1</v>
      </c>
      <c r="C7468" s="42" t="str">
        <f>IFERROR(__xludf.DUMMYFUNCTION("""COMPUTED_VALUE"""),"M 2022/ KALI BALAU KENCANA")</f>
        <v>M 2022/ KALI BALAU KENCANA</v>
      </c>
      <c r="D7468" s="42"/>
      <c r="E7468" s="42"/>
      <c r="F7468" s="48" t="str">
        <f>IFERROR(__xludf.DUMMYFUNCTION("""COMPUTED_VALUE"""),"")</f>
        <v/>
      </c>
      <c r="G7468" s="42" t="str">
        <f>IFERROR(__xludf.DUMMYFUNCTION("""COMPUTED_VALUE"""),"BN JUAL BELI")</f>
        <v>BN JUAL BELI</v>
      </c>
      <c r="H7468" s="42">
        <f t="shared" si="1"/>
        <v>3132</v>
      </c>
    </row>
    <row r="7469" ht="22.5" customHeight="1">
      <c r="B7469" s="42" t="str">
        <f>IFERROR(__xludf.DUMMYFUNCTION("""COMPUTED_VALUE"""),"K/36/150925/1")</f>
        <v>K/36/150925/1</v>
      </c>
      <c r="C7469" s="42" t="str">
        <f>IFERROR(__xludf.DUMMYFUNCTION("""COMPUTED_VALUE"""),"Nibel 24998/Perumnas Way Halim	")</f>
        <v>Nibel 24998/Perumnas Way Halim	</v>
      </c>
      <c r="D7469" s="42" t="str">
        <f>IFERROR(__xludf.DUMMYFUNCTION("""COMPUTED_VALUE"""),"Berry")</f>
        <v>Berry</v>
      </c>
      <c r="E7469" s="42" t="str">
        <f>IFERROR(__xludf.DUMMYFUNCTION("""COMPUTED_VALUE"""),"DISERAHKAN")</f>
        <v>DISERAHKAN</v>
      </c>
      <c r="F7469" s="48">
        <f>IFERROR(__xludf.DUMMYFUNCTION("""COMPUTED_VALUE"""),45938.47008121527)</f>
        <v>45938.47008</v>
      </c>
      <c r="G7469" s="42" t="str">
        <f>IFERROR(__xludf.DUMMYFUNCTION("""COMPUTED_VALUE"""),"BN Jual Beli	")</f>
        <v>BN Jual Beli	</v>
      </c>
      <c r="H7469" s="42">
        <f t="shared" si="1"/>
        <v>3133</v>
      </c>
    </row>
    <row r="7470" ht="22.5" customHeight="1">
      <c r="B7470" s="42" t="str">
        <f>IFERROR(__xludf.DUMMYFUNCTION("""COMPUTED_VALUE"""),"K/37/150925/1")</f>
        <v>K/37/150925/1</v>
      </c>
      <c r="C7470" s="42" t="str">
        <f>IFERROR(__xludf.DUMMYFUNCTION("""COMPUTED_VALUE"""),"PBT 105/2025	")</f>
        <v>PBT 105/2025	</v>
      </c>
      <c r="D7470" s="42"/>
      <c r="E7470" s="42"/>
      <c r="F7470" s="48" t="str">
        <f>IFERROR(__xludf.DUMMYFUNCTION("""COMPUTED_VALUE"""),"")</f>
        <v/>
      </c>
      <c r="G7470" s="42" t="str">
        <f>IFERROR(__xludf.DUMMYFUNCTION("""COMPUTED_VALUE"""),"Pendaftran SK Pertama Kali")</f>
        <v>Pendaftran SK Pertama Kali</v>
      </c>
      <c r="H7470" s="42">
        <f t="shared" si="1"/>
        <v>3133</v>
      </c>
    </row>
    <row r="7471" ht="22.5" customHeight="1">
      <c r="B7471" s="42" t="str">
        <f>IFERROR(__xludf.DUMMYFUNCTION("""COMPUTED_VALUE"""),"K/38/150925/1")</f>
        <v>K/38/150925/1</v>
      </c>
      <c r="C7471" s="42" t="str">
        <f>IFERROR(__xludf.DUMMYFUNCTION("""COMPUTED_VALUE"""),"NIBEL M 510/ KORPRI JAYA")</f>
        <v>NIBEL M 510/ KORPRI JAYA</v>
      </c>
      <c r="D7471" s="42"/>
      <c r="E7471" s="42"/>
      <c r="F7471" s="48" t="str">
        <f>IFERROR(__xludf.DUMMYFUNCTION("""COMPUTED_VALUE"""),"")</f>
        <v/>
      </c>
      <c r="G7471" s="42" t="str">
        <f>IFERROR(__xludf.DUMMYFUNCTION("""COMPUTED_VALUE"""),"BN JUAL BELI")</f>
        <v>BN JUAL BELI</v>
      </c>
      <c r="H7471" s="42">
        <f t="shared" si="1"/>
        <v>3133</v>
      </c>
    </row>
    <row r="7472" ht="22.5" customHeight="1">
      <c r="B7472" s="42" t="str">
        <f>IFERROR(__xludf.DUMMYFUNCTION("""COMPUTED_VALUE"""),"K/39/150925/1")</f>
        <v>K/39/150925/1</v>
      </c>
      <c r="C7472" s="42" t="str">
        <f>IFERROR(__xludf.DUMMYFUNCTION("""COMPUTED_VALUE"""),"NIBEL M 23140/ LABUHAN RATU RAYA")</f>
        <v>NIBEL M 23140/ LABUHAN RATU RAYA</v>
      </c>
      <c r="D7472" s="42"/>
      <c r="E7472" s="42"/>
      <c r="F7472" s="48" t="str">
        <f>IFERROR(__xludf.DUMMYFUNCTION("""COMPUTED_VALUE"""),"")</f>
        <v/>
      </c>
      <c r="G7472" s="42" t="str">
        <f>IFERROR(__xludf.DUMMYFUNCTION("""COMPUTED_VALUE"""),"BN JUAL BELI")</f>
        <v>BN JUAL BELI</v>
      </c>
      <c r="H7472" s="42">
        <f t="shared" si="1"/>
        <v>3133</v>
      </c>
    </row>
    <row r="7473" ht="22.5" customHeight="1">
      <c r="B7473" s="42" t="str">
        <f>IFERROR(__xludf.DUMMYFUNCTION("""COMPUTED_VALUE"""),"L/1/160925/1")</f>
        <v>L/1/160925/1</v>
      </c>
      <c r="C7473" s="42" t="str">
        <f>IFERROR(__xludf.DUMMYFUNCTION("""COMPUTED_VALUE"""),"B. 499/SUKAMAJU")</f>
        <v>B. 499/SUKAMAJU</v>
      </c>
      <c r="D7473" s="42"/>
      <c r="E7473" s="42"/>
      <c r="F7473" s="48" t="str">
        <f>IFERROR(__xludf.DUMMYFUNCTION("""COMPUTED_VALUE"""),"")</f>
        <v/>
      </c>
      <c r="G7473" s="42" t="str">
        <f>IFERROR(__xludf.DUMMYFUNCTION("""COMPUTED_VALUE"""),"ROYA")</f>
        <v>ROYA</v>
      </c>
      <c r="H7473" s="42">
        <f t="shared" si="1"/>
        <v>3133</v>
      </c>
    </row>
    <row r="7474" ht="22.5" customHeight="1">
      <c r="B7474" s="42" t="str">
        <f>IFERROR(__xludf.DUMMYFUNCTION("""COMPUTED_VALUE"""),"K/2/160925/1")</f>
        <v>K/2/160925/1</v>
      </c>
      <c r="C7474" s="42" t="str">
        <f>IFERROR(__xludf.DUMMYFUNCTION("""COMPUTED_VALUE"""),"B 3684/ SUKARAME")</f>
        <v>B 3684/ SUKARAME</v>
      </c>
      <c r="D7474" s="42" t="str">
        <f>IFERROR(__xludf.DUMMYFUNCTION("""COMPUTED_VALUE"""),"David")</f>
        <v>David</v>
      </c>
      <c r="E7474" s="42" t="str">
        <f>IFERROR(__xludf.DUMMYFUNCTION("""COMPUTED_VALUE"""),"DISERAHKAN")</f>
        <v>DISERAHKAN</v>
      </c>
      <c r="F7474" s="48">
        <f>IFERROR(__xludf.DUMMYFUNCTION("""COMPUTED_VALUE"""),45943.69780231481)</f>
        <v>45943.6978</v>
      </c>
      <c r="G7474" s="42" t="str">
        <f>IFERROR(__xludf.DUMMYFUNCTION("""COMPUTED_VALUE"""),"PENINGKATAN HAK")</f>
        <v>PENINGKATAN HAK</v>
      </c>
      <c r="H7474" s="42">
        <f t="shared" si="1"/>
        <v>3134</v>
      </c>
    </row>
    <row r="7475" ht="22.5" customHeight="1">
      <c r="B7475" s="42" t="str">
        <f>IFERROR(__xludf.DUMMYFUNCTION("""COMPUTED_VALUE"""),"K/3/160925/1")</f>
        <v>K/3/160925/1</v>
      </c>
      <c r="C7475" s="42" t="str">
        <f>IFERROR(__xludf.DUMMYFUNCTION("""COMPUTED_VALUE"""),"M. 3440/Langkapura	")</f>
        <v>M. 3440/Langkapura	</v>
      </c>
      <c r="D7475" s="42"/>
      <c r="E7475" s="42"/>
      <c r="F7475" s="48" t="str">
        <f>IFERROR(__xludf.DUMMYFUNCTION("""COMPUTED_VALUE"""),"")</f>
        <v/>
      </c>
      <c r="G7475" s="42" t="str">
        <f>IFERROR(__xludf.DUMMYFUNCTION("""COMPUTED_VALUE"""),"BN Jual Beli	")</f>
        <v>BN Jual Beli	</v>
      </c>
      <c r="H7475" s="42">
        <f t="shared" si="1"/>
        <v>3134</v>
      </c>
    </row>
    <row r="7476" ht="22.5" customHeight="1">
      <c r="B7476" s="42" t="str">
        <f>IFERROR(__xludf.DUMMYFUNCTION("""COMPUTED_VALUE"""),"K/4/160925/1")</f>
        <v>K/4/160925/1</v>
      </c>
      <c r="C7476" s="42" t="str">
        <f>IFERROR(__xludf.DUMMYFUNCTION("""COMPUTED_VALUE"""),"M. 9180/Gedong Meneng	")</f>
        <v>M. 9180/Gedong Meneng	</v>
      </c>
      <c r="D7476" s="42"/>
      <c r="E7476" s="42"/>
      <c r="F7476" s="48" t="str">
        <f>IFERROR(__xludf.DUMMYFUNCTION("""COMPUTED_VALUE"""),"")</f>
        <v/>
      </c>
      <c r="G7476" s="42" t="str">
        <f>IFERROR(__xludf.DUMMYFUNCTION("""COMPUTED_VALUE"""),"BN Hibah	")</f>
        <v>BN Hibah	</v>
      </c>
      <c r="H7476" s="42">
        <f t="shared" si="1"/>
        <v>3134</v>
      </c>
    </row>
    <row r="7477" ht="22.5" customHeight="1">
      <c r="B7477" s="42" t="str">
        <f>IFERROR(__xludf.DUMMYFUNCTION("""COMPUTED_VALUE"""),"L/5/160925/1")</f>
        <v>L/5/160925/1</v>
      </c>
      <c r="C7477" s="42" t="str">
        <f>IFERROR(__xludf.DUMMYFUNCTION("""COMPUTED_VALUE"""),"B. 2129/CAMPANG RAYA")</f>
        <v>B. 2129/CAMPANG RAYA</v>
      </c>
      <c r="D7477" s="42" t="str">
        <f>IFERROR(__xludf.DUMMYFUNCTION("""COMPUTED_VALUE"""),"David")</f>
        <v>David</v>
      </c>
      <c r="E7477" s="42" t="str">
        <f>IFERROR(__xludf.DUMMYFUNCTION("""COMPUTED_VALUE"""),"DISERAHKAN")</f>
        <v>DISERAHKAN</v>
      </c>
      <c r="F7477" s="48">
        <f>IFERROR(__xludf.DUMMYFUNCTION("""COMPUTED_VALUE"""),45960.63119008102)</f>
        <v>45960.63119</v>
      </c>
      <c r="G7477" s="42" t="str">
        <f>IFERROR(__xludf.DUMMYFUNCTION("""COMPUTED_VALUE"""),"ROYA")</f>
        <v>ROYA</v>
      </c>
      <c r="H7477" s="42">
        <f t="shared" si="1"/>
        <v>3135</v>
      </c>
    </row>
    <row r="7478" ht="22.5" customHeight="1">
      <c r="B7478" s="42" t="str">
        <f>IFERROR(__xludf.DUMMYFUNCTION("""COMPUTED_VALUE"""),"K/7/160925/1")</f>
        <v>K/7/160925/1</v>
      </c>
      <c r="C7478" s="42" t="str">
        <f>IFERROR(__xludf.DUMMYFUNCTION("""COMPUTED_VALUE"""),"M 9467/ SUKARAME II")</f>
        <v>M 9467/ SUKARAME II</v>
      </c>
      <c r="D7478" s="42" t="str">
        <f>IFERROR(__xludf.DUMMYFUNCTION("""COMPUTED_VALUE"""),"David")</f>
        <v>David</v>
      </c>
      <c r="E7478" s="42" t="str">
        <f>IFERROR(__xludf.DUMMYFUNCTION("""COMPUTED_VALUE"""),"DISERAHKAN")</f>
        <v>DISERAHKAN</v>
      </c>
      <c r="F7478" s="48">
        <f>IFERROR(__xludf.DUMMYFUNCTION("""COMPUTED_VALUE"""),45943.696720486114)</f>
        <v>45943.69672</v>
      </c>
      <c r="G7478" s="42" t="str">
        <f>IFERROR(__xludf.DUMMYFUNCTION("""COMPUTED_VALUE"""),"BN JUAL BELI")</f>
        <v>BN JUAL BELI</v>
      </c>
      <c r="H7478" s="42">
        <f t="shared" si="1"/>
        <v>3136</v>
      </c>
    </row>
    <row r="7479" ht="22.5" customHeight="1">
      <c r="B7479" s="42" t="str">
        <f>IFERROR(__xludf.DUMMYFUNCTION("""COMPUTED_VALUE"""),"K/6/160925/2")</f>
        <v>K/6/160925/2</v>
      </c>
      <c r="C7479" s="42" t="str">
        <f>IFERROR(__xludf.DUMMYFUNCTION("""COMPUTED_VALUE"""),"M. 9177/Gedong Meneng")</f>
        <v>M. 9177/Gedong Meneng</v>
      </c>
      <c r="D7479" s="42"/>
      <c r="E7479" s="42"/>
      <c r="F7479" s="48" t="str">
        <f>IFERROR(__xludf.DUMMYFUNCTION("""COMPUTED_VALUE"""),"")</f>
        <v/>
      </c>
      <c r="G7479" s="42" t="str">
        <f>IFERROR(__xludf.DUMMYFUNCTION("""COMPUTED_VALUE"""),"BN Hibah		")</f>
        <v>BN Hibah		</v>
      </c>
      <c r="H7479" s="42">
        <f t="shared" si="1"/>
        <v>3136</v>
      </c>
    </row>
    <row r="7480" ht="22.5" customHeight="1">
      <c r="B7480" s="42" t="str">
        <f>IFERROR(__xludf.DUMMYFUNCTION("""COMPUTED_VALUE"""),"K/11/160925/2")</f>
        <v>K/11/160925/2</v>
      </c>
      <c r="C7480" s="42" t="str">
        <f>IFERROR(__xludf.DUMMYFUNCTION("""COMPUTED_VALUE"""),"M 2156/ LABUHAN RATU RAYA")</f>
        <v>M 2156/ LABUHAN RATU RAYA</v>
      </c>
      <c r="D7480" s="42" t="str">
        <f>IFERROR(__xludf.DUMMYFUNCTION("""COMPUTED_VALUE"""),"David")</f>
        <v>David</v>
      </c>
      <c r="E7480" s="42" t="str">
        <f>IFERROR(__xludf.DUMMYFUNCTION("""COMPUTED_VALUE"""),"DISERAHKAN")</f>
        <v>DISERAHKAN</v>
      </c>
      <c r="F7480" s="48">
        <f>IFERROR(__xludf.DUMMYFUNCTION("""COMPUTED_VALUE"""),45957.49146082176)</f>
        <v>45957.49146</v>
      </c>
      <c r="G7480" s="42" t="str">
        <f>IFERROR(__xludf.DUMMYFUNCTION("""COMPUTED_VALUE"""),"BN WARIS")</f>
        <v>BN WARIS</v>
      </c>
      <c r="H7480" s="42">
        <f t="shared" si="1"/>
        <v>3137</v>
      </c>
    </row>
    <row r="7481" ht="22.5" customHeight="1">
      <c r="B7481" s="42" t="str">
        <f>IFERROR(__xludf.DUMMYFUNCTION("""COMPUTED_VALUE"""),"K/8/160925/1")</f>
        <v>K/8/160925/1</v>
      </c>
      <c r="C7481" s="42" t="str">
        <f>IFERROR(__xludf.DUMMYFUNCTION("""COMPUTED_VALUE"""),"M. 5878/Kedaton	")</f>
        <v>M. 5878/Kedaton	</v>
      </c>
      <c r="D7481" s="42" t="str">
        <f>IFERROR(__xludf.DUMMYFUNCTION("""COMPUTED_VALUE"""),"David")</f>
        <v>David</v>
      </c>
      <c r="E7481" s="42" t="str">
        <f>IFERROR(__xludf.DUMMYFUNCTION("""COMPUTED_VALUE"""),"DISERAHKAN")</f>
        <v>DISERAHKAN</v>
      </c>
      <c r="F7481" s="48">
        <f>IFERROR(__xludf.DUMMYFUNCTION("""COMPUTED_VALUE"""),45943.70077481482)</f>
        <v>45943.70077</v>
      </c>
      <c r="G7481" s="42" t="str">
        <f>IFERROR(__xludf.DUMMYFUNCTION("""COMPUTED_VALUE"""),"BN Hibah	")</f>
        <v>BN Hibah	</v>
      </c>
      <c r="H7481" s="42">
        <f t="shared" si="1"/>
        <v>3138</v>
      </c>
    </row>
    <row r="7482" ht="22.5" customHeight="1">
      <c r="B7482" s="42" t="str">
        <f>IFERROR(__xludf.DUMMYFUNCTION("""COMPUTED_VALUE"""),"K/9/160925/2")</f>
        <v>K/9/160925/2</v>
      </c>
      <c r="C7482" s="42" t="str">
        <f>IFERROR(__xludf.DUMMYFUNCTION("""COMPUTED_VALUE"""),"Nibel 12201/Way Kandis	")</f>
        <v>Nibel 12201/Way Kandis	</v>
      </c>
      <c r="D7482" s="42"/>
      <c r="E7482" s="42"/>
      <c r="F7482" s="48" t="str">
        <f>IFERROR(__xludf.DUMMYFUNCTION("""COMPUTED_VALUE"""),"")</f>
        <v/>
      </c>
      <c r="G7482" s="42" t="str">
        <f>IFERROR(__xludf.DUMMYFUNCTION("""COMPUTED_VALUE"""),"BN Hibah	")</f>
        <v>BN Hibah	</v>
      </c>
      <c r="H7482" s="42">
        <f t="shared" si="1"/>
        <v>3138</v>
      </c>
    </row>
    <row r="7483" ht="22.5" customHeight="1">
      <c r="B7483" s="42" t="str">
        <f>IFERROR(__xludf.DUMMYFUNCTION("""COMPUTED_VALUE"""),"L/13/160925/1")</f>
        <v>L/13/160925/1</v>
      </c>
      <c r="C7483" s="42" t="str">
        <f>IFERROR(__xludf.DUMMYFUNCTION("""COMPUTED_VALUE"""),"KEL SUKABUMI LUAS 3500 M2")</f>
        <v>KEL SUKABUMI LUAS 3500 M2</v>
      </c>
      <c r="D7483" s="42"/>
      <c r="E7483" s="42"/>
      <c r="F7483" s="48" t="str">
        <f>IFERROR(__xludf.DUMMYFUNCTION("""COMPUTED_VALUE"""),"")</f>
        <v/>
      </c>
      <c r="G7483" s="42" t="str">
        <f>IFERROR(__xludf.DUMMYFUNCTION("""COMPUTED_VALUE"""),"PENGUKURAN PERTAMA KALI")</f>
        <v>PENGUKURAN PERTAMA KALI</v>
      </c>
      <c r="H7483" s="42">
        <f t="shared" si="1"/>
        <v>3138</v>
      </c>
    </row>
    <row r="7484" ht="22.5" customHeight="1">
      <c r="B7484" s="42" t="str">
        <f>IFERROR(__xludf.DUMMYFUNCTION("""COMPUTED_VALUE"""),"K/12/160925/1")</f>
        <v>K/12/160925/1</v>
      </c>
      <c r="C7484" s="42" t="str">
        <f>IFERROR(__xludf.DUMMYFUNCTION("""COMPUTED_VALUE"""),"B 179/ PEMATANG WANGI")</f>
        <v>B 179/ PEMATANG WANGI</v>
      </c>
      <c r="D7484" s="42"/>
      <c r="E7484" s="42"/>
      <c r="F7484" s="48" t="str">
        <f>IFERROR(__xludf.DUMMYFUNCTION("""COMPUTED_VALUE"""),"")</f>
        <v/>
      </c>
      <c r="G7484" s="42" t="str">
        <f>IFERROR(__xludf.DUMMYFUNCTION("""COMPUTED_VALUE"""),"PENINGKATAN HAK")</f>
        <v>PENINGKATAN HAK</v>
      </c>
      <c r="H7484" s="42">
        <f t="shared" si="1"/>
        <v>3138</v>
      </c>
    </row>
    <row r="7485" ht="22.5" customHeight="1">
      <c r="B7485" s="42" t="str">
        <f>IFERROR(__xludf.DUMMYFUNCTION("""COMPUTED_VALUE"""),"L/14/160925/1")</f>
        <v>L/14/160925/1</v>
      </c>
      <c r="C7485" s="42" t="str">
        <f>IFERROR(__xludf.DUMMYFUNCTION("""COMPUTED_VALUE"""),"M. 4832/TANJUNG SENANG")</f>
        <v>M. 4832/TANJUNG SENANG</v>
      </c>
      <c r="D7485" s="42"/>
      <c r="E7485" s="42"/>
      <c r="F7485" s="48" t="str">
        <f>IFERROR(__xludf.DUMMYFUNCTION("""COMPUTED_VALUE"""),"")</f>
        <v/>
      </c>
      <c r="G7485" s="42" t="str">
        <f>IFERROR(__xludf.DUMMYFUNCTION("""COMPUTED_VALUE"""),"ROYA")</f>
        <v>ROYA</v>
      </c>
      <c r="H7485" s="42">
        <f t="shared" si="1"/>
        <v>3138</v>
      </c>
    </row>
    <row r="7486" ht="22.5" customHeight="1">
      <c r="B7486" s="42" t="str">
        <f>IFERROR(__xludf.DUMMYFUNCTION("""COMPUTED_VALUE"""),"K/15/160925/1")</f>
        <v>K/15/160925/1</v>
      </c>
      <c r="C7486" s="42" t="str">
        <f>IFERROR(__xludf.DUMMYFUNCTION("""COMPUTED_VALUE"""),"M 959/ CAMPANG JAYA")</f>
        <v>M 959/ CAMPANG JAYA</v>
      </c>
      <c r="D7486" s="42" t="str">
        <f>IFERROR(__xludf.DUMMYFUNCTION("""COMPUTED_VALUE"""),"Berry")</f>
        <v>Berry</v>
      </c>
      <c r="E7486" s="42" t="str">
        <f>IFERROR(__xludf.DUMMYFUNCTION("""COMPUTED_VALUE"""),"DISERAHKAN")</f>
        <v>DISERAHKAN</v>
      </c>
      <c r="F7486" s="48">
        <f>IFERROR(__xludf.DUMMYFUNCTION("""COMPUTED_VALUE"""),45965.49343619213)</f>
        <v>45965.49344</v>
      </c>
      <c r="G7486" s="42" t="str">
        <f>IFERROR(__xludf.DUMMYFUNCTION("""COMPUTED_VALUE"""),"SKPT LELANG")</f>
        <v>SKPT LELANG</v>
      </c>
      <c r="H7486" s="42">
        <f t="shared" si="1"/>
        <v>3139</v>
      </c>
    </row>
    <row r="7487" ht="22.5" customHeight="1">
      <c r="B7487" s="42" t="str">
        <f>IFERROR(__xludf.DUMMYFUNCTION("""COMPUTED_VALUE"""),"K/17/160925/1")</f>
        <v>K/17/160925/1</v>
      </c>
      <c r="C7487" s="42" t="str">
        <f>IFERROR(__xludf.DUMMYFUNCTION("""COMPUTED_VALUE"""),"B. 5015/Sukabumi")</f>
        <v>B. 5015/Sukabumi</v>
      </c>
      <c r="D7487" s="42"/>
      <c r="E7487" s="42"/>
      <c r="F7487" s="48" t="str">
        <f>IFERROR(__xludf.DUMMYFUNCTION("""COMPUTED_VALUE"""),"")</f>
        <v/>
      </c>
      <c r="G7487" s="42" t="str">
        <f>IFERROR(__xludf.DUMMYFUNCTION("""COMPUTED_VALUE"""),"BN Jual Beli		")</f>
        <v>BN Jual Beli		</v>
      </c>
      <c r="H7487" s="42">
        <f t="shared" si="1"/>
        <v>3139</v>
      </c>
    </row>
    <row r="7488" ht="22.5" customHeight="1">
      <c r="B7488" s="42" t="str">
        <f>IFERROR(__xludf.DUMMYFUNCTION("""COMPUTED_VALUE"""),"K/16/160925/2")</f>
        <v>K/16/160925/2</v>
      </c>
      <c r="C7488" s="42" t="str">
        <f>IFERROR(__xludf.DUMMYFUNCTION("""COMPUTED_VALUE"""),"M 552/ RAJABASA RAYA")</f>
        <v>M 552/ RAJABASA RAYA</v>
      </c>
      <c r="D7488" s="42" t="str">
        <f>IFERROR(__xludf.DUMMYFUNCTION("""COMPUTED_VALUE"""),"David")</f>
        <v>David</v>
      </c>
      <c r="E7488" s="42" t="str">
        <f>IFERROR(__xludf.DUMMYFUNCTION("""COMPUTED_VALUE"""),"DISERAHKAN")</f>
        <v>DISERAHKAN</v>
      </c>
      <c r="F7488" s="48">
        <f>IFERROR(__xludf.DUMMYFUNCTION("""COMPUTED_VALUE"""),45960.63057997685)</f>
        <v>45960.63058</v>
      </c>
      <c r="G7488" s="42" t="str">
        <f>IFERROR(__xludf.DUMMYFUNCTION("""COMPUTED_VALUE"""),"SKPT LELANG")</f>
        <v>SKPT LELANG</v>
      </c>
      <c r="H7488" s="42">
        <f t="shared" si="1"/>
        <v>3140</v>
      </c>
    </row>
    <row r="7489" ht="22.5" customHeight="1">
      <c r="B7489" s="42" t="str">
        <f>IFERROR(__xludf.DUMMYFUNCTION("""COMPUTED_VALUE"""),"K/18/160925/1")</f>
        <v>K/18/160925/1</v>
      </c>
      <c r="C7489" s="42" t="str">
        <f>IFERROR(__xludf.DUMMYFUNCTION("""COMPUTED_VALUE"""),"M 1244/ PERUMNAS WAY KANDIS")</f>
        <v>M 1244/ PERUMNAS WAY KANDIS</v>
      </c>
      <c r="D7489" s="42"/>
      <c r="E7489" s="42"/>
      <c r="F7489" s="48" t="str">
        <f>IFERROR(__xludf.DUMMYFUNCTION("""COMPUTED_VALUE"""),"")</f>
        <v/>
      </c>
      <c r="G7489" s="42" t="str">
        <f>IFERROR(__xludf.DUMMYFUNCTION("""COMPUTED_VALUE"""),"BN WARIS")</f>
        <v>BN WARIS</v>
      </c>
      <c r="H7489" s="42">
        <f t="shared" si="1"/>
        <v>3140</v>
      </c>
    </row>
    <row r="7490" ht="22.5" customHeight="1">
      <c r="B7490" s="42" t="str">
        <f>IFERROR(__xludf.DUMMYFUNCTION("""COMPUTED_VALUE"""),"K/35/150925/1")</f>
        <v>K/35/150925/1</v>
      </c>
      <c r="C7490" s="42" t="str">
        <f>IFERROR(__xludf.DUMMYFUNCTION("""COMPUTED_VALUE"""),"M. 1081/LABUHAN RATU RAYA")</f>
        <v>M. 1081/LABUHAN RATU RAYA</v>
      </c>
      <c r="D7490" s="42" t="str">
        <f>IFERROR(__xludf.DUMMYFUNCTION("""COMPUTED_VALUE"""),"David")</f>
        <v>David</v>
      </c>
      <c r="E7490" s="42" t="str">
        <f>IFERROR(__xludf.DUMMYFUNCTION("""COMPUTED_VALUE"""),"DISERAHKAN")</f>
        <v>DISERAHKAN</v>
      </c>
      <c r="F7490" s="48">
        <f>IFERROR(__xludf.DUMMYFUNCTION("""COMPUTED_VALUE"""),45943.70240418981)</f>
        <v>45943.7024</v>
      </c>
      <c r="G7490" s="42" t="str">
        <f>IFERROR(__xludf.DUMMYFUNCTION("""COMPUTED_VALUE"""),"BN JUAL BELI EL ")</f>
        <v>BN JUAL BELI EL </v>
      </c>
      <c r="H7490" s="42">
        <f t="shared" si="1"/>
        <v>3141</v>
      </c>
    </row>
    <row r="7491" ht="22.5" customHeight="1">
      <c r="B7491" s="42" t="str">
        <f>IFERROR(__xludf.DUMMYFUNCTION("""COMPUTED_VALUE"""),"K/19/160925/1")</f>
        <v>K/19/160925/1</v>
      </c>
      <c r="C7491" s="42" t="str">
        <f>IFERROR(__xludf.DUMMYFUNCTION("""COMPUTED_VALUE"""),"Nibel 23344/Way Halim Permai	")</f>
        <v>Nibel 23344/Way Halim Permai	</v>
      </c>
      <c r="D7491" s="42"/>
      <c r="E7491" s="42"/>
      <c r="F7491" s="48" t="str">
        <f>IFERROR(__xludf.DUMMYFUNCTION("""COMPUTED_VALUE"""),"")</f>
        <v/>
      </c>
      <c r="G7491" s="42" t="str">
        <f>IFERROR(__xludf.DUMMYFUNCTION("""COMPUTED_VALUE"""),"BN Jual Beli	")</f>
        <v>BN Jual Beli	</v>
      </c>
      <c r="H7491" s="42">
        <f t="shared" si="1"/>
        <v>3141</v>
      </c>
    </row>
    <row r="7492" ht="22.5" customHeight="1">
      <c r="B7492" s="42" t="str">
        <f>IFERROR(__xludf.DUMMYFUNCTION("""COMPUTED_VALUE"""),"K/20/160925/2")</f>
        <v>K/20/160925/2</v>
      </c>
      <c r="C7492" s="42" t="str">
        <f>IFERROR(__xludf.DUMMYFUNCTION("""COMPUTED_VALUE"""),"M. 270/Susunan Baru	")</f>
        <v>M. 270/Susunan Baru	</v>
      </c>
      <c r="D7492" s="42"/>
      <c r="E7492" s="42"/>
      <c r="F7492" s="48" t="str">
        <f>IFERROR(__xludf.DUMMYFUNCTION("""COMPUTED_VALUE"""),"")</f>
        <v/>
      </c>
      <c r="G7492" s="42" t="str">
        <f>IFERROR(__xludf.DUMMYFUNCTION("""COMPUTED_VALUE"""),"BN Waris	")</f>
        <v>BN Waris	</v>
      </c>
      <c r="H7492" s="42">
        <f t="shared" si="1"/>
        <v>3141</v>
      </c>
    </row>
    <row r="7493" ht="22.5" customHeight="1">
      <c r="B7493" s="42" t="str">
        <f>IFERROR(__xludf.DUMMYFUNCTION("""COMPUTED_VALUE"""),"L/24/160925/1")</f>
        <v>L/24/160925/1</v>
      </c>
      <c r="C7493" s="42" t="str">
        <f>IFERROR(__xludf.DUMMYFUNCTION("""COMPUTED_VALUE"""),"B. 678/CAMPANG RAYA")</f>
        <v>B. 678/CAMPANG RAYA</v>
      </c>
      <c r="D7493" s="42"/>
      <c r="E7493" s="42"/>
      <c r="F7493" s="48" t="str">
        <f>IFERROR(__xludf.DUMMYFUNCTION("""COMPUTED_VALUE"""),"")</f>
        <v/>
      </c>
      <c r="G7493" s="42" t="str">
        <f>IFERROR(__xludf.DUMMYFUNCTION("""COMPUTED_VALUE"""),"PENINGKATAN HAK")</f>
        <v>PENINGKATAN HAK</v>
      </c>
      <c r="H7493" s="42">
        <f t="shared" si="1"/>
        <v>3141</v>
      </c>
    </row>
    <row r="7494" ht="22.5" customHeight="1">
      <c r="B7494" s="42" t="str">
        <f>IFERROR(__xludf.DUMMYFUNCTION("""COMPUTED_VALUE"""),"K/22/160925/1")</f>
        <v>K/22/160925/1</v>
      </c>
      <c r="C7494" s="42" t="str">
        <f>IFERROR(__xludf.DUMMYFUNCTION("""COMPUTED_VALUE"""),"M 10635/ SIDODADI")</f>
        <v>M 10635/ SIDODADI</v>
      </c>
      <c r="D7494" s="42"/>
      <c r="E7494" s="42"/>
      <c r="F7494" s="48" t="str">
        <f>IFERROR(__xludf.DUMMYFUNCTION("""COMPUTED_VALUE"""),"")</f>
        <v/>
      </c>
      <c r="G7494" s="42" t="str">
        <f>IFERROR(__xludf.DUMMYFUNCTION("""COMPUTED_VALUE"""),"PEMECAHAN")</f>
        <v>PEMECAHAN</v>
      </c>
      <c r="H7494" s="42">
        <f t="shared" si="1"/>
        <v>3141</v>
      </c>
    </row>
    <row r="7495" ht="22.5" customHeight="1">
      <c r="B7495" s="42" t="str">
        <f>IFERROR(__xludf.DUMMYFUNCTION("""COMPUTED_VALUE"""),"L/25/160925/1")</f>
        <v>L/25/160925/1</v>
      </c>
      <c r="C7495" s="42" t="str">
        <f>IFERROR(__xludf.DUMMYFUNCTION("""COMPUTED_VALUE"""),"M. 100/SUKARAME BARU")</f>
        <v>M. 100/SUKARAME BARU</v>
      </c>
      <c r="D7495" s="42"/>
      <c r="E7495" s="42"/>
      <c r="F7495" s="48" t="str">
        <f>IFERROR(__xludf.DUMMYFUNCTION("""COMPUTED_VALUE"""),"")</f>
        <v/>
      </c>
      <c r="G7495" s="42" t="str">
        <f>IFERROR(__xludf.DUMMYFUNCTION("""COMPUTED_VALUE"""),"SERTIPIKAT HILANG")</f>
        <v>SERTIPIKAT HILANG</v>
      </c>
      <c r="H7495" s="42">
        <f t="shared" si="1"/>
        <v>3141</v>
      </c>
    </row>
    <row r="7496" ht="22.5" customHeight="1">
      <c r="B7496" s="42" t="str">
        <f>IFERROR(__xludf.DUMMYFUNCTION("""COMPUTED_VALUE"""),"L/26/160925/1")</f>
        <v>L/26/160925/1</v>
      </c>
      <c r="C7496" s="42" t="str">
        <f>IFERROR(__xludf.DUMMYFUNCTION("""COMPUTED_VALUE"""),"B. 668/PINANG JAYA")</f>
        <v>B. 668/PINANG JAYA</v>
      </c>
      <c r="D7496" s="42"/>
      <c r="E7496" s="42"/>
      <c r="F7496" s="48" t="str">
        <f>IFERROR(__xludf.DUMMYFUNCTION("""COMPUTED_VALUE"""),"")</f>
        <v/>
      </c>
      <c r="G7496" s="42" t="str">
        <f>IFERROR(__xludf.DUMMYFUNCTION("""COMPUTED_VALUE"""),"PENINGKATAN HAK")</f>
        <v>PENINGKATAN HAK</v>
      </c>
      <c r="H7496" s="42">
        <f t="shared" si="1"/>
        <v>3141</v>
      </c>
    </row>
    <row r="7497" ht="22.5" customHeight="1">
      <c r="B7497" s="42" t="str">
        <f>IFERROR(__xludf.DUMMYFUNCTION("""COMPUTED_VALUE"""),"K/28/160925/2")</f>
        <v>K/28/160925/2</v>
      </c>
      <c r="C7497" s="42" t="str">
        <f>IFERROR(__xludf.DUMMYFUNCTION("""COMPUTED_VALUE"""),"Tanah Mentah	")</f>
        <v>Tanah Mentah	</v>
      </c>
      <c r="D7497" s="42" t="str">
        <f>IFERROR(__xludf.DUMMYFUNCTION("""COMPUTED_VALUE"""),"David")</f>
        <v>David</v>
      </c>
      <c r="E7497" s="42" t="str">
        <f>IFERROR(__xludf.DUMMYFUNCTION("""COMPUTED_VALUE"""),"DISERAHKAN")</f>
        <v>DISERAHKAN</v>
      </c>
      <c r="F7497" s="48">
        <f>IFERROR(__xludf.DUMMYFUNCTION("""COMPUTED_VALUE"""),45944.48519421296)</f>
        <v>45944.48519</v>
      </c>
      <c r="G7497" s="42" t="str">
        <f>IFERROR(__xludf.DUMMYFUNCTION("""COMPUTED_VALUE"""),"Pengukuran Pertama Kali	")</f>
        <v>Pengukuran Pertama Kali	</v>
      </c>
      <c r="H7497" s="42">
        <f t="shared" si="1"/>
        <v>3142</v>
      </c>
    </row>
    <row r="7498" ht="22.5" customHeight="1">
      <c r="B7498" s="42" t="str">
        <f>IFERROR(__xludf.DUMMYFUNCTION("""COMPUTED_VALUE"""),"K/23/160925/2")</f>
        <v>K/23/160925/2</v>
      </c>
      <c r="C7498" s="42" t="str">
        <f>IFERROR(__xludf.DUMMYFUNCTION("""COMPUTED_VALUE"""),"M 9097/ GEDONG MENENG")</f>
        <v>M 9097/ GEDONG MENENG</v>
      </c>
      <c r="D7498" s="42"/>
      <c r="E7498" s="42"/>
      <c r="F7498" s="48" t="str">
        <f>IFERROR(__xludf.DUMMYFUNCTION("""COMPUTED_VALUE"""),"")</f>
        <v/>
      </c>
      <c r="G7498" s="42" t="str">
        <f>IFERROR(__xludf.DUMMYFUNCTION("""COMPUTED_VALUE"""),"BN JUAL BELI")</f>
        <v>BN JUAL BELI</v>
      </c>
      <c r="H7498" s="42">
        <f t="shared" si="1"/>
        <v>3142</v>
      </c>
    </row>
    <row r="7499" ht="22.5" customHeight="1">
      <c r="B7499" s="42" t="str">
        <f>IFERROR(__xludf.DUMMYFUNCTION("""COMPUTED_VALUE"""),"K/21/160925/1")</f>
        <v>K/21/160925/1</v>
      </c>
      <c r="C7499" s="42" t="str">
        <f>IFERROR(__xludf.DUMMYFUNCTION("""COMPUTED_VALUE"""),"M. 9797/TANJUNG BARU")</f>
        <v>M. 9797/TANJUNG BARU</v>
      </c>
      <c r="D7499" s="42" t="str">
        <f>IFERROR(__xludf.DUMMYFUNCTION("""COMPUTED_VALUE"""),"Berry")</f>
        <v>Berry</v>
      </c>
      <c r="E7499" s="42" t="str">
        <f>IFERROR(__xludf.DUMMYFUNCTION("""COMPUTED_VALUE"""),"DISERAHKAN")</f>
        <v>DISERAHKAN</v>
      </c>
      <c r="F7499" s="48">
        <f>IFERROR(__xludf.DUMMYFUNCTION("""COMPUTED_VALUE"""),45966.65087675926)</f>
        <v>45966.65088</v>
      </c>
      <c r="G7499" s="42" t="str">
        <f>IFERROR(__xludf.DUMMYFUNCTION("""COMPUTED_VALUE"""),"BN JUAL BELI EL")</f>
        <v>BN JUAL BELI EL</v>
      </c>
      <c r="H7499" s="42">
        <f t="shared" si="1"/>
        <v>3143</v>
      </c>
    </row>
    <row r="7500" ht="22.5" customHeight="1">
      <c r="B7500" s="42" t="str">
        <f>IFERROR(__xludf.DUMMYFUNCTION("""COMPUTED_VALUE"""),"K/29/160925/1")</f>
        <v>K/29/160925/1</v>
      </c>
      <c r="C7500" s="42" t="str">
        <f>IFERROR(__xludf.DUMMYFUNCTION("""COMPUTED_VALUE"""),"B. 181/SUMUR PUTRI")</f>
        <v>B. 181/SUMUR PUTRI</v>
      </c>
      <c r="D7500" s="42" t="str">
        <f>IFERROR(__xludf.DUMMYFUNCTION("""COMPUTED_VALUE"""),"Berry")</f>
        <v>Berry</v>
      </c>
      <c r="E7500" s="42" t="str">
        <f>IFERROR(__xludf.DUMMYFUNCTION("""COMPUTED_VALUE"""),"DISERAHKAN")</f>
        <v>DISERAHKAN</v>
      </c>
      <c r="F7500" s="48">
        <f>IFERROR(__xludf.DUMMYFUNCTION("""COMPUTED_VALUE"""),45975.49874693287)</f>
        <v>45975.49875</v>
      </c>
      <c r="G7500" s="42" t="str">
        <f>IFERROR(__xludf.DUMMYFUNCTION("""COMPUTED_VALUE"""),"BN JUAL BELI EL")</f>
        <v>BN JUAL BELI EL</v>
      </c>
      <c r="H7500" s="42">
        <f t="shared" si="1"/>
        <v>3144</v>
      </c>
    </row>
    <row r="7501" ht="22.5" customHeight="1">
      <c r="B7501" s="42" t="str">
        <f>IFERROR(__xludf.DUMMYFUNCTION("""COMPUTED_VALUE"""),"K/31/160925/1")</f>
        <v>K/31/160925/1</v>
      </c>
      <c r="C7501" s="42" t="str">
        <f>IFERROR(__xludf.DUMMYFUNCTION("""COMPUTED_VALUE"""),"M. 602/KORPRI RAYA")</f>
        <v>M. 602/KORPRI RAYA</v>
      </c>
      <c r="D7501" s="42"/>
      <c r="E7501" s="42"/>
      <c r="F7501" s="48" t="str">
        <f>IFERROR(__xludf.DUMMYFUNCTION("""COMPUTED_VALUE"""),"")</f>
        <v/>
      </c>
      <c r="G7501" s="42" t="str">
        <f>IFERROR(__xludf.DUMMYFUNCTION("""COMPUTED_VALUE"""),"BN JUAL BELI EL")</f>
        <v>BN JUAL BELI EL</v>
      </c>
      <c r="H7501" s="42">
        <f t="shared" si="1"/>
        <v>3144</v>
      </c>
    </row>
    <row r="7502" ht="22.5" customHeight="1">
      <c r="B7502" s="42" t="str">
        <f>IFERROR(__xludf.DUMMYFUNCTION("""COMPUTED_VALUE"""),"L/30/160925/1")</f>
        <v>L/30/160925/1</v>
      </c>
      <c r="C7502" s="42" t="str">
        <f>IFERROR(__xludf.DUMMYFUNCTION("""COMPUTED_VALUE"""),"KEL WAY KANDIS LUAS 81 M2")</f>
        <v>KEL WAY KANDIS LUAS 81 M2</v>
      </c>
      <c r="D7502" s="42"/>
      <c r="E7502" s="42"/>
      <c r="F7502" s="48" t="str">
        <f>IFERROR(__xludf.DUMMYFUNCTION("""COMPUTED_VALUE"""),"")</f>
        <v/>
      </c>
      <c r="G7502" s="42" t="str">
        <f>IFERROR(__xludf.DUMMYFUNCTION("""COMPUTED_VALUE"""),"PTPGT TANAH MENTAH")</f>
        <v>PTPGT TANAH MENTAH</v>
      </c>
      <c r="H7502" s="42">
        <f t="shared" si="1"/>
        <v>3144</v>
      </c>
    </row>
    <row r="7503" ht="22.5" customHeight="1">
      <c r="B7503" s="42" t="str">
        <f>IFERROR(__xludf.DUMMYFUNCTION("""COMPUTED_VALUE"""),"K/33/160925/1")</f>
        <v>K/33/160925/1</v>
      </c>
      <c r="C7503" s="42" t="str">
        <f>IFERROR(__xludf.DUMMYFUNCTION("""COMPUTED_VALUE"""),"NIBEL M 9365/ SUKARAJA")</f>
        <v>NIBEL M 9365/ SUKARAJA</v>
      </c>
      <c r="D7503" s="42"/>
      <c r="E7503" s="42"/>
      <c r="F7503" s="48" t="str">
        <f>IFERROR(__xludf.DUMMYFUNCTION("""COMPUTED_VALUE"""),"")</f>
        <v/>
      </c>
      <c r="G7503" s="42" t="str">
        <f>IFERROR(__xludf.DUMMYFUNCTION("""COMPUTED_VALUE"""),"BN JUAL BELI")</f>
        <v>BN JUAL BELI</v>
      </c>
      <c r="H7503" s="42">
        <f t="shared" si="1"/>
        <v>3144</v>
      </c>
    </row>
    <row r="7504" ht="22.5" customHeight="1">
      <c r="B7504" s="42" t="str">
        <f>IFERROR(__xludf.DUMMYFUNCTION("""COMPUTED_VALUE"""),"L/34/160925/1")</f>
        <v>L/34/160925/1</v>
      </c>
      <c r="C7504" s="42" t="str">
        <f>IFERROR(__xludf.DUMMYFUNCTION("""COMPUTED_VALUE"""),"B. 1464/RAJABASA DAN B. 1465/RAJABASA")</f>
        <v>B. 1464/RAJABASA DAN B. 1465/RAJABASA</v>
      </c>
      <c r="D7504" s="42"/>
      <c r="E7504" s="42"/>
      <c r="F7504" s="48" t="str">
        <f>IFERROR(__xludf.DUMMYFUNCTION("""COMPUTED_VALUE"""),"")</f>
        <v/>
      </c>
      <c r="G7504" s="42" t="str">
        <f>IFERROR(__xludf.DUMMYFUNCTION("""COMPUTED_VALUE"""),"ROYA")</f>
        <v>ROYA</v>
      </c>
      <c r="H7504" s="42">
        <f t="shared" si="1"/>
        <v>3144</v>
      </c>
    </row>
    <row r="7505" ht="22.5" customHeight="1">
      <c r="B7505" s="42" t="str">
        <f>IFERROR(__xludf.DUMMYFUNCTION("""COMPUTED_VALUE"""),"K/35/160925/1")</f>
        <v>K/35/160925/1</v>
      </c>
      <c r="C7505" s="42" t="str">
        <f>IFERROR(__xludf.DUMMYFUNCTION("""COMPUTED_VALUE"""),"M 9315/ SIDODADI")</f>
        <v>M 9315/ SIDODADI</v>
      </c>
      <c r="D7505" s="42" t="str">
        <f>IFERROR(__xludf.DUMMYFUNCTION("""COMPUTED_VALUE"""),"David")</f>
        <v>David</v>
      </c>
      <c r="E7505" s="42" t="str">
        <f>IFERROR(__xludf.DUMMYFUNCTION("""COMPUTED_VALUE"""),"DISERAHKAN")</f>
        <v>DISERAHKAN</v>
      </c>
      <c r="F7505" s="48">
        <f>IFERROR(__xludf.DUMMYFUNCTION("""COMPUTED_VALUE"""),45957.61952008102)</f>
        <v>45957.61952</v>
      </c>
      <c r="G7505" s="42" t="str">
        <f>IFERROR(__xludf.DUMMYFUNCTION("""COMPUTED_VALUE"""),"BN WARIS")</f>
        <v>BN WARIS</v>
      </c>
      <c r="H7505" s="42">
        <f t="shared" si="1"/>
        <v>3145</v>
      </c>
    </row>
    <row r="7506" ht="22.5" customHeight="1">
      <c r="B7506" s="42" t="str">
        <f>IFERROR(__xludf.DUMMYFUNCTION("""COMPUTED_VALUE"""),"K/32/160925/2")</f>
        <v>K/32/160925/2</v>
      </c>
      <c r="C7506" s="42" t="str">
        <f>IFERROR(__xludf.DUMMYFUNCTION("""COMPUTED_VALUE"""),"M. 18136/SUKARAME")</f>
        <v>M. 18136/SUKARAME</v>
      </c>
      <c r="D7506" s="42" t="str">
        <f>IFERROR(__xludf.DUMMYFUNCTION("""COMPUTED_VALUE"""),"David")</f>
        <v>David</v>
      </c>
      <c r="E7506" s="42" t="str">
        <f>IFERROR(__xludf.DUMMYFUNCTION("""COMPUTED_VALUE"""),"DISERAHKAN")</f>
        <v>DISERAHKAN</v>
      </c>
      <c r="F7506" s="48">
        <f>IFERROR(__xludf.DUMMYFUNCTION("""COMPUTED_VALUE"""),45943.70221167824)</f>
        <v>45943.70221</v>
      </c>
      <c r="G7506" s="42" t="str">
        <f>IFERROR(__xludf.DUMMYFUNCTION("""COMPUTED_VALUE"""),"BN HIBAH EL")</f>
        <v>BN HIBAH EL</v>
      </c>
      <c r="H7506" s="42">
        <f t="shared" si="1"/>
        <v>3146</v>
      </c>
    </row>
    <row r="7507" ht="22.5" customHeight="1">
      <c r="B7507" s="42" t="str">
        <f>IFERROR(__xludf.DUMMYFUNCTION("""COMPUTED_VALUE"""),"K/36/160925/1")</f>
        <v>K/36/160925/1</v>
      </c>
      <c r="C7507" s="42" t="str">
        <f>IFERROR(__xludf.DUMMYFUNCTION("""COMPUTED_VALUE"""),"M. 2964/CAMPANG RAYA")</f>
        <v>M. 2964/CAMPANG RAYA</v>
      </c>
      <c r="D7507" s="42"/>
      <c r="E7507" s="42"/>
      <c r="F7507" s="48" t="str">
        <f>IFERROR(__xludf.DUMMYFUNCTION("""COMPUTED_VALUE"""),"")</f>
        <v/>
      </c>
      <c r="G7507" s="42" t="str">
        <f>IFERROR(__xludf.DUMMYFUNCTION("""COMPUTED_VALUE"""),"SKPT LELANG")</f>
        <v>SKPT LELANG</v>
      </c>
      <c r="H7507" s="42">
        <f t="shared" si="1"/>
        <v>3146</v>
      </c>
    </row>
    <row r="7508" ht="22.5" customHeight="1">
      <c r="B7508" s="42" t="str">
        <f>IFERROR(__xludf.DUMMYFUNCTION("""COMPUTED_VALUE"""),"K/38/160925/1")</f>
        <v>K/38/160925/1</v>
      </c>
      <c r="C7508" s="42" t="str">
        <f>IFERROR(__xludf.DUMMYFUNCTION("""COMPUTED_VALUE"""),"Nibel 23808/Rawa Laut	")</f>
        <v>Nibel 23808/Rawa Laut	</v>
      </c>
      <c r="D7508" s="42"/>
      <c r="E7508" s="42"/>
      <c r="F7508" s="48" t="str">
        <f>IFERROR(__xludf.DUMMYFUNCTION("""COMPUTED_VALUE"""),"")</f>
        <v/>
      </c>
      <c r="G7508" s="42" t="str">
        <f>IFERROR(__xludf.DUMMYFUNCTION("""COMPUTED_VALUE"""),"BN Jual Beli	")</f>
        <v>BN Jual Beli	</v>
      </c>
      <c r="H7508" s="42">
        <f t="shared" si="1"/>
        <v>3146</v>
      </c>
    </row>
    <row r="7509" ht="22.5" customHeight="1">
      <c r="B7509" s="42" t="str">
        <f>IFERROR(__xludf.DUMMYFUNCTION("""COMPUTED_VALUE"""),"K/41/160925/2")</f>
        <v>K/41/160925/2</v>
      </c>
      <c r="C7509" s="42" t="str">
        <f>IFERROR(__xludf.DUMMYFUNCTION("""COMPUTED_VALUE"""),"M 280/ SUMUR BATU")</f>
        <v>M 280/ SUMUR BATU</v>
      </c>
      <c r="D7509" s="42"/>
      <c r="E7509" s="42"/>
      <c r="F7509" s="48" t="str">
        <f>IFERROR(__xludf.DUMMYFUNCTION("""COMPUTED_VALUE"""),"")</f>
        <v/>
      </c>
      <c r="G7509" s="42" t="str">
        <f>IFERROR(__xludf.DUMMYFUNCTION("""COMPUTED_VALUE"""),"BN JUAL BELI")</f>
        <v>BN JUAL BELI</v>
      </c>
      <c r="H7509" s="42">
        <f t="shared" si="1"/>
        <v>3146</v>
      </c>
    </row>
    <row r="7510" ht="22.5" customHeight="1">
      <c r="B7510" s="42" t="str">
        <f>IFERROR(__xludf.DUMMYFUNCTION("""COMPUTED_VALUE"""),"K/40/160925/1")</f>
        <v>K/40/160925/1</v>
      </c>
      <c r="C7510" s="42" t="str">
        <f>IFERROR(__xludf.DUMMYFUNCTION("""COMPUTED_VALUE"""),"M 1622/ TELUK BETUNG")</f>
        <v>M 1622/ TELUK BETUNG</v>
      </c>
      <c r="D7510" s="42"/>
      <c r="E7510" s="42"/>
      <c r="F7510" s="48" t="str">
        <f>IFERROR(__xludf.DUMMYFUNCTION("""COMPUTED_VALUE"""),"")</f>
        <v/>
      </c>
      <c r="G7510" s="42" t="str">
        <f>IFERROR(__xludf.DUMMYFUNCTION("""COMPUTED_VALUE"""),"BN HIBAH")</f>
        <v>BN HIBAH</v>
      </c>
      <c r="H7510" s="42">
        <f t="shared" si="1"/>
        <v>3146</v>
      </c>
    </row>
    <row r="7511" ht="22.5" customHeight="1">
      <c r="B7511" s="42" t="str">
        <f>IFERROR(__xludf.DUMMYFUNCTION("""COMPUTED_VALUE"""),"K/42/160925/1")</f>
        <v>K/42/160925/1</v>
      </c>
      <c r="C7511" s="42" t="str">
        <f>IFERROR(__xludf.DUMMYFUNCTION("""COMPUTED_VALUE"""),"Nibel 20393/Labuhan Dalam	")</f>
        <v>Nibel 20393/Labuhan Dalam	</v>
      </c>
      <c r="D7511" s="42"/>
      <c r="E7511" s="42"/>
      <c r="F7511" s="48" t="str">
        <f>IFERROR(__xludf.DUMMYFUNCTION("""COMPUTED_VALUE"""),"")</f>
        <v/>
      </c>
      <c r="G7511" s="42" t="str">
        <f>IFERROR(__xludf.DUMMYFUNCTION("""COMPUTED_VALUE"""),"BN Jual Beli	")</f>
        <v>BN Jual Beli	</v>
      </c>
      <c r="H7511" s="42">
        <f t="shared" si="1"/>
        <v>3146</v>
      </c>
    </row>
    <row r="7512" ht="22.5" customHeight="1">
      <c r="B7512" s="42" t="str">
        <f>IFERROR(__xludf.DUMMYFUNCTION("""COMPUTED_VALUE"""),"K/37/160925/2")</f>
        <v>K/37/160925/2</v>
      </c>
      <c r="C7512" s="42" t="str">
        <f>IFERROR(__xludf.DUMMYFUNCTION("""COMPUTED_VALUE"""),"M. 12356/JAGABAYA II")</f>
        <v>M. 12356/JAGABAYA II</v>
      </c>
      <c r="D7512" s="42"/>
      <c r="E7512" s="42"/>
      <c r="F7512" s="48" t="str">
        <f>IFERROR(__xludf.DUMMYFUNCTION("""COMPUTED_VALUE"""),"")</f>
        <v/>
      </c>
      <c r="G7512" s="42" t="str">
        <f>IFERROR(__xludf.DUMMYFUNCTION("""COMPUTED_VALUE"""),"SKPT LELANG")</f>
        <v>SKPT LELANG</v>
      </c>
      <c r="H7512" s="42">
        <f t="shared" si="1"/>
        <v>3146</v>
      </c>
    </row>
    <row r="7513" ht="22.5" customHeight="1">
      <c r="B7513" s="42" t="str">
        <f>IFERROR(__xludf.DUMMYFUNCTION("""COMPUTED_VALUE"""),"K/44/160925/1")</f>
        <v>K/44/160925/1</v>
      </c>
      <c r="C7513" s="42" t="str">
        <f>IFERROR(__xludf.DUMMYFUNCTION("""COMPUTED_VALUE"""),"B 5029/ SUKABUMI")</f>
        <v>B 5029/ SUKABUMI</v>
      </c>
      <c r="D7513" s="42"/>
      <c r="E7513" s="42"/>
      <c r="F7513" s="48" t="str">
        <f>IFERROR(__xludf.DUMMYFUNCTION("""COMPUTED_VALUE"""),"")</f>
        <v/>
      </c>
      <c r="G7513" s="42" t="str">
        <f>IFERROR(__xludf.DUMMYFUNCTION("""COMPUTED_VALUE"""),"BN JUAL BELI")</f>
        <v>BN JUAL BELI</v>
      </c>
      <c r="H7513" s="42">
        <f t="shared" si="1"/>
        <v>3146</v>
      </c>
    </row>
    <row r="7514" ht="22.5" customHeight="1">
      <c r="B7514" s="42" t="str">
        <f>IFERROR(__xludf.DUMMYFUNCTION("""COMPUTED_VALUE"""),"K/45/160925/1")</f>
        <v>K/45/160925/1</v>
      </c>
      <c r="C7514" s="42" t="str">
        <f>IFERROR(__xludf.DUMMYFUNCTION("""COMPUTED_VALUE"""),"M. 15883/Sukarame	")</f>
        <v>M. 15883/Sukarame	</v>
      </c>
      <c r="D7514" s="42" t="str">
        <f>IFERROR(__xludf.DUMMYFUNCTION("""COMPUTED_VALUE"""),"Berry")</f>
        <v>Berry</v>
      </c>
      <c r="E7514" s="42" t="str">
        <f>IFERROR(__xludf.DUMMYFUNCTION("""COMPUTED_VALUE"""),"DISERAHKAN")</f>
        <v>DISERAHKAN</v>
      </c>
      <c r="F7514" s="48">
        <f>IFERROR(__xludf.DUMMYFUNCTION("""COMPUTED_VALUE"""),45975.49175421296)</f>
        <v>45975.49175</v>
      </c>
      <c r="G7514" s="42" t="str">
        <f>IFERROR(__xludf.DUMMYFUNCTION("""COMPUTED_VALUE"""),"BN Jual Beli	")</f>
        <v>BN Jual Beli	</v>
      </c>
      <c r="H7514" s="42">
        <f t="shared" si="1"/>
        <v>3147</v>
      </c>
    </row>
    <row r="7515" ht="22.5" customHeight="1">
      <c r="B7515" s="42" t="str">
        <f>IFERROR(__xludf.DUMMYFUNCTION("""COMPUTED_VALUE"""),"K/2/170925/2")</f>
        <v>K/2/170925/2</v>
      </c>
      <c r="C7515" s="42" t="str">
        <f>IFERROR(__xludf.DUMMYFUNCTION("""COMPUTED_VALUE"""),"NIBEL M 16610/ PINANG JAYA")</f>
        <v>NIBEL M 16610/ PINANG JAYA</v>
      </c>
      <c r="D7515" s="42"/>
      <c r="E7515" s="42"/>
      <c r="F7515" s="48" t="str">
        <f>IFERROR(__xludf.DUMMYFUNCTION("""COMPUTED_VALUE"""),"")</f>
        <v/>
      </c>
      <c r="G7515" s="42" t="str">
        <f>IFERROR(__xludf.DUMMYFUNCTION("""COMPUTED_VALUE"""),"BN WARIS")</f>
        <v>BN WARIS</v>
      </c>
      <c r="H7515" s="42">
        <f t="shared" si="1"/>
        <v>3147</v>
      </c>
    </row>
    <row r="7516" ht="22.5" customHeight="1">
      <c r="B7516" s="42" t="str">
        <f>IFERROR(__xludf.DUMMYFUNCTION("""COMPUTED_VALUE"""),"K/1/170925/1")</f>
        <v>K/1/170925/1</v>
      </c>
      <c r="C7516" s="42" t="str">
        <f>IFERROR(__xludf.DUMMYFUNCTION("""COMPUTED_VALUE"""),"NIBEL M 16609/ PINANG JAYA")</f>
        <v>NIBEL M 16609/ PINANG JAYA</v>
      </c>
      <c r="D7516" s="42"/>
      <c r="E7516" s="42"/>
      <c r="F7516" s="48" t="str">
        <f>IFERROR(__xludf.DUMMYFUNCTION("""COMPUTED_VALUE"""),"")</f>
        <v/>
      </c>
      <c r="G7516" s="42" t="str">
        <f>IFERROR(__xludf.DUMMYFUNCTION("""COMPUTED_VALUE"""),"BN WARIS")</f>
        <v>BN WARIS</v>
      </c>
      <c r="H7516" s="42">
        <f t="shared" si="1"/>
        <v>3147</v>
      </c>
    </row>
    <row r="7517" ht="22.5" customHeight="1">
      <c r="B7517" s="42" t="str">
        <f>IFERROR(__xludf.DUMMYFUNCTION("""COMPUTED_VALUE"""),"K/43/160925/1")</f>
        <v>K/43/160925/1</v>
      </c>
      <c r="C7517" s="42" t="str">
        <f>IFERROR(__xludf.DUMMYFUNCTION("""COMPUTED_VALUE"""),"NIBEL M. 24705/SUMBER REJO")</f>
        <v>NIBEL M. 24705/SUMBER REJO</v>
      </c>
      <c r="D7517" s="42"/>
      <c r="E7517" s="42"/>
      <c r="F7517" s="48" t="str">
        <f>IFERROR(__xludf.DUMMYFUNCTION("""COMPUTED_VALUE"""),"")</f>
        <v/>
      </c>
      <c r="G7517" s="42" t="str">
        <f>IFERROR(__xludf.DUMMYFUNCTION("""COMPUTED_VALUE"""),"BN JUAL BELI EL")</f>
        <v>BN JUAL BELI EL</v>
      </c>
      <c r="H7517" s="42">
        <f t="shared" si="1"/>
        <v>3147</v>
      </c>
    </row>
    <row r="7518" ht="22.5" customHeight="1">
      <c r="B7518" s="42" t="str">
        <f>IFERROR(__xludf.DUMMYFUNCTION("""COMPUTED_VALUE"""),"K/5/170925/1")</f>
        <v>K/5/170925/1</v>
      </c>
      <c r="C7518" s="42" t="str">
        <f>IFERROR(__xludf.DUMMYFUNCTION("""COMPUTED_VALUE"""),"M 4490/ BERINGIN RAYA")</f>
        <v>M 4490/ BERINGIN RAYA</v>
      </c>
      <c r="D7518" s="42"/>
      <c r="E7518" s="42"/>
      <c r="F7518" s="48" t="str">
        <f>IFERROR(__xludf.DUMMYFUNCTION("""COMPUTED_VALUE"""),"")</f>
        <v/>
      </c>
      <c r="G7518" s="42" t="str">
        <f>IFERROR(__xludf.DUMMYFUNCTION("""COMPUTED_VALUE"""),"BN WARIS")</f>
        <v>BN WARIS</v>
      </c>
      <c r="H7518" s="42">
        <f t="shared" si="1"/>
        <v>3147</v>
      </c>
    </row>
    <row r="7519" ht="22.5" customHeight="1">
      <c r="B7519" s="42" t="str">
        <f>IFERROR(__xludf.DUMMYFUNCTION("""COMPUTED_VALUE"""),"K/3/170925/1")</f>
        <v>K/3/170925/1</v>
      </c>
      <c r="C7519" s="42" t="str">
        <f>IFERROR(__xludf.DUMMYFUNCTION("""COMPUTED_VALUE"""),"B. 158/BAKUNG")</f>
        <v>B. 158/BAKUNG</v>
      </c>
      <c r="D7519" s="42"/>
      <c r="E7519" s="42"/>
      <c r="F7519" s="48" t="str">
        <f>IFERROR(__xludf.DUMMYFUNCTION("""COMPUTED_VALUE"""),"")</f>
        <v/>
      </c>
      <c r="G7519" s="42" t="str">
        <f>IFERROR(__xludf.DUMMYFUNCTION("""COMPUTED_VALUE"""),"PENINGKATAN HAK")</f>
        <v>PENINGKATAN HAK</v>
      </c>
      <c r="H7519" s="42">
        <f t="shared" si="1"/>
        <v>3147</v>
      </c>
    </row>
    <row r="7520" ht="22.5" customHeight="1">
      <c r="B7520" s="42" t="str">
        <f>IFERROR(__xludf.DUMMYFUNCTION("""COMPUTED_VALUE"""),"K/6/170925/1")</f>
        <v>K/6/170925/1</v>
      </c>
      <c r="C7520" s="42" t="str">
        <f>IFERROR(__xludf.DUMMYFUNCTION("""COMPUTED_VALUE"""),"M. 1604/PENGAJARAN ")</f>
        <v>M. 1604/PENGAJARAN </v>
      </c>
      <c r="D7520" s="42"/>
      <c r="E7520" s="42"/>
      <c r="F7520" s="48" t="str">
        <f>IFERROR(__xludf.DUMMYFUNCTION("""COMPUTED_VALUE"""),"")</f>
        <v/>
      </c>
      <c r="G7520" s="42" t="str">
        <f>IFERROR(__xludf.DUMMYFUNCTION("""COMPUTED_VALUE"""),"BN JUAL BELI EL")</f>
        <v>BN JUAL BELI EL</v>
      </c>
      <c r="H7520" s="42">
        <f t="shared" si="1"/>
        <v>3147</v>
      </c>
    </row>
    <row r="7521" ht="22.5" customHeight="1">
      <c r="B7521" s="42" t="str">
        <f>IFERROR(__xludf.DUMMYFUNCTION("""COMPUTED_VALUE"""),"L/4/170925/1")</f>
        <v>L/4/170925/1</v>
      </c>
      <c r="C7521" s="42" t="str">
        <f>IFERROR(__xludf.DUMMYFUNCTION("""COMPUTED_VALUE"""),"B. 2084/SUKABUMI")</f>
        <v>B. 2084/SUKABUMI</v>
      </c>
      <c r="D7521" s="42"/>
      <c r="E7521" s="42"/>
      <c r="F7521" s="48" t="str">
        <f>IFERROR(__xludf.DUMMYFUNCTION("""COMPUTED_VALUE"""),"")</f>
        <v/>
      </c>
      <c r="G7521" s="42" t="str">
        <f>IFERROR(__xludf.DUMMYFUNCTION("""COMPUTED_VALUE"""),"PERUBAHAN HAK")</f>
        <v>PERUBAHAN HAK</v>
      </c>
      <c r="H7521" s="42">
        <f t="shared" si="1"/>
        <v>3147</v>
      </c>
    </row>
    <row r="7522" ht="22.5" customHeight="1">
      <c r="B7522" s="42" t="str">
        <f>IFERROR(__xludf.DUMMYFUNCTION("""COMPUTED_VALUE"""),"L/9/170925/2")</f>
        <v>L/9/170925/2</v>
      </c>
      <c r="C7522" s="42" t="str">
        <f>IFERROR(__xludf.DUMMYFUNCTION("""COMPUTED_VALUE"""),"B. 2083/SUKABUMI")</f>
        <v>B. 2083/SUKABUMI</v>
      </c>
      <c r="D7522" s="42"/>
      <c r="E7522" s="42"/>
      <c r="F7522" s="48" t="str">
        <f>IFERROR(__xludf.DUMMYFUNCTION("""COMPUTED_VALUE"""),"")</f>
        <v/>
      </c>
      <c r="G7522" s="42" t="str">
        <f>IFERROR(__xludf.DUMMYFUNCTION("""COMPUTED_VALUE"""),"PERUBAHAN HAK")</f>
        <v>PERUBAHAN HAK</v>
      </c>
      <c r="H7522" s="42">
        <f t="shared" si="1"/>
        <v>3147</v>
      </c>
    </row>
    <row r="7523" ht="22.5" customHeight="1">
      <c r="B7523" s="42" t="str">
        <f>IFERROR(__xludf.DUMMYFUNCTION("""COMPUTED_VALUE"""),"L/10/170925/1")</f>
        <v>L/10/170925/1</v>
      </c>
      <c r="C7523" s="42" t="str">
        <f>IFERROR(__xludf.DUMMYFUNCTION("""COMPUTED_VALUE"""),"M. 2453/KEMILING PERMAI")</f>
        <v>M. 2453/KEMILING PERMAI</v>
      </c>
      <c r="D7523" s="42"/>
      <c r="E7523" s="42"/>
      <c r="F7523" s="48" t="str">
        <f>IFERROR(__xludf.DUMMYFUNCTION("""COMPUTED_VALUE"""),"")</f>
        <v/>
      </c>
      <c r="G7523" s="42" t="str">
        <f>IFERROR(__xludf.DUMMYFUNCTION("""COMPUTED_VALUE"""),"ROYA")</f>
        <v>ROYA</v>
      </c>
      <c r="H7523" s="42">
        <f t="shared" si="1"/>
        <v>3147</v>
      </c>
    </row>
    <row r="7524" ht="22.5" customHeight="1">
      <c r="B7524" s="42" t="str">
        <f>IFERROR(__xludf.DUMMYFUNCTION("""COMPUTED_VALUE"""),"K/8/170925/2")</f>
        <v>K/8/170925/2</v>
      </c>
      <c r="C7524" s="42" t="str">
        <f>IFERROR(__xludf.DUMMYFUNCTION("""COMPUTED_VALUE"""),"M 1578/ WAY LAGA")</f>
        <v>M 1578/ WAY LAGA</v>
      </c>
      <c r="D7524" s="42" t="str">
        <f>IFERROR(__xludf.DUMMYFUNCTION("""COMPUTED_VALUE"""),"David")</f>
        <v>David</v>
      </c>
      <c r="E7524" s="42" t="str">
        <f>IFERROR(__xludf.DUMMYFUNCTION("""COMPUTED_VALUE"""),"DISERAHKAN")</f>
        <v>DISERAHKAN</v>
      </c>
      <c r="F7524" s="48">
        <f>IFERROR(__xludf.DUMMYFUNCTION("""COMPUTED_VALUE"""),45957.618665856484)</f>
        <v>45957.61867</v>
      </c>
      <c r="G7524" s="42" t="str">
        <f>IFERROR(__xludf.DUMMYFUNCTION("""COMPUTED_VALUE"""),"BN JUAL BELI")</f>
        <v>BN JUAL BELI</v>
      </c>
      <c r="H7524" s="42">
        <f t="shared" si="1"/>
        <v>3148</v>
      </c>
    </row>
    <row r="7525" ht="22.5" customHeight="1">
      <c r="B7525" s="42" t="str">
        <f>IFERROR(__xludf.DUMMYFUNCTION("""COMPUTED_VALUE"""),"K/7/170925/1")</f>
        <v>K/7/170925/1</v>
      </c>
      <c r="C7525" s="42" t="str">
        <f>IFERROR(__xludf.DUMMYFUNCTION("""COMPUTED_VALUE"""),"M 875/ WAY LAGA")</f>
        <v>M 875/ WAY LAGA</v>
      </c>
      <c r="D7525" s="42" t="str">
        <f>IFERROR(__xludf.DUMMYFUNCTION("""COMPUTED_VALUE"""),"Berry")</f>
        <v>Berry</v>
      </c>
      <c r="E7525" s="42" t="str">
        <f>IFERROR(__xludf.DUMMYFUNCTION("""COMPUTED_VALUE"""),"DISERAHKAN")</f>
        <v>DISERAHKAN</v>
      </c>
      <c r="F7525" s="48">
        <f>IFERROR(__xludf.DUMMYFUNCTION("""COMPUTED_VALUE"""),45938.49666943287)</f>
        <v>45938.49667</v>
      </c>
      <c r="G7525" s="42" t="str">
        <f>IFERROR(__xludf.DUMMYFUNCTION("""COMPUTED_VALUE"""),"BN JUAL BELI")</f>
        <v>BN JUAL BELI</v>
      </c>
      <c r="H7525" s="42">
        <f t="shared" si="1"/>
        <v>3149</v>
      </c>
    </row>
    <row r="7526" ht="22.5" customHeight="1">
      <c r="B7526" s="42" t="str">
        <f>IFERROR(__xludf.DUMMYFUNCTION("""COMPUTED_VALUE"""),"K/14/170925/1")</f>
        <v>K/14/170925/1</v>
      </c>
      <c r="C7526" s="42" t="str">
        <f>IFERROR(__xludf.DUMMYFUNCTION("""COMPUTED_VALUE"""),"NIBEL M . 1622/TANJUNG BARU")</f>
        <v>NIBEL M . 1622/TANJUNG BARU</v>
      </c>
      <c r="D7526" s="42"/>
      <c r="E7526" s="42"/>
      <c r="F7526" s="48" t="str">
        <f>IFERROR(__xludf.DUMMYFUNCTION("""COMPUTED_VALUE"""),"")</f>
        <v/>
      </c>
      <c r="G7526" s="42" t="str">
        <f>IFERROR(__xludf.DUMMYFUNCTION("""COMPUTED_VALUE"""),"BN JUAL BELI EL")</f>
        <v>BN JUAL BELI EL</v>
      </c>
      <c r="H7526" s="42">
        <f t="shared" si="1"/>
        <v>3149</v>
      </c>
    </row>
    <row r="7527" ht="22.5" customHeight="1">
      <c r="B7527" s="42" t="str">
        <f>IFERROR(__xludf.DUMMYFUNCTION("""COMPUTED_VALUE"""),"K/15/170925/2")</f>
        <v>K/15/170925/2</v>
      </c>
      <c r="C7527" s="42" t="str">
        <f>IFERROR(__xludf.DUMMYFUNCTION("""COMPUTED_VALUE"""),"M. 1429/CAMPANG JAYA")</f>
        <v>M. 1429/CAMPANG JAYA</v>
      </c>
      <c r="D7527" s="42"/>
      <c r="E7527" s="42"/>
      <c r="F7527" s="48" t="str">
        <f>IFERROR(__xludf.DUMMYFUNCTION("""COMPUTED_VALUE"""),"")</f>
        <v/>
      </c>
      <c r="G7527" s="42" t="str">
        <f>IFERROR(__xludf.DUMMYFUNCTION("""COMPUTED_VALUE"""),"BN JUAL BELI EL")</f>
        <v>BN JUAL BELI EL</v>
      </c>
      <c r="H7527" s="42">
        <f t="shared" si="1"/>
        <v>3149</v>
      </c>
    </row>
    <row r="7528" ht="22.5" customHeight="1">
      <c r="B7528" s="42" t="str">
        <f>IFERROR(__xludf.DUMMYFUNCTION("""COMPUTED_VALUE"""),"K/12/170925/2")</f>
        <v>K/12/170925/2</v>
      </c>
      <c r="C7528" s="42" t="str">
        <f>IFERROR(__xludf.DUMMYFUNCTION("""COMPUTED_VALUE"""),"M 4342/ GUNUNG TERANG")</f>
        <v>M 4342/ GUNUNG TERANG</v>
      </c>
      <c r="D7528" s="42" t="str">
        <f>IFERROR(__xludf.DUMMYFUNCTION("""COMPUTED_VALUE"""),"Berry")</f>
        <v>Berry</v>
      </c>
      <c r="E7528" s="42" t="str">
        <f>IFERROR(__xludf.DUMMYFUNCTION("""COMPUTED_VALUE"""),"DISERAHKAN")</f>
        <v>DISERAHKAN</v>
      </c>
      <c r="F7528" s="48">
        <f>IFERROR(__xludf.DUMMYFUNCTION("""COMPUTED_VALUE"""),45966.65424563657)</f>
        <v>45966.65425</v>
      </c>
      <c r="G7528" s="42" t="str">
        <f>IFERROR(__xludf.DUMMYFUNCTION("""COMPUTED_VALUE"""),"PEMECAHAN")</f>
        <v>PEMECAHAN</v>
      </c>
      <c r="H7528" s="42">
        <f t="shared" si="1"/>
        <v>3150</v>
      </c>
    </row>
    <row r="7529" ht="22.5" customHeight="1">
      <c r="B7529" s="42" t="str">
        <f>IFERROR(__xludf.DUMMYFUNCTION("""COMPUTED_VALUE"""),"K/16/170925/3")</f>
        <v>K/16/170925/3</v>
      </c>
      <c r="C7529" s="42" t="str">
        <f>IFERROR(__xludf.DUMMYFUNCTION("""COMPUTED_VALUE"""),"M. 2259/SUSUNAN BARU")</f>
        <v>M. 2259/SUSUNAN BARU</v>
      </c>
      <c r="D7529" s="42"/>
      <c r="E7529" s="42"/>
      <c r="F7529" s="48" t="str">
        <f>IFERROR(__xludf.DUMMYFUNCTION("""COMPUTED_VALUE"""),"")</f>
        <v/>
      </c>
      <c r="G7529" s="42" t="str">
        <f>IFERROR(__xludf.DUMMYFUNCTION("""COMPUTED_VALUE"""),"BN JUAL BELI EL ")</f>
        <v>BN JUAL BELI EL </v>
      </c>
      <c r="H7529" s="42">
        <f t="shared" si="1"/>
        <v>3150</v>
      </c>
    </row>
    <row r="7530" ht="22.5" customHeight="1">
      <c r="B7530" s="42" t="str">
        <f>IFERROR(__xludf.DUMMYFUNCTION("""COMPUTED_VALUE"""),"K/17/170925/4")</f>
        <v>K/17/170925/4</v>
      </c>
      <c r="C7530" s="42" t="str">
        <f>IFERROR(__xludf.DUMMYFUNCTION("""COMPUTED_VALUE"""),"M. 2345/KEDAUNG")</f>
        <v>M. 2345/KEDAUNG</v>
      </c>
      <c r="D7530" s="42"/>
      <c r="E7530" s="42"/>
      <c r="F7530" s="48" t="str">
        <f>IFERROR(__xludf.DUMMYFUNCTION("""COMPUTED_VALUE"""),"")</f>
        <v/>
      </c>
      <c r="G7530" s="42" t="str">
        <f>IFERROR(__xludf.DUMMYFUNCTION("""COMPUTED_VALUE"""),"BN JUAL BELI EL")</f>
        <v>BN JUAL BELI EL</v>
      </c>
      <c r="H7530" s="42">
        <f t="shared" si="1"/>
        <v>3150</v>
      </c>
    </row>
    <row r="7531" ht="22.5" customHeight="1">
      <c r="B7531" s="42" t="str">
        <f>IFERROR(__xludf.DUMMYFUNCTION("""COMPUTED_VALUE"""),"K/19/170926/1")</f>
        <v>K/19/170926/1</v>
      </c>
      <c r="C7531" s="42" t="str">
        <f>IFERROR(__xludf.DUMMYFUNCTION("""COMPUTED_VALUE"""),"M 721/ GEDONG AIR")</f>
        <v>M 721/ GEDONG AIR</v>
      </c>
      <c r="D7531" s="42" t="str">
        <f>IFERROR(__xludf.DUMMYFUNCTION("""COMPUTED_VALUE"""),"David")</f>
        <v>David</v>
      </c>
      <c r="E7531" s="42" t="str">
        <f>IFERROR(__xludf.DUMMYFUNCTION("""COMPUTED_VALUE"""),"DISERAHKAN")</f>
        <v>DISERAHKAN</v>
      </c>
      <c r="F7531" s="48">
        <f>IFERROR(__xludf.DUMMYFUNCTION("""COMPUTED_VALUE"""),45943.70049461805)</f>
        <v>45943.70049</v>
      </c>
      <c r="G7531" s="42" t="str">
        <f>IFERROR(__xludf.DUMMYFUNCTION("""COMPUTED_VALUE"""),"BN JUAL BELI")</f>
        <v>BN JUAL BELI</v>
      </c>
      <c r="H7531" s="42">
        <f t="shared" si="1"/>
        <v>3151</v>
      </c>
    </row>
    <row r="7532" ht="22.5" customHeight="1">
      <c r="B7532" s="42" t="str">
        <f>IFERROR(__xludf.DUMMYFUNCTION("""COMPUTED_VALUE"""),"K/18/170925/5")</f>
        <v>K/18/170925/5</v>
      </c>
      <c r="C7532" s="42" t="str">
        <f>IFERROR(__xludf.DUMMYFUNCTION("""COMPUTED_VALUE"""),"M. 2445/KEDAUNG")</f>
        <v>M. 2445/KEDAUNG</v>
      </c>
      <c r="D7532" s="42" t="str">
        <f>IFERROR(__xludf.DUMMYFUNCTION("""COMPUTED_VALUE"""),"Berry")</f>
        <v>Berry</v>
      </c>
      <c r="E7532" s="42" t="str">
        <f>IFERROR(__xludf.DUMMYFUNCTION("""COMPUTED_VALUE"""),"DISERAHKAN")</f>
        <v>DISERAHKAN</v>
      </c>
      <c r="F7532" s="48">
        <f>IFERROR(__xludf.DUMMYFUNCTION("""COMPUTED_VALUE"""),45968.49080177084)</f>
        <v>45968.4908</v>
      </c>
      <c r="G7532" s="42" t="str">
        <f>IFERROR(__xludf.DUMMYFUNCTION("""COMPUTED_VALUE"""),"BN JUAL BELI EL")</f>
        <v>BN JUAL BELI EL</v>
      </c>
      <c r="H7532" s="42">
        <f t="shared" si="1"/>
        <v>3152</v>
      </c>
    </row>
    <row r="7533" ht="22.5" customHeight="1">
      <c r="B7533" s="42" t="str">
        <f>IFERROR(__xludf.DUMMYFUNCTION("""COMPUTED_VALUE"""),"K/13/170925/1")</f>
        <v>K/13/170925/1</v>
      </c>
      <c r="C7533" s="42" t="str">
        <f>IFERROR(__xludf.DUMMYFUNCTION("""COMPUTED_VALUE"""),"M 2217/ KETEGUHAN")</f>
        <v>M 2217/ KETEGUHAN</v>
      </c>
      <c r="D7533" s="42"/>
      <c r="E7533" s="42"/>
      <c r="F7533" s="48" t="str">
        <f>IFERROR(__xludf.DUMMYFUNCTION("""COMPUTED_VALUE"""),"")</f>
        <v/>
      </c>
      <c r="G7533" s="42" t="str">
        <f>IFERROR(__xludf.DUMMYFUNCTION("""COMPUTED_VALUE"""),"BN WARIS")</f>
        <v>BN WARIS</v>
      </c>
      <c r="H7533" s="42">
        <f t="shared" si="1"/>
        <v>3152</v>
      </c>
    </row>
    <row r="7534" ht="22.5" customHeight="1">
      <c r="B7534" s="42" t="str">
        <f>IFERROR(__xludf.DUMMYFUNCTION("""COMPUTED_VALUE"""),"K/21/170928/1")</f>
        <v>K/21/170928/1</v>
      </c>
      <c r="C7534" s="42" t="str">
        <f>IFERROR(__xludf.DUMMYFUNCTION("""COMPUTED_VALUE"""),"NIBEL B. 23964/KEMILING PERMAI")</f>
        <v>NIBEL B. 23964/KEMILING PERMAI</v>
      </c>
      <c r="D7534" s="42"/>
      <c r="E7534" s="42"/>
      <c r="F7534" s="48" t="str">
        <f>IFERROR(__xludf.DUMMYFUNCTION("""COMPUTED_VALUE"""),"")</f>
        <v/>
      </c>
      <c r="G7534" s="42" t="str">
        <f>IFERROR(__xludf.DUMMYFUNCTION("""COMPUTED_VALUE"""),"PERUBAHAN HAK")</f>
        <v>PERUBAHAN HAK</v>
      </c>
      <c r="H7534" s="42">
        <f t="shared" si="1"/>
        <v>3152</v>
      </c>
    </row>
    <row r="7535" ht="22.5" customHeight="1">
      <c r="B7535" s="42" t="str">
        <f>IFERROR(__xludf.DUMMYFUNCTION("""COMPUTED_VALUE"""),"K/23/170925/1")</f>
        <v>K/23/170925/1</v>
      </c>
      <c r="C7535" s="42" t="str">
        <f>IFERROR(__xludf.DUMMYFUNCTION("""COMPUTED_VALUE"""),"M. 6035/GUNUNG SULAH ")</f>
        <v>M. 6035/GUNUNG SULAH </v>
      </c>
      <c r="D7535" s="42"/>
      <c r="E7535" s="42"/>
      <c r="F7535" s="48" t="str">
        <f>IFERROR(__xludf.DUMMYFUNCTION("""COMPUTED_VALUE"""),"")</f>
        <v/>
      </c>
      <c r="G7535" s="42" t="str">
        <f>IFERROR(__xludf.DUMMYFUNCTION("""COMPUTED_VALUE"""),"BN JUAL BELI EL")</f>
        <v>BN JUAL BELI EL</v>
      </c>
      <c r="H7535" s="42">
        <f t="shared" si="1"/>
        <v>3152</v>
      </c>
    </row>
    <row r="7536" ht="22.5" customHeight="1">
      <c r="B7536" s="42" t="str">
        <f>IFERROR(__xludf.DUMMYFUNCTION("""COMPUTED_VALUE"""),"K/26/170925/1")</f>
        <v>K/26/170925/1</v>
      </c>
      <c r="C7536" s="42" t="str">
        <f>IFERROR(__xludf.DUMMYFUNCTION("""COMPUTED_VALUE"""),"M 1839/ RAJABASA PEMUKA")</f>
        <v>M 1839/ RAJABASA PEMUKA</v>
      </c>
      <c r="D7536" s="42" t="str">
        <f>IFERROR(__xludf.DUMMYFUNCTION("""COMPUTED_VALUE"""),"Berry")</f>
        <v>Berry</v>
      </c>
      <c r="E7536" s="42" t="str">
        <f>IFERROR(__xludf.DUMMYFUNCTION("""COMPUTED_VALUE"""),"DISERAHKAN")</f>
        <v>DISERAHKAN</v>
      </c>
      <c r="F7536" s="48">
        <f>IFERROR(__xludf.DUMMYFUNCTION("""COMPUTED_VALUE"""),45945.6800283912)</f>
        <v>45945.68003</v>
      </c>
      <c r="G7536" s="42" t="str">
        <f>IFERROR(__xludf.DUMMYFUNCTION("""COMPUTED_VALUE"""),"BN JUAL BELI")</f>
        <v>BN JUAL BELI</v>
      </c>
      <c r="H7536" s="42">
        <f t="shared" si="1"/>
        <v>3153</v>
      </c>
    </row>
    <row r="7537" ht="22.5" customHeight="1">
      <c r="B7537" s="42" t="str">
        <f>IFERROR(__xludf.DUMMYFUNCTION("""COMPUTED_VALUE"""),"K/24/170925/2")</f>
        <v>K/24/170925/2</v>
      </c>
      <c r="C7537" s="42" t="str">
        <f>IFERROR(__xludf.DUMMYFUNCTION("""COMPUTED_VALUE"""),"NIBEL M. 18255/PERUMNAS WAY KANDIS")</f>
        <v>NIBEL M. 18255/PERUMNAS WAY KANDIS</v>
      </c>
      <c r="D7537" s="42"/>
      <c r="E7537" s="42"/>
      <c r="F7537" s="48" t="str">
        <f>IFERROR(__xludf.DUMMYFUNCTION("""COMPUTED_VALUE"""),"")</f>
        <v/>
      </c>
      <c r="G7537" s="42" t="str">
        <f>IFERROR(__xludf.DUMMYFUNCTION("""COMPUTED_VALUE"""),"BN JUAL BELI EL")</f>
        <v>BN JUAL BELI EL</v>
      </c>
      <c r="H7537" s="42">
        <f t="shared" si="1"/>
        <v>3153</v>
      </c>
    </row>
    <row r="7538" ht="22.5" customHeight="1">
      <c r="B7538" s="42" t="str">
        <f>IFERROR(__xludf.DUMMYFUNCTION("""COMPUTED_VALUE"""),"K/25/170925/3")</f>
        <v>K/25/170925/3</v>
      </c>
      <c r="C7538" s="42" t="str">
        <f>IFERROR(__xludf.DUMMYFUNCTION("""COMPUTED_VALUE"""),"M. 3162/KOTA KARANG")</f>
        <v>M. 3162/KOTA KARANG</v>
      </c>
      <c r="D7538" s="42"/>
      <c r="E7538" s="42"/>
      <c r="F7538" s="48" t="str">
        <f>IFERROR(__xludf.DUMMYFUNCTION("""COMPUTED_VALUE"""),"")</f>
        <v/>
      </c>
      <c r="G7538" s="42" t="str">
        <f>IFERROR(__xludf.DUMMYFUNCTION("""COMPUTED_VALUE"""),"HAPUS BPHTB")</f>
        <v>HAPUS BPHTB</v>
      </c>
      <c r="H7538" s="42">
        <f t="shared" si="1"/>
        <v>3153</v>
      </c>
    </row>
    <row r="7539" ht="22.5" customHeight="1">
      <c r="B7539" s="42" t="str">
        <f>IFERROR(__xludf.DUMMYFUNCTION("""COMPUTED_VALUE"""),"K/27/170925/4")</f>
        <v>K/27/170925/4</v>
      </c>
      <c r="C7539" s="42" t="str">
        <f>IFERROR(__xludf.DUMMYFUNCTION("""COMPUTED_VALUE"""),"M. 3630/RAJABASA JAYA")</f>
        <v>M. 3630/RAJABASA JAYA</v>
      </c>
      <c r="D7539" s="42" t="str">
        <f>IFERROR(__xludf.DUMMYFUNCTION("""COMPUTED_VALUE"""),"David")</f>
        <v>David</v>
      </c>
      <c r="E7539" s="42" t="str">
        <f>IFERROR(__xludf.DUMMYFUNCTION("""COMPUTED_VALUE"""),"DISERAHKAN")</f>
        <v>DISERAHKAN</v>
      </c>
      <c r="F7539" s="48">
        <f>IFERROR(__xludf.DUMMYFUNCTION("""COMPUTED_VALUE"""),45950.605215081014)</f>
        <v>45950.60522</v>
      </c>
      <c r="G7539" s="42" t="str">
        <f>IFERROR(__xludf.DUMMYFUNCTION("""COMPUTED_VALUE"""),"BN JUAL BELI EL")</f>
        <v>BN JUAL BELI EL</v>
      </c>
      <c r="H7539" s="42">
        <f t="shared" si="1"/>
        <v>3154</v>
      </c>
    </row>
    <row r="7540" ht="22.5" customHeight="1">
      <c r="B7540" s="42" t="str">
        <f>IFERROR(__xludf.DUMMYFUNCTION("""COMPUTED_VALUE"""),"K/29/170925/1")</f>
        <v>K/29/170925/1</v>
      </c>
      <c r="C7540" s="42" t="str">
        <f>IFERROR(__xludf.DUMMYFUNCTION("""COMPUTED_VALUE"""),"WAY KANDIS")</f>
        <v>WAY KANDIS</v>
      </c>
      <c r="D7540" s="42" t="str">
        <f>IFERROR(__xludf.DUMMYFUNCTION("""COMPUTED_VALUE"""),"Berry")</f>
        <v>Berry</v>
      </c>
      <c r="E7540" s="42" t="str">
        <f>IFERROR(__xludf.DUMMYFUNCTION("""COMPUTED_VALUE"""),"DISERAHKAN")</f>
        <v>DISERAHKAN</v>
      </c>
      <c r="F7540" s="48">
        <f>IFERROR(__xludf.DUMMYFUNCTION("""COMPUTED_VALUE"""),45972.63062619213)</f>
        <v>45972.63063</v>
      </c>
      <c r="G7540" s="42" t="str">
        <f>IFERROR(__xludf.DUMMYFUNCTION("""COMPUTED_VALUE"""),"PENGUKURAN TAMEN")</f>
        <v>PENGUKURAN TAMEN</v>
      </c>
      <c r="H7540" s="42">
        <f t="shared" si="1"/>
        <v>3155</v>
      </c>
    </row>
    <row r="7541" ht="22.5" customHeight="1">
      <c r="B7541" s="42" t="str">
        <f>IFERROR(__xludf.DUMMYFUNCTION("""COMPUTED_VALUE"""),"K/22/170925/1")</f>
        <v>K/22/170925/1</v>
      </c>
      <c r="C7541" s="42" t="str">
        <f>IFERROR(__xludf.DUMMYFUNCTION("""COMPUTED_VALUE"""),"M 922/ KD")</f>
        <v>M 922/ KD</v>
      </c>
      <c r="D7541" s="42"/>
      <c r="E7541" s="42"/>
      <c r="F7541" s="48" t="str">
        <f>IFERROR(__xludf.DUMMYFUNCTION("""COMPUTED_VALUE"""),"")</f>
        <v/>
      </c>
      <c r="G7541" s="42" t="str">
        <f>IFERROR(__xludf.DUMMYFUNCTION("""COMPUTED_VALUE"""),"SHM HILANG")</f>
        <v>SHM HILANG</v>
      </c>
      <c r="H7541" s="42">
        <f t="shared" si="1"/>
        <v>3155</v>
      </c>
    </row>
    <row r="7542" ht="22.5" customHeight="1">
      <c r="B7542" s="42" t="str">
        <f>IFERROR(__xludf.DUMMYFUNCTION("""COMPUTED_VALUE"""),"K/30/170925/1")</f>
        <v>K/30/170925/1</v>
      </c>
      <c r="C7542" s="42" t="str">
        <f>IFERROR(__xludf.DUMMYFUNCTION("""COMPUTED_VALUE"""),"M. 3123/GEDONG AIR")</f>
        <v>M. 3123/GEDONG AIR</v>
      </c>
      <c r="D7542" s="42"/>
      <c r="E7542" s="42"/>
      <c r="F7542" s="48" t="str">
        <f>IFERROR(__xludf.DUMMYFUNCTION("""COMPUTED_VALUE"""),"")</f>
        <v/>
      </c>
      <c r="G7542" s="42" t="str">
        <f>IFERROR(__xludf.DUMMYFUNCTION("""COMPUTED_VALUE"""),"BN JUAL BELI EL")</f>
        <v>BN JUAL BELI EL</v>
      </c>
      <c r="H7542" s="42">
        <f t="shared" si="1"/>
        <v>3155</v>
      </c>
    </row>
    <row r="7543" ht="22.5" customHeight="1">
      <c r="B7543" s="42" t="str">
        <f>IFERROR(__xludf.DUMMYFUNCTION("""COMPUTED_VALUE"""),"L/28/170925/1")</f>
        <v>L/28/170925/1</v>
      </c>
      <c r="C7543" s="42" t="str">
        <f>IFERROR(__xludf.DUMMYFUNCTION("""COMPUTED_VALUE"""),"M.128/TANJUNG RAYA")</f>
        <v>M.128/TANJUNG RAYA</v>
      </c>
      <c r="D7543" s="42"/>
      <c r="E7543" s="42"/>
      <c r="F7543" s="48" t="str">
        <f>IFERROR(__xludf.DUMMYFUNCTION("""COMPUTED_VALUE"""),"")</f>
        <v/>
      </c>
      <c r="G7543" s="42" t="str">
        <f>IFERROR(__xludf.DUMMYFUNCTION("""COMPUTED_VALUE"""),"ROYA")</f>
        <v>ROYA</v>
      </c>
      <c r="H7543" s="42">
        <f t="shared" si="1"/>
        <v>3155</v>
      </c>
    </row>
    <row r="7544" ht="22.5" customHeight="1">
      <c r="B7544" s="42" t="str">
        <f>IFERROR(__xludf.DUMMYFUNCTION("""COMPUTED_VALUE"""),"K/32/170925/1")</f>
        <v>K/32/170925/1</v>
      </c>
      <c r="C7544" s="42" t="str">
        <f>IFERROR(__xludf.DUMMYFUNCTION("""COMPUTED_VALUE"""),"M 3380/ KETEGUHAN")</f>
        <v>M 3380/ KETEGUHAN</v>
      </c>
      <c r="D7544" s="42" t="str">
        <f>IFERROR(__xludf.DUMMYFUNCTION("""COMPUTED_VALUE"""),"David")</f>
        <v>David</v>
      </c>
      <c r="E7544" s="42" t="str">
        <f>IFERROR(__xludf.DUMMYFUNCTION("""COMPUTED_VALUE"""),"DISERAHKAN")</f>
        <v>DISERAHKAN</v>
      </c>
      <c r="F7544" s="48">
        <f>IFERROR(__xludf.DUMMYFUNCTION("""COMPUTED_VALUE"""),45957.619267222224)</f>
        <v>45957.61927</v>
      </c>
      <c r="G7544" s="42" t="str">
        <f>IFERROR(__xludf.DUMMYFUNCTION("""COMPUTED_VALUE"""),"HAPUS BPHTB")</f>
        <v>HAPUS BPHTB</v>
      </c>
      <c r="H7544" s="42">
        <f t="shared" si="1"/>
        <v>3156</v>
      </c>
    </row>
    <row r="7545" ht="22.5" customHeight="1">
      <c r="B7545" s="42" t="str">
        <f>IFERROR(__xludf.DUMMYFUNCTION("""COMPUTED_VALUE"""),"L/33/170925/1")</f>
        <v>L/33/170925/1</v>
      </c>
      <c r="C7545" s="42" t="str">
        <f>IFERROR(__xludf.DUMMYFUNCTION("""COMPUTED_VALUE"""),"B.1549/WAY HALIM PERMAI")</f>
        <v>B.1549/WAY HALIM PERMAI</v>
      </c>
      <c r="D7545" s="42"/>
      <c r="E7545" s="42"/>
      <c r="F7545" s="48" t="str">
        <f>IFERROR(__xludf.DUMMYFUNCTION("""COMPUTED_VALUE"""),"")</f>
        <v/>
      </c>
      <c r="G7545" s="42" t="str">
        <f>IFERROR(__xludf.DUMMYFUNCTION("""COMPUTED_VALUE"""),"PENINGKATAN HAK")</f>
        <v>PENINGKATAN HAK</v>
      </c>
      <c r="H7545" s="42">
        <f t="shared" si="1"/>
        <v>3156</v>
      </c>
    </row>
    <row r="7546" ht="22.5" customHeight="1">
      <c r="B7546" s="42" t="str">
        <f>IFERROR(__xludf.DUMMYFUNCTION("""COMPUTED_VALUE"""),"K/34/170925/1")</f>
        <v>K/34/170925/1</v>
      </c>
      <c r="C7546" s="42" t="str">
        <f>IFERROR(__xludf.DUMMYFUNCTION("""COMPUTED_VALUE"""),"SK 94/ YUSRIZAL/ SUKARAME")</f>
        <v>SK 94/ YUSRIZAL/ SUKARAME</v>
      </c>
      <c r="D7546" s="42" t="str">
        <f>IFERROR(__xludf.DUMMYFUNCTION("""COMPUTED_VALUE"""),"David")</f>
        <v>David</v>
      </c>
      <c r="E7546" s="42" t="str">
        <f>IFERROR(__xludf.DUMMYFUNCTION("""COMPUTED_VALUE"""),"DISERAHKAN")</f>
        <v>DISERAHKAN</v>
      </c>
      <c r="F7546" s="48">
        <f>IFERROR(__xludf.DUMMYFUNCTION("""COMPUTED_VALUE"""),45930.60160876157)</f>
        <v>45930.60161</v>
      </c>
      <c r="G7546" s="42" t="str">
        <f>IFERROR(__xludf.DUMMYFUNCTION("""COMPUTED_VALUE"""),"PENDAFTARAN SK")</f>
        <v>PENDAFTARAN SK</v>
      </c>
      <c r="H7546" s="42">
        <f t="shared" si="1"/>
        <v>3157</v>
      </c>
    </row>
    <row r="7547" ht="22.5" customHeight="1">
      <c r="B7547" s="42" t="str">
        <f>IFERROR(__xludf.DUMMYFUNCTION("""COMPUTED_VALUE"""),"K/11/170925/1")</f>
        <v>K/11/170925/1</v>
      </c>
      <c r="C7547" s="42" t="str">
        <f>IFERROR(__xludf.DUMMYFUNCTION("""COMPUTED_VALUE"""),"M 4343/ GUNUNG TERANG")</f>
        <v>M 4343/ GUNUNG TERANG</v>
      </c>
      <c r="D7547" s="42"/>
      <c r="E7547" s="42"/>
      <c r="F7547" s="48" t="str">
        <f>IFERROR(__xludf.DUMMYFUNCTION("""COMPUTED_VALUE"""),"")</f>
        <v/>
      </c>
      <c r="G7547" s="42" t="str">
        <f>IFERROR(__xludf.DUMMYFUNCTION("""COMPUTED_VALUE"""),"PEMECAHAN")</f>
        <v>PEMECAHAN</v>
      </c>
      <c r="H7547" s="42">
        <f t="shared" si="1"/>
        <v>3157</v>
      </c>
    </row>
    <row r="7548" ht="22.5" customHeight="1">
      <c r="B7548" s="42" t="str">
        <f>IFERROR(__xludf.DUMMYFUNCTION("""COMPUTED_VALUE"""),"K/31/170925/1")</f>
        <v>K/31/170925/1</v>
      </c>
      <c r="C7548" s="42" t="str">
        <f>IFERROR(__xludf.DUMMYFUNCTION("""COMPUTED_VALUE"""),"B. 4512/SUKABUMI")</f>
        <v>B. 4512/SUKABUMI</v>
      </c>
      <c r="D7548" s="42"/>
      <c r="E7548" s="42"/>
      <c r="F7548" s="48" t="str">
        <f>IFERROR(__xludf.DUMMYFUNCTION("""COMPUTED_VALUE"""),"")</f>
        <v/>
      </c>
      <c r="G7548" s="42" t="str">
        <f>IFERROR(__xludf.DUMMYFUNCTION("""COMPUTED_VALUE"""),"PERUBAHAN HAK")</f>
        <v>PERUBAHAN HAK</v>
      </c>
      <c r="H7548" s="42">
        <f t="shared" si="1"/>
        <v>3157</v>
      </c>
    </row>
    <row r="7549" ht="22.5" customHeight="1">
      <c r="B7549" s="42" t="str">
        <f>IFERROR(__xludf.DUMMYFUNCTION("""COMPUTED_VALUE"""),"L/36/170925/1")</f>
        <v>L/36/170925/1</v>
      </c>
      <c r="C7549" s="42" t="str">
        <f>IFERROR(__xludf.DUMMYFUNCTION("""COMPUTED_VALUE"""),"M. 524/GOTONG ROYONG")</f>
        <v>M. 524/GOTONG ROYONG</v>
      </c>
      <c r="D7549" s="42" t="str">
        <f>IFERROR(__xludf.DUMMYFUNCTION("""COMPUTED_VALUE"""),"Berry")</f>
        <v>Berry</v>
      </c>
      <c r="E7549" s="42" t="str">
        <f>IFERROR(__xludf.DUMMYFUNCTION("""COMPUTED_VALUE"""),"DISERAHKAN")</f>
        <v>DISERAHKAN</v>
      </c>
      <c r="F7549" s="48">
        <f>IFERROR(__xludf.DUMMYFUNCTION("""COMPUTED_VALUE"""),45924.69217175926)</f>
        <v>45924.69217</v>
      </c>
      <c r="G7549" s="42" t="str">
        <f>IFERROR(__xludf.DUMMYFUNCTION("""COMPUTED_VALUE"""),"SERTIPIKAT HILANG")</f>
        <v>SERTIPIKAT HILANG</v>
      </c>
      <c r="H7549" s="42">
        <f t="shared" si="1"/>
        <v>3158</v>
      </c>
    </row>
    <row r="7550" ht="22.5" customHeight="1">
      <c r="B7550" s="42" t="str">
        <f>IFERROR(__xludf.DUMMYFUNCTION("""COMPUTED_VALUE"""),"K/37/170925/1")</f>
        <v>K/37/170925/1</v>
      </c>
      <c r="C7550" s="42" t="str">
        <f>IFERROR(__xludf.DUMMYFUNCTION("""COMPUTED_VALUE"""),"M 604/ KORPRI RAYA")</f>
        <v>M 604/ KORPRI RAYA</v>
      </c>
      <c r="D7550" s="42"/>
      <c r="E7550" s="42"/>
      <c r="F7550" s="48" t="str">
        <f>IFERROR(__xludf.DUMMYFUNCTION("""COMPUTED_VALUE"""),"")</f>
        <v/>
      </c>
      <c r="G7550" s="42" t="str">
        <f>IFERROR(__xludf.DUMMYFUNCTION("""COMPUTED_VALUE"""),"BN JUAL BELI")</f>
        <v>BN JUAL BELI</v>
      </c>
      <c r="H7550" s="42">
        <f t="shared" si="1"/>
        <v>3158</v>
      </c>
    </row>
    <row r="7551" ht="22.5" customHeight="1">
      <c r="B7551" s="42" t="str">
        <f>IFERROR(__xludf.DUMMYFUNCTION("""COMPUTED_VALUE"""),"K/38/170925/2")</f>
        <v>K/38/170925/2</v>
      </c>
      <c r="C7551" s="42" t="str">
        <f>IFERROR(__xludf.DUMMYFUNCTION("""COMPUTED_VALUE"""),"M 1091/ BUMI KEDAMAIAN")</f>
        <v>M 1091/ BUMI KEDAMAIAN</v>
      </c>
      <c r="D7551" s="42" t="str">
        <f>IFERROR(__xludf.DUMMYFUNCTION("""COMPUTED_VALUE"""),"Berry")</f>
        <v>Berry</v>
      </c>
      <c r="E7551" s="42" t="str">
        <f>IFERROR(__xludf.DUMMYFUNCTION("""COMPUTED_VALUE"""),"DISERAHKAN")</f>
        <v>DISERAHKAN</v>
      </c>
      <c r="F7551" s="48">
        <f>IFERROR(__xludf.DUMMYFUNCTION("""COMPUTED_VALUE"""),45945.67909914352)</f>
        <v>45945.6791</v>
      </c>
      <c r="G7551" s="42" t="str">
        <f>IFERROR(__xludf.DUMMYFUNCTION("""COMPUTED_VALUE"""),"BN JUAL BELI")</f>
        <v>BN JUAL BELI</v>
      </c>
      <c r="H7551" s="42">
        <f t="shared" si="1"/>
        <v>3159</v>
      </c>
    </row>
    <row r="7552" ht="22.5" customHeight="1">
      <c r="B7552" s="42" t="str">
        <f>IFERROR(__xludf.DUMMYFUNCTION("""COMPUTED_VALUE"""),"K/39/170925/1")</f>
        <v>K/39/170925/1</v>
      </c>
      <c r="C7552" s="42" t="str">
        <f>IFERROR(__xludf.DUMMYFUNCTION("""COMPUTED_VALUE"""),"M 11689/ LABUHAN RATU RAYA")</f>
        <v>M 11689/ LABUHAN RATU RAYA</v>
      </c>
      <c r="D7552" s="42" t="str">
        <f>IFERROR(__xludf.DUMMYFUNCTION("""COMPUTED_VALUE"""),"Berry")</f>
        <v>Berry</v>
      </c>
      <c r="E7552" s="42" t="str">
        <f>IFERROR(__xludf.DUMMYFUNCTION("""COMPUTED_VALUE"""),"DISERAHKAN")</f>
        <v>DISERAHKAN</v>
      </c>
      <c r="F7552" s="48">
        <f>IFERROR(__xludf.DUMMYFUNCTION("""COMPUTED_VALUE"""),45945.67780575232)</f>
        <v>45945.67781</v>
      </c>
      <c r="G7552" s="42" t="str">
        <f>IFERROR(__xludf.DUMMYFUNCTION("""COMPUTED_VALUE"""),"BUKA BLOKIR")</f>
        <v>BUKA BLOKIR</v>
      </c>
      <c r="H7552" s="42">
        <f t="shared" si="1"/>
        <v>3160</v>
      </c>
    </row>
    <row r="7553" ht="22.5" customHeight="1">
      <c r="B7553" s="42" t="str">
        <f>IFERROR(__xludf.DUMMYFUNCTION("""COMPUTED_VALUE"""),"K/35/170925/1")</f>
        <v>K/35/170925/1</v>
      </c>
      <c r="C7553" s="42" t="str">
        <f>IFERROR(__xludf.DUMMYFUNCTION("""COMPUTED_VALUE"""),"B. 84/GULAK GALIK")</f>
        <v>B. 84/GULAK GALIK</v>
      </c>
      <c r="D7553" s="42"/>
      <c r="E7553" s="42"/>
      <c r="F7553" s="48" t="str">
        <f>IFERROR(__xludf.DUMMYFUNCTION("""COMPUTED_VALUE"""),"")</f>
        <v/>
      </c>
      <c r="G7553" s="42" t="str">
        <f>IFERROR(__xludf.DUMMYFUNCTION("""COMPUTED_VALUE"""),"PERUBAHAN HAK KONSTATASI")</f>
        <v>PERUBAHAN HAK KONSTATASI</v>
      </c>
      <c r="H7553" s="42">
        <f t="shared" si="1"/>
        <v>3160</v>
      </c>
    </row>
    <row r="7554" ht="22.5" customHeight="1">
      <c r="B7554" s="42" t="str">
        <f>IFERROR(__xludf.DUMMYFUNCTION("""COMPUTED_VALUE"""),"L/40/170925/1")</f>
        <v>L/40/170925/1</v>
      </c>
      <c r="C7554" s="42" t="str">
        <f>IFERROR(__xludf.DUMMYFUNCTION("""COMPUTED_VALUE"""),"B.113/KAMPUNG BARU RAYA")</f>
        <v>B.113/KAMPUNG BARU RAYA</v>
      </c>
      <c r="D7554" s="42"/>
      <c r="E7554" s="42"/>
      <c r="F7554" s="48" t="str">
        <f>IFERROR(__xludf.DUMMYFUNCTION("""COMPUTED_VALUE"""),"")</f>
        <v/>
      </c>
      <c r="G7554" s="42" t="str">
        <f>IFERROR(__xludf.DUMMYFUNCTION("""COMPUTED_VALUE"""),"PENINGKATAN HAK")</f>
        <v>PENINGKATAN HAK</v>
      </c>
      <c r="H7554" s="42">
        <f t="shared" si="1"/>
        <v>3160</v>
      </c>
    </row>
    <row r="7555" ht="22.5" customHeight="1">
      <c r="B7555" s="42" t="str">
        <f>IFERROR(__xludf.DUMMYFUNCTION("""COMPUTED_VALUE"""),"K/1/180925/1")</f>
        <v>K/1/180925/1</v>
      </c>
      <c r="C7555" s="42" t="str">
        <f>IFERROR(__xludf.DUMMYFUNCTION("""COMPUTED_VALUE"""),"M 4359/ RAJABASA JAYA")</f>
        <v>M 4359/ RAJABASA JAYA</v>
      </c>
      <c r="D7555" s="42"/>
      <c r="E7555" s="42"/>
      <c r="F7555" s="48" t="str">
        <f>IFERROR(__xludf.DUMMYFUNCTION("""COMPUTED_VALUE"""),"")</f>
        <v/>
      </c>
      <c r="G7555" s="42" t="str">
        <f>IFERROR(__xludf.DUMMYFUNCTION("""COMPUTED_VALUE"""),"BN JUAL BELI")</f>
        <v>BN JUAL BELI</v>
      </c>
      <c r="H7555" s="42">
        <f t="shared" si="1"/>
        <v>3160</v>
      </c>
    </row>
    <row r="7556" ht="22.5" customHeight="1">
      <c r="B7556" s="42" t="str">
        <f>IFERROR(__xludf.DUMMYFUNCTION("""COMPUTED_VALUE"""),"K/2/180925/2")</f>
        <v>K/2/180925/2</v>
      </c>
      <c r="C7556" s="42" t="str">
        <f>IFERROR(__xludf.DUMMYFUNCTION("""COMPUTED_VALUE"""),"NIBEL M 2674/ SUKARAME II")</f>
        <v>NIBEL M 2674/ SUKARAME II</v>
      </c>
      <c r="D7556" s="42" t="str">
        <f>IFERROR(__xludf.DUMMYFUNCTION("""COMPUTED_VALUE"""),"Berry")</f>
        <v>Berry</v>
      </c>
      <c r="E7556" s="42" t="str">
        <f>IFERROR(__xludf.DUMMYFUNCTION("""COMPUTED_VALUE"""),"DISERAHKAN")</f>
        <v>DISERAHKAN</v>
      </c>
      <c r="F7556" s="48">
        <f>IFERROR(__xludf.DUMMYFUNCTION("""COMPUTED_VALUE"""),45966.65516421296)</f>
        <v>45966.65516</v>
      </c>
      <c r="G7556" s="42" t="str">
        <f>IFERROR(__xludf.DUMMYFUNCTION("""COMPUTED_VALUE"""),"BN JUAL BELI")</f>
        <v>BN JUAL BELI</v>
      </c>
      <c r="H7556" s="42">
        <f t="shared" si="1"/>
        <v>3161</v>
      </c>
    </row>
    <row r="7557" ht="22.5" customHeight="1">
      <c r="B7557" s="42" t="str">
        <f>IFERROR(__xludf.DUMMYFUNCTION("""COMPUTED_VALUE"""),"K/3/180925/1")</f>
        <v>K/3/180925/1</v>
      </c>
      <c r="C7557" s="42" t="str">
        <f>IFERROR(__xludf.DUMMYFUNCTION("""COMPUTED_VALUE"""),"M 13541/ SUKABUMI")</f>
        <v>M 13541/ SUKABUMI</v>
      </c>
      <c r="D7557" s="42"/>
      <c r="E7557" s="42"/>
      <c r="F7557" s="48" t="str">
        <f>IFERROR(__xludf.DUMMYFUNCTION("""COMPUTED_VALUE"""),"")</f>
        <v/>
      </c>
      <c r="G7557" s="42" t="str">
        <f>IFERROR(__xludf.DUMMYFUNCTION("""COMPUTED_VALUE"""),"BN JUAL BELI")</f>
        <v>BN JUAL BELI</v>
      </c>
      <c r="H7557" s="42">
        <f t="shared" si="1"/>
        <v>3161</v>
      </c>
    </row>
    <row r="7558" ht="22.5" customHeight="1">
      <c r="B7558" s="42" t="str">
        <f>IFERROR(__xludf.DUMMYFUNCTION("""COMPUTED_VALUE"""),"K/4/180925/1")</f>
        <v>K/4/180925/1</v>
      </c>
      <c r="C7558" s="42" t="str">
        <f>IFERROR(__xludf.DUMMYFUNCTION("""COMPUTED_VALUE"""),"M. 2341/SEPANG JAYA")</f>
        <v>M. 2341/SEPANG JAYA</v>
      </c>
      <c r="D7558" s="42"/>
      <c r="E7558" s="42"/>
      <c r="F7558" s="48" t="str">
        <f>IFERROR(__xludf.DUMMYFUNCTION("""COMPUTED_VALUE"""),"")</f>
        <v/>
      </c>
      <c r="G7558" s="42" t="str">
        <f>IFERROR(__xludf.DUMMYFUNCTION("""COMPUTED_VALUE"""),"BN HIBAH EL ")</f>
        <v>BN HIBAH EL </v>
      </c>
      <c r="H7558" s="42">
        <f t="shared" si="1"/>
        <v>3161</v>
      </c>
    </row>
    <row r="7559" ht="22.5" customHeight="1">
      <c r="B7559" s="42" t="str">
        <f>IFERROR(__xludf.DUMMYFUNCTION("""COMPUTED_VALUE"""),"K/6/180925/1")</f>
        <v>K/6/180925/1</v>
      </c>
      <c r="C7559" s="42" t="str">
        <f>IFERROR(__xludf.DUMMYFUNCTION("""COMPUTED_VALUE"""),"B. 5052/SUKABUMI")</f>
        <v>B. 5052/SUKABUMI</v>
      </c>
      <c r="D7559" s="42"/>
      <c r="E7559" s="42"/>
      <c r="F7559" s="48" t="str">
        <f>IFERROR(__xludf.DUMMYFUNCTION("""COMPUTED_VALUE"""),"")</f>
        <v/>
      </c>
      <c r="G7559" s="42" t="str">
        <f>IFERROR(__xludf.DUMMYFUNCTION("""COMPUTED_VALUE"""),"BN JUAL BELI")</f>
        <v>BN JUAL BELI</v>
      </c>
      <c r="H7559" s="42">
        <f t="shared" si="1"/>
        <v>3161</v>
      </c>
    </row>
    <row r="7560" ht="22.5" customHeight="1">
      <c r="B7560" s="42" t="str">
        <f>IFERROR(__xludf.DUMMYFUNCTION("""COMPUTED_VALUE"""),"K/8/180925/1")</f>
        <v>K/8/180925/1</v>
      </c>
      <c r="C7560" s="42" t="str">
        <f>IFERROR(__xludf.DUMMYFUNCTION("""COMPUTED_VALUE"""),"M 1571/ SRENGSEM")</f>
        <v>M 1571/ SRENGSEM</v>
      </c>
      <c r="D7560" s="42" t="str">
        <f>IFERROR(__xludf.DUMMYFUNCTION("""COMPUTED_VALUE"""),"David")</f>
        <v>David</v>
      </c>
      <c r="E7560" s="42" t="str">
        <f>IFERROR(__xludf.DUMMYFUNCTION("""COMPUTED_VALUE"""),"DISERAHKAN")</f>
        <v>DISERAHKAN</v>
      </c>
      <c r="F7560" s="48">
        <f>IFERROR(__xludf.DUMMYFUNCTION("""COMPUTED_VALUE"""),45960.63078489584)</f>
        <v>45960.63078</v>
      </c>
      <c r="G7560" s="42" t="str">
        <f>IFERROR(__xludf.DUMMYFUNCTION("""COMPUTED_VALUE"""),"BN JUAL BELI")</f>
        <v>BN JUAL BELI</v>
      </c>
      <c r="H7560" s="42">
        <f t="shared" si="1"/>
        <v>3162</v>
      </c>
    </row>
    <row r="7561" ht="22.5" customHeight="1">
      <c r="B7561" s="42" t="str">
        <f>IFERROR(__xludf.DUMMYFUNCTION("""COMPUTED_VALUE"""),"K/20/170925/2")</f>
        <v>K/20/170925/2</v>
      </c>
      <c r="C7561" s="42" t="str">
        <f>IFERROR(__xludf.DUMMYFUNCTION("""COMPUTED_VALUE"""),"KEDATON")</f>
        <v>KEDATON</v>
      </c>
      <c r="D7561" s="42"/>
      <c r="E7561" s="42"/>
      <c r="F7561" s="48" t="str">
        <f>IFERROR(__xludf.DUMMYFUNCTION("""COMPUTED_VALUE"""),"")</f>
        <v/>
      </c>
      <c r="G7561" s="42" t="str">
        <f>IFERROR(__xludf.DUMMYFUNCTION("""COMPUTED_VALUE"""),"PTPGT")</f>
        <v>PTPGT</v>
      </c>
      <c r="H7561" s="42">
        <f t="shared" si="1"/>
        <v>3162</v>
      </c>
    </row>
    <row r="7562" ht="22.5" customHeight="1">
      <c r="B7562" s="42" t="str">
        <f>IFERROR(__xludf.DUMMYFUNCTION("""COMPUTED_VALUE"""),"K/9/180925/1")</f>
        <v>K/9/180925/1</v>
      </c>
      <c r="C7562" s="42" t="str">
        <f>IFERROR(__xludf.DUMMYFUNCTION("""COMPUTED_VALUE"""),"M 2651/ WAY KANDIS")</f>
        <v>M 2651/ WAY KANDIS</v>
      </c>
      <c r="D7562" s="42"/>
      <c r="E7562" s="42"/>
      <c r="F7562" s="48" t="str">
        <f>IFERROR(__xludf.DUMMYFUNCTION("""COMPUTED_VALUE"""),"")</f>
        <v/>
      </c>
      <c r="G7562" s="42" t="str">
        <f>IFERROR(__xludf.DUMMYFUNCTION("""COMPUTED_VALUE"""),"BN JUAL BELI")</f>
        <v>BN JUAL BELI</v>
      </c>
      <c r="H7562" s="42">
        <f t="shared" si="1"/>
        <v>3162</v>
      </c>
    </row>
    <row r="7563" ht="22.5" customHeight="1">
      <c r="B7563" s="42" t="str">
        <f>IFERROR(__xludf.DUMMYFUNCTION("""COMPUTED_VALUE"""),"K/7/180925/2")</f>
        <v>K/7/180925/2</v>
      </c>
      <c r="C7563" s="42" t="str">
        <f>IFERROR(__xludf.DUMMYFUNCTION("""COMPUTED_VALUE"""),"B. 5018/SUKABUMI")</f>
        <v>B. 5018/SUKABUMI</v>
      </c>
      <c r="D7563" s="42"/>
      <c r="E7563" s="42"/>
      <c r="F7563" s="48" t="str">
        <f>IFERROR(__xludf.DUMMYFUNCTION("""COMPUTED_VALUE"""),"")</f>
        <v/>
      </c>
      <c r="G7563" s="42" t="str">
        <f>IFERROR(__xludf.DUMMYFUNCTION("""COMPUTED_VALUE"""),"BN JUAL BELI")</f>
        <v>BN JUAL BELI</v>
      </c>
      <c r="H7563" s="42">
        <f t="shared" si="1"/>
        <v>3162</v>
      </c>
    </row>
    <row r="7564" ht="22.5" customHeight="1">
      <c r="B7564" s="42" t="str">
        <f>IFERROR(__xludf.DUMMYFUNCTION("""COMPUTED_VALUE"""),"K/10/180925/1")</f>
        <v>K/10/180925/1</v>
      </c>
      <c r="C7564" s="42" t="str">
        <f>IFERROR(__xludf.DUMMYFUNCTION("""COMPUTED_VALUE"""),"NIBEL M. 24235/BUMI KEDAMAIAN")</f>
        <v>NIBEL M. 24235/BUMI KEDAMAIAN</v>
      </c>
      <c r="D7564" s="42" t="str">
        <f>IFERROR(__xludf.DUMMYFUNCTION("""COMPUTED_VALUE"""),"Berry")</f>
        <v>Berry</v>
      </c>
      <c r="E7564" s="42" t="str">
        <f>IFERROR(__xludf.DUMMYFUNCTION("""COMPUTED_VALUE"""),"DISERAHKAN")</f>
        <v>DISERAHKAN</v>
      </c>
      <c r="F7564" s="48">
        <f>IFERROR(__xludf.DUMMYFUNCTION("""COMPUTED_VALUE"""),45966.654692870376)</f>
        <v>45966.65469</v>
      </c>
      <c r="G7564" s="42" t="str">
        <f>IFERROR(__xludf.DUMMYFUNCTION("""COMPUTED_VALUE"""),"BN JUAL BELI EL")</f>
        <v>BN JUAL BELI EL</v>
      </c>
      <c r="H7564" s="42">
        <f t="shared" si="1"/>
        <v>3163</v>
      </c>
    </row>
    <row r="7565" ht="22.5" customHeight="1">
      <c r="B7565" s="42" t="str">
        <f>IFERROR(__xludf.DUMMYFUNCTION("""COMPUTED_VALUE"""),"L/5/180925/1")</f>
        <v>L/5/180925/1</v>
      </c>
      <c r="C7565" s="42" t="str">
        <f>IFERROR(__xludf.DUMMYFUNCTION("""COMPUTED_VALUE"""),"M.129/SUKARAME BARU")</f>
        <v>M.129/SUKARAME BARU</v>
      </c>
      <c r="D7565" s="42"/>
      <c r="E7565" s="42"/>
      <c r="F7565" s="48" t="str">
        <f>IFERROR(__xludf.DUMMYFUNCTION("""COMPUTED_VALUE"""),"")</f>
        <v/>
      </c>
      <c r="G7565" s="42" t="str">
        <f>IFERROR(__xludf.DUMMYFUNCTION("""COMPUTED_VALUE"""),"ROYA")</f>
        <v>ROYA</v>
      </c>
      <c r="H7565" s="42">
        <f t="shared" si="1"/>
        <v>3163</v>
      </c>
    </row>
    <row r="7566" ht="22.5" customHeight="1">
      <c r="B7566" s="42" t="str">
        <f>IFERROR(__xludf.DUMMYFUNCTION("""COMPUTED_VALUE"""),"K/13/180925/1")</f>
        <v>K/13/180925/1</v>
      </c>
      <c r="C7566" s="42" t="str">
        <f>IFERROR(__xludf.DUMMYFUNCTION("""COMPUTED_VALUE"""),"M. 247/KANGKUNG")</f>
        <v>M. 247/KANGKUNG</v>
      </c>
      <c r="D7566" s="42" t="str">
        <f>IFERROR(__xludf.DUMMYFUNCTION("""COMPUTED_VALUE"""),"Berry")</f>
        <v>Berry</v>
      </c>
      <c r="E7566" s="42" t="str">
        <f>IFERROR(__xludf.DUMMYFUNCTION("""COMPUTED_VALUE"""),"DISERAHKAN")</f>
        <v>DISERAHKAN</v>
      </c>
      <c r="F7566" s="48">
        <f>IFERROR(__xludf.DUMMYFUNCTION("""COMPUTED_VALUE"""),45965.49477991898)</f>
        <v>45965.49478</v>
      </c>
      <c r="G7566" s="42" t="str">
        <f>IFERROR(__xludf.DUMMYFUNCTION("""COMPUTED_VALUE"""),"BN WARIS")</f>
        <v>BN WARIS</v>
      </c>
      <c r="H7566" s="42">
        <f t="shared" si="1"/>
        <v>3164</v>
      </c>
    </row>
    <row r="7567" ht="22.5" customHeight="1">
      <c r="B7567" s="42" t="str">
        <f>IFERROR(__xludf.DUMMYFUNCTION("""COMPUTED_VALUE"""),"L/15/180925/1")</f>
        <v>L/15/180925/1</v>
      </c>
      <c r="C7567" s="42" t="str">
        <f>IFERROR(__xludf.DUMMYFUNCTION("""COMPUTED_VALUE"""),"M.1344/KETEGUHAN")</f>
        <v>M.1344/KETEGUHAN</v>
      </c>
      <c r="D7567" s="42"/>
      <c r="E7567" s="42"/>
      <c r="F7567" s="48" t="str">
        <f>IFERROR(__xludf.DUMMYFUNCTION("""COMPUTED_VALUE"""),"")</f>
        <v/>
      </c>
      <c r="G7567" s="42" t="str">
        <f>IFERROR(__xludf.DUMMYFUNCTION("""COMPUTED_VALUE"""),"ROYA")</f>
        <v>ROYA</v>
      </c>
      <c r="H7567" s="42">
        <f t="shared" si="1"/>
        <v>3164</v>
      </c>
    </row>
    <row r="7568" ht="22.5" customHeight="1">
      <c r="B7568" s="42" t="str">
        <f>IFERROR(__xludf.DUMMYFUNCTION("""COMPUTED_VALUE"""),"K/14/180925/2")</f>
        <v>K/14/180925/2</v>
      </c>
      <c r="C7568" s="42" t="str">
        <f>IFERROR(__xludf.DUMMYFUNCTION("""COMPUTED_VALUE"""),"NIBEL M.5550/GEDONG AIR")</f>
        <v>NIBEL M.5550/GEDONG AIR</v>
      </c>
      <c r="D7568" s="42" t="str">
        <f>IFERROR(__xludf.DUMMYFUNCTION("""COMPUTED_VALUE"""),"Berry")</f>
        <v>Berry</v>
      </c>
      <c r="E7568" s="42" t="str">
        <f>IFERROR(__xludf.DUMMYFUNCTION("""COMPUTED_VALUE"""),"DISERAHKAN")</f>
        <v>DISERAHKAN</v>
      </c>
      <c r="F7568" s="48">
        <f>IFERROR(__xludf.DUMMYFUNCTION("""COMPUTED_VALUE"""),45988.65030971065)</f>
        <v>45988.65031</v>
      </c>
      <c r="G7568" s="42" t="str">
        <f>IFERROR(__xludf.DUMMYFUNCTION("""COMPUTED_VALUE"""),"BN JUAL BELI EL")</f>
        <v>BN JUAL BELI EL</v>
      </c>
      <c r="H7568" s="42">
        <f t="shared" si="1"/>
        <v>3165</v>
      </c>
    </row>
    <row r="7569" ht="22.5" customHeight="1">
      <c r="B7569" s="42" t="str">
        <f>IFERROR(__xludf.DUMMYFUNCTION("""COMPUTED_VALUE"""),"L/17/180925/1")</f>
        <v>L/17/180925/1</v>
      </c>
      <c r="C7569" s="42" t="str">
        <f>IFERROR(__xludf.DUMMYFUNCTION("""COMPUTED_VALUE"""),"M.464/SUMUR PUTRI")</f>
        <v>M.464/SUMUR PUTRI</v>
      </c>
      <c r="D7569" s="42"/>
      <c r="E7569" s="42"/>
      <c r="F7569" s="48" t="str">
        <f>IFERROR(__xludf.DUMMYFUNCTION("""COMPUTED_VALUE"""),"")</f>
        <v/>
      </c>
      <c r="G7569" s="42" t="str">
        <f>IFERROR(__xludf.DUMMYFUNCTION("""COMPUTED_VALUE"""),"ROYA")</f>
        <v>ROYA</v>
      </c>
      <c r="H7569" s="42">
        <f t="shared" si="1"/>
        <v>3165</v>
      </c>
    </row>
    <row r="7570" ht="22.5" customHeight="1">
      <c r="B7570" s="42" t="str">
        <f>IFERROR(__xludf.DUMMYFUNCTION("""COMPUTED_VALUE"""),"K/16/180925/1")</f>
        <v>K/16/180925/1</v>
      </c>
      <c r="C7570" s="42" t="str">
        <f>IFERROR(__xludf.DUMMYFUNCTION("""COMPUTED_VALUE"""),"NIBEL M. 23225/BERINGIN RAYA")</f>
        <v>NIBEL M. 23225/BERINGIN RAYA</v>
      </c>
      <c r="D7570" s="42" t="str">
        <f>IFERROR(__xludf.DUMMYFUNCTION("""COMPUTED_VALUE"""),"David")</f>
        <v>David</v>
      </c>
      <c r="E7570" s="42" t="str">
        <f>IFERROR(__xludf.DUMMYFUNCTION("""COMPUTED_VALUE"""),"DISERAHKAN")</f>
        <v>DISERAHKAN</v>
      </c>
      <c r="F7570" s="48">
        <f>IFERROR(__xludf.DUMMYFUNCTION("""COMPUTED_VALUE"""),45957.61593288195)</f>
        <v>45957.61593</v>
      </c>
      <c r="G7570" s="42" t="str">
        <f>IFERROR(__xludf.DUMMYFUNCTION("""COMPUTED_VALUE"""),"BN JUAL BELI EL")</f>
        <v>BN JUAL BELI EL</v>
      </c>
      <c r="H7570" s="42">
        <f t="shared" si="1"/>
        <v>3166</v>
      </c>
    </row>
    <row r="7571" ht="22.5" customHeight="1">
      <c r="B7571" s="42" t="str">
        <f>IFERROR(__xludf.DUMMYFUNCTION("""COMPUTED_VALUE"""),"K/19/180925/1")</f>
        <v>K/19/180925/1</v>
      </c>
      <c r="C7571" s="42" t="str">
        <f>IFERROR(__xludf.DUMMYFUNCTION("""COMPUTED_VALUE"""),"M 176/ KEBON JERUK")</f>
        <v>M 176/ KEBON JERUK</v>
      </c>
      <c r="D7571" s="42"/>
      <c r="E7571" s="42"/>
      <c r="F7571" s="48" t="str">
        <f>IFERROR(__xludf.DUMMYFUNCTION("""COMPUTED_VALUE"""),"")</f>
        <v/>
      </c>
      <c r="G7571" s="42" t="str">
        <f>IFERROR(__xludf.DUMMYFUNCTION("""COMPUTED_VALUE"""),"BN WARIS")</f>
        <v>BN WARIS</v>
      </c>
      <c r="H7571" s="42">
        <f t="shared" si="1"/>
        <v>3166</v>
      </c>
    </row>
    <row r="7572" ht="22.5" customHeight="1">
      <c r="B7572" s="42" t="str">
        <f>IFERROR(__xludf.DUMMYFUNCTION("""COMPUTED_VALUE"""),"K/18/180925/1")</f>
        <v>K/18/180925/1</v>
      </c>
      <c r="C7572" s="42" t="str">
        <f>IFERROR(__xludf.DUMMYFUNCTION("""COMPUTED_VALUE"""),"B. 1827/SUKARAME I")</f>
        <v>B. 1827/SUKARAME I</v>
      </c>
      <c r="D7572" s="42" t="str">
        <f>IFERROR(__xludf.DUMMYFUNCTION("""COMPUTED_VALUE"""),"David")</f>
        <v>David</v>
      </c>
      <c r="E7572" s="42" t="str">
        <f>IFERROR(__xludf.DUMMYFUNCTION("""COMPUTED_VALUE"""),"DISERAHKAN")</f>
        <v>DISERAHKAN</v>
      </c>
      <c r="F7572" s="48">
        <f>IFERROR(__xludf.DUMMYFUNCTION("""COMPUTED_VALUE"""),45943.69954956019)</f>
        <v>45943.69955</v>
      </c>
      <c r="G7572" s="42" t="str">
        <f>IFERROR(__xludf.DUMMYFUNCTION("""COMPUTED_VALUE"""),"PENGUKURAN HGB MATI")</f>
        <v>PENGUKURAN HGB MATI</v>
      </c>
      <c r="H7572" s="42">
        <f t="shared" si="1"/>
        <v>3167</v>
      </c>
    </row>
    <row r="7573" ht="22.5" customHeight="1">
      <c r="B7573" s="42" t="str">
        <f>IFERROR(__xludf.DUMMYFUNCTION("""COMPUTED_VALUE"""),"K/20/180925/2")</f>
        <v>K/20/180925/2</v>
      </c>
      <c r="C7573" s="42" t="str">
        <f>IFERROR(__xludf.DUMMYFUNCTION("""COMPUTED_VALUE"""),"M 237/ BILABONG JAYA")</f>
        <v>M 237/ BILABONG JAYA</v>
      </c>
      <c r="D7573" s="42"/>
      <c r="E7573" s="42"/>
      <c r="F7573" s="48" t="str">
        <f>IFERROR(__xludf.DUMMYFUNCTION("""COMPUTED_VALUE"""),"")</f>
        <v/>
      </c>
      <c r="G7573" s="42" t="str">
        <f>IFERROR(__xludf.DUMMYFUNCTION("""COMPUTED_VALUE"""),"BN JUAL BELI")</f>
        <v>BN JUAL BELI</v>
      </c>
      <c r="H7573" s="42">
        <f t="shared" si="1"/>
        <v>3167</v>
      </c>
    </row>
    <row r="7574" ht="22.5" customHeight="1">
      <c r="B7574" s="42" t="str">
        <f>IFERROR(__xludf.DUMMYFUNCTION("""COMPUTED_VALUE"""),"K/21/180925/1")</f>
        <v>K/21/180925/1</v>
      </c>
      <c r="C7574" s="42" t="str">
        <f>IFERROR(__xludf.DUMMYFUNCTION("""COMPUTED_VALUE"""),"M. 229/BILABONG JAYA")</f>
        <v>M. 229/BILABONG JAYA</v>
      </c>
      <c r="D7574" s="42" t="str">
        <f>IFERROR(__xludf.DUMMYFUNCTION("""COMPUTED_VALUE"""),"Berry")</f>
        <v>Berry</v>
      </c>
      <c r="E7574" s="42" t="str">
        <f>IFERROR(__xludf.DUMMYFUNCTION("""COMPUTED_VALUE"""),"DISERAHKAN")</f>
        <v>DISERAHKAN</v>
      </c>
      <c r="F7574" s="48">
        <f>IFERROR(__xludf.DUMMYFUNCTION("""COMPUTED_VALUE"""),45988.639489988425)</f>
        <v>45988.63949</v>
      </c>
      <c r="G7574" s="42" t="str">
        <f>IFERROR(__xludf.DUMMYFUNCTION("""COMPUTED_VALUE"""),"BN JUAL BELI EL")</f>
        <v>BN JUAL BELI EL</v>
      </c>
      <c r="H7574" s="42">
        <f t="shared" si="1"/>
        <v>3168</v>
      </c>
    </row>
    <row r="7575" ht="22.5" customHeight="1">
      <c r="B7575" s="42" t="str">
        <f>IFERROR(__xludf.DUMMYFUNCTION("""COMPUTED_VALUE"""),"K/22/180925/1")</f>
        <v>K/22/180925/1</v>
      </c>
      <c r="C7575" s="42" t="str">
        <f>IFERROR(__xludf.DUMMYFUNCTION("""COMPUTED_VALUE"""),"M. 4214/LANGKAPURA")</f>
        <v>M. 4214/LANGKAPURA</v>
      </c>
      <c r="D7575" s="42" t="str">
        <f>IFERROR(__xludf.DUMMYFUNCTION("""COMPUTED_VALUE"""),"Berry")</f>
        <v>Berry</v>
      </c>
      <c r="E7575" s="42" t="str">
        <f>IFERROR(__xludf.DUMMYFUNCTION("""COMPUTED_VALUE"""),"DISERAHKAN")</f>
        <v>DISERAHKAN</v>
      </c>
      <c r="F7575" s="48">
        <f>IFERROR(__xludf.DUMMYFUNCTION("""COMPUTED_VALUE"""),45988.639387476855)</f>
        <v>45988.63939</v>
      </c>
      <c r="G7575" s="42" t="str">
        <f>IFERROR(__xludf.DUMMYFUNCTION("""COMPUTED_VALUE"""),"SKPT LELANG")</f>
        <v>SKPT LELANG</v>
      </c>
      <c r="H7575" s="42">
        <f t="shared" si="1"/>
        <v>3169</v>
      </c>
    </row>
    <row r="7576" ht="22.5" customHeight="1">
      <c r="B7576" s="42" t="str">
        <f>IFERROR(__xludf.DUMMYFUNCTION("""COMPUTED_VALUE"""),"K/23/180925/2")</f>
        <v>K/23/180925/2</v>
      </c>
      <c r="C7576" s="42" t="str">
        <f>IFERROR(__xludf.DUMMYFUNCTION("""COMPUTED_VALUE"""),"M. 107/NUSANTARA PERMAI")</f>
        <v>M. 107/NUSANTARA PERMAI</v>
      </c>
      <c r="D7576" s="42"/>
      <c r="E7576" s="42"/>
      <c r="F7576" s="48" t="str">
        <f>IFERROR(__xludf.DUMMYFUNCTION("""COMPUTED_VALUE"""),"")</f>
        <v/>
      </c>
      <c r="G7576" s="42" t="str">
        <f>IFERROR(__xludf.DUMMYFUNCTION("""COMPUTED_VALUE"""),"SKPT LELANG")</f>
        <v>SKPT LELANG</v>
      </c>
      <c r="H7576" s="42">
        <f t="shared" si="1"/>
        <v>3169</v>
      </c>
    </row>
    <row r="7577" ht="22.5" customHeight="1">
      <c r="B7577" s="42" t="str">
        <f>IFERROR(__xludf.DUMMYFUNCTION("""COMPUTED_VALUE"""),"K/24/180925/1")</f>
        <v>K/24/180925/1</v>
      </c>
      <c r="C7577" s="42" t="str">
        <f>IFERROR(__xludf.DUMMYFUNCTION("""COMPUTED_VALUE"""),"B 185/ RAJABASA PEMUKA")</f>
        <v>B 185/ RAJABASA PEMUKA</v>
      </c>
      <c r="D7577" s="42"/>
      <c r="E7577" s="42"/>
      <c r="F7577" s="48" t="str">
        <f>IFERROR(__xludf.DUMMYFUNCTION("""COMPUTED_VALUE"""),"")</f>
        <v/>
      </c>
      <c r="G7577" s="42" t="str">
        <f>IFERROR(__xludf.DUMMYFUNCTION("""COMPUTED_VALUE"""),"PENINGKATAN HAK")</f>
        <v>PENINGKATAN HAK</v>
      </c>
      <c r="H7577" s="42">
        <f t="shared" si="1"/>
        <v>3169</v>
      </c>
    </row>
    <row r="7578" ht="22.5" customHeight="1">
      <c r="B7578" s="42" t="str">
        <f>IFERROR(__xludf.DUMMYFUNCTION("""COMPUTED_VALUE"""),"K/30/180925/1")</f>
        <v>K/30/180925/1</v>
      </c>
      <c r="C7578" s="42" t="str">
        <f>IFERROR(__xludf.DUMMYFUNCTION("""COMPUTED_VALUE"""),"M 1599/ TELUK BETUNG")</f>
        <v>M 1599/ TELUK BETUNG</v>
      </c>
      <c r="D7578" s="42" t="str">
        <f>IFERROR(__xludf.DUMMYFUNCTION("""COMPUTED_VALUE"""),"David")</f>
        <v>David</v>
      </c>
      <c r="E7578" s="42" t="str">
        <f>IFERROR(__xludf.DUMMYFUNCTION("""COMPUTED_VALUE"""),"DISERAHKAN")</f>
        <v>DISERAHKAN</v>
      </c>
      <c r="F7578" s="48">
        <f>IFERROR(__xludf.DUMMYFUNCTION("""COMPUTED_VALUE"""),45930.60179233796)</f>
        <v>45930.60179</v>
      </c>
      <c r="G7578" s="42" t="str">
        <f>IFERROR(__xludf.DUMMYFUNCTION("""COMPUTED_VALUE"""),"BN WARIS")</f>
        <v>BN WARIS</v>
      </c>
      <c r="H7578" s="42">
        <f t="shared" si="1"/>
        <v>3170</v>
      </c>
    </row>
    <row r="7579" ht="22.5" customHeight="1">
      <c r="B7579" s="42" t="str">
        <f>IFERROR(__xludf.DUMMYFUNCTION("""COMPUTED_VALUE"""),"K/31/180925/2")</f>
        <v>K/31/180925/2</v>
      </c>
      <c r="C7579" s="42" t="str">
        <f>IFERROR(__xludf.DUMMYFUNCTION("""COMPUTED_VALUE"""),"NIBEL M 23660/ WAY HALIM PERMAI")</f>
        <v>NIBEL M 23660/ WAY HALIM PERMAI</v>
      </c>
      <c r="D7579" s="42" t="str">
        <f>IFERROR(__xludf.DUMMYFUNCTION("""COMPUTED_VALUE"""),"David")</f>
        <v>David</v>
      </c>
      <c r="E7579" s="42" t="str">
        <f>IFERROR(__xludf.DUMMYFUNCTION("""COMPUTED_VALUE"""),"DISERAHKAN")</f>
        <v>DISERAHKAN</v>
      </c>
      <c r="F7579" s="48">
        <f>IFERROR(__xludf.DUMMYFUNCTION("""COMPUTED_VALUE"""),45950.60392141204)</f>
        <v>45950.60392</v>
      </c>
      <c r="G7579" s="42" t="str">
        <f>IFERROR(__xludf.DUMMYFUNCTION("""COMPUTED_VALUE"""),"BN JUAL BELI")</f>
        <v>BN JUAL BELI</v>
      </c>
      <c r="H7579" s="42">
        <f t="shared" si="1"/>
        <v>3171</v>
      </c>
    </row>
    <row r="7580" ht="22.5" customHeight="1">
      <c r="B7580" s="42" t="str">
        <f>IFERROR(__xludf.DUMMYFUNCTION("""COMPUTED_VALUE"""),"K/25/180925/1")</f>
        <v>K/25/180925/1</v>
      </c>
      <c r="C7580" s="42" t="str">
        <f>IFERROR(__xludf.DUMMYFUNCTION("""COMPUTED_VALUE"""),"B. 751/SUMUR PUTRI ")</f>
        <v>B. 751/SUMUR PUTRI </v>
      </c>
      <c r="D7580" s="42"/>
      <c r="E7580" s="42"/>
      <c r="F7580" s="48" t="str">
        <f>IFERROR(__xludf.DUMMYFUNCTION("""COMPUTED_VALUE"""),"")</f>
        <v/>
      </c>
      <c r="G7580" s="42" t="str">
        <f>IFERROR(__xludf.DUMMYFUNCTION("""COMPUTED_VALUE"""),"BN JUAL BELI EL")</f>
        <v>BN JUAL BELI EL</v>
      </c>
      <c r="H7580" s="42">
        <f t="shared" si="1"/>
        <v>3171</v>
      </c>
    </row>
    <row r="7581" ht="22.5" customHeight="1">
      <c r="B7581" s="42" t="str">
        <f>IFERROR(__xludf.DUMMYFUNCTION("""COMPUTED_VALUE"""),"K/32/180925/1")</f>
        <v>K/32/180925/1</v>
      </c>
      <c r="C7581" s="42" t="str">
        <f>IFERROR(__xludf.DUMMYFUNCTION("""COMPUTED_VALUE"""),"M. 2401 / SUKAMAJU")</f>
        <v>M. 2401 / SUKAMAJU</v>
      </c>
      <c r="D7581" s="42" t="str">
        <f>IFERROR(__xludf.DUMMYFUNCTION("""COMPUTED_VALUE"""),"Berry")</f>
        <v>Berry</v>
      </c>
      <c r="E7581" s="42" t="str">
        <f>IFERROR(__xludf.DUMMYFUNCTION("""COMPUTED_VALUE"""),"DISERAHKAN")</f>
        <v>DISERAHKAN</v>
      </c>
      <c r="F7581" s="48">
        <f>IFERROR(__xludf.DUMMYFUNCTION("""COMPUTED_VALUE"""),45972.62757358796)</f>
        <v>45972.62757</v>
      </c>
      <c r="G7581" s="42" t="str">
        <f>IFERROR(__xludf.DUMMYFUNCTION("""COMPUTED_VALUE"""),"BN JUAL BELI EL")</f>
        <v>BN JUAL BELI EL</v>
      </c>
      <c r="H7581" s="42">
        <f t="shared" si="1"/>
        <v>3172</v>
      </c>
    </row>
    <row r="7582" ht="22.5" customHeight="1">
      <c r="B7582" s="42" t="str">
        <f>IFERROR(__xludf.DUMMYFUNCTION("""COMPUTED_VALUE"""),"K/34/180925/1")</f>
        <v>K/34/180925/1</v>
      </c>
      <c r="C7582" s="42" t="str">
        <f>IFERROR(__xludf.DUMMYFUNCTION("""COMPUTED_VALUE"""),"M 1948/ KEDAUNG")</f>
        <v>M 1948/ KEDAUNG</v>
      </c>
      <c r="D7582" s="42"/>
      <c r="E7582" s="42"/>
      <c r="F7582" s="48" t="str">
        <f>IFERROR(__xludf.DUMMYFUNCTION("""COMPUTED_VALUE"""),"")</f>
        <v/>
      </c>
      <c r="G7582" s="42" t="str">
        <f>IFERROR(__xludf.DUMMYFUNCTION("""COMPUTED_VALUE"""),"HAPUS BPHTB")</f>
        <v>HAPUS BPHTB</v>
      </c>
      <c r="H7582" s="42">
        <f t="shared" si="1"/>
        <v>3172</v>
      </c>
    </row>
    <row r="7583" ht="22.5" customHeight="1">
      <c r="B7583" s="42" t="str">
        <f>IFERROR(__xludf.DUMMYFUNCTION("""COMPUTED_VALUE"""),"K/35/180925/1")</f>
        <v>K/35/180925/1</v>
      </c>
      <c r="C7583" s="42" t="str">
        <f>IFERROR(__xludf.DUMMYFUNCTION("""COMPUTED_VALUE"""),"NIBEL M 16747/ LABUHAN RATU RAYA")</f>
        <v>NIBEL M 16747/ LABUHAN RATU RAYA</v>
      </c>
      <c r="D7583" s="42"/>
      <c r="E7583" s="42"/>
      <c r="F7583" s="48" t="str">
        <f>IFERROR(__xludf.DUMMYFUNCTION("""COMPUTED_VALUE"""),"")</f>
        <v/>
      </c>
      <c r="G7583" s="42" t="str">
        <f>IFERROR(__xludf.DUMMYFUNCTION("""COMPUTED_VALUE"""),"BN JUAL BELI")</f>
        <v>BN JUAL BELI</v>
      </c>
      <c r="H7583" s="42">
        <f t="shared" si="1"/>
        <v>3172</v>
      </c>
    </row>
    <row r="7584" ht="22.5" customHeight="1">
      <c r="B7584" s="42" t="str">
        <f>IFERROR(__xludf.DUMMYFUNCTION("""COMPUTED_VALUE"""),"K/36/180925/2")</f>
        <v>K/36/180925/2</v>
      </c>
      <c r="C7584" s="42" t="str">
        <f>IFERROR(__xludf.DUMMYFUNCTION("""COMPUTED_VALUE"""),"NIBEL M 9126/ LABUHAN RATU RAYA")</f>
        <v>NIBEL M 9126/ LABUHAN RATU RAYA</v>
      </c>
      <c r="D7584" s="42"/>
      <c r="E7584" s="42"/>
      <c r="F7584" s="48" t="str">
        <f>IFERROR(__xludf.DUMMYFUNCTION("""COMPUTED_VALUE"""),"")</f>
        <v/>
      </c>
      <c r="G7584" s="42" t="str">
        <f>IFERROR(__xludf.DUMMYFUNCTION("""COMPUTED_VALUE"""),"BN JUAL BELI")</f>
        <v>BN JUAL BELI</v>
      </c>
      <c r="H7584" s="42">
        <f t="shared" si="1"/>
        <v>3172</v>
      </c>
    </row>
    <row r="7585" ht="22.5" customHeight="1">
      <c r="B7585" s="42" t="str">
        <f>IFERROR(__xludf.DUMMYFUNCTION("""COMPUTED_VALUE"""),"K/29/180925/4")</f>
        <v>K/29/180925/4</v>
      </c>
      <c r="C7585" s="42" t="str">
        <f>IFERROR(__xludf.DUMMYFUNCTION("""COMPUTED_VALUE"""),"NIBEL B 23346/ SUKABUMI INDAH")</f>
        <v>NIBEL B 23346/ SUKABUMI INDAH</v>
      </c>
      <c r="D7585" s="42"/>
      <c r="E7585" s="42"/>
      <c r="F7585" s="48" t="str">
        <f>IFERROR(__xludf.DUMMYFUNCTION("""COMPUTED_VALUE"""),"")</f>
        <v/>
      </c>
      <c r="G7585" s="42" t="str">
        <f>IFERROR(__xludf.DUMMYFUNCTION("""COMPUTED_VALUE"""),"PENINGKATAN HAK")</f>
        <v>PENINGKATAN HAK</v>
      </c>
      <c r="H7585" s="42">
        <f t="shared" si="1"/>
        <v>3172</v>
      </c>
    </row>
    <row r="7586" ht="22.5" customHeight="1">
      <c r="B7586" s="42" t="str">
        <f>IFERROR(__xludf.DUMMYFUNCTION("""COMPUTED_VALUE"""),"K/28/180925/3")</f>
        <v>K/28/180925/3</v>
      </c>
      <c r="C7586" s="42" t="str">
        <f>IFERROR(__xludf.DUMMYFUNCTION("""COMPUTED_VALUE"""),"NIBEL M 20206/ SUMUR BATU")</f>
        <v>NIBEL M 20206/ SUMUR BATU</v>
      </c>
      <c r="D7586" s="42"/>
      <c r="E7586" s="42"/>
      <c r="F7586" s="48" t="str">
        <f>IFERROR(__xludf.DUMMYFUNCTION("""COMPUTED_VALUE"""),"")</f>
        <v/>
      </c>
      <c r="G7586" s="42" t="str">
        <f>IFERROR(__xludf.DUMMYFUNCTION("""COMPUTED_VALUE"""),"BN JUAL BELI")</f>
        <v>BN JUAL BELI</v>
      </c>
      <c r="H7586" s="42">
        <f t="shared" si="1"/>
        <v>3172</v>
      </c>
    </row>
    <row r="7587" ht="22.5" customHeight="1">
      <c r="B7587" s="42" t="str">
        <f>IFERROR(__xludf.DUMMYFUNCTION("""COMPUTED_VALUE"""),"K/27/180925/2")</f>
        <v>K/27/180925/2</v>
      </c>
      <c r="C7587" s="42" t="str">
        <f>IFERROR(__xludf.DUMMYFUNCTION("""COMPUTED_VALUE"""),"M 1934/ WAYHALIM PERMAI")</f>
        <v>M 1934/ WAYHALIM PERMAI</v>
      </c>
      <c r="D7587" s="42"/>
      <c r="E7587" s="42"/>
      <c r="F7587" s="48" t="str">
        <f>IFERROR(__xludf.DUMMYFUNCTION("""COMPUTED_VALUE"""),"")</f>
        <v/>
      </c>
      <c r="G7587" s="42" t="str">
        <f>IFERROR(__xludf.DUMMYFUNCTION("""COMPUTED_VALUE"""),"BUKA BLOKIR")</f>
        <v>BUKA BLOKIR</v>
      </c>
      <c r="H7587" s="42">
        <f t="shared" si="1"/>
        <v>3172</v>
      </c>
    </row>
    <row r="7588" ht="22.5" customHeight="1">
      <c r="B7588" s="42" t="str">
        <f>IFERROR(__xludf.DUMMYFUNCTION("""COMPUTED_VALUE"""),"K/26/180925/1")</f>
        <v>K/26/180925/1</v>
      </c>
      <c r="C7588" s="42" t="str">
        <f>IFERROR(__xludf.DUMMYFUNCTION("""COMPUTED_VALUE"""),"M 2853/ SUKARAME BARU")</f>
        <v>M 2853/ SUKARAME BARU</v>
      </c>
      <c r="D7588" s="42"/>
      <c r="E7588" s="42"/>
      <c r="F7588" s="48" t="str">
        <f>IFERROR(__xludf.DUMMYFUNCTION("""COMPUTED_VALUE"""),"")</f>
        <v/>
      </c>
      <c r="G7588" s="42" t="str">
        <f>IFERROR(__xludf.DUMMYFUNCTION("""COMPUTED_VALUE"""),"BN JUAL BELI")</f>
        <v>BN JUAL BELI</v>
      </c>
      <c r="H7588" s="42">
        <f t="shared" si="1"/>
        <v>3172</v>
      </c>
    </row>
    <row r="7589" ht="22.5" customHeight="1">
      <c r="B7589" s="42" t="str">
        <f>IFERROR(__xludf.DUMMYFUNCTION("""COMPUTED_VALUE"""),"K/33/180925/1")</f>
        <v>K/33/180925/1</v>
      </c>
      <c r="C7589" s="42" t="str">
        <f>IFERROR(__xludf.DUMMYFUNCTION("""COMPUTED_VALUE"""),"M. 14562/SUKARAME")</f>
        <v>M. 14562/SUKARAME</v>
      </c>
      <c r="D7589" s="42" t="str">
        <f>IFERROR(__xludf.DUMMYFUNCTION("""COMPUTED_VALUE"""),"Berry")</f>
        <v>Berry</v>
      </c>
      <c r="E7589" s="42" t="str">
        <f>IFERROR(__xludf.DUMMYFUNCTION("""COMPUTED_VALUE"""),"DISERAHKAN")</f>
        <v>DISERAHKAN</v>
      </c>
      <c r="F7589" s="48">
        <f>IFERROR(__xludf.DUMMYFUNCTION("""COMPUTED_VALUE"""),45972.628786932866)</f>
        <v>45972.62879</v>
      </c>
      <c r="G7589" s="42" t="str">
        <f>IFERROR(__xludf.DUMMYFUNCTION("""COMPUTED_VALUE"""),"ROYA")</f>
        <v>ROYA</v>
      </c>
      <c r="H7589" s="42">
        <f t="shared" si="1"/>
        <v>3173</v>
      </c>
    </row>
    <row r="7590" ht="22.5" customHeight="1">
      <c r="B7590" s="42" t="str">
        <f>IFERROR(__xludf.DUMMYFUNCTION("""COMPUTED_VALUE"""),"K/2/190925/1")</f>
        <v>K/2/190925/1</v>
      </c>
      <c r="C7590" s="42" t="str">
        <f>IFERROR(__xludf.DUMMYFUNCTION("""COMPUTED_VALUE"""),"M 5531/ WAY KANDIS")</f>
        <v>M 5531/ WAY KANDIS</v>
      </c>
      <c r="D7590" s="42" t="str">
        <f>IFERROR(__xludf.DUMMYFUNCTION("""COMPUTED_VALUE"""),"Berry")</f>
        <v>Berry</v>
      </c>
      <c r="E7590" s="42" t="str">
        <f>IFERROR(__xludf.DUMMYFUNCTION("""COMPUTED_VALUE"""),"DISERAHKAN")</f>
        <v>DISERAHKAN</v>
      </c>
      <c r="F7590" s="48">
        <f>IFERROR(__xludf.DUMMYFUNCTION("""COMPUTED_VALUE"""),45979.645525370375)</f>
        <v>45979.64553</v>
      </c>
      <c r="G7590" s="42" t="str">
        <f>IFERROR(__xludf.DUMMYFUNCTION("""COMPUTED_VALUE"""),"BN JUAL BELI")</f>
        <v>BN JUAL BELI</v>
      </c>
      <c r="H7590" s="42">
        <f t="shared" si="1"/>
        <v>3174</v>
      </c>
    </row>
    <row r="7591" ht="22.5" customHeight="1">
      <c r="B7591" s="42" t="str">
        <f>IFERROR(__xludf.DUMMYFUNCTION("""COMPUTED_VALUE"""),"L/1/190925/1")</f>
        <v>L/1/190925/1</v>
      </c>
      <c r="C7591" s="42" t="str">
        <f>IFERROR(__xludf.DUMMYFUNCTION("""COMPUTED_VALUE"""),"M.2422/GUNUNG TERANG")</f>
        <v>M.2422/GUNUNG TERANG</v>
      </c>
      <c r="D7591" s="42"/>
      <c r="E7591" s="42"/>
      <c r="F7591" s="48" t="str">
        <f>IFERROR(__xludf.DUMMYFUNCTION("""COMPUTED_VALUE"""),"")</f>
        <v/>
      </c>
      <c r="G7591" s="42" t="str">
        <f>IFERROR(__xludf.DUMMYFUNCTION("""COMPUTED_VALUE"""),"ROYA")</f>
        <v>ROYA</v>
      </c>
      <c r="H7591" s="42">
        <f t="shared" si="1"/>
        <v>3174</v>
      </c>
    </row>
    <row r="7592" ht="22.5" customHeight="1">
      <c r="B7592" s="42" t="str">
        <f>IFERROR(__xludf.DUMMYFUNCTION("""COMPUTED_VALUE"""),"K/3/190925/2")</f>
        <v>K/3/190925/2</v>
      </c>
      <c r="C7592" s="42" t="str">
        <f>IFERROR(__xludf.DUMMYFUNCTION("""COMPUTED_VALUE"""),"M 1291/ BUMI KEDAMAIAN")</f>
        <v>M 1291/ BUMI KEDAMAIAN</v>
      </c>
      <c r="D7592" s="42" t="str">
        <f>IFERROR(__xludf.DUMMYFUNCTION("""COMPUTED_VALUE"""),"David")</f>
        <v>David</v>
      </c>
      <c r="E7592" s="42" t="str">
        <f>IFERROR(__xludf.DUMMYFUNCTION("""COMPUTED_VALUE"""),"DISERAHKAN")</f>
        <v>DISERAHKAN</v>
      </c>
      <c r="F7592" s="48">
        <f>IFERROR(__xludf.DUMMYFUNCTION("""COMPUTED_VALUE"""),45957.61981686343)</f>
        <v>45957.61982</v>
      </c>
      <c r="G7592" s="42" t="str">
        <f>IFERROR(__xludf.DUMMYFUNCTION("""COMPUTED_VALUE"""),"BN JUAL BELI")</f>
        <v>BN JUAL BELI</v>
      </c>
      <c r="H7592" s="42">
        <f t="shared" si="1"/>
        <v>3175</v>
      </c>
    </row>
    <row r="7593" ht="22.5" customHeight="1">
      <c r="B7593" s="42" t="str">
        <f>IFERROR(__xludf.DUMMYFUNCTION("""COMPUTED_VALUE"""),"K/4/190925/3")</f>
        <v>K/4/190925/3</v>
      </c>
      <c r="C7593" s="42" t="str">
        <f>IFERROR(__xludf.DUMMYFUNCTION("""COMPUTED_VALUE"""),"M 1738/ LABUHAN RATU RAYA")</f>
        <v>M 1738/ LABUHAN RATU RAYA</v>
      </c>
      <c r="D7593" s="42"/>
      <c r="E7593" s="42"/>
      <c r="F7593" s="48" t="str">
        <f>IFERROR(__xludf.DUMMYFUNCTION("""COMPUTED_VALUE"""),"")</f>
        <v/>
      </c>
      <c r="G7593" s="42" t="str">
        <f>IFERROR(__xludf.DUMMYFUNCTION("""COMPUTED_VALUE"""),"BN JUAL BELI")</f>
        <v>BN JUAL BELI</v>
      </c>
      <c r="H7593" s="42">
        <f t="shared" si="1"/>
        <v>3175</v>
      </c>
    </row>
    <row r="7594" ht="22.5" customHeight="1">
      <c r="B7594" s="42" t="str">
        <f>IFERROR(__xludf.DUMMYFUNCTION("""COMPUTED_VALUE"""),"K/5/190925/4")</f>
        <v>K/5/190925/4</v>
      </c>
      <c r="C7594" s="42" t="str">
        <f>IFERROR(__xludf.DUMMYFUNCTION("""COMPUTED_VALUE"""),"M 345/ TALANG")</f>
        <v>M 345/ TALANG</v>
      </c>
      <c r="D7594" s="42"/>
      <c r="E7594" s="42"/>
      <c r="F7594" s="48" t="str">
        <f>IFERROR(__xludf.DUMMYFUNCTION("""COMPUTED_VALUE"""),"")</f>
        <v/>
      </c>
      <c r="G7594" s="42" t="str">
        <f>IFERROR(__xludf.DUMMYFUNCTION("""COMPUTED_VALUE"""),"BN JUAL BELI")</f>
        <v>BN JUAL BELI</v>
      </c>
      <c r="H7594" s="42">
        <f t="shared" si="1"/>
        <v>3175</v>
      </c>
    </row>
    <row r="7595" ht="22.5" customHeight="1">
      <c r="B7595" s="42" t="str">
        <f>IFERROR(__xludf.DUMMYFUNCTION("""COMPUTED_VALUE"""),"K/6/190925/1")</f>
        <v>K/6/190925/1</v>
      </c>
      <c r="C7595" s="42" t="str">
        <f>IFERROR(__xludf.DUMMYFUNCTION("""COMPUTED_VALUE"""),"M 1572/ SRENGSEM")</f>
        <v>M 1572/ SRENGSEM</v>
      </c>
      <c r="D7595" s="42" t="str">
        <f>IFERROR(__xludf.DUMMYFUNCTION("""COMPUTED_VALUE"""),"Berry")</f>
        <v>Berry</v>
      </c>
      <c r="E7595" s="42" t="str">
        <f>IFERROR(__xludf.DUMMYFUNCTION("""COMPUTED_VALUE"""),"DISERAHKAN")</f>
        <v>DISERAHKAN</v>
      </c>
      <c r="F7595" s="48">
        <f>IFERROR(__xludf.DUMMYFUNCTION("""COMPUTED_VALUE"""),45975.4992838426)</f>
        <v>45975.49928</v>
      </c>
      <c r="G7595" s="42" t="str">
        <f>IFERROR(__xludf.DUMMYFUNCTION("""COMPUTED_VALUE"""),"BN JUAL BELI")</f>
        <v>BN JUAL BELI</v>
      </c>
      <c r="H7595" s="42">
        <f t="shared" si="1"/>
        <v>3176</v>
      </c>
    </row>
    <row r="7596" ht="22.5" customHeight="1">
      <c r="B7596" s="42" t="str">
        <f>IFERROR(__xludf.DUMMYFUNCTION("""COMPUTED_VALUE"""),"K/7/190925/1")</f>
        <v>K/7/190925/1</v>
      </c>
      <c r="C7596" s="42" t="str">
        <f>IFERROR(__xludf.DUMMYFUNCTION("""COMPUTED_VALUE"""),"M. 11687/KEDAMAIAN")</f>
        <v>M. 11687/KEDAMAIAN</v>
      </c>
      <c r="D7596" s="42"/>
      <c r="E7596" s="42"/>
      <c r="F7596" s="48" t="str">
        <f>IFERROR(__xludf.DUMMYFUNCTION("""COMPUTED_VALUE"""),"")</f>
        <v/>
      </c>
      <c r="G7596" s="42" t="str">
        <f>IFERROR(__xludf.DUMMYFUNCTION("""COMPUTED_VALUE"""),"BN WARIS")</f>
        <v>BN WARIS</v>
      </c>
      <c r="H7596" s="42">
        <f t="shared" si="1"/>
        <v>3176</v>
      </c>
    </row>
    <row r="7597" ht="22.5" customHeight="1">
      <c r="B7597" s="42" t="str">
        <f>IFERROR(__xludf.DUMMYFUNCTION("""COMPUTED_VALUE"""),"L/8/190925/1")</f>
        <v>L/8/190925/1</v>
      </c>
      <c r="C7597" s="42" t="str">
        <f>IFERROR(__xludf.DUMMYFUNCTION("""COMPUTED_VALUE"""),"M.1838/LANGKAPURA")</f>
        <v>M.1838/LANGKAPURA</v>
      </c>
      <c r="D7597" s="42" t="str">
        <f>IFERROR(__xludf.DUMMYFUNCTION("""COMPUTED_VALUE"""),"David")</f>
        <v>David</v>
      </c>
      <c r="E7597" s="42" t="str">
        <f>IFERROR(__xludf.DUMMYFUNCTION("""COMPUTED_VALUE"""),"DISERAHKAN")</f>
        <v>DISERAHKAN</v>
      </c>
      <c r="F7597" s="48">
        <f>IFERROR(__xludf.DUMMYFUNCTION("""COMPUTED_VALUE"""),45950.602116793976)</f>
        <v>45950.60212</v>
      </c>
      <c r="G7597" s="42" t="str">
        <f>IFERROR(__xludf.DUMMYFUNCTION("""COMPUTED_VALUE"""),"ROYA")</f>
        <v>ROYA</v>
      </c>
      <c r="H7597" s="42">
        <f t="shared" si="1"/>
        <v>3177</v>
      </c>
    </row>
    <row r="7598" ht="22.5" customHeight="1">
      <c r="B7598" s="42" t="str">
        <f>IFERROR(__xludf.DUMMYFUNCTION("""COMPUTED_VALUE"""),"L/12/190925/1")</f>
        <v>L/12/190925/1</v>
      </c>
      <c r="C7598" s="42" t="str">
        <f>IFERROR(__xludf.DUMMYFUNCTION("""COMPUTED_VALUE"""),"HGB.3177/SUKABUMI")</f>
        <v>HGB.3177/SUKABUMI</v>
      </c>
      <c r="D7598" s="42"/>
      <c r="E7598" s="42"/>
      <c r="F7598" s="48" t="str">
        <f>IFERROR(__xludf.DUMMYFUNCTION("""COMPUTED_VALUE"""),"")</f>
        <v/>
      </c>
      <c r="G7598" s="42" t="str">
        <f>IFERROR(__xludf.DUMMYFUNCTION("""COMPUTED_VALUE"""),"PTPGT")</f>
        <v>PTPGT</v>
      </c>
      <c r="H7598" s="42">
        <f t="shared" si="1"/>
        <v>3177</v>
      </c>
    </row>
    <row r="7599" ht="22.5" customHeight="1">
      <c r="B7599" s="42" t="str">
        <f>IFERROR(__xludf.DUMMYFUNCTION("""COMPUTED_VALUE"""),"L/13/190925/1")</f>
        <v>L/13/190925/1</v>
      </c>
      <c r="C7599" s="42" t="str">
        <f>IFERROR(__xludf.DUMMYFUNCTION("""COMPUTED_VALUE"""),"HGB.732/KETEGUHAN DAN HGB.733/KETEGUHAN")</f>
        <v>HGB.732/KETEGUHAN DAN HGB.733/KETEGUHAN</v>
      </c>
      <c r="D7599" s="42"/>
      <c r="E7599" s="42"/>
      <c r="F7599" s="48" t="str">
        <f>IFERROR(__xludf.DUMMYFUNCTION("""COMPUTED_VALUE"""),"")</f>
        <v/>
      </c>
      <c r="G7599" s="42" t="str">
        <f>IFERROR(__xludf.DUMMYFUNCTION("""COMPUTED_VALUE"""),"ROYA")</f>
        <v>ROYA</v>
      </c>
      <c r="H7599" s="42">
        <f t="shared" si="1"/>
        <v>3177</v>
      </c>
    </row>
    <row r="7600" ht="22.5" customHeight="1">
      <c r="B7600" s="42" t="str">
        <f>IFERROR(__xludf.DUMMYFUNCTION("""COMPUTED_VALUE"""),"K/14/190925/1")</f>
        <v>K/14/190925/1</v>
      </c>
      <c r="C7600" s="42" t="str">
        <f>IFERROR(__xludf.DUMMYFUNCTION("""COMPUTED_VALUE"""),"NIBEL M. 30791/PINANG JAYA")</f>
        <v>NIBEL M. 30791/PINANG JAYA</v>
      </c>
      <c r="D7600" s="42"/>
      <c r="E7600" s="42"/>
      <c r="F7600" s="48" t="str">
        <f>IFERROR(__xludf.DUMMYFUNCTION("""COMPUTED_VALUE"""),"")</f>
        <v/>
      </c>
      <c r="G7600" s="42" t="str">
        <f>IFERROR(__xludf.DUMMYFUNCTION("""COMPUTED_VALUE"""),"BN JUAL BELI EL")</f>
        <v>BN JUAL BELI EL</v>
      </c>
      <c r="H7600" s="42">
        <f t="shared" si="1"/>
        <v>3177</v>
      </c>
    </row>
    <row r="7601" ht="22.5" customHeight="1">
      <c r="B7601" s="42" t="str">
        <f>IFERROR(__xludf.DUMMYFUNCTION("""COMPUTED_VALUE"""),"K/16/190925/1")</f>
        <v>K/16/190925/1</v>
      </c>
      <c r="C7601" s="42" t="str">
        <f>IFERROR(__xludf.DUMMYFUNCTION("""COMPUTED_VALUE"""),"M. 5209/WAY KANDIS")</f>
        <v>M. 5209/WAY KANDIS</v>
      </c>
      <c r="D7601" s="42"/>
      <c r="E7601" s="42"/>
      <c r="F7601" s="48" t="str">
        <f>IFERROR(__xludf.DUMMYFUNCTION("""COMPUTED_VALUE"""),"")</f>
        <v/>
      </c>
      <c r="G7601" s="42" t="str">
        <f>IFERROR(__xludf.DUMMYFUNCTION("""COMPUTED_VALUE"""),"BN JUAL BELI EL")</f>
        <v>BN JUAL BELI EL</v>
      </c>
      <c r="H7601" s="42">
        <f t="shared" si="1"/>
        <v>3177</v>
      </c>
    </row>
    <row r="7602" ht="22.5" customHeight="1">
      <c r="B7602" s="42" t="str">
        <f>IFERROR(__xludf.DUMMYFUNCTION("""COMPUTED_VALUE"""),"K/19/190925/1")</f>
        <v>K/19/190925/1</v>
      </c>
      <c r="C7602" s="42" t="str">
        <f>IFERROR(__xludf.DUMMYFUNCTION("""COMPUTED_VALUE"""),"M 912/ WAY HALIM PERMAI")</f>
        <v>M 912/ WAY HALIM PERMAI</v>
      </c>
      <c r="D7602" s="42"/>
      <c r="E7602" s="42"/>
      <c r="F7602" s="48" t="str">
        <f>IFERROR(__xludf.DUMMYFUNCTION("""COMPUTED_VALUE"""),"")</f>
        <v/>
      </c>
      <c r="G7602" s="42" t="str">
        <f>IFERROR(__xludf.DUMMYFUNCTION("""COMPUTED_VALUE"""),"BN JUAL BELI")</f>
        <v>BN JUAL BELI</v>
      </c>
      <c r="H7602" s="42">
        <f t="shared" si="1"/>
        <v>3177</v>
      </c>
    </row>
    <row r="7603" ht="22.5" customHeight="1">
      <c r="B7603" s="42" t="str">
        <f>IFERROR(__xludf.DUMMYFUNCTION("""COMPUTED_VALUE"""),"K/17/190925/2")</f>
        <v>K/17/190925/2</v>
      </c>
      <c r="C7603" s="42" t="str">
        <f>IFERROR(__xludf.DUMMYFUNCTION("""COMPUTED_VALUE"""),"M. 307/RAJABASA RAYA")</f>
        <v>M. 307/RAJABASA RAYA</v>
      </c>
      <c r="D7603" s="42"/>
      <c r="E7603" s="42"/>
      <c r="F7603" s="48" t="str">
        <f>IFERROR(__xludf.DUMMYFUNCTION("""COMPUTED_VALUE"""),"")</f>
        <v/>
      </c>
      <c r="G7603" s="42" t="str">
        <f>IFERROR(__xludf.DUMMYFUNCTION("""COMPUTED_VALUE"""),"BN JUAL BELI EL")</f>
        <v>BN JUAL BELI EL</v>
      </c>
      <c r="H7603" s="42">
        <f t="shared" si="1"/>
        <v>3177</v>
      </c>
    </row>
    <row r="7604" ht="22.5" customHeight="1">
      <c r="B7604" s="42" t="str">
        <f>IFERROR(__xludf.DUMMYFUNCTION("""COMPUTED_VALUE"""),"K/20/190925/1")</f>
        <v>K/20/190925/1</v>
      </c>
      <c r="C7604" s="42" t="str">
        <f>IFERROR(__xludf.DUMMYFUNCTION("""COMPUTED_VALUE"""),"M 4018/ GUNUNG TERANG")</f>
        <v>M 4018/ GUNUNG TERANG</v>
      </c>
      <c r="D7604" s="42" t="str">
        <f>IFERROR(__xludf.DUMMYFUNCTION("""COMPUTED_VALUE"""),"David")</f>
        <v>David</v>
      </c>
      <c r="E7604" s="42" t="str">
        <f>IFERROR(__xludf.DUMMYFUNCTION("""COMPUTED_VALUE"""),"DISERAHKAN")</f>
        <v>DISERAHKAN</v>
      </c>
      <c r="F7604" s="48">
        <f>IFERROR(__xludf.DUMMYFUNCTION("""COMPUTED_VALUE"""),45993.460075497685)</f>
        <v>45993.46008</v>
      </c>
      <c r="G7604" s="42" t="str">
        <f>IFERROR(__xludf.DUMMYFUNCTION("""COMPUTED_VALUE"""),"HAPUS BPHTB")</f>
        <v>HAPUS BPHTB</v>
      </c>
      <c r="H7604" s="42">
        <f t="shared" si="1"/>
        <v>3178</v>
      </c>
    </row>
    <row r="7605" ht="22.5" customHeight="1">
      <c r="B7605" s="42" t="str">
        <f>IFERROR(__xludf.DUMMYFUNCTION("""COMPUTED_VALUE"""),"K/21/190925/1")</f>
        <v>K/21/190925/1</v>
      </c>
      <c r="C7605" s="42" t="str">
        <f>IFERROR(__xludf.DUMMYFUNCTION("""COMPUTED_VALUE"""),"M. 1378/PANJANG SELATAN")</f>
        <v>M. 1378/PANJANG SELATAN</v>
      </c>
      <c r="D7605" s="42"/>
      <c r="E7605" s="42"/>
      <c r="F7605" s="48" t="str">
        <f>IFERROR(__xludf.DUMMYFUNCTION("""COMPUTED_VALUE"""),"")</f>
        <v/>
      </c>
      <c r="G7605" s="42" t="str">
        <f>IFERROR(__xludf.DUMMYFUNCTION("""COMPUTED_VALUE"""),"BN JUAL BELI EL ")</f>
        <v>BN JUAL BELI EL </v>
      </c>
      <c r="H7605" s="42">
        <f t="shared" si="1"/>
        <v>3178</v>
      </c>
    </row>
    <row r="7606" ht="22.5" customHeight="1">
      <c r="B7606" s="42" t="str">
        <f>IFERROR(__xludf.DUMMYFUNCTION("""COMPUTED_VALUE"""),"K/22/190925/2")</f>
        <v>K/22/190925/2</v>
      </c>
      <c r="C7606" s="42" t="str">
        <f>IFERROR(__xludf.DUMMYFUNCTION("""COMPUTED_VALUE"""),"M. 16558/SUKABUMI")</f>
        <v>M. 16558/SUKABUMI</v>
      </c>
      <c r="D7606" s="42" t="str">
        <f>IFERROR(__xludf.DUMMYFUNCTION("""COMPUTED_VALUE"""),"Berry")</f>
        <v>Berry</v>
      </c>
      <c r="E7606" s="42" t="str">
        <f>IFERROR(__xludf.DUMMYFUNCTION("""COMPUTED_VALUE"""),"DISERAHKAN")</f>
        <v>DISERAHKAN</v>
      </c>
      <c r="F7606" s="48">
        <f>IFERROR(__xludf.DUMMYFUNCTION("""COMPUTED_VALUE"""),45979.65163112269)</f>
        <v>45979.65163</v>
      </c>
      <c r="G7606" s="42" t="str">
        <f>IFERROR(__xludf.DUMMYFUNCTION("""COMPUTED_VALUE"""),"BN JUAL BELI EL ")</f>
        <v>BN JUAL BELI EL </v>
      </c>
      <c r="H7606" s="42">
        <f t="shared" si="1"/>
        <v>3179</v>
      </c>
    </row>
    <row r="7607" ht="22.5" customHeight="1">
      <c r="B7607" s="42" t="str">
        <f>IFERROR(__xludf.DUMMYFUNCTION("""COMPUTED_VALUE"""),"K/24/190925/1")</f>
        <v>K/24/190925/1</v>
      </c>
      <c r="C7607" s="42" t="str">
        <f>IFERROR(__xludf.DUMMYFUNCTION("""COMPUTED_VALUE"""),"M. 1018/SUSUNAN BARU")</f>
        <v>M. 1018/SUSUNAN BARU</v>
      </c>
      <c r="D7607" s="42" t="str">
        <f>IFERROR(__xludf.DUMMYFUNCTION("""COMPUTED_VALUE"""),"David")</f>
        <v>David</v>
      </c>
      <c r="E7607" s="42" t="str">
        <f>IFERROR(__xludf.DUMMYFUNCTION("""COMPUTED_VALUE"""),"DISERAHKAN")</f>
        <v>DISERAHKAN</v>
      </c>
      <c r="F7607" s="48">
        <f>IFERROR(__xludf.DUMMYFUNCTION("""COMPUTED_VALUE"""),45993.588153460645)</f>
        <v>45993.58815</v>
      </c>
      <c r="G7607" s="42" t="str">
        <f>IFERROR(__xludf.DUMMYFUNCTION("""COMPUTED_VALUE"""),"ROYA")</f>
        <v>ROYA</v>
      </c>
      <c r="H7607" s="42">
        <f t="shared" si="1"/>
        <v>3180</v>
      </c>
    </row>
    <row r="7608" ht="22.5" customHeight="1">
      <c r="B7608" s="42" t="str">
        <f>IFERROR(__xludf.DUMMYFUNCTION("""COMPUTED_VALUE"""),"K/25/190925/2")</f>
        <v>K/25/190925/2</v>
      </c>
      <c r="C7608" s="42" t="str">
        <f>IFERROR(__xludf.DUMMYFUNCTION("""COMPUTED_VALUE"""),"NIBEL M. 21435/KORPRI RAYA")</f>
        <v>NIBEL M. 21435/KORPRI RAYA</v>
      </c>
      <c r="D7608" s="42"/>
      <c r="E7608" s="42"/>
      <c r="F7608" s="48" t="str">
        <f>IFERROR(__xludf.DUMMYFUNCTION("""COMPUTED_VALUE"""),"")</f>
        <v/>
      </c>
      <c r="G7608" s="42" t="str">
        <f>IFERROR(__xludf.DUMMYFUNCTION("""COMPUTED_VALUE"""),"BN APHB EL")</f>
        <v>BN APHB EL</v>
      </c>
      <c r="H7608" s="42">
        <f t="shared" si="1"/>
        <v>3180</v>
      </c>
    </row>
    <row r="7609" ht="22.5" customHeight="1">
      <c r="B7609" s="42" t="str">
        <f>IFERROR(__xludf.DUMMYFUNCTION("""COMPUTED_VALUE"""),"L/18/190925/1")</f>
        <v>L/18/190925/1</v>
      </c>
      <c r="C7609" s="42" t="str">
        <f>IFERROR(__xludf.DUMMYFUNCTION("""COMPUTED_VALUE"""),"M.13404/SEGALA MIDER")</f>
        <v>M.13404/SEGALA MIDER</v>
      </c>
      <c r="D7609" s="42"/>
      <c r="E7609" s="42"/>
      <c r="F7609" s="48" t="str">
        <f>IFERROR(__xludf.DUMMYFUNCTION("""COMPUTED_VALUE"""),"")</f>
        <v/>
      </c>
      <c r="G7609" s="42" t="str">
        <f>IFERROR(__xludf.DUMMYFUNCTION("""COMPUTED_VALUE"""),"ROYA")</f>
        <v>ROYA</v>
      </c>
      <c r="H7609" s="42">
        <f t="shared" si="1"/>
        <v>3180</v>
      </c>
    </row>
    <row r="7610" ht="22.5" customHeight="1">
      <c r="B7610" s="42" t="str">
        <f>IFERROR(__xludf.DUMMYFUNCTION("""COMPUTED_VALUE"""),"L/27/190925/1")</f>
        <v>L/27/190925/1</v>
      </c>
      <c r="C7610" s="42" t="str">
        <f>IFERROR(__xludf.DUMMYFUNCTION("""COMPUTED_VALUE"""),"B.1110/SUKABUMI INDAH")</f>
        <v>B.1110/SUKABUMI INDAH</v>
      </c>
      <c r="D7610" s="42" t="str">
        <f>IFERROR(__xludf.DUMMYFUNCTION("""COMPUTED_VALUE"""),"David")</f>
        <v>David</v>
      </c>
      <c r="E7610" s="42" t="str">
        <f>IFERROR(__xludf.DUMMYFUNCTION("""COMPUTED_VALUE"""),"DISERAHKAN")</f>
        <v>DISERAHKAN</v>
      </c>
      <c r="F7610" s="48">
        <f>IFERROR(__xludf.DUMMYFUNCTION("""COMPUTED_VALUE"""),45957.61693574074)</f>
        <v>45957.61694</v>
      </c>
      <c r="G7610" s="42" t="str">
        <f>IFERROR(__xludf.DUMMYFUNCTION("""COMPUTED_VALUE"""),"PENINGKATAN HAK")</f>
        <v>PENINGKATAN HAK</v>
      </c>
      <c r="H7610" s="42">
        <f t="shared" si="1"/>
        <v>3181</v>
      </c>
    </row>
    <row r="7611" ht="22.5" customHeight="1">
      <c r="B7611" s="42" t="str">
        <f>IFERROR(__xludf.DUMMYFUNCTION("""COMPUTED_VALUE"""),"L/28/190925/1")</f>
        <v>L/28/190925/1</v>
      </c>
      <c r="C7611" s="42" t="str">
        <f>IFERROR(__xludf.DUMMYFUNCTION("""COMPUTED_VALUE"""),"B.1111/SUKABUMI INDAH")</f>
        <v>B.1111/SUKABUMI INDAH</v>
      </c>
      <c r="D7611" s="42"/>
      <c r="E7611" s="42"/>
      <c r="F7611" s="48" t="str">
        <f>IFERROR(__xludf.DUMMYFUNCTION("""COMPUTED_VALUE"""),"")</f>
        <v/>
      </c>
      <c r="G7611" s="42" t="str">
        <f>IFERROR(__xludf.DUMMYFUNCTION("""COMPUTED_VALUE"""),"PENINGKATAN HAK")</f>
        <v>PENINGKATAN HAK</v>
      </c>
      <c r="H7611" s="42">
        <f t="shared" si="1"/>
        <v>3181</v>
      </c>
    </row>
    <row r="7612" ht="22.5" customHeight="1">
      <c r="B7612" s="42" t="str">
        <f>IFERROR(__xludf.DUMMYFUNCTION("""COMPUTED_VALUE"""),"K/29/190925/1")</f>
        <v>K/29/190925/1</v>
      </c>
      <c r="C7612" s="42" t="str">
        <f>IFERROR(__xludf.DUMMYFUNCTION("""COMPUTED_VALUE"""),"NIBEL B 18229/ SUKABUMI")</f>
        <v>NIBEL B 18229/ SUKABUMI</v>
      </c>
      <c r="D7612" s="42"/>
      <c r="E7612" s="42"/>
      <c r="F7612" s="48" t="str">
        <f>IFERROR(__xludf.DUMMYFUNCTION("""COMPUTED_VALUE"""),"")</f>
        <v/>
      </c>
      <c r="G7612" s="42" t="str">
        <f>IFERROR(__xludf.DUMMYFUNCTION("""COMPUTED_VALUE"""),"PENINGKATAN HAK")</f>
        <v>PENINGKATAN HAK</v>
      </c>
      <c r="H7612" s="42">
        <f t="shared" si="1"/>
        <v>3181</v>
      </c>
    </row>
    <row r="7613" ht="22.5" customHeight="1">
      <c r="B7613" s="42" t="str">
        <f>IFERROR(__xludf.DUMMYFUNCTION("""COMPUTED_VALUE"""),"K/26/190925/3")</f>
        <v>K/26/190925/3</v>
      </c>
      <c r="C7613" s="42" t="str">
        <f>IFERROR(__xludf.DUMMYFUNCTION("""COMPUTED_VALUE"""),"M. 1232/TALANG")</f>
        <v>M. 1232/TALANG</v>
      </c>
      <c r="D7613" s="42"/>
      <c r="E7613" s="42"/>
      <c r="F7613" s="48" t="str">
        <f>IFERROR(__xludf.DUMMYFUNCTION("""COMPUTED_VALUE"""),"")</f>
        <v/>
      </c>
      <c r="G7613" s="42" t="str">
        <f>IFERROR(__xludf.DUMMYFUNCTION("""COMPUTED_VALUE"""),"BN JUAL BELI EL")</f>
        <v>BN JUAL BELI EL</v>
      </c>
      <c r="H7613" s="42">
        <f t="shared" si="1"/>
        <v>3181</v>
      </c>
    </row>
    <row r="7614" ht="22.5" customHeight="1">
      <c r="B7614" s="42" t="str">
        <f>IFERROR(__xludf.DUMMYFUNCTION("""COMPUTED_VALUE"""),"K/31/190925/1")</f>
        <v>K/31/190925/1</v>
      </c>
      <c r="C7614" s="42" t="str">
        <f>IFERROR(__xludf.DUMMYFUNCTION("""COMPUTED_VALUE"""),"NIBEL M 3368/ RAJABASA JAYA")</f>
        <v>NIBEL M 3368/ RAJABASA JAYA</v>
      </c>
      <c r="D7614" s="42" t="str">
        <f>IFERROR(__xludf.DUMMYFUNCTION("""COMPUTED_VALUE"""),"Berry")</f>
        <v>Berry</v>
      </c>
      <c r="E7614" s="42" t="str">
        <f>IFERROR(__xludf.DUMMYFUNCTION("""COMPUTED_VALUE"""),"DISERAHKAN")</f>
        <v>DISERAHKAN</v>
      </c>
      <c r="F7614" s="48">
        <f>IFERROR(__xludf.DUMMYFUNCTION("""COMPUTED_VALUE"""),45972.62785027778)</f>
        <v>45972.62785</v>
      </c>
      <c r="G7614" s="42" t="str">
        <f>IFERROR(__xludf.DUMMYFUNCTION("""COMPUTED_VALUE"""),"BN JUAL BELI")</f>
        <v>BN JUAL BELI</v>
      </c>
      <c r="H7614" s="42">
        <f t="shared" si="1"/>
        <v>3182</v>
      </c>
    </row>
    <row r="7615" ht="22.5" customHeight="1">
      <c r="B7615" s="42" t="str">
        <f>IFERROR(__xludf.DUMMYFUNCTION("""COMPUTED_VALUE"""),"K/32/190925/2")</f>
        <v>K/32/190925/2</v>
      </c>
      <c r="C7615" s="42" t="str">
        <f>IFERROR(__xludf.DUMMYFUNCTION("""COMPUTED_VALUE"""),"M 880/ SUMBER AGUNG")</f>
        <v>M 880/ SUMBER AGUNG</v>
      </c>
      <c r="D7615" s="42"/>
      <c r="E7615" s="42"/>
      <c r="F7615" s="48" t="str">
        <f>IFERROR(__xludf.DUMMYFUNCTION("""COMPUTED_VALUE"""),"")</f>
        <v/>
      </c>
      <c r="G7615" s="42" t="str">
        <f>IFERROR(__xludf.DUMMYFUNCTION("""COMPUTED_VALUE"""),"BN JUAL BELI")</f>
        <v>BN JUAL BELI</v>
      </c>
      <c r="H7615" s="42">
        <f t="shared" si="1"/>
        <v>3182</v>
      </c>
    </row>
    <row r="7616" ht="22.5" customHeight="1">
      <c r="B7616" s="42" t="str">
        <f>IFERROR(__xludf.DUMMYFUNCTION("""COMPUTED_VALUE"""),"K/30/190925/1")</f>
        <v>K/30/190925/1</v>
      </c>
      <c r="C7616" s="42" t="str">
        <f>IFERROR(__xludf.DUMMYFUNCTION("""COMPUTED_VALUE"""),"M. 1643/DURIAN PAYUNG")</f>
        <v>M. 1643/DURIAN PAYUNG</v>
      </c>
      <c r="D7616" s="42"/>
      <c r="E7616" s="42"/>
      <c r="F7616" s="48" t="str">
        <f>IFERROR(__xludf.DUMMYFUNCTION("""COMPUTED_VALUE"""),"")</f>
        <v/>
      </c>
      <c r="G7616" s="42" t="str">
        <f>IFERROR(__xludf.DUMMYFUNCTION("""COMPUTED_VALUE"""),"ROYA")</f>
        <v>ROYA</v>
      </c>
      <c r="H7616" s="42">
        <f t="shared" si="1"/>
        <v>3182</v>
      </c>
    </row>
    <row r="7617" ht="22.5" customHeight="1">
      <c r="B7617" s="42" t="str">
        <f>IFERROR(__xludf.DUMMYFUNCTION("""COMPUTED_VALUE"""),"L/1/210925/1")</f>
        <v>L/1/210925/1</v>
      </c>
      <c r="C7617" s="42" t="str">
        <f>IFERROR(__xludf.DUMMYFUNCTION("""COMPUTED_VALUE"""),"M.2816/CAMPANG RAYA")</f>
        <v>M.2816/CAMPANG RAYA</v>
      </c>
      <c r="D7617" s="42"/>
      <c r="E7617" s="42"/>
      <c r="F7617" s="48" t="str">
        <f>IFERROR(__xludf.DUMMYFUNCTION("""COMPUTED_VALUE"""),"")</f>
        <v/>
      </c>
      <c r="G7617" s="42" t="str">
        <f>IFERROR(__xludf.DUMMYFUNCTION("""COMPUTED_VALUE"""),"ROYA")</f>
        <v>ROYA</v>
      </c>
      <c r="H7617" s="42">
        <f t="shared" si="1"/>
        <v>3182</v>
      </c>
    </row>
    <row r="7618" ht="22.5" customHeight="1">
      <c r="B7618" s="42" t="str">
        <f>IFERROR(__xludf.DUMMYFUNCTION("""COMPUTED_VALUE"""),"L/2/210925/1")</f>
        <v>L/2/210925/1</v>
      </c>
      <c r="C7618" s="42" t="str">
        <f>IFERROR(__xludf.DUMMYFUNCTION("""COMPUTED_VALUE"""),"NIBEL B. 22956/KETEGUHAN")</f>
        <v>NIBEL B. 22956/KETEGUHAN</v>
      </c>
      <c r="D7618" s="42" t="str">
        <f>IFERROR(__xludf.DUMMYFUNCTION("""COMPUTED_VALUE"""),"David")</f>
        <v>David</v>
      </c>
      <c r="E7618" s="42" t="str">
        <f>IFERROR(__xludf.DUMMYFUNCTION("""COMPUTED_VALUE"""),"DISERAHKAN")</f>
        <v>DISERAHKAN</v>
      </c>
      <c r="F7618" s="48">
        <f>IFERROR(__xludf.DUMMYFUNCTION("""COMPUTED_VALUE"""),45957.61844918982)</f>
        <v>45957.61845</v>
      </c>
      <c r="G7618" s="42" t="str">
        <f>IFERROR(__xludf.DUMMYFUNCTION("""COMPUTED_VALUE"""),"PERUBAHAN HAK")</f>
        <v>PERUBAHAN HAK</v>
      </c>
      <c r="H7618" s="42">
        <f t="shared" si="1"/>
        <v>3183</v>
      </c>
    </row>
    <row r="7619" ht="22.5" customHeight="1">
      <c r="B7619" s="42" t="str">
        <f>IFERROR(__xludf.DUMMYFUNCTION("""COMPUTED_VALUE"""),"K/1/220925/1")</f>
        <v>K/1/220925/1</v>
      </c>
      <c r="C7619" s="42" t="str">
        <f>IFERROR(__xludf.DUMMYFUNCTION("""COMPUTED_VALUE"""),"M 203/ KEDAUNG")</f>
        <v>M 203/ KEDAUNG</v>
      </c>
      <c r="D7619" s="42"/>
      <c r="E7619" s="42"/>
      <c r="F7619" s="48" t="str">
        <f>IFERROR(__xludf.DUMMYFUNCTION("""COMPUTED_VALUE"""),"")</f>
        <v/>
      </c>
      <c r="G7619" s="42" t="str">
        <f>IFERROR(__xludf.DUMMYFUNCTION("""COMPUTED_VALUE"""),"PEMECAHAN")</f>
        <v>PEMECAHAN</v>
      </c>
      <c r="H7619" s="42">
        <f t="shared" si="1"/>
        <v>3183</v>
      </c>
    </row>
    <row r="7620" ht="22.5" customHeight="1">
      <c r="B7620" s="42" t="str">
        <f>IFERROR(__xludf.DUMMYFUNCTION("""COMPUTED_VALUE"""),"K/2/220925/1")</f>
        <v>K/2/220925/1</v>
      </c>
      <c r="C7620" s="42" t="str">
        <f>IFERROR(__xludf.DUMMYFUNCTION("""COMPUTED_VALUE"""),"M 1002/ SUKARAME BARU")</f>
        <v>M 1002/ SUKARAME BARU</v>
      </c>
      <c r="D7620" s="42"/>
      <c r="E7620" s="42"/>
      <c r="F7620" s="48" t="str">
        <f>IFERROR(__xludf.DUMMYFUNCTION("""COMPUTED_VALUE"""),"")</f>
        <v/>
      </c>
      <c r="G7620" s="42" t="str">
        <f>IFERROR(__xludf.DUMMYFUNCTION("""COMPUTED_VALUE"""),"SKPT LELANG")</f>
        <v>SKPT LELANG</v>
      </c>
      <c r="H7620" s="42">
        <f t="shared" si="1"/>
        <v>3183</v>
      </c>
    </row>
    <row r="7621" ht="22.5" customHeight="1">
      <c r="B7621" s="42" t="str">
        <f>IFERROR(__xludf.DUMMYFUNCTION("""COMPUTED_VALUE"""),"K/6/220925/1")</f>
        <v>K/6/220925/1</v>
      </c>
      <c r="C7621" s="42" t="str">
        <f>IFERROR(__xludf.DUMMYFUNCTION("""COMPUTED_VALUE"""),"GUNUNG TERANG")</f>
        <v>GUNUNG TERANG</v>
      </c>
      <c r="D7621" s="42"/>
      <c r="E7621" s="42"/>
      <c r="F7621" s="48" t="str">
        <f>IFERROR(__xludf.DUMMYFUNCTION("""COMPUTED_VALUE"""),"")</f>
        <v/>
      </c>
      <c r="G7621" s="42" t="str">
        <f>IFERROR(__xludf.DUMMYFUNCTION("""COMPUTED_VALUE"""),"PENGUKURAN TAMEN")</f>
        <v>PENGUKURAN TAMEN</v>
      </c>
      <c r="H7621" s="42">
        <f t="shared" si="1"/>
        <v>3183</v>
      </c>
    </row>
    <row r="7622" ht="22.5" customHeight="1">
      <c r="B7622" s="42" t="str">
        <f>IFERROR(__xludf.DUMMYFUNCTION("""COMPUTED_VALUE"""),"K/33/190925/1")</f>
        <v>K/33/190925/1</v>
      </c>
      <c r="C7622" s="42" t="str">
        <f>IFERROR(__xludf.DUMMYFUNCTION("""COMPUTED_VALUE"""),"NIBEL B 24967/ KOTA KARANG")</f>
        <v>NIBEL B 24967/ KOTA KARANG</v>
      </c>
      <c r="D7622" s="42"/>
      <c r="E7622" s="42"/>
      <c r="F7622" s="48" t="str">
        <f>IFERROR(__xludf.DUMMYFUNCTION("""COMPUTED_VALUE"""),"")</f>
        <v/>
      </c>
      <c r="G7622" s="42" t="str">
        <f>IFERROR(__xludf.DUMMYFUNCTION("""COMPUTED_VALUE"""),"PENINGKATAN HAK")</f>
        <v>PENINGKATAN HAK</v>
      </c>
      <c r="H7622" s="42">
        <f t="shared" si="1"/>
        <v>3183</v>
      </c>
    </row>
    <row r="7623" ht="22.5" customHeight="1">
      <c r="B7623" s="42" t="str">
        <f>IFERROR(__xludf.DUMMYFUNCTION("""COMPUTED_VALUE"""),"K/34/190925/2")</f>
        <v>K/34/190925/2</v>
      </c>
      <c r="C7623" s="42" t="str">
        <f>IFERROR(__xludf.DUMMYFUNCTION("""COMPUTED_VALUE"""),"NIBEL B 24966/ KOTA KARANG")</f>
        <v>NIBEL B 24966/ KOTA KARANG</v>
      </c>
      <c r="D7623" s="42"/>
      <c r="E7623" s="42"/>
      <c r="F7623" s="48" t="str">
        <f>IFERROR(__xludf.DUMMYFUNCTION("""COMPUTED_VALUE"""),"")</f>
        <v/>
      </c>
      <c r="G7623" s="42" t="str">
        <f>IFERROR(__xludf.DUMMYFUNCTION("""COMPUTED_VALUE"""),"PENINGKATAN HAK")</f>
        <v>PENINGKATAN HAK</v>
      </c>
      <c r="H7623" s="42">
        <f t="shared" si="1"/>
        <v>3183</v>
      </c>
    </row>
    <row r="7624" ht="22.5" customHeight="1">
      <c r="B7624" s="42" t="str">
        <f>IFERROR(__xludf.DUMMYFUNCTION("""COMPUTED_VALUE"""),"K/3/220925/1")</f>
        <v>K/3/220925/1</v>
      </c>
      <c r="C7624" s="42" t="str">
        <f>IFERROR(__xludf.DUMMYFUNCTION("""COMPUTED_VALUE"""),"M. 703/GUNUNG AGUNG")</f>
        <v>M. 703/GUNUNG AGUNG</v>
      </c>
      <c r="D7624" s="42"/>
      <c r="E7624" s="42"/>
      <c r="F7624" s="48" t="str">
        <f>IFERROR(__xludf.DUMMYFUNCTION("""COMPUTED_VALUE"""),"")</f>
        <v/>
      </c>
      <c r="G7624" s="42" t="str">
        <f>IFERROR(__xludf.DUMMYFUNCTION("""COMPUTED_VALUE"""),"BLOKIR")</f>
        <v>BLOKIR</v>
      </c>
      <c r="H7624" s="42">
        <f t="shared" si="1"/>
        <v>3183</v>
      </c>
    </row>
    <row r="7625" ht="22.5" customHeight="1">
      <c r="B7625" s="42" t="str">
        <f>IFERROR(__xludf.DUMMYFUNCTION("""COMPUTED_VALUE"""),"K/4/220925/2")</f>
        <v>K/4/220925/2</v>
      </c>
      <c r="C7625" s="42" t="str">
        <f>IFERROR(__xludf.DUMMYFUNCTION("""COMPUTED_VALUE"""),"M. 620/GUNUNG SULAH")</f>
        <v>M. 620/GUNUNG SULAH</v>
      </c>
      <c r="D7625" s="42"/>
      <c r="E7625" s="42"/>
      <c r="F7625" s="48" t="str">
        <f>IFERROR(__xludf.DUMMYFUNCTION("""COMPUTED_VALUE"""),"")</f>
        <v/>
      </c>
      <c r="G7625" s="42" t="str">
        <f>IFERROR(__xludf.DUMMYFUNCTION("""COMPUTED_VALUE"""),"BLOKIR ")</f>
        <v>BLOKIR </v>
      </c>
      <c r="H7625" s="42">
        <f t="shared" si="1"/>
        <v>3183</v>
      </c>
    </row>
    <row r="7626" ht="22.5" customHeight="1">
      <c r="B7626" s="42" t="str">
        <f>IFERROR(__xludf.DUMMYFUNCTION("""COMPUTED_VALUE"""),"K/35/190925/1")</f>
        <v>K/35/190925/1</v>
      </c>
      <c r="C7626" s="42" t="str">
        <f>IFERROR(__xludf.DUMMYFUNCTION("""COMPUTED_VALUE"""),"M 1257/ GUNUNG TERANG")</f>
        <v>M 1257/ GUNUNG TERANG</v>
      </c>
      <c r="D7626" s="42"/>
      <c r="E7626" s="42"/>
      <c r="F7626" s="48" t="str">
        <f>IFERROR(__xludf.DUMMYFUNCTION("""COMPUTED_VALUE"""),"")</f>
        <v/>
      </c>
      <c r="G7626" s="42" t="str">
        <f>IFERROR(__xludf.DUMMYFUNCTION("""COMPUTED_VALUE"""),"BN JUAL BELI")</f>
        <v>BN JUAL BELI</v>
      </c>
      <c r="H7626" s="42">
        <f t="shared" si="1"/>
        <v>3183</v>
      </c>
    </row>
    <row r="7627" ht="22.5" customHeight="1">
      <c r="B7627" s="42" t="str">
        <f>IFERROR(__xludf.DUMMYFUNCTION("""COMPUTED_VALUE"""),"K/36/190925/2")</f>
        <v>K/36/190925/2</v>
      </c>
      <c r="C7627" s="42" t="str">
        <f>IFERROR(__xludf.DUMMYFUNCTION("""COMPUTED_VALUE"""),"M 1597/ BUMI WARAS")</f>
        <v>M 1597/ BUMI WARAS</v>
      </c>
      <c r="D7627" s="42" t="str">
        <f>IFERROR(__xludf.DUMMYFUNCTION("""COMPUTED_VALUE"""),"Berry")</f>
        <v>Berry</v>
      </c>
      <c r="E7627" s="42" t="str">
        <f>IFERROR(__xludf.DUMMYFUNCTION("""COMPUTED_VALUE"""),"DISERAHKAN")</f>
        <v>DISERAHKAN</v>
      </c>
      <c r="F7627" s="48">
        <f>IFERROR(__xludf.DUMMYFUNCTION("""COMPUTED_VALUE"""),45996.58962533565)</f>
        <v>45996.58963</v>
      </c>
      <c r="G7627" s="42" t="str">
        <f>IFERROR(__xludf.DUMMYFUNCTION("""COMPUTED_VALUE"""),"BN JUAL BELI")</f>
        <v>BN JUAL BELI</v>
      </c>
      <c r="H7627" s="42">
        <f t="shared" si="1"/>
        <v>3184</v>
      </c>
    </row>
    <row r="7628" ht="22.5" customHeight="1">
      <c r="B7628" s="42" t="str">
        <f>IFERROR(__xludf.DUMMYFUNCTION("""COMPUTED_VALUE"""),"K/5/220925/3")</f>
        <v>K/5/220925/3</v>
      </c>
      <c r="C7628" s="42" t="str">
        <f>IFERROR(__xludf.DUMMYFUNCTION("""COMPUTED_VALUE"""),"M. 595/GUNUNG SULAH")</f>
        <v>M. 595/GUNUNG SULAH</v>
      </c>
      <c r="D7628" s="42"/>
      <c r="E7628" s="42"/>
      <c r="F7628" s="48" t="str">
        <f>IFERROR(__xludf.DUMMYFUNCTION("""COMPUTED_VALUE"""),"")</f>
        <v/>
      </c>
      <c r="G7628" s="42" t="str">
        <f>IFERROR(__xludf.DUMMYFUNCTION("""COMPUTED_VALUE"""),"BLOKIR")</f>
        <v>BLOKIR</v>
      </c>
      <c r="H7628" s="42">
        <f t="shared" si="1"/>
        <v>3184</v>
      </c>
    </row>
    <row r="7629" ht="22.5" customHeight="1">
      <c r="B7629" s="42" t="str">
        <f>IFERROR(__xludf.DUMMYFUNCTION("""COMPUTED_VALUE"""),"K/9/220925/1")</f>
        <v>K/9/220925/1</v>
      </c>
      <c r="C7629" s="42" t="str">
        <f>IFERROR(__xludf.DUMMYFUNCTION("""COMPUTED_VALUE"""),"M 2537/ PINANG JAYA")</f>
        <v>M 2537/ PINANG JAYA</v>
      </c>
      <c r="D7629" s="42"/>
      <c r="E7629" s="42"/>
      <c r="F7629" s="48" t="str">
        <f>IFERROR(__xludf.DUMMYFUNCTION("""COMPUTED_VALUE"""),"")</f>
        <v/>
      </c>
      <c r="G7629" s="42" t="str">
        <f>IFERROR(__xludf.DUMMYFUNCTION("""COMPUTED_VALUE"""),"BN JUAL BELI")</f>
        <v>BN JUAL BELI</v>
      </c>
      <c r="H7629" s="42">
        <f t="shared" si="1"/>
        <v>3184</v>
      </c>
    </row>
    <row r="7630" ht="22.5" customHeight="1">
      <c r="B7630" s="42" t="str">
        <f>IFERROR(__xludf.DUMMYFUNCTION("""COMPUTED_VALUE"""),"K/10/220925/2")</f>
        <v>K/10/220925/2</v>
      </c>
      <c r="C7630" s="42" t="str">
        <f>IFERROR(__xludf.DUMMYFUNCTION("""COMPUTED_VALUE"""),"M 2514/ PINANG JAYA")</f>
        <v>M 2514/ PINANG JAYA</v>
      </c>
      <c r="D7630" s="42"/>
      <c r="E7630" s="42"/>
      <c r="F7630" s="48" t="str">
        <f>IFERROR(__xludf.DUMMYFUNCTION("""COMPUTED_VALUE"""),"")</f>
        <v/>
      </c>
      <c r="G7630" s="42" t="str">
        <f>IFERROR(__xludf.DUMMYFUNCTION("""COMPUTED_VALUE"""),"BN JUAL BELI")</f>
        <v>BN JUAL BELI</v>
      </c>
      <c r="H7630" s="42">
        <f t="shared" si="1"/>
        <v>3184</v>
      </c>
    </row>
    <row r="7631" ht="22.5" customHeight="1">
      <c r="B7631" s="42" t="str">
        <f>IFERROR(__xludf.DUMMYFUNCTION("""COMPUTED_VALUE"""),"K/11/220925/3")</f>
        <v>K/11/220925/3</v>
      </c>
      <c r="C7631" s="42" t="str">
        <f>IFERROR(__xludf.DUMMYFUNCTION("""COMPUTED_VALUE"""),"NIBEL M 9152/ SUKARAME")</f>
        <v>NIBEL M 9152/ SUKARAME</v>
      </c>
      <c r="D7631" s="42" t="str">
        <f>IFERROR(__xludf.DUMMYFUNCTION("""COMPUTED_VALUE"""),"Berry")</f>
        <v>Berry</v>
      </c>
      <c r="E7631" s="42" t="str">
        <f>IFERROR(__xludf.DUMMYFUNCTION("""COMPUTED_VALUE"""),"DISERAHKAN")</f>
        <v>DISERAHKAN</v>
      </c>
      <c r="F7631" s="48">
        <f>IFERROR(__xludf.DUMMYFUNCTION("""COMPUTED_VALUE"""),45966.64606010416)</f>
        <v>45966.64606</v>
      </c>
      <c r="G7631" s="42" t="str">
        <f>IFERROR(__xludf.DUMMYFUNCTION("""COMPUTED_VALUE"""),"BN JUAL BELI")</f>
        <v>BN JUAL BELI</v>
      </c>
      <c r="H7631" s="42">
        <f t="shared" si="1"/>
        <v>3185</v>
      </c>
    </row>
    <row r="7632" ht="22.5" customHeight="1">
      <c r="B7632" s="42" t="str">
        <f>IFERROR(__xludf.DUMMYFUNCTION("""COMPUTED_VALUE"""),"K/12/220925/4")</f>
        <v>K/12/220925/4</v>
      </c>
      <c r="C7632" s="42" t="str">
        <f>IFERROR(__xludf.DUMMYFUNCTION("""COMPUTED_VALUE"""),"NIBEL M 2069/ SUKADANA HAM")</f>
        <v>NIBEL M 2069/ SUKADANA HAM</v>
      </c>
      <c r="D7632" s="42"/>
      <c r="E7632" s="42"/>
      <c r="F7632" s="48" t="str">
        <f>IFERROR(__xludf.DUMMYFUNCTION("""COMPUTED_VALUE"""),"")</f>
        <v/>
      </c>
      <c r="G7632" s="42" t="str">
        <f>IFERROR(__xludf.DUMMYFUNCTION("""COMPUTED_VALUE"""),"BN JUAL BELI")</f>
        <v>BN JUAL BELI</v>
      </c>
      <c r="H7632" s="42">
        <f t="shared" si="1"/>
        <v>3185</v>
      </c>
    </row>
    <row r="7633" ht="22.5" customHeight="1">
      <c r="B7633" s="42" t="str">
        <f>IFERROR(__xludf.DUMMYFUNCTION("""COMPUTED_VALUE"""),"K/16/220925/1")</f>
        <v>K/16/220925/1</v>
      </c>
      <c r="C7633" s="42" t="str">
        <f>IFERROR(__xludf.DUMMYFUNCTION("""COMPUTED_VALUE"""),"B 64/ BUMI KEDAMAIAN")</f>
        <v>B 64/ BUMI KEDAMAIAN</v>
      </c>
      <c r="D7633" s="42"/>
      <c r="E7633" s="42"/>
      <c r="F7633" s="48" t="str">
        <f>IFERROR(__xludf.DUMMYFUNCTION("""COMPUTED_VALUE"""),"")</f>
        <v/>
      </c>
      <c r="G7633" s="42" t="str">
        <f>IFERROR(__xludf.DUMMYFUNCTION("""COMPUTED_VALUE"""),"PENINGKATAN HAK")</f>
        <v>PENINGKATAN HAK</v>
      </c>
      <c r="H7633" s="42">
        <f t="shared" si="1"/>
        <v>3185</v>
      </c>
    </row>
    <row r="7634" ht="22.5" customHeight="1">
      <c r="B7634" s="42" t="str">
        <f>IFERROR(__xludf.DUMMYFUNCTION("""COMPUTED_VALUE"""),"K/13/220925/1")</f>
        <v>K/13/220925/1</v>
      </c>
      <c r="C7634" s="42" t="str">
        <f>IFERROR(__xludf.DUMMYFUNCTION("""COMPUTED_VALUE"""),"NIBEL M 22968/ JAGABAYA III")</f>
        <v>NIBEL M 22968/ JAGABAYA III</v>
      </c>
      <c r="D7634" s="42"/>
      <c r="E7634" s="42"/>
      <c r="F7634" s="48" t="str">
        <f>IFERROR(__xludf.DUMMYFUNCTION("""COMPUTED_VALUE"""),"")</f>
        <v/>
      </c>
      <c r="G7634" s="42" t="str">
        <f>IFERROR(__xludf.DUMMYFUNCTION("""COMPUTED_VALUE"""),"BN JUAL BELI")</f>
        <v>BN JUAL BELI</v>
      </c>
      <c r="H7634" s="42">
        <f t="shared" si="1"/>
        <v>3185</v>
      </c>
    </row>
    <row r="7635" ht="22.5" customHeight="1">
      <c r="B7635" s="42" t="str">
        <f>IFERROR(__xludf.DUMMYFUNCTION("""COMPUTED_VALUE"""),"K/14/220925/2")</f>
        <v>K/14/220925/2</v>
      </c>
      <c r="C7635" s="42" t="str">
        <f>IFERROR(__xludf.DUMMYFUNCTION("""COMPUTED_VALUE"""),"NIBEL M 22969/ JABAYA III")</f>
        <v>NIBEL M 22969/ JABAYA III</v>
      </c>
      <c r="D7635" s="42"/>
      <c r="E7635" s="42"/>
      <c r="F7635" s="48" t="str">
        <f>IFERROR(__xludf.DUMMYFUNCTION("""COMPUTED_VALUE"""),"")</f>
        <v/>
      </c>
      <c r="G7635" s="42" t="str">
        <f>IFERROR(__xludf.DUMMYFUNCTION("""COMPUTED_VALUE"""),"BN JUAL BELI")</f>
        <v>BN JUAL BELI</v>
      </c>
      <c r="H7635" s="42">
        <f t="shared" si="1"/>
        <v>3185</v>
      </c>
    </row>
    <row r="7636" ht="22.5" customHeight="1">
      <c r="B7636" s="42" t="str">
        <f>IFERROR(__xludf.DUMMYFUNCTION("""COMPUTED_VALUE"""),"K/15/220925/3")</f>
        <v>K/15/220925/3</v>
      </c>
      <c r="C7636" s="42" t="str">
        <f>IFERROR(__xludf.DUMMYFUNCTION("""COMPUTED_VALUE"""),"NIBEL M 22970/ JAGABAYA III")</f>
        <v>NIBEL M 22970/ JAGABAYA III</v>
      </c>
      <c r="D7636" s="42"/>
      <c r="E7636" s="42"/>
      <c r="F7636" s="48" t="str">
        <f>IFERROR(__xludf.DUMMYFUNCTION("""COMPUTED_VALUE"""),"")</f>
        <v/>
      </c>
      <c r="G7636" s="42" t="str">
        <f>IFERROR(__xludf.DUMMYFUNCTION("""COMPUTED_VALUE"""),"BN JUAL BELI")</f>
        <v>BN JUAL BELI</v>
      </c>
      <c r="H7636" s="42">
        <f t="shared" si="1"/>
        <v>3185</v>
      </c>
    </row>
    <row r="7637" ht="22.5" customHeight="1">
      <c r="B7637" s="42" t="str">
        <f>IFERROR(__xludf.DUMMYFUNCTION("""COMPUTED_VALUE"""),"K/7/220925/1")</f>
        <v>K/7/220925/1</v>
      </c>
      <c r="C7637" s="42" t="str">
        <f>IFERROR(__xludf.DUMMYFUNCTION("""COMPUTED_VALUE"""),"M. 978/KUPANG KOTA")</f>
        <v>M. 978/KUPANG KOTA</v>
      </c>
      <c r="D7637" s="42"/>
      <c r="E7637" s="42"/>
      <c r="F7637" s="48" t="str">
        <f>IFERROR(__xludf.DUMMYFUNCTION("""COMPUTED_VALUE"""),"")</f>
        <v/>
      </c>
      <c r="G7637" s="42" t="str">
        <f>IFERROR(__xludf.DUMMYFUNCTION("""COMPUTED_VALUE"""),"BN WARIS")</f>
        <v>BN WARIS</v>
      </c>
      <c r="H7637" s="42">
        <f t="shared" si="1"/>
        <v>3185</v>
      </c>
    </row>
    <row r="7638" ht="22.5" customHeight="1">
      <c r="B7638" s="42" t="str">
        <f>IFERROR(__xludf.DUMMYFUNCTION("""COMPUTED_VALUE"""),"K/8/220925/1")</f>
        <v>K/8/220925/1</v>
      </c>
      <c r="C7638" s="42" t="str">
        <f>IFERROR(__xludf.DUMMYFUNCTION("""COMPUTED_VALUE"""),"NIBEL M. 21875/GUNUNG TERANG")</f>
        <v>NIBEL M. 21875/GUNUNG TERANG</v>
      </c>
      <c r="D7638" s="42"/>
      <c r="E7638" s="42"/>
      <c r="F7638" s="48" t="str">
        <f>IFERROR(__xludf.DUMMYFUNCTION("""COMPUTED_VALUE"""),"")</f>
        <v/>
      </c>
      <c r="G7638" s="42" t="str">
        <f>IFERROR(__xludf.DUMMYFUNCTION("""COMPUTED_VALUE"""),"BN JUAL BELI EL")</f>
        <v>BN JUAL BELI EL</v>
      </c>
      <c r="H7638" s="42">
        <f t="shared" si="1"/>
        <v>3185</v>
      </c>
    </row>
    <row r="7639" ht="22.5" customHeight="1">
      <c r="B7639" s="42" t="str">
        <f>IFERROR(__xludf.DUMMYFUNCTION("""COMPUTED_VALUE"""),"K/17/220925/2")</f>
        <v>K/17/220925/2</v>
      </c>
      <c r="C7639" s="42" t="str">
        <f>IFERROR(__xludf.DUMMYFUNCTION("""COMPUTED_VALUE"""),"NIBEL M.23050/SUKABUMI")</f>
        <v>NIBEL M.23050/SUKABUMI</v>
      </c>
      <c r="D7639" s="42"/>
      <c r="E7639" s="42"/>
      <c r="F7639" s="48" t="str">
        <f>IFERROR(__xludf.DUMMYFUNCTION("""COMPUTED_VALUE"""),"")</f>
        <v/>
      </c>
      <c r="G7639" s="42" t="str">
        <f>IFERROR(__xludf.DUMMYFUNCTION("""COMPUTED_VALUE"""),"BN JUAL BELI EL")</f>
        <v>BN JUAL BELI EL</v>
      </c>
      <c r="H7639" s="42">
        <f t="shared" si="1"/>
        <v>3185</v>
      </c>
    </row>
    <row r="7640" ht="22.5" customHeight="1">
      <c r="B7640" s="42" t="str">
        <f>IFERROR(__xludf.DUMMYFUNCTION("""COMPUTED_VALUE"""),"K/19/220925/1")</f>
        <v>K/19/220925/1</v>
      </c>
      <c r="C7640" s="42" t="str">
        <f>IFERROR(__xludf.DUMMYFUNCTION("""COMPUTED_VALUE"""),"B 266/ NUSANTARA PERMAI")</f>
        <v>B 266/ NUSANTARA PERMAI</v>
      </c>
      <c r="D7640" s="42"/>
      <c r="E7640" s="42"/>
      <c r="F7640" s="48" t="str">
        <f>IFERROR(__xludf.DUMMYFUNCTION("""COMPUTED_VALUE"""),"")</f>
        <v/>
      </c>
      <c r="G7640" s="42" t="str">
        <f>IFERROR(__xludf.DUMMYFUNCTION("""COMPUTED_VALUE"""),"ROYA")</f>
        <v>ROYA</v>
      </c>
      <c r="H7640" s="42">
        <f t="shared" si="1"/>
        <v>3185</v>
      </c>
    </row>
    <row r="7641" ht="22.5" customHeight="1">
      <c r="B7641" s="42" t="str">
        <f>IFERROR(__xludf.DUMMYFUNCTION("""COMPUTED_VALUE"""),"K/20/220925/1")</f>
        <v>K/20/220925/1</v>
      </c>
      <c r="C7641" s="42" t="str">
        <f>IFERROR(__xludf.DUMMYFUNCTION("""COMPUTED_VALUE"""),"NIBEL B 449/ SUMBER AGUNG")</f>
        <v>NIBEL B 449/ SUMBER AGUNG</v>
      </c>
      <c r="D7641" s="42" t="str">
        <f>IFERROR(__xludf.DUMMYFUNCTION("""COMPUTED_VALUE"""),"Berry")</f>
        <v>Berry</v>
      </c>
      <c r="E7641" s="42" t="str">
        <f>IFERROR(__xludf.DUMMYFUNCTION("""COMPUTED_VALUE"""),"DISERAHKAN")</f>
        <v>DISERAHKAN</v>
      </c>
      <c r="F7641" s="48">
        <f>IFERROR(__xludf.DUMMYFUNCTION("""COMPUTED_VALUE"""),45932.70452961806)</f>
        <v>45932.70453</v>
      </c>
      <c r="G7641" s="42" t="str">
        <f>IFERROR(__xludf.DUMMYFUNCTION("""COMPUTED_VALUE"""),"PENINGKATAN HAK")</f>
        <v>PENINGKATAN HAK</v>
      </c>
      <c r="H7641" s="42">
        <f t="shared" si="1"/>
        <v>3186</v>
      </c>
    </row>
    <row r="7642" ht="22.5" customHeight="1">
      <c r="B7642" s="42" t="str">
        <f>IFERROR(__xludf.DUMMYFUNCTION("""COMPUTED_VALUE"""),"K/18/220925/3")</f>
        <v>K/18/220925/3</v>
      </c>
      <c r="C7642" s="42" t="str">
        <f>IFERROR(__xludf.DUMMYFUNCTION("""COMPUTED_VALUE"""),"NIBEL M. 18824.4/KOTA SEPANG")</f>
        <v>NIBEL M. 18824.4/KOTA SEPANG</v>
      </c>
      <c r="D7642" s="42"/>
      <c r="E7642" s="42"/>
      <c r="F7642" s="48" t="str">
        <f>IFERROR(__xludf.DUMMYFUNCTION("""COMPUTED_VALUE"""),"")</f>
        <v/>
      </c>
      <c r="G7642" s="42" t="str">
        <f>IFERROR(__xludf.DUMMYFUNCTION("""COMPUTED_VALUE"""),"BN JUAL BELI EL ")</f>
        <v>BN JUAL BELI EL </v>
      </c>
      <c r="H7642" s="42">
        <f t="shared" si="1"/>
        <v>3186</v>
      </c>
    </row>
    <row r="7643" ht="22.5" customHeight="1">
      <c r="B7643" s="42" t="str">
        <f>IFERROR(__xludf.DUMMYFUNCTION("""COMPUTED_VALUE"""),"K/21/220925/2")</f>
        <v>K/21/220925/2</v>
      </c>
      <c r="C7643" s="42" t="str">
        <f>IFERROR(__xludf.DUMMYFUNCTION("""COMPUTED_VALUE"""),"NIBEL B 16373/ DURIAN PAYUNG")</f>
        <v>NIBEL B 16373/ DURIAN PAYUNG</v>
      </c>
      <c r="D7643" s="42"/>
      <c r="E7643" s="42"/>
      <c r="F7643" s="48" t="str">
        <f>IFERROR(__xludf.DUMMYFUNCTION("""COMPUTED_VALUE"""),"")</f>
        <v/>
      </c>
      <c r="G7643" s="42" t="str">
        <f>IFERROR(__xludf.DUMMYFUNCTION("""COMPUTED_VALUE"""),"BN JUAL BELI")</f>
        <v>BN JUAL BELI</v>
      </c>
      <c r="H7643" s="42">
        <f t="shared" si="1"/>
        <v>3186</v>
      </c>
    </row>
    <row r="7644" ht="22.5" customHeight="1">
      <c r="B7644" s="42" t="str">
        <f>IFERROR(__xludf.DUMMYFUNCTION("""COMPUTED_VALUE"""),"K/22/220925/3")</f>
        <v>K/22/220925/3</v>
      </c>
      <c r="C7644" s="42" t="str">
        <f>IFERROR(__xludf.DUMMYFUNCTION("""COMPUTED_VALUE"""),"B 722/ SUMUR PUTRI")</f>
        <v>B 722/ SUMUR PUTRI</v>
      </c>
      <c r="D7644" s="42"/>
      <c r="E7644" s="42"/>
      <c r="F7644" s="48" t="str">
        <f>IFERROR(__xludf.DUMMYFUNCTION("""COMPUTED_VALUE"""),"")</f>
        <v/>
      </c>
      <c r="G7644" s="42" t="str">
        <f>IFERROR(__xludf.DUMMYFUNCTION("""COMPUTED_VALUE"""),"BN JUAL BELI")</f>
        <v>BN JUAL BELI</v>
      </c>
      <c r="H7644" s="42">
        <f t="shared" si="1"/>
        <v>3186</v>
      </c>
    </row>
    <row r="7645" ht="22.5" customHeight="1">
      <c r="B7645" s="42" t="str">
        <f>IFERROR(__xludf.DUMMYFUNCTION("""COMPUTED_VALUE"""),"K/23/220925/1")</f>
        <v>K/23/220925/1</v>
      </c>
      <c r="C7645" s="42" t="str">
        <f>IFERROR(__xludf.DUMMYFUNCTION("""COMPUTED_VALUE"""),"NIBEL M. 22840/KALI BALAU KENCANA")</f>
        <v>NIBEL M. 22840/KALI BALAU KENCANA</v>
      </c>
      <c r="D7645" s="42" t="str">
        <f>IFERROR(__xludf.DUMMYFUNCTION("""COMPUTED_VALUE"""),"Berry")</f>
        <v>Berry</v>
      </c>
      <c r="E7645" s="42" t="str">
        <f>IFERROR(__xludf.DUMMYFUNCTION("""COMPUTED_VALUE"""),"DISERAHKAN")</f>
        <v>DISERAHKAN</v>
      </c>
      <c r="F7645" s="48">
        <f>IFERROR(__xludf.DUMMYFUNCTION("""COMPUTED_VALUE"""),45968.49166194444)</f>
        <v>45968.49166</v>
      </c>
      <c r="G7645" s="42" t="str">
        <f>IFERROR(__xludf.DUMMYFUNCTION("""COMPUTED_VALUE"""),"BN JUAL BELI EL")</f>
        <v>BN JUAL BELI EL</v>
      </c>
      <c r="H7645" s="42">
        <f t="shared" si="1"/>
        <v>3187</v>
      </c>
    </row>
    <row r="7646" ht="22.5" customHeight="1">
      <c r="B7646" s="42" t="str">
        <f>IFERROR(__xludf.DUMMYFUNCTION("""COMPUTED_VALUE"""),"K/24/220925/2")</f>
        <v>K/24/220925/2</v>
      </c>
      <c r="C7646" s="42" t="str">
        <f>IFERROR(__xludf.DUMMYFUNCTION("""COMPUTED_VALUE"""),"M. 2235/SEPANG JAYA")</f>
        <v>M. 2235/SEPANG JAYA</v>
      </c>
      <c r="D7646" s="42"/>
      <c r="E7646" s="42"/>
      <c r="F7646" s="48" t="str">
        <f>IFERROR(__xludf.DUMMYFUNCTION("""COMPUTED_VALUE"""),"")</f>
        <v/>
      </c>
      <c r="G7646" s="42" t="str">
        <f>IFERROR(__xludf.DUMMYFUNCTION("""COMPUTED_VALUE"""),"BN JUAL BELI EL")</f>
        <v>BN JUAL BELI EL</v>
      </c>
      <c r="H7646" s="42">
        <f t="shared" si="1"/>
        <v>3187</v>
      </c>
    </row>
    <row r="7647" ht="22.5" customHeight="1">
      <c r="B7647" s="42" t="str">
        <f>IFERROR(__xludf.DUMMYFUNCTION("""COMPUTED_VALUE"""),"L/25/220925/1")</f>
        <v>L/25/220925/1</v>
      </c>
      <c r="C7647" s="42" t="str">
        <f>IFERROR(__xludf.DUMMYFUNCTION("""COMPUTED_VALUE"""),"M.3863/GUNUNG TERANG")</f>
        <v>M.3863/GUNUNG TERANG</v>
      </c>
      <c r="D7647" s="42"/>
      <c r="E7647" s="42"/>
      <c r="F7647" s="48" t="str">
        <f>IFERROR(__xludf.DUMMYFUNCTION("""COMPUTED_VALUE"""),"")</f>
        <v/>
      </c>
      <c r="G7647" s="42" t="str">
        <f>IFERROR(__xludf.DUMMYFUNCTION("""COMPUTED_VALUE"""),"HAPUS BPHTB")</f>
        <v>HAPUS BPHTB</v>
      </c>
      <c r="H7647" s="42">
        <f t="shared" si="1"/>
        <v>3187</v>
      </c>
    </row>
    <row r="7648" ht="22.5" customHeight="1">
      <c r="B7648" s="42" t="str">
        <f>IFERROR(__xludf.DUMMYFUNCTION("""COMPUTED_VALUE"""),"L/26/220925/2")</f>
        <v>L/26/220925/2</v>
      </c>
      <c r="C7648" s="42" t="str">
        <f>IFERROR(__xludf.DUMMYFUNCTION("""COMPUTED_VALUE"""),"M.3862/GUNUNG TERANG")</f>
        <v>M.3862/GUNUNG TERANG</v>
      </c>
      <c r="D7648" s="42"/>
      <c r="E7648" s="42"/>
      <c r="F7648" s="48" t="str">
        <f>IFERROR(__xludf.DUMMYFUNCTION("""COMPUTED_VALUE"""),"")</f>
        <v/>
      </c>
      <c r="G7648" s="42" t="str">
        <f>IFERROR(__xludf.DUMMYFUNCTION("""COMPUTED_VALUE"""),"HAPUS BPHTB")</f>
        <v>HAPUS BPHTB</v>
      </c>
      <c r="H7648" s="42">
        <f t="shared" si="1"/>
        <v>3187</v>
      </c>
    </row>
    <row r="7649" ht="22.5" customHeight="1">
      <c r="B7649" s="42" t="str">
        <f>IFERROR(__xludf.DUMMYFUNCTION("""COMPUTED_VALUE"""),"L/27/220925/1")</f>
        <v>L/27/220925/1</v>
      </c>
      <c r="C7649" s="42" t="str">
        <f>IFERROR(__xludf.DUMMYFUNCTION("""COMPUTED_VALUE"""),"B.1769/SUKARAME")</f>
        <v>B.1769/SUKARAME</v>
      </c>
      <c r="D7649" s="42"/>
      <c r="E7649" s="42"/>
      <c r="F7649" s="48" t="str">
        <f>IFERROR(__xludf.DUMMYFUNCTION("""COMPUTED_VALUE"""),"")</f>
        <v/>
      </c>
      <c r="G7649" s="42" t="str">
        <f>IFERROR(__xludf.DUMMYFUNCTION("""COMPUTED_VALUE"""),"PENINGKATAN HAK")</f>
        <v>PENINGKATAN HAK</v>
      </c>
      <c r="H7649" s="42">
        <f t="shared" si="1"/>
        <v>3187</v>
      </c>
    </row>
    <row r="7650" ht="22.5" customHeight="1">
      <c r="B7650" s="42" t="str">
        <f>IFERROR(__xludf.DUMMYFUNCTION("""COMPUTED_VALUE"""),"K/28/220925/1")</f>
        <v>K/28/220925/1</v>
      </c>
      <c r="C7650" s="42" t="str">
        <f>IFERROR(__xludf.DUMMYFUNCTION("""COMPUTED_VALUE"""),"NIBEL B.22067/SUKABUMI INDAH")</f>
        <v>NIBEL B.22067/SUKABUMI INDAH</v>
      </c>
      <c r="D7650" s="42"/>
      <c r="E7650" s="42"/>
      <c r="F7650" s="48" t="str">
        <f>IFERROR(__xludf.DUMMYFUNCTION("""COMPUTED_VALUE"""),"")</f>
        <v/>
      </c>
      <c r="G7650" s="42" t="str">
        <f>IFERROR(__xludf.DUMMYFUNCTION("""COMPUTED_VALUE"""),"PERUBAHAN HAK")</f>
        <v>PERUBAHAN HAK</v>
      </c>
      <c r="H7650" s="42">
        <f t="shared" si="1"/>
        <v>3187</v>
      </c>
    </row>
    <row r="7651" ht="22.5" customHeight="1">
      <c r="B7651" s="42" t="str">
        <f>IFERROR(__xludf.DUMMYFUNCTION("""COMPUTED_VALUE"""),"K/30/220925/1")</f>
        <v>K/30/220925/1</v>
      </c>
      <c r="C7651" s="42" t="str">
        <f>IFERROR(__xludf.DUMMYFUNCTION("""COMPUTED_VALUE"""),"NIBEL M 23348/ LABUHAN DALAM")</f>
        <v>NIBEL M 23348/ LABUHAN DALAM</v>
      </c>
      <c r="D7651" s="42"/>
      <c r="E7651" s="42"/>
      <c r="F7651" s="48" t="str">
        <f>IFERROR(__xludf.DUMMYFUNCTION("""COMPUTED_VALUE"""),"")</f>
        <v/>
      </c>
      <c r="G7651" s="42" t="str">
        <f>IFERROR(__xludf.DUMMYFUNCTION("""COMPUTED_VALUE"""),"PEMECAHAN")</f>
        <v>PEMECAHAN</v>
      </c>
      <c r="H7651" s="42">
        <f t="shared" si="1"/>
        <v>3187</v>
      </c>
    </row>
    <row r="7652" ht="22.5" customHeight="1">
      <c r="B7652" s="42" t="str">
        <f>IFERROR(__xludf.DUMMYFUNCTION("""COMPUTED_VALUE"""),"K/31/220925/1")</f>
        <v>K/31/220925/1</v>
      </c>
      <c r="C7652" s="42" t="str">
        <f>IFERROR(__xludf.DUMMYFUNCTION("""COMPUTED_VALUE"""),"M. 11261/TANJUNG BARU")</f>
        <v>M. 11261/TANJUNG BARU</v>
      </c>
      <c r="D7652" s="42"/>
      <c r="E7652" s="42"/>
      <c r="F7652" s="48" t="str">
        <f>IFERROR(__xludf.DUMMYFUNCTION("""COMPUTED_VALUE"""),"")</f>
        <v/>
      </c>
      <c r="G7652" s="42" t="str">
        <f>IFERROR(__xludf.DUMMYFUNCTION("""COMPUTED_VALUE"""),"BN JUAL BELI EL")</f>
        <v>BN JUAL BELI EL</v>
      </c>
      <c r="H7652" s="42">
        <f t="shared" si="1"/>
        <v>3187</v>
      </c>
    </row>
    <row r="7653" ht="22.5" customHeight="1">
      <c r="B7653" s="42" t="str">
        <f>IFERROR(__xludf.DUMMYFUNCTION("""COMPUTED_VALUE"""),"K/32/220925/2")</f>
        <v>K/32/220925/2</v>
      </c>
      <c r="C7653" s="42" t="str">
        <f>IFERROR(__xludf.DUMMYFUNCTION("""COMPUTED_VALUE"""),"NIBEL M. 16269/SUKARAME BARU")</f>
        <v>NIBEL M. 16269/SUKARAME BARU</v>
      </c>
      <c r="D7653" s="42"/>
      <c r="E7653" s="42"/>
      <c r="F7653" s="48" t="str">
        <f>IFERROR(__xludf.DUMMYFUNCTION("""COMPUTED_VALUE"""),"")</f>
        <v/>
      </c>
      <c r="G7653" s="42" t="str">
        <f>IFERROR(__xludf.DUMMYFUNCTION("""COMPUTED_VALUE"""),"BN JUAL BELI EL")</f>
        <v>BN JUAL BELI EL</v>
      </c>
      <c r="H7653" s="42">
        <f t="shared" si="1"/>
        <v>3187</v>
      </c>
    </row>
    <row r="7654" ht="22.5" customHeight="1">
      <c r="B7654" s="42" t="str">
        <f>IFERROR(__xludf.DUMMYFUNCTION("""COMPUTED_VALUE"""),"K/33/220925/1")</f>
        <v>K/33/220925/1</v>
      </c>
      <c r="C7654" s="42" t="str">
        <f>IFERROR(__xludf.DUMMYFUNCTION("""COMPUTED_VALUE"""),"M. 977/TANJUNG GADING")</f>
        <v>M. 977/TANJUNG GADING</v>
      </c>
      <c r="D7654" s="42"/>
      <c r="E7654" s="42"/>
      <c r="F7654" s="48" t="str">
        <f>IFERROR(__xludf.DUMMYFUNCTION("""COMPUTED_VALUE"""),"")</f>
        <v/>
      </c>
      <c r="G7654" s="42" t="str">
        <f>IFERROR(__xludf.DUMMYFUNCTION("""COMPUTED_VALUE"""),"SKPT LELANG")</f>
        <v>SKPT LELANG</v>
      </c>
      <c r="H7654" s="42">
        <f t="shared" si="1"/>
        <v>3187</v>
      </c>
    </row>
    <row r="7655" ht="22.5" customHeight="1">
      <c r="B7655" s="42" t="str">
        <f>IFERROR(__xludf.DUMMYFUNCTION("""COMPUTED_VALUE"""),"K/35/220925/1")</f>
        <v>K/35/220925/1</v>
      </c>
      <c r="C7655" s="42" t="str">
        <f>IFERROR(__xludf.DUMMYFUNCTION("""COMPUTED_VALUE"""),"M. 3555/KETEGUHAN")</f>
        <v>M. 3555/KETEGUHAN</v>
      </c>
      <c r="D7655" s="42"/>
      <c r="E7655" s="42"/>
      <c r="F7655" s="48" t="str">
        <f>IFERROR(__xludf.DUMMYFUNCTION("""COMPUTED_VALUE"""),"")</f>
        <v/>
      </c>
      <c r="G7655" s="42" t="str">
        <f>IFERROR(__xludf.DUMMYFUNCTION("""COMPUTED_VALUE"""),"PTPGT")</f>
        <v>PTPGT</v>
      </c>
      <c r="H7655" s="42">
        <f t="shared" si="1"/>
        <v>3187</v>
      </c>
    </row>
    <row r="7656" ht="22.5" customHeight="1">
      <c r="B7656" s="42" t="str">
        <f>IFERROR(__xludf.DUMMYFUNCTION("""COMPUTED_VALUE"""),"K/34/220925/1")</f>
        <v>K/34/220925/1</v>
      </c>
      <c r="C7656" s="42" t="str">
        <f>IFERROR(__xludf.DUMMYFUNCTION("""COMPUTED_VALUE"""),"M 1028/ WAY GUBAK")</f>
        <v>M 1028/ WAY GUBAK</v>
      </c>
      <c r="D7656" s="42"/>
      <c r="E7656" s="42"/>
      <c r="F7656" s="48" t="str">
        <f>IFERROR(__xludf.DUMMYFUNCTION("""COMPUTED_VALUE"""),"")</f>
        <v/>
      </c>
      <c r="G7656" s="42" t="str">
        <f>IFERROR(__xludf.DUMMYFUNCTION("""COMPUTED_VALUE"""),"PEMECAHAN")</f>
        <v>PEMECAHAN</v>
      </c>
      <c r="H7656" s="42">
        <f t="shared" si="1"/>
        <v>3187</v>
      </c>
    </row>
    <row r="7657" ht="22.5" customHeight="1">
      <c r="B7657" s="42" t="str">
        <f>IFERROR(__xludf.DUMMYFUNCTION("""COMPUTED_VALUE"""),"K/36/220925/1")</f>
        <v>K/36/220925/1</v>
      </c>
      <c r="C7657" s="42" t="str">
        <f>IFERROR(__xludf.DUMMYFUNCTION("""COMPUTED_VALUE"""),"nibel m 22548/ kelapa tiga permai")</f>
        <v>nibel m 22548/ kelapa tiga permai</v>
      </c>
      <c r="D7657" s="42"/>
      <c r="E7657" s="42"/>
      <c r="F7657" s="48" t="str">
        <f>IFERROR(__xludf.DUMMYFUNCTION("""COMPUTED_VALUE"""),"")</f>
        <v/>
      </c>
      <c r="G7657" s="42" t="str">
        <f>IFERROR(__xludf.DUMMYFUNCTION("""COMPUTED_VALUE"""),"BN JUAL BELI")</f>
        <v>BN JUAL BELI</v>
      </c>
      <c r="H7657" s="42">
        <f t="shared" si="1"/>
        <v>3187</v>
      </c>
    </row>
    <row r="7658" ht="22.5" customHeight="1">
      <c r="B7658" s="42" t="str">
        <f>IFERROR(__xludf.DUMMYFUNCTION("""COMPUTED_VALUE"""),"K/37/220925/2")</f>
        <v>K/37/220925/2</v>
      </c>
      <c r="C7658" s="42" t="str">
        <f>IFERROR(__xludf.DUMMYFUNCTION("""COMPUTED_VALUE"""),"NIBEL M 21800/ GEDONG MENENG")</f>
        <v>NIBEL M 21800/ GEDONG MENENG</v>
      </c>
      <c r="D7658" s="42"/>
      <c r="E7658" s="42"/>
      <c r="F7658" s="48" t="str">
        <f>IFERROR(__xludf.DUMMYFUNCTION("""COMPUTED_VALUE"""),"")</f>
        <v/>
      </c>
      <c r="G7658" s="42" t="str">
        <f>IFERROR(__xludf.DUMMYFUNCTION("""COMPUTED_VALUE"""),"PTPGT")</f>
        <v>PTPGT</v>
      </c>
      <c r="H7658" s="42">
        <f t="shared" si="1"/>
        <v>3187</v>
      </c>
    </row>
    <row r="7659" ht="22.5" customHeight="1">
      <c r="B7659" s="42" t="str">
        <f>IFERROR(__xludf.DUMMYFUNCTION("""COMPUTED_VALUE"""),"K/38/220925/1")</f>
        <v>K/38/220925/1</v>
      </c>
      <c r="C7659" s="42" t="str">
        <f>IFERROR(__xludf.DUMMYFUNCTION("""COMPUTED_VALUE"""),"M 12172/ SUKABUMI")</f>
        <v>M 12172/ SUKABUMI</v>
      </c>
      <c r="D7659" s="42"/>
      <c r="E7659" s="42"/>
      <c r="F7659" s="48" t="str">
        <f>IFERROR(__xludf.DUMMYFUNCTION("""COMPUTED_VALUE"""),"")</f>
        <v/>
      </c>
      <c r="G7659" s="42" t="str">
        <f>IFERROR(__xludf.DUMMYFUNCTION("""COMPUTED_VALUE"""),"BN JUAL BELI")</f>
        <v>BN JUAL BELI</v>
      </c>
      <c r="H7659" s="42">
        <f t="shared" si="1"/>
        <v>3187</v>
      </c>
    </row>
    <row r="7660" ht="22.5" customHeight="1">
      <c r="B7660" s="42" t="str">
        <f>IFERROR(__xludf.DUMMYFUNCTION("""COMPUTED_VALUE"""),"K/40/220925/1")</f>
        <v>K/40/220925/1</v>
      </c>
      <c r="C7660" s="42" t="str">
        <f>IFERROR(__xludf.DUMMYFUNCTION("""COMPUTED_VALUE"""),"M 1187/ GOTONG ROYONG")</f>
        <v>M 1187/ GOTONG ROYONG</v>
      </c>
      <c r="D7660" s="42"/>
      <c r="E7660" s="42"/>
      <c r="F7660" s="48" t="str">
        <f>IFERROR(__xludf.DUMMYFUNCTION("""COMPUTED_VALUE"""),"")</f>
        <v/>
      </c>
      <c r="G7660" s="42" t="str">
        <f>IFERROR(__xludf.DUMMYFUNCTION("""COMPUTED_VALUE"""),"BN WARIS")</f>
        <v>BN WARIS</v>
      </c>
      <c r="H7660" s="42">
        <f t="shared" si="1"/>
        <v>3187</v>
      </c>
    </row>
    <row r="7661" ht="22.5" customHeight="1">
      <c r="B7661" s="42" t="str">
        <f>IFERROR(__xludf.DUMMYFUNCTION("""COMPUTED_VALUE"""),"K/39/220925/1")</f>
        <v>K/39/220925/1</v>
      </c>
      <c r="C7661" s="42" t="str">
        <f>IFERROR(__xludf.DUMMYFUNCTION("""COMPUTED_VALUE"""),"M. 299/LABUHAN RATU RAYA")</f>
        <v>M. 299/LABUHAN RATU RAYA</v>
      </c>
      <c r="D7661" s="42"/>
      <c r="E7661" s="42"/>
      <c r="F7661" s="48" t="str">
        <f>IFERROR(__xludf.DUMMYFUNCTION("""COMPUTED_VALUE"""),"")</f>
        <v/>
      </c>
      <c r="G7661" s="42" t="str">
        <f>IFERROR(__xludf.DUMMYFUNCTION("""COMPUTED_VALUE"""),"BLOKIR")</f>
        <v>BLOKIR</v>
      </c>
      <c r="H7661" s="42">
        <f t="shared" si="1"/>
        <v>3187</v>
      </c>
    </row>
    <row r="7662" ht="22.5" customHeight="1">
      <c r="B7662" s="42" t="str">
        <f>IFERROR(__xludf.DUMMYFUNCTION("""COMPUTED_VALUE"""),"K/41/220925/1")</f>
        <v>K/41/220925/1</v>
      </c>
      <c r="C7662" s="42" t="str">
        <f>IFERROR(__xludf.DUMMYFUNCTION("""COMPUTED_VALUE"""),"NIBEL M 220750/ SUKARAME")</f>
        <v>NIBEL M 220750/ SUKARAME</v>
      </c>
      <c r="D7662" s="42"/>
      <c r="E7662" s="42"/>
      <c r="F7662" s="48" t="str">
        <f>IFERROR(__xludf.DUMMYFUNCTION("""COMPUTED_VALUE"""),"")</f>
        <v/>
      </c>
      <c r="G7662" s="42" t="str">
        <f>IFERROR(__xludf.DUMMYFUNCTION("""COMPUTED_VALUE"""),"BN JUAL BELI")</f>
        <v>BN JUAL BELI</v>
      </c>
      <c r="H7662" s="42">
        <f t="shared" si="1"/>
        <v>3187</v>
      </c>
    </row>
    <row r="7663" ht="22.5" customHeight="1">
      <c r="B7663" s="42" t="str">
        <f>IFERROR(__xludf.DUMMYFUNCTION("""COMPUTED_VALUE"""),"K/44/220925/2")</f>
        <v>K/44/220925/2</v>
      </c>
      <c r="C7663" s="42" t="str">
        <f>IFERROR(__xludf.DUMMYFUNCTION("""COMPUTED_VALUE"""),"M 1732/ SUKARAME BARU")</f>
        <v>M 1732/ SUKARAME BARU</v>
      </c>
      <c r="D7663" s="42"/>
      <c r="E7663" s="42"/>
      <c r="F7663" s="48" t="str">
        <f>IFERROR(__xludf.DUMMYFUNCTION("""COMPUTED_VALUE"""),"")</f>
        <v/>
      </c>
      <c r="G7663" s="42" t="str">
        <f>IFERROR(__xludf.DUMMYFUNCTION("""COMPUTED_VALUE"""),"BN JUAL BELI")</f>
        <v>BN JUAL BELI</v>
      </c>
      <c r="H7663" s="42">
        <f t="shared" si="1"/>
        <v>3187</v>
      </c>
    </row>
    <row r="7664" ht="22.5" customHeight="1">
      <c r="B7664" s="42" t="str">
        <f>IFERROR(__xludf.DUMMYFUNCTION("""COMPUTED_VALUE"""),"K/45/220925/2")</f>
        <v>K/45/220925/2</v>
      </c>
      <c r="C7664" s="42" t="str">
        <f>IFERROR(__xludf.DUMMYFUNCTION("""COMPUTED_VALUE"""),"NIBEL M 20479/ GUNUNG AGUNG")</f>
        <v>NIBEL M 20479/ GUNUNG AGUNG</v>
      </c>
      <c r="D7664" s="42"/>
      <c r="E7664" s="42"/>
      <c r="F7664" s="48" t="str">
        <f>IFERROR(__xludf.DUMMYFUNCTION("""COMPUTED_VALUE"""),"")</f>
        <v/>
      </c>
      <c r="G7664" s="42" t="str">
        <f>IFERROR(__xludf.DUMMYFUNCTION("""COMPUTED_VALUE"""),"PEMECAHAN")</f>
        <v>PEMECAHAN</v>
      </c>
      <c r="H7664" s="42">
        <f t="shared" si="1"/>
        <v>3187</v>
      </c>
    </row>
    <row r="7665" ht="22.5" customHeight="1">
      <c r="B7665" s="42" t="str">
        <f>IFERROR(__xludf.DUMMYFUNCTION("""COMPUTED_VALUE"""),"K/46/220925/1")</f>
        <v>K/46/220925/1</v>
      </c>
      <c r="C7665" s="42" t="str">
        <f>IFERROR(__xludf.DUMMYFUNCTION("""COMPUTED_VALUE"""),"NIBEL M 23907/ SUKARAME")</f>
        <v>NIBEL M 23907/ SUKARAME</v>
      </c>
      <c r="D7665" s="42"/>
      <c r="E7665" s="42"/>
      <c r="F7665" s="48" t="str">
        <f>IFERROR(__xludf.DUMMYFUNCTION("""COMPUTED_VALUE"""),"")</f>
        <v/>
      </c>
      <c r="G7665" s="42" t="str">
        <f>IFERROR(__xludf.DUMMYFUNCTION("""COMPUTED_VALUE"""),"BN JUAL BELI")</f>
        <v>BN JUAL BELI</v>
      </c>
      <c r="H7665" s="42">
        <f t="shared" si="1"/>
        <v>3187</v>
      </c>
    </row>
    <row r="7666" ht="22.5" customHeight="1">
      <c r="B7666" s="42" t="str">
        <f>IFERROR(__xludf.DUMMYFUNCTION("""COMPUTED_VALUE"""),"K/42/220925/1")</f>
        <v>K/42/220925/1</v>
      </c>
      <c r="C7666" s="42" t="str">
        <f>IFERROR(__xludf.DUMMYFUNCTION("""COMPUTED_VALUE"""),"SK NO. 3/HP/BPN-18.71/IX/2025")</f>
        <v>SK NO. 3/HP/BPN-18.71/IX/2025</v>
      </c>
      <c r="D7666" s="42"/>
      <c r="E7666" s="42"/>
      <c r="F7666" s="48" t="str">
        <f>IFERROR(__xludf.DUMMYFUNCTION("""COMPUTED_VALUE"""),"")</f>
        <v/>
      </c>
      <c r="G7666" s="42" t="str">
        <f>IFERROR(__xludf.DUMMYFUNCTION("""COMPUTED_VALUE"""),"PENDAFTARAN SK")</f>
        <v>PENDAFTARAN SK</v>
      </c>
      <c r="H7666" s="42">
        <f t="shared" si="1"/>
        <v>3187</v>
      </c>
    </row>
    <row r="7667" ht="22.5" customHeight="1">
      <c r="B7667" s="42" t="str">
        <f>IFERROR(__xludf.DUMMYFUNCTION("""COMPUTED_VALUE"""),"K/43/220925/2")</f>
        <v>K/43/220925/2</v>
      </c>
      <c r="C7667" s="42" t="str">
        <f>IFERROR(__xludf.DUMMYFUNCTION("""COMPUTED_VALUE"""),"SK NO. 4/HP/BPN-18.71/IX/2025")</f>
        <v>SK NO. 4/HP/BPN-18.71/IX/2025</v>
      </c>
      <c r="D7667" s="42"/>
      <c r="E7667" s="42"/>
      <c r="F7667" s="48" t="str">
        <f>IFERROR(__xludf.DUMMYFUNCTION("""COMPUTED_VALUE"""),"")</f>
        <v/>
      </c>
      <c r="G7667" s="42" t="str">
        <f>IFERROR(__xludf.DUMMYFUNCTION("""COMPUTED_VALUE"""),"PENDAFTARAN SK")</f>
        <v>PENDAFTARAN SK</v>
      </c>
      <c r="H7667" s="42">
        <f t="shared" si="1"/>
        <v>3187</v>
      </c>
    </row>
    <row r="7668" ht="22.5" customHeight="1">
      <c r="B7668" s="42" t="str">
        <f>IFERROR(__xludf.DUMMYFUNCTION("""COMPUTED_VALUE"""),"L/47/220925/1")</f>
        <v>L/47/220925/1</v>
      </c>
      <c r="C7668" s="42" t="str">
        <f>IFERROR(__xludf.DUMMYFUNCTION("""COMPUTED_VALUE"""),"M.586/SUKARAME")</f>
        <v>M.586/SUKARAME</v>
      </c>
      <c r="D7668" s="42"/>
      <c r="E7668" s="42"/>
      <c r="F7668" s="48" t="str">
        <f>IFERROR(__xludf.DUMMYFUNCTION("""COMPUTED_VALUE"""),"")</f>
        <v/>
      </c>
      <c r="G7668" s="42" t="str">
        <f>IFERROR(__xludf.DUMMYFUNCTION("""COMPUTED_VALUE"""),"SITA")</f>
        <v>SITA</v>
      </c>
      <c r="H7668" s="42">
        <f t="shared" si="1"/>
        <v>3187</v>
      </c>
    </row>
    <row r="7669" ht="22.5" customHeight="1">
      <c r="B7669" s="42" t="str">
        <f>IFERROR(__xludf.DUMMYFUNCTION("""COMPUTED_VALUE"""),"L/48/220925/2")</f>
        <v>L/48/220925/2</v>
      </c>
      <c r="C7669" s="42" t="str">
        <f>IFERROR(__xludf.DUMMYFUNCTION("""COMPUTED_VALUE"""),"M.18050 SUKARAME")</f>
        <v>M.18050 SUKARAME</v>
      </c>
      <c r="D7669" s="42"/>
      <c r="E7669" s="42"/>
      <c r="F7669" s="48" t="str">
        <f>IFERROR(__xludf.DUMMYFUNCTION("""COMPUTED_VALUE"""),"")</f>
        <v/>
      </c>
      <c r="G7669" s="42" t="str">
        <f>IFERROR(__xludf.DUMMYFUNCTION("""COMPUTED_VALUE"""),"SITA")</f>
        <v>SITA</v>
      </c>
      <c r="H7669" s="42">
        <f t="shared" si="1"/>
        <v>3187</v>
      </c>
    </row>
    <row r="7670" ht="22.5" customHeight="1">
      <c r="B7670" s="42" t="str">
        <f>IFERROR(__xludf.DUMMYFUNCTION("""COMPUTED_VALUE"""),"L/49/220925/1")</f>
        <v>L/49/220925/1</v>
      </c>
      <c r="C7670" s="42" t="str">
        <f>IFERROR(__xludf.DUMMYFUNCTION("""COMPUTED_VALUE"""),"B.2494/SUKARAME")</f>
        <v>B.2494/SUKARAME</v>
      </c>
      <c r="D7670" s="42"/>
      <c r="E7670" s="42"/>
      <c r="F7670" s="48" t="str">
        <f>IFERROR(__xludf.DUMMYFUNCTION("""COMPUTED_VALUE"""),"")</f>
        <v/>
      </c>
      <c r="G7670" s="42" t="str">
        <f>IFERROR(__xludf.DUMMYFUNCTION("""COMPUTED_VALUE"""),"PENINGKATAN HAK")</f>
        <v>PENINGKATAN HAK</v>
      </c>
      <c r="H7670" s="42">
        <f t="shared" si="1"/>
        <v>3187</v>
      </c>
    </row>
    <row r="7671" ht="22.5" customHeight="1">
      <c r="B7671" s="42" t="str">
        <f>IFERROR(__xludf.DUMMYFUNCTION("""COMPUTED_VALUE"""),"L/50/220925/1")</f>
        <v>L/50/220925/1</v>
      </c>
      <c r="C7671" s="42" t="str">
        <f>IFERROR(__xludf.DUMMYFUNCTION("""COMPUTED_VALUE"""),"M.201 DAN 202 KEMILING PERMAI")</f>
        <v>M.201 DAN 202 KEMILING PERMAI</v>
      </c>
      <c r="D7671" s="42"/>
      <c r="E7671" s="42"/>
      <c r="F7671" s="48" t="str">
        <f>IFERROR(__xludf.DUMMYFUNCTION("""COMPUTED_VALUE"""),"")</f>
        <v/>
      </c>
      <c r="G7671" s="42" t="str">
        <f>IFERROR(__xludf.DUMMYFUNCTION("""COMPUTED_VALUE"""),"ROYA")</f>
        <v>ROYA</v>
      </c>
      <c r="H7671" s="42">
        <f t="shared" si="1"/>
        <v>3187</v>
      </c>
    </row>
    <row r="7672" ht="22.5" customHeight="1">
      <c r="B7672" s="42" t="str">
        <f>IFERROR(__xludf.DUMMYFUNCTION("""COMPUTED_VALUE"""),"K/51/220925/1")</f>
        <v>K/51/220925/1</v>
      </c>
      <c r="C7672" s="42" t="str">
        <f>IFERROR(__xludf.DUMMYFUNCTION("""COMPUTED_VALUE"""),"B. 640/NUSANTARA PERMAI")</f>
        <v>B. 640/NUSANTARA PERMAI</v>
      </c>
      <c r="D7672" s="42" t="str">
        <f>IFERROR(__xludf.DUMMYFUNCTION("""COMPUTED_VALUE"""),"David")</f>
        <v>David</v>
      </c>
      <c r="E7672" s="42" t="str">
        <f>IFERROR(__xludf.DUMMYFUNCTION("""COMPUTED_VALUE"""),"DISERAHKAN")</f>
        <v>DISERAHKAN</v>
      </c>
      <c r="F7672" s="48">
        <f>IFERROR(__xludf.DUMMYFUNCTION("""COMPUTED_VALUE"""),45981.61826268518)</f>
        <v>45981.61826</v>
      </c>
      <c r="G7672" s="42" t="str">
        <f>IFERROR(__xludf.DUMMYFUNCTION("""COMPUTED_VALUE"""),"PH")</f>
        <v>PH</v>
      </c>
      <c r="H7672" s="42">
        <f t="shared" si="1"/>
        <v>3188</v>
      </c>
    </row>
    <row r="7673" ht="22.5" customHeight="1">
      <c r="B7673" s="42" t="str">
        <f>IFERROR(__xludf.DUMMYFUNCTION("""COMPUTED_VALUE"""),"K/52/220925/2")</f>
        <v>K/52/220925/2</v>
      </c>
      <c r="C7673" s="42" t="str">
        <f>IFERROR(__xludf.DUMMYFUNCTION("""COMPUTED_VALUE"""),"B. 641/NUSANTARA PERMAI")</f>
        <v>B. 641/NUSANTARA PERMAI</v>
      </c>
      <c r="D7673" s="42"/>
      <c r="E7673" s="42"/>
      <c r="F7673" s="48" t="str">
        <f>IFERROR(__xludf.DUMMYFUNCTION("""COMPUTED_VALUE"""),"")</f>
        <v/>
      </c>
      <c r="G7673" s="42" t="str">
        <f>IFERROR(__xludf.DUMMYFUNCTION("""COMPUTED_VALUE"""),"PH")</f>
        <v>PH</v>
      </c>
      <c r="H7673" s="42">
        <f t="shared" si="1"/>
        <v>3188</v>
      </c>
    </row>
    <row r="7674" ht="22.5" customHeight="1">
      <c r="B7674" s="42" t="str">
        <f>IFERROR(__xludf.DUMMYFUNCTION("""COMPUTED_VALUE"""),"K/3/230925/1")</f>
        <v>K/3/230925/1</v>
      </c>
      <c r="C7674" s="42" t="str">
        <f>IFERROR(__xludf.DUMMYFUNCTION("""COMPUTED_VALUE"""),"M 1640/ KEDAUNG")</f>
        <v>M 1640/ KEDAUNG</v>
      </c>
      <c r="D7674" s="42"/>
      <c r="E7674" s="42"/>
      <c r="F7674" s="48" t="str">
        <f>IFERROR(__xludf.DUMMYFUNCTION("""COMPUTED_VALUE"""),"")</f>
        <v/>
      </c>
      <c r="G7674" s="42" t="str">
        <f>IFERROR(__xludf.DUMMYFUNCTION("""COMPUTED_VALUE"""),"BN JUAL BELI")</f>
        <v>BN JUAL BELI</v>
      </c>
      <c r="H7674" s="42">
        <f t="shared" si="1"/>
        <v>3188</v>
      </c>
    </row>
    <row r="7675" ht="22.5" customHeight="1">
      <c r="B7675" s="42" t="str">
        <f>IFERROR(__xludf.DUMMYFUNCTION("""COMPUTED_VALUE"""),"L/1/230925/1")</f>
        <v>L/1/230925/1</v>
      </c>
      <c r="C7675" s="42" t="str">
        <f>IFERROR(__xludf.DUMMYFUNCTION("""COMPUTED_VALUE"""),"M.6131/SURABAYA")</f>
        <v>M.6131/SURABAYA</v>
      </c>
      <c r="D7675" s="42"/>
      <c r="E7675" s="42"/>
      <c r="F7675" s="48" t="str">
        <f>IFERROR(__xludf.DUMMYFUNCTION("""COMPUTED_VALUE"""),"")</f>
        <v/>
      </c>
      <c r="G7675" s="42" t="str">
        <f>IFERROR(__xludf.DUMMYFUNCTION("""COMPUTED_VALUE"""),"KEWARISAN ")</f>
        <v>KEWARISAN </v>
      </c>
      <c r="H7675" s="42">
        <f t="shared" si="1"/>
        <v>3188</v>
      </c>
    </row>
    <row r="7676" ht="22.5" customHeight="1">
      <c r="B7676" s="42" t="str">
        <f>IFERROR(__xludf.DUMMYFUNCTION("""COMPUTED_VALUE"""),"L/4/230925/1")</f>
        <v>L/4/230925/1</v>
      </c>
      <c r="C7676" s="42" t="str">
        <f>IFERROR(__xludf.DUMMYFUNCTION("""COMPUTED_VALUE"""),"B.107/CAMPANG RAYA")</f>
        <v>B.107/CAMPANG RAYA</v>
      </c>
      <c r="D7676" s="42" t="str">
        <f>IFERROR(__xludf.DUMMYFUNCTION("""COMPUTED_VALUE"""),"David")</f>
        <v>David</v>
      </c>
      <c r="E7676" s="42" t="str">
        <f>IFERROR(__xludf.DUMMYFUNCTION("""COMPUTED_VALUE"""),"DISERAHKAN")</f>
        <v>DISERAHKAN</v>
      </c>
      <c r="F7676" s="48">
        <f>IFERROR(__xludf.DUMMYFUNCTION("""COMPUTED_VALUE"""),45950.60367203703)</f>
        <v>45950.60367</v>
      </c>
      <c r="G7676" s="42" t="str">
        <f>IFERROR(__xludf.DUMMYFUNCTION("""COMPUTED_VALUE"""),"TANAH MENTAH PEMBARUAN ")</f>
        <v>TANAH MENTAH PEMBARUAN </v>
      </c>
      <c r="H7676" s="42">
        <f t="shared" si="1"/>
        <v>3189</v>
      </c>
    </row>
    <row r="7677" ht="22.5" customHeight="1">
      <c r="B7677" s="42" t="str">
        <f>IFERROR(__xludf.DUMMYFUNCTION("""COMPUTED_VALUE"""),"K/5/230925/1")</f>
        <v>K/5/230925/1</v>
      </c>
      <c r="C7677" s="42" t="str">
        <f>IFERROR(__xludf.DUMMYFUNCTION("""COMPUTED_VALUE"""),"M 19386/ SUKARAME")</f>
        <v>M 19386/ SUKARAME</v>
      </c>
      <c r="D7677" s="42"/>
      <c r="E7677" s="42"/>
      <c r="F7677" s="48" t="str">
        <f>IFERROR(__xludf.DUMMYFUNCTION("""COMPUTED_VALUE"""),"")</f>
        <v/>
      </c>
      <c r="G7677" s="42" t="str">
        <f>IFERROR(__xludf.DUMMYFUNCTION("""COMPUTED_VALUE"""),"BN HIBAH")</f>
        <v>BN HIBAH</v>
      </c>
      <c r="H7677" s="42">
        <f t="shared" si="1"/>
        <v>3189</v>
      </c>
    </row>
    <row r="7678" ht="22.5" customHeight="1">
      <c r="B7678" s="42" t="str">
        <f>IFERROR(__xludf.DUMMYFUNCTION("""COMPUTED_VALUE"""),"K/7/230925/1")</f>
        <v>K/7/230925/1</v>
      </c>
      <c r="C7678" s="42" t="str">
        <f>IFERROR(__xludf.DUMMYFUNCTION("""COMPUTED_VALUE"""),"Nibel 19652/Rajabasa Raya")</f>
        <v>Nibel 19652/Rajabasa Raya</v>
      </c>
      <c r="D7678" s="42" t="str">
        <f>IFERROR(__xludf.DUMMYFUNCTION("""COMPUTED_VALUE"""),"Berry")</f>
        <v>Berry</v>
      </c>
      <c r="E7678" s="42" t="str">
        <f>IFERROR(__xludf.DUMMYFUNCTION("""COMPUTED_VALUE"""),"DISERAHKAN")</f>
        <v>DISERAHKAN</v>
      </c>
      <c r="F7678" s="48">
        <f>IFERROR(__xludf.DUMMYFUNCTION("""COMPUTED_VALUE"""),45966.649723298615)</f>
        <v>45966.64972</v>
      </c>
      <c r="G7678" s="42" t="str">
        <f>IFERROR(__xludf.DUMMYFUNCTION("""COMPUTED_VALUE"""),"Penataan Batas		")</f>
        <v>Penataan Batas		</v>
      </c>
      <c r="H7678" s="42">
        <f t="shared" si="1"/>
        <v>3190</v>
      </c>
    </row>
    <row r="7679" ht="22.5" customHeight="1">
      <c r="B7679" s="42" t="str">
        <f>IFERROR(__xludf.DUMMYFUNCTION("""COMPUTED_VALUE"""),"K/6/230925/2")</f>
        <v>K/6/230925/2</v>
      </c>
      <c r="C7679" s="42" t="str">
        <f>IFERROR(__xludf.DUMMYFUNCTION("""COMPUTED_VALUE"""),"M 19339/ SUKARAME")</f>
        <v>M 19339/ SUKARAME</v>
      </c>
      <c r="D7679" s="42"/>
      <c r="E7679" s="42"/>
      <c r="F7679" s="48" t="str">
        <f>IFERROR(__xludf.DUMMYFUNCTION("""COMPUTED_VALUE"""),"")</f>
        <v/>
      </c>
      <c r="G7679" s="42" t="str">
        <f>IFERROR(__xludf.DUMMYFUNCTION("""COMPUTED_VALUE"""),"BN HIBAH")</f>
        <v>BN HIBAH</v>
      </c>
      <c r="H7679" s="42">
        <f t="shared" si="1"/>
        <v>3190</v>
      </c>
    </row>
    <row r="7680" ht="22.5" customHeight="1">
      <c r="B7680" s="42" t="str">
        <f>IFERROR(__xludf.DUMMYFUNCTION("""COMPUTED_VALUE"""),"L/8/230925/1")</f>
        <v>L/8/230925/1</v>
      </c>
      <c r="C7680" s="42" t="str">
        <f>IFERROR(__xludf.DUMMYFUNCTION("""COMPUTED_VALUE"""),"B.327/PEMATANG WANGI")</f>
        <v>B.327/PEMATANG WANGI</v>
      </c>
      <c r="D7680" s="42" t="str">
        <f>IFERROR(__xludf.DUMMYFUNCTION("""COMPUTED_VALUE"""),"Berry")</f>
        <v>Berry</v>
      </c>
      <c r="E7680" s="42" t="str">
        <f>IFERROR(__xludf.DUMMYFUNCTION("""COMPUTED_VALUE"""),"DISERAHKAN")</f>
        <v>DISERAHKAN</v>
      </c>
      <c r="F7680" s="48">
        <f>IFERROR(__xludf.DUMMYFUNCTION("""COMPUTED_VALUE"""),45988.63966912037)</f>
        <v>45988.63967</v>
      </c>
      <c r="G7680" s="42" t="str">
        <f>IFERROR(__xludf.DUMMYFUNCTION("""COMPUTED_VALUE"""),"PENINGKATAN ")</f>
        <v>PENINGKATAN </v>
      </c>
      <c r="H7680" s="42">
        <f t="shared" si="1"/>
        <v>3191</v>
      </c>
    </row>
    <row r="7681" ht="22.5" customHeight="1">
      <c r="B7681" s="42" t="str">
        <f>IFERROR(__xludf.DUMMYFUNCTION("""COMPUTED_VALUE"""),"K/9/230925/1")</f>
        <v>K/9/230925/1</v>
      </c>
      <c r="C7681" s="42" t="str">
        <f>IFERROR(__xludf.DUMMYFUNCTION("""COMPUTED_VALUE"""),"Nibel 23577/Kali Balau Kencana	")</f>
        <v>Nibel 23577/Kali Balau Kencana	</v>
      </c>
      <c r="D7681" s="42"/>
      <c r="E7681" s="42"/>
      <c r="F7681" s="48" t="str">
        <f>IFERROR(__xludf.DUMMYFUNCTION("""COMPUTED_VALUE"""),"")</f>
        <v/>
      </c>
      <c r="G7681" s="42" t="str">
        <f>IFERROR(__xludf.DUMMYFUNCTION("""COMPUTED_VALUE"""),"BN Jual Beli	")</f>
        <v>BN Jual Beli	</v>
      </c>
      <c r="H7681" s="42">
        <f t="shared" si="1"/>
        <v>3191</v>
      </c>
    </row>
    <row r="7682" ht="22.5" customHeight="1">
      <c r="B7682" s="42" t="str">
        <f>IFERROR(__xludf.DUMMYFUNCTION("""COMPUTED_VALUE"""),"K/10/230925/1")</f>
        <v>K/10/230925/1</v>
      </c>
      <c r="C7682" s="42" t="str">
        <f>IFERROR(__xludf.DUMMYFUNCTION("""COMPUTED_VALUE"""),"Nibel 22050/TanjungKarang   ")</f>
        <v>Nibel 22050/TanjungKarang   </v>
      </c>
      <c r="D7682" s="42"/>
      <c r="E7682" s="42"/>
      <c r="F7682" s="48" t="str">
        <f>IFERROR(__xludf.DUMMYFUNCTION("""COMPUTED_VALUE"""),"")</f>
        <v/>
      </c>
      <c r="G7682" s="42" t="str">
        <f>IFERROR(__xludf.DUMMYFUNCTION("""COMPUTED_VALUE"""),"BN Jual Beli	")</f>
        <v>BN Jual Beli	</v>
      </c>
      <c r="H7682" s="42">
        <f t="shared" si="1"/>
        <v>3191</v>
      </c>
    </row>
    <row r="7683" ht="22.5" customHeight="1">
      <c r="B7683" s="42" t="str">
        <f>IFERROR(__xludf.DUMMYFUNCTION("""COMPUTED_VALUE"""),"K/11/230925/2")</f>
        <v>K/11/230925/2</v>
      </c>
      <c r="C7683" s="42" t="str">
        <f>IFERROR(__xludf.DUMMYFUNCTION("""COMPUTED_VALUE"""),"Nibel 2006/Jagabaya II	")</f>
        <v>Nibel 2006/Jagabaya II	</v>
      </c>
      <c r="D7683" s="42"/>
      <c r="E7683" s="42"/>
      <c r="F7683" s="48" t="str">
        <f>IFERROR(__xludf.DUMMYFUNCTION("""COMPUTED_VALUE"""),"")</f>
        <v/>
      </c>
      <c r="G7683" s="42" t="str">
        <f>IFERROR(__xludf.DUMMYFUNCTION("""COMPUTED_VALUE"""),"BN Jual Beli	")</f>
        <v>BN Jual Beli	</v>
      </c>
      <c r="H7683" s="42">
        <f t="shared" si="1"/>
        <v>3191</v>
      </c>
    </row>
    <row r="7684" ht="22.5" customHeight="1">
      <c r="B7684" s="42" t="str">
        <f>IFERROR(__xludf.DUMMYFUNCTION("""COMPUTED_VALUE"""),"K/12/230925/3")</f>
        <v>K/12/230925/3</v>
      </c>
      <c r="C7684" s="42" t="str">
        <f>IFERROR(__xludf.DUMMYFUNCTION("""COMPUTED_VALUE"""),"M. 1245/Jagabaya III	")</f>
        <v>M. 1245/Jagabaya III	</v>
      </c>
      <c r="D7684" s="42" t="str">
        <f>IFERROR(__xludf.DUMMYFUNCTION("""COMPUTED_VALUE"""),"Berry")</f>
        <v>Berry</v>
      </c>
      <c r="E7684" s="42" t="str">
        <f>IFERROR(__xludf.DUMMYFUNCTION("""COMPUTED_VALUE"""),"DISERAHKAN")</f>
        <v>DISERAHKAN</v>
      </c>
      <c r="F7684" s="48">
        <f>IFERROR(__xludf.DUMMYFUNCTION("""COMPUTED_VALUE"""),45966.65179851852)</f>
        <v>45966.6518</v>
      </c>
      <c r="G7684" s="42" t="str">
        <f>IFERROR(__xludf.DUMMYFUNCTION("""COMPUTED_VALUE"""),"BN Jual Beli	")</f>
        <v>BN Jual Beli	</v>
      </c>
      <c r="H7684" s="42">
        <f t="shared" si="1"/>
        <v>3192</v>
      </c>
    </row>
    <row r="7685" ht="22.5" customHeight="1">
      <c r="B7685" s="42" t="str">
        <f>IFERROR(__xludf.DUMMYFUNCTION("""COMPUTED_VALUE"""),"K/13/230925/1")</f>
        <v>K/13/230925/1</v>
      </c>
      <c r="C7685" s="42" t="str">
        <f>IFERROR(__xludf.DUMMYFUNCTION("""COMPUTED_VALUE"""),"M. 417/Ketapang	")</f>
        <v>M. 417/Ketapang	</v>
      </c>
      <c r="D7685" s="42" t="str">
        <f>IFERROR(__xludf.DUMMYFUNCTION("""COMPUTED_VALUE"""),"Alfiansyah")</f>
        <v>Alfiansyah</v>
      </c>
      <c r="E7685" s="42" t="str">
        <f>IFERROR(__xludf.DUMMYFUNCTION("""COMPUTED_VALUE"""),"DISERAHKAN")</f>
        <v>DISERAHKAN</v>
      </c>
      <c r="F7685" s="48">
        <f>IFERROR(__xludf.DUMMYFUNCTION("""COMPUTED_VALUE"""),45957.490542997686)</f>
        <v>45957.49054</v>
      </c>
      <c r="G7685" s="42" t="str">
        <f>IFERROR(__xludf.DUMMYFUNCTION("""COMPUTED_VALUE"""),"Roya Lelang	")</f>
        <v>Roya Lelang	</v>
      </c>
      <c r="H7685" s="42">
        <f t="shared" si="1"/>
        <v>3193</v>
      </c>
    </row>
    <row r="7686" ht="22.5" customHeight="1">
      <c r="B7686" s="42" t="str">
        <f>IFERROR(__xludf.DUMMYFUNCTION("""COMPUTED_VALUE"""),"K/14/230925/1")</f>
        <v>K/14/230925/1</v>
      </c>
      <c r="C7686" s="42" t="str">
        <f>IFERROR(__xludf.DUMMYFUNCTION("""COMPUTED_VALUE"""),"NIBEL M 24257/ KEMILING PERMAI")</f>
        <v>NIBEL M 24257/ KEMILING PERMAI</v>
      </c>
      <c r="D7686" s="42" t="str">
        <f>IFERROR(__xludf.DUMMYFUNCTION("""COMPUTED_VALUE"""),"Berry")</f>
        <v>Berry</v>
      </c>
      <c r="E7686" s="42" t="str">
        <f>IFERROR(__xludf.DUMMYFUNCTION("""COMPUTED_VALUE"""),"DISERAHKAN")</f>
        <v>DISERAHKAN</v>
      </c>
      <c r="F7686" s="48">
        <f>IFERROR(__xludf.DUMMYFUNCTION("""COMPUTED_VALUE"""),45988.639022476855)</f>
        <v>45988.63902</v>
      </c>
      <c r="G7686" s="42" t="str">
        <f>IFERROR(__xludf.DUMMYFUNCTION("""COMPUTED_VALUE"""),"BN JUAL BELI")</f>
        <v>BN JUAL BELI</v>
      </c>
      <c r="H7686" s="42">
        <f t="shared" si="1"/>
        <v>3194</v>
      </c>
    </row>
    <row r="7687" ht="22.5" customHeight="1">
      <c r="B7687" s="42" t="str">
        <f>IFERROR(__xludf.DUMMYFUNCTION("""COMPUTED_VALUE"""),"K/15/230925/1")</f>
        <v>K/15/230925/1</v>
      </c>
      <c r="C7687" s="42" t="str">
        <f>IFERROR(__xludf.DUMMYFUNCTION("""COMPUTED_VALUE"""),"M. 1367/Sukarame Baru	")</f>
        <v>M. 1367/Sukarame Baru	</v>
      </c>
      <c r="D7687" s="42"/>
      <c r="E7687" s="42"/>
      <c r="F7687" s="48" t="str">
        <f>IFERROR(__xludf.DUMMYFUNCTION("""COMPUTED_VALUE"""),"")</f>
        <v/>
      </c>
      <c r="G7687" s="42" t="str">
        <f>IFERROR(__xludf.DUMMYFUNCTION("""COMPUTED_VALUE"""),"BN Waris	")</f>
        <v>BN Waris	</v>
      </c>
      <c r="H7687" s="42">
        <f t="shared" si="1"/>
        <v>3194</v>
      </c>
    </row>
    <row r="7688" ht="22.5" customHeight="1">
      <c r="B7688" s="42" t="str">
        <f>IFERROR(__xludf.DUMMYFUNCTION("""COMPUTED_VALUE"""),"K/2/230925/1")</f>
        <v>K/2/230925/1</v>
      </c>
      <c r="C7688" s="42" t="str">
        <f>IFERROR(__xludf.DUMMYFUNCTION("""COMPUTED_VALUE"""),"B. 284/TANJUNGKARANG")</f>
        <v>B. 284/TANJUNGKARANG</v>
      </c>
      <c r="D7688" s="42" t="str">
        <f>IFERROR(__xludf.DUMMYFUNCTION("""COMPUTED_VALUE"""),"Berry")</f>
        <v>Berry</v>
      </c>
      <c r="E7688" s="42" t="str">
        <f>IFERROR(__xludf.DUMMYFUNCTION("""COMPUTED_VALUE"""),"DISERAHKAN")</f>
        <v>DISERAHKAN</v>
      </c>
      <c r="F7688" s="48">
        <f>IFERROR(__xludf.DUMMYFUNCTION("""COMPUTED_VALUE"""),45945.67980533565)</f>
        <v>45945.67981</v>
      </c>
      <c r="G7688" s="42" t="str">
        <f>IFERROR(__xludf.DUMMYFUNCTION("""COMPUTED_VALUE"""),"BN WARIS")</f>
        <v>BN WARIS</v>
      </c>
      <c r="H7688" s="42">
        <f t="shared" si="1"/>
        <v>3195</v>
      </c>
    </row>
    <row r="7689" ht="22.5" customHeight="1">
      <c r="B7689" s="42" t="str">
        <f>IFERROR(__xludf.DUMMYFUNCTION("""COMPUTED_VALUE"""),"K/16/230925/1")</f>
        <v>K/16/230925/1</v>
      </c>
      <c r="C7689" s="42" t="str">
        <f>IFERROR(__xludf.DUMMYFUNCTION("""COMPUTED_VALUE"""),"M. 1355/WAY KANDIS")</f>
        <v>M. 1355/WAY KANDIS</v>
      </c>
      <c r="D7689" s="42"/>
      <c r="E7689" s="42"/>
      <c r="F7689" s="48" t="str">
        <f>IFERROR(__xludf.DUMMYFUNCTION("""COMPUTED_VALUE"""),"")</f>
        <v/>
      </c>
      <c r="G7689" s="42" t="str">
        <f>IFERROR(__xludf.DUMMYFUNCTION("""COMPUTED_VALUE"""),"BN JUAL BELI EL")</f>
        <v>BN JUAL BELI EL</v>
      </c>
      <c r="H7689" s="42">
        <f t="shared" si="1"/>
        <v>3195</v>
      </c>
    </row>
    <row r="7690" ht="22.5" customHeight="1">
      <c r="B7690" s="42" t="str">
        <f>IFERROR(__xludf.DUMMYFUNCTION("""COMPUTED_VALUE"""),"K/19/230925/1")</f>
        <v>K/19/230925/1</v>
      </c>
      <c r="C7690" s="42" t="str">
        <f>IFERROR(__xludf.DUMMYFUNCTION("""COMPUTED_VALUE"""),"M 15730/ SUKABUMI")</f>
        <v>M 15730/ SUKABUMI</v>
      </c>
      <c r="D7690" s="42"/>
      <c r="E7690" s="42"/>
      <c r="F7690" s="48" t="str">
        <f>IFERROR(__xludf.DUMMYFUNCTION("""COMPUTED_VALUE"""),"")</f>
        <v/>
      </c>
      <c r="G7690" s="42" t="str">
        <f>IFERROR(__xludf.DUMMYFUNCTION("""COMPUTED_VALUE"""),"BN JUAL BELI")</f>
        <v>BN JUAL BELI</v>
      </c>
      <c r="H7690" s="42">
        <f t="shared" si="1"/>
        <v>3195</v>
      </c>
    </row>
    <row r="7691" ht="22.5" customHeight="1">
      <c r="B7691" s="42" t="str">
        <f>IFERROR(__xludf.DUMMYFUNCTION("""COMPUTED_VALUE"""),"K/20/230925/2")</f>
        <v>K/20/230925/2</v>
      </c>
      <c r="C7691" s="42" t="str">
        <f>IFERROR(__xludf.DUMMYFUNCTION("""COMPUTED_VALUE"""),"M 1010/ WAY HALIM PERMAI")</f>
        <v>M 1010/ WAY HALIM PERMAI</v>
      </c>
      <c r="D7691" s="42" t="str">
        <f>IFERROR(__xludf.DUMMYFUNCTION("""COMPUTED_VALUE"""),"David")</f>
        <v>David</v>
      </c>
      <c r="E7691" s="42" t="str">
        <f>IFERROR(__xludf.DUMMYFUNCTION("""COMPUTED_VALUE"""),"DISERAHKAN")</f>
        <v>DISERAHKAN</v>
      </c>
      <c r="F7691" s="48">
        <f>IFERROR(__xludf.DUMMYFUNCTION("""COMPUTED_VALUE"""),45993.587929710644)</f>
        <v>45993.58793</v>
      </c>
      <c r="G7691" s="42" t="str">
        <f>IFERROR(__xludf.DUMMYFUNCTION("""COMPUTED_VALUE"""),"ROYA")</f>
        <v>ROYA</v>
      </c>
      <c r="H7691" s="42">
        <f t="shared" si="1"/>
        <v>3196</v>
      </c>
    </row>
    <row r="7692" ht="22.5" customHeight="1">
      <c r="B7692" s="42" t="str">
        <f>IFERROR(__xludf.DUMMYFUNCTION("""COMPUTED_VALUE"""),"K/18/230925/1")</f>
        <v>K/18/230925/1</v>
      </c>
      <c r="C7692" s="42" t="str">
        <f>IFERROR(__xludf.DUMMYFUNCTION("""COMPUTED_VALUE"""),"M. 5874/WAY KANDIS")</f>
        <v>M. 5874/WAY KANDIS</v>
      </c>
      <c r="D7692" s="42"/>
      <c r="E7692" s="42"/>
      <c r="F7692" s="48" t="str">
        <f>IFERROR(__xludf.DUMMYFUNCTION("""COMPUTED_VALUE"""),"")</f>
        <v/>
      </c>
      <c r="G7692" s="42" t="str">
        <f>IFERROR(__xludf.DUMMYFUNCTION("""COMPUTED_VALUE"""),"BN JUAL BELI EL")</f>
        <v>BN JUAL BELI EL</v>
      </c>
      <c r="H7692" s="42">
        <f t="shared" si="1"/>
        <v>3196</v>
      </c>
    </row>
    <row r="7693" ht="22.5" customHeight="1">
      <c r="B7693" s="42" t="str">
        <f>IFERROR(__xludf.DUMMYFUNCTION("""COMPUTED_VALUE"""),"K/21/230925/3")</f>
        <v>K/21/230925/3</v>
      </c>
      <c r="C7693" s="42" t="str">
        <f>IFERROR(__xludf.DUMMYFUNCTION("""COMPUTED_VALUE"""),"M 9272/ SIDODADI")</f>
        <v>M 9272/ SIDODADI</v>
      </c>
      <c r="D7693" s="42" t="str">
        <f>IFERROR(__xludf.DUMMYFUNCTION("""COMPUTED_VALUE"""),"Berry")</f>
        <v>Berry</v>
      </c>
      <c r="E7693" s="42" t="str">
        <f>IFERROR(__xludf.DUMMYFUNCTION("""COMPUTED_VALUE"""),"DISERAHKAN")</f>
        <v>DISERAHKAN</v>
      </c>
      <c r="F7693" s="48">
        <f>IFERROR(__xludf.DUMMYFUNCTION("""COMPUTED_VALUE"""),45988.64056421296)</f>
        <v>45988.64056</v>
      </c>
      <c r="G7693" s="42" t="str">
        <f>IFERROR(__xludf.DUMMYFUNCTION("""COMPUTED_VALUE"""),"ROYA")</f>
        <v>ROYA</v>
      </c>
      <c r="H7693" s="42">
        <f t="shared" si="1"/>
        <v>3197</v>
      </c>
    </row>
    <row r="7694" ht="22.5" customHeight="1">
      <c r="B7694" s="42" t="str">
        <f>IFERROR(__xludf.DUMMYFUNCTION("""COMPUTED_VALUE"""),"K/23/230925/1")</f>
        <v>K/23/230925/1</v>
      </c>
      <c r="C7694" s="42" t="str">
        <f>IFERROR(__xludf.DUMMYFUNCTION("""COMPUTED_VALUE"""),"Nibel 23499/Bumi Kedamaian	")</f>
        <v>Nibel 23499/Bumi Kedamaian	</v>
      </c>
      <c r="D7694" s="42"/>
      <c r="E7694" s="42"/>
      <c r="F7694" s="48" t="str">
        <f>IFERROR(__xludf.DUMMYFUNCTION("""COMPUTED_VALUE"""),"")</f>
        <v/>
      </c>
      <c r="G7694" s="42" t="str">
        <f>IFERROR(__xludf.DUMMYFUNCTION("""COMPUTED_VALUE"""),"Peningkatan Hak	")</f>
        <v>Peningkatan Hak	</v>
      </c>
      <c r="H7694" s="42">
        <f t="shared" si="1"/>
        <v>3197</v>
      </c>
    </row>
    <row r="7695" ht="22.5" customHeight="1">
      <c r="B7695" s="42" t="str">
        <f>IFERROR(__xludf.DUMMYFUNCTION("""COMPUTED_VALUE"""),"K/25/230925/1")</f>
        <v>K/25/230925/1</v>
      </c>
      <c r="C7695" s="42" t="str">
        <f>IFERROR(__xludf.DUMMYFUNCTION("""COMPUTED_VALUE"""),"Nibel 18770/Pengajaran	")</f>
        <v>Nibel 18770/Pengajaran	</v>
      </c>
      <c r="D7695" s="42"/>
      <c r="E7695" s="42"/>
      <c r="F7695" s="48" t="str">
        <f>IFERROR(__xludf.DUMMYFUNCTION("""COMPUTED_VALUE"""),"")</f>
        <v/>
      </c>
      <c r="G7695" s="42" t="str">
        <f>IFERROR(__xludf.DUMMYFUNCTION("""COMPUTED_VALUE"""),"PTPGT	")</f>
        <v>PTPGT	</v>
      </c>
      <c r="H7695" s="42">
        <f t="shared" si="1"/>
        <v>3197</v>
      </c>
    </row>
    <row r="7696" ht="22.5" customHeight="1">
      <c r="B7696" s="42" t="str">
        <f>IFERROR(__xludf.DUMMYFUNCTION("""COMPUTED_VALUE"""),"K/22/230925/1")</f>
        <v>K/22/230925/1</v>
      </c>
      <c r="C7696" s="42" t="str">
        <f>IFERROR(__xludf.DUMMYFUNCTION("""COMPUTED_VALUE"""),"M. 1143/NEGERI OLOK GADING")</f>
        <v>M. 1143/NEGERI OLOK GADING</v>
      </c>
      <c r="D7696" s="42"/>
      <c r="E7696" s="42"/>
      <c r="F7696" s="48" t="str">
        <f>IFERROR(__xludf.DUMMYFUNCTION("""COMPUTED_VALUE"""),"")</f>
        <v/>
      </c>
      <c r="G7696" s="42" t="str">
        <f>IFERROR(__xludf.DUMMYFUNCTION("""COMPUTED_VALUE"""),"BN JUAL BELI EL")</f>
        <v>BN JUAL BELI EL</v>
      </c>
      <c r="H7696" s="42">
        <f t="shared" si="1"/>
        <v>3197</v>
      </c>
    </row>
    <row r="7697" ht="22.5" customHeight="1">
      <c r="B7697" s="42" t="str">
        <f>IFERROR(__xludf.DUMMYFUNCTION("""COMPUTED_VALUE"""),"K/24/230925/1")</f>
        <v>K/24/230925/1</v>
      </c>
      <c r="C7697" s="42" t="str">
        <f>IFERROR(__xludf.DUMMYFUNCTION("""COMPUTED_VALUE"""),"M 1880/ RAJABASA RAYA")</f>
        <v>M 1880/ RAJABASA RAYA</v>
      </c>
      <c r="D7697" s="42" t="str">
        <f>IFERROR(__xludf.DUMMYFUNCTION("""COMPUTED_VALUE"""),"Berry")</f>
        <v>Berry</v>
      </c>
      <c r="E7697" s="42" t="str">
        <f>IFERROR(__xludf.DUMMYFUNCTION("""COMPUTED_VALUE"""),"DISERAHKAN")</f>
        <v>DISERAHKAN</v>
      </c>
      <c r="F7697" s="48">
        <f>IFERROR(__xludf.DUMMYFUNCTION("""COMPUTED_VALUE"""),45975.49976997685)</f>
        <v>45975.49977</v>
      </c>
      <c r="G7697" s="42" t="str">
        <f>IFERROR(__xludf.DUMMYFUNCTION("""COMPUTED_VALUE"""),"BN JUAL BELI")</f>
        <v>BN JUAL BELI</v>
      </c>
      <c r="H7697" s="42">
        <f t="shared" si="1"/>
        <v>3198</v>
      </c>
    </row>
    <row r="7698" ht="22.5" customHeight="1">
      <c r="B7698" s="42" t="str">
        <f>IFERROR(__xludf.DUMMYFUNCTION("""COMPUTED_VALUE"""),"K/17/230925/1")</f>
        <v>K/17/230925/1</v>
      </c>
      <c r="C7698" s="42" t="str">
        <f>IFERROR(__xludf.DUMMYFUNCTION("""COMPUTED_VALUE"""),"B. 524/Rajabasa Pemuka	")</f>
        <v>B. 524/Rajabasa Pemuka	</v>
      </c>
      <c r="D7698" s="42"/>
      <c r="E7698" s="42"/>
      <c r="F7698" s="48" t="str">
        <f>IFERROR(__xludf.DUMMYFUNCTION("""COMPUTED_VALUE"""),"")</f>
        <v/>
      </c>
      <c r="G7698" s="42" t="str">
        <f>IFERROR(__xludf.DUMMYFUNCTION("""COMPUTED_VALUE"""),"BN Waris    ")</f>
        <v>BN Waris    </v>
      </c>
      <c r="H7698" s="42">
        <f t="shared" si="1"/>
        <v>3198</v>
      </c>
    </row>
    <row r="7699" ht="22.5" customHeight="1">
      <c r="B7699" s="42" t="str">
        <f>IFERROR(__xludf.DUMMYFUNCTION("""COMPUTED_VALUE"""),"K/27/230925/1")</f>
        <v>K/27/230925/1</v>
      </c>
      <c r="C7699" s="42" t="str">
        <f>IFERROR(__xludf.DUMMYFUNCTION("""COMPUTED_VALUE"""),"M 2647/ SUKARAME BARU")</f>
        <v>M 2647/ SUKARAME BARU</v>
      </c>
      <c r="D7699" s="42"/>
      <c r="E7699" s="42"/>
      <c r="F7699" s="48" t="str">
        <f>IFERROR(__xludf.DUMMYFUNCTION("""COMPUTED_VALUE"""),"")</f>
        <v/>
      </c>
      <c r="G7699" s="42" t="str">
        <f>IFERROR(__xludf.DUMMYFUNCTION("""COMPUTED_VALUE"""),"BN JUAL BELI")</f>
        <v>BN JUAL BELI</v>
      </c>
      <c r="H7699" s="42">
        <f t="shared" si="1"/>
        <v>3198</v>
      </c>
    </row>
    <row r="7700" ht="22.5" customHeight="1">
      <c r="B7700" s="42" t="str">
        <f>IFERROR(__xludf.DUMMYFUNCTION("""COMPUTED_VALUE"""),"L/32/230925/1")</f>
        <v>L/32/230925/1</v>
      </c>
      <c r="C7700" s="42" t="str">
        <f>IFERROR(__xludf.DUMMYFUNCTION("""COMPUTED_VALUE"""),"M.1310/KELAPA TIGA")</f>
        <v>M.1310/KELAPA TIGA</v>
      </c>
      <c r="D7700" s="42"/>
      <c r="E7700" s="42"/>
      <c r="F7700" s="48" t="str">
        <f>IFERROR(__xludf.DUMMYFUNCTION("""COMPUTED_VALUE"""),"")</f>
        <v/>
      </c>
      <c r="G7700" s="42" t="str">
        <f>IFERROR(__xludf.DUMMYFUNCTION("""COMPUTED_VALUE"""),"ROYA")</f>
        <v>ROYA</v>
      </c>
      <c r="H7700" s="42">
        <f t="shared" si="1"/>
        <v>3198</v>
      </c>
    </row>
    <row r="7701" ht="22.5" customHeight="1">
      <c r="B7701" s="42" t="str">
        <f>IFERROR(__xludf.DUMMYFUNCTION("""COMPUTED_VALUE"""),"K/31/230925/1")</f>
        <v>K/31/230925/1</v>
      </c>
      <c r="C7701" s="42" t="str">
        <f>IFERROR(__xludf.DUMMYFUNCTION("""COMPUTED_VALUE"""),"M. 12368/Labuhan Ratu	")</f>
        <v>M. 12368/Labuhan Ratu	</v>
      </c>
      <c r="D7701" s="42"/>
      <c r="E7701" s="42"/>
      <c r="F7701" s="48" t="str">
        <f>IFERROR(__xludf.DUMMYFUNCTION("""COMPUTED_VALUE"""),"")</f>
        <v/>
      </c>
      <c r="G7701" s="42" t="str">
        <f>IFERROR(__xludf.DUMMYFUNCTION("""COMPUTED_VALUE"""),"Roya	")</f>
        <v>Roya	</v>
      </c>
      <c r="H7701" s="42">
        <f t="shared" si="1"/>
        <v>3198</v>
      </c>
    </row>
    <row r="7702" ht="22.5" customHeight="1">
      <c r="B7702" s="42" t="str">
        <f>IFERROR(__xludf.DUMMYFUNCTION("""COMPUTED_VALUE"""),"K/26/230925/1")</f>
        <v>K/26/230925/1</v>
      </c>
      <c r="C7702" s="42" t="str">
        <f>IFERROR(__xludf.DUMMYFUNCTION("""COMPUTED_VALUE"""),"M.2131/WAY HALIM PERMAI")</f>
        <v>M.2131/WAY HALIM PERMAI</v>
      </c>
      <c r="D7702" s="42" t="str">
        <f>IFERROR(__xludf.DUMMYFUNCTION("""COMPUTED_VALUE"""),"Berry")</f>
        <v>Berry</v>
      </c>
      <c r="E7702" s="42" t="str">
        <f>IFERROR(__xludf.DUMMYFUNCTION("""COMPUTED_VALUE"""),"DISERAHKAN")</f>
        <v>DISERAHKAN</v>
      </c>
      <c r="F7702" s="48">
        <f>IFERROR(__xludf.DUMMYFUNCTION("""COMPUTED_VALUE"""),45979.64574356482)</f>
        <v>45979.64574</v>
      </c>
      <c r="G7702" s="42" t="str">
        <f>IFERROR(__xludf.DUMMYFUNCTION("""COMPUTED_VALUE"""),"BN JUAL BELI EL")</f>
        <v>BN JUAL BELI EL</v>
      </c>
      <c r="H7702" s="42">
        <f t="shared" si="1"/>
        <v>3199</v>
      </c>
    </row>
    <row r="7703" ht="22.5" customHeight="1">
      <c r="B7703" s="42" t="str">
        <f>IFERROR(__xludf.DUMMYFUNCTION("""COMPUTED_VALUE"""),"K/39/230925/1")</f>
        <v>K/39/230925/1</v>
      </c>
      <c r="C7703" s="42" t="str">
        <f>IFERROR(__xludf.DUMMYFUNCTION("""COMPUTED_VALUE"""),"NIBEL M 24368/ WAY LAGA")</f>
        <v>NIBEL M 24368/ WAY LAGA</v>
      </c>
      <c r="D7703" s="42"/>
      <c r="E7703" s="42"/>
      <c r="F7703" s="48" t="str">
        <f>IFERROR(__xludf.DUMMYFUNCTION("""COMPUTED_VALUE"""),"")</f>
        <v/>
      </c>
      <c r="G7703" s="42" t="str">
        <f>IFERROR(__xludf.DUMMYFUNCTION("""COMPUTED_VALUE"""),"BN JUAL BELI")</f>
        <v>BN JUAL BELI</v>
      </c>
      <c r="H7703" s="42">
        <f t="shared" si="1"/>
        <v>3199</v>
      </c>
    </row>
    <row r="7704" ht="22.5" customHeight="1">
      <c r="B7704" s="42" t="str">
        <f>IFERROR(__xludf.DUMMYFUNCTION("""COMPUTED_VALUE"""),"K/40/230925/2")</f>
        <v>K/40/230925/2</v>
      </c>
      <c r="C7704" s="42" t="str">
        <f>IFERROR(__xludf.DUMMYFUNCTION("""COMPUTED_VALUE"""),"M 318/ WAY LAGA")</f>
        <v>M 318/ WAY LAGA</v>
      </c>
      <c r="D7704" s="42"/>
      <c r="E7704" s="42"/>
      <c r="F7704" s="48" t="str">
        <f>IFERROR(__xludf.DUMMYFUNCTION("""COMPUTED_VALUE"""),"")</f>
        <v/>
      </c>
      <c r="G7704" s="42" t="str">
        <f>IFERROR(__xludf.DUMMYFUNCTION("""COMPUTED_VALUE"""),"BN JUAL BELI")</f>
        <v>BN JUAL BELI</v>
      </c>
      <c r="H7704" s="42">
        <f t="shared" si="1"/>
        <v>3199</v>
      </c>
    </row>
    <row r="7705" ht="22.5" customHeight="1">
      <c r="B7705" s="42" t="str">
        <f>IFERROR(__xludf.DUMMYFUNCTION("""COMPUTED_VALUE"""),"K/33/230925/1")</f>
        <v>K/33/230925/1</v>
      </c>
      <c r="C7705" s="42" t="str">
        <f>IFERROR(__xludf.DUMMYFUNCTION("""COMPUTED_VALUE"""),"B. 739/TANJUNG BARU")</f>
        <v>B. 739/TANJUNG BARU</v>
      </c>
      <c r="D7705" s="42" t="str">
        <f>IFERROR(__xludf.DUMMYFUNCTION("""COMPUTED_VALUE"""),"David")</f>
        <v>David</v>
      </c>
      <c r="E7705" s="42" t="str">
        <f>IFERROR(__xludf.DUMMYFUNCTION("""COMPUTED_VALUE"""),"DISERAHKAN")</f>
        <v>DISERAHKAN</v>
      </c>
      <c r="F7705" s="48">
        <f>IFERROR(__xludf.DUMMYFUNCTION("""COMPUTED_VALUE"""),45993.457120266205)</f>
        <v>45993.45712</v>
      </c>
      <c r="G7705" s="42" t="str">
        <f>IFERROR(__xludf.DUMMYFUNCTION("""COMPUTED_VALUE"""),"PTPGT")</f>
        <v>PTPGT</v>
      </c>
      <c r="H7705" s="42">
        <f t="shared" si="1"/>
        <v>3200</v>
      </c>
    </row>
    <row r="7706" ht="22.5" customHeight="1">
      <c r="B7706" s="42" t="str">
        <f>IFERROR(__xludf.DUMMYFUNCTION("""COMPUTED_VALUE"""),"K/34/230925/2")</f>
        <v>K/34/230925/2</v>
      </c>
      <c r="C7706" s="42" t="str">
        <f>IFERROR(__xludf.DUMMYFUNCTION("""COMPUTED_VALUE"""),"B. 711/TANJUNG BARU")</f>
        <v>B. 711/TANJUNG BARU</v>
      </c>
      <c r="D7706" s="42"/>
      <c r="E7706" s="42"/>
      <c r="F7706" s="48" t="str">
        <f>IFERROR(__xludf.DUMMYFUNCTION("""COMPUTED_VALUE"""),"")</f>
        <v/>
      </c>
      <c r="G7706" s="42" t="str">
        <f>IFERROR(__xludf.DUMMYFUNCTION("""COMPUTED_VALUE"""),"PTPGT")</f>
        <v>PTPGT</v>
      </c>
      <c r="H7706" s="42">
        <f t="shared" si="1"/>
        <v>3200</v>
      </c>
    </row>
    <row r="7707" ht="22.5" customHeight="1">
      <c r="B7707" s="42" t="str">
        <f>IFERROR(__xludf.DUMMYFUNCTION("""COMPUTED_VALUE"""),"K/41/230925/3")</f>
        <v>K/41/230925/3</v>
      </c>
      <c r="C7707" s="42" t="str">
        <f>IFERROR(__xludf.DUMMYFUNCTION("""COMPUTED_VALUE"""),"M 668/ WAY LAGA")</f>
        <v>M 668/ WAY LAGA</v>
      </c>
      <c r="D7707" s="42"/>
      <c r="E7707" s="42"/>
      <c r="F7707" s="48" t="str">
        <f>IFERROR(__xludf.DUMMYFUNCTION("""COMPUTED_VALUE"""),"")</f>
        <v/>
      </c>
      <c r="G7707" s="42" t="str">
        <f>IFERROR(__xludf.DUMMYFUNCTION("""COMPUTED_VALUE"""),"BN JUAL BELI")</f>
        <v>BN JUAL BELI</v>
      </c>
      <c r="H7707" s="42">
        <f t="shared" si="1"/>
        <v>3200</v>
      </c>
    </row>
    <row r="7708" ht="22.5" customHeight="1">
      <c r="B7708" s="42" t="str">
        <f>IFERROR(__xludf.DUMMYFUNCTION("""COMPUTED_VALUE"""),"K/35/230925/3")</f>
        <v>K/35/230925/3</v>
      </c>
      <c r="C7708" s="42" t="str">
        <f>IFERROR(__xludf.DUMMYFUNCTION("""COMPUTED_VALUE"""),"B. 652/TANJUNG BARU")</f>
        <v>B. 652/TANJUNG BARU</v>
      </c>
      <c r="D7708" s="42"/>
      <c r="E7708" s="42"/>
      <c r="F7708" s="48" t="str">
        <f>IFERROR(__xludf.DUMMYFUNCTION("""COMPUTED_VALUE"""),"")</f>
        <v/>
      </c>
      <c r="G7708" s="42" t="str">
        <f>IFERROR(__xludf.DUMMYFUNCTION("""COMPUTED_VALUE"""),"PTPGT")</f>
        <v>PTPGT</v>
      </c>
      <c r="H7708" s="42">
        <f t="shared" si="1"/>
        <v>3200</v>
      </c>
    </row>
    <row r="7709" ht="22.5" customHeight="1">
      <c r="B7709" s="42" t="str">
        <f>IFERROR(__xludf.DUMMYFUNCTION("""COMPUTED_VALUE"""),"K/42/230925/4")</f>
        <v>K/42/230925/4</v>
      </c>
      <c r="C7709" s="42" t="str">
        <f>IFERROR(__xludf.DUMMYFUNCTION("""COMPUTED_VALUE"""),"M 667/ WAY LAGA")</f>
        <v>M 667/ WAY LAGA</v>
      </c>
      <c r="D7709" s="42"/>
      <c r="E7709" s="42"/>
      <c r="F7709" s="48" t="str">
        <f>IFERROR(__xludf.DUMMYFUNCTION("""COMPUTED_VALUE"""),"")</f>
        <v/>
      </c>
      <c r="G7709" s="42" t="str">
        <f>IFERROR(__xludf.DUMMYFUNCTION("""COMPUTED_VALUE"""),"BN JUAL BELI")</f>
        <v>BN JUAL BELI</v>
      </c>
      <c r="H7709" s="42">
        <f t="shared" si="1"/>
        <v>3200</v>
      </c>
    </row>
    <row r="7710" ht="22.5" customHeight="1">
      <c r="B7710" s="42" t="str">
        <f>IFERROR(__xludf.DUMMYFUNCTION("""COMPUTED_VALUE"""),"K/36/230925/4")</f>
        <v>K/36/230925/4</v>
      </c>
      <c r="C7710" s="42" t="str">
        <f>IFERROR(__xludf.DUMMYFUNCTION("""COMPUTED_VALUE"""),"B. 656/TANJUNG BARU")</f>
        <v>B. 656/TANJUNG BARU</v>
      </c>
      <c r="D7710" s="42" t="str">
        <f>IFERROR(__xludf.DUMMYFUNCTION("""COMPUTED_VALUE"""),"David")</f>
        <v>David</v>
      </c>
      <c r="E7710" s="42" t="str">
        <f>IFERROR(__xludf.DUMMYFUNCTION("""COMPUTED_VALUE"""),"DISERAHKAN")</f>
        <v>DISERAHKAN</v>
      </c>
      <c r="F7710" s="48">
        <f>IFERROR(__xludf.DUMMYFUNCTION("""COMPUTED_VALUE"""),45993.46176586805)</f>
        <v>45993.46177</v>
      </c>
      <c r="G7710" s="42" t="str">
        <f>IFERROR(__xludf.DUMMYFUNCTION("""COMPUTED_VALUE"""),"PTPGT")</f>
        <v>PTPGT</v>
      </c>
      <c r="H7710" s="42">
        <f t="shared" si="1"/>
        <v>3201</v>
      </c>
    </row>
    <row r="7711" ht="22.5" customHeight="1">
      <c r="B7711" s="42" t="str">
        <f>IFERROR(__xludf.DUMMYFUNCTION("""COMPUTED_VALUE"""),"K/43/230925/5")</f>
        <v>K/43/230925/5</v>
      </c>
      <c r="C7711" s="42" t="str">
        <f>IFERROR(__xludf.DUMMYFUNCTION("""COMPUTED_VALUE"""),"M 670/ WAY LAGA")</f>
        <v>M 670/ WAY LAGA</v>
      </c>
      <c r="D7711" s="42"/>
      <c r="E7711" s="42"/>
      <c r="F7711" s="48" t="str">
        <f>IFERROR(__xludf.DUMMYFUNCTION("""COMPUTED_VALUE"""),"")</f>
        <v/>
      </c>
      <c r="G7711" s="42" t="str">
        <f>IFERROR(__xludf.DUMMYFUNCTION("""COMPUTED_VALUE"""),"BN JUAL BELI")</f>
        <v>BN JUAL BELI</v>
      </c>
      <c r="H7711" s="42">
        <f t="shared" si="1"/>
        <v>3201</v>
      </c>
    </row>
    <row r="7712" ht="22.5" customHeight="1">
      <c r="B7712" s="42" t="str">
        <f>IFERROR(__xludf.DUMMYFUNCTION("""COMPUTED_VALUE"""),"K/37/230925/5")</f>
        <v>K/37/230925/5</v>
      </c>
      <c r="C7712" s="42" t="str">
        <f>IFERROR(__xludf.DUMMYFUNCTION("""COMPUTED_VALUE"""),"B. 650/TANJUNG BARU")</f>
        <v>B. 650/TANJUNG BARU</v>
      </c>
      <c r="D7712" s="42"/>
      <c r="E7712" s="42"/>
      <c r="F7712" s="48" t="str">
        <f>IFERROR(__xludf.DUMMYFUNCTION("""COMPUTED_VALUE"""),"")</f>
        <v/>
      </c>
      <c r="G7712" s="42" t="str">
        <f>IFERROR(__xludf.DUMMYFUNCTION("""COMPUTED_VALUE"""),"PTPGT")</f>
        <v>PTPGT</v>
      </c>
      <c r="H7712" s="42">
        <f t="shared" si="1"/>
        <v>3201</v>
      </c>
    </row>
    <row r="7713" ht="22.5" customHeight="1">
      <c r="B7713" s="42" t="str">
        <f>IFERROR(__xludf.DUMMYFUNCTION("""COMPUTED_VALUE"""),"K/28/230925/2")</f>
        <v>K/28/230925/2</v>
      </c>
      <c r="C7713" s="42" t="str">
        <f>IFERROR(__xludf.DUMMYFUNCTION("""COMPUTED_VALUE"""),"NIBEL M 16741/ WAY KANDIS")</f>
        <v>NIBEL M 16741/ WAY KANDIS</v>
      </c>
      <c r="D7713" s="42"/>
      <c r="E7713" s="42"/>
      <c r="F7713" s="48" t="str">
        <f>IFERROR(__xludf.DUMMYFUNCTION("""COMPUTED_VALUE"""),"")</f>
        <v/>
      </c>
      <c r="G7713" s="42" t="str">
        <f>IFERROR(__xludf.DUMMYFUNCTION("""COMPUTED_VALUE"""),"BN JUAL BELI")</f>
        <v>BN JUAL BELI</v>
      </c>
      <c r="H7713" s="42">
        <f t="shared" si="1"/>
        <v>3201</v>
      </c>
    </row>
    <row r="7714" ht="22.5" customHeight="1">
      <c r="B7714" s="42" t="str">
        <f>IFERROR(__xludf.DUMMYFUNCTION("""COMPUTED_VALUE"""),"K/29/230925/3")</f>
        <v>K/29/230925/3</v>
      </c>
      <c r="C7714" s="42" t="str">
        <f>IFERROR(__xludf.DUMMYFUNCTION("""COMPUTED_VALUE"""),"M 10263/ KAMPUNG BARU")</f>
        <v>M 10263/ KAMPUNG BARU</v>
      </c>
      <c r="D7714" s="42"/>
      <c r="E7714" s="42"/>
      <c r="F7714" s="48" t="str">
        <f>IFERROR(__xludf.DUMMYFUNCTION("""COMPUTED_VALUE"""),"")</f>
        <v/>
      </c>
      <c r="G7714" s="42" t="str">
        <f>IFERROR(__xludf.DUMMYFUNCTION("""COMPUTED_VALUE"""),"BN JUAL BELI")</f>
        <v>BN JUAL BELI</v>
      </c>
      <c r="H7714" s="42">
        <f t="shared" si="1"/>
        <v>3201</v>
      </c>
    </row>
    <row r="7715" ht="22.5" customHeight="1">
      <c r="B7715" s="42" t="str">
        <f>IFERROR(__xludf.DUMMYFUNCTION("""COMPUTED_VALUE"""),"K/30/230925/4")</f>
        <v>K/30/230925/4</v>
      </c>
      <c r="C7715" s="42" t="str">
        <f>IFERROR(__xludf.DUMMYFUNCTION("""COMPUTED_VALUE"""),"M 6368/ WAY KANDIS")</f>
        <v>M 6368/ WAY KANDIS</v>
      </c>
      <c r="D7715" s="42" t="str">
        <f>IFERROR(__xludf.DUMMYFUNCTION("""COMPUTED_VALUE"""),"Berry")</f>
        <v>Berry</v>
      </c>
      <c r="E7715" s="42" t="str">
        <f>IFERROR(__xludf.DUMMYFUNCTION("""COMPUTED_VALUE"""),"DISERAHKAN")</f>
        <v>DISERAHKAN</v>
      </c>
      <c r="F7715" s="48">
        <f>IFERROR(__xludf.DUMMYFUNCTION("""COMPUTED_VALUE"""),45996.58962533565)</f>
        <v>45996.58963</v>
      </c>
      <c r="G7715" s="42" t="str">
        <f>IFERROR(__xludf.DUMMYFUNCTION("""COMPUTED_VALUE"""),"BN JUAL BELI")</f>
        <v>BN JUAL BELI</v>
      </c>
      <c r="H7715" s="42">
        <f t="shared" si="1"/>
        <v>3202</v>
      </c>
    </row>
    <row r="7716" ht="22.5" customHeight="1">
      <c r="B7716" s="42" t="str">
        <f>IFERROR(__xludf.DUMMYFUNCTION("""COMPUTED_VALUE"""),"K/1/240925/1")</f>
        <v>K/1/240925/1</v>
      </c>
      <c r="C7716" s="42" t="str">
        <f>IFERROR(__xludf.DUMMYFUNCTION("""COMPUTED_VALUE"""),"NIBEL M 18329/ LANGKAPURA")</f>
        <v>NIBEL M 18329/ LANGKAPURA</v>
      </c>
      <c r="D7716" s="42"/>
      <c r="E7716" s="42"/>
      <c r="F7716" s="48" t="str">
        <f>IFERROR(__xludf.DUMMYFUNCTION("""COMPUTED_VALUE"""),"")</f>
        <v/>
      </c>
      <c r="G7716" s="42" t="str">
        <f>IFERROR(__xludf.DUMMYFUNCTION("""COMPUTED_VALUE"""),"BN JUAL BELI")</f>
        <v>BN JUAL BELI</v>
      </c>
      <c r="H7716" s="42">
        <f t="shared" si="1"/>
        <v>3202</v>
      </c>
    </row>
    <row r="7717" ht="22.5" customHeight="1">
      <c r="B7717" s="42" t="str">
        <f>IFERROR(__xludf.DUMMYFUNCTION("""COMPUTED_VALUE"""),"K/2/240925/1")</f>
        <v>K/2/240925/1</v>
      </c>
      <c r="C7717" s="42" t="str">
        <f>IFERROR(__xludf.DUMMYFUNCTION("""COMPUTED_VALUE"""),"NIBEL M 22972/ JAGABAYA III")</f>
        <v>NIBEL M 22972/ JAGABAYA III</v>
      </c>
      <c r="D7717" s="42"/>
      <c r="E7717" s="42"/>
      <c r="F7717" s="48" t="str">
        <f>IFERROR(__xludf.DUMMYFUNCTION("""COMPUTED_VALUE"""),"")</f>
        <v/>
      </c>
      <c r="G7717" s="42" t="str">
        <f>IFERROR(__xludf.DUMMYFUNCTION("""COMPUTED_VALUE"""),"BN JUAL BELI")</f>
        <v>BN JUAL BELI</v>
      </c>
      <c r="H7717" s="42">
        <f t="shared" si="1"/>
        <v>3202</v>
      </c>
    </row>
    <row r="7718" ht="22.5" customHeight="1">
      <c r="B7718" s="42" t="str">
        <f>IFERROR(__xludf.DUMMYFUNCTION("""COMPUTED_VALUE"""),"K/7/240925/1")</f>
        <v>K/7/240925/1</v>
      </c>
      <c r="C7718" s="42" t="str">
        <f>IFERROR(__xludf.DUMMYFUNCTION("""COMPUTED_VALUE"""),"B. 674/Perumnas Way Kandis	")</f>
        <v>B. 674/Perumnas Way Kandis	</v>
      </c>
      <c r="D7718" s="42"/>
      <c r="E7718" s="42"/>
      <c r="F7718" s="48" t="str">
        <f>IFERROR(__xludf.DUMMYFUNCTION("""COMPUTED_VALUE"""),"")</f>
        <v/>
      </c>
      <c r="G7718" s="42" t="str">
        <f>IFERROR(__xludf.DUMMYFUNCTION("""COMPUTED_VALUE"""),"SKPT	")</f>
        <v>SKPT	</v>
      </c>
      <c r="H7718" s="42">
        <f t="shared" si="1"/>
        <v>3202</v>
      </c>
    </row>
    <row r="7719" ht="22.5" customHeight="1">
      <c r="B7719" s="42" t="str">
        <f>IFERROR(__xludf.DUMMYFUNCTION("""COMPUTED_VALUE"""),"K/4/240925/1")</f>
        <v>K/4/240925/1</v>
      </c>
      <c r="C7719" s="42" t="str">
        <f>IFERROR(__xludf.DUMMYFUNCTION("""COMPUTED_VALUE"""),"Nibel 24967/Kota Karang	")</f>
        <v>Nibel 24967/Kota Karang	</v>
      </c>
      <c r="D7719" s="42"/>
      <c r="E7719" s="42"/>
      <c r="F7719" s="48" t="str">
        <f>IFERROR(__xludf.DUMMYFUNCTION("""COMPUTED_VALUE"""),"")</f>
        <v/>
      </c>
      <c r="G7719" s="42" t="str">
        <f>IFERROR(__xludf.DUMMYFUNCTION("""COMPUTED_VALUE"""),"Peningkatan Hak	")</f>
        <v>Peningkatan Hak	</v>
      </c>
      <c r="H7719" s="42">
        <f t="shared" si="1"/>
        <v>3202</v>
      </c>
    </row>
    <row r="7720" ht="22.5" customHeight="1">
      <c r="B7720" s="42" t="str">
        <f>IFERROR(__xludf.DUMMYFUNCTION("""COMPUTED_VALUE"""),"K/5/240925/2	")</f>
        <v>K/5/240925/2	</v>
      </c>
      <c r="C7720" s="42" t="str">
        <f>IFERROR(__xludf.DUMMYFUNCTION("""COMPUTED_VALUE"""),"Nibel 24966/Kota Karang	")</f>
        <v>Nibel 24966/Kota Karang	</v>
      </c>
      <c r="D7720" s="42"/>
      <c r="E7720" s="42"/>
      <c r="F7720" s="48" t="str">
        <f>IFERROR(__xludf.DUMMYFUNCTION("""COMPUTED_VALUE"""),"")</f>
        <v/>
      </c>
      <c r="G7720" s="42" t="str">
        <f>IFERROR(__xludf.DUMMYFUNCTION("""COMPUTED_VALUE"""),"Peningkatan Hak	")</f>
        <v>Peningkatan Hak	</v>
      </c>
      <c r="H7720" s="42">
        <f t="shared" si="1"/>
        <v>3202</v>
      </c>
    </row>
    <row r="7721" ht="22.5" customHeight="1">
      <c r="B7721" s="42" t="str">
        <f>IFERROR(__xludf.DUMMYFUNCTION("""COMPUTED_VALUE"""),"L/11/240925/1")</f>
        <v>L/11/240925/1</v>
      </c>
      <c r="C7721" s="42" t="str">
        <f>IFERROR(__xludf.DUMMYFUNCTION("""COMPUTED_VALUE"""),"M. 1411/RAJABASA NUNYAI")</f>
        <v>M. 1411/RAJABASA NUNYAI</v>
      </c>
      <c r="D7721" s="42"/>
      <c r="E7721" s="42"/>
      <c r="F7721" s="48" t="str">
        <f>IFERROR(__xludf.DUMMYFUNCTION("""COMPUTED_VALUE"""),"")</f>
        <v/>
      </c>
      <c r="G7721" s="42" t="str">
        <f>IFERROR(__xludf.DUMMYFUNCTION("""COMPUTED_VALUE"""),"HAPUS BPHTB")</f>
        <v>HAPUS BPHTB</v>
      </c>
      <c r="H7721" s="42">
        <f t="shared" si="1"/>
        <v>3202</v>
      </c>
    </row>
    <row r="7722" ht="22.5" customHeight="1">
      <c r="B7722" s="42" t="str">
        <f>IFERROR(__xludf.DUMMYFUNCTION("""COMPUTED_VALUE"""),"L/13/240925/1")</f>
        <v>L/13/240925/1</v>
      </c>
      <c r="C7722" s="42" t="str">
        <f>IFERROR(__xludf.DUMMYFUNCTION("""COMPUTED_VALUE"""),"M NIB. 20234/TANJUNG SENANG")</f>
        <v>M NIB. 20234/TANJUNG SENANG</v>
      </c>
      <c r="D7722" s="42"/>
      <c r="E7722" s="42"/>
      <c r="F7722" s="48" t="str">
        <f>IFERROR(__xludf.DUMMYFUNCTION("""COMPUTED_VALUE"""),"")</f>
        <v/>
      </c>
      <c r="G7722" s="42" t="str">
        <f>IFERROR(__xludf.DUMMYFUNCTION("""COMPUTED_VALUE"""),"GANTI NAMA")</f>
        <v>GANTI NAMA</v>
      </c>
      <c r="H7722" s="42">
        <f t="shared" si="1"/>
        <v>3202</v>
      </c>
    </row>
    <row r="7723" ht="22.5" customHeight="1">
      <c r="B7723" s="42" t="str">
        <f>IFERROR(__xludf.DUMMYFUNCTION("""COMPUTED_VALUE"""),"K/12/240925/1")</f>
        <v>K/12/240925/1</v>
      </c>
      <c r="C7723" s="42" t="str">
        <f>IFERROR(__xludf.DUMMYFUNCTION("""COMPUTED_VALUE"""),"Nibel 23854/Labuhan Ratu Raya	")</f>
        <v>Nibel 23854/Labuhan Ratu Raya	</v>
      </c>
      <c r="D7723" s="42"/>
      <c r="E7723" s="42"/>
      <c r="F7723" s="48" t="str">
        <f>IFERROR(__xludf.DUMMYFUNCTION("""COMPUTED_VALUE"""),"")</f>
        <v/>
      </c>
      <c r="G7723" s="42" t="str">
        <f>IFERROR(__xludf.DUMMYFUNCTION("""COMPUTED_VALUE"""),"Peningkatan Hak	")</f>
        <v>Peningkatan Hak	</v>
      </c>
      <c r="H7723" s="42">
        <f t="shared" si="1"/>
        <v>3202</v>
      </c>
    </row>
    <row r="7724" ht="22.5" customHeight="1">
      <c r="B7724" s="42" t="str">
        <f>IFERROR(__xludf.DUMMYFUNCTION("""COMPUTED_VALUE"""),"L/14/240925/2")</f>
        <v>L/14/240925/2</v>
      </c>
      <c r="C7724" s="42" t="str">
        <f>IFERROR(__xludf.DUMMYFUNCTION("""COMPUTED_VALUE"""),"M NIB. 20235/TANJUNG SENANG")</f>
        <v>M NIB. 20235/TANJUNG SENANG</v>
      </c>
      <c r="D7724" s="42"/>
      <c r="E7724" s="42"/>
      <c r="F7724" s="48" t="str">
        <f>IFERROR(__xludf.DUMMYFUNCTION("""COMPUTED_VALUE"""),"")</f>
        <v/>
      </c>
      <c r="G7724" s="42" t="str">
        <f>IFERROR(__xludf.DUMMYFUNCTION("""COMPUTED_VALUE"""),"GANTI NAMA")</f>
        <v>GANTI NAMA</v>
      </c>
      <c r="H7724" s="42">
        <f t="shared" si="1"/>
        <v>3202</v>
      </c>
    </row>
    <row r="7725" ht="22.5" customHeight="1">
      <c r="B7725" s="42" t="str">
        <f>IFERROR(__xludf.DUMMYFUNCTION("""COMPUTED_VALUE"""),"K/15/240925/1")</f>
        <v>K/15/240925/1</v>
      </c>
      <c r="C7725" s="42" t="str">
        <f>IFERROR(__xludf.DUMMYFUNCTION("""COMPUTED_VALUE"""),"NIBEL B 23832/ RAJABASA NUNYAI")</f>
        <v>NIBEL B 23832/ RAJABASA NUNYAI</v>
      </c>
      <c r="D7725" s="42"/>
      <c r="E7725" s="42"/>
      <c r="F7725" s="48" t="str">
        <f>IFERROR(__xludf.DUMMYFUNCTION("""COMPUTED_VALUE"""),"")</f>
        <v/>
      </c>
      <c r="G7725" s="42" t="str">
        <f>IFERROR(__xludf.DUMMYFUNCTION("""COMPUTED_VALUE"""),"PENINGKATAN HAK")</f>
        <v>PENINGKATAN HAK</v>
      </c>
      <c r="H7725" s="42">
        <f t="shared" si="1"/>
        <v>3202</v>
      </c>
    </row>
    <row r="7726" ht="22.5" customHeight="1">
      <c r="B7726" s="42" t="str">
        <f>IFERROR(__xludf.DUMMYFUNCTION("""COMPUTED_VALUE"""),"K/16/240925/2")</f>
        <v>K/16/240925/2</v>
      </c>
      <c r="C7726" s="42" t="str">
        <f>IFERROR(__xludf.DUMMYFUNCTION("""COMPUTED_VALUE"""),"NIBEL B 24279/ SUKABUMI INDAH")</f>
        <v>NIBEL B 24279/ SUKABUMI INDAH</v>
      </c>
      <c r="D7726" s="42"/>
      <c r="E7726" s="42"/>
      <c r="F7726" s="48" t="str">
        <f>IFERROR(__xludf.DUMMYFUNCTION("""COMPUTED_VALUE"""),"")</f>
        <v/>
      </c>
      <c r="G7726" s="42" t="str">
        <f>IFERROR(__xludf.DUMMYFUNCTION("""COMPUTED_VALUE"""),"PENINGKATAN HAK")</f>
        <v>PENINGKATAN HAK</v>
      </c>
      <c r="H7726" s="42">
        <f t="shared" si="1"/>
        <v>3202</v>
      </c>
    </row>
    <row r="7727" ht="22.5" customHeight="1">
      <c r="B7727" s="42" t="str">
        <f>IFERROR(__xludf.DUMMYFUNCTION("""COMPUTED_VALUE"""),"K/17/240925/1")</f>
        <v>K/17/240925/1</v>
      </c>
      <c r="C7727" s="42" t="str">
        <f>IFERROR(__xludf.DUMMYFUNCTION("""COMPUTED_VALUE"""),"Nibel 19154/Sumur Batu	")</f>
        <v>Nibel 19154/Sumur Batu	</v>
      </c>
      <c r="D7727" s="42"/>
      <c r="E7727" s="42"/>
      <c r="F7727" s="48" t="str">
        <f>IFERROR(__xludf.DUMMYFUNCTION("""COMPUTED_VALUE"""),"")</f>
        <v/>
      </c>
      <c r="G7727" s="42" t="str">
        <f>IFERROR(__xludf.DUMMYFUNCTION("""COMPUTED_VALUE"""),"BN Jual Beli	")</f>
        <v>BN Jual Beli	</v>
      </c>
      <c r="H7727" s="42">
        <f t="shared" si="1"/>
        <v>3202</v>
      </c>
    </row>
    <row r="7728" ht="22.5" customHeight="1">
      <c r="B7728" s="42" t="str">
        <f>IFERROR(__xludf.DUMMYFUNCTION("""COMPUTED_VALUE"""),"K/19/240925/1")</f>
        <v>K/19/240925/1</v>
      </c>
      <c r="C7728" s="42" t="str">
        <f>IFERROR(__xludf.DUMMYFUNCTION("""COMPUTED_VALUE"""),"M 1654/ DURIAN PAYUNG")</f>
        <v>M 1654/ DURIAN PAYUNG</v>
      </c>
      <c r="D7728" s="42"/>
      <c r="E7728" s="42"/>
      <c r="F7728" s="48" t="str">
        <f>IFERROR(__xludf.DUMMYFUNCTION("""COMPUTED_VALUE"""),"")</f>
        <v/>
      </c>
      <c r="G7728" s="42" t="str">
        <f>IFERROR(__xludf.DUMMYFUNCTION("""COMPUTED_VALUE"""),"ROYA")</f>
        <v>ROYA</v>
      </c>
      <c r="H7728" s="42">
        <f t="shared" si="1"/>
        <v>3202</v>
      </c>
    </row>
    <row r="7729" ht="22.5" customHeight="1">
      <c r="B7729" s="42" t="str">
        <f>IFERROR(__xludf.DUMMYFUNCTION("""COMPUTED_VALUE"""),"K/18/240925/1")</f>
        <v>K/18/240925/1</v>
      </c>
      <c r="C7729" s="42" t="str">
        <f>IFERROR(__xludf.DUMMYFUNCTION("""COMPUTED_VALUE"""),"M. 19388/Sukarame	")</f>
        <v>M. 19388/Sukarame	</v>
      </c>
      <c r="D7729" s="42"/>
      <c r="E7729" s="42"/>
      <c r="F7729" s="48" t="str">
        <f>IFERROR(__xludf.DUMMYFUNCTION("""COMPUTED_VALUE"""),"")</f>
        <v/>
      </c>
      <c r="G7729" s="42" t="str">
        <f>IFERROR(__xludf.DUMMYFUNCTION("""COMPUTED_VALUE"""),"BN Jual Beli")</f>
        <v>BN Jual Beli</v>
      </c>
      <c r="H7729" s="42">
        <f t="shared" si="1"/>
        <v>3202</v>
      </c>
    </row>
    <row r="7730" ht="22.5" customHeight="1">
      <c r="B7730" s="42" t="str">
        <f>IFERROR(__xludf.DUMMYFUNCTION("""COMPUTED_VALUE"""),"K/20/240925/1")</f>
        <v>K/20/240925/1</v>
      </c>
      <c r="C7730" s="42" t="str">
        <f>IFERROR(__xludf.DUMMYFUNCTION("""COMPUTED_VALUE"""),"M. 2515/Pinang Jaya	")</f>
        <v>M. 2515/Pinang Jaya	</v>
      </c>
      <c r="D7730" s="42" t="str">
        <f>IFERROR(__xludf.DUMMYFUNCTION("""COMPUTED_VALUE"""),"Berry")</f>
        <v>Berry</v>
      </c>
      <c r="E7730" s="42" t="str">
        <f>IFERROR(__xludf.DUMMYFUNCTION("""COMPUTED_VALUE"""),"DISERAHKAN")</f>
        <v>DISERAHKAN</v>
      </c>
      <c r="F7730" s="48">
        <f>IFERROR(__xludf.DUMMYFUNCTION("""COMPUTED_VALUE"""),45966.64824991898)</f>
        <v>45966.64825</v>
      </c>
      <c r="G7730" s="42" t="str">
        <f>IFERROR(__xludf.DUMMYFUNCTION("""COMPUTED_VALUE"""),"BN Jual Beli	")</f>
        <v>BN Jual Beli	</v>
      </c>
      <c r="H7730" s="42">
        <f t="shared" si="1"/>
        <v>3203</v>
      </c>
    </row>
    <row r="7731" ht="22.5" customHeight="1">
      <c r="B7731" s="42" t="str">
        <f>IFERROR(__xludf.DUMMYFUNCTION("""COMPUTED_VALUE"""),"K/21/240925/2")</f>
        <v>K/21/240925/2</v>
      </c>
      <c r="C7731" s="42" t="str">
        <f>IFERROR(__xludf.DUMMYFUNCTION("""COMPUTED_VALUE"""),"M. 4631/Sukadana Ham	")</f>
        <v>M. 4631/Sukadana Ham	</v>
      </c>
      <c r="D7731" s="42" t="str">
        <f>IFERROR(__xludf.DUMMYFUNCTION("""COMPUTED_VALUE"""),"Berry")</f>
        <v>Berry</v>
      </c>
      <c r="E7731" s="42" t="str">
        <f>IFERROR(__xludf.DUMMYFUNCTION("""COMPUTED_VALUE"""),"DISERAHKAN")</f>
        <v>DISERAHKAN</v>
      </c>
      <c r="F7731" s="48">
        <f>IFERROR(__xludf.DUMMYFUNCTION("""COMPUTED_VALUE"""),45951.47040174769)</f>
        <v>45951.4704</v>
      </c>
      <c r="G7731" s="42" t="str">
        <f>IFERROR(__xludf.DUMMYFUNCTION("""COMPUTED_VALUE"""),"BN Jual Beli	")</f>
        <v>BN Jual Beli	</v>
      </c>
      <c r="H7731" s="42">
        <f t="shared" si="1"/>
        <v>3204</v>
      </c>
    </row>
    <row r="7732" ht="22.5" customHeight="1">
      <c r="B7732" s="42" t="str">
        <f>IFERROR(__xludf.DUMMYFUNCTION("""COMPUTED_VALUE"""),"K/22/240925/3")</f>
        <v>K/22/240925/3</v>
      </c>
      <c r="C7732" s="42" t="str">
        <f>IFERROR(__xludf.DUMMYFUNCTION("""COMPUTED_VALUE"""),"M. 2934/Sukarame II	")</f>
        <v>M. 2934/Sukarame II	</v>
      </c>
      <c r="D7732" s="42"/>
      <c r="E7732" s="42"/>
      <c r="F7732" s="48" t="str">
        <f>IFERROR(__xludf.DUMMYFUNCTION("""COMPUTED_VALUE"""),"")</f>
        <v/>
      </c>
      <c r="G7732" s="42" t="str">
        <f>IFERROR(__xludf.DUMMYFUNCTION("""COMPUTED_VALUE"""),"BN Jual Beli	")</f>
        <v>BN Jual Beli	</v>
      </c>
      <c r="H7732" s="42">
        <f t="shared" si="1"/>
        <v>3204</v>
      </c>
    </row>
    <row r="7733" ht="22.5" customHeight="1">
      <c r="B7733" s="42" t="str">
        <f>IFERROR(__xludf.DUMMYFUNCTION("""COMPUTED_VALUE"""),"K/24/240925/1")</f>
        <v>K/24/240925/1</v>
      </c>
      <c r="C7733" s="42" t="str">
        <f>IFERROR(__xludf.DUMMYFUNCTION("""COMPUTED_VALUE"""),"M 4090/ GUNUNG TERANG")</f>
        <v>M 4090/ GUNUNG TERANG</v>
      </c>
      <c r="D7733" s="42" t="str">
        <f>IFERROR(__xludf.DUMMYFUNCTION("""COMPUTED_VALUE"""),"Berry")</f>
        <v>Berry</v>
      </c>
      <c r="E7733" s="42" t="str">
        <f>IFERROR(__xludf.DUMMYFUNCTION("""COMPUTED_VALUE"""),"DISERAHKAN")</f>
        <v>DISERAHKAN</v>
      </c>
      <c r="F7733" s="48">
        <f>IFERROR(__xludf.DUMMYFUNCTION("""COMPUTED_VALUE"""),45951.47612011574)</f>
        <v>45951.47612</v>
      </c>
      <c r="G7733" s="42" t="str">
        <f>IFERROR(__xludf.DUMMYFUNCTION("""COMPUTED_VALUE"""),"BN LELANG")</f>
        <v>BN LELANG</v>
      </c>
      <c r="H7733" s="42">
        <f t="shared" si="1"/>
        <v>3205</v>
      </c>
    </row>
    <row r="7734" ht="22.5" customHeight="1">
      <c r="B7734" s="42" t="str">
        <f>IFERROR(__xludf.DUMMYFUNCTION("""COMPUTED_VALUE"""),"K/23/240925/4")</f>
        <v>K/23/240925/4</v>
      </c>
      <c r="C7734" s="42" t="str">
        <f>IFERROR(__xludf.DUMMYFUNCTION("""COMPUTED_VALUE"""),"M. 5175/Rajabasa Jaya	")</f>
        <v>M. 5175/Rajabasa Jaya	</v>
      </c>
      <c r="D7734" s="42" t="str">
        <f>IFERROR(__xludf.DUMMYFUNCTION("""COMPUTED_VALUE"""),"Berry")</f>
        <v>Berry</v>
      </c>
      <c r="E7734" s="42" t="str">
        <f>IFERROR(__xludf.DUMMYFUNCTION("""COMPUTED_VALUE"""),"DISERAHKAN")</f>
        <v>DISERAHKAN</v>
      </c>
      <c r="F7734" s="48">
        <f>IFERROR(__xludf.DUMMYFUNCTION("""COMPUTED_VALUE"""),45938.48538060185)</f>
        <v>45938.48538</v>
      </c>
      <c r="G7734" s="42" t="str">
        <f>IFERROR(__xludf.DUMMYFUNCTION("""COMPUTED_VALUE"""),"BN Jual Beli	")</f>
        <v>BN Jual Beli	</v>
      </c>
      <c r="H7734" s="42">
        <f t="shared" si="1"/>
        <v>3206</v>
      </c>
    </row>
    <row r="7735" ht="22.5" customHeight="1">
      <c r="B7735" s="42" t="str">
        <f>IFERROR(__xludf.DUMMYFUNCTION("""COMPUTED_VALUE"""),"K/25/240925/1")</f>
        <v>K/25/240925/1</v>
      </c>
      <c r="C7735" s="42" t="str">
        <f>IFERROR(__xludf.DUMMYFUNCTION("""COMPUTED_VALUE"""),"M. 2093/Sukadana Ham	")</f>
        <v>M. 2093/Sukadana Ham	</v>
      </c>
      <c r="D7735" s="42"/>
      <c r="E7735" s="42"/>
      <c r="F7735" s="48" t="str">
        <f>IFERROR(__xludf.DUMMYFUNCTION("""COMPUTED_VALUE"""),"")</f>
        <v/>
      </c>
      <c r="G7735" s="42" t="str">
        <f>IFERROR(__xludf.DUMMYFUNCTION("""COMPUTED_VALUE"""),"BN Jual Beli	")</f>
        <v>BN Jual Beli	</v>
      </c>
      <c r="H7735" s="42">
        <f t="shared" si="1"/>
        <v>3206</v>
      </c>
    </row>
    <row r="7736" ht="22.5" customHeight="1">
      <c r="B7736" s="42" t="str">
        <f>IFERROR(__xludf.DUMMYFUNCTION("""COMPUTED_VALUE"""),"K/26/240925/1")</f>
        <v>K/26/240925/1</v>
      </c>
      <c r="C7736" s="42" t="str">
        <f>IFERROR(__xludf.DUMMYFUNCTION("""COMPUTED_VALUE"""),"KELAPA TIGA")</f>
        <v>KELAPA TIGA</v>
      </c>
      <c r="D7736" s="42"/>
      <c r="E7736" s="42"/>
      <c r="F7736" s="48" t="str">
        <f>IFERROR(__xludf.DUMMYFUNCTION("""COMPUTED_VALUE"""),"")</f>
        <v/>
      </c>
      <c r="G7736" s="42" t="str">
        <f>IFERROR(__xludf.DUMMYFUNCTION("""COMPUTED_VALUE"""),"PENGUKURAN PERTAMA KALI")</f>
        <v>PENGUKURAN PERTAMA KALI</v>
      </c>
      <c r="H7736" s="42">
        <f t="shared" si="1"/>
        <v>3206</v>
      </c>
    </row>
    <row r="7737" ht="22.5" customHeight="1">
      <c r="B7737" s="42" t="str">
        <f>IFERROR(__xludf.DUMMYFUNCTION("""COMPUTED_VALUE"""),"K/27/240925/1")</f>
        <v>K/27/240925/1</v>
      </c>
      <c r="C7737" s="42" t="str">
        <f>IFERROR(__xludf.DUMMYFUNCTION("""COMPUTED_VALUE"""),"NIBEL B 2667/ GEDONG MENENG")</f>
        <v>NIBEL B 2667/ GEDONG MENENG</v>
      </c>
      <c r="D7737" s="42"/>
      <c r="E7737" s="42"/>
      <c r="F7737" s="48" t="str">
        <f>IFERROR(__xludf.DUMMYFUNCTION("""COMPUTED_VALUE"""),"")</f>
        <v/>
      </c>
      <c r="G7737" s="42" t="str">
        <f>IFERROR(__xludf.DUMMYFUNCTION("""COMPUTED_VALUE"""),"PENINGKATAN HAK")</f>
        <v>PENINGKATAN HAK</v>
      </c>
      <c r="H7737" s="42">
        <f t="shared" si="1"/>
        <v>3206</v>
      </c>
    </row>
    <row r="7738" ht="22.5" customHeight="1">
      <c r="B7738" s="42" t="str">
        <f>IFERROR(__xludf.DUMMYFUNCTION("""COMPUTED_VALUE"""),"K/3/250925/1")</f>
        <v>K/3/250925/1</v>
      </c>
      <c r="C7738" s="42" t="str">
        <f>IFERROR(__xludf.DUMMYFUNCTION("""COMPUTED_VALUE"""),"M 72/ PAHOMAN")</f>
        <v>M 72/ PAHOMAN</v>
      </c>
      <c r="D7738" s="42"/>
      <c r="E7738" s="42"/>
      <c r="F7738" s="48" t="str">
        <f>IFERROR(__xludf.DUMMYFUNCTION("""COMPUTED_VALUE"""),"")</f>
        <v/>
      </c>
      <c r="G7738" s="42" t="str">
        <f>IFERROR(__xludf.DUMMYFUNCTION("""COMPUTED_VALUE"""),"BN WARIS")</f>
        <v>BN WARIS</v>
      </c>
      <c r="H7738" s="42">
        <f t="shared" si="1"/>
        <v>3206</v>
      </c>
    </row>
    <row r="7739" ht="22.5" customHeight="1">
      <c r="B7739" s="42" t="str">
        <f>IFERROR(__xludf.DUMMYFUNCTION("""COMPUTED_VALUE"""),"K/1/250925/1")</f>
        <v>K/1/250925/1</v>
      </c>
      <c r="C7739" s="42" t="str">
        <f>IFERROR(__xludf.DUMMYFUNCTION("""COMPUTED_VALUE"""),"Nibel 23966/Palapa	")</f>
        <v>Nibel 23966/Palapa	</v>
      </c>
      <c r="D7739" s="42"/>
      <c r="E7739" s="42"/>
      <c r="F7739" s="48" t="str">
        <f>IFERROR(__xludf.DUMMYFUNCTION("""COMPUTED_VALUE"""),"")</f>
        <v/>
      </c>
      <c r="G7739" s="42" t="str">
        <f>IFERROR(__xludf.DUMMYFUNCTION("""COMPUTED_VALUE"""),"BN Lelang	")</f>
        <v>BN Lelang	</v>
      </c>
      <c r="H7739" s="42">
        <f t="shared" si="1"/>
        <v>3206</v>
      </c>
    </row>
    <row r="7740" ht="22.5" customHeight="1">
      <c r="B7740" s="42" t="str">
        <f>IFERROR(__xludf.DUMMYFUNCTION("""COMPUTED_VALUE"""),"L/6/250925/1")</f>
        <v>L/6/250925/1</v>
      </c>
      <c r="C7740" s="42" t="str">
        <f>IFERROR(__xludf.DUMMYFUNCTION("""COMPUTED_VALUE"""),"M NIB 21106/GUNUNG SULAH")</f>
        <v>M NIB 21106/GUNUNG SULAH</v>
      </c>
      <c r="D7740" s="42"/>
      <c r="E7740" s="42"/>
      <c r="F7740" s="48" t="str">
        <f>IFERROR(__xludf.DUMMYFUNCTION("""COMPUTED_VALUE"""),"")</f>
        <v/>
      </c>
      <c r="G7740" s="42" t="str">
        <f>IFERROR(__xludf.DUMMYFUNCTION("""COMPUTED_VALUE"""),"PEMECAHAN")</f>
        <v>PEMECAHAN</v>
      </c>
      <c r="H7740" s="42">
        <f t="shared" si="1"/>
        <v>3206</v>
      </c>
    </row>
    <row r="7741" ht="22.5" customHeight="1">
      <c r="B7741" s="42" t="str">
        <f>IFERROR(__xludf.DUMMYFUNCTION("""COMPUTED_VALUE"""),"K/2/250925/2")</f>
        <v>K/2/250925/2</v>
      </c>
      <c r="C7741" s="42" t="str">
        <f>IFERROR(__xludf.DUMMYFUNCTION("""COMPUTED_VALUE"""),"Nibel 24921/Palapa	")</f>
        <v>Nibel 24921/Palapa	</v>
      </c>
      <c r="D7741" s="42"/>
      <c r="E7741" s="42"/>
      <c r="F7741" s="48" t="str">
        <f>IFERROR(__xludf.DUMMYFUNCTION("""COMPUTED_VALUE"""),"")</f>
        <v/>
      </c>
      <c r="G7741" s="42" t="str">
        <f>IFERROR(__xludf.DUMMYFUNCTION("""COMPUTED_VALUE"""),"BN Lelang	")</f>
        <v>BN Lelang	</v>
      </c>
      <c r="H7741" s="42">
        <f t="shared" si="1"/>
        <v>3206</v>
      </c>
    </row>
    <row r="7742" ht="22.5" customHeight="1">
      <c r="B7742" s="42" t="str">
        <f>IFERROR(__xludf.DUMMYFUNCTION("""COMPUTED_VALUE"""),"K/4/250925/2")</f>
        <v>K/4/250925/2</v>
      </c>
      <c r="C7742" s="42" t="str">
        <f>IFERROR(__xludf.DUMMYFUNCTION("""COMPUTED_VALUE"""),"M 376/ PAHOMAN")</f>
        <v>M 376/ PAHOMAN</v>
      </c>
      <c r="D7742" s="42"/>
      <c r="E7742" s="42"/>
      <c r="F7742" s="48" t="str">
        <f>IFERROR(__xludf.DUMMYFUNCTION("""COMPUTED_VALUE"""),"")</f>
        <v/>
      </c>
      <c r="G7742" s="42" t="str">
        <f>IFERROR(__xludf.DUMMYFUNCTION("""COMPUTED_VALUE"""),"BN WARIS")</f>
        <v>BN WARIS</v>
      </c>
      <c r="H7742" s="42">
        <f t="shared" si="1"/>
        <v>3206</v>
      </c>
    </row>
    <row r="7743" ht="22.5" customHeight="1">
      <c r="B7743" s="42" t="str">
        <f>IFERROR(__xludf.DUMMYFUNCTION("""COMPUTED_VALUE"""),"K/5/250925/3")</f>
        <v>K/5/250925/3</v>
      </c>
      <c r="C7743" s="42" t="str">
        <f>IFERROR(__xludf.DUMMYFUNCTION("""COMPUTED_VALUE"""),"M 375/ PAHOMAN")</f>
        <v>M 375/ PAHOMAN</v>
      </c>
      <c r="D7743" s="42"/>
      <c r="E7743" s="42"/>
      <c r="F7743" s="48" t="str">
        <f>IFERROR(__xludf.DUMMYFUNCTION("""COMPUTED_VALUE"""),"")</f>
        <v/>
      </c>
      <c r="G7743" s="42" t="str">
        <f>IFERROR(__xludf.DUMMYFUNCTION("""COMPUTED_VALUE"""),"BN WARIS")</f>
        <v>BN WARIS</v>
      </c>
      <c r="H7743" s="42">
        <f t="shared" si="1"/>
        <v>3206</v>
      </c>
    </row>
    <row r="7744" ht="22.5" customHeight="1">
      <c r="B7744" s="42" t="str">
        <f>IFERROR(__xludf.DUMMYFUNCTION("""COMPUTED_VALUE"""),"K/7/250925/1")</f>
        <v>K/7/250925/1</v>
      </c>
      <c r="C7744" s="42" t="str">
        <f>IFERROR(__xludf.DUMMYFUNCTION("""COMPUTED_VALUE"""),"M. 12789/Sukabumi")</f>
        <v>M. 12789/Sukabumi</v>
      </c>
      <c r="D7744" s="42" t="str">
        <f>IFERROR(__xludf.DUMMYFUNCTION("""COMPUTED_VALUE"""),"Berry")</f>
        <v>Berry</v>
      </c>
      <c r="E7744" s="42" t="str">
        <f>IFERROR(__xludf.DUMMYFUNCTION("""COMPUTED_VALUE"""),"DISERAHKAN")</f>
        <v>DISERAHKAN</v>
      </c>
      <c r="F7744" s="48">
        <f>IFERROR(__xludf.DUMMYFUNCTION("""COMPUTED_VALUE"""),45966.648019409724)</f>
        <v>45966.64802</v>
      </c>
      <c r="G7744" s="42" t="str">
        <f>IFERROR(__xludf.DUMMYFUNCTION("""COMPUTED_VALUE"""),"SKPT		")</f>
        <v>SKPT		</v>
      </c>
      <c r="H7744" s="42">
        <f t="shared" si="1"/>
        <v>3207</v>
      </c>
    </row>
    <row r="7745" ht="22.5" customHeight="1">
      <c r="B7745" s="42" t="str">
        <f>IFERROR(__xludf.DUMMYFUNCTION("""COMPUTED_VALUE"""),"K/8/250925/2	")</f>
        <v>K/8/250925/2	</v>
      </c>
      <c r="C7745" s="42" t="str">
        <f>IFERROR(__xludf.DUMMYFUNCTION("""COMPUTED_VALUE"""),"M. 11546/Sukabumi	")</f>
        <v>M. 11546/Sukabumi	</v>
      </c>
      <c r="D7745" s="42"/>
      <c r="E7745" s="42"/>
      <c r="F7745" s="48" t="str">
        <f>IFERROR(__xludf.DUMMYFUNCTION("""COMPUTED_VALUE"""),"")</f>
        <v/>
      </c>
      <c r="G7745" s="42" t="str">
        <f>IFERROR(__xludf.DUMMYFUNCTION("""COMPUTED_VALUE"""),"SKPT	")</f>
        <v>SKPT	</v>
      </c>
      <c r="H7745" s="42">
        <f t="shared" si="1"/>
        <v>3207</v>
      </c>
    </row>
    <row r="7746" ht="22.5" customHeight="1">
      <c r="B7746" s="42" t="str">
        <f>IFERROR(__xludf.DUMMYFUNCTION("""COMPUTED_VALUE"""),"K/3/240925/2")</f>
        <v>K/3/240925/2</v>
      </c>
      <c r="C7746" s="42" t="str">
        <f>IFERROR(__xludf.DUMMYFUNCTION("""COMPUTED_VALUE"""),"NIBEL M 22971/ JAGABAYA III")</f>
        <v>NIBEL M 22971/ JAGABAYA III</v>
      </c>
      <c r="D7746" s="42"/>
      <c r="E7746" s="42"/>
      <c r="F7746" s="48" t="str">
        <f>IFERROR(__xludf.DUMMYFUNCTION("""COMPUTED_VALUE"""),"")</f>
        <v/>
      </c>
      <c r="G7746" s="42" t="str">
        <f>IFERROR(__xludf.DUMMYFUNCTION("""COMPUTED_VALUE"""),"BN JUAL BELI")</f>
        <v>BN JUAL BELI</v>
      </c>
      <c r="H7746" s="42">
        <f t="shared" si="1"/>
        <v>3207</v>
      </c>
    </row>
    <row r="7747" ht="22.5" customHeight="1">
      <c r="B7747" s="42" t="str">
        <f>IFERROR(__xludf.DUMMYFUNCTION("""COMPUTED_VALUE"""),"L/9/250925/1")</f>
        <v>L/9/250925/1</v>
      </c>
      <c r="C7747" s="42" t="str">
        <f>IFERROR(__xludf.DUMMYFUNCTION("""COMPUTED_VALUE"""),"M. 1314/SUSUNAN BARU")</f>
        <v>M. 1314/SUSUNAN BARU</v>
      </c>
      <c r="D7747" s="42"/>
      <c r="E7747" s="42"/>
      <c r="F7747" s="48" t="str">
        <f>IFERROR(__xludf.DUMMYFUNCTION("""COMPUTED_VALUE"""),"")</f>
        <v/>
      </c>
      <c r="G7747" s="42" t="str">
        <f>IFERROR(__xludf.DUMMYFUNCTION("""COMPUTED_VALUE"""),"PEMECAHAN")</f>
        <v>PEMECAHAN</v>
      </c>
      <c r="H7747" s="42">
        <f t="shared" si="1"/>
        <v>3207</v>
      </c>
    </row>
    <row r="7748" ht="22.5" customHeight="1">
      <c r="B7748" s="42" t="str">
        <f>IFERROR(__xludf.DUMMYFUNCTION("""COMPUTED_VALUE"""),"K/10/250925/1")</f>
        <v>K/10/250925/1</v>
      </c>
      <c r="C7748" s="42" t="str">
        <f>IFERROR(__xludf.DUMMYFUNCTION("""COMPUTED_VALUE"""),"Nibel 23362/Jagabaya II	")</f>
        <v>Nibel 23362/Jagabaya II	</v>
      </c>
      <c r="D7748" s="42"/>
      <c r="E7748" s="42"/>
      <c r="F7748" s="48" t="str">
        <f>IFERROR(__xludf.DUMMYFUNCTION("""COMPUTED_VALUE"""),"")</f>
        <v/>
      </c>
      <c r="G7748" s="42" t="str">
        <f>IFERROR(__xludf.DUMMYFUNCTION("""COMPUTED_VALUE"""),"BN Hibah	")</f>
        <v>BN Hibah	</v>
      </c>
      <c r="H7748" s="42">
        <f t="shared" si="1"/>
        <v>3207</v>
      </c>
    </row>
    <row r="7749" ht="22.5" customHeight="1">
      <c r="B7749" s="42" t="str">
        <f>IFERROR(__xludf.DUMMYFUNCTION("""COMPUTED_VALUE"""),"L/11/250925/1")</f>
        <v>L/11/250925/1</v>
      </c>
      <c r="C7749" s="42" t="str">
        <f>IFERROR(__xludf.DUMMYFUNCTION("""COMPUTED_VALUE"""),"B. 206/GEDUNG MENENG")</f>
        <v>B. 206/GEDUNG MENENG</v>
      </c>
      <c r="D7749" s="42"/>
      <c r="E7749" s="42"/>
      <c r="F7749" s="48" t="str">
        <f>IFERROR(__xludf.DUMMYFUNCTION("""COMPUTED_VALUE"""),"")</f>
        <v/>
      </c>
      <c r="G7749" s="42" t="str">
        <f>IFERROR(__xludf.DUMMYFUNCTION("""COMPUTED_VALUE"""),"ROYA")</f>
        <v>ROYA</v>
      </c>
      <c r="H7749" s="42">
        <f t="shared" si="1"/>
        <v>3207</v>
      </c>
    </row>
    <row r="7750" ht="22.5" customHeight="1">
      <c r="B7750" s="42" t="str">
        <f>IFERROR(__xludf.DUMMYFUNCTION("""COMPUTED_VALUE"""),"K/13/230925/1	")</f>
        <v>K/13/230925/1	</v>
      </c>
      <c r="C7750" s="42" t="str">
        <f>IFERROR(__xludf.DUMMYFUNCTION("""COMPUTED_VALUE"""),"M. 417/Ketapang	")</f>
        <v>M. 417/Ketapang	</v>
      </c>
      <c r="D7750" s="42" t="str">
        <f>IFERROR(__xludf.DUMMYFUNCTION("""COMPUTED_VALUE"""),"David")</f>
        <v>David</v>
      </c>
      <c r="E7750" s="42" t="str">
        <f>IFERROR(__xludf.DUMMYFUNCTION("""COMPUTED_VALUE"""),"DISERAHKAN")</f>
        <v>DISERAHKAN</v>
      </c>
      <c r="F7750" s="48">
        <f>IFERROR(__xludf.DUMMYFUNCTION("""COMPUTED_VALUE"""),45950.605715196754)</f>
        <v>45950.60572</v>
      </c>
      <c r="G7750" s="42" t="str">
        <f>IFERROR(__xludf.DUMMYFUNCTION("""COMPUTED_VALUE"""),"Roya Lelang	")</f>
        <v>Roya Lelang	</v>
      </c>
      <c r="H7750" s="42">
        <f t="shared" si="1"/>
        <v>3208</v>
      </c>
    </row>
    <row r="7751" ht="22.5" customHeight="1">
      <c r="B7751" s="42" t="str">
        <f>IFERROR(__xludf.DUMMYFUNCTION("""COMPUTED_VALUE"""),"K/13/250925/1")</f>
        <v>K/13/250925/1</v>
      </c>
      <c r="C7751" s="42" t="str">
        <f>IFERROR(__xludf.DUMMYFUNCTION("""COMPUTED_VALUE"""),"M 3241/ BERINGIN RAYA")</f>
        <v>M 3241/ BERINGIN RAYA</v>
      </c>
      <c r="D7751" s="42"/>
      <c r="E7751" s="42"/>
      <c r="F7751" s="48" t="str">
        <f>IFERROR(__xludf.DUMMYFUNCTION("""COMPUTED_VALUE"""),"")</f>
        <v/>
      </c>
      <c r="G7751" s="42" t="str">
        <f>IFERROR(__xludf.DUMMYFUNCTION("""COMPUTED_VALUE"""),"BN WARIS")</f>
        <v>BN WARIS</v>
      </c>
      <c r="H7751" s="42">
        <f t="shared" si="1"/>
        <v>3208</v>
      </c>
    </row>
    <row r="7752" ht="22.5" customHeight="1">
      <c r="B7752" s="42" t="str">
        <f>IFERROR(__xludf.DUMMYFUNCTION("""COMPUTED_VALUE"""),"K/14/250925/1")</f>
        <v>K/14/250925/1</v>
      </c>
      <c r="C7752" s="42" t="str">
        <f>IFERROR(__xludf.DUMMYFUNCTION("""COMPUTED_VALUE"""),"M 793/ GEDONG PAKUON")</f>
        <v>M 793/ GEDONG PAKUON</v>
      </c>
      <c r="D7752" s="42" t="str">
        <f>IFERROR(__xludf.DUMMYFUNCTION("""COMPUTED_VALUE"""),"David")</f>
        <v>David</v>
      </c>
      <c r="E7752" s="42" t="str">
        <f>IFERROR(__xludf.DUMMYFUNCTION("""COMPUTED_VALUE"""),"DISERAHKAN")</f>
        <v>DISERAHKAN</v>
      </c>
      <c r="F7752" s="48">
        <f>IFERROR(__xludf.DUMMYFUNCTION("""COMPUTED_VALUE"""),45957.49244583333)</f>
        <v>45957.49245</v>
      </c>
      <c r="G7752" s="42" t="str">
        <f>IFERROR(__xludf.DUMMYFUNCTION("""COMPUTED_VALUE"""),"SHM HILANG")</f>
        <v>SHM HILANG</v>
      </c>
      <c r="H7752" s="42">
        <f t="shared" si="1"/>
        <v>3209</v>
      </c>
    </row>
    <row r="7753" ht="22.5" customHeight="1">
      <c r="B7753" s="42" t="str">
        <f>IFERROR(__xludf.DUMMYFUNCTION("""COMPUTED_VALUE"""),"K/15/250925/1")</f>
        <v>K/15/250925/1</v>
      </c>
      <c r="C7753" s="42" t="str">
        <f>IFERROR(__xludf.DUMMYFUNCTION("""COMPUTED_VALUE"""),"B 63/ RAJABASA NUNYAI")</f>
        <v>B 63/ RAJABASA NUNYAI</v>
      </c>
      <c r="D7753" s="42"/>
      <c r="E7753" s="42"/>
      <c r="F7753" s="48" t="str">
        <f>IFERROR(__xludf.DUMMYFUNCTION("""COMPUTED_VALUE"""),"")</f>
        <v/>
      </c>
      <c r="G7753" s="42" t="str">
        <f>IFERROR(__xludf.DUMMYFUNCTION("""COMPUTED_VALUE"""),"BN JUAL BELI")</f>
        <v>BN JUAL BELI</v>
      </c>
      <c r="H7753" s="42">
        <f t="shared" si="1"/>
        <v>3209</v>
      </c>
    </row>
    <row r="7754" ht="22.5" customHeight="1">
      <c r="B7754" s="42" t="str">
        <f>IFERROR(__xludf.DUMMYFUNCTION("""COMPUTED_VALUE"""),"K/16/250925/1")</f>
        <v>K/16/250925/1</v>
      </c>
      <c r="C7754" s="42" t="str">
        <f>IFERROR(__xludf.DUMMYFUNCTION("""COMPUTED_VALUE"""),"M 305/ GEDONG AIR")</f>
        <v>M 305/ GEDONG AIR</v>
      </c>
      <c r="D7754" s="42"/>
      <c r="E7754" s="42"/>
      <c r="F7754" s="48" t="str">
        <f>IFERROR(__xludf.DUMMYFUNCTION("""COMPUTED_VALUE"""),"")</f>
        <v/>
      </c>
      <c r="G7754" s="42" t="str">
        <f>IFERROR(__xludf.DUMMYFUNCTION("""COMPUTED_VALUE"""),"BN HIBAH")</f>
        <v>BN HIBAH</v>
      </c>
      <c r="H7754" s="42">
        <f t="shared" si="1"/>
        <v>3209</v>
      </c>
    </row>
    <row r="7755" ht="22.5" customHeight="1">
      <c r="B7755" s="42" t="str">
        <f>IFERROR(__xludf.DUMMYFUNCTION("""COMPUTED_VALUE"""),"K/17/250925/1")</f>
        <v>K/17/250925/1</v>
      </c>
      <c r="C7755" s="42" t="str">
        <f>IFERROR(__xludf.DUMMYFUNCTION("""COMPUTED_VALUE"""),"M. 13304/Tanjung Baru	")</f>
        <v>M. 13304/Tanjung Baru	</v>
      </c>
      <c r="D7755" s="42" t="str">
        <f>IFERROR(__xludf.DUMMYFUNCTION("""COMPUTED_VALUE"""),"David")</f>
        <v>David</v>
      </c>
      <c r="E7755" s="42" t="str">
        <f>IFERROR(__xludf.DUMMYFUNCTION("""COMPUTED_VALUE"""),"DISERAHKAN")</f>
        <v>DISERAHKAN</v>
      </c>
      <c r="F7755" s="48">
        <f>IFERROR(__xludf.DUMMYFUNCTION("""COMPUTED_VALUE"""),45993.46053182871)</f>
        <v>45993.46053</v>
      </c>
      <c r="G7755" s="42" t="str">
        <f>IFERROR(__xludf.DUMMYFUNCTION("""COMPUTED_VALUE"""),"APHB	")</f>
        <v>APHB	</v>
      </c>
      <c r="H7755" s="42">
        <f t="shared" si="1"/>
        <v>3210</v>
      </c>
    </row>
    <row r="7756" ht="22.5" customHeight="1">
      <c r="B7756" s="42" t="str">
        <f>IFERROR(__xludf.DUMMYFUNCTION("""COMPUTED_VALUE"""),"L/18/250925/1")</f>
        <v>L/18/250925/1</v>
      </c>
      <c r="C7756" s="42" t="str">
        <f>IFERROR(__xludf.DUMMYFUNCTION("""COMPUTED_VALUE"""),"M. 10664/KEDAMAIAN")</f>
        <v>M. 10664/KEDAMAIAN</v>
      </c>
      <c r="D7756" s="42" t="str">
        <f>IFERROR(__xludf.DUMMYFUNCTION("""COMPUTED_VALUE"""),"David")</f>
        <v>David</v>
      </c>
      <c r="E7756" s="42" t="str">
        <f>IFERROR(__xludf.DUMMYFUNCTION("""COMPUTED_VALUE"""),"DISERAHKAN")</f>
        <v>DISERAHKAN</v>
      </c>
      <c r="F7756" s="48">
        <f>IFERROR(__xludf.DUMMYFUNCTION("""COMPUTED_VALUE"""),45960.63400203704)</f>
        <v>45960.634</v>
      </c>
      <c r="G7756" s="42" t="str">
        <f>IFERROR(__xludf.DUMMYFUNCTION("""COMPUTED_VALUE"""),"ROYA")</f>
        <v>ROYA</v>
      </c>
      <c r="H7756" s="42">
        <f t="shared" si="1"/>
        <v>3211</v>
      </c>
    </row>
    <row r="7757" ht="22.5" customHeight="1">
      <c r="B7757" s="42" t="str">
        <f>IFERROR(__xludf.DUMMYFUNCTION("""COMPUTED_VALUE"""),"K/19/250925/1")</f>
        <v>K/19/250925/1</v>
      </c>
      <c r="C7757" s="42" t="str">
        <f>IFERROR(__xludf.DUMMYFUNCTION("""COMPUTED_VALUE"""),"NIBEL B 3646/ SUKABUMI")</f>
        <v>NIBEL B 3646/ SUKABUMI</v>
      </c>
      <c r="D7757" s="42" t="str">
        <f>IFERROR(__xludf.DUMMYFUNCTION("""COMPUTED_VALUE"""),"David")</f>
        <v>David</v>
      </c>
      <c r="E7757" s="42" t="str">
        <f>IFERROR(__xludf.DUMMYFUNCTION("""COMPUTED_VALUE"""),"DISERAHKAN")</f>
        <v>DISERAHKAN</v>
      </c>
      <c r="F7757" s="48">
        <f>IFERROR(__xludf.DUMMYFUNCTION("""COMPUTED_VALUE"""),45957.61548851852)</f>
        <v>45957.61549</v>
      </c>
      <c r="G7757" s="42" t="str">
        <f>IFERROR(__xludf.DUMMYFUNCTION("""COMPUTED_VALUE"""),"BN JUAL BELI")</f>
        <v>BN JUAL BELI</v>
      </c>
      <c r="H7757" s="42">
        <f t="shared" si="1"/>
        <v>3212</v>
      </c>
    </row>
    <row r="7758" ht="22.5" customHeight="1">
      <c r="B7758" s="42" t="str">
        <f>IFERROR(__xludf.DUMMYFUNCTION("""COMPUTED_VALUE"""),"K/21/250925/1")</f>
        <v>K/21/250925/1</v>
      </c>
      <c r="C7758" s="42" t="str">
        <f>IFERROR(__xludf.DUMMYFUNCTION("""COMPUTED_VALUE"""),"M. 146/Rawa Laut	")</f>
        <v>M. 146/Rawa Laut	</v>
      </c>
      <c r="D7758" s="42"/>
      <c r="E7758" s="42"/>
      <c r="F7758" s="48" t="str">
        <f>IFERROR(__xludf.DUMMYFUNCTION("""COMPUTED_VALUE"""),"")</f>
        <v/>
      </c>
      <c r="G7758" s="42" t="str">
        <f>IFERROR(__xludf.DUMMYFUNCTION("""COMPUTED_VALUE"""),"Roya Lelang	")</f>
        <v>Roya Lelang	</v>
      </c>
      <c r="H7758" s="42">
        <f t="shared" si="1"/>
        <v>3212</v>
      </c>
    </row>
    <row r="7759" ht="22.5" customHeight="1">
      <c r="B7759" s="42" t="str">
        <f>IFERROR(__xludf.DUMMYFUNCTION("""COMPUTED_VALUE"""),"L/22/250925/1")</f>
        <v>L/22/250925/1</v>
      </c>
      <c r="C7759" s="42" t="str">
        <f>IFERROR(__xludf.DUMMYFUNCTION("""COMPUTED_VALUE"""),"SHGB 636/NUSANTARA PERMAI")</f>
        <v>SHGB 636/NUSANTARA PERMAI</v>
      </c>
      <c r="D7759" s="42"/>
      <c r="E7759" s="42"/>
      <c r="F7759" s="48" t="str">
        <f>IFERROR(__xludf.DUMMYFUNCTION("""COMPUTED_VALUE"""),"")</f>
        <v/>
      </c>
      <c r="G7759" s="42" t="str">
        <f>IFERROR(__xludf.DUMMYFUNCTION("""COMPUTED_VALUE"""),"PENINGKATAN HAK")</f>
        <v>PENINGKATAN HAK</v>
      </c>
      <c r="H7759" s="42">
        <f t="shared" si="1"/>
        <v>3212</v>
      </c>
    </row>
    <row r="7760" ht="22.5" customHeight="1">
      <c r="B7760" s="42" t="str">
        <f>IFERROR(__xludf.DUMMYFUNCTION("""COMPUTED_VALUE"""),"L/23/250925/2")</f>
        <v>L/23/250925/2</v>
      </c>
      <c r="C7760" s="42" t="str">
        <f>IFERROR(__xludf.DUMMYFUNCTION("""COMPUTED_VALUE"""),"SHGB. 635/NUSANTARA PERMAI")</f>
        <v>SHGB. 635/NUSANTARA PERMAI</v>
      </c>
      <c r="D7760" s="42" t="str">
        <f>IFERROR(__xludf.DUMMYFUNCTION("""COMPUTED_VALUE"""),"David")</f>
        <v>David</v>
      </c>
      <c r="E7760" s="42" t="str">
        <f>IFERROR(__xludf.DUMMYFUNCTION("""COMPUTED_VALUE"""),"DISERAHKAN")</f>
        <v>DISERAHKAN</v>
      </c>
      <c r="F7760" s="48">
        <f>IFERROR(__xludf.DUMMYFUNCTION("""COMPUTED_VALUE"""),45944.48534987269)</f>
        <v>45944.48535</v>
      </c>
      <c r="G7760" s="42" t="str">
        <f>IFERROR(__xludf.DUMMYFUNCTION("""COMPUTED_VALUE"""),"PENINGKATAN HAK")</f>
        <v>PENINGKATAN HAK</v>
      </c>
      <c r="H7760" s="42">
        <f t="shared" si="1"/>
        <v>3213</v>
      </c>
    </row>
    <row r="7761" ht="22.5" customHeight="1">
      <c r="B7761" s="42" t="str">
        <f>IFERROR(__xludf.DUMMYFUNCTION("""COMPUTED_VALUE"""),"K/20/250925/2")</f>
        <v>K/20/250925/2</v>
      </c>
      <c r="C7761" s="42" t="str">
        <f>IFERROR(__xludf.DUMMYFUNCTION("""COMPUTED_VALUE"""),"NIBEL B 3678/ SUKABUMI")</f>
        <v>NIBEL B 3678/ SUKABUMI</v>
      </c>
      <c r="D7761" s="42" t="str">
        <f>IFERROR(__xludf.DUMMYFUNCTION("""COMPUTED_VALUE"""),"David")</f>
        <v>David</v>
      </c>
      <c r="E7761" s="42" t="str">
        <f>IFERROR(__xludf.DUMMYFUNCTION("""COMPUTED_VALUE"""),"DISERAHKAN")</f>
        <v>DISERAHKAN</v>
      </c>
      <c r="F7761" s="48">
        <f>IFERROR(__xludf.DUMMYFUNCTION("""COMPUTED_VALUE"""),45944.485567766205)</f>
        <v>45944.48557</v>
      </c>
      <c r="G7761" s="42" t="str">
        <f>IFERROR(__xludf.DUMMYFUNCTION("""COMPUTED_VALUE"""),"BN JUAL BELI")</f>
        <v>BN JUAL BELI</v>
      </c>
      <c r="H7761" s="42">
        <f t="shared" si="1"/>
        <v>3214</v>
      </c>
    </row>
    <row r="7762" ht="22.5" customHeight="1">
      <c r="B7762" s="42" t="str">
        <f>IFERROR(__xludf.DUMMYFUNCTION("""COMPUTED_VALUE"""),"K/25/250925/1")</f>
        <v>K/25/250925/1</v>
      </c>
      <c r="C7762" s="42" t="str">
        <f>IFERROR(__xludf.DUMMYFUNCTION("""COMPUTED_VALUE"""),"B 77/ SURABAYA")</f>
        <v>B 77/ SURABAYA</v>
      </c>
      <c r="D7762" s="42"/>
      <c r="E7762" s="42"/>
      <c r="F7762" s="48" t="str">
        <f>IFERROR(__xludf.DUMMYFUNCTION("""COMPUTED_VALUE"""),"")</f>
        <v/>
      </c>
      <c r="G7762" s="42" t="str">
        <f>IFERROR(__xludf.DUMMYFUNCTION("""COMPUTED_VALUE"""),"PENDAFTARAN SK")</f>
        <v>PENDAFTARAN SK</v>
      </c>
      <c r="H7762" s="42">
        <f t="shared" si="1"/>
        <v>3214</v>
      </c>
    </row>
    <row r="7763" ht="22.5" customHeight="1">
      <c r="B7763" s="42" t="str">
        <f>IFERROR(__xludf.DUMMYFUNCTION("""COMPUTED_VALUE"""),"K/26/250925/2")</f>
        <v>K/26/250925/2</v>
      </c>
      <c r="C7763" s="42" t="str">
        <f>IFERROR(__xludf.DUMMYFUNCTION("""COMPUTED_VALUE"""),"B 26/ SURABAYA")</f>
        <v>B 26/ SURABAYA</v>
      </c>
      <c r="D7763" s="42"/>
      <c r="E7763" s="42"/>
      <c r="F7763" s="48" t="str">
        <f>IFERROR(__xludf.DUMMYFUNCTION("""COMPUTED_VALUE"""),"")</f>
        <v/>
      </c>
      <c r="G7763" s="42" t="str">
        <f>IFERROR(__xludf.DUMMYFUNCTION("""COMPUTED_VALUE"""),"PTPGT PEMBARUAN HAK")</f>
        <v>PTPGT PEMBARUAN HAK</v>
      </c>
      <c r="H7763" s="42">
        <f t="shared" si="1"/>
        <v>3214</v>
      </c>
    </row>
    <row r="7764" ht="22.5" customHeight="1">
      <c r="B7764" s="42" t="str">
        <f>IFERROR(__xludf.DUMMYFUNCTION("""COMPUTED_VALUE"""),"L/24/250925/1")</f>
        <v>L/24/250925/1</v>
      </c>
      <c r="C7764" s="42" t="str">
        <f>IFERROR(__xludf.DUMMYFUNCTION("""COMPUTED_VALUE"""),"M. 1272/SUSUNAN BARU")</f>
        <v>M. 1272/SUSUNAN BARU</v>
      </c>
      <c r="D7764" s="42"/>
      <c r="E7764" s="42"/>
      <c r="F7764" s="48" t="str">
        <f>IFERROR(__xludf.DUMMYFUNCTION("""COMPUTED_VALUE"""),"")</f>
        <v/>
      </c>
      <c r="G7764" s="42" t="str">
        <f>IFERROR(__xludf.DUMMYFUNCTION("""COMPUTED_VALUE"""),"ROYA")</f>
        <v>ROYA</v>
      </c>
      <c r="H7764" s="42">
        <f t="shared" si="1"/>
        <v>3214</v>
      </c>
    </row>
    <row r="7765" ht="22.5" customHeight="1">
      <c r="B7765" s="42" t="str">
        <f>IFERROR(__xludf.DUMMYFUNCTION("""COMPUTED_VALUE"""),"L/27/250925/1")</f>
        <v>L/27/250925/1</v>
      </c>
      <c r="C7765" s="42" t="str">
        <f>IFERROR(__xludf.DUMMYFUNCTION("""COMPUTED_VALUE"""),"LUAS 392 M2 KEL TANJUNG RAYA")</f>
        <v>LUAS 392 M2 KEL TANJUNG RAYA</v>
      </c>
      <c r="D7765" s="42"/>
      <c r="E7765" s="42"/>
      <c r="F7765" s="48" t="str">
        <f>IFERROR(__xludf.DUMMYFUNCTION("""COMPUTED_VALUE"""),"")</f>
        <v/>
      </c>
      <c r="G7765" s="42" t="str">
        <f>IFERROR(__xludf.DUMMYFUNCTION("""COMPUTED_VALUE"""),"PENGUKURAN PERTAMA KALI")</f>
        <v>PENGUKURAN PERTAMA KALI</v>
      </c>
      <c r="H7765" s="42">
        <f t="shared" si="1"/>
        <v>3214</v>
      </c>
    </row>
    <row r="7766" ht="22.5" customHeight="1">
      <c r="B7766" s="42" t="str">
        <f>IFERROR(__xludf.DUMMYFUNCTION("""COMPUTED_VALUE"""),"K/28/250925/1")</f>
        <v>K/28/250925/1</v>
      </c>
      <c r="C7766" s="42" t="str">
        <f>IFERROR(__xludf.DUMMYFUNCTION("""COMPUTED_VALUE"""),"M 1117/ LABUHAN DALAM")</f>
        <v>M 1117/ LABUHAN DALAM</v>
      </c>
      <c r="D7766" s="42"/>
      <c r="E7766" s="42"/>
      <c r="F7766" s="48" t="str">
        <f>IFERROR(__xludf.DUMMYFUNCTION("""COMPUTED_VALUE"""),"")</f>
        <v/>
      </c>
      <c r="G7766" s="42" t="str">
        <f>IFERROR(__xludf.DUMMYFUNCTION("""COMPUTED_VALUE"""),"BN JUAL BELI")</f>
        <v>BN JUAL BELI</v>
      </c>
      <c r="H7766" s="42">
        <f t="shared" si="1"/>
        <v>3214</v>
      </c>
    </row>
    <row r="7767" ht="22.5" customHeight="1">
      <c r="B7767" s="42" t="str">
        <f>IFERROR(__xludf.DUMMYFUNCTION("""COMPUTED_VALUE"""),"L/30/250925/1")</f>
        <v>L/30/250925/1</v>
      </c>
      <c r="C7767" s="42" t="str">
        <f>IFERROR(__xludf.DUMMYFUNCTION("""COMPUTED_VALUE"""),"SHM NIB. 5023/KOTA BARU")</f>
        <v>SHM NIB. 5023/KOTA BARU</v>
      </c>
      <c r="D7767" s="42" t="str">
        <f>IFERROR(__xludf.DUMMYFUNCTION("""COMPUTED_VALUE"""),"Berry")</f>
        <v>Berry</v>
      </c>
      <c r="E7767" s="42" t="str">
        <f>IFERROR(__xludf.DUMMYFUNCTION("""COMPUTED_VALUE"""),"DISERAHKAN")</f>
        <v>DISERAHKAN</v>
      </c>
      <c r="F7767" s="48">
        <f>IFERROR(__xludf.DUMMYFUNCTION("""COMPUTED_VALUE"""),45988.641072962964)</f>
        <v>45988.64107</v>
      </c>
      <c r="G7767" s="42" t="str">
        <f>IFERROR(__xludf.DUMMYFUNCTION("""COMPUTED_VALUE"""),"BN LELANG")</f>
        <v>BN LELANG</v>
      </c>
      <c r="H7767" s="42">
        <f t="shared" si="1"/>
        <v>3215</v>
      </c>
    </row>
    <row r="7768" ht="22.5" customHeight="1">
      <c r="B7768" s="42" t="str">
        <f>IFERROR(__xludf.DUMMYFUNCTION("""COMPUTED_VALUE"""),"K/29/250925/2")</f>
        <v>K/29/250925/2</v>
      </c>
      <c r="C7768" s="42" t="str">
        <f>IFERROR(__xludf.DUMMYFUNCTION("""COMPUTED_VALUE"""),"NIBEL M 3371/ RAJABASA JAYA")</f>
        <v>NIBEL M 3371/ RAJABASA JAYA</v>
      </c>
      <c r="D7768" s="42"/>
      <c r="E7768" s="42"/>
      <c r="F7768" s="48" t="str">
        <f>IFERROR(__xludf.DUMMYFUNCTION("""COMPUTED_VALUE"""),"")</f>
        <v/>
      </c>
      <c r="G7768" s="42" t="str">
        <f>IFERROR(__xludf.DUMMYFUNCTION("""COMPUTED_VALUE"""),"BN JUAL BELI")</f>
        <v>BN JUAL BELI</v>
      </c>
      <c r="H7768" s="42">
        <f t="shared" si="1"/>
        <v>3215</v>
      </c>
    </row>
    <row r="7769" ht="22.5" customHeight="1">
      <c r="B7769" s="42" t="str">
        <f>IFERROR(__xludf.DUMMYFUNCTION("""COMPUTED_VALUE"""),"K/32/250925/1")</f>
        <v>K/32/250925/1</v>
      </c>
      <c r="C7769" s="42" t="str">
        <f>IFERROR(__xludf.DUMMYFUNCTION("""COMPUTED_VALUE"""),"M. 2471/Langkapura	")</f>
        <v>M. 2471/Langkapura	</v>
      </c>
      <c r="D7769" s="42"/>
      <c r="E7769" s="42"/>
      <c r="F7769" s="48" t="str">
        <f>IFERROR(__xludf.DUMMYFUNCTION("""COMPUTED_VALUE"""),"")</f>
        <v/>
      </c>
      <c r="G7769" s="42" t="str">
        <f>IFERROR(__xludf.DUMMYFUNCTION("""COMPUTED_VALUE"""),"SKPT	")</f>
        <v>SKPT	</v>
      </c>
      <c r="H7769" s="42">
        <f t="shared" si="1"/>
        <v>3215</v>
      </c>
    </row>
    <row r="7770" ht="22.5" customHeight="1">
      <c r="B7770" s="42" t="str">
        <f>IFERROR(__xludf.DUMMYFUNCTION("""COMPUTED_VALUE"""),"K/33/250925/1")</f>
        <v>K/33/250925/1</v>
      </c>
      <c r="C7770" s="42" t="str">
        <f>IFERROR(__xludf.DUMMYFUNCTION("""COMPUTED_VALUE"""),"M. 1896/Way Kandis	")</f>
        <v>M. 1896/Way Kandis	</v>
      </c>
      <c r="D7770" s="42"/>
      <c r="E7770" s="42"/>
      <c r="F7770" s="48" t="str">
        <f>IFERROR(__xludf.DUMMYFUNCTION("""COMPUTED_VALUE"""),"")</f>
        <v/>
      </c>
      <c r="G7770" s="42" t="str">
        <f>IFERROR(__xludf.DUMMYFUNCTION("""COMPUTED_VALUE"""),"BN Jual Beli	")</f>
        <v>BN Jual Beli	</v>
      </c>
      <c r="H7770" s="42">
        <f t="shared" si="1"/>
        <v>3215</v>
      </c>
    </row>
    <row r="7771" ht="22.5" customHeight="1">
      <c r="B7771" s="42" t="str">
        <f>IFERROR(__xludf.DUMMYFUNCTION("""COMPUTED_VALUE"""),"L/31/250925/2")</f>
        <v>L/31/250925/2</v>
      </c>
      <c r="C7771" s="42" t="str">
        <f>IFERROR(__xludf.DUMMYFUNCTION("""COMPUTED_VALUE"""),"M NIB. 2459/KOTA BARU")</f>
        <v>M NIB. 2459/KOTA BARU</v>
      </c>
      <c r="D7771" s="42"/>
      <c r="E7771" s="42"/>
      <c r="F7771" s="48" t="str">
        <f>IFERROR(__xludf.DUMMYFUNCTION("""COMPUTED_VALUE"""),"")</f>
        <v/>
      </c>
      <c r="G7771" s="42" t="str">
        <f>IFERROR(__xludf.DUMMYFUNCTION("""COMPUTED_VALUE"""),"BN LELANG")</f>
        <v>BN LELANG</v>
      </c>
      <c r="H7771" s="42">
        <f t="shared" si="1"/>
        <v>3215</v>
      </c>
    </row>
    <row r="7772" ht="22.5" customHeight="1">
      <c r="B7772" s="42" t="str">
        <f>IFERROR(__xludf.DUMMYFUNCTION("""COMPUTED_VALUE"""),"K/34/250926/1")</f>
        <v>K/34/250926/1</v>
      </c>
      <c r="C7772" s="42" t="str">
        <f>IFERROR(__xludf.DUMMYFUNCTION("""COMPUTED_VALUE"""),"M. 10179/Kedaton	")</f>
        <v>M. 10179/Kedaton	</v>
      </c>
      <c r="D7772" s="42"/>
      <c r="E7772" s="42"/>
      <c r="F7772" s="48" t="str">
        <f>IFERROR(__xludf.DUMMYFUNCTION("""COMPUTED_VALUE"""),"")</f>
        <v/>
      </c>
      <c r="G7772" s="42" t="str">
        <f>IFERROR(__xludf.DUMMYFUNCTION("""COMPUTED_VALUE"""),"Roya	")</f>
        <v>Roya	</v>
      </c>
      <c r="H7772" s="42">
        <f t="shared" si="1"/>
        <v>3215</v>
      </c>
    </row>
    <row r="7773" ht="22.5" customHeight="1">
      <c r="B7773" s="42" t="str">
        <f>IFERROR(__xludf.DUMMYFUNCTION("""COMPUTED_VALUE"""),"L/35/250926/1")</f>
        <v>L/35/250926/1</v>
      </c>
      <c r="C7773" s="42" t="str">
        <f>IFERROR(__xludf.DUMMYFUNCTION("""COMPUTED_VALUE"""),"M. 1697/WAY KANDIS")</f>
        <v>M. 1697/WAY KANDIS</v>
      </c>
      <c r="D7773" s="42" t="str">
        <f>IFERROR(__xludf.DUMMYFUNCTION("""COMPUTED_VALUE"""),"David")</f>
        <v>David</v>
      </c>
      <c r="E7773" s="42" t="str">
        <f>IFERROR(__xludf.DUMMYFUNCTION("""COMPUTED_VALUE"""),"DISERAHKAN")</f>
        <v>DISERAHKAN</v>
      </c>
      <c r="F7773" s="48">
        <f>IFERROR(__xludf.DUMMYFUNCTION("""COMPUTED_VALUE"""),45958.52211760417)</f>
        <v>45958.52212</v>
      </c>
      <c r="G7773" s="42" t="str">
        <f>IFERROR(__xludf.DUMMYFUNCTION("""COMPUTED_VALUE"""),"ROYA")</f>
        <v>ROYA</v>
      </c>
      <c r="H7773" s="42">
        <f t="shared" si="1"/>
        <v>3216</v>
      </c>
    </row>
    <row r="7774" ht="22.5" customHeight="1">
      <c r="B7774" s="42" t="str">
        <f>IFERROR(__xludf.DUMMYFUNCTION("""COMPUTED_VALUE"""),"K/38/250925/1")</f>
        <v>K/38/250925/1</v>
      </c>
      <c r="C7774" s="42" t="str">
        <f>IFERROR(__xludf.DUMMYFUNCTION("""COMPUTED_VALUE"""),"M 1215/ GUNUNG SULAH")</f>
        <v>M 1215/ GUNUNG SULAH</v>
      </c>
      <c r="D7774" s="42"/>
      <c r="E7774" s="42"/>
      <c r="F7774" s="48" t="str">
        <f>IFERROR(__xludf.DUMMYFUNCTION("""COMPUTED_VALUE"""),"")</f>
        <v/>
      </c>
      <c r="G7774" s="42" t="str">
        <f>IFERROR(__xludf.DUMMYFUNCTION("""COMPUTED_VALUE"""),"BLOKIR")</f>
        <v>BLOKIR</v>
      </c>
      <c r="H7774" s="42">
        <f t="shared" si="1"/>
        <v>3216</v>
      </c>
    </row>
    <row r="7775" ht="22.5" customHeight="1">
      <c r="B7775" s="42" t="str">
        <f>IFERROR(__xludf.DUMMYFUNCTION("""COMPUTED_VALUE"""),"K/36/250925/1")</f>
        <v>K/36/250925/1</v>
      </c>
      <c r="C7775" s="42" t="str">
        <f>IFERROR(__xludf.DUMMYFUNCTION("""COMPUTED_VALUE"""),"B. 457/Nusantara Permai	")</f>
        <v>B. 457/Nusantara Permai	</v>
      </c>
      <c r="D7775" s="42"/>
      <c r="E7775" s="42"/>
      <c r="F7775" s="48" t="str">
        <f>IFERROR(__xludf.DUMMYFUNCTION("""COMPUTED_VALUE"""),"")</f>
        <v/>
      </c>
      <c r="G7775" s="42" t="str">
        <f>IFERROR(__xludf.DUMMYFUNCTION("""COMPUTED_VALUE"""),"BN Jual Beli badan Hukum	")</f>
        <v>BN Jual Beli badan Hukum	</v>
      </c>
      <c r="H7775" s="42">
        <f t="shared" si="1"/>
        <v>3216</v>
      </c>
    </row>
    <row r="7776" ht="22.5" customHeight="1">
      <c r="B7776" s="42" t="str">
        <f>IFERROR(__xludf.DUMMYFUNCTION("""COMPUTED_VALUE"""),"K/37/250926/2")</f>
        <v>K/37/250926/2</v>
      </c>
      <c r="C7776" s="42" t="str">
        <f>IFERROR(__xludf.DUMMYFUNCTION("""COMPUTED_VALUE"""),"B. 325/Nusantara Permai	")</f>
        <v>B. 325/Nusantara Permai	</v>
      </c>
      <c r="D7776" s="42" t="str">
        <f>IFERROR(__xludf.DUMMYFUNCTION("""COMPUTED_VALUE"""),"Berry")</f>
        <v>Berry</v>
      </c>
      <c r="E7776" s="42" t="str">
        <f>IFERROR(__xludf.DUMMYFUNCTION("""COMPUTED_VALUE"""),"DISERAHKAN")</f>
        <v>DISERAHKAN</v>
      </c>
      <c r="F7776" s="48">
        <f>IFERROR(__xludf.DUMMYFUNCTION("""COMPUTED_VALUE"""),45996.58962533565)</f>
        <v>45996.58963</v>
      </c>
      <c r="G7776" s="42" t="str">
        <f>IFERROR(__xludf.DUMMYFUNCTION("""COMPUTED_VALUE"""),"BN Jual Beli badan Hukum	")</f>
        <v>BN Jual Beli badan Hukum	</v>
      </c>
      <c r="H7776" s="42">
        <f t="shared" si="1"/>
        <v>3217</v>
      </c>
    </row>
    <row r="7777" ht="22.5" customHeight="1">
      <c r="B7777" s="42" t="str">
        <f>IFERROR(__xludf.DUMMYFUNCTION("""COMPUTED_VALUE"""),"K/39/250925/1")</f>
        <v>K/39/250925/1</v>
      </c>
      <c r="C7777" s="42" t="str">
        <f>IFERROR(__xludf.DUMMYFUNCTION("""COMPUTED_VALUE"""),"M 932/ KORPRI JAYA")</f>
        <v>M 932/ KORPRI JAYA</v>
      </c>
      <c r="D7777" s="42" t="str">
        <f>IFERROR(__xludf.DUMMYFUNCTION("""COMPUTED_VALUE"""),"David")</f>
        <v>David</v>
      </c>
      <c r="E7777" s="42" t="str">
        <f>IFERROR(__xludf.DUMMYFUNCTION("""COMPUTED_VALUE"""),"DISERAHKAN")</f>
        <v>DISERAHKAN</v>
      </c>
      <c r="F7777" s="48">
        <f>IFERROR(__xludf.DUMMYFUNCTION("""COMPUTED_VALUE"""),45993.58741943287)</f>
        <v>45993.58742</v>
      </c>
      <c r="G7777" s="42" t="str">
        <f>IFERROR(__xludf.DUMMYFUNCTION("""COMPUTED_VALUE"""),"BN JUAL BELI")</f>
        <v>BN JUAL BELI</v>
      </c>
      <c r="H7777" s="42">
        <f t="shared" si="1"/>
        <v>3218</v>
      </c>
    </row>
    <row r="7778" ht="22.5" customHeight="1">
      <c r="B7778" s="42" t="str">
        <f>IFERROR(__xludf.DUMMYFUNCTION("""COMPUTED_VALUE"""),"L/1/260925/1")</f>
        <v>L/1/260925/1</v>
      </c>
      <c r="C7778" s="42" t="str">
        <f>IFERROR(__xludf.DUMMYFUNCTION("""COMPUTED_VALUE"""),"LUAS 782 M2 KEL LANGKAPURA")</f>
        <v>LUAS 782 M2 KEL LANGKAPURA</v>
      </c>
      <c r="D7778" s="42"/>
      <c r="E7778" s="42"/>
      <c r="F7778" s="48" t="str">
        <f>IFERROR(__xludf.DUMMYFUNCTION("""COMPUTED_VALUE"""),"")</f>
        <v/>
      </c>
      <c r="G7778" s="42" t="str">
        <f>IFERROR(__xludf.DUMMYFUNCTION("""COMPUTED_VALUE"""),"PTPGT TANAH MENTAH")</f>
        <v>PTPGT TANAH MENTAH</v>
      </c>
      <c r="H7778" s="42">
        <f t="shared" si="1"/>
        <v>3218</v>
      </c>
    </row>
    <row r="7779" ht="22.5" customHeight="1">
      <c r="B7779" s="42" t="str">
        <f>IFERROR(__xludf.DUMMYFUNCTION("""COMPUTED_VALUE"""),"K/2/260925/1")</f>
        <v>K/2/260925/1</v>
      </c>
      <c r="C7779" s="42" t="str">
        <f>IFERROR(__xludf.DUMMYFUNCTION("""COMPUTED_VALUE"""),"M. 2524/Kangkung	")</f>
        <v>M. 2524/Kangkung	</v>
      </c>
      <c r="D7779" s="42"/>
      <c r="E7779" s="42"/>
      <c r="F7779" s="48" t="str">
        <f>IFERROR(__xludf.DUMMYFUNCTION("""COMPUTED_VALUE"""),"")</f>
        <v/>
      </c>
      <c r="G7779" s="42" t="str">
        <f>IFERROR(__xludf.DUMMYFUNCTION("""COMPUTED_VALUE"""),"BN Waris	")</f>
        <v>BN Waris	</v>
      </c>
      <c r="H7779" s="42">
        <f t="shared" si="1"/>
        <v>3218</v>
      </c>
    </row>
    <row r="7780" ht="22.5" customHeight="1">
      <c r="B7780" s="42" t="str">
        <f>IFERROR(__xludf.DUMMYFUNCTION("""COMPUTED_VALUE"""),"K/3/260925/1")</f>
        <v>K/3/260925/1</v>
      </c>
      <c r="C7780" s="42" t="str">
        <f>IFERROR(__xludf.DUMMYFUNCTION("""COMPUTED_VALUE"""),"M. 1893/Beringin Jaya	")</f>
        <v>M. 1893/Beringin Jaya	</v>
      </c>
      <c r="D7780" s="42"/>
      <c r="E7780" s="42"/>
      <c r="F7780" s="48" t="str">
        <f>IFERROR(__xludf.DUMMYFUNCTION("""COMPUTED_VALUE"""),"")</f>
        <v/>
      </c>
      <c r="G7780" s="42" t="str">
        <f>IFERROR(__xludf.DUMMYFUNCTION("""COMPUTED_VALUE"""),"BN Jual Beli	")</f>
        <v>BN Jual Beli	</v>
      </c>
      <c r="H7780" s="42">
        <f t="shared" si="1"/>
        <v>3218</v>
      </c>
    </row>
    <row r="7781" ht="22.5" customHeight="1">
      <c r="B7781" s="42" t="str">
        <f>IFERROR(__xludf.DUMMYFUNCTION("""COMPUTED_VALUE"""),"K/4/260925/2                ")</f>
        <v>K/4/260925/2                </v>
      </c>
      <c r="C7781" s="42" t="str">
        <f>IFERROR(__xludf.DUMMYFUNCTION("""COMPUTED_VALUE"""),"M. 1896/Beringin Jaya")</f>
        <v>M. 1896/Beringin Jaya</v>
      </c>
      <c r="D7781" s="42" t="str">
        <f>IFERROR(__xludf.DUMMYFUNCTION("""COMPUTED_VALUE"""),"David")</f>
        <v>David</v>
      </c>
      <c r="E7781" s="42" t="str">
        <f>IFERROR(__xludf.DUMMYFUNCTION("""COMPUTED_VALUE"""),"DISERAHKAN")</f>
        <v>DISERAHKAN</v>
      </c>
      <c r="F7781" s="48">
        <f>IFERROR(__xludf.DUMMYFUNCTION("""COMPUTED_VALUE"""),45960.63289864583)</f>
        <v>45960.6329</v>
      </c>
      <c r="G7781" s="42" t="str">
        <f>IFERROR(__xludf.DUMMYFUNCTION("""COMPUTED_VALUE"""),"BN Jual Beli	")</f>
        <v>BN Jual Beli	</v>
      </c>
      <c r="H7781" s="42">
        <f t="shared" si="1"/>
        <v>3219</v>
      </c>
    </row>
    <row r="7782" ht="22.5" customHeight="1">
      <c r="B7782" s="42" t="str">
        <f>IFERROR(__xludf.DUMMYFUNCTION("""COMPUTED_VALUE"""),"K/5/260925/1")</f>
        <v>K/5/260925/1</v>
      </c>
      <c r="C7782" s="42" t="str">
        <f>IFERROR(__xludf.DUMMYFUNCTION("""COMPUTED_VALUE"""),"M. 13032/Rajabasa")</f>
        <v>M. 13032/Rajabasa</v>
      </c>
      <c r="D7782" s="42" t="str">
        <f>IFERROR(__xludf.DUMMYFUNCTION("""COMPUTED_VALUE"""),"David")</f>
        <v>David</v>
      </c>
      <c r="E7782" s="42" t="str">
        <f>IFERROR(__xludf.DUMMYFUNCTION("""COMPUTED_VALUE"""),"DISERAHKAN")</f>
        <v>DISERAHKAN</v>
      </c>
      <c r="F7782" s="48">
        <f>IFERROR(__xludf.DUMMYFUNCTION("""COMPUTED_VALUE"""),45960.632090416664)</f>
        <v>45960.63209</v>
      </c>
      <c r="G7782" s="42" t="str">
        <f>IFERROR(__xludf.DUMMYFUNCTION("""COMPUTED_VALUE"""),"Roya		")</f>
        <v>Roya		</v>
      </c>
      <c r="H7782" s="42">
        <f t="shared" si="1"/>
        <v>3220</v>
      </c>
    </row>
    <row r="7783" ht="22.5" customHeight="1">
      <c r="B7783" s="42" t="str">
        <f>IFERROR(__xludf.DUMMYFUNCTION("""COMPUTED_VALUE"""),"K/6/260925/1")</f>
        <v>K/6/260925/1</v>
      </c>
      <c r="C7783" s="42" t="str">
        <f>IFERROR(__xludf.DUMMYFUNCTION("""COMPUTED_VALUE"""),"B. 153/Gedong Meneng")</f>
        <v>B. 153/Gedong Meneng</v>
      </c>
      <c r="D7783" s="42"/>
      <c r="E7783" s="42"/>
      <c r="F7783" s="48" t="str">
        <f>IFERROR(__xludf.DUMMYFUNCTION("""COMPUTED_VALUE"""),"")</f>
        <v/>
      </c>
      <c r="G7783" s="42" t="str">
        <f>IFERROR(__xludf.DUMMYFUNCTION("""COMPUTED_VALUE"""),"Peningkatan Hak		")</f>
        <v>Peningkatan Hak		</v>
      </c>
      <c r="H7783" s="42">
        <f t="shared" si="1"/>
        <v>3220</v>
      </c>
    </row>
    <row r="7784" ht="22.5" customHeight="1">
      <c r="B7784" s="42" t="str">
        <f>IFERROR(__xludf.DUMMYFUNCTION("""COMPUTED_VALUE"""),"K/8/260925/1")</f>
        <v>K/8/260925/1</v>
      </c>
      <c r="C7784" s="42" t="str">
        <f>IFERROR(__xludf.DUMMYFUNCTION("""COMPUTED_VALUE"""),"M 848/ SUMUR PUJTRI")</f>
        <v>M 848/ SUMUR PUJTRI</v>
      </c>
      <c r="D7784" s="42"/>
      <c r="E7784" s="42"/>
      <c r="F7784" s="48" t="str">
        <f>IFERROR(__xludf.DUMMYFUNCTION("""COMPUTED_VALUE"""),"")</f>
        <v/>
      </c>
      <c r="G7784" s="42" t="str">
        <f>IFERROR(__xludf.DUMMYFUNCTION("""COMPUTED_VALUE"""),"BN JUAL BELI")</f>
        <v>BN JUAL BELI</v>
      </c>
      <c r="H7784" s="42">
        <f t="shared" si="1"/>
        <v>3220</v>
      </c>
    </row>
    <row r="7785" ht="22.5" customHeight="1">
      <c r="B7785" s="42" t="str">
        <f>IFERROR(__xludf.DUMMYFUNCTION("""COMPUTED_VALUE"""),"K/9/260925/2")</f>
        <v>K/9/260925/2</v>
      </c>
      <c r="C7785" s="42" t="str">
        <f>IFERROR(__xludf.DUMMYFUNCTION("""COMPUTED_VALUE"""),"M 849/ SUMUR PUTRI")</f>
        <v>M 849/ SUMUR PUTRI</v>
      </c>
      <c r="D7785" s="42" t="str">
        <f>IFERROR(__xludf.DUMMYFUNCTION("""COMPUTED_VALUE"""),"Berry")</f>
        <v>Berry</v>
      </c>
      <c r="E7785" s="42" t="str">
        <f>IFERROR(__xludf.DUMMYFUNCTION("""COMPUTED_VALUE"""),"DISERAHKAN")</f>
        <v>DISERAHKAN</v>
      </c>
      <c r="F7785" s="48">
        <f>IFERROR(__xludf.DUMMYFUNCTION("""COMPUTED_VALUE"""),45975.49284396991)</f>
        <v>45975.49284</v>
      </c>
      <c r="G7785" s="42" t="str">
        <f>IFERROR(__xludf.DUMMYFUNCTION("""COMPUTED_VALUE"""),"BN JUAL BELI")</f>
        <v>BN JUAL BELI</v>
      </c>
      <c r="H7785" s="42">
        <f t="shared" si="1"/>
        <v>3221</v>
      </c>
    </row>
    <row r="7786" ht="22.5" customHeight="1">
      <c r="B7786" s="42" t="str">
        <f>IFERROR(__xludf.DUMMYFUNCTION("""COMPUTED_VALUE"""),"L/12/260925/1")</f>
        <v>L/12/260925/1</v>
      </c>
      <c r="C7786" s="42" t="str">
        <f>IFERROR(__xludf.DUMMYFUNCTION("""COMPUTED_VALUE"""),"B NIB 24003/KOTA BARU")</f>
        <v>B NIB 24003/KOTA BARU</v>
      </c>
      <c r="D7786" s="42" t="str">
        <f>IFERROR(__xludf.DUMMYFUNCTION("""COMPUTED_VALUE"""),"Berry")</f>
        <v>Berry</v>
      </c>
      <c r="E7786" s="42" t="str">
        <f>IFERROR(__xludf.DUMMYFUNCTION("""COMPUTED_VALUE"""),"DISERAHKAN")</f>
        <v>DISERAHKAN</v>
      </c>
      <c r="F7786" s="48">
        <f>IFERROR(__xludf.DUMMYFUNCTION("""COMPUTED_VALUE"""),45975.493744004634)</f>
        <v>45975.49374</v>
      </c>
      <c r="G7786" s="42" t="str">
        <f>IFERROR(__xludf.DUMMYFUNCTION("""COMPUTED_VALUE"""),"PENINGKATAN HAK")</f>
        <v>PENINGKATAN HAK</v>
      </c>
      <c r="H7786" s="42">
        <f t="shared" si="1"/>
        <v>3222</v>
      </c>
    </row>
    <row r="7787" ht="22.5" customHeight="1">
      <c r="B7787" s="42" t="str">
        <f>IFERROR(__xludf.DUMMYFUNCTION("""COMPUTED_VALUE"""),"K/10/260925/3")</f>
        <v>K/10/260925/3</v>
      </c>
      <c r="C7787" s="42" t="str">
        <f>IFERROR(__xludf.DUMMYFUNCTION("""COMPUTED_VALUE"""),"M 4652/ SUKADANA HAM")</f>
        <v>M 4652/ SUKADANA HAM</v>
      </c>
      <c r="D7787" s="42"/>
      <c r="E7787" s="42"/>
      <c r="F7787" s="48" t="str">
        <f>IFERROR(__xludf.DUMMYFUNCTION("""COMPUTED_VALUE"""),"")</f>
        <v/>
      </c>
      <c r="G7787" s="42" t="str">
        <f>IFERROR(__xludf.DUMMYFUNCTION("""COMPUTED_VALUE"""),"BN JUAL BELI")</f>
        <v>BN JUAL BELI</v>
      </c>
      <c r="H7787" s="42">
        <f t="shared" si="1"/>
        <v>3222</v>
      </c>
    </row>
    <row r="7788" ht="22.5" customHeight="1">
      <c r="B7788" s="42" t="str">
        <f>IFERROR(__xludf.DUMMYFUNCTION("""COMPUTED_VALUE"""),"L/13/260925/1")</f>
        <v>L/13/260925/1</v>
      </c>
      <c r="C7788" s="42" t="str">
        <f>IFERROR(__xludf.DUMMYFUNCTION("""COMPUTED_VALUE"""),"M. 2806/BERINGIN RAYA")</f>
        <v>M. 2806/BERINGIN RAYA</v>
      </c>
      <c r="D7788" s="42" t="str">
        <f>IFERROR(__xludf.DUMMYFUNCTION("""COMPUTED_VALUE"""),"Berry")</f>
        <v>Berry</v>
      </c>
      <c r="E7788" s="42" t="str">
        <f>IFERROR(__xludf.DUMMYFUNCTION("""COMPUTED_VALUE"""),"DISERAHKAN")</f>
        <v>DISERAHKAN</v>
      </c>
      <c r="F7788" s="48">
        <f>IFERROR(__xludf.DUMMYFUNCTION("""COMPUTED_VALUE"""),45945.67708090278)</f>
        <v>45945.67708</v>
      </c>
      <c r="G7788" s="42" t="str">
        <f>IFERROR(__xludf.DUMMYFUNCTION("""COMPUTED_VALUE"""),"BN LELANG")</f>
        <v>BN LELANG</v>
      </c>
      <c r="H7788" s="42">
        <f t="shared" si="1"/>
        <v>3223</v>
      </c>
    </row>
    <row r="7789" ht="22.5" customHeight="1">
      <c r="B7789" s="42" t="str">
        <f>IFERROR(__xludf.DUMMYFUNCTION("""COMPUTED_VALUE"""),"L/17/260925/1")</f>
        <v>L/17/260925/1</v>
      </c>
      <c r="C7789" s="42" t="str">
        <f>IFERROR(__xludf.DUMMYFUNCTION("""COMPUTED_VALUE"""),"M. 1153/SUKAJAWA")</f>
        <v>M. 1153/SUKAJAWA</v>
      </c>
      <c r="D7789" s="42"/>
      <c r="E7789" s="42"/>
      <c r="F7789" s="48" t="str">
        <f>IFERROR(__xludf.DUMMYFUNCTION("""COMPUTED_VALUE"""),"")</f>
        <v/>
      </c>
      <c r="G7789" s="42" t="str">
        <f>IFERROR(__xludf.DUMMYFUNCTION("""COMPUTED_VALUE"""),"ROYA")</f>
        <v>ROYA</v>
      </c>
      <c r="H7789" s="42">
        <f t="shared" si="1"/>
        <v>3223</v>
      </c>
    </row>
    <row r="7790" ht="22.5" customHeight="1">
      <c r="B7790" s="42" t="str">
        <f>IFERROR(__xludf.DUMMYFUNCTION("""COMPUTED_VALUE"""),"K/14/260925/1")</f>
        <v>K/14/260925/1</v>
      </c>
      <c r="C7790" s="42" t="str">
        <f>IFERROR(__xludf.DUMMYFUNCTION("""COMPUTED_VALUE"""),"M. 145/ Way Gubak	")</f>
        <v>M. 145/ Way Gubak	</v>
      </c>
      <c r="D7790" s="42" t="str">
        <f>IFERROR(__xludf.DUMMYFUNCTION("""COMPUTED_VALUE"""),"Berry")</f>
        <v>Berry</v>
      </c>
      <c r="E7790" s="42" t="str">
        <f>IFERROR(__xludf.DUMMYFUNCTION("""COMPUTED_VALUE"""),"DISERAHKAN")</f>
        <v>DISERAHKAN</v>
      </c>
      <c r="F7790" s="48">
        <f>IFERROR(__xludf.DUMMYFUNCTION("""COMPUTED_VALUE"""),46020.65157153935)</f>
        <v>46020.65157</v>
      </c>
      <c r="G7790" s="42" t="str">
        <f>IFERROR(__xludf.DUMMYFUNCTION("""COMPUTED_VALUE"""),"BN Waris	")</f>
        <v>BN Waris	</v>
      </c>
      <c r="H7790" s="42">
        <f t="shared" si="1"/>
        <v>3224</v>
      </c>
    </row>
    <row r="7791" ht="22.5" customHeight="1">
      <c r="B7791" s="42" t="str">
        <f>IFERROR(__xludf.DUMMYFUNCTION("""COMPUTED_VALUE"""),"K/15/260925/1")</f>
        <v>K/15/260925/1</v>
      </c>
      <c r="C7791" s="42" t="str">
        <f>IFERROR(__xludf.DUMMYFUNCTION("""COMPUTED_VALUE"""),"M. 893/Gulak Galik")</f>
        <v>M. 893/Gulak Galik</v>
      </c>
      <c r="D7791" s="42"/>
      <c r="E7791" s="42"/>
      <c r="F7791" s="48" t="str">
        <f>IFERROR(__xludf.DUMMYFUNCTION("""COMPUTED_VALUE"""),"")</f>
        <v/>
      </c>
      <c r="G7791" s="42" t="str">
        <f>IFERROR(__xludf.DUMMYFUNCTION("""COMPUTED_VALUE"""),"BN Waris")</f>
        <v>BN Waris</v>
      </c>
      <c r="H7791" s="42">
        <f t="shared" si="1"/>
        <v>3224</v>
      </c>
    </row>
    <row r="7792" ht="22.5" customHeight="1">
      <c r="B7792" s="42" t="str">
        <f>IFERROR(__xludf.DUMMYFUNCTION("""COMPUTED_VALUE"""),"K/19/260926/1")</f>
        <v>K/19/260926/1</v>
      </c>
      <c r="C7792" s="42" t="str">
        <f>IFERROR(__xludf.DUMMYFUNCTION("""COMPUTED_VALUE"""),"B. 1229/Sukabumi Indah	")</f>
        <v>B. 1229/Sukabumi Indah	</v>
      </c>
      <c r="D7792" s="42"/>
      <c r="E7792" s="42"/>
      <c r="F7792" s="48" t="str">
        <f>IFERROR(__xludf.DUMMYFUNCTION("""COMPUTED_VALUE"""),"")</f>
        <v/>
      </c>
      <c r="G7792" s="42" t="str">
        <f>IFERROR(__xludf.DUMMYFUNCTION("""COMPUTED_VALUE"""),"Peningkatan Hak	")</f>
        <v>Peningkatan Hak	</v>
      </c>
      <c r="H7792" s="42">
        <f t="shared" si="1"/>
        <v>3224</v>
      </c>
    </row>
    <row r="7793" ht="22.5" customHeight="1">
      <c r="B7793" s="42" t="str">
        <f>IFERROR(__xludf.DUMMYFUNCTION("""COMPUTED_VALUE"""),"K/24/260925/1")</f>
        <v>K/24/260925/1</v>
      </c>
      <c r="C7793" s="42" t="str">
        <f>IFERROR(__xludf.DUMMYFUNCTION("""COMPUTED_VALUE"""),"NIBEL M 3245/ LANGKAPURA")</f>
        <v>NIBEL M 3245/ LANGKAPURA</v>
      </c>
      <c r="D7793" s="42" t="str">
        <f>IFERROR(__xludf.DUMMYFUNCTION("""COMPUTED_VALUE"""),"David")</f>
        <v>David</v>
      </c>
      <c r="E7793" s="42" t="str">
        <f>IFERROR(__xludf.DUMMYFUNCTION("""COMPUTED_VALUE"""),"DISERAHKAN")</f>
        <v>DISERAHKAN</v>
      </c>
      <c r="F7793" s="48">
        <f>IFERROR(__xludf.DUMMYFUNCTION("""COMPUTED_VALUE"""),45944.48717577546)</f>
        <v>45944.48718</v>
      </c>
      <c r="G7793" s="42" t="str">
        <f>IFERROR(__xludf.DUMMYFUNCTION("""COMPUTED_VALUE"""),"BN JUAL BELI")</f>
        <v>BN JUAL BELI</v>
      </c>
      <c r="H7793" s="42">
        <f t="shared" si="1"/>
        <v>3225</v>
      </c>
    </row>
    <row r="7794" ht="22.5" customHeight="1">
      <c r="B7794" s="42" t="str">
        <f>IFERROR(__xludf.DUMMYFUNCTION("""COMPUTED_VALUE"""),"K/20/260927/1")</f>
        <v>K/20/260927/1</v>
      </c>
      <c r="C7794" s="42" t="str">
        <f>IFERROR(__xludf.DUMMYFUNCTION("""COMPUTED_VALUE"""),"M. 846/Labuhan Dalam	")</f>
        <v>M. 846/Labuhan Dalam	</v>
      </c>
      <c r="D7794" s="42"/>
      <c r="E7794" s="42"/>
      <c r="F7794" s="48" t="str">
        <f>IFERROR(__xludf.DUMMYFUNCTION("""COMPUTED_VALUE"""),"")</f>
        <v/>
      </c>
      <c r="G7794" s="42" t="str">
        <f>IFERROR(__xludf.DUMMYFUNCTION("""COMPUTED_VALUE"""),"SKPT	")</f>
        <v>SKPT	</v>
      </c>
      <c r="H7794" s="42">
        <f t="shared" si="1"/>
        <v>3225</v>
      </c>
    </row>
    <row r="7795" ht="22.5" customHeight="1">
      <c r="B7795" s="42" t="str">
        <f>IFERROR(__xludf.DUMMYFUNCTION("""COMPUTED_VALUE"""),"K/21/260927/2		")</f>
        <v>K/21/260927/2		</v>
      </c>
      <c r="C7795" s="42" t="str">
        <f>IFERROR(__xludf.DUMMYFUNCTION("""COMPUTED_VALUE"""),"M. 957/Labuhan Dalam	")</f>
        <v>M. 957/Labuhan Dalam	</v>
      </c>
      <c r="D7795" s="42"/>
      <c r="E7795" s="42"/>
      <c r="F7795" s="48" t="str">
        <f>IFERROR(__xludf.DUMMYFUNCTION("""COMPUTED_VALUE"""),"")</f>
        <v/>
      </c>
      <c r="G7795" s="42" t="str">
        <f>IFERROR(__xludf.DUMMYFUNCTION("""COMPUTED_VALUE"""),"SKPT")</f>
        <v>SKPT</v>
      </c>
      <c r="H7795" s="42">
        <f t="shared" si="1"/>
        <v>3225</v>
      </c>
    </row>
    <row r="7796" ht="22.5" customHeight="1">
      <c r="B7796" s="42" t="str">
        <f>IFERROR(__xludf.DUMMYFUNCTION("""COMPUTED_VALUE"""),"K/22/260927/3	")</f>
        <v>K/22/260927/3	</v>
      </c>
      <c r="C7796" s="42" t="str">
        <f>IFERROR(__xludf.DUMMYFUNCTION("""COMPUTED_VALUE"""),"M. 1840/Labuhan Dalam	")</f>
        <v>M. 1840/Labuhan Dalam	</v>
      </c>
      <c r="D7796" s="42"/>
      <c r="E7796" s="42"/>
      <c r="F7796" s="48" t="str">
        <f>IFERROR(__xludf.DUMMYFUNCTION("""COMPUTED_VALUE"""),"")</f>
        <v/>
      </c>
      <c r="G7796" s="42" t="str">
        <f>IFERROR(__xludf.DUMMYFUNCTION("""COMPUTED_VALUE"""),"SKPT	")</f>
        <v>SKPT	</v>
      </c>
      <c r="H7796" s="42">
        <f t="shared" si="1"/>
        <v>3225</v>
      </c>
    </row>
    <row r="7797" ht="22.5" customHeight="1">
      <c r="B7797" s="42" t="str">
        <f>IFERROR(__xludf.DUMMYFUNCTION("""COMPUTED_VALUE"""),"K/23/260927/4	")</f>
        <v>K/23/260927/4	</v>
      </c>
      <c r="C7797" s="42" t="str">
        <f>IFERROR(__xludf.DUMMYFUNCTION("""COMPUTED_VALUE"""),"M. 1842/Labuhan Dalam	")</f>
        <v>M. 1842/Labuhan Dalam	</v>
      </c>
      <c r="D7797" s="42"/>
      <c r="E7797" s="42"/>
      <c r="F7797" s="48" t="str">
        <f>IFERROR(__xludf.DUMMYFUNCTION("""COMPUTED_VALUE"""),"")</f>
        <v/>
      </c>
      <c r="G7797" s="42" t="str">
        <f>IFERROR(__xludf.DUMMYFUNCTION("""COMPUTED_VALUE"""),"SKPT	")</f>
        <v>SKPT	</v>
      </c>
      <c r="H7797" s="42">
        <f t="shared" si="1"/>
        <v>3225</v>
      </c>
    </row>
    <row r="7798" ht="22.5" customHeight="1">
      <c r="B7798" s="42" t="str">
        <f>IFERROR(__xludf.DUMMYFUNCTION("""COMPUTED_VALUE"""),"K/18/260925/1")</f>
        <v>K/18/260925/1</v>
      </c>
      <c r="C7798" s="42" t="str">
        <f>IFERROR(__xludf.DUMMYFUNCTION("""COMPUTED_VALUE"""),"NIBEL M 18332/ LANGKAPURA")</f>
        <v>NIBEL M 18332/ LANGKAPURA</v>
      </c>
      <c r="D7798" s="42"/>
      <c r="E7798" s="42"/>
      <c r="F7798" s="48" t="str">
        <f>IFERROR(__xludf.DUMMYFUNCTION("""COMPUTED_VALUE"""),"")</f>
        <v/>
      </c>
      <c r="G7798" s="42" t="str">
        <f>IFERROR(__xludf.DUMMYFUNCTION("""COMPUTED_VALUE"""),"BN JUAL BELI")</f>
        <v>BN JUAL BELI</v>
      </c>
      <c r="H7798" s="42">
        <f t="shared" si="1"/>
        <v>3225</v>
      </c>
    </row>
    <row r="7799" ht="22.5" customHeight="1">
      <c r="B7799" s="42" t="str">
        <f>IFERROR(__xludf.DUMMYFUNCTION("""COMPUTED_VALUE"""),"L/25/260925/1")</f>
        <v>L/25/260925/1</v>
      </c>
      <c r="C7799" s="42" t="str">
        <f>IFERROR(__xludf.DUMMYFUNCTION("""COMPUTED_VALUE"""),"M NIB 6898/LANGKAPURA BARU")</f>
        <v>M NIB 6898/LANGKAPURA BARU</v>
      </c>
      <c r="D7799" s="42"/>
      <c r="E7799" s="42"/>
      <c r="F7799" s="48" t="str">
        <f>IFERROR(__xludf.DUMMYFUNCTION("""COMPUTED_VALUE"""),"")</f>
        <v/>
      </c>
      <c r="G7799" s="42" t="str">
        <f>IFERROR(__xludf.DUMMYFUNCTION("""COMPUTED_VALUE"""),"BN LELANG")</f>
        <v>BN LELANG</v>
      </c>
      <c r="H7799" s="42">
        <f t="shared" si="1"/>
        <v>3225</v>
      </c>
    </row>
    <row r="7800" ht="22.5" customHeight="1">
      <c r="B7800" s="42" t="str">
        <f>IFERROR(__xludf.DUMMYFUNCTION("""COMPUTED_VALUE"""),"L/26/260925/1")</f>
        <v>L/26/260925/1</v>
      </c>
      <c r="C7800" s="42" t="str">
        <f>IFERROR(__xludf.DUMMYFUNCTION("""COMPUTED_VALUE"""),"M. 47/KAMPUNG BARU RAYA")</f>
        <v>M. 47/KAMPUNG BARU RAYA</v>
      </c>
      <c r="D7800" s="42"/>
      <c r="E7800" s="42"/>
      <c r="F7800" s="48" t="str">
        <f>IFERROR(__xludf.DUMMYFUNCTION("""COMPUTED_VALUE"""),"")</f>
        <v/>
      </c>
      <c r="G7800" s="42" t="str">
        <f>IFERROR(__xludf.DUMMYFUNCTION("""COMPUTED_VALUE"""),"ROYA")</f>
        <v>ROYA</v>
      </c>
      <c r="H7800" s="42">
        <f t="shared" si="1"/>
        <v>3225</v>
      </c>
    </row>
    <row r="7801" ht="22.5" customHeight="1">
      <c r="B7801" s="42" t="str">
        <f>IFERROR(__xludf.DUMMYFUNCTION("""COMPUTED_VALUE"""),"K/27/260925/1")</f>
        <v>K/27/260925/1</v>
      </c>
      <c r="C7801" s="42" t="str">
        <f>IFERROR(__xludf.DUMMYFUNCTION("""COMPUTED_VALUE"""),"M 11345/ JAGABAYA II")</f>
        <v>M 11345/ JAGABAYA II</v>
      </c>
      <c r="D7801" s="42" t="str">
        <f>IFERROR(__xludf.DUMMYFUNCTION("""COMPUTED_VALUE"""),"David")</f>
        <v>David</v>
      </c>
      <c r="E7801" s="42" t="str">
        <f>IFERROR(__xludf.DUMMYFUNCTION("""COMPUTED_VALUE"""),"DISERAHKAN")</f>
        <v>DISERAHKAN</v>
      </c>
      <c r="F7801" s="48">
        <f>IFERROR(__xludf.DUMMYFUNCTION("""COMPUTED_VALUE"""),45957.61570296296)</f>
        <v>45957.6157</v>
      </c>
      <c r="G7801" s="42" t="str">
        <f>IFERROR(__xludf.DUMMYFUNCTION("""COMPUTED_VALUE"""),"BN JUAL BELI")</f>
        <v>BN JUAL BELI</v>
      </c>
      <c r="H7801" s="42">
        <f t="shared" si="1"/>
        <v>3226</v>
      </c>
    </row>
    <row r="7802" ht="22.5" customHeight="1">
      <c r="B7802" s="42" t="str">
        <f>IFERROR(__xludf.DUMMYFUNCTION("""COMPUTED_VALUE"""),"K/28/260925/1")</f>
        <v>K/28/260925/1</v>
      </c>
      <c r="C7802" s="42" t="str">
        <f>IFERROR(__xludf.DUMMYFUNCTION("""COMPUTED_VALUE"""),"Nibel 18818/Kupang Teba	")</f>
        <v>Nibel 18818/Kupang Teba	</v>
      </c>
      <c r="D7802" s="42"/>
      <c r="E7802" s="42"/>
      <c r="F7802" s="48" t="str">
        <f>IFERROR(__xludf.DUMMYFUNCTION("""COMPUTED_VALUE"""),"")</f>
        <v/>
      </c>
      <c r="G7802" s="42" t="str">
        <f>IFERROR(__xludf.DUMMYFUNCTION("""COMPUTED_VALUE"""),"BN Jual Beli	")</f>
        <v>BN Jual Beli	</v>
      </c>
      <c r="H7802" s="42">
        <f t="shared" si="1"/>
        <v>3226</v>
      </c>
    </row>
    <row r="7803" ht="22.5" customHeight="1">
      <c r="B7803" s="42" t="str">
        <f>IFERROR(__xludf.DUMMYFUNCTION("""COMPUTED_VALUE"""),"K/29/260925/2")</f>
        <v>K/29/260925/2</v>
      </c>
      <c r="C7803" s="42" t="str">
        <f>IFERROR(__xludf.DUMMYFUNCTION("""COMPUTED_VALUE"""),"NIBEL : M 3121/ SUKABUMI")</f>
        <v>NIBEL : M 3121/ SUKABUMI</v>
      </c>
      <c r="D7803" s="42"/>
      <c r="E7803" s="42"/>
      <c r="F7803" s="48" t="str">
        <f>IFERROR(__xludf.DUMMYFUNCTION("""COMPUTED_VALUE"""),"")</f>
        <v/>
      </c>
      <c r="G7803" s="42" t="str">
        <f>IFERROR(__xludf.DUMMYFUNCTION("""COMPUTED_VALUE"""),"BN JUAL BELI")</f>
        <v>BN JUAL BELI</v>
      </c>
      <c r="H7803" s="42">
        <f t="shared" si="1"/>
        <v>3226</v>
      </c>
    </row>
    <row r="7804" ht="22.5" customHeight="1">
      <c r="B7804" s="42" t="str">
        <f>IFERROR(__xludf.DUMMYFUNCTION("""COMPUTED_VALUE"""),"K/30/260925/3")</f>
        <v>K/30/260925/3</v>
      </c>
      <c r="C7804" s="42" t="str">
        <f>IFERROR(__xludf.DUMMYFUNCTION("""COMPUTED_VALUE"""),"NIBEL M 20339/ SUKABUMI")</f>
        <v>NIBEL M 20339/ SUKABUMI</v>
      </c>
      <c r="D7804" s="42"/>
      <c r="E7804" s="42"/>
      <c r="F7804" s="48" t="str">
        <f>IFERROR(__xludf.DUMMYFUNCTION("""COMPUTED_VALUE"""),"")</f>
        <v/>
      </c>
      <c r="G7804" s="42" t="str">
        <f>IFERROR(__xludf.DUMMYFUNCTION("""COMPUTED_VALUE"""),"BN JUAL BELI")</f>
        <v>BN JUAL BELI</v>
      </c>
      <c r="H7804" s="42">
        <f t="shared" si="1"/>
        <v>3226</v>
      </c>
    </row>
    <row r="7805" ht="22.5" customHeight="1">
      <c r="B7805" s="42" t="str">
        <f>IFERROR(__xludf.DUMMYFUNCTION("""COMPUTED_VALUE"""),"L/31/260925/1")</f>
        <v>L/31/260925/1</v>
      </c>
      <c r="C7805" s="42" t="str">
        <f>IFERROR(__xludf.DUMMYFUNCTION("""COMPUTED_VALUE"""),"B. 644/NUSANTARA PERMAI")</f>
        <v>B. 644/NUSANTARA PERMAI</v>
      </c>
      <c r="D7805" s="42"/>
      <c r="E7805" s="42"/>
      <c r="F7805" s="48" t="str">
        <f>IFERROR(__xludf.DUMMYFUNCTION("""COMPUTED_VALUE"""),"")</f>
        <v/>
      </c>
      <c r="G7805" s="42" t="str">
        <f>IFERROR(__xludf.DUMMYFUNCTION("""COMPUTED_VALUE"""),"PENINGKATAN HAK")</f>
        <v>PENINGKATAN HAK</v>
      </c>
      <c r="H7805" s="42">
        <f t="shared" si="1"/>
        <v>3226</v>
      </c>
    </row>
    <row r="7806" ht="22.5" customHeight="1">
      <c r="B7806" s="42" t="str">
        <f>IFERROR(__xludf.DUMMYFUNCTION("""COMPUTED_VALUE"""),"L/32/260925/1")</f>
        <v>L/32/260925/1</v>
      </c>
      <c r="C7806" s="42" t="str">
        <f>IFERROR(__xludf.DUMMYFUNCTION("""COMPUTED_VALUE"""),"M. 14015/RAJABASA")</f>
        <v>M. 14015/RAJABASA</v>
      </c>
      <c r="D7806" s="42" t="str">
        <f>IFERROR(__xludf.DUMMYFUNCTION("""COMPUTED_VALUE"""),"David")</f>
        <v>David</v>
      </c>
      <c r="E7806" s="42" t="str">
        <f>IFERROR(__xludf.DUMMYFUNCTION("""COMPUTED_VALUE"""),"DISERAHKAN")</f>
        <v>DISERAHKAN</v>
      </c>
      <c r="F7806" s="48">
        <f>IFERROR(__xludf.DUMMYFUNCTION("""COMPUTED_VALUE"""),45950.60484465278)</f>
        <v>45950.60484</v>
      </c>
      <c r="G7806" s="42" t="str">
        <f>IFERROR(__xludf.DUMMYFUNCTION("""COMPUTED_VALUE"""),"ROYA")</f>
        <v>ROYA</v>
      </c>
      <c r="H7806" s="42">
        <f t="shared" si="1"/>
        <v>3227</v>
      </c>
    </row>
    <row r="7807" ht="22.5" customHeight="1">
      <c r="B7807" s="42" t="str">
        <f>IFERROR(__xludf.DUMMYFUNCTION("""COMPUTED_VALUE"""),"K/33/260925/1")</f>
        <v>K/33/260925/1</v>
      </c>
      <c r="C7807" s="42" t="str">
        <f>IFERROR(__xludf.DUMMYFUNCTION("""COMPUTED_VALUE"""),"Nibel 23139/Labuhan Ratu Raya	")</f>
        <v>Nibel 23139/Labuhan Ratu Raya	</v>
      </c>
      <c r="D7807" s="42"/>
      <c r="E7807" s="42"/>
      <c r="F7807" s="48" t="str">
        <f>IFERROR(__xludf.DUMMYFUNCTION("""COMPUTED_VALUE"""),"")</f>
        <v/>
      </c>
      <c r="G7807" s="42" t="str">
        <f>IFERROR(__xludf.DUMMYFUNCTION("""COMPUTED_VALUE"""),"BN Jual Beli	")</f>
        <v>BN Jual Beli	</v>
      </c>
      <c r="H7807" s="42">
        <f t="shared" si="1"/>
        <v>3227</v>
      </c>
    </row>
    <row r="7808" ht="22.5" customHeight="1">
      <c r="B7808" s="42" t="str">
        <f>IFERROR(__xludf.DUMMYFUNCTION("""COMPUTED_VALUE"""),"K/35/260925/1")</f>
        <v>K/35/260925/1</v>
      </c>
      <c r="C7808" s="42" t="str">
        <f>IFERROR(__xludf.DUMMYFUNCTION("""COMPUTED_VALUE"""),"M 1028/ GULAK GALIK")</f>
        <v>M 1028/ GULAK GALIK</v>
      </c>
      <c r="D7808" s="42"/>
      <c r="E7808" s="42"/>
      <c r="F7808" s="48" t="str">
        <f>IFERROR(__xludf.DUMMYFUNCTION("""COMPUTED_VALUE"""),"")</f>
        <v/>
      </c>
      <c r="G7808" s="42" t="str">
        <f>IFERROR(__xludf.DUMMYFUNCTION("""COMPUTED_VALUE"""),"BN JUAL BELI")</f>
        <v>BN JUAL BELI</v>
      </c>
      <c r="H7808" s="42">
        <f t="shared" si="1"/>
        <v>3227</v>
      </c>
    </row>
    <row r="7809" ht="22.5" customHeight="1">
      <c r="B7809" s="42" t="str">
        <f>IFERROR(__xludf.DUMMYFUNCTION("""COMPUTED_VALUE"""),"L/37/260925/1")</f>
        <v>L/37/260925/1</v>
      </c>
      <c r="C7809" s="42" t="str">
        <f>IFERROR(__xludf.DUMMYFUNCTION("""COMPUTED_VALUE"""),"B. 445/NUSANTARA PERMAI")</f>
        <v>B. 445/NUSANTARA PERMAI</v>
      </c>
      <c r="D7809" s="42"/>
      <c r="E7809" s="42"/>
      <c r="F7809" s="48" t="str">
        <f>IFERROR(__xludf.DUMMYFUNCTION("""COMPUTED_VALUE"""),"")</f>
        <v/>
      </c>
      <c r="G7809" s="42" t="str">
        <f>IFERROR(__xludf.DUMMYFUNCTION("""COMPUTED_VALUE"""),"PENINGKATAN HAK")</f>
        <v>PENINGKATAN HAK</v>
      </c>
      <c r="H7809" s="42">
        <f t="shared" si="1"/>
        <v>3227</v>
      </c>
    </row>
    <row r="7810" ht="22.5" customHeight="1">
      <c r="B7810" s="42" t="str">
        <f>IFERROR(__xludf.DUMMYFUNCTION("""COMPUTED_VALUE"""),"K/34/260925/1")</f>
        <v>K/34/260925/1</v>
      </c>
      <c r="C7810" s="42" t="str">
        <f>IFERROR(__xludf.DUMMYFUNCTION("""COMPUTED_VALUE"""),"M. 466/Rajabasa Jaya")</f>
        <v>M. 466/Rajabasa Jaya</v>
      </c>
      <c r="D7810" s="42"/>
      <c r="E7810" s="42"/>
      <c r="F7810" s="48" t="str">
        <f>IFERROR(__xludf.DUMMYFUNCTION("""COMPUTED_VALUE"""),"")</f>
        <v/>
      </c>
      <c r="G7810" s="42" t="str">
        <f>IFERROR(__xludf.DUMMYFUNCTION("""COMPUTED_VALUE"""),"Roya	")</f>
        <v>Roya	</v>
      </c>
      <c r="H7810" s="42">
        <f t="shared" si="1"/>
        <v>3227</v>
      </c>
    </row>
    <row r="7811" ht="22.5" customHeight="1">
      <c r="B7811" s="42" t="str">
        <f>IFERROR(__xludf.DUMMYFUNCTION("""COMPUTED_VALUE"""),"K/39/260925/1")</f>
        <v>K/39/260925/1</v>
      </c>
      <c r="C7811" s="42" t="str">
        <f>IFERROR(__xludf.DUMMYFUNCTION("""COMPUTED_VALUE"""),"M. 588/Gunung Agung	")</f>
        <v>M. 588/Gunung Agung	</v>
      </c>
      <c r="D7811" s="42"/>
      <c r="E7811" s="42"/>
      <c r="F7811" s="48" t="str">
        <f>IFERROR(__xludf.DUMMYFUNCTION("""COMPUTED_VALUE"""),"")</f>
        <v/>
      </c>
      <c r="G7811" s="42" t="str">
        <f>IFERROR(__xludf.DUMMYFUNCTION("""COMPUTED_VALUE"""),"Hapus BPHTB	")</f>
        <v>Hapus BPHTB	</v>
      </c>
      <c r="H7811" s="42">
        <f t="shared" si="1"/>
        <v>3227</v>
      </c>
    </row>
    <row r="7812" ht="22.5" customHeight="1">
      <c r="B7812" s="42" t="str">
        <f>IFERROR(__xludf.DUMMYFUNCTION("""COMPUTED_VALUE"""),"K/11/260925/4")</f>
        <v>K/11/260925/4</v>
      </c>
      <c r="C7812" s="42" t="str">
        <f>IFERROR(__xludf.DUMMYFUNCTION("""COMPUTED_VALUE"""),"NIBEL M 16962/ GEDONG AIR")</f>
        <v>NIBEL M 16962/ GEDONG AIR</v>
      </c>
      <c r="D7812" s="42"/>
      <c r="E7812" s="42"/>
      <c r="F7812" s="48" t="str">
        <f>IFERROR(__xludf.DUMMYFUNCTION("""COMPUTED_VALUE"""),"")</f>
        <v/>
      </c>
      <c r="G7812" s="42" t="str">
        <f>IFERROR(__xludf.DUMMYFUNCTION("""COMPUTED_VALUE"""),"BN JUAL BELI")</f>
        <v>BN JUAL BELI</v>
      </c>
      <c r="H7812" s="42">
        <f t="shared" si="1"/>
        <v>3227</v>
      </c>
    </row>
    <row r="7813" ht="22.5" customHeight="1">
      <c r="B7813" s="42" t="str">
        <f>IFERROR(__xludf.DUMMYFUNCTION("""COMPUTED_VALUE"""),"L/1/270925/1")</f>
        <v>L/1/270925/1</v>
      </c>
      <c r="C7813" s="42" t="str">
        <f>IFERROR(__xludf.DUMMYFUNCTION("""COMPUTED_VALUE"""),"KELURAHAN KORPRI JAYA LUAS 300 M2")</f>
        <v>KELURAHAN KORPRI JAYA LUAS 300 M2</v>
      </c>
      <c r="D7813" s="42"/>
      <c r="E7813" s="42"/>
      <c r="F7813" s="48" t="str">
        <f>IFERROR(__xludf.DUMMYFUNCTION("""COMPUTED_VALUE"""),"")</f>
        <v/>
      </c>
      <c r="G7813" s="42" t="str">
        <f>IFERROR(__xludf.DUMMYFUNCTION("""COMPUTED_VALUE"""),"PENGUKURAN PERTAMA KALI")</f>
        <v>PENGUKURAN PERTAMA KALI</v>
      </c>
      <c r="H7813" s="42">
        <f t="shared" si="1"/>
        <v>3227</v>
      </c>
    </row>
    <row r="7814" ht="22.5" customHeight="1">
      <c r="B7814" s="42" t="str">
        <f>IFERROR(__xludf.DUMMYFUNCTION("""COMPUTED_VALUE"""),"L/2/270925/2")</f>
        <v>L/2/270925/2</v>
      </c>
      <c r="C7814" s="42" t="str">
        <f>IFERROR(__xludf.DUMMYFUNCTION("""COMPUTED_VALUE"""),"KELURAHAN KORPRI JAYA LUAS 400 M2")</f>
        <v>KELURAHAN KORPRI JAYA LUAS 400 M2</v>
      </c>
      <c r="D7814" s="42"/>
      <c r="E7814" s="42"/>
      <c r="F7814" s="48" t="str">
        <f>IFERROR(__xludf.DUMMYFUNCTION("""COMPUTED_VALUE"""),"")</f>
        <v/>
      </c>
      <c r="G7814" s="42" t="str">
        <f>IFERROR(__xludf.DUMMYFUNCTION("""COMPUTED_VALUE"""),"PENGUKURAN PERTAMA KALI")</f>
        <v>PENGUKURAN PERTAMA KALI</v>
      </c>
      <c r="H7814" s="42">
        <f t="shared" si="1"/>
        <v>3227</v>
      </c>
    </row>
    <row r="7815" ht="22.5" customHeight="1">
      <c r="B7815" s="42" t="str">
        <f>IFERROR(__xludf.DUMMYFUNCTION("""COMPUTED_VALUE"""),"L/3/270925/1")</f>
        <v>L/3/270925/1</v>
      </c>
      <c r="C7815" s="42" t="str">
        <f>IFERROR(__xludf.DUMMYFUNCTION("""COMPUTED_VALUE"""),"SHGB 3389/SUKABUMI")</f>
        <v>SHGB 3389/SUKABUMI</v>
      </c>
      <c r="D7815" s="42"/>
      <c r="E7815" s="42"/>
      <c r="F7815" s="48" t="str">
        <f>IFERROR(__xludf.DUMMYFUNCTION("""COMPUTED_VALUE"""),"")</f>
        <v/>
      </c>
      <c r="G7815" s="42" t="str">
        <f>IFERROR(__xludf.DUMMYFUNCTION("""COMPUTED_VALUE"""),"PENINGKATAN HAK")</f>
        <v>PENINGKATAN HAK</v>
      </c>
      <c r="H7815" s="42">
        <f t="shared" si="1"/>
        <v>3227</v>
      </c>
    </row>
    <row r="7816" ht="22.5" customHeight="1">
      <c r="B7816" s="42" t="str">
        <f>IFERROR(__xludf.DUMMYFUNCTION("""COMPUTED_VALUE"""),"L/4/270925/2")</f>
        <v>L/4/270925/2</v>
      </c>
      <c r="C7816" s="42" t="str">
        <f>IFERROR(__xludf.DUMMYFUNCTION("""COMPUTED_VALUE"""),"SHGB 98 SURABAYA")</f>
        <v>SHGB 98 SURABAYA</v>
      </c>
      <c r="D7816" s="42"/>
      <c r="E7816" s="42"/>
      <c r="F7816" s="48" t="str">
        <f>IFERROR(__xludf.DUMMYFUNCTION("""COMPUTED_VALUE"""),"")</f>
        <v/>
      </c>
      <c r="G7816" s="42" t="str">
        <f>IFERROR(__xludf.DUMMYFUNCTION("""COMPUTED_VALUE"""),"PENINGKATAN HAK")</f>
        <v>PENINGKATAN HAK</v>
      </c>
      <c r="H7816" s="42">
        <f t="shared" si="1"/>
        <v>3227</v>
      </c>
    </row>
    <row r="7817" ht="22.5" customHeight="1">
      <c r="B7817" s="42" t="str">
        <f>IFERROR(__xludf.DUMMYFUNCTION("""COMPUTED_VALUE"""),"K/4/290925/1")</f>
        <v>K/4/290925/1</v>
      </c>
      <c r="C7817" s="42" t="str">
        <f>IFERROR(__xludf.DUMMYFUNCTION("""COMPUTED_VALUE"""),"M. 1063/Rajabasa Pemuka")</f>
        <v>M. 1063/Rajabasa Pemuka</v>
      </c>
      <c r="D7817" s="42"/>
      <c r="E7817" s="42"/>
      <c r="F7817" s="48" t="str">
        <f>IFERROR(__xludf.DUMMYFUNCTION("""COMPUTED_VALUE"""),"")</f>
        <v/>
      </c>
      <c r="G7817" s="42" t="str">
        <f>IFERROR(__xludf.DUMMYFUNCTION("""COMPUTED_VALUE"""),"BN Jual Beli		")</f>
        <v>BN Jual Beli		</v>
      </c>
      <c r="H7817" s="42">
        <f t="shared" si="1"/>
        <v>3227</v>
      </c>
    </row>
    <row r="7818" ht="22.5" customHeight="1">
      <c r="B7818" s="42" t="str">
        <f>IFERROR(__xludf.DUMMYFUNCTION("""COMPUTED_VALUE"""),"K/5/290925/1	")</f>
        <v>K/5/290925/1	</v>
      </c>
      <c r="C7818" s="42" t="str">
        <f>IFERROR(__xludf.DUMMYFUNCTION("""COMPUTED_VALUE"""),"M. 10975/Kedamaian	")</f>
        <v>M. 10975/Kedamaian	</v>
      </c>
      <c r="D7818" s="42"/>
      <c r="E7818" s="42"/>
      <c r="F7818" s="48" t="str">
        <f>IFERROR(__xludf.DUMMYFUNCTION("""COMPUTED_VALUE"""),"")</f>
        <v/>
      </c>
      <c r="G7818" s="42" t="str">
        <f>IFERROR(__xludf.DUMMYFUNCTION("""COMPUTED_VALUE"""),"SKPT	")</f>
        <v>SKPT	</v>
      </c>
      <c r="H7818" s="42">
        <f t="shared" si="1"/>
        <v>3227</v>
      </c>
    </row>
    <row r="7819" ht="22.5" customHeight="1">
      <c r="B7819" s="42" t="str">
        <f>IFERROR(__xludf.DUMMYFUNCTION("""COMPUTED_VALUE"""),"K/6/290925/1	")</f>
        <v>K/6/290925/1	</v>
      </c>
      <c r="C7819" s="42" t="str">
        <f>IFERROR(__xludf.DUMMYFUNCTION("""COMPUTED_VALUE"""),"M. 12544/Kedamaian	")</f>
        <v>M. 12544/Kedamaian	</v>
      </c>
      <c r="D7819" s="42"/>
      <c r="E7819" s="42"/>
      <c r="F7819" s="48" t="str">
        <f>IFERROR(__xludf.DUMMYFUNCTION("""COMPUTED_VALUE"""),"")</f>
        <v/>
      </c>
      <c r="G7819" s="42" t="str">
        <f>IFERROR(__xludf.DUMMYFUNCTION("""COMPUTED_VALUE"""),"SKPT	")</f>
        <v>SKPT	</v>
      </c>
      <c r="H7819" s="42">
        <f t="shared" si="1"/>
        <v>3227</v>
      </c>
    </row>
    <row r="7820" ht="22.5" customHeight="1">
      <c r="B7820" s="42" t="str">
        <f>IFERROR(__xludf.DUMMYFUNCTION("""COMPUTED_VALUE"""),"K/7/290925/1	")</f>
        <v>K/7/290925/1	</v>
      </c>
      <c r="C7820" s="42" t="str">
        <f>IFERROR(__xludf.DUMMYFUNCTION("""COMPUTED_VALUE"""),"M. 2804/Beringin Raya	")</f>
        <v>M. 2804/Beringin Raya	</v>
      </c>
      <c r="D7820" s="42"/>
      <c r="E7820" s="42"/>
      <c r="F7820" s="48" t="str">
        <f>IFERROR(__xludf.DUMMYFUNCTION("""COMPUTED_VALUE"""),"")</f>
        <v/>
      </c>
      <c r="G7820" s="42" t="str">
        <f>IFERROR(__xludf.DUMMYFUNCTION("""COMPUTED_VALUE"""),"ROYA	")</f>
        <v>ROYA	</v>
      </c>
      <c r="H7820" s="42">
        <f t="shared" si="1"/>
        <v>3227</v>
      </c>
    </row>
    <row r="7821" ht="22.5" customHeight="1">
      <c r="B7821" s="42" t="str">
        <f>IFERROR(__xludf.DUMMYFUNCTION("""COMPUTED_VALUE"""),"K/9/290925/1")</f>
        <v>K/9/290925/1</v>
      </c>
      <c r="C7821" s="42" t="str">
        <f>IFERROR(__xludf.DUMMYFUNCTION("""COMPUTED_VALUE"""),"M 250/ JAGABAYA III")</f>
        <v>M 250/ JAGABAYA III</v>
      </c>
      <c r="D7821" s="42"/>
      <c r="E7821" s="42"/>
      <c r="F7821" s="48" t="str">
        <f>IFERROR(__xludf.DUMMYFUNCTION("""COMPUTED_VALUE"""),"")</f>
        <v/>
      </c>
      <c r="G7821" s="42" t="str">
        <f>IFERROR(__xludf.DUMMYFUNCTION("""COMPUTED_VALUE"""),"ROYA")</f>
        <v>ROYA</v>
      </c>
      <c r="H7821" s="42">
        <f t="shared" si="1"/>
        <v>3227</v>
      </c>
    </row>
    <row r="7822" ht="22.5" customHeight="1">
      <c r="B7822" s="42" t="str">
        <f>IFERROR(__xludf.DUMMYFUNCTION("""COMPUTED_VALUE"""),"L/10/290925/1")</f>
        <v>L/10/290925/1</v>
      </c>
      <c r="C7822" s="42" t="str">
        <f>IFERROR(__xludf.DUMMYFUNCTION("""COMPUTED_VALUE"""),"B.219/GEDUNG MENENG")</f>
        <v>B.219/GEDUNG MENENG</v>
      </c>
      <c r="D7822" s="42"/>
      <c r="E7822" s="42"/>
      <c r="F7822" s="48" t="str">
        <f>IFERROR(__xludf.DUMMYFUNCTION("""COMPUTED_VALUE"""),"")</f>
        <v/>
      </c>
      <c r="G7822" s="42" t="str">
        <f>IFERROR(__xludf.DUMMYFUNCTION("""COMPUTED_VALUE"""),"ROYA")</f>
        <v>ROYA</v>
      </c>
      <c r="H7822" s="42">
        <f t="shared" si="1"/>
        <v>3227</v>
      </c>
    </row>
    <row r="7823" ht="22.5" customHeight="1">
      <c r="B7823" s="42" t="str">
        <f>IFERROR(__xludf.DUMMYFUNCTION("""COMPUTED_VALUE"""),"K/11/290925/1")</f>
        <v>K/11/290925/1</v>
      </c>
      <c r="C7823" s="42" t="str">
        <f>IFERROR(__xludf.DUMMYFUNCTION("""COMPUTED_VALUE"""),"Nibel 3481/Bumi Kedamaian 	")</f>
        <v>Nibel 3481/Bumi Kedamaian 	</v>
      </c>
      <c r="D7823" s="42"/>
      <c r="E7823" s="42"/>
      <c r="F7823" s="48" t="str">
        <f>IFERROR(__xludf.DUMMYFUNCTION("""COMPUTED_VALUE"""),"")</f>
        <v/>
      </c>
      <c r="G7823" s="42" t="str">
        <f>IFERROR(__xludf.DUMMYFUNCTION("""COMPUTED_VALUE"""),"BN Jual Beli	")</f>
        <v>BN Jual Beli	</v>
      </c>
      <c r="H7823" s="42">
        <f t="shared" si="1"/>
        <v>3227</v>
      </c>
    </row>
    <row r="7824" ht="22.5" customHeight="1">
      <c r="B7824" s="42" t="str">
        <f>IFERROR(__xludf.DUMMYFUNCTION("""COMPUTED_VALUE"""),"K/12/290925/1")</f>
        <v>K/12/290925/1</v>
      </c>
      <c r="C7824" s="42" t="str">
        <f>IFERROR(__xludf.DUMMYFUNCTION("""COMPUTED_VALUE"""),"NIBEL M 1074/ RAJABASA JAYA")</f>
        <v>NIBEL M 1074/ RAJABASA JAYA</v>
      </c>
      <c r="D7824" s="42"/>
      <c r="E7824" s="42"/>
      <c r="F7824" s="48" t="str">
        <f>IFERROR(__xludf.DUMMYFUNCTION("""COMPUTED_VALUE"""),"")</f>
        <v/>
      </c>
      <c r="G7824" s="42" t="str">
        <f>IFERROR(__xludf.DUMMYFUNCTION("""COMPUTED_VALUE"""),"BN JUAL BELI")</f>
        <v>BN JUAL BELI</v>
      </c>
      <c r="H7824" s="42">
        <f t="shared" si="1"/>
        <v>3227</v>
      </c>
    </row>
    <row r="7825" ht="22.5" customHeight="1">
      <c r="B7825" s="42" t="str">
        <f>IFERROR(__xludf.DUMMYFUNCTION("""COMPUTED_VALUE"""),"K/13/290925/1")</f>
        <v>K/13/290925/1</v>
      </c>
      <c r="C7825" s="42" t="str">
        <f>IFERROR(__xludf.DUMMYFUNCTION("""COMPUTED_VALUE"""),"NIBEL M 20387/ SUKARAME")</f>
        <v>NIBEL M 20387/ SUKARAME</v>
      </c>
      <c r="D7825" s="42"/>
      <c r="E7825" s="42"/>
      <c r="F7825" s="48" t="str">
        <f>IFERROR(__xludf.DUMMYFUNCTION("""COMPUTED_VALUE"""),"")</f>
        <v/>
      </c>
      <c r="G7825" s="42" t="str">
        <f>IFERROR(__xludf.DUMMYFUNCTION("""COMPUTED_VALUE"""),"BN HIBAH")</f>
        <v>BN HIBAH</v>
      </c>
      <c r="H7825" s="42">
        <f t="shared" si="1"/>
        <v>3227</v>
      </c>
    </row>
    <row r="7826" ht="22.5" customHeight="1">
      <c r="B7826" s="42" t="str">
        <f>IFERROR(__xludf.DUMMYFUNCTION("""COMPUTED_VALUE"""),"K/15/290925/2")</f>
        <v>K/15/290925/2</v>
      </c>
      <c r="C7826" s="42" t="str">
        <f>IFERROR(__xludf.DUMMYFUNCTION("""COMPUTED_VALUE"""),"M 2888/ CAMPANG RAYA")</f>
        <v>M 2888/ CAMPANG RAYA</v>
      </c>
      <c r="D7826" s="42"/>
      <c r="E7826" s="42"/>
      <c r="F7826" s="48" t="str">
        <f>IFERROR(__xludf.DUMMYFUNCTION("""COMPUTED_VALUE"""),"")</f>
        <v/>
      </c>
      <c r="G7826" s="42" t="str">
        <f>IFERROR(__xludf.DUMMYFUNCTION("""COMPUTED_VALUE"""),"ROYA")</f>
        <v>ROYA</v>
      </c>
      <c r="H7826" s="42">
        <f t="shared" si="1"/>
        <v>3227</v>
      </c>
    </row>
    <row r="7827" ht="22.5" customHeight="1">
      <c r="B7827" s="42" t="str">
        <f>IFERROR(__xludf.DUMMYFUNCTION("""COMPUTED_VALUE"""),"K/16/290925/3")</f>
        <v>K/16/290925/3</v>
      </c>
      <c r="C7827" s="42" t="str">
        <f>IFERROR(__xludf.DUMMYFUNCTION("""COMPUTED_VALUE"""),"NIBEL M 20386/ SUKARAME")</f>
        <v>NIBEL M 20386/ SUKARAME</v>
      </c>
      <c r="D7827" s="42" t="str">
        <f>IFERROR(__xludf.DUMMYFUNCTION("""COMPUTED_VALUE"""),"David")</f>
        <v>David</v>
      </c>
      <c r="E7827" s="42" t="str">
        <f>IFERROR(__xludf.DUMMYFUNCTION("""COMPUTED_VALUE"""),"DISERAHKAN")</f>
        <v>DISERAHKAN</v>
      </c>
      <c r="F7827" s="48">
        <f>IFERROR(__xludf.DUMMYFUNCTION("""COMPUTED_VALUE"""),45957.61803055556)</f>
        <v>45957.61803</v>
      </c>
      <c r="G7827" s="42" t="str">
        <f>IFERROR(__xludf.DUMMYFUNCTION("""COMPUTED_VALUE"""),"BN HIBAH")</f>
        <v>BN HIBAH</v>
      </c>
      <c r="H7827" s="42">
        <f t="shared" si="1"/>
        <v>3228</v>
      </c>
    </row>
    <row r="7828" ht="22.5" customHeight="1">
      <c r="B7828" s="42" t="str">
        <f>IFERROR(__xludf.DUMMYFUNCTION("""COMPUTED_VALUE"""),"K/17/290925/4")</f>
        <v>K/17/290925/4</v>
      </c>
      <c r="C7828" s="42" t="str">
        <f>IFERROR(__xludf.DUMMYFUNCTION("""COMPUTED_VALUE"""),"NIBEL M 23603/ TANJUNG SENANG")</f>
        <v>NIBEL M 23603/ TANJUNG SENANG</v>
      </c>
      <c r="D7828" s="42"/>
      <c r="E7828" s="42"/>
      <c r="F7828" s="48" t="str">
        <f>IFERROR(__xludf.DUMMYFUNCTION("""COMPUTED_VALUE"""),"")</f>
        <v/>
      </c>
      <c r="G7828" s="42" t="str">
        <f>IFERROR(__xludf.DUMMYFUNCTION("""COMPUTED_VALUE"""),"BN PHB")</f>
        <v>BN PHB</v>
      </c>
      <c r="H7828" s="42">
        <f t="shared" si="1"/>
        <v>3228</v>
      </c>
    </row>
    <row r="7829" ht="22.5" customHeight="1">
      <c r="B7829" s="42" t="str">
        <f>IFERROR(__xludf.DUMMYFUNCTION("""COMPUTED_VALUE"""),"K/18/290925/1")</f>
        <v>K/18/290925/1</v>
      </c>
      <c r="C7829" s="42" t="str">
        <f>IFERROR(__xludf.DUMMYFUNCTION("""COMPUTED_VALUE"""),"Nibel 16490/Labuhan Dalam")</f>
        <v>Nibel 16490/Labuhan Dalam</v>
      </c>
      <c r="D7829" s="42"/>
      <c r="E7829" s="42"/>
      <c r="F7829" s="48" t="str">
        <f>IFERROR(__xludf.DUMMYFUNCTION("""COMPUTED_VALUE"""),"")</f>
        <v/>
      </c>
      <c r="G7829" s="42" t="str">
        <f>IFERROR(__xludf.DUMMYFUNCTION("""COMPUTED_VALUE"""),"BN Jual Beli	")</f>
        <v>BN Jual Beli	</v>
      </c>
      <c r="H7829" s="42">
        <f t="shared" si="1"/>
        <v>3228</v>
      </c>
    </row>
    <row r="7830" ht="22.5" customHeight="1">
      <c r="B7830" s="42" t="str">
        <f>IFERROR(__xludf.DUMMYFUNCTION("""COMPUTED_VALUE"""),"L/19/290925/1")</f>
        <v>L/19/290925/1</v>
      </c>
      <c r="C7830" s="42" t="str">
        <f>IFERROR(__xludf.DUMMYFUNCTION("""COMPUTED_VALUE"""),"M.753/RAJABASA RAYA")</f>
        <v>M.753/RAJABASA RAYA</v>
      </c>
      <c r="D7830" s="42"/>
      <c r="E7830" s="42"/>
      <c r="F7830" s="48" t="str">
        <f>IFERROR(__xludf.DUMMYFUNCTION("""COMPUTED_VALUE"""),"")</f>
        <v/>
      </c>
      <c r="G7830" s="42" t="str">
        <f>IFERROR(__xludf.DUMMYFUNCTION("""COMPUTED_VALUE"""),"ROYA")</f>
        <v>ROYA</v>
      </c>
      <c r="H7830" s="42">
        <f t="shared" si="1"/>
        <v>3228</v>
      </c>
    </row>
    <row r="7831" ht="22.5" customHeight="1">
      <c r="B7831" s="42" t="str">
        <f>IFERROR(__xludf.DUMMYFUNCTION("""COMPUTED_VALUE"""),"K/20/290925/1")</f>
        <v>K/20/290925/1</v>
      </c>
      <c r="C7831" s="42" t="str">
        <f>IFERROR(__xludf.DUMMYFUNCTION("""COMPUTED_VALUE"""),"M. 476/Perumnas Way Kandis	")</f>
        <v>M. 476/Perumnas Way Kandis	</v>
      </c>
      <c r="D7831" s="42"/>
      <c r="E7831" s="42"/>
      <c r="F7831" s="48" t="str">
        <f>IFERROR(__xludf.DUMMYFUNCTION("""COMPUTED_VALUE"""),"")</f>
        <v/>
      </c>
      <c r="G7831" s="42" t="str">
        <f>IFERROR(__xludf.DUMMYFUNCTION("""COMPUTED_VALUE"""),"BN Jual Beli	")</f>
        <v>BN Jual Beli	</v>
      </c>
      <c r="H7831" s="42">
        <f t="shared" si="1"/>
        <v>3228</v>
      </c>
    </row>
    <row r="7832" ht="22.5" customHeight="1">
      <c r="B7832" s="42" t="str">
        <f>IFERROR(__xludf.DUMMYFUNCTION("""COMPUTED_VALUE"""),"L/21/290925/1")</f>
        <v>L/21/290925/1</v>
      </c>
      <c r="C7832" s="42" t="str">
        <f>IFERROR(__xludf.DUMMYFUNCTION("""COMPUTED_VALUE"""),"M.262/KOTA SEPANG")</f>
        <v>M.262/KOTA SEPANG</v>
      </c>
      <c r="D7832" s="42"/>
      <c r="E7832" s="42"/>
      <c r="F7832" s="48" t="str">
        <f>IFERROR(__xludf.DUMMYFUNCTION("""COMPUTED_VALUE"""),"")</f>
        <v/>
      </c>
      <c r="G7832" s="42" t="str">
        <f>IFERROR(__xludf.DUMMYFUNCTION("""COMPUTED_VALUE"""),"PTPGT TANAH MENTAH")</f>
        <v>PTPGT TANAH MENTAH</v>
      </c>
      <c r="H7832" s="42">
        <f t="shared" si="1"/>
        <v>3228</v>
      </c>
    </row>
    <row r="7833" ht="22.5" customHeight="1">
      <c r="B7833" s="42" t="str">
        <f>IFERROR(__xludf.DUMMYFUNCTION("""COMPUTED_VALUE"""),"L/22/290925/1")</f>
        <v>L/22/290925/1</v>
      </c>
      <c r="C7833" s="42" t="str">
        <f>IFERROR(__xludf.DUMMYFUNCTION("""COMPUTED_VALUE"""),"M.2189 DAN 105/WAY KANDIS")</f>
        <v>M.2189 DAN 105/WAY KANDIS</v>
      </c>
      <c r="D7833" s="42"/>
      <c r="E7833" s="42"/>
      <c r="F7833" s="48" t="str">
        <f>IFERROR(__xludf.DUMMYFUNCTION("""COMPUTED_VALUE"""),"")</f>
        <v/>
      </c>
      <c r="G7833" s="42" t="str">
        <f>IFERROR(__xludf.DUMMYFUNCTION("""COMPUTED_VALUE"""),"BLOKIR")</f>
        <v>BLOKIR</v>
      </c>
      <c r="H7833" s="42">
        <f t="shared" si="1"/>
        <v>3228</v>
      </c>
    </row>
    <row r="7834" ht="22.5" customHeight="1">
      <c r="B7834" s="42" t="str">
        <f>IFERROR(__xludf.DUMMYFUNCTION("""COMPUTED_VALUE"""),"K/23/290925/1")</f>
        <v>K/23/290925/1</v>
      </c>
      <c r="C7834" s="42" t="str">
        <f>IFERROR(__xludf.DUMMYFUNCTION("""COMPUTED_VALUE"""),"M 2751/ SUKAJAWA")</f>
        <v>M 2751/ SUKAJAWA</v>
      </c>
      <c r="D7834" s="42"/>
      <c r="E7834" s="42"/>
      <c r="F7834" s="48" t="str">
        <f>IFERROR(__xludf.DUMMYFUNCTION("""COMPUTED_VALUE"""),"")</f>
        <v/>
      </c>
      <c r="G7834" s="42" t="str">
        <f>IFERROR(__xludf.DUMMYFUNCTION("""COMPUTED_VALUE"""),"BN JUAL BELI")</f>
        <v>BN JUAL BELI</v>
      </c>
      <c r="H7834" s="42">
        <f t="shared" si="1"/>
        <v>3228</v>
      </c>
    </row>
    <row r="7835" ht="22.5" customHeight="1">
      <c r="B7835" s="42" t="str">
        <f>IFERROR(__xludf.DUMMYFUNCTION("""COMPUTED_VALUE"""),"L/26/290925/1")</f>
        <v>L/26/290925/1</v>
      </c>
      <c r="C7835" s="42" t="str">
        <f>IFERROR(__xludf.DUMMYFUNCTION("""COMPUTED_VALUE"""),"M. 1927 DAN 1936/GUNUNG TERANG")</f>
        <v>M. 1927 DAN 1936/GUNUNG TERANG</v>
      </c>
      <c r="D7835" s="42" t="str">
        <f>IFERROR(__xludf.DUMMYFUNCTION("""COMPUTED_VALUE"""),"Berry")</f>
        <v>Berry</v>
      </c>
      <c r="E7835" s="42" t="str">
        <f>IFERROR(__xludf.DUMMYFUNCTION("""COMPUTED_VALUE"""),"DISERAHKAN")</f>
        <v>DISERAHKAN</v>
      </c>
      <c r="F7835" s="48">
        <f>IFERROR(__xludf.DUMMYFUNCTION("""COMPUTED_VALUE"""),45975.493300856484)</f>
        <v>45975.4933</v>
      </c>
      <c r="G7835" s="42" t="str">
        <f>IFERROR(__xludf.DUMMYFUNCTION("""COMPUTED_VALUE"""),"ROYA")</f>
        <v>ROYA</v>
      </c>
      <c r="H7835" s="42">
        <f t="shared" si="1"/>
        <v>3229</v>
      </c>
    </row>
    <row r="7836" ht="22.5" customHeight="1">
      <c r="B7836" s="42" t="str">
        <f>IFERROR(__xludf.DUMMYFUNCTION("""COMPUTED_VALUE"""),"K/24/290925/2")</f>
        <v>K/24/290925/2</v>
      </c>
      <c r="C7836" s="42" t="str">
        <f>IFERROR(__xludf.DUMMYFUNCTION("""COMPUTED_VALUE"""),"NIBEL B 16413/ DURIAN PAYUNG")</f>
        <v>NIBEL B 16413/ DURIAN PAYUNG</v>
      </c>
      <c r="D7836" s="42" t="str">
        <f>IFERROR(__xludf.DUMMYFUNCTION("""COMPUTED_VALUE"""),"Berry")</f>
        <v>Berry</v>
      </c>
      <c r="E7836" s="42" t="str">
        <f>IFERROR(__xludf.DUMMYFUNCTION("""COMPUTED_VALUE"""),"DISERAHKAN")</f>
        <v>DISERAHKAN</v>
      </c>
      <c r="F7836" s="48">
        <f>IFERROR(__xludf.DUMMYFUNCTION("""COMPUTED_VALUE"""),45979.63606123843)</f>
        <v>45979.63606</v>
      </c>
      <c r="G7836" s="42" t="str">
        <f>IFERROR(__xludf.DUMMYFUNCTION("""COMPUTED_VALUE"""),"BN JUAL BELI")</f>
        <v>BN JUAL BELI</v>
      </c>
      <c r="H7836" s="42">
        <f t="shared" si="1"/>
        <v>3230</v>
      </c>
    </row>
    <row r="7837" ht="22.5" customHeight="1">
      <c r="B7837" s="42" t="str">
        <f>IFERROR(__xludf.DUMMYFUNCTION("""COMPUTED_VALUE"""),"K8/240925/2		")</f>
        <v>K8/240925/2		</v>
      </c>
      <c r="C7837" s="42" t="str">
        <f>IFERROR(__xludf.DUMMYFUNCTION("""COMPUTED_VALUE"""),"B. 341/Perumnas Way Kandis")</f>
        <v>B. 341/Perumnas Way Kandis</v>
      </c>
      <c r="D7837" s="42"/>
      <c r="E7837" s="42"/>
      <c r="F7837" s="48" t="str">
        <f>IFERROR(__xludf.DUMMYFUNCTION("""COMPUTED_VALUE"""),"")</f>
        <v/>
      </c>
      <c r="G7837" s="42" t="str">
        <f>IFERROR(__xludf.DUMMYFUNCTION("""COMPUTED_VALUE"""),"	SKPT")</f>
        <v>	SKPT</v>
      </c>
      <c r="H7837" s="42">
        <f t="shared" si="1"/>
        <v>3230</v>
      </c>
    </row>
    <row r="7838" ht="22.5" customHeight="1">
      <c r="B7838" s="42" t="str">
        <f>IFERROR(__xludf.DUMMYFUNCTION("""COMPUTED_VALUE"""),"K/9/240925/3	")</f>
        <v>K/9/240925/3	</v>
      </c>
      <c r="C7838" s="42" t="str">
        <f>IFERROR(__xludf.DUMMYFUNCTION("""COMPUTED_VALUE"""),"B. 713/Perumnas Way Kandis")</f>
        <v>B. 713/Perumnas Way Kandis</v>
      </c>
      <c r="D7838" s="42"/>
      <c r="E7838" s="42"/>
      <c r="F7838" s="48" t="str">
        <f>IFERROR(__xludf.DUMMYFUNCTION("""COMPUTED_VALUE"""),"")</f>
        <v/>
      </c>
      <c r="G7838" s="42" t="str">
        <f>IFERROR(__xludf.DUMMYFUNCTION("""COMPUTED_VALUE"""),"SKPT	")</f>
        <v>SKPT	</v>
      </c>
      <c r="H7838" s="42">
        <f t="shared" si="1"/>
        <v>3230</v>
      </c>
    </row>
    <row r="7839" ht="22.5" customHeight="1">
      <c r="B7839" s="42" t="str">
        <f>IFERROR(__xludf.DUMMYFUNCTION("""COMPUTED_VALUE"""),"K/10/240925/4	")</f>
        <v>K/10/240925/4	</v>
      </c>
      <c r="C7839" s="42" t="str">
        <f>IFERROR(__xludf.DUMMYFUNCTION("""COMPUTED_VALUE"""),"B. 585/Perumnas Way Kandis	")</f>
        <v>B. 585/Perumnas Way Kandis	</v>
      </c>
      <c r="D7839" s="42"/>
      <c r="E7839" s="42"/>
      <c r="F7839" s="48" t="str">
        <f>IFERROR(__xludf.DUMMYFUNCTION("""COMPUTED_VALUE"""),"")</f>
        <v/>
      </c>
      <c r="G7839" s="42" t="str">
        <f>IFERROR(__xludf.DUMMYFUNCTION("""COMPUTED_VALUE"""),"SKPT	")</f>
        <v>SKPT	</v>
      </c>
      <c r="H7839" s="42">
        <f t="shared" si="1"/>
        <v>3230</v>
      </c>
    </row>
    <row r="7840" ht="22.5" customHeight="1">
      <c r="B7840" s="42" t="str">
        <f>IFERROR(__xludf.DUMMYFUNCTION("""COMPUTED_VALUE"""),"L/27/290925/1")</f>
        <v>L/27/290925/1</v>
      </c>
      <c r="C7840" s="42" t="str">
        <f>IFERROR(__xludf.DUMMYFUNCTION("""COMPUTED_VALUE"""),"LUAS 300 M2/KELURAHAN BATU PUTUK")</f>
        <v>LUAS 300 M2/KELURAHAN BATU PUTUK</v>
      </c>
      <c r="D7840" s="42"/>
      <c r="E7840" s="42"/>
      <c r="F7840" s="48" t="str">
        <f>IFERROR(__xludf.DUMMYFUNCTION("""COMPUTED_VALUE"""),"")</f>
        <v/>
      </c>
      <c r="G7840" s="42" t="str">
        <f>IFERROR(__xludf.DUMMYFUNCTION("""COMPUTED_VALUE"""),"PENGUKURAN PERTAMA KALI")</f>
        <v>PENGUKURAN PERTAMA KALI</v>
      </c>
      <c r="H7840" s="42">
        <f t="shared" si="1"/>
        <v>3230</v>
      </c>
    </row>
    <row r="7841" ht="22.5" customHeight="1">
      <c r="B7841" s="42" t="str">
        <f>IFERROR(__xludf.DUMMYFUNCTION("""COMPUTED_VALUE"""),"K/28/290925/1")</f>
        <v>K/28/290925/1</v>
      </c>
      <c r="C7841" s="42" t="str">
        <f>IFERROR(__xludf.DUMMYFUNCTION("""COMPUTED_VALUE"""),"B. 598/Campang Jaya")</f>
        <v>B. 598/Campang Jaya</v>
      </c>
      <c r="D7841" s="42"/>
      <c r="E7841" s="42"/>
      <c r="F7841" s="48" t="str">
        <f>IFERROR(__xludf.DUMMYFUNCTION("""COMPUTED_VALUE"""),"")</f>
        <v/>
      </c>
      <c r="G7841" s="42" t="str">
        <f>IFERROR(__xludf.DUMMYFUNCTION("""COMPUTED_VALUE"""),"Pengukuran Pertama Kali untuk Pembaruan Hak		")</f>
        <v>Pengukuran Pertama Kali untuk Pembaruan Hak		</v>
      </c>
      <c r="H7841" s="42">
        <f t="shared" si="1"/>
        <v>3230</v>
      </c>
    </row>
    <row r="7842" ht="22.5" customHeight="1">
      <c r="B7842" s="42" t="str">
        <f>IFERROR(__xludf.DUMMYFUNCTION("""COMPUTED_VALUE"""),"K/29/290925/2")</f>
        <v>K/29/290925/2</v>
      </c>
      <c r="C7842" s="42" t="str">
        <f>IFERROR(__xludf.DUMMYFUNCTION("""COMPUTED_VALUE"""),"B. 399/Campang Jaya	)")</f>
        <v>B. 399/Campang Jaya	)</v>
      </c>
      <c r="D7842" s="42"/>
      <c r="E7842" s="42"/>
      <c r="F7842" s="48" t="str">
        <f>IFERROR(__xludf.DUMMYFUNCTION("""COMPUTED_VALUE"""),"")</f>
        <v/>
      </c>
      <c r="G7842" s="42" t="str">
        <f>IFERROR(__xludf.DUMMYFUNCTION("""COMPUTED_VALUE"""),"Pengukuran Pertama Kali untuk Pembaruan Hak	")</f>
        <v>Pengukuran Pertama Kali untuk Pembaruan Hak	</v>
      </c>
      <c r="H7842" s="42">
        <f t="shared" si="1"/>
        <v>3230</v>
      </c>
    </row>
    <row r="7843" ht="22.5" customHeight="1">
      <c r="B7843" s="42" t="str">
        <f>IFERROR(__xludf.DUMMYFUNCTION("""COMPUTED_VALUE"""),"L/30/290925/1")</f>
        <v>L/30/290925/1</v>
      </c>
      <c r="C7843" s="42" t="str">
        <f>IFERROR(__xludf.DUMMYFUNCTION("""COMPUTED_VALUE"""),"SHM NIB 23078/LABUHAN RATU")</f>
        <v>SHM NIB 23078/LABUHAN RATU</v>
      </c>
      <c r="D7843" s="42"/>
      <c r="E7843" s="42"/>
      <c r="F7843" s="48" t="str">
        <f>IFERROR(__xludf.DUMMYFUNCTION("""COMPUTED_VALUE"""),"")</f>
        <v/>
      </c>
      <c r="G7843" s="42" t="str">
        <f>IFERROR(__xludf.DUMMYFUNCTION("""COMPUTED_VALUE"""),"BN WARIS")</f>
        <v>BN WARIS</v>
      </c>
      <c r="H7843" s="42">
        <f t="shared" si="1"/>
        <v>3230</v>
      </c>
    </row>
    <row r="7844" ht="22.5" customHeight="1">
      <c r="B7844" s="42" t="str">
        <f>IFERROR(__xludf.DUMMYFUNCTION("""COMPUTED_VALUE"""),"K/31/290925/1")</f>
        <v>K/31/290925/1</v>
      </c>
      <c r="C7844" s="42" t="str">
        <f>IFERROR(__xludf.DUMMYFUNCTION("""COMPUTED_VALUE"""),"M. 3187/Sukarame Baru")</f>
        <v>M. 3187/Sukarame Baru</v>
      </c>
      <c r="D7844" s="42"/>
      <c r="E7844" s="42"/>
      <c r="F7844" s="48" t="str">
        <f>IFERROR(__xludf.DUMMYFUNCTION("""COMPUTED_VALUE"""),"")</f>
        <v/>
      </c>
      <c r="G7844" s="42" t="str">
        <f>IFERROR(__xludf.DUMMYFUNCTION("""COMPUTED_VALUE"""),"BN Jual Beli		")</f>
        <v>BN Jual Beli		</v>
      </c>
      <c r="H7844" s="42">
        <f t="shared" si="1"/>
        <v>3230</v>
      </c>
    </row>
    <row r="7845" ht="22.5" customHeight="1">
      <c r="B7845" s="42" t="str">
        <f>IFERROR(__xludf.DUMMYFUNCTION("""COMPUTED_VALUE"""),"L/32/290925/1")</f>
        <v>L/32/290925/1</v>
      </c>
      <c r="C7845" s="42" t="str">
        <f>IFERROR(__xludf.DUMMYFUNCTION("""COMPUTED_VALUE"""),"SHM 3306/GUNUNG TERANG")</f>
        <v>SHM 3306/GUNUNG TERANG</v>
      </c>
      <c r="D7845" s="42" t="str">
        <f>IFERROR(__xludf.DUMMYFUNCTION("""COMPUTED_VALUE"""),"David")</f>
        <v>David</v>
      </c>
      <c r="E7845" s="42" t="str">
        <f>IFERROR(__xludf.DUMMYFUNCTION("""COMPUTED_VALUE"""),"DISERAHKAN")</f>
        <v>DISERAHKAN</v>
      </c>
      <c r="F7845" s="48">
        <f>IFERROR(__xludf.DUMMYFUNCTION("""COMPUTED_VALUE"""),45986.603991550925)</f>
        <v>45986.60399</v>
      </c>
      <c r="G7845" s="42" t="str">
        <f>IFERROR(__xludf.DUMMYFUNCTION("""COMPUTED_VALUE"""),"ROYA")</f>
        <v>ROYA</v>
      </c>
      <c r="H7845" s="42">
        <f t="shared" si="1"/>
        <v>3231</v>
      </c>
    </row>
    <row r="7846" ht="22.5" customHeight="1">
      <c r="B7846" s="42" t="str">
        <f>IFERROR(__xludf.DUMMYFUNCTION("""COMPUTED_VALUE"""),"K/33/290925/1")</f>
        <v>K/33/290925/1</v>
      </c>
      <c r="C7846" s="42" t="str">
        <f>IFERROR(__xludf.DUMMYFUNCTION("""COMPUTED_VALUE"""),"M 1120/ KURIPAN")</f>
        <v>M 1120/ KURIPAN</v>
      </c>
      <c r="D7846" s="42" t="str">
        <f>IFERROR(__xludf.DUMMYFUNCTION("""COMPUTED_VALUE"""),"Berry")</f>
        <v>Berry</v>
      </c>
      <c r="E7846" s="42" t="str">
        <f>IFERROR(__xludf.DUMMYFUNCTION("""COMPUTED_VALUE"""),"DISERAHKAN")</f>
        <v>DISERAHKAN</v>
      </c>
      <c r="F7846" s="48">
        <f>IFERROR(__xludf.DUMMYFUNCTION("""COMPUTED_VALUE"""),45979.63272771991)</f>
        <v>45979.63273</v>
      </c>
      <c r="G7846" s="42" t="str">
        <f>IFERROR(__xludf.DUMMYFUNCTION("""COMPUTED_VALUE"""),"ROYA")</f>
        <v>ROYA</v>
      </c>
      <c r="H7846" s="42">
        <f t="shared" si="1"/>
        <v>3232</v>
      </c>
    </row>
    <row r="7847" ht="22.5" customHeight="1">
      <c r="B7847" s="42" t="str">
        <f>IFERROR(__xludf.DUMMYFUNCTION("""COMPUTED_VALUE"""),"K/39/290925/1")</f>
        <v>K/39/290925/1</v>
      </c>
      <c r="C7847" s="42" t="str">
        <f>IFERROR(__xludf.DUMMYFUNCTION("""COMPUTED_VALUE"""),"M. 3485/Way Kandis	")</f>
        <v>M. 3485/Way Kandis	</v>
      </c>
      <c r="D7847" s="42" t="str">
        <f>IFERROR(__xludf.DUMMYFUNCTION("""COMPUTED_VALUE"""),"David")</f>
        <v>David</v>
      </c>
      <c r="E7847" s="42" t="str">
        <f>IFERROR(__xludf.DUMMYFUNCTION("""COMPUTED_VALUE"""),"DISERAHKAN")</f>
        <v>DISERAHKAN</v>
      </c>
      <c r="F7847" s="48">
        <f>IFERROR(__xludf.DUMMYFUNCTION("""COMPUTED_VALUE"""),45957.61889288195)</f>
        <v>45957.61889</v>
      </c>
      <c r="G7847" s="42" t="str">
        <f>IFERROR(__xludf.DUMMYFUNCTION("""COMPUTED_VALUE"""),"BN Jual Beli	")</f>
        <v>BN Jual Beli	</v>
      </c>
      <c r="H7847" s="42">
        <f t="shared" si="1"/>
        <v>3233</v>
      </c>
    </row>
    <row r="7848" ht="22.5" customHeight="1">
      <c r="B7848" s="42" t="str">
        <f>IFERROR(__xludf.DUMMYFUNCTION("""COMPUTED_VALUE"""),"K/41/290925/1")</f>
        <v>K/41/290925/1</v>
      </c>
      <c r="C7848" s="42" t="str">
        <f>IFERROR(__xludf.DUMMYFUNCTION("""COMPUTED_VALUE"""),"M. 1569/Srengsem	")</f>
        <v>M. 1569/Srengsem	</v>
      </c>
      <c r="D7848" s="42" t="str">
        <f>IFERROR(__xludf.DUMMYFUNCTION("""COMPUTED_VALUE"""),"Berry")</f>
        <v>Berry</v>
      </c>
      <c r="E7848" s="42" t="str">
        <f>IFERROR(__xludf.DUMMYFUNCTION("""COMPUTED_VALUE"""),"DISERAHKAN")</f>
        <v>DISERAHKAN</v>
      </c>
      <c r="F7848" s="48">
        <f>IFERROR(__xludf.DUMMYFUNCTION("""COMPUTED_VALUE"""),45988.64078339121)</f>
        <v>45988.64078</v>
      </c>
      <c r="G7848" s="42" t="str">
        <f>IFERROR(__xludf.DUMMYFUNCTION("""COMPUTED_VALUE"""),"BN Jual Beli	")</f>
        <v>BN Jual Beli	</v>
      </c>
      <c r="H7848" s="42">
        <f t="shared" si="1"/>
        <v>3234</v>
      </c>
    </row>
    <row r="7849" ht="22.5" customHeight="1">
      <c r="B7849" s="42" t="str">
        <f>IFERROR(__xludf.DUMMYFUNCTION("""COMPUTED_VALUE"""),"L/40/290925/1")</f>
        <v>L/40/290925/1</v>
      </c>
      <c r="C7849" s="42" t="str">
        <f>IFERROR(__xludf.DUMMYFUNCTION("""COMPUTED_VALUE"""),"LUAS 400 M2/KELURAHAN GEDONG MENENG")</f>
        <v>LUAS 400 M2/KELURAHAN GEDONG MENENG</v>
      </c>
      <c r="D7849" s="42" t="str">
        <f>IFERROR(__xludf.DUMMYFUNCTION("""COMPUTED_VALUE"""),"Berry")</f>
        <v>Berry</v>
      </c>
      <c r="E7849" s="42" t="str">
        <f>IFERROR(__xludf.DUMMYFUNCTION("""COMPUTED_VALUE"""),"DISERAHKAN")</f>
        <v>DISERAHKAN</v>
      </c>
      <c r="F7849" s="48">
        <f>IFERROR(__xludf.DUMMYFUNCTION("""COMPUTED_VALUE"""),45975.498573784724)</f>
        <v>45975.49857</v>
      </c>
      <c r="G7849" s="42" t="str">
        <f>IFERROR(__xludf.DUMMYFUNCTION("""COMPUTED_VALUE"""),"PENGUKURAN PERTAMA KALI")</f>
        <v>PENGUKURAN PERTAMA KALI</v>
      </c>
      <c r="H7849" s="42">
        <f t="shared" si="1"/>
        <v>3235</v>
      </c>
    </row>
    <row r="7850" ht="22.5" customHeight="1">
      <c r="B7850" s="42" t="str">
        <f>IFERROR(__xludf.DUMMYFUNCTION("""COMPUTED_VALUE"""),"K/42/290925/1")</f>
        <v>K/42/290925/1</v>
      </c>
      <c r="C7850" s="42" t="str">
        <f>IFERROR(__xludf.DUMMYFUNCTION("""COMPUTED_VALUE"""),"M. 10194/Kampung Baru	")</f>
        <v>M. 10194/Kampung Baru	</v>
      </c>
      <c r="D7850" s="42"/>
      <c r="E7850" s="42"/>
      <c r="F7850" s="48" t="str">
        <f>IFERROR(__xludf.DUMMYFUNCTION("""COMPUTED_VALUE"""),"")</f>
        <v/>
      </c>
      <c r="G7850" s="42" t="str">
        <f>IFERROR(__xludf.DUMMYFUNCTION("""COMPUTED_VALUE"""),"BN Jual Beli	")</f>
        <v>BN Jual Beli	</v>
      </c>
      <c r="H7850" s="42">
        <f t="shared" si="1"/>
        <v>3235</v>
      </c>
    </row>
    <row r="7851" ht="22.5" customHeight="1">
      <c r="B7851" s="42" t="str">
        <f>IFERROR(__xludf.DUMMYFUNCTION("""COMPUTED_VALUE"""),"K/34/290925/1")</f>
        <v>K/34/290925/1</v>
      </c>
      <c r="C7851" s="42" t="str">
        <f>IFERROR(__xludf.DUMMYFUNCTION("""COMPUTED_VALUE"""),"M 13889/ SEGALA MIDER")</f>
        <v>M 13889/ SEGALA MIDER</v>
      </c>
      <c r="D7851" s="42" t="str">
        <f>IFERROR(__xludf.DUMMYFUNCTION("""COMPUTED_VALUE"""),"Berry")</f>
        <v>Berry</v>
      </c>
      <c r="E7851" s="42" t="str">
        <f>IFERROR(__xludf.DUMMYFUNCTION("""COMPUTED_VALUE"""),"DISERAHKAN")</f>
        <v>DISERAHKAN</v>
      </c>
      <c r="F7851" s="48">
        <f>IFERROR(__xludf.DUMMYFUNCTION("""COMPUTED_VALUE"""),45951.47720648148)</f>
        <v>45951.47721</v>
      </c>
      <c r="G7851" s="42" t="str">
        <f>IFERROR(__xludf.DUMMYFUNCTION("""COMPUTED_VALUE"""),"BN JUAL BELI")</f>
        <v>BN JUAL BELI</v>
      </c>
      <c r="H7851" s="42">
        <f t="shared" si="1"/>
        <v>3236</v>
      </c>
    </row>
    <row r="7852" ht="22.5" customHeight="1">
      <c r="B7852" s="42" t="str">
        <f>IFERROR(__xludf.DUMMYFUNCTION("""COMPUTED_VALUE"""),"K/35/290925/2")</f>
        <v>K/35/290925/2</v>
      </c>
      <c r="C7852" s="42" t="str">
        <f>IFERROR(__xludf.DUMMYFUNCTION("""COMPUTED_VALUE"""),"M 4929/ SUKADANA HAM")</f>
        <v>M 4929/ SUKADANA HAM</v>
      </c>
      <c r="D7852" s="42" t="str">
        <f>IFERROR(__xludf.DUMMYFUNCTION("""COMPUTED_VALUE"""),"Berry")</f>
        <v>Berry</v>
      </c>
      <c r="E7852" s="42" t="str">
        <f>IFERROR(__xludf.DUMMYFUNCTION("""COMPUTED_VALUE"""),"DISERAHKAN")</f>
        <v>DISERAHKAN</v>
      </c>
      <c r="F7852" s="48">
        <f>IFERROR(__xludf.DUMMYFUNCTION("""COMPUTED_VALUE"""),45975.493489733795)</f>
        <v>45975.49349</v>
      </c>
      <c r="G7852" s="42" t="str">
        <f>IFERROR(__xludf.DUMMYFUNCTION("""COMPUTED_VALUE"""),"BN JUAL BELI")</f>
        <v>BN JUAL BELI</v>
      </c>
      <c r="H7852" s="42">
        <f t="shared" si="1"/>
        <v>3237</v>
      </c>
    </row>
    <row r="7853" ht="22.5" customHeight="1">
      <c r="B7853" s="42" t="str">
        <f>IFERROR(__xludf.DUMMYFUNCTION("""COMPUTED_VALUE"""),"K/44/290925/1")</f>
        <v>K/44/290925/1</v>
      </c>
      <c r="C7853" s="42" t="str">
        <f>IFERROR(__xludf.DUMMYFUNCTION("""COMPUTED_VALUE"""),"M. 2227/Kaliawi	")</f>
        <v>M. 2227/Kaliawi	</v>
      </c>
      <c r="D7853" s="42"/>
      <c r="E7853" s="42"/>
      <c r="F7853" s="48" t="str">
        <f>IFERROR(__xludf.DUMMYFUNCTION("""COMPUTED_VALUE"""),"")</f>
        <v/>
      </c>
      <c r="G7853" s="42" t="str">
        <f>IFERROR(__xludf.DUMMYFUNCTION("""COMPUTED_VALUE"""),"BN Jual Beli	")</f>
        <v>BN Jual Beli	</v>
      </c>
      <c r="H7853" s="42">
        <f t="shared" si="1"/>
        <v>3237</v>
      </c>
    </row>
    <row r="7854" ht="22.5" customHeight="1">
      <c r="B7854" s="42" t="str">
        <f>IFERROR(__xludf.DUMMYFUNCTION("""COMPUTED_VALUE"""),"K/36/290925/3")</f>
        <v>K/36/290925/3</v>
      </c>
      <c r="C7854" s="42" t="str">
        <f>IFERROR(__xludf.DUMMYFUNCTION("""COMPUTED_VALUE"""),"M 4942/ SUKADANA HAM")</f>
        <v>M 4942/ SUKADANA HAM</v>
      </c>
      <c r="D7854" s="42" t="str">
        <f>IFERROR(__xludf.DUMMYFUNCTION("""COMPUTED_VALUE"""),"David")</f>
        <v>David</v>
      </c>
      <c r="E7854" s="42" t="str">
        <f>IFERROR(__xludf.DUMMYFUNCTION("""COMPUTED_VALUE"""),"DISERAHKAN")</f>
        <v>DISERAHKAN</v>
      </c>
      <c r="F7854" s="48">
        <f>IFERROR(__xludf.DUMMYFUNCTION("""COMPUTED_VALUE"""),45957.491642650464)</f>
        <v>45957.49164</v>
      </c>
      <c r="G7854" s="42" t="str">
        <f>IFERROR(__xludf.DUMMYFUNCTION("""COMPUTED_VALUE"""),"BN JUAL BELI")</f>
        <v>BN JUAL BELI</v>
      </c>
      <c r="H7854" s="42">
        <f t="shared" si="1"/>
        <v>3238</v>
      </c>
    </row>
    <row r="7855" ht="22.5" customHeight="1">
      <c r="B7855" s="42" t="str">
        <f>IFERROR(__xludf.DUMMYFUNCTION("""COMPUTED_VALUE"""),"K/45/290925/2")</f>
        <v>K/45/290925/2</v>
      </c>
      <c r="C7855" s="42" t="str">
        <f>IFERROR(__xludf.DUMMYFUNCTION("""COMPUTED_VALUE"""),"M. 1318/Kemiling Permai	")</f>
        <v>M. 1318/Kemiling Permai	</v>
      </c>
      <c r="D7855" s="42"/>
      <c r="E7855" s="42"/>
      <c r="F7855" s="48" t="str">
        <f>IFERROR(__xludf.DUMMYFUNCTION("""COMPUTED_VALUE"""),"")</f>
        <v/>
      </c>
      <c r="G7855" s="42" t="str">
        <f>IFERROR(__xludf.DUMMYFUNCTION("""COMPUTED_VALUE"""),"BN Jual Beli	")</f>
        <v>BN Jual Beli	</v>
      </c>
      <c r="H7855" s="42">
        <f t="shared" si="1"/>
        <v>3238</v>
      </c>
    </row>
    <row r="7856" ht="22.5" customHeight="1">
      <c r="B7856" s="42" t="str">
        <f>IFERROR(__xludf.DUMMYFUNCTION("""COMPUTED_VALUE"""),"K/37/290925/1")</f>
        <v>K/37/290925/1</v>
      </c>
      <c r="C7856" s="42" t="str">
        <f>IFERROR(__xludf.DUMMYFUNCTION("""COMPUTED_VALUE"""),"M 4283/ GUNUNG TERANG")</f>
        <v>M 4283/ GUNUNG TERANG</v>
      </c>
      <c r="D7856" s="42"/>
      <c r="E7856" s="42"/>
      <c r="F7856" s="48" t="str">
        <f>IFERROR(__xludf.DUMMYFUNCTION("""COMPUTED_VALUE"""),"")</f>
        <v/>
      </c>
      <c r="G7856" s="42" t="str">
        <f>IFERROR(__xludf.DUMMYFUNCTION("""COMPUTED_VALUE"""),"BN WARIS")</f>
        <v>BN WARIS</v>
      </c>
      <c r="H7856" s="42">
        <f t="shared" si="1"/>
        <v>3238</v>
      </c>
    </row>
    <row r="7857" ht="22.5" customHeight="1">
      <c r="B7857" s="42" t="str">
        <f>IFERROR(__xludf.DUMMYFUNCTION("""COMPUTED_VALUE"""),"K/38/290925/1")</f>
        <v>K/38/290925/1</v>
      </c>
      <c r="C7857" s="42" t="str">
        <f>IFERROR(__xludf.DUMMYFUNCTION("""COMPUTED_VALUE"""),"B 512/ SUKAMAJU")</f>
        <v>B 512/ SUKAMAJU</v>
      </c>
      <c r="D7857" s="42" t="str">
        <f>IFERROR(__xludf.DUMMYFUNCTION("""COMPUTED_VALUE"""),"Berry")</f>
        <v>Berry</v>
      </c>
      <c r="E7857" s="42" t="str">
        <f>IFERROR(__xludf.DUMMYFUNCTION("""COMPUTED_VALUE"""),"DISERAHKAN")</f>
        <v>DISERAHKAN</v>
      </c>
      <c r="F7857" s="48">
        <f>IFERROR(__xludf.DUMMYFUNCTION("""COMPUTED_VALUE"""),45938.48576098379)</f>
        <v>45938.48576</v>
      </c>
      <c r="G7857" s="42" t="str">
        <f>IFERROR(__xludf.DUMMYFUNCTION("""COMPUTED_VALUE"""),"BN JUAL BELI")</f>
        <v>BN JUAL BELI</v>
      </c>
      <c r="H7857" s="42">
        <f t="shared" si="1"/>
        <v>3239</v>
      </c>
    </row>
    <row r="7858" ht="22.5" customHeight="1">
      <c r="B7858" s="42" t="str">
        <f>IFERROR(__xludf.DUMMYFUNCTION("""COMPUTED_VALUE"""),"K/43/290925/1")</f>
        <v>K/43/290925/1</v>
      </c>
      <c r="C7858" s="42" t="str">
        <f>IFERROR(__xludf.DUMMYFUNCTION("""COMPUTED_VALUE"""),"M 12072/ TANJUNG BARU")</f>
        <v>M 12072/ TANJUNG BARU</v>
      </c>
      <c r="D7858" s="42" t="str">
        <f>IFERROR(__xludf.DUMMYFUNCTION("""COMPUTED_VALUE"""),"Berry")</f>
        <v>Berry</v>
      </c>
      <c r="E7858" s="42" t="str">
        <f>IFERROR(__xludf.DUMMYFUNCTION("""COMPUTED_VALUE"""),"DISERAHKAN")</f>
        <v>DISERAHKAN</v>
      </c>
      <c r="F7858" s="48">
        <f>IFERROR(__xludf.DUMMYFUNCTION("""COMPUTED_VALUE"""),45968.489748611115)</f>
        <v>45968.48975</v>
      </c>
      <c r="G7858" s="42" t="str">
        <f>IFERROR(__xludf.DUMMYFUNCTION("""COMPUTED_VALUE"""),"BN WARIS")</f>
        <v>BN WARIS</v>
      </c>
      <c r="H7858" s="42">
        <f t="shared" si="1"/>
        <v>3240</v>
      </c>
    </row>
    <row r="7859" ht="22.5" customHeight="1">
      <c r="B7859" s="42" t="str">
        <f>IFERROR(__xludf.DUMMYFUNCTION("""COMPUTED_VALUE"""),"K/25/290925/3")</f>
        <v>K/25/290925/3</v>
      </c>
      <c r="C7859" s="42" t="str">
        <f>IFERROR(__xludf.DUMMYFUNCTION("""COMPUTED_VALUE"""),"NIBEL M 20711/ RAJABASA")</f>
        <v>NIBEL M 20711/ RAJABASA</v>
      </c>
      <c r="D7859" s="42" t="str">
        <f>IFERROR(__xludf.DUMMYFUNCTION("""COMPUTED_VALUE"""),"Berry")</f>
        <v>Berry</v>
      </c>
      <c r="E7859" s="42" t="str">
        <f>IFERROR(__xludf.DUMMYFUNCTION("""COMPUTED_VALUE"""),"DISERAHKAN")</f>
        <v>DISERAHKAN</v>
      </c>
      <c r="F7859" s="48">
        <f>IFERROR(__xludf.DUMMYFUNCTION("""COMPUTED_VALUE"""),45966.64768101852)</f>
        <v>45966.64768</v>
      </c>
      <c r="G7859" s="42" t="str">
        <f>IFERROR(__xludf.DUMMYFUNCTION("""COMPUTED_VALUE"""),"BN JUAL BELI")</f>
        <v>BN JUAL BELI</v>
      </c>
      <c r="H7859" s="42">
        <f t="shared" si="1"/>
        <v>3241</v>
      </c>
    </row>
    <row r="7860" ht="22.5" customHeight="1">
      <c r="B7860" s="42" t="str">
        <f>IFERROR(__xludf.DUMMYFUNCTION("""COMPUTED_VALUE"""),"K/1/300926/1")</f>
        <v>K/1/300926/1</v>
      </c>
      <c r="C7860" s="42" t="str">
        <f>IFERROR(__xludf.DUMMYFUNCTION("""COMPUTED_VALUE"""),"B. 1714/Sumberrejo Kemiling	")</f>
        <v>B. 1714/Sumberrejo Kemiling	</v>
      </c>
      <c r="D7860" s="42"/>
      <c r="E7860" s="42"/>
      <c r="F7860" s="48" t="str">
        <f>IFERROR(__xludf.DUMMYFUNCTION("""COMPUTED_VALUE"""),"")</f>
        <v/>
      </c>
      <c r="G7860" s="42" t="str">
        <f>IFERROR(__xludf.DUMMYFUNCTION("""COMPUTED_VALUE"""),"Roya Waris	")</f>
        <v>Roya Waris	</v>
      </c>
      <c r="H7860" s="42">
        <f t="shared" si="1"/>
        <v>3241</v>
      </c>
    </row>
    <row r="7861" ht="22.5" customHeight="1">
      <c r="B7861" s="42" t="str">
        <f>IFERROR(__xludf.DUMMYFUNCTION("""COMPUTED_VALUE"""),"K/2/300925/1")</f>
        <v>K/2/300925/1</v>
      </c>
      <c r="C7861" s="42" t="str">
        <f>IFERROR(__xludf.DUMMYFUNCTION("""COMPUTED_VALUE"""),"NIBEL M 22952/ KORPRI RAYA")</f>
        <v>NIBEL M 22952/ KORPRI RAYA</v>
      </c>
      <c r="D7861" s="42" t="str">
        <f>IFERROR(__xludf.DUMMYFUNCTION("""COMPUTED_VALUE"""),"Berry")</f>
        <v>Berry</v>
      </c>
      <c r="E7861" s="42" t="str">
        <f>IFERROR(__xludf.DUMMYFUNCTION("""COMPUTED_VALUE"""),"DISERAHKAN")</f>
        <v>DISERAHKAN</v>
      </c>
      <c r="F7861" s="48">
        <f>IFERROR(__xludf.DUMMYFUNCTION("""COMPUTED_VALUE"""),45988.65017453703)</f>
        <v>45988.65017</v>
      </c>
      <c r="G7861" s="42" t="str">
        <f>IFERROR(__xludf.DUMMYFUNCTION("""COMPUTED_VALUE"""),"BN JUAL BELI")</f>
        <v>BN JUAL BELI</v>
      </c>
      <c r="H7861" s="42">
        <f t="shared" si="1"/>
        <v>3242</v>
      </c>
    </row>
    <row r="7862" ht="22.5" customHeight="1">
      <c r="B7862" s="42" t="str">
        <f>IFERROR(__xludf.DUMMYFUNCTION("""COMPUTED_VALUE"""),"K/3/300925/1")</f>
        <v>K/3/300925/1</v>
      </c>
      <c r="C7862" s="42" t="str">
        <f>IFERROR(__xludf.DUMMYFUNCTION("""COMPUTED_VALUE"""),"M. 13314/Tanjung Baru	")</f>
        <v>M. 13314/Tanjung Baru	</v>
      </c>
      <c r="D7862" s="42"/>
      <c r="E7862" s="42"/>
      <c r="F7862" s="48" t="str">
        <f>IFERROR(__xludf.DUMMYFUNCTION("""COMPUTED_VALUE"""),"")</f>
        <v/>
      </c>
      <c r="G7862" s="42" t="str">
        <f>IFERROR(__xludf.DUMMYFUNCTION("""COMPUTED_VALUE"""),"BN APHB	")</f>
        <v>BN APHB	</v>
      </c>
      <c r="H7862" s="42">
        <f t="shared" si="1"/>
        <v>3242</v>
      </c>
    </row>
    <row r="7863" ht="22.5" customHeight="1">
      <c r="B7863" s="42" t="str">
        <f>IFERROR(__xludf.DUMMYFUNCTION("""COMPUTED_VALUE"""),"K/5/300925/2")</f>
        <v>K/5/300925/2</v>
      </c>
      <c r="C7863" s="42" t="str">
        <f>IFERROR(__xludf.DUMMYFUNCTION("""COMPUTED_VALUE"""),"M. 17359/Labuhan Dalam")</f>
        <v>M. 17359/Labuhan Dalam</v>
      </c>
      <c r="D7863" s="42" t="str">
        <f>IFERROR(__xludf.DUMMYFUNCTION("""COMPUTED_VALUE"""),"David")</f>
        <v>David</v>
      </c>
      <c r="E7863" s="42" t="str">
        <f>IFERROR(__xludf.DUMMYFUNCTION("""COMPUTED_VALUE"""),"DISERAHKAN")</f>
        <v>DISERAHKAN</v>
      </c>
      <c r="F7863" s="48">
        <f>IFERROR(__xludf.DUMMYFUNCTION("""COMPUTED_VALUE"""),45960.6331396412)</f>
        <v>45960.63314</v>
      </c>
      <c r="G7863" s="42" t="str">
        <f>IFERROR(__xludf.DUMMYFUNCTION("""COMPUTED_VALUE"""),"BN Jual Beli		")</f>
        <v>BN Jual Beli		</v>
      </c>
      <c r="H7863" s="42">
        <f t="shared" si="1"/>
        <v>3243</v>
      </c>
    </row>
    <row r="7864" ht="22.5" customHeight="1">
      <c r="B7864" s="42" t="str">
        <f>IFERROR(__xludf.DUMMYFUNCTION("""COMPUTED_VALUE"""),"L/6/300925/1")</f>
        <v>L/6/300925/1</v>
      </c>
      <c r="C7864" s="42" t="str">
        <f>IFERROR(__xludf.DUMMYFUNCTION("""COMPUTED_VALUE"""),"LUAS 200 M2/KELURAHAN TANJUNG SENANG")</f>
        <v>LUAS 200 M2/KELURAHAN TANJUNG SENANG</v>
      </c>
      <c r="D7864" s="42"/>
      <c r="E7864" s="42"/>
      <c r="F7864" s="48" t="str">
        <f>IFERROR(__xludf.DUMMYFUNCTION("""COMPUTED_VALUE"""),"")</f>
        <v/>
      </c>
      <c r="G7864" s="42" t="str">
        <f>IFERROR(__xludf.DUMMYFUNCTION("""COMPUTED_VALUE"""),"PENGUKURAN PERTAMA KALI")</f>
        <v>PENGUKURAN PERTAMA KALI</v>
      </c>
      <c r="H7864" s="42">
        <f t="shared" si="1"/>
        <v>3243</v>
      </c>
    </row>
    <row r="7865" ht="22.5" customHeight="1">
      <c r="B7865" s="42" t="str">
        <f>IFERROR(__xludf.DUMMYFUNCTION("""COMPUTED_VALUE"""),"K/7/300925/1")</f>
        <v>K/7/300925/1</v>
      </c>
      <c r="C7865" s="42" t="str">
        <f>IFERROR(__xludf.DUMMYFUNCTION("""COMPUTED_VALUE"""),"M. 593/Gunung Terang	")</f>
        <v>M. 593/Gunung Terang	</v>
      </c>
      <c r="D7865" s="42"/>
      <c r="E7865" s="42"/>
      <c r="F7865" s="48" t="str">
        <f>IFERROR(__xludf.DUMMYFUNCTION("""COMPUTED_VALUE"""),"")</f>
        <v/>
      </c>
      <c r="G7865" s="42" t="str">
        <f>IFERROR(__xludf.DUMMYFUNCTION("""COMPUTED_VALUE"""),"BN Jual Beli	")</f>
        <v>BN Jual Beli	</v>
      </c>
      <c r="H7865" s="42">
        <f t="shared" si="1"/>
        <v>3243</v>
      </c>
    </row>
    <row r="7866" ht="22.5" customHeight="1">
      <c r="B7866" s="42" t="str">
        <f>IFERROR(__xludf.DUMMYFUNCTION("""COMPUTED_VALUE"""),"K/8/300925/1")</f>
        <v>K/8/300925/1</v>
      </c>
      <c r="C7866" s="42" t="str">
        <f>IFERROR(__xludf.DUMMYFUNCTION("""COMPUTED_VALUE"""),"M 5045/ RAJABASA JAYA")</f>
        <v>M 5045/ RAJABASA JAYA</v>
      </c>
      <c r="D7866" s="42" t="str">
        <f>IFERROR(__xludf.DUMMYFUNCTION("""COMPUTED_VALUE"""),"Berry")</f>
        <v>Berry</v>
      </c>
      <c r="E7866" s="42" t="str">
        <f>IFERROR(__xludf.DUMMYFUNCTION("""COMPUTED_VALUE"""),"DISERAHKAN")</f>
        <v>DISERAHKAN</v>
      </c>
      <c r="F7866" s="48">
        <f>IFERROR(__xludf.DUMMYFUNCTION("""COMPUTED_VALUE"""),45979.651332106485)</f>
        <v>45979.65133</v>
      </c>
      <c r="G7866" s="42" t="str">
        <f>IFERROR(__xludf.DUMMYFUNCTION("""COMPUTED_VALUE"""),"BN JUAL BELI")</f>
        <v>BN JUAL BELI</v>
      </c>
      <c r="H7866" s="42">
        <f t="shared" si="1"/>
        <v>3244</v>
      </c>
    </row>
    <row r="7867" ht="22.5" customHeight="1">
      <c r="B7867" s="42" t="str">
        <f>IFERROR(__xludf.DUMMYFUNCTION("""COMPUTED_VALUE"""),"K/9/300925/2")</f>
        <v>K/9/300925/2</v>
      </c>
      <c r="C7867" s="42" t="str">
        <f>IFERROR(__xludf.DUMMYFUNCTION("""COMPUTED_VALUE"""),"M 5149/ RAJABASA JAYA")</f>
        <v>M 5149/ RAJABASA JAYA</v>
      </c>
      <c r="D7867" s="42"/>
      <c r="E7867" s="42"/>
      <c r="F7867" s="48" t="str">
        <f>IFERROR(__xludf.DUMMYFUNCTION("""COMPUTED_VALUE"""),"")</f>
        <v/>
      </c>
      <c r="G7867" s="42" t="str">
        <f>IFERROR(__xludf.DUMMYFUNCTION("""COMPUTED_VALUE"""),"BN JUAL BELI")</f>
        <v>BN JUAL BELI</v>
      </c>
      <c r="H7867" s="42">
        <f t="shared" si="1"/>
        <v>3244</v>
      </c>
    </row>
    <row r="7868" ht="22.5" customHeight="1">
      <c r="B7868" s="42" t="str">
        <f>IFERROR(__xludf.DUMMYFUNCTION("""COMPUTED_VALUE"""),"K/10/300925/1")</f>
        <v>K/10/300925/1</v>
      </c>
      <c r="C7868" s="42" t="str">
        <f>IFERROR(__xludf.DUMMYFUNCTION("""COMPUTED_VALUE"""),"M. 18618/GSukarame Baru	")</f>
        <v>M. 18618/GSukarame Baru	</v>
      </c>
      <c r="D7868" s="42" t="str">
        <f>IFERROR(__xludf.DUMMYFUNCTION("""COMPUTED_VALUE"""),"Berry")</f>
        <v>Berry</v>
      </c>
      <c r="E7868" s="42" t="str">
        <f>IFERROR(__xludf.DUMMYFUNCTION("""COMPUTED_VALUE"""),"DISERAHKAN")</f>
        <v>DISERAHKAN</v>
      </c>
      <c r="F7868" s="48">
        <f>IFERROR(__xludf.DUMMYFUNCTION("""COMPUTED_VALUE"""),45975.4980324537)</f>
        <v>45975.49803</v>
      </c>
      <c r="G7868" s="42" t="str">
        <f>IFERROR(__xludf.DUMMYFUNCTION("""COMPUTED_VALUE"""),"BN Jual Beli	")</f>
        <v>BN Jual Beli	</v>
      </c>
      <c r="H7868" s="42">
        <f t="shared" si="1"/>
        <v>3245</v>
      </c>
    </row>
    <row r="7869" ht="22.5" customHeight="1">
      <c r="B7869" s="42" t="str">
        <f>IFERROR(__xludf.DUMMYFUNCTION("""COMPUTED_VALUE"""),"K/11/300925/3")</f>
        <v>K/11/300925/3</v>
      </c>
      <c r="C7869" s="42" t="str">
        <f>IFERROR(__xludf.DUMMYFUNCTION("""COMPUTED_VALUE"""),"M 5165/ RAJABASA JAYA")</f>
        <v>M 5165/ RAJABASA JAYA</v>
      </c>
      <c r="D7869" s="42"/>
      <c r="E7869" s="42"/>
      <c r="F7869" s="48" t="str">
        <f>IFERROR(__xludf.DUMMYFUNCTION("""COMPUTED_VALUE"""),"")</f>
        <v/>
      </c>
      <c r="G7869" s="42" t="str">
        <f>IFERROR(__xludf.DUMMYFUNCTION("""COMPUTED_VALUE"""),"BN JUAL BELI")</f>
        <v>BN JUAL BELI</v>
      </c>
      <c r="H7869" s="42">
        <f t="shared" si="1"/>
        <v>3245</v>
      </c>
    </row>
    <row r="7870" ht="22.5" customHeight="1">
      <c r="B7870" s="42" t="str">
        <f>IFERROR(__xludf.DUMMYFUNCTION("""COMPUTED_VALUE"""),"L/12/300925/1")</f>
        <v>L/12/300925/1</v>
      </c>
      <c r="C7870" s="42" t="str">
        <f>IFERROR(__xludf.DUMMYFUNCTION("""COMPUTED_VALUE"""),"M. 13178/RAJABASA")</f>
        <v>M. 13178/RAJABASA</v>
      </c>
      <c r="D7870" s="42" t="str">
        <f>IFERROR(__xludf.DUMMYFUNCTION("""COMPUTED_VALUE"""),"Berry")</f>
        <v>Berry</v>
      </c>
      <c r="E7870" s="42" t="str">
        <f>IFERROR(__xludf.DUMMYFUNCTION("""COMPUTED_VALUE"""),"DISERAHKAN")</f>
        <v>DISERAHKAN</v>
      </c>
      <c r="F7870" s="48">
        <f>IFERROR(__xludf.DUMMYFUNCTION("""COMPUTED_VALUE"""),45972.63031613426)</f>
        <v>45972.63032</v>
      </c>
      <c r="G7870" s="42" t="str">
        <f>IFERROR(__xludf.DUMMYFUNCTION("""COMPUTED_VALUE"""),"ROYA")</f>
        <v>ROYA</v>
      </c>
      <c r="H7870" s="42">
        <f t="shared" si="1"/>
        <v>3246</v>
      </c>
    </row>
    <row r="7871" ht="22.5" customHeight="1">
      <c r="B7871" s="42" t="str">
        <f>IFERROR(__xludf.DUMMYFUNCTION("""COMPUTED_VALUE"""),"L/13/300925/1")</f>
        <v>L/13/300925/1</v>
      </c>
      <c r="C7871" s="42" t="str">
        <f>IFERROR(__xludf.DUMMYFUNCTION("""COMPUTED_VALUE"""),"M. 2794/SUMBERREJO")</f>
        <v>M. 2794/SUMBERREJO</v>
      </c>
      <c r="D7871" s="42" t="str">
        <f>IFERROR(__xludf.DUMMYFUNCTION("""COMPUTED_VALUE"""),"Berry")</f>
        <v>Berry</v>
      </c>
      <c r="E7871" s="42" t="str">
        <f>IFERROR(__xludf.DUMMYFUNCTION("""COMPUTED_VALUE"""),"DISERAHKAN")</f>
        <v>DISERAHKAN</v>
      </c>
      <c r="F7871" s="48">
        <f>IFERROR(__xludf.DUMMYFUNCTION("""COMPUTED_VALUE"""),45965.4809403125)</f>
        <v>45965.48094</v>
      </c>
      <c r="G7871" s="42" t="str">
        <f>IFERROR(__xludf.DUMMYFUNCTION("""COMPUTED_VALUE"""),"PEMECAHAN")</f>
        <v>PEMECAHAN</v>
      </c>
      <c r="H7871" s="42">
        <f t="shared" si="1"/>
        <v>3247</v>
      </c>
    </row>
    <row r="7872" ht="22.5" customHeight="1">
      <c r="B7872" s="42" t="str">
        <f>IFERROR(__xludf.DUMMYFUNCTION("""COMPUTED_VALUE"""),"L/14/300925/2")</f>
        <v>L/14/300925/2</v>
      </c>
      <c r="C7872" s="42" t="str">
        <f>IFERROR(__xludf.DUMMYFUNCTION("""COMPUTED_VALUE"""),"M. 2793/SUMBERREJO")</f>
        <v>M. 2793/SUMBERREJO</v>
      </c>
      <c r="D7872" s="42"/>
      <c r="E7872" s="42"/>
      <c r="F7872" s="48" t="str">
        <f>IFERROR(__xludf.DUMMYFUNCTION("""COMPUTED_VALUE"""),"")</f>
        <v/>
      </c>
      <c r="G7872" s="42" t="str">
        <f>IFERROR(__xludf.DUMMYFUNCTION("""COMPUTED_VALUE"""),"PEMECAHAN")</f>
        <v>PEMECAHAN</v>
      </c>
      <c r="H7872" s="42">
        <f t="shared" si="1"/>
        <v>3247</v>
      </c>
    </row>
    <row r="7873" ht="22.5" customHeight="1">
      <c r="B7873" s="42" t="str">
        <f>IFERROR(__xludf.DUMMYFUNCTION("""COMPUTED_VALUE"""),"K/15/300925/1")</f>
        <v>K/15/300925/1</v>
      </c>
      <c r="C7873" s="42" t="str">
        <f>IFERROR(__xludf.DUMMYFUNCTION("""COMPUTED_VALUE"""),"M 1726/ KALIAWI")</f>
        <v>M 1726/ KALIAWI</v>
      </c>
      <c r="D7873" s="42"/>
      <c r="E7873" s="42"/>
      <c r="F7873" s="48" t="str">
        <f>IFERROR(__xludf.DUMMYFUNCTION("""COMPUTED_VALUE"""),"")</f>
        <v/>
      </c>
      <c r="G7873" s="42" t="str">
        <f>IFERROR(__xludf.DUMMYFUNCTION("""COMPUTED_VALUE"""),"BN JUAL BELI")</f>
        <v>BN JUAL BELI</v>
      </c>
      <c r="H7873" s="42">
        <f t="shared" si="1"/>
        <v>3247</v>
      </c>
    </row>
    <row r="7874" ht="22.5" customHeight="1">
      <c r="B7874" s="42" t="str">
        <f>IFERROR(__xludf.DUMMYFUNCTION("""COMPUTED_VALUE"""),"K/16/300925/1")</f>
        <v>K/16/300925/1</v>
      </c>
      <c r="C7874" s="42" t="str">
        <f>IFERROR(__xludf.DUMMYFUNCTION("""COMPUTED_VALUE"""),"M. 3571/Langkapura	")</f>
        <v>M. 3571/Langkapura	</v>
      </c>
      <c r="D7874" s="42" t="str">
        <f>IFERROR(__xludf.DUMMYFUNCTION("""COMPUTED_VALUE"""),"David")</f>
        <v>David</v>
      </c>
      <c r="E7874" s="42" t="str">
        <f>IFERROR(__xludf.DUMMYFUNCTION("""COMPUTED_VALUE"""),"DISERAHKAN")</f>
        <v>DISERAHKAN</v>
      </c>
      <c r="F7874" s="48">
        <f>IFERROR(__xludf.DUMMYFUNCTION("""COMPUTED_VALUE"""),45993.46079278935)</f>
        <v>45993.46079</v>
      </c>
      <c r="G7874" s="42" t="str">
        <f>IFERROR(__xludf.DUMMYFUNCTION("""COMPUTED_VALUE"""),"BN Jual Beli	")</f>
        <v>BN Jual Beli	</v>
      </c>
      <c r="H7874" s="42">
        <f t="shared" si="1"/>
        <v>3248</v>
      </c>
    </row>
    <row r="7875" ht="22.5" customHeight="1">
      <c r="B7875" s="42" t="str">
        <f>IFERROR(__xludf.DUMMYFUNCTION("""COMPUTED_VALUE"""),"K/17/300925/4")</f>
        <v>K/17/300925/4</v>
      </c>
      <c r="C7875" s="42" t="str">
        <f>IFERROR(__xludf.DUMMYFUNCTION("""COMPUTED_VALUE"""),"M 14047/ TANJUNG BARU")</f>
        <v>M 14047/ TANJUNG BARU</v>
      </c>
      <c r="D7875" s="42"/>
      <c r="E7875" s="42"/>
      <c r="F7875" s="48" t="str">
        <f>IFERROR(__xludf.DUMMYFUNCTION("""COMPUTED_VALUE"""),"")</f>
        <v/>
      </c>
      <c r="G7875" s="42" t="str">
        <f>IFERROR(__xludf.DUMMYFUNCTION("""COMPUTED_VALUE"""),"BN JUAL BELI")</f>
        <v>BN JUAL BELI</v>
      </c>
      <c r="H7875" s="42">
        <f t="shared" si="1"/>
        <v>3248</v>
      </c>
    </row>
    <row r="7876" ht="22.5" customHeight="1">
      <c r="B7876" s="42" t="str">
        <f>IFERROR(__xludf.DUMMYFUNCTION("""COMPUTED_VALUE"""),"K/18/300925/1")</f>
        <v>K/18/300925/1</v>
      </c>
      <c r="C7876" s="42" t="str">
        <f>IFERROR(__xludf.DUMMYFUNCTION("""COMPUTED_VALUE"""),"M. 10730/Sidodadi	")</f>
        <v>M. 10730/Sidodadi	</v>
      </c>
      <c r="D7876" s="42" t="str">
        <f>IFERROR(__xludf.DUMMYFUNCTION("""COMPUTED_VALUE"""),"David")</f>
        <v>David</v>
      </c>
      <c r="E7876" s="42" t="str">
        <f>IFERROR(__xludf.DUMMYFUNCTION("""COMPUTED_VALUE"""),"DISERAHKAN")</f>
        <v>DISERAHKAN</v>
      </c>
      <c r="F7876" s="48">
        <f>IFERROR(__xludf.DUMMYFUNCTION("""COMPUTED_VALUE"""),45945.62499597222)</f>
        <v>45945.625</v>
      </c>
      <c r="G7876" s="42" t="str">
        <f>IFERROR(__xludf.DUMMYFUNCTION("""COMPUTED_VALUE"""),"BN Jual Beli")</f>
        <v>BN Jual Beli</v>
      </c>
      <c r="H7876" s="42">
        <f t="shared" si="1"/>
        <v>3249</v>
      </c>
    </row>
    <row r="7877" ht="22.5" customHeight="1">
      <c r="B7877" s="42" t="str">
        <f>IFERROR(__xludf.DUMMYFUNCTION("""COMPUTED_VALUE"""),"K/38/230925/6")</f>
        <v>K/38/230925/6</v>
      </c>
      <c r="C7877" s="42" t="str">
        <f>IFERROR(__xludf.DUMMYFUNCTION("""COMPUTED_VALUE"""),"B. 653/TANJUNG BARU")</f>
        <v>B. 653/TANJUNG BARU</v>
      </c>
      <c r="D7877" s="42" t="str">
        <f>IFERROR(__xludf.DUMMYFUNCTION("""COMPUTED_VALUE"""),"Berry")</f>
        <v>Berry</v>
      </c>
      <c r="E7877" s="42" t="str">
        <f>IFERROR(__xludf.DUMMYFUNCTION("""COMPUTED_VALUE"""),"DISERAHKAN")</f>
        <v>DISERAHKAN</v>
      </c>
      <c r="F7877" s="48">
        <f>IFERROR(__xludf.DUMMYFUNCTION("""COMPUTED_VALUE"""),45975.49840931713)</f>
        <v>45975.49841</v>
      </c>
      <c r="G7877" s="42" t="str">
        <f>IFERROR(__xludf.DUMMYFUNCTION("""COMPUTED_VALUE"""),"PTPGT")</f>
        <v>PTPGT</v>
      </c>
      <c r="H7877" s="42">
        <f t="shared" si="1"/>
        <v>3250</v>
      </c>
    </row>
    <row r="7878" ht="22.5" customHeight="1">
      <c r="B7878" s="42" t="str">
        <f>IFERROR(__xludf.DUMMYFUNCTION("""COMPUTED_VALUE"""),"K/19/300925/1")</f>
        <v>K/19/300925/1</v>
      </c>
      <c r="C7878" s="42" t="str">
        <f>IFERROR(__xludf.DUMMYFUNCTION("""COMPUTED_VALUE"""),"M.2980/KUPANG TEBA")</f>
        <v>M.2980/KUPANG TEBA</v>
      </c>
      <c r="D7878" s="42"/>
      <c r="E7878" s="42"/>
      <c r="F7878" s="48" t="str">
        <f>IFERROR(__xludf.DUMMYFUNCTION("""COMPUTED_VALUE"""),"")</f>
        <v/>
      </c>
      <c r="G7878" s="42" t="str">
        <f>IFERROR(__xludf.DUMMYFUNCTION("""COMPUTED_VALUE"""),"HAPUS BPHTB")</f>
        <v>HAPUS BPHTB</v>
      </c>
      <c r="H7878" s="42">
        <f t="shared" si="1"/>
        <v>3250</v>
      </c>
    </row>
    <row r="7879" ht="22.5" customHeight="1">
      <c r="B7879" s="42" t="str">
        <f>IFERROR(__xludf.DUMMYFUNCTION("""COMPUTED_VALUE"""),"L/20/300925/1")</f>
        <v>L/20/300925/1</v>
      </c>
      <c r="C7879" s="42" t="str">
        <f>IFERROR(__xludf.DUMMYFUNCTION("""COMPUTED_VALUE"""),"M. 4111/CAMPANG RAYA")</f>
        <v>M. 4111/CAMPANG RAYA</v>
      </c>
      <c r="D7879" s="42"/>
      <c r="E7879" s="42"/>
      <c r="F7879" s="48" t="str">
        <f>IFERROR(__xludf.DUMMYFUNCTION("""COMPUTED_VALUE"""),"")</f>
        <v/>
      </c>
      <c r="G7879" s="42" t="str">
        <f>IFERROR(__xludf.DUMMYFUNCTION("""COMPUTED_VALUE"""),"ROYA")</f>
        <v>ROYA</v>
      </c>
      <c r="H7879" s="42">
        <f t="shared" si="1"/>
        <v>3250</v>
      </c>
    </row>
    <row r="7880" ht="22.5" customHeight="1">
      <c r="B7880" s="42" t="str">
        <f>IFERROR(__xludf.DUMMYFUNCTION("""COMPUTED_VALUE"""),"K/21/300925/1")</f>
        <v>K/21/300925/1</v>
      </c>
      <c r="C7880" s="42" t="str">
        <f>IFERROR(__xludf.DUMMYFUNCTION("""COMPUTED_VALUE"""),"M.2533/WAY KANDIS ")</f>
        <v>M.2533/WAY KANDIS </v>
      </c>
      <c r="D7880" s="42"/>
      <c r="E7880" s="42"/>
      <c r="F7880" s="48" t="str">
        <f>IFERROR(__xludf.DUMMYFUNCTION("""COMPUTED_VALUE"""),"")</f>
        <v/>
      </c>
      <c r="G7880" s="42" t="str">
        <f>IFERROR(__xludf.DUMMYFUNCTION("""COMPUTED_VALUE"""),"ROYA")</f>
        <v>ROYA</v>
      </c>
      <c r="H7880" s="42">
        <f t="shared" si="1"/>
        <v>3250</v>
      </c>
    </row>
    <row r="7881" ht="22.5" customHeight="1">
      <c r="B7881" s="42" t="str">
        <f>IFERROR(__xludf.DUMMYFUNCTION("""COMPUTED_VALUE"""),"K/22/300925/1")</f>
        <v>K/22/300925/1</v>
      </c>
      <c r="C7881" s="42" t="str">
        <f>IFERROR(__xludf.DUMMYFUNCTION("""COMPUTED_VALUE"""),"M. 267/Negeri Olok Gading	")</f>
        <v>M. 267/Negeri Olok Gading	</v>
      </c>
      <c r="D7881" s="42" t="str">
        <f>IFERROR(__xludf.DUMMYFUNCTION("""COMPUTED_VALUE"""),"Berry")</f>
        <v>Berry</v>
      </c>
      <c r="E7881" s="42" t="str">
        <f>IFERROR(__xludf.DUMMYFUNCTION("""COMPUTED_VALUE"""),"DISERAHKAN")</f>
        <v>DISERAHKAN</v>
      </c>
      <c r="F7881" s="48">
        <f>IFERROR(__xludf.DUMMYFUNCTION("""COMPUTED_VALUE"""),45965.48127524306)</f>
        <v>45965.48128</v>
      </c>
      <c r="G7881" s="42" t="str">
        <f>IFERROR(__xludf.DUMMYFUNCTION("""COMPUTED_VALUE"""),"BN Jual Beli	M. 267/Negeri Olok Gading	")</f>
        <v>BN Jual Beli	M. 267/Negeri Olok Gading	</v>
      </c>
      <c r="H7881" s="42">
        <f t="shared" si="1"/>
        <v>3251</v>
      </c>
    </row>
    <row r="7882" ht="22.5" customHeight="1">
      <c r="B7882" s="42" t="str">
        <f>IFERROR(__xludf.DUMMYFUNCTION("""COMPUTED_VALUE"""),"K/23/300925/2")</f>
        <v>K/23/300925/2</v>
      </c>
      <c r="C7882" s="42" t="str">
        <f>IFERROR(__xludf.DUMMYFUNCTION("""COMPUTED_VALUE"""),"M. 19682/Tanjung Senang	")</f>
        <v>M. 19682/Tanjung Senang	</v>
      </c>
      <c r="D7882" s="42"/>
      <c r="E7882" s="42"/>
      <c r="F7882" s="48" t="str">
        <f>IFERROR(__xludf.DUMMYFUNCTION("""COMPUTED_VALUE"""),"")</f>
        <v/>
      </c>
      <c r="G7882" s="42" t="str">
        <f>IFERROR(__xludf.DUMMYFUNCTION("""COMPUTED_VALUE"""),"BN Jual Beli	")</f>
        <v>BN Jual Beli	</v>
      </c>
      <c r="H7882" s="42">
        <f t="shared" si="1"/>
        <v>3251</v>
      </c>
    </row>
    <row r="7883" ht="22.5" customHeight="1">
      <c r="B7883" s="42" t="str">
        <f>IFERROR(__xludf.DUMMYFUNCTION("""COMPUTED_VALUE"""),"K/24/300925/1")</f>
        <v>K/24/300925/1</v>
      </c>
      <c r="C7883" s="42" t="str">
        <f>IFERROR(__xludf.DUMMYFUNCTION("""COMPUTED_VALUE"""),"Nibel 22650/Sumber Agung	")</f>
        <v>Nibel 22650/Sumber Agung	</v>
      </c>
      <c r="D7883" s="42"/>
      <c r="E7883" s="42"/>
      <c r="F7883" s="48" t="str">
        <f>IFERROR(__xludf.DUMMYFUNCTION("""COMPUTED_VALUE"""),"")</f>
        <v/>
      </c>
      <c r="G7883" s="42" t="str">
        <f>IFERROR(__xludf.DUMMYFUNCTION("""COMPUTED_VALUE"""),"BN Jual Beli	")</f>
        <v>BN Jual Beli	</v>
      </c>
      <c r="H7883" s="42">
        <f t="shared" si="1"/>
        <v>3251</v>
      </c>
    </row>
    <row r="7884" ht="22.5" customHeight="1">
      <c r="B7884" s="42" t="str">
        <f>IFERROR(__xludf.DUMMYFUNCTION("""COMPUTED_VALUE"""),"K/26/300925/1")</f>
        <v>K/26/300925/1</v>
      </c>
      <c r="C7884" s="42" t="str">
        <f>IFERROR(__xludf.DUMMYFUNCTION("""COMPUTED_VALUE"""),"B.326/PEMATANG WANGI")</f>
        <v>B.326/PEMATANG WANGI</v>
      </c>
      <c r="D7884" s="42"/>
      <c r="E7884" s="42"/>
      <c r="F7884" s="48" t="str">
        <f>IFERROR(__xludf.DUMMYFUNCTION("""COMPUTED_VALUE"""),"")</f>
        <v/>
      </c>
      <c r="G7884" s="42" t="str">
        <f>IFERROR(__xludf.DUMMYFUNCTION("""COMPUTED_VALUE"""),"PENINGKATAN HAK")</f>
        <v>PENINGKATAN HAK</v>
      </c>
      <c r="H7884" s="42">
        <f t="shared" si="1"/>
        <v>3251</v>
      </c>
    </row>
    <row r="7885" ht="22.5" customHeight="1">
      <c r="B7885" s="42" t="str">
        <f>IFERROR(__xludf.DUMMYFUNCTION("""COMPUTED_VALUE"""),"L/27/300925/1")</f>
        <v>L/27/300925/1</v>
      </c>
      <c r="C7885" s="42" t="str">
        <f>IFERROR(__xludf.DUMMYFUNCTION("""COMPUTED_VALUE"""),"SHGB 443/KALI BALAU KENCANA")</f>
        <v>SHGB 443/KALI BALAU KENCANA</v>
      </c>
      <c r="D7885" s="42"/>
      <c r="E7885" s="42"/>
      <c r="F7885" s="48" t="str">
        <f>IFERROR(__xludf.DUMMYFUNCTION("""COMPUTED_VALUE"""),"")</f>
        <v/>
      </c>
      <c r="G7885" s="42" t="str">
        <f>IFERROR(__xludf.DUMMYFUNCTION("""COMPUTED_VALUE"""),"PENINGKATAN HAK")</f>
        <v>PENINGKATAN HAK</v>
      </c>
      <c r="H7885" s="42">
        <f t="shared" si="1"/>
        <v>3251</v>
      </c>
    </row>
    <row r="7886" ht="22.5" customHeight="1">
      <c r="B7886" s="42" t="str">
        <f>IFERROR(__xludf.DUMMYFUNCTION("""COMPUTED_VALUE"""),"K/25/300925/2")</f>
        <v>K/25/300925/2</v>
      </c>
      <c r="C7886" s="42" t="str">
        <f>IFERROR(__xludf.DUMMYFUNCTION("""COMPUTED_VALUE"""),"M. 9225/Sukabumi	")</f>
        <v>M. 9225/Sukabumi	</v>
      </c>
      <c r="D7886" s="42" t="str">
        <f>IFERROR(__xludf.DUMMYFUNCTION("""COMPUTED_VALUE"""),"David")</f>
        <v>David</v>
      </c>
      <c r="E7886" s="42" t="str">
        <f>IFERROR(__xludf.DUMMYFUNCTION("""COMPUTED_VALUE"""),"DISERAHKAN")</f>
        <v>DISERAHKAN</v>
      </c>
      <c r="F7886" s="48">
        <f>IFERROR(__xludf.DUMMYFUNCTION("""COMPUTED_VALUE"""),45950.604570358795)</f>
        <v>45950.60457</v>
      </c>
      <c r="G7886" s="42" t="str">
        <f>IFERROR(__xludf.DUMMYFUNCTION("""COMPUTED_VALUE"""),"BN Jual Beli	")</f>
        <v>BN Jual Beli	</v>
      </c>
      <c r="H7886" s="42">
        <f t="shared" si="1"/>
        <v>3252</v>
      </c>
    </row>
    <row r="7887" ht="22.5" customHeight="1">
      <c r="B7887" s="42" t="str">
        <f>IFERROR(__xludf.DUMMYFUNCTION("""COMPUTED_VALUE"""),"K/28/300925/1")</f>
        <v>K/28/300925/1</v>
      </c>
      <c r="C7887" s="42" t="str">
        <f>IFERROR(__xludf.DUMMYFUNCTION("""COMPUTED_VALUE"""),"M. 2118/Labuhan Dalam	")</f>
        <v>M. 2118/Labuhan Dalam	</v>
      </c>
      <c r="D7887" s="42"/>
      <c r="E7887" s="42"/>
      <c r="F7887" s="48" t="str">
        <f>IFERROR(__xludf.DUMMYFUNCTION("""COMPUTED_VALUE"""),"")</f>
        <v/>
      </c>
      <c r="G7887" s="42" t="str">
        <f>IFERROR(__xludf.DUMMYFUNCTION("""COMPUTED_VALUE"""),"BN Jual Beli	")</f>
        <v>BN Jual Beli	</v>
      </c>
      <c r="H7887" s="42">
        <f t="shared" si="1"/>
        <v>3252</v>
      </c>
    </row>
    <row r="7888" ht="22.5" customHeight="1">
      <c r="B7888" s="42" t="str">
        <f>IFERROR(__xludf.DUMMYFUNCTION("""COMPUTED_VALUE"""),"K/29/300925/2")</f>
        <v>K/29/300925/2</v>
      </c>
      <c r="C7888" s="42" t="str">
        <f>IFERROR(__xludf.DUMMYFUNCTION("""COMPUTED_VALUE"""),"Nibel 23535/Rajabasa Raya	")</f>
        <v>Nibel 23535/Rajabasa Raya	</v>
      </c>
      <c r="D7888" s="42"/>
      <c r="E7888" s="42"/>
      <c r="F7888" s="48" t="str">
        <f>IFERROR(__xludf.DUMMYFUNCTION("""COMPUTED_VALUE"""),"")</f>
        <v/>
      </c>
      <c r="G7888" s="42" t="str">
        <f>IFERROR(__xludf.DUMMYFUNCTION("""COMPUTED_VALUE"""),"BN Jual Beli	")</f>
        <v>BN Jual Beli	</v>
      </c>
      <c r="H7888" s="42">
        <f t="shared" si="1"/>
        <v>3252</v>
      </c>
    </row>
    <row r="7889" ht="22.5" customHeight="1">
      <c r="B7889" s="42" t="str">
        <f>IFERROR(__xludf.DUMMYFUNCTION("""COMPUTED_VALUE"""),"K/30/300925/3")</f>
        <v>K/30/300925/3</v>
      </c>
      <c r="C7889" s="42" t="str">
        <f>IFERROR(__xludf.DUMMYFUNCTION("""COMPUTED_VALUE"""),"Nibel 22545/Labuhan Dalam	")</f>
        <v>Nibel 22545/Labuhan Dalam	</v>
      </c>
      <c r="D7889" s="42"/>
      <c r="E7889" s="42"/>
      <c r="F7889" s="48" t="str">
        <f>IFERROR(__xludf.DUMMYFUNCTION("""COMPUTED_VALUE"""),"")</f>
        <v/>
      </c>
      <c r="G7889" s="42" t="str">
        <f>IFERROR(__xludf.DUMMYFUNCTION("""COMPUTED_VALUE"""),"BN Jual Beli	")</f>
        <v>BN Jual Beli	</v>
      </c>
      <c r="H7889" s="42">
        <f t="shared" si="1"/>
        <v>3252</v>
      </c>
    </row>
    <row r="7890" ht="22.5" customHeight="1">
      <c r="B7890" s="42" t="str">
        <f>IFERROR(__xludf.DUMMYFUNCTION("""COMPUTED_VALUE"""),"K/31/300925/1")</f>
        <v>K/31/300925/1</v>
      </c>
      <c r="C7890" s="42" t="str">
        <f>IFERROR(__xludf.DUMMYFUNCTION("""COMPUTED_VALUE"""),"M.1155/KORPRI JAYA")</f>
        <v>M.1155/KORPRI JAYA</v>
      </c>
      <c r="D7890" s="42"/>
      <c r="E7890" s="42"/>
      <c r="F7890" s="48" t="str">
        <f>IFERROR(__xludf.DUMMYFUNCTION("""COMPUTED_VALUE"""),"")</f>
        <v/>
      </c>
      <c r="G7890" s="42" t="str">
        <f>IFERROR(__xludf.DUMMYFUNCTION("""COMPUTED_VALUE"""),"KEWARISAN ")</f>
        <v>KEWARISAN </v>
      </c>
      <c r="H7890" s="42">
        <f t="shared" si="1"/>
        <v>3252</v>
      </c>
    </row>
    <row r="7891" ht="22.5" customHeight="1">
      <c r="B7891" s="42" t="str">
        <f>IFERROR(__xludf.DUMMYFUNCTION("""COMPUTED_VALUE"""),"K/32/300925/1")</f>
        <v>K/32/300925/1</v>
      </c>
      <c r="C7891" s="42" t="str">
        <f>IFERROR(__xludf.DUMMYFUNCTION("""COMPUTED_VALUE"""),"Nibel 3070/Keteguhan	")</f>
        <v>Nibel 3070/Keteguhan	</v>
      </c>
      <c r="D7891" s="42" t="str">
        <f>IFERROR(__xludf.DUMMYFUNCTION("""COMPUTED_VALUE"""),"David")</f>
        <v>David</v>
      </c>
      <c r="E7891" s="42" t="str">
        <f>IFERROR(__xludf.DUMMYFUNCTION("""COMPUTED_VALUE"""),"DISERAHKAN")</f>
        <v>DISERAHKAN</v>
      </c>
      <c r="F7891" s="48">
        <f>IFERROR(__xludf.DUMMYFUNCTION("""COMPUTED_VALUE"""),45993.4615217824)</f>
        <v>45993.46152</v>
      </c>
      <c r="G7891" s="42" t="str">
        <f>IFERROR(__xludf.DUMMYFUNCTION("""COMPUTED_VALUE"""),"BN Jual Beli	")</f>
        <v>BN Jual Beli	</v>
      </c>
      <c r="H7891" s="42">
        <f t="shared" si="1"/>
        <v>3253</v>
      </c>
    </row>
    <row r="7892" ht="22.5" customHeight="1">
      <c r="B7892" s="42" t="str">
        <f>IFERROR(__xludf.DUMMYFUNCTION("""COMPUTED_VALUE"""),"L/1/011025/1")</f>
        <v>L/1/011025/1</v>
      </c>
      <c r="C7892" s="42" t="str">
        <f>IFERROR(__xludf.DUMMYFUNCTION("""COMPUTED_VALUE"""),"M 3000/SUKAMAJU")</f>
        <v>M 3000/SUKAMAJU</v>
      </c>
      <c r="D7892" s="42" t="str">
        <f>IFERROR(__xludf.DUMMYFUNCTION("""COMPUTED_VALUE"""),"David")</f>
        <v>David</v>
      </c>
      <c r="E7892" s="42" t="str">
        <f>IFERROR(__xludf.DUMMYFUNCTION("""COMPUTED_VALUE"""),"DISERAHKAN")</f>
        <v>DISERAHKAN</v>
      </c>
      <c r="F7892" s="48">
        <f>IFERROR(__xludf.DUMMYFUNCTION("""COMPUTED_VALUE"""),45957.48773490741)</f>
        <v>45957.48773</v>
      </c>
      <c r="G7892" s="42" t="str">
        <f>IFERROR(__xludf.DUMMYFUNCTION("""COMPUTED_VALUE"""),"HAPUS BPHTB")</f>
        <v>HAPUS BPHTB</v>
      </c>
      <c r="H7892" s="42">
        <f t="shared" si="1"/>
        <v>3254</v>
      </c>
    </row>
    <row r="7893" ht="22.5" customHeight="1">
      <c r="B7893" s="42" t="str">
        <f>IFERROR(__xludf.DUMMYFUNCTION("""COMPUTED_VALUE"""),"K/2/011025/1")</f>
        <v>K/2/011025/1</v>
      </c>
      <c r="C7893" s="42" t="str">
        <f>IFERROR(__xludf.DUMMYFUNCTION("""COMPUTED_VALUE"""),"M 2784/ WAY KANDIS")</f>
        <v>M 2784/ WAY KANDIS</v>
      </c>
      <c r="D7893" s="42" t="str">
        <f>IFERROR(__xludf.DUMMYFUNCTION("""COMPUTED_VALUE"""),"David")</f>
        <v>David</v>
      </c>
      <c r="E7893" s="42" t="str">
        <f>IFERROR(__xludf.DUMMYFUNCTION("""COMPUTED_VALUE"""),"DISERAHKAN")</f>
        <v>DISERAHKAN</v>
      </c>
      <c r="F7893" s="48">
        <f>IFERROR(__xludf.DUMMYFUNCTION("""COMPUTED_VALUE"""),45944.50349379629)</f>
        <v>45944.50349</v>
      </c>
      <c r="G7893" s="42" t="str">
        <f>IFERROR(__xludf.DUMMYFUNCTION("""COMPUTED_VALUE"""),"BN JUAL BELI")</f>
        <v>BN JUAL BELI</v>
      </c>
      <c r="H7893" s="42">
        <f t="shared" si="1"/>
        <v>3255</v>
      </c>
    </row>
    <row r="7894" ht="22.5" customHeight="1">
      <c r="B7894" s="42" t="str">
        <f>IFERROR(__xludf.DUMMYFUNCTION("""COMPUTED_VALUE"""),"K/3/011025/1")</f>
        <v>K/3/011025/1</v>
      </c>
      <c r="C7894" s="42" t="str">
        <f>IFERROR(__xludf.DUMMYFUNCTION("""COMPUTED_VALUE"""),"Nibel 21042/Pinang Jaya	")</f>
        <v>Nibel 21042/Pinang Jaya	</v>
      </c>
      <c r="D7894" s="42"/>
      <c r="E7894" s="42"/>
      <c r="F7894" s="48" t="str">
        <f>IFERROR(__xludf.DUMMYFUNCTION("""COMPUTED_VALUE"""),"")</f>
        <v/>
      </c>
      <c r="G7894" s="42" t="str">
        <f>IFERROR(__xludf.DUMMYFUNCTION("""COMPUTED_VALUE"""),"BN Jual Beli	")</f>
        <v>BN Jual Beli	</v>
      </c>
      <c r="H7894" s="42">
        <f t="shared" si="1"/>
        <v>3255</v>
      </c>
    </row>
    <row r="7895" ht="22.5" customHeight="1">
      <c r="B7895" s="42" t="str">
        <f>IFERROR(__xludf.DUMMYFUNCTION("""COMPUTED_VALUE"""),"K/4/011025/1")</f>
        <v>K/4/011025/1</v>
      </c>
      <c r="C7895" s="42" t="str">
        <f>IFERROR(__xludf.DUMMYFUNCTION("""COMPUTED_VALUE"""),"M 953/ PESAWAHAN")</f>
        <v>M 953/ PESAWAHAN</v>
      </c>
      <c r="D7895" s="42"/>
      <c r="E7895" s="42"/>
      <c r="F7895" s="48" t="str">
        <f>IFERROR(__xludf.DUMMYFUNCTION("""COMPUTED_VALUE"""),"")</f>
        <v/>
      </c>
      <c r="G7895" s="42" t="str">
        <f>IFERROR(__xludf.DUMMYFUNCTION("""COMPUTED_VALUE"""),"BN WARIS")</f>
        <v>BN WARIS</v>
      </c>
      <c r="H7895" s="42">
        <f t="shared" si="1"/>
        <v>3255</v>
      </c>
    </row>
    <row r="7896" ht="22.5" customHeight="1">
      <c r="B7896" s="42" t="str">
        <f>IFERROR(__xludf.DUMMYFUNCTION("""COMPUTED_VALUE"""),"K/5/011025/2")</f>
        <v>K/5/011025/2</v>
      </c>
      <c r="C7896" s="42" t="str">
        <f>IFERROR(__xludf.DUMMYFUNCTION("""COMPUTED_VALUE"""),"M 2461/ PANJANG UTARA")</f>
        <v>M 2461/ PANJANG UTARA</v>
      </c>
      <c r="D7896" s="42" t="str">
        <f>IFERROR(__xludf.DUMMYFUNCTION("""COMPUTED_VALUE"""),"Berry")</f>
        <v>Berry</v>
      </c>
      <c r="E7896" s="42" t="str">
        <f>IFERROR(__xludf.DUMMYFUNCTION("""COMPUTED_VALUE"""),"DISERAHKAN")</f>
        <v>DISERAHKAN</v>
      </c>
      <c r="F7896" s="48">
        <f>IFERROR(__xludf.DUMMYFUNCTION("""COMPUTED_VALUE"""),45966.64661005787)</f>
        <v>45966.64661</v>
      </c>
      <c r="G7896" s="42" t="str">
        <f>IFERROR(__xludf.DUMMYFUNCTION("""COMPUTED_VALUE"""),"BN WARIS")</f>
        <v>BN WARIS</v>
      </c>
      <c r="H7896" s="42">
        <f t="shared" si="1"/>
        <v>3256</v>
      </c>
    </row>
    <row r="7897" ht="22.5" customHeight="1">
      <c r="B7897" s="42" t="str">
        <f>IFERROR(__xludf.DUMMYFUNCTION("""COMPUTED_VALUE"""),"L/7/011025/1")</f>
        <v>L/7/011025/1</v>
      </c>
      <c r="C7897" s="42" t="str">
        <f>IFERROR(__xludf.DUMMYFUNCTION("""COMPUTED_VALUE"""),"M. 1065/GUNUNG AGUNG")</f>
        <v>M. 1065/GUNUNG AGUNG</v>
      </c>
      <c r="D7897" s="42" t="str">
        <f>IFERROR(__xludf.DUMMYFUNCTION("""COMPUTED_VALUE"""),"Berry")</f>
        <v>Berry</v>
      </c>
      <c r="E7897" s="42" t="str">
        <f>IFERROR(__xludf.DUMMYFUNCTION("""COMPUTED_VALUE"""),"DISERAHKAN")</f>
        <v>DISERAHKAN</v>
      </c>
      <c r="F7897" s="48">
        <f>IFERROR(__xludf.DUMMYFUNCTION("""COMPUTED_VALUE"""),45966.652353576384)</f>
        <v>45966.65235</v>
      </c>
      <c r="G7897" s="42" t="str">
        <f>IFERROR(__xludf.DUMMYFUNCTION("""COMPUTED_VALUE"""),"BN WARIS")</f>
        <v>BN WARIS</v>
      </c>
      <c r="H7897" s="42">
        <f t="shared" si="1"/>
        <v>3257</v>
      </c>
    </row>
    <row r="7898" ht="22.5" customHeight="1">
      <c r="B7898" s="42" t="str">
        <f>IFERROR(__xludf.DUMMYFUNCTION("""COMPUTED_VALUE"""),"K/8/011025/1")</f>
        <v>K/8/011025/1</v>
      </c>
      <c r="C7898" s="42" t="str">
        <f>IFERROR(__xludf.DUMMYFUNCTION("""COMPUTED_VALUE"""),"Nibel 22471/Labuhan Ratu Raya	")</f>
        <v>Nibel 22471/Labuhan Ratu Raya	</v>
      </c>
      <c r="D7898" s="42"/>
      <c r="E7898" s="42"/>
      <c r="F7898" s="48" t="str">
        <f>IFERROR(__xludf.DUMMYFUNCTION("""COMPUTED_VALUE"""),"")</f>
        <v/>
      </c>
      <c r="G7898" s="42" t="str">
        <f>IFERROR(__xludf.DUMMYFUNCTION("""COMPUTED_VALUE"""),"BN Jual Beli	")</f>
        <v>BN Jual Beli	</v>
      </c>
      <c r="H7898" s="42">
        <f t="shared" si="1"/>
        <v>3257</v>
      </c>
    </row>
    <row r="7899" ht="22.5" customHeight="1">
      <c r="B7899" s="42" t="str">
        <f>IFERROR(__xludf.DUMMYFUNCTION("""COMPUTED_VALUE"""),"L/9/011025/1")</f>
        <v>L/9/011025/1</v>
      </c>
      <c r="C7899" s="42" t="str">
        <f>IFERROR(__xludf.DUMMYFUNCTION("""COMPUTED_VALUE"""),"B. 1231/ SUKABUMI INDAH")</f>
        <v>B. 1231/ SUKABUMI INDAH</v>
      </c>
      <c r="D7899" s="42"/>
      <c r="E7899" s="42"/>
      <c r="F7899" s="48" t="str">
        <f>IFERROR(__xludf.DUMMYFUNCTION("""COMPUTED_VALUE"""),"")</f>
        <v/>
      </c>
      <c r="G7899" s="42" t="str">
        <f>IFERROR(__xludf.DUMMYFUNCTION("""COMPUTED_VALUE"""),"PENINGKATAN HAK")</f>
        <v>PENINGKATAN HAK</v>
      </c>
      <c r="H7899" s="42">
        <f t="shared" si="1"/>
        <v>3257</v>
      </c>
    </row>
    <row r="7900" ht="22.5" customHeight="1">
      <c r="B7900" s="42" t="str">
        <f>IFERROR(__xludf.DUMMYFUNCTION("""COMPUTED_VALUE"""),"K/10/011025/1")</f>
        <v>K/10/011025/1</v>
      </c>
      <c r="C7900" s="42" t="str">
        <f>IFERROR(__xludf.DUMMYFUNCTION("""COMPUTED_VALUE"""),"Nibel 20375/Way Kandis	")</f>
        <v>Nibel 20375/Way Kandis	</v>
      </c>
      <c r="D7900" s="42" t="str">
        <f>IFERROR(__xludf.DUMMYFUNCTION("""COMPUTED_VALUE"""),"David")</f>
        <v>David</v>
      </c>
      <c r="E7900" s="42" t="str">
        <f>IFERROR(__xludf.DUMMYFUNCTION("""COMPUTED_VALUE"""),"DISERAHKAN")</f>
        <v>DISERAHKAN</v>
      </c>
      <c r="F7900" s="48">
        <f>IFERROR(__xludf.DUMMYFUNCTION("""COMPUTED_VALUE"""),45944.48643521991)</f>
        <v>45944.48644</v>
      </c>
      <c r="G7900" s="42" t="str">
        <f>IFERROR(__xludf.DUMMYFUNCTION("""COMPUTED_VALUE"""),"BN Jual Beli	")</f>
        <v>BN Jual Beli	</v>
      </c>
      <c r="H7900" s="42">
        <f t="shared" si="1"/>
        <v>3258</v>
      </c>
    </row>
    <row r="7901" ht="22.5" customHeight="1">
      <c r="B7901" s="42" t="str">
        <f>IFERROR(__xludf.DUMMYFUNCTION("""COMPUTED_VALUE"""),"K/11/011026/1")</f>
        <v>K/11/011026/1</v>
      </c>
      <c r="C7901" s="42" t="str">
        <f>IFERROR(__xludf.DUMMYFUNCTION("""COMPUTED_VALUE"""),"M. 434/Korpri Raya")</f>
        <v>M. 434/Korpri Raya</v>
      </c>
      <c r="D7901" s="42"/>
      <c r="E7901" s="42"/>
      <c r="F7901" s="48" t="str">
        <f>IFERROR(__xludf.DUMMYFUNCTION("""COMPUTED_VALUE"""),"")</f>
        <v/>
      </c>
      <c r="G7901" s="42" t="str">
        <f>IFERROR(__xludf.DUMMYFUNCTION("""COMPUTED_VALUE"""),"BN Jual Beli		")</f>
        <v>BN Jual Beli		</v>
      </c>
      <c r="H7901" s="42">
        <f t="shared" si="1"/>
        <v>3258</v>
      </c>
    </row>
    <row r="7902" ht="22.5" customHeight="1">
      <c r="B7902" s="42" t="str">
        <f>IFERROR(__xludf.DUMMYFUNCTION("""COMPUTED_VALUE"""),"K/12/011027/2")</f>
        <v>K/12/011027/2</v>
      </c>
      <c r="C7902" s="42" t="str">
        <f>IFERROR(__xludf.DUMMYFUNCTION("""COMPUTED_VALUE"""),"M. 3142/Rajabasa Jaya	")</f>
        <v>M. 3142/Rajabasa Jaya	</v>
      </c>
      <c r="D7902" s="42"/>
      <c r="E7902" s="42"/>
      <c r="F7902" s="48" t="str">
        <f>IFERROR(__xludf.DUMMYFUNCTION("""COMPUTED_VALUE"""),"")</f>
        <v/>
      </c>
      <c r="G7902" s="42" t="str">
        <f>IFERROR(__xludf.DUMMYFUNCTION("""COMPUTED_VALUE"""),"BN Jual Beli	")</f>
        <v>BN Jual Beli	</v>
      </c>
      <c r="H7902" s="42">
        <f t="shared" si="1"/>
        <v>3258</v>
      </c>
    </row>
    <row r="7903" ht="22.5" customHeight="1">
      <c r="B7903" s="42" t="str">
        <f>IFERROR(__xludf.DUMMYFUNCTION("""COMPUTED_VALUE"""),"K/6/011025/1")</f>
        <v>K/6/011025/1</v>
      </c>
      <c r="C7903" s="42" t="str">
        <f>IFERROR(__xludf.DUMMYFUNCTION("""COMPUTED_VALUE"""),"SK NO. 72/HM/BPN.18.71/VIII/2025")</f>
        <v>SK NO. 72/HM/BPN.18.71/VIII/2025</v>
      </c>
      <c r="D7903" s="42"/>
      <c r="E7903" s="42"/>
      <c r="F7903" s="48" t="str">
        <f>IFERROR(__xludf.DUMMYFUNCTION("""COMPUTED_VALUE"""),"")</f>
        <v/>
      </c>
      <c r="G7903" s="42" t="str">
        <f>IFERROR(__xludf.DUMMYFUNCTION("""COMPUTED_VALUE"""),"PENDAFTARAN SK")</f>
        <v>PENDAFTARAN SK</v>
      </c>
      <c r="H7903" s="42">
        <f t="shared" si="1"/>
        <v>3258</v>
      </c>
    </row>
    <row r="7904" ht="22.5" customHeight="1">
      <c r="B7904" s="42" t="str">
        <f>IFERROR(__xludf.DUMMYFUNCTION("""COMPUTED_VALUE"""),"K/13/011027/1")</f>
        <v>K/13/011027/1</v>
      </c>
      <c r="C7904" s="42" t="str">
        <f>IFERROR(__xludf.DUMMYFUNCTION("""COMPUTED_VALUE"""),"M. 131/Bilabong Jaya	")</f>
        <v>M. 131/Bilabong Jaya	</v>
      </c>
      <c r="D7904" s="42"/>
      <c r="E7904" s="42"/>
      <c r="F7904" s="48" t="str">
        <f>IFERROR(__xludf.DUMMYFUNCTION("""COMPUTED_VALUE"""),"")</f>
        <v/>
      </c>
      <c r="G7904" s="42" t="str">
        <f>IFERROR(__xludf.DUMMYFUNCTION("""COMPUTED_VALUE"""),"BN Jual Beli	")</f>
        <v>BN Jual Beli	</v>
      </c>
      <c r="H7904" s="42">
        <f t="shared" si="1"/>
        <v>3258</v>
      </c>
    </row>
    <row r="7905" ht="22.5" customHeight="1">
      <c r="B7905" s="42" t="str">
        <f>IFERROR(__xludf.DUMMYFUNCTION("""COMPUTED_VALUE"""),"L/14/011027/1")</f>
        <v>L/14/011027/1</v>
      </c>
      <c r="C7905" s="42" t="str">
        <f>IFERROR(__xludf.DUMMYFUNCTION("""COMPUTED_VALUE"""),"SHM 1799/WAY KANDIS")</f>
        <v>SHM 1799/WAY KANDIS</v>
      </c>
      <c r="D7905" s="42" t="str">
        <f>IFERROR(__xludf.DUMMYFUNCTION("""COMPUTED_VALUE"""),"Berry")</f>
        <v>Berry</v>
      </c>
      <c r="E7905" s="42" t="str">
        <f>IFERROR(__xludf.DUMMYFUNCTION("""COMPUTED_VALUE"""),"DISERAHKAN")</f>
        <v>DISERAHKAN</v>
      </c>
      <c r="F7905" s="48">
        <f>IFERROR(__xludf.DUMMYFUNCTION("""COMPUTED_VALUE"""),45975.475076006944)</f>
        <v>45975.47508</v>
      </c>
      <c r="G7905" s="42" t="str">
        <f>IFERROR(__xludf.DUMMYFUNCTION("""COMPUTED_VALUE"""),"ROYA")</f>
        <v>ROYA</v>
      </c>
      <c r="H7905" s="42">
        <f t="shared" si="1"/>
        <v>3259</v>
      </c>
    </row>
    <row r="7906" ht="22.5" customHeight="1">
      <c r="B7906" s="42" t="str">
        <f>IFERROR(__xludf.DUMMYFUNCTION("""COMPUTED_VALUE"""),"K/15/011027/1")</f>
        <v>K/15/011027/1</v>
      </c>
      <c r="C7906" s="42" t="str">
        <f>IFERROR(__xludf.DUMMYFUNCTION("""COMPUTED_VALUE"""),"M. 10121/SUKARAME")</f>
        <v>M. 10121/SUKARAME</v>
      </c>
      <c r="D7906" s="42"/>
      <c r="E7906" s="42"/>
      <c r="F7906" s="48" t="str">
        <f>IFERROR(__xludf.DUMMYFUNCTION("""COMPUTED_VALUE"""),"")</f>
        <v/>
      </c>
      <c r="G7906" s="42" t="str">
        <f>IFERROR(__xludf.DUMMYFUNCTION("""COMPUTED_VALUE"""),"ROYA")</f>
        <v>ROYA</v>
      </c>
      <c r="H7906" s="42">
        <f t="shared" si="1"/>
        <v>3259</v>
      </c>
    </row>
    <row r="7907" ht="22.5" customHeight="1">
      <c r="B7907" s="42" t="str">
        <f>IFERROR(__xludf.DUMMYFUNCTION("""COMPUTED_VALUE"""),"K/16/011027/1")</f>
        <v>K/16/011027/1</v>
      </c>
      <c r="C7907" s="42" t="str">
        <f>IFERROR(__xludf.DUMMYFUNCTION("""COMPUTED_VALUE"""),"M. 133/WAY DADI BARU")</f>
        <v>M. 133/WAY DADI BARU</v>
      </c>
      <c r="D7907" s="42" t="str">
        <f>IFERROR(__xludf.DUMMYFUNCTION("""COMPUTED_VALUE"""),"Berry")</f>
        <v>Berry</v>
      </c>
      <c r="E7907" s="42" t="str">
        <f>IFERROR(__xludf.DUMMYFUNCTION("""COMPUTED_VALUE"""),"DISERAHKAN")</f>
        <v>DISERAHKAN</v>
      </c>
      <c r="F7907" s="48">
        <f>IFERROR(__xludf.DUMMYFUNCTION("""COMPUTED_VALUE"""),45979.63294361111)</f>
        <v>45979.63294</v>
      </c>
      <c r="G7907" s="42" t="str">
        <f>IFERROR(__xludf.DUMMYFUNCTION("""COMPUTED_VALUE"""),"BN JUAL BELI")</f>
        <v>BN JUAL BELI</v>
      </c>
      <c r="H7907" s="42">
        <f t="shared" si="1"/>
        <v>3260</v>
      </c>
    </row>
    <row r="7908" ht="22.5" customHeight="1">
      <c r="B7908" s="42" t="str">
        <f>IFERROR(__xludf.DUMMYFUNCTION("""COMPUTED_VALUE"""),"K/18/011027/1")</f>
        <v>K/18/011027/1</v>
      </c>
      <c r="C7908" s="42" t="str">
        <f>IFERROR(__xludf.DUMMYFUNCTION("""COMPUTED_VALUE"""),"NIBEL M 23220/ RAJABASA JAYA")</f>
        <v>NIBEL M 23220/ RAJABASA JAYA</v>
      </c>
      <c r="D7908" s="42"/>
      <c r="E7908" s="42"/>
      <c r="F7908" s="48" t="str">
        <f>IFERROR(__xludf.DUMMYFUNCTION("""COMPUTED_VALUE"""),"")</f>
        <v/>
      </c>
      <c r="G7908" s="42" t="str">
        <f>IFERROR(__xludf.DUMMYFUNCTION("""COMPUTED_VALUE"""),"BN JUAL BELI")</f>
        <v>BN JUAL BELI</v>
      </c>
      <c r="H7908" s="42">
        <f t="shared" si="1"/>
        <v>3260</v>
      </c>
    </row>
    <row r="7909" ht="22.5" customHeight="1">
      <c r="B7909" s="42" t="str">
        <f>IFERROR(__xludf.DUMMYFUNCTION("""COMPUTED_VALUE"""),"L/22/011027/1")</f>
        <v>L/22/011027/1</v>
      </c>
      <c r="C7909" s="42" t="str">
        <f>IFERROR(__xludf.DUMMYFUNCTION("""COMPUTED_VALUE"""),"M. 10564/KEDATON")</f>
        <v>M. 10564/KEDATON</v>
      </c>
      <c r="D7909" s="42"/>
      <c r="E7909" s="42"/>
      <c r="F7909" s="48" t="str">
        <f>IFERROR(__xludf.DUMMYFUNCTION("""COMPUTED_VALUE"""),"")</f>
        <v/>
      </c>
      <c r="G7909" s="42" t="str">
        <f>IFERROR(__xludf.DUMMYFUNCTION("""COMPUTED_VALUE"""),"ROYA")</f>
        <v>ROYA</v>
      </c>
      <c r="H7909" s="42">
        <f t="shared" si="1"/>
        <v>3260</v>
      </c>
    </row>
    <row r="7910" ht="22.5" customHeight="1">
      <c r="B7910" s="42" t="str">
        <f>IFERROR(__xludf.DUMMYFUNCTION("""COMPUTED_VALUE"""),"K/19/011027/2")</f>
        <v>K/19/011027/2</v>
      </c>
      <c r="C7910" s="42" t="str">
        <f>IFERROR(__xludf.DUMMYFUNCTION("""COMPUTED_VALUE"""),"B 5060/ SUKABUMI")</f>
        <v>B 5060/ SUKABUMI</v>
      </c>
      <c r="D7910" s="42" t="str">
        <f>IFERROR(__xludf.DUMMYFUNCTION("""COMPUTED_VALUE"""),"Berry")</f>
        <v>Berry</v>
      </c>
      <c r="E7910" s="42" t="str">
        <f>IFERROR(__xludf.DUMMYFUNCTION("""COMPUTED_VALUE"""),"DISERAHKAN")</f>
        <v>DISERAHKAN</v>
      </c>
      <c r="F7910" s="48">
        <f>IFERROR(__xludf.DUMMYFUNCTION("""COMPUTED_VALUE"""),45996.58962533565)</f>
        <v>45996.58963</v>
      </c>
      <c r="G7910" s="42" t="str">
        <f>IFERROR(__xludf.DUMMYFUNCTION("""COMPUTED_VALUE"""),"BN JUAL BELI")</f>
        <v>BN JUAL BELI</v>
      </c>
      <c r="H7910" s="42">
        <f t="shared" si="1"/>
        <v>3261</v>
      </c>
    </row>
    <row r="7911" ht="22.5" customHeight="1">
      <c r="B7911" s="42" t="str">
        <f>IFERROR(__xludf.DUMMYFUNCTION("""COMPUTED_VALUE"""),"K/20/011027/3")</f>
        <v>K/20/011027/3</v>
      </c>
      <c r="C7911" s="42" t="str">
        <f>IFERROR(__xludf.DUMMYFUNCTION("""COMPUTED_VALUE"""),"B 5057/ SUKABUMI")</f>
        <v>B 5057/ SUKABUMI</v>
      </c>
      <c r="D7911" s="42"/>
      <c r="E7911" s="42"/>
      <c r="F7911" s="48" t="str">
        <f>IFERROR(__xludf.DUMMYFUNCTION("""COMPUTED_VALUE"""),"")</f>
        <v/>
      </c>
      <c r="G7911" s="42" t="str">
        <f>IFERROR(__xludf.DUMMYFUNCTION("""COMPUTED_VALUE"""),"BN JUAL BELI")</f>
        <v>BN JUAL BELI</v>
      </c>
      <c r="H7911" s="42">
        <f t="shared" si="1"/>
        <v>3261</v>
      </c>
    </row>
    <row r="7912" ht="22.5" customHeight="1">
      <c r="B7912" s="42" t="str">
        <f>IFERROR(__xludf.DUMMYFUNCTION("""COMPUTED_VALUE"""),"K/21/011027/4")</f>
        <v>K/21/011027/4</v>
      </c>
      <c r="C7912" s="42" t="str">
        <f>IFERROR(__xludf.DUMMYFUNCTION("""COMPUTED_VALUE"""),"B 5053/ SUKABUMI")</f>
        <v>B 5053/ SUKABUMI</v>
      </c>
      <c r="D7912" s="42" t="str">
        <f>IFERROR(__xludf.DUMMYFUNCTION("""COMPUTED_VALUE"""),"Berry")</f>
        <v>Berry</v>
      </c>
      <c r="E7912" s="42" t="str">
        <f>IFERROR(__xludf.DUMMYFUNCTION("""COMPUTED_VALUE"""),"DISERAHKAN")</f>
        <v>DISERAHKAN</v>
      </c>
      <c r="F7912" s="48">
        <f>IFERROR(__xludf.DUMMYFUNCTION("""COMPUTED_VALUE"""),45988.639279375)</f>
        <v>45988.63928</v>
      </c>
      <c r="G7912" s="42" t="str">
        <f>IFERROR(__xludf.DUMMYFUNCTION("""COMPUTED_VALUE"""),"BN JUAL BELI")</f>
        <v>BN JUAL BELI</v>
      </c>
      <c r="H7912" s="42">
        <f t="shared" si="1"/>
        <v>3262</v>
      </c>
    </row>
    <row r="7913" ht="22.5" customHeight="1">
      <c r="B7913" s="42" t="str">
        <f>IFERROR(__xludf.DUMMYFUNCTION("""COMPUTED_VALUE"""),"K/21/011027/4")</f>
        <v>K/21/011027/4</v>
      </c>
      <c r="C7913" s="42" t="str">
        <f>IFERROR(__xludf.DUMMYFUNCTION("""COMPUTED_VALUE"""),"B 5053/ SUKABUMI")</f>
        <v>B 5053/ SUKABUMI</v>
      </c>
      <c r="D7913" s="42"/>
      <c r="E7913" s="42"/>
      <c r="F7913" s="48" t="str">
        <f>IFERROR(__xludf.DUMMYFUNCTION("""COMPUTED_VALUE"""),"")</f>
        <v/>
      </c>
      <c r="G7913" s="42" t="str">
        <f>IFERROR(__xludf.DUMMYFUNCTION("""COMPUTED_VALUE"""),"BN JUAL BELI")</f>
        <v>BN JUAL BELI</v>
      </c>
      <c r="H7913" s="42">
        <f t="shared" si="1"/>
        <v>3262</v>
      </c>
    </row>
    <row r="7914" ht="22.5" customHeight="1">
      <c r="B7914" s="42" t="str">
        <f>IFERROR(__xludf.DUMMYFUNCTION("""COMPUTED_VALUE"""),"K/17/011027/1")</f>
        <v>K/17/011027/1</v>
      </c>
      <c r="C7914" s="42" t="str">
        <f>IFERROR(__xludf.DUMMYFUNCTION("""COMPUTED_VALUE"""),"RAJABASA PEMUKA")</f>
        <v>RAJABASA PEMUKA</v>
      </c>
      <c r="D7914" s="42"/>
      <c r="E7914" s="42"/>
      <c r="F7914" s="48" t="str">
        <f>IFERROR(__xludf.DUMMYFUNCTION("""COMPUTED_VALUE"""),"")</f>
        <v/>
      </c>
      <c r="G7914" s="42" t="str">
        <f>IFERROR(__xludf.DUMMYFUNCTION("""COMPUTED_VALUE"""),"PENGUKURAN PERTAMA KALI ")</f>
        <v>PENGUKURAN PERTAMA KALI </v>
      </c>
      <c r="H7914" s="42">
        <f t="shared" si="1"/>
        <v>3262</v>
      </c>
    </row>
    <row r="7915" ht="22.5" customHeight="1">
      <c r="B7915" s="42" t="str">
        <f>IFERROR(__xludf.DUMMYFUNCTION("""COMPUTED_VALUE"""),"L/23/011027/1")</f>
        <v>L/23/011027/1</v>
      </c>
      <c r="C7915" s="42" t="str">
        <f>IFERROR(__xludf.DUMMYFUNCTION("""COMPUTED_VALUE"""),"M. 2188/CAMPANG RAYA")</f>
        <v>M. 2188/CAMPANG RAYA</v>
      </c>
      <c r="D7915" s="42"/>
      <c r="E7915" s="42"/>
      <c r="F7915" s="48" t="str">
        <f>IFERROR(__xludf.DUMMYFUNCTION("""COMPUTED_VALUE"""),"")</f>
        <v/>
      </c>
      <c r="G7915" s="42" t="str">
        <f>IFERROR(__xludf.DUMMYFUNCTION("""COMPUTED_VALUE"""),"ROYA")</f>
        <v>ROYA</v>
      </c>
      <c r="H7915" s="42">
        <f t="shared" si="1"/>
        <v>3262</v>
      </c>
    </row>
    <row r="7916" ht="22.5" customHeight="1">
      <c r="B7916" s="42" t="str">
        <f>IFERROR(__xludf.DUMMYFUNCTION("""COMPUTED_VALUE"""),"K/24/011025/1")</f>
        <v>K/24/011025/1</v>
      </c>
      <c r="C7916" s="42" t="str">
        <f>IFERROR(__xludf.DUMMYFUNCTION("""COMPUTED_VALUE"""),"M. 14811/Sukarame	")</f>
        <v>M. 14811/Sukarame	</v>
      </c>
      <c r="D7916" s="42" t="str">
        <f>IFERROR(__xludf.DUMMYFUNCTION("""COMPUTED_VALUE"""),"Berry")</f>
        <v>Berry</v>
      </c>
      <c r="E7916" s="42" t="str">
        <f>IFERROR(__xludf.DUMMYFUNCTION("""COMPUTED_VALUE"""),"DISERAHKAN")</f>
        <v>DISERAHKAN</v>
      </c>
      <c r="F7916" s="48">
        <f>IFERROR(__xludf.DUMMYFUNCTION("""COMPUTED_VALUE"""),45965.49402009259)</f>
        <v>45965.49402</v>
      </c>
      <c r="G7916" s="42" t="str">
        <f>IFERROR(__xludf.DUMMYFUNCTION("""COMPUTED_VALUE"""),"Roya	")</f>
        <v>Roya	</v>
      </c>
      <c r="H7916" s="42">
        <f t="shared" si="1"/>
        <v>3263</v>
      </c>
    </row>
    <row r="7917" ht="22.5" customHeight="1">
      <c r="B7917" s="42" t="str">
        <f>IFERROR(__xludf.DUMMYFUNCTION("""COMPUTED_VALUE"""),"L/25/011025/1")</f>
        <v>L/25/011025/1</v>
      </c>
      <c r="C7917" s="42" t="str">
        <f>IFERROR(__xludf.DUMMYFUNCTION("""COMPUTED_VALUE"""),"M. 1936/CAMPANG RAYA")</f>
        <v>M. 1936/CAMPANG RAYA</v>
      </c>
      <c r="D7917" s="42" t="str">
        <f>IFERROR(__xludf.DUMMYFUNCTION("""COMPUTED_VALUE"""),"David")</f>
        <v>David</v>
      </c>
      <c r="E7917" s="42" t="str">
        <f>IFERROR(__xludf.DUMMYFUNCTION("""COMPUTED_VALUE"""),"DISERAHKAN")</f>
        <v>DISERAHKAN</v>
      </c>
      <c r="F7917" s="48">
        <f>IFERROR(__xludf.DUMMYFUNCTION("""COMPUTED_VALUE"""),45981.669242442134)</f>
        <v>45981.66924</v>
      </c>
      <c r="G7917" s="42" t="str">
        <f>IFERROR(__xludf.DUMMYFUNCTION("""COMPUTED_VALUE"""),"ROYA")</f>
        <v>ROYA</v>
      </c>
      <c r="H7917" s="42">
        <f t="shared" si="1"/>
        <v>3264</v>
      </c>
    </row>
    <row r="7918" ht="22.5" customHeight="1">
      <c r="B7918" s="42" t="str">
        <f>IFERROR(__xludf.DUMMYFUNCTION("""COMPUTED_VALUE"""),"K/21/011027/4")</f>
        <v>K/21/011027/4</v>
      </c>
      <c r="C7918" s="42" t="str">
        <f>IFERROR(__xludf.DUMMYFUNCTION("""COMPUTED_VALUE"""),"NIBEL M 20990/ TANJUNG BARU")</f>
        <v>NIBEL M 20990/ TANJUNG BARU</v>
      </c>
      <c r="D7918" s="42" t="str">
        <f>IFERROR(__xludf.DUMMYFUNCTION("""COMPUTED_VALUE"""),"Berry")</f>
        <v>Berry</v>
      </c>
      <c r="E7918" s="42" t="str">
        <f>IFERROR(__xludf.DUMMYFUNCTION("""COMPUTED_VALUE"""),"DISERAHKAN")</f>
        <v>DISERAHKAN</v>
      </c>
      <c r="F7918" s="48">
        <f>IFERROR(__xludf.DUMMYFUNCTION("""COMPUTED_VALUE"""),45965.4942652662)</f>
        <v>45965.49427</v>
      </c>
      <c r="G7918" s="42" t="str">
        <f>IFERROR(__xludf.DUMMYFUNCTION("""COMPUTED_VALUE"""),"BN JUAL BELI")</f>
        <v>BN JUAL BELI</v>
      </c>
      <c r="H7918" s="42">
        <f t="shared" si="1"/>
        <v>3265</v>
      </c>
    </row>
    <row r="7919" ht="22.5" customHeight="1">
      <c r="B7919" s="42" t="str">
        <f>IFERROR(__xludf.DUMMYFUNCTION("""COMPUTED_VALUE"""),"K/26/011025/1")</f>
        <v>K/26/011025/1</v>
      </c>
      <c r="C7919" s="42" t="str">
        <f>IFERROR(__xludf.DUMMYFUNCTION("""COMPUTED_VALUE"""),"B 180/ SUMBERREJO SEJAHTERA")</f>
        <v>B 180/ SUMBERREJO SEJAHTERA</v>
      </c>
      <c r="D7919" s="42"/>
      <c r="E7919" s="42"/>
      <c r="F7919" s="48" t="str">
        <f>IFERROR(__xludf.DUMMYFUNCTION("""COMPUTED_VALUE"""),"")</f>
        <v/>
      </c>
      <c r="G7919" s="42" t="str">
        <f>IFERROR(__xludf.DUMMYFUNCTION("""COMPUTED_VALUE"""),"BN JUAL BELI")</f>
        <v>BN JUAL BELI</v>
      </c>
      <c r="H7919" s="42">
        <f t="shared" si="1"/>
        <v>3265</v>
      </c>
    </row>
    <row r="7920" ht="22.5" customHeight="1">
      <c r="B7920" s="42" t="str">
        <f>IFERROR(__xludf.DUMMYFUNCTION("""COMPUTED_VALUE"""),"K/27/011025/1")</f>
        <v>K/27/011025/1</v>
      </c>
      <c r="C7920" s="42" t="str">
        <f>IFERROR(__xludf.DUMMYFUNCTION("""COMPUTED_VALUE"""),"Nibel 23778/Rajabasa Raya")</f>
        <v>Nibel 23778/Rajabasa Raya</v>
      </c>
      <c r="D7920" s="42" t="str">
        <f>IFERROR(__xludf.DUMMYFUNCTION("""COMPUTED_VALUE"""),"Berry")</f>
        <v>Berry</v>
      </c>
      <c r="E7920" s="42" t="str">
        <f>IFERROR(__xludf.DUMMYFUNCTION("""COMPUTED_VALUE"""),"DISERAHKAN")</f>
        <v>DISERAHKAN</v>
      </c>
      <c r="F7920" s="48">
        <f>IFERROR(__xludf.DUMMYFUNCTION("""COMPUTED_VALUE"""),45988.641188842594)</f>
        <v>45988.64119</v>
      </c>
      <c r="G7920" s="42" t="str">
        <f>IFERROR(__xludf.DUMMYFUNCTION("""COMPUTED_VALUE"""),"BN Jual Beli		")</f>
        <v>BN Jual Beli		</v>
      </c>
      <c r="H7920" s="42">
        <f t="shared" si="1"/>
        <v>3266</v>
      </c>
    </row>
    <row r="7921" ht="22.5" customHeight="1">
      <c r="B7921" s="42" t="str">
        <f>IFERROR(__xludf.DUMMYFUNCTION("""COMPUTED_VALUE"""),"K/30/011025/1")</f>
        <v>K/30/011025/1</v>
      </c>
      <c r="C7921" s="42" t="str">
        <f>IFERROR(__xludf.DUMMYFUNCTION("""COMPUTED_VALUE"""),"M. 5628/Langkapura	")</f>
        <v>M. 5628/Langkapura	</v>
      </c>
      <c r="D7921" s="42"/>
      <c r="E7921" s="42"/>
      <c r="F7921" s="48" t="str">
        <f>IFERROR(__xludf.DUMMYFUNCTION("""COMPUTED_VALUE"""),"")</f>
        <v/>
      </c>
      <c r="G7921" s="42" t="str">
        <f>IFERROR(__xludf.DUMMYFUNCTION("""COMPUTED_VALUE"""),"BN Jual Beli	")</f>
        <v>BN Jual Beli	</v>
      </c>
      <c r="H7921" s="42">
        <f t="shared" si="1"/>
        <v>3266</v>
      </c>
    </row>
    <row r="7922" ht="22.5" customHeight="1">
      <c r="B7922" s="42" t="str">
        <f>IFERROR(__xludf.DUMMYFUNCTION("""COMPUTED_VALUE"""),"L/28/011025/1")</f>
        <v>L/28/011025/1</v>
      </c>
      <c r="C7922" s="42" t="str">
        <f>IFERROR(__xludf.DUMMYFUNCTION("""COMPUTED_VALUE"""),"SK NO 101/HM/BPN.18.71/IX/2025 KEL SUKADANAHAM")</f>
        <v>SK NO 101/HM/BPN.18.71/IX/2025 KEL SUKADANAHAM</v>
      </c>
      <c r="D7922" s="42"/>
      <c r="E7922" s="42"/>
      <c r="F7922" s="48" t="str">
        <f>IFERROR(__xludf.DUMMYFUNCTION("""COMPUTED_VALUE"""),"")</f>
        <v/>
      </c>
      <c r="G7922" s="42" t="str">
        <f>IFERROR(__xludf.DUMMYFUNCTION("""COMPUTED_VALUE"""),"PENDAFTARAN SK")</f>
        <v>PENDAFTARAN SK</v>
      </c>
      <c r="H7922" s="42">
        <f t="shared" si="1"/>
        <v>3266</v>
      </c>
    </row>
    <row r="7923" ht="22.5" customHeight="1">
      <c r="B7923" s="42" t="str">
        <f>IFERROR(__xludf.DUMMYFUNCTION("""COMPUTED_VALUE"""),"K/32/011025/1")</f>
        <v>K/32/011025/1</v>
      </c>
      <c r="C7923" s="42" t="str">
        <f>IFERROR(__xludf.DUMMYFUNCTION("""COMPUTED_VALUE"""),"NIBEL M 22725/ BUMI RAYA")</f>
        <v>NIBEL M 22725/ BUMI RAYA</v>
      </c>
      <c r="D7923" s="42"/>
      <c r="E7923" s="42"/>
      <c r="F7923" s="48" t="str">
        <f>IFERROR(__xludf.DUMMYFUNCTION("""COMPUTED_VALUE"""),"")</f>
        <v/>
      </c>
      <c r="G7923" s="42" t="str">
        <f>IFERROR(__xludf.DUMMYFUNCTION("""COMPUTED_VALUE"""),"BN HIBAH")</f>
        <v>BN HIBAH</v>
      </c>
      <c r="H7923" s="42">
        <f t="shared" si="1"/>
        <v>3266</v>
      </c>
    </row>
    <row r="7924" ht="22.5" customHeight="1">
      <c r="B7924" s="42" t="str">
        <f>IFERROR(__xludf.DUMMYFUNCTION("""COMPUTED_VALUE"""),"L/29/011025/1")</f>
        <v>L/29/011025/1</v>
      </c>
      <c r="C7924" s="42" t="str">
        <f>IFERROR(__xludf.DUMMYFUNCTION("""COMPUTED_VALUE"""),"SK NO 100/HM/BPN.18.71/IX/2025 KEL SUKADANAHAM")</f>
        <v>SK NO 100/HM/BPN.18.71/IX/2025 KEL SUKADANAHAM</v>
      </c>
      <c r="D7924" s="42"/>
      <c r="E7924" s="42"/>
      <c r="F7924" s="48" t="str">
        <f>IFERROR(__xludf.DUMMYFUNCTION("""COMPUTED_VALUE"""),"")</f>
        <v/>
      </c>
      <c r="G7924" s="42" t="str">
        <f>IFERROR(__xludf.DUMMYFUNCTION("""COMPUTED_VALUE"""),"PENDAFTARAN SK")</f>
        <v>PENDAFTARAN SK</v>
      </c>
      <c r="H7924" s="42">
        <f t="shared" si="1"/>
        <v>3266</v>
      </c>
    </row>
    <row r="7925" ht="22.5" customHeight="1">
      <c r="B7925" s="42" t="str">
        <f>IFERROR(__xludf.DUMMYFUNCTION("""COMPUTED_VALUE"""),"K/31/011025/1")</f>
        <v>K/31/011025/1</v>
      </c>
      <c r="C7925" s="42" t="str">
        <f>IFERROR(__xludf.DUMMYFUNCTION("""COMPUTED_VALUE"""),"M. 3041/KOTA KARANG")</f>
        <v>M. 3041/KOTA KARANG</v>
      </c>
      <c r="D7925" s="42"/>
      <c r="E7925" s="42"/>
      <c r="F7925" s="48" t="str">
        <f>IFERROR(__xludf.DUMMYFUNCTION("""COMPUTED_VALUE"""),"")</f>
        <v/>
      </c>
      <c r="G7925" s="42" t="str">
        <f>IFERROR(__xludf.DUMMYFUNCTION("""COMPUTED_VALUE"""),"BN WARIS")</f>
        <v>BN WARIS</v>
      </c>
      <c r="H7925" s="42">
        <f t="shared" si="1"/>
        <v>3266</v>
      </c>
    </row>
    <row r="7926" ht="22.5" customHeight="1">
      <c r="B7926" s="42" t="str">
        <f>IFERROR(__xludf.DUMMYFUNCTION("""COMPUTED_VALUE"""),"K/41/011025/1")</f>
        <v>K/41/011025/1</v>
      </c>
      <c r="C7926" s="42" t="str">
        <f>IFERROR(__xludf.DUMMYFUNCTION("""COMPUTED_VALUE"""),"M 1878/ LABUHAN DALAM")</f>
        <v>M 1878/ LABUHAN DALAM</v>
      </c>
      <c r="D7926" s="42"/>
      <c r="E7926" s="42"/>
      <c r="F7926" s="48" t="str">
        <f>IFERROR(__xludf.DUMMYFUNCTION("""COMPUTED_VALUE"""),"")</f>
        <v/>
      </c>
      <c r="G7926" s="42" t="str">
        <f>IFERROR(__xludf.DUMMYFUNCTION("""COMPUTED_VALUE"""),"BN LELANG")</f>
        <v>BN LELANG</v>
      </c>
      <c r="H7926" s="42">
        <f t="shared" si="1"/>
        <v>3266</v>
      </c>
    </row>
    <row r="7927" ht="22.5" customHeight="1">
      <c r="B7927" s="42" t="str">
        <f>IFERROR(__xludf.DUMMYFUNCTION("""COMPUTED_VALUE"""),"K/39/011025/1")</f>
        <v>K/39/011025/1</v>
      </c>
      <c r="C7927" s="42" t="str">
        <f>IFERROR(__xludf.DUMMYFUNCTION("""COMPUTED_VALUE"""),"M. 2228/Gedong Air")</f>
        <v>M. 2228/Gedong Air</v>
      </c>
      <c r="D7927" s="42"/>
      <c r="E7927" s="42"/>
      <c r="F7927" s="48" t="str">
        <f>IFERROR(__xludf.DUMMYFUNCTION("""COMPUTED_VALUE"""),"")</f>
        <v/>
      </c>
      <c r="G7927" s="42" t="str">
        <f>IFERROR(__xludf.DUMMYFUNCTION("""COMPUTED_VALUE"""),"BN Jual Beli		")</f>
        <v>BN Jual Beli		</v>
      </c>
      <c r="H7927" s="42">
        <f t="shared" si="1"/>
        <v>3266</v>
      </c>
    </row>
    <row r="7928" ht="22.5" customHeight="1">
      <c r="B7928" s="42" t="str">
        <f>IFERROR(__xludf.DUMMYFUNCTION("""COMPUTED_VALUE"""),"K/44/011025/1")</f>
        <v>K/44/011025/1</v>
      </c>
      <c r="C7928" s="42" t="str">
        <f>IFERROR(__xludf.DUMMYFUNCTION("""COMPUTED_VALUE"""),"M. 9066/KEDAMAIAN")</f>
        <v>M. 9066/KEDAMAIAN</v>
      </c>
      <c r="D7928" s="42" t="str">
        <f>IFERROR(__xludf.DUMMYFUNCTION("""COMPUTED_VALUE"""),"David")</f>
        <v>David</v>
      </c>
      <c r="E7928" s="42" t="str">
        <f>IFERROR(__xludf.DUMMYFUNCTION("""COMPUTED_VALUE"""),"DISERAHKAN")</f>
        <v>DISERAHKAN</v>
      </c>
      <c r="F7928" s="48">
        <f>IFERROR(__xludf.DUMMYFUNCTION("""COMPUTED_VALUE"""),45960.64509046296)</f>
        <v>45960.64509</v>
      </c>
      <c r="G7928" s="42" t="str">
        <f>IFERROR(__xludf.DUMMYFUNCTION("""COMPUTED_VALUE"""),"PTPGT")</f>
        <v>PTPGT</v>
      </c>
      <c r="H7928" s="42">
        <f t="shared" si="1"/>
        <v>3267</v>
      </c>
    </row>
    <row r="7929" ht="22.5" customHeight="1">
      <c r="B7929" s="42" t="str">
        <f>IFERROR(__xludf.DUMMYFUNCTION("""COMPUTED_VALUE"""),"K/40/011025/1")</f>
        <v>K/40/011025/1</v>
      </c>
      <c r="C7929" s="42" t="str">
        <f>IFERROR(__xludf.DUMMYFUNCTION("""COMPUTED_VALUE"""),"Nibel 802/Perumas Way Kandis	")</f>
        <v>Nibel 802/Perumas Way Kandis	</v>
      </c>
      <c r="D7929" s="42"/>
      <c r="E7929" s="42"/>
      <c r="F7929" s="48" t="str">
        <f>IFERROR(__xludf.DUMMYFUNCTION("""COMPUTED_VALUE"""),"")</f>
        <v/>
      </c>
      <c r="G7929" s="42" t="str">
        <f>IFERROR(__xludf.DUMMYFUNCTION("""COMPUTED_VALUE"""),"BN Jual Beli	")</f>
        <v>BN Jual Beli	</v>
      </c>
      <c r="H7929" s="42">
        <f t="shared" si="1"/>
        <v>3267</v>
      </c>
    </row>
    <row r="7930" ht="22.5" customHeight="1">
      <c r="B7930" s="42" t="str">
        <f>IFERROR(__xludf.DUMMYFUNCTION("""COMPUTED_VALUE"""),"K/ 37/011025/5")</f>
        <v>K/ 37/011025/5</v>
      </c>
      <c r="C7930" s="42" t="str">
        <f>IFERROR(__xludf.DUMMYFUNCTION("""COMPUTED_VALUE"""),"M 3274/ KOTA KARANG")</f>
        <v>M 3274/ KOTA KARANG</v>
      </c>
      <c r="D7930" s="42"/>
      <c r="E7930" s="42"/>
      <c r="F7930" s="48" t="str">
        <f>IFERROR(__xludf.DUMMYFUNCTION("""COMPUTED_VALUE"""),"")</f>
        <v/>
      </c>
      <c r="G7930" s="42" t="str">
        <f>IFERROR(__xludf.DUMMYFUNCTION("""COMPUTED_VALUE"""),"BN JUAL BELI")</f>
        <v>BN JUAL BELI</v>
      </c>
      <c r="H7930" s="42">
        <f t="shared" si="1"/>
        <v>3267</v>
      </c>
    </row>
    <row r="7931" ht="22.5" customHeight="1">
      <c r="B7931" s="42" t="str">
        <f>IFERROR(__xludf.DUMMYFUNCTION("""COMPUTED_VALUE"""),"K/36/011025/4")</f>
        <v>K/36/011025/4</v>
      </c>
      <c r="C7931" s="42" t="str">
        <f>IFERROR(__xludf.DUMMYFUNCTION("""COMPUTED_VALUE"""),"M 7/ BUMI KEDAMAIAN")</f>
        <v>M 7/ BUMI KEDAMAIAN</v>
      </c>
      <c r="D7931" s="42" t="str">
        <f>IFERROR(__xludf.DUMMYFUNCTION("""COMPUTED_VALUE"""),"David")</f>
        <v>David</v>
      </c>
      <c r="E7931" s="42" t="str">
        <f>IFERROR(__xludf.DUMMYFUNCTION("""COMPUTED_VALUE"""),"DISERAHKAN")</f>
        <v>DISERAHKAN</v>
      </c>
      <c r="F7931" s="48">
        <f>IFERROR(__xludf.DUMMYFUNCTION("""COMPUTED_VALUE"""),45993.5867221875)</f>
        <v>45993.58672</v>
      </c>
      <c r="G7931" s="42" t="str">
        <f>IFERROR(__xludf.DUMMYFUNCTION("""COMPUTED_VALUE"""),"BN JUAL BELI")</f>
        <v>BN JUAL BELI</v>
      </c>
      <c r="H7931" s="42">
        <f t="shared" si="1"/>
        <v>3268</v>
      </c>
    </row>
    <row r="7932" ht="22.5" customHeight="1">
      <c r="B7932" s="42" t="str">
        <f>IFERROR(__xludf.DUMMYFUNCTION("""COMPUTED_VALUE"""),"K/35/011025/3")</f>
        <v>K/35/011025/3</v>
      </c>
      <c r="C7932" s="42" t="str">
        <f>IFERROR(__xludf.DUMMYFUNCTION("""COMPUTED_VALUE"""),"M 19340/ SUKARAME")</f>
        <v>M 19340/ SUKARAME</v>
      </c>
      <c r="D7932" s="42" t="str">
        <f>IFERROR(__xludf.DUMMYFUNCTION("""COMPUTED_VALUE"""),"David")</f>
        <v>David</v>
      </c>
      <c r="E7932" s="42" t="str">
        <f>IFERROR(__xludf.DUMMYFUNCTION("""COMPUTED_VALUE"""),"DISERAHKAN")</f>
        <v>DISERAHKAN</v>
      </c>
      <c r="F7932" s="48">
        <f>IFERROR(__xludf.DUMMYFUNCTION("""COMPUTED_VALUE"""),45993.459038229164)</f>
        <v>45993.45904</v>
      </c>
      <c r="G7932" s="42" t="str">
        <f>IFERROR(__xludf.DUMMYFUNCTION("""COMPUTED_VALUE"""),"BN JUAL BELI")</f>
        <v>BN JUAL BELI</v>
      </c>
      <c r="H7932" s="42">
        <f t="shared" si="1"/>
        <v>3269</v>
      </c>
    </row>
    <row r="7933" ht="22.5" customHeight="1">
      <c r="B7933" s="42" t="str">
        <f>IFERROR(__xludf.DUMMYFUNCTION("""COMPUTED_VALUE"""),"K/34/011025/2")</f>
        <v>K/34/011025/2</v>
      </c>
      <c r="C7933" s="42" t="str">
        <f>IFERROR(__xludf.DUMMYFUNCTION("""COMPUTED_VALUE"""),"NIBEL M 21873/ GUNUNG TERANG")</f>
        <v>NIBEL M 21873/ GUNUNG TERANG</v>
      </c>
      <c r="D7933" s="42"/>
      <c r="E7933" s="42"/>
      <c r="F7933" s="48" t="str">
        <f>IFERROR(__xludf.DUMMYFUNCTION("""COMPUTED_VALUE"""),"")</f>
        <v/>
      </c>
      <c r="G7933" s="42" t="str">
        <f>IFERROR(__xludf.DUMMYFUNCTION("""COMPUTED_VALUE"""),"BN JUAL BELI")</f>
        <v>BN JUAL BELI</v>
      </c>
      <c r="H7933" s="42">
        <f t="shared" si="1"/>
        <v>3269</v>
      </c>
    </row>
    <row r="7934" ht="22.5" customHeight="1">
      <c r="B7934" s="42" t="str">
        <f>IFERROR(__xludf.DUMMYFUNCTION("""COMPUTED_VALUE"""),"K/33/011025/1")</f>
        <v>K/33/011025/1</v>
      </c>
      <c r="C7934" s="42" t="str">
        <f>IFERROR(__xludf.DUMMYFUNCTION("""COMPUTED_VALUE"""),"M 19387/ SUKARAME")</f>
        <v>M 19387/ SUKARAME</v>
      </c>
      <c r="D7934" s="42"/>
      <c r="E7934" s="42"/>
      <c r="F7934" s="48" t="str">
        <f>IFERROR(__xludf.DUMMYFUNCTION("""COMPUTED_VALUE"""),"")</f>
        <v/>
      </c>
      <c r="G7934" s="42" t="str">
        <f>IFERROR(__xludf.DUMMYFUNCTION("""COMPUTED_VALUE"""),"BN JUAL BELI")</f>
        <v>BN JUAL BELI</v>
      </c>
      <c r="H7934" s="42">
        <f t="shared" si="1"/>
        <v>3269</v>
      </c>
    </row>
    <row r="7935" ht="22.5" customHeight="1">
      <c r="B7935" s="42" t="str">
        <f>IFERROR(__xludf.DUMMYFUNCTION("""COMPUTED_VALUE"""),"K/1/021025/1")</f>
        <v>K/1/021025/1</v>
      </c>
      <c r="C7935" s="42" t="str">
        <f>IFERROR(__xludf.DUMMYFUNCTION("""COMPUTED_VALUE"""),"M. 02/Way Kandis")</f>
        <v>M. 02/Way Kandis</v>
      </c>
      <c r="D7935" s="42" t="str">
        <f>IFERROR(__xludf.DUMMYFUNCTION("""COMPUTED_VALUE"""),"Berry")</f>
        <v>Berry</v>
      </c>
      <c r="E7935" s="42" t="str">
        <f>IFERROR(__xludf.DUMMYFUNCTION("""COMPUTED_VALUE"""),"DISERAHKAN")</f>
        <v>DISERAHKAN</v>
      </c>
      <c r="F7935" s="48">
        <f>IFERROR(__xludf.DUMMYFUNCTION("""COMPUTED_VALUE"""),45988.63984533565)</f>
        <v>45988.63985</v>
      </c>
      <c r="G7935" s="42" t="str">
        <f>IFERROR(__xludf.DUMMYFUNCTION("""COMPUTED_VALUE"""),"BN Jual Beli		")</f>
        <v>BN Jual Beli		</v>
      </c>
      <c r="H7935" s="42">
        <f t="shared" si="1"/>
        <v>3270</v>
      </c>
    </row>
    <row r="7936" ht="22.5" customHeight="1">
      <c r="B7936" s="42" t="str">
        <f>IFERROR(__xludf.DUMMYFUNCTION("""COMPUTED_VALUE"""),"L/2/021025/1")</f>
        <v>L/2/021025/1</v>
      </c>
      <c r="C7936" s="42" t="str">
        <f>IFERROR(__xludf.DUMMYFUNCTION("""COMPUTED_VALUE"""),"M. 265/DURIAN PAYUNG")</f>
        <v>M. 265/DURIAN PAYUNG</v>
      </c>
      <c r="D7936" s="42" t="str">
        <f>IFERROR(__xludf.DUMMYFUNCTION("""COMPUTED_VALUE"""),"Berry")</f>
        <v>Berry</v>
      </c>
      <c r="E7936" s="42" t="str">
        <f>IFERROR(__xludf.DUMMYFUNCTION("""COMPUTED_VALUE"""),"DISERAHKAN")</f>
        <v>DISERAHKAN</v>
      </c>
      <c r="F7936" s="48">
        <f>IFERROR(__xludf.DUMMYFUNCTION("""COMPUTED_VALUE"""),45979.65078993056)</f>
        <v>45979.65079</v>
      </c>
      <c r="G7936" s="42" t="str">
        <f>IFERROR(__xludf.DUMMYFUNCTION("""COMPUTED_VALUE"""),"BN WARIS")</f>
        <v>BN WARIS</v>
      </c>
      <c r="H7936" s="42">
        <f t="shared" si="1"/>
        <v>3271</v>
      </c>
    </row>
    <row r="7937" ht="22.5" customHeight="1">
      <c r="B7937" s="42" t="str">
        <f>IFERROR(__xludf.DUMMYFUNCTION("""COMPUTED_VALUE"""),"K/3/021025/1")</f>
        <v>K/3/021025/1</v>
      </c>
      <c r="C7937" s="42" t="str">
        <f>IFERROR(__xludf.DUMMYFUNCTION("""COMPUTED_VALUE"""),"M. 3150/Labuhan Dalam	")</f>
        <v>M. 3150/Labuhan Dalam	</v>
      </c>
      <c r="D7937" s="42"/>
      <c r="E7937" s="42"/>
      <c r="F7937" s="48" t="str">
        <f>IFERROR(__xludf.DUMMYFUNCTION("""COMPUTED_VALUE"""),"")</f>
        <v/>
      </c>
      <c r="G7937" s="42" t="str">
        <f>IFERROR(__xludf.DUMMYFUNCTION("""COMPUTED_VALUE"""),"PTPGT	")</f>
        <v>PTPGT	</v>
      </c>
      <c r="H7937" s="42">
        <f t="shared" si="1"/>
        <v>3271</v>
      </c>
    </row>
    <row r="7938" ht="22.5" customHeight="1">
      <c r="B7938" s="42" t="str">
        <f>IFERROR(__xludf.DUMMYFUNCTION("""COMPUTED_VALUE"""),"L/4/021025/1")</f>
        <v>L/4/021025/1</v>
      </c>
      <c r="C7938" s="42" t="str">
        <f>IFERROR(__xludf.DUMMYFUNCTION("""COMPUTED_VALUE"""),"LUAS 446.50 M2 KEL. LABUHAN DALAM")</f>
        <v>LUAS 446.50 M2 KEL. LABUHAN DALAM</v>
      </c>
      <c r="D7938" s="42"/>
      <c r="E7938" s="42"/>
      <c r="F7938" s="48" t="str">
        <f>IFERROR(__xludf.DUMMYFUNCTION("""COMPUTED_VALUE"""),"")</f>
        <v/>
      </c>
      <c r="G7938" s="42" t="str">
        <f>IFERROR(__xludf.DUMMYFUNCTION("""COMPUTED_VALUE"""),"PENGUKURAN PERTAMA KALI")</f>
        <v>PENGUKURAN PERTAMA KALI</v>
      </c>
      <c r="H7938" s="42">
        <f t="shared" si="1"/>
        <v>3271</v>
      </c>
    </row>
    <row r="7939" ht="22.5" customHeight="1">
      <c r="B7939" s="42" t="str">
        <f>IFERROR(__xludf.DUMMYFUNCTION("""COMPUTED_VALUE"""),"K/5/021025/1")</f>
        <v>K/5/021025/1</v>
      </c>
      <c r="C7939" s="42" t="str">
        <f>IFERROR(__xludf.DUMMYFUNCTION("""COMPUTED_VALUE"""),"M. 1495/Tanjung Karang	")</f>
        <v>M. 1495/Tanjung Karang	</v>
      </c>
      <c r="D7939" s="42"/>
      <c r="E7939" s="42"/>
      <c r="F7939" s="48" t="str">
        <f>IFERROR(__xludf.DUMMYFUNCTION("""COMPUTED_VALUE"""),"")</f>
        <v/>
      </c>
      <c r="G7939" s="42" t="str">
        <f>IFERROR(__xludf.DUMMYFUNCTION("""COMPUTED_VALUE"""),"BN Jual Beli	")</f>
        <v>BN Jual Beli	</v>
      </c>
      <c r="H7939" s="42">
        <f t="shared" si="1"/>
        <v>3271</v>
      </c>
    </row>
    <row r="7940" ht="22.5" customHeight="1">
      <c r="B7940" s="42" t="str">
        <f>IFERROR(__xludf.DUMMYFUNCTION("""COMPUTED_VALUE"""),"L/9/021025/1")</f>
        <v>L/9/021025/1</v>
      </c>
      <c r="C7940" s="42" t="str">
        <f>IFERROR(__xludf.DUMMYFUNCTION("""COMPUTED_VALUE"""),"B. 921/SUKARAME BARU")</f>
        <v>B. 921/SUKARAME BARU</v>
      </c>
      <c r="D7940" s="42"/>
      <c r="E7940" s="42"/>
      <c r="F7940" s="48" t="str">
        <f>IFERROR(__xludf.DUMMYFUNCTION("""COMPUTED_VALUE"""),"")</f>
        <v/>
      </c>
      <c r="G7940" s="42" t="str">
        <f>IFERROR(__xludf.DUMMYFUNCTION("""COMPUTED_VALUE"""),"PENINGKATAN HAK")</f>
        <v>PENINGKATAN HAK</v>
      </c>
      <c r="H7940" s="42">
        <f t="shared" si="1"/>
        <v>3271</v>
      </c>
    </row>
    <row r="7941" ht="22.5" customHeight="1">
      <c r="B7941" s="42" t="str">
        <f>IFERROR(__xludf.DUMMYFUNCTION("""COMPUTED_VALUE"""),"K/6/021025/1	")</f>
        <v>K/6/021025/1	</v>
      </c>
      <c r="C7941" s="42" t="str">
        <f>IFERROR(__xludf.DUMMYFUNCTION("""COMPUTED_VALUE"""),"B. 1145/Keteguhan	")</f>
        <v>B. 1145/Keteguhan	</v>
      </c>
      <c r="D7941" s="42"/>
      <c r="E7941" s="42"/>
      <c r="F7941" s="48" t="str">
        <f>IFERROR(__xludf.DUMMYFUNCTION("""COMPUTED_VALUE"""),"")</f>
        <v/>
      </c>
      <c r="G7941" s="42" t="str">
        <f>IFERROR(__xludf.DUMMYFUNCTION("""COMPUTED_VALUE"""),"BN Jual Beli	")</f>
        <v>BN Jual Beli	</v>
      </c>
      <c r="H7941" s="42">
        <f t="shared" si="1"/>
        <v>3271</v>
      </c>
    </row>
    <row r="7942" ht="22.5" customHeight="1">
      <c r="B7942" s="42" t="str">
        <f>IFERROR(__xludf.DUMMYFUNCTION("""COMPUTED_VALUE"""),"K/7/021025/1	")</f>
        <v>K/7/021025/1	</v>
      </c>
      <c r="C7942" s="42" t="str">
        <f>IFERROR(__xludf.DUMMYFUNCTION("""COMPUTED_VALUE"""),"M. 399/Palapa	")</f>
        <v>M. 399/Palapa	</v>
      </c>
      <c r="D7942" s="42"/>
      <c r="E7942" s="42"/>
      <c r="F7942" s="48" t="str">
        <f>IFERROR(__xludf.DUMMYFUNCTION("""COMPUTED_VALUE"""),"")</f>
        <v/>
      </c>
      <c r="G7942" s="42" t="str">
        <f>IFERROR(__xludf.DUMMYFUNCTION("""COMPUTED_VALUE"""),"BN Jual Beli	")</f>
        <v>BN Jual Beli	</v>
      </c>
      <c r="H7942" s="42">
        <f t="shared" si="1"/>
        <v>3271</v>
      </c>
    </row>
    <row r="7943" ht="22.5" customHeight="1">
      <c r="B7943" s="42" t="str">
        <f>IFERROR(__xludf.DUMMYFUNCTION("""COMPUTED_VALUE"""),"K/8/021025/2	")</f>
        <v>K/8/021025/2	</v>
      </c>
      <c r="C7943" s="42" t="str">
        <f>IFERROR(__xludf.DUMMYFUNCTION("""COMPUTED_VALUE"""),"M. 10021/Sukabumi	")</f>
        <v>M. 10021/Sukabumi	</v>
      </c>
      <c r="D7943" s="42"/>
      <c r="E7943" s="42"/>
      <c r="F7943" s="48" t="str">
        <f>IFERROR(__xludf.DUMMYFUNCTION("""COMPUTED_VALUE"""),"")</f>
        <v/>
      </c>
      <c r="G7943" s="42" t="str">
        <f>IFERROR(__xludf.DUMMYFUNCTION("""COMPUTED_VALUE"""),"BN Jual Beli	")</f>
        <v>BN Jual Beli	</v>
      </c>
      <c r="H7943" s="42">
        <f t="shared" si="1"/>
        <v>3271</v>
      </c>
    </row>
    <row r="7944" ht="22.5" customHeight="1">
      <c r="B7944" s="42" t="str">
        <f>IFERROR(__xludf.DUMMYFUNCTION("""COMPUTED_VALUE"""),"K/10/021025/1	")</f>
        <v>K/10/021025/1	</v>
      </c>
      <c r="C7944" s="42" t="str">
        <f>IFERROR(__xludf.DUMMYFUNCTION("""COMPUTED_VALUE"""),"Nibel 2146/Sukabumi	")</f>
        <v>Nibel 2146/Sukabumi	</v>
      </c>
      <c r="D7944" s="42"/>
      <c r="E7944" s="42"/>
      <c r="F7944" s="48" t="str">
        <f>IFERROR(__xludf.DUMMYFUNCTION("""COMPUTED_VALUE"""),"")</f>
        <v/>
      </c>
      <c r="G7944" s="42" t="str">
        <f>IFERROR(__xludf.DUMMYFUNCTION("""COMPUTED_VALUE"""),"Peningkatan Hak	")</f>
        <v>Peningkatan Hak	</v>
      </c>
      <c r="H7944" s="42">
        <f t="shared" si="1"/>
        <v>3271</v>
      </c>
    </row>
    <row r="7945" ht="22.5" customHeight="1">
      <c r="B7945" s="42" t="str">
        <f>IFERROR(__xludf.DUMMYFUNCTION("""COMPUTED_VALUE"""),"K/11/021025/2	")</f>
        <v>K/11/021025/2	</v>
      </c>
      <c r="C7945" s="42" t="str">
        <f>IFERROR(__xludf.DUMMYFUNCTION("""COMPUTED_VALUE"""),"Nibel 450/Sumber Agung	")</f>
        <v>Nibel 450/Sumber Agung	</v>
      </c>
      <c r="D7945" s="42"/>
      <c r="E7945" s="42"/>
      <c r="F7945" s="48" t="str">
        <f>IFERROR(__xludf.DUMMYFUNCTION("""COMPUTED_VALUE"""),"")</f>
        <v/>
      </c>
      <c r="G7945" s="42" t="str">
        <f>IFERROR(__xludf.DUMMYFUNCTION("""COMPUTED_VALUE"""),"Peningkatan Hak	")</f>
        <v>Peningkatan Hak	</v>
      </c>
      <c r="H7945" s="42">
        <f t="shared" si="1"/>
        <v>3271</v>
      </c>
    </row>
    <row r="7946" ht="22.5" customHeight="1">
      <c r="B7946" s="42" t="str">
        <f>IFERROR(__xludf.DUMMYFUNCTION("""COMPUTED_VALUE"""),"L/13/021025/1")</f>
        <v>L/13/021025/1</v>
      </c>
      <c r="C7946" s="42" t="str">
        <f>IFERROR(__xludf.DUMMYFUNCTION("""COMPUTED_VALUE"""),"M. 2425/KOTA BARU")</f>
        <v>M. 2425/KOTA BARU</v>
      </c>
      <c r="D7946" s="42"/>
      <c r="E7946" s="42"/>
      <c r="F7946" s="48" t="str">
        <f>IFERROR(__xludf.DUMMYFUNCTION("""COMPUTED_VALUE"""),"")</f>
        <v/>
      </c>
      <c r="G7946" s="42" t="str">
        <f>IFERROR(__xludf.DUMMYFUNCTION("""COMPUTED_VALUE"""),"ROYA")</f>
        <v>ROYA</v>
      </c>
      <c r="H7946" s="42">
        <f t="shared" si="1"/>
        <v>3271</v>
      </c>
    </row>
    <row r="7947" ht="22.5" customHeight="1">
      <c r="B7947" s="42" t="str">
        <f>IFERROR(__xludf.DUMMYFUNCTION("""COMPUTED_VALUE"""),"K/15/021025/1")</f>
        <v>K/15/021025/1</v>
      </c>
      <c r="C7947" s="42" t="str">
        <f>IFERROR(__xludf.DUMMYFUNCTION("""COMPUTED_VALUE"""),"M. 1153/Korpri Jaya	")</f>
        <v>M. 1153/Korpri Jaya	</v>
      </c>
      <c r="D7947" s="42" t="str">
        <f>IFERROR(__xludf.DUMMYFUNCTION("""COMPUTED_VALUE"""),"Berry")</f>
        <v>Berry</v>
      </c>
      <c r="E7947" s="42" t="str">
        <f>IFERROR(__xludf.DUMMYFUNCTION("""COMPUTED_VALUE"""),"DISERAHKAN")</f>
        <v>DISERAHKAN</v>
      </c>
      <c r="F7947" s="48">
        <f>IFERROR(__xludf.DUMMYFUNCTION("""COMPUTED_VALUE"""),45965.49379356482)</f>
        <v>45965.49379</v>
      </c>
      <c r="G7947" s="42" t="str">
        <f>IFERROR(__xludf.DUMMYFUNCTION("""COMPUTED_VALUE"""),"BN Waris	")</f>
        <v>BN Waris	</v>
      </c>
      <c r="H7947" s="42">
        <f t="shared" si="1"/>
        <v>3272</v>
      </c>
    </row>
    <row r="7948" ht="22.5" customHeight="1">
      <c r="B7948" s="42" t="str">
        <f>IFERROR(__xludf.DUMMYFUNCTION("""COMPUTED_VALUE"""),"K/16/021025/1")</f>
        <v>K/16/021025/1</v>
      </c>
      <c r="C7948" s="42" t="str">
        <f>IFERROR(__xludf.DUMMYFUNCTION("""COMPUTED_VALUE"""),"Tanah Mentah Linda Damayanti	")</f>
        <v>Tanah Mentah Linda Damayanti	</v>
      </c>
      <c r="D7948" s="42"/>
      <c r="E7948" s="42"/>
      <c r="F7948" s="48" t="str">
        <f>IFERROR(__xludf.DUMMYFUNCTION("""COMPUTED_VALUE"""),"")</f>
        <v/>
      </c>
      <c r="G7948" s="42" t="str">
        <f>IFERROR(__xludf.DUMMYFUNCTION("""COMPUTED_VALUE"""),"Pengukuran Tanah Pertama Kali	")</f>
        <v>Pengukuran Tanah Pertama Kali	</v>
      </c>
      <c r="H7948" s="42">
        <f t="shared" si="1"/>
        <v>3272</v>
      </c>
    </row>
    <row r="7949" ht="22.5" customHeight="1">
      <c r="B7949" s="42" t="str">
        <f>IFERROR(__xludf.DUMMYFUNCTION("""COMPUTED_VALUE"""),"L/17/021025/1")</f>
        <v>L/17/021025/1</v>
      </c>
      <c r="C7949" s="42" t="str">
        <f>IFERROR(__xludf.DUMMYFUNCTION("""COMPUTED_VALUE"""),"SHGB NIB 17507/NUSANTARA PERMAI")</f>
        <v>SHGB NIB 17507/NUSANTARA PERMAI</v>
      </c>
      <c r="D7949" s="42"/>
      <c r="E7949" s="42"/>
      <c r="F7949" s="48" t="str">
        <f>IFERROR(__xludf.DUMMYFUNCTION("""COMPUTED_VALUE"""),"")</f>
        <v/>
      </c>
      <c r="G7949" s="42" t="str">
        <f>IFERROR(__xludf.DUMMYFUNCTION("""COMPUTED_VALUE"""),"PENINGKATAN HAK")</f>
        <v>PENINGKATAN HAK</v>
      </c>
      <c r="H7949" s="42">
        <f t="shared" si="1"/>
        <v>3272</v>
      </c>
    </row>
    <row r="7950" ht="22.5" customHeight="1">
      <c r="B7950" s="42" t="str">
        <f>IFERROR(__xludf.DUMMYFUNCTION("""COMPUTED_VALUE"""),"K/18/021025/1")</f>
        <v>K/18/021025/1</v>
      </c>
      <c r="C7950" s="42" t="str">
        <f>IFERROR(__xludf.DUMMYFUNCTION("""COMPUTED_VALUE"""),"M. 1564/Beringin Jaya")</f>
        <v>M. 1564/Beringin Jaya</v>
      </c>
      <c r="D7950" s="42"/>
      <c r="E7950" s="42"/>
      <c r="F7950" s="48" t="str">
        <f>IFERROR(__xludf.DUMMYFUNCTION("""COMPUTED_VALUE"""),"")</f>
        <v/>
      </c>
      <c r="G7950" s="42" t="str">
        <f>IFERROR(__xludf.DUMMYFUNCTION("""COMPUTED_VALUE"""),"BN Jual Beli	")</f>
        <v>BN Jual Beli	</v>
      </c>
      <c r="H7950" s="42">
        <f t="shared" si="1"/>
        <v>3272</v>
      </c>
    </row>
    <row r="7951" ht="22.5" customHeight="1">
      <c r="B7951" s="42" t="str">
        <f>IFERROR(__xludf.DUMMYFUNCTION("""COMPUTED_VALUE"""),"L/20/021025/2")</f>
        <v>L/20/021025/2</v>
      </c>
      <c r="C7951" s="42" t="str">
        <f>IFERROR(__xludf.DUMMYFUNCTION("""COMPUTED_VALUE"""),"SHGB NIB 17575/NUSANTARA PERMAI")</f>
        <v>SHGB NIB 17575/NUSANTARA PERMAI</v>
      </c>
      <c r="D7951" s="42"/>
      <c r="E7951" s="42"/>
      <c r="F7951" s="48" t="str">
        <f>IFERROR(__xludf.DUMMYFUNCTION("""COMPUTED_VALUE"""),"")</f>
        <v/>
      </c>
      <c r="G7951" s="42" t="str">
        <f>IFERROR(__xludf.DUMMYFUNCTION("""COMPUTED_VALUE"""),"PENINGKATAN HAK")</f>
        <v>PENINGKATAN HAK</v>
      </c>
      <c r="H7951" s="42">
        <f t="shared" si="1"/>
        <v>3272</v>
      </c>
    </row>
    <row r="7952" ht="22.5" customHeight="1">
      <c r="B7952" s="42" t="str">
        <f>IFERROR(__xludf.DUMMYFUNCTION("""COMPUTED_VALUE"""),"L/21/021025/1")</f>
        <v>L/21/021025/1</v>
      </c>
      <c r="C7952" s="42" t="str">
        <f>IFERROR(__xludf.DUMMYFUNCTION("""COMPUTED_VALUE"""),"M. 917/SUKARAJA")</f>
        <v>M. 917/SUKARAJA</v>
      </c>
      <c r="D7952" s="42"/>
      <c r="E7952" s="42"/>
      <c r="F7952" s="48" t="str">
        <f>IFERROR(__xludf.DUMMYFUNCTION("""COMPUTED_VALUE"""),"")</f>
        <v/>
      </c>
      <c r="G7952" s="42" t="str">
        <f>IFERROR(__xludf.DUMMYFUNCTION("""COMPUTED_VALUE"""),"ROYA")</f>
        <v>ROYA</v>
      </c>
      <c r="H7952" s="42">
        <f t="shared" si="1"/>
        <v>3272</v>
      </c>
    </row>
    <row r="7953" ht="22.5" customHeight="1">
      <c r="B7953" s="42" t="str">
        <f>IFERROR(__xludf.DUMMYFUNCTION("""COMPUTED_VALUE"""),"L/22/021025/1")</f>
        <v>L/22/021025/1</v>
      </c>
      <c r="C7953" s="42" t="str">
        <f>IFERROR(__xludf.DUMMYFUNCTION("""COMPUTED_VALUE"""),"B. 645/NUSANTARA PERMAI")</f>
        <v>B. 645/NUSANTARA PERMAI</v>
      </c>
      <c r="D7953" s="42"/>
      <c r="E7953" s="42"/>
      <c r="F7953" s="48" t="str">
        <f>IFERROR(__xludf.DUMMYFUNCTION("""COMPUTED_VALUE"""),"")</f>
        <v/>
      </c>
      <c r="G7953" s="42" t="str">
        <f>IFERROR(__xludf.DUMMYFUNCTION("""COMPUTED_VALUE"""),"PENINGKATAN HAK")</f>
        <v>PENINGKATAN HAK</v>
      </c>
      <c r="H7953" s="42">
        <f t="shared" si="1"/>
        <v>3272</v>
      </c>
    </row>
    <row r="7954" ht="22.5" customHeight="1">
      <c r="B7954" s="42" t="str">
        <f>IFERROR(__xludf.DUMMYFUNCTION("""COMPUTED_VALUE"""),"K/14/021025/1")</f>
        <v>K/14/021025/1</v>
      </c>
      <c r="C7954" s="42" t="str">
        <f>IFERROR(__xludf.DUMMYFUNCTION("""COMPUTED_VALUE"""),"KOTA SEPANG")</f>
        <v>KOTA SEPANG</v>
      </c>
      <c r="D7954" s="42" t="str">
        <f>IFERROR(__xludf.DUMMYFUNCTION("""COMPUTED_VALUE"""),"David")</f>
        <v>David</v>
      </c>
      <c r="E7954" s="42" t="str">
        <f>IFERROR(__xludf.DUMMYFUNCTION("""COMPUTED_VALUE"""),"DISERAHKAN")</f>
        <v>DISERAHKAN</v>
      </c>
      <c r="F7954" s="48">
        <f>IFERROR(__xludf.DUMMYFUNCTION("""COMPUTED_VALUE"""),45944.48615328704)</f>
        <v>45944.48615</v>
      </c>
      <c r="G7954" s="42" t="str">
        <f>IFERROR(__xludf.DUMMYFUNCTION("""COMPUTED_VALUE"""),"PENGUKURAN PERTAMA KALI")</f>
        <v>PENGUKURAN PERTAMA KALI</v>
      </c>
      <c r="H7954" s="42">
        <f t="shared" si="1"/>
        <v>3273</v>
      </c>
    </row>
    <row r="7955" ht="22.5" customHeight="1">
      <c r="B7955" s="42" t="str">
        <f>IFERROR(__xludf.DUMMYFUNCTION("""COMPUTED_VALUE"""),"K/23/021025/1")</f>
        <v>K/23/021025/1</v>
      </c>
      <c r="C7955" s="42" t="str">
        <f>IFERROR(__xludf.DUMMYFUNCTION("""COMPUTED_VALUE"""),"NIBEL B. 18450/PERUMNAS WAY KANDIS")</f>
        <v>NIBEL B. 18450/PERUMNAS WAY KANDIS</v>
      </c>
      <c r="D7955" s="42"/>
      <c r="E7955" s="42"/>
      <c r="F7955" s="48" t="str">
        <f>IFERROR(__xludf.DUMMYFUNCTION("""COMPUTED_VALUE"""),"")</f>
        <v/>
      </c>
      <c r="G7955" s="42" t="str">
        <f>IFERROR(__xludf.DUMMYFUNCTION("""COMPUTED_VALUE"""),"SKPT INFORMASI")</f>
        <v>SKPT INFORMASI</v>
      </c>
      <c r="H7955" s="42">
        <f t="shared" si="1"/>
        <v>3273</v>
      </c>
    </row>
    <row r="7956" ht="22.5" customHeight="1">
      <c r="B7956" s="42" t="str">
        <f>IFERROR(__xludf.DUMMYFUNCTION("""COMPUTED_VALUE"""),"L/25/021025/1")</f>
        <v>L/25/021025/1</v>
      </c>
      <c r="C7956" s="42" t="str">
        <f>IFERROR(__xludf.DUMMYFUNCTION("""COMPUTED_VALUE"""),"SHM 666/PELITA")</f>
        <v>SHM 666/PELITA</v>
      </c>
      <c r="D7956" s="42"/>
      <c r="E7956" s="42"/>
      <c r="F7956" s="48" t="str">
        <f>IFERROR(__xludf.DUMMYFUNCTION("""COMPUTED_VALUE"""),"")</f>
        <v/>
      </c>
      <c r="G7956" s="42" t="str">
        <f>IFERROR(__xludf.DUMMYFUNCTION("""COMPUTED_VALUE"""),"ROYA")</f>
        <v>ROYA</v>
      </c>
      <c r="H7956" s="42">
        <f t="shared" si="1"/>
        <v>3273</v>
      </c>
    </row>
    <row r="7957" ht="22.5" customHeight="1">
      <c r="B7957" s="42" t="str">
        <f>IFERROR(__xludf.DUMMYFUNCTION("""COMPUTED_VALUE"""),"L/28/021025/1")</f>
        <v>L/28/021025/1</v>
      </c>
      <c r="C7957" s="42" t="str">
        <f>IFERROR(__xludf.DUMMYFUNCTION("""COMPUTED_VALUE"""),"B. NIB 20527.4/KEMILING PERMAI")</f>
        <v>B. NIB 20527.4/KEMILING PERMAI</v>
      </c>
      <c r="D7957" s="42"/>
      <c r="E7957" s="42"/>
      <c r="F7957" s="48" t="str">
        <f>IFERROR(__xludf.DUMMYFUNCTION("""COMPUTED_VALUE"""),"")</f>
        <v/>
      </c>
      <c r="G7957" s="42" t="str">
        <f>IFERROR(__xludf.DUMMYFUNCTION("""COMPUTED_VALUE"""),"PENINGKATAN HAK")</f>
        <v>PENINGKATAN HAK</v>
      </c>
      <c r="H7957" s="42">
        <f t="shared" si="1"/>
        <v>3273</v>
      </c>
    </row>
    <row r="7958" ht="22.5" customHeight="1">
      <c r="B7958" s="42" t="str">
        <f>IFERROR(__xludf.DUMMYFUNCTION("""COMPUTED_VALUE"""),"K/24/021025/2")</f>
        <v>K/24/021025/2</v>
      </c>
      <c r="C7958" s="42" t="str">
        <f>IFERROR(__xludf.DUMMYFUNCTION("""COMPUTED_VALUE"""),"NIBEL M. 25020/SUKABUMI INDAH")</f>
        <v>NIBEL M. 25020/SUKABUMI INDAH</v>
      </c>
      <c r="D7958" s="42"/>
      <c r="E7958" s="42"/>
      <c r="F7958" s="48" t="str">
        <f>IFERROR(__xludf.DUMMYFUNCTION("""COMPUTED_VALUE"""),"")</f>
        <v/>
      </c>
      <c r="G7958" s="42" t="str">
        <f>IFERROR(__xludf.DUMMYFUNCTION("""COMPUTED_VALUE"""),"GANTI NAMA")</f>
        <v>GANTI NAMA</v>
      </c>
      <c r="H7958" s="42">
        <f t="shared" si="1"/>
        <v>3273</v>
      </c>
    </row>
    <row r="7959" ht="22.5" customHeight="1">
      <c r="B7959" s="42" t="str">
        <f>IFERROR(__xludf.DUMMYFUNCTION("""COMPUTED_VALUE"""),"K/29/021025/1")</f>
        <v>K/29/021025/1</v>
      </c>
      <c r="C7959" s="42" t="str">
        <f>IFERROR(__xludf.DUMMYFUNCTION("""COMPUTED_VALUE"""),"M. 735/PERWATA")</f>
        <v>M. 735/PERWATA</v>
      </c>
      <c r="D7959" s="42"/>
      <c r="E7959" s="42"/>
      <c r="F7959" s="48" t="str">
        <f>IFERROR(__xludf.DUMMYFUNCTION("""COMPUTED_VALUE"""),"")</f>
        <v/>
      </c>
      <c r="G7959" s="42" t="str">
        <f>IFERROR(__xludf.DUMMYFUNCTION("""COMPUTED_VALUE"""),"SKPT LELANG")</f>
        <v>SKPT LELANG</v>
      </c>
      <c r="H7959" s="42">
        <f t="shared" si="1"/>
        <v>3273</v>
      </c>
    </row>
    <row r="7960" ht="22.5" customHeight="1">
      <c r="B7960" s="42" t="str">
        <f>IFERROR(__xludf.DUMMYFUNCTION("""COMPUTED_VALUE"""),"L/31/021025/1")</f>
        <v>L/31/021025/1</v>
      </c>
      <c r="C7960" s="42" t="str">
        <f>IFERROR(__xludf.DUMMYFUNCTION("""COMPUTED_VALUE"""),"M. 196/KORPRI RAYA")</f>
        <v>M. 196/KORPRI RAYA</v>
      </c>
      <c r="D7960" s="42"/>
      <c r="E7960" s="42"/>
      <c r="F7960" s="48" t="str">
        <f>IFERROR(__xludf.DUMMYFUNCTION("""COMPUTED_VALUE"""),"")</f>
        <v/>
      </c>
      <c r="G7960" s="42" t="str">
        <f>IFERROR(__xludf.DUMMYFUNCTION("""COMPUTED_VALUE"""),"GANTI BLANKO")</f>
        <v>GANTI BLANKO</v>
      </c>
      <c r="H7960" s="42">
        <f t="shared" si="1"/>
        <v>3273</v>
      </c>
    </row>
    <row r="7961" ht="22.5" customHeight="1">
      <c r="B7961" s="42" t="str">
        <f>IFERROR(__xludf.DUMMYFUNCTION("""COMPUTED_VALUE"""),"K/32/021025/1")</f>
        <v>K/32/021025/1</v>
      </c>
      <c r="C7961" s="42" t="str">
        <f>IFERROR(__xludf.DUMMYFUNCTION("""COMPUTED_VALUE"""),"M 3288/ KUPANG TEBA")</f>
        <v>M 3288/ KUPANG TEBA</v>
      </c>
      <c r="D7961" s="42"/>
      <c r="E7961" s="42"/>
      <c r="F7961" s="48" t="str">
        <f>IFERROR(__xludf.DUMMYFUNCTION("""COMPUTED_VALUE"""),"")</f>
        <v/>
      </c>
      <c r="G7961" s="42" t="str">
        <f>IFERROR(__xludf.DUMMYFUNCTION("""COMPUTED_VALUE"""),"BN JUAL BELI")</f>
        <v>BN JUAL BELI</v>
      </c>
      <c r="H7961" s="42">
        <f t="shared" si="1"/>
        <v>3273</v>
      </c>
    </row>
    <row r="7962" ht="22.5" customHeight="1">
      <c r="B7962" s="42" t="str">
        <f>IFERROR(__xludf.DUMMYFUNCTION("""COMPUTED_VALUE"""),"K/33/021025/1")</f>
        <v>K/33/021025/1</v>
      </c>
      <c r="C7962" s="42" t="str">
        <f>IFERROR(__xludf.DUMMYFUNCTION("""COMPUTED_VALUE"""),"NIBEL B 440/ KEMILING PERMAI")</f>
        <v>NIBEL B 440/ KEMILING PERMAI</v>
      </c>
      <c r="D7962" s="42"/>
      <c r="E7962" s="42"/>
      <c r="F7962" s="48" t="str">
        <f>IFERROR(__xludf.DUMMYFUNCTION("""COMPUTED_VALUE"""),"")</f>
        <v/>
      </c>
      <c r="G7962" s="42" t="str">
        <f>IFERROR(__xludf.DUMMYFUNCTION("""COMPUTED_VALUE"""),"PENINGKATAN HAK")</f>
        <v>PENINGKATAN HAK</v>
      </c>
      <c r="H7962" s="42">
        <f t="shared" si="1"/>
        <v>3273</v>
      </c>
    </row>
    <row r="7963" ht="22.5" customHeight="1">
      <c r="B7963" s="42" t="str">
        <f>IFERROR(__xludf.DUMMYFUNCTION("""COMPUTED_VALUE"""),"K/34/021025/1")</f>
        <v>K/34/021025/1</v>
      </c>
      <c r="C7963" s="42" t="str">
        <f>IFERROR(__xludf.DUMMYFUNCTION("""COMPUTED_VALUE"""),"Nibel 20379/Sukabumi	")</f>
        <v>Nibel 20379/Sukabumi	</v>
      </c>
      <c r="D7963" s="42"/>
      <c r="E7963" s="42"/>
      <c r="F7963" s="48" t="str">
        <f>IFERROR(__xludf.DUMMYFUNCTION("""COMPUTED_VALUE"""),"")</f>
        <v/>
      </c>
      <c r="G7963" s="42" t="str">
        <f>IFERROR(__xludf.DUMMYFUNCTION("""COMPUTED_VALUE"""),"BN Jual Beli	")</f>
        <v>BN Jual Beli	</v>
      </c>
      <c r="H7963" s="42">
        <f t="shared" si="1"/>
        <v>3273</v>
      </c>
    </row>
    <row r="7964" ht="22.5" customHeight="1">
      <c r="B7964" s="42" t="str">
        <f>IFERROR(__xludf.DUMMYFUNCTION("""COMPUTED_VALUE"""),"K/30/021025/1")</f>
        <v>K/30/021025/1</v>
      </c>
      <c r="C7964" s="42" t="str">
        <f>IFERROR(__xludf.DUMMYFUNCTION("""COMPUTED_VALUE"""),"NIBEL M. 3235/KAMPUNG BARU")</f>
        <v>NIBEL M. 3235/KAMPUNG BARU</v>
      </c>
      <c r="D7964" s="42"/>
      <c r="E7964" s="42"/>
      <c r="F7964" s="48" t="str">
        <f>IFERROR(__xludf.DUMMYFUNCTION("""COMPUTED_VALUE"""),"")</f>
        <v/>
      </c>
      <c r="G7964" s="42" t="str">
        <f>IFERROR(__xludf.DUMMYFUNCTION("""COMPUTED_VALUE"""),"PEMECAHAN")</f>
        <v>PEMECAHAN</v>
      </c>
      <c r="H7964" s="42">
        <f t="shared" si="1"/>
        <v>3273</v>
      </c>
    </row>
    <row r="7965" ht="22.5" customHeight="1">
      <c r="B7965" s="42" t="str">
        <f>IFERROR(__xludf.DUMMYFUNCTION("""COMPUTED_VALUE"""),"K/35/021025/1")</f>
        <v>K/35/021025/1</v>
      </c>
      <c r="C7965" s="42" t="str">
        <f>IFERROR(__xludf.DUMMYFUNCTION("""COMPUTED_VALUE"""),"M 1149/ NOG")</f>
        <v>M 1149/ NOG</v>
      </c>
      <c r="D7965" s="42"/>
      <c r="E7965" s="42"/>
      <c r="F7965" s="48" t="str">
        <f>IFERROR(__xludf.DUMMYFUNCTION("""COMPUTED_VALUE"""),"")</f>
        <v/>
      </c>
      <c r="G7965" s="42" t="str">
        <f>IFERROR(__xludf.DUMMYFUNCTION("""COMPUTED_VALUE"""),"BN JUAL BELI")</f>
        <v>BN JUAL BELI</v>
      </c>
      <c r="H7965" s="42">
        <f t="shared" si="1"/>
        <v>3273</v>
      </c>
    </row>
    <row r="7966" ht="22.5" customHeight="1">
      <c r="B7966" s="42" t="str">
        <f>IFERROR(__xludf.DUMMYFUNCTION("""COMPUTED_VALUE"""),"K/36/021025/1")</f>
        <v>K/36/021025/1</v>
      </c>
      <c r="C7966" s="42" t="str">
        <f>IFERROR(__xludf.DUMMYFUNCTION("""COMPUTED_VALUE"""),"M. 14028/Segala Mider	")</f>
        <v>M. 14028/Segala Mider	</v>
      </c>
      <c r="D7966" s="42"/>
      <c r="E7966" s="42"/>
      <c r="F7966" s="48" t="str">
        <f>IFERROR(__xludf.DUMMYFUNCTION("""COMPUTED_VALUE"""),"")</f>
        <v/>
      </c>
      <c r="G7966" s="42" t="str">
        <f>IFERROR(__xludf.DUMMYFUNCTION("""COMPUTED_VALUE"""),"Hapus BPHTB	")</f>
        <v>Hapus BPHTB	</v>
      </c>
      <c r="H7966" s="42">
        <f t="shared" si="1"/>
        <v>3273</v>
      </c>
    </row>
    <row r="7967" ht="22.5" customHeight="1">
      <c r="B7967" s="42" t="str">
        <f>IFERROR(__xludf.DUMMYFUNCTION("""COMPUTED_VALUE"""),"K/37/021025/1")</f>
        <v>K/37/021025/1</v>
      </c>
      <c r="C7967" s="42" t="str">
        <f>IFERROR(__xludf.DUMMYFUNCTION("""COMPUTED_VALUE"""),"B 2117/ PERUMNAS WAY HALIM")</f>
        <v>B 2117/ PERUMNAS WAY HALIM</v>
      </c>
      <c r="D7967" s="42"/>
      <c r="E7967" s="42"/>
      <c r="F7967" s="48" t="str">
        <f>IFERROR(__xludf.DUMMYFUNCTION("""COMPUTED_VALUE"""),"")</f>
        <v/>
      </c>
      <c r="G7967" s="42" t="str">
        <f>IFERROR(__xludf.DUMMYFUNCTION("""COMPUTED_VALUE"""),"PENINGKATAN HAK")</f>
        <v>PENINGKATAN HAK</v>
      </c>
      <c r="H7967" s="42">
        <f t="shared" si="1"/>
        <v>3273</v>
      </c>
    </row>
    <row r="7968" ht="22.5" customHeight="1">
      <c r="B7968" s="42" t="str">
        <f>IFERROR(__xludf.DUMMYFUNCTION("""COMPUTED_VALUE"""),"K/39/021025/1")</f>
        <v>K/39/021025/1</v>
      </c>
      <c r="C7968" s="42" t="str">
        <f>IFERROR(__xludf.DUMMYFUNCTION("""COMPUTED_VALUE"""),"M. 10179/KEDATON")</f>
        <v>M. 10179/KEDATON</v>
      </c>
      <c r="D7968" s="42" t="str">
        <f>IFERROR(__xludf.DUMMYFUNCTION("""COMPUTED_VALUE"""),"Berry")</f>
        <v>Berry</v>
      </c>
      <c r="E7968" s="42" t="str">
        <f>IFERROR(__xludf.DUMMYFUNCTION("""COMPUTED_VALUE"""),"DISERAHKAN")</f>
        <v>DISERAHKAN</v>
      </c>
      <c r="F7968" s="48">
        <f>IFERROR(__xludf.DUMMYFUNCTION("""COMPUTED_VALUE"""),45971.49546528935)</f>
        <v>45971.49547</v>
      </c>
      <c r="G7968" s="42" t="str">
        <f>IFERROR(__xludf.DUMMYFUNCTION("""COMPUTED_VALUE"""),"BLOKIR ")</f>
        <v>BLOKIR </v>
      </c>
      <c r="H7968" s="42">
        <f t="shared" si="1"/>
        <v>3274</v>
      </c>
    </row>
    <row r="7969" ht="22.5" customHeight="1">
      <c r="B7969" s="42" t="str">
        <f>IFERROR(__xludf.DUMMYFUNCTION("""COMPUTED_VALUE"""),"K/38/021025/1")</f>
        <v>K/38/021025/1</v>
      </c>
      <c r="C7969" s="42" t="str">
        <f>IFERROR(__xludf.DUMMYFUNCTION("""COMPUTED_VALUE"""),"M 2664/ SUKADANA HAM")</f>
        <v>M 2664/ SUKADANA HAM</v>
      </c>
      <c r="D7969" s="42"/>
      <c r="E7969" s="42"/>
      <c r="F7969" s="48" t="str">
        <f>IFERROR(__xludf.DUMMYFUNCTION("""COMPUTED_VALUE"""),"")</f>
        <v/>
      </c>
      <c r="G7969" s="42" t="str">
        <f>IFERROR(__xludf.DUMMYFUNCTION("""COMPUTED_VALUE"""),"PEMECAHAN")</f>
        <v>PEMECAHAN</v>
      </c>
      <c r="H7969" s="42">
        <f t="shared" si="1"/>
        <v>3274</v>
      </c>
    </row>
    <row r="7970" ht="22.5" customHeight="1">
      <c r="B7970" s="42" t="str">
        <f>IFERROR(__xludf.DUMMYFUNCTION("""COMPUTED_VALUE"""),"K/41/021025/1")</f>
        <v>K/41/021025/1</v>
      </c>
      <c r="C7970" s="42" t="str">
        <f>IFERROR(__xludf.DUMMYFUNCTION("""COMPUTED_VALUE"""),"NIBEL M 21339/ KORPRI RAYA")</f>
        <v>NIBEL M 21339/ KORPRI RAYA</v>
      </c>
      <c r="D7970" s="42"/>
      <c r="E7970" s="42"/>
      <c r="F7970" s="48" t="str">
        <f>IFERROR(__xludf.DUMMYFUNCTION("""COMPUTED_VALUE"""),"")</f>
        <v/>
      </c>
      <c r="G7970" s="42" t="str">
        <f>IFERROR(__xludf.DUMMYFUNCTION("""COMPUTED_VALUE"""),"BN JUAL BELI")</f>
        <v>BN JUAL BELI</v>
      </c>
      <c r="H7970" s="42">
        <f t="shared" si="1"/>
        <v>3274</v>
      </c>
    </row>
    <row r="7971" ht="22.5" customHeight="1">
      <c r="B7971" s="42" t="str">
        <f>IFERROR(__xludf.DUMMYFUNCTION("""COMPUTED_VALUE"""),"K/42/021025/2")</f>
        <v>K/42/021025/2</v>
      </c>
      <c r="C7971" s="42" t="str">
        <f>IFERROR(__xludf.DUMMYFUNCTION("""COMPUTED_VALUE"""),"NIBEL B 393/ KEMILING PERMAI")</f>
        <v>NIBEL B 393/ KEMILING PERMAI</v>
      </c>
      <c r="D7971" s="42"/>
      <c r="E7971" s="42"/>
      <c r="F7971" s="48" t="str">
        <f>IFERROR(__xludf.DUMMYFUNCTION("""COMPUTED_VALUE"""),"")</f>
        <v/>
      </c>
      <c r="G7971" s="42" t="str">
        <f>IFERROR(__xludf.DUMMYFUNCTION("""COMPUTED_VALUE"""),"BN JUAL BELI")</f>
        <v>BN JUAL BELI</v>
      </c>
      <c r="H7971" s="42">
        <f t="shared" si="1"/>
        <v>3274</v>
      </c>
    </row>
    <row r="7972" ht="22.5" customHeight="1">
      <c r="B7972" s="42" t="str">
        <f>IFERROR(__xludf.DUMMYFUNCTION("""COMPUTED_VALUE"""),"L/40/021025/1")</f>
        <v>L/40/021025/1</v>
      </c>
      <c r="C7972" s="42" t="str">
        <f>IFERROR(__xludf.DUMMYFUNCTION("""COMPUTED_VALUE"""),"SHM NIB 20234 DAN 20235/TANJUNG SENANG")</f>
        <v>SHM NIB 20234 DAN 20235/TANJUNG SENANG</v>
      </c>
      <c r="D7972" s="42"/>
      <c r="E7972" s="42"/>
      <c r="F7972" s="48" t="str">
        <f>IFERROR(__xludf.DUMMYFUNCTION("""COMPUTED_VALUE"""),"")</f>
        <v/>
      </c>
      <c r="G7972" s="42" t="str">
        <f>IFERROR(__xludf.DUMMYFUNCTION("""COMPUTED_VALUE"""),"ROYA")</f>
        <v>ROYA</v>
      </c>
      <c r="H7972" s="42">
        <f t="shared" si="1"/>
        <v>3274</v>
      </c>
    </row>
    <row r="7973" ht="22.5" customHeight="1">
      <c r="B7973" s="42" t="str">
        <f>IFERROR(__xludf.DUMMYFUNCTION("""COMPUTED_VALUE"""),"K/26/021025/1")</f>
        <v>K/26/021025/1</v>
      </c>
      <c r="C7973" s="42" t="str">
        <f>IFERROR(__xludf.DUMMYFUNCTION("""COMPUTED_VALUE"""),"M 865/ PASIR GINTUNG")</f>
        <v>M 865/ PASIR GINTUNG</v>
      </c>
      <c r="D7973" s="42"/>
      <c r="E7973" s="42"/>
      <c r="F7973" s="48" t="str">
        <f>IFERROR(__xludf.DUMMYFUNCTION("""COMPUTED_VALUE"""),"")</f>
        <v/>
      </c>
      <c r="G7973" s="42" t="str">
        <f>IFERROR(__xludf.DUMMYFUNCTION("""COMPUTED_VALUE"""),"BN JUAL BELI")</f>
        <v>BN JUAL BELI</v>
      </c>
      <c r="H7973" s="42">
        <f t="shared" si="1"/>
        <v>3274</v>
      </c>
    </row>
    <row r="7974" ht="22.5" customHeight="1">
      <c r="B7974" s="42" t="str">
        <f>IFERROR(__xludf.DUMMYFUNCTION("""COMPUTED_VALUE"""),"K/27/021025/2")</f>
        <v>K/27/021025/2</v>
      </c>
      <c r="C7974" s="42" t="str">
        <f>IFERROR(__xludf.DUMMYFUNCTION("""COMPUTED_VALUE"""),"M 22273/ SUKAJAWA")</f>
        <v>M 22273/ SUKAJAWA</v>
      </c>
      <c r="D7974" s="42"/>
      <c r="E7974" s="42"/>
      <c r="F7974" s="48" t="str">
        <f>IFERROR(__xludf.DUMMYFUNCTION("""COMPUTED_VALUE"""),"")</f>
        <v/>
      </c>
      <c r="G7974" s="42" t="str">
        <f>IFERROR(__xludf.DUMMYFUNCTION("""COMPUTED_VALUE"""),"BN JUAL BELI")</f>
        <v>BN JUAL BELI</v>
      </c>
      <c r="H7974" s="42">
        <f t="shared" si="1"/>
        <v>3274</v>
      </c>
    </row>
    <row r="7975" ht="22.5" customHeight="1">
      <c r="B7975" s="42" t="str">
        <f>IFERROR(__xludf.DUMMYFUNCTION("""COMPUTED_VALUE"""),"K/1/031025/1")</f>
        <v>K/1/031025/1</v>
      </c>
      <c r="C7975" s="42" t="str">
        <f>IFERROR(__xludf.DUMMYFUNCTION("""COMPUTED_VALUE"""),"M. 610/Korpri Raya	")</f>
        <v>M. 610/Korpri Raya	</v>
      </c>
      <c r="D7975" s="42"/>
      <c r="E7975" s="42"/>
      <c r="F7975" s="48" t="str">
        <f>IFERROR(__xludf.DUMMYFUNCTION("""COMPUTED_VALUE"""),"")</f>
        <v/>
      </c>
      <c r="G7975" s="42" t="str">
        <f>IFERROR(__xludf.DUMMYFUNCTION("""COMPUTED_VALUE"""),"BN Jual Beli	")</f>
        <v>BN Jual Beli	</v>
      </c>
      <c r="H7975" s="42">
        <f t="shared" si="1"/>
        <v>3274</v>
      </c>
    </row>
    <row r="7976" ht="22.5" customHeight="1">
      <c r="B7976" s="42" t="str">
        <f>IFERROR(__xludf.DUMMYFUNCTION("""COMPUTED_VALUE"""),"L/2/031025/1")</f>
        <v>L/2/031025/1</v>
      </c>
      <c r="C7976" s="42" t="str">
        <f>IFERROR(__xludf.DUMMYFUNCTION("""COMPUTED_VALUE"""),"M. 9270/SURABAYA")</f>
        <v>M. 9270/SURABAYA</v>
      </c>
      <c r="D7976" s="42"/>
      <c r="E7976" s="42"/>
      <c r="F7976" s="48" t="str">
        <f>IFERROR(__xludf.DUMMYFUNCTION("""COMPUTED_VALUE"""),"")</f>
        <v/>
      </c>
      <c r="G7976" s="42" t="str">
        <f>IFERROR(__xludf.DUMMYFUNCTION("""COMPUTED_VALUE"""),"BN WARIS")</f>
        <v>BN WARIS</v>
      </c>
      <c r="H7976" s="42">
        <f t="shared" si="1"/>
        <v>3274</v>
      </c>
    </row>
    <row r="7977" ht="22.5" customHeight="1">
      <c r="B7977" s="42" t="str">
        <f>IFERROR(__xludf.DUMMYFUNCTION("""COMPUTED_VALUE"""),"L/4/031025/1")</f>
        <v>L/4/031025/1</v>
      </c>
      <c r="C7977" s="42" t="str">
        <f>IFERROR(__xludf.DUMMYFUNCTION("""COMPUTED_VALUE"""),"B. 2966/BERINGIN RAYA")</f>
        <v>B. 2966/BERINGIN RAYA</v>
      </c>
      <c r="D7977" s="42" t="str">
        <f>IFERROR(__xludf.DUMMYFUNCTION("""COMPUTED_VALUE"""),"David")</f>
        <v>David</v>
      </c>
      <c r="E7977" s="42" t="str">
        <f>IFERROR(__xludf.DUMMYFUNCTION("""COMPUTED_VALUE"""),"DISERAHKAN")</f>
        <v>DISERAHKAN</v>
      </c>
      <c r="F7977" s="48">
        <f>IFERROR(__xludf.DUMMYFUNCTION("""COMPUTED_VALUE"""),45960.62983670139)</f>
        <v>45960.62984</v>
      </c>
      <c r="G7977" s="42" t="str">
        <f>IFERROR(__xludf.DUMMYFUNCTION("""COMPUTED_VALUE"""),"ROYA")</f>
        <v>ROYA</v>
      </c>
      <c r="H7977" s="42">
        <f t="shared" si="1"/>
        <v>3275</v>
      </c>
    </row>
    <row r="7978" ht="22.5" customHeight="1">
      <c r="B7978" s="42" t="str">
        <f>IFERROR(__xludf.DUMMYFUNCTION("""COMPUTED_VALUE"""),"K/3/031025/1")</f>
        <v>K/3/031025/1</v>
      </c>
      <c r="C7978" s="42" t="str">
        <f>IFERROR(__xludf.DUMMYFUNCTION("""COMPUTED_VALUE"""),"B. 903/CAMPANG RAYA")</f>
        <v>B. 903/CAMPANG RAYA</v>
      </c>
      <c r="D7978" s="42"/>
      <c r="E7978" s="42"/>
      <c r="F7978" s="48" t="str">
        <f>IFERROR(__xludf.DUMMYFUNCTION("""COMPUTED_VALUE"""),"")</f>
        <v/>
      </c>
      <c r="G7978" s="42" t="str">
        <f>IFERROR(__xludf.DUMMYFUNCTION("""COMPUTED_VALUE"""),"ROYA")</f>
        <v>ROYA</v>
      </c>
      <c r="H7978" s="42">
        <f t="shared" si="1"/>
        <v>3275</v>
      </c>
    </row>
    <row r="7979" ht="22.5" customHeight="1">
      <c r="B7979" s="42" t="str">
        <f>IFERROR(__xludf.DUMMYFUNCTION("""COMPUTED_VALUE"""),"K/8/031025/1")</f>
        <v>K/8/031025/1</v>
      </c>
      <c r="C7979" s="42" t="str">
        <f>IFERROR(__xludf.DUMMYFUNCTION("""COMPUTED_VALUE"""),"NIBEL M 16122/ SUKABUMI")</f>
        <v>NIBEL M 16122/ SUKABUMI</v>
      </c>
      <c r="D7979" s="42"/>
      <c r="E7979" s="42"/>
      <c r="F7979" s="48" t="str">
        <f>IFERROR(__xludf.DUMMYFUNCTION("""COMPUTED_VALUE"""),"")</f>
        <v/>
      </c>
      <c r="G7979" s="42" t="str">
        <f>IFERROR(__xludf.DUMMYFUNCTION("""COMPUTED_VALUE"""),"BN JUAL BELI")</f>
        <v>BN JUAL BELI</v>
      </c>
      <c r="H7979" s="42">
        <f t="shared" si="1"/>
        <v>3275</v>
      </c>
    </row>
    <row r="7980" ht="22.5" customHeight="1">
      <c r="B7980" s="42" t="str">
        <f>IFERROR(__xludf.DUMMYFUNCTION("""COMPUTED_VALUE"""),"K/9/031025/2")</f>
        <v>K/9/031025/2</v>
      </c>
      <c r="C7980" s="42" t="str">
        <f>IFERROR(__xludf.DUMMYFUNCTION("""COMPUTED_VALUE"""),"NIBEL M 25470/ WAY KANDIS")</f>
        <v>NIBEL M 25470/ WAY KANDIS</v>
      </c>
      <c r="D7980" s="42"/>
      <c r="E7980" s="42"/>
      <c r="F7980" s="48" t="str">
        <f>IFERROR(__xludf.DUMMYFUNCTION("""COMPUTED_VALUE"""),"")</f>
        <v/>
      </c>
      <c r="G7980" s="42" t="str">
        <f>IFERROR(__xludf.DUMMYFUNCTION("""COMPUTED_VALUE"""),"BN JUAL BELI")</f>
        <v>BN JUAL BELI</v>
      </c>
      <c r="H7980" s="42">
        <f t="shared" si="1"/>
        <v>3275</v>
      </c>
    </row>
    <row r="7981" ht="22.5" customHeight="1">
      <c r="B7981" s="42" t="str">
        <f>IFERROR(__xludf.DUMMYFUNCTION("""COMPUTED_VALUE"""),"K/5/031025/1")</f>
        <v>K/5/031025/1</v>
      </c>
      <c r="C7981" s="42" t="str">
        <f>IFERROR(__xludf.DUMMYFUNCTION("""COMPUTED_VALUE"""),"M. 806/DURIAN PAYUNG")</f>
        <v>M. 806/DURIAN PAYUNG</v>
      </c>
      <c r="D7981" s="42"/>
      <c r="E7981" s="42"/>
      <c r="F7981" s="48" t="str">
        <f>IFERROR(__xludf.DUMMYFUNCTION("""COMPUTED_VALUE"""),"")</f>
        <v/>
      </c>
      <c r="G7981" s="42" t="str">
        <f>IFERROR(__xludf.DUMMYFUNCTION("""COMPUTED_VALUE"""),"SKPT LELANG")</f>
        <v>SKPT LELANG</v>
      </c>
      <c r="H7981" s="42">
        <f t="shared" si="1"/>
        <v>3275</v>
      </c>
    </row>
    <row r="7982" ht="22.5" customHeight="1">
      <c r="B7982" s="42" t="str">
        <f>IFERROR(__xludf.DUMMYFUNCTION("""COMPUTED_VALUE"""),"K/6/031025/2")</f>
        <v>K/6/031025/2</v>
      </c>
      <c r="C7982" s="42" t="str">
        <f>IFERROR(__xludf.DUMMYFUNCTION("""COMPUTED_VALUE"""),"M. 9002/SUKARAME")</f>
        <v>M. 9002/SUKARAME</v>
      </c>
      <c r="D7982" s="42"/>
      <c r="E7982" s="42"/>
      <c r="F7982" s="48" t="str">
        <f>IFERROR(__xludf.DUMMYFUNCTION("""COMPUTED_VALUE"""),"")</f>
        <v/>
      </c>
      <c r="G7982" s="42" t="str">
        <f>IFERROR(__xludf.DUMMYFUNCTION("""COMPUTED_VALUE"""),"SKPT LELANG")</f>
        <v>SKPT LELANG</v>
      </c>
      <c r="H7982" s="42">
        <f t="shared" si="1"/>
        <v>3275</v>
      </c>
    </row>
    <row r="7983" ht="22.5" customHeight="1">
      <c r="B7983" s="42" t="str">
        <f>IFERROR(__xludf.DUMMYFUNCTION("""COMPUTED_VALUE"""),"K/11/031025/1")</f>
        <v>K/11/031025/1</v>
      </c>
      <c r="C7983" s="42" t="str">
        <f>IFERROR(__xludf.DUMMYFUNCTION("""COMPUTED_VALUE"""),"Nibel 3081/Pinang Jaya	")</f>
        <v>Nibel 3081/Pinang Jaya	</v>
      </c>
      <c r="D7983" s="42"/>
      <c r="E7983" s="42"/>
      <c r="F7983" s="48" t="str">
        <f>IFERROR(__xludf.DUMMYFUNCTION("""COMPUTED_VALUE"""),"")</f>
        <v/>
      </c>
      <c r="G7983" s="42" t="str">
        <f>IFERROR(__xludf.DUMMYFUNCTION("""COMPUTED_VALUE"""),"BN Jual Beli	")</f>
        <v>BN Jual Beli	</v>
      </c>
      <c r="H7983" s="42">
        <f t="shared" si="1"/>
        <v>3275</v>
      </c>
    </row>
    <row r="7984" ht="22.5" customHeight="1">
      <c r="B7984" s="42" t="str">
        <f>IFERROR(__xludf.DUMMYFUNCTION("""COMPUTED_VALUE"""),"K/10/031025/1")</f>
        <v>K/10/031025/1</v>
      </c>
      <c r="C7984" s="42" t="str">
        <f>IFERROR(__xludf.DUMMYFUNCTION("""COMPUTED_VALUE"""),"M 1428/ LABUHAN RATU RAYA")</f>
        <v>M 1428/ LABUHAN RATU RAYA</v>
      </c>
      <c r="D7984" s="42"/>
      <c r="E7984" s="42"/>
      <c r="F7984" s="48" t="str">
        <f>IFERROR(__xludf.DUMMYFUNCTION("""COMPUTED_VALUE"""),"")</f>
        <v/>
      </c>
      <c r="G7984" s="42" t="str">
        <f>IFERROR(__xludf.DUMMYFUNCTION("""COMPUTED_VALUE"""),"BN JUAL BELI")</f>
        <v>BN JUAL BELI</v>
      </c>
      <c r="H7984" s="42">
        <f t="shared" si="1"/>
        <v>3275</v>
      </c>
    </row>
    <row r="7985" ht="22.5" customHeight="1">
      <c r="B7985" s="42" t="str">
        <f>IFERROR(__xludf.DUMMYFUNCTION("""COMPUTED_VALUE"""),"L/16/031025/1")</f>
        <v>L/16/031025/1</v>
      </c>
      <c r="C7985" s="42" t="str">
        <f>IFERROR(__xludf.DUMMYFUNCTION("""COMPUTED_VALUE"""),"M. 169/NUSANTARA PERMAI")</f>
        <v>M. 169/NUSANTARA PERMAI</v>
      </c>
      <c r="D7985" s="42"/>
      <c r="E7985" s="42"/>
      <c r="F7985" s="48" t="str">
        <f>IFERROR(__xludf.DUMMYFUNCTION("""COMPUTED_VALUE"""),"")</f>
        <v/>
      </c>
      <c r="G7985" s="42" t="str">
        <f>IFERROR(__xludf.DUMMYFUNCTION("""COMPUTED_VALUE"""),"ROYA")</f>
        <v>ROYA</v>
      </c>
      <c r="H7985" s="42">
        <f t="shared" si="1"/>
        <v>3275</v>
      </c>
    </row>
    <row r="7986" ht="22.5" customHeight="1">
      <c r="B7986" s="42" t="str">
        <f>IFERROR(__xludf.DUMMYFUNCTION("""COMPUTED_VALUE"""),"L/17/031025/1")</f>
        <v>L/17/031025/1</v>
      </c>
      <c r="C7986" s="42" t="str">
        <f>IFERROR(__xludf.DUMMYFUNCTION("""COMPUTED_VALUE"""),"M. 4306/KETEGUHAN")</f>
        <v>M. 4306/KETEGUHAN</v>
      </c>
      <c r="D7986" s="42" t="str">
        <f>IFERROR(__xludf.DUMMYFUNCTION("""COMPUTED_VALUE"""),"Berry")</f>
        <v>Berry</v>
      </c>
      <c r="E7986" s="42" t="str">
        <f>IFERROR(__xludf.DUMMYFUNCTION("""COMPUTED_VALUE"""),"DISERAHKAN")</f>
        <v>DISERAHKAN</v>
      </c>
      <c r="F7986" s="48">
        <f>IFERROR(__xludf.DUMMYFUNCTION("""COMPUTED_VALUE"""),45965.49526820602)</f>
        <v>45965.49527</v>
      </c>
      <c r="G7986" s="42" t="str">
        <f>IFERROR(__xludf.DUMMYFUNCTION("""COMPUTED_VALUE"""),"HAPUS BPHTB")</f>
        <v>HAPUS BPHTB</v>
      </c>
      <c r="H7986" s="42">
        <f t="shared" si="1"/>
        <v>3276</v>
      </c>
    </row>
    <row r="7987" ht="22.5" customHeight="1">
      <c r="B7987" s="42" t="str">
        <f>IFERROR(__xludf.DUMMYFUNCTION("""COMPUTED_VALUE"""),"K/7/031025/3")</f>
        <v>K/7/031025/3</v>
      </c>
      <c r="C7987" s="42" t="str">
        <f>IFERROR(__xludf.DUMMYFUNCTION("""COMPUTED_VALUE"""),"M. 1074/DURIAN PAYUNG")</f>
        <v>M. 1074/DURIAN PAYUNG</v>
      </c>
      <c r="D7987" s="42"/>
      <c r="E7987" s="42"/>
      <c r="F7987" s="48" t="str">
        <f>IFERROR(__xludf.DUMMYFUNCTION("""COMPUTED_VALUE"""),"")</f>
        <v/>
      </c>
      <c r="G7987" s="42" t="str">
        <f>IFERROR(__xludf.DUMMYFUNCTION("""COMPUTED_VALUE"""),"SKPT LELANG")</f>
        <v>SKPT LELANG</v>
      </c>
      <c r="H7987" s="42">
        <f t="shared" si="1"/>
        <v>3276</v>
      </c>
    </row>
    <row r="7988" ht="22.5" customHeight="1">
      <c r="B7988" s="42" t="str">
        <f>IFERROR(__xludf.DUMMYFUNCTION("""COMPUTED_VALUE"""),"K/12/031025/2")</f>
        <v>K/12/031025/2</v>
      </c>
      <c r="C7988" s="42" t="str">
        <f>IFERROR(__xludf.DUMMYFUNCTION("""COMPUTED_VALUE"""),"Nibel 3089/Pinang Jaya	")</f>
        <v>Nibel 3089/Pinang Jaya	</v>
      </c>
      <c r="D7988" s="42"/>
      <c r="E7988" s="42"/>
      <c r="F7988" s="48" t="str">
        <f>IFERROR(__xludf.DUMMYFUNCTION("""COMPUTED_VALUE"""),"")</f>
        <v/>
      </c>
      <c r="G7988" s="42" t="str">
        <f>IFERROR(__xludf.DUMMYFUNCTION("""COMPUTED_VALUE"""),"BN Jual Beli	")</f>
        <v>BN Jual Beli	</v>
      </c>
      <c r="H7988" s="42">
        <f t="shared" si="1"/>
        <v>3276</v>
      </c>
    </row>
    <row r="7989" ht="22.5" customHeight="1">
      <c r="B7989" s="42" t="str">
        <f>IFERROR(__xludf.DUMMYFUNCTION("""COMPUTED_VALUE"""),"K/13/031025/3")</f>
        <v>K/13/031025/3</v>
      </c>
      <c r="C7989" s="42" t="str">
        <f>IFERROR(__xludf.DUMMYFUNCTION("""COMPUTED_VALUE"""),"M. 13231/Sukarame	")</f>
        <v>M. 13231/Sukarame	</v>
      </c>
      <c r="D7989" s="42"/>
      <c r="E7989" s="42"/>
      <c r="F7989" s="48" t="str">
        <f>IFERROR(__xludf.DUMMYFUNCTION("""COMPUTED_VALUE"""),"")</f>
        <v/>
      </c>
      <c r="G7989" s="42" t="str">
        <f>IFERROR(__xludf.DUMMYFUNCTION("""COMPUTED_VALUE"""),"BN Hibah	")</f>
        <v>BN Hibah	</v>
      </c>
      <c r="H7989" s="42">
        <f t="shared" si="1"/>
        <v>3276</v>
      </c>
    </row>
    <row r="7990" ht="22.5" customHeight="1">
      <c r="B7990" s="42" t="str">
        <f>IFERROR(__xludf.DUMMYFUNCTION("""COMPUTED_VALUE"""),"L/19/031025/1")</f>
        <v>L/19/031025/1</v>
      </c>
      <c r="C7990" s="42" t="str">
        <f>IFERROR(__xludf.DUMMYFUNCTION("""COMPUTED_VALUE"""),"M. 99/TANJUNG RAYA")</f>
        <v>M. 99/TANJUNG RAYA</v>
      </c>
      <c r="D7990" s="42" t="str">
        <f>IFERROR(__xludf.DUMMYFUNCTION("""COMPUTED_VALUE"""),"Berry")</f>
        <v>Berry</v>
      </c>
      <c r="E7990" s="42" t="str">
        <f>IFERROR(__xludf.DUMMYFUNCTION("""COMPUTED_VALUE"""),"DISERAHKAN")</f>
        <v>DISERAHKAN</v>
      </c>
      <c r="F7990" s="48">
        <f>IFERROR(__xludf.DUMMYFUNCTION("""COMPUTED_VALUE"""),45968.48861915509)</f>
        <v>45968.48862</v>
      </c>
      <c r="G7990" s="42" t="str">
        <f>IFERROR(__xludf.DUMMYFUNCTION("""COMPUTED_VALUE"""),"ROYA")</f>
        <v>ROYA</v>
      </c>
      <c r="H7990" s="42">
        <f t="shared" si="1"/>
        <v>3277</v>
      </c>
    </row>
    <row r="7991" ht="22.5" customHeight="1">
      <c r="B7991" s="42" t="str">
        <f>IFERROR(__xludf.DUMMYFUNCTION("""COMPUTED_VALUE"""),"K/18/031025/1")</f>
        <v>K/18/031025/1</v>
      </c>
      <c r="C7991" s="42" t="str">
        <f>IFERROR(__xludf.DUMMYFUNCTION("""COMPUTED_VALUE"""),"M. 2222/DURIAN PAYUNG")</f>
        <v>M. 2222/DURIAN PAYUNG</v>
      </c>
      <c r="D7991" s="42" t="str">
        <f>IFERROR(__xludf.DUMMYFUNCTION("""COMPUTED_VALUE"""),"David")</f>
        <v>David</v>
      </c>
      <c r="E7991" s="42" t="str">
        <f>IFERROR(__xludf.DUMMYFUNCTION("""COMPUTED_VALUE"""),"DISERAHKAN")</f>
        <v>DISERAHKAN</v>
      </c>
      <c r="F7991" s="48">
        <f>IFERROR(__xludf.DUMMYFUNCTION("""COMPUTED_VALUE"""),45986.603072337966)</f>
        <v>45986.60307</v>
      </c>
      <c r="G7991" s="42" t="str">
        <f>IFERROR(__xludf.DUMMYFUNCTION("""COMPUTED_VALUE"""),"SKPT LELANG")</f>
        <v>SKPT LELANG</v>
      </c>
      <c r="H7991" s="42">
        <f t="shared" si="1"/>
        <v>3278</v>
      </c>
    </row>
    <row r="7992" ht="22.5" customHeight="1">
      <c r="B7992" s="42" t="str">
        <f>IFERROR(__xludf.DUMMYFUNCTION("""COMPUTED_VALUE"""),"K/14/031025/4")</f>
        <v>K/14/031025/4</v>
      </c>
      <c r="C7992" s="42" t="str">
        <f>IFERROR(__xludf.DUMMYFUNCTION("""COMPUTED_VALUE"""),"M. 1208/Gedong Air	")</f>
        <v>M. 1208/Gedong Air	</v>
      </c>
      <c r="D7992" s="42"/>
      <c r="E7992" s="42"/>
      <c r="F7992" s="48" t="str">
        <f>IFERROR(__xludf.DUMMYFUNCTION("""COMPUTED_VALUE"""),"")</f>
        <v/>
      </c>
      <c r="G7992" s="42" t="str">
        <f>IFERROR(__xludf.DUMMYFUNCTION("""COMPUTED_VALUE"""),"BN Jual Beli	")</f>
        <v>BN Jual Beli	</v>
      </c>
      <c r="H7992" s="42">
        <f t="shared" si="1"/>
        <v>3278</v>
      </c>
    </row>
    <row r="7993" ht="22.5" customHeight="1">
      <c r="B7993" s="42" t="str">
        <f>IFERROR(__xludf.DUMMYFUNCTION("""COMPUTED_VALUE"""),"K/15/031025/5	")</f>
        <v>K/15/031025/5	</v>
      </c>
      <c r="C7993" s="42" t="str">
        <f>IFERROR(__xludf.DUMMYFUNCTION("""COMPUTED_VALUE"""),"M. 4644/Sukadana Ham	")</f>
        <v>M. 4644/Sukadana Ham	</v>
      </c>
      <c r="D7993" s="42"/>
      <c r="E7993" s="42"/>
      <c r="F7993" s="48" t="str">
        <f>IFERROR(__xludf.DUMMYFUNCTION("""COMPUTED_VALUE"""),"")</f>
        <v/>
      </c>
      <c r="G7993" s="42" t="str">
        <f>IFERROR(__xludf.DUMMYFUNCTION("""COMPUTED_VALUE"""),"BN Jual Beli	")</f>
        <v>BN Jual Beli	</v>
      </c>
      <c r="H7993" s="42">
        <f t="shared" si="1"/>
        <v>3278</v>
      </c>
    </row>
    <row r="7994" ht="22.5" customHeight="1">
      <c r="B7994" s="42" t="str">
        <f>IFERROR(__xludf.DUMMYFUNCTION("""COMPUTED_VALUE"""),"K/21/031025/1")</f>
        <v>K/21/031025/1</v>
      </c>
      <c r="C7994" s="42" t="str">
        <f>IFERROR(__xludf.DUMMYFUNCTION("""COMPUTED_VALUE"""),"M. 6252/Way Kandis	")</f>
        <v>M. 6252/Way Kandis	</v>
      </c>
      <c r="D7994" s="42"/>
      <c r="E7994" s="42"/>
      <c r="F7994" s="48" t="str">
        <f>IFERROR(__xludf.DUMMYFUNCTION("""COMPUTED_VALUE"""),"")</f>
        <v/>
      </c>
      <c r="G7994" s="42" t="str">
        <f>IFERROR(__xludf.DUMMYFUNCTION("""COMPUTED_VALUE"""),"BN Jual Beli	")</f>
        <v>BN Jual Beli	</v>
      </c>
      <c r="H7994" s="42">
        <f t="shared" si="1"/>
        <v>3278</v>
      </c>
    </row>
    <row r="7995" ht="22.5" customHeight="1">
      <c r="B7995" s="42" t="str">
        <f>IFERROR(__xludf.DUMMYFUNCTION("""COMPUTED_VALUE"""),"K/20/031025/1")</f>
        <v>K/20/031025/1</v>
      </c>
      <c r="C7995" s="42" t="str">
        <f>IFERROR(__xludf.DUMMYFUNCTION("""COMPUTED_VALUE"""),"M. 3137/KEMILING PERMAI")</f>
        <v>M. 3137/KEMILING PERMAI</v>
      </c>
      <c r="D7995" s="42"/>
      <c r="E7995" s="42"/>
      <c r="F7995" s="48" t="str">
        <f>IFERROR(__xludf.DUMMYFUNCTION("""COMPUTED_VALUE"""),"")</f>
        <v/>
      </c>
      <c r="G7995" s="42" t="str">
        <f>IFERROR(__xludf.DUMMYFUNCTION("""COMPUTED_VALUE"""),"BN JUAL BELI EL")</f>
        <v>BN JUAL BELI EL</v>
      </c>
      <c r="H7995" s="42">
        <f t="shared" si="1"/>
        <v>3278</v>
      </c>
    </row>
    <row r="7996" ht="22.5" customHeight="1">
      <c r="B7996" s="42" t="str">
        <f>IFERROR(__xludf.DUMMYFUNCTION("""COMPUTED_VALUE"""),"K/23/031025/1")</f>
        <v>K/23/031025/1</v>
      </c>
      <c r="C7996" s="42" t="str">
        <f>IFERROR(__xludf.DUMMYFUNCTION("""COMPUTED_VALUE"""),"NIBEL M 23133/ LABUHAN RATU RAYA")</f>
        <v>NIBEL M 23133/ LABUHAN RATU RAYA</v>
      </c>
      <c r="D7996" s="42"/>
      <c r="E7996" s="42"/>
      <c r="F7996" s="48" t="str">
        <f>IFERROR(__xludf.DUMMYFUNCTION("""COMPUTED_VALUE"""),"")</f>
        <v/>
      </c>
      <c r="G7996" s="42" t="str">
        <f>IFERROR(__xludf.DUMMYFUNCTION("""COMPUTED_VALUE"""),"BN JUAL BELI")</f>
        <v>BN JUAL BELI</v>
      </c>
      <c r="H7996" s="42">
        <f t="shared" si="1"/>
        <v>3278</v>
      </c>
    </row>
    <row r="7997" ht="22.5" customHeight="1">
      <c r="B7997" s="42" t="str">
        <f>IFERROR(__xludf.DUMMYFUNCTION("""COMPUTED_VALUE"""),"K/29/031025/1")</f>
        <v>K/29/031025/1</v>
      </c>
      <c r="C7997" s="42" t="str">
        <f>IFERROR(__xludf.DUMMYFUNCTION("""COMPUTED_VALUE"""),"M 2423/ CAMPANG JAYA")</f>
        <v>M 2423/ CAMPANG JAYA</v>
      </c>
      <c r="D7997" s="42"/>
      <c r="E7997" s="42"/>
      <c r="F7997" s="48" t="str">
        <f>IFERROR(__xludf.DUMMYFUNCTION("""COMPUTED_VALUE"""),"")</f>
        <v/>
      </c>
      <c r="G7997" s="42" t="str">
        <f>IFERROR(__xludf.DUMMYFUNCTION("""COMPUTED_VALUE"""),"BN WARIS")</f>
        <v>BN WARIS</v>
      </c>
      <c r="H7997" s="42">
        <f t="shared" si="1"/>
        <v>3278</v>
      </c>
    </row>
    <row r="7998" ht="22.5" customHeight="1">
      <c r="B7998" s="42" t="str">
        <f>IFERROR(__xludf.DUMMYFUNCTION("""COMPUTED_VALUE"""),"K/22/031025/1")</f>
        <v>K/22/031025/1</v>
      </c>
      <c r="C7998" s="42" t="str">
        <f>IFERROR(__xludf.DUMMYFUNCTION("""COMPUTED_VALUE"""),"B. 536/SURABAYA")</f>
        <v>B. 536/SURABAYA</v>
      </c>
      <c r="D7998" s="42" t="str">
        <f>IFERROR(__xludf.DUMMYFUNCTION("""COMPUTED_VALUE"""),"Berry")</f>
        <v>Berry</v>
      </c>
      <c r="E7998" s="42" t="str">
        <f>IFERROR(__xludf.DUMMYFUNCTION("""COMPUTED_VALUE"""),"DISERAHKAN")</f>
        <v>DISERAHKAN</v>
      </c>
      <c r="F7998" s="48">
        <f>IFERROR(__xludf.DUMMYFUNCTION("""COMPUTED_VALUE"""),45996.58962533565)</f>
        <v>45996.58963</v>
      </c>
      <c r="G7998" s="42" t="str">
        <f>IFERROR(__xludf.DUMMYFUNCTION("""COMPUTED_VALUE"""),"PTPGT")</f>
        <v>PTPGT</v>
      </c>
      <c r="H7998" s="42">
        <f t="shared" si="1"/>
        <v>3279</v>
      </c>
    </row>
    <row r="7999" ht="22.5" customHeight="1">
      <c r="B7999" s="42" t="str">
        <f>IFERROR(__xludf.DUMMYFUNCTION("""COMPUTED_VALUE"""),"K/30/031025/1")</f>
        <v>K/30/031025/1</v>
      </c>
      <c r="C7999" s="42" t="str">
        <f>IFERROR(__xludf.DUMMYFUNCTION("""COMPUTED_VALUE"""),"M.470/Kota Sepang	")</f>
        <v>M.470/Kota Sepang	</v>
      </c>
      <c r="D7999" s="42"/>
      <c r="E7999" s="42"/>
      <c r="F7999" s="48" t="str">
        <f>IFERROR(__xludf.DUMMYFUNCTION("""COMPUTED_VALUE"""),"")</f>
        <v/>
      </c>
      <c r="G7999" s="42" t="str">
        <f>IFERROR(__xludf.DUMMYFUNCTION("""COMPUTED_VALUE"""),"BN Jual Beli	")</f>
        <v>BN Jual Beli	</v>
      </c>
      <c r="H7999" s="42">
        <f t="shared" si="1"/>
        <v>3279</v>
      </c>
    </row>
    <row r="8000" ht="22.5" customHeight="1">
      <c r="B8000" s="42" t="str">
        <f>IFERROR(__xludf.DUMMYFUNCTION("""COMPUTED_VALUE"""),"K/32/031025/1")</f>
        <v>K/32/031025/1</v>
      </c>
      <c r="C8000" s="42" t="str">
        <f>IFERROR(__xludf.DUMMYFUNCTION("""COMPUTED_VALUE"""),"Nibel 19760/Kampung Baru	")</f>
        <v>Nibel 19760/Kampung Baru	</v>
      </c>
      <c r="D8000" s="42" t="str">
        <f>IFERROR(__xludf.DUMMYFUNCTION("""COMPUTED_VALUE"""),"David")</f>
        <v>David</v>
      </c>
      <c r="E8000" s="42" t="str">
        <f>IFERROR(__xludf.DUMMYFUNCTION("""COMPUTED_VALUE"""),"DISERAHKAN")</f>
        <v>DISERAHKAN</v>
      </c>
      <c r="F8000" s="48">
        <f>IFERROR(__xludf.DUMMYFUNCTION("""COMPUTED_VALUE"""),45993.58502726852)</f>
        <v>45993.58503</v>
      </c>
      <c r="G8000" s="42" t="str">
        <f>IFERROR(__xludf.DUMMYFUNCTION("""COMPUTED_VALUE"""),"BN Jual Beli	")</f>
        <v>BN Jual Beli	</v>
      </c>
      <c r="H8000" s="42">
        <f t="shared" si="1"/>
        <v>3280</v>
      </c>
    </row>
    <row r="8001" ht="22.5" customHeight="1">
      <c r="B8001" s="42" t="str">
        <f>IFERROR(__xludf.DUMMYFUNCTION("""COMPUTED_VALUE"""),"K/24/031025/1")</f>
        <v>K/24/031025/1</v>
      </c>
      <c r="C8001" s="42" t="str">
        <f>IFERROR(__xludf.DUMMYFUNCTION("""COMPUTED_VALUE"""),"NIBEL M 17411/ BUMI RAYA")</f>
        <v>NIBEL M 17411/ BUMI RAYA</v>
      </c>
      <c r="D8001" s="42"/>
      <c r="E8001" s="42"/>
      <c r="F8001" s="48" t="str">
        <f>IFERROR(__xludf.DUMMYFUNCTION("""COMPUTED_VALUE"""),"")</f>
        <v/>
      </c>
      <c r="G8001" s="42" t="str">
        <f>IFERROR(__xludf.DUMMYFUNCTION("""COMPUTED_VALUE"""),"BN JUAL BELI")</f>
        <v>BN JUAL BELI</v>
      </c>
      <c r="H8001" s="42">
        <f t="shared" si="1"/>
        <v>3280</v>
      </c>
    </row>
    <row r="8002" ht="22.5" customHeight="1">
      <c r="B8002" s="42" t="str">
        <f>IFERROR(__xludf.DUMMYFUNCTION("""COMPUTED_VALUE"""),"K/25/031025/2")</f>
        <v>K/25/031025/2</v>
      </c>
      <c r="C8002" s="42" t="str">
        <f>IFERROR(__xludf.DUMMYFUNCTION("""COMPUTED_VALUE"""),"NIBEL M 19052/ BUMI RAYA")</f>
        <v>NIBEL M 19052/ BUMI RAYA</v>
      </c>
      <c r="D8002" s="42"/>
      <c r="E8002" s="42"/>
      <c r="F8002" s="48" t="str">
        <f>IFERROR(__xludf.DUMMYFUNCTION("""COMPUTED_VALUE"""),"")</f>
        <v/>
      </c>
      <c r="G8002" s="42" t="str">
        <f>IFERROR(__xludf.DUMMYFUNCTION("""COMPUTED_VALUE"""),"BN JUAL BELI")</f>
        <v>BN JUAL BELI</v>
      </c>
      <c r="H8002" s="42">
        <f t="shared" si="1"/>
        <v>3280</v>
      </c>
    </row>
    <row r="8003" ht="22.5" customHeight="1">
      <c r="B8003" s="42" t="str">
        <f>IFERROR(__xludf.DUMMYFUNCTION("""COMPUTED_VALUE"""),"K/26/031025/3")</f>
        <v>K/26/031025/3</v>
      </c>
      <c r="C8003" s="42" t="str">
        <f>IFERROR(__xludf.DUMMYFUNCTION("""COMPUTED_VALUE"""),"M 207/ BUMI RAYA")</f>
        <v>M 207/ BUMI RAYA</v>
      </c>
      <c r="D8003" s="42"/>
      <c r="E8003" s="42"/>
      <c r="F8003" s="48" t="str">
        <f>IFERROR(__xludf.DUMMYFUNCTION("""COMPUTED_VALUE"""),"")</f>
        <v/>
      </c>
      <c r="G8003" s="42" t="str">
        <f>IFERROR(__xludf.DUMMYFUNCTION("""COMPUTED_VALUE"""),"BN JUAL BELI")</f>
        <v>BN JUAL BELI</v>
      </c>
      <c r="H8003" s="42">
        <f t="shared" si="1"/>
        <v>3280</v>
      </c>
    </row>
    <row r="8004" ht="22.5" customHeight="1">
      <c r="B8004" s="42" t="str">
        <f>IFERROR(__xludf.DUMMYFUNCTION("""COMPUTED_VALUE"""),"K/27/031025/4")</f>
        <v>K/27/031025/4</v>
      </c>
      <c r="C8004" s="42" t="str">
        <f>IFERROR(__xludf.DUMMYFUNCTION("""COMPUTED_VALUE"""),"M 815/ PEMATANG WANGI")</f>
        <v>M 815/ PEMATANG WANGI</v>
      </c>
      <c r="D8004" s="42"/>
      <c r="E8004" s="42"/>
      <c r="F8004" s="48" t="str">
        <f>IFERROR(__xludf.DUMMYFUNCTION("""COMPUTED_VALUE"""),"")</f>
        <v/>
      </c>
      <c r="G8004" s="42" t="str">
        <f>IFERROR(__xludf.DUMMYFUNCTION("""COMPUTED_VALUE"""),"BN JUAL BELI")</f>
        <v>BN JUAL BELI</v>
      </c>
      <c r="H8004" s="42">
        <f t="shared" si="1"/>
        <v>3280</v>
      </c>
    </row>
    <row r="8005" ht="22.5" customHeight="1">
      <c r="B8005" s="42" t="str">
        <f>IFERROR(__xludf.DUMMYFUNCTION("""COMPUTED_VALUE"""),"K/33/031025/1")</f>
        <v>K/33/031025/1</v>
      </c>
      <c r="C8005" s="42" t="str">
        <f>IFERROR(__xludf.DUMMYFUNCTION("""COMPUTED_VALUE"""),"Nibel 20882/Rajabasa Jaya")</f>
        <v>Nibel 20882/Rajabasa Jaya</v>
      </c>
      <c r="D8005" s="42"/>
      <c r="E8005" s="42"/>
      <c r="F8005" s="48" t="str">
        <f>IFERROR(__xludf.DUMMYFUNCTION("""COMPUTED_VALUE"""),"")</f>
        <v/>
      </c>
      <c r="G8005" s="42" t="str">
        <f>IFERROR(__xludf.DUMMYFUNCTION("""COMPUTED_VALUE"""),"BN Jual Beli		")</f>
        <v>BN Jual Beli		</v>
      </c>
      <c r="H8005" s="42">
        <f t="shared" si="1"/>
        <v>3280</v>
      </c>
    </row>
    <row r="8006" ht="22.5" customHeight="1">
      <c r="B8006" s="42" t="str">
        <f>IFERROR(__xludf.DUMMYFUNCTION("""COMPUTED_VALUE"""),"L/1/061025/1")</f>
        <v>L/1/061025/1</v>
      </c>
      <c r="C8006" s="42" t="str">
        <f>IFERROR(__xludf.DUMMYFUNCTION("""COMPUTED_VALUE"""),"M.1817/KUPANG KOTA")</f>
        <v>M.1817/KUPANG KOTA</v>
      </c>
      <c r="D8006" s="42"/>
      <c r="E8006" s="42"/>
      <c r="F8006" s="48" t="str">
        <f>IFERROR(__xludf.DUMMYFUNCTION("""COMPUTED_VALUE"""),"")</f>
        <v/>
      </c>
      <c r="G8006" s="42" t="str">
        <f>IFERROR(__xludf.DUMMYFUNCTION("""COMPUTED_VALUE"""),"ROYA")</f>
        <v>ROYA</v>
      </c>
      <c r="H8006" s="42">
        <f t="shared" si="1"/>
        <v>3280</v>
      </c>
    </row>
    <row r="8007" ht="22.5" customHeight="1">
      <c r="B8007" s="42" t="str">
        <f>IFERROR(__xludf.DUMMYFUNCTION("""COMPUTED_VALUE"""),"K/31/061025/1")</f>
        <v>K/31/061025/1</v>
      </c>
      <c r="C8007" s="42" t="str">
        <f>IFERROR(__xludf.DUMMYFUNCTION("""COMPUTED_VALUE"""),"NIBEL M. 16365/WAY KANDIS")</f>
        <v>NIBEL M. 16365/WAY KANDIS</v>
      </c>
      <c r="D8007" s="42" t="str">
        <f>IFERROR(__xludf.DUMMYFUNCTION("""COMPUTED_VALUE"""),"Berry")</f>
        <v>Berry</v>
      </c>
      <c r="E8007" s="42" t="str">
        <f>IFERROR(__xludf.DUMMYFUNCTION("""COMPUTED_VALUE"""),"DISERAHKAN")</f>
        <v>DISERAHKAN</v>
      </c>
      <c r="F8007" s="48">
        <f>IFERROR(__xludf.DUMMYFUNCTION("""COMPUTED_VALUE"""),45988.65004359954)</f>
        <v>45988.65004</v>
      </c>
      <c r="G8007" s="42" t="str">
        <f>IFERROR(__xludf.DUMMYFUNCTION("""COMPUTED_VALUE"""),"PEMECAHAN")</f>
        <v>PEMECAHAN</v>
      </c>
      <c r="H8007" s="42">
        <f t="shared" si="1"/>
        <v>3281</v>
      </c>
    </row>
    <row r="8008" ht="22.5" customHeight="1">
      <c r="B8008" s="42" t="str">
        <f>IFERROR(__xludf.DUMMYFUNCTION("""COMPUTED_VALUE"""),"K/2/061025/1")</f>
        <v>K/2/061025/1</v>
      </c>
      <c r="C8008" s="42" t="str">
        <f>IFERROR(__xludf.DUMMYFUNCTION("""COMPUTED_VALUE"""),"Nibel 23608/Sukabumi	")</f>
        <v>Nibel 23608/Sukabumi	</v>
      </c>
      <c r="D8008" s="42"/>
      <c r="E8008" s="42"/>
      <c r="F8008" s="48" t="str">
        <f>IFERROR(__xludf.DUMMYFUNCTION("""COMPUTED_VALUE"""),"")</f>
        <v/>
      </c>
      <c r="G8008" s="42" t="str">
        <f>IFERROR(__xludf.DUMMYFUNCTION("""COMPUTED_VALUE"""),"BN Jual Beli	")</f>
        <v>BN Jual Beli	</v>
      </c>
      <c r="H8008" s="42">
        <f t="shared" si="1"/>
        <v>3281</v>
      </c>
    </row>
    <row r="8009" ht="22.5" customHeight="1">
      <c r="B8009" s="42" t="str">
        <f>IFERROR(__xludf.DUMMYFUNCTION("""COMPUTED_VALUE"""),"L/4/061025/1")</f>
        <v>L/4/061025/1</v>
      </c>
      <c r="C8009" s="42" t="str">
        <f>IFERROR(__xludf.DUMMYFUNCTION("""COMPUTED_VALUE"""),"B. 385/RAJABASA")</f>
        <v>B. 385/RAJABASA</v>
      </c>
      <c r="D8009" s="42"/>
      <c r="E8009" s="42"/>
      <c r="F8009" s="48" t="str">
        <f>IFERROR(__xludf.DUMMYFUNCTION("""COMPUTED_VALUE"""),"")</f>
        <v/>
      </c>
      <c r="G8009" s="42" t="str">
        <f>IFERROR(__xludf.DUMMYFUNCTION("""COMPUTED_VALUE"""),"ROYA")</f>
        <v>ROYA</v>
      </c>
      <c r="H8009" s="42">
        <f t="shared" si="1"/>
        <v>3281</v>
      </c>
    </row>
    <row r="8010" ht="22.5" customHeight="1">
      <c r="B8010" s="42" t="str">
        <f>IFERROR(__xludf.DUMMYFUNCTION("""COMPUTED_VALUE"""),"K/5/061025/1")</f>
        <v>K/5/061025/1</v>
      </c>
      <c r="C8010" s="42" t="str">
        <f>IFERROR(__xludf.DUMMYFUNCTION("""COMPUTED_VALUE"""),"M. 1528/Kedaung	")</f>
        <v>M. 1528/Kedaung	</v>
      </c>
      <c r="D8010" s="42"/>
      <c r="E8010" s="42"/>
      <c r="F8010" s="48" t="str">
        <f>IFERROR(__xludf.DUMMYFUNCTION("""COMPUTED_VALUE"""),"")</f>
        <v/>
      </c>
      <c r="G8010" s="42" t="str">
        <f>IFERROR(__xludf.DUMMYFUNCTION("""COMPUTED_VALUE"""),"BN Jual Beli	")</f>
        <v>BN Jual Beli	</v>
      </c>
      <c r="H8010" s="42">
        <f t="shared" si="1"/>
        <v>3281</v>
      </c>
    </row>
    <row r="8011" ht="22.5" customHeight="1">
      <c r="B8011" s="42" t="str">
        <f>IFERROR(__xludf.DUMMYFUNCTION("""COMPUTED_VALUE"""),"L/6/061025/1")</f>
        <v>L/6/061025/1</v>
      </c>
      <c r="C8011" s="42" t="str">
        <f>IFERROR(__xludf.DUMMYFUNCTION("""COMPUTED_VALUE"""),"SHM 11255/KEDAMAIAN")</f>
        <v>SHM 11255/KEDAMAIAN</v>
      </c>
      <c r="D8011" s="42" t="str">
        <f>IFERROR(__xludf.DUMMYFUNCTION("""COMPUTED_VALUE"""),"Berry")</f>
        <v>Berry</v>
      </c>
      <c r="E8011" s="42" t="str">
        <f>IFERROR(__xludf.DUMMYFUNCTION("""COMPUTED_VALUE"""),"DISERAHKAN")</f>
        <v>DISERAHKAN</v>
      </c>
      <c r="F8011" s="48">
        <f>IFERROR(__xludf.DUMMYFUNCTION("""COMPUTED_VALUE"""),45975.49259587963)</f>
        <v>45975.4926</v>
      </c>
      <c r="G8011" s="42" t="str">
        <f>IFERROR(__xludf.DUMMYFUNCTION("""COMPUTED_VALUE"""),"SERTIPIKAT HILANG")</f>
        <v>SERTIPIKAT HILANG</v>
      </c>
      <c r="H8011" s="42">
        <f t="shared" si="1"/>
        <v>3282</v>
      </c>
    </row>
    <row r="8012" ht="22.5" customHeight="1">
      <c r="B8012" s="42" t="str">
        <f>IFERROR(__xludf.DUMMYFUNCTION("""COMPUTED_VALUE"""),"K/7/061025/1")</f>
        <v>K/7/061025/1</v>
      </c>
      <c r="C8012" s="42" t="str">
        <f>IFERROR(__xludf.DUMMYFUNCTION("""COMPUTED_VALUE"""),"M 261/ PENENGAHAN RAYA")</f>
        <v>M 261/ PENENGAHAN RAYA</v>
      </c>
      <c r="D8012" s="42"/>
      <c r="E8012" s="42"/>
      <c r="F8012" s="48" t="str">
        <f>IFERROR(__xludf.DUMMYFUNCTION("""COMPUTED_VALUE"""),"")</f>
        <v/>
      </c>
      <c r="G8012" s="42" t="str">
        <f>IFERROR(__xludf.DUMMYFUNCTION("""COMPUTED_VALUE"""),"BN WARIS")</f>
        <v>BN WARIS</v>
      </c>
      <c r="H8012" s="42">
        <f t="shared" si="1"/>
        <v>3282</v>
      </c>
    </row>
    <row r="8013" ht="22.5" customHeight="1">
      <c r="B8013" s="42" t="str">
        <f>IFERROR(__xludf.DUMMYFUNCTION("""COMPUTED_VALUE"""),"L/9/061025/1")</f>
        <v>L/9/061025/1</v>
      </c>
      <c r="C8013" s="42" t="str">
        <f>IFERROR(__xludf.DUMMYFUNCTION("""COMPUTED_VALUE"""),"M. 4160/SUKADANAHAM")</f>
        <v>M. 4160/SUKADANAHAM</v>
      </c>
      <c r="D8013" s="42" t="str">
        <f>IFERROR(__xludf.DUMMYFUNCTION("""COMPUTED_VALUE"""),"Berry")</f>
        <v>Berry</v>
      </c>
      <c r="E8013" s="42" t="str">
        <f>IFERROR(__xludf.DUMMYFUNCTION("""COMPUTED_VALUE"""),"DISERAHKAN")</f>
        <v>DISERAHKAN</v>
      </c>
      <c r="F8013" s="48">
        <f>IFERROR(__xludf.DUMMYFUNCTION("""COMPUTED_VALUE"""),45966.652042430556)</f>
        <v>45966.65204</v>
      </c>
      <c r="G8013" s="42" t="str">
        <f>IFERROR(__xludf.DUMMYFUNCTION("""COMPUTED_VALUE"""),"HAPUS BPHTB")</f>
        <v>HAPUS BPHTB</v>
      </c>
      <c r="H8013" s="42">
        <f t="shared" si="1"/>
        <v>3283</v>
      </c>
    </row>
    <row r="8014" ht="22.5" customHeight="1">
      <c r="B8014" s="42" t="str">
        <f>IFERROR(__xludf.DUMMYFUNCTION("""COMPUTED_VALUE"""),"K/10/061025/1")</f>
        <v>K/10/061025/1</v>
      </c>
      <c r="C8014" s="42" t="str">
        <f>IFERROR(__xludf.DUMMYFUNCTION("""COMPUTED_VALUE"""),"M 3266/ KOTA BARU")</f>
        <v>M 3266/ KOTA BARU</v>
      </c>
      <c r="D8014" s="42" t="str">
        <f>IFERROR(__xludf.DUMMYFUNCTION("""COMPUTED_VALUE"""),"David")</f>
        <v>David</v>
      </c>
      <c r="E8014" s="42" t="str">
        <f>IFERROR(__xludf.DUMMYFUNCTION("""COMPUTED_VALUE"""),"DISERAHKAN")</f>
        <v>DISERAHKAN</v>
      </c>
      <c r="F8014" s="48">
        <f>IFERROR(__xludf.DUMMYFUNCTION("""COMPUTED_VALUE"""),45945.62736012731)</f>
        <v>45945.62736</v>
      </c>
      <c r="G8014" s="42" t="str">
        <f>IFERROR(__xludf.DUMMYFUNCTION("""COMPUTED_VALUE"""),"BN JUAL BELI")</f>
        <v>BN JUAL BELI</v>
      </c>
      <c r="H8014" s="42">
        <f t="shared" si="1"/>
        <v>3284</v>
      </c>
    </row>
    <row r="8015" ht="22.5" customHeight="1">
      <c r="B8015" s="42" t="str">
        <f>IFERROR(__xludf.DUMMYFUNCTION("""COMPUTED_VALUE"""),"K/8/061025/1")</f>
        <v>K/8/061025/1</v>
      </c>
      <c r="C8015" s="42" t="str">
        <f>IFERROR(__xludf.DUMMYFUNCTION("""COMPUTED_VALUE"""),"M. 402/ Enggal	")</f>
        <v>M. 402/ Enggal	</v>
      </c>
      <c r="D8015" s="42" t="str">
        <f>IFERROR(__xludf.DUMMYFUNCTION("""COMPUTED_VALUE"""),"David")</f>
        <v>David</v>
      </c>
      <c r="E8015" s="42" t="str">
        <f>IFERROR(__xludf.DUMMYFUNCTION("""COMPUTED_VALUE"""),"DISERAHKAN")</f>
        <v>DISERAHKAN</v>
      </c>
      <c r="F8015" s="48">
        <f>IFERROR(__xludf.DUMMYFUNCTION("""COMPUTED_VALUE"""),45993.58543464121)</f>
        <v>45993.58543</v>
      </c>
      <c r="G8015" s="42" t="str">
        <f>IFERROR(__xludf.DUMMYFUNCTION("""COMPUTED_VALUE"""),"BN Jual Beli	")</f>
        <v>BN Jual Beli	</v>
      </c>
      <c r="H8015" s="42">
        <f t="shared" si="1"/>
        <v>3285</v>
      </c>
    </row>
    <row r="8016" ht="22.5" customHeight="1">
      <c r="B8016" s="42" t="str">
        <f>IFERROR(__xludf.DUMMYFUNCTION("""COMPUTED_VALUE"""),"K/11/061025/1")</f>
        <v>K/11/061025/1</v>
      </c>
      <c r="C8016" s="42" t="str">
        <f>IFERROR(__xludf.DUMMYFUNCTION("""COMPUTED_VALUE"""),"M 1357/ PERUMNAS WAY HALIM")</f>
        <v>M 1357/ PERUMNAS WAY HALIM</v>
      </c>
      <c r="D8016" s="42"/>
      <c r="E8016" s="42"/>
      <c r="F8016" s="48" t="str">
        <f>IFERROR(__xludf.DUMMYFUNCTION("""COMPUTED_VALUE"""),"")</f>
        <v/>
      </c>
      <c r="G8016" s="42" t="str">
        <f>IFERROR(__xludf.DUMMYFUNCTION("""COMPUTED_VALUE"""),"BN JUAL BELI")</f>
        <v>BN JUAL BELI</v>
      </c>
      <c r="H8016" s="42">
        <f t="shared" si="1"/>
        <v>3285</v>
      </c>
    </row>
    <row r="8017" ht="22.5" customHeight="1">
      <c r="B8017" s="42" t="str">
        <f>IFERROR(__xludf.DUMMYFUNCTION("""COMPUTED_VALUE"""),"K/11/061025/1")</f>
        <v>K/11/061025/1</v>
      </c>
      <c r="C8017" s="42" t="str">
        <f>IFERROR(__xludf.DUMMYFUNCTION("""COMPUTED_VALUE"""),"M 16365/ SUKABUMI")</f>
        <v>M 16365/ SUKABUMI</v>
      </c>
      <c r="D8017" s="42"/>
      <c r="E8017" s="42"/>
      <c r="F8017" s="48" t="str">
        <f>IFERROR(__xludf.DUMMYFUNCTION("""COMPUTED_VALUE"""),"")</f>
        <v/>
      </c>
      <c r="G8017" s="42" t="str">
        <f>IFERROR(__xludf.DUMMYFUNCTION("""COMPUTED_VALUE"""),"BN JUAL BELI")</f>
        <v>BN JUAL BELI</v>
      </c>
      <c r="H8017" s="42">
        <f t="shared" si="1"/>
        <v>3285</v>
      </c>
    </row>
    <row r="8018" ht="22.5" customHeight="1">
      <c r="B8018" s="42" t="str">
        <f>IFERROR(__xludf.DUMMYFUNCTION("""COMPUTED_VALUE"""),"K/13/061025/3")</f>
        <v>K/13/061025/3</v>
      </c>
      <c r="C8018" s="42" t="str">
        <f>IFERROR(__xludf.DUMMYFUNCTION("""COMPUTED_VALUE"""),"M 21678/ SEPANG JAYA")</f>
        <v>M 21678/ SEPANG JAYA</v>
      </c>
      <c r="D8018" s="42"/>
      <c r="E8018" s="42"/>
      <c r="F8018" s="48" t="str">
        <f>IFERROR(__xludf.DUMMYFUNCTION("""COMPUTED_VALUE"""),"")</f>
        <v/>
      </c>
      <c r="G8018" s="42" t="str">
        <f>IFERROR(__xludf.DUMMYFUNCTION("""COMPUTED_VALUE"""),"BN JUAL BELI")</f>
        <v>BN JUAL BELI</v>
      </c>
      <c r="H8018" s="42">
        <f t="shared" si="1"/>
        <v>3285</v>
      </c>
    </row>
    <row r="8019" ht="22.5" customHeight="1">
      <c r="B8019" s="42" t="str">
        <f>IFERROR(__xludf.DUMMYFUNCTION("""COMPUTED_VALUE"""),"K/14/061025/4")</f>
        <v>K/14/061025/4</v>
      </c>
      <c r="C8019" s="42" t="str">
        <f>IFERROR(__xludf.DUMMYFUNCTION("""COMPUTED_VALUE"""),"NIBEL M 19362/ SUKABUMI")</f>
        <v>NIBEL M 19362/ SUKABUMI</v>
      </c>
      <c r="D8019" s="42"/>
      <c r="E8019" s="42"/>
      <c r="F8019" s="48" t="str">
        <f>IFERROR(__xludf.DUMMYFUNCTION("""COMPUTED_VALUE"""),"")</f>
        <v/>
      </c>
      <c r="G8019" s="42" t="str">
        <f>IFERROR(__xludf.DUMMYFUNCTION("""COMPUTED_VALUE"""),"BN JUAL BELI")</f>
        <v>BN JUAL BELI</v>
      </c>
      <c r="H8019" s="42">
        <f t="shared" si="1"/>
        <v>3285</v>
      </c>
    </row>
    <row r="8020" ht="22.5" customHeight="1">
      <c r="B8020" s="42" t="str">
        <f>IFERROR(__xludf.DUMMYFUNCTION("""COMPUTED_VALUE"""),"K/16/061025/1")</f>
        <v>K/16/061025/1</v>
      </c>
      <c r="C8020" s="42" t="str">
        <f>IFERROR(__xludf.DUMMYFUNCTION("""COMPUTED_VALUE"""),"M. 341/Kota Sepang	")</f>
        <v>M. 341/Kota Sepang	</v>
      </c>
      <c r="D8020" s="42"/>
      <c r="E8020" s="42"/>
      <c r="F8020" s="48" t="str">
        <f>IFERROR(__xludf.DUMMYFUNCTION("""COMPUTED_VALUE"""),"")</f>
        <v/>
      </c>
      <c r="G8020" s="42" t="str">
        <f>IFERROR(__xludf.DUMMYFUNCTION("""COMPUTED_VALUE"""),"BN Lelang	")</f>
        <v>BN Lelang	</v>
      </c>
      <c r="H8020" s="42">
        <f t="shared" si="1"/>
        <v>3285</v>
      </c>
    </row>
    <row r="8021" ht="22.5" customHeight="1">
      <c r="B8021" s="42" t="str">
        <f>IFERROR(__xludf.DUMMYFUNCTION("""COMPUTED_VALUE"""),"K/17/061025/1")</f>
        <v>K/17/061025/1</v>
      </c>
      <c r="C8021" s="42" t="str">
        <f>IFERROR(__xludf.DUMMYFUNCTION("""COMPUTED_VALUE"""),"NIBEL M 22653/ SEGALA MIDER")</f>
        <v>NIBEL M 22653/ SEGALA MIDER</v>
      </c>
      <c r="D8021" s="42" t="str">
        <f>IFERROR(__xludf.DUMMYFUNCTION("""COMPUTED_VALUE"""),"Berry")</f>
        <v>Berry</v>
      </c>
      <c r="E8021" s="42" t="str">
        <f>IFERROR(__xludf.DUMMYFUNCTION("""COMPUTED_VALUE"""),"DISERAHKAN")</f>
        <v>DISERAHKAN</v>
      </c>
      <c r="F8021" s="48">
        <f>IFERROR(__xludf.DUMMYFUNCTION("""COMPUTED_VALUE"""),45951.47778952547)</f>
        <v>45951.47779</v>
      </c>
      <c r="G8021" s="42" t="str">
        <f>IFERROR(__xludf.DUMMYFUNCTION("""COMPUTED_VALUE"""),"BN JUAL BELI")</f>
        <v>BN JUAL BELI</v>
      </c>
      <c r="H8021" s="42">
        <f t="shared" si="1"/>
        <v>3286</v>
      </c>
    </row>
    <row r="8022" ht="22.5" customHeight="1">
      <c r="B8022" s="42" t="str">
        <f>IFERROR(__xludf.DUMMYFUNCTION("""COMPUTED_VALUE"""),"K/18/061025/2")</f>
        <v>K/18/061025/2</v>
      </c>
      <c r="C8022" s="42" t="str">
        <f>IFERROR(__xludf.DUMMYFUNCTION("""COMPUTED_VALUE"""),"NIBEL M 22652/ SEGALA MIDER")</f>
        <v>NIBEL M 22652/ SEGALA MIDER</v>
      </c>
      <c r="D8022" s="42"/>
      <c r="E8022" s="42"/>
      <c r="F8022" s="48" t="str">
        <f>IFERROR(__xludf.DUMMYFUNCTION("""COMPUTED_VALUE"""),"")</f>
        <v/>
      </c>
      <c r="G8022" s="42" t="str">
        <f>IFERROR(__xludf.DUMMYFUNCTION("""COMPUTED_VALUE"""),"BN HIBAH")</f>
        <v>BN HIBAH</v>
      </c>
      <c r="H8022" s="42">
        <f t="shared" si="1"/>
        <v>3286</v>
      </c>
    </row>
    <row r="8023" ht="22.5" customHeight="1">
      <c r="B8023" s="42" t="str">
        <f>IFERROR(__xludf.DUMMYFUNCTION("""COMPUTED_VALUE"""),"K/19/061025/3")</f>
        <v>K/19/061025/3</v>
      </c>
      <c r="C8023" s="42" t="str">
        <f>IFERROR(__xludf.DUMMYFUNCTION("""COMPUTED_VALUE"""),"NIBEL M 22651/ SEGALA MIDER")</f>
        <v>NIBEL M 22651/ SEGALA MIDER</v>
      </c>
      <c r="D8023" s="42"/>
      <c r="E8023" s="42"/>
      <c r="F8023" s="48" t="str">
        <f>IFERROR(__xludf.DUMMYFUNCTION("""COMPUTED_VALUE"""),"")</f>
        <v/>
      </c>
      <c r="G8023" s="42" t="str">
        <f>IFERROR(__xludf.DUMMYFUNCTION("""COMPUTED_VALUE"""),"BN HIBAH")</f>
        <v>BN HIBAH</v>
      </c>
      <c r="H8023" s="42">
        <f t="shared" si="1"/>
        <v>3286</v>
      </c>
    </row>
    <row r="8024" ht="22.5" customHeight="1">
      <c r="B8024" s="42" t="str">
        <f>IFERROR(__xludf.DUMMYFUNCTION("""COMPUTED_VALUE"""),"K/3/031025/1")</f>
        <v>K/3/031025/1</v>
      </c>
      <c r="C8024" s="42" t="str">
        <f>IFERROR(__xludf.DUMMYFUNCTION("""COMPUTED_VALUE"""),"M. 5430/WAY KANDIS")</f>
        <v>M. 5430/WAY KANDIS</v>
      </c>
      <c r="D8024" s="42"/>
      <c r="E8024" s="42"/>
      <c r="F8024" s="48" t="str">
        <f>IFERROR(__xludf.DUMMYFUNCTION("""COMPUTED_VALUE"""),"")</f>
        <v/>
      </c>
      <c r="G8024" s="42" t="str">
        <f>IFERROR(__xludf.DUMMYFUNCTION("""COMPUTED_VALUE"""),"BN JUAL BELI EL")</f>
        <v>BN JUAL BELI EL</v>
      </c>
      <c r="H8024" s="42">
        <f t="shared" si="1"/>
        <v>3286</v>
      </c>
    </row>
    <row r="8025" ht="22.5" customHeight="1">
      <c r="B8025" s="42" t="str">
        <f>IFERROR(__xludf.DUMMYFUNCTION("""COMPUTED_VALUE"""),"K/21/061025/1")</f>
        <v>K/21/061025/1</v>
      </c>
      <c r="C8025" s="42" t="str">
        <f>IFERROR(__xludf.DUMMYFUNCTION("""COMPUTED_VALUE"""),"M. 14692/Rajabasa 	")</f>
        <v>M. 14692/Rajabasa 	</v>
      </c>
      <c r="D8025" s="42"/>
      <c r="E8025" s="42"/>
      <c r="F8025" s="48" t="str">
        <f>IFERROR(__xludf.DUMMYFUNCTION("""COMPUTED_VALUE"""),"")</f>
        <v/>
      </c>
      <c r="G8025" s="42" t="str">
        <f>IFERROR(__xludf.DUMMYFUNCTION("""COMPUTED_VALUE"""),"BN Jual Beli	")</f>
        <v>BN Jual Beli	</v>
      </c>
      <c r="H8025" s="42">
        <f t="shared" si="1"/>
        <v>3286</v>
      </c>
    </row>
    <row r="8026" ht="22.5" customHeight="1">
      <c r="B8026" s="42" t="str">
        <f>IFERROR(__xludf.DUMMYFUNCTION("""COMPUTED_VALUE"""),"K/22/061025/1")</f>
        <v>K/22/061025/1</v>
      </c>
      <c r="C8026" s="42" t="str">
        <f>IFERROR(__xludf.DUMMYFUNCTION("""COMPUTED_VALUE"""),"M 1688/ RAJABASA RAYA")</f>
        <v>M 1688/ RAJABASA RAYA</v>
      </c>
      <c r="D8026" s="42"/>
      <c r="E8026" s="42"/>
      <c r="F8026" s="48" t="str">
        <f>IFERROR(__xludf.DUMMYFUNCTION("""COMPUTED_VALUE"""),"")</f>
        <v/>
      </c>
      <c r="G8026" s="42" t="str">
        <f>IFERROR(__xludf.DUMMYFUNCTION("""COMPUTED_VALUE"""),"BN JUAL BELI")</f>
        <v>BN JUAL BELI</v>
      </c>
      <c r="H8026" s="42">
        <f t="shared" si="1"/>
        <v>3286</v>
      </c>
    </row>
    <row r="8027" ht="22.5" customHeight="1">
      <c r="B8027" s="42" t="str">
        <f>IFERROR(__xludf.DUMMYFUNCTION("""COMPUTED_VALUE"""),"L/23/061025/1")</f>
        <v>L/23/061025/1</v>
      </c>
      <c r="C8027" s="42" t="str">
        <f>IFERROR(__xludf.DUMMYFUNCTION("""COMPUTED_VALUE"""),"M. 3153/RAJABASA JAYA")</f>
        <v>M. 3153/RAJABASA JAYA</v>
      </c>
      <c r="D8027" s="42"/>
      <c r="E8027" s="42"/>
      <c r="F8027" s="48" t="str">
        <f>IFERROR(__xludf.DUMMYFUNCTION("""COMPUTED_VALUE"""),"")</f>
        <v/>
      </c>
      <c r="G8027" s="42" t="str">
        <f>IFERROR(__xludf.DUMMYFUNCTION("""COMPUTED_VALUE"""),"HAPUS BPHTB")</f>
        <v>HAPUS BPHTB</v>
      </c>
      <c r="H8027" s="42">
        <f t="shared" si="1"/>
        <v>3286</v>
      </c>
    </row>
    <row r="8028" ht="22.5" customHeight="1">
      <c r="B8028" s="42" t="str">
        <f>IFERROR(__xludf.DUMMYFUNCTION("""COMPUTED_VALUE"""),"K/24/061025/1")</f>
        <v>K/24/061025/1</v>
      </c>
      <c r="C8028" s="42" t="str">
        <f>IFERROR(__xludf.DUMMYFUNCTION("""COMPUTED_VALUE"""),"M. 2041/Jagabaya III	")</f>
        <v>M. 2041/Jagabaya III	</v>
      </c>
      <c r="D8028" s="42" t="str">
        <f>IFERROR(__xludf.DUMMYFUNCTION("""COMPUTED_VALUE"""),"David")</f>
        <v>David</v>
      </c>
      <c r="E8028" s="42" t="str">
        <f>IFERROR(__xludf.DUMMYFUNCTION("""COMPUTED_VALUE"""),"DISERAHKAN")</f>
        <v>DISERAHKAN</v>
      </c>
      <c r="F8028" s="48">
        <f>IFERROR(__xludf.DUMMYFUNCTION("""COMPUTED_VALUE"""),45944.50321278935)</f>
        <v>45944.50321</v>
      </c>
      <c r="G8028" s="42" t="str">
        <f>IFERROR(__xludf.DUMMYFUNCTION("""COMPUTED_VALUE"""),"BN Jual Beli	")</f>
        <v>BN Jual Beli	</v>
      </c>
      <c r="H8028" s="42">
        <f t="shared" si="1"/>
        <v>3287</v>
      </c>
    </row>
    <row r="8029" ht="22.5" customHeight="1">
      <c r="B8029" s="42" t="str">
        <f>IFERROR(__xludf.DUMMYFUNCTION("""COMPUTED_VALUE"""),"K/25/061025/1")</f>
        <v>K/25/061025/1</v>
      </c>
      <c r="C8029" s="42" t="str">
        <f>IFERROR(__xludf.DUMMYFUNCTION("""COMPUTED_VALUE"""),"Nibel 19103/Kemiling Permai	")</f>
        <v>Nibel 19103/Kemiling Permai	</v>
      </c>
      <c r="D8029" s="42"/>
      <c r="E8029" s="42"/>
      <c r="F8029" s="48" t="str">
        <f>IFERROR(__xludf.DUMMYFUNCTION("""COMPUTED_VALUE"""),"")</f>
        <v/>
      </c>
      <c r="G8029" s="42" t="str">
        <f>IFERROR(__xludf.DUMMYFUNCTION("""COMPUTED_VALUE"""),"Peningkatan Hak	")</f>
        <v>Peningkatan Hak	</v>
      </c>
      <c r="H8029" s="42">
        <f t="shared" si="1"/>
        <v>3287</v>
      </c>
    </row>
    <row r="8030" ht="22.5" customHeight="1">
      <c r="B8030" s="42" t="str">
        <f>IFERROR(__xludf.DUMMYFUNCTION("""COMPUTED_VALUE"""),"L/26/061025/1")</f>
        <v>L/26/061025/1</v>
      </c>
      <c r="C8030" s="42" t="str">
        <f>IFERROR(__xludf.DUMMYFUNCTION("""COMPUTED_VALUE"""),"M NIB 21342/GUNUNG TERANG")</f>
        <v>M NIB 21342/GUNUNG TERANG</v>
      </c>
      <c r="D8030" s="42"/>
      <c r="E8030" s="42"/>
      <c r="F8030" s="48" t="str">
        <f>IFERROR(__xludf.DUMMYFUNCTION("""COMPUTED_VALUE"""),"")</f>
        <v/>
      </c>
      <c r="G8030" s="42" t="str">
        <f>IFERROR(__xludf.DUMMYFUNCTION("""COMPUTED_VALUE"""),"PEMECAHAN")</f>
        <v>PEMECAHAN</v>
      </c>
      <c r="H8030" s="42">
        <f t="shared" si="1"/>
        <v>3287</v>
      </c>
    </row>
    <row r="8031" ht="22.5" customHeight="1">
      <c r="B8031" s="42" t="str">
        <f>IFERROR(__xludf.DUMMYFUNCTION("""COMPUTED_VALUE"""),"K/28/061025/1")</f>
        <v>K/28/061025/1</v>
      </c>
      <c r="C8031" s="42" t="str">
        <f>IFERROR(__xludf.DUMMYFUNCTION("""COMPUTED_VALUE"""),"Nibel 24919/Bakung	")</f>
        <v>Nibel 24919/Bakung	</v>
      </c>
      <c r="D8031" s="42"/>
      <c r="E8031" s="42"/>
      <c r="F8031" s="48" t="str">
        <f>IFERROR(__xludf.DUMMYFUNCTION("""COMPUTED_VALUE"""),"")</f>
        <v/>
      </c>
      <c r="G8031" s="42" t="str">
        <f>IFERROR(__xludf.DUMMYFUNCTION("""COMPUTED_VALUE"""),"Peningkatan Hak	")</f>
        <v>Peningkatan Hak	</v>
      </c>
      <c r="H8031" s="42">
        <f t="shared" si="1"/>
        <v>3287</v>
      </c>
    </row>
    <row r="8032" ht="22.5" customHeight="1">
      <c r="B8032" s="42" t="str">
        <f>IFERROR(__xludf.DUMMYFUNCTION("""COMPUTED_VALUE"""),"K/31/061025/1")</f>
        <v>K/31/061025/1</v>
      </c>
      <c r="C8032" s="42" t="str">
        <f>IFERROR(__xludf.DUMMYFUNCTION("""COMPUTED_VALUE"""),"M 456/ SUKARAME")</f>
        <v>M 456/ SUKARAME</v>
      </c>
      <c r="D8032" s="42"/>
      <c r="E8032" s="42"/>
      <c r="F8032" s="48" t="str">
        <f>IFERROR(__xludf.DUMMYFUNCTION("""COMPUTED_VALUE"""),"")</f>
        <v/>
      </c>
      <c r="G8032" s="42" t="str">
        <f>IFERROR(__xludf.DUMMYFUNCTION("""COMPUTED_VALUE"""),"ROYA AHLI WARIS")</f>
        <v>ROYA AHLI WARIS</v>
      </c>
      <c r="H8032" s="42">
        <f t="shared" si="1"/>
        <v>3287</v>
      </c>
    </row>
    <row r="8033" ht="22.5" customHeight="1">
      <c r="B8033" s="42" t="str">
        <f>IFERROR(__xludf.DUMMYFUNCTION("""COMPUTED_VALUE"""),"K/29/061025/1")</f>
        <v>K/29/061025/1</v>
      </c>
      <c r="C8033" s="42" t="str">
        <f>IFERROR(__xludf.DUMMYFUNCTION("""COMPUTED_VALUE"""),"B. 374/Campang Raya	")</f>
        <v>B. 374/Campang Raya	</v>
      </c>
      <c r="D8033" s="42"/>
      <c r="E8033" s="42"/>
      <c r="F8033" s="48" t="str">
        <f>IFERROR(__xludf.DUMMYFUNCTION("""COMPUTED_VALUE"""),"")</f>
        <v/>
      </c>
      <c r="G8033" s="42" t="str">
        <f>IFERROR(__xludf.DUMMYFUNCTION("""COMPUTED_VALUE"""),"Roya	")</f>
        <v>Roya	</v>
      </c>
      <c r="H8033" s="42">
        <f t="shared" si="1"/>
        <v>3287</v>
      </c>
    </row>
    <row r="8034" ht="22.5" customHeight="1">
      <c r="B8034" s="42" t="str">
        <f>IFERROR(__xludf.DUMMYFUNCTION("""COMPUTED_VALUE"""),"K/27/061025/1")</f>
        <v>K/27/061025/1</v>
      </c>
      <c r="C8034" s="42" t="str">
        <f>IFERROR(__xludf.DUMMYFUNCTION("""COMPUTED_VALUE"""),"M 1462/ RAJABASA PEMUKA")</f>
        <v>M 1462/ RAJABASA PEMUKA</v>
      </c>
      <c r="D8034" s="42"/>
      <c r="E8034" s="42"/>
      <c r="F8034" s="48" t="str">
        <f>IFERROR(__xludf.DUMMYFUNCTION("""COMPUTED_VALUE"""),"")</f>
        <v/>
      </c>
      <c r="G8034" s="42" t="str">
        <f>IFERROR(__xludf.DUMMYFUNCTION("""COMPUTED_VALUE"""),"BN WARIS")</f>
        <v>BN WARIS</v>
      </c>
      <c r="H8034" s="42">
        <f t="shared" si="1"/>
        <v>3287</v>
      </c>
    </row>
    <row r="8035" ht="22.5" customHeight="1">
      <c r="B8035" s="42" t="str">
        <f>IFERROR(__xludf.DUMMYFUNCTION("""COMPUTED_VALUE"""),"K/15/061025/5")</f>
        <v>K/15/061025/5</v>
      </c>
      <c r="C8035" s="42" t="str">
        <f>IFERROR(__xludf.DUMMYFUNCTION("""COMPUTED_VALUE"""),"M 16367/ SUKABUMI")</f>
        <v>M 16367/ SUKABUMI</v>
      </c>
      <c r="D8035" s="42" t="str">
        <f>IFERROR(__xludf.DUMMYFUNCTION("""COMPUTED_VALUE"""),"Berry")</f>
        <v>Berry</v>
      </c>
      <c r="E8035" s="42" t="str">
        <f>IFERROR(__xludf.DUMMYFUNCTION("""COMPUTED_VALUE"""),"DISERAHKAN")</f>
        <v>DISERAHKAN</v>
      </c>
      <c r="F8035" s="48">
        <f>IFERROR(__xludf.DUMMYFUNCTION("""COMPUTED_VALUE"""),45951.469499189814)</f>
        <v>45951.4695</v>
      </c>
      <c r="G8035" s="42" t="str">
        <f>IFERROR(__xludf.DUMMYFUNCTION("""COMPUTED_VALUE"""),"BN JUAL BELI")</f>
        <v>BN JUAL BELI</v>
      </c>
      <c r="H8035" s="42">
        <f t="shared" si="1"/>
        <v>3288</v>
      </c>
    </row>
    <row r="8036" ht="22.5" customHeight="1">
      <c r="B8036" s="42" t="str">
        <f>IFERROR(__xludf.DUMMYFUNCTION("""COMPUTED_VALUE"""),"K/28/031025/5")</f>
        <v>K/28/031025/5</v>
      </c>
      <c r="C8036" s="42" t="str">
        <f>IFERROR(__xludf.DUMMYFUNCTION("""COMPUTED_VALUE"""),"NIBEL M 18024/ BUMI RAYA")</f>
        <v>NIBEL M 18024/ BUMI RAYA</v>
      </c>
      <c r="D8036" s="42"/>
      <c r="E8036" s="42"/>
      <c r="F8036" s="48" t="str">
        <f>IFERROR(__xludf.DUMMYFUNCTION("""COMPUTED_VALUE"""),"")</f>
        <v/>
      </c>
      <c r="G8036" s="42" t="str">
        <f>IFERROR(__xludf.DUMMYFUNCTION("""COMPUTED_VALUE"""),"BN JUAL BELI")</f>
        <v>BN JUAL BELI</v>
      </c>
      <c r="H8036" s="42">
        <f t="shared" si="1"/>
        <v>3288</v>
      </c>
    </row>
    <row r="8037" ht="22.5" customHeight="1">
      <c r="B8037" s="42" t="str">
        <f>IFERROR(__xludf.DUMMYFUNCTION("""COMPUTED_VALUE"""),"K/32/061025/1")</f>
        <v>K/32/061025/1</v>
      </c>
      <c r="C8037" s="42" t="str">
        <f>IFERROR(__xludf.DUMMYFUNCTION("""COMPUTED_VALUE"""),"M 4513/ TANJUNG SENANG")</f>
        <v>M 4513/ TANJUNG SENANG</v>
      </c>
      <c r="D8037" s="42"/>
      <c r="E8037" s="42"/>
      <c r="F8037" s="48" t="str">
        <f>IFERROR(__xludf.DUMMYFUNCTION("""COMPUTED_VALUE"""),"")</f>
        <v/>
      </c>
      <c r="G8037" s="42" t="str">
        <f>IFERROR(__xludf.DUMMYFUNCTION("""COMPUTED_VALUE"""),"BN JUAL BELI")</f>
        <v>BN JUAL BELI</v>
      </c>
      <c r="H8037" s="42">
        <f t="shared" si="1"/>
        <v>3288</v>
      </c>
    </row>
    <row r="8038" ht="22.5" customHeight="1">
      <c r="B8038" s="42" t="str">
        <f>IFERROR(__xludf.DUMMYFUNCTION("""COMPUTED_VALUE"""),"K/20/061025/1")</f>
        <v>K/20/061025/1</v>
      </c>
      <c r="C8038" s="42" t="str">
        <f>IFERROR(__xludf.DUMMYFUNCTION("""COMPUTED_VALUE"""),"NIBEL M. 23309/KEDAMAIAN")</f>
        <v>NIBEL M. 23309/KEDAMAIAN</v>
      </c>
      <c r="D8038" s="42"/>
      <c r="E8038" s="42"/>
      <c r="F8038" s="48" t="str">
        <f>IFERROR(__xludf.DUMMYFUNCTION("""COMPUTED_VALUE"""),"")</f>
        <v/>
      </c>
      <c r="G8038" s="42" t="str">
        <f>IFERROR(__xludf.DUMMYFUNCTION("""COMPUTED_VALUE"""),"PTPGT")</f>
        <v>PTPGT</v>
      </c>
      <c r="H8038" s="42">
        <f t="shared" si="1"/>
        <v>3288</v>
      </c>
    </row>
    <row r="8039" ht="22.5" customHeight="1">
      <c r="B8039" s="42" t="str">
        <f>IFERROR(__xludf.DUMMYFUNCTION("""COMPUTED_VALUE"""),"L/1/071025/1")</f>
        <v>L/1/071025/1</v>
      </c>
      <c r="C8039" s="42" t="str">
        <f>IFERROR(__xludf.DUMMYFUNCTION("""COMPUTED_VALUE"""),"M. 421/GUNUNG TERANG")</f>
        <v>M. 421/GUNUNG TERANG</v>
      </c>
      <c r="D8039" s="42"/>
      <c r="E8039" s="42"/>
      <c r="F8039" s="48" t="str">
        <f>IFERROR(__xludf.DUMMYFUNCTION("""COMPUTED_VALUE"""),"")</f>
        <v/>
      </c>
      <c r="G8039" s="42" t="str">
        <f>IFERROR(__xludf.DUMMYFUNCTION("""COMPUTED_VALUE"""),"SERTIPIKAT HILANG")</f>
        <v>SERTIPIKAT HILANG</v>
      </c>
      <c r="H8039" s="42">
        <f t="shared" si="1"/>
        <v>3288</v>
      </c>
    </row>
    <row r="8040" ht="22.5" customHeight="1">
      <c r="B8040" s="42" t="str">
        <f>IFERROR(__xludf.DUMMYFUNCTION("""COMPUTED_VALUE"""),"L/4/071025/1")</f>
        <v>L/4/071025/1</v>
      </c>
      <c r="C8040" s="42" t="str">
        <f>IFERROR(__xludf.DUMMYFUNCTION("""COMPUTED_VALUE"""),"LUAS 230 M2 KEL WAY DADI BARU")</f>
        <v>LUAS 230 M2 KEL WAY DADI BARU</v>
      </c>
      <c r="D8040" s="42"/>
      <c r="E8040" s="42"/>
      <c r="F8040" s="48" t="str">
        <f>IFERROR(__xludf.DUMMYFUNCTION("""COMPUTED_VALUE"""),"")</f>
        <v/>
      </c>
      <c r="G8040" s="42" t="str">
        <f>IFERROR(__xludf.DUMMYFUNCTION("""COMPUTED_VALUE"""),"PENGUKURAN PERTAMA KALI")</f>
        <v>PENGUKURAN PERTAMA KALI</v>
      </c>
      <c r="H8040" s="42">
        <f t="shared" si="1"/>
        <v>3288</v>
      </c>
    </row>
    <row r="8041" ht="22.5" customHeight="1">
      <c r="B8041" s="42" t="str">
        <f>IFERROR(__xludf.DUMMYFUNCTION("""COMPUTED_VALUE"""),"K/5/071025/1")</f>
        <v>K/5/071025/1</v>
      </c>
      <c r="C8041" s="42" t="str">
        <f>IFERROR(__xludf.DUMMYFUNCTION("""COMPUTED_VALUE"""),"Nibel 3086/Pinang Jaya	")</f>
        <v>Nibel 3086/Pinang Jaya	</v>
      </c>
      <c r="D8041" s="42"/>
      <c r="E8041" s="42"/>
      <c r="F8041" s="48" t="str">
        <f>IFERROR(__xludf.DUMMYFUNCTION("""COMPUTED_VALUE"""),"")</f>
        <v/>
      </c>
      <c r="G8041" s="42" t="str">
        <f>IFERROR(__xludf.DUMMYFUNCTION("""COMPUTED_VALUE"""),"BN Jual Beli	")</f>
        <v>BN Jual Beli	</v>
      </c>
      <c r="H8041" s="42">
        <f t="shared" si="1"/>
        <v>3288</v>
      </c>
    </row>
    <row r="8042" ht="22.5" customHeight="1">
      <c r="B8042" s="42" t="str">
        <f>IFERROR(__xludf.DUMMYFUNCTION("""COMPUTED_VALUE"""),"L/6/071025/1")</f>
        <v>L/6/071025/1</v>
      </c>
      <c r="C8042" s="42" t="str">
        <f>IFERROR(__xludf.DUMMYFUNCTION("""COMPUTED_VALUE"""),"M. 2625/BERINGIN RAYA")</f>
        <v>M. 2625/BERINGIN RAYA</v>
      </c>
      <c r="D8042" s="42"/>
      <c r="E8042" s="42"/>
      <c r="F8042" s="48" t="str">
        <f>IFERROR(__xludf.DUMMYFUNCTION("""COMPUTED_VALUE"""),"")</f>
        <v/>
      </c>
      <c r="G8042" s="42" t="str">
        <f>IFERROR(__xludf.DUMMYFUNCTION("""COMPUTED_VALUE"""),"SERTIPIKAT HILANG")</f>
        <v>SERTIPIKAT HILANG</v>
      </c>
      <c r="H8042" s="42">
        <f t="shared" si="1"/>
        <v>3288</v>
      </c>
    </row>
    <row r="8043" ht="22.5" customHeight="1">
      <c r="B8043" s="42" t="str">
        <f>IFERROR(__xludf.DUMMYFUNCTION("""COMPUTED_VALUE"""),"K/7/071025/1")</f>
        <v>K/7/071025/1</v>
      </c>
      <c r="C8043" s="42" t="str">
        <f>IFERROR(__xludf.DUMMYFUNCTION("""COMPUTED_VALUE"""),"Nibel 24248/Kedaton	")</f>
        <v>Nibel 24248/Kedaton	</v>
      </c>
      <c r="D8043" s="42"/>
      <c r="E8043" s="42"/>
      <c r="F8043" s="48" t="str">
        <f>IFERROR(__xludf.DUMMYFUNCTION("""COMPUTED_VALUE"""),"")</f>
        <v/>
      </c>
      <c r="G8043" s="42" t="str">
        <f>IFERROR(__xludf.DUMMYFUNCTION("""COMPUTED_VALUE"""),"BN Jual Beli	")</f>
        <v>BN Jual Beli	</v>
      </c>
      <c r="H8043" s="42">
        <f t="shared" si="1"/>
        <v>3288</v>
      </c>
    </row>
    <row r="8044" ht="22.5" customHeight="1">
      <c r="B8044" s="42" t="str">
        <f>IFERROR(__xludf.DUMMYFUNCTION("""COMPUTED_VALUE"""),"K/2/071025/1")</f>
        <v>K/2/071025/1</v>
      </c>
      <c r="C8044" s="42" t="str">
        <f>IFERROR(__xludf.DUMMYFUNCTION("""COMPUTED_VALUE"""),"M 1873/ SUMBERREJO")</f>
        <v>M 1873/ SUMBERREJO</v>
      </c>
      <c r="D8044" s="42"/>
      <c r="E8044" s="42"/>
      <c r="F8044" s="48" t="str">
        <f>IFERROR(__xludf.DUMMYFUNCTION("""COMPUTED_VALUE"""),"")</f>
        <v/>
      </c>
      <c r="G8044" s="42" t="str">
        <f>IFERROR(__xludf.DUMMYFUNCTION("""COMPUTED_VALUE"""),"HAPUS BPHTB")</f>
        <v>HAPUS BPHTB</v>
      </c>
      <c r="H8044" s="42">
        <f t="shared" si="1"/>
        <v>3288</v>
      </c>
    </row>
    <row r="8045" ht="22.5" customHeight="1">
      <c r="B8045" s="42" t="str">
        <f>IFERROR(__xludf.DUMMYFUNCTION("""COMPUTED_VALUE"""),"K/8/071025/2")</f>
        <v>K/8/071025/2</v>
      </c>
      <c r="C8045" s="42" t="str">
        <f>IFERROR(__xludf.DUMMYFUNCTION("""COMPUTED_VALUE"""),"Nibel 2550/Way Halim Permai	")</f>
        <v>Nibel 2550/Way Halim Permai	</v>
      </c>
      <c r="D8045" s="42"/>
      <c r="E8045" s="42"/>
      <c r="F8045" s="48" t="str">
        <f>IFERROR(__xludf.DUMMYFUNCTION("""COMPUTED_VALUE"""),"")</f>
        <v/>
      </c>
      <c r="G8045" s="42" t="str">
        <f>IFERROR(__xludf.DUMMYFUNCTION("""COMPUTED_VALUE"""),"BN Jual Beli	")</f>
        <v>BN Jual Beli	</v>
      </c>
      <c r="H8045" s="42">
        <f t="shared" si="1"/>
        <v>3288</v>
      </c>
    </row>
    <row r="8046" ht="22.5" customHeight="1">
      <c r="B8046" s="42" t="str">
        <f>IFERROR(__xludf.DUMMYFUNCTION("""COMPUTED_VALUE"""),"K/10/071025/1")</f>
        <v>K/10/071025/1</v>
      </c>
      <c r="C8046" s="42" t="str">
        <f>IFERROR(__xludf.DUMMYFUNCTION("""COMPUTED_VALUE"""),"NIBEL M 24647/ JAGABAYA III")</f>
        <v>NIBEL M 24647/ JAGABAYA III</v>
      </c>
      <c r="D8046" s="42"/>
      <c r="E8046" s="42"/>
      <c r="F8046" s="48" t="str">
        <f>IFERROR(__xludf.DUMMYFUNCTION("""COMPUTED_VALUE"""),"")</f>
        <v/>
      </c>
      <c r="G8046" s="42" t="str">
        <f>IFERROR(__xludf.DUMMYFUNCTION("""COMPUTED_VALUE"""),"BN HIBAH")</f>
        <v>BN HIBAH</v>
      </c>
      <c r="H8046" s="42">
        <f t="shared" si="1"/>
        <v>3288</v>
      </c>
    </row>
    <row r="8047" ht="22.5" customHeight="1">
      <c r="B8047" s="42" t="str">
        <f>IFERROR(__xludf.DUMMYFUNCTION("""COMPUTED_VALUE"""),"K/9/071025/3")</f>
        <v>K/9/071025/3</v>
      </c>
      <c r="C8047" s="42" t="str">
        <f>IFERROR(__xludf.DUMMYFUNCTION("""COMPUTED_VALUE"""),"B. 677/Sumber Agung	")</f>
        <v>B. 677/Sumber Agung	</v>
      </c>
      <c r="D8047" s="42"/>
      <c r="E8047" s="42"/>
      <c r="F8047" s="48" t="str">
        <f>IFERROR(__xludf.DUMMYFUNCTION("""COMPUTED_VALUE"""),"")</f>
        <v/>
      </c>
      <c r="G8047" s="42" t="str">
        <f>IFERROR(__xludf.DUMMYFUNCTION("""COMPUTED_VALUE"""),"BN Jual Beli	")</f>
        <v>BN Jual Beli	</v>
      </c>
      <c r="H8047" s="42">
        <f t="shared" si="1"/>
        <v>3288</v>
      </c>
    </row>
    <row r="8048" ht="22.5" customHeight="1">
      <c r="B8048" s="42" t="str">
        <f>IFERROR(__xludf.DUMMYFUNCTION("""COMPUTED_VALUE"""),"L/11/071025/1")</f>
        <v>L/11/071025/1</v>
      </c>
      <c r="C8048" s="42" t="str">
        <f>IFERROR(__xludf.DUMMYFUNCTION("""COMPUTED_VALUE"""),"B. 353/CAMPANG RAYA")</f>
        <v>B. 353/CAMPANG RAYA</v>
      </c>
      <c r="D8048" s="42" t="str">
        <f>IFERROR(__xludf.DUMMYFUNCTION("""COMPUTED_VALUE"""),"Berry")</f>
        <v>Berry</v>
      </c>
      <c r="E8048" s="42" t="str">
        <f>IFERROR(__xludf.DUMMYFUNCTION("""COMPUTED_VALUE"""),"DISERAHKAN")</f>
        <v>DISERAHKAN</v>
      </c>
      <c r="F8048" s="48">
        <f>IFERROR(__xludf.DUMMYFUNCTION("""COMPUTED_VALUE"""),45975.49992032407)</f>
        <v>45975.49992</v>
      </c>
      <c r="G8048" s="42" t="str">
        <f>IFERROR(__xludf.DUMMYFUNCTION("""COMPUTED_VALUE"""),"ROYA")</f>
        <v>ROYA</v>
      </c>
      <c r="H8048" s="42">
        <f t="shared" si="1"/>
        <v>3289</v>
      </c>
    </row>
    <row r="8049" ht="22.5" customHeight="1">
      <c r="B8049" s="42" t="str">
        <f>IFERROR(__xludf.DUMMYFUNCTION("""COMPUTED_VALUE"""),"K/3/071025/1")</f>
        <v>K/3/071025/1</v>
      </c>
      <c r="C8049" s="42" t="str">
        <f>IFERROR(__xludf.DUMMYFUNCTION("""COMPUTED_VALUE"""),"M. 12664/JAGABAYA II")</f>
        <v>M. 12664/JAGABAYA II</v>
      </c>
      <c r="D8049" s="42"/>
      <c r="E8049" s="42"/>
      <c r="F8049" s="48" t="str">
        <f>IFERROR(__xludf.DUMMYFUNCTION("""COMPUTED_VALUE"""),"")</f>
        <v/>
      </c>
      <c r="G8049" s="42" t="str">
        <f>IFERROR(__xludf.DUMMYFUNCTION("""COMPUTED_VALUE"""),"PEMECAHAN ")</f>
        <v>PEMECAHAN </v>
      </c>
      <c r="H8049" s="42">
        <f t="shared" si="1"/>
        <v>3289</v>
      </c>
    </row>
    <row r="8050" ht="22.5" customHeight="1">
      <c r="B8050" s="42" t="str">
        <f>IFERROR(__xludf.DUMMYFUNCTION("""COMPUTED_VALUE"""),"K/12/071025/1")</f>
        <v>K/12/071025/1</v>
      </c>
      <c r="C8050" s="42" t="str">
        <f>IFERROR(__xludf.DUMMYFUNCTION("""COMPUTED_VALUE"""),"B. 1213/SUKARAME I")</f>
        <v>B. 1213/SUKARAME I</v>
      </c>
      <c r="D8050" s="42"/>
      <c r="E8050" s="42"/>
      <c r="F8050" s="48" t="str">
        <f>IFERROR(__xludf.DUMMYFUNCTION("""COMPUTED_VALUE"""),"")</f>
        <v/>
      </c>
      <c r="G8050" s="42" t="str">
        <f>IFERROR(__xludf.DUMMYFUNCTION("""COMPUTED_VALUE"""),"SERTIPIKAT HILANG")</f>
        <v>SERTIPIKAT HILANG</v>
      </c>
      <c r="H8050" s="42">
        <f t="shared" si="1"/>
        <v>3289</v>
      </c>
    </row>
    <row r="8051" ht="22.5" customHeight="1">
      <c r="B8051" s="42" t="str">
        <f>IFERROR(__xludf.DUMMYFUNCTION("""COMPUTED_VALUE"""),"K/14/071025/1")</f>
        <v>K/14/071025/1</v>
      </c>
      <c r="C8051" s="42" t="str">
        <f>IFERROR(__xludf.DUMMYFUNCTION("""COMPUTED_VALUE"""),"M. 9441/Bumi Kedamaian	")</f>
        <v>M. 9441/Bumi Kedamaian	</v>
      </c>
      <c r="D8051" s="42"/>
      <c r="E8051" s="42"/>
      <c r="F8051" s="48" t="str">
        <f>IFERROR(__xludf.DUMMYFUNCTION("""COMPUTED_VALUE"""),"")</f>
        <v/>
      </c>
      <c r="G8051" s="42" t="str">
        <f>IFERROR(__xludf.DUMMYFUNCTION("""COMPUTED_VALUE"""),"BN Jual Beli	")</f>
        <v>BN Jual Beli	</v>
      </c>
      <c r="H8051" s="42">
        <f t="shared" si="1"/>
        <v>3289</v>
      </c>
    </row>
    <row r="8052" ht="22.5" customHeight="1">
      <c r="B8052" s="42" t="str">
        <f>IFERROR(__xludf.DUMMYFUNCTION("""COMPUTED_VALUE"""),"K/13/071025/1")</f>
        <v>K/13/071025/1</v>
      </c>
      <c r="C8052" s="42" t="str">
        <f>IFERROR(__xludf.DUMMYFUNCTION("""COMPUTED_VALUE"""),"M. 1218/PERUMNAS WAY KANDIS")</f>
        <v>M. 1218/PERUMNAS WAY KANDIS</v>
      </c>
      <c r="D8052" s="42"/>
      <c r="E8052" s="42"/>
      <c r="F8052" s="48" t="str">
        <f>IFERROR(__xludf.DUMMYFUNCTION("""COMPUTED_VALUE"""),"")</f>
        <v/>
      </c>
      <c r="G8052" s="42" t="str">
        <f>IFERROR(__xludf.DUMMYFUNCTION("""COMPUTED_VALUE"""),"BN WARIS")</f>
        <v>BN WARIS</v>
      </c>
      <c r="H8052" s="42">
        <f t="shared" si="1"/>
        <v>3289</v>
      </c>
    </row>
    <row r="8053" ht="22.5" customHeight="1">
      <c r="B8053" s="42" t="str">
        <f>IFERROR(__xludf.DUMMYFUNCTION("""COMPUTED_VALUE"""),"K/15/071025/1")</f>
        <v>K/15/071025/1</v>
      </c>
      <c r="C8053" s="42" t="str">
        <f>IFERROR(__xludf.DUMMYFUNCTION("""COMPUTED_VALUE"""),"NIBEL B. 23908/SUKARAME BARU")</f>
        <v>NIBEL B. 23908/SUKARAME BARU</v>
      </c>
      <c r="D8053" s="42" t="str">
        <f>IFERROR(__xludf.DUMMYFUNCTION("""COMPUTED_VALUE"""),"Berry")</f>
        <v>Berry</v>
      </c>
      <c r="E8053" s="42" t="str">
        <f>IFERROR(__xludf.DUMMYFUNCTION("""COMPUTED_VALUE"""),"DISERAHKAN")</f>
        <v>DISERAHKAN</v>
      </c>
      <c r="F8053" s="48">
        <f>IFERROR(__xludf.DUMMYFUNCTION("""COMPUTED_VALUE"""),45996.58962533565)</f>
        <v>45996.58963</v>
      </c>
      <c r="G8053" s="42" t="str">
        <f>IFERROR(__xludf.DUMMYFUNCTION("""COMPUTED_VALUE"""),"PERUBAHAN HAK")</f>
        <v>PERUBAHAN HAK</v>
      </c>
      <c r="H8053" s="42">
        <f t="shared" si="1"/>
        <v>3290</v>
      </c>
    </row>
    <row r="8054" ht="22.5" customHeight="1">
      <c r="B8054" s="42" t="str">
        <f>IFERROR(__xludf.DUMMYFUNCTION("""COMPUTED_VALUE"""),"K/17/071025/1")</f>
        <v>K/17/071025/1</v>
      </c>
      <c r="C8054" s="42" t="str">
        <f>IFERROR(__xludf.DUMMYFUNCTION("""COMPUTED_VALUE"""),"M 6125/ WAY KANDIS")</f>
        <v>M 6125/ WAY KANDIS</v>
      </c>
      <c r="D8054" s="42"/>
      <c r="E8054" s="42"/>
      <c r="F8054" s="48" t="str">
        <f>IFERROR(__xludf.DUMMYFUNCTION("""COMPUTED_VALUE"""),"")</f>
        <v/>
      </c>
      <c r="G8054" s="42" t="str">
        <f>IFERROR(__xludf.DUMMYFUNCTION("""COMPUTED_VALUE"""),"BN JUAL BELI")</f>
        <v>BN JUAL BELI</v>
      </c>
      <c r="H8054" s="42">
        <f t="shared" si="1"/>
        <v>3290</v>
      </c>
    </row>
    <row r="8055" ht="22.5" customHeight="1">
      <c r="B8055" s="42" t="str">
        <f>IFERROR(__xludf.DUMMYFUNCTION("""COMPUTED_VALUE"""),"K/18/071025/1")</f>
        <v>K/18/071025/1</v>
      </c>
      <c r="C8055" s="42" t="str">
        <f>IFERROR(__xludf.DUMMYFUNCTION("""COMPUTED_VALUE"""),"M. 481/Rajabasa Jaya	")</f>
        <v>M. 481/Rajabasa Jaya	</v>
      </c>
      <c r="D8055" s="42" t="str">
        <f>IFERROR(__xludf.DUMMYFUNCTION("""COMPUTED_VALUE"""),"Berry")</f>
        <v>Berry</v>
      </c>
      <c r="E8055" s="42" t="str">
        <f>IFERROR(__xludf.DUMMYFUNCTION("""COMPUTED_VALUE"""),"DISERAHKAN")</f>
        <v>DISERAHKAN</v>
      </c>
      <c r="F8055" s="48">
        <f>IFERROR(__xludf.DUMMYFUNCTION("""COMPUTED_VALUE"""),45988.64065273148)</f>
        <v>45988.64065</v>
      </c>
      <c r="G8055" s="42" t="str">
        <f>IFERROR(__xludf.DUMMYFUNCTION("""COMPUTED_VALUE"""),"BN Jual Beli	")</f>
        <v>BN Jual Beli	</v>
      </c>
      <c r="H8055" s="42">
        <f t="shared" si="1"/>
        <v>3291</v>
      </c>
    </row>
    <row r="8056" ht="22.5" customHeight="1">
      <c r="B8056" s="42" t="str">
        <f>IFERROR(__xludf.DUMMYFUNCTION("""COMPUTED_VALUE"""),"K/19/071025/1")</f>
        <v>K/19/071025/1</v>
      </c>
      <c r="C8056" s="42" t="str">
        <f>IFERROR(__xludf.DUMMYFUNCTION("""COMPUTED_VALUE"""),"NIBEL B 11845/ JAGABAYA II")</f>
        <v>NIBEL B 11845/ JAGABAYA II</v>
      </c>
      <c r="D8056" s="42"/>
      <c r="E8056" s="42"/>
      <c r="F8056" s="48" t="str">
        <f>IFERROR(__xludf.DUMMYFUNCTION("""COMPUTED_VALUE"""),"")</f>
        <v/>
      </c>
      <c r="G8056" s="42" t="str">
        <f>IFERROR(__xludf.DUMMYFUNCTION("""COMPUTED_VALUE"""),"PENINGKATAN HAK")</f>
        <v>PENINGKATAN HAK</v>
      </c>
      <c r="H8056" s="42">
        <f t="shared" si="1"/>
        <v>3291</v>
      </c>
    </row>
    <row r="8057" ht="22.5" customHeight="1">
      <c r="B8057" s="42" t="str">
        <f>IFERROR(__xludf.DUMMYFUNCTION("""COMPUTED_VALUE"""),"K/20/071025/2")</f>
        <v>K/20/071025/2</v>
      </c>
      <c r="C8057" s="42" t="str">
        <f>IFERROR(__xludf.DUMMYFUNCTION("""COMPUTED_VALUE"""),"B 1206/ SUKABUMI INDAH")</f>
        <v>B 1206/ SUKABUMI INDAH</v>
      </c>
      <c r="D8057" s="42"/>
      <c r="E8057" s="42"/>
      <c r="F8057" s="48" t="str">
        <f>IFERROR(__xludf.DUMMYFUNCTION("""COMPUTED_VALUE"""),"")</f>
        <v/>
      </c>
      <c r="G8057" s="42" t="str">
        <f>IFERROR(__xludf.DUMMYFUNCTION("""COMPUTED_VALUE"""),"PENINGKATAN HAK")</f>
        <v>PENINGKATAN HAK</v>
      </c>
      <c r="H8057" s="42">
        <f t="shared" si="1"/>
        <v>3291</v>
      </c>
    </row>
    <row r="8058" ht="22.5" customHeight="1">
      <c r="B8058" s="42" t="str">
        <f>IFERROR(__xludf.DUMMYFUNCTION("""COMPUTED_VALUE"""),"K/16/071025/1")</f>
        <v>K/16/071025/1</v>
      </c>
      <c r="C8058" s="42" t="str">
        <f>IFERROR(__xludf.DUMMYFUNCTION("""COMPUTED_VALUE"""),"M. 9439/GEDONG MENENG")</f>
        <v>M. 9439/GEDONG MENENG</v>
      </c>
      <c r="D8058" s="42"/>
      <c r="E8058" s="42"/>
      <c r="F8058" s="48" t="str">
        <f>IFERROR(__xludf.DUMMYFUNCTION("""COMPUTED_VALUE"""),"")</f>
        <v/>
      </c>
      <c r="G8058" s="42" t="str">
        <f>IFERROR(__xludf.DUMMYFUNCTION("""COMPUTED_VALUE"""),"SKPT INFORMASI")</f>
        <v>SKPT INFORMASI</v>
      </c>
      <c r="H8058" s="42">
        <f t="shared" si="1"/>
        <v>3291</v>
      </c>
    </row>
    <row r="8059" ht="22.5" customHeight="1">
      <c r="B8059" s="42" t="str">
        <f>IFERROR(__xludf.DUMMYFUNCTION("""COMPUTED_VALUE"""),"K/24/071025/1")</f>
        <v>K/24/071025/1</v>
      </c>
      <c r="C8059" s="42" t="str">
        <f>IFERROR(__xludf.DUMMYFUNCTION("""COMPUTED_VALUE"""),"M. 804/BAKUNG")</f>
        <v>M. 804/BAKUNG</v>
      </c>
      <c r="D8059" s="42"/>
      <c r="E8059" s="42"/>
      <c r="F8059" s="48" t="str">
        <f>IFERROR(__xludf.DUMMYFUNCTION("""COMPUTED_VALUE"""),"")</f>
        <v/>
      </c>
      <c r="G8059" s="42" t="str">
        <f>IFERROR(__xludf.DUMMYFUNCTION("""COMPUTED_VALUE"""),"PTPGT")</f>
        <v>PTPGT</v>
      </c>
      <c r="H8059" s="42">
        <f t="shared" si="1"/>
        <v>3291</v>
      </c>
    </row>
    <row r="8060" ht="22.5" customHeight="1">
      <c r="B8060" s="42" t="str">
        <f>IFERROR(__xludf.DUMMYFUNCTION("""COMPUTED_VALUE"""),"K/27/071025/1")</f>
        <v>K/27/071025/1</v>
      </c>
      <c r="C8060" s="42" t="str">
        <f>IFERROR(__xludf.DUMMYFUNCTION("""COMPUTED_VALUE"""),"B. 58/GEDONG MENENG")</f>
        <v>B. 58/GEDONG MENENG</v>
      </c>
      <c r="D8060" s="42"/>
      <c r="E8060" s="42"/>
      <c r="F8060" s="48" t="str">
        <f>IFERROR(__xludf.DUMMYFUNCTION("""COMPUTED_VALUE"""),"")</f>
        <v/>
      </c>
      <c r="G8060" s="42" t="str">
        <f>IFERROR(__xludf.DUMMYFUNCTION("""COMPUTED_VALUE"""),"PERUBAHAN HAK")</f>
        <v>PERUBAHAN HAK</v>
      </c>
      <c r="H8060" s="42">
        <f t="shared" si="1"/>
        <v>3291</v>
      </c>
    </row>
    <row r="8061" ht="22.5" customHeight="1">
      <c r="B8061" s="42" t="str">
        <f>IFERROR(__xludf.DUMMYFUNCTION("""COMPUTED_VALUE"""),"K/5/081025/1")</f>
        <v>K/5/081025/1</v>
      </c>
      <c r="C8061" s="42" t="str">
        <f>IFERROR(__xludf.DUMMYFUNCTION("""COMPUTED_VALUE"""),"NIBEL B. 447/KEMILING PERMAI")</f>
        <v>NIBEL B. 447/KEMILING PERMAI</v>
      </c>
      <c r="D8061" s="42" t="str">
        <f>IFERROR(__xludf.DUMMYFUNCTION("""COMPUTED_VALUE"""),"David")</f>
        <v>David</v>
      </c>
      <c r="E8061" s="42" t="str">
        <f>IFERROR(__xludf.DUMMYFUNCTION("""COMPUTED_VALUE"""),"DISERAHKAN")</f>
        <v>DISERAHKAN</v>
      </c>
      <c r="F8061" s="48">
        <f>IFERROR(__xludf.DUMMYFUNCTION("""COMPUTED_VALUE"""),45950.60623695602)</f>
        <v>45950.60624</v>
      </c>
      <c r="G8061" s="42" t="str">
        <f>IFERROR(__xludf.DUMMYFUNCTION("""COMPUTED_VALUE"""),"BN JUAL BELI ")</f>
        <v>BN JUAL BELI </v>
      </c>
      <c r="H8061" s="42">
        <f t="shared" si="1"/>
        <v>3292</v>
      </c>
    </row>
    <row r="8062" ht="22.5" customHeight="1">
      <c r="B8062" s="42" t="str">
        <f>IFERROR(__xludf.DUMMYFUNCTION("""COMPUTED_VALUE"""),"K/6/081025/2")</f>
        <v>K/6/081025/2</v>
      </c>
      <c r="C8062" s="42" t="str">
        <f>IFERROR(__xludf.DUMMYFUNCTION("""COMPUTED_VALUE"""),"NIBEL B. 420/KEMILING PERMAI")</f>
        <v>NIBEL B. 420/KEMILING PERMAI</v>
      </c>
      <c r="D8062" s="42"/>
      <c r="E8062" s="42"/>
      <c r="F8062" s="48" t="str">
        <f>IFERROR(__xludf.DUMMYFUNCTION("""COMPUTED_VALUE"""),"")</f>
        <v/>
      </c>
      <c r="G8062" s="42" t="str">
        <f>IFERROR(__xludf.DUMMYFUNCTION("""COMPUTED_VALUE"""),"BN JUAL BELI ")</f>
        <v>BN JUAL BELI </v>
      </c>
      <c r="H8062" s="42">
        <f t="shared" si="1"/>
        <v>3292</v>
      </c>
    </row>
    <row r="8063" ht="22.5" customHeight="1">
      <c r="B8063" s="42" t="str">
        <f>IFERROR(__xludf.DUMMYFUNCTION("""COMPUTED_VALUE"""),"K/7/081025/3")</f>
        <v>K/7/081025/3</v>
      </c>
      <c r="C8063" s="42" t="str">
        <f>IFERROR(__xludf.DUMMYFUNCTION("""COMPUTED_VALUE"""),"NIBEL B. 443/KEMILING PERMAI")</f>
        <v>NIBEL B. 443/KEMILING PERMAI</v>
      </c>
      <c r="D8063" s="42"/>
      <c r="E8063" s="42"/>
      <c r="F8063" s="48" t="str">
        <f>IFERROR(__xludf.DUMMYFUNCTION("""COMPUTED_VALUE"""),"")</f>
        <v/>
      </c>
      <c r="G8063" s="42" t="str">
        <f>IFERROR(__xludf.DUMMYFUNCTION("""COMPUTED_VALUE"""),"BN JUAL BELI ")</f>
        <v>BN JUAL BELI </v>
      </c>
      <c r="H8063" s="42">
        <f t="shared" si="1"/>
        <v>3292</v>
      </c>
    </row>
    <row r="8064" ht="22.5" customHeight="1">
      <c r="B8064" s="42" t="str">
        <f>IFERROR(__xludf.DUMMYFUNCTION("""COMPUTED_VALUE"""),"K/8/081025/4")</f>
        <v>K/8/081025/4</v>
      </c>
      <c r="C8064" s="42" t="str">
        <f>IFERROR(__xludf.DUMMYFUNCTION("""COMPUTED_VALUE"""),"B. 633/KEMILING PERMAI")</f>
        <v>B. 633/KEMILING PERMAI</v>
      </c>
      <c r="D8064" s="42"/>
      <c r="E8064" s="42"/>
      <c r="F8064" s="48" t="str">
        <f>IFERROR(__xludf.DUMMYFUNCTION("""COMPUTED_VALUE"""),"")</f>
        <v/>
      </c>
      <c r="G8064" s="42" t="str">
        <f>IFERROR(__xludf.DUMMYFUNCTION("""COMPUTED_VALUE"""),"BN JUAL BELI")</f>
        <v>BN JUAL BELI</v>
      </c>
      <c r="H8064" s="42">
        <f t="shared" si="1"/>
        <v>3292</v>
      </c>
    </row>
    <row r="8065" ht="22.5" customHeight="1">
      <c r="B8065" s="42" t="str">
        <f>IFERROR(__xludf.DUMMYFUNCTION("""COMPUTED_VALUE"""),"K/9/081025/5")</f>
        <v>K/9/081025/5</v>
      </c>
      <c r="C8065" s="42" t="str">
        <f>IFERROR(__xludf.DUMMYFUNCTION("""COMPUTED_VALUE"""),"NIBEL B. 426/KEMILING PERMAI")</f>
        <v>NIBEL B. 426/KEMILING PERMAI</v>
      </c>
      <c r="D8065" s="42" t="str">
        <f>IFERROR(__xludf.DUMMYFUNCTION("""COMPUTED_VALUE"""),"Berry")</f>
        <v>Berry</v>
      </c>
      <c r="E8065" s="42" t="str">
        <f>IFERROR(__xludf.DUMMYFUNCTION("""COMPUTED_VALUE"""),"DISERAHKAN")</f>
        <v>DISERAHKAN</v>
      </c>
      <c r="F8065" s="48">
        <f>IFERROR(__xludf.DUMMYFUNCTION("""COMPUTED_VALUE"""),45968.491834942135)</f>
        <v>45968.49183</v>
      </c>
      <c r="G8065" s="42" t="str">
        <f>IFERROR(__xludf.DUMMYFUNCTION("""COMPUTED_VALUE"""),"BN JUAL BELI")</f>
        <v>BN JUAL BELI</v>
      </c>
      <c r="H8065" s="42">
        <f t="shared" si="1"/>
        <v>3293</v>
      </c>
    </row>
    <row r="8066" ht="22.5" customHeight="1">
      <c r="B8066" s="42" t="str">
        <f>IFERROR(__xludf.DUMMYFUNCTION("""COMPUTED_VALUE"""),"K/10/081025/1")</f>
        <v>K/10/081025/1</v>
      </c>
      <c r="C8066" s="42" t="str">
        <f>IFERROR(__xludf.DUMMYFUNCTION("""COMPUTED_VALUE"""),"B.441/NUSANTARA PERMAI")</f>
        <v>B.441/NUSANTARA PERMAI</v>
      </c>
      <c r="D8066" s="42"/>
      <c r="E8066" s="42"/>
      <c r="F8066" s="48" t="str">
        <f>IFERROR(__xludf.DUMMYFUNCTION("""COMPUTED_VALUE"""),"")</f>
        <v/>
      </c>
      <c r="G8066" s="42" t="str">
        <f>IFERROR(__xludf.DUMMYFUNCTION("""COMPUTED_VALUE"""),"PTPGT")</f>
        <v>PTPGT</v>
      </c>
      <c r="H8066" s="42">
        <f t="shared" si="1"/>
        <v>3293</v>
      </c>
    </row>
    <row r="8067" ht="22.5" customHeight="1">
      <c r="B8067" s="42" t="str">
        <f>IFERROR(__xludf.DUMMYFUNCTION("""COMPUTED_VALUE"""),"K/21/071025/1")</f>
        <v>K/21/071025/1</v>
      </c>
      <c r="C8067" s="42" t="str">
        <f>IFERROR(__xludf.DUMMYFUNCTION("""COMPUTED_VALUE"""),"Nibel 21176/Way Kandis")</f>
        <v>Nibel 21176/Way Kandis</v>
      </c>
      <c r="D8067" s="42"/>
      <c r="E8067" s="42"/>
      <c r="F8067" s="48" t="str">
        <f>IFERROR(__xludf.DUMMYFUNCTION("""COMPUTED_VALUE"""),"")</f>
        <v/>
      </c>
      <c r="G8067" s="42" t="str">
        <f>IFERROR(__xludf.DUMMYFUNCTION("""COMPUTED_VALUE"""),"BN Jual Beli		")</f>
        <v>BN Jual Beli		</v>
      </c>
      <c r="H8067" s="42">
        <f t="shared" si="1"/>
        <v>3293</v>
      </c>
    </row>
    <row r="8068" ht="22.5" customHeight="1">
      <c r="B8068" s="42" t="str">
        <f>IFERROR(__xludf.DUMMYFUNCTION("""COMPUTED_VALUE"""),"K/22/071025/2	")</f>
        <v>K/22/071025/2	</v>
      </c>
      <c r="C8068" s="42" t="str">
        <f>IFERROR(__xludf.DUMMYFUNCTION("""COMPUTED_VALUE"""),"M. 5542/Rajabasa Jaya	")</f>
        <v>M. 5542/Rajabasa Jaya	</v>
      </c>
      <c r="D8068" s="42"/>
      <c r="E8068" s="42"/>
      <c r="F8068" s="48" t="str">
        <f>IFERROR(__xludf.DUMMYFUNCTION("""COMPUTED_VALUE"""),"")</f>
        <v/>
      </c>
      <c r="G8068" s="42" t="str">
        <f>IFERROR(__xludf.DUMMYFUNCTION("""COMPUTED_VALUE"""),"BN Jual Beli	")</f>
        <v>BN Jual Beli	</v>
      </c>
      <c r="H8068" s="42">
        <f t="shared" si="1"/>
        <v>3293</v>
      </c>
    </row>
    <row r="8069" ht="22.5" customHeight="1">
      <c r="B8069" s="42" t="str">
        <f>IFERROR(__xludf.DUMMYFUNCTION("""COMPUTED_VALUE"""),"K/23/071025/3	")</f>
        <v>K/23/071025/3	</v>
      </c>
      <c r="C8069" s="42" t="str">
        <f>IFERROR(__xludf.DUMMYFUNCTION("""COMPUTED_VALUE"""),"M. 683/Sukaraja	")</f>
        <v>M. 683/Sukaraja	</v>
      </c>
      <c r="D8069" s="42"/>
      <c r="E8069" s="42"/>
      <c r="F8069" s="48" t="str">
        <f>IFERROR(__xludf.DUMMYFUNCTION("""COMPUTED_VALUE"""),"")</f>
        <v/>
      </c>
      <c r="G8069" s="42" t="str">
        <f>IFERROR(__xludf.DUMMYFUNCTION("""COMPUTED_VALUE"""),"BN Jual Beli	")</f>
        <v>BN Jual Beli	</v>
      </c>
      <c r="H8069" s="42">
        <f t="shared" si="1"/>
        <v>3293</v>
      </c>
    </row>
    <row r="8070" ht="22.5" customHeight="1">
      <c r="B8070" s="42" t="str">
        <f>IFERROR(__xludf.DUMMYFUNCTION("""COMPUTED_VALUE"""),"K/25/071025/4	")</f>
        <v>K/25/071025/4	</v>
      </c>
      <c r="C8070" s="42" t="str">
        <f>IFERROR(__xludf.DUMMYFUNCTION("""COMPUTED_VALUE"""),"Nibel 469/Sukabumi	")</f>
        <v>Nibel 469/Sukabumi	</v>
      </c>
      <c r="D8070" s="42"/>
      <c r="E8070" s="42"/>
      <c r="F8070" s="48" t="str">
        <f>IFERROR(__xludf.DUMMYFUNCTION("""COMPUTED_VALUE"""),"")</f>
        <v/>
      </c>
      <c r="G8070" s="42" t="str">
        <f>IFERROR(__xludf.DUMMYFUNCTION("""COMPUTED_VALUE"""),"Peningkatan Hak	")</f>
        <v>Peningkatan Hak	</v>
      </c>
      <c r="H8070" s="42">
        <f t="shared" si="1"/>
        <v>3293</v>
      </c>
    </row>
    <row r="8071" ht="22.5" customHeight="1">
      <c r="B8071" s="42" t="str">
        <f>IFERROR(__xludf.DUMMYFUNCTION("""COMPUTED_VALUE"""),"K/26/071025/5	")</f>
        <v>K/26/071025/5	</v>
      </c>
      <c r="C8071" s="42" t="str">
        <f>IFERROR(__xludf.DUMMYFUNCTION("""COMPUTED_VALUE"""),"Nibel 3895/Sukabumi	")</f>
        <v>Nibel 3895/Sukabumi	</v>
      </c>
      <c r="D8071" s="42"/>
      <c r="E8071" s="42"/>
      <c r="F8071" s="48" t="str">
        <f>IFERROR(__xludf.DUMMYFUNCTION("""COMPUTED_VALUE"""),"")</f>
        <v/>
      </c>
      <c r="G8071" s="42" t="str">
        <f>IFERROR(__xludf.DUMMYFUNCTION("""COMPUTED_VALUE"""),"Peningkatan Hak	")</f>
        <v>Peningkatan Hak	</v>
      </c>
      <c r="H8071" s="42">
        <f t="shared" si="1"/>
        <v>3293</v>
      </c>
    </row>
    <row r="8072" ht="22.5" customHeight="1">
      <c r="B8072" s="42" t="str">
        <f>IFERROR(__xludf.DUMMYFUNCTION("""COMPUTED_VALUE"""),"K/1/081025/1")</f>
        <v>K/1/081025/1</v>
      </c>
      <c r="C8072" s="42" t="str">
        <f>IFERROR(__xludf.DUMMYFUNCTION("""COMPUTED_VALUE"""),"M. 1040/Pematang Wangi	")</f>
        <v>M. 1040/Pematang Wangi	</v>
      </c>
      <c r="D8072" s="42"/>
      <c r="E8072" s="42"/>
      <c r="F8072" s="48" t="str">
        <f>IFERROR(__xludf.DUMMYFUNCTION("""COMPUTED_VALUE"""),"")</f>
        <v/>
      </c>
      <c r="G8072" s="42" t="str">
        <f>IFERROR(__xludf.DUMMYFUNCTION("""COMPUTED_VALUE"""),"BN Jual Beli	")</f>
        <v>BN Jual Beli	</v>
      </c>
      <c r="H8072" s="42">
        <f t="shared" si="1"/>
        <v>3293</v>
      </c>
    </row>
    <row r="8073" ht="22.5" customHeight="1">
      <c r="B8073" s="42" t="str">
        <f>IFERROR(__xludf.DUMMYFUNCTION("""COMPUTED_VALUE"""),"K/4/081025/1")</f>
        <v>K/4/081025/1</v>
      </c>
      <c r="C8073" s="42" t="str">
        <f>IFERROR(__xludf.DUMMYFUNCTION("""COMPUTED_VALUE"""),"NIBEL M 25344/ NUSANTARA PERMAI")</f>
        <v>NIBEL M 25344/ NUSANTARA PERMAI</v>
      </c>
      <c r="D8073" s="42" t="str">
        <f>IFERROR(__xludf.DUMMYFUNCTION("""COMPUTED_VALUE"""),"Berry")</f>
        <v>Berry</v>
      </c>
      <c r="E8073" s="42" t="str">
        <f>IFERROR(__xludf.DUMMYFUNCTION("""COMPUTED_VALUE"""),"DISERAHKAN")</f>
        <v>DISERAHKAN</v>
      </c>
      <c r="F8073" s="48">
        <f>IFERROR(__xludf.DUMMYFUNCTION("""COMPUTED_VALUE"""),45975.49218490741)</f>
        <v>45975.49218</v>
      </c>
      <c r="G8073" s="42" t="str">
        <f>IFERROR(__xludf.DUMMYFUNCTION("""COMPUTED_VALUE"""),"BN JUAL BELI")</f>
        <v>BN JUAL BELI</v>
      </c>
      <c r="H8073" s="42">
        <f t="shared" si="1"/>
        <v>3294</v>
      </c>
    </row>
    <row r="8074" ht="22.5" customHeight="1">
      <c r="B8074" s="42" t="str">
        <f>IFERROR(__xludf.DUMMYFUNCTION("""COMPUTED_VALUE"""),"K/2/081025/2")</f>
        <v>K/2/081025/2</v>
      </c>
      <c r="C8074" s="42" t="str">
        <f>IFERROR(__xludf.DUMMYFUNCTION("""COMPUTED_VALUE"""),"B. 374/Rajabasa Nunyai	")</f>
        <v>B. 374/Rajabasa Nunyai	</v>
      </c>
      <c r="D8074" s="42"/>
      <c r="E8074" s="42"/>
      <c r="F8074" s="48" t="str">
        <f>IFERROR(__xludf.DUMMYFUNCTION("""COMPUTED_VALUE"""),"")</f>
        <v/>
      </c>
      <c r="G8074" s="42" t="str">
        <f>IFERROR(__xludf.DUMMYFUNCTION("""COMPUTED_VALUE"""),"BN Jual Beli	")</f>
        <v>BN Jual Beli	</v>
      </c>
      <c r="H8074" s="42">
        <f t="shared" si="1"/>
        <v>3294</v>
      </c>
    </row>
    <row r="8075" ht="22.5" customHeight="1">
      <c r="B8075" s="42" t="str">
        <f>IFERROR(__xludf.DUMMYFUNCTION("""COMPUTED_VALUE"""),"L/12/081025/1")</f>
        <v>L/12/081025/1</v>
      </c>
      <c r="C8075" s="42" t="str">
        <f>IFERROR(__xludf.DUMMYFUNCTION("""COMPUTED_VALUE"""),"M.3292/KOTA BARU")</f>
        <v>M.3292/KOTA BARU</v>
      </c>
      <c r="D8075" s="42" t="str">
        <f>IFERROR(__xludf.DUMMYFUNCTION("""COMPUTED_VALUE"""),"Berry")</f>
        <v>Berry</v>
      </c>
      <c r="E8075" s="42" t="str">
        <f>IFERROR(__xludf.DUMMYFUNCTION("""COMPUTED_VALUE"""),"DISERAHKAN")</f>
        <v>DISERAHKAN</v>
      </c>
      <c r="F8075" s="48">
        <f>IFERROR(__xludf.DUMMYFUNCTION("""COMPUTED_VALUE"""),45979.65051651621)</f>
        <v>45979.65052</v>
      </c>
      <c r="G8075" s="42" t="str">
        <f>IFERROR(__xludf.DUMMYFUNCTION("""COMPUTED_VALUE"""),"GANTI BLANKO")</f>
        <v>GANTI BLANKO</v>
      </c>
      <c r="H8075" s="42">
        <f t="shared" si="1"/>
        <v>3295</v>
      </c>
    </row>
    <row r="8076" ht="22.5" customHeight="1">
      <c r="B8076" s="42" t="str">
        <f>IFERROR(__xludf.DUMMYFUNCTION("""COMPUTED_VALUE"""),"K/16/081025/1")</f>
        <v>K/16/081025/1</v>
      </c>
      <c r="C8076" s="42" t="str">
        <f>IFERROR(__xludf.DUMMYFUNCTION("""COMPUTED_VALUE"""),"M. 10959/Labuhan Ratu	")</f>
        <v>M. 10959/Labuhan Ratu	</v>
      </c>
      <c r="D8076" s="42"/>
      <c r="E8076" s="42"/>
      <c r="F8076" s="48" t="str">
        <f>IFERROR(__xludf.DUMMYFUNCTION("""COMPUTED_VALUE"""),"")</f>
        <v/>
      </c>
      <c r="G8076" s="42" t="str">
        <f>IFERROR(__xludf.DUMMYFUNCTION("""COMPUTED_VALUE"""),"BN Waris	")</f>
        <v>BN Waris	</v>
      </c>
      <c r="H8076" s="42">
        <f t="shared" si="1"/>
        <v>3295</v>
      </c>
    </row>
    <row r="8077" ht="22.5" customHeight="1">
      <c r="B8077" s="42" t="str">
        <f>IFERROR(__xludf.DUMMYFUNCTION("""COMPUTED_VALUE"""),"K/13/081025/1")</f>
        <v>K/13/081025/1</v>
      </c>
      <c r="C8077" s="42" t="str">
        <f>IFERROR(__xludf.DUMMYFUNCTION("""COMPUTED_VALUE"""),"M 701/ TANJUNG RAYA")</f>
        <v>M 701/ TANJUNG RAYA</v>
      </c>
      <c r="D8077" s="42"/>
      <c r="E8077" s="42"/>
      <c r="F8077" s="48" t="str">
        <f>IFERROR(__xludf.DUMMYFUNCTION("""COMPUTED_VALUE"""),"")</f>
        <v/>
      </c>
      <c r="G8077" s="42" t="str">
        <f>IFERROR(__xludf.DUMMYFUNCTION("""COMPUTED_VALUE"""),"BN WARIS")</f>
        <v>BN WARIS</v>
      </c>
      <c r="H8077" s="42">
        <f t="shared" si="1"/>
        <v>3295</v>
      </c>
    </row>
    <row r="8078" ht="22.5" customHeight="1">
      <c r="B8078" s="42" t="str">
        <f>IFERROR(__xludf.DUMMYFUNCTION("""COMPUTED_VALUE"""),"K/14/081025/2")</f>
        <v>K/14/081025/2</v>
      </c>
      <c r="C8078" s="42" t="str">
        <f>IFERROR(__xludf.DUMMYFUNCTION("""COMPUTED_VALUE"""),"M 257/ SUKAJAWA BARU")</f>
        <v>M 257/ SUKAJAWA BARU</v>
      </c>
      <c r="D8078" s="42" t="str">
        <f>IFERROR(__xludf.DUMMYFUNCTION("""COMPUTED_VALUE"""),"Berry")</f>
        <v>Berry</v>
      </c>
      <c r="E8078" s="42" t="str">
        <f>IFERROR(__xludf.DUMMYFUNCTION("""COMPUTED_VALUE"""),"DISERAHKAN")</f>
        <v>DISERAHKAN</v>
      </c>
      <c r="F8078" s="48">
        <f>IFERROR(__xludf.DUMMYFUNCTION("""COMPUTED_VALUE"""),45988.64094244213)</f>
        <v>45988.64094</v>
      </c>
      <c r="G8078" s="42" t="str">
        <f>IFERROR(__xludf.DUMMYFUNCTION("""COMPUTED_VALUE"""),"BN JUAL BELI")</f>
        <v>BN JUAL BELI</v>
      </c>
      <c r="H8078" s="42">
        <f t="shared" si="1"/>
        <v>3296</v>
      </c>
    </row>
    <row r="8079" ht="22.5" customHeight="1">
      <c r="B8079" s="42" t="str">
        <f>IFERROR(__xludf.DUMMYFUNCTION("""COMPUTED_VALUE"""),"K/17/081025/2")</f>
        <v>K/17/081025/2</v>
      </c>
      <c r="C8079" s="42" t="str">
        <f>IFERROR(__xludf.DUMMYFUNCTION("""COMPUTED_VALUE"""),"M. 1323/Sukadana Ham")</f>
        <v>M. 1323/Sukadana Ham</v>
      </c>
      <c r="D8079" s="42"/>
      <c r="E8079" s="42"/>
      <c r="F8079" s="48" t="str">
        <f>IFERROR(__xludf.DUMMYFUNCTION("""COMPUTED_VALUE"""),"")</f>
        <v/>
      </c>
      <c r="G8079" s="42" t="str">
        <f>IFERROR(__xludf.DUMMYFUNCTION("""COMPUTED_VALUE"""),"BN Jual Beli	")</f>
        <v>BN Jual Beli	</v>
      </c>
      <c r="H8079" s="42">
        <f t="shared" si="1"/>
        <v>3296</v>
      </c>
    </row>
    <row r="8080" ht="22.5" customHeight="1">
      <c r="B8080" s="42" t="str">
        <f>IFERROR(__xludf.DUMMYFUNCTION("""COMPUTED_VALUE"""),"K/15/081025/3")</f>
        <v>K/15/081025/3</v>
      </c>
      <c r="C8080" s="42" t="str">
        <f>IFERROR(__xludf.DUMMYFUNCTION("""COMPUTED_VALUE"""),"M 1657/ KALI BALAU KENCANA")</f>
        <v>M 1657/ KALI BALAU KENCANA</v>
      </c>
      <c r="D8080" s="42"/>
      <c r="E8080" s="42"/>
      <c r="F8080" s="48" t="str">
        <f>IFERROR(__xludf.DUMMYFUNCTION("""COMPUTED_VALUE"""),"")</f>
        <v/>
      </c>
      <c r="G8080" s="42" t="str">
        <f>IFERROR(__xludf.DUMMYFUNCTION("""COMPUTED_VALUE"""),"BN JUAL BELI")</f>
        <v>BN JUAL BELI</v>
      </c>
      <c r="H8080" s="42">
        <f t="shared" si="1"/>
        <v>3296</v>
      </c>
    </row>
    <row r="8081" ht="22.5" customHeight="1">
      <c r="B8081" s="42" t="str">
        <f>IFERROR(__xludf.DUMMYFUNCTION("""COMPUTED_VALUE"""),"K/18/081025/3")</f>
        <v>K/18/081025/3</v>
      </c>
      <c r="C8081" s="42" t="str">
        <f>IFERROR(__xludf.DUMMYFUNCTION("""COMPUTED_VALUE"""),"M. 2869/Rajabasa Jaya	")</f>
        <v>M. 2869/Rajabasa Jaya	</v>
      </c>
      <c r="D8081" s="42"/>
      <c r="E8081" s="42"/>
      <c r="F8081" s="48" t="str">
        <f>IFERROR(__xludf.DUMMYFUNCTION("""COMPUTED_VALUE"""),"")</f>
        <v/>
      </c>
      <c r="G8081" s="42" t="str">
        <f>IFERROR(__xludf.DUMMYFUNCTION("""COMPUTED_VALUE"""),"BN Jual Beli	")</f>
        <v>BN Jual Beli	</v>
      </c>
      <c r="H8081" s="42">
        <f t="shared" si="1"/>
        <v>3296</v>
      </c>
    </row>
    <row r="8082" ht="22.5" customHeight="1">
      <c r="B8082" s="42" t="str">
        <f>IFERROR(__xludf.DUMMYFUNCTION("""COMPUTED_VALUE"""),"K/11/081025/1")</f>
        <v>K/11/081025/1</v>
      </c>
      <c r="C8082" s="42" t="str">
        <f>IFERROR(__xludf.DUMMYFUNCTION("""COMPUTED_VALUE"""),"M. 9060/KEDATON")</f>
        <v>M. 9060/KEDATON</v>
      </c>
      <c r="D8082" s="42"/>
      <c r="E8082" s="42"/>
      <c r="F8082" s="48" t="str">
        <f>IFERROR(__xludf.DUMMYFUNCTION("""COMPUTED_VALUE"""),"")</f>
        <v/>
      </c>
      <c r="G8082" s="42" t="str">
        <f>IFERROR(__xludf.DUMMYFUNCTION("""COMPUTED_VALUE"""),"BN LELANG")</f>
        <v>BN LELANG</v>
      </c>
      <c r="H8082" s="42">
        <f t="shared" si="1"/>
        <v>3296</v>
      </c>
    </row>
    <row r="8083" ht="22.5" customHeight="1">
      <c r="B8083" s="42" t="str">
        <f>IFERROR(__xludf.DUMMYFUNCTION("""COMPUTED_VALUE"""),"K/19/081025/1")</f>
        <v>K/19/081025/1</v>
      </c>
      <c r="C8083" s="42" t="str">
        <f>IFERROR(__xludf.DUMMYFUNCTION("""COMPUTED_VALUE"""),"M. 15786/SUKARAME")</f>
        <v>M. 15786/SUKARAME</v>
      </c>
      <c r="D8083" s="42" t="str">
        <f>IFERROR(__xludf.DUMMYFUNCTION("""COMPUTED_VALUE"""),"Berry")</f>
        <v>Berry</v>
      </c>
      <c r="E8083" s="42" t="str">
        <f>IFERROR(__xludf.DUMMYFUNCTION("""COMPUTED_VALUE"""),"DISERAHKAN")</f>
        <v>DISERAHKAN</v>
      </c>
      <c r="F8083" s="48">
        <f>IFERROR(__xludf.DUMMYFUNCTION("""COMPUTED_VALUE"""),45951.46324125)</f>
        <v>45951.46324</v>
      </c>
      <c r="G8083" s="42" t="str">
        <f>IFERROR(__xludf.DUMMYFUNCTION("""COMPUTED_VALUE"""),"BN JUAL BELI EL")</f>
        <v>BN JUAL BELI EL</v>
      </c>
      <c r="H8083" s="42">
        <f t="shared" si="1"/>
        <v>3297</v>
      </c>
    </row>
    <row r="8084" ht="22.5" customHeight="1">
      <c r="B8084" s="42" t="str">
        <f>IFERROR(__xludf.DUMMYFUNCTION("""COMPUTED_VALUE"""),"K/3/081025/1")</f>
        <v>K/3/081025/1</v>
      </c>
      <c r="C8084" s="42" t="str">
        <f>IFERROR(__xludf.DUMMYFUNCTION("""COMPUTED_VALUE"""),"M 1413/ KOTA BARU")</f>
        <v>M 1413/ KOTA BARU</v>
      </c>
      <c r="D8084" s="42"/>
      <c r="E8084" s="42"/>
      <c r="F8084" s="48" t="str">
        <f>IFERROR(__xludf.DUMMYFUNCTION("""COMPUTED_VALUE"""),"")</f>
        <v/>
      </c>
      <c r="G8084" s="42" t="str">
        <f>IFERROR(__xludf.DUMMYFUNCTION("""COMPUTED_VALUE"""),"BN JUAL BELI")</f>
        <v>BN JUAL BELI</v>
      </c>
      <c r="H8084" s="42">
        <f t="shared" si="1"/>
        <v>3297</v>
      </c>
    </row>
    <row r="8085" ht="22.5" customHeight="1">
      <c r="B8085" s="42" t="str">
        <f>IFERROR(__xludf.DUMMYFUNCTION("""COMPUTED_VALUE"""),"K/21/081025/1")</f>
        <v>K/21/081025/1</v>
      </c>
      <c r="C8085" s="42" t="str">
        <f>IFERROR(__xludf.DUMMYFUNCTION("""COMPUTED_VALUE"""),"M. 1214/Sukarame Baru	")</f>
        <v>M. 1214/Sukarame Baru	</v>
      </c>
      <c r="D8085" s="42" t="str">
        <f>IFERROR(__xludf.DUMMYFUNCTION("""COMPUTED_VALUE"""),"David")</f>
        <v>David</v>
      </c>
      <c r="E8085" s="42" t="str">
        <f>IFERROR(__xludf.DUMMYFUNCTION("""COMPUTED_VALUE"""),"DISERAHKAN")</f>
        <v>DISERAHKAN</v>
      </c>
      <c r="F8085" s="48">
        <f>IFERROR(__xludf.DUMMYFUNCTION("""COMPUTED_VALUE"""),45993.46098148148)</f>
        <v>45993.46098</v>
      </c>
      <c r="G8085" s="42" t="str">
        <f>IFERROR(__xludf.DUMMYFUNCTION("""COMPUTED_VALUE"""),"BN Jual Beli	 ")</f>
        <v>BN Jual Beli	 </v>
      </c>
      <c r="H8085" s="42">
        <f t="shared" si="1"/>
        <v>3298</v>
      </c>
    </row>
    <row r="8086" ht="22.5" customHeight="1">
      <c r="B8086" s="42" t="str">
        <f>IFERROR(__xludf.DUMMYFUNCTION("""COMPUTED_VALUE"""),"L/20/081025/1")</f>
        <v>L/20/081025/1</v>
      </c>
      <c r="C8086" s="42" t="str">
        <f>IFERROR(__xludf.DUMMYFUNCTION("""COMPUTED_VALUE"""),"KEL. DURIAN PAYUNG LUAS 260 M2")</f>
        <v>KEL. DURIAN PAYUNG LUAS 260 M2</v>
      </c>
      <c r="D8086" s="42" t="str">
        <f>IFERROR(__xludf.DUMMYFUNCTION("""COMPUTED_VALUE"""),"David")</f>
        <v>David</v>
      </c>
      <c r="E8086" s="42" t="str">
        <f>IFERROR(__xludf.DUMMYFUNCTION("""COMPUTED_VALUE"""),"DISERAHKAN")</f>
        <v>DISERAHKAN</v>
      </c>
      <c r="F8086" s="48">
        <f>IFERROR(__xludf.DUMMYFUNCTION("""COMPUTED_VALUE"""),45993.58523078704)</f>
        <v>45993.58523</v>
      </c>
      <c r="G8086" s="42" t="str">
        <f>IFERROR(__xludf.DUMMYFUNCTION("""COMPUTED_VALUE"""),"PENGUKURAN PERTAMA KALI")</f>
        <v>PENGUKURAN PERTAMA KALI</v>
      </c>
      <c r="H8086" s="42">
        <f t="shared" si="1"/>
        <v>3299</v>
      </c>
    </row>
    <row r="8087" ht="22.5" customHeight="1">
      <c r="B8087" s="42" t="str">
        <f>IFERROR(__xludf.DUMMYFUNCTION("""COMPUTED_VALUE"""),"K/25/081025/1")</f>
        <v>K/25/081025/1</v>
      </c>
      <c r="C8087" s="42" t="str">
        <f>IFERROR(__xludf.DUMMYFUNCTION("""COMPUTED_VALUE"""),"PBT. 133/2025 / PEMATANG WANGI")</f>
        <v>PBT. 133/2025 / PEMATANG WANGI</v>
      </c>
      <c r="D8087" s="42"/>
      <c r="E8087" s="42"/>
      <c r="F8087" s="48" t="str">
        <f>IFERROR(__xludf.DUMMYFUNCTION("""COMPUTED_VALUE"""),"")</f>
        <v/>
      </c>
      <c r="G8087" s="42" t="str">
        <f>IFERROR(__xludf.DUMMYFUNCTION("""COMPUTED_VALUE"""),"PTPGT")</f>
        <v>PTPGT</v>
      </c>
      <c r="H8087" s="42">
        <f t="shared" si="1"/>
        <v>3299</v>
      </c>
    </row>
    <row r="8088" ht="22.5" customHeight="1">
      <c r="B8088" s="42" t="str">
        <f>IFERROR(__xludf.DUMMYFUNCTION("""COMPUTED_VALUE"""),"K/28/081025/1")</f>
        <v>K/28/081025/1</v>
      </c>
      <c r="C8088" s="42" t="str">
        <f>IFERROR(__xludf.DUMMYFUNCTION("""COMPUTED_VALUE"""),"M 236/ GUNUNG TERANG")</f>
        <v>M 236/ GUNUNG TERANG</v>
      </c>
      <c r="D8088" s="42"/>
      <c r="E8088" s="42"/>
      <c r="F8088" s="48" t="str">
        <f>IFERROR(__xludf.DUMMYFUNCTION("""COMPUTED_VALUE"""),"")</f>
        <v/>
      </c>
      <c r="G8088" s="42" t="str">
        <f>IFERROR(__xludf.DUMMYFUNCTION("""COMPUTED_VALUE"""),"BN JUAL BELI")</f>
        <v>BN JUAL BELI</v>
      </c>
      <c r="H8088" s="42">
        <f t="shared" si="1"/>
        <v>3299</v>
      </c>
    </row>
    <row r="8089" ht="22.5" customHeight="1">
      <c r="B8089" s="42" t="str">
        <f>IFERROR(__xludf.DUMMYFUNCTION("""COMPUTED_VALUE"""),"K/26/081025/2")</f>
        <v>K/26/081025/2</v>
      </c>
      <c r="C8089" s="42" t="str">
        <f>IFERROR(__xludf.DUMMYFUNCTION("""COMPUTED_VALUE"""),"PBT. 122/2025/PEMATANG WANGI")</f>
        <v>PBT. 122/2025/PEMATANG WANGI</v>
      </c>
      <c r="D8089" s="42"/>
      <c r="E8089" s="42"/>
      <c r="F8089" s="48" t="str">
        <f>IFERROR(__xludf.DUMMYFUNCTION("""COMPUTED_VALUE"""),"")</f>
        <v/>
      </c>
      <c r="G8089" s="42" t="str">
        <f>IFERROR(__xludf.DUMMYFUNCTION("""COMPUTED_VALUE"""),"PTPGT")</f>
        <v>PTPGT</v>
      </c>
      <c r="H8089" s="42">
        <f t="shared" si="1"/>
        <v>3299</v>
      </c>
    </row>
    <row r="8090" ht="22.5" customHeight="1">
      <c r="B8090" s="42" t="str">
        <f>IFERROR(__xludf.DUMMYFUNCTION("""COMPUTED_VALUE"""),"K/23/081025/3")</f>
        <v>K/23/081025/3</v>
      </c>
      <c r="C8090" s="42" t="str">
        <f>IFERROR(__xludf.DUMMYFUNCTION("""COMPUTED_VALUE"""),"Nibel 16574/Kemiling Raya")</f>
        <v>Nibel 16574/Kemiling Raya</v>
      </c>
      <c r="D8090" s="42"/>
      <c r="E8090" s="42"/>
      <c r="F8090" s="48" t="str">
        <f>IFERROR(__xludf.DUMMYFUNCTION("""COMPUTED_VALUE"""),"")</f>
        <v/>
      </c>
      <c r="G8090" s="42" t="str">
        <f>IFERROR(__xludf.DUMMYFUNCTION("""COMPUTED_VALUE"""),"BN Jual Beli		")</f>
        <v>BN Jual Beli		</v>
      </c>
      <c r="H8090" s="42">
        <f t="shared" si="1"/>
        <v>3299</v>
      </c>
    </row>
    <row r="8091" ht="22.5" customHeight="1">
      <c r="B8091" s="42" t="str">
        <f>IFERROR(__xludf.DUMMYFUNCTION("""COMPUTED_VALUE"""),"K/29/081025/2")</f>
        <v>K/29/081025/2</v>
      </c>
      <c r="C8091" s="42" t="str">
        <f>IFERROR(__xludf.DUMMYFUNCTION("""COMPUTED_VALUE"""),"NIBEL M 16387/ DURIAN PAYUNG")</f>
        <v>NIBEL M 16387/ DURIAN PAYUNG</v>
      </c>
      <c r="D8091" s="42"/>
      <c r="E8091" s="42"/>
      <c r="F8091" s="48" t="str">
        <f>IFERROR(__xludf.DUMMYFUNCTION("""COMPUTED_VALUE"""),"")</f>
        <v/>
      </c>
      <c r="G8091" s="42" t="str">
        <f>IFERROR(__xludf.DUMMYFUNCTION("""COMPUTED_VALUE"""),"BN JUAL BELI")</f>
        <v>BN JUAL BELI</v>
      </c>
      <c r="H8091" s="42">
        <f t="shared" si="1"/>
        <v>3299</v>
      </c>
    </row>
    <row r="8092" ht="22.5" customHeight="1">
      <c r="B8092" s="42" t="str">
        <f>IFERROR(__xludf.DUMMYFUNCTION("""COMPUTED_VALUE"""),"K/30/081025/3")</f>
        <v>K/30/081025/3</v>
      </c>
      <c r="C8092" s="42" t="str">
        <f>IFERROR(__xludf.DUMMYFUNCTION("""COMPUTED_VALUE"""),"B 789/ SUMUR PUTRI")</f>
        <v>B 789/ SUMUR PUTRI</v>
      </c>
      <c r="D8092" s="42"/>
      <c r="E8092" s="42"/>
      <c r="F8092" s="48" t="str">
        <f>IFERROR(__xludf.DUMMYFUNCTION("""COMPUTED_VALUE"""),"")</f>
        <v/>
      </c>
      <c r="G8092" s="42" t="str">
        <f>IFERROR(__xludf.DUMMYFUNCTION("""COMPUTED_VALUE"""),"BN JUAL BELI")</f>
        <v>BN JUAL BELI</v>
      </c>
      <c r="H8092" s="42">
        <f t="shared" si="1"/>
        <v>3299</v>
      </c>
    </row>
    <row r="8093" ht="22.5" customHeight="1">
      <c r="B8093" s="42" t="str">
        <f>IFERROR(__xludf.DUMMYFUNCTION("""COMPUTED_VALUE"""),"K/32/081025/1")</f>
        <v>K/32/081025/1</v>
      </c>
      <c r="C8093" s="42" t="str">
        <f>IFERROR(__xludf.DUMMYFUNCTION("""COMPUTED_VALUE"""),"M 1237/ KANGKUNG")</f>
        <v>M 1237/ KANGKUNG</v>
      </c>
      <c r="D8093" s="42"/>
      <c r="E8093" s="42"/>
      <c r="F8093" s="48" t="str">
        <f>IFERROR(__xludf.DUMMYFUNCTION("""COMPUTED_VALUE"""),"")</f>
        <v/>
      </c>
      <c r="G8093" s="42" t="str">
        <f>IFERROR(__xludf.DUMMYFUNCTION("""COMPUTED_VALUE"""),"BN JUAL BELI")</f>
        <v>BN JUAL BELI</v>
      </c>
      <c r="H8093" s="42">
        <f t="shared" si="1"/>
        <v>3299</v>
      </c>
    </row>
    <row r="8094" ht="22.5" customHeight="1">
      <c r="B8094" s="42" t="str">
        <f>IFERROR(__xludf.DUMMYFUNCTION("""COMPUTED_VALUE"""),"K/31/081025/1")</f>
        <v>K/31/081025/1</v>
      </c>
      <c r="C8094" s="42" t="str">
        <f>IFERROR(__xludf.DUMMYFUNCTION("""COMPUTED_VALUE"""),"B. 858/PERUMNAS WAY KANDIS")</f>
        <v>B. 858/PERUMNAS WAY KANDIS</v>
      </c>
      <c r="D8094" s="42"/>
      <c r="E8094" s="42"/>
      <c r="F8094" s="48" t="str">
        <f>IFERROR(__xludf.DUMMYFUNCTION("""COMPUTED_VALUE"""),"")</f>
        <v/>
      </c>
      <c r="G8094" s="42" t="str">
        <f>IFERROR(__xludf.DUMMYFUNCTION("""COMPUTED_VALUE"""),"BN JUAL BELI EL")</f>
        <v>BN JUAL BELI EL</v>
      </c>
      <c r="H8094" s="42">
        <f t="shared" si="1"/>
        <v>3299</v>
      </c>
    </row>
    <row r="8095" ht="22.5" customHeight="1">
      <c r="B8095" s="42" t="str">
        <f>IFERROR(__xludf.DUMMYFUNCTION("""COMPUTED_VALUE"""),"K/33/081025/1")</f>
        <v>K/33/081025/1</v>
      </c>
      <c r="C8095" s="42" t="str">
        <f>IFERROR(__xludf.DUMMYFUNCTION("""COMPUTED_VALUE"""),"M. 440/RAWA LAUT ")</f>
        <v>M. 440/RAWA LAUT </v>
      </c>
      <c r="D8095" s="42"/>
      <c r="E8095" s="42"/>
      <c r="F8095" s="48" t="str">
        <f>IFERROR(__xludf.DUMMYFUNCTION("""COMPUTED_VALUE"""),"")</f>
        <v/>
      </c>
      <c r="G8095" s="42" t="str">
        <f>IFERROR(__xludf.DUMMYFUNCTION("""COMPUTED_VALUE"""),"BN WARIS")</f>
        <v>BN WARIS</v>
      </c>
      <c r="H8095" s="42">
        <f t="shared" si="1"/>
        <v>3299</v>
      </c>
    </row>
    <row r="8096" ht="22.5" customHeight="1">
      <c r="B8096" s="42" t="str">
        <f>IFERROR(__xludf.DUMMYFUNCTION("""COMPUTED_VALUE"""),"K/34/081025/1")</f>
        <v>K/34/081025/1</v>
      </c>
      <c r="C8096" s="42" t="str">
        <f>IFERROR(__xludf.DUMMYFUNCTION("""COMPUTED_VALUE"""),"NIBEL B. 23600/BERINGIN RAYA")</f>
        <v>NIBEL B. 23600/BERINGIN RAYA</v>
      </c>
      <c r="D8096" s="42"/>
      <c r="E8096" s="42"/>
      <c r="F8096" s="48" t="str">
        <f>IFERROR(__xludf.DUMMYFUNCTION("""COMPUTED_VALUE"""),"")</f>
        <v/>
      </c>
      <c r="G8096" s="42" t="str">
        <f>IFERROR(__xludf.DUMMYFUNCTION("""COMPUTED_VALUE"""),"PERUBAHAN HAK")</f>
        <v>PERUBAHAN HAK</v>
      </c>
      <c r="H8096" s="42">
        <f t="shared" si="1"/>
        <v>3299</v>
      </c>
    </row>
    <row r="8097" ht="22.5" customHeight="1">
      <c r="B8097" s="42" t="str">
        <f>IFERROR(__xludf.DUMMYFUNCTION("""COMPUTED_VALUE"""),"K/35/081025/1")</f>
        <v>K/35/081025/1</v>
      </c>
      <c r="C8097" s="42" t="str">
        <f>IFERROR(__xludf.DUMMYFUNCTION("""COMPUTED_VALUE"""),"NIBEL M 13630/ SURABAYA")</f>
        <v>NIBEL M 13630/ SURABAYA</v>
      </c>
      <c r="D8097" s="42"/>
      <c r="E8097" s="42"/>
      <c r="F8097" s="48" t="str">
        <f>IFERROR(__xludf.DUMMYFUNCTION("""COMPUTED_VALUE"""),"")</f>
        <v/>
      </c>
      <c r="G8097" s="42" t="str">
        <f>IFERROR(__xludf.DUMMYFUNCTION("""COMPUTED_VALUE"""),"BN JUAL BELI")</f>
        <v>BN JUAL BELI</v>
      </c>
      <c r="H8097" s="42">
        <f t="shared" si="1"/>
        <v>3299</v>
      </c>
    </row>
    <row r="8098" ht="22.5" customHeight="1">
      <c r="B8098" s="42" t="str">
        <f>IFERROR(__xludf.DUMMYFUNCTION("""COMPUTED_VALUE"""),"L/27/081025/1")</f>
        <v>L/27/081025/1</v>
      </c>
      <c r="C8098" s="42" t="str">
        <f>IFERROR(__xludf.DUMMYFUNCTION("""COMPUTED_VALUE"""),"SHM 4458/TANJUNG SENENG")</f>
        <v>SHM 4458/TANJUNG SENENG</v>
      </c>
      <c r="D8098" s="42"/>
      <c r="E8098" s="42"/>
      <c r="F8098" s="48" t="str">
        <f>IFERROR(__xludf.DUMMYFUNCTION("""COMPUTED_VALUE"""),"")</f>
        <v/>
      </c>
      <c r="G8098" s="42" t="str">
        <f>IFERROR(__xludf.DUMMYFUNCTION("""COMPUTED_VALUE"""),"ROYA")</f>
        <v>ROYA</v>
      </c>
      <c r="H8098" s="42">
        <f t="shared" si="1"/>
        <v>3299</v>
      </c>
    </row>
    <row r="8099" ht="22.5" customHeight="1">
      <c r="B8099" s="42" t="str">
        <f>IFERROR(__xludf.DUMMYFUNCTION("""COMPUTED_VALUE"""),"L/36/081025/1")</f>
        <v>L/36/081025/1</v>
      </c>
      <c r="C8099" s="42" t="str">
        <f>IFERROR(__xludf.DUMMYFUNCTION("""COMPUTED_VALUE"""),"KEL. SUKARAME II LUAS 150 M2")</f>
        <v>KEL. SUKARAME II LUAS 150 M2</v>
      </c>
      <c r="D8099" s="42" t="str">
        <f>IFERROR(__xludf.DUMMYFUNCTION("""COMPUTED_VALUE"""),"Berry")</f>
        <v>Berry</v>
      </c>
      <c r="E8099" s="42" t="str">
        <f>IFERROR(__xludf.DUMMYFUNCTION("""COMPUTED_VALUE"""),"DISERAHKAN")</f>
        <v>DISERAHKAN</v>
      </c>
      <c r="F8099" s="48">
        <f>IFERROR(__xludf.DUMMYFUNCTION("""COMPUTED_VALUE"""),45988.63805400463)</f>
        <v>45988.63805</v>
      </c>
      <c r="G8099" s="42" t="str">
        <f>IFERROR(__xludf.DUMMYFUNCTION("""COMPUTED_VALUE"""),"PENGUKURAN PERTAMA KALI")</f>
        <v>PENGUKURAN PERTAMA KALI</v>
      </c>
      <c r="H8099" s="42">
        <f t="shared" si="1"/>
        <v>3300</v>
      </c>
    </row>
    <row r="8100" ht="22.5" customHeight="1">
      <c r="B8100" s="42" t="str">
        <f>IFERROR(__xludf.DUMMYFUNCTION("""COMPUTED_VALUE"""),"K/37/081025/2")</f>
        <v>K/37/081025/2</v>
      </c>
      <c r="C8100" s="42" t="str">
        <f>IFERROR(__xludf.DUMMYFUNCTION("""COMPUTED_VALUE"""),"M 6817/ TANJUNG SENANG")</f>
        <v>M 6817/ TANJUNG SENANG</v>
      </c>
      <c r="D8100" s="42"/>
      <c r="E8100" s="42"/>
      <c r="F8100" s="48" t="str">
        <f>IFERROR(__xludf.DUMMYFUNCTION("""COMPUTED_VALUE"""),"")</f>
        <v/>
      </c>
      <c r="G8100" s="42" t="str">
        <f>IFERROR(__xludf.DUMMYFUNCTION("""COMPUTED_VALUE"""),"BN JUAL BELI")</f>
        <v>BN JUAL BELI</v>
      </c>
      <c r="H8100" s="42">
        <f t="shared" si="1"/>
        <v>3300</v>
      </c>
    </row>
    <row r="8101" ht="22.5" customHeight="1">
      <c r="B8101" s="42" t="str">
        <f>IFERROR(__xludf.DUMMYFUNCTION("""COMPUTED_VALUE"""),"K/39/081025/1")</f>
        <v>K/39/081025/1</v>
      </c>
      <c r="C8101" s="42" t="str">
        <f>IFERROR(__xludf.DUMMYFUNCTION("""COMPUTED_VALUE"""),"Nibel 24236/Jagabaya II	")</f>
        <v>Nibel 24236/Jagabaya II	</v>
      </c>
      <c r="D8101" s="42"/>
      <c r="E8101" s="42"/>
      <c r="F8101" s="48" t="str">
        <f>IFERROR(__xludf.DUMMYFUNCTION("""COMPUTED_VALUE"""),"")</f>
        <v/>
      </c>
      <c r="G8101" s="42" t="str">
        <f>IFERROR(__xludf.DUMMYFUNCTION("""COMPUTED_VALUE"""),"BN Jual Beli	")</f>
        <v>BN Jual Beli	</v>
      </c>
      <c r="H8101" s="42">
        <f t="shared" si="1"/>
        <v>3300</v>
      </c>
    </row>
    <row r="8102" ht="22.5" customHeight="1">
      <c r="B8102" s="42" t="str">
        <f>IFERROR(__xludf.DUMMYFUNCTION("""COMPUTED_VALUE"""),"K/40/081025/2")</f>
        <v>K/40/081025/2</v>
      </c>
      <c r="C8102" s="42" t="str">
        <f>IFERROR(__xludf.DUMMYFUNCTION("""COMPUTED_VALUE"""),"Nibel 24867/Langkapura	")</f>
        <v>Nibel 24867/Langkapura	</v>
      </c>
      <c r="D8102" s="42"/>
      <c r="E8102" s="42"/>
      <c r="F8102" s="48" t="str">
        <f>IFERROR(__xludf.DUMMYFUNCTION("""COMPUTED_VALUE"""),"")</f>
        <v/>
      </c>
      <c r="G8102" s="42" t="str">
        <f>IFERROR(__xludf.DUMMYFUNCTION("""COMPUTED_VALUE"""),"BN Jual Beli	")</f>
        <v>BN Jual Beli	</v>
      </c>
      <c r="H8102" s="42">
        <f t="shared" si="1"/>
        <v>3300</v>
      </c>
    </row>
    <row r="8103" ht="22.5" customHeight="1">
      <c r="B8103" s="42" t="str">
        <f>IFERROR(__xludf.DUMMYFUNCTION("""COMPUTED_VALUE"""),"K/43/081025/1")</f>
        <v>K/43/081025/1</v>
      </c>
      <c r="C8103" s="42" t="str">
        <f>IFERROR(__xludf.DUMMYFUNCTION("""COMPUTED_VALUE"""),"NIBEL M. 18289/GEDONG AIR")</f>
        <v>NIBEL M. 18289/GEDONG AIR</v>
      </c>
      <c r="D8103" s="42"/>
      <c r="E8103" s="42"/>
      <c r="F8103" s="48" t="str">
        <f>IFERROR(__xludf.DUMMYFUNCTION("""COMPUTED_VALUE"""),"")</f>
        <v/>
      </c>
      <c r="G8103" s="42" t="str">
        <f>IFERROR(__xludf.DUMMYFUNCTION("""COMPUTED_VALUE"""),"BN JUAL BELI")</f>
        <v>BN JUAL BELI</v>
      </c>
      <c r="H8103" s="42">
        <f t="shared" si="1"/>
        <v>3300</v>
      </c>
    </row>
    <row r="8104" ht="22.5" customHeight="1">
      <c r="B8104" s="42" t="str">
        <f>IFERROR(__xludf.DUMMYFUNCTION("""COMPUTED_VALUE"""),"K/41/081025/3")</f>
        <v>K/41/081025/3</v>
      </c>
      <c r="C8104" s="42" t="str">
        <f>IFERROR(__xludf.DUMMYFUNCTION("""COMPUTED_VALUE"""),"Nibel 16606/Rajabasa Jaya	")</f>
        <v>Nibel 16606/Rajabasa Jaya	</v>
      </c>
      <c r="D8104" s="42"/>
      <c r="E8104" s="42"/>
      <c r="F8104" s="48" t="str">
        <f>IFERROR(__xludf.DUMMYFUNCTION("""COMPUTED_VALUE"""),"")</f>
        <v/>
      </c>
      <c r="G8104" s="42" t="str">
        <f>IFERROR(__xludf.DUMMYFUNCTION("""COMPUTED_VALUE"""),"BN Jual Beli	")</f>
        <v>BN Jual Beli	</v>
      </c>
      <c r="H8104" s="42">
        <f t="shared" si="1"/>
        <v>3300</v>
      </c>
    </row>
    <row r="8105" ht="22.5" customHeight="1">
      <c r="B8105" s="42" t="str">
        <f>IFERROR(__xludf.DUMMYFUNCTION("""COMPUTED_VALUE"""),"K/38/081025/3")</f>
        <v>K/38/081025/3</v>
      </c>
      <c r="C8105" s="42" t="str">
        <f>IFERROR(__xludf.DUMMYFUNCTION("""COMPUTED_VALUE"""),"M 9077/ SUKABUMI")</f>
        <v>M 9077/ SUKABUMI</v>
      </c>
      <c r="D8105" s="42"/>
      <c r="E8105" s="42"/>
      <c r="F8105" s="48" t="str">
        <f>IFERROR(__xludf.DUMMYFUNCTION("""COMPUTED_VALUE"""),"")</f>
        <v/>
      </c>
      <c r="G8105" s="42" t="str">
        <f>IFERROR(__xludf.DUMMYFUNCTION("""COMPUTED_VALUE"""),"BN HIBAH")</f>
        <v>BN HIBAH</v>
      </c>
      <c r="H8105" s="42">
        <f t="shared" si="1"/>
        <v>3300</v>
      </c>
    </row>
    <row r="8106" ht="22.5" customHeight="1">
      <c r="B8106" s="42" t="str">
        <f>IFERROR(__xludf.DUMMYFUNCTION("""COMPUTED_VALUE"""),"K/42/081025/4")</f>
        <v>K/42/081025/4</v>
      </c>
      <c r="C8106" s="42" t="str">
        <f>IFERROR(__xludf.DUMMYFUNCTION("""COMPUTED_VALUE"""),"M. 68/Gunung Agung	")</f>
        <v>M. 68/Gunung Agung	</v>
      </c>
      <c r="D8106" s="42"/>
      <c r="E8106" s="42"/>
      <c r="F8106" s="48" t="str">
        <f>IFERROR(__xludf.DUMMYFUNCTION("""COMPUTED_VALUE"""),"")</f>
        <v/>
      </c>
      <c r="G8106" s="42" t="str">
        <f>IFERROR(__xludf.DUMMYFUNCTION("""COMPUTED_VALUE"""),"Roya	")</f>
        <v>Roya	</v>
      </c>
      <c r="H8106" s="42">
        <f t="shared" si="1"/>
        <v>3300</v>
      </c>
    </row>
    <row r="8107" ht="22.5" customHeight="1">
      <c r="B8107" s="42" t="str">
        <f>IFERROR(__xludf.DUMMYFUNCTION("""COMPUTED_VALUE"""),"K/44/081025/1")</f>
        <v>K/44/081025/1</v>
      </c>
      <c r="C8107" s="42" t="str">
        <f>IFERROR(__xludf.DUMMYFUNCTION("""COMPUTED_VALUE"""),"B. 132/GEDONG MENENG")</f>
        <v>B. 132/GEDONG MENENG</v>
      </c>
      <c r="D8107" s="42"/>
      <c r="E8107" s="42"/>
      <c r="F8107" s="48" t="str">
        <f>IFERROR(__xludf.DUMMYFUNCTION("""COMPUTED_VALUE"""),"")</f>
        <v/>
      </c>
      <c r="G8107" s="42" t="str">
        <f>IFERROR(__xludf.DUMMYFUNCTION("""COMPUTED_VALUE"""),"PERUBAHAN HAK")</f>
        <v>PERUBAHAN HAK</v>
      </c>
      <c r="H8107" s="42">
        <f t="shared" si="1"/>
        <v>3300</v>
      </c>
    </row>
    <row r="8108" ht="22.5" customHeight="1">
      <c r="B8108" s="42" t="str">
        <f>IFERROR(__xludf.DUMMYFUNCTION("""COMPUTED_VALUE"""),"L/46/081025/1")</f>
        <v>L/46/081025/1</v>
      </c>
      <c r="C8108" s="42" t="str">
        <f>IFERROR(__xludf.DUMMYFUNCTION("""COMPUTED_VALUE"""),"M. 721/SUMBEREJO SEJAHTERA")</f>
        <v>M. 721/SUMBEREJO SEJAHTERA</v>
      </c>
      <c r="D8108" s="42"/>
      <c r="E8108" s="42"/>
      <c r="F8108" s="48" t="str">
        <f>IFERROR(__xludf.DUMMYFUNCTION("""COMPUTED_VALUE"""),"")</f>
        <v/>
      </c>
      <c r="G8108" s="42" t="str">
        <f>IFERROR(__xludf.DUMMYFUNCTION("""COMPUTED_VALUE"""),"PEMECAHAN")</f>
        <v>PEMECAHAN</v>
      </c>
      <c r="H8108" s="42">
        <f t="shared" si="1"/>
        <v>3300</v>
      </c>
    </row>
    <row r="8109" ht="22.5" customHeight="1">
      <c r="B8109" s="42" t="str">
        <f>IFERROR(__xludf.DUMMYFUNCTION("""COMPUTED_VALUE"""),"K/45/081025/1")</f>
        <v>K/45/081025/1</v>
      </c>
      <c r="C8109" s="42" t="str">
        <f>IFERROR(__xludf.DUMMYFUNCTION("""COMPUTED_VALUE"""),"M 43/ KALIAWI")</f>
        <v>M 43/ KALIAWI</v>
      </c>
      <c r="D8109" s="42"/>
      <c r="E8109" s="42"/>
      <c r="F8109" s="48" t="str">
        <f>IFERROR(__xludf.DUMMYFUNCTION("""COMPUTED_VALUE"""),"")</f>
        <v/>
      </c>
      <c r="G8109" s="42" t="str">
        <f>IFERROR(__xludf.DUMMYFUNCTION("""COMPUTED_VALUE"""),"BN HIBAH")</f>
        <v>BN HIBAH</v>
      </c>
      <c r="H8109" s="42">
        <f t="shared" si="1"/>
        <v>3300</v>
      </c>
    </row>
    <row r="8110" ht="22.5" customHeight="1">
      <c r="B8110" s="42" t="str">
        <f>IFERROR(__xludf.DUMMYFUNCTION("""COMPUTED_VALUE"""),"K/47/081025/1")</f>
        <v>K/47/081025/1</v>
      </c>
      <c r="C8110" s="42" t="str">
        <f>IFERROR(__xludf.DUMMYFUNCTION("""COMPUTED_VALUE"""),"M 1238/ KANGKUNG")</f>
        <v>M 1238/ KANGKUNG</v>
      </c>
      <c r="D8110" s="42"/>
      <c r="E8110" s="42"/>
      <c r="F8110" s="48" t="str">
        <f>IFERROR(__xludf.DUMMYFUNCTION("""COMPUTED_VALUE"""),"")</f>
        <v/>
      </c>
      <c r="G8110" s="42" t="str">
        <f>IFERROR(__xludf.DUMMYFUNCTION("""COMPUTED_VALUE"""),"BN JUAL BELI")</f>
        <v>BN JUAL BELI</v>
      </c>
      <c r="H8110" s="42">
        <f t="shared" si="1"/>
        <v>3300</v>
      </c>
    </row>
    <row r="8111" ht="22.5" customHeight="1">
      <c r="B8111" s="42" t="str">
        <f>IFERROR(__xludf.DUMMYFUNCTION("""COMPUTED_VALUE"""),"K/50/081025/1")</f>
        <v>K/50/081025/1</v>
      </c>
      <c r="C8111" s="42" t="str">
        <f>IFERROR(__xludf.DUMMYFUNCTION("""COMPUTED_VALUE"""),"M 1064/ GUNUNG AGUNG")</f>
        <v>M 1064/ GUNUNG AGUNG</v>
      </c>
      <c r="D8111" s="42"/>
      <c r="E8111" s="42"/>
      <c r="F8111" s="48" t="str">
        <f>IFERROR(__xludf.DUMMYFUNCTION("""COMPUTED_VALUE"""),"")</f>
        <v/>
      </c>
      <c r="G8111" s="42" t="str">
        <f>IFERROR(__xludf.DUMMYFUNCTION("""COMPUTED_VALUE"""),"BN JUAL BELI")</f>
        <v>BN JUAL BELI</v>
      </c>
      <c r="H8111" s="42">
        <f t="shared" si="1"/>
        <v>3300</v>
      </c>
    </row>
    <row r="8112" ht="22.5" customHeight="1">
      <c r="B8112" s="42" t="str">
        <f>IFERROR(__xludf.DUMMYFUNCTION("""COMPUTED_VALUE"""),"K/51/081025/2")</f>
        <v>K/51/081025/2</v>
      </c>
      <c r="C8112" s="42" t="str">
        <f>IFERROR(__xludf.DUMMYFUNCTION("""COMPUTED_VALUE"""),"B 623/ SUKAMAJU")</f>
        <v>B 623/ SUKAMAJU</v>
      </c>
      <c r="D8112" s="42"/>
      <c r="E8112" s="42"/>
      <c r="F8112" s="48" t="str">
        <f>IFERROR(__xludf.DUMMYFUNCTION("""COMPUTED_VALUE"""),"")</f>
        <v/>
      </c>
      <c r="G8112" s="42" t="str">
        <f>IFERROR(__xludf.DUMMYFUNCTION("""COMPUTED_VALUE"""),"BN JUAL BELI")</f>
        <v>BN JUAL BELI</v>
      </c>
      <c r="H8112" s="42">
        <f t="shared" si="1"/>
        <v>3300</v>
      </c>
    </row>
    <row r="8113" ht="22.5" customHeight="1">
      <c r="B8113" s="42" t="str">
        <f>IFERROR(__xludf.DUMMYFUNCTION("""COMPUTED_VALUE"""),"K/49/081025/1")</f>
        <v>K/49/081025/1</v>
      </c>
      <c r="C8113" s="42" t="str">
        <f>IFERROR(__xludf.DUMMYFUNCTION("""COMPUTED_VALUE"""),"Nibel 22849/Pelita	")</f>
        <v>Nibel 22849/Pelita	</v>
      </c>
      <c r="D8113" s="42"/>
      <c r="E8113" s="42"/>
      <c r="F8113" s="48" t="str">
        <f>IFERROR(__xludf.DUMMYFUNCTION("""COMPUTED_VALUE"""),"")</f>
        <v/>
      </c>
      <c r="G8113" s="42" t="str">
        <f>IFERROR(__xludf.DUMMYFUNCTION("""COMPUTED_VALUE"""),"Roya	")</f>
        <v>Roya	</v>
      </c>
      <c r="H8113" s="42">
        <f t="shared" si="1"/>
        <v>3300</v>
      </c>
    </row>
    <row r="8114" ht="22.5" customHeight="1">
      <c r="B8114" s="42" t="str">
        <f>IFERROR(__xludf.DUMMYFUNCTION("""COMPUTED_VALUE"""),"K/52/081025/1")</f>
        <v>K/52/081025/1</v>
      </c>
      <c r="C8114" s="42" t="str">
        <f>IFERROR(__xludf.DUMMYFUNCTION("""COMPUTED_VALUE"""),"NIBEL M 476/ CAMPANG JAYA")</f>
        <v>NIBEL M 476/ CAMPANG JAYA</v>
      </c>
      <c r="D8114" s="42"/>
      <c r="E8114" s="42"/>
      <c r="F8114" s="48" t="str">
        <f>IFERROR(__xludf.DUMMYFUNCTION("""COMPUTED_VALUE"""),"")</f>
        <v/>
      </c>
      <c r="G8114" s="42" t="str">
        <f>IFERROR(__xludf.DUMMYFUNCTION("""COMPUTED_VALUE"""),"BN JUAL BELI")</f>
        <v>BN JUAL BELI</v>
      </c>
      <c r="H8114" s="42">
        <f t="shared" si="1"/>
        <v>3300</v>
      </c>
    </row>
    <row r="8115" ht="22.5" customHeight="1">
      <c r="B8115" s="42" t="str">
        <f>IFERROR(__xludf.DUMMYFUNCTION("""COMPUTED_VALUE"""),"K/53/081025/1")</f>
        <v>K/53/081025/1</v>
      </c>
      <c r="C8115" s="42" t="str">
        <f>IFERROR(__xludf.DUMMYFUNCTION("""COMPUTED_VALUE"""),"M. 2404/Labuhan Dalam	")</f>
        <v>M. 2404/Labuhan Dalam	</v>
      </c>
      <c r="D8115" s="42"/>
      <c r="E8115" s="42"/>
      <c r="F8115" s="48" t="str">
        <f>IFERROR(__xludf.DUMMYFUNCTION("""COMPUTED_VALUE"""),"")</f>
        <v/>
      </c>
      <c r="G8115" s="42" t="str">
        <f>IFERROR(__xludf.DUMMYFUNCTION("""COMPUTED_VALUE"""),"BN Jual Beli	")</f>
        <v>BN Jual Beli	</v>
      </c>
      <c r="H8115" s="42">
        <f t="shared" si="1"/>
        <v>3300</v>
      </c>
    </row>
    <row r="8116" ht="22.5" customHeight="1">
      <c r="B8116" s="42" t="str">
        <f>IFERROR(__xludf.DUMMYFUNCTION("""COMPUTED_VALUE"""),"K/54/081025/2	")</f>
        <v>K/54/081025/2	</v>
      </c>
      <c r="C8116" s="42" t="str">
        <f>IFERROR(__xludf.DUMMYFUNCTION("""COMPUTED_VALUE"""),"Nibel 25519/Nusantara Permai	")</f>
        <v>Nibel 25519/Nusantara Permai	</v>
      </c>
      <c r="D8116" s="42" t="str">
        <f>IFERROR(__xludf.DUMMYFUNCTION("""COMPUTED_VALUE"""),"David")</f>
        <v>David</v>
      </c>
      <c r="E8116" s="42" t="str">
        <f>IFERROR(__xludf.DUMMYFUNCTION("""COMPUTED_VALUE"""),"DISERAHKAN")</f>
        <v>DISERAHKAN</v>
      </c>
      <c r="F8116" s="48">
        <f>IFERROR(__xludf.DUMMYFUNCTION("""COMPUTED_VALUE"""),45986.60469703704)</f>
        <v>45986.6047</v>
      </c>
      <c r="G8116" s="42" t="str">
        <f>IFERROR(__xludf.DUMMYFUNCTION("""COMPUTED_VALUE"""),"BN Jual Beli	")</f>
        <v>BN Jual Beli	</v>
      </c>
      <c r="H8116" s="42">
        <f t="shared" si="1"/>
        <v>3301</v>
      </c>
    </row>
    <row r="8117" ht="22.5" customHeight="1">
      <c r="B8117" s="42" t="str">
        <f>IFERROR(__xludf.DUMMYFUNCTION("""COMPUTED_VALUE"""),"K/1/091025/1")</f>
        <v>K/1/091025/1</v>
      </c>
      <c r="C8117" s="42" t="str">
        <f>IFERROR(__xludf.DUMMYFUNCTION("""COMPUTED_VALUE"""),"M. 1968/SUKABUMI INDAH")</f>
        <v>M. 1968/SUKABUMI INDAH</v>
      </c>
      <c r="D8117" s="42"/>
      <c r="E8117" s="42"/>
      <c r="F8117" s="48" t="str">
        <f>IFERROR(__xludf.DUMMYFUNCTION("""COMPUTED_VALUE"""),"")</f>
        <v/>
      </c>
      <c r="G8117" s="42" t="str">
        <f>IFERROR(__xludf.DUMMYFUNCTION("""COMPUTED_VALUE"""),"BN WARIS ")</f>
        <v>BN WARIS </v>
      </c>
      <c r="H8117" s="42">
        <f t="shared" si="1"/>
        <v>3301</v>
      </c>
    </row>
    <row r="8118" ht="22.5" customHeight="1">
      <c r="B8118" s="42" t="str">
        <f>IFERROR(__xludf.DUMMYFUNCTION("""COMPUTED_VALUE"""),"K/2/091025/1")</f>
        <v>K/2/091025/1</v>
      </c>
      <c r="C8118" s="42" t="str">
        <f>IFERROR(__xludf.DUMMYFUNCTION("""COMPUTED_VALUE"""),"Nibel 24732/Susunan Baru	")</f>
        <v>Nibel 24732/Susunan Baru	</v>
      </c>
      <c r="D8118" s="42"/>
      <c r="E8118" s="42"/>
      <c r="F8118" s="48" t="str">
        <f>IFERROR(__xludf.DUMMYFUNCTION("""COMPUTED_VALUE"""),"")</f>
        <v/>
      </c>
      <c r="G8118" s="42" t="str">
        <f>IFERROR(__xludf.DUMMYFUNCTION("""COMPUTED_VALUE"""),"BN Jual Beli	")</f>
        <v>BN Jual Beli	</v>
      </c>
      <c r="H8118" s="42">
        <f t="shared" si="1"/>
        <v>3301</v>
      </c>
    </row>
    <row r="8119" ht="22.5" customHeight="1">
      <c r="B8119" s="42" t="str">
        <f>IFERROR(__xludf.DUMMYFUNCTION("""COMPUTED_VALUE"""),"K/3/091025/1")</f>
        <v>K/3/091025/1</v>
      </c>
      <c r="C8119" s="42" t="str">
        <f>IFERROR(__xludf.DUMMYFUNCTION("""COMPUTED_VALUE"""),"NIBEL B 3347/ GARUNTANG")</f>
        <v>NIBEL B 3347/ GARUNTANG</v>
      </c>
      <c r="D8119" s="42"/>
      <c r="E8119" s="42"/>
      <c r="F8119" s="48" t="str">
        <f>IFERROR(__xludf.DUMMYFUNCTION("""COMPUTED_VALUE"""),"")</f>
        <v/>
      </c>
      <c r="G8119" s="42" t="str">
        <f>IFERROR(__xludf.DUMMYFUNCTION("""COMPUTED_VALUE"""),"BN JUAL BELI")</f>
        <v>BN JUAL BELI</v>
      </c>
      <c r="H8119" s="42">
        <f t="shared" si="1"/>
        <v>3301</v>
      </c>
    </row>
    <row r="8120" ht="22.5" customHeight="1">
      <c r="B8120" s="42" t="str">
        <f>IFERROR(__xludf.DUMMYFUNCTION("""COMPUTED_VALUE"""),"L/4/091025/1")</f>
        <v>L/4/091025/1</v>
      </c>
      <c r="C8120" s="42" t="str">
        <f>IFERROR(__xludf.DUMMYFUNCTION("""COMPUTED_VALUE"""),"M. 12141/SEGALA MIDER")</f>
        <v>M. 12141/SEGALA MIDER</v>
      </c>
      <c r="D8120" s="42"/>
      <c r="E8120" s="42"/>
      <c r="F8120" s="48" t="str">
        <f>IFERROR(__xludf.DUMMYFUNCTION("""COMPUTED_VALUE"""),"")</f>
        <v/>
      </c>
      <c r="G8120" s="42" t="str">
        <f>IFERROR(__xludf.DUMMYFUNCTION("""COMPUTED_VALUE"""),"ROYA")</f>
        <v>ROYA</v>
      </c>
      <c r="H8120" s="42">
        <f t="shared" si="1"/>
        <v>3301</v>
      </c>
    </row>
    <row r="8121" ht="22.5" customHeight="1">
      <c r="B8121" s="42" t="str">
        <f>IFERROR(__xludf.DUMMYFUNCTION("""COMPUTED_VALUE"""),"K/5/091025/2")</f>
        <v>K/5/091025/2</v>
      </c>
      <c r="C8121" s="42" t="str">
        <f>IFERROR(__xludf.DUMMYFUNCTION("""COMPUTED_VALUE"""),"Nibel 24923/Sukabumi Indah	")</f>
        <v>Nibel 24923/Sukabumi Indah	</v>
      </c>
      <c r="D8121" s="42" t="str">
        <f>IFERROR(__xludf.DUMMYFUNCTION("""COMPUTED_VALUE"""),"David")</f>
        <v>David</v>
      </c>
      <c r="E8121" s="42" t="str">
        <f>IFERROR(__xludf.DUMMYFUNCTION("""COMPUTED_VALUE"""),"DISERAHKAN")</f>
        <v>DISERAHKAN</v>
      </c>
      <c r="F8121" s="48">
        <f>IFERROR(__xludf.DUMMYFUNCTION("""COMPUTED_VALUE"""),45986.60284039352)</f>
        <v>45986.60284</v>
      </c>
      <c r="G8121" s="42" t="str">
        <f>IFERROR(__xludf.DUMMYFUNCTION("""COMPUTED_VALUE"""),"BN Jual Beli	")</f>
        <v>BN Jual Beli	</v>
      </c>
      <c r="H8121" s="42">
        <f t="shared" si="1"/>
        <v>3302</v>
      </c>
    </row>
    <row r="8122" ht="22.5" customHeight="1">
      <c r="B8122" s="42" t="str">
        <f>IFERROR(__xludf.DUMMYFUNCTION("""COMPUTED_VALUE"""),"L/6/091025/1")</f>
        <v>L/6/091025/1</v>
      </c>
      <c r="C8122" s="42" t="str">
        <f>IFERROR(__xludf.DUMMYFUNCTION("""COMPUTED_VALUE"""),"B. 334/CAMPANG RAYA")</f>
        <v>B. 334/CAMPANG RAYA</v>
      </c>
      <c r="D8122" s="42"/>
      <c r="E8122" s="42"/>
      <c r="F8122" s="48" t="str">
        <f>IFERROR(__xludf.DUMMYFUNCTION("""COMPUTED_VALUE"""),"")</f>
        <v/>
      </c>
      <c r="G8122" s="42" t="str">
        <f>IFERROR(__xludf.DUMMYFUNCTION("""COMPUTED_VALUE"""),"ROYA")</f>
        <v>ROYA</v>
      </c>
      <c r="H8122" s="42">
        <f t="shared" si="1"/>
        <v>3302</v>
      </c>
    </row>
    <row r="8123" ht="22.5" customHeight="1">
      <c r="B8123" s="42" t="str">
        <f>IFERROR(__xludf.DUMMYFUNCTION("""COMPUTED_VALUE"""),"K/8/091025/1")</f>
        <v>K/8/091025/1</v>
      </c>
      <c r="C8123" s="42" t="str">
        <f>IFERROR(__xludf.DUMMYFUNCTION("""COMPUTED_VALUE"""),"M 2721/ SUKAJAWA")</f>
        <v>M 2721/ SUKAJAWA</v>
      </c>
      <c r="D8123" s="42" t="str">
        <f>IFERROR(__xludf.DUMMYFUNCTION("""COMPUTED_VALUE"""),"Berry")</f>
        <v>Berry</v>
      </c>
      <c r="E8123" s="42" t="str">
        <f>IFERROR(__xludf.DUMMYFUNCTION("""COMPUTED_VALUE"""),"DISERAHKAN")</f>
        <v>DISERAHKAN</v>
      </c>
      <c r="F8123" s="48">
        <f>IFERROR(__xludf.DUMMYFUNCTION("""COMPUTED_VALUE"""),45988.63781241898)</f>
        <v>45988.63781</v>
      </c>
      <c r="G8123" s="42" t="str">
        <f>IFERROR(__xludf.DUMMYFUNCTION("""COMPUTED_VALUE"""),"BN JUAL BELI")</f>
        <v>BN JUAL BELI</v>
      </c>
      <c r="H8123" s="42">
        <f t="shared" si="1"/>
        <v>3303</v>
      </c>
    </row>
    <row r="8124" ht="22.5" customHeight="1">
      <c r="B8124" s="42" t="str">
        <f>IFERROR(__xludf.DUMMYFUNCTION("""COMPUTED_VALUE"""),"K/9/091025/1")</f>
        <v>K/9/091025/1</v>
      </c>
      <c r="C8124" s="42" t="str">
        <f>IFERROR(__xludf.DUMMYFUNCTION("""COMPUTED_VALUE"""),"M 11450/ SEGALA MIDER")</f>
        <v>M 11450/ SEGALA MIDER</v>
      </c>
      <c r="D8124" s="42"/>
      <c r="E8124" s="42"/>
      <c r="F8124" s="48" t="str">
        <f>IFERROR(__xludf.DUMMYFUNCTION("""COMPUTED_VALUE"""),"")</f>
        <v/>
      </c>
      <c r="G8124" s="42" t="str">
        <f>IFERROR(__xludf.DUMMYFUNCTION("""COMPUTED_VALUE"""),"ROYA")</f>
        <v>ROYA</v>
      </c>
      <c r="H8124" s="42">
        <f t="shared" si="1"/>
        <v>3303</v>
      </c>
    </row>
    <row r="8125" ht="22.5" customHeight="1">
      <c r="B8125" s="42" t="str">
        <f>IFERROR(__xludf.DUMMYFUNCTION("""COMPUTED_VALUE"""),"L/12/091025/1")</f>
        <v>L/12/091025/1</v>
      </c>
      <c r="C8125" s="42" t="str">
        <f>IFERROR(__xludf.DUMMYFUNCTION("""COMPUTED_VALUE"""),"M. 9630/SUKARAME I")</f>
        <v>M. 9630/SUKARAME I</v>
      </c>
      <c r="D8125" s="42"/>
      <c r="E8125" s="42"/>
      <c r="F8125" s="48" t="str">
        <f>IFERROR(__xludf.DUMMYFUNCTION("""COMPUTED_VALUE"""),"")</f>
        <v/>
      </c>
      <c r="G8125" s="42" t="str">
        <f>IFERROR(__xludf.DUMMYFUNCTION("""COMPUTED_VALUE"""),"ROYA")</f>
        <v>ROYA</v>
      </c>
      <c r="H8125" s="42">
        <f t="shared" si="1"/>
        <v>3303</v>
      </c>
    </row>
    <row r="8126" ht="22.5" customHeight="1">
      <c r="B8126" s="42" t="str">
        <f>IFERROR(__xludf.DUMMYFUNCTION("""COMPUTED_VALUE"""),"K/10/091025/1")</f>
        <v>K/10/091025/1</v>
      </c>
      <c r="C8126" s="42" t="str">
        <f>IFERROR(__xludf.DUMMYFUNCTION("""COMPUTED_VALUE"""),"M 1629/ PESAWAHAN")</f>
        <v>M 1629/ PESAWAHAN</v>
      </c>
      <c r="D8126" s="42" t="str">
        <f>IFERROR(__xludf.DUMMYFUNCTION("""COMPUTED_VALUE"""),"Berry")</f>
        <v>Berry</v>
      </c>
      <c r="E8126" s="42" t="str">
        <f>IFERROR(__xludf.DUMMYFUNCTION("""COMPUTED_VALUE"""),"DISERAHKAN")</f>
        <v>DISERAHKAN</v>
      </c>
      <c r="F8126" s="48">
        <f>IFERROR(__xludf.DUMMYFUNCTION("""COMPUTED_VALUE"""),46020.651158692126)</f>
        <v>46020.65116</v>
      </c>
      <c r="G8126" s="42" t="str">
        <f>IFERROR(__xludf.DUMMYFUNCTION("""COMPUTED_VALUE"""),"BN JUAL BELI")</f>
        <v>BN JUAL BELI</v>
      </c>
      <c r="H8126" s="42">
        <f t="shared" si="1"/>
        <v>3304</v>
      </c>
    </row>
    <row r="8127" ht="22.5" customHeight="1">
      <c r="B8127" s="42" t="str">
        <f>IFERROR(__xludf.DUMMYFUNCTION("""COMPUTED_VALUE"""),"L/14/091025/1")</f>
        <v>L/14/091025/1</v>
      </c>
      <c r="C8127" s="42" t="str">
        <f>IFERROR(__xludf.DUMMYFUNCTION("""COMPUTED_VALUE"""),"B. 2585/SUKABUMI")</f>
        <v>B. 2585/SUKABUMI</v>
      </c>
      <c r="D8127" s="42"/>
      <c r="E8127" s="42"/>
      <c r="F8127" s="48" t="str">
        <f>IFERROR(__xludf.DUMMYFUNCTION("""COMPUTED_VALUE"""),"")</f>
        <v/>
      </c>
      <c r="G8127" s="42" t="str">
        <f>IFERROR(__xludf.DUMMYFUNCTION("""COMPUTED_VALUE"""),"PENINGKATAN HAK")</f>
        <v>PENINGKATAN HAK</v>
      </c>
      <c r="H8127" s="42">
        <f t="shared" si="1"/>
        <v>3304</v>
      </c>
    </row>
    <row r="8128" ht="22.5" customHeight="1">
      <c r="B8128" s="42" t="str">
        <f>IFERROR(__xludf.DUMMYFUNCTION("""COMPUTED_VALUE"""),"K/11/091025/2")</f>
        <v>K/11/091025/2</v>
      </c>
      <c r="C8128" s="42" t="str">
        <f>IFERROR(__xludf.DUMMYFUNCTION("""COMPUTED_VALUE"""),"M 1630/ PESAWAHAN")</f>
        <v>M 1630/ PESAWAHAN</v>
      </c>
      <c r="D8128" s="42"/>
      <c r="E8128" s="42"/>
      <c r="F8128" s="48" t="str">
        <f>IFERROR(__xludf.DUMMYFUNCTION("""COMPUTED_VALUE"""),"")</f>
        <v/>
      </c>
      <c r="G8128" s="42" t="str">
        <f>IFERROR(__xludf.DUMMYFUNCTION("""COMPUTED_VALUE"""),"BN JUAL BELI")</f>
        <v>BN JUAL BELI</v>
      </c>
      <c r="H8128" s="42">
        <f t="shared" si="1"/>
        <v>3304</v>
      </c>
    </row>
    <row r="8129" ht="22.5" customHeight="1">
      <c r="B8129" s="42" t="str">
        <f>IFERROR(__xludf.DUMMYFUNCTION("""COMPUTED_VALUE"""),"K/7/091025/1")</f>
        <v>K/7/091025/1</v>
      </c>
      <c r="C8129" s="42" t="str">
        <f>IFERROR(__xludf.DUMMYFUNCTION("""COMPUTED_VALUE"""),"M. 1639/Susunan Baru	")</f>
        <v>M. 1639/Susunan Baru	</v>
      </c>
      <c r="D8129" s="42"/>
      <c r="E8129" s="42"/>
      <c r="F8129" s="48" t="str">
        <f>IFERROR(__xludf.DUMMYFUNCTION("""COMPUTED_VALUE"""),"")</f>
        <v/>
      </c>
      <c r="G8129" s="42" t="str">
        <f>IFERROR(__xludf.DUMMYFUNCTION("""COMPUTED_VALUE"""),"BN Jual Beli	")</f>
        <v>BN Jual Beli	</v>
      </c>
      <c r="H8129" s="42">
        <f t="shared" si="1"/>
        <v>3304</v>
      </c>
    </row>
    <row r="8130" ht="22.5" customHeight="1">
      <c r="B8130" s="42" t="str">
        <f>IFERROR(__xludf.DUMMYFUNCTION("""COMPUTED_VALUE"""),"L/15/091025/1")</f>
        <v>L/15/091025/1</v>
      </c>
      <c r="C8130" s="42" t="str">
        <f>IFERROR(__xludf.DUMMYFUNCTION("""COMPUTED_VALUE"""),"B. 2584/SUKABUMI")</f>
        <v>B. 2584/SUKABUMI</v>
      </c>
      <c r="D8130" s="42" t="str">
        <f>IFERROR(__xludf.DUMMYFUNCTION("""COMPUTED_VALUE"""),"Berry")</f>
        <v>Berry</v>
      </c>
      <c r="E8130" s="42" t="str">
        <f>IFERROR(__xludf.DUMMYFUNCTION("""COMPUTED_VALUE"""),"DISERAHKAN")</f>
        <v>DISERAHKAN</v>
      </c>
      <c r="F8130" s="48">
        <f>IFERROR(__xludf.DUMMYFUNCTION("""COMPUTED_VALUE"""),45975.49891767361)</f>
        <v>45975.49892</v>
      </c>
      <c r="G8130" s="42" t="str">
        <f>IFERROR(__xludf.DUMMYFUNCTION("""COMPUTED_VALUE"""),"PENINGKATAN HAK")</f>
        <v>PENINGKATAN HAK</v>
      </c>
      <c r="H8130" s="42">
        <f t="shared" si="1"/>
        <v>3305</v>
      </c>
    </row>
    <row r="8131" ht="22.5" customHeight="1">
      <c r="B8131" s="42" t="str">
        <f>IFERROR(__xludf.DUMMYFUNCTION("""COMPUTED_VALUE"""),"K/16/091025/1")</f>
        <v>K/16/091025/1</v>
      </c>
      <c r="C8131" s="42" t="str">
        <f>IFERROR(__xludf.DUMMYFUNCTION("""COMPUTED_VALUE"""),"M. 2727/Sumber Rejo	")</f>
        <v>M. 2727/Sumber Rejo	</v>
      </c>
      <c r="D8131" s="42"/>
      <c r="E8131" s="42"/>
      <c r="F8131" s="48" t="str">
        <f>IFERROR(__xludf.DUMMYFUNCTION("""COMPUTED_VALUE"""),"")</f>
        <v/>
      </c>
      <c r="G8131" s="42" t="str">
        <f>IFERROR(__xludf.DUMMYFUNCTION("""COMPUTED_VALUE"""),"BN Jual Beli	")</f>
        <v>BN Jual Beli	</v>
      </c>
      <c r="H8131" s="42">
        <f t="shared" si="1"/>
        <v>3305</v>
      </c>
    </row>
    <row r="8132" ht="22.5" customHeight="1">
      <c r="B8132" s="42" t="str">
        <f>IFERROR(__xludf.DUMMYFUNCTION("""COMPUTED_VALUE"""),"K/17/091025/2")</f>
        <v>K/17/091025/2</v>
      </c>
      <c r="C8132" s="42" t="str">
        <f>IFERROR(__xludf.DUMMYFUNCTION("""COMPUTED_VALUE"""),"Nibel 23592/Sukarame	")</f>
        <v>Nibel 23592/Sukarame	</v>
      </c>
      <c r="D8132" s="42"/>
      <c r="E8132" s="42"/>
      <c r="F8132" s="48" t="str">
        <f>IFERROR(__xludf.DUMMYFUNCTION("""COMPUTED_VALUE"""),"")</f>
        <v/>
      </c>
      <c r="G8132" s="42" t="str">
        <f>IFERROR(__xludf.DUMMYFUNCTION("""COMPUTED_VALUE"""),"BN Jual Beli	")</f>
        <v>BN Jual Beli	</v>
      </c>
      <c r="H8132" s="42">
        <f t="shared" si="1"/>
        <v>3305</v>
      </c>
    </row>
    <row r="8133" ht="22.5" customHeight="1">
      <c r="B8133" s="42" t="str">
        <f>IFERROR(__xludf.DUMMYFUNCTION("""COMPUTED_VALUE"""),"K/18/091025/3")</f>
        <v>K/18/091025/3</v>
      </c>
      <c r="C8133" s="42" t="str">
        <f>IFERROR(__xludf.DUMMYFUNCTION("""COMPUTED_VALUE"""),"Nibel 23593/Sukarame	")</f>
        <v>Nibel 23593/Sukarame	</v>
      </c>
      <c r="D8133" s="42"/>
      <c r="E8133" s="42"/>
      <c r="F8133" s="48" t="str">
        <f>IFERROR(__xludf.DUMMYFUNCTION("""COMPUTED_VALUE"""),"")</f>
        <v/>
      </c>
      <c r="G8133" s="42" t="str">
        <f>IFERROR(__xludf.DUMMYFUNCTION("""COMPUTED_VALUE"""),"BN Jual Beli	")</f>
        <v>BN Jual Beli	</v>
      </c>
      <c r="H8133" s="42">
        <f t="shared" si="1"/>
        <v>3305</v>
      </c>
    </row>
    <row r="8134" ht="22.5" customHeight="1">
      <c r="B8134" s="42" t="str">
        <f>IFERROR(__xludf.DUMMYFUNCTION("""COMPUTED_VALUE"""),"K/13/091025/1")</f>
        <v>K/13/091025/1</v>
      </c>
      <c r="C8134" s="42" t="str">
        <f>IFERROR(__xludf.DUMMYFUNCTION("""COMPUTED_VALUE"""),"M. 1923/BERINGIN RAYA DAN NIBEL M.25309/BERINGIN RAYA")</f>
        <v>M. 1923/BERINGIN RAYA DAN NIBEL M.25309/BERINGIN RAYA</v>
      </c>
      <c r="D8134" s="42"/>
      <c r="E8134" s="42"/>
      <c r="F8134" s="48" t="str">
        <f>IFERROR(__xludf.DUMMYFUNCTION("""COMPUTED_VALUE"""),"")</f>
        <v/>
      </c>
      <c r="G8134" s="42" t="str">
        <f>IFERROR(__xludf.DUMMYFUNCTION("""COMPUTED_VALUE"""),"PENGGABUNGAN")</f>
        <v>PENGGABUNGAN</v>
      </c>
      <c r="H8134" s="42">
        <f t="shared" si="1"/>
        <v>3305</v>
      </c>
    </row>
    <row r="8135" ht="22.5" customHeight="1">
      <c r="B8135" s="42" t="str">
        <f>IFERROR(__xludf.DUMMYFUNCTION("""COMPUTED_VALUE"""),"K/20/091025/1")</f>
        <v>K/20/091025/1</v>
      </c>
      <c r="C8135" s="42" t="str">
        <f>IFERROR(__xludf.DUMMYFUNCTION("""COMPUTED_VALUE"""),"BN Jual Beli	")</f>
        <v>BN Jual Beli	</v>
      </c>
      <c r="D8135" s="42"/>
      <c r="E8135" s="42"/>
      <c r="F8135" s="48" t="str">
        <f>IFERROR(__xludf.DUMMYFUNCTION("""COMPUTED_VALUE"""),"")</f>
        <v/>
      </c>
      <c r="G8135" s="42" t="str">
        <f>IFERROR(__xludf.DUMMYFUNCTION("""COMPUTED_VALUE"""),"M. 3870/Sukadana Ham	")</f>
        <v>M. 3870/Sukadana Ham	</v>
      </c>
      <c r="H8135" s="42">
        <f t="shared" si="1"/>
        <v>3305</v>
      </c>
    </row>
    <row r="8136" ht="22.5" customHeight="1">
      <c r="B8136" s="42" t="str">
        <f>IFERROR(__xludf.DUMMYFUNCTION("""COMPUTED_VALUE"""),"L/19/091025/1")</f>
        <v>L/19/091025/1</v>
      </c>
      <c r="C8136" s="42" t="str">
        <f>IFERROR(__xludf.DUMMYFUNCTION("""COMPUTED_VALUE"""),"M. 12839/JAGABAYA II")</f>
        <v>M. 12839/JAGABAYA II</v>
      </c>
      <c r="D8136" s="42"/>
      <c r="E8136" s="42"/>
      <c r="F8136" s="48" t="str">
        <f>IFERROR(__xludf.DUMMYFUNCTION("""COMPUTED_VALUE"""),"")</f>
        <v/>
      </c>
      <c r="G8136" s="42" t="str">
        <f>IFERROR(__xludf.DUMMYFUNCTION("""COMPUTED_VALUE"""),"BN LELANG")</f>
        <v>BN LELANG</v>
      </c>
      <c r="H8136" s="42">
        <f t="shared" si="1"/>
        <v>3305</v>
      </c>
    </row>
    <row r="8137" ht="22.5" customHeight="1">
      <c r="B8137" s="42" t="str">
        <f>IFERROR(__xludf.DUMMYFUNCTION("""COMPUTED_VALUE"""),"K/21/091025/1")</f>
        <v>K/21/091025/1</v>
      </c>
      <c r="C8137" s="42" t="str">
        <f>IFERROR(__xludf.DUMMYFUNCTION("""COMPUTED_VALUE"""),"NIBEL M 3092/ PINANG JAYA")</f>
        <v>NIBEL M 3092/ PINANG JAYA</v>
      </c>
      <c r="D8137" s="42"/>
      <c r="E8137" s="42"/>
      <c r="F8137" s="48" t="str">
        <f>IFERROR(__xludf.DUMMYFUNCTION("""COMPUTED_VALUE"""),"")</f>
        <v/>
      </c>
      <c r="G8137" s="42" t="str">
        <f>IFERROR(__xludf.DUMMYFUNCTION("""COMPUTED_VALUE"""),"BN JUAL BELI")</f>
        <v>BN JUAL BELI</v>
      </c>
      <c r="H8137" s="42">
        <f t="shared" si="1"/>
        <v>3305</v>
      </c>
    </row>
    <row r="8138" ht="22.5" customHeight="1">
      <c r="B8138" s="42" t="str">
        <f>IFERROR(__xludf.DUMMYFUNCTION("""COMPUTED_VALUE"""),"K/22/091025/2")</f>
        <v>K/22/091025/2</v>
      </c>
      <c r="C8138" s="42" t="str">
        <f>IFERROR(__xludf.DUMMYFUNCTION("""COMPUTED_VALUE"""),"NIBEL M 3090/ PINANG JAYA")</f>
        <v>NIBEL M 3090/ PINANG JAYA</v>
      </c>
      <c r="D8138" s="42"/>
      <c r="E8138" s="42"/>
      <c r="F8138" s="48" t="str">
        <f>IFERROR(__xludf.DUMMYFUNCTION("""COMPUTED_VALUE"""),"")</f>
        <v/>
      </c>
      <c r="G8138" s="42" t="str">
        <f>IFERROR(__xludf.DUMMYFUNCTION("""COMPUTED_VALUE"""),"BN JUAL BELI")</f>
        <v>BN JUAL BELI</v>
      </c>
      <c r="H8138" s="42">
        <f t="shared" si="1"/>
        <v>3305</v>
      </c>
    </row>
    <row r="8139" ht="22.5" customHeight="1">
      <c r="B8139" s="42" t="str">
        <f>IFERROR(__xludf.DUMMYFUNCTION("""COMPUTED_VALUE"""),"L/25/091025/1")</f>
        <v>L/25/091025/1</v>
      </c>
      <c r="C8139" s="42" t="str">
        <f>IFERROR(__xludf.DUMMYFUNCTION("""COMPUTED_VALUE"""),"B. 105/KAMPUNG BARU RAYA")</f>
        <v>B. 105/KAMPUNG BARU RAYA</v>
      </c>
      <c r="D8139" s="42"/>
      <c r="E8139" s="42"/>
      <c r="F8139" s="48" t="str">
        <f>IFERROR(__xludf.DUMMYFUNCTION("""COMPUTED_VALUE"""),"")</f>
        <v/>
      </c>
      <c r="G8139" s="42" t="str">
        <f>IFERROR(__xludf.DUMMYFUNCTION("""COMPUTED_VALUE"""),"PENINGKATAN HAK")</f>
        <v>PENINGKATAN HAK</v>
      </c>
      <c r="H8139" s="42">
        <f t="shared" si="1"/>
        <v>3305</v>
      </c>
    </row>
    <row r="8140" ht="22.5" customHeight="1">
      <c r="B8140" s="42" t="str">
        <f>IFERROR(__xludf.DUMMYFUNCTION("""COMPUTED_VALUE"""),"L/26/091025/2")</f>
        <v>L/26/091025/2</v>
      </c>
      <c r="C8140" s="42" t="str">
        <f>IFERROR(__xludf.DUMMYFUNCTION("""COMPUTED_VALUE"""),"B. 100/KAMPUNG BARU RAYA")</f>
        <v>B. 100/KAMPUNG BARU RAYA</v>
      </c>
      <c r="D8140" s="42"/>
      <c r="E8140" s="42"/>
      <c r="F8140" s="48" t="str">
        <f>IFERROR(__xludf.DUMMYFUNCTION("""COMPUTED_VALUE"""),"")</f>
        <v/>
      </c>
      <c r="G8140" s="42" t="str">
        <f>IFERROR(__xludf.DUMMYFUNCTION("""COMPUTED_VALUE"""),"PENINGKATAN HAK")</f>
        <v>PENINGKATAN HAK</v>
      </c>
      <c r="H8140" s="42">
        <f t="shared" si="1"/>
        <v>3305</v>
      </c>
    </row>
    <row r="8141" ht="22.5" customHeight="1">
      <c r="B8141" s="42" t="str">
        <f>IFERROR(__xludf.DUMMYFUNCTION("""COMPUTED_VALUE"""),"K/24/091025/1")</f>
        <v>K/24/091025/1</v>
      </c>
      <c r="C8141" s="42" t="str">
        <f>IFERROR(__xludf.DUMMYFUNCTION("""COMPUTED_VALUE"""),"M. 23/BILABONG JAYA")</f>
        <v>M. 23/BILABONG JAYA</v>
      </c>
      <c r="D8141" s="42"/>
      <c r="E8141" s="42"/>
      <c r="F8141" s="48" t="str">
        <f>IFERROR(__xludf.DUMMYFUNCTION("""COMPUTED_VALUE"""),"")</f>
        <v/>
      </c>
      <c r="G8141" s="42" t="str">
        <f>IFERROR(__xludf.DUMMYFUNCTION("""COMPUTED_VALUE"""),"BN JUAL BELI ")</f>
        <v>BN JUAL BELI </v>
      </c>
      <c r="H8141" s="42">
        <f t="shared" si="1"/>
        <v>3305</v>
      </c>
    </row>
    <row r="8142" ht="22.5" customHeight="1">
      <c r="B8142" s="42" t="str">
        <f>IFERROR(__xludf.DUMMYFUNCTION("""COMPUTED_VALUE"""),"K/27/091025/1")</f>
        <v>K/27/091025/1</v>
      </c>
      <c r="C8142" s="42" t="str">
        <f>IFERROR(__xludf.DUMMYFUNCTION("""COMPUTED_VALUE"""),"B. 109/KAMPUNG BARU RAYA")</f>
        <v>B. 109/KAMPUNG BARU RAYA</v>
      </c>
      <c r="D8142" s="42" t="str">
        <f>IFERROR(__xludf.DUMMYFUNCTION("""COMPUTED_VALUE"""),"David")</f>
        <v>David</v>
      </c>
      <c r="E8142" s="42" t="str">
        <f>IFERROR(__xludf.DUMMYFUNCTION("""COMPUTED_VALUE"""),"DISERAHKAN")</f>
        <v>DISERAHKAN</v>
      </c>
      <c r="F8142" s="48">
        <f>IFERROR(__xludf.DUMMYFUNCTION("""COMPUTED_VALUE"""),45993.459639884255)</f>
        <v>45993.45964</v>
      </c>
      <c r="G8142" s="42" t="str">
        <f>IFERROR(__xludf.DUMMYFUNCTION("""COMPUTED_VALUE"""),"PERUBAHAN HAK")</f>
        <v>PERUBAHAN HAK</v>
      </c>
      <c r="H8142" s="42">
        <f t="shared" si="1"/>
        <v>3306</v>
      </c>
    </row>
    <row r="8143" ht="22.5" customHeight="1">
      <c r="B8143" s="42" t="str">
        <f>IFERROR(__xludf.DUMMYFUNCTION("""COMPUTED_VALUE"""),"K/28/091025/2")</f>
        <v>K/28/091025/2</v>
      </c>
      <c r="C8143" s="42" t="str">
        <f>IFERROR(__xludf.DUMMYFUNCTION("""COMPUTED_VALUE"""),"B. 106/KAMPUNG BARU RAYA")</f>
        <v>B. 106/KAMPUNG BARU RAYA</v>
      </c>
      <c r="D8143" s="42"/>
      <c r="E8143" s="42"/>
      <c r="F8143" s="48" t="str">
        <f>IFERROR(__xludf.DUMMYFUNCTION("""COMPUTED_VALUE"""),"")</f>
        <v/>
      </c>
      <c r="G8143" s="42" t="str">
        <f>IFERROR(__xludf.DUMMYFUNCTION("""COMPUTED_VALUE"""),"PERUBAHAN HAK")</f>
        <v>PERUBAHAN HAK</v>
      </c>
      <c r="H8143" s="42">
        <f t="shared" si="1"/>
        <v>3306</v>
      </c>
    </row>
    <row r="8144" ht="22.5" customHeight="1">
      <c r="B8144" s="42" t="str">
        <f>IFERROR(__xludf.DUMMYFUNCTION("""COMPUTED_VALUE"""),"K/29/091025/1")</f>
        <v>K/29/091025/1</v>
      </c>
      <c r="C8144" s="42" t="str">
        <f>IFERROR(__xludf.DUMMYFUNCTION("""COMPUTED_VALUE"""),"M. 403/ENGGAL")</f>
        <v>M. 403/ENGGAL</v>
      </c>
      <c r="D8144" s="42"/>
      <c r="E8144" s="42"/>
      <c r="F8144" s="48" t="str">
        <f>IFERROR(__xludf.DUMMYFUNCTION("""COMPUTED_VALUE"""),"")</f>
        <v/>
      </c>
      <c r="G8144" s="42" t="str">
        <f>IFERROR(__xludf.DUMMYFUNCTION("""COMPUTED_VALUE"""),"ROYA")</f>
        <v>ROYA</v>
      </c>
      <c r="H8144" s="42">
        <f t="shared" si="1"/>
        <v>3306</v>
      </c>
    </row>
    <row r="8145" ht="22.5" customHeight="1">
      <c r="B8145" s="42" t="str">
        <f>IFERROR(__xludf.DUMMYFUNCTION("""COMPUTED_VALUE"""),"K/57/091025/2")</f>
        <v>K/57/091025/2</v>
      </c>
      <c r="C8145" s="42" t="str">
        <f>IFERROR(__xludf.DUMMYFUNCTION("""COMPUTED_VALUE"""),"NIBEL B 25276/ SUKABUMI")</f>
        <v>NIBEL B 25276/ SUKABUMI</v>
      </c>
      <c r="D8145" s="42"/>
      <c r="E8145" s="42"/>
      <c r="F8145" s="48" t="str">
        <f>IFERROR(__xludf.DUMMYFUNCTION("""COMPUTED_VALUE"""),"")</f>
        <v/>
      </c>
      <c r="G8145" s="42" t="str">
        <f>IFERROR(__xludf.DUMMYFUNCTION("""COMPUTED_VALUE"""),"PENINGKATAN HAK")</f>
        <v>PENINGKATAN HAK</v>
      </c>
      <c r="H8145" s="42">
        <f t="shared" si="1"/>
        <v>3306</v>
      </c>
    </row>
    <row r="8146" ht="22.5" customHeight="1">
      <c r="B8146" s="42" t="str">
        <f>IFERROR(__xludf.DUMMYFUNCTION("""COMPUTED_VALUE"""),"K/56/091025/1")</f>
        <v>K/56/091025/1</v>
      </c>
      <c r="C8146" s="42" t="str">
        <f>IFERROR(__xludf.DUMMYFUNCTION("""COMPUTED_VALUE"""),"B 642/ SUMBER AGUNG")</f>
        <v>B 642/ SUMBER AGUNG</v>
      </c>
      <c r="D8146" s="42"/>
      <c r="E8146" s="42"/>
      <c r="F8146" s="48" t="str">
        <f>IFERROR(__xludf.DUMMYFUNCTION("""COMPUTED_VALUE"""),"")</f>
        <v/>
      </c>
      <c r="G8146" s="42" t="str">
        <f>IFERROR(__xludf.DUMMYFUNCTION("""COMPUTED_VALUE"""),"BN JUAL BELI")</f>
        <v>BN JUAL BELI</v>
      </c>
      <c r="H8146" s="42">
        <f t="shared" si="1"/>
        <v>3306</v>
      </c>
    </row>
    <row r="8147" ht="22.5" customHeight="1">
      <c r="B8147" s="42" t="str">
        <f>IFERROR(__xludf.DUMMYFUNCTION("""COMPUTED_VALUE"""),"K/23/091025/3")</f>
        <v>K/23/091025/3</v>
      </c>
      <c r="C8147" s="42" t="str">
        <f>IFERROR(__xludf.DUMMYFUNCTION("""COMPUTED_VALUE"""),"M 2405/ SUKARAME BARU")</f>
        <v>M 2405/ SUKARAME BARU</v>
      </c>
      <c r="D8147" s="42" t="str">
        <f>IFERROR(__xludf.DUMMYFUNCTION("""COMPUTED_VALUE"""),"David")</f>
        <v>David</v>
      </c>
      <c r="E8147" s="42" t="str">
        <f>IFERROR(__xludf.DUMMYFUNCTION("""COMPUTED_VALUE"""),"DISERAHKAN")</f>
        <v>DISERAHKAN</v>
      </c>
      <c r="F8147" s="48">
        <f>IFERROR(__xludf.DUMMYFUNCTION("""COMPUTED_VALUE"""),45993.460304293985)</f>
        <v>45993.4603</v>
      </c>
      <c r="G8147" s="42" t="str">
        <f>IFERROR(__xludf.DUMMYFUNCTION("""COMPUTED_VALUE"""),"BN JUAL BELI")</f>
        <v>BN JUAL BELI</v>
      </c>
      <c r="H8147" s="42">
        <f t="shared" si="1"/>
        <v>3307</v>
      </c>
    </row>
    <row r="8148" ht="22.5" customHeight="1">
      <c r="B8148" s="42" t="str">
        <f>IFERROR(__xludf.DUMMYFUNCTION("""COMPUTED_VALUE"""),"L/31/091025/1")</f>
        <v>L/31/091025/1</v>
      </c>
      <c r="C8148" s="42" t="str">
        <f>IFERROR(__xludf.DUMMYFUNCTION("""COMPUTED_VALUE"""),"KEL. PESAWAHAN LUAS 90 M2")</f>
        <v>KEL. PESAWAHAN LUAS 90 M2</v>
      </c>
      <c r="D8148" s="42"/>
      <c r="E8148" s="42"/>
      <c r="F8148" s="48" t="str">
        <f>IFERROR(__xludf.DUMMYFUNCTION("""COMPUTED_VALUE"""),"")</f>
        <v/>
      </c>
      <c r="G8148" s="42" t="str">
        <f>IFERROR(__xludf.DUMMYFUNCTION("""COMPUTED_VALUE"""),"PENGUKURAN PERTAMA KALI")</f>
        <v>PENGUKURAN PERTAMA KALI</v>
      </c>
      <c r="H8148" s="42">
        <f t="shared" si="1"/>
        <v>3307</v>
      </c>
    </row>
    <row r="8149" ht="22.5" customHeight="1">
      <c r="B8149" s="42" t="str">
        <f>IFERROR(__xludf.DUMMYFUNCTION("""COMPUTED_VALUE"""),"K/32/091025/1")</f>
        <v>K/32/091025/1</v>
      </c>
      <c r="C8149" s="42" t="str">
        <f>IFERROR(__xludf.DUMMYFUNCTION("""COMPUTED_VALUE"""),"M. 1687/Durian Payung	")</f>
        <v>M. 1687/Durian Payung	</v>
      </c>
      <c r="D8149" s="42"/>
      <c r="E8149" s="42"/>
      <c r="F8149" s="48" t="str">
        <f>IFERROR(__xludf.DUMMYFUNCTION("""COMPUTED_VALUE"""),"")</f>
        <v/>
      </c>
      <c r="G8149" s="42" t="str">
        <f>IFERROR(__xludf.DUMMYFUNCTION("""COMPUTED_VALUE"""),"Roya	")</f>
        <v>Roya	</v>
      </c>
      <c r="H8149" s="42">
        <f t="shared" si="1"/>
        <v>3307</v>
      </c>
    </row>
    <row r="8150" ht="22.5" customHeight="1">
      <c r="B8150" s="42" t="str">
        <f>IFERROR(__xludf.DUMMYFUNCTION("""COMPUTED_VALUE"""),"K/33/091025/2	")</f>
        <v>K/33/091025/2	</v>
      </c>
      <c r="C8150" s="42" t="str">
        <f>IFERROR(__xludf.DUMMYFUNCTION("""COMPUTED_VALUE"""),"B. 409/Teluk Betung	")</f>
        <v>B. 409/Teluk Betung	</v>
      </c>
      <c r="D8150" s="42"/>
      <c r="E8150" s="42"/>
      <c r="F8150" s="48" t="str">
        <f>IFERROR(__xludf.DUMMYFUNCTION("""COMPUTED_VALUE"""),"")</f>
        <v/>
      </c>
      <c r="G8150" s="42" t="str">
        <f>IFERROR(__xludf.DUMMYFUNCTION("""COMPUTED_VALUE"""),"Roya Lelang	")</f>
        <v>Roya Lelang	</v>
      </c>
      <c r="H8150" s="42">
        <f t="shared" si="1"/>
        <v>3307</v>
      </c>
    </row>
    <row r="8151" ht="22.5" customHeight="1">
      <c r="B8151" s="42" t="str">
        <f>IFERROR(__xludf.DUMMYFUNCTION("""COMPUTED_VALUE"""),"K/36/091025/1")</f>
        <v>K/36/091025/1</v>
      </c>
      <c r="C8151" s="42" t="str">
        <f>IFERROR(__xludf.DUMMYFUNCTION("""COMPUTED_VALUE"""),"M 1638/ KOTA KARANG")</f>
        <v>M 1638/ KOTA KARANG</v>
      </c>
      <c r="D8151" s="42" t="str">
        <f>IFERROR(__xludf.DUMMYFUNCTION("""COMPUTED_VALUE"""),"Berry")</f>
        <v>Berry</v>
      </c>
      <c r="E8151" s="42" t="str">
        <f>IFERROR(__xludf.DUMMYFUNCTION("""COMPUTED_VALUE"""),"DISERAHKAN")</f>
        <v>DISERAHKAN</v>
      </c>
      <c r="F8151" s="48">
        <f>IFERROR(__xludf.DUMMYFUNCTION("""COMPUTED_VALUE"""),46020.65106238426)</f>
        <v>46020.65106</v>
      </c>
      <c r="G8151" s="42" t="str">
        <f>IFERROR(__xludf.DUMMYFUNCTION("""COMPUTED_VALUE"""),"BN JUAL BELI")</f>
        <v>BN JUAL BELI</v>
      </c>
      <c r="H8151" s="42">
        <f t="shared" si="1"/>
        <v>3308</v>
      </c>
    </row>
    <row r="8152" ht="22.5" customHeight="1">
      <c r="B8152" s="42" t="str">
        <f>IFERROR(__xludf.DUMMYFUNCTION("""COMPUTED_VALUE"""),"L/39/091025/1")</f>
        <v>L/39/091025/1</v>
      </c>
      <c r="C8152" s="42" t="str">
        <f>IFERROR(__xludf.DUMMYFUNCTION("""COMPUTED_VALUE"""),"M. 603/KEMILING RAYA")</f>
        <v>M. 603/KEMILING RAYA</v>
      </c>
      <c r="D8152" s="42"/>
      <c r="E8152" s="42"/>
      <c r="F8152" s="48" t="str">
        <f>IFERROR(__xludf.DUMMYFUNCTION("""COMPUTED_VALUE"""),"")</f>
        <v/>
      </c>
      <c r="G8152" s="42" t="str">
        <f>IFERROR(__xludf.DUMMYFUNCTION("""COMPUTED_VALUE"""),"BN WARIS")</f>
        <v>BN WARIS</v>
      </c>
      <c r="H8152" s="42">
        <f t="shared" si="1"/>
        <v>3308</v>
      </c>
    </row>
    <row r="8153" ht="22.5" customHeight="1">
      <c r="B8153" s="42" t="str">
        <f>IFERROR(__xludf.DUMMYFUNCTION("""COMPUTED_VALUE"""),"K/37/091025/2")</f>
        <v>K/37/091025/2</v>
      </c>
      <c r="C8153" s="42" t="str">
        <f>IFERROR(__xludf.DUMMYFUNCTION("""COMPUTED_VALUE"""),"M 1102/ PENGAJARAN")</f>
        <v>M 1102/ PENGAJARAN</v>
      </c>
      <c r="D8153" s="42"/>
      <c r="E8153" s="42"/>
      <c r="F8153" s="48" t="str">
        <f>IFERROR(__xludf.DUMMYFUNCTION("""COMPUTED_VALUE"""),"")</f>
        <v/>
      </c>
      <c r="G8153" s="42" t="str">
        <f>IFERROR(__xludf.DUMMYFUNCTION("""COMPUTED_VALUE"""),"BN JUAL BELI")</f>
        <v>BN JUAL BELI</v>
      </c>
      <c r="H8153" s="42">
        <f t="shared" si="1"/>
        <v>3308</v>
      </c>
    </row>
    <row r="8154" ht="22.5" customHeight="1">
      <c r="B8154" s="42" t="str">
        <f>IFERROR(__xludf.DUMMYFUNCTION("""COMPUTED_VALUE"""),"K/40/091025/4")</f>
        <v>K/40/091025/4</v>
      </c>
      <c r="C8154" s="42" t="str">
        <f>IFERROR(__xludf.DUMMYFUNCTION("""COMPUTED_VALUE"""),"M 1055/ PENGAJARAN")</f>
        <v>M 1055/ PENGAJARAN</v>
      </c>
      <c r="D8154" s="42"/>
      <c r="E8154" s="42"/>
      <c r="F8154" s="48" t="str">
        <f>IFERROR(__xludf.DUMMYFUNCTION("""COMPUTED_VALUE"""),"")</f>
        <v/>
      </c>
      <c r="G8154" s="42" t="str">
        <f>IFERROR(__xludf.DUMMYFUNCTION("""COMPUTED_VALUE"""),"BN JUAL BELI")</f>
        <v>BN JUAL BELI</v>
      </c>
      <c r="H8154" s="42">
        <f t="shared" si="1"/>
        <v>3308</v>
      </c>
    </row>
    <row r="8155" ht="22.5" customHeight="1">
      <c r="B8155" s="42" t="str">
        <f>IFERROR(__xludf.DUMMYFUNCTION("""COMPUTED_VALUE"""),"K/38/091025/3")</f>
        <v>K/38/091025/3</v>
      </c>
      <c r="C8155" s="42" t="str">
        <f>IFERROR(__xludf.DUMMYFUNCTION("""COMPUTED_VALUE"""),"M 13717/ SEGALA MIDER")</f>
        <v>M 13717/ SEGALA MIDER</v>
      </c>
      <c r="D8155" s="42"/>
      <c r="E8155" s="42"/>
      <c r="F8155" s="48" t="str">
        <f>IFERROR(__xludf.DUMMYFUNCTION("""COMPUTED_VALUE"""),"")</f>
        <v/>
      </c>
      <c r="G8155" s="42" t="str">
        <f>IFERROR(__xludf.DUMMYFUNCTION("""COMPUTED_VALUE"""),"BN JUAL BELI")</f>
        <v>BN JUAL BELI</v>
      </c>
      <c r="H8155" s="42">
        <f t="shared" si="1"/>
        <v>3308</v>
      </c>
    </row>
    <row r="8156" ht="22.5" customHeight="1">
      <c r="B8156" s="42" t="str">
        <f>IFERROR(__xludf.DUMMYFUNCTION("""COMPUTED_VALUE"""),"L/41/091025/1")</f>
        <v>L/41/091025/1</v>
      </c>
      <c r="C8156" s="42" t="str">
        <f>IFERROR(__xludf.DUMMYFUNCTION("""COMPUTED_VALUE"""),"B. 2833/SUKABUMI")</f>
        <v>B. 2833/SUKABUMI</v>
      </c>
      <c r="D8156" s="42"/>
      <c r="E8156" s="42"/>
      <c r="F8156" s="48" t="str">
        <f>IFERROR(__xludf.DUMMYFUNCTION("""COMPUTED_VALUE"""),"")</f>
        <v/>
      </c>
      <c r="G8156" s="42" t="str">
        <f>IFERROR(__xludf.DUMMYFUNCTION("""COMPUTED_VALUE"""),"PENINGKATAN HAK")</f>
        <v>PENINGKATAN HAK</v>
      </c>
      <c r="H8156" s="42">
        <f t="shared" si="1"/>
        <v>3308</v>
      </c>
    </row>
    <row r="8157" ht="22.5" customHeight="1">
      <c r="B8157" s="42" t="str">
        <f>IFERROR(__xludf.DUMMYFUNCTION("""COMPUTED_VALUE"""),"K/42/091025/1")</f>
        <v>K/42/091025/1</v>
      </c>
      <c r="C8157" s="42" t="str">
        <f>IFERROR(__xludf.DUMMYFUNCTION("""COMPUTED_VALUE"""),"M. 1961/Kali Balau Kencana")</f>
        <v>M. 1961/Kali Balau Kencana</v>
      </c>
      <c r="D8157" s="42"/>
      <c r="E8157" s="42"/>
      <c r="F8157" s="48" t="str">
        <f>IFERROR(__xludf.DUMMYFUNCTION("""COMPUTED_VALUE"""),"")</f>
        <v/>
      </c>
      <c r="G8157" s="42" t="str">
        <f>IFERROR(__xludf.DUMMYFUNCTION("""COMPUTED_VALUE"""),"BN Jual Beli badan Hukum		")</f>
        <v>BN Jual Beli badan Hukum		</v>
      </c>
      <c r="H8157" s="42">
        <f t="shared" si="1"/>
        <v>3308</v>
      </c>
    </row>
    <row r="8158" ht="22.5" customHeight="1">
      <c r="B8158" s="42" t="str">
        <f>IFERROR(__xludf.DUMMYFUNCTION("""COMPUTED_VALUE"""),"L/43/091025/1")</f>
        <v>L/43/091025/1</v>
      </c>
      <c r="C8158" s="42" t="str">
        <f>IFERROR(__xludf.DUMMYFUNCTION("""COMPUTED_VALUE"""),"M. 472/PERUMNAS WAY KANDIS")</f>
        <v>M. 472/PERUMNAS WAY KANDIS</v>
      </c>
      <c r="D8158" s="42" t="str">
        <f>IFERROR(__xludf.DUMMYFUNCTION("""COMPUTED_VALUE"""),"Berry")</f>
        <v>Berry</v>
      </c>
      <c r="E8158" s="42" t="str">
        <f>IFERROR(__xludf.DUMMYFUNCTION("""COMPUTED_VALUE"""),"DISERAHKAN")</f>
        <v>DISERAHKAN</v>
      </c>
      <c r="F8158" s="48">
        <f>IFERROR(__xludf.DUMMYFUNCTION("""COMPUTED_VALUE"""),45996.58962533565)</f>
        <v>45996.58963</v>
      </c>
      <c r="G8158" s="42" t="str">
        <f>IFERROR(__xludf.DUMMYFUNCTION("""COMPUTED_VALUE"""),"ROYA")</f>
        <v>ROYA</v>
      </c>
      <c r="H8158" s="42">
        <f t="shared" si="1"/>
        <v>3309</v>
      </c>
    </row>
    <row r="8159" ht="22.5" customHeight="1">
      <c r="B8159" s="42" t="str">
        <f>IFERROR(__xludf.DUMMYFUNCTION("""COMPUTED_VALUE"""),"K/44/091025/1")</f>
        <v>K/44/091025/1</v>
      </c>
      <c r="C8159" s="42" t="str">
        <f>IFERROR(__xludf.DUMMYFUNCTION("""COMPUTED_VALUE"""),"M 2932/ LABUHAN DALAM")</f>
        <v>M 2932/ LABUHAN DALAM</v>
      </c>
      <c r="D8159" s="42"/>
      <c r="E8159" s="42"/>
      <c r="F8159" s="48" t="str">
        <f>IFERROR(__xludf.DUMMYFUNCTION("""COMPUTED_VALUE"""),"")</f>
        <v/>
      </c>
      <c r="G8159" s="42" t="str">
        <f>IFERROR(__xludf.DUMMYFUNCTION("""COMPUTED_VALUE"""),"BN JUAL BELI")</f>
        <v>BN JUAL BELI</v>
      </c>
      <c r="H8159" s="42">
        <f t="shared" si="1"/>
        <v>3309</v>
      </c>
    </row>
    <row r="8160" ht="22.5" customHeight="1">
      <c r="B8160" s="42" t="str">
        <f>IFERROR(__xludf.DUMMYFUNCTION("""COMPUTED_VALUE"""),"K/45/091025/2")</f>
        <v>K/45/091025/2</v>
      </c>
      <c r="C8160" s="42" t="str">
        <f>IFERROR(__xludf.DUMMYFUNCTION("""COMPUTED_VALUE"""),"B 294/ BAKUNG")</f>
        <v>B 294/ BAKUNG</v>
      </c>
      <c r="D8160" s="42"/>
      <c r="E8160" s="42"/>
      <c r="F8160" s="48" t="str">
        <f>IFERROR(__xludf.DUMMYFUNCTION("""COMPUTED_VALUE"""),"")</f>
        <v/>
      </c>
      <c r="G8160" s="42" t="str">
        <f>IFERROR(__xludf.DUMMYFUNCTION("""COMPUTED_VALUE"""),"BN JUAL BELI")</f>
        <v>BN JUAL BELI</v>
      </c>
      <c r="H8160" s="42">
        <f t="shared" si="1"/>
        <v>3309</v>
      </c>
    </row>
    <row r="8161" ht="22.5" customHeight="1">
      <c r="B8161" s="42" t="str">
        <f>IFERROR(__xludf.DUMMYFUNCTION("""COMPUTED_VALUE"""),"K/35/091025/1")</f>
        <v>K/35/091025/1</v>
      </c>
      <c r="C8161" s="42" t="str">
        <f>IFERROR(__xludf.DUMMYFUNCTION("""COMPUTED_VALUE"""),"M.769/SUKAJAWA")</f>
        <v>M.769/SUKAJAWA</v>
      </c>
      <c r="D8161" s="42"/>
      <c r="E8161" s="42"/>
      <c r="F8161" s="48" t="str">
        <f>IFERROR(__xludf.DUMMYFUNCTION("""COMPUTED_VALUE"""),"")</f>
        <v/>
      </c>
      <c r="G8161" s="42" t="str">
        <f>IFERROR(__xludf.DUMMYFUNCTION("""COMPUTED_VALUE"""),"ROYA")</f>
        <v>ROYA</v>
      </c>
      <c r="H8161" s="42">
        <f t="shared" si="1"/>
        <v>3309</v>
      </c>
    </row>
    <row r="8162" ht="22.5" customHeight="1">
      <c r="B8162" s="42" t="str">
        <f>IFERROR(__xludf.DUMMYFUNCTION("""COMPUTED_VALUE"""),"K/47/091025/1")</f>
        <v>K/47/091025/1</v>
      </c>
      <c r="C8162" s="42" t="str">
        <f>IFERROR(__xludf.DUMMYFUNCTION("""COMPUTED_VALUE"""),"NIBEL M. 20861/SUKARAME BARU")</f>
        <v>NIBEL M. 20861/SUKARAME BARU</v>
      </c>
      <c r="D8162" s="42"/>
      <c r="E8162" s="42"/>
      <c r="F8162" s="48" t="str">
        <f>IFERROR(__xludf.DUMMYFUNCTION("""COMPUTED_VALUE"""),"")</f>
        <v/>
      </c>
      <c r="G8162" s="42" t="str">
        <f>IFERROR(__xludf.DUMMYFUNCTION("""COMPUTED_VALUE"""),"BN JUAL BELI ")</f>
        <v>BN JUAL BELI </v>
      </c>
      <c r="H8162" s="42">
        <f t="shared" si="1"/>
        <v>3309</v>
      </c>
    </row>
    <row r="8163" ht="22.5" customHeight="1">
      <c r="B8163" s="42" t="str">
        <f>IFERROR(__xludf.DUMMYFUNCTION("""COMPUTED_VALUE"""),"L/46/091025/1")</f>
        <v>L/46/091025/1</v>
      </c>
      <c r="C8163" s="42" t="str">
        <f>IFERROR(__xludf.DUMMYFUNCTION("""COMPUTED_VALUE"""),"M. 256/SUKAJAWA BARU")</f>
        <v>M. 256/SUKAJAWA BARU</v>
      </c>
      <c r="D8163" s="42"/>
      <c r="E8163" s="42"/>
      <c r="F8163" s="48" t="str">
        <f>IFERROR(__xludf.DUMMYFUNCTION("""COMPUTED_VALUE"""),"")</f>
        <v/>
      </c>
      <c r="G8163" s="42" t="str">
        <f>IFERROR(__xludf.DUMMYFUNCTION("""COMPUTED_VALUE"""),"BN WARIS")</f>
        <v>BN WARIS</v>
      </c>
      <c r="H8163" s="42">
        <f t="shared" si="1"/>
        <v>3309</v>
      </c>
    </row>
    <row r="8164" ht="22.5" customHeight="1">
      <c r="B8164" s="42" t="str">
        <f>IFERROR(__xludf.DUMMYFUNCTION("""COMPUTED_VALUE"""),"K/48/091025/1")</f>
        <v>K/48/091025/1</v>
      </c>
      <c r="C8164" s="42" t="str">
        <f>IFERROR(__xludf.DUMMYFUNCTION("""COMPUTED_VALUE"""),"M. 1836/Beringin Jaya	")</f>
        <v>M. 1836/Beringin Jaya	</v>
      </c>
      <c r="D8164" s="42"/>
      <c r="E8164" s="42"/>
      <c r="F8164" s="48" t="str">
        <f>IFERROR(__xludf.DUMMYFUNCTION("""COMPUTED_VALUE"""),"")</f>
        <v/>
      </c>
      <c r="G8164" s="42" t="str">
        <f>IFERROR(__xludf.DUMMYFUNCTION("""COMPUTED_VALUE"""),"BN Jual Beli	")</f>
        <v>BN Jual Beli	</v>
      </c>
      <c r="H8164" s="42">
        <f t="shared" si="1"/>
        <v>3309</v>
      </c>
    </row>
    <row r="8165" ht="22.5" customHeight="1">
      <c r="B8165" s="42" t="str">
        <f>IFERROR(__xludf.DUMMYFUNCTION("""COMPUTED_VALUE"""),"K/53/091025/1")</f>
        <v>K/53/091025/1</v>
      </c>
      <c r="C8165" s="42" t="str">
        <f>IFERROR(__xludf.DUMMYFUNCTION("""COMPUTED_VALUE"""),"B 3688/ NUSANTARA PERMAI")</f>
        <v>B 3688/ NUSANTARA PERMAI</v>
      </c>
      <c r="D8165" s="42"/>
      <c r="E8165" s="42"/>
      <c r="F8165" s="48" t="str">
        <f>IFERROR(__xludf.DUMMYFUNCTION("""COMPUTED_VALUE"""),"")</f>
        <v/>
      </c>
      <c r="G8165" s="42" t="str">
        <f>IFERROR(__xludf.DUMMYFUNCTION("""COMPUTED_VALUE"""),"BN JUAL BELI")</f>
        <v>BN JUAL BELI</v>
      </c>
      <c r="H8165" s="42">
        <f t="shared" si="1"/>
        <v>3309</v>
      </c>
    </row>
    <row r="8166" ht="22.5" customHeight="1">
      <c r="B8166" s="42" t="str">
        <f>IFERROR(__xludf.DUMMYFUNCTION("""COMPUTED_VALUE"""),"L/49/091025/2")</f>
        <v>L/49/091025/2</v>
      </c>
      <c r="C8166" s="42" t="str">
        <f>IFERROR(__xludf.DUMMYFUNCTION("""COMPUTED_VALUE"""),"M. 599/KEMILING RAYA")</f>
        <v>M. 599/KEMILING RAYA</v>
      </c>
      <c r="D8166" s="42"/>
      <c r="E8166" s="42"/>
      <c r="F8166" s="48" t="str">
        <f>IFERROR(__xludf.DUMMYFUNCTION("""COMPUTED_VALUE"""),"")</f>
        <v/>
      </c>
      <c r="G8166" s="42" t="str">
        <f>IFERROR(__xludf.DUMMYFUNCTION("""COMPUTED_VALUE"""),"BN WARIS")</f>
        <v>BN WARIS</v>
      </c>
      <c r="H8166" s="42">
        <f t="shared" si="1"/>
        <v>3309</v>
      </c>
    </row>
    <row r="8167" ht="22.5" customHeight="1">
      <c r="B8167" s="42" t="str">
        <f>IFERROR(__xludf.DUMMYFUNCTION("""COMPUTED_VALUE"""),"K/54/091025/1")</f>
        <v>K/54/091025/1</v>
      </c>
      <c r="C8167" s="42" t="str">
        <f>IFERROR(__xludf.DUMMYFUNCTION("""COMPUTED_VALUE"""),"M. 2172/Way Halim Permai")</f>
        <v>M. 2172/Way Halim Permai</v>
      </c>
      <c r="D8167" s="42"/>
      <c r="E8167" s="42"/>
      <c r="F8167" s="48" t="str">
        <f>IFERROR(__xludf.DUMMYFUNCTION("""COMPUTED_VALUE"""),"")</f>
        <v/>
      </c>
      <c r="G8167" s="42" t="str">
        <f>IFERROR(__xludf.DUMMYFUNCTION("""COMPUTED_VALUE"""),"BN Waris		")</f>
        <v>BN Waris		</v>
      </c>
      <c r="H8167" s="42">
        <f t="shared" si="1"/>
        <v>3309</v>
      </c>
    </row>
    <row r="8168" ht="22.5" customHeight="1">
      <c r="B8168" s="42" t="str">
        <f>IFERROR(__xludf.DUMMYFUNCTION("""COMPUTED_VALUE"""),"L/50/091025/3")</f>
        <v>L/50/091025/3</v>
      </c>
      <c r="C8168" s="42" t="str">
        <f>IFERROR(__xludf.DUMMYFUNCTION("""COMPUTED_VALUE"""),"M. 600/KEMILING RAYA")</f>
        <v>M. 600/KEMILING RAYA</v>
      </c>
      <c r="D8168" s="42"/>
      <c r="E8168" s="42"/>
      <c r="F8168" s="48" t="str">
        <f>IFERROR(__xludf.DUMMYFUNCTION("""COMPUTED_VALUE"""),"")</f>
        <v/>
      </c>
      <c r="G8168" s="42" t="str">
        <f>IFERROR(__xludf.DUMMYFUNCTION("""COMPUTED_VALUE"""),"BN WARIS")</f>
        <v>BN WARIS</v>
      </c>
      <c r="H8168" s="42">
        <f t="shared" si="1"/>
        <v>3309</v>
      </c>
    </row>
    <row r="8169" ht="22.5" customHeight="1">
      <c r="B8169" s="42" t="str">
        <f>IFERROR(__xludf.DUMMYFUNCTION("""COMPUTED_VALUE"""),"L/51/091025/4")</f>
        <v>L/51/091025/4</v>
      </c>
      <c r="C8169" s="42" t="str">
        <f>IFERROR(__xludf.DUMMYFUNCTION("""COMPUTED_VALUE"""),"M. 598/KEMILING RAYA")</f>
        <v>M. 598/KEMILING RAYA</v>
      </c>
      <c r="D8169" s="42"/>
      <c r="E8169" s="42"/>
      <c r="F8169" s="48" t="str">
        <f>IFERROR(__xludf.DUMMYFUNCTION("""COMPUTED_VALUE"""),"")</f>
        <v/>
      </c>
      <c r="G8169" s="42" t="str">
        <f>IFERROR(__xludf.DUMMYFUNCTION("""COMPUTED_VALUE"""),"BN WARIS")</f>
        <v>BN WARIS</v>
      </c>
      <c r="H8169" s="42">
        <f t="shared" si="1"/>
        <v>3309</v>
      </c>
    </row>
    <row r="8170" ht="22.5" customHeight="1">
      <c r="B8170" s="42" t="str">
        <f>IFERROR(__xludf.DUMMYFUNCTION("""COMPUTED_VALUE"""),"L/52/091025/5")</f>
        <v>L/52/091025/5</v>
      </c>
      <c r="C8170" s="42" t="str">
        <f>IFERROR(__xludf.DUMMYFUNCTION("""COMPUTED_VALUE"""),"M. 601/KEMILING RAYA")</f>
        <v>M. 601/KEMILING RAYA</v>
      </c>
      <c r="D8170" s="42"/>
      <c r="E8170" s="42"/>
      <c r="F8170" s="48" t="str">
        <f>IFERROR(__xludf.DUMMYFUNCTION("""COMPUTED_VALUE"""),"")</f>
        <v/>
      </c>
      <c r="G8170" s="42" t="str">
        <f>IFERROR(__xludf.DUMMYFUNCTION("""COMPUTED_VALUE"""),"BN WARIS")</f>
        <v>BN WARIS</v>
      </c>
      <c r="H8170" s="42">
        <f t="shared" si="1"/>
        <v>3309</v>
      </c>
    </row>
    <row r="8171" ht="22.5" customHeight="1">
      <c r="B8171" s="42" t="str">
        <f>IFERROR(__xludf.DUMMYFUNCTION("""COMPUTED_VALUE"""),"K/55/091025/1")</f>
        <v>K/55/091025/1</v>
      </c>
      <c r="C8171" s="42" t="str">
        <f>IFERROR(__xludf.DUMMYFUNCTION("""COMPUTED_VALUE"""),"NIBEL M. 25563/BERINGIN RAYA")</f>
        <v>NIBEL M. 25563/BERINGIN RAYA</v>
      </c>
      <c r="D8171" s="42"/>
      <c r="E8171" s="42"/>
      <c r="F8171" s="48" t="str">
        <f>IFERROR(__xludf.DUMMYFUNCTION("""COMPUTED_VALUE"""),"")</f>
        <v/>
      </c>
      <c r="G8171" s="42" t="str">
        <f>IFERROR(__xludf.DUMMYFUNCTION("""COMPUTED_VALUE"""),"BN LELANG")</f>
        <v>BN LELANG</v>
      </c>
      <c r="H8171" s="42">
        <f t="shared" si="1"/>
        <v>3309</v>
      </c>
    </row>
    <row r="8172" ht="22.5" customHeight="1">
      <c r="B8172" s="42" t="str">
        <f>IFERROR(__xludf.DUMMYFUNCTION("""COMPUTED_VALUE"""),"K/56/091025/3")</f>
        <v>K/56/091025/3</v>
      </c>
      <c r="C8172" s="42" t="str">
        <f>IFERROR(__xludf.DUMMYFUNCTION("""COMPUTED_VALUE"""),"NIBEL M 3087/ PINANG JAYA")</f>
        <v>NIBEL M 3087/ PINANG JAYA</v>
      </c>
      <c r="D8172" s="42"/>
      <c r="E8172" s="42"/>
      <c r="F8172" s="48" t="str">
        <f>IFERROR(__xludf.DUMMYFUNCTION("""COMPUTED_VALUE"""),"")</f>
        <v/>
      </c>
      <c r="G8172" s="42" t="str">
        <f>IFERROR(__xludf.DUMMYFUNCTION("""COMPUTED_VALUE"""),"BN JUAL BELI")</f>
        <v>BN JUAL BELI</v>
      </c>
      <c r="H8172" s="42">
        <f t="shared" si="1"/>
        <v>3309</v>
      </c>
    </row>
    <row r="8173" ht="22.5" customHeight="1">
      <c r="B8173" s="42" t="str">
        <f>IFERROR(__xludf.DUMMYFUNCTION("""COMPUTED_VALUE"""),"L/3/101025/1")</f>
        <v>L/3/101025/1</v>
      </c>
      <c r="C8173" s="42" t="str">
        <f>IFERROR(__xludf.DUMMYFUNCTION("""COMPUTED_VALUE"""),"M. 69/TANJUNG AGUNG RAYA")</f>
        <v>M. 69/TANJUNG AGUNG RAYA</v>
      </c>
      <c r="D8173" s="42"/>
      <c r="E8173" s="42"/>
      <c r="F8173" s="48" t="str">
        <f>IFERROR(__xludf.DUMMYFUNCTION("""COMPUTED_VALUE"""),"")</f>
        <v/>
      </c>
      <c r="G8173" s="42" t="str">
        <f>IFERROR(__xludf.DUMMYFUNCTION("""COMPUTED_VALUE"""),"BN WARIS")</f>
        <v>BN WARIS</v>
      </c>
      <c r="H8173" s="42">
        <f t="shared" si="1"/>
        <v>3309</v>
      </c>
    </row>
    <row r="8174" ht="22.5" customHeight="1">
      <c r="B8174" s="42" t="str">
        <f>IFERROR(__xludf.DUMMYFUNCTION("""COMPUTED_VALUE"""),"K/1/101025/1")</f>
        <v>K/1/101025/1</v>
      </c>
      <c r="C8174" s="42" t="str">
        <f>IFERROR(__xludf.DUMMYFUNCTION("""COMPUTED_VALUE"""),"M. 1026/Gedong Pakuan")</f>
        <v>M. 1026/Gedong Pakuan</v>
      </c>
      <c r="D8174" s="42"/>
      <c r="E8174" s="42"/>
      <c r="F8174" s="48" t="str">
        <f>IFERROR(__xludf.DUMMYFUNCTION("""COMPUTED_VALUE"""),"")</f>
        <v/>
      </c>
      <c r="G8174" s="42" t="str">
        <f>IFERROR(__xludf.DUMMYFUNCTION("""COMPUTED_VALUE"""),"BN Jual Beli		")</f>
        <v>BN Jual Beli		</v>
      </c>
      <c r="H8174" s="42">
        <f t="shared" si="1"/>
        <v>3309</v>
      </c>
    </row>
    <row r="8175" ht="22.5" customHeight="1">
      <c r="B8175" s="42" t="str">
        <f>IFERROR(__xludf.DUMMYFUNCTION("""COMPUTED_VALUE"""),"K/4/101025/1")</f>
        <v>K/4/101025/1</v>
      </c>
      <c r="C8175" s="42" t="str">
        <f>IFERROR(__xludf.DUMMYFUNCTION("""COMPUTED_VALUE"""),"NIBEL M 17978/ KEDAUNG")</f>
        <v>NIBEL M 17978/ KEDAUNG</v>
      </c>
      <c r="D8175" s="42" t="str">
        <f>IFERROR(__xludf.DUMMYFUNCTION("""COMPUTED_VALUE"""),"Berry")</f>
        <v>Berry</v>
      </c>
      <c r="E8175" s="42" t="str">
        <f>IFERROR(__xludf.DUMMYFUNCTION("""COMPUTED_VALUE"""),"DISERAHKAN")</f>
        <v>DISERAHKAN</v>
      </c>
      <c r="F8175" s="48">
        <f>IFERROR(__xludf.DUMMYFUNCTION("""COMPUTED_VALUE"""),45975.49906445602)</f>
        <v>45975.49906</v>
      </c>
      <c r="G8175" s="42" t="str">
        <f>IFERROR(__xludf.DUMMYFUNCTION("""COMPUTED_VALUE"""),"BN JUAL BELI")</f>
        <v>BN JUAL BELI</v>
      </c>
      <c r="H8175" s="42">
        <f t="shared" si="1"/>
        <v>3310</v>
      </c>
    </row>
    <row r="8176" ht="22.5" customHeight="1">
      <c r="B8176" s="42" t="str">
        <f>IFERROR(__xludf.DUMMYFUNCTION("""COMPUTED_VALUE"""),"K/2/101025/2")</f>
        <v>K/2/101025/2</v>
      </c>
      <c r="C8176" s="42" t="str">
        <f>IFERROR(__xludf.DUMMYFUNCTION("""COMPUTED_VALUE"""),"Nibel 3115/Garuntang	")</f>
        <v>Nibel 3115/Garuntang	</v>
      </c>
      <c r="D8176" s="42"/>
      <c r="E8176" s="42"/>
      <c r="F8176" s="48" t="str">
        <f>IFERROR(__xludf.DUMMYFUNCTION("""COMPUTED_VALUE"""),"")</f>
        <v/>
      </c>
      <c r="G8176" s="42" t="str">
        <f>IFERROR(__xludf.DUMMYFUNCTION("""COMPUTED_VALUE"""),"BN Jual Beli	")</f>
        <v>BN Jual Beli	</v>
      </c>
      <c r="H8176" s="42">
        <f t="shared" si="1"/>
        <v>3310</v>
      </c>
    </row>
    <row r="8177" ht="22.5" customHeight="1">
      <c r="B8177" s="42" t="str">
        <f>IFERROR(__xludf.DUMMYFUNCTION("""COMPUTED_VALUE"""),"K/6/101025/1")</f>
        <v>K/6/101025/1</v>
      </c>
      <c r="C8177" s="42" t="str">
        <f>IFERROR(__xludf.DUMMYFUNCTION("""COMPUTED_VALUE"""),"Nibel 24681/Sukamaju	")</f>
        <v>Nibel 24681/Sukamaju	</v>
      </c>
      <c r="D8177" s="42"/>
      <c r="E8177" s="42"/>
      <c r="F8177" s="48" t="str">
        <f>IFERROR(__xludf.DUMMYFUNCTION("""COMPUTED_VALUE"""),"")</f>
        <v/>
      </c>
      <c r="G8177" s="42" t="str">
        <f>IFERROR(__xludf.DUMMYFUNCTION("""COMPUTED_VALUE"""),"Peningkatan Hak	")</f>
        <v>Peningkatan Hak	</v>
      </c>
      <c r="H8177" s="42">
        <f t="shared" si="1"/>
        <v>3310</v>
      </c>
    </row>
    <row r="8178" ht="22.5" customHeight="1">
      <c r="B8178" s="42" t="str">
        <f>IFERROR(__xludf.DUMMYFUNCTION("""COMPUTED_VALUE"""),"K/8/101025/1")</f>
        <v>K/8/101025/1</v>
      </c>
      <c r="C8178" s="42" t="str">
        <f>IFERROR(__xludf.DUMMYFUNCTION("""COMPUTED_VALUE"""),"NIBEL M 5882/ RAWA LAUT")</f>
        <v>NIBEL M 5882/ RAWA LAUT</v>
      </c>
      <c r="D8178" s="42"/>
      <c r="E8178" s="42"/>
      <c r="F8178" s="48" t="str">
        <f>IFERROR(__xludf.DUMMYFUNCTION("""COMPUTED_VALUE"""),"")</f>
        <v/>
      </c>
      <c r="G8178" s="42" t="str">
        <f>IFERROR(__xludf.DUMMYFUNCTION("""COMPUTED_VALUE"""),"BN WARIS")</f>
        <v>BN WARIS</v>
      </c>
      <c r="H8178" s="42">
        <f t="shared" si="1"/>
        <v>3310</v>
      </c>
    </row>
    <row r="8179" ht="22.5" customHeight="1">
      <c r="B8179" s="42" t="str">
        <f>IFERROR(__xludf.DUMMYFUNCTION("""COMPUTED_VALUE"""),"K/5/101025/1")</f>
        <v>K/5/101025/1</v>
      </c>
      <c r="C8179" s="42" t="str">
        <f>IFERROR(__xludf.DUMMYFUNCTION("""COMPUTED_VALUE"""),"M. 972/WAY LUNIK")</f>
        <v>M. 972/WAY LUNIK</v>
      </c>
      <c r="D8179" s="42"/>
      <c r="E8179" s="42"/>
      <c r="F8179" s="48" t="str">
        <f>IFERROR(__xludf.DUMMYFUNCTION("""COMPUTED_VALUE"""),"")</f>
        <v/>
      </c>
      <c r="G8179" s="42" t="str">
        <f>IFERROR(__xludf.DUMMYFUNCTION("""COMPUTED_VALUE"""),"SERTIPIKAT HILANG")</f>
        <v>SERTIPIKAT HILANG</v>
      </c>
      <c r="H8179" s="42">
        <f t="shared" si="1"/>
        <v>3310</v>
      </c>
    </row>
    <row r="8180" ht="22.5" customHeight="1">
      <c r="B8180" s="42" t="str">
        <f>IFERROR(__xludf.DUMMYFUNCTION("""COMPUTED_VALUE"""),"K/7/101025/2")</f>
        <v>K/7/101025/2</v>
      </c>
      <c r="C8180" s="42" t="str">
        <f>IFERROR(__xludf.DUMMYFUNCTION("""COMPUTED_VALUE"""),"M. 2672/Campang Raya	")</f>
        <v>M. 2672/Campang Raya	</v>
      </c>
      <c r="D8180" s="42"/>
      <c r="E8180" s="42"/>
      <c r="F8180" s="48" t="str">
        <f>IFERROR(__xludf.DUMMYFUNCTION("""COMPUTED_VALUE"""),"")</f>
        <v/>
      </c>
      <c r="G8180" s="42" t="str">
        <f>IFERROR(__xludf.DUMMYFUNCTION("""COMPUTED_VALUE"""),"BN Jual Beli	")</f>
        <v>BN Jual Beli	</v>
      </c>
      <c r="H8180" s="42">
        <f t="shared" si="1"/>
        <v>3310</v>
      </c>
    </row>
    <row r="8181" ht="22.5" customHeight="1">
      <c r="B8181" s="42" t="str">
        <f>IFERROR(__xludf.DUMMYFUNCTION("""COMPUTED_VALUE"""),"K/10/101025/1")</f>
        <v>K/10/101025/1</v>
      </c>
      <c r="C8181" s="42" t="str">
        <f>IFERROR(__xludf.DUMMYFUNCTION("""COMPUTED_VALUE"""),"M 2838/ SUMBER REJO")</f>
        <v>M 2838/ SUMBER REJO</v>
      </c>
      <c r="D8181" s="42"/>
      <c r="E8181" s="42"/>
      <c r="F8181" s="48" t="str">
        <f>IFERROR(__xludf.DUMMYFUNCTION("""COMPUTED_VALUE"""),"")</f>
        <v/>
      </c>
      <c r="G8181" s="42" t="str">
        <f>IFERROR(__xludf.DUMMYFUNCTION("""COMPUTED_VALUE"""),"BN WARIS")</f>
        <v>BN WARIS</v>
      </c>
      <c r="H8181" s="42">
        <f t="shared" si="1"/>
        <v>3310</v>
      </c>
    </row>
    <row r="8182" ht="22.5" customHeight="1">
      <c r="B8182" s="42" t="str">
        <f>IFERROR(__xludf.DUMMYFUNCTION("""COMPUTED_VALUE"""),"K/14/101025/2")</f>
        <v>K/14/101025/2</v>
      </c>
      <c r="C8182" s="42" t="str">
        <f>IFERROR(__xludf.DUMMYFUNCTION("""COMPUTED_VALUE"""),"M 11264/ TANJUNG BARU")</f>
        <v>M 11264/ TANJUNG BARU</v>
      </c>
      <c r="D8182" s="42"/>
      <c r="E8182" s="42"/>
      <c r="F8182" s="48" t="str">
        <f>IFERROR(__xludf.DUMMYFUNCTION("""COMPUTED_VALUE"""),"")</f>
        <v/>
      </c>
      <c r="G8182" s="42" t="str">
        <f>IFERROR(__xludf.DUMMYFUNCTION("""COMPUTED_VALUE"""),"BN JUAL BELI")</f>
        <v>BN JUAL BELI</v>
      </c>
      <c r="H8182" s="42">
        <f t="shared" si="1"/>
        <v>3310</v>
      </c>
    </row>
    <row r="8183" ht="22.5" customHeight="1">
      <c r="B8183" s="42" t="str">
        <f>IFERROR(__xludf.DUMMYFUNCTION("""COMPUTED_VALUE"""),"L/12/101025/1")</f>
        <v>L/12/101025/1</v>
      </c>
      <c r="C8183" s="42" t="str">
        <f>IFERROR(__xludf.DUMMYFUNCTION("""COMPUTED_VALUE"""),"M. 14157 DAN 14158/KEDAMAIAN")</f>
        <v>M. 14157 DAN 14158/KEDAMAIAN</v>
      </c>
      <c r="D8183" s="42"/>
      <c r="E8183" s="42"/>
      <c r="F8183" s="48" t="str">
        <f>IFERROR(__xludf.DUMMYFUNCTION("""COMPUTED_VALUE"""),"")</f>
        <v/>
      </c>
      <c r="G8183" s="42" t="str">
        <f>IFERROR(__xludf.DUMMYFUNCTION("""COMPUTED_VALUE"""),"PENGGABUNGAN")</f>
        <v>PENGGABUNGAN</v>
      </c>
      <c r="H8183" s="42">
        <f t="shared" si="1"/>
        <v>3310</v>
      </c>
    </row>
    <row r="8184" ht="22.5" customHeight="1">
      <c r="B8184" s="42" t="str">
        <f>IFERROR(__xludf.DUMMYFUNCTION("""COMPUTED_VALUE"""),"K/13/101025/1")</f>
        <v>K/13/101025/1</v>
      </c>
      <c r="C8184" s="42" t="str">
        <f>IFERROR(__xludf.DUMMYFUNCTION("""COMPUTED_VALUE"""),"M 2539 &amp; M 1852/ KETEGUHAN")</f>
        <v>M 2539 &amp; M 1852/ KETEGUHAN</v>
      </c>
      <c r="D8184" s="42"/>
      <c r="E8184" s="42"/>
      <c r="F8184" s="48" t="str">
        <f>IFERROR(__xludf.DUMMYFUNCTION("""COMPUTED_VALUE"""),"")</f>
        <v/>
      </c>
      <c r="G8184" s="42" t="str">
        <f>IFERROR(__xludf.DUMMYFUNCTION("""COMPUTED_VALUE"""),"ROYA")</f>
        <v>ROYA</v>
      </c>
      <c r="H8184" s="42">
        <f t="shared" si="1"/>
        <v>3310</v>
      </c>
    </row>
    <row r="8185" ht="22.5" customHeight="1">
      <c r="B8185" s="42" t="str">
        <f>IFERROR(__xludf.DUMMYFUNCTION("""COMPUTED_VALUE"""),"K/15/101025/1")</f>
        <v>K/15/101025/1</v>
      </c>
      <c r="C8185" s="42" t="str">
        <f>IFERROR(__xludf.DUMMYFUNCTION("""COMPUTED_VALUE"""),"Nibel 21598/Bakung	")</f>
        <v>Nibel 21598/Bakung	</v>
      </c>
      <c r="D8185" s="42"/>
      <c r="E8185" s="42"/>
      <c r="F8185" s="48" t="str">
        <f>IFERROR(__xludf.DUMMYFUNCTION("""COMPUTED_VALUE"""),"")</f>
        <v/>
      </c>
      <c r="G8185" s="42" t="str">
        <f>IFERROR(__xludf.DUMMYFUNCTION("""COMPUTED_VALUE"""),"BN Jual Beli	")</f>
        <v>BN Jual Beli	</v>
      </c>
      <c r="H8185" s="42">
        <f t="shared" si="1"/>
        <v>3310</v>
      </c>
    </row>
    <row r="8186" ht="22.5" customHeight="1">
      <c r="B8186" s="42" t="str">
        <f>IFERROR(__xludf.DUMMYFUNCTION("""COMPUTED_VALUE"""),"K/16/101025/2")</f>
        <v>K/16/101025/2</v>
      </c>
      <c r="C8186" s="42" t="str">
        <f>IFERROR(__xludf.DUMMYFUNCTION("""COMPUTED_VALUE"""),"M. 2429/Labuhan Dalam	")</f>
        <v>M. 2429/Labuhan Dalam	</v>
      </c>
      <c r="D8186" s="42"/>
      <c r="E8186" s="42"/>
      <c r="F8186" s="48" t="str">
        <f>IFERROR(__xludf.DUMMYFUNCTION("""COMPUTED_VALUE"""),"")</f>
        <v/>
      </c>
      <c r="G8186" s="42" t="str">
        <f>IFERROR(__xludf.DUMMYFUNCTION("""COMPUTED_VALUE"""),"hapus BPHTB	")</f>
        <v>hapus BPHTB	</v>
      </c>
      <c r="H8186" s="42">
        <f t="shared" si="1"/>
        <v>3310</v>
      </c>
    </row>
    <row r="8187" ht="22.5" customHeight="1">
      <c r="B8187" s="42" t="str">
        <f>IFERROR(__xludf.DUMMYFUNCTION("""COMPUTED_VALUE"""),"L/18/101025/1")</f>
        <v>L/18/101025/1</v>
      </c>
      <c r="C8187" s="42" t="str">
        <f>IFERROR(__xludf.DUMMYFUNCTION("""COMPUTED_VALUE"""),"KEL. SEGALA MIDER LUAS 72 M2")</f>
        <v>KEL. SEGALA MIDER LUAS 72 M2</v>
      </c>
      <c r="D8187" s="42"/>
      <c r="E8187" s="42"/>
      <c r="F8187" s="48" t="str">
        <f>IFERROR(__xludf.DUMMYFUNCTION("""COMPUTED_VALUE"""),"")</f>
        <v/>
      </c>
      <c r="G8187" s="42" t="str">
        <f>IFERROR(__xludf.DUMMYFUNCTION("""COMPUTED_VALUE"""),"PENGUKURAN PERTAMA KALI")</f>
        <v>PENGUKURAN PERTAMA KALI</v>
      </c>
      <c r="H8187" s="42">
        <f t="shared" si="1"/>
        <v>3310</v>
      </c>
    </row>
    <row r="8188" ht="22.5" customHeight="1">
      <c r="B8188" s="42" t="str">
        <f>IFERROR(__xludf.DUMMYFUNCTION("""COMPUTED_VALUE"""),"K/9/101025/1")</f>
        <v>K/9/101025/1</v>
      </c>
      <c r="C8188" s="42" t="str">
        <f>IFERROR(__xludf.DUMMYFUNCTION("""COMPUTED_VALUE"""),"M. 1086/DURIAN PAYUNG")</f>
        <v>M. 1086/DURIAN PAYUNG</v>
      </c>
      <c r="D8188" s="42"/>
      <c r="E8188" s="42"/>
      <c r="F8188" s="48" t="str">
        <f>IFERROR(__xludf.DUMMYFUNCTION("""COMPUTED_VALUE"""),"")</f>
        <v/>
      </c>
      <c r="G8188" s="42" t="str">
        <f>IFERROR(__xludf.DUMMYFUNCTION("""COMPUTED_VALUE"""),"SKPT LELANG")</f>
        <v>SKPT LELANG</v>
      </c>
      <c r="H8188" s="42">
        <f t="shared" si="1"/>
        <v>3310</v>
      </c>
    </row>
    <row r="8189" ht="22.5" customHeight="1">
      <c r="B8189" s="42" t="str">
        <f>IFERROR(__xludf.DUMMYFUNCTION("""COMPUTED_VALUE"""),"K/19/101025/1")</f>
        <v>K/19/101025/1</v>
      </c>
      <c r="C8189" s="42" t="str">
        <f>IFERROR(__xludf.DUMMYFUNCTION("""COMPUTED_VALUE"""),"M. 2980/KUPANG TEBA")</f>
        <v>M. 2980/KUPANG TEBA</v>
      </c>
      <c r="D8189" s="42"/>
      <c r="E8189" s="42"/>
      <c r="F8189" s="48" t="str">
        <f>IFERROR(__xludf.DUMMYFUNCTION("""COMPUTED_VALUE"""),"")</f>
        <v/>
      </c>
      <c r="G8189" s="42" t="str">
        <f>IFERROR(__xludf.DUMMYFUNCTION("""COMPUTED_VALUE"""),"PTPGT PECAH")</f>
        <v>PTPGT PECAH</v>
      </c>
      <c r="H8189" s="42">
        <f t="shared" si="1"/>
        <v>3310</v>
      </c>
    </row>
    <row r="8190" ht="22.5" customHeight="1">
      <c r="B8190" s="42" t="str">
        <f>IFERROR(__xludf.DUMMYFUNCTION("""COMPUTED_VALUE"""),"K/17/101025/3")</f>
        <v>K/17/101025/3</v>
      </c>
      <c r="C8190" s="42" t="str">
        <f>IFERROR(__xludf.DUMMYFUNCTION("""COMPUTED_VALUE"""),"Nibel 23697/Surabaya	")</f>
        <v>Nibel 23697/Surabaya	</v>
      </c>
      <c r="D8190" s="42"/>
      <c r="E8190" s="42"/>
      <c r="F8190" s="48" t="str">
        <f>IFERROR(__xludf.DUMMYFUNCTION("""COMPUTED_VALUE"""),"")</f>
        <v/>
      </c>
      <c r="G8190" s="42" t="str">
        <f>IFERROR(__xludf.DUMMYFUNCTION("""COMPUTED_VALUE"""),"BN PHB	")</f>
        <v>BN PHB	</v>
      </c>
      <c r="H8190" s="42">
        <f t="shared" si="1"/>
        <v>3310</v>
      </c>
    </row>
    <row r="8191" ht="22.5" customHeight="1">
      <c r="B8191" s="42" t="str">
        <f>IFERROR(__xludf.DUMMYFUNCTION("""COMPUTED_VALUE"""),"K/20/101025/1")</f>
        <v>K/20/101025/1</v>
      </c>
      <c r="C8191" s="42" t="str">
        <f>IFERROR(__xludf.DUMMYFUNCTION("""COMPUTED_VALUE"""),"M 2615/ SUKARAME BARU")</f>
        <v>M 2615/ SUKARAME BARU</v>
      </c>
      <c r="D8191" s="42"/>
      <c r="E8191" s="42"/>
      <c r="F8191" s="48" t="str">
        <f>IFERROR(__xludf.DUMMYFUNCTION("""COMPUTED_VALUE"""),"")</f>
        <v/>
      </c>
      <c r="G8191" s="42" t="str">
        <f>IFERROR(__xludf.DUMMYFUNCTION("""COMPUTED_VALUE"""),"BN JUAL BELI")</f>
        <v>BN JUAL BELI</v>
      </c>
      <c r="H8191" s="42">
        <f t="shared" si="1"/>
        <v>3310</v>
      </c>
    </row>
    <row r="8192" ht="22.5" customHeight="1">
      <c r="B8192" s="42" t="str">
        <f>IFERROR(__xludf.DUMMYFUNCTION("""COMPUTED_VALUE"""),"K/21/101025/2")</f>
        <v>K/21/101025/2</v>
      </c>
      <c r="C8192" s="42" t="str">
        <f>IFERROR(__xludf.DUMMYFUNCTION("""COMPUTED_VALUE"""),"M 1394/ PANJANG SELATAN")</f>
        <v>M 1394/ PANJANG SELATAN</v>
      </c>
      <c r="D8192" s="42" t="str">
        <f>IFERROR(__xludf.DUMMYFUNCTION("""COMPUTED_VALUE"""),"David")</f>
        <v>David</v>
      </c>
      <c r="E8192" s="42" t="str">
        <f>IFERROR(__xludf.DUMMYFUNCTION("""COMPUTED_VALUE"""),"DISERAHKAN")</f>
        <v>DISERAHKAN</v>
      </c>
      <c r="F8192" s="48">
        <f>IFERROR(__xludf.DUMMYFUNCTION("""COMPUTED_VALUE"""),45993.45839461806)</f>
        <v>45993.45839</v>
      </c>
      <c r="G8192" s="42" t="str">
        <f>IFERROR(__xludf.DUMMYFUNCTION("""COMPUTED_VALUE"""),"BN JUAL BELI")</f>
        <v>BN JUAL BELI</v>
      </c>
      <c r="H8192" s="42">
        <f t="shared" si="1"/>
        <v>3311</v>
      </c>
    </row>
    <row r="8193" ht="22.5" customHeight="1">
      <c r="B8193" s="42" t="str">
        <f>IFERROR(__xludf.DUMMYFUNCTION("""COMPUTED_VALUE"""),"K/22/101025/1")</f>
        <v>K/22/101025/1</v>
      </c>
      <c r="C8193" s="42" t="str">
        <f>IFERROR(__xludf.DUMMYFUNCTION("""COMPUTED_VALUE"""),"M. 16/KEMILING RAYA")</f>
        <v>M. 16/KEMILING RAYA</v>
      </c>
      <c r="D8193" s="42"/>
      <c r="E8193" s="42"/>
      <c r="F8193" s="48" t="str">
        <f>IFERROR(__xludf.DUMMYFUNCTION("""COMPUTED_VALUE"""),"")</f>
        <v/>
      </c>
      <c r="G8193" s="42" t="str">
        <f>IFERROR(__xludf.DUMMYFUNCTION("""COMPUTED_VALUE"""),"SKPT INFORMASI")</f>
        <v>SKPT INFORMASI</v>
      </c>
      <c r="H8193" s="42">
        <f t="shared" si="1"/>
        <v>3311</v>
      </c>
    </row>
    <row r="8194" ht="22.5" customHeight="1">
      <c r="B8194" s="42" t="str">
        <f>IFERROR(__xludf.DUMMYFUNCTION("""COMPUTED_VALUE"""),"L/23/101025/1")</f>
        <v>L/23/101025/1</v>
      </c>
      <c r="C8194" s="42" t="str">
        <f>IFERROR(__xludf.DUMMYFUNCTION("""COMPUTED_VALUE"""),"M. 452/PENENGAHAN")</f>
        <v>M. 452/PENENGAHAN</v>
      </c>
      <c r="D8194" s="42"/>
      <c r="E8194" s="42"/>
      <c r="F8194" s="48" t="str">
        <f>IFERROR(__xludf.DUMMYFUNCTION("""COMPUTED_VALUE"""),"")</f>
        <v/>
      </c>
      <c r="G8194" s="42" t="str">
        <f>IFERROR(__xludf.DUMMYFUNCTION("""COMPUTED_VALUE"""),"SKPT INFORMASI")</f>
        <v>SKPT INFORMASI</v>
      </c>
      <c r="H8194" s="42">
        <f t="shared" si="1"/>
        <v>3311</v>
      </c>
    </row>
    <row r="8195" ht="22.5" customHeight="1">
      <c r="B8195" s="42" t="str">
        <f>IFERROR(__xludf.DUMMYFUNCTION("""COMPUTED_VALUE"""),"L/24/101025/1")</f>
        <v>L/24/101025/1</v>
      </c>
      <c r="C8195" s="42" t="str">
        <f>IFERROR(__xludf.DUMMYFUNCTION("""COMPUTED_VALUE"""),"B NIB 25335/PERUMNAS WAY KANDIS")</f>
        <v>B NIB 25335/PERUMNAS WAY KANDIS</v>
      </c>
      <c r="D8195" s="42"/>
      <c r="E8195" s="42"/>
      <c r="F8195" s="48" t="str">
        <f>IFERROR(__xludf.DUMMYFUNCTION("""COMPUTED_VALUE"""),"")</f>
        <v/>
      </c>
      <c r="G8195" s="42" t="str">
        <f>IFERROR(__xludf.DUMMYFUNCTION("""COMPUTED_VALUE"""),"PENINGKATAN HAK")</f>
        <v>PENINGKATAN HAK</v>
      </c>
      <c r="H8195" s="42">
        <f t="shared" si="1"/>
        <v>3311</v>
      </c>
    </row>
    <row r="8196" ht="22.5" customHeight="1">
      <c r="B8196" s="42" t="str">
        <f>IFERROR(__xludf.DUMMYFUNCTION("""COMPUTED_VALUE"""),"K/25/101025/1")</f>
        <v>K/25/101025/1</v>
      </c>
      <c r="C8196" s="42" t="str">
        <f>IFERROR(__xludf.DUMMYFUNCTION("""COMPUTED_VALUE"""),"M. 408 &amp; 409 / SUKARAME BARU")</f>
        <v>M. 408 &amp; 409 / SUKARAME BARU</v>
      </c>
      <c r="D8196" s="42"/>
      <c r="E8196" s="42"/>
      <c r="F8196" s="48" t="str">
        <f>IFERROR(__xludf.DUMMYFUNCTION("""COMPUTED_VALUE"""),"")</f>
        <v/>
      </c>
      <c r="G8196" s="42" t="str">
        <f>IFERROR(__xludf.DUMMYFUNCTION("""COMPUTED_VALUE"""),"ROYA")</f>
        <v>ROYA</v>
      </c>
      <c r="H8196" s="42">
        <f t="shared" si="1"/>
        <v>3311</v>
      </c>
    </row>
    <row r="8197" ht="22.5" customHeight="1">
      <c r="B8197" s="42" t="str">
        <f>IFERROR(__xludf.DUMMYFUNCTION("""COMPUTED_VALUE"""),"K/27/101025/1")</f>
        <v>K/27/101025/1</v>
      </c>
      <c r="C8197" s="42" t="str">
        <f>IFERROR(__xludf.DUMMYFUNCTION("""COMPUTED_VALUE"""),"KALIAWI/ ABDUL HASAN")</f>
        <v>KALIAWI/ ABDUL HASAN</v>
      </c>
      <c r="D8197" s="42"/>
      <c r="E8197" s="42"/>
      <c r="F8197" s="48" t="str">
        <f>IFERROR(__xludf.DUMMYFUNCTION("""COMPUTED_VALUE"""),"")</f>
        <v/>
      </c>
      <c r="G8197" s="42" t="str">
        <f>IFERROR(__xludf.DUMMYFUNCTION("""COMPUTED_VALUE"""),"PENGUKURAN TAMEN")</f>
        <v>PENGUKURAN TAMEN</v>
      </c>
      <c r="H8197" s="42">
        <f t="shared" si="1"/>
        <v>3311</v>
      </c>
    </row>
    <row r="8198" ht="22.5" customHeight="1">
      <c r="B8198" s="42" t="str">
        <f>IFERROR(__xludf.DUMMYFUNCTION("""COMPUTED_VALUE"""),"K/26/101025/1")</f>
        <v>K/26/101025/1</v>
      </c>
      <c r="C8198" s="42" t="str">
        <f>IFERROR(__xludf.DUMMYFUNCTION("""COMPUTED_VALUE"""),"M. 17929/SUKARAME I")</f>
        <v>M. 17929/SUKARAME I</v>
      </c>
      <c r="D8198" s="42"/>
      <c r="E8198" s="42"/>
      <c r="F8198" s="48" t="str">
        <f>IFERROR(__xludf.DUMMYFUNCTION("""COMPUTED_VALUE"""),"")</f>
        <v/>
      </c>
      <c r="G8198" s="42" t="str">
        <f>IFERROR(__xludf.DUMMYFUNCTION("""COMPUTED_VALUE"""),"ROYA")</f>
        <v>ROYA</v>
      </c>
      <c r="H8198" s="42">
        <f t="shared" si="1"/>
        <v>3311</v>
      </c>
    </row>
    <row r="8199" ht="22.5" customHeight="1">
      <c r="B8199" s="42" t="str">
        <f>IFERROR(__xludf.DUMMYFUNCTION("""COMPUTED_VALUE"""),"K/28/101025/2")</f>
        <v>K/28/101025/2</v>
      </c>
      <c r="C8199" s="42" t="str">
        <f>IFERROR(__xludf.DUMMYFUNCTION("""COMPUTED_VALUE"""),"M 1247/ BERINGIN RAYA")</f>
        <v>M 1247/ BERINGIN RAYA</v>
      </c>
      <c r="D8199" s="42" t="str">
        <f>IFERROR(__xludf.DUMMYFUNCTION("""COMPUTED_VALUE"""),"David")</f>
        <v>David</v>
      </c>
      <c r="E8199" s="42" t="str">
        <f>IFERROR(__xludf.DUMMYFUNCTION("""COMPUTED_VALUE"""),"DISERAHKAN")</f>
        <v>DISERAHKAN</v>
      </c>
      <c r="F8199" s="48">
        <f>IFERROR(__xludf.DUMMYFUNCTION("""COMPUTED_VALUE"""),45986.59485355324)</f>
        <v>45986.59485</v>
      </c>
      <c r="G8199" s="42" t="str">
        <f>IFERROR(__xludf.DUMMYFUNCTION("""COMPUTED_VALUE"""),"BN HIBAH")</f>
        <v>BN HIBAH</v>
      </c>
      <c r="H8199" s="42">
        <f t="shared" si="1"/>
        <v>3312</v>
      </c>
    </row>
    <row r="8200" ht="22.5" customHeight="1">
      <c r="B8200" s="42" t="str">
        <f>IFERROR(__xludf.DUMMYFUNCTION("""COMPUTED_VALUE"""),"L/30/101025/1")</f>
        <v>L/30/101025/1</v>
      </c>
      <c r="C8200" s="42" t="str">
        <f>IFERROR(__xludf.DUMMYFUNCTION("""COMPUTED_VALUE"""),"KEL. KEDATON LUAS 290 M2")</f>
        <v>KEL. KEDATON LUAS 290 M2</v>
      </c>
      <c r="D8200" s="42"/>
      <c r="E8200" s="42"/>
      <c r="F8200" s="48" t="str">
        <f>IFERROR(__xludf.DUMMYFUNCTION("""COMPUTED_VALUE"""),"")</f>
        <v/>
      </c>
      <c r="G8200" s="42" t="str">
        <f>IFERROR(__xludf.DUMMYFUNCTION("""COMPUTED_VALUE"""),"PTPGT TANAH MENTAH")</f>
        <v>PTPGT TANAH MENTAH</v>
      </c>
      <c r="H8200" s="42">
        <f t="shared" si="1"/>
        <v>3312</v>
      </c>
    </row>
    <row r="8201" ht="22.5" customHeight="1">
      <c r="B8201" s="42" t="str">
        <f>IFERROR(__xludf.DUMMYFUNCTION("""COMPUTED_VALUE"""),"K/31/101025/1")</f>
        <v>K/31/101025/1</v>
      </c>
      <c r="C8201" s="42" t="str">
        <f>IFERROR(__xludf.DUMMYFUNCTION("""COMPUTED_VALUE"""),"M. 4081/BERINGIN RAYA")</f>
        <v>M. 4081/BERINGIN RAYA</v>
      </c>
      <c r="D8201" s="42"/>
      <c r="E8201" s="42"/>
      <c r="F8201" s="48" t="str">
        <f>IFERROR(__xludf.DUMMYFUNCTION("""COMPUTED_VALUE"""),"")</f>
        <v/>
      </c>
      <c r="G8201" s="42" t="str">
        <f>IFERROR(__xludf.DUMMYFUNCTION("""COMPUTED_VALUE"""),"ROYA")</f>
        <v>ROYA</v>
      </c>
      <c r="H8201" s="42">
        <f t="shared" si="1"/>
        <v>3312</v>
      </c>
    </row>
    <row r="8202" ht="22.5" customHeight="1">
      <c r="B8202" s="42" t="str">
        <f>IFERROR(__xludf.DUMMYFUNCTION("""COMPUTED_VALUE"""),"K/29/101025/1")</f>
        <v>K/29/101025/1</v>
      </c>
      <c r="C8202" s="42" t="str">
        <f>IFERROR(__xludf.DUMMYFUNCTION("""COMPUTED_VALUE"""),"M 1078/ KORPRI JAYA")</f>
        <v>M 1078/ KORPRI JAYA</v>
      </c>
      <c r="D8202" s="42" t="str">
        <f>IFERROR(__xludf.DUMMYFUNCTION("""COMPUTED_VALUE"""),"Berry")</f>
        <v>Berry</v>
      </c>
      <c r="E8202" s="42" t="str">
        <f>IFERROR(__xludf.DUMMYFUNCTION("""COMPUTED_VALUE"""),"DISERAHKAN")</f>
        <v>DISERAHKAN</v>
      </c>
      <c r="F8202" s="48">
        <f>IFERROR(__xludf.DUMMYFUNCTION("""COMPUTED_VALUE"""),45979.63370396991)</f>
        <v>45979.6337</v>
      </c>
      <c r="G8202" s="42" t="str">
        <f>IFERROR(__xludf.DUMMYFUNCTION("""COMPUTED_VALUE"""),"BN JUAL BELI")</f>
        <v>BN JUAL BELI</v>
      </c>
      <c r="H8202" s="42">
        <f t="shared" si="1"/>
        <v>3313</v>
      </c>
    </row>
    <row r="8203" ht="22.5" customHeight="1">
      <c r="B8203" s="42" t="str">
        <f>IFERROR(__xludf.DUMMYFUNCTION("""COMPUTED_VALUE"""),"K/32/101025/1")</f>
        <v>K/32/101025/1</v>
      </c>
      <c r="C8203" s="42" t="str">
        <f>IFERROR(__xludf.DUMMYFUNCTION("""COMPUTED_VALUE"""),"M. 1066/TALANG")</f>
        <v>M. 1066/TALANG</v>
      </c>
      <c r="D8203" s="42" t="str">
        <f>IFERROR(__xludf.DUMMYFUNCTION("""COMPUTED_VALUE"""),"David")</f>
        <v>David</v>
      </c>
      <c r="E8203" s="42" t="str">
        <f>IFERROR(__xludf.DUMMYFUNCTION("""COMPUTED_VALUE"""),"DISERAHKAN")</f>
        <v>DISERAHKAN</v>
      </c>
      <c r="F8203" s="48">
        <f>IFERROR(__xludf.DUMMYFUNCTION("""COMPUTED_VALUE"""),45993.4611700463)</f>
        <v>45993.46117</v>
      </c>
      <c r="G8203" s="42" t="str">
        <f>IFERROR(__xludf.DUMMYFUNCTION("""COMPUTED_VALUE"""),"PENATAAN BATAS")</f>
        <v>PENATAAN BATAS</v>
      </c>
      <c r="H8203" s="42">
        <f t="shared" si="1"/>
        <v>3314</v>
      </c>
    </row>
    <row r="8204" ht="22.5" customHeight="1">
      <c r="B8204" s="42" t="str">
        <f>IFERROR(__xludf.DUMMYFUNCTION("""COMPUTED_VALUE"""),"K/33/101025/1")</f>
        <v>K/33/101025/1</v>
      </c>
      <c r="C8204" s="42" t="str">
        <f>IFERROR(__xludf.DUMMYFUNCTION("""COMPUTED_VALUE"""),"NIBEL M. 21589/GUNUNG AGUNG")</f>
        <v>NIBEL M. 21589/GUNUNG AGUNG</v>
      </c>
      <c r="D8204" s="42"/>
      <c r="E8204" s="42"/>
      <c r="F8204" s="48" t="str">
        <f>IFERROR(__xludf.DUMMYFUNCTION("""COMPUTED_VALUE"""),"")</f>
        <v/>
      </c>
      <c r="G8204" s="42" t="str">
        <f>IFERROR(__xludf.DUMMYFUNCTION("""COMPUTED_VALUE"""),"PEMECAHAN")</f>
        <v>PEMECAHAN</v>
      </c>
      <c r="H8204" s="42">
        <f t="shared" si="1"/>
        <v>3314</v>
      </c>
    </row>
    <row r="8205" ht="22.5" customHeight="1">
      <c r="B8205" s="42" t="str">
        <f>IFERROR(__xludf.DUMMYFUNCTION("""COMPUTED_VALUE"""),"K/34/101025/1")</f>
        <v>K/34/101025/1</v>
      </c>
      <c r="C8205" s="42" t="str">
        <f>IFERROR(__xludf.DUMMYFUNCTION("""COMPUTED_VALUE"""),"PENGAJARAN")</f>
        <v>PENGAJARAN</v>
      </c>
      <c r="D8205" s="42"/>
      <c r="E8205" s="42"/>
      <c r="F8205" s="48" t="str">
        <f>IFERROR(__xludf.DUMMYFUNCTION("""COMPUTED_VALUE"""),"")</f>
        <v/>
      </c>
      <c r="G8205" s="42" t="str">
        <f>IFERROR(__xludf.DUMMYFUNCTION("""COMPUTED_VALUE"""),"PENGUKURAN PERTAMA KALI")</f>
        <v>PENGUKURAN PERTAMA KALI</v>
      </c>
      <c r="H8205" s="42">
        <f t="shared" si="1"/>
        <v>3314</v>
      </c>
    </row>
    <row r="8206" ht="22.5" customHeight="1">
      <c r="B8206" s="42" t="str">
        <f>IFERROR(__xludf.DUMMYFUNCTION("""COMPUTED_VALUE"""),"L/36/101025/1")</f>
        <v>L/36/101025/1</v>
      </c>
      <c r="C8206" s="42" t="str">
        <f>IFERROR(__xludf.DUMMYFUNCTION("""COMPUTED_VALUE"""),"DAHULU M. 9749/SUKAMENANTI")</f>
        <v>DAHULU M. 9749/SUKAMENANTI</v>
      </c>
      <c r="D8206" s="42"/>
      <c r="E8206" s="42"/>
      <c r="F8206" s="48" t="str">
        <f>IFERROR(__xludf.DUMMYFUNCTION("""COMPUTED_VALUE"""),"")</f>
        <v/>
      </c>
      <c r="G8206" s="42" t="str">
        <f>IFERROR(__xludf.DUMMYFUNCTION("""COMPUTED_VALUE"""),"SKPT INFORMASI")</f>
        <v>SKPT INFORMASI</v>
      </c>
      <c r="H8206" s="42">
        <f t="shared" si="1"/>
        <v>3314</v>
      </c>
    </row>
    <row r="8207" ht="22.5" customHeight="1">
      <c r="B8207" s="42" t="str">
        <f>IFERROR(__xludf.DUMMYFUNCTION("""COMPUTED_VALUE"""),"K/37/101025/1")</f>
        <v>K/37/101025/1</v>
      </c>
      <c r="C8207" s="42" t="str">
        <f>IFERROR(__xludf.DUMMYFUNCTION("""COMPUTED_VALUE"""),"M 692/ PALAPA")</f>
        <v>M 692/ PALAPA</v>
      </c>
      <c r="D8207" s="42"/>
      <c r="E8207" s="42"/>
      <c r="F8207" s="48" t="str">
        <f>IFERROR(__xludf.DUMMYFUNCTION("""COMPUTED_VALUE"""),"")</f>
        <v/>
      </c>
      <c r="G8207" s="42" t="str">
        <f>IFERROR(__xludf.DUMMYFUNCTION("""COMPUTED_VALUE"""),"PELEPASAN HAK")</f>
        <v>PELEPASAN HAK</v>
      </c>
      <c r="H8207" s="42">
        <f t="shared" si="1"/>
        <v>3314</v>
      </c>
    </row>
    <row r="8208" ht="22.5" customHeight="1">
      <c r="B8208" s="42" t="str">
        <f>IFERROR(__xludf.DUMMYFUNCTION("""COMPUTED_VALUE"""),"L/38/101025/1")</f>
        <v>L/38/101025/1</v>
      </c>
      <c r="C8208" s="42" t="str">
        <f>IFERROR(__xludf.DUMMYFUNCTION("""COMPUTED_VALUE"""),"B. 2417/CAMPANG JAYA")</f>
        <v>B. 2417/CAMPANG JAYA</v>
      </c>
      <c r="D8208" s="42"/>
      <c r="E8208" s="42"/>
      <c r="F8208" s="48" t="str">
        <f>IFERROR(__xludf.DUMMYFUNCTION("""COMPUTED_VALUE"""),"")</f>
        <v/>
      </c>
      <c r="G8208" s="42" t="str">
        <f>IFERROR(__xludf.DUMMYFUNCTION("""COMPUTED_VALUE"""),"PENINGKATAN HAK")</f>
        <v>PENINGKATAN HAK</v>
      </c>
      <c r="H8208" s="42">
        <f t="shared" si="1"/>
        <v>3314</v>
      </c>
    </row>
    <row r="8209" ht="22.5" customHeight="1">
      <c r="B8209" s="42" t="str">
        <f>IFERROR(__xludf.DUMMYFUNCTION("""COMPUTED_VALUE"""),"K/39/101025/1")</f>
        <v>K/39/101025/1</v>
      </c>
      <c r="C8209" s="42" t="str">
        <f>IFERROR(__xludf.DUMMYFUNCTION("""COMPUTED_VALUE"""),"M 1547/ LABUHAN RATU RAYA")</f>
        <v>M 1547/ LABUHAN RATU RAYA</v>
      </c>
      <c r="D8209" s="42"/>
      <c r="E8209" s="42"/>
      <c r="F8209" s="48" t="str">
        <f>IFERROR(__xludf.DUMMYFUNCTION("""COMPUTED_VALUE"""),"")</f>
        <v/>
      </c>
      <c r="G8209" s="42" t="str">
        <f>IFERROR(__xludf.DUMMYFUNCTION("""COMPUTED_VALUE"""),"BN JUAL BELI")</f>
        <v>BN JUAL BELI</v>
      </c>
      <c r="H8209" s="42">
        <f t="shared" si="1"/>
        <v>3314</v>
      </c>
    </row>
    <row r="8210" ht="22.5" customHeight="1">
      <c r="B8210" s="42" t="str">
        <f>IFERROR(__xludf.DUMMYFUNCTION("""COMPUTED_VALUE"""),"K/40/101025/1")</f>
        <v>K/40/101025/1</v>
      </c>
      <c r="C8210" s="42" t="str">
        <f>IFERROR(__xludf.DUMMYFUNCTION("""COMPUTED_VALUE"""),"Nibel 23672/Bumi Kedamaian    ")</f>
        <v>Nibel 23672/Bumi Kedamaian    </v>
      </c>
      <c r="D8210" s="42" t="str">
        <f>IFERROR(__xludf.DUMMYFUNCTION("""COMPUTED_VALUE"""),"Berry")</f>
        <v>Berry</v>
      </c>
      <c r="E8210" s="42" t="str">
        <f>IFERROR(__xludf.DUMMYFUNCTION("""COMPUTED_VALUE"""),"DISERAHKAN")</f>
        <v>DISERAHKAN</v>
      </c>
      <c r="F8210" s="48">
        <f>IFERROR(__xludf.DUMMYFUNCTION("""COMPUTED_VALUE"""),45972.63007653935)</f>
        <v>45972.63008</v>
      </c>
      <c r="G8210" s="42" t="str">
        <f>IFERROR(__xludf.DUMMYFUNCTION("""COMPUTED_VALUE"""),"BN Jual Beli	")</f>
        <v>BN Jual Beli	</v>
      </c>
      <c r="H8210" s="42">
        <f t="shared" si="1"/>
        <v>3315</v>
      </c>
    </row>
    <row r="8211" ht="22.5" customHeight="1">
      <c r="B8211" s="42" t="str">
        <f>IFERROR(__xludf.DUMMYFUNCTION("""COMPUTED_VALUE"""),"K/40/101025/1	")</f>
        <v>K/40/101025/1	</v>
      </c>
      <c r="C8211" s="42" t="str">
        <f>IFERROR(__xludf.DUMMYFUNCTION("""COMPUTED_VALUE"""),"Nibel 23697/Surabaya	")</f>
        <v>Nibel 23697/Surabaya	</v>
      </c>
      <c r="D8211" s="42"/>
      <c r="E8211" s="42"/>
      <c r="F8211" s="48" t="str">
        <f>IFERROR(__xludf.DUMMYFUNCTION("""COMPUTED_VALUE"""),"")</f>
        <v/>
      </c>
      <c r="G8211" s="42" t="str">
        <f>IFERROR(__xludf.DUMMYFUNCTION("""COMPUTED_VALUE"""),"BN Jual Beli	")</f>
        <v>BN Jual Beli	</v>
      </c>
      <c r="H8211" s="42">
        <f t="shared" si="1"/>
        <v>3315</v>
      </c>
    </row>
    <row r="8212" ht="22.5" customHeight="1">
      <c r="B8212" s="42" t="str">
        <f>IFERROR(__xludf.DUMMYFUNCTION("""COMPUTED_VALUE"""),"K/41/101025/1")</f>
        <v>K/41/101025/1</v>
      </c>
      <c r="C8212" s="42" t="str">
        <f>IFERROR(__xludf.DUMMYFUNCTION("""COMPUTED_VALUE"""),"M. 242/Pengajaran	")</f>
        <v>M. 242/Pengajaran	</v>
      </c>
      <c r="D8212" s="42"/>
      <c r="E8212" s="42"/>
      <c r="F8212" s="48" t="str">
        <f>IFERROR(__xludf.DUMMYFUNCTION("""COMPUTED_VALUE"""),"")</f>
        <v/>
      </c>
      <c r="G8212" s="42" t="str">
        <f>IFERROR(__xludf.DUMMYFUNCTION("""COMPUTED_VALUE"""),"BN Hibah	")</f>
        <v>BN Hibah	</v>
      </c>
      <c r="H8212" s="42">
        <f t="shared" si="1"/>
        <v>3315</v>
      </c>
    </row>
    <row r="8213" ht="22.5" customHeight="1">
      <c r="B8213" s="42" t="str">
        <f>IFERROR(__xludf.DUMMYFUNCTION("""COMPUTED_VALUE"""),"L/47/101025/1")</f>
        <v>L/47/101025/1</v>
      </c>
      <c r="C8213" s="42" t="str">
        <f>IFERROR(__xludf.DUMMYFUNCTION("""COMPUTED_VALUE"""),"M. 13040/SUKABUMI")</f>
        <v>M. 13040/SUKABUMI</v>
      </c>
      <c r="D8213" s="42"/>
      <c r="E8213" s="42"/>
      <c r="F8213" s="48" t="str">
        <f>IFERROR(__xludf.DUMMYFUNCTION("""COMPUTED_VALUE"""),"")</f>
        <v/>
      </c>
      <c r="G8213" s="42" t="str">
        <f>IFERROR(__xludf.DUMMYFUNCTION("""COMPUTED_VALUE"""),"ROYA")</f>
        <v>ROYA</v>
      </c>
      <c r="H8213" s="42">
        <f t="shared" si="1"/>
        <v>3315</v>
      </c>
    </row>
    <row r="8214" ht="22.5" customHeight="1">
      <c r="B8214" s="42" t="str">
        <f>IFERROR(__xludf.DUMMYFUNCTION("""COMPUTED_VALUE"""),"K/42/101025/1")</f>
        <v>K/42/101025/1</v>
      </c>
      <c r="C8214" s="42" t="str">
        <f>IFERROR(__xludf.DUMMYFUNCTION("""COMPUTED_VALUE"""),"NIBEL B 422/ KEMILING PERMAI")</f>
        <v>NIBEL B 422/ KEMILING PERMAI</v>
      </c>
      <c r="D8214" s="42"/>
      <c r="E8214" s="42"/>
      <c r="F8214" s="48" t="str">
        <f>IFERROR(__xludf.DUMMYFUNCTION("""COMPUTED_VALUE"""),"")</f>
        <v/>
      </c>
      <c r="G8214" s="42" t="str">
        <f>IFERROR(__xludf.DUMMYFUNCTION("""COMPUTED_VALUE"""),"PENINGKATAN HAK")</f>
        <v>PENINGKATAN HAK</v>
      </c>
      <c r="H8214" s="42">
        <f t="shared" si="1"/>
        <v>3315</v>
      </c>
    </row>
    <row r="8215" ht="22.5" customHeight="1">
      <c r="B8215" s="42" t="str">
        <f>IFERROR(__xludf.DUMMYFUNCTION("""COMPUTED_VALUE"""),"ABJKEEKV/1")</f>
        <v>ABJKEEKV/1</v>
      </c>
      <c r="C8215" s="42" t="str">
        <f>IFERROR(__xludf.DUMMYFUNCTION("""COMPUTED_VALUE"""),"M.1889/Rajabasa Jaya")</f>
        <v>M.1889/Rajabasa Jaya</v>
      </c>
      <c r="D8215" s="42"/>
      <c r="E8215" s="42"/>
      <c r="F8215" s="48" t="str">
        <f>IFERROR(__xludf.DUMMYFUNCTION("""COMPUTED_VALUE"""),"")</f>
        <v/>
      </c>
      <c r="G8215" s="42" t="str">
        <f>IFERROR(__xludf.DUMMYFUNCTION("""COMPUTED_VALUE"""),"BN Jual Beli")</f>
        <v>BN Jual Beli</v>
      </c>
      <c r="H8215" s="42">
        <f t="shared" si="1"/>
        <v>3315</v>
      </c>
    </row>
    <row r="8216" ht="22.5" customHeight="1">
      <c r="B8216" s="42" t="str">
        <f>IFERROR(__xludf.DUMMYFUNCTION("""COMPUTED_VALUE"""),"ABWNXBVH/AB03")</f>
        <v>ABWNXBVH/AB03</v>
      </c>
      <c r="C8216" s="42" t="str">
        <f>IFERROR(__xludf.DUMMYFUNCTION("""COMPUTED_VALUE"""),"SHM Nibel 18158/Rajabasa Jaya")</f>
        <v>SHM Nibel 18158/Rajabasa Jaya</v>
      </c>
      <c r="D8216" s="42"/>
      <c r="E8216" s="42"/>
      <c r="F8216" s="48" t="str">
        <f>IFERROR(__xludf.DUMMYFUNCTION("""COMPUTED_VALUE"""),"")</f>
        <v/>
      </c>
      <c r="G8216" s="42" t="str">
        <f>IFERROR(__xludf.DUMMYFUNCTION("""COMPUTED_VALUE"""),"Balik Nama")</f>
        <v>Balik Nama</v>
      </c>
      <c r="H8216" s="42">
        <f t="shared" si="1"/>
        <v>3315</v>
      </c>
    </row>
    <row r="8217" ht="22.5" customHeight="1">
      <c r="B8217" s="42" t="str">
        <f>IFERROR(__xludf.DUMMYFUNCTION("""COMPUTED_VALUE"""),"ABGWYPHO/AB03")</f>
        <v>ABGWYPHO/AB03</v>
      </c>
      <c r="C8217" s="42" t="str">
        <f>IFERROR(__xludf.DUMMYFUNCTION("""COMPUTED_VALUE"""),"SHM Nibel 18207")</f>
        <v>SHM Nibel 18207</v>
      </c>
      <c r="D8217" s="42"/>
      <c r="E8217" s="42"/>
      <c r="F8217" s="48" t="str">
        <f>IFERROR(__xludf.DUMMYFUNCTION("""COMPUTED_VALUE"""),"")</f>
        <v/>
      </c>
      <c r="G8217" s="42" t="str">
        <f>IFERROR(__xludf.DUMMYFUNCTION("""COMPUTED_VALUE"""),"Balik Nama")</f>
        <v>Balik Nama</v>
      </c>
      <c r="H8217" s="42">
        <f t="shared" si="1"/>
        <v>3315</v>
      </c>
    </row>
    <row r="8218" ht="22.5" customHeight="1">
      <c r="B8218" s="42" t="str">
        <f>IFERROR(__xludf.DUMMYFUNCTION("""COMPUTED_VALUE"""),"ABDYPSEI/AB025")</f>
        <v>ABDYPSEI/AB025</v>
      </c>
      <c r="C8218" s="42" t="str">
        <f>IFERROR(__xludf.DUMMYFUNCTION("""COMPUTED_VALUE"""),"M.1644/Sumur Putri")</f>
        <v>M.1644/Sumur Putri</v>
      </c>
      <c r="D8218" s="42"/>
      <c r="E8218" s="42"/>
      <c r="F8218" s="48" t="str">
        <f>IFERROR(__xludf.DUMMYFUNCTION("""COMPUTED_VALUE"""),"")</f>
        <v/>
      </c>
      <c r="G8218" s="42" t="str">
        <f>IFERROR(__xludf.DUMMYFUNCTION("""COMPUTED_VALUE"""),"Balik Nama Jual Beli ")</f>
        <v>Balik Nama Jual Beli </v>
      </c>
      <c r="H8218" s="42">
        <f t="shared" si="1"/>
        <v>3315</v>
      </c>
    </row>
    <row r="8219" ht="22.5" customHeight="1">
      <c r="B8219" s="42" t="str">
        <f>IFERROR(__xludf.DUMMYFUNCTION("""COMPUTED_VALUE"""),"L/3/131025/1")</f>
        <v>L/3/131025/1</v>
      </c>
      <c r="C8219" s="42" t="str">
        <f>IFERROR(__xludf.DUMMYFUNCTION("""COMPUTED_VALUE"""),"M. 1389/SUKABUMI INDAH")</f>
        <v>M. 1389/SUKABUMI INDAH</v>
      </c>
      <c r="D8219" s="42"/>
      <c r="E8219" s="42"/>
      <c r="F8219" s="48" t="str">
        <f>IFERROR(__xludf.DUMMYFUNCTION("""COMPUTED_VALUE"""),"")</f>
        <v/>
      </c>
      <c r="G8219" s="42" t="str">
        <f>IFERROR(__xludf.DUMMYFUNCTION("""COMPUTED_VALUE"""),"ROYA")</f>
        <v>ROYA</v>
      </c>
      <c r="H8219" s="42">
        <f t="shared" si="1"/>
        <v>3315</v>
      </c>
    </row>
    <row r="8220" ht="22.5" customHeight="1">
      <c r="B8220" s="42" t="str">
        <f>IFERROR(__xludf.DUMMYFUNCTION("""COMPUTED_VALUE"""),"ABTCPKYN/AB024")</f>
        <v>ABTCPKYN/AB024</v>
      </c>
      <c r="C8220" s="42" t="str">
        <f>IFERROR(__xludf.DUMMYFUNCTION("""COMPUTED_VALUE"""),"SHM NIBEL 20883/RAJABASA JAYA")</f>
        <v>SHM NIBEL 20883/RAJABASA JAYA</v>
      </c>
      <c r="D8220" s="42"/>
      <c r="E8220" s="42"/>
      <c r="F8220" s="48" t="str">
        <f>IFERROR(__xludf.DUMMYFUNCTION("""COMPUTED_VALUE"""),"")</f>
        <v/>
      </c>
      <c r="G8220" s="42" t="str">
        <f>IFERROR(__xludf.DUMMYFUNCTION("""COMPUTED_VALUE"""),"BN JUAL BELI ")</f>
        <v>BN JUAL BELI </v>
      </c>
      <c r="H8220" s="42">
        <f t="shared" si="1"/>
        <v>3315</v>
      </c>
    </row>
    <row r="8221" ht="22.5" customHeight="1">
      <c r="B8221" s="42" t="str">
        <f>IFERROR(__xludf.DUMMYFUNCTION("""COMPUTED_VALUE"""),"ABDVJSWD")</f>
        <v>ABDVJSWD</v>
      </c>
      <c r="C8221" s="42" t="str">
        <f>IFERROR(__xludf.DUMMYFUNCTION("""COMPUTED_VALUE"""),"Nibel m 11862/susunan baru")</f>
        <v>Nibel m 11862/susunan baru</v>
      </c>
      <c r="D8221" s="42"/>
      <c r="E8221" s="42"/>
      <c r="F8221" s="48" t="str">
        <f>IFERROR(__xludf.DUMMYFUNCTION("""COMPUTED_VALUE"""),"")</f>
        <v/>
      </c>
      <c r="G8221" s="42" t="str">
        <f>IFERROR(__xludf.DUMMYFUNCTION("""COMPUTED_VALUE"""),"BN PHB	")</f>
        <v>BN PHB	</v>
      </c>
      <c r="H8221" s="42">
        <f t="shared" si="1"/>
        <v>3315</v>
      </c>
    </row>
    <row r="8222" ht="22.5" customHeight="1">
      <c r="B8222" s="42" t="str">
        <f>IFERROR(__xludf.DUMMYFUNCTION("""COMPUTED_VALUE"""),"Ab 049 / abwgrwcn")</f>
        <v>Ab 049 / abwgrwcn</v>
      </c>
      <c r="C8222" s="42" t="str">
        <f>IFERROR(__xludf.DUMMYFUNCTION("""COMPUTED_VALUE"""),"Nib: 3560.0")</f>
        <v>Nib: 3560.0</v>
      </c>
      <c r="D8222" s="42"/>
      <c r="E8222" s="42"/>
      <c r="F8222" s="48" t="str">
        <f>IFERROR(__xludf.DUMMYFUNCTION("""COMPUTED_VALUE"""),"")</f>
        <v/>
      </c>
      <c r="G8222" s="42" t="str">
        <f>IFERROR(__xludf.DUMMYFUNCTION("""COMPUTED_VALUE"""),"Balik nama")</f>
        <v>Balik nama</v>
      </c>
      <c r="H8222" s="42">
        <f t="shared" si="1"/>
        <v>3315</v>
      </c>
    </row>
    <row r="8223" ht="22.5" customHeight="1">
      <c r="B8223" s="42" t="str">
        <f>IFERROR(__xludf.DUMMYFUNCTION("""COMPUTED_VALUE"""),"Ab 049/ abnsehwp")</f>
        <v>Ab 049/ abnsehwp</v>
      </c>
      <c r="C8223" s="42" t="str">
        <f>IFERROR(__xludf.DUMMYFUNCTION("""COMPUTED_VALUE"""),"Nib : 23132.0")</f>
        <v>Nib : 23132.0</v>
      </c>
      <c r="D8223" s="42"/>
      <c r="E8223" s="42"/>
      <c r="F8223" s="48" t="str">
        <f>IFERROR(__xludf.DUMMYFUNCTION("""COMPUTED_VALUE"""),"")</f>
        <v/>
      </c>
      <c r="G8223" s="42" t="str">
        <f>IFERROR(__xludf.DUMMYFUNCTION("""COMPUTED_VALUE"""),"Balik nama")</f>
        <v>Balik nama</v>
      </c>
      <c r="H8223" s="42">
        <f t="shared" si="1"/>
        <v>3315</v>
      </c>
    </row>
    <row r="8224" ht="22.5" customHeight="1">
      <c r="B8224" s="42" t="str">
        <f>IFERROR(__xludf.DUMMYFUNCTION("""COMPUTED_VALUE"""),"K/35/101025/1")</f>
        <v>K/35/101025/1</v>
      </c>
      <c r="C8224" s="42" t="str">
        <f>IFERROR(__xludf.DUMMYFUNCTION("""COMPUTED_VALUE"""),"M. 5489/LANGKAPURA")</f>
        <v>M. 5489/LANGKAPURA</v>
      </c>
      <c r="D8224" s="42"/>
      <c r="E8224" s="42"/>
      <c r="F8224" s="48" t="str">
        <f>IFERROR(__xludf.DUMMYFUNCTION("""COMPUTED_VALUE"""),"")</f>
        <v/>
      </c>
      <c r="G8224" s="42" t="str">
        <f>IFERROR(__xludf.DUMMYFUNCTION("""COMPUTED_VALUE"""),"BN JUAL BELI")</f>
        <v>BN JUAL BELI</v>
      </c>
      <c r="H8224" s="42">
        <f t="shared" si="1"/>
        <v>3315</v>
      </c>
    </row>
    <row r="8225" ht="22.5" customHeight="1">
      <c r="B8225" s="42" t="str">
        <f>IFERROR(__xludf.DUMMYFUNCTION("""COMPUTED_VALUE"""),"K/4/131025/1")</f>
        <v>K/4/131025/1</v>
      </c>
      <c r="C8225" s="42" t="str">
        <f>IFERROR(__xludf.DUMMYFUNCTION("""COMPUTED_VALUE"""),"M. 513/GARUNTANG")</f>
        <v>M. 513/GARUNTANG</v>
      </c>
      <c r="D8225" s="42"/>
      <c r="E8225" s="42"/>
      <c r="F8225" s="48" t="str">
        <f>IFERROR(__xludf.DUMMYFUNCTION("""COMPUTED_VALUE"""),"")</f>
        <v/>
      </c>
      <c r="G8225" s="42" t="str">
        <f>IFERROR(__xludf.DUMMYFUNCTION("""COMPUTED_VALUE"""),"ROYA LELANG")</f>
        <v>ROYA LELANG</v>
      </c>
      <c r="H8225" s="42">
        <f t="shared" si="1"/>
        <v>3315</v>
      </c>
    </row>
    <row r="8226" ht="22.5" customHeight="1">
      <c r="B8226" s="42" t="str">
        <f>IFERROR(__xludf.DUMMYFUNCTION("""COMPUTED_VALUE"""),"K/5/131025/2")</f>
        <v>K/5/131025/2</v>
      </c>
      <c r="C8226" s="42" t="str">
        <f>IFERROR(__xludf.DUMMYFUNCTION("""COMPUTED_VALUE"""),"M. 515/GARUNTANG")</f>
        <v>M. 515/GARUNTANG</v>
      </c>
      <c r="D8226" s="42"/>
      <c r="E8226" s="42"/>
      <c r="F8226" s="48" t="str">
        <f>IFERROR(__xludf.DUMMYFUNCTION("""COMPUTED_VALUE"""),"")</f>
        <v/>
      </c>
      <c r="G8226" s="42" t="str">
        <f>IFERROR(__xludf.DUMMYFUNCTION("""COMPUTED_VALUE"""),"ROYA")</f>
        <v>ROYA</v>
      </c>
      <c r="H8226" s="42">
        <f t="shared" si="1"/>
        <v>3315</v>
      </c>
    </row>
    <row r="8227" ht="22.5" customHeight="1">
      <c r="B8227" s="42" t="str">
        <f>IFERROR(__xludf.DUMMYFUNCTION("""COMPUTED_VALUE"""),"K/6/131025/3")</f>
        <v>K/6/131025/3</v>
      </c>
      <c r="C8227" s="42" t="str">
        <f>IFERROR(__xludf.DUMMYFUNCTION("""COMPUTED_VALUE"""),"M.516/GARUNTANG")</f>
        <v>M.516/GARUNTANG</v>
      </c>
      <c r="D8227" s="42"/>
      <c r="E8227" s="42"/>
      <c r="F8227" s="48" t="str">
        <f>IFERROR(__xludf.DUMMYFUNCTION("""COMPUTED_VALUE"""),"")</f>
        <v/>
      </c>
      <c r="G8227" s="42" t="str">
        <f>IFERROR(__xludf.DUMMYFUNCTION("""COMPUTED_VALUE"""),"ROYA LELANG")</f>
        <v>ROYA LELANG</v>
      </c>
      <c r="H8227" s="42">
        <f t="shared" si="1"/>
        <v>3315</v>
      </c>
    </row>
    <row r="8228" ht="22.5" customHeight="1">
      <c r="B8228" s="42" t="str">
        <f>IFERROR(__xludf.DUMMYFUNCTION("""COMPUTED_VALUE"""),"K/7/131025/4")</f>
        <v>K/7/131025/4</v>
      </c>
      <c r="C8228" s="42" t="str">
        <f>IFERROR(__xludf.DUMMYFUNCTION("""COMPUTED_VALUE"""),"M. 517/GARUNTANG")</f>
        <v>M. 517/GARUNTANG</v>
      </c>
      <c r="D8228" s="42"/>
      <c r="E8228" s="42"/>
      <c r="F8228" s="48" t="str">
        <f>IFERROR(__xludf.DUMMYFUNCTION("""COMPUTED_VALUE"""),"")</f>
        <v/>
      </c>
      <c r="G8228" s="42" t="str">
        <f>IFERROR(__xludf.DUMMYFUNCTION("""COMPUTED_VALUE"""),"ROYA LELANG")</f>
        <v>ROYA LELANG</v>
      </c>
      <c r="H8228" s="42">
        <f t="shared" si="1"/>
        <v>3315</v>
      </c>
    </row>
    <row r="8229" ht="22.5" customHeight="1">
      <c r="B8229" s="42" t="str">
        <f>IFERROR(__xludf.DUMMYFUNCTION("""COMPUTED_VALUE"""),"ABNIIRVQ")</f>
        <v>ABNIIRVQ</v>
      </c>
      <c r="C8229" s="42" t="str">
        <f>IFERROR(__xludf.DUMMYFUNCTION("""COMPUTED_VALUE"""),"Nibel M 22967/jaga baya III")</f>
        <v>Nibel M 22967/jaga baya III</v>
      </c>
      <c r="D8229" s="42"/>
      <c r="E8229" s="42"/>
      <c r="F8229" s="48" t="str">
        <f>IFERROR(__xludf.DUMMYFUNCTION("""COMPUTED_VALUE"""),"")</f>
        <v/>
      </c>
      <c r="G8229" s="42" t="str">
        <f>IFERROR(__xludf.DUMMYFUNCTION("""COMPUTED_VALUE"""),"BN jual beli")</f>
        <v>BN jual beli</v>
      </c>
      <c r="H8229" s="42">
        <f t="shared" si="1"/>
        <v>3315</v>
      </c>
    </row>
    <row r="8230" ht="22.5" customHeight="1">
      <c r="B8230" s="42" t="str">
        <f>IFERROR(__xludf.DUMMYFUNCTION("""COMPUTED_VALUE"""),"L/9/131025/1")</f>
        <v>L/9/131025/1</v>
      </c>
      <c r="C8230" s="42" t="str">
        <f>IFERROR(__xludf.DUMMYFUNCTION("""COMPUTED_VALUE"""),"M. 645/KEMILING RAYA")</f>
        <v>M. 645/KEMILING RAYA</v>
      </c>
      <c r="D8230" s="42"/>
      <c r="E8230" s="42"/>
      <c r="F8230" s="48" t="str">
        <f>IFERROR(__xludf.DUMMYFUNCTION("""COMPUTED_VALUE"""),"")</f>
        <v/>
      </c>
      <c r="G8230" s="42" t="str">
        <f>IFERROR(__xludf.DUMMYFUNCTION("""COMPUTED_VALUE"""),"HAPUS BPHTB")</f>
        <v>HAPUS BPHTB</v>
      </c>
      <c r="H8230" s="42">
        <f t="shared" si="1"/>
        <v>3315</v>
      </c>
    </row>
    <row r="8231" ht="22.5" customHeight="1">
      <c r="B8231" s="42" t="str">
        <f>IFERROR(__xludf.DUMMYFUNCTION("""COMPUTED_VALUE"""),"ABXUJOZW")</f>
        <v>ABXUJOZW</v>
      </c>
      <c r="C8231" s="42" t="str">
        <f>IFERROR(__xludf.DUMMYFUNCTION("""COMPUTED_VALUE"""),"M 13499/ SUKABUMI")</f>
        <v>M 13499/ SUKABUMI</v>
      </c>
      <c r="D8231" s="42"/>
      <c r="E8231" s="42"/>
      <c r="F8231" s="48" t="str">
        <f>IFERROR(__xludf.DUMMYFUNCTION("""COMPUTED_VALUE"""),"")</f>
        <v/>
      </c>
      <c r="G8231" s="42" t="str">
        <f>IFERROR(__xludf.DUMMYFUNCTION("""COMPUTED_VALUE"""),"Waris")</f>
        <v>Waris</v>
      </c>
      <c r="H8231" s="42">
        <f t="shared" si="1"/>
        <v>3315</v>
      </c>
    </row>
    <row r="8232" ht="22.5" customHeight="1">
      <c r="B8232" s="42" t="str">
        <f>IFERROR(__xludf.DUMMYFUNCTION("""COMPUTED_VALUE"""),"ABWJMTFO")</f>
        <v>ABWJMTFO</v>
      </c>
      <c r="C8232" s="42" t="str">
        <f>IFERROR(__xludf.DUMMYFUNCTION("""COMPUTED_VALUE"""),"NIBEL M 19691/ RAJABASA")</f>
        <v>NIBEL M 19691/ RAJABASA</v>
      </c>
      <c r="D8232" s="42"/>
      <c r="E8232" s="42"/>
      <c r="F8232" s="48" t="str">
        <f>IFERROR(__xludf.DUMMYFUNCTION("""COMPUTED_VALUE"""),"")</f>
        <v/>
      </c>
      <c r="G8232" s="42" t="str">
        <f>IFERROR(__xludf.DUMMYFUNCTION("""COMPUTED_VALUE"""),"BN (jual-beli)")</f>
        <v>BN (jual-beli)</v>
      </c>
      <c r="H8232" s="42">
        <f t="shared" si="1"/>
        <v>3315</v>
      </c>
    </row>
    <row r="8233" ht="22.5" customHeight="1">
      <c r="B8233" s="42" t="str">
        <f>IFERROR(__xludf.DUMMYFUNCTION("""COMPUTED_VALUE"""),"L/10/131025/1")</f>
        <v>L/10/131025/1</v>
      </c>
      <c r="C8233" s="42" t="str">
        <f>IFERROR(__xludf.DUMMYFUNCTION("""COMPUTED_VALUE"""),"M. 133/PEMATANG WANGI")</f>
        <v>M. 133/PEMATANG WANGI</v>
      </c>
      <c r="D8233" s="42"/>
      <c r="E8233" s="42"/>
      <c r="F8233" s="48" t="str">
        <f>IFERROR(__xludf.DUMMYFUNCTION("""COMPUTED_VALUE"""),"")</f>
        <v/>
      </c>
      <c r="G8233" s="42" t="str">
        <f>IFERROR(__xludf.DUMMYFUNCTION("""COMPUTED_VALUE"""),"ROYA")</f>
        <v>ROYA</v>
      </c>
      <c r="H8233" s="42">
        <f t="shared" si="1"/>
        <v>3315</v>
      </c>
    </row>
    <row r="8234" ht="22.5" customHeight="1">
      <c r="B8234" s="42" t="str">
        <f>IFERROR(__xludf.DUMMYFUNCTION("""COMPUTED_VALUE"""),"ABHUBLHV/AB048")</f>
        <v>ABHUBLHV/AB048</v>
      </c>
      <c r="C8234" s="42" t="str">
        <f>IFERROR(__xludf.DUMMYFUNCTION("""COMPUTED_VALUE"""),"M. 259/Penengahan Raya")</f>
        <v>M. 259/Penengahan Raya</v>
      </c>
      <c r="D8234" s="42"/>
      <c r="E8234" s="42"/>
      <c r="F8234" s="48" t="str">
        <f>IFERROR(__xludf.DUMMYFUNCTION("""COMPUTED_VALUE"""),"")</f>
        <v/>
      </c>
      <c r="G8234" s="42" t="str">
        <f>IFERROR(__xludf.DUMMYFUNCTION("""COMPUTED_VALUE"""),"BN Waris")</f>
        <v>BN Waris</v>
      </c>
      <c r="H8234" s="42">
        <f t="shared" si="1"/>
        <v>3315</v>
      </c>
    </row>
    <row r="8235" ht="22.5" customHeight="1">
      <c r="B8235" s="42" t="str">
        <f>IFERROR(__xludf.DUMMYFUNCTION("""COMPUTED_VALUE"""),"ABLOFMWV")</f>
        <v>ABLOFMWV</v>
      </c>
      <c r="C8235" s="42" t="str">
        <f>IFERROR(__xludf.DUMMYFUNCTION("""COMPUTED_VALUE"""),"SHM Nibel 08.01.000005918.0/Kota Karang")</f>
        <v>SHM Nibel 08.01.000005918.0/Kota Karang</v>
      </c>
      <c r="D8235" s="42"/>
      <c r="E8235" s="42"/>
      <c r="F8235" s="48" t="str">
        <f>IFERROR(__xludf.DUMMYFUNCTION("""COMPUTED_VALUE"""),"")</f>
        <v/>
      </c>
      <c r="G8235" s="42" t="str">
        <f>IFERROR(__xludf.DUMMYFUNCTION("""COMPUTED_VALUE"""),"BN JUAL BELI")</f>
        <v>BN JUAL BELI</v>
      </c>
      <c r="H8235" s="42">
        <f t="shared" si="1"/>
        <v>3315</v>
      </c>
    </row>
    <row r="8236" ht="22.5" customHeight="1">
      <c r="B8236" s="42" t="str">
        <f>IFERROR(__xludf.DUMMYFUNCTION("""COMPUTED_VALUE"""),"L/11/131025/1")</f>
        <v>L/11/131025/1</v>
      </c>
      <c r="C8236" s="42" t="str">
        <f>IFERROR(__xludf.DUMMYFUNCTION("""COMPUTED_VALUE"""),"M. 1828/KANGKUNG")</f>
        <v>M. 1828/KANGKUNG</v>
      </c>
      <c r="D8236" s="42"/>
      <c r="E8236" s="42"/>
      <c r="F8236" s="48" t="str">
        <f>IFERROR(__xludf.DUMMYFUNCTION("""COMPUTED_VALUE"""),"")</f>
        <v/>
      </c>
      <c r="G8236" s="42" t="str">
        <f>IFERROR(__xludf.DUMMYFUNCTION("""COMPUTED_VALUE"""),"ROYA")</f>
        <v>ROYA</v>
      </c>
      <c r="H8236" s="42">
        <f t="shared" si="1"/>
        <v>3315</v>
      </c>
    </row>
    <row r="8237" ht="22.5" customHeight="1">
      <c r="B8237" s="42" t="str">
        <f>IFERROR(__xludf.DUMMYFUNCTION("""COMPUTED_VALUE"""),"K/8/131025/1")</f>
        <v>K/8/131025/1</v>
      </c>
      <c r="C8237" s="42" t="str">
        <f>IFERROR(__xludf.DUMMYFUNCTION("""COMPUTED_VALUE"""),"M. 2607/RAJABASA JAYA")</f>
        <v>M. 2607/RAJABASA JAYA</v>
      </c>
      <c r="D8237" s="42"/>
      <c r="E8237" s="42"/>
      <c r="F8237" s="48" t="str">
        <f>IFERROR(__xludf.DUMMYFUNCTION("""COMPUTED_VALUE"""),"")</f>
        <v/>
      </c>
      <c r="G8237" s="42" t="str">
        <f>IFERROR(__xludf.DUMMYFUNCTION("""COMPUTED_VALUE"""),"SKPT LELANG")</f>
        <v>SKPT LELANG</v>
      </c>
      <c r="H8237" s="42">
        <f t="shared" si="1"/>
        <v>3315</v>
      </c>
    </row>
    <row r="8238" ht="22.5" customHeight="1">
      <c r="B8238" s="42" t="str">
        <f>IFERROR(__xludf.DUMMYFUNCTION("""COMPUTED_VALUE"""),"ABKGXYFF")</f>
        <v>ABKGXYFF</v>
      </c>
      <c r="C8238" s="42" t="str">
        <f>IFERROR(__xludf.DUMMYFUNCTION("""COMPUTED_VALUE"""),"SHM 306 / Campang Jaya")</f>
        <v>SHM 306 / Campang Jaya</v>
      </c>
      <c r="D8238" s="42"/>
      <c r="E8238" s="42"/>
      <c r="F8238" s="48" t="str">
        <f>IFERROR(__xludf.DUMMYFUNCTION("""COMPUTED_VALUE"""),"")</f>
        <v/>
      </c>
      <c r="G8238" s="42" t="str">
        <f>IFERROR(__xludf.DUMMYFUNCTION("""COMPUTED_VALUE"""),"BN JUAL BELI")</f>
        <v>BN JUAL BELI</v>
      </c>
      <c r="H8238" s="42">
        <f t="shared" si="1"/>
        <v>3315</v>
      </c>
    </row>
    <row r="8239" ht="22.5" customHeight="1">
      <c r="B8239" s="42" t="str">
        <f>IFERROR(__xludf.DUMMYFUNCTION("""COMPUTED_VALUE"""),"L/13/131025/1")</f>
        <v>L/13/131025/1</v>
      </c>
      <c r="C8239" s="42" t="str">
        <f>IFERROR(__xludf.DUMMYFUNCTION("""COMPUTED_VALUE"""),"M. 1183/WAY HALIM PERMAI")</f>
        <v>M. 1183/WAY HALIM PERMAI</v>
      </c>
      <c r="D8239" s="42"/>
      <c r="E8239" s="42"/>
      <c r="F8239" s="48" t="str">
        <f>IFERROR(__xludf.DUMMYFUNCTION("""COMPUTED_VALUE"""),"")</f>
        <v/>
      </c>
      <c r="G8239" s="42" t="str">
        <f>IFERROR(__xludf.DUMMYFUNCTION("""COMPUTED_VALUE"""),"ROYA")</f>
        <v>ROYA</v>
      </c>
      <c r="H8239" s="42">
        <f t="shared" si="1"/>
        <v>3315</v>
      </c>
    </row>
    <row r="8240" ht="22.5" customHeight="1">
      <c r="B8240" s="42" t="str">
        <f>IFERROR(__xludf.DUMMYFUNCTION("""COMPUTED_VALUE"""),"ABHSFVOF/AB019")</f>
        <v>ABHSFVOF/AB019</v>
      </c>
      <c r="C8240" s="42" t="str">
        <f>IFERROR(__xludf.DUMMYFUNCTION("""COMPUTED_VALUE"""),"M. 2126/Labuhan Ratu Raya")</f>
        <v>M. 2126/Labuhan Ratu Raya</v>
      </c>
      <c r="D8240" s="42"/>
      <c r="E8240" s="42"/>
      <c r="F8240" s="48" t="str">
        <f>IFERROR(__xludf.DUMMYFUNCTION("""COMPUTED_VALUE"""),"")</f>
        <v/>
      </c>
      <c r="G8240" s="42" t="str">
        <f>IFERROR(__xludf.DUMMYFUNCTION("""COMPUTED_VALUE"""),"Balik nama ")</f>
        <v>Balik nama </v>
      </c>
      <c r="H8240" s="42">
        <f t="shared" si="1"/>
        <v>3315</v>
      </c>
    </row>
    <row r="8241" ht="22.5" customHeight="1">
      <c r="B8241" s="42" t="str">
        <f>IFERROR(__xludf.DUMMYFUNCTION("""COMPUTED_VALUE"""),"92/2025")</f>
        <v>92/2025</v>
      </c>
      <c r="C8241" s="42">
        <f>IFERROR(__xludf.DUMMYFUNCTION("""COMPUTED_VALUE"""),1880.0)</f>
        <v>1880</v>
      </c>
      <c r="D8241" s="42"/>
      <c r="E8241" s="42"/>
      <c r="F8241" s="48" t="str">
        <f>IFERROR(__xludf.DUMMYFUNCTION("""COMPUTED_VALUE"""),"")</f>
        <v/>
      </c>
      <c r="G8241" s="42" t="str">
        <f>IFERROR(__xludf.DUMMYFUNCTION("""COMPUTED_VALUE"""),"Balik nama")</f>
        <v>Balik nama</v>
      </c>
      <c r="H8241" s="42">
        <f t="shared" si="1"/>
        <v>3315</v>
      </c>
    </row>
    <row r="8242" ht="22.5" customHeight="1">
      <c r="B8242" s="42" t="str">
        <f>IFERROR(__xludf.DUMMYFUNCTION("""COMPUTED_VALUE"""),"L/14/131025/1")</f>
        <v>L/14/131025/1</v>
      </c>
      <c r="C8242" s="42" t="str">
        <f>IFERROR(__xludf.DUMMYFUNCTION("""COMPUTED_VALUE"""),"KEL. WAY DADI BARU LUAS 231 M2")</f>
        <v>KEL. WAY DADI BARU LUAS 231 M2</v>
      </c>
      <c r="D8242" s="42"/>
      <c r="E8242" s="42"/>
      <c r="F8242" s="48" t="str">
        <f>IFERROR(__xludf.DUMMYFUNCTION("""COMPUTED_VALUE"""),"")</f>
        <v/>
      </c>
      <c r="G8242" s="42" t="str">
        <f>IFERROR(__xludf.DUMMYFUNCTION("""COMPUTED_VALUE"""),"PTPGT TANAH MENTAH")</f>
        <v>PTPGT TANAH MENTAH</v>
      </c>
      <c r="H8242" s="42">
        <f t="shared" si="1"/>
        <v>3315</v>
      </c>
    </row>
    <row r="8243" ht="22.5" customHeight="1">
      <c r="B8243" s="42" t="str">
        <f>IFERROR(__xludf.DUMMYFUNCTION("""COMPUTED_VALUE"""),"K/12/131025/1")</f>
        <v>K/12/131025/1</v>
      </c>
      <c r="C8243" s="42" t="str">
        <f>IFERROR(__xludf.DUMMYFUNCTION("""COMPUTED_VALUE"""),"M. 655 &amp; 675 / KANGKUNG")</f>
        <v>M. 655 &amp; 675 / KANGKUNG</v>
      </c>
      <c r="D8243" s="42"/>
      <c r="E8243" s="42"/>
      <c r="F8243" s="48" t="str">
        <f>IFERROR(__xludf.DUMMYFUNCTION("""COMPUTED_VALUE"""),"")</f>
        <v/>
      </c>
      <c r="G8243" s="42" t="str">
        <f>IFERROR(__xludf.DUMMYFUNCTION("""COMPUTED_VALUE"""),"ROYA LELANG ")</f>
        <v>ROYA LELANG </v>
      </c>
      <c r="H8243" s="42">
        <f t="shared" si="1"/>
        <v>3315</v>
      </c>
    </row>
    <row r="8244" ht="22.5" customHeight="1">
      <c r="B8244" s="42" t="str">
        <f>IFERROR(__xludf.DUMMYFUNCTION("""COMPUTED_VALUE"""),"ABLZDDQI")</f>
        <v>ABLZDDQI</v>
      </c>
      <c r="C8244" s="42" t="str">
        <f>IFERROR(__xludf.DUMMYFUNCTION("""COMPUTED_VALUE"""),"Shm 4850 langkapura")</f>
        <v>Shm 4850 langkapura</v>
      </c>
      <c r="D8244" s="42"/>
      <c r="E8244" s="42"/>
      <c r="F8244" s="48" t="str">
        <f>IFERROR(__xludf.DUMMYFUNCTION("""COMPUTED_VALUE"""),"")</f>
        <v/>
      </c>
      <c r="G8244" s="42" t="str">
        <f>IFERROR(__xludf.DUMMYFUNCTION("""COMPUTED_VALUE"""),"Balik nama ")</f>
        <v>Balik nama </v>
      </c>
      <c r="H8244" s="42">
        <f t="shared" si="1"/>
        <v>3315</v>
      </c>
    </row>
    <row r="8245" ht="22.5" customHeight="1">
      <c r="B8245" s="42" t="str">
        <f>IFERROR(__xludf.DUMMYFUNCTION("""COMPUTED_VALUE"""),"ABLFBSAE")</f>
        <v>ABLFBSAE</v>
      </c>
      <c r="C8245" s="42" t="str">
        <f>IFERROR(__xludf.DUMMYFUNCTION("""COMPUTED_VALUE"""),"SHM 1040 KORPRI JAYA")</f>
        <v>SHM 1040 KORPRI JAYA</v>
      </c>
      <c r="D8245" s="42"/>
      <c r="E8245" s="42"/>
      <c r="F8245" s="48" t="str">
        <f>IFERROR(__xludf.DUMMYFUNCTION("""COMPUTED_VALUE"""),"")</f>
        <v/>
      </c>
      <c r="G8245" s="42" t="str">
        <f>IFERROR(__xludf.DUMMYFUNCTION("""COMPUTED_VALUE"""),"Balik nama")</f>
        <v>Balik nama</v>
      </c>
      <c r="H8245" s="42">
        <f t="shared" si="1"/>
        <v>3315</v>
      </c>
    </row>
    <row r="8246" ht="22.5" customHeight="1">
      <c r="B8246" s="42" t="str">
        <f>IFERROR(__xludf.DUMMYFUNCTION("""COMPUTED_VALUE"""),"ABMATCLU")</f>
        <v>ABMATCLU</v>
      </c>
      <c r="C8246" s="42" t="str">
        <f>IFERROR(__xludf.DUMMYFUNCTION("""COMPUTED_VALUE"""),"Nibel M. 1776/ketapang")</f>
        <v>Nibel M. 1776/ketapang</v>
      </c>
      <c r="D8246" s="42"/>
      <c r="E8246" s="42"/>
      <c r="F8246" s="48" t="str">
        <f>IFERROR(__xludf.DUMMYFUNCTION("""COMPUTED_VALUE"""),"")</f>
        <v/>
      </c>
      <c r="G8246" s="42" t="str">
        <f>IFERROR(__xludf.DUMMYFUNCTION("""COMPUTED_VALUE"""),"BN Jual beli")</f>
        <v>BN Jual beli</v>
      </c>
      <c r="H8246" s="42">
        <f t="shared" si="1"/>
        <v>3315</v>
      </c>
    </row>
    <row r="8247" ht="22.5" customHeight="1">
      <c r="B8247" s="42" t="str">
        <f>IFERROR(__xludf.DUMMYFUNCTION("""COMPUTED_VALUE"""),"ABXBFWEO/A067")</f>
        <v>ABXBFWEO/A067</v>
      </c>
      <c r="C8247" s="42" t="str">
        <f>IFERROR(__xludf.DUMMYFUNCTION("""COMPUTED_VALUE"""),"SHM Nibel 25746/ Kaliawi")</f>
        <v>SHM Nibel 25746/ Kaliawi</v>
      </c>
      <c r="D8247" s="42"/>
      <c r="E8247" s="42"/>
      <c r="F8247" s="48" t="str">
        <f>IFERROR(__xludf.DUMMYFUNCTION("""COMPUTED_VALUE"""),"")</f>
        <v/>
      </c>
      <c r="G8247" s="42" t="str">
        <f>IFERROR(__xludf.DUMMYFUNCTION("""COMPUTED_VALUE"""),"BN Waris")</f>
        <v>BN Waris</v>
      </c>
      <c r="H8247" s="42">
        <f t="shared" si="1"/>
        <v>3315</v>
      </c>
    </row>
    <row r="8248" ht="22.5" customHeight="1">
      <c r="B8248" s="42" t="str">
        <f>IFERROR(__xludf.DUMMYFUNCTION("""COMPUTED_VALUE"""),"ABQPPCYQ")</f>
        <v>ABQPPCYQ</v>
      </c>
      <c r="C8248" s="42" t="str">
        <f>IFERROR(__xludf.DUMMYFUNCTION("""COMPUTED_VALUE"""),"Nibel M. 1917/ketapang")</f>
        <v>Nibel M. 1917/ketapang</v>
      </c>
      <c r="D8248" s="42"/>
      <c r="E8248" s="42"/>
      <c r="F8248" s="48" t="str">
        <f>IFERROR(__xludf.DUMMYFUNCTION("""COMPUTED_VALUE"""),"")</f>
        <v/>
      </c>
      <c r="G8248" s="42" t="str">
        <f>IFERROR(__xludf.DUMMYFUNCTION("""COMPUTED_VALUE"""),"BN JUAL BELI")</f>
        <v>BN JUAL BELI</v>
      </c>
      <c r="H8248" s="42">
        <f t="shared" si="1"/>
        <v>3315</v>
      </c>
    </row>
    <row r="8249" ht="22.5" customHeight="1">
      <c r="B8249" s="42" t="str">
        <f>IFERROR(__xludf.DUMMYFUNCTION("""COMPUTED_VALUE"""),"ABKUPHGE")</f>
        <v>ABKUPHGE</v>
      </c>
      <c r="C8249" s="42" t="str">
        <f>IFERROR(__xludf.DUMMYFUNCTION("""COMPUTED_VALUE"""),"M. 312/ ketapang")</f>
        <v>M. 312/ ketapang</v>
      </c>
      <c r="D8249" s="42"/>
      <c r="E8249" s="42"/>
      <c r="F8249" s="48" t="str">
        <f>IFERROR(__xludf.DUMMYFUNCTION("""COMPUTED_VALUE"""),"")</f>
        <v/>
      </c>
      <c r="G8249" s="42" t="str">
        <f>IFERROR(__xludf.DUMMYFUNCTION("""COMPUTED_VALUE"""),"BN JUAL BELI")</f>
        <v>BN JUAL BELI</v>
      </c>
      <c r="H8249" s="42">
        <f t="shared" si="1"/>
        <v>3315</v>
      </c>
    </row>
    <row r="8250" ht="22.5" customHeight="1">
      <c r="B8250" s="42" t="str">
        <f>IFERROR(__xludf.DUMMYFUNCTION("""COMPUTED_VALUE"""),"ABUNVZMG")</f>
        <v>ABUNVZMG</v>
      </c>
      <c r="C8250" s="42" t="str">
        <f>IFERROR(__xludf.DUMMYFUNCTION("""COMPUTED_VALUE"""),"M. 2185/sukadana ham")</f>
        <v>M. 2185/sukadana ham</v>
      </c>
      <c r="D8250" s="42"/>
      <c r="E8250" s="42"/>
      <c r="F8250" s="48" t="str">
        <f>IFERROR(__xludf.DUMMYFUNCTION("""COMPUTED_VALUE"""),"")</f>
        <v/>
      </c>
      <c r="G8250" s="42" t="str">
        <f>IFERROR(__xludf.DUMMYFUNCTION("""COMPUTED_VALUE"""),"Balik nama waris")</f>
        <v>Balik nama waris</v>
      </c>
      <c r="H8250" s="42">
        <f t="shared" si="1"/>
        <v>3315</v>
      </c>
    </row>
    <row r="8251" ht="22.5" customHeight="1">
      <c r="B8251" s="42" t="str">
        <f>IFERROR(__xludf.DUMMYFUNCTION("""COMPUTED_VALUE"""),"ABVWPKOS")</f>
        <v>ABVWPKOS</v>
      </c>
      <c r="C8251" s="42" t="str">
        <f>IFERROR(__xludf.DUMMYFUNCTION("""COMPUTED_VALUE"""),"M. 587/Korpri Raya")</f>
        <v>M. 587/Korpri Raya</v>
      </c>
      <c r="D8251" s="42"/>
      <c r="E8251" s="42"/>
      <c r="F8251" s="48" t="str">
        <f>IFERROR(__xludf.DUMMYFUNCTION("""COMPUTED_VALUE"""),"")</f>
        <v/>
      </c>
      <c r="G8251" s="42" t="str">
        <f>IFERROR(__xludf.DUMMYFUNCTION("""COMPUTED_VALUE"""),"BN hibah")</f>
        <v>BN hibah</v>
      </c>
      <c r="H8251" s="42">
        <f t="shared" si="1"/>
        <v>3315</v>
      </c>
    </row>
    <row r="8252" ht="22.5" customHeight="1">
      <c r="B8252" s="42" t="str">
        <f>IFERROR(__xludf.DUMMYFUNCTION("""COMPUTED_VALUE"""),"K/43/101025/1")</f>
        <v>K/43/101025/1</v>
      </c>
      <c r="C8252" s="42" t="str">
        <f>IFERROR(__xludf.DUMMYFUNCTION("""COMPUTED_VALUE"""),"NIBEL M 19690/ RAJABASA")</f>
        <v>NIBEL M 19690/ RAJABASA</v>
      </c>
      <c r="D8252" s="42"/>
      <c r="E8252" s="42"/>
      <c r="F8252" s="48" t="str">
        <f>IFERROR(__xludf.DUMMYFUNCTION("""COMPUTED_VALUE"""),"")</f>
        <v/>
      </c>
      <c r="G8252" s="42" t="str">
        <f>IFERROR(__xludf.DUMMYFUNCTION("""COMPUTED_VALUE"""),"BN JUAL BELI")</f>
        <v>BN JUAL BELI</v>
      </c>
      <c r="H8252" s="42">
        <f t="shared" si="1"/>
        <v>3315</v>
      </c>
    </row>
    <row r="8253" ht="22.5" customHeight="1">
      <c r="B8253" s="42" t="str">
        <f>IFERROR(__xludf.DUMMYFUNCTION("""COMPUTED_VALUE"""),"K/44/101025/2")</f>
        <v>K/44/101025/2</v>
      </c>
      <c r="C8253" s="42" t="str">
        <f>IFERROR(__xludf.DUMMYFUNCTION("""COMPUTED_VALUE"""),"M 970/ KEDAUNG")</f>
        <v>M 970/ KEDAUNG</v>
      </c>
      <c r="D8253" s="42"/>
      <c r="E8253" s="42"/>
      <c r="F8253" s="48" t="str">
        <f>IFERROR(__xludf.DUMMYFUNCTION("""COMPUTED_VALUE"""),"")</f>
        <v/>
      </c>
      <c r="G8253" s="42" t="str">
        <f>IFERROR(__xludf.DUMMYFUNCTION("""COMPUTED_VALUE"""),"BN JUAL BELI")</f>
        <v>BN JUAL BELI</v>
      </c>
      <c r="H8253" s="42">
        <f t="shared" si="1"/>
        <v>3315</v>
      </c>
    </row>
    <row r="8254" ht="22.5" customHeight="1">
      <c r="B8254" s="42" t="str">
        <f>IFERROR(__xludf.DUMMYFUNCTION("""COMPUTED_VALUE"""),"ABZMUJGC")</f>
        <v>ABZMUJGC</v>
      </c>
      <c r="C8254" s="42" t="str">
        <f>IFERROR(__xludf.DUMMYFUNCTION("""COMPUTED_VALUE"""),"08.01.000016238.0 / sumur putri")</f>
        <v>08.01.000016238.0 / sumur putri</v>
      </c>
      <c r="D8254" s="42"/>
      <c r="E8254" s="42"/>
      <c r="F8254" s="48" t="str">
        <f>IFERROR(__xludf.DUMMYFUNCTION("""COMPUTED_VALUE"""),"")</f>
        <v/>
      </c>
      <c r="G8254" s="42" t="str">
        <f>IFERROR(__xludf.DUMMYFUNCTION("""COMPUTED_VALUE"""),"Peralihan hak")</f>
        <v>Peralihan hak</v>
      </c>
      <c r="H8254" s="42">
        <f t="shared" si="1"/>
        <v>3315</v>
      </c>
    </row>
    <row r="8255" ht="22.5" customHeight="1">
      <c r="B8255" s="42" t="str">
        <f>IFERROR(__xludf.DUMMYFUNCTION("""COMPUTED_VALUE"""),"ABRTEKLN")</f>
        <v>ABRTEKLN</v>
      </c>
      <c r="C8255" s="42" t="str">
        <f>IFERROR(__xludf.DUMMYFUNCTION("""COMPUTED_VALUE"""),"08.01.000016237.0 / sumur putri")</f>
        <v>08.01.000016237.0 / sumur putri</v>
      </c>
      <c r="D8255" s="42"/>
      <c r="E8255" s="42"/>
      <c r="F8255" s="48" t="str">
        <f>IFERROR(__xludf.DUMMYFUNCTION("""COMPUTED_VALUE"""),"")</f>
        <v/>
      </c>
      <c r="G8255" s="42" t="str">
        <f>IFERROR(__xludf.DUMMYFUNCTION("""COMPUTED_VALUE"""),"Peralihan hak")</f>
        <v>Peralihan hak</v>
      </c>
      <c r="H8255" s="42">
        <f t="shared" si="1"/>
        <v>3315</v>
      </c>
    </row>
    <row r="8256" ht="22.5" customHeight="1">
      <c r="B8256" s="42" t="str">
        <f>IFERROR(__xludf.DUMMYFUNCTION("""COMPUTED_VALUE"""),"ABFUVCIT")</f>
        <v>ABFUVCIT</v>
      </c>
      <c r="C8256" s="42" t="str">
        <f>IFERROR(__xludf.DUMMYFUNCTION("""COMPUTED_VALUE"""),"M. 1320/sumur batu")</f>
        <v>M. 1320/sumur batu</v>
      </c>
      <c r="D8256" s="42"/>
      <c r="E8256" s="42"/>
      <c r="F8256" s="48" t="str">
        <f>IFERROR(__xludf.DUMMYFUNCTION("""COMPUTED_VALUE"""),"")</f>
        <v/>
      </c>
      <c r="G8256" s="42" t="str">
        <f>IFERROR(__xludf.DUMMYFUNCTION("""COMPUTED_VALUE"""),"Peralihan hak")</f>
        <v>Peralihan hak</v>
      </c>
      <c r="H8256" s="42">
        <f t="shared" si="1"/>
        <v>3315</v>
      </c>
    </row>
    <row r="8257" ht="22.5" customHeight="1">
      <c r="B8257" s="42" t="str">
        <f>IFERROR(__xludf.DUMMYFUNCTION("""COMPUTED_VALUE"""),"ABBXQMIZ/1")</f>
        <v>ABBXQMIZ/1</v>
      </c>
      <c r="C8257" s="42" t="str">
        <f>IFERROR(__xludf.DUMMYFUNCTION("""COMPUTED_VALUE"""),"M.172/kebun jeruk")</f>
        <v>M.172/kebun jeruk</v>
      </c>
      <c r="D8257" s="42"/>
      <c r="E8257" s="42"/>
      <c r="F8257" s="48" t="str">
        <f>IFERROR(__xludf.DUMMYFUNCTION("""COMPUTED_VALUE"""),"")</f>
        <v/>
      </c>
      <c r="G8257" s="42" t="str">
        <f>IFERROR(__xludf.DUMMYFUNCTION("""COMPUTED_VALUE"""),"Balik nama waris")</f>
        <v>Balik nama waris</v>
      </c>
      <c r="H8257" s="42">
        <f t="shared" si="1"/>
        <v>3315</v>
      </c>
    </row>
    <row r="8258" ht="22.5" customHeight="1">
      <c r="B8258" s="42" t="str">
        <f>IFERROR(__xludf.DUMMYFUNCTION("""COMPUTED_VALUE"""),"ABRTEKLN/1")</f>
        <v>ABRTEKLN/1</v>
      </c>
      <c r="C8258" s="42" t="str">
        <f>IFERROR(__xludf.DUMMYFUNCTION("""COMPUTED_VALUE"""),"B NIB.08.01.000016237.0 / sumur putri")</f>
        <v>B NIB.08.01.000016237.0 / sumur putri</v>
      </c>
      <c r="D8258" s="42"/>
      <c r="E8258" s="42"/>
      <c r="F8258" s="48" t="str">
        <f>IFERROR(__xludf.DUMMYFUNCTION("""COMPUTED_VALUE"""),"")</f>
        <v/>
      </c>
      <c r="G8258" s="42" t="str">
        <f>IFERROR(__xludf.DUMMYFUNCTION("""COMPUTED_VALUE"""),"Peralihan hak")</f>
        <v>Peralihan hak</v>
      </c>
      <c r="H8258" s="42">
        <f t="shared" si="1"/>
        <v>3315</v>
      </c>
    </row>
    <row r="8259" ht="22.5" customHeight="1">
      <c r="B8259" s="42" t="str">
        <f>IFERROR(__xludf.DUMMYFUNCTION("""COMPUTED_VALUE"""),"ABZMUJGC/1")</f>
        <v>ABZMUJGC/1</v>
      </c>
      <c r="C8259" s="42" t="str">
        <f>IFERROR(__xludf.DUMMYFUNCTION("""COMPUTED_VALUE"""),"B NIB.08.01.000016238.0 / SUMUR PUTRI")</f>
        <v>B NIB.08.01.000016238.0 / SUMUR PUTRI</v>
      </c>
      <c r="D8259" s="42"/>
      <c r="E8259" s="42"/>
      <c r="F8259" s="48" t="str">
        <f>IFERROR(__xludf.DUMMYFUNCTION("""COMPUTED_VALUE"""),"")</f>
        <v/>
      </c>
      <c r="G8259" s="42" t="str">
        <f>IFERROR(__xludf.DUMMYFUNCTION("""COMPUTED_VALUE"""),"Peralihan hak")</f>
        <v>Peralihan hak</v>
      </c>
      <c r="H8259" s="42">
        <f t="shared" si="1"/>
        <v>3315</v>
      </c>
    </row>
    <row r="8260" ht="22.5" customHeight="1">
      <c r="B8260" s="42" t="str">
        <f>IFERROR(__xludf.DUMMYFUNCTION("""COMPUTED_VALUE"""),"ABVPTJDC")</f>
        <v>ABVPTJDC</v>
      </c>
      <c r="C8260" s="42" t="str">
        <f>IFERROR(__xludf.DUMMYFUNCTION("""COMPUTED_VALUE"""),"SHM Nibel 16662")</f>
        <v>SHM Nibel 16662</v>
      </c>
      <c r="D8260" s="42"/>
      <c r="E8260" s="42"/>
      <c r="F8260" s="48" t="str">
        <f>IFERROR(__xludf.DUMMYFUNCTION("""COMPUTED_VALUE"""),"")</f>
        <v/>
      </c>
      <c r="G8260" s="42" t="str">
        <f>IFERROR(__xludf.DUMMYFUNCTION("""COMPUTED_VALUE"""),"Balik Nama")</f>
        <v>Balik Nama</v>
      </c>
      <c r="H8260" s="42">
        <f t="shared" si="1"/>
        <v>3315</v>
      </c>
    </row>
    <row r="8261" ht="22.5" customHeight="1">
      <c r="B8261" s="42" t="str">
        <f>IFERROR(__xludf.DUMMYFUNCTION("""COMPUTED_VALUE"""),"ABGJPTGO")</f>
        <v>ABGJPTGO</v>
      </c>
      <c r="C8261" s="42" t="str">
        <f>IFERROR(__xludf.DUMMYFUNCTION("""COMPUTED_VALUE"""),"M 5774/ TANJUNG SENANG")</f>
        <v>M 5774/ TANJUNG SENANG</v>
      </c>
      <c r="D8261" s="42"/>
      <c r="E8261" s="42"/>
      <c r="F8261" s="48" t="str">
        <f>IFERROR(__xludf.DUMMYFUNCTION("""COMPUTED_VALUE"""),"")</f>
        <v/>
      </c>
      <c r="G8261" s="42" t="str">
        <f>IFERROR(__xludf.DUMMYFUNCTION("""COMPUTED_VALUE"""),"Balik Nama")</f>
        <v>Balik Nama</v>
      </c>
      <c r="H8261" s="42">
        <f t="shared" si="1"/>
        <v>3315</v>
      </c>
    </row>
    <row r="8262" ht="22.5" customHeight="1">
      <c r="B8262" s="42" t="str">
        <f>IFERROR(__xludf.DUMMYFUNCTION("""COMPUTED_VALUE"""),"ABLMVTWO")</f>
        <v>ABLMVTWO</v>
      </c>
      <c r="C8262" s="42" t="str">
        <f>IFERROR(__xludf.DUMMYFUNCTION("""COMPUTED_VALUE"""),"M 7954/ KETEGUHAN")</f>
        <v>M 7954/ KETEGUHAN</v>
      </c>
      <c r="D8262" s="42"/>
      <c r="E8262" s="42"/>
      <c r="F8262" s="48" t="str">
        <f>IFERROR(__xludf.DUMMYFUNCTION("""COMPUTED_VALUE"""),"")</f>
        <v/>
      </c>
      <c r="G8262" s="42" t="str">
        <f>IFERROR(__xludf.DUMMYFUNCTION("""COMPUTED_VALUE"""),"Balik Nama")</f>
        <v>Balik Nama</v>
      </c>
      <c r="H8262" s="42">
        <f t="shared" si="1"/>
        <v>3315</v>
      </c>
    </row>
    <row r="8263" ht="22.5" customHeight="1">
      <c r="B8263" s="42" t="str">
        <f>IFERROR(__xludf.DUMMYFUNCTION("""COMPUTED_VALUE"""),"K/1/141025/1")</f>
        <v>K/1/141025/1</v>
      </c>
      <c r="C8263" s="42" t="str">
        <f>IFERROR(__xludf.DUMMYFUNCTION("""COMPUTED_VALUE"""),"M. 1578/CAMPANG JAYA")</f>
        <v>M. 1578/CAMPANG JAYA</v>
      </c>
      <c r="D8263" s="42"/>
      <c r="E8263" s="42"/>
      <c r="F8263" s="48" t="str">
        <f>IFERROR(__xludf.DUMMYFUNCTION("""COMPUTED_VALUE"""),"")</f>
        <v/>
      </c>
      <c r="G8263" s="42" t="str">
        <f>IFERROR(__xludf.DUMMYFUNCTION("""COMPUTED_VALUE"""),"BN WARIS")</f>
        <v>BN WARIS</v>
      </c>
      <c r="H8263" s="42">
        <f t="shared" si="1"/>
        <v>3315</v>
      </c>
    </row>
    <row r="8264" ht="22.5" customHeight="1">
      <c r="B8264" s="42" t="str">
        <f>IFERROR(__xludf.DUMMYFUNCTION("""COMPUTED_VALUE"""),"K/2/141025/1")</f>
        <v>K/2/141025/1</v>
      </c>
      <c r="C8264" s="42" t="str">
        <f>IFERROR(__xludf.DUMMYFUNCTION("""COMPUTED_VALUE"""),"M.1240/KANGKUNG")</f>
        <v>M.1240/KANGKUNG</v>
      </c>
      <c r="D8264" s="42"/>
      <c r="E8264" s="42"/>
      <c r="F8264" s="48" t="str">
        <f>IFERROR(__xludf.DUMMYFUNCTION("""COMPUTED_VALUE"""),"")</f>
        <v/>
      </c>
      <c r="G8264" s="42" t="str">
        <f>IFERROR(__xludf.DUMMYFUNCTION("""COMPUTED_VALUE"""),"SKPT LELANG")</f>
        <v>SKPT LELANG</v>
      </c>
      <c r="H8264" s="42">
        <f t="shared" si="1"/>
        <v>3315</v>
      </c>
    </row>
    <row r="8265" ht="22.5" customHeight="1">
      <c r="B8265" s="42" t="str">
        <f>IFERROR(__xludf.DUMMYFUNCTION("""COMPUTED_VALUE"""),"ABNJXKFR")</f>
        <v>ABNJXKFR</v>
      </c>
      <c r="C8265" s="42" t="str">
        <f>IFERROR(__xludf.DUMMYFUNCTION("""COMPUTED_VALUE"""),"705/TJS")</f>
        <v>705/TJS</v>
      </c>
      <c r="D8265" s="42"/>
      <c r="E8265" s="42"/>
      <c r="F8265" s="48" t="str">
        <f>IFERROR(__xludf.DUMMYFUNCTION("""COMPUTED_VALUE"""),"")</f>
        <v/>
      </c>
      <c r="G8265" s="42" t="str">
        <f>IFERROR(__xludf.DUMMYFUNCTION("""COMPUTED_VALUE"""),"PENINGKATAN HAK")</f>
        <v>PENINGKATAN HAK</v>
      </c>
      <c r="H8265" s="42">
        <f t="shared" si="1"/>
        <v>3315</v>
      </c>
    </row>
    <row r="8266" ht="22.5" customHeight="1">
      <c r="B8266" s="42" t="str">
        <f>IFERROR(__xludf.DUMMYFUNCTION("""COMPUTED_VALUE"""),"K/3/141025/2")</f>
        <v>K/3/141025/2</v>
      </c>
      <c r="C8266" s="42" t="str">
        <f>IFERROR(__xludf.DUMMYFUNCTION("""COMPUTED_VALUE"""),"M. 1239/KANGKUNG")</f>
        <v>M. 1239/KANGKUNG</v>
      </c>
      <c r="D8266" s="42"/>
      <c r="E8266" s="42"/>
      <c r="F8266" s="48" t="str">
        <f>IFERROR(__xludf.DUMMYFUNCTION("""COMPUTED_VALUE"""),"")</f>
        <v/>
      </c>
      <c r="G8266" s="42" t="str">
        <f>IFERROR(__xludf.DUMMYFUNCTION("""COMPUTED_VALUE"""),"SKPT LELANG")</f>
        <v>SKPT LELANG</v>
      </c>
      <c r="H8266" s="42">
        <f t="shared" si="1"/>
        <v>3315</v>
      </c>
    </row>
    <row r="8267" ht="22.5" customHeight="1">
      <c r="B8267" s="42" t="str">
        <f>IFERROR(__xludf.DUMMYFUNCTION("""COMPUTED_VALUE"""),"L/4/141025/1")</f>
        <v>L/4/141025/1</v>
      </c>
      <c r="C8267" s="42" t="str">
        <f>IFERROR(__xludf.DUMMYFUNCTION("""COMPUTED_VALUE"""),"M. 2047/PANJANG SELATAN")</f>
        <v>M. 2047/PANJANG SELATAN</v>
      </c>
      <c r="D8267" s="42"/>
      <c r="E8267" s="42"/>
      <c r="F8267" s="48" t="str">
        <f>IFERROR(__xludf.DUMMYFUNCTION("""COMPUTED_VALUE"""),"")</f>
        <v/>
      </c>
      <c r="G8267" s="42" t="str">
        <f>IFERROR(__xludf.DUMMYFUNCTION("""COMPUTED_VALUE"""),"SKPT INFORMASI")</f>
        <v>SKPT INFORMASI</v>
      </c>
      <c r="H8267" s="42">
        <f t="shared" si="1"/>
        <v>3315</v>
      </c>
    </row>
    <row r="8268" ht="22.5" customHeight="1">
      <c r="B8268" s="42" t="str">
        <f>IFERROR(__xludf.DUMMYFUNCTION("""COMPUTED_VALUE"""),"K/5/141025/1")</f>
        <v>K/5/141025/1</v>
      </c>
      <c r="C8268" s="42" t="str">
        <f>IFERROR(__xludf.DUMMYFUNCTION("""COMPUTED_VALUE"""),"KORPRI JAYA")</f>
        <v>KORPRI JAYA</v>
      </c>
      <c r="D8268" s="42"/>
      <c r="E8268" s="42"/>
      <c r="F8268" s="48" t="str">
        <f>IFERROR(__xludf.DUMMYFUNCTION("""COMPUTED_VALUE"""),"")</f>
        <v/>
      </c>
      <c r="G8268" s="42" t="str">
        <f>IFERROR(__xludf.DUMMYFUNCTION("""COMPUTED_VALUE"""),"PENGUKURAN PERTAMA KALI")</f>
        <v>PENGUKURAN PERTAMA KALI</v>
      </c>
      <c r="H8268" s="42">
        <f t="shared" si="1"/>
        <v>3315</v>
      </c>
    </row>
    <row r="8269" ht="22.5" customHeight="1">
      <c r="B8269" s="42" t="str">
        <f>IFERROR(__xludf.DUMMYFUNCTION("""COMPUTED_VALUE"""),"ABGKTZDX")</f>
        <v>ABGKTZDX</v>
      </c>
      <c r="C8269" s="42" t="str">
        <f>IFERROR(__xludf.DUMMYFUNCTION("""COMPUTED_VALUE"""),"SHM 467/Rl")</f>
        <v>SHM 467/Rl</v>
      </c>
      <c r="D8269" s="42"/>
      <c r="E8269" s="42"/>
      <c r="F8269" s="48" t="str">
        <f>IFERROR(__xludf.DUMMYFUNCTION("""COMPUTED_VALUE"""),"")</f>
        <v/>
      </c>
      <c r="G8269" s="42" t="str">
        <f>IFERROR(__xludf.DUMMYFUNCTION("""COMPUTED_VALUE"""),"BN WARIS")</f>
        <v>BN WARIS</v>
      </c>
      <c r="H8269" s="42">
        <f t="shared" si="1"/>
        <v>3315</v>
      </c>
    </row>
    <row r="8270" ht="22.5" customHeight="1">
      <c r="B8270" s="42" t="str">
        <f>IFERROR(__xludf.DUMMYFUNCTION("""COMPUTED_VALUE"""),"ABVQSHFF/AB051")</f>
        <v>ABVQSHFF/AB051</v>
      </c>
      <c r="C8270" s="42" t="str">
        <f>IFERROR(__xludf.DUMMYFUNCTION("""COMPUTED_VALUE"""),"m. 1433/Pesawahan")</f>
        <v>m. 1433/Pesawahan</v>
      </c>
      <c r="D8270" s="42"/>
      <c r="E8270" s="42"/>
      <c r="F8270" s="48" t="str">
        <f>IFERROR(__xludf.DUMMYFUNCTION("""COMPUTED_VALUE"""),"")</f>
        <v/>
      </c>
      <c r="G8270" s="42" t="str">
        <f>IFERROR(__xludf.DUMMYFUNCTION("""COMPUTED_VALUE"""),"notaris/ppat")</f>
        <v>notaris/ppat</v>
      </c>
      <c r="H8270" s="42">
        <f t="shared" si="1"/>
        <v>3315</v>
      </c>
    </row>
    <row r="8271" ht="22.5" customHeight="1">
      <c r="B8271" s="42" t="str">
        <f>IFERROR(__xludf.DUMMYFUNCTION("""COMPUTED_VALUE"""),"K/7/141025/1")</f>
        <v>K/7/141025/1</v>
      </c>
      <c r="C8271" s="42" t="str">
        <f>IFERROR(__xludf.DUMMYFUNCTION("""COMPUTED_VALUE"""),"NIBEL B. 23064/SUKABUMI")</f>
        <v>NIBEL B. 23064/SUKABUMI</v>
      </c>
      <c r="D8271" s="42"/>
      <c r="E8271" s="42"/>
      <c r="F8271" s="48" t="str">
        <f>IFERROR(__xludf.DUMMYFUNCTION("""COMPUTED_VALUE"""),"")</f>
        <v/>
      </c>
      <c r="G8271" s="42" t="str">
        <f>IFERROR(__xludf.DUMMYFUNCTION("""COMPUTED_VALUE"""),"SKPT LELANG")</f>
        <v>SKPT LELANG</v>
      </c>
      <c r="H8271" s="42">
        <f t="shared" si="1"/>
        <v>3315</v>
      </c>
    </row>
    <row r="8272" ht="22.5" customHeight="1">
      <c r="B8272" s="42" t="str">
        <f>IFERROR(__xludf.DUMMYFUNCTION("""COMPUTED_VALUE"""),"K/8/141025/2")</f>
        <v>K/8/141025/2</v>
      </c>
      <c r="C8272" s="42" t="str">
        <f>IFERROR(__xludf.DUMMYFUNCTION("""COMPUTED_VALUE"""),"NIBEL B. 22945/SUKABUMI")</f>
        <v>NIBEL B. 22945/SUKABUMI</v>
      </c>
      <c r="D8272" s="42"/>
      <c r="E8272" s="42"/>
      <c r="F8272" s="48" t="str">
        <f>IFERROR(__xludf.DUMMYFUNCTION("""COMPUTED_VALUE"""),"")</f>
        <v/>
      </c>
      <c r="G8272" s="42" t="str">
        <f>IFERROR(__xludf.DUMMYFUNCTION("""COMPUTED_VALUE"""),"SKPT LELANG")</f>
        <v>SKPT LELANG</v>
      </c>
      <c r="H8272" s="42">
        <f t="shared" si="1"/>
        <v>3315</v>
      </c>
    </row>
    <row r="8273" ht="22.5" customHeight="1">
      <c r="B8273" s="42" t="str">
        <f>IFERROR(__xludf.DUMMYFUNCTION("""COMPUTED_VALUE"""),"K/9/141025/3")</f>
        <v>K/9/141025/3</v>
      </c>
      <c r="C8273" s="42" t="str">
        <f>IFERROR(__xludf.DUMMYFUNCTION("""COMPUTED_VALUE"""),"NIBEL B. 22944/SUKABUMI")</f>
        <v>NIBEL B. 22944/SUKABUMI</v>
      </c>
      <c r="D8273" s="42"/>
      <c r="E8273" s="42"/>
      <c r="F8273" s="48" t="str">
        <f>IFERROR(__xludf.DUMMYFUNCTION("""COMPUTED_VALUE"""),"")</f>
        <v/>
      </c>
      <c r="G8273" s="42" t="str">
        <f>IFERROR(__xludf.DUMMYFUNCTION("""COMPUTED_VALUE"""),"SKPT LELANG")</f>
        <v>SKPT LELANG</v>
      </c>
      <c r="H8273" s="42">
        <f t="shared" si="1"/>
        <v>3315</v>
      </c>
    </row>
    <row r="8274" ht="22.5" customHeight="1">
      <c r="B8274" s="42" t="str">
        <f>IFERROR(__xludf.DUMMYFUNCTION("""COMPUTED_VALUE"""),"K/10/141025/4")</f>
        <v>K/10/141025/4</v>
      </c>
      <c r="C8274" s="42" t="str">
        <f>IFERROR(__xludf.DUMMYFUNCTION("""COMPUTED_VALUE"""),"NIBEL B.23091/SUKABUMI")</f>
        <v>NIBEL B.23091/SUKABUMI</v>
      </c>
      <c r="D8274" s="42"/>
      <c r="E8274" s="42"/>
      <c r="F8274" s="48" t="str">
        <f>IFERROR(__xludf.DUMMYFUNCTION("""COMPUTED_VALUE"""),"")</f>
        <v/>
      </c>
      <c r="G8274" s="42" t="str">
        <f>IFERROR(__xludf.DUMMYFUNCTION("""COMPUTED_VALUE"""),"SKPT LELANG")</f>
        <v>SKPT LELANG</v>
      </c>
      <c r="H8274" s="42">
        <f t="shared" si="1"/>
        <v>3315</v>
      </c>
    </row>
    <row r="8275" ht="22.5" customHeight="1">
      <c r="B8275" s="42" t="str">
        <f>IFERROR(__xludf.DUMMYFUNCTION("""COMPUTED_VALUE"""),"ABVUTYLC/AB026")</f>
        <v>ABVUTYLC/AB026</v>
      </c>
      <c r="C8275" s="42" t="str">
        <f>IFERROR(__xludf.DUMMYFUNCTION("""COMPUTED_VALUE"""),"13306/Segala mider")</f>
        <v>13306/Segala mider</v>
      </c>
      <c r="D8275" s="42"/>
      <c r="E8275" s="42"/>
      <c r="F8275" s="48" t="str">
        <f>IFERROR(__xludf.DUMMYFUNCTION("""COMPUTED_VALUE"""),"")</f>
        <v/>
      </c>
      <c r="G8275" s="42" t="str">
        <f>IFERROR(__xludf.DUMMYFUNCTION("""COMPUTED_VALUE"""),"Balik nama jual beli ")</f>
        <v>Balik nama jual beli </v>
      </c>
      <c r="H8275" s="42">
        <f t="shared" si="1"/>
        <v>3315</v>
      </c>
    </row>
    <row r="8276" ht="22.5" customHeight="1">
      <c r="B8276" s="42" t="str">
        <f>IFERROR(__xludf.DUMMYFUNCTION("""COMPUTED_VALUE"""),"L/6/141025/1")</f>
        <v>L/6/141025/1</v>
      </c>
      <c r="C8276" s="42" t="str">
        <f>IFERROR(__xludf.DUMMYFUNCTION("""COMPUTED_VALUE"""),"M. 1557/KALI BALAU KENCANA")</f>
        <v>M. 1557/KALI BALAU KENCANA</v>
      </c>
      <c r="D8276" s="42"/>
      <c r="E8276" s="42"/>
      <c r="F8276" s="48" t="str">
        <f>IFERROR(__xludf.DUMMYFUNCTION("""COMPUTED_VALUE"""),"")</f>
        <v/>
      </c>
      <c r="G8276" s="42" t="str">
        <f>IFERROR(__xludf.DUMMYFUNCTION("""COMPUTED_VALUE"""),"PEMECAHAN")</f>
        <v>PEMECAHAN</v>
      </c>
      <c r="H8276" s="42">
        <f t="shared" si="1"/>
        <v>3315</v>
      </c>
    </row>
    <row r="8277" ht="22.5" customHeight="1">
      <c r="B8277" s="42" t="str">
        <f>IFERROR(__xludf.DUMMYFUNCTION("""COMPUTED_VALUE"""),"L/12/141025/1")</f>
        <v>L/12/141025/1</v>
      </c>
      <c r="C8277" s="42" t="str">
        <f>IFERROR(__xludf.DUMMYFUNCTION("""COMPUTED_VALUE"""),"KEL KEMILING RAYA PBT NO 130/2025")</f>
        <v>KEL KEMILING RAYA PBT NO 130/2025</v>
      </c>
      <c r="D8277" s="42"/>
      <c r="E8277" s="42"/>
      <c r="F8277" s="48" t="str">
        <f>IFERROR(__xludf.DUMMYFUNCTION("""COMPUTED_VALUE"""),"")</f>
        <v/>
      </c>
      <c r="G8277" s="42" t="str">
        <f>IFERROR(__xludf.DUMMYFUNCTION("""COMPUTED_VALUE"""),"PERMOHONAN SK TANAH MENTAH")</f>
        <v>PERMOHONAN SK TANAH MENTAH</v>
      </c>
      <c r="H8277" s="42">
        <f t="shared" si="1"/>
        <v>3315</v>
      </c>
    </row>
    <row r="8278" ht="22.5" customHeight="1">
      <c r="B8278" s="42" t="str">
        <f>IFERROR(__xludf.DUMMYFUNCTION("""COMPUTED_VALUE""")," ABYZWYWZ")</f>
        <v> ABYZWYWZ</v>
      </c>
      <c r="C8278" s="42" t="str">
        <f>IFERROR(__xludf.DUMMYFUNCTION("""COMPUTED_VALUE"""),"SHGB NIB EL 08010000230320")</f>
        <v>SHGB NIB EL 08010000230320</v>
      </c>
      <c r="D8278" s="42"/>
      <c r="E8278" s="42"/>
      <c r="F8278" s="48" t="str">
        <f>IFERROR(__xludf.DUMMYFUNCTION("""COMPUTED_VALUE"""),"")</f>
        <v/>
      </c>
      <c r="G8278" s="42" t="str">
        <f>IFERROR(__xludf.DUMMYFUNCTION("""COMPUTED_VALUE"""),"Balik nama jual beli ")</f>
        <v>Balik nama jual beli </v>
      </c>
      <c r="H8278" s="42">
        <f t="shared" si="1"/>
        <v>3315</v>
      </c>
    </row>
    <row r="8279" ht="22.5" customHeight="1">
      <c r="B8279" s="42" t="str">
        <f>IFERROR(__xludf.DUMMYFUNCTION("""COMPUTED_VALUE"""),"K/11/141025/5")</f>
        <v>K/11/141025/5</v>
      </c>
      <c r="C8279" s="42" t="str">
        <f>IFERROR(__xludf.DUMMYFUNCTION("""COMPUTED_VALUE"""),"NIBEL B.23069/SUKABUMI")</f>
        <v>NIBEL B.23069/SUKABUMI</v>
      </c>
      <c r="D8279" s="42"/>
      <c r="E8279" s="42"/>
      <c r="F8279" s="48" t="str">
        <f>IFERROR(__xludf.DUMMYFUNCTION("""COMPUTED_VALUE"""),"")</f>
        <v/>
      </c>
      <c r="G8279" s="42" t="str">
        <f>IFERROR(__xludf.DUMMYFUNCTION("""COMPUTED_VALUE"""),"SKPT LELANG")</f>
        <v>SKPT LELANG</v>
      </c>
      <c r="H8279" s="42">
        <f t="shared" si="1"/>
        <v>3315</v>
      </c>
    </row>
    <row r="8280" ht="22.5" customHeight="1">
      <c r="B8280" s="42" t="str">
        <f>IFERROR(__xludf.DUMMYFUNCTION("""COMPUTED_VALUE"""),"K/13/141025/1")</f>
        <v>K/13/141025/1</v>
      </c>
      <c r="C8280" s="42" t="str">
        <f>IFERROR(__xludf.DUMMYFUNCTION("""COMPUTED_VALUE"""),"SUKABUMI INDAH")</f>
        <v>SUKABUMI INDAH</v>
      </c>
      <c r="D8280" s="42"/>
      <c r="E8280" s="42"/>
      <c r="F8280" s="48" t="str">
        <f>IFERROR(__xludf.DUMMYFUNCTION("""COMPUTED_VALUE"""),"")</f>
        <v/>
      </c>
      <c r="G8280" s="42" t="str">
        <f>IFERROR(__xludf.DUMMYFUNCTION("""COMPUTED_VALUE"""),"PENGUKURAN PERTAMA KALI")</f>
        <v>PENGUKURAN PERTAMA KALI</v>
      </c>
      <c r="H8280" s="42">
        <f t="shared" si="1"/>
        <v>3315</v>
      </c>
    </row>
    <row r="8281" ht="22.5" customHeight="1">
      <c r="B8281" s="42" t="str">
        <f>IFERROR(__xludf.DUMMYFUNCTION("""COMPUTED_VALUE"""),"ABGCHTKV/AB061")</f>
        <v>ABGCHTKV/AB061</v>
      </c>
      <c r="C8281" s="42" t="str">
        <f>IFERROR(__xludf.DUMMYFUNCTION("""COMPUTED_VALUE"""),"M. 618/Batu Putuk")</f>
        <v>M. 618/Batu Putuk</v>
      </c>
      <c r="D8281" s="42"/>
      <c r="E8281" s="42"/>
      <c r="F8281" s="48" t="str">
        <f>IFERROR(__xludf.DUMMYFUNCTION("""COMPUTED_VALUE"""),"")</f>
        <v/>
      </c>
      <c r="G8281" s="42" t="str">
        <f>IFERROR(__xludf.DUMMYFUNCTION("""COMPUTED_VALUE"""),"AJB Balik Nama")</f>
        <v>AJB Balik Nama</v>
      </c>
      <c r="H8281" s="42">
        <f t="shared" si="1"/>
        <v>3315</v>
      </c>
    </row>
    <row r="8282" ht="22.5" customHeight="1">
      <c r="B8282" s="42" t="str">
        <f>IFERROR(__xludf.DUMMYFUNCTION("""COMPUTED_VALUE"""),"ABHSKGOS")</f>
        <v>ABHSKGOS</v>
      </c>
      <c r="C8282" s="42" t="str">
        <f>IFERROR(__xludf.DUMMYFUNCTION("""COMPUTED_VALUE"""),"Nibel M22473/ LABUHAN RATU RAYA")</f>
        <v>Nibel M22473/ LABUHAN RATU RAYA</v>
      </c>
      <c r="D8282" s="42"/>
      <c r="E8282" s="42"/>
      <c r="F8282" s="48" t="str">
        <f>IFERROR(__xludf.DUMMYFUNCTION("""COMPUTED_VALUE"""),"")</f>
        <v/>
      </c>
      <c r="G8282" s="42" t="str">
        <f>IFERROR(__xludf.DUMMYFUNCTION("""COMPUTED_VALUE"""),"BN jual beli")</f>
        <v>BN jual beli</v>
      </c>
      <c r="H8282" s="42">
        <f t="shared" si="1"/>
        <v>3315</v>
      </c>
    </row>
    <row r="8283" ht="22.5" customHeight="1">
      <c r="B8283" s="42" t="str">
        <f>IFERROR(__xludf.DUMMYFUNCTION("""COMPUTED_VALUE"""),"ABYBHWNP/AB056")</f>
        <v>ABYBHWNP/AB056</v>
      </c>
      <c r="C8283" s="42" t="str">
        <f>IFERROR(__xludf.DUMMYFUNCTION("""COMPUTED_VALUE"""),"M. 1017/campang jaya")</f>
        <v>M. 1017/campang jaya</v>
      </c>
      <c r="D8283" s="42"/>
      <c r="E8283" s="42"/>
      <c r="F8283" s="48" t="str">
        <f>IFERROR(__xludf.DUMMYFUNCTION("""COMPUTED_VALUE"""),"")</f>
        <v/>
      </c>
      <c r="G8283" s="42" t="str">
        <f>IFERROR(__xludf.DUMMYFUNCTION("""COMPUTED_VALUE"""),"Ptpgt")</f>
        <v>Ptpgt</v>
      </c>
      <c r="H8283" s="42">
        <f t="shared" si="1"/>
        <v>3315</v>
      </c>
    </row>
    <row r="8284" ht="22.5" customHeight="1">
      <c r="B8284" s="42" t="str">
        <f>IFERROR(__xludf.DUMMYFUNCTION("""COMPUTED_VALUE"""),"ABATVPXD")</f>
        <v>ABATVPXD</v>
      </c>
      <c r="C8284" s="42" t="str">
        <f>IFERROR(__xludf.DUMMYFUNCTION("""COMPUTED_VALUE"""),"M.05164/Rajabasa jaya")</f>
        <v>M.05164/Rajabasa jaya</v>
      </c>
      <c r="D8284" s="42"/>
      <c r="E8284" s="42"/>
      <c r="F8284" s="48" t="str">
        <f>IFERROR(__xludf.DUMMYFUNCTION("""COMPUTED_VALUE"""),"")</f>
        <v/>
      </c>
      <c r="G8284" s="42" t="str">
        <f>IFERROR(__xludf.DUMMYFUNCTION("""COMPUTED_VALUE"""),"BN jual beli")</f>
        <v>BN jual beli</v>
      </c>
      <c r="H8284" s="42">
        <f t="shared" si="1"/>
        <v>3315</v>
      </c>
    </row>
    <row r="8285" ht="22.5" customHeight="1">
      <c r="B8285" s="42" t="str">
        <f>IFERROR(__xludf.DUMMYFUNCTION("""COMPUTED_VALUE"""),"ABBQXLQD")</f>
        <v>ABBQXLQD</v>
      </c>
      <c r="C8285" s="42" t="str">
        <f>IFERROR(__xludf.DUMMYFUNCTION("""COMPUTED_VALUE"""),"Nibel M10227")</f>
        <v>Nibel M10227</v>
      </c>
      <c r="D8285" s="42"/>
      <c r="E8285" s="42"/>
      <c r="F8285" s="48" t="str">
        <f>IFERROR(__xludf.DUMMYFUNCTION("""COMPUTED_VALUE"""),"")</f>
        <v/>
      </c>
      <c r="G8285" s="42" t="str">
        <f>IFERROR(__xludf.DUMMYFUNCTION("""COMPUTED_VALUE"""),"BN balik nama")</f>
        <v>BN balik nama</v>
      </c>
      <c r="H8285" s="42">
        <f t="shared" si="1"/>
        <v>3315</v>
      </c>
    </row>
    <row r="8286" ht="22.5" customHeight="1">
      <c r="B8286" s="42" t="str">
        <f>IFERROR(__xludf.DUMMYFUNCTION("""COMPUTED_VALUE"""),"K/14/141025/1")</f>
        <v>K/14/141025/1</v>
      </c>
      <c r="C8286" s="42" t="str">
        <f>IFERROR(__xludf.DUMMYFUNCTION("""COMPUTED_VALUE"""),"B. 2001/SUKARAME")</f>
        <v>B. 2001/SUKARAME</v>
      </c>
      <c r="D8286" s="42"/>
      <c r="E8286" s="42"/>
      <c r="F8286" s="48" t="str">
        <f>IFERROR(__xludf.DUMMYFUNCTION("""COMPUTED_VALUE"""),"")</f>
        <v/>
      </c>
      <c r="G8286" s="42" t="str">
        <f>IFERROR(__xludf.DUMMYFUNCTION("""COMPUTED_VALUE"""),"PENINGKATAN HAK")</f>
        <v>PENINGKATAN HAK</v>
      </c>
      <c r="H8286" s="42">
        <f t="shared" si="1"/>
        <v>3315</v>
      </c>
    </row>
    <row r="8287" ht="22.5" customHeight="1">
      <c r="B8287" s="42" t="str">
        <f>IFERROR(__xludf.DUMMYFUNCTION("""COMPUTED_VALUE"""),"L/12/141025/1")</f>
        <v>L/12/141025/1</v>
      </c>
      <c r="C8287" s="42" t="str">
        <f>IFERROR(__xludf.DUMMYFUNCTION("""COMPUTED_VALUE"""),"KEL. KEMILING RAYA, PBT 130/2025")</f>
        <v>KEL. KEMILING RAYA, PBT 130/2025</v>
      </c>
      <c r="D8287" s="42"/>
      <c r="E8287" s="42"/>
      <c r="F8287" s="48" t="str">
        <f>IFERROR(__xludf.DUMMYFUNCTION("""COMPUTED_VALUE"""),"")</f>
        <v/>
      </c>
      <c r="G8287" s="42" t="str">
        <f>IFERROR(__xludf.DUMMYFUNCTION("""COMPUTED_VALUE"""),"PERMOHONAN SK")</f>
        <v>PERMOHONAN SK</v>
      </c>
      <c r="H8287" s="42">
        <f t="shared" si="1"/>
        <v>3315</v>
      </c>
    </row>
    <row r="8288" ht="22.5" customHeight="1">
      <c r="B8288" s="42" t="str">
        <f>IFERROR(__xludf.DUMMYFUNCTION("""COMPUTED_VALUE"""),"L/15/141025/1")</f>
        <v>L/15/141025/1</v>
      </c>
      <c r="C8288" s="42" t="str">
        <f>IFERROR(__xludf.DUMMYFUNCTION("""COMPUTED_VALUE"""),"SHGB 5651/BERINGIN RAYA")</f>
        <v>SHGB 5651/BERINGIN RAYA</v>
      </c>
      <c r="D8288" s="42"/>
      <c r="E8288" s="42"/>
      <c r="F8288" s="48" t="str">
        <f>IFERROR(__xludf.DUMMYFUNCTION("""COMPUTED_VALUE"""),"")</f>
        <v/>
      </c>
      <c r="G8288" s="42" t="str">
        <f>IFERROR(__xludf.DUMMYFUNCTION("""COMPUTED_VALUE"""),"BN WARIS")</f>
        <v>BN WARIS</v>
      </c>
      <c r="H8288" s="42">
        <f t="shared" si="1"/>
        <v>3315</v>
      </c>
    </row>
    <row r="8289" ht="22.5" customHeight="1">
      <c r="B8289" s="42" t="str">
        <f>IFERROR(__xludf.DUMMYFUNCTION("""COMPUTED_VALUE"""),"L/20/141025/1")</f>
        <v>L/20/141025/1</v>
      </c>
      <c r="C8289" s="42" t="str">
        <f>IFERROR(__xludf.DUMMYFUNCTION("""COMPUTED_VALUE"""),"SHGB 852/CAMPANG RAYA")</f>
        <v>SHGB 852/CAMPANG RAYA</v>
      </c>
      <c r="D8289" s="42"/>
      <c r="E8289" s="42"/>
      <c r="F8289" s="48" t="str">
        <f>IFERROR(__xludf.DUMMYFUNCTION("""COMPUTED_VALUE"""),"")</f>
        <v/>
      </c>
      <c r="G8289" s="42" t="str">
        <f>IFERROR(__xludf.DUMMYFUNCTION("""COMPUTED_VALUE"""),"ROYA")</f>
        <v>ROYA</v>
      </c>
      <c r="H8289" s="42">
        <f t="shared" si="1"/>
        <v>3315</v>
      </c>
    </row>
    <row r="8290" ht="22.5" customHeight="1">
      <c r="B8290" s="42" t="str">
        <f>IFERROR(__xludf.DUMMYFUNCTION("""COMPUTED_VALUE"""),"ABAIXOWC/57")</f>
        <v>ABAIXOWC/57</v>
      </c>
      <c r="C8290" s="42" t="str">
        <f>IFERROR(__xludf.DUMMYFUNCTION("""COMPUTED_VALUE"""),"HM 11908/Skb")</f>
        <v>HM 11908/Skb</v>
      </c>
      <c r="D8290" s="42" t="str">
        <f>IFERROR(__xludf.DUMMYFUNCTION("""COMPUTED_VALUE"""),"Berry")</f>
        <v>Berry</v>
      </c>
      <c r="E8290" s="42" t="str">
        <f>IFERROR(__xludf.DUMMYFUNCTION("""COMPUTED_VALUE"""),"DISERAHKAN")</f>
        <v>DISERAHKAN</v>
      </c>
      <c r="F8290" s="48">
        <f>IFERROR(__xludf.DUMMYFUNCTION("""COMPUTED_VALUE"""),45996.58962533565)</f>
        <v>45996.58963</v>
      </c>
      <c r="G8290" s="42" t="str">
        <f>IFERROR(__xludf.DUMMYFUNCTION("""COMPUTED_VALUE"""),"BN Jual Beli")</f>
        <v>BN Jual Beli</v>
      </c>
      <c r="H8290" s="42">
        <f t="shared" si="1"/>
        <v>3316</v>
      </c>
    </row>
    <row r="8291" ht="22.5" customHeight="1">
      <c r="B8291" s="42" t="str">
        <f>IFERROR(__xludf.DUMMYFUNCTION("""COMPUTED_VALUE"""),"L/21/141025/1")</f>
        <v>L/21/141025/1</v>
      </c>
      <c r="C8291" s="42" t="str">
        <f>IFERROR(__xludf.DUMMYFUNCTION("""COMPUTED_VALUE"""),"M. 400/CAMPANG RAYA")</f>
        <v>M. 400/CAMPANG RAYA</v>
      </c>
      <c r="D8291" s="42"/>
      <c r="E8291" s="42"/>
      <c r="F8291" s="48" t="str">
        <f>IFERROR(__xludf.DUMMYFUNCTION("""COMPUTED_VALUE"""),"")</f>
        <v/>
      </c>
      <c r="G8291" s="42" t="str">
        <f>IFERROR(__xludf.DUMMYFUNCTION("""COMPUTED_VALUE"""),"SERTIPIKAT HILANG")</f>
        <v>SERTIPIKAT HILANG</v>
      </c>
      <c r="H8291" s="42">
        <f t="shared" si="1"/>
        <v>3316</v>
      </c>
    </row>
    <row r="8292" ht="22.5" customHeight="1">
      <c r="B8292" s="42" t="str">
        <f>IFERROR(__xludf.DUMMYFUNCTION("""COMPUTED_VALUE"""),"L/23/141025/1")</f>
        <v>L/23/141025/1</v>
      </c>
      <c r="C8292" s="42" t="str">
        <f>IFERROR(__xludf.DUMMYFUNCTION("""COMPUTED_VALUE"""),"B. 646/NUSANTARA PERMAI")</f>
        <v>B. 646/NUSANTARA PERMAI</v>
      </c>
      <c r="D8292" s="42"/>
      <c r="E8292" s="42"/>
      <c r="F8292" s="48" t="str">
        <f>IFERROR(__xludf.DUMMYFUNCTION("""COMPUTED_VALUE"""),"")</f>
        <v/>
      </c>
      <c r="G8292" s="42" t="str">
        <f>IFERROR(__xludf.DUMMYFUNCTION("""COMPUTED_VALUE"""),"PENINGKATAN HAK")</f>
        <v>PENINGKATAN HAK</v>
      </c>
      <c r="H8292" s="42">
        <f t="shared" si="1"/>
        <v>3316</v>
      </c>
    </row>
    <row r="8293" ht="22.5" customHeight="1">
      <c r="B8293" s="42" t="str">
        <f>IFERROR(__xludf.DUMMYFUNCTION("""COMPUTED_VALUE"""),"AB075/ ABAFEVSS")</f>
        <v>AB075/ ABAFEVSS</v>
      </c>
      <c r="C8293" s="42" t="str">
        <f>IFERROR(__xludf.DUMMYFUNCTION("""COMPUTED_VALUE"""),"2538/Langkapura")</f>
        <v>2538/Langkapura</v>
      </c>
      <c r="D8293" s="42"/>
      <c r="E8293" s="42"/>
      <c r="F8293" s="48" t="str">
        <f>IFERROR(__xludf.DUMMYFUNCTION("""COMPUTED_VALUE"""),"")</f>
        <v/>
      </c>
      <c r="G8293" s="42" t="str">
        <f>IFERROR(__xludf.DUMMYFUNCTION("""COMPUTED_VALUE"""),"Peraliahan Hak/AJB")</f>
        <v>Peraliahan Hak/AJB</v>
      </c>
      <c r="H8293" s="42">
        <f t="shared" si="1"/>
        <v>3316</v>
      </c>
    </row>
    <row r="8294" ht="22.5" customHeight="1">
      <c r="B8294" s="42" t="str">
        <f>IFERROR(__xludf.DUMMYFUNCTION("""COMPUTED_VALUE"""),"K/22/141025/1")</f>
        <v>K/22/141025/1</v>
      </c>
      <c r="C8294" s="42" t="str">
        <f>IFERROR(__xludf.DUMMYFUNCTION("""COMPUTED_VALUE"""),"M. 10036/SUKABUMI")</f>
        <v>M. 10036/SUKABUMI</v>
      </c>
      <c r="D8294" s="42"/>
      <c r="E8294" s="42"/>
      <c r="F8294" s="48" t="str">
        <f>IFERROR(__xludf.DUMMYFUNCTION("""COMPUTED_VALUE"""),"")</f>
        <v/>
      </c>
      <c r="G8294" s="42" t="str">
        <f>IFERROR(__xludf.DUMMYFUNCTION("""COMPUTED_VALUE"""),"PENATAAN BATAS")</f>
        <v>PENATAAN BATAS</v>
      </c>
      <c r="H8294" s="42">
        <f t="shared" si="1"/>
        <v>3316</v>
      </c>
    </row>
    <row r="8295" ht="22.5" customHeight="1">
      <c r="B8295" s="42" t="str">
        <f>IFERROR(__xludf.DUMMYFUNCTION("""COMPUTED_VALUE"""),"AB075/ABDBVXMA")</f>
        <v>AB075/ABDBVXMA</v>
      </c>
      <c r="C8295" s="42" t="str">
        <f>IFERROR(__xludf.DUMMYFUNCTION("""COMPUTED_VALUE"""),"08.01.000000552.0/Sukabumi")</f>
        <v>08.01.000000552.0/Sukabumi</v>
      </c>
      <c r="D8295" s="42"/>
      <c r="E8295" s="42"/>
      <c r="F8295" s="48" t="str">
        <f>IFERROR(__xludf.DUMMYFUNCTION("""COMPUTED_VALUE"""),"")</f>
        <v/>
      </c>
      <c r="G8295" s="42" t="str">
        <f>IFERROR(__xludf.DUMMYFUNCTION("""COMPUTED_VALUE"""),"Peralihan Hak /AJB")</f>
        <v>Peralihan Hak /AJB</v>
      </c>
      <c r="H8295" s="42">
        <f t="shared" si="1"/>
        <v>3316</v>
      </c>
    </row>
    <row r="8296" ht="22.5" customHeight="1">
      <c r="B8296" s="42" t="str">
        <f>IFERROR(__xludf.DUMMYFUNCTION("""COMPUTED_VALUE"""),"L/24/141025/1")</f>
        <v>L/24/141025/1</v>
      </c>
      <c r="C8296" s="42" t="str">
        <f>IFERROR(__xludf.DUMMYFUNCTION("""COMPUTED_VALUE"""),"B. 1361/WAY HALIM PERMAI")</f>
        <v>B. 1361/WAY HALIM PERMAI</v>
      </c>
      <c r="D8296" s="42"/>
      <c r="E8296" s="42"/>
      <c r="F8296" s="48" t="str">
        <f>IFERROR(__xludf.DUMMYFUNCTION("""COMPUTED_VALUE"""),"")</f>
        <v/>
      </c>
      <c r="G8296" s="42" t="str">
        <f>IFERROR(__xludf.DUMMYFUNCTION("""COMPUTED_VALUE"""),"ROYA")</f>
        <v>ROYA</v>
      </c>
      <c r="H8296" s="42">
        <f t="shared" si="1"/>
        <v>3316</v>
      </c>
    </row>
    <row r="8297" ht="22.5" customHeight="1">
      <c r="B8297" s="42" t="str">
        <f>IFERROR(__xludf.DUMMYFUNCTION("""COMPUTED_VALUE"""),"AABSOBAG")</f>
        <v>AABSOBAG</v>
      </c>
      <c r="C8297" s="42" t="str">
        <f>IFERROR(__xludf.DUMMYFUNCTION("""COMPUTED_VALUE"""),"Nibel B. 08.01.000024818.0/ SUMUR PUTRI")</f>
        <v>Nibel B. 08.01.000024818.0/ SUMUR PUTRI</v>
      </c>
      <c r="D8297" s="42"/>
      <c r="E8297" s="42"/>
      <c r="F8297" s="48" t="str">
        <f>IFERROR(__xludf.DUMMYFUNCTION("""COMPUTED_VALUE"""),"")</f>
        <v/>
      </c>
      <c r="G8297" s="42" t="str">
        <f>IFERROR(__xludf.DUMMYFUNCTION("""COMPUTED_VALUE"""),"Peningkatan hak")</f>
        <v>Peningkatan hak</v>
      </c>
      <c r="H8297" s="42">
        <f t="shared" si="1"/>
        <v>3316</v>
      </c>
    </row>
    <row r="8298" ht="22.5" customHeight="1">
      <c r="B8298" s="42" t="str">
        <f>IFERROR(__xludf.DUMMYFUNCTION("""COMPUTED_VALUE"""),"ABQRLTXW")</f>
        <v>ABQRLTXW</v>
      </c>
      <c r="C8298" s="42" t="str">
        <f>IFERROR(__xludf.DUMMYFUNCTION("""COMPUTED_VALUE"""),"M 4456/ GUNUNG TERANG")</f>
        <v>M 4456/ GUNUNG TERANG</v>
      </c>
      <c r="D8298" s="42"/>
      <c r="E8298" s="42"/>
      <c r="F8298" s="48" t="str">
        <f>IFERROR(__xludf.DUMMYFUNCTION("""COMPUTED_VALUE"""),"")</f>
        <v/>
      </c>
      <c r="G8298" s="42" t="str">
        <f>IFERROR(__xludf.DUMMYFUNCTION("""COMPUTED_VALUE"""),"Balik nama jual beli")</f>
        <v>Balik nama jual beli</v>
      </c>
      <c r="H8298" s="42">
        <f t="shared" si="1"/>
        <v>3316</v>
      </c>
    </row>
    <row r="8299" ht="22.5" customHeight="1">
      <c r="B8299" s="42" t="str">
        <f>IFERROR(__xludf.DUMMYFUNCTION("""COMPUTED_VALUE"""),"K/25/141025/3")</f>
        <v>K/25/141025/3</v>
      </c>
      <c r="C8299" s="42" t="str">
        <f>IFERROR(__xludf.DUMMYFUNCTION("""COMPUTED_VALUE"""),"M. 2286/SUMBEREJO KEMILING")</f>
        <v>M. 2286/SUMBEREJO KEMILING</v>
      </c>
      <c r="D8299" s="42"/>
      <c r="E8299" s="42"/>
      <c r="F8299" s="48" t="str">
        <f>IFERROR(__xludf.DUMMYFUNCTION("""COMPUTED_VALUE"""),"")</f>
        <v/>
      </c>
      <c r="G8299" s="42" t="str">
        <f>IFERROR(__xludf.DUMMYFUNCTION("""COMPUTED_VALUE"""),"SKPT LELANG")</f>
        <v>SKPT LELANG</v>
      </c>
      <c r="H8299" s="42">
        <f t="shared" si="1"/>
        <v>3316</v>
      </c>
    </row>
    <row r="8300" ht="22.5" customHeight="1">
      <c r="B8300" s="42" t="str">
        <f>IFERROR(__xludf.DUMMYFUNCTION("""COMPUTED_VALUE"""),"K/26/141025/1")</f>
        <v>K/26/141025/1</v>
      </c>
      <c r="C8300" s="42" t="str">
        <f>IFERROR(__xludf.DUMMYFUNCTION("""COMPUTED_VALUE"""),"NIBEL M. 25332/LANGKAPURA")</f>
        <v>NIBEL M. 25332/LANGKAPURA</v>
      </c>
      <c r="D8300" s="42"/>
      <c r="E8300" s="42"/>
      <c r="F8300" s="48" t="str">
        <f>IFERROR(__xludf.DUMMYFUNCTION("""COMPUTED_VALUE"""),"")</f>
        <v/>
      </c>
      <c r="G8300" s="42" t="str">
        <f>IFERROR(__xludf.DUMMYFUNCTION("""COMPUTED_VALUE"""),"BN LELANG")</f>
        <v>BN LELANG</v>
      </c>
      <c r="H8300" s="42">
        <f t="shared" si="1"/>
        <v>3316</v>
      </c>
    </row>
    <row r="8301" ht="22.5" customHeight="1">
      <c r="B8301" s="42" t="str">
        <f>IFERROR(__xludf.DUMMYFUNCTION("""COMPUTED_VALUE"""),"L/28/141025/1")</f>
        <v>L/28/141025/1</v>
      </c>
      <c r="C8301" s="42" t="str">
        <f>IFERROR(__xludf.DUMMYFUNCTION("""COMPUTED_VALUE"""),"SHM 377/SUKARAME BARU")</f>
        <v>SHM 377/SUKARAME BARU</v>
      </c>
      <c r="D8301" s="42"/>
      <c r="E8301" s="42"/>
      <c r="F8301" s="48" t="str">
        <f>IFERROR(__xludf.DUMMYFUNCTION("""COMPUTED_VALUE"""),"")</f>
        <v/>
      </c>
      <c r="G8301" s="42" t="str">
        <f>IFERROR(__xludf.DUMMYFUNCTION("""COMPUTED_VALUE"""),"ROYA LELANG")</f>
        <v>ROYA LELANG</v>
      </c>
      <c r="H8301" s="42">
        <f t="shared" si="1"/>
        <v>3316</v>
      </c>
    </row>
    <row r="8302" ht="22.5" customHeight="1">
      <c r="B8302" s="42" t="str">
        <f>IFERROR(__xludf.DUMMYFUNCTION("""COMPUTED_VALUE"""),"ABMBOISF/14102025/AB069")</f>
        <v>ABMBOISF/14102025/AB069</v>
      </c>
      <c r="C8302" s="42" t="str">
        <f>IFERROR(__xludf.DUMMYFUNCTION("""COMPUTED_VALUE"""),"M. 2215")</f>
        <v>M. 2215</v>
      </c>
      <c r="D8302" s="42"/>
      <c r="E8302" s="42"/>
      <c r="F8302" s="48" t="str">
        <f>IFERROR(__xludf.DUMMYFUNCTION("""COMPUTED_VALUE"""),"")</f>
        <v/>
      </c>
      <c r="G8302" s="42" t="str">
        <f>IFERROR(__xludf.DUMMYFUNCTION("""COMPUTED_VALUE"""),"Balik Nama")</f>
        <v>Balik Nama</v>
      </c>
      <c r="H8302" s="42">
        <f t="shared" si="1"/>
        <v>3316</v>
      </c>
    </row>
    <row r="8303" ht="22.5" customHeight="1">
      <c r="B8303" s="42" t="str">
        <f>IFERROR(__xludf.DUMMYFUNCTION("""COMPUTED_VALUE"""),"ABNMZFJZ")</f>
        <v>ABNMZFJZ</v>
      </c>
      <c r="C8303" s="42" t="str">
        <f>IFERROR(__xludf.DUMMYFUNCTION("""COMPUTED_VALUE"""),"M. 1689/PWH")</f>
        <v>M. 1689/PWH</v>
      </c>
      <c r="D8303" s="42"/>
      <c r="E8303" s="42"/>
      <c r="F8303" s="48" t="str">
        <f>IFERROR(__xludf.DUMMYFUNCTION("""COMPUTED_VALUE"""),"")</f>
        <v/>
      </c>
      <c r="G8303" s="42" t="str">
        <f>IFERROR(__xludf.DUMMYFUNCTION("""COMPUTED_VALUE"""),"Balik Nama")</f>
        <v>Balik Nama</v>
      </c>
      <c r="H8303" s="42">
        <f t="shared" si="1"/>
        <v>3316</v>
      </c>
    </row>
    <row r="8304" ht="22.5" customHeight="1">
      <c r="B8304" s="42" t="str">
        <f>IFERROR(__xludf.DUMMYFUNCTION("""COMPUTED_VALUE"""),"Abeafump")</f>
        <v>Abeafump</v>
      </c>
      <c r="C8304" s="42" t="str">
        <f>IFERROR(__xludf.DUMMYFUNCTION("""COMPUTED_VALUE"""),"M 1880/ RAJABASA JAYA")</f>
        <v>M 1880/ RAJABASA JAYA</v>
      </c>
      <c r="D8304" s="42"/>
      <c r="E8304" s="42"/>
      <c r="F8304" s="48" t="str">
        <f>IFERROR(__xludf.DUMMYFUNCTION("""COMPUTED_VALUE"""),"")</f>
        <v/>
      </c>
      <c r="G8304" s="42" t="str">
        <f>IFERROR(__xludf.DUMMYFUNCTION("""COMPUTED_VALUE"""),"BN jual beli")</f>
        <v>BN jual beli</v>
      </c>
      <c r="H8304" s="42">
        <f t="shared" si="1"/>
        <v>3316</v>
      </c>
    </row>
    <row r="8305" ht="22.5" customHeight="1">
      <c r="B8305" s="42" t="str">
        <f>IFERROR(__xludf.DUMMYFUNCTION("""COMPUTED_VALUE"""),"L/29/141025/1")</f>
        <v>L/29/141025/1</v>
      </c>
      <c r="C8305" s="42" t="str">
        <f>IFERROR(__xludf.DUMMYFUNCTION("""COMPUTED_VALUE"""),"SHGB 859/PERUMNAS WAY KANDIS")</f>
        <v>SHGB 859/PERUMNAS WAY KANDIS</v>
      </c>
      <c r="D8305" s="42"/>
      <c r="E8305" s="42"/>
      <c r="F8305" s="48" t="str">
        <f>IFERROR(__xludf.DUMMYFUNCTION("""COMPUTED_VALUE"""),"")</f>
        <v/>
      </c>
      <c r="G8305" s="42" t="str">
        <f>IFERROR(__xludf.DUMMYFUNCTION("""COMPUTED_VALUE"""),"BN WARIS")</f>
        <v>BN WARIS</v>
      </c>
      <c r="H8305" s="42">
        <f t="shared" si="1"/>
        <v>3316</v>
      </c>
    </row>
    <row r="8306" ht="22.5" customHeight="1">
      <c r="B8306" s="42" t="str">
        <f>IFERROR(__xludf.DUMMYFUNCTION("""COMPUTED_VALUE"""),"L/30/141025/1")</f>
        <v>L/30/141025/1</v>
      </c>
      <c r="C8306" s="42" t="str">
        <f>IFERROR(__xludf.DUMMYFUNCTION("""COMPUTED_VALUE"""),"M. 861/SUMUR PUTRI")</f>
        <v>M. 861/SUMUR PUTRI</v>
      </c>
      <c r="D8306" s="42"/>
      <c r="E8306" s="42"/>
      <c r="F8306" s="48" t="str">
        <f>IFERROR(__xludf.DUMMYFUNCTION("""COMPUTED_VALUE"""),"")</f>
        <v/>
      </c>
      <c r="G8306" s="42" t="str">
        <f>IFERROR(__xludf.DUMMYFUNCTION("""COMPUTED_VALUE"""),"ROYA")</f>
        <v>ROYA</v>
      </c>
      <c r="H8306" s="42">
        <f t="shared" si="1"/>
        <v>3316</v>
      </c>
    </row>
    <row r="8307" ht="22.5" customHeight="1">
      <c r="B8307" s="42" t="str">
        <f>IFERROR(__xludf.DUMMYFUNCTION("""COMPUTED_VALUE"""),"Adbscwrf")</f>
        <v>Adbscwrf</v>
      </c>
      <c r="C8307" s="42" t="str">
        <f>IFERROR(__xludf.DUMMYFUNCTION("""COMPUTED_VALUE"""),"m 2901/ kemiling permai")</f>
        <v>m 2901/ kemiling permai</v>
      </c>
      <c r="D8307" s="42"/>
      <c r="E8307" s="42"/>
      <c r="F8307" s="48" t="str">
        <f>IFERROR(__xludf.DUMMYFUNCTION("""COMPUTED_VALUE"""),"")</f>
        <v/>
      </c>
      <c r="G8307" s="42" t="str">
        <f>IFERROR(__xludf.DUMMYFUNCTION("""COMPUTED_VALUE"""),"BN jual beli")</f>
        <v>BN jual beli</v>
      </c>
      <c r="H8307" s="42">
        <f t="shared" si="1"/>
        <v>3316</v>
      </c>
    </row>
    <row r="8308" ht="22.5" customHeight="1">
      <c r="B8308" s="42" t="str">
        <f>IFERROR(__xludf.DUMMYFUNCTION("""COMPUTED_VALUE"""),"K/27/141025/2")</f>
        <v>K/27/141025/2</v>
      </c>
      <c r="C8308" s="42" t="str">
        <f>IFERROR(__xludf.DUMMYFUNCTION("""COMPUTED_VALUE"""),"NIBEL M. 25638/LANGKAPURA")</f>
        <v>NIBEL M. 25638/LANGKAPURA</v>
      </c>
      <c r="D8308" s="42"/>
      <c r="E8308" s="42"/>
      <c r="F8308" s="48" t="str">
        <f>IFERROR(__xludf.DUMMYFUNCTION("""COMPUTED_VALUE"""),"")</f>
        <v/>
      </c>
      <c r="G8308" s="42" t="str">
        <f>IFERROR(__xludf.DUMMYFUNCTION("""COMPUTED_VALUE"""),"BN LELANG")</f>
        <v>BN LELANG</v>
      </c>
      <c r="H8308" s="42">
        <f t="shared" si="1"/>
        <v>3316</v>
      </c>
    </row>
    <row r="8309" ht="22.5" customHeight="1">
      <c r="B8309" s="42" t="str">
        <f>IFERROR(__xludf.DUMMYFUNCTION("""COMPUTED_VALUE"""),"K/31/141025/1")</f>
        <v>K/31/141025/1</v>
      </c>
      <c r="C8309" s="42" t="str">
        <f>IFERROR(__xludf.DUMMYFUNCTION("""COMPUTED_VALUE"""),"M. 19014/SUKARAME")</f>
        <v>M. 19014/SUKARAME</v>
      </c>
      <c r="D8309" s="42"/>
      <c r="E8309" s="42"/>
      <c r="F8309" s="48" t="str">
        <f>IFERROR(__xludf.DUMMYFUNCTION("""COMPUTED_VALUE"""),"")</f>
        <v/>
      </c>
      <c r="G8309" s="42" t="str">
        <f>IFERROR(__xludf.DUMMYFUNCTION("""COMPUTED_VALUE"""),"BLOKIR ")</f>
        <v>BLOKIR </v>
      </c>
      <c r="H8309" s="42">
        <f t="shared" si="1"/>
        <v>3316</v>
      </c>
    </row>
    <row r="8310" ht="22.5" customHeight="1">
      <c r="B8310" s="42" t="str">
        <f>IFERROR(__xludf.DUMMYFUNCTION("""COMPUTED_VALUE"""),"ABFYCLRY")</f>
        <v>ABFYCLRY</v>
      </c>
      <c r="C8310" s="42" t="str">
        <f>IFERROR(__xludf.DUMMYFUNCTION("""COMPUTED_VALUE"""),"M.580/Langkapura Baru")</f>
        <v>M.580/Langkapura Baru</v>
      </c>
      <c r="D8310" s="42"/>
      <c r="E8310" s="42"/>
      <c r="F8310" s="48" t="str">
        <f>IFERROR(__xludf.DUMMYFUNCTION("""COMPUTED_VALUE"""),"")</f>
        <v/>
      </c>
      <c r="G8310" s="42" t="str">
        <f>IFERROR(__xludf.DUMMYFUNCTION("""COMPUTED_VALUE"""),"Jual beli")</f>
        <v>Jual beli</v>
      </c>
      <c r="H8310" s="42">
        <f t="shared" si="1"/>
        <v>3316</v>
      </c>
    </row>
    <row r="8311" ht="22.5" customHeight="1">
      <c r="B8311" s="42" t="str">
        <f>IFERROR(__xludf.DUMMYFUNCTION("""COMPUTED_VALUE"""),"abcyejnd")</f>
        <v>abcyejnd</v>
      </c>
      <c r="C8311" s="42" t="str">
        <f>IFERROR(__xludf.DUMMYFUNCTION("""COMPUTED_VALUE"""),"SHM 961/KK")</f>
        <v>SHM 961/KK</v>
      </c>
      <c r="D8311" s="42"/>
      <c r="E8311" s="42"/>
      <c r="F8311" s="48" t="str">
        <f>IFERROR(__xludf.DUMMYFUNCTION("""COMPUTED_VALUE"""),"")</f>
        <v/>
      </c>
      <c r="G8311" s="42" t="str">
        <f>IFERROR(__xludf.DUMMYFUNCTION("""COMPUTED_VALUE"""),"BN Waris")</f>
        <v>BN Waris</v>
      </c>
      <c r="H8311" s="42">
        <f t="shared" si="1"/>
        <v>3316</v>
      </c>
    </row>
    <row r="8312" ht="22.5" customHeight="1">
      <c r="B8312" s="42" t="str">
        <f>IFERROR(__xludf.DUMMYFUNCTION("""COMPUTED_VALUE"""),"abtztkdl")</f>
        <v>abtztkdl</v>
      </c>
      <c r="C8312" s="42" t="str">
        <f>IFERROR(__xludf.DUMMYFUNCTION("""COMPUTED_VALUE"""),"SHM 1503/ SUKARAME BARU")</f>
        <v>SHM 1503/ SUKARAME BARU</v>
      </c>
      <c r="D8312" s="42"/>
      <c r="E8312" s="42"/>
      <c r="F8312" s="48" t="str">
        <f>IFERROR(__xludf.DUMMYFUNCTION("""COMPUTED_VALUE"""),"")</f>
        <v/>
      </c>
      <c r="G8312" s="42" t="str">
        <f>IFERROR(__xludf.DUMMYFUNCTION("""COMPUTED_VALUE"""),"BN Waris")</f>
        <v>BN Waris</v>
      </c>
      <c r="H8312" s="42">
        <f t="shared" si="1"/>
        <v>3316</v>
      </c>
    </row>
    <row r="8313" ht="22.5" customHeight="1">
      <c r="B8313" s="42" t="str">
        <f>IFERROR(__xludf.DUMMYFUNCTION("""COMPUTED_VALUE"""),"ABVMOBSM")</f>
        <v>ABVMOBSM</v>
      </c>
      <c r="C8313" s="42" t="str">
        <f>IFERROR(__xludf.DUMMYFUNCTION("""COMPUTED_VALUE"""),"SHM 1619/Gu.T")</f>
        <v>SHM 1619/Gu.T</v>
      </c>
      <c r="D8313" s="42"/>
      <c r="E8313" s="42"/>
      <c r="F8313" s="48" t="str">
        <f>IFERROR(__xludf.DUMMYFUNCTION("""COMPUTED_VALUE"""),"")</f>
        <v/>
      </c>
      <c r="G8313" s="42" t="str">
        <f>IFERROR(__xludf.DUMMYFUNCTION("""COMPUTED_VALUE"""),"BN JUAL BELI")</f>
        <v>BN JUAL BELI</v>
      </c>
      <c r="H8313" s="42">
        <f t="shared" si="1"/>
        <v>3316</v>
      </c>
    </row>
    <row r="8314" ht="22.5" customHeight="1">
      <c r="B8314" s="42" t="str">
        <f>IFERROR(__xludf.DUMMYFUNCTION("""COMPUTED_VALUE"""),"ABKEFBYI")</f>
        <v>ABKEFBYI</v>
      </c>
      <c r="C8314" s="42" t="str">
        <f>IFERROR(__xludf.DUMMYFUNCTION("""COMPUTED_VALUE"""),"SHM 2541/ KEDAUNG")</f>
        <v>SHM 2541/ KEDAUNG</v>
      </c>
      <c r="D8314" s="42"/>
      <c r="E8314" s="42"/>
      <c r="F8314" s="48" t="str">
        <f>IFERROR(__xludf.DUMMYFUNCTION("""COMPUTED_VALUE"""),"")</f>
        <v/>
      </c>
      <c r="G8314" s="42" t="str">
        <f>IFERROR(__xludf.DUMMYFUNCTION("""COMPUTED_VALUE"""),"BN JUAL BELI")</f>
        <v>BN JUAL BELI</v>
      </c>
      <c r="H8314" s="42">
        <f t="shared" si="1"/>
        <v>3316</v>
      </c>
    </row>
    <row r="8315" ht="22.5" customHeight="1">
      <c r="B8315" s="42" t="str">
        <f>IFERROR(__xludf.DUMMYFUNCTION("""COMPUTED_VALUE"""),"ABMTDFGD")</f>
        <v>ABMTDFGD</v>
      </c>
      <c r="C8315" s="42" t="str">
        <f>IFERROR(__xludf.DUMMYFUNCTION("""COMPUTED_VALUE"""),"SHM 01184/ KEDAUNG")</f>
        <v>SHM 01184/ KEDAUNG</v>
      </c>
      <c r="D8315" s="42"/>
      <c r="E8315" s="42"/>
      <c r="F8315" s="48" t="str">
        <f>IFERROR(__xludf.DUMMYFUNCTION("""COMPUTED_VALUE"""),"")</f>
        <v/>
      </c>
      <c r="G8315" s="42" t="str">
        <f>IFERROR(__xludf.DUMMYFUNCTION("""COMPUTED_VALUE"""),"BN JUAL BELI")</f>
        <v>BN JUAL BELI</v>
      </c>
      <c r="H8315" s="42">
        <f t="shared" si="1"/>
        <v>3316</v>
      </c>
    </row>
    <row r="8316" ht="22.5" customHeight="1">
      <c r="B8316" s="42" t="str">
        <f>IFERROR(__xludf.DUMMYFUNCTION("""COMPUTED_VALUE"""),"L/16/141025/1")</f>
        <v>L/16/141025/1</v>
      </c>
      <c r="C8316" s="42" t="str">
        <f>IFERROR(__xludf.DUMMYFUNCTION("""COMPUTED_VALUE"""),"SHGB 5650/BERINGIN RAYA")</f>
        <v>SHGB 5650/BERINGIN RAYA</v>
      </c>
      <c r="D8316" s="42"/>
      <c r="E8316" s="42"/>
      <c r="F8316" s="48" t="str">
        <f>IFERROR(__xludf.DUMMYFUNCTION("""COMPUTED_VALUE"""),"")</f>
        <v/>
      </c>
      <c r="G8316" s="42" t="str">
        <f>IFERROR(__xludf.DUMMYFUNCTION("""COMPUTED_VALUE"""),"BN WARIS")</f>
        <v>BN WARIS</v>
      </c>
      <c r="H8316" s="42">
        <f t="shared" si="1"/>
        <v>3316</v>
      </c>
    </row>
    <row r="8317" ht="22.5" customHeight="1">
      <c r="B8317" s="42" t="str">
        <f>IFERROR(__xludf.DUMMYFUNCTION("""COMPUTED_VALUE"""),"L/17/141025/1")</f>
        <v>L/17/141025/1</v>
      </c>
      <c r="C8317" s="42" t="str">
        <f>IFERROR(__xludf.DUMMYFUNCTION("""COMPUTED_VALUE"""),"SHM 262/KOTA SEPANG")</f>
        <v>SHM 262/KOTA SEPANG</v>
      </c>
      <c r="D8317" s="42"/>
      <c r="E8317" s="42"/>
      <c r="F8317" s="48" t="str">
        <f>IFERROR(__xludf.DUMMYFUNCTION("""COMPUTED_VALUE"""),"")</f>
        <v/>
      </c>
      <c r="G8317" s="42" t="str">
        <f>IFERROR(__xludf.DUMMYFUNCTION("""COMPUTED_VALUE"""),"PEMISAHAN")</f>
        <v>PEMISAHAN</v>
      </c>
      <c r="H8317" s="42">
        <f t="shared" si="1"/>
        <v>3316</v>
      </c>
    </row>
    <row r="8318" ht="22.5" customHeight="1">
      <c r="B8318" s="42" t="str">
        <f>IFERROR(__xludf.DUMMYFUNCTION("""COMPUTED_VALUE"""),"L/18/141025/1")</f>
        <v>L/18/141025/1</v>
      </c>
      <c r="C8318" s="42" t="str">
        <f>IFERROR(__xludf.DUMMYFUNCTION("""COMPUTED_VALUE"""),"SHGB 772/CAMPANG RAYA")</f>
        <v>SHGB 772/CAMPANG RAYA</v>
      </c>
      <c r="D8318" s="42"/>
      <c r="E8318" s="42"/>
      <c r="F8318" s="48" t="str">
        <f>IFERROR(__xludf.DUMMYFUNCTION("""COMPUTED_VALUE"""),"")</f>
        <v/>
      </c>
      <c r="G8318" s="42" t="str">
        <f>IFERROR(__xludf.DUMMYFUNCTION("""COMPUTED_VALUE"""),"ROYA")</f>
        <v>ROYA</v>
      </c>
      <c r="H8318" s="42">
        <f t="shared" si="1"/>
        <v>3316</v>
      </c>
    </row>
    <row r="8319" ht="22.5" customHeight="1">
      <c r="B8319" s="42" t="str">
        <f>IFERROR(__xludf.DUMMYFUNCTION("""COMPUTED_VALUE"""),"L/19/141025/1")</f>
        <v>L/19/141025/1</v>
      </c>
      <c r="C8319" s="42" t="str">
        <f>IFERROR(__xludf.DUMMYFUNCTION("""COMPUTED_VALUE"""),"KEL. BAKUNG LUAS 96 M2")</f>
        <v>KEL. BAKUNG LUAS 96 M2</v>
      </c>
      <c r="D8319" s="42"/>
      <c r="E8319" s="42"/>
      <c r="F8319" s="48" t="str">
        <f>IFERROR(__xludf.DUMMYFUNCTION("""COMPUTED_VALUE"""),"")</f>
        <v/>
      </c>
      <c r="G8319" s="42" t="str">
        <f>IFERROR(__xludf.DUMMYFUNCTION("""COMPUTED_VALUE"""),"PENGUKURAN PERTAMA KALI")</f>
        <v>PENGUKURAN PERTAMA KALI</v>
      </c>
      <c r="H8319" s="42">
        <f t="shared" si="1"/>
        <v>3316</v>
      </c>
    </row>
    <row r="8320" ht="22.5" customHeight="1">
      <c r="B8320" s="42" t="str">
        <f>IFERROR(__xludf.DUMMYFUNCTION("""COMPUTED_VALUE"""),"L/1/151025/1")</f>
        <v>L/1/151025/1</v>
      </c>
      <c r="C8320" s="42" t="str">
        <f>IFERROR(__xludf.DUMMYFUNCTION("""COMPUTED_VALUE"""),"M. 37/PERWATA")</f>
        <v>M. 37/PERWATA</v>
      </c>
      <c r="D8320" s="42"/>
      <c r="E8320" s="42"/>
      <c r="F8320" s="48" t="str">
        <f>IFERROR(__xludf.DUMMYFUNCTION("""COMPUTED_VALUE"""),"")</f>
        <v/>
      </c>
      <c r="G8320" s="42" t="str">
        <f>IFERROR(__xludf.DUMMYFUNCTION("""COMPUTED_VALUE"""),"ROYA")</f>
        <v>ROYA</v>
      </c>
      <c r="H8320" s="42">
        <f t="shared" si="1"/>
        <v>3316</v>
      </c>
    </row>
    <row r="8321" ht="22.5" customHeight="1">
      <c r="B8321" s="42" t="str">
        <f>IFERROR(__xludf.DUMMYFUNCTION("""COMPUTED_VALUE"""),"L/2/151025/1")</f>
        <v>L/2/151025/1</v>
      </c>
      <c r="C8321" s="42" t="str">
        <f>IFERROR(__xludf.DUMMYFUNCTION("""COMPUTED_VALUE"""),"B NIB. 23017/SUKARAME BARU")</f>
        <v>B NIB. 23017/SUKARAME BARU</v>
      </c>
      <c r="D8321" s="42"/>
      <c r="E8321" s="42"/>
      <c r="F8321" s="48" t="str">
        <f>IFERROR(__xludf.DUMMYFUNCTION("""COMPUTED_VALUE"""),"")</f>
        <v/>
      </c>
      <c r="G8321" s="42" t="str">
        <f>IFERROR(__xludf.DUMMYFUNCTION("""COMPUTED_VALUE"""),"PENINGKATAN HAK")</f>
        <v>PENINGKATAN HAK</v>
      </c>
      <c r="H8321" s="42">
        <f t="shared" si="1"/>
        <v>3316</v>
      </c>
    </row>
    <row r="8322" ht="22.5" customHeight="1">
      <c r="B8322" s="42" t="str">
        <f>IFERROR(__xludf.DUMMYFUNCTION("""COMPUTED_VALUE"""),"ABRZLZOQ")</f>
        <v>ABRZLZOQ</v>
      </c>
      <c r="C8322" s="42" t="str">
        <f>IFERROR(__xludf.DUMMYFUNCTION("""COMPUTED_VALUE"""),"NIBEL B 21922/ SUKARAME BARU")</f>
        <v>NIBEL B 21922/ SUKARAME BARU</v>
      </c>
      <c r="D8322" s="42"/>
      <c r="E8322" s="42"/>
      <c r="F8322" s="48" t="str">
        <f>IFERROR(__xludf.DUMMYFUNCTION("""COMPUTED_VALUE"""),"")</f>
        <v/>
      </c>
      <c r="G8322" s="42" t="str">
        <f>IFERROR(__xludf.DUMMYFUNCTION("""COMPUTED_VALUE"""),"Peningkatan hak ")</f>
        <v>Peningkatan hak </v>
      </c>
      <c r="H8322" s="42">
        <f t="shared" si="1"/>
        <v>3316</v>
      </c>
    </row>
    <row r="8323" ht="22.5" customHeight="1">
      <c r="B8323" s="42" t="str">
        <f>IFERROR(__xludf.DUMMYFUNCTION("""COMPUTED_VALUE"""),"L/3/151025/1")</f>
        <v>L/3/151025/1</v>
      </c>
      <c r="C8323" s="42" t="str">
        <f>IFERROR(__xludf.DUMMYFUNCTION("""COMPUTED_VALUE"""),"M. 152/KUPANG RAYA")</f>
        <v>M. 152/KUPANG RAYA</v>
      </c>
      <c r="D8323" s="42"/>
      <c r="E8323" s="42"/>
      <c r="F8323" s="48" t="str">
        <f>IFERROR(__xludf.DUMMYFUNCTION("""COMPUTED_VALUE"""),"")</f>
        <v/>
      </c>
      <c r="G8323" s="42" t="str">
        <f>IFERROR(__xludf.DUMMYFUNCTION("""COMPUTED_VALUE"""),"ROYA")</f>
        <v>ROYA</v>
      </c>
      <c r="H8323" s="42">
        <f t="shared" si="1"/>
        <v>3316</v>
      </c>
    </row>
    <row r="8324" ht="22.5" customHeight="1">
      <c r="B8324" s="42" t="str">
        <f>IFERROR(__xludf.DUMMYFUNCTION("""COMPUTED_VALUE"""),"ABDKZGLX/AB036")</f>
        <v>ABDKZGLX/AB036</v>
      </c>
      <c r="C8324" s="42" t="str">
        <f>IFERROR(__xludf.DUMMYFUNCTION("""COMPUTED_VALUE"""),"M.7561/Surabaya")</f>
        <v>M.7561/Surabaya</v>
      </c>
      <c r="D8324" s="42" t="str">
        <f>IFERROR(__xludf.DUMMYFUNCTION("""COMPUTED_VALUE"""),"Berry")</f>
        <v>Berry</v>
      </c>
      <c r="E8324" s="42" t="str">
        <f>IFERROR(__xludf.DUMMYFUNCTION("""COMPUTED_VALUE"""),"DISERAHKAN")</f>
        <v>DISERAHKAN</v>
      </c>
      <c r="F8324" s="48">
        <f>IFERROR(__xludf.DUMMYFUNCTION("""COMPUTED_VALUE"""),46020.65450290509)</f>
        <v>46020.6545</v>
      </c>
      <c r="G8324" s="42" t="str">
        <f>IFERROR(__xludf.DUMMYFUNCTION("""COMPUTED_VALUE"""),"BN JUAL BELI")</f>
        <v>BN JUAL BELI</v>
      </c>
      <c r="H8324" s="42">
        <f t="shared" si="1"/>
        <v>3317</v>
      </c>
    </row>
    <row r="8325" ht="22.5" customHeight="1">
      <c r="B8325" s="42" t="str">
        <f>IFERROR(__xludf.DUMMYFUNCTION("""COMPUTED_VALUE"""),"ABAMYIAS/AB054")</f>
        <v>ABAMYIAS/AB054</v>
      </c>
      <c r="C8325" s="42" t="str">
        <f>IFERROR(__xludf.DUMMYFUNCTION("""COMPUTED_VALUE"""),"M.6812/Surabaya")</f>
        <v>M.6812/Surabaya</v>
      </c>
      <c r="D8325" s="42"/>
      <c r="E8325" s="42"/>
      <c r="F8325" s="48" t="str">
        <f>IFERROR(__xludf.DUMMYFUNCTION("""COMPUTED_VALUE"""),"")</f>
        <v/>
      </c>
      <c r="G8325" s="42" t="str">
        <f>IFERROR(__xludf.DUMMYFUNCTION("""COMPUTED_VALUE"""),"BN JUAL BELI")</f>
        <v>BN JUAL BELI</v>
      </c>
      <c r="H8325" s="42">
        <f t="shared" si="1"/>
        <v>3317</v>
      </c>
    </row>
    <row r="8326" ht="22.5" customHeight="1">
      <c r="B8326" s="42" t="str">
        <f>IFERROR(__xludf.DUMMYFUNCTION("""COMPUTED_VALUE"""),"ABQMRXKG")</f>
        <v>ABQMRXKG</v>
      </c>
      <c r="C8326" s="42" t="str">
        <f>IFERROR(__xludf.DUMMYFUNCTION("""COMPUTED_VALUE"""),"SHGB nibel 24755/  SUMUR PUTRI")</f>
        <v>SHGB nibel 24755/  SUMUR PUTRI</v>
      </c>
      <c r="D8326" s="42"/>
      <c r="E8326" s="42"/>
      <c r="F8326" s="48" t="str">
        <f>IFERROR(__xludf.DUMMYFUNCTION("""COMPUTED_VALUE"""),"")</f>
        <v/>
      </c>
      <c r="G8326" s="42" t="str">
        <f>IFERROR(__xludf.DUMMYFUNCTION("""COMPUTED_VALUE"""),"Peningkatan Hak")</f>
        <v>Peningkatan Hak</v>
      </c>
      <c r="H8326" s="42">
        <f t="shared" si="1"/>
        <v>3317</v>
      </c>
    </row>
    <row r="8327" ht="22.5" customHeight="1">
      <c r="B8327" s="42" t="str">
        <f>IFERROR(__xludf.DUMMYFUNCTION("""COMPUTED_VALUE"""),"L/4/151025/1")</f>
        <v>L/4/151025/1</v>
      </c>
      <c r="C8327" s="42" t="str">
        <f>IFERROR(__xludf.DUMMYFUNCTION("""COMPUTED_VALUE"""),"M. 9592/SUKABUMI")</f>
        <v>M. 9592/SUKABUMI</v>
      </c>
      <c r="D8327" s="42"/>
      <c r="E8327" s="42"/>
      <c r="F8327" s="48" t="str">
        <f>IFERROR(__xludf.DUMMYFUNCTION("""COMPUTED_VALUE"""),"")</f>
        <v/>
      </c>
      <c r="G8327" s="42" t="str">
        <f>IFERROR(__xludf.DUMMYFUNCTION("""COMPUTED_VALUE"""),"BN PUTUSAN PENGADILAN")</f>
        <v>BN PUTUSAN PENGADILAN</v>
      </c>
      <c r="H8327" s="42">
        <f t="shared" si="1"/>
        <v>3317</v>
      </c>
    </row>
    <row r="8328" ht="22.5" customHeight="1">
      <c r="B8328" s="42" t="str">
        <f>IFERROR(__xludf.DUMMYFUNCTION("""COMPUTED_VALUE"""),"ABXIPTES")</f>
        <v>ABXIPTES</v>
      </c>
      <c r="C8328" s="42" t="str">
        <f>IFERROR(__xludf.DUMMYFUNCTION("""COMPUTED_VALUE"""),"M.18384/Sukarame")</f>
        <v>M.18384/Sukarame</v>
      </c>
      <c r="D8328" s="42"/>
      <c r="E8328" s="42"/>
      <c r="F8328" s="48" t="str">
        <f>IFERROR(__xludf.DUMMYFUNCTION("""COMPUTED_VALUE"""),"")</f>
        <v/>
      </c>
      <c r="G8328" s="42" t="str">
        <f>IFERROR(__xludf.DUMMYFUNCTION("""COMPUTED_VALUE"""),"BN JUAL BELI")</f>
        <v>BN JUAL BELI</v>
      </c>
      <c r="H8328" s="42">
        <f t="shared" si="1"/>
        <v>3317</v>
      </c>
    </row>
    <row r="8329" ht="22.5" customHeight="1">
      <c r="B8329" s="42" t="str">
        <f>IFERROR(__xludf.DUMMYFUNCTION("""COMPUTED_VALUE"""),"ABHGMNZD")</f>
        <v>ABHGMNZD</v>
      </c>
      <c r="C8329" s="42" t="str">
        <f>IFERROR(__xludf.DUMMYFUNCTION("""COMPUTED_VALUE"""),"M. 3555/keteguhan")</f>
        <v>M. 3555/keteguhan</v>
      </c>
      <c r="D8329" s="42"/>
      <c r="E8329" s="42"/>
      <c r="F8329" s="48" t="str">
        <f>IFERROR(__xludf.DUMMYFUNCTION("""COMPUTED_VALUE"""),"")</f>
        <v/>
      </c>
      <c r="G8329" s="42" t="str">
        <f>IFERROR(__xludf.DUMMYFUNCTION("""COMPUTED_VALUE"""),"Pemecahan")</f>
        <v>Pemecahan</v>
      </c>
      <c r="H8329" s="42">
        <f t="shared" si="1"/>
        <v>3317</v>
      </c>
    </row>
    <row r="8330" ht="22.5" customHeight="1">
      <c r="B8330" s="42" t="str">
        <f>IFERROR(__xludf.DUMMYFUNCTION("""COMPUTED_VALUE"""),"ABFHJCRZ")</f>
        <v>ABFHJCRZ</v>
      </c>
      <c r="C8330" s="42" t="str">
        <f>IFERROR(__xludf.DUMMYFUNCTION("""COMPUTED_VALUE"""),"GB nibel 16389/durian payung")</f>
        <v>GB nibel 16389/durian payung</v>
      </c>
      <c r="D8330" s="42"/>
      <c r="E8330" s="42"/>
      <c r="F8330" s="48" t="str">
        <f>IFERROR(__xludf.DUMMYFUNCTION("""COMPUTED_VALUE"""),"")</f>
        <v/>
      </c>
      <c r="G8330" s="42" t="str">
        <f>IFERROR(__xludf.DUMMYFUNCTION("""COMPUTED_VALUE"""),"BN JUAL BELI")</f>
        <v>BN JUAL BELI</v>
      </c>
      <c r="H8330" s="42">
        <f t="shared" si="1"/>
        <v>3317</v>
      </c>
    </row>
    <row r="8331" ht="22.5" customHeight="1">
      <c r="B8331" s="42" t="str">
        <f>IFERROR(__xludf.DUMMYFUNCTION("""COMPUTED_VALUE"""),"ZGRMUCU")</f>
        <v>ZGRMUCU</v>
      </c>
      <c r="C8331" s="42" t="str">
        <f>IFERROR(__xludf.DUMMYFUNCTION("""COMPUTED_VALUE"""),"M.237/Ps")</f>
        <v>M.237/Ps</v>
      </c>
      <c r="D8331" s="42"/>
      <c r="E8331" s="42"/>
      <c r="F8331" s="48" t="str">
        <f>IFERROR(__xludf.DUMMYFUNCTION("""COMPUTED_VALUE"""),"")</f>
        <v/>
      </c>
      <c r="G8331" s="42" t="str">
        <f>IFERROR(__xludf.DUMMYFUNCTION("""COMPUTED_VALUE"""),"Ganti nama")</f>
        <v>Ganti nama</v>
      </c>
      <c r="H8331" s="42">
        <f t="shared" si="1"/>
        <v>3317</v>
      </c>
    </row>
    <row r="8332" ht="22.5" customHeight="1">
      <c r="B8332" s="42" t="str">
        <f>IFERROR(__xludf.DUMMYFUNCTION("""COMPUTED_VALUE"""),"L/5/151025/1")</f>
        <v>L/5/151025/1</v>
      </c>
      <c r="C8332" s="42" t="str">
        <f>IFERROR(__xludf.DUMMYFUNCTION("""COMPUTED_VALUE"""),"M. 1386/GOTONG ROYONG")</f>
        <v>M. 1386/GOTONG ROYONG</v>
      </c>
      <c r="D8332" s="42"/>
      <c r="E8332" s="42"/>
      <c r="F8332" s="48" t="str">
        <f>IFERROR(__xludf.DUMMYFUNCTION("""COMPUTED_VALUE"""),"")</f>
        <v/>
      </c>
      <c r="G8332" s="42" t="str">
        <f>IFERROR(__xludf.DUMMYFUNCTION("""COMPUTED_VALUE"""),"ROYA")</f>
        <v>ROYA</v>
      </c>
      <c r="H8332" s="42">
        <f t="shared" si="1"/>
        <v>3317</v>
      </c>
    </row>
    <row r="8333" ht="22.5" customHeight="1">
      <c r="B8333" s="42" t="str">
        <f>IFERROR(__xludf.DUMMYFUNCTION("""COMPUTED_VALUE"""),"ABVSTPIB/AB045")</f>
        <v>ABVSTPIB/AB045</v>
      </c>
      <c r="C8333" s="42" t="str">
        <f>IFERROR(__xludf.DUMMYFUNCTION("""COMPUTED_VALUE"""),"M. 1919/sukabumi indah")</f>
        <v>M. 1919/sukabumi indah</v>
      </c>
      <c r="D8333" s="42" t="str">
        <f>IFERROR(__xludf.DUMMYFUNCTION("""COMPUTED_VALUE"""),"Berry")</f>
        <v>Berry</v>
      </c>
      <c r="E8333" s="42" t="str">
        <f>IFERROR(__xludf.DUMMYFUNCTION("""COMPUTED_VALUE"""),"DISERAHKAN")</f>
        <v>DISERAHKAN</v>
      </c>
      <c r="F8333" s="48">
        <f>IFERROR(__xludf.DUMMYFUNCTION("""COMPUTED_VALUE"""),46020.64924549768)</f>
        <v>46020.64925</v>
      </c>
      <c r="G8333" s="42" t="str">
        <f>IFERROR(__xludf.DUMMYFUNCTION("""COMPUTED_VALUE"""),"Waris")</f>
        <v>Waris</v>
      </c>
      <c r="H8333" s="42">
        <f t="shared" si="1"/>
        <v>3318</v>
      </c>
    </row>
    <row r="8334" ht="22.5" customHeight="1">
      <c r="B8334" s="42" t="str">
        <f>IFERROR(__xludf.DUMMYFUNCTION("""COMPUTED_VALUE"""),"ABTLXWPR/AB45")</f>
        <v>ABTLXWPR/AB45</v>
      </c>
      <c r="C8334" s="42" t="str">
        <f>IFERROR(__xludf.DUMMYFUNCTION("""COMPUTED_VALUE"""),"M. 698/labuhan ratu")</f>
        <v>M. 698/labuhan ratu</v>
      </c>
      <c r="D8334" s="42"/>
      <c r="E8334" s="42"/>
      <c r="F8334" s="48" t="str">
        <f>IFERROR(__xludf.DUMMYFUNCTION("""COMPUTED_VALUE"""),"")</f>
        <v/>
      </c>
      <c r="G8334" s="42" t="str">
        <f>IFERROR(__xludf.DUMMYFUNCTION("""COMPUTED_VALUE"""),"Balik nama jual beli")</f>
        <v>Balik nama jual beli</v>
      </c>
      <c r="H8334" s="42">
        <f t="shared" si="1"/>
        <v>3318</v>
      </c>
    </row>
    <row r="8335" ht="22.5" customHeight="1">
      <c r="B8335" s="42" t="str">
        <f>IFERROR(__xludf.DUMMYFUNCTION("""COMPUTED_VALUE"""),"ABPEFWXG/AB45")</f>
        <v>ABPEFWXG/AB45</v>
      </c>
      <c r="C8335" s="42" t="str">
        <f>IFERROR(__xludf.DUMMYFUNCTION("""COMPUTED_VALUE"""),"M. 446/labuhan ratu")</f>
        <v>M. 446/labuhan ratu</v>
      </c>
      <c r="D8335" s="42"/>
      <c r="E8335" s="42"/>
      <c r="F8335" s="48" t="str">
        <f>IFERROR(__xludf.DUMMYFUNCTION("""COMPUTED_VALUE"""),"")</f>
        <v/>
      </c>
      <c r="G8335" s="42" t="str">
        <f>IFERROR(__xludf.DUMMYFUNCTION("""COMPUTED_VALUE"""),"Balik nama jual beli")</f>
        <v>Balik nama jual beli</v>
      </c>
      <c r="H8335" s="42">
        <f t="shared" si="1"/>
        <v>3318</v>
      </c>
    </row>
    <row r="8336" ht="22.5" customHeight="1">
      <c r="B8336" s="42" t="str">
        <f>IFERROR(__xludf.DUMMYFUNCTION("""COMPUTED_VALUE"""),"ABPBRCBH")</f>
        <v>ABPBRCBH</v>
      </c>
      <c r="C8336" s="42" t="str">
        <f>IFERROR(__xludf.DUMMYFUNCTION("""COMPUTED_VALUE"""),"NIBEL M 22565/ LABUHAN RATU")</f>
        <v>NIBEL M 22565/ LABUHAN RATU</v>
      </c>
      <c r="D8336" s="42"/>
      <c r="E8336" s="42"/>
      <c r="F8336" s="48" t="str">
        <f>IFERROR(__xludf.DUMMYFUNCTION("""COMPUTED_VALUE"""),"")</f>
        <v/>
      </c>
      <c r="G8336" s="42" t="str">
        <f>IFERROR(__xludf.DUMMYFUNCTION("""COMPUTED_VALUE"""),"BN WARIS")</f>
        <v>BN WARIS</v>
      </c>
      <c r="H8336" s="42">
        <f t="shared" si="1"/>
        <v>3318</v>
      </c>
    </row>
    <row r="8337" ht="22.5" customHeight="1">
      <c r="B8337" s="42" t="str">
        <f>IFERROR(__xludf.DUMMYFUNCTION("""COMPUTED_VALUE"""),"L/6/151025/1")</f>
        <v>L/6/151025/1</v>
      </c>
      <c r="C8337" s="42" t="str">
        <f>IFERROR(__xludf.DUMMYFUNCTION("""COMPUTED_VALUE"""),"B. 1946/SUKABUMI")</f>
        <v>B. 1946/SUKABUMI</v>
      </c>
      <c r="D8337" s="42"/>
      <c r="E8337" s="42"/>
      <c r="F8337" s="48" t="str">
        <f>IFERROR(__xludf.DUMMYFUNCTION("""COMPUTED_VALUE"""),"")</f>
        <v/>
      </c>
      <c r="G8337" s="42" t="str">
        <f>IFERROR(__xludf.DUMMYFUNCTION("""COMPUTED_VALUE"""),"ROYA WARIS")</f>
        <v>ROYA WARIS</v>
      </c>
      <c r="H8337" s="42">
        <f t="shared" si="1"/>
        <v>3318</v>
      </c>
    </row>
    <row r="8338" ht="22.5" customHeight="1">
      <c r="B8338" s="42" t="str">
        <f>IFERROR(__xludf.DUMMYFUNCTION("""COMPUTED_VALUE"""),"ABTJOHOJ")</f>
        <v>ABTJOHOJ</v>
      </c>
      <c r="C8338" s="42" t="str">
        <f>IFERROR(__xludf.DUMMYFUNCTION("""COMPUTED_VALUE"""),"M. 05685/ way kandis")</f>
        <v>M. 05685/ way kandis</v>
      </c>
      <c r="D8338" s="42"/>
      <c r="E8338" s="42"/>
      <c r="F8338" s="48" t="str">
        <f>IFERROR(__xludf.DUMMYFUNCTION("""COMPUTED_VALUE"""),"")</f>
        <v/>
      </c>
      <c r="G8338" s="42" t="str">
        <f>IFERROR(__xludf.DUMMYFUNCTION("""COMPUTED_VALUE"""),"BN Jual beli")</f>
        <v>BN Jual beli</v>
      </c>
      <c r="H8338" s="42">
        <f t="shared" si="1"/>
        <v>3318</v>
      </c>
    </row>
    <row r="8339" ht="22.5" customHeight="1">
      <c r="B8339" s="42" t="str">
        <f>IFERROR(__xludf.DUMMYFUNCTION("""COMPUTED_VALUE"""),"ABPTPSRZ")</f>
        <v>ABPTPSRZ</v>
      </c>
      <c r="C8339" s="42" t="str">
        <f>IFERROR(__xludf.DUMMYFUNCTION("""COMPUTED_VALUE"""),"M. 01375/Batu Putuk")</f>
        <v>M. 01375/Batu Putuk</v>
      </c>
      <c r="D8339" s="42"/>
      <c r="E8339" s="42"/>
      <c r="F8339" s="48" t="str">
        <f>IFERROR(__xludf.DUMMYFUNCTION("""COMPUTED_VALUE"""),"")</f>
        <v/>
      </c>
      <c r="G8339" s="42" t="str">
        <f>IFERROR(__xludf.DUMMYFUNCTION("""COMPUTED_VALUE"""),"Daftar ukur pemecahan")</f>
        <v>Daftar ukur pemecahan</v>
      </c>
      <c r="H8339" s="42">
        <f t="shared" si="1"/>
        <v>3318</v>
      </c>
    </row>
    <row r="8340" ht="22.5" customHeight="1">
      <c r="B8340" s="42" t="str">
        <f>IFERROR(__xludf.DUMMYFUNCTION("""COMPUTED_VALUE"""),"ABRIWTRB")</f>
        <v>ABRIWTRB</v>
      </c>
      <c r="C8340" s="42" t="str">
        <f>IFERROR(__xludf.DUMMYFUNCTION("""COMPUTED_VALUE"""),"SHM NIBEL. 20201/KEMILING RAYA")</f>
        <v>SHM NIBEL. 20201/KEMILING RAYA</v>
      </c>
      <c r="D8340" s="42"/>
      <c r="E8340" s="42"/>
      <c r="F8340" s="48" t="str">
        <f>IFERROR(__xludf.DUMMYFUNCTION("""COMPUTED_VALUE"""),"")</f>
        <v/>
      </c>
      <c r="G8340" s="42" t="str">
        <f>IFERROR(__xludf.DUMMYFUNCTION("""COMPUTED_VALUE"""),"BN JUAL BELI")</f>
        <v>BN JUAL BELI</v>
      </c>
      <c r="H8340" s="42">
        <f t="shared" si="1"/>
        <v>3318</v>
      </c>
    </row>
    <row r="8341" ht="22.5" customHeight="1">
      <c r="B8341" s="42" t="str">
        <f>IFERROR(__xludf.DUMMYFUNCTION("""COMPUTED_VALUE"""),"ABRFQKIS")</f>
        <v>ABRFQKIS</v>
      </c>
      <c r="C8341" s="42" t="str">
        <f>IFERROR(__xludf.DUMMYFUNCTION("""COMPUTED_VALUE"""),"M  279/ GUNUNG SULAH")</f>
        <v>M  279/ GUNUNG SULAH</v>
      </c>
      <c r="D8341" s="42"/>
      <c r="E8341" s="42"/>
      <c r="F8341" s="48" t="str">
        <f>IFERROR(__xludf.DUMMYFUNCTION("""COMPUTED_VALUE"""),"")</f>
        <v/>
      </c>
      <c r="G8341" s="42" t="str">
        <f>IFERROR(__xludf.DUMMYFUNCTION("""COMPUTED_VALUE"""),"BN JUAL BELI")</f>
        <v>BN JUAL BELI</v>
      </c>
      <c r="H8341" s="42">
        <f t="shared" si="1"/>
        <v>3318</v>
      </c>
    </row>
    <row r="8342" ht="22.5" customHeight="1">
      <c r="B8342" s="42" t="str">
        <f>IFERROR(__xludf.DUMMYFUNCTION("""COMPUTED_VALUE"""),"ABYYTCGK")</f>
        <v>ABYYTCGK</v>
      </c>
      <c r="C8342" s="42" t="str">
        <f>IFERROR(__xludf.DUMMYFUNCTION("""COMPUTED_VALUE"""),"NIBEL M 16668/ SUKARAME BARU")</f>
        <v>NIBEL M 16668/ SUKARAME BARU</v>
      </c>
      <c r="D8342" s="42"/>
      <c r="E8342" s="42"/>
      <c r="F8342" s="48" t="str">
        <f>IFERROR(__xludf.DUMMYFUNCTION("""COMPUTED_VALUE"""),"")</f>
        <v/>
      </c>
      <c r="G8342" s="42" t="str">
        <f>IFERROR(__xludf.DUMMYFUNCTION("""COMPUTED_VALUE"""),"BN JUAL BELI")</f>
        <v>BN JUAL BELI</v>
      </c>
      <c r="H8342" s="42">
        <f t="shared" si="1"/>
        <v>3318</v>
      </c>
    </row>
    <row r="8343" ht="22.5" customHeight="1">
      <c r="B8343" s="42" t="str">
        <f>IFERROR(__xludf.DUMMYFUNCTION("""COMPUTED_VALUE"""),"ABAXBMCA")</f>
        <v>ABAXBMCA</v>
      </c>
      <c r="C8343" s="42" t="str">
        <f>IFERROR(__xludf.DUMMYFUNCTION("""COMPUTED_VALUE"""),"NIBEL M 20318/ NOG")</f>
        <v>NIBEL M 20318/ NOG</v>
      </c>
      <c r="D8343" s="42"/>
      <c r="E8343" s="42"/>
      <c r="F8343" s="48" t="str">
        <f>IFERROR(__xludf.DUMMYFUNCTION("""COMPUTED_VALUE"""),"")</f>
        <v/>
      </c>
      <c r="G8343" s="42" t="str">
        <f>IFERROR(__xludf.DUMMYFUNCTION("""COMPUTED_VALUE"""),"PTPGT")</f>
        <v>PTPGT</v>
      </c>
      <c r="H8343" s="42">
        <f t="shared" si="1"/>
        <v>3318</v>
      </c>
    </row>
    <row r="8344" ht="22.5" customHeight="1">
      <c r="B8344" s="42" t="str">
        <f>IFERROR(__xludf.DUMMYFUNCTION("""COMPUTED_VALUE"""),"ABVWUOEO")</f>
        <v>ABVWUOEO</v>
      </c>
      <c r="C8344" s="42" t="str">
        <f>IFERROR(__xludf.DUMMYFUNCTION("""COMPUTED_VALUE"""),"m 82/ kota sepang")</f>
        <v>m 82/ kota sepang</v>
      </c>
      <c r="D8344" s="42"/>
      <c r="E8344" s="42"/>
      <c r="F8344" s="48" t="str">
        <f>IFERROR(__xludf.DUMMYFUNCTION("""COMPUTED_VALUE"""),"")</f>
        <v/>
      </c>
      <c r="G8344" s="42" t="str">
        <f>IFERROR(__xludf.DUMMYFUNCTION("""COMPUTED_VALUE"""),"Roya")</f>
        <v>Roya</v>
      </c>
      <c r="H8344" s="42">
        <f t="shared" si="1"/>
        <v>3318</v>
      </c>
    </row>
    <row r="8345" ht="22.5" customHeight="1">
      <c r="B8345" s="42" t="str">
        <f>IFERROR(__xludf.DUMMYFUNCTION("""COMPUTED_VALUE"""),"ABKSIREX")</f>
        <v>ABKSIREX</v>
      </c>
      <c r="C8345" s="42" t="str">
        <f>IFERROR(__xludf.DUMMYFUNCTION("""COMPUTED_VALUE"""),"3293/Lkp")</f>
        <v>3293/Lkp</v>
      </c>
      <c r="D8345" s="42"/>
      <c r="E8345" s="42"/>
      <c r="F8345" s="48" t="str">
        <f>IFERROR(__xludf.DUMMYFUNCTION("""COMPUTED_VALUE"""),"")</f>
        <v/>
      </c>
      <c r="G8345" s="42" t="str">
        <f>IFERROR(__xludf.DUMMYFUNCTION("""COMPUTED_VALUE"""),"Ganti desa")</f>
        <v>Ganti desa</v>
      </c>
      <c r="H8345" s="42">
        <f t="shared" si="1"/>
        <v>3318</v>
      </c>
    </row>
    <row r="8346" ht="22.5" customHeight="1">
      <c r="B8346" s="42" t="str">
        <f>IFERROR(__xludf.DUMMYFUNCTION("""COMPUTED_VALUE"""),"ABYWRXOE/AB030")</f>
        <v>ABYWRXOE/AB030</v>
      </c>
      <c r="C8346" s="42" t="str">
        <f>IFERROR(__xludf.DUMMYFUNCTION("""COMPUTED_VALUE"""),"B NIBEL 419/Kemiling Permai")</f>
        <v>B NIBEL 419/Kemiling Permai</v>
      </c>
      <c r="D8346" s="42"/>
      <c r="E8346" s="42"/>
      <c r="F8346" s="48" t="str">
        <f>IFERROR(__xludf.DUMMYFUNCTION("""COMPUTED_VALUE"""),"")</f>
        <v/>
      </c>
      <c r="G8346" s="42" t="str">
        <f>IFERROR(__xludf.DUMMYFUNCTION("""COMPUTED_VALUE"""),"Balik Nama Badan Hukum")</f>
        <v>Balik Nama Badan Hukum</v>
      </c>
      <c r="H8346" s="42">
        <f t="shared" si="1"/>
        <v>3318</v>
      </c>
    </row>
    <row r="8347" ht="22.5" customHeight="1">
      <c r="B8347" s="42" t="str">
        <f>IFERROR(__xludf.DUMMYFUNCTION("""COMPUTED_VALUE"""),"ABYLKVAC")</f>
        <v>ABYLKVAC</v>
      </c>
      <c r="C8347" s="42" t="str">
        <f>IFERROR(__xludf.DUMMYFUNCTION("""COMPUTED_VALUE"""),"B.888/ps")</f>
        <v>B.888/ps</v>
      </c>
      <c r="D8347" s="42"/>
      <c r="E8347" s="42"/>
      <c r="F8347" s="48" t="str">
        <f>IFERROR(__xludf.DUMMYFUNCTION("""COMPUTED_VALUE"""),"")</f>
        <v/>
      </c>
      <c r="G8347" s="42" t="str">
        <f>IFERROR(__xludf.DUMMYFUNCTION("""COMPUTED_VALUE"""),"Kewarisan")</f>
        <v>Kewarisan</v>
      </c>
      <c r="H8347" s="42">
        <f t="shared" si="1"/>
        <v>3318</v>
      </c>
    </row>
    <row r="8348" ht="22.5" customHeight="1">
      <c r="B8348" s="42" t="str">
        <f>IFERROR(__xludf.DUMMYFUNCTION("""COMPUTED_VALUE"""),"ABJOIKAK ")</f>
        <v>ABJOIKAK </v>
      </c>
      <c r="C8348" s="42" t="str">
        <f>IFERROR(__xludf.DUMMYFUNCTION("""COMPUTED_VALUE"""),"SHM NIB : 24263.0/Kedaton")</f>
        <v>SHM NIB : 24263.0/Kedaton</v>
      </c>
      <c r="D8348" s="42"/>
      <c r="E8348" s="42"/>
      <c r="F8348" s="48" t="str">
        <f>IFERROR(__xludf.DUMMYFUNCTION("""COMPUTED_VALUE"""),"")</f>
        <v/>
      </c>
      <c r="G8348" s="42" t="str">
        <f>IFERROR(__xludf.DUMMYFUNCTION("""COMPUTED_VALUE"""),"Balik Nama")</f>
        <v>Balik Nama</v>
      </c>
      <c r="H8348" s="42">
        <f t="shared" si="1"/>
        <v>3318</v>
      </c>
    </row>
    <row r="8349" ht="22.5" customHeight="1">
      <c r="B8349" s="42" t="str">
        <f>IFERROR(__xludf.DUMMYFUNCTION("""COMPUTED_VALUE"""),"ABWAHYZT")</f>
        <v>ABWAHYZT</v>
      </c>
      <c r="C8349" s="42" t="str">
        <f>IFERROR(__xludf.DUMMYFUNCTION("""COMPUTED_VALUE"""),"SHM NO 2182/Labuhan Ratu Raya")</f>
        <v>SHM NO 2182/Labuhan Ratu Raya</v>
      </c>
      <c r="D8349" s="42"/>
      <c r="E8349" s="42"/>
      <c r="F8349" s="48" t="str">
        <f>IFERROR(__xludf.DUMMYFUNCTION("""COMPUTED_VALUE"""),"")</f>
        <v/>
      </c>
      <c r="G8349" s="42" t="str">
        <f>IFERROR(__xludf.DUMMYFUNCTION("""COMPUTED_VALUE"""),"Balik Nama")</f>
        <v>Balik Nama</v>
      </c>
      <c r="H8349" s="42">
        <f t="shared" si="1"/>
        <v>3318</v>
      </c>
    </row>
    <row r="8350" ht="22.5" customHeight="1">
      <c r="B8350" s="42" t="str">
        <f>IFERROR(__xludf.DUMMYFUNCTION("""COMPUTED_VALUE"""),"ABVOMGFP")</f>
        <v>ABVOMGFP</v>
      </c>
      <c r="C8350" s="42" t="str">
        <f>IFERROR(__xludf.DUMMYFUNCTION("""COMPUTED_VALUE"""),"SHM NIB : 16937.0/Waydadi")</f>
        <v>SHM NIB : 16937.0/Waydadi</v>
      </c>
      <c r="D8350" s="42"/>
      <c r="E8350" s="42"/>
      <c r="F8350" s="48" t="str">
        <f>IFERROR(__xludf.DUMMYFUNCTION("""COMPUTED_VALUE"""),"")</f>
        <v/>
      </c>
      <c r="G8350" s="42" t="str">
        <f>IFERROR(__xludf.DUMMYFUNCTION("""COMPUTED_VALUE"""),"Balik Nama")</f>
        <v>Balik Nama</v>
      </c>
      <c r="H8350" s="42">
        <f t="shared" si="1"/>
        <v>3318</v>
      </c>
    </row>
    <row r="8351" ht="22.5" customHeight="1">
      <c r="B8351" s="42" t="str">
        <f>IFERROR(__xludf.DUMMYFUNCTION("""COMPUTED_VALUE"""),"ABJQGPGE/AB065")</f>
        <v>ABJQGPGE/AB065</v>
      </c>
      <c r="C8351" s="42" t="str">
        <f>IFERROR(__xludf.DUMMYFUNCTION("""COMPUTED_VALUE"""),"M.4453/Rajabasa Jaya")</f>
        <v>M.4453/Rajabasa Jaya</v>
      </c>
      <c r="D8351" s="42"/>
      <c r="E8351" s="42"/>
      <c r="F8351" s="48" t="str">
        <f>IFERROR(__xludf.DUMMYFUNCTION("""COMPUTED_VALUE"""),"")</f>
        <v/>
      </c>
      <c r="G8351" s="42" t="str">
        <f>IFERROR(__xludf.DUMMYFUNCTION("""COMPUTED_VALUE"""),"BN Jual Beli")</f>
        <v>BN Jual Beli</v>
      </c>
      <c r="H8351" s="42">
        <f t="shared" si="1"/>
        <v>3318</v>
      </c>
    </row>
    <row r="8352" ht="22.5" customHeight="1">
      <c r="B8352" s="42" t="str">
        <f>IFERROR(__xludf.DUMMYFUNCTION("""COMPUTED_VALUE"""),"ABTSEDDO/AB065")</f>
        <v>ABTSEDDO/AB065</v>
      </c>
      <c r="C8352" s="42" t="str">
        <f>IFERROR(__xludf.DUMMYFUNCTION("""COMPUTED_VALUE"""),"M.2308/Sepang Jaya ")</f>
        <v>M.2308/Sepang Jaya </v>
      </c>
      <c r="D8352" s="42"/>
      <c r="E8352" s="42"/>
      <c r="F8352" s="48" t="str">
        <f>IFERROR(__xludf.DUMMYFUNCTION("""COMPUTED_VALUE"""),"")</f>
        <v/>
      </c>
      <c r="G8352" s="42" t="str">
        <f>IFERROR(__xludf.DUMMYFUNCTION("""COMPUTED_VALUE"""),"BN Jual Beli ")</f>
        <v>BN Jual Beli </v>
      </c>
      <c r="H8352" s="42">
        <f t="shared" si="1"/>
        <v>3318</v>
      </c>
    </row>
    <row r="8353" ht="22.5" customHeight="1">
      <c r="B8353" s="42" t="str">
        <f>IFERROR(__xludf.DUMMYFUNCTION("""COMPUTED_VALUE"""),"ABSADZWS/1")</f>
        <v>ABSADZWS/1</v>
      </c>
      <c r="C8353" s="42" t="str">
        <f>IFERROR(__xludf.DUMMYFUNCTION("""COMPUTED_VALUE"""),"HGB.02415/Campang Jaya")</f>
        <v>HGB.02415/Campang Jaya</v>
      </c>
      <c r="D8353" s="42"/>
      <c r="E8353" s="42"/>
      <c r="F8353" s="48" t="str">
        <f>IFERROR(__xludf.DUMMYFUNCTION("""COMPUTED_VALUE"""),"")</f>
        <v/>
      </c>
      <c r="G8353" s="42" t="str">
        <f>IFERROR(__xludf.DUMMYFUNCTION("""COMPUTED_VALUE"""),"AJB-BN")</f>
        <v>AJB-BN</v>
      </c>
      <c r="H8353" s="42">
        <f t="shared" si="1"/>
        <v>3318</v>
      </c>
    </row>
    <row r="8354" ht="22.5" customHeight="1">
      <c r="B8354" s="42" t="str">
        <f>IFERROR(__xludf.DUMMYFUNCTION("""COMPUTED_VALUE"""),"ABZDIJWX/1")</f>
        <v>ABZDIJWX/1</v>
      </c>
      <c r="C8354" s="42" t="str">
        <f>IFERROR(__xludf.DUMMYFUNCTION("""COMPUTED_VALUE"""),"HM.01562/Sukabumi Indah")</f>
        <v>HM.01562/Sukabumi Indah</v>
      </c>
      <c r="D8354" s="42"/>
      <c r="E8354" s="42"/>
      <c r="F8354" s="48" t="str">
        <f>IFERROR(__xludf.DUMMYFUNCTION("""COMPUTED_VALUE"""),"")</f>
        <v/>
      </c>
      <c r="G8354" s="42" t="str">
        <f>IFERROR(__xludf.DUMMYFUNCTION("""COMPUTED_VALUE"""),"AJB-BN")</f>
        <v>AJB-BN</v>
      </c>
      <c r="H8354" s="42">
        <f t="shared" si="1"/>
        <v>3318</v>
      </c>
    </row>
    <row r="8355" ht="22.5" customHeight="1">
      <c r="B8355" s="42" t="str">
        <f>IFERROR(__xludf.DUMMYFUNCTION("""COMPUTED_VALUE"""),"ABDOKSQE/1")</f>
        <v>ABDOKSQE/1</v>
      </c>
      <c r="C8355" s="42" t="str">
        <f>IFERROR(__xludf.DUMMYFUNCTION("""COMPUTED_VALUE"""),"HM.00478/GUNUNG AGUNG")</f>
        <v>HM.00478/GUNUNG AGUNG</v>
      </c>
      <c r="D8355" s="42"/>
      <c r="E8355" s="42"/>
      <c r="F8355" s="48" t="str">
        <f>IFERROR(__xludf.DUMMYFUNCTION("""COMPUTED_VALUE"""),"")</f>
        <v/>
      </c>
      <c r="G8355" s="42" t="str">
        <f>IFERROR(__xludf.DUMMYFUNCTION("""COMPUTED_VALUE"""),"AJB-BN")</f>
        <v>AJB-BN</v>
      </c>
      <c r="H8355" s="42">
        <f t="shared" si="1"/>
        <v>3318</v>
      </c>
    </row>
    <row r="8356" ht="22.5" customHeight="1">
      <c r="B8356" s="42" t="str">
        <f>IFERROR(__xludf.DUMMYFUNCTION("""COMPUTED_VALUE"""),"ABLKIBNJ/1")</f>
        <v>ABLKIBNJ/1</v>
      </c>
      <c r="C8356" s="42" t="str">
        <f>IFERROR(__xludf.DUMMYFUNCTION("""COMPUTED_VALUE"""),"NIB.08.01.000024978.0 SUMUR PUTRI")</f>
        <v>NIB.08.01.000024978.0 SUMUR PUTRI</v>
      </c>
      <c r="D8356" s="42"/>
      <c r="E8356" s="42"/>
      <c r="F8356" s="48" t="str">
        <f>IFERROR(__xludf.DUMMYFUNCTION("""COMPUTED_VALUE"""),"")</f>
        <v/>
      </c>
      <c r="G8356" s="42" t="str">
        <f>IFERROR(__xludf.DUMMYFUNCTION("""COMPUTED_VALUE"""),"PERUBAHAN HAK")</f>
        <v>PERUBAHAN HAK</v>
      </c>
      <c r="H8356" s="42">
        <f t="shared" si="1"/>
        <v>3318</v>
      </c>
    </row>
    <row r="8357" ht="22.5" customHeight="1">
      <c r="B8357" s="42" t="str">
        <f>IFERROR(__xludf.DUMMYFUNCTION("""COMPUTED_VALUE"""),"ABHLIWBI")</f>
        <v>ABHLIWBI</v>
      </c>
      <c r="C8357" s="42" t="str">
        <f>IFERROR(__xludf.DUMMYFUNCTION("""COMPUTED_VALUE"""),"M.1623/Teluk betung")</f>
        <v>M.1623/Teluk betung</v>
      </c>
      <c r="D8357" s="42"/>
      <c r="E8357" s="42"/>
      <c r="F8357" s="48" t="str">
        <f>IFERROR(__xludf.DUMMYFUNCTION("""COMPUTED_VALUE"""),"")</f>
        <v/>
      </c>
      <c r="G8357" s="42" t="str">
        <f>IFERROR(__xludf.DUMMYFUNCTION("""COMPUTED_VALUE"""),"Balik nama Hibah")</f>
        <v>Balik nama Hibah</v>
      </c>
      <c r="H8357" s="42">
        <f t="shared" si="1"/>
        <v>3318</v>
      </c>
    </row>
    <row r="8358" ht="22.5" customHeight="1">
      <c r="B8358" s="42" t="str">
        <f>IFERROR(__xludf.DUMMYFUNCTION("""COMPUTED_VALUE"""),"ABTIEIGI/AB013")</f>
        <v>ABTIEIGI/AB013</v>
      </c>
      <c r="C8358" s="42" t="str">
        <f>IFERROR(__xludf.DUMMYFUNCTION("""COMPUTED_VALUE"""),"SHM NO 07024")</f>
        <v>SHM NO 07024</v>
      </c>
      <c r="D8358" s="42"/>
      <c r="E8358" s="42"/>
      <c r="F8358" s="48" t="str">
        <f>IFERROR(__xludf.DUMMYFUNCTION("""COMPUTED_VALUE"""),"")</f>
        <v/>
      </c>
      <c r="G8358" s="42" t="str">
        <f>IFERROR(__xludf.DUMMYFUNCTION("""COMPUTED_VALUE"""),"BN JUAL BELI")</f>
        <v>BN JUAL BELI</v>
      </c>
      <c r="H8358" s="42">
        <f t="shared" si="1"/>
        <v>3318</v>
      </c>
    </row>
    <row r="8359" ht="22.5" customHeight="1">
      <c r="B8359" s="42" t="str">
        <f>IFERROR(__xludf.DUMMYFUNCTION("""COMPUTED_VALUE"""),"ABMLHWGZ/AB013")</f>
        <v>ABMLHWGZ/AB013</v>
      </c>
      <c r="C8359" s="42" t="str">
        <f>IFERROR(__xludf.DUMMYFUNCTION("""COMPUTED_VALUE"""),"SHM NO 06422")</f>
        <v>SHM NO 06422</v>
      </c>
      <c r="D8359" s="42"/>
      <c r="E8359" s="42"/>
      <c r="F8359" s="48" t="str">
        <f>IFERROR(__xludf.DUMMYFUNCTION("""COMPUTED_VALUE"""),"")</f>
        <v/>
      </c>
      <c r="G8359" s="42" t="str">
        <f>IFERROR(__xludf.DUMMYFUNCTION("""COMPUTED_VALUE"""),"BN JUAL BELI")</f>
        <v>BN JUAL BELI</v>
      </c>
      <c r="H8359" s="42">
        <f t="shared" si="1"/>
        <v>3318</v>
      </c>
    </row>
    <row r="8360" ht="22.5" customHeight="1">
      <c r="B8360" s="42" t="str">
        <f>IFERROR(__xludf.DUMMYFUNCTION("""COMPUTED_VALUE"""),"K/32/141025/1")</f>
        <v>K/32/141025/1</v>
      </c>
      <c r="C8360" s="42" t="str">
        <f>IFERROR(__xludf.DUMMYFUNCTION("""COMPUTED_VALUE"""),"NIBEL M. 25313/SUSUNAN BARU")</f>
        <v>NIBEL M. 25313/SUSUNAN BARU</v>
      </c>
      <c r="D8360" s="42"/>
      <c r="E8360" s="42"/>
      <c r="F8360" s="48" t="str">
        <f>IFERROR(__xludf.DUMMYFUNCTION("""COMPUTED_VALUE"""),"")</f>
        <v/>
      </c>
      <c r="G8360" s="42" t="str">
        <f>IFERROR(__xludf.DUMMYFUNCTION("""COMPUTED_VALUE"""),"BN WARIS")</f>
        <v>BN WARIS</v>
      </c>
      <c r="H8360" s="42">
        <f t="shared" si="1"/>
        <v>3318</v>
      </c>
    </row>
    <row r="8361" ht="22.5" customHeight="1">
      <c r="B8361" s="42" t="str">
        <f>IFERROR(__xludf.DUMMYFUNCTION("""COMPUTED_VALUE"""),"L/2/161025/1")</f>
        <v>L/2/161025/1</v>
      </c>
      <c r="C8361" s="42" t="str">
        <f>IFERROR(__xludf.DUMMYFUNCTION("""COMPUTED_VALUE"""),"GUNUNG SULAH")</f>
        <v>GUNUNG SULAH</v>
      </c>
      <c r="D8361" s="42"/>
      <c r="E8361" s="42"/>
      <c r="F8361" s="48" t="str">
        <f>IFERROR(__xludf.DUMMYFUNCTION("""COMPUTED_VALUE"""),"")</f>
        <v/>
      </c>
      <c r="G8361" s="42" t="str">
        <f>IFERROR(__xludf.DUMMYFUNCTION("""COMPUTED_VALUE"""),"TANAH MENTAH")</f>
        <v>TANAH MENTAH</v>
      </c>
      <c r="H8361" s="42">
        <f t="shared" si="1"/>
        <v>3318</v>
      </c>
    </row>
    <row r="8362" ht="22.5" customHeight="1">
      <c r="B8362" s="42" t="str">
        <f>IFERROR(__xludf.DUMMYFUNCTION("""COMPUTED_VALUE"""),"K/1/161025/1")</f>
        <v>K/1/161025/1</v>
      </c>
      <c r="C8362" s="42" t="str">
        <f>IFERROR(__xludf.DUMMYFUNCTION("""COMPUTED_VALUE"""),"M. 166/TANJUNG SENANG")</f>
        <v>M. 166/TANJUNG SENANG</v>
      </c>
      <c r="D8362" s="42"/>
      <c r="E8362" s="42"/>
      <c r="F8362" s="48" t="str">
        <f>IFERROR(__xludf.DUMMYFUNCTION("""COMPUTED_VALUE"""),"")</f>
        <v/>
      </c>
      <c r="G8362" s="42" t="str">
        <f>IFERROR(__xludf.DUMMYFUNCTION("""COMPUTED_VALUE"""),"SKPT LELANG")</f>
        <v>SKPT LELANG</v>
      </c>
      <c r="H8362" s="42">
        <f t="shared" si="1"/>
        <v>3318</v>
      </c>
    </row>
    <row r="8363" ht="22.5" customHeight="1">
      <c r="B8363" s="42" t="str">
        <f>IFERROR(__xludf.DUMMYFUNCTION("""COMPUTED_VALUE"""),"K/4/161025/1")</f>
        <v>K/4/161025/1</v>
      </c>
      <c r="C8363" s="42" t="str">
        <f>IFERROR(__xludf.DUMMYFUNCTION("""COMPUTED_VALUE"""),"M.2392/SUKADANA HAM")</f>
        <v>M.2392/SUKADANA HAM</v>
      </c>
      <c r="D8363" s="42"/>
      <c r="E8363" s="42"/>
      <c r="F8363" s="48" t="str">
        <f>IFERROR(__xludf.DUMMYFUNCTION("""COMPUTED_VALUE"""),"")</f>
        <v/>
      </c>
      <c r="G8363" s="42" t="str">
        <f>IFERROR(__xludf.DUMMYFUNCTION("""COMPUTED_VALUE"""),"SKPT LELANG")</f>
        <v>SKPT LELANG</v>
      </c>
      <c r="H8363" s="42">
        <f t="shared" si="1"/>
        <v>3318</v>
      </c>
    </row>
    <row r="8364" ht="22.5" customHeight="1">
      <c r="B8364" s="42" t="str">
        <f>IFERROR(__xludf.DUMMYFUNCTION("""COMPUTED_VALUE"""),"K/5/161025/2")</f>
        <v>K/5/161025/2</v>
      </c>
      <c r="C8364" s="42" t="str">
        <f>IFERROR(__xludf.DUMMYFUNCTION("""COMPUTED_VALUE"""),"M. 15323/SUKARAME")</f>
        <v>M. 15323/SUKARAME</v>
      </c>
      <c r="D8364" s="42"/>
      <c r="E8364" s="42"/>
      <c r="F8364" s="48" t="str">
        <f>IFERROR(__xludf.DUMMYFUNCTION("""COMPUTED_VALUE"""),"")</f>
        <v/>
      </c>
      <c r="G8364" s="42" t="str">
        <f>IFERROR(__xludf.DUMMYFUNCTION("""COMPUTED_VALUE"""),"SKPT LELANG")</f>
        <v>SKPT LELANG</v>
      </c>
      <c r="H8364" s="42">
        <f t="shared" si="1"/>
        <v>3318</v>
      </c>
    </row>
    <row r="8365" ht="22.5" customHeight="1">
      <c r="B8365" s="42" t="str">
        <f>IFERROR(__xludf.DUMMYFUNCTION("""COMPUTED_VALUE"""),"K/6/161025/3")</f>
        <v>K/6/161025/3</v>
      </c>
      <c r="C8365" s="42" t="str">
        <f>IFERROR(__xludf.DUMMYFUNCTION("""COMPUTED_VALUE"""),"M. 2394/SUKADANA HAM")</f>
        <v>M. 2394/SUKADANA HAM</v>
      </c>
      <c r="D8365" s="42"/>
      <c r="E8365" s="42"/>
      <c r="F8365" s="48" t="str">
        <f>IFERROR(__xludf.DUMMYFUNCTION("""COMPUTED_VALUE"""),"")</f>
        <v/>
      </c>
      <c r="G8365" s="42" t="str">
        <f>IFERROR(__xludf.DUMMYFUNCTION("""COMPUTED_VALUE"""),"SKPT LELANG")</f>
        <v>SKPT LELANG</v>
      </c>
      <c r="H8365" s="42">
        <f t="shared" si="1"/>
        <v>3318</v>
      </c>
    </row>
    <row r="8366" ht="22.5" customHeight="1">
      <c r="B8366" s="42" t="str">
        <f>IFERROR(__xludf.DUMMYFUNCTION("""COMPUTED_VALUE"""),"ABYWDFIO")</f>
        <v>ABYWDFIO</v>
      </c>
      <c r="C8366" s="42" t="str">
        <f>IFERROR(__xludf.DUMMYFUNCTION("""COMPUTED_VALUE"""),"366/ Tj.R")</f>
        <v>366/ Tj.R</v>
      </c>
      <c r="D8366" s="42"/>
      <c r="E8366" s="42"/>
      <c r="F8366" s="48" t="str">
        <f>IFERROR(__xludf.DUMMYFUNCTION("""COMPUTED_VALUE"""),"")</f>
        <v/>
      </c>
      <c r="G8366" s="42" t="str">
        <f>IFERROR(__xludf.DUMMYFUNCTION("""COMPUTED_VALUE"""),"BN/Jual Beli")</f>
        <v>BN/Jual Beli</v>
      </c>
      <c r="H8366" s="42">
        <f t="shared" si="1"/>
        <v>3318</v>
      </c>
    </row>
    <row r="8367" ht="22.5" customHeight="1">
      <c r="B8367" s="42" t="str">
        <f>IFERROR(__xludf.DUMMYFUNCTION("""COMPUTED_VALUE"""),"L/3/161025/1")</f>
        <v>L/3/161025/1</v>
      </c>
      <c r="C8367" s="42" t="str">
        <f>IFERROR(__xludf.DUMMYFUNCTION("""COMPUTED_VALUE"""),"M.1396/LABUHAN DALAM")</f>
        <v>M.1396/LABUHAN DALAM</v>
      </c>
      <c r="D8367" s="42"/>
      <c r="E8367" s="42"/>
      <c r="F8367" s="48" t="str">
        <f>IFERROR(__xludf.DUMMYFUNCTION("""COMPUTED_VALUE"""),"")</f>
        <v/>
      </c>
      <c r="G8367" s="42" t="str">
        <f>IFERROR(__xludf.DUMMYFUNCTION("""COMPUTED_VALUE"""),"ROYA ")</f>
        <v>ROYA </v>
      </c>
      <c r="H8367" s="42">
        <f t="shared" si="1"/>
        <v>3318</v>
      </c>
    </row>
    <row r="8368" ht="22.5" customHeight="1">
      <c r="B8368" s="42" t="str">
        <f>IFERROR(__xludf.DUMMYFUNCTION("""COMPUTED_VALUE"""),"ABGHDECA")</f>
        <v>ABGHDECA</v>
      </c>
      <c r="C8368" s="42" t="str">
        <f>IFERROR(__xludf.DUMMYFUNCTION("""COMPUTED_VALUE"""),"NIBEL M 16930/ LABUHAN RATU RAYA")</f>
        <v>NIBEL M 16930/ LABUHAN RATU RAYA</v>
      </c>
      <c r="D8368" s="42"/>
      <c r="E8368" s="42"/>
      <c r="F8368" s="48" t="str">
        <f>IFERROR(__xludf.DUMMYFUNCTION("""COMPUTED_VALUE"""),"")</f>
        <v/>
      </c>
      <c r="G8368" s="42" t="str">
        <f>IFERROR(__xludf.DUMMYFUNCTION("""COMPUTED_VALUE"""),"BN JUAL BELI")</f>
        <v>BN JUAL BELI</v>
      </c>
      <c r="H8368" s="42">
        <f t="shared" si="1"/>
        <v>3318</v>
      </c>
    </row>
    <row r="8369" ht="22.5" customHeight="1">
      <c r="B8369" s="42" t="str">
        <f>IFERROR(__xludf.DUMMYFUNCTION("""COMPUTED_VALUE"""),"AHDKEFTA")</f>
        <v>AHDKEFTA</v>
      </c>
      <c r="C8369" s="42" t="str">
        <f>IFERROR(__xludf.DUMMYFUNCTION("""COMPUTED_VALUE"""),"NIBEL M 24126/ SEGALA MIDER")</f>
        <v>NIBEL M 24126/ SEGALA MIDER</v>
      </c>
      <c r="D8369" s="42"/>
      <c r="E8369" s="42"/>
      <c r="F8369" s="48" t="str">
        <f>IFERROR(__xludf.DUMMYFUNCTION("""COMPUTED_VALUE"""),"")</f>
        <v/>
      </c>
      <c r="G8369" s="42" t="str">
        <f>IFERROR(__xludf.DUMMYFUNCTION("""COMPUTED_VALUE"""),"BN PHB")</f>
        <v>BN PHB</v>
      </c>
      <c r="H8369" s="42">
        <f t="shared" si="1"/>
        <v>3318</v>
      </c>
    </row>
    <row r="8370" ht="22.5" customHeight="1">
      <c r="B8370" s="42" t="str">
        <f>IFERROR(__xludf.DUMMYFUNCTION("""COMPUTED_VALUE"""),"K/8/161025/1")</f>
        <v>K/8/161025/1</v>
      </c>
      <c r="C8370" s="42" t="str">
        <f>IFERROR(__xludf.DUMMYFUNCTION("""COMPUTED_VALUE"""),"NIBEL B. 25568/NUSANTARA PERMAI")</f>
        <v>NIBEL B. 25568/NUSANTARA PERMAI</v>
      </c>
      <c r="D8370" s="42"/>
      <c r="E8370" s="42"/>
      <c r="F8370" s="48" t="str">
        <f>IFERROR(__xludf.DUMMYFUNCTION("""COMPUTED_VALUE"""),"")</f>
        <v/>
      </c>
      <c r="G8370" s="42" t="str">
        <f>IFERROR(__xludf.DUMMYFUNCTION("""COMPUTED_VALUE"""),"PERUBAHAN HAK ")</f>
        <v>PERUBAHAN HAK </v>
      </c>
      <c r="H8370" s="42">
        <f t="shared" si="1"/>
        <v>3318</v>
      </c>
    </row>
    <row r="8371" ht="22.5" customHeight="1">
      <c r="B8371" s="42" t="str">
        <f>IFERROR(__xludf.DUMMYFUNCTION("""COMPUTED_VALUE"""),"ABTVSGXX")</f>
        <v>ABTVSGXX</v>
      </c>
      <c r="C8371" s="42" t="str">
        <f>IFERROR(__xludf.DUMMYFUNCTION("""COMPUTED_VALUE"""),"SHM 453 ")</f>
        <v>SHM 453 </v>
      </c>
      <c r="D8371" s="42"/>
      <c r="E8371" s="42"/>
      <c r="F8371" s="48" t="str">
        <f>IFERROR(__xludf.DUMMYFUNCTION("""COMPUTED_VALUE"""),"")</f>
        <v/>
      </c>
      <c r="G8371" s="42" t="str">
        <f>IFERROR(__xludf.DUMMYFUNCTION("""COMPUTED_VALUE"""),"BN Jual beli")</f>
        <v>BN Jual beli</v>
      </c>
      <c r="H8371" s="42">
        <f t="shared" si="1"/>
        <v>3318</v>
      </c>
    </row>
    <row r="8372" ht="22.5" customHeight="1">
      <c r="B8372" s="42" t="str">
        <f>IFERROR(__xludf.DUMMYFUNCTION("""COMPUTED_VALUE"""),"ABRHTCOO")</f>
        <v>ABRHTCOO</v>
      </c>
      <c r="C8372" s="42" t="str">
        <f>IFERROR(__xludf.DUMMYFUNCTION("""COMPUTED_VALUE"""),"NIBEL M 4567/ KEDAMAIAN")</f>
        <v>NIBEL M 4567/ KEDAMAIAN</v>
      </c>
      <c r="D8372" s="42"/>
      <c r="E8372" s="42"/>
      <c r="F8372" s="48" t="str">
        <f>IFERROR(__xludf.DUMMYFUNCTION("""COMPUTED_VALUE"""),"")</f>
        <v/>
      </c>
      <c r="G8372" s="42" t="str">
        <f>IFERROR(__xludf.DUMMYFUNCTION("""COMPUTED_VALUE"""),"BN Jual Beli")</f>
        <v>BN Jual Beli</v>
      </c>
      <c r="H8372" s="42">
        <f t="shared" si="1"/>
        <v>3318</v>
      </c>
    </row>
    <row r="8373" ht="22.5" customHeight="1">
      <c r="B8373" s="42" t="str">
        <f>IFERROR(__xludf.DUMMYFUNCTION("""COMPUTED_VALUE"""),"K/9/161025/1")</f>
        <v>K/9/161025/1</v>
      </c>
      <c r="C8373" s="42" t="str">
        <f>IFERROR(__xludf.DUMMYFUNCTION("""COMPUTED_VALUE"""),"B. 647/NUSANTARA PERMAI")</f>
        <v>B. 647/NUSANTARA PERMAI</v>
      </c>
      <c r="D8373" s="42"/>
      <c r="E8373" s="42"/>
      <c r="F8373" s="48" t="str">
        <f>IFERROR(__xludf.DUMMYFUNCTION("""COMPUTED_VALUE"""),"")</f>
        <v/>
      </c>
      <c r="G8373" s="42" t="str">
        <f>IFERROR(__xludf.DUMMYFUNCTION("""COMPUTED_VALUE"""),"PERUBAHAN HAK")</f>
        <v>PERUBAHAN HAK</v>
      </c>
      <c r="H8373" s="42">
        <f t="shared" si="1"/>
        <v>3318</v>
      </c>
    </row>
    <row r="8374" ht="22.5" customHeight="1">
      <c r="B8374" s="42" t="str">
        <f>IFERROR(__xludf.DUMMYFUNCTION("""COMPUTED_VALUE"""),"ABCWYKP")</f>
        <v>ABCWYKP</v>
      </c>
      <c r="C8374" s="42" t="str">
        <f>IFERROR(__xludf.DUMMYFUNCTION("""COMPUTED_VALUE"""),"M. 1129/Gunung Sulah ")</f>
        <v>M. 1129/Gunung Sulah </v>
      </c>
      <c r="D8374" s="42"/>
      <c r="E8374" s="42"/>
      <c r="F8374" s="48" t="str">
        <f>IFERROR(__xludf.DUMMYFUNCTION("""COMPUTED_VALUE"""),"")</f>
        <v/>
      </c>
      <c r="G8374" s="42" t="str">
        <f>IFERROR(__xludf.DUMMYFUNCTION("""COMPUTED_VALUE"""),"BALIK NAMA")</f>
        <v>BALIK NAMA</v>
      </c>
      <c r="H8374" s="42">
        <f t="shared" si="1"/>
        <v>3318</v>
      </c>
    </row>
    <row r="8375" ht="22.5" customHeight="1">
      <c r="B8375" s="42" t="str">
        <f>IFERROR(__xludf.DUMMYFUNCTION("""COMPUTED_VALUE"""),"K/10/161025/1")</f>
        <v>K/10/161025/1</v>
      </c>
      <c r="C8375" s="42" t="str">
        <f>IFERROR(__xludf.DUMMYFUNCTION("""COMPUTED_VALUE"""),"M. 52 /JAGABAYA II")</f>
        <v>M. 52 /JAGABAYA II</v>
      </c>
      <c r="D8375" s="42"/>
      <c r="E8375" s="42"/>
      <c r="F8375" s="48" t="str">
        <f>IFERROR(__xludf.DUMMYFUNCTION("""COMPUTED_VALUE"""),"")</f>
        <v/>
      </c>
      <c r="G8375" s="42" t="str">
        <f>IFERROR(__xludf.DUMMYFUNCTION("""COMPUTED_VALUE"""),"ROYA")</f>
        <v>ROYA</v>
      </c>
      <c r="H8375" s="42">
        <f t="shared" si="1"/>
        <v>3318</v>
      </c>
    </row>
    <row r="8376" ht="22.5" customHeight="1">
      <c r="B8376" s="42" t="str">
        <f>IFERROR(__xludf.DUMMYFUNCTION("""COMPUTED_VALUE"""),"ABSHOMOC")</f>
        <v>ABSHOMOC</v>
      </c>
      <c r="C8376" s="42" t="str">
        <f>IFERROR(__xludf.DUMMYFUNCTION("""COMPUTED_VALUE"""),"SHM NIBEL 18536")</f>
        <v>SHM NIBEL 18536</v>
      </c>
      <c r="D8376" s="42" t="str">
        <f>IFERROR(__xludf.DUMMYFUNCTION("""COMPUTED_VALUE"""),"Berry")</f>
        <v>Berry</v>
      </c>
      <c r="E8376" s="42" t="str">
        <f>IFERROR(__xludf.DUMMYFUNCTION("""COMPUTED_VALUE"""),"DISERAHKAN")</f>
        <v>DISERAHKAN</v>
      </c>
      <c r="F8376" s="48">
        <f>IFERROR(__xludf.DUMMYFUNCTION("""COMPUTED_VALUE"""),46020.65153145834)</f>
        <v>46020.65153</v>
      </c>
      <c r="G8376" s="42" t="str">
        <f>IFERROR(__xludf.DUMMYFUNCTION("""COMPUTED_VALUE"""),"Balik Nama")</f>
        <v>Balik Nama</v>
      </c>
      <c r="H8376" s="42">
        <f t="shared" si="1"/>
        <v>3319</v>
      </c>
    </row>
    <row r="8377" ht="22.5" customHeight="1">
      <c r="B8377" s="42" t="str">
        <f>IFERROR(__xludf.DUMMYFUNCTION("""COMPUTED_VALUE"""),"ABDSOYKB")</f>
        <v>ABDSOYKB</v>
      </c>
      <c r="C8377" s="42" t="str">
        <f>IFERROR(__xludf.DUMMYFUNCTION("""COMPUTED_VALUE"""),"M.1148 / Segala Mider")</f>
        <v>M.1148 / Segala Mider</v>
      </c>
      <c r="D8377" s="42"/>
      <c r="E8377" s="42"/>
      <c r="F8377" s="48" t="str">
        <f>IFERROR(__xludf.DUMMYFUNCTION("""COMPUTED_VALUE"""),"")</f>
        <v/>
      </c>
      <c r="G8377" s="42" t="str">
        <f>IFERROR(__xludf.DUMMYFUNCTION("""COMPUTED_VALUE"""),"ROYA")</f>
        <v>ROYA</v>
      </c>
      <c r="H8377" s="42">
        <f t="shared" si="1"/>
        <v>3319</v>
      </c>
    </row>
    <row r="8378" ht="22.5" customHeight="1">
      <c r="B8378" s="42" t="str">
        <f>IFERROR(__xludf.DUMMYFUNCTION("""COMPUTED_VALUE"""),"ABBGZHGC")</f>
        <v>ABBGZHGC</v>
      </c>
      <c r="C8378" s="42" t="str">
        <f>IFERROR(__xludf.DUMMYFUNCTION("""COMPUTED_VALUE"""),"M.08.01.000025131.0/Kedaton")</f>
        <v>M.08.01.000025131.0/Kedaton</v>
      </c>
      <c r="D8378" s="42"/>
      <c r="E8378" s="42"/>
      <c r="F8378" s="48" t="str">
        <f>IFERROR(__xludf.DUMMYFUNCTION("""COMPUTED_VALUE"""),"")</f>
        <v/>
      </c>
      <c r="G8378" s="42" t="str">
        <f>IFERROR(__xludf.DUMMYFUNCTION("""COMPUTED_VALUE"""),"Kuasa")</f>
        <v>Kuasa</v>
      </c>
      <c r="H8378" s="42">
        <f t="shared" si="1"/>
        <v>3319</v>
      </c>
    </row>
    <row r="8379" ht="22.5" customHeight="1">
      <c r="B8379" s="42" t="str">
        <f>IFERROR(__xludf.DUMMYFUNCTION("""COMPUTED_VALUE"""),"L/7/161025/1")</f>
        <v>L/7/161025/1</v>
      </c>
      <c r="C8379" s="42" t="str">
        <f>IFERROR(__xludf.DUMMYFUNCTION("""COMPUTED_VALUE"""),"M.1618/KALIAWI ")</f>
        <v>M.1618/KALIAWI </v>
      </c>
      <c r="D8379" s="42"/>
      <c r="E8379" s="42"/>
      <c r="F8379" s="48" t="str">
        <f>IFERROR(__xludf.DUMMYFUNCTION("""COMPUTED_VALUE"""),"")</f>
        <v/>
      </c>
      <c r="G8379" s="42" t="str">
        <f>IFERROR(__xludf.DUMMYFUNCTION("""COMPUTED_VALUE"""),"KEWARISAN ")</f>
        <v>KEWARISAN </v>
      </c>
      <c r="H8379" s="42">
        <f t="shared" si="1"/>
        <v>3319</v>
      </c>
    </row>
    <row r="8380" ht="22.5" customHeight="1">
      <c r="B8380" s="42" t="str">
        <f>IFERROR(__xludf.DUMMYFUNCTION("""COMPUTED_VALUE"""),"L/11/161025/1")</f>
        <v>L/11/161025/1</v>
      </c>
      <c r="C8380" s="42" t="str">
        <f>IFERROR(__xludf.DUMMYFUNCTION("""COMPUTED_VALUE"""),"M.602/PERUMNAS WAY HALIM")</f>
        <v>M.602/PERUMNAS WAY HALIM</v>
      </c>
      <c r="D8380" s="42"/>
      <c r="E8380" s="42"/>
      <c r="F8380" s="48" t="str">
        <f>IFERROR(__xludf.DUMMYFUNCTION("""COMPUTED_VALUE"""),"")</f>
        <v/>
      </c>
      <c r="G8380" s="42" t="str">
        <f>IFERROR(__xludf.DUMMYFUNCTION("""COMPUTED_VALUE"""),"SERTIPIKAT HILANG")</f>
        <v>SERTIPIKAT HILANG</v>
      </c>
      <c r="H8380" s="42">
        <f t="shared" si="1"/>
        <v>3319</v>
      </c>
    </row>
    <row r="8381" ht="22.5" customHeight="1">
      <c r="B8381" s="42" t="str">
        <f>IFERROR(__xludf.DUMMYFUNCTION("""COMPUTED_VALUE"""),"ABSIUZGY")</f>
        <v>ABSIUZGY</v>
      </c>
      <c r="C8381" s="42" t="str">
        <f>IFERROR(__xludf.DUMMYFUNCTION("""COMPUTED_VALUE"""),"SHM N.21703/KEMILING RAYA")</f>
        <v>SHM N.21703/KEMILING RAYA</v>
      </c>
      <c r="D8381" s="42"/>
      <c r="E8381" s="42"/>
      <c r="F8381" s="48" t="str">
        <f>IFERROR(__xludf.DUMMYFUNCTION("""COMPUTED_VALUE"""),"")</f>
        <v/>
      </c>
      <c r="G8381" s="42" t="str">
        <f>IFERROR(__xludf.DUMMYFUNCTION("""COMPUTED_VALUE"""),"BN Jual Beli")</f>
        <v>BN Jual Beli</v>
      </c>
      <c r="H8381" s="42">
        <f t="shared" si="1"/>
        <v>3319</v>
      </c>
    </row>
    <row r="8382" ht="22.5" customHeight="1">
      <c r="B8382" s="42" t="str">
        <f>IFERROR(__xludf.DUMMYFUNCTION("""COMPUTED_VALUE"""),"ABJNYKHG/1")</f>
        <v>ABJNYKHG/1</v>
      </c>
      <c r="C8382" s="42" t="str">
        <f>IFERROR(__xludf.DUMMYFUNCTION("""COMPUTED_VALUE"""),"NIBEL M 20621/ LANGKAPURA")</f>
        <v>NIBEL M 20621/ LANGKAPURA</v>
      </c>
      <c r="D8382" s="42"/>
      <c r="E8382" s="42"/>
      <c r="F8382" s="48" t="str">
        <f>IFERROR(__xludf.DUMMYFUNCTION("""COMPUTED_VALUE"""),"")</f>
        <v/>
      </c>
      <c r="G8382" s="42" t="str">
        <f>IFERROR(__xludf.DUMMYFUNCTION("""COMPUTED_VALUE"""),"BN JUAL BELI")</f>
        <v>BN JUAL BELI</v>
      </c>
      <c r="H8382" s="42">
        <f t="shared" si="1"/>
        <v>3319</v>
      </c>
    </row>
    <row r="8383" ht="22.5" customHeight="1">
      <c r="B8383" s="42" t="str">
        <f>IFERROR(__xludf.DUMMYFUNCTION("""COMPUTED_VALUE"""),"L/12/161025/1")</f>
        <v>L/12/161025/1</v>
      </c>
      <c r="C8383" s="42" t="str">
        <f>IFERROR(__xludf.DUMMYFUNCTION("""COMPUTED_VALUE"""),"M.726/RAJABASA PEMUKA")</f>
        <v>M.726/RAJABASA PEMUKA</v>
      </c>
      <c r="D8383" s="42"/>
      <c r="E8383" s="42"/>
      <c r="F8383" s="48" t="str">
        <f>IFERROR(__xludf.DUMMYFUNCTION("""COMPUTED_VALUE"""),"")</f>
        <v/>
      </c>
      <c r="G8383" s="42" t="str">
        <f>IFERROR(__xludf.DUMMYFUNCTION("""COMPUTED_VALUE"""),"ROYA")</f>
        <v>ROYA</v>
      </c>
      <c r="H8383" s="42">
        <f t="shared" si="1"/>
        <v>3319</v>
      </c>
    </row>
    <row r="8384" ht="22.5" customHeight="1">
      <c r="B8384" s="42" t="str">
        <f>IFERROR(__xludf.DUMMYFUNCTION("""COMPUTED_VALUE"""),"ABIFMVYJ/AB063")</f>
        <v>ABIFMVYJ/AB063</v>
      </c>
      <c r="C8384" s="42" t="str">
        <f>IFERROR(__xludf.DUMMYFUNCTION("""COMPUTED_VALUE"""),"M. 10004/Rajabasa")</f>
        <v>M. 10004/Rajabasa</v>
      </c>
      <c r="D8384" s="42"/>
      <c r="E8384" s="42"/>
      <c r="F8384" s="48" t="str">
        <f>IFERROR(__xludf.DUMMYFUNCTION("""COMPUTED_VALUE"""),"")</f>
        <v/>
      </c>
      <c r="G8384" s="42" t="str">
        <f>IFERROR(__xludf.DUMMYFUNCTION("""COMPUTED_VALUE"""),"Roya")</f>
        <v>Roya</v>
      </c>
      <c r="H8384" s="42">
        <f t="shared" si="1"/>
        <v>3319</v>
      </c>
    </row>
    <row r="8385" ht="22.5" customHeight="1">
      <c r="B8385" s="42" t="str">
        <f>IFERROR(__xludf.DUMMYFUNCTION("""COMPUTED_VALUE"""),"ABUFUAWK")</f>
        <v>ABUFUAWK</v>
      </c>
      <c r="C8385" s="42" t="str">
        <f>IFERROR(__xludf.DUMMYFUNCTION("""COMPUTED_VALUE"""),"B 323/ Labuhan ratu raya")</f>
        <v>B 323/ Labuhan ratu raya</v>
      </c>
      <c r="D8385" s="42"/>
      <c r="E8385" s="42"/>
      <c r="F8385" s="48" t="str">
        <f>IFERROR(__xludf.DUMMYFUNCTION("""COMPUTED_VALUE"""),"")</f>
        <v/>
      </c>
      <c r="G8385" s="42" t="str">
        <f>IFERROR(__xludf.DUMMYFUNCTION("""COMPUTED_VALUE"""),"Peningkatan hak")</f>
        <v>Peningkatan hak</v>
      </c>
      <c r="H8385" s="42">
        <f t="shared" si="1"/>
        <v>3319</v>
      </c>
    </row>
    <row r="8386" ht="22.5" customHeight="1">
      <c r="B8386" s="42" t="str">
        <f>IFERROR(__xludf.DUMMYFUNCTION("""COMPUTED_VALUE"""),"ABOOTQTK/AB059")</f>
        <v>ABOOTQTK/AB059</v>
      </c>
      <c r="C8386" s="42" t="str">
        <f>IFERROR(__xludf.DUMMYFUNCTION("""COMPUTED_VALUE"""),"M. Nibel 24127/Korpri Raya")</f>
        <v>M. Nibel 24127/Korpri Raya</v>
      </c>
      <c r="D8386" s="42"/>
      <c r="E8386" s="42"/>
      <c r="F8386" s="48" t="str">
        <f>IFERROR(__xludf.DUMMYFUNCTION("""COMPUTED_VALUE"""),"")</f>
        <v/>
      </c>
      <c r="G8386" s="42" t="str">
        <f>IFERROR(__xludf.DUMMYFUNCTION("""COMPUTED_VALUE"""),"BN JUAL BELI")</f>
        <v>BN JUAL BELI</v>
      </c>
      <c r="H8386" s="42">
        <f t="shared" si="1"/>
        <v>3319</v>
      </c>
    </row>
    <row r="8387" ht="22.5" customHeight="1">
      <c r="B8387" s="42" t="str">
        <f>IFERROR(__xludf.DUMMYFUNCTION("""COMPUTED_VALUE"""),"AB51")</f>
        <v>AB51</v>
      </c>
      <c r="C8387" s="42" t="str">
        <f>IFERROR(__xludf.DUMMYFUNCTION("""COMPUTED_VALUE"""),"08010000173950")</f>
        <v>08010000173950</v>
      </c>
      <c r="D8387" s="42"/>
      <c r="E8387" s="42"/>
      <c r="F8387" s="48" t="str">
        <f>IFERROR(__xludf.DUMMYFUNCTION("""COMPUTED_VALUE"""),"")</f>
        <v/>
      </c>
      <c r="G8387" s="42" t="str">
        <f>IFERROR(__xludf.DUMMYFUNCTION("""COMPUTED_VALUE"""),"AJB BN")</f>
        <v>AJB BN</v>
      </c>
      <c r="H8387" s="42">
        <f t="shared" si="1"/>
        <v>3319</v>
      </c>
    </row>
    <row r="8388" ht="22.5" customHeight="1">
      <c r="B8388" s="42" t="str">
        <f>IFERROR(__xludf.DUMMYFUNCTION("""COMPUTED_VALUE"""),"K/13/161025/1")</f>
        <v>K/13/161025/1</v>
      </c>
      <c r="C8388" s="42" t="str">
        <f>IFERROR(__xludf.DUMMYFUNCTION("""COMPUTED_VALUE"""),"B. 1377/PINANG JAYA")</f>
        <v>B. 1377/PINANG JAYA</v>
      </c>
      <c r="D8388" s="42"/>
      <c r="E8388" s="42"/>
      <c r="F8388" s="48" t="str">
        <f>IFERROR(__xludf.DUMMYFUNCTION("""COMPUTED_VALUE"""),"")</f>
        <v/>
      </c>
      <c r="G8388" s="42" t="str">
        <f>IFERROR(__xludf.DUMMYFUNCTION("""COMPUTED_VALUE"""),"PERUBAHAN HAK")</f>
        <v>PERUBAHAN HAK</v>
      </c>
      <c r="H8388" s="42">
        <f t="shared" si="1"/>
        <v>3319</v>
      </c>
    </row>
    <row r="8389" ht="22.5" customHeight="1">
      <c r="B8389" s="42" t="str">
        <f>IFERROR(__xludf.DUMMYFUNCTION("""COMPUTED_VALUE"""),"K/14/161025/1")</f>
        <v>K/14/161025/1</v>
      </c>
      <c r="C8389" s="42" t="str">
        <f>IFERROR(__xludf.DUMMYFUNCTION("""COMPUTED_VALUE"""),"NIBEL M .17929/GOTONG ROYONG")</f>
        <v>NIBEL M .17929/GOTONG ROYONG</v>
      </c>
      <c r="D8389" s="42"/>
      <c r="E8389" s="42"/>
      <c r="F8389" s="48" t="str">
        <f>IFERROR(__xludf.DUMMYFUNCTION("""COMPUTED_VALUE"""),"")</f>
        <v/>
      </c>
      <c r="G8389" s="42" t="str">
        <f>IFERROR(__xludf.DUMMYFUNCTION("""COMPUTED_VALUE"""),"BN WARIS")</f>
        <v>BN WARIS</v>
      </c>
      <c r="H8389" s="42">
        <f t="shared" si="1"/>
        <v>3319</v>
      </c>
    </row>
    <row r="8390" ht="22.5" customHeight="1">
      <c r="B8390" s="42" t="str">
        <f>IFERROR(__xludf.DUMMYFUNCTION("""COMPUTED_VALUE"""),"ABGRVLKV")</f>
        <v>ABGRVLKV</v>
      </c>
      <c r="C8390" s="42" t="str">
        <f>IFERROR(__xludf.DUMMYFUNCTION("""COMPUTED_VALUE"""),"M.2446/Sukadana Ham")</f>
        <v>M.2446/Sukadana Ham</v>
      </c>
      <c r="D8390" s="42"/>
      <c r="E8390" s="42"/>
      <c r="F8390" s="48" t="str">
        <f>IFERROR(__xludf.DUMMYFUNCTION("""COMPUTED_VALUE"""),"")</f>
        <v/>
      </c>
      <c r="G8390" s="42" t="str">
        <f>IFERROR(__xludf.DUMMYFUNCTION("""COMPUTED_VALUE"""),"Balik Nama Jual Beli")</f>
        <v>Balik Nama Jual Beli</v>
      </c>
      <c r="H8390" s="42">
        <f t="shared" si="1"/>
        <v>3319</v>
      </c>
    </row>
    <row r="8391" ht="22.5" customHeight="1">
      <c r="B8391" s="42" t="str">
        <f>IFERROR(__xludf.DUMMYFUNCTION("""COMPUTED_VALUE"""),"K/15/161025/1")</f>
        <v>K/15/161025/1</v>
      </c>
      <c r="C8391" s="42" t="str">
        <f>IFERROR(__xludf.DUMMYFUNCTION("""COMPUTED_VALUE"""),"NIBEL M.25338/BUMI KEDAMAIAN")</f>
        <v>NIBEL M.25338/BUMI KEDAMAIAN</v>
      </c>
      <c r="D8391" s="42"/>
      <c r="E8391" s="42"/>
      <c r="F8391" s="48" t="str">
        <f>IFERROR(__xludf.DUMMYFUNCTION("""COMPUTED_VALUE"""),"")</f>
        <v/>
      </c>
      <c r="G8391" s="42" t="str">
        <f>IFERROR(__xludf.DUMMYFUNCTION("""COMPUTED_VALUE"""),"LELANG")</f>
        <v>LELANG</v>
      </c>
      <c r="H8391" s="42">
        <f t="shared" si="1"/>
        <v>3319</v>
      </c>
    </row>
    <row r="8392" ht="22.5" customHeight="1">
      <c r="B8392" s="42" t="str">
        <f>IFERROR(__xludf.DUMMYFUNCTION("""COMPUTED_VALUE"""),"ABWQEWPY/AB071")</f>
        <v>ABWQEWPY/AB071</v>
      </c>
      <c r="C8392" s="42" t="str">
        <f>IFERROR(__xludf.DUMMYFUNCTION("""COMPUTED_VALUE"""),"M 499/ kaliawi")</f>
        <v>M 499/ kaliawi</v>
      </c>
      <c r="D8392" s="42"/>
      <c r="E8392" s="42"/>
      <c r="F8392" s="48" t="str">
        <f>IFERROR(__xludf.DUMMYFUNCTION("""COMPUTED_VALUE"""),"")</f>
        <v/>
      </c>
      <c r="G8392" s="42" t="str">
        <f>IFERROR(__xludf.DUMMYFUNCTION("""COMPUTED_VALUE"""),"BN Waris")</f>
        <v>BN Waris</v>
      </c>
      <c r="H8392" s="42">
        <f t="shared" si="1"/>
        <v>3319</v>
      </c>
    </row>
    <row r="8393" ht="22.5" customHeight="1">
      <c r="B8393" s="42" t="str">
        <f>IFERROR(__xludf.DUMMYFUNCTION("""COMPUTED_VALUE"""),"L/15/161025/1")</f>
        <v>L/15/161025/1</v>
      </c>
      <c r="C8393" s="42" t="str">
        <f>IFERROR(__xludf.DUMMYFUNCTION("""COMPUTED_VALUE"""),"NIBEL M 25338/BUMI KEDAMAIAN ")</f>
        <v>NIBEL M 25338/BUMI KEDAMAIAN </v>
      </c>
      <c r="D8393" s="42"/>
      <c r="E8393" s="42"/>
      <c r="F8393" s="48" t="str">
        <f>IFERROR(__xludf.DUMMYFUNCTION("""COMPUTED_VALUE"""),"")</f>
        <v/>
      </c>
      <c r="G8393" s="42" t="str">
        <f>IFERROR(__xludf.DUMMYFUNCTION("""COMPUTED_VALUE"""),"LELANG")</f>
        <v>LELANG</v>
      </c>
      <c r="H8393" s="42">
        <f t="shared" si="1"/>
        <v>3319</v>
      </c>
    </row>
    <row r="8394" ht="22.5" customHeight="1">
      <c r="B8394" s="42" t="str">
        <f>IFERROR(__xludf.DUMMYFUNCTION("""COMPUTED_VALUE"""),"ABALNBNV")</f>
        <v>ABALNBNV</v>
      </c>
      <c r="C8394" s="42" t="str">
        <f>IFERROR(__xludf.DUMMYFUNCTION("""COMPUTED_VALUE"""),"B.567/Kemiling Permai")</f>
        <v>B.567/Kemiling Permai</v>
      </c>
      <c r="D8394" s="42"/>
      <c r="E8394" s="42"/>
      <c r="F8394" s="48" t="str">
        <f>IFERROR(__xludf.DUMMYFUNCTION("""COMPUTED_VALUE"""),"")</f>
        <v/>
      </c>
      <c r="G8394" s="42" t="str">
        <f>IFERROR(__xludf.DUMMYFUNCTION("""COMPUTED_VALUE"""),"Balik Nama Jual Beli")</f>
        <v>Balik Nama Jual Beli</v>
      </c>
      <c r="H8394" s="42">
        <f t="shared" si="1"/>
        <v>3319</v>
      </c>
    </row>
    <row r="8395" ht="22.5" customHeight="1">
      <c r="B8395" s="42" t="str">
        <f>IFERROR(__xludf.DUMMYFUNCTION("""COMPUTED_VALUE"""),"K/16/161025/1")</f>
        <v>K/16/161025/1</v>
      </c>
      <c r="C8395" s="42" t="str">
        <f>IFERROR(__xludf.DUMMYFUNCTION("""COMPUTED_VALUE"""),"B. 136/RAJABASA RAYA")</f>
        <v>B. 136/RAJABASA RAYA</v>
      </c>
      <c r="D8395" s="42"/>
      <c r="E8395" s="42"/>
      <c r="F8395" s="48" t="str">
        <f>IFERROR(__xludf.DUMMYFUNCTION("""COMPUTED_VALUE"""),"")</f>
        <v/>
      </c>
      <c r="G8395" s="42" t="str">
        <f>IFERROR(__xludf.DUMMYFUNCTION("""COMPUTED_VALUE"""),"PERUBAHAN HAK ")</f>
        <v>PERUBAHAN HAK </v>
      </c>
      <c r="H8395" s="42">
        <f t="shared" si="1"/>
        <v>3319</v>
      </c>
    </row>
    <row r="8396" ht="22.5" customHeight="1">
      <c r="B8396" s="42" t="str">
        <f>IFERROR(__xludf.DUMMYFUNCTION("""COMPUTED_VALUE"""),"L/1/171025/1")</f>
        <v>L/1/171025/1</v>
      </c>
      <c r="C8396" s="42" t="str">
        <f>IFERROR(__xludf.DUMMYFUNCTION("""COMPUTED_VALUE"""),"B NIB. 25800/KETEGUHAN")</f>
        <v>B NIB. 25800/KETEGUHAN</v>
      </c>
      <c r="D8396" s="42"/>
      <c r="E8396" s="42"/>
      <c r="F8396" s="48" t="str">
        <f>IFERROR(__xludf.DUMMYFUNCTION("""COMPUTED_VALUE"""),"")</f>
        <v/>
      </c>
      <c r="G8396" s="42" t="str">
        <f>IFERROR(__xludf.DUMMYFUNCTION("""COMPUTED_VALUE"""),"PENINGKATAN HAK")</f>
        <v>PENINGKATAN HAK</v>
      </c>
      <c r="H8396" s="42">
        <f t="shared" si="1"/>
        <v>3319</v>
      </c>
    </row>
    <row r="8397" ht="22.5" customHeight="1">
      <c r="B8397" s="42" t="str">
        <f>IFERROR(__xludf.DUMMYFUNCTION("""COMPUTED_VALUE"""),"ABEAIURB")</f>
        <v>ABEAIURB</v>
      </c>
      <c r="C8397" s="42" t="str">
        <f>IFERROR(__xludf.DUMMYFUNCTION("""COMPUTED_VALUE"""),"M 96/Rj.j dan 149/Rj.j")</f>
        <v>M 96/Rj.j dan 149/Rj.j</v>
      </c>
      <c r="D8397" s="42"/>
      <c r="E8397" s="42"/>
      <c r="F8397" s="48" t="str">
        <f>IFERROR(__xludf.DUMMYFUNCTION("""COMPUTED_VALUE"""),"")</f>
        <v/>
      </c>
      <c r="G8397" s="42" t="str">
        <f>IFERROR(__xludf.DUMMYFUNCTION("""COMPUTED_VALUE"""),"Roya hak tanggungan ")</f>
        <v>Roya hak tanggungan </v>
      </c>
      <c r="H8397" s="42">
        <f t="shared" si="1"/>
        <v>3319</v>
      </c>
    </row>
    <row r="8398" ht="22.5" customHeight="1">
      <c r="B8398" s="42" t="str">
        <f>IFERROR(__xludf.DUMMYFUNCTION("""COMPUTED_VALUE"""),"K/2/171025/1")</f>
        <v>K/2/171025/1</v>
      </c>
      <c r="C8398" s="42" t="str">
        <f>IFERROR(__xludf.DUMMYFUNCTION("""COMPUTED_VALUE"""),"M. 2578/SUKARAME BARU")</f>
        <v>M. 2578/SUKARAME BARU</v>
      </c>
      <c r="D8398" s="42"/>
      <c r="E8398" s="42"/>
      <c r="F8398" s="48" t="str">
        <f>IFERROR(__xludf.DUMMYFUNCTION("""COMPUTED_VALUE"""),"")</f>
        <v/>
      </c>
      <c r="G8398" s="42" t="str">
        <f>IFERROR(__xludf.DUMMYFUNCTION("""COMPUTED_VALUE"""),"PENATAAN BATAS")</f>
        <v>PENATAAN BATAS</v>
      </c>
      <c r="H8398" s="42">
        <f t="shared" si="1"/>
        <v>3319</v>
      </c>
    </row>
    <row r="8399" ht="22.5" customHeight="1">
      <c r="B8399" s="42" t="str">
        <f>IFERROR(__xludf.DUMMYFUNCTION("""COMPUTED_VALUE"""),"ABPEIPEV")</f>
        <v>ABPEIPEV</v>
      </c>
      <c r="C8399" s="42" t="str">
        <f>IFERROR(__xludf.DUMMYFUNCTION("""COMPUTED_VALUE"""),"Nibel B  25148/ sumur putri")</f>
        <v>Nibel B  25148/ sumur putri</v>
      </c>
      <c r="D8399" s="42"/>
      <c r="E8399" s="42"/>
      <c r="F8399" s="48" t="str">
        <f>IFERROR(__xludf.DUMMYFUNCTION("""COMPUTED_VALUE"""),"")</f>
        <v/>
      </c>
      <c r="G8399" s="42" t="str">
        <f>IFERROR(__xludf.DUMMYFUNCTION("""COMPUTED_VALUE"""),"Perubahan Hak")</f>
        <v>Perubahan Hak</v>
      </c>
      <c r="H8399" s="42">
        <f t="shared" si="1"/>
        <v>3319</v>
      </c>
    </row>
    <row r="8400" ht="22.5" customHeight="1">
      <c r="B8400" s="42" t="str">
        <f>IFERROR(__xludf.DUMMYFUNCTION("""COMPUTED_VALUE"""),"ABGVOMPP/AB026")</f>
        <v>ABGVOMPP/AB026</v>
      </c>
      <c r="C8400" s="42" t="str">
        <f>IFERROR(__xludf.DUMMYFUNCTION("""COMPUTED_VALUE"""),"2551/pinang jaya")</f>
        <v>2551/pinang jaya</v>
      </c>
      <c r="D8400" s="42"/>
      <c r="E8400" s="42"/>
      <c r="F8400" s="48" t="str">
        <f>IFERROR(__xludf.DUMMYFUNCTION("""COMPUTED_VALUE"""),"")</f>
        <v/>
      </c>
      <c r="G8400" s="42" t="str">
        <f>IFERROR(__xludf.DUMMYFUNCTION("""COMPUTED_VALUE"""),"balik nama ")</f>
        <v>balik nama </v>
      </c>
      <c r="H8400" s="42">
        <f t="shared" si="1"/>
        <v>3319</v>
      </c>
    </row>
    <row r="8401" ht="22.5" customHeight="1">
      <c r="B8401" s="42" t="str">
        <f>IFERROR(__xludf.DUMMYFUNCTION("""COMPUTED_VALUE"""),"ABHDHSQJ/AB026")</f>
        <v>ABHDHSQJ/AB026</v>
      </c>
      <c r="C8401" s="42" t="str">
        <f>IFERROR(__xludf.DUMMYFUNCTION("""COMPUTED_VALUE"""),"2538/pinang jaya ")</f>
        <v>2538/pinang jaya </v>
      </c>
      <c r="D8401" s="42"/>
      <c r="E8401" s="42"/>
      <c r="F8401" s="48" t="str">
        <f>IFERROR(__xludf.DUMMYFUNCTION("""COMPUTED_VALUE"""),"")</f>
        <v/>
      </c>
      <c r="G8401" s="42" t="str">
        <f>IFERROR(__xludf.DUMMYFUNCTION("""COMPUTED_VALUE"""),"balik nama ")</f>
        <v>balik nama </v>
      </c>
      <c r="H8401" s="42">
        <f t="shared" si="1"/>
        <v>3319</v>
      </c>
    </row>
    <row r="8402" ht="22.5" customHeight="1">
      <c r="B8402" s="42" t="str">
        <f>IFERROR(__xludf.DUMMYFUNCTION("""COMPUTED_VALUE"""),"ABVRLMYK/AB026")</f>
        <v>ABVRLMYK/AB026</v>
      </c>
      <c r="C8402" s="42" t="str">
        <f>IFERROR(__xludf.DUMMYFUNCTION("""COMPUTED_VALUE"""),"2479/pinang jaya")</f>
        <v>2479/pinang jaya</v>
      </c>
      <c r="D8402" s="42"/>
      <c r="E8402" s="42"/>
      <c r="F8402" s="48" t="str">
        <f>IFERROR(__xludf.DUMMYFUNCTION("""COMPUTED_VALUE"""),"")</f>
        <v/>
      </c>
      <c r="G8402" s="42" t="str">
        <f>IFERROR(__xludf.DUMMYFUNCTION("""COMPUTED_VALUE"""),"balik nama ")</f>
        <v>balik nama </v>
      </c>
      <c r="H8402" s="42">
        <f t="shared" si="1"/>
        <v>3319</v>
      </c>
    </row>
    <row r="8403" ht="22.5" customHeight="1">
      <c r="B8403" s="42" t="str">
        <f>IFERROR(__xludf.DUMMYFUNCTION("""COMPUTED_VALUE"""),"ABKLDILY")</f>
        <v>ABKLDILY</v>
      </c>
      <c r="C8403" s="42" t="str">
        <f>IFERROR(__xludf.DUMMYFUNCTION("""COMPUTED_VALUE"""),"nibel B 16383/ DURIAN PAYUNG")</f>
        <v>nibel B 16383/ DURIAN PAYUNG</v>
      </c>
      <c r="D8403" s="42"/>
      <c r="E8403" s="42"/>
      <c r="F8403" s="48" t="str">
        <f>IFERROR(__xludf.DUMMYFUNCTION("""COMPUTED_VALUE"""),"")</f>
        <v/>
      </c>
      <c r="G8403" s="42" t="str">
        <f>IFERROR(__xludf.DUMMYFUNCTION("""COMPUTED_VALUE"""),"Perubahan Hak")</f>
        <v>Perubahan Hak</v>
      </c>
      <c r="H8403" s="42">
        <f t="shared" si="1"/>
        <v>3319</v>
      </c>
    </row>
    <row r="8404" ht="22.5" customHeight="1">
      <c r="B8404" s="42" t="str">
        <f>IFERROR(__xludf.DUMMYFUNCTION("""COMPUTED_VALUE"""),"ABHOMYDO/AB026")</f>
        <v>ABHOMYDO/AB026</v>
      </c>
      <c r="C8404" s="42" t="str">
        <f>IFERROR(__xludf.DUMMYFUNCTION("""COMPUTED_VALUE"""),"M. Nibel 10960/rajabasa jaya")</f>
        <v>M. Nibel 10960/rajabasa jaya</v>
      </c>
      <c r="D8404" s="42"/>
      <c r="E8404" s="42"/>
      <c r="F8404" s="48" t="str">
        <f>IFERROR(__xludf.DUMMYFUNCTION("""COMPUTED_VALUE"""),"")</f>
        <v/>
      </c>
      <c r="G8404" s="42" t="str">
        <f>IFERROR(__xludf.DUMMYFUNCTION("""COMPUTED_VALUE"""),"balik nama ")</f>
        <v>balik nama </v>
      </c>
      <c r="H8404" s="42">
        <f t="shared" si="1"/>
        <v>3319</v>
      </c>
    </row>
    <row r="8405" ht="22.5" customHeight="1">
      <c r="B8405" s="42" t="str">
        <f>IFERROR(__xludf.DUMMYFUNCTION("""COMPUTED_VALUE"""),"ABFZTXRF/AB026")</f>
        <v>ABFZTXRF/AB026</v>
      </c>
      <c r="C8405" s="42" t="str">
        <f>IFERROR(__xludf.DUMMYFUNCTION("""COMPUTED_VALUE"""),"M. Nibel 11887/ kemiling raya")</f>
        <v>M. Nibel 11887/ kemiling raya</v>
      </c>
      <c r="D8405" s="42"/>
      <c r="E8405" s="42"/>
      <c r="F8405" s="48" t="str">
        <f>IFERROR(__xludf.DUMMYFUNCTION("""COMPUTED_VALUE"""),"")</f>
        <v/>
      </c>
      <c r="G8405" s="42" t="str">
        <f>IFERROR(__xludf.DUMMYFUNCTION("""COMPUTED_VALUE"""),"balik nama ")</f>
        <v>balik nama </v>
      </c>
      <c r="H8405" s="42">
        <f t="shared" si="1"/>
        <v>3319</v>
      </c>
    </row>
    <row r="8406" ht="22.5" customHeight="1">
      <c r="B8406" s="42" t="str">
        <f>IFERROR(__xludf.DUMMYFUNCTION("""COMPUTED_VALUE"""),"ABSZPAEZ/020")</f>
        <v>ABSZPAEZ/020</v>
      </c>
      <c r="C8406" s="42" t="str">
        <f>IFERROR(__xludf.DUMMYFUNCTION("""COMPUTED_VALUE"""),"M.1336/Pesawahan")</f>
        <v>M.1336/Pesawahan</v>
      </c>
      <c r="D8406" s="42"/>
      <c r="E8406" s="42"/>
      <c r="F8406" s="48" t="str">
        <f>IFERROR(__xludf.DUMMYFUNCTION("""COMPUTED_VALUE"""),"")</f>
        <v/>
      </c>
      <c r="G8406" s="42" t="str">
        <f>IFERROR(__xludf.DUMMYFUNCTION("""COMPUTED_VALUE"""),"bn jual beli")</f>
        <v>bn jual beli</v>
      </c>
      <c r="H8406" s="42">
        <f t="shared" si="1"/>
        <v>3319</v>
      </c>
    </row>
    <row r="8407" ht="22.5" customHeight="1">
      <c r="B8407" s="42" t="str">
        <f>IFERROR(__xludf.DUMMYFUNCTION("""COMPUTED_VALUE"""),"ABPXKTEH")</f>
        <v>ABPXKTEH</v>
      </c>
      <c r="C8407" s="42" t="str">
        <f>IFERROR(__xludf.DUMMYFUNCTION("""COMPUTED_VALUE"""),"M.12403/ sukabumi")</f>
        <v>M.12403/ sukabumi</v>
      </c>
      <c r="D8407" s="42"/>
      <c r="E8407" s="42"/>
      <c r="F8407" s="48" t="str">
        <f>IFERROR(__xludf.DUMMYFUNCTION("""COMPUTED_VALUE"""),"")</f>
        <v/>
      </c>
      <c r="G8407" s="42" t="str">
        <f>IFERROR(__xludf.DUMMYFUNCTION("""COMPUTED_VALUE"""),"BN JUAL BELI")</f>
        <v>BN JUAL BELI</v>
      </c>
      <c r="H8407" s="42">
        <f t="shared" si="1"/>
        <v>3319</v>
      </c>
    </row>
    <row r="8408" ht="22.5" customHeight="1">
      <c r="B8408" s="42" t="str">
        <f>IFERROR(__xludf.DUMMYFUNCTION("""COMPUTED_VALUE"""),"K/3/171025/1")</f>
        <v>K/3/171025/1</v>
      </c>
      <c r="C8408" s="42" t="str">
        <f>IFERROR(__xludf.DUMMYFUNCTION("""COMPUTED_VALUE"""),"LABUHAN DALAM")</f>
        <v>LABUHAN DALAM</v>
      </c>
      <c r="D8408" s="42"/>
      <c r="E8408" s="42"/>
      <c r="F8408" s="48" t="str">
        <f>IFERROR(__xludf.DUMMYFUNCTION("""COMPUTED_VALUE"""),"")</f>
        <v/>
      </c>
      <c r="G8408" s="42" t="str">
        <f>IFERROR(__xludf.DUMMYFUNCTION("""COMPUTED_VALUE"""),"PENGUKURAN PERTAMA KALI")</f>
        <v>PENGUKURAN PERTAMA KALI</v>
      </c>
      <c r="H8408" s="42">
        <f t="shared" si="1"/>
        <v>3319</v>
      </c>
    </row>
    <row r="8409" ht="22.5" customHeight="1">
      <c r="B8409" s="42" t="str">
        <f>IFERROR(__xludf.DUMMYFUNCTION("""COMPUTED_VALUE"""),"ABMPFEND")</f>
        <v>ABMPFEND</v>
      </c>
      <c r="C8409" s="42" t="str">
        <f>IFERROR(__xludf.DUMMYFUNCTION("""COMPUTED_VALUE"""),"m 853/ sukarame baru")</f>
        <v>m 853/ sukarame baru</v>
      </c>
      <c r="D8409" s="42"/>
      <c r="E8409" s="42"/>
      <c r="F8409" s="48" t="str">
        <f>IFERROR(__xludf.DUMMYFUNCTION("""COMPUTED_VALUE"""),"")</f>
        <v/>
      </c>
      <c r="G8409" s="42" t="str">
        <f>IFERROR(__xludf.DUMMYFUNCTION("""COMPUTED_VALUE"""),"Plot")</f>
        <v>Plot</v>
      </c>
      <c r="H8409" s="42">
        <f t="shared" si="1"/>
        <v>3319</v>
      </c>
    </row>
    <row r="8410" ht="22.5" customHeight="1">
      <c r="B8410" s="42" t="str">
        <f>IFERROR(__xludf.DUMMYFUNCTION("""COMPUTED_VALUE"""),"L/4/171025/1")</f>
        <v>L/4/171025/1</v>
      </c>
      <c r="C8410" s="42" t="str">
        <f>IFERROR(__xludf.DUMMYFUNCTION("""COMPUTED_VALUE"""),"KEL. TANJUNG AGUNG PBT NO 72/2025")</f>
        <v>KEL. TANJUNG AGUNG PBT NO 72/2025</v>
      </c>
      <c r="D8410" s="42"/>
      <c r="E8410" s="42"/>
      <c r="F8410" s="48" t="str">
        <f>IFERROR(__xludf.DUMMYFUNCTION("""COMPUTED_VALUE"""),"")</f>
        <v/>
      </c>
      <c r="G8410" s="42" t="str">
        <f>IFERROR(__xludf.DUMMYFUNCTION("""COMPUTED_VALUE"""),"PENGUKURAN PERTAMA KALI")</f>
        <v>PENGUKURAN PERTAMA KALI</v>
      </c>
      <c r="H8410" s="42">
        <f t="shared" si="1"/>
        <v>3319</v>
      </c>
    </row>
    <row r="8411" ht="22.5" customHeight="1">
      <c r="B8411" s="42" t="str">
        <f>IFERROR(__xludf.DUMMYFUNCTION("""COMPUTED_VALUE"""),"ABQMFYWG/1")</f>
        <v>ABQMFYWG/1</v>
      </c>
      <c r="C8411" s="42" t="str">
        <f>IFERROR(__xludf.DUMMYFUNCTION("""COMPUTED_VALUE"""),"B 30/ PALAPA")</f>
        <v>B 30/ PALAPA</v>
      </c>
      <c r="D8411" s="42"/>
      <c r="E8411" s="42"/>
      <c r="F8411" s="48" t="str">
        <f>IFERROR(__xludf.DUMMYFUNCTION("""COMPUTED_VALUE"""),"")</f>
        <v/>
      </c>
      <c r="G8411" s="42" t="str">
        <f>IFERROR(__xludf.DUMMYFUNCTION("""COMPUTED_VALUE"""),"BN JUAL BELI")</f>
        <v>BN JUAL BELI</v>
      </c>
      <c r="H8411" s="42">
        <f t="shared" si="1"/>
        <v>3319</v>
      </c>
    </row>
    <row r="8412" ht="22.5" customHeight="1">
      <c r="B8412" s="42" t="str">
        <f>IFERROR(__xludf.DUMMYFUNCTION("""COMPUTED_VALUE"""),"L/6/171025/1")</f>
        <v>L/6/171025/1</v>
      </c>
      <c r="C8412" s="42" t="str">
        <f>IFERROR(__xludf.DUMMYFUNCTION("""COMPUTED_VALUE"""),"M. 455/KALIAWI PERSADA")</f>
        <v>M. 455/KALIAWI PERSADA</v>
      </c>
      <c r="D8412" s="42"/>
      <c r="E8412" s="42"/>
      <c r="F8412" s="48" t="str">
        <f>IFERROR(__xludf.DUMMYFUNCTION("""COMPUTED_VALUE"""),"")</f>
        <v/>
      </c>
      <c r="G8412" s="42" t="str">
        <f>IFERROR(__xludf.DUMMYFUNCTION("""COMPUTED_VALUE"""),"BN WARIS TIMUR ASING")</f>
        <v>BN WARIS TIMUR ASING</v>
      </c>
      <c r="H8412" s="42">
        <f t="shared" si="1"/>
        <v>3319</v>
      </c>
    </row>
    <row r="8413" ht="22.5" customHeight="1">
      <c r="B8413" s="42" t="str">
        <f>IFERROR(__xludf.DUMMYFUNCTION("""COMPUTED_VALUE"""),"L/7/171025/1")</f>
        <v>L/7/171025/1</v>
      </c>
      <c r="C8413" s="42" t="str">
        <f>IFERROR(__xludf.DUMMYFUNCTION("""COMPUTED_VALUE"""),"M. 2961/TANJUNG SENENG")</f>
        <v>M. 2961/TANJUNG SENENG</v>
      </c>
      <c r="D8413" s="42"/>
      <c r="E8413" s="42"/>
      <c r="F8413" s="48" t="str">
        <f>IFERROR(__xludf.DUMMYFUNCTION("""COMPUTED_VALUE"""),"")</f>
        <v/>
      </c>
      <c r="G8413" s="42" t="str">
        <f>IFERROR(__xludf.DUMMYFUNCTION("""COMPUTED_VALUE"""),"SERTIPIKAT HILANG")</f>
        <v>SERTIPIKAT HILANG</v>
      </c>
      <c r="H8413" s="42">
        <f t="shared" si="1"/>
        <v>3319</v>
      </c>
    </row>
    <row r="8414" ht="22.5" customHeight="1">
      <c r="B8414" s="42" t="str">
        <f>IFERROR(__xludf.DUMMYFUNCTION("""COMPUTED_VALUE"""),"ABDHGBSA")</f>
        <v>ABDHGBSA</v>
      </c>
      <c r="C8414" s="42" t="str">
        <f>IFERROR(__xludf.DUMMYFUNCTION("""COMPUTED_VALUE"""),"NIBEL M 23325/ RAJABASA NUNYAI")</f>
        <v>NIBEL M 23325/ RAJABASA NUNYAI</v>
      </c>
      <c r="D8414" s="42"/>
      <c r="E8414" s="42"/>
      <c r="F8414" s="48" t="str">
        <f>IFERROR(__xludf.DUMMYFUNCTION("""COMPUTED_VALUE"""),"")</f>
        <v/>
      </c>
      <c r="G8414" s="42" t="str">
        <f>IFERROR(__xludf.DUMMYFUNCTION("""COMPUTED_VALUE"""),"BN JUAL BELI")</f>
        <v>BN JUAL BELI</v>
      </c>
      <c r="H8414" s="42">
        <f t="shared" si="1"/>
        <v>3319</v>
      </c>
    </row>
    <row r="8415" ht="22.5" customHeight="1">
      <c r="B8415" s="42" t="str">
        <f>IFERROR(__xludf.DUMMYFUNCTION("""COMPUTED_VALUE"""),"ABHBTBXB/1")</f>
        <v>ABHBTBXB/1</v>
      </c>
      <c r="C8415" s="42" t="str">
        <f>IFERROR(__xludf.DUMMYFUNCTION("""COMPUTED_VALUE"""),"M.1531/ rajabasa pemuka")</f>
        <v>M.1531/ rajabasa pemuka</v>
      </c>
      <c r="D8415" s="42"/>
      <c r="E8415" s="42"/>
      <c r="F8415" s="48" t="str">
        <f>IFERROR(__xludf.DUMMYFUNCTION("""COMPUTED_VALUE"""),"")</f>
        <v/>
      </c>
      <c r="G8415" s="42" t="str">
        <f>IFERROR(__xludf.DUMMYFUNCTION("""COMPUTED_VALUE"""),"Balik Nama Waris")</f>
        <v>Balik Nama Waris</v>
      </c>
      <c r="H8415" s="42">
        <f t="shared" si="1"/>
        <v>3319</v>
      </c>
    </row>
    <row r="8416" ht="22.5" customHeight="1">
      <c r="B8416" s="42" t="str">
        <f>IFERROR(__xludf.DUMMYFUNCTION("""COMPUTED_VALUE"""),"ABCCABDB")</f>
        <v>ABCCABDB</v>
      </c>
      <c r="C8416" s="42" t="str">
        <f>IFERROR(__xludf.DUMMYFUNCTION("""COMPUTED_VALUE"""),"NIBEL M 10883/ SUKARAME")</f>
        <v>NIBEL M 10883/ SUKARAME</v>
      </c>
      <c r="D8416" s="42"/>
      <c r="E8416" s="42"/>
      <c r="F8416" s="48" t="str">
        <f>IFERROR(__xludf.DUMMYFUNCTION("""COMPUTED_VALUE"""),"")</f>
        <v/>
      </c>
      <c r="G8416" s="42" t="str">
        <f>IFERROR(__xludf.DUMMYFUNCTION("""COMPUTED_VALUE"""),"BN JUAL BELI")</f>
        <v>BN JUAL BELI</v>
      </c>
      <c r="H8416" s="42">
        <f t="shared" si="1"/>
        <v>3319</v>
      </c>
    </row>
    <row r="8417" ht="22.5" customHeight="1">
      <c r="B8417" s="42" t="str">
        <f>IFERROR(__xludf.DUMMYFUNCTION("""COMPUTED_VALUE"""),"K/5/171025/1")</f>
        <v>K/5/171025/1</v>
      </c>
      <c r="C8417" s="42" t="str">
        <f>IFERROR(__xludf.DUMMYFUNCTION("""COMPUTED_VALUE"""),"NIBEL B. 23794/PERUMNAS WAY HALIM")</f>
        <v>NIBEL B. 23794/PERUMNAS WAY HALIM</v>
      </c>
      <c r="D8417" s="42"/>
      <c r="E8417" s="42"/>
      <c r="F8417" s="48" t="str">
        <f>IFERROR(__xludf.DUMMYFUNCTION("""COMPUTED_VALUE"""),"")</f>
        <v/>
      </c>
      <c r="G8417" s="42" t="str">
        <f>IFERROR(__xludf.DUMMYFUNCTION("""COMPUTED_VALUE"""),"SKPT INFORMASI")</f>
        <v>SKPT INFORMASI</v>
      </c>
      <c r="H8417" s="42">
        <f t="shared" si="1"/>
        <v>3319</v>
      </c>
    </row>
    <row r="8418" ht="22.5" customHeight="1">
      <c r="B8418" s="42" t="str">
        <f>IFERROR(__xludf.DUMMYFUNCTION("""COMPUTED_VALUE"""),"ABKANMZN")</f>
        <v>ABKANMZN</v>
      </c>
      <c r="C8418" s="42" t="str">
        <f>IFERROR(__xludf.DUMMYFUNCTION("""COMPUTED_VALUE"""),"M 376/ LABUHAN DALAM")</f>
        <v>M 376/ LABUHAN DALAM</v>
      </c>
      <c r="D8418" s="42"/>
      <c r="E8418" s="42"/>
      <c r="F8418" s="48" t="str">
        <f>IFERROR(__xludf.DUMMYFUNCTION("""COMPUTED_VALUE"""),"")</f>
        <v/>
      </c>
      <c r="G8418" s="42" t="str">
        <f>IFERROR(__xludf.DUMMYFUNCTION("""COMPUTED_VALUE"""),"BN WARIS")</f>
        <v>BN WARIS</v>
      </c>
      <c r="H8418" s="42">
        <f t="shared" si="1"/>
        <v>3319</v>
      </c>
    </row>
    <row r="8419" ht="22.5" customHeight="1">
      <c r="B8419" s="42" t="str">
        <f>IFERROR(__xludf.DUMMYFUNCTION("""COMPUTED_VALUE"""),"K/8/171025/1")</f>
        <v>K/8/171025/1</v>
      </c>
      <c r="C8419" s="42" t="str">
        <f>IFERROR(__xludf.DUMMYFUNCTION("""COMPUTED_VALUE"""),"B. 79/PERWATA ")</f>
        <v>B. 79/PERWATA </v>
      </c>
      <c r="D8419" s="42"/>
      <c r="E8419" s="42"/>
      <c r="F8419" s="48" t="str">
        <f>IFERROR(__xludf.DUMMYFUNCTION("""COMPUTED_VALUE"""),"")</f>
        <v/>
      </c>
      <c r="G8419" s="42" t="str">
        <f>IFERROR(__xludf.DUMMYFUNCTION("""COMPUTED_VALUE"""),"SKPT LELANG")</f>
        <v>SKPT LELANG</v>
      </c>
      <c r="H8419" s="42">
        <f t="shared" si="1"/>
        <v>3319</v>
      </c>
    </row>
    <row r="8420" ht="22.5" customHeight="1">
      <c r="B8420" s="42" t="str">
        <f>IFERROR(__xludf.DUMMYFUNCTION("""COMPUTED_VALUE"""),"K/9/171025/2")</f>
        <v>K/9/171025/2</v>
      </c>
      <c r="C8420" s="42" t="str">
        <f>IFERROR(__xludf.DUMMYFUNCTION("""COMPUTED_VALUE"""),"M.480/WAY GUBAK")</f>
        <v>M.480/WAY GUBAK</v>
      </c>
      <c r="D8420" s="42"/>
      <c r="E8420" s="42"/>
      <c r="F8420" s="48" t="str">
        <f>IFERROR(__xludf.DUMMYFUNCTION("""COMPUTED_VALUE"""),"")</f>
        <v/>
      </c>
      <c r="G8420" s="42" t="str">
        <f>IFERROR(__xludf.DUMMYFUNCTION("""COMPUTED_VALUE"""),"SKPT LELANG ")</f>
        <v>SKPT LELANG </v>
      </c>
      <c r="H8420" s="42">
        <f t="shared" si="1"/>
        <v>3319</v>
      </c>
    </row>
    <row r="8421" ht="22.5" customHeight="1">
      <c r="B8421" s="42" t="str">
        <f>IFERROR(__xludf.DUMMYFUNCTION("""COMPUTED_VALUE"""),"ABTRKWN")</f>
        <v>ABTRKWN</v>
      </c>
      <c r="C8421" s="42" t="str">
        <f>IFERROR(__xludf.DUMMYFUNCTION("""COMPUTED_VALUE"""),"SHM 1027 / ENGGAL")</f>
        <v>SHM 1027 / ENGGAL</v>
      </c>
      <c r="D8421" s="42"/>
      <c r="E8421" s="42"/>
      <c r="F8421" s="48" t="str">
        <f>IFERROR(__xludf.DUMMYFUNCTION("""COMPUTED_VALUE"""),"")</f>
        <v/>
      </c>
      <c r="G8421" s="42" t="str">
        <f>IFERROR(__xludf.DUMMYFUNCTION("""COMPUTED_VALUE"""),"BN JUAL BELI")</f>
        <v>BN JUAL BELI</v>
      </c>
      <c r="H8421" s="42">
        <f t="shared" si="1"/>
        <v>3319</v>
      </c>
    </row>
    <row r="8422" ht="22.5" customHeight="1">
      <c r="B8422" s="42" t="str">
        <f>IFERROR(__xludf.DUMMYFUNCTION("""COMPUTED_VALUE"""),"ABFGHUNJ")</f>
        <v>ABFGHUNJ</v>
      </c>
      <c r="C8422" s="42" t="str">
        <f>IFERROR(__xludf.DUMMYFUNCTION("""COMPUTED_VALUE"""),"M 608/ KORPRI RAYA")</f>
        <v>M 608/ KORPRI RAYA</v>
      </c>
      <c r="D8422" s="42"/>
      <c r="E8422" s="42"/>
      <c r="F8422" s="48" t="str">
        <f>IFERROR(__xludf.DUMMYFUNCTION("""COMPUTED_VALUE"""),"")</f>
        <v/>
      </c>
      <c r="G8422" s="42" t="str">
        <f>IFERROR(__xludf.DUMMYFUNCTION("""COMPUTED_VALUE"""),"BN WARIS")</f>
        <v>BN WARIS</v>
      </c>
      <c r="H8422" s="42">
        <f t="shared" si="1"/>
        <v>3319</v>
      </c>
    </row>
    <row r="8423" ht="22.5" customHeight="1">
      <c r="B8423" s="42" t="str">
        <f>IFERROR(__xludf.DUMMYFUNCTION("""COMPUTED_VALUE"""),"K/10/171025/3")</f>
        <v>K/10/171025/3</v>
      </c>
      <c r="C8423" s="42" t="str">
        <f>IFERROR(__xludf.DUMMYFUNCTION("""COMPUTED_VALUE"""),"M. 234/PERWATA")</f>
        <v>M. 234/PERWATA</v>
      </c>
      <c r="D8423" s="42"/>
      <c r="E8423" s="42"/>
      <c r="F8423" s="48" t="str">
        <f>IFERROR(__xludf.DUMMYFUNCTION("""COMPUTED_VALUE"""),"")</f>
        <v/>
      </c>
      <c r="G8423" s="42" t="str">
        <f>IFERROR(__xludf.DUMMYFUNCTION("""COMPUTED_VALUE"""),"SKPT LELANG")</f>
        <v>SKPT LELANG</v>
      </c>
      <c r="H8423" s="42">
        <f t="shared" si="1"/>
        <v>3319</v>
      </c>
    </row>
    <row r="8424" ht="22.5" customHeight="1">
      <c r="B8424" s="42" t="str">
        <f>IFERROR(__xludf.DUMMYFUNCTION("""COMPUTED_VALUE"""),"ABCTVLGO")</f>
        <v>ABCTVLGO</v>
      </c>
      <c r="C8424" s="42" t="str">
        <f>IFERROR(__xludf.DUMMYFUNCTION("""COMPUTED_VALUE"""),"1228/Sukabumi Indah")</f>
        <v>1228/Sukabumi Indah</v>
      </c>
      <c r="D8424" s="42"/>
      <c r="E8424" s="42"/>
      <c r="F8424" s="48" t="str">
        <f>IFERROR(__xludf.DUMMYFUNCTION("""COMPUTED_VALUE"""),"")</f>
        <v/>
      </c>
      <c r="G8424" s="42" t="str">
        <f>IFERROR(__xludf.DUMMYFUNCTION("""COMPUTED_VALUE"""),"Peningkatan Hak")</f>
        <v>Peningkatan Hak</v>
      </c>
      <c r="H8424" s="42">
        <f t="shared" si="1"/>
        <v>3319</v>
      </c>
    </row>
    <row r="8425" ht="22.5" customHeight="1">
      <c r="B8425" s="42" t="str">
        <f>IFERROR(__xludf.DUMMYFUNCTION("""COMPUTED_VALUE"""),"ABPASPVE")</f>
        <v>ABPASPVE</v>
      </c>
      <c r="C8425" s="42" t="str">
        <f>IFERROR(__xludf.DUMMYFUNCTION("""COMPUTED_VALUE"""),"2116/kupang teba")</f>
        <v>2116/kupang teba</v>
      </c>
      <c r="D8425" s="42"/>
      <c r="E8425" s="42"/>
      <c r="F8425" s="48" t="str">
        <f>IFERROR(__xludf.DUMMYFUNCTION("""COMPUTED_VALUE"""),"")</f>
        <v/>
      </c>
      <c r="G8425" s="42" t="str">
        <f>IFERROR(__xludf.DUMMYFUNCTION("""COMPUTED_VALUE"""),"Balik nama waris shaayy")</f>
        <v>Balik nama waris shaayy</v>
      </c>
      <c r="H8425" s="42">
        <f t="shared" si="1"/>
        <v>3319</v>
      </c>
    </row>
    <row r="8426" ht="22.5" customHeight="1">
      <c r="B8426" s="42" t="str">
        <f>IFERROR(__xludf.DUMMYFUNCTION("""COMPUTED_VALUE"""),"K/11/171025/1")</f>
        <v>K/11/171025/1</v>
      </c>
      <c r="C8426" s="42" t="str">
        <f>IFERROR(__xludf.DUMMYFUNCTION("""COMPUTED_VALUE"""),"B.1197/WAY HALIM PERMAI")</f>
        <v>B.1197/WAY HALIM PERMAI</v>
      </c>
      <c r="D8426" s="42"/>
      <c r="E8426" s="42"/>
      <c r="F8426" s="48" t="str">
        <f>IFERROR(__xludf.DUMMYFUNCTION("""COMPUTED_VALUE"""),"")</f>
        <v/>
      </c>
      <c r="G8426" s="42" t="str">
        <f>IFERROR(__xludf.DUMMYFUNCTION("""COMPUTED_VALUE"""),"ROYA")</f>
        <v>ROYA</v>
      </c>
      <c r="H8426" s="42">
        <f t="shared" si="1"/>
        <v>3319</v>
      </c>
    </row>
    <row r="8427" ht="22.5" customHeight="1">
      <c r="B8427" s="42" t="str">
        <f>IFERROR(__xludf.DUMMYFUNCTION("""COMPUTED_VALUE"""),"L/12/171025/1")</f>
        <v>L/12/171025/1</v>
      </c>
      <c r="C8427" s="42" t="str">
        <f>IFERROR(__xludf.DUMMYFUNCTION("""COMPUTED_VALUE"""),"KEL. KELAPA TIGA LUAS 300M2")</f>
        <v>KEL. KELAPA TIGA LUAS 300M2</v>
      </c>
      <c r="D8427" s="42"/>
      <c r="E8427" s="42"/>
      <c r="F8427" s="48" t="str">
        <f>IFERROR(__xludf.DUMMYFUNCTION("""COMPUTED_VALUE"""),"")</f>
        <v/>
      </c>
      <c r="G8427" s="42" t="str">
        <f>IFERROR(__xludf.DUMMYFUNCTION("""COMPUTED_VALUE"""),"PENGUKURAN PERTAMA KALI")</f>
        <v>PENGUKURAN PERTAMA KALI</v>
      </c>
      <c r="H8427" s="42">
        <f t="shared" si="1"/>
        <v>3319</v>
      </c>
    </row>
    <row r="8428" ht="22.5" customHeight="1">
      <c r="B8428" s="42" t="str">
        <f>IFERROR(__xludf.DUMMYFUNCTION("""COMPUTED_VALUE"""),"ABDGHUII")</f>
        <v>ABDGHUII</v>
      </c>
      <c r="C8428" s="42" t="str">
        <f>IFERROR(__xludf.DUMMYFUNCTION("""COMPUTED_VALUE"""),"B 350/ PERUMNAS WAY HALIM")</f>
        <v>B 350/ PERUMNAS WAY HALIM</v>
      </c>
      <c r="D8428" s="42"/>
      <c r="E8428" s="42"/>
      <c r="F8428" s="48" t="str">
        <f>IFERROR(__xludf.DUMMYFUNCTION("""COMPUTED_VALUE"""),"")</f>
        <v/>
      </c>
      <c r="G8428" s="42" t="str">
        <f>IFERROR(__xludf.DUMMYFUNCTION("""COMPUTED_VALUE"""),"BN JUAL BELI")</f>
        <v>BN JUAL BELI</v>
      </c>
      <c r="H8428" s="42">
        <f t="shared" si="1"/>
        <v>3319</v>
      </c>
    </row>
    <row r="8429" ht="22.5" customHeight="1">
      <c r="B8429" s="42" t="str">
        <f>IFERROR(__xludf.DUMMYFUNCTION("""COMPUTED_VALUE"""),"ABTSZLDL")</f>
        <v>ABTSZLDL</v>
      </c>
      <c r="C8429" s="42" t="str">
        <f>IFERROR(__xludf.DUMMYFUNCTION("""COMPUTED_VALUE"""),"NIBEL M 17395/ BATU PUTUK")</f>
        <v>NIBEL M 17395/ BATU PUTUK</v>
      </c>
      <c r="D8429" s="42"/>
      <c r="E8429" s="42"/>
      <c r="F8429" s="48" t="str">
        <f>IFERROR(__xludf.DUMMYFUNCTION("""COMPUTED_VALUE"""),"")</f>
        <v/>
      </c>
      <c r="G8429" s="42" t="str">
        <f>IFERROR(__xludf.DUMMYFUNCTION("""COMPUTED_VALUE"""),"AJB BN")</f>
        <v>AJB BN</v>
      </c>
      <c r="H8429" s="42">
        <f t="shared" si="1"/>
        <v>3319</v>
      </c>
    </row>
    <row r="8430" ht="22.5" customHeight="1">
      <c r="B8430" s="42" t="str">
        <f>IFERROR(__xludf.DUMMYFUNCTION("""COMPUTED_VALUE"""),"L/13/171025/1")</f>
        <v>L/13/171025/1</v>
      </c>
      <c r="C8430" s="42" t="str">
        <f>IFERROR(__xludf.DUMMYFUNCTION("""COMPUTED_VALUE"""),"M. 497/PERUMNAS WAY KANDIS")</f>
        <v>M. 497/PERUMNAS WAY KANDIS</v>
      </c>
      <c r="D8430" s="42"/>
      <c r="E8430" s="42"/>
      <c r="F8430" s="48" t="str">
        <f>IFERROR(__xludf.DUMMYFUNCTION("""COMPUTED_VALUE"""),"")</f>
        <v/>
      </c>
      <c r="G8430" s="42" t="str">
        <f>IFERROR(__xludf.DUMMYFUNCTION("""COMPUTED_VALUE"""),"ROYA")</f>
        <v>ROYA</v>
      </c>
      <c r="H8430" s="42">
        <f t="shared" si="1"/>
        <v>3319</v>
      </c>
    </row>
    <row r="8431" ht="22.5" customHeight="1">
      <c r="B8431" s="42" t="str">
        <f>IFERROR(__xludf.DUMMYFUNCTION("""COMPUTED_VALUE"""),"L/14/171025/1")</f>
        <v>L/14/171025/1</v>
      </c>
      <c r="C8431" s="42" t="str">
        <f>IFERROR(__xludf.DUMMYFUNCTION("""COMPUTED_VALUE"""),"NIBEL M. 20418/ KEDAMAIAN")</f>
        <v>NIBEL M. 20418/ KEDAMAIAN</v>
      </c>
      <c r="D8431" s="42"/>
      <c r="E8431" s="42"/>
      <c r="F8431" s="48" t="str">
        <f>IFERROR(__xludf.DUMMYFUNCTION("""COMPUTED_VALUE"""),"")</f>
        <v/>
      </c>
      <c r="G8431" s="42" t="str">
        <f>IFERROR(__xludf.DUMMYFUNCTION("""COMPUTED_VALUE"""),"BN WARIS")</f>
        <v>BN WARIS</v>
      </c>
      <c r="H8431" s="42">
        <f t="shared" si="1"/>
        <v>3319</v>
      </c>
    </row>
    <row r="8432" ht="22.5" customHeight="1">
      <c r="B8432" s="42" t="str">
        <f>IFERROR(__xludf.DUMMYFUNCTION("""COMPUTED_VALUE"""),"L/15/171025/1")</f>
        <v>L/15/171025/1</v>
      </c>
      <c r="C8432" s="42" t="str">
        <f>IFERROR(__xludf.DUMMYFUNCTION("""COMPUTED_VALUE"""),"M. 1009/CAMPANG JAYA")</f>
        <v>M. 1009/CAMPANG JAYA</v>
      </c>
      <c r="D8432" s="42"/>
      <c r="E8432" s="42"/>
      <c r="F8432" s="48" t="str">
        <f>IFERROR(__xludf.DUMMYFUNCTION("""COMPUTED_VALUE"""),"")</f>
        <v/>
      </c>
      <c r="G8432" s="42" t="str">
        <f>IFERROR(__xludf.DUMMYFUNCTION("""COMPUTED_VALUE"""),"HAPUS BPHTB")</f>
        <v>HAPUS BPHTB</v>
      </c>
      <c r="H8432" s="42">
        <f t="shared" si="1"/>
        <v>3319</v>
      </c>
    </row>
    <row r="8433" ht="22.5" customHeight="1">
      <c r="B8433" s="42" t="str">
        <f>IFERROR(__xludf.DUMMYFUNCTION("""COMPUTED_VALUE"""),"ABCAAHND")</f>
        <v>ABCAAHND</v>
      </c>
      <c r="C8433" s="42" t="str">
        <f>IFERROR(__xludf.DUMMYFUNCTION("""COMPUTED_VALUE"""),"M. 12765/Kdm")</f>
        <v>M. 12765/Kdm</v>
      </c>
      <c r="D8433" s="42"/>
      <c r="E8433" s="42"/>
      <c r="F8433" s="48" t="str">
        <f>IFERROR(__xludf.DUMMYFUNCTION("""COMPUTED_VALUE"""),"")</f>
        <v/>
      </c>
      <c r="G8433" s="42" t="str">
        <f>IFERROR(__xludf.DUMMYFUNCTION("""COMPUTED_VALUE"""),"APHB")</f>
        <v>APHB</v>
      </c>
      <c r="H8433" s="42">
        <f t="shared" si="1"/>
        <v>3319</v>
      </c>
    </row>
    <row r="8434" ht="22.5" customHeight="1">
      <c r="B8434" s="42" t="str">
        <f>IFERROR(__xludf.DUMMYFUNCTION("""COMPUTED_VALUE"""),"L/16/171025/1")</f>
        <v>L/16/171025/1</v>
      </c>
      <c r="C8434" s="42" t="str">
        <f>IFERROR(__xludf.DUMMYFUNCTION("""COMPUTED_VALUE"""),"M. 332/BATU PUTU")</f>
        <v>M. 332/BATU PUTU</v>
      </c>
      <c r="D8434" s="42"/>
      <c r="E8434" s="42"/>
      <c r="F8434" s="48" t="str">
        <f>IFERROR(__xludf.DUMMYFUNCTION("""COMPUTED_VALUE"""),"")</f>
        <v/>
      </c>
      <c r="G8434" s="42" t="str">
        <f>IFERROR(__xludf.DUMMYFUNCTION("""COMPUTED_VALUE"""),"ROYA")</f>
        <v>ROYA</v>
      </c>
      <c r="H8434" s="42">
        <f t="shared" si="1"/>
        <v>3319</v>
      </c>
    </row>
    <row r="8435" ht="22.5" customHeight="1">
      <c r="B8435" s="42" t="str">
        <f>IFERROR(__xludf.DUMMYFUNCTION("""COMPUTED_VALUE"""),"ABLOOJPF")</f>
        <v>ABLOOJPF</v>
      </c>
      <c r="C8435" s="42" t="str">
        <f>IFERROR(__xludf.DUMMYFUNCTION("""COMPUTED_VALUE"""),"M 2334/ KEDAUNG")</f>
        <v>M 2334/ KEDAUNG</v>
      </c>
      <c r="D8435" s="42"/>
      <c r="E8435" s="42"/>
      <c r="F8435" s="48" t="str">
        <f>IFERROR(__xludf.DUMMYFUNCTION("""COMPUTED_VALUE"""),"")</f>
        <v/>
      </c>
      <c r="G8435" s="42" t="str">
        <f>IFERROR(__xludf.DUMMYFUNCTION("""COMPUTED_VALUE"""),"BN JUAL BELI")</f>
        <v>BN JUAL BELI</v>
      </c>
      <c r="H8435" s="42">
        <f t="shared" si="1"/>
        <v>3319</v>
      </c>
    </row>
    <row r="8436" ht="22.5" customHeight="1">
      <c r="B8436" s="42" t="str">
        <f>IFERROR(__xludf.DUMMYFUNCTION("""COMPUTED_VALUE"""),"ABDKWFHI")</f>
        <v>ABDKWFHI</v>
      </c>
      <c r="C8436" s="42" t="str">
        <f>IFERROR(__xludf.DUMMYFUNCTION("""COMPUTED_VALUE"""),"M 2438/ KEDAUNG")</f>
        <v>M 2438/ KEDAUNG</v>
      </c>
      <c r="D8436" s="42"/>
      <c r="E8436" s="42"/>
      <c r="F8436" s="48" t="str">
        <f>IFERROR(__xludf.DUMMYFUNCTION("""COMPUTED_VALUE"""),"")</f>
        <v/>
      </c>
      <c r="G8436" s="42" t="str">
        <f>IFERROR(__xludf.DUMMYFUNCTION("""COMPUTED_VALUE"""),"BN JUAL BELI")</f>
        <v>BN JUAL BELI</v>
      </c>
      <c r="H8436" s="42">
        <f t="shared" si="1"/>
        <v>3319</v>
      </c>
    </row>
    <row r="8437" ht="22.5" customHeight="1">
      <c r="B8437" s="42" t="str">
        <f>IFERROR(__xludf.DUMMYFUNCTION("""COMPUTED_VALUE"""),"ABTIVQWW")</f>
        <v>ABTIVQWW</v>
      </c>
      <c r="C8437" s="42" t="str">
        <f>IFERROR(__xludf.DUMMYFUNCTION("""COMPUTED_VALUE"""),"M 2331/ KEDAUNG")</f>
        <v>M 2331/ KEDAUNG</v>
      </c>
      <c r="D8437" s="42"/>
      <c r="E8437" s="42"/>
      <c r="F8437" s="48" t="str">
        <f>IFERROR(__xludf.DUMMYFUNCTION("""COMPUTED_VALUE"""),"")</f>
        <v/>
      </c>
      <c r="G8437" s="42" t="str">
        <f>IFERROR(__xludf.DUMMYFUNCTION("""COMPUTED_VALUE"""),"BN JUAL BELI")</f>
        <v>BN JUAL BELI</v>
      </c>
      <c r="H8437" s="42">
        <f t="shared" si="1"/>
        <v>3319</v>
      </c>
    </row>
    <row r="8438" ht="22.5" customHeight="1">
      <c r="B8438" s="42" t="str">
        <f>IFERROR(__xludf.DUMMYFUNCTION("""COMPUTED_VALUE"""),"L/1/181025/1")</f>
        <v>L/1/181025/1</v>
      </c>
      <c r="C8438" s="42" t="str">
        <f>IFERROR(__xludf.DUMMYFUNCTION("""COMPUTED_VALUE"""),"KEMILING RAYA/ RICOADI")</f>
        <v>KEMILING RAYA/ RICOADI</v>
      </c>
      <c r="D8438" s="42"/>
      <c r="E8438" s="42"/>
      <c r="F8438" s="48" t="str">
        <f>IFERROR(__xludf.DUMMYFUNCTION("""COMPUTED_VALUE"""),"")</f>
        <v/>
      </c>
      <c r="G8438" s="42" t="str">
        <f>IFERROR(__xludf.DUMMYFUNCTION("""COMPUTED_VALUE"""),"PENDAFTARAN PENGUKURAN PERTAMA KALI")</f>
        <v>PENDAFTARAN PENGUKURAN PERTAMA KALI</v>
      </c>
      <c r="H8438" s="42">
        <f t="shared" si="1"/>
        <v>3319</v>
      </c>
    </row>
    <row r="8439" ht="22.5" customHeight="1">
      <c r="B8439" s="42" t="str">
        <f>IFERROR(__xludf.DUMMYFUNCTION("""COMPUTED_VALUE"""),"L/1/201025/1")</f>
        <v>L/1/201025/1</v>
      </c>
      <c r="C8439" s="42" t="str">
        <f>IFERROR(__xludf.DUMMYFUNCTION("""COMPUTED_VALUE"""),"M. 240/SUKARAME II")</f>
        <v>M. 240/SUKARAME II</v>
      </c>
      <c r="D8439" s="42"/>
      <c r="E8439" s="42"/>
      <c r="F8439" s="48" t="str">
        <f>IFERROR(__xludf.DUMMYFUNCTION("""COMPUTED_VALUE"""),"")</f>
        <v/>
      </c>
      <c r="G8439" s="42" t="str">
        <f>IFERROR(__xludf.DUMMYFUNCTION("""COMPUTED_VALUE"""),"ROYA")</f>
        <v>ROYA</v>
      </c>
      <c r="H8439" s="42">
        <f t="shared" si="1"/>
        <v>3319</v>
      </c>
    </row>
    <row r="8440" ht="22.5" customHeight="1">
      <c r="B8440" s="42" t="str">
        <f>IFERROR(__xludf.DUMMYFUNCTION("""COMPUTED_VALUE"""),"ABYVPBVI/AB026")</f>
        <v>ABYVPBVI/AB026</v>
      </c>
      <c r="C8440" s="42" t="str">
        <f>IFERROR(__xludf.DUMMYFUNCTION("""COMPUTED_VALUE"""),"NIB 08.01.000018360.0/Sukamaju")</f>
        <v>NIB 08.01.000018360.0/Sukamaju</v>
      </c>
      <c r="D8440" s="42"/>
      <c r="E8440" s="42"/>
      <c r="F8440" s="48" t="str">
        <f>IFERROR(__xludf.DUMMYFUNCTION("""COMPUTED_VALUE"""),"")</f>
        <v/>
      </c>
      <c r="G8440" s="42" t="str">
        <f>IFERROR(__xludf.DUMMYFUNCTION("""COMPUTED_VALUE"""),"BN Jual Beli ")</f>
        <v>BN Jual Beli </v>
      </c>
      <c r="H8440" s="42">
        <f t="shared" si="1"/>
        <v>3319</v>
      </c>
    </row>
    <row r="8441" ht="22.5" customHeight="1">
      <c r="B8441" s="42" t="str">
        <f>IFERROR(__xludf.DUMMYFUNCTION("""COMPUTED_VALUE"""),"L/2/201025/1")</f>
        <v>L/2/201025/1</v>
      </c>
      <c r="C8441" s="42" t="str">
        <f>IFERROR(__xludf.DUMMYFUNCTION("""COMPUTED_VALUE"""),"M. 1942/RAJABASA JAYA")</f>
        <v>M. 1942/RAJABASA JAYA</v>
      </c>
      <c r="D8441" s="42"/>
      <c r="E8441" s="42"/>
      <c r="F8441" s="48" t="str">
        <f>IFERROR(__xludf.DUMMYFUNCTION("""COMPUTED_VALUE"""),"")</f>
        <v/>
      </c>
      <c r="G8441" s="42" t="str">
        <f>IFERROR(__xludf.DUMMYFUNCTION("""COMPUTED_VALUE"""),"HAPUS BPHTB")</f>
        <v>HAPUS BPHTB</v>
      </c>
      <c r="H8441" s="42">
        <f t="shared" si="1"/>
        <v>3319</v>
      </c>
    </row>
    <row r="8442" ht="22.5" customHeight="1">
      <c r="B8442" s="42" t="str">
        <f>IFERROR(__xludf.DUMMYFUNCTION("""COMPUTED_VALUE"""),"ABEAYMOV/AB008")</f>
        <v>ABEAYMOV/AB008</v>
      </c>
      <c r="C8442" s="42" t="str">
        <f>IFERROR(__xludf.DUMMYFUNCTION("""COMPUTED_VALUE"""),"SHM 1205/Panjang Selatan")</f>
        <v>SHM 1205/Panjang Selatan</v>
      </c>
      <c r="D8442" s="42"/>
      <c r="E8442" s="42"/>
      <c r="F8442" s="48" t="str">
        <f>IFERROR(__xludf.DUMMYFUNCTION("""COMPUTED_VALUE"""),"")</f>
        <v/>
      </c>
      <c r="G8442" s="42" t="str">
        <f>IFERROR(__xludf.DUMMYFUNCTION("""COMPUTED_VALUE"""),"Roya")</f>
        <v>Roya</v>
      </c>
      <c r="H8442" s="42">
        <f t="shared" si="1"/>
        <v>3319</v>
      </c>
    </row>
    <row r="8443" ht="22.5" customHeight="1">
      <c r="B8443" s="42" t="str">
        <f>IFERROR(__xludf.DUMMYFUNCTION("""COMPUTED_VALUE"""),"ABKANPQM/AB038")</f>
        <v>ABKANPQM/AB038</v>
      </c>
      <c r="C8443" s="42" t="str">
        <f>IFERROR(__xludf.DUMMYFUNCTION("""COMPUTED_VALUE"""),"SHM NIBEL 23646/Sukamaju")</f>
        <v>SHM NIBEL 23646/Sukamaju</v>
      </c>
      <c r="D8443" s="42"/>
      <c r="E8443" s="42"/>
      <c r="F8443" s="48" t="str">
        <f>IFERROR(__xludf.DUMMYFUNCTION("""COMPUTED_VALUE"""),"")</f>
        <v/>
      </c>
      <c r="G8443" s="42" t="str">
        <f>IFERROR(__xludf.DUMMYFUNCTION("""COMPUTED_VALUE"""),"BN Jual Beli ")</f>
        <v>BN Jual Beli </v>
      </c>
      <c r="H8443" s="42">
        <f t="shared" si="1"/>
        <v>3319</v>
      </c>
    </row>
    <row r="8444" ht="22.5" customHeight="1">
      <c r="B8444" s="42" t="str">
        <f>IFERROR(__xludf.DUMMYFUNCTION("""COMPUTED_VALUE"""),"ABJKPATR/AB038")</f>
        <v>ABJKPATR/AB038</v>
      </c>
      <c r="C8444" s="42" t="str">
        <f>IFERROR(__xludf.DUMMYFUNCTION("""COMPUTED_VALUE"""),"SHM NIBEL 23650/Sukamaju")</f>
        <v>SHM NIBEL 23650/Sukamaju</v>
      </c>
      <c r="D8444" s="42"/>
      <c r="E8444" s="42"/>
      <c r="F8444" s="48" t="str">
        <f>IFERROR(__xludf.DUMMYFUNCTION("""COMPUTED_VALUE"""),"")</f>
        <v/>
      </c>
      <c r="G8444" s="42" t="str">
        <f>IFERROR(__xludf.DUMMYFUNCTION("""COMPUTED_VALUE"""),"BN Jual Beli ")</f>
        <v>BN Jual Beli </v>
      </c>
      <c r="H8444" s="42">
        <f t="shared" si="1"/>
        <v>3319</v>
      </c>
    </row>
    <row r="8445" ht="22.5" customHeight="1">
      <c r="B8445" s="42" t="str">
        <f>IFERROR(__xludf.DUMMYFUNCTION("""COMPUTED_VALUE"""),"K/3/201025/1")</f>
        <v>K/3/201025/1</v>
      </c>
      <c r="C8445" s="42" t="str">
        <f>IFERROR(__xludf.DUMMYFUNCTION("""COMPUTED_VALUE"""),"B. 152/PERWATA")</f>
        <v>B. 152/PERWATA</v>
      </c>
      <c r="D8445" s="42"/>
      <c r="E8445" s="42"/>
      <c r="F8445" s="48" t="str">
        <f>IFERROR(__xludf.DUMMYFUNCTION("""COMPUTED_VALUE"""),"")</f>
        <v/>
      </c>
      <c r="G8445" s="42" t="str">
        <f>IFERROR(__xludf.DUMMYFUNCTION("""COMPUTED_VALUE"""),"SKPT LELANG")</f>
        <v>SKPT LELANG</v>
      </c>
      <c r="H8445" s="42">
        <f t="shared" si="1"/>
        <v>3319</v>
      </c>
    </row>
    <row r="8446" ht="22.5" customHeight="1">
      <c r="B8446" s="42" t="str">
        <f>IFERROR(__xludf.DUMMYFUNCTION("""COMPUTED_VALUE"""),"L/4/201025/1")</f>
        <v>L/4/201025/1</v>
      </c>
      <c r="C8446" s="42" t="str">
        <f>IFERROR(__xludf.DUMMYFUNCTION("""COMPUTED_VALUE"""),"M. 3286/KETEGUHAN")</f>
        <v>M. 3286/KETEGUHAN</v>
      </c>
      <c r="D8446" s="42"/>
      <c r="E8446" s="42"/>
      <c r="F8446" s="48" t="str">
        <f>IFERROR(__xludf.DUMMYFUNCTION("""COMPUTED_VALUE"""),"")</f>
        <v/>
      </c>
      <c r="G8446" s="42" t="str">
        <f>IFERROR(__xludf.DUMMYFUNCTION("""COMPUTED_VALUE"""),"HAPUS BPHTB")</f>
        <v>HAPUS BPHTB</v>
      </c>
      <c r="H8446" s="42">
        <f t="shared" si="1"/>
        <v>3319</v>
      </c>
    </row>
    <row r="8447" ht="22.5" customHeight="1">
      <c r="B8447" s="42" t="str">
        <f>IFERROR(__xludf.DUMMYFUNCTION("""COMPUTED_VALUE"""),"ABPUXBSE/AB015")</f>
        <v>ABPUXBSE/AB015</v>
      </c>
      <c r="C8447" s="42" t="str">
        <f>IFERROR(__xludf.DUMMYFUNCTION("""COMPUTED_VALUE"""),"NIB.20391/ LABUHAN DALAM ")</f>
        <v>NIB.20391/ LABUHAN DALAM </v>
      </c>
      <c r="D8447" s="42"/>
      <c r="E8447" s="42"/>
      <c r="F8447" s="48" t="str">
        <f>IFERROR(__xludf.DUMMYFUNCTION("""COMPUTED_VALUE"""),"")</f>
        <v/>
      </c>
      <c r="G8447" s="42" t="str">
        <f>IFERROR(__xludf.DUMMYFUNCTION("""COMPUTED_VALUE"""),"BN JUAL BELI")</f>
        <v>BN JUAL BELI</v>
      </c>
      <c r="H8447" s="42">
        <f t="shared" si="1"/>
        <v>3319</v>
      </c>
    </row>
    <row r="8448" ht="22.5" customHeight="1">
      <c r="B8448" s="42" t="str">
        <f>IFERROR(__xludf.DUMMYFUNCTION("""COMPUTED_VALUE"""),"K/5/201025/1")</f>
        <v>K/5/201025/1</v>
      </c>
      <c r="C8448" s="42" t="str">
        <f>IFERROR(__xludf.DUMMYFUNCTION("""COMPUTED_VALUE"""),"M. 2953/GEDONG AIR")</f>
        <v>M. 2953/GEDONG AIR</v>
      </c>
      <c r="D8448" s="42"/>
      <c r="E8448" s="42"/>
      <c r="F8448" s="48" t="str">
        <f>IFERROR(__xludf.DUMMYFUNCTION("""COMPUTED_VALUE"""),"")</f>
        <v/>
      </c>
      <c r="G8448" s="42" t="str">
        <f>IFERROR(__xludf.DUMMYFUNCTION("""COMPUTED_VALUE"""),"HAPUS BPHTB")</f>
        <v>HAPUS BPHTB</v>
      </c>
      <c r="H8448" s="42">
        <f t="shared" si="1"/>
        <v>3319</v>
      </c>
    </row>
    <row r="8449" ht="22.5" customHeight="1">
      <c r="B8449" s="42" t="str">
        <f>IFERROR(__xludf.DUMMYFUNCTION("""COMPUTED_VALUE"""),"ABVEXZCL  . Nomor tiket AB013")</f>
        <v>ABVEXZCL  . Nomor tiket AB013</v>
      </c>
      <c r="C8449" s="42" t="str">
        <f>IFERROR(__xludf.DUMMYFUNCTION("""COMPUTED_VALUE"""),"M 3381/ KEMILING PERMAI")</f>
        <v>M 3381/ KEMILING PERMAI</v>
      </c>
      <c r="D8449" s="42"/>
      <c r="E8449" s="42"/>
      <c r="F8449" s="48" t="str">
        <f>IFERROR(__xludf.DUMMYFUNCTION("""COMPUTED_VALUE"""),"")</f>
        <v/>
      </c>
      <c r="G8449" s="42" t="str">
        <f>IFERROR(__xludf.DUMMYFUNCTION("""COMPUTED_VALUE"""),"Bn Jual Beli")</f>
        <v>Bn Jual Beli</v>
      </c>
      <c r="H8449" s="42">
        <f t="shared" si="1"/>
        <v>3319</v>
      </c>
    </row>
    <row r="8450" ht="22.5" customHeight="1">
      <c r="B8450" s="42" t="str">
        <f>IFERROR(__xludf.DUMMYFUNCTION("""COMPUTED_VALUE"""),"ABKSCTNH . No antrian AB013")</f>
        <v>ABKSCTNH . No antrian AB013</v>
      </c>
      <c r="C8450" s="42" t="str">
        <f>IFERROR(__xludf.DUMMYFUNCTION("""COMPUTED_VALUE"""),"M1551/ PERUMNAS WAY HALIM")</f>
        <v>M1551/ PERUMNAS WAY HALIM</v>
      </c>
      <c r="D8450" s="42"/>
      <c r="E8450" s="42"/>
      <c r="F8450" s="48" t="str">
        <f>IFERROR(__xludf.DUMMYFUNCTION("""COMPUTED_VALUE"""),"")</f>
        <v/>
      </c>
      <c r="G8450" s="42" t="str">
        <f>IFERROR(__xludf.DUMMYFUNCTION("""COMPUTED_VALUE"""),"Bn Hibah")</f>
        <v>Bn Hibah</v>
      </c>
      <c r="H8450" s="42">
        <f t="shared" si="1"/>
        <v>3319</v>
      </c>
    </row>
    <row r="8451" ht="22.5" customHeight="1">
      <c r="B8451" s="42" t="str">
        <f>IFERROR(__xludf.DUMMYFUNCTION("""COMPUTED_VALUE"""),"K/6/201025/2")</f>
        <v>K/6/201025/2</v>
      </c>
      <c r="C8451" s="42" t="str">
        <f>IFERROR(__xludf.DUMMYFUNCTION("""COMPUTED_VALUE"""),"M. 3586/GUNUNG TERANG")</f>
        <v>M. 3586/GUNUNG TERANG</v>
      </c>
      <c r="D8451" s="42"/>
      <c r="E8451" s="42"/>
      <c r="F8451" s="48" t="str">
        <f>IFERROR(__xludf.DUMMYFUNCTION("""COMPUTED_VALUE"""),"")</f>
        <v/>
      </c>
      <c r="G8451" s="42" t="str">
        <f>IFERROR(__xludf.DUMMYFUNCTION("""COMPUTED_VALUE"""),"HAPUS BPHTB ")</f>
        <v>HAPUS BPHTB </v>
      </c>
      <c r="H8451" s="42">
        <f t="shared" si="1"/>
        <v>3319</v>
      </c>
    </row>
    <row r="8452" ht="22.5" customHeight="1">
      <c r="B8452" s="42" t="str">
        <f>IFERROR(__xludf.DUMMYFUNCTION("""COMPUTED_VALUE"""),"ABCDULDN")</f>
        <v>ABCDULDN</v>
      </c>
      <c r="C8452" s="42" t="str">
        <f>IFERROR(__xludf.DUMMYFUNCTION("""COMPUTED_VALUE"""),"NIB EL M23695.0")</f>
        <v>NIB EL M23695.0</v>
      </c>
      <c r="D8452" s="42"/>
      <c r="E8452" s="42"/>
      <c r="F8452" s="48" t="str">
        <f>IFERROR(__xludf.DUMMYFUNCTION("""COMPUTED_VALUE"""),"")</f>
        <v/>
      </c>
      <c r="G8452" s="42" t="str">
        <f>IFERROR(__xludf.DUMMYFUNCTION("""COMPUTED_VALUE"""),"Penataan Batas")</f>
        <v>Penataan Batas</v>
      </c>
      <c r="H8452" s="42">
        <f t="shared" si="1"/>
        <v>3319</v>
      </c>
    </row>
    <row r="8453" ht="22.5" customHeight="1">
      <c r="B8453" s="42" t="str">
        <f>IFERROR(__xludf.DUMMYFUNCTION("""COMPUTED_VALUE"""),"AB042/ABZKBYTZ")</f>
        <v>AB042/ABZKBYTZ</v>
      </c>
      <c r="C8453" s="42" t="str">
        <f>IFERROR(__xludf.DUMMYFUNCTION("""COMPUTED_VALUE"""),"M.1231/Kangkung")</f>
        <v>M.1231/Kangkung</v>
      </c>
      <c r="D8453" s="42"/>
      <c r="E8453" s="42"/>
      <c r="F8453" s="48" t="str">
        <f>IFERROR(__xludf.DUMMYFUNCTION("""COMPUTED_VALUE"""),"")</f>
        <v/>
      </c>
      <c r="G8453" s="42" t="str">
        <f>IFERROR(__xludf.DUMMYFUNCTION("""COMPUTED_VALUE"""),"BN Hibah")</f>
        <v>BN Hibah</v>
      </c>
      <c r="H8453" s="42">
        <f t="shared" si="1"/>
        <v>3319</v>
      </c>
    </row>
    <row r="8454" ht="22.5" customHeight="1">
      <c r="B8454" s="42" t="str">
        <f>IFERROR(__xludf.DUMMYFUNCTION("""COMPUTED_VALUE"""),"AB043/ABTUGDPL")</f>
        <v>AB043/ABTUGDPL</v>
      </c>
      <c r="C8454" s="42" t="str">
        <f>IFERROR(__xludf.DUMMYFUNCTION("""COMPUTED_VALUE"""),"M.1232/Kangkung")</f>
        <v>M.1232/Kangkung</v>
      </c>
      <c r="D8454" s="42"/>
      <c r="E8454" s="42"/>
      <c r="F8454" s="48" t="str">
        <f>IFERROR(__xludf.DUMMYFUNCTION("""COMPUTED_VALUE"""),"")</f>
        <v/>
      </c>
      <c r="G8454" s="42" t="str">
        <f>IFERROR(__xludf.DUMMYFUNCTION("""COMPUTED_VALUE"""),"BN Hibah")</f>
        <v>BN Hibah</v>
      </c>
      <c r="H8454" s="42">
        <f t="shared" si="1"/>
        <v>3319</v>
      </c>
    </row>
    <row r="8455" ht="22.5" customHeight="1">
      <c r="B8455" s="42" t="str">
        <f>IFERROR(__xludf.DUMMYFUNCTION("""COMPUTED_VALUE"""),"ABPWMHOJ/AB028")</f>
        <v>ABPWMHOJ/AB028</v>
      </c>
      <c r="C8455" s="42" t="str">
        <f>IFERROR(__xludf.DUMMYFUNCTION("""COMPUTED_VALUE"""),"M. 1930/kali balau kencana")</f>
        <v>M. 1930/kali balau kencana</v>
      </c>
      <c r="D8455" s="42"/>
      <c r="E8455" s="42"/>
      <c r="F8455" s="48" t="str">
        <f>IFERROR(__xludf.DUMMYFUNCTION("""COMPUTED_VALUE"""),"")</f>
        <v/>
      </c>
      <c r="G8455" s="42" t="str">
        <f>IFERROR(__xludf.DUMMYFUNCTION("""COMPUTED_VALUE"""),"BN jual beli")</f>
        <v>BN jual beli</v>
      </c>
      <c r="H8455" s="42">
        <f t="shared" si="1"/>
        <v>3319</v>
      </c>
    </row>
    <row r="8456" ht="22.5" customHeight="1">
      <c r="B8456" s="42" t="str">
        <f>IFERROR(__xludf.DUMMYFUNCTION("""COMPUTED_VALUE"""),"ABKMNEVC")</f>
        <v>ABKMNEVC</v>
      </c>
      <c r="C8456" s="42" t="str">
        <f>IFERROR(__xludf.DUMMYFUNCTION("""COMPUTED_VALUE"""),"M NIBEL 22475/Labuhan Ratu Raya")</f>
        <v>M NIBEL 22475/Labuhan Ratu Raya</v>
      </c>
      <c r="D8456" s="42"/>
      <c r="E8456" s="42"/>
      <c r="F8456" s="48" t="str">
        <f>IFERROR(__xludf.DUMMYFUNCTION("""COMPUTED_VALUE"""),"")</f>
        <v/>
      </c>
      <c r="G8456" s="42" t="str">
        <f>IFERROR(__xludf.DUMMYFUNCTION("""COMPUTED_VALUE"""),"Balik Nama")</f>
        <v>Balik Nama</v>
      </c>
      <c r="H8456" s="42">
        <f t="shared" si="1"/>
        <v>3319</v>
      </c>
    </row>
    <row r="8457" ht="22.5" customHeight="1">
      <c r="B8457" s="42" t="str">
        <f>IFERROR(__xludf.DUMMYFUNCTION("""COMPUTED_VALUE"""),"L/7/201025/1")</f>
        <v>L/7/201025/1</v>
      </c>
      <c r="C8457" s="42" t="str">
        <f>IFERROR(__xludf.DUMMYFUNCTION("""COMPUTED_VALUE"""),"B. 170/BERINGIN RAYA")</f>
        <v>B. 170/BERINGIN RAYA</v>
      </c>
      <c r="D8457" s="42"/>
      <c r="E8457" s="42"/>
      <c r="F8457" s="48" t="str">
        <f>IFERROR(__xludf.DUMMYFUNCTION("""COMPUTED_VALUE"""),"")</f>
        <v/>
      </c>
      <c r="G8457" s="42" t="str">
        <f>IFERROR(__xludf.DUMMYFUNCTION("""COMPUTED_VALUE"""),"PENGUKURAN HGB MATI")</f>
        <v>PENGUKURAN HGB MATI</v>
      </c>
      <c r="H8457" s="42">
        <f t="shared" si="1"/>
        <v>3319</v>
      </c>
    </row>
    <row r="8458" ht="22.5" customHeight="1">
      <c r="B8458" s="42" t="str">
        <f>IFERROR(__xludf.DUMMYFUNCTION("""COMPUTED_VALUE"""),"L/8/201025/1")</f>
        <v>L/8/201025/1</v>
      </c>
      <c r="C8458" s="42" t="str">
        <f>IFERROR(__xludf.DUMMYFUNCTION("""COMPUTED_VALUE"""),"M. 855 DAN M. 854/ SEPANG JAYA")</f>
        <v>M. 855 DAN M. 854/ SEPANG JAYA</v>
      </c>
      <c r="D8458" s="42"/>
      <c r="E8458" s="42"/>
      <c r="F8458" s="48" t="str">
        <f>IFERROR(__xludf.DUMMYFUNCTION("""COMPUTED_VALUE"""),"")</f>
        <v/>
      </c>
      <c r="G8458" s="42" t="str">
        <f>IFERROR(__xludf.DUMMYFUNCTION("""COMPUTED_VALUE"""),"ROYA")</f>
        <v>ROYA</v>
      </c>
      <c r="H8458" s="42">
        <f t="shared" si="1"/>
        <v>3319</v>
      </c>
    </row>
    <row r="8459" ht="22.5" customHeight="1">
      <c r="B8459" s="42" t="str">
        <f>IFERROR(__xludf.DUMMYFUNCTION("""COMPUTED_VALUE"""),"ABVFSERR")</f>
        <v>ABVFSERR</v>
      </c>
      <c r="C8459" s="42" t="str">
        <f>IFERROR(__xludf.DUMMYFUNCTION("""COMPUTED_VALUE"""),"m. 10341/kampung baru")</f>
        <v>m. 10341/kampung baru</v>
      </c>
      <c r="D8459" s="42" t="str">
        <f>IFERROR(__xludf.DUMMYFUNCTION("""COMPUTED_VALUE"""),"Berry")</f>
        <v>Berry</v>
      </c>
      <c r="E8459" s="42" t="str">
        <f>IFERROR(__xludf.DUMMYFUNCTION("""COMPUTED_VALUE"""),"DISERAHKAN")</f>
        <v>DISERAHKAN</v>
      </c>
      <c r="F8459" s="48">
        <f>IFERROR(__xludf.DUMMYFUNCTION("""COMPUTED_VALUE"""),45996.58962533565)</f>
        <v>45996.58963</v>
      </c>
      <c r="G8459" s="42" t="str">
        <f>IFERROR(__xludf.DUMMYFUNCTION("""COMPUTED_VALUE"""),"Balik nama")</f>
        <v>Balik nama</v>
      </c>
      <c r="H8459" s="42">
        <f t="shared" si="1"/>
        <v>3320</v>
      </c>
    </row>
    <row r="8460" ht="22.5" customHeight="1">
      <c r="B8460" s="42" t="str">
        <f>IFERROR(__xludf.DUMMYFUNCTION("""COMPUTED_VALUE"""),"ABFD2DGU")</f>
        <v>ABFD2DGU</v>
      </c>
      <c r="C8460" s="42" t="str">
        <f>IFERROR(__xludf.DUMMYFUNCTION("""COMPUTED_VALUE"""),"M 22973/ rajabasa jaya")</f>
        <v>M 22973/ rajabasa jaya</v>
      </c>
      <c r="D8460" s="42"/>
      <c r="E8460" s="42"/>
      <c r="F8460" s="48" t="str">
        <f>IFERROR(__xludf.DUMMYFUNCTION("""COMPUTED_VALUE"""),"")</f>
        <v/>
      </c>
      <c r="G8460" s="42" t="str">
        <f>IFERROR(__xludf.DUMMYFUNCTION("""COMPUTED_VALUE"""),"Bn jual beli")</f>
        <v>Bn jual beli</v>
      </c>
      <c r="H8460" s="42">
        <f t="shared" si="1"/>
        <v>3320</v>
      </c>
    </row>
    <row r="8461" ht="22.5" customHeight="1">
      <c r="B8461" s="42" t="str">
        <f>IFERROR(__xludf.DUMMYFUNCTION("""COMPUTED_VALUE"""),"ABEXMEJQ")</f>
        <v>ABEXMEJQ</v>
      </c>
      <c r="C8461" s="42" t="str">
        <f>IFERROR(__xludf.DUMMYFUNCTION("""COMPUTED_VALUE"""),"labuhan dalam/ levi yando")</f>
        <v>labuhan dalam/ levi yando</v>
      </c>
      <c r="D8461" s="42"/>
      <c r="E8461" s="42"/>
      <c r="F8461" s="48" t="str">
        <f>IFERROR(__xludf.DUMMYFUNCTION("""COMPUTED_VALUE"""),"")</f>
        <v/>
      </c>
      <c r="G8461" s="42" t="str">
        <f>IFERROR(__xludf.DUMMYFUNCTION("""COMPUTED_VALUE"""),"pertama kali")</f>
        <v>pertama kali</v>
      </c>
      <c r="H8461" s="42">
        <f t="shared" si="1"/>
        <v>3320</v>
      </c>
    </row>
    <row r="8462" ht="22.5" customHeight="1">
      <c r="B8462" s="42" t="str">
        <f>IFERROR(__xludf.DUMMYFUNCTION("""COMPUTED_VALUE"""),"K/9/201025/1")</f>
        <v>K/9/201025/1</v>
      </c>
      <c r="C8462" s="42" t="str">
        <f>IFERROR(__xludf.DUMMYFUNCTION("""COMPUTED_VALUE"""),"M. 12091/JAGABAYA II")</f>
        <v>M. 12091/JAGABAYA II</v>
      </c>
      <c r="D8462" s="42"/>
      <c r="E8462" s="42"/>
      <c r="F8462" s="48" t="str">
        <f>IFERROR(__xludf.DUMMYFUNCTION("""COMPUTED_VALUE"""),"")</f>
        <v/>
      </c>
      <c r="G8462" s="42" t="str">
        <f>IFERROR(__xludf.DUMMYFUNCTION("""COMPUTED_VALUE"""),"ROYA")</f>
        <v>ROYA</v>
      </c>
      <c r="H8462" s="42">
        <f t="shared" si="1"/>
        <v>3320</v>
      </c>
    </row>
    <row r="8463" ht="22.5" customHeight="1">
      <c r="B8463" s="42" t="str">
        <f>IFERROR(__xludf.DUMMYFUNCTION("""COMPUTED_VALUE"""),"L/11/201025/1")</f>
        <v>L/11/201025/1</v>
      </c>
      <c r="C8463" s="42" t="str">
        <f>IFERROR(__xludf.DUMMYFUNCTION("""COMPUTED_VALUE"""),"B NIB. 17100/NUSANTARA PERMAI")</f>
        <v>B NIB. 17100/NUSANTARA PERMAI</v>
      </c>
      <c r="D8463" s="42" t="str">
        <f>IFERROR(__xludf.DUMMYFUNCTION("""COMPUTED_VALUE"""),"Berry")</f>
        <v>Berry</v>
      </c>
      <c r="E8463" s="42" t="str">
        <f>IFERROR(__xludf.DUMMYFUNCTION("""COMPUTED_VALUE"""),"DISERAHKAN")</f>
        <v>DISERAHKAN</v>
      </c>
      <c r="F8463" s="48">
        <f>IFERROR(__xludf.DUMMYFUNCTION("""COMPUTED_VALUE"""),46000.45197008102)</f>
        <v>46000.45197</v>
      </c>
      <c r="G8463" s="42" t="str">
        <f>IFERROR(__xludf.DUMMYFUNCTION("""COMPUTED_VALUE"""),"PENINGKATAN HAK")</f>
        <v>PENINGKATAN HAK</v>
      </c>
      <c r="H8463" s="42">
        <f t="shared" si="1"/>
        <v>3321</v>
      </c>
    </row>
    <row r="8464" ht="22.5" customHeight="1">
      <c r="B8464" s="42" t="str">
        <f>IFERROR(__xludf.DUMMYFUNCTION("""COMPUTED_VALUE"""),"ABBKQZLP/1")</f>
        <v>ABBKQZLP/1</v>
      </c>
      <c r="C8464" s="42" t="str">
        <f>IFERROR(__xludf.DUMMYFUNCTION("""COMPUTED_VALUE"""),"M.197/Jg.III")</f>
        <v>M.197/Jg.III</v>
      </c>
      <c r="D8464" s="42"/>
      <c r="E8464" s="42"/>
      <c r="F8464" s="48" t="str">
        <f>IFERROR(__xludf.DUMMYFUNCTION("""COMPUTED_VALUE"""),"")</f>
        <v/>
      </c>
      <c r="G8464" s="42" t="str">
        <f>IFERROR(__xludf.DUMMYFUNCTION("""COMPUTED_VALUE"""),"Bn jual beli")</f>
        <v>Bn jual beli</v>
      </c>
      <c r="H8464" s="42">
        <f t="shared" si="1"/>
        <v>3321</v>
      </c>
    </row>
    <row r="8465" ht="22.5" customHeight="1">
      <c r="B8465" s="42" t="str">
        <f>IFERROR(__xludf.DUMMYFUNCTION("""COMPUTED_VALUE"""),"ABEIFFDL/1")</f>
        <v>ABEIFFDL/1</v>
      </c>
      <c r="C8465" s="42" t="str">
        <f>IFERROR(__xludf.DUMMYFUNCTION("""COMPUTED_VALUE"""),"M 2014/Jagabaya III")</f>
        <v>M 2014/Jagabaya III</v>
      </c>
      <c r="D8465" s="42"/>
      <c r="E8465" s="42"/>
      <c r="F8465" s="48" t="str">
        <f>IFERROR(__xludf.DUMMYFUNCTION("""COMPUTED_VALUE"""),"")</f>
        <v/>
      </c>
      <c r="G8465" s="42" t="str">
        <f>IFERROR(__xludf.DUMMYFUNCTION("""COMPUTED_VALUE"""),"Bn jual beli")</f>
        <v>Bn jual beli</v>
      </c>
      <c r="H8465" s="42">
        <f t="shared" si="1"/>
        <v>3321</v>
      </c>
    </row>
    <row r="8466" ht="22.5" customHeight="1">
      <c r="B8466" s="42" t="str">
        <f>IFERROR(__xludf.DUMMYFUNCTION("""COMPUTED_VALUE"""),"ABPEKWOH/1")</f>
        <v>ABPEKWOH/1</v>
      </c>
      <c r="C8466" s="42" t="str">
        <f>IFERROR(__xludf.DUMMYFUNCTION("""COMPUTED_VALUE"""),"M 201/Jg.III")</f>
        <v>M 201/Jg.III</v>
      </c>
      <c r="D8466" s="42"/>
      <c r="E8466" s="42"/>
      <c r="F8466" s="48" t="str">
        <f>IFERROR(__xludf.DUMMYFUNCTION("""COMPUTED_VALUE"""),"")</f>
        <v/>
      </c>
      <c r="G8466" s="42" t="str">
        <f>IFERROR(__xludf.DUMMYFUNCTION("""COMPUTED_VALUE"""),"Bn jual beli")</f>
        <v>Bn jual beli</v>
      </c>
      <c r="H8466" s="42">
        <f t="shared" si="1"/>
        <v>3321</v>
      </c>
    </row>
    <row r="8467" ht="22.5" customHeight="1">
      <c r="B8467" s="42" t="str">
        <f>IFERROR(__xludf.DUMMYFUNCTION("""COMPUTED_VALUE"""),"ABSHCBEA/1")</f>
        <v>ABSHCBEA/1</v>
      </c>
      <c r="C8467" s="42" t="str">
        <f>IFERROR(__xludf.DUMMYFUNCTION("""COMPUTED_VALUE"""),"M 200/Jg.III")</f>
        <v>M 200/Jg.III</v>
      </c>
      <c r="D8467" s="42"/>
      <c r="E8467" s="42"/>
      <c r="F8467" s="48" t="str">
        <f>IFERROR(__xludf.DUMMYFUNCTION("""COMPUTED_VALUE"""),"")</f>
        <v/>
      </c>
      <c r="G8467" s="42" t="str">
        <f>IFERROR(__xludf.DUMMYFUNCTION("""COMPUTED_VALUE"""),"Bn jual beli")</f>
        <v>Bn jual beli</v>
      </c>
      <c r="H8467" s="42">
        <f t="shared" si="1"/>
        <v>3321</v>
      </c>
    </row>
    <row r="8468" ht="22.5" customHeight="1">
      <c r="B8468" s="42" t="str">
        <f>IFERROR(__xludf.DUMMYFUNCTION("""COMPUTED_VALUE"""),"ABGHLBIZ/1")</f>
        <v>ABGHLBIZ/1</v>
      </c>
      <c r="C8468" s="42" t="str">
        <f>IFERROR(__xludf.DUMMYFUNCTION("""COMPUTED_VALUE"""),"NIBEL M 22919 / Way Laga")</f>
        <v>NIBEL M 22919 / Way Laga</v>
      </c>
      <c r="D8468" s="42"/>
      <c r="E8468" s="42"/>
      <c r="F8468" s="48" t="str">
        <f>IFERROR(__xludf.DUMMYFUNCTION("""COMPUTED_VALUE"""),"")</f>
        <v/>
      </c>
      <c r="G8468" s="42" t="str">
        <f>IFERROR(__xludf.DUMMYFUNCTION("""COMPUTED_VALUE"""),"Bn jual beli")</f>
        <v>Bn jual beli</v>
      </c>
      <c r="H8468" s="42">
        <f t="shared" si="1"/>
        <v>3321</v>
      </c>
    </row>
    <row r="8469" ht="22.5" customHeight="1">
      <c r="B8469" s="42" t="str">
        <f>IFERROR(__xludf.DUMMYFUNCTION("""COMPUTED_VALUE"""),"ABABPVFG/AB034")</f>
        <v>ABABPVFG/AB034</v>
      </c>
      <c r="C8469" s="42" t="str">
        <f>IFERROR(__xludf.DUMMYFUNCTION("""COMPUTED_VALUE"""),"M. 11668/Segala Mider")</f>
        <v>M. 11668/Segala Mider</v>
      </c>
      <c r="D8469" s="42"/>
      <c r="E8469" s="42"/>
      <c r="F8469" s="48" t="str">
        <f>IFERROR(__xludf.DUMMYFUNCTION("""COMPUTED_VALUE"""),"")</f>
        <v/>
      </c>
      <c r="G8469" s="42" t="str">
        <f>IFERROR(__xludf.DUMMYFUNCTION("""COMPUTED_VALUE"""),"Bn Waris")</f>
        <v>Bn Waris</v>
      </c>
      <c r="H8469" s="42">
        <f t="shared" si="1"/>
        <v>3321</v>
      </c>
    </row>
    <row r="8470" ht="22.5" customHeight="1">
      <c r="B8470" s="42" t="str">
        <f>IFERROR(__xludf.DUMMYFUNCTION("""COMPUTED_VALUE"""),"
ABTEQFNO/AB034")</f>
        <v>
ABTEQFNO/AB034</v>
      </c>
      <c r="C8470" s="42" t="str">
        <f>IFERROR(__xludf.DUMMYFUNCTION("""COMPUTED_VALUE"""),"M. 2374/Sumber Agung")</f>
        <v>M. 2374/Sumber Agung</v>
      </c>
      <c r="D8470" s="42"/>
      <c r="E8470" s="42"/>
      <c r="F8470" s="48" t="str">
        <f>IFERROR(__xludf.DUMMYFUNCTION("""COMPUTED_VALUE"""),"")</f>
        <v/>
      </c>
      <c r="G8470" s="42" t="str">
        <f>IFERROR(__xludf.DUMMYFUNCTION("""COMPUTED_VALUE"""),"BN Jual Beli")</f>
        <v>BN Jual Beli</v>
      </c>
      <c r="H8470" s="42">
        <f t="shared" si="1"/>
        <v>3321</v>
      </c>
    </row>
    <row r="8471" ht="22.5" customHeight="1">
      <c r="B8471" s="42" t="str">
        <f>IFERROR(__xludf.DUMMYFUNCTION("""COMPUTED_VALUE"""),"ABTTRWKX")</f>
        <v>ABTTRWKX</v>
      </c>
      <c r="C8471" s="42" t="str">
        <f>IFERROR(__xludf.DUMMYFUNCTION("""COMPUTED_VALUE"""),"NIBEL M 3965/ SUKARAME BARU")</f>
        <v>NIBEL M 3965/ SUKARAME BARU</v>
      </c>
      <c r="D8471" s="42"/>
      <c r="E8471" s="42"/>
      <c r="F8471" s="48" t="str">
        <f>IFERROR(__xludf.DUMMYFUNCTION("""COMPUTED_VALUE"""),"")</f>
        <v/>
      </c>
      <c r="G8471" s="42" t="str">
        <f>IFERROR(__xludf.DUMMYFUNCTION("""COMPUTED_VALUE"""),"Bn jual beli")</f>
        <v>Bn jual beli</v>
      </c>
      <c r="H8471" s="42">
        <f t="shared" si="1"/>
        <v>3321</v>
      </c>
    </row>
    <row r="8472" ht="22.5" customHeight="1">
      <c r="B8472" s="42" t="str">
        <f>IFERROR(__xludf.DUMMYFUNCTION("""COMPUTED_VALUE"""),"ABGETGHO")</f>
        <v>ABGETGHO</v>
      </c>
      <c r="C8472" s="42" t="str">
        <f>IFERROR(__xludf.DUMMYFUNCTION("""COMPUTED_VALUE"""),"M 853/ PERUMNAS WAY HALIM")</f>
        <v>M 853/ PERUMNAS WAY HALIM</v>
      </c>
      <c r="D8472" s="42"/>
      <c r="E8472" s="42"/>
      <c r="F8472" s="48" t="str">
        <f>IFERROR(__xludf.DUMMYFUNCTION("""COMPUTED_VALUE"""),"")</f>
        <v/>
      </c>
      <c r="G8472" s="42" t="str">
        <f>IFERROR(__xludf.DUMMYFUNCTION("""COMPUTED_VALUE"""),"Bn jual beli")</f>
        <v>Bn jual beli</v>
      </c>
      <c r="H8472" s="42">
        <f t="shared" si="1"/>
        <v>3321</v>
      </c>
    </row>
    <row r="8473" ht="22.5" customHeight="1">
      <c r="B8473" s="42" t="str">
        <f>IFERROR(__xludf.DUMMYFUNCTION("""COMPUTED_VALUE"""),"ABGYDUUL/ABO46")</f>
        <v>ABGYDUUL/ABO46</v>
      </c>
      <c r="C8473" s="42" t="str">
        <f>IFERROR(__xludf.DUMMYFUNCTION("""COMPUTED_VALUE"""),"M. 1935/ sukarame baru")</f>
        <v>M. 1935/ sukarame baru</v>
      </c>
      <c r="D8473" s="42"/>
      <c r="E8473" s="42"/>
      <c r="F8473" s="48" t="str">
        <f>IFERROR(__xludf.DUMMYFUNCTION("""COMPUTED_VALUE"""),"")</f>
        <v/>
      </c>
      <c r="G8473" s="42" t="str">
        <f>IFERROR(__xludf.DUMMYFUNCTION("""COMPUTED_VALUE"""),"BN. Jual beli")</f>
        <v>BN. Jual beli</v>
      </c>
      <c r="H8473" s="42">
        <f t="shared" si="1"/>
        <v>3321</v>
      </c>
    </row>
    <row r="8474" ht="22.5" customHeight="1">
      <c r="B8474" s="42" t="str">
        <f>IFERROR(__xludf.DUMMYFUNCTION("""COMPUTED_VALUE"""),"ABUBQCIT")</f>
        <v>ABUBQCIT</v>
      </c>
      <c r="C8474" s="42" t="str">
        <f>IFERROR(__xludf.DUMMYFUNCTION("""COMPUTED_VALUE"""),"NIBEL B 24982/ KEMILING PERMAI")</f>
        <v>NIBEL B 24982/ KEMILING PERMAI</v>
      </c>
      <c r="D8474" s="42"/>
      <c r="E8474" s="42"/>
      <c r="F8474" s="48" t="str">
        <f>IFERROR(__xludf.DUMMYFUNCTION("""COMPUTED_VALUE"""),"")</f>
        <v/>
      </c>
      <c r="G8474" s="42" t="str">
        <f>IFERROR(__xludf.DUMMYFUNCTION("""COMPUTED_VALUE"""),"Peningkatan Hak")</f>
        <v>Peningkatan Hak</v>
      </c>
      <c r="H8474" s="42">
        <f t="shared" si="1"/>
        <v>3321</v>
      </c>
    </row>
    <row r="8475" ht="22.5" customHeight="1">
      <c r="B8475" s="42" t="str">
        <f>IFERROR(__xludf.DUMMYFUNCTION("""COMPUTED_VALUE"""),"ABSEBACK")</f>
        <v>ABSEBACK</v>
      </c>
      <c r="C8475" s="42" t="str">
        <f>IFERROR(__xludf.DUMMYFUNCTION("""COMPUTED_VALUE"""),"Shm.8278/sukabumi")</f>
        <v>Shm.8278/sukabumi</v>
      </c>
      <c r="D8475" s="42"/>
      <c r="E8475" s="42"/>
      <c r="F8475" s="48" t="str">
        <f>IFERROR(__xludf.DUMMYFUNCTION("""COMPUTED_VALUE"""),"")</f>
        <v/>
      </c>
      <c r="G8475" s="42" t="str">
        <f>IFERROR(__xludf.DUMMYFUNCTION("""COMPUTED_VALUE"""),"Peralihan hak")</f>
        <v>Peralihan hak</v>
      </c>
      <c r="H8475" s="42">
        <f t="shared" si="1"/>
        <v>3321</v>
      </c>
    </row>
    <row r="8476" ht="22.5" customHeight="1">
      <c r="B8476" s="42" t="str">
        <f>IFERROR(__xludf.DUMMYFUNCTION("""COMPUTED_VALUE"""),"ABPZIHXS")</f>
        <v>ABPZIHXS</v>
      </c>
      <c r="C8476" s="42" t="str">
        <f>IFERROR(__xludf.DUMMYFUNCTION("""COMPUTED_VALUE"""),"SHM 137/ way dadi baru")</f>
        <v>SHM 137/ way dadi baru</v>
      </c>
      <c r="D8476" s="42"/>
      <c r="E8476" s="42"/>
      <c r="F8476" s="48" t="str">
        <f>IFERROR(__xludf.DUMMYFUNCTION("""COMPUTED_VALUE"""),"")</f>
        <v/>
      </c>
      <c r="G8476" s="42" t="str">
        <f>IFERROR(__xludf.DUMMYFUNCTION("""COMPUTED_VALUE"""),"Bn jual beli")</f>
        <v>Bn jual beli</v>
      </c>
      <c r="H8476" s="42">
        <f t="shared" si="1"/>
        <v>3321</v>
      </c>
    </row>
    <row r="8477" ht="22.5" customHeight="1">
      <c r="B8477" s="42" t="str">
        <f>IFERROR(__xludf.DUMMYFUNCTION("""COMPUTED_VALUE"""),"ABSSXAAB/AB62")</f>
        <v>ABSSXAAB/AB62</v>
      </c>
      <c r="C8477" s="42" t="str">
        <f>IFERROR(__xludf.DUMMYFUNCTION("""COMPUTED_VALUE"""),"M.34/Bumi Kedamaian.")</f>
        <v>M.34/Bumi Kedamaian.</v>
      </c>
      <c r="D8477" s="42"/>
      <c r="E8477" s="42"/>
      <c r="F8477" s="48" t="str">
        <f>IFERROR(__xludf.DUMMYFUNCTION("""COMPUTED_VALUE"""),"")</f>
        <v/>
      </c>
      <c r="G8477" s="42" t="str">
        <f>IFERROR(__xludf.DUMMYFUNCTION("""COMPUTED_VALUE"""),"Roya")</f>
        <v>Roya</v>
      </c>
      <c r="H8477" s="42">
        <f t="shared" si="1"/>
        <v>3321</v>
      </c>
    </row>
    <row r="8478" ht="22.5" customHeight="1">
      <c r="B8478" s="42" t="str">
        <f>IFERROR(__xludf.DUMMYFUNCTION("""COMPUTED_VALUE"""),"ABKIVIXV")</f>
        <v>ABKIVIXV</v>
      </c>
      <c r="C8478" s="42" t="str">
        <f>IFERROR(__xludf.DUMMYFUNCTION("""COMPUTED_VALUE"""),"HM 13855/ kelurahan Sukarame I")</f>
        <v>HM 13855/ kelurahan Sukarame I</v>
      </c>
      <c r="D8478" s="42" t="str">
        <f>IFERROR(__xludf.DUMMYFUNCTION("""COMPUTED_VALUE"""),"Berry")</f>
        <v>Berry</v>
      </c>
      <c r="E8478" s="42" t="str">
        <f>IFERROR(__xludf.DUMMYFUNCTION("""COMPUTED_VALUE"""),"DISERAHKAN")</f>
        <v>DISERAHKAN</v>
      </c>
      <c r="F8478" s="48">
        <f>IFERROR(__xludf.DUMMYFUNCTION("""COMPUTED_VALUE"""),46020.656775462965)</f>
        <v>46020.65678</v>
      </c>
      <c r="G8478" s="42" t="str">
        <f>IFERROR(__xludf.DUMMYFUNCTION("""COMPUTED_VALUE"""),"Ploting Sertifikat ")</f>
        <v>Ploting Sertifikat </v>
      </c>
      <c r="H8478" s="42">
        <f t="shared" si="1"/>
        <v>3322</v>
      </c>
    </row>
    <row r="8479" ht="22.5" customHeight="1">
      <c r="B8479" s="42" t="str">
        <f>IFERROR(__xludf.DUMMYFUNCTION("""COMPUTED_VALUE"""),"ABWFKODD")</f>
        <v>ABWFKODD</v>
      </c>
      <c r="C8479" s="42" t="str">
        <f>IFERROR(__xludf.DUMMYFUNCTION("""COMPUTED_VALUE"""),"NIBEL M 22286/ labuhan ratu")</f>
        <v>NIBEL M 22286/ labuhan ratu</v>
      </c>
      <c r="D8479" s="42"/>
      <c r="E8479" s="42"/>
      <c r="F8479" s="48" t="str">
        <f>IFERROR(__xludf.DUMMYFUNCTION("""COMPUTED_VALUE"""),"")</f>
        <v/>
      </c>
      <c r="G8479" s="42" t="str">
        <f>IFERROR(__xludf.DUMMYFUNCTION("""COMPUTED_VALUE"""),"balik nama")</f>
        <v>balik nama</v>
      </c>
      <c r="H8479" s="42">
        <f t="shared" si="1"/>
        <v>3322</v>
      </c>
    </row>
    <row r="8480" ht="22.5" customHeight="1">
      <c r="B8480" s="42" t="str">
        <f>IFERROR(__xludf.DUMMYFUNCTION("""COMPUTED_VALUE"""),"ABDERTHU")</f>
        <v>ABDERTHU</v>
      </c>
      <c r="C8480" s="42" t="str">
        <f>IFERROR(__xludf.DUMMYFUNCTION("""COMPUTED_VALUE"""),"M 797/ SUKAJAWA")</f>
        <v>M 797/ SUKAJAWA</v>
      </c>
      <c r="D8480" s="42"/>
      <c r="E8480" s="42"/>
      <c r="F8480" s="48" t="str">
        <f>IFERROR(__xludf.DUMMYFUNCTION("""COMPUTED_VALUE"""),"")</f>
        <v/>
      </c>
      <c r="G8480" s="42" t="str">
        <f>IFERROR(__xludf.DUMMYFUNCTION("""COMPUTED_VALUE"""),"BN WARIS")</f>
        <v>BN WARIS</v>
      </c>
      <c r="H8480" s="42">
        <f t="shared" si="1"/>
        <v>3322</v>
      </c>
    </row>
    <row r="8481" ht="22.5" customHeight="1">
      <c r="B8481" s="42" t="str">
        <f>IFERROR(__xludf.DUMMYFUNCTION("""COMPUTED_VALUE"""),"ABMRNTFW/AB03")</f>
        <v>ABMRNTFW/AB03</v>
      </c>
      <c r="C8481" s="42" t="str">
        <f>IFERROR(__xludf.DUMMYFUNCTION("""COMPUTED_VALUE"""),"SHM 1520/Keteguhan")</f>
        <v>SHM 1520/Keteguhan</v>
      </c>
      <c r="D8481" s="42"/>
      <c r="E8481" s="42"/>
      <c r="F8481" s="48" t="str">
        <f>IFERROR(__xludf.DUMMYFUNCTION("""COMPUTED_VALUE"""),"")</f>
        <v/>
      </c>
      <c r="G8481" s="42" t="str">
        <f>IFERROR(__xludf.DUMMYFUNCTION("""COMPUTED_VALUE"""),"Balik Nama Waris")</f>
        <v>Balik Nama Waris</v>
      </c>
      <c r="H8481" s="42">
        <f t="shared" si="1"/>
        <v>3322</v>
      </c>
    </row>
    <row r="8482" ht="22.5" customHeight="1">
      <c r="B8482" s="42" t="str">
        <f>IFERROR(__xludf.DUMMYFUNCTION("""COMPUTED_VALUE"""),"ABSNUVZK")</f>
        <v>ABSNUVZK</v>
      </c>
      <c r="C8482" s="42" t="str">
        <f>IFERROR(__xludf.DUMMYFUNCTION("""COMPUTED_VALUE"""),"M  2511/ LANGKAPURA")</f>
        <v>M  2511/ LANGKAPURA</v>
      </c>
      <c r="D8482" s="42"/>
      <c r="E8482" s="42"/>
      <c r="F8482" s="48" t="str">
        <f>IFERROR(__xludf.DUMMYFUNCTION("""COMPUTED_VALUE"""),"")</f>
        <v/>
      </c>
      <c r="G8482" s="42" t="str">
        <f>IFERROR(__xludf.DUMMYFUNCTION("""COMPUTED_VALUE"""),"BN HIBAH")</f>
        <v>BN HIBAH</v>
      </c>
      <c r="H8482" s="42">
        <f t="shared" si="1"/>
        <v>3322</v>
      </c>
    </row>
    <row r="8483" ht="22.5" customHeight="1">
      <c r="B8483" s="42" t="str">
        <f>IFERROR(__xludf.DUMMYFUNCTION("""COMPUTED_VALUE"""),"L/10/201025/1")</f>
        <v>L/10/201025/1</v>
      </c>
      <c r="C8483" s="42" t="str">
        <f>IFERROR(__xludf.DUMMYFUNCTION("""COMPUTED_VALUE"""),"M. 1622/TANJUNG SENANG")</f>
        <v>M. 1622/TANJUNG SENANG</v>
      </c>
      <c r="D8483" s="42"/>
      <c r="E8483" s="42"/>
      <c r="F8483" s="48" t="str">
        <f>IFERROR(__xludf.DUMMYFUNCTION("""COMPUTED_VALUE"""),"")</f>
        <v/>
      </c>
      <c r="G8483" s="42" t="str">
        <f>IFERROR(__xludf.DUMMYFUNCTION("""COMPUTED_VALUE"""),"BN WARIS")</f>
        <v>BN WARIS</v>
      </c>
      <c r="H8483" s="42">
        <f t="shared" si="1"/>
        <v>3322</v>
      </c>
    </row>
    <row r="8484" ht="22.5" customHeight="1">
      <c r="B8484" s="42" t="str">
        <f>IFERROR(__xludf.DUMMYFUNCTION("""COMPUTED_VALUE"""),"K/1/211025/1")</f>
        <v>K/1/211025/1</v>
      </c>
      <c r="C8484" s="42" t="str">
        <f>IFERROR(__xludf.DUMMYFUNCTION("""COMPUTED_VALUE"""),"M. 13664/SUKABUMI")</f>
        <v>M. 13664/SUKABUMI</v>
      </c>
      <c r="D8484" s="42"/>
      <c r="E8484" s="42"/>
      <c r="F8484" s="48" t="str">
        <f>IFERROR(__xludf.DUMMYFUNCTION("""COMPUTED_VALUE"""),"")</f>
        <v/>
      </c>
      <c r="G8484" s="42" t="str">
        <f>IFERROR(__xludf.DUMMYFUNCTION("""COMPUTED_VALUE"""),"PTPGT")</f>
        <v>PTPGT</v>
      </c>
      <c r="H8484" s="42">
        <f t="shared" si="1"/>
        <v>3322</v>
      </c>
    </row>
    <row r="8485" ht="22.5" customHeight="1">
      <c r="B8485" s="42" t="str">
        <f>IFERROR(__xludf.DUMMYFUNCTION("""COMPUTED_VALUE"""),"ABNUIAOQ/AB025")</f>
        <v>ABNUIAOQ/AB025</v>
      </c>
      <c r="C8485" s="42" t="str">
        <f>IFERROR(__xludf.DUMMYFUNCTION("""COMPUTED_VALUE"""),"M.00771/Sumber Agung")</f>
        <v>M.00771/Sumber Agung</v>
      </c>
      <c r="D8485" s="42"/>
      <c r="E8485" s="42"/>
      <c r="F8485" s="48" t="str">
        <f>IFERROR(__xludf.DUMMYFUNCTION("""COMPUTED_VALUE"""),"")</f>
        <v/>
      </c>
      <c r="G8485" s="42" t="str">
        <f>IFERROR(__xludf.DUMMYFUNCTION("""COMPUTED_VALUE"""),"Penataan ulang/ Penataan Batas")</f>
        <v>Penataan ulang/ Penataan Batas</v>
      </c>
      <c r="H8485" s="42">
        <f t="shared" si="1"/>
        <v>3322</v>
      </c>
    </row>
    <row r="8486" ht="22.5" customHeight="1">
      <c r="B8486" s="42" t="str">
        <f>IFERROR(__xludf.DUMMYFUNCTION("""COMPUTED_VALUE"""),"K/2/211025/1")</f>
        <v>K/2/211025/1</v>
      </c>
      <c r="C8486" s="42" t="str">
        <f>IFERROR(__xludf.DUMMYFUNCTION("""COMPUTED_VALUE"""),"NIBEL M. 17641/SUKABUMI")</f>
        <v>NIBEL M. 17641/SUKABUMI</v>
      </c>
      <c r="D8486" s="42"/>
      <c r="E8486" s="42"/>
      <c r="F8486" s="48" t="str">
        <f>IFERROR(__xludf.DUMMYFUNCTION("""COMPUTED_VALUE"""),"")</f>
        <v/>
      </c>
      <c r="G8486" s="42" t="str">
        <f>IFERROR(__xludf.DUMMYFUNCTION("""COMPUTED_VALUE"""),"SKPT LELANG")</f>
        <v>SKPT LELANG</v>
      </c>
      <c r="H8486" s="42">
        <f t="shared" si="1"/>
        <v>3322</v>
      </c>
    </row>
    <row r="8487" ht="22.5" customHeight="1">
      <c r="B8487" s="42" t="str">
        <f>IFERROR(__xludf.DUMMYFUNCTION("""COMPUTED_VALUE"""),"L/3/211025/1")</f>
        <v>L/3/211025/1</v>
      </c>
      <c r="C8487" s="42" t="str">
        <f>IFERROR(__xludf.DUMMYFUNCTION("""COMPUTED_VALUE"""),"B NIB. 25670/SUKAMAJU")</f>
        <v>B NIB. 25670/SUKAMAJU</v>
      </c>
      <c r="D8487" s="42"/>
      <c r="E8487" s="42"/>
      <c r="F8487" s="48" t="str">
        <f>IFERROR(__xludf.DUMMYFUNCTION("""COMPUTED_VALUE"""),"")</f>
        <v/>
      </c>
      <c r="G8487" s="42" t="str">
        <f>IFERROR(__xludf.DUMMYFUNCTION("""COMPUTED_VALUE"""),"PENINGKATAN HAK")</f>
        <v>PENINGKATAN HAK</v>
      </c>
      <c r="H8487" s="42">
        <f t="shared" si="1"/>
        <v>3322</v>
      </c>
    </row>
    <row r="8488" ht="22.5" customHeight="1">
      <c r="B8488" s="42" t="str">
        <f>IFERROR(__xludf.DUMMYFUNCTION("""COMPUTED_VALUE"""),"K/4/211025/1")</f>
        <v>K/4/211025/1</v>
      </c>
      <c r="C8488" s="42" t="str">
        <f>IFERROR(__xludf.DUMMYFUNCTION("""COMPUTED_VALUE"""),"M. 5513/LANGKAPURA")</f>
        <v>M. 5513/LANGKAPURA</v>
      </c>
      <c r="D8488" s="42"/>
      <c r="E8488" s="42"/>
      <c r="F8488" s="48" t="str">
        <f>IFERROR(__xludf.DUMMYFUNCTION("""COMPUTED_VALUE"""),"")</f>
        <v/>
      </c>
      <c r="G8488" s="42" t="str">
        <f>IFERROR(__xludf.DUMMYFUNCTION("""COMPUTED_VALUE"""),"BLOKIR ")</f>
        <v>BLOKIR </v>
      </c>
      <c r="H8488" s="42">
        <f t="shared" si="1"/>
        <v>3322</v>
      </c>
    </row>
    <row r="8489" ht="22.5" customHeight="1">
      <c r="B8489" s="42" t="str">
        <f>IFERROR(__xludf.DUMMYFUNCTION("""COMPUTED_VALUE"""),"ABRGUEB")</f>
        <v>ABRGUEB</v>
      </c>
      <c r="C8489" s="42" t="str">
        <f>IFERROR(__xludf.DUMMYFUNCTION("""COMPUTED_VALUE"""),"M 10/ bumi kedamaian")</f>
        <v>M 10/ bumi kedamaian</v>
      </c>
      <c r="D8489" s="42"/>
      <c r="E8489" s="42"/>
      <c r="F8489" s="48" t="str">
        <f>IFERROR(__xludf.DUMMYFUNCTION("""COMPUTED_VALUE"""),"")</f>
        <v/>
      </c>
      <c r="G8489" s="42" t="str">
        <f>IFERROR(__xludf.DUMMYFUNCTION("""COMPUTED_VALUE"""),"bn waris")</f>
        <v>bn waris</v>
      </c>
      <c r="H8489" s="42">
        <f t="shared" si="1"/>
        <v>3322</v>
      </c>
    </row>
    <row r="8490" ht="22.5" customHeight="1">
      <c r="B8490" s="42" t="str">
        <f>IFERROR(__xludf.DUMMYFUNCTION("""COMPUTED_VALUE"""),"ABJZUTBR/AB044")</f>
        <v>ABJZUTBR/AB044</v>
      </c>
      <c r="C8490" s="42" t="str">
        <f>IFERROR(__xludf.DUMMYFUNCTION("""COMPUTED_VALUE"""),"M. 21272/rajabasa raya")</f>
        <v>M. 21272/rajabasa raya</v>
      </c>
      <c r="D8490" s="42"/>
      <c r="E8490" s="42"/>
      <c r="F8490" s="48" t="str">
        <f>IFERROR(__xludf.DUMMYFUNCTION("""COMPUTED_VALUE"""),"")</f>
        <v/>
      </c>
      <c r="G8490" s="42" t="str">
        <f>IFERROR(__xludf.DUMMYFUNCTION("""COMPUTED_VALUE"""),"Bn jual beli")</f>
        <v>Bn jual beli</v>
      </c>
      <c r="H8490" s="42">
        <f t="shared" si="1"/>
        <v>3322</v>
      </c>
    </row>
    <row r="8491" ht="22.5" customHeight="1">
      <c r="B8491" s="42" t="str">
        <f>IFERROR(__xludf.DUMMYFUNCTION("""COMPUTED_VALUE"""),"ABYHGLNJ/AB044")</f>
        <v>ABYHGLNJ/AB044</v>
      </c>
      <c r="C8491" s="42" t="str">
        <f>IFERROR(__xludf.DUMMYFUNCTION("""COMPUTED_VALUE"""),"M. 21274/rajabasa raya")</f>
        <v>M. 21274/rajabasa raya</v>
      </c>
      <c r="D8491" s="42"/>
      <c r="E8491" s="42"/>
      <c r="F8491" s="48" t="str">
        <f>IFERROR(__xludf.DUMMYFUNCTION("""COMPUTED_VALUE"""),"")</f>
        <v/>
      </c>
      <c r="G8491" s="42" t="str">
        <f>IFERROR(__xludf.DUMMYFUNCTION("""COMPUTED_VALUE"""),"Bn jual beli")</f>
        <v>Bn jual beli</v>
      </c>
      <c r="H8491" s="42">
        <f t="shared" si="1"/>
        <v>3322</v>
      </c>
    </row>
    <row r="8492" ht="22.5" customHeight="1">
      <c r="B8492" s="42" t="str">
        <f>IFERROR(__xludf.DUMMYFUNCTION("""COMPUTED_VALUE"""),"K/5/211025/2")</f>
        <v>K/5/211025/2</v>
      </c>
      <c r="C8492" s="42" t="str">
        <f>IFERROR(__xludf.DUMMYFUNCTION("""COMPUTED_VALUE"""),"M.9508/GEDONG MENENG")</f>
        <v>M.9508/GEDONG MENENG</v>
      </c>
      <c r="D8492" s="42"/>
      <c r="E8492" s="42"/>
      <c r="F8492" s="48" t="str">
        <f>IFERROR(__xludf.DUMMYFUNCTION("""COMPUTED_VALUE"""),"")</f>
        <v/>
      </c>
      <c r="G8492" s="42" t="str">
        <f>IFERROR(__xludf.DUMMYFUNCTION("""COMPUTED_VALUE"""),"BLOKIR ")</f>
        <v>BLOKIR </v>
      </c>
      <c r="H8492" s="42">
        <f t="shared" si="1"/>
        <v>3322</v>
      </c>
    </row>
    <row r="8493" ht="22.5" customHeight="1">
      <c r="B8493" s="42" t="str">
        <f>IFERROR(__xludf.DUMMYFUNCTION("""COMPUTED_VALUE"""),"K/7/211025/1")</f>
        <v>K/7/211025/1</v>
      </c>
      <c r="C8493" s="42" t="str">
        <f>IFERROR(__xludf.DUMMYFUNCTION("""COMPUTED_VALUE"""),"SK NO. 356/HGB/BPN.18.71/X/2025 ")</f>
        <v>SK NO. 356/HGB/BPN.18.71/X/2025 </v>
      </c>
      <c r="D8493" s="42"/>
      <c r="E8493" s="42"/>
      <c r="F8493" s="48" t="str">
        <f>IFERROR(__xludf.DUMMYFUNCTION("""COMPUTED_VALUE"""),"")</f>
        <v/>
      </c>
      <c r="G8493" s="42" t="str">
        <f>IFERROR(__xludf.DUMMYFUNCTION("""COMPUTED_VALUE"""),"PENDAFTARAN SK")</f>
        <v>PENDAFTARAN SK</v>
      </c>
      <c r="H8493" s="42">
        <f t="shared" si="1"/>
        <v>3322</v>
      </c>
    </row>
    <row r="8494" ht="22.5" customHeight="1">
      <c r="B8494" s="42" t="str">
        <f>IFERROR(__xludf.DUMMYFUNCTION("""COMPUTED_VALUE"""),"L/6/211025/1")</f>
        <v>L/6/211025/1</v>
      </c>
      <c r="C8494" s="42" t="str">
        <f>IFERROR(__xludf.DUMMYFUNCTION("""COMPUTED_VALUE"""),"B 93/SUSUNAN BARU")</f>
        <v>B 93/SUSUNAN BARU</v>
      </c>
      <c r="D8494" s="42"/>
      <c r="E8494" s="42"/>
      <c r="F8494" s="48" t="str">
        <f>IFERROR(__xludf.DUMMYFUNCTION("""COMPUTED_VALUE"""),"")</f>
        <v/>
      </c>
      <c r="G8494" s="42" t="str">
        <f>IFERROR(__xludf.DUMMYFUNCTION("""COMPUTED_VALUE"""),"PENGUKURAN HGB MATI")</f>
        <v>PENGUKURAN HGB MATI</v>
      </c>
      <c r="H8494" s="42">
        <f t="shared" si="1"/>
        <v>3322</v>
      </c>
    </row>
    <row r="8495" ht="22.5" customHeight="1">
      <c r="B8495" s="42" t="str">
        <f>IFERROR(__xludf.DUMMYFUNCTION("""COMPUTED_VALUE"""),"L/9/211025/1")</f>
        <v>L/9/211025/1</v>
      </c>
      <c r="C8495" s="42" t="str">
        <f>IFERROR(__xludf.DUMMYFUNCTION("""COMPUTED_VALUE"""),"B NIB. 25669/CAMPANG RAYA")</f>
        <v>B NIB. 25669/CAMPANG RAYA</v>
      </c>
      <c r="D8495" s="42"/>
      <c r="E8495" s="42"/>
      <c r="F8495" s="48" t="str">
        <f>IFERROR(__xludf.DUMMYFUNCTION("""COMPUTED_VALUE"""),"")</f>
        <v/>
      </c>
      <c r="G8495" s="42" t="str">
        <f>IFERROR(__xludf.DUMMYFUNCTION("""COMPUTED_VALUE"""),"PENINGKATAN HAK")</f>
        <v>PENINGKATAN HAK</v>
      </c>
      <c r="H8495" s="42">
        <f t="shared" si="1"/>
        <v>3322</v>
      </c>
    </row>
    <row r="8496" ht="22.5" customHeight="1">
      <c r="B8496" s="42" t="str">
        <f>IFERROR(__xludf.DUMMYFUNCTION("""COMPUTED_VALUE"""),"K/8/211025/1")</f>
        <v>K/8/211025/1</v>
      </c>
      <c r="C8496" s="42" t="str">
        <f>IFERROR(__xludf.DUMMYFUNCTION("""COMPUTED_VALUE"""),"M. 1720/PINANG JAYA")</f>
        <v>M. 1720/PINANG JAYA</v>
      </c>
      <c r="D8496" s="42"/>
      <c r="E8496" s="42"/>
      <c r="F8496" s="48" t="str">
        <f>IFERROR(__xludf.DUMMYFUNCTION("""COMPUTED_VALUE"""),"")</f>
        <v/>
      </c>
      <c r="G8496" s="42" t="str">
        <f>IFERROR(__xludf.DUMMYFUNCTION("""COMPUTED_VALUE"""),"HAPUS BPHTB")</f>
        <v>HAPUS BPHTB</v>
      </c>
      <c r="H8496" s="42">
        <f t="shared" si="1"/>
        <v>3322</v>
      </c>
    </row>
    <row r="8497" ht="22.5" customHeight="1">
      <c r="B8497" s="42" t="str">
        <f>IFERROR(__xludf.DUMMYFUNCTION("""COMPUTED_VALUE"""),"L/10/211025/1")</f>
        <v>L/10/211025/1</v>
      </c>
      <c r="C8497" s="42" t="str">
        <f>IFERROR(__xludf.DUMMYFUNCTION("""COMPUTED_VALUE"""),"M. 140/WAY DADI BARU")</f>
        <v>M. 140/WAY DADI BARU</v>
      </c>
      <c r="D8497" s="42"/>
      <c r="E8497" s="42"/>
      <c r="F8497" s="48" t="str">
        <f>IFERROR(__xludf.DUMMYFUNCTION("""COMPUTED_VALUE"""),"")</f>
        <v/>
      </c>
      <c r="G8497" s="42" t="str">
        <f>IFERROR(__xludf.DUMMYFUNCTION("""COMPUTED_VALUE"""),"SKPT INFORMASI")</f>
        <v>SKPT INFORMASI</v>
      </c>
      <c r="H8497" s="42">
        <f t="shared" si="1"/>
        <v>3322</v>
      </c>
    </row>
    <row r="8498" ht="22.5" customHeight="1">
      <c r="B8498" s="42" t="str">
        <f>IFERROR(__xludf.DUMMYFUNCTION("""COMPUTED_VALUE"""),"ABPAMLHR")</f>
        <v>ABPAMLHR</v>
      </c>
      <c r="C8498" s="42" t="str">
        <f>IFERROR(__xludf.DUMMYFUNCTION("""COMPUTED_VALUE"""),"M.01004/Korpri Jaya")</f>
        <v>M.01004/Korpri Jaya</v>
      </c>
      <c r="D8498" s="42"/>
      <c r="E8498" s="42"/>
      <c r="F8498" s="48" t="str">
        <f>IFERROR(__xludf.DUMMYFUNCTION("""COMPUTED_VALUE"""),"")</f>
        <v/>
      </c>
      <c r="G8498" s="42" t="str">
        <f>IFERROR(__xludf.DUMMYFUNCTION("""COMPUTED_VALUE"""),"BN JUAL BELI")</f>
        <v>BN JUAL BELI</v>
      </c>
      <c r="H8498" s="42">
        <f t="shared" si="1"/>
        <v>3322</v>
      </c>
    </row>
    <row r="8499" ht="22.5" customHeight="1">
      <c r="B8499" s="42" t="str">
        <f>IFERROR(__xludf.DUMMYFUNCTION("""COMPUTED_VALUE"""),"ABXPDWSI")</f>
        <v>ABXPDWSI</v>
      </c>
      <c r="C8499" s="42" t="str">
        <f>IFERROR(__xludf.DUMMYFUNCTION("""COMPUTED_VALUE"""),"M.01003/Korpri Jaya")</f>
        <v>M.01003/Korpri Jaya</v>
      </c>
      <c r="D8499" s="42"/>
      <c r="E8499" s="42"/>
      <c r="F8499" s="48" t="str">
        <f>IFERROR(__xludf.DUMMYFUNCTION("""COMPUTED_VALUE"""),"")</f>
        <v/>
      </c>
      <c r="G8499" s="42" t="str">
        <f>IFERROR(__xludf.DUMMYFUNCTION("""COMPUTED_VALUE"""),"BN JUAL BELI")</f>
        <v>BN JUAL BELI</v>
      </c>
      <c r="H8499" s="42">
        <f t="shared" si="1"/>
        <v>3322</v>
      </c>
    </row>
    <row r="8500" ht="22.5" customHeight="1">
      <c r="B8500" s="42" t="str">
        <f>IFERROR(__xludf.DUMMYFUNCTION("""COMPUTED_VALUE"""),"ABQPZRKV/AB045")</f>
        <v>ABQPZRKV/AB045</v>
      </c>
      <c r="C8500" s="42" t="str">
        <f>IFERROR(__xludf.DUMMYFUNCTION("""COMPUTED_VALUE"""),"M. 16279/Gunung Terang")</f>
        <v>M. 16279/Gunung Terang</v>
      </c>
      <c r="D8500" s="42"/>
      <c r="E8500" s="42"/>
      <c r="F8500" s="48" t="str">
        <f>IFERROR(__xludf.DUMMYFUNCTION("""COMPUTED_VALUE"""),"")</f>
        <v/>
      </c>
      <c r="G8500" s="42" t="str">
        <f>IFERROR(__xludf.DUMMYFUNCTION("""COMPUTED_VALUE"""),"BN JUAL BELI")</f>
        <v>BN JUAL BELI</v>
      </c>
      <c r="H8500" s="42">
        <f t="shared" si="1"/>
        <v>3322</v>
      </c>
    </row>
    <row r="8501" ht="22.5" customHeight="1">
      <c r="B8501" s="42" t="str">
        <f>IFERROR(__xludf.DUMMYFUNCTION("""COMPUTED_VALUE"""),"L/11/211025/1")</f>
        <v>L/11/211025/1</v>
      </c>
      <c r="C8501" s="42" t="str">
        <f>IFERROR(__xludf.DUMMYFUNCTION("""COMPUTED_VALUE"""),"B. 1378/PINANG JAYA")</f>
        <v>B. 1378/PINANG JAYA</v>
      </c>
      <c r="D8501" s="42"/>
      <c r="E8501" s="42"/>
      <c r="F8501" s="48" t="str">
        <f>IFERROR(__xludf.DUMMYFUNCTION("""COMPUTED_VALUE"""),"")</f>
        <v/>
      </c>
      <c r="G8501" s="42" t="str">
        <f>IFERROR(__xludf.DUMMYFUNCTION("""COMPUTED_VALUE"""),"PENINGKATAN HAK")</f>
        <v>PENINGKATAN HAK</v>
      </c>
      <c r="H8501" s="42">
        <f t="shared" si="1"/>
        <v>3322</v>
      </c>
    </row>
    <row r="8502" ht="22.5" customHeight="1">
      <c r="B8502" s="42" t="str">
        <f>IFERROR(__xludf.DUMMYFUNCTION("""COMPUTED_VALUE"""),"ABHDEQIJ")</f>
        <v>ABHDEQIJ</v>
      </c>
      <c r="C8502" s="42" t="str">
        <f>IFERROR(__xludf.DUMMYFUNCTION("""COMPUTED_VALUE"""),"M 3383/ KEMILING PERMAI")</f>
        <v>M 3383/ KEMILING PERMAI</v>
      </c>
      <c r="D8502" s="42"/>
      <c r="E8502" s="42"/>
      <c r="F8502" s="48" t="str">
        <f>IFERROR(__xludf.DUMMYFUNCTION("""COMPUTED_VALUE"""),"")</f>
        <v/>
      </c>
      <c r="G8502" s="42" t="str">
        <f>IFERROR(__xludf.DUMMYFUNCTION("""COMPUTED_VALUE"""),"BN JUAL BELI")</f>
        <v>BN JUAL BELI</v>
      </c>
      <c r="H8502" s="42">
        <f t="shared" si="1"/>
        <v>3322</v>
      </c>
    </row>
    <row r="8503" ht="22.5" customHeight="1">
      <c r="B8503" s="42" t="str">
        <f>IFERROR(__xludf.DUMMYFUNCTION("""COMPUTED_VALUE"""),"ABHFAYUQ/AB064")</f>
        <v>ABHFAYUQ/AB064</v>
      </c>
      <c r="C8503" s="42" t="str">
        <f>IFERROR(__xludf.DUMMYFUNCTION("""COMPUTED_VALUE"""),"HGB 24305/CAMPANG JAYA")</f>
        <v>HGB 24305/CAMPANG JAYA</v>
      </c>
      <c r="D8503" s="42"/>
      <c r="E8503" s="42"/>
      <c r="F8503" s="48" t="str">
        <f>IFERROR(__xludf.DUMMYFUNCTION("""COMPUTED_VALUE"""),"")</f>
        <v/>
      </c>
      <c r="G8503" s="42" t="str">
        <f>IFERROR(__xludf.DUMMYFUNCTION("""COMPUTED_VALUE"""),"BALIK NAMA")</f>
        <v>BALIK NAMA</v>
      </c>
      <c r="H8503" s="42">
        <f t="shared" si="1"/>
        <v>3322</v>
      </c>
    </row>
    <row r="8504" ht="22.5" customHeight="1">
      <c r="B8504" s="42" t="str">
        <f>IFERROR(__xludf.DUMMYFUNCTION("""COMPUTED_VALUE"""),"L/12/211025/1")</f>
        <v>L/12/211025/1</v>
      </c>
      <c r="C8504" s="42" t="str">
        <f>IFERROR(__xludf.DUMMYFUNCTION("""COMPUTED_VALUE"""),"M. 1583/SUKABUMI INDAH")</f>
        <v>M. 1583/SUKABUMI INDAH</v>
      </c>
      <c r="D8504" s="42"/>
      <c r="E8504" s="42"/>
      <c r="F8504" s="48" t="str">
        <f>IFERROR(__xludf.DUMMYFUNCTION("""COMPUTED_VALUE"""),"")</f>
        <v/>
      </c>
      <c r="G8504" s="42" t="str">
        <f>IFERROR(__xludf.DUMMYFUNCTION("""COMPUTED_VALUE"""),"ROYA")</f>
        <v>ROYA</v>
      </c>
      <c r="H8504" s="42">
        <f t="shared" si="1"/>
        <v>3322</v>
      </c>
    </row>
    <row r="8505" ht="22.5" customHeight="1">
      <c r="B8505" s="42" t="str">
        <f>IFERROR(__xludf.DUMMYFUNCTION("""COMPUTED_VALUE"""),"L/14/211025/1")</f>
        <v>L/14/211025/1</v>
      </c>
      <c r="C8505" s="42" t="str">
        <f>IFERROR(__xludf.DUMMYFUNCTION("""COMPUTED_VALUE"""),"M. 1803/SUKAMAJU")</f>
        <v>M. 1803/SUKAMAJU</v>
      </c>
      <c r="D8505" s="42"/>
      <c r="E8505" s="42"/>
      <c r="F8505" s="48" t="str">
        <f>IFERROR(__xludf.DUMMYFUNCTION("""COMPUTED_VALUE"""),"")</f>
        <v/>
      </c>
      <c r="G8505" s="42" t="str">
        <f>IFERROR(__xludf.DUMMYFUNCTION("""COMPUTED_VALUE"""),"ROYA")</f>
        <v>ROYA</v>
      </c>
      <c r="H8505" s="42">
        <f t="shared" si="1"/>
        <v>3322</v>
      </c>
    </row>
    <row r="8506" ht="22.5" customHeight="1">
      <c r="B8506" s="42" t="str">
        <f>IFERROR(__xludf.DUMMYFUNCTION("""COMPUTED_VALUE"""),"ABWURSMY")</f>
        <v>ABWURSMY</v>
      </c>
      <c r="C8506" s="42" t="str">
        <f>IFERROR(__xludf.DUMMYFUNCTION("""COMPUTED_VALUE"""),"M.605/Sukaraja")</f>
        <v>M.605/Sukaraja</v>
      </c>
      <c r="D8506" s="42"/>
      <c r="E8506" s="42"/>
      <c r="F8506" s="48" t="str">
        <f>IFERROR(__xludf.DUMMYFUNCTION("""COMPUTED_VALUE"""),"")</f>
        <v/>
      </c>
      <c r="G8506" s="42" t="str">
        <f>IFERROR(__xludf.DUMMYFUNCTION("""COMPUTED_VALUE"""),"Ganti kecamatan")</f>
        <v>Ganti kecamatan</v>
      </c>
      <c r="H8506" s="42">
        <f t="shared" si="1"/>
        <v>3322</v>
      </c>
    </row>
    <row r="8507" ht="22.5" customHeight="1">
      <c r="B8507" s="42" t="str">
        <f>IFERROR(__xludf.DUMMYFUNCTION("""COMPUTED_VALUE"""),"ABWHDTNR")</f>
        <v>ABWHDTNR</v>
      </c>
      <c r="C8507" s="42" t="str">
        <f>IFERROR(__xludf.DUMMYFUNCTION("""COMPUTED_VALUE"""),"NIBEL M 23818/ surabaya")</f>
        <v>NIBEL M 23818/ surabaya</v>
      </c>
      <c r="D8507" s="42"/>
      <c r="E8507" s="42"/>
      <c r="F8507" s="48" t="str">
        <f>IFERROR(__xludf.DUMMYFUNCTION("""COMPUTED_VALUE"""),"")</f>
        <v/>
      </c>
      <c r="G8507" s="42" t="str">
        <f>IFERROR(__xludf.DUMMYFUNCTION("""COMPUTED_VALUE"""),"Balik nama jual beli")</f>
        <v>Balik nama jual beli</v>
      </c>
      <c r="H8507" s="42">
        <f t="shared" si="1"/>
        <v>3322</v>
      </c>
    </row>
    <row r="8508" ht="22.5" customHeight="1">
      <c r="B8508" s="42" t="str">
        <f>IFERROR(__xludf.DUMMYFUNCTION("""COMPUTED_VALUE"""),"ABHJGHGN/AB072")</f>
        <v>ABHJGHGN/AB072</v>
      </c>
      <c r="C8508" s="42" t="str">
        <f>IFERROR(__xludf.DUMMYFUNCTION("""COMPUTED_VALUE"""),"M.10595/Kedaton")</f>
        <v>M.10595/Kedaton</v>
      </c>
      <c r="D8508" s="42"/>
      <c r="E8508" s="42"/>
      <c r="F8508" s="48" t="str">
        <f>IFERROR(__xludf.DUMMYFUNCTION("""COMPUTED_VALUE"""),"")</f>
        <v/>
      </c>
      <c r="G8508" s="42" t="str">
        <f>IFERROR(__xludf.DUMMYFUNCTION("""COMPUTED_VALUE"""),"Ganti Desa ")</f>
        <v>Ganti Desa </v>
      </c>
      <c r="H8508" s="42">
        <f t="shared" si="1"/>
        <v>3322</v>
      </c>
    </row>
    <row r="8509" ht="22.5" customHeight="1">
      <c r="B8509" s="42" t="str">
        <f>IFERROR(__xludf.DUMMYFUNCTION("""COMPUTED_VALUE"""),"ABMODAVI/AB072")</f>
        <v>ABMODAVI/AB072</v>
      </c>
      <c r="C8509" s="42" t="str">
        <f>IFERROR(__xludf.DUMMYFUNCTION("""COMPUTED_VALUE"""),"M. 135/Gunung Terang")</f>
        <v>M. 135/Gunung Terang</v>
      </c>
      <c r="D8509" s="42"/>
      <c r="E8509" s="42"/>
      <c r="F8509" s="48" t="str">
        <f>IFERROR(__xludf.DUMMYFUNCTION("""COMPUTED_VALUE"""),"")</f>
        <v/>
      </c>
      <c r="G8509" s="42" t="str">
        <f>IFERROR(__xludf.DUMMYFUNCTION("""COMPUTED_VALUE"""),"Ganti kecamatan")</f>
        <v>Ganti kecamatan</v>
      </c>
      <c r="H8509" s="42">
        <f t="shared" si="1"/>
        <v>3322</v>
      </c>
    </row>
    <row r="8510" ht="22.5" customHeight="1">
      <c r="B8510" s="42" t="str">
        <f>IFERROR(__xludf.DUMMYFUNCTION("""COMPUTED_VALUE"""),"ABZUYNIUC")</f>
        <v>ABZUYNIUC</v>
      </c>
      <c r="C8510" s="42" t="str">
        <f>IFERROR(__xludf.DUMMYFUNCTION("""COMPUTED_VALUE"""),"M 19646/ sukabumi")</f>
        <v>M 19646/ sukabumi</v>
      </c>
      <c r="D8510" s="42"/>
      <c r="E8510" s="42"/>
      <c r="F8510" s="48" t="str">
        <f>IFERROR(__xludf.DUMMYFUNCTION("""COMPUTED_VALUE"""),"")</f>
        <v/>
      </c>
      <c r="G8510" s="42" t="str">
        <f>IFERROR(__xludf.DUMMYFUNCTION("""COMPUTED_VALUE"""),"Ajb balik nama")</f>
        <v>Ajb balik nama</v>
      </c>
      <c r="H8510" s="42">
        <f t="shared" si="1"/>
        <v>3322</v>
      </c>
    </row>
    <row r="8511" ht="22.5" customHeight="1">
      <c r="B8511" s="42" t="str">
        <f>IFERROR(__xludf.DUMMYFUNCTION("""COMPUTED_VALUE"""),"K/13/211025/1")</f>
        <v>K/13/211025/1</v>
      </c>
      <c r="C8511" s="42" t="str">
        <f>IFERROR(__xludf.DUMMYFUNCTION("""COMPUTED_VALUE"""),"B. 1852/SUKARAME")</f>
        <v>B. 1852/SUKARAME</v>
      </c>
      <c r="D8511" s="42"/>
      <c r="E8511" s="42"/>
      <c r="F8511" s="48" t="str">
        <f>IFERROR(__xludf.DUMMYFUNCTION("""COMPUTED_VALUE"""),"")</f>
        <v/>
      </c>
      <c r="G8511" s="42" t="str">
        <f>IFERROR(__xludf.DUMMYFUNCTION("""COMPUTED_VALUE"""),"PENGUKURAN HGB MATI")</f>
        <v>PENGUKURAN HGB MATI</v>
      </c>
      <c r="H8511" s="42">
        <f t="shared" si="1"/>
        <v>3322</v>
      </c>
    </row>
    <row r="8512" ht="22.5" customHeight="1">
      <c r="B8512" s="42" t="str">
        <f>IFERROR(__xludf.DUMMYFUNCTION("""COMPUTED_VALUE"""),"ABZJIHRG/AB088")</f>
        <v>ABZJIHRG/AB088</v>
      </c>
      <c r="C8512" s="42" t="str">
        <f>IFERROR(__xludf.DUMMYFUNCTION("""COMPUTED_VALUE"""),"SHM NIB. 25350/Sukabumi")</f>
        <v>SHM NIB. 25350/Sukabumi</v>
      </c>
      <c r="D8512" s="42"/>
      <c r="E8512" s="42"/>
      <c r="F8512" s="48" t="str">
        <f>IFERROR(__xludf.DUMMYFUNCTION("""COMPUTED_VALUE"""),"")</f>
        <v/>
      </c>
      <c r="G8512" s="42" t="str">
        <f>IFERROR(__xludf.DUMMYFUNCTION("""COMPUTED_VALUE"""),"BN JUAL-BELI")</f>
        <v>BN JUAL-BELI</v>
      </c>
      <c r="H8512" s="42">
        <f t="shared" si="1"/>
        <v>3322</v>
      </c>
    </row>
    <row r="8513" ht="22.5" customHeight="1">
      <c r="B8513" s="42" t="str">
        <f>IFERROR(__xludf.DUMMYFUNCTION("""COMPUTED_VALUE"""),"ABAFXZHA")</f>
        <v>ABAFXZHA</v>
      </c>
      <c r="C8513" s="42" t="str">
        <f>IFERROR(__xludf.DUMMYFUNCTION("""COMPUTED_VALUE"""),"M.89/sbr")</f>
        <v>M.89/sbr</v>
      </c>
      <c r="D8513" s="42"/>
      <c r="E8513" s="42"/>
      <c r="F8513" s="48" t="str">
        <f>IFERROR(__xludf.DUMMYFUNCTION("""COMPUTED_VALUE"""),"")</f>
        <v/>
      </c>
      <c r="G8513" s="42" t="str">
        <f>IFERROR(__xludf.DUMMYFUNCTION("""COMPUTED_VALUE"""),"Bn jual beli")</f>
        <v>Bn jual beli</v>
      </c>
      <c r="H8513" s="42">
        <f t="shared" si="1"/>
        <v>3322</v>
      </c>
    </row>
    <row r="8514" ht="22.5" customHeight="1">
      <c r="B8514" s="42" t="str">
        <f>IFERROR(__xludf.DUMMYFUNCTION("""COMPUTED_VALUE"""),"ABQSHPXL/AB091")</f>
        <v>ABQSHPXL/AB091</v>
      </c>
      <c r="C8514" s="42" t="str">
        <f>IFERROR(__xludf.DUMMYFUNCTION("""COMPUTED_VALUE"""),"M. NIBEL 3975/Sukarame Baru")</f>
        <v>M. NIBEL 3975/Sukarame Baru</v>
      </c>
      <c r="D8514" s="42"/>
      <c r="E8514" s="42"/>
      <c r="F8514" s="48" t="str">
        <f>IFERROR(__xludf.DUMMYFUNCTION("""COMPUTED_VALUE"""),"")</f>
        <v/>
      </c>
      <c r="G8514" s="42" t="str">
        <f>IFERROR(__xludf.DUMMYFUNCTION("""COMPUTED_VALUE"""),"BN JUAL BELI")</f>
        <v>BN JUAL BELI</v>
      </c>
      <c r="H8514" s="42">
        <f t="shared" si="1"/>
        <v>3322</v>
      </c>
    </row>
    <row r="8515" ht="22.5" customHeight="1">
      <c r="B8515" s="42" t="str">
        <f>IFERROR(__xludf.DUMMYFUNCTION("""COMPUTED_VALUE"""),"ABKJNNNL/AB091")</f>
        <v>ABKJNNNL/AB091</v>
      </c>
      <c r="C8515" s="42" t="str">
        <f>IFERROR(__xludf.DUMMYFUNCTION("""COMPUTED_VALUE"""),"M. Nibel 12281/Langkapura")</f>
        <v>M. Nibel 12281/Langkapura</v>
      </c>
      <c r="D8515" s="42"/>
      <c r="E8515" s="42"/>
      <c r="F8515" s="48" t="str">
        <f>IFERROR(__xludf.DUMMYFUNCTION("""COMPUTED_VALUE"""),"")</f>
        <v/>
      </c>
      <c r="G8515" s="42" t="str">
        <f>IFERROR(__xludf.DUMMYFUNCTION("""COMPUTED_VALUE"""),"BN JUAL BELI")</f>
        <v>BN JUAL BELI</v>
      </c>
      <c r="H8515" s="42">
        <f t="shared" si="1"/>
        <v>3322</v>
      </c>
    </row>
    <row r="8516" ht="22.5" customHeight="1">
      <c r="B8516" s="42" t="str">
        <f>IFERROR(__xludf.DUMMYFUNCTION("""COMPUTED_VALUE"""),"L/17/161025/1")</f>
        <v>L/17/161025/1</v>
      </c>
      <c r="C8516" s="42" t="str">
        <f>IFERROR(__xludf.DUMMYFUNCTION("""COMPUTED_VALUE"""),"M. 707/PELITA")</f>
        <v>M. 707/PELITA</v>
      </c>
      <c r="D8516" s="42"/>
      <c r="E8516" s="42"/>
      <c r="F8516" s="48" t="str">
        <f>IFERROR(__xludf.DUMMYFUNCTION("""COMPUTED_VALUE"""),"")</f>
        <v/>
      </c>
      <c r="G8516" s="42" t="str">
        <f>IFERROR(__xludf.DUMMYFUNCTION("""COMPUTED_VALUE"""),"ROYA WARIS")</f>
        <v>ROYA WARIS</v>
      </c>
      <c r="H8516" s="42">
        <f t="shared" si="1"/>
        <v>3322</v>
      </c>
    </row>
    <row r="8517" ht="22.5" customHeight="1">
      <c r="B8517" s="42" t="str">
        <f>IFERROR(__xludf.DUMMYFUNCTION("""COMPUTED_VALUE"""),"L/18/211025/1")</f>
        <v>L/18/211025/1</v>
      </c>
      <c r="C8517" s="42" t="str">
        <f>IFERROR(__xludf.DUMMYFUNCTION("""COMPUTED_VALUE"""),"M. 1179/RAJABASA PEMUKA")</f>
        <v>M. 1179/RAJABASA PEMUKA</v>
      </c>
      <c r="D8517" s="42"/>
      <c r="E8517" s="42"/>
      <c r="F8517" s="48" t="str">
        <f>IFERROR(__xludf.DUMMYFUNCTION("""COMPUTED_VALUE"""),"")</f>
        <v/>
      </c>
      <c r="G8517" s="42" t="str">
        <f>IFERROR(__xludf.DUMMYFUNCTION("""COMPUTED_VALUE"""),"BN LELANG")</f>
        <v>BN LELANG</v>
      </c>
      <c r="H8517" s="42">
        <f t="shared" si="1"/>
        <v>3322</v>
      </c>
    </row>
    <row r="8518" ht="22.5" customHeight="1">
      <c r="B8518" s="42" t="str">
        <f>IFERROR(__xludf.DUMMYFUNCTION("""COMPUTED_VALUE"""),"L/15/211025/2")</f>
        <v>L/15/211025/2</v>
      </c>
      <c r="C8518" s="42" t="str">
        <f>IFERROR(__xludf.DUMMYFUNCTION("""COMPUTED_VALUE"""),"M. 1395/SUKAMAJU")</f>
        <v>M. 1395/SUKAMAJU</v>
      </c>
      <c r="D8518" s="42"/>
      <c r="E8518" s="42"/>
      <c r="F8518" s="48" t="str">
        <f>IFERROR(__xludf.DUMMYFUNCTION("""COMPUTED_VALUE"""),"")</f>
        <v/>
      </c>
      <c r="G8518" s="42" t="str">
        <f>IFERROR(__xludf.DUMMYFUNCTION("""COMPUTED_VALUE"""),"ROYA")</f>
        <v>ROYA</v>
      </c>
      <c r="H8518" s="42">
        <f t="shared" si="1"/>
        <v>3322</v>
      </c>
    </row>
    <row r="8519" ht="22.5" customHeight="1">
      <c r="B8519" s="42" t="str">
        <f>IFERROR(__xludf.DUMMYFUNCTION("""COMPUTED_VALUE"""),"K/17/211025/1")</f>
        <v>K/17/211025/1</v>
      </c>
      <c r="C8519" s="42" t="str">
        <f>IFERROR(__xludf.DUMMYFUNCTION("""COMPUTED_VALUE"""),"RAJABASA")</f>
        <v>RAJABASA</v>
      </c>
      <c r="D8519" s="42"/>
      <c r="E8519" s="42"/>
      <c r="F8519" s="48" t="str">
        <f>IFERROR(__xludf.DUMMYFUNCTION("""COMPUTED_VALUE"""),"")</f>
        <v/>
      </c>
      <c r="G8519" s="42" t="str">
        <f>IFERROR(__xludf.DUMMYFUNCTION("""COMPUTED_VALUE"""),"PENDAFTARAN SK ")</f>
        <v>PENDAFTARAN SK </v>
      </c>
      <c r="H8519" s="42">
        <f t="shared" si="1"/>
        <v>3322</v>
      </c>
    </row>
    <row r="8520" ht="22.5" customHeight="1">
      <c r="B8520" s="42" t="str">
        <f>IFERROR(__xludf.DUMMYFUNCTION("""COMPUTED_VALUE"""),"L/16/211025/3")</f>
        <v>L/16/211025/3</v>
      </c>
      <c r="C8520" s="42" t="str">
        <f>IFERROR(__xludf.DUMMYFUNCTION("""COMPUTED_VALUE"""),"M. 949 DAN959/SUKAMAJU")</f>
        <v>M. 949 DAN959/SUKAMAJU</v>
      </c>
      <c r="D8520" s="42"/>
      <c r="E8520" s="42"/>
      <c r="F8520" s="48" t="str">
        <f>IFERROR(__xludf.DUMMYFUNCTION("""COMPUTED_VALUE"""),"")</f>
        <v/>
      </c>
      <c r="G8520" s="42" t="str">
        <f>IFERROR(__xludf.DUMMYFUNCTION("""COMPUTED_VALUE"""),"ROYA")</f>
        <v>ROYA</v>
      </c>
      <c r="H8520" s="42">
        <f t="shared" si="1"/>
        <v>3322</v>
      </c>
    </row>
    <row r="8521" ht="22.5" customHeight="1">
      <c r="B8521" s="42" t="str">
        <f>IFERROR(__xludf.DUMMYFUNCTION("""COMPUTED_VALUE"""),"ABLHOPIB")</f>
        <v>ABLHOPIB</v>
      </c>
      <c r="C8521" s="42" t="str">
        <f>IFERROR(__xludf.DUMMYFUNCTION("""COMPUTED_VALUE"""),"M 1549/ rajabasa nunyai")</f>
        <v>M 1549/ rajabasa nunyai</v>
      </c>
      <c r="D8521" s="42"/>
      <c r="E8521" s="42"/>
      <c r="F8521" s="48" t="str">
        <f>IFERROR(__xludf.DUMMYFUNCTION("""COMPUTED_VALUE"""),"")</f>
        <v/>
      </c>
      <c r="G8521" s="42" t="str">
        <f>IFERROR(__xludf.DUMMYFUNCTION("""COMPUTED_VALUE"""),"Bn jual beli")</f>
        <v>Bn jual beli</v>
      </c>
      <c r="H8521" s="42">
        <f t="shared" si="1"/>
        <v>3322</v>
      </c>
    </row>
    <row r="8522" ht="22.5" customHeight="1">
      <c r="B8522" s="42" t="str">
        <f>IFERROR(__xludf.DUMMYFUNCTION("""COMPUTED_VALUE"""),"K/19/211025/1")</f>
        <v>K/19/211025/1</v>
      </c>
      <c r="C8522" s="42" t="str">
        <f>IFERROR(__xludf.DUMMYFUNCTION("""COMPUTED_VALUE"""),"PBT. 110/2024")</f>
        <v>PBT. 110/2024</v>
      </c>
      <c r="D8522" s="42"/>
      <c r="E8522" s="42"/>
      <c r="F8522" s="48" t="str">
        <f>IFERROR(__xludf.DUMMYFUNCTION("""COMPUTED_VALUE"""),"")</f>
        <v/>
      </c>
      <c r="G8522" s="42" t="str">
        <f>IFERROR(__xludf.DUMMYFUNCTION("""COMPUTED_VALUE"""),"PTPGT TANAH MENTAH")</f>
        <v>PTPGT TANAH MENTAH</v>
      </c>
      <c r="H8522" s="42">
        <f t="shared" si="1"/>
        <v>3322</v>
      </c>
    </row>
    <row r="8523" ht="22.5" customHeight="1">
      <c r="B8523" s="42" t="str">
        <f>IFERROR(__xludf.DUMMYFUNCTION("""COMPUTED_VALUE"""),"K/20/211025/1")</f>
        <v>K/20/211025/1</v>
      </c>
      <c r="C8523" s="42" t="str">
        <f>IFERROR(__xludf.DUMMYFUNCTION("""COMPUTED_VALUE"""),"B. 1051/CAMPANG RAYA")</f>
        <v>B. 1051/CAMPANG RAYA</v>
      </c>
      <c r="D8523" s="42"/>
      <c r="E8523" s="42"/>
      <c r="F8523" s="48" t="str">
        <f>IFERROR(__xludf.DUMMYFUNCTION("""COMPUTED_VALUE"""),"")</f>
        <v/>
      </c>
      <c r="G8523" s="42" t="str">
        <f>IFERROR(__xludf.DUMMYFUNCTION("""COMPUTED_VALUE"""),"ROYA")</f>
        <v>ROYA</v>
      </c>
      <c r="H8523" s="42">
        <f t="shared" si="1"/>
        <v>3322</v>
      </c>
    </row>
    <row r="8524" ht="22.5" customHeight="1">
      <c r="B8524" s="42" t="str">
        <f>IFERROR(__xludf.DUMMYFUNCTION("""COMPUTED_VALUE"""),"K/1/221025/1")</f>
        <v>K/1/221025/1</v>
      </c>
      <c r="C8524" s="42" t="str">
        <f>IFERROR(__xludf.DUMMYFUNCTION("""COMPUTED_VALUE"""),"M. 10550/SUKAMENANTI")</f>
        <v>M. 10550/SUKAMENANTI</v>
      </c>
      <c r="D8524" s="42"/>
      <c r="E8524" s="42"/>
      <c r="F8524" s="48" t="str">
        <f>IFERROR(__xludf.DUMMYFUNCTION("""COMPUTED_VALUE"""),"")</f>
        <v/>
      </c>
      <c r="G8524" s="42" t="str">
        <f>IFERROR(__xludf.DUMMYFUNCTION("""COMPUTED_VALUE"""),"SKPT LELANG")</f>
        <v>SKPT LELANG</v>
      </c>
      <c r="H8524" s="42">
        <f t="shared" si="1"/>
        <v>3322</v>
      </c>
    </row>
    <row r="8525" ht="22.5" customHeight="1">
      <c r="B8525" s="42" t="str">
        <f>IFERROR(__xludf.DUMMYFUNCTION("""COMPUTED_VALUE"""),"L/3/221025/1")</f>
        <v>L/3/221025/1</v>
      </c>
      <c r="C8525" s="42" t="str">
        <f>IFERROR(__xludf.DUMMYFUNCTION("""COMPUTED_VALUE"""),"B 1520/SUKABUMI")</f>
        <v>B 1520/SUKABUMI</v>
      </c>
      <c r="D8525" s="42"/>
      <c r="E8525" s="42"/>
      <c r="F8525" s="48" t="str">
        <f>IFERROR(__xludf.DUMMYFUNCTION("""COMPUTED_VALUE"""),"")</f>
        <v/>
      </c>
      <c r="G8525" s="42" t="str">
        <f>IFERROR(__xludf.DUMMYFUNCTION("""COMPUTED_VALUE"""),"PENGUKURAN HGB MATI")</f>
        <v>PENGUKURAN HGB MATI</v>
      </c>
      <c r="H8525" s="42">
        <f t="shared" si="1"/>
        <v>3322</v>
      </c>
    </row>
    <row r="8526" ht="22.5" customHeight="1">
      <c r="B8526" s="42" t="str">
        <f>IFERROR(__xludf.DUMMYFUNCTION("""COMPUTED_VALUE"""),"L/4/221025/1")</f>
        <v>L/4/221025/1</v>
      </c>
      <c r="C8526" s="42" t="str">
        <f>IFERROR(__xludf.DUMMYFUNCTION("""COMPUTED_VALUE"""),"M. 1358/GEDONG AIR")</f>
        <v>M. 1358/GEDONG AIR</v>
      </c>
      <c r="D8526" s="42"/>
      <c r="E8526" s="42"/>
      <c r="F8526" s="48" t="str">
        <f>IFERROR(__xludf.DUMMYFUNCTION("""COMPUTED_VALUE"""),"")</f>
        <v/>
      </c>
      <c r="G8526" s="42" t="str">
        <f>IFERROR(__xludf.DUMMYFUNCTION("""COMPUTED_VALUE"""),"ROYA")</f>
        <v>ROYA</v>
      </c>
      <c r="H8526" s="42">
        <f t="shared" si="1"/>
        <v>3322</v>
      </c>
    </row>
    <row r="8527" ht="22.5" customHeight="1">
      <c r="B8527" s="42" t="str">
        <f>IFERROR(__xludf.DUMMYFUNCTION("""COMPUTED_VALUE"""),"ABVJSGQQ/AB028")</f>
        <v>ABVJSGQQ/AB028</v>
      </c>
      <c r="C8527" s="42" t="str">
        <f>IFERROR(__xludf.DUMMYFUNCTION("""COMPUTED_VALUE"""),"M. Nibel 17274/Way Halim Permai")</f>
        <v>M. Nibel 17274/Way Halim Permai</v>
      </c>
      <c r="D8527" s="42" t="str">
        <f>IFERROR(__xludf.DUMMYFUNCTION("""COMPUTED_VALUE"""),"Berry")</f>
        <v>Berry</v>
      </c>
      <c r="E8527" s="42" t="str">
        <f>IFERROR(__xludf.DUMMYFUNCTION("""COMPUTED_VALUE"""),"DISERAHKAN")</f>
        <v>DISERAHKAN</v>
      </c>
      <c r="F8527" s="48">
        <f>IFERROR(__xludf.DUMMYFUNCTION("""COMPUTED_VALUE"""),45996.589625347224)</f>
        <v>45996.58963</v>
      </c>
      <c r="G8527" s="42" t="str">
        <f>IFERROR(__xludf.DUMMYFUNCTION("""COMPUTED_VALUE"""),"Balik nama aphb")</f>
        <v>Balik nama aphb</v>
      </c>
      <c r="H8527" s="42">
        <f t="shared" si="1"/>
        <v>3323</v>
      </c>
    </row>
    <row r="8528" ht="22.5" customHeight="1">
      <c r="B8528" s="42" t="str">
        <f>IFERROR(__xludf.DUMMYFUNCTION("""COMPUTED_VALUE"""),"AB023/ABGTDDHC")</f>
        <v>AB023/ABGTDDHC</v>
      </c>
      <c r="C8528" s="42" t="str">
        <f>IFERROR(__xludf.DUMMYFUNCTION("""COMPUTED_VALUE"""),"SHM 410/W.D")</f>
        <v>SHM 410/W.D</v>
      </c>
      <c r="D8528" s="42"/>
      <c r="E8528" s="42"/>
      <c r="F8528" s="48" t="str">
        <f>IFERROR(__xludf.DUMMYFUNCTION("""COMPUTED_VALUE"""),"")</f>
        <v/>
      </c>
      <c r="G8528" s="42" t="str">
        <f>IFERROR(__xludf.DUMMYFUNCTION("""COMPUTED_VALUE"""),"BN Jual Beli")</f>
        <v>BN Jual Beli</v>
      </c>
      <c r="H8528" s="42">
        <f t="shared" si="1"/>
        <v>3323</v>
      </c>
    </row>
    <row r="8529" ht="22.5" customHeight="1">
      <c r="B8529" s="42" t="str">
        <f>IFERROR(__xludf.DUMMYFUNCTION("""COMPUTED_VALUE"""),"ABRDTUQS/AB029")</f>
        <v>ABRDTUQS/AB029</v>
      </c>
      <c r="C8529" s="42" t="str">
        <f>IFERROR(__xludf.DUMMYFUNCTION("""COMPUTED_VALUE"""),"Hak milik N22410/ Sukadana Ham")</f>
        <v>Hak milik N22410/ Sukadana Ham</v>
      </c>
      <c r="D8529" s="42"/>
      <c r="E8529" s="42"/>
      <c r="F8529" s="48" t="str">
        <f>IFERROR(__xludf.DUMMYFUNCTION("""COMPUTED_VALUE"""),"")</f>
        <v/>
      </c>
      <c r="G8529" s="42" t="str">
        <f>IFERROR(__xludf.DUMMYFUNCTION("""COMPUTED_VALUE"""),"Roya")</f>
        <v>Roya</v>
      </c>
      <c r="H8529" s="42">
        <f t="shared" si="1"/>
        <v>3323</v>
      </c>
    </row>
    <row r="8530" ht="22.5" customHeight="1">
      <c r="B8530" s="42" t="str">
        <f>IFERROR(__xludf.DUMMYFUNCTION("""COMPUTED_VALUE"""),"ABQBJVME")</f>
        <v>ABQBJVME</v>
      </c>
      <c r="C8530" s="42" t="str">
        <f>IFERROR(__xludf.DUMMYFUNCTION("""COMPUTED_VALUE"""),"NIBEL M 17715/ langkapura baru")</f>
        <v>NIBEL M 17715/ langkapura baru</v>
      </c>
      <c r="D8530" s="42"/>
      <c r="E8530" s="42"/>
      <c r="F8530" s="48" t="str">
        <f>IFERROR(__xludf.DUMMYFUNCTION("""COMPUTED_VALUE"""),"")</f>
        <v/>
      </c>
      <c r="G8530" s="42" t="str">
        <f>IFERROR(__xludf.DUMMYFUNCTION("""COMPUTED_VALUE"""),"Balik nama(hibah)")</f>
        <v>Balik nama(hibah)</v>
      </c>
      <c r="H8530" s="42">
        <f t="shared" si="1"/>
        <v>3323</v>
      </c>
    </row>
    <row r="8531" ht="22.5" customHeight="1">
      <c r="B8531" s="42" t="str">
        <f>IFERROR(__xludf.DUMMYFUNCTION("""COMPUTED_VALUE"""),"K/2/221025/2")</f>
        <v>K/2/221025/2</v>
      </c>
      <c r="C8531" s="42" t="str">
        <f>IFERROR(__xludf.DUMMYFUNCTION("""COMPUTED_VALUE"""),"M.10549/SUKAMENANTI")</f>
        <v>M.10549/SUKAMENANTI</v>
      </c>
      <c r="D8531" s="42"/>
      <c r="E8531" s="42"/>
      <c r="F8531" s="48" t="str">
        <f>IFERROR(__xludf.DUMMYFUNCTION("""COMPUTED_VALUE"""),"")</f>
        <v/>
      </c>
      <c r="G8531" s="42" t="str">
        <f>IFERROR(__xludf.DUMMYFUNCTION("""COMPUTED_VALUE"""),"SKPT LELANG")</f>
        <v>SKPT LELANG</v>
      </c>
      <c r="H8531" s="42">
        <f t="shared" si="1"/>
        <v>3323</v>
      </c>
    </row>
    <row r="8532" ht="22.5" customHeight="1">
      <c r="B8532" s="42" t="str">
        <f>IFERROR(__xludf.DUMMYFUNCTION("""COMPUTED_VALUE"""),"ABDGPEOO/AB03")</f>
        <v>ABDGPEOO/AB03</v>
      </c>
      <c r="C8532" s="42" t="str">
        <f>IFERROR(__xludf.DUMMYFUNCTION("""COMPUTED_VALUE"""),"M. 1711/keteguhan")</f>
        <v>M. 1711/keteguhan</v>
      </c>
      <c r="D8532" s="42"/>
      <c r="E8532" s="42"/>
      <c r="F8532" s="48" t="str">
        <f>IFERROR(__xludf.DUMMYFUNCTION("""COMPUTED_VALUE"""),"")</f>
        <v/>
      </c>
      <c r="G8532" s="42" t="str">
        <f>IFERROR(__xludf.DUMMYFUNCTION("""COMPUTED_VALUE"""),"BN Jual Beli")</f>
        <v>BN Jual Beli</v>
      </c>
      <c r="H8532" s="42">
        <f t="shared" si="1"/>
        <v>3323</v>
      </c>
    </row>
    <row r="8533" ht="22.5" customHeight="1">
      <c r="B8533" s="42" t="str">
        <f>IFERROR(__xludf.DUMMYFUNCTION("""COMPUTED_VALUE"""),"L/5/221025/1")</f>
        <v>L/5/221025/1</v>
      </c>
      <c r="C8533" s="42" t="str">
        <f>IFERROR(__xludf.DUMMYFUNCTION("""COMPUTED_VALUE"""),"LUAS 300 M2 KELURAHAN DURIAN PAYUNG")</f>
        <v>LUAS 300 M2 KELURAHAN DURIAN PAYUNG</v>
      </c>
      <c r="D8533" s="42"/>
      <c r="E8533" s="42"/>
      <c r="F8533" s="48" t="str">
        <f>IFERROR(__xludf.DUMMYFUNCTION("""COMPUTED_VALUE"""),"")</f>
        <v/>
      </c>
      <c r="G8533" s="42" t="str">
        <f>IFERROR(__xludf.DUMMYFUNCTION("""COMPUTED_VALUE"""),"PENGUKURAN PERTAMA KALI")</f>
        <v>PENGUKURAN PERTAMA KALI</v>
      </c>
      <c r="H8533" s="42">
        <f t="shared" si="1"/>
        <v>3323</v>
      </c>
    </row>
    <row r="8534" ht="22.5" customHeight="1">
      <c r="B8534" s="42" t="str">
        <f>IFERROR(__xludf.DUMMYFUNCTION("""COMPUTED_VALUE"""),"K/6/221025/1")</f>
        <v>K/6/221025/1</v>
      </c>
      <c r="C8534" s="42" t="str">
        <f>IFERROR(__xludf.DUMMYFUNCTION("""COMPUTED_VALUE"""),"NIBEL M. 19295/WAY KANDIS")</f>
        <v>NIBEL M. 19295/WAY KANDIS</v>
      </c>
      <c r="D8534" s="42"/>
      <c r="E8534" s="42"/>
      <c r="F8534" s="48" t="str">
        <f>IFERROR(__xludf.DUMMYFUNCTION("""COMPUTED_VALUE"""),"")</f>
        <v/>
      </c>
      <c r="G8534" s="42" t="str">
        <f>IFERROR(__xludf.DUMMYFUNCTION("""COMPUTED_VALUE"""),"PEMECAHAN")</f>
        <v>PEMECAHAN</v>
      </c>
      <c r="H8534" s="42">
        <f t="shared" si="1"/>
        <v>3323</v>
      </c>
    </row>
    <row r="8535" ht="22.5" customHeight="1">
      <c r="B8535" s="42" t="str">
        <f>IFERROR(__xludf.DUMMYFUNCTION("""COMPUTED_VALUE"""),"ABDRTSAH")</f>
        <v>ABDRTSAH</v>
      </c>
      <c r="C8535" s="42" t="str">
        <f>IFERROR(__xludf.DUMMYFUNCTION("""COMPUTED_VALUE"""),"M 5459 / RAJABASA")</f>
        <v>M 5459 / RAJABASA</v>
      </c>
      <c r="D8535" s="42"/>
      <c r="E8535" s="42"/>
      <c r="F8535" s="48" t="str">
        <f>IFERROR(__xludf.DUMMYFUNCTION("""COMPUTED_VALUE"""),"")</f>
        <v/>
      </c>
      <c r="G8535" s="42" t="str">
        <f>IFERROR(__xludf.DUMMYFUNCTION("""COMPUTED_VALUE"""),"Bn jual beli")</f>
        <v>Bn jual beli</v>
      </c>
      <c r="H8535" s="42">
        <f t="shared" si="1"/>
        <v>3323</v>
      </c>
    </row>
    <row r="8536" ht="22.5" customHeight="1">
      <c r="B8536" s="42" t="str">
        <f>IFERROR(__xludf.DUMMYFUNCTION("""COMPUTED_VALUE"""),"ABAOUYJZ")</f>
        <v>ABAOUYJZ</v>
      </c>
      <c r="C8536" s="42" t="str">
        <f>IFERROR(__xludf.DUMMYFUNCTION("""COMPUTED_VALUE"""),"M.5557/ Gedong Air")</f>
        <v>M.5557/ Gedong Air</v>
      </c>
      <c r="D8536" s="42"/>
      <c r="E8536" s="42"/>
      <c r="F8536" s="48" t="str">
        <f>IFERROR(__xludf.DUMMYFUNCTION("""COMPUTED_VALUE"""),"")</f>
        <v/>
      </c>
      <c r="G8536" s="42" t="str">
        <f>IFERROR(__xludf.DUMMYFUNCTION("""COMPUTED_VALUE"""),"BN JUAL BELI")</f>
        <v>BN JUAL BELI</v>
      </c>
      <c r="H8536" s="42">
        <f t="shared" si="1"/>
        <v>3323</v>
      </c>
    </row>
    <row r="8537" ht="22.5" customHeight="1">
      <c r="B8537" s="42" t="str">
        <f>IFERROR(__xludf.DUMMYFUNCTION("""COMPUTED_VALUE"""),"ABRNLCVL")</f>
        <v>ABRNLCVL</v>
      </c>
      <c r="C8537" s="42" t="str">
        <f>IFERROR(__xludf.DUMMYFUNCTION("""COMPUTED_VALUE"""),"M.5558 / gedong air")</f>
        <v>M.5558 / gedong air</v>
      </c>
      <c r="D8537" s="42"/>
      <c r="E8537" s="42"/>
      <c r="F8537" s="48" t="str">
        <f>IFERROR(__xludf.DUMMYFUNCTION("""COMPUTED_VALUE"""),"")</f>
        <v/>
      </c>
      <c r="G8537" s="42" t="str">
        <f>IFERROR(__xludf.DUMMYFUNCTION("""COMPUTED_VALUE"""),"BN JUAL BELI")</f>
        <v>BN JUAL BELI</v>
      </c>
      <c r="H8537" s="42">
        <f t="shared" si="1"/>
        <v>3323</v>
      </c>
    </row>
    <row r="8538" ht="22.5" customHeight="1">
      <c r="B8538" s="42" t="str">
        <f>IFERROR(__xludf.DUMMYFUNCTION("""COMPUTED_VALUE"""),"K/7/221025/1")</f>
        <v>K/7/221025/1</v>
      </c>
      <c r="C8538" s="42" t="str">
        <f>IFERROR(__xludf.DUMMYFUNCTION("""COMPUTED_VALUE"""),"M. 2422/KALIAWI")</f>
        <v>M. 2422/KALIAWI</v>
      </c>
      <c r="D8538" s="42"/>
      <c r="E8538" s="42"/>
      <c r="F8538" s="48" t="str">
        <f>IFERROR(__xludf.DUMMYFUNCTION("""COMPUTED_VALUE"""),"")</f>
        <v/>
      </c>
      <c r="G8538" s="42" t="str">
        <f>IFERROR(__xludf.DUMMYFUNCTION("""COMPUTED_VALUE"""),"HAPUS BPHTB")</f>
        <v>HAPUS BPHTB</v>
      </c>
      <c r="H8538" s="42">
        <f t="shared" si="1"/>
        <v>3323</v>
      </c>
    </row>
    <row r="8539" ht="22.5" customHeight="1">
      <c r="B8539" s="42" t="str">
        <f>IFERROR(__xludf.DUMMYFUNCTION("""COMPUTED_VALUE"""),"ABMRJFNK")</f>
        <v>ABMRJFNK</v>
      </c>
      <c r="C8539" s="42" t="str">
        <f>IFERROR(__xludf.DUMMYFUNCTION("""COMPUTED_VALUE"""),"02145")</f>
        <v>02145</v>
      </c>
      <c r="D8539" s="42"/>
      <c r="E8539" s="42"/>
      <c r="F8539" s="48" t="str">
        <f>IFERROR(__xludf.DUMMYFUNCTION("""COMPUTED_VALUE"""),"")</f>
        <v/>
      </c>
      <c r="G8539" s="42" t="str">
        <f>IFERROR(__xludf.DUMMYFUNCTION("""COMPUTED_VALUE"""),"Hibah")</f>
        <v>Hibah</v>
      </c>
      <c r="H8539" s="42">
        <f t="shared" si="1"/>
        <v>3323</v>
      </c>
    </row>
    <row r="8540" ht="22.5" customHeight="1">
      <c r="B8540" s="42" t="str">
        <f>IFERROR(__xludf.DUMMYFUNCTION("""COMPUTED_VALUE"""),"ABIDHAPP/1")</f>
        <v>ABIDHAPP/1</v>
      </c>
      <c r="C8540" s="42" t="str">
        <f>IFERROR(__xludf.DUMMYFUNCTION("""COMPUTED_VALUE"""),"M 9423/ KAMPUNG BARU")</f>
        <v>M 9423/ KAMPUNG BARU</v>
      </c>
      <c r="D8540" s="42"/>
      <c r="E8540" s="42"/>
      <c r="F8540" s="48" t="str">
        <f>IFERROR(__xludf.DUMMYFUNCTION("""COMPUTED_VALUE"""),"")</f>
        <v/>
      </c>
      <c r="G8540" s="42" t="str">
        <f>IFERROR(__xludf.DUMMYFUNCTION("""COMPUTED_VALUE"""),"BN JUAL BELI")</f>
        <v>BN JUAL BELI</v>
      </c>
      <c r="H8540" s="42">
        <f t="shared" si="1"/>
        <v>3323</v>
      </c>
    </row>
    <row r="8541" ht="22.5" customHeight="1">
      <c r="B8541" s="42" t="str">
        <f>IFERROR(__xludf.DUMMYFUNCTION("""COMPUTED_VALUE"""),"ABVMNBCJ/1")</f>
        <v>ABVMNBCJ/1</v>
      </c>
      <c r="C8541" s="42" t="str">
        <f>IFERROR(__xludf.DUMMYFUNCTION("""COMPUTED_VALUE"""),"1068/gunung agung")</f>
        <v>1068/gunung agung</v>
      </c>
      <c r="D8541" s="42"/>
      <c r="E8541" s="42"/>
      <c r="F8541" s="48" t="str">
        <f>IFERROR(__xludf.DUMMYFUNCTION("""COMPUTED_VALUE"""),"")</f>
        <v/>
      </c>
      <c r="G8541" s="42" t="str">
        <f>IFERROR(__xludf.DUMMYFUNCTION("""COMPUTED_VALUE"""),"Hibah")</f>
        <v>Hibah</v>
      </c>
      <c r="H8541" s="42">
        <f t="shared" si="1"/>
        <v>3323</v>
      </c>
    </row>
    <row r="8542" ht="22.5" customHeight="1">
      <c r="B8542" s="42" t="str">
        <f>IFERROR(__xludf.DUMMYFUNCTION("""COMPUTED_VALUE"""),"ABGHDXBW")</f>
        <v>ABGHDXBW</v>
      </c>
      <c r="C8542" s="42" t="str">
        <f>IFERROR(__xludf.DUMMYFUNCTION("""COMPUTED_VALUE"""),"NIBEL B 23231/ SUMUR BATU")</f>
        <v>NIBEL B 23231/ SUMUR BATU</v>
      </c>
      <c r="D8542" s="42"/>
      <c r="E8542" s="42"/>
      <c r="F8542" s="48" t="str">
        <f>IFERROR(__xludf.DUMMYFUNCTION("""COMPUTED_VALUE"""),"")</f>
        <v/>
      </c>
      <c r="G8542" s="42" t="str">
        <f>IFERROR(__xludf.DUMMYFUNCTION("""COMPUTED_VALUE"""),"ROYA")</f>
        <v>ROYA</v>
      </c>
      <c r="H8542" s="42">
        <f t="shared" si="1"/>
        <v>3323</v>
      </c>
    </row>
    <row r="8543" ht="22.5" customHeight="1">
      <c r="B8543" s="42" t="str">
        <f>IFERROR(__xludf.DUMMYFUNCTION("""COMPUTED_VALUE"""),"ABJMXRCX/AB020")</f>
        <v>ABJMXRCX/AB020</v>
      </c>
      <c r="C8543" s="42" t="str">
        <f>IFERROR(__xludf.DUMMYFUNCTION("""COMPUTED_VALUE"""),"M. Nibel 16494 Jagabaya III")</f>
        <v>M. Nibel 16494 Jagabaya III</v>
      </c>
      <c r="D8543" s="42"/>
      <c r="E8543" s="42"/>
      <c r="F8543" s="48" t="str">
        <f>IFERROR(__xludf.DUMMYFUNCTION("""COMPUTED_VALUE"""),"")</f>
        <v/>
      </c>
      <c r="G8543" s="42" t="str">
        <f>IFERROR(__xludf.DUMMYFUNCTION("""COMPUTED_VALUE"""),"peralihan hak jual beli")</f>
        <v>peralihan hak jual beli</v>
      </c>
      <c r="H8543" s="42">
        <f t="shared" si="1"/>
        <v>3323</v>
      </c>
    </row>
    <row r="8544" ht="22.5" customHeight="1">
      <c r="B8544" s="42" t="str">
        <f>IFERROR(__xludf.DUMMYFUNCTION("""COMPUTED_VALUE"""),"L/9/221025/1")</f>
        <v>L/9/221025/1</v>
      </c>
      <c r="C8544" s="42" t="str">
        <f>IFERROR(__xludf.DUMMYFUNCTION("""COMPUTED_VALUE"""),"M. 1065 DAN 1066/SUSUNAN BARU")</f>
        <v>M. 1065 DAN 1066/SUSUNAN BARU</v>
      </c>
      <c r="D8544" s="42"/>
      <c r="E8544" s="42"/>
      <c r="F8544" s="48" t="str">
        <f>IFERROR(__xludf.DUMMYFUNCTION("""COMPUTED_VALUE"""),"")</f>
        <v/>
      </c>
      <c r="G8544" s="42" t="str">
        <f>IFERROR(__xludf.DUMMYFUNCTION("""COMPUTED_VALUE"""),"ROYA")</f>
        <v>ROYA</v>
      </c>
      <c r="H8544" s="42">
        <f t="shared" si="1"/>
        <v>3323</v>
      </c>
    </row>
    <row r="8545" ht="22.5" customHeight="1">
      <c r="B8545" s="42" t="str">
        <f>IFERROR(__xludf.DUMMYFUNCTION("""COMPUTED_VALUE"""),"L/10/221025/1")</f>
        <v>L/10/221025/1</v>
      </c>
      <c r="C8545" s="42" t="str">
        <f>IFERROR(__xludf.DUMMYFUNCTION("""COMPUTED_VALUE"""),"M. 19153/SUKARAME I")</f>
        <v>M. 19153/SUKARAME I</v>
      </c>
      <c r="D8545" s="42"/>
      <c r="E8545" s="42"/>
      <c r="F8545" s="48" t="str">
        <f>IFERROR(__xludf.DUMMYFUNCTION("""COMPUTED_VALUE"""),"")</f>
        <v/>
      </c>
      <c r="G8545" s="42" t="str">
        <f>IFERROR(__xludf.DUMMYFUNCTION("""COMPUTED_VALUE"""),"ROYA")</f>
        <v>ROYA</v>
      </c>
      <c r="H8545" s="42">
        <f t="shared" si="1"/>
        <v>3323</v>
      </c>
    </row>
    <row r="8546" ht="22.5" customHeight="1">
      <c r="B8546" s="42" t="str">
        <f>IFERROR(__xludf.DUMMYFUNCTION("""COMPUTED_VALUE"""),"L/11/221025/1")</f>
        <v>L/11/221025/1</v>
      </c>
      <c r="C8546" s="42" t="str">
        <f>IFERROR(__xludf.DUMMYFUNCTION("""COMPUTED_VALUE"""),"M. 70/KEBON JERUK")</f>
        <v>M. 70/KEBON JERUK</v>
      </c>
      <c r="D8546" s="42"/>
      <c r="E8546" s="42"/>
      <c r="F8546" s="48" t="str">
        <f>IFERROR(__xludf.DUMMYFUNCTION("""COMPUTED_VALUE"""),"")</f>
        <v/>
      </c>
      <c r="G8546" s="42" t="str">
        <f>IFERROR(__xludf.DUMMYFUNCTION("""COMPUTED_VALUE"""),"BN WARIS")</f>
        <v>BN WARIS</v>
      </c>
      <c r="H8546" s="42">
        <f t="shared" si="1"/>
        <v>3323</v>
      </c>
    </row>
    <row r="8547" ht="22.5" customHeight="1">
      <c r="B8547" s="42" t="str">
        <f>IFERROR(__xludf.DUMMYFUNCTION("""COMPUTED_VALUE"""),"L/12/221025/1")</f>
        <v>L/12/221025/1</v>
      </c>
      <c r="C8547" s="42" t="str">
        <f>IFERROR(__xludf.DUMMYFUNCTION("""COMPUTED_VALUE"""),"M. 239/PERUMNAS WAY KANDIS")</f>
        <v>M. 239/PERUMNAS WAY KANDIS</v>
      </c>
      <c r="D8547" s="42"/>
      <c r="E8547" s="42"/>
      <c r="F8547" s="48" t="str">
        <f>IFERROR(__xludf.DUMMYFUNCTION("""COMPUTED_VALUE"""),"")</f>
        <v/>
      </c>
      <c r="G8547" s="42" t="str">
        <f>IFERROR(__xludf.DUMMYFUNCTION("""COMPUTED_VALUE"""),"GANTI BLANKO")</f>
        <v>GANTI BLANKO</v>
      </c>
      <c r="H8547" s="42">
        <f t="shared" si="1"/>
        <v>3323</v>
      </c>
    </row>
    <row r="8548" ht="22.5" customHeight="1">
      <c r="B8548" s="42" t="str">
        <f>IFERROR(__xludf.DUMMYFUNCTION("""COMPUTED_VALUE"""),"L/13/221025/1")</f>
        <v>L/13/221025/1</v>
      </c>
      <c r="C8548" s="42" t="str">
        <f>IFERROR(__xludf.DUMMYFUNCTION("""COMPUTED_VALUE"""),"B. 2589/SUKABUMI")</f>
        <v>B. 2589/SUKABUMI</v>
      </c>
      <c r="D8548" s="42"/>
      <c r="E8548" s="42"/>
      <c r="F8548" s="48" t="str">
        <f>IFERROR(__xludf.DUMMYFUNCTION("""COMPUTED_VALUE"""),"")</f>
        <v/>
      </c>
      <c r="G8548" s="42" t="str">
        <f>IFERROR(__xludf.DUMMYFUNCTION("""COMPUTED_VALUE"""),"PENINGKATAN HAK")</f>
        <v>PENINGKATAN HAK</v>
      </c>
      <c r="H8548" s="42">
        <f t="shared" si="1"/>
        <v>3323</v>
      </c>
    </row>
    <row r="8549" ht="22.5" customHeight="1">
      <c r="B8549" s="42" t="str">
        <f>IFERROR(__xludf.DUMMYFUNCTION("""COMPUTED_VALUE"""),"L/14/221025/2")</f>
        <v>L/14/221025/2</v>
      </c>
      <c r="C8549" s="42" t="str">
        <f>IFERROR(__xludf.DUMMYFUNCTION("""COMPUTED_VALUE"""),"B. 2600/SUKABUMI")</f>
        <v>B. 2600/SUKABUMI</v>
      </c>
      <c r="D8549" s="42"/>
      <c r="E8549" s="42"/>
      <c r="F8549" s="48" t="str">
        <f>IFERROR(__xludf.DUMMYFUNCTION("""COMPUTED_VALUE"""),"")</f>
        <v/>
      </c>
      <c r="G8549" s="42" t="str">
        <f>IFERROR(__xludf.DUMMYFUNCTION("""COMPUTED_VALUE"""),"PENINGKATAN HAK")</f>
        <v>PENINGKATAN HAK</v>
      </c>
      <c r="H8549" s="42">
        <f t="shared" si="1"/>
        <v>3323</v>
      </c>
    </row>
    <row r="8550" ht="22.5" customHeight="1">
      <c r="B8550" s="42" t="str">
        <f>IFERROR(__xludf.DUMMYFUNCTION("""COMPUTED_VALUE"""),"L/15/221025/1")</f>
        <v>L/15/221025/1</v>
      </c>
      <c r="C8550" s="42" t="str">
        <f>IFERROR(__xludf.DUMMYFUNCTION("""COMPUTED_VALUE"""),"M. 1696/SUKAMAJU")</f>
        <v>M. 1696/SUKAMAJU</v>
      </c>
      <c r="D8550" s="42"/>
      <c r="E8550" s="42"/>
      <c r="F8550" s="48" t="str">
        <f>IFERROR(__xludf.DUMMYFUNCTION("""COMPUTED_VALUE"""),"")</f>
        <v/>
      </c>
      <c r="G8550" s="42" t="str">
        <f>IFERROR(__xludf.DUMMYFUNCTION("""COMPUTED_VALUE"""),"ROYA")</f>
        <v>ROYA</v>
      </c>
      <c r="H8550" s="42">
        <f t="shared" si="1"/>
        <v>3323</v>
      </c>
    </row>
    <row r="8551" ht="22.5" customHeight="1">
      <c r="B8551" s="42" t="str">
        <f>IFERROR(__xludf.DUMMYFUNCTION("""COMPUTED_VALUE"""),"AB0QNRHS/AB052")</f>
        <v>AB0QNRHS/AB052</v>
      </c>
      <c r="C8551" s="42" t="str">
        <f>IFERROR(__xludf.DUMMYFUNCTION("""COMPUTED_VALUE"""),"M. NIBEL 5152/Sepang Jaya")</f>
        <v>M. NIBEL 5152/Sepang Jaya</v>
      </c>
      <c r="D8551" s="42"/>
      <c r="E8551" s="42"/>
      <c r="F8551" s="48" t="str">
        <f>IFERROR(__xludf.DUMMYFUNCTION("""COMPUTED_VALUE"""),"")</f>
        <v/>
      </c>
      <c r="G8551" s="42" t="str">
        <f>IFERROR(__xludf.DUMMYFUNCTION("""COMPUTED_VALUE"""),"BN Jual Beli ")</f>
        <v>BN Jual Beli </v>
      </c>
      <c r="H8551" s="42">
        <f t="shared" si="1"/>
        <v>3323</v>
      </c>
    </row>
    <row r="8552" ht="22.5" customHeight="1">
      <c r="B8552" s="42" t="str">
        <f>IFERROR(__xludf.DUMMYFUNCTION("""COMPUTED_VALUE"""),"ABEJYFNS/AB052")</f>
        <v>ABEJYFNS/AB052</v>
      </c>
      <c r="C8552" s="42" t="str">
        <f>IFERROR(__xludf.DUMMYFUNCTION("""COMPUTED_VALUE"""),"M.4019/ Rajabasa Jaya ")</f>
        <v>M.4019/ Rajabasa Jaya </v>
      </c>
      <c r="D8552" s="42"/>
      <c r="E8552" s="42"/>
      <c r="F8552" s="48" t="str">
        <f>IFERROR(__xludf.DUMMYFUNCTION("""COMPUTED_VALUE"""),"")</f>
        <v/>
      </c>
      <c r="G8552" s="42" t="str">
        <f>IFERROR(__xludf.DUMMYFUNCTION("""COMPUTED_VALUE"""),"BN Hibah")</f>
        <v>BN Hibah</v>
      </c>
      <c r="H8552" s="42">
        <f t="shared" si="1"/>
        <v>3323</v>
      </c>
    </row>
    <row r="8553" ht="22.5" customHeight="1">
      <c r="B8553" s="42" t="str">
        <f>IFERROR(__xludf.DUMMYFUNCTION("""COMPUTED_VALUE"""),"L/16/221025/1")</f>
        <v>L/16/221025/1</v>
      </c>
      <c r="C8553" s="42" t="str">
        <f>IFERROR(__xludf.DUMMYFUNCTION("""COMPUTED_VALUE"""),"M. 1836/SUSUNAN  BARU")</f>
        <v>M. 1836/SUSUNAN  BARU</v>
      </c>
      <c r="D8553" s="42"/>
      <c r="E8553" s="42"/>
      <c r="F8553" s="48" t="str">
        <f>IFERROR(__xludf.DUMMYFUNCTION("""COMPUTED_VALUE"""),"")</f>
        <v/>
      </c>
      <c r="G8553" s="42" t="str">
        <f>IFERROR(__xludf.DUMMYFUNCTION("""COMPUTED_VALUE"""),"ROYA")</f>
        <v>ROYA</v>
      </c>
      <c r="H8553" s="42">
        <f t="shared" si="1"/>
        <v>3323</v>
      </c>
    </row>
    <row r="8554" ht="22.5" customHeight="1">
      <c r="B8554" s="42" t="str">
        <f>IFERROR(__xludf.DUMMYFUNCTION("""COMPUTED_VALUE"""),"ABHGJIKA")</f>
        <v>ABHGJIKA</v>
      </c>
      <c r="C8554" s="42" t="str">
        <f>IFERROR(__xludf.DUMMYFUNCTION("""COMPUTED_VALUE"""),"M 4304/ GUNUNG TERANG")</f>
        <v>M 4304/ GUNUNG TERANG</v>
      </c>
      <c r="D8554" s="42"/>
      <c r="E8554" s="42"/>
      <c r="F8554" s="48" t="str">
        <f>IFERROR(__xludf.DUMMYFUNCTION("""COMPUTED_VALUE"""),"")</f>
        <v/>
      </c>
      <c r="G8554" s="42" t="str">
        <f>IFERROR(__xludf.DUMMYFUNCTION("""COMPUTED_VALUE"""),"BN JUAL BELI")</f>
        <v>BN JUAL BELI</v>
      </c>
      <c r="H8554" s="42">
        <f t="shared" si="1"/>
        <v>3323</v>
      </c>
    </row>
    <row r="8555" ht="22.5" customHeight="1">
      <c r="B8555" s="42" t="str">
        <f>IFERROR(__xludf.DUMMYFUNCTION("""COMPUTED_VALUE"""),"ABYXEJXP")</f>
        <v>ABYXEJXP</v>
      </c>
      <c r="C8555" s="42" t="str">
        <f>IFERROR(__xludf.DUMMYFUNCTION("""COMPUTED_VALUE"""),"M 891/ BATU PUTUK")</f>
        <v>M 891/ BATU PUTUK</v>
      </c>
      <c r="D8555" s="42"/>
      <c r="E8555" s="42"/>
      <c r="F8555" s="48" t="str">
        <f>IFERROR(__xludf.DUMMYFUNCTION("""COMPUTED_VALUE"""),"")</f>
        <v/>
      </c>
      <c r="G8555" s="42" t="str">
        <f>IFERROR(__xludf.DUMMYFUNCTION("""COMPUTED_VALUE"""),"BN JUAL BELI")</f>
        <v>BN JUAL BELI</v>
      </c>
      <c r="H8555" s="42">
        <f t="shared" si="1"/>
        <v>3323</v>
      </c>
    </row>
    <row r="8556" ht="22.5" customHeight="1">
      <c r="B8556" s="42" t="str">
        <f>IFERROR(__xludf.DUMMYFUNCTION("""COMPUTED_VALUE"""),"L/17/221025/1")</f>
        <v>L/17/221025/1</v>
      </c>
      <c r="C8556" s="42" t="str">
        <f>IFERROR(__xludf.DUMMYFUNCTION("""COMPUTED_VALUE"""),"M. 450/PINANG JAYA")</f>
        <v>M. 450/PINANG JAYA</v>
      </c>
      <c r="D8556" s="42"/>
      <c r="E8556" s="42"/>
      <c r="F8556" s="48" t="str">
        <f>IFERROR(__xludf.DUMMYFUNCTION("""COMPUTED_VALUE"""),"")</f>
        <v/>
      </c>
      <c r="G8556" s="42" t="str">
        <f>IFERROR(__xludf.DUMMYFUNCTION("""COMPUTED_VALUE"""),"ROYA WARIS")</f>
        <v>ROYA WARIS</v>
      </c>
      <c r="H8556" s="42">
        <f t="shared" si="1"/>
        <v>3323</v>
      </c>
    </row>
    <row r="8557" ht="22.5" customHeight="1">
      <c r="B8557" s="42" t="str">
        <f>IFERROR(__xludf.DUMMYFUNCTION("""COMPUTED_VALUE"""),"ABLFWXGE")</f>
        <v>ABLFWXGE</v>
      </c>
      <c r="C8557" s="42" t="str">
        <f>IFERROR(__xludf.DUMMYFUNCTION("""COMPUTED_VALUE"""),"B 04199/ KALI BALAU KENCANA")</f>
        <v>B 04199/ KALI BALAU KENCANA</v>
      </c>
      <c r="D8557" s="42"/>
      <c r="E8557" s="42"/>
      <c r="F8557" s="48" t="str">
        <f>IFERROR(__xludf.DUMMYFUNCTION("""COMPUTED_VALUE"""),"")</f>
        <v/>
      </c>
      <c r="G8557" s="42" t="str">
        <f>IFERROR(__xludf.DUMMYFUNCTION("""COMPUTED_VALUE"""),"Waris")</f>
        <v>Waris</v>
      </c>
      <c r="H8557" s="42">
        <f t="shared" si="1"/>
        <v>3323</v>
      </c>
    </row>
    <row r="8558" ht="22.5" customHeight="1">
      <c r="B8558" s="42" t="str">
        <f>IFERROR(__xludf.DUMMYFUNCTION("""COMPUTED_VALUE"""),"ABHHGEAA")</f>
        <v>ABHHGEAA</v>
      </c>
      <c r="C8558" s="42" t="str">
        <f>IFERROR(__xludf.DUMMYFUNCTION("""COMPUTED_VALUE"""),"NIBEL M 25245/ SUKARAJA")</f>
        <v>NIBEL M 25245/ SUKARAJA</v>
      </c>
      <c r="D8558" s="42"/>
      <c r="E8558" s="42"/>
      <c r="F8558" s="48" t="str">
        <f>IFERROR(__xludf.DUMMYFUNCTION("""COMPUTED_VALUE"""),"")</f>
        <v/>
      </c>
      <c r="G8558" s="42" t="str">
        <f>IFERROR(__xludf.DUMMYFUNCTION("""COMPUTED_VALUE"""),"BN JUAL BELI")</f>
        <v>BN JUAL BELI</v>
      </c>
      <c r="H8558" s="42">
        <f t="shared" si="1"/>
        <v>3323</v>
      </c>
    </row>
    <row r="8559" ht="22.5" customHeight="1">
      <c r="B8559" s="42" t="str">
        <f>IFERROR(__xludf.DUMMYFUNCTION("""COMPUTED_VALUE"""),"L/18/221025/1")</f>
        <v>L/18/221025/1</v>
      </c>
      <c r="C8559" s="42" t="str">
        <f>IFERROR(__xludf.DUMMYFUNCTION("""COMPUTED_VALUE"""),"M. 788/LANGKAPURA BARU")</f>
        <v>M. 788/LANGKAPURA BARU</v>
      </c>
      <c r="D8559" s="42"/>
      <c r="E8559" s="42"/>
      <c r="F8559" s="48" t="str">
        <f>IFERROR(__xludf.DUMMYFUNCTION("""COMPUTED_VALUE"""),"")</f>
        <v/>
      </c>
      <c r="G8559" s="42" t="str">
        <f>IFERROR(__xludf.DUMMYFUNCTION("""COMPUTED_VALUE"""),"HAPUS BPHTB")</f>
        <v>HAPUS BPHTB</v>
      </c>
      <c r="H8559" s="42">
        <f t="shared" si="1"/>
        <v>3323</v>
      </c>
    </row>
    <row r="8560" ht="22.5" customHeight="1">
      <c r="B8560" s="42" t="str">
        <f>IFERROR(__xludf.DUMMYFUNCTION("""COMPUTED_VALUE"""),"L/19/221025/1")</f>
        <v>L/19/221025/1</v>
      </c>
      <c r="C8560" s="42" t="str">
        <f>IFERROR(__xludf.DUMMYFUNCTION("""COMPUTED_VALUE"""),"M. 2372/TANJUNG SENANG")</f>
        <v>M. 2372/TANJUNG SENANG</v>
      </c>
      <c r="D8560" s="42"/>
      <c r="E8560" s="42"/>
      <c r="F8560" s="48" t="str">
        <f>IFERROR(__xludf.DUMMYFUNCTION("""COMPUTED_VALUE"""),"")</f>
        <v/>
      </c>
      <c r="G8560" s="42" t="str">
        <f>IFERROR(__xludf.DUMMYFUNCTION("""COMPUTED_VALUE"""),"ROYA")</f>
        <v>ROYA</v>
      </c>
      <c r="H8560" s="42">
        <f t="shared" si="1"/>
        <v>3323</v>
      </c>
    </row>
    <row r="8561" ht="22.5" customHeight="1">
      <c r="B8561" s="42" t="str">
        <f>IFERROR(__xludf.DUMMYFUNCTION("""COMPUTED_VALUE"""),"Abckdnfu")</f>
        <v>Abckdnfu</v>
      </c>
      <c r="C8561" s="42" t="str">
        <f>IFERROR(__xludf.DUMMYFUNCTION("""COMPUTED_VALUE"""),"NIBEL M 23944/ LABUHAN RATU RAYA")</f>
        <v>NIBEL M 23944/ LABUHAN RATU RAYA</v>
      </c>
      <c r="D8561" s="42"/>
      <c r="E8561" s="42"/>
      <c r="F8561" s="48" t="str">
        <f>IFERROR(__xludf.DUMMYFUNCTION("""COMPUTED_VALUE"""),"")</f>
        <v/>
      </c>
      <c r="G8561" s="42" t="str">
        <f>IFERROR(__xludf.DUMMYFUNCTION("""COMPUTED_VALUE"""),"Bn jual beli")</f>
        <v>Bn jual beli</v>
      </c>
      <c r="H8561" s="42">
        <f t="shared" si="1"/>
        <v>3323</v>
      </c>
    </row>
    <row r="8562" ht="22.5" customHeight="1">
      <c r="B8562" s="42" t="str">
        <f>IFERROR(__xludf.DUMMYFUNCTION("""COMPUTED_VALUE"""),"L/20/221025/1")</f>
        <v>L/20/221025/1</v>
      </c>
      <c r="C8562" s="42" t="str">
        <f>IFERROR(__xludf.DUMMYFUNCTION("""COMPUTED_VALUE"""),"PBT 524/2021 KEL BAKUNG")</f>
        <v>PBT 524/2021 KEL BAKUNG</v>
      </c>
      <c r="D8562" s="42"/>
      <c r="E8562" s="42"/>
      <c r="F8562" s="48" t="str">
        <f>IFERROR(__xludf.DUMMYFUNCTION("""COMPUTED_VALUE"""),"")</f>
        <v/>
      </c>
      <c r="G8562" s="42" t="str">
        <f>IFERROR(__xludf.DUMMYFUNCTION("""COMPUTED_VALUE"""),"PTPGT TANAH MENTAH")</f>
        <v>PTPGT TANAH MENTAH</v>
      </c>
      <c r="H8562" s="42">
        <f t="shared" si="1"/>
        <v>3323</v>
      </c>
    </row>
    <row r="8563" ht="22.5" customHeight="1">
      <c r="B8563" s="42" t="str">
        <f>IFERROR(__xludf.DUMMYFUNCTION("""COMPUTED_VALUE"""),"ABHKIJKL")</f>
        <v>ABHKIJKL</v>
      </c>
      <c r="C8563" s="42" t="str">
        <f>IFERROR(__xludf.DUMMYFUNCTION("""COMPUTED_VALUE"""),"M 1883/ RAJABASA NUNYAI")</f>
        <v>M 1883/ RAJABASA NUNYAI</v>
      </c>
      <c r="D8563" s="42"/>
      <c r="E8563" s="42"/>
      <c r="F8563" s="48" t="str">
        <f>IFERROR(__xludf.DUMMYFUNCTION("""COMPUTED_VALUE"""),"")</f>
        <v/>
      </c>
      <c r="G8563" s="42" t="str">
        <f>IFERROR(__xludf.DUMMYFUNCTION("""COMPUTED_VALUE"""),"BN JUAL BELI")</f>
        <v>BN JUAL BELI</v>
      </c>
      <c r="H8563" s="42">
        <f t="shared" si="1"/>
        <v>3323</v>
      </c>
    </row>
    <row r="8564" ht="22.5" customHeight="1">
      <c r="B8564" s="42" t="str">
        <f>IFERROR(__xludf.DUMMYFUNCTION("""COMPUTED_VALUE"""),"ABGWZWLT")</f>
        <v>ABGWZWLT</v>
      </c>
      <c r="C8564" s="42" t="str">
        <f>IFERROR(__xludf.DUMMYFUNCTION("""COMPUTED_VALUE"""),"M 5084/ TANJUNG SENNAG")</f>
        <v>M 5084/ TANJUNG SENNAG</v>
      </c>
      <c r="D8564" s="42"/>
      <c r="E8564" s="42"/>
      <c r="F8564" s="48" t="str">
        <f>IFERROR(__xludf.DUMMYFUNCTION("""COMPUTED_VALUE"""),"")</f>
        <v/>
      </c>
      <c r="G8564" s="42" t="str">
        <f>IFERROR(__xludf.DUMMYFUNCTION("""COMPUTED_VALUE"""),"BN JUAL BELI")</f>
        <v>BN JUAL BELI</v>
      </c>
      <c r="H8564" s="42">
        <f t="shared" si="1"/>
        <v>3323</v>
      </c>
    </row>
    <row r="8565" ht="22.5" customHeight="1">
      <c r="B8565" s="42" t="str">
        <f>IFERROR(__xludf.DUMMYFUNCTION("""COMPUTED_VALUE"""),"K/8/221025/1")</f>
        <v>K/8/221025/1</v>
      </c>
      <c r="C8565" s="42" t="str">
        <f>IFERROR(__xludf.DUMMYFUNCTION("""COMPUTED_VALUE"""),"BUMI WARAS")</f>
        <v>BUMI WARAS</v>
      </c>
      <c r="D8565" s="42"/>
      <c r="E8565" s="42"/>
      <c r="F8565" s="48" t="str">
        <f>IFERROR(__xludf.DUMMYFUNCTION("""COMPUTED_VALUE"""),"")</f>
        <v/>
      </c>
      <c r="G8565" s="42" t="str">
        <f>IFERROR(__xludf.DUMMYFUNCTION("""COMPUTED_VALUE"""),"PENGUKURAN PERTAM KALI")</f>
        <v>PENGUKURAN PERTAM KALI</v>
      </c>
      <c r="H8565" s="42">
        <f t="shared" si="1"/>
        <v>3323</v>
      </c>
    </row>
    <row r="8566" ht="22.5" customHeight="1">
      <c r="B8566" s="42" t="str">
        <f>IFERROR(__xludf.DUMMYFUNCTION("""COMPUTED_VALUE"""),"ABYRTEDF")</f>
        <v>ABYRTEDF</v>
      </c>
      <c r="C8566" s="42" t="str">
        <f>IFERROR(__xludf.DUMMYFUNCTION("""COMPUTED_VALUE"""),"SHGB 00791/ SUMUR PUTRI")</f>
        <v>SHGB 00791/ SUMUR PUTRI</v>
      </c>
      <c r="D8566" s="42"/>
      <c r="E8566" s="42"/>
      <c r="F8566" s="48" t="str">
        <f>IFERROR(__xludf.DUMMYFUNCTION("""COMPUTED_VALUE"""),"")</f>
        <v/>
      </c>
      <c r="G8566" s="42" t="str">
        <f>IFERROR(__xludf.DUMMYFUNCTION("""COMPUTED_VALUE"""),"Balik Nama JUAL BELI")</f>
        <v>Balik Nama JUAL BELI</v>
      </c>
      <c r="H8566" s="42">
        <f t="shared" si="1"/>
        <v>3323</v>
      </c>
    </row>
    <row r="8567" ht="22.5" customHeight="1">
      <c r="B8567" s="42" t="str">
        <f>IFERROR(__xludf.DUMMYFUNCTION("""COMPUTED_VALUE"""),"ABOJUYBK/AB010")</f>
        <v>ABOJUYBK/AB010</v>
      </c>
      <c r="C8567" s="42" t="str">
        <f>IFERROR(__xludf.DUMMYFUNCTION("""COMPUTED_VALUE"""),"M.02315/Sumber Agung")</f>
        <v>M.02315/Sumber Agung</v>
      </c>
      <c r="D8567" s="42"/>
      <c r="E8567" s="42"/>
      <c r="F8567" s="48" t="str">
        <f>IFERROR(__xludf.DUMMYFUNCTION("""COMPUTED_VALUE"""),"")</f>
        <v/>
      </c>
      <c r="G8567" s="42" t="str">
        <f>IFERROR(__xludf.DUMMYFUNCTION("""COMPUTED_VALUE"""),"Balik Nama JUAL BELI")</f>
        <v>Balik Nama JUAL BELI</v>
      </c>
      <c r="H8567" s="42">
        <f t="shared" si="1"/>
        <v>3323</v>
      </c>
    </row>
    <row r="8568" ht="22.5" customHeight="1">
      <c r="B8568" s="42" t="str">
        <f>IFERROR(__xludf.DUMMYFUNCTION("""COMPUTED_VALUE"""),"ABKNBXZ/AB010")</f>
        <v>ABKNBXZ/AB010</v>
      </c>
      <c r="C8568" s="42" t="str">
        <f>IFERROR(__xludf.DUMMYFUNCTION("""COMPUTED_VALUE"""),"M.NIBEL 24334/Kemiling Raya")</f>
        <v>M.NIBEL 24334/Kemiling Raya</v>
      </c>
      <c r="D8568" s="42"/>
      <c r="E8568" s="42"/>
      <c r="F8568" s="48" t="str">
        <f>IFERROR(__xludf.DUMMYFUNCTION("""COMPUTED_VALUE"""),"")</f>
        <v/>
      </c>
      <c r="G8568" s="42" t="str">
        <f>IFERROR(__xludf.DUMMYFUNCTION("""COMPUTED_VALUE"""),"Balik Nama JUAL BELI")</f>
        <v>Balik Nama JUAL BELI</v>
      </c>
      <c r="H8568" s="42">
        <f t="shared" si="1"/>
        <v>3323</v>
      </c>
    </row>
    <row r="8569" ht="22.5" customHeight="1">
      <c r="B8569" s="42" t="str">
        <f>IFERROR(__xludf.DUMMYFUNCTION("""COMPUTED_VALUE"""),"ABNRPGSD/AB010")</f>
        <v>ABNRPGSD/AB010</v>
      </c>
      <c r="C8569" s="42" t="str">
        <f>IFERROR(__xludf.DUMMYFUNCTION("""COMPUTED_VALUE"""),"M.NIBEL 24327/Kemiling Raya")</f>
        <v>M.NIBEL 24327/Kemiling Raya</v>
      </c>
      <c r="D8569" s="42"/>
      <c r="E8569" s="42"/>
      <c r="F8569" s="48" t="str">
        <f>IFERROR(__xludf.DUMMYFUNCTION("""COMPUTED_VALUE"""),"")</f>
        <v/>
      </c>
      <c r="G8569" s="42" t="str">
        <f>IFERROR(__xludf.DUMMYFUNCTION("""COMPUTED_VALUE"""),"Balik Nama JUAL BELI")</f>
        <v>Balik Nama JUAL BELI</v>
      </c>
      <c r="H8569" s="42">
        <f t="shared" si="1"/>
        <v>3323</v>
      </c>
    </row>
    <row r="8570" ht="22.5" customHeight="1">
      <c r="B8570" s="42" t="str">
        <f>IFERROR(__xludf.DUMMYFUNCTION("""COMPUTED_VALUE"""),"ABRRPFST/AB010")</f>
        <v>ABRRPFST/AB010</v>
      </c>
      <c r="C8570" s="42" t="str">
        <f>IFERROR(__xludf.DUMMYFUNCTION("""COMPUTED_VALUE"""),"HGB.4989/Campang Raya")</f>
        <v>HGB.4989/Campang Raya</v>
      </c>
      <c r="D8570" s="42"/>
      <c r="E8570" s="42"/>
      <c r="F8570" s="48" t="str">
        <f>IFERROR(__xludf.DUMMYFUNCTION("""COMPUTED_VALUE"""),"")</f>
        <v/>
      </c>
      <c r="G8570" s="42" t="str">
        <f>IFERROR(__xludf.DUMMYFUNCTION("""COMPUTED_VALUE"""),"Balik Nama JUAL BELI")</f>
        <v>Balik Nama JUAL BELI</v>
      </c>
      <c r="H8570" s="42">
        <f t="shared" si="1"/>
        <v>3323</v>
      </c>
    </row>
    <row r="8571" ht="22.5" customHeight="1">
      <c r="B8571" s="42" t="str">
        <f>IFERROR(__xludf.DUMMYFUNCTION("""COMPUTED_VALUE"""),"ABXETGYO/ AB028")</f>
        <v>ABXETGYO/ AB028</v>
      </c>
      <c r="C8571" s="42" t="str">
        <f>IFERROR(__xludf.DUMMYFUNCTION("""COMPUTED_VALUE"""),"NIBEL B 25263/ SUKAMAJU")</f>
        <v>NIBEL B 25263/ SUKAMAJU</v>
      </c>
      <c r="D8571" s="42"/>
      <c r="E8571" s="42"/>
      <c r="F8571" s="48" t="str">
        <f>IFERROR(__xludf.DUMMYFUNCTION("""COMPUTED_VALUE"""),"")</f>
        <v/>
      </c>
      <c r="G8571" s="42" t="str">
        <f>IFERROR(__xludf.DUMMYFUNCTION("""COMPUTED_VALUE"""),"Peningkatan Hak")</f>
        <v>Peningkatan Hak</v>
      </c>
      <c r="H8571" s="42">
        <f t="shared" si="1"/>
        <v>3323</v>
      </c>
    </row>
    <row r="8572" ht="22.5" customHeight="1">
      <c r="B8572" s="42" t="str">
        <f>IFERROR(__xludf.DUMMYFUNCTION("""COMPUTED_VALUE"""),"L/1/231025/1")</f>
        <v>L/1/231025/1</v>
      </c>
      <c r="C8572" s="42" t="str">
        <f>IFERROR(__xludf.DUMMYFUNCTION("""COMPUTED_VALUE"""),"SHM NIB 21106/GUNUNG SULAH")</f>
        <v>SHM NIB 21106/GUNUNG SULAH</v>
      </c>
      <c r="D8572" s="42"/>
      <c r="E8572" s="42"/>
      <c r="F8572" s="48" t="str">
        <f>IFERROR(__xludf.DUMMYFUNCTION("""COMPUTED_VALUE"""),"")</f>
        <v/>
      </c>
      <c r="G8572" s="42" t="str">
        <f>IFERROR(__xludf.DUMMYFUNCTION("""COMPUTED_VALUE"""),"PTPGT PEMECAHAN")</f>
        <v>PTPGT PEMECAHAN</v>
      </c>
      <c r="H8572" s="42">
        <f t="shared" si="1"/>
        <v>3323</v>
      </c>
    </row>
    <row r="8573" ht="22.5" customHeight="1">
      <c r="B8573" s="42" t="str">
        <f>IFERROR(__xludf.DUMMYFUNCTION("""COMPUTED_VALUE"""),"ABRZJAHG")</f>
        <v>ABRZJAHG</v>
      </c>
      <c r="C8573" s="42" t="str">
        <f>IFERROR(__xludf.DUMMYFUNCTION("""COMPUTED_VALUE"""),"NIBEL M 23038/ WAY KANDIS")</f>
        <v>NIBEL M 23038/ WAY KANDIS</v>
      </c>
      <c r="D8573" s="42"/>
      <c r="E8573" s="42"/>
      <c r="F8573" s="48" t="str">
        <f>IFERROR(__xludf.DUMMYFUNCTION("""COMPUTED_VALUE"""),"")</f>
        <v/>
      </c>
      <c r="G8573" s="42" t="str">
        <f>IFERROR(__xludf.DUMMYFUNCTION("""COMPUTED_VALUE"""),"BN Jual Beli")</f>
        <v>BN Jual Beli</v>
      </c>
      <c r="H8573" s="42">
        <f t="shared" si="1"/>
        <v>3323</v>
      </c>
    </row>
    <row r="8574" ht="22.5" customHeight="1">
      <c r="B8574" s="42" t="str">
        <f>IFERROR(__xludf.DUMMYFUNCTION("""COMPUTED_VALUE"""),"ABSQZBMO")</f>
        <v>ABSQZBMO</v>
      </c>
      <c r="C8574" s="42" t="str">
        <f>IFERROR(__xludf.DUMMYFUNCTION("""COMPUTED_VALUE"""),"M 1162/ SUKARAME II")</f>
        <v>M 1162/ SUKARAME II</v>
      </c>
      <c r="D8574" s="42"/>
      <c r="E8574" s="42"/>
      <c r="F8574" s="48" t="str">
        <f>IFERROR(__xludf.DUMMYFUNCTION("""COMPUTED_VALUE"""),"")</f>
        <v/>
      </c>
      <c r="G8574" s="42" t="str">
        <f>IFERROR(__xludf.DUMMYFUNCTION("""COMPUTED_VALUE"""),"BN Jual Beli")</f>
        <v>BN Jual Beli</v>
      </c>
      <c r="H8574" s="42">
        <f t="shared" si="1"/>
        <v>3323</v>
      </c>
    </row>
    <row r="8575" ht="22.5" customHeight="1">
      <c r="B8575" s="42" t="str">
        <f>IFERROR(__xludf.DUMMYFUNCTION("""COMPUTED_VALUE"""),"ABXVHIMB")</f>
        <v>ABXVHIMB</v>
      </c>
      <c r="C8575" s="42" t="str">
        <f>IFERROR(__xludf.DUMMYFUNCTION("""COMPUTED_VALUE"""),"M 01134/RAJABASA PEMUKA")</f>
        <v>M 01134/RAJABASA PEMUKA</v>
      </c>
      <c r="D8575" s="42"/>
      <c r="E8575" s="42"/>
      <c r="F8575" s="48" t="str">
        <f>IFERROR(__xludf.DUMMYFUNCTION("""COMPUTED_VALUE"""),"")</f>
        <v/>
      </c>
      <c r="G8575" s="42" t="str">
        <f>IFERROR(__xludf.DUMMYFUNCTION("""COMPUTED_VALUE"""),"BN JUAL BELI ")</f>
        <v>BN JUAL BELI </v>
      </c>
      <c r="H8575" s="42">
        <f t="shared" si="1"/>
        <v>3323</v>
      </c>
    </row>
    <row r="8576" ht="22.5" customHeight="1">
      <c r="B8576" s="42" t="str">
        <f>IFERROR(__xludf.DUMMYFUNCTION("""COMPUTED_VALUE"""),"L/2/231025/1")</f>
        <v>L/2/231025/1</v>
      </c>
      <c r="C8576" s="42" t="str">
        <f>IFERROR(__xludf.DUMMYFUNCTION("""COMPUTED_VALUE"""),"KEL. KEBON JERUK PBT 95/2025")</f>
        <v>KEL. KEBON JERUK PBT 95/2025</v>
      </c>
      <c r="D8576" s="42"/>
      <c r="E8576" s="42"/>
      <c r="F8576" s="48" t="str">
        <f>IFERROR(__xludf.DUMMYFUNCTION("""COMPUTED_VALUE"""),"")</f>
        <v/>
      </c>
      <c r="G8576" s="42" t="str">
        <f>IFERROR(__xludf.DUMMYFUNCTION("""COMPUTED_VALUE"""),"PERMOHONAN SK")</f>
        <v>PERMOHONAN SK</v>
      </c>
      <c r="H8576" s="42">
        <f t="shared" si="1"/>
        <v>3323</v>
      </c>
    </row>
    <row r="8577" ht="22.5" customHeight="1">
      <c r="B8577" s="42" t="str">
        <f>IFERROR(__xludf.DUMMYFUNCTION("""COMPUTED_VALUE"""),"ABDHNJUK")</f>
        <v>ABDHNJUK</v>
      </c>
      <c r="C8577" s="42" t="str">
        <f>IFERROR(__xludf.DUMMYFUNCTION("""COMPUTED_VALUE"""),"NIBEL M 16770/ PEMATANG WANGI")</f>
        <v>NIBEL M 16770/ PEMATANG WANGI</v>
      </c>
      <c r="D8577" s="42"/>
      <c r="E8577" s="42"/>
      <c r="F8577" s="48" t="str">
        <f>IFERROR(__xludf.DUMMYFUNCTION("""COMPUTED_VALUE"""),"")</f>
        <v/>
      </c>
      <c r="G8577" s="42" t="str">
        <f>IFERROR(__xludf.DUMMYFUNCTION("""COMPUTED_VALUE"""),"BN HIBAH")</f>
        <v>BN HIBAH</v>
      </c>
      <c r="H8577" s="42">
        <f t="shared" si="1"/>
        <v>3323</v>
      </c>
    </row>
    <row r="8578" ht="22.5" customHeight="1">
      <c r="B8578" s="42" t="str">
        <f>IFERROR(__xludf.DUMMYFUNCTION("""COMPUTED_VALUE"""),"ABAGFJXJ/AB063")</f>
        <v>ABAGFJXJ/AB063</v>
      </c>
      <c r="C8578" s="42" t="str">
        <f>IFERROR(__xludf.DUMMYFUNCTION("""COMPUTED_VALUE"""),"M. Nibel 25371/Kampung Baru")</f>
        <v>M. Nibel 25371/Kampung Baru</v>
      </c>
      <c r="D8578" s="42"/>
      <c r="E8578" s="42"/>
      <c r="F8578" s="48" t="str">
        <f>IFERROR(__xludf.DUMMYFUNCTION("""COMPUTED_VALUE"""),"")</f>
        <v/>
      </c>
      <c r="G8578" s="42" t="str">
        <f>IFERROR(__xludf.DUMMYFUNCTION("""COMPUTED_VALUE"""),"BN Jual Beli")</f>
        <v>BN Jual Beli</v>
      </c>
      <c r="H8578" s="42">
        <f t="shared" si="1"/>
        <v>3323</v>
      </c>
    </row>
    <row r="8579" ht="22.5" customHeight="1">
      <c r="B8579" s="42" t="str">
        <f>IFERROR(__xludf.DUMMYFUNCTION("""COMPUTED_VALUE"""),"ABPGVVFH")</f>
        <v>ABPGVVFH</v>
      </c>
      <c r="C8579" s="42" t="str">
        <f>IFERROR(__xludf.DUMMYFUNCTION("""COMPUTED_VALUE"""),"NIBEL M 22547/ Labuhan Dalam")</f>
        <v>NIBEL M 22547/ Labuhan Dalam</v>
      </c>
      <c r="D8579" s="42"/>
      <c r="E8579" s="42"/>
      <c r="F8579" s="48" t="str">
        <f>IFERROR(__xludf.DUMMYFUNCTION("""COMPUTED_VALUE"""),"")</f>
        <v/>
      </c>
      <c r="G8579" s="42" t="str">
        <f>IFERROR(__xludf.DUMMYFUNCTION("""COMPUTED_VALUE"""),"BN Jual Beli ")</f>
        <v>BN Jual Beli </v>
      </c>
      <c r="H8579" s="42">
        <f t="shared" si="1"/>
        <v>3323</v>
      </c>
    </row>
    <row r="8580" ht="22.5" customHeight="1">
      <c r="B8580" s="42" t="str">
        <f>IFERROR(__xludf.DUMMYFUNCTION("""COMPUTED_VALUE"""),"ABWCFGII")</f>
        <v>ABWCFGII</v>
      </c>
      <c r="C8580" s="42" t="str">
        <f>IFERROR(__xludf.DUMMYFUNCTION("""COMPUTED_VALUE"""),"NIBEL M 5151/ Sepang Jaya")</f>
        <v>NIBEL M 5151/ Sepang Jaya</v>
      </c>
      <c r="D8580" s="42"/>
      <c r="E8580" s="42"/>
      <c r="F8580" s="48" t="str">
        <f>IFERROR(__xludf.DUMMYFUNCTION("""COMPUTED_VALUE"""),"")</f>
        <v/>
      </c>
      <c r="G8580" s="42" t="str">
        <f>IFERROR(__xludf.DUMMYFUNCTION("""COMPUTED_VALUE"""),"BN Jual Beli ")</f>
        <v>BN Jual Beli </v>
      </c>
      <c r="H8580" s="42">
        <f t="shared" si="1"/>
        <v>3323</v>
      </c>
    </row>
    <row r="8581" ht="22.5" customHeight="1">
      <c r="B8581" s="42" t="str">
        <f>IFERROR(__xludf.DUMMYFUNCTION("""COMPUTED_VALUE"""),"ABKRREJF/Ab036")</f>
        <v>ABKRREJF/Ab036</v>
      </c>
      <c r="C8581" s="42" t="str">
        <f>IFERROR(__xludf.DUMMYFUNCTION("""COMPUTED_VALUE"""),"M. 18150/Sukarame I")</f>
        <v>M. 18150/Sukarame I</v>
      </c>
      <c r="D8581" s="42"/>
      <c r="E8581" s="42"/>
      <c r="F8581" s="48" t="str">
        <f>IFERROR(__xludf.DUMMYFUNCTION("""COMPUTED_VALUE"""),"")</f>
        <v/>
      </c>
      <c r="G8581" s="42" t="str">
        <f>IFERROR(__xludf.DUMMYFUNCTION("""COMPUTED_VALUE"""),"Roya ")</f>
        <v>Roya </v>
      </c>
      <c r="H8581" s="42">
        <f t="shared" si="1"/>
        <v>3323</v>
      </c>
    </row>
    <row r="8582" ht="22.5" customHeight="1">
      <c r="B8582" s="42" t="str">
        <f>IFERROR(__xludf.DUMMYFUNCTION("""COMPUTED_VALUE"""),"ABOZBXSQ/ Ab036")</f>
        <v>ABOZBXSQ/ Ab036</v>
      </c>
      <c r="C8582" s="42" t="str">
        <f>IFERROR(__xludf.DUMMYFUNCTION("""COMPUTED_VALUE"""),"B. 06/Sukamaju")</f>
        <v>B. 06/Sukamaju</v>
      </c>
      <c r="D8582" s="42"/>
      <c r="E8582" s="42"/>
      <c r="F8582" s="48" t="str">
        <f>IFERROR(__xludf.DUMMYFUNCTION("""COMPUTED_VALUE"""),"")</f>
        <v/>
      </c>
      <c r="G8582" s="42" t="str">
        <f>IFERROR(__xludf.DUMMYFUNCTION("""COMPUTED_VALUE"""),"Peningkatan hak")</f>
        <v>Peningkatan hak</v>
      </c>
      <c r="H8582" s="42">
        <f t="shared" si="1"/>
        <v>3323</v>
      </c>
    </row>
    <row r="8583" ht="22.5" customHeight="1">
      <c r="B8583" s="42" t="str">
        <f>IFERROR(__xludf.DUMMYFUNCTION("""COMPUTED_VALUE"""),"L/4/231025/1")</f>
        <v>L/4/231025/1</v>
      </c>
      <c r="C8583" s="42" t="str">
        <f>IFERROR(__xludf.DUMMYFUNCTION("""COMPUTED_VALUE"""),"B. 4518/BERINGIN RAYA")</f>
        <v>B. 4518/BERINGIN RAYA</v>
      </c>
      <c r="D8583" s="42"/>
      <c r="E8583" s="42"/>
      <c r="F8583" s="48" t="str">
        <f>IFERROR(__xludf.DUMMYFUNCTION("""COMPUTED_VALUE"""),"")</f>
        <v/>
      </c>
      <c r="G8583" s="42" t="str">
        <f>IFERROR(__xludf.DUMMYFUNCTION("""COMPUTED_VALUE"""),"ROYA")</f>
        <v>ROYA</v>
      </c>
      <c r="H8583" s="42">
        <f t="shared" si="1"/>
        <v>3323</v>
      </c>
    </row>
    <row r="8584" ht="22.5" customHeight="1">
      <c r="B8584" s="42" t="str">
        <f>IFERROR(__xludf.DUMMYFUNCTION("""COMPUTED_VALUE"""),"ABYUOEGM")</f>
        <v>ABYUOEGM</v>
      </c>
      <c r="C8584" s="42" t="str">
        <f>IFERROR(__xludf.DUMMYFUNCTION("""COMPUTED_VALUE"""),"M 6051/ Tanjung senang")</f>
        <v>M 6051/ Tanjung senang</v>
      </c>
      <c r="D8584" s="42"/>
      <c r="E8584" s="42"/>
      <c r="F8584" s="48" t="str">
        <f>IFERROR(__xludf.DUMMYFUNCTION("""COMPUTED_VALUE"""),"")</f>
        <v/>
      </c>
      <c r="G8584" s="42" t="str">
        <f>IFERROR(__xludf.DUMMYFUNCTION("""COMPUTED_VALUE"""),"BN JUAL BELI")</f>
        <v>BN JUAL BELI</v>
      </c>
      <c r="H8584" s="42">
        <f t="shared" si="1"/>
        <v>3323</v>
      </c>
    </row>
    <row r="8585" ht="22.5" customHeight="1">
      <c r="B8585" s="42" t="str">
        <f>IFERROR(__xludf.DUMMYFUNCTION("""COMPUTED_VALUE"""),"ABNZHLSC/AB073")</f>
        <v>ABNZHLSC/AB073</v>
      </c>
      <c r="C8585" s="42" t="str">
        <f>IFERROR(__xludf.DUMMYFUNCTION("""COMPUTED_VALUE"""),"M. 02237/Way Laga")</f>
        <v>M. 02237/Way Laga</v>
      </c>
      <c r="D8585" s="42"/>
      <c r="E8585" s="42"/>
      <c r="F8585" s="48" t="str">
        <f>IFERROR(__xludf.DUMMYFUNCTION("""COMPUTED_VALUE"""),"")</f>
        <v/>
      </c>
      <c r="G8585" s="42" t="str">
        <f>IFERROR(__xludf.DUMMYFUNCTION("""COMPUTED_VALUE"""),"BN JUAL BELI")</f>
        <v>BN JUAL BELI</v>
      </c>
      <c r="H8585" s="42">
        <f t="shared" si="1"/>
        <v>3323</v>
      </c>
    </row>
    <row r="8586" ht="22.5" customHeight="1">
      <c r="B8586" s="42" t="str">
        <f>IFERROR(__xludf.DUMMYFUNCTION("""COMPUTED_VALUE"""),"ABMRLBNW/AB073")</f>
        <v>ABMRLBNW/AB073</v>
      </c>
      <c r="C8586" s="42" t="str">
        <f>IFERROR(__xludf.DUMMYFUNCTION("""COMPUTED_VALUE"""),"M. 02505/Sukajawa")</f>
        <v>M. 02505/Sukajawa</v>
      </c>
      <c r="D8586" s="42"/>
      <c r="E8586" s="42"/>
      <c r="F8586" s="48" t="str">
        <f>IFERROR(__xludf.DUMMYFUNCTION("""COMPUTED_VALUE"""),"")</f>
        <v/>
      </c>
      <c r="G8586" s="42" t="str">
        <f>IFERROR(__xludf.DUMMYFUNCTION("""COMPUTED_VALUE"""),"Penghapusan Bphtb")</f>
        <v>Penghapusan Bphtb</v>
      </c>
      <c r="H8586" s="42">
        <f t="shared" si="1"/>
        <v>3323</v>
      </c>
    </row>
    <row r="8587" ht="22.5" customHeight="1">
      <c r="B8587" s="42" t="str">
        <f>IFERROR(__xludf.DUMMYFUNCTION("""COMPUTED_VALUE"""),"ABNESQWP")</f>
        <v>ABNESQWP</v>
      </c>
      <c r="C8587" s="42" t="str">
        <f>IFERROR(__xludf.DUMMYFUNCTION("""COMPUTED_VALUE"""),"NIBEL M 22583/ Way Halim")</f>
        <v>NIBEL M 22583/ Way Halim</v>
      </c>
      <c r="D8587" s="42"/>
      <c r="E8587" s="42"/>
      <c r="F8587" s="48" t="str">
        <f>IFERROR(__xludf.DUMMYFUNCTION("""COMPUTED_VALUE"""),"")</f>
        <v/>
      </c>
      <c r="G8587" s="42" t="str">
        <f>IFERROR(__xludf.DUMMYFUNCTION("""COMPUTED_VALUE"""),"Balik Nama Jual Beli")</f>
        <v>Balik Nama Jual Beli</v>
      </c>
      <c r="H8587" s="42">
        <f t="shared" si="1"/>
        <v>3323</v>
      </c>
    </row>
    <row r="8588" ht="22.5" customHeight="1">
      <c r="B8588" s="42" t="str">
        <f>IFERROR(__xludf.DUMMYFUNCTION("""COMPUTED_VALUE"""),"L/5/231025/1")</f>
        <v>L/5/231025/1</v>
      </c>
      <c r="C8588" s="42" t="str">
        <f>IFERROR(__xludf.DUMMYFUNCTION("""COMPUTED_VALUE"""),"SHGB 2333/CAMPANG RAYA")</f>
        <v>SHGB 2333/CAMPANG RAYA</v>
      </c>
      <c r="D8588" s="42"/>
      <c r="E8588" s="42"/>
      <c r="F8588" s="48" t="str">
        <f>IFERROR(__xludf.DUMMYFUNCTION("""COMPUTED_VALUE"""),"")</f>
        <v/>
      </c>
      <c r="G8588" s="42" t="str">
        <f>IFERROR(__xludf.DUMMYFUNCTION("""COMPUTED_VALUE"""),"ROYA LELANG")</f>
        <v>ROYA LELANG</v>
      </c>
      <c r="H8588" s="42">
        <f t="shared" si="1"/>
        <v>3323</v>
      </c>
    </row>
    <row r="8589" ht="22.5" customHeight="1">
      <c r="B8589" s="42" t="str">
        <f>IFERROR(__xludf.DUMMYFUNCTION("""COMPUTED_VALUE"""),"K/3/231025/1")</f>
        <v>K/3/231025/1</v>
      </c>
      <c r="C8589" s="42" t="str">
        <f>IFERROR(__xludf.DUMMYFUNCTION("""COMPUTED_VALUE"""),"NIBEL M. 23872/TANJUNG SENANG")</f>
        <v>NIBEL M. 23872/TANJUNG SENANG</v>
      </c>
      <c r="D8589" s="42" t="str">
        <f>IFERROR(__xludf.DUMMYFUNCTION("""COMPUTED_VALUE"""),"Berry")</f>
        <v>Berry</v>
      </c>
      <c r="E8589" s="42" t="str">
        <f>IFERROR(__xludf.DUMMYFUNCTION("""COMPUTED_VALUE"""),"DISERAHKAN")</f>
        <v>DISERAHKAN</v>
      </c>
      <c r="F8589" s="48">
        <f>IFERROR(__xludf.DUMMYFUNCTION("""COMPUTED_VALUE"""),46020.651281631945)</f>
        <v>46020.65128</v>
      </c>
      <c r="G8589" s="42" t="str">
        <f>IFERROR(__xludf.DUMMYFUNCTION("""COMPUTED_VALUE"""),"SKPT LELANG")</f>
        <v>SKPT LELANG</v>
      </c>
      <c r="H8589" s="42">
        <f t="shared" si="1"/>
        <v>3324</v>
      </c>
    </row>
    <row r="8590" ht="22.5" customHeight="1">
      <c r="B8590" s="42" t="str">
        <f>IFERROR(__xludf.DUMMYFUNCTION("""COMPUTED_VALUE"""),"ABCEWCTC/AB087")</f>
        <v>ABCEWCTC/AB087</v>
      </c>
      <c r="C8590" s="42" t="str">
        <f>IFERROR(__xludf.DUMMYFUNCTION("""COMPUTED_VALUE"""),"M.24601/Sukabumi")</f>
        <v>M.24601/Sukabumi</v>
      </c>
      <c r="D8590" s="42"/>
      <c r="E8590" s="42"/>
      <c r="F8590" s="48" t="str">
        <f>IFERROR(__xludf.DUMMYFUNCTION("""COMPUTED_VALUE"""),"")</f>
        <v/>
      </c>
      <c r="G8590" s="42" t="str">
        <f>IFERROR(__xludf.DUMMYFUNCTION("""COMPUTED_VALUE"""),"APHB")</f>
        <v>APHB</v>
      </c>
      <c r="H8590" s="42">
        <f t="shared" si="1"/>
        <v>3324</v>
      </c>
    </row>
    <row r="8591" ht="22.5" customHeight="1">
      <c r="B8591" s="42" t="str">
        <f>IFERROR(__xludf.DUMMYFUNCTION("""COMPUTED_VALUE"""),"K/6/231025/1")</f>
        <v>K/6/231025/1</v>
      </c>
      <c r="C8591" s="42" t="str">
        <f>IFERROR(__xludf.DUMMYFUNCTION("""COMPUTED_VALUE"""),"NIBEL B. 24606/CAMPANG JAYA")</f>
        <v>NIBEL B. 24606/CAMPANG JAYA</v>
      </c>
      <c r="D8591" s="42"/>
      <c r="E8591" s="42"/>
      <c r="F8591" s="48" t="str">
        <f>IFERROR(__xludf.DUMMYFUNCTION("""COMPUTED_VALUE"""),"")</f>
        <v/>
      </c>
      <c r="G8591" s="42" t="str">
        <f>IFERROR(__xludf.DUMMYFUNCTION("""COMPUTED_VALUE"""),"PERUBAHAN HAK")</f>
        <v>PERUBAHAN HAK</v>
      </c>
      <c r="H8591" s="42">
        <f t="shared" si="1"/>
        <v>3324</v>
      </c>
    </row>
    <row r="8592" ht="22.5" customHeight="1">
      <c r="B8592" s="42" t="str">
        <f>IFERROR(__xludf.DUMMYFUNCTION("""COMPUTED_VALUE"""),"ABFYEOPA")</f>
        <v>ABFYEOPA</v>
      </c>
      <c r="C8592" s="42" t="str">
        <f>IFERROR(__xludf.DUMMYFUNCTION("""COMPUTED_VALUE"""),"M. 11877/Kdn , M. 10251/Kdn, M. 9837/Kdn, M. 9838/Kdn, M. 9862/Kdn, M. 10250/Kdn, M. 9015/Kdn")</f>
        <v>M. 11877/Kdn , M. 10251/Kdn, M. 9837/Kdn, M. 9838/Kdn, M. 9862/Kdn, M. 10250/Kdn, M. 9015/Kdn</v>
      </c>
      <c r="D8592" s="42"/>
      <c r="E8592" s="42"/>
      <c r="F8592" s="48" t="str">
        <f>IFERROR(__xludf.DUMMYFUNCTION("""COMPUTED_VALUE"""),"")</f>
        <v/>
      </c>
      <c r="G8592" s="42" t="str">
        <f>IFERROR(__xludf.DUMMYFUNCTION("""COMPUTED_VALUE"""),"Roya lelang")</f>
        <v>Roya lelang</v>
      </c>
      <c r="H8592" s="42">
        <f t="shared" si="1"/>
        <v>3324</v>
      </c>
    </row>
    <row r="8593" ht="22.5" customHeight="1">
      <c r="B8593" s="42" t="str">
        <f>IFERROR(__xludf.DUMMYFUNCTION("""COMPUTED_VALUE"""),"ABUIIABJ")</f>
        <v>ABUIIABJ</v>
      </c>
      <c r="C8593" s="42" t="str">
        <f>IFERROR(__xludf.DUMMYFUNCTION("""COMPUTED_VALUE"""),"M 1624/ TELUK BETUNG")</f>
        <v>M 1624/ TELUK BETUNG</v>
      </c>
      <c r="D8593" s="42"/>
      <c r="E8593" s="42"/>
      <c r="F8593" s="48" t="str">
        <f>IFERROR(__xludf.DUMMYFUNCTION("""COMPUTED_VALUE"""),"")</f>
        <v/>
      </c>
      <c r="G8593" s="42" t="str">
        <f>IFERROR(__xludf.DUMMYFUNCTION("""COMPUTED_VALUE"""),"BN WARIS")</f>
        <v>BN WARIS</v>
      </c>
      <c r="H8593" s="42">
        <f t="shared" si="1"/>
        <v>3324</v>
      </c>
    </row>
    <row r="8594" ht="22.5" customHeight="1">
      <c r="B8594" s="42" t="str">
        <f>IFERROR(__xludf.DUMMYFUNCTION("""COMPUTED_VALUE"""),"ABITAGAK/1")</f>
        <v>ABITAGAK/1</v>
      </c>
      <c r="C8594" s="42" t="str">
        <f>IFERROR(__xludf.DUMMYFUNCTION("""COMPUTED_VALUE"""),"M.11228 sukabumi")</f>
        <v>M.11228 sukabumi</v>
      </c>
      <c r="D8594" s="42"/>
      <c r="E8594" s="42"/>
      <c r="F8594" s="48" t="str">
        <f>IFERROR(__xludf.DUMMYFUNCTION("""COMPUTED_VALUE"""),"")</f>
        <v/>
      </c>
      <c r="G8594" s="42" t="str">
        <f>IFERROR(__xludf.DUMMYFUNCTION("""COMPUTED_VALUE"""),"roya")</f>
        <v>roya</v>
      </c>
      <c r="H8594" s="42">
        <f t="shared" si="1"/>
        <v>3324</v>
      </c>
    </row>
    <row r="8595" ht="22.5" customHeight="1">
      <c r="B8595" s="42" t="str">
        <f>IFERROR(__xludf.DUMMYFUNCTION("""COMPUTED_VALUE"""),"ABMBHXUR")</f>
        <v>ABMBHXUR</v>
      </c>
      <c r="C8595" s="42" t="str">
        <f>IFERROR(__xludf.DUMMYFUNCTION("""COMPUTED_VALUE"""),"M. 947 KALI BALAU KENCANA")</f>
        <v>M. 947 KALI BALAU KENCANA</v>
      </c>
      <c r="D8595" s="42"/>
      <c r="E8595" s="42"/>
      <c r="F8595" s="48" t="str">
        <f>IFERROR(__xludf.DUMMYFUNCTION("""COMPUTED_VALUE"""),"")</f>
        <v/>
      </c>
      <c r="G8595" s="42" t="str">
        <f>IFERROR(__xludf.DUMMYFUNCTION("""COMPUTED_VALUE"""),"Roya")</f>
        <v>Roya</v>
      </c>
      <c r="H8595" s="42">
        <f t="shared" si="1"/>
        <v>3324</v>
      </c>
    </row>
    <row r="8596" ht="22.5" customHeight="1">
      <c r="B8596" s="42" t="str">
        <f>IFERROR(__xludf.DUMMYFUNCTION("""COMPUTED_VALUE"""),"ABDEBSAF")</f>
        <v>ABDEBSAF</v>
      </c>
      <c r="C8596" s="42" t="str">
        <f>IFERROR(__xludf.DUMMYFUNCTION("""COMPUTED_VALUE"""),"M 320/ TALANG")</f>
        <v>M 320/ TALANG</v>
      </c>
      <c r="D8596" s="42" t="str">
        <f>IFERROR(__xludf.DUMMYFUNCTION("""COMPUTED_VALUE"""),"Berry")</f>
        <v>Berry</v>
      </c>
      <c r="E8596" s="42" t="str">
        <f>IFERROR(__xludf.DUMMYFUNCTION("""COMPUTED_VALUE"""),"DISERAHKAN")</f>
        <v>DISERAHKAN</v>
      </c>
      <c r="F8596" s="48">
        <f>IFERROR(__xludf.DUMMYFUNCTION("""COMPUTED_VALUE"""),46020.657872870375)</f>
        <v>46020.65787</v>
      </c>
      <c r="G8596" s="42" t="str">
        <f>IFERROR(__xludf.DUMMYFUNCTION("""COMPUTED_VALUE"""),"BN WARIS")</f>
        <v>BN WARIS</v>
      </c>
      <c r="H8596" s="42">
        <f t="shared" si="1"/>
        <v>3325</v>
      </c>
    </row>
    <row r="8597" ht="22.5" customHeight="1">
      <c r="B8597" s="42" t="str">
        <f>IFERROR(__xludf.DUMMYFUNCTION("""COMPUTED_VALUE"""),"L/1/241025/1")</f>
        <v>L/1/241025/1</v>
      </c>
      <c r="C8597" s="42" t="str">
        <f>IFERROR(__xludf.DUMMYFUNCTION("""COMPUTED_VALUE"""),"B. 1381/PINANG JAYA")</f>
        <v>B. 1381/PINANG JAYA</v>
      </c>
      <c r="D8597" s="42"/>
      <c r="E8597" s="42"/>
      <c r="F8597" s="48" t="str">
        <f>IFERROR(__xludf.DUMMYFUNCTION("""COMPUTED_VALUE"""),"")</f>
        <v/>
      </c>
      <c r="G8597" s="42" t="str">
        <f>IFERROR(__xludf.DUMMYFUNCTION("""COMPUTED_VALUE"""),"GANTI NAMA")</f>
        <v>GANTI NAMA</v>
      </c>
      <c r="H8597" s="42">
        <f t="shared" si="1"/>
        <v>3325</v>
      </c>
    </row>
    <row r="8598" ht="22.5" customHeight="1">
      <c r="B8598" s="42" t="str">
        <f>IFERROR(__xludf.DUMMYFUNCTION("""COMPUTED_VALUE"""),"L/2/241025/1")</f>
        <v>L/2/241025/1</v>
      </c>
      <c r="C8598" s="42" t="str">
        <f>IFERROR(__xludf.DUMMYFUNCTION("""COMPUTED_VALUE"""),"SHM. 327/PERWATA")</f>
        <v>SHM. 327/PERWATA</v>
      </c>
      <c r="D8598" s="42"/>
      <c r="E8598" s="42"/>
      <c r="F8598" s="48" t="str">
        <f>IFERROR(__xludf.DUMMYFUNCTION("""COMPUTED_VALUE"""),"")</f>
        <v/>
      </c>
      <c r="G8598" s="42" t="str">
        <f>IFERROR(__xludf.DUMMYFUNCTION("""COMPUTED_VALUE"""),"ROYA")</f>
        <v>ROYA</v>
      </c>
      <c r="H8598" s="42">
        <f t="shared" si="1"/>
        <v>3325</v>
      </c>
    </row>
    <row r="8599" ht="22.5" customHeight="1">
      <c r="B8599" s="42" t="str">
        <f>IFERROR(__xludf.DUMMYFUNCTION("""COMPUTED_VALUE"""),"ABSUTZDR")</f>
        <v>ABSUTZDR</v>
      </c>
      <c r="C8599" s="42" t="str">
        <f>IFERROR(__xludf.DUMMYFUNCTION("""COMPUTED_VALUE"""),"NIBEL M.55559/ gedong air")</f>
        <v>NIBEL M.55559/ gedong air</v>
      </c>
      <c r="D8599" s="42"/>
      <c r="E8599" s="42"/>
      <c r="F8599" s="48" t="str">
        <f>IFERROR(__xludf.DUMMYFUNCTION("""COMPUTED_VALUE"""),"")</f>
        <v/>
      </c>
      <c r="G8599" s="42" t="str">
        <f>IFERROR(__xludf.DUMMYFUNCTION("""COMPUTED_VALUE"""),"BN JUAL BELI")</f>
        <v>BN JUAL BELI</v>
      </c>
      <c r="H8599" s="42">
        <f t="shared" si="1"/>
        <v>3325</v>
      </c>
    </row>
    <row r="8600" ht="22.5" customHeight="1">
      <c r="B8600" s="42" t="str">
        <f>IFERROR(__xludf.DUMMYFUNCTION("""COMPUTED_VALUE"""),"ABAYGRDH")</f>
        <v>ABAYGRDH</v>
      </c>
      <c r="C8600" s="42" t="str">
        <f>IFERROR(__xludf.DUMMYFUNCTION("""COMPUTED_VALUE"""),"M 46/ KORPRI JAYA")</f>
        <v>M 46/ KORPRI JAYA</v>
      </c>
      <c r="D8600" s="42"/>
      <c r="E8600" s="42"/>
      <c r="F8600" s="48" t="str">
        <f>IFERROR(__xludf.DUMMYFUNCTION("""COMPUTED_VALUE"""),"")</f>
        <v/>
      </c>
      <c r="G8600" s="42" t="str">
        <f>IFERROR(__xludf.DUMMYFUNCTION("""COMPUTED_VALUE"""),"BN JUAL BELI")</f>
        <v>BN JUAL BELI</v>
      </c>
      <c r="H8600" s="42">
        <f t="shared" si="1"/>
        <v>3325</v>
      </c>
    </row>
    <row r="8601" ht="22.5" customHeight="1">
      <c r="B8601" s="42" t="str">
        <f>IFERROR(__xludf.DUMMYFUNCTION("""COMPUTED_VALUE"""),"ABQWRYEB")</f>
        <v>ABQWRYEB</v>
      </c>
      <c r="C8601" s="42" t="str">
        <f>IFERROR(__xludf.DUMMYFUNCTION("""COMPUTED_VALUE"""),"M 4969/ WAY KANDIS")</f>
        <v>M 4969/ WAY KANDIS</v>
      </c>
      <c r="D8601" s="42"/>
      <c r="E8601" s="42"/>
      <c r="F8601" s="48" t="str">
        <f>IFERROR(__xludf.DUMMYFUNCTION("""COMPUTED_VALUE"""),"")</f>
        <v/>
      </c>
      <c r="G8601" s="42" t="str">
        <f>IFERROR(__xludf.DUMMYFUNCTION("""COMPUTED_VALUE"""),"BN JUAL BELI")</f>
        <v>BN JUAL BELI</v>
      </c>
      <c r="H8601" s="42">
        <f t="shared" si="1"/>
        <v>3325</v>
      </c>
    </row>
    <row r="8602" ht="22.5" customHeight="1">
      <c r="B8602" s="42" t="str">
        <f>IFERROR(__xludf.DUMMYFUNCTION("""COMPUTED_VALUE"""),"ABFOYUVB")</f>
        <v>ABFOYUVB</v>
      </c>
      <c r="C8602" s="42" t="str">
        <f>IFERROR(__xludf.DUMMYFUNCTION("""COMPUTED_VALUE"""),"NIBEL M 20589/ KALIAWI")</f>
        <v>NIBEL M 20589/ KALIAWI</v>
      </c>
      <c r="D8602" s="42"/>
      <c r="E8602" s="42"/>
      <c r="F8602" s="48" t="str">
        <f>IFERROR(__xludf.DUMMYFUNCTION("""COMPUTED_VALUE"""),"")</f>
        <v/>
      </c>
      <c r="G8602" s="42" t="str">
        <f>IFERROR(__xludf.DUMMYFUNCTION("""COMPUTED_VALUE"""),"BN JUAL BELI")</f>
        <v>BN JUAL BELI</v>
      </c>
      <c r="H8602" s="42">
        <f t="shared" si="1"/>
        <v>3325</v>
      </c>
    </row>
    <row r="8603" ht="22.5" customHeight="1">
      <c r="B8603" s="42" t="str">
        <f>IFERROR(__xludf.DUMMYFUNCTION("""COMPUTED_VALUE"""),"ABULYVYD")</f>
        <v>ABULYVYD</v>
      </c>
      <c r="C8603" s="42" t="str">
        <f>IFERROR(__xludf.DUMMYFUNCTION("""COMPUTED_VALUE"""),"Nibel M 23423/ RAJABASA JAYA")</f>
        <v>Nibel M 23423/ RAJABASA JAYA</v>
      </c>
      <c r="D8603" s="42"/>
      <c r="E8603" s="42"/>
      <c r="F8603" s="48" t="str">
        <f>IFERROR(__xludf.DUMMYFUNCTION("""COMPUTED_VALUE"""),"")</f>
        <v/>
      </c>
      <c r="G8603" s="42" t="str">
        <f>IFERROR(__xludf.DUMMYFUNCTION("""COMPUTED_VALUE"""),"BN JUAL BELI")</f>
        <v>BN JUAL BELI</v>
      </c>
      <c r="H8603" s="42">
        <f t="shared" si="1"/>
        <v>3325</v>
      </c>
    </row>
    <row r="8604" ht="22.5" customHeight="1">
      <c r="B8604" s="42" t="str">
        <f>IFERROR(__xludf.DUMMYFUNCTION("""COMPUTED_VALUE"""),"ABSYBTQE")</f>
        <v>ABSYBTQE</v>
      </c>
      <c r="C8604" s="42" t="str">
        <f>IFERROR(__xludf.DUMMYFUNCTION("""COMPUTED_VALUE"""),"Nibel M 22474/ SANDI KURNIAWAN ")</f>
        <v>Nibel M 22474/ SANDI KURNIAWAN </v>
      </c>
      <c r="D8604" s="42"/>
      <c r="E8604" s="42"/>
      <c r="F8604" s="48" t="str">
        <f>IFERROR(__xludf.DUMMYFUNCTION("""COMPUTED_VALUE"""),"")</f>
        <v/>
      </c>
      <c r="G8604" s="42" t="str">
        <f>IFERROR(__xludf.DUMMYFUNCTION("""COMPUTED_VALUE"""),"BN JUAL BELI")</f>
        <v>BN JUAL BELI</v>
      </c>
      <c r="H8604" s="42">
        <f t="shared" si="1"/>
        <v>3325</v>
      </c>
    </row>
    <row r="8605" ht="22.5" customHeight="1">
      <c r="B8605" s="42" t="str">
        <f>IFERROR(__xludf.DUMMYFUNCTION("""COMPUTED_VALUE"""),"ABZWSYWP")</f>
        <v>ABZWSYWP</v>
      </c>
      <c r="C8605" s="42" t="str">
        <f>IFERROR(__xludf.DUMMYFUNCTION("""COMPUTED_VALUE"""),"Nibel M 22472/ LABUHAN RATU RAYA")</f>
        <v>Nibel M 22472/ LABUHAN RATU RAYA</v>
      </c>
      <c r="D8605" s="42"/>
      <c r="E8605" s="42"/>
      <c r="F8605" s="48" t="str">
        <f>IFERROR(__xludf.DUMMYFUNCTION("""COMPUTED_VALUE"""),"")</f>
        <v/>
      </c>
      <c r="G8605" s="42" t="str">
        <f>IFERROR(__xludf.DUMMYFUNCTION("""COMPUTED_VALUE"""),"BN JUAL BELI")</f>
        <v>BN JUAL BELI</v>
      </c>
      <c r="H8605" s="42">
        <f t="shared" si="1"/>
        <v>3325</v>
      </c>
    </row>
    <row r="8606" ht="22.5" customHeight="1">
      <c r="B8606" s="42" t="str">
        <f>IFERROR(__xludf.DUMMYFUNCTION("""COMPUTED_VALUE"""),"ABKKWTQW")</f>
        <v>ABKKWTQW</v>
      </c>
      <c r="C8606" s="42" t="str">
        <f>IFERROR(__xludf.DUMMYFUNCTION("""COMPUTED_VALUE"""),"Nibel M 18233/ LABUHAN DALAM")</f>
        <v>Nibel M 18233/ LABUHAN DALAM</v>
      </c>
      <c r="D8606" s="42"/>
      <c r="E8606" s="42"/>
      <c r="F8606" s="48" t="str">
        <f>IFERROR(__xludf.DUMMYFUNCTION("""COMPUTED_VALUE"""),"")</f>
        <v/>
      </c>
      <c r="G8606" s="42" t="str">
        <f>IFERROR(__xludf.DUMMYFUNCTION("""COMPUTED_VALUE"""),"BN JUAL BELI")</f>
        <v>BN JUAL BELI</v>
      </c>
      <c r="H8606" s="42">
        <f t="shared" si="1"/>
        <v>3325</v>
      </c>
    </row>
    <row r="8607" ht="22.5" customHeight="1">
      <c r="B8607" s="42" t="str">
        <f>IFERROR(__xludf.DUMMYFUNCTION("""COMPUTED_VALUE"""),"ABKZDEFH")</f>
        <v>ABKZDEFH</v>
      </c>
      <c r="C8607" s="42" t="str">
        <f>IFERROR(__xludf.DUMMYFUNCTION("""COMPUTED_VALUE"""),"M 11935/ RAJABASA ")</f>
        <v>M 11935/ RAJABASA </v>
      </c>
      <c r="D8607" s="42"/>
      <c r="E8607" s="42"/>
      <c r="F8607" s="48" t="str">
        <f>IFERROR(__xludf.DUMMYFUNCTION("""COMPUTED_VALUE"""),"")</f>
        <v/>
      </c>
      <c r="G8607" s="42" t="str">
        <f>IFERROR(__xludf.DUMMYFUNCTION("""COMPUTED_VALUE"""),"BN JUAL BELI")</f>
        <v>BN JUAL BELI</v>
      </c>
      <c r="H8607" s="42">
        <f t="shared" si="1"/>
        <v>3325</v>
      </c>
    </row>
    <row r="8608" ht="22.5" customHeight="1">
      <c r="B8608" s="42" t="str">
        <f>IFERROR(__xludf.DUMMYFUNCTION("""COMPUTED_VALUE"""),"ABUJKLEA")</f>
        <v>ABUJKLEA</v>
      </c>
      <c r="C8608" s="42" t="str">
        <f>IFERROR(__xludf.DUMMYFUNCTION("""COMPUTED_VALUE"""),"M 1253/ LANGKUPARA BARU")</f>
        <v>M 1253/ LANGKUPARA BARU</v>
      </c>
      <c r="D8608" s="42"/>
      <c r="E8608" s="42"/>
      <c r="F8608" s="48" t="str">
        <f>IFERROR(__xludf.DUMMYFUNCTION("""COMPUTED_VALUE"""),"")</f>
        <v/>
      </c>
      <c r="G8608" s="42" t="str">
        <f>IFERROR(__xludf.DUMMYFUNCTION("""COMPUTED_VALUE"""),"BN JUAL BELI")</f>
        <v>BN JUAL BELI</v>
      </c>
      <c r="H8608" s="42">
        <f t="shared" si="1"/>
        <v>3325</v>
      </c>
    </row>
    <row r="8609" ht="22.5" customHeight="1">
      <c r="B8609" s="42" t="str">
        <f>IFERROR(__xludf.DUMMYFUNCTION("""COMPUTED_VALUE"""),"K/3/241025/1")</f>
        <v>K/3/241025/1</v>
      </c>
      <c r="C8609" s="42" t="str">
        <f>IFERROR(__xludf.DUMMYFUNCTION("""COMPUTED_VALUE"""),"NIBEL M. 24649/SUKABUMI")</f>
        <v>NIBEL M. 24649/SUKABUMI</v>
      </c>
      <c r="D8609" s="42"/>
      <c r="E8609" s="42"/>
      <c r="F8609" s="48" t="str">
        <f>IFERROR(__xludf.DUMMYFUNCTION("""COMPUTED_VALUE"""),"")</f>
        <v/>
      </c>
      <c r="G8609" s="42" t="str">
        <f>IFERROR(__xludf.DUMMYFUNCTION("""COMPUTED_VALUE"""),"BN JUAL BELI ")</f>
        <v>BN JUAL BELI </v>
      </c>
      <c r="H8609" s="42">
        <f t="shared" si="1"/>
        <v>3325</v>
      </c>
    </row>
    <row r="8610" ht="22.5" customHeight="1">
      <c r="B8610" s="42" t="str">
        <f>IFERROR(__xludf.DUMMYFUNCTION("""COMPUTED_VALUE"""),"ABYAUMRI")</f>
        <v>ABYAUMRI</v>
      </c>
      <c r="C8610" s="42" t="str">
        <f>IFERROR(__xludf.DUMMYFUNCTION("""COMPUTED_VALUE"""),"M 5111/ TANJUNG SENANG")</f>
        <v>M 5111/ TANJUNG SENANG</v>
      </c>
      <c r="D8610" s="42"/>
      <c r="E8610" s="42"/>
      <c r="F8610" s="48" t="str">
        <f>IFERROR(__xludf.DUMMYFUNCTION("""COMPUTED_VALUE"""),"")</f>
        <v/>
      </c>
      <c r="G8610" s="42" t="str">
        <f>IFERROR(__xludf.DUMMYFUNCTION("""COMPUTED_VALUE"""),"Roya")</f>
        <v>Roya</v>
      </c>
      <c r="H8610" s="42">
        <f t="shared" si="1"/>
        <v>3325</v>
      </c>
    </row>
    <row r="8611" ht="22.5" customHeight="1">
      <c r="B8611" s="42" t="str">
        <f>IFERROR(__xludf.DUMMYFUNCTION("""COMPUTED_VALUE"""),"ABCPWKPA")</f>
        <v>ABCPWKPA</v>
      </c>
      <c r="C8611" s="42">
        <f>IFERROR(__xludf.DUMMYFUNCTION("""COMPUTED_VALUE"""),19509.0)</f>
        <v>19509</v>
      </c>
      <c r="D8611" s="42"/>
      <c r="E8611" s="42"/>
      <c r="F8611" s="48" t="str">
        <f>IFERROR(__xludf.DUMMYFUNCTION("""COMPUTED_VALUE"""),"")</f>
        <v/>
      </c>
      <c r="G8611" s="42" t="str">
        <f>IFERROR(__xludf.DUMMYFUNCTION("""COMPUTED_VALUE"""),"Balik Nama Perberian Hak Bersama")</f>
        <v>Balik Nama Perberian Hak Bersama</v>
      </c>
      <c r="H8611" s="42">
        <f t="shared" si="1"/>
        <v>3325</v>
      </c>
    </row>
    <row r="8612" ht="22.5" customHeight="1">
      <c r="B8612" s="42" t="str">
        <f>IFERROR(__xludf.DUMMYFUNCTION("""COMPUTED_VALUE"""),"L/5/241025/1")</f>
        <v>L/5/241025/1</v>
      </c>
      <c r="C8612" s="42" t="str">
        <f>IFERROR(__xludf.DUMMYFUNCTION("""COMPUTED_VALUE"""),"M. 4160/SUKADANAHAM")</f>
        <v>M. 4160/SUKADANAHAM</v>
      </c>
      <c r="D8612" s="42"/>
      <c r="E8612" s="42"/>
      <c r="F8612" s="48" t="str">
        <f>IFERROR(__xludf.DUMMYFUNCTION("""COMPUTED_VALUE"""),"")</f>
        <v/>
      </c>
      <c r="G8612" s="42" t="str">
        <f>IFERROR(__xludf.DUMMYFUNCTION("""COMPUTED_VALUE"""),"BN WARIS")</f>
        <v>BN WARIS</v>
      </c>
      <c r="H8612" s="42">
        <f t="shared" si="1"/>
        <v>3325</v>
      </c>
    </row>
    <row r="8613" ht="22.5" customHeight="1">
      <c r="B8613" s="42" t="str">
        <f>IFERROR(__xludf.DUMMYFUNCTION("""COMPUTED_VALUE"""),"K/4/241025/1")</f>
        <v>K/4/241025/1</v>
      </c>
      <c r="C8613" s="42" t="str">
        <f>IFERROR(__xludf.DUMMYFUNCTION("""COMPUTED_VALUE"""),"M. 10278/SUKABUMI")</f>
        <v>M. 10278/SUKABUMI</v>
      </c>
      <c r="D8613" s="42"/>
      <c r="E8613" s="42"/>
      <c r="F8613" s="48" t="str">
        <f>IFERROR(__xludf.DUMMYFUNCTION("""COMPUTED_VALUE"""),"")</f>
        <v/>
      </c>
      <c r="G8613" s="42" t="str">
        <f>IFERROR(__xludf.DUMMYFUNCTION("""COMPUTED_VALUE"""),"BN WARIS")</f>
        <v>BN WARIS</v>
      </c>
      <c r="H8613" s="42">
        <f t="shared" si="1"/>
        <v>3325</v>
      </c>
    </row>
    <row r="8614" ht="22.5" customHeight="1">
      <c r="B8614" s="42" t="str">
        <f>IFERROR(__xludf.DUMMYFUNCTION("""COMPUTED_VALUE"""),"K/6/241025/1")</f>
        <v>K/6/241025/1</v>
      </c>
      <c r="C8614" s="42" t="str">
        <f>IFERROR(__xludf.DUMMYFUNCTION("""COMPUTED_VALUE"""),"B. 528/BERINGIN RAYA")</f>
        <v>B. 528/BERINGIN RAYA</v>
      </c>
      <c r="D8614" s="42"/>
      <c r="E8614" s="42"/>
      <c r="F8614" s="48" t="str">
        <f>IFERROR(__xludf.DUMMYFUNCTION("""COMPUTED_VALUE"""),"")</f>
        <v/>
      </c>
      <c r="G8614" s="42" t="str">
        <f>IFERROR(__xludf.DUMMYFUNCTION("""COMPUTED_VALUE"""),"AGUSTINUS SINURAT / KARALAM DOLOKSARIBU")</f>
        <v>AGUSTINUS SINURAT / KARALAM DOLOKSARIBU</v>
      </c>
      <c r="H8614" s="42">
        <f t="shared" si="1"/>
        <v>3325</v>
      </c>
    </row>
    <row r="8615" ht="22.5" customHeight="1">
      <c r="B8615" s="42" t="str">
        <f>IFERROR(__xludf.DUMMYFUNCTION("""COMPUTED_VALUE"""),"ABDJEJBO")</f>
        <v>ABDJEJBO</v>
      </c>
      <c r="C8615" s="42" t="str">
        <f>IFERROR(__xludf.DUMMYFUNCTION("""COMPUTED_VALUE"""),"M.16318, kelurahan Sukarame")</f>
        <v>M.16318, kelurahan Sukarame</v>
      </c>
      <c r="D8615" s="42"/>
      <c r="E8615" s="42"/>
      <c r="F8615" s="48" t="str">
        <f>IFERROR(__xludf.DUMMYFUNCTION("""COMPUTED_VALUE"""),"")</f>
        <v/>
      </c>
      <c r="G8615" s="42" t="str">
        <f>IFERROR(__xludf.DUMMYFUNCTION("""COMPUTED_VALUE"""),"Roya ")</f>
        <v>Roya </v>
      </c>
      <c r="H8615" s="42">
        <f t="shared" si="1"/>
        <v>3325</v>
      </c>
    </row>
    <row r="8616" ht="22.5" customHeight="1">
      <c r="B8616" s="42" t="str">
        <f>IFERROR(__xludf.DUMMYFUNCTION("""COMPUTED_VALUE"""),"K/7/241025/1")</f>
        <v>K/7/241025/1</v>
      </c>
      <c r="C8616" s="42" t="str">
        <f>IFERROR(__xludf.DUMMYFUNCTION("""COMPUTED_VALUE"""),"M. 2057/SUMBER AGUNG")</f>
        <v>M. 2057/SUMBER AGUNG</v>
      </c>
      <c r="D8616" s="42"/>
      <c r="E8616" s="42"/>
      <c r="F8616" s="48" t="str">
        <f>IFERROR(__xludf.DUMMYFUNCTION("""COMPUTED_VALUE"""),"")</f>
        <v/>
      </c>
      <c r="G8616" s="42" t="str">
        <f>IFERROR(__xludf.DUMMYFUNCTION("""COMPUTED_VALUE"""),"BN JUAL BELI ")</f>
        <v>BN JUAL BELI </v>
      </c>
      <c r="H8616" s="42">
        <f t="shared" si="1"/>
        <v>3325</v>
      </c>
    </row>
    <row r="8617" ht="22.5" customHeight="1">
      <c r="B8617" s="42" t="str">
        <f>IFERROR(__xludf.DUMMYFUNCTION("""COMPUTED_VALUE"""),"L/9/241025/1")</f>
        <v>L/9/241025/1</v>
      </c>
      <c r="C8617" s="42" t="str">
        <f>IFERROR(__xludf.DUMMYFUNCTION("""COMPUTED_VALUE"""),"M. 12289/JAGABAYA II")</f>
        <v>M. 12289/JAGABAYA II</v>
      </c>
      <c r="D8617" s="42"/>
      <c r="E8617" s="42"/>
      <c r="F8617" s="48" t="str">
        <f>IFERROR(__xludf.DUMMYFUNCTION("""COMPUTED_VALUE"""),"")</f>
        <v/>
      </c>
      <c r="G8617" s="42" t="str">
        <f>IFERROR(__xludf.DUMMYFUNCTION("""COMPUTED_VALUE"""),"BN HIBAH")</f>
        <v>BN HIBAH</v>
      </c>
      <c r="H8617" s="42">
        <f t="shared" si="1"/>
        <v>3325</v>
      </c>
    </row>
    <row r="8618" ht="22.5" customHeight="1">
      <c r="B8618" s="42" t="str">
        <f>IFERROR(__xludf.DUMMYFUNCTION("""COMPUTED_VALUE"""),"ABHVUYUK")</f>
        <v>ABHVUYUK</v>
      </c>
      <c r="C8618" s="42" t="str">
        <f>IFERROR(__xludf.DUMMYFUNCTION("""COMPUTED_VALUE"""),"M 3201/ Sukarame Baru")</f>
        <v>M 3201/ Sukarame Baru</v>
      </c>
      <c r="D8618" s="42"/>
      <c r="E8618" s="42"/>
      <c r="F8618" s="48" t="str">
        <f>IFERROR(__xludf.DUMMYFUNCTION("""COMPUTED_VALUE"""),"")</f>
        <v/>
      </c>
      <c r="G8618" s="42" t="str">
        <f>IFERROR(__xludf.DUMMYFUNCTION("""COMPUTED_VALUE"""),"bn Waris")</f>
        <v>bn Waris</v>
      </c>
      <c r="H8618" s="42">
        <f t="shared" si="1"/>
        <v>3325</v>
      </c>
    </row>
    <row r="8619" ht="22.5" customHeight="1">
      <c r="B8619" s="42" t="str">
        <f>IFERROR(__xludf.DUMMYFUNCTION("""COMPUTED_VALUE"""),"L/10/241025/1")</f>
        <v>L/10/241025/1</v>
      </c>
      <c r="C8619" s="42" t="str">
        <f>IFERROR(__xludf.DUMMYFUNCTION("""COMPUTED_VALUE"""),"M. 1212/LANGKAPURA")</f>
        <v>M. 1212/LANGKAPURA</v>
      </c>
      <c r="D8619" s="42"/>
      <c r="E8619" s="42"/>
      <c r="F8619" s="48" t="str">
        <f>IFERROR(__xludf.DUMMYFUNCTION("""COMPUTED_VALUE"""),"")</f>
        <v/>
      </c>
      <c r="G8619" s="42" t="str">
        <f>IFERROR(__xludf.DUMMYFUNCTION("""COMPUTED_VALUE"""),"BN WARIS")</f>
        <v>BN WARIS</v>
      </c>
      <c r="H8619" s="42">
        <f t="shared" si="1"/>
        <v>3325</v>
      </c>
    </row>
    <row r="8620" ht="22.5" customHeight="1">
      <c r="B8620" s="42" t="str">
        <f>IFERROR(__xludf.DUMMYFUNCTION("""COMPUTED_VALUE"""),"L/1/251025/1")</f>
        <v>L/1/251025/1</v>
      </c>
      <c r="C8620" s="42" t="str">
        <f>IFERROR(__xludf.DUMMYFUNCTION("""COMPUTED_VALUE"""),"B. 659/TANJUNG SENANG")</f>
        <v>B. 659/TANJUNG SENANG</v>
      </c>
      <c r="D8620" s="42"/>
      <c r="E8620" s="42"/>
      <c r="F8620" s="48" t="str">
        <f>IFERROR(__xludf.DUMMYFUNCTION("""COMPUTED_VALUE"""),"")</f>
        <v/>
      </c>
      <c r="G8620" s="42" t="str">
        <f>IFERROR(__xludf.DUMMYFUNCTION("""COMPUTED_VALUE"""),"PENGUKURAN HGB MATI")</f>
        <v>PENGUKURAN HGB MATI</v>
      </c>
      <c r="H8620" s="42">
        <f t="shared" si="1"/>
        <v>3325</v>
      </c>
    </row>
    <row r="8621" ht="22.5" customHeight="1">
      <c r="B8621" s="42" t="str">
        <f>IFERROR(__xludf.DUMMYFUNCTION("""COMPUTED_VALUE"""),"L/2/251025/1")</f>
        <v>L/2/251025/1</v>
      </c>
      <c r="C8621" s="42" t="str">
        <f>IFERROR(__xludf.DUMMYFUNCTION("""COMPUTED_VALUE"""),"B. 670/TANJUNG SENENG")</f>
        <v>B. 670/TANJUNG SENENG</v>
      </c>
      <c r="D8621" s="42"/>
      <c r="E8621" s="42"/>
      <c r="F8621" s="48" t="str">
        <f>IFERROR(__xludf.DUMMYFUNCTION("""COMPUTED_VALUE"""),"")</f>
        <v/>
      </c>
      <c r="G8621" s="42" t="str">
        <f>IFERROR(__xludf.DUMMYFUNCTION("""COMPUTED_VALUE"""),"PENGUKURAN HGB MATI")</f>
        <v>PENGUKURAN HGB MATI</v>
      </c>
      <c r="H8621" s="42">
        <f t="shared" si="1"/>
        <v>3325</v>
      </c>
    </row>
    <row r="8622" ht="22.5" customHeight="1">
      <c r="B8622" s="42" t="str">
        <f>IFERROR(__xludf.DUMMYFUNCTION("""COMPUTED_VALUE"""),"L/3/251025/1")</f>
        <v>L/3/251025/1</v>
      </c>
      <c r="C8622" s="42" t="str">
        <f>IFERROR(__xludf.DUMMYFUNCTION("""COMPUTED_VALUE"""),"M. 13894/TANJUNG BARU")</f>
        <v>M. 13894/TANJUNG BARU</v>
      </c>
      <c r="D8622" s="42"/>
      <c r="E8622" s="42"/>
      <c r="F8622" s="48" t="str">
        <f>IFERROR(__xludf.DUMMYFUNCTION("""COMPUTED_VALUE"""),"")</f>
        <v/>
      </c>
      <c r="G8622" s="42" t="str">
        <f>IFERROR(__xludf.DUMMYFUNCTION("""COMPUTED_VALUE"""),"PTPGT PEMECAHAN")</f>
        <v>PTPGT PEMECAHAN</v>
      </c>
      <c r="H8622" s="42">
        <f t="shared" si="1"/>
        <v>3325</v>
      </c>
    </row>
    <row r="8623" ht="22.5" customHeight="1">
      <c r="B8623" s="42" t="str">
        <f>IFERROR(__xludf.DUMMYFUNCTION("""COMPUTED_VALUE"""),"L/4/251025/1")</f>
        <v>L/4/251025/1</v>
      </c>
      <c r="C8623" s="42" t="str">
        <f>IFERROR(__xludf.DUMMYFUNCTION("""COMPUTED_VALUE"""),"M NIB. 17700/SUKABUMI")</f>
        <v>M NIB. 17700/SUKABUMI</v>
      </c>
      <c r="D8623" s="42"/>
      <c r="E8623" s="42"/>
      <c r="F8623" s="48" t="str">
        <f>IFERROR(__xludf.DUMMYFUNCTION("""COMPUTED_VALUE"""),"")</f>
        <v/>
      </c>
      <c r="G8623" s="42" t="str">
        <f>IFERROR(__xludf.DUMMYFUNCTION("""COMPUTED_VALUE"""),"PTPGT PEMECAHAN")</f>
        <v>PTPGT PEMECAHAN</v>
      </c>
      <c r="H8623" s="42">
        <f t="shared" si="1"/>
        <v>3325</v>
      </c>
    </row>
    <row r="8624" ht="22.5" customHeight="1">
      <c r="B8624" s="42" t="str">
        <f>IFERROR(__xludf.DUMMYFUNCTION("""COMPUTED_VALUE"""),"L/1/271025/1")</f>
        <v>L/1/271025/1</v>
      </c>
      <c r="C8624" s="42" t="str">
        <f>IFERROR(__xludf.DUMMYFUNCTION("""COMPUTED_VALUE"""),"M. 2330/KALIAWI")</f>
        <v>M. 2330/KALIAWI</v>
      </c>
      <c r="D8624" s="42"/>
      <c r="E8624" s="42"/>
      <c r="F8624" s="48" t="str">
        <f>IFERROR(__xludf.DUMMYFUNCTION("""COMPUTED_VALUE"""),"")</f>
        <v/>
      </c>
      <c r="G8624" s="42" t="str">
        <f>IFERROR(__xludf.DUMMYFUNCTION("""COMPUTED_VALUE"""),"ROYA LELANG")</f>
        <v>ROYA LELANG</v>
      </c>
      <c r="H8624" s="42">
        <f t="shared" si="1"/>
        <v>3325</v>
      </c>
    </row>
    <row r="8625" ht="22.5" customHeight="1">
      <c r="B8625" s="42" t="str">
        <f>IFERROR(__xludf.DUMMYFUNCTION("""COMPUTED_VALUE"""),"ABOXMUXY/AB014")</f>
        <v>ABOXMUXY/AB014</v>
      </c>
      <c r="C8625" s="42" t="str">
        <f>IFERROR(__xludf.DUMMYFUNCTION("""COMPUTED_VALUE"""),"M. 2011/Gedong Air")</f>
        <v>M. 2011/Gedong Air</v>
      </c>
      <c r="D8625" s="42"/>
      <c r="E8625" s="42"/>
      <c r="F8625" s="48" t="str">
        <f>IFERROR(__xludf.DUMMYFUNCTION("""COMPUTED_VALUE"""),"")</f>
        <v/>
      </c>
      <c r="G8625" s="42" t="str">
        <f>IFERROR(__xludf.DUMMYFUNCTION("""COMPUTED_VALUE"""),"BN JUAL BELI ")</f>
        <v>BN JUAL BELI </v>
      </c>
      <c r="H8625" s="42">
        <f t="shared" si="1"/>
        <v>3325</v>
      </c>
    </row>
    <row r="8626" ht="22.5" customHeight="1">
      <c r="B8626" s="42" t="str">
        <f>IFERROR(__xludf.DUMMYFUNCTION("""COMPUTED_VALUE"""),"ABLGFNKD")</f>
        <v>ABLGFNKD</v>
      </c>
      <c r="C8626" s="42" t="str">
        <f>IFERROR(__xludf.DUMMYFUNCTION("""COMPUTED_VALUE"""),"603/K.B.K")</f>
        <v>603/K.B.K</v>
      </c>
      <c r="D8626" s="42"/>
      <c r="E8626" s="42"/>
      <c r="F8626" s="48" t="str">
        <f>IFERROR(__xludf.DUMMYFUNCTION("""COMPUTED_VALUE"""),"")</f>
        <v/>
      </c>
      <c r="G8626" s="42" t="str">
        <f>IFERROR(__xludf.DUMMYFUNCTION("""COMPUTED_VALUE"""),"BN JUAL BELI ")</f>
        <v>BN JUAL BELI </v>
      </c>
      <c r="H8626" s="42">
        <f t="shared" si="1"/>
        <v>3325</v>
      </c>
    </row>
    <row r="8627" ht="22.5" customHeight="1">
      <c r="B8627" s="42" t="str">
        <f>IFERROR(__xludf.DUMMYFUNCTION("""COMPUTED_VALUE"""),"L/2/271025/1")</f>
        <v>L/2/271025/1</v>
      </c>
      <c r="C8627" s="42" t="str">
        <f>IFERROR(__xludf.DUMMYFUNCTION("""COMPUTED_VALUE"""),"B NIB. 16644/SUKABUMI INDAH")</f>
        <v>B NIB. 16644/SUKABUMI INDAH</v>
      </c>
      <c r="D8627" s="42"/>
      <c r="E8627" s="42"/>
      <c r="F8627" s="48" t="str">
        <f>IFERROR(__xludf.DUMMYFUNCTION("""COMPUTED_VALUE"""),"")</f>
        <v/>
      </c>
      <c r="G8627" s="42" t="str">
        <f>IFERROR(__xludf.DUMMYFUNCTION("""COMPUTED_VALUE"""),"PENINGKATAN HAK")</f>
        <v>PENINGKATAN HAK</v>
      </c>
      <c r="H8627" s="42">
        <f t="shared" si="1"/>
        <v>3325</v>
      </c>
    </row>
    <row r="8628" ht="22.5" customHeight="1">
      <c r="B8628" s="42" t="str">
        <f>IFERROR(__xludf.DUMMYFUNCTION("""COMPUTED_VALUE"""),"ABMQLZIV")</f>
        <v>ABMQLZIV</v>
      </c>
      <c r="C8628" s="42" t="str">
        <f>IFERROR(__xludf.DUMMYFUNCTION("""COMPUTED_VALUE"""),"1282/Prm")</f>
        <v>1282/Prm</v>
      </c>
      <c r="D8628" s="42"/>
      <c r="E8628" s="42"/>
      <c r="F8628" s="48" t="str">
        <f>IFERROR(__xludf.DUMMYFUNCTION("""COMPUTED_VALUE"""),"")</f>
        <v/>
      </c>
      <c r="G8628" s="42" t="str">
        <f>IFERROR(__xludf.DUMMYFUNCTION("""COMPUTED_VALUE"""),"BN JUAL BELI ")</f>
        <v>BN JUAL BELI </v>
      </c>
      <c r="H8628" s="42">
        <f t="shared" si="1"/>
        <v>3325</v>
      </c>
    </row>
    <row r="8629" ht="22.5" customHeight="1">
      <c r="B8629" s="42" t="str">
        <f>IFERROR(__xludf.DUMMYFUNCTION("""COMPUTED_VALUE"""),"ABAEDJBG/AB026")</f>
        <v>ABAEDJBG/AB026</v>
      </c>
      <c r="C8629" s="42" t="str">
        <f>IFERROR(__xludf.DUMMYFUNCTION("""COMPUTED_VALUE"""),"M.1897/Kota Karang")</f>
        <v>M.1897/Kota Karang</v>
      </c>
      <c r="D8629" s="42"/>
      <c r="E8629" s="42"/>
      <c r="F8629" s="48" t="str">
        <f>IFERROR(__xludf.DUMMYFUNCTION("""COMPUTED_VALUE"""),"")</f>
        <v/>
      </c>
      <c r="G8629" s="42" t="str">
        <f>IFERROR(__xludf.DUMMYFUNCTION("""COMPUTED_VALUE"""),"Ganti Kecamatan")</f>
        <v>Ganti Kecamatan</v>
      </c>
      <c r="H8629" s="42">
        <f t="shared" si="1"/>
        <v>3325</v>
      </c>
    </row>
    <row r="8630" ht="22.5" customHeight="1">
      <c r="B8630" s="42" t="str">
        <f>IFERROR(__xludf.DUMMYFUNCTION("""COMPUTED_VALUE"""),"ABEDQDJP/AB026")</f>
        <v>ABEDQDJP/AB026</v>
      </c>
      <c r="C8630" s="42" t="str">
        <f>IFERROR(__xludf.DUMMYFUNCTION("""COMPUTED_VALUE"""),"SHGB. 465/S.M/Sukamaju ")</f>
        <v>SHGB. 465/S.M/Sukamaju </v>
      </c>
      <c r="D8630" s="42"/>
      <c r="E8630" s="42"/>
      <c r="F8630" s="48" t="str">
        <f>IFERROR(__xludf.DUMMYFUNCTION("""COMPUTED_VALUE"""),"")</f>
        <v/>
      </c>
      <c r="G8630" s="42" t="str">
        <f>IFERROR(__xludf.DUMMYFUNCTION("""COMPUTED_VALUE"""),"Ganti Kecamatan")</f>
        <v>Ganti Kecamatan</v>
      </c>
      <c r="H8630" s="42">
        <f t="shared" si="1"/>
        <v>3325</v>
      </c>
    </row>
    <row r="8631" ht="22.5" customHeight="1">
      <c r="B8631" s="42" t="str">
        <f>IFERROR(__xludf.DUMMYFUNCTION("""COMPUTED_VALUE"""),"ABJMMSHZ/AB025")</f>
        <v>ABJMMSHZ/AB025</v>
      </c>
      <c r="C8631" s="42" t="str">
        <f>IFERROR(__xludf.DUMMYFUNCTION("""COMPUTED_VALUE"""),"M.Nibel 19377/Sukarame Baru")</f>
        <v>M.Nibel 19377/Sukarame Baru</v>
      </c>
      <c r="D8631" s="42"/>
      <c r="E8631" s="42"/>
      <c r="F8631" s="48" t="str">
        <f>IFERROR(__xludf.DUMMYFUNCTION("""COMPUTED_VALUE"""),"")</f>
        <v/>
      </c>
      <c r="G8631" s="42" t="str">
        <f>IFERROR(__xludf.DUMMYFUNCTION("""COMPUTED_VALUE"""),"BN JUAL BELI")</f>
        <v>BN JUAL BELI</v>
      </c>
      <c r="H8631" s="42">
        <f t="shared" si="1"/>
        <v>3325</v>
      </c>
    </row>
    <row r="8632" ht="22.5" customHeight="1">
      <c r="B8632" s="42" t="str">
        <f>IFERROR(__xludf.DUMMYFUNCTION("""COMPUTED_VALUE"""),"ABSKDWVH")</f>
        <v>ABSKDWVH</v>
      </c>
      <c r="C8632" s="42" t="str">
        <f>IFERROR(__xludf.DUMMYFUNCTION("""COMPUTED_VALUE"""),"NIBEL M 24303/ sukabumi indah")</f>
        <v>NIBEL M 24303/ sukabumi indah</v>
      </c>
      <c r="D8632" s="42"/>
      <c r="E8632" s="42"/>
      <c r="F8632" s="48" t="str">
        <f>IFERROR(__xludf.DUMMYFUNCTION("""COMPUTED_VALUE"""),"")</f>
        <v/>
      </c>
      <c r="G8632" s="42" t="str">
        <f>IFERROR(__xludf.DUMMYFUNCTION("""COMPUTED_VALUE"""),"BN JUAL BELI")</f>
        <v>BN JUAL BELI</v>
      </c>
      <c r="H8632" s="42">
        <f t="shared" si="1"/>
        <v>3325</v>
      </c>
    </row>
    <row r="8633" ht="22.5" customHeight="1">
      <c r="B8633" s="42" t="str">
        <f>IFERROR(__xludf.DUMMYFUNCTION("""COMPUTED_VALUE"""),"ABBWULWP")</f>
        <v>ABBWULWP</v>
      </c>
      <c r="C8633" s="42" t="str">
        <f>IFERROR(__xludf.DUMMYFUNCTION("""COMPUTED_VALUE"""),"M 2185/ LABUHAN RATU RAYA")</f>
        <v>M 2185/ LABUHAN RATU RAYA</v>
      </c>
      <c r="D8633" s="42"/>
      <c r="E8633" s="42"/>
      <c r="F8633" s="48" t="str">
        <f>IFERROR(__xludf.DUMMYFUNCTION("""COMPUTED_VALUE"""),"")</f>
        <v/>
      </c>
      <c r="G8633" s="42" t="str">
        <f>IFERROR(__xludf.DUMMYFUNCTION("""COMPUTED_VALUE"""),"BN JUAL BELI")</f>
        <v>BN JUAL BELI</v>
      </c>
      <c r="H8633" s="42">
        <f t="shared" si="1"/>
        <v>3325</v>
      </c>
    </row>
    <row r="8634" ht="22.5" customHeight="1">
      <c r="B8634" s="42" t="str">
        <f>IFERROR(__xludf.DUMMYFUNCTION("""COMPUTED_VALUE"""),"ABZFMLQIL/AB030")</f>
        <v>ABZFMLQIL/AB030</v>
      </c>
      <c r="C8634" s="42" t="str">
        <f>IFERROR(__xludf.DUMMYFUNCTION("""COMPUTED_VALUE"""),"M. 1152/korpri Jaya")</f>
        <v>M. 1152/korpri Jaya</v>
      </c>
      <c r="D8634" s="42"/>
      <c r="E8634" s="42"/>
      <c r="F8634" s="48" t="str">
        <f>IFERROR(__xludf.DUMMYFUNCTION("""COMPUTED_VALUE"""),"")</f>
        <v/>
      </c>
      <c r="G8634" s="42" t="str">
        <f>IFERROR(__xludf.DUMMYFUNCTION("""COMPUTED_VALUE"""),"BN JUAL BELI")</f>
        <v>BN JUAL BELI</v>
      </c>
      <c r="H8634" s="42">
        <f t="shared" si="1"/>
        <v>3325</v>
      </c>
    </row>
    <row r="8635" ht="22.5" customHeight="1">
      <c r="B8635" s="42" t="str">
        <f>IFERROR(__xludf.DUMMYFUNCTION("""COMPUTED_VALUE"""),"L/3/271025/1")</f>
        <v>L/3/271025/1</v>
      </c>
      <c r="C8635" s="42" t="str">
        <f>IFERROR(__xludf.DUMMYFUNCTION("""COMPUTED_VALUE"""),"B. 1232/SUKABUMI INDAH")</f>
        <v>B. 1232/SUKABUMI INDAH</v>
      </c>
      <c r="D8635" s="42"/>
      <c r="E8635" s="42"/>
      <c r="F8635" s="48" t="str">
        <f>IFERROR(__xludf.DUMMYFUNCTION("""COMPUTED_VALUE"""),"")</f>
        <v/>
      </c>
      <c r="G8635" s="42" t="str">
        <f>IFERROR(__xludf.DUMMYFUNCTION("""COMPUTED_VALUE"""),"PENINGKATAN HAK")</f>
        <v>PENINGKATAN HAK</v>
      </c>
      <c r="H8635" s="42">
        <f t="shared" si="1"/>
        <v>3325</v>
      </c>
    </row>
    <row r="8636" ht="22.5" customHeight="1">
      <c r="B8636" s="42" t="str">
        <f>IFERROR(__xludf.DUMMYFUNCTION("""COMPUTED_VALUE"""),"ABEVNACP/AB040")</f>
        <v>ABEVNACP/AB040</v>
      </c>
      <c r="C8636" s="42" t="str">
        <f>IFERROR(__xludf.DUMMYFUNCTION("""COMPUTED_VALUE"""),"M. 223/Sukarame Baru")</f>
        <v>M. 223/Sukarame Baru</v>
      </c>
      <c r="D8636" s="42"/>
      <c r="E8636" s="42"/>
      <c r="F8636" s="48" t="str">
        <f>IFERROR(__xludf.DUMMYFUNCTION("""COMPUTED_VALUE"""),"")</f>
        <v/>
      </c>
      <c r="G8636" s="42" t="str">
        <f>IFERROR(__xludf.DUMMYFUNCTION("""COMPUTED_VALUE"""),"BN JUAL BELI")</f>
        <v>BN JUAL BELI</v>
      </c>
      <c r="H8636" s="42">
        <f t="shared" si="1"/>
        <v>3325</v>
      </c>
    </row>
    <row r="8637" ht="22.5" customHeight="1">
      <c r="B8637" s="42" t="str">
        <f>IFERROR(__xludf.DUMMYFUNCTION("""COMPUTED_VALUE"""),"ABKZRMOY")</f>
        <v>ABKZRMOY</v>
      </c>
      <c r="C8637" s="42" t="str">
        <f>IFERROR(__xludf.DUMMYFUNCTION("""COMPUTED_VALUE"""),"M 3695/nusantara permai")</f>
        <v>M 3695/nusantara permai</v>
      </c>
      <c r="D8637" s="42"/>
      <c r="E8637" s="42"/>
      <c r="F8637" s="48" t="str">
        <f>IFERROR(__xludf.DUMMYFUNCTION("""COMPUTED_VALUE"""),"")</f>
        <v/>
      </c>
      <c r="G8637" s="42" t="str">
        <f>IFERROR(__xludf.DUMMYFUNCTION("""COMPUTED_VALUE"""),"Balik nama hibah")</f>
        <v>Balik nama hibah</v>
      </c>
      <c r="H8637" s="42">
        <f t="shared" si="1"/>
        <v>3325</v>
      </c>
    </row>
    <row r="8638" ht="22.5" customHeight="1">
      <c r="B8638" s="42" t="str">
        <f>IFERROR(__xludf.DUMMYFUNCTION("""COMPUTED_VALUE"""),"ABXERFTB/AB45")</f>
        <v>ABXERFTB/AB45</v>
      </c>
      <c r="C8638" s="42" t="str">
        <f>IFERROR(__xludf.DUMMYFUNCTION("""COMPUTED_VALUE"""),"M. 2381/pinang jaya")</f>
        <v>M. 2381/pinang jaya</v>
      </c>
      <c r="D8638" s="42"/>
      <c r="E8638" s="42"/>
      <c r="F8638" s="48" t="str">
        <f>IFERROR(__xludf.DUMMYFUNCTION("""COMPUTED_VALUE"""),"")</f>
        <v/>
      </c>
      <c r="G8638" s="42" t="str">
        <f>IFERROR(__xludf.DUMMYFUNCTION("""COMPUTED_VALUE"""),"BN JUAL BELI ")</f>
        <v>BN JUAL BELI </v>
      </c>
      <c r="H8638" s="42">
        <f t="shared" si="1"/>
        <v>3325</v>
      </c>
    </row>
    <row r="8639" ht="22.5" customHeight="1">
      <c r="B8639" s="42" t="str">
        <f>IFERROR(__xludf.DUMMYFUNCTION("""COMPUTED_VALUE"""),"ABNXPHGE/AB45")</f>
        <v>ABNXPHGE/AB45</v>
      </c>
      <c r="C8639" s="42" t="str">
        <f>IFERROR(__xludf.DUMMYFUNCTION("""COMPUTED_VALUE"""),"M. 2382/pinang jaya")</f>
        <v>M. 2382/pinang jaya</v>
      </c>
      <c r="D8639" s="42"/>
      <c r="E8639" s="42"/>
      <c r="F8639" s="48" t="str">
        <f>IFERROR(__xludf.DUMMYFUNCTION("""COMPUTED_VALUE"""),"")</f>
        <v/>
      </c>
      <c r="G8639" s="42" t="str">
        <f>IFERROR(__xludf.DUMMYFUNCTION("""COMPUTED_VALUE"""),"BN JUAL BELI ")</f>
        <v>BN JUAL BELI </v>
      </c>
      <c r="H8639" s="42">
        <f t="shared" si="1"/>
        <v>3325</v>
      </c>
    </row>
    <row r="8640" ht="22.5" customHeight="1">
      <c r="B8640" s="42" t="str">
        <f>IFERROR(__xludf.DUMMYFUNCTION("""COMPUTED_VALUE"""),"ABENZNVC/AB45")</f>
        <v>ABENZNVC/AB45</v>
      </c>
      <c r="C8640" s="42" t="str">
        <f>IFERROR(__xludf.DUMMYFUNCTION("""COMPUTED_VALUE"""),"M. Nibel 10969/rajabasa jaya")</f>
        <v>M. Nibel 10969/rajabasa jaya</v>
      </c>
      <c r="D8640" s="42"/>
      <c r="E8640" s="42"/>
      <c r="F8640" s="48" t="str">
        <f>IFERROR(__xludf.DUMMYFUNCTION("""COMPUTED_VALUE"""),"")</f>
        <v/>
      </c>
      <c r="G8640" s="42" t="str">
        <f>IFERROR(__xludf.DUMMYFUNCTION("""COMPUTED_VALUE"""),"BN JUAL BELI ")</f>
        <v>BN JUAL BELI </v>
      </c>
      <c r="H8640" s="42">
        <f t="shared" si="1"/>
        <v>3325</v>
      </c>
    </row>
    <row r="8641" ht="22.5" customHeight="1">
      <c r="B8641" s="42" t="str">
        <f>IFERROR(__xludf.DUMMYFUNCTION("""COMPUTED_VALUE"""),"ABWXYMQK/AB45")</f>
        <v>ABWXYMQK/AB45</v>
      </c>
      <c r="C8641" s="42" t="str">
        <f>IFERROR(__xludf.DUMMYFUNCTION("""COMPUTED_VALUE"""),"M Nibel 16692.0/pematang wangi")</f>
        <v>M Nibel 16692.0/pematang wangi</v>
      </c>
      <c r="D8641" s="42"/>
      <c r="E8641" s="42"/>
      <c r="F8641" s="48" t="str">
        <f>IFERROR(__xludf.DUMMYFUNCTION("""COMPUTED_VALUE"""),"")</f>
        <v/>
      </c>
      <c r="G8641" s="42" t="str">
        <f>IFERROR(__xludf.DUMMYFUNCTION("""COMPUTED_VALUE"""),"BN JUAL BELI ")</f>
        <v>BN JUAL BELI </v>
      </c>
      <c r="H8641" s="42">
        <f t="shared" si="1"/>
        <v>3325</v>
      </c>
    </row>
    <row r="8642" ht="22.5" customHeight="1">
      <c r="B8642" s="42" t="str">
        <f>IFERROR(__xludf.DUMMYFUNCTION("""COMPUTED_VALUE"""),"ABJAQJVQ/AB45")</f>
        <v>ABJAQJVQ/AB45</v>
      </c>
      <c r="C8642" s="42" t="str">
        <f>IFERROR(__xludf.DUMMYFUNCTION("""COMPUTED_VALUE"""),"M. Nibel 3088.1/pinang jaya")</f>
        <v>M. Nibel 3088.1/pinang jaya</v>
      </c>
      <c r="D8642" s="42"/>
      <c r="E8642" s="42"/>
      <c r="F8642" s="48" t="str">
        <f>IFERROR(__xludf.DUMMYFUNCTION("""COMPUTED_VALUE"""),"")</f>
        <v/>
      </c>
      <c r="G8642" s="42" t="str">
        <f>IFERROR(__xludf.DUMMYFUNCTION("""COMPUTED_VALUE"""),"BN JUAL BELI ")</f>
        <v>BN JUAL BELI </v>
      </c>
      <c r="H8642" s="42">
        <f t="shared" si="1"/>
        <v>3325</v>
      </c>
    </row>
    <row r="8643" ht="22.5" customHeight="1">
      <c r="B8643" s="42" t="str">
        <f>IFERROR(__xludf.DUMMYFUNCTION("""COMPUTED_VALUE"""),"ABVYYWYS")</f>
        <v>ABVYYWYS</v>
      </c>
      <c r="C8643" s="42" t="str">
        <f>IFERROR(__xludf.DUMMYFUNCTION("""COMPUTED_VALUE"""),"Hgb 00582, Kel. Sumber Agung")</f>
        <v>Hgb 00582, Kel. Sumber Agung</v>
      </c>
      <c r="D8643" s="42"/>
      <c r="E8643" s="42"/>
      <c r="F8643" s="48" t="str">
        <f>IFERROR(__xludf.DUMMYFUNCTION("""COMPUTED_VALUE"""),"")</f>
        <v/>
      </c>
      <c r="G8643" s="42" t="str">
        <f>IFERROR(__xludf.DUMMYFUNCTION("""COMPUTED_VALUE"""),"Balik Nama")</f>
        <v>Balik Nama</v>
      </c>
      <c r="H8643" s="42">
        <f t="shared" si="1"/>
        <v>3325</v>
      </c>
    </row>
    <row r="8644" ht="22.5" customHeight="1">
      <c r="B8644" s="42" t="str">
        <f>IFERROR(__xludf.DUMMYFUNCTION("""COMPUTED_VALUE"""),"ABXJGTPI")</f>
        <v>ABXJGTPI</v>
      </c>
      <c r="C8644" s="42" t="str">
        <f>IFERROR(__xludf.DUMMYFUNCTION("""COMPUTED_VALUE"""),"HM 02148/  KETEGUHAN")</f>
        <v>HM 02148/  KETEGUHAN</v>
      </c>
      <c r="D8644" s="42"/>
      <c r="E8644" s="42"/>
      <c r="F8644" s="48" t="str">
        <f>IFERROR(__xludf.DUMMYFUNCTION("""COMPUTED_VALUE"""),"")</f>
        <v/>
      </c>
      <c r="G8644" s="42" t="str">
        <f>IFERROR(__xludf.DUMMYFUNCTION("""COMPUTED_VALUE"""),"Roya sertifikat ")</f>
        <v>Roya sertifikat </v>
      </c>
      <c r="H8644" s="42">
        <f t="shared" si="1"/>
        <v>3325</v>
      </c>
    </row>
    <row r="8645" ht="22.5" customHeight="1">
      <c r="B8645" s="42" t="str">
        <f>IFERROR(__xludf.DUMMYFUNCTION("""COMPUTED_VALUE"""),"K/34/091025/3")</f>
        <v>K/34/091025/3</v>
      </c>
      <c r="C8645" s="42" t="str">
        <f>IFERROR(__xludf.DUMMYFUNCTION("""COMPUTED_VALUE"""),"M. 1513/Kangkung")</f>
        <v>M. 1513/Kangkung</v>
      </c>
      <c r="D8645" s="42"/>
      <c r="E8645" s="42"/>
      <c r="F8645" s="48" t="str">
        <f>IFERROR(__xludf.DUMMYFUNCTION("""COMPUTED_VALUE"""),"")</f>
        <v/>
      </c>
      <c r="G8645" s="42" t="str">
        <f>IFERROR(__xludf.DUMMYFUNCTION("""COMPUTED_VALUE"""),"Roya")</f>
        <v>Roya</v>
      </c>
      <c r="H8645" s="42">
        <f t="shared" si="1"/>
        <v>3325</v>
      </c>
    </row>
    <row r="8646" ht="22.5" customHeight="1">
      <c r="B8646" s="42" t="str">
        <f>IFERROR(__xludf.DUMMYFUNCTION("""COMPUTED_VALUE"""),"K/4/271025/1")</f>
        <v>K/4/271025/1</v>
      </c>
      <c r="C8646" s="42" t="str">
        <f>IFERROR(__xludf.DUMMYFUNCTION("""COMPUTED_VALUE"""),"M.9176/SIDODADI")</f>
        <v>M.9176/SIDODADI</v>
      </c>
      <c r="D8646" s="42" t="str">
        <f>IFERROR(__xludf.DUMMYFUNCTION("""COMPUTED_VALUE"""),"Berry")</f>
        <v>Berry</v>
      </c>
      <c r="E8646" s="42" t="str">
        <f>IFERROR(__xludf.DUMMYFUNCTION("""COMPUTED_VALUE"""),"DISERAHKAN")</f>
        <v>DISERAHKAN</v>
      </c>
      <c r="F8646" s="48">
        <f>IFERROR(__xludf.DUMMYFUNCTION("""COMPUTED_VALUE"""),46020.655099641204)</f>
        <v>46020.6551</v>
      </c>
      <c r="G8646" s="42" t="str">
        <f>IFERROR(__xludf.DUMMYFUNCTION("""COMPUTED_VALUE"""),"KEWARISAN")</f>
        <v>KEWARISAN</v>
      </c>
      <c r="H8646" s="42">
        <f t="shared" si="1"/>
        <v>3326</v>
      </c>
    </row>
    <row r="8647" ht="22.5" customHeight="1">
      <c r="B8647" s="42" t="str">
        <f>IFERROR(__xludf.DUMMYFUNCTION("""COMPUTED_VALUE"""),"K/5/271025/1")</f>
        <v>K/5/271025/1</v>
      </c>
      <c r="C8647" s="42" t="str">
        <f>IFERROR(__xludf.DUMMYFUNCTION("""COMPUTED_VALUE"""),"M.106/PENENGAHAN")</f>
        <v>M.106/PENENGAHAN</v>
      </c>
      <c r="D8647" s="42"/>
      <c r="E8647" s="42"/>
      <c r="F8647" s="48" t="str">
        <f>IFERROR(__xludf.DUMMYFUNCTION("""COMPUTED_VALUE"""),"")</f>
        <v/>
      </c>
      <c r="G8647" s="42" t="str">
        <f>IFERROR(__xludf.DUMMYFUNCTION("""COMPUTED_VALUE"""),"SKPT LELANG")</f>
        <v>SKPT LELANG</v>
      </c>
      <c r="H8647" s="42">
        <f t="shared" si="1"/>
        <v>3326</v>
      </c>
    </row>
    <row r="8648" ht="22.5" customHeight="1">
      <c r="B8648" s="42" t="str">
        <f>IFERROR(__xludf.DUMMYFUNCTION("""COMPUTED_VALUE"""),"K/6/271025/1")</f>
        <v>K/6/271025/1</v>
      </c>
      <c r="C8648" s="42" t="str">
        <f>IFERROR(__xludf.DUMMYFUNCTION("""COMPUTED_VALUE"""),"WAY KANDIS 081379221789")</f>
        <v>WAY KANDIS 081379221789</v>
      </c>
      <c r="D8648" s="42"/>
      <c r="E8648" s="42"/>
      <c r="F8648" s="48" t="str">
        <f>IFERROR(__xludf.DUMMYFUNCTION("""COMPUTED_VALUE"""),"")</f>
        <v/>
      </c>
      <c r="G8648" s="42" t="str">
        <f>IFERROR(__xludf.DUMMYFUNCTION("""COMPUTED_VALUE"""),"PENGUKURAN TANAH MENTAH")</f>
        <v>PENGUKURAN TANAH MENTAH</v>
      </c>
      <c r="H8648" s="42">
        <f t="shared" si="1"/>
        <v>3326</v>
      </c>
    </row>
    <row r="8649" ht="22.5" customHeight="1">
      <c r="B8649" s="42" t="str">
        <f>IFERROR(__xludf.DUMMYFUNCTION("""COMPUTED_VALUE"""),"K/7/271025/2")</f>
        <v>K/7/271025/2</v>
      </c>
      <c r="C8649" s="42" t="str">
        <f>IFERROR(__xludf.DUMMYFUNCTION("""COMPUTED_VALUE"""),"WAY KANDIS 081379221789")</f>
        <v>WAY KANDIS 081379221789</v>
      </c>
      <c r="D8649" s="42"/>
      <c r="E8649" s="42"/>
      <c r="F8649" s="48" t="str">
        <f>IFERROR(__xludf.DUMMYFUNCTION("""COMPUTED_VALUE"""),"")</f>
        <v/>
      </c>
      <c r="G8649" s="42" t="str">
        <f>IFERROR(__xludf.DUMMYFUNCTION("""COMPUTED_VALUE"""),"PENGUKURAN TANAH MENTAH")</f>
        <v>PENGUKURAN TANAH MENTAH</v>
      </c>
      <c r="H8649" s="42">
        <f t="shared" si="1"/>
        <v>3326</v>
      </c>
    </row>
    <row r="8650" ht="22.5" customHeight="1">
      <c r="B8650" s="42" t="str">
        <f>IFERROR(__xludf.DUMMYFUNCTION("""COMPUTED_VALUE"""),"ABXBKGJD")</f>
        <v>ABXBKGJD</v>
      </c>
      <c r="C8650" s="42" t="str">
        <f>IFERROR(__xludf.DUMMYFUNCTION("""COMPUTED_VALUE"""),"M. 1792/Bumi Waras")</f>
        <v>M. 1792/Bumi Waras</v>
      </c>
      <c r="D8650" s="42"/>
      <c r="E8650" s="42"/>
      <c r="F8650" s="48" t="str">
        <f>IFERROR(__xludf.DUMMYFUNCTION("""COMPUTED_VALUE"""),"")</f>
        <v/>
      </c>
      <c r="G8650" s="42" t="str">
        <f>IFERROR(__xludf.DUMMYFUNCTION("""COMPUTED_VALUE"""),"Ganti kecamatan")</f>
        <v>Ganti kecamatan</v>
      </c>
      <c r="H8650" s="42">
        <f t="shared" si="1"/>
        <v>3326</v>
      </c>
    </row>
    <row r="8651" ht="22.5" customHeight="1">
      <c r="B8651" s="42" t="str">
        <f>IFERROR(__xludf.DUMMYFUNCTION("""COMPUTED_VALUE"""),"ABGCKXIC/AB055")</f>
        <v>ABGCKXIC/AB055</v>
      </c>
      <c r="C8651" s="42" t="str">
        <f>IFERROR(__xludf.DUMMYFUNCTION("""COMPUTED_VALUE"""),"M NIBEL 16386/Durian Payung")</f>
        <v>M NIBEL 16386/Durian Payung</v>
      </c>
      <c r="D8651" s="42"/>
      <c r="E8651" s="42"/>
      <c r="F8651" s="48" t="str">
        <f>IFERROR(__xludf.DUMMYFUNCTION("""COMPUTED_VALUE"""),"")</f>
        <v/>
      </c>
      <c r="G8651" s="42" t="str">
        <f>IFERROR(__xludf.DUMMYFUNCTION("""COMPUTED_VALUE"""),"Perubahan Hak")</f>
        <v>Perubahan Hak</v>
      </c>
      <c r="H8651" s="42">
        <f t="shared" si="1"/>
        <v>3326</v>
      </c>
    </row>
    <row r="8652" ht="22.5" customHeight="1">
      <c r="B8652" s="42" t="str">
        <f>IFERROR(__xludf.DUMMYFUNCTION("""COMPUTED_VALUE"""),"ABCSUAQG/AB055")</f>
        <v>ABCSUAQG/AB055</v>
      </c>
      <c r="C8652" s="42" t="str">
        <f>IFERROR(__xludf.DUMMYFUNCTION("""COMPUTED_VALUE"""),"M NIBEL 25063/Kemiling Permai")</f>
        <v>M NIBEL 25063/Kemiling Permai</v>
      </c>
      <c r="D8652" s="42"/>
      <c r="E8652" s="42"/>
      <c r="F8652" s="48" t="str">
        <f>IFERROR(__xludf.DUMMYFUNCTION("""COMPUTED_VALUE"""),"")</f>
        <v/>
      </c>
      <c r="G8652" s="42" t="str">
        <f>IFERROR(__xludf.DUMMYFUNCTION("""COMPUTED_VALUE"""),"Perubahan Hak")</f>
        <v>Perubahan Hak</v>
      </c>
      <c r="H8652" s="42">
        <f t="shared" si="1"/>
        <v>3326</v>
      </c>
    </row>
    <row r="8653" ht="22.5" customHeight="1">
      <c r="B8653" s="42" t="str">
        <f>IFERROR(__xludf.DUMMYFUNCTION("""COMPUTED_VALUE"""),"ABPRFBON")</f>
        <v>ABPRFBON</v>
      </c>
      <c r="C8653" s="42" t="str">
        <f>IFERROR(__xludf.DUMMYFUNCTION("""COMPUTED_VALUE"""),"M 7030/ Tanjung Senang")</f>
        <v>M 7030/ Tanjung Senang</v>
      </c>
      <c r="D8653" s="42"/>
      <c r="E8653" s="42"/>
      <c r="F8653" s="48" t="str">
        <f>IFERROR(__xludf.DUMMYFUNCTION("""COMPUTED_VALUE"""),"")</f>
        <v/>
      </c>
      <c r="G8653" s="42" t="str">
        <f>IFERROR(__xludf.DUMMYFUNCTION("""COMPUTED_VALUE"""),"BN Jual Beli")</f>
        <v>BN Jual Beli</v>
      </c>
      <c r="H8653" s="42">
        <f t="shared" si="1"/>
        <v>3326</v>
      </c>
    </row>
    <row r="8654" ht="22.5" customHeight="1">
      <c r="B8654" s="42" t="str">
        <f>IFERROR(__xludf.DUMMYFUNCTION("""COMPUTED_VALUE"""),"ABGJIPHD")</f>
        <v>ABGJIPHD</v>
      </c>
      <c r="C8654" s="42" t="str">
        <f>IFERROR(__xludf.DUMMYFUNCTION("""COMPUTED_VALUE"""),"B. 3020/Skb")</f>
        <v>B. 3020/Skb</v>
      </c>
      <c r="D8654" s="42"/>
      <c r="E8654" s="42"/>
      <c r="F8654" s="48" t="str">
        <f>IFERROR(__xludf.DUMMYFUNCTION("""COMPUTED_VALUE"""),"")</f>
        <v/>
      </c>
      <c r="G8654" s="42" t="str">
        <f>IFERROR(__xludf.DUMMYFUNCTION("""COMPUTED_VALUE"""),"Ganti Desa")</f>
        <v>Ganti Desa</v>
      </c>
      <c r="H8654" s="42">
        <f t="shared" si="1"/>
        <v>3326</v>
      </c>
    </row>
    <row r="8655" ht="22.5" customHeight="1">
      <c r="B8655" s="42" t="str">
        <f>IFERROR(__xludf.DUMMYFUNCTION("""COMPUTED_VALUE"""),"ABPRKTEJ")</f>
        <v>ABPRKTEJ</v>
      </c>
      <c r="C8655" s="42" t="str">
        <f>IFERROR(__xludf.DUMMYFUNCTION("""COMPUTED_VALUE"""),"M 1447/ LABUHAN DALAM")</f>
        <v>M 1447/ LABUHAN DALAM</v>
      </c>
      <c r="D8655" s="42"/>
      <c r="E8655" s="42"/>
      <c r="F8655" s="48" t="str">
        <f>IFERROR(__xludf.DUMMYFUNCTION("""COMPUTED_VALUE"""),"")</f>
        <v/>
      </c>
      <c r="G8655" s="42" t="str">
        <f>IFERROR(__xludf.DUMMYFUNCTION("""COMPUTED_VALUE"""),"Balik nama hibah ")</f>
        <v>Balik nama hibah </v>
      </c>
      <c r="H8655" s="42">
        <f t="shared" si="1"/>
        <v>3326</v>
      </c>
    </row>
    <row r="8656" ht="22.5" customHeight="1">
      <c r="B8656" s="42" t="str">
        <f>IFERROR(__xludf.DUMMYFUNCTION("""COMPUTED_VALUE"""),"ABDOOUES")</f>
        <v>ABDOOUES</v>
      </c>
      <c r="C8656" s="42" t="str">
        <f>IFERROR(__xludf.DUMMYFUNCTION("""COMPUTED_VALUE"""),"M 2589/ PINANG JAYA")</f>
        <v>M 2589/ PINANG JAYA</v>
      </c>
      <c r="D8656" s="42"/>
      <c r="E8656" s="42"/>
      <c r="F8656" s="48" t="str">
        <f>IFERROR(__xludf.DUMMYFUNCTION("""COMPUTED_VALUE"""),"")</f>
        <v/>
      </c>
      <c r="G8656" s="42" t="str">
        <f>IFERROR(__xludf.DUMMYFUNCTION("""COMPUTED_VALUE"""),"BN JUAL BELI")</f>
        <v>BN JUAL BELI</v>
      </c>
      <c r="H8656" s="42">
        <f t="shared" si="1"/>
        <v>3326</v>
      </c>
    </row>
    <row r="8657" ht="22.5" customHeight="1">
      <c r="B8657" s="42" t="str">
        <f>IFERROR(__xludf.DUMMYFUNCTION("""COMPUTED_VALUE"""),"ABRJYMSG/AB077")</f>
        <v>ABRJYMSG/AB077</v>
      </c>
      <c r="C8657" s="42" t="str">
        <f>IFERROR(__xludf.DUMMYFUNCTION("""COMPUTED_VALUE"""),"M. Nibel 12754 /sukabumi")</f>
        <v>M. Nibel 12754 /sukabumi</v>
      </c>
      <c r="D8657" s="42"/>
      <c r="E8657" s="42"/>
      <c r="F8657" s="48" t="str">
        <f>IFERROR(__xludf.DUMMYFUNCTION("""COMPUTED_VALUE"""),"")</f>
        <v/>
      </c>
      <c r="G8657" s="42" t="str">
        <f>IFERROR(__xludf.DUMMYFUNCTION("""COMPUTED_VALUE"""),"BN JUAL BELI ")</f>
        <v>BN JUAL BELI </v>
      </c>
      <c r="H8657" s="42">
        <f t="shared" si="1"/>
        <v>3326</v>
      </c>
    </row>
    <row r="8658" ht="22.5" customHeight="1">
      <c r="B8658" s="42" t="str">
        <f>IFERROR(__xludf.DUMMYFUNCTION("""COMPUTED_VALUE"""),"ABUPXVUY")</f>
        <v>ABUPXVUY</v>
      </c>
      <c r="C8658" s="42" t="str">
        <f>IFERROR(__xludf.DUMMYFUNCTION("""COMPUTED_VALUE"""),"M 2447/ KEDAUNG")</f>
        <v>M 2447/ KEDAUNG</v>
      </c>
      <c r="D8658" s="42"/>
      <c r="E8658" s="42"/>
      <c r="F8658" s="48" t="str">
        <f>IFERROR(__xludf.DUMMYFUNCTION("""COMPUTED_VALUE"""),"")</f>
        <v/>
      </c>
      <c r="G8658" s="42" t="str">
        <f>IFERROR(__xludf.DUMMYFUNCTION("""COMPUTED_VALUE"""),"BN JUAL BELI")</f>
        <v>BN JUAL BELI</v>
      </c>
      <c r="H8658" s="42">
        <f t="shared" si="1"/>
        <v>3326</v>
      </c>
    </row>
    <row r="8659" ht="22.5" customHeight="1">
      <c r="B8659" s="42" t="str">
        <f>IFERROR(__xludf.DUMMYFUNCTION("""COMPUTED_VALUE"""),"ABNDHYOI/AB077")</f>
        <v>ABNDHYOI/AB077</v>
      </c>
      <c r="C8659" s="42" t="str">
        <f>IFERROR(__xludf.DUMMYFUNCTION("""COMPUTED_VALUE"""),"M Nibel 18493 /bumi kedamaian")</f>
        <v>M Nibel 18493 /bumi kedamaian</v>
      </c>
      <c r="D8659" s="42"/>
      <c r="E8659" s="42"/>
      <c r="F8659" s="48" t="str">
        <f>IFERROR(__xludf.DUMMYFUNCTION("""COMPUTED_VALUE"""),"")</f>
        <v/>
      </c>
      <c r="G8659" s="42" t="str">
        <f>IFERROR(__xludf.DUMMYFUNCTION("""COMPUTED_VALUE"""),"Balik nama APHB")</f>
        <v>Balik nama APHB</v>
      </c>
      <c r="H8659" s="42">
        <f t="shared" si="1"/>
        <v>3326</v>
      </c>
    </row>
    <row r="8660" ht="22.5" customHeight="1">
      <c r="B8660" s="42" t="str">
        <f>IFERROR(__xludf.DUMMYFUNCTION("""COMPUTED_VALUE"""),"K/8/271025/1")</f>
        <v>K/8/271025/1</v>
      </c>
      <c r="C8660" s="42" t="str">
        <f>IFERROR(__xludf.DUMMYFUNCTION("""COMPUTED_VALUE"""),"M.1840/LABUHAN DALAM ")</f>
        <v>M.1840/LABUHAN DALAM </v>
      </c>
      <c r="D8660" s="42"/>
      <c r="E8660" s="42"/>
      <c r="F8660" s="48" t="str">
        <f>IFERROR(__xludf.DUMMYFUNCTION("""COMPUTED_VALUE"""),"")</f>
        <v/>
      </c>
      <c r="G8660" s="42" t="str">
        <f>IFERROR(__xludf.DUMMYFUNCTION("""COMPUTED_VALUE"""),"BLOKIR")</f>
        <v>BLOKIR</v>
      </c>
      <c r="H8660" s="42">
        <f t="shared" si="1"/>
        <v>3326</v>
      </c>
    </row>
    <row r="8661" ht="22.5" customHeight="1">
      <c r="B8661" s="42" t="str">
        <f>IFERROR(__xludf.DUMMYFUNCTION("""COMPUTED_VALUE"""),"K/9/271025/2")</f>
        <v>K/9/271025/2</v>
      </c>
      <c r="C8661" s="42" t="str">
        <f>IFERROR(__xludf.DUMMYFUNCTION("""COMPUTED_VALUE"""),"M.1842/LABUHAN DALAM ")</f>
        <v>M.1842/LABUHAN DALAM </v>
      </c>
      <c r="D8661" s="42"/>
      <c r="E8661" s="42"/>
      <c r="F8661" s="48" t="str">
        <f>IFERROR(__xludf.DUMMYFUNCTION("""COMPUTED_VALUE"""),"")</f>
        <v/>
      </c>
      <c r="G8661" s="42" t="str">
        <f>IFERROR(__xludf.DUMMYFUNCTION("""COMPUTED_VALUE"""),"BLOKIR ")</f>
        <v>BLOKIR </v>
      </c>
      <c r="H8661" s="42">
        <f t="shared" si="1"/>
        <v>3326</v>
      </c>
    </row>
    <row r="8662" ht="22.5" customHeight="1">
      <c r="B8662" s="42" t="str">
        <f>IFERROR(__xludf.DUMMYFUNCTION("""COMPUTED_VALUE"""),"K/10/271025/3")</f>
        <v>K/10/271025/3</v>
      </c>
      <c r="C8662" s="42" t="str">
        <f>IFERROR(__xludf.DUMMYFUNCTION("""COMPUTED_VALUE"""),"M.846/LABUHAN DALAM")</f>
        <v>M.846/LABUHAN DALAM</v>
      </c>
      <c r="D8662" s="42"/>
      <c r="E8662" s="42"/>
      <c r="F8662" s="48" t="str">
        <f>IFERROR(__xludf.DUMMYFUNCTION("""COMPUTED_VALUE"""),"")</f>
        <v/>
      </c>
      <c r="G8662" s="42" t="str">
        <f>IFERROR(__xludf.DUMMYFUNCTION("""COMPUTED_VALUE"""),"BLOKIR ")</f>
        <v>BLOKIR </v>
      </c>
      <c r="H8662" s="42">
        <f t="shared" si="1"/>
        <v>3326</v>
      </c>
    </row>
    <row r="8663" ht="22.5" customHeight="1">
      <c r="B8663" s="42" t="str">
        <f>IFERROR(__xludf.DUMMYFUNCTION("""COMPUTED_VALUE"""),"K/11/271025/4")</f>
        <v>K/11/271025/4</v>
      </c>
      <c r="C8663" s="42" t="str">
        <f>IFERROR(__xludf.DUMMYFUNCTION("""COMPUTED_VALUE"""),"M957/LABUHAN DALAM")</f>
        <v>M957/LABUHAN DALAM</v>
      </c>
      <c r="D8663" s="42"/>
      <c r="E8663" s="42"/>
      <c r="F8663" s="48" t="str">
        <f>IFERROR(__xludf.DUMMYFUNCTION("""COMPUTED_VALUE"""),"")</f>
        <v/>
      </c>
      <c r="G8663" s="42" t="str">
        <f>IFERROR(__xludf.DUMMYFUNCTION("""COMPUTED_VALUE"""),"BLOKIR")</f>
        <v>BLOKIR</v>
      </c>
      <c r="H8663" s="42">
        <f t="shared" si="1"/>
        <v>3326</v>
      </c>
    </row>
    <row r="8664" ht="22.5" customHeight="1">
      <c r="B8664" s="42" t="str">
        <f>IFERROR(__xludf.DUMMYFUNCTION("""COMPUTED_VALUE"""),"ABGNCQVI/AB077")</f>
        <v>ABGNCQVI/AB077</v>
      </c>
      <c r="C8664" s="42" t="str">
        <f>IFERROR(__xludf.DUMMYFUNCTION("""COMPUTED_VALUE"""),"B 1862/ Campang Raya")</f>
        <v>B 1862/ Campang Raya</v>
      </c>
      <c r="D8664" s="42"/>
      <c r="E8664" s="42"/>
      <c r="F8664" s="48" t="str">
        <f>IFERROR(__xludf.DUMMYFUNCTION("""COMPUTED_VALUE"""),"")</f>
        <v/>
      </c>
      <c r="G8664" s="42" t="str">
        <f>IFERROR(__xludf.DUMMYFUNCTION("""COMPUTED_VALUE"""),"Gandes")</f>
        <v>Gandes</v>
      </c>
      <c r="H8664" s="42">
        <f t="shared" si="1"/>
        <v>3326</v>
      </c>
    </row>
    <row r="8665" ht="22.5" customHeight="1">
      <c r="B8665" s="42" t="str">
        <f>IFERROR(__xludf.DUMMYFUNCTION("""COMPUTED_VALUE"""),"ABXHEECJ")</f>
        <v>ABXHEECJ</v>
      </c>
      <c r="C8665" s="42" t="str">
        <f>IFERROR(__xludf.DUMMYFUNCTION("""COMPUTED_VALUE"""),"M.11351 TANJUNG BARU")</f>
        <v>M.11351 TANJUNG BARU</v>
      </c>
      <c r="D8665" s="42"/>
      <c r="E8665" s="42"/>
      <c r="F8665" s="48" t="str">
        <f>IFERROR(__xludf.DUMMYFUNCTION("""COMPUTED_VALUE"""),"")</f>
        <v/>
      </c>
      <c r="G8665" s="42" t="str">
        <f>IFERROR(__xludf.DUMMYFUNCTION("""COMPUTED_VALUE"""),"BN JUAL BELI")</f>
        <v>BN JUAL BELI</v>
      </c>
      <c r="H8665" s="42">
        <f t="shared" si="1"/>
        <v>3326</v>
      </c>
    </row>
    <row r="8666" ht="22.5" customHeight="1">
      <c r="B8666" s="42" t="str">
        <f>IFERROR(__xludf.DUMMYFUNCTION("""COMPUTED_VALUE"""),"ABKKUXOY")</f>
        <v>ABKKUXOY</v>
      </c>
      <c r="C8666" s="42" t="str">
        <f>IFERROR(__xludf.DUMMYFUNCTION("""COMPUTED_VALUE"""),"M 240/ SUKARAME II")</f>
        <v>M 240/ SUKARAME II</v>
      </c>
      <c r="D8666" s="42"/>
      <c r="E8666" s="42"/>
      <c r="F8666" s="48" t="str">
        <f>IFERROR(__xludf.DUMMYFUNCTION("""COMPUTED_VALUE"""),"")</f>
        <v/>
      </c>
      <c r="G8666" s="42" t="str">
        <f>IFERROR(__xludf.DUMMYFUNCTION("""COMPUTED_VALUE"""),"Roya")</f>
        <v>Roya</v>
      </c>
      <c r="H8666" s="42">
        <f t="shared" si="1"/>
        <v>3326</v>
      </c>
    </row>
    <row r="8667" ht="22.5" customHeight="1">
      <c r="B8667" s="42" t="str">
        <f>IFERROR(__xludf.DUMMYFUNCTION("""COMPUTED_VALUE"""),"ABJTZRUT/AB005")</f>
        <v>ABJTZRUT/AB005</v>
      </c>
      <c r="C8667" s="42" t="str">
        <f>IFERROR(__xludf.DUMMYFUNCTION("""COMPUTED_VALUE"""),"M.1382/Pengajaran")</f>
        <v>M.1382/Pengajaran</v>
      </c>
      <c r="D8667" s="42"/>
      <c r="E8667" s="42"/>
      <c r="F8667" s="48" t="str">
        <f>IFERROR(__xludf.DUMMYFUNCTION("""COMPUTED_VALUE"""),"")</f>
        <v/>
      </c>
      <c r="G8667" s="42" t="str">
        <f>IFERROR(__xludf.DUMMYFUNCTION("""COMPUTED_VALUE"""),"BN JUAL BELI")</f>
        <v>BN JUAL BELI</v>
      </c>
      <c r="H8667" s="42">
        <f t="shared" si="1"/>
        <v>3326</v>
      </c>
    </row>
    <row r="8668" ht="22.5" customHeight="1">
      <c r="B8668" s="42" t="str">
        <f>IFERROR(__xludf.DUMMYFUNCTION("""COMPUTED_VALUE"""),"L/1/281025/1")</f>
        <v>L/1/281025/1</v>
      </c>
      <c r="C8668" s="42" t="str">
        <f>IFERROR(__xludf.DUMMYFUNCTION("""COMPUTED_VALUE"""),"M. 461/SUKABUMI INDAH")</f>
        <v>M. 461/SUKABUMI INDAH</v>
      </c>
      <c r="D8668" s="42"/>
      <c r="E8668" s="42"/>
      <c r="F8668" s="48" t="str">
        <f>IFERROR(__xludf.DUMMYFUNCTION("""COMPUTED_VALUE"""),"")</f>
        <v/>
      </c>
      <c r="G8668" s="42" t="str">
        <f>IFERROR(__xludf.DUMMYFUNCTION("""COMPUTED_VALUE"""),"ROYA")</f>
        <v>ROYA</v>
      </c>
      <c r="H8668" s="42">
        <f t="shared" si="1"/>
        <v>3326</v>
      </c>
    </row>
    <row r="8669" ht="22.5" customHeight="1">
      <c r="B8669" s="42" t="str">
        <f>IFERROR(__xludf.DUMMYFUNCTION("""COMPUTED_VALUE"""),"ABEAXTPG")</f>
        <v>ABEAXTPG</v>
      </c>
      <c r="C8669" s="42" t="str">
        <f>IFERROR(__xludf.DUMMYFUNCTION("""COMPUTED_VALUE"""),"M 978/ LABUHAN RATU RAYA")</f>
        <v>M 978/ LABUHAN RATU RAYA</v>
      </c>
      <c r="D8669" s="42"/>
      <c r="E8669" s="42"/>
      <c r="F8669" s="48" t="str">
        <f>IFERROR(__xludf.DUMMYFUNCTION("""COMPUTED_VALUE"""),"")</f>
        <v/>
      </c>
      <c r="G8669" s="42" t="str">
        <f>IFERROR(__xludf.DUMMYFUNCTION("""COMPUTED_VALUE"""),"Jual beli/Balik nama")</f>
        <v>Jual beli/Balik nama</v>
      </c>
      <c r="H8669" s="42">
        <f t="shared" si="1"/>
        <v>3326</v>
      </c>
    </row>
    <row r="8670" ht="22.5" customHeight="1">
      <c r="B8670" s="42" t="str">
        <f>IFERROR(__xludf.DUMMYFUNCTION("""COMPUTED_VALUE"""),"ABJPWIKP/AB034")</f>
        <v>ABJPWIKP/AB034</v>
      </c>
      <c r="C8670" s="42" t="str">
        <f>IFERROR(__xludf.DUMMYFUNCTION("""COMPUTED_VALUE"""),"SHGB 577/S.M/Sukamaju")</f>
        <v>SHGB 577/S.M/Sukamaju</v>
      </c>
      <c r="D8670" s="42"/>
      <c r="E8670" s="42"/>
      <c r="F8670" s="48" t="str">
        <f>IFERROR(__xludf.DUMMYFUNCTION("""COMPUTED_VALUE"""),"")</f>
        <v/>
      </c>
      <c r="G8670" s="42" t="str">
        <f>IFERROR(__xludf.DUMMYFUNCTION("""COMPUTED_VALUE"""),"Ganti Kecamatan")</f>
        <v>Ganti Kecamatan</v>
      </c>
      <c r="H8670" s="42">
        <f t="shared" si="1"/>
        <v>3326</v>
      </c>
    </row>
    <row r="8671" ht="22.5" customHeight="1">
      <c r="B8671" s="42" t="str">
        <f>IFERROR(__xludf.DUMMYFUNCTION("""COMPUTED_VALUE"""),"AB011/ABACRZFA")</f>
        <v>AB011/ABACRZFA</v>
      </c>
      <c r="C8671" s="42" t="str">
        <f>IFERROR(__xludf.DUMMYFUNCTION("""COMPUTED_VALUE"""),"SHM NIB EL 25999")</f>
        <v>SHM NIB EL 25999</v>
      </c>
      <c r="D8671" s="42"/>
      <c r="E8671" s="42"/>
      <c r="F8671" s="48" t="str">
        <f>IFERROR(__xludf.DUMMYFUNCTION("""COMPUTED_VALUE"""),"")</f>
        <v/>
      </c>
      <c r="G8671" s="42" t="str">
        <f>IFERROR(__xludf.DUMMYFUNCTION("""COMPUTED_VALUE"""),"BN Jual Beli")</f>
        <v>BN Jual Beli</v>
      </c>
      <c r="H8671" s="42">
        <f t="shared" si="1"/>
        <v>3326</v>
      </c>
    </row>
    <row r="8672" ht="22.5" customHeight="1">
      <c r="B8672" s="42" t="str">
        <f>IFERROR(__xludf.DUMMYFUNCTION("""COMPUTED_VALUE"""),"K/8/241025/1")</f>
        <v>K/8/241025/1</v>
      </c>
      <c r="C8672" s="42" t="str">
        <f>IFERROR(__xludf.DUMMYFUNCTION("""COMPUTED_VALUE"""),"M. 2633/DURIAN PAYUNG")</f>
        <v>M. 2633/DURIAN PAYUNG</v>
      </c>
      <c r="D8672" s="42"/>
      <c r="E8672" s="42"/>
      <c r="F8672" s="48" t="str">
        <f>IFERROR(__xludf.DUMMYFUNCTION("""COMPUTED_VALUE"""),"")</f>
        <v/>
      </c>
      <c r="G8672" s="42" t="str">
        <f>IFERROR(__xludf.DUMMYFUNCTION("""COMPUTED_VALUE"""),"HAPUS BPHTB")</f>
        <v>HAPUS BPHTB</v>
      </c>
      <c r="H8672" s="42">
        <f t="shared" si="1"/>
        <v>3326</v>
      </c>
    </row>
    <row r="8673" ht="22.5" customHeight="1">
      <c r="B8673" s="42" t="str">
        <f>IFERROR(__xludf.DUMMYFUNCTION("""COMPUTED_VALUE"""),"K/2/281025/1")</f>
        <v>K/2/281025/1</v>
      </c>
      <c r="C8673" s="42" t="str">
        <f>IFERROR(__xludf.DUMMYFUNCTION("""COMPUTED_VALUE"""),"M. 7028/TANJUNG SENANG")</f>
        <v>M. 7028/TANJUNG SENANG</v>
      </c>
      <c r="D8673" s="42"/>
      <c r="E8673" s="42"/>
      <c r="F8673" s="48" t="str">
        <f>IFERROR(__xludf.DUMMYFUNCTION("""COMPUTED_VALUE"""),"")</f>
        <v/>
      </c>
      <c r="G8673" s="42" t="str">
        <f>IFERROR(__xludf.DUMMYFUNCTION("""COMPUTED_VALUE"""),"BN JUAL BELI")</f>
        <v>BN JUAL BELI</v>
      </c>
      <c r="H8673" s="42">
        <f t="shared" si="1"/>
        <v>3326</v>
      </c>
    </row>
    <row r="8674" ht="22.5" customHeight="1">
      <c r="B8674" s="42" t="str">
        <f>IFERROR(__xludf.DUMMYFUNCTION("""COMPUTED_VALUE"""),"ABNZOERO/AB027")</f>
        <v>ABNZOERO/AB027</v>
      </c>
      <c r="C8674" s="42" t="str">
        <f>IFERROR(__xludf.DUMMYFUNCTION("""COMPUTED_VALUE"""),"M. Nibel 3238/ sukamenanti")</f>
        <v>M. Nibel 3238/ sukamenanti</v>
      </c>
      <c r="D8674" s="42"/>
      <c r="E8674" s="42"/>
      <c r="F8674" s="48" t="str">
        <f>IFERROR(__xludf.DUMMYFUNCTION("""COMPUTED_VALUE"""),"")</f>
        <v/>
      </c>
      <c r="G8674" s="42" t="str">
        <f>IFERROR(__xludf.DUMMYFUNCTION("""COMPUTED_VALUE"""),"Balik Nama Hibah")</f>
        <v>Balik Nama Hibah</v>
      </c>
      <c r="H8674" s="42">
        <f t="shared" si="1"/>
        <v>3326</v>
      </c>
    </row>
    <row r="8675" ht="22.5" customHeight="1">
      <c r="B8675" s="42" t="str">
        <f>IFERROR(__xludf.DUMMYFUNCTION("""COMPUTED_VALUE"""),"ABRBXZDM/1")</f>
        <v>ABRBXZDM/1</v>
      </c>
      <c r="C8675" s="42" t="str">
        <f>IFERROR(__xludf.DUMMYFUNCTION("""COMPUTED_VALUE"""),"M 85/ gedong meneng baru")</f>
        <v>M 85/ gedong meneng baru</v>
      </c>
      <c r="D8675" s="42"/>
      <c r="E8675" s="42"/>
      <c r="F8675" s="48" t="str">
        <f>IFERROR(__xludf.DUMMYFUNCTION("""COMPUTED_VALUE"""),"")</f>
        <v/>
      </c>
      <c r="G8675" s="42" t="str">
        <f>IFERROR(__xludf.DUMMYFUNCTION("""COMPUTED_VALUE"""),"Ajb")</f>
        <v>Ajb</v>
      </c>
      <c r="H8675" s="42">
        <f t="shared" si="1"/>
        <v>3326</v>
      </c>
    </row>
    <row r="8676" ht="22.5" customHeight="1">
      <c r="B8676" s="42" t="str">
        <f>IFERROR(__xludf.DUMMYFUNCTION("""COMPUTED_VALUE"""),"ABHNJUKX")</f>
        <v>ABHNJUKX</v>
      </c>
      <c r="C8676" s="42" t="str">
        <f>IFERROR(__xludf.DUMMYFUNCTION("""COMPUTED_VALUE"""),"NIBEL B 25821/ KEMILING PERMAI")</f>
        <v>NIBEL B 25821/ KEMILING PERMAI</v>
      </c>
      <c r="D8676" s="42"/>
      <c r="E8676" s="42"/>
      <c r="F8676" s="48" t="str">
        <f>IFERROR(__xludf.DUMMYFUNCTION("""COMPUTED_VALUE"""),"")</f>
        <v/>
      </c>
      <c r="G8676" s="42" t="str">
        <f>IFERROR(__xludf.DUMMYFUNCTION("""COMPUTED_VALUE"""),"PENINGKATAN HAK")</f>
        <v>PENINGKATAN HAK</v>
      </c>
      <c r="H8676" s="42">
        <f t="shared" si="1"/>
        <v>3326</v>
      </c>
    </row>
    <row r="8677" ht="22.5" customHeight="1">
      <c r="B8677" s="42" t="str">
        <f>IFERROR(__xludf.DUMMYFUNCTION("""COMPUTED_VALUE"""),"ABERTQWE")</f>
        <v>ABERTQWE</v>
      </c>
      <c r="C8677" s="42" t="str">
        <f>IFERROR(__xludf.DUMMYFUNCTION("""COMPUTED_VALUE"""),"NIBEL B 20841/ KEMILING PERMAI")</f>
        <v>NIBEL B 20841/ KEMILING PERMAI</v>
      </c>
      <c r="D8677" s="42"/>
      <c r="E8677" s="42"/>
      <c r="F8677" s="48" t="str">
        <f>IFERROR(__xludf.DUMMYFUNCTION("""COMPUTED_VALUE"""),"")</f>
        <v/>
      </c>
      <c r="G8677" s="42" t="str">
        <f>IFERROR(__xludf.DUMMYFUNCTION("""COMPUTED_VALUE"""),"PENINGKATAN HAK")</f>
        <v>PENINGKATAN HAK</v>
      </c>
      <c r="H8677" s="42">
        <f t="shared" si="1"/>
        <v>3326</v>
      </c>
    </row>
    <row r="8678" ht="22.5" customHeight="1">
      <c r="B8678" s="42" t="str">
        <f>IFERROR(__xludf.DUMMYFUNCTION("""COMPUTED_VALUE"""),"ABDLGASS")</f>
        <v>ABDLGASS</v>
      </c>
      <c r="C8678" s="42" t="str">
        <f>IFERROR(__xludf.DUMMYFUNCTION("""COMPUTED_VALUE"""),"M 1877/ LABUHAN DALAM")</f>
        <v>M 1877/ LABUHAN DALAM</v>
      </c>
      <c r="D8678" s="42"/>
      <c r="E8678" s="42"/>
      <c r="F8678" s="48" t="str">
        <f>IFERROR(__xludf.DUMMYFUNCTION("""COMPUTED_VALUE"""),"")</f>
        <v/>
      </c>
      <c r="G8678" s="42" t="str">
        <f>IFERROR(__xludf.DUMMYFUNCTION("""COMPUTED_VALUE"""),"BN LELANG")</f>
        <v>BN LELANG</v>
      </c>
      <c r="H8678" s="42">
        <f t="shared" si="1"/>
        <v>3326</v>
      </c>
    </row>
    <row r="8679" ht="22.5" customHeight="1">
      <c r="B8679" s="42" t="str">
        <f>IFERROR(__xludf.DUMMYFUNCTION("""COMPUTED_VALUE"""),"ABLZJGDS")</f>
        <v>ABLZJGDS</v>
      </c>
      <c r="C8679" s="42" t="str">
        <f>IFERROR(__xludf.DUMMYFUNCTION("""COMPUTED_VALUE"""),"M 1876/ LABUHAN DALAM")</f>
        <v>M 1876/ LABUHAN DALAM</v>
      </c>
      <c r="D8679" s="42"/>
      <c r="E8679" s="42"/>
      <c r="F8679" s="48" t="str">
        <f>IFERROR(__xludf.DUMMYFUNCTION("""COMPUTED_VALUE"""),"")</f>
        <v/>
      </c>
      <c r="G8679" s="42" t="str">
        <f>IFERROR(__xludf.DUMMYFUNCTION("""COMPUTED_VALUE"""),"BN LELANG")</f>
        <v>BN LELANG</v>
      </c>
      <c r="H8679" s="42">
        <f t="shared" si="1"/>
        <v>3326</v>
      </c>
    </row>
    <row r="8680" ht="22.5" customHeight="1">
      <c r="B8680" s="42" t="str">
        <f>IFERROR(__xludf.DUMMYFUNCTION("""COMPUTED_VALUE"""),"ABGNTUNB")</f>
        <v>ABGNTUNB</v>
      </c>
      <c r="C8680" s="42" t="str">
        <f>IFERROR(__xludf.DUMMYFUNCTION("""COMPUTED_VALUE"""),"M 1878/ LABUHAN DALAM")</f>
        <v>M 1878/ LABUHAN DALAM</v>
      </c>
      <c r="D8680" s="42"/>
      <c r="E8680" s="42"/>
      <c r="F8680" s="48" t="str">
        <f>IFERROR(__xludf.DUMMYFUNCTION("""COMPUTED_VALUE"""),"")</f>
        <v/>
      </c>
      <c r="G8680" s="42" t="str">
        <f>IFERROR(__xludf.DUMMYFUNCTION("""COMPUTED_VALUE"""),"BN LELANG")</f>
        <v>BN LELANG</v>
      </c>
      <c r="H8680" s="42">
        <f t="shared" si="1"/>
        <v>3326</v>
      </c>
    </row>
    <row r="8681" ht="22.5" customHeight="1">
      <c r="B8681" s="42" t="str">
        <f>IFERROR(__xludf.DUMMYFUNCTION("""COMPUTED_VALUE"""),"L/3/281025/1")</f>
        <v>L/3/281025/1</v>
      </c>
      <c r="C8681" s="42" t="str">
        <f>IFERROR(__xludf.DUMMYFUNCTION("""COMPUTED_VALUE"""),"M. 140/WAY DADI BARU")</f>
        <v>M. 140/WAY DADI BARU</v>
      </c>
      <c r="D8681" s="42"/>
      <c r="E8681" s="42"/>
      <c r="F8681" s="48" t="str">
        <f>IFERROR(__xludf.DUMMYFUNCTION("""COMPUTED_VALUE"""),"")</f>
        <v/>
      </c>
      <c r="G8681" s="42" t="str">
        <f>IFERROR(__xludf.DUMMYFUNCTION("""COMPUTED_VALUE"""),"PENATAAN BATAS")</f>
        <v>PENATAAN BATAS</v>
      </c>
      <c r="H8681" s="42">
        <f t="shared" si="1"/>
        <v>3326</v>
      </c>
    </row>
    <row r="8682" ht="22.5" customHeight="1">
      <c r="B8682" s="42" t="str">
        <f>IFERROR(__xludf.DUMMYFUNCTION("""COMPUTED_VALUE"""),"ABYBKMUN/AB069")</f>
        <v>ABYBKMUN/AB069</v>
      </c>
      <c r="C8682" s="42" t="str">
        <f>IFERROR(__xludf.DUMMYFUNCTION("""COMPUTED_VALUE"""),"M. 1694/beringin jaya")</f>
        <v>M. 1694/beringin jaya</v>
      </c>
      <c r="D8682" s="42"/>
      <c r="E8682" s="42"/>
      <c r="F8682" s="48" t="str">
        <f>IFERROR(__xludf.DUMMYFUNCTION("""COMPUTED_VALUE"""),"")</f>
        <v/>
      </c>
      <c r="G8682" s="42" t="str">
        <f>IFERROR(__xludf.DUMMYFUNCTION("""COMPUTED_VALUE"""),"Bn jual beli")</f>
        <v>Bn jual beli</v>
      </c>
      <c r="H8682" s="42">
        <f t="shared" si="1"/>
        <v>3326</v>
      </c>
    </row>
    <row r="8683" ht="22.5" customHeight="1">
      <c r="B8683" s="42" t="str">
        <f>IFERROR(__xludf.DUMMYFUNCTION("""COMPUTED_VALUE"""),"ABNYIAUP/AB069")</f>
        <v>ABNYIAUP/AB069</v>
      </c>
      <c r="C8683" s="42" t="str">
        <f>IFERROR(__xludf.DUMMYFUNCTION("""COMPUTED_VALUE"""),"M. 18389/rajabasa raya")</f>
        <v>M. 18389/rajabasa raya</v>
      </c>
      <c r="D8683" s="42"/>
      <c r="E8683" s="42"/>
      <c r="F8683" s="48" t="str">
        <f>IFERROR(__xludf.DUMMYFUNCTION("""COMPUTED_VALUE"""),"")</f>
        <v/>
      </c>
      <c r="G8683" s="42" t="str">
        <f>IFERROR(__xludf.DUMMYFUNCTION("""COMPUTED_VALUE"""),"Bn jual beli")</f>
        <v>Bn jual beli</v>
      </c>
      <c r="H8683" s="42">
        <f t="shared" si="1"/>
        <v>3326</v>
      </c>
    </row>
    <row r="8684" ht="22.5" customHeight="1">
      <c r="B8684" s="42" t="str">
        <f>IFERROR(__xludf.DUMMYFUNCTION("""COMPUTED_VALUE"""),"ABAHSDSD/AB069")</f>
        <v>ABAHSDSD/AB069</v>
      </c>
      <c r="C8684" s="42" t="str">
        <f>IFERROR(__xludf.DUMMYFUNCTION("""COMPUTED_VALUE"""),"M. 2530/sukarame baru")</f>
        <v>M. 2530/sukarame baru</v>
      </c>
      <c r="D8684" s="42"/>
      <c r="E8684" s="42"/>
      <c r="F8684" s="48" t="str">
        <f>IFERROR(__xludf.DUMMYFUNCTION("""COMPUTED_VALUE"""),"")</f>
        <v/>
      </c>
      <c r="G8684" s="42" t="str">
        <f>IFERROR(__xludf.DUMMYFUNCTION("""COMPUTED_VALUE"""),"Bn jual beli")</f>
        <v>Bn jual beli</v>
      </c>
      <c r="H8684" s="42">
        <f t="shared" si="1"/>
        <v>3326</v>
      </c>
    </row>
    <row r="8685" ht="22.5" customHeight="1">
      <c r="B8685" s="42" t="str">
        <f>IFERROR(__xludf.DUMMYFUNCTION("""COMPUTED_VALUE"""),"ABOPMQEV")</f>
        <v>ABOPMQEV</v>
      </c>
      <c r="C8685" s="42" t="str">
        <f>IFERROR(__xludf.DUMMYFUNCTION("""COMPUTED_VALUE"""),"M 10148/ KAMPUNG BARU")</f>
        <v>M 10148/ KAMPUNG BARU</v>
      </c>
      <c r="D8685" s="42"/>
      <c r="E8685" s="42"/>
      <c r="F8685" s="48" t="str">
        <f>IFERROR(__xludf.DUMMYFUNCTION("""COMPUTED_VALUE"""),"")</f>
        <v/>
      </c>
      <c r="G8685" s="42" t="str">
        <f>IFERROR(__xludf.DUMMYFUNCTION("""COMPUTED_VALUE"""),"ROYA")</f>
        <v>ROYA</v>
      </c>
      <c r="H8685" s="42">
        <f t="shared" si="1"/>
        <v>3326</v>
      </c>
    </row>
    <row r="8686" ht="22.5" customHeight="1">
      <c r="B8686" s="42" t="str">
        <f>IFERROR(__xludf.DUMMYFUNCTION("""COMPUTED_VALUE"""),"L/4/281025/1")</f>
        <v>L/4/281025/1</v>
      </c>
      <c r="C8686" s="42" t="str">
        <f>IFERROR(__xludf.DUMMYFUNCTION("""COMPUTED_VALUE"""),"M. 117/KEMILING RAYA")</f>
        <v>M. 117/KEMILING RAYA</v>
      </c>
      <c r="D8686" s="42"/>
      <c r="E8686" s="42"/>
      <c r="F8686" s="48" t="str">
        <f>IFERROR(__xludf.DUMMYFUNCTION("""COMPUTED_VALUE"""),"")</f>
        <v/>
      </c>
      <c r="G8686" s="42" t="str">
        <f>IFERROR(__xludf.DUMMYFUNCTION("""COMPUTED_VALUE"""),"PENATAAN BATAS")</f>
        <v>PENATAAN BATAS</v>
      </c>
      <c r="H8686" s="42">
        <f t="shared" si="1"/>
        <v>3326</v>
      </c>
    </row>
    <row r="8687" ht="22.5" customHeight="1">
      <c r="B8687" s="42" t="str">
        <f>IFERROR(__xludf.DUMMYFUNCTION("""COMPUTED_VALUE"""),"L/5/281025/2")</f>
        <v>L/5/281025/2</v>
      </c>
      <c r="C8687" s="42" t="str">
        <f>IFERROR(__xludf.DUMMYFUNCTION("""COMPUTED_VALUE"""),"M. 118/KEMILING RAYA")</f>
        <v>M. 118/KEMILING RAYA</v>
      </c>
      <c r="D8687" s="42" t="str">
        <f>IFERROR(__xludf.DUMMYFUNCTION("""COMPUTED_VALUE"""),"Berry")</f>
        <v>Berry</v>
      </c>
      <c r="E8687" s="42" t="str">
        <f>IFERROR(__xludf.DUMMYFUNCTION("""COMPUTED_VALUE"""),"DISERAHKAN")</f>
        <v>DISERAHKAN</v>
      </c>
      <c r="F8687" s="48">
        <f>IFERROR(__xludf.DUMMYFUNCTION("""COMPUTED_VALUE"""),45996.589625347224)</f>
        <v>45996.58963</v>
      </c>
      <c r="G8687" s="42" t="str">
        <f>IFERROR(__xludf.DUMMYFUNCTION("""COMPUTED_VALUE"""),"PENATAAN BATAS")</f>
        <v>PENATAAN BATAS</v>
      </c>
      <c r="H8687" s="42">
        <f t="shared" si="1"/>
        <v>3327</v>
      </c>
    </row>
    <row r="8688" ht="22.5" customHeight="1">
      <c r="B8688" s="42" t="str">
        <f>IFERROR(__xludf.DUMMYFUNCTION("""COMPUTED_VALUE"""),"ABUFZGJV")</f>
        <v>ABUFZGJV</v>
      </c>
      <c r="C8688" s="42" t="str">
        <f>IFERROR(__xludf.DUMMYFUNCTION("""COMPUTED_VALUE"""),"Nibel M 23995/Rawa Laut")</f>
        <v>Nibel M 23995/Rawa Laut</v>
      </c>
      <c r="D8688" s="42" t="str">
        <f>IFERROR(__xludf.DUMMYFUNCTION("""COMPUTED_VALUE"""),"Berry")</f>
        <v>Berry</v>
      </c>
      <c r="E8688" s="42" t="str">
        <f>IFERROR(__xludf.DUMMYFUNCTION("""COMPUTED_VALUE"""),"DISERAHKAN")</f>
        <v>DISERAHKAN</v>
      </c>
      <c r="F8688" s="48">
        <f>IFERROR(__xludf.DUMMYFUNCTION("""COMPUTED_VALUE"""),45996.589625347224)</f>
        <v>45996.58963</v>
      </c>
      <c r="G8688" s="42" t="str">
        <f>IFERROR(__xludf.DUMMYFUNCTION("""COMPUTED_VALUE"""),"BN APHB")</f>
        <v>BN APHB</v>
      </c>
      <c r="H8688" s="42">
        <f t="shared" si="1"/>
        <v>3328</v>
      </c>
    </row>
    <row r="8689" ht="22.5" customHeight="1">
      <c r="B8689" s="42" t="str">
        <f>IFERROR(__xludf.DUMMYFUNCTION("""COMPUTED_VALUE"""),"ABJHUIJH")</f>
        <v>ABJHUIJH</v>
      </c>
      <c r="C8689" s="42" t="str">
        <f>IFERROR(__xludf.DUMMYFUNCTION("""COMPUTED_VALUE"""),"M.5145/TANJUNG SENANG")</f>
        <v>M.5145/TANJUNG SENANG</v>
      </c>
      <c r="D8689" s="42"/>
      <c r="E8689" s="42"/>
      <c r="F8689" s="48" t="str">
        <f>IFERROR(__xludf.DUMMYFUNCTION("""COMPUTED_VALUE"""),"")</f>
        <v/>
      </c>
      <c r="G8689" s="42" t="str">
        <f>IFERROR(__xludf.DUMMYFUNCTION("""COMPUTED_VALUE"""),"Bn hibah")</f>
        <v>Bn hibah</v>
      </c>
      <c r="H8689" s="42">
        <f t="shared" si="1"/>
        <v>3328</v>
      </c>
    </row>
    <row r="8690" ht="22.5" customHeight="1">
      <c r="B8690" s="42" t="str">
        <f>IFERROR(__xludf.DUMMYFUNCTION("""COMPUTED_VALUE"""),"ABWXLCKQ")</f>
        <v>ABWXLCKQ</v>
      </c>
      <c r="C8690" s="42" t="str">
        <f>IFERROR(__xludf.DUMMYFUNCTION("""COMPUTED_VALUE"""),"M.5146/TANJUNG SENANG")</f>
        <v>M.5146/TANJUNG SENANG</v>
      </c>
      <c r="D8690" s="42"/>
      <c r="E8690" s="42"/>
      <c r="F8690" s="48" t="str">
        <f>IFERROR(__xludf.DUMMYFUNCTION("""COMPUTED_VALUE"""),"")</f>
        <v/>
      </c>
      <c r="G8690" s="42" t="str">
        <f>IFERROR(__xludf.DUMMYFUNCTION("""COMPUTED_VALUE"""),"Bn hibah")</f>
        <v>Bn hibah</v>
      </c>
      <c r="H8690" s="42">
        <f t="shared" si="1"/>
        <v>3328</v>
      </c>
    </row>
    <row r="8691" ht="22.5" customHeight="1">
      <c r="B8691" s="42" t="str">
        <f>IFERROR(__xludf.DUMMYFUNCTION("""COMPUTED_VALUE"""),"L/7/281025/1")</f>
        <v>L/7/281025/1</v>
      </c>
      <c r="C8691" s="42" t="str">
        <f>IFERROR(__xludf.DUMMYFUNCTION("""COMPUTED_VALUE"""),"M. 4112/BERINGIN RAYA")</f>
        <v>M. 4112/BERINGIN RAYA</v>
      </c>
      <c r="D8691" s="42"/>
      <c r="E8691" s="42"/>
      <c r="F8691" s="48" t="str">
        <f>IFERROR(__xludf.DUMMYFUNCTION("""COMPUTED_VALUE"""),"")</f>
        <v/>
      </c>
      <c r="G8691" s="42" t="str">
        <f>IFERROR(__xludf.DUMMYFUNCTION("""COMPUTED_VALUE"""),"ROYA")</f>
        <v>ROYA</v>
      </c>
      <c r="H8691" s="42">
        <f t="shared" si="1"/>
        <v>3328</v>
      </c>
    </row>
    <row r="8692" ht="22.5" customHeight="1">
      <c r="B8692" s="42" t="str">
        <f>IFERROR(__xludf.DUMMYFUNCTION("""COMPUTED_VALUE"""),"ABGHNHYZ/AB035")</f>
        <v>ABGHNHYZ/AB035</v>
      </c>
      <c r="C8692" s="42" t="str">
        <f>IFERROR(__xludf.DUMMYFUNCTION("""COMPUTED_VALUE"""),"M. Nibel 25445/sukarame")</f>
        <v>M. Nibel 25445/sukarame</v>
      </c>
      <c r="D8692" s="42"/>
      <c r="E8692" s="42"/>
      <c r="F8692" s="48" t="str">
        <f>IFERROR(__xludf.DUMMYFUNCTION("""COMPUTED_VALUE"""),"")</f>
        <v/>
      </c>
      <c r="G8692" s="42" t="str">
        <f>IFERROR(__xludf.DUMMYFUNCTION("""COMPUTED_VALUE"""),"Ptpgt")</f>
        <v>Ptpgt</v>
      </c>
      <c r="H8692" s="42">
        <f t="shared" si="1"/>
        <v>3328</v>
      </c>
    </row>
    <row r="8693" ht="22.5" customHeight="1">
      <c r="B8693" s="42" t="str">
        <f>IFERROR(__xludf.DUMMYFUNCTION("""COMPUTED_VALUE"""),"K/6/281025/1")</f>
        <v>K/6/281025/1</v>
      </c>
      <c r="C8693" s="42" t="str">
        <f>IFERROR(__xludf.DUMMYFUNCTION("""COMPUTED_VALUE"""),"WAY KANDIS")</f>
        <v>WAY KANDIS</v>
      </c>
      <c r="D8693" s="42"/>
      <c r="E8693" s="42"/>
      <c r="F8693" s="48" t="str">
        <f>IFERROR(__xludf.DUMMYFUNCTION("""COMPUTED_VALUE"""),"")</f>
        <v/>
      </c>
      <c r="G8693" s="42" t="str">
        <f>IFERROR(__xludf.DUMMYFUNCTION("""COMPUTED_VALUE"""),"PENGUKURAN PERTAMA KALI")</f>
        <v>PENGUKURAN PERTAMA KALI</v>
      </c>
      <c r="H8693" s="42">
        <f t="shared" si="1"/>
        <v>3328</v>
      </c>
    </row>
    <row r="8694" ht="22.5" customHeight="1">
      <c r="B8694" s="42" t="str">
        <f>IFERROR(__xludf.DUMMYFUNCTION("""COMPUTED_VALUE"""),"ABLJWMPU/AB076")</f>
        <v>ABLJWMPU/AB076</v>
      </c>
      <c r="C8694" s="42" t="str">
        <f>IFERROR(__xludf.DUMMYFUNCTION("""COMPUTED_VALUE"""),"M 16497/sukabumi")</f>
        <v>M 16497/sukabumi</v>
      </c>
      <c r="D8694" s="42"/>
      <c r="E8694" s="42"/>
      <c r="F8694" s="48" t="str">
        <f>IFERROR(__xludf.DUMMYFUNCTION("""COMPUTED_VALUE"""),"")</f>
        <v/>
      </c>
      <c r="G8694" s="42" t="str">
        <f>IFERROR(__xludf.DUMMYFUNCTION("""COMPUTED_VALUE"""),"BN JUAL BELI")</f>
        <v>BN JUAL BELI</v>
      </c>
      <c r="H8694" s="42">
        <f t="shared" si="1"/>
        <v>3328</v>
      </c>
    </row>
    <row r="8695" ht="22.5" customHeight="1">
      <c r="B8695" s="42" t="str">
        <f>IFERROR(__xludf.DUMMYFUNCTION("""COMPUTED_VALUE"""),"ABYDABMN")</f>
        <v>ABYDABMN</v>
      </c>
      <c r="C8695" s="42" t="str">
        <f>IFERROR(__xludf.DUMMYFUNCTION("""COMPUTED_VALUE"""),"NIBEL M 24998/ PERUMNAS WAY HALIM")</f>
        <v>NIBEL M 24998/ PERUMNAS WAY HALIM</v>
      </c>
      <c r="D8695" s="42"/>
      <c r="E8695" s="42"/>
      <c r="F8695" s="48" t="str">
        <f>IFERROR(__xludf.DUMMYFUNCTION("""COMPUTED_VALUE"""),"")</f>
        <v/>
      </c>
      <c r="G8695" s="42" t="str">
        <f>IFERROR(__xludf.DUMMYFUNCTION("""COMPUTED_VALUE"""),"BN JUAL BELI")</f>
        <v>BN JUAL BELI</v>
      </c>
      <c r="H8695" s="42">
        <f t="shared" si="1"/>
        <v>3328</v>
      </c>
    </row>
    <row r="8696" ht="22.5" customHeight="1">
      <c r="B8696" s="42" t="str">
        <f>IFERROR(__xludf.DUMMYFUNCTION("""COMPUTED_VALUE"""),"K/8/281025/1")</f>
        <v>K/8/281025/1</v>
      </c>
      <c r="C8696" s="42" t="str">
        <f>IFERROR(__xludf.DUMMYFUNCTION("""COMPUTED_VALUE"""),"B. 83/PINANG JAYA")</f>
        <v>B. 83/PINANG JAYA</v>
      </c>
      <c r="D8696" s="42"/>
      <c r="E8696" s="42"/>
      <c r="F8696" s="48" t="str">
        <f>IFERROR(__xludf.DUMMYFUNCTION("""COMPUTED_VALUE"""),"")</f>
        <v/>
      </c>
      <c r="G8696" s="42" t="str">
        <f>IFERROR(__xludf.DUMMYFUNCTION("""COMPUTED_VALUE"""),"PERUBAHAN HAK")</f>
        <v>PERUBAHAN HAK</v>
      </c>
      <c r="H8696" s="42">
        <f t="shared" si="1"/>
        <v>3328</v>
      </c>
    </row>
    <row r="8697" ht="22.5" customHeight="1">
      <c r="B8697" s="42" t="str">
        <f>IFERROR(__xludf.DUMMYFUNCTION("""COMPUTED_VALUE"""),"L/9/281025/1")</f>
        <v>L/9/281025/1</v>
      </c>
      <c r="C8697" s="42" t="str">
        <f>IFERROR(__xludf.DUMMYFUNCTION("""COMPUTED_VALUE"""),"SHGB NIB 25372/CAMPANG JAYA")</f>
        <v>SHGB NIB 25372/CAMPANG JAYA</v>
      </c>
      <c r="D8697" s="42"/>
      <c r="E8697" s="42"/>
      <c r="F8697" s="48" t="str">
        <f>IFERROR(__xludf.DUMMYFUNCTION("""COMPUTED_VALUE"""),"")</f>
        <v/>
      </c>
      <c r="G8697" s="42" t="str">
        <f>IFERROR(__xludf.DUMMYFUNCTION("""COMPUTED_VALUE"""),"PENINGKATAN HAK")</f>
        <v>PENINGKATAN HAK</v>
      </c>
      <c r="H8697" s="42">
        <f t="shared" si="1"/>
        <v>3328</v>
      </c>
    </row>
    <row r="8698" ht="22.5" customHeight="1">
      <c r="B8698" s="42" t="str">
        <f>IFERROR(__xludf.DUMMYFUNCTION("""COMPUTED_VALUE"""),"L/10/281025/1")</f>
        <v>L/10/281025/1</v>
      </c>
      <c r="C8698" s="42" t="str">
        <f>IFERROR(__xludf.DUMMYFUNCTION("""COMPUTED_VALUE"""),"SHM. 13321/RAJABASA")</f>
        <v>SHM. 13321/RAJABASA</v>
      </c>
      <c r="D8698" s="42"/>
      <c r="E8698" s="42"/>
      <c r="F8698" s="48" t="str">
        <f>IFERROR(__xludf.DUMMYFUNCTION("""COMPUTED_VALUE"""),"")</f>
        <v/>
      </c>
      <c r="G8698" s="42" t="str">
        <f>IFERROR(__xludf.DUMMYFUNCTION("""COMPUTED_VALUE"""),"ROYA")</f>
        <v>ROYA</v>
      </c>
      <c r="H8698" s="42">
        <f t="shared" si="1"/>
        <v>3328</v>
      </c>
    </row>
    <row r="8699" ht="22.5" customHeight="1">
      <c r="B8699" s="42" t="str">
        <f>IFERROR(__xludf.DUMMYFUNCTION("""COMPUTED_VALUE"""),"ABZGEHDT")</f>
        <v>ABZGEHDT</v>
      </c>
      <c r="C8699" s="42" t="str">
        <f>IFERROR(__xludf.DUMMYFUNCTION("""COMPUTED_VALUE"""),"Nibel M19509/ SEPANG JAYA")</f>
        <v>Nibel M19509/ SEPANG JAYA</v>
      </c>
      <c r="D8699" s="42"/>
      <c r="E8699" s="42"/>
      <c r="F8699" s="48" t="str">
        <f>IFERROR(__xludf.DUMMYFUNCTION("""COMPUTED_VALUE"""),"")</f>
        <v/>
      </c>
      <c r="G8699" s="42" t="str">
        <f>IFERROR(__xludf.DUMMYFUNCTION("""COMPUTED_VALUE"""),"BN aphb")</f>
        <v>BN aphb</v>
      </c>
      <c r="H8699" s="42">
        <f t="shared" si="1"/>
        <v>3328</v>
      </c>
    </row>
    <row r="8700" ht="22.5" customHeight="1">
      <c r="B8700" s="42" t="str">
        <f>IFERROR(__xludf.DUMMYFUNCTION("""COMPUTED_VALUE"""),"ABCKJHAF")</f>
        <v>ABCKJHAF</v>
      </c>
      <c r="C8700" s="42" t="str">
        <f>IFERROR(__xludf.DUMMYFUNCTION("""COMPUTED_VALUE"""),"M 82/ RAJABASA JAYA")</f>
        <v>M 82/ RAJABASA JAYA</v>
      </c>
      <c r="D8700" s="42"/>
      <c r="E8700" s="42"/>
      <c r="F8700" s="48" t="str">
        <f>IFERROR(__xludf.DUMMYFUNCTION("""COMPUTED_VALUE"""),"")</f>
        <v/>
      </c>
      <c r="G8700" s="42" t="str">
        <f>IFERROR(__xludf.DUMMYFUNCTION("""COMPUTED_VALUE"""),"AJB BALIK NAMA")</f>
        <v>AJB BALIK NAMA</v>
      </c>
      <c r="H8700" s="42">
        <f t="shared" si="1"/>
        <v>3328</v>
      </c>
    </row>
    <row r="8701" ht="22.5" customHeight="1">
      <c r="B8701" s="42" t="str">
        <f>IFERROR(__xludf.DUMMYFUNCTION("""COMPUTED_VALUE"""),"L/11/281025/1")</f>
        <v>L/11/281025/1</v>
      </c>
      <c r="C8701" s="42" t="str">
        <f>IFERROR(__xludf.DUMMYFUNCTION("""COMPUTED_VALUE"""),"M. 3361/WAY KANDIS")</f>
        <v>M. 3361/WAY KANDIS</v>
      </c>
      <c r="D8701" s="42"/>
      <c r="E8701" s="42"/>
      <c r="F8701" s="48" t="str">
        <f>IFERROR(__xludf.DUMMYFUNCTION("""COMPUTED_VALUE"""),"")</f>
        <v/>
      </c>
      <c r="G8701" s="42" t="str">
        <f>IFERROR(__xludf.DUMMYFUNCTION("""COMPUTED_VALUE"""),"ROYA")</f>
        <v>ROYA</v>
      </c>
      <c r="H8701" s="42">
        <f t="shared" si="1"/>
        <v>3328</v>
      </c>
    </row>
    <row r="8702" ht="22.5" customHeight="1">
      <c r="B8702" s="42">
        <f>IFERROR(__xludf.DUMMYFUNCTION("""COMPUTED_VALUE"""),90.0)</f>
        <v>90</v>
      </c>
      <c r="C8702" s="42">
        <f>IFERROR(__xludf.DUMMYFUNCTION("""COMPUTED_VALUE"""),311.0)</f>
        <v>311</v>
      </c>
      <c r="D8702" s="42"/>
      <c r="E8702" s="42"/>
      <c r="F8702" s="48" t="str">
        <f>IFERROR(__xludf.DUMMYFUNCTION("""COMPUTED_VALUE"""),"")</f>
        <v/>
      </c>
      <c r="G8702" s="42" t="str">
        <f>IFERROR(__xludf.DUMMYFUNCTION("""COMPUTED_VALUE"""),"Hibah")</f>
        <v>Hibah</v>
      </c>
      <c r="H8702" s="42">
        <f t="shared" si="1"/>
        <v>3328</v>
      </c>
    </row>
    <row r="8703" ht="22.5" customHeight="1">
      <c r="B8703" s="42" t="str">
        <f>IFERROR(__xludf.DUMMYFUNCTION("""COMPUTED_VALUE"""),"ABYMONAD")</f>
        <v>ABYMONAD</v>
      </c>
      <c r="C8703" s="42" t="str">
        <f>IFERROR(__xludf.DUMMYFUNCTION("""COMPUTED_VALUE"""),"M 1842/ Kaliawi")</f>
        <v>M 1842/ Kaliawi</v>
      </c>
      <c r="D8703" s="42"/>
      <c r="E8703" s="42"/>
      <c r="F8703" s="48" t="str">
        <f>IFERROR(__xludf.DUMMYFUNCTION("""COMPUTED_VALUE"""),"")</f>
        <v/>
      </c>
      <c r="G8703" s="42" t="str">
        <f>IFERROR(__xludf.DUMMYFUNCTION("""COMPUTED_VALUE"""),"Roya")</f>
        <v>Roya</v>
      </c>
      <c r="H8703" s="42">
        <f t="shared" si="1"/>
        <v>3328</v>
      </c>
    </row>
    <row r="8704" ht="22.5" customHeight="1">
      <c r="B8704" s="42" t="str">
        <f>IFERROR(__xludf.DUMMYFUNCTION("""COMPUTED_VALUE"""),"ABXLOXFG/AB04")</f>
        <v>ABXLOXFG/AB04</v>
      </c>
      <c r="C8704" s="42" t="str">
        <f>IFERROR(__xludf.DUMMYFUNCTION("""COMPUTED_VALUE"""),"M. Nibel 18305/Jagabaya III")</f>
        <v>M. Nibel 18305/Jagabaya III</v>
      </c>
      <c r="D8704" s="42"/>
      <c r="E8704" s="42"/>
      <c r="F8704" s="48" t="str">
        <f>IFERROR(__xludf.DUMMYFUNCTION("""COMPUTED_VALUE"""),"")</f>
        <v/>
      </c>
      <c r="G8704" s="42" t="str">
        <f>IFERROR(__xludf.DUMMYFUNCTION("""COMPUTED_VALUE"""),"BN JUAL BELI")</f>
        <v>BN JUAL BELI</v>
      </c>
      <c r="H8704" s="42">
        <f t="shared" si="1"/>
        <v>3328</v>
      </c>
    </row>
    <row r="8705" ht="22.5" customHeight="1">
      <c r="B8705" s="42" t="str">
        <f>IFERROR(__xludf.DUMMYFUNCTION("""COMPUTED_VALUE"""),"ABKXKZQF")</f>
        <v>ABKXKZQF</v>
      </c>
      <c r="C8705" s="42" t="str">
        <f>IFERROR(__xludf.DUMMYFUNCTION("""COMPUTED_VALUE"""),"m 559/ sumur batu")</f>
        <v>m 559/ sumur batu</v>
      </c>
      <c r="D8705" s="42"/>
      <c r="E8705" s="42"/>
      <c r="F8705" s="48" t="str">
        <f>IFERROR(__xludf.DUMMYFUNCTION("""COMPUTED_VALUE"""),"")</f>
        <v/>
      </c>
      <c r="G8705" s="42" t="str">
        <f>IFERROR(__xludf.DUMMYFUNCTION("""COMPUTED_VALUE"""),"Waris")</f>
        <v>Waris</v>
      </c>
      <c r="H8705" s="42">
        <f t="shared" si="1"/>
        <v>3328</v>
      </c>
    </row>
    <row r="8706" ht="22.5" customHeight="1">
      <c r="B8706" s="42" t="str">
        <f>IFERROR(__xludf.DUMMYFUNCTION("""COMPUTED_VALUE"""),"ABNBOXPX/AB030")</f>
        <v>ABNBOXPX/AB030</v>
      </c>
      <c r="C8706" s="42" t="str">
        <f>IFERROR(__xludf.DUMMYFUNCTION("""COMPUTED_VALUE"""),"NIB. 08.01.000003256.0/Korpri Raya")</f>
        <v>NIB. 08.01.000003256.0/Korpri Raya</v>
      </c>
      <c r="D8706" s="42"/>
      <c r="E8706" s="42"/>
      <c r="F8706" s="48" t="str">
        <f>IFERROR(__xludf.DUMMYFUNCTION("""COMPUTED_VALUE"""),"")</f>
        <v/>
      </c>
      <c r="G8706" s="42" t="str">
        <f>IFERROR(__xludf.DUMMYFUNCTION("""COMPUTED_VALUE"""),"BN APHB")</f>
        <v>BN APHB</v>
      </c>
      <c r="H8706" s="42">
        <f t="shared" si="1"/>
        <v>3328</v>
      </c>
    </row>
    <row r="8707" ht="22.5" customHeight="1">
      <c r="B8707" s="42" t="str">
        <f>IFERROR(__xludf.DUMMYFUNCTION("""COMPUTED_VALUE"""),"L/1/291025/1")</f>
        <v>L/1/291025/1</v>
      </c>
      <c r="C8707" s="42" t="str">
        <f>IFERROR(__xludf.DUMMYFUNCTION("""COMPUTED_VALUE"""),"M. 1162/PERUMNAS WAY KANDIS")</f>
        <v>M. 1162/PERUMNAS WAY KANDIS</v>
      </c>
      <c r="D8707" s="42"/>
      <c r="E8707" s="42"/>
      <c r="F8707" s="48" t="str">
        <f>IFERROR(__xludf.DUMMYFUNCTION("""COMPUTED_VALUE"""),"")</f>
        <v/>
      </c>
      <c r="G8707" s="42" t="str">
        <f>IFERROR(__xludf.DUMMYFUNCTION("""COMPUTED_VALUE"""),"BN WARIS")</f>
        <v>BN WARIS</v>
      </c>
      <c r="H8707" s="42">
        <f t="shared" si="1"/>
        <v>3328</v>
      </c>
    </row>
    <row r="8708" ht="22.5" customHeight="1">
      <c r="B8708" s="42" t="str">
        <f>IFERROR(__xludf.DUMMYFUNCTION("""COMPUTED_VALUE"""),"L/2/291025/1")</f>
        <v>L/2/291025/1</v>
      </c>
      <c r="C8708" s="42" t="str">
        <f>IFERROR(__xludf.DUMMYFUNCTION("""COMPUTED_VALUE"""),"KEL. TANJUNG SENANG LUAS 140 M2")</f>
        <v>KEL. TANJUNG SENANG LUAS 140 M2</v>
      </c>
      <c r="D8708" s="42"/>
      <c r="E8708" s="42"/>
      <c r="F8708" s="48" t="str">
        <f>IFERROR(__xludf.DUMMYFUNCTION("""COMPUTED_VALUE"""),"")</f>
        <v/>
      </c>
      <c r="G8708" s="42" t="str">
        <f>IFERROR(__xludf.DUMMYFUNCTION("""COMPUTED_VALUE"""),"PENGUKURAN PERTAMA KALI")</f>
        <v>PENGUKURAN PERTAMA KALI</v>
      </c>
      <c r="H8708" s="42">
        <f t="shared" si="1"/>
        <v>3328</v>
      </c>
    </row>
    <row r="8709" ht="22.5" customHeight="1">
      <c r="B8709" s="42" t="str">
        <f>IFERROR(__xludf.DUMMYFUNCTION("""COMPUTED_VALUE"""),"ABUONQEQ/AB034")</f>
        <v>ABUONQEQ/AB034</v>
      </c>
      <c r="C8709" s="42" t="str">
        <f>IFERROR(__xludf.DUMMYFUNCTION("""COMPUTED_VALUE"""),"M. 2510/pinang jaya ")</f>
        <v>M. 2510/pinang jaya </v>
      </c>
      <c r="D8709" s="42"/>
      <c r="E8709" s="42"/>
      <c r="F8709" s="48" t="str">
        <f>IFERROR(__xludf.DUMMYFUNCTION("""COMPUTED_VALUE"""),"")</f>
        <v/>
      </c>
      <c r="G8709" s="42" t="str">
        <f>IFERROR(__xludf.DUMMYFUNCTION("""COMPUTED_VALUE"""),"BN JUAL BELI")</f>
        <v>BN JUAL BELI</v>
      </c>
      <c r="H8709" s="42">
        <f t="shared" si="1"/>
        <v>3328</v>
      </c>
    </row>
    <row r="8710" ht="22.5" customHeight="1">
      <c r="B8710" s="42" t="str">
        <f>IFERROR(__xludf.DUMMYFUNCTION("""COMPUTED_VALUE"""),"ABLQPURS/1")</f>
        <v>ABLQPURS/1</v>
      </c>
      <c r="C8710" s="42" t="str">
        <f>IFERROR(__xludf.DUMMYFUNCTION("""COMPUTED_VALUE"""),"B.NIB.08.01.000023063.0")</f>
        <v>B.NIB.08.01.000023063.0</v>
      </c>
      <c r="D8710" s="42"/>
      <c r="E8710" s="42"/>
      <c r="F8710" s="48" t="str">
        <f>IFERROR(__xludf.DUMMYFUNCTION("""COMPUTED_VALUE"""),"")</f>
        <v/>
      </c>
      <c r="G8710" s="42" t="str">
        <f>IFERROR(__xludf.DUMMYFUNCTION("""COMPUTED_VALUE"""),"Peralihan Hak")</f>
        <v>Peralihan Hak</v>
      </c>
      <c r="H8710" s="42">
        <f t="shared" si="1"/>
        <v>3328</v>
      </c>
    </row>
    <row r="8711" ht="22.5" customHeight="1">
      <c r="B8711" s="42" t="str">
        <f>IFERROR(__xludf.DUMMYFUNCTION("""COMPUTED_VALUE"""),"L/3/291025/1")</f>
        <v>L/3/291025/1</v>
      </c>
      <c r="C8711" s="42" t="str">
        <f>IFERROR(__xludf.DUMMYFUNCTION("""COMPUTED_VALUE"""),"SHGB. 3081/SUKABUMI")</f>
        <v>SHGB. 3081/SUKABUMI</v>
      </c>
      <c r="D8711" s="42"/>
      <c r="E8711" s="42"/>
      <c r="F8711" s="48" t="str">
        <f>IFERROR(__xludf.DUMMYFUNCTION("""COMPUTED_VALUE"""),"")</f>
        <v/>
      </c>
      <c r="G8711" s="42" t="str">
        <f>IFERROR(__xludf.DUMMYFUNCTION("""COMPUTED_VALUE"""),"ROYA")</f>
        <v>ROYA</v>
      </c>
      <c r="H8711" s="42">
        <f t="shared" si="1"/>
        <v>3328</v>
      </c>
    </row>
    <row r="8712" ht="22.5" customHeight="1">
      <c r="B8712" s="42" t="str">
        <f>IFERROR(__xludf.DUMMYFUNCTION("""COMPUTED_VALUE"""),"ABHEXJPL/1")</f>
        <v>ABHEXJPL/1</v>
      </c>
      <c r="C8712" s="42" t="str">
        <f>IFERROR(__xludf.DUMMYFUNCTION("""COMPUTED_VALUE"""),"M. 108/Ga")</f>
        <v>M. 108/Ga</v>
      </c>
      <c r="D8712" s="42" t="str">
        <f>IFERROR(__xludf.DUMMYFUNCTION("""COMPUTED_VALUE"""),"Berry")</f>
        <v>Berry</v>
      </c>
      <c r="E8712" s="42" t="str">
        <f>IFERROR(__xludf.DUMMYFUNCTION("""COMPUTED_VALUE"""),"DISERAHKAN")</f>
        <v>DISERAHKAN</v>
      </c>
      <c r="F8712" s="48">
        <f>IFERROR(__xludf.DUMMYFUNCTION("""COMPUTED_VALUE"""),46020.65191454861)</f>
        <v>46020.65191</v>
      </c>
      <c r="G8712" s="42" t="str">
        <f>IFERROR(__xludf.DUMMYFUNCTION("""COMPUTED_VALUE"""),"Waris")</f>
        <v>Waris</v>
      </c>
      <c r="H8712" s="42">
        <f t="shared" si="1"/>
        <v>3329</v>
      </c>
    </row>
    <row r="8713" ht="22.5" customHeight="1">
      <c r="B8713" s="42" t="str">
        <f>IFERROR(__xludf.DUMMYFUNCTION("""COMPUTED_VALUE"""),"ABPFHPIC")</f>
        <v>ABPFHPIC</v>
      </c>
      <c r="C8713" s="42" t="str">
        <f>IFERROR(__xludf.DUMMYFUNCTION("""COMPUTED_VALUE"""),"M 2305/ BUMI WARAS")</f>
        <v>M 2305/ BUMI WARAS</v>
      </c>
      <c r="D8713" s="42"/>
      <c r="E8713" s="42"/>
      <c r="F8713" s="48" t="str">
        <f>IFERROR(__xludf.DUMMYFUNCTION("""COMPUTED_VALUE"""),"")</f>
        <v/>
      </c>
      <c r="G8713" s="42" t="str">
        <f>IFERROR(__xludf.DUMMYFUNCTION("""COMPUTED_VALUE"""),"Hibah")</f>
        <v>Hibah</v>
      </c>
      <c r="H8713" s="42">
        <f t="shared" si="1"/>
        <v>3329</v>
      </c>
    </row>
    <row r="8714" ht="22.5" customHeight="1">
      <c r="B8714" s="42" t="str">
        <f>IFERROR(__xludf.DUMMYFUNCTION("""COMPUTED_VALUE"""),"AB049/ABSKWVPK")</f>
        <v>AB049/ABSKWVPK</v>
      </c>
      <c r="C8714" s="42" t="str">
        <f>IFERROR(__xludf.DUMMYFUNCTION("""COMPUTED_VALUE"""),"M. Nibel 17444/Way Kandis")</f>
        <v>M. Nibel 17444/Way Kandis</v>
      </c>
      <c r="D8714" s="42"/>
      <c r="E8714" s="42"/>
      <c r="F8714" s="48" t="str">
        <f>IFERROR(__xludf.DUMMYFUNCTION("""COMPUTED_VALUE"""),"")</f>
        <v/>
      </c>
      <c r="G8714" s="42" t="str">
        <f>IFERROR(__xludf.DUMMYFUNCTION("""COMPUTED_VALUE"""),"BN JUAL BELI")</f>
        <v>BN JUAL BELI</v>
      </c>
      <c r="H8714" s="42">
        <f t="shared" si="1"/>
        <v>3329</v>
      </c>
    </row>
    <row r="8715" ht="22.5" customHeight="1">
      <c r="B8715" s="42" t="str">
        <f>IFERROR(__xludf.DUMMYFUNCTION("""COMPUTED_VALUE"""),"ABPHJTWG")</f>
        <v>ABPHJTWG</v>
      </c>
      <c r="C8715" s="42" t="str">
        <f>IFERROR(__xludf.DUMMYFUNCTION("""COMPUTED_VALUE"""),"NIBEL M 23267/ BUMI WARAS")</f>
        <v>NIBEL M 23267/ BUMI WARAS</v>
      </c>
      <c r="D8715" s="42"/>
      <c r="E8715" s="42"/>
      <c r="F8715" s="48" t="str">
        <f>IFERROR(__xludf.DUMMYFUNCTION("""COMPUTED_VALUE"""),"")</f>
        <v/>
      </c>
      <c r="G8715" s="42" t="str">
        <f>IFERROR(__xludf.DUMMYFUNCTION("""COMPUTED_VALUE"""),"Jual beli")</f>
        <v>Jual beli</v>
      </c>
      <c r="H8715" s="42">
        <f t="shared" si="1"/>
        <v>3329</v>
      </c>
    </row>
    <row r="8716" ht="22.5" customHeight="1">
      <c r="B8716" s="42" t="str">
        <f>IFERROR(__xludf.DUMMYFUNCTION("""COMPUTED_VALUE"""),"ABPDDVFA")</f>
        <v>ABPDDVFA</v>
      </c>
      <c r="C8716" s="42" t="str">
        <f>IFERROR(__xludf.DUMMYFUNCTION("""COMPUTED_VALUE"""),"M 1979/ KURIPAN")</f>
        <v>M 1979/ KURIPAN</v>
      </c>
      <c r="D8716" s="42"/>
      <c r="E8716" s="42"/>
      <c r="F8716" s="48" t="str">
        <f>IFERROR(__xludf.DUMMYFUNCTION("""COMPUTED_VALUE"""),"")</f>
        <v/>
      </c>
      <c r="G8716" s="42" t="str">
        <f>IFERROR(__xludf.DUMMYFUNCTION("""COMPUTED_VALUE"""),"Jual Beli")</f>
        <v>Jual Beli</v>
      </c>
      <c r="H8716" s="42">
        <f t="shared" si="1"/>
        <v>3329</v>
      </c>
    </row>
    <row r="8717" ht="22.5" customHeight="1">
      <c r="B8717" s="42" t="str">
        <f>IFERROR(__xludf.DUMMYFUNCTION("""COMPUTED_VALUE"""),"AB049/ABERCQSO")</f>
        <v>AB049/ABERCQSO</v>
      </c>
      <c r="C8717" s="42" t="str">
        <f>IFERROR(__xludf.DUMMYFUNCTION("""COMPUTED_VALUE"""),"M 19314/Sukarame")</f>
        <v>M 19314/Sukarame</v>
      </c>
      <c r="D8717" s="42"/>
      <c r="E8717" s="42"/>
      <c r="F8717" s="48" t="str">
        <f>IFERROR(__xludf.DUMMYFUNCTION("""COMPUTED_VALUE"""),"")</f>
        <v/>
      </c>
      <c r="G8717" s="42" t="str">
        <f>IFERROR(__xludf.DUMMYFUNCTION("""COMPUTED_VALUE"""),"BN JUAL BELI")</f>
        <v>BN JUAL BELI</v>
      </c>
      <c r="H8717" s="42">
        <f t="shared" si="1"/>
        <v>3329</v>
      </c>
    </row>
    <row r="8718" ht="22.5" customHeight="1">
      <c r="B8718" s="42" t="str">
        <f>IFERROR(__xludf.DUMMYFUNCTION("""COMPUTED_VALUE"""),"L/4/291025/1")</f>
        <v>L/4/291025/1</v>
      </c>
      <c r="C8718" s="42" t="str">
        <f>IFERROR(__xludf.DUMMYFUNCTION("""COMPUTED_VALUE"""),"B NIB. 25799/GEDUNG MENENG")</f>
        <v>B NIB. 25799/GEDUNG MENENG</v>
      </c>
      <c r="D8718" s="42"/>
      <c r="E8718" s="42"/>
      <c r="F8718" s="48" t="str">
        <f>IFERROR(__xludf.DUMMYFUNCTION("""COMPUTED_VALUE"""),"")</f>
        <v/>
      </c>
      <c r="G8718" s="42" t="str">
        <f>IFERROR(__xludf.DUMMYFUNCTION("""COMPUTED_VALUE"""),"PENIGNKATAN HAK")</f>
        <v>PENIGNKATAN HAK</v>
      </c>
      <c r="H8718" s="42">
        <f t="shared" si="1"/>
        <v>3329</v>
      </c>
    </row>
    <row r="8719" ht="22.5" customHeight="1">
      <c r="B8719" s="42" t="str">
        <f>IFERROR(__xludf.DUMMYFUNCTION("""COMPUTED_VALUE"""),"ABDDOSAQ")</f>
        <v>ABDDOSAQ</v>
      </c>
      <c r="C8719" s="42" t="str">
        <f>IFERROR(__xludf.DUMMYFUNCTION("""COMPUTED_VALUE"""),"M. 00058/kebon jeruk")</f>
        <v>M. 00058/kebon jeruk</v>
      </c>
      <c r="D8719" s="42"/>
      <c r="E8719" s="42"/>
      <c r="F8719" s="48" t="str">
        <f>IFERROR(__xludf.DUMMYFUNCTION("""COMPUTED_VALUE"""),"")</f>
        <v/>
      </c>
      <c r="G8719" s="42" t="str">
        <f>IFERROR(__xludf.DUMMYFUNCTION("""COMPUTED_VALUE"""),"Roya")</f>
        <v>Roya</v>
      </c>
      <c r="H8719" s="42">
        <f t="shared" si="1"/>
        <v>3329</v>
      </c>
    </row>
    <row r="8720" ht="22.5" customHeight="1">
      <c r="B8720" s="42" t="str">
        <f>IFERROR(__xludf.DUMMYFUNCTION("""COMPUTED_VALUE"""),"ABSROUFP")</f>
        <v>ABSROUFP</v>
      </c>
      <c r="C8720" s="42">
        <f>IFERROR(__xludf.DUMMYFUNCTION("""COMPUTED_VALUE"""),292.0)</f>
        <v>292</v>
      </c>
      <c r="D8720" s="42"/>
      <c r="E8720" s="42"/>
      <c r="F8720" s="48" t="str">
        <f>IFERROR(__xludf.DUMMYFUNCTION("""COMPUTED_VALUE"""),"")</f>
        <v/>
      </c>
      <c r="G8720" s="42" t="str">
        <f>IFERROR(__xludf.DUMMYFUNCTION("""COMPUTED_VALUE"""),"Bn")</f>
        <v>Bn</v>
      </c>
      <c r="H8720" s="42">
        <f t="shared" si="1"/>
        <v>3329</v>
      </c>
    </row>
    <row r="8721" ht="22.5" customHeight="1">
      <c r="B8721" s="42" t="str">
        <f>IFERROR(__xludf.DUMMYFUNCTION("""COMPUTED_VALUE"""),"K/5/291025/1")</f>
        <v>K/5/291025/1</v>
      </c>
      <c r="C8721" s="42" t="str">
        <f>IFERROR(__xludf.DUMMYFUNCTION("""COMPUTED_VALUE"""),"M. 653/SUMBER AGUNG")</f>
        <v>M. 653/SUMBER AGUNG</v>
      </c>
      <c r="D8721" s="42"/>
      <c r="E8721" s="42"/>
      <c r="F8721" s="48" t="str">
        <f>IFERROR(__xludf.DUMMYFUNCTION("""COMPUTED_VALUE"""),"")</f>
        <v/>
      </c>
      <c r="G8721" s="42" t="str">
        <f>IFERROR(__xludf.DUMMYFUNCTION("""COMPUTED_VALUE"""),"SKPT LELANG")</f>
        <v>SKPT LELANG</v>
      </c>
      <c r="H8721" s="42">
        <f t="shared" si="1"/>
        <v>3329</v>
      </c>
    </row>
    <row r="8722" ht="22.5" customHeight="1">
      <c r="B8722" s="42" t="str">
        <f>IFERROR(__xludf.DUMMYFUNCTION("""COMPUTED_VALUE"""),"K/6/291025/2")</f>
        <v>K/6/291025/2</v>
      </c>
      <c r="C8722" s="42" t="str">
        <f>IFERROR(__xludf.DUMMYFUNCTION("""COMPUTED_VALUE"""),"M.4193/WAY KANDIS")</f>
        <v>M.4193/WAY KANDIS</v>
      </c>
      <c r="D8722" s="42"/>
      <c r="E8722" s="42"/>
      <c r="F8722" s="48" t="str">
        <f>IFERROR(__xludf.DUMMYFUNCTION("""COMPUTED_VALUE"""),"")</f>
        <v/>
      </c>
      <c r="G8722" s="42" t="str">
        <f>IFERROR(__xludf.DUMMYFUNCTION("""COMPUTED_VALUE"""),"SKPT LELANG")</f>
        <v>SKPT LELANG</v>
      </c>
      <c r="H8722" s="42">
        <f t="shared" si="1"/>
        <v>3329</v>
      </c>
    </row>
    <row r="8723" ht="22.5" customHeight="1">
      <c r="B8723" s="42" t="str">
        <f>IFERROR(__xludf.DUMMYFUNCTION("""COMPUTED_VALUE"""),"ABZYIVOR")</f>
        <v>ABZYIVOR</v>
      </c>
      <c r="C8723" s="42" t="str">
        <f>IFERROR(__xludf.DUMMYFUNCTION("""COMPUTED_VALUE"""),"M 292/ CAMPANG JAYA")</f>
        <v>M 292/ CAMPANG JAYA</v>
      </c>
      <c r="D8723" s="42"/>
      <c r="E8723" s="42"/>
      <c r="F8723" s="48" t="str">
        <f>IFERROR(__xludf.DUMMYFUNCTION("""COMPUTED_VALUE"""),"")</f>
        <v/>
      </c>
      <c r="G8723" s="42" t="str">
        <f>IFERROR(__xludf.DUMMYFUNCTION("""COMPUTED_VALUE"""),"Bn JUAL BELI")</f>
        <v>Bn JUAL BELI</v>
      </c>
      <c r="H8723" s="42">
        <f t="shared" si="1"/>
        <v>3329</v>
      </c>
    </row>
    <row r="8724" ht="22.5" customHeight="1">
      <c r="B8724" s="42" t="str">
        <f>IFERROR(__xludf.DUMMYFUNCTION("""COMPUTED_VALUE"""),"ABFUEZYH/AB064")</f>
        <v>ABFUEZYH/AB064</v>
      </c>
      <c r="C8724" s="42" t="str">
        <f>IFERROR(__xludf.DUMMYFUNCTION("""COMPUTED_VALUE"""),"M. Nibel 25117/Sumur Putri")</f>
        <v>M. Nibel 25117/Sumur Putri</v>
      </c>
      <c r="D8724" s="42"/>
      <c r="E8724" s="42"/>
      <c r="F8724" s="48" t="str">
        <f>IFERROR(__xludf.DUMMYFUNCTION("""COMPUTED_VALUE"""),"")</f>
        <v/>
      </c>
      <c r="G8724" s="42" t="str">
        <f>IFERROR(__xludf.DUMMYFUNCTION("""COMPUTED_VALUE"""),"BN JUAL BELI")</f>
        <v>BN JUAL BELI</v>
      </c>
      <c r="H8724" s="42">
        <f t="shared" si="1"/>
        <v>3329</v>
      </c>
    </row>
    <row r="8725" ht="22.5" customHeight="1">
      <c r="B8725" s="42" t="str">
        <f>IFERROR(__xludf.DUMMYFUNCTION("""COMPUTED_VALUE"""),"L/8/291025/1")</f>
        <v>L/8/291025/1</v>
      </c>
      <c r="C8725" s="42" t="str">
        <f>IFERROR(__xludf.DUMMYFUNCTION("""COMPUTED_VALUE"""),"SHM 3438/BERINGIN RAYA DAN SHGB 4149/BERINGIN RAYA")</f>
        <v>SHM 3438/BERINGIN RAYA DAN SHGB 4149/BERINGIN RAYA</v>
      </c>
      <c r="D8725" s="42"/>
      <c r="E8725" s="42"/>
      <c r="F8725" s="48" t="str">
        <f>IFERROR(__xludf.DUMMYFUNCTION("""COMPUTED_VALUE"""),"")</f>
        <v/>
      </c>
      <c r="G8725" s="42" t="str">
        <f>IFERROR(__xludf.DUMMYFUNCTION("""COMPUTED_VALUE"""),"ROYA")</f>
        <v>ROYA</v>
      </c>
      <c r="H8725" s="42">
        <f t="shared" si="1"/>
        <v>3329</v>
      </c>
    </row>
    <row r="8726" ht="22.5" customHeight="1">
      <c r="B8726" s="42" t="str">
        <f>IFERROR(__xludf.DUMMYFUNCTION("""COMPUTED_VALUE"""),"K/7/291025/1")</f>
        <v>K/7/291025/1</v>
      </c>
      <c r="C8726" s="42" t="str">
        <f>IFERROR(__xludf.DUMMYFUNCTION("""COMPUTED_VALUE"""),"M. 5796/WAY KANDIS")</f>
        <v>M. 5796/WAY KANDIS</v>
      </c>
      <c r="D8726" s="42"/>
      <c r="E8726" s="42"/>
      <c r="F8726" s="48" t="str">
        <f>IFERROR(__xludf.DUMMYFUNCTION("""COMPUTED_VALUE"""),"")</f>
        <v/>
      </c>
      <c r="G8726" s="42" t="str">
        <f>IFERROR(__xludf.DUMMYFUNCTION("""COMPUTED_VALUE"""),"HAPUS BPHTB")</f>
        <v>HAPUS BPHTB</v>
      </c>
      <c r="H8726" s="42">
        <f t="shared" si="1"/>
        <v>3329</v>
      </c>
    </row>
    <row r="8727" ht="22.5" customHeight="1">
      <c r="B8727" s="42" t="str">
        <f>IFERROR(__xludf.DUMMYFUNCTION("""COMPUTED_VALUE"""),"ABBSIUFP")</f>
        <v>ABBSIUFP</v>
      </c>
      <c r="C8727" s="42" t="str">
        <f>IFERROR(__xludf.DUMMYFUNCTION("""COMPUTED_VALUE"""),"M.1026/Jagabaya III")</f>
        <v>M.1026/Jagabaya III</v>
      </c>
      <c r="D8727" s="42"/>
      <c r="E8727" s="42"/>
      <c r="F8727" s="48" t="str">
        <f>IFERROR(__xludf.DUMMYFUNCTION("""COMPUTED_VALUE"""),"")</f>
        <v/>
      </c>
      <c r="G8727" s="42" t="str">
        <f>IFERROR(__xludf.DUMMYFUNCTION("""COMPUTED_VALUE"""),"plotting")</f>
        <v>plotting</v>
      </c>
      <c r="H8727" s="42">
        <f t="shared" si="1"/>
        <v>3329</v>
      </c>
    </row>
    <row r="8728" ht="22.5" customHeight="1">
      <c r="B8728" s="42" t="str">
        <f>IFERROR(__xludf.DUMMYFUNCTION("""COMPUTED_VALUE"""),"K/9/291025/1")</f>
        <v>K/9/291025/1</v>
      </c>
      <c r="C8728" s="42" t="str">
        <f>IFERROR(__xludf.DUMMYFUNCTION("""COMPUTED_VALUE"""),"NIBEL B. 23999/NUSANTARA PERMAI")</f>
        <v>NIBEL B. 23999/NUSANTARA PERMAI</v>
      </c>
      <c r="D8728" s="42"/>
      <c r="E8728" s="42"/>
      <c r="F8728" s="48" t="str">
        <f>IFERROR(__xludf.DUMMYFUNCTION("""COMPUTED_VALUE"""),"")</f>
        <v/>
      </c>
      <c r="G8728" s="42" t="str">
        <f>IFERROR(__xludf.DUMMYFUNCTION("""COMPUTED_VALUE"""),"PERUBAHAN HAK")</f>
        <v>PERUBAHAN HAK</v>
      </c>
      <c r="H8728" s="42">
        <f t="shared" si="1"/>
        <v>3329</v>
      </c>
    </row>
    <row r="8729" ht="22.5" customHeight="1">
      <c r="B8729" s="42" t="str">
        <f>IFERROR(__xludf.DUMMYFUNCTION("""COMPUTED_VALUE"""),"K/10/291025/2")</f>
        <v>K/10/291025/2</v>
      </c>
      <c r="C8729" s="42" t="str">
        <f>IFERROR(__xludf.DUMMYFUNCTION("""COMPUTED_VALUE"""),"NIBEL B. 24000/NUSANTARA PERMAI")</f>
        <v>NIBEL B. 24000/NUSANTARA PERMAI</v>
      </c>
      <c r="D8729" s="42"/>
      <c r="E8729" s="42"/>
      <c r="F8729" s="48" t="str">
        <f>IFERROR(__xludf.DUMMYFUNCTION("""COMPUTED_VALUE"""),"")</f>
        <v/>
      </c>
      <c r="G8729" s="42" t="str">
        <f>IFERROR(__xludf.DUMMYFUNCTION("""COMPUTED_VALUE"""),"PERUBAHAN HAK")</f>
        <v>PERUBAHAN HAK</v>
      </c>
      <c r="H8729" s="42">
        <f t="shared" si="1"/>
        <v>3329</v>
      </c>
    </row>
    <row r="8730" ht="22.5" customHeight="1">
      <c r="B8730" s="42" t="str">
        <f>IFERROR(__xludf.DUMMYFUNCTION("""COMPUTED_VALUE"""),"K/11/291025/1")</f>
        <v>K/11/291025/1</v>
      </c>
      <c r="C8730" s="42" t="str">
        <f>IFERROR(__xludf.DUMMYFUNCTION("""COMPUTED_VALUE"""),"B. 50/PENGAJARAN")</f>
        <v>B. 50/PENGAJARAN</v>
      </c>
      <c r="D8730" s="42"/>
      <c r="E8730" s="42"/>
      <c r="F8730" s="48" t="str">
        <f>IFERROR(__xludf.DUMMYFUNCTION("""COMPUTED_VALUE"""),"")</f>
        <v/>
      </c>
      <c r="G8730" s="42" t="str">
        <f>IFERROR(__xludf.DUMMYFUNCTION("""COMPUTED_VALUE"""),"SKPT INFORMASI")</f>
        <v>SKPT INFORMASI</v>
      </c>
      <c r="H8730" s="42">
        <f t="shared" si="1"/>
        <v>3329</v>
      </c>
    </row>
    <row r="8731" ht="22.5" customHeight="1">
      <c r="B8731" s="42" t="str">
        <f>IFERROR(__xludf.DUMMYFUNCTION("""COMPUTED_VALUE"""),"K/12/291025/2")</f>
        <v>K/12/291025/2</v>
      </c>
      <c r="C8731" s="42" t="str">
        <f>IFERROR(__xludf.DUMMYFUNCTION("""COMPUTED_VALUE"""),"B. 48 /PENGAJARAN")</f>
        <v>B. 48 /PENGAJARAN</v>
      </c>
      <c r="D8731" s="42"/>
      <c r="E8731" s="42"/>
      <c r="F8731" s="48" t="str">
        <f>IFERROR(__xludf.DUMMYFUNCTION("""COMPUTED_VALUE"""),"")</f>
        <v/>
      </c>
      <c r="G8731" s="42" t="str">
        <f>IFERROR(__xludf.DUMMYFUNCTION("""COMPUTED_VALUE"""),"SKPT INFORMASI")</f>
        <v>SKPT INFORMASI</v>
      </c>
      <c r="H8731" s="42">
        <f t="shared" si="1"/>
        <v>3329</v>
      </c>
    </row>
    <row r="8732" ht="22.5" customHeight="1">
      <c r="B8732" s="42" t="str">
        <f>IFERROR(__xludf.DUMMYFUNCTION("""COMPUTED_VALUE"""),"K/13/291025/3")</f>
        <v>K/13/291025/3</v>
      </c>
      <c r="C8732" s="42" t="str">
        <f>IFERROR(__xludf.DUMMYFUNCTION("""COMPUTED_VALUE"""),"B. 90/PENGAJARAN")</f>
        <v>B. 90/PENGAJARAN</v>
      </c>
      <c r="D8732" s="42"/>
      <c r="E8732" s="42"/>
      <c r="F8732" s="48" t="str">
        <f>IFERROR(__xludf.DUMMYFUNCTION("""COMPUTED_VALUE"""),"")</f>
        <v/>
      </c>
      <c r="G8732" s="42" t="str">
        <f>IFERROR(__xludf.DUMMYFUNCTION("""COMPUTED_VALUE"""),"SKPT INFORMASI")</f>
        <v>SKPT INFORMASI</v>
      </c>
      <c r="H8732" s="42">
        <f t="shared" si="1"/>
        <v>3329</v>
      </c>
    </row>
    <row r="8733" ht="22.5" customHeight="1">
      <c r="B8733" s="42" t="str">
        <f>IFERROR(__xludf.DUMMYFUNCTION("""COMPUTED_VALUE"""),"K/14/291025/4")</f>
        <v>K/14/291025/4</v>
      </c>
      <c r="C8733" s="42" t="str">
        <f>IFERROR(__xludf.DUMMYFUNCTION("""COMPUTED_VALUE"""),"B. 91/PENGAJARAN")</f>
        <v>B. 91/PENGAJARAN</v>
      </c>
      <c r="D8733" s="42"/>
      <c r="E8733" s="42"/>
      <c r="F8733" s="48" t="str">
        <f>IFERROR(__xludf.DUMMYFUNCTION("""COMPUTED_VALUE"""),"")</f>
        <v/>
      </c>
      <c r="G8733" s="42" t="str">
        <f>IFERROR(__xludf.DUMMYFUNCTION("""COMPUTED_VALUE"""),"SKPT INFORMASI")</f>
        <v>SKPT INFORMASI</v>
      </c>
      <c r="H8733" s="42">
        <f t="shared" si="1"/>
        <v>3329</v>
      </c>
    </row>
    <row r="8734" ht="22.5" customHeight="1">
      <c r="B8734" s="42" t="str">
        <f>IFERROR(__xludf.DUMMYFUNCTION("""COMPUTED_VALUE"""),"K/15/291025/5")</f>
        <v>K/15/291025/5</v>
      </c>
      <c r="C8734" s="42" t="str">
        <f>IFERROR(__xludf.DUMMYFUNCTION("""COMPUTED_VALUE"""),"B. 93/PENGAJARAN")</f>
        <v>B. 93/PENGAJARAN</v>
      </c>
      <c r="D8734" s="42"/>
      <c r="E8734" s="42"/>
      <c r="F8734" s="48" t="str">
        <f>IFERROR(__xludf.DUMMYFUNCTION("""COMPUTED_VALUE"""),"")</f>
        <v/>
      </c>
      <c r="G8734" s="42" t="str">
        <f>IFERROR(__xludf.DUMMYFUNCTION("""COMPUTED_VALUE"""),"SKPT INFORMASI")</f>
        <v>SKPT INFORMASI</v>
      </c>
      <c r="H8734" s="42">
        <f t="shared" si="1"/>
        <v>3329</v>
      </c>
    </row>
    <row r="8735" ht="22.5" customHeight="1">
      <c r="B8735" s="42" t="str">
        <f>IFERROR(__xludf.DUMMYFUNCTION("""COMPUTED_VALUE"""),"ABOQOTXK")</f>
        <v>ABOQOTXK</v>
      </c>
      <c r="C8735" s="42" t="str">
        <f>IFERROR(__xludf.DUMMYFUNCTION("""COMPUTED_VALUE"""),"M.1443/ Gotong Royong")</f>
        <v>M.1443/ Gotong Royong</v>
      </c>
      <c r="D8735" s="42"/>
      <c r="E8735" s="42"/>
      <c r="F8735" s="48" t="str">
        <f>IFERROR(__xludf.DUMMYFUNCTION("""COMPUTED_VALUE"""),"")</f>
        <v/>
      </c>
      <c r="G8735" s="42" t="str">
        <f>IFERROR(__xludf.DUMMYFUNCTION("""COMPUTED_VALUE"""),"BN JUAL BELI")</f>
        <v>BN JUAL BELI</v>
      </c>
      <c r="H8735" s="42">
        <f t="shared" si="1"/>
        <v>3329</v>
      </c>
    </row>
    <row r="8736" ht="22.5" customHeight="1">
      <c r="B8736" s="42" t="str">
        <f>IFERROR(__xludf.DUMMYFUNCTION("""COMPUTED_VALUE"""),"ABFHDGML")</f>
        <v>ABFHDGML</v>
      </c>
      <c r="C8736" s="42" t="str">
        <f>IFERROR(__xludf.DUMMYFUNCTION("""COMPUTED_VALUE"""),"M 612/ korpri raya")</f>
        <v>M 612/ korpri raya</v>
      </c>
      <c r="D8736" s="42"/>
      <c r="E8736" s="42"/>
      <c r="F8736" s="48" t="str">
        <f>IFERROR(__xludf.DUMMYFUNCTION("""COMPUTED_VALUE"""),"")</f>
        <v/>
      </c>
      <c r="G8736" s="42" t="str">
        <f>IFERROR(__xludf.DUMMYFUNCTION("""COMPUTED_VALUE"""),"BN JUAL BELI")</f>
        <v>BN JUAL BELI</v>
      </c>
      <c r="H8736" s="42">
        <f t="shared" si="1"/>
        <v>3329</v>
      </c>
    </row>
    <row r="8737" ht="22.5" customHeight="1">
      <c r="B8737" s="42" t="str">
        <f>IFERROR(__xludf.DUMMYFUNCTION("""COMPUTED_VALUE"""),"ABTQDUPR")</f>
        <v>ABTQDUPR</v>
      </c>
      <c r="C8737" s="42" t="str">
        <f>IFERROR(__xludf.DUMMYFUNCTION("""COMPUTED_VALUE"""),"M 5291/ langkapura ")</f>
        <v>M 5291/ langkapura </v>
      </c>
      <c r="D8737" s="42"/>
      <c r="E8737" s="42"/>
      <c r="F8737" s="48" t="str">
        <f>IFERROR(__xludf.DUMMYFUNCTION("""COMPUTED_VALUE"""),"")</f>
        <v/>
      </c>
      <c r="G8737" s="42" t="str">
        <f>IFERROR(__xludf.DUMMYFUNCTION("""COMPUTED_VALUE"""),"BN JUAL BELI")</f>
        <v>BN JUAL BELI</v>
      </c>
      <c r="H8737" s="42">
        <f t="shared" si="1"/>
        <v>3329</v>
      </c>
    </row>
    <row r="8738" ht="22.5" customHeight="1">
      <c r="B8738" s="42" t="str">
        <f>IFERROR(__xludf.DUMMYFUNCTION("""COMPUTED_VALUE"""),"ABMWNFWH")</f>
        <v>ABMWNFWH</v>
      </c>
      <c r="C8738" s="42" t="str">
        <f>IFERROR(__xludf.DUMMYFUNCTION("""COMPUTED_VALUE"""),"M 1160/ korpri jaya")</f>
        <v>M 1160/ korpri jaya</v>
      </c>
      <c r="D8738" s="42"/>
      <c r="E8738" s="42"/>
      <c r="F8738" s="48" t="str">
        <f>IFERROR(__xludf.DUMMYFUNCTION("""COMPUTED_VALUE"""),"")</f>
        <v/>
      </c>
      <c r="G8738" s="42" t="str">
        <f>IFERROR(__xludf.DUMMYFUNCTION("""COMPUTED_VALUE"""),"Balik nama ")</f>
        <v>Balik nama </v>
      </c>
      <c r="H8738" s="42">
        <f t="shared" si="1"/>
        <v>3329</v>
      </c>
    </row>
    <row r="8739" ht="22.5" customHeight="1">
      <c r="B8739" s="42" t="str">
        <f>IFERROR(__xludf.DUMMYFUNCTION("""COMPUTED_VALUE"""),"K/16/291025/1")</f>
        <v>K/16/291025/1</v>
      </c>
      <c r="C8739" s="42" t="str">
        <f>IFERROR(__xludf.DUMMYFUNCTION("""COMPUTED_VALUE"""),"BATU PUTU")</f>
        <v>BATU PUTU</v>
      </c>
      <c r="D8739" s="42"/>
      <c r="E8739" s="42"/>
      <c r="F8739" s="48" t="str">
        <f>IFERROR(__xludf.DUMMYFUNCTION("""COMPUTED_VALUE"""),"")</f>
        <v/>
      </c>
      <c r="G8739" s="42" t="str">
        <f>IFERROR(__xludf.DUMMYFUNCTION("""COMPUTED_VALUE"""),"PENGUKURAN PERTAMA KALI")</f>
        <v>PENGUKURAN PERTAMA KALI</v>
      </c>
      <c r="H8739" s="42">
        <f t="shared" si="1"/>
        <v>3329</v>
      </c>
    </row>
    <row r="8740" ht="22.5" customHeight="1">
      <c r="B8740" s="42" t="str">
        <f>IFERROR(__xludf.DUMMYFUNCTION("""COMPUTED_VALUE"""),"ABCQUIYR/AB053")</f>
        <v>ABCQUIYR/AB053</v>
      </c>
      <c r="C8740" s="42" t="str">
        <f>IFERROR(__xludf.DUMMYFUNCTION("""COMPUTED_VALUE"""),"M 13774/Sukabumi")</f>
        <v>M 13774/Sukabumi</v>
      </c>
      <c r="D8740" s="42"/>
      <c r="E8740" s="42"/>
      <c r="F8740" s="48" t="str">
        <f>IFERROR(__xludf.DUMMYFUNCTION("""COMPUTED_VALUE"""),"")</f>
        <v/>
      </c>
      <c r="G8740" s="42" t="str">
        <f>IFERROR(__xludf.DUMMYFUNCTION("""COMPUTED_VALUE"""),"BN JUAL BELI")</f>
        <v>BN JUAL BELI</v>
      </c>
      <c r="H8740" s="42">
        <f t="shared" si="1"/>
        <v>3329</v>
      </c>
    </row>
    <row r="8741" ht="22.5" customHeight="1">
      <c r="B8741" s="42" t="str">
        <f>IFERROR(__xludf.DUMMYFUNCTION("""COMPUTED_VALUE"""),"ABKOACDR/AB078")</f>
        <v>ABKOACDR/AB078</v>
      </c>
      <c r="C8741" s="42" t="str">
        <f>IFERROR(__xludf.DUMMYFUNCTION("""COMPUTED_VALUE"""),"M Nibel 18356/Gedong Meneng Baru")</f>
        <v>M Nibel 18356/Gedong Meneng Baru</v>
      </c>
      <c r="D8741" s="42"/>
      <c r="E8741" s="42"/>
      <c r="F8741" s="48" t="str">
        <f>IFERROR(__xludf.DUMMYFUNCTION("""COMPUTED_VALUE"""),"")</f>
        <v/>
      </c>
      <c r="G8741" s="42" t="str">
        <f>IFERROR(__xludf.DUMMYFUNCTION("""COMPUTED_VALUE"""),"BN JUAL BELI")</f>
        <v>BN JUAL BELI</v>
      </c>
      <c r="H8741" s="42">
        <f t="shared" si="1"/>
        <v>3329</v>
      </c>
    </row>
    <row r="8742" ht="22.5" customHeight="1">
      <c r="B8742" s="42" t="str">
        <f>IFERROR(__xludf.DUMMYFUNCTION("""COMPUTED_VALUE"""),"K/17/291025/1")</f>
        <v>K/17/291025/1</v>
      </c>
      <c r="C8742" s="42" t="str">
        <f>IFERROR(__xludf.DUMMYFUNCTION("""COMPUTED_VALUE"""),"SUKADANA HAM")</f>
        <v>SUKADANA HAM</v>
      </c>
      <c r="D8742" s="42"/>
      <c r="E8742" s="42"/>
      <c r="F8742" s="48" t="str">
        <f>IFERROR(__xludf.DUMMYFUNCTION("""COMPUTED_VALUE"""),"")</f>
        <v/>
      </c>
      <c r="G8742" s="42" t="str">
        <f>IFERROR(__xludf.DUMMYFUNCTION("""COMPUTED_VALUE"""),"PERMOHONAN SK")</f>
        <v>PERMOHONAN SK</v>
      </c>
      <c r="H8742" s="42">
        <f t="shared" si="1"/>
        <v>3329</v>
      </c>
    </row>
    <row r="8743" ht="22.5" customHeight="1">
      <c r="B8743" s="42" t="str">
        <f>IFERROR(__xludf.DUMMYFUNCTION("""COMPUTED_VALUE"""),"ABMWVEUW")</f>
        <v>ABMWVEUW</v>
      </c>
      <c r="C8743" s="42" t="str">
        <f>IFERROR(__xludf.DUMMYFUNCTION("""COMPUTED_VALUE"""),"M 684/ pelita")</f>
        <v>M 684/ pelita</v>
      </c>
      <c r="D8743" s="42"/>
      <c r="E8743" s="42"/>
      <c r="F8743" s="48" t="str">
        <f>IFERROR(__xludf.DUMMYFUNCTION("""COMPUTED_VALUE"""),"")</f>
        <v/>
      </c>
      <c r="G8743" s="42" t="str">
        <f>IFERROR(__xludf.DUMMYFUNCTION("""COMPUTED_VALUE"""),"BN JUAL BELI")</f>
        <v>BN JUAL BELI</v>
      </c>
      <c r="H8743" s="42">
        <f t="shared" si="1"/>
        <v>3329</v>
      </c>
    </row>
    <row r="8744" ht="22.5" customHeight="1">
      <c r="B8744" s="42" t="str">
        <f>IFERROR(__xludf.DUMMYFUNCTION("""COMPUTED_VALUE"""),"ABHUKLII")</f>
        <v>ABHUKLII</v>
      </c>
      <c r="C8744" s="42" t="str">
        <f>IFERROR(__xludf.DUMMYFUNCTION("""COMPUTED_VALUE"""),"M 3304/ BERINGIN RAYA")</f>
        <v>M 3304/ BERINGIN RAYA</v>
      </c>
      <c r="D8744" s="42"/>
      <c r="E8744" s="42"/>
      <c r="F8744" s="48" t="str">
        <f>IFERROR(__xludf.DUMMYFUNCTION("""COMPUTED_VALUE"""),"")</f>
        <v/>
      </c>
      <c r="G8744" s="42" t="str">
        <f>IFERROR(__xludf.DUMMYFUNCTION("""COMPUTED_VALUE"""),"BN JUAL BELI")</f>
        <v>BN JUAL BELI</v>
      </c>
      <c r="H8744" s="42">
        <f t="shared" si="1"/>
        <v>3329</v>
      </c>
    </row>
    <row r="8745" ht="22.5" customHeight="1">
      <c r="B8745" s="42" t="str">
        <f>IFERROR(__xludf.DUMMYFUNCTION("""COMPUTED_VALUE"""),"ABDEUILK")</f>
        <v>ABDEUILK</v>
      </c>
      <c r="C8745" s="42" t="str">
        <f>IFERROR(__xludf.DUMMYFUNCTION("""COMPUTED_VALUE"""),"NIBEL M 18483/ TANJUNG SENANG")</f>
        <v>NIBEL M 18483/ TANJUNG SENANG</v>
      </c>
      <c r="D8745" s="42"/>
      <c r="E8745" s="42"/>
      <c r="F8745" s="48" t="str">
        <f>IFERROR(__xludf.DUMMYFUNCTION("""COMPUTED_VALUE"""),"")</f>
        <v/>
      </c>
      <c r="G8745" s="42" t="str">
        <f>IFERROR(__xludf.DUMMYFUNCTION("""COMPUTED_VALUE"""),"BN JUAL BELI")</f>
        <v>BN JUAL BELI</v>
      </c>
      <c r="H8745" s="42">
        <f t="shared" si="1"/>
        <v>3329</v>
      </c>
    </row>
    <row r="8746" ht="22.5" customHeight="1">
      <c r="B8746" s="42" t="str">
        <f>IFERROR(__xludf.DUMMYFUNCTION("""COMPUTED_VALUE"""),"L/18/291025/1")</f>
        <v>L/18/291025/1</v>
      </c>
      <c r="C8746" s="42" t="str">
        <f>IFERROR(__xludf.DUMMYFUNCTION("""COMPUTED_VALUE"""),"M. 17083/SUKARAME I")</f>
        <v>M. 17083/SUKARAME I</v>
      </c>
      <c r="D8746" s="42"/>
      <c r="E8746" s="42"/>
      <c r="F8746" s="48" t="str">
        <f>IFERROR(__xludf.DUMMYFUNCTION("""COMPUTED_VALUE"""),"")</f>
        <v/>
      </c>
      <c r="G8746" s="42" t="str">
        <f>IFERROR(__xludf.DUMMYFUNCTION("""COMPUTED_VALUE"""),"ROYA")</f>
        <v>ROYA</v>
      </c>
      <c r="H8746" s="42">
        <f t="shared" si="1"/>
        <v>3329</v>
      </c>
    </row>
    <row r="8747" ht="22.5" customHeight="1">
      <c r="B8747" s="42" t="str">
        <f>IFERROR(__xludf.DUMMYFUNCTION("""COMPUTED_VALUE"""),"L/19/291025/1")</f>
        <v>L/19/291025/1</v>
      </c>
      <c r="C8747" s="42" t="str">
        <f>IFERROR(__xludf.DUMMYFUNCTION("""COMPUTED_VALUE"""),"SHGB NIB. 18658/BERINGIN JAYA")</f>
        <v>SHGB NIB. 18658/BERINGIN JAYA</v>
      </c>
      <c r="D8747" s="42"/>
      <c r="E8747" s="42"/>
      <c r="F8747" s="48" t="str">
        <f>IFERROR(__xludf.DUMMYFUNCTION("""COMPUTED_VALUE"""),"")</f>
        <v/>
      </c>
      <c r="G8747" s="42" t="str">
        <f>IFERROR(__xludf.DUMMYFUNCTION("""COMPUTED_VALUE"""),"PENINGKATAN HAK")</f>
        <v>PENINGKATAN HAK</v>
      </c>
      <c r="H8747" s="42">
        <f t="shared" si="1"/>
        <v>3329</v>
      </c>
    </row>
    <row r="8748" ht="22.5" customHeight="1">
      <c r="B8748" s="42" t="str">
        <f>IFERROR(__xludf.DUMMYFUNCTION("""COMPUTED_VALUE"""),"ABPBEXSI/Ab089")</f>
        <v>ABPBEXSI/Ab089</v>
      </c>
      <c r="C8748" s="42" t="str">
        <f>IFERROR(__xludf.DUMMYFUNCTION("""COMPUTED_VALUE"""),"m. Nibel 24851/Rajabasa Jaya")</f>
        <v>m. Nibel 24851/Rajabasa Jaya</v>
      </c>
      <c r="D8748" s="42"/>
      <c r="E8748" s="42"/>
      <c r="F8748" s="48" t="str">
        <f>IFERROR(__xludf.DUMMYFUNCTION("""COMPUTED_VALUE"""),"")</f>
        <v/>
      </c>
      <c r="G8748" s="42" t="str">
        <f>IFERROR(__xludf.DUMMYFUNCTION("""COMPUTED_VALUE"""),"BN JUAL BELI")</f>
        <v>BN JUAL BELI</v>
      </c>
      <c r="H8748" s="42">
        <f t="shared" si="1"/>
        <v>3329</v>
      </c>
    </row>
    <row r="8749" ht="22.5" customHeight="1">
      <c r="B8749" s="42" t="str">
        <f>IFERROR(__xludf.DUMMYFUNCTION("""COMPUTED_VALUE"""),"ABUKPABK/AB026")</f>
        <v>ABUKPABK/AB026</v>
      </c>
      <c r="C8749" s="42" t="str">
        <f>IFERROR(__xludf.DUMMYFUNCTION("""COMPUTED_VALUE"""),"SHM NIB. 08.01.000017633.0/Labuhan Ratu")</f>
        <v>SHM NIB. 08.01.000017633.0/Labuhan Ratu</v>
      </c>
      <c r="D8749" s="42"/>
      <c r="E8749" s="42"/>
      <c r="F8749" s="48" t="str">
        <f>IFERROR(__xludf.DUMMYFUNCTION("""COMPUTED_VALUE"""),"")</f>
        <v/>
      </c>
      <c r="G8749" s="42" t="str">
        <f>IFERROR(__xludf.DUMMYFUNCTION("""COMPUTED_VALUE"""),"BN Jual Beli ")</f>
        <v>BN Jual Beli </v>
      </c>
      <c r="H8749" s="42">
        <f t="shared" si="1"/>
        <v>3329</v>
      </c>
    </row>
    <row r="8750" ht="22.5" customHeight="1">
      <c r="B8750" s="42" t="str">
        <f>IFERROR(__xludf.DUMMYFUNCTION("""COMPUTED_VALUE"""),"L/2/301025/1")</f>
        <v>L/2/301025/1</v>
      </c>
      <c r="C8750" s="42" t="str">
        <f>IFERROR(__xludf.DUMMYFUNCTION("""COMPUTED_VALUE"""),"M. 9749/SUKAMENANTI")</f>
        <v>M. 9749/SUKAMENANTI</v>
      </c>
      <c r="D8750" s="42"/>
      <c r="E8750" s="42"/>
      <c r="F8750" s="48" t="str">
        <f>IFERROR(__xludf.DUMMYFUNCTION("""COMPUTED_VALUE"""),"")</f>
        <v/>
      </c>
      <c r="G8750" s="42" t="str">
        <f>IFERROR(__xludf.DUMMYFUNCTION("""COMPUTED_VALUE"""),"SERTIPIKAT HILANG")</f>
        <v>SERTIPIKAT HILANG</v>
      </c>
      <c r="H8750" s="42">
        <f t="shared" si="1"/>
        <v>3329</v>
      </c>
    </row>
    <row r="8751" ht="22.5" customHeight="1">
      <c r="B8751" s="42" t="str">
        <f>IFERROR(__xludf.DUMMYFUNCTION("""COMPUTED_VALUE"""),"K/1/301025/1")</f>
        <v>K/1/301025/1</v>
      </c>
      <c r="C8751" s="42" t="str">
        <f>IFERROR(__xludf.DUMMYFUNCTION("""COMPUTED_VALUE"""),"M. 15110/SUKABUMI")</f>
        <v>M. 15110/SUKABUMI</v>
      </c>
      <c r="D8751" s="42"/>
      <c r="E8751" s="42"/>
      <c r="F8751" s="48" t="str">
        <f>IFERROR(__xludf.DUMMYFUNCTION("""COMPUTED_VALUE"""),"")</f>
        <v/>
      </c>
      <c r="G8751" s="42" t="str">
        <f>IFERROR(__xludf.DUMMYFUNCTION("""COMPUTED_VALUE"""),"BN JUAL BELI")</f>
        <v>BN JUAL BELI</v>
      </c>
      <c r="H8751" s="42">
        <f t="shared" si="1"/>
        <v>3329</v>
      </c>
    </row>
    <row r="8752" ht="22.5" customHeight="1">
      <c r="B8752" s="42" t="str">
        <f>IFERROR(__xludf.DUMMYFUNCTION("""COMPUTED_VALUE"""),"K/3/301025/1")</f>
        <v>K/3/301025/1</v>
      </c>
      <c r="C8752" s="42" t="str">
        <f>IFERROR(__xludf.DUMMYFUNCTION("""COMPUTED_VALUE"""),"SUKARAME")</f>
        <v>SUKARAME</v>
      </c>
      <c r="D8752" s="42"/>
      <c r="E8752" s="42"/>
      <c r="F8752" s="48" t="str">
        <f>IFERROR(__xludf.DUMMYFUNCTION("""COMPUTED_VALUE"""),"")</f>
        <v/>
      </c>
      <c r="G8752" s="42" t="str">
        <f>IFERROR(__xludf.DUMMYFUNCTION("""COMPUTED_VALUE"""),"PENGUKURAN PERTAMA KALI")</f>
        <v>PENGUKURAN PERTAMA KALI</v>
      </c>
      <c r="H8752" s="42">
        <f t="shared" si="1"/>
        <v>3329</v>
      </c>
    </row>
    <row r="8753" ht="22.5" customHeight="1">
      <c r="B8753" s="42" t="str">
        <f>IFERROR(__xludf.DUMMYFUNCTION("""COMPUTED_VALUE"""),"K/4/301025/1")</f>
        <v>K/4/301025/1</v>
      </c>
      <c r="C8753" s="42" t="str">
        <f>IFERROR(__xludf.DUMMYFUNCTION("""COMPUTED_VALUE"""),"B. 92/PENGAJARAN")</f>
        <v>B. 92/PENGAJARAN</v>
      </c>
      <c r="D8753" s="42"/>
      <c r="E8753" s="42"/>
      <c r="F8753" s="48" t="str">
        <f>IFERROR(__xludf.DUMMYFUNCTION("""COMPUTED_VALUE"""),"")</f>
        <v/>
      </c>
      <c r="G8753" s="42" t="str">
        <f>IFERROR(__xludf.DUMMYFUNCTION("""COMPUTED_VALUE"""),"SKPT INFORMASI")</f>
        <v>SKPT INFORMASI</v>
      </c>
      <c r="H8753" s="42">
        <f t="shared" si="1"/>
        <v>3329</v>
      </c>
    </row>
    <row r="8754" ht="22.5" customHeight="1">
      <c r="B8754" s="42" t="str">
        <f>IFERROR(__xludf.DUMMYFUNCTION("""COMPUTED_VALUE"""),"ABDKDRPU")</f>
        <v>ABDKDRPU</v>
      </c>
      <c r="C8754" s="42" t="str">
        <f>IFERROR(__xludf.DUMMYFUNCTION("""COMPUTED_VALUE"""),"668/Gu.T")</f>
        <v>668/Gu.T</v>
      </c>
      <c r="D8754" s="42"/>
      <c r="E8754" s="42"/>
      <c r="F8754" s="48" t="str">
        <f>IFERROR(__xludf.DUMMYFUNCTION("""COMPUTED_VALUE"""),"")</f>
        <v/>
      </c>
      <c r="G8754" s="42" t="str">
        <f>IFERROR(__xludf.DUMMYFUNCTION("""COMPUTED_VALUE"""),"BN Jual Beli")</f>
        <v>BN Jual Beli</v>
      </c>
      <c r="H8754" s="42">
        <f t="shared" si="1"/>
        <v>3329</v>
      </c>
    </row>
    <row r="8755" ht="22.5" customHeight="1">
      <c r="B8755" s="42" t="str">
        <f>IFERROR(__xludf.DUMMYFUNCTION("""COMPUTED_VALUE"""),"L/5/301025/1")</f>
        <v>L/5/301025/1</v>
      </c>
      <c r="C8755" s="42" t="str">
        <f>IFERROR(__xludf.DUMMYFUNCTION("""COMPUTED_VALUE"""),"B. 3177/SUKABUMI")</f>
        <v>B. 3177/SUKABUMI</v>
      </c>
      <c r="D8755" s="42"/>
      <c r="E8755" s="42"/>
      <c r="F8755" s="48" t="str">
        <f>IFERROR(__xludf.DUMMYFUNCTION("""COMPUTED_VALUE"""),"")</f>
        <v/>
      </c>
      <c r="G8755" s="42" t="str">
        <f>IFERROR(__xludf.DUMMYFUNCTION("""COMPUTED_VALUE"""),"SKPT INFORMASI")</f>
        <v>SKPT INFORMASI</v>
      </c>
      <c r="H8755" s="42">
        <f t="shared" si="1"/>
        <v>3329</v>
      </c>
    </row>
    <row r="8756" ht="22.5" customHeight="1">
      <c r="B8756" s="42" t="str">
        <f>IFERROR(__xludf.DUMMYFUNCTION("""COMPUTED_VALUE"""),"ABMCRSWL")</f>
        <v>ABMCRSWL</v>
      </c>
      <c r="C8756" s="42" t="str">
        <f>IFERROR(__xludf.DUMMYFUNCTION("""COMPUTED_VALUE"""),"nibel m 22717/ nog")</f>
        <v>nibel m 22717/ nog</v>
      </c>
      <c r="D8756" s="42"/>
      <c r="E8756" s="42"/>
      <c r="F8756" s="48" t="str">
        <f>IFERROR(__xludf.DUMMYFUNCTION("""COMPUTED_VALUE"""),"")</f>
        <v/>
      </c>
      <c r="G8756" s="42" t="str">
        <f>IFERROR(__xludf.DUMMYFUNCTION("""COMPUTED_VALUE"""),"balik nama jual Beli")</f>
        <v>balik nama jual Beli</v>
      </c>
      <c r="H8756" s="42">
        <f t="shared" si="1"/>
        <v>3329</v>
      </c>
    </row>
    <row r="8757" ht="22.5" customHeight="1">
      <c r="B8757" s="42" t="str">
        <f>IFERROR(__xludf.DUMMYFUNCTION("""COMPUTED_VALUE"""),"K/7/301025/1")</f>
        <v>K/7/301025/1</v>
      </c>
      <c r="C8757" s="42" t="str">
        <f>IFERROR(__xludf.DUMMYFUNCTION("""COMPUTED_VALUE"""),"B. 1380/PINANG JAYA")</f>
        <v>B. 1380/PINANG JAYA</v>
      </c>
      <c r="D8757" s="42"/>
      <c r="E8757" s="42"/>
      <c r="F8757" s="48" t="str">
        <f>IFERROR(__xludf.DUMMYFUNCTION("""COMPUTED_VALUE"""),"")</f>
        <v/>
      </c>
      <c r="G8757" s="42" t="str">
        <f>IFERROR(__xludf.DUMMYFUNCTION("""COMPUTED_VALUE"""),"PERUBAHAN HAK")</f>
        <v>PERUBAHAN HAK</v>
      </c>
      <c r="H8757" s="42">
        <f t="shared" si="1"/>
        <v>3329</v>
      </c>
    </row>
    <row r="8758" ht="22.5" customHeight="1">
      <c r="B8758" s="42" t="str">
        <f>IFERROR(__xludf.DUMMYFUNCTION("""COMPUTED_VALUE"""),"L/6/301025/1")</f>
        <v>L/6/301025/1</v>
      </c>
      <c r="C8758" s="42" t="str">
        <f>IFERROR(__xludf.DUMMYFUNCTION("""COMPUTED_VALUE"""),"M. 12711/SUKABUMI")</f>
        <v>M. 12711/SUKABUMI</v>
      </c>
      <c r="D8758" s="42"/>
      <c r="E8758" s="42"/>
      <c r="F8758" s="48" t="str">
        <f>IFERROR(__xludf.DUMMYFUNCTION("""COMPUTED_VALUE"""),"")</f>
        <v/>
      </c>
      <c r="G8758" s="42" t="str">
        <f>IFERROR(__xludf.DUMMYFUNCTION("""COMPUTED_VALUE"""),"ROYA")</f>
        <v>ROYA</v>
      </c>
      <c r="H8758" s="42">
        <f t="shared" si="1"/>
        <v>3329</v>
      </c>
    </row>
    <row r="8759" ht="22.5" customHeight="1">
      <c r="B8759" s="42" t="str">
        <f>IFERROR(__xludf.DUMMYFUNCTION("""COMPUTED_VALUE"""),"ABWVQDMW")</f>
        <v>ABWVQDMW</v>
      </c>
      <c r="C8759" s="42" t="str">
        <f>IFERROR(__xludf.DUMMYFUNCTION("""COMPUTED_VALUE"""),"NIBEL B 5345/ Pesawahan")</f>
        <v>NIBEL B 5345/ Pesawahan</v>
      </c>
      <c r="D8759" s="42"/>
      <c r="E8759" s="42"/>
      <c r="F8759" s="48" t="str">
        <f>IFERROR(__xludf.DUMMYFUNCTION("""COMPUTED_VALUE"""),"")</f>
        <v/>
      </c>
      <c r="G8759" s="42" t="str">
        <f>IFERROR(__xludf.DUMMYFUNCTION("""COMPUTED_VALUE"""),"BN JUAL BELI")</f>
        <v>BN JUAL BELI</v>
      </c>
      <c r="H8759" s="42">
        <f t="shared" si="1"/>
        <v>3329</v>
      </c>
    </row>
    <row r="8760" ht="22.5" customHeight="1">
      <c r="B8760" s="42" t="str">
        <f>IFERROR(__xludf.DUMMYFUNCTION("""COMPUTED_VALUE"""),"AB023")</f>
        <v>AB023</v>
      </c>
      <c r="C8760" s="42" t="str">
        <f>IFERROR(__xludf.DUMMYFUNCTION("""COMPUTED_VALUE"""),"Hak Guna Bangunan No.01217 Kel. Kemiling Permai")</f>
        <v>Hak Guna Bangunan No.01217 Kel. Kemiling Permai</v>
      </c>
      <c r="D8760" s="42"/>
      <c r="E8760" s="42"/>
      <c r="F8760" s="48" t="str">
        <f>IFERROR(__xludf.DUMMYFUNCTION("""COMPUTED_VALUE"""),"")</f>
        <v/>
      </c>
      <c r="G8760" s="42" t="str">
        <f>IFERROR(__xludf.DUMMYFUNCTION("""COMPUTED_VALUE"""),"Balik Nama ")</f>
        <v>Balik Nama </v>
      </c>
      <c r="H8760" s="42">
        <f t="shared" si="1"/>
        <v>3329</v>
      </c>
    </row>
    <row r="8761" ht="22.5" customHeight="1">
      <c r="B8761" s="42" t="str">
        <f>IFERROR(__xludf.DUMMYFUNCTION("""COMPUTED_VALUE"""),"AB023")</f>
        <v>AB023</v>
      </c>
      <c r="C8761" s="42" t="str">
        <f>IFERROR(__xludf.DUMMYFUNCTION("""COMPUTED_VALUE"""),"SHM NIB.08.01.000023733.0 atasnama Nengah Nase")</f>
        <v>SHM NIB.08.01.000023733.0 atasnama Nengah Nase</v>
      </c>
      <c r="D8761" s="42"/>
      <c r="E8761" s="42"/>
      <c r="F8761" s="48" t="str">
        <f>IFERROR(__xludf.DUMMYFUNCTION("""COMPUTED_VALUE"""),"")</f>
        <v/>
      </c>
      <c r="G8761" s="42" t="str">
        <f>IFERROR(__xludf.DUMMYFUNCTION("""COMPUTED_VALUE"""),"Balik Nama")</f>
        <v>Balik Nama</v>
      </c>
      <c r="H8761" s="42">
        <f t="shared" si="1"/>
        <v>3329</v>
      </c>
    </row>
    <row r="8762" ht="22.5" customHeight="1">
      <c r="B8762" s="42" t="str">
        <f>IFERROR(__xludf.DUMMYFUNCTION("""COMPUTED_VALUE"""),"K/8/301025/1")</f>
        <v>K/8/301025/1</v>
      </c>
      <c r="C8762" s="42" t="str">
        <f>IFERROR(__xludf.DUMMYFUNCTION("""COMPUTED_VALUE"""),"TELUKBETUNG")</f>
        <v>TELUKBETUNG</v>
      </c>
      <c r="D8762" s="42"/>
      <c r="E8762" s="42"/>
      <c r="F8762" s="48" t="str">
        <f>IFERROR(__xludf.DUMMYFUNCTION("""COMPUTED_VALUE"""),"")</f>
        <v/>
      </c>
      <c r="G8762" s="42" t="str">
        <f>IFERROR(__xludf.DUMMYFUNCTION("""COMPUTED_VALUE"""),"PTPGT TANAH MENTAH")</f>
        <v>PTPGT TANAH MENTAH</v>
      </c>
      <c r="H8762" s="42">
        <f t="shared" si="1"/>
        <v>3329</v>
      </c>
    </row>
    <row r="8763" ht="22.5" customHeight="1">
      <c r="B8763" s="42" t="str">
        <f>IFERROR(__xludf.DUMMYFUNCTION("""COMPUTED_VALUE"""),"AB023")</f>
        <v>AB023</v>
      </c>
      <c r="C8763" s="42" t="str">
        <f>IFERROR(__xludf.DUMMYFUNCTION("""COMPUTED_VALUE"""),"SHM NIB. 08.01.000021582.0 ")</f>
        <v>SHM NIB. 08.01.000021582.0 </v>
      </c>
      <c r="D8763" s="42"/>
      <c r="E8763" s="42"/>
      <c r="F8763" s="48" t="str">
        <f>IFERROR(__xludf.DUMMYFUNCTION("""COMPUTED_VALUE"""),"")</f>
        <v/>
      </c>
      <c r="G8763" s="42" t="str">
        <f>IFERROR(__xludf.DUMMYFUNCTION("""COMPUTED_VALUE"""),"Balik Nama")</f>
        <v>Balik Nama</v>
      </c>
      <c r="H8763" s="42">
        <f t="shared" si="1"/>
        <v>3329</v>
      </c>
    </row>
    <row r="8764" ht="22.5" customHeight="1">
      <c r="B8764" s="42" t="str">
        <f>IFERROR(__xludf.DUMMYFUNCTION("""COMPUTED_VALUE"""),"Abndoqyr")</f>
        <v>Abndoqyr</v>
      </c>
      <c r="C8764" s="42" t="str">
        <f>IFERROR(__xludf.DUMMYFUNCTION("""COMPUTED_VALUE"""),"m 576/ korpri raya")</f>
        <v>m 576/ korpri raya</v>
      </c>
      <c r="D8764" s="42"/>
      <c r="E8764" s="42"/>
      <c r="F8764" s="48" t="str">
        <f>IFERROR(__xludf.DUMMYFUNCTION("""COMPUTED_VALUE"""),"")</f>
        <v/>
      </c>
      <c r="G8764" s="42" t="str">
        <f>IFERROR(__xludf.DUMMYFUNCTION("""COMPUTED_VALUE"""),"Ajb")</f>
        <v>Ajb</v>
      </c>
      <c r="H8764" s="42">
        <f t="shared" si="1"/>
        <v>3329</v>
      </c>
    </row>
    <row r="8765" ht="22.5" customHeight="1">
      <c r="B8765" s="42" t="str">
        <f>IFERROR(__xludf.DUMMYFUNCTION("""COMPUTED_VALUE"""),"ABPPSBZO")</f>
        <v>ABPPSBZO</v>
      </c>
      <c r="C8765" s="42" t="str">
        <f>IFERROR(__xludf.DUMMYFUNCTION("""COMPUTED_VALUE"""),"M. 1110/pinang jaya")</f>
        <v>M. 1110/pinang jaya</v>
      </c>
      <c r="D8765" s="42"/>
      <c r="E8765" s="42"/>
      <c r="F8765" s="48" t="str">
        <f>IFERROR(__xludf.DUMMYFUNCTION("""COMPUTED_VALUE"""),"")</f>
        <v/>
      </c>
      <c r="G8765" s="42" t="str">
        <f>IFERROR(__xludf.DUMMYFUNCTION("""COMPUTED_VALUE"""),"Bn jual beli")</f>
        <v>Bn jual beli</v>
      </c>
      <c r="H8765" s="42">
        <f t="shared" si="1"/>
        <v>3329</v>
      </c>
    </row>
    <row r="8766" ht="22.5" customHeight="1">
      <c r="B8766" s="42" t="str">
        <f>IFERROR(__xludf.DUMMYFUNCTION("""COMPUTED_VALUE"""),"ABROWCYP/AB002")</f>
        <v>ABROWCYP/AB002</v>
      </c>
      <c r="C8766" s="42" t="str">
        <f>IFERROR(__xludf.DUMMYFUNCTION("""COMPUTED_VALUE"""),"M. Nibel 223640/Garuntang")</f>
        <v>M. Nibel 223640/Garuntang</v>
      </c>
      <c r="D8766" s="42"/>
      <c r="E8766" s="42"/>
      <c r="F8766" s="48" t="str">
        <f>IFERROR(__xludf.DUMMYFUNCTION("""COMPUTED_VALUE"""),"")</f>
        <v/>
      </c>
      <c r="G8766" s="42" t="str">
        <f>IFERROR(__xludf.DUMMYFUNCTION("""COMPUTED_VALUE"""),"Bn jual beli")</f>
        <v>Bn jual beli</v>
      </c>
      <c r="H8766" s="42">
        <f t="shared" si="1"/>
        <v>3329</v>
      </c>
    </row>
    <row r="8767" ht="22.5" customHeight="1">
      <c r="B8767" s="42" t="str">
        <f>IFERROR(__xludf.DUMMYFUNCTION("""COMPUTED_VALUE"""),"ABDZFKTT")</f>
        <v>ABDZFKTT</v>
      </c>
      <c r="C8767" s="42" t="str">
        <f>IFERROR(__xludf.DUMMYFUNCTION("""COMPUTED_VALUE"""),"M 890/ durian payung")</f>
        <v>M 890/ durian payung</v>
      </c>
      <c r="D8767" s="42"/>
      <c r="E8767" s="42"/>
      <c r="F8767" s="48" t="str">
        <f>IFERROR(__xludf.DUMMYFUNCTION("""COMPUTED_VALUE"""),"")</f>
        <v/>
      </c>
      <c r="G8767" s="42" t="str">
        <f>IFERROR(__xludf.DUMMYFUNCTION("""COMPUTED_VALUE"""),"Balik Nama jual beli")</f>
        <v>Balik Nama jual beli</v>
      </c>
      <c r="H8767" s="42">
        <f t="shared" si="1"/>
        <v>3329</v>
      </c>
    </row>
    <row r="8768" ht="22.5" customHeight="1">
      <c r="B8768" s="42" t="str">
        <f>IFERROR(__xludf.DUMMYFUNCTION("""COMPUTED_VALUE"""),"ABAIBEYE/AB040")</f>
        <v>ABAIBEYE/AB040</v>
      </c>
      <c r="C8768" s="42" t="str">
        <f>IFERROR(__xludf.DUMMYFUNCTION("""COMPUTED_VALUE"""),"B.Nibel 25284/Sumur Putri")</f>
        <v>B.Nibel 25284/Sumur Putri</v>
      </c>
      <c r="D8768" s="42"/>
      <c r="E8768" s="42"/>
      <c r="F8768" s="48" t="str">
        <f>IFERROR(__xludf.DUMMYFUNCTION("""COMPUTED_VALUE"""),"")</f>
        <v/>
      </c>
      <c r="G8768" s="42" t="str">
        <f>IFERROR(__xludf.DUMMYFUNCTION("""COMPUTED_VALUE"""),"Perubahan Hak")</f>
        <v>Perubahan Hak</v>
      </c>
      <c r="H8768" s="42">
        <f t="shared" si="1"/>
        <v>3329</v>
      </c>
    </row>
    <row r="8769" ht="22.5" customHeight="1">
      <c r="B8769" s="42" t="str">
        <f>IFERROR(__xludf.DUMMYFUNCTION("""COMPUTED_VALUE"""),"ABEIMOTH/AB040")</f>
        <v>ABEIMOTH/AB040</v>
      </c>
      <c r="C8769" s="42" t="str">
        <f>IFERROR(__xludf.DUMMYFUNCTION("""COMPUTED_VALUE"""),"M. 08.01.000013162.0/sukabumi")</f>
        <v>M. 08.01.000013162.0/sukabumi</v>
      </c>
      <c r="D8769" s="42"/>
      <c r="E8769" s="42"/>
      <c r="F8769" s="48" t="str">
        <f>IFERROR(__xludf.DUMMYFUNCTION("""COMPUTED_VALUE"""),"")</f>
        <v/>
      </c>
      <c r="G8769" s="42" t="str">
        <f>IFERROR(__xludf.DUMMYFUNCTION("""COMPUTED_VALUE"""),"Bn jual beli")</f>
        <v>Bn jual beli</v>
      </c>
      <c r="H8769" s="42">
        <f t="shared" si="1"/>
        <v>3329</v>
      </c>
    </row>
    <row r="8770" ht="22.5" customHeight="1">
      <c r="B8770" s="42" t="str">
        <f>IFERROR(__xludf.DUMMYFUNCTION("""COMPUTED_VALUE"""),"ABQKGJIU/AB040")</f>
        <v>ABQKGJIU/AB040</v>
      </c>
      <c r="C8770" s="42" t="str">
        <f>IFERROR(__xludf.DUMMYFUNCTION("""COMPUTED_VALUE"""),"B. 08.01.000003895.0/sukabumi")</f>
        <v>B. 08.01.000003895.0/sukabumi</v>
      </c>
      <c r="D8770" s="42"/>
      <c r="E8770" s="42"/>
      <c r="F8770" s="48" t="str">
        <f>IFERROR(__xludf.DUMMYFUNCTION("""COMPUTED_VALUE"""),"")</f>
        <v/>
      </c>
      <c r="G8770" s="42" t="str">
        <f>IFERROR(__xludf.DUMMYFUNCTION("""COMPUTED_VALUE"""),"Ganti Nama ")</f>
        <v>Ganti Nama </v>
      </c>
      <c r="H8770" s="42">
        <f t="shared" si="1"/>
        <v>3329</v>
      </c>
    </row>
    <row r="8771" ht="22.5" customHeight="1">
      <c r="B8771" s="42" t="str">
        <f>IFERROR(__xludf.DUMMYFUNCTION("""COMPUTED_VALUE"""),"ABUAISWV")</f>
        <v>ABUAISWV</v>
      </c>
      <c r="C8771" s="42" t="str">
        <f>IFERROR(__xludf.DUMMYFUNCTION("""COMPUTED_VALUE"""),"M.425/ sumber agung")</f>
        <v>M.425/ sumber agung</v>
      </c>
      <c r="D8771" s="42"/>
      <c r="E8771" s="42"/>
      <c r="F8771" s="48" t="str">
        <f>IFERROR(__xludf.DUMMYFUNCTION("""COMPUTED_VALUE"""),"")</f>
        <v/>
      </c>
      <c r="G8771" s="42" t="str">
        <f>IFERROR(__xludf.DUMMYFUNCTION("""COMPUTED_VALUE"""),"Roya")</f>
        <v>Roya</v>
      </c>
      <c r="H8771" s="42">
        <f t="shared" si="1"/>
        <v>3329</v>
      </c>
    </row>
    <row r="8772" ht="22.5" customHeight="1">
      <c r="B8772" s="42" t="str">
        <f>IFERROR(__xludf.DUMMYFUNCTION("""COMPUTED_VALUE"""),"ABVQIDYN")</f>
        <v>ABVQIDYN</v>
      </c>
      <c r="C8772" s="42" t="str">
        <f>IFERROR(__xludf.DUMMYFUNCTION("""COMPUTED_VALUE"""),"B 582/ Sumber Agung")</f>
        <v>B 582/ Sumber Agung</v>
      </c>
      <c r="D8772" s="42" t="str">
        <f>IFERROR(__xludf.DUMMYFUNCTION("""COMPUTED_VALUE"""),"Berry")</f>
        <v>Berry</v>
      </c>
      <c r="E8772" s="42" t="str">
        <f>IFERROR(__xludf.DUMMYFUNCTION("""COMPUTED_VALUE"""),"DISERAHKAN")</f>
        <v>DISERAHKAN</v>
      </c>
      <c r="F8772" s="48">
        <f>IFERROR(__xludf.DUMMYFUNCTION("""COMPUTED_VALUE"""),46020.65855252315)</f>
        <v>46020.65855</v>
      </c>
      <c r="G8772" s="42" t="str">
        <f>IFERROR(__xludf.DUMMYFUNCTION("""COMPUTED_VALUE"""),"Balik Nama JUAL BELI")</f>
        <v>Balik Nama JUAL BELI</v>
      </c>
      <c r="H8772" s="42">
        <f t="shared" si="1"/>
        <v>3330</v>
      </c>
    </row>
    <row r="8773" ht="22.5" customHeight="1">
      <c r="B8773" s="42" t="str">
        <f>IFERROR(__xludf.DUMMYFUNCTION("""COMPUTED_VALUE"""),"Abmlfdwp")</f>
        <v>Abmlfdwp</v>
      </c>
      <c r="C8773" s="42" t="str">
        <f>IFERROR(__xludf.DUMMYFUNCTION("""COMPUTED_VALUE"""),"M 6646/ TANJUNG SENANG")</f>
        <v>M 6646/ TANJUNG SENANG</v>
      </c>
      <c r="D8773" s="42"/>
      <c r="E8773" s="42"/>
      <c r="F8773" s="48" t="str">
        <f>IFERROR(__xludf.DUMMYFUNCTION("""COMPUTED_VALUE"""),"")</f>
        <v/>
      </c>
      <c r="G8773" s="42" t="str">
        <f>IFERROR(__xludf.DUMMYFUNCTION("""COMPUTED_VALUE"""),"Bn")</f>
        <v>Bn</v>
      </c>
      <c r="H8773" s="42">
        <f t="shared" si="1"/>
        <v>3330</v>
      </c>
    </row>
    <row r="8774" ht="22.5" customHeight="1">
      <c r="B8774" s="42" t="str">
        <f>IFERROR(__xludf.DUMMYFUNCTION("""COMPUTED_VALUE"""),"ABWPXXIM/AB075")</f>
        <v>ABWPXXIM/AB075</v>
      </c>
      <c r="C8774" s="42" t="str">
        <f>IFERROR(__xludf.DUMMYFUNCTION("""COMPUTED_VALUE"""),"m. 3964/Gunung Terang")</f>
        <v>m. 3964/Gunung Terang</v>
      </c>
      <c r="D8774" s="42"/>
      <c r="E8774" s="42"/>
      <c r="F8774" s="48" t="str">
        <f>IFERROR(__xludf.DUMMYFUNCTION("""COMPUTED_VALUE"""),"")</f>
        <v/>
      </c>
      <c r="G8774" s="42" t="str">
        <f>IFERROR(__xludf.DUMMYFUNCTION("""COMPUTED_VALUE"""),"Bn jual beli")</f>
        <v>Bn jual beli</v>
      </c>
      <c r="H8774" s="42">
        <f t="shared" si="1"/>
        <v>3330</v>
      </c>
    </row>
    <row r="8775" ht="22.5" customHeight="1">
      <c r="B8775" s="42" t="str">
        <f>IFERROR(__xludf.DUMMYFUNCTION("""COMPUTED_VALUE"""),"K/9/301025/1")</f>
        <v>K/9/301025/1</v>
      </c>
      <c r="C8775" s="42" t="str">
        <f>IFERROR(__xludf.DUMMYFUNCTION("""COMPUTED_VALUE"""),"M.1644/PANJANG SELATAN")</f>
        <v>M.1644/PANJANG SELATAN</v>
      </c>
      <c r="D8775" s="42"/>
      <c r="E8775" s="42"/>
      <c r="F8775" s="48" t="str">
        <f>IFERROR(__xludf.DUMMYFUNCTION("""COMPUTED_VALUE"""),"")</f>
        <v/>
      </c>
      <c r="G8775" s="42" t="str">
        <f>IFERROR(__xludf.DUMMYFUNCTION("""COMPUTED_VALUE"""),"BN WARIS")</f>
        <v>BN WARIS</v>
      </c>
      <c r="H8775" s="42">
        <f t="shared" si="1"/>
        <v>3330</v>
      </c>
    </row>
    <row r="8776" ht="22.5" customHeight="1">
      <c r="B8776" s="42" t="str">
        <f>IFERROR(__xludf.DUMMYFUNCTION("""COMPUTED_VALUE"""),"L/10/301025/1")</f>
        <v>L/10/301025/1</v>
      </c>
      <c r="C8776" s="42" t="str">
        <f>IFERROR(__xludf.DUMMYFUNCTION("""COMPUTED_VALUE"""),"M. 1057/KURIPAN")</f>
        <v>M. 1057/KURIPAN</v>
      </c>
      <c r="D8776" s="42" t="str">
        <f>IFERROR(__xludf.DUMMYFUNCTION("""COMPUTED_VALUE"""),"Berry")</f>
        <v>Berry</v>
      </c>
      <c r="E8776" s="42" t="str">
        <f>IFERROR(__xludf.DUMMYFUNCTION("""COMPUTED_VALUE"""),"DISERAHKAN")</f>
        <v>DISERAHKAN</v>
      </c>
      <c r="F8776" s="48">
        <f>IFERROR(__xludf.DUMMYFUNCTION("""COMPUTED_VALUE"""),45996.47536277778)</f>
        <v>45996.47536</v>
      </c>
      <c r="G8776" s="42" t="str">
        <f>IFERROR(__xludf.DUMMYFUNCTION("""COMPUTED_VALUE"""),"BN WARIS")</f>
        <v>BN WARIS</v>
      </c>
      <c r="H8776" s="42">
        <f t="shared" si="1"/>
        <v>3331</v>
      </c>
    </row>
    <row r="8777" ht="22.5" customHeight="1">
      <c r="B8777" s="42" t="str">
        <f>IFERROR(__xludf.DUMMYFUNCTION("""COMPUTED_VALUE"""),"L/11/301025/1")</f>
        <v>L/11/301025/1</v>
      </c>
      <c r="C8777" s="42" t="str">
        <f>IFERROR(__xludf.DUMMYFUNCTION("""COMPUTED_VALUE"""),"M. 233/WAY TATAAN")</f>
        <v>M. 233/WAY TATAAN</v>
      </c>
      <c r="D8777" s="42"/>
      <c r="E8777" s="42"/>
      <c r="F8777" s="48" t="str">
        <f>IFERROR(__xludf.DUMMYFUNCTION("""COMPUTED_VALUE"""),"")</f>
        <v/>
      </c>
      <c r="G8777" s="42" t="str">
        <f>IFERROR(__xludf.DUMMYFUNCTION("""COMPUTED_VALUE"""),"GANTI TANGGAL LAHIR")</f>
        <v>GANTI TANGGAL LAHIR</v>
      </c>
      <c r="H8777" s="42">
        <f t="shared" si="1"/>
        <v>3331</v>
      </c>
    </row>
    <row r="8778" ht="22.5" customHeight="1">
      <c r="B8778" s="42" t="str">
        <f>IFERROR(__xludf.DUMMYFUNCTION("""COMPUTED_VALUE"""),"ABMGTWFO")</f>
        <v>ABMGTWFO</v>
      </c>
      <c r="C8778" s="42" t="str">
        <f>IFERROR(__xludf.DUMMYFUNCTION("""COMPUTED_VALUE"""),"M 4463/ RAJABASA JAYA")</f>
        <v>M 4463/ RAJABASA JAYA</v>
      </c>
      <c r="D8778" s="42"/>
      <c r="E8778" s="42"/>
      <c r="F8778" s="48" t="str">
        <f>IFERROR(__xludf.DUMMYFUNCTION("""COMPUTED_VALUE"""),"")</f>
        <v/>
      </c>
      <c r="G8778" s="42" t="str">
        <f>IFERROR(__xludf.DUMMYFUNCTION("""COMPUTED_VALUE"""),"Peralihan Hak jual beli")</f>
        <v>Peralihan Hak jual beli</v>
      </c>
      <c r="H8778" s="42">
        <f t="shared" si="1"/>
        <v>3331</v>
      </c>
    </row>
    <row r="8779" ht="22.5" customHeight="1">
      <c r="B8779" s="42" t="str">
        <f>IFERROR(__xludf.DUMMYFUNCTION("""COMPUTED_VALUE"""),"ABVYVFFH")</f>
        <v>ABVYVFFH</v>
      </c>
      <c r="C8779" s="42" t="str">
        <f>IFERROR(__xludf.DUMMYFUNCTION("""COMPUTED_VALUE"""),"M 10147/ KAMPUNG BARU")</f>
        <v>M 10147/ KAMPUNG BARU</v>
      </c>
      <c r="D8779" s="42"/>
      <c r="E8779" s="42"/>
      <c r="F8779" s="48" t="str">
        <f>IFERROR(__xludf.DUMMYFUNCTION("""COMPUTED_VALUE"""),"")</f>
        <v/>
      </c>
      <c r="G8779" s="42" t="str">
        <f>IFERROR(__xludf.DUMMYFUNCTION("""COMPUTED_VALUE"""),"Peralihan Hak")</f>
        <v>Peralihan Hak</v>
      </c>
      <c r="H8779" s="42">
        <f t="shared" si="1"/>
        <v>3331</v>
      </c>
    </row>
    <row r="8780" ht="22.5" customHeight="1">
      <c r="B8780" s="42" t="str">
        <f>IFERROR(__xludf.DUMMYFUNCTION("""COMPUTED_VALUE"""),"ABMAZDDZ/AB02")</f>
        <v>ABMAZDDZ/AB02</v>
      </c>
      <c r="C8780" s="42" t="str">
        <f>IFERROR(__xludf.DUMMYFUNCTION("""COMPUTED_VALUE"""),"B. 592/Sukarame Baru")</f>
        <v>B. 592/Sukarame Baru</v>
      </c>
      <c r="D8780" s="42"/>
      <c r="E8780" s="42"/>
      <c r="F8780" s="48" t="str">
        <f>IFERROR(__xludf.DUMMYFUNCTION("""COMPUTED_VALUE"""),"")</f>
        <v/>
      </c>
      <c r="G8780" s="42" t="str">
        <f>IFERROR(__xludf.DUMMYFUNCTION("""COMPUTED_VALUE"""),"Ganti Nama")</f>
        <v>Ganti Nama</v>
      </c>
      <c r="H8780" s="42">
        <f t="shared" si="1"/>
        <v>3331</v>
      </c>
    </row>
    <row r="8781" ht="22.5" customHeight="1">
      <c r="B8781" s="42" t="str">
        <f>IFERROR(__xludf.DUMMYFUNCTION("""COMPUTED_VALUE"""),"ABFFVRMJ")</f>
        <v>ABFFVRMJ</v>
      </c>
      <c r="C8781" s="42" t="str">
        <f>IFERROR(__xludf.DUMMYFUNCTION("""COMPUTED_VALUE"""),"M. 2490/ SUMBER REJO")</f>
        <v>M. 2490/ SUMBER REJO</v>
      </c>
      <c r="D8781" s="42"/>
      <c r="E8781" s="42"/>
      <c r="F8781" s="48" t="str">
        <f>IFERROR(__xludf.DUMMYFUNCTION("""COMPUTED_VALUE"""),"")</f>
        <v/>
      </c>
      <c r="G8781" s="42" t="str">
        <f>IFERROR(__xludf.DUMMYFUNCTION("""COMPUTED_VALUE"""),"Peralihan Hak Berdasarkan Waris")</f>
        <v>Peralihan Hak Berdasarkan Waris</v>
      </c>
      <c r="H8781" s="42">
        <f t="shared" si="1"/>
        <v>3331</v>
      </c>
    </row>
    <row r="8782" ht="22.5" customHeight="1">
      <c r="B8782" s="42" t="str">
        <f>IFERROR(__xludf.DUMMYFUNCTION("""COMPUTED_VALUE"""),"AB011/ABOFLYIK")</f>
        <v>AB011/ABOFLYIK</v>
      </c>
      <c r="C8782" s="42" t="str">
        <f>IFERROR(__xludf.DUMMYFUNCTION("""COMPUTED_VALUE"""),"M.8998 /Rajabasa")</f>
        <v>M.8998 /Rajabasa</v>
      </c>
      <c r="D8782" s="42"/>
      <c r="E8782" s="42"/>
      <c r="F8782" s="48" t="str">
        <f>IFERROR(__xludf.DUMMYFUNCTION("""COMPUTED_VALUE"""),"")</f>
        <v/>
      </c>
      <c r="G8782" s="42" t="str">
        <f>IFERROR(__xludf.DUMMYFUNCTION("""COMPUTED_VALUE"""),"BN Waris")</f>
        <v>BN Waris</v>
      </c>
      <c r="H8782" s="42">
        <f t="shared" si="1"/>
        <v>3331</v>
      </c>
    </row>
    <row r="8783" ht="22.5" customHeight="1">
      <c r="B8783" s="42" t="str">
        <f>IFERROR(__xludf.DUMMYFUNCTION("""COMPUTED_VALUE"""),"ABCBJWWP/AB023")</f>
        <v>ABCBJWWP/AB023</v>
      </c>
      <c r="C8783" s="42" t="str">
        <f>IFERROR(__xludf.DUMMYFUNCTION("""COMPUTED_VALUE"""),"M. Nibel 19791/Susunan Baru")</f>
        <v>M. Nibel 19791/Susunan Baru</v>
      </c>
      <c r="D8783" s="42"/>
      <c r="E8783" s="42"/>
      <c r="F8783" s="48" t="str">
        <f>IFERROR(__xludf.DUMMYFUNCTION("""COMPUTED_VALUE"""),"")</f>
        <v/>
      </c>
      <c r="G8783" s="42" t="str">
        <f>IFERROR(__xludf.DUMMYFUNCTION("""COMPUTED_VALUE"""),"Bn jual beli")</f>
        <v>Bn jual beli</v>
      </c>
      <c r="H8783" s="42">
        <f t="shared" si="1"/>
        <v>3331</v>
      </c>
    </row>
    <row r="8784" ht="22.5" customHeight="1">
      <c r="B8784" s="42" t="str">
        <f>IFERROR(__xludf.DUMMYFUNCTION("""COMPUTED_VALUE"""),"ABJSCYMQ/AB023")</f>
        <v>ABJSCYMQ/AB023</v>
      </c>
      <c r="C8784" s="42" t="str">
        <f>IFERROR(__xludf.DUMMYFUNCTION("""COMPUTED_VALUE"""),"M. 311/Gunung Sulah")</f>
        <v>M. 311/Gunung Sulah</v>
      </c>
      <c r="D8784" s="42"/>
      <c r="E8784" s="42"/>
      <c r="F8784" s="48" t="str">
        <f>IFERROR(__xludf.DUMMYFUNCTION("""COMPUTED_VALUE"""),"")</f>
        <v/>
      </c>
      <c r="G8784" s="42" t="str">
        <f>IFERROR(__xludf.DUMMYFUNCTION("""COMPUTED_VALUE"""),"Hibah")</f>
        <v>Hibah</v>
      </c>
      <c r="H8784" s="42">
        <f t="shared" si="1"/>
        <v>3331</v>
      </c>
    </row>
    <row r="8785" ht="22.5" customHeight="1">
      <c r="B8785" s="42" t="str">
        <f>IFERROR(__xludf.DUMMYFUNCTION("""COMPUTED_VALUE"""),"ABTQPJWZ/AB023")</f>
        <v>ABTQPJWZ/AB023</v>
      </c>
      <c r="C8785" s="42" t="str">
        <f>IFERROR(__xludf.DUMMYFUNCTION("""COMPUTED_VALUE"""),"M. Nibel 23170/Langkapura")</f>
        <v>M. Nibel 23170/Langkapura</v>
      </c>
      <c r="D8785" s="42"/>
      <c r="E8785" s="42"/>
      <c r="F8785" s="48" t="str">
        <f>IFERROR(__xludf.DUMMYFUNCTION("""COMPUTED_VALUE"""),"")</f>
        <v/>
      </c>
      <c r="G8785" s="42" t="str">
        <f>IFERROR(__xludf.DUMMYFUNCTION("""COMPUTED_VALUE"""),"Bn jual beli")</f>
        <v>Bn jual beli</v>
      </c>
      <c r="H8785" s="42">
        <f t="shared" si="1"/>
        <v>3331</v>
      </c>
    </row>
    <row r="8786" ht="22.5" customHeight="1">
      <c r="B8786" s="42" t="str">
        <f>IFERROR(__xludf.DUMMYFUNCTION("""COMPUTED_VALUE"""),"ABYUJJFN")</f>
        <v>ABYUJJFN</v>
      </c>
      <c r="C8786" s="42" t="str">
        <f>IFERROR(__xludf.DUMMYFUNCTION("""COMPUTED_VALUE"""),"M 2110/Sukarame Baru")</f>
        <v>M 2110/Sukarame Baru</v>
      </c>
      <c r="D8786" s="42"/>
      <c r="E8786" s="42"/>
      <c r="F8786" s="48" t="str">
        <f>IFERROR(__xludf.DUMMYFUNCTION("""COMPUTED_VALUE"""),"")</f>
        <v/>
      </c>
      <c r="G8786" s="42" t="str">
        <f>IFERROR(__xludf.DUMMYFUNCTION("""COMPUTED_VALUE"""),"BN Jual Beli")</f>
        <v>BN Jual Beli</v>
      </c>
      <c r="H8786" s="42">
        <f t="shared" si="1"/>
        <v>3331</v>
      </c>
    </row>
    <row r="8787" ht="22.5" customHeight="1">
      <c r="B8787" s="42" t="str">
        <f>IFERROR(__xludf.DUMMYFUNCTION("""COMPUTED_VALUE"""),"L/2/311025/1")</f>
        <v>L/2/311025/1</v>
      </c>
      <c r="C8787" s="42" t="str">
        <f>IFERROR(__xludf.DUMMYFUNCTION("""COMPUTED_VALUE"""),"M NIB. 18216/SIDODADI")</f>
        <v>M NIB. 18216/SIDODADI</v>
      </c>
      <c r="D8787" s="42"/>
      <c r="E8787" s="42"/>
      <c r="F8787" s="48" t="str">
        <f>IFERROR(__xludf.DUMMYFUNCTION("""COMPUTED_VALUE"""),"")</f>
        <v/>
      </c>
      <c r="G8787" s="42" t="str">
        <f>IFERROR(__xludf.DUMMYFUNCTION("""COMPUTED_VALUE"""),"SKPT LELANG")</f>
        <v>SKPT LELANG</v>
      </c>
      <c r="H8787" s="42">
        <f t="shared" si="1"/>
        <v>3331</v>
      </c>
    </row>
    <row r="8788" ht="22.5" customHeight="1">
      <c r="B8788" s="42" t="str">
        <f>IFERROR(__xludf.DUMMYFUNCTION("""COMPUTED_VALUE"""),"ABDTCKIP/AB027")</f>
        <v>ABDTCKIP/AB027</v>
      </c>
      <c r="C8788" s="42" t="str">
        <f>IFERROR(__xludf.DUMMYFUNCTION("""COMPUTED_VALUE"""),"M.3225/Kupang Teba ")</f>
        <v>M.3225/Kupang Teba </v>
      </c>
      <c r="D8788" s="42"/>
      <c r="E8788" s="42"/>
      <c r="F8788" s="48" t="str">
        <f>IFERROR(__xludf.DUMMYFUNCTION("""COMPUTED_VALUE"""),"")</f>
        <v/>
      </c>
      <c r="G8788" s="42" t="str">
        <f>IFERROR(__xludf.DUMMYFUNCTION("""COMPUTED_VALUE"""),"Roya ")</f>
        <v>Roya </v>
      </c>
      <c r="H8788" s="42">
        <f t="shared" si="1"/>
        <v>3331</v>
      </c>
    </row>
    <row r="8789" ht="22.5" customHeight="1">
      <c r="B8789" s="42" t="str">
        <f>IFERROR(__xludf.DUMMYFUNCTION("""COMPUTED_VALUE"""),"Ab044/ABUFURCL")</f>
        <v>Ab044/ABUFURCL</v>
      </c>
      <c r="C8789" s="42" t="str">
        <f>IFERROR(__xludf.DUMMYFUNCTION("""COMPUTED_VALUE"""),"HGB 525/Rajabasa Nunyai")</f>
        <v>HGB 525/Rajabasa Nunyai</v>
      </c>
      <c r="D8789" s="42"/>
      <c r="E8789" s="42"/>
      <c r="F8789" s="48" t="str">
        <f>IFERROR(__xludf.DUMMYFUNCTION("""COMPUTED_VALUE"""),"")</f>
        <v/>
      </c>
      <c r="G8789" s="42" t="str">
        <f>IFERROR(__xludf.DUMMYFUNCTION("""COMPUTED_VALUE"""),"BN Jual Beli")</f>
        <v>BN Jual Beli</v>
      </c>
      <c r="H8789" s="42">
        <f t="shared" si="1"/>
        <v>3331</v>
      </c>
    </row>
    <row r="8790" ht="22.5" customHeight="1">
      <c r="B8790" s="42" t="str">
        <f>IFERROR(__xludf.DUMMYFUNCTION("""COMPUTED_VALUE"""),"Ab044/ABKUJYAP")</f>
        <v>Ab044/ABKUJYAP</v>
      </c>
      <c r="C8790" s="42" t="str">
        <f>IFERROR(__xludf.DUMMYFUNCTION("""COMPUTED_VALUE"""),"SHM 01052/Pematang Wangi")</f>
        <v>SHM 01052/Pematang Wangi</v>
      </c>
      <c r="D8790" s="42"/>
      <c r="E8790" s="42"/>
      <c r="F8790" s="48" t="str">
        <f>IFERROR(__xludf.DUMMYFUNCTION("""COMPUTED_VALUE"""),"")</f>
        <v/>
      </c>
      <c r="G8790" s="42" t="str">
        <f>IFERROR(__xludf.DUMMYFUNCTION("""COMPUTED_VALUE"""),"Balik nama")</f>
        <v>Balik nama</v>
      </c>
      <c r="H8790" s="42">
        <f t="shared" si="1"/>
        <v>3331</v>
      </c>
    </row>
    <row r="8791" ht="22.5" customHeight="1">
      <c r="B8791" s="42" t="str">
        <f>IFERROR(__xludf.DUMMYFUNCTION("""COMPUTED_VALUE"""),"ABDXQSWK/1 AB015")</f>
        <v>ABDXQSWK/1 AB015</v>
      </c>
      <c r="C8791" s="42" t="str">
        <f>IFERROR(__xludf.DUMMYFUNCTION("""COMPUTED_VALUE"""),"M. 84/Kaliawi Persada")</f>
        <v>M. 84/Kaliawi Persada</v>
      </c>
      <c r="D8791" s="42"/>
      <c r="E8791" s="42"/>
      <c r="F8791" s="48" t="str">
        <f>IFERROR(__xludf.DUMMYFUNCTION("""COMPUTED_VALUE"""),"")</f>
        <v/>
      </c>
      <c r="G8791" s="42" t="str">
        <f>IFERROR(__xludf.DUMMYFUNCTION("""COMPUTED_VALUE"""),"Roya")</f>
        <v>Roya</v>
      </c>
      <c r="H8791" s="42">
        <f t="shared" si="1"/>
        <v>3331</v>
      </c>
    </row>
    <row r="8792" ht="22.5" customHeight="1">
      <c r="B8792" s="42" t="str">
        <f>IFERROR(__xludf.DUMMYFUNCTION("""COMPUTED_VALUE"""),"Ab044/ABKIBXEU")</f>
        <v>Ab044/ABKIBXEU</v>
      </c>
      <c r="C8792" s="42" t="str">
        <f>IFERROR(__xludf.DUMMYFUNCTION("""COMPUTED_VALUE"""),"SHM 00980/Pematang Wangi")</f>
        <v>SHM 00980/Pematang Wangi</v>
      </c>
      <c r="D8792" s="42" t="str">
        <f>IFERROR(__xludf.DUMMYFUNCTION("""COMPUTED_VALUE"""),"Berry")</f>
        <v>Berry</v>
      </c>
      <c r="E8792" s="42" t="str">
        <f>IFERROR(__xludf.DUMMYFUNCTION("""COMPUTED_VALUE"""),"DISERAHKAN")</f>
        <v>DISERAHKAN</v>
      </c>
      <c r="F8792" s="48">
        <f>IFERROR(__xludf.DUMMYFUNCTION("""COMPUTED_VALUE"""),46020.65648622686)</f>
        <v>46020.65649</v>
      </c>
      <c r="G8792" s="42" t="str">
        <f>IFERROR(__xludf.DUMMYFUNCTION("""COMPUTED_VALUE"""),"Balik nama")</f>
        <v>Balik nama</v>
      </c>
      <c r="H8792" s="42">
        <f t="shared" si="1"/>
        <v>3332</v>
      </c>
    </row>
    <row r="8793" ht="22.5" customHeight="1">
      <c r="B8793" s="42" t="str">
        <f>IFERROR(__xludf.DUMMYFUNCTION("""COMPUTED_VALUE"""),"K/1/311025/1")</f>
        <v>K/1/311025/1</v>
      </c>
      <c r="C8793" s="42" t="str">
        <f>IFERROR(__xludf.DUMMYFUNCTION("""COMPUTED_VALUE"""),"PBT 37/2025")</f>
        <v>PBT 37/2025</v>
      </c>
      <c r="D8793" s="42"/>
      <c r="E8793" s="42"/>
      <c r="F8793" s="48" t="str">
        <f>IFERROR(__xludf.DUMMYFUNCTION("""COMPUTED_VALUE"""),"")</f>
        <v/>
      </c>
      <c r="G8793" s="42" t="str">
        <f>IFERROR(__xludf.DUMMYFUNCTION("""COMPUTED_VALUE"""),"PERMOHONAN SK")</f>
        <v>PERMOHONAN SK</v>
      </c>
      <c r="H8793" s="42">
        <f t="shared" si="1"/>
        <v>3332</v>
      </c>
    </row>
    <row r="8794" ht="22.5" customHeight="1">
      <c r="B8794" s="42" t="str">
        <f>IFERROR(__xludf.DUMMYFUNCTION("""COMPUTED_VALUE"""),"ABAMXCLG/1")</f>
        <v>ABAMXCLG/1</v>
      </c>
      <c r="C8794" s="42" t="str">
        <f>IFERROR(__xludf.DUMMYFUNCTION("""COMPUTED_VALUE"""),"M 1229/pematang wangi")</f>
        <v>M 1229/pematang wangi</v>
      </c>
      <c r="D8794" s="42"/>
      <c r="E8794" s="42"/>
      <c r="F8794" s="48" t="str">
        <f>IFERROR(__xludf.DUMMYFUNCTION("""COMPUTED_VALUE"""),"")</f>
        <v/>
      </c>
      <c r="G8794" s="42" t="str">
        <f>IFERROR(__xludf.DUMMYFUNCTION("""COMPUTED_VALUE"""),"Ajb")</f>
        <v>Ajb</v>
      </c>
      <c r="H8794" s="42">
        <f t="shared" si="1"/>
        <v>3332</v>
      </c>
    </row>
    <row r="8795" ht="22.5" customHeight="1">
      <c r="B8795" s="42" t="str">
        <f>IFERROR(__xludf.DUMMYFUNCTION("""COMPUTED_VALUE"""),"ABITZLKK/1")</f>
        <v>ABITZLKK/1</v>
      </c>
      <c r="C8795" s="42" t="str">
        <f>IFERROR(__xludf.DUMMYFUNCTION("""COMPUTED_VALUE"""),"M 2165 way halim permai")</f>
        <v>M 2165 way halim permai</v>
      </c>
      <c r="D8795" s="42"/>
      <c r="E8795" s="42"/>
      <c r="F8795" s="48" t="str">
        <f>IFERROR(__xludf.DUMMYFUNCTION("""COMPUTED_VALUE"""),"")</f>
        <v/>
      </c>
      <c r="G8795" s="42" t="str">
        <f>IFERROR(__xludf.DUMMYFUNCTION("""COMPUTED_VALUE"""),"BN HIBAH")</f>
        <v>BN HIBAH</v>
      </c>
      <c r="H8795" s="42">
        <f t="shared" si="1"/>
        <v>3332</v>
      </c>
    </row>
    <row r="8796" ht="22.5" customHeight="1">
      <c r="B8796" s="42" t="str">
        <f>IFERROR(__xludf.DUMMYFUNCTION("""COMPUTED_VALUE"""),"ABKMASQF/AB033")</f>
        <v>ABKMASQF/AB033</v>
      </c>
      <c r="C8796" s="42" t="str">
        <f>IFERROR(__xludf.DUMMYFUNCTION("""COMPUTED_VALUE"""),"HM NIBEL 24287/KUPANG TEBA")</f>
        <v>HM NIBEL 24287/KUPANG TEBA</v>
      </c>
      <c r="D8796" s="42"/>
      <c r="E8796" s="42"/>
      <c r="F8796" s="48" t="str">
        <f>IFERROR(__xludf.DUMMYFUNCTION("""COMPUTED_VALUE"""),"")</f>
        <v/>
      </c>
      <c r="G8796" s="42" t="str">
        <f>IFERROR(__xludf.DUMMYFUNCTION("""COMPUTED_VALUE"""),"BN Jual Beli")</f>
        <v>BN Jual Beli</v>
      </c>
      <c r="H8796" s="42">
        <f t="shared" si="1"/>
        <v>3332</v>
      </c>
    </row>
    <row r="8797" ht="22.5" customHeight="1">
      <c r="B8797" s="42" t="str">
        <f>IFERROR(__xludf.DUMMYFUNCTION("""COMPUTED_VALUE"""),"ABGZTVBF/AB033")</f>
        <v>ABGZTVBF/AB033</v>
      </c>
      <c r="C8797" s="42" t="str">
        <f>IFERROR(__xludf.DUMMYFUNCTION("""COMPUTED_VALUE"""),"HM NIBEL 01879/ketapang")</f>
        <v>HM NIBEL 01879/ketapang</v>
      </c>
      <c r="D8797" s="42"/>
      <c r="E8797" s="42"/>
      <c r="F8797" s="48" t="str">
        <f>IFERROR(__xludf.DUMMYFUNCTION("""COMPUTED_VALUE"""),"")</f>
        <v/>
      </c>
      <c r="G8797" s="42" t="str">
        <f>IFERROR(__xludf.DUMMYFUNCTION("""COMPUTED_VALUE"""),"BN Jual Beli")</f>
        <v>BN Jual Beli</v>
      </c>
      <c r="H8797" s="42">
        <f t="shared" si="1"/>
        <v>3332</v>
      </c>
    </row>
    <row r="8798" ht="22.5" customHeight="1">
      <c r="B8798" s="42" t="str">
        <f>IFERROR(__xludf.DUMMYFUNCTION("""COMPUTED_VALUE"""),"L/4/311025/1")</f>
        <v>L/4/311025/1</v>
      </c>
      <c r="C8798" s="42" t="str">
        <f>IFERROR(__xludf.DUMMYFUNCTION("""COMPUTED_VALUE"""),"SHM. 2666/ SUMBERREJO")</f>
        <v>SHM. 2666/ SUMBERREJO</v>
      </c>
      <c r="D8798" s="42"/>
      <c r="E8798" s="42"/>
      <c r="F8798" s="48" t="str">
        <f>IFERROR(__xludf.DUMMYFUNCTION("""COMPUTED_VALUE"""),"")</f>
        <v/>
      </c>
      <c r="G8798" s="42" t="str">
        <f>IFERROR(__xludf.DUMMYFUNCTION("""COMPUTED_VALUE"""),"BN LELANG")</f>
        <v>BN LELANG</v>
      </c>
      <c r="H8798" s="42">
        <f t="shared" si="1"/>
        <v>3332</v>
      </c>
    </row>
    <row r="8799" ht="22.5" customHeight="1">
      <c r="B8799" s="42" t="str">
        <f>IFERROR(__xludf.DUMMYFUNCTION("""COMPUTED_VALUE"""),"ABLCDOZE")</f>
        <v>ABLCDOZE</v>
      </c>
      <c r="C8799" s="42" t="str">
        <f>IFERROR(__xludf.DUMMYFUNCTION("""COMPUTED_VALUE"""),"NIBEL M 24602/ rajabasa jaya")</f>
        <v>NIBEL M 24602/ rajabasa jaya</v>
      </c>
      <c r="D8799" s="42"/>
      <c r="E8799" s="42"/>
      <c r="F8799" s="48" t="str">
        <f>IFERROR(__xludf.DUMMYFUNCTION("""COMPUTED_VALUE"""),"")</f>
        <v/>
      </c>
      <c r="G8799" s="42" t="str">
        <f>IFERROR(__xludf.DUMMYFUNCTION("""COMPUTED_VALUE"""),"BN Jual Beli")</f>
        <v>BN Jual Beli</v>
      </c>
      <c r="H8799" s="42">
        <f t="shared" si="1"/>
        <v>3332</v>
      </c>
    </row>
    <row r="8800" ht="22.5" customHeight="1">
      <c r="B8800" s="42" t="str">
        <f>IFERROR(__xludf.DUMMYFUNCTION("""COMPUTED_VALUE"""),"Abobtfnu")</f>
        <v>Abobtfnu</v>
      </c>
      <c r="C8800" s="42" t="str">
        <f>IFERROR(__xludf.DUMMYFUNCTION("""COMPUTED_VALUE"""),"M 6647/ TANJUNG SENANG")</f>
        <v>M 6647/ TANJUNG SENANG</v>
      </c>
      <c r="D8800" s="42"/>
      <c r="E8800" s="42"/>
      <c r="F8800" s="48" t="str">
        <f>IFERROR(__xludf.DUMMYFUNCTION("""COMPUTED_VALUE"""),"")</f>
        <v/>
      </c>
      <c r="G8800" s="42" t="str">
        <f>IFERROR(__xludf.DUMMYFUNCTION("""COMPUTED_VALUE"""),"BN Jual Beli")</f>
        <v>BN Jual Beli</v>
      </c>
      <c r="H8800" s="42">
        <f t="shared" si="1"/>
        <v>3332</v>
      </c>
    </row>
    <row r="8801" ht="22.5" customHeight="1">
      <c r="B8801" s="42" t="str">
        <f>IFERROR(__xludf.DUMMYFUNCTION("""COMPUTED_VALUE"""),"ABMMYXFN/AB005")</f>
        <v>ABMMYXFN/AB005</v>
      </c>
      <c r="C8801" s="42" t="str">
        <f>IFERROR(__xludf.DUMMYFUNCTION("""COMPUTED_VALUE"""),"M. NIBEL 25315/Labuhan Ratu Raya")</f>
        <v>M. NIBEL 25315/Labuhan Ratu Raya</v>
      </c>
      <c r="D8801" s="42"/>
      <c r="E8801" s="42"/>
      <c r="F8801" s="48" t="str">
        <f>IFERROR(__xludf.DUMMYFUNCTION("""COMPUTED_VALUE"""),"")</f>
        <v/>
      </c>
      <c r="G8801" s="42" t="str">
        <f>IFERROR(__xludf.DUMMYFUNCTION("""COMPUTED_VALUE"""),"BN Jual Beli")</f>
        <v>BN Jual Beli</v>
      </c>
      <c r="H8801" s="42">
        <f t="shared" si="1"/>
        <v>3332</v>
      </c>
    </row>
    <row r="8802" ht="22.5" customHeight="1">
      <c r="B8802" s="42" t="str">
        <f>IFERROR(__xludf.DUMMYFUNCTION("""COMPUTED_VALUE"""),"ABIOTVMQ/AB005")</f>
        <v>ABIOTVMQ/AB005</v>
      </c>
      <c r="C8802" s="42" t="str">
        <f>IFERROR(__xludf.DUMMYFUNCTION("""COMPUTED_VALUE"""),"M. 4311/SUKADANA HAM")</f>
        <v>M. 4311/SUKADANA HAM</v>
      </c>
      <c r="D8802" s="42"/>
      <c r="E8802" s="42"/>
      <c r="F8802" s="48" t="str">
        <f>IFERROR(__xludf.DUMMYFUNCTION("""COMPUTED_VALUE"""),"")</f>
        <v/>
      </c>
      <c r="G8802" s="42" t="str">
        <f>IFERROR(__xludf.DUMMYFUNCTION("""COMPUTED_VALUE"""),"BN Jual Beli")</f>
        <v>BN Jual Beli</v>
      </c>
      <c r="H8802" s="42">
        <f t="shared" si="1"/>
        <v>3332</v>
      </c>
    </row>
    <row r="8803" ht="22.5" customHeight="1">
      <c r="B8803" s="42" t="str">
        <f>IFERROR(__xludf.DUMMYFUNCTION("""COMPUTED_VALUE"""),"ABHJKECV")</f>
        <v>ABHJKECV</v>
      </c>
      <c r="C8803" s="42" t="str">
        <f>IFERROR(__xludf.DUMMYFUNCTION("""COMPUTED_VALUE"""),"B 839/ TANJUNG SENANG")</f>
        <v>B 839/ TANJUNG SENANG</v>
      </c>
      <c r="D8803" s="42"/>
      <c r="E8803" s="42"/>
      <c r="F8803" s="48" t="str">
        <f>IFERROR(__xludf.DUMMYFUNCTION("""COMPUTED_VALUE"""),"")</f>
        <v/>
      </c>
      <c r="G8803" s="42" t="str">
        <f>IFERROR(__xludf.DUMMYFUNCTION("""COMPUTED_VALUE"""),"PENINGKATAN HAK")</f>
        <v>PENINGKATAN HAK</v>
      </c>
      <c r="H8803" s="42">
        <f t="shared" si="1"/>
        <v>3332</v>
      </c>
    </row>
    <row r="8804" ht="22.5" customHeight="1">
      <c r="B8804" s="42" t="str">
        <f>IFERROR(__xludf.DUMMYFUNCTION("""COMPUTED_VALUE"""),"Abhguump")</f>
        <v>Abhguump</v>
      </c>
      <c r="C8804" s="42" t="str">
        <f>IFERROR(__xludf.DUMMYFUNCTION("""COMPUTED_VALUE"""),"way kandis/ tulus")</f>
        <v>way kandis/ tulus</v>
      </c>
      <c r="D8804" s="42"/>
      <c r="E8804" s="42"/>
      <c r="F8804" s="48" t="str">
        <f>IFERROR(__xludf.DUMMYFUNCTION("""COMPUTED_VALUE"""),"")</f>
        <v/>
      </c>
      <c r="G8804" s="42" t="str">
        <f>IFERROR(__xludf.DUMMYFUNCTION("""COMPUTED_VALUE"""),"pengukuran pertama kali")</f>
        <v>pengukuran pertama kali</v>
      </c>
      <c r="H8804" s="42">
        <f t="shared" si="1"/>
        <v>3332</v>
      </c>
    </row>
    <row r="8805" ht="22.5" customHeight="1">
      <c r="B8805" s="42" t="str">
        <f>IFERROR(__xludf.DUMMYFUNCTION("""COMPUTED_VALUE"""),"K/3/311025/1")</f>
        <v>K/3/311025/1</v>
      </c>
      <c r="C8805" s="42" t="str">
        <f>IFERROR(__xludf.DUMMYFUNCTION("""COMPUTED_VALUE"""),"M. 461/KELAPATIGA PERMAI")</f>
        <v>M. 461/KELAPATIGA PERMAI</v>
      </c>
      <c r="D8805" s="42"/>
      <c r="E8805" s="42"/>
      <c r="F8805" s="48" t="str">
        <f>IFERROR(__xludf.DUMMYFUNCTION("""COMPUTED_VALUE"""),"")</f>
        <v/>
      </c>
      <c r="G8805" s="42" t="str">
        <f>IFERROR(__xludf.DUMMYFUNCTION("""COMPUTED_VALUE"""),"SKPT LELANG")</f>
        <v>SKPT LELANG</v>
      </c>
      <c r="H8805" s="42">
        <f t="shared" si="1"/>
        <v>3332</v>
      </c>
    </row>
    <row r="8806" ht="22.5" customHeight="1">
      <c r="B8806" s="42" t="str">
        <f>IFERROR(__xludf.DUMMYFUNCTION("""COMPUTED_VALUE"""),"K/5/311025/1")</f>
        <v>K/5/311025/1</v>
      </c>
      <c r="C8806" s="42" t="str">
        <f>IFERROR(__xludf.DUMMYFUNCTION("""COMPUTED_VALUE"""),"M.2148/CAMPANG RAYA")</f>
        <v>M.2148/CAMPANG RAYA</v>
      </c>
      <c r="D8806" s="42"/>
      <c r="E8806" s="42"/>
      <c r="F8806" s="48" t="str">
        <f>IFERROR(__xludf.DUMMYFUNCTION("""COMPUTED_VALUE"""),"")</f>
        <v/>
      </c>
      <c r="G8806" s="42" t="str">
        <f>IFERROR(__xludf.DUMMYFUNCTION("""COMPUTED_VALUE"""),"SKPT LELANG")</f>
        <v>SKPT LELANG</v>
      </c>
      <c r="H8806" s="42">
        <f t="shared" si="1"/>
        <v>3332</v>
      </c>
    </row>
    <row r="8807" ht="22.5" customHeight="1">
      <c r="B8807" s="42" t="str">
        <f>IFERROR(__xludf.DUMMYFUNCTION("""COMPUTED_VALUE"""),"K/6/311025/2")</f>
        <v>K/6/311025/2</v>
      </c>
      <c r="C8807" s="42" t="str">
        <f>IFERROR(__xludf.DUMMYFUNCTION("""COMPUTED_VALUE"""),"M. 716/CAMPANG RAYA")</f>
        <v>M. 716/CAMPANG RAYA</v>
      </c>
      <c r="D8807" s="42"/>
      <c r="E8807" s="42"/>
      <c r="F8807" s="48" t="str">
        <f>IFERROR(__xludf.DUMMYFUNCTION("""COMPUTED_VALUE"""),"")</f>
        <v/>
      </c>
      <c r="G8807" s="42" t="str">
        <f>IFERROR(__xludf.DUMMYFUNCTION("""COMPUTED_VALUE"""),"SKPT LELANG")</f>
        <v>SKPT LELANG</v>
      </c>
      <c r="H8807" s="42">
        <f t="shared" si="1"/>
        <v>3332</v>
      </c>
    </row>
    <row r="8808" ht="22.5" customHeight="1">
      <c r="B8808" s="42" t="str">
        <f>IFERROR(__xludf.DUMMYFUNCTION("""COMPUTED_VALUE"""),"K/7/311025/1")</f>
        <v>K/7/311025/1</v>
      </c>
      <c r="C8808" s="42" t="str">
        <f>IFERROR(__xludf.DUMMYFUNCTION("""COMPUTED_VALUE"""),"M.181/KEMILING RAYA")</f>
        <v>M.181/KEMILING RAYA</v>
      </c>
      <c r="D8808" s="42"/>
      <c r="E8808" s="42"/>
      <c r="F8808" s="48" t="str">
        <f>IFERROR(__xludf.DUMMYFUNCTION("""COMPUTED_VALUE"""),"")</f>
        <v/>
      </c>
      <c r="G8808" s="42" t="str">
        <f>IFERROR(__xludf.DUMMYFUNCTION("""COMPUTED_VALUE"""),"ROYA")</f>
        <v>ROYA</v>
      </c>
      <c r="H8808" s="42">
        <f t="shared" si="1"/>
        <v>3332</v>
      </c>
    </row>
    <row r="8809" ht="22.5" customHeight="1">
      <c r="B8809" s="42" t="str">
        <f>IFERROR(__xludf.DUMMYFUNCTION("""COMPUTED_VALUE"""),"Ab028/ABWFWOSB")</f>
        <v>Ab028/ABWFWOSB</v>
      </c>
      <c r="C8809" s="42" t="str">
        <f>IFERROR(__xludf.DUMMYFUNCTION("""COMPUTED_VALUE"""),"M. Nibel 16596/Sukarame")</f>
        <v>M. Nibel 16596/Sukarame</v>
      </c>
      <c r="D8809" s="42" t="str">
        <f>IFERROR(__xludf.DUMMYFUNCTION("""COMPUTED_VALUE"""),"Berry")</f>
        <v>Berry</v>
      </c>
      <c r="E8809" s="42" t="str">
        <f>IFERROR(__xludf.DUMMYFUNCTION("""COMPUTED_VALUE"""),"DISERAHKAN")</f>
        <v>DISERAHKAN</v>
      </c>
      <c r="F8809" s="48">
        <f>IFERROR(__xludf.DUMMYFUNCTION("""COMPUTED_VALUE"""),46020.65078295139)</f>
        <v>46020.65078</v>
      </c>
      <c r="G8809" s="42" t="str">
        <f>IFERROR(__xludf.DUMMYFUNCTION("""COMPUTED_VALUE"""),"Peningkatan hak")</f>
        <v>Peningkatan hak</v>
      </c>
      <c r="H8809" s="42">
        <f t="shared" si="1"/>
        <v>3333</v>
      </c>
    </row>
    <row r="8810" ht="22.5" customHeight="1">
      <c r="B8810" s="42" t="str">
        <f>IFERROR(__xludf.DUMMYFUNCTION("""COMPUTED_VALUE"""),"K/1/031125/1")</f>
        <v>K/1/031125/1</v>
      </c>
      <c r="C8810" s="42" t="str">
        <f>IFERROR(__xludf.DUMMYFUNCTION("""COMPUTED_VALUE"""),"M. 9006/KEDAMAIAN")</f>
        <v>M. 9006/KEDAMAIAN</v>
      </c>
      <c r="D8810" s="42"/>
      <c r="E8810" s="42"/>
      <c r="F8810" s="48" t="str">
        <f>IFERROR(__xludf.DUMMYFUNCTION("""COMPUTED_VALUE"""),"")</f>
        <v/>
      </c>
      <c r="G8810" s="42" t="str">
        <f>IFERROR(__xludf.DUMMYFUNCTION("""COMPUTED_VALUE"""),"PEMECAHAN")</f>
        <v>PEMECAHAN</v>
      </c>
      <c r="H8810" s="42">
        <f t="shared" si="1"/>
        <v>3333</v>
      </c>
    </row>
    <row r="8811" ht="22.5" customHeight="1">
      <c r="B8811" s="42" t="str">
        <f>IFERROR(__xludf.DUMMYFUNCTION("""COMPUTED_VALUE"""),"ABWNQKVL")</f>
        <v>ABWNQKVL</v>
      </c>
      <c r="C8811" s="42" t="str">
        <f>IFERROR(__xludf.DUMMYFUNCTION("""COMPUTED_VALUE"""),"Nibel M 25464/NOG")</f>
        <v>Nibel M 25464/NOG</v>
      </c>
      <c r="D8811" s="42"/>
      <c r="E8811" s="42"/>
      <c r="F8811" s="48" t="str">
        <f>IFERROR(__xludf.DUMMYFUNCTION("""COMPUTED_VALUE"""),"")</f>
        <v/>
      </c>
      <c r="G8811" s="42" t="str">
        <f>IFERROR(__xludf.DUMMYFUNCTION("""COMPUTED_VALUE"""),"bn hibah")</f>
        <v>bn hibah</v>
      </c>
      <c r="H8811" s="42">
        <f t="shared" si="1"/>
        <v>3333</v>
      </c>
    </row>
    <row r="8812" ht="22.5" customHeight="1">
      <c r="B8812" s="42" t="str">
        <f>IFERROR(__xludf.DUMMYFUNCTION("""COMPUTED_VALUE"""),"K/2/031125/1")</f>
        <v>K/2/031125/1</v>
      </c>
      <c r="C8812" s="42" t="str">
        <f>IFERROR(__xludf.DUMMYFUNCTION("""COMPUTED_VALUE"""),"B. 648/NUSANTARA PERMAI")</f>
        <v>B. 648/NUSANTARA PERMAI</v>
      </c>
      <c r="D8812" s="42"/>
      <c r="E8812" s="42"/>
      <c r="F8812" s="48" t="str">
        <f>IFERROR(__xludf.DUMMYFUNCTION("""COMPUTED_VALUE"""),"")</f>
        <v/>
      </c>
      <c r="G8812" s="42" t="str">
        <f>IFERROR(__xludf.DUMMYFUNCTION("""COMPUTED_VALUE"""),"PENINGKATAN HAK")</f>
        <v>PENINGKATAN HAK</v>
      </c>
      <c r="H8812" s="42">
        <f t="shared" si="1"/>
        <v>3333</v>
      </c>
    </row>
    <row r="8813" ht="22.5" customHeight="1">
      <c r="B8813" s="42" t="str">
        <f>IFERROR(__xludf.DUMMYFUNCTION("""COMPUTED_VALUE"""),"K/3/031125/1")</f>
        <v>K/3/031125/1</v>
      </c>
      <c r="C8813" s="42" t="str">
        <f>IFERROR(__xludf.DUMMYFUNCTION("""COMPUTED_VALUE"""),"B. 1872/SUKARAME")</f>
        <v>B. 1872/SUKARAME</v>
      </c>
      <c r="D8813" s="42"/>
      <c r="E8813" s="42"/>
      <c r="F8813" s="48" t="str">
        <f>IFERROR(__xludf.DUMMYFUNCTION("""COMPUTED_VALUE"""),"")</f>
        <v/>
      </c>
      <c r="G8813" s="42" t="str">
        <f>IFERROR(__xludf.DUMMYFUNCTION("""COMPUTED_VALUE"""),"PENGUKURAN HGB MATI")</f>
        <v>PENGUKURAN HGB MATI</v>
      </c>
      <c r="H8813" s="42">
        <f t="shared" si="1"/>
        <v>3333</v>
      </c>
    </row>
    <row r="8814" ht="22.5" customHeight="1">
      <c r="B8814" s="42" t="str">
        <f>IFERROR(__xludf.DUMMYFUNCTION("""COMPUTED_VALUE"""),"K/4/031125/1")</f>
        <v>K/4/031125/1</v>
      </c>
      <c r="C8814" s="42" t="str">
        <f>IFERROR(__xludf.DUMMYFUNCTION("""COMPUTED_VALUE"""),"M. 4359/TANJUNG SENANG")</f>
        <v>M. 4359/TANJUNG SENANG</v>
      </c>
      <c r="D8814" s="42"/>
      <c r="E8814" s="42"/>
      <c r="F8814" s="48" t="str">
        <f>IFERROR(__xludf.DUMMYFUNCTION("""COMPUTED_VALUE"""),"")</f>
        <v/>
      </c>
      <c r="G8814" s="42" t="str">
        <f>IFERROR(__xludf.DUMMYFUNCTION("""COMPUTED_VALUE"""),"BLOKIR")</f>
        <v>BLOKIR</v>
      </c>
      <c r="H8814" s="42">
        <f t="shared" si="1"/>
        <v>3333</v>
      </c>
    </row>
    <row r="8815" ht="22.5" customHeight="1">
      <c r="B8815" s="42" t="str">
        <f>IFERROR(__xludf.DUMMYFUNCTION("""COMPUTED_VALUE"""),"K/5/031125/2")</f>
        <v>K/5/031125/2</v>
      </c>
      <c r="C8815" s="42" t="str">
        <f>IFERROR(__xludf.DUMMYFUNCTION("""COMPUTED_VALUE"""),"M. 2836/TANJUNG SENANG")</f>
        <v>M. 2836/TANJUNG SENANG</v>
      </c>
      <c r="D8815" s="42"/>
      <c r="E8815" s="42"/>
      <c r="F8815" s="48" t="str">
        <f>IFERROR(__xludf.DUMMYFUNCTION("""COMPUTED_VALUE"""),"")</f>
        <v/>
      </c>
      <c r="G8815" s="42" t="str">
        <f>IFERROR(__xludf.DUMMYFUNCTION("""COMPUTED_VALUE"""),"BLOKIR")</f>
        <v>BLOKIR</v>
      </c>
      <c r="H8815" s="42">
        <f t="shared" si="1"/>
        <v>3333</v>
      </c>
    </row>
    <row r="8816" ht="22.5" customHeight="1">
      <c r="B8816" s="42" t="str">
        <f>IFERROR(__xludf.DUMMYFUNCTION("""COMPUTED_VALUE"""),"K/6/031125/3")</f>
        <v>K/6/031125/3</v>
      </c>
      <c r="C8816" s="42" t="str">
        <f>IFERROR(__xludf.DUMMYFUNCTION("""COMPUTED_VALUE"""),"M. 2173/TANJUNG SENANG")</f>
        <v>M. 2173/TANJUNG SENANG</v>
      </c>
      <c r="D8816" s="42"/>
      <c r="E8816" s="42"/>
      <c r="F8816" s="48" t="str">
        <f>IFERROR(__xludf.DUMMYFUNCTION("""COMPUTED_VALUE"""),"")</f>
        <v/>
      </c>
      <c r="G8816" s="42" t="str">
        <f>IFERROR(__xludf.DUMMYFUNCTION("""COMPUTED_VALUE"""),"BLOKIR")</f>
        <v>BLOKIR</v>
      </c>
      <c r="H8816" s="42">
        <f t="shared" si="1"/>
        <v>3333</v>
      </c>
    </row>
    <row r="8817" ht="22.5" customHeight="1">
      <c r="B8817" s="42" t="str">
        <f>IFERROR(__xludf.DUMMYFUNCTION("""COMPUTED_VALUE"""),"ABCQEFKQ/AB031")</f>
        <v>ABCQEFKQ/AB031</v>
      </c>
      <c r="C8817" s="42" t="str">
        <f>IFERROR(__xludf.DUMMYFUNCTION("""COMPUTED_VALUE"""),"M.3081/Kemiling Permai")</f>
        <v>M.3081/Kemiling Permai</v>
      </c>
      <c r="D8817" s="42"/>
      <c r="E8817" s="42"/>
      <c r="F8817" s="48" t="str">
        <f>IFERROR(__xludf.DUMMYFUNCTION("""COMPUTED_VALUE"""),"")</f>
        <v/>
      </c>
      <c r="G8817" s="42" t="str">
        <f>IFERROR(__xludf.DUMMYFUNCTION("""COMPUTED_VALUE"""),"BN Jual Beli")</f>
        <v>BN Jual Beli</v>
      </c>
      <c r="H8817" s="42">
        <f t="shared" si="1"/>
        <v>3333</v>
      </c>
    </row>
    <row r="8818" ht="22.5" customHeight="1">
      <c r="B8818" s="42" t="str">
        <f>IFERROR(__xludf.DUMMYFUNCTION("""COMPUTED_VALUE"""),"ABODVNPK/AB031")</f>
        <v>ABODVNPK/AB031</v>
      </c>
      <c r="C8818" s="42" t="str">
        <f>IFERROR(__xludf.DUMMYFUNCTION("""COMPUTED_VALUE"""),"M. Nibel 18160/Rajabasa Jaya")</f>
        <v>M. Nibel 18160/Rajabasa Jaya</v>
      </c>
      <c r="D8818" s="42"/>
      <c r="E8818" s="42"/>
      <c r="F8818" s="48" t="str">
        <f>IFERROR(__xludf.DUMMYFUNCTION("""COMPUTED_VALUE"""),"")</f>
        <v/>
      </c>
      <c r="G8818" s="42" t="str">
        <f>IFERROR(__xludf.DUMMYFUNCTION("""COMPUTED_VALUE"""),"BN Jual Beli")</f>
        <v>BN Jual Beli</v>
      </c>
      <c r="H8818" s="42">
        <f t="shared" si="1"/>
        <v>3333</v>
      </c>
    </row>
    <row r="8819" ht="22.5" customHeight="1">
      <c r="B8819" s="42" t="str">
        <f>IFERROR(__xludf.DUMMYFUNCTION("""COMPUTED_VALUE"""),"ABGPUQZH/AB031")</f>
        <v>ABGPUQZH/AB031</v>
      </c>
      <c r="C8819" s="42" t="str">
        <f>IFERROR(__xludf.DUMMYFUNCTION("""COMPUTED_VALUE"""),"M. Nibel 18162/Rajabasa Jaya")</f>
        <v>M. Nibel 18162/Rajabasa Jaya</v>
      </c>
      <c r="D8819" s="42"/>
      <c r="E8819" s="42"/>
      <c r="F8819" s="48" t="str">
        <f>IFERROR(__xludf.DUMMYFUNCTION("""COMPUTED_VALUE"""),"")</f>
        <v/>
      </c>
      <c r="G8819" s="42" t="str">
        <f>IFERROR(__xludf.DUMMYFUNCTION("""COMPUTED_VALUE"""),"BN Jual Beli")</f>
        <v>BN Jual Beli</v>
      </c>
      <c r="H8819" s="42">
        <f t="shared" si="1"/>
        <v>3333</v>
      </c>
    </row>
    <row r="8820" ht="22.5" customHeight="1">
      <c r="B8820" s="42" t="str">
        <f>IFERROR(__xludf.DUMMYFUNCTION("""COMPUTED_VALUE"""),"K/7/031125/4")</f>
        <v>K/7/031125/4</v>
      </c>
      <c r="C8820" s="42" t="str">
        <f>IFERROR(__xludf.DUMMYFUNCTION("""COMPUTED_VALUE"""),"M. 5314/TANJUNG SENANG")</f>
        <v>M. 5314/TANJUNG SENANG</v>
      </c>
      <c r="D8820" s="42"/>
      <c r="E8820" s="42"/>
      <c r="F8820" s="48" t="str">
        <f>IFERROR(__xludf.DUMMYFUNCTION("""COMPUTED_VALUE"""),"")</f>
        <v/>
      </c>
      <c r="G8820" s="42" t="str">
        <f>IFERROR(__xludf.DUMMYFUNCTION("""COMPUTED_VALUE"""),"BLOKIR")</f>
        <v>BLOKIR</v>
      </c>
      <c r="H8820" s="42">
        <f t="shared" si="1"/>
        <v>3333</v>
      </c>
    </row>
    <row r="8821" ht="22.5" customHeight="1">
      <c r="B8821" s="42" t="str">
        <f>IFERROR(__xludf.DUMMYFUNCTION("""COMPUTED_VALUE"""),"K/8/031125/1")</f>
        <v>K/8/031125/1</v>
      </c>
      <c r="C8821" s="42" t="str">
        <f>IFERROR(__xludf.DUMMYFUNCTION("""COMPUTED_VALUE"""),"M. 741/CAMPANG RAYA")</f>
        <v>M. 741/CAMPANG RAYA</v>
      </c>
      <c r="D8821" s="42"/>
      <c r="E8821" s="42"/>
      <c r="F8821" s="48" t="str">
        <f>IFERROR(__xludf.DUMMYFUNCTION("""COMPUTED_VALUE"""),"")</f>
        <v/>
      </c>
      <c r="G8821" s="42" t="str">
        <f>IFERROR(__xludf.DUMMYFUNCTION("""COMPUTED_VALUE"""),"SKPT LELANG")</f>
        <v>SKPT LELANG</v>
      </c>
      <c r="H8821" s="42">
        <f t="shared" si="1"/>
        <v>3333</v>
      </c>
    </row>
    <row r="8822" ht="22.5" customHeight="1">
      <c r="B8822" s="42" t="str">
        <f>IFERROR(__xludf.DUMMYFUNCTION("""COMPUTED_VALUE"""),"K/9/031125/1")</f>
        <v>K/9/031125/1</v>
      </c>
      <c r="C8822" s="42" t="str">
        <f>IFERROR(__xludf.DUMMYFUNCTION("""COMPUTED_VALUE"""),"PBT. 161/2025")</f>
        <v>PBT. 161/2025</v>
      </c>
      <c r="D8822" s="42"/>
      <c r="E8822" s="42"/>
      <c r="F8822" s="48" t="str">
        <f>IFERROR(__xludf.DUMMYFUNCTION("""COMPUTED_VALUE"""),"")</f>
        <v/>
      </c>
      <c r="G8822" s="42" t="str">
        <f>IFERROR(__xludf.DUMMYFUNCTION("""COMPUTED_VALUE"""),"PTPGT TANAH MENTAH")</f>
        <v>PTPGT TANAH MENTAH</v>
      </c>
      <c r="H8822" s="42">
        <f t="shared" si="1"/>
        <v>3333</v>
      </c>
    </row>
    <row r="8823" ht="22.5" customHeight="1">
      <c r="B8823" s="42" t="str">
        <f>IFERROR(__xludf.DUMMYFUNCTION("""COMPUTED_VALUE"""),"K/11/031125/1")</f>
        <v>K/11/031125/1</v>
      </c>
      <c r="C8823" s="42" t="str">
        <f>IFERROR(__xludf.DUMMYFUNCTION("""COMPUTED_VALUE"""),"87/I/MASRS/T")</f>
        <v>87/I/MASRS/T</v>
      </c>
      <c r="D8823" s="42"/>
      <c r="E8823" s="42"/>
      <c r="F8823" s="48" t="str">
        <f>IFERROR(__xludf.DUMMYFUNCTION("""COMPUTED_VALUE"""),"")</f>
        <v/>
      </c>
      <c r="G8823" s="42" t="str">
        <f>IFERROR(__xludf.DUMMYFUNCTION("""COMPUTED_VALUE"""),"BN WARIS ")</f>
        <v>BN WARIS </v>
      </c>
      <c r="H8823" s="42">
        <f t="shared" si="1"/>
        <v>3333</v>
      </c>
    </row>
    <row r="8824" ht="22.5" customHeight="1">
      <c r="B8824" s="42" t="str">
        <f>IFERROR(__xludf.DUMMYFUNCTION("""COMPUTED_VALUE"""),"ABRNTCHS")</f>
        <v>ABRNTCHS</v>
      </c>
      <c r="C8824" s="42" t="str">
        <f>IFERROR(__xludf.DUMMYFUNCTION("""COMPUTED_VALUE"""),"NIBEL B 2662/ NOG")</f>
        <v>NIBEL B 2662/ NOG</v>
      </c>
      <c r="D8824" s="42"/>
      <c r="E8824" s="42"/>
      <c r="F8824" s="48" t="str">
        <f>IFERROR(__xludf.DUMMYFUNCTION("""COMPUTED_VALUE"""),"")</f>
        <v/>
      </c>
      <c r="G8824" s="42" t="str">
        <f>IFERROR(__xludf.DUMMYFUNCTION("""COMPUTED_VALUE"""),"Balik nama jual beli")</f>
        <v>Balik nama jual beli</v>
      </c>
      <c r="H8824" s="42">
        <f t="shared" si="1"/>
        <v>3333</v>
      </c>
    </row>
    <row r="8825" ht="22.5" customHeight="1">
      <c r="B8825" s="42" t="str">
        <f>IFERROR(__xludf.DUMMYFUNCTION("""COMPUTED_VALUE"""),"K/12/031125/2")</f>
        <v>K/12/031125/2</v>
      </c>
      <c r="C8825" s="42" t="str">
        <f>IFERROR(__xludf.DUMMYFUNCTION("""COMPUTED_VALUE"""),"88/I/MASRS/T")</f>
        <v>88/I/MASRS/T</v>
      </c>
      <c r="D8825" s="42"/>
      <c r="E8825" s="42"/>
      <c r="F8825" s="48" t="str">
        <f>IFERROR(__xludf.DUMMYFUNCTION("""COMPUTED_VALUE"""),"")</f>
        <v/>
      </c>
      <c r="G8825" s="42" t="str">
        <f>IFERROR(__xludf.DUMMYFUNCTION("""COMPUTED_VALUE"""),"BN WARIS")</f>
        <v>BN WARIS</v>
      </c>
      <c r="H8825" s="42">
        <f t="shared" si="1"/>
        <v>3333</v>
      </c>
    </row>
    <row r="8826" ht="22.5" customHeight="1">
      <c r="B8826" s="42" t="str">
        <f>IFERROR(__xludf.DUMMYFUNCTION("""COMPUTED_VALUE"""),"K/13/031125/1")</f>
        <v>K/13/031125/1</v>
      </c>
      <c r="C8826" s="42" t="str">
        <f>IFERROR(__xludf.DUMMYFUNCTION("""COMPUTED_VALUE"""),"PBT. 118/2025")</f>
        <v>PBT. 118/2025</v>
      </c>
      <c r="D8826" s="42"/>
      <c r="E8826" s="42"/>
      <c r="F8826" s="48" t="str">
        <f>IFERROR(__xludf.DUMMYFUNCTION("""COMPUTED_VALUE"""),"")</f>
        <v/>
      </c>
      <c r="G8826" s="42" t="str">
        <f>IFERROR(__xludf.DUMMYFUNCTION("""COMPUTED_VALUE"""),"PTPGT PERTAMA KALI")</f>
        <v>PTPGT PERTAMA KALI</v>
      </c>
      <c r="H8826" s="42">
        <f t="shared" si="1"/>
        <v>3333</v>
      </c>
    </row>
    <row r="8827" ht="22.5" customHeight="1">
      <c r="B8827" s="42" t="str">
        <f>IFERROR(__xludf.DUMMYFUNCTION("""COMPUTED_VALUE"""),"ABBVJGBZ/AB049")</f>
        <v>ABBVJGBZ/AB049</v>
      </c>
      <c r="C8827" s="42" t="str">
        <f>IFERROR(__xludf.DUMMYFUNCTION("""COMPUTED_VALUE"""),"M. 968/Pelita")</f>
        <v>M. 968/Pelita</v>
      </c>
      <c r="D8827" s="42"/>
      <c r="E8827" s="42"/>
      <c r="F8827" s="48" t="str">
        <f>IFERROR(__xludf.DUMMYFUNCTION("""COMPUTED_VALUE"""),"")</f>
        <v/>
      </c>
      <c r="G8827" s="42" t="str">
        <f>IFERROR(__xludf.DUMMYFUNCTION("""COMPUTED_VALUE"""),"BN Hibah")</f>
        <v>BN Hibah</v>
      </c>
      <c r="H8827" s="42">
        <f t="shared" si="1"/>
        <v>3333</v>
      </c>
    </row>
    <row r="8828" ht="22.5" customHeight="1">
      <c r="B8828" s="42" t="str">
        <f>IFERROR(__xludf.DUMMYFUNCTION("""COMPUTED_VALUE"""),"K/14/031125/1")</f>
        <v>K/14/031125/1</v>
      </c>
      <c r="C8828" s="42" t="str">
        <f>IFERROR(__xludf.DUMMYFUNCTION("""COMPUTED_VALUE"""),"B. 1383/PINANG JAYA")</f>
        <v>B. 1383/PINANG JAYA</v>
      </c>
      <c r="D8828" s="42"/>
      <c r="E8828" s="42"/>
      <c r="F8828" s="48" t="str">
        <f>IFERROR(__xludf.DUMMYFUNCTION("""COMPUTED_VALUE"""),"")</f>
        <v/>
      </c>
      <c r="G8828" s="42" t="str">
        <f>IFERROR(__xludf.DUMMYFUNCTION("""COMPUTED_VALUE"""),"PERUBAHAN HAK")</f>
        <v>PERUBAHAN HAK</v>
      </c>
      <c r="H8828" s="42">
        <f t="shared" si="1"/>
        <v>3333</v>
      </c>
    </row>
    <row r="8829" ht="22.5" customHeight="1">
      <c r="B8829" s="42" t="str">
        <f>IFERROR(__xludf.DUMMYFUNCTION("""COMPUTED_VALUE"""),"K/15/031125/2")</f>
        <v>K/15/031125/2</v>
      </c>
      <c r="C8829" s="42" t="str">
        <f>IFERROR(__xludf.DUMMYFUNCTION("""COMPUTED_VALUE"""),"B.1384/PINANG JAYA")</f>
        <v>B.1384/PINANG JAYA</v>
      </c>
      <c r="D8829" s="42"/>
      <c r="E8829" s="42"/>
      <c r="F8829" s="48" t="str">
        <f>IFERROR(__xludf.DUMMYFUNCTION("""COMPUTED_VALUE"""),"")</f>
        <v/>
      </c>
      <c r="G8829" s="42" t="str">
        <f>IFERROR(__xludf.DUMMYFUNCTION("""COMPUTED_VALUE"""),"PERUBAHAN HAK")</f>
        <v>PERUBAHAN HAK</v>
      </c>
      <c r="H8829" s="42">
        <f t="shared" si="1"/>
        <v>3333</v>
      </c>
    </row>
    <row r="8830" ht="22.5" customHeight="1">
      <c r="B8830" s="42" t="str">
        <f>IFERROR(__xludf.DUMMYFUNCTION("""COMPUTED_VALUE"""),"AB061/ABKCZQCP")</f>
        <v>AB061/ABKCZQCP</v>
      </c>
      <c r="C8830" s="42" t="str">
        <f>IFERROR(__xludf.DUMMYFUNCTION("""COMPUTED_VALUE"""),"Nibel M 23331/ Sumberejo")</f>
        <v>Nibel M 23331/ Sumberejo</v>
      </c>
      <c r="D8830" s="42"/>
      <c r="E8830" s="42"/>
      <c r="F8830" s="48" t="str">
        <f>IFERROR(__xludf.DUMMYFUNCTION("""COMPUTED_VALUE"""),"")</f>
        <v/>
      </c>
      <c r="G8830" s="42" t="str">
        <f>IFERROR(__xludf.DUMMYFUNCTION("""COMPUTED_VALUE"""),"Pendaftaran Peralihan Hak")</f>
        <v>Pendaftaran Peralihan Hak</v>
      </c>
      <c r="H8830" s="42">
        <f t="shared" si="1"/>
        <v>3333</v>
      </c>
    </row>
    <row r="8831" ht="22.5" customHeight="1">
      <c r="B8831" s="42" t="str">
        <f>IFERROR(__xludf.DUMMYFUNCTION("""COMPUTED_VALUE"""),"L/17/031125/1")</f>
        <v>L/17/031125/1</v>
      </c>
      <c r="C8831" s="42" t="str">
        <f>IFERROR(__xludf.DUMMYFUNCTION("""COMPUTED_VALUE"""),"M. 13213/KEDAMAIAN")</f>
        <v>M. 13213/KEDAMAIAN</v>
      </c>
      <c r="D8831" s="42"/>
      <c r="E8831" s="42"/>
      <c r="F8831" s="48" t="str">
        <f>IFERROR(__xludf.DUMMYFUNCTION("""COMPUTED_VALUE"""),"")</f>
        <v/>
      </c>
      <c r="G8831" s="42" t="str">
        <f>IFERROR(__xludf.DUMMYFUNCTION("""COMPUTED_VALUE"""),"ROYA")</f>
        <v>ROYA</v>
      </c>
      <c r="H8831" s="42">
        <f t="shared" si="1"/>
        <v>3333</v>
      </c>
    </row>
    <row r="8832" ht="22.5" customHeight="1">
      <c r="B8832" s="42" t="str">
        <f>IFERROR(__xludf.DUMMYFUNCTION("""COMPUTED_VALUE"""),"AB061")</f>
        <v>AB061</v>
      </c>
      <c r="C8832" s="42" t="str">
        <f>IFERROR(__xludf.DUMMYFUNCTION("""COMPUTED_VALUE"""),"M 18610/ SUKARAME")</f>
        <v>M 18610/ SUKARAME</v>
      </c>
      <c r="D8832" s="42"/>
      <c r="E8832" s="42"/>
      <c r="F8832" s="48" t="str">
        <f>IFERROR(__xludf.DUMMYFUNCTION("""COMPUTED_VALUE"""),"")</f>
        <v/>
      </c>
      <c r="G8832" s="42" t="str">
        <f>IFERROR(__xludf.DUMMYFUNCTION("""COMPUTED_VALUE"""),"Ganti Desa")</f>
        <v>Ganti Desa</v>
      </c>
      <c r="H8832" s="42">
        <f t="shared" si="1"/>
        <v>3333</v>
      </c>
    </row>
    <row r="8833" ht="22.5" customHeight="1">
      <c r="B8833" s="42" t="str">
        <f>IFERROR(__xludf.DUMMYFUNCTION("""COMPUTED_VALUE"""),"L/18/031125/1")</f>
        <v>L/18/031125/1</v>
      </c>
      <c r="C8833" s="42" t="str">
        <f>IFERROR(__xludf.DUMMYFUNCTION("""COMPUTED_VALUE"""),"M. 1019/BERINGIN JAYA")</f>
        <v>M. 1019/BERINGIN JAYA</v>
      </c>
      <c r="D8833" s="42"/>
      <c r="E8833" s="42"/>
      <c r="F8833" s="48" t="str">
        <f>IFERROR(__xludf.DUMMYFUNCTION("""COMPUTED_VALUE"""),"")</f>
        <v/>
      </c>
      <c r="G8833" s="42" t="str">
        <f>IFERROR(__xludf.DUMMYFUNCTION("""COMPUTED_VALUE"""),"HAPUS BPHTB")</f>
        <v>HAPUS BPHTB</v>
      </c>
      <c r="H8833" s="42">
        <f t="shared" si="1"/>
        <v>3333</v>
      </c>
    </row>
    <row r="8834" ht="22.5" customHeight="1">
      <c r="B8834" s="42" t="str">
        <f>IFERROR(__xludf.DUMMYFUNCTION("""COMPUTED_VALUE"""),"L/19/031125/1")</f>
        <v>L/19/031125/1</v>
      </c>
      <c r="C8834" s="42" t="str">
        <f>IFERROR(__xludf.DUMMYFUNCTION("""COMPUTED_VALUE"""),"M. 637/PERUMNAS WAY KANDIS")</f>
        <v>M. 637/PERUMNAS WAY KANDIS</v>
      </c>
      <c r="D8834" s="42"/>
      <c r="E8834" s="42"/>
      <c r="F8834" s="48" t="str">
        <f>IFERROR(__xludf.DUMMYFUNCTION("""COMPUTED_VALUE"""),"")</f>
        <v/>
      </c>
      <c r="G8834" s="42" t="str">
        <f>IFERROR(__xludf.DUMMYFUNCTION("""COMPUTED_VALUE"""),"ROYA WARIS")</f>
        <v>ROYA WARIS</v>
      </c>
      <c r="H8834" s="42">
        <f t="shared" si="1"/>
        <v>3333</v>
      </c>
    </row>
    <row r="8835" ht="22.5" customHeight="1">
      <c r="B8835" s="42" t="str">
        <f>IFERROR(__xludf.DUMMYFUNCTION("""COMPUTED_VALUE"""),"ABLYEWXC")</f>
        <v>ABLYEWXC</v>
      </c>
      <c r="C8835" s="42" t="str">
        <f>IFERROR(__xludf.DUMMYFUNCTION("""COMPUTED_VALUE"""),"M. 18594/gunung agung")</f>
        <v>M. 18594/gunung agung</v>
      </c>
      <c r="D8835" s="42"/>
      <c r="E8835" s="42"/>
      <c r="F8835" s="48" t="str">
        <f>IFERROR(__xludf.DUMMYFUNCTION("""COMPUTED_VALUE"""),"")</f>
        <v/>
      </c>
      <c r="G8835" s="42" t="str">
        <f>IFERROR(__xludf.DUMMYFUNCTION("""COMPUTED_VALUE"""),"Bn jual beli")</f>
        <v>Bn jual beli</v>
      </c>
      <c r="H8835" s="42">
        <f t="shared" si="1"/>
        <v>3333</v>
      </c>
    </row>
    <row r="8836" ht="22.5" customHeight="1">
      <c r="B8836" s="42" t="str">
        <f>IFERROR(__xludf.DUMMYFUNCTION("""COMPUTED_VALUE"""),"Abagcgvo")</f>
        <v>Abagcgvo</v>
      </c>
      <c r="C8836" s="42" t="str">
        <f>IFERROR(__xludf.DUMMYFUNCTION("""COMPUTED_VALUE"""),"Nibel m 25384/ kemiling permai")</f>
        <v>Nibel m 25384/ kemiling permai</v>
      </c>
      <c r="D8836" s="42"/>
      <c r="E8836" s="42"/>
      <c r="F8836" s="48" t="str">
        <f>IFERROR(__xludf.DUMMYFUNCTION("""COMPUTED_VALUE"""),"")</f>
        <v/>
      </c>
      <c r="G8836" s="42" t="str">
        <f>IFERROR(__xludf.DUMMYFUNCTION("""COMPUTED_VALUE"""),"Bn jual beli")</f>
        <v>Bn jual beli</v>
      </c>
      <c r="H8836" s="42">
        <f t="shared" si="1"/>
        <v>3333</v>
      </c>
    </row>
    <row r="8837" ht="22.5" customHeight="1">
      <c r="B8837" s="42" t="str">
        <f>IFERROR(__xludf.DUMMYFUNCTION("""COMPUTED_VALUE"""),"ABFHGHAA")</f>
        <v>ABFHGHAA</v>
      </c>
      <c r="C8837" s="42" t="str">
        <f>IFERROR(__xludf.DUMMYFUNCTION("""COMPUTED_VALUE"""),"m 13167/ segala mider")</f>
        <v>m 13167/ segala mider</v>
      </c>
      <c r="D8837" s="42"/>
      <c r="E8837" s="42"/>
      <c r="F8837" s="48" t="str">
        <f>IFERROR(__xludf.DUMMYFUNCTION("""COMPUTED_VALUE"""),"")</f>
        <v/>
      </c>
      <c r="G8837" s="42" t="str">
        <f>IFERROR(__xludf.DUMMYFUNCTION("""COMPUTED_VALUE"""),"bn hibah")</f>
        <v>bn hibah</v>
      </c>
      <c r="H8837" s="42">
        <f t="shared" si="1"/>
        <v>3333</v>
      </c>
    </row>
    <row r="8838" ht="22.5" customHeight="1">
      <c r="B8838" s="42" t="str">
        <f>IFERROR(__xludf.DUMMYFUNCTION("""COMPUTED_VALUE"""),"ABAYVSEB/1")</f>
        <v>ABAYVSEB/1</v>
      </c>
      <c r="C8838" s="42" t="str">
        <f>IFERROR(__xludf.DUMMYFUNCTION("""COMPUTED_VALUE"""),"Shm nib.08.01.000023093.0/kota karang")</f>
        <v>Shm nib.08.01.000023093.0/kota karang</v>
      </c>
      <c r="D8838" s="42"/>
      <c r="E8838" s="42"/>
      <c r="F8838" s="48" t="str">
        <f>IFERROR(__xludf.DUMMYFUNCTION("""COMPUTED_VALUE"""),"")</f>
        <v/>
      </c>
      <c r="G8838" s="42" t="str">
        <f>IFERROR(__xludf.DUMMYFUNCTION("""COMPUTED_VALUE"""),"Peralihan hak bersama")</f>
        <v>Peralihan hak bersama</v>
      </c>
      <c r="H8838" s="42">
        <f t="shared" si="1"/>
        <v>3333</v>
      </c>
    </row>
    <row r="8839" ht="22.5" customHeight="1">
      <c r="B8839" s="42" t="str">
        <f>IFERROR(__xludf.DUMMYFUNCTION("""COMPUTED_VALUE"""),"K/16/031125/1")</f>
        <v>K/16/031125/1</v>
      </c>
      <c r="C8839" s="42" t="str">
        <f>IFERROR(__xludf.DUMMYFUNCTION("""COMPUTED_VALUE"""),"M. 804/BAKUNG")</f>
        <v>M. 804/BAKUNG</v>
      </c>
      <c r="D8839" s="42"/>
      <c r="E8839" s="42"/>
      <c r="F8839" s="48" t="str">
        <f>IFERROR(__xludf.DUMMYFUNCTION("""COMPUTED_VALUE"""),"")</f>
        <v/>
      </c>
      <c r="G8839" s="42" t="str">
        <f>IFERROR(__xludf.DUMMYFUNCTION("""COMPUTED_VALUE"""),"PEMECAHAN")</f>
        <v>PEMECAHAN</v>
      </c>
      <c r="H8839" s="42">
        <f t="shared" si="1"/>
        <v>3333</v>
      </c>
    </row>
    <row r="8840" ht="22.5" customHeight="1">
      <c r="B8840" s="42" t="str">
        <f>IFERROR(__xludf.DUMMYFUNCTION("""COMPUTED_VALUE"""),"ABOWLGQZ")</f>
        <v>ABOWLGQZ</v>
      </c>
      <c r="C8840" s="42" t="str">
        <f>IFERROR(__xludf.DUMMYFUNCTION("""COMPUTED_VALUE"""),"Hm 1729/ Bumi Kedamaian")</f>
        <v>Hm 1729/ Bumi Kedamaian</v>
      </c>
      <c r="D8840" s="42"/>
      <c r="E8840" s="42"/>
      <c r="F8840" s="48" t="str">
        <f>IFERROR(__xludf.DUMMYFUNCTION("""COMPUTED_VALUE"""),"")</f>
        <v/>
      </c>
      <c r="G8840" s="42" t="str">
        <f>IFERROR(__xludf.DUMMYFUNCTION("""COMPUTED_VALUE"""),"Balik Nama")</f>
        <v>Balik Nama</v>
      </c>
      <c r="H8840" s="42">
        <f t="shared" si="1"/>
        <v>3333</v>
      </c>
    </row>
    <row r="8841" ht="22.5" customHeight="1">
      <c r="B8841" s="42" t="str">
        <f>IFERROR(__xludf.DUMMYFUNCTION("""COMPUTED_VALUE"""),"L/21/031125/1")</f>
        <v>L/21/031125/1</v>
      </c>
      <c r="C8841" s="42" t="str">
        <f>IFERROR(__xludf.DUMMYFUNCTION("""COMPUTED_VALUE"""),"SHGB. 949/BERINGIN RAYA")</f>
        <v>SHGB. 949/BERINGIN RAYA</v>
      </c>
      <c r="D8841" s="42"/>
      <c r="E8841" s="42"/>
      <c r="F8841" s="48" t="str">
        <f>IFERROR(__xludf.DUMMYFUNCTION("""COMPUTED_VALUE"""),"")</f>
        <v/>
      </c>
      <c r="G8841" s="42" t="str">
        <f>IFERROR(__xludf.DUMMYFUNCTION("""COMPUTED_VALUE"""),"PENGUKURAN HGB MATI")</f>
        <v>PENGUKURAN HGB MATI</v>
      </c>
      <c r="H8841" s="42">
        <f t="shared" si="1"/>
        <v>3333</v>
      </c>
    </row>
    <row r="8842" ht="22.5" customHeight="1">
      <c r="B8842" s="42" t="str">
        <f>IFERROR(__xludf.DUMMYFUNCTION("""COMPUTED_VALUE"""),"K/20/031125/1")</f>
        <v>K/20/031125/1</v>
      </c>
      <c r="C8842" s="42" t="str">
        <f>IFERROR(__xludf.DUMMYFUNCTION("""COMPUTED_VALUE"""),"M. 1451/BAKUNG")</f>
        <v>M. 1451/BAKUNG</v>
      </c>
      <c r="D8842" s="42"/>
      <c r="E8842" s="42"/>
      <c r="F8842" s="48" t="str">
        <f>IFERROR(__xludf.DUMMYFUNCTION("""COMPUTED_VALUE"""),"")</f>
        <v/>
      </c>
      <c r="G8842" s="42" t="str">
        <f>IFERROR(__xludf.DUMMYFUNCTION("""COMPUTED_VALUE"""),"PTPGT PEMECAHAN")</f>
        <v>PTPGT PEMECAHAN</v>
      </c>
      <c r="H8842" s="42">
        <f t="shared" si="1"/>
        <v>3333</v>
      </c>
    </row>
    <row r="8843" ht="22.5" customHeight="1">
      <c r="B8843" s="42" t="str">
        <f>IFERROR(__xludf.DUMMYFUNCTION("""COMPUTED_VALUE"""),"AGPAKTG")</f>
        <v>AGPAKTG</v>
      </c>
      <c r="C8843" s="42" t="str">
        <f>IFERROR(__xludf.DUMMYFUNCTION("""COMPUTED_VALUE"""),"Labuhan ratu raya")</f>
        <v>Labuhan ratu raya</v>
      </c>
      <c r="D8843" s="42"/>
      <c r="E8843" s="42"/>
      <c r="F8843" s="48" t="str">
        <f>IFERROR(__xludf.DUMMYFUNCTION("""COMPUTED_VALUE"""),"")</f>
        <v/>
      </c>
      <c r="G8843" s="42" t="str">
        <f>IFERROR(__xludf.DUMMYFUNCTION("""COMPUTED_VALUE"""),"Pendaftran sk")</f>
        <v>Pendaftran sk</v>
      </c>
      <c r="H8843" s="42">
        <f t="shared" si="1"/>
        <v>3333</v>
      </c>
    </row>
    <row r="8844" ht="22.5" customHeight="1">
      <c r="B8844" s="42" t="str">
        <f>IFERROR(__xludf.DUMMYFUNCTION("""COMPUTED_VALUE"""),"ABGACPAM")</f>
        <v>ABGACPAM</v>
      </c>
      <c r="C8844" s="42" t="str">
        <f>IFERROR(__xludf.DUMMYFUNCTION("""COMPUTED_VALUE"""),"Labuhan ratu raya")</f>
        <v>Labuhan ratu raya</v>
      </c>
      <c r="D8844" s="42"/>
      <c r="E8844" s="42"/>
      <c r="F8844" s="48" t="str">
        <f>IFERROR(__xludf.DUMMYFUNCTION("""COMPUTED_VALUE"""),"")</f>
        <v/>
      </c>
      <c r="G8844" s="42" t="str">
        <f>IFERROR(__xludf.DUMMYFUNCTION("""COMPUTED_VALUE"""),"Pendftran sk")</f>
        <v>Pendftran sk</v>
      </c>
      <c r="H8844" s="42">
        <f t="shared" si="1"/>
        <v>3333</v>
      </c>
    </row>
    <row r="8845" ht="22.5" customHeight="1">
      <c r="B8845" s="42" t="str">
        <f>IFERROR(__xludf.DUMMYFUNCTION("""COMPUTED_VALUE"""),"K/22/031125/1")</f>
        <v>K/22/031125/1</v>
      </c>
      <c r="C8845" s="42" t="str">
        <f>IFERROR(__xludf.DUMMYFUNCTION("""COMPUTED_VALUE"""),"M. 1902/BERINGIN JAYA")</f>
        <v>M. 1902/BERINGIN JAYA</v>
      </c>
      <c r="D8845" s="42"/>
      <c r="E8845" s="42"/>
      <c r="F8845" s="48" t="str">
        <f>IFERROR(__xludf.DUMMYFUNCTION("""COMPUTED_VALUE"""),"")</f>
        <v/>
      </c>
      <c r="G8845" s="42" t="str">
        <f>IFERROR(__xludf.DUMMYFUNCTION("""COMPUTED_VALUE"""),"BN HIBAH")</f>
        <v>BN HIBAH</v>
      </c>
      <c r="H8845" s="42">
        <f t="shared" si="1"/>
        <v>3333</v>
      </c>
    </row>
    <row r="8846" ht="22.5" customHeight="1">
      <c r="B8846" s="42" t="str">
        <f>IFERROR(__xludf.DUMMYFUNCTION("""COMPUTED_VALUE"""),"ABWPQYAK")</f>
        <v>ABWPQYAK</v>
      </c>
      <c r="C8846" s="42" t="str">
        <f>IFERROR(__xludf.DUMMYFUNCTION("""COMPUTED_VALUE"""),"M. 10598/kedaton")</f>
        <v>M. 10598/kedaton</v>
      </c>
      <c r="D8846" s="42"/>
      <c r="E8846" s="42"/>
      <c r="F8846" s="48" t="str">
        <f>IFERROR(__xludf.DUMMYFUNCTION("""COMPUTED_VALUE"""),"")</f>
        <v/>
      </c>
      <c r="G8846" s="42" t="str">
        <f>IFERROR(__xludf.DUMMYFUNCTION("""COMPUTED_VALUE"""),"Roya Hak Tanggungan")</f>
        <v>Roya Hak Tanggungan</v>
      </c>
      <c r="H8846" s="42">
        <f t="shared" si="1"/>
        <v>3333</v>
      </c>
    </row>
    <row r="8847" ht="22.5" customHeight="1">
      <c r="B8847" s="42" t="str">
        <f>IFERROR(__xludf.DUMMYFUNCTION("""COMPUTED_VALUE"""),"ABXWVEDE")</f>
        <v>ABXWVEDE</v>
      </c>
      <c r="C8847" s="42" t="str">
        <f>IFERROR(__xludf.DUMMYFUNCTION("""COMPUTED_VALUE"""),"NIBEL B 453/ sumber agung")</f>
        <v>NIBEL B 453/ sumber agung</v>
      </c>
      <c r="D8847" s="42"/>
      <c r="E8847" s="42"/>
      <c r="F8847" s="48" t="str">
        <f>IFERROR(__xludf.DUMMYFUNCTION("""COMPUTED_VALUE"""),"")</f>
        <v/>
      </c>
      <c r="G8847" s="42" t="str">
        <f>IFERROR(__xludf.DUMMYFUNCTION("""COMPUTED_VALUE"""),"Perubahan Hak")</f>
        <v>Perubahan Hak</v>
      </c>
      <c r="H8847" s="42">
        <f t="shared" si="1"/>
        <v>3333</v>
      </c>
    </row>
    <row r="8848" ht="22.5" customHeight="1">
      <c r="B8848" s="42" t="str">
        <f>IFERROR(__xludf.DUMMYFUNCTION("""COMPUTED_VALUE"""),"ABBVLFMA")</f>
        <v>ABBVLFMA</v>
      </c>
      <c r="C8848" s="42" t="str">
        <f>IFERROR(__xludf.DUMMYFUNCTION("""COMPUTED_VALUE"""),"NIBEL B 456/ Sumber Agung")</f>
        <v>NIBEL B 456/ Sumber Agung</v>
      </c>
      <c r="D8848" s="42"/>
      <c r="E8848" s="42"/>
      <c r="F8848" s="48" t="str">
        <f>IFERROR(__xludf.DUMMYFUNCTION("""COMPUTED_VALUE"""),"")</f>
        <v/>
      </c>
      <c r="G8848" s="42" t="str">
        <f>IFERROR(__xludf.DUMMYFUNCTION("""COMPUTED_VALUE"""),"Perubahan Hak")</f>
        <v>Perubahan Hak</v>
      </c>
      <c r="H8848" s="42">
        <f t="shared" si="1"/>
        <v>3333</v>
      </c>
    </row>
    <row r="8849" ht="22.5" customHeight="1">
      <c r="B8849" s="42" t="str">
        <f>IFERROR(__xludf.DUMMYFUNCTION("""COMPUTED_VALUE"""),"L/24/031125/1")</f>
        <v>L/24/031125/1</v>
      </c>
      <c r="C8849" s="42" t="str">
        <f>IFERROR(__xludf.DUMMYFUNCTION("""COMPUTED_VALUE"""),"B. 1501/KEMILING PERMAI")</f>
        <v>B. 1501/KEMILING PERMAI</v>
      </c>
      <c r="D8849" s="42"/>
      <c r="E8849" s="42"/>
      <c r="F8849" s="48" t="str">
        <f>IFERROR(__xludf.DUMMYFUNCTION("""COMPUTED_VALUE"""),"")</f>
        <v/>
      </c>
      <c r="G8849" s="42" t="str">
        <f>IFERROR(__xludf.DUMMYFUNCTION("""COMPUTED_VALUE"""),"BN WARIS")</f>
        <v>BN WARIS</v>
      </c>
      <c r="H8849" s="42">
        <f t="shared" si="1"/>
        <v>3333</v>
      </c>
    </row>
    <row r="8850" ht="22.5" customHeight="1">
      <c r="B8850" s="42" t="str">
        <f>IFERROR(__xludf.DUMMYFUNCTION("""COMPUTED_VALUE"""),"AVHUUMIO")</f>
        <v>AVHUUMIO</v>
      </c>
      <c r="C8850" s="42" t="str">
        <f>IFERROR(__xludf.DUMMYFUNCTION("""COMPUTED_VALUE"""),"NIBEL B 416/ KEMILING PERMAI")</f>
        <v>NIBEL B 416/ KEMILING PERMAI</v>
      </c>
      <c r="D8850" s="42"/>
      <c r="E8850" s="42"/>
      <c r="F8850" s="48" t="str">
        <f>IFERROR(__xludf.DUMMYFUNCTION("""COMPUTED_VALUE"""),"")</f>
        <v/>
      </c>
      <c r="G8850" s="42" t="str">
        <f>IFERROR(__xludf.DUMMYFUNCTION("""COMPUTED_VALUE"""),"Peningkatan Hak")</f>
        <v>Peningkatan Hak</v>
      </c>
      <c r="H8850" s="42">
        <f t="shared" si="1"/>
        <v>3333</v>
      </c>
    </row>
    <row r="8851" ht="22.5" customHeight="1">
      <c r="B8851" s="42" t="str">
        <f>IFERROR(__xludf.DUMMYFUNCTION("""COMPUTED_VALUE"""),"ABAEWNEV")</f>
        <v>ABAEWNEV</v>
      </c>
      <c r="C8851" s="42">
        <f>IFERROR(__xludf.DUMMYFUNCTION("""COMPUTED_VALUE"""),2558.0)</f>
        <v>2558</v>
      </c>
      <c r="D8851" s="42"/>
      <c r="E8851" s="42"/>
      <c r="F8851" s="48" t="str">
        <f>IFERROR(__xludf.DUMMYFUNCTION("""COMPUTED_VALUE"""),"")</f>
        <v/>
      </c>
      <c r="G8851" s="42" t="str">
        <f>IFERROR(__xludf.DUMMYFUNCTION("""COMPUTED_VALUE"""),"Peralihan Hak")</f>
        <v>Peralihan Hak</v>
      </c>
      <c r="H8851" s="42">
        <f t="shared" si="1"/>
        <v>3333</v>
      </c>
    </row>
    <row r="8852" ht="22.5" customHeight="1">
      <c r="B8852" s="42" t="str">
        <f>IFERROR(__xludf.DUMMYFUNCTION("""COMPUTED_VALUE"""),"ABMIVSAT")</f>
        <v>ABMIVSAT</v>
      </c>
      <c r="C8852" s="42">
        <f>IFERROR(__xludf.DUMMYFUNCTION("""COMPUTED_VALUE"""),2559.0)</f>
        <v>2559</v>
      </c>
      <c r="D8852" s="42"/>
      <c r="E8852" s="42"/>
      <c r="F8852" s="48" t="str">
        <f>IFERROR(__xludf.DUMMYFUNCTION("""COMPUTED_VALUE"""),"")</f>
        <v/>
      </c>
      <c r="G8852" s="42" t="str">
        <f>IFERROR(__xludf.DUMMYFUNCTION("""COMPUTED_VALUE"""),"Peralihan hak")</f>
        <v>Peralihan hak</v>
      </c>
      <c r="H8852" s="42">
        <f t="shared" si="1"/>
        <v>3333</v>
      </c>
    </row>
    <row r="8853" ht="22.5" customHeight="1">
      <c r="B8853" s="42" t="str">
        <f>IFERROR(__xludf.DUMMYFUNCTION("""COMPUTED_VALUE"""),"L/25/031125/1")</f>
        <v>L/25/031125/1</v>
      </c>
      <c r="C8853" s="42" t="str">
        <f>IFERROR(__xludf.DUMMYFUNCTION("""COMPUTED_VALUE"""),"M. 1367/SUKARAME")</f>
        <v>M. 1367/SUKARAME</v>
      </c>
      <c r="D8853" s="42"/>
      <c r="E8853" s="42"/>
      <c r="F8853" s="48" t="str">
        <f>IFERROR(__xludf.DUMMYFUNCTION("""COMPUTED_VALUE"""),"")</f>
        <v/>
      </c>
      <c r="G8853" s="42" t="str">
        <f>IFERROR(__xludf.DUMMYFUNCTION("""COMPUTED_VALUE"""),"BLOKIR")</f>
        <v>BLOKIR</v>
      </c>
      <c r="H8853" s="42">
        <f t="shared" si="1"/>
        <v>3333</v>
      </c>
    </row>
    <row r="8854" ht="22.5" customHeight="1">
      <c r="B8854" s="42" t="str">
        <f>IFERROR(__xludf.DUMMYFUNCTION("""COMPUTED_VALUE"""),"L/26/031125/1")</f>
        <v>L/26/031125/1</v>
      </c>
      <c r="C8854" s="42" t="str">
        <f>IFERROR(__xludf.DUMMYFUNCTION("""COMPUTED_VALUE"""),"M. 1367/SUKARAME")</f>
        <v>M. 1367/SUKARAME</v>
      </c>
      <c r="D8854" s="42"/>
      <c r="E8854" s="42"/>
      <c r="F8854" s="48" t="str">
        <f>IFERROR(__xludf.DUMMYFUNCTION("""COMPUTED_VALUE"""),"")</f>
        <v/>
      </c>
      <c r="G8854" s="42" t="str">
        <f>IFERROR(__xludf.DUMMYFUNCTION("""COMPUTED_VALUE"""),"BLOKIR")</f>
        <v>BLOKIR</v>
      </c>
      <c r="H8854" s="42">
        <f t="shared" si="1"/>
        <v>3333</v>
      </c>
    </row>
    <row r="8855" ht="22.5" customHeight="1">
      <c r="B8855" s="42" t="str">
        <f>IFERROR(__xludf.DUMMYFUNCTION("""COMPUTED_VALUE"""),"L/1/041126/1")</f>
        <v>L/1/041126/1</v>
      </c>
      <c r="C8855" s="42" t="str">
        <f>IFERROR(__xludf.DUMMYFUNCTION("""COMPUTED_VALUE"""),"KEL. LANGKAPURA LUAS 90 M2")</f>
        <v>KEL. LANGKAPURA LUAS 90 M2</v>
      </c>
      <c r="D8855" s="42"/>
      <c r="E8855" s="42"/>
      <c r="F8855" s="48" t="str">
        <f>IFERROR(__xludf.DUMMYFUNCTION("""COMPUTED_VALUE"""),"")</f>
        <v/>
      </c>
      <c r="G8855" s="42" t="str">
        <f>IFERROR(__xludf.DUMMYFUNCTION("""COMPUTED_VALUE"""),"PENGUKURAN PERTAMA KALI")</f>
        <v>PENGUKURAN PERTAMA KALI</v>
      </c>
      <c r="H8855" s="42">
        <f t="shared" si="1"/>
        <v>3333</v>
      </c>
    </row>
    <row r="8856" ht="22.5" customHeight="1">
      <c r="B8856" s="42" t="str">
        <f>IFERROR(__xludf.DUMMYFUNCTION("""COMPUTED_VALUE"""),"ABPCHQJD dan ABJLMLJS")</f>
        <v>ABPCHQJD dan ABJLMLJS</v>
      </c>
      <c r="C8856" s="42" t="str">
        <f>IFERROR(__xludf.DUMMYFUNCTION("""COMPUTED_VALUE"""),"SHM 1273 dan shm nibel 25381")</f>
        <v>SHM 1273 dan shm nibel 25381</v>
      </c>
      <c r="D8856" s="42"/>
      <c r="E8856" s="42"/>
      <c r="F8856" s="48" t="str">
        <f>IFERROR(__xludf.DUMMYFUNCTION("""COMPUTED_VALUE"""),"")</f>
        <v/>
      </c>
      <c r="G8856" s="42" t="str">
        <f>IFERROR(__xludf.DUMMYFUNCTION("""COMPUTED_VALUE"""),"Balik Nama")</f>
        <v>Balik Nama</v>
      </c>
      <c r="H8856" s="42">
        <f t="shared" si="1"/>
        <v>3333</v>
      </c>
    </row>
    <row r="8857" ht="22.5" customHeight="1">
      <c r="B8857" s="42" t="str">
        <f>IFERROR(__xludf.DUMMYFUNCTION("""COMPUTED_VALUE"""),"L/2/041126/1")</f>
        <v>L/2/041126/1</v>
      </c>
      <c r="C8857" s="42" t="str">
        <f>IFERROR(__xludf.DUMMYFUNCTION("""COMPUTED_VALUE"""),"M. 450/PERUMNAS WAY KANDIS")</f>
        <v>M. 450/PERUMNAS WAY KANDIS</v>
      </c>
      <c r="D8857" s="42"/>
      <c r="E8857" s="42"/>
      <c r="F8857" s="48" t="str">
        <f>IFERROR(__xludf.DUMMYFUNCTION("""COMPUTED_VALUE"""),"")</f>
        <v/>
      </c>
      <c r="G8857" s="42" t="str">
        <f>IFERROR(__xludf.DUMMYFUNCTION("""COMPUTED_VALUE"""),"ROYA")</f>
        <v>ROYA</v>
      </c>
      <c r="H8857" s="42">
        <f t="shared" si="1"/>
        <v>3333</v>
      </c>
    </row>
    <row r="8858" ht="22.5" customHeight="1">
      <c r="B8858" s="42" t="str">
        <f>IFERROR(__xludf.DUMMYFUNCTION("""COMPUTED_VALUE"""),"ABNCLKMS/1")</f>
        <v>ABNCLKMS/1</v>
      </c>
      <c r="C8858" s="42" t="str">
        <f>IFERROR(__xludf.DUMMYFUNCTION("""COMPUTED_VALUE"""),"M.2424/Campang Jaya")</f>
        <v>M.2424/Campang Jaya</v>
      </c>
      <c r="D8858" s="42"/>
      <c r="E8858" s="42"/>
      <c r="F8858" s="48" t="str">
        <f>IFERROR(__xludf.DUMMYFUNCTION("""COMPUTED_VALUE"""),"")</f>
        <v/>
      </c>
      <c r="G8858" s="42" t="str">
        <f>IFERROR(__xludf.DUMMYFUNCTION("""COMPUTED_VALUE"""),"AJB BN")</f>
        <v>AJB BN</v>
      </c>
      <c r="H8858" s="42">
        <f t="shared" si="1"/>
        <v>3333</v>
      </c>
    </row>
    <row r="8859" ht="22.5" customHeight="1">
      <c r="B8859" s="42" t="str">
        <f>IFERROR(__xludf.DUMMYFUNCTION("""COMPUTED_VALUE"""),"K/23/031125/1")</f>
        <v>K/23/031125/1</v>
      </c>
      <c r="C8859" s="42" t="str">
        <f>IFERROR(__xludf.DUMMYFUNCTION("""COMPUTED_VALUE"""),"B. 01/TANJUNG BARU")</f>
        <v>B. 01/TANJUNG BARU</v>
      </c>
      <c r="D8859" s="42"/>
      <c r="E8859" s="42"/>
      <c r="F8859" s="48" t="str">
        <f>IFERROR(__xludf.DUMMYFUNCTION("""COMPUTED_VALUE"""),"")</f>
        <v/>
      </c>
      <c r="G8859" s="42" t="str">
        <f>IFERROR(__xludf.DUMMYFUNCTION("""COMPUTED_VALUE"""),"PERMOHONAN SK")</f>
        <v>PERMOHONAN SK</v>
      </c>
      <c r="H8859" s="42">
        <f t="shared" si="1"/>
        <v>3333</v>
      </c>
    </row>
    <row r="8860" ht="22.5" customHeight="1">
      <c r="B8860" s="42" t="str">
        <f>IFERROR(__xludf.DUMMYFUNCTION("""COMPUTED_VALUE"""),"ABCVKLOT/1")</f>
        <v>ABCVKLOT/1</v>
      </c>
      <c r="C8860" s="42" t="str">
        <f>IFERROR(__xludf.DUMMYFUNCTION("""COMPUTED_VALUE"""),"M.3155/Sukadana Ham")</f>
        <v>M.3155/Sukadana Ham</v>
      </c>
      <c r="D8860" s="42"/>
      <c r="E8860" s="42"/>
      <c r="F8860" s="48" t="str">
        <f>IFERROR(__xludf.DUMMYFUNCTION("""COMPUTED_VALUE"""),"")</f>
        <v/>
      </c>
      <c r="G8860" s="42" t="str">
        <f>IFERROR(__xludf.DUMMYFUNCTION("""COMPUTED_VALUE"""),"AJB BN")</f>
        <v>AJB BN</v>
      </c>
      <c r="H8860" s="42">
        <f t="shared" si="1"/>
        <v>3333</v>
      </c>
    </row>
    <row r="8861" ht="22.5" customHeight="1">
      <c r="B8861" s="42" t="str">
        <f>IFERROR(__xludf.DUMMYFUNCTION("""COMPUTED_VALUE"""),"ABSAABYM")</f>
        <v>ABSAABYM</v>
      </c>
      <c r="C8861" s="42" t="str">
        <f>IFERROR(__xludf.DUMMYFUNCTION("""COMPUTED_VALUE"""),"Nibel M 24209/ SUKAJAWA")</f>
        <v>Nibel M 24209/ SUKAJAWA</v>
      </c>
      <c r="D8861" s="42"/>
      <c r="E8861" s="42"/>
      <c r="F8861" s="48" t="str">
        <f>IFERROR(__xludf.DUMMYFUNCTION("""COMPUTED_VALUE"""),"")</f>
        <v/>
      </c>
      <c r="G8861" s="42" t="str">
        <f>IFERROR(__xludf.DUMMYFUNCTION("""COMPUTED_VALUE"""),"APHB")</f>
        <v>APHB</v>
      </c>
      <c r="H8861" s="42">
        <f t="shared" si="1"/>
        <v>3333</v>
      </c>
    </row>
    <row r="8862" ht="22.5" customHeight="1">
      <c r="B8862" s="42" t="str">
        <f>IFERROR(__xludf.DUMMYFUNCTION("""COMPUTED_VALUE"""),"ABMXQQVK")</f>
        <v>ABMXQQVK</v>
      </c>
      <c r="C8862" s="42" t="str">
        <f>IFERROR(__xludf.DUMMYFUNCTION("""COMPUTED_VALUE"""),"Nibel M 24194/ SUKAJAWA")</f>
        <v>Nibel M 24194/ SUKAJAWA</v>
      </c>
      <c r="D8862" s="42"/>
      <c r="E8862" s="42"/>
      <c r="F8862" s="48" t="str">
        <f>IFERROR(__xludf.DUMMYFUNCTION("""COMPUTED_VALUE"""),"")</f>
        <v/>
      </c>
      <c r="G8862" s="42" t="str">
        <f>IFERROR(__xludf.DUMMYFUNCTION("""COMPUTED_VALUE"""),"APHB")</f>
        <v>APHB</v>
      </c>
      <c r="H8862" s="42">
        <f t="shared" si="1"/>
        <v>3333</v>
      </c>
    </row>
    <row r="8863" ht="22.5" customHeight="1">
      <c r="B8863" s="42" t="str">
        <f>IFERROR(__xludf.DUMMYFUNCTION("""COMPUTED_VALUE"""),"ABMUCFWA")</f>
        <v>ABMUCFWA</v>
      </c>
      <c r="C8863" s="42" t="str">
        <f>IFERROR(__xludf.DUMMYFUNCTION("""COMPUTED_VALUE"""),"M.9171/Rajabasa")</f>
        <v>M.9171/Rajabasa</v>
      </c>
      <c r="D8863" s="42"/>
      <c r="E8863" s="42"/>
      <c r="F8863" s="48" t="str">
        <f>IFERROR(__xludf.DUMMYFUNCTION("""COMPUTED_VALUE"""),"")</f>
        <v/>
      </c>
      <c r="G8863" s="42" t="str">
        <f>IFERROR(__xludf.DUMMYFUNCTION("""COMPUTED_VALUE"""),"Ganti Desa")</f>
        <v>Ganti Desa</v>
      </c>
      <c r="H8863" s="42">
        <f t="shared" si="1"/>
        <v>3333</v>
      </c>
    </row>
    <row r="8864" ht="22.5" customHeight="1">
      <c r="B8864" s="42" t="str">
        <f>IFERROR(__xludf.DUMMYFUNCTION("""COMPUTED_VALUE"""),"L/3/041126/1")</f>
        <v>L/3/041126/1</v>
      </c>
      <c r="C8864" s="42" t="str">
        <f>IFERROR(__xludf.DUMMYFUNCTION("""COMPUTED_VALUE"""),"M. 1124/BERINGIN RAYA")</f>
        <v>M. 1124/BERINGIN RAYA</v>
      </c>
      <c r="D8864" s="42"/>
      <c r="E8864" s="42"/>
      <c r="F8864" s="48" t="str">
        <f>IFERROR(__xludf.DUMMYFUNCTION("""COMPUTED_VALUE"""),"")</f>
        <v/>
      </c>
      <c r="G8864" s="42" t="str">
        <f>IFERROR(__xludf.DUMMYFUNCTION("""COMPUTED_VALUE"""),"ROYA")</f>
        <v>ROYA</v>
      </c>
      <c r="H8864" s="42">
        <f t="shared" si="1"/>
        <v>3333</v>
      </c>
    </row>
    <row r="8865" ht="22.5" customHeight="1">
      <c r="B8865" s="42" t="str">
        <f>IFERROR(__xludf.DUMMYFUNCTION("""COMPUTED_VALUE"""),"L/5/041126/1")</f>
        <v>L/5/041126/1</v>
      </c>
      <c r="C8865" s="42" t="str">
        <f>IFERROR(__xludf.DUMMYFUNCTION("""COMPUTED_VALUE"""),"M. 455/PERUMNAS WAY KANDIS")</f>
        <v>M. 455/PERUMNAS WAY KANDIS</v>
      </c>
      <c r="D8865" s="42"/>
      <c r="E8865" s="42"/>
      <c r="F8865" s="48" t="str">
        <f>IFERROR(__xludf.DUMMYFUNCTION("""COMPUTED_VALUE"""),"")</f>
        <v/>
      </c>
      <c r="G8865" s="42" t="str">
        <f>IFERROR(__xludf.DUMMYFUNCTION("""COMPUTED_VALUE"""),"ROYA")</f>
        <v>ROYA</v>
      </c>
      <c r="H8865" s="42">
        <f t="shared" si="1"/>
        <v>3333</v>
      </c>
    </row>
    <row r="8866" ht="22.5" customHeight="1">
      <c r="B8866" s="42" t="str">
        <f>IFERROR(__xludf.DUMMYFUNCTION("""COMPUTED_VALUE"""),"AB034/ABBYNAOT")</f>
        <v>AB034/ABBYNAOT</v>
      </c>
      <c r="C8866" s="42" t="str">
        <f>IFERROR(__xludf.DUMMYFUNCTION("""COMPUTED_VALUE"""),"M. 2047/JAGABAYA III")</f>
        <v>M. 2047/JAGABAYA III</v>
      </c>
      <c r="D8866" s="42"/>
      <c r="E8866" s="42"/>
      <c r="F8866" s="48" t="str">
        <f>IFERROR(__xludf.DUMMYFUNCTION("""COMPUTED_VALUE"""),"")</f>
        <v/>
      </c>
      <c r="G8866" s="42" t="str">
        <f>IFERROR(__xludf.DUMMYFUNCTION("""COMPUTED_VALUE"""),"BN Hibah")</f>
        <v>BN Hibah</v>
      </c>
      <c r="H8866" s="42">
        <f t="shared" si="1"/>
        <v>3333</v>
      </c>
    </row>
    <row r="8867" ht="22.5" customHeight="1">
      <c r="B8867" s="42" t="str">
        <f>IFERROR(__xludf.DUMMYFUNCTION("""COMPUTED_VALUE"""),"AB035/ABVAKTXJ")</f>
        <v>AB035/ABVAKTXJ</v>
      </c>
      <c r="C8867" s="42" t="str">
        <f>IFERROR(__xludf.DUMMYFUNCTION("""COMPUTED_VALUE"""),"M. Nibel 25620/ Sukarame")</f>
        <v>M. Nibel 25620/ Sukarame</v>
      </c>
      <c r="D8867" s="42"/>
      <c r="E8867" s="42"/>
      <c r="F8867" s="48" t="str">
        <f>IFERROR(__xludf.DUMMYFUNCTION("""COMPUTED_VALUE"""),"")</f>
        <v/>
      </c>
      <c r="G8867" s="42" t="str">
        <f>IFERROR(__xludf.DUMMYFUNCTION("""COMPUTED_VALUE"""),"BN Jual Beli")</f>
        <v>BN Jual Beli</v>
      </c>
      <c r="H8867" s="42">
        <f t="shared" si="1"/>
        <v>3333</v>
      </c>
    </row>
    <row r="8868" ht="22.5" customHeight="1">
      <c r="B8868" s="42" t="str">
        <f>IFERROR(__xludf.DUMMYFUNCTION("""COMPUTED_VALUE"""),"ABBNTPWF/1")</f>
        <v>ABBNTPWF/1</v>
      </c>
      <c r="C8868" s="42" t="str">
        <f>IFERROR(__xludf.DUMMYFUNCTION("""COMPUTED_VALUE"""),"3191/pwh")</f>
        <v>3191/pwh</v>
      </c>
      <c r="D8868" s="42"/>
      <c r="E8868" s="42"/>
      <c r="F8868" s="48" t="str">
        <f>IFERROR(__xludf.DUMMYFUNCTION("""COMPUTED_VALUE"""),"")</f>
        <v/>
      </c>
      <c r="G8868" s="42" t="str">
        <f>IFERROR(__xludf.DUMMYFUNCTION("""COMPUTED_VALUE"""),"Ajb")</f>
        <v>Ajb</v>
      </c>
      <c r="H8868" s="42">
        <f t="shared" si="1"/>
        <v>3333</v>
      </c>
    </row>
    <row r="8869" ht="22.5" customHeight="1">
      <c r="B8869" s="42" t="str">
        <f>IFERROR(__xludf.DUMMYFUNCTION("""COMPUTED_VALUE"""),"K/4/041126/1")</f>
        <v>K/4/041126/1</v>
      </c>
      <c r="C8869" s="42" t="str">
        <f>IFERROR(__xludf.DUMMYFUNCTION("""COMPUTED_VALUE"""),"M. 503/SUMUR BATU")</f>
        <v>M. 503/SUMUR BATU</v>
      </c>
      <c r="D8869" s="42"/>
      <c r="E8869" s="42"/>
      <c r="F8869" s="48" t="str">
        <f>IFERROR(__xludf.DUMMYFUNCTION("""COMPUTED_VALUE"""),"")</f>
        <v/>
      </c>
      <c r="G8869" s="42" t="str">
        <f>IFERROR(__xludf.DUMMYFUNCTION("""COMPUTED_VALUE"""),"ROYA")</f>
        <v>ROYA</v>
      </c>
      <c r="H8869" s="42">
        <f t="shared" si="1"/>
        <v>3333</v>
      </c>
    </row>
    <row r="8870" ht="22.5" customHeight="1">
      <c r="B8870" s="42" t="str">
        <f>IFERROR(__xludf.DUMMYFUNCTION("""COMPUTED_VALUE"""),"K/6/041126/1")</f>
        <v>K/6/041126/1</v>
      </c>
      <c r="C8870" s="42" t="str">
        <f>IFERROR(__xludf.DUMMYFUNCTION("""COMPUTED_VALUE"""),"B. 617/SUKABUMI")</f>
        <v>B. 617/SUKABUMI</v>
      </c>
      <c r="D8870" s="42" t="str">
        <f>IFERROR(__xludf.DUMMYFUNCTION("""COMPUTED_VALUE"""),"Berry")</f>
        <v>Berry</v>
      </c>
      <c r="E8870" s="42" t="str">
        <f>IFERROR(__xludf.DUMMYFUNCTION("""COMPUTED_VALUE"""),"DISERAHKAN")</f>
        <v>DISERAHKAN</v>
      </c>
      <c r="F8870" s="48">
        <f>IFERROR(__xludf.DUMMYFUNCTION("""COMPUTED_VALUE"""),46020.6519262037)</f>
        <v>46020.65193</v>
      </c>
      <c r="G8870" s="42" t="str">
        <f>IFERROR(__xludf.DUMMYFUNCTION("""COMPUTED_VALUE"""),"PTPGT")</f>
        <v>PTPGT</v>
      </c>
      <c r="H8870" s="42">
        <f t="shared" si="1"/>
        <v>3334</v>
      </c>
    </row>
    <row r="8871" ht="22.5" customHeight="1">
      <c r="B8871" s="42" t="str">
        <f>IFERROR(__xludf.DUMMYFUNCTION("""COMPUTED_VALUE"""),"K/7/041126/1")</f>
        <v>K/7/041126/1</v>
      </c>
      <c r="C8871" s="42" t="str">
        <f>IFERROR(__xludf.DUMMYFUNCTION("""COMPUTED_VALUE"""),"M. 2057/LABUHAN DALAM")</f>
        <v>M. 2057/LABUHAN DALAM</v>
      </c>
      <c r="D8871" s="42"/>
      <c r="E8871" s="42"/>
      <c r="F8871" s="48" t="str">
        <f>IFERROR(__xludf.DUMMYFUNCTION("""COMPUTED_VALUE"""),"")</f>
        <v/>
      </c>
      <c r="G8871" s="42" t="str">
        <f>IFERROR(__xludf.DUMMYFUNCTION("""COMPUTED_VALUE"""),"SKPT LELANG")</f>
        <v>SKPT LELANG</v>
      </c>
      <c r="H8871" s="42">
        <f t="shared" si="1"/>
        <v>3334</v>
      </c>
    </row>
    <row r="8872" ht="22.5" customHeight="1">
      <c r="B8872" s="42" t="str">
        <f>IFERROR(__xludf.DUMMYFUNCTION("""COMPUTED_VALUE"""),"ABNBPMAE/AB041")</f>
        <v>ABNBPMAE/AB041</v>
      </c>
      <c r="C8872" s="42" t="str">
        <f>IFERROR(__xludf.DUMMYFUNCTION("""COMPUTED_VALUE"""),"M. 1873/Sumber Rejo")</f>
        <v>M. 1873/Sumber Rejo</v>
      </c>
      <c r="D8872" s="42"/>
      <c r="E8872" s="42"/>
      <c r="F8872" s="48" t="str">
        <f>IFERROR(__xludf.DUMMYFUNCTION("""COMPUTED_VALUE"""),"")</f>
        <v/>
      </c>
      <c r="G8872" s="42" t="str">
        <f>IFERROR(__xludf.DUMMYFUNCTION("""COMPUTED_VALUE"""),"BN HIBAH")</f>
        <v>BN HIBAH</v>
      </c>
      <c r="H8872" s="42">
        <f t="shared" si="1"/>
        <v>3334</v>
      </c>
    </row>
    <row r="8873" ht="22.5" customHeight="1">
      <c r="B8873" s="42" t="str">
        <f>IFERROR(__xludf.DUMMYFUNCTION("""COMPUTED_VALUE"""),"ABcANiTF")</f>
        <v>ABcANiTF</v>
      </c>
      <c r="C8873" s="42" t="str">
        <f>IFERROR(__xludf.DUMMYFUNCTION("""COMPUTED_VALUE"""),"M 522/ sumur batu")</f>
        <v>M 522/ sumur batu</v>
      </c>
      <c r="D8873" s="42"/>
      <c r="E8873" s="42"/>
      <c r="F8873" s="48" t="str">
        <f>IFERROR(__xludf.DUMMYFUNCTION("""COMPUTED_VALUE"""),"")</f>
        <v/>
      </c>
      <c r="G8873" s="42" t="str">
        <f>IFERROR(__xludf.DUMMYFUNCTION("""COMPUTED_VALUE"""),"Turun waris")</f>
        <v>Turun waris</v>
      </c>
      <c r="H8873" s="42">
        <f t="shared" si="1"/>
        <v>3334</v>
      </c>
    </row>
    <row r="8874" ht="22.5" customHeight="1">
      <c r="B8874" s="42" t="str">
        <f>IFERROR(__xludf.DUMMYFUNCTION("""COMPUTED_VALUE"""),"ABPTKGGL ")</f>
        <v>ABPTKGGL </v>
      </c>
      <c r="C8874" s="42" t="str">
        <f>IFERROR(__xludf.DUMMYFUNCTION("""COMPUTED_VALUE"""),"SHGB No. 0676")</f>
        <v>SHGB No. 0676</v>
      </c>
      <c r="D8874" s="42"/>
      <c r="E8874" s="42"/>
      <c r="F8874" s="48" t="str">
        <f>IFERROR(__xludf.DUMMYFUNCTION("""COMPUTED_VALUE"""),"")</f>
        <v/>
      </c>
      <c r="G8874" s="42" t="str">
        <f>IFERROR(__xludf.DUMMYFUNCTION("""COMPUTED_VALUE"""),"Pengecekan Sertipikat")</f>
        <v>Pengecekan Sertipikat</v>
      </c>
      <c r="H8874" s="42">
        <f t="shared" si="1"/>
        <v>3334</v>
      </c>
    </row>
    <row r="8875" ht="22.5" customHeight="1">
      <c r="B8875" s="42" t="str">
        <f>IFERROR(__xludf.DUMMYFUNCTION("""COMPUTED_VALUE"""),"ABGOSIYK")</f>
        <v>ABGOSIYK</v>
      </c>
      <c r="C8875" s="42" t="str">
        <f>IFERROR(__xludf.DUMMYFUNCTION("""COMPUTED_VALUE"""),"SHGB No. 0688")</f>
        <v>SHGB No. 0688</v>
      </c>
      <c r="D8875" s="42"/>
      <c r="E8875" s="42"/>
      <c r="F8875" s="48" t="str">
        <f>IFERROR(__xludf.DUMMYFUNCTION("""COMPUTED_VALUE"""),"")</f>
        <v/>
      </c>
      <c r="G8875" s="42" t="str">
        <f>IFERROR(__xludf.DUMMYFUNCTION("""COMPUTED_VALUE"""),"Pengecekan Sertipikat")</f>
        <v>Pengecekan Sertipikat</v>
      </c>
      <c r="H8875" s="42">
        <f t="shared" si="1"/>
        <v>3334</v>
      </c>
    </row>
    <row r="8876" ht="22.5" customHeight="1">
      <c r="B8876" s="42" t="str">
        <f>IFERROR(__xludf.DUMMYFUNCTION("""COMPUTED_VALUE"""),"K/8/041126/1")</f>
        <v>K/8/041126/1</v>
      </c>
      <c r="C8876" s="42" t="str">
        <f>IFERROR(__xludf.DUMMYFUNCTION("""COMPUTED_VALUE"""),"B. 650/NUSANTARA PERMAI")</f>
        <v>B. 650/NUSANTARA PERMAI</v>
      </c>
      <c r="D8876" s="42"/>
      <c r="E8876" s="42"/>
      <c r="F8876" s="48" t="str">
        <f>IFERROR(__xludf.DUMMYFUNCTION("""COMPUTED_VALUE"""),"")</f>
        <v/>
      </c>
      <c r="G8876" s="42" t="str">
        <f>IFERROR(__xludf.DUMMYFUNCTION("""COMPUTED_VALUE"""),"PERUBAHAN HAK")</f>
        <v>PERUBAHAN HAK</v>
      </c>
      <c r="H8876" s="42">
        <f t="shared" si="1"/>
        <v>3334</v>
      </c>
    </row>
    <row r="8877" ht="22.5" customHeight="1">
      <c r="B8877" s="42" t="str">
        <f>IFERROR(__xludf.DUMMYFUNCTION("""COMPUTED_VALUE"""),"L/9/041126/1")</f>
        <v>L/9/041126/1</v>
      </c>
      <c r="C8877" s="42" t="str">
        <f>IFERROR(__xludf.DUMMYFUNCTION("""COMPUTED_VALUE"""),"B. 1651/KEDATON")</f>
        <v>B. 1651/KEDATON</v>
      </c>
      <c r="D8877" s="42"/>
      <c r="E8877" s="42"/>
      <c r="F8877" s="48" t="str">
        <f>IFERROR(__xludf.DUMMYFUNCTION("""COMPUTED_VALUE"""),"")</f>
        <v/>
      </c>
      <c r="G8877" s="42" t="str">
        <f>IFERROR(__xludf.DUMMYFUNCTION("""COMPUTED_VALUE"""),"PENGUKURAN HGB MATI")</f>
        <v>PENGUKURAN HGB MATI</v>
      </c>
      <c r="H8877" s="42">
        <f t="shared" si="1"/>
        <v>3334</v>
      </c>
    </row>
    <row r="8878" ht="22.5" customHeight="1">
      <c r="B8878" s="42" t="str">
        <f>IFERROR(__xludf.DUMMYFUNCTION("""COMPUTED_VALUE"""),"ABZSAKRL/Ab077")</f>
        <v>ABZSAKRL/Ab077</v>
      </c>
      <c r="C8878" s="42" t="str">
        <f>IFERROR(__xludf.DUMMYFUNCTION("""COMPUTED_VALUE"""),"M. Nibel 23737/Way Kandis")</f>
        <v>M. Nibel 23737/Way Kandis</v>
      </c>
      <c r="D8878" s="42"/>
      <c r="E8878" s="42"/>
      <c r="F8878" s="48" t="str">
        <f>IFERROR(__xludf.DUMMYFUNCTION("""COMPUTED_VALUE"""),"")</f>
        <v/>
      </c>
      <c r="G8878" s="42" t="str">
        <f>IFERROR(__xludf.DUMMYFUNCTION("""COMPUTED_VALUE"""),"Balik nama jual beli")</f>
        <v>Balik nama jual beli</v>
      </c>
      <c r="H8878" s="42">
        <f t="shared" si="1"/>
        <v>3334</v>
      </c>
    </row>
    <row r="8879" ht="22.5" customHeight="1">
      <c r="B8879" s="42" t="str">
        <f>IFERROR(__xludf.DUMMYFUNCTION("""COMPUTED_VALUE"""),"ABHYPQFI/Ab077")</f>
        <v>ABHYPQFI/Ab077</v>
      </c>
      <c r="C8879" s="42" t="str">
        <f>IFERROR(__xludf.DUMMYFUNCTION("""COMPUTED_VALUE"""),"B. Nibel 06285/Pesawahan")</f>
        <v>B. Nibel 06285/Pesawahan</v>
      </c>
      <c r="D8879" s="42"/>
      <c r="E8879" s="42"/>
      <c r="F8879" s="48" t="str">
        <f>IFERROR(__xludf.DUMMYFUNCTION("""COMPUTED_VALUE"""),"")</f>
        <v/>
      </c>
      <c r="G8879" s="42" t="str">
        <f>IFERROR(__xludf.DUMMYFUNCTION("""COMPUTED_VALUE"""),"Balik nama jual beli")</f>
        <v>Balik nama jual beli</v>
      </c>
      <c r="H8879" s="42">
        <f t="shared" si="1"/>
        <v>3334</v>
      </c>
    </row>
    <row r="8880" ht="22.5" customHeight="1">
      <c r="B8880" s="42" t="str">
        <f>IFERROR(__xludf.DUMMYFUNCTION("""COMPUTED_VALUE"""),"ABACJCTQ/Ab071")</f>
        <v>ABACJCTQ/Ab071</v>
      </c>
      <c r="C8880" s="42" t="str">
        <f>IFERROR(__xludf.DUMMYFUNCTION("""COMPUTED_VALUE"""),"B. NIBEL 07659/Pesawahan")</f>
        <v>B. NIBEL 07659/Pesawahan</v>
      </c>
      <c r="D8880" s="42"/>
      <c r="E8880" s="42"/>
      <c r="F8880" s="48" t="str">
        <f>IFERROR(__xludf.DUMMYFUNCTION("""COMPUTED_VALUE"""),"")</f>
        <v/>
      </c>
      <c r="G8880" s="42" t="str">
        <f>IFERROR(__xludf.DUMMYFUNCTION("""COMPUTED_VALUE"""),"Balik nama jual beli")</f>
        <v>Balik nama jual beli</v>
      </c>
      <c r="H8880" s="42">
        <f t="shared" si="1"/>
        <v>3334</v>
      </c>
    </row>
    <row r="8881" ht="22.5" customHeight="1">
      <c r="B8881" s="42" t="str">
        <f>IFERROR(__xludf.DUMMYFUNCTION("""COMPUTED_VALUE"""),"ABNPBDRP")</f>
        <v>ABNPBDRP</v>
      </c>
      <c r="C8881" s="42" t="str">
        <f>IFERROR(__xludf.DUMMYFUNCTION("""COMPUTED_VALUE"""),"M. 17185/sukarame baru")</f>
        <v>M. 17185/sukarame baru</v>
      </c>
      <c r="D8881" s="42"/>
      <c r="E8881" s="42"/>
      <c r="F8881" s="48" t="str">
        <f>IFERROR(__xludf.DUMMYFUNCTION("""COMPUTED_VALUE"""),"")</f>
        <v/>
      </c>
      <c r="G8881" s="42" t="str">
        <f>IFERROR(__xludf.DUMMYFUNCTION("""COMPUTED_VALUE"""),"Bn jual beli")</f>
        <v>Bn jual beli</v>
      </c>
      <c r="H8881" s="42">
        <f t="shared" si="1"/>
        <v>3334</v>
      </c>
    </row>
    <row r="8882" ht="22.5" customHeight="1">
      <c r="B8882" s="42" t="str">
        <f>IFERROR(__xludf.DUMMYFUNCTION("""COMPUTED_VALUE"""),"ABXFFQIZ/Ab071")</f>
        <v>ABXFFQIZ/Ab071</v>
      </c>
      <c r="C8882" s="42" t="str">
        <f>IFERROR(__xludf.DUMMYFUNCTION("""COMPUTED_VALUE"""),"M. 1727/ Bumi Kedamaian")</f>
        <v>M. 1727/ Bumi Kedamaian</v>
      </c>
      <c r="D8882" s="42"/>
      <c r="E8882" s="42"/>
      <c r="F8882" s="48" t="str">
        <f>IFERROR(__xludf.DUMMYFUNCTION("""COMPUTED_VALUE"""),"")</f>
        <v/>
      </c>
      <c r="G8882" s="42" t="str">
        <f>IFERROR(__xludf.DUMMYFUNCTION("""COMPUTED_VALUE"""),"Balik nama jual beli")</f>
        <v>Balik nama jual beli</v>
      </c>
      <c r="H8882" s="42">
        <f t="shared" si="1"/>
        <v>3334</v>
      </c>
    </row>
    <row r="8883" ht="22.5" customHeight="1">
      <c r="B8883" s="42" t="str">
        <f>IFERROR(__xludf.DUMMYFUNCTION("""COMPUTED_VALUE"""),"ABUZEOXT")</f>
        <v>ABUZEOXT</v>
      </c>
      <c r="C8883" s="42" t="str">
        <f>IFERROR(__xludf.DUMMYFUNCTION("""COMPUTED_VALUE"""),"M. 17188/sukarame baru")</f>
        <v>M. 17188/sukarame baru</v>
      </c>
      <c r="D8883" s="42"/>
      <c r="E8883" s="42"/>
      <c r="F8883" s="48" t="str">
        <f>IFERROR(__xludf.DUMMYFUNCTION("""COMPUTED_VALUE"""),"")</f>
        <v/>
      </c>
      <c r="G8883" s="42" t="str">
        <f>IFERROR(__xludf.DUMMYFUNCTION("""COMPUTED_VALUE"""),"Bn jual beli")</f>
        <v>Bn jual beli</v>
      </c>
      <c r="H8883" s="42">
        <f t="shared" si="1"/>
        <v>3334</v>
      </c>
    </row>
    <row r="8884" ht="22.5" customHeight="1">
      <c r="B8884" s="42" t="str">
        <f>IFERROR(__xludf.DUMMYFUNCTION("""COMPUTED_VALUE"""),"K/10/041126/1")</f>
        <v>K/10/041126/1</v>
      </c>
      <c r="C8884" s="42" t="str">
        <f>IFERROR(__xludf.DUMMYFUNCTION("""COMPUTED_VALUE"""),"M. 489/SUKAMENANTI BARU")</f>
        <v>M. 489/SUKAMENANTI BARU</v>
      </c>
      <c r="D8884" s="42"/>
      <c r="E8884" s="42"/>
      <c r="F8884" s="48" t="str">
        <f>IFERROR(__xludf.DUMMYFUNCTION("""COMPUTED_VALUE"""),"")</f>
        <v/>
      </c>
      <c r="G8884" s="42" t="str">
        <f>IFERROR(__xludf.DUMMYFUNCTION("""COMPUTED_VALUE"""),"BN WARIS ")</f>
        <v>BN WARIS </v>
      </c>
      <c r="H8884" s="42">
        <f t="shared" si="1"/>
        <v>3334</v>
      </c>
    </row>
    <row r="8885" ht="22.5" customHeight="1">
      <c r="B8885" s="42" t="str">
        <f>IFERROR(__xludf.DUMMYFUNCTION("""COMPUTED_VALUE"""),"ABWJAPPA")</f>
        <v>ABWJAPPA</v>
      </c>
      <c r="C8885" s="42" t="str">
        <f>IFERROR(__xludf.DUMMYFUNCTION("""COMPUTED_VALUE"""),"853 sukarame baru")</f>
        <v>853 sukarame baru</v>
      </c>
      <c r="D8885" s="42" t="str">
        <f>IFERROR(__xludf.DUMMYFUNCTION("""COMPUTED_VALUE"""),"Berry")</f>
        <v>Berry</v>
      </c>
      <c r="E8885" s="42" t="str">
        <f>IFERROR(__xludf.DUMMYFUNCTION("""COMPUTED_VALUE"""),"DISERAHKAN")</f>
        <v>DISERAHKAN</v>
      </c>
      <c r="F8885" s="48">
        <f>IFERROR(__xludf.DUMMYFUNCTION("""COMPUTED_VALUE"""),45996.47644496528)</f>
        <v>45996.47644</v>
      </c>
      <c r="G8885" s="42" t="str">
        <f>IFERROR(__xludf.DUMMYFUNCTION("""COMPUTED_VALUE"""),"Balik nama jual beli")</f>
        <v>Balik nama jual beli</v>
      </c>
      <c r="H8885" s="42">
        <f t="shared" si="1"/>
        <v>3335</v>
      </c>
    </row>
    <row r="8886" ht="22.5" customHeight="1">
      <c r="B8886" s="42" t="str">
        <f>IFERROR(__xludf.DUMMYFUNCTION("""COMPUTED_VALUE"""),"ABGDOWHZ")</f>
        <v>ABGDOWHZ</v>
      </c>
      <c r="C8886" s="42" t="str">
        <f>IFERROR(__xludf.DUMMYFUNCTION("""COMPUTED_VALUE"""),"M 1160 korpri jaya")</f>
        <v>M 1160 korpri jaya</v>
      </c>
      <c r="D8886" s="42"/>
      <c r="E8886" s="42"/>
      <c r="F8886" s="48" t="str">
        <f>IFERROR(__xludf.DUMMYFUNCTION("""COMPUTED_VALUE"""),"")</f>
        <v/>
      </c>
      <c r="G8886" s="42" t="str">
        <f>IFERROR(__xludf.DUMMYFUNCTION("""COMPUTED_VALUE"""),"Balik nama jual beli")</f>
        <v>Balik nama jual beli</v>
      </c>
      <c r="H8886" s="42">
        <f t="shared" si="1"/>
        <v>3335</v>
      </c>
    </row>
    <row r="8887" ht="22.5" customHeight="1">
      <c r="B8887" s="42" t="str">
        <f>IFERROR(__xludf.DUMMYFUNCTION("""COMPUTED_VALUE"""),"ABNNEDZA")</f>
        <v>ABNNEDZA</v>
      </c>
      <c r="C8887" s="42" t="str">
        <f>IFERROR(__xludf.DUMMYFUNCTION("""COMPUTED_VALUE"""),"M 3836 gunung terang ")</f>
        <v>M 3836 gunung terang </v>
      </c>
      <c r="D8887" s="42"/>
      <c r="E8887" s="42"/>
      <c r="F8887" s="48" t="str">
        <f>IFERROR(__xludf.DUMMYFUNCTION("""COMPUTED_VALUE"""),"")</f>
        <v/>
      </c>
      <c r="G8887" s="42" t="str">
        <f>IFERROR(__xludf.DUMMYFUNCTION("""COMPUTED_VALUE"""),"Baliknama jual beli")</f>
        <v>Baliknama jual beli</v>
      </c>
      <c r="H8887" s="42">
        <f t="shared" si="1"/>
        <v>3335</v>
      </c>
    </row>
    <row r="8888" ht="22.5" customHeight="1">
      <c r="B8888" s="42" t="str">
        <f>IFERROR(__xludf.DUMMYFUNCTION("""COMPUTED_VALUE"""),"ABAZCOWj")</f>
        <v>ABAZCOWj</v>
      </c>
      <c r="C8888" s="42" t="str">
        <f>IFERROR(__xludf.DUMMYFUNCTION("""COMPUTED_VALUE"""),"NIBEL M 22951/ Tanjung Baru")</f>
        <v>NIBEL M 22951/ Tanjung Baru</v>
      </c>
      <c r="D8888" s="42"/>
      <c r="E8888" s="42"/>
      <c r="F8888" s="48" t="str">
        <f>IFERROR(__xludf.DUMMYFUNCTION("""COMPUTED_VALUE"""),"")</f>
        <v/>
      </c>
      <c r="G8888" s="42" t="str">
        <f>IFERROR(__xludf.DUMMYFUNCTION("""COMPUTED_VALUE"""),"PPTGT")</f>
        <v>PPTGT</v>
      </c>
      <c r="H8888" s="42">
        <f t="shared" si="1"/>
        <v>3335</v>
      </c>
    </row>
    <row r="8889" ht="22.5" customHeight="1">
      <c r="B8889" s="42" t="str">
        <f>IFERROR(__xludf.DUMMYFUNCTION("""COMPUTED_VALUE"""),"L/11/041126/1")</f>
        <v>L/11/041126/1</v>
      </c>
      <c r="C8889" s="42" t="str">
        <f>IFERROR(__xludf.DUMMYFUNCTION("""COMPUTED_VALUE"""),"SHGB NIB 23243/RAJABASA PEMUKA")</f>
        <v>SHGB NIB 23243/RAJABASA PEMUKA</v>
      </c>
      <c r="D8889" s="42"/>
      <c r="E8889" s="42"/>
      <c r="F8889" s="48" t="str">
        <f>IFERROR(__xludf.DUMMYFUNCTION("""COMPUTED_VALUE"""),"")</f>
        <v/>
      </c>
      <c r="G8889" s="42" t="str">
        <f>IFERROR(__xludf.DUMMYFUNCTION("""COMPUTED_VALUE"""),"PENINGKATAN HAK")</f>
        <v>PENINGKATAN HAK</v>
      </c>
      <c r="H8889" s="42">
        <f t="shared" si="1"/>
        <v>3335</v>
      </c>
    </row>
    <row r="8890" ht="22.5" customHeight="1">
      <c r="B8890" s="42" t="str">
        <f>IFERROR(__xludf.DUMMYFUNCTION("""COMPUTED_VALUE"""),"ABWYAFAA/AB009")</f>
        <v>ABWYAFAA/AB009</v>
      </c>
      <c r="C8890" s="42" t="str">
        <f>IFERROR(__xludf.DUMMYFUNCTION("""COMPUTED_VALUE"""),"M. 35560/Sukamenanti Baru")</f>
        <v>M. 35560/Sukamenanti Baru</v>
      </c>
      <c r="D8890" s="42"/>
      <c r="E8890" s="42"/>
      <c r="F8890" s="48" t="str">
        <f>IFERROR(__xludf.DUMMYFUNCTION("""COMPUTED_VALUE"""),"")</f>
        <v/>
      </c>
      <c r="G8890" s="42" t="str">
        <f>IFERROR(__xludf.DUMMYFUNCTION("""COMPUTED_VALUE"""),"Bn jual beli")</f>
        <v>Bn jual beli</v>
      </c>
      <c r="H8890" s="42">
        <f t="shared" si="1"/>
        <v>3335</v>
      </c>
    </row>
    <row r="8891" ht="22.5" customHeight="1">
      <c r="B8891" s="42" t="str">
        <f>IFERROR(__xludf.DUMMYFUNCTION("""COMPUTED_VALUE"""),"ABWKYVWC")</f>
        <v>ABWKYVWC</v>
      </c>
      <c r="C8891" s="42" t="str">
        <f>IFERROR(__xludf.DUMMYFUNCTION("""COMPUTED_VALUE"""),"M. 969/Rajabasa Raya")</f>
        <v>M. 969/Rajabasa Raya</v>
      </c>
      <c r="D8891" s="42"/>
      <c r="E8891" s="42"/>
      <c r="F8891" s="48" t="str">
        <f>IFERROR(__xludf.DUMMYFUNCTION("""COMPUTED_VALUE"""),"")</f>
        <v/>
      </c>
      <c r="G8891" s="42" t="str">
        <f>IFERROR(__xludf.DUMMYFUNCTION("""COMPUTED_VALUE"""),"Balik Nama")</f>
        <v>Balik Nama</v>
      </c>
      <c r="H8891" s="42">
        <f t="shared" si="1"/>
        <v>3335</v>
      </c>
    </row>
    <row r="8892" ht="22.5" customHeight="1">
      <c r="B8892" s="42" t="str">
        <f>IFERROR(__xludf.DUMMYFUNCTION("""COMPUTED_VALUE"""),"ABTQEBEY")</f>
        <v>ABTQEBEY</v>
      </c>
      <c r="C8892" s="42" t="str">
        <f>IFERROR(__xludf.DUMMYFUNCTION("""COMPUTED_VALUE"""),"M. 1275/Sukarame Baru")</f>
        <v>M. 1275/Sukarame Baru</v>
      </c>
      <c r="D8892" s="42"/>
      <c r="E8892" s="42"/>
      <c r="F8892" s="48" t="str">
        <f>IFERROR(__xludf.DUMMYFUNCTION("""COMPUTED_VALUE"""),"")</f>
        <v/>
      </c>
      <c r="G8892" s="42" t="str">
        <f>IFERROR(__xludf.DUMMYFUNCTION("""COMPUTED_VALUE"""),"Balik Nama")</f>
        <v>Balik Nama</v>
      </c>
      <c r="H8892" s="42">
        <f t="shared" si="1"/>
        <v>3335</v>
      </c>
    </row>
    <row r="8893" ht="22.5" customHeight="1">
      <c r="B8893" s="42" t="str">
        <f>IFERROR(__xludf.DUMMYFUNCTION("""COMPUTED_VALUE"""),"ABWPCWRZ")</f>
        <v>ABWPCWRZ</v>
      </c>
      <c r="C8893" s="42" t="str">
        <f>IFERROR(__xludf.DUMMYFUNCTION("""COMPUTED_VALUE"""),"M. 08.01.000022051.0/Kupang Kota")</f>
        <v>M. 08.01.000022051.0/Kupang Kota</v>
      </c>
      <c r="D8893" s="42"/>
      <c r="E8893" s="42"/>
      <c r="F8893" s="48" t="str">
        <f>IFERROR(__xludf.DUMMYFUNCTION("""COMPUTED_VALUE"""),"")</f>
        <v/>
      </c>
      <c r="G8893" s="42" t="str">
        <f>IFERROR(__xludf.DUMMYFUNCTION("""COMPUTED_VALUE"""),"Balik Nama")</f>
        <v>Balik Nama</v>
      </c>
      <c r="H8893" s="42">
        <f t="shared" si="1"/>
        <v>3335</v>
      </c>
    </row>
    <row r="8894" ht="22.5" customHeight="1">
      <c r="B8894" s="42" t="str">
        <f>IFERROR(__xludf.DUMMYFUNCTION("""COMPUTED_VALUE"""),"ABZHHIUZ")</f>
        <v>ABZHHIUZ</v>
      </c>
      <c r="C8894" s="42" t="str">
        <f>IFERROR(__xludf.DUMMYFUNCTION("""COMPUTED_VALUE"""),"M 1434/ BUMI KEDAMAIAN")</f>
        <v>M 1434/ BUMI KEDAMAIAN</v>
      </c>
      <c r="D8894" s="42"/>
      <c r="E8894" s="42"/>
      <c r="F8894" s="48" t="str">
        <f>IFERROR(__xludf.DUMMYFUNCTION("""COMPUTED_VALUE"""),"")</f>
        <v/>
      </c>
      <c r="G8894" s="42" t="str">
        <f>IFERROR(__xludf.DUMMYFUNCTION("""COMPUTED_VALUE"""),"Balik nama jual beli")</f>
        <v>Balik nama jual beli</v>
      </c>
      <c r="H8894" s="42">
        <f t="shared" si="1"/>
        <v>3335</v>
      </c>
    </row>
    <row r="8895" ht="22.5" customHeight="1">
      <c r="B8895" s="42" t="str">
        <f>IFERROR(__xludf.DUMMYFUNCTION("""COMPUTED_VALUE"""),"K/12/041126/1")</f>
        <v>K/12/041126/1</v>
      </c>
      <c r="C8895" s="42" t="str">
        <f>IFERROR(__xludf.DUMMYFUNCTION("""COMPUTED_VALUE"""),"NIBEL M. 16939/SUKABUMI")</f>
        <v>NIBEL M. 16939/SUKABUMI</v>
      </c>
      <c r="D8895" s="42"/>
      <c r="E8895" s="42"/>
      <c r="F8895" s="48" t="str">
        <f>IFERROR(__xludf.DUMMYFUNCTION("""COMPUTED_VALUE"""),"")</f>
        <v/>
      </c>
      <c r="G8895" s="42" t="str">
        <f>IFERROR(__xludf.DUMMYFUNCTION("""COMPUTED_VALUE"""),"PTPGT")</f>
        <v>PTPGT</v>
      </c>
      <c r="H8895" s="42">
        <f t="shared" si="1"/>
        <v>3335</v>
      </c>
    </row>
    <row r="8896" ht="22.5" customHeight="1">
      <c r="B8896" s="42" t="str">
        <f>IFERROR(__xludf.DUMMYFUNCTION("""COMPUTED_VALUE"""),"ABBIELRD/AB062")</f>
        <v>ABBIELRD/AB062</v>
      </c>
      <c r="C8896" s="42" t="str">
        <f>IFERROR(__xludf.DUMMYFUNCTION("""COMPUTED_VALUE"""),"M. 500/Kupang Kota")</f>
        <v>M. 500/Kupang Kota</v>
      </c>
      <c r="D8896" s="42"/>
      <c r="E8896" s="42"/>
      <c r="F8896" s="48" t="str">
        <f>IFERROR(__xludf.DUMMYFUNCTION("""COMPUTED_VALUE"""),"")</f>
        <v/>
      </c>
      <c r="G8896" s="42" t="str">
        <f>IFERROR(__xludf.DUMMYFUNCTION("""COMPUTED_VALUE"""),"Bn jual beli")</f>
        <v>Bn jual beli</v>
      </c>
      <c r="H8896" s="42">
        <f t="shared" si="1"/>
        <v>3335</v>
      </c>
    </row>
    <row r="8897" ht="22.5" customHeight="1">
      <c r="B8897" s="42" t="str">
        <f>IFERROR(__xludf.DUMMYFUNCTION("""COMPUTED_VALUE"""),"ABQWLUYK/AB033")</f>
        <v>ABQWLUYK/AB033</v>
      </c>
      <c r="C8897" s="42" t="str">
        <f>IFERROR(__xludf.DUMMYFUNCTION("""COMPUTED_VALUE"""),"M. 13767/Sukabumi")</f>
        <v>M. 13767/Sukabumi</v>
      </c>
      <c r="D8897" s="42"/>
      <c r="E8897" s="42"/>
      <c r="F8897" s="48" t="str">
        <f>IFERROR(__xludf.DUMMYFUNCTION("""COMPUTED_VALUE"""),"")</f>
        <v/>
      </c>
      <c r="G8897" s="42" t="str">
        <f>IFERROR(__xludf.DUMMYFUNCTION("""COMPUTED_VALUE"""),"Bn jual beli")</f>
        <v>Bn jual beli</v>
      </c>
      <c r="H8897" s="42">
        <f t="shared" si="1"/>
        <v>3335</v>
      </c>
    </row>
    <row r="8898" ht="22.5" customHeight="1">
      <c r="B8898" s="42" t="str">
        <f>IFERROR(__xludf.DUMMYFUNCTION("""COMPUTED_VALUE"""),"ABVBAGBL")</f>
        <v>ABVBAGBL</v>
      </c>
      <c r="C8898" s="42" t="str">
        <f>IFERROR(__xludf.DUMMYFUNCTION("""COMPUTED_VALUE"""),"NIBEL M 20293/ PENENGAHAN")</f>
        <v>NIBEL M 20293/ PENENGAHAN</v>
      </c>
      <c r="D8898" s="42"/>
      <c r="E8898" s="42"/>
      <c r="F8898" s="48" t="str">
        <f>IFERROR(__xludf.DUMMYFUNCTION("""COMPUTED_VALUE"""),"")</f>
        <v/>
      </c>
      <c r="G8898" s="42" t="str">
        <f>IFERROR(__xludf.DUMMYFUNCTION("""COMPUTED_VALUE"""),"BN HIBAH")</f>
        <v>BN HIBAH</v>
      </c>
      <c r="H8898" s="42">
        <f t="shared" si="1"/>
        <v>3335</v>
      </c>
    </row>
    <row r="8899" ht="22.5" customHeight="1">
      <c r="B8899" s="42" t="str">
        <f>IFERROR(__xludf.DUMMYFUNCTION("""COMPUTED_VALUE"""),"ABGEIEKY")</f>
        <v>ABGEIEKY</v>
      </c>
      <c r="C8899" s="42" t="str">
        <f>IFERROR(__xludf.DUMMYFUNCTION("""COMPUTED_VALUE"""),"Nibel. 25959")</f>
        <v>Nibel. 25959</v>
      </c>
      <c r="D8899" s="42"/>
      <c r="E8899" s="42"/>
      <c r="F8899" s="48" t="str">
        <f>IFERROR(__xludf.DUMMYFUNCTION("""COMPUTED_VALUE"""),"")</f>
        <v/>
      </c>
      <c r="G8899" s="42" t="str">
        <f>IFERROR(__xludf.DUMMYFUNCTION("""COMPUTED_VALUE"""),"Balik nama")</f>
        <v>Balik nama</v>
      </c>
      <c r="H8899" s="42">
        <f t="shared" si="1"/>
        <v>3335</v>
      </c>
    </row>
    <row r="8900" ht="22.5" customHeight="1">
      <c r="B8900" s="42" t="str">
        <f>IFERROR(__xludf.DUMMYFUNCTION("""COMPUTED_VALUE"""),"ABLHHZJU/AB057")</f>
        <v>ABLHHZJU/AB057</v>
      </c>
      <c r="C8900" s="42" t="str">
        <f>IFERROR(__xludf.DUMMYFUNCTION("""COMPUTED_VALUE"""),"M.1938/sumberrejo sejahtera")</f>
        <v>M.1938/sumberrejo sejahtera</v>
      </c>
      <c r="D8900" s="42"/>
      <c r="E8900" s="42"/>
      <c r="F8900" s="48" t="str">
        <f>IFERROR(__xludf.DUMMYFUNCTION("""COMPUTED_VALUE"""),"")</f>
        <v/>
      </c>
      <c r="G8900" s="42" t="str">
        <f>IFERROR(__xludf.DUMMYFUNCTION("""COMPUTED_VALUE"""),"Balik nama jual beli")</f>
        <v>Balik nama jual beli</v>
      </c>
      <c r="H8900" s="42">
        <f t="shared" si="1"/>
        <v>3335</v>
      </c>
    </row>
    <row r="8901" ht="22.5" customHeight="1">
      <c r="B8901" s="42" t="str">
        <f>IFERROR(__xludf.DUMMYFUNCTION("""COMPUTED_VALUE"""),"ABO80/1")</f>
        <v>ABO80/1</v>
      </c>
      <c r="C8901" s="42" t="str">
        <f>IFERROR(__xludf.DUMMYFUNCTION("""COMPUTED_VALUE"""),"M.9982/Sidodadi ")</f>
        <v>M.9982/Sidodadi </v>
      </c>
      <c r="D8901" s="42"/>
      <c r="E8901" s="42"/>
      <c r="F8901" s="48" t="str">
        <f>IFERROR(__xludf.DUMMYFUNCTION("""COMPUTED_VALUE"""),"")</f>
        <v/>
      </c>
      <c r="G8901" s="42" t="str">
        <f>IFERROR(__xludf.DUMMYFUNCTION("""COMPUTED_VALUE"""),"Waris")</f>
        <v>Waris</v>
      </c>
      <c r="H8901" s="42">
        <f t="shared" si="1"/>
        <v>3335</v>
      </c>
    </row>
    <row r="8902" ht="22.5" customHeight="1">
      <c r="B8902" s="42" t="str">
        <f>IFERROR(__xludf.DUMMYFUNCTION("""COMPUTED_VALUE"""),"ABFQIVPJ")</f>
        <v>ABFQIVPJ</v>
      </c>
      <c r="C8902" s="42" t="str">
        <f>IFERROR(__xludf.DUMMYFUNCTION("""COMPUTED_VALUE"""),"0420")</f>
        <v>0420</v>
      </c>
      <c r="D8902" s="42"/>
      <c r="E8902" s="42"/>
      <c r="F8902" s="48" t="str">
        <f>IFERROR(__xludf.DUMMYFUNCTION("""COMPUTED_VALUE"""),"")</f>
        <v/>
      </c>
      <c r="G8902" s="42" t="str">
        <f>IFERROR(__xludf.DUMMYFUNCTION("""COMPUTED_VALUE"""),"Ganti desa")</f>
        <v>Ganti desa</v>
      </c>
      <c r="H8902" s="42">
        <f t="shared" si="1"/>
        <v>3335</v>
      </c>
    </row>
    <row r="8903" ht="22.5" customHeight="1">
      <c r="B8903" s="42" t="str">
        <f>IFERROR(__xludf.DUMMYFUNCTION("""COMPUTED_VALUE"""),"ABSFRDUK")</f>
        <v>ABSFRDUK</v>
      </c>
      <c r="C8903" s="42" t="str">
        <f>IFERROR(__xludf.DUMMYFUNCTION("""COMPUTED_VALUE"""),"m 1663/ keteguhan")</f>
        <v>m 1663/ keteguhan</v>
      </c>
      <c r="D8903" s="42"/>
      <c r="E8903" s="42"/>
      <c r="F8903" s="48" t="str">
        <f>IFERROR(__xludf.DUMMYFUNCTION("""COMPUTED_VALUE"""),"")</f>
        <v/>
      </c>
      <c r="G8903" s="42" t="str">
        <f>IFERROR(__xludf.DUMMYFUNCTION("""COMPUTED_VALUE"""),"Roya")</f>
        <v>Roya</v>
      </c>
      <c r="H8903" s="42">
        <f t="shared" si="1"/>
        <v>3335</v>
      </c>
    </row>
    <row r="8904" ht="22.5" customHeight="1">
      <c r="B8904" s="42" t="str">
        <f>IFERROR(__xludf.DUMMYFUNCTION("""COMPUTED_VALUE"""),"L/14/041126/1")</f>
        <v>L/14/041126/1</v>
      </c>
      <c r="C8904" s="42" t="str">
        <f>IFERROR(__xludf.DUMMYFUNCTION("""COMPUTED_VALUE"""),"M. 14010/SUKARAME 1 DAN 14008/WAY HALIM PERMAI")</f>
        <v>M. 14010/SUKARAME 1 DAN 14008/WAY HALIM PERMAI</v>
      </c>
      <c r="D8904" s="42"/>
      <c r="E8904" s="42"/>
      <c r="F8904" s="48" t="str">
        <f>IFERROR(__xludf.DUMMYFUNCTION("""COMPUTED_VALUE"""),"")</f>
        <v/>
      </c>
      <c r="G8904" s="42" t="str">
        <f>IFERROR(__xludf.DUMMYFUNCTION("""COMPUTED_VALUE"""),"ROYA")</f>
        <v>ROYA</v>
      </c>
      <c r="H8904" s="42">
        <f t="shared" si="1"/>
        <v>3335</v>
      </c>
    </row>
    <row r="8905" ht="22.5" customHeight="1">
      <c r="B8905" s="42" t="str">
        <f>IFERROR(__xludf.DUMMYFUNCTION("""COMPUTED_VALUE"""),"ABIFXXYQ")</f>
        <v>ABIFXXYQ</v>
      </c>
      <c r="C8905" s="42" t="str">
        <f>IFERROR(__xludf.DUMMYFUNCTION("""COMPUTED_VALUE"""),"m 17622/ rajabasa pemuka")</f>
        <v>m 17622/ rajabasa pemuka</v>
      </c>
      <c r="D8905" s="42"/>
      <c r="E8905" s="42"/>
      <c r="F8905" s="48" t="str">
        <f>IFERROR(__xludf.DUMMYFUNCTION("""COMPUTED_VALUE"""),"")</f>
        <v/>
      </c>
      <c r="G8905" s="42" t="str">
        <f>IFERROR(__xludf.DUMMYFUNCTION("""COMPUTED_VALUE"""),"BN Jual Beli")</f>
        <v>BN Jual Beli</v>
      </c>
      <c r="H8905" s="42">
        <f t="shared" si="1"/>
        <v>3335</v>
      </c>
    </row>
    <row r="8906" ht="22.5" customHeight="1">
      <c r="B8906" s="42" t="str">
        <f>IFERROR(__xludf.DUMMYFUNCTION("""COMPUTED_VALUE"""),"ABXCMCOV/AB057")</f>
        <v>ABXCMCOV/AB057</v>
      </c>
      <c r="C8906" s="42" t="str">
        <f>IFERROR(__xludf.DUMMYFUNCTION("""COMPUTED_VALUE"""),"M.2401/susunan baru")</f>
        <v>M.2401/susunan baru</v>
      </c>
      <c r="D8906" s="42"/>
      <c r="E8906" s="42"/>
      <c r="F8906" s="48" t="str">
        <f>IFERROR(__xludf.DUMMYFUNCTION("""COMPUTED_VALUE"""),"")</f>
        <v/>
      </c>
      <c r="G8906" s="42" t="str">
        <f>IFERROR(__xludf.DUMMYFUNCTION("""COMPUTED_VALUE"""),"Balik Nama")</f>
        <v>Balik Nama</v>
      </c>
      <c r="H8906" s="42">
        <f t="shared" si="1"/>
        <v>3335</v>
      </c>
    </row>
    <row r="8907" ht="22.5" customHeight="1">
      <c r="B8907" s="42" t="str">
        <f>IFERROR(__xludf.DUMMYFUNCTION("""COMPUTED_VALUE"""),"ABPQZNCY")</f>
        <v>ABPQZNCY</v>
      </c>
      <c r="C8907" s="42" t="str">
        <f>IFERROR(__xludf.DUMMYFUNCTION("""COMPUTED_VALUE"""),"m 3428/ rajabasa pemuka")</f>
        <v>m 3428/ rajabasa pemuka</v>
      </c>
      <c r="D8907" s="42"/>
      <c r="E8907" s="42"/>
      <c r="F8907" s="48" t="str">
        <f>IFERROR(__xludf.DUMMYFUNCTION("""COMPUTED_VALUE"""),"")</f>
        <v/>
      </c>
      <c r="G8907" s="42" t="str">
        <f>IFERROR(__xludf.DUMMYFUNCTION("""COMPUTED_VALUE"""),"BN Jual Beli")</f>
        <v>BN Jual Beli</v>
      </c>
      <c r="H8907" s="42">
        <f t="shared" si="1"/>
        <v>3335</v>
      </c>
    </row>
    <row r="8908" ht="22.5" customHeight="1">
      <c r="B8908" s="42" t="str">
        <f>IFERROR(__xludf.DUMMYFUNCTION("""COMPUTED_VALUE"""),"K/13/041126/1")</f>
        <v>K/13/041126/1</v>
      </c>
      <c r="C8908" s="42" t="str">
        <f>IFERROR(__xludf.DUMMYFUNCTION("""COMPUTED_VALUE"""),"SK NO. 117/HM/BPN.18.71/X/2025")</f>
        <v>SK NO. 117/HM/BPN.18.71/X/2025</v>
      </c>
      <c r="D8908" s="42"/>
      <c r="E8908" s="42"/>
      <c r="F8908" s="48" t="str">
        <f>IFERROR(__xludf.DUMMYFUNCTION("""COMPUTED_VALUE"""),"")</f>
        <v/>
      </c>
      <c r="G8908" s="42" t="str">
        <f>IFERROR(__xludf.DUMMYFUNCTION("""COMPUTED_VALUE"""),"PENDAFTARAN SK")</f>
        <v>PENDAFTARAN SK</v>
      </c>
      <c r="H8908" s="42">
        <f t="shared" si="1"/>
        <v>3335</v>
      </c>
    </row>
    <row r="8909" ht="22.5" customHeight="1">
      <c r="B8909" s="42" t="str">
        <f>IFERROR(__xludf.DUMMYFUNCTION("""COMPUTED_VALUE"""),"K/15/041126/1")</f>
        <v>K/15/041126/1</v>
      </c>
      <c r="C8909" s="42" t="str">
        <f>IFERROR(__xludf.DUMMYFUNCTION("""COMPUTED_VALUE"""),"NIBEL M. 20712/TANJUNG SENANG")</f>
        <v>NIBEL M. 20712/TANJUNG SENANG</v>
      </c>
      <c r="D8909" s="42"/>
      <c r="E8909" s="42"/>
      <c r="F8909" s="48" t="str">
        <f>IFERROR(__xludf.DUMMYFUNCTION("""COMPUTED_VALUE"""),"")</f>
        <v/>
      </c>
      <c r="G8909" s="42" t="str">
        <f>IFERROR(__xludf.DUMMYFUNCTION("""COMPUTED_VALUE"""),"PEMECAHAN")</f>
        <v>PEMECAHAN</v>
      </c>
      <c r="H8909" s="42">
        <f t="shared" si="1"/>
        <v>3335</v>
      </c>
    </row>
    <row r="8910" ht="22.5" customHeight="1">
      <c r="B8910" s="42" t="str">
        <f>IFERROR(__xludf.DUMMYFUNCTION("""COMPUTED_VALUE"""),"L/19/041126/1")</f>
        <v>L/19/041126/1</v>
      </c>
      <c r="C8910" s="42" t="str">
        <f>IFERROR(__xludf.DUMMYFUNCTION("""COMPUTED_VALUE"""),"M. 2140/PINANG JAYA")</f>
        <v>M. 2140/PINANG JAYA</v>
      </c>
      <c r="D8910" s="42"/>
      <c r="E8910" s="42"/>
      <c r="F8910" s="48" t="str">
        <f>IFERROR(__xludf.DUMMYFUNCTION("""COMPUTED_VALUE"""),"")</f>
        <v/>
      </c>
      <c r="G8910" s="42" t="str">
        <f>IFERROR(__xludf.DUMMYFUNCTION("""COMPUTED_VALUE"""),"WAKAF TANAH BERSERTIPIKAT")</f>
        <v>WAKAF TANAH BERSERTIPIKAT</v>
      </c>
      <c r="H8910" s="42">
        <f t="shared" si="1"/>
        <v>3335</v>
      </c>
    </row>
    <row r="8911" ht="22.5" customHeight="1">
      <c r="B8911" s="42" t="str">
        <f>IFERROR(__xludf.DUMMYFUNCTION("""COMPUTED_VALUE"""),"K/16/041126/2")</f>
        <v>K/16/041126/2</v>
      </c>
      <c r="C8911" s="42" t="str">
        <f>IFERROR(__xludf.DUMMYFUNCTION("""COMPUTED_VALUE"""),"NIBEL M. 20715/TANJUNG SENANG")</f>
        <v>NIBEL M. 20715/TANJUNG SENANG</v>
      </c>
      <c r="D8911" s="42"/>
      <c r="E8911" s="42"/>
      <c r="F8911" s="48" t="str">
        <f>IFERROR(__xludf.DUMMYFUNCTION("""COMPUTED_VALUE"""),"")</f>
        <v/>
      </c>
      <c r="G8911" s="42" t="str">
        <f>IFERROR(__xludf.DUMMYFUNCTION("""COMPUTED_VALUE"""),"PEMECAHAN")</f>
        <v>PEMECAHAN</v>
      </c>
      <c r="H8911" s="42">
        <f t="shared" si="1"/>
        <v>3335</v>
      </c>
    </row>
    <row r="8912" ht="22.5" customHeight="1">
      <c r="B8912" s="42" t="str">
        <f>IFERROR(__xludf.DUMMYFUNCTION("""COMPUTED_VALUE"""),"K/17/041126/3")</f>
        <v>K/17/041126/3</v>
      </c>
      <c r="C8912" s="42" t="str">
        <f>IFERROR(__xludf.DUMMYFUNCTION("""COMPUTED_VALUE"""),"NIBEL M.20713/TANJUNG SENANG")</f>
        <v>NIBEL M.20713/TANJUNG SENANG</v>
      </c>
      <c r="D8912" s="42"/>
      <c r="E8912" s="42"/>
      <c r="F8912" s="48" t="str">
        <f>IFERROR(__xludf.DUMMYFUNCTION("""COMPUTED_VALUE"""),"")</f>
        <v/>
      </c>
      <c r="G8912" s="42" t="str">
        <f>IFERROR(__xludf.DUMMYFUNCTION("""COMPUTED_VALUE"""),"PEMECAHAN")</f>
        <v>PEMECAHAN</v>
      </c>
      <c r="H8912" s="42">
        <f t="shared" si="1"/>
        <v>3335</v>
      </c>
    </row>
    <row r="8913" ht="22.5" customHeight="1">
      <c r="B8913" s="42" t="str">
        <f>IFERROR(__xludf.DUMMYFUNCTION("""COMPUTED_VALUE"""),"K/18/041126/4")</f>
        <v>K/18/041126/4</v>
      </c>
      <c r="C8913" s="42" t="str">
        <f>IFERROR(__xludf.DUMMYFUNCTION("""COMPUTED_VALUE"""),"NIBEL M. 20714/TANJUNG SENANG")</f>
        <v>NIBEL M. 20714/TANJUNG SENANG</v>
      </c>
      <c r="D8913" s="42"/>
      <c r="E8913" s="42"/>
      <c r="F8913" s="48" t="str">
        <f>IFERROR(__xludf.DUMMYFUNCTION("""COMPUTED_VALUE"""),"")</f>
        <v/>
      </c>
      <c r="G8913" s="42" t="str">
        <f>IFERROR(__xludf.DUMMYFUNCTION("""COMPUTED_VALUE"""),"PEMECAHAN")</f>
        <v>PEMECAHAN</v>
      </c>
      <c r="H8913" s="42">
        <f t="shared" si="1"/>
        <v>3335</v>
      </c>
    </row>
    <row r="8914" ht="22.5" customHeight="1">
      <c r="B8914" s="42" t="str">
        <f>IFERROR(__xludf.DUMMYFUNCTION("""COMPUTED_VALUE"""),"ABQLDPQX")</f>
        <v>ABQLDPQX</v>
      </c>
      <c r="C8914" s="42" t="str">
        <f>IFERROR(__xludf.DUMMYFUNCTION("""COMPUTED_VALUE"""),"SHM 11642/kedamain")</f>
        <v>SHM 11642/kedamain</v>
      </c>
      <c r="D8914" s="42"/>
      <c r="E8914" s="42"/>
      <c r="F8914" s="48" t="str">
        <f>IFERROR(__xludf.DUMMYFUNCTION("""COMPUTED_VALUE"""),"")</f>
        <v/>
      </c>
      <c r="G8914" s="42" t="str">
        <f>IFERROR(__xludf.DUMMYFUNCTION("""COMPUTED_VALUE"""),"peralihan hak balik nama")</f>
        <v>peralihan hak balik nama</v>
      </c>
      <c r="H8914" s="42">
        <f t="shared" si="1"/>
        <v>3335</v>
      </c>
    </row>
    <row r="8915" ht="22.5" customHeight="1">
      <c r="B8915" s="42" t="str">
        <f>IFERROR(__xludf.DUMMYFUNCTION("""COMPUTED_VALUE"""),"K/20/041126/1")</f>
        <v>K/20/041126/1</v>
      </c>
      <c r="C8915" s="42" t="str">
        <f>IFERROR(__xludf.DUMMYFUNCTION("""COMPUTED_VALUE"""),"M. 19616/SUKARAME I")</f>
        <v>M. 19616/SUKARAME I</v>
      </c>
      <c r="D8915" s="42"/>
      <c r="E8915" s="42"/>
      <c r="F8915" s="48" t="str">
        <f>IFERROR(__xludf.DUMMYFUNCTION("""COMPUTED_VALUE"""),"")</f>
        <v/>
      </c>
      <c r="G8915" s="42" t="str">
        <f>IFERROR(__xludf.DUMMYFUNCTION("""COMPUTED_VALUE"""),"SKPT LELANG")</f>
        <v>SKPT LELANG</v>
      </c>
      <c r="H8915" s="42">
        <f t="shared" si="1"/>
        <v>3335</v>
      </c>
    </row>
    <row r="8916" ht="22.5" customHeight="1">
      <c r="B8916" s="42" t="str">
        <f>IFERROR(__xludf.DUMMYFUNCTION("""COMPUTED_VALUE"""),"ABMBOJFG")</f>
        <v>ABMBOJFG</v>
      </c>
      <c r="C8916" s="42" t="str">
        <f>IFERROR(__xludf.DUMMYFUNCTION("""COMPUTED_VALUE"""),"M 588 campang jaya")</f>
        <v>M 588 campang jaya</v>
      </c>
      <c r="D8916" s="42"/>
      <c r="E8916" s="42"/>
      <c r="F8916" s="48" t="str">
        <f>IFERROR(__xludf.DUMMYFUNCTION("""COMPUTED_VALUE"""),"")</f>
        <v/>
      </c>
      <c r="G8916" s="42" t="str">
        <f>IFERROR(__xludf.DUMMYFUNCTION("""COMPUTED_VALUE"""),"peralihan hak jual beli")</f>
        <v>peralihan hak jual beli</v>
      </c>
      <c r="H8916" s="42">
        <f t="shared" si="1"/>
        <v>3335</v>
      </c>
    </row>
    <row r="8917" ht="22.5" customHeight="1">
      <c r="B8917" s="42" t="str">
        <f>IFERROR(__xludf.DUMMYFUNCTION("""COMPUTED_VALUE"""),"ABLOIUCG")</f>
        <v>ABLOIUCG</v>
      </c>
      <c r="C8917" s="42" t="str">
        <f>IFERROR(__xludf.DUMMYFUNCTION("""COMPUTED_VALUE"""),"M nibel 3242 langkapura")</f>
        <v>M nibel 3242 langkapura</v>
      </c>
      <c r="D8917" s="42"/>
      <c r="E8917" s="42"/>
      <c r="F8917" s="48" t="str">
        <f>IFERROR(__xludf.DUMMYFUNCTION("""COMPUTED_VALUE"""),"")</f>
        <v/>
      </c>
      <c r="G8917" s="42" t="str">
        <f>IFERROR(__xludf.DUMMYFUNCTION("""COMPUTED_VALUE"""),"peralihan hak balik nama")</f>
        <v>peralihan hak balik nama</v>
      </c>
      <c r="H8917" s="42">
        <f t="shared" si="1"/>
        <v>3335</v>
      </c>
    </row>
    <row r="8918" ht="22.5" customHeight="1">
      <c r="B8918" s="42" t="str">
        <f>IFERROR(__xludf.DUMMYFUNCTION("""COMPUTED_VALUE"""),"K/21/041126/2")</f>
        <v>K/21/041126/2</v>
      </c>
      <c r="C8918" s="42" t="str">
        <f>IFERROR(__xludf.DUMMYFUNCTION("""COMPUTED_VALUE"""),"M. 13746/SUKABUMI")</f>
        <v>M. 13746/SUKABUMI</v>
      </c>
      <c r="D8918" s="42"/>
      <c r="E8918" s="42"/>
      <c r="F8918" s="48" t="str">
        <f>IFERROR(__xludf.DUMMYFUNCTION("""COMPUTED_VALUE"""),"")</f>
        <v/>
      </c>
      <c r="G8918" s="42" t="str">
        <f>IFERROR(__xludf.DUMMYFUNCTION("""COMPUTED_VALUE"""),"SKPT LELANG")</f>
        <v>SKPT LELANG</v>
      </c>
      <c r="H8918" s="42">
        <f t="shared" si="1"/>
        <v>3335</v>
      </c>
    </row>
    <row r="8919" ht="22.5" customHeight="1">
      <c r="B8919" s="42" t="str">
        <f>IFERROR(__xludf.DUMMYFUNCTION("""COMPUTED_VALUE"""),"K/22/041126/1")</f>
        <v>K/22/041126/1</v>
      </c>
      <c r="C8919" s="42" t="str">
        <f>IFERROR(__xludf.DUMMYFUNCTION("""COMPUTED_VALUE"""),"M. 3997/WAY KANDIS")</f>
        <v>M. 3997/WAY KANDIS</v>
      </c>
      <c r="D8919" s="42"/>
      <c r="E8919" s="42"/>
      <c r="F8919" s="48" t="str">
        <f>IFERROR(__xludf.DUMMYFUNCTION("""COMPUTED_VALUE"""),"")</f>
        <v/>
      </c>
      <c r="G8919" s="42" t="str">
        <f>IFERROR(__xludf.DUMMYFUNCTION("""COMPUTED_VALUE"""),"ROYA")</f>
        <v>ROYA</v>
      </c>
      <c r="H8919" s="42">
        <f t="shared" si="1"/>
        <v>3335</v>
      </c>
    </row>
    <row r="8920" ht="22.5" customHeight="1">
      <c r="B8920" s="42" t="str">
        <f>IFERROR(__xludf.DUMMYFUNCTION("""COMPUTED_VALUE"""),"ABYYWIMF")</f>
        <v>ABYYWIMF</v>
      </c>
      <c r="C8920" s="42" t="str">
        <f>IFERROR(__xludf.DUMMYFUNCTION("""COMPUTED_VALUE"""),"B 357/ TANJUNG GADING")</f>
        <v>B 357/ TANJUNG GADING</v>
      </c>
      <c r="D8920" s="42"/>
      <c r="E8920" s="42"/>
      <c r="F8920" s="48" t="str">
        <f>IFERROR(__xludf.DUMMYFUNCTION("""COMPUTED_VALUE"""),"")</f>
        <v/>
      </c>
      <c r="G8920" s="42" t="str">
        <f>IFERROR(__xludf.DUMMYFUNCTION("""COMPUTED_VALUE"""),"BN JUAL BELI")</f>
        <v>BN JUAL BELI</v>
      </c>
      <c r="H8920" s="42">
        <f t="shared" si="1"/>
        <v>3335</v>
      </c>
    </row>
    <row r="8921" ht="22.5" customHeight="1">
      <c r="B8921" s="42" t="str">
        <f>IFERROR(__xludf.DUMMYFUNCTION("""COMPUTED_VALUE"""),"ABLMLVET")</f>
        <v>ABLMLVET</v>
      </c>
      <c r="C8921" s="42" t="str">
        <f>IFERROR(__xludf.DUMMYFUNCTION("""COMPUTED_VALUE"""),"Hgb NIB 08.01.000025566.0 sumur putri")</f>
        <v>Hgb NIB 08.01.000025566.0 sumur putri</v>
      </c>
      <c r="D8921" s="42"/>
      <c r="E8921" s="42"/>
      <c r="F8921" s="48" t="str">
        <f>IFERROR(__xludf.DUMMYFUNCTION("""COMPUTED_VALUE"""),"")</f>
        <v/>
      </c>
      <c r="G8921" s="42" t="str">
        <f>IFERROR(__xludf.DUMMYFUNCTION("""COMPUTED_VALUE"""),"Peningkatan Hak Milik")</f>
        <v>Peningkatan Hak Milik</v>
      </c>
      <c r="H8921" s="42">
        <f t="shared" si="1"/>
        <v>3335</v>
      </c>
    </row>
    <row r="8922" ht="22.5" customHeight="1">
      <c r="B8922" s="42" t="str">
        <f>IFERROR(__xludf.DUMMYFUNCTION("""COMPUTED_VALUE"""),"L/1/051125/1")</f>
        <v>L/1/051125/1</v>
      </c>
      <c r="C8922" s="42" t="str">
        <f>IFERROR(__xludf.DUMMYFUNCTION("""COMPUTED_VALUE"""),"M NIB. 24759/GEDONG AIR")</f>
        <v>M NIB. 24759/GEDONG AIR</v>
      </c>
      <c r="D8922" s="42"/>
      <c r="E8922" s="42"/>
      <c r="F8922" s="48" t="str">
        <f>IFERROR(__xludf.DUMMYFUNCTION("""COMPUTED_VALUE"""),"")</f>
        <v/>
      </c>
      <c r="G8922" s="42" t="str">
        <f>IFERROR(__xludf.DUMMYFUNCTION("""COMPUTED_VALUE"""),"GANTI NAMA")</f>
        <v>GANTI NAMA</v>
      </c>
      <c r="H8922" s="42">
        <f t="shared" si="1"/>
        <v>3335</v>
      </c>
    </row>
    <row r="8923" ht="22.5" customHeight="1">
      <c r="B8923" s="42" t="str">
        <f>IFERROR(__xludf.DUMMYFUNCTION("""COMPUTED_VALUE"""),"Ab021/ABMRIKAQ")</f>
        <v>Ab021/ABMRIKAQ</v>
      </c>
      <c r="C8923" s="42" t="str">
        <f>IFERROR(__xludf.DUMMYFUNCTION("""COMPUTED_VALUE"""),"HGB 613/Sukarame Baru")</f>
        <v>HGB 613/Sukarame Baru</v>
      </c>
      <c r="D8923" s="42"/>
      <c r="E8923" s="42"/>
      <c r="F8923" s="48" t="str">
        <f>IFERROR(__xludf.DUMMYFUNCTION("""COMPUTED_VALUE"""),"")</f>
        <v/>
      </c>
      <c r="G8923" s="42" t="str">
        <f>IFERROR(__xludf.DUMMYFUNCTION("""COMPUTED_VALUE"""),"BN JUAL BELI")</f>
        <v>BN JUAL BELI</v>
      </c>
      <c r="H8923" s="42">
        <f t="shared" si="1"/>
        <v>3335</v>
      </c>
    </row>
    <row r="8924" ht="22.5" customHeight="1">
      <c r="B8924" s="42" t="str">
        <f>IFERROR(__xludf.DUMMYFUNCTION("""COMPUTED_VALUE"""),"K/2/051125/1")</f>
        <v>K/2/051125/1</v>
      </c>
      <c r="C8924" s="42" t="str">
        <f>IFERROR(__xludf.DUMMYFUNCTION("""COMPUTED_VALUE"""),"B. 44/GOTONG ROYONG")</f>
        <v>B. 44/GOTONG ROYONG</v>
      </c>
      <c r="D8924" s="42"/>
      <c r="E8924" s="42"/>
      <c r="F8924" s="48" t="str">
        <f>IFERROR(__xludf.DUMMYFUNCTION("""COMPUTED_VALUE"""),"")</f>
        <v/>
      </c>
      <c r="G8924" s="42" t="str">
        <f>IFERROR(__xludf.DUMMYFUNCTION("""COMPUTED_VALUE"""),"SKPT LELANG")</f>
        <v>SKPT LELANG</v>
      </c>
      <c r="H8924" s="42">
        <f t="shared" si="1"/>
        <v>3335</v>
      </c>
    </row>
    <row r="8925" ht="22.5" customHeight="1">
      <c r="B8925" s="42" t="str">
        <f>IFERROR(__xludf.DUMMYFUNCTION("""COMPUTED_VALUE"""),"K/3/051125/2")</f>
        <v>K/3/051125/2</v>
      </c>
      <c r="C8925" s="42" t="str">
        <f>IFERROR(__xludf.DUMMYFUNCTION("""COMPUTED_VALUE"""),"M. 18177/SUKARAME I")</f>
        <v>M. 18177/SUKARAME I</v>
      </c>
      <c r="D8925" s="42"/>
      <c r="E8925" s="42"/>
      <c r="F8925" s="48" t="str">
        <f>IFERROR(__xludf.DUMMYFUNCTION("""COMPUTED_VALUE"""),"")</f>
        <v/>
      </c>
      <c r="G8925" s="42" t="str">
        <f>IFERROR(__xludf.DUMMYFUNCTION("""COMPUTED_VALUE"""),"SKPT LELANG")</f>
        <v>SKPT LELANG</v>
      </c>
      <c r="H8925" s="42">
        <f t="shared" si="1"/>
        <v>3335</v>
      </c>
    </row>
    <row r="8926" ht="22.5" customHeight="1">
      <c r="B8926" s="42" t="str">
        <f>IFERROR(__xludf.DUMMYFUNCTION("""COMPUTED_VALUE"""),"ABKLBQMC")</f>
        <v>ABKLBQMC</v>
      </c>
      <c r="C8926" s="42" t="str">
        <f>IFERROR(__xludf.DUMMYFUNCTION("""COMPUTED_VALUE"""),"M 1273/ KANGKUNG")</f>
        <v>M 1273/ KANGKUNG</v>
      </c>
      <c r="D8926" s="42"/>
      <c r="E8926" s="42"/>
      <c r="F8926" s="48" t="str">
        <f>IFERROR(__xludf.DUMMYFUNCTION("""COMPUTED_VALUE"""),"")</f>
        <v/>
      </c>
      <c r="G8926" s="42" t="str">
        <f>IFERROR(__xludf.DUMMYFUNCTION("""COMPUTED_VALUE"""),"BALIK NAMA WARIS")</f>
        <v>BALIK NAMA WARIS</v>
      </c>
      <c r="H8926" s="42">
        <f t="shared" si="1"/>
        <v>3335</v>
      </c>
    </row>
    <row r="8927" ht="22.5" customHeight="1">
      <c r="B8927" s="42" t="str">
        <f>IFERROR(__xludf.DUMMYFUNCTION("""COMPUTED_VALUE"""),"ABZZDPZH/AB029")</f>
        <v>ABZZDPZH/AB029</v>
      </c>
      <c r="C8927" s="42" t="str">
        <f>IFERROR(__xludf.DUMMYFUNCTION("""COMPUTED_VALUE"""),"M.9559/G.Mg/Gedong Meneng ")</f>
        <v>M.9559/G.Mg/Gedong Meneng </v>
      </c>
      <c r="D8927" s="42"/>
      <c r="E8927" s="42"/>
      <c r="F8927" s="48" t="str">
        <f>IFERROR(__xludf.DUMMYFUNCTION("""COMPUTED_VALUE"""),"")</f>
        <v/>
      </c>
      <c r="G8927" s="42" t="str">
        <f>IFERROR(__xludf.DUMMYFUNCTION("""COMPUTED_VALUE"""),"Ganti Kecamatan ")</f>
        <v>Ganti Kecamatan </v>
      </c>
      <c r="H8927" s="42">
        <f t="shared" si="1"/>
        <v>3335</v>
      </c>
    </row>
    <row r="8928" ht="22.5" customHeight="1">
      <c r="B8928" s="42" t="str">
        <f>IFERROR(__xludf.DUMMYFUNCTION("""COMPUTED_VALUE"""),"ABBJFNKN/AB012")</f>
        <v>ABBJFNKN/AB012</v>
      </c>
      <c r="C8928" s="42" t="str">
        <f>IFERROR(__xludf.DUMMYFUNCTION("""COMPUTED_VALUE"""),"M. 2302/pinang jaya")</f>
        <v>M. 2302/pinang jaya</v>
      </c>
      <c r="D8928" s="42"/>
      <c r="E8928" s="42"/>
      <c r="F8928" s="48" t="str">
        <f>IFERROR(__xludf.DUMMYFUNCTION("""COMPUTED_VALUE"""),"")</f>
        <v/>
      </c>
      <c r="G8928" s="42" t="str">
        <f>IFERROR(__xludf.DUMMYFUNCTION("""COMPUTED_VALUE"""),"BN JUAL BELI")</f>
        <v>BN JUAL BELI</v>
      </c>
      <c r="H8928" s="42">
        <f t="shared" si="1"/>
        <v>3335</v>
      </c>
    </row>
    <row r="8929" ht="22.5" customHeight="1">
      <c r="B8929" s="42" t="str">
        <f>IFERROR(__xludf.DUMMYFUNCTION("""COMPUTED_VALUE"""),"ABBYFRLD")</f>
        <v>ABBYFRLD</v>
      </c>
      <c r="C8929" s="42" t="str">
        <f>IFERROR(__xludf.DUMMYFUNCTION("""COMPUTED_VALUE"""),"m 3106/ gunung terang")</f>
        <v>m 3106/ gunung terang</v>
      </c>
      <c r="D8929" s="42"/>
      <c r="E8929" s="42"/>
      <c r="F8929" s="48" t="str">
        <f>IFERROR(__xludf.DUMMYFUNCTION("""COMPUTED_VALUE"""),"")</f>
        <v/>
      </c>
      <c r="G8929" s="42" t="str">
        <f>IFERROR(__xludf.DUMMYFUNCTION("""COMPUTED_VALUE"""),"Waris")</f>
        <v>Waris</v>
      </c>
      <c r="H8929" s="42">
        <f t="shared" si="1"/>
        <v>3335</v>
      </c>
    </row>
    <row r="8930" ht="22.5" customHeight="1">
      <c r="B8930" s="42" t="str">
        <f>IFERROR(__xludf.DUMMYFUNCTION("""COMPUTED_VALUE"""),"K/4/051125/1")</f>
        <v>K/4/051125/1</v>
      </c>
      <c r="C8930" s="42" t="str">
        <f>IFERROR(__xludf.DUMMYFUNCTION("""COMPUTED_VALUE"""),"B. 441/NUSANTARA PERMAI")</f>
        <v>B. 441/NUSANTARA PERMAI</v>
      </c>
      <c r="D8930" s="42"/>
      <c r="E8930" s="42"/>
      <c r="F8930" s="48" t="str">
        <f>IFERROR(__xludf.DUMMYFUNCTION("""COMPUTED_VALUE"""),"")</f>
        <v/>
      </c>
      <c r="G8930" s="42" t="str">
        <f>IFERROR(__xludf.DUMMYFUNCTION("""COMPUTED_VALUE"""),"PERMOHONAN SK")</f>
        <v>PERMOHONAN SK</v>
      </c>
      <c r="H8930" s="42">
        <f t="shared" si="1"/>
        <v>3335</v>
      </c>
    </row>
    <row r="8931" ht="22.5" customHeight="1">
      <c r="B8931" s="42" t="str">
        <f>IFERROR(__xludf.DUMMYFUNCTION("""COMPUTED_VALUE"""),"K/5/051125/1")</f>
        <v>K/5/051125/1</v>
      </c>
      <c r="C8931" s="42" t="str">
        <f>IFERROR(__xludf.DUMMYFUNCTION("""COMPUTED_VALUE"""),"M. 202/GUNUNG MAS")</f>
        <v>M. 202/GUNUNG MAS</v>
      </c>
      <c r="D8931" s="42"/>
      <c r="E8931" s="42"/>
      <c r="F8931" s="48" t="str">
        <f>IFERROR(__xludf.DUMMYFUNCTION("""COMPUTED_VALUE"""),"")</f>
        <v/>
      </c>
      <c r="G8931" s="42" t="str">
        <f>IFERROR(__xludf.DUMMYFUNCTION("""COMPUTED_VALUE"""),"BLOKIR ")</f>
        <v>BLOKIR </v>
      </c>
      <c r="H8931" s="42">
        <f t="shared" si="1"/>
        <v>3335</v>
      </c>
    </row>
    <row r="8932" ht="22.5" customHeight="1">
      <c r="B8932" s="42" t="str">
        <f>IFERROR(__xludf.DUMMYFUNCTION("""COMPUTED_VALUE"""),"ABBMFQUV/1")</f>
        <v>ABBMFQUV/1</v>
      </c>
      <c r="C8932" s="42" t="str">
        <f>IFERROR(__xludf.DUMMYFUNCTION("""COMPUTED_VALUE"""),"NIBEL M 24323/ Kemiling Raya")</f>
        <v>NIBEL M 24323/ Kemiling Raya</v>
      </c>
      <c r="D8932" s="42"/>
      <c r="E8932" s="42"/>
      <c r="F8932" s="48" t="str">
        <f>IFERROR(__xludf.DUMMYFUNCTION("""COMPUTED_VALUE"""),"")</f>
        <v/>
      </c>
      <c r="G8932" s="42" t="str">
        <f>IFERROR(__xludf.DUMMYFUNCTION("""COMPUTED_VALUE"""),"Balik nama jual beli")</f>
        <v>Balik nama jual beli</v>
      </c>
      <c r="H8932" s="42">
        <f t="shared" si="1"/>
        <v>3335</v>
      </c>
    </row>
    <row r="8933" ht="22.5" customHeight="1">
      <c r="B8933" s="42" t="str">
        <f>IFERROR(__xludf.DUMMYFUNCTION("""COMPUTED_VALUE"""),"ABFRJENS/1")</f>
        <v>ABFRJENS/1</v>
      </c>
      <c r="C8933" s="42" t="str">
        <f>IFERROR(__xludf.DUMMYFUNCTION("""COMPUTED_VALUE"""),"M 323/ Sawah brebes")</f>
        <v>M 323/ Sawah brebes</v>
      </c>
      <c r="D8933" s="42"/>
      <c r="E8933" s="42"/>
      <c r="F8933" s="48" t="str">
        <f>IFERROR(__xludf.DUMMYFUNCTION("""COMPUTED_VALUE"""),"")</f>
        <v/>
      </c>
      <c r="G8933" s="42" t="str">
        <f>IFERROR(__xludf.DUMMYFUNCTION("""COMPUTED_VALUE"""),"Balik nama hibah")</f>
        <v>Balik nama hibah</v>
      </c>
      <c r="H8933" s="42">
        <f t="shared" si="1"/>
        <v>3335</v>
      </c>
    </row>
    <row r="8934" ht="22.5" customHeight="1">
      <c r="B8934" s="42" t="str">
        <f>IFERROR(__xludf.DUMMYFUNCTION("""COMPUTED_VALUE"""),"ABENCNUE")</f>
        <v>ABENCNUE</v>
      </c>
      <c r="C8934" s="42" t="str">
        <f>IFERROR(__xludf.DUMMYFUNCTION("""COMPUTED_VALUE"""),"M 444/ sawah lama")</f>
        <v>M 444/ sawah lama</v>
      </c>
      <c r="D8934" s="42"/>
      <c r="E8934" s="42"/>
      <c r="F8934" s="48" t="str">
        <f>IFERROR(__xludf.DUMMYFUNCTION("""COMPUTED_VALUE"""),"")</f>
        <v/>
      </c>
      <c r="G8934" s="42" t="str">
        <f>IFERROR(__xludf.DUMMYFUNCTION("""COMPUTED_VALUE"""),"Balik nama jual beli")</f>
        <v>Balik nama jual beli</v>
      </c>
      <c r="H8934" s="42">
        <f t="shared" si="1"/>
        <v>3335</v>
      </c>
    </row>
    <row r="8935" ht="22.5" customHeight="1">
      <c r="B8935" s="42" t="str">
        <f>IFERROR(__xludf.DUMMYFUNCTION("""COMPUTED_VALUE"""),"ABXMWTIF/1")</f>
        <v>ABXMWTIF/1</v>
      </c>
      <c r="C8935" s="42" t="str">
        <f>IFERROR(__xludf.DUMMYFUNCTION("""COMPUTED_VALUE"""),"M 10266/ kedaton")</f>
        <v>M 10266/ kedaton</v>
      </c>
      <c r="D8935" s="42"/>
      <c r="E8935" s="42"/>
      <c r="F8935" s="48" t="str">
        <f>IFERROR(__xludf.DUMMYFUNCTION("""COMPUTED_VALUE"""),"")</f>
        <v/>
      </c>
      <c r="G8935" s="42" t="str">
        <f>IFERROR(__xludf.DUMMYFUNCTION("""COMPUTED_VALUE"""),"Balik nama waris")</f>
        <v>Balik nama waris</v>
      </c>
      <c r="H8935" s="42">
        <f t="shared" si="1"/>
        <v>3335</v>
      </c>
    </row>
    <row r="8936" ht="22.5" customHeight="1">
      <c r="B8936" s="42" t="str">
        <f>IFERROR(__xludf.DUMMYFUNCTION("""COMPUTED_VALUE"""),"AB39")</f>
        <v>AB39</v>
      </c>
      <c r="C8936" s="42" t="str">
        <f>IFERROR(__xludf.DUMMYFUNCTION("""COMPUTED_VALUE"""),"350/E")</f>
        <v>350/E</v>
      </c>
      <c r="D8936" s="42"/>
      <c r="E8936" s="42"/>
      <c r="F8936" s="48" t="str">
        <f>IFERROR(__xludf.DUMMYFUNCTION("""COMPUTED_VALUE"""),"")</f>
        <v/>
      </c>
      <c r="G8936" s="42" t="str">
        <f>IFERROR(__xludf.DUMMYFUNCTION("""COMPUTED_VALUE"""),"Hibah")</f>
        <v>Hibah</v>
      </c>
      <c r="H8936" s="42">
        <f t="shared" si="1"/>
        <v>3335</v>
      </c>
    </row>
    <row r="8937" ht="22.5" customHeight="1">
      <c r="B8937" s="42" t="str">
        <f>IFERROR(__xludf.DUMMYFUNCTION("""COMPUTED_VALUE"""),"K/6/051125/1")</f>
        <v>K/6/051125/1</v>
      </c>
      <c r="C8937" s="42" t="str">
        <f>IFERROR(__xludf.DUMMYFUNCTION("""COMPUTED_VALUE"""),"M. 202/GUNUNG MAS")</f>
        <v>M. 202/GUNUNG MAS</v>
      </c>
      <c r="D8937" s="42"/>
      <c r="E8937" s="42"/>
      <c r="F8937" s="48" t="str">
        <f>IFERROR(__xludf.DUMMYFUNCTION("""COMPUTED_VALUE"""),"")</f>
        <v/>
      </c>
      <c r="G8937" s="42" t="str">
        <f>IFERROR(__xludf.DUMMYFUNCTION("""COMPUTED_VALUE"""),"BLOKIR")</f>
        <v>BLOKIR</v>
      </c>
      <c r="H8937" s="42">
        <f t="shared" si="1"/>
        <v>3335</v>
      </c>
    </row>
    <row r="8938" ht="22.5" customHeight="1">
      <c r="B8938" s="42" t="str">
        <f>IFERROR(__xludf.DUMMYFUNCTION("""COMPUTED_VALUE"""),"ABEOQRKY/AB046")</f>
        <v>ABEOQRKY/AB046</v>
      </c>
      <c r="C8938" s="42" t="str">
        <f>IFERROR(__xludf.DUMMYFUNCTION("""COMPUTED_VALUE"""),"SHGB NO. 01217")</f>
        <v>SHGB NO. 01217</v>
      </c>
      <c r="D8938" s="42"/>
      <c r="E8938" s="42"/>
      <c r="F8938" s="48" t="str">
        <f>IFERROR(__xludf.DUMMYFUNCTION("""COMPUTED_VALUE"""),"")</f>
        <v/>
      </c>
      <c r="G8938" s="42" t="str">
        <f>IFERROR(__xludf.DUMMYFUNCTION("""COMPUTED_VALUE"""),"balik nama")</f>
        <v>balik nama</v>
      </c>
      <c r="H8938" s="42">
        <f t="shared" si="1"/>
        <v>3335</v>
      </c>
    </row>
    <row r="8939" ht="22.5" customHeight="1">
      <c r="B8939" s="42" t="str">
        <f>IFERROR(__xludf.DUMMYFUNCTION("""COMPUTED_VALUE"""),"ABZQFVEI/AB046")</f>
        <v>ABZQFVEI/AB046</v>
      </c>
      <c r="C8939" s="42" t="str">
        <f>IFERROR(__xludf.DUMMYFUNCTION("""COMPUTED_VALUE"""),"M NIBEL 23733/Labuhan Dalam")</f>
        <v>M NIBEL 23733/Labuhan Dalam</v>
      </c>
      <c r="D8939" s="42"/>
      <c r="E8939" s="42"/>
      <c r="F8939" s="48" t="str">
        <f>IFERROR(__xludf.DUMMYFUNCTION("""COMPUTED_VALUE"""),"")</f>
        <v/>
      </c>
      <c r="G8939" s="42" t="str">
        <f>IFERROR(__xludf.DUMMYFUNCTION("""COMPUTED_VALUE"""),"Balik nama jual beli")</f>
        <v>Balik nama jual beli</v>
      </c>
      <c r="H8939" s="42">
        <f t="shared" si="1"/>
        <v>3335</v>
      </c>
    </row>
    <row r="8940" ht="22.5" customHeight="1">
      <c r="B8940" s="42" t="str">
        <f>IFERROR(__xludf.DUMMYFUNCTION("""COMPUTED_VALUE"""),"ABRLLZBS")</f>
        <v>ABRLLZBS</v>
      </c>
      <c r="C8940" s="42" t="str">
        <f>IFERROR(__xludf.DUMMYFUNCTION("""COMPUTED_VALUE"""),"2514/Kemiling Permai")</f>
        <v>2514/Kemiling Permai</v>
      </c>
      <c r="D8940" s="42"/>
      <c r="E8940" s="42"/>
      <c r="F8940" s="48" t="str">
        <f>IFERROR(__xludf.DUMMYFUNCTION("""COMPUTED_VALUE"""),"")</f>
        <v/>
      </c>
      <c r="G8940" s="42" t="str">
        <f>IFERROR(__xludf.DUMMYFUNCTION("""COMPUTED_VALUE"""),"Turun Waris")</f>
        <v>Turun Waris</v>
      </c>
      <c r="H8940" s="42">
        <f t="shared" si="1"/>
        <v>3335</v>
      </c>
    </row>
    <row r="8941" ht="22.5" customHeight="1">
      <c r="B8941" s="42" t="str">
        <f>IFERROR(__xludf.DUMMYFUNCTION("""COMPUTED_VALUE"""),"K/10/051125/1")</f>
        <v>K/10/051125/1</v>
      </c>
      <c r="C8941" s="42" t="str">
        <f>IFERROR(__xludf.DUMMYFUNCTION("""COMPUTED_VALUE"""),"B. 1155/KEMILING PERMAI")</f>
        <v>B. 1155/KEMILING PERMAI</v>
      </c>
      <c r="D8941" s="42"/>
      <c r="E8941" s="42"/>
      <c r="F8941" s="48" t="str">
        <f>IFERROR(__xludf.DUMMYFUNCTION("""COMPUTED_VALUE"""),"")</f>
        <v/>
      </c>
      <c r="G8941" s="42" t="str">
        <f>IFERROR(__xludf.DUMMYFUNCTION("""COMPUTED_VALUE"""),"PENINGKATAN HAK")</f>
        <v>PENINGKATAN HAK</v>
      </c>
      <c r="H8941" s="42">
        <f t="shared" si="1"/>
        <v>3335</v>
      </c>
    </row>
    <row r="8942" ht="22.5" customHeight="1">
      <c r="B8942" s="42" t="str">
        <f>IFERROR(__xludf.DUMMYFUNCTION("""COMPUTED_VALUE"""),"L/7/051125/1")</f>
        <v>L/7/051125/1</v>
      </c>
      <c r="C8942" s="42" t="str">
        <f>IFERROR(__xludf.DUMMYFUNCTION("""COMPUTED_VALUE"""),"M. 13193/TANJUNG BARU")</f>
        <v>M. 13193/TANJUNG BARU</v>
      </c>
      <c r="D8942" s="42"/>
      <c r="E8942" s="42"/>
      <c r="F8942" s="48" t="str">
        <f>IFERROR(__xludf.DUMMYFUNCTION("""COMPUTED_VALUE"""),"")</f>
        <v/>
      </c>
      <c r="G8942" s="42" t="str">
        <f>IFERROR(__xludf.DUMMYFUNCTION("""COMPUTED_VALUE"""),"ROYA")</f>
        <v>ROYA</v>
      </c>
      <c r="H8942" s="42">
        <f t="shared" si="1"/>
        <v>3335</v>
      </c>
    </row>
    <row r="8943" ht="22.5" customHeight="1">
      <c r="B8943" s="42" t="str">
        <f>IFERROR(__xludf.DUMMYFUNCTION("""COMPUTED_VALUE"""),"L/8/051125/1")</f>
        <v>L/8/051125/1</v>
      </c>
      <c r="C8943" s="42" t="str">
        <f>IFERROR(__xludf.DUMMYFUNCTION("""COMPUTED_VALUE"""),"B NIB. 26077/KETEGUHAN")</f>
        <v>B NIB. 26077/KETEGUHAN</v>
      </c>
      <c r="D8943" s="42" t="str">
        <f>IFERROR(__xludf.DUMMYFUNCTION("""COMPUTED_VALUE"""),"Berry")</f>
        <v>Berry</v>
      </c>
      <c r="E8943" s="42" t="str">
        <f>IFERROR(__xludf.DUMMYFUNCTION("""COMPUTED_VALUE"""),"DISERAHKAN")</f>
        <v>DISERAHKAN</v>
      </c>
      <c r="F8943" s="48">
        <f>IFERROR(__xludf.DUMMYFUNCTION("""COMPUTED_VALUE"""),46020.650900381945)</f>
        <v>46020.6509</v>
      </c>
      <c r="G8943" s="42" t="str">
        <f>IFERROR(__xludf.DUMMYFUNCTION("""COMPUTED_VALUE"""),"PENINGKATAN HAK")</f>
        <v>PENINGKATAN HAK</v>
      </c>
      <c r="H8943" s="42">
        <f t="shared" si="1"/>
        <v>3336</v>
      </c>
    </row>
    <row r="8944" ht="22.5" customHeight="1">
      <c r="B8944" s="42" t="str">
        <f>IFERROR(__xludf.DUMMYFUNCTION("""COMPUTED_VALUE"""),"L/9/051125/2")</f>
        <v>L/9/051125/2</v>
      </c>
      <c r="C8944" s="42" t="str">
        <f>IFERROR(__xludf.DUMMYFUNCTION("""COMPUTED_VALUE"""),"B NIB. 26078/KETEGUHAN")</f>
        <v>B NIB. 26078/KETEGUHAN</v>
      </c>
      <c r="D8944" s="42"/>
      <c r="E8944" s="42"/>
      <c r="F8944" s="48" t="str">
        <f>IFERROR(__xludf.DUMMYFUNCTION("""COMPUTED_VALUE"""),"")</f>
        <v/>
      </c>
      <c r="G8944" s="42" t="str">
        <f>IFERROR(__xludf.DUMMYFUNCTION("""COMPUTED_VALUE"""),"PENINGKATAN HAK")</f>
        <v>PENINGKATAN HAK</v>
      </c>
      <c r="H8944" s="42">
        <f t="shared" si="1"/>
        <v>3336</v>
      </c>
    </row>
    <row r="8945" ht="22.5" customHeight="1">
      <c r="B8945" s="42" t="str">
        <f>IFERROR(__xludf.DUMMYFUNCTION("""COMPUTED_VALUE"""),"L/11/051125/1")</f>
        <v>L/11/051125/1</v>
      </c>
      <c r="C8945" s="42" t="str">
        <f>IFERROR(__xludf.DUMMYFUNCTION("""COMPUTED_VALUE"""),"M. 1669/RAJABASA RAYA")</f>
        <v>M. 1669/RAJABASA RAYA</v>
      </c>
      <c r="D8945" s="42"/>
      <c r="E8945" s="42"/>
      <c r="F8945" s="48" t="str">
        <f>IFERROR(__xludf.DUMMYFUNCTION("""COMPUTED_VALUE"""),"")</f>
        <v/>
      </c>
      <c r="G8945" s="42" t="str">
        <f>IFERROR(__xludf.DUMMYFUNCTION("""COMPUTED_VALUE"""),"HAPUS BPHTB")</f>
        <v>HAPUS BPHTB</v>
      </c>
      <c r="H8945" s="42">
        <f t="shared" si="1"/>
        <v>3336</v>
      </c>
    </row>
    <row r="8946" ht="22.5" customHeight="1">
      <c r="B8946" s="42" t="str">
        <f>IFERROR(__xludf.DUMMYFUNCTION("""COMPUTED_VALUE"""),"L/12/051125/1")</f>
        <v>L/12/051125/1</v>
      </c>
      <c r="C8946" s="42" t="str">
        <f>IFERROR(__xludf.DUMMYFUNCTION("""COMPUTED_VALUE"""),"M. 12324/KEDAMAIAN")</f>
        <v>M. 12324/KEDAMAIAN</v>
      </c>
      <c r="D8946" s="42"/>
      <c r="E8946" s="42"/>
      <c r="F8946" s="48" t="str">
        <f>IFERROR(__xludf.DUMMYFUNCTION("""COMPUTED_VALUE"""),"")</f>
        <v/>
      </c>
      <c r="G8946" s="42" t="str">
        <f>IFERROR(__xludf.DUMMYFUNCTION("""COMPUTED_VALUE"""),"ROYA")</f>
        <v>ROYA</v>
      </c>
      <c r="H8946" s="42">
        <f t="shared" si="1"/>
        <v>3336</v>
      </c>
    </row>
    <row r="8947" ht="22.5" customHeight="1">
      <c r="B8947" s="42" t="str">
        <f>IFERROR(__xludf.DUMMYFUNCTION("""COMPUTED_VALUE"""),"L/13/051125/2")</f>
        <v>L/13/051125/2</v>
      </c>
      <c r="C8947" s="42" t="str">
        <f>IFERROR(__xludf.DUMMYFUNCTION("""COMPUTED_VALUE"""),"B. 4136/SUKABUMI")</f>
        <v>B. 4136/SUKABUMI</v>
      </c>
      <c r="D8947" s="42"/>
      <c r="E8947" s="42"/>
      <c r="F8947" s="48" t="str">
        <f>IFERROR(__xludf.DUMMYFUNCTION("""COMPUTED_VALUE"""),"")</f>
        <v/>
      </c>
      <c r="G8947" s="42" t="str">
        <f>IFERROR(__xludf.DUMMYFUNCTION("""COMPUTED_VALUE"""),"ROYA")</f>
        <v>ROYA</v>
      </c>
      <c r="H8947" s="42">
        <f t="shared" si="1"/>
        <v>3336</v>
      </c>
    </row>
    <row r="8948" ht="22.5" customHeight="1">
      <c r="B8948" s="42" t="str">
        <f>IFERROR(__xludf.DUMMYFUNCTION("""COMPUTED_VALUE"""),"L/14/051125/3")</f>
        <v>L/14/051125/3</v>
      </c>
      <c r="C8948" s="42" t="str">
        <f>IFERROR(__xludf.DUMMYFUNCTION("""COMPUTED_VALUE"""),"M. 12323/KEDAMAIAN")</f>
        <v>M. 12323/KEDAMAIAN</v>
      </c>
      <c r="D8948" s="42"/>
      <c r="E8948" s="42"/>
      <c r="F8948" s="48" t="str">
        <f>IFERROR(__xludf.DUMMYFUNCTION("""COMPUTED_VALUE"""),"")</f>
        <v/>
      </c>
      <c r="G8948" s="42" t="str">
        <f>IFERROR(__xludf.DUMMYFUNCTION("""COMPUTED_VALUE"""),"ROYA")</f>
        <v>ROYA</v>
      </c>
      <c r="H8948" s="42">
        <f t="shared" si="1"/>
        <v>3336</v>
      </c>
    </row>
    <row r="8949" ht="22.5" customHeight="1">
      <c r="B8949" s="42" t="str">
        <f>IFERROR(__xludf.DUMMYFUNCTION("""COMPUTED_VALUE"""),"L/15/051125/4")</f>
        <v>L/15/051125/4</v>
      </c>
      <c r="C8949" s="42" t="str">
        <f>IFERROR(__xludf.DUMMYFUNCTION("""COMPUTED_VALUE"""),"M. 13871 , 13385, 13390/KEDAMAIAN")</f>
        <v>M. 13871 , 13385, 13390/KEDAMAIAN</v>
      </c>
      <c r="D8949" s="42"/>
      <c r="E8949" s="42"/>
      <c r="F8949" s="48" t="str">
        <f>IFERROR(__xludf.DUMMYFUNCTION("""COMPUTED_VALUE"""),"")</f>
        <v/>
      </c>
      <c r="G8949" s="42" t="str">
        <f>IFERROR(__xludf.DUMMYFUNCTION("""COMPUTED_VALUE"""),"ROYA")</f>
        <v>ROYA</v>
      </c>
      <c r="H8949" s="42">
        <f t="shared" si="1"/>
        <v>3336</v>
      </c>
    </row>
    <row r="8950" ht="22.5" customHeight="1">
      <c r="B8950" s="42" t="str">
        <f>IFERROR(__xludf.DUMMYFUNCTION("""COMPUTED_VALUE"""),"K/17/051125/1")</f>
        <v>K/17/051125/1</v>
      </c>
      <c r="C8950" s="42" t="str">
        <f>IFERROR(__xludf.DUMMYFUNCTION("""COMPUTED_VALUE"""),"M. 183/WAY LAGA")</f>
        <v>M. 183/WAY LAGA</v>
      </c>
      <c r="D8950" s="42"/>
      <c r="E8950" s="42"/>
      <c r="F8950" s="48" t="str">
        <f>IFERROR(__xludf.DUMMYFUNCTION("""COMPUTED_VALUE"""),"")</f>
        <v/>
      </c>
      <c r="G8950" s="42" t="str">
        <f>IFERROR(__xludf.DUMMYFUNCTION("""COMPUTED_VALUE"""),"PTPGT")</f>
        <v>PTPGT</v>
      </c>
      <c r="H8950" s="42">
        <f t="shared" si="1"/>
        <v>3336</v>
      </c>
    </row>
    <row r="8951" ht="22.5" customHeight="1">
      <c r="B8951" s="42" t="str">
        <f>IFERROR(__xludf.DUMMYFUNCTION("""COMPUTED_VALUE"""),"K/18/051125/2")</f>
        <v>K/18/051125/2</v>
      </c>
      <c r="C8951" s="42" t="str">
        <f>IFERROR(__xludf.DUMMYFUNCTION("""COMPUTED_VALUE"""),"M. 171/WAY LAGA")</f>
        <v>M. 171/WAY LAGA</v>
      </c>
      <c r="D8951" s="42"/>
      <c r="E8951" s="42"/>
      <c r="F8951" s="48" t="str">
        <f>IFERROR(__xludf.DUMMYFUNCTION("""COMPUTED_VALUE"""),"")</f>
        <v/>
      </c>
      <c r="G8951" s="42" t="str">
        <f>IFERROR(__xludf.DUMMYFUNCTION("""COMPUTED_VALUE"""),"PTPGT")</f>
        <v>PTPGT</v>
      </c>
      <c r="H8951" s="42">
        <f t="shared" si="1"/>
        <v>3336</v>
      </c>
    </row>
    <row r="8952" ht="22.5" customHeight="1">
      <c r="B8952" s="42" t="str">
        <f>IFERROR(__xludf.DUMMYFUNCTION("""COMPUTED_VALUE"""),"L/16/051125/1")</f>
        <v>L/16/051125/1</v>
      </c>
      <c r="C8952" s="42" t="str">
        <f>IFERROR(__xludf.DUMMYFUNCTION("""COMPUTED_VALUE"""),"M. 11019/JAGABAYA II")</f>
        <v>M. 11019/JAGABAYA II</v>
      </c>
      <c r="D8952" s="42"/>
      <c r="E8952" s="42"/>
      <c r="F8952" s="48" t="str">
        <f>IFERROR(__xludf.DUMMYFUNCTION("""COMPUTED_VALUE"""),"")</f>
        <v/>
      </c>
      <c r="G8952" s="42" t="str">
        <f>IFERROR(__xludf.DUMMYFUNCTION("""COMPUTED_VALUE"""),"ROYA")</f>
        <v>ROYA</v>
      </c>
      <c r="H8952" s="42">
        <f t="shared" si="1"/>
        <v>3336</v>
      </c>
    </row>
    <row r="8953" ht="22.5" customHeight="1">
      <c r="B8953" s="42" t="str">
        <f>IFERROR(__xludf.DUMMYFUNCTION("""COMPUTED_VALUE"""),"L/19/051125/1")</f>
        <v>L/19/051125/1</v>
      </c>
      <c r="C8953" s="42" t="str">
        <f>IFERROR(__xludf.DUMMYFUNCTION("""COMPUTED_VALUE"""),"M. 4084/WAY KANDIS")</f>
        <v>M. 4084/WAY KANDIS</v>
      </c>
      <c r="D8953" s="42"/>
      <c r="E8953" s="42"/>
      <c r="F8953" s="48" t="str">
        <f>IFERROR(__xludf.DUMMYFUNCTION("""COMPUTED_VALUE"""),"")</f>
        <v/>
      </c>
      <c r="G8953" s="42" t="str">
        <f>IFERROR(__xludf.DUMMYFUNCTION("""COMPUTED_VALUE"""),"HAPUS BPHTB")</f>
        <v>HAPUS BPHTB</v>
      </c>
      <c r="H8953" s="42">
        <f t="shared" si="1"/>
        <v>3336</v>
      </c>
    </row>
    <row r="8954" ht="22.5" customHeight="1">
      <c r="B8954" s="42" t="str">
        <f>IFERROR(__xludf.DUMMYFUNCTION("""COMPUTED_VALUE"""),"ABXMSXEZ/AB051")</f>
        <v>ABXMSXEZ/AB051</v>
      </c>
      <c r="C8954" s="42" t="str">
        <f>IFERROR(__xludf.DUMMYFUNCTION("""COMPUTED_VALUE"""),"B.773/kedamaian")</f>
        <v>B.773/kedamaian</v>
      </c>
      <c r="D8954" s="42"/>
      <c r="E8954" s="42"/>
      <c r="F8954" s="48" t="str">
        <f>IFERROR(__xludf.DUMMYFUNCTION("""COMPUTED_VALUE"""),"")</f>
        <v/>
      </c>
      <c r="G8954" s="42" t="str">
        <f>IFERROR(__xludf.DUMMYFUNCTION("""COMPUTED_VALUE"""),"Balik nama jual beli")</f>
        <v>Balik nama jual beli</v>
      </c>
      <c r="H8954" s="42">
        <f t="shared" si="1"/>
        <v>3336</v>
      </c>
    </row>
    <row r="8955" ht="22.5" customHeight="1">
      <c r="B8955" s="42" t="str">
        <f>IFERROR(__xludf.DUMMYFUNCTION("""COMPUTED_VALUE""")," ABJBKYCF")</f>
        <v> ABJBKYCF</v>
      </c>
      <c r="C8955" s="42" t="str">
        <f>IFERROR(__xludf.DUMMYFUNCTION("""COMPUTED_VALUE"""),"NIBEL M 08.01.000025581/ Sukadana ham")</f>
        <v>NIBEL M 08.01.000025581/ Sukadana ham</v>
      </c>
      <c r="D8955" s="42"/>
      <c r="E8955" s="42"/>
      <c r="F8955" s="48" t="str">
        <f>IFERROR(__xludf.DUMMYFUNCTION("""COMPUTED_VALUE"""),"")</f>
        <v/>
      </c>
      <c r="G8955" s="42" t="str">
        <f>IFERROR(__xludf.DUMMYFUNCTION("""COMPUTED_VALUE"""),"Balik Nama Lelang")</f>
        <v>Balik Nama Lelang</v>
      </c>
      <c r="H8955" s="42">
        <f t="shared" si="1"/>
        <v>3336</v>
      </c>
    </row>
    <row r="8956" ht="22.5" customHeight="1">
      <c r="B8956" s="42" t="str">
        <f>IFERROR(__xludf.DUMMYFUNCTION("""COMPUTED_VALUE"""),"ABNMQORM")</f>
        <v>ABNMQORM</v>
      </c>
      <c r="C8956" s="42" t="str">
        <f>IFERROR(__xludf.DUMMYFUNCTION("""COMPUTED_VALUE"""),"M 18491 bumi kedamaian ")</f>
        <v>M 18491 bumi kedamaian </v>
      </c>
      <c r="D8956" s="42"/>
      <c r="E8956" s="42"/>
      <c r="F8956" s="48" t="str">
        <f>IFERROR(__xludf.DUMMYFUNCTION("""COMPUTED_VALUE"""),"")</f>
        <v/>
      </c>
      <c r="G8956" s="42" t="str">
        <f>IFERROR(__xludf.DUMMYFUNCTION("""COMPUTED_VALUE"""),"Aphb")</f>
        <v>Aphb</v>
      </c>
      <c r="H8956" s="42">
        <f t="shared" si="1"/>
        <v>3336</v>
      </c>
    </row>
    <row r="8957" ht="22.5" customHeight="1">
      <c r="B8957" s="42" t="str">
        <f>IFERROR(__xludf.DUMMYFUNCTION("""COMPUTED_VALUE"""),"ABXTUYAK/ab079")</f>
        <v>ABXTUYAK/ab079</v>
      </c>
      <c r="C8957" s="42" t="str">
        <f>IFERROR(__xludf.DUMMYFUNCTION("""COMPUTED_VALUE"""),"B. 5149/Beringin Raya")</f>
        <v>B. 5149/Beringin Raya</v>
      </c>
      <c r="D8957" s="42"/>
      <c r="E8957" s="42"/>
      <c r="F8957" s="48" t="str">
        <f>IFERROR(__xludf.DUMMYFUNCTION("""COMPUTED_VALUE"""),"")</f>
        <v/>
      </c>
      <c r="G8957" s="42" t="str">
        <f>IFERROR(__xludf.DUMMYFUNCTION("""COMPUTED_VALUE"""),"Bn jual beli ")</f>
        <v>Bn jual beli </v>
      </c>
      <c r="H8957" s="42">
        <f t="shared" si="1"/>
        <v>3336</v>
      </c>
    </row>
    <row r="8958" ht="22.5" customHeight="1">
      <c r="B8958" s="42" t="str">
        <f>IFERROR(__xludf.DUMMYFUNCTION("""COMPUTED_VALUE"""),"ABNYZKVR/Ab079")</f>
        <v>ABNYZKVR/Ab079</v>
      </c>
      <c r="C8958" s="42" t="str">
        <f>IFERROR(__xludf.DUMMYFUNCTION("""COMPUTED_VALUE"""),"M 7747/Segala Mider")</f>
        <v>M 7747/Segala Mider</v>
      </c>
      <c r="D8958" s="42"/>
      <c r="E8958" s="42"/>
      <c r="F8958" s="48" t="str">
        <f>IFERROR(__xludf.DUMMYFUNCTION("""COMPUTED_VALUE"""),"")</f>
        <v/>
      </c>
      <c r="G8958" s="42" t="str">
        <f>IFERROR(__xludf.DUMMYFUNCTION("""COMPUTED_VALUE"""),"Roya")</f>
        <v>Roya</v>
      </c>
      <c r="H8958" s="42">
        <f t="shared" si="1"/>
        <v>3336</v>
      </c>
    </row>
    <row r="8959" ht="22.5" customHeight="1">
      <c r="B8959" s="42" t="str">
        <f>IFERROR(__xludf.DUMMYFUNCTION("""COMPUTED_VALUE"""),"ABKPPEG")</f>
        <v>ABKPPEG</v>
      </c>
      <c r="C8959" s="42" t="str">
        <f>IFERROR(__xludf.DUMMYFUNCTION("""COMPUTED_VALUE"""),"SHM. 02294")</f>
        <v>SHM. 02294</v>
      </c>
      <c r="D8959" s="42"/>
      <c r="E8959" s="42"/>
      <c r="F8959" s="48" t="str">
        <f>IFERROR(__xludf.DUMMYFUNCTION("""COMPUTED_VALUE"""),"")</f>
        <v/>
      </c>
      <c r="G8959" s="42" t="str">
        <f>IFERROR(__xludf.DUMMYFUNCTION("""COMPUTED_VALUE"""),"Ganti Nama sertipikat")</f>
        <v>Ganti Nama sertipikat</v>
      </c>
      <c r="H8959" s="42">
        <f t="shared" si="1"/>
        <v>3336</v>
      </c>
    </row>
    <row r="8960" ht="22.5" customHeight="1">
      <c r="B8960" s="42" t="str">
        <f>IFERROR(__xludf.DUMMYFUNCTION("""COMPUTED_VALUE"""),"ABKQPEG")</f>
        <v>ABKQPEG</v>
      </c>
      <c r="C8960" s="42" t="str">
        <f>IFERROR(__xludf.DUMMYFUNCTION("""COMPUTED_VALUE"""),"Shgb 644")</f>
        <v>Shgb 644</v>
      </c>
      <c r="D8960" s="42"/>
      <c r="E8960" s="42"/>
      <c r="F8960" s="48" t="str">
        <f>IFERROR(__xludf.DUMMYFUNCTION("""COMPUTED_VALUE"""),"")</f>
        <v/>
      </c>
      <c r="G8960" s="42" t="str">
        <f>IFERROR(__xludf.DUMMYFUNCTION("""COMPUTED_VALUE"""),"Plot Nib")</f>
        <v>Plot Nib</v>
      </c>
      <c r="H8960" s="42">
        <f t="shared" si="1"/>
        <v>3336</v>
      </c>
    </row>
    <row r="8961" ht="22.5" customHeight="1">
      <c r="B8961" s="42" t="str">
        <f>IFERROR(__xludf.DUMMYFUNCTION("""COMPUTED_VALUE"""),"ABDILDSI/1")</f>
        <v>ABDILDSI/1</v>
      </c>
      <c r="C8961" s="42" t="str">
        <f>IFERROR(__xludf.DUMMYFUNCTION("""COMPUTED_VALUE"""),"1793/CAMPANG RAYA")</f>
        <v>1793/CAMPANG RAYA</v>
      </c>
      <c r="D8961" s="42"/>
      <c r="E8961" s="42"/>
      <c r="F8961" s="48" t="str">
        <f>IFERROR(__xludf.DUMMYFUNCTION("""COMPUTED_VALUE"""),"")</f>
        <v/>
      </c>
      <c r="G8961" s="42" t="str">
        <f>IFERROR(__xludf.DUMMYFUNCTION("""COMPUTED_VALUE"""),"ROYA")</f>
        <v>ROYA</v>
      </c>
      <c r="H8961" s="42">
        <f t="shared" si="1"/>
        <v>3336</v>
      </c>
    </row>
    <row r="8962" ht="22.5" customHeight="1">
      <c r="B8962" s="42" t="str">
        <f>IFERROR(__xludf.DUMMYFUNCTION("""COMPUTED_VALUE"""),"ABADHFIV/1")</f>
        <v>ABADHFIV/1</v>
      </c>
      <c r="C8962" s="42" t="str">
        <f>IFERROR(__xludf.DUMMYFUNCTION("""COMPUTED_VALUE"""),"08.01.000021401.0/ KEDATON")</f>
        <v>08.01.000021401.0/ KEDATON</v>
      </c>
      <c r="D8962" s="42"/>
      <c r="E8962" s="42"/>
      <c r="F8962" s="48" t="str">
        <f>IFERROR(__xludf.DUMMYFUNCTION("""COMPUTED_VALUE"""),"")</f>
        <v/>
      </c>
      <c r="G8962" s="42" t="str">
        <f>IFERROR(__xludf.DUMMYFUNCTION("""COMPUTED_VALUE"""),"BN Jual Beli")</f>
        <v>BN Jual Beli</v>
      </c>
      <c r="H8962" s="42">
        <f t="shared" si="1"/>
        <v>3336</v>
      </c>
    </row>
    <row r="8963" ht="22.5" customHeight="1">
      <c r="B8963" s="42" t="str">
        <f>IFERROR(__xludf.DUMMYFUNCTION("""COMPUTED_VALUE"""),"ABPSMTES/AB073")</f>
        <v>ABPSMTES/AB073</v>
      </c>
      <c r="C8963" s="42" t="str">
        <f>IFERROR(__xludf.DUMMYFUNCTION("""COMPUTED_VALUE"""),"M. Nibel 24593/Beringin Raya")</f>
        <v>M. Nibel 24593/Beringin Raya</v>
      </c>
      <c r="D8963" s="42"/>
      <c r="E8963" s="42"/>
      <c r="F8963" s="48" t="str">
        <f>IFERROR(__xludf.DUMMYFUNCTION("""COMPUTED_VALUE"""),"")</f>
        <v/>
      </c>
      <c r="G8963" s="42" t="str">
        <f>IFERROR(__xludf.DUMMYFUNCTION("""COMPUTED_VALUE"""),"BN Jual Beli")</f>
        <v>BN Jual Beli</v>
      </c>
      <c r="H8963" s="42">
        <f t="shared" si="1"/>
        <v>3336</v>
      </c>
    </row>
    <row r="8964" ht="22.5" customHeight="1">
      <c r="B8964" s="42" t="str">
        <f>IFERROR(__xludf.DUMMYFUNCTION("""COMPUTED_VALUE"""),"ABYNACHF/1")</f>
        <v>ABYNACHF/1</v>
      </c>
      <c r="C8964" s="42" t="str">
        <f>IFERROR(__xludf.DUMMYFUNCTION("""COMPUTED_VALUE"""),"08.01.000021323.0/KEDATON")</f>
        <v>08.01.000021323.0/KEDATON</v>
      </c>
      <c r="D8964" s="42"/>
      <c r="E8964" s="42"/>
      <c r="F8964" s="48" t="str">
        <f>IFERROR(__xludf.DUMMYFUNCTION("""COMPUTED_VALUE"""),"")</f>
        <v/>
      </c>
      <c r="G8964" s="42" t="str">
        <f>IFERROR(__xludf.DUMMYFUNCTION("""COMPUTED_VALUE"""),"BN Jual Beli")</f>
        <v>BN Jual Beli</v>
      </c>
      <c r="H8964" s="42">
        <f t="shared" si="1"/>
        <v>3336</v>
      </c>
    </row>
    <row r="8965" ht="22.5" customHeight="1">
      <c r="B8965" s="42" t="str">
        <f>IFERROR(__xludf.DUMMYFUNCTION("""COMPUTED_VALUE"""),"Ab021/ABXCYQRP")</f>
        <v>Ab021/ABXCYQRP</v>
      </c>
      <c r="C8965" s="42" t="str">
        <f>IFERROR(__xludf.DUMMYFUNCTION("""COMPUTED_VALUE"""),"SHM no 2775/Beringin Raya")</f>
        <v>SHM no 2775/Beringin Raya</v>
      </c>
      <c r="D8965" s="42"/>
      <c r="E8965" s="42"/>
      <c r="F8965" s="48" t="str">
        <f>IFERROR(__xludf.DUMMYFUNCTION("""COMPUTED_VALUE"""),"")</f>
        <v/>
      </c>
      <c r="G8965" s="42" t="str">
        <f>IFERROR(__xludf.DUMMYFUNCTION("""COMPUTED_VALUE"""),"Roya")</f>
        <v>Roya</v>
      </c>
      <c r="H8965" s="42">
        <f t="shared" si="1"/>
        <v>3336</v>
      </c>
    </row>
    <row r="8966" ht="22.5" customHeight="1">
      <c r="B8966" s="42" t="str">
        <f>IFERROR(__xludf.DUMMYFUNCTION("""COMPUTED_VALUE"""),"ABGRJQEO")</f>
        <v>ABGRJQEO</v>
      </c>
      <c r="C8966" s="42" t="str">
        <f>IFERROR(__xludf.DUMMYFUNCTION("""COMPUTED_VALUE"""),"1793 kep gedong air tanjung karang barat")</f>
        <v>1793 kep gedong air tanjung karang barat</v>
      </c>
      <c r="D8966" s="42"/>
      <c r="E8966" s="42"/>
      <c r="F8966" s="48" t="str">
        <f>IFERROR(__xludf.DUMMYFUNCTION("""COMPUTED_VALUE"""),"")</f>
        <v/>
      </c>
      <c r="G8966" s="42" t="str">
        <f>IFERROR(__xludf.DUMMYFUNCTION("""COMPUTED_VALUE"""),"balik nama")</f>
        <v>balik nama</v>
      </c>
      <c r="H8966" s="42">
        <f t="shared" si="1"/>
        <v>3336</v>
      </c>
    </row>
    <row r="8967" ht="22.5" customHeight="1">
      <c r="B8967" s="42" t="str">
        <f>IFERROR(__xludf.DUMMYFUNCTION("""COMPUTED_VALUE"""),"L/21/051125/1")</f>
        <v>L/21/051125/1</v>
      </c>
      <c r="C8967" s="42" t="str">
        <f>IFERROR(__xludf.DUMMYFUNCTION("""COMPUTED_VALUE"""),"M. 13286/SEGALA MIDER")</f>
        <v>M. 13286/SEGALA MIDER</v>
      </c>
      <c r="D8967" s="42"/>
      <c r="E8967" s="42"/>
      <c r="F8967" s="48" t="str">
        <f>IFERROR(__xludf.DUMMYFUNCTION("""COMPUTED_VALUE"""),"")</f>
        <v/>
      </c>
      <c r="G8967" s="42" t="str">
        <f>IFERROR(__xludf.DUMMYFUNCTION("""COMPUTED_VALUE"""),"ROYA")</f>
        <v>ROYA</v>
      </c>
      <c r="H8967" s="42">
        <f t="shared" si="1"/>
        <v>3336</v>
      </c>
    </row>
    <row r="8968" ht="22.5" customHeight="1">
      <c r="B8968" s="42" t="str">
        <f>IFERROR(__xludf.DUMMYFUNCTION("""COMPUTED_VALUE"""),"ABRUVFSE")</f>
        <v>ABRUVFSE</v>
      </c>
      <c r="C8968" s="42" t="str">
        <f>IFERROR(__xludf.DUMMYFUNCTION("""COMPUTED_VALUE"""),"B 5652/ BERINGIN RAYA")</f>
        <v>B 5652/ BERINGIN RAYA</v>
      </c>
      <c r="D8968" s="42"/>
      <c r="E8968" s="42"/>
      <c r="F8968" s="48" t="str">
        <f>IFERROR(__xludf.DUMMYFUNCTION("""COMPUTED_VALUE"""),"")</f>
        <v/>
      </c>
      <c r="G8968" s="42" t="str">
        <f>IFERROR(__xludf.DUMMYFUNCTION("""COMPUTED_VALUE"""),"BN JUAL BELI")</f>
        <v>BN JUAL BELI</v>
      </c>
      <c r="H8968" s="42">
        <f t="shared" si="1"/>
        <v>3336</v>
      </c>
    </row>
    <row r="8969" ht="22.5" customHeight="1">
      <c r="B8969" s="42" t="str">
        <f>IFERROR(__xludf.DUMMYFUNCTION("""COMPUTED_VALUE"""),"ABKEQERV")</f>
        <v>ABKEQERV</v>
      </c>
      <c r="C8969" s="42" t="str">
        <f>IFERROR(__xludf.DUMMYFUNCTION("""COMPUTED_VALUE"""),"M 479/ Sumur putri ")</f>
        <v>M 479/ Sumur putri </v>
      </c>
      <c r="D8969" s="42"/>
      <c r="E8969" s="42"/>
      <c r="F8969" s="48" t="str">
        <f>IFERROR(__xludf.DUMMYFUNCTION("""COMPUTED_VALUE"""),"")</f>
        <v/>
      </c>
      <c r="G8969" s="42" t="str">
        <f>IFERROR(__xludf.DUMMYFUNCTION("""COMPUTED_VALUE"""),"Balik Nama lelang")</f>
        <v>Balik Nama lelang</v>
      </c>
      <c r="H8969" s="42">
        <f t="shared" si="1"/>
        <v>3336</v>
      </c>
    </row>
    <row r="8970" ht="22.5" customHeight="1">
      <c r="B8970" s="42" t="str">
        <f>IFERROR(__xludf.DUMMYFUNCTION("""COMPUTED_VALUE"""),"ABMOJQJO/1")</f>
        <v>ABMOJQJO/1</v>
      </c>
      <c r="C8970" s="42" t="str">
        <f>IFERROR(__xludf.DUMMYFUNCTION("""COMPUTED_VALUE"""),"M 1695/ sumur putri")</f>
        <v>M 1695/ sumur putri</v>
      </c>
      <c r="D8970" s="42"/>
      <c r="E8970" s="42"/>
      <c r="F8970" s="48" t="str">
        <f>IFERROR(__xludf.DUMMYFUNCTION("""COMPUTED_VALUE"""),"")</f>
        <v/>
      </c>
      <c r="G8970" s="42" t="str">
        <f>IFERROR(__xludf.DUMMYFUNCTION("""COMPUTED_VALUE"""),"Balik Nama Lelang")</f>
        <v>Balik Nama Lelang</v>
      </c>
      <c r="H8970" s="42">
        <f t="shared" si="1"/>
        <v>3336</v>
      </c>
    </row>
    <row r="8971" ht="22.5" customHeight="1">
      <c r="B8971" s="42" t="str">
        <f>IFERROR(__xludf.DUMMYFUNCTION("""COMPUTED_VALUE"""),"ABBFSIEK/1")</f>
        <v>ABBFSIEK/1</v>
      </c>
      <c r="C8971" s="42" t="str">
        <f>IFERROR(__xludf.DUMMYFUNCTION("""COMPUTED_VALUE"""),"M 1072/ Kedaung")</f>
        <v>M 1072/ Kedaung</v>
      </c>
      <c r="D8971" s="42"/>
      <c r="E8971" s="42"/>
      <c r="F8971" s="48" t="str">
        <f>IFERROR(__xludf.DUMMYFUNCTION("""COMPUTED_VALUE"""),"")</f>
        <v/>
      </c>
      <c r="G8971" s="42" t="str">
        <f>IFERROR(__xludf.DUMMYFUNCTION("""COMPUTED_VALUE"""),"Balik Nama Jual Beli")</f>
        <v>Balik Nama Jual Beli</v>
      </c>
      <c r="H8971" s="42">
        <f t="shared" si="1"/>
        <v>3336</v>
      </c>
    </row>
    <row r="8972" ht="22.5" customHeight="1">
      <c r="B8972" s="42" t="str">
        <f>IFERROR(__xludf.DUMMYFUNCTION("""COMPUTED_VALUE"""),"ABJJTFES/AB078")</f>
        <v>ABJJTFES/AB078</v>
      </c>
      <c r="C8972" s="42" t="str">
        <f>IFERROR(__xludf.DUMMYFUNCTION("""COMPUTED_VALUE"""),"M 2627/Sukarame II")</f>
        <v>M 2627/Sukarame II</v>
      </c>
      <c r="D8972" s="42"/>
      <c r="E8972" s="42"/>
      <c r="F8972" s="48" t="str">
        <f>IFERROR(__xludf.DUMMYFUNCTION("""COMPUTED_VALUE"""),"")</f>
        <v/>
      </c>
      <c r="G8972" s="42" t="str">
        <f>IFERROR(__xludf.DUMMYFUNCTION("""COMPUTED_VALUE"""),"Balik Nama Jual Beli")</f>
        <v>Balik Nama Jual Beli</v>
      </c>
      <c r="H8972" s="42">
        <f t="shared" si="1"/>
        <v>3336</v>
      </c>
    </row>
    <row r="8973" ht="22.5" customHeight="1">
      <c r="B8973" s="42" t="str">
        <f>IFERROR(__xludf.DUMMYFUNCTION("""COMPUTED_VALUE"""),"K/20/051125/1")</f>
        <v>K/20/051125/1</v>
      </c>
      <c r="C8973" s="42" t="str">
        <f>IFERROR(__xludf.DUMMYFUNCTION("""COMPUTED_VALUE"""),"B.239/SURABAYA")</f>
        <v>B.239/SURABAYA</v>
      </c>
      <c r="D8973" s="42"/>
      <c r="E8973" s="42"/>
      <c r="F8973" s="48" t="str">
        <f>IFERROR(__xludf.DUMMYFUNCTION("""COMPUTED_VALUE"""),"")</f>
        <v/>
      </c>
      <c r="G8973" s="42" t="str">
        <f>IFERROR(__xludf.DUMMYFUNCTION("""COMPUTED_VALUE"""),"PTPGT")</f>
        <v>PTPGT</v>
      </c>
      <c r="H8973" s="42">
        <f t="shared" si="1"/>
        <v>3336</v>
      </c>
    </row>
    <row r="8974" ht="22.5" customHeight="1">
      <c r="B8974" s="42" t="str">
        <f>IFERROR(__xludf.DUMMYFUNCTION("""COMPUTED_VALUE"""),"ABXXOJJH")</f>
        <v>ABXXOJJH</v>
      </c>
      <c r="C8974" s="42" t="str">
        <f>IFERROR(__xludf.DUMMYFUNCTION("""COMPUTED_VALUE"""),"M 12875/ BERINGIN RAYA")</f>
        <v>M 12875/ BERINGIN RAYA</v>
      </c>
      <c r="D8974" s="42"/>
      <c r="E8974" s="42"/>
      <c r="F8974" s="48" t="str">
        <f>IFERROR(__xludf.DUMMYFUNCTION("""COMPUTED_VALUE"""),"")</f>
        <v/>
      </c>
      <c r="G8974" s="42" t="str">
        <f>IFERROR(__xludf.DUMMYFUNCTION("""COMPUTED_VALUE"""),"BN HIBAH")</f>
        <v>BN HIBAH</v>
      </c>
      <c r="H8974" s="42">
        <f t="shared" si="1"/>
        <v>3336</v>
      </c>
    </row>
    <row r="8975" ht="22.5" customHeight="1">
      <c r="B8975" s="42" t="str">
        <f>IFERROR(__xludf.DUMMYFUNCTION("""COMPUTED_VALUE"""),"ABRPHYEG")</f>
        <v>ABRPHYEG</v>
      </c>
      <c r="C8975" s="42" t="str">
        <f>IFERROR(__xludf.DUMMYFUNCTION("""COMPUTED_VALUE"""),"M 775/ KORPRI JAYA")</f>
        <v>M 775/ KORPRI JAYA</v>
      </c>
      <c r="D8975" s="42"/>
      <c r="E8975" s="42"/>
      <c r="F8975" s="48" t="str">
        <f>IFERROR(__xludf.DUMMYFUNCTION("""COMPUTED_VALUE"""),"")</f>
        <v/>
      </c>
      <c r="G8975" s="42" t="str">
        <f>IFERROR(__xludf.DUMMYFUNCTION("""COMPUTED_VALUE"""),"BN JUAL BELI")</f>
        <v>BN JUAL BELI</v>
      </c>
      <c r="H8975" s="42">
        <f t="shared" si="1"/>
        <v>3336</v>
      </c>
    </row>
    <row r="8976" ht="22.5" customHeight="1">
      <c r="B8976" s="42" t="str">
        <f>IFERROR(__xludf.DUMMYFUNCTION("""COMPUTED_VALUE"""),"K/22/051125/1")</f>
        <v>K/22/051125/1</v>
      </c>
      <c r="C8976" s="42" t="str">
        <f>IFERROR(__xludf.DUMMYFUNCTION("""COMPUTED_VALUE"""),"B.1521/SUKABUMI")</f>
        <v>B.1521/SUKABUMI</v>
      </c>
      <c r="D8976" s="42"/>
      <c r="E8976" s="42"/>
      <c r="F8976" s="48" t="str">
        <f>IFERROR(__xludf.DUMMYFUNCTION("""COMPUTED_VALUE"""),"")</f>
        <v/>
      </c>
      <c r="G8976" s="42" t="str">
        <f>IFERROR(__xludf.DUMMYFUNCTION("""COMPUTED_VALUE"""),"PENGUKURAN HGB MATI")</f>
        <v>PENGUKURAN HGB MATI</v>
      </c>
      <c r="H8976" s="42">
        <f t="shared" si="1"/>
        <v>3336</v>
      </c>
    </row>
    <row r="8977" ht="22.5" customHeight="1">
      <c r="B8977" s="42" t="str">
        <f>IFERROR(__xludf.DUMMYFUNCTION("""COMPUTED_VALUE"""),"K/23/051125/1")</f>
        <v>K/23/051125/1</v>
      </c>
      <c r="C8977" s="42" t="str">
        <f>IFERROR(__xludf.DUMMYFUNCTION("""COMPUTED_VALUE"""),"M. 949/LABUHAN RATU RAYA")</f>
        <v>M. 949/LABUHAN RATU RAYA</v>
      </c>
      <c r="D8977" s="42"/>
      <c r="E8977" s="42"/>
      <c r="F8977" s="48" t="str">
        <f>IFERROR(__xludf.DUMMYFUNCTION("""COMPUTED_VALUE"""),"")</f>
        <v/>
      </c>
      <c r="G8977" s="42" t="str">
        <f>IFERROR(__xludf.DUMMYFUNCTION("""COMPUTED_VALUE"""),"HAPUS BPHTB")</f>
        <v>HAPUS BPHTB</v>
      </c>
      <c r="H8977" s="42">
        <f t="shared" si="1"/>
        <v>3336</v>
      </c>
    </row>
    <row r="8978" ht="22.5" customHeight="1">
      <c r="B8978" s="42" t="str">
        <f>IFERROR(__xludf.DUMMYFUNCTION("""COMPUTED_VALUE"""),"ABAQESPA/AB079")</f>
        <v>ABAQESPA/AB079</v>
      </c>
      <c r="C8978" s="42" t="str">
        <f>IFERROR(__xludf.DUMMYFUNCTION("""COMPUTED_VALUE"""),"M. NIBEL 25374/Kota Karang")</f>
        <v>M. NIBEL 25374/Kota Karang</v>
      </c>
      <c r="D8978" s="42"/>
      <c r="E8978" s="42"/>
      <c r="F8978" s="48" t="str">
        <f>IFERROR(__xludf.DUMMYFUNCTION("""COMPUTED_VALUE"""),"")</f>
        <v/>
      </c>
      <c r="G8978" s="42" t="str">
        <f>IFERROR(__xludf.DUMMYFUNCTION("""COMPUTED_VALUE"""),"BN JUAL BELI")</f>
        <v>BN JUAL BELI</v>
      </c>
      <c r="H8978" s="42">
        <f t="shared" si="1"/>
        <v>3336</v>
      </c>
    </row>
    <row r="8979" ht="22.5" customHeight="1">
      <c r="B8979" s="42" t="str">
        <f>IFERROR(__xludf.DUMMYFUNCTION("""COMPUTED_VALUE"""),"K/24/051125/1")</f>
        <v>K/24/051125/1</v>
      </c>
      <c r="C8979" s="42" t="str">
        <f>IFERROR(__xludf.DUMMYFUNCTION("""COMPUTED_VALUE"""),"M. 1717/BATU PUTUK")</f>
        <v>M. 1717/BATU PUTUK</v>
      </c>
      <c r="D8979" s="42"/>
      <c r="E8979" s="42"/>
      <c r="F8979" s="48" t="str">
        <f>IFERROR(__xludf.DUMMYFUNCTION("""COMPUTED_VALUE"""),"")</f>
        <v/>
      </c>
      <c r="G8979" s="42" t="str">
        <f>IFERROR(__xludf.DUMMYFUNCTION("""COMPUTED_VALUE"""),"PEMECAHAN")</f>
        <v>PEMECAHAN</v>
      </c>
      <c r="H8979" s="42">
        <f t="shared" si="1"/>
        <v>3336</v>
      </c>
    </row>
    <row r="8980" ht="22.5" customHeight="1">
      <c r="B8980" s="42" t="str">
        <f>IFERROR(__xludf.DUMMYFUNCTION("""COMPUTED_VALUE"""),"ABRBRYEZ")</f>
        <v>ABRBRYEZ</v>
      </c>
      <c r="C8980" s="42" t="str">
        <f>IFERROR(__xludf.DUMMYFUNCTION("""COMPUTED_VALUE"""),"315/SUKAJAWA")</f>
        <v>315/SUKAJAWA</v>
      </c>
      <c r="D8980" s="42"/>
      <c r="E8980" s="42"/>
      <c r="F8980" s="48" t="str">
        <f>IFERROR(__xludf.DUMMYFUNCTION("""COMPUTED_VALUE"""),"")</f>
        <v/>
      </c>
      <c r="G8980" s="42" t="str">
        <f>IFERROR(__xludf.DUMMYFUNCTION("""COMPUTED_VALUE"""),"PERALIHAN HAK")</f>
        <v>PERALIHAN HAK</v>
      </c>
      <c r="H8980" s="42">
        <f t="shared" si="1"/>
        <v>3336</v>
      </c>
    </row>
    <row r="8981" ht="22.5" customHeight="1">
      <c r="B8981" s="42" t="str">
        <f>IFERROR(__xludf.DUMMYFUNCTION("""COMPUTED_VALUE"""),"ABVAIADK")</f>
        <v>ABVAIADK</v>
      </c>
      <c r="C8981" s="42" t="str">
        <f>IFERROR(__xludf.DUMMYFUNCTION("""COMPUTED_VALUE"""),"NIBEL 08.01.000025375.0")</f>
        <v>NIBEL 08.01.000025375.0</v>
      </c>
      <c r="D8981" s="42"/>
      <c r="E8981" s="42"/>
      <c r="F8981" s="48" t="str">
        <f>IFERROR(__xludf.DUMMYFUNCTION("""COMPUTED_VALUE"""),"")</f>
        <v/>
      </c>
      <c r="G8981" s="42" t="str">
        <f>IFERROR(__xludf.DUMMYFUNCTION("""COMPUTED_VALUE"""),"PERALIHAN HAK")</f>
        <v>PERALIHAN HAK</v>
      </c>
      <c r="H8981" s="42">
        <f t="shared" si="1"/>
        <v>3336</v>
      </c>
    </row>
    <row r="8982" ht="22.5" customHeight="1">
      <c r="B8982" s="42" t="str">
        <f>IFERROR(__xludf.DUMMYFUNCTION("""COMPUTED_VALUE"""),"L/2/061125/1")</f>
        <v>L/2/061125/1</v>
      </c>
      <c r="C8982" s="42" t="str">
        <f>IFERROR(__xludf.DUMMYFUNCTION("""COMPUTED_VALUE"""),"M. 1069/NEGERI OLOK GADING")</f>
        <v>M. 1069/NEGERI OLOK GADING</v>
      </c>
      <c r="D8982" s="42"/>
      <c r="E8982" s="42"/>
      <c r="F8982" s="48" t="str">
        <f>IFERROR(__xludf.DUMMYFUNCTION("""COMPUTED_VALUE"""),"")</f>
        <v/>
      </c>
      <c r="G8982" s="42" t="str">
        <f>IFERROR(__xludf.DUMMYFUNCTION("""COMPUTED_VALUE"""),"ROYA")</f>
        <v>ROYA</v>
      </c>
      <c r="H8982" s="42">
        <f t="shared" si="1"/>
        <v>3336</v>
      </c>
    </row>
    <row r="8983" ht="22.5" customHeight="1">
      <c r="B8983" s="42" t="str">
        <f>IFERROR(__xludf.DUMMYFUNCTION("""COMPUTED_VALUE"""),"L/3/061125/1")</f>
        <v>L/3/061125/1</v>
      </c>
      <c r="C8983" s="42" t="str">
        <f>IFERROR(__xludf.DUMMYFUNCTION("""COMPUTED_VALUE"""),"M. 1386/GOTONG ROYONG")</f>
        <v>M. 1386/GOTONG ROYONG</v>
      </c>
      <c r="D8983" s="42" t="str">
        <f>IFERROR(__xludf.DUMMYFUNCTION("""COMPUTED_VALUE"""),"Berry")</f>
        <v>Berry</v>
      </c>
      <c r="E8983" s="42" t="str">
        <f>IFERROR(__xludf.DUMMYFUNCTION("""COMPUTED_VALUE"""),"DISERAHKAN")</f>
        <v>DISERAHKAN</v>
      </c>
      <c r="F8983" s="48">
        <f>IFERROR(__xludf.DUMMYFUNCTION("""COMPUTED_VALUE"""),46020.6522706713)</f>
        <v>46020.65227</v>
      </c>
      <c r="G8983" s="42" t="str">
        <f>IFERROR(__xludf.DUMMYFUNCTION("""COMPUTED_VALUE"""),"ANGKAT SITA")</f>
        <v>ANGKAT SITA</v>
      </c>
      <c r="H8983" s="42">
        <f t="shared" si="1"/>
        <v>3337</v>
      </c>
    </row>
    <row r="8984" ht="22.5" customHeight="1">
      <c r="B8984" s="42" t="str">
        <f>IFERROR(__xludf.DUMMYFUNCTION("""COMPUTED_VALUE"""),"ABDYLYEG")</f>
        <v>ABDYLYEG</v>
      </c>
      <c r="C8984" s="42" t="str">
        <f>IFERROR(__xludf.DUMMYFUNCTION("""COMPUTED_VALUE"""),"M 5148/ rajabasa jaya")</f>
        <v>M 5148/ rajabasa jaya</v>
      </c>
      <c r="D8984" s="42"/>
      <c r="E8984" s="42"/>
      <c r="F8984" s="48" t="str">
        <f>IFERROR(__xludf.DUMMYFUNCTION("""COMPUTED_VALUE"""),"")</f>
        <v/>
      </c>
      <c r="G8984" s="42" t="str">
        <f>IFERROR(__xludf.DUMMYFUNCTION("""COMPUTED_VALUE"""),"Balik nama")</f>
        <v>Balik nama</v>
      </c>
      <c r="H8984" s="42">
        <f t="shared" si="1"/>
        <v>3337</v>
      </c>
    </row>
    <row r="8985" ht="22.5" customHeight="1">
      <c r="B8985" s="42" t="str">
        <f>IFERROR(__xludf.DUMMYFUNCTION("""COMPUTED_VALUE"""),"ABNNNEIM")</f>
        <v>ABNNNEIM</v>
      </c>
      <c r="C8985" s="42">
        <f>IFERROR(__xludf.DUMMYFUNCTION("""COMPUTED_VALUE"""),26202.0)</f>
        <v>26202</v>
      </c>
      <c r="D8985" s="42"/>
      <c r="E8985" s="42"/>
      <c r="F8985" s="48" t="str">
        <f>IFERROR(__xludf.DUMMYFUNCTION("""COMPUTED_VALUE"""),"")</f>
        <v/>
      </c>
      <c r="G8985" s="42" t="str">
        <f>IFERROR(__xludf.DUMMYFUNCTION("""COMPUTED_VALUE"""),"Bn jual beli")</f>
        <v>Bn jual beli</v>
      </c>
      <c r="H8985" s="42">
        <f t="shared" si="1"/>
        <v>3337</v>
      </c>
    </row>
    <row r="8986" ht="22.5" customHeight="1">
      <c r="B8986" s="42" t="str">
        <f>IFERROR(__xludf.DUMMYFUNCTION("""COMPUTED_VALUE"""),"K/1/061125/1")</f>
        <v>K/1/061125/1</v>
      </c>
      <c r="C8986" s="42" t="str">
        <f>IFERROR(__xludf.DUMMYFUNCTION("""COMPUTED_VALUE"""),"NIBEL M. 17883/LABUHAN DALAM")</f>
        <v>NIBEL M. 17883/LABUHAN DALAM</v>
      </c>
      <c r="D8986" s="42"/>
      <c r="E8986" s="42"/>
      <c r="F8986" s="48" t="str">
        <f>IFERROR(__xludf.DUMMYFUNCTION("""COMPUTED_VALUE"""),"")</f>
        <v/>
      </c>
      <c r="G8986" s="42" t="str">
        <f>IFERROR(__xludf.DUMMYFUNCTION("""COMPUTED_VALUE"""),"BN JUAL BELI EL")</f>
        <v>BN JUAL BELI EL</v>
      </c>
      <c r="H8986" s="42">
        <f t="shared" si="1"/>
        <v>3337</v>
      </c>
    </row>
    <row r="8987" ht="22.5" customHeight="1">
      <c r="B8987" s="42" t="str">
        <f>IFERROR(__xludf.DUMMYFUNCTION("""COMPUTED_VALUE"""),"ABRBHVIC")</f>
        <v>ABRBHVIC</v>
      </c>
      <c r="C8987" s="42" t="str">
        <f>IFERROR(__xludf.DUMMYFUNCTION("""COMPUTED_VALUE"""),"M 76/ penengahan")</f>
        <v>M 76/ penengahan</v>
      </c>
      <c r="D8987" s="42"/>
      <c r="E8987" s="42"/>
      <c r="F8987" s="48" t="str">
        <f>IFERROR(__xludf.DUMMYFUNCTION("""COMPUTED_VALUE"""),"")</f>
        <v/>
      </c>
      <c r="G8987" s="42" t="str">
        <f>IFERROR(__xludf.DUMMYFUNCTION("""COMPUTED_VALUE"""),"Balik nama ")</f>
        <v>Balik nama </v>
      </c>
      <c r="H8987" s="42">
        <f t="shared" si="1"/>
        <v>3337</v>
      </c>
    </row>
    <row r="8988" ht="22.5" customHeight="1">
      <c r="B8988" s="42" t="str">
        <f>IFERROR(__xludf.DUMMYFUNCTION("""COMPUTED_VALUE"""),"ABQDVJOG")</f>
        <v>ABQDVJOG</v>
      </c>
      <c r="C8988" s="42" t="str">
        <f>IFERROR(__xludf.DUMMYFUNCTION("""COMPUTED_VALUE"""),"m 8255/ sukabumi")</f>
        <v>m 8255/ sukabumi</v>
      </c>
      <c r="D8988" s="42"/>
      <c r="E8988" s="42"/>
      <c r="F8988" s="48" t="str">
        <f>IFERROR(__xludf.DUMMYFUNCTION("""COMPUTED_VALUE"""),"")</f>
        <v/>
      </c>
      <c r="G8988" s="42" t="str">
        <f>IFERROR(__xludf.DUMMYFUNCTION("""COMPUTED_VALUE"""),"AJB Balik Nama")</f>
        <v>AJB Balik Nama</v>
      </c>
      <c r="H8988" s="42">
        <f t="shared" si="1"/>
        <v>3337</v>
      </c>
    </row>
    <row r="8989" ht="22.5" customHeight="1">
      <c r="B8989" s="42" t="str">
        <f>IFERROR(__xludf.DUMMYFUNCTION("""COMPUTED_VALUE"""),"ABOMDKWT")</f>
        <v>ABOMDKWT</v>
      </c>
      <c r="C8989" s="42" t="str">
        <f>IFERROR(__xludf.DUMMYFUNCTION("""COMPUTED_VALUE"""),"NIBEL M 17156/ sukarame baru")</f>
        <v>NIBEL M 17156/ sukarame baru</v>
      </c>
      <c r="D8989" s="42"/>
      <c r="E8989" s="42"/>
      <c r="F8989" s="48" t="str">
        <f>IFERROR(__xludf.DUMMYFUNCTION("""COMPUTED_VALUE"""),"")</f>
        <v/>
      </c>
      <c r="G8989" s="42" t="str">
        <f>IFERROR(__xludf.DUMMYFUNCTION("""COMPUTED_VALUE"""),"Bn jual beli")</f>
        <v>Bn jual beli</v>
      </c>
      <c r="H8989" s="42">
        <f t="shared" si="1"/>
        <v>3337</v>
      </c>
    </row>
    <row r="8990" ht="22.5" customHeight="1">
      <c r="B8990" s="42" t="str">
        <f>IFERROR(__xludf.DUMMYFUNCTION("""COMPUTED_VALUE"""),"ABULBSIL")</f>
        <v>ABULBSIL</v>
      </c>
      <c r="C8990" s="42" t="str">
        <f>IFERROR(__xludf.DUMMYFUNCTION("""COMPUTED_VALUE"""),"Shm 11062/Jg.II")</f>
        <v>Shm 11062/Jg.II</v>
      </c>
      <c r="D8990" s="42"/>
      <c r="E8990" s="42"/>
      <c r="F8990" s="48" t="str">
        <f>IFERROR(__xludf.DUMMYFUNCTION("""COMPUTED_VALUE"""),"")</f>
        <v/>
      </c>
      <c r="G8990" s="42" t="str">
        <f>IFERROR(__xludf.DUMMYFUNCTION("""COMPUTED_VALUE"""),"Roya")</f>
        <v>Roya</v>
      </c>
      <c r="H8990" s="42">
        <f t="shared" si="1"/>
        <v>3337</v>
      </c>
    </row>
    <row r="8991" ht="22.5" customHeight="1">
      <c r="B8991" s="42" t="str">
        <f>IFERROR(__xludf.DUMMYFUNCTION("""COMPUTED_VALUE"""),"ABUGWVNL/AB027")</f>
        <v>ABUGWVNL/AB027</v>
      </c>
      <c r="C8991" s="42" t="str">
        <f>IFERROR(__xludf.DUMMYFUNCTION("""COMPUTED_VALUE"""),"M.1396/Su.H/Sukadana Ham")</f>
        <v>M.1396/Su.H/Sukadana Ham</v>
      </c>
      <c r="D8991" s="42"/>
      <c r="E8991" s="42"/>
      <c r="F8991" s="48" t="str">
        <f>IFERROR(__xludf.DUMMYFUNCTION("""COMPUTED_VALUE"""),"")</f>
        <v/>
      </c>
      <c r="G8991" s="42" t="str">
        <f>IFERROR(__xludf.DUMMYFUNCTION("""COMPUTED_VALUE"""),"Roya ")</f>
        <v>Roya </v>
      </c>
      <c r="H8991" s="42">
        <f t="shared" si="1"/>
        <v>3337</v>
      </c>
    </row>
    <row r="8992" ht="22.5" customHeight="1">
      <c r="B8992" s="42" t="str">
        <f>IFERROR(__xludf.DUMMYFUNCTION("""COMPUTED_VALUE"""),"K/4/061125/1")</f>
        <v>K/4/061125/1</v>
      </c>
      <c r="C8992" s="42" t="str">
        <f>IFERROR(__xludf.DUMMYFUNCTION("""COMPUTED_VALUE"""),"M. 13894/SUKABUMI")</f>
        <v>M. 13894/SUKABUMI</v>
      </c>
      <c r="D8992" s="42"/>
      <c r="E8992" s="42"/>
      <c r="F8992" s="48" t="str">
        <f>IFERROR(__xludf.DUMMYFUNCTION("""COMPUTED_VALUE"""),"")</f>
        <v/>
      </c>
      <c r="G8992" s="42" t="str">
        <f>IFERROR(__xludf.DUMMYFUNCTION("""COMPUTED_VALUE"""),"PTPGT")</f>
        <v>PTPGT</v>
      </c>
      <c r="H8992" s="42">
        <f t="shared" si="1"/>
        <v>3337</v>
      </c>
    </row>
    <row r="8993" ht="22.5" customHeight="1">
      <c r="B8993" s="42" t="str">
        <f>IFERROR(__xludf.DUMMYFUNCTION("""COMPUTED_VALUE"""),"ABJJPCCC")</f>
        <v>ABJJPCCC</v>
      </c>
      <c r="C8993" s="42" t="str">
        <f>IFERROR(__xludf.DUMMYFUNCTION("""COMPUTED_VALUE"""),"M.23556")</f>
        <v>M.23556</v>
      </c>
      <c r="D8993" s="42"/>
      <c r="E8993" s="42"/>
      <c r="F8993" s="48" t="str">
        <f>IFERROR(__xludf.DUMMYFUNCTION("""COMPUTED_VALUE"""),"")</f>
        <v/>
      </c>
      <c r="G8993" s="42" t="str">
        <f>IFERROR(__xludf.DUMMYFUNCTION("""COMPUTED_VALUE"""),"AJB")</f>
        <v>AJB</v>
      </c>
      <c r="H8993" s="42">
        <f t="shared" si="1"/>
        <v>3337</v>
      </c>
    </row>
    <row r="8994" ht="22.5" customHeight="1">
      <c r="B8994" s="42" t="str">
        <f>IFERROR(__xludf.DUMMYFUNCTION("""COMPUTED_VALUE"""),"ABQEMLQZ")</f>
        <v>ABQEMLQZ</v>
      </c>
      <c r="C8994" s="42" t="str">
        <f>IFERROR(__xludf.DUMMYFUNCTION("""COMPUTED_VALUE"""),"M 534/ bumi agung")</f>
        <v>M 534/ bumi agung</v>
      </c>
      <c r="D8994" s="42"/>
      <c r="E8994" s="42"/>
      <c r="F8994" s="48" t="str">
        <f>IFERROR(__xludf.DUMMYFUNCTION("""COMPUTED_VALUE"""),"")</f>
        <v/>
      </c>
      <c r="G8994" s="42" t="str">
        <f>IFERROR(__xludf.DUMMYFUNCTION("""COMPUTED_VALUE"""),"BN jual beli")</f>
        <v>BN jual beli</v>
      </c>
      <c r="H8994" s="42">
        <f t="shared" si="1"/>
        <v>3337</v>
      </c>
    </row>
    <row r="8995" ht="22.5" customHeight="1">
      <c r="B8995" s="42" t="str">
        <f>IFERROR(__xludf.DUMMYFUNCTION("""COMPUTED_VALUE"""),"ABEZRNBO")</f>
        <v>ABEZRNBO</v>
      </c>
      <c r="C8995" s="42" t="str">
        <f>IFERROR(__xludf.DUMMYFUNCTION("""COMPUTED_VALUE"""),"SHM NIB. 08.01.000020984.0")</f>
        <v>SHM NIB. 08.01.000020984.0</v>
      </c>
      <c r="D8995" s="42"/>
      <c r="E8995" s="42"/>
      <c r="F8995" s="48" t="str">
        <f>IFERROR(__xludf.DUMMYFUNCTION("""COMPUTED_VALUE"""),"")</f>
        <v/>
      </c>
      <c r="G8995" s="42" t="str">
        <f>IFERROR(__xludf.DUMMYFUNCTION("""COMPUTED_VALUE"""),"balik nama jual beli")</f>
        <v>balik nama jual beli</v>
      </c>
      <c r="H8995" s="42">
        <f t="shared" si="1"/>
        <v>3337</v>
      </c>
    </row>
    <row r="8996" ht="22.5" customHeight="1">
      <c r="B8996" s="42" t="str">
        <f>IFERROR(__xludf.DUMMYFUNCTION("""COMPUTED_VALUE"""),"ABDTTGTH")</f>
        <v>ABDTTGTH</v>
      </c>
      <c r="C8996" s="42" t="str">
        <f>IFERROR(__xludf.DUMMYFUNCTION("""COMPUTED_VALUE"""),"SHGB NIB. 08.01.000017801.0")</f>
        <v>SHGB NIB. 08.01.000017801.0</v>
      </c>
      <c r="D8996" s="42"/>
      <c r="E8996" s="42"/>
      <c r="F8996" s="48" t="str">
        <f>IFERROR(__xludf.DUMMYFUNCTION("""COMPUTED_VALUE"""),"")</f>
        <v/>
      </c>
      <c r="G8996" s="42" t="str">
        <f>IFERROR(__xludf.DUMMYFUNCTION("""COMPUTED_VALUE"""),"balik nama jual beli")</f>
        <v>balik nama jual beli</v>
      </c>
      <c r="H8996" s="42">
        <f t="shared" si="1"/>
        <v>3337</v>
      </c>
    </row>
    <row r="8997" ht="22.5" customHeight="1">
      <c r="B8997" s="42" t="str">
        <f>IFERROR(__xludf.DUMMYFUNCTION("""COMPUTED_VALUE"""),"ABMNMUQV/1")</f>
        <v>ABMNMUQV/1</v>
      </c>
      <c r="C8997" s="42" t="str">
        <f>IFERROR(__xludf.DUMMYFUNCTION("""COMPUTED_VALUE"""),"B 139/ Gunung terang")</f>
        <v>B 139/ Gunung terang</v>
      </c>
      <c r="D8997" s="42"/>
      <c r="E8997" s="42"/>
      <c r="F8997" s="48" t="str">
        <f>IFERROR(__xludf.DUMMYFUNCTION("""COMPUTED_VALUE"""),"")</f>
        <v/>
      </c>
      <c r="G8997" s="42" t="str">
        <f>IFERROR(__xludf.DUMMYFUNCTION("""COMPUTED_VALUE"""),"Ajb")</f>
        <v>Ajb</v>
      </c>
      <c r="H8997" s="42">
        <f t="shared" si="1"/>
        <v>3337</v>
      </c>
    </row>
    <row r="8998" ht="22.5" customHeight="1">
      <c r="B8998" s="42" t="str">
        <f>IFERROR(__xludf.DUMMYFUNCTION("""COMPUTED_VALUE"""),"ABFDKHLP")</f>
        <v>ABFDKHLP</v>
      </c>
      <c r="C8998" s="42" t="str">
        <f>IFERROR(__xludf.DUMMYFUNCTION("""COMPUTED_VALUE"""),"22643, Jagabaya III")</f>
        <v>22643, Jagabaya III</v>
      </c>
      <c r="D8998" s="42"/>
      <c r="E8998" s="42"/>
      <c r="F8998" s="48" t="str">
        <f>IFERROR(__xludf.DUMMYFUNCTION("""COMPUTED_VALUE"""),"")</f>
        <v/>
      </c>
      <c r="G8998" s="42" t="str">
        <f>IFERROR(__xludf.DUMMYFUNCTION("""COMPUTED_VALUE"""),"BN")</f>
        <v>BN</v>
      </c>
      <c r="H8998" s="42">
        <f t="shared" si="1"/>
        <v>3337</v>
      </c>
    </row>
    <row r="8999" ht="22.5" customHeight="1">
      <c r="B8999" s="42" t="str">
        <f>IFERROR(__xludf.DUMMYFUNCTION("""COMPUTED_VALUE"""),"ABYPWZUX")</f>
        <v>ABYPWZUX</v>
      </c>
      <c r="C8999" s="42" t="str">
        <f>IFERROR(__xludf.DUMMYFUNCTION("""COMPUTED_VALUE"""),"19435, Bakung")</f>
        <v>19435, Bakung</v>
      </c>
      <c r="D8999" s="42"/>
      <c r="E8999" s="42"/>
      <c r="F8999" s="48" t="str">
        <f>IFERROR(__xludf.DUMMYFUNCTION("""COMPUTED_VALUE"""),"")</f>
        <v/>
      </c>
      <c r="G8999" s="42" t="str">
        <f>IFERROR(__xludf.DUMMYFUNCTION("""COMPUTED_VALUE"""),"BN")</f>
        <v>BN</v>
      </c>
      <c r="H8999" s="42">
        <f t="shared" si="1"/>
        <v>3337</v>
      </c>
    </row>
    <row r="9000" ht="22.5" customHeight="1">
      <c r="B9000" s="42" t="str">
        <f>IFERROR(__xludf.DUMMYFUNCTION("""COMPUTED_VALUE"""),"ABQRCSJI")</f>
        <v>ABQRCSJI</v>
      </c>
      <c r="C9000" s="42" t="str">
        <f>IFERROR(__xludf.DUMMYFUNCTION("""COMPUTED_VALUE"""),"18148, sukarame Baru")</f>
        <v>18148, sukarame Baru</v>
      </c>
      <c r="D9000" s="42"/>
      <c r="E9000" s="42"/>
      <c r="F9000" s="48" t="str">
        <f>IFERROR(__xludf.DUMMYFUNCTION("""COMPUTED_VALUE"""),"")</f>
        <v/>
      </c>
      <c r="G9000" s="42" t="str">
        <f>IFERROR(__xludf.DUMMYFUNCTION("""COMPUTED_VALUE"""),"BN")</f>
        <v>BN</v>
      </c>
      <c r="H9000" s="42">
        <f t="shared" si="1"/>
        <v>3337</v>
      </c>
    </row>
    <row r="9001" ht="22.5" customHeight="1">
      <c r="B9001" s="42" t="str">
        <f>IFERROR(__xludf.DUMMYFUNCTION("""COMPUTED_VALUE"""),"ABNTIXEQ")</f>
        <v>ABNTIXEQ</v>
      </c>
      <c r="C9001" s="42" t="str">
        <f>IFERROR(__xludf.DUMMYFUNCTION("""COMPUTED_VALUE"""),"05544, Langkapura")</f>
        <v>05544, Langkapura</v>
      </c>
      <c r="D9001" s="42"/>
      <c r="E9001" s="42"/>
      <c r="F9001" s="48" t="str">
        <f>IFERROR(__xludf.DUMMYFUNCTION("""COMPUTED_VALUE"""),"")</f>
        <v/>
      </c>
      <c r="G9001" s="42" t="str">
        <f>IFERROR(__xludf.DUMMYFUNCTION("""COMPUTED_VALUE"""),"BN")</f>
        <v>BN</v>
      </c>
      <c r="H9001" s="42">
        <f t="shared" si="1"/>
        <v>3337</v>
      </c>
    </row>
    <row r="9002" ht="22.5" customHeight="1">
      <c r="B9002" s="42" t="str">
        <f>IFERROR(__xludf.DUMMYFUNCTION("""COMPUTED_VALUE"""),"ABYDBOXA")</f>
        <v>ABYDBOXA</v>
      </c>
      <c r="C9002" s="42" t="str">
        <f>IFERROR(__xludf.DUMMYFUNCTION("""COMPUTED_VALUE"""),"M. 863")</f>
        <v>M. 863</v>
      </c>
      <c r="D9002" s="42"/>
      <c r="E9002" s="42"/>
      <c r="F9002" s="48" t="str">
        <f>IFERROR(__xludf.DUMMYFUNCTION("""COMPUTED_VALUE"""),"")</f>
        <v/>
      </c>
      <c r="G9002" s="42" t="str">
        <f>IFERROR(__xludf.DUMMYFUNCTION("""COMPUTED_VALUE"""),"GANDES")</f>
        <v>GANDES</v>
      </c>
      <c r="H9002" s="42">
        <f t="shared" si="1"/>
        <v>3337</v>
      </c>
    </row>
    <row r="9003" ht="22.5" customHeight="1">
      <c r="B9003" s="42" t="str">
        <f>IFERROR(__xludf.DUMMYFUNCTION("""COMPUTED_VALUE"""),"AB024/ABSFITUY")</f>
        <v>AB024/ABSFITUY</v>
      </c>
      <c r="C9003" s="42" t="str">
        <f>IFERROR(__xludf.DUMMYFUNCTION("""COMPUTED_VALUE"""),"08.01.000025266.0")</f>
        <v>08.01.000025266.0</v>
      </c>
      <c r="D9003" s="42"/>
      <c r="E9003" s="42"/>
      <c r="F9003" s="48" t="str">
        <f>IFERROR(__xludf.DUMMYFUNCTION("""COMPUTED_VALUE"""),"")</f>
        <v/>
      </c>
      <c r="G9003" s="42" t="str">
        <f>IFERROR(__xludf.DUMMYFUNCTION("""COMPUTED_VALUE"""),"AJB")</f>
        <v>AJB</v>
      </c>
      <c r="H9003" s="42">
        <f t="shared" si="1"/>
        <v>3337</v>
      </c>
    </row>
    <row r="9004" ht="22.5" customHeight="1">
      <c r="B9004" s="42" t="str">
        <f>IFERROR(__xludf.DUMMYFUNCTION("""COMPUTED_VALUE"""),"K/7/061125/1")</f>
        <v>K/7/061125/1</v>
      </c>
      <c r="C9004" s="42" t="str">
        <f>IFERROR(__xludf.DUMMYFUNCTION("""COMPUTED_VALUE"""),"SUKADANA HAM")</f>
        <v>SUKADANA HAM</v>
      </c>
      <c r="D9004" s="42"/>
      <c r="E9004" s="42"/>
      <c r="F9004" s="48" t="str">
        <f>IFERROR(__xludf.DUMMYFUNCTION("""COMPUTED_VALUE"""),"")</f>
        <v/>
      </c>
      <c r="G9004" s="42" t="str">
        <f>IFERROR(__xludf.DUMMYFUNCTION("""COMPUTED_VALUE"""),"PENGUKURAN PERTAMA KALI")</f>
        <v>PENGUKURAN PERTAMA KALI</v>
      </c>
      <c r="H9004" s="42">
        <f t="shared" si="1"/>
        <v>3337</v>
      </c>
    </row>
    <row r="9005" ht="22.5" customHeight="1">
      <c r="B9005" s="42" t="str">
        <f>IFERROR(__xludf.DUMMYFUNCTION("""COMPUTED_VALUE"""),"K/8/061125/2")</f>
        <v>K/8/061125/2</v>
      </c>
      <c r="C9005" s="42" t="str">
        <f>IFERROR(__xludf.DUMMYFUNCTION("""COMPUTED_VALUE"""),"SUKADANA HAM")</f>
        <v>SUKADANA HAM</v>
      </c>
      <c r="D9005" s="42"/>
      <c r="E9005" s="42"/>
      <c r="F9005" s="48" t="str">
        <f>IFERROR(__xludf.DUMMYFUNCTION("""COMPUTED_VALUE"""),"")</f>
        <v/>
      </c>
      <c r="G9005" s="42" t="str">
        <f>IFERROR(__xludf.DUMMYFUNCTION("""COMPUTED_VALUE"""),"PENGUKURAN PERTAMA KALI ")</f>
        <v>PENGUKURAN PERTAMA KALI </v>
      </c>
      <c r="H9005" s="42">
        <f t="shared" si="1"/>
        <v>3337</v>
      </c>
    </row>
    <row r="9006" ht="22.5" customHeight="1">
      <c r="B9006" s="42" t="str">
        <f>IFERROR(__xludf.DUMMYFUNCTION("""COMPUTED_VALUE"""),"K/9/061125/3")</f>
        <v>K/9/061125/3</v>
      </c>
      <c r="C9006" s="42" t="str">
        <f>IFERROR(__xludf.DUMMYFUNCTION("""COMPUTED_VALUE"""),"SUKADANA HAM")</f>
        <v>SUKADANA HAM</v>
      </c>
      <c r="D9006" s="42"/>
      <c r="E9006" s="42"/>
      <c r="F9006" s="48" t="str">
        <f>IFERROR(__xludf.DUMMYFUNCTION("""COMPUTED_VALUE"""),"")</f>
        <v/>
      </c>
      <c r="G9006" s="42" t="str">
        <f>IFERROR(__xludf.DUMMYFUNCTION("""COMPUTED_VALUE"""),"PENGUKURAN PERTAMA KALI")</f>
        <v>PENGUKURAN PERTAMA KALI</v>
      </c>
      <c r="H9006" s="42">
        <f t="shared" si="1"/>
        <v>3337</v>
      </c>
    </row>
    <row r="9007" ht="22.5" customHeight="1">
      <c r="B9007" s="42" t="str">
        <f>IFERROR(__xludf.DUMMYFUNCTION("""COMPUTED_VALUE"""),"ABXTSFQQ")</f>
        <v>ABXTSFQQ</v>
      </c>
      <c r="C9007" s="42" t="str">
        <f>IFERROR(__xludf.DUMMYFUNCTION("""COMPUTED_VALUE"""),"M 30/ kampung baru raya")</f>
        <v>M 30/ kampung baru raya</v>
      </c>
      <c r="D9007" s="42"/>
      <c r="E9007" s="42"/>
      <c r="F9007" s="48" t="str">
        <f>IFERROR(__xludf.DUMMYFUNCTION("""COMPUTED_VALUE"""),"")</f>
        <v/>
      </c>
      <c r="G9007" s="42" t="str">
        <f>IFERROR(__xludf.DUMMYFUNCTION("""COMPUTED_VALUE"""),"Balik nama JUAL BELI")</f>
        <v>Balik nama JUAL BELI</v>
      </c>
      <c r="H9007" s="42">
        <f t="shared" si="1"/>
        <v>3337</v>
      </c>
    </row>
    <row r="9008" ht="22.5" customHeight="1">
      <c r="B9008" s="42" t="str">
        <f>IFERROR(__xludf.DUMMYFUNCTION("""COMPUTED_VALUE"""),"Abcyiadj")</f>
        <v>Abcyiadj</v>
      </c>
      <c r="C9008" s="42">
        <f>IFERROR(__xludf.DUMMYFUNCTION("""COMPUTED_VALUE"""),6636.0)</f>
        <v>6636</v>
      </c>
      <c r="D9008" s="42"/>
      <c r="E9008" s="42"/>
      <c r="F9008" s="48" t="str">
        <f>IFERROR(__xludf.DUMMYFUNCTION("""COMPUTED_VALUE"""),"")</f>
        <v/>
      </c>
      <c r="G9008" s="42" t="str">
        <f>IFERROR(__xludf.DUMMYFUNCTION("""COMPUTED_VALUE"""),"Bn")</f>
        <v>Bn</v>
      </c>
      <c r="H9008" s="42">
        <f t="shared" si="1"/>
        <v>3337</v>
      </c>
    </row>
    <row r="9009" ht="22.5" customHeight="1">
      <c r="B9009" s="42" t="str">
        <f>IFERROR(__xludf.DUMMYFUNCTION("""COMPUTED_VALUE"""),"Abzygoxc")</f>
        <v>Abzygoxc</v>
      </c>
      <c r="C9009" s="42">
        <f>IFERROR(__xludf.DUMMYFUNCTION("""COMPUTED_VALUE"""),12029.0)</f>
        <v>12029</v>
      </c>
      <c r="D9009" s="42"/>
      <c r="E9009" s="42"/>
      <c r="F9009" s="48" t="str">
        <f>IFERROR(__xludf.DUMMYFUNCTION("""COMPUTED_VALUE"""),"")</f>
        <v/>
      </c>
      <c r="G9009" s="42" t="str">
        <f>IFERROR(__xludf.DUMMYFUNCTION("""COMPUTED_VALUE"""),"Bn")</f>
        <v>Bn</v>
      </c>
      <c r="H9009" s="42">
        <f t="shared" si="1"/>
        <v>3337</v>
      </c>
    </row>
    <row r="9010" ht="22.5" customHeight="1">
      <c r="B9010" s="42" t="str">
        <f>IFERROR(__xludf.DUMMYFUNCTION("""COMPUTED_VALUE"""),"Abifyfmr")</f>
        <v>Abifyfmr</v>
      </c>
      <c r="C9010" s="42">
        <f>IFERROR(__xludf.DUMMYFUNCTION("""COMPUTED_VALUE"""),23591.0)</f>
        <v>23591</v>
      </c>
      <c r="D9010" s="42"/>
      <c r="E9010" s="42"/>
      <c r="F9010" s="48" t="str">
        <f>IFERROR(__xludf.DUMMYFUNCTION("""COMPUTED_VALUE"""),"")</f>
        <v/>
      </c>
      <c r="G9010" s="42" t="str">
        <f>IFERROR(__xludf.DUMMYFUNCTION("""COMPUTED_VALUE"""),"Bn")</f>
        <v>Bn</v>
      </c>
      <c r="H9010" s="42">
        <f t="shared" si="1"/>
        <v>3337</v>
      </c>
    </row>
    <row r="9011" ht="22.5" customHeight="1">
      <c r="B9011" s="42" t="str">
        <f>IFERROR(__xludf.DUMMYFUNCTION("""COMPUTED_VALUE"""),"AB072")</f>
        <v>AB072</v>
      </c>
      <c r="C9011" s="42" t="str">
        <f>IFERROR(__xludf.DUMMYFUNCTION("""COMPUTED_VALUE"""),"SHM 11473")</f>
        <v>SHM 11473</v>
      </c>
      <c r="D9011" s="42"/>
      <c r="E9011" s="42"/>
      <c r="F9011" s="48" t="str">
        <f>IFERROR(__xludf.DUMMYFUNCTION("""COMPUTED_VALUE"""),"")</f>
        <v/>
      </c>
      <c r="G9011" s="42" t="str">
        <f>IFERROR(__xludf.DUMMYFUNCTION("""COMPUTED_VALUE"""),"ganti desa ganti kecamatan")</f>
        <v>ganti desa ganti kecamatan</v>
      </c>
      <c r="H9011" s="42">
        <f t="shared" si="1"/>
        <v>3337</v>
      </c>
    </row>
    <row r="9012" ht="22.5" customHeight="1">
      <c r="B9012" s="42" t="str">
        <f>IFERROR(__xludf.DUMMYFUNCTION("""COMPUTED_VALUE"""),"L/6/061125/1")</f>
        <v>L/6/061125/1</v>
      </c>
      <c r="C9012" s="42" t="str">
        <f>IFERROR(__xludf.DUMMYFUNCTION("""COMPUTED_VALUE"""),"B. 2091/SUKARAME I")</f>
        <v>B. 2091/SUKARAME I</v>
      </c>
      <c r="D9012" s="42"/>
      <c r="E9012" s="42"/>
      <c r="F9012" s="48" t="str">
        <f>IFERROR(__xludf.DUMMYFUNCTION("""COMPUTED_VALUE"""),"")</f>
        <v/>
      </c>
      <c r="G9012" s="42" t="str">
        <f>IFERROR(__xludf.DUMMYFUNCTION("""COMPUTED_VALUE"""),"PTPGT HGB MATI")</f>
        <v>PTPGT HGB MATI</v>
      </c>
      <c r="H9012" s="42">
        <f t="shared" si="1"/>
        <v>3337</v>
      </c>
    </row>
    <row r="9013" ht="22.5" customHeight="1">
      <c r="B9013" s="42" t="str">
        <f>IFERROR(__xludf.DUMMYFUNCTION("""COMPUTED_VALUE"""),"L/11/061125/1")</f>
        <v>L/11/061125/1</v>
      </c>
      <c r="C9013" s="42" t="str">
        <f>IFERROR(__xludf.DUMMYFUNCTION("""COMPUTED_VALUE"""),"PBT NO 75/2025 KEL WAY KANDIS")</f>
        <v>PBT NO 75/2025 KEL WAY KANDIS</v>
      </c>
      <c r="D9013" s="42"/>
      <c r="E9013" s="42"/>
      <c r="F9013" s="48" t="str">
        <f>IFERROR(__xludf.DUMMYFUNCTION("""COMPUTED_VALUE"""),"")</f>
        <v/>
      </c>
      <c r="G9013" s="42" t="str">
        <f>IFERROR(__xludf.DUMMYFUNCTION("""COMPUTED_VALUE"""),"PERMOHONAN SK")</f>
        <v>PERMOHONAN SK</v>
      </c>
      <c r="H9013" s="42">
        <f t="shared" si="1"/>
        <v>3337</v>
      </c>
    </row>
    <row r="9014" ht="22.5" customHeight="1">
      <c r="B9014" s="42" t="str">
        <f>IFERROR(__xludf.DUMMYFUNCTION("""COMPUTED_VALUE"""),"L/12/061125/1")</f>
        <v>L/12/061125/1</v>
      </c>
      <c r="C9014" s="42" t="str">
        <f>IFERROR(__xludf.DUMMYFUNCTION("""COMPUTED_VALUE"""),"PBT NO 86/2025 KEL WAY KANDIS")</f>
        <v>PBT NO 86/2025 KEL WAY KANDIS</v>
      </c>
      <c r="D9014" s="42"/>
      <c r="E9014" s="42"/>
      <c r="F9014" s="48" t="str">
        <f>IFERROR(__xludf.DUMMYFUNCTION("""COMPUTED_VALUE"""),"")</f>
        <v/>
      </c>
      <c r="G9014" s="42" t="str">
        <f>IFERROR(__xludf.DUMMYFUNCTION("""COMPUTED_VALUE"""),"PERMOHONSN SK")</f>
        <v>PERMOHONSN SK</v>
      </c>
      <c r="H9014" s="42">
        <f t="shared" si="1"/>
        <v>3337</v>
      </c>
    </row>
    <row r="9015" ht="22.5" customHeight="1">
      <c r="B9015" s="42" t="str">
        <f>IFERROR(__xludf.DUMMYFUNCTION("""COMPUTED_VALUE"""),"ABNKRUZN")</f>
        <v>ABNKRUZN</v>
      </c>
      <c r="C9015" s="42" t="str">
        <f>IFERROR(__xludf.DUMMYFUNCTION("""COMPUTED_VALUE"""),"M 11854/ Sukabumi ")</f>
        <v>M 11854/ Sukabumi </v>
      </c>
      <c r="D9015" s="42"/>
      <c r="E9015" s="42"/>
      <c r="F9015" s="48" t="str">
        <f>IFERROR(__xludf.DUMMYFUNCTION("""COMPUTED_VALUE"""),"")</f>
        <v/>
      </c>
      <c r="G9015" s="42" t="str">
        <f>IFERROR(__xludf.DUMMYFUNCTION("""COMPUTED_VALUE"""),"Balik nama JUAL BELI")</f>
        <v>Balik nama JUAL BELI</v>
      </c>
      <c r="H9015" s="42">
        <f t="shared" si="1"/>
        <v>3337</v>
      </c>
    </row>
    <row r="9016" ht="22.5" customHeight="1">
      <c r="B9016" s="42" t="str">
        <f>IFERROR(__xludf.DUMMYFUNCTION("""COMPUTED_VALUE"""),"ABPQQPQD/79")</f>
        <v>ABPQQPQD/79</v>
      </c>
      <c r="C9016" s="42" t="str">
        <f>IFERROR(__xludf.DUMMYFUNCTION("""COMPUTED_VALUE"""),"SHM 322/Garuntang")</f>
        <v>SHM 322/Garuntang</v>
      </c>
      <c r="D9016" s="42"/>
      <c r="E9016" s="42"/>
      <c r="F9016" s="48" t="str">
        <f>IFERROR(__xludf.DUMMYFUNCTION("""COMPUTED_VALUE"""),"")</f>
        <v/>
      </c>
      <c r="G9016" s="42" t="str">
        <f>IFERROR(__xludf.DUMMYFUNCTION("""COMPUTED_VALUE"""),"bn jual beli")</f>
        <v>bn jual beli</v>
      </c>
      <c r="H9016" s="42">
        <f t="shared" si="1"/>
        <v>3337</v>
      </c>
    </row>
    <row r="9017" ht="22.5" customHeight="1">
      <c r="B9017" s="42" t="str">
        <f>IFERROR(__xludf.DUMMYFUNCTION("""COMPUTED_VALUE"""),"ABZKQJRE/AB080")</f>
        <v>ABZKQJRE/AB080</v>
      </c>
      <c r="C9017" s="42" t="str">
        <f>IFERROR(__xludf.DUMMYFUNCTION("""COMPUTED_VALUE"""),"M 2947/way kandis")</f>
        <v>M 2947/way kandis</v>
      </c>
      <c r="D9017" s="42"/>
      <c r="E9017" s="42"/>
      <c r="F9017" s="48" t="str">
        <f>IFERROR(__xludf.DUMMYFUNCTION("""COMPUTED_VALUE"""),"")</f>
        <v/>
      </c>
      <c r="G9017" s="42" t="str">
        <f>IFERROR(__xludf.DUMMYFUNCTION("""COMPUTED_VALUE"""),"BN waris")</f>
        <v>BN waris</v>
      </c>
      <c r="H9017" s="42">
        <f t="shared" si="1"/>
        <v>3337</v>
      </c>
    </row>
    <row r="9018" ht="22.5" customHeight="1">
      <c r="B9018" s="42" t="str">
        <f>IFERROR(__xludf.DUMMYFUNCTION("""COMPUTED_VALUE"""),"ABTTXATF/79")</f>
        <v>ABTTXATF/79</v>
      </c>
      <c r="C9018" s="42" t="str">
        <f>IFERROR(__xludf.DUMMYFUNCTION("""COMPUTED_VALUE"""),"SHM 1455/Bumi Kedamaian")</f>
        <v>SHM 1455/Bumi Kedamaian</v>
      </c>
      <c r="D9018" s="42"/>
      <c r="E9018" s="42"/>
      <c r="F9018" s="48" t="str">
        <f>IFERROR(__xludf.DUMMYFUNCTION("""COMPUTED_VALUE"""),"")</f>
        <v/>
      </c>
      <c r="G9018" s="42" t="str">
        <f>IFERROR(__xludf.DUMMYFUNCTION("""COMPUTED_VALUE"""),"bn jual beli")</f>
        <v>bn jual beli</v>
      </c>
      <c r="H9018" s="42">
        <f t="shared" si="1"/>
        <v>3337</v>
      </c>
    </row>
    <row r="9019" ht="22.5" customHeight="1">
      <c r="B9019" s="42" t="str">
        <f>IFERROR(__xludf.DUMMYFUNCTION("""COMPUTED_VALUE"""),"AGRXJXH/1")</f>
        <v>AGRXJXH/1</v>
      </c>
      <c r="C9019" s="42" t="str">
        <f>IFERROR(__xludf.DUMMYFUNCTION("""COMPUTED_VALUE"""),"M 981/ Tanjung Gading")</f>
        <v>M 981/ Tanjung Gading</v>
      </c>
      <c r="D9019" s="42"/>
      <c r="E9019" s="42"/>
      <c r="F9019" s="48" t="str">
        <f>IFERROR(__xludf.DUMMYFUNCTION("""COMPUTED_VALUE"""),"")</f>
        <v/>
      </c>
      <c r="G9019" s="42" t="str">
        <f>IFERROR(__xludf.DUMMYFUNCTION("""COMPUTED_VALUE"""),"Pendaftaran Peralihan Hak")</f>
        <v>Pendaftaran Peralihan Hak</v>
      </c>
      <c r="H9019" s="42">
        <f t="shared" si="1"/>
        <v>3337</v>
      </c>
    </row>
    <row r="9020" ht="22.5" customHeight="1">
      <c r="B9020" s="42" t="str">
        <f>IFERROR(__xludf.DUMMYFUNCTION("""COMPUTED_VALUE"""),"ABBWKLSP")</f>
        <v>ABBWKLSP</v>
      </c>
      <c r="C9020" s="42">
        <f>IFERROR(__xludf.DUMMYFUNCTION("""COMPUTED_VALUE"""),1192.0)</f>
        <v>1192</v>
      </c>
      <c r="D9020" s="42"/>
      <c r="E9020" s="42"/>
      <c r="F9020" s="48" t="str">
        <f>IFERROR(__xludf.DUMMYFUNCTION("""COMPUTED_VALUE"""),"")</f>
        <v/>
      </c>
      <c r="G9020" s="42" t="str">
        <f>IFERROR(__xludf.DUMMYFUNCTION("""COMPUTED_VALUE"""),"Ganti desa dan kecamatan ")</f>
        <v>Ganti desa dan kecamatan </v>
      </c>
      <c r="H9020" s="42">
        <f t="shared" si="1"/>
        <v>3337</v>
      </c>
    </row>
    <row r="9021" ht="22.5" customHeight="1">
      <c r="B9021" s="42" t="str">
        <f>IFERROR(__xludf.DUMMYFUNCTION("""COMPUTED_VALUE"""),"ABLJVYPZ")</f>
        <v>ABLJVYPZ</v>
      </c>
      <c r="C9021" s="42" t="str">
        <f>IFERROR(__xludf.DUMMYFUNCTION("""COMPUTED_VALUE"""),"M 9452/ KEDATON")</f>
        <v>M 9452/ KEDATON</v>
      </c>
      <c r="D9021" s="42"/>
      <c r="E9021" s="42"/>
      <c r="F9021" s="48" t="str">
        <f>IFERROR(__xludf.DUMMYFUNCTION("""COMPUTED_VALUE"""),"")</f>
        <v/>
      </c>
      <c r="G9021" s="42" t="str">
        <f>IFERROR(__xludf.DUMMYFUNCTION("""COMPUTED_VALUE"""),"Roya ")</f>
        <v>Roya </v>
      </c>
      <c r="H9021" s="42">
        <f t="shared" si="1"/>
        <v>3337</v>
      </c>
    </row>
    <row r="9022" ht="22.5" customHeight="1">
      <c r="B9022" s="42" t="str">
        <f>IFERROR(__xludf.DUMMYFUNCTION("""COMPUTED_VALUE"""),"ABZLFJJL/AB05")</f>
        <v>ABZLFJJL/AB05</v>
      </c>
      <c r="C9022" s="42" t="str">
        <f>IFERROR(__xludf.DUMMYFUNCTION("""COMPUTED_VALUE"""),"M. 960/Rawa Laut")</f>
        <v>M. 960/Rawa Laut</v>
      </c>
      <c r="D9022" s="42"/>
      <c r="E9022" s="42"/>
      <c r="F9022" s="48" t="str">
        <f>IFERROR(__xludf.DUMMYFUNCTION("""COMPUTED_VALUE"""),"")</f>
        <v/>
      </c>
      <c r="G9022" s="42" t="str">
        <f>IFERROR(__xludf.DUMMYFUNCTION("""COMPUTED_VALUE"""),"Ganti desa")</f>
        <v>Ganti desa</v>
      </c>
      <c r="H9022" s="42">
        <f t="shared" si="1"/>
        <v>3337</v>
      </c>
    </row>
    <row r="9023" ht="22.5" customHeight="1">
      <c r="B9023" s="42" t="str">
        <f>IFERROR(__xludf.DUMMYFUNCTION("""COMPUTED_VALUE"""),"AB017")</f>
        <v>AB017</v>
      </c>
      <c r="C9023" s="42" t="str">
        <f>IFERROR(__xludf.DUMMYFUNCTION("""COMPUTED_VALUE"""),"M.1034/WAY HALIM HALIM")</f>
        <v>M.1034/WAY HALIM HALIM</v>
      </c>
      <c r="D9023" s="42"/>
      <c r="E9023" s="42"/>
      <c r="F9023" s="48" t="str">
        <f>IFERROR(__xludf.DUMMYFUNCTION("""COMPUTED_VALUE"""),"")</f>
        <v/>
      </c>
      <c r="G9023" s="42" t="str">
        <f>IFERROR(__xludf.DUMMYFUNCTION("""COMPUTED_VALUE"""),"Balik Nama")</f>
        <v>Balik Nama</v>
      </c>
      <c r="H9023" s="42">
        <f t="shared" si="1"/>
        <v>3337</v>
      </c>
    </row>
    <row r="9024" ht="22.5" customHeight="1">
      <c r="B9024" s="42" t="str">
        <f>IFERROR(__xludf.DUMMYFUNCTION("""COMPUTED_VALUE"""),"AB017/ABRCYLED")</f>
        <v>AB017/ABRCYLED</v>
      </c>
      <c r="C9024" s="42" t="str">
        <f>IFERROR(__xludf.DUMMYFUNCTION("""COMPUTED_VALUE"""),"NIBEL M.19135/ GUNUNG AGUNG")</f>
        <v>NIBEL M.19135/ GUNUNG AGUNG</v>
      </c>
      <c r="D9024" s="42"/>
      <c r="E9024" s="42"/>
      <c r="F9024" s="48" t="str">
        <f>IFERROR(__xludf.DUMMYFUNCTION("""COMPUTED_VALUE"""),"")</f>
        <v/>
      </c>
      <c r="G9024" s="42" t="str">
        <f>IFERROR(__xludf.DUMMYFUNCTION("""COMPUTED_VALUE"""),"Balik Nama")</f>
        <v>Balik Nama</v>
      </c>
      <c r="H9024" s="42">
        <f t="shared" si="1"/>
        <v>3337</v>
      </c>
    </row>
    <row r="9025" ht="22.5" customHeight="1">
      <c r="B9025" s="42" t="str">
        <f>IFERROR(__xludf.DUMMYFUNCTION("""COMPUTED_VALUE"""),"K/10/061125/1")</f>
        <v>K/10/061125/1</v>
      </c>
      <c r="C9025" s="42" t="str">
        <f>IFERROR(__xludf.DUMMYFUNCTION("""COMPUTED_VALUE"""),"B.924/SUKARAME BARU")</f>
        <v>B.924/SUKARAME BARU</v>
      </c>
      <c r="D9025" s="42"/>
      <c r="E9025" s="42"/>
      <c r="F9025" s="48" t="str">
        <f>IFERROR(__xludf.DUMMYFUNCTION("""COMPUTED_VALUE"""),"")</f>
        <v/>
      </c>
      <c r="G9025" s="42" t="str">
        <f>IFERROR(__xludf.DUMMYFUNCTION("""COMPUTED_VALUE"""),"PENGUKURAN PERTAMA KALI")</f>
        <v>PENGUKURAN PERTAMA KALI</v>
      </c>
      <c r="H9025" s="42">
        <f t="shared" si="1"/>
        <v>3337</v>
      </c>
    </row>
    <row r="9026" ht="22.5" customHeight="1">
      <c r="B9026" s="42" t="str">
        <f>IFERROR(__xludf.DUMMYFUNCTION("""COMPUTED_VALUE"""),"Ab (13) ABHNIEGE")</f>
        <v>Ab (13) ABHNIEGE</v>
      </c>
      <c r="C9026" s="42" t="str">
        <f>IFERROR(__xludf.DUMMYFUNCTION("""COMPUTED_VALUE"""),"M 963")</f>
        <v>M 963</v>
      </c>
      <c r="D9026" s="42"/>
      <c r="E9026" s="42"/>
      <c r="F9026" s="48" t="str">
        <f>IFERROR(__xludf.DUMMYFUNCTION("""COMPUTED_VALUE"""),"")</f>
        <v/>
      </c>
      <c r="G9026" s="42" t="str">
        <f>IFERROR(__xludf.DUMMYFUNCTION("""COMPUTED_VALUE"""),"Balik nama")</f>
        <v>Balik nama</v>
      </c>
      <c r="H9026" s="42">
        <f t="shared" si="1"/>
        <v>3337</v>
      </c>
    </row>
    <row r="9027" ht="22.5" customHeight="1">
      <c r="B9027" s="42" t="str">
        <f>IFERROR(__xludf.DUMMYFUNCTION("""COMPUTED_VALUE"""),"Ab(13) ABJGXTOH")</f>
        <v>Ab(13) ABJGXTOH</v>
      </c>
      <c r="C9027" s="42" t="str">
        <f>IFERROR(__xludf.DUMMYFUNCTION("""COMPUTED_VALUE"""),"Nib 385.0")</f>
        <v>Nib 385.0</v>
      </c>
      <c r="D9027" s="42"/>
      <c r="E9027" s="42"/>
      <c r="F9027" s="48" t="str">
        <f>IFERROR(__xludf.DUMMYFUNCTION("""COMPUTED_VALUE"""),"")</f>
        <v/>
      </c>
      <c r="G9027" s="42" t="str">
        <f>IFERROR(__xludf.DUMMYFUNCTION("""COMPUTED_VALUE"""),"Balik nama")</f>
        <v>Balik nama</v>
      </c>
      <c r="H9027" s="42">
        <f t="shared" si="1"/>
        <v>3337</v>
      </c>
    </row>
    <row r="9028" ht="22.5" customHeight="1">
      <c r="B9028" s="42" t="str">
        <f>IFERROR(__xludf.DUMMYFUNCTION("""COMPUTED_VALUE"""),"Ab 13 (ABVRLPOA)")</f>
        <v>Ab 13 (ABVRLPOA)</v>
      </c>
      <c r="C9028" s="42" t="str">
        <f>IFERROR(__xludf.DUMMYFUNCTION("""COMPUTED_VALUE"""),"M 13790")</f>
        <v>M 13790</v>
      </c>
      <c r="D9028" s="42"/>
      <c r="E9028" s="42"/>
      <c r="F9028" s="48" t="str">
        <f>IFERROR(__xludf.DUMMYFUNCTION("""COMPUTED_VALUE"""),"")</f>
        <v/>
      </c>
      <c r="G9028" s="42" t="str">
        <f>IFERROR(__xludf.DUMMYFUNCTION("""COMPUTED_VALUE"""),"Balik nama")</f>
        <v>Balik nama</v>
      </c>
      <c r="H9028" s="42">
        <f t="shared" si="1"/>
        <v>3337</v>
      </c>
    </row>
    <row r="9029" ht="22.5" customHeight="1">
      <c r="B9029" s="42" t="str">
        <f>IFERROR(__xludf.DUMMYFUNCTION("""COMPUTED_VALUE"""),"K/13/061125/1")</f>
        <v>K/13/061125/1</v>
      </c>
      <c r="C9029" s="42" t="str">
        <f>IFERROR(__xludf.DUMMYFUNCTION("""COMPUTED_VALUE"""),"M. 18456/SUKARAME")</f>
        <v>M. 18456/SUKARAME</v>
      </c>
      <c r="D9029" s="42"/>
      <c r="E9029" s="42"/>
      <c r="F9029" s="48" t="str">
        <f>IFERROR(__xludf.DUMMYFUNCTION("""COMPUTED_VALUE"""),"")</f>
        <v/>
      </c>
      <c r="G9029" s="42" t="str">
        <f>IFERROR(__xludf.DUMMYFUNCTION("""COMPUTED_VALUE"""),"SKPT LELANG")</f>
        <v>SKPT LELANG</v>
      </c>
      <c r="H9029" s="42">
        <f t="shared" si="1"/>
        <v>3337</v>
      </c>
    </row>
    <row r="9030" ht="22.5" customHeight="1">
      <c r="B9030" s="42" t="str">
        <f>IFERROR(__xludf.DUMMYFUNCTION("""COMPUTED_VALUE"""),"ABEKWTYD/AB06")</f>
        <v>ABEKWTYD/AB06</v>
      </c>
      <c r="C9030" s="42" t="str">
        <f>IFERROR(__xludf.DUMMYFUNCTION("""COMPUTED_VALUE"""),"M. 4713/sukadana ham")</f>
        <v>M. 4713/sukadana ham</v>
      </c>
      <c r="D9030" s="42"/>
      <c r="E9030" s="42"/>
      <c r="F9030" s="48" t="str">
        <f>IFERROR(__xludf.DUMMYFUNCTION("""COMPUTED_VALUE"""),"")</f>
        <v/>
      </c>
      <c r="G9030" s="42" t="str">
        <f>IFERROR(__xludf.DUMMYFUNCTION("""COMPUTED_VALUE"""),"BN jual beli")</f>
        <v>BN jual beli</v>
      </c>
      <c r="H9030" s="42">
        <f t="shared" si="1"/>
        <v>3337</v>
      </c>
    </row>
    <row r="9031" ht="22.5" customHeight="1">
      <c r="B9031" s="42" t="str">
        <f>IFERROR(__xludf.DUMMYFUNCTION("""COMPUTED_VALUE"""),"ABIIYIWI/AB06")</f>
        <v>ABIIYIWI/AB06</v>
      </c>
      <c r="C9031" s="42" t="str">
        <f>IFERROR(__xludf.DUMMYFUNCTION("""COMPUTED_VALUE"""),"M. Nibel 24897/way kandis")</f>
        <v>M. Nibel 24897/way kandis</v>
      </c>
      <c r="D9031" s="42"/>
      <c r="E9031" s="42"/>
      <c r="F9031" s="48" t="str">
        <f>IFERROR(__xludf.DUMMYFUNCTION("""COMPUTED_VALUE"""),"")</f>
        <v/>
      </c>
      <c r="G9031" s="42" t="str">
        <f>IFERROR(__xludf.DUMMYFUNCTION("""COMPUTED_VALUE"""),"BN jual beli")</f>
        <v>BN jual beli</v>
      </c>
      <c r="H9031" s="42">
        <f t="shared" si="1"/>
        <v>3337</v>
      </c>
    </row>
    <row r="9032" ht="22.5" customHeight="1">
      <c r="B9032" s="42" t="str">
        <f>IFERROR(__xludf.DUMMYFUNCTION("""COMPUTED_VALUE"""),"ABBKWVPD/1")</f>
        <v>ABBKWVPD/1</v>
      </c>
      <c r="C9032" s="42" t="str">
        <f>IFERROR(__xludf.DUMMYFUNCTION("""COMPUTED_VALUE"""),"01063/Gunung Agung")</f>
        <v>01063/Gunung Agung</v>
      </c>
      <c r="D9032" s="42"/>
      <c r="E9032" s="42"/>
      <c r="F9032" s="48" t="str">
        <f>IFERROR(__xludf.DUMMYFUNCTION("""COMPUTED_VALUE"""),"")</f>
        <v/>
      </c>
      <c r="G9032" s="42" t="str">
        <f>IFERROR(__xludf.DUMMYFUNCTION("""COMPUTED_VALUE"""),"AJB BN")</f>
        <v>AJB BN</v>
      </c>
      <c r="H9032" s="42">
        <f t="shared" si="1"/>
        <v>3337</v>
      </c>
    </row>
    <row r="9033" ht="22.5" customHeight="1">
      <c r="B9033" s="42" t="str">
        <f>IFERROR(__xludf.DUMMYFUNCTION("""COMPUTED_VALUE"""),"ALSPHEX")</f>
        <v>ALSPHEX</v>
      </c>
      <c r="C9033" s="42" t="str">
        <f>IFERROR(__xludf.DUMMYFUNCTION("""COMPUTED_VALUE"""),"Sertipikat Hak Milik Atas Satuan Rumah Susun, NIB. 08.01.000024200.3")</f>
        <v>Sertipikat Hak Milik Atas Satuan Rumah Susun, NIB. 08.01.000024200.3</v>
      </c>
      <c r="D9033" s="42"/>
      <c r="E9033" s="42"/>
      <c r="F9033" s="48" t="str">
        <f>IFERROR(__xludf.DUMMYFUNCTION("""COMPUTED_VALUE"""),"")</f>
        <v/>
      </c>
      <c r="G9033" s="42" t="str">
        <f>IFERROR(__xludf.DUMMYFUNCTION("""COMPUTED_VALUE"""),"Jual Beli")</f>
        <v>Jual Beli</v>
      </c>
      <c r="H9033" s="42">
        <f t="shared" si="1"/>
        <v>3337</v>
      </c>
    </row>
    <row r="9034" ht="22.5" customHeight="1">
      <c r="B9034" s="42" t="str">
        <f>IFERROR(__xludf.DUMMYFUNCTION("""COMPUTED_VALUE"""),"AEBGZUQ")</f>
        <v>AEBGZUQ</v>
      </c>
      <c r="C9034" s="42" t="str">
        <f>IFERROR(__xludf.DUMMYFUNCTION("""COMPUTED_VALUE"""),"Sertipikat Hak Milik 443/Kaliawi Persada")</f>
        <v>Sertipikat Hak Milik 443/Kaliawi Persada</v>
      </c>
      <c r="D9034" s="42"/>
      <c r="E9034" s="42"/>
      <c r="F9034" s="48" t="str">
        <f>IFERROR(__xludf.DUMMYFUNCTION("""COMPUTED_VALUE"""),"")</f>
        <v/>
      </c>
      <c r="G9034" s="42" t="str">
        <f>IFERROR(__xludf.DUMMYFUNCTION("""COMPUTED_VALUE"""),"Jual beli")</f>
        <v>Jual beli</v>
      </c>
      <c r="H9034" s="42">
        <f t="shared" si="1"/>
        <v>3337</v>
      </c>
    </row>
    <row r="9035" ht="22.5" customHeight="1">
      <c r="B9035" s="42" t="str">
        <f>IFERROR(__xludf.DUMMYFUNCTION("""COMPUTED_VALUE"""),"ABLVBZXR/AB022")</f>
        <v>ABLVBZXR/AB022</v>
      </c>
      <c r="C9035" s="42" t="str">
        <f>IFERROR(__xludf.DUMMYFUNCTION("""COMPUTED_VALUE"""),"M. Nibel 22251/Surabaya")</f>
        <v>M. Nibel 22251/Surabaya</v>
      </c>
      <c r="D9035" s="42"/>
      <c r="E9035" s="42"/>
      <c r="F9035" s="48" t="str">
        <f>IFERROR(__xludf.DUMMYFUNCTION("""COMPUTED_VALUE"""),"")</f>
        <v/>
      </c>
      <c r="G9035" s="42" t="str">
        <f>IFERROR(__xludf.DUMMYFUNCTION("""COMPUTED_VALUE"""),"Bn jual beli")</f>
        <v>Bn jual beli</v>
      </c>
      <c r="H9035" s="42">
        <f t="shared" si="1"/>
        <v>3337</v>
      </c>
    </row>
    <row r="9036" ht="22.5" customHeight="1">
      <c r="B9036" s="42" t="str">
        <f>IFERROR(__xludf.DUMMYFUNCTION("""COMPUTED_VALUE"""),"ABXOWBJQ")</f>
        <v>ABXOWBJQ</v>
      </c>
      <c r="C9036" s="42" t="str">
        <f>IFERROR(__xludf.DUMMYFUNCTION("""COMPUTED_VALUE"""),"HM N.01878")</f>
        <v>HM N.01878</v>
      </c>
      <c r="D9036" s="42"/>
      <c r="E9036" s="42"/>
      <c r="F9036" s="48" t="str">
        <f>IFERROR(__xludf.DUMMYFUNCTION("""COMPUTED_VALUE"""),"")</f>
        <v/>
      </c>
      <c r="G9036" s="42" t="str">
        <f>IFERROR(__xludf.DUMMYFUNCTION("""COMPUTED_VALUE"""),"BN jual beli")</f>
        <v>BN jual beli</v>
      </c>
      <c r="H9036" s="42">
        <f t="shared" si="1"/>
        <v>3337</v>
      </c>
    </row>
    <row r="9037" ht="22.5" customHeight="1">
      <c r="B9037" s="42" t="str">
        <f>IFERROR(__xludf.DUMMYFUNCTION("""COMPUTED_VALUE"""),"ABBZDPMQ")</f>
        <v>ABBZDPMQ</v>
      </c>
      <c r="C9037" s="42" t="str">
        <f>IFERROR(__xludf.DUMMYFUNCTION("""COMPUTED_VALUE"""),"HGB.00026/SURABAYA")</f>
        <v>HGB.00026/SURABAYA</v>
      </c>
      <c r="D9037" s="42"/>
      <c r="E9037" s="42"/>
      <c r="F9037" s="48" t="str">
        <f>IFERROR(__xludf.DUMMYFUNCTION("""COMPUTED_VALUE"""),"")</f>
        <v/>
      </c>
      <c r="G9037" s="42" t="str">
        <f>IFERROR(__xludf.DUMMYFUNCTION("""COMPUTED_VALUE"""),"Pembaharuan hak")</f>
        <v>Pembaharuan hak</v>
      </c>
      <c r="H9037" s="42">
        <f t="shared" si="1"/>
        <v>3337</v>
      </c>
    </row>
    <row r="9038" ht="22.5" customHeight="1">
      <c r="B9038" s="42" t="str">
        <f>IFERROR(__xludf.DUMMYFUNCTION("""COMPUTED_VALUE"""),"ABIYYZSQ")</f>
        <v>ABIYYZSQ</v>
      </c>
      <c r="C9038" s="42" t="str">
        <f>IFERROR(__xludf.DUMMYFUNCTION("""COMPUTED_VALUE"""),"HGB N.23037/sidodadi")</f>
        <v>HGB N.23037/sidodadi</v>
      </c>
      <c r="D9038" s="42"/>
      <c r="E9038" s="42"/>
      <c r="F9038" s="48" t="str">
        <f>IFERROR(__xludf.DUMMYFUNCTION("""COMPUTED_VALUE"""),"")</f>
        <v/>
      </c>
      <c r="G9038" s="42" t="str">
        <f>IFERROR(__xludf.DUMMYFUNCTION("""COMPUTED_VALUE"""),"Perpanjangan hak")</f>
        <v>Perpanjangan hak</v>
      </c>
      <c r="H9038" s="42">
        <f t="shared" si="1"/>
        <v>3337</v>
      </c>
    </row>
    <row r="9039" ht="22.5" customHeight="1">
      <c r="B9039" s="42" t="str">
        <f>IFERROR(__xludf.DUMMYFUNCTION("""COMPUTED_VALUE"""),"K/14/061125/1")</f>
        <v>K/14/061125/1</v>
      </c>
      <c r="C9039" s="42" t="str">
        <f>IFERROR(__xludf.DUMMYFUNCTION("""COMPUTED_VALUE"""),"B. 171/GEDONG MENENG")</f>
        <v>B. 171/GEDONG MENENG</v>
      </c>
      <c r="D9039" s="42"/>
      <c r="E9039" s="42"/>
      <c r="F9039" s="48" t="str">
        <f>IFERROR(__xludf.DUMMYFUNCTION("""COMPUTED_VALUE"""),"")</f>
        <v/>
      </c>
      <c r="G9039" s="42" t="str">
        <f>IFERROR(__xludf.DUMMYFUNCTION("""COMPUTED_VALUE"""),"ROYA")</f>
        <v>ROYA</v>
      </c>
      <c r="H9039" s="42">
        <f t="shared" si="1"/>
        <v>3337</v>
      </c>
    </row>
    <row r="9040" ht="22.5" customHeight="1">
      <c r="B9040" s="42" t="str">
        <f>IFERROR(__xludf.DUMMYFUNCTION("""COMPUTED_VALUE"""),"AB32")</f>
        <v>AB32</v>
      </c>
      <c r="C9040" s="42" t="str">
        <f>IFERROR(__xludf.DUMMYFUNCTION("""COMPUTED_VALUE"""),"Shm 376/E")</f>
        <v>Shm 376/E</v>
      </c>
      <c r="D9040" s="42"/>
      <c r="E9040" s="42"/>
      <c r="F9040" s="48" t="str">
        <f>IFERROR(__xludf.DUMMYFUNCTION("""COMPUTED_VALUE"""),"")</f>
        <v/>
      </c>
      <c r="G9040" s="42" t="str">
        <f>IFERROR(__xludf.DUMMYFUNCTION("""COMPUTED_VALUE"""),"Hibah")</f>
        <v>Hibah</v>
      </c>
      <c r="H9040" s="42">
        <f t="shared" si="1"/>
        <v>3337</v>
      </c>
    </row>
    <row r="9041" ht="22.5" customHeight="1">
      <c r="B9041" s="42" t="str">
        <f>IFERROR(__xludf.DUMMYFUNCTION("""COMPUTED_VALUE"""),"ABMRKYVP/AB062")</f>
        <v>ABMRKYVP/AB062</v>
      </c>
      <c r="C9041" s="42" t="str">
        <f>IFERROR(__xludf.DUMMYFUNCTION("""COMPUTED_VALUE"""),"M. 1465/Labuhan Ratu Raya")</f>
        <v>M. 1465/Labuhan Ratu Raya</v>
      </c>
      <c r="D9041" s="42"/>
      <c r="E9041" s="42"/>
      <c r="F9041" s="48" t="str">
        <f>IFERROR(__xludf.DUMMYFUNCTION("""COMPUTED_VALUE"""),"")</f>
        <v/>
      </c>
      <c r="G9041" s="42" t="str">
        <f>IFERROR(__xludf.DUMMYFUNCTION("""COMPUTED_VALUE"""),"Bn jual beli")</f>
        <v>Bn jual beli</v>
      </c>
      <c r="H9041" s="42">
        <f t="shared" si="1"/>
        <v>3337</v>
      </c>
    </row>
    <row r="9042" ht="22.5" customHeight="1">
      <c r="B9042" s="42" t="str">
        <f>IFERROR(__xludf.DUMMYFUNCTION("""COMPUTED_VALUE"""),"K/15/061125/1")</f>
        <v>K/15/061125/1</v>
      </c>
      <c r="C9042" s="42" t="str">
        <f>IFERROR(__xludf.DUMMYFUNCTION("""COMPUTED_VALUE"""),"M. 787/PERUMNAS DAN M. 2018/PERUMNAS WAY HALIM")</f>
        <v>M. 787/PERUMNAS DAN M. 2018/PERUMNAS WAY HALIM</v>
      </c>
      <c r="D9042" s="42"/>
      <c r="E9042" s="42"/>
      <c r="F9042" s="48" t="str">
        <f>IFERROR(__xludf.DUMMYFUNCTION("""COMPUTED_VALUE"""),"")</f>
        <v/>
      </c>
      <c r="G9042" s="42" t="str">
        <f>IFERROR(__xludf.DUMMYFUNCTION("""COMPUTED_VALUE"""),"ROYA")</f>
        <v>ROYA</v>
      </c>
      <c r="H9042" s="42">
        <f t="shared" si="1"/>
        <v>3337</v>
      </c>
    </row>
    <row r="9043" ht="22.5" customHeight="1">
      <c r="B9043" s="42" t="str">
        <f>IFERROR(__xludf.DUMMYFUNCTION("""COMPUTED_VALUE"""),"L/16/061125/1")</f>
        <v>L/16/061125/1</v>
      </c>
      <c r="C9043" s="42" t="str">
        <f>IFERROR(__xludf.DUMMYFUNCTION("""COMPUTED_VALUE"""),"B.1353/TANJUNG SENENG")</f>
        <v>B.1353/TANJUNG SENENG</v>
      </c>
      <c r="D9043" s="42"/>
      <c r="E9043" s="42"/>
      <c r="F9043" s="48" t="str">
        <f>IFERROR(__xludf.DUMMYFUNCTION("""COMPUTED_VALUE"""),"")</f>
        <v/>
      </c>
      <c r="G9043" s="42" t="str">
        <f>IFERROR(__xludf.DUMMYFUNCTION("""COMPUTED_VALUE"""),"ROYA")</f>
        <v>ROYA</v>
      </c>
      <c r="H9043" s="42">
        <f t="shared" si="1"/>
        <v>3337</v>
      </c>
    </row>
    <row r="9044" ht="22.5" customHeight="1">
      <c r="B9044" s="42" t="str">
        <f>IFERROR(__xludf.DUMMYFUNCTION("""COMPUTED_VALUE"""),"L/17/061125/1")</f>
        <v>L/17/061125/1</v>
      </c>
      <c r="C9044" s="42" t="str">
        <f>IFERROR(__xludf.DUMMYFUNCTION("""COMPUTED_VALUE"""),"M.1514/RAJABASA JAYA")</f>
        <v>M.1514/RAJABASA JAYA</v>
      </c>
      <c r="D9044" s="42"/>
      <c r="E9044" s="42"/>
      <c r="F9044" s="48" t="str">
        <f>IFERROR(__xludf.DUMMYFUNCTION("""COMPUTED_VALUE"""),"")</f>
        <v/>
      </c>
      <c r="G9044" s="42" t="str">
        <f>IFERROR(__xludf.DUMMYFUNCTION("""COMPUTED_VALUE"""),"HAPUS BPHTB")</f>
        <v>HAPUS BPHTB</v>
      </c>
      <c r="H9044" s="42">
        <f t="shared" si="1"/>
        <v>3337</v>
      </c>
    </row>
    <row r="9045" ht="22.5" customHeight="1">
      <c r="B9045" s="42" t="str">
        <f>IFERROR(__xludf.DUMMYFUNCTION("""COMPUTED_VALUE"""),"ABHFJPMF/Ab073")</f>
        <v>ABHFJPMF/Ab073</v>
      </c>
      <c r="C9045" s="42" t="str">
        <f>IFERROR(__xludf.DUMMYFUNCTION("""COMPUTED_VALUE"""),"M 03345/Kemiling Permai")</f>
        <v>M 03345/Kemiling Permai</v>
      </c>
      <c r="D9045" s="42"/>
      <c r="E9045" s="42"/>
      <c r="F9045" s="48" t="str">
        <f>IFERROR(__xludf.DUMMYFUNCTION("""COMPUTED_VALUE"""),"")</f>
        <v/>
      </c>
      <c r="G9045" s="42" t="str">
        <f>IFERROR(__xludf.DUMMYFUNCTION("""COMPUTED_VALUE"""),"Bn jual beli")</f>
        <v>Bn jual beli</v>
      </c>
      <c r="H9045" s="42">
        <f t="shared" si="1"/>
        <v>3337</v>
      </c>
    </row>
    <row r="9046" ht="22.5" customHeight="1">
      <c r="B9046" s="42" t="str">
        <f>IFERROR(__xludf.DUMMYFUNCTION("""COMPUTED_VALUE"""),"AB024")</f>
        <v>AB024</v>
      </c>
      <c r="C9046" s="42" t="str">
        <f>IFERROR(__xludf.DUMMYFUNCTION("""COMPUTED_VALUE"""),"08.01.00002196.0")</f>
        <v>08.01.00002196.0</v>
      </c>
      <c r="D9046" s="42"/>
      <c r="E9046" s="42"/>
      <c r="F9046" s="48" t="str">
        <f>IFERROR(__xludf.DUMMYFUNCTION("""COMPUTED_VALUE"""),"")</f>
        <v/>
      </c>
      <c r="G9046" s="42" t="str">
        <f>IFERROR(__xludf.DUMMYFUNCTION("""COMPUTED_VALUE"""),"Bn")</f>
        <v>Bn</v>
      </c>
      <c r="H9046" s="42">
        <f t="shared" si="1"/>
        <v>3337</v>
      </c>
    </row>
    <row r="9047" ht="22.5" customHeight="1">
      <c r="B9047" s="42" t="str">
        <f>IFERROR(__xludf.DUMMYFUNCTION("""COMPUTED_VALUE"""),"ABXMRFTX")</f>
        <v>ABXMRFTX</v>
      </c>
      <c r="C9047" s="42" t="str">
        <f>IFERROR(__xludf.DUMMYFUNCTION("""COMPUTED_VALUE"""),"M.00322/pematang wangi")</f>
        <v>M.00322/pematang wangi</v>
      </c>
      <c r="D9047" s="42"/>
      <c r="E9047" s="42"/>
      <c r="F9047" s="48" t="str">
        <f>IFERROR(__xludf.DUMMYFUNCTION("""COMPUTED_VALUE"""),"")</f>
        <v/>
      </c>
      <c r="G9047" s="42" t="str">
        <f>IFERROR(__xludf.DUMMYFUNCTION("""COMPUTED_VALUE"""),"Pembaharuan hak")</f>
        <v>Pembaharuan hak</v>
      </c>
      <c r="H9047" s="42">
        <f t="shared" si="1"/>
        <v>3337</v>
      </c>
    </row>
    <row r="9048" ht="22.5" customHeight="1">
      <c r="B9048" s="42" t="str">
        <f>IFERROR(__xludf.DUMMYFUNCTION("""COMPUTED_VALUE"""),"ABZRKJTC/AB073")</f>
        <v>ABZRKJTC/AB073</v>
      </c>
      <c r="C9048" s="42" t="str">
        <f>IFERROR(__xludf.DUMMYFUNCTION("""COMPUTED_VALUE"""),"M. Nibel 25466/Bilabong Jaya")</f>
        <v>M. Nibel 25466/Bilabong Jaya</v>
      </c>
      <c r="D9048" s="42"/>
      <c r="E9048" s="42"/>
      <c r="F9048" s="48" t="str">
        <f>IFERROR(__xludf.DUMMYFUNCTION("""COMPUTED_VALUE"""),"")</f>
        <v/>
      </c>
      <c r="G9048" s="42" t="str">
        <f>IFERROR(__xludf.DUMMYFUNCTION("""COMPUTED_VALUE"""),"Bn jual beli")</f>
        <v>Bn jual beli</v>
      </c>
      <c r="H9048" s="42">
        <f t="shared" si="1"/>
        <v>3337</v>
      </c>
    </row>
    <row r="9049" ht="22.5" customHeight="1">
      <c r="B9049" s="42" t="str">
        <f>IFERROR(__xludf.DUMMYFUNCTION("""COMPUTED_VALUE"""),"K/18/061125/1")</f>
        <v>K/18/061125/1</v>
      </c>
      <c r="C9049" s="42" t="str">
        <f>IFERROR(__xludf.DUMMYFUNCTION("""COMPUTED_VALUE"""),"B. 1385/PINANG JAYA")</f>
        <v>B. 1385/PINANG JAYA</v>
      </c>
      <c r="D9049" s="42"/>
      <c r="E9049" s="42"/>
      <c r="F9049" s="48" t="str">
        <f>IFERROR(__xludf.DUMMYFUNCTION("""COMPUTED_VALUE"""),"")</f>
        <v/>
      </c>
      <c r="G9049" s="42" t="str">
        <f>IFERROR(__xludf.DUMMYFUNCTION("""COMPUTED_VALUE"""),"PENINGKATAN HAK")</f>
        <v>PENINGKATAN HAK</v>
      </c>
      <c r="H9049" s="42">
        <f t="shared" si="1"/>
        <v>3337</v>
      </c>
    </row>
    <row r="9050" ht="22.5" customHeight="1">
      <c r="B9050" s="42" t="str">
        <f>IFERROR(__xludf.DUMMYFUNCTION("""COMPUTED_VALUE"""),"ABDNJGSR")</f>
        <v>ABDNJGSR</v>
      </c>
      <c r="C9050" s="42" t="str">
        <f>IFERROR(__xludf.DUMMYFUNCTION("""COMPUTED_VALUE"""),"Nibel M 18827/ kota sepang")</f>
        <v>Nibel M 18827/ kota sepang</v>
      </c>
      <c r="D9050" s="42"/>
      <c r="E9050" s="42"/>
      <c r="F9050" s="48" t="str">
        <f>IFERROR(__xludf.DUMMYFUNCTION("""COMPUTED_VALUE"""),"")</f>
        <v/>
      </c>
      <c r="G9050" s="42" t="str">
        <f>IFERROR(__xludf.DUMMYFUNCTION("""COMPUTED_VALUE"""),"Balik nama jual beli")</f>
        <v>Balik nama jual beli</v>
      </c>
      <c r="H9050" s="42">
        <f t="shared" si="1"/>
        <v>3337</v>
      </c>
    </row>
    <row r="9051" ht="22.5" customHeight="1">
      <c r="B9051" s="42" t="str">
        <f>IFERROR(__xludf.DUMMYFUNCTION("""COMPUTED_VALUE"""),"ABFFLNWJ")</f>
        <v>ABFFLNWJ</v>
      </c>
      <c r="C9051" s="42" t="str">
        <f>IFERROR(__xludf.DUMMYFUNCTION("""COMPUTED_VALUE"""),"SHM 25650 Enggal")</f>
        <v>SHM 25650 Enggal</v>
      </c>
      <c r="D9051" s="42"/>
      <c r="E9051" s="42"/>
      <c r="F9051" s="48" t="str">
        <f>IFERROR(__xludf.DUMMYFUNCTION("""COMPUTED_VALUE"""),"")</f>
        <v/>
      </c>
      <c r="G9051" s="42" t="str">
        <f>IFERROR(__xludf.DUMMYFUNCTION("""COMPUTED_VALUE"""),"bn jual beli")</f>
        <v>bn jual beli</v>
      </c>
      <c r="H9051" s="42">
        <f t="shared" si="1"/>
        <v>3337</v>
      </c>
    </row>
    <row r="9052" ht="22.5" customHeight="1">
      <c r="B9052" s="42" t="str">
        <f>IFERROR(__xludf.DUMMYFUNCTION("""COMPUTED_VALUE"""),"ABICFTQK")</f>
        <v>ABICFTQK</v>
      </c>
      <c r="C9052" s="42" t="str">
        <f>IFERROR(__xludf.DUMMYFUNCTION("""COMPUTED_VALUE"""),"M.5554 / gedong air")</f>
        <v>M.5554 / gedong air</v>
      </c>
      <c r="D9052" s="42"/>
      <c r="E9052" s="42"/>
      <c r="F9052" s="48" t="str">
        <f>IFERROR(__xludf.DUMMYFUNCTION("""COMPUTED_VALUE"""),"")</f>
        <v/>
      </c>
      <c r="G9052" s="42" t="str">
        <f>IFERROR(__xludf.DUMMYFUNCTION("""COMPUTED_VALUE"""),"Bn jual beli")</f>
        <v>Bn jual beli</v>
      </c>
      <c r="H9052" s="42">
        <f t="shared" si="1"/>
        <v>3337</v>
      </c>
    </row>
    <row r="9053" ht="22.5" customHeight="1">
      <c r="B9053" s="42" t="str">
        <f>IFERROR(__xludf.DUMMYFUNCTION("""COMPUTED_VALUE"""),"ABQPKXBH")</f>
        <v>ABQPKXBH</v>
      </c>
      <c r="C9053" s="42" t="str">
        <f>IFERROR(__xludf.DUMMYFUNCTION("""COMPUTED_VALUE"""),"M.1780 / sumber agung")</f>
        <v>M.1780 / sumber agung</v>
      </c>
      <c r="D9053" s="42"/>
      <c r="E9053" s="42"/>
      <c r="F9053" s="48" t="str">
        <f>IFERROR(__xludf.DUMMYFUNCTION("""COMPUTED_VALUE"""),"")</f>
        <v/>
      </c>
      <c r="G9053" s="42" t="str">
        <f>IFERROR(__xludf.DUMMYFUNCTION("""COMPUTED_VALUE"""),"Bn jual beli")</f>
        <v>Bn jual beli</v>
      </c>
      <c r="H9053" s="42">
        <f t="shared" si="1"/>
        <v>3337</v>
      </c>
    </row>
    <row r="9054" ht="22.5" customHeight="1">
      <c r="B9054" s="42" t="str">
        <f>IFERROR(__xludf.DUMMYFUNCTION("""COMPUTED_VALUE"""),"ABXEQNYQ")</f>
        <v>ABXEQNYQ</v>
      </c>
      <c r="C9054" s="42" t="str">
        <f>IFERROR(__xludf.DUMMYFUNCTION("""COMPUTED_VALUE"""),"M.5148/ tanjung senang")</f>
        <v>M.5148/ tanjung senang</v>
      </c>
      <c r="D9054" s="42"/>
      <c r="E9054" s="42"/>
      <c r="F9054" s="48" t="str">
        <f>IFERROR(__xludf.DUMMYFUNCTION("""COMPUTED_VALUE"""),"")</f>
        <v/>
      </c>
      <c r="G9054" s="42" t="str">
        <f>IFERROR(__xludf.DUMMYFUNCTION("""COMPUTED_VALUE"""),"Bn jual beli")</f>
        <v>Bn jual beli</v>
      </c>
      <c r="H9054" s="42">
        <f t="shared" si="1"/>
        <v>3337</v>
      </c>
    </row>
    <row r="9055" ht="22.5" customHeight="1">
      <c r="B9055" s="42" t="str">
        <f>IFERROR(__xludf.DUMMYFUNCTION("""COMPUTED_VALUE"""),"K/19/061125/2")</f>
        <v>K/19/061125/2</v>
      </c>
      <c r="C9055" s="42" t="str">
        <f>IFERROR(__xludf.DUMMYFUNCTION("""COMPUTED_VALUE"""),"B. 1386/PINANG JAYA")</f>
        <v>B. 1386/PINANG JAYA</v>
      </c>
      <c r="D9055" s="42"/>
      <c r="E9055" s="42"/>
      <c r="F9055" s="48" t="str">
        <f>IFERROR(__xludf.DUMMYFUNCTION("""COMPUTED_VALUE"""),"")</f>
        <v/>
      </c>
      <c r="G9055" s="42" t="str">
        <f>IFERROR(__xludf.DUMMYFUNCTION("""COMPUTED_VALUE"""),"PENINGKATAN HAK")</f>
        <v>PENINGKATAN HAK</v>
      </c>
      <c r="H9055" s="42">
        <f t="shared" si="1"/>
        <v>3337</v>
      </c>
    </row>
    <row r="9056" ht="22.5" customHeight="1">
      <c r="B9056" s="42" t="str">
        <f>IFERROR(__xludf.DUMMYFUNCTION("""COMPUTED_VALUE"""),"ABYFFAEI")</f>
        <v>ABYFFAEI</v>
      </c>
      <c r="C9056" s="42" t="str">
        <f>IFERROR(__xludf.DUMMYFUNCTION("""COMPUTED_VALUE"""),"02187")</f>
        <v>02187</v>
      </c>
      <c r="D9056" s="42"/>
      <c r="E9056" s="42"/>
      <c r="F9056" s="48" t="str">
        <f>IFERROR(__xludf.DUMMYFUNCTION("""COMPUTED_VALUE"""),"")</f>
        <v/>
      </c>
      <c r="G9056" s="42" t="str">
        <f>IFERROR(__xludf.DUMMYFUNCTION("""COMPUTED_VALUE"""),"Pengecekan")</f>
        <v>Pengecekan</v>
      </c>
      <c r="H9056" s="42">
        <f t="shared" si="1"/>
        <v>3337</v>
      </c>
    </row>
    <row r="9057" ht="22.5" customHeight="1">
      <c r="B9057" s="42" t="str">
        <f>IFERROR(__xludf.DUMMYFUNCTION("""COMPUTED_VALUE"""),"ABUZVHKD/AB095")</f>
        <v>ABUZVHKD/AB095</v>
      </c>
      <c r="C9057" s="42" t="str">
        <f>IFERROR(__xludf.DUMMYFUNCTION("""COMPUTED_VALUE"""),"M 15554/ Sukarame")</f>
        <v>M 15554/ Sukarame</v>
      </c>
      <c r="D9057" s="42"/>
      <c r="E9057" s="42"/>
      <c r="F9057" s="48" t="str">
        <f>IFERROR(__xludf.DUMMYFUNCTION("""COMPUTED_VALUE"""),"")</f>
        <v/>
      </c>
      <c r="G9057" s="42" t="str">
        <f>IFERROR(__xludf.DUMMYFUNCTION("""COMPUTED_VALUE"""),"Roya")</f>
        <v>Roya</v>
      </c>
      <c r="H9057" s="42">
        <f t="shared" si="1"/>
        <v>3337</v>
      </c>
    </row>
    <row r="9058" ht="22.5" customHeight="1">
      <c r="B9058" s="42" t="str">
        <f>IFERROR(__xludf.DUMMYFUNCTION("""COMPUTED_VALUE"""),"ABNMLWVO/AB095")</f>
        <v>ABNMLWVO/AB095</v>
      </c>
      <c r="C9058" s="42" t="str">
        <f>IFERROR(__xludf.DUMMYFUNCTION("""COMPUTED_VALUE"""),"M 15553/Sukarame")</f>
        <v>M 15553/Sukarame</v>
      </c>
      <c r="D9058" s="42" t="str">
        <f>IFERROR(__xludf.DUMMYFUNCTION("""COMPUTED_VALUE"""),"Berry")</f>
        <v>Berry</v>
      </c>
      <c r="E9058" s="42" t="str">
        <f>IFERROR(__xludf.DUMMYFUNCTION("""COMPUTED_VALUE"""),"DISERAHKAN")</f>
        <v>DISERAHKAN</v>
      </c>
      <c r="F9058" s="48">
        <f>IFERROR(__xludf.DUMMYFUNCTION("""COMPUTED_VALUE"""),46020.6574430787)</f>
        <v>46020.65744</v>
      </c>
      <c r="G9058" s="42" t="str">
        <f>IFERROR(__xludf.DUMMYFUNCTION("""COMPUTED_VALUE"""),"Roya")</f>
        <v>Roya</v>
      </c>
      <c r="H9058" s="42">
        <f t="shared" si="1"/>
        <v>3338</v>
      </c>
    </row>
    <row r="9059" ht="22.5" customHeight="1">
      <c r="B9059" s="42" t="str">
        <f>IFERROR(__xludf.DUMMYFUNCTION("""COMPUTED_VALUE"""),"ABLXYQSN")</f>
        <v>ABLXYQSN</v>
      </c>
      <c r="C9059" s="42" t="str">
        <f>IFERROR(__xludf.DUMMYFUNCTION("""COMPUTED_VALUE"""),"M.04077")</f>
        <v>M.04077</v>
      </c>
      <c r="D9059" s="42" t="str">
        <f>IFERROR(__xludf.DUMMYFUNCTION("""COMPUTED_VALUE"""),"Berry")</f>
        <v>Berry</v>
      </c>
      <c r="E9059" s="42" t="str">
        <f>IFERROR(__xludf.DUMMYFUNCTION("""COMPUTED_VALUE"""),"DISERAHKAN")</f>
        <v>DISERAHKAN</v>
      </c>
      <c r="F9059" s="48">
        <f>IFERROR(__xludf.DUMMYFUNCTION("""COMPUTED_VALUE"""),46020.657459571754)</f>
        <v>46020.65746</v>
      </c>
      <c r="G9059" s="42" t="str">
        <f>IFERROR(__xludf.DUMMYFUNCTION("""COMPUTED_VALUE"""),"Roya")</f>
        <v>Roya</v>
      </c>
      <c r="H9059" s="42">
        <f t="shared" si="1"/>
        <v>3339</v>
      </c>
    </row>
    <row r="9060" ht="22.5" customHeight="1">
      <c r="B9060" s="42" t="str">
        <f>IFERROR(__xludf.DUMMYFUNCTION("""COMPUTED_VALUE"""),"ABUPRPRB/AB093")</f>
        <v>ABUPRPRB/AB093</v>
      </c>
      <c r="C9060" s="42" t="str">
        <f>IFERROR(__xludf.DUMMYFUNCTION("""COMPUTED_VALUE"""),"SHM NIBEL 21582/Segala Mider")</f>
        <v>SHM NIBEL 21582/Segala Mider</v>
      </c>
      <c r="D9060" s="42"/>
      <c r="E9060" s="42"/>
      <c r="F9060" s="48" t="str">
        <f>IFERROR(__xludf.DUMMYFUNCTION("""COMPUTED_VALUE"""),"")</f>
        <v/>
      </c>
      <c r="G9060" s="42" t="str">
        <f>IFERROR(__xludf.DUMMYFUNCTION("""COMPUTED_VALUE"""),"Bn jual beli")</f>
        <v>Bn jual beli</v>
      </c>
      <c r="H9060" s="42">
        <f t="shared" si="1"/>
        <v>3339</v>
      </c>
    </row>
    <row r="9061" ht="22.5" customHeight="1">
      <c r="B9061" s="42" t="str">
        <f>IFERROR(__xludf.DUMMYFUNCTION("""COMPUTED_VALUE"""),"K/21/071125/1")</f>
        <v>K/21/071125/1</v>
      </c>
      <c r="C9061" s="42" t="str">
        <f>IFERROR(__xludf.DUMMYFUNCTION("""COMPUTED_VALUE"""),"M.15172/SUKARAME I")</f>
        <v>M.15172/SUKARAME I</v>
      </c>
      <c r="D9061" s="42"/>
      <c r="E9061" s="42"/>
      <c r="F9061" s="48" t="str">
        <f>IFERROR(__xludf.DUMMYFUNCTION("""COMPUTED_VALUE"""),"")</f>
        <v/>
      </c>
      <c r="G9061" s="42" t="str">
        <f>IFERROR(__xludf.DUMMYFUNCTION("""COMPUTED_VALUE"""),"ROYA")</f>
        <v>ROYA</v>
      </c>
      <c r="H9061" s="42">
        <f t="shared" si="1"/>
        <v>3339</v>
      </c>
    </row>
    <row r="9062" ht="22.5" customHeight="1">
      <c r="B9062" s="42" t="str">
        <f>IFERROR(__xludf.DUMMYFUNCTION("""COMPUTED_VALUE"""),"K/22/071125/1")</f>
        <v>K/22/071125/1</v>
      </c>
      <c r="C9062" s="42" t="str">
        <f>IFERROR(__xludf.DUMMYFUNCTION("""COMPUTED_VALUE"""),"M.2047/PANJANG SELATAN")</f>
        <v>M.2047/PANJANG SELATAN</v>
      </c>
      <c r="D9062" s="42"/>
      <c r="E9062" s="42"/>
      <c r="F9062" s="48" t="str">
        <f>IFERROR(__xludf.DUMMYFUNCTION("""COMPUTED_VALUE"""),"")</f>
        <v/>
      </c>
      <c r="G9062" s="42" t="str">
        <f>IFERROR(__xludf.DUMMYFUNCTION("""COMPUTED_VALUE"""),"SERTIPIKAT HILANG")</f>
        <v>SERTIPIKAT HILANG</v>
      </c>
      <c r="H9062" s="42">
        <f t="shared" si="1"/>
        <v>3339</v>
      </c>
    </row>
    <row r="9063" ht="22.5" customHeight="1">
      <c r="B9063" s="42" t="str">
        <f>IFERROR(__xludf.DUMMYFUNCTION("""COMPUTED_VALUE"""),"ABHUJKLU")</f>
        <v>ABHUJKLU</v>
      </c>
      <c r="C9063" s="42" t="str">
        <f>IFERROR(__xludf.DUMMYFUNCTION("""COMPUTED_VALUE"""),"NIBEL M 25042/ panjang utara")</f>
        <v>NIBEL M 25042/ panjang utara</v>
      </c>
      <c r="D9063" s="42"/>
      <c r="E9063" s="42"/>
      <c r="F9063" s="48" t="str">
        <f>IFERROR(__xludf.DUMMYFUNCTION("""COMPUTED_VALUE"""),"")</f>
        <v/>
      </c>
      <c r="G9063" s="42" t="str">
        <f>IFERROR(__xludf.DUMMYFUNCTION("""COMPUTED_VALUE"""),"BN JUAL BELI")</f>
        <v>BN JUAL BELI</v>
      </c>
      <c r="H9063" s="42">
        <f t="shared" si="1"/>
        <v>3339</v>
      </c>
    </row>
    <row r="9064" ht="22.5" customHeight="1">
      <c r="B9064" s="42" t="str">
        <f>IFERROR(__xludf.DUMMYFUNCTION("""COMPUTED_VALUE"""),"ABIIMNEA")</f>
        <v>ABIIMNEA</v>
      </c>
      <c r="C9064" s="42" t="str">
        <f>IFERROR(__xludf.DUMMYFUNCTION("""COMPUTED_VALUE"""),"nibel m 2392/ sukabumi")</f>
        <v>nibel m 2392/ sukabumi</v>
      </c>
      <c r="D9064" s="42"/>
      <c r="E9064" s="42"/>
      <c r="F9064" s="48" t="str">
        <f>IFERROR(__xludf.DUMMYFUNCTION("""COMPUTED_VALUE"""),"")</f>
        <v/>
      </c>
      <c r="G9064" s="42" t="str">
        <f>IFERROR(__xludf.DUMMYFUNCTION("""COMPUTED_VALUE"""),"bn hibah")</f>
        <v>bn hibah</v>
      </c>
      <c r="H9064" s="42">
        <f t="shared" si="1"/>
        <v>3339</v>
      </c>
    </row>
    <row r="9065" ht="22.5" customHeight="1">
      <c r="B9065" s="42" t="str">
        <f>IFERROR(__xludf.DUMMYFUNCTION("""COMPUTED_VALUE"""),"L/1/081125/1")</f>
        <v>L/1/081125/1</v>
      </c>
      <c r="C9065" s="42" t="str">
        <f>IFERROR(__xludf.DUMMYFUNCTION("""COMPUTED_VALUE"""),"SHM. 153/Tanjung Gading")</f>
        <v>SHM. 153/Tanjung Gading</v>
      </c>
      <c r="D9065" s="42"/>
      <c r="E9065" s="42"/>
      <c r="F9065" s="48" t="str">
        <f>IFERROR(__xludf.DUMMYFUNCTION("""COMPUTED_VALUE"""),"")</f>
        <v/>
      </c>
      <c r="G9065" s="42" t="str">
        <f>IFERROR(__xludf.DUMMYFUNCTION("""COMPUTED_VALUE"""),"Roya")</f>
        <v>Roya</v>
      </c>
      <c r="H9065" s="42">
        <f t="shared" si="1"/>
        <v>3339</v>
      </c>
    </row>
    <row r="9066" ht="22.5" customHeight="1">
      <c r="B9066" s="42" t="str">
        <f>IFERROR(__xludf.DUMMYFUNCTION("""COMPUTED_VALUE"""),"L/2/081125/2")</f>
        <v>L/2/081125/2</v>
      </c>
      <c r="C9066" s="42" t="str">
        <f>IFERROR(__xludf.DUMMYFUNCTION("""COMPUTED_VALUE"""),"PBT 87/2023")</f>
        <v>PBT 87/2023</v>
      </c>
      <c r="D9066" s="42"/>
      <c r="E9066" s="42"/>
      <c r="F9066" s="48" t="str">
        <f>IFERROR(__xludf.DUMMYFUNCTION("""COMPUTED_VALUE"""),"")</f>
        <v/>
      </c>
      <c r="G9066" s="42" t="str">
        <f>IFERROR(__xludf.DUMMYFUNCTION("""COMPUTED_VALUE"""),"Permohonan SK")</f>
        <v>Permohonan SK</v>
      </c>
      <c r="H9066" s="42">
        <f t="shared" si="1"/>
        <v>3339</v>
      </c>
    </row>
    <row r="9067" ht="22.5" customHeight="1">
      <c r="B9067" s="42" t="str">
        <f>IFERROR(__xludf.DUMMYFUNCTION("""COMPUTED_VALUE"""),"ABSNTSJA")</f>
        <v>ABSNTSJA</v>
      </c>
      <c r="C9067" s="42">
        <f>IFERROR(__xludf.DUMMYFUNCTION("""COMPUTED_VALUE"""),25343.0)</f>
        <v>25343</v>
      </c>
      <c r="D9067" s="42"/>
      <c r="E9067" s="42"/>
      <c r="F9067" s="48" t="str">
        <f>IFERROR(__xludf.DUMMYFUNCTION("""COMPUTED_VALUE"""),"")</f>
        <v/>
      </c>
      <c r="G9067" s="42" t="str">
        <f>IFERROR(__xludf.DUMMYFUNCTION("""COMPUTED_VALUE"""),"Bn jual beli ")</f>
        <v>Bn jual beli </v>
      </c>
      <c r="H9067" s="42">
        <f t="shared" si="1"/>
        <v>3339</v>
      </c>
    </row>
    <row r="9068" ht="22.5" customHeight="1">
      <c r="B9068" s="42" t="str">
        <f>IFERROR(__xludf.DUMMYFUNCTION("""COMPUTED_VALUE"""),"ABTREAUN/1")</f>
        <v>ABTREAUN/1</v>
      </c>
      <c r="C9068" s="42" t="str">
        <f>IFERROR(__xludf.DUMMYFUNCTION("""COMPUTED_VALUE"""),"M.2048/Jagabaya III")</f>
        <v>M.2048/Jagabaya III</v>
      </c>
      <c r="D9068" s="42"/>
      <c r="E9068" s="42"/>
      <c r="F9068" s="48" t="str">
        <f>IFERROR(__xludf.DUMMYFUNCTION("""COMPUTED_VALUE"""),"")</f>
        <v/>
      </c>
      <c r="G9068" s="42" t="str">
        <f>IFERROR(__xludf.DUMMYFUNCTION("""COMPUTED_VALUE"""),"Peralihan Hak Jual Beli")</f>
        <v>Peralihan Hak Jual Beli</v>
      </c>
      <c r="H9068" s="42">
        <f t="shared" si="1"/>
        <v>3339</v>
      </c>
    </row>
    <row r="9069" ht="22.5" customHeight="1">
      <c r="B9069" s="42" t="str">
        <f>IFERROR(__xludf.DUMMYFUNCTION("""COMPUTED_VALUE"""),"K/20/061125/1")</f>
        <v>K/20/061125/1</v>
      </c>
      <c r="C9069" s="42" t="str">
        <f>IFERROR(__xludf.DUMMYFUNCTION("""COMPUTED_VALUE"""),"B. 649/NUSANTARA PERMAI")</f>
        <v>B. 649/NUSANTARA PERMAI</v>
      </c>
      <c r="D9069" s="42"/>
      <c r="E9069" s="42"/>
      <c r="F9069" s="48" t="str">
        <f>IFERROR(__xludf.DUMMYFUNCTION("""COMPUTED_VALUE"""),"")</f>
        <v/>
      </c>
      <c r="G9069" s="42" t="str">
        <f>IFERROR(__xludf.DUMMYFUNCTION("""COMPUTED_VALUE"""),"PENINGKATAN HAK")</f>
        <v>PENINGKATAN HAK</v>
      </c>
      <c r="H9069" s="42">
        <f t="shared" si="1"/>
        <v>3339</v>
      </c>
    </row>
    <row r="9070" ht="22.5" customHeight="1">
      <c r="B9070" s="42" t="str">
        <f>IFERROR(__xludf.DUMMYFUNCTION("""COMPUTED_VALUE"""),"L/2/081125/1")</f>
        <v>L/2/081125/1</v>
      </c>
      <c r="C9070" s="42" t="str">
        <f>IFERROR(__xludf.DUMMYFUNCTION("""COMPUTED_VALUE"""),"M. 6045/Tanjung Senang")</f>
        <v>M. 6045/Tanjung Senang</v>
      </c>
      <c r="D9070" s="42"/>
      <c r="E9070" s="42"/>
      <c r="F9070" s="48" t="str">
        <f>IFERROR(__xludf.DUMMYFUNCTION("""COMPUTED_VALUE"""),"")</f>
        <v/>
      </c>
      <c r="G9070" s="42" t="str">
        <f>IFERROR(__xludf.DUMMYFUNCTION("""COMPUTED_VALUE"""),"Roya")</f>
        <v>Roya</v>
      </c>
      <c r="H9070" s="42">
        <f t="shared" si="1"/>
        <v>3339</v>
      </c>
    </row>
    <row r="9071" ht="22.5" customHeight="1">
      <c r="B9071" s="42" t="str">
        <f>IFERROR(__xludf.DUMMYFUNCTION("""COMPUTED_VALUE"""),"AB027/ABGSWEGN")</f>
        <v>AB027/ABGSWEGN</v>
      </c>
      <c r="C9071" s="42" t="str">
        <f>IFERROR(__xludf.DUMMYFUNCTION("""COMPUTED_VALUE"""),"SHM No.417/SKB.I")</f>
        <v>SHM No.417/SKB.I</v>
      </c>
      <c r="D9071" s="42"/>
      <c r="E9071" s="42"/>
      <c r="F9071" s="48" t="str">
        <f>IFERROR(__xludf.DUMMYFUNCTION("""COMPUTED_VALUE"""),"")</f>
        <v/>
      </c>
      <c r="G9071" s="42" t="str">
        <f>IFERROR(__xludf.DUMMYFUNCTION("""COMPUTED_VALUE"""),"Waris")</f>
        <v>Waris</v>
      </c>
      <c r="H9071" s="42">
        <f t="shared" si="1"/>
        <v>3339</v>
      </c>
    </row>
    <row r="9072" ht="22.5" customHeight="1">
      <c r="B9072" s="42" t="str">
        <f>IFERROR(__xludf.DUMMYFUNCTION("""COMPUTED_VALUE"""),"AB0001")</f>
        <v>AB0001</v>
      </c>
      <c r="C9072" s="42" t="str">
        <f>IFERROR(__xludf.DUMMYFUNCTION("""COMPUTED_VALUE"""),"M 614/Gunung Terang-")</f>
        <v>M 614/Gunung Terang-</v>
      </c>
      <c r="D9072" s="42"/>
      <c r="E9072" s="42"/>
      <c r="F9072" s="48" t="str">
        <f>IFERROR(__xludf.DUMMYFUNCTION("""COMPUTED_VALUE"""),"")</f>
        <v/>
      </c>
      <c r="G9072" s="42" t="str">
        <f>IFERROR(__xludf.DUMMYFUNCTION("""COMPUTED_VALUE"""),"Ganti Desa")</f>
        <v>Ganti Desa</v>
      </c>
      <c r="H9072" s="42">
        <f t="shared" si="1"/>
        <v>3339</v>
      </c>
    </row>
    <row r="9073" ht="22.5" customHeight="1">
      <c r="B9073" s="42" t="str">
        <f>IFERROR(__xludf.DUMMYFUNCTION("""COMPUTED_VALUE"""),"ABHOUGGJ")</f>
        <v>ABHOUGGJ</v>
      </c>
      <c r="C9073" s="42" t="str">
        <f>IFERROR(__xludf.DUMMYFUNCTION("""COMPUTED_VALUE"""),"Hak milik 448/Enggal")</f>
        <v>Hak milik 448/Enggal</v>
      </c>
      <c r="D9073" s="42"/>
      <c r="E9073" s="42"/>
      <c r="F9073" s="48" t="str">
        <f>IFERROR(__xludf.DUMMYFUNCTION("""COMPUTED_VALUE"""),"")</f>
        <v/>
      </c>
      <c r="G9073" s="42" t="str">
        <f>IFERROR(__xludf.DUMMYFUNCTION("""COMPUTED_VALUE"""),"Hibah")</f>
        <v>Hibah</v>
      </c>
      <c r="H9073" s="42">
        <f t="shared" si="1"/>
        <v>3339</v>
      </c>
    </row>
    <row r="9074" ht="22.5" customHeight="1">
      <c r="B9074" s="42" t="str">
        <f>IFERROR(__xludf.DUMMYFUNCTION("""COMPUTED_VALUE"""),"ABTWUDTY/AB041")</f>
        <v>ABTWUDTY/AB041</v>
      </c>
      <c r="C9074" s="42" t="str">
        <f>IFERROR(__xludf.DUMMYFUNCTION("""COMPUTED_VALUE"""),"M. 679/pasir gintung")</f>
        <v>M. 679/pasir gintung</v>
      </c>
      <c r="D9074" s="42"/>
      <c r="E9074" s="42"/>
      <c r="F9074" s="48" t="str">
        <f>IFERROR(__xludf.DUMMYFUNCTION("""COMPUTED_VALUE"""),"")</f>
        <v/>
      </c>
      <c r="G9074" s="42" t="str">
        <f>IFERROR(__xludf.DUMMYFUNCTION("""COMPUTED_VALUE"""),"Roya")</f>
        <v>Roya</v>
      </c>
      <c r="H9074" s="42">
        <f t="shared" si="1"/>
        <v>3339</v>
      </c>
    </row>
    <row r="9075" ht="22.5" customHeight="1">
      <c r="B9075" s="42" t="str">
        <f>IFERROR(__xludf.DUMMYFUNCTION("""COMPUTED_VALUE"""),"K/1/101125/1")</f>
        <v>K/1/101125/1</v>
      </c>
      <c r="C9075" s="42" t="str">
        <f>IFERROR(__xludf.DUMMYFUNCTION("""COMPUTED_VALUE"""),"M. 12723/BERINGIN RAYA")</f>
        <v>M. 12723/BERINGIN RAYA</v>
      </c>
      <c r="D9075" s="42"/>
      <c r="E9075" s="42"/>
      <c r="F9075" s="48" t="str">
        <f>IFERROR(__xludf.DUMMYFUNCTION("""COMPUTED_VALUE"""),"")</f>
        <v/>
      </c>
      <c r="G9075" s="42" t="str">
        <f>IFERROR(__xludf.DUMMYFUNCTION("""COMPUTED_VALUE"""),"ROYA")</f>
        <v>ROYA</v>
      </c>
      <c r="H9075" s="42">
        <f t="shared" si="1"/>
        <v>3339</v>
      </c>
    </row>
    <row r="9076" ht="22.5" customHeight="1">
      <c r="B9076" s="42" t="str">
        <f>IFERROR(__xludf.DUMMYFUNCTION("""COMPUTED_VALUE"""),"K/3/101125/1")</f>
        <v>K/3/101125/1</v>
      </c>
      <c r="C9076" s="42" t="str">
        <f>IFERROR(__xludf.DUMMYFUNCTION("""COMPUTED_VALUE"""),"SK NO. 361/HGB/BPN.18.71/X/2025")</f>
        <v>SK NO. 361/HGB/BPN.18.71/X/2025</v>
      </c>
      <c r="D9076" s="42" t="str">
        <f>IFERROR(__xludf.DUMMYFUNCTION("""COMPUTED_VALUE"""),"Berry")</f>
        <v>Berry</v>
      </c>
      <c r="E9076" s="42" t="str">
        <f>IFERROR(__xludf.DUMMYFUNCTION("""COMPUTED_VALUE"""),"DISERAHKAN")</f>
        <v>DISERAHKAN</v>
      </c>
      <c r="F9076" s="48">
        <f>IFERROR(__xludf.DUMMYFUNCTION("""COMPUTED_VALUE"""),46020.652053541664)</f>
        <v>46020.65205</v>
      </c>
      <c r="G9076" s="42" t="str">
        <f>IFERROR(__xludf.DUMMYFUNCTION("""COMPUTED_VALUE"""),"PENDAFTARAN SK")</f>
        <v>PENDAFTARAN SK</v>
      </c>
      <c r="H9076" s="42">
        <f t="shared" si="1"/>
        <v>3340</v>
      </c>
    </row>
    <row r="9077" ht="22.5" customHeight="1">
      <c r="B9077" s="42" t="str">
        <f>IFERROR(__xludf.DUMMYFUNCTION("""COMPUTED_VALUE"""),"ABVEYQVE/1")</f>
        <v>ABVEYQVE/1</v>
      </c>
      <c r="C9077" s="42" t="str">
        <f>IFERROR(__xludf.DUMMYFUNCTION("""COMPUTED_VALUE"""),"58/g.sl")</f>
        <v>58/g.sl</v>
      </c>
      <c r="D9077" s="42"/>
      <c r="E9077" s="42"/>
      <c r="F9077" s="48" t="str">
        <f>IFERROR(__xludf.DUMMYFUNCTION("""COMPUTED_VALUE"""),"")</f>
        <v/>
      </c>
      <c r="G9077" s="42" t="str">
        <f>IFERROR(__xludf.DUMMYFUNCTION("""COMPUTED_VALUE"""),"Roya")</f>
        <v>Roya</v>
      </c>
      <c r="H9077" s="42">
        <f t="shared" si="1"/>
        <v>3340</v>
      </c>
    </row>
    <row r="9078" ht="22.5" customHeight="1">
      <c r="B9078" s="42" t="str">
        <f>IFERROR(__xludf.DUMMYFUNCTION("""COMPUTED_VALUE"""),"K/4/101125/2")</f>
        <v>K/4/101125/2</v>
      </c>
      <c r="C9078" s="42" t="str">
        <f>IFERROR(__xludf.DUMMYFUNCTION("""COMPUTED_VALUE"""),"SK NO. 363/HGB/BPN.18.71/X/2025")</f>
        <v>SK NO. 363/HGB/BPN.18.71/X/2025</v>
      </c>
      <c r="D9078" s="42"/>
      <c r="E9078" s="42"/>
      <c r="F9078" s="48" t="str">
        <f>IFERROR(__xludf.DUMMYFUNCTION("""COMPUTED_VALUE"""),"")</f>
        <v/>
      </c>
      <c r="G9078" s="42" t="str">
        <f>IFERROR(__xludf.DUMMYFUNCTION("""COMPUTED_VALUE"""),"PENDAFTARAN SK")</f>
        <v>PENDAFTARAN SK</v>
      </c>
      <c r="H9078" s="42">
        <f t="shared" si="1"/>
        <v>3340</v>
      </c>
    </row>
    <row r="9079" ht="22.5" customHeight="1">
      <c r="B9079" s="42" t="str">
        <f>IFERROR(__xludf.DUMMYFUNCTION("""COMPUTED_VALUE"""),"K/5/101125/3")</f>
        <v>K/5/101125/3</v>
      </c>
      <c r="C9079" s="42" t="str">
        <f>IFERROR(__xludf.DUMMYFUNCTION("""COMPUTED_VALUE"""),"SK NO. 362/HGB/BPN.18.71/X/2025")</f>
        <v>SK NO. 362/HGB/BPN.18.71/X/2025</v>
      </c>
      <c r="D9079" s="42"/>
      <c r="E9079" s="42"/>
      <c r="F9079" s="48" t="str">
        <f>IFERROR(__xludf.DUMMYFUNCTION("""COMPUTED_VALUE"""),"")</f>
        <v/>
      </c>
      <c r="G9079" s="42" t="str">
        <f>IFERROR(__xludf.DUMMYFUNCTION("""COMPUTED_VALUE"""),"PENDAFTARAN SK")</f>
        <v>PENDAFTARAN SK</v>
      </c>
      <c r="H9079" s="42">
        <f t="shared" si="1"/>
        <v>3340</v>
      </c>
    </row>
    <row r="9080" ht="22.5" customHeight="1">
      <c r="B9080" s="42" t="str">
        <f>IFERROR(__xludf.DUMMYFUNCTION("""COMPUTED_VALUE"""),"K/6/101125/1")</f>
        <v>K/6/101125/1</v>
      </c>
      <c r="C9080" s="42" t="str">
        <f>IFERROR(__xludf.DUMMYFUNCTION("""COMPUTED_VALUE"""),"PBT. 234/2025")</f>
        <v>PBT. 234/2025</v>
      </c>
      <c r="D9080" s="42"/>
      <c r="E9080" s="42"/>
      <c r="F9080" s="48" t="str">
        <f>IFERROR(__xludf.DUMMYFUNCTION("""COMPUTED_VALUE"""),"")</f>
        <v/>
      </c>
      <c r="G9080" s="42" t="str">
        <f>IFERROR(__xludf.DUMMYFUNCTION("""COMPUTED_VALUE"""),"PERMOHONAN SK")</f>
        <v>PERMOHONAN SK</v>
      </c>
      <c r="H9080" s="42">
        <f t="shared" si="1"/>
        <v>3340</v>
      </c>
    </row>
    <row r="9081" ht="22.5" customHeight="1">
      <c r="B9081" s="42" t="str">
        <f>IFERROR(__xludf.DUMMYFUNCTION("""COMPUTED_VALUE"""),"ABESVHKU/AB031")</f>
        <v>ABESVHKU/AB031</v>
      </c>
      <c r="C9081" s="42" t="str">
        <f>IFERROR(__xludf.DUMMYFUNCTION("""COMPUTED_VALUE"""),"M. 16369/sukabumi")</f>
        <v>M. 16369/sukabumi</v>
      </c>
      <c r="D9081" s="42"/>
      <c r="E9081" s="42"/>
      <c r="F9081" s="48" t="str">
        <f>IFERROR(__xludf.DUMMYFUNCTION("""COMPUTED_VALUE"""),"")</f>
        <v/>
      </c>
      <c r="G9081" s="42" t="str">
        <f>IFERROR(__xludf.DUMMYFUNCTION("""COMPUTED_VALUE"""),"Perlaihan hak Jual Beli")</f>
        <v>Perlaihan hak Jual Beli</v>
      </c>
      <c r="H9081" s="42">
        <f t="shared" si="1"/>
        <v>3340</v>
      </c>
    </row>
    <row r="9082" ht="22.5" customHeight="1">
      <c r="B9082" s="42" t="str">
        <f>IFERROR(__xludf.DUMMYFUNCTION("""COMPUTED_VALUE"""),"ABDSFDDC/1")</f>
        <v>ABDSFDDC/1</v>
      </c>
      <c r="C9082" s="42" t="str">
        <f>IFERROR(__xludf.DUMMYFUNCTION("""COMPUTED_VALUE"""),"Hak Milik 2173/WAY HALIM PERMAI")</f>
        <v>Hak Milik 2173/WAY HALIM PERMAI</v>
      </c>
      <c r="D9082" s="42"/>
      <c r="E9082" s="42"/>
      <c r="F9082" s="48" t="str">
        <f>IFERROR(__xludf.DUMMYFUNCTION("""COMPUTED_VALUE"""),"")</f>
        <v/>
      </c>
      <c r="G9082" s="42" t="str">
        <f>IFERROR(__xludf.DUMMYFUNCTION("""COMPUTED_VALUE"""),"BN")</f>
        <v>BN</v>
      </c>
      <c r="H9082" s="42">
        <f t="shared" si="1"/>
        <v>3340</v>
      </c>
    </row>
    <row r="9083" ht="22.5" customHeight="1">
      <c r="B9083" s="42" t="str">
        <f>IFERROR(__xludf.DUMMYFUNCTION("""COMPUTED_VALUE"""),"ABXVPUAS/1")</f>
        <v>ABXVPUAS/1</v>
      </c>
      <c r="C9083" s="42" t="str">
        <f>IFERROR(__xludf.DUMMYFUNCTION("""COMPUTED_VALUE"""),"Hak Bangunan No. 07")</f>
        <v>Hak Bangunan No. 07</v>
      </c>
      <c r="D9083" s="42"/>
      <c r="E9083" s="42"/>
      <c r="F9083" s="48" t="str">
        <f>IFERROR(__xludf.DUMMYFUNCTION("""COMPUTED_VALUE"""),"")</f>
        <v/>
      </c>
      <c r="G9083" s="42" t="str">
        <f>IFERROR(__xludf.DUMMYFUNCTION("""COMPUTED_VALUE"""),"BN")</f>
        <v>BN</v>
      </c>
      <c r="H9083" s="42">
        <f t="shared" si="1"/>
        <v>3340</v>
      </c>
    </row>
    <row r="9084" ht="22.5" customHeight="1">
      <c r="B9084" s="42" t="str">
        <f>IFERROR(__xludf.DUMMYFUNCTION("""COMPUTED_VALUE"""),"ABVXVTVP")</f>
        <v>ABVXVTVP</v>
      </c>
      <c r="C9084" s="42" t="str">
        <f>IFERROR(__xludf.DUMMYFUNCTION("""COMPUTED_VALUE"""),"SHM 15967 Sukabumi")</f>
        <v>SHM 15967 Sukabumi</v>
      </c>
      <c r="D9084" s="42"/>
      <c r="E9084" s="42"/>
      <c r="F9084" s="48" t="str">
        <f>IFERROR(__xludf.DUMMYFUNCTION("""COMPUTED_VALUE"""),"")</f>
        <v/>
      </c>
      <c r="G9084" s="42" t="str">
        <f>IFERROR(__xludf.DUMMYFUNCTION("""COMPUTED_VALUE"""),"balik nama jual beli")</f>
        <v>balik nama jual beli</v>
      </c>
      <c r="H9084" s="42">
        <f t="shared" si="1"/>
        <v>3340</v>
      </c>
    </row>
    <row r="9085" ht="22.5" customHeight="1">
      <c r="B9085" s="42" t="str">
        <f>IFERROR(__xludf.DUMMYFUNCTION("""COMPUTED_VALUE"""),"ABKAWZYE")</f>
        <v>ABKAWZYE</v>
      </c>
      <c r="C9085" s="42" t="str">
        <f>IFERROR(__xludf.DUMMYFUNCTION("""COMPUTED_VALUE"""),"SHM 1006 bumi kedamaian")</f>
        <v>SHM 1006 bumi kedamaian</v>
      </c>
      <c r="D9085" s="42"/>
      <c r="E9085" s="42"/>
      <c r="F9085" s="48" t="str">
        <f>IFERROR(__xludf.DUMMYFUNCTION("""COMPUTED_VALUE"""),"")</f>
        <v/>
      </c>
      <c r="G9085" s="42" t="str">
        <f>IFERROR(__xludf.DUMMYFUNCTION("""COMPUTED_VALUE"""),"balik nama jual beli")</f>
        <v>balik nama jual beli</v>
      </c>
      <c r="H9085" s="42">
        <f t="shared" si="1"/>
        <v>3340</v>
      </c>
    </row>
    <row r="9086" ht="22.5" customHeight="1">
      <c r="B9086" s="42" t="str">
        <f>IFERROR(__xludf.DUMMYFUNCTION("""COMPUTED_VALUE"""),"L/8/101125/1")</f>
        <v>L/8/101125/1</v>
      </c>
      <c r="C9086" s="42" t="str">
        <f>IFERROR(__xludf.DUMMYFUNCTION("""COMPUTED_VALUE"""),"M. 971/RAWA LAUT")</f>
        <v>M. 971/RAWA LAUT</v>
      </c>
      <c r="D9086" s="42"/>
      <c r="E9086" s="42"/>
      <c r="F9086" s="48" t="str">
        <f>IFERROR(__xludf.DUMMYFUNCTION("""COMPUTED_VALUE"""),"")</f>
        <v/>
      </c>
      <c r="G9086" s="42" t="str">
        <f>IFERROR(__xludf.DUMMYFUNCTION("""COMPUTED_VALUE"""),"BN WARIS")</f>
        <v>BN WARIS</v>
      </c>
      <c r="H9086" s="42">
        <f t="shared" si="1"/>
        <v>3340</v>
      </c>
    </row>
    <row r="9087" ht="22.5" customHeight="1">
      <c r="B9087" s="42" t="str">
        <f>IFERROR(__xludf.DUMMYFUNCTION("""COMPUTED_VALUE"""),"ABUABLCO")</f>
        <v>ABUABLCO</v>
      </c>
      <c r="C9087" s="42" t="str">
        <f>IFERROR(__xludf.DUMMYFUNCTION("""COMPUTED_VALUE"""),"SHGB 317 sumur putri")</f>
        <v>SHGB 317 sumur putri</v>
      </c>
      <c r="D9087" s="42"/>
      <c r="E9087" s="42"/>
      <c r="F9087" s="48" t="str">
        <f>IFERROR(__xludf.DUMMYFUNCTION("""COMPUTED_VALUE"""),"")</f>
        <v/>
      </c>
      <c r="G9087" s="42" t="str">
        <f>IFERROR(__xludf.DUMMYFUNCTION("""COMPUTED_VALUE"""),"balik nama jual beli")</f>
        <v>balik nama jual beli</v>
      </c>
      <c r="H9087" s="42">
        <f t="shared" si="1"/>
        <v>3340</v>
      </c>
    </row>
    <row r="9088" ht="22.5" customHeight="1">
      <c r="B9088" s="42" t="str">
        <f>IFERROR(__xludf.DUMMYFUNCTION("""COMPUTED_VALUE"""),"L/9/101125/1")</f>
        <v>L/9/101125/1</v>
      </c>
      <c r="C9088" s="42" t="str">
        <f>IFERROR(__xludf.DUMMYFUNCTION("""COMPUTED_VALUE"""),"M NIB. 23192/BERINGIN JAYA")</f>
        <v>M NIB. 23192/BERINGIN JAYA</v>
      </c>
      <c r="D9088" s="42"/>
      <c r="E9088" s="42"/>
      <c r="F9088" s="48" t="str">
        <f>IFERROR(__xludf.DUMMYFUNCTION("""COMPUTED_VALUE"""),"")</f>
        <v/>
      </c>
      <c r="G9088" s="42" t="str">
        <f>IFERROR(__xludf.DUMMYFUNCTION("""COMPUTED_VALUE"""),"BN HIBAH")</f>
        <v>BN HIBAH</v>
      </c>
      <c r="H9088" s="42">
        <f t="shared" si="1"/>
        <v>3340</v>
      </c>
    </row>
    <row r="9089" ht="22.5" customHeight="1">
      <c r="B9089" s="42" t="str">
        <f>IFERROR(__xludf.DUMMYFUNCTION("""COMPUTED_VALUE"""),"L/10/101125/1")</f>
        <v>L/10/101125/1</v>
      </c>
      <c r="C9089" s="42" t="str">
        <f>IFERROR(__xludf.DUMMYFUNCTION("""COMPUTED_VALUE"""),"M. 520/SUKARAME BARU")</f>
        <v>M. 520/SUKARAME BARU</v>
      </c>
      <c r="D9089" s="42"/>
      <c r="E9089" s="42"/>
      <c r="F9089" s="48" t="str">
        <f>IFERROR(__xludf.DUMMYFUNCTION("""COMPUTED_VALUE"""),"")</f>
        <v/>
      </c>
      <c r="G9089" s="42" t="str">
        <f>IFERROR(__xludf.DUMMYFUNCTION("""COMPUTED_VALUE"""),"ROYA")</f>
        <v>ROYA</v>
      </c>
      <c r="H9089" s="42">
        <f t="shared" si="1"/>
        <v>3340</v>
      </c>
    </row>
    <row r="9090" ht="22.5" customHeight="1">
      <c r="B9090" s="42" t="str">
        <f>IFERROR(__xludf.DUMMYFUNCTION("""COMPUTED_VALUE"""),"L/11/101125/1")</f>
        <v>L/11/101125/1</v>
      </c>
      <c r="C9090" s="42" t="str">
        <f>IFERROR(__xludf.DUMMYFUNCTION("""COMPUTED_VALUE"""),"M. 17082/SUKARAME I")</f>
        <v>M. 17082/SUKARAME I</v>
      </c>
      <c r="D9090" s="42"/>
      <c r="E9090" s="42"/>
      <c r="F9090" s="48" t="str">
        <f>IFERROR(__xludf.DUMMYFUNCTION("""COMPUTED_VALUE"""),"")</f>
        <v/>
      </c>
      <c r="G9090" s="42" t="str">
        <f>IFERROR(__xludf.DUMMYFUNCTION("""COMPUTED_VALUE"""),"ROYA")</f>
        <v>ROYA</v>
      </c>
      <c r="H9090" s="42">
        <f t="shared" si="1"/>
        <v>3340</v>
      </c>
    </row>
    <row r="9091" ht="22.5" customHeight="1">
      <c r="B9091" s="42" t="str">
        <f>IFERROR(__xludf.DUMMYFUNCTION("""COMPUTED_VALUE"""),"ABDWXYNM/AB033")</f>
        <v>ABDWXYNM/AB033</v>
      </c>
      <c r="C9091" s="42" t="str">
        <f>IFERROR(__xludf.DUMMYFUNCTION("""COMPUTED_VALUE"""),"M.9388/Sukabumi")</f>
        <v>M.9388/Sukabumi</v>
      </c>
      <c r="D9091" s="42"/>
      <c r="E9091" s="42"/>
      <c r="F9091" s="48" t="str">
        <f>IFERROR(__xludf.DUMMYFUNCTION("""COMPUTED_VALUE"""),"")</f>
        <v/>
      </c>
      <c r="G9091" s="42" t="str">
        <f>IFERROR(__xludf.DUMMYFUNCTION("""COMPUTED_VALUE"""),"balik nama jual beli")</f>
        <v>balik nama jual beli</v>
      </c>
      <c r="H9091" s="42">
        <f t="shared" si="1"/>
        <v>3340</v>
      </c>
    </row>
    <row r="9092" ht="22.5" customHeight="1">
      <c r="B9092" s="42" t="str">
        <f>IFERROR(__xludf.DUMMYFUNCTION("""COMPUTED_VALUE"""),"ABAPSJCY")</f>
        <v>ABAPSJCY</v>
      </c>
      <c r="C9092" s="42" t="str">
        <f>IFERROR(__xludf.DUMMYFUNCTION("""COMPUTED_VALUE"""),"nibel m 18480/surabaya")</f>
        <v>nibel m 18480/surabaya</v>
      </c>
      <c r="D9092" s="42"/>
      <c r="E9092" s="42"/>
      <c r="F9092" s="48" t="str">
        <f>IFERROR(__xludf.DUMMYFUNCTION("""COMPUTED_VALUE"""),"")</f>
        <v/>
      </c>
      <c r="G9092" s="42" t="str">
        <f>IFERROR(__xludf.DUMMYFUNCTION("""COMPUTED_VALUE"""),"BN jual beli")</f>
        <v>BN jual beli</v>
      </c>
      <c r="H9092" s="42">
        <f t="shared" si="1"/>
        <v>3340</v>
      </c>
    </row>
    <row r="9093" ht="22.5" customHeight="1">
      <c r="B9093" s="42" t="str">
        <f>IFERROR(__xludf.DUMMYFUNCTION("""COMPUTED_VALUE"""),"ABDJQEZM")</f>
        <v>ABDJQEZM</v>
      </c>
      <c r="C9093" s="42" t="str">
        <f>IFERROR(__xludf.DUMMYFUNCTION("""COMPUTED_VALUE"""),"SHGB 08.01.000023570.0")</f>
        <v>SHGB 08.01.000023570.0</v>
      </c>
      <c r="D9093" s="42"/>
      <c r="E9093" s="42"/>
      <c r="F9093" s="48" t="str">
        <f>IFERROR(__xludf.DUMMYFUNCTION("""COMPUTED_VALUE"""),"")</f>
        <v/>
      </c>
      <c r="G9093" s="42" t="str">
        <f>IFERROR(__xludf.DUMMYFUNCTION("""COMPUTED_VALUE"""),"BN APHB")</f>
        <v>BN APHB</v>
      </c>
      <c r="H9093" s="42">
        <f t="shared" si="1"/>
        <v>3340</v>
      </c>
    </row>
    <row r="9094" ht="22.5" customHeight="1">
      <c r="B9094" s="42" t="str">
        <f>IFERROR(__xludf.DUMMYFUNCTION("""COMPUTED_VALUE"""),"L/12/101125/1")</f>
        <v>L/12/101125/1</v>
      </c>
      <c r="C9094" s="42" t="str">
        <f>IFERROR(__xludf.DUMMYFUNCTION("""COMPUTED_VALUE"""),"M. 9739/KAMPUNG BARU")</f>
        <v>M. 9739/KAMPUNG BARU</v>
      </c>
      <c r="D9094" s="42"/>
      <c r="E9094" s="42"/>
      <c r="F9094" s="48" t="str">
        <f>IFERROR(__xludf.DUMMYFUNCTION("""COMPUTED_VALUE"""),"")</f>
        <v/>
      </c>
      <c r="G9094" s="42" t="str">
        <f>IFERROR(__xludf.DUMMYFUNCTION("""COMPUTED_VALUE"""),"ROYA")</f>
        <v>ROYA</v>
      </c>
      <c r="H9094" s="42">
        <f t="shared" si="1"/>
        <v>3340</v>
      </c>
    </row>
    <row r="9095" ht="22.5" customHeight="1">
      <c r="B9095" s="42" t="str">
        <f>IFERROR(__xludf.DUMMYFUNCTION("""COMPUTED_VALUE"""),"L/13/101125/1")</f>
        <v>L/13/101125/1</v>
      </c>
      <c r="C9095" s="42" t="str">
        <f>IFERROR(__xludf.DUMMYFUNCTION("""COMPUTED_VALUE"""),"B. 1233/SUKABUMI INDAH")</f>
        <v>B. 1233/SUKABUMI INDAH</v>
      </c>
      <c r="D9095" s="42"/>
      <c r="E9095" s="42"/>
      <c r="F9095" s="48" t="str">
        <f>IFERROR(__xludf.DUMMYFUNCTION("""COMPUTED_VALUE"""),"")</f>
        <v/>
      </c>
      <c r="G9095" s="42" t="str">
        <f>IFERROR(__xludf.DUMMYFUNCTION("""COMPUTED_VALUE"""),"PENINGKATAN HAK")</f>
        <v>PENINGKATAN HAK</v>
      </c>
      <c r="H9095" s="42">
        <f t="shared" si="1"/>
        <v>3340</v>
      </c>
    </row>
    <row r="9096" ht="22.5" customHeight="1">
      <c r="B9096" s="42" t="str">
        <f>IFERROR(__xludf.DUMMYFUNCTION("""COMPUTED_VALUE"""),"ABYFDGCC")</f>
        <v>ABYFDGCC</v>
      </c>
      <c r="C9096" s="42" t="str">
        <f>IFERROR(__xludf.DUMMYFUNCTION("""COMPUTED_VALUE"""),"NIBEL M. 16345/ tanjung baru")</f>
        <v>NIBEL M. 16345/ tanjung baru</v>
      </c>
      <c r="D9096" s="42"/>
      <c r="E9096" s="42"/>
      <c r="F9096" s="48" t="str">
        <f>IFERROR(__xludf.DUMMYFUNCTION("""COMPUTED_VALUE"""),"")</f>
        <v/>
      </c>
      <c r="G9096" s="42" t="str">
        <f>IFERROR(__xludf.DUMMYFUNCTION("""COMPUTED_VALUE"""),"Balik Nama jual beli")</f>
        <v>Balik Nama jual beli</v>
      </c>
      <c r="H9096" s="42">
        <f t="shared" si="1"/>
        <v>3340</v>
      </c>
    </row>
    <row r="9097" ht="22.5" customHeight="1">
      <c r="B9097" s="42" t="str">
        <f>IFERROR(__xludf.DUMMYFUNCTION("""COMPUTED_VALUE"""),"ABDALAJT")</f>
        <v>ABDALAJT</v>
      </c>
      <c r="C9097" s="42" t="str">
        <f>IFERROR(__xludf.DUMMYFUNCTION("""COMPUTED_VALUE"""),"NIBEL M. 22477/ LABUHAN RATU RAYA")</f>
        <v>NIBEL M. 22477/ LABUHAN RATU RAYA</v>
      </c>
      <c r="D9097" s="42"/>
      <c r="E9097" s="42"/>
      <c r="F9097" s="48" t="str">
        <f>IFERROR(__xludf.DUMMYFUNCTION("""COMPUTED_VALUE"""),"")</f>
        <v/>
      </c>
      <c r="G9097" s="42" t="str">
        <f>IFERROR(__xludf.DUMMYFUNCTION("""COMPUTED_VALUE"""),"Balik Nama jual beli")</f>
        <v>Balik Nama jual beli</v>
      </c>
      <c r="H9097" s="42">
        <f t="shared" si="1"/>
        <v>3340</v>
      </c>
    </row>
    <row r="9098" ht="22.5" customHeight="1">
      <c r="B9098" s="42" t="str">
        <f>IFERROR(__xludf.DUMMYFUNCTION("""COMPUTED_VALUE"""),"ABRPERWR/AB032")</f>
        <v>ABRPERWR/AB032</v>
      </c>
      <c r="C9098" s="42" t="str">
        <f>IFERROR(__xludf.DUMMYFUNCTION("""COMPUTED_VALUE"""),"SHM NIBEL 3294/Rajabasa Pemuka")</f>
        <v>SHM NIBEL 3294/Rajabasa Pemuka</v>
      </c>
      <c r="D9098" s="42"/>
      <c r="E9098" s="42"/>
      <c r="F9098" s="48" t="str">
        <f>IFERROR(__xludf.DUMMYFUNCTION("""COMPUTED_VALUE"""),"")</f>
        <v/>
      </c>
      <c r="G9098" s="42" t="str">
        <f>IFERROR(__xludf.DUMMYFUNCTION("""COMPUTED_VALUE"""),"BN jual beli")</f>
        <v>BN jual beli</v>
      </c>
      <c r="H9098" s="42">
        <f t="shared" si="1"/>
        <v>3340</v>
      </c>
    </row>
    <row r="9099" ht="22.5" customHeight="1">
      <c r="B9099" s="42" t="str">
        <f>IFERROR(__xludf.DUMMYFUNCTION("""COMPUTED_VALUE"""),"ABELXDTB/AB032")</f>
        <v>ABELXDTB/AB032</v>
      </c>
      <c r="C9099" s="42" t="str">
        <f>IFERROR(__xludf.DUMMYFUNCTION("""COMPUTED_VALUE"""),"SHGB NIBEL 359/Kemiling Permai")</f>
        <v>SHGB NIBEL 359/Kemiling Permai</v>
      </c>
      <c r="D9099" s="42"/>
      <c r="E9099" s="42"/>
      <c r="F9099" s="48" t="str">
        <f>IFERROR(__xludf.DUMMYFUNCTION("""COMPUTED_VALUE"""),"")</f>
        <v/>
      </c>
      <c r="G9099" s="42" t="str">
        <f>IFERROR(__xludf.DUMMYFUNCTION("""COMPUTED_VALUE"""),"BN jual beli")</f>
        <v>BN jual beli</v>
      </c>
      <c r="H9099" s="42">
        <f t="shared" si="1"/>
        <v>3340</v>
      </c>
    </row>
    <row r="9100" ht="22.5" customHeight="1">
      <c r="B9100" s="42" t="str">
        <f>IFERROR(__xludf.DUMMYFUNCTION("""COMPUTED_VALUE"""),"ABFWKFBI")</f>
        <v>ABFWKFBI</v>
      </c>
      <c r="C9100" s="42" t="str">
        <f>IFERROR(__xludf.DUMMYFUNCTION("""COMPUTED_VALUE"""),"M.812/Way Dadi")</f>
        <v>M.812/Way Dadi</v>
      </c>
      <c r="D9100" s="42"/>
      <c r="E9100" s="42"/>
      <c r="F9100" s="48" t="str">
        <f>IFERROR(__xludf.DUMMYFUNCTION("""COMPUTED_VALUE"""),"")</f>
        <v/>
      </c>
      <c r="G9100" s="42" t="str">
        <f>IFERROR(__xludf.DUMMYFUNCTION("""COMPUTED_VALUE"""),"Bn")</f>
        <v>Bn</v>
      </c>
      <c r="H9100" s="42">
        <f t="shared" si="1"/>
        <v>3340</v>
      </c>
    </row>
    <row r="9101" ht="22.5" customHeight="1">
      <c r="B9101" s="42" t="str">
        <f>IFERROR(__xludf.DUMMYFUNCTION("""COMPUTED_VALUE"""),"ABQVIZNF")</f>
        <v>ABQVIZNF</v>
      </c>
      <c r="C9101" s="42" t="str">
        <f>IFERROR(__xludf.DUMMYFUNCTION("""COMPUTED_VALUE"""),"SHM NIBEL 24119/Labuhan Dalam")</f>
        <v>SHM NIBEL 24119/Labuhan Dalam</v>
      </c>
      <c r="D9101" s="42"/>
      <c r="E9101" s="42"/>
      <c r="F9101" s="48" t="str">
        <f>IFERROR(__xludf.DUMMYFUNCTION("""COMPUTED_VALUE"""),"")</f>
        <v/>
      </c>
      <c r="G9101" s="42" t="str">
        <f>IFERROR(__xludf.DUMMYFUNCTION("""COMPUTED_VALUE"""),"Bn")</f>
        <v>Bn</v>
      </c>
      <c r="H9101" s="42">
        <f t="shared" si="1"/>
        <v>3340</v>
      </c>
    </row>
    <row r="9102" ht="22.5" customHeight="1">
      <c r="B9102" s="42" t="str">
        <f>IFERROR(__xludf.DUMMYFUNCTION("""COMPUTED_VALUE"""),"ABWEXEEZ/AB032")</f>
        <v>ABWEXEEZ/AB032</v>
      </c>
      <c r="C9102" s="42" t="str">
        <f>IFERROR(__xludf.DUMMYFUNCTION("""COMPUTED_VALUE"""),"SHM NIBEL  17358/Labuhan Dalam")</f>
        <v>SHM NIBEL  17358/Labuhan Dalam</v>
      </c>
      <c r="D9102" s="42"/>
      <c r="E9102" s="42"/>
      <c r="F9102" s="48" t="str">
        <f>IFERROR(__xludf.DUMMYFUNCTION("""COMPUTED_VALUE"""),"")</f>
        <v/>
      </c>
      <c r="G9102" s="42" t="str">
        <f>IFERROR(__xludf.DUMMYFUNCTION("""COMPUTED_VALUE"""),"BN jual beli")</f>
        <v>BN jual beli</v>
      </c>
      <c r="H9102" s="42">
        <f t="shared" si="1"/>
        <v>3340</v>
      </c>
    </row>
    <row r="9103" ht="22.5" customHeight="1">
      <c r="B9103" s="42" t="str">
        <f>IFERROR(__xludf.DUMMYFUNCTION("""COMPUTED_VALUE"""),"ABCWUHCO")</f>
        <v>ABCWUHCO</v>
      </c>
      <c r="C9103" s="42" t="str">
        <f>IFERROR(__xludf.DUMMYFUNCTION("""COMPUTED_VALUE"""),"Nibel M.24120 Labuhan Dalam")</f>
        <v>Nibel M.24120 Labuhan Dalam</v>
      </c>
      <c r="D9103" s="42"/>
      <c r="E9103" s="42"/>
      <c r="F9103" s="48" t="str">
        <f>IFERROR(__xludf.DUMMYFUNCTION("""COMPUTED_VALUE"""),"")</f>
        <v/>
      </c>
      <c r="G9103" s="42" t="str">
        <f>IFERROR(__xludf.DUMMYFUNCTION("""COMPUTED_VALUE"""),"Bn")</f>
        <v>Bn</v>
      </c>
      <c r="H9103" s="42">
        <f t="shared" si="1"/>
        <v>3340</v>
      </c>
    </row>
    <row r="9104" ht="22.5" customHeight="1">
      <c r="B9104" s="42" t="str">
        <f>IFERROR(__xludf.DUMMYFUNCTION("""COMPUTED_VALUE"""),"ABRICYGP/AB058")</f>
        <v>ABRICYGP/AB058</v>
      </c>
      <c r="C9104" s="42" t="str">
        <f>IFERROR(__xludf.DUMMYFUNCTION("""COMPUTED_VALUE"""),"M. 187/Gedong Meneng")</f>
        <v>M. 187/Gedong Meneng</v>
      </c>
      <c r="D9104" s="42"/>
      <c r="E9104" s="42"/>
      <c r="F9104" s="48" t="str">
        <f>IFERROR(__xludf.DUMMYFUNCTION("""COMPUTED_VALUE"""),"")</f>
        <v/>
      </c>
      <c r="G9104" s="42" t="str">
        <f>IFERROR(__xludf.DUMMYFUNCTION("""COMPUTED_VALUE"""),"Peningkatan hak")</f>
        <v>Peningkatan hak</v>
      </c>
      <c r="H9104" s="42">
        <f t="shared" si="1"/>
        <v>3340</v>
      </c>
    </row>
    <row r="9105" ht="22.5" customHeight="1">
      <c r="B9105" s="42" t="str">
        <f>IFERROR(__xludf.DUMMYFUNCTION("""COMPUTED_VALUE"""),"ABFRSWBR")</f>
        <v>ABFRSWBR</v>
      </c>
      <c r="C9105" s="42" t="str">
        <f>IFERROR(__xludf.DUMMYFUNCTION("""COMPUTED_VALUE"""),"m 1692/ beringin raya")</f>
        <v>m 1692/ beringin raya</v>
      </c>
      <c r="D9105" s="42"/>
      <c r="E9105" s="42"/>
      <c r="F9105" s="48" t="str">
        <f>IFERROR(__xludf.DUMMYFUNCTION("""COMPUTED_VALUE"""),"")</f>
        <v/>
      </c>
      <c r="G9105" s="42" t="str">
        <f>IFERROR(__xludf.DUMMYFUNCTION("""COMPUTED_VALUE"""),"Roya")</f>
        <v>Roya</v>
      </c>
      <c r="H9105" s="42">
        <f t="shared" si="1"/>
        <v>3340</v>
      </c>
    </row>
    <row r="9106" ht="22.5" customHeight="1">
      <c r="B9106" s="42" t="str">
        <f>IFERROR(__xludf.DUMMYFUNCTION("""COMPUTED_VALUE"""),"ABFPIGJL")</f>
        <v>ABFPIGJL</v>
      </c>
      <c r="C9106" s="42" t="str">
        <f>IFERROR(__xludf.DUMMYFUNCTION("""COMPUTED_VALUE"""),"SHGB.08.01.000003075.1")</f>
        <v>SHGB.08.01.000003075.1</v>
      </c>
      <c r="D9106" s="42"/>
      <c r="E9106" s="42"/>
      <c r="F9106" s="48" t="str">
        <f>IFERROR(__xludf.DUMMYFUNCTION("""COMPUTED_VALUE"""),"")</f>
        <v/>
      </c>
      <c r="G9106" s="42" t="str">
        <f>IFERROR(__xludf.DUMMYFUNCTION("""COMPUTED_VALUE"""),"Balik nama jual beli")</f>
        <v>Balik nama jual beli</v>
      </c>
      <c r="H9106" s="42">
        <f t="shared" si="1"/>
        <v>3340</v>
      </c>
    </row>
    <row r="9107" ht="22.5" customHeight="1">
      <c r="B9107" s="42" t="str">
        <f>IFERROR(__xludf.DUMMYFUNCTION("""COMPUTED_VALUE"""),"ABOVOYVO")</f>
        <v>ABOVOYVO</v>
      </c>
      <c r="C9107" s="42" t="str">
        <f>IFERROR(__xludf.DUMMYFUNCTION("""COMPUTED_VALUE"""),"m 1169/ gotong royong")</f>
        <v>m 1169/ gotong royong</v>
      </c>
      <c r="D9107" s="42"/>
      <c r="E9107" s="42"/>
      <c r="F9107" s="48" t="str">
        <f>IFERROR(__xludf.DUMMYFUNCTION("""COMPUTED_VALUE"""),"")</f>
        <v/>
      </c>
      <c r="G9107" s="42" t="str">
        <f>IFERROR(__xludf.DUMMYFUNCTION("""COMPUTED_VALUE"""),"Peralihan hak waris")</f>
        <v>Peralihan hak waris</v>
      </c>
      <c r="H9107" s="42">
        <f t="shared" si="1"/>
        <v>3340</v>
      </c>
    </row>
    <row r="9108" ht="22.5" customHeight="1">
      <c r="B9108" s="42" t="str">
        <f>IFERROR(__xludf.DUMMYFUNCTION("""COMPUTED_VALUE"""),"ABFYWWMQ")</f>
        <v>ABFYWWMQ</v>
      </c>
      <c r="C9108" s="42" t="str">
        <f>IFERROR(__xludf.DUMMYFUNCTION("""COMPUTED_VALUE"""),"Shgb 1084/Jg.II")</f>
        <v>Shgb 1084/Jg.II</v>
      </c>
      <c r="D9108" s="42"/>
      <c r="E9108" s="42"/>
      <c r="F9108" s="48" t="str">
        <f>IFERROR(__xludf.DUMMYFUNCTION("""COMPUTED_VALUE"""),"")</f>
        <v/>
      </c>
      <c r="G9108" s="42" t="str">
        <f>IFERROR(__xludf.DUMMYFUNCTION("""COMPUTED_VALUE"""),"Perubahan Hak")</f>
        <v>Perubahan Hak</v>
      </c>
      <c r="H9108" s="42">
        <f t="shared" si="1"/>
        <v>3340</v>
      </c>
    </row>
    <row r="9109" ht="22.5" customHeight="1">
      <c r="B9109" s="42" t="str">
        <f>IFERROR(__xludf.DUMMYFUNCTION("""COMPUTED_VALUE"""),"L/14/101125/1")</f>
        <v>L/14/101125/1</v>
      </c>
      <c r="C9109" s="42" t="str">
        <f>IFERROR(__xludf.DUMMYFUNCTION("""COMPUTED_VALUE"""),"M. 1778/LABUHAN RATU RAYA")</f>
        <v>M. 1778/LABUHAN RATU RAYA</v>
      </c>
      <c r="D9109" s="42"/>
      <c r="E9109" s="42"/>
      <c r="F9109" s="48" t="str">
        <f>IFERROR(__xludf.DUMMYFUNCTION("""COMPUTED_VALUE"""),"")</f>
        <v/>
      </c>
      <c r="G9109" s="42" t="str">
        <f>IFERROR(__xludf.DUMMYFUNCTION("""COMPUTED_VALUE"""),"BN JUAL BELI")</f>
        <v>BN JUAL BELI</v>
      </c>
      <c r="H9109" s="42">
        <f t="shared" si="1"/>
        <v>3340</v>
      </c>
    </row>
    <row r="9110" ht="22.5" customHeight="1">
      <c r="B9110" s="42" t="str">
        <f>IFERROR(__xludf.DUMMYFUNCTION("""COMPUTED_VALUE"""),"L/15/101125/1")</f>
        <v>L/15/101125/1</v>
      </c>
      <c r="C9110" s="42" t="str">
        <f>IFERROR(__xludf.DUMMYFUNCTION("""COMPUTED_VALUE"""),"M. 9033/SUKARAME")</f>
        <v>M. 9033/SUKARAME</v>
      </c>
      <c r="D9110" s="42"/>
      <c r="E9110" s="42"/>
      <c r="F9110" s="48" t="str">
        <f>IFERROR(__xludf.DUMMYFUNCTION("""COMPUTED_VALUE"""),"")</f>
        <v/>
      </c>
      <c r="G9110" s="42" t="str">
        <f>IFERROR(__xludf.DUMMYFUNCTION("""COMPUTED_VALUE"""),"SKPT INFORMASI")</f>
        <v>SKPT INFORMASI</v>
      </c>
      <c r="H9110" s="42">
        <f t="shared" si="1"/>
        <v>3340</v>
      </c>
    </row>
    <row r="9111" ht="22.5" customHeight="1">
      <c r="B9111" s="42" t="str">
        <f>IFERROR(__xludf.DUMMYFUNCTION("""COMPUTED_VALUE"""),"L/16/101125/1")</f>
        <v>L/16/101125/1</v>
      </c>
      <c r="C9111" s="42" t="str">
        <f>IFERROR(__xludf.DUMMYFUNCTION("""COMPUTED_VALUE"""),"PBT NO 212/2025 KEL. BERINGIN JAYA")</f>
        <v>PBT NO 212/2025 KEL. BERINGIN JAYA</v>
      </c>
      <c r="D9111" s="42"/>
      <c r="E9111" s="42"/>
      <c r="F9111" s="48" t="str">
        <f>IFERROR(__xludf.DUMMYFUNCTION("""COMPUTED_VALUE"""),"")</f>
        <v/>
      </c>
      <c r="G9111" s="42" t="str">
        <f>IFERROR(__xludf.DUMMYFUNCTION("""COMPUTED_VALUE"""),"PTPGT TANAH MENTAH")</f>
        <v>PTPGT TANAH MENTAH</v>
      </c>
      <c r="H9111" s="42">
        <f t="shared" si="1"/>
        <v>3340</v>
      </c>
    </row>
    <row r="9112" ht="22.5" customHeight="1">
      <c r="B9112" s="42" t="str">
        <f>IFERROR(__xludf.DUMMYFUNCTION("""COMPUTED_VALUE"""),"L/1/111125/1")</f>
        <v>L/1/111125/1</v>
      </c>
      <c r="C9112" s="42" t="str">
        <f>IFERROR(__xludf.DUMMYFUNCTION("""COMPUTED_VALUE"""),"M. 1153/KANGKUNG")</f>
        <v>M. 1153/KANGKUNG</v>
      </c>
      <c r="D9112" s="42"/>
      <c r="E9112" s="42"/>
      <c r="F9112" s="48" t="str">
        <f>IFERROR(__xludf.DUMMYFUNCTION("""COMPUTED_VALUE"""),"")</f>
        <v/>
      </c>
      <c r="G9112" s="42" t="str">
        <f>IFERROR(__xludf.DUMMYFUNCTION("""COMPUTED_VALUE"""),"BN WARIS")</f>
        <v>BN WARIS</v>
      </c>
      <c r="H9112" s="42">
        <f t="shared" si="1"/>
        <v>3340</v>
      </c>
    </row>
    <row r="9113" ht="22.5" customHeight="1">
      <c r="B9113" s="42" t="str">
        <f>IFERROR(__xludf.DUMMYFUNCTION("""COMPUTED_VALUE"""),"ABKUAJUH")</f>
        <v>ABKUAJUH</v>
      </c>
      <c r="C9113" s="42" t="str">
        <f>IFERROR(__xludf.DUMMYFUNCTION("""COMPUTED_VALUE"""),"SHM NIBEL 08.01.000025381.0")</f>
        <v>SHM NIBEL 08.01.000025381.0</v>
      </c>
      <c r="D9113" s="42"/>
      <c r="E9113" s="42"/>
      <c r="F9113" s="48" t="str">
        <f>IFERROR(__xludf.DUMMYFUNCTION("""COMPUTED_VALUE"""),"")</f>
        <v/>
      </c>
      <c r="G9113" s="42" t="str">
        <f>IFERROR(__xludf.DUMMYFUNCTION("""COMPUTED_VALUE"""),"BN Jual Beli")</f>
        <v>BN Jual Beli</v>
      </c>
      <c r="H9113" s="42">
        <f t="shared" si="1"/>
        <v>3340</v>
      </c>
    </row>
    <row r="9114" ht="22.5" customHeight="1">
      <c r="B9114" s="42" t="str">
        <f>IFERROR(__xludf.DUMMYFUNCTION("""COMPUTED_VALUE"""),"ABLUIMZM")</f>
        <v>ABLUIMZM</v>
      </c>
      <c r="C9114" s="42" t="str">
        <f>IFERROR(__xludf.DUMMYFUNCTION("""COMPUTED_VALUE"""),"SHGB 00613")</f>
        <v>SHGB 00613</v>
      </c>
      <c r="D9114" s="42"/>
      <c r="E9114" s="42"/>
      <c r="F9114" s="48" t="str">
        <f>IFERROR(__xludf.DUMMYFUNCTION("""COMPUTED_VALUE"""),"")</f>
        <v/>
      </c>
      <c r="G9114" s="42" t="str">
        <f>IFERROR(__xludf.DUMMYFUNCTION("""COMPUTED_VALUE"""),"BN Jual Beli")</f>
        <v>BN Jual Beli</v>
      </c>
      <c r="H9114" s="42">
        <f t="shared" si="1"/>
        <v>3340</v>
      </c>
    </row>
    <row r="9115" ht="22.5" customHeight="1">
      <c r="B9115" s="42" t="str">
        <f>IFERROR(__xludf.DUMMYFUNCTION("""COMPUTED_VALUE"""),"ABGQSAOB/AB033")</f>
        <v>ABGQSAOB/AB033</v>
      </c>
      <c r="C9115" s="42" t="str">
        <f>IFERROR(__xludf.DUMMYFUNCTION("""COMPUTED_VALUE"""),"M.01262/Kedaung ")</f>
        <v>M.01262/Kedaung </v>
      </c>
      <c r="D9115" s="42"/>
      <c r="E9115" s="42"/>
      <c r="F9115" s="48" t="str">
        <f>IFERROR(__xludf.DUMMYFUNCTION("""COMPUTED_VALUE"""),"")</f>
        <v/>
      </c>
      <c r="G9115" s="42" t="str">
        <f>IFERROR(__xludf.DUMMYFUNCTION("""COMPUTED_VALUE"""),"Hapus BPHTB terhutang ")</f>
        <v>Hapus BPHTB terhutang </v>
      </c>
      <c r="H9115" s="42">
        <f t="shared" si="1"/>
        <v>3340</v>
      </c>
    </row>
    <row r="9116" ht="22.5" customHeight="1">
      <c r="B9116" s="42" t="str">
        <f>IFERROR(__xludf.DUMMYFUNCTION("""COMPUTED_VALUE"""),"AB032/ABGCQQFG")</f>
        <v>AB032/ABGCQQFG</v>
      </c>
      <c r="C9116" s="42" t="str">
        <f>IFERROR(__xludf.DUMMYFUNCTION("""COMPUTED_VALUE"""),"SHGB 0688/Sumber Agung")</f>
        <v>SHGB 0688/Sumber Agung</v>
      </c>
      <c r="D9116" s="42"/>
      <c r="E9116" s="42"/>
      <c r="F9116" s="48" t="str">
        <f>IFERROR(__xludf.DUMMYFUNCTION("""COMPUTED_VALUE"""),"")</f>
        <v/>
      </c>
      <c r="G9116" s="42" t="str">
        <f>IFERROR(__xludf.DUMMYFUNCTION("""COMPUTED_VALUE"""),"Balik Nama Jual Beli")</f>
        <v>Balik Nama Jual Beli</v>
      </c>
      <c r="H9116" s="42">
        <f t="shared" si="1"/>
        <v>3340</v>
      </c>
    </row>
    <row r="9117" ht="22.5" customHeight="1">
      <c r="B9117" s="42" t="str">
        <f>IFERROR(__xludf.DUMMYFUNCTION("""COMPUTED_VALUE"""),"AB032/ABLYKILT")</f>
        <v>AB032/ABLYKILT</v>
      </c>
      <c r="C9117" s="42" t="str">
        <f>IFERROR(__xludf.DUMMYFUNCTION("""COMPUTED_VALUE"""),"SHGB 0676/Sumber Agung")</f>
        <v>SHGB 0676/Sumber Agung</v>
      </c>
      <c r="D9117" s="42"/>
      <c r="E9117" s="42"/>
      <c r="F9117" s="48" t="str">
        <f>IFERROR(__xludf.DUMMYFUNCTION("""COMPUTED_VALUE"""),"")</f>
        <v/>
      </c>
      <c r="G9117" s="42" t="str">
        <f>IFERROR(__xludf.DUMMYFUNCTION("""COMPUTED_VALUE"""),"Balik Nama Jual Beli")</f>
        <v>Balik Nama Jual Beli</v>
      </c>
      <c r="H9117" s="42">
        <f t="shared" si="1"/>
        <v>3340</v>
      </c>
    </row>
    <row r="9118" ht="22.5" customHeight="1">
      <c r="B9118" s="42" t="str">
        <f>IFERROR(__xludf.DUMMYFUNCTION("""COMPUTED_VALUE"""),"AB027/ABMRXBPF")</f>
        <v>AB027/ABMRXBPF</v>
      </c>
      <c r="C9118" s="42" t="str">
        <f>IFERROR(__xludf.DUMMYFUNCTION("""COMPUTED_VALUE"""),"SHM NIB. 08.01.000003271.0")</f>
        <v>SHM NIB. 08.01.000003271.0</v>
      </c>
      <c r="D9118" s="42"/>
      <c r="E9118" s="42"/>
      <c r="F9118" s="48" t="str">
        <f>IFERROR(__xludf.DUMMYFUNCTION("""COMPUTED_VALUE"""),"")</f>
        <v/>
      </c>
      <c r="G9118" s="42" t="str">
        <f>IFERROR(__xludf.DUMMYFUNCTION("""COMPUTED_VALUE"""),"balik nama")</f>
        <v>balik nama</v>
      </c>
      <c r="H9118" s="42">
        <f t="shared" si="1"/>
        <v>3340</v>
      </c>
    </row>
    <row r="9119" ht="22.5" customHeight="1">
      <c r="B9119" s="42" t="str">
        <f>IFERROR(__xludf.DUMMYFUNCTION("""COMPUTED_VALUE"""),"ABYJYTLM/1")</f>
        <v>ABYJYTLM/1</v>
      </c>
      <c r="C9119" s="42" t="str">
        <f>IFERROR(__xludf.DUMMYFUNCTION("""COMPUTED_VALUE"""),"M No. 17970/Sukarame I")</f>
        <v>M No. 17970/Sukarame I</v>
      </c>
      <c r="D9119" s="42"/>
      <c r="E9119" s="42"/>
      <c r="F9119" s="48" t="str">
        <f>IFERROR(__xludf.DUMMYFUNCTION("""COMPUTED_VALUE"""),"")</f>
        <v/>
      </c>
      <c r="G9119" s="42" t="str">
        <f>IFERROR(__xludf.DUMMYFUNCTION("""COMPUTED_VALUE"""),"SKPT")</f>
        <v>SKPT</v>
      </c>
      <c r="H9119" s="42">
        <f t="shared" si="1"/>
        <v>3340</v>
      </c>
    </row>
    <row r="9120" ht="22.5" customHeight="1">
      <c r="B9120" s="42" t="str">
        <f>IFERROR(__xludf.DUMMYFUNCTION("""COMPUTED_VALUE"""),"AB027")</f>
        <v>AB027</v>
      </c>
      <c r="C9120" s="42" t="str">
        <f>IFERROR(__xludf.DUMMYFUNCTION("""COMPUTED_VALUE"""),"SHGB NIB. 08.01.000017747.0")</f>
        <v>SHGB NIB. 08.01.000017747.0</v>
      </c>
      <c r="D9120" s="42"/>
      <c r="E9120" s="42"/>
      <c r="F9120" s="48" t="str">
        <f>IFERROR(__xludf.DUMMYFUNCTION("""COMPUTED_VALUE"""),"")</f>
        <v/>
      </c>
      <c r="G9120" s="42" t="str">
        <f>IFERROR(__xludf.DUMMYFUNCTION("""COMPUTED_VALUE"""),"balik nama")</f>
        <v>balik nama</v>
      </c>
      <c r="H9120" s="42">
        <f t="shared" si="1"/>
        <v>3340</v>
      </c>
    </row>
    <row r="9121" ht="22.5" customHeight="1">
      <c r="B9121" s="42" t="str">
        <f>IFERROR(__xludf.DUMMYFUNCTION("""COMPUTED_VALUE"""),"ABSJKDTI/AB053")</f>
        <v>ABSJKDTI/AB053</v>
      </c>
      <c r="C9121" s="42" t="str">
        <f>IFERROR(__xludf.DUMMYFUNCTION("""COMPUTED_VALUE"""),"M. 1026/jagabaya III")</f>
        <v>M. 1026/jagabaya III</v>
      </c>
      <c r="D9121" s="42"/>
      <c r="E9121" s="42"/>
      <c r="F9121" s="48" t="str">
        <f>IFERROR(__xludf.DUMMYFUNCTION("""COMPUTED_VALUE"""),"")</f>
        <v/>
      </c>
      <c r="G9121" s="42" t="str">
        <f>IFERROR(__xludf.DUMMYFUNCTION("""COMPUTED_VALUE"""),"Ganti kecamatan")</f>
        <v>Ganti kecamatan</v>
      </c>
      <c r="H9121" s="42">
        <f t="shared" si="1"/>
        <v>3340</v>
      </c>
    </row>
    <row r="9122" ht="22.5" customHeight="1">
      <c r="B9122" s="42" t="str">
        <f>IFERROR(__xludf.DUMMYFUNCTION("""COMPUTED_VALUE"""),"AB027/ABTZUSAL")</f>
        <v>AB027/ABTZUSAL</v>
      </c>
      <c r="C9122" s="42" t="str">
        <f>IFERROR(__xludf.DUMMYFUNCTION("""COMPUTED_VALUE"""),"SHGB NIB.08.01.000017752.0")</f>
        <v>SHGB NIB.08.01.000017752.0</v>
      </c>
      <c r="D9122" s="42"/>
      <c r="E9122" s="42"/>
      <c r="F9122" s="48" t="str">
        <f>IFERROR(__xludf.DUMMYFUNCTION("""COMPUTED_VALUE"""),"")</f>
        <v/>
      </c>
      <c r="G9122" s="42" t="str">
        <f>IFERROR(__xludf.DUMMYFUNCTION("""COMPUTED_VALUE"""),"balik nama")</f>
        <v>balik nama</v>
      </c>
      <c r="H9122" s="42">
        <f t="shared" si="1"/>
        <v>3340</v>
      </c>
    </row>
    <row r="9123" ht="22.5" customHeight="1">
      <c r="B9123" s="42" t="str">
        <f>IFERROR(__xludf.DUMMYFUNCTION("""COMPUTED_VALUE"""),"ABYYGDSA")</f>
        <v>ABYYGDSA</v>
      </c>
      <c r="C9123" s="42" t="str">
        <f>IFERROR(__xludf.DUMMYFUNCTION("""COMPUTED_VALUE"""),"B. 4940/Sukabumi")</f>
        <v>B. 4940/Sukabumi</v>
      </c>
      <c r="D9123" s="42"/>
      <c r="E9123" s="42"/>
      <c r="F9123" s="48" t="str">
        <f>IFERROR(__xludf.DUMMYFUNCTION("""COMPUTED_VALUE"""),"")</f>
        <v/>
      </c>
      <c r="G9123" s="42" t="str">
        <f>IFERROR(__xludf.DUMMYFUNCTION("""COMPUTED_VALUE"""),"Balik Nama ")</f>
        <v>Balik Nama </v>
      </c>
      <c r="H9123" s="42">
        <f t="shared" si="1"/>
        <v>3340</v>
      </c>
    </row>
    <row r="9124" ht="22.5" customHeight="1">
      <c r="B9124" s="42" t="str">
        <f>IFERROR(__xludf.DUMMYFUNCTION("""COMPUTED_VALUE"""),"K/7/101125/1")</f>
        <v>K/7/101125/1</v>
      </c>
      <c r="C9124" s="42" t="str">
        <f>IFERROR(__xludf.DUMMYFUNCTION("""COMPUTED_VALUE"""),"PBT. 54/2024")</f>
        <v>PBT. 54/2024</v>
      </c>
      <c r="D9124" s="42"/>
      <c r="E9124" s="42"/>
      <c r="F9124" s="48" t="str">
        <f>IFERROR(__xludf.DUMMYFUNCTION("""COMPUTED_VALUE"""),"")</f>
        <v/>
      </c>
      <c r="G9124" s="42" t="str">
        <f>IFERROR(__xludf.DUMMYFUNCTION("""COMPUTED_VALUE"""),"ABDUL GANI / PENDI SUPENDI")</f>
        <v>ABDUL GANI / PENDI SUPENDI</v>
      </c>
      <c r="H9124" s="42">
        <f t="shared" si="1"/>
        <v>3340</v>
      </c>
    </row>
    <row r="9125" ht="22.5" customHeight="1">
      <c r="B9125" s="42" t="str">
        <f>IFERROR(__xludf.DUMMYFUNCTION("""COMPUTED_VALUE"""),"ABQPYKXW")</f>
        <v>ABQPYKXW</v>
      </c>
      <c r="C9125" s="42" t="str">
        <f>IFERROR(__xludf.DUMMYFUNCTION("""COMPUTED_VALUE"""),"B. 5059/Sukabumi")</f>
        <v>B. 5059/Sukabumi</v>
      </c>
      <c r="D9125" s="42"/>
      <c r="E9125" s="42"/>
      <c r="F9125" s="48" t="str">
        <f>IFERROR(__xludf.DUMMYFUNCTION("""COMPUTED_VALUE"""),"")</f>
        <v/>
      </c>
      <c r="G9125" s="42" t="str">
        <f>IFERROR(__xludf.DUMMYFUNCTION("""COMPUTED_VALUE"""),"Balik Nama")</f>
        <v>Balik Nama</v>
      </c>
      <c r="H9125" s="42">
        <f t="shared" si="1"/>
        <v>3340</v>
      </c>
    </row>
    <row r="9126" ht="22.5" customHeight="1">
      <c r="B9126" s="42" t="str">
        <f>IFERROR(__xludf.DUMMYFUNCTION("""COMPUTED_VALUE"""),"K/2/111125/1")</f>
        <v>K/2/111125/1</v>
      </c>
      <c r="C9126" s="42" t="str">
        <f>IFERROR(__xludf.DUMMYFUNCTION("""COMPUTED_VALUE"""),"NIBEL M . 19861/SUKADANA HAM")</f>
        <v>NIBEL M . 19861/SUKADANA HAM</v>
      </c>
      <c r="D9126" s="42"/>
      <c r="E9126" s="42"/>
      <c r="F9126" s="48" t="str">
        <f>IFERROR(__xludf.DUMMYFUNCTION("""COMPUTED_VALUE"""),"")</f>
        <v/>
      </c>
      <c r="G9126" s="42" t="str">
        <f>IFERROR(__xludf.DUMMYFUNCTION("""COMPUTED_VALUE"""),"PTPGT")</f>
        <v>PTPGT</v>
      </c>
      <c r="H9126" s="42">
        <f t="shared" si="1"/>
        <v>3340</v>
      </c>
    </row>
    <row r="9127" ht="22.5" customHeight="1">
      <c r="B9127" s="42" t="str">
        <f>IFERROR(__xludf.DUMMYFUNCTION("""COMPUTED_VALUE"""),"ABWFKKRG")</f>
        <v>ABWFKKRG</v>
      </c>
      <c r="C9127" s="42" t="str">
        <f>IFERROR(__xludf.DUMMYFUNCTION("""COMPUTED_VALUE"""),"B. 1145/Keteguhan")</f>
        <v>B. 1145/Keteguhan</v>
      </c>
      <c r="D9127" s="42"/>
      <c r="E9127" s="42"/>
      <c r="F9127" s="48" t="str">
        <f>IFERROR(__xludf.DUMMYFUNCTION("""COMPUTED_VALUE"""),"")</f>
        <v/>
      </c>
      <c r="G9127" s="42" t="str">
        <f>IFERROR(__xludf.DUMMYFUNCTION("""COMPUTED_VALUE"""),"Balik Nama")</f>
        <v>Balik Nama</v>
      </c>
      <c r="H9127" s="42">
        <f t="shared" si="1"/>
        <v>3340</v>
      </c>
    </row>
    <row r="9128" ht="22.5" customHeight="1">
      <c r="B9128" s="42" t="str">
        <f>IFERROR(__xludf.DUMMYFUNCTION("""COMPUTED_VALUE"""),"ABDJSFAF")</f>
        <v>ABDJSFAF</v>
      </c>
      <c r="C9128" s="42" t="str">
        <f>IFERROR(__xludf.DUMMYFUNCTION("""COMPUTED_VALUE"""),"M 00231")</f>
        <v>M 00231</v>
      </c>
      <c r="D9128" s="42"/>
      <c r="E9128" s="42"/>
      <c r="F9128" s="48" t="str">
        <f>IFERROR(__xludf.DUMMYFUNCTION("""COMPUTED_VALUE"""),"")</f>
        <v/>
      </c>
      <c r="G9128" s="42" t="str">
        <f>IFERROR(__xludf.DUMMYFUNCTION("""COMPUTED_VALUE"""),"Bn jual beli")</f>
        <v>Bn jual beli</v>
      </c>
      <c r="H9128" s="42">
        <f t="shared" si="1"/>
        <v>3340</v>
      </c>
    </row>
    <row r="9129" ht="22.5" customHeight="1">
      <c r="B9129" s="42" t="str">
        <f>IFERROR(__xludf.DUMMYFUNCTION("""COMPUTED_VALUE"""),"ABBEPOEG")</f>
        <v>ABBEPOEG</v>
      </c>
      <c r="C9129" s="42" t="str">
        <f>IFERROR(__xludf.DUMMYFUNCTION("""COMPUTED_VALUE"""),"M 00232")</f>
        <v>M 00232</v>
      </c>
      <c r="D9129" s="42"/>
      <c r="E9129" s="42"/>
      <c r="F9129" s="48" t="str">
        <f>IFERROR(__xludf.DUMMYFUNCTION("""COMPUTED_VALUE"""),"")</f>
        <v/>
      </c>
      <c r="G9129" s="42" t="str">
        <f>IFERROR(__xludf.DUMMYFUNCTION("""COMPUTED_VALUE"""),"Bn jual beli")</f>
        <v>Bn jual beli</v>
      </c>
      <c r="H9129" s="42">
        <f t="shared" si="1"/>
        <v>3340</v>
      </c>
    </row>
    <row r="9130" ht="22.5" customHeight="1">
      <c r="B9130" s="42" t="str">
        <f>IFERROR(__xludf.DUMMYFUNCTION("""COMPUTED_VALUE"""),"K/3/111125/2")</f>
        <v>K/3/111125/2</v>
      </c>
      <c r="C9130" s="42" t="str">
        <f>IFERROR(__xludf.DUMMYFUNCTION("""COMPUTED_VALUE"""),"NIBEL M. 20191/SUKADANA HAM")</f>
        <v>NIBEL M. 20191/SUKADANA HAM</v>
      </c>
      <c r="D9130" s="42"/>
      <c r="E9130" s="42"/>
      <c r="F9130" s="48" t="str">
        <f>IFERROR(__xludf.DUMMYFUNCTION("""COMPUTED_VALUE"""),"")</f>
        <v/>
      </c>
      <c r="G9130" s="42" t="str">
        <f>IFERROR(__xludf.DUMMYFUNCTION("""COMPUTED_VALUE"""),"PTPGT")</f>
        <v>PTPGT</v>
      </c>
      <c r="H9130" s="42">
        <f t="shared" si="1"/>
        <v>3340</v>
      </c>
    </row>
    <row r="9131" ht="22.5" customHeight="1">
      <c r="B9131" s="42" t="str">
        <f>IFERROR(__xludf.DUMMYFUNCTION("""COMPUTED_VALUE"""),"ABTHEOQY")</f>
        <v>ABTHEOQY</v>
      </c>
      <c r="C9131" s="42" t="str">
        <f>IFERROR(__xludf.DUMMYFUNCTION("""COMPUTED_VALUE"""),"M 2000")</f>
        <v>M 2000</v>
      </c>
      <c r="D9131" s="42"/>
      <c r="E9131" s="42"/>
      <c r="F9131" s="48" t="str">
        <f>IFERROR(__xludf.DUMMYFUNCTION("""COMPUTED_VALUE"""),"")</f>
        <v/>
      </c>
      <c r="G9131" s="42" t="str">
        <f>IFERROR(__xludf.DUMMYFUNCTION("""COMPUTED_VALUE"""),"Bn jual beli")</f>
        <v>Bn jual beli</v>
      </c>
      <c r="H9131" s="42">
        <f t="shared" si="1"/>
        <v>3340</v>
      </c>
    </row>
    <row r="9132" ht="22.5" customHeight="1">
      <c r="B9132" s="42" t="str">
        <f>IFERROR(__xludf.DUMMYFUNCTION("""COMPUTED_VALUE"""),"ABHEWDVO")</f>
        <v>ABHEWDVO</v>
      </c>
      <c r="C9132" s="42" t="str">
        <f>IFERROR(__xludf.DUMMYFUNCTION("""COMPUTED_VALUE"""),"M 230")</f>
        <v>M 230</v>
      </c>
      <c r="D9132" s="42"/>
      <c r="E9132" s="42"/>
      <c r="F9132" s="48" t="str">
        <f>IFERROR(__xludf.DUMMYFUNCTION("""COMPUTED_VALUE"""),"")</f>
        <v/>
      </c>
      <c r="G9132" s="42" t="str">
        <f>IFERROR(__xludf.DUMMYFUNCTION("""COMPUTED_VALUE"""),"Bn jual beli")</f>
        <v>Bn jual beli</v>
      </c>
      <c r="H9132" s="42">
        <f t="shared" si="1"/>
        <v>3340</v>
      </c>
    </row>
    <row r="9133" ht="22.5" customHeight="1">
      <c r="B9133" s="42" t="str">
        <f>IFERROR(__xludf.DUMMYFUNCTION("""COMPUTED_VALUE"""),"ABUJQSMD")</f>
        <v>ABUJQSMD</v>
      </c>
      <c r="C9133" s="42" t="str">
        <f>IFERROR(__xludf.DUMMYFUNCTION("""COMPUTED_VALUE"""),"M 05373")</f>
        <v>M 05373</v>
      </c>
      <c r="D9133" s="42"/>
      <c r="E9133" s="42"/>
      <c r="F9133" s="48" t="str">
        <f>IFERROR(__xludf.DUMMYFUNCTION("""COMPUTED_VALUE"""),"")</f>
        <v/>
      </c>
      <c r="G9133" s="42" t="str">
        <f>IFERROR(__xludf.DUMMYFUNCTION("""COMPUTED_VALUE"""),"Bn jual beli ")</f>
        <v>Bn jual beli </v>
      </c>
      <c r="H9133" s="42">
        <f t="shared" si="1"/>
        <v>3340</v>
      </c>
    </row>
    <row r="9134" ht="22.5" customHeight="1">
      <c r="B9134" s="42" t="str">
        <f>IFERROR(__xludf.DUMMYFUNCTION("""COMPUTED_VALUE"""),"K/4/111125/1")</f>
        <v>K/4/111125/1</v>
      </c>
      <c r="C9134" s="42" t="str">
        <f>IFERROR(__xludf.DUMMYFUNCTION("""COMPUTED_VALUE"""),"M. 1086/DURIAN PAYUNG")</f>
        <v>M. 1086/DURIAN PAYUNG</v>
      </c>
      <c r="D9134" s="42"/>
      <c r="E9134" s="42"/>
      <c r="F9134" s="48" t="str">
        <f>IFERROR(__xludf.DUMMYFUNCTION("""COMPUTED_VALUE"""),"")</f>
        <v/>
      </c>
      <c r="G9134" s="42" t="str">
        <f>IFERROR(__xludf.DUMMYFUNCTION("""COMPUTED_VALUE"""),"BLOKIR ")</f>
        <v>BLOKIR </v>
      </c>
      <c r="H9134" s="42">
        <f t="shared" si="1"/>
        <v>3340</v>
      </c>
    </row>
    <row r="9135" ht="22.5" customHeight="1">
      <c r="B9135" s="42" t="str">
        <f>IFERROR(__xludf.DUMMYFUNCTION("""COMPUTED_VALUE"""),"ABJMXIFI")</f>
        <v>ABJMXIFI</v>
      </c>
      <c r="C9135" s="42" t="str">
        <f>IFERROR(__xludf.DUMMYFUNCTION("""COMPUTED_VALUE"""),"M. 17172/sukarame baru")</f>
        <v>M. 17172/sukarame baru</v>
      </c>
      <c r="D9135" s="42"/>
      <c r="E9135" s="42"/>
      <c r="F9135" s="48" t="str">
        <f>IFERROR(__xludf.DUMMYFUNCTION("""COMPUTED_VALUE"""),"")</f>
        <v/>
      </c>
      <c r="G9135" s="42" t="str">
        <f>IFERROR(__xludf.DUMMYFUNCTION("""COMPUTED_VALUE"""),"Bn jual beli")</f>
        <v>Bn jual beli</v>
      </c>
      <c r="H9135" s="42">
        <f t="shared" si="1"/>
        <v>3340</v>
      </c>
    </row>
    <row r="9136" ht="22.5" customHeight="1">
      <c r="B9136" s="42" t="str">
        <f>IFERROR(__xludf.DUMMYFUNCTION("""COMPUTED_VALUE"""),"ABYFXPGL")</f>
        <v>ABYFXPGL</v>
      </c>
      <c r="C9136" s="42" t="str">
        <f>IFERROR(__xludf.DUMMYFUNCTION("""COMPUTED_VALUE"""),"M. 17186/sukarame baru")</f>
        <v>M. 17186/sukarame baru</v>
      </c>
      <c r="D9136" s="42"/>
      <c r="E9136" s="42"/>
      <c r="F9136" s="48" t="str">
        <f>IFERROR(__xludf.DUMMYFUNCTION("""COMPUTED_VALUE"""),"")</f>
        <v/>
      </c>
      <c r="G9136" s="42" t="str">
        <f>IFERROR(__xludf.DUMMYFUNCTION("""COMPUTED_VALUE"""),"Bn jual beli")</f>
        <v>Bn jual beli</v>
      </c>
      <c r="H9136" s="42">
        <f t="shared" si="1"/>
        <v>3340</v>
      </c>
    </row>
    <row r="9137" ht="22.5" customHeight="1">
      <c r="B9137" s="42" t="str">
        <f>IFERROR(__xludf.DUMMYFUNCTION("""COMPUTED_VALUE"""),"K/5/111125/2")</f>
        <v>K/5/111125/2</v>
      </c>
      <c r="C9137" s="42" t="str">
        <f>IFERROR(__xludf.DUMMYFUNCTION("""COMPUTED_VALUE"""),"M. 2222/DURIAN PAYUNG")</f>
        <v>M. 2222/DURIAN PAYUNG</v>
      </c>
      <c r="D9137" s="42"/>
      <c r="E9137" s="42"/>
      <c r="F9137" s="48" t="str">
        <f>IFERROR(__xludf.DUMMYFUNCTION("""COMPUTED_VALUE"""),"")</f>
        <v/>
      </c>
      <c r="G9137" s="42" t="str">
        <f>IFERROR(__xludf.DUMMYFUNCTION("""COMPUTED_VALUE"""),"BLOKIR")</f>
        <v>BLOKIR</v>
      </c>
      <c r="H9137" s="42">
        <f t="shared" si="1"/>
        <v>3340</v>
      </c>
    </row>
    <row r="9138" ht="22.5" customHeight="1">
      <c r="B9138" s="42" t="str">
        <f>IFERROR(__xludf.DUMMYFUNCTION("""COMPUTED_VALUE"""),"ABDTLBMR/1")</f>
        <v>ABDTLBMR/1</v>
      </c>
      <c r="C9138" s="42" t="str">
        <f>IFERROR(__xludf.DUMMYFUNCTION("""COMPUTED_VALUE"""),"M. 11926/segala mider")</f>
        <v>M. 11926/segala mider</v>
      </c>
      <c r="D9138" s="42"/>
      <c r="E9138" s="42"/>
      <c r="F9138" s="48" t="str">
        <f>IFERROR(__xludf.DUMMYFUNCTION("""COMPUTED_VALUE"""),"")</f>
        <v/>
      </c>
      <c r="G9138" s="42" t="str">
        <f>IFERROR(__xludf.DUMMYFUNCTION("""COMPUTED_VALUE"""),"Roya")</f>
        <v>Roya</v>
      </c>
      <c r="H9138" s="42">
        <f t="shared" si="1"/>
        <v>3340</v>
      </c>
    </row>
    <row r="9139" ht="22.5" customHeight="1">
      <c r="B9139" s="42" t="str">
        <f>IFERROR(__xludf.DUMMYFUNCTION("""COMPUTED_VALUE"""),"K/6/111125/1")</f>
        <v>K/6/111125/1</v>
      </c>
      <c r="C9139" s="42" t="str">
        <f>IFERROR(__xludf.DUMMYFUNCTION("""COMPUTED_VALUE"""),"M. 4062/KETEGUHAN")</f>
        <v>M. 4062/KETEGUHAN</v>
      </c>
      <c r="D9139" s="42"/>
      <c r="E9139" s="42"/>
      <c r="F9139" s="48" t="str">
        <f>IFERROR(__xludf.DUMMYFUNCTION("""COMPUTED_VALUE"""),"")</f>
        <v/>
      </c>
      <c r="G9139" s="42" t="str">
        <f>IFERROR(__xludf.DUMMYFUNCTION("""COMPUTED_VALUE"""),"SKPT LELANG")</f>
        <v>SKPT LELANG</v>
      </c>
      <c r="H9139" s="42">
        <f t="shared" si="1"/>
        <v>3340</v>
      </c>
    </row>
    <row r="9140" ht="22.5" customHeight="1">
      <c r="B9140" s="42" t="str">
        <f>IFERROR(__xludf.DUMMYFUNCTION("""COMPUTED_VALUE"""),"AB078/ABNPQRXN")</f>
        <v>AB078/ABNPQRXN</v>
      </c>
      <c r="C9140" s="42" t="str">
        <f>IFERROR(__xludf.DUMMYFUNCTION("""COMPUTED_VALUE"""),"M. 9258/Jagabaya II")</f>
        <v>M. 9258/Jagabaya II</v>
      </c>
      <c r="D9140" s="42"/>
      <c r="E9140" s="42"/>
      <c r="F9140" s="48" t="str">
        <f>IFERROR(__xludf.DUMMYFUNCTION("""COMPUTED_VALUE"""),"")</f>
        <v/>
      </c>
      <c r="G9140" s="42" t="str">
        <f>IFERROR(__xludf.DUMMYFUNCTION("""COMPUTED_VALUE"""),"Ganti kelurahan")</f>
        <v>Ganti kelurahan</v>
      </c>
      <c r="H9140" s="42">
        <f t="shared" si="1"/>
        <v>3340</v>
      </c>
    </row>
    <row r="9141" ht="22.5" customHeight="1">
      <c r="B9141" s="42" t="str">
        <f>IFERROR(__xludf.DUMMYFUNCTION("""COMPUTED_VALUE"""),"ABWKCYAF/1")</f>
        <v>ABWKCYAF/1</v>
      </c>
      <c r="C9141" s="42" t="str">
        <f>IFERROR(__xludf.DUMMYFUNCTION("""COMPUTED_VALUE"""),"GB. 473/ gedong meneng")</f>
        <v>GB. 473/ gedong meneng</v>
      </c>
      <c r="D9141" s="42"/>
      <c r="E9141" s="42"/>
      <c r="F9141" s="48" t="str">
        <f>IFERROR(__xludf.DUMMYFUNCTION("""COMPUTED_VALUE"""),"")</f>
        <v/>
      </c>
      <c r="G9141" s="42" t="str">
        <f>IFERROR(__xludf.DUMMYFUNCTION("""COMPUTED_VALUE"""),"Balik Nama Jual Beli")</f>
        <v>Balik Nama Jual Beli</v>
      </c>
      <c r="H9141" s="42">
        <f t="shared" si="1"/>
        <v>3340</v>
      </c>
    </row>
    <row r="9142" ht="22.5" customHeight="1">
      <c r="B9142" s="42" t="str">
        <f>IFERROR(__xludf.DUMMYFUNCTION("""COMPUTED_VALUE"""),"K/7/111125/2")</f>
        <v>K/7/111125/2</v>
      </c>
      <c r="C9142" s="42" t="str">
        <f>IFERROR(__xludf.DUMMYFUNCTION("""COMPUTED_VALUE"""),"M. 12877/BERINGIN RAYA")</f>
        <v>M. 12877/BERINGIN RAYA</v>
      </c>
      <c r="D9142" s="42"/>
      <c r="E9142" s="42"/>
      <c r="F9142" s="48" t="str">
        <f>IFERROR(__xludf.DUMMYFUNCTION("""COMPUTED_VALUE"""),"")</f>
        <v/>
      </c>
      <c r="G9142" s="42" t="str">
        <f>IFERROR(__xludf.DUMMYFUNCTION("""COMPUTED_VALUE"""),"SKPT LELANG")</f>
        <v>SKPT LELANG</v>
      </c>
      <c r="H9142" s="42">
        <f t="shared" si="1"/>
        <v>3340</v>
      </c>
    </row>
    <row r="9143" ht="22.5" customHeight="1">
      <c r="B9143" s="42" t="str">
        <f>IFERROR(__xludf.DUMMYFUNCTION("""COMPUTED_VALUE"""),"ABUETDGN")</f>
        <v>ABUETDGN</v>
      </c>
      <c r="C9143" s="42" t="str">
        <f>IFERROR(__xludf.DUMMYFUNCTION("""COMPUTED_VALUE"""),"M.1998/Sumberrejo Sejahtera")</f>
        <v>M.1998/Sumberrejo Sejahtera</v>
      </c>
      <c r="D9143" s="42"/>
      <c r="E9143" s="42"/>
      <c r="F9143" s="48" t="str">
        <f>IFERROR(__xludf.DUMMYFUNCTION("""COMPUTED_VALUE"""),"")</f>
        <v/>
      </c>
      <c r="G9143" s="42" t="str">
        <f>IFERROR(__xludf.DUMMYFUNCTION("""COMPUTED_VALUE"""),"BN Jual Beli")</f>
        <v>BN Jual Beli</v>
      </c>
      <c r="H9143" s="42">
        <f t="shared" si="1"/>
        <v>3340</v>
      </c>
    </row>
    <row r="9144" ht="22.5" customHeight="1">
      <c r="B9144" s="42" t="str">
        <f>IFERROR(__xludf.DUMMYFUNCTION("""COMPUTED_VALUE"""),"ABGHANQB/AB062")</f>
        <v>ABGHANQB/AB062</v>
      </c>
      <c r="C9144" s="42" t="str">
        <f>IFERROR(__xludf.DUMMYFUNCTION("""COMPUTED_VALUE"""),"PENGUKURAN PERTAMA KALI")</f>
        <v>PENGUKURAN PERTAMA KALI</v>
      </c>
      <c r="D9144" s="42"/>
      <c r="E9144" s="42"/>
      <c r="F9144" s="48" t="str">
        <f>IFERROR(__xludf.DUMMYFUNCTION("""COMPUTED_VALUE"""),"")</f>
        <v/>
      </c>
      <c r="G9144" s="42" t="str">
        <f>IFERROR(__xludf.DUMMYFUNCTION("""COMPUTED_VALUE"""),"PENGUKURAN PERTAMA KALI")</f>
        <v>PENGUKURAN PERTAMA KALI</v>
      </c>
      <c r="H9144" s="42">
        <f t="shared" si="1"/>
        <v>3340</v>
      </c>
    </row>
    <row r="9145" ht="22.5" customHeight="1">
      <c r="B9145" s="42" t="str">
        <f>IFERROR(__xludf.DUMMYFUNCTION("""COMPUTED_VALUE"""),"K/8/111125/3")</f>
        <v>K/8/111125/3</v>
      </c>
      <c r="C9145" s="42" t="str">
        <f>IFERROR(__xludf.DUMMYFUNCTION("""COMPUTED_VALUE"""),"M. 1633/SUKABUMI INDAH")</f>
        <v>M. 1633/SUKABUMI INDAH</v>
      </c>
      <c r="D9145" s="42"/>
      <c r="E9145" s="42"/>
      <c r="F9145" s="48" t="str">
        <f>IFERROR(__xludf.DUMMYFUNCTION("""COMPUTED_VALUE"""),"")</f>
        <v/>
      </c>
      <c r="G9145" s="42" t="str">
        <f>IFERROR(__xludf.DUMMYFUNCTION("""COMPUTED_VALUE"""),"SKPT LELANG")</f>
        <v>SKPT LELANG</v>
      </c>
      <c r="H9145" s="42">
        <f t="shared" si="1"/>
        <v>3340</v>
      </c>
    </row>
    <row r="9146" ht="22.5" customHeight="1">
      <c r="B9146" s="42" t="str">
        <f>IFERROR(__xludf.DUMMYFUNCTION("""COMPUTED_VALUE"""),"L/10/111125/1")</f>
        <v>L/10/111125/1</v>
      </c>
      <c r="C9146" s="42" t="str">
        <f>IFERROR(__xludf.DUMMYFUNCTION("""COMPUTED_VALUE"""),"M. 2385/SUKADANAHAM")</f>
        <v>M. 2385/SUKADANAHAM</v>
      </c>
      <c r="D9146" s="42"/>
      <c r="E9146" s="42"/>
      <c r="F9146" s="48" t="str">
        <f>IFERROR(__xludf.DUMMYFUNCTION("""COMPUTED_VALUE"""),"")</f>
        <v/>
      </c>
      <c r="G9146" s="42" t="str">
        <f>IFERROR(__xludf.DUMMYFUNCTION("""COMPUTED_VALUE"""),"ROYA")</f>
        <v>ROYA</v>
      </c>
      <c r="H9146" s="42">
        <f t="shared" si="1"/>
        <v>3340</v>
      </c>
    </row>
    <row r="9147" ht="22.5" customHeight="1">
      <c r="B9147" s="42" t="str">
        <f>IFERROR(__xludf.DUMMYFUNCTION("""COMPUTED_VALUE"""),"AB032/ABMACUNU")</f>
        <v>AB032/ABMACUNU</v>
      </c>
      <c r="C9147" s="42" t="str">
        <f>IFERROR(__xludf.DUMMYFUNCTION("""COMPUTED_VALUE"""),"SHGB 0700/Sumber agung")</f>
        <v>SHGB 0700/Sumber agung</v>
      </c>
      <c r="D9147" s="42"/>
      <c r="E9147" s="42"/>
      <c r="F9147" s="48" t="str">
        <f>IFERROR(__xludf.DUMMYFUNCTION("""COMPUTED_VALUE"""),"")</f>
        <v/>
      </c>
      <c r="G9147" s="42" t="str">
        <f>IFERROR(__xludf.DUMMYFUNCTION("""COMPUTED_VALUE"""),"Pengecekan Sertipikat")</f>
        <v>Pengecekan Sertipikat</v>
      </c>
      <c r="H9147" s="42">
        <f t="shared" si="1"/>
        <v>3340</v>
      </c>
    </row>
    <row r="9148" ht="22.5" customHeight="1">
      <c r="B9148" s="42" t="str">
        <f>IFERROR(__xludf.DUMMYFUNCTION("""COMPUTED_VALUE"""),"L/11/111125/1")</f>
        <v>L/11/111125/1</v>
      </c>
      <c r="C9148" s="42" t="str">
        <f>IFERROR(__xludf.DUMMYFUNCTION("""COMPUTED_VALUE"""),"B. 128/GEDONG MENENG")</f>
        <v>B. 128/GEDONG MENENG</v>
      </c>
      <c r="D9148" s="42"/>
      <c r="E9148" s="42"/>
      <c r="F9148" s="48" t="str">
        <f>IFERROR(__xludf.DUMMYFUNCTION("""COMPUTED_VALUE"""),"")</f>
        <v/>
      </c>
      <c r="G9148" s="42" t="str">
        <f>IFERROR(__xludf.DUMMYFUNCTION("""COMPUTED_VALUE"""),"PENINGKATAN HAK")</f>
        <v>PENINGKATAN HAK</v>
      </c>
      <c r="H9148" s="42">
        <f t="shared" si="1"/>
        <v>3340</v>
      </c>
    </row>
    <row r="9149" ht="22.5" customHeight="1">
      <c r="B9149" s="42" t="str">
        <f>IFERROR(__xludf.DUMMYFUNCTION("""COMPUTED_VALUE"""),"L/12/111125/1")</f>
        <v>L/12/111125/1</v>
      </c>
      <c r="C9149" s="42" t="str">
        <f>IFERROR(__xludf.DUMMYFUNCTION("""COMPUTED_VALUE"""),"M NIB. 25826/GUNUNG TERANG")</f>
        <v>M NIB. 25826/GUNUNG TERANG</v>
      </c>
      <c r="D9149" s="42"/>
      <c r="E9149" s="42"/>
      <c r="F9149" s="48" t="str">
        <f>IFERROR(__xludf.DUMMYFUNCTION("""COMPUTED_VALUE"""),"")</f>
        <v/>
      </c>
      <c r="G9149" s="42" t="str">
        <f>IFERROR(__xludf.DUMMYFUNCTION("""COMPUTED_VALUE"""),"PTPGT PEMECAHAN")</f>
        <v>PTPGT PEMECAHAN</v>
      </c>
      <c r="H9149" s="42">
        <f t="shared" si="1"/>
        <v>3340</v>
      </c>
    </row>
    <row r="9150" ht="22.5" customHeight="1">
      <c r="B9150" s="42" t="str">
        <f>IFERROR(__xludf.DUMMYFUNCTION("""COMPUTED_VALUE"""),"L/13/111125/1")</f>
        <v>L/13/111125/1</v>
      </c>
      <c r="C9150" s="42" t="str">
        <f>IFERROR(__xludf.DUMMYFUNCTION("""COMPUTED_VALUE"""),"M. 1234/KEDAUNG")</f>
        <v>M. 1234/KEDAUNG</v>
      </c>
      <c r="D9150" s="42"/>
      <c r="E9150" s="42"/>
      <c r="F9150" s="48" t="str">
        <f>IFERROR(__xludf.DUMMYFUNCTION("""COMPUTED_VALUE"""),"")</f>
        <v/>
      </c>
      <c r="G9150" s="42" t="str">
        <f>IFERROR(__xludf.DUMMYFUNCTION("""COMPUTED_VALUE"""),"HAPUS BPHTB")</f>
        <v>HAPUS BPHTB</v>
      </c>
      <c r="H9150" s="42">
        <f t="shared" si="1"/>
        <v>3340</v>
      </c>
    </row>
    <row r="9151" ht="22.5" customHeight="1">
      <c r="B9151" s="42" t="str">
        <f>IFERROR(__xludf.DUMMYFUNCTION("""COMPUTED_VALUE"""),"ABCNDOPD/AB080")</f>
        <v>ABCNDOPD/AB080</v>
      </c>
      <c r="C9151" s="42" t="str">
        <f>IFERROR(__xludf.DUMMYFUNCTION("""COMPUTED_VALUE"""),"Shm 1247/Sukarame Baru")</f>
        <v>Shm 1247/Sukarame Baru</v>
      </c>
      <c r="D9151" s="42"/>
      <c r="E9151" s="42"/>
      <c r="F9151" s="48" t="str">
        <f>IFERROR(__xludf.DUMMYFUNCTION("""COMPUTED_VALUE"""),"")</f>
        <v/>
      </c>
      <c r="G9151" s="42" t="str">
        <f>IFERROR(__xludf.DUMMYFUNCTION("""COMPUTED_VALUE"""),"Bn jual beli")</f>
        <v>Bn jual beli</v>
      </c>
      <c r="H9151" s="42">
        <f t="shared" si="1"/>
        <v>3340</v>
      </c>
    </row>
    <row r="9152" ht="22.5" customHeight="1">
      <c r="B9152" s="42" t="str">
        <f>IFERROR(__xludf.DUMMYFUNCTION("""COMPUTED_VALUE"""),"L/14/111125/1")</f>
        <v>L/14/111125/1</v>
      </c>
      <c r="C9152" s="42" t="str">
        <f>IFERROR(__xludf.DUMMYFUNCTION("""COMPUTED_VALUE"""),"PBT NO 191/2025 KEL. SUKADANAHAM")</f>
        <v>PBT NO 191/2025 KEL. SUKADANAHAM</v>
      </c>
      <c r="D9152" s="42"/>
      <c r="E9152" s="42"/>
      <c r="F9152" s="48" t="str">
        <f>IFERROR(__xludf.DUMMYFUNCTION("""COMPUTED_VALUE"""),"")</f>
        <v/>
      </c>
      <c r="G9152" s="42" t="str">
        <f>IFERROR(__xludf.DUMMYFUNCTION("""COMPUTED_VALUE"""),"PTPGT TANAH MENTAH")</f>
        <v>PTPGT TANAH MENTAH</v>
      </c>
      <c r="H9152" s="42">
        <f t="shared" si="1"/>
        <v>3340</v>
      </c>
    </row>
    <row r="9153" ht="22.5" customHeight="1">
      <c r="B9153" s="42" t="str">
        <f>IFERROR(__xludf.DUMMYFUNCTION("""COMPUTED_VALUE"""),"ABDCBGIO")</f>
        <v>ABDCBGIO</v>
      </c>
      <c r="C9153" s="42">
        <f>IFERROR(__xludf.DUMMYFUNCTION("""COMPUTED_VALUE"""),1448.0)</f>
        <v>1448</v>
      </c>
      <c r="D9153" s="42"/>
      <c r="E9153" s="42"/>
      <c r="F9153" s="48" t="str">
        <f>IFERROR(__xludf.DUMMYFUNCTION("""COMPUTED_VALUE"""),"")</f>
        <v/>
      </c>
      <c r="G9153" s="42" t="str">
        <f>IFERROR(__xludf.DUMMYFUNCTION("""COMPUTED_VALUE"""),"Hibah")</f>
        <v>Hibah</v>
      </c>
      <c r="H9153" s="42">
        <f t="shared" si="1"/>
        <v>3340</v>
      </c>
    </row>
    <row r="9154" ht="22.5" customHeight="1">
      <c r="B9154" s="42" t="str">
        <f>IFERROR(__xludf.DUMMYFUNCTION("""COMPUTED_VALUE"""),"ABZVUWQD")</f>
        <v>ABZVUWQD</v>
      </c>
      <c r="C9154" s="42">
        <f>IFERROR(__xludf.DUMMYFUNCTION("""COMPUTED_VALUE"""),1449.0)</f>
        <v>1449</v>
      </c>
      <c r="D9154" s="42"/>
      <c r="E9154" s="42"/>
      <c r="F9154" s="48" t="str">
        <f>IFERROR(__xludf.DUMMYFUNCTION("""COMPUTED_VALUE"""),"")</f>
        <v/>
      </c>
      <c r="G9154" s="42" t="str">
        <f>IFERROR(__xludf.DUMMYFUNCTION("""COMPUTED_VALUE"""),"Hibah")</f>
        <v>Hibah</v>
      </c>
      <c r="H9154" s="42">
        <f t="shared" si="1"/>
        <v>3340</v>
      </c>
    </row>
    <row r="9155" ht="22.5" customHeight="1">
      <c r="B9155" s="42" t="str">
        <f>IFERROR(__xludf.DUMMYFUNCTION("""COMPUTED_VALUE"""),"L/15/111125/1")</f>
        <v>L/15/111125/1</v>
      </c>
      <c r="C9155" s="42" t="str">
        <f>IFERROR(__xludf.DUMMYFUNCTION("""COMPUTED_VALUE"""),"SK NO 138/HM/BPN.18.71/XI/2025")</f>
        <v>SK NO 138/HM/BPN.18.71/XI/2025</v>
      </c>
      <c r="D9155" s="42"/>
      <c r="E9155" s="42"/>
      <c r="F9155" s="48" t="str">
        <f>IFERROR(__xludf.DUMMYFUNCTION("""COMPUTED_VALUE"""),"")</f>
        <v/>
      </c>
      <c r="G9155" s="42" t="str">
        <f>IFERROR(__xludf.DUMMYFUNCTION("""COMPUTED_VALUE"""),"PENDAFTARAN SK")</f>
        <v>PENDAFTARAN SK</v>
      </c>
      <c r="H9155" s="42">
        <f t="shared" si="1"/>
        <v>3340</v>
      </c>
    </row>
    <row r="9156" ht="22.5" customHeight="1">
      <c r="B9156" s="42" t="str">
        <f>IFERROR(__xludf.DUMMYFUNCTION("""COMPUTED_VALUE"""),"ABLFLORMC/ABO80")</f>
        <v>ABLFLORMC/ABO80</v>
      </c>
      <c r="C9156" s="42" t="str">
        <f>IFERROR(__xludf.DUMMYFUNCTION("""COMPUTED_VALUE"""),"Shm 1246/Sukarame Baru")</f>
        <v>Shm 1246/Sukarame Baru</v>
      </c>
      <c r="D9156" s="42"/>
      <c r="E9156" s="42"/>
      <c r="F9156" s="48" t="str">
        <f>IFERROR(__xludf.DUMMYFUNCTION("""COMPUTED_VALUE"""),"")</f>
        <v/>
      </c>
      <c r="G9156" s="42" t="str">
        <f>IFERROR(__xludf.DUMMYFUNCTION("""COMPUTED_VALUE"""),"Bn jual beli")</f>
        <v>Bn jual beli</v>
      </c>
      <c r="H9156" s="42">
        <f t="shared" si="1"/>
        <v>3340</v>
      </c>
    </row>
    <row r="9157" ht="22.5" customHeight="1">
      <c r="B9157" s="42" t="str">
        <f>IFERROR(__xludf.DUMMYFUNCTION("""COMPUTED_VALUE"""),"ABLHZHMH")</f>
        <v>ABLHZHMH</v>
      </c>
      <c r="C9157" s="42" t="str">
        <f>IFERROR(__xludf.DUMMYFUNCTION("""COMPUTED_VALUE"""),"Shm 858 ")</f>
        <v>Shm 858 </v>
      </c>
      <c r="D9157" s="42"/>
      <c r="E9157" s="42"/>
      <c r="F9157" s="48" t="str">
        <f>IFERROR(__xludf.DUMMYFUNCTION("""COMPUTED_VALUE"""),"")</f>
        <v/>
      </c>
      <c r="G9157" s="42" t="str">
        <f>IFERROR(__xludf.DUMMYFUNCTION("""COMPUTED_VALUE"""),"Balik nama ")</f>
        <v>Balik nama </v>
      </c>
      <c r="H9157" s="42">
        <f t="shared" si="1"/>
        <v>3340</v>
      </c>
    </row>
    <row r="9158" ht="22.5" customHeight="1">
      <c r="B9158" s="42" t="str">
        <f>IFERROR(__xludf.DUMMYFUNCTION("""COMPUTED_VALUE"""),"L/16/111125/1")</f>
        <v>L/16/111125/1</v>
      </c>
      <c r="C9158" s="42" t="str">
        <f>IFERROR(__xludf.DUMMYFUNCTION("""COMPUTED_VALUE"""),"M. 43/SUKARAME BARU")</f>
        <v>M. 43/SUKARAME BARU</v>
      </c>
      <c r="D9158" s="42"/>
      <c r="E9158" s="42"/>
      <c r="F9158" s="48" t="str">
        <f>IFERROR(__xludf.DUMMYFUNCTION("""COMPUTED_VALUE"""),"")</f>
        <v/>
      </c>
      <c r="G9158" s="42" t="str">
        <f>IFERROR(__xludf.DUMMYFUNCTION("""COMPUTED_VALUE"""),"ROYA")</f>
        <v>ROYA</v>
      </c>
      <c r="H9158" s="42">
        <f t="shared" si="1"/>
        <v>3340</v>
      </c>
    </row>
    <row r="9159" ht="22.5" customHeight="1">
      <c r="B9159" s="42" t="str">
        <f>IFERROR(__xludf.DUMMYFUNCTION("""COMPUTED_VALUE"""),"L/17/111125/1")</f>
        <v>L/17/111125/1</v>
      </c>
      <c r="C9159" s="42" t="str">
        <f>IFERROR(__xludf.DUMMYFUNCTION("""COMPUTED_VALUE"""),"M. 18662/SUKARAME I")</f>
        <v>M. 18662/SUKARAME I</v>
      </c>
      <c r="D9159" s="42"/>
      <c r="E9159" s="42"/>
      <c r="F9159" s="48" t="str">
        <f>IFERROR(__xludf.DUMMYFUNCTION("""COMPUTED_VALUE"""),"")</f>
        <v/>
      </c>
      <c r="G9159" s="42" t="str">
        <f>IFERROR(__xludf.DUMMYFUNCTION("""COMPUTED_VALUE"""),"ROYA")</f>
        <v>ROYA</v>
      </c>
      <c r="H9159" s="42">
        <f t="shared" si="1"/>
        <v>3340</v>
      </c>
    </row>
    <row r="9160" ht="22.5" customHeight="1">
      <c r="B9160" s="42" t="str">
        <f>IFERROR(__xludf.DUMMYFUNCTION("""COMPUTED_VALUE"""),"K/9/111125/1")</f>
        <v>K/9/111125/1</v>
      </c>
      <c r="C9160" s="42" t="str">
        <f>IFERROR(__xludf.DUMMYFUNCTION("""COMPUTED_VALUE"""),"NIBEL B. 23794/PERUMNAS WAY HALIM")</f>
        <v>NIBEL B. 23794/PERUMNAS WAY HALIM</v>
      </c>
      <c r="D9160" s="42"/>
      <c r="E9160" s="42"/>
      <c r="F9160" s="48" t="str">
        <f>IFERROR(__xludf.DUMMYFUNCTION("""COMPUTED_VALUE"""),"")</f>
        <v/>
      </c>
      <c r="G9160" s="42" t="str">
        <f>IFERROR(__xludf.DUMMYFUNCTION("""COMPUTED_VALUE"""),"PTPGT")</f>
        <v>PTPGT</v>
      </c>
      <c r="H9160" s="42">
        <f t="shared" si="1"/>
        <v>3340</v>
      </c>
    </row>
    <row r="9161" ht="22.5" customHeight="1">
      <c r="B9161" s="42" t="str">
        <f>IFERROR(__xludf.DUMMYFUNCTION("""COMPUTED_VALUE"""),"ABTAUENM/AB072")</f>
        <v>ABTAUENM/AB072</v>
      </c>
      <c r="C9161" s="42" t="str">
        <f>IFERROR(__xludf.DUMMYFUNCTION("""COMPUTED_VALUE"""),"B. 1084/Jagabaya II")</f>
        <v>B. 1084/Jagabaya II</v>
      </c>
      <c r="D9161" s="42"/>
      <c r="E9161" s="42"/>
      <c r="F9161" s="48" t="str">
        <f>IFERROR(__xludf.DUMMYFUNCTION("""COMPUTED_VALUE"""),"")</f>
        <v/>
      </c>
      <c r="G9161" s="42" t="str">
        <f>IFERROR(__xludf.DUMMYFUNCTION("""COMPUTED_VALUE"""),"Ganti Kelurahan dan Kecamatan")</f>
        <v>Ganti Kelurahan dan Kecamatan</v>
      </c>
      <c r="H9161" s="42">
        <f t="shared" si="1"/>
        <v>3340</v>
      </c>
    </row>
    <row r="9162" ht="22.5" customHeight="1">
      <c r="B9162" s="42" t="str">
        <f>IFERROR(__xludf.DUMMYFUNCTION("""COMPUTED_VALUE"""),"ABFSCXXU")</f>
        <v>ABFSCXXU</v>
      </c>
      <c r="C9162" s="42" t="str">
        <f>IFERROR(__xludf.DUMMYFUNCTION("""COMPUTED_VALUE"""),"630/PS")</f>
        <v>630/PS</v>
      </c>
      <c r="D9162" s="42"/>
      <c r="E9162" s="42"/>
      <c r="F9162" s="48" t="str">
        <f>IFERROR(__xludf.DUMMYFUNCTION("""COMPUTED_VALUE"""),"")</f>
        <v/>
      </c>
      <c r="G9162" s="42" t="str">
        <f>IFERROR(__xludf.DUMMYFUNCTION("""COMPUTED_VALUE"""),"HIBAH")</f>
        <v>HIBAH</v>
      </c>
      <c r="H9162" s="42">
        <f t="shared" si="1"/>
        <v>3340</v>
      </c>
    </row>
    <row r="9163" ht="22.5" customHeight="1">
      <c r="B9163" s="42" t="str">
        <f>IFERROR(__xludf.DUMMYFUNCTION("""COMPUTED_VALUE"""),"ABWYCAKR")</f>
        <v>ABWYCAKR</v>
      </c>
      <c r="C9163" s="42">
        <f>IFERROR(__xludf.DUMMYFUNCTION("""COMPUTED_VALUE"""),1953.0)</f>
        <v>1953</v>
      </c>
      <c r="D9163" s="42"/>
      <c r="E9163" s="42"/>
      <c r="F9163" s="48" t="str">
        <f>IFERROR(__xludf.DUMMYFUNCTION("""COMPUTED_VALUE"""),"")</f>
        <v/>
      </c>
      <c r="G9163" s="42" t="str">
        <f>IFERROR(__xludf.DUMMYFUNCTION("""COMPUTED_VALUE"""),"HIBAH")</f>
        <v>HIBAH</v>
      </c>
      <c r="H9163" s="42">
        <f t="shared" si="1"/>
        <v>3340</v>
      </c>
    </row>
    <row r="9164" ht="22.5" customHeight="1">
      <c r="B9164" s="42" t="str">
        <f>IFERROR(__xludf.DUMMYFUNCTION("""COMPUTED_VALUE"""),"ABPJKXVZ")</f>
        <v>ABPJKXVZ</v>
      </c>
      <c r="C9164" s="42" t="str">
        <f>IFERROR(__xludf.DUMMYFUNCTION("""COMPUTED_VALUE"""),"08.01.000010838.0")</f>
        <v>08.01.000010838.0</v>
      </c>
      <c r="D9164" s="42"/>
      <c r="E9164" s="42"/>
      <c r="F9164" s="48" t="str">
        <f>IFERROR(__xludf.DUMMYFUNCTION("""COMPUTED_VALUE"""),"")</f>
        <v/>
      </c>
      <c r="G9164" s="42" t="str">
        <f>IFERROR(__xludf.DUMMYFUNCTION("""COMPUTED_VALUE"""),"JUAL BELI")</f>
        <v>JUAL BELI</v>
      </c>
      <c r="H9164" s="42">
        <f t="shared" si="1"/>
        <v>3340</v>
      </c>
    </row>
    <row r="9165" ht="22.5" customHeight="1">
      <c r="B9165" s="42" t="str">
        <f>IFERROR(__xludf.DUMMYFUNCTION("""COMPUTED_VALUE"""),"K/18/111125/1")</f>
        <v>K/18/111125/1</v>
      </c>
      <c r="C9165" s="42" t="str">
        <f>IFERROR(__xludf.DUMMYFUNCTION("""COMPUTED_VALUE"""),"B. 133/KUPANG KOTA")</f>
        <v>B. 133/KUPANG KOTA</v>
      </c>
      <c r="D9165" s="42"/>
      <c r="E9165" s="42"/>
      <c r="F9165" s="48" t="str">
        <f>IFERROR(__xludf.DUMMYFUNCTION("""COMPUTED_VALUE"""),"")</f>
        <v/>
      </c>
      <c r="G9165" s="42" t="str">
        <f>IFERROR(__xludf.DUMMYFUNCTION("""COMPUTED_VALUE"""),"SKPT LELANG")</f>
        <v>SKPT LELANG</v>
      </c>
      <c r="H9165" s="42">
        <f t="shared" si="1"/>
        <v>3340</v>
      </c>
    </row>
    <row r="9166" ht="22.5" customHeight="1">
      <c r="B9166" s="42" t="str">
        <f>IFERROR(__xludf.DUMMYFUNCTION("""COMPUTED_VALUE"""),"ABUPRVGS/AB066")</f>
        <v>ABUPRVGS/AB066</v>
      </c>
      <c r="C9166" s="42" t="str">
        <f>IFERROR(__xludf.DUMMYFUNCTION("""COMPUTED_VALUE"""),"HM N.25455/tanjung senang")</f>
        <v>HM N.25455/tanjung senang</v>
      </c>
      <c r="D9166" s="42"/>
      <c r="E9166" s="42"/>
      <c r="F9166" s="48" t="str">
        <f>IFERROR(__xludf.DUMMYFUNCTION("""COMPUTED_VALUE"""),"")</f>
        <v/>
      </c>
      <c r="G9166" s="42" t="str">
        <f>IFERROR(__xludf.DUMMYFUNCTION("""COMPUTED_VALUE"""),"Peta analisis penatagunaan tanah")</f>
        <v>Peta analisis penatagunaan tanah</v>
      </c>
      <c r="H9166" s="42">
        <f t="shared" si="1"/>
        <v>3340</v>
      </c>
    </row>
    <row r="9167" ht="22.5" customHeight="1">
      <c r="B9167" s="42" t="str">
        <f>IFERROR(__xludf.DUMMYFUNCTION("""COMPUTED_VALUE"""),"K/19/111125/1")</f>
        <v>K/19/111125/1</v>
      </c>
      <c r="C9167" s="42" t="str">
        <f>IFERROR(__xludf.DUMMYFUNCTION("""COMPUTED_VALUE"""),"M. 2980/KUPANG TEBA")</f>
        <v>M. 2980/KUPANG TEBA</v>
      </c>
      <c r="D9167" s="42"/>
      <c r="E9167" s="42"/>
      <c r="F9167" s="48" t="str">
        <f>IFERROR(__xludf.DUMMYFUNCTION("""COMPUTED_VALUE"""),"")</f>
        <v/>
      </c>
      <c r="G9167" s="42" t="str">
        <f>IFERROR(__xludf.DUMMYFUNCTION("""COMPUTED_VALUE"""),"PEMECAHAN")</f>
        <v>PEMECAHAN</v>
      </c>
      <c r="H9167" s="42">
        <f t="shared" si="1"/>
        <v>3340</v>
      </c>
    </row>
    <row r="9168" ht="22.5" customHeight="1">
      <c r="B9168" s="42" t="str">
        <f>IFERROR(__xludf.DUMMYFUNCTION("""COMPUTED_VALUE"""),"ABVSYPZV")</f>
        <v>ABVSYPZV</v>
      </c>
      <c r="C9168" s="42" t="str">
        <f>IFERROR(__xludf.DUMMYFUNCTION("""COMPUTED_VALUE"""),"M 291/ SUKARAME II")</f>
        <v>M 291/ SUKARAME II</v>
      </c>
      <c r="D9168" s="42"/>
      <c r="E9168" s="42"/>
      <c r="F9168" s="48" t="str">
        <f>IFERROR(__xludf.DUMMYFUNCTION("""COMPUTED_VALUE"""),"")</f>
        <v/>
      </c>
      <c r="G9168" s="42" t="str">
        <f>IFERROR(__xludf.DUMMYFUNCTION("""COMPUTED_VALUE"""),"Roya")</f>
        <v>Roya</v>
      </c>
      <c r="H9168" s="42">
        <f t="shared" si="1"/>
        <v>3340</v>
      </c>
    </row>
    <row r="9169" ht="22.5" customHeight="1">
      <c r="B9169" s="42" t="str">
        <f>IFERROR(__xludf.DUMMYFUNCTION("""COMPUTED_VALUE"""),"L/1/121125/1")</f>
        <v>L/1/121125/1</v>
      </c>
      <c r="C9169" s="42" t="str">
        <f>IFERROR(__xludf.DUMMYFUNCTION("""COMPUTED_VALUE"""),"KEL. SUMBEREJO SEJAHTERA LUAS 945 M2")</f>
        <v>KEL. SUMBEREJO SEJAHTERA LUAS 945 M2</v>
      </c>
      <c r="D9169" s="42"/>
      <c r="E9169" s="42"/>
      <c r="F9169" s="48" t="str">
        <f>IFERROR(__xludf.DUMMYFUNCTION("""COMPUTED_VALUE"""),"")</f>
        <v/>
      </c>
      <c r="G9169" s="42" t="str">
        <f>IFERROR(__xludf.DUMMYFUNCTION("""COMPUTED_VALUE"""),"PENGUKURAN PERTAMA KALI")</f>
        <v>PENGUKURAN PERTAMA KALI</v>
      </c>
      <c r="H9169" s="42">
        <f t="shared" si="1"/>
        <v>3340</v>
      </c>
    </row>
    <row r="9170" ht="22.5" customHeight="1">
      <c r="B9170" s="42" t="str">
        <f>IFERROR(__xludf.DUMMYFUNCTION("""COMPUTED_VALUE"""),"AB016")</f>
        <v>AB016</v>
      </c>
      <c r="C9170" s="42">
        <f>IFERROR(__xludf.DUMMYFUNCTION("""COMPUTED_VALUE"""),2599.0)</f>
        <v>2599</v>
      </c>
      <c r="D9170" s="42"/>
      <c r="E9170" s="42"/>
      <c r="F9170" s="48" t="str">
        <f>IFERROR(__xludf.DUMMYFUNCTION("""COMPUTED_VALUE"""),"")</f>
        <v/>
      </c>
      <c r="G9170" s="42" t="str">
        <f>IFERROR(__xludf.DUMMYFUNCTION("""COMPUTED_VALUE"""),"Ganti desa")</f>
        <v>Ganti desa</v>
      </c>
      <c r="H9170" s="42">
        <f t="shared" si="1"/>
        <v>3340</v>
      </c>
    </row>
    <row r="9171" ht="22.5" customHeight="1">
      <c r="B9171" s="42" t="str">
        <f>IFERROR(__xludf.DUMMYFUNCTION("""COMPUTED_VALUE"""),"Ab 34 (ABRLUHEK)")</f>
        <v>Ab 34 (ABRLUHEK)</v>
      </c>
      <c r="C9171" s="42" t="str">
        <f>IFERROR(__xludf.DUMMYFUNCTION("""COMPUTED_VALUE"""),"M 3200/ sukarame baru")</f>
        <v>M 3200/ sukarame baru</v>
      </c>
      <c r="D9171" s="42"/>
      <c r="E9171" s="42"/>
      <c r="F9171" s="48" t="str">
        <f>IFERROR(__xludf.DUMMYFUNCTION("""COMPUTED_VALUE"""),"")</f>
        <v/>
      </c>
      <c r="G9171" s="42" t="str">
        <f>IFERROR(__xludf.DUMMYFUNCTION("""COMPUTED_VALUE"""),"Balik nama")</f>
        <v>Balik nama</v>
      </c>
      <c r="H9171" s="42">
        <f t="shared" si="1"/>
        <v>3340</v>
      </c>
    </row>
    <row r="9172" ht="22.5" customHeight="1">
      <c r="B9172" s="42" t="str">
        <f>IFERROR(__xludf.DUMMYFUNCTION("""COMPUTED_VALUE"""),"AB 34 ( ABZYIUSL)")</f>
        <v>AB 34 ( ABZYIUSL)</v>
      </c>
      <c r="C9172" s="42" t="str">
        <f>IFERROR(__xludf.DUMMYFUNCTION("""COMPUTED_VALUE"""),"Nibel M 26111/ gunung terang")</f>
        <v>Nibel M 26111/ gunung terang</v>
      </c>
      <c r="D9172" s="42"/>
      <c r="E9172" s="42"/>
      <c r="F9172" s="48" t="str">
        <f>IFERROR(__xludf.DUMMYFUNCTION("""COMPUTED_VALUE"""),"")</f>
        <v/>
      </c>
      <c r="G9172" s="42" t="str">
        <f>IFERROR(__xludf.DUMMYFUNCTION("""COMPUTED_VALUE"""),"Balik nama")</f>
        <v>Balik nama</v>
      </c>
      <c r="H9172" s="42">
        <f t="shared" si="1"/>
        <v>3340</v>
      </c>
    </row>
    <row r="9173" ht="22.5" customHeight="1">
      <c r="B9173" s="42" t="str">
        <f>IFERROR(__xludf.DUMMYFUNCTION("""COMPUTED_VALUE"""),"ABTRIHWR/AB012")</f>
        <v>ABTRIHWR/AB012</v>
      </c>
      <c r="C9173" s="42" t="str">
        <f>IFERROR(__xludf.DUMMYFUNCTION("""COMPUTED_VALUE"""),"08.01.000025667.0")</f>
        <v>08.01.000025667.0</v>
      </c>
      <c r="D9173" s="42"/>
      <c r="E9173" s="42"/>
      <c r="F9173" s="48" t="str">
        <f>IFERROR(__xludf.DUMMYFUNCTION("""COMPUTED_VALUE"""),"")</f>
        <v/>
      </c>
      <c r="G9173" s="42" t="str">
        <f>IFERROR(__xludf.DUMMYFUNCTION("""COMPUTED_VALUE"""),"Jual beli")</f>
        <v>Jual beli</v>
      </c>
      <c r="H9173" s="42">
        <f t="shared" si="1"/>
        <v>3340</v>
      </c>
    </row>
    <row r="9174" ht="22.5" customHeight="1">
      <c r="B9174" s="42" t="str">
        <f>IFERROR(__xludf.DUMMYFUNCTION("""COMPUTED_VALUE"""),"K/2/121125/1")</f>
        <v>K/2/121125/1</v>
      </c>
      <c r="C9174" s="42" t="str">
        <f>IFERROR(__xludf.DUMMYFUNCTION("""COMPUTED_VALUE"""),"NIBEL M. 12709/BERINGIN RAYA")</f>
        <v>NIBEL M. 12709/BERINGIN RAYA</v>
      </c>
      <c r="D9174" s="42"/>
      <c r="E9174" s="42"/>
      <c r="F9174" s="48" t="str">
        <f>IFERROR(__xludf.DUMMYFUNCTION("""COMPUTED_VALUE"""),"")</f>
        <v/>
      </c>
      <c r="G9174" s="42" t="str">
        <f>IFERROR(__xludf.DUMMYFUNCTION("""COMPUTED_VALUE"""),"SKPT LELANG")</f>
        <v>SKPT LELANG</v>
      </c>
      <c r="H9174" s="42">
        <f t="shared" si="1"/>
        <v>3340</v>
      </c>
    </row>
    <row r="9175" ht="22.5" customHeight="1">
      <c r="B9175" s="42" t="str">
        <f>IFERROR(__xludf.DUMMYFUNCTION("""COMPUTED_VALUE"""),"K/3/121125/1")</f>
        <v>K/3/121125/1</v>
      </c>
      <c r="C9175" s="42" t="str">
        <f>IFERROR(__xludf.DUMMYFUNCTION("""COMPUTED_VALUE"""),"M. 13664/SUKABUMI")</f>
        <v>M. 13664/SUKABUMI</v>
      </c>
      <c r="D9175" s="42"/>
      <c r="E9175" s="42"/>
      <c r="F9175" s="48" t="str">
        <f>IFERROR(__xludf.DUMMYFUNCTION("""COMPUTED_VALUE"""),"")</f>
        <v/>
      </c>
      <c r="G9175" s="42" t="str">
        <f>IFERROR(__xludf.DUMMYFUNCTION("""COMPUTED_VALUE"""),"PEMECAHAN")</f>
        <v>PEMECAHAN</v>
      </c>
      <c r="H9175" s="42">
        <f t="shared" si="1"/>
        <v>3340</v>
      </c>
    </row>
    <row r="9176" ht="22.5" customHeight="1">
      <c r="B9176" s="42" t="str">
        <f>IFERROR(__xludf.DUMMYFUNCTION("""COMPUTED_VALUE"""),"K/4/121125/1")</f>
        <v>K/4/121125/1</v>
      </c>
      <c r="C9176" s="42" t="str">
        <f>IFERROR(__xludf.DUMMYFUNCTION("""COMPUTED_VALUE"""),"NIBEL M. 22299/PEMATANG WANGI")</f>
        <v>NIBEL M. 22299/PEMATANG WANGI</v>
      </c>
      <c r="D9176" s="42"/>
      <c r="E9176" s="42"/>
      <c r="F9176" s="48" t="str">
        <f>IFERROR(__xludf.DUMMYFUNCTION("""COMPUTED_VALUE"""),"")</f>
        <v/>
      </c>
      <c r="G9176" s="42" t="str">
        <f>IFERROR(__xludf.DUMMYFUNCTION("""COMPUTED_VALUE"""),"BN JUAL BELI ")</f>
        <v>BN JUAL BELI </v>
      </c>
      <c r="H9176" s="42">
        <f t="shared" si="1"/>
        <v>3340</v>
      </c>
    </row>
    <row r="9177" ht="22.5" customHeight="1">
      <c r="B9177" s="42" t="str">
        <f>IFERROR(__xludf.DUMMYFUNCTION("""COMPUTED_VALUE"""),"AB047/ABVUWCNH")</f>
        <v>AB047/ABVUWCNH</v>
      </c>
      <c r="C9177" s="42" t="str">
        <f>IFERROR(__xludf.DUMMYFUNCTION("""COMPUTED_VALUE"""),"SHGB NIB. 08.01.000017802.0")</f>
        <v>SHGB NIB. 08.01.000017802.0</v>
      </c>
      <c r="D9177" s="42"/>
      <c r="E9177" s="42"/>
      <c r="F9177" s="48" t="str">
        <f>IFERROR(__xludf.DUMMYFUNCTION("""COMPUTED_VALUE"""),"")</f>
        <v/>
      </c>
      <c r="G9177" s="42" t="str">
        <f>IFERROR(__xludf.DUMMYFUNCTION("""COMPUTED_VALUE"""),"balik nama")</f>
        <v>balik nama</v>
      </c>
      <c r="H9177" s="42">
        <f t="shared" si="1"/>
        <v>3340</v>
      </c>
    </row>
    <row r="9178" ht="22.5" customHeight="1">
      <c r="B9178" s="42" t="str">
        <f>IFERROR(__xludf.DUMMYFUNCTION("""COMPUTED_VALUE"""),"L/6/121125/1")</f>
        <v>L/6/121125/1</v>
      </c>
      <c r="C9178" s="42" t="str">
        <f>IFERROR(__xludf.DUMMYFUNCTION("""COMPUTED_VALUE"""),"M. 16800/SUKARAME I")</f>
        <v>M. 16800/SUKARAME I</v>
      </c>
      <c r="D9178" s="42"/>
      <c r="E9178" s="42"/>
      <c r="F9178" s="48" t="str">
        <f>IFERROR(__xludf.DUMMYFUNCTION("""COMPUTED_VALUE"""),"")</f>
        <v/>
      </c>
      <c r="G9178" s="42" t="str">
        <f>IFERROR(__xludf.DUMMYFUNCTION("""COMPUTED_VALUE"""),"ROYA")</f>
        <v>ROYA</v>
      </c>
      <c r="H9178" s="42">
        <f t="shared" si="1"/>
        <v>3340</v>
      </c>
    </row>
    <row r="9179" ht="22.5" customHeight="1">
      <c r="B9179" s="42" t="str">
        <f>IFERROR(__xludf.DUMMYFUNCTION("""COMPUTED_VALUE"""),"ABHAHVDU/AB014")</f>
        <v>ABHAHVDU/AB014</v>
      </c>
      <c r="C9179" s="42" t="str">
        <f>IFERROR(__xludf.DUMMYFUNCTION("""COMPUTED_VALUE"""),"M.1677/JAGABAYA.III")</f>
        <v>M.1677/JAGABAYA.III</v>
      </c>
      <c r="D9179" s="42"/>
      <c r="E9179" s="42"/>
      <c r="F9179" s="48" t="str">
        <f>IFERROR(__xludf.DUMMYFUNCTION("""COMPUTED_VALUE"""),"")</f>
        <v/>
      </c>
      <c r="G9179" s="42" t="str">
        <f>IFERROR(__xludf.DUMMYFUNCTION("""COMPUTED_VALUE"""),"AJB BN")</f>
        <v>AJB BN</v>
      </c>
      <c r="H9179" s="42">
        <f t="shared" si="1"/>
        <v>3340</v>
      </c>
    </row>
    <row r="9180" ht="22.5" customHeight="1">
      <c r="B9180" s="42" t="str">
        <f>IFERROR(__xludf.DUMMYFUNCTION("""COMPUTED_VALUE"""),"ABCYMTZC")</f>
        <v>ABCYMTZC</v>
      </c>
      <c r="C9180" s="42" t="str">
        <f>IFERROR(__xludf.DUMMYFUNCTION("""COMPUTED_VALUE"""),"M 607/ korpri raya")</f>
        <v>M 607/ korpri raya</v>
      </c>
      <c r="D9180" s="42"/>
      <c r="E9180" s="42"/>
      <c r="F9180" s="48" t="str">
        <f>IFERROR(__xludf.DUMMYFUNCTION("""COMPUTED_VALUE"""),"")</f>
        <v/>
      </c>
      <c r="G9180" s="42" t="str">
        <f>IFERROR(__xludf.DUMMYFUNCTION("""COMPUTED_VALUE"""),"BN jual beli")</f>
        <v>BN jual beli</v>
      </c>
      <c r="H9180" s="42">
        <f t="shared" si="1"/>
        <v>3340</v>
      </c>
    </row>
    <row r="9181" ht="22.5" customHeight="1">
      <c r="B9181" s="42" t="str">
        <f>IFERROR(__xludf.DUMMYFUNCTION("""COMPUTED_VALUE"""),"ABLJVRYK")</f>
        <v>ABLJVRYK</v>
      </c>
      <c r="C9181" s="42" t="str">
        <f>IFERROR(__xludf.DUMMYFUNCTION("""COMPUTED_VALUE"""),"M 321/ tanjung gading")</f>
        <v>M 321/ tanjung gading</v>
      </c>
      <c r="D9181" s="42"/>
      <c r="E9181" s="42"/>
      <c r="F9181" s="48" t="str">
        <f>IFERROR(__xludf.DUMMYFUNCTION("""COMPUTED_VALUE"""),"")</f>
        <v/>
      </c>
      <c r="G9181" s="42" t="str">
        <f>IFERROR(__xludf.DUMMYFUNCTION("""COMPUTED_VALUE"""),"BN jual beli ")</f>
        <v>BN jual beli </v>
      </c>
      <c r="H9181" s="42">
        <f t="shared" si="1"/>
        <v>3340</v>
      </c>
    </row>
    <row r="9182" ht="22.5" customHeight="1">
      <c r="B9182" s="42" t="str">
        <f>IFERROR(__xludf.DUMMYFUNCTION("""COMPUTED_VALUE"""),"AB057")</f>
        <v>AB057</v>
      </c>
      <c r="C9182" s="42">
        <f>IFERROR(__xludf.DUMMYFUNCTION("""COMPUTED_VALUE"""),24286.0)</f>
        <v>24286</v>
      </c>
      <c r="D9182" s="42"/>
      <c r="E9182" s="42"/>
      <c r="F9182" s="48" t="str">
        <f>IFERROR(__xludf.DUMMYFUNCTION("""COMPUTED_VALUE"""),"")</f>
        <v/>
      </c>
      <c r="G9182" s="42" t="str">
        <f>IFERROR(__xludf.DUMMYFUNCTION("""COMPUTED_VALUE"""),"Balik nama")</f>
        <v>Balik nama</v>
      </c>
      <c r="H9182" s="42">
        <f t="shared" si="1"/>
        <v>3340</v>
      </c>
    </row>
    <row r="9183" ht="22.5" customHeight="1">
      <c r="B9183" s="42" t="str">
        <f>IFERROR(__xludf.DUMMYFUNCTION("""COMPUTED_VALUE"""),"AB057/AVLINZXY")</f>
        <v>AB057/AVLINZXY</v>
      </c>
      <c r="C9183" s="42" t="str">
        <f>IFERROR(__xludf.DUMMYFUNCTION("""COMPUTED_VALUE"""),"M.4743/Way Kandis")</f>
        <v>M.4743/Way Kandis</v>
      </c>
      <c r="D9183" s="42"/>
      <c r="E9183" s="42"/>
      <c r="F9183" s="48" t="str">
        <f>IFERROR(__xludf.DUMMYFUNCTION("""COMPUTED_VALUE"""),"")</f>
        <v/>
      </c>
      <c r="G9183" s="42" t="str">
        <f>IFERROR(__xludf.DUMMYFUNCTION("""COMPUTED_VALUE"""),"Hapus Bphtb terhutang")</f>
        <v>Hapus Bphtb terhutang</v>
      </c>
      <c r="H9183" s="42">
        <f t="shared" si="1"/>
        <v>3340</v>
      </c>
    </row>
    <row r="9184" ht="22.5" customHeight="1">
      <c r="B9184" s="42" t="str">
        <f>IFERROR(__xludf.DUMMYFUNCTION("""COMPUTED_VALUE"""),"AB057/ABURPIUS")</f>
        <v>AB057/ABURPIUS</v>
      </c>
      <c r="C9184" s="42" t="str">
        <f>IFERROR(__xludf.DUMMYFUNCTION("""COMPUTED_VALUE"""),"M.4889/Way Kandis")</f>
        <v>M.4889/Way Kandis</v>
      </c>
      <c r="D9184" s="42"/>
      <c r="E9184" s="42"/>
      <c r="F9184" s="48" t="str">
        <f>IFERROR(__xludf.DUMMYFUNCTION("""COMPUTED_VALUE"""),"")</f>
        <v/>
      </c>
      <c r="G9184" s="42" t="str">
        <f>IFERROR(__xludf.DUMMYFUNCTION("""COMPUTED_VALUE"""),"Hapus Bphtb Terhutang")</f>
        <v>Hapus Bphtb Terhutang</v>
      </c>
      <c r="H9184" s="42">
        <f t="shared" si="1"/>
        <v>3340</v>
      </c>
    </row>
    <row r="9185" ht="22.5" customHeight="1">
      <c r="B9185" s="42" t="str">
        <f>IFERROR(__xludf.DUMMYFUNCTION("""COMPUTED_VALUE"""),"L/7/121125/1")</f>
        <v>L/7/121125/1</v>
      </c>
      <c r="C9185" s="42" t="str">
        <f>IFERROR(__xludf.DUMMYFUNCTION("""COMPUTED_VALUE"""),"M. 1033/PAHOMAN")</f>
        <v>M. 1033/PAHOMAN</v>
      </c>
      <c r="D9185" s="42"/>
      <c r="E9185" s="42"/>
      <c r="F9185" s="48" t="str">
        <f>IFERROR(__xludf.DUMMYFUNCTION("""COMPUTED_VALUE"""),"")</f>
        <v/>
      </c>
      <c r="G9185" s="42" t="str">
        <f>IFERROR(__xludf.DUMMYFUNCTION("""COMPUTED_VALUE"""),"HAPUS BPHTB")</f>
        <v>HAPUS BPHTB</v>
      </c>
      <c r="H9185" s="42">
        <f t="shared" si="1"/>
        <v>3340</v>
      </c>
    </row>
    <row r="9186" ht="22.5" customHeight="1">
      <c r="B9186" s="42" t="str">
        <f>IFERROR(__xludf.DUMMYFUNCTION("""COMPUTED_VALUE"""),"ABBQJGRZ/AB055")</f>
        <v>ABBQJGRZ/AB055</v>
      </c>
      <c r="C9186" s="42" t="str">
        <f>IFERROR(__xludf.DUMMYFUNCTION("""COMPUTED_VALUE"""),"SHM.20583/ rajabasa jaya")</f>
        <v>SHM.20583/ rajabasa jaya</v>
      </c>
      <c r="D9186" s="42"/>
      <c r="E9186" s="42"/>
      <c r="F9186" s="48" t="str">
        <f>IFERROR(__xludf.DUMMYFUNCTION("""COMPUTED_VALUE"""),"")</f>
        <v/>
      </c>
      <c r="G9186" s="42" t="str">
        <f>IFERROR(__xludf.DUMMYFUNCTION("""COMPUTED_VALUE"""),"BN jual beli ")</f>
        <v>BN jual beli </v>
      </c>
      <c r="H9186" s="42">
        <f t="shared" si="1"/>
        <v>3340</v>
      </c>
    </row>
    <row r="9187" ht="22.5" customHeight="1">
      <c r="B9187" s="42" t="str">
        <f>IFERROR(__xludf.DUMMYFUNCTION("""COMPUTED_VALUE"""),"ABYPXTHO/57")</f>
        <v>ABYPXTHO/57</v>
      </c>
      <c r="C9187" s="42" t="str">
        <f>IFERROR(__xludf.DUMMYFUNCTION("""COMPUTED_VALUE"""),"SHM 635 Durian payung")</f>
        <v>SHM 635 Durian payung</v>
      </c>
      <c r="D9187" s="42"/>
      <c r="E9187" s="42"/>
      <c r="F9187" s="48" t="str">
        <f>IFERROR(__xludf.DUMMYFUNCTION("""COMPUTED_VALUE"""),"")</f>
        <v/>
      </c>
      <c r="G9187" s="42" t="str">
        <f>IFERROR(__xludf.DUMMYFUNCTION("""COMPUTED_VALUE"""),"balik nama jual beli")</f>
        <v>balik nama jual beli</v>
      </c>
      <c r="H9187" s="42">
        <f t="shared" si="1"/>
        <v>3340</v>
      </c>
    </row>
    <row r="9188" ht="22.5" customHeight="1">
      <c r="B9188" s="42" t="str">
        <f>IFERROR(__xludf.DUMMYFUNCTION("""COMPUTED_VALUE"""),"ABPWHMGZ/57")</f>
        <v>ABPWHMGZ/57</v>
      </c>
      <c r="C9188" s="42" t="str">
        <f>IFERROR(__xludf.DUMMYFUNCTION("""COMPUTED_VALUE"""),"M nibel 12199/Way kandis")</f>
        <v>M nibel 12199/Way kandis</v>
      </c>
      <c r="D9188" s="42"/>
      <c r="E9188" s="42"/>
      <c r="F9188" s="48" t="str">
        <f>IFERROR(__xludf.DUMMYFUNCTION("""COMPUTED_VALUE"""),"")</f>
        <v/>
      </c>
      <c r="G9188" s="42" t="str">
        <f>IFERROR(__xludf.DUMMYFUNCTION("""COMPUTED_VALUE"""),"jual beli balik nama")</f>
        <v>jual beli balik nama</v>
      </c>
      <c r="H9188" s="42">
        <f t="shared" si="1"/>
        <v>3340</v>
      </c>
    </row>
    <row r="9189" ht="22.5" customHeight="1">
      <c r="B9189" s="42" t="str">
        <f>IFERROR(__xludf.DUMMYFUNCTION("""COMPUTED_VALUE"""),"ABEVQUVG")</f>
        <v>ABEVQUVG</v>
      </c>
      <c r="C9189" s="42" t="str">
        <f>IFERROR(__xludf.DUMMYFUNCTION("""COMPUTED_VALUE"""),"M.1018/Bkg")</f>
        <v>M.1018/Bkg</v>
      </c>
      <c r="D9189" s="42"/>
      <c r="E9189" s="42"/>
      <c r="F9189" s="48" t="str">
        <f>IFERROR(__xludf.DUMMYFUNCTION("""COMPUTED_VALUE"""),"")</f>
        <v/>
      </c>
      <c r="G9189" s="42" t="str">
        <f>IFERROR(__xludf.DUMMYFUNCTION("""COMPUTED_VALUE"""),"BN Jual Beli")</f>
        <v>BN Jual Beli</v>
      </c>
      <c r="H9189" s="42">
        <f t="shared" si="1"/>
        <v>3340</v>
      </c>
    </row>
    <row r="9190" ht="22.5" customHeight="1">
      <c r="B9190" s="42" t="str">
        <f>IFERROR(__xludf.DUMMYFUNCTION("""COMPUTED_VALUE"""),"K/8/121125/1")</f>
        <v>K/8/121125/1</v>
      </c>
      <c r="C9190" s="42" t="str">
        <f>IFERROR(__xludf.DUMMYFUNCTION("""COMPUTED_VALUE"""),"M. 2645/SUMBER REJO")</f>
        <v>M. 2645/SUMBER REJO</v>
      </c>
      <c r="D9190" s="42"/>
      <c r="E9190" s="42"/>
      <c r="F9190" s="48" t="str">
        <f>IFERROR(__xludf.DUMMYFUNCTION("""COMPUTED_VALUE"""),"")</f>
        <v/>
      </c>
      <c r="G9190" s="42" t="str">
        <f>IFERROR(__xludf.DUMMYFUNCTION("""COMPUTED_VALUE"""),"SKPT LELANG")</f>
        <v>SKPT LELANG</v>
      </c>
      <c r="H9190" s="42">
        <f t="shared" si="1"/>
        <v>3340</v>
      </c>
    </row>
    <row r="9191" ht="22.5" customHeight="1">
      <c r="B9191" s="42" t="str">
        <f>IFERROR(__xludf.DUMMYFUNCTION("""COMPUTED_VALUE"""),"ABTKNMEB/AB052")</f>
        <v>ABTKNMEB/AB052</v>
      </c>
      <c r="C9191" s="42" t="str">
        <f>IFERROR(__xludf.DUMMYFUNCTION("""COMPUTED_VALUE"""),"M.838/Gunung Sulah")</f>
        <v>M.838/Gunung Sulah</v>
      </c>
      <c r="D9191" s="42"/>
      <c r="E9191" s="42"/>
      <c r="F9191" s="48" t="str">
        <f>IFERROR(__xludf.DUMMYFUNCTION("""COMPUTED_VALUE"""),"")</f>
        <v/>
      </c>
      <c r="G9191" s="42" t="str">
        <f>IFERROR(__xludf.DUMMYFUNCTION("""COMPUTED_VALUE"""),"Ganti kecamatan")</f>
        <v>Ganti kecamatan</v>
      </c>
      <c r="H9191" s="42">
        <f t="shared" si="1"/>
        <v>3340</v>
      </c>
    </row>
    <row r="9192" ht="22.5" customHeight="1">
      <c r="B9192" s="42" t="str">
        <f>IFERROR(__xludf.DUMMYFUNCTION("""COMPUTED_VALUE"""),"ABIWDVSD")</f>
        <v>ABIWDVSD</v>
      </c>
      <c r="C9192" s="42" t="str">
        <f>IFERROR(__xludf.DUMMYFUNCTION("""COMPUTED_VALUE"""),"M.1174/L.D")</f>
        <v>M.1174/L.D</v>
      </c>
      <c r="D9192" s="42"/>
      <c r="E9192" s="42"/>
      <c r="F9192" s="48" t="str">
        <f>IFERROR(__xludf.DUMMYFUNCTION("""COMPUTED_VALUE"""),"")</f>
        <v/>
      </c>
      <c r="G9192" s="42" t="str">
        <f>IFERROR(__xludf.DUMMYFUNCTION("""COMPUTED_VALUE"""),"BN Jual Beli ")</f>
        <v>BN Jual Beli </v>
      </c>
      <c r="H9192" s="42">
        <f t="shared" si="1"/>
        <v>3340</v>
      </c>
    </row>
    <row r="9193" ht="22.5" customHeight="1">
      <c r="B9193" s="42" t="str">
        <f>IFERROR(__xludf.DUMMYFUNCTION("""COMPUTED_VALUE"""),"K/9/121125/1")</f>
        <v>K/9/121125/1</v>
      </c>
      <c r="C9193" s="42" t="str">
        <f>IFERROR(__xludf.DUMMYFUNCTION("""COMPUTED_VALUE"""),"M. 10213/SUKABUMI")</f>
        <v>M. 10213/SUKABUMI</v>
      </c>
      <c r="D9193" s="42"/>
      <c r="E9193" s="42"/>
      <c r="F9193" s="48" t="str">
        <f>IFERROR(__xludf.DUMMYFUNCTION("""COMPUTED_VALUE"""),"")</f>
        <v/>
      </c>
      <c r="G9193" s="42" t="str">
        <f>IFERROR(__xludf.DUMMYFUNCTION("""COMPUTED_VALUE"""),"ROYA")</f>
        <v>ROYA</v>
      </c>
      <c r="H9193" s="42">
        <f t="shared" si="1"/>
        <v>3340</v>
      </c>
    </row>
    <row r="9194" ht="22.5" customHeight="1">
      <c r="B9194" s="42" t="str">
        <f>IFERROR(__xludf.DUMMYFUNCTION("""COMPUTED_VALUE"""),"ABWGJCMK/AB063")</f>
        <v>ABWGJCMK/AB063</v>
      </c>
      <c r="C9194" s="42" t="str">
        <f>IFERROR(__xludf.DUMMYFUNCTION("""COMPUTED_VALUE"""),"M. 1253/sumur putri")</f>
        <v>M. 1253/sumur putri</v>
      </c>
      <c r="D9194" s="42"/>
      <c r="E9194" s="42"/>
      <c r="F9194" s="48" t="str">
        <f>IFERROR(__xludf.DUMMYFUNCTION("""COMPUTED_VALUE"""),"")</f>
        <v/>
      </c>
      <c r="G9194" s="42" t="str">
        <f>IFERROR(__xludf.DUMMYFUNCTION("""COMPUTED_VALUE"""),"Roya")</f>
        <v>Roya</v>
      </c>
      <c r="H9194" s="42">
        <f t="shared" si="1"/>
        <v>3340</v>
      </c>
    </row>
    <row r="9195" ht="22.5" customHeight="1">
      <c r="B9195" s="42" t="str">
        <f>IFERROR(__xludf.DUMMYFUNCTION("""COMPUTED_VALUE"""),"ABWNXLVG/1")</f>
        <v>ABWNXLVG/1</v>
      </c>
      <c r="C9195" s="42" t="str">
        <f>IFERROR(__xludf.DUMMYFUNCTION("""COMPUTED_VALUE"""),"14438/ Sukarame")</f>
        <v>14438/ Sukarame</v>
      </c>
      <c r="D9195" s="42" t="str">
        <f>IFERROR(__xludf.DUMMYFUNCTION("""COMPUTED_VALUE"""),"Berry")</f>
        <v>Berry</v>
      </c>
      <c r="E9195" s="42" t="str">
        <f>IFERROR(__xludf.DUMMYFUNCTION("""COMPUTED_VALUE"""),"DISERAHKAN")</f>
        <v>DISERAHKAN</v>
      </c>
      <c r="F9195" s="48">
        <f>IFERROR(__xludf.DUMMYFUNCTION("""COMPUTED_VALUE"""),46020.65525496528)</f>
        <v>46020.65525</v>
      </c>
      <c r="G9195" s="42" t="str">
        <f>IFERROR(__xludf.DUMMYFUNCTION("""COMPUTED_VALUE"""),"Peralihan Hak")</f>
        <v>Peralihan Hak</v>
      </c>
      <c r="H9195" s="42">
        <f t="shared" si="1"/>
        <v>3341</v>
      </c>
    </row>
    <row r="9196" ht="22.5" customHeight="1">
      <c r="B9196" s="42" t="str">
        <f>IFERROR(__xludf.DUMMYFUNCTION("""COMPUTED_VALUE"""),"ABDMTKMY")</f>
        <v>ABDMTKMY</v>
      </c>
      <c r="C9196" s="42" t="str">
        <f>IFERROR(__xludf.DUMMYFUNCTION("""COMPUTED_VALUE""")," m 2430/ keteguhan")</f>
        <v> m 2430/ keteguhan</v>
      </c>
      <c r="D9196" s="42"/>
      <c r="E9196" s="42"/>
      <c r="F9196" s="48" t="str">
        <f>IFERROR(__xludf.DUMMYFUNCTION("""COMPUTED_VALUE"""),"")</f>
        <v/>
      </c>
      <c r="G9196" s="42" t="str">
        <f>IFERROR(__xludf.DUMMYFUNCTION("""COMPUTED_VALUE"""),"Peralihan Hak jual beli")</f>
        <v>Peralihan Hak jual beli</v>
      </c>
      <c r="H9196" s="42">
        <f t="shared" si="1"/>
        <v>3341</v>
      </c>
    </row>
    <row r="9197" ht="22.5" customHeight="1">
      <c r="B9197" s="42" t="str">
        <f>IFERROR(__xludf.DUMMYFUNCTION("""COMPUTED_VALUE"""),"ABGAADRI")</f>
        <v>ABGAADRI</v>
      </c>
      <c r="C9197" s="42" t="str">
        <f>IFERROR(__xludf.DUMMYFUNCTION("""COMPUTED_VALUE"""),"M. 1017/Campang jaya ")</f>
        <v>M. 1017/Campang jaya </v>
      </c>
      <c r="D9197" s="42"/>
      <c r="E9197" s="42"/>
      <c r="F9197" s="48" t="str">
        <f>IFERROR(__xludf.DUMMYFUNCTION("""COMPUTED_VALUE"""),"")</f>
        <v/>
      </c>
      <c r="G9197" s="42" t="str">
        <f>IFERROR(__xludf.DUMMYFUNCTION("""COMPUTED_VALUE"""),"Pemecahan bidang ")</f>
        <v>Pemecahan bidang </v>
      </c>
      <c r="H9197" s="42">
        <f t="shared" si="1"/>
        <v>3341</v>
      </c>
    </row>
    <row r="9198" ht="22.5" customHeight="1">
      <c r="B9198" s="42" t="str">
        <f>IFERROR(__xludf.DUMMYFUNCTION("""COMPUTED_VALUE"""),"ABHGFRTU")</f>
        <v>ABHGFRTU</v>
      </c>
      <c r="C9198" s="42" t="str">
        <f>IFERROR(__xludf.DUMMYFUNCTION("""COMPUTED_VALUE"""),"nibel m 24518/ tanjung agung raya")</f>
        <v>nibel m 24518/ tanjung agung raya</v>
      </c>
      <c r="D9198" s="42"/>
      <c r="E9198" s="42"/>
      <c r="F9198" s="48" t="str">
        <f>IFERROR(__xludf.DUMMYFUNCTION("""COMPUTED_VALUE"""),"")</f>
        <v/>
      </c>
      <c r="G9198" s="42" t="str">
        <f>IFERROR(__xludf.DUMMYFUNCTION("""COMPUTED_VALUE"""),"bn jual beli")</f>
        <v>bn jual beli</v>
      </c>
      <c r="H9198" s="42">
        <f t="shared" si="1"/>
        <v>3341</v>
      </c>
    </row>
    <row r="9199" ht="22.5" customHeight="1">
      <c r="B9199" s="42" t="str">
        <f>IFERROR(__xludf.DUMMYFUNCTION("""COMPUTED_VALUE"""),"K/10/121125/1")</f>
        <v>K/10/121125/1</v>
      </c>
      <c r="C9199" s="42" t="str">
        <f>IFERROR(__xludf.DUMMYFUNCTION("""COMPUTED_VALUE"""),"LABUHAN RATU RAYA")</f>
        <v>LABUHAN RATU RAYA</v>
      </c>
      <c r="D9199" s="42"/>
      <c r="E9199" s="42"/>
      <c r="F9199" s="48" t="str">
        <f>IFERROR(__xludf.DUMMYFUNCTION("""COMPUTED_VALUE"""),"")</f>
        <v/>
      </c>
      <c r="G9199" s="42" t="str">
        <f>IFERROR(__xludf.DUMMYFUNCTION("""COMPUTED_VALUE"""),"PENGUKURAN PERTAMA KALI")</f>
        <v>PENGUKURAN PERTAMA KALI</v>
      </c>
      <c r="H9199" s="42">
        <f t="shared" si="1"/>
        <v>3341</v>
      </c>
    </row>
    <row r="9200" ht="22.5" customHeight="1">
      <c r="B9200" s="42" t="str">
        <f>IFERROR(__xludf.DUMMYFUNCTION("""COMPUTED_VALUE"""),"ABLYLLPD/AB032")</f>
        <v>ABLYLLPD/AB032</v>
      </c>
      <c r="C9200" s="42" t="str">
        <f>IFERROR(__xludf.DUMMYFUNCTION("""COMPUTED_VALUE"""),"M. Nibel 17967/labuhan ratu raya ")</f>
        <v>M. Nibel 17967/labuhan ratu raya </v>
      </c>
      <c r="D9200" s="42"/>
      <c r="E9200" s="42"/>
      <c r="F9200" s="48" t="str">
        <f>IFERROR(__xludf.DUMMYFUNCTION("""COMPUTED_VALUE"""),"")</f>
        <v/>
      </c>
      <c r="G9200" s="42" t="str">
        <f>IFERROR(__xludf.DUMMYFUNCTION("""COMPUTED_VALUE"""),"bn jual beli")</f>
        <v>bn jual beli</v>
      </c>
      <c r="H9200" s="42">
        <f t="shared" si="1"/>
        <v>3341</v>
      </c>
    </row>
    <row r="9201" ht="22.5" customHeight="1">
      <c r="B9201" s="42" t="str">
        <f>IFERROR(__xludf.DUMMYFUNCTION("""COMPUTED_VALUE"""),"L/11/121125/1")</f>
        <v>L/11/121125/1</v>
      </c>
      <c r="C9201" s="42" t="str">
        <f>IFERROR(__xludf.DUMMYFUNCTION("""COMPUTED_VALUE"""),"M. 498/KOTA SEPANG")</f>
        <v>M. 498/KOTA SEPANG</v>
      </c>
      <c r="D9201" s="42"/>
      <c r="E9201" s="42"/>
      <c r="F9201" s="48" t="str">
        <f>IFERROR(__xludf.DUMMYFUNCTION("""COMPUTED_VALUE"""),"")</f>
        <v/>
      </c>
      <c r="G9201" s="42" t="str">
        <f>IFERROR(__xludf.DUMMYFUNCTION("""COMPUTED_VALUE"""),"BN WARIS")</f>
        <v>BN WARIS</v>
      </c>
      <c r="H9201" s="42">
        <f t="shared" si="1"/>
        <v>3341</v>
      </c>
    </row>
    <row r="9202" ht="22.5" customHeight="1">
      <c r="B9202" s="42" t="str">
        <f>IFERROR(__xludf.DUMMYFUNCTION("""COMPUTED_VALUE"""),"Abfawjbl")</f>
        <v>Abfawjbl</v>
      </c>
      <c r="C9202" s="42" t="str">
        <f>IFERROR(__xludf.DUMMYFUNCTION("""COMPUTED_VALUE"""),"00335/harapan jaya")</f>
        <v>00335/harapan jaya</v>
      </c>
      <c r="D9202" s="42"/>
      <c r="E9202" s="42"/>
      <c r="F9202" s="48" t="str">
        <f>IFERROR(__xludf.DUMMYFUNCTION("""COMPUTED_VALUE"""),"")</f>
        <v/>
      </c>
      <c r="G9202" s="42" t="str">
        <f>IFERROR(__xludf.DUMMYFUNCTION("""COMPUTED_VALUE"""),"Roya")</f>
        <v>Roya</v>
      </c>
      <c r="H9202" s="42">
        <f t="shared" si="1"/>
        <v>3341</v>
      </c>
    </row>
    <row r="9203" ht="22.5" customHeight="1">
      <c r="B9203" s="42" t="str">
        <f>IFERROR(__xludf.DUMMYFUNCTION("""COMPUTED_VALUE"""),"L/12/121125/1")</f>
        <v>L/12/121125/1</v>
      </c>
      <c r="C9203" s="42" t="str">
        <f>IFERROR(__xludf.DUMMYFUNCTION("""COMPUTED_VALUE"""),"B. 652/SUKABUMI")</f>
        <v>B. 652/SUKABUMI</v>
      </c>
      <c r="D9203" s="42"/>
      <c r="E9203" s="42"/>
      <c r="F9203" s="48" t="str">
        <f>IFERROR(__xludf.DUMMYFUNCTION("""COMPUTED_VALUE"""),"")</f>
        <v/>
      </c>
      <c r="G9203" s="42" t="str">
        <f>IFERROR(__xludf.DUMMYFUNCTION("""COMPUTED_VALUE"""),"PENGUKURAN HGB MATI")</f>
        <v>PENGUKURAN HGB MATI</v>
      </c>
      <c r="H9203" s="42">
        <f t="shared" si="1"/>
        <v>3341</v>
      </c>
    </row>
    <row r="9204" ht="22.5" customHeight="1">
      <c r="B9204" s="42" t="str">
        <f>IFERROR(__xludf.DUMMYFUNCTION("""COMPUTED_VALUE"""),"Abamkkhd")</f>
        <v>Abamkkhd</v>
      </c>
      <c r="C9204" s="42" t="str">
        <f>IFERROR(__xludf.DUMMYFUNCTION("""COMPUTED_VALUE"""),"Hak milik no. 1241/perumnas way kandis")</f>
        <v>Hak milik no. 1241/perumnas way kandis</v>
      </c>
      <c r="D9204" s="42"/>
      <c r="E9204" s="42"/>
      <c r="F9204" s="48" t="str">
        <f>IFERROR(__xludf.DUMMYFUNCTION("""COMPUTED_VALUE"""),"")</f>
        <v/>
      </c>
      <c r="G9204" s="42" t="str">
        <f>IFERROR(__xludf.DUMMYFUNCTION("""COMPUTED_VALUE"""),"Ajb")</f>
        <v>Ajb</v>
      </c>
      <c r="H9204" s="42">
        <f t="shared" si="1"/>
        <v>3341</v>
      </c>
    </row>
    <row r="9205" ht="22.5" customHeight="1">
      <c r="B9205" s="42" t="str">
        <f>IFERROR(__xludf.DUMMYFUNCTION("""COMPUTED_VALUE"""),"L/13/121125/1")</f>
        <v>L/13/121125/1</v>
      </c>
      <c r="C9205" s="42" t="str">
        <f>IFERROR(__xludf.DUMMYFUNCTION("""COMPUTED_VALUE"""),"M NIB 26156/KOTA BARU")</f>
        <v>M NIB 26156/KOTA BARU</v>
      </c>
      <c r="D9205" s="42"/>
      <c r="E9205" s="42"/>
      <c r="F9205" s="48" t="str">
        <f>IFERROR(__xludf.DUMMYFUNCTION("""COMPUTED_VALUE"""),"")</f>
        <v/>
      </c>
      <c r="G9205" s="42" t="str">
        <f>IFERROR(__xludf.DUMMYFUNCTION("""COMPUTED_VALUE"""),"BN LELANG")</f>
        <v>BN LELANG</v>
      </c>
      <c r="H9205" s="42">
        <f t="shared" si="1"/>
        <v>3341</v>
      </c>
    </row>
    <row r="9206" ht="22.5" customHeight="1">
      <c r="B9206" s="42" t="str">
        <f>IFERROR(__xludf.DUMMYFUNCTION("""COMPUTED_VALUE"""),"Abphzxgb")</f>
        <v>Abphzxgb</v>
      </c>
      <c r="C9206" s="42">
        <f>IFERROR(__xludf.DUMMYFUNCTION("""COMPUTED_VALUE"""),2975.0)</f>
        <v>2975</v>
      </c>
      <c r="D9206" s="42"/>
      <c r="E9206" s="42"/>
      <c r="F9206" s="48" t="str">
        <f>IFERROR(__xludf.DUMMYFUNCTION("""COMPUTED_VALUE"""),"")</f>
        <v/>
      </c>
      <c r="G9206" s="42" t="str">
        <f>IFERROR(__xludf.DUMMYFUNCTION("""COMPUTED_VALUE"""),"Bn")</f>
        <v>Bn</v>
      </c>
      <c r="H9206" s="42">
        <f t="shared" si="1"/>
        <v>3341</v>
      </c>
    </row>
    <row r="9207" ht="22.5" customHeight="1">
      <c r="B9207" s="42" t="str">
        <f>IFERROR(__xludf.DUMMYFUNCTION("""COMPUTED_VALUE"""),"Abfnvnsc")</f>
        <v>Abfnvnsc</v>
      </c>
      <c r="C9207" s="42">
        <f>IFERROR(__xludf.DUMMYFUNCTION("""COMPUTED_VALUE"""),772.0)</f>
        <v>772</v>
      </c>
      <c r="D9207" s="42"/>
      <c r="E9207" s="42"/>
      <c r="F9207" s="48" t="str">
        <f>IFERROR(__xludf.DUMMYFUNCTION("""COMPUTED_VALUE"""),"")</f>
        <v/>
      </c>
      <c r="G9207" s="42" t="str">
        <f>IFERROR(__xludf.DUMMYFUNCTION("""COMPUTED_VALUE"""),"Bn")</f>
        <v>Bn</v>
      </c>
      <c r="H9207" s="42">
        <f t="shared" si="1"/>
        <v>3341</v>
      </c>
    </row>
    <row r="9208" ht="22.5" customHeight="1">
      <c r="B9208" s="42" t="str">
        <f>IFERROR(__xludf.DUMMYFUNCTION("""COMPUTED_VALUE"""),"ABQITYYN")</f>
        <v>ABQITYYN</v>
      </c>
      <c r="C9208" s="42" t="str">
        <f>IFERROR(__xludf.DUMMYFUNCTION("""COMPUTED_VALUE"""),"102/KBJ")</f>
        <v>102/KBJ</v>
      </c>
      <c r="D9208" s="42"/>
      <c r="E9208" s="42"/>
      <c r="F9208" s="48" t="str">
        <f>IFERROR(__xludf.DUMMYFUNCTION("""COMPUTED_VALUE"""),"")</f>
        <v/>
      </c>
      <c r="G9208" s="42" t="str">
        <f>IFERROR(__xludf.DUMMYFUNCTION("""COMPUTED_VALUE"""),"TURUN WARIS")</f>
        <v>TURUN WARIS</v>
      </c>
      <c r="H9208" s="42">
        <f t="shared" si="1"/>
        <v>3341</v>
      </c>
    </row>
    <row r="9209" ht="22.5" customHeight="1">
      <c r="B9209" s="42" t="str">
        <f>IFERROR(__xludf.DUMMYFUNCTION("""COMPUTED_VALUE"""),"Ablhveky")</f>
        <v>Ablhveky</v>
      </c>
      <c r="C9209" s="42">
        <f>IFERROR(__xludf.DUMMYFUNCTION("""COMPUTED_VALUE"""),6645.0)</f>
        <v>6645</v>
      </c>
      <c r="D9209" s="42"/>
      <c r="E9209" s="42"/>
      <c r="F9209" s="48" t="str">
        <f>IFERROR(__xludf.DUMMYFUNCTION("""COMPUTED_VALUE"""),"")</f>
        <v/>
      </c>
      <c r="G9209" s="42" t="str">
        <f>IFERROR(__xludf.DUMMYFUNCTION("""COMPUTED_VALUE"""),"Bn")</f>
        <v>Bn</v>
      </c>
      <c r="H9209" s="42">
        <f t="shared" si="1"/>
        <v>3341</v>
      </c>
    </row>
    <row r="9210" ht="22.5" customHeight="1">
      <c r="B9210" s="42" t="str">
        <f>IFERROR(__xludf.DUMMYFUNCTION("""COMPUTED_VALUE"""),"K/14/121125/1")</f>
        <v>K/14/121125/1</v>
      </c>
      <c r="C9210" s="42" t="str">
        <f>IFERROR(__xludf.DUMMYFUNCTION("""COMPUTED_VALUE"""),"M. 725/SAWAH LAMA")</f>
        <v>M. 725/SAWAH LAMA</v>
      </c>
      <c r="D9210" s="42"/>
      <c r="E9210" s="42"/>
      <c r="F9210" s="48" t="str">
        <f>IFERROR(__xludf.DUMMYFUNCTION("""COMPUTED_VALUE"""),"")</f>
        <v/>
      </c>
      <c r="G9210" s="42" t="str">
        <f>IFERROR(__xludf.DUMMYFUNCTION("""COMPUTED_VALUE"""),"HAPUS BPHTB ")</f>
        <v>HAPUS BPHTB </v>
      </c>
      <c r="H9210" s="42">
        <f t="shared" si="1"/>
        <v>3341</v>
      </c>
    </row>
    <row r="9211" ht="22.5" customHeight="1">
      <c r="B9211" s="42" t="str">
        <f>IFERROR(__xludf.DUMMYFUNCTION("""COMPUTED_VALUE"""),"ABYBTLJE")</f>
        <v>ABYBTLJE</v>
      </c>
      <c r="C9211" s="42" t="str">
        <f>IFERROR(__xludf.DUMMYFUNCTION("""COMPUTED_VALUE"""),"NIBEL M 20973/ SUKABUMI INDAH")</f>
        <v>NIBEL M 20973/ SUKABUMI INDAH</v>
      </c>
      <c r="D9211" s="42"/>
      <c r="E9211" s="42"/>
      <c r="F9211" s="48" t="str">
        <f>IFERROR(__xludf.DUMMYFUNCTION("""COMPUTED_VALUE"""),"")</f>
        <v/>
      </c>
      <c r="G9211" s="42" t="str">
        <f>IFERROR(__xludf.DUMMYFUNCTION("""COMPUTED_VALUE"""),"Balik nama")</f>
        <v>Balik nama</v>
      </c>
      <c r="H9211" s="42">
        <f t="shared" si="1"/>
        <v>3341</v>
      </c>
    </row>
    <row r="9212" ht="22.5" customHeight="1">
      <c r="B9212" s="42" t="str">
        <f>IFERROR(__xludf.DUMMYFUNCTION("""COMPUTED_VALUE"""),"ABKWQISN")</f>
        <v>ABKWQISN</v>
      </c>
      <c r="C9212" s="42" t="str">
        <f>IFERROR(__xludf.DUMMYFUNCTION("""COMPUTED_VALUE"""),"m 251620/ beringin raya")</f>
        <v>m 251620/ beringin raya</v>
      </c>
      <c r="D9212" s="42"/>
      <c r="E9212" s="42"/>
      <c r="F9212" s="48" t="str">
        <f>IFERROR(__xludf.DUMMYFUNCTION("""COMPUTED_VALUE"""),"")</f>
        <v/>
      </c>
      <c r="G9212" s="42" t="str">
        <f>IFERROR(__xludf.DUMMYFUNCTION("""COMPUTED_VALUE"""),"Bn jual beli")</f>
        <v>Bn jual beli</v>
      </c>
      <c r="H9212" s="42">
        <f t="shared" si="1"/>
        <v>3341</v>
      </c>
    </row>
    <row r="9213" ht="22.5" customHeight="1">
      <c r="B9213" s="42" t="str">
        <f>IFERROR(__xludf.DUMMYFUNCTION("""COMPUTED_VALUE"""),"K/15/121125/1")</f>
        <v>K/15/121125/1</v>
      </c>
      <c r="C9213" s="42" t="str">
        <f>IFERROR(__xludf.DUMMYFUNCTION("""COMPUTED_VALUE"""),"B. 15678/SUKABUMI")</f>
        <v>B. 15678/SUKABUMI</v>
      </c>
      <c r="D9213" s="42"/>
      <c r="E9213" s="42"/>
      <c r="F9213" s="48" t="str">
        <f>IFERROR(__xludf.DUMMYFUNCTION("""COMPUTED_VALUE"""),"")</f>
        <v/>
      </c>
      <c r="G9213" s="42" t="str">
        <f>IFERROR(__xludf.DUMMYFUNCTION("""COMPUTED_VALUE"""),"GANTI BLANKO ")</f>
        <v>GANTI BLANKO </v>
      </c>
      <c r="H9213" s="42">
        <f t="shared" si="1"/>
        <v>3341</v>
      </c>
    </row>
    <row r="9214" ht="22.5" customHeight="1">
      <c r="B9214" s="42" t="str">
        <f>IFERROR(__xludf.DUMMYFUNCTION("""COMPUTED_VALUE"""),"ABVKFHOQ")</f>
        <v>ABVKFHOQ</v>
      </c>
      <c r="C9214" s="42" t="str">
        <f>IFERROR(__xludf.DUMMYFUNCTION("""COMPUTED_VALUE"""),"M 1099/ GOTONG ROYONG")</f>
        <v>M 1099/ GOTONG ROYONG</v>
      </c>
      <c r="D9214" s="42"/>
      <c r="E9214" s="42"/>
      <c r="F9214" s="48" t="str">
        <f>IFERROR(__xludf.DUMMYFUNCTION("""COMPUTED_VALUE"""),"")</f>
        <v/>
      </c>
      <c r="G9214" s="42" t="str">
        <f>IFERROR(__xludf.DUMMYFUNCTION("""COMPUTED_VALUE"""),"Peralihan Hak")</f>
        <v>Peralihan Hak</v>
      </c>
      <c r="H9214" s="42">
        <f t="shared" si="1"/>
        <v>3341</v>
      </c>
    </row>
    <row r="9215" ht="22.5" customHeight="1">
      <c r="B9215" s="42" t="str">
        <f>IFERROR(__xludf.DUMMYFUNCTION("""COMPUTED_VALUE"""),"ABINPLDH")</f>
        <v>ABINPLDH</v>
      </c>
      <c r="C9215" s="42" t="str">
        <f>IFERROR(__xludf.DUMMYFUNCTION("""COMPUTED_VALUE"""),"NIBEL M 19518/ SUMBERREJO SEJAHTERA")</f>
        <v>NIBEL M 19518/ SUMBERREJO SEJAHTERA</v>
      </c>
      <c r="D9215" s="42"/>
      <c r="E9215" s="42"/>
      <c r="F9215" s="48" t="str">
        <f>IFERROR(__xludf.DUMMYFUNCTION("""COMPUTED_VALUE"""),"")</f>
        <v/>
      </c>
      <c r="G9215" s="42" t="str">
        <f>IFERROR(__xludf.DUMMYFUNCTION("""COMPUTED_VALUE"""),"Peralihan hak")</f>
        <v>Peralihan hak</v>
      </c>
      <c r="H9215" s="42">
        <f t="shared" si="1"/>
        <v>3341</v>
      </c>
    </row>
    <row r="9216" ht="22.5" customHeight="1">
      <c r="B9216" s="42" t="str">
        <f>IFERROR(__xludf.DUMMYFUNCTION("""COMPUTED_VALUE"""),"ABFSTHVZ")</f>
        <v>ABFSTHVZ</v>
      </c>
      <c r="C9216" s="42" t="str">
        <f>IFERROR(__xludf.DUMMYFUNCTION("""COMPUTED_VALUE"""),"M5157/ RAJABASA JAYA")</f>
        <v>M5157/ RAJABASA JAYA</v>
      </c>
      <c r="D9216" s="42"/>
      <c r="E9216" s="42"/>
      <c r="F9216" s="48" t="str">
        <f>IFERROR(__xludf.DUMMYFUNCTION("""COMPUTED_VALUE"""),"")</f>
        <v/>
      </c>
      <c r="G9216" s="42" t="str">
        <f>IFERROR(__xludf.DUMMYFUNCTION("""COMPUTED_VALUE"""),"Peralihan hak")</f>
        <v>Peralihan hak</v>
      </c>
      <c r="H9216" s="42">
        <f t="shared" si="1"/>
        <v>3341</v>
      </c>
    </row>
    <row r="9217" ht="22.5" customHeight="1">
      <c r="B9217" s="42" t="str">
        <f>IFERROR(__xludf.DUMMYFUNCTION("""COMPUTED_VALUE"""),"ABJYJFJJ")</f>
        <v>ABJYJFJJ</v>
      </c>
      <c r="C9217" s="42">
        <f>IFERROR(__xludf.DUMMYFUNCTION("""COMPUTED_VALUE"""),2695.0)</f>
        <v>2695</v>
      </c>
      <c r="D9217" s="42"/>
      <c r="E9217" s="42"/>
      <c r="F9217" s="48" t="str">
        <f>IFERROR(__xludf.DUMMYFUNCTION("""COMPUTED_VALUE"""),"")</f>
        <v/>
      </c>
      <c r="G9217" s="42" t="str">
        <f>IFERROR(__xludf.DUMMYFUNCTION("""COMPUTED_VALUE"""),"Waris")</f>
        <v>Waris</v>
      </c>
      <c r="H9217" s="42">
        <f t="shared" si="1"/>
        <v>3341</v>
      </c>
    </row>
    <row r="9218" ht="22.5" customHeight="1">
      <c r="B9218" s="42" t="str">
        <f>IFERROR(__xludf.DUMMYFUNCTION("""COMPUTED_VALUE"""),"ABOKUTKV/AB025")</f>
        <v>ABOKUTKV/AB025</v>
      </c>
      <c r="C9218" s="42" t="str">
        <f>IFERROR(__xludf.DUMMYFUNCTION("""COMPUTED_VALUE"""),"M.1897/K.Kg/Kota Karang ")</f>
        <v>M.1897/K.Kg/Kota Karang </v>
      </c>
      <c r="D9218" s="42"/>
      <c r="E9218" s="42"/>
      <c r="F9218" s="48" t="str">
        <f>IFERROR(__xludf.DUMMYFUNCTION("""COMPUTED_VALUE"""),"")</f>
        <v/>
      </c>
      <c r="G9218" s="42" t="str">
        <f>IFERROR(__xludf.DUMMYFUNCTION("""COMPUTED_VALUE"""),"BN jual beli ")</f>
        <v>BN jual beli </v>
      </c>
      <c r="H9218" s="42">
        <f t="shared" si="1"/>
        <v>3341</v>
      </c>
    </row>
    <row r="9219" ht="22.5" customHeight="1">
      <c r="B9219" s="42" t="str">
        <f>IFERROR(__xludf.DUMMYFUNCTION("""COMPUTED_VALUE"""),"K/16/121125/1")</f>
        <v>K/16/121125/1</v>
      </c>
      <c r="C9219" s="42" t="str">
        <f>IFERROR(__xludf.DUMMYFUNCTION("""COMPUTED_VALUE"""),"NIBEL B. 18770/PENGAJARAN")</f>
        <v>NIBEL B. 18770/PENGAJARAN</v>
      </c>
      <c r="D9219" s="42"/>
      <c r="E9219" s="42"/>
      <c r="F9219" s="48" t="str">
        <f>IFERROR(__xludf.DUMMYFUNCTION("""COMPUTED_VALUE"""),"")</f>
        <v/>
      </c>
      <c r="G9219" s="42" t="str">
        <f>IFERROR(__xludf.DUMMYFUNCTION("""COMPUTED_VALUE"""),"PERMOHONAN SK")</f>
        <v>PERMOHONAN SK</v>
      </c>
      <c r="H9219" s="42">
        <f t="shared" si="1"/>
        <v>3341</v>
      </c>
    </row>
    <row r="9220" ht="22.5" customHeight="1">
      <c r="B9220" s="42" t="str">
        <f>IFERROR(__xludf.DUMMYFUNCTION("""COMPUTED_VALUE"""),"Ab 21 ( abvopaff)")</f>
        <v>Ab 21 ( abvopaff)</v>
      </c>
      <c r="C9220" s="42" t="str">
        <f>IFERROR(__xludf.DUMMYFUNCTION("""COMPUTED_VALUE"""),"B 327/ sukarame baru")</f>
        <v>B 327/ sukarame baru</v>
      </c>
      <c r="D9220" s="42"/>
      <c r="E9220" s="42"/>
      <c r="F9220" s="48" t="str">
        <f>IFERROR(__xludf.DUMMYFUNCTION("""COMPUTED_VALUE"""),"")</f>
        <v/>
      </c>
      <c r="G9220" s="42" t="str">
        <f>IFERROR(__xludf.DUMMYFUNCTION("""COMPUTED_VALUE"""),"Balik nama jual beli")</f>
        <v>Balik nama jual beli</v>
      </c>
      <c r="H9220" s="42">
        <f t="shared" si="1"/>
        <v>3341</v>
      </c>
    </row>
    <row r="9221" ht="22.5" customHeight="1">
      <c r="B9221" s="42" t="str">
        <f>IFERROR(__xludf.DUMMYFUNCTION("""COMPUTED_VALUE"""),"Ab 21 (abylpefk)")</f>
        <v>Ab 21 (abylpefk)</v>
      </c>
      <c r="C9221" s="42" t="str">
        <f>IFERROR(__xludf.DUMMYFUNCTION("""COMPUTED_VALUE"""),"B 304/ sukarame baru")</f>
        <v>B 304/ sukarame baru</v>
      </c>
      <c r="D9221" s="42"/>
      <c r="E9221" s="42"/>
      <c r="F9221" s="48" t="str">
        <f>IFERROR(__xludf.DUMMYFUNCTION("""COMPUTED_VALUE"""),"")</f>
        <v/>
      </c>
      <c r="G9221" s="42" t="str">
        <f>IFERROR(__xludf.DUMMYFUNCTION("""COMPUTED_VALUE"""),"balik nama jual beli")</f>
        <v>balik nama jual beli</v>
      </c>
      <c r="H9221" s="42">
        <f t="shared" si="1"/>
        <v>3341</v>
      </c>
    </row>
    <row r="9222" ht="22.5" customHeight="1">
      <c r="B9222" s="42" t="str">
        <f>IFERROR(__xludf.DUMMYFUNCTION("""COMPUTED_VALUE"""),"Ab 21 ( abdbjcuw)")</f>
        <v>Ab 21 ( abdbjcuw)</v>
      </c>
      <c r="C9222" s="42" t="str">
        <f>IFERROR(__xludf.DUMMYFUNCTION("""COMPUTED_VALUE"""),"Nibel m 19378/ sukarame baru")</f>
        <v>Nibel m 19378/ sukarame baru</v>
      </c>
      <c r="D9222" s="42"/>
      <c r="E9222" s="42"/>
      <c r="F9222" s="48" t="str">
        <f>IFERROR(__xludf.DUMMYFUNCTION("""COMPUTED_VALUE"""),"")</f>
        <v/>
      </c>
      <c r="G9222" s="42" t="str">
        <f>IFERROR(__xludf.DUMMYFUNCTION("""COMPUTED_VALUE"""),"balik nama jual beli")</f>
        <v>balik nama jual beli</v>
      </c>
      <c r="H9222" s="42">
        <f t="shared" si="1"/>
        <v>3341</v>
      </c>
    </row>
    <row r="9223" ht="22.5" customHeight="1">
      <c r="B9223" s="42" t="str">
        <f>IFERROR(__xludf.DUMMYFUNCTION("""COMPUTED_VALUE"""),"ABWSVVIV/AB041")</f>
        <v>ABWSVVIV/AB041</v>
      </c>
      <c r="C9223" s="42" t="str">
        <f>IFERROR(__xludf.DUMMYFUNCTION("""COMPUTED_VALUE"""),"nibel 17286 / kota karang raya ")</f>
        <v>nibel 17286 / kota karang raya </v>
      </c>
      <c r="D9223" s="42"/>
      <c r="E9223" s="42"/>
      <c r="F9223" s="48" t="str">
        <f>IFERROR(__xludf.DUMMYFUNCTION("""COMPUTED_VALUE"""),"")</f>
        <v/>
      </c>
      <c r="G9223" s="42" t="str">
        <f>IFERROR(__xludf.DUMMYFUNCTION("""COMPUTED_VALUE"""),"BN hibah")</f>
        <v>BN hibah</v>
      </c>
      <c r="H9223" s="42">
        <f t="shared" si="1"/>
        <v>3341</v>
      </c>
    </row>
    <row r="9224" ht="22.5" customHeight="1">
      <c r="B9224" s="42" t="str">
        <f>IFERROR(__xludf.DUMMYFUNCTION("""COMPUTED_VALUE"""),"AB047")</f>
        <v>AB047</v>
      </c>
      <c r="C9224" s="42">
        <f>IFERROR(__xludf.DUMMYFUNCTION("""COMPUTED_VALUE"""),3961.0)</f>
        <v>3961</v>
      </c>
      <c r="D9224" s="42"/>
      <c r="E9224" s="42"/>
      <c r="F9224" s="48" t="str">
        <f>IFERROR(__xludf.DUMMYFUNCTION("""COMPUTED_VALUE"""),"")</f>
        <v/>
      </c>
      <c r="G9224" s="42" t="str">
        <f>IFERROR(__xludf.DUMMYFUNCTION("""COMPUTED_VALUE"""),"Balik Nama")</f>
        <v>Balik Nama</v>
      </c>
      <c r="H9224" s="42">
        <f t="shared" si="1"/>
        <v>3341</v>
      </c>
    </row>
    <row r="9225" ht="22.5" customHeight="1">
      <c r="B9225" s="42" t="str">
        <f>IFERROR(__xludf.DUMMYFUNCTION("""COMPUTED_VALUE"""),"AB047")</f>
        <v>AB047</v>
      </c>
      <c r="C9225" s="42" t="str">
        <f>IFERROR(__xludf.DUMMYFUNCTION("""COMPUTED_VALUE"""),"NIBEL 21874 RAJABASA JAYA")</f>
        <v>NIBEL 21874 RAJABASA JAYA</v>
      </c>
      <c r="D9225" s="42"/>
      <c r="E9225" s="42"/>
      <c r="F9225" s="48" t="str">
        <f>IFERROR(__xludf.DUMMYFUNCTION("""COMPUTED_VALUE"""),"")</f>
        <v/>
      </c>
      <c r="G9225" s="42" t="str">
        <f>IFERROR(__xludf.DUMMYFUNCTION("""COMPUTED_VALUE"""),"Balik Nama")</f>
        <v>Balik Nama</v>
      </c>
      <c r="H9225" s="42">
        <f t="shared" si="1"/>
        <v>3341</v>
      </c>
    </row>
    <row r="9226" ht="22.5" customHeight="1">
      <c r="B9226" s="42" t="str">
        <f>IFERROR(__xludf.DUMMYFUNCTION("""COMPUTED_VALUE"""),"ABYISEWX/AB048")</f>
        <v>ABYISEWX/AB048</v>
      </c>
      <c r="C9226" s="42" t="str">
        <f>IFERROR(__xludf.DUMMYFUNCTION("""COMPUTED_VALUE"""),"M 595 Campang Jaya")</f>
        <v>M 595 Campang Jaya</v>
      </c>
      <c r="D9226" s="42"/>
      <c r="E9226" s="42"/>
      <c r="F9226" s="48" t="str">
        <f>IFERROR(__xludf.DUMMYFUNCTION("""COMPUTED_VALUE"""),"")</f>
        <v/>
      </c>
      <c r="G9226" s="42" t="str">
        <f>IFERROR(__xludf.DUMMYFUNCTION("""COMPUTED_VALUE"""),"hapus bphtb ptsl")</f>
        <v>hapus bphtb ptsl</v>
      </c>
      <c r="H9226" s="42">
        <f t="shared" si="1"/>
        <v>3341</v>
      </c>
    </row>
    <row r="9227" ht="22.5" customHeight="1">
      <c r="B9227" s="42" t="str">
        <f>IFERROR(__xludf.DUMMYFUNCTION("""COMPUTED_VALUE"""),"ABZXOZDX/AB048")</f>
        <v>ABZXOZDX/AB048</v>
      </c>
      <c r="C9227" s="42" t="str">
        <f>IFERROR(__xludf.DUMMYFUNCTION("""COMPUTED_VALUE"""),"SHM 1331/Durian payung ")</f>
        <v>SHM 1331/Durian payung </v>
      </c>
      <c r="D9227" s="42"/>
      <c r="E9227" s="42"/>
      <c r="F9227" s="48" t="str">
        <f>IFERROR(__xludf.DUMMYFUNCTION("""COMPUTED_VALUE"""),"")</f>
        <v/>
      </c>
      <c r="G9227" s="42" t="str">
        <f>IFERROR(__xludf.DUMMYFUNCTION("""COMPUTED_VALUE"""),"balik nama jual beli")</f>
        <v>balik nama jual beli</v>
      </c>
      <c r="H9227" s="42">
        <f t="shared" si="1"/>
        <v>3341</v>
      </c>
    </row>
    <row r="9228" ht="22.5" customHeight="1">
      <c r="B9228" s="42" t="str">
        <f>IFERROR(__xludf.DUMMYFUNCTION("""COMPUTED_VALUE"""),"ABUJYLNT")</f>
        <v>ABUJYLNT</v>
      </c>
      <c r="C9228" s="42" t="str">
        <f>IFERROR(__xludf.DUMMYFUNCTION("""COMPUTED_VALUE"""),"M.1309/Kemiling raya")</f>
        <v>M.1309/Kemiling raya</v>
      </c>
      <c r="D9228" s="42"/>
      <c r="E9228" s="42"/>
      <c r="F9228" s="48" t="str">
        <f>IFERROR(__xludf.DUMMYFUNCTION("""COMPUTED_VALUE"""),"")</f>
        <v/>
      </c>
      <c r="G9228" s="42" t="str">
        <f>IFERROR(__xludf.DUMMYFUNCTION("""COMPUTED_VALUE"""),"BN JUAL BELI")</f>
        <v>BN JUAL BELI</v>
      </c>
      <c r="H9228" s="42">
        <f t="shared" si="1"/>
        <v>3341</v>
      </c>
    </row>
    <row r="9229" ht="22.5" customHeight="1">
      <c r="B9229" s="42" t="str">
        <f>IFERROR(__xludf.DUMMYFUNCTION("""COMPUTED_VALUE"""),"ABUGVSGQ")</f>
        <v>ABUGVSGQ</v>
      </c>
      <c r="C9229" s="42" t="str">
        <f>IFERROR(__xludf.DUMMYFUNCTION("""COMPUTED_VALUE"""),"sukadana ham")</f>
        <v>sukadana ham</v>
      </c>
      <c r="D9229" s="42"/>
      <c r="E9229" s="42"/>
      <c r="F9229" s="48" t="str">
        <f>IFERROR(__xludf.DUMMYFUNCTION("""COMPUTED_VALUE"""),"")</f>
        <v/>
      </c>
      <c r="G9229" s="42" t="str">
        <f>IFERROR(__xludf.DUMMYFUNCTION("""COMPUTED_VALUE"""),"Tanah mentah")</f>
        <v>Tanah mentah</v>
      </c>
      <c r="H9229" s="42">
        <f t="shared" si="1"/>
        <v>3341</v>
      </c>
    </row>
    <row r="9230" ht="22.5" customHeight="1">
      <c r="B9230" s="42" t="str">
        <f>IFERROR(__xludf.DUMMYFUNCTION("""COMPUTED_VALUE"""),"AB ")</f>
        <v>AB </v>
      </c>
      <c r="C9230" s="42" t="str">
        <f>IFERROR(__xludf.DUMMYFUNCTION("""COMPUTED_VALUE"""),"M. 21563/rajabasa nunyai")</f>
        <v>M. 21563/rajabasa nunyai</v>
      </c>
      <c r="D9230" s="42"/>
      <c r="E9230" s="42"/>
      <c r="F9230" s="48" t="str">
        <f>IFERROR(__xludf.DUMMYFUNCTION("""COMPUTED_VALUE"""),"")</f>
        <v/>
      </c>
      <c r="G9230" s="42" t="str">
        <f>IFERROR(__xludf.DUMMYFUNCTION("""COMPUTED_VALUE"""),"Bn jual beli")</f>
        <v>Bn jual beli</v>
      </c>
      <c r="H9230" s="42">
        <f t="shared" si="1"/>
        <v>3341</v>
      </c>
    </row>
    <row r="9231" ht="22.5" customHeight="1">
      <c r="B9231" s="42" t="str">
        <f>IFERROR(__xludf.DUMMYFUNCTION("""COMPUTED_VALUE"""),"AB")</f>
        <v>AB</v>
      </c>
      <c r="C9231" s="42" t="str">
        <f>IFERROR(__xludf.DUMMYFUNCTION("""COMPUTED_VALUE"""),"M.21566/ Rajabasa nunyai")</f>
        <v>M.21566/ Rajabasa nunyai</v>
      </c>
      <c r="D9231" s="42"/>
      <c r="E9231" s="42"/>
      <c r="F9231" s="48" t="str">
        <f>IFERROR(__xludf.DUMMYFUNCTION("""COMPUTED_VALUE"""),"")</f>
        <v/>
      </c>
      <c r="G9231" s="42" t="str">
        <f>IFERROR(__xludf.DUMMYFUNCTION("""COMPUTED_VALUE"""),"Bn jual beli")</f>
        <v>Bn jual beli</v>
      </c>
      <c r="H9231" s="42">
        <f t="shared" si="1"/>
        <v>3341</v>
      </c>
    </row>
    <row r="9232" ht="22.5" customHeight="1">
      <c r="B9232" s="42" t="str">
        <f>IFERROR(__xludf.DUMMYFUNCTION("""COMPUTED_VALUE"""),"K/1/131125/1")</f>
        <v>K/1/131125/1</v>
      </c>
      <c r="C9232" s="42" t="str">
        <f>IFERROR(__xludf.DUMMYFUNCTION("""COMPUTED_VALUE"""),"M. 4729/LANGKAPURA")</f>
        <v>M. 4729/LANGKAPURA</v>
      </c>
      <c r="D9232" s="42"/>
      <c r="E9232" s="42"/>
      <c r="F9232" s="48" t="str">
        <f>IFERROR(__xludf.DUMMYFUNCTION("""COMPUTED_VALUE"""),"")</f>
        <v/>
      </c>
      <c r="G9232" s="42" t="str">
        <f>IFERROR(__xludf.DUMMYFUNCTION("""COMPUTED_VALUE"""),"PENATAAN BATAS")</f>
        <v>PENATAAN BATAS</v>
      </c>
      <c r="H9232" s="42">
        <f t="shared" si="1"/>
        <v>3341</v>
      </c>
    </row>
    <row r="9233" ht="22.5" customHeight="1">
      <c r="B9233" s="42" t="str">
        <f>IFERROR(__xludf.DUMMYFUNCTION("""COMPUTED_VALUE"""),"K/2/131125/1")</f>
        <v>K/2/131125/1</v>
      </c>
      <c r="C9233" s="42" t="str">
        <f>IFERROR(__xludf.DUMMYFUNCTION("""COMPUTED_VALUE"""),"PBT. 114/2025")</f>
        <v>PBT. 114/2025</v>
      </c>
      <c r="D9233" s="42"/>
      <c r="E9233" s="42"/>
      <c r="F9233" s="48" t="str">
        <f>IFERROR(__xludf.DUMMYFUNCTION("""COMPUTED_VALUE"""),"")</f>
        <v/>
      </c>
      <c r="G9233" s="42" t="str">
        <f>IFERROR(__xludf.DUMMYFUNCTION("""COMPUTED_VALUE"""),"PTPGT TAMEN")</f>
        <v>PTPGT TAMEN</v>
      </c>
      <c r="H9233" s="42">
        <f t="shared" si="1"/>
        <v>3341</v>
      </c>
    </row>
    <row r="9234" ht="22.5" customHeight="1">
      <c r="B9234" s="42" t="str">
        <f>IFERROR(__xludf.DUMMYFUNCTION("""COMPUTED_VALUE"""),"K/3/131125/1")</f>
        <v>K/3/131125/1</v>
      </c>
      <c r="C9234" s="42" t="str">
        <f>IFERROR(__xludf.DUMMYFUNCTION("""COMPUTED_VALUE"""),"B. 2042/SUKABUMI")</f>
        <v>B. 2042/SUKABUMI</v>
      </c>
      <c r="D9234" s="42"/>
      <c r="E9234" s="42"/>
      <c r="F9234" s="48" t="str">
        <f>IFERROR(__xludf.DUMMYFUNCTION("""COMPUTED_VALUE"""),"")</f>
        <v/>
      </c>
      <c r="G9234" s="42" t="str">
        <f>IFERROR(__xludf.DUMMYFUNCTION("""COMPUTED_VALUE"""),"BLOKIR")</f>
        <v>BLOKIR</v>
      </c>
      <c r="H9234" s="42">
        <f t="shared" si="1"/>
        <v>3341</v>
      </c>
    </row>
    <row r="9235" ht="22.5" customHeight="1">
      <c r="B9235" s="42" t="str">
        <f>IFERROR(__xludf.DUMMYFUNCTION("""COMPUTED_VALUE"""),"K/4/131125/2")</f>
        <v>K/4/131125/2</v>
      </c>
      <c r="C9235" s="42" t="str">
        <f>IFERROR(__xludf.DUMMYFUNCTION("""COMPUTED_VALUE"""),"B.3112/SUKABUMI")</f>
        <v>B.3112/SUKABUMI</v>
      </c>
      <c r="D9235" s="42"/>
      <c r="E9235" s="42"/>
      <c r="F9235" s="48" t="str">
        <f>IFERROR(__xludf.DUMMYFUNCTION("""COMPUTED_VALUE"""),"")</f>
        <v/>
      </c>
      <c r="G9235" s="42" t="str">
        <f>IFERROR(__xludf.DUMMYFUNCTION("""COMPUTED_VALUE"""),"BLOKIR ")</f>
        <v>BLOKIR </v>
      </c>
      <c r="H9235" s="42">
        <f t="shared" si="1"/>
        <v>3341</v>
      </c>
    </row>
    <row r="9236" ht="22.5" customHeight="1">
      <c r="B9236" s="42" t="str">
        <f>IFERROR(__xludf.DUMMYFUNCTION("""COMPUTED_VALUE"""),"K/5/131125/3")</f>
        <v>K/5/131125/3</v>
      </c>
      <c r="C9236" s="42" t="str">
        <f>IFERROR(__xludf.DUMMYFUNCTION("""COMPUTED_VALUE"""),"B. 3111/SUKABUMI")</f>
        <v>B. 3111/SUKABUMI</v>
      </c>
      <c r="D9236" s="42"/>
      <c r="E9236" s="42"/>
      <c r="F9236" s="48" t="str">
        <f>IFERROR(__xludf.DUMMYFUNCTION("""COMPUTED_VALUE"""),"")</f>
        <v/>
      </c>
      <c r="G9236" s="42" t="str">
        <f>IFERROR(__xludf.DUMMYFUNCTION("""COMPUTED_VALUE"""),"BLOKIR")</f>
        <v>BLOKIR</v>
      </c>
      <c r="H9236" s="42">
        <f t="shared" si="1"/>
        <v>3341</v>
      </c>
    </row>
    <row r="9237" ht="22.5" customHeight="1">
      <c r="B9237" s="42" t="str">
        <f>IFERROR(__xludf.DUMMYFUNCTION("""COMPUTED_VALUE"""),"K/6/131125/4")</f>
        <v>K/6/131125/4</v>
      </c>
      <c r="C9237" s="42" t="str">
        <f>IFERROR(__xludf.DUMMYFUNCTION("""COMPUTED_VALUE"""),"B.3113/SUKABUMI")</f>
        <v>B.3113/SUKABUMI</v>
      </c>
      <c r="D9237" s="42"/>
      <c r="E9237" s="42"/>
      <c r="F9237" s="48" t="str">
        <f>IFERROR(__xludf.DUMMYFUNCTION("""COMPUTED_VALUE"""),"")</f>
        <v/>
      </c>
      <c r="G9237" s="42" t="str">
        <f>IFERROR(__xludf.DUMMYFUNCTION("""COMPUTED_VALUE"""),"BLOKIR")</f>
        <v>BLOKIR</v>
      </c>
      <c r="H9237" s="42">
        <f t="shared" si="1"/>
        <v>3341</v>
      </c>
    </row>
    <row r="9238" ht="22.5" customHeight="1">
      <c r="B9238" s="42" t="str">
        <f>IFERROR(__xludf.DUMMYFUNCTION("""COMPUTED_VALUE"""),"K/7/131125/5")</f>
        <v>K/7/131125/5</v>
      </c>
      <c r="C9238" s="42" t="str">
        <f>IFERROR(__xludf.DUMMYFUNCTION("""COMPUTED_VALUE"""),"B.2043/SUKABUMI")</f>
        <v>B.2043/SUKABUMI</v>
      </c>
      <c r="D9238" s="42"/>
      <c r="E9238" s="42"/>
      <c r="F9238" s="48" t="str">
        <f>IFERROR(__xludf.DUMMYFUNCTION("""COMPUTED_VALUE"""),"")</f>
        <v/>
      </c>
      <c r="G9238" s="42" t="str">
        <f>IFERROR(__xludf.DUMMYFUNCTION("""COMPUTED_VALUE"""),"BLOKIR")</f>
        <v>BLOKIR</v>
      </c>
      <c r="H9238" s="42">
        <f t="shared" si="1"/>
        <v>3341</v>
      </c>
    </row>
    <row r="9239" ht="22.5" customHeight="1">
      <c r="B9239" s="42" t="str">
        <f>IFERROR(__xludf.DUMMYFUNCTION("""COMPUTED_VALUE"""),"ABZOYIIR/AB044")</f>
        <v>ABZOYIIR/AB044</v>
      </c>
      <c r="C9239" s="42" t="str">
        <f>IFERROR(__xludf.DUMMYFUNCTION("""COMPUTED_VALUE"""),"M. NIBEL 181810/Sidodadi")</f>
        <v>M. NIBEL 181810/Sidodadi</v>
      </c>
      <c r="D9239" s="42"/>
      <c r="E9239" s="42"/>
      <c r="F9239" s="48" t="str">
        <f>IFERROR(__xludf.DUMMYFUNCTION("""COMPUTED_VALUE"""),"")</f>
        <v/>
      </c>
      <c r="G9239" s="42" t="str">
        <f>IFERROR(__xludf.DUMMYFUNCTION("""COMPUTED_VALUE"""),"Bn jual beli")</f>
        <v>Bn jual beli</v>
      </c>
      <c r="H9239" s="42">
        <f t="shared" si="1"/>
        <v>3341</v>
      </c>
    </row>
    <row r="9240" ht="22.5" customHeight="1">
      <c r="B9240" s="42" t="str">
        <f>IFERROR(__xludf.DUMMYFUNCTION("""COMPUTED_VALUE"""),"K/8/131125/1")</f>
        <v>K/8/131125/1</v>
      </c>
      <c r="C9240" s="42" t="str">
        <f>IFERROR(__xludf.DUMMYFUNCTION("""COMPUTED_VALUE"""),"B. 35/PENGAJARAN")</f>
        <v>B. 35/PENGAJARAN</v>
      </c>
      <c r="D9240" s="42"/>
      <c r="E9240" s="42"/>
      <c r="F9240" s="48" t="str">
        <f>IFERROR(__xludf.DUMMYFUNCTION("""COMPUTED_VALUE"""),"")</f>
        <v/>
      </c>
      <c r="G9240" s="42" t="str">
        <f>IFERROR(__xludf.DUMMYFUNCTION("""COMPUTED_VALUE"""),"SKPT INFORMASI")</f>
        <v>SKPT INFORMASI</v>
      </c>
      <c r="H9240" s="42">
        <f t="shared" si="1"/>
        <v>3341</v>
      </c>
    </row>
    <row r="9241" ht="22.5" customHeight="1">
      <c r="B9241" s="42" t="str">
        <f>IFERROR(__xludf.DUMMYFUNCTION("""COMPUTED_VALUE"""),"ABSBCEMD/AB044")</f>
        <v>ABSBCEMD/AB044</v>
      </c>
      <c r="C9241" s="42" t="str">
        <f>IFERROR(__xludf.DUMMYFUNCTION("""COMPUTED_VALUE"""),"M. 3758/Gunung Terang")</f>
        <v>M. 3758/Gunung Terang</v>
      </c>
      <c r="D9241" s="42"/>
      <c r="E9241" s="42"/>
      <c r="F9241" s="48" t="str">
        <f>IFERROR(__xludf.DUMMYFUNCTION("""COMPUTED_VALUE"""),"")</f>
        <v/>
      </c>
      <c r="G9241" s="42" t="str">
        <f>IFERROR(__xludf.DUMMYFUNCTION("""COMPUTED_VALUE"""),"Bn jual beli")</f>
        <v>Bn jual beli</v>
      </c>
      <c r="H9241" s="42">
        <f t="shared" si="1"/>
        <v>3341</v>
      </c>
    </row>
    <row r="9242" ht="22.5" customHeight="1">
      <c r="B9242" s="42" t="str">
        <f>IFERROR(__xludf.DUMMYFUNCTION("""COMPUTED_VALUE"""),"K/9/131125/2")</f>
        <v>K/9/131125/2</v>
      </c>
      <c r="C9242" s="42" t="str">
        <f>IFERROR(__xludf.DUMMYFUNCTION("""COMPUTED_VALUE"""),"B.29/PENGAJARAN")</f>
        <v>B.29/PENGAJARAN</v>
      </c>
      <c r="D9242" s="42"/>
      <c r="E9242" s="42"/>
      <c r="F9242" s="48" t="str">
        <f>IFERROR(__xludf.DUMMYFUNCTION("""COMPUTED_VALUE"""),"")</f>
        <v/>
      </c>
      <c r="G9242" s="42" t="str">
        <f>IFERROR(__xludf.DUMMYFUNCTION("""COMPUTED_VALUE"""),"SKPT INFORMASI")</f>
        <v>SKPT INFORMASI</v>
      </c>
      <c r="H9242" s="42">
        <f t="shared" si="1"/>
        <v>3341</v>
      </c>
    </row>
    <row r="9243" ht="22.5" customHeight="1">
      <c r="B9243" s="42" t="str">
        <f>IFERROR(__xludf.DUMMYFUNCTION("""COMPUTED_VALUE"""),"K/10/131125/3")</f>
        <v>K/10/131125/3</v>
      </c>
      <c r="C9243" s="42" t="str">
        <f>IFERROR(__xludf.DUMMYFUNCTION("""COMPUTED_VALUE"""),"B. 32/PENGAJARAN")</f>
        <v>B. 32/PENGAJARAN</v>
      </c>
      <c r="D9243" s="42"/>
      <c r="E9243" s="42"/>
      <c r="F9243" s="48" t="str">
        <f>IFERROR(__xludf.DUMMYFUNCTION("""COMPUTED_VALUE"""),"")</f>
        <v/>
      </c>
      <c r="G9243" s="42" t="str">
        <f>IFERROR(__xludf.DUMMYFUNCTION("""COMPUTED_VALUE"""),"SKPT INFORMASI")</f>
        <v>SKPT INFORMASI</v>
      </c>
      <c r="H9243" s="42">
        <f t="shared" si="1"/>
        <v>3341</v>
      </c>
    </row>
    <row r="9244" ht="22.5" customHeight="1">
      <c r="B9244" s="42" t="str">
        <f>IFERROR(__xludf.DUMMYFUNCTION("""COMPUTED_VALUE"""),"K/11/131125/4")</f>
        <v>K/11/131125/4</v>
      </c>
      <c r="C9244" s="42" t="str">
        <f>IFERROR(__xludf.DUMMYFUNCTION("""COMPUTED_VALUE"""),"B. 33/PENGAJARAN")</f>
        <v>B. 33/PENGAJARAN</v>
      </c>
      <c r="D9244" s="42"/>
      <c r="E9244" s="42"/>
      <c r="F9244" s="48" t="str">
        <f>IFERROR(__xludf.DUMMYFUNCTION("""COMPUTED_VALUE"""),"")</f>
        <v/>
      </c>
      <c r="G9244" s="42" t="str">
        <f>IFERROR(__xludf.DUMMYFUNCTION("""COMPUTED_VALUE"""),"SKPT INFORMASI")</f>
        <v>SKPT INFORMASI</v>
      </c>
      <c r="H9244" s="42">
        <f t="shared" si="1"/>
        <v>3341</v>
      </c>
    </row>
    <row r="9245" ht="22.5" customHeight="1">
      <c r="B9245" s="42" t="str">
        <f>IFERROR(__xludf.DUMMYFUNCTION("""COMPUTED_VALUE"""),"K/12/131125/5")</f>
        <v>K/12/131125/5</v>
      </c>
      <c r="C9245" s="42" t="str">
        <f>IFERROR(__xludf.DUMMYFUNCTION("""COMPUTED_VALUE"""),"B. 34/PENGAJARAN")</f>
        <v>B. 34/PENGAJARAN</v>
      </c>
      <c r="D9245" s="42"/>
      <c r="E9245" s="42"/>
      <c r="F9245" s="48" t="str">
        <f>IFERROR(__xludf.DUMMYFUNCTION("""COMPUTED_VALUE"""),"")</f>
        <v/>
      </c>
      <c r="G9245" s="42" t="str">
        <f>IFERROR(__xludf.DUMMYFUNCTION("""COMPUTED_VALUE"""),"SKPT INFORMASI")</f>
        <v>SKPT INFORMASI</v>
      </c>
      <c r="H9245" s="42">
        <f t="shared" si="1"/>
        <v>3341</v>
      </c>
    </row>
    <row r="9246" ht="22.5" customHeight="1">
      <c r="B9246" s="42" t="str">
        <f>IFERROR(__xludf.DUMMYFUNCTION("""COMPUTED_VALUE"""),"ABFHCDBG")</f>
        <v>ABFHCDBG</v>
      </c>
      <c r="C9246" s="42" t="str">
        <f>IFERROR(__xludf.DUMMYFUNCTION("""COMPUTED_VALUE"""),"“_”")</f>
        <v>“_”</v>
      </c>
      <c r="D9246" s="42"/>
      <c r="E9246" s="42"/>
      <c r="F9246" s="48" t="str">
        <f>IFERROR(__xludf.DUMMYFUNCTION("""COMPUTED_VALUE"""),"")</f>
        <v/>
      </c>
      <c r="G9246" s="42" t="str">
        <f>IFERROR(__xludf.DUMMYFUNCTION("""COMPUTED_VALUE"""),"Peralihan Hak")</f>
        <v>Peralihan Hak</v>
      </c>
      <c r="H9246" s="42">
        <f t="shared" si="1"/>
        <v>3341</v>
      </c>
    </row>
    <row r="9247" ht="22.5" customHeight="1">
      <c r="B9247" s="42" t="str">
        <f>IFERROR(__xludf.DUMMYFUNCTION("""COMPUTED_VALUE"""),"L/13/131125/1")</f>
        <v>L/13/131125/1</v>
      </c>
      <c r="C9247" s="42" t="str">
        <f>IFERROR(__xludf.DUMMYFUNCTION("""COMPUTED_VALUE"""),"M. 2548/CAMPANG RAYA")</f>
        <v>M. 2548/CAMPANG RAYA</v>
      </c>
      <c r="D9247" s="42"/>
      <c r="E9247" s="42"/>
      <c r="F9247" s="48" t="str">
        <f>IFERROR(__xludf.DUMMYFUNCTION("""COMPUTED_VALUE"""),"")</f>
        <v/>
      </c>
      <c r="G9247" s="42" t="str">
        <f>IFERROR(__xludf.DUMMYFUNCTION("""COMPUTED_VALUE"""),"ROYA")</f>
        <v>ROYA</v>
      </c>
      <c r="H9247" s="42">
        <f t="shared" si="1"/>
        <v>3341</v>
      </c>
    </row>
    <row r="9248" ht="22.5" customHeight="1">
      <c r="B9248" s="42" t="str">
        <f>IFERROR(__xludf.DUMMYFUNCTION("""COMPUTED_VALUE"""),"ABFFBZCW/AB059")</f>
        <v>ABFFBZCW/AB059</v>
      </c>
      <c r="C9248" s="42" t="str">
        <f>IFERROR(__xludf.DUMMYFUNCTION("""COMPUTED_VALUE"""),"B. 188/Gedong Meneng")</f>
        <v>B. 188/Gedong Meneng</v>
      </c>
      <c r="D9248" s="42"/>
      <c r="E9248" s="42"/>
      <c r="F9248" s="48" t="str">
        <f>IFERROR(__xludf.DUMMYFUNCTION("""COMPUTED_VALUE"""),"")</f>
        <v/>
      </c>
      <c r="G9248" s="42" t="str">
        <f>IFERROR(__xludf.DUMMYFUNCTION("""COMPUTED_VALUE"""),"Peningkatan hak")</f>
        <v>Peningkatan hak</v>
      </c>
      <c r="H9248" s="42">
        <f t="shared" si="1"/>
        <v>3341</v>
      </c>
    </row>
    <row r="9249" ht="22.5" customHeight="1">
      <c r="B9249" s="42" t="str">
        <f>IFERROR(__xludf.DUMMYFUNCTION("""COMPUTED_VALUE"""),"ABOGBEAV")</f>
        <v>ABOGBEAV</v>
      </c>
      <c r="C9249" s="42" t="str">
        <f>IFERROR(__xludf.DUMMYFUNCTION("""COMPUTED_VALUE"""),"HGB. 23570")</f>
        <v>HGB. 23570</v>
      </c>
      <c r="D9249" s="42"/>
      <c r="E9249" s="42"/>
      <c r="F9249" s="48" t="str">
        <f>IFERROR(__xludf.DUMMYFUNCTION("""COMPUTED_VALUE"""),"")</f>
        <v/>
      </c>
      <c r="G9249" s="42" t="str">
        <f>IFERROR(__xludf.DUMMYFUNCTION("""COMPUTED_VALUE"""),"BN APHB")</f>
        <v>BN APHB</v>
      </c>
      <c r="H9249" s="42">
        <f t="shared" si="1"/>
        <v>3341</v>
      </c>
    </row>
    <row r="9250" ht="22.5" customHeight="1">
      <c r="B9250" s="42" t="str">
        <f>IFERROR(__xludf.DUMMYFUNCTION("""COMPUTED_VALUE"""),"ABQSJMCO")</f>
        <v>ABQSJMCO</v>
      </c>
      <c r="C9250" s="42" t="str">
        <f>IFERROR(__xludf.DUMMYFUNCTION("""COMPUTED_VALUE"""),"SHM. 1691")</f>
        <v>SHM. 1691</v>
      </c>
      <c r="D9250" s="42"/>
      <c r="E9250" s="42"/>
      <c r="F9250" s="48" t="str">
        <f>IFERROR(__xludf.DUMMYFUNCTION("""COMPUTED_VALUE"""),"")</f>
        <v/>
      </c>
      <c r="G9250" s="42" t="str">
        <f>IFERROR(__xludf.DUMMYFUNCTION("""COMPUTED_VALUE"""),"Hapus BPHTB PTSL")</f>
        <v>Hapus BPHTB PTSL</v>
      </c>
      <c r="H9250" s="42">
        <f t="shared" si="1"/>
        <v>3341</v>
      </c>
    </row>
    <row r="9251" ht="22.5" customHeight="1">
      <c r="B9251" s="42" t="str">
        <f>IFERROR(__xludf.DUMMYFUNCTION("""COMPUTED_VALUE"""),"ABMJWMVM/AB019")</f>
        <v>ABMJWMVM/AB019</v>
      </c>
      <c r="C9251" s="42" t="str">
        <f>IFERROR(__xludf.DUMMYFUNCTION("""COMPUTED_VALUE"""),"M. 409/Sukajawa")</f>
        <v>M. 409/Sukajawa</v>
      </c>
      <c r="D9251" s="42"/>
      <c r="E9251" s="42"/>
      <c r="F9251" s="48" t="str">
        <f>IFERROR(__xludf.DUMMYFUNCTION("""COMPUTED_VALUE"""),"")</f>
        <v/>
      </c>
      <c r="G9251" s="42" t="str">
        <f>IFERROR(__xludf.DUMMYFUNCTION("""COMPUTED_VALUE"""),"Duplikat sertifikat/Sertifikat Hilang")</f>
        <v>Duplikat sertifikat/Sertifikat Hilang</v>
      </c>
      <c r="H9251" s="42">
        <f t="shared" si="1"/>
        <v>3341</v>
      </c>
    </row>
    <row r="9252" ht="22.5" customHeight="1">
      <c r="B9252" s="42" t="str">
        <f>IFERROR(__xludf.DUMMYFUNCTION("""COMPUTED_VALUE"""),"ABHMJFSJ")</f>
        <v>ABHMJFSJ</v>
      </c>
      <c r="C9252" s="42" t="str">
        <f>IFERROR(__xludf.DUMMYFUNCTION("""COMPUTED_VALUE"""),"M 10360/ RAJABASA")</f>
        <v>M 10360/ RAJABASA</v>
      </c>
      <c r="D9252" s="42"/>
      <c r="E9252" s="42"/>
      <c r="F9252" s="48" t="str">
        <f>IFERROR(__xludf.DUMMYFUNCTION("""COMPUTED_VALUE"""),"")</f>
        <v/>
      </c>
      <c r="G9252" s="42" t="str">
        <f>IFERROR(__xludf.DUMMYFUNCTION("""COMPUTED_VALUE"""),"TURUN WARIS")</f>
        <v>TURUN WARIS</v>
      </c>
      <c r="H9252" s="42">
        <f t="shared" si="1"/>
        <v>3341</v>
      </c>
    </row>
    <row r="9253" ht="22.5" customHeight="1">
      <c r="B9253" s="42" t="str">
        <f>IFERROR(__xludf.DUMMYFUNCTION("""COMPUTED_VALUE"""),"ABXNLXGZ")</f>
        <v>ABXNLXGZ</v>
      </c>
      <c r="C9253" s="42" t="str">
        <f>IFERROR(__xludf.DUMMYFUNCTION("""COMPUTED_VALUE"""),"1688/Kdm")</f>
        <v>1688/Kdm</v>
      </c>
      <c r="D9253" s="42"/>
      <c r="E9253" s="42"/>
      <c r="F9253" s="48" t="str">
        <f>IFERROR(__xludf.DUMMYFUNCTION("""COMPUTED_VALUE"""),"")</f>
        <v/>
      </c>
      <c r="G9253" s="42" t="str">
        <f>IFERROR(__xludf.DUMMYFUNCTION("""COMPUTED_VALUE"""),"BN JUAL BELI")</f>
        <v>BN JUAL BELI</v>
      </c>
      <c r="H9253" s="42">
        <f t="shared" si="1"/>
        <v>3341</v>
      </c>
    </row>
    <row r="9254" ht="22.5" customHeight="1">
      <c r="B9254" s="42" t="str">
        <f>IFERROR(__xludf.DUMMYFUNCTION("""COMPUTED_VALUE"""),"L/14/131125/1")</f>
        <v>L/14/131125/1</v>
      </c>
      <c r="C9254" s="42" t="str">
        <f>IFERROR(__xludf.DUMMYFUNCTION("""COMPUTED_VALUE"""),"B. 182/NEGERI OLOK GADING")</f>
        <v>B. 182/NEGERI OLOK GADING</v>
      </c>
      <c r="D9254" s="42"/>
      <c r="E9254" s="42"/>
      <c r="F9254" s="48" t="str">
        <f>IFERROR(__xludf.DUMMYFUNCTION("""COMPUTED_VALUE"""),"")</f>
        <v/>
      </c>
      <c r="G9254" s="42" t="str">
        <f>IFERROR(__xludf.DUMMYFUNCTION("""COMPUTED_VALUE"""),"SKPT INFORMASI")</f>
        <v>SKPT INFORMASI</v>
      </c>
      <c r="H9254" s="42">
        <f t="shared" si="1"/>
        <v>3341</v>
      </c>
    </row>
    <row r="9255" ht="22.5" customHeight="1">
      <c r="B9255" s="42" t="str">
        <f>IFERROR(__xludf.DUMMYFUNCTION("""COMPUTED_VALUE"""),"ABRZVUFS")</f>
        <v>ABRZVUFS</v>
      </c>
      <c r="C9255" s="42" t="str">
        <f>IFERROR(__xludf.DUMMYFUNCTION("""COMPUTED_VALUE"""),"01280")</f>
        <v>01280</v>
      </c>
      <c r="D9255" s="42"/>
      <c r="E9255" s="42"/>
      <c r="F9255" s="48" t="str">
        <f>IFERROR(__xludf.DUMMYFUNCTION("""COMPUTED_VALUE"""),"")</f>
        <v/>
      </c>
      <c r="G9255" s="42" t="str">
        <f>IFERROR(__xludf.DUMMYFUNCTION("""COMPUTED_VALUE"""),"Peralihan hak")</f>
        <v>Peralihan hak</v>
      </c>
      <c r="H9255" s="42">
        <f t="shared" si="1"/>
        <v>3341</v>
      </c>
    </row>
    <row r="9256" ht="22.5" customHeight="1">
      <c r="B9256" s="42" t="str">
        <f>IFERROR(__xludf.DUMMYFUNCTION("""COMPUTED_VALUE"""),"L/15/131125/1")</f>
        <v>L/15/131125/1</v>
      </c>
      <c r="C9256" s="42" t="str">
        <f>IFERROR(__xludf.DUMMYFUNCTION("""COMPUTED_VALUE"""),"M. 9993/KAMPUNG BARU")</f>
        <v>M. 9993/KAMPUNG BARU</v>
      </c>
      <c r="D9256" s="42"/>
      <c r="E9256" s="42"/>
      <c r="F9256" s="48" t="str">
        <f>IFERROR(__xludf.DUMMYFUNCTION("""COMPUTED_VALUE"""),"")</f>
        <v/>
      </c>
      <c r="G9256" s="42" t="str">
        <f>IFERROR(__xludf.DUMMYFUNCTION("""COMPUTED_VALUE"""),"ROYA")</f>
        <v>ROYA</v>
      </c>
      <c r="H9256" s="42">
        <f t="shared" si="1"/>
        <v>3341</v>
      </c>
    </row>
    <row r="9257" ht="22.5" customHeight="1">
      <c r="B9257" s="42" t="str">
        <f>IFERROR(__xludf.DUMMYFUNCTION("""COMPUTED_VALUE"""),"ABYYGAUP")</f>
        <v>ABYYGAUP</v>
      </c>
      <c r="C9257" s="42">
        <f>IFERROR(__xludf.DUMMYFUNCTION("""COMPUTED_VALUE"""),9033.0)</f>
        <v>9033</v>
      </c>
      <c r="D9257" s="42"/>
      <c r="E9257" s="42"/>
      <c r="F9257" s="48" t="str">
        <f>IFERROR(__xludf.DUMMYFUNCTION("""COMPUTED_VALUE"""),"")</f>
        <v/>
      </c>
      <c r="G9257" s="42" t="str">
        <f>IFERROR(__xludf.DUMMYFUNCTION("""COMPUTED_VALUE"""),"Peralihan hak")</f>
        <v>Peralihan hak</v>
      </c>
      <c r="H9257" s="42">
        <f t="shared" si="1"/>
        <v>3341</v>
      </c>
    </row>
    <row r="9258" ht="22.5" customHeight="1">
      <c r="B9258" s="42" t="str">
        <f>IFERROR(__xludf.DUMMYFUNCTION("""COMPUTED_VALUE"""),"ABUUFNVN")</f>
        <v>ABUUFNVN</v>
      </c>
      <c r="C9258" s="42" t="str">
        <f>IFERROR(__xludf.DUMMYFUNCTION("""COMPUTED_VALUE"""),"“_”")</f>
        <v>“_”</v>
      </c>
      <c r="D9258" s="42"/>
      <c r="E9258" s="42"/>
      <c r="F9258" s="48" t="str">
        <f>IFERROR(__xludf.DUMMYFUNCTION("""COMPUTED_VALUE"""),"")</f>
        <v/>
      </c>
      <c r="G9258" s="42" t="str">
        <f>IFERROR(__xludf.DUMMYFUNCTION("""COMPUTED_VALUE"""),"Peralihan hak")</f>
        <v>Peralihan hak</v>
      </c>
      <c r="H9258" s="42">
        <f t="shared" si="1"/>
        <v>3341</v>
      </c>
    </row>
    <row r="9259" ht="22.5" customHeight="1">
      <c r="B9259" s="42" t="str">
        <f>IFERROR(__xludf.DUMMYFUNCTION("""COMPUTED_VALUE"""),"L/16/131125/1")</f>
        <v>L/16/131125/1</v>
      </c>
      <c r="C9259" s="42" t="str">
        <f>IFERROR(__xludf.DUMMYFUNCTION("""COMPUTED_VALUE"""),"KEL. SUKABUMI LUAS 132 M2")</f>
        <v>KEL. SUKABUMI LUAS 132 M2</v>
      </c>
      <c r="D9259" s="42"/>
      <c r="E9259" s="42"/>
      <c r="F9259" s="48" t="str">
        <f>IFERROR(__xludf.DUMMYFUNCTION("""COMPUTED_VALUE"""),"")</f>
        <v/>
      </c>
      <c r="G9259" s="42" t="str">
        <f>IFERROR(__xludf.DUMMYFUNCTION("""COMPUTED_VALUE"""),"PENGUKURAN PERTAMA KALI")</f>
        <v>PENGUKURAN PERTAMA KALI</v>
      </c>
      <c r="H9259" s="42">
        <f t="shared" si="1"/>
        <v>3341</v>
      </c>
    </row>
    <row r="9260" ht="22.5" customHeight="1">
      <c r="B9260" s="42" t="str">
        <f>IFERROR(__xludf.DUMMYFUNCTION("""COMPUTED_VALUE"""),"AB040")</f>
        <v>AB040</v>
      </c>
      <c r="C9260" s="42">
        <f>IFERROR(__xludf.DUMMYFUNCTION("""COMPUTED_VALUE"""),493.0)</f>
        <v>493</v>
      </c>
      <c r="D9260" s="42"/>
      <c r="E9260" s="42"/>
      <c r="F9260" s="48" t="str">
        <f>IFERROR(__xludf.DUMMYFUNCTION("""COMPUTED_VALUE"""),"")</f>
        <v/>
      </c>
      <c r="G9260" s="42" t="str">
        <f>IFERROR(__xludf.DUMMYFUNCTION("""COMPUTED_VALUE"""),"SKPT")</f>
        <v>SKPT</v>
      </c>
      <c r="H9260" s="42">
        <f t="shared" si="1"/>
        <v>3341</v>
      </c>
    </row>
    <row r="9261" ht="22.5" customHeight="1">
      <c r="B9261" s="42" t="str">
        <f>IFERROR(__xludf.DUMMYFUNCTION("""COMPUTED_VALUE"""),"ABVKGFFH")</f>
        <v>ABVKGFFH</v>
      </c>
      <c r="C9261" s="42" t="str">
        <f>IFERROR(__xludf.DUMMYFUNCTION("""COMPUTED_VALUE"""),"M. 03196/ KEMILING PERMAI")</f>
        <v>M. 03196/ KEMILING PERMAI</v>
      </c>
      <c r="D9261" s="42"/>
      <c r="E9261" s="42"/>
      <c r="F9261" s="48" t="str">
        <f>IFERROR(__xludf.DUMMYFUNCTION("""COMPUTED_VALUE"""),"")</f>
        <v/>
      </c>
      <c r="G9261" s="42" t="str">
        <f>IFERROR(__xludf.DUMMYFUNCTION("""COMPUTED_VALUE"""),"Pewarisan")</f>
        <v>Pewarisan</v>
      </c>
      <c r="H9261" s="42">
        <f t="shared" si="1"/>
        <v>3341</v>
      </c>
    </row>
    <row r="9262" ht="22.5" customHeight="1">
      <c r="B9262" s="42" t="str">
        <f>IFERROR(__xludf.DUMMYFUNCTION("""COMPUTED_VALUE"""),"ABTBKMIY/AB053")</f>
        <v>ABTBKMIY/AB053</v>
      </c>
      <c r="C9262" s="42" t="str">
        <f>IFERROR(__xludf.DUMMYFUNCTION("""COMPUTED_VALUE"""),"M NIBEL 18119/Sukarame II")</f>
        <v>M NIBEL 18119/Sukarame II</v>
      </c>
      <c r="D9262" s="42"/>
      <c r="E9262" s="42"/>
      <c r="F9262" s="48" t="str">
        <f>IFERROR(__xludf.DUMMYFUNCTION("""COMPUTED_VALUE"""),"")</f>
        <v/>
      </c>
      <c r="G9262" s="42" t="str">
        <f>IFERROR(__xludf.DUMMYFUNCTION("""COMPUTED_VALUE"""),"Skpt lelang")</f>
        <v>Skpt lelang</v>
      </c>
      <c r="H9262" s="42">
        <f t="shared" si="1"/>
        <v>3341</v>
      </c>
    </row>
    <row r="9263" ht="22.5" customHeight="1">
      <c r="B9263" s="42" t="str">
        <f>IFERROR(__xludf.DUMMYFUNCTION("""COMPUTED_VALUE"""),"ABANGTAO")</f>
        <v>ABANGTAO</v>
      </c>
      <c r="C9263" s="42" t="str">
        <f>IFERROR(__xludf.DUMMYFUNCTION("""COMPUTED_VALUE"""),"M.1076/ Way halim permai")</f>
        <v>M.1076/ Way halim permai</v>
      </c>
      <c r="D9263" s="42"/>
      <c r="E9263" s="42"/>
      <c r="F9263" s="48" t="str">
        <f>IFERROR(__xludf.DUMMYFUNCTION("""COMPUTED_VALUE"""),"")</f>
        <v/>
      </c>
      <c r="G9263" s="42" t="str">
        <f>IFERROR(__xludf.DUMMYFUNCTION("""COMPUTED_VALUE"""),"Roya")</f>
        <v>Roya</v>
      </c>
      <c r="H9263" s="42">
        <f t="shared" si="1"/>
        <v>3341</v>
      </c>
    </row>
    <row r="9264" ht="22.5" customHeight="1">
      <c r="B9264" s="42" t="str">
        <f>IFERROR(__xludf.DUMMYFUNCTION("""COMPUTED_VALUE"""),"L/17/131125/2")</f>
        <v>L/17/131125/2</v>
      </c>
      <c r="C9264" s="42" t="str">
        <f>IFERROR(__xludf.DUMMYFUNCTION("""COMPUTED_VALUE"""),"KEL. SUKABUMI LUAS 132 M2")</f>
        <v>KEL. SUKABUMI LUAS 132 M2</v>
      </c>
      <c r="D9264" s="42"/>
      <c r="E9264" s="42"/>
      <c r="F9264" s="48" t="str">
        <f>IFERROR(__xludf.DUMMYFUNCTION("""COMPUTED_VALUE"""),"")</f>
        <v/>
      </c>
      <c r="G9264" s="42" t="str">
        <f>IFERROR(__xludf.DUMMYFUNCTION("""COMPUTED_VALUE"""),"PENGUKURAN PERTAMA KALI")</f>
        <v>PENGUKURAN PERTAMA KALI</v>
      </c>
      <c r="H9264" s="42">
        <f t="shared" si="1"/>
        <v>3341</v>
      </c>
    </row>
    <row r="9265" ht="22.5" customHeight="1">
      <c r="B9265" s="42" t="str">
        <f>IFERROR(__xludf.DUMMYFUNCTION("""COMPUTED_VALUE"""),"ABETXPIR")</f>
        <v>ABETXPIR</v>
      </c>
      <c r="C9265" s="42" t="str">
        <f>IFERROR(__xludf.DUMMYFUNCTION("""COMPUTED_VALUE"""),"M.9124 / jagabaya II")</f>
        <v>M.9124 / jagabaya II</v>
      </c>
      <c r="D9265" s="42"/>
      <c r="E9265" s="42"/>
      <c r="F9265" s="48" t="str">
        <f>IFERROR(__xludf.DUMMYFUNCTION("""COMPUTED_VALUE"""),"")</f>
        <v/>
      </c>
      <c r="G9265" s="42" t="str">
        <f>IFERROR(__xludf.DUMMYFUNCTION("""COMPUTED_VALUE"""),"Roya")</f>
        <v>Roya</v>
      </c>
      <c r="H9265" s="42">
        <f t="shared" si="1"/>
        <v>3341</v>
      </c>
    </row>
    <row r="9266" ht="22.5" customHeight="1">
      <c r="B9266" s="42" t="str">
        <f>IFERROR(__xludf.DUMMYFUNCTION("""COMPUTED_VALUE"""),"ABYXVJAS")</f>
        <v>ABYXVJAS</v>
      </c>
      <c r="C9266" s="42" t="str">
        <f>IFERROR(__xludf.DUMMYFUNCTION("""COMPUTED_VALUE"""),"m 1767/ sumber agung")</f>
        <v>m 1767/ sumber agung</v>
      </c>
      <c r="D9266" s="42"/>
      <c r="E9266" s="42"/>
      <c r="F9266" s="48" t="str">
        <f>IFERROR(__xludf.DUMMYFUNCTION("""COMPUTED_VALUE"""),"")</f>
        <v/>
      </c>
      <c r="G9266" s="42" t="str">
        <f>IFERROR(__xludf.DUMMYFUNCTION("""COMPUTED_VALUE"""),"balik nama jual beli")</f>
        <v>balik nama jual beli</v>
      </c>
      <c r="H9266" s="42">
        <f t="shared" si="1"/>
        <v>3341</v>
      </c>
    </row>
    <row r="9267" ht="22.5" customHeight="1">
      <c r="B9267" s="42" t="str">
        <f>IFERROR(__xludf.DUMMYFUNCTION("""COMPUTED_VALUE"""),"ABPLVICA/AB053")</f>
        <v>ABPLVICA/AB053</v>
      </c>
      <c r="C9267" s="42" t="str">
        <f>IFERROR(__xludf.DUMMYFUNCTION("""COMPUTED_VALUE"""),"M NIBEL 16442 / Sukarame II")</f>
        <v>M NIBEL 16442 / Sukarame II</v>
      </c>
      <c r="D9267" s="42"/>
      <c r="E9267" s="42"/>
      <c r="F9267" s="48" t="str">
        <f>IFERROR(__xludf.DUMMYFUNCTION("""COMPUTED_VALUE"""),"")</f>
        <v/>
      </c>
      <c r="G9267" s="42" t="str">
        <f>IFERROR(__xludf.DUMMYFUNCTION("""COMPUTED_VALUE"""),"Skpt lelang")</f>
        <v>Skpt lelang</v>
      </c>
      <c r="H9267" s="42">
        <f t="shared" si="1"/>
        <v>3341</v>
      </c>
    </row>
    <row r="9268" ht="22.5" customHeight="1">
      <c r="B9268" s="42" t="str">
        <f>IFERROR(__xludf.DUMMYFUNCTION("""COMPUTED_VALUE"""),"ABAPFFIA/AB053")</f>
        <v>ABAPFFIA/AB053</v>
      </c>
      <c r="C9268" s="42" t="str">
        <f>IFERROR(__xludf.DUMMYFUNCTION("""COMPUTED_VALUE""")," M NIBEL 20189 / Sukarame II")</f>
        <v> M NIBEL 20189 / Sukarame II</v>
      </c>
      <c r="D9268" s="42"/>
      <c r="E9268" s="42"/>
      <c r="F9268" s="48" t="str">
        <f>IFERROR(__xludf.DUMMYFUNCTION("""COMPUTED_VALUE"""),"")</f>
        <v/>
      </c>
      <c r="G9268" s="42" t="str">
        <f>IFERROR(__xludf.DUMMYFUNCTION("""COMPUTED_VALUE"""),"Skpt lelang")</f>
        <v>Skpt lelang</v>
      </c>
      <c r="H9268" s="42">
        <f t="shared" si="1"/>
        <v>3341</v>
      </c>
    </row>
    <row r="9269" ht="22.5" customHeight="1">
      <c r="B9269" s="42" t="str">
        <f>IFERROR(__xludf.DUMMYFUNCTION("""COMPUTED_VALUE"""),"ABJGUJVG/AB053")</f>
        <v>ABJGUJVG/AB053</v>
      </c>
      <c r="C9269" s="42" t="str">
        <f>IFERROR(__xludf.DUMMYFUNCTION("""COMPUTED_VALUE"""),"M NIBEL 13016 / Sukarame II")</f>
        <v>M NIBEL 13016 / Sukarame II</v>
      </c>
      <c r="D9269" s="42"/>
      <c r="E9269" s="42"/>
      <c r="F9269" s="48" t="str">
        <f>IFERROR(__xludf.DUMMYFUNCTION("""COMPUTED_VALUE"""),"")</f>
        <v/>
      </c>
      <c r="G9269" s="42" t="str">
        <f>IFERROR(__xludf.DUMMYFUNCTION("""COMPUTED_VALUE"""),"Skpt lelang")</f>
        <v>Skpt lelang</v>
      </c>
      <c r="H9269" s="42">
        <f t="shared" si="1"/>
        <v>3341</v>
      </c>
    </row>
    <row r="9270" ht="22.5" customHeight="1">
      <c r="B9270" s="42" t="str">
        <f>IFERROR(__xludf.DUMMYFUNCTION("""COMPUTED_VALUE"""),"ABIRDLKQ/AB053")</f>
        <v>ABIRDLKQ/AB053</v>
      </c>
      <c r="C9270" s="42" t="str">
        <f>IFERROR(__xludf.DUMMYFUNCTION("""COMPUTED_VALUE"""),"M NIBEL 13014 / Sukarame II")</f>
        <v>M NIBEL 13014 / Sukarame II</v>
      </c>
      <c r="D9270" s="42"/>
      <c r="E9270" s="42"/>
      <c r="F9270" s="48" t="str">
        <f>IFERROR(__xludf.DUMMYFUNCTION("""COMPUTED_VALUE"""),"")</f>
        <v/>
      </c>
      <c r="G9270" s="42" t="str">
        <f>IFERROR(__xludf.DUMMYFUNCTION("""COMPUTED_VALUE"""),"Skpt lelang")</f>
        <v>Skpt lelang</v>
      </c>
      <c r="H9270" s="42">
        <f t="shared" si="1"/>
        <v>3341</v>
      </c>
    </row>
    <row r="9271" ht="22.5" customHeight="1">
      <c r="B9271" s="42" t="str">
        <f>IFERROR(__xludf.DUMMYFUNCTION("""COMPUTED_VALUE"""),"L/18/131125/1")</f>
        <v>L/18/131125/1</v>
      </c>
      <c r="C9271" s="42" t="str">
        <f>IFERROR(__xludf.DUMMYFUNCTION("""COMPUTED_VALUE"""),"M. 342/KALIAWI PERSADA")</f>
        <v>M. 342/KALIAWI PERSADA</v>
      </c>
      <c r="D9271" s="42"/>
      <c r="E9271" s="42"/>
      <c r="F9271" s="48" t="str">
        <f>IFERROR(__xludf.DUMMYFUNCTION("""COMPUTED_VALUE"""),"")</f>
        <v/>
      </c>
      <c r="G9271" s="42" t="str">
        <f>IFERROR(__xludf.DUMMYFUNCTION("""COMPUTED_VALUE"""),"GANTI BLANKO")</f>
        <v>GANTI BLANKO</v>
      </c>
      <c r="H9271" s="42">
        <f t="shared" si="1"/>
        <v>3341</v>
      </c>
    </row>
    <row r="9272" ht="22.5" customHeight="1">
      <c r="B9272" s="42" t="str">
        <f>IFERROR(__xludf.DUMMYFUNCTION("""COMPUTED_VALUE"""),"L/19/131125/1")</f>
        <v>L/19/131125/1</v>
      </c>
      <c r="C9272" s="42" t="str">
        <f>IFERROR(__xludf.DUMMYFUNCTION("""COMPUTED_VALUE"""),"M. 958/SUMBER AGUNG")</f>
        <v>M. 958/SUMBER AGUNG</v>
      </c>
      <c r="D9272" s="42"/>
      <c r="E9272" s="42"/>
      <c r="F9272" s="48" t="str">
        <f>IFERROR(__xludf.DUMMYFUNCTION("""COMPUTED_VALUE"""),"")</f>
        <v/>
      </c>
      <c r="G9272" s="42" t="str">
        <f>IFERROR(__xludf.DUMMYFUNCTION("""COMPUTED_VALUE"""),"ROYA WARIS")</f>
        <v>ROYA WARIS</v>
      </c>
      <c r="H9272" s="42">
        <f t="shared" si="1"/>
        <v>3341</v>
      </c>
    </row>
    <row r="9273" ht="22.5" customHeight="1">
      <c r="B9273" s="42" t="str">
        <f>IFERROR(__xludf.DUMMYFUNCTION("""COMPUTED_VALUE"""),"L/20/131125/1")</f>
        <v>L/20/131125/1</v>
      </c>
      <c r="C9273" s="42" t="str">
        <f>IFERROR(__xludf.DUMMYFUNCTION("""COMPUTED_VALUE"""),"M. 13295/SUKABUMI")</f>
        <v>M. 13295/SUKABUMI</v>
      </c>
      <c r="D9273" s="42"/>
      <c r="E9273" s="42"/>
      <c r="F9273" s="48" t="str">
        <f>IFERROR(__xludf.DUMMYFUNCTION("""COMPUTED_VALUE"""),"")</f>
        <v/>
      </c>
      <c r="G9273" s="42" t="str">
        <f>IFERROR(__xludf.DUMMYFUNCTION("""COMPUTED_VALUE"""),"ROYA")</f>
        <v>ROYA</v>
      </c>
      <c r="H9273" s="42">
        <f t="shared" si="1"/>
        <v>3341</v>
      </c>
    </row>
    <row r="9274" ht="22.5" customHeight="1">
      <c r="B9274" s="42" t="str">
        <f>IFERROR(__xludf.DUMMYFUNCTION("""COMPUTED_VALUE"""),"ABGZKARP")</f>
        <v>ABGZKARP</v>
      </c>
      <c r="C9274" s="42" t="str">
        <f>IFERROR(__xludf.DUMMYFUNCTION("""COMPUTED_VALUE"""),"NIBEL M 19517/ SUMBERREJO SEJAHTERA")</f>
        <v>NIBEL M 19517/ SUMBERREJO SEJAHTERA</v>
      </c>
      <c r="D9274" s="42"/>
      <c r="E9274" s="42"/>
      <c r="F9274" s="48" t="str">
        <f>IFERROR(__xludf.DUMMYFUNCTION("""COMPUTED_VALUE"""),"")</f>
        <v/>
      </c>
      <c r="G9274" s="42" t="str">
        <f>IFERROR(__xludf.DUMMYFUNCTION("""COMPUTED_VALUE"""),"Peralihan hak jual beli")</f>
        <v>Peralihan hak jual beli</v>
      </c>
      <c r="H9274" s="42">
        <f t="shared" si="1"/>
        <v>3341</v>
      </c>
    </row>
    <row r="9275" ht="22.5" customHeight="1">
      <c r="B9275" s="42" t="str">
        <f>IFERROR(__xludf.DUMMYFUNCTION("""COMPUTED_VALUE"""),"ABBBEEIF")</f>
        <v>ABBBEEIF</v>
      </c>
      <c r="C9275" s="42" t="str">
        <f>IFERROR(__xludf.DUMMYFUNCTION("""COMPUTED_VALUE"""),"m 872/ sumber agung")</f>
        <v>m 872/ sumber agung</v>
      </c>
      <c r="D9275" s="42" t="str">
        <f>IFERROR(__xludf.DUMMYFUNCTION("""COMPUTED_VALUE"""),"Berry")</f>
        <v>Berry</v>
      </c>
      <c r="E9275" s="42" t="str">
        <f>IFERROR(__xludf.DUMMYFUNCTION("""COMPUTED_VALUE"""),"DISERAHKAN")</f>
        <v>DISERAHKAN</v>
      </c>
      <c r="F9275" s="48">
        <f>IFERROR(__xludf.DUMMYFUNCTION("""COMPUTED_VALUE"""),46020.65369479167)</f>
        <v>46020.65369</v>
      </c>
      <c r="G9275" s="42" t="str">
        <f>IFERROR(__xludf.DUMMYFUNCTION("""COMPUTED_VALUE"""),"Peralihan Hak jual beli")</f>
        <v>Peralihan Hak jual beli</v>
      </c>
      <c r="H9275" s="42">
        <f t="shared" si="1"/>
        <v>3342</v>
      </c>
    </row>
    <row r="9276" ht="22.5" customHeight="1">
      <c r="B9276" s="42" t="str">
        <f>IFERROR(__xludf.DUMMYFUNCTION("""COMPUTED_VALUE"""),"L/21/131125/1")</f>
        <v>L/21/131125/1</v>
      </c>
      <c r="C9276" s="42" t="str">
        <f>IFERROR(__xludf.DUMMYFUNCTION("""COMPUTED_VALUE"""),"B. 622/BERINGIN RAYA")</f>
        <v>B. 622/BERINGIN RAYA</v>
      </c>
      <c r="D9276" s="42"/>
      <c r="E9276" s="42"/>
      <c r="F9276" s="48" t="str">
        <f>IFERROR(__xludf.DUMMYFUNCTION("""COMPUTED_VALUE"""),"")</f>
        <v/>
      </c>
      <c r="G9276" s="42" t="str">
        <f>IFERROR(__xludf.DUMMYFUNCTION("""COMPUTED_VALUE"""),"PENGUKURAN HGB MATI")</f>
        <v>PENGUKURAN HGB MATI</v>
      </c>
      <c r="H9276" s="42">
        <f t="shared" si="1"/>
        <v>3342</v>
      </c>
    </row>
    <row r="9277" ht="22.5" customHeight="1">
      <c r="B9277" s="42" t="str">
        <f>IFERROR(__xludf.DUMMYFUNCTION("""COMPUTED_VALUE"""),"ABXWJBMO")</f>
        <v>ABXWJBMO</v>
      </c>
      <c r="C9277" s="42" t="str">
        <f>IFERROR(__xludf.DUMMYFUNCTION("""COMPUTED_VALUE"""),"450/Nusantara Permai")</f>
        <v>450/Nusantara Permai</v>
      </c>
      <c r="D9277" s="42"/>
      <c r="E9277" s="42"/>
      <c r="F9277" s="48" t="str">
        <f>IFERROR(__xludf.DUMMYFUNCTION("""COMPUTED_VALUE"""),"")</f>
        <v/>
      </c>
      <c r="G9277" s="42" t="str">
        <f>IFERROR(__xludf.DUMMYFUNCTION("""COMPUTED_VALUE"""),"Bn Jual Beli")</f>
        <v>Bn Jual Beli</v>
      </c>
      <c r="H9277" s="42">
        <f t="shared" si="1"/>
        <v>3342</v>
      </c>
    </row>
    <row r="9278" ht="22.5" customHeight="1">
      <c r="B9278" s="42" t="str">
        <f>IFERROR(__xludf.DUMMYFUNCTION("""COMPUTED_VALUE"""),"K/1/141125/1")</f>
        <v>K/1/141125/1</v>
      </c>
      <c r="C9278" s="42" t="str">
        <f>IFERROR(__xludf.DUMMYFUNCTION("""COMPUTED_VALUE"""),"M. 329/SUKARAME BARU")</f>
        <v>M. 329/SUKARAME BARU</v>
      </c>
      <c r="D9278" s="42"/>
      <c r="E9278" s="42"/>
      <c r="F9278" s="48" t="str">
        <f>IFERROR(__xludf.DUMMYFUNCTION("""COMPUTED_VALUE"""),"")</f>
        <v/>
      </c>
      <c r="G9278" s="42" t="str">
        <f>IFERROR(__xludf.DUMMYFUNCTION("""COMPUTED_VALUE"""),"SKPT LELANG")</f>
        <v>SKPT LELANG</v>
      </c>
      <c r="H9278" s="42">
        <f t="shared" si="1"/>
        <v>3342</v>
      </c>
    </row>
    <row r="9279" ht="22.5" customHeight="1">
      <c r="B9279" s="42" t="str">
        <f>IFERROR(__xludf.DUMMYFUNCTION("""COMPUTED_VALUE"""),"ABJRSDPE/AB011")</f>
        <v>ABJRSDPE/AB011</v>
      </c>
      <c r="C9279" s="42" t="str">
        <f>IFERROR(__xludf.DUMMYFUNCTION("""COMPUTED_VALUE"""),"M. 427/Sumberrejo  Sejahtera, M. 1066/Sumber Rejo")</f>
        <v>M. 427/Sumberrejo  Sejahtera, M. 1066/Sumber Rejo</v>
      </c>
      <c r="D9279" s="42"/>
      <c r="E9279" s="42"/>
      <c r="F9279" s="48" t="str">
        <f>IFERROR(__xludf.DUMMYFUNCTION("""COMPUTED_VALUE"""),"")</f>
        <v/>
      </c>
      <c r="G9279" s="42" t="str">
        <f>IFERROR(__xludf.DUMMYFUNCTION("""COMPUTED_VALUE"""),"roya")</f>
        <v>roya</v>
      </c>
      <c r="H9279" s="42">
        <f t="shared" si="1"/>
        <v>3342</v>
      </c>
    </row>
    <row r="9280" ht="22.5" customHeight="1">
      <c r="B9280" s="42" t="str">
        <f>IFERROR(__xludf.DUMMYFUNCTION("""COMPUTED_VALUE"""),"ABZECRAW/AB011")</f>
        <v>ABZECRAW/AB011</v>
      </c>
      <c r="C9280" s="42" t="str">
        <f>IFERROR(__xludf.DUMMYFUNCTION("""COMPUTED_VALUE"""),"B. NIBEL 25832/Campang Jaya")</f>
        <v>B. NIBEL 25832/Campang Jaya</v>
      </c>
      <c r="D9280" s="42"/>
      <c r="E9280" s="42"/>
      <c r="F9280" s="48" t="str">
        <f>IFERROR(__xludf.DUMMYFUNCTION("""COMPUTED_VALUE"""),"")</f>
        <v/>
      </c>
      <c r="G9280" s="42" t="str">
        <f>IFERROR(__xludf.DUMMYFUNCTION("""COMPUTED_VALUE"""),"peningkatan hak")</f>
        <v>peningkatan hak</v>
      </c>
      <c r="H9280" s="42">
        <f t="shared" si="1"/>
        <v>3342</v>
      </c>
    </row>
    <row r="9281" ht="22.5" customHeight="1">
      <c r="B9281" s="42" t="str">
        <f>IFERROR(__xludf.DUMMYFUNCTION("""COMPUTED_VALUE"""),"L/3/141125/1")</f>
        <v>L/3/141125/1</v>
      </c>
      <c r="C9281" s="42" t="str">
        <f>IFERROR(__xludf.DUMMYFUNCTION("""COMPUTED_VALUE"""),"B NIB. 25264/SUKAMAJU")</f>
        <v>B NIB. 25264/SUKAMAJU</v>
      </c>
      <c r="D9281" s="42"/>
      <c r="E9281" s="42"/>
      <c r="F9281" s="48" t="str">
        <f>IFERROR(__xludf.DUMMYFUNCTION("""COMPUTED_VALUE"""),"")</f>
        <v/>
      </c>
      <c r="G9281" s="42" t="str">
        <f>IFERROR(__xludf.DUMMYFUNCTION("""COMPUTED_VALUE"""),"PENINGKATAN HAK")</f>
        <v>PENINGKATAN HAK</v>
      </c>
      <c r="H9281" s="42">
        <f t="shared" si="1"/>
        <v>3342</v>
      </c>
    </row>
    <row r="9282" ht="22.5" customHeight="1">
      <c r="B9282" s="42" t="str">
        <f>IFERROR(__xludf.DUMMYFUNCTION("""COMPUTED_VALUE"""),"ABFBOOTJ")</f>
        <v>ABFBOOTJ</v>
      </c>
      <c r="C9282" s="42" t="str">
        <f>IFERROR(__xludf.DUMMYFUNCTION("""COMPUTED_VALUE"""),"nibel m 20979/ sukabumi indah")</f>
        <v>nibel m 20979/ sukabumi indah</v>
      </c>
      <c r="D9282" s="42"/>
      <c r="E9282" s="42"/>
      <c r="F9282" s="48" t="str">
        <f>IFERROR(__xludf.DUMMYFUNCTION("""COMPUTED_VALUE"""),"")</f>
        <v/>
      </c>
      <c r="G9282" s="42" t="str">
        <f>IFERROR(__xludf.DUMMYFUNCTION("""COMPUTED_VALUE"""),"Perubahan nama")</f>
        <v>Perubahan nama</v>
      </c>
      <c r="H9282" s="42">
        <f t="shared" si="1"/>
        <v>3342</v>
      </c>
    </row>
    <row r="9283" ht="22.5" customHeight="1">
      <c r="B9283" s="42" t="str">
        <f>IFERROR(__xludf.DUMMYFUNCTION("""COMPUTED_VALUE"""),"ABCPVCMB/AB054")</f>
        <v>ABCPVCMB/AB054</v>
      </c>
      <c r="C9283" s="42" t="str">
        <f>IFERROR(__xludf.DUMMYFUNCTION("""COMPUTED_VALUE"""),"B. NIBEL 433/KEMILING PERMAI")</f>
        <v>B. NIBEL 433/KEMILING PERMAI</v>
      </c>
      <c r="D9283" s="42"/>
      <c r="E9283" s="42"/>
      <c r="F9283" s="48" t="str">
        <f>IFERROR(__xludf.DUMMYFUNCTION("""COMPUTED_VALUE"""),"")</f>
        <v/>
      </c>
      <c r="G9283" s="42" t="str">
        <f>IFERROR(__xludf.DUMMYFUNCTION("""COMPUTED_VALUE"""),"Peningkatan Hak")</f>
        <v>Peningkatan Hak</v>
      </c>
      <c r="H9283" s="42">
        <f t="shared" si="1"/>
        <v>3342</v>
      </c>
    </row>
    <row r="9284" ht="22.5" customHeight="1">
      <c r="B9284" s="42" t="str">
        <f>IFERROR(__xludf.DUMMYFUNCTION("""COMPUTED_VALUE"""),"ABLDPKPD/AB018")</f>
        <v>ABLDPKPD/AB018</v>
      </c>
      <c r="C9284" s="42" t="str">
        <f>IFERROR(__xludf.DUMMYFUNCTION("""COMPUTED_VALUE"""),"M. NIBEL 21110/Tanjung Senang")</f>
        <v>M. NIBEL 21110/Tanjung Senang</v>
      </c>
      <c r="D9284" s="42"/>
      <c r="E9284" s="42"/>
      <c r="F9284" s="48" t="str">
        <f>IFERROR(__xludf.DUMMYFUNCTION("""COMPUTED_VALUE"""),"")</f>
        <v/>
      </c>
      <c r="G9284" s="42" t="str">
        <f>IFERROR(__xludf.DUMMYFUNCTION("""COMPUTED_VALUE"""),"Bn Jual Beli")</f>
        <v>Bn Jual Beli</v>
      </c>
      <c r="H9284" s="42">
        <f t="shared" si="1"/>
        <v>3342</v>
      </c>
    </row>
    <row r="9285" ht="22.5" customHeight="1">
      <c r="B9285" s="42" t="str">
        <f>IFERROR(__xludf.DUMMYFUNCTION("""COMPUTED_VALUE"""),"ABXQUEYN/AB018")</f>
        <v>ABXQUEYN/AB018</v>
      </c>
      <c r="C9285" s="42" t="str">
        <f>IFERROR(__xludf.DUMMYFUNCTION("""COMPUTED_VALUE"""),"M. NIBEL 25642/Kuripan")</f>
        <v>M. NIBEL 25642/Kuripan</v>
      </c>
      <c r="D9285" s="42"/>
      <c r="E9285" s="42"/>
      <c r="F9285" s="48" t="str">
        <f>IFERROR(__xludf.DUMMYFUNCTION("""COMPUTED_VALUE"""),"")</f>
        <v/>
      </c>
      <c r="G9285" s="42" t="str">
        <f>IFERROR(__xludf.DUMMYFUNCTION("""COMPUTED_VALUE"""),"Bn Jual Beli")</f>
        <v>Bn Jual Beli</v>
      </c>
      <c r="H9285" s="42">
        <f t="shared" si="1"/>
        <v>3342</v>
      </c>
    </row>
    <row r="9286" ht="22.5" customHeight="1">
      <c r="B9286" s="42" t="str">
        <f>IFERROR(__xludf.DUMMYFUNCTION("""COMPUTED_VALUE"""),"L/4/141125/1")</f>
        <v>L/4/141125/1</v>
      </c>
      <c r="C9286" s="42" t="str">
        <f>IFERROR(__xludf.DUMMYFUNCTION("""COMPUTED_VALUE"""),"M. 10878/SUKABUMI")</f>
        <v>M. 10878/SUKABUMI</v>
      </c>
      <c r="D9286" s="42"/>
      <c r="E9286" s="42"/>
      <c r="F9286" s="48" t="str">
        <f>IFERROR(__xludf.DUMMYFUNCTION("""COMPUTED_VALUE"""),"")</f>
        <v/>
      </c>
      <c r="G9286" s="42" t="str">
        <f>IFERROR(__xludf.DUMMYFUNCTION("""COMPUTED_VALUE"""),"BN WARIS")</f>
        <v>BN WARIS</v>
      </c>
      <c r="H9286" s="42">
        <f t="shared" si="1"/>
        <v>3342</v>
      </c>
    </row>
    <row r="9287" ht="22.5" customHeight="1">
      <c r="B9287" s="42" t="str">
        <f>IFERROR(__xludf.DUMMYFUNCTION("""COMPUTED_VALUE"""),"ABAKJVNR/1")</f>
        <v>ABAKJVNR/1</v>
      </c>
      <c r="C9287" s="42" t="str">
        <f>IFERROR(__xludf.DUMMYFUNCTION("""COMPUTED_VALUE"""),"12471/Rajabasa")</f>
        <v>12471/Rajabasa</v>
      </c>
      <c r="D9287" s="42"/>
      <c r="E9287" s="42"/>
      <c r="F9287" s="48" t="str">
        <f>IFERROR(__xludf.DUMMYFUNCTION("""COMPUTED_VALUE"""),"")</f>
        <v/>
      </c>
      <c r="G9287" s="42" t="str">
        <f>IFERROR(__xludf.DUMMYFUNCTION("""COMPUTED_VALUE"""),"Balik nama waris")</f>
        <v>Balik nama waris</v>
      </c>
      <c r="H9287" s="42">
        <f t="shared" si="1"/>
        <v>3342</v>
      </c>
    </row>
    <row r="9288" ht="22.5" customHeight="1">
      <c r="B9288" s="42" t="str">
        <f>IFERROR(__xludf.DUMMYFUNCTION("""COMPUTED_VALUE"""),"ABTVLVOS/1")</f>
        <v>ABTVLVOS/1</v>
      </c>
      <c r="C9288" s="42" t="str">
        <f>IFERROR(__xludf.DUMMYFUNCTION("""COMPUTED_VALUE"""),"12472/Rajabasa")</f>
        <v>12472/Rajabasa</v>
      </c>
      <c r="D9288" s="42"/>
      <c r="E9288" s="42"/>
      <c r="F9288" s="48" t="str">
        <f>IFERROR(__xludf.DUMMYFUNCTION("""COMPUTED_VALUE"""),"")</f>
        <v/>
      </c>
      <c r="G9288" s="42" t="str">
        <f>IFERROR(__xludf.DUMMYFUNCTION("""COMPUTED_VALUE"""),"Balik nama waris")</f>
        <v>Balik nama waris</v>
      </c>
      <c r="H9288" s="42">
        <f t="shared" si="1"/>
        <v>3342</v>
      </c>
    </row>
    <row r="9289" ht="22.5" customHeight="1">
      <c r="B9289" s="42" t="str">
        <f>IFERROR(__xludf.DUMMYFUNCTION("""COMPUTED_VALUE"""),"L/5/141125/1")</f>
        <v>L/5/141125/1</v>
      </c>
      <c r="C9289" s="42" t="str">
        <f>IFERROR(__xludf.DUMMYFUNCTION("""COMPUTED_VALUE"""),"SK NO 116/HM/BPN.18.71/X/2025 KEL. ENGGAL")</f>
        <v>SK NO 116/HM/BPN.18.71/X/2025 KEL. ENGGAL</v>
      </c>
      <c r="D9289" s="42"/>
      <c r="E9289" s="42"/>
      <c r="F9289" s="48" t="str">
        <f>IFERROR(__xludf.DUMMYFUNCTION("""COMPUTED_VALUE"""),"")</f>
        <v/>
      </c>
      <c r="G9289" s="42" t="str">
        <f>IFERROR(__xludf.DUMMYFUNCTION("""COMPUTED_VALUE"""),"PENDAFTARAN SK")</f>
        <v>PENDAFTARAN SK</v>
      </c>
      <c r="H9289" s="42">
        <f t="shared" si="1"/>
        <v>3342</v>
      </c>
    </row>
    <row r="9290" ht="22.5" customHeight="1">
      <c r="B9290" s="42" t="str">
        <f>IFERROR(__xludf.DUMMYFUNCTION("""COMPUTED_VALUE"""),"ABGYTIIF")</f>
        <v>ABGYTIIF</v>
      </c>
      <c r="C9290" s="42" t="str">
        <f>IFERROR(__xludf.DUMMYFUNCTION("""COMPUTED_VALUE"""),"M 10829/ GEDONG MENENG")</f>
        <v>M 10829/ GEDONG MENENG</v>
      </c>
      <c r="D9290" s="42"/>
      <c r="E9290" s="42"/>
      <c r="F9290" s="48" t="str">
        <f>IFERROR(__xludf.DUMMYFUNCTION("""COMPUTED_VALUE"""),"")</f>
        <v/>
      </c>
      <c r="G9290" s="42" t="str">
        <f>IFERROR(__xludf.DUMMYFUNCTION("""COMPUTED_VALUE"""),"BN WARIS")</f>
        <v>BN WARIS</v>
      </c>
      <c r="H9290" s="42">
        <f t="shared" si="1"/>
        <v>3342</v>
      </c>
    </row>
    <row r="9291" ht="22.5" customHeight="1">
      <c r="B9291" s="42" t="str">
        <f>IFERROR(__xludf.DUMMYFUNCTION("""COMPUTED_VALUE"""),"K/2/141125/2")</f>
        <v>K/2/141125/2</v>
      </c>
      <c r="C9291" s="42" t="str">
        <f>IFERROR(__xludf.DUMMYFUNCTION("""COMPUTED_VALUE"""),"M. 654/PINANG JAYA")</f>
        <v>M. 654/PINANG JAYA</v>
      </c>
      <c r="D9291" s="42"/>
      <c r="E9291" s="42"/>
      <c r="F9291" s="48" t="str">
        <f>IFERROR(__xludf.DUMMYFUNCTION("""COMPUTED_VALUE"""),"")</f>
        <v/>
      </c>
      <c r="G9291" s="42" t="str">
        <f>IFERROR(__xludf.DUMMYFUNCTION("""COMPUTED_VALUE"""),"SKPT LELANG")</f>
        <v>SKPT LELANG</v>
      </c>
      <c r="H9291" s="42">
        <f t="shared" si="1"/>
        <v>3342</v>
      </c>
    </row>
    <row r="9292" ht="22.5" customHeight="1">
      <c r="B9292" s="42" t="str">
        <f>IFERROR(__xludf.DUMMYFUNCTION("""COMPUTED_VALUE"""),"K/7/141125/1")</f>
        <v>K/7/141125/1</v>
      </c>
      <c r="C9292" s="42" t="str">
        <f>IFERROR(__xludf.DUMMYFUNCTION("""COMPUTED_VALUE"""),"M. 33/PAHOMAN")</f>
        <v>M. 33/PAHOMAN</v>
      </c>
      <c r="D9292" s="42"/>
      <c r="E9292" s="42"/>
      <c r="F9292" s="48" t="str">
        <f>IFERROR(__xludf.DUMMYFUNCTION("""COMPUTED_VALUE"""),"")</f>
        <v/>
      </c>
      <c r="G9292" s="42" t="str">
        <f>IFERROR(__xludf.DUMMYFUNCTION("""COMPUTED_VALUE"""),"SKPT LELANG")</f>
        <v>SKPT LELANG</v>
      </c>
      <c r="H9292" s="42">
        <f t="shared" si="1"/>
        <v>3342</v>
      </c>
    </row>
    <row r="9293" ht="22.5" customHeight="1">
      <c r="B9293" s="42" t="str">
        <f>IFERROR(__xludf.DUMMYFUNCTION("""COMPUTED_VALUE"""),"K/8/141125/1")</f>
        <v>K/8/141125/1</v>
      </c>
      <c r="C9293" s="42" t="str">
        <f>IFERROR(__xludf.DUMMYFUNCTION("""COMPUTED_VALUE"""),"M. 2153/KEDAUNG")</f>
        <v>M. 2153/KEDAUNG</v>
      </c>
      <c r="D9293" s="42"/>
      <c r="E9293" s="42"/>
      <c r="F9293" s="48" t="str">
        <f>IFERROR(__xludf.DUMMYFUNCTION("""COMPUTED_VALUE"""),"")</f>
        <v/>
      </c>
      <c r="G9293" s="42" t="str">
        <f>IFERROR(__xludf.DUMMYFUNCTION("""COMPUTED_VALUE"""),"SKPT LELANG")</f>
        <v>SKPT LELANG</v>
      </c>
      <c r="H9293" s="42">
        <f t="shared" si="1"/>
        <v>3342</v>
      </c>
    </row>
    <row r="9294" ht="22.5" customHeight="1">
      <c r="B9294" s="42" t="str">
        <f>IFERROR(__xludf.DUMMYFUNCTION("""COMPUTED_VALUE"""),"K/9/141125/1")</f>
        <v>K/9/141125/1</v>
      </c>
      <c r="C9294" s="42" t="str">
        <f>IFERROR(__xludf.DUMMYFUNCTION("""COMPUTED_VALUE"""),"M.11624/SUKARAME")</f>
        <v>M.11624/SUKARAME</v>
      </c>
      <c r="D9294" s="42"/>
      <c r="E9294" s="42"/>
      <c r="F9294" s="48" t="str">
        <f>IFERROR(__xludf.DUMMYFUNCTION("""COMPUTED_VALUE"""),"")</f>
        <v/>
      </c>
      <c r="G9294" s="42" t="str">
        <f>IFERROR(__xludf.DUMMYFUNCTION("""COMPUTED_VALUE"""),"SKPT LELANG")</f>
        <v>SKPT LELANG</v>
      </c>
      <c r="H9294" s="42">
        <f t="shared" si="1"/>
        <v>3342</v>
      </c>
    </row>
    <row r="9295" ht="22.5" customHeight="1">
      <c r="B9295" s="42" t="str">
        <f>IFERROR(__xludf.DUMMYFUNCTION("""COMPUTED_VALUE"""),"K/10/141125/2")</f>
        <v>K/10/141125/2</v>
      </c>
      <c r="C9295" s="42" t="str">
        <f>IFERROR(__xludf.DUMMYFUNCTION("""COMPUTED_VALUE"""),"M.2872/CAMPANG RAYA")</f>
        <v>M.2872/CAMPANG RAYA</v>
      </c>
      <c r="D9295" s="42"/>
      <c r="E9295" s="42"/>
      <c r="F9295" s="48" t="str">
        <f>IFERROR(__xludf.DUMMYFUNCTION("""COMPUTED_VALUE"""),"")</f>
        <v/>
      </c>
      <c r="G9295" s="42" t="str">
        <f>IFERROR(__xludf.DUMMYFUNCTION("""COMPUTED_VALUE"""),"SKPT LELANG")</f>
        <v>SKPT LELANG</v>
      </c>
      <c r="H9295" s="42">
        <f t="shared" si="1"/>
        <v>3342</v>
      </c>
    </row>
    <row r="9296" ht="22.5" customHeight="1">
      <c r="B9296" s="42" t="str">
        <f>IFERROR(__xludf.DUMMYFUNCTION("""COMPUTED_VALUE"""),"K/11/141125/3")</f>
        <v>K/11/141125/3</v>
      </c>
      <c r="C9296" s="42" t="str">
        <f>IFERROR(__xludf.DUMMYFUNCTION("""COMPUTED_VALUE"""),"M.10403/SUKABUMI")</f>
        <v>M.10403/SUKABUMI</v>
      </c>
      <c r="D9296" s="42"/>
      <c r="E9296" s="42"/>
      <c r="F9296" s="48" t="str">
        <f>IFERROR(__xludf.DUMMYFUNCTION("""COMPUTED_VALUE"""),"")</f>
        <v/>
      </c>
      <c r="G9296" s="42" t="str">
        <f>IFERROR(__xludf.DUMMYFUNCTION("""COMPUTED_VALUE"""),"SKPT LELANG")</f>
        <v>SKPT LELANG</v>
      </c>
      <c r="H9296" s="42">
        <f t="shared" si="1"/>
        <v>3342</v>
      </c>
    </row>
    <row r="9297" ht="22.5" customHeight="1">
      <c r="B9297" s="42" t="str">
        <f>IFERROR(__xludf.DUMMYFUNCTION("""COMPUTED_VALUE"""),"K/12/141125/4")</f>
        <v>K/12/141125/4</v>
      </c>
      <c r="C9297" s="42" t="str">
        <f>IFERROR(__xludf.DUMMYFUNCTION("""COMPUTED_VALUE"""),"M. 4822/TANJUNG SENANG")</f>
        <v>M. 4822/TANJUNG SENANG</v>
      </c>
      <c r="D9297" s="42"/>
      <c r="E9297" s="42"/>
      <c r="F9297" s="48" t="str">
        <f>IFERROR(__xludf.DUMMYFUNCTION("""COMPUTED_VALUE"""),"")</f>
        <v/>
      </c>
      <c r="G9297" s="42" t="str">
        <f>IFERROR(__xludf.DUMMYFUNCTION("""COMPUTED_VALUE"""),"SKPT LELANG")</f>
        <v>SKPT LELANG</v>
      </c>
      <c r="H9297" s="42">
        <f t="shared" si="1"/>
        <v>3342</v>
      </c>
    </row>
    <row r="9298" ht="22.5" customHeight="1">
      <c r="B9298" s="42" t="str">
        <f>IFERROR(__xludf.DUMMYFUNCTION("""COMPUTED_VALUE"""),"K/13/141125/5")</f>
        <v>K/13/141125/5</v>
      </c>
      <c r="C9298" s="42" t="str">
        <f>IFERROR(__xludf.DUMMYFUNCTION("""COMPUTED_VALUE"""),"M. 9982/KAMPUNG BARU")</f>
        <v>M. 9982/KAMPUNG BARU</v>
      </c>
      <c r="D9298" s="42"/>
      <c r="E9298" s="42"/>
      <c r="F9298" s="48" t="str">
        <f>IFERROR(__xludf.DUMMYFUNCTION("""COMPUTED_VALUE"""),"")</f>
        <v/>
      </c>
      <c r="G9298" s="42" t="str">
        <f>IFERROR(__xludf.DUMMYFUNCTION("""COMPUTED_VALUE"""),"SKPT LELANG")</f>
        <v>SKPT LELANG</v>
      </c>
      <c r="H9298" s="42">
        <f t="shared" si="1"/>
        <v>3342</v>
      </c>
    </row>
    <row r="9299" ht="22.5" customHeight="1">
      <c r="B9299" s="42" t="str">
        <f>IFERROR(__xludf.DUMMYFUNCTION("""COMPUTED_VALUE"""),"K/14/141125/1")</f>
        <v>K/14/141125/1</v>
      </c>
      <c r="C9299" s="42" t="str">
        <f>IFERROR(__xludf.DUMMYFUNCTION("""COMPUTED_VALUE"""),"B. 44/PENGAJARAN")</f>
        <v>B. 44/PENGAJARAN</v>
      </c>
      <c r="D9299" s="42"/>
      <c r="E9299" s="42"/>
      <c r="F9299" s="48" t="str">
        <f>IFERROR(__xludf.DUMMYFUNCTION("""COMPUTED_VALUE"""),"")</f>
        <v/>
      </c>
      <c r="G9299" s="42" t="str">
        <f>IFERROR(__xludf.DUMMYFUNCTION("""COMPUTED_VALUE"""),"SKPT INFORMASI")</f>
        <v>SKPT INFORMASI</v>
      </c>
      <c r="H9299" s="42">
        <f t="shared" si="1"/>
        <v>3342</v>
      </c>
    </row>
    <row r="9300" ht="22.5" customHeight="1">
      <c r="B9300" s="42" t="str">
        <f>IFERROR(__xludf.DUMMYFUNCTION("""COMPUTED_VALUE"""),"K/15/141125/2")</f>
        <v>K/15/141125/2</v>
      </c>
      <c r="C9300" s="42" t="str">
        <f>IFERROR(__xludf.DUMMYFUNCTION("""COMPUTED_VALUE"""),"B. 43/PENGAJARAN")</f>
        <v>B. 43/PENGAJARAN</v>
      </c>
      <c r="D9300" s="42"/>
      <c r="E9300" s="42"/>
      <c r="F9300" s="48" t="str">
        <f>IFERROR(__xludf.DUMMYFUNCTION("""COMPUTED_VALUE"""),"")</f>
        <v/>
      </c>
      <c r="G9300" s="42" t="str">
        <f>IFERROR(__xludf.DUMMYFUNCTION("""COMPUTED_VALUE"""),"SKPT INFORMASI")</f>
        <v>SKPT INFORMASI</v>
      </c>
      <c r="H9300" s="42">
        <f t="shared" si="1"/>
        <v>3342</v>
      </c>
    </row>
    <row r="9301" ht="22.5" customHeight="1">
      <c r="B9301" s="42" t="str">
        <f>IFERROR(__xludf.DUMMYFUNCTION("""COMPUTED_VALUE"""),"K/16/141125/3")</f>
        <v>K/16/141125/3</v>
      </c>
      <c r="C9301" s="42" t="str">
        <f>IFERROR(__xludf.DUMMYFUNCTION("""COMPUTED_VALUE"""),"B. 38/PENGAJARAN")</f>
        <v>B. 38/PENGAJARAN</v>
      </c>
      <c r="D9301" s="42"/>
      <c r="E9301" s="42"/>
      <c r="F9301" s="48" t="str">
        <f>IFERROR(__xludf.DUMMYFUNCTION("""COMPUTED_VALUE"""),"")</f>
        <v/>
      </c>
      <c r="G9301" s="42" t="str">
        <f>IFERROR(__xludf.DUMMYFUNCTION("""COMPUTED_VALUE"""),"SKPT INFORMASI")</f>
        <v>SKPT INFORMASI</v>
      </c>
      <c r="H9301" s="42">
        <f t="shared" si="1"/>
        <v>3342</v>
      </c>
    </row>
    <row r="9302" ht="22.5" customHeight="1">
      <c r="B9302" s="42" t="str">
        <f>IFERROR(__xludf.DUMMYFUNCTION("""COMPUTED_VALUE"""),"K/17/141125/4")</f>
        <v>K/17/141125/4</v>
      </c>
      <c r="C9302" s="42" t="str">
        <f>IFERROR(__xludf.DUMMYFUNCTION("""COMPUTED_VALUE"""),"B. 37/PENGAJARAN")</f>
        <v>B. 37/PENGAJARAN</v>
      </c>
      <c r="D9302" s="42"/>
      <c r="E9302" s="42"/>
      <c r="F9302" s="48" t="str">
        <f>IFERROR(__xludf.DUMMYFUNCTION("""COMPUTED_VALUE"""),"")</f>
        <v/>
      </c>
      <c r="G9302" s="42" t="str">
        <f>IFERROR(__xludf.DUMMYFUNCTION("""COMPUTED_VALUE"""),"SKPT LELANG")</f>
        <v>SKPT LELANG</v>
      </c>
      <c r="H9302" s="42">
        <f t="shared" si="1"/>
        <v>3342</v>
      </c>
    </row>
    <row r="9303" ht="22.5" customHeight="1">
      <c r="B9303" s="42" t="str">
        <f>IFERROR(__xludf.DUMMYFUNCTION("""COMPUTED_VALUE"""),"ABDNCCSU")</f>
        <v>ABDNCCSU</v>
      </c>
      <c r="C9303" s="42" t="str">
        <f>IFERROR(__xludf.DUMMYFUNCTION("""COMPUTED_VALUE"""),"M. 19816/sukarame baru")</f>
        <v>M. 19816/sukarame baru</v>
      </c>
      <c r="D9303" s="42"/>
      <c r="E9303" s="42"/>
      <c r="F9303" s="48" t="str">
        <f>IFERROR(__xludf.DUMMYFUNCTION("""COMPUTED_VALUE"""),"")</f>
        <v/>
      </c>
      <c r="G9303" s="42" t="str">
        <f>IFERROR(__xludf.DUMMYFUNCTION("""COMPUTED_VALUE"""),"Bn jual beli")</f>
        <v>Bn jual beli</v>
      </c>
      <c r="H9303" s="42">
        <f t="shared" si="1"/>
        <v>3342</v>
      </c>
    </row>
    <row r="9304" ht="22.5" customHeight="1">
      <c r="B9304" s="42" t="str">
        <f>IFERROR(__xludf.DUMMYFUNCTION("""COMPUTED_VALUE"""),"ABVZKZFY")</f>
        <v>ABVZKZFY</v>
      </c>
      <c r="C9304" s="42" t="str">
        <f>IFERROR(__xludf.DUMMYFUNCTION("""COMPUTED_VALUE"""),"M. 19817/sukarame baru")</f>
        <v>M. 19817/sukarame baru</v>
      </c>
      <c r="D9304" s="42"/>
      <c r="E9304" s="42"/>
      <c r="F9304" s="48" t="str">
        <f>IFERROR(__xludf.DUMMYFUNCTION("""COMPUTED_VALUE"""),"")</f>
        <v/>
      </c>
      <c r="G9304" s="42" t="str">
        <f>IFERROR(__xludf.DUMMYFUNCTION("""COMPUTED_VALUE"""),"Bn jual beli")</f>
        <v>Bn jual beli</v>
      </c>
      <c r="H9304" s="42">
        <f t="shared" si="1"/>
        <v>3342</v>
      </c>
    </row>
    <row r="9305" ht="22.5" customHeight="1">
      <c r="B9305" s="42" t="str">
        <f>IFERROR(__xludf.DUMMYFUNCTION("""COMPUTED_VALUE"""),"ABBVZANT/AB062")</f>
        <v>ABBVZANT/AB062</v>
      </c>
      <c r="C9305" s="42" t="str">
        <f>IFERROR(__xludf.DUMMYFUNCTION("""COMPUTED_VALUE"""),"Shm. 2409/Sukarame")</f>
        <v>Shm. 2409/Sukarame</v>
      </c>
      <c r="D9305" s="42"/>
      <c r="E9305" s="42"/>
      <c r="F9305" s="48" t="str">
        <f>IFERROR(__xludf.DUMMYFUNCTION("""COMPUTED_VALUE"""),"")</f>
        <v/>
      </c>
      <c r="G9305" s="42" t="str">
        <f>IFERROR(__xludf.DUMMYFUNCTION("""COMPUTED_VALUE"""),"Pembaruan Hak")</f>
        <v>Pembaruan Hak</v>
      </c>
      <c r="H9305" s="42">
        <f t="shared" si="1"/>
        <v>3342</v>
      </c>
    </row>
    <row r="9306" ht="22.5" customHeight="1">
      <c r="B9306" s="42" t="str">
        <f>IFERROR(__xludf.DUMMYFUNCTION("""COMPUTED_VALUE"""),"ABRDDRVM/AB044")</f>
        <v>ABRDDRVM/AB044</v>
      </c>
      <c r="C9306" s="42" t="str">
        <f>IFERROR(__xludf.DUMMYFUNCTION("""COMPUTED_VALUE""")," M. 4527/Tanjung Seneng")</f>
        <v> M. 4527/Tanjung Seneng</v>
      </c>
      <c r="D9306" s="42"/>
      <c r="E9306" s="42"/>
      <c r="F9306" s="48" t="str">
        <f>IFERROR(__xludf.DUMMYFUNCTION("""COMPUTED_VALUE"""),"")</f>
        <v/>
      </c>
      <c r="G9306" s="42" t="str">
        <f>IFERROR(__xludf.DUMMYFUNCTION("""COMPUTED_VALUE"""),"Bn jual beli")</f>
        <v>Bn jual beli</v>
      </c>
      <c r="H9306" s="42">
        <f t="shared" si="1"/>
        <v>3342</v>
      </c>
    </row>
    <row r="9307" ht="22.5" customHeight="1">
      <c r="B9307" s="42" t="str">
        <f>IFERROR(__xludf.DUMMYFUNCTION("""COMPUTED_VALUE"""),"ABUJBGZS")</f>
        <v>ABUJBGZS</v>
      </c>
      <c r="C9307" s="42" t="str">
        <f>IFERROR(__xludf.DUMMYFUNCTION("""COMPUTED_VALUE"""),"08.01.000023105.0")</f>
        <v>08.01.000023105.0</v>
      </c>
      <c r="D9307" s="42"/>
      <c r="E9307" s="42"/>
      <c r="F9307" s="48" t="str">
        <f>IFERROR(__xludf.DUMMYFUNCTION("""COMPUTED_VALUE"""),"")</f>
        <v/>
      </c>
      <c r="G9307" s="42" t="str">
        <f>IFERROR(__xludf.DUMMYFUNCTION("""COMPUTED_VALUE"""),"Peralihan hak")</f>
        <v>Peralihan hak</v>
      </c>
      <c r="H9307" s="42">
        <f t="shared" si="1"/>
        <v>3342</v>
      </c>
    </row>
    <row r="9308" ht="22.5" customHeight="1">
      <c r="B9308" s="42" t="str">
        <f>IFERROR(__xludf.DUMMYFUNCTION("""COMPUTED_VALUE"""),"ABDQFYOV/AB094")</f>
        <v>ABDQFYOV/AB094</v>
      </c>
      <c r="C9308" s="42" t="str">
        <f>IFERROR(__xludf.DUMMYFUNCTION("""COMPUTED_VALUE"""),"B. NIBEL 11569/Nusantara Permai")</f>
        <v>B. NIBEL 11569/Nusantara Permai</v>
      </c>
      <c r="D9308" s="42"/>
      <c r="E9308" s="42"/>
      <c r="F9308" s="48" t="str">
        <f>IFERROR(__xludf.DUMMYFUNCTION("""COMPUTED_VALUE"""),"")</f>
        <v/>
      </c>
      <c r="G9308" s="42" t="str">
        <f>IFERROR(__xludf.DUMMYFUNCTION("""COMPUTED_VALUE"""),"Peningkatan hak")</f>
        <v>Peningkatan hak</v>
      </c>
      <c r="H9308" s="42">
        <f t="shared" si="1"/>
        <v>3342</v>
      </c>
    </row>
    <row r="9309" ht="22.5" customHeight="1">
      <c r="B9309" s="42" t="str">
        <f>IFERROR(__xludf.DUMMYFUNCTION("""COMPUTED_VALUE"""),"L/19/141125/1")</f>
        <v>L/19/141125/1</v>
      </c>
      <c r="C9309" s="42" t="str">
        <f>IFERROR(__xludf.DUMMYFUNCTION("""COMPUTED_VALUE"""),"M. 5845/GUNUNG SULAH")</f>
        <v>M. 5845/GUNUNG SULAH</v>
      </c>
      <c r="D9309" s="42"/>
      <c r="E9309" s="42"/>
      <c r="F9309" s="48" t="str">
        <f>IFERROR(__xludf.DUMMYFUNCTION("""COMPUTED_VALUE"""),"")</f>
        <v/>
      </c>
      <c r="G9309" s="42" t="str">
        <f>IFERROR(__xludf.DUMMYFUNCTION("""COMPUTED_VALUE"""),"SERTIPIKAT HILANG")</f>
        <v>SERTIPIKAT HILANG</v>
      </c>
      <c r="H9309" s="42">
        <f t="shared" si="1"/>
        <v>3342</v>
      </c>
    </row>
    <row r="9310" ht="22.5" customHeight="1">
      <c r="B9310" s="42" t="str">
        <f>IFERROR(__xludf.DUMMYFUNCTION("""COMPUTED_VALUE"""),"ABUKTIGH")</f>
        <v>ABUKTIGH</v>
      </c>
      <c r="C9310" s="42" t="str">
        <f>IFERROR(__xludf.DUMMYFUNCTION("""COMPUTED_VALUE"""),"m 25524/ way kandis")</f>
        <v>m 25524/ way kandis</v>
      </c>
      <c r="D9310" s="42"/>
      <c r="E9310" s="42"/>
      <c r="F9310" s="48" t="str">
        <f>IFERROR(__xludf.DUMMYFUNCTION("""COMPUTED_VALUE"""),"")</f>
        <v/>
      </c>
      <c r="G9310" s="42" t="str">
        <f>IFERROR(__xludf.DUMMYFUNCTION("""COMPUTED_VALUE"""),"Peralihan Hak jual beli")</f>
        <v>Peralihan Hak jual beli</v>
      </c>
      <c r="H9310" s="42">
        <f t="shared" si="1"/>
        <v>3342</v>
      </c>
    </row>
    <row r="9311" ht="22.5" customHeight="1">
      <c r="B9311" s="42" t="str">
        <f>IFERROR(__xludf.DUMMYFUNCTION("""COMPUTED_VALUE"""),"ABQBNUMB")</f>
        <v>ABQBNUMB</v>
      </c>
      <c r="C9311" s="42" t="str">
        <f>IFERROR(__xludf.DUMMYFUNCTION("""COMPUTED_VALUE"""),"m 991/ Way halim permai")</f>
        <v>m 991/ Way halim permai</v>
      </c>
      <c r="D9311" s="42"/>
      <c r="E9311" s="42"/>
      <c r="F9311" s="48" t="str">
        <f>IFERROR(__xludf.DUMMYFUNCTION("""COMPUTED_VALUE"""),"")</f>
        <v/>
      </c>
      <c r="G9311" s="42" t="str">
        <f>IFERROR(__xludf.DUMMYFUNCTION("""COMPUTED_VALUE"""),"bn waris")</f>
        <v>bn waris</v>
      </c>
      <c r="H9311" s="42">
        <f t="shared" si="1"/>
        <v>3342</v>
      </c>
    </row>
    <row r="9312" ht="22.5" customHeight="1">
      <c r="B9312" s="42" t="str">
        <f>IFERROR(__xludf.DUMMYFUNCTION("""COMPUTED_VALUE"""),"ABXUVPLY")</f>
        <v>ABXUVPLY</v>
      </c>
      <c r="C9312" s="42" t="str">
        <f>IFERROR(__xludf.DUMMYFUNCTION("""COMPUTED_VALUE"""),"m 2022/ kedaung")</f>
        <v>m 2022/ kedaung</v>
      </c>
      <c r="D9312" s="42"/>
      <c r="E9312" s="42"/>
      <c r="F9312" s="48" t="str">
        <f>IFERROR(__xludf.DUMMYFUNCTION("""COMPUTED_VALUE"""),"")</f>
        <v/>
      </c>
      <c r="G9312" s="42" t="str">
        <f>IFERROR(__xludf.DUMMYFUNCTION("""COMPUTED_VALUE"""),"Peralihan Hak")</f>
        <v>Peralihan Hak</v>
      </c>
      <c r="H9312" s="42">
        <f t="shared" si="1"/>
        <v>3342</v>
      </c>
    </row>
    <row r="9313" ht="22.5" customHeight="1">
      <c r="B9313" s="42" t="str">
        <f>IFERROR(__xludf.DUMMYFUNCTION("""COMPUTED_VALUE"""),"L/20/141125/1")</f>
        <v>L/20/141125/1</v>
      </c>
      <c r="C9313" s="42" t="str">
        <f>IFERROR(__xludf.DUMMYFUNCTION("""COMPUTED_VALUE"""),"B. 41/GEDONG AIR")</f>
        <v>B. 41/GEDONG AIR</v>
      </c>
      <c r="D9313" s="42"/>
      <c r="E9313" s="42"/>
      <c r="F9313" s="48" t="str">
        <f>IFERROR(__xludf.DUMMYFUNCTION("""COMPUTED_VALUE"""),"")</f>
        <v/>
      </c>
      <c r="G9313" s="42" t="str">
        <f>IFERROR(__xludf.DUMMYFUNCTION("""COMPUTED_VALUE"""),"PTPGT HGB MATI")</f>
        <v>PTPGT HGB MATI</v>
      </c>
      <c r="H9313" s="42">
        <f t="shared" si="1"/>
        <v>3342</v>
      </c>
    </row>
    <row r="9314" ht="22.5" customHeight="1">
      <c r="B9314" s="42" t="str">
        <f>IFERROR(__xludf.DUMMYFUNCTION("""COMPUTED_VALUE"""),"ABKJQHEU/AB094")</f>
        <v>ABKJQHEU/AB094</v>
      </c>
      <c r="C9314" s="42" t="str">
        <f>IFERROR(__xludf.DUMMYFUNCTION("""COMPUTED_VALUE"""),"B. NIBEL 11859/Nusantara Permai")</f>
        <v>B. NIBEL 11859/Nusantara Permai</v>
      </c>
      <c r="D9314" s="42"/>
      <c r="E9314" s="42"/>
      <c r="F9314" s="48" t="str">
        <f>IFERROR(__xludf.DUMMYFUNCTION("""COMPUTED_VALUE"""),"")</f>
        <v/>
      </c>
      <c r="G9314" s="42" t="str">
        <f>IFERROR(__xludf.DUMMYFUNCTION("""COMPUTED_VALUE"""),"Peningkatan hak")</f>
        <v>Peningkatan hak</v>
      </c>
      <c r="H9314" s="42">
        <f t="shared" si="1"/>
        <v>3342</v>
      </c>
    </row>
    <row r="9315" ht="22.5" customHeight="1">
      <c r="B9315" s="42" t="str">
        <f>IFERROR(__xludf.DUMMYFUNCTION("""COMPUTED_VALUE"""),"L/21/141125/1")</f>
        <v>L/21/141125/1</v>
      </c>
      <c r="C9315" s="42" t="str">
        <f>IFERROR(__xludf.DUMMYFUNCTION("""COMPUTED_VALUE"""),"M NIB. 26267/SUKARAME BARU")</f>
        <v>M NIB. 26267/SUKARAME BARU</v>
      </c>
      <c r="D9315" s="42"/>
      <c r="E9315" s="42"/>
      <c r="F9315" s="48" t="str">
        <f>IFERROR(__xludf.DUMMYFUNCTION("""COMPUTED_VALUE"""),"")</f>
        <v/>
      </c>
      <c r="G9315" s="42" t="str">
        <f>IFERROR(__xludf.DUMMYFUNCTION("""COMPUTED_VALUE"""),"BN LELANG")</f>
        <v>BN LELANG</v>
      </c>
      <c r="H9315" s="42">
        <f t="shared" si="1"/>
        <v>3342</v>
      </c>
    </row>
    <row r="9316" ht="22.5" customHeight="1">
      <c r="B9316" s="42" t="str">
        <f>IFERROR(__xludf.DUMMYFUNCTION("""COMPUTED_VALUE"""),"ABEOKEUK/AB094")</f>
        <v>ABEOKEUK/AB094</v>
      </c>
      <c r="C9316" s="42" t="str">
        <f>IFERROR(__xludf.DUMMYFUNCTION("""COMPUTED_VALUE"""),"B. NIBEL 10367/Nusantara Permai")</f>
        <v>B. NIBEL 10367/Nusantara Permai</v>
      </c>
      <c r="D9316" s="42"/>
      <c r="E9316" s="42"/>
      <c r="F9316" s="48" t="str">
        <f>IFERROR(__xludf.DUMMYFUNCTION("""COMPUTED_VALUE"""),"")</f>
        <v/>
      </c>
      <c r="G9316" s="42" t="str">
        <f>IFERROR(__xludf.DUMMYFUNCTION("""COMPUTED_VALUE"""),"Peningkatan hak")</f>
        <v>Peningkatan hak</v>
      </c>
      <c r="H9316" s="42">
        <f t="shared" si="1"/>
        <v>3342</v>
      </c>
    </row>
    <row r="9317" ht="22.5" customHeight="1">
      <c r="B9317" s="42" t="str">
        <f>IFERROR(__xludf.DUMMYFUNCTION("""COMPUTED_VALUE"""),"L/22/141125/1")</f>
        <v>L/22/141125/1</v>
      </c>
      <c r="C9317" s="42" t="str">
        <f>IFERROR(__xludf.DUMMYFUNCTION("""COMPUTED_VALUE"""),"M. 1962/WAY KANDIS")</f>
        <v>M. 1962/WAY KANDIS</v>
      </c>
      <c r="D9317" s="42"/>
      <c r="E9317" s="42"/>
      <c r="F9317" s="48" t="str">
        <f>IFERROR(__xludf.DUMMYFUNCTION("""COMPUTED_VALUE"""),"")</f>
        <v/>
      </c>
      <c r="G9317" s="42" t="str">
        <f>IFERROR(__xludf.DUMMYFUNCTION("""COMPUTED_VALUE"""),"ROYA")</f>
        <v>ROYA</v>
      </c>
      <c r="H9317" s="42">
        <f t="shared" si="1"/>
        <v>3342</v>
      </c>
    </row>
    <row r="9318" ht="22.5" customHeight="1">
      <c r="B9318" s="42" t="str">
        <f>IFERROR(__xludf.DUMMYFUNCTION("""COMPUTED_VALUE"""),"K/18/141125/1")</f>
        <v>K/18/141125/1</v>
      </c>
      <c r="C9318" s="42" t="str">
        <f>IFERROR(__xludf.DUMMYFUNCTION("""COMPUTED_VALUE"""),"NIBEL B. 18437/LABUHAN RATU RAYA")</f>
        <v>NIBEL B. 18437/LABUHAN RATU RAYA</v>
      </c>
      <c r="D9318" s="42"/>
      <c r="E9318" s="42"/>
      <c r="F9318" s="48" t="str">
        <f>IFERROR(__xludf.DUMMYFUNCTION("""COMPUTED_VALUE"""),"")</f>
        <v/>
      </c>
      <c r="G9318" s="42" t="str">
        <f>IFERROR(__xludf.DUMMYFUNCTION("""COMPUTED_VALUE"""),"PERUBAHAN HAK")</f>
        <v>PERUBAHAN HAK</v>
      </c>
      <c r="H9318" s="42">
        <f t="shared" si="1"/>
        <v>3342</v>
      </c>
    </row>
    <row r="9319" ht="22.5" customHeight="1">
      <c r="B9319" s="42" t="str">
        <f>IFERROR(__xludf.DUMMYFUNCTION("""COMPUTED_VALUE"""),"ABFTEVKB")</f>
        <v>ABFTEVKB</v>
      </c>
      <c r="C9319" s="42" t="str">
        <f>IFERROR(__xludf.DUMMYFUNCTION("""COMPUTED_VALUE"""),"M. 2187/Labuhan Ratu")</f>
        <v>M. 2187/Labuhan Ratu</v>
      </c>
      <c r="D9319" s="42" t="str">
        <f>IFERROR(__xludf.DUMMYFUNCTION("""COMPUTED_VALUE"""),"Berry")</f>
        <v>Berry</v>
      </c>
      <c r="E9319" s="42" t="str">
        <f>IFERROR(__xludf.DUMMYFUNCTION("""COMPUTED_VALUE"""),"DISERAHKAN")</f>
        <v>DISERAHKAN</v>
      </c>
      <c r="F9319" s="48">
        <f>IFERROR(__xludf.DUMMYFUNCTION("""COMPUTED_VALUE"""),46020.65237520833)</f>
        <v>46020.65238</v>
      </c>
      <c r="G9319" s="42" t="str">
        <f>IFERROR(__xludf.DUMMYFUNCTION("""COMPUTED_VALUE"""),"Peralihan hak")</f>
        <v>Peralihan hak</v>
      </c>
      <c r="H9319" s="42">
        <f t="shared" si="1"/>
        <v>3343</v>
      </c>
    </row>
    <row r="9320" ht="22.5" customHeight="1">
      <c r="B9320" s="42" t="str">
        <f>IFERROR(__xludf.DUMMYFUNCTION("""COMPUTED_VALUE"""),"ABJMVURQ/AB08")</f>
        <v>ABJMVURQ/AB08</v>
      </c>
      <c r="C9320" s="42" t="str">
        <f>IFERROR(__xludf.DUMMYFUNCTION("""COMPUTED_VALUE"""),"M.05752/TANJUNG SENANG")</f>
        <v>M.05752/TANJUNG SENANG</v>
      </c>
      <c r="D9320" s="42"/>
      <c r="E9320" s="42"/>
      <c r="F9320" s="48" t="str">
        <f>IFERROR(__xludf.DUMMYFUNCTION("""COMPUTED_VALUE"""),"")</f>
        <v/>
      </c>
      <c r="G9320" s="42" t="str">
        <f>IFERROR(__xludf.DUMMYFUNCTION("""COMPUTED_VALUE"""),"BALIK NAMA")</f>
        <v>BALIK NAMA</v>
      </c>
      <c r="H9320" s="42">
        <f t="shared" si="1"/>
        <v>3343</v>
      </c>
    </row>
    <row r="9321" ht="22.5" customHeight="1">
      <c r="B9321" s="42" t="str">
        <f>IFERROR(__xludf.DUMMYFUNCTION("""COMPUTED_VALUE"""),"K/1/171125/1")</f>
        <v>K/1/171125/1</v>
      </c>
      <c r="C9321" s="42" t="str">
        <f>IFERROR(__xludf.DUMMYFUNCTION("""COMPUTED_VALUE"""),"M. 7060/TANJUNG SENANG")</f>
        <v>M. 7060/TANJUNG SENANG</v>
      </c>
      <c r="D9321" s="42"/>
      <c r="E9321" s="42"/>
      <c r="F9321" s="48" t="str">
        <f>IFERROR(__xludf.DUMMYFUNCTION("""COMPUTED_VALUE"""),"")</f>
        <v/>
      </c>
      <c r="G9321" s="42" t="str">
        <f>IFERROR(__xludf.DUMMYFUNCTION("""COMPUTED_VALUE"""),"PTPGT")</f>
        <v>PTPGT</v>
      </c>
      <c r="H9321" s="42">
        <f t="shared" si="1"/>
        <v>3343</v>
      </c>
    </row>
    <row r="9322" ht="22.5" customHeight="1">
      <c r="B9322" s="42" t="str">
        <f>IFERROR(__xludf.DUMMYFUNCTION("""COMPUTED_VALUE"""),"K/2/171125/1")</f>
        <v>K/2/171125/1</v>
      </c>
      <c r="C9322" s="42" t="str">
        <f>IFERROR(__xludf.DUMMYFUNCTION("""COMPUTED_VALUE"""),"PBT. 145/2025")</f>
        <v>PBT. 145/2025</v>
      </c>
      <c r="D9322" s="42"/>
      <c r="E9322" s="42"/>
      <c r="F9322" s="48" t="str">
        <f>IFERROR(__xludf.DUMMYFUNCTION("""COMPUTED_VALUE"""),"")</f>
        <v/>
      </c>
      <c r="G9322" s="42" t="str">
        <f>IFERROR(__xludf.DUMMYFUNCTION("""COMPUTED_VALUE"""),"PTPGT TANAH MENTAH")</f>
        <v>PTPGT TANAH MENTAH</v>
      </c>
      <c r="H9322" s="42">
        <f t="shared" si="1"/>
        <v>3343</v>
      </c>
    </row>
    <row r="9323" ht="22.5" customHeight="1">
      <c r="B9323" s="42" t="str">
        <f>IFERROR(__xludf.DUMMYFUNCTION("""COMPUTED_VALUE"""),"ABVDANRN/AB102")</f>
        <v>ABVDANRN/AB102</v>
      </c>
      <c r="C9323" s="42" t="str">
        <f>IFERROR(__xludf.DUMMYFUNCTION("""COMPUTED_VALUE"""),"Shm 50/Kupang Teba")</f>
        <v>Shm 50/Kupang Teba</v>
      </c>
      <c r="D9323" s="42"/>
      <c r="E9323" s="42"/>
      <c r="F9323" s="48" t="str">
        <f>IFERROR(__xludf.DUMMYFUNCTION("""COMPUTED_VALUE"""),"")</f>
        <v/>
      </c>
      <c r="G9323" s="42" t="str">
        <f>IFERROR(__xludf.DUMMYFUNCTION("""COMPUTED_VALUE"""),"Turun waris")</f>
        <v>Turun waris</v>
      </c>
      <c r="H9323" s="42">
        <f t="shared" si="1"/>
        <v>3343</v>
      </c>
    </row>
    <row r="9324" ht="22.5" customHeight="1">
      <c r="B9324" s="42" t="str">
        <f>IFERROR(__xludf.DUMMYFUNCTION("""COMPUTED_VALUE"""),"K/4/171125/1")</f>
        <v>K/4/171125/1</v>
      </c>
      <c r="C9324" s="42" t="str">
        <f>IFERROR(__xludf.DUMMYFUNCTION("""COMPUTED_VALUE"""),"SUMBER AGUNG")</f>
        <v>SUMBER AGUNG</v>
      </c>
      <c r="D9324" s="42"/>
      <c r="E9324" s="42"/>
      <c r="F9324" s="48" t="str">
        <f>IFERROR(__xludf.DUMMYFUNCTION("""COMPUTED_VALUE"""),"")</f>
        <v/>
      </c>
      <c r="G9324" s="42" t="str">
        <f>IFERROR(__xludf.DUMMYFUNCTION("""COMPUTED_VALUE"""),"PENGUKURAN TANAH MENTAH")</f>
        <v>PENGUKURAN TANAH MENTAH</v>
      </c>
      <c r="H9324" s="42">
        <f t="shared" si="1"/>
        <v>3343</v>
      </c>
    </row>
    <row r="9325" ht="22.5" customHeight="1">
      <c r="B9325" s="42" t="str">
        <f>IFERROR(__xludf.DUMMYFUNCTION("""COMPUTED_VALUE"""),"K/5/171125/1")</f>
        <v>K/5/171125/1</v>
      </c>
      <c r="C9325" s="42" t="str">
        <f>IFERROR(__xludf.DUMMYFUNCTION("""COMPUTED_VALUE"""),"NIBEL M. 27084/SUKADANA HAM")</f>
        <v>NIBEL M. 27084/SUKADANA HAM</v>
      </c>
      <c r="D9325" s="42"/>
      <c r="E9325" s="42"/>
      <c r="F9325" s="48" t="str">
        <f>IFERROR(__xludf.DUMMYFUNCTION("""COMPUTED_VALUE"""),"")</f>
        <v/>
      </c>
      <c r="G9325" s="42" t="str">
        <f>IFERROR(__xludf.DUMMYFUNCTION("""COMPUTED_VALUE"""),"BN LELANG")</f>
        <v>BN LELANG</v>
      </c>
      <c r="H9325" s="42">
        <f t="shared" si="1"/>
        <v>3343</v>
      </c>
    </row>
    <row r="9326" ht="22.5" customHeight="1">
      <c r="B9326" s="42" t="str">
        <f>IFERROR(__xludf.DUMMYFUNCTION("""COMPUTED_VALUE"""),"ABDIAIVM")</f>
        <v>ABDIAIVM</v>
      </c>
      <c r="C9326" s="42" t="str">
        <f>IFERROR(__xludf.DUMMYFUNCTION("""COMPUTED_VALUE"""),"Nibel M.18492/Sukarame Baru")</f>
        <v>Nibel M.18492/Sukarame Baru</v>
      </c>
      <c r="D9326" s="42"/>
      <c r="E9326" s="42"/>
      <c r="F9326" s="48" t="str">
        <f>IFERROR(__xludf.DUMMYFUNCTION("""COMPUTED_VALUE"""),"")</f>
        <v/>
      </c>
      <c r="G9326" s="42" t="str">
        <f>IFERROR(__xludf.DUMMYFUNCTION("""COMPUTED_VALUE"""),"Balik nama aphb")</f>
        <v>Balik nama aphb</v>
      </c>
      <c r="H9326" s="42">
        <f t="shared" si="1"/>
        <v>3343</v>
      </c>
    </row>
    <row r="9327" ht="22.5" customHeight="1">
      <c r="B9327" s="42" t="str">
        <f>IFERROR(__xludf.DUMMYFUNCTION("""COMPUTED_VALUE"""),"ABQFRNSL")</f>
        <v>ABQFRNSL</v>
      </c>
      <c r="C9327" s="42" t="str">
        <f>IFERROR(__xludf.DUMMYFUNCTION("""COMPUTED_VALUE"""),"nibel m.23354/Sukarame Baru")</f>
        <v>nibel m.23354/Sukarame Baru</v>
      </c>
      <c r="D9327" s="42"/>
      <c r="E9327" s="42"/>
      <c r="F9327" s="48" t="str">
        <f>IFERROR(__xludf.DUMMYFUNCTION("""COMPUTED_VALUE"""),"")</f>
        <v/>
      </c>
      <c r="G9327" s="42" t="str">
        <f>IFERROR(__xludf.DUMMYFUNCTION("""COMPUTED_VALUE"""),"Balik nama jula beli")</f>
        <v>Balik nama jula beli</v>
      </c>
      <c r="H9327" s="42">
        <f t="shared" si="1"/>
        <v>3343</v>
      </c>
    </row>
    <row r="9328" ht="22.5" customHeight="1">
      <c r="B9328" s="42" t="str">
        <f>IFERROR(__xludf.DUMMYFUNCTION("""COMPUTED_VALUE"""),"AB029/ABMXBHQD")</f>
        <v>AB029/ABMXBHQD</v>
      </c>
      <c r="C9328" s="42" t="str">
        <f>IFERROR(__xludf.DUMMYFUNCTION("""COMPUTED_VALUE"""),"Nible M.19136/Gunung Agung")</f>
        <v>Nible M.19136/Gunung Agung</v>
      </c>
      <c r="D9328" s="42"/>
      <c r="E9328" s="42"/>
      <c r="F9328" s="48" t="str">
        <f>IFERROR(__xludf.DUMMYFUNCTION("""COMPUTED_VALUE"""),"")</f>
        <v/>
      </c>
      <c r="G9328" s="42" t="str">
        <f>IFERROR(__xludf.DUMMYFUNCTION("""COMPUTED_VALUE"""),"Balik Nama")</f>
        <v>Balik Nama</v>
      </c>
      <c r="H9328" s="42">
        <f t="shared" si="1"/>
        <v>3343</v>
      </c>
    </row>
    <row r="9329" ht="22.5" customHeight="1">
      <c r="B9329" s="42" t="str">
        <f>IFERROR(__xludf.DUMMYFUNCTION("""COMPUTED_VALUE"""),"AB029/ABUHFWJW")</f>
        <v>AB029/ABUHFWJW</v>
      </c>
      <c r="C9329" s="42" t="str">
        <f>IFERROR(__xludf.DUMMYFUNCTION("""COMPUTED_VALUE"""),"M.1338/Tanjung Senang")</f>
        <v>M.1338/Tanjung Senang</v>
      </c>
      <c r="D9329" s="42"/>
      <c r="E9329" s="42"/>
      <c r="F9329" s="48" t="str">
        <f>IFERROR(__xludf.DUMMYFUNCTION("""COMPUTED_VALUE"""),"")</f>
        <v/>
      </c>
      <c r="G9329" s="42" t="str">
        <f>IFERROR(__xludf.DUMMYFUNCTION("""COMPUTED_VALUE"""),"Balik Nama")</f>
        <v>Balik Nama</v>
      </c>
      <c r="H9329" s="42">
        <f t="shared" si="1"/>
        <v>3343</v>
      </c>
    </row>
    <row r="9330" ht="22.5" customHeight="1">
      <c r="B9330" s="42" t="str">
        <f>IFERROR(__xludf.DUMMYFUNCTION("""COMPUTED_VALUE"""),"AB029/ABQIFVOB")</f>
        <v>AB029/ABQIFVOB</v>
      </c>
      <c r="C9330" s="42" t="str">
        <f>IFERROR(__xludf.DUMMYFUNCTION("""COMPUTED_VALUE"""),"M.2827/Gunung Terang")</f>
        <v>M.2827/Gunung Terang</v>
      </c>
      <c r="D9330" s="42"/>
      <c r="E9330" s="42"/>
      <c r="F9330" s="48" t="str">
        <f>IFERROR(__xludf.DUMMYFUNCTION("""COMPUTED_VALUE"""),"")</f>
        <v/>
      </c>
      <c r="G9330" s="42" t="str">
        <f>IFERROR(__xludf.DUMMYFUNCTION("""COMPUTED_VALUE"""),"Balik Nama")</f>
        <v>Balik Nama</v>
      </c>
      <c r="H9330" s="42">
        <f t="shared" si="1"/>
        <v>3343</v>
      </c>
    </row>
    <row r="9331" ht="22.5" customHeight="1">
      <c r="B9331" s="42" t="str">
        <f>IFERROR(__xludf.DUMMYFUNCTION("""COMPUTED_VALUE"""),"L/7/171125/1")</f>
        <v>L/7/171125/1</v>
      </c>
      <c r="C9331" s="42" t="str">
        <f>IFERROR(__xludf.DUMMYFUNCTION("""COMPUTED_VALUE"""),"B NIB. 27045/BERINGIN RAYA")</f>
        <v>B NIB. 27045/BERINGIN RAYA</v>
      </c>
      <c r="D9331" s="42"/>
      <c r="E9331" s="42"/>
      <c r="F9331" s="48" t="str">
        <f>IFERROR(__xludf.DUMMYFUNCTION("""COMPUTED_VALUE"""),"")</f>
        <v/>
      </c>
      <c r="G9331" s="42" t="str">
        <f>IFERROR(__xludf.DUMMYFUNCTION("""COMPUTED_VALUE"""),"PENINGKATAN HAK")</f>
        <v>PENINGKATAN HAK</v>
      </c>
      <c r="H9331" s="42">
        <f t="shared" si="1"/>
        <v>3343</v>
      </c>
    </row>
    <row r="9332" ht="22.5" customHeight="1">
      <c r="B9332" s="42" t="str">
        <f>IFERROR(__xludf.DUMMYFUNCTION("""COMPUTED_VALUE"""),"AB032/ABWOQJLR")</f>
        <v>AB032/ABWOQJLR</v>
      </c>
      <c r="C9332" s="42" t="str">
        <f>IFERROR(__xludf.DUMMYFUNCTION("""COMPUTED_VALUE"""),"SHM 285/S.II")</f>
        <v>SHM 285/S.II</v>
      </c>
      <c r="D9332" s="42"/>
      <c r="E9332" s="42"/>
      <c r="F9332" s="48" t="str">
        <f>IFERROR(__xludf.DUMMYFUNCTION("""COMPUTED_VALUE"""),"")</f>
        <v/>
      </c>
      <c r="G9332" s="42" t="str">
        <f>IFERROR(__xludf.DUMMYFUNCTION("""COMPUTED_VALUE"""),"AJB")</f>
        <v>AJB</v>
      </c>
      <c r="H9332" s="42">
        <f t="shared" si="1"/>
        <v>3343</v>
      </c>
    </row>
    <row r="9333" ht="22.5" customHeight="1">
      <c r="B9333" s="42" t="str">
        <f>IFERROR(__xludf.DUMMYFUNCTION("""COMPUTED_VALUE"""),"K/6/171125/2")</f>
        <v>K/6/171125/2</v>
      </c>
      <c r="C9333" s="42" t="str">
        <f>IFERROR(__xludf.DUMMYFUNCTION("""COMPUTED_VALUE"""),"NIBEL M. 27181/SUKADANA HAM")</f>
        <v>NIBEL M. 27181/SUKADANA HAM</v>
      </c>
      <c r="D9333" s="42"/>
      <c r="E9333" s="42"/>
      <c r="F9333" s="48" t="str">
        <f>IFERROR(__xludf.DUMMYFUNCTION("""COMPUTED_VALUE"""),"")</f>
        <v/>
      </c>
      <c r="G9333" s="42" t="str">
        <f>IFERROR(__xludf.DUMMYFUNCTION("""COMPUTED_VALUE"""),"BN LELANG")</f>
        <v>BN LELANG</v>
      </c>
      <c r="H9333" s="42">
        <f t="shared" si="1"/>
        <v>3343</v>
      </c>
    </row>
    <row r="9334" ht="22.5" customHeight="1">
      <c r="B9334" s="42" t="str">
        <f>IFERROR(__xludf.DUMMYFUNCTION("""COMPUTED_VALUE"""),"L/8/171125/1")</f>
        <v>L/8/171125/1</v>
      </c>
      <c r="C9334" s="42" t="str">
        <f>IFERROR(__xludf.DUMMYFUNCTION("""COMPUTED_VALUE"""),"M. 470/DURIAN PAYUNG")</f>
        <v>M. 470/DURIAN PAYUNG</v>
      </c>
      <c r="D9334" s="42"/>
      <c r="E9334" s="42"/>
      <c r="F9334" s="48" t="str">
        <f>IFERROR(__xludf.DUMMYFUNCTION("""COMPUTED_VALUE"""),"")</f>
        <v/>
      </c>
      <c r="G9334" s="42" t="str">
        <f>IFERROR(__xludf.DUMMYFUNCTION("""COMPUTED_VALUE"""),"ROYA")</f>
        <v>ROYA</v>
      </c>
      <c r="H9334" s="42">
        <f t="shared" si="1"/>
        <v>3343</v>
      </c>
    </row>
    <row r="9335" ht="22.5" customHeight="1">
      <c r="B9335" s="42" t="str">
        <f>IFERROR(__xludf.DUMMYFUNCTION("""COMPUTED_VALUE"""),"L/9/171125/2")</f>
        <v>L/9/171125/2</v>
      </c>
      <c r="C9335" s="42" t="str">
        <f>IFERROR(__xludf.DUMMYFUNCTION("""COMPUTED_VALUE"""),"M. 10982/SEGALA MIDER")</f>
        <v>M. 10982/SEGALA MIDER</v>
      </c>
      <c r="D9335" s="42"/>
      <c r="E9335" s="42"/>
      <c r="F9335" s="48" t="str">
        <f>IFERROR(__xludf.DUMMYFUNCTION("""COMPUTED_VALUE"""),"")</f>
        <v/>
      </c>
      <c r="G9335" s="42" t="str">
        <f>IFERROR(__xludf.DUMMYFUNCTION("""COMPUTED_VALUE"""),"ROYA")</f>
        <v>ROYA</v>
      </c>
      <c r="H9335" s="42">
        <f t="shared" si="1"/>
        <v>3343</v>
      </c>
    </row>
    <row r="9336" ht="22.5" customHeight="1">
      <c r="B9336" s="42" t="str">
        <f>IFERROR(__xludf.DUMMYFUNCTION("""COMPUTED_VALUE"""),"K/16/171125/1")</f>
        <v>K/16/171125/1</v>
      </c>
      <c r="C9336" s="42" t="str">
        <f>IFERROR(__xludf.DUMMYFUNCTION("""COMPUTED_VALUE"""),"SK NO. 139/HM/BPN.18.71/XI/2025")</f>
        <v>SK NO. 139/HM/BPN.18.71/XI/2025</v>
      </c>
      <c r="D9336" s="42"/>
      <c r="E9336" s="42"/>
      <c r="F9336" s="48" t="str">
        <f>IFERROR(__xludf.DUMMYFUNCTION("""COMPUTED_VALUE"""),"")</f>
        <v/>
      </c>
      <c r="G9336" s="42" t="str">
        <f>IFERROR(__xludf.DUMMYFUNCTION("""COMPUTED_VALUE"""),"PENDAFTARAN SK")</f>
        <v>PENDAFTARAN SK</v>
      </c>
      <c r="H9336" s="42">
        <f t="shared" si="1"/>
        <v>3343</v>
      </c>
    </row>
    <row r="9337" ht="22.5" customHeight="1">
      <c r="B9337" s="42" t="str">
        <f>IFERROR(__xludf.DUMMYFUNCTION("""COMPUTED_VALUE"""),"L/10/171125/1")</f>
        <v>L/10/171125/1</v>
      </c>
      <c r="C9337" s="42" t="str">
        <f>IFERROR(__xludf.DUMMYFUNCTION("""COMPUTED_VALUE"""),"M. 4631/TANJUNG SENENG")</f>
        <v>M. 4631/TANJUNG SENENG</v>
      </c>
      <c r="D9337" s="42"/>
      <c r="E9337" s="42"/>
      <c r="F9337" s="48" t="str">
        <f>IFERROR(__xludf.DUMMYFUNCTION("""COMPUTED_VALUE"""),"")</f>
        <v/>
      </c>
      <c r="G9337" s="42" t="str">
        <f>IFERROR(__xludf.DUMMYFUNCTION("""COMPUTED_VALUE"""),"ROYA")</f>
        <v>ROYA</v>
      </c>
      <c r="H9337" s="42">
        <f t="shared" si="1"/>
        <v>3343</v>
      </c>
    </row>
    <row r="9338" ht="22.5" customHeight="1">
      <c r="B9338" s="42" t="str">
        <f>IFERROR(__xludf.DUMMYFUNCTION("""COMPUTED_VALUE"""),"L/11/171125/1")</f>
        <v>L/11/171125/1</v>
      </c>
      <c r="C9338" s="42" t="str">
        <f>IFERROR(__xludf.DUMMYFUNCTION("""COMPUTED_VALUE"""),"M. 8953/SUKARAME")</f>
        <v>M. 8953/SUKARAME</v>
      </c>
      <c r="D9338" s="42"/>
      <c r="E9338" s="42"/>
      <c r="F9338" s="48" t="str">
        <f>IFERROR(__xludf.DUMMYFUNCTION("""COMPUTED_VALUE"""),"")</f>
        <v/>
      </c>
      <c r="G9338" s="42" t="str">
        <f>IFERROR(__xludf.DUMMYFUNCTION("""COMPUTED_VALUE"""),"SERTIPIKAT HILANG")</f>
        <v>SERTIPIKAT HILANG</v>
      </c>
      <c r="H9338" s="42">
        <f t="shared" si="1"/>
        <v>3343</v>
      </c>
    </row>
    <row r="9339" ht="22.5" customHeight="1">
      <c r="B9339" s="42" t="str">
        <f>IFERROR(__xludf.DUMMYFUNCTION("""COMPUTED_VALUE"""),"L/12/171125/1")</f>
        <v>L/12/171125/1</v>
      </c>
      <c r="C9339" s="42" t="str">
        <f>IFERROR(__xludf.DUMMYFUNCTION("""COMPUTED_VALUE"""),"M. 1324/TANJUNG KARANG")</f>
        <v>M. 1324/TANJUNG KARANG</v>
      </c>
      <c r="D9339" s="42"/>
      <c r="E9339" s="42"/>
      <c r="F9339" s="48" t="str">
        <f>IFERROR(__xludf.DUMMYFUNCTION("""COMPUTED_VALUE"""),"")</f>
        <v/>
      </c>
      <c r="G9339" s="42" t="str">
        <f>IFERROR(__xludf.DUMMYFUNCTION("""COMPUTED_VALUE"""),"PTPGT PEMECAHAN")</f>
        <v>PTPGT PEMECAHAN</v>
      </c>
      <c r="H9339" s="42">
        <f t="shared" si="1"/>
        <v>3343</v>
      </c>
    </row>
    <row r="9340" ht="22.5" customHeight="1">
      <c r="B9340" s="42" t="str">
        <f>IFERROR(__xludf.DUMMYFUNCTION("""COMPUTED_VALUE"""),"L/13/171125/1")</f>
        <v>L/13/171125/1</v>
      </c>
      <c r="C9340" s="42" t="str">
        <f>IFERROR(__xludf.DUMMYFUNCTION("""COMPUTED_VALUE"""),"SK NO 367/HGB/BPN.18.71/XI/2025 KEL. PANJANG UTARA")</f>
        <v>SK NO 367/HGB/BPN.18.71/XI/2025 KEL. PANJANG UTARA</v>
      </c>
      <c r="D9340" s="42"/>
      <c r="E9340" s="42"/>
      <c r="F9340" s="48" t="str">
        <f>IFERROR(__xludf.DUMMYFUNCTION("""COMPUTED_VALUE"""),"")</f>
        <v/>
      </c>
      <c r="G9340" s="42" t="str">
        <f>IFERROR(__xludf.DUMMYFUNCTION("""COMPUTED_VALUE"""),"PENDAFTARAN SK")</f>
        <v>PENDAFTARAN SK</v>
      </c>
      <c r="H9340" s="42">
        <f t="shared" si="1"/>
        <v>3343</v>
      </c>
    </row>
    <row r="9341" ht="22.5" customHeight="1">
      <c r="B9341" s="42" t="str">
        <f>IFERROR(__xludf.DUMMYFUNCTION("""COMPUTED_VALUE"""),"AB063/ABIDWKVM")</f>
        <v>AB063/ABIDWKVM</v>
      </c>
      <c r="C9341" s="42" t="str">
        <f>IFERROR(__xludf.DUMMYFUNCTION("""COMPUTED_VALUE"""),"1241/perumnas way kandis")</f>
        <v>1241/perumnas way kandis</v>
      </c>
      <c r="D9341" s="42"/>
      <c r="E9341" s="42"/>
      <c r="F9341" s="48" t="str">
        <f>IFERROR(__xludf.DUMMYFUNCTION("""COMPUTED_VALUE"""),"")</f>
        <v/>
      </c>
      <c r="G9341" s="42" t="str">
        <f>IFERROR(__xludf.DUMMYFUNCTION("""COMPUTED_VALUE"""),"Jual beli")</f>
        <v>Jual beli</v>
      </c>
      <c r="H9341" s="42">
        <f t="shared" si="1"/>
        <v>3343</v>
      </c>
    </row>
    <row r="9342" ht="22.5" customHeight="1">
      <c r="B9342" s="42" t="str">
        <f>IFERROR(__xludf.DUMMYFUNCTION("""COMPUTED_VALUE"""),"ABTPRYEM/AB035")</f>
        <v>ABTPRYEM/AB035</v>
      </c>
      <c r="C9342" s="42" t="str">
        <f>IFERROR(__xludf.DUMMYFUNCTION("""COMPUTED_VALUE"""),"M NIBEL 20989/WAY KANDIS")</f>
        <v>M NIBEL 20989/WAY KANDIS</v>
      </c>
      <c r="D9342" s="42"/>
      <c r="E9342" s="42"/>
      <c r="F9342" s="48" t="str">
        <f>IFERROR(__xludf.DUMMYFUNCTION("""COMPUTED_VALUE"""),"")</f>
        <v/>
      </c>
      <c r="G9342" s="42" t="str">
        <f>IFERROR(__xludf.DUMMYFUNCTION("""COMPUTED_VALUE"""),"BN jual beli")</f>
        <v>BN jual beli</v>
      </c>
      <c r="H9342" s="42">
        <f t="shared" si="1"/>
        <v>3343</v>
      </c>
    </row>
    <row r="9343" ht="22.5" customHeight="1">
      <c r="B9343" s="42" t="str">
        <f>IFERROR(__xludf.DUMMYFUNCTION("""COMPUTED_VALUE"""),"AB037/ABHNQTUA")</f>
        <v>AB037/ABHNQTUA</v>
      </c>
      <c r="C9343" s="42" t="str">
        <f>IFERROR(__xludf.DUMMYFUNCTION("""COMPUTED_VALUE"""),"1835/K.Ti")</f>
        <v>1835/K.Ti</v>
      </c>
      <c r="D9343" s="42"/>
      <c r="E9343" s="42"/>
      <c r="F9343" s="48" t="str">
        <f>IFERROR(__xludf.DUMMYFUNCTION("""COMPUTED_VALUE"""),"")</f>
        <v/>
      </c>
      <c r="G9343" s="42" t="str">
        <f>IFERROR(__xludf.DUMMYFUNCTION("""COMPUTED_VALUE"""),"Roya")</f>
        <v>Roya</v>
      </c>
      <c r="H9343" s="42">
        <f t="shared" si="1"/>
        <v>3343</v>
      </c>
    </row>
    <row r="9344" ht="22.5" customHeight="1">
      <c r="B9344" s="42" t="str">
        <f>IFERROR(__xludf.DUMMYFUNCTION("""COMPUTED_VALUE"""),"AB037/ABNQAIRB")</f>
        <v>AB037/ABNQAIRB</v>
      </c>
      <c r="C9344" s="42" t="str">
        <f>IFERROR(__xludf.DUMMYFUNCTION("""COMPUTED_VALUE"""),"1851/Sumberejo sejahtera")</f>
        <v>1851/Sumberejo sejahtera</v>
      </c>
      <c r="D9344" s="42"/>
      <c r="E9344" s="42"/>
      <c r="F9344" s="48" t="str">
        <f>IFERROR(__xludf.DUMMYFUNCTION("""COMPUTED_VALUE"""),"")</f>
        <v/>
      </c>
      <c r="G9344" s="42" t="str">
        <f>IFERROR(__xludf.DUMMYFUNCTION("""COMPUTED_VALUE"""),"Ajb")</f>
        <v>Ajb</v>
      </c>
      <c r="H9344" s="42">
        <f t="shared" si="1"/>
        <v>3343</v>
      </c>
    </row>
    <row r="9345" ht="22.5" customHeight="1">
      <c r="B9345" s="42" t="str">
        <f>IFERROR(__xludf.DUMMYFUNCTION("""COMPUTED_VALUE"""),"L/14/171125/1")</f>
        <v>L/14/171125/1</v>
      </c>
      <c r="C9345" s="42" t="str">
        <f>IFERROR(__xludf.DUMMYFUNCTION("""COMPUTED_VALUE"""),"M. 1079/BATU PUTUK")</f>
        <v>M. 1079/BATU PUTUK</v>
      </c>
      <c r="D9345" s="42"/>
      <c r="E9345" s="42"/>
      <c r="F9345" s="48" t="str">
        <f>IFERROR(__xludf.DUMMYFUNCTION("""COMPUTED_VALUE"""),"")</f>
        <v/>
      </c>
      <c r="G9345" s="42" t="str">
        <f>IFERROR(__xludf.DUMMYFUNCTION("""COMPUTED_VALUE"""),"PENATAAN BATAS")</f>
        <v>PENATAAN BATAS</v>
      </c>
      <c r="H9345" s="42">
        <f t="shared" si="1"/>
        <v>3343</v>
      </c>
    </row>
    <row r="9346" ht="22.5" customHeight="1">
      <c r="B9346" s="42" t="str">
        <f>IFERROR(__xludf.DUMMYFUNCTION("""COMPUTED_VALUE"""),"L/15/171125/1")</f>
        <v>L/15/171125/1</v>
      </c>
      <c r="C9346" s="42" t="str">
        <f>IFERROR(__xludf.DUMMYFUNCTION("""COMPUTED_VALUE"""),"PBT NO 129/2025 KEL. RAJABASA NUNYAI")</f>
        <v>PBT NO 129/2025 KEL. RAJABASA NUNYAI</v>
      </c>
      <c r="D9346" s="42"/>
      <c r="E9346" s="42"/>
      <c r="F9346" s="48" t="str">
        <f>IFERROR(__xludf.DUMMYFUNCTION("""COMPUTED_VALUE"""),"")</f>
        <v/>
      </c>
      <c r="G9346" s="42" t="str">
        <f>IFERROR(__xludf.DUMMYFUNCTION("""COMPUTED_VALUE"""),"PERMOHONAN SK")</f>
        <v>PERMOHONAN SK</v>
      </c>
      <c r="H9346" s="42">
        <f t="shared" si="1"/>
        <v>3343</v>
      </c>
    </row>
    <row r="9347" ht="22.5" customHeight="1">
      <c r="B9347" s="42" t="str">
        <f>IFERROR(__xludf.DUMMYFUNCTION("""COMPUTED_VALUE"""),"ABWXCUOW")</f>
        <v>ABWXCUOW</v>
      </c>
      <c r="C9347" s="42" t="str">
        <f>IFERROR(__xludf.DUMMYFUNCTION("""COMPUTED_VALUE"""),"SHM Nibel M. 2247")</f>
        <v>SHM Nibel M. 2247</v>
      </c>
      <c r="D9347" s="42"/>
      <c r="E9347" s="42"/>
      <c r="F9347" s="48" t="str">
        <f>IFERROR(__xludf.DUMMYFUNCTION("""COMPUTED_VALUE"""),"")</f>
        <v/>
      </c>
      <c r="G9347" s="42" t="str">
        <f>IFERROR(__xludf.DUMMYFUNCTION("""COMPUTED_VALUE"""),"BALIK NAMA")</f>
        <v>BALIK NAMA</v>
      </c>
      <c r="H9347" s="42">
        <f t="shared" si="1"/>
        <v>3343</v>
      </c>
    </row>
    <row r="9348" ht="22.5" customHeight="1">
      <c r="B9348" s="42" t="str">
        <f>IFERROR(__xludf.DUMMYFUNCTION("""COMPUTED_VALUE"""),"ABOBCKPQ/Ab026")</f>
        <v>ABOBCKPQ/Ab026</v>
      </c>
      <c r="C9348" s="42" t="str">
        <f>IFERROR(__xludf.DUMMYFUNCTION("""COMPUTED_VALUE"""),"M Nibel 23781/Way Kandis")</f>
        <v>M Nibel 23781/Way Kandis</v>
      </c>
      <c r="D9348" s="42"/>
      <c r="E9348" s="42"/>
      <c r="F9348" s="48" t="str">
        <f>IFERROR(__xludf.DUMMYFUNCTION("""COMPUTED_VALUE"""),"")</f>
        <v/>
      </c>
      <c r="G9348" s="42" t="str">
        <f>IFERROR(__xludf.DUMMYFUNCTION("""COMPUTED_VALUE"""),"Bn jual beli")</f>
        <v>Bn jual beli</v>
      </c>
      <c r="H9348" s="42">
        <f t="shared" si="1"/>
        <v>3343</v>
      </c>
    </row>
    <row r="9349" ht="22.5" customHeight="1">
      <c r="B9349" s="42" t="str">
        <f>IFERROR(__xludf.DUMMYFUNCTION("""COMPUTED_VALUE"""),"ABTAOHNQ")</f>
        <v>ABTAOHNQ</v>
      </c>
      <c r="C9349" s="42" t="str">
        <f>IFERROR(__xludf.DUMMYFUNCTION("""COMPUTED_VALUE"""),"Nibel M.18349")</f>
        <v>Nibel M.18349</v>
      </c>
      <c r="D9349" s="42"/>
      <c r="E9349" s="42"/>
      <c r="F9349" s="48" t="str">
        <f>IFERROR(__xludf.DUMMYFUNCTION("""COMPUTED_VALUE"""),"")</f>
        <v/>
      </c>
      <c r="G9349" s="42" t="str">
        <f>IFERROR(__xludf.DUMMYFUNCTION("""COMPUTED_VALUE"""),"Balik Nama")</f>
        <v>Balik Nama</v>
      </c>
      <c r="H9349" s="42">
        <f t="shared" si="1"/>
        <v>3343</v>
      </c>
    </row>
    <row r="9350" ht="22.5" customHeight="1">
      <c r="B9350" s="42" t="str">
        <f>IFERROR(__xludf.DUMMYFUNCTION("""COMPUTED_VALUE"""),"ABWXCUOW")</f>
        <v>ABWXCUOW</v>
      </c>
      <c r="C9350" s="42" t="str">
        <f>IFERROR(__xludf.DUMMYFUNCTION("""COMPUTED_VALUE"""),"Nibel No 22470")</f>
        <v>Nibel No 22470</v>
      </c>
      <c r="D9350" s="42"/>
      <c r="E9350" s="42"/>
      <c r="F9350" s="48" t="str">
        <f>IFERROR(__xludf.DUMMYFUNCTION("""COMPUTED_VALUE"""),"")</f>
        <v/>
      </c>
      <c r="G9350" s="42" t="str">
        <f>IFERROR(__xludf.DUMMYFUNCTION("""COMPUTED_VALUE"""),"Balik Nama")</f>
        <v>Balik Nama</v>
      </c>
      <c r="H9350" s="42">
        <f t="shared" si="1"/>
        <v>3343</v>
      </c>
    </row>
    <row r="9351" ht="22.5" customHeight="1">
      <c r="B9351" s="42" t="str">
        <f>IFERROR(__xludf.DUMMYFUNCTION("""COMPUTED_VALUE"""),"ABDSANOZ/AB057")</f>
        <v>ABDSANOZ/AB057</v>
      </c>
      <c r="C9351" s="42" t="str">
        <f>IFERROR(__xludf.DUMMYFUNCTION("""COMPUTED_VALUE"""),"M. Nibel 23831/Kelurahan Sukabumi")</f>
        <v>M. Nibel 23831/Kelurahan Sukabumi</v>
      </c>
      <c r="D9351" s="42"/>
      <c r="E9351" s="42"/>
      <c r="F9351" s="48" t="str">
        <f>IFERROR(__xludf.DUMMYFUNCTION("""COMPUTED_VALUE"""),"")</f>
        <v/>
      </c>
      <c r="G9351" s="42" t="str">
        <f>IFERROR(__xludf.DUMMYFUNCTION("""COMPUTED_VALUE"""),"BN jual beli")</f>
        <v>BN jual beli</v>
      </c>
      <c r="H9351" s="42">
        <f t="shared" si="1"/>
        <v>3343</v>
      </c>
    </row>
    <row r="9352" ht="22.5" customHeight="1">
      <c r="B9352" s="42" t="str">
        <f>IFERROR(__xludf.DUMMYFUNCTION("""COMPUTED_VALUE"""),"ABSJUOYT")</f>
        <v>ABSJUOYT</v>
      </c>
      <c r="C9352" s="42" t="str">
        <f>IFERROR(__xludf.DUMMYFUNCTION("""COMPUTED_VALUE"""),"M.56/Gu.T")</f>
        <v>M.56/Gu.T</v>
      </c>
      <c r="D9352" s="42"/>
      <c r="E9352" s="42"/>
      <c r="F9352" s="48" t="str">
        <f>IFERROR(__xludf.DUMMYFUNCTION("""COMPUTED_VALUE"""),"")</f>
        <v/>
      </c>
      <c r="G9352" s="42" t="str">
        <f>IFERROR(__xludf.DUMMYFUNCTION("""COMPUTED_VALUE"""),"Ganti kecamatan")</f>
        <v>Ganti kecamatan</v>
      </c>
      <c r="H9352" s="42">
        <f t="shared" si="1"/>
        <v>3343</v>
      </c>
    </row>
    <row r="9353" ht="22.5" customHeight="1">
      <c r="B9353" s="42" t="str">
        <f>IFERROR(__xludf.DUMMYFUNCTION("""COMPUTED_VALUE"""),"L/17/171125/1")</f>
        <v>L/17/171125/1</v>
      </c>
      <c r="C9353" s="42" t="str">
        <f>IFERROR(__xludf.DUMMYFUNCTION("""COMPUTED_VALUE"""),"M. 3695/BERINGIN RAYA")</f>
        <v>M. 3695/BERINGIN RAYA</v>
      </c>
      <c r="D9353" s="42"/>
      <c r="E9353" s="42"/>
      <c r="F9353" s="48" t="str">
        <f>IFERROR(__xludf.DUMMYFUNCTION("""COMPUTED_VALUE"""),"")</f>
        <v/>
      </c>
      <c r="G9353" s="42" t="str">
        <f>IFERROR(__xludf.DUMMYFUNCTION("""COMPUTED_VALUE"""),"ROYA")</f>
        <v>ROYA</v>
      </c>
      <c r="H9353" s="42">
        <f t="shared" si="1"/>
        <v>3343</v>
      </c>
    </row>
    <row r="9354" ht="22.5" customHeight="1">
      <c r="B9354" s="42" t="str">
        <f>IFERROR(__xludf.DUMMYFUNCTION("""COMPUTED_VALUE"""),"L/18/171125/1")</f>
        <v>L/18/171125/1</v>
      </c>
      <c r="C9354" s="42" t="str">
        <f>IFERROR(__xludf.DUMMYFUNCTION("""COMPUTED_VALUE"""),"M. 1278/LANGKAPURA BARU")</f>
        <v>M. 1278/LANGKAPURA BARU</v>
      </c>
      <c r="D9354" s="42"/>
      <c r="E9354" s="42"/>
      <c r="F9354" s="48" t="str">
        <f>IFERROR(__xludf.DUMMYFUNCTION("""COMPUTED_VALUE"""),"")</f>
        <v/>
      </c>
      <c r="G9354" s="42" t="str">
        <f>IFERROR(__xludf.DUMMYFUNCTION("""COMPUTED_VALUE"""),"BN WARIS")</f>
        <v>BN WARIS</v>
      </c>
      <c r="H9354" s="42">
        <f t="shared" si="1"/>
        <v>3343</v>
      </c>
    </row>
    <row r="9355" ht="22.5" customHeight="1">
      <c r="B9355" s="42" t="str">
        <f>IFERROR(__xludf.DUMMYFUNCTION("""COMPUTED_VALUE"""),"ABIFCJYI")</f>
        <v>ABIFCJYI</v>
      </c>
      <c r="C9355" s="42" t="str">
        <f>IFERROR(__xludf.DUMMYFUNCTION("""COMPUTED_VALUE"""),"B. 497/Sukamaju")</f>
        <v>B. 497/Sukamaju</v>
      </c>
      <c r="D9355" s="42"/>
      <c r="E9355" s="42"/>
      <c r="F9355" s="48" t="str">
        <f>IFERROR(__xludf.DUMMYFUNCTION("""COMPUTED_VALUE"""),"")</f>
        <v/>
      </c>
      <c r="G9355" s="42" t="str">
        <f>IFERROR(__xludf.DUMMYFUNCTION("""COMPUTED_VALUE"""),"Ganti Kecamatan ")</f>
        <v>Ganti Kecamatan </v>
      </c>
      <c r="H9355" s="42">
        <f t="shared" si="1"/>
        <v>3343</v>
      </c>
    </row>
    <row r="9356" ht="22.5" customHeight="1">
      <c r="B9356" s="42" t="str">
        <f>IFERROR(__xludf.DUMMYFUNCTION("""COMPUTED_VALUE"""),"ABITPYHW")</f>
        <v>ABITPYHW</v>
      </c>
      <c r="C9356" s="42" t="str">
        <f>IFERROR(__xludf.DUMMYFUNCTION("""COMPUTED_VALUE"""),"M.1998/Sumberrejo Sejahtera")</f>
        <v>M.1998/Sumberrejo Sejahtera</v>
      </c>
      <c r="D9356" s="42"/>
      <c r="E9356" s="42"/>
      <c r="F9356" s="48" t="str">
        <f>IFERROR(__xludf.DUMMYFUNCTION("""COMPUTED_VALUE"""),"")</f>
        <v/>
      </c>
      <c r="G9356" s="42" t="str">
        <f>IFERROR(__xludf.DUMMYFUNCTION("""COMPUTED_VALUE"""),"Pendaftaran Peralihan Hak")</f>
        <v>Pendaftaran Peralihan Hak</v>
      </c>
      <c r="H9356" s="42">
        <f t="shared" si="1"/>
        <v>3343</v>
      </c>
    </row>
    <row r="9357" ht="22.5" customHeight="1">
      <c r="B9357" s="42" t="str">
        <f>IFERROR(__xludf.DUMMYFUNCTION("""COMPUTED_VALUE"""),"K/19/171125/1")</f>
        <v>K/19/171125/1</v>
      </c>
      <c r="C9357" s="42" t="str">
        <f>IFERROR(__xludf.DUMMYFUNCTION("""COMPUTED_VALUE"""),"WAY KANDIS")</f>
        <v>WAY KANDIS</v>
      </c>
      <c r="D9357" s="42"/>
      <c r="E9357" s="42"/>
      <c r="F9357" s="48" t="str">
        <f>IFERROR(__xludf.DUMMYFUNCTION("""COMPUTED_VALUE"""),"")</f>
        <v/>
      </c>
      <c r="G9357" s="42" t="str">
        <f>IFERROR(__xludf.DUMMYFUNCTION("""COMPUTED_VALUE"""),"PENGUKURAN TANAH MENTAH")</f>
        <v>PENGUKURAN TANAH MENTAH</v>
      </c>
      <c r="H9357" s="42">
        <f t="shared" si="1"/>
        <v>3343</v>
      </c>
    </row>
    <row r="9358" ht="22.5" customHeight="1">
      <c r="B9358" s="42" t="str">
        <f>IFERROR(__xludf.DUMMYFUNCTION("""COMPUTED_VALUE"""),"ABTMMWYZ/AB004")</f>
        <v>ABTMMWYZ/AB004</v>
      </c>
      <c r="C9358" s="42" t="str">
        <f>IFERROR(__xludf.DUMMYFUNCTION("""COMPUTED_VALUE"""),"SHGB NIBEL No. 08.01.000000626.0 / SHGB NIBEL No. 08.01.000000640.0")</f>
        <v>SHGB NIBEL No. 08.01.000000626.0 / SHGB NIBEL No. 08.01.000000640.0</v>
      </c>
      <c r="D9358" s="42"/>
      <c r="E9358" s="42"/>
      <c r="F9358" s="48" t="str">
        <f>IFERROR(__xludf.DUMMYFUNCTION("""COMPUTED_VALUE"""),"")</f>
        <v/>
      </c>
      <c r="G9358" s="42" t="str">
        <f>IFERROR(__xludf.DUMMYFUNCTION("""COMPUTED_VALUE"""),"Penggabungan SHGB")</f>
        <v>Penggabungan SHGB</v>
      </c>
      <c r="H9358" s="42">
        <f t="shared" si="1"/>
        <v>3343</v>
      </c>
    </row>
    <row r="9359" ht="22.5" customHeight="1">
      <c r="B9359" s="42" t="str">
        <f>IFERROR(__xludf.DUMMYFUNCTION("""COMPUTED_VALUE"""),"ABJTFLCX/1")</f>
        <v>ABJTFLCX/1</v>
      </c>
      <c r="C9359" s="42" t="str">
        <f>IFERROR(__xludf.DUMMYFUNCTION("""COMPUTED_VALUE"""),"M.12984/Tj.B")</f>
        <v>M.12984/Tj.B</v>
      </c>
      <c r="D9359" s="42"/>
      <c r="E9359" s="42"/>
      <c r="F9359" s="48" t="str">
        <f>IFERROR(__xludf.DUMMYFUNCTION("""COMPUTED_VALUE"""),"")</f>
        <v/>
      </c>
      <c r="G9359" s="42" t="str">
        <f>IFERROR(__xludf.DUMMYFUNCTION("""COMPUTED_VALUE"""),"Pengukuran Ulang")</f>
        <v>Pengukuran Ulang</v>
      </c>
      <c r="H9359" s="42">
        <f t="shared" si="1"/>
        <v>3343</v>
      </c>
    </row>
    <row r="9360" ht="22.5" customHeight="1">
      <c r="B9360" s="42" t="str">
        <f>IFERROR(__xludf.DUMMYFUNCTION("""COMPUTED_VALUE"""),"ABNKTRMV/AB023")</f>
        <v>ABNKTRMV/AB023</v>
      </c>
      <c r="C9360" s="42" t="str">
        <f>IFERROR(__xludf.DUMMYFUNCTION("""COMPUTED_VALUE"""),"NIbel M.07265 sukabumi")</f>
        <v>NIbel M.07265 sukabumi</v>
      </c>
      <c r="D9360" s="42"/>
      <c r="E9360" s="42"/>
      <c r="F9360" s="48" t="str">
        <f>IFERROR(__xludf.DUMMYFUNCTION("""COMPUTED_VALUE"""),"")</f>
        <v/>
      </c>
      <c r="G9360" s="42" t="str">
        <f>IFERROR(__xludf.DUMMYFUNCTION("""COMPUTED_VALUE"""),"Balik nama ajb")</f>
        <v>Balik nama ajb</v>
      </c>
      <c r="H9360" s="42">
        <f t="shared" si="1"/>
        <v>3343</v>
      </c>
    </row>
    <row r="9361" ht="22.5" customHeight="1">
      <c r="B9361" s="42" t="str">
        <f>IFERROR(__xludf.DUMMYFUNCTION("""COMPUTED_VALUE"""),"ABQDVUWK/AB023")</f>
        <v>ABQDVUWK/AB023</v>
      </c>
      <c r="C9361" s="42" t="str">
        <f>IFERROR(__xludf.DUMMYFUNCTION("""COMPUTED_VALUE"""),"M.15781 sekarame")</f>
        <v>M.15781 sekarame</v>
      </c>
      <c r="D9361" s="42"/>
      <c r="E9361" s="42"/>
      <c r="F9361" s="48" t="str">
        <f>IFERROR(__xludf.DUMMYFUNCTION("""COMPUTED_VALUE"""),"")</f>
        <v/>
      </c>
      <c r="G9361" s="42" t="str">
        <f>IFERROR(__xludf.DUMMYFUNCTION("""COMPUTED_VALUE"""),"Roya")</f>
        <v>Roya</v>
      </c>
      <c r="H9361" s="42">
        <f t="shared" si="1"/>
        <v>3343</v>
      </c>
    </row>
    <row r="9362" ht="22.5" customHeight="1">
      <c r="B9362" s="42" t="str">
        <f>IFERROR(__xludf.DUMMYFUNCTION("""COMPUTED_VALUE"""),"K/20/171125/1")</f>
        <v>K/20/171125/1</v>
      </c>
      <c r="C9362" s="42" t="str">
        <f>IFERROR(__xludf.DUMMYFUNCTION("""COMPUTED_VALUE"""),"BUMI WARAS")</f>
        <v>BUMI WARAS</v>
      </c>
      <c r="D9362" s="42"/>
      <c r="E9362" s="42"/>
      <c r="F9362" s="48" t="str">
        <f>IFERROR(__xludf.DUMMYFUNCTION("""COMPUTED_VALUE"""),"")</f>
        <v/>
      </c>
      <c r="G9362" s="42" t="str">
        <f>IFERROR(__xludf.DUMMYFUNCTION("""COMPUTED_VALUE"""),"PENGUKURAN TANAH MENTAH")</f>
        <v>PENGUKURAN TANAH MENTAH</v>
      </c>
      <c r="H9362" s="42">
        <f t="shared" si="1"/>
        <v>3343</v>
      </c>
    </row>
    <row r="9363" ht="22.5" customHeight="1">
      <c r="B9363" s="42" t="str">
        <f>IFERROR(__xludf.DUMMYFUNCTION("""COMPUTED_VALUE"""),"AB026/ABXJCHCL")</f>
        <v>AB026/ABXJCHCL</v>
      </c>
      <c r="C9363" s="42" t="str">
        <f>IFERROR(__xludf.DUMMYFUNCTION("""COMPUTED_VALUE"""),"M.12064/Sukabumi")</f>
        <v>M.12064/Sukabumi</v>
      </c>
      <c r="D9363" s="42"/>
      <c r="E9363" s="42"/>
      <c r="F9363" s="48" t="str">
        <f>IFERROR(__xludf.DUMMYFUNCTION("""COMPUTED_VALUE"""),"")</f>
        <v/>
      </c>
      <c r="G9363" s="42" t="str">
        <f>IFERROR(__xludf.DUMMYFUNCTION("""COMPUTED_VALUE"""),"roya")</f>
        <v>roya</v>
      </c>
      <c r="H9363" s="42">
        <f t="shared" si="1"/>
        <v>3343</v>
      </c>
    </row>
    <row r="9364" ht="22.5" customHeight="1">
      <c r="B9364" s="42" t="str">
        <f>IFERROR(__xludf.DUMMYFUNCTION("""COMPUTED_VALUE"""),"AB026/ABOWFLHK")</f>
        <v>AB026/ABOWFLHK</v>
      </c>
      <c r="C9364" s="42" t="str">
        <f>IFERROR(__xludf.DUMMYFUNCTION("""COMPUTED_VALUE"""),"M.1343/TanjungKarang")</f>
        <v>M.1343/TanjungKarang</v>
      </c>
      <c r="D9364" s="42"/>
      <c r="E9364" s="42"/>
      <c r="F9364" s="48" t="str">
        <f>IFERROR(__xludf.DUMMYFUNCTION("""COMPUTED_VALUE"""),"")</f>
        <v/>
      </c>
      <c r="G9364" s="42" t="str">
        <f>IFERROR(__xludf.DUMMYFUNCTION("""COMPUTED_VALUE"""),"balik nama")</f>
        <v>balik nama</v>
      </c>
      <c r="H9364" s="42">
        <f t="shared" si="1"/>
        <v>3343</v>
      </c>
    </row>
    <row r="9365" ht="22.5" customHeight="1">
      <c r="B9365" s="42" t="str">
        <f>IFERROR(__xludf.DUMMYFUNCTION("""COMPUTED_VALUE"""),"AB026/ABLOKNPD")</f>
        <v>AB026/ABLOKNPD</v>
      </c>
      <c r="C9365" s="42" t="str">
        <f>IFERROR(__xludf.DUMMYFUNCTION("""COMPUTED_VALUE"""),"08.01.000019959.0")</f>
        <v>08.01.000019959.0</v>
      </c>
      <c r="D9365" s="42"/>
      <c r="E9365" s="42"/>
      <c r="F9365" s="48" t="str">
        <f>IFERROR(__xludf.DUMMYFUNCTION("""COMPUTED_VALUE"""),"")</f>
        <v/>
      </c>
      <c r="G9365" s="42" t="str">
        <f>IFERROR(__xludf.DUMMYFUNCTION("""COMPUTED_VALUE"""),"balik nama ")</f>
        <v>balik nama </v>
      </c>
      <c r="H9365" s="42">
        <f t="shared" si="1"/>
        <v>3343</v>
      </c>
    </row>
    <row r="9366" ht="22.5" customHeight="1">
      <c r="B9366" s="42" t="str">
        <f>IFERROR(__xludf.DUMMYFUNCTION("""COMPUTED_VALUE"""),"AB026/ABLRZFSO")</f>
        <v>AB026/ABLRZFSO</v>
      </c>
      <c r="C9366" s="42" t="str">
        <f>IFERROR(__xludf.DUMMYFUNCTION("""COMPUTED_VALUE"""),"08.01.000019960.0")</f>
        <v>08.01.000019960.0</v>
      </c>
      <c r="D9366" s="42"/>
      <c r="E9366" s="42"/>
      <c r="F9366" s="48" t="str">
        <f>IFERROR(__xludf.DUMMYFUNCTION("""COMPUTED_VALUE"""),"")</f>
        <v/>
      </c>
      <c r="G9366" s="42" t="str">
        <f>IFERROR(__xludf.DUMMYFUNCTION("""COMPUTED_VALUE"""),"balik nama ")</f>
        <v>balik nama </v>
      </c>
      <c r="H9366" s="42">
        <f t="shared" si="1"/>
        <v>3343</v>
      </c>
    </row>
    <row r="9367" ht="22.5" customHeight="1">
      <c r="B9367" s="42" t="str">
        <f>IFERROR(__xludf.DUMMYFUNCTION("""COMPUTED_VALUE"""),"AB026/ABHDAYZE")</f>
        <v>AB026/ABHDAYZE</v>
      </c>
      <c r="C9367" s="42" t="str">
        <f>IFERROR(__xludf.DUMMYFUNCTION("""COMPUTED_VALUE"""),"08.01.000020110.0")</f>
        <v>08.01.000020110.0</v>
      </c>
      <c r="D9367" s="42"/>
      <c r="E9367" s="42"/>
      <c r="F9367" s="48" t="str">
        <f>IFERROR(__xludf.DUMMYFUNCTION("""COMPUTED_VALUE"""),"")</f>
        <v/>
      </c>
      <c r="G9367" s="42" t="str">
        <f>IFERROR(__xludf.DUMMYFUNCTION("""COMPUTED_VALUE"""),"balik nama ")</f>
        <v>balik nama </v>
      </c>
      <c r="H9367" s="42">
        <f t="shared" si="1"/>
        <v>3343</v>
      </c>
    </row>
    <row r="9368" ht="22.5" customHeight="1">
      <c r="B9368" s="42" t="str">
        <f>IFERROR(__xludf.DUMMYFUNCTION("""COMPUTED_VALUE"""),"ABVRALFH/AB043")</f>
        <v>ABVRALFH/AB043</v>
      </c>
      <c r="C9368" s="42" t="str">
        <f>IFERROR(__xludf.DUMMYFUNCTION("""COMPUTED_VALUE"""),"Pengukuran tanah pertama kali")</f>
        <v>Pengukuran tanah pertama kali</v>
      </c>
      <c r="D9368" s="42"/>
      <c r="E9368" s="42"/>
      <c r="F9368" s="48" t="str">
        <f>IFERROR(__xludf.DUMMYFUNCTION("""COMPUTED_VALUE"""),"")</f>
        <v/>
      </c>
      <c r="G9368" s="42" t="str">
        <f>IFERROR(__xludf.DUMMYFUNCTION("""COMPUTED_VALUE"""),"Pengukuran tanah pertama kali")</f>
        <v>Pengukuran tanah pertama kali</v>
      </c>
      <c r="H9368" s="42">
        <f t="shared" si="1"/>
        <v>3343</v>
      </c>
    </row>
    <row r="9369" ht="22.5" customHeight="1">
      <c r="B9369" s="42" t="str">
        <f>IFERROR(__xludf.DUMMYFUNCTION("""COMPUTED_VALUE"""),"AB044/ABALWGTE")</f>
        <v>AB044/ABALWGTE</v>
      </c>
      <c r="C9369" s="42" t="str">
        <f>IFERROR(__xludf.DUMMYFUNCTION("""COMPUTED_VALUE"""),"nibel 2241/ Rajabasa nyunyai")</f>
        <v>nibel 2241/ Rajabasa nyunyai</v>
      </c>
      <c r="D9369" s="42"/>
      <c r="E9369" s="42"/>
      <c r="F9369" s="48" t="str">
        <f>IFERROR(__xludf.DUMMYFUNCTION("""COMPUTED_VALUE"""),"")</f>
        <v/>
      </c>
      <c r="G9369" s="42" t="str">
        <f>IFERROR(__xludf.DUMMYFUNCTION("""COMPUTED_VALUE"""),"Balik Nama")</f>
        <v>Balik Nama</v>
      </c>
      <c r="H9369" s="42">
        <f t="shared" si="1"/>
        <v>3343</v>
      </c>
    </row>
    <row r="9370" ht="22.5" customHeight="1">
      <c r="B9370" s="42" t="str">
        <f>IFERROR(__xludf.DUMMYFUNCTION("""COMPUTED_VALUE"""),"ARGZMBV")</f>
        <v>ARGZMBV</v>
      </c>
      <c r="C9370" s="42" t="str">
        <f>IFERROR(__xludf.DUMMYFUNCTION("""COMPUTED_VALUE"""),"Nibel M 24954.0")</f>
        <v>Nibel M 24954.0</v>
      </c>
      <c r="D9370" s="42"/>
      <c r="E9370" s="42"/>
      <c r="F9370" s="48" t="str">
        <f>IFERROR(__xludf.DUMMYFUNCTION("""COMPUTED_VALUE"""),"")</f>
        <v/>
      </c>
      <c r="G9370" s="42" t="str">
        <f>IFERROR(__xludf.DUMMYFUNCTION("""COMPUTED_VALUE"""),"Jual Beli")</f>
        <v>Jual Beli</v>
      </c>
      <c r="H9370" s="42">
        <f t="shared" si="1"/>
        <v>3343</v>
      </c>
    </row>
    <row r="9371" ht="22.5" customHeight="1">
      <c r="B9371" s="42" t="str">
        <f>IFERROR(__xludf.DUMMYFUNCTION("""COMPUTED_VALUE"""),"AB020/ABZKKSLG")</f>
        <v>AB020/ABZKKSLG</v>
      </c>
      <c r="C9371" s="42" t="str">
        <f>IFERROR(__xludf.DUMMYFUNCTION("""COMPUTED_VALUE"""),"M. NIBEL 24932/Kemiling Raya")</f>
        <v>M. NIBEL 24932/Kemiling Raya</v>
      </c>
      <c r="D9371" s="42"/>
      <c r="E9371" s="42"/>
      <c r="F9371" s="48" t="str">
        <f>IFERROR(__xludf.DUMMYFUNCTION("""COMPUTED_VALUE"""),"")</f>
        <v/>
      </c>
      <c r="G9371" s="42" t="str">
        <f>IFERROR(__xludf.DUMMYFUNCTION("""COMPUTED_VALUE"""),"BN JUAL BELI")</f>
        <v>BN JUAL BELI</v>
      </c>
      <c r="H9371" s="42">
        <f t="shared" si="1"/>
        <v>3343</v>
      </c>
    </row>
    <row r="9372" ht="22.5" customHeight="1">
      <c r="B9372" s="42" t="str">
        <f>IFERROR(__xludf.DUMMYFUNCTION("""COMPUTED_VALUE"""),"ABPWLFFD/AB030")</f>
        <v>ABPWLFFD/AB030</v>
      </c>
      <c r="C9372" s="42" t="str">
        <f>IFERROR(__xludf.DUMMYFUNCTION("""COMPUTED_VALUE"""),"M.1564/LKP")</f>
        <v>M.1564/LKP</v>
      </c>
      <c r="D9372" s="42"/>
      <c r="E9372" s="42"/>
      <c r="F9372" s="48" t="str">
        <f>IFERROR(__xludf.DUMMYFUNCTION("""COMPUTED_VALUE"""),"")</f>
        <v/>
      </c>
      <c r="G9372" s="42" t="str">
        <f>IFERROR(__xludf.DUMMYFUNCTION("""COMPUTED_VALUE"""),"Peta analisis penatagunaan tanah")</f>
        <v>Peta analisis penatagunaan tanah</v>
      </c>
      <c r="H9372" s="42">
        <f t="shared" si="1"/>
        <v>3343</v>
      </c>
    </row>
    <row r="9373" ht="22.5" customHeight="1">
      <c r="B9373" s="42" t="str">
        <f>IFERROR(__xludf.DUMMYFUNCTION("""COMPUTED_VALUE"""),"ABGPOFDF/AB047")</f>
        <v>ABGPOFDF/AB047</v>
      </c>
      <c r="C9373" s="42" t="str">
        <f>IFERROR(__xludf.DUMMYFUNCTION("""COMPUTED_VALUE"""),"02151/Labuhan Dalam")</f>
        <v>02151/Labuhan Dalam</v>
      </c>
      <c r="D9373" s="42"/>
      <c r="E9373" s="42"/>
      <c r="F9373" s="48" t="str">
        <f>IFERROR(__xludf.DUMMYFUNCTION("""COMPUTED_VALUE"""),"")</f>
        <v/>
      </c>
      <c r="G9373" s="42" t="str">
        <f>IFERROR(__xludf.DUMMYFUNCTION("""COMPUTED_VALUE"""),"Bn Jual Beli")</f>
        <v>Bn Jual Beli</v>
      </c>
      <c r="H9373" s="42">
        <f t="shared" si="1"/>
        <v>3343</v>
      </c>
    </row>
    <row r="9374" ht="22.5" customHeight="1">
      <c r="B9374" s="42" t="str">
        <f>IFERROR(__xludf.DUMMYFUNCTION("""COMPUTED_VALUE"""),"K/1/181125/1")</f>
        <v>K/1/181125/1</v>
      </c>
      <c r="C9374" s="42" t="str">
        <f>IFERROR(__xludf.DUMMYFUNCTION("""COMPUTED_VALUE"""),"NIBEL M. 24584/SUKAMENANTI")</f>
        <v>NIBEL M. 24584/SUKAMENANTI</v>
      </c>
      <c r="D9374" s="42"/>
      <c r="E9374" s="42"/>
      <c r="F9374" s="48" t="str">
        <f>IFERROR(__xludf.DUMMYFUNCTION("""COMPUTED_VALUE"""),"")</f>
        <v/>
      </c>
      <c r="G9374" s="42" t="str">
        <f>IFERROR(__xludf.DUMMYFUNCTION("""COMPUTED_VALUE"""),"BN JUAL BELI")</f>
        <v>BN JUAL BELI</v>
      </c>
      <c r="H9374" s="42">
        <f t="shared" si="1"/>
        <v>3343</v>
      </c>
    </row>
    <row r="9375" ht="22.5" customHeight="1">
      <c r="B9375" s="42" t="str">
        <f>IFERROR(__xludf.DUMMYFUNCTION("""COMPUTED_VALUE"""),"K/2/181125/1")</f>
        <v>K/2/181125/1</v>
      </c>
      <c r="C9375" s="42" t="str">
        <f>IFERROR(__xludf.DUMMYFUNCTION("""COMPUTED_VALUE"""),"NIBEL M. 25974/GUNUNG TERANG")</f>
        <v>NIBEL M. 25974/GUNUNG TERANG</v>
      </c>
      <c r="D9375" s="42"/>
      <c r="E9375" s="42"/>
      <c r="F9375" s="48" t="str">
        <f>IFERROR(__xludf.DUMMYFUNCTION("""COMPUTED_VALUE"""),"")</f>
        <v/>
      </c>
      <c r="G9375" s="42" t="str">
        <f>IFERROR(__xludf.DUMMYFUNCTION("""COMPUTED_VALUE"""),"SKPT LELANG")</f>
        <v>SKPT LELANG</v>
      </c>
      <c r="H9375" s="42">
        <f t="shared" si="1"/>
        <v>3343</v>
      </c>
    </row>
    <row r="9376" ht="22.5" customHeight="1">
      <c r="B9376" s="42" t="str">
        <f>IFERROR(__xludf.DUMMYFUNCTION("""COMPUTED_VALUE"""),"L/3/181125/1")</f>
        <v>L/3/181125/1</v>
      </c>
      <c r="C9376" s="42" t="str">
        <f>IFERROR(__xludf.DUMMYFUNCTION("""COMPUTED_VALUE"""),"KEL. KUPANG TEBA 150 M2")</f>
        <v>KEL. KUPANG TEBA 150 M2</v>
      </c>
      <c r="D9376" s="42"/>
      <c r="E9376" s="42"/>
      <c r="F9376" s="48" t="str">
        <f>IFERROR(__xludf.DUMMYFUNCTION("""COMPUTED_VALUE"""),"")</f>
        <v/>
      </c>
      <c r="G9376" s="42" t="str">
        <f>IFERROR(__xludf.DUMMYFUNCTION("""COMPUTED_VALUE"""),"PENGUKURAN PERTAMA KALI")</f>
        <v>PENGUKURAN PERTAMA KALI</v>
      </c>
      <c r="H9376" s="42">
        <f t="shared" si="1"/>
        <v>3343</v>
      </c>
    </row>
    <row r="9377" ht="22.5" customHeight="1">
      <c r="B9377" s="42" t="str">
        <f>IFERROR(__xludf.DUMMYFUNCTION("""COMPUTED_VALUE"""),"AB042/ABXSTSAU")</f>
        <v>AB042/ABXSTSAU</v>
      </c>
      <c r="C9377" s="42" t="str">
        <f>IFERROR(__xludf.DUMMYFUNCTION("""COMPUTED_VALUE"""),"SHM. 2422")</f>
        <v>SHM. 2422</v>
      </c>
      <c r="D9377" s="42"/>
      <c r="E9377" s="42"/>
      <c r="F9377" s="48" t="str">
        <f>IFERROR(__xludf.DUMMYFUNCTION("""COMPUTED_VALUE"""),"")</f>
        <v/>
      </c>
      <c r="G9377" s="42" t="str">
        <f>IFERROR(__xludf.DUMMYFUNCTION("""COMPUTED_VALUE"""),"Balik nama jul beli")</f>
        <v>Balik nama jul beli</v>
      </c>
      <c r="H9377" s="42">
        <f t="shared" si="1"/>
        <v>3343</v>
      </c>
    </row>
    <row r="9378" ht="22.5" customHeight="1">
      <c r="B9378" s="42" t="str">
        <f>IFERROR(__xludf.DUMMYFUNCTION("""COMPUTED_VALUE"""),"ABZSARNT/AB016")</f>
        <v>ABZSARNT/AB016</v>
      </c>
      <c r="C9378" s="42" t="str">
        <f>IFERROR(__xludf.DUMMYFUNCTION("""COMPUTED_VALUE"""),"M. 1969/Sukabumi Indah")</f>
        <v>M. 1969/Sukabumi Indah</v>
      </c>
      <c r="D9378" s="42"/>
      <c r="E9378" s="42"/>
      <c r="F9378" s="48" t="str">
        <f>IFERROR(__xludf.DUMMYFUNCTION("""COMPUTED_VALUE"""),"")</f>
        <v/>
      </c>
      <c r="G9378" s="42" t="str">
        <f>IFERROR(__xludf.DUMMYFUNCTION("""COMPUTED_VALUE"""),"Bn waris")</f>
        <v>Bn waris</v>
      </c>
      <c r="H9378" s="42">
        <f t="shared" si="1"/>
        <v>3343</v>
      </c>
    </row>
    <row r="9379" ht="22.5" customHeight="1">
      <c r="B9379" s="42" t="str">
        <f>IFERROR(__xludf.DUMMYFUNCTION("""COMPUTED_VALUE"""),"ABTQQNVK/ABO60")</f>
        <v>ABTQQNVK/ABO60</v>
      </c>
      <c r="C9379" s="42" t="str">
        <f>IFERROR(__xludf.DUMMYFUNCTION("""COMPUTED_VALUE"""),"1562/panjang selatan")</f>
        <v>1562/panjang selatan</v>
      </c>
      <c r="D9379" s="42"/>
      <c r="E9379" s="42"/>
      <c r="F9379" s="48" t="str">
        <f>IFERROR(__xludf.DUMMYFUNCTION("""COMPUTED_VALUE"""),"")</f>
        <v/>
      </c>
      <c r="G9379" s="42" t="str">
        <f>IFERROR(__xludf.DUMMYFUNCTION("""COMPUTED_VALUE"""),"Turun waris")</f>
        <v>Turun waris</v>
      </c>
      <c r="H9379" s="42">
        <f t="shared" si="1"/>
        <v>3343</v>
      </c>
    </row>
    <row r="9380" ht="22.5" customHeight="1">
      <c r="B9380" s="42" t="str">
        <f>IFERROR(__xludf.DUMMYFUNCTION("""COMPUTED_VALUE"""),"ABVQENQG/AB063")</f>
        <v>ABVQENQG/AB063</v>
      </c>
      <c r="C9380" s="42" t="str">
        <f>IFERROR(__xludf.DUMMYFUNCTION("""COMPUTED_VALUE"""),"M.207/pn/penengahan")</f>
        <v>M.207/pn/penengahan</v>
      </c>
      <c r="D9380" s="42"/>
      <c r="E9380" s="42"/>
      <c r="F9380" s="48" t="str">
        <f>IFERROR(__xludf.DUMMYFUNCTION("""COMPUTED_VALUE"""),"")</f>
        <v/>
      </c>
      <c r="G9380" s="42" t="str">
        <f>IFERROR(__xludf.DUMMYFUNCTION("""COMPUTED_VALUE"""),"BN GANDES")</f>
        <v>BN GANDES</v>
      </c>
      <c r="H9380" s="42">
        <f t="shared" si="1"/>
        <v>3343</v>
      </c>
    </row>
    <row r="9381" ht="22.5" customHeight="1">
      <c r="B9381" s="42" t="str">
        <f>IFERROR(__xludf.DUMMYFUNCTION("""COMPUTED_VALUE"""),"L/5/181125/1")</f>
        <v>L/5/181125/1</v>
      </c>
      <c r="C9381" s="42" t="str">
        <f>IFERROR(__xludf.DUMMYFUNCTION("""COMPUTED_VALUE"""),"M. 1198/GUNUNG SULAH")</f>
        <v>M. 1198/GUNUNG SULAH</v>
      </c>
      <c r="D9381" s="42"/>
      <c r="E9381" s="42"/>
      <c r="F9381" s="48" t="str">
        <f>IFERROR(__xludf.DUMMYFUNCTION("""COMPUTED_VALUE"""),"")</f>
        <v/>
      </c>
      <c r="G9381" s="42" t="str">
        <f>IFERROR(__xludf.DUMMYFUNCTION("""COMPUTED_VALUE"""),"GANTI DESA")</f>
        <v>GANTI DESA</v>
      </c>
      <c r="H9381" s="42">
        <f t="shared" si="1"/>
        <v>3343</v>
      </c>
    </row>
    <row r="9382" ht="22.5" customHeight="1">
      <c r="B9382" s="42" t="str">
        <f>IFERROR(__xludf.DUMMYFUNCTION("""COMPUTED_VALUE"""),"AB078/ABEYNAJD")</f>
        <v>AB078/ABEYNAJD</v>
      </c>
      <c r="C9382" s="42" t="str">
        <f>IFERROR(__xludf.DUMMYFUNCTION("""COMPUTED_VALUE"""),"M.10272/Kampung Baru")</f>
        <v>M.10272/Kampung Baru</v>
      </c>
      <c r="D9382" s="42"/>
      <c r="E9382" s="42"/>
      <c r="F9382" s="48" t="str">
        <f>IFERROR(__xludf.DUMMYFUNCTION("""COMPUTED_VALUE"""),"")</f>
        <v/>
      </c>
      <c r="G9382" s="42" t="str">
        <f>IFERROR(__xludf.DUMMYFUNCTION("""COMPUTED_VALUE"""),"BN")</f>
        <v>BN</v>
      </c>
      <c r="H9382" s="42">
        <f t="shared" si="1"/>
        <v>3343</v>
      </c>
    </row>
    <row r="9383" ht="22.5" customHeight="1">
      <c r="B9383" s="42" t="str">
        <f>IFERROR(__xludf.DUMMYFUNCTION("""COMPUTED_VALUE"""),"L/6/181125/1")</f>
        <v>L/6/181125/1</v>
      </c>
      <c r="C9383" s="42" t="str">
        <f>IFERROR(__xludf.DUMMYFUNCTION("""COMPUTED_VALUE"""),"M. 262/KOTA SEPANG")</f>
        <v>M. 262/KOTA SEPANG</v>
      </c>
      <c r="D9383" s="42"/>
      <c r="E9383" s="42"/>
      <c r="F9383" s="48" t="str">
        <f>IFERROR(__xludf.DUMMYFUNCTION("""COMPUTED_VALUE"""),"")</f>
        <v/>
      </c>
      <c r="G9383" s="42" t="str">
        <f>IFERROR(__xludf.DUMMYFUNCTION("""COMPUTED_VALUE"""),"PTPGT PEMECAHAN")</f>
        <v>PTPGT PEMECAHAN</v>
      </c>
      <c r="H9383" s="42">
        <f t="shared" si="1"/>
        <v>3343</v>
      </c>
    </row>
    <row r="9384" ht="22.5" customHeight="1">
      <c r="B9384" s="42" t="str">
        <f>IFERROR(__xludf.DUMMYFUNCTION("""COMPUTED_VALUE"""),"K/4/181125/1")</f>
        <v>K/4/181125/1</v>
      </c>
      <c r="C9384" s="42" t="str">
        <f>IFERROR(__xludf.DUMMYFUNCTION("""COMPUTED_VALUE"""),"B. 11/GUNUNG SULAH")</f>
        <v>B. 11/GUNUNG SULAH</v>
      </c>
      <c r="D9384" s="42"/>
      <c r="E9384" s="42"/>
      <c r="F9384" s="48" t="str">
        <f>IFERROR(__xludf.DUMMYFUNCTION("""COMPUTED_VALUE"""),"")</f>
        <v/>
      </c>
      <c r="G9384" s="42" t="str">
        <f>IFERROR(__xludf.DUMMYFUNCTION("""COMPUTED_VALUE"""),"PENGUKURAN HGB MATI")</f>
        <v>PENGUKURAN HGB MATI</v>
      </c>
      <c r="H9384" s="42">
        <f t="shared" si="1"/>
        <v>3343</v>
      </c>
    </row>
    <row r="9385" ht="22.5" customHeight="1">
      <c r="B9385" s="42" t="str">
        <f>IFERROR(__xludf.DUMMYFUNCTION("""COMPUTED_VALUE"""),"K/8/181125/1")</f>
        <v>K/8/181125/1</v>
      </c>
      <c r="C9385" s="42" t="str">
        <f>IFERROR(__xludf.DUMMYFUNCTION("""COMPUTED_VALUE"""),"LABUHAN DALAM")</f>
        <v>LABUHAN DALAM</v>
      </c>
      <c r="D9385" s="42"/>
      <c r="E9385" s="42"/>
      <c r="F9385" s="48" t="str">
        <f>IFERROR(__xludf.DUMMYFUNCTION("""COMPUTED_VALUE"""),"")</f>
        <v/>
      </c>
      <c r="G9385" s="42" t="str">
        <f>IFERROR(__xludf.DUMMYFUNCTION("""COMPUTED_VALUE"""),"PENGUKURAN PERTAMA KALI")</f>
        <v>PENGUKURAN PERTAMA KALI</v>
      </c>
      <c r="H9385" s="42">
        <f t="shared" si="1"/>
        <v>3343</v>
      </c>
    </row>
    <row r="9386" ht="22.5" customHeight="1">
      <c r="B9386" s="42" t="str">
        <f>IFERROR(__xludf.DUMMYFUNCTION("""COMPUTED_VALUE"""),"L/7/181125/1")</f>
        <v>L/7/181125/1</v>
      </c>
      <c r="C9386" s="42" t="str">
        <f>IFERROR(__xludf.DUMMYFUNCTION("""COMPUTED_VALUE"""),"B NIB. 26187/GEDONG MENENG")</f>
        <v>B NIB. 26187/GEDONG MENENG</v>
      </c>
      <c r="D9386" s="42"/>
      <c r="E9386" s="42"/>
      <c r="F9386" s="48" t="str">
        <f>IFERROR(__xludf.DUMMYFUNCTION("""COMPUTED_VALUE"""),"")</f>
        <v/>
      </c>
      <c r="G9386" s="42" t="str">
        <f>IFERROR(__xludf.DUMMYFUNCTION("""COMPUTED_VALUE"""),"PENINGKATAN HAK")</f>
        <v>PENINGKATAN HAK</v>
      </c>
      <c r="H9386" s="42">
        <f t="shared" si="1"/>
        <v>3343</v>
      </c>
    </row>
    <row r="9387" ht="22.5" customHeight="1">
      <c r="B9387" s="42" t="str">
        <f>IFERROR(__xludf.DUMMYFUNCTION("""COMPUTED_VALUE"""),"ABADJQTV/AB090")</f>
        <v>ABADJQTV/AB090</v>
      </c>
      <c r="C9387" s="42" t="str">
        <f>IFERROR(__xludf.DUMMYFUNCTION("""COMPUTED_VALUE"""),"m nibel 18394/Labuhan Ratu Raya")</f>
        <v>m nibel 18394/Labuhan Ratu Raya</v>
      </c>
      <c r="D9387" s="42"/>
      <c r="E9387" s="42"/>
      <c r="F9387" s="48" t="str">
        <f>IFERROR(__xludf.DUMMYFUNCTION("""COMPUTED_VALUE"""),"")</f>
        <v/>
      </c>
      <c r="G9387" s="42" t="str">
        <f>IFERROR(__xludf.DUMMYFUNCTION("""COMPUTED_VALUE"""),"Balik Nama Jual Beli")</f>
        <v>Balik Nama Jual Beli</v>
      </c>
      <c r="H9387" s="42">
        <f t="shared" si="1"/>
        <v>3343</v>
      </c>
    </row>
    <row r="9388" ht="22.5" customHeight="1">
      <c r="B9388" s="42" t="str">
        <f>IFERROR(__xludf.DUMMYFUNCTION("""COMPUTED_VALUE"""),"L/10/181125/1")</f>
        <v>L/10/181125/1</v>
      </c>
      <c r="C9388" s="42" t="str">
        <f>IFERROR(__xludf.DUMMYFUNCTION("""COMPUTED_VALUE"""),"M NIB. 25639/BERINGIN RAYA")</f>
        <v>M NIB. 25639/BERINGIN RAYA</v>
      </c>
      <c r="D9388" s="42"/>
      <c r="E9388" s="42"/>
      <c r="F9388" s="48" t="str">
        <f>IFERROR(__xludf.DUMMYFUNCTION("""COMPUTED_VALUE"""),"")</f>
        <v/>
      </c>
      <c r="G9388" s="42" t="str">
        <f>IFERROR(__xludf.DUMMYFUNCTION("""COMPUTED_VALUE"""),"BN WARIS")</f>
        <v>BN WARIS</v>
      </c>
      <c r="H9388" s="42">
        <f t="shared" si="1"/>
        <v>3343</v>
      </c>
    </row>
    <row r="9389" ht="22.5" customHeight="1">
      <c r="B9389" s="42" t="str">
        <f>IFERROR(__xludf.DUMMYFUNCTION("""COMPUTED_VALUE"""),"K/9/181125/2")</f>
        <v>K/9/181125/2</v>
      </c>
      <c r="C9389" s="42" t="str">
        <f>IFERROR(__xludf.DUMMYFUNCTION("""COMPUTED_VALUE"""),"M. 2011/SUMBEREJO SEJAHTERA")</f>
        <v>M. 2011/SUMBEREJO SEJAHTERA</v>
      </c>
      <c r="D9389" s="42"/>
      <c r="E9389" s="42"/>
      <c r="F9389" s="48" t="str">
        <f>IFERROR(__xludf.DUMMYFUNCTION("""COMPUTED_VALUE"""),"")</f>
        <v/>
      </c>
      <c r="G9389" s="42" t="str">
        <f>IFERROR(__xludf.DUMMYFUNCTION("""COMPUTED_VALUE"""),"PTPGT PECAH")</f>
        <v>PTPGT PECAH</v>
      </c>
      <c r="H9389" s="42">
        <f t="shared" si="1"/>
        <v>3343</v>
      </c>
    </row>
    <row r="9390" ht="22.5" customHeight="1">
      <c r="B9390" s="42" t="str">
        <f>IFERROR(__xludf.DUMMYFUNCTION("""COMPUTED_VALUE"""),"L/12/181125/1")</f>
        <v>L/12/181125/1</v>
      </c>
      <c r="C9390" s="42" t="str">
        <f>IFERROR(__xludf.DUMMYFUNCTION("""COMPUTED_VALUE"""),"B. 5653/BERINGIN RAYA")</f>
        <v>B. 5653/BERINGIN RAYA</v>
      </c>
      <c r="D9390" s="42"/>
      <c r="E9390" s="42"/>
      <c r="F9390" s="48" t="str">
        <f>IFERROR(__xludf.DUMMYFUNCTION("""COMPUTED_VALUE"""),"")</f>
        <v/>
      </c>
      <c r="G9390" s="42" t="str">
        <f>IFERROR(__xludf.DUMMYFUNCTION("""COMPUTED_VALUE"""),"PENINGKATAN HAK")</f>
        <v>PENINGKATAN HAK</v>
      </c>
      <c r="H9390" s="42">
        <f t="shared" si="1"/>
        <v>3343</v>
      </c>
    </row>
    <row r="9391" ht="22.5" customHeight="1">
      <c r="B9391" s="42" t="str">
        <f>IFERROR(__xludf.DUMMYFUNCTION("""COMPUTED_VALUE"""),"ABNOJRMB")</f>
        <v>ABNOJRMB</v>
      </c>
      <c r="C9391" s="42">
        <f>IFERROR(__xludf.DUMMYFUNCTION("""COMPUTED_VALUE"""),2167.0)</f>
        <v>2167</v>
      </c>
      <c r="D9391" s="42"/>
      <c r="E9391" s="42"/>
      <c r="F9391" s="48" t="str">
        <f>IFERROR(__xludf.DUMMYFUNCTION("""COMPUTED_VALUE"""),"")</f>
        <v/>
      </c>
      <c r="G9391" s="42" t="str">
        <f>IFERROR(__xludf.DUMMYFUNCTION("""COMPUTED_VALUE"""),"Jual Beli")</f>
        <v>Jual Beli</v>
      </c>
      <c r="H9391" s="42">
        <f t="shared" si="1"/>
        <v>3343</v>
      </c>
    </row>
    <row r="9392" ht="22.5" customHeight="1">
      <c r="B9392" s="42" t="str">
        <f>IFERROR(__xludf.DUMMYFUNCTION("""COMPUTED_VALUE"""),"ABEWYVVZ")</f>
        <v>ABEWYVVZ</v>
      </c>
      <c r="C9392" s="42" t="str">
        <f>IFERROR(__xludf.DUMMYFUNCTION("""COMPUTED_VALUE"""),"B.1021")</f>
        <v>B.1021</v>
      </c>
      <c r="D9392" s="42"/>
      <c r="E9392" s="42"/>
      <c r="F9392" s="48" t="str">
        <f>IFERROR(__xludf.DUMMYFUNCTION("""COMPUTED_VALUE"""),"")</f>
        <v/>
      </c>
      <c r="G9392" s="42" t="str">
        <f>IFERROR(__xludf.DUMMYFUNCTION("""COMPUTED_VALUE"""),"Kuasa")</f>
        <v>Kuasa</v>
      </c>
      <c r="H9392" s="42">
        <f t="shared" si="1"/>
        <v>3343</v>
      </c>
    </row>
    <row r="9393" ht="22.5" customHeight="1">
      <c r="B9393" s="42" t="str">
        <f>IFERROR(__xludf.DUMMYFUNCTION("""COMPUTED_VALUE"""),"ABEWYVVZ")</f>
        <v>ABEWYVVZ</v>
      </c>
      <c r="C9393" s="42" t="str">
        <f>IFERROR(__xludf.DUMMYFUNCTION("""COMPUTED_VALUE"""),"B.1022")</f>
        <v>B.1022</v>
      </c>
      <c r="D9393" s="42"/>
      <c r="E9393" s="42"/>
      <c r="F9393" s="48" t="str">
        <f>IFERROR(__xludf.DUMMYFUNCTION("""COMPUTED_VALUE"""),"")</f>
        <v/>
      </c>
      <c r="G9393" s="42" t="str">
        <f>IFERROR(__xludf.DUMMYFUNCTION("""COMPUTED_VALUE"""),"Kuasa")</f>
        <v>Kuasa</v>
      </c>
      <c r="H9393" s="42">
        <f t="shared" si="1"/>
        <v>3343</v>
      </c>
    </row>
    <row r="9394" ht="22.5" customHeight="1">
      <c r="B9394" s="42" t="str">
        <f>IFERROR(__xludf.DUMMYFUNCTION("""COMPUTED_VALUE"""),"ABRGENKH")</f>
        <v>ABRGENKH</v>
      </c>
      <c r="C9394" s="42" t="str">
        <f>IFERROR(__xludf.DUMMYFUNCTION("""COMPUTED_VALUE"""),"M.2167/Labuhan Ratu Raya")</f>
        <v>M.2167/Labuhan Ratu Raya</v>
      </c>
      <c r="D9394" s="42"/>
      <c r="E9394" s="42"/>
      <c r="F9394" s="48" t="str">
        <f>IFERROR(__xludf.DUMMYFUNCTION("""COMPUTED_VALUE"""),"")</f>
        <v/>
      </c>
      <c r="G9394" s="42" t="str">
        <f>IFERROR(__xludf.DUMMYFUNCTION("""COMPUTED_VALUE"""),"Jual beli")</f>
        <v>Jual beli</v>
      </c>
      <c r="H9394" s="42">
        <f t="shared" si="1"/>
        <v>3343</v>
      </c>
    </row>
    <row r="9395" ht="22.5" customHeight="1">
      <c r="B9395" s="42" t="str">
        <f>IFERROR(__xludf.DUMMYFUNCTION("""COMPUTED_VALUE"""),"AB015/ABXHNOZN")</f>
        <v>AB015/ABXHNOZN</v>
      </c>
      <c r="C9395" s="42" t="str">
        <f>IFERROR(__xludf.DUMMYFUNCTION("""COMPUTED_VALUE"""),"SHGB 00700/Sumber Agung")</f>
        <v>SHGB 00700/Sumber Agung</v>
      </c>
      <c r="D9395" s="42"/>
      <c r="E9395" s="42"/>
      <c r="F9395" s="48" t="str">
        <f>IFERROR(__xludf.DUMMYFUNCTION("""COMPUTED_VALUE"""),"")</f>
        <v/>
      </c>
      <c r="G9395" s="42" t="str">
        <f>IFERROR(__xludf.DUMMYFUNCTION("""COMPUTED_VALUE"""),"Balik Nama Jual Beli")</f>
        <v>Balik Nama Jual Beli</v>
      </c>
      <c r="H9395" s="42">
        <f t="shared" si="1"/>
        <v>3343</v>
      </c>
    </row>
    <row r="9396" ht="22.5" customHeight="1">
      <c r="B9396" s="42" t="str">
        <f>IFERROR(__xludf.DUMMYFUNCTION("""COMPUTED_VALUE"""),"Ab016")</f>
        <v>Ab016</v>
      </c>
      <c r="C9396" s="42" t="str">
        <f>IFERROR(__xludf.DUMMYFUNCTION("""COMPUTED_VALUE"""),"SHM 11277/lr ")</f>
        <v>SHM 11277/lr </v>
      </c>
      <c r="D9396" s="42"/>
      <c r="E9396" s="42"/>
      <c r="F9396" s="48" t="str">
        <f>IFERROR(__xludf.DUMMYFUNCTION("""COMPUTED_VALUE"""),"")</f>
        <v/>
      </c>
      <c r="G9396" s="42" t="str">
        <f>IFERROR(__xludf.DUMMYFUNCTION("""COMPUTED_VALUE"""),"Ganti desa")</f>
        <v>Ganti desa</v>
      </c>
      <c r="H9396" s="42">
        <f t="shared" si="1"/>
        <v>3343</v>
      </c>
    </row>
    <row r="9397" ht="22.5" customHeight="1">
      <c r="B9397" s="42" t="str">
        <f>IFERROR(__xludf.DUMMYFUNCTION("""COMPUTED_VALUE"""),"K/11/181125/1")</f>
        <v>K/11/181125/1</v>
      </c>
      <c r="C9397" s="42" t="str">
        <f>IFERROR(__xludf.DUMMYFUNCTION("""COMPUTED_VALUE"""),"NIBEL M.24904/PANJANG UTARA")</f>
        <v>NIBEL M.24904/PANJANG UTARA</v>
      </c>
      <c r="D9397" s="42"/>
      <c r="E9397" s="42"/>
      <c r="F9397" s="48" t="str">
        <f>IFERROR(__xludf.DUMMYFUNCTION("""COMPUTED_VALUE"""),"")</f>
        <v/>
      </c>
      <c r="G9397" s="42" t="str">
        <f>IFERROR(__xludf.DUMMYFUNCTION("""COMPUTED_VALUE"""),"BN JUAL BELI")</f>
        <v>BN JUAL BELI</v>
      </c>
      <c r="H9397" s="42">
        <f t="shared" si="1"/>
        <v>3343</v>
      </c>
    </row>
    <row r="9398" ht="22.5" customHeight="1">
      <c r="B9398" s="42" t="str">
        <f>IFERROR(__xludf.DUMMYFUNCTION("""COMPUTED_VALUE"""),"L/2/191125/1")</f>
        <v>L/2/191125/1</v>
      </c>
      <c r="C9398" s="42" t="str">
        <f>IFERROR(__xludf.DUMMYFUNCTION("""COMPUTED_VALUE"""),"B. 1224/SUKABUMI INDAH")</f>
        <v>B. 1224/SUKABUMI INDAH</v>
      </c>
      <c r="D9398" s="42"/>
      <c r="E9398" s="42"/>
      <c r="F9398" s="48" t="str">
        <f>IFERROR(__xludf.DUMMYFUNCTION("""COMPUTED_VALUE"""),"")</f>
        <v/>
      </c>
      <c r="G9398" s="42" t="str">
        <f>IFERROR(__xludf.DUMMYFUNCTION("""COMPUTED_VALUE"""),"PENINGKATAN HAK")</f>
        <v>PENINGKATAN HAK</v>
      </c>
      <c r="H9398" s="42">
        <f t="shared" si="1"/>
        <v>3343</v>
      </c>
    </row>
    <row r="9399" ht="22.5" customHeight="1">
      <c r="B9399" s="42" t="str">
        <f>IFERROR(__xludf.DUMMYFUNCTION("""COMPUTED_VALUE"""),"ABCKTQUC/AB039")</f>
        <v>ABCKTQUC/AB039</v>
      </c>
      <c r="C9399" s="42" t="str">
        <f>IFERROR(__xludf.DUMMYFUNCTION("""COMPUTED_VALUE"""),"SHGB No. 577/S.M/Sukamaju ")</f>
        <v>SHGB No. 577/S.M/Sukamaju </v>
      </c>
      <c r="D9399" s="42"/>
      <c r="E9399" s="42"/>
      <c r="F9399" s="48" t="str">
        <f>IFERROR(__xludf.DUMMYFUNCTION("""COMPUTED_VALUE"""),"")</f>
        <v/>
      </c>
      <c r="G9399" s="42" t="str">
        <f>IFERROR(__xludf.DUMMYFUNCTION("""COMPUTED_VALUE"""),"Peningkatan Hak ")</f>
        <v>Peningkatan Hak </v>
      </c>
      <c r="H9399" s="42">
        <f t="shared" si="1"/>
        <v>3343</v>
      </c>
    </row>
    <row r="9400" ht="22.5" customHeight="1">
      <c r="B9400" s="42" t="str">
        <f>IFERROR(__xludf.DUMMYFUNCTION("""COMPUTED_VALUE"""),"L/3/191125/1")</f>
        <v>L/3/191125/1</v>
      </c>
      <c r="C9400" s="42" t="str">
        <f>IFERROR(__xludf.DUMMYFUNCTION("""COMPUTED_VALUE"""),"M. 2189/WAY KANDIS")</f>
        <v>M. 2189/WAY KANDIS</v>
      </c>
      <c r="D9400" s="42"/>
      <c r="E9400" s="42"/>
      <c r="F9400" s="48" t="str">
        <f>IFERROR(__xludf.DUMMYFUNCTION("""COMPUTED_VALUE"""),"")</f>
        <v/>
      </c>
      <c r="G9400" s="42" t="str">
        <f>IFERROR(__xludf.DUMMYFUNCTION("""COMPUTED_VALUE"""),"BLOKIR")</f>
        <v>BLOKIR</v>
      </c>
      <c r="H9400" s="42">
        <f t="shared" si="1"/>
        <v>3343</v>
      </c>
    </row>
    <row r="9401" ht="22.5" customHeight="1">
      <c r="B9401" s="42" t="str">
        <f>IFERROR(__xludf.DUMMYFUNCTION("""COMPUTED_VALUE"""),"L/4/191125/2")</f>
        <v>L/4/191125/2</v>
      </c>
      <c r="C9401" s="42" t="str">
        <f>IFERROR(__xludf.DUMMYFUNCTION("""COMPUTED_VALUE"""),"M. 105/WAY KANDIS")</f>
        <v>M. 105/WAY KANDIS</v>
      </c>
      <c r="D9401" s="42"/>
      <c r="E9401" s="42"/>
      <c r="F9401" s="48" t="str">
        <f>IFERROR(__xludf.DUMMYFUNCTION("""COMPUTED_VALUE"""),"")</f>
        <v/>
      </c>
      <c r="G9401" s="42" t="str">
        <f>IFERROR(__xludf.DUMMYFUNCTION("""COMPUTED_VALUE"""),"BLOKIR")</f>
        <v>BLOKIR</v>
      </c>
      <c r="H9401" s="42">
        <f t="shared" si="1"/>
        <v>3343</v>
      </c>
    </row>
    <row r="9402" ht="22.5" customHeight="1">
      <c r="B9402" s="42" t="str">
        <f>IFERROR(__xludf.DUMMYFUNCTION("""COMPUTED_VALUE"""),"K/1/191125/1")</f>
        <v>K/1/191125/1</v>
      </c>
      <c r="C9402" s="42" t="str">
        <f>IFERROR(__xludf.DUMMYFUNCTION("""COMPUTED_VALUE"""),"B. 1223/SUKABUMI INDAH ")</f>
        <v>B. 1223/SUKABUMI INDAH </v>
      </c>
      <c r="D9402" s="42"/>
      <c r="E9402" s="42"/>
      <c r="F9402" s="48" t="str">
        <f>IFERROR(__xludf.DUMMYFUNCTION("""COMPUTED_VALUE"""),"")</f>
        <v/>
      </c>
      <c r="G9402" s="42" t="str">
        <f>IFERROR(__xludf.DUMMYFUNCTION("""COMPUTED_VALUE"""),"PENINGKATAN HAK")</f>
        <v>PENINGKATAN HAK</v>
      </c>
      <c r="H9402" s="42">
        <f t="shared" si="1"/>
        <v>3343</v>
      </c>
    </row>
    <row r="9403" ht="22.5" customHeight="1">
      <c r="B9403" s="42" t="str">
        <f>IFERROR(__xludf.DUMMYFUNCTION("""COMPUTED_VALUE"""),"K/5/191125/1")</f>
        <v>K/5/191125/1</v>
      </c>
      <c r="C9403" s="42" t="str">
        <f>IFERROR(__xludf.DUMMYFUNCTION("""COMPUTED_VALUE"""),"M. 974/WAY LAGA")</f>
        <v>M. 974/WAY LAGA</v>
      </c>
      <c r="D9403" s="42"/>
      <c r="E9403" s="42"/>
      <c r="F9403" s="48" t="str">
        <f>IFERROR(__xludf.DUMMYFUNCTION("""COMPUTED_VALUE"""),"")</f>
        <v/>
      </c>
      <c r="G9403" s="42" t="str">
        <f>IFERROR(__xludf.DUMMYFUNCTION("""COMPUTED_VALUE"""),"SKPT LELANG")</f>
        <v>SKPT LELANG</v>
      </c>
      <c r="H9403" s="42">
        <f t="shared" si="1"/>
        <v>3343</v>
      </c>
    </row>
    <row r="9404" ht="22.5" customHeight="1">
      <c r="B9404" s="42" t="str">
        <f>IFERROR(__xludf.DUMMYFUNCTION("""COMPUTED_VALUE"""),"ABUXZZMD/AB092")</f>
        <v>ABUXZZMD/AB092</v>
      </c>
      <c r="C9404" s="42" t="str">
        <f>IFERROR(__xludf.DUMMYFUNCTION("""COMPUTED_VALUE"""),"M.1655/KOTA BARU dan M.1656/KOTA BARU")</f>
        <v>M.1655/KOTA BARU dan M.1656/KOTA BARU</v>
      </c>
      <c r="D9404" s="42"/>
      <c r="E9404" s="42"/>
      <c r="F9404" s="48" t="str">
        <f>IFERROR(__xludf.DUMMYFUNCTION("""COMPUTED_VALUE"""),"")</f>
        <v/>
      </c>
      <c r="G9404" s="42" t="str">
        <f>IFERROR(__xludf.DUMMYFUNCTION("""COMPUTED_VALUE"""),"Roya")</f>
        <v>Roya</v>
      </c>
      <c r="H9404" s="42">
        <f t="shared" si="1"/>
        <v>3343</v>
      </c>
    </row>
    <row r="9405" ht="22.5" customHeight="1">
      <c r="B9405" s="42" t="str">
        <f>IFERROR(__xludf.DUMMYFUNCTION("""COMPUTED_VALUE"""),"K/6/191125/2")</f>
        <v>K/6/191125/2</v>
      </c>
      <c r="C9405" s="42" t="str">
        <f>IFERROR(__xludf.DUMMYFUNCTION("""COMPUTED_VALUE"""),"M. 935/WAY LAGA")</f>
        <v>M. 935/WAY LAGA</v>
      </c>
      <c r="D9405" s="42"/>
      <c r="E9405" s="42"/>
      <c r="F9405" s="48" t="str">
        <f>IFERROR(__xludf.DUMMYFUNCTION("""COMPUTED_VALUE"""),"")</f>
        <v/>
      </c>
      <c r="G9405" s="42" t="str">
        <f>IFERROR(__xludf.DUMMYFUNCTION("""COMPUTED_VALUE"""),"SKPT LELANG")</f>
        <v>SKPT LELANG</v>
      </c>
      <c r="H9405" s="42">
        <f t="shared" si="1"/>
        <v>3343</v>
      </c>
    </row>
    <row r="9406" ht="22.5" customHeight="1">
      <c r="B9406" s="42" t="str">
        <f>IFERROR(__xludf.DUMMYFUNCTION("""COMPUTED_VALUE"""),"ABGVYSWN/AB031")</f>
        <v>ABGVYSWN/AB031</v>
      </c>
      <c r="C9406" s="42" t="str">
        <f>IFERROR(__xludf.DUMMYFUNCTION("""COMPUTED_VALUE"""),"SHM NO. 03769/Sukadana HAM")</f>
        <v>SHM NO. 03769/Sukadana HAM</v>
      </c>
      <c r="D9406" s="42"/>
      <c r="E9406" s="42"/>
      <c r="F9406" s="48" t="str">
        <f>IFERROR(__xludf.DUMMYFUNCTION("""COMPUTED_VALUE"""),"")</f>
        <v/>
      </c>
      <c r="G9406" s="42" t="str">
        <f>IFERROR(__xludf.DUMMYFUNCTION("""COMPUTED_VALUE"""),"BN JUAL BELI")</f>
        <v>BN JUAL BELI</v>
      </c>
      <c r="H9406" s="42">
        <f t="shared" si="1"/>
        <v>3343</v>
      </c>
    </row>
    <row r="9407" ht="22.5" customHeight="1">
      <c r="B9407" s="42" t="str">
        <f>IFERROR(__xludf.DUMMYFUNCTION("""COMPUTED_VALUE"""),"AB018")</f>
        <v>AB018</v>
      </c>
      <c r="C9407" s="42" t="str">
        <f>IFERROR(__xludf.DUMMYFUNCTION("""COMPUTED_VALUE"""),"B.05030/sukabumi")</f>
        <v>B.05030/sukabumi</v>
      </c>
      <c r="D9407" s="42"/>
      <c r="E9407" s="42"/>
      <c r="F9407" s="48" t="str">
        <f>IFERROR(__xludf.DUMMYFUNCTION("""COMPUTED_VALUE"""),"")</f>
        <v/>
      </c>
      <c r="G9407" s="42" t="str">
        <f>IFERROR(__xludf.DUMMYFUNCTION("""COMPUTED_VALUE"""),"Peralihan Hak Jual Beli")</f>
        <v>Peralihan Hak Jual Beli</v>
      </c>
      <c r="H9407" s="42">
        <f t="shared" si="1"/>
        <v>3343</v>
      </c>
    </row>
    <row r="9408" ht="22.5" customHeight="1">
      <c r="B9408" s="42" t="str">
        <f>IFERROR(__xludf.DUMMYFUNCTION("""COMPUTED_VALUE"""),"L/8/191125/1")</f>
        <v>L/8/191125/1</v>
      </c>
      <c r="C9408" s="42" t="str">
        <f>IFERROR(__xludf.DUMMYFUNCTION("""COMPUTED_VALUE"""),"B. 28/BAKUNG")</f>
        <v>B. 28/BAKUNG</v>
      </c>
      <c r="D9408" s="42"/>
      <c r="E9408" s="42"/>
      <c r="F9408" s="48" t="str">
        <f>IFERROR(__xludf.DUMMYFUNCTION("""COMPUTED_VALUE"""),"")</f>
        <v/>
      </c>
      <c r="G9408" s="42" t="str">
        <f>IFERROR(__xludf.DUMMYFUNCTION("""COMPUTED_VALUE"""),"PENINGKATAN HAK")</f>
        <v>PENINGKATAN HAK</v>
      </c>
      <c r="H9408" s="42">
        <f t="shared" si="1"/>
        <v>3343</v>
      </c>
    </row>
    <row r="9409" ht="22.5" customHeight="1">
      <c r="B9409" s="42" t="str">
        <f>IFERROR(__xludf.DUMMYFUNCTION("""COMPUTED_VALUE"""),"K/7/191125/1")</f>
        <v>K/7/191125/1</v>
      </c>
      <c r="C9409" s="42" t="str">
        <f>IFERROR(__xludf.DUMMYFUNCTION("""COMPUTED_VALUE"""),"M. 548/SUMUR PUTRI")</f>
        <v>M. 548/SUMUR PUTRI</v>
      </c>
      <c r="D9409" s="42"/>
      <c r="E9409" s="42"/>
      <c r="F9409" s="48" t="str">
        <f>IFERROR(__xludf.DUMMYFUNCTION("""COMPUTED_VALUE"""),"")</f>
        <v/>
      </c>
      <c r="G9409" s="42" t="str">
        <f>IFERROR(__xludf.DUMMYFUNCTION("""COMPUTED_VALUE"""),"PENATAAN BATAS")</f>
        <v>PENATAAN BATAS</v>
      </c>
      <c r="H9409" s="42">
        <f t="shared" si="1"/>
        <v>3343</v>
      </c>
    </row>
    <row r="9410" ht="22.5" customHeight="1">
      <c r="B9410" s="42" t="str">
        <f>IFERROR(__xludf.DUMMYFUNCTION("""COMPUTED_VALUE"""),"K/9/191125/1")</f>
        <v>K/9/191125/1</v>
      </c>
      <c r="C9410" s="42" t="str">
        <f>IFERROR(__xludf.DUMMYFUNCTION("""COMPUTED_VALUE"""),"M. 1127/SUKARAME BARU")</f>
        <v>M. 1127/SUKARAME BARU</v>
      </c>
      <c r="D9410" s="42"/>
      <c r="E9410" s="42"/>
      <c r="F9410" s="48" t="str">
        <f>IFERROR(__xludf.DUMMYFUNCTION("""COMPUTED_VALUE"""),"")</f>
        <v/>
      </c>
      <c r="G9410" s="42" t="str">
        <f>IFERROR(__xludf.DUMMYFUNCTION("""COMPUTED_VALUE"""),"ROYA")</f>
        <v>ROYA</v>
      </c>
      <c r="H9410" s="42">
        <f t="shared" si="1"/>
        <v>3343</v>
      </c>
    </row>
    <row r="9411" ht="22.5" customHeight="1">
      <c r="B9411" s="42" t="str">
        <f>IFERROR(__xludf.DUMMYFUNCTION("""COMPUTED_VALUE"""),"L/11/191125/1")</f>
        <v>L/11/191125/1</v>
      </c>
      <c r="C9411" s="42" t="str">
        <f>IFERROR(__xludf.DUMMYFUNCTION("""COMPUTED_VALUE"""),"M. 398/PERUMNAS WAY KANDIS")</f>
        <v>M. 398/PERUMNAS WAY KANDIS</v>
      </c>
      <c r="D9411" s="42"/>
      <c r="E9411" s="42"/>
      <c r="F9411" s="48" t="str">
        <f>IFERROR(__xludf.DUMMYFUNCTION("""COMPUTED_VALUE"""),"")</f>
        <v/>
      </c>
      <c r="G9411" s="42" t="str">
        <f>IFERROR(__xludf.DUMMYFUNCTION("""COMPUTED_VALUE"""),"ROYA")</f>
        <v>ROYA</v>
      </c>
      <c r="H9411" s="42">
        <f t="shared" si="1"/>
        <v>3343</v>
      </c>
    </row>
    <row r="9412" ht="22.5" customHeight="1">
      <c r="B9412" s="42" t="str">
        <f>IFERROR(__xludf.DUMMYFUNCTION("""COMPUTED_VALUE"""),"K/10/191125/1")</f>
        <v>K/10/191125/1</v>
      </c>
      <c r="C9412" s="42" t="str">
        <f>IFERROR(__xludf.DUMMYFUNCTION("""COMPUTED_VALUE"""),"B. 59/SEPANG JAYA")</f>
        <v>B. 59/SEPANG JAYA</v>
      </c>
      <c r="D9412" s="42"/>
      <c r="E9412" s="42"/>
      <c r="F9412" s="48" t="str">
        <f>IFERROR(__xludf.DUMMYFUNCTION("""COMPUTED_VALUE"""),"")</f>
        <v/>
      </c>
      <c r="G9412" s="42" t="str">
        <f>IFERROR(__xludf.DUMMYFUNCTION("""COMPUTED_VALUE"""),"ROYA")</f>
        <v>ROYA</v>
      </c>
      <c r="H9412" s="42">
        <f t="shared" si="1"/>
        <v>3343</v>
      </c>
    </row>
    <row r="9413" ht="22.5" customHeight="1">
      <c r="B9413" s="42" t="str">
        <f>IFERROR(__xludf.DUMMYFUNCTION("""COMPUTED_VALUE"""),"K/12/191125/1")</f>
        <v>K/12/191125/1</v>
      </c>
      <c r="C9413" s="42" t="str">
        <f>IFERROR(__xludf.DUMMYFUNCTION("""COMPUTED_VALUE"""),"M. 17759/SUKARAME")</f>
        <v>M. 17759/SUKARAME</v>
      </c>
      <c r="D9413" s="42"/>
      <c r="E9413" s="42"/>
      <c r="F9413" s="48" t="str">
        <f>IFERROR(__xludf.DUMMYFUNCTION("""COMPUTED_VALUE"""),"")</f>
        <v/>
      </c>
      <c r="G9413" s="42" t="str">
        <f>IFERROR(__xludf.DUMMYFUNCTION("""COMPUTED_VALUE"""),"SKPT LELANG")</f>
        <v>SKPT LELANG</v>
      </c>
      <c r="H9413" s="42">
        <f t="shared" si="1"/>
        <v>3343</v>
      </c>
    </row>
    <row r="9414" ht="22.5" customHeight="1">
      <c r="B9414" s="42" t="str">
        <f>IFERROR(__xludf.DUMMYFUNCTION("""COMPUTED_VALUE"""),"Abvkaqan")</f>
        <v>Abvkaqan</v>
      </c>
      <c r="C9414" s="42" t="str">
        <f>IFERROR(__xludf.DUMMYFUNCTION("""COMPUTED_VALUE"""),"3332/sukadana ham")</f>
        <v>3332/sukadana ham</v>
      </c>
      <c r="D9414" s="42"/>
      <c r="E9414" s="42"/>
      <c r="F9414" s="48" t="str">
        <f>IFERROR(__xludf.DUMMYFUNCTION("""COMPUTED_VALUE"""),"")</f>
        <v/>
      </c>
      <c r="G9414" s="42" t="str">
        <f>IFERROR(__xludf.DUMMYFUNCTION("""COMPUTED_VALUE"""),"Balik nama jual beli")</f>
        <v>Balik nama jual beli</v>
      </c>
      <c r="H9414" s="42">
        <f t="shared" si="1"/>
        <v>3343</v>
      </c>
    </row>
    <row r="9415" ht="22.5" customHeight="1">
      <c r="B9415" s="42" t="str">
        <f>IFERROR(__xludf.DUMMYFUNCTION("""COMPUTED_VALUE"""),"ABSBRCZX")</f>
        <v>ABSBRCZX</v>
      </c>
      <c r="C9415" s="42" t="str">
        <f>IFERROR(__xludf.DUMMYFUNCTION("""COMPUTED_VALUE"""),"Sporasik. Kepemilikan")</f>
        <v>Sporasik. Kepemilikan</v>
      </c>
      <c r="D9415" s="42"/>
      <c r="E9415" s="42"/>
      <c r="F9415" s="48" t="str">
        <f>IFERROR(__xludf.DUMMYFUNCTION("""COMPUTED_VALUE"""),"")</f>
        <v/>
      </c>
      <c r="G9415" s="42" t="str">
        <f>IFERROR(__xludf.DUMMYFUNCTION("""COMPUTED_VALUE"""),"Pendaftaran Pertama Kali")</f>
        <v>Pendaftaran Pertama Kali</v>
      </c>
      <c r="H9415" s="42">
        <f t="shared" si="1"/>
        <v>3343</v>
      </c>
    </row>
    <row r="9416" ht="22.5" customHeight="1">
      <c r="B9416" s="42" t="str">
        <f>IFERROR(__xludf.DUMMYFUNCTION("""COMPUTED_VALUE"""),"AB088/ABYPMGQQ")</f>
        <v>AB088/ABYPMGQQ</v>
      </c>
      <c r="C9416" s="42" t="str">
        <f>IFERROR(__xludf.DUMMYFUNCTION("""COMPUTED_VALUE"""),"M. 1122/sumber agung")</f>
        <v>M. 1122/sumber agung</v>
      </c>
      <c r="D9416" s="42"/>
      <c r="E9416" s="42"/>
      <c r="F9416" s="48" t="str">
        <f>IFERROR(__xludf.DUMMYFUNCTION("""COMPUTED_VALUE"""),"")</f>
        <v/>
      </c>
      <c r="G9416" s="42" t="str">
        <f>IFERROR(__xludf.DUMMYFUNCTION("""COMPUTED_VALUE"""),"Bn jual beli")</f>
        <v>Bn jual beli</v>
      </c>
      <c r="H9416" s="42">
        <f t="shared" si="1"/>
        <v>3343</v>
      </c>
    </row>
    <row r="9417" ht="22.5" customHeight="1">
      <c r="B9417" s="42" t="str">
        <f>IFERROR(__xludf.DUMMYFUNCTION("""COMPUTED_VALUE"""),"AB088/ABCWBBBG")</f>
        <v>AB088/ABCWBBBG</v>
      </c>
      <c r="C9417" s="42" t="str">
        <f>IFERROR(__xludf.DUMMYFUNCTION("""COMPUTED_VALUE"""),"M. 19174/Way Kandis")</f>
        <v>M. 19174/Way Kandis</v>
      </c>
      <c r="D9417" s="42"/>
      <c r="E9417" s="42"/>
      <c r="F9417" s="48" t="str">
        <f>IFERROR(__xludf.DUMMYFUNCTION("""COMPUTED_VALUE"""),"")</f>
        <v/>
      </c>
      <c r="G9417" s="42" t="str">
        <f>IFERROR(__xludf.DUMMYFUNCTION("""COMPUTED_VALUE"""),"Bn jual beli")</f>
        <v>Bn jual beli</v>
      </c>
      <c r="H9417" s="42">
        <f t="shared" si="1"/>
        <v>3343</v>
      </c>
    </row>
    <row r="9418" ht="22.5" customHeight="1">
      <c r="B9418" s="42" t="str">
        <f>IFERROR(__xludf.DUMMYFUNCTION("""COMPUTED_VALUE"""),"ABWUYNCY/AB064")</f>
        <v>ABWUYNCY/AB064</v>
      </c>
      <c r="C9418" s="42" t="str">
        <f>IFERROR(__xludf.DUMMYFUNCTION("""COMPUTED_VALUE"""),"M. 4238/Keteguhan")</f>
        <v>M. 4238/Keteguhan</v>
      </c>
      <c r="D9418" s="42"/>
      <c r="E9418" s="42"/>
      <c r="F9418" s="48" t="str">
        <f>IFERROR(__xludf.DUMMYFUNCTION("""COMPUTED_VALUE"""),"")</f>
        <v/>
      </c>
      <c r="G9418" s="42" t="str">
        <f>IFERROR(__xludf.DUMMYFUNCTION("""COMPUTED_VALUE"""),"Bn jual beli")</f>
        <v>Bn jual beli</v>
      </c>
      <c r="H9418" s="42">
        <f t="shared" si="1"/>
        <v>3343</v>
      </c>
    </row>
    <row r="9419" ht="22.5" customHeight="1">
      <c r="B9419" s="42" t="str">
        <f>IFERROR(__xludf.DUMMYFUNCTION("""COMPUTED_VALUE"""),"Ab072/ABYSHJZC")</f>
        <v>Ab072/ABYSHJZC</v>
      </c>
      <c r="C9419" s="42" t="str">
        <f>IFERROR(__xludf.DUMMYFUNCTION("""COMPUTED_VALUE"""),"M 1105/Pematang Wangi")</f>
        <v>M 1105/Pematang Wangi</v>
      </c>
      <c r="D9419" s="42"/>
      <c r="E9419" s="42"/>
      <c r="F9419" s="48" t="str">
        <f>IFERROR(__xludf.DUMMYFUNCTION("""COMPUTED_VALUE"""),"")</f>
        <v/>
      </c>
      <c r="G9419" s="42" t="str">
        <f>IFERROR(__xludf.DUMMYFUNCTION("""COMPUTED_VALUE"""),"Bn jual beli")</f>
        <v>Bn jual beli</v>
      </c>
      <c r="H9419" s="42">
        <f t="shared" si="1"/>
        <v>3343</v>
      </c>
    </row>
    <row r="9420" ht="22.5" customHeight="1">
      <c r="B9420" s="42" t="str">
        <f>IFERROR(__xludf.DUMMYFUNCTION("""COMPUTED_VALUE"""),"ABTJVWIA/AB073")</f>
        <v>ABTJVWIA/AB073</v>
      </c>
      <c r="C9420" s="42" t="str">
        <f>IFERROR(__xludf.DUMMYFUNCTION("""COMPUTED_VALUE"""),"M.2015/Rajabasa Raya")</f>
        <v>M.2015/Rajabasa Raya</v>
      </c>
      <c r="D9420" s="42"/>
      <c r="E9420" s="42"/>
      <c r="F9420" s="48" t="str">
        <f>IFERROR(__xludf.DUMMYFUNCTION("""COMPUTED_VALUE"""),"")</f>
        <v/>
      </c>
      <c r="G9420" s="42" t="str">
        <f>IFERROR(__xludf.DUMMYFUNCTION("""COMPUTED_VALUE"""),"BN Jual Beli")</f>
        <v>BN Jual Beli</v>
      </c>
      <c r="H9420" s="42">
        <f t="shared" si="1"/>
        <v>3343</v>
      </c>
    </row>
    <row r="9421" ht="22.5" customHeight="1">
      <c r="B9421" s="42" t="str">
        <f>IFERROR(__xludf.DUMMYFUNCTION("""COMPUTED_VALUE"""),"AB069/ABFMETSR")</f>
        <v>AB069/ABFMETSR</v>
      </c>
      <c r="C9421" s="42" t="str">
        <f>IFERROR(__xludf.DUMMYFUNCTION("""COMPUTED_VALUE"""),"m.10353/Sukamenanti")</f>
        <v>m.10353/Sukamenanti</v>
      </c>
      <c r="D9421" s="42"/>
      <c r="E9421" s="42"/>
      <c r="F9421" s="48" t="str">
        <f>IFERROR(__xludf.DUMMYFUNCTION("""COMPUTED_VALUE"""),"")</f>
        <v/>
      </c>
      <c r="G9421" s="42" t="str">
        <f>IFERROR(__xludf.DUMMYFUNCTION("""COMPUTED_VALUE"""),"Peralihan hak")</f>
        <v>Peralihan hak</v>
      </c>
      <c r="H9421" s="42">
        <f t="shared" si="1"/>
        <v>3343</v>
      </c>
    </row>
    <row r="9422" ht="22.5" customHeight="1">
      <c r="B9422" s="42" t="str">
        <f>IFERROR(__xludf.DUMMYFUNCTION("""COMPUTED_VALUE"""),"ABSNPMMP/AB073")</f>
        <v>ABSNPMMP/AB073</v>
      </c>
      <c r="C9422" s="42" t="str">
        <f>IFERROR(__xludf.DUMMYFUNCTION("""COMPUTED_VALUE"""),"NIBEL M.26095/Beringin Jaya")</f>
        <v>NIBEL M.26095/Beringin Jaya</v>
      </c>
      <c r="D9422" s="42"/>
      <c r="E9422" s="42"/>
      <c r="F9422" s="48" t="str">
        <f>IFERROR(__xludf.DUMMYFUNCTION("""COMPUTED_VALUE"""),"")</f>
        <v/>
      </c>
      <c r="G9422" s="42" t="str">
        <f>IFERROR(__xludf.DUMMYFUNCTION("""COMPUTED_VALUE"""),"BN Jula Beli")</f>
        <v>BN Jula Beli</v>
      </c>
      <c r="H9422" s="42">
        <f t="shared" si="1"/>
        <v>3343</v>
      </c>
    </row>
    <row r="9423" ht="22.5" customHeight="1">
      <c r="B9423" s="42" t="str">
        <f>IFERROR(__xludf.DUMMYFUNCTION("""COMPUTED_VALUE"""),"L/14/191125/1")</f>
        <v>L/14/191125/1</v>
      </c>
      <c r="C9423" s="42" t="str">
        <f>IFERROR(__xludf.DUMMYFUNCTION("""COMPUTED_VALUE"""),"LUAS 400 M2 KEL. WAY KANDIS")</f>
        <v>LUAS 400 M2 KEL. WAY KANDIS</v>
      </c>
      <c r="D9423" s="42"/>
      <c r="E9423" s="42"/>
      <c r="F9423" s="48" t="str">
        <f>IFERROR(__xludf.DUMMYFUNCTION("""COMPUTED_VALUE"""),"")</f>
        <v/>
      </c>
      <c r="G9423" s="42" t="str">
        <f>IFERROR(__xludf.DUMMYFUNCTION("""COMPUTED_VALUE"""),"PENGUKURAN PERTAMA KALI")</f>
        <v>PENGUKURAN PERTAMA KALI</v>
      </c>
      <c r="H9423" s="42">
        <f t="shared" si="1"/>
        <v>3343</v>
      </c>
    </row>
    <row r="9424" ht="22.5" customHeight="1">
      <c r="B9424" s="42" t="str">
        <f>IFERROR(__xludf.DUMMYFUNCTION("""COMPUTED_VALUE"""),"AB079")</f>
        <v>AB079</v>
      </c>
      <c r="C9424" s="42" t="str">
        <f>IFERROR(__xludf.DUMMYFUNCTION("""COMPUTED_VALUE"""),"M.357/Batu Putuk dan M.3256/Keteguhan")</f>
        <v>M.357/Batu Putuk dan M.3256/Keteguhan</v>
      </c>
      <c r="D9424" s="42"/>
      <c r="E9424" s="42"/>
      <c r="F9424" s="48" t="str">
        <f>IFERROR(__xludf.DUMMYFUNCTION("""COMPUTED_VALUE"""),"")</f>
        <v/>
      </c>
      <c r="G9424" s="42" t="str">
        <f>IFERROR(__xludf.DUMMYFUNCTION("""COMPUTED_VALUE"""),"Ganti Kecamatan dan Pengecekan")</f>
        <v>Ganti Kecamatan dan Pengecekan</v>
      </c>
      <c r="H9424" s="42">
        <f t="shared" si="1"/>
        <v>3343</v>
      </c>
    </row>
    <row r="9425" ht="22.5" customHeight="1">
      <c r="B9425" s="42" t="str">
        <f>IFERROR(__xludf.DUMMYFUNCTION("""COMPUTED_VALUE"""),"ABYXNWPD/AB078")</f>
        <v>ABYXNWPD/AB078</v>
      </c>
      <c r="C9425" s="42" t="str">
        <f>IFERROR(__xludf.DUMMYFUNCTION("""COMPUTED_VALUE"""),"M.10070/Jagabaya II")</f>
        <v>M.10070/Jagabaya II</v>
      </c>
      <c r="D9425" s="42"/>
      <c r="E9425" s="42"/>
      <c r="F9425" s="48" t="str">
        <f>IFERROR(__xludf.DUMMYFUNCTION("""COMPUTED_VALUE"""),"")</f>
        <v/>
      </c>
      <c r="G9425" s="42" t="str">
        <f>IFERROR(__xludf.DUMMYFUNCTION("""COMPUTED_VALUE"""),"Penataan batas")</f>
        <v>Penataan batas</v>
      </c>
      <c r="H9425" s="42">
        <f t="shared" si="1"/>
        <v>3343</v>
      </c>
    </row>
    <row r="9426" ht="22.5" customHeight="1">
      <c r="B9426" s="42" t="str">
        <f>IFERROR(__xludf.DUMMYFUNCTION("""COMPUTED_VALUE"""),"L/15/191125/2")</f>
        <v>L/15/191125/2</v>
      </c>
      <c r="C9426" s="42" t="str">
        <f>IFERROR(__xludf.DUMMYFUNCTION("""COMPUTED_VALUE"""),"LUAS 88 M2 KEL. WAY KANDI")</f>
        <v>LUAS 88 M2 KEL. WAY KANDI</v>
      </c>
      <c r="D9426" s="42"/>
      <c r="E9426" s="42"/>
      <c r="F9426" s="48" t="str">
        <f>IFERROR(__xludf.DUMMYFUNCTION("""COMPUTED_VALUE"""),"")</f>
        <v/>
      </c>
      <c r="G9426" s="42" t="str">
        <f>IFERROR(__xludf.DUMMYFUNCTION("""COMPUTED_VALUE"""),"PENGUKURAN PERTAMA KALI")</f>
        <v>PENGUKURAN PERTAMA KALI</v>
      </c>
      <c r="H9426" s="42">
        <f t="shared" si="1"/>
        <v>3343</v>
      </c>
    </row>
    <row r="9427" ht="22.5" customHeight="1">
      <c r="B9427" s="42" t="str">
        <f>IFERROR(__xludf.DUMMYFUNCTION("""COMPUTED_VALUE"""),"L/16/191125/1")</f>
        <v>L/16/191125/1</v>
      </c>
      <c r="C9427" s="42" t="str">
        <f>IFERROR(__xludf.DUMMYFUNCTION("""COMPUTED_VALUE"""),"LUAS 110 M2 KEL. WAY KANDIS")</f>
        <v>LUAS 110 M2 KEL. WAY KANDIS</v>
      </c>
      <c r="D9427" s="42"/>
      <c r="E9427" s="42"/>
      <c r="F9427" s="48" t="str">
        <f>IFERROR(__xludf.DUMMYFUNCTION("""COMPUTED_VALUE"""),"")</f>
        <v/>
      </c>
      <c r="G9427" s="42" t="str">
        <f>IFERROR(__xludf.DUMMYFUNCTION("""COMPUTED_VALUE"""),"PENGUKURAN PERTAMA KALI")</f>
        <v>PENGUKURAN PERTAMA KALI</v>
      </c>
      <c r="H9427" s="42">
        <f t="shared" si="1"/>
        <v>3343</v>
      </c>
    </row>
    <row r="9428" ht="22.5" customHeight="1">
      <c r="B9428" s="42" t="str">
        <f>IFERROR(__xludf.DUMMYFUNCTION("""COMPUTED_VALUE"""),"L/17/191125/1")</f>
        <v>L/17/191125/1</v>
      </c>
      <c r="C9428" s="42" t="str">
        <f>IFERROR(__xludf.DUMMYFUNCTION("""COMPUTED_VALUE"""),"M. 281/RAWA LAUT")</f>
        <v>M. 281/RAWA LAUT</v>
      </c>
      <c r="D9428" s="42"/>
      <c r="E9428" s="42"/>
      <c r="F9428" s="48" t="str">
        <f>IFERROR(__xludf.DUMMYFUNCTION("""COMPUTED_VALUE"""),"")</f>
        <v/>
      </c>
      <c r="G9428" s="42" t="str">
        <f>IFERROR(__xludf.DUMMYFUNCTION("""COMPUTED_VALUE"""),"BN WARIS")</f>
        <v>BN WARIS</v>
      </c>
      <c r="H9428" s="42">
        <f t="shared" si="1"/>
        <v>3343</v>
      </c>
    </row>
    <row r="9429" ht="22.5" customHeight="1">
      <c r="B9429" s="42" t="str">
        <f>IFERROR(__xludf.DUMMYFUNCTION("""COMPUTED_VALUE"""),"ABDFQYQT/AB011")</f>
        <v>ABDFQYQT/AB011</v>
      </c>
      <c r="C9429" s="42" t="str">
        <f>IFERROR(__xludf.DUMMYFUNCTION("""COMPUTED_VALUE"""),"M. 7561/SURABAYA")</f>
        <v>M. 7561/SURABAYA</v>
      </c>
      <c r="D9429" s="42"/>
      <c r="E9429" s="42"/>
      <c r="F9429" s="48" t="str">
        <f>IFERROR(__xludf.DUMMYFUNCTION("""COMPUTED_VALUE"""),"")</f>
        <v/>
      </c>
      <c r="G9429" s="42" t="str">
        <f>IFERROR(__xludf.DUMMYFUNCTION("""COMPUTED_VALUE"""),"Ganti nama sertipikat")</f>
        <v>Ganti nama sertipikat</v>
      </c>
      <c r="H9429" s="42">
        <f t="shared" si="1"/>
        <v>3343</v>
      </c>
    </row>
    <row r="9430" ht="22.5" customHeight="1">
      <c r="B9430" s="42" t="str">
        <f>IFERROR(__xludf.DUMMYFUNCTION("""COMPUTED_VALUE"""),"ABGPFFCQ/AB011")</f>
        <v>ABGPFFCQ/AB011</v>
      </c>
      <c r="C9430" s="42" t="str">
        <f>IFERROR(__xludf.DUMMYFUNCTION("""COMPUTED_VALUE"""),"6812/SURABAYA")</f>
        <v>6812/SURABAYA</v>
      </c>
      <c r="D9430" s="42"/>
      <c r="E9430" s="42"/>
      <c r="F9430" s="48" t="str">
        <f>IFERROR(__xludf.DUMMYFUNCTION("""COMPUTED_VALUE"""),"")</f>
        <v/>
      </c>
      <c r="G9430" s="42" t="str">
        <f>IFERROR(__xludf.DUMMYFUNCTION("""COMPUTED_VALUE"""),"Ganti nama sertipikat")</f>
        <v>Ganti nama sertipikat</v>
      </c>
      <c r="H9430" s="42">
        <f t="shared" si="1"/>
        <v>3343</v>
      </c>
    </row>
    <row r="9431" ht="22.5" customHeight="1">
      <c r="B9431" s="42" t="str">
        <f>IFERROR(__xludf.DUMMYFUNCTION("""COMPUTED_VALUE"""),"ABGFZMWM/AB019")</f>
        <v>ABGFZMWM/AB019</v>
      </c>
      <c r="C9431" s="42" t="str">
        <f>IFERROR(__xludf.DUMMYFUNCTION("""COMPUTED_VALUE"""),"M. 2895/Way Kandis")</f>
        <v>M. 2895/Way Kandis</v>
      </c>
      <c r="D9431" s="42"/>
      <c r="E9431" s="42"/>
      <c r="F9431" s="48" t="str">
        <f>IFERROR(__xludf.DUMMYFUNCTION("""COMPUTED_VALUE"""),"")</f>
        <v/>
      </c>
      <c r="G9431" s="42" t="str">
        <f>IFERROR(__xludf.DUMMYFUNCTION("""COMPUTED_VALUE"""),"roya")</f>
        <v>roya</v>
      </c>
      <c r="H9431" s="42">
        <f t="shared" si="1"/>
        <v>3343</v>
      </c>
    </row>
    <row r="9432" ht="22.5" customHeight="1">
      <c r="B9432" s="42" t="str">
        <f>IFERROR(__xludf.DUMMYFUNCTION("""COMPUTED_VALUE"""),"ABGHINHC/AB019")</f>
        <v>ABGHINHC/AB019</v>
      </c>
      <c r="C9432" s="42" t="str">
        <f>IFERROR(__xludf.DUMMYFUNCTION("""COMPUTED_VALUE"""),"M. 4660/Sukadana Ham")</f>
        <v>M. 4660/Sukadana Ham</v>
      </c>
      <c r="D9432" s="42"/>
      <c r="E9432" s="42"/>
      <c r="F9432" s="48" t="str">
        <f>IFERROR(__xludf.DUMMYFUNCTION("""COMPUTED_VALUE"""),"")</f>
        <v/>
      </c>
      <c r="G9432" s="42" t="str">
        <f>IFERROR(__xludf.DUMMYFUNCTION("""COMPUTED_VALUE"""),"BN Jula Beli")</f>
        <v>BN Jula Beli</v>
      </c>
      <c r="H9432" s="42">
        <f t="shared" si="1"/>
        <v>3343</v>
      </c>
    </row>
    <row r="9433" ht="22.5" customHeight="1">
      <c r="B9433" s="42" t="str">
        <f>IFERROR(__xludf.DUMMYFUNCTION("""COMPUTED_VALUE"""),"ABCTEEBP/AB019")</f>
        <v>ABCTEEBP/AB019</v>
      </c>
      <c r="C9433" s="42" t="str">
        <f>IFERROR(__xludf.DUMMYFUNCTION("""COMPUTED_VALUE"""),"M. 1972/Kota Baru")</f>
        <v>M. 1972/Kota Baru</v>
      </c>
      <c r="D9433" s="42"/>
      <c r="E9433" s="42"/>
      <c r="F9433" s="48" t="str">
        <f>IFERROR(__xludf.DUMMYFUNCTION("""COMPUTED_VALUE"""),"")</f>
        <v/>
      </c>
      <c r="G9433" s="42" t="str">
        <f>IFERROR(__xludf.DUMMYFUNCTION("""COMPUTED_VALUE"""),"BN Jula Beli")</f>
        <v>BN Jula Beli</v>
      </c>
      <c r="H9433" s="42">
        <f t="shared" si="1"/>
        <v>3343</v>
      </c>
    </row>
    <row r="9434" ht="22.5" customHeight="1">
      <c r="B9434" s="42" t="str">
        <f>IFERROR(__xludf.DUMMYFUNCTION("""COMPUTED_VALUE"""),"ABEGLIZF/AB019")</f>
        <v>ABEGLIZF/AB019</v>
      </c>
      <c r="C9434" s="42" t="str">
        <f>IFERROR(__xludf.DUMMYFUNCTION("""COMPUTED_VALUE"""),"M. 1274/Pinang Jaya")</f>
        <v>M. 1274/Pinang Jaya</v>
      </c>
      <c r="D9434" s="42"/>
      <c r="E9434" s="42"/>
      <c r="F9434" s="48" t="str">
        <f>IFERROR(__xludf.DUMMYFUNCTION("""COMPUTED_VALUE"""),"")</f>
        <v/>
      </c>
      <c r="G9434" s="42" t="str">
        <f>IFERROR(__xludf.DUMMYFUNCTION("""COMPUTED_VALUE"""),"BN Jula Beli")</f>
        <v>BN Jula Beli</v>
      </c>
      <c r="H9434" s="42">
        <f t="shared" si="1"/>
        <v>3343</v>
      </c>
    </row>
    <row r="9435" ht="22.5" customHeight="1">
      <c r="B9435" s="42" t="str">
        <f>IFERROR(__xludf.DUMMYFUNCTION("""COMPUTED_VALUE"""),"ABIREGXI/1")</f>
        <v>ABIREGXI/1</v>
      </c>
      <c r="C9435" s="42" t="str">
        <f>IFERROR(__xludf.DUMMYFUNCTION("""COMPUTED_VALUE"""),"M.12984/Tj.B")</f>
        <v>M.12984/Tj.B</v>
      </c>
      <c r="D9435" s="42"/>
      <c r="E9435" s="42"/>
      <c r="F9435" s="48" t="str">
        <f>IFERROR(__xludf.DUMMYFUNCTION("""COMPUTED_VALUE"""),"")</f>
        <v/>
      </c>
      <c r="G9435" s="42" t="str">
        <f>IFERROR(__xludf.DUMMYFUNCTION("""COMPUTED_VALUE"""),"Pentaan Batas")</f>
        <v>Pentaan Batas</v>
      </c>
      <c r="H9435" s="42">
        <f t="shared" si="1"/>
        <v>3343</v>
      </c>
    </row>
    <row r="9436" ht="22.5" customHeight="1">
      <c r="B9436" s="42" t="str">
        <f>IFERROR(__xludf.DUMMYFUNCTION("""COMPUTED_VALUE"""),"ABCZPDTE/2")</f>
        <v>ABCZPDTE/2</v>
      </c>
      <c r="C9436" s="42" t="str">
        <f>IFERROR(__xludf.DUMMYFUNCTION("""COMPUTED_VALUE"""),"M. 08.01.000023913.0/Kaliawi")</f>
        <v>M. 08.01.000023913.0/Kaliawi</v>
      </c>
      <c r="D9436" s="42"/>
      <c r="E9436" s="42"/>
      <c r="F9436" s="48" t="str">
        <f>IFERROR(__xludf.DUMMYFUNCTION("""COMPUTED_VALUE"""),"")</f>
        <v/>
      </c>
      <c r="G9436" s="42" t="str">
        <f>IFERROR(__xludf.DUMMYFUNCTION("""COMPUTED_VALUE"""),"Balik Nama AJB")</f>
        <v>Balik Nama AJB</v>
      </c>
      <c r="H9436" s="42">
        <f t="shared" si="1"/>
        <v>3343</v>
      </c>
    </row>
    <row r="9437" ht="22.5" customHeight="1">
      <c r="B9437" s="42" t="str">
        <f>IFERROR(__xludf.DUMMYFUNCTION("""COMPUTED_VALUE"""),"ABGIRABU")</f>
        <v>ABGIRABU</v>
      </c>
      <c r="C9437" s="42" t="str">
        <f>IFERROR(__xludf.DUMMYFUNCTION("""COMPUTED_VALUE"""),"NIBEL M 24992/ GEDONG AIR")</f>
        <v>NIBEL M 24992/ GEDONG AIR</v>
      </c>
      <c r="D9437" s="42"/>
      <c r="E9437" s="42"/>
      <c r="F9437" s="48" t="str">
        <f>IFERROR(__xludf.DUMMYFUNCTION("""COMPUTED_VALUE"""),"")</f>
        <v/>
      </c>
      <c r="G9437" s="42" t="str">
        <f>IFERROR(__xludf.DUMMYFUNCTION("""COMPUTED_VALUE"""),"BALIK NAMA JUAL BELI")</f>
        <v>BALIK NAMA JUAL BELI</v>
      </c>
      <c r="H9437" s="42">
        <f t="shared" si="1"/>
        <v>3343</v>
      </c>
    </row>
    <row r="9438" ht="22.5" customHeight="1">
      <c r="B9438" s="42" t="str">
        <f>IFERROR(__xludf.DUMMYFUNCTION("""COMPUTED_VALUE"""),"ABUOTLDF")</f>
        <v>ABUOTLDF</v>
      </c>
      <c r="C9438" s="42" t="str">
        <f>IFERROR(__xludf.DUMMYFUNCTION("""COMPUTED_VALUE"""),"m 2009/ sumber rejo sejahtera")</f>
        <v>m 2009/ sumber rejo sejahtera</v>
      </c>
      <c r="D9438" s="42"/>
      <c r="E9438" s="42"/>
      <c r="F9438" s="48" t="str">
        <f>IFERROR(__xludf.DUMMYFUNCTION("""COMPUTED_VALUE"""),"")</f>
        <v/>
      </c>
      <c r="G9438" s="42" t="str">
        <f>IFERROR(__xludf.DUMMYFUNCTION("""COMPUTED_VALUE"""),"BALIK NAMA JUAL BELI")</f>
        <v>BALIK NAMA JUAL BELI</v>
      </c>
      <c r="H9438" s="42">
        <f t="shared" si="1"/>
        <v>3343</v>
      </c>
    </row>
    <row r="9439" ht="22.5" customHeight="1">
      <c r="B9439" s="42" t="str">
        <f>IFERROR(__xludf.DUMMYFUNCTION("""COMPUTED_VALUE"""),"ABXBCZQH")</f>
        <v>ABXBCZQH</v>
      </c>
      <c r="C9439" s="42" t="str">
        <f>IFERROR(__xludf.DUMMYFUNCTION("""COMPUTED_VALUE"""),"M 2010/ sumber rejo sejahtera")</f>
        <v>M 2010/ sumber rejo sejahtera</v>
      </c>
      <c r="D9439" s="42"/>
      <c r="E9439" s="42"/>
      <c r="F9439" s="48" t="str">
        <f>IFERROR(__xludf.DUMMYFUNCTION("""COMPUTED_VALUE"""),"")</f>
        <v/>
      </c>
      <c r="G9439" s="42" t="str">
        <f>IFERROR(__xludf.DUMMYFUNCTION("""COMPUTED_VALUE"""),"BALIK NAMA JUAL BELI")</f>
        <v>BALIK NAMA JUAL BELI</v>
      </c>
      <c r="H9439" s="42">
        <f t="shared" si="1"/>
        <v>3343</v>
      </c>
    </row>
    <row r="9440" ht="22.5" customHeight="1">
      <c r="B9440" s="42" t="str">
        <f>IFERROR(__xludf.DUMMYFUNCTION("""COMPUTED_VALUE"""),"ABILWZGN/AB015")</f>
        <v>ABILWZGN/AB015</v>
      </c>
      <c r="C9440" s="42" t="str">
        <f>IFERROR(__xludf.DUMMYFUNCTION("""COMPUTED_VALUE"""),"M 00926/Campang Jaya")</f>
        <v>M 00926/Campang Jaya</v>
      </c>
      <c r="D9440" s="42"/>
      <c r="E9440" s="42"/>
      <c r="F9440" s="48" t="str">
        <f>IFERROR(__xludf.DUMMYFUNCTION("""COMPUTED_VALUE"""),"")</f>
        <v/>
      </c>
      <c r="G9440" s="42" t="str">
        <f>IFERROR(__xludf.DUMMYFUNCTION("""COMPUTED_VALUE"""),"Bn jual beli")</f>
        <v>Bn jual beli</v>
      </c>
      <c r="H9440" s="42">
        <f t="shared" si="1"/>
        <v>3343</v>
      </c>
    </row>
    <row r="9441" ht="22.5" customHeight="1">
      <c r="B9441" s="42" t="str">
        <f>IFERROR(__xludf.DUMMYFUNCTION("""COMPUTED_VALUE"""),"L/1/201125/1")</f>
        <v>L/1/201125/1</v>
      </c>
      <c r="C9441" s="42" t="str">
        <f>IFERROR(__xludf.DUMMYFUNCTION("""COMPUTED_VALUE"""),"B. 328/PEMATANG WANGI")</f>
        <v>B. 328/PEMATANG WANGI</v>
      </c>
      <c r="D9441" s="42"/>
      <c r="E9441" s="42"/>
      <c r="F9441" s="48" t="str">
        <f>IFERROR(__xludf.DUMMYFUNCTION("""COMPUTED_VALUE"""),"")</f>
        <v/>
      </c>
      <c r="G9441" s="42" t="str">
        <f>IFERROR(__xludf.DUMMYFUNCTION("""COMPUTED_VALUE"""),"PENINGKATAN HAK")</f>
        <v>PENINGKATAN HAK</v>
      </c>
      <c r="H9441" s="42">
        <f t="shared" si="1"/>
        <v>3343</v>
      </c>
    </row>
    <row r="9442" ht="22.5" customHeight="1">
      <c r="B9442" s="42" t="str">
        <f>IFERROR(__xludf.DUMMYFUNCTION("""COMPUTED_VALUE"""),"L/2/201125/1")</f>
        <v>L/2/201125/1</v>
      </c>
      <c r="C9442" s="42" t="str">
        <f>IFERROR(__xludf.DUMMYFUNCTION("""COMPUTED_VALUE"""),"M. 201/PENENGAHAN RAYA")</f>
        <v>M. 201/PENENGAHAN RAYA</v>
      </c>
      <c r="D9442" s="42"/>
      <c r="E9442" s="42"/>
      <c r="F9442" s="48" t="str">
        <f>IFERROR(__xludf.DUMMYFUNCTION("""COMPUTED_VALUE"""),"")</f>
        <v/>
      </c>
      <c r="G9442" s="42" t="str">
        <f>IFERROR(__xludf.DUMMYFUNCTION("""COMPUTED_VALUE"""),"SERTIPIKAT PENGGANTI (KEBAKARAN)")</f>
        <v>SERTIPIKAT PENGGANTI (KEBAKARAN)</v>
      </c>
      <c r="H9442" s="42">
        <f t="shared" si="1"/>
        <v>3343</v>
      </c>
    </row>
    <row r="9443" ht="22.5" customHeight="1">
      <c r="B9443" s="42" t="str">
        <f>IFERROR(__xludf.DUMMYFUNCTION("""COMPUTED_VALUE"""),"K/13/191125/1")</f>
        <v>K/13/191125/1</v>
      </c>
      <c r="C9443" s="42" t="str">
        <f>IFERROR(__xludf.DUMMYFUNCTION("""COMPUTED_VALUE"""),"M.55/SAWAH LAMA")</f>
        <v>M.55/SAWAH LAMA</v>
      </c>
      <c r="D9443" s="42"/>
      <c r="E9443" s="42"/>
      <c r="F9443" s="48" t="str">
        <f>IFERROR(__xludf.DUMMYFUNCTION("""COMPUTED_VALUE"""),"")</f>
        <v/>
      </c>
      <c r="G9443" s="42" t="str">
        <f>IFERROR(__xludf.DUMMYFUNCTION("""COMPUTED_VALUE"""),"ROYA")</f>
        <v>ROYA</v>
      </c>
      <c r="H9443" s="42">
        <f t="shared" si="1"/>
        <v>3343</v>
      </c>
    </row>
    <row r="9444" ht="22.5" customHeight="1">
      <c r="B9444" s="42" t="str">
        <f>IFERROR(__xludf.DUMMYFUNCTION("""COMPUTED_VALUE"""),"L/4/201125/1")</f>
        <v>L/4/201125/1</v>
      </c>
      <c r="C9444" s="42" t="str">
        <f>IFERROR(__xludf.DUMMYFUNCTION("""COMPUTED_VALUE"""),"LUAS 210 M2 KEL. LABUHAN DALAM")</f>
        <v>LUAS 210 M2 KEL. LABUHAN DALAM</v>
      </c>
      <c r="D9444" s="42"/>
      <c r="E9444" s="42"/>
      <c r="F9444" s="48" t="str">
        <f>IFERROR(__xludf.DUMMYFUNCTION("""COMPUTED_VALUE"""),"")</f>
        <v/>
      </c>
      <c r="G9444" s="42" t="str">
        <f>IFERROR(__xludf.DUMMYFUNCTION("""COMPUTED_VALUE"""),"PENGUKURAN PERTAMA KALI (EX. PTSL)")</f>
        <v>PENGUKURAN PERTAMA KALI (EX. PTSL)</v>
      </c>
      <c r="H9444" s="42">
        <f t="shared" si="1"/>
        <v>3343</v>
      </c>
    </row>
    <row r="9445" ht="22.5" customHeight="1">
      <c r="B9445" s="42" t="str">
        <f>IFERROR(__xludf.DUMMYFUNCTION("""COMPUTED_VALUE"""),"ABFPNFWU")</f>
        <v>ABFPNFWU</v>
      </c>
      <c r="C9445" s="42" t="str">
        <f>IFERROR(__xludf.DUMMYFUNCTION("""COMPUTED_VALUE"""),"B.1022/kemiling permain")</f>
        <v>B.1022/kemiling permain</v>
      </c>
      <c r="D9445" s="42" t="str">
        <f>IFERROR(__xludf.DUMMYFUNCTION("""COMPUTED_VALUE"""),"Berry")</f>
        <v>Berry</v>
      </c>
      <c r="E9445" s="42" t="str">
        <f>IFERROR(__xludf.DUMMYFUNCTION("""COMPUTED_VALUE"""),"DISERAHKAN")</f>
        <v>DISERAHKAN</v>
      </c>
      <c r="F9445" s="48">
        <f>IFERROR(__xludf.DUMMYFUNCTION("""COMPUTED_VALUE"""),46020.65054482639)</f>
        <v>46020.65054</v>
      </c>
      <c r="G9445" s="42" t="str">
        <f>IFERROR(__xludf.DUMMYFUNCTION("""COMPUTED_VALUE"""),"Peralihan Hak")</f>
        <v>Peralihan Hak</v>
      </c>
      <c r="H9445" s="42">
        <f t="shared" si="1"/>
        <v>3344</v>
      </c>
    </row>
    <row r="9446" ht="22.5" customHeight="1">
      <c r="B9446" s="42" t="str">
        <f>IFERROR(__xludf.DUMMYFUNCTION("""COMPUTED_VALUE"""),"AB052/ABFOJLCX")</f>
        <v>AB052/ABFOJLCX</v>
      </c>
      <c r="C9446" s="42" t="str">
        <f>IFERROR(__xludf.DUMMYFUNCTION("""COMPUTED_VALUE"""),"3106/kemiling permai")</f>
        <v>3106/kemiling permai</v>
      </c>
      <c r="D9446" s="42"/>
      <c r="E9446" s="42"/>
      <c r="F9446" s="48" t="str">
        <f>IFERROR(__xludf.DUMMYFUNCTION("""COMPUTED_VALUE"""),"")</f>
        <v/>
      </c>
      <c r="G9446" s="42" t="str">
        <f>IFERROR(__xludf.DUMMYFUNCTION("""COMPUTED_VALUE"""),"Jual beli")</f>
        <v>Jual beli</v>
      </c>
      <c r="H9446" s="42">
        <f t="shared" si="1"/>
        <v>3344</v>
      </c>
    </row>
    <row r="9447" ht="22.5" customHeight="1">
      <c r="B9447" s="42" t="str">
        <f>IFERROR(__xludf.DUMMYFUNCTION("""COMPUTED_VALUE"""),"AB044/ABOKTLZG")</f>
        <v>AB044/ABOKTLZG</v>
      </c>
      <c r="C9447" s="42" t="str">
        <f>IFERROR(__xludf.DUMMYFUNCTION("""COMPUTED_VALUE"""),"M.849/Kali Balau Kencana")</f>
        <v>M.849/Kali Balau Kencana</v>
      </c>
      <c r="D9447" s="42"/>
      <c r="E9447" s="42"/>
      <c r="F9447" s="48" t="str">
        <f>IFERROR(__xludf.DUMMYFUNCTION("""COMPUTED_VALUE"""),"")</f>
        <v/>
      </c>
      <c r="G9447" s="42" t="str">
        <f>IFERROR(__xludf.DUMMYFUNCTION("""COMPUTED_VALUE"""),"BN Jual beli")</f>
        <v>BN Jual beli</v>
      </c>
      <c r="H9447" s="42">
        <f t="shared" si="1"/>
        <v>3344</v>
      </c>
    </row>
    <row r="9448" ht="22.5" customHeight="1">
      <c r="B9448" s="42" t="str">
        <f>IFERROR(__xludf.DUMMYFUNCTION("""COMPUTED_VALUE"""),"ABBYUSDM/AB058")</f>
        <v>ABBYUSDM/AB058</v>
      </c>
      <c r="C9448" s="42" t="str">
        <f>IFERROR(__xludf.DUMMYFUNCTION("""COMPUTED_VALUE"""),"11994/Jg.II")</f>
        <v>11994/Jg.II</v>
      </c>
      <c r="D9448" s="42"/>
      <c r="E9448" s="42"/>
      <c r="F9448" s="48" t="str">
        <f>IFERROR(__xludf.DUMMYFUNCTION("""COMPUTED_VALUE"""),"")</f>
        <v/>
      </c>
      <c r="G9448" s="42" t="str">
        <f>IFERROR(__xludf.DUMMYFUNCTION("""COMPUTED_VALUE"""),"BN AJB")</f>
        <v>BN AJB</v>
      </c>
      <c r="H9448" s="42">
        <f t="shared" si="1"/>
        <v>3344</v>
      </c>
    </row>
    <row r="9449" ht="22.5" customHeight="1">
      <c r="B9449" s="42" t="str">
        <f>IFERROR(__xludf.DUMMYFUNCTION("""COMPUTED_VALUE"""),"L/5/201125/1")</f>
        <v>L/5/201125/1</v>
      </c>
      <c r="C9449" s="42" t="str">
        <f>IFERROR(__xludf.DUMMYFUNCTION("""COMPUTED_VALUE"""),"M. 1697/GUNUNG TERANG DAN 1682/GUNUNG TERANG")</f>
        <v>M. 1697/GUNUNG TERANG DAN 1682/GUNUNG TERANG</v>
      </c>
      <c r="D9449" s="42"/>
      <c r="E9449" s="42"/>
      <c r="F9449" s="48" t="str">
        <f>IFERROR(__xludf.DUMMYFUNCTION("""COMPUTED_VALUE"""),"")</f>
        <v/>
      </c>
      <c r="G9449" s="42" t="str">
        <f>IFERROR(__xludf.DUMMYFUNCTION("""COMPUTED_VALUE"""),"ROYA")</f>
        <v>ROYA</v>
      </c>
      <c r="H9449" s="42">
        <f t="shared" si="1"/>
        <v>3344</v>
      </c>
    </row>
    <row r="9450" ht="22.5" customHeight="1">
      <c r="B9450" s="42" t="str">
        <f>IFERROR(__xludf.DUMMYFUNCTION("""COMPUTED_VALUE"""),"ABTVOPHR")</f>
        <v>ABTVOPHR</v>
      </c>
      <c r="C9450" s="42" t="str">
        <f>IFERROR(__xludf.DUMMYFUNCTION("""COMPUTED_VALUE"""),"08.01.000018481.0, kelurahan gunung sulah")</f>
        <v>08.01.000018481.0, kelurahan gunung sulah</v>
      </c>
      <c r="D9450" s="42"/>
      <c r="E9450" s="42"/>
      <c r="F9450" s="48" t="str">
        <f>IFERROR(__xludf.DUMMYFUNCTION("""COMPUTED_VALUE"""),"")</f>
        <v/>
      </c>
      <c r="G9450" s="42" t="str">
        <f>IFERROR(__xludf.DUMMYFUNCTION("""COMPUTED_VALUE"""),"Balik Nama")</f>
        <v>Balik Nama</v>
      </c>
      <c r="H9450" s="42">
        <f t="shared" si="1"/>
        <v>3344</v>
      </c>
    </row>
    <row r="9451" ht="22.5" customHeight="1">
      <c r="B9451" s="42" t="str">
        <f>IFERROR(__xludf.DUMMYFUNCTION("""COMPUTED_VALUE"""),"ABRSSCNZ/AB070")</f>
        <v>ABRSSCNZ/AB070</v>
      </c>
      <c r="C9451" s="42" t="str">
        <f>IFERROR(__xludf.DUMMYFUNCTION("""COMPUTED_VALUE"""),"M. 2014/Rajabasa Raya")</f>
        <v>M. 2014/Rajabasa Raya</v>
      </c>
      <c r="D9451" s="42"/>
      <c r="E9451" s="42"/>
      <c r="F9451" s="48" t="str">
        <f>IFERROR(__xludf.DUMMYFUNCTION("""COMPUTED_VALUE"""),"")</f>
        <v/>
      </c>
      <c r="G9451" s="42" t="str">
        <f>IFERROR(__xludf.DUMMYFUNCTION("""COMPUTED_VALUE"""),"BN Jual Beli")</f>
        <v>BN Jual Beli</v>
      </c>
      <c r="H9451" s="42">
        <f t="shared" si="1"/>
        <v>3344</v>
      </c>
    </row>
    <row r="9452" ht="22.5" customHeight="1">
      <c r="B9452" s="42" t="str">
        <f>IFERROR(__xludf.DUMMYFUNCTION("""COMPUTED_VALUE"""),"K/3/201125/1")</f>
        <v>K/3/201125/1</v>
      </c>
      <c r="C9452" s="42" t="str">
        <f>IFERROR(__xludf.DUMMYFUNCTION("""COMPUTED_VALUE"""),"NIBEL B. 2254/SUKABUMI")</f>
        <v>NIBEL B. 2254/SUKABUMI</v>
      </c>
      <c r="D9452" s="42"/>
      <c r="E9452" s="42"/>
      <c r="F9452" s="48" t="str">
        <f>IFERROR(__xludf.DUMMYFUNCTION("""COMPUTED_VALUE"""),"")</f>
        <v/>
      </c>
      <c r="G9452" s="42" t="str">
        <f>IFERROR(__xludf.DUMMYFUNCTION("""COMPUTED_VALUE"""),"PERUBAHAN HAK")</f>
        <v>PERUBAHAN HAK</v>
      </c>
      <c r="H9452" s="42">
        <f t="shared" si="1"/>
        <v>3344</v>
      </c>
    </row>
    <row r="9453" ht="22.5" customHeight="1">
      <c r="B9453" s="42" t="str">
        <f>IFERROR(__xludf.DUMMYFUNCTION("""COMPUTED_VALUE"""),"L/8/201125/1")</f>
        <v>L/8/201125/1</v>
      </c>
      <c r="C9453" s="42" t="str">
        <f>IFERROR(__xludf.DUMMYFUNCTION("""COMPUTED_VALUE"""),"M. 11915/SUKABUMI")</f>
        <v>M. 11915/SUKABUMI</v>
      </c>
      <c r="D9453" s="42"/>
      <c r="E9453" s="42"/>
      <c r="F9453" s="48" t="str">
        <f>IFERROR(__xludf.DUMMYFUNCTION("""COMPUTED_VALUE"""),"")</f>
        <v/>
      </c>
      <c r="G9453" s="42" t="str">
        <f>IFERROR(__xludf.DUMMYFUNCTION("""COMPUTED_VALUE"""),"ROYA")</f>
        <v>ROYA</v>
      </c>
      <c r="H9453" s="42">
        <f t="shared" si="1"/>
        <v>3344</v>
      </c>
    </row>
    <row r="9454" ht="22.5" customHeight="1">
      <c r="B9454" s="42" t="str">
        <f>IFERROR(__xludf.DUMMYFUNCTION("""COMPUTED_VALUE"""),"K/7/201125/1")</f>
        <v>K/7/201125/1</v>
      </c>
      <c r="C9454" s="42" t="str">
        <f>IFERROR(__xludf.DUMMYFUNCTION("""COMPUTED_VALUE"""),"M. 1242/SUKADANAHAM")</f>
        <v>M. 1242/SUKADANAHAM</v>
      </c>
      <c r="D9454" s="42"/>
      <c r="E9454" s="42"/>
      <c r="F9454" s="48" t="str">
        <f>IFERROR(__xludf.DUMMYFUNCTION("""COMPUTED_VALUE"""),"")</f>
        <v/>
      </c>
      <c r="G9454" s="42" t="str">
        <f>IFERROR(__xludf.DUMMYFUNCTION("""COMPUTED_VALUE"""),"ROYA")</f>
        <v>ROYA</v>
      </c>
      <c r="H9454" s="42">
        <f t="shared" si="1"/>
        <v>3344</v>
      </c>
    </row>
    <row r="9455" ht="22.5" customHeight="1">
      <c r="B9455" s="42" t="str">
        <f>IFERROR(__xludf.DUMMYFUNCTION("""COMPUTED_VALUE"""),"ABZOYYFP")</f>
        <v>ABZOYYFP</v>
      </c>
      <c r="C9455" s="42">
        <f>IFERROR(__xludf.DUMMYFUNCTION("""COMPUTED_VALUE"""),1819.0)</f>
        <v>1819</v>
      </c>
      <c r="D9455" s="42"/>
      <c r="E9455" s="42"/>
      <c r="F9455" s="48" t="str">
        <f>IFERROR(__xludf.DUMMYFUNCTION("""COMPUTED_VALUE"""),"")</f>
        <v/>
      </c>
      <c r="G9455" s="42" t="str">
        <f>IFERROR(__xludf.DUMMYFUNCTION("""COMPUTED_VALUE"""),"Balik nama ")</f>
        <v>Balik nama </v>
      </c>
      <c r="H9455" s="42">
        <f t="shared" si="1"/>
        <v>3344</v>
      </c>
    </row>
    <row r="9456" ht="22.5" customHeight="1">
      <c r="B9456" s="42" t="str">
        <f>IFERROR(__xludf.DUMMYFUNCTION("""COMPUTED_VALUE"""),"L/10/201125/1")</f>
        <v>L/10/201125/1</v>
      </c>
      <c r="C9456" s="42" t="str">
        <f>IFERROR(__xludf.DUMMYFUNCTION("""COMPUTED_VALUE"""),"SK NO 18/2025 KEL. TANJUNG AGUNG")</f>
        <v>SK NO 18/2025 KEL. TANJUNG AGUNG</v>
      </c>
      <c r="D9456" s="42"/>
      <c r="E9456" s="42"/>
      <c r="F9456" s="48" t="str">
        <f>IFERROR(__xludf.DUMMYFUNCTION("""COMPUTED_VALUE"""),"")</f>
        <v/>
      </c>
      <c r="G9456" s="42" t="str">
        <f>IFERROR(__xludf.DUMMYFUNCTION("""COMPUTED_VALUE"""),"PENDAFTARAN SK")</f>
        <v>PENDAFTARAN SK</v>
      </c>
      <c r="H9456" s="42">
        <f t="shared" si="1"/>
        <v>3344</v>
      </c>
    </row>
    <row r="9457" ht="22.5" customHeight="1">
      <c r="B9457" s="42" t="str">
        <f>IFERROR(__xludf.DUMMYFUNCTION("""COMPUTED_VALUE"""),"ABZQMMZO")</f>
        <v>ABZQMMZO</v>
      </c>
      <c r="C9457" s="42" t="str">
        <f>IFERROR(__xludf.DUMMYFUNCTION("""COMPUTED_VALUE"""),"M 1033/ RAJABASA JAYA")</f>
        <v>M 1033/ RAJABASA JAYA</v>
      </c>
      <c r="D9457" s="42"/>
      <c r="E9457" s="42"/>
      <c r="F9457" s="48" t="str">
        <f>IFERROR(__xludf.DUMMYFUNCTION("""COMPUTED_VALUE"""),"")</f>
        <v/>
      </c>
      <c r="G9457" s="42" t="str">
        <f>IFERROR(__xludf.DUMMYFUNCTION("""COMPUTED_VALUE"""),"Roya")</f>
        <v>Roya</v>
      </c>
      <c r="H9457" s="42">
        <f t="shared" si="1"/>
        <v>3344</v>
      </c>
    </row>
    <row r="9458" ht="22.5" customHeight="1">
      <c r="B9458" s="42" t="str">
        <f>IFERROR(__xludf.DUMMYFUNCTION("""COMPUTED_VALUE"""),"ABABYMVJ")</f>
        <v>ABABYMVJ</v>
      </c>
      <c r="C9458" s="42" t="str">
        <f>IFERROR(__xludf.DUMMYFUNCTION("""COMPUTED_VALUE"""),"M 2019/ KEDAUNG")</f>
        <v>M 2019/ KEDAUNG</v>
      </c>
      <c r="D9458" s="42"/>
      <c r="E9458" s="42"/>
      <c r="F9458" s="48" t="str">
        <f>IFERROR(__xludf.DUMMYFUNCTION("""COMPUTED_VALUE"""),"")</f>
        <v/>
      </c>
      <c r="G9458" s="42" t="str">
        <f>IFERROR(__xludf.DUMMYFUNCTION("""COMPUTED_VALUE"""),"bn jual beli")</f>
        <v>bn jual beli</v>
      </c>
      <c r="H9458" s="42">
        <f t="shared" si="1"/>
        <v>3344</v>
      </c>
    </row>
    <row r="9459" ht="22.5" customHeight="1">
      <c r="B9459" s="42" t="str">
        <f>IFERROR(__xludf.DUMMYFUNCTION("""COMPUTED_VALUE"""),"ABXXWNYP/AB085")</f>
        <v>ABXXWNYP/AB085</v>
      </c>
      <c r="C9459" s="42" t="str">
        <f>IFERROR(__xludf.DUMMYFUNCTION("""COMPUTED_VALUE"""),"B. 2027/Sukabumi")</f>
        <v>B. 2027/Sukabumi</v>
      </c>
      <c r="D9459" s="42"/>
      <c r="E9459" s="42"/>
      <c r="F9459" s="48" t="str">
        <f>IFERROR(__xludf.DUMMYFUNCTION("""COMPUTED_VALUE"""),"")</f>
        <v/>
      </c>
      <c r="G9459" s="42" t="str">
        <f>IFERROR(__xludf.DUMMYFUNCTION("""COMPUTED_VALUE"""),"Peningkatan Hak")</f>
        <v>Peningkatan Hak</v>
      </c>
      <c r="H9459" s="42">
        <f t="shared" si="1"/>
        <v>3344</v>
      </c>
    </row>
    <row r="9460" ht="22.5" customHeight="1">
      <c r="B9460" s="42" t="str">
        <f>IFERROR(__xludf.DUMMYFUNCTION("""COMPUTED_VALUE"""),"ABAWIWAG/AB085")</f>
        <v>ABAWIWAG/AB085</v>
      </c>
      <c r="C9460" s="42" t="str">
        <f>IFERROR(__xludf.DUMMYFUNCTION("""COMPUTED_VALUE"""),"m.6460/tjs")</f>
        <v>m.6460/tjs</v>
      </c>
      <c r="D9460" s="42"/>
      <c r="E9460" s="42"/>
      <c r="F9460" s="48" t="str">
        <f>IFERROR(__xludf.DUMMYFUNCTION("""COMPUTED_VALUE"""),"")</f>
        <v/>
      </c>
      <c r="G9460" s="42" t="str">
        <f>IFERROR(__xludf.DUMMYFUNCTION("""COMPUTED_VALUE"""),"Balik Nama")</f>
        <v>Balik Nama</v>
      </c>
      <c r="H9460" s="42">
        <f t="shared" si="1"/>
        <v>3344</v>
      </c>
    </row>
    <row r="9461" ht="22.5" customHeight="1">
      <c r="B9461" s="42" t="str">
        <f>IFERROR(__xludf.DUMMYFUNCTION("""COMPUTED_VALUE"""),"ABGFUNNP")</f>
        <v>ABGFUNNP</v>
      </c>
      <c r="C9461" s="42" t="str">
        <f>IFERROR(__xludf.DUMMYFUNCTION("""COMPUTED_VALUE"""),"M 25527/ WAY KANDIS")</f>
        <v>M 25527/ WAY KANDIS</v>
      </c>
      <c r="D9461" s="42"/>
      <c r="E9461" s="42"/>
      <c r="F9461" s="48" t="str">
        <f>IFERROR(__xludf.DUMMYFUNCTION("""COMPUTED_VALUE"""),"")</f>
        <v/>
      </c>
      <c r="G9461" s="42" t="str">
        <f>IFERROR(__xludf.DUMMYFUNCTION("""COMPUTED_VALUE"""),"bn jual beli")</f>
        <v>bn jual beli</v>
      </c>
      <c r="H9461" s="42">
        <f t="shared" si="1"/>
        <v>3344</v>
      </c>
    </row>
    <row r="9462" ht="22.5" customHeight="1">
      <c r="B9462" s="42" t="str">
        <f>IFERROR(__xludf.DUMMYFUNCTION("""COMPUTED_VALUE"""),"ABCNXKPB")</f>
        <v>ABCNXKPB</v>
      </c>
      <c r="C9462" s="42" t="str">
        <f>IFERROR(__xludf.DUMMYFUNCTION("""COMPUTED_VALUE"""),"M 7635/ GUNUNG TERANG")</f>
        <v>M 7635/ GUNUNG TERANG</v>
      </c>
      <c r="D9462" s="42"/>
      <c r="E9462" s="42"/>
      <c r="F9462" s="48" t="str">
        <f>IFERROR(__xludf.DUMMYFUNCTION("""COMPUTED_VALUE"""),"")</f>
        <v/>
      </c>
      <c r="G9462" s="42" t="str">
        <f>IFERROR(__xludf.DUMMYFUNCTION("""COMPUTED_VALUE"""),"bn jual beli")</f>
        <v>bn jual beli</v>
      </c>
      <c r="H9462" s="42">
        <f t="shared" si="1"/>
        <v>3344</v>
      </c>
    </row>
    <row r="9463" ht="22.5" customHeight="1">
      <c r="B9463" s="42" t="str">
        <f>IFERROR(__xludf.DUMMYFUNCTION("""COMPUTED_VALUE"""),"K/9/201125/1")</f>
        <v>K/9/201125/1</v>
      </c>
      <c r="C9463" s="42" t="str">
        <f>IFERROR(__xludf.DUMMYFUNCTION("""COMPUTED_VALUE"""),"B. 926/SUKARAME BARU")</f>
        <v>B. 926/SUKARAME BARU</v>
      </c>
      <c r="D9463" s="42"/>
      <c r="E9463" s="42"/>
      <c r="F9463" s="48" t="str">
        <f>IFERROR(__xludf.DUMMYFUNCTION("""COMPUTED_VALUE"""),"")</f>
        <v/>
      </c>
      <c r="G9463" s="42" t="str">
        <f>IFERROR(__xludf.DUMMYFUNCTION("""COMPUTED_VALUE"""),"PERUBAHAN HAK")</f>
        <v>PERUBAHAN HAK</v>
      </c>
      <c r="H9463" s="42">
        <f t="shared" si="1"/>
        <v>3344</v>
      </c>
    </row>
    <row r="9464" ht="22.5" customHeight="1">
      <c r="B9464" s="42" t="str">
        <f>IFERROR(__xludf.DUMMYFUNCTION("""COMPUTED_VALUE"""),"K/11/201125/1")</f>
        <v>K/11/201125/1</v>
      </c>
      <c r="C9464" s="42" t="str">
        <f>IFERROR(__xludf.DUMMYFUNCTION("""COMPUTED_VALUE"""),"M. 1834/KANGKUNG")</f>
        <v>M. 1834/KANGKUNG</v>
      </c>
      <c r="D9464" s="42"/>
      <c r="E9464" s="42"/>
      <c r="F9464" s="48" t="str">
        <f>IFERROR(__xludf.DUMMYFUNCTION("""COMPUTED_VALUE"""),"")</f>
        <v/>
      </c>
      <c r="G9464" s="42" t="str">
        <f>IFERROR(__xludf.DUMMYFUNCTION("""COMPUTED_VALUE"""),"BN WARIS")</f>
        <v>BN WARIS</v>
      </c>
      <c r="H9464" s="42">
        <f t="shared" si="1"/>
        <v>3344</v>
      </c>
    </row>
    <row r="9465" ht="22.5" customHeight="1">
      <c r="B9465" s="42" t="str">
        <f>IFERROR(__xludf.DUMMYFUNCTION("""COMPUTED_VALUE"""),"K/12/201125/1")</f>
        <v>K/12/201125/1</v>
      </c>
      <c r="C9465" s="42" t="str">
        <f>IFERROR(__xludf.DUMMYFUNCTION("""COMPUTED_VALUE"""),"M. 245/BERINGIN RAYA")</f>
        <v>M. 245/BERINGIN RAYA</v>
      </c>
      <c r="D9465" s="42"/>
      <c r="E9465" s="42"/>
      <c r="F9465" s="48" t="str">
        <f>IFERROR(__xludf.DUMMYFUNCTION("""COMPUTED_VALUE"""),"")</f>
        <v/>
      </c>
      <c r="G9465" s="42" t="str">
        <f>IFERROR(__xludf.DUMMYFUNCTION("""COMPUTED_VALUE"""),"BN WARIS")</f>
        <v>BN WARIS</v>
      </c>
      <c r="H9465" s="42">
        <f t="shared" si="1"/>
        <v>3344</v>
      </c>
    </row>
    <row r="9466" ht="22.5" customHeight="1">
      <c r="B9466" s="42" t="str">
        <f>IFERROR(__xludf.DUMMYFUNCTION("""COMPUTED_VALUE"""),"K/13/201125/1")</f>
        <v>K/13/201125/1</v>
      </c>
      <c r="C9466" s="42" t="str">
        <f>IFERROR(__xludf.DUMMYFUNCTION("""COMPUTED_VALUE"""),"M. 6598/TANJUNG SENANG")</f>
        <v>M. 6598/TANJUNG SENANG</v>
      </c>
      <c r="D9466" s="42"/>
      <c r="E9466" s="42"/>
      <c r="F9466" s="48" t="str">
        <f>IFERROR(__xludf.DUMMYFUNCTION("""COMPUTED_VALUE"""),"")</f>
        <v/>
      </c>
      <c r="G9466" s="42" t="str">
        <f>IFERROR(__xludf.DUMMYFUNCTION("""COMPUTED_VALUE"""),"SKPT LELANG")</f>
        <v>SKPT LELANG</v>
      </c>
      <c r="H9466" s="42">
        <f t="shared" si="1"/>
        <v>3344</v>
      </c>
    </row>
    <row r="9467" ht="22.5" customHeight="1">
      <c r="B9467" s="42" t="str">
        <f>IFERROR(__xludf.DUMMYFUNCTION("""COMPUTED_VALUE"""),"ABAZXBZV/1")</f>
        <v>ABAZXBZV/1</v>
      </c>
      <c r="C9467" s="42" t="str">
        <f>IFERROR(__xludf.DUMMYFUNCTION("""COMPUTED_VALUE"""),"NIB EL 08.01.000022503.0")</f>
        <v>NIB EL 08.01.000022503.0</v>
      </c>
      <c r="D9467" s="42"/>
      <c r="E9467" s="42"/>
      <c r="F9467" s="48" t="str">
        <f>IFERROR(__xludf.DUMMYFUNCTION("""COMPUTED_VALUE"""),"")</f>
        <v/>
      </c>
      <c r="G9467" s="42" t="str">
        <f>IFERROR(__xludf.DUMMYFUNCTION("""COMPUTED_VALUE"""),"PERALIHAN HAK JUAL BELI")</f>
        <v>PERALIHAN HAK JUAL BELI</v>
      </c>
      <c r="H9467" s="42">
        <f t="shared" si="1"/>
        <v>3344</v>
      </c>
    </row>
    <row r="9468" ht="22.5" customHeight="1">
      <c r="B9468" s="42" t="str">
        <f>IFERROR(__xludf.DUMMYFUNCTION("""COMPUTED_VALUE"""),"ABNICMGS")</f>
        <v>ABNICMGS</v>
      </c>
      <c r="C9468" s="42">
        <f>IFERROR(__xludf.DUMMYFUNCTION("""COMPUTED_VALUE"""),10508.0)</f>
        <v>10508</v>
      </c>
      <c r="D9468" s="42"/>
      <c r="E9468" s="42"/>
      <c r="F9468" s="48" t="str">
        <f>IFERROR(__xludf.DUMMYFUNCTION("""COMPUTED_VALUE"""),"")</f>
        <v/>
      </c>
      <c r="G9468" s="42" t="str">
        <f>IFERROR(__xludf.DUMMYFUNCTION("""COMPUTED_VALUE"""),"Balik Nama")</f>
        <v>Balik Nama</v>
      </c>
      <c r="H9468" s="42">
        <f t="shared" si="1"/>
        <v>3344</v>
      </c>
    </row>
    <row r="9469" ht="22.5" customHeight="1">
      <c r="B9469" s="42" t="str">
        <f>IFERROR(__xludf.DUMMYFUNCTION("""COMPUTED_VALUE"""),"ABQPHZST")</f>
        <v>ABQPHZST</v>
      </c>
      <c r="C9469" s="42">
        <f>IFERROR(__xludf.DUMMYFUNCTION("""COMPUTED_VALUE"""),16560.0)</f>
        <v>16560</v>
      </c>
      <c r="D9469" s="42"/>
      <c r="E9469" s="42"/>
      <c r="F9469" s="48" t="str">
        <f>IFERROR(__xludf.DUMMYFUNCTION("""COMPUTED_VALUE"""),"")</f>
        <v/>
      </c>
      <c r="G9469" s="42" t="str">
        <f>IFERROR(__xludf.DUMMYFUNCTION("""COMPUTED_VALUE"""),"Balik nama")</f>
        <v>Balik nama</v>
      </c>
      <c r="H9469" s="42">
        <f t="shared" si="1"/>
        <v>3344</v>
      </c>
    </row>
    <row r="9470" ht="22.5" customHeight="1">
      <c r="B9470" s="42" t="str">
        <f>IFERROR(__xludf.DUMMYFUNCTION("""COMPUTED_VALUE"""),"K/1/211125/1")</f>
        <v>K/1/211125/1</v>
      </c>
      <c r="C9470" s="42" t="str">
        <f>IFERROR(__xludf.DUMMYFUNCTION("""COMPUTED_VALUE"""),"M. 13899/SUKABUMI")</f>
        <v>M. 13899/SUKABUMI</v>
      </c>
      <c r="D9470" s="42"/>
      <c r="E9470" s="42"/>
      <c r="F9470" s="48" t="str">
        <f>IFERROR(__xludf.DUMMYFUNCTION("""COMPUTED_VALUE"""),"")</f>
        <v/>
      </c>
      <c r="G9470" s="42" t="str">
        <f>IFERROR(__xludf.DUMMYFUNCTION("""COMPUTED_VALUE"""),"ROYA")</f>
        <v>ROYA</v>
      </c>
      <c r="H9470" s="42">
        <f t="shared" si="1"/>
        <v>3344</v>
      </c>
    </row>
    <row r="9471" ht="22.5" customHeight="1">
      <c r="B9471" s="42" t="str">
        <f>IFERROR(__xludf.DUMMYFUNCTION("""COMPUTED_VALUE"""),"ABBXNZAI")</f>
        <v>ABBXNZAI</v>
      </c>
      <c r="C9471" s="42">
        <f>IFERROR(__xludf.DUMMYFUNCTION("""COMPUTED_VALUE"""),2071.0)</f>
        <v>2071</v>
      </c>
      <c r="D9471" s="42"/>
      <c r="E9471" s="42"/>
      <c r="F9471" s="48" t="str">
        <f>IFERROR(__xludf.DUMMYFUNCTION("""COMPUTED_VALUE"""),"")</f>
        <v/>
      </c>
      <c r="G9471" s="42" t="str">
        <f>IFERROR(__xludf.DUMMYFUNCTION("""COMPUTED_VALUE"""),"Balik Nama")</f>
        <v>Balik Nama</v>
      </c>
      <c r="H9471" s="42">
        <f t="shared" si="1"/>
        <v>3344</v>
      </c>
    </row>
    <row r="9472" ht="22.5" customHeight="1">
      <c r="B9472" s="42" t="str">
        <f>IFERROR(__xludf.DUMMYFUNCTION("""COMPUTED_VALUE"""),"AB035/ABTXHCKN")</f>
        <v>AB035/ABTXHCKN</v>
      </c>
      <c r="C9472" s="42" t="str">
        <f>IFERROR(__xludf.DUMMYFUNCTION("""COMPUTED_VALUE"""),"M.01513/Serengsem")</f>
        <v>M.01513/Serengsem</v>
      </c>
      <c r="D9472" s="42" t="str">
        <f>IFERROR(__xludf.DUMMYFUNCTION("""COMPUTED_VALUE"""),"Berry")</f>
        <v>Berry</v>
      </c>
      <c r="E9472" s="42" t="str">
        <f>IFERROR(__xludf.DUMMYFUNCTION("""COMPUTED_VALUE"""),"DISERAHKAN")</f>
        <v>DISERAHKAN</v>
      </c>
      <c r="F9472" s="48">
        <f>IFERROR(__xludf.DUMMYFUNCTION("""COMPUTED_VALUE"""),46020.65536105324)</f>
        <v>46020.65536</v>
      </c>
      <c r="G9472" s="42" t="str">
        <f>IFERROR(__xludf.DUMMYFUNCTION("""COMPUTED_VALUE"""),"Balik Nama")</f>
        <v>Balik Nama</v>
      </c>
      <c r="H9472" s="42">
        <f t="shared" si="1"/>
        <v>3345</v>
      </c>
    </row>
    <row r="9473" ht="22.5" customHeight="1">
      <c r="B9473" s="42" t="str">
        <f>IFERROR(__xludf.DUMMYFUNCTION("""COMPUTED_VALUE"""),"ABTHRBVH")</f>
        <v>ABTHRBVH</v>
      </c>
      <c r="C9473" s="42" t="str">
        <f>IFERROR(__xludf.DUMMYFUNCTION("""COMPUTED_VALUE"""),"02609/sukarame baru")</f>
        <v>02609/sukarame baru</v>
      </c>
      <c r="D9473" s="42"/>
      <c r="E9473" s="42"/>
      <c r="F9473" s="48" t="str">
        <f>IFERROR(__xludf.DUMMYFUNCTION("""COMPUTED_VALUE"""),"")</f>
        <v/>
      </c>
      <c r="G9473" s="42" t="str">
        <f>IFERROR(__xludf.DUMMYFUNCTION("""COMPUTED_VALUE"""),"Balik nama")</f>
        <v>Balik nama</v>
      </c>
      <c r="H9473" s="42">
        <f t="shared" si="1"/>
        <v>3345</v>
      </c>
    </row>
    <row r="9474" ht="22.5" customHeight="1">
      <c r="B9474" s="42" t="str">
        <f>IFERROR(__xludf.DUMMYFUNCTION("""COMPUTED_VALUE"""),"ABVTYBXM")</f>
        <v>ABVTYBXM</v>
      </c>
      <c r="C9474" s="42" t="str">
        <f>IFERROR(__xludf.DUMMYFUNCTION("""COMPUTED_VALUE"""),"Shm. 312")</f>
        <v>Shm. 312</v>
      </c>
      <c r="D9474" s="42"/>
      <c r="E9474" s="42"/>
      <c r="F9474" s="48" t="str">
        <f>IFERROR(__xludf.DUMMYFUNCTION("""COMPUTED_VALUE"""),"")</f>
        <v/>
      </c>
      <c r="G9474" s="42" t="str">
        <f>IFERROR(__xludf.DUMMYFUNCTION("""COMPUTED_VALUE"""),"BN jual beli")</f>
        <v>BN jual beli</v>
      </c>
      <c r="H9474" s="42">
        <f t="shared" si="1"/>
        <v>3345</v>
      </c>
    </row>
    <row r="9475" ht="22.5" customHeight="1">
      <c r="B9475" s="42" t="str">
        <f>IFERROR(__xludf.DUMMYFUNCTION("""COMPUTED_VALUE"""),"AMZGBPK/A012")</f>
        <v>AMZGBPK/A012</v>
      </c>
      <c r="C9475" s="42" t="str">
        <f>IFERROR(__xludf.DUMMYFUNCTION("""COMPUTED_VALUE"""),"M. NIBEL 17378/Sukarame Baru")</f>
        <v>M. NIBEL 17378/Sukarame Baru</v>
      </c>
      <c r="D9475" s="42"/>
      <c r="E9475" s="42"/>
      <c r="F9475" s="48" t="str">
        <f>IFERROR(__xludf.DUMMYFUNCTION("""COMPUTED_VALUE"""),"")</f>
        <v/>
      </c>
      <c r="G9475" s="42" t="str">
        <f>IFERROR(__xludf.DUMMYFUNCTION("""COMPUTED_VALUE"""),"BN Jual Beli")</f>
        <v>BN Jual Beli</v>
      </c>
      <c r="H9475" s="42">
        <f t="shared" si="1"/>
        <v>3345</v>
      </c>
    </row>
    <row r="9476" ht="22.5" customHeight="1">
      <c r="B9476" s="42" t="str">
        <f>IFERROR(__xludf.DUMMYFUNCTION("""COMPUTED_VALUE"""),"ABDVHGG/AB050")</f>
        <v>ABDVHGG/AB050</v>
      </c>
      <c r="C9476" s="42" t="str">
        <f>IFERROR(__xludf.DUMMYFUNCTION("""COMPUTED_VALUE"""),"M. 274/Sb/Sumur Batu ")</f>
        <v>M. 274/Sb/Sumur Batu </v>
      </c>
      <c r="D9476" s="42"/>
      <c r="E9476" s="42"/>
      <c r="F9476" s="48" t="str">
        <f>IFERROR(__xludf.DUMMYFUNCTION("""COMPUTED_VALUE"""),"")</f>
        <v/>
      </c>
      <c r="G9476" s="42" t="str">
        <f>IFERROR(__xludf.DUMMYFUNCTION("""COMPUTED_VALUE"""),"Ganti Desa/Kelurahan ")</f>
        <v>Ganti Desa/Kelurahan </v>
      </c>
      <c r="H9476" s="42">
        <f t="shared" si="1"/>
        <v>3345</v>
      </c>
    </row>
    <row r="9477" ht="22.5" customHeight="1">
      <c r="B9477" s="42" t="str">
        <f>IFERROR(__xludf.DUMMYFUNCTION("""COMPUTED_VALUE"""),"ABBRXQIO/AB050")</f>
        <v>ABBRXQIO/AB050</v>
      </c>
      <c r="C9477" s="42" t="str">
        <f>IFERROR(__xludf.DUMMYFUNCTION("""COMPUTED_VALUE"""),"M. 275/Sb/Sumur Batu ")</f>
        <v>M. 275/Sb/Sumur Batu </v>
      </c>
      <c r="D9477" s="42"/>
      <c r="E9477" s="42"/>
      <c r="F9477" s="48" t="str">
        <f>IFERROR(__xludf.DUMMYFUNCTION("""COMPUTED_VALUE"""),"")</f>
        <v/>
      </c>
      <c r="G9477" s="42" t="str">
        <f>IFERROR(__xludf.DUMMYFUNCTION("""COMPUTED_VALUE"""),"Ganti Desa/Kelurahan ")</f>
        <v>Ganti Desa/Kelurahan </v>
      </c>
      <c r="H9477" s="42">
        <f t="shared" si="1"/>
        <v>3345</v>
      </c>
    </row>
    <row r="9478" ht="22.5" customHeight="1">
      <c r="B9478" s="42" t="str">
        <f>IFERROR(__xludf.DUMMYFUNCTION("""COMPUTED_VALUE"""),"ABHSLRGA/AB015")</f>
        <v>ABHSLRGA/AB015</v>
      </c>
      <c r="C9478" s="42" t="str">
        <f>IFERROR(__xludf.DUMMYFUNCTION("""COMPUTED_VALUE"""),"B 05041/sukabumi")</f>
        <v>B 05041/sukabumi</v>
      </c>
      <c r="D9478" s="42"/>
      <c r="E9478" s="42"/>
      <c r="F9478" s="48" t="str">
        <f>IFERROR(__xludf.DUMMYFUNCTION("""COMPUTED_VALUE"""),"")</f>
        <v/>
      </c>
      <c r="G9478" s="42" t="str">
        <f>IFERROR(__xludf.DUMMYFUNCTION("""COMPUTED_VALUE"""),"Peralihan hak jual beli")</f>
        <v>Peralihan hak jual beli</v>
      </c>
      <c r="H9478" s="42">
        <f t="shared" si="1"/>
        <v>3345</v>
      </c>
    </row>
    <row r="9479" ht="22.5" customHeight="1">
      <c r="B9479" s="42" t="str">
        <f>IFERROR(__xludf.DUMMYFUNCTION("""COMPUTED_VALUE"""),"ABUOIVTK/AB051")</f>
        <v>ABUOIVTK/AB051</v>
      </c>
      <c r="C9479" s="42" t="str">
        <f>IFERROR(__xludf.DUMMYFUNCTION("""COMPUTED_VALUE"""),"m 25485/ campang raya")</f>
        <v>m 25485/ campang raya</v>
      </c>
      <c r="D9479" s="42"/>
      <c r="E9479" s="42"/>
      <c r="F9479" s="48" t="str">
        <f>IFERROR(__xludf.DUMMYFUNCTION("""COMPUTED_VALUE"""),"")</f>
        <v/>
      </c>
      <c r="G9479" s="42" t="str">
        <f>IFERROR(__xludf.DUMMYFUNCTION("""COMPUTED_VALUE"""),"BN AJB")</f>
        <v>BN AJB</v>
      </c>
      <c r="H9479" s="42">
        <f t="shared" si="1"/>
        <v>3345</v>
      </c>
    </row>
    <row r="9480" ht="22.5" customHeight="1">
      <c r="B9480" s="42" t="str">
        <f>IFERROR(__xludf.DUMMYFUNCTION("""COMPUTED_VALUE"""),"ABTHRBVH/AB036")</f>
        <v>ABTHRBVH/AB036</v>
      </c>
      <c r="C9480" s="42" t="str">
        <f>IFERROR(__xludf.DUMMYFUNCTION("""COMPUTED_VALUE"""),"Shm 944 an paulina")</f>
        <v>Shm 944 an paulina</v>
      </c>
      <c r="D9480" s="42"/>
      <c r="E9480" s="42"/>
      <c r="F9480" s="48" t="str">
        <f>IFERROR(__xludf.DUMMYFUNCTION("""COMPUTED_VALUE"""),"")</f>
        <v/>
      </c>
      <c r="G9480" s="42" t="str">
        <f>IFERROR(__xludf.DUMMYFUNCTION("""COMPUTED_VALUE"""),"Waris ")</f>
        <v>Waris </v>
      </c>
      <c r="H9480" s="42">
        <f t="shared" si="1"/>
        <v>3345</v>
      </c>
    </row>
    <row r="9481" ht="22.5" customHeight="1">
      <c r="B9481" s="42" t="str">
        <f>IFERROR(__xludf.DUMMYFUNCTION("""COMPUTED_VALUE"""),"L/3/211125/1")</f>
        <v>L/3/211125/1</v>
      </c>
      <c r="C9481" s="42" t="str">
        <f>IFERROR(__xludf.DUMMYFUNCTION("""COMPUTED_VALUE"""),"B. 1375/PINANG JAYA")</f>
        <v>B. 1375/PINANG JAYA</v>
      </c>
      <c r="D9481" s="42"/>
      <c r="E9481" s="42"/>
      <c r="F9481" s="48" t="str">
        <f>IFERROR(__xludf.DUMMYFUNCTION("""COMPUTED_VALUE"""),"")</f>
        <v/>
      </c>
      <c r="G9481" s="42" t="str">
        <f>IFERROR(__xludf.DUMMYFUNCTION("""COMPUTED_VALUE"""),"PENINGKATAN HAK")</f>
        <v>PENINGKATAN HAK</v>
      </c>
      <c r="H9481" s="42">
        <f t="shared" si="1"/>
        <v>3345</v>
      </c>
    </row>
    <row r="9482" ht="22.5" customHeight="1">
      <c r="B9482" s="42" t="str">
        <f>IFERROR(__xludf.DUMMYFUNCTION("""COMPUTED_VALUE"""),"L/4/211125/1")</f>
        <v>L/4/211125/1</v>
      </c>
      <c r="C9482" s="42" t="str">
        <f>IFERROR(__xludf.DUMMYFUNCTION("""COMPUTED_VALUE"""),"M. 3496/WAY KANDIS")</f>
        <v>M. 3496/WAY KANDIS</v>
      </c>
      <c r="D9482" s="42"/>
      <c r="E9482" s="42"/>
      <c r="F9482" s="48" t="str">
        <f>IFERROR(__xludf.DUMMYFUNCTION("""COMPUTED_VALUE"""),"")</f>
        <v/>
      </c>
      <c r="G9482" s="42" t="str">
        <f>IFERROR(__xludf.DUMMYFUNCTION("""COMPUTED_VALUE"""),"ROYA")</f>
        <v>ROYA</v>
      </c>
      <c r="H9482" s="42">
        <f t="shared" si="1"/>
        <v>3345</v>
      </c>
    </row>
    <row r="9483" ht="22.5" customHeight="1">
      <c r="B9483" s="42" t="str">
        <f>IFERROR(__xludf.DUMMYFUNCTION("""COMPUTED_VALUE"""),"L/5/211125/1")</f>
        <v>L/5/211125/1</v>
      </c>
      <c r="C9483" s="42" t="str">
        <f>IFERROR(__xludf.DUMMYFUNCTION("""COMPUTED_VALUE"""),"M. 12061/SEGALA MIDER")</f>
        <v>M. 12061/SEGALA MIDER</v>
      </c>
      <c r="D9483" s="42"/>
      <c r="E9483" s="42"/>
      <c r="F9483" s="48" t="str">
        <f>IFERROR(__xludf.DUMMYFUNCTION("""COMPUTED_VALUE"""),"")</f>
        <v/>
      </c>
      <c r="G9483" s="42" t="str">
        <f>IFERROR(__xludf.DUMMYFUNCTION("""COMPUTED_VALUE"""),"BN WARIS")</f>
        <v>BN WARIS</v>
      </c>
      <c r="H9483" s="42">
        <f t="shared" si="1"/>
        <v>3345</v>
      </c>
    </row>
    <row r="9484" ht="22.5" customHeight="1">
      <c r="B9484" s="42" t="str">
        <f>IFERROR(__xludf.DUMMYFUNCTION("""COMPUTED_VALUE"""),"L/6/211125/1")</f>
        <v>L/6/211125/1</v>
      </c>
      <c r="C9484" s="42" t="str">
        <f>IFERROR(__xludf.DUMMYFUNCTION("""COMPUTED_VALUE"""),"M. 10550/SUKAMENANTI")</f>
        <v>M. 10550/SUKAMENANTI</v>
      </c>
      <c r="D9484" s="42"/>
      <c r="E9484" s="42"/>
      <c r="F9484" s="48" t="str">
        <f>IFERROR(__xludf.DUMMYFUNCTION("""COMPUTED_VALUE"""),"")</f>
        <v/>
      </c>
      <c r="G9484" s="42" t="str">
        <f>IFERROR(__xludf.DUMMYFUNCTION("""COMPUTED_VALUE"""),"BN LELANG")</f>
        <v>BN LELANG</v>
      </c>
      <c r="H9484" s="42">
        <f t="shared" si="1"/>
        <v>3345</v>
      </c>
    </row>
    <row r="9485" ht="22.5" customHeight="1">
      <c r="B9485" s="42" t="str">
        <f>IFERROR(__xludf.DUMMYFUNCTION("""COMPUTED_VALUE"""),"L/7/211125/1")</f>
        <v>L/7/211125/1</v>
      </c>
      <c r="C9485" s="42" t="str">
        <f>IFERROR(__xludf.DUMMYFUNCTION("""COMPUTED_VALUE"""),"M. 376/NEGERI OLOK GADING")</f>
        <v>M. 376/NEGERI OLOK GADING</v>
      </c>
      <c r="D9485" s="42"/>
      <c r="E9485" s="42"/>
      <c r="F9485" s="48" t="str">
        <f>IFERROR(__xludf.DUMMYFUNCTION("""COMPUTED_VALUE"""),"")</f>
        <v/>
      </c>
      <c r="G9485" s="42" t="str">
        <f>IFERROR(__xludf.DUMMYFUNCTION("""COMPUTED_VALUE"""),"ROYA")</f>
        <v>ROYA</v>
      </c>
      <c r="H9485" s="42">
        <f t="shared" si="1"/>
        <v>3345</v>
      </c>
    </row>
    <row r="9486" ht="22.5" customHeight="1">
      <c r="B9486" s="42" t="str">
        <f>IFERROR(__xludf.DUMMYFUNCTION("""COMPUTED_VALUE"""),"L/8/211125/1")</f>
        <v>L/8/211125/1</v>
      </c>
      <c r="C9486" s="42" t="str">
        <f>IFERROR(__xludf.DUMMYFUNCTION("""COMPUTED_VALUE"""),"M. 17816/SUKARAME")</f>
        <v>M. 17816/SUKARAME</v>
      </c>
      <c r="D9486" s="42"/>
      <c r="E9486" s="42"/>
      <c r="F9486" s="48" t="str">
        <f>IFERROR(__xludf.DUMMYFUNCTION("""COMPUTED_VALUE"""),"")</f>
        <v/>
      </c>
      <c r="G9486" s="42" t="str">
        <f>IFERROR(__xludf.DUMMYFUNCTION("""COMPUTED_VALUE"""),"ROYA")</f>
        <v>ROYA</v>
      </c>
      <c r="H9486" s="42">
        <f t="shared" si="1"/>
        <v>3345</v>
      </c>
    </row>
    <row r="9487" ht="22.5" customHeight="1">
      <c r="B9487" s="42" t="str">
        <f>IFERROR(__xludf.DUMMYFUNCTION("""COMPUTED_VALUE"""),"K/2/211125/1")</f>
        <v>K/2/211125/1</v>
      </c>
      <c r="C9487" s="42" t="str">
        <f>IFERROR(__xludf.DUMMYFUNCTION("""COMPUTED_VALUE"""),"M. 410/KALIAWI PERSADA")</f>
        <v>M. 410/KALIAWI PERSADA</v>
      </c>
      <c r="D9487" s="42"/>
      <c r="E9487" s="42"/>
      <c r="F9487" s="48" t="str">
        <f>IFERROR(__xludf.DUMMYFUNCTION("""COMPUTED_VALUE"""),"")</f>
        <v/>
      </c>
      <c r="G9487" s="42" t="str">
        <f>IFERROR(__xludf.DUMMYFUNCTION("""COMPUTED_VALUE"""),"SKPT LELANG")</f>
        <v>SKPT LELANG</v>
      </c>
      <c r="H9487" s="42">
        <f t="shared" si="1"/>
        <v>3345</v>
      </c>
    </row>
    <row r="9488" ht="22.5" customHeight="1">
      <c r="B9488" s="42" t="str">
        <f>IFERROR(__xludf.DUMMYFUNCTION("""COMPUTED_VALUE"""),"K/10/211125/1")</f>
        <v>K/10/211125/1</v>
      </c>
      <c r="C9488" s="42" t="str">
        <f>IFERROR(__xludf.DUMMYFUNCTION("""COMPUTED_VALUE"""),"B.728/BERINGIN RAYA")</f>
        <v>B.728/BERINGIN RAYA</v>
      </c>
      <c r="D9488" s="42"/>
      <c r="E9488" s="42"/>
      <c r="F9488" s="48" t="str">
        <f>IFERROR(__xludf.DUMMYFUNCTION("""COMPUTED_VALUE"""),"")</f>
        <v/>
      </c>
      <c r="G9488" s="42" t="str">
        <f>IFERROR(__xludf.DUMMYFUNCTION("""COMPUTED_VALUE"""),"PENGUKURAN HGB MATI")</f>
        <v>PENGUKURAN HGB MATI</v>
      </c>
      <c r="H9488" s="42">
        <f t="shared" si="1"/>
        <v>3345</v>
      </c>
    </row>
    <row r="9489" ht="22.5" customHeight="1">
      <c r="B9489" s="42" t="str">
        <f>IFERROR(__xludf.DUMMYFUNCTION("""COMPUTED_VALUE"""),"ABAYGOCW/AB065")</f>
        <v>ABAYGOCW/AB065</v>
      </c>
      <c r="C9489" s="42" t="str">
        <f>IFERROR(__xludf.DUMMYFUNCTION("""COMPUTED_VALUE"""),"Nibel 24019/Jagabaya III")</f>
        <v>Nibel 24019/Jagabaya III</v>
      </c>
      <c r="D9489" s="42"/>
      <c r="E9489" s="42"/>
      <c r="F9489" s="48" t="str">
        <f>IFERROR(__xludf.DUMMYFUNCTION("""COMPUTED_VALUE"""),"")</f>
        <v/>
      </c>
      <c r="G9489" s="42" t="str">
        <f>IFERROR(__xludf.DUMMYFUNCTION("""COMPUTED_VALUE"""),"Jual Beli")</f>
        <v>Jual Beli</v>
      </c>
      <c r="H9489" s="42">
        <f t="shared" si="1"/>
        <v>3345</v>
      </c>
    </row>
    <row r="9490" ht="22.5" customHeight="1">
      <c r="B9490" s="42" t="str">
        <f>IFERROR(__xludf.DUMMYFUNCTION("""COMPUTED_VALUE"""),"ABGKNHAU")</f>
        <v>ABGKNHAU</v>
      </c>
      <c r="C9490" s="42" t="str">
        <f>IFERROR(__xludf.DUMMYFUNCTION("""COMPUTED_VALUE"""),"M. 17163/sukarame baru")</f>
        <v>M. 17163/sukarame baru</v>
      </c>
      <c r="D9490" s="42"/>
      <c r="E9490" s="42"/>
      <c r="F9490" s="48" t="str">
        <f>IFERROR(__xludf.DUMMYFUNCTION("""COMPUTED_VALUE"""),"")</f>
        <v/>
      </c>
      <c r="G9490" s="42" t="str">
        <f>IFERROR(__xludf.DUMMYFUNCTION("""COMPUTED_VALUE"""),"Bn jual beli")</f>
        <v>Bn jual beli</v>
      </c>
      <c r="H9490" s="42">
        <f t="shared" si="1"/>
        <v>3345</v>
      </c>
    </row>
    <row r="9491" ht="22.5" customHeight="1">
      <c r="B9491" s="42" t="str">
        <f>IFERROR(__xludf.DUMMYFUNCTION("""COMPUTED_VALUE"""),"ABOYPQHY/AB065")</f>
        <v>ABOYPQHY/AB065</v>
      </c>
      <c r="C9491" s="42" t="str">
        <f>IFERROR(__xludf.DUMMYFUNCTION("""COMPUTED_VALUE"""),"Nibel 24020/Jagabaya III")</f>
        <v>Nibel 24020/Jagabaya III</v>
      </c>
      <c r="D9491" s="42"/>
      <c r="E9491" s="42"/>
      <c r="F9491" s="48" t="str">
        <f>IFERROR(__xludf.DUMMYFUNCTION("""COMPUTED_VALUE"""),"")</f>
        <v/>
      </c>
      <c r="G9491" s="42" t="str">
        <f>IFERROR(__xludf.DUMMYFUNCTION("""COMPUTED_VALUE"""),"Jual Beli")</f>
        <v>Jual Beli</v>
      </c>
      <c r="H9491" s="42">
        <f t="shared" si="1"/>
        <v>3345</v>
      </c>
    </row>
    <row r="9492" ht="22.5" customHeight="1">
      <c r="B9492" s="42" t="str">
        <f>IFERROR(__xludf.DUMMYFUNCTION("""COMPUTED_VALUE"""),"ABRMBNPC")</f>
        <v>ABRMBNPC</v>
      </c>
      <c r="C9492" s="42" t="str">
        <f>IFERROR(__xludf.DUMMYFUNCTION("""COMPUTED_VALUE"""),"M.598/korpri Raya ")</f>
        <v>M.598/korpri Raya </v>
      </c>
      <c r="D9492" s="42"/>
      <c r="E9492" s="42"/>
      <c r="F9492" s="48" t="str">
        <f>IFERROR(__xludf.DUMMYFUNCTION("""COMPUTED_VALUE"""),"")</f>
        <v/>
      </c>
      <c r="G9492" s="42" t="str">
        <f>IFERROR(__xludf.DUMMYFUNCTION("""COMPUTED_VALUE"""),"BN jual beli")</f>
        <v>BN jual beli</v>
      </c>
      <c r="H9492" s="42">
        <f t="shared" si="1"/>
        <v>3345</v>
      </c>
    </row>
    <row r="9493" ht="22.5" customHeight="1">
      <c r="B9493" s="42" t="str">
        <f>IFERROR(__xludf.DUMMYFUNCTION("""COMPUTED_VALUE"""),"AB043/ABDBPLSB")</f>
        <v>AB043/ABDBPLSB</v>
      </c>
      <c r="C9493" s="42" t="str">
        <f>IFERROR(__xludf.DUMMYFUNCTION("""COMPUTED_VALUE"""),"M. NIBEL 1990/KETEGUHAN DAN M. NIBEL 2000/KETEGUHAN")</f>
        <v>M. NIBEL 1990/KETEGUHAN DAN M. NIBEL 2000/KETEGUHAN</v>
      </c>
      <c r="D9493" s="42"/>
      <c r="E9493" s="42"/>
      <c r="F9493" s="48" t="str">
        <f>IFERROR(__xludf.DUMMYFUNCTION("""COMPUTED_VALUE"""),"")</f>
        <v/>
      </c>
      <c r="G9493" s="42" t="str">
        <f>IFERROR(__xludf.DUMMYFUNCTION("""COMPUTED_VALUE"""),"TUKAR MENUKAR")</f>
        <v>TUKAR MENUKAR</v>
      </c>
      <c r="H9493" s="42">
        <f t="shared" si="1"/>
        <v>3345</v>
      </c>
    </row>
    <row r="9494" ht="22.5" customHeight="1">
      <c r="B9494" s="42" t="str">
        <f>IFERROR(__xludf.DUMMYFUNCTION("""COMPUTED_VALUE"""),"AB057/ABLQKTYM")</f>
        <v>AB057/ABLQKTYM</v>
      </c>
      <c r="C9494" s="42" t="str">
        <f>IFERROR(__xludf.DUMMYFUNCTION("""COMPUTED_VALUE"""),"1042/ kemiling permai")</f>
        <v>1042/ kemiling permai</v>
      </c>
      <c r="D9494" s="42"/>
      <c r="E9494" s="42"/>
      <c r="F9494" s="48" t="str">
        <f>IFERROR(__xludf.DUMMYFUNCTION("""COMPUTED_VALUE"""),"")</f>
        <v/>
      </c>
      <c r="G9494" s="42" t="str">
        <f>IFERROR(__xludf.DUMMYFUNCTION("""COMPUTED_VALUE"""),"Ajb")</f>
        <v>Ajb</v>
      </c>
      <c r="H9494" s="42">
        <f t="shared" si="1"/>
        <v>3345</v>
      </c>
    </row>
    <row r="9495" ht="22.5" customHeight="1">
      <c r="B9495" s="42" t="str">
        <f>IFERROR(__xludf.DUMMYFUNCTION("""COMPUTED_VALUE"""),"AB057/ABSQSFQG")</f>
        <v>AB057/ABSQSFQG</v>
      </c>
      <c r="C9495" s="42" t="str">
        <f>IFERROR(__xludf.DUMMYFUNCTION("""COMPUTED_VALUE"""),"640/GA")</f>
        <v>640/GA</v>
      </c>
      <c r="D9495" s="42"/>
      <c r="E9495" s="42"/>
      <c r="F9495" s="48" t="str">
        <f>IFERROR(__xludf.DUMMYFUNCTION("""COMPUTED_VALUE"""),"")</f>
        <v/>
      </c>
      <c r="G9495" s="42" t="str">
        <f>IFERROR(__xludf.DUMMYFUNCTION("""COMPUTED_VALUE"""),"Roya")</f>
        <v>Roya</v>
      </c>
      <c r="H9495" s="42">
        <f t="shared" si="1"/>
        <v>3345</v>
      </c>
    </row>
    <row r="9496" ht="22.5" customHeight="1">
      <c r="B9496" s="42" t="str">
        <f>IFERROR(__xludf.DUMMYFUNCTION("""COMPUTED_VALUE"""),"Abaqcnte")</f>
        <v>Abaqcnte</v>
      </c>
      <c r="C9496" s="42" t="str">
        <f>IFERROR(__xludf.DUMMYFUNCTION("""COMPUTED_VALUE"""),"Nibel M.21242/Perumnas Way Kandis")</f>
        <v>Nibel M.21242/Perumnas Way Kandis</v>
      </c>
      <c r="D9496" s="42"/>
      <c r="E9496" s="42"/>
      <c r="F9496" s="48" t="str">
        <f>IFERROR(__xludf.DUMMYFUNCTION("""COMPUTED_VALUE"""),"")</f>
        <v/>
      </c>
      <c r="G9496" s="42" t="str">
        <f>IFERROR(__xludf.DUMMYFUNCTION("""COMPUTED_VALUE"""),"Bn")</f>
        <v>Bn</v>
      </c>
      <c r="H9496" s="42">
        <f t="shared" si="1"/>
        <v>3345</v>
      </c>
    </row>
    <row r="9497" ht="22.5" customHeight="1">
      <c r="B9497" s="42" t="str">
        <f>IFERROR(__xludf.DUMMYFUNCTION("""COMPUTED_VALUE"""),"Abevyfvy")</f>
        <v>Abevyfvy</v>
      </c>
      <c r="C9497" s="42" t="str">
        <f>IFERROR(__xludf.DUMMYFUNCTION("""COMPUTED_VALUE"""),"M.14580/Sukarame")</f>
        <v>M.14580/Sukarame</v>
      </c>
      <c r="D9497" s="42"/>
      <c r="E9497" s="42"/>
      <c r="F9497" s="48" t="str">
        <f>IFERROR(__xludf.DUMMYFUNCTION("""COMPUTED_VALUE"""),"")</f>
        <v/>
      </c>
      <c r="G9497" s="42" t="str">
        <f>IFERROR(__xludf.DUMMYFUNCTION("""COMPUTED_VALUE"""),"Bn")</f>
        <v>Bn</v>
      </c>
      <c r="H9497" s="42">
        <f t="shared" si="1"/>
        <v>3345</v>
      </c>
    </row>
    <row r="9498" ht="22.5" customHeight="1">
      <c r="B9498" s="42" t="str">
        <f>IFERROR(__xludf.DUMMYFUNCTION("""COMPUTED_VALUE"""),"K/11/211125/1")</f>
        <v>K/11/211125/1</v>
      </c>
      <c r="C9498" s="42" t="str">
        <f>IFERROR(__xludf.DUMMYFUNCTION("""COMPUTED_VALUE"""),"NIBEL B. 78/SUKARAME BARU")</f>
        <v>NIBEL B. 78/SUKARAME BARU</v>
      </c>
      <c r="D9498" s="42"/>
      <c r="E9498" s="42"/>
      <c r="F9498" s="48" t="str">
        <f>IFERROR(__xludf.DUMMYFUNCTION("""COMPUTED_VALUE"""),"")</f>
        <v/>
      </c>
      <c r="G9498" s="42" t="str">
        <f>IFERROR(__xludf.DUMMYFUNCTION("""COMPUTED_VALUE"""),"PENINGKATAN HAK")</f>
        <v>PENINGKATAN HAK</v>
      </c>
      <c r="H9498" s="42">
        <f t="shared" si="1"/>
        <v>3345</v>
      </c>
    </row>
    <row r="9499" ht="22.5" customHeight="1">
      <c r="B9499" s="42" t="str">
        <f>IFERROR(__xludf.DUMMYFUNCTION("""COMPUTED_VALUE"""),"K/12/211125/1")</f>
        <v>K/12/211125/1</v>
      </c>
      <c r="C9499" s="42" t="str">
        <f>IFERROR(__xludf.DUMMYFUNCTION("""COMPUTED_VALUE"""),"M. 2224/DURIAN PAYUNG")</f>
        <v>M. 2224/DURIAN PAYUNG</v>
      </c>
      <c r="D9499" s="42"/>
      <c r="E9499" s="42"/>
      <c r="F9499" s="48" t="str">
        <f>IFERROR(__xludf.DUMMYFUNCTION("""COMPUTED_VALUE"""),"")</f>
        <v/>
      </c>
      <c r="G9499" s="42" t="str">
        <f>IFERROR(__xludf.DUMMYFUNCTION("""COMPUTED_VALUE"""),"SKPT LELANG")</f>
        <v>SKPT LELANG</v>
      </c>
      <c r="H9499" s="42">
        <f t="shared" si="1"/>
        <v>3345</v>
      </c>
    </row>
    <row r="9500" ht="22.5" customHeight="1">
      <c r="B9500" s="42" t="str">
        <f>IFERROR(__xludf.DUMMYFUNCTION("""COMPUTED_VALUE"""),"L/9/211125/1")</f>
        <v>L/9/211125/1</v>
      </c>
      <c r="C9500" s="42" t="str">
        <f>IFERROR(__xludf.DUMMYFUNCTION("""COMPUTED_VALUE"""),"LUAS 300 M2 KEL. WAY DADI BARU")</f>
        <v>LUAS 300 M2 KEL. WAY DADI BARU</v>
      </c>
      <c r="D9500" s="42"/>
      <c r="E9500" s="42"/>
      <c r="F9500" s="48" t="str">
        <f>IFERROR(__xludf.DUMMYFUNCTION("""COMPUTED_VALUE"""),"")</f>
        <v/>
      </c>
      <c r="G9500" s="42" t="str">
        <f>IFERROR(__xludf.DUMMYFUNCTION("""COMPUTED_VALUE"""),"PENGUKURAN PERTAMA KALI")</f>
        <v>PENGUKURAN PERTAMA KALI</v>
      </c>
      <c r="H9500" s="42">
        <f t="shared" si="1"/>
        <v>3345</v>
      </c>
    </row>
    <row r="9501" ht="22.5" customHeight="1">
      <c r="B9501" s="42" t="str">
        <f>IFERROR(__xludf.DUMMYFUNCTION("""COMPUTED_VALUE"""),"K/13/211125/2")</f>
        <v>K/13/211125/2</v>
      </c>
      <c r="C9501" s="42" t="str">
        <f>IFERROR(__xludf.DUMMYFUNCTION("""COMPUTED_VALUE"""),"M.2223/SURIAN PAYUNG")</f>
        <v>M.2223/SURIAN PAYUNG</v>
      </c>
      <c r="D9501" s="42"/>
      <c r="E9501" s="42"/>
      <c r="F9501" s="48" t="str">
        <f>IFERROR(__xludf.DUMMYFUNCTION("""COMPUTED_VALUE"""),"")</f>
        <v/>
      </c>
      <c r="G9501" s="42" t="str">
        <f>IFERROR(__xludf.DUMMYFUNCTION("""COMPUTED_VALUE"""),"SKPT LELANG")</f>
        <v>SKPT LELANG</v>
      </c>
      <c r="H9501" s="42">
        <f t="shared" si="1"/>
        <v>3345</v>
      </c>
    </row>
    <row r="9502" ht="22.5" customHeight="1">
      <c r="B9502" s="42" t="str">
        <f>IFERROR(__xludf.DUMMYFUNCTION("""COMPUTED_VALUE"""),"K/14/211125/1")</f>
        <v>K/14/211125/1</v>
      </c>
      <c r="C9502" s="42" t="str">
        <f>IFERROR(__xludf.DUMMYFUNCTION("""COMPUTED_VALUE"""),"B. 1832/SUKARAME")</f>
        <v>B. 1832/SUKARAME</v>
      </c>
      <c r="D9502" s="42"/>
      <c r="E9502" s="42"/>
      <c r="F9502" s="48" t="str">
        <f>IFERROR(__xludf.DUMMYFUNCTION("""COMPUTED_VALUE"""),"")</f>
        <v/>
      </c>
      <c r="G9502" s="42" t="str">
        <f>IFERROR(__xludf.DUMMYFUNCTION("""COMPUTED_VALUE"""),"PENGUKURAN HGB MATI")</f>
        <v>PENGUKURAN HGB MATI</v>
      </c>
      <c r="H9502" s="42">
        <f t="shared" si="1"/>
        <v>3345</v>
      </c>
    </row>
    <row r="9503" ht="22.5" customHeight="1">
      <c r="B9503" s="42" t="str">
        <f>IFERROR(__xludf.DUMMYFUNCTION("""COMPUTED_VALUE"""),"L/16/211125/1")</f>
        <v>L/16/211125/1</v>
      </c>
      <c r="C9503" s="42" t="str">
        <f>IFERROR(__xludf.DUMMYFUNCTION("""COMPUTED_VALUE"""),"M. 173/NEGERI OLOK GADING")</f>
        <v>M. 173/NEGERI OLOK GADING</v>
      </c>
      <c r="D9503" s="42"/>
      <c r="E9503" s="42"/>
      <c r="F9503" s="48" t="str">
        <f>IFERROR(__xludf.DUMMYFUNCTION("""COMPUTED_VALUE"""),"")</f>
        <v/>
      </c>
      <c r="G9503" s="42" t="str">
        <f>IFERROR(__xludf.DUMMYFUNCTION("""COMPUTED_VALUE"""),"ROYA WARIS")</f>
        <v>ROYA WARIS</v>
      </c>
      <c r="H9503" s="42">
        <f t="shared" si="1"/>
        <v>3345</v>
      </c>
    </row>
    <row r="9504" ht="22.5" customHeight="1">
      <c r="B9504" s="42" t="str">
        <f>IFERROR(__xludf.DUMMYFUNCTION("""COMPUTED_VALUE"""),"L/1/221125/1")</f>
        <v>L/1/221125/1</v>
      </c>
      <c r="C9504" s="42" t="str">
        <f>IFERROR(__xludf.DUMMYFUNCTION("""COMPUTED_VALUE"""),"M 1011/ SUMBER REJO")</f>
        <v>M 1011/ SUMBER REJO</v>
      </c>
      <c r="D9504" s="42"/>
      <c r="E9504" s="42"/>
      <c r="F9504" s="48" t="str">
        <f>IFERROR(__xludf.DUMMYFUNCTION("""COMPUTED_VALUE"""),"")</f>
        <v/>
      </c>
      <c r="G9504" s="42" t="str">
        <f>IFERROR(__xludf.DUMMYFUNCTION("""COMPUTED_VALUE"""),"ROYA LELANG")</f>
        <v>ROYA LELANG</v>
      </c>
      <c r="H9504" s="42">
        <f t="shared" si="1"/>
        <v>3345</v>
      </c>
    </row>
    <row r="9505" ht="22.5" customHeight="1">
      <c r="B9505" s="42" t="str">
        <f>IFERROR(__xludf.DUMMYFUNCTION("""COMPUTED_VALUE"""),"L/1/231125/1")</f>
        <v>L/1/231125/1</v>
      </c>
      <c r="C9505" s="42" t="str">
        <f>IFERROR(__xludf.DUMMYFUNCTION("""COMPUTED_VALUE"""),"M.1406/PANJANG SELATAN ")</f>
        <v>M.1406/PANJANG SELATAN </v>
      </c>
      <c r="D9505" s="42"/>
      <c r="E9505" s="42"/>
      <c r="F9505" s="48" t="str">
        <f>IFERROR(__xludf.DUMMYFUNCTION("""COMPUTED_VALUE"""),"")</f>
        <v/>
      </c>
      <c r="G9505" s="42" t="str">
        <f>IFERROR(__xludf.DUMMYFUNCTION("""COMPUTED_VALUE"""),"BN JUAL BELI")</f>
        <v>BN JUAL BELI</v>
      </c>
      <c r="H9505" s="42">
        <f t="shared" si="1"/>
        <v>3345</v>
      </c>
    </row>
    <row r="9506" ht="22.5" customHeight="1">
      <c r="B9506" s="42" t="str">
        <f>IFERROR(__xludf.DUMMYFUNCTION("""COMPUTED_VALUE"""),"ABFPVBRB/Ab020")</f>
        <v>ABFPVBRB/Ab020</v>
      </c>
      <c r="C9506" s="42" t="str">
        <f>IFERROR(__xludf.DUMMYFUNCTION("""COMPUTED_VALUE"""),"M. 1330/Beringin Raya")</f>
        <v>M. 1330/Beringin Raya</v>
      </c>
      <c r="D9506" s="42"/>
      <c r="E9506" s="42"/>
      <c r="F9506" s="48" t="str">
        <f>IFERROR(__xludf.DUMMYFUNCTION("""COMPUTED_VALUE"""),"")</f>
        <v/>
      </c>
      <c r="G9506" s="42" t="str">
        <f>IFERROR(__xludf.DUMMYFUNCTION("""COMPUTED_VALUE"""),"BN Jual beli")</f>
        <v>BN Jual beli</v>
      </c>
      <c r="H9506" s="42">
        <f t="shared" si="1"/>
        <v>3345</v>
      </c>
    </row>
    <row r="9507" ht="22.5" customHeight="1">
      <c r="B9507" s="42" t="str">
        <f>IFERROR(__xludf.DUMMYFUNCTION("""COMPUTED_VALUE"""),"AB010/ABGXBAWC")</f>
        <v>AB010/ABGXBAWC</v>
      </c>
      <c r="C9507" s="42" t="str">
        <f>IFERROR(__xludf.DUMMYFUNCTION("""COMPUTED_VALUE"""),"M2592/sukarame II")</f>
        <v>M2592/sukarame II</v>
      </c>
      <c r="D9507" s="42"/>
      <c r="E9507" s="42"/>
      <c r="F9507" s="48" t="str">
        <f>IFERROR(__xludf.DUMMYFUNCTION("""COMPUTED_VALUE"""),"")</f>
        <v/>
      </c>
      <c r="G9507" s="42" t="str">
        <f>IFERROR(__xludf.DUMMYFUNCTION("""COMPUTED_VALUE"""),"Peralihan hak")</f>
        <v>Peralihan hak</v>
      </c>
      <c r="H9507" s="42">
        <f t="shared" si="1"/>
        <v>3345</v>
      </c>
    </row>
    <row r="9508" ht="22.5" customHeight="1">
      <c r="B9508" s="42" t="str">
        <f>IFERROR(__xludf.DUMMYFUNCTION("""COMPUTED_VALUE"""),"ABDNBTLE/AB021")</f>
        <v>ABDNBTLE/AB021</v>
      </c>
      <c r="C9508" s="42" t="str">
        <f>IFERROR(__xludf.DUMMYFUNCTION("""COMPUTED_VALUE"""),"M. 10257/Surabaya")</f>
        <v>M. 10257/Surabaya</v>
      </c>
      <c r="D9508" s="42"/>
      <c r="E9508" s="42"/>
      <c r="F9508" s="48" t="str">
        <f>IFERROR(__xludf.DUMMYFUNCTION("""COMPUTED_VALUE"""),"")</f>
        <v/>
      </c>
      <c r="G9508" s="42" t="str">
        <f>IFERROR(__xludf.DUMMYFUNCTION("""COMPUTED_VALUE"""),"Bn hibah")</f>
        <v>Bn hibah</v>
      </c>
      <c r="H9508" s="42">
        <f t="shared" si="1"/>
        <v>3345</v>
      </c>
    </row>
    <row r="9509" ht="22.5" customHeight="1">
      <c r="B9509" s="42" t="str">
        <f>IFERROR(__xludf.DUMMYFUNCTION("""COMPUTED_VALUE"""),"AB010/ABBZOSNY")</f>
        <v>AB010/ABBZOSNY</v>
      </c>
      <c r="C9509" s="42" t="str">
        <f>IFERROR(__xludf.DUMMYFUNCTION("""COMPUTED_VALUE"""),"M1920/batu putuk")</f>
        <v>M1920/batu putuk</v>
      </c>
      <c r="D9509" s="42"/>
      <c r="E9509" s="42"/>
      <c r="F9509" s="48" t="str">
        <f>IFERROR(__xludf.DUMMYFUNCTION("""COMPUTED_VALUE"""),"")</f>
        <v/>
      </c>
      <c r="G9509" s="42" t="str">
        <f>IFERROR(__xludf.DUMMYFUNCTION("""COMPUTED_VALUE"""),"Peralihan hak")</f>
        <v>Peralihan hak</v>
      </c>
      <c r="H9509" s="42">
        <f t="shared" si="1"/>
        <v>3345</v>
      </c>
    </row>
    <row r="9510" ht="22.5" customHeight="1">
      <c r="B9510" s="42" t="str">
        <f>IFERROR(__xludf.DUMMYFUNCTION("""COMPUTED_VALUE"""),"AB010/ABMHIKSH")</f>
        <v>AB010/ABMHIKSH</v>
      </c>
      <c r="C9510" s="42" t="str">
        <f>IFERROR(__xludf.DUMMYFUNCTION("""COMPUTED_VALUE"""),"M2718/sukarame II")</f>
        <v>M2718/sukarame II</v>
      </c>
      <c r="D9510" s="42"/>
      <c r="E9510" s="42"/>
      <c r="F9510" s="48" t="str">
        <f>IFERROR(__xludf.DUMMYFUNCTION("""COMPUTED_VALUE"""),"")</f>
        <v/>
      </c>
      <c r="G9510" s="42" t="str">
        <f>IFERROR(__xludf.DUMMYFUNCTION("""COMPUTED_VALUE"""),"Peralihan hak")</f>
        <v>Peralihan hak</v>
      </c>
      <c r="H9510" s="42">
        <f t="shared" si="1"/>
        <v>3345</v>
      </c>
    </row>
    <row r="9511" ht="22.5" customHeight="1">
      <c r="B9511" s="42" t="str">
        <f>IFERROR(__xludf.DUMMYFUNCTION("""COMPUTED_VALUE"""),"AB010/ABWXZATL")</f>
        <v>AB010/ABWXZATL</v>
      </c>
      <c r="C9511" s="42" t="str">
        <f>IFERROR(__xludf.DUMMYFUNCTION("""COMPUTED_VALUE"""),"M1913/batu putuk")</f>
        <v>M1913/batu putuk</v>
      </c>
      <c r="D9511" s="42"/>
      <c r="E9511" s="42"/>
      <c r="F9511" s="48" t="str">
        <f>IFERROR(__xludf.DUMMYFUNCTION("""COMPUTED_VALUE"""),"")</f>
        <v/>
      </c>
      <c r="G9511" s="42" t="str">
        <f>IFERROR(__xludf.DUMMYFUNCTION("""COMPUTED_VALUE"""),"Peralihan hak")</f>
        <v>Peralihan hak</v>
      </c>
      <c r="H9511" s="42">
        <f t="shared" si="1"/>
        <v>3345</v>
      </c>
    </row>
    <row r="9512" ht="22.5" customHeight="1">
      <c r="B9512" s="42" t="str">
        <f>IFERROR(__xludf.DUMMYFUNCTION("""COMPUTED_VALUE"""),"AB010/ABWHUCRM")</f>
        <v>AB010/ABWHUCRM</v>
      </c>
      <c r="C9512" s="42" t="str">
        <f>IFERROR(__xludf.DUMMYFUNCTION("""COMPUTED_VALUE"""),"M.2711/sukarame II")</f>
        <v>M.2711/sukarame II</v>
      </c>
      <c r="D9512" s="42"/>
      <c r="E9512" s="42"/>
      <c r="F9512" s="48" t="str">
        <f>IFERROR(__xludf.DUMMYFUNCTION("""COMPUTED_VALUE"""),"")</f>
        <v/>
      </c>
      <c r="G9512" s="42" t="str">
        <f>IFERROR(__xludf.DUMMYFUNCTION("""COMPUTED_VALUE"""),"Peralihan hak")</f>
        <v>Peralihan hak</v>
      </c>
      <c r="H9512" s="42">
        <f t="shared" si="1"/>
        <v>3345</v>
      </c>
    </row>
    <row r="9513" ht="22.5" customHeight="1">
      <c r="B9513" s="42" t="str">
        <f>IFERROR(__xludf.DUMMYFUNCTION("""COMPUTED_VALUE"""),"AB025/ABZEYJQW")</f>
        <v>AB025/ABZEYJQW</v>
      </c>
      <c r="C9513" s="42" t="str">
        <f>IFERROR(__xludf.DUMMYFUNCTION("""COMPUTED_VALUE"""),"M.4051/Tanjung Senang")</f>
        <v>M.4051/Tanjung Senang</v>
      </c>
      <c r="D9513" s="42"/>
      <c r="E9513" s="42"/>
      <c r="F9513" s="48" t="str">
        <f>IFERROR(__xludf.DUMMYFUNCTION("""COMPUTED_VALUE"""),"")</f>
        <v/>
      </c>
      <c r="G9513" s="42" t="str">
        <f>IFERROR(__xludf.DUMMYFUNCTION("""COMPUTED_VALUE"""),"Roya")</f>
        <v>Roya</v>
      </c>
      <c r="H9513" s="42">
        <f t="shared" si="1"/>
        <v>3345</v>
      </c>
    </row>
    <row r="9514" ht="22.5" customHeight="1">
      <c r="B9514" s="42" t="str">
        <f>IFERROR(__xludf.DUMMYFUNCTION("""COMPUTED_VALUE"""),"AB025/ABCGHZFZ")</f>
        <v>AB025/ABCGHZFZ</v>
      </c>
      <c r="C9514" s="42" t="str">
        <f>IFERROR(__xludf.DUMMYFUNCTION("""COMPUTED_VALUE"""),"M 1512/Way Kandis")</f>
        <v>M 1512/Way Kandis</v>
      </c>
      <c r="D9514" s="42"/>
      <c r="E9514" s="42"/>
      <c r="F9514" s="48" t="str">
        <f>IFERROR(__xludf.DUMMYFUNCTION("""COMPUTED_VALUE"""),"")</f>
        <v/>
      </c>
      <c r="G9514" s="42" t="str">
        <f>IFERROR(__xludf.DUMMYFUNCTION("""COMPUTED_VALUE"""),"Ganti Desa")</f>
        <v>Ganti Desa</v>
      </c>
      <c r="H9514" s="42">
        <f t="shared" si="1"/>
        <v>3345</v>
      </c>
    </row>
    <row r="9515" ht="22.5" customHeight="1">
      <c r="B9515" s="42" t="str">
        <f>IFERROR(__xludf.DUMMYFUNCTION("""COMPUTED_VALUE"""),"AB089/ABUZRNGG")</f>
        <v>AB089/ABUZRNGG</v>
      </c>
      <c r="C9515" s="42" t="str">
        <f>IFERROR(__xludf.DUMMYFUNCTION("""COMPUTED_VALUE"""),"M.3199/ Sukrame Baru")</f>
        <v>M.3199/ Sukrame Baru</v>
      </c>
      <c r="D9515" s="42"/>
      <c r="E9515" s="42"/>
      <c r="F9515" s="48" t="str">
        <f>IFERROR(__xludf.DUMMYFUNCTION("""COMPUTED_VALUE"""),"")</f>
        <v/>
      </c>
      <c r="G9515" s="42" t="str">
        <f>IFERROR(__xludf.DUMMYFUNCTION("""COMPUTED_VALUE"""),"BN Waris")</f>
        <v>BN Waris</v>
      </c>
      <c r="H9515" s="42">
        <f t="shared" si="1"/>
        <v>3345</v>
      </c>
    </row>
    <row r="9516" ht="22.5" customHeight="1">
      <c r="B9516" s="42" t="str">
        <f>IFERROR(__xludf.DUMMYFUNCTION("""COMPUTED_VALUE"""),"AB 041")</f>
        <v>AB 041</v>
      </c>
      <c r="C9516" s="42" t="str">
        <f>IFERROR(__xludf.DUMMYFUNCTION("""COMPUTED_VALUE"""),"SHM 01186/Susunan Baru")</f>
        <v>SHM 01186/Susunan Baru</v>
      </c>
      <c r="D9516" s="42"/>
      <c r="E9516" s="42"/>
      <c r="F9516" s="48" t="str">
        <f>IFERROR(__xludf.DUMMYFUNCTION("""COMPUTED_VALUE"""),"")</f>
        <v/>
      </c>
      <c r="G9516" s="42" t="str">
        <f>IFERROR(__xludf.DUMMYFUNCTION("""COMPUTED_VALUE"""),"Balik Nama")</f>
        <v>Balik Nama</v>
      </c>
      <c r="H9516" s="42">
        <f t="shared" si="1"/>
        <v>3345</v>
      </c>
    </row>
    <row r="9517" ht="22.5" customHeight="1">
      <c r="B9517" s="42" t="str">
        <f>IFERROR(__xludf.DUMMYFUNCTION("""COMPUTED_VALUE"""),"AB044/ABNCLACN")</f>
        <v>AB044/ABNCLACN</v>
      </c>
      <c r="C9517" s="42" t="str">
        <f>IFERROR(__xludf.DUMMYFUNCTION("""COMPUTED_VALUE"""),"M.598/korpri raya")</f>
        <v>M.598/korpri raya</v>
      </c>
      <c r="D9517" s="42"/>
      <c r="E9517" s="42"/>
      <c r="F9517" s="48" t="str">
        <f>IFERROR(__xludf.DUMMYFUNCTION("""COMPUTED_VALUE"""),"")</f>
        <v/>
      </c>
      <c r="G9517" s="42" t="str">
        <f>IFERROR(__xludf.DUMMYFUNCTION("""COMPUTED_VALUE"""),"BN jual beli")</f>
        <v>BN jual beli</v>
      </c>
      <c r="H9517" s="42">
        <f t="shared" si="1"/>
        <v>3345</v>
      </c>
    </row>
    <row r="9518" ht="22.5" customHeight="1">
      <c r="B9518" s="42" t="str">
        <f>IFERROR(__xludf.DUMMYFUNCTION("""COMPUTED_VALUE"""),"K/1/241125/1")</f>
        <v>K/1/241125/1</v>
      </c>
      <c r="C9518" s="42" t="str">
        <f>IFERROR(__xludf.DUMMYFUNCTION("""COMPUTED_VALUE"""),"B 542/ SUKABUMI")</f>
        <v>B 542/ SUKABUMI</v>
      </c>
      <c r="D9518" s="42"/>
      <c r="E9518" s="42"/>
      <c r="F9518" s="48" t="str">
        <f>IFERROR(__xludf.DUMMYFUNCTION("""COMPUTED_VALUE"""),"")</f>
        <v/>
      </c>
      <c r="G9518" s="42" t="str">
        <f>IFERROR(__xludf.DUMMYFUNCTION("""COMPUTED_VALUE"""),"PENGUKURAN HGB BERAKHIR")</f>
        <v>PENGUKURAN HGB BERAKHIR</v>
      </c>
      <c r="H9518" s="42">
        <f t="shared" si="1"/>
        <v>3345</v>
      </c>
    </row>
    <row r="9519" ht="22.5" customHeight="1">
      <c r="B9519" s="42" t="str">
        <f>IFERROR(__xludf.DUMMYFUNCTION("""COMPUTED_VALUE"""),"ABEQKPTV/AB017")</f>
        <v>ABEQKPTV/AB017</v>
      </c>
      <c r="C9519" s="42" t="str">
        <f>IFERROR(__xludf.DUMMYFUNCTION("""COMPUTED_VALUE"""),"M. 5472/Way Kandis")</f>
        <v>M. 5472/Way Kandis</v>
      </c>
      <c r="D9519" s="42"/>
      <c r="E9519" s="42"/>
      <c r="F9519" s="48" t="str">
        <f>IFERROR(__xludf.DUMMYFUNCTION("""COMPUTED_VALUE"""),"")</f>
        <v/>
      </c>
      <c r="G9519" s="42" t="str">
        <f>IFERROR(__xludf.DUMMYFUNCTION("""COMPUTED_VALUE"""),"Peralihan Hak")</f>
        <v>Peralihan Hak</v>
      </c>
      <c r="H9519" s="42">
        <f t="shared" si="1"/>
        <v>3345</v>
      </c>
    </row>
    <row r="9520" ht="22.5" customHeight="1">
      <c r="B9520" s="42" t="str">
        <f>IFERROR(__xludf.DUMMYFUNCTION("""COMPUTED_VALUE"""),"AB047 /ABTHEEXE")</f>
        <v>AB047 /ABTHEEXE</v>
      </c>
      <c r="C9520" s="42" t="str">
        <f>IFERROR(__xludf.DUMMYFUNCTION("""COMPUTED_VALUE"""),"M.86/Gedong meneng baru")</f>
        <v>M.86/Gedong meneng baru</v>
      </c>
      <c r="D9520" s="42"/>
      <c r="E9520" s="42"/>
      <c r="F9520" s="48" t="str">
        <f>IFERROR(__xludf.DUMMYFUNCTION("""COMPUTED_VALUE"""),"")</f>
        <v/>
      </c>
      <c r="G9520" s="42" t="str">
        <f>IFERROR(__xludf.DUMMYFUNCTION("""COMPUTED_VALUE"""),"Ajb")</f>
        <v>Ajb</v>
      </c>
      <c r="H9520" s="42">
        <f t="shared" si="1"/>
        <v>3345</v>
      </c>
    </row>
    <row r="9521" ht="22.5" customHeight="1">
      <c r="B9521" s="42" t="str">
        <f>IFERROR(__xludf.DUMMYFUNCTION("""COMPUTED_VALUE"""),"ABSXKDCS")</f>
        <v>ABSXKDCS</v>
      </c>
      <c r="C9521" s="42" t="str">
        <f>IFERROR(__xludf.DUMMYFUNCTION("""COMPUTED_VALUE"""),"08010000202380")</f>
        <v>08010000202380</v>
      </c>
      <c r="D9521" s="42"/>
      <c r="E9521" s="42"/>
      <c r="F9521" s="48" t="str">
        <f>IFERROR(__xludf.DUMMYFUNCTION("""COMPUTED_VALUE"""),"")</f>
        <v/>
      </c>
      <c r="G9521" s="42" t="str">
        <f>IFERROR(__xludf.DUMMYFUNCTION("""COMPUTED_VALUE"""),"Peralihan hak")</f>
        <v>Peralihan hak</v>
      </c>
      <c r="H9521" s="42">
        <f t="shared" si="1"/>
        <v>3345</v>
      </c>
    </row>
    <row r="9522" ht="22.5" customHeight="1">
      <c r="B9522" s="42" t="str">
        <f>IFERROR(__xludf.DUMMYFUNCTION("""COMPUTED_VALUE"""),"ABICVECD")</f>
        <v>ABICVECD</v>
      </c>
      <c r="C9522" s="42" t="str">
        <f>IFERROR(__xludf.DUMMYFUNCTION("""COMPUTED_VALUE"""),"1411/Gu.T")</f>
        <v>1411/Gu.T</v>
      </c>
      <c r="D9522" s="42"/>
      <c r="E9522" s="42"/>
      <c r="F9522" s="48" t="str">
        <f>IFERROR(__xludf.DUMMYFUNCTION("""COMPUTED_VALUE"""),"")</f>
        <v/>
      </c>
      <c r="G9522" s="42" t="str">
        <f>IFERROR(__xludf.DUMMYFUNCTION("""COMPUTED_VALUE"""),"BN jual beli")</f>
        <v>BN jual beli</v>
      </c>
      <c r="H9522" s="42">
        <f t="shared" si="1"/>
        <v>3345</v>
      </c>
    </row>
    <row r="9523" ht="22.5" customHeight="1">
      <c r="B9523" s="42" t="str">
        <f>IFERROR(__xludf.DUMMYFUNCTION("""COMPUTED_VALUE"""),"K/15/211125/1")</f>
        <v>K/15/211125/1</v>
      </c>
      <c r="C9523" s="42" t="str">
        <f>IFERROR(__xludf.DUMMYFUNCTION("""COMPUTED_VALUE"""),"M.1889/KUPANG TEBA")</f>
        <v>M.1889/KUPANG TEBA</v>
      </c>
      <c r="D9523" s="42"/>
      <c r="E9523" s="42"/>
      <c r="F9523" s="48" t="str">
        <f>IFERROR(__xludf.DUMMYFUNCTION("""COMPUTED_VALUE"""),"")</f>
        <v/>
      </c>
      <c r="G9523" s="42" t="str">
        <f>IFERROR(__xludf.DUMMYFUNCTION("""COMPUTED_VALUE"""),"BN JUAL BELI ")</f>
        <v>BN JUAL BELI </v>
      </c>
      <c r="H9523" s="42">
        <f t="shared" si="1"/>
        <v>3345</v>
      </c>
    </row>
    <row r="9524" ht="22.5" customHeight="1">
      <c r="B9524" s="42" t="str">
        <f>IFERROR(__xludf.DUMMYFUNCTION("""COMPUTED_VALUE"""),"AB058/ABCXEKSN")</f>
        <v>AB058/ABCXEKSN</v>
      </c>
      <c r="C9524" s="42" t="str">
        <f>IFERROR(__xludf.DUMMYFUNCTION("""COMPUTED_VALUE"""),"1584/TB")</f>
        <v>1584/TB</v>
      </c>
      <c r="D9524" s="42"/>
      <c r="E9524" s="42"/>
      <c r="F9524" s="48" t="str">
        <f>IFERROR(__xludf.DUMMYFUNCTION("""COMPUTED_VALUE"""),"")</f>
        <v/>
      </c>
      <c r="G9524" s="42" t="str">
        <f>IFERROR(__xludf.DUMMYFUNCTION("""COMPUTED_VALUE"""),"BN jual beli ")</f>
        <v>BN jual beli </v>
      </c>
      <c r="H9524" s="42">
        <f t="shared" si="1"/>
        <v>3345</v>
      </c>
    </row>
    <row r="9525" ht="22.5" customHeight="1">
      <c r="B9525" s="42" t="str">
        <f>IFERROR(__xludf.DUMMYFUNCTION("""COMPUTED_VALUE"""),"L/2/241125/1")</f>
        <v>L/2/241125/1</v>
      </c>
      <c r="C9525" s="42" t="str">
        <f>IFERROR(__xludf.DUMMYFUNCTION("""COMPUTED_VALUE"""),"M.2430/CAMPANG RAYA ")</f>
        <v>M.2430/CAMPANG RAYA </v>
      </c>
      <c r="D9525" s="42"/>
      <c r="E9525" s="42"/>
      <c r="F9525" s="48" t="str">
        <f>IFERROR(__xludf.DUMMYFUNCTION("""COMPUTED_VALUE"""),"")</f>
        <v/>
      </c>
      <c r="G9525" s="42" t="str">
        <f>IFERROR(__xludf.DUMMYFUNCTION("""COMPUTED_VALUE"""),"ROYA")</f>
        <v>ROYA</v>
      </c>
      <c r="H9525" s="42">
        <f t="shared" si="1"/>
        <v>3345</v>
      </c>
    </row>
    <row r="9526" ht="22.5" customHeight="1">
      <c r="B9526" s="42" t="str">
        <f>IFERROR(__xludf.DUMMYFUNCTION("""COMPUTED_VALUE"""),"AB058/ABICVECD")</f>
        <v>AB058/ABICVECD</v>
      </c>
      <c r="C9526" s="42" t="str">
        <f>IFERROR(__xludf.DUMMYFUNCTION("""COMPUTED_VALUE"""),"1411/Gu.T")</f>
        <v>1411/Gu.T</v>
      </c>
      <c r="D9526" s="42"/>
      <c r="E9526" s="42"/>
      <c r="F9526" s="48" t="str">
        <f>IFERROR(__xludf.DUMMYFUNCTION("""COMPUTED_VALUE"""),"")</f>
        <v/>
      </c>
      <c r="G9526" s="42" t="str">
        <f>IFERROR(__xludf.DUMMYFUNCTION("""COMPUTED_VALUE"""),"BN hibah")</f>
        <v>BN hibah</v>
      </c>
      <c r="H9526" s="42">
        <f t="shared" si="1"/>
        <v>3345</v>
      </c>
    </row>
    <row r="9527" ht="22.5" customHeight="1">
      <c r="B9527" s="42" t="str">
        <f>IFERROR(__xludf.DUMMYFUNCTION("""COMPUTED_VALUE"""),"L/3/241125/1")</f>
        <v>L/3/241125/1</v>
      </c>
      <c r="C9527" s="42" t="str">
        <f>IFERROR(__xludf.DUMMYFUNCTION("""COMPUTED_VALUE"""),"KEMILING PERMAI")</f>
        <v>KEMILING PERMAI</v>
      </c>
      <c r="D9527" s="42"/>
      <c r="E9527" s="42"/>
      <c r="F9527" s="48" t="str">
        <f>IFERROR(__xludf.DUMMYFUNCTION("""COMPUTED_VALUE"""),"")</f>
        <v/>
      </c>
      <c r="G9527" s="42" t="str">
        <f>IFERROR(__xludf.DUMMYFUNCTION("""COMPUTED_VALUE"""),"TANAH MENTAH ")</f>
        <v>TANAH MENTAH </v>
      </c>
      <c r="H9527" s="42">
        <f t="shared" si="1"/>
        <v>3345</v>
      </c>
    </row>
    <row r="9528" ht="22.5" customHeight="1">
      <c r="B9528" s="42" t="str">
        <f>IFERROR(__xludf.DUMMYFUNCTION("""COMPUTED_VALUE"""),"L/4/241125/1")</f>
        <v>L/4/241125/1</v>
      </c>
      <c r="C9528" s="42" t="str">
        <f>IFERROR(__xludf.DUMMYFUNCTION("""COMPUTED_VALUE"""),"B.722/BERINGIN JAYA")</f>
        <v>B.722/BERINGIN JAYA</v>
      </c>
      <c r="D9528" s="42"/>
      <c r="E9528" s="42"/>
      <c r="F9528" s="48" t="str">
        <f>IFERROR(__xludf.DUMMYFUNCTION("""COMPUTED_VALUE"""),"")</f>
        <v/>
      </c>
      <c r="G9528" s="42" t="str">
        <f>IFERROR(__xludf.DUMMYFUNCTION("""COMPUTED_VALUE"""),"PENINGKATAN HAK")</f>
        <v>PENINGKATAN HAK</v>
      </c>
      <c r="H9528" s="42">
        <f t="shared" si="1"/>
        <v>3345</v>
      </c>
    </row>
    <row r="9529" ht="22.5" customHeight="1">
      <c r="B9529" s="42" t="str">
        <f>IFERROR(__xludf.DUMMYFUNCTION("""COMPUTED_VALUE"""),"AVOELWW/A012")</f>
        <v>AVOELWW/A012</v>
      </c>
      <c r="C9529" s="42" t="str">
        <f>IFERROR(__xludf.DUMMYFUNCTION("""COMPUTED_VALUE"""),"Nibel 17379/Sukarame Baru")</f>
        <v>Nibel 17379/Sukarame Baru</v>
      </c>
      <c r="D9529" s="42"/>
      <c r="E9529" s="42"/>
      <c r="F9529" s="48" t="str">
        <f>IFERROR(__xludf.DUMMYFUNCTION("""COMPUTED_VALUE"""),"")</f>
        <v/>
      </c>
      <c r="G9529" s="42" t="str">
        <f>IFERROR(__xludf.DUMMYFUNCTION("""COMPUTED_VALUE"""),"BN jual beli")</f>
        <v>BN jual beli</v>
      </c>
      <c r="H9529" s="42">
        <f t="shared" si="1"/>
        <v>3345</v>
      </c>
    </row>
    <row r="9530" ht="22.5" customHeight="1">
      <c r="B9530" s="42" t="str">
        <f>IFERROR(__xludf.DUMMYFUNCTION("""COMPUTED_VALUE"""),"L/5/241125/1")</f>
        <v>L/5/241125/1</v>
      </c>
      <c r="C9530" s="42" t="str">
        <f>IFERROR(__xludf.DUMMYFUNCTION("""COMPUTED_VALUE"""),"B.2297/SUKARAME BARU")</f>
        <v>B.2297/SUKARAME BARU</v>
      </c>
      <c r="D9530" s="42"/>
      <c r="E9530" s="42"/>
      <c r="F9530" s="48" t="str">
        <f>IFERROR(__xludf.DUMMYFUNCTION("""COMPUTED_VALUE"""),"")</f>
        <v/>
      </c>
      <c r="G9530" s="42" t="str">
        <f>IFERROR(__xludf.DUMMYFUNCTION("""COMPUTED_VALUE"""),"PENINGKATAN HAK")</f>
        <v>PENINGKATAN HAK</v>
      </c>
      <c r="H9530" s="42">
        <f t="shared" si="1"/>
        <v>3345</v>
      </c>
    </row>
    <row r="9531" ht="22.5" customHeight="1">
      <c r="B9531" s="42" t="str">
        <f>IFERROR(__xludf.DUMMYFUNCTION("""COMPUTED_VALUE"""),"K/6/241125/1")</f>
        <v>K/6/241125/1</v>
      </c>
      <c r="C9531" s="42" t="str">
        <f>IFERROR(__xludf.DUMMYFUNCTION("""COMPUTED_VALUE"""),"NIBEL B 79/ SUKABUMI")</f>
        <v>NIBEL B 79/ SUKABUMI</v>
      </c>
      <c r="D9531" s="42"/>
      <c r="E9531" s="42"/>
      <c r="F9531" s="48" t="str">
        <f>IFERROR(__xludf.DUMMYFUNCTION("""COMPUTED_VALUE"""),"")</f>
        <v/>
      </c>
      <c r="G9531" s="42" t="str">
        <f>IFERROR(__xludf.DUMMYFUNCTION("""COMPUTED_VALUE"""),"PENINGKATAN HAK")</f>
        <v>PENINGKATAN HAK</v>
      </c>
      <c r="H9531" s="42">
        <f t="shared" si="1"/>
        <v>3345</v>
      </c>
    </row>
    <row r="9532" ht="22.5" customHeight="1">
      <c r="B9532" s="42" t="str">
        <f>IFERROR(__xludf.DUMMYFUNCTION("""COMPUTED_VALUE"""),"K/7/241125/2")</f>
        <v>K/7/241125/2</v>
      </c>
      <c r="C9532" s="42" t="str">
        <f>IFERROR(__xludf.DUMMYFUNCTION("""COMPUTED_VALUE"""),"NIBEL B 80/ SUKARAME BARU")</f>
        <v>NIBEL B 80/ SUKARAME BARU</v>
      </c>
      <c r="D9532" s="42"/>
      <c r="E9532" s="42"/>
      <c r="F9532" s="48" t="str">
        <f>IFERROR(__xludf.DUMMYFUNCTION("""COMPUTED_VALUE"""),"")</f>
        <v/>
      </c>
      <c r="G9532" s="42" t="str">
        <f>IFERROR(__xludf.DUMMYFUNCTION("""COMPUTED_VALUE"""),"PENINGKATAN HAK")</f>
        <v>PENINGKATAN HAK</v>
      </c>
      <c r="H9532" s="42">
        <f t="shared" si="1"/>
        <v>3345</v>
      </c>
    </row>
    <row r="9533" ht="22.5" customHeight="1">
      <c r="B9533" s="42" t="str">
        <f>IFERROR(__xludf.DUMMYFUNCTION("""COMPUTED_VALUE"""),"K/8/241125/3")</f>
        <v>K/8/241125/3</v>
      </c>
      <c r="C9533" s="42" t="str">
        <f>IFERROR(__xludf.DUMMYFUNCTION("""COMPUTED_VALUE"""),"NIBEL B 2943/ SUKARAME BARU")</f>
        <v>NIBEL B 2943/ SUKARAME BARU</v>
      </c>
      <c r="D9533" s="42"/>
      <c r="E9533" s="42"/>
      <c r="F9533" s="48" t="str">
        <f>IFERROR(__xludf.DUMMYFUNCTION("""COMPUTED_VALUE"""),"")</f>
        <v/>
      </c>
      <c r="G9533" s="42" t="str">
        <f>IFERROR(__xludf.DUMMYFUNCTION("""COMPUTED_VALUE"""),"PENINGKATAN HAK")</f>
        <v>PENINGKATAN HAK</v>
      </c>
      <c r="H9533" s="42">
        <f t="shared" si="1"/>
        <v>3345</v>
      </c>
    </row>
    <row r="9534" ht="22.5" customHeight="1">
      <c r="B9534" s="42" t="str">
        <f>IFERROR(__xludf.DUMMYFUNCTION("""COMPUTED_VALUE"""),"K/9/241125/4")</f>
        <v>K/9/241125/4</v>
      </c>
      <c r="C9534" s="42" t="str">
        <f>IFERROR(__xludf.DUMMYFUNCTION("""COMPUTED_VALUE"""),"B 391/ SUKARAME BARU")</f>
        <v>B 391/ SUKARAME BARU</v>
      </c>
      <c r="D9534" s="42"/>
      <c r="E9534" s="42"/>
      <c r="F9534" s="48" t="str">
        <f>IFERROR(__xludf.DUMMYFUNCTION("""COMPUTED_VALUE"""),"")</f>
        <v/>
      </c>
      <c r="G9534" s="42" t="str">
        <f>IFERROR(__xludf.DUMMYFUNCTION("""COMPUTED_VALUE"""),"PENINGKATAN HAK")</f>
        <v>PENINGKATAN HAK</v>
      </c>
      <c r="H9534" s="42">
        <f t="shared" si="1"/>
        <v>3345</v>
      </c>
    </row>
    <row r="9535" ht="22.5" customHeight="1">
      <c r="B9535" s="42" t="str">
        <f>IFERROR(__xludf.DUMMYFUNCTION("""COMPUTED_VALUE"""),"L/10/241125/1")</f>
        <v>L/10/241125/1</v>
      </c>
      <c r="C9535" s="42" t="str">
        <f>IFERROR(__xludf.DUMMYFUNCTION("""COMPUTED_VALUE"""),"B.329/PEMATANG WANGI")</f>
        <v>B.329/PEMATANG WANGI</v>
      </c>
      <c r="D9535" s="42"/>
      <c r="E9535" s="42"/>
      <c r="F9535" s="48" t="str">
        <f>IFERROR(__xludf.DUMMYFUNCTION("""COMPUTED_VALUE"""),"")</f>
        <v/>
      </c>
      <c r="G9535" s="42" t="str">
        <f>IFERROR(__xludf.DUMMYFUNCTION("""COMPUTED_VALUE"""),"PENINGKATAN HAK")</f>
        <v>PENINGKATAN HAK</v>
      </c>
      <c r="H9535" s="42">
        <f t="shared" si="1"/>
        <v>3345</v>
      </c>
    </row>
    <row r="9536" ht="22.5" customHeight="1">
      <c r="B9536" s="42" t="str">
        <f>IFERROR(__xludf.DUMMYFUNCTION("""COMPUTED_VALUE"""),"K/11/241125/1")</f>
        <v>K/11/241125/1</v>
      </c>
      <c r="C9536" s="42" t="str">
        <f>IFERROR(__xludf.DUMMYFUNCTION("""COMPUTED_VALUE"""),"PBT NO 157/ 2022")</f>
        <v>PBT NO 157/ 2022</v>
      </c>
      <c r="D9536" s="42"/>
      <c r="E9536" s="42"/>
      <c r="F9536" s="48" t="str">
        <f>IFERROR(__xludf.DUMMYFUNCTION("""COMPUTED_VALUE"""),"")</f>
        <v/>
      </c>
      <c r="G9536" s="42" t="str">
        <f>IFERROR(__xludf.DUMMYFUNCTION("""COMPUTED_VALUE"""),"PERMOHONAN SK")</f>
        <v>PERMOHONAN SK</v>
      </c>
      <c r="H9536" s="42">
        <f t="shared" si="1"/>
        <v>3345</v>
      </c>
    </row>
    <row r="9537" ht="22.5" customHeight="1">
      <c r="B9537" s="42" t="str">
        <f>IFERROR(__xludf.DUMMYFUNCTION("""COMPUTED_VALUE"""),"AB046/ABOCKGER")</f>
        <v>AB046/ABOCKGER</v>
      </c>
      <c r="C9537" s="42" t="str">
        <f>IFERROR(__xludf.DUMMYFUNCTION("""COMPUTED_VALUE"""),"M1936/sumberrejo sejahtera")</f>
        <v>M1936/sumberrejo sejahtera</v>
      </c>
      <c r="D9537" s="42"/>
      <c r="E9537" s="42"/>
      <c r="F9537" s="48" t="str">
        <f>IFERROR(__xludf.DUMMYFUNCTION("""COMPUTED_VALUE"""),"")</f>
        <v/>
      </c>
      <c r="G9537" s="42" t="str">
        <f>IFERROR(__xludf.DUMMYFUNCTION("""COMPUTED_VALUE"""),"BN Waris")</f>
        <v>BN Waris</v>
      </c>
      <c r="H9537" s="42">
        <f t="shared" si="1"/>
        <v>3345</v>
      </c>
    </row>
    <row r="9538" ht="22.5" customHeight="1">
      <c r="B9538" s="42" t="str">
        <f>IFERROR(__xludf.DUMMYFUNCTION("""COMPUTED_VALUE"""),"AB068/ABIKEEEL")</f>
        <v>AB068/ABIKEEEL</v>
      </c>
      <c r="C9538" s="42" t="str">
        <f>IFERROR(__xludf.DUMMYFUNCTION("""COMPUTED_VALUE"""),"Nibel M.24333/Kemiling Raya")</f>
        <v>Nibel M.24333/Kemiling Raya</v>
      </c>
      <c r="D9538" s="42"/>
      <c r="E9538" s="42"/>
      <c r="F9538" s="48" t="str">
        <f>IFERROR(__xludf.DUMMYFUNCTION("""COMPUTED_VALUE"""),"")</f>
        <v/>
      </c>
      <c r="G9538" s="42" t="str">
        <f>IFERROR(__xludf.DUMMYFUNCTION("""COMPUTED_VALUE"""),"Balik Nama")</f>
        <v>Balik Nama</v>
      </c>
      <c r="H9538" s="42">
        <f t="shared" si="1"/>
        <v>3345</v>
      </c>
    </row>
    <row r="9539" ht="22.5" customHeight="1">
      <c r="B9539" s="42" t="str">
        <f>IFERROR(__xludf.DUMMYFUNCTION("""COMPUTED_VALUE"""),"AB068/ABDUXIDT")</f>
        <v>AB068/ABDUXIDT</v>
      </c>
      <c r="C9539" s="42" t="str">
        <f>IFERROR(__xludf.DUMMYFUNCTION("""COMPUTED_VALUE"""),"M.1080/Pematang Wangi")</f>
        <v>M.1080/Pematang Wangi</v>
      </c>
      <c r="D9539" s="42"/>
      <c r="E9539" s="42"/>
      <c r="F9539" s="48" t="str">
        <f>IFERROR(__xludf.DUMMYFUNCTION("""COMPUTED_VALUE"""),"")</f>
        <v/>
      </c>
      <c r="G9539" s="42" t="str">
        <f>IFERROR(__xludf.DUMMYFUNCTION("""COMPUTED_VALUE"""),"Balik Nama")</f>
        <v>Balik Nama</v>
      </c>
      <c r="H9539" s="42">
        <f t="shared" si="1"/>
        <v>3345</v>
      </c>
    </row>
    <row r="9540" ht="22.5" customHeight="1">
      <c r="B9540" s="42" t="str">
        <f>IFERROR(__xludf.DUMMYFUNCTION("""COMPUTED_VALUE"""),"ABTQXYTO/AB073")</f>
        <v>ABTQXYTO/AB073</v>
      </c>
      <c r="C9540" s="42" t="str">
        <f>IFERROR(__xludf.DUMMYFUNCTION("""COMPUTED_VALUE"""),"Nibel 20298/Gunung Sulah")</f>
        <v>Nibel 20298/Gunung Sulah</v>
      </c>
      <c r="D9540" s="42"/>
      <c r="E9540" s="42"/>
      <c r="F9540" s="48" t="str">
        <f>IFERROR(__xludf.DUMMYFUNCTION("""COMPUTED_VALUE"""),"")</f>
        <v/>
      </c>
      <c r="G9540" s="42" t="str">
        <f>IFERROR(__xludf.DUMMYFUNCTION("""COMPUTED_VALUE"""),"BN jual beli")</f>
        <v>BN jual beli</v>
      </c>
      <c r="H9540" s="42">
        <f t="shared" si="1"/>
        <v>3345</v>
      </c>
    </row>
    <row r="9541" ht="22.5" customHeight="1">
      <c r="B9541" s="42" t="str">
        <f>IFERROR(__xludf.DUMMYFUNCTION("""COMPUTED_VALUE"""),"ABGKRBAB/AB073")</f>
        <v>ABGKRBAB/AB073</v>
      </c>
      <c r="C9541" s="42" t="str">
        <f>IFERROR(__xludf.DUMMYFUNCTION("""COMPUTED_VALUE"""),"M.00425/Kelapa Tiga Permai")</f>
        <v>M.00425/Kelapa Tiga Permai</v>
      </c>
      <c r="D9541" s="42"/>
      <c r="E9541" s="42"/>
      <c r="F9541" s="48" t="str">
        <f>IFERROR(__xludf.DUMMYFUNCTION("""COMPUTED_VALUE"""),"")</f>
        <v/>
      </c>
      <c r="G9541" s="42" t="str">
        <f>IFERROR(__xludf.DUMMYFUNCTION("""COMPUTED_VALUE"""),"BN jual beli")</f>
        <v>BN jual beli</v>
      </c>
      <c r="H9541" s="42">
        <f t="shared" si="1"/>
        <v>3345</v>
      </c>
    </row>
    <row r="9542" ht="22.5" customHeight="1">
      <c r="B9542" s="42" t="str">
        <f>IFERROR(__xludf.DUMMYFUNCTION("""COMPUTED_VALUE"""),"ABIICEXF")</f>
        <v>ABIICEXF</v>
      </c>
      <c r="C9542" s="42" t="str">
        <f>IFERROR(__xludf.DUMMYFUNCTION("""COMPUTED_VALUE"""),"HM nibel 0801000260830")</f>
        <v>HM nibel 0801000260830</v>
      </c>
      <c r="D9542" s="42"/>
      <c r="E9542" s="42"/>
      <c r="F9542" s="48" t="str">
        <f>IFERROR(__xludf.DUMMYFUNCTION("""COMPUTED_VALUE"""),"")</f>
        <v/>
      </c>
      <c r="G9542" s="42" t="str">
        <f>IFERROR(__xludf.DUMMYFUNCTION("""COMPUTED_VALUE"""),"BN jual beli")</f>
        <v>BN jual beli</v>
      </c>
      <c r="H9542" s="42">
        <f t="shared" si="1"/>
        <v>3345</v>
      </c>
    </row>
    <row r="9543" ht="22.5" customHeight="1">
      <c r="B9543" s="42" t="str">
        <f>IFERROR(__xludf.DUMMYFUNCTION("""COMPUTED_VALUE"""),"AB075/ABDUXIDT")</f>
        <v>AB075/ABDUXIDT</v>
      </c>
      <c r="C9543" s="42" t="str">
        <f>IFERROR(__xludf.DUMMYFUNCTION("""COMPUTED_VALUE"""),"M.00663/Pematang Wangi")</f>
        <v>M.00663/Pematang Wangi</v>
      </c>
      <c r="D9543" s="42"/>
      <c r="E9543" s="42"/>
      <c r="F9543" s="48" t="str">
        <f>IFERROR(__xludf.DUMMYFUNCTION("""COMPUTED_VALUE"""),"")</f>
        <v/>
      </c>
      <c r="G9543" s="42" t="str">
        <f>IFERROR(__xludf.DUMMYFUNCTION("""COMPUTED_VALUE"""),"BALIK NAMA")</f>
        <v>BALIK NAMA</v>
      </c>
      <c r="H9543" s="42">
        <f t="shared" si="1"/>
        <v>3345</v>
      </c>
    </row>
    <row r="9544" ht="22.5" customHeight="1">
      <c r="B9544" s="42" t="str">
        <f>IFERROR(__xludf.DUMMYFUNCTION("""COMPUTED_VALUE"""),"ABAKTAVN/AB079")</f>
        <v>ABAKTAVN/AB079</v>
      </c>
      <c r="C9544" s="42" t="str">
        <f>IFERROR(__xludf.DUMMYFUNCTION("""COMPUTED_VALUE"""),"M.19081/gunung agung")</f>
        <v>M.19081/gunung agung</v>
      </c>
      <c r="D9544" s="42"/>
      <c r="E9544" s="42"/>
      <c r="F9544" s="48" t="str">
        <f>IFERROR(__xludf.DUMMYFUNCTION("""COMPUTED_VALUE"""),"")</f>
        <v/>
      </c>
      <c r="G9544" s="42" t="str">
        <f>IFERROR(__xludf.DUMMYFUNCTION("""COMPUTED_VALUE"""),"Bn jual beli")</f>
        <v>Bn jual beli</v>
      </c>
      <c r="H9544" s="42">
        <f t="shared" si="1"/>
        <v>3345</v>
      </c>
    </row>
    <row r="9545" ht="22.5" customHeight="1">
      <c r="B9545" s="42" t="str">
        <f>IFERROR(__xludf.DUMMYFUNCTION("""COMPUTED_VALUE"""),"L/12/241125/1")</f>
        <v>L/12/241125/1</v>
      </c>
      <c r="C9545" s="42" t="str">
        <f>IFERROR(__xludf.DUMMYFUNCTION("""COMPUTED_VALUE"""),"M.1386/GOTONG ROYONG")</f>
        <v>M.1386/GOTONG ROYONG</v>
      </c>
      <c r="D9545" s="42"/>
      <c r="E9545" s="42"/>
      <c r="F9545" s="48" t="str">
        <f>IFERROR(__xludf.DUMMYFUNCTION("""COMPUTED_VALUE"""),"")</f>
        <v/>
      </c>
      <c r="G9545" s="42" t="str">
        <f>IFERROR(__xludf.DUMMYFUNCTION("""COMPUTED_VALUE"""),"ANGKAT SITA ")</f>
        <v>ANGKAT SITA </v>
      </c>
      <c r="H9545" s="42">
        <f t="shared" si="1"/>
        <v>3345</v>
      </c>
    </row>
    <row r="9546" ht="22.5" customHeight="1">
      <c r="B9546" s="42" t="str">
        <f>IFERROR(__xludf.DUMMYFUNCTION("""COMPUTED_VALUE"""),"AB093/ABUCYFEZ")</f>
        <v>AB093/ABUCYFEZ</v>
      </c>
      <c r="C9546" s="42" t="str">
        <f>IFERROR(__xludf.DUMMYFUNCTION("""COMPUTED_VALUE"""),"Nibel M24573/Sukaraja")</f>
        <v>Nibel M24573/Sukaraja</v>
      </c>
      <c r="D9546" s="42"/>
      <c r="E9546" s="42"/>
      <c r="F9546" s="48" t="str">
        <f>IFERROR(__xludf.DUMMYFUNCTION("""COMPUTED_VALUE"""),"")</f>
        <v/>
      </c>
      <c r="G9546" s="42" t="str">
        <f>IFERROR(__xludf.DUMMYFUNCTION("""COMPUTED_VALUE"""),"BN Jual Beli")</f>
        <v>BN Jual Beli</v>
      </c>
      <c r="H9546" s="42">
        <f t="shared" si="1"/>
        <v>3345</v>
      </c>
    </row>
    <row r="9547" ht="22.5" customHeight="1">
      <c r="B9547" s="42" t="str">
        <f>IFERROR(__xludf.DUMMYFUNCTION("""COMPUTED_VALUE"""),"ABGCZPWE/AB094")</f>
        <v>ABGCZPWE/AB094</v>
      </c>
      <c r="C9547" s="42" t="str">
        <f>IFERROR(__xludf.DUMMYFUNCTION("""COMPUTED_VALUE"""),"Hak milik nomor 01787/Jagabaya III")</f>
        <v>Hak milik nomor 01787/Jagabaya III</v>
      </c>
      <c r="D9547" s="42"/>
      <c r="E9547" s="42"/>
      <c r="F9547" s="48" t="str">
        <f>IFERROR(__xludf.DUMMYFUNCTION("""COMPUTED_VALUE"""),"")</f>
        <v/>
      </c>
      <c r="G9547" s="42" t="str">
        <f>IFERROR(__xludf.DUMMYFUNCTION("""COMPUTED_VALUE"""),"Peralihan hak/ balik nama")</f>
        <v>Peralihan hak/ balik nama</v>
      </c>
      <c r="H9547" s="42">
        <f t="shared" si="1"/>
        <v>3345</v>
      </c>
    </row>
    <row r="9548" ht="22.5" customHeight="1">
      <c r="B9548" s="42" t="str">
        <f>IFERROR(__xludf.DUMMYFUNCTION("""COMPUTED_VALUE"""),"L/13/241125/1")</f>
        <v>L/13/241125/1</v>
      </c>
      <c r="C9548" s="42" t="str">
        <f>IFERROR(__xludf.DUMMYFUNCTION("""COMPUTED_VALUE"""),"M. 10881/KORPRI RAYA")</f>
        <v>M. 10881/KORPRI RAYA</v>
      </c>
      <c r="D9548" s="42"/>
      <c r="E9548" s="42"/>
      <c r="F9548" s="48" t="str">
        <f>IFERROR(__xludf.DUMMYFUNCTION("""COMPUTED_VALUE"""),"")</f>
        <v/>
      </c>
      <c r="G9548" s="42" t="str">
        <f>IFERROR(__xludf.DUMMYFUNCTION("""COMPUTED_VALUE"""),"SERTIPIKAT HILANG")</f>
        <v>SERTIPIKAT HILANG</v>
      </c>
      <c r="H9548" s="42">
        <f t="shared" si="1"/>
        <v>3345</v>
      </c>
    </row>
    <row r="9549" ht="22.5" customHeight="1">
      <c r="B9549" s="42" t="str">
        <f>IFERROR(__xludf.DUMMYFUNCTION("""COMPUTED_VALUE"""),"AB032/ABKHXJFU")</f>
        <v>AB032/ABKHXJFU</v>
      </c>
      <c r="C9549" s="42" t="str">
        <f>IFERROR(__xludf.DUMMYFUNCTION("""COMPUTED_VALUE"""),"Nibel.M 17611  / sukarame")</f>
        <v>Nibel.M 17611  / sukarame</v>
      </c>
      <c r="D9549" s="42"/>
      <c r="E9549" s="42"/>
      <c r="F9549" s="48" t="str">
        <f>IFERROR(__xludf.DUMMYFUNCTION("""COMPUTED_VALUE"""),"")</f>
        <v/>
      </c>
      <c r="G9549" s="42" t="str">
        <f>IFERROR(__xludf.DUMMYFUNCTION("""COMPUTED_VALUE""")," Balik nama")</f>
        <v> Balik nama</v>
      </c>
      <c r="H9549" s="42">
        <f t="shared" si="1"/>
        <v>3345</v>
      </c>
    </row>
    <row r="9550" ht="22.5" customHeight="1">
      <c r="B9550" s="42" t="str">
        <f>IFERROR(__xludf.DUMMYFUNCTION("""COMPUTED_VALUE"""),"AB032/ABPPFEEA")</f>
        <v>AB032/ABPPFEEA</v>
      </c>
      <c r="C9550" s="42" t="str">
        <f>IFERROR(__xludf.DUMMYFUNCTION("""COMPUTED_VALUE"""),"M 4225  / rajabasa jaya")</f>
        <v>M 4225  / rajabasa jaya</v>
      </c>
      <c r="D9550" s="42"/>
      <c r="E9550" s="42"/>
      <c r="F9550" s="48" t="str">
        <f>IFERROR(__xludf.DUMMYFUNCTION("""COMPUTED_VALUE"""),"")</f>
        <v/>
      </c>
      <c r="G9550" s="42" t="str">
        <f>IFERROR(__xludf.DUMMYFUNCTION("""COMPUTED_VALUE"""),"Balik nama")</f>
        <v>Balik nama</v>
      </c>
      <c r="H9550" s="42">
        <f t="shared" si="1"/>
        <v>3345</v>
      </c>
    </row>
    <row r="9551" ht="22.5" customHeight="1">
      <c r="B9551" s="42" t="str">
        <f>IFERROR(__xludf.DUMMYFUNCTION("""COMPUTED_VALUE"""),"ABWPUGVY")</f>
        <v>ABWPUGVY</v>
      </c>
      <c r="C9551" s="42" t="str">
        <f>IFERROR(__xludf.DUMMYFUNCTION("""COMPUTED_VALUE"""),"M 13611")</f>
        <v>M 13611</v>
      </c>
      <c r="D9551" s="42"/>
      <c r="E9551" s="42"/>
      <c r="F9551" s="48" t="str">
        <f>IFERROR(__xludf.DUMMYFUNCTION("""COMPUTED_VALUE"""),"")</f>
        <v/>
      </c>
      <c r="G9551" s="42" t="str">
        <f>IFERROR(__xludf.DUMMYFUNCTION("""COMPUTED_VALUE"""),"Gandes")</f>
        <v>Gandes</v>
      </c>
      <c r="H9551" s="42">
        <f t="shared" si="1"/>
        <v>3345</v>
      </c>
    </row>
    <row r="9552" ht="22.5" customHeight="1">
      <c r="B9552" s="42" t="str">
        <f>IFERROR(__xludf.DUMMYFUNCTION("""COMPUTED_VALUE"""),"L/1/251125/1")</f>
        <v>L/1/251125/1</v>
      </c>
      <c r="C9552" s="42" t="str">
        <f>IFERROR(__xludf.DUMMYFUNCTION("""COMPUTED_VALUE"""),"M. 9270/SIDODADI")</f>
        <v>M. 9270/SIDODADI</v>
      </c>
      <c r="D9552" s="42"/>
      <c r="E9552" s="42"/>
      <c r="F9552" s="48" t="str">
        <f>IFERROR(__xludf.DUMMYFUNCTION("""COMPUTED_VALUE"""),"")</f>
        <v/>
      </c>
      <c r="G9552" s="42" t="str">
        <f>IFERROR(__xludf.DUMMYFUNCTION("""COMPUTED_VALUE"""),"PENCATATAN SITA")</f>
        <v>PENCATATAN SITA</v>
      </c>
      <c r="H9552" s="42">
        <f t="shared" si="1"/>
        <v>3345</v>
      </c>
    </row>
    <row r="9553" ht="22.5" customHeight="1">
      <c r="B9553" s="42" t="str">
        <f>IFERROR(__xludf.DUMMYFUNCTION("""COMPUTED_VALUE"""),"L/2/251125/2")</f>
        <v>L/2/251125/2</v>
      </c>
      <c r="C9553" s="42" t="str">
        <f>IFERROR(__xludf.DUMMYFUNCTION("""COMPUTED_VALUE"""),"M. 9608/LABUHAN RATU")</f>
        <v>M. 9608/LABUHAN RATU</v>
      </c>
      <c r="D9553" s="42"/>
      <c r="E9553" s="42"/>
      <c r="F9553" s="48" t="str">
        <f>IFERROR(__xludf.DUMMYFUNCTION("""COMPUTED_VALUE"""),"")</f>
        <v/>
      </c>
      <c r="G9553" s="42" t="str">
        <f>IFERROR(__xludf.DUMMYFUNCTION("""COMPUTED_VALUE"""),"PENCATATAN SITA")</f>
        <v>PENCATATAN SITA</v>
      </c>
      <c r="H9553" s="42">
        <f t="shared" si="1"/>
        <v>3345</v>
      </c>
    </row>
    <row r="9554" ht="22.5" customHeight="1">
      <c r="B9554" s="42" t="str">
        <f>IFERROR(__xludf.DUMMYFUNCTION("""COMPUTED_VALUE"""),"L/3/251125/3")</f>
        <v>L/3/251125/3</v>
      </c>
      <c r="C9554" s="42" t="str">
        <f>IFERROR(__xludf.DUMMYFUNCTION("""COMPUTED_VALUE"""),"M. 9607/LABUHAN RATU")</f>
        <v>M. 9607/LABUHAN RATU</v>
      </c>
      <c r="D9554" s="42"/>
      <c r="E9554" s="42"/>
      <c r="F9554" s="48" t="str">
        <f>IFERROR(__xludf.DUMMYFUNCTION("""COMPUTED_VALUE"""),"")</f>
        <v/>
      </c>
      <c r="G9554" s="42" t="str">
        <f>IFERROR(__xludf.DUMMYFUNCTION("""COMPUTED_VALUE"""),"PENCATATAN SITA")</f>
        <v>PENCATATAN SITA</v>
      </c>
      <c r="H9554" s="42">
        <f t="shared" si="1"/>
        <v>3345</v>
      </c>
    </row>
    <row r="9555" ht="22.5" customHeight="1">
      <c r="B9555" s="42" t="str">
        <f>IFERROR(__xludf.DUMMYFUNCTION("""COMPUTED_VALUE"""),"L/4/251125/4")</f>
        <v>L/4/251125/4</v>
      </c>
      <c r="C9555" s="42" t="str">
        <f>IFERROR(__xludf.DUMMYFUNCTION("""COMPUTED_VALUE"""),"M. 891/JAGABAYA II")</f>
        <v>M. 891/JAGABAYA II</v>
      </c>
      <c r="D9555" s="42"/>
      <c r="E9555" s="42"/>
      <c r="F9555" s="48" t="str">
        <f>IFERROR(__xludf.DUMMYFUNCTION("""COMPUTED_VALUE"""),"")</f>
        <v/>
      </c>
      <c r="G9555" s="42" t="str">
        <f>IFERROR(__xludf.DUMMYFUNCTION("""COMPUTED_VALUE"""),"PENCATATAN SITA")</f>
        <v>PENCATATAN SITA</v>
      </c>
      <c r="H9555" s="42">
        <f t="shared" si="1"/>
        <v>3345</v>
      </c>
    </row>
    <row r="9556" ht="22.5" customHeight="1">
      <c r="B9556" s="42" t="str">
        <f>IFERROR(__xludf.DUMMYFUNCTION("""COMPUTED_VALUE"""),"ABBDEHUJ")</f>
        <v>ABBDEHUJ</v>
      </c>
      <c r="C9556" s="42" t="str">
        <f>IFERROR(__xludf.DUMMYFUNCTION("""COMPUTED_VALUE"""),"NIBEL M 23850/ BUMI RAYA")</f>
        <v>NIBEL M 23850/ BUMI RAYA</v>
      </c>
      <c r="D9556" s="42"/>
      <c r="E9556" s="42"/>
      <c r="F9556" s="48" t="str">
        <f>IFERROR(__xludf.DUMMYFUNCTION("""COMPUTED_VALUE"""),"")</f>
        <v/>
      </c>
      <c r="G9556" s="42" t="str">
        <f>IFERROR(__xludf.DUMMYFUNCTION("""COMPUTED_VALUE"""),"BN JUAL BELI")</f>
        <v>BN JUAL BELI</v>
      </c>
      <c r="H9556" s="42">
        <f t="shared" si="1"/>
        <v>3345</v>
      </c>
    </row>
    <row r="9557" ht="22.5" customHeight="1">
      <c r="B9557" s="42" t="str">
        <f>IFERROR(__xludf.DUMMYFUNCTION("""COMPUTED_VALUE"""),"L/5/251125/5")</f>
        <v>L/5/251125/5</v>
      </c>
      <c r="C9557" s="42" t="str">
        <f>IFERROR(__xludf.DUMMYFUNCTION("""COMPUTED_VALUE"""),"M. 9271/SIDODADI")</f>
        <v>M. 9271/SIDODADI</v>
      </c>
      <c r="D9557" s="42"/>
      <c r="E9557" s="42"/>
      <c r="F9557" s="48" t="str">
        <f>IFERROR(__xludf.DUMMYFUNCTION("""COMPUTED_VALUE"""),"")</f>
        <v/>
      </c>
      <c r="G9557" s="42" t="str">
        <f>IFERROR(__xludf.DUMMYFUNCTION("""COMPUTED_VALUE"""),"PENCATATAN SITA")</f>
        <v>PENCATATAN SITA</v>
      </c>
      <c r="H9557" s="42">
        <f t="shared" si="1"/>
        <v>3345</v>
      </c>
    </row>
    <row r="9558" ht="22.5" customHeight="1">
      <c r="B9558" s="42" t="str">
        <f>IFERROR(__xludf.DUMMYFUNCTION("""COMPUTED_VALUE"""),"ABUVTNEE")</f>
        <v>ABUVTNEE</v>
      </c>
      <c r="C9558" s="42" t="str">
        <f>IFERROR(__xludf.DUMMYFUNCTION("""COMPUTED_VALUE"""),"NIBEL M 23851/ BUMI RAYA")</f>
        <v>NIBEL M 23851/ BUMI RAYA</v>
      </c>
      <c r="D9558" s="42"/>
      <c r="E9558" s="42"/>
      <c r="F9558" s="48" t="str">
        <f>IFERROR(__xludf.DUMMYFUNCTION("""COMPUTED_VALUE"""),"")</f>
        <v/>
      </c>
      <c r="G9558" s="42" t="str">
        <f>IFERROR(__xludf.DUMMYFUNCTION("""COMPUTED_VALUE"""),"BN JUAL BELI")</f>
        <v>BN JUAL BELI</v>
      </c>
      <c r="H9558" s="42">
        <f t="shared" si="1"/>
        <v>3345</v>
      </c>
    </row>
    <row r="9559" ht="22.5" customHeight="1">
      <c r="B9559" s="42" t="str">
        <f>IFERROR(__xludf.DUMMYFUNCTION("""COMPUTED_VALUE"""),"L/6/251125/6")</f>
        <v>L/6/251125/6</v>
      </c>
      <c r="C9559" s="42" t="str">
        <f>IFERROR(__xludf.DUMMYFUNCTION("""COMPUTED_VALUE"""),"M. 9269/SIDODADI")</f>
        <v>M. 9269/SIDODADI</v>
      </c>
      <c r="D9559" s="42"/>
      <c r="E9559" s="42"/>
      <c r="F9559" s="48" t="str">
        <f>IFERROR(__xludf.DUMMYFUNCTION("""COMPUTED_VALUE"""),"")</f>
        <v/>
      </c>
      <c r="G9559" s="42" t="str">
        <f>IFERROR(__xludf.DUMMYFUNCTION("""COMPUTED_VALUE"""),"PENCATATAN SITA")</f>
        <v>PENCATATAN SITA</v>
      </c>
      <c r="H9559" s="42">
        <f t="shared" si="1"/>
        <v>3345</v>
      </c>
    </row>
    <row r="9560" ht="22.5" customHeight="1">
      <c r="B9560" s="42" t="str">
        <f>IFERROR(__xludf.DUMMYFUNCTION("""COMPUTED_VALUE"""),"ABBVIIAW")</f>
        <v>ABBVIIAW</v>
      </c>
      <c r="C9560" s="42" t="str">
        <f>IFERROR(__xludf.DUMMYFUNCTION("""COMPUTED_VALUE"""),"M. 580/ Pinang Jaya")</f>
        <v>M. 580/ Pinang Jaya</v>
      </c>
      <c r="D9560" s="42"/>
      <c r="E9560" s="42"/>
      <c r="F9560" s="48" t="str">
        <f>IFERROR(__xludf.DUMMYFUNCTION("""COMPUTED_VALUE"""),"")</f>
        <v/>
      </c>
      <c r="G9560" s="42" t="str">
        <f>IFERROR(__xludf.DUMMYFUNCTION("""COMPUTED_VALUE"""),"Roya Hak Tanggungan")</f>
        <v>Roya Hak Tanggungan</v>
      </c>
      <c r="H9560" s="42">
        <f t="shared" si="1"/>
        <v>3345</v>
      </c>
    </row>
    <row r="9561" ht="22.5" customHeight="1">
      <c r="B9561" s="42" t="str">
        <f>IFERROR(__xludf.DUMMYFUNCTION("""COMPUTED_VALUE"""),"ABEAOWCU")</f>
        <v>ABEAOWCU</v>
      </c>
      <c r="C9561" s="42" t="str">
        <f>IFERROR(__xludf.DUMMYFUNCTION("""COMPUTED_VALUE"""),"B. 723/Sumur Putri")</f>
        <v>B. 723/Sumur Putri</v>
      </c>
      <c r="D9561" s="42"/>
      <c r="E9561" s="42"/>
      <c r="F9561" s="48" t="str">
        <f>IFERROR(__xludf.DUMMYFUNCTION("""COMPUTED_VALUE"""),"")</f>
        <v/>
      </c>
      <c r="G9561" s="42" t="str">
        <f>IFERROR(__xludf.DUMMYFUNCTION("""COMPUTED_VALUE"""),"Balik Nama")</f>
        <v>Balik Nama</v>
      </c>
      <c r="H9561" s="42">
        <f t="shared" si="1"/>
        <v>3345</v>
      </c>
    </row>
    <row r="9562" ht="22.5" customHeight="1">
      <c r="B9562" s="42" t="str">
        <f>IFERROR(__xludf.DUMMYFUNCTION("""COMPUTED_VALUE"""),"ABZUZVQM")</f>
        <v>ABZUZVQM</v>
      </c>
      <c r="C9562" s="42" t="str">
        <f>IFERROR(__xludf.DUMMYFUNCTION("""COMPUTED_VALUE"""),"M. 399/Kota Sepang")</f>
        <v>M. 399/Kota Sepang</v>
      </c>
      <c r="D9562" s="42"/>
      <c r="E9562" s="42"/>
      <c r="F9562" s="48" t="str">
        <f>IFERROR(__xludf.DUMMYFUNCTION("""COMPUTED_VALUE"""),"")</f>
        <v/>
      </c>
      <c r="G9562" s="42" t="str">
        <f>IFERROR(__xludf.DUMMYFUNCTION("""COMPUTED_VALUE"""),"Balik Nama")</f>
        <v>Balik Nama</v>
      </c>
      <c r="H9562" s="42">
        <f t="shared" si="1"/>
        <v>3345</v>
      </c>
    </row>
    <row r="9563" ht="22.5" customHeight="1">
      <c r="B9563" s="42" t="str">
        <f>IFERROR(__xludf.DUMMYFUNCTION("""COMPUTED_VALUE"""),"AB043 /ABNDLICN")</f>
        <v>AB043 /ABNDLICN</v>
      </c>
      <c r="C9563" s="42" t="str">
        <f>IFERROR(__xludf.DUMMYFUNCTION("""COMPUTED_VALUE"""),"M. NIBEL 23654/sukamaju")</f>
        <v>M. NIBEL 23654/sukamaju</v>
      </c>
      <c r="D9563" s="42"/>
      <c r="E9563" s="42"/>
      <c r="F9563" s="48" t="str">
        <f>IFERROR(__xludf.DUMMYFUNCTION("""COMPUTED_VALUE"""),"")</f>
        <v/>
      </c>
      <c r="G9563" s="42" t="str">
        <f>IFERROR(__xludf.DUMMYFUNCTION("""COMPUTED_VALUE"""),"BN Jual Beli")</f>
        <v>BN Jual Beli</v>
      </c>
      <c r="H9563" s="42">
        <f t="shared" si="1"/>
        <v>3345</v>
      </c>
    </row>
    <row r="9564" ht="22.5" customHeight="1">
      <c r="B9564" s="42" t="str">
        <f>IFERROR(__xludf.DUMMYFUNCTION("""COMPUTED_VALUE"""),"ABPBQBWF/AB051")</f>
        <v>ABPBQBWF/AB051</v>
      </c>
      <c r="C9564" s="42" t="str">
        <f>IFERROR(__xludf.DUMMYFUNCTION("""COMPUTED_VALUE"""),"M. NIBEL 18431/Rajabasa Jaya")</f>
        <v>M. NIBEL 18431/Rajabasa Jaya</v>
      </c>
      <c r="D9564" s="42"/>
      <c r="E9564" s="42"/>
      <c r="F9564" s="48" t="str">
        <f>IFERROR(__xludf.DUMMYFUNCTION("""COMPUTED_VALUE"""),"")</f>
        <v/>
      </c>
      <c r="G9564" s="42" t="str">
        <f>IFERROR(__xludf.DUMMYFUNCTION("""COMPUTED_VALUE"""),"BN Jual Beli")</f>
        <v>BN Jual Beli</v>
      </c>
      <c r="H9564" s="42">
        <f t="shared" si="1"/>
        <v>3345</v>
      </c>
    </row>
    <row r="9565" ht="22.5" customHeight="1">
      <c r="B9565" s="42" t="str">
        <f>IFERROR(__xludf.DUMMYFUNCTION("""COMPUTED_VALUE"""),"ABIEDJJD/AB051")</f>
        <v>ABIEDJJD/AB051</v>
      </c>
      <c r="C9565" s="42" t="str">
        <f>IFERROR(__xludf.DUMMYFUNCTION("""COMPUTED_VALUE"""),"M. NIBEL 19662/Sukarame")</f>
        <v>M. NIBEL 19662/Sukarame</v>
      </c>
      <c r="D9565" s="42"/>
      <c r="E9565" s="42"/>
      <c r="F9565" s="48" t="str">
        <f>IFERROR(__xludf.DUMMYFUNCTION("""COMPUTED_VALUE"""),"")</f>
        <v/>
      </c>
      <c r="G9565" s="42" t="str">
        <f>IFERROR(__xludf.DUMMYFUNCTION("""COMPUTED_VALUE"""),"BN Jual Beli")</f>
        <v>BN Jual Beli</v>
      </c>
      <c r="H9565" s="42">
        <f t="shared" si="1"/>
        <v>3345</v>
      </c>
    </row>
    <row r="9566" ht="22.5" customHeight="1">
      <c r="B9566" s="42" t="str">
        <f>IFERROR(__xludf.DUMMYFUNCTION("""COMPUTED_VALUE"""),"ABMTSGBO/AB051")</f>
        <v>ABMTSGBO/AB051</v>
      </c>
      <c r="C9566" s="42" t="str">
        <f>IFERROR(__xludf.DUMMYFUNCTION("""COMPUTED_VALUE"""),"M. 534/Tanjungkarang")</f>
        <v>M. 534/Tanjungkarang</v>
      </c>
      <c r="D9566" s="42"/>
      <c r="E9566" s="42"/>
      <c r="F9566" s="48" t="str">
        <f>IFERROR(__xludf.DUMMYFUNCTION("""COMPUTED_VALUE"""),"")</f>
        <v/>
      </c>
      <c r="G9566" s="42" t="str">
        <f>IFERROR(__xludf.DUMMYFUNCTION("""COMPUTED_VALUE"""),"BN Jual Beli")</f>
        <v>BN Jual Beli</v>
      </c>
      <c r="H9566" s="42">
        <f t="shared" si="1"/>
        <v>3345</v>
      </c>
    </row>
    <row r="9567" ht="22.5" customHeight="1">
      <c r="B9567" s="42" t="str">
        <f>IFERROR(__xludf.DUMMYFUNCTION("""COMPUTED_VALUE"""),"K/7/251125/1")</f>
        <v>K/7/251125/1</v>
      </c>
      <c r="C9567" s="42" t="str">
        <f>IFERROR(__xludf.DUMMYFUNCTION("""COMPUTED_VALUE"""),"RAJABASA JAYA")</f>
        <v>RAJABASA JAYA</v>
      </c>
      <c r="D9567" s="42"/>
      <c r="E9567" s="42"/>
      <c r="F9567" s="48" t="str">
        <f>IFERROR(__xludf.DUMMYFUNCTION("""COMPUTED_VALUE"""),"")</f>
        <v/>
      </c>
      <c r="G9567" s="42" t="str">
        <f>IFERROR(__xludf.DUMMYFUNCTION("""COMPUTED_VALUE"""),"PENGUKURAN PERTAMA KALI")</f>
        <v>PENGUKURAN PERTAMA KALI</v>
      </c>
      <c r="H9567" s="42">
        <f t="shared" si="1"/>
        <v>3345</v>
      </c>
    </row>
    <row r="9568" ht="22.5" customHeight="1">
      <c r="B9568" s="42" t="str">
        <f>IFERROR(__xludf.DUMMYFUNCTION("""COMPUTED_VALUE"""),"K/8/251125/1")</f>
        <v>K/8/251125/1</v>
      </c>
      <c r="C9568" s="42" t="str">
        <f>IFERROR(__xludf.DUMMYFUNCTION("""COMPUTED_VALUE"""),"PBT. 90/2024")</f>
        <v>PBT. 90/2024</v>
      </c>
      <c r="D9568" s="42"/>
      <c r="E9568" s="42"/>
      <c r="F9568" s="48" t="str">
        <f>IFERROR(__xludf.DUMMYFUNCTION("""COMPUTED_VALUE"""),"")</f>
        <v/>
      </c>
      <c r="G9568" s="42" t="str">
        <f>IFERROR(__xludf.DUMMYFUNCTION("""COMPUTED_VALUE"""),"PERMOHONAN SK")</f>
        <v>PERMOHONAN SK</v>
      </c>
      <c r="H9568" s="42">
        <f t="shared" si="1"/>
        <v>3345</v>
      </c>
    </row>
    <row r="9569" ht="22.5" customHeight="1">
      <c r="B9569" s="42" t="str">
        <f>IFERROR(__xludf.DUMMYFUNCTION("""COMPUTED_VALUE"""),"K/9/251125/1")</f>
        <v>K/9/251125/1</v>
      </c>
      <c r="C9569" s="42" t="str">
        <f>IFERROR(__xludf.DUMMYFUNCTION("""COMPUTED_VALUE"""),"M. 3918/GUNUNG TERANG")</f>
        <v>M. 3918/GUNUNG TERANG</v>
      </c>
      <c r="D9569" s="42"/>
      <c r="E9569" s="42"/>
      <c r="F9569" s="48" t="str">
        <f>IFERROR(__xludf.DUMMYFUNCTION("""COMPUTED_VALUE"""),"")</f>
        <v/>
      </c>
      <c r="G9569" s="42" t="str">
        <f>IFERROR(__xludf.DUMMYFUNCTION("""COMPUTED_VALUE"""),"PTPGT")</f>
        <v>PTPGT</v>
      </c>
      <c r="H9569" s="42">
        <f t="shared" si="1"/>
        <v>3345</v>
      </c>
    </row>
    <row r="9570" ht="22.5" customHeight="1">
      <c r="B9570" s="42" t="str">
        <f>IFERROR(__xludf.DUMMYFUNCTION("""COMPUTED_VALUE"""),"ABMVYFLK")</f>
        <v>ABMVYFLK</v>
      </c>
      <c r="C9570" s="42" t="str">
        <f>IFERROR(__xludf.DUMMYFUNCTION("""COMPUTED_VALUE""")," M 351/ SAWAH BREBES")</f>
        <v> M 351/ SAWAH BREBES</v>
      </c>
      <c r="D9570" s="42"/>
      <c r="E9570" s="42"/>
      <c r="F9570" s="48" t="str">
        <f>IFERROR(__xludf.DUMMYFUNCTION("""COMPUTED_VALUE"""),"")</f>
        <v/>
      </c>
      <c r="G9570" s="42" t="str">
        <f>IFERROR(__xludf.DUMMYFUNCTION("""COMPUTED_VALUE"""),"BN Hibah")</f>
        <v>BN Hibah</v>
      </c>
      <c r="H9570" s="42">
        <f t="shared" si="1"/>
        <v>3345</v>
      </c>
    </row>
    <row r="9571" ht="22.5" customHeight="1">
      <c r="B9571" s="42" t="str">
        <f>IFERROR(__xludf.DUMMYFUNCTION("""COMPUTED_VALUE"""),"L/10/251125/1")</f>
        <v>L/10/251125/1</v>
      </c>
      <c r="C9571" s="42" t="str">
        <f>IFERROR(__xludf.DUMMYFUNCTION("""COMPUTED_VALUE"""),"B. 4430/SUKABUMI")</f>
        <v>B. 4430/SUKABUMI</v>
      </c>
      <c r="D9571" s="42"/>
      <c r="E9571" s="42"/>
      <c r="F9571" s="48" t="str">
        <f>IFERROR(__xludf.DUMMYFUNCTION("""COMPUTED_VALUE"""),"")</f>
        <v/>
      </c>
      <c r="G9571" s="42" t="str">
        <f>IFERROR(__xludf.DUMMYFUNCTION("""COMPUTED_VALUE"""),"PENINGKATAN HAK")</f>
        <v>PENINGKATAN HAK</v>
      </c>
      <c r="H9571" s="42">
        <f t="shared" si="1"/>
        <v>3345</v>
      </c>
    </row>
    <row r="9572" ht="22.5" customHeight="1">
      <c r="B9572" s="42" t="str">
        <f>IFERROR(__xludf.DUMMYFUNCTION("""COMPUTED_VALUE"""),"ABQQODIO")</f>
        <v>ABQQODIO</v>
      </c>
      <c r="C9572" s="42" t="str">
        <f>IFERROR(__xludf.DUMMYFUNCTION("""COMPUTED_VALUE"""),"Nib25445/sukarame")</f>
        <v>Nib25445/sukarame</v>
      </c>
      <c r="D9572" s="42"/>
      <c r="E9572" s="42"/>
      <c r="F9572" s="48" t="str">
        <f>IFERROR(__xludf.DUMMYFUNCTION("""COMPUTED_VALUE"""),"")</f>
        <v/>
      </c>
      <c r="G9572" s="42" t="str">
        <f>IFERROR(__xludf.DUMMYFUNCTION("""COMPUTED_VALUE"""),"Pemecahan ")</f>
        <v>Pemecahan </v>
      </c>
      <c r="H9572" s="42">
        <f t="shared" si="1"/>
        <v>3345</v>
      </c>
    </row>
    <row r="9573" ht="22.5" customHeight="1">
      <c r="B9573" s="42" t="str">
        <f>IFERROR(__xludf.DUMMYFUNCTION("""COMPUTED_VALUE"""),"L/11/251125/1")</f>
        <v>L/11/251125/1</v>
      </c>
      <c r="C9573" s="42" t="str">
        <f>IFERROR(__xludf.DUMMYFUNCTION("""COMPUTED_VALUE"""),"B. 4419/SUKABUMI")</f>
        <v>B. 4419/SUKABUMI</v>
      </c>
      <c r="D9573" s="42"/>
      <c r="E9573" s="42"/>
      <c r="F9573" s="48" t="str">
        <f>IFERROR(__xludf.DUMMYFUNCTION("""COMPUTED_VALUE"""),"")</f>
        <v/>
      </c>
      <c r="G9573" s="42" t="str">
        <f>IFERROR(__xludf.DUMMYFUNCTION("""COMPUTED_VALUE"""),"PENINGKATAN HAK")</f>
        <v>PENINGKATAN HAK</v>
      </c>
      <c r="H9573" s="42">
        <f t="shared" si="1"/>
        <v>3345</v>
      </c>
    </row>
    <row r="9574" ht="22.5" customHeight="1">
      <c r="B9574" s="42" t="str">
        <f>IFERROR(__xludf.DUMMYFUNCTION("""COMPUTED_VALUE"""),"ABFIZDLL")</f>
        <v>ABFIZDLL</v>
      </c>
      <c r="C9574" s="42" t="str">
        <f>IFERROR(__xludf.DUMMYFUNCTION("""COMPUTED_VALUE"""),"B.1236/SUKABUMI INDAH")</f>
        <v>B.1236/SUKABUMI INDAH</v>
      </c>
      <c r="D9574" s="42"/>
      <c r="E9574" s="42"/>
      <c r="F9574" s="48" t="str">
        <f>IFERROR(__xludf.DUMMYFUNCTION("""COMPUTED_VALUE"""),"")</f>
        <v/>
      </c>
      <c r="G9574" s="42" t="str">
        <f>IFERROR(__xludf.DUMMYFUNCTION("""COMPUTED_VALUE"""),"Perubahan hak ")</f>
        <v>Perubahan hak </v>
      </c>
      <c r="H9574" s="42">
        <f t="shared" si="1"/>
        <v>3345</v>
      </c>
    </row>
    <row r="9575" ht="22.5" customHeight="1">
      <c r="B9575" s="42" t="str">
        <f>IFERROR(__xludf.DUMMYFUNCTION("""COMPUTED_VALUE"""),"L/12/251125/1")</f>
        <v>L/12/251125/1</v>
      </c>
      <c r="C9575" s="42" t="str">
        <f>IFERROR(__xludf.DUMMYFUNCTION("""COMPUTED_VALUE"""),"M. 321 DAN 322/RAJABASA NUNYAI")</f>
        <v>M. 321 DAN 322/RAJABASA NUNYAI</v>
      </c>
      <c r="D9575" s="42"/>
      <c r="E9575" s="42"/>
      <c r="F9575" s="48" t="str">
        <f>IFERROR(__xludf.DUMMYFUNCTION("""COMPUTED_VALUE"""),"")</f>
        <v/>
      </c>
      <c r="G9575" s="42" t="str">
        <f>IFERROR(__xludf.DUMMYFUNCTION("""COMPUTED_VALUE"""),"ROYA")</f>
        <v>ROYA</v>
      </c>
      <c r="H9575" s="42">
        <f t="shared" si="1"/>
        <v>3345</v>
      </c>
    </row>
    <row r="9576" ht="22.5" customHeight="1">
      <c r="B9576" s="42" t="str">
        <f>IFERROR(__xludf.DUMMYFUNCTION("""COMPUTED_VALUE"""),"ABBHZYEE")</f>
        <v>ABBHZYEE</v>
      </c>
      <c r="C9576" s="42" t="str">
        <f>IFERROR(__xludf.DUMMYFUNCTION("""COMPUTED_VALUE"""),"14275/SI")</f>
        <v>14275/SI</v>
      </c>
      <c r="D9576" s="42"/>
      <c r="E9576" s="42"/>
      <c r="F9576" s="48" t="str">
        <f>IFERROR(__xludf.DUMMYFUNCTION("""COMPUTED_VALUE"""),"")</f>
        <v/>
      </c>
      <c r="G9576" s="42" t="str">
        <f>IFERROR(__xludf.DUMMYFUNCTION("""COMPUTED_VALUE"""),"Gandes")</f>
        <v>Gandes</v>
      </c>
      <c r="H9576" s="42">
        <f t="shared" si="1"/>
        <v>3345</v>
      </c>
    </row>
    <row r="9577" ht="22.5" customHeight="1">
      <c r="B9577" s="42" t="str">
        <f>IFERROR(__xludf.DUMMYFUNCTION("""COMPUTED_VALUE"""),"AB063")</f>
        <v>AB063</v>
      </c>
      <c r="C9577" s="42" t="str">
        <f>IFERROR(__xludf.DUMMYFUNCTION("""COMPUTED_VALUE"""),"NIBEL.08.01.000008380.0/Pahoman")</f>
        <v>NIBEL.08.01.000008380.0/Pahoman</v>
      </c>
      <c r="D9577" s="42"/>
      <c r="E9577" s="42"/>
      <c r="F9577" s="48" t="str">
        <f>IFERROR(__xludf.DUMMYFUNCTION("""COMPUTED_VALUE"""),"")</f>
        <v/>
      </c>
      <c r="G9577" s="42" t="str">
        <f>IFERROR(__xludf.DUMMYFUNCTION("""COMPUTED_VALUE"""),"Penerbitan SHM Elektronik Edisi Roya")</f>
        <v>Penerbitan SHM Elektronik Edisi Roya</v>
      </c>
      <c r="H9577" s="42">
        <f t="shared" si="1"/>
        <v>3345</v>
      </c>
    </row>
    <row r="9578" ht="22.5" customHeight="1">
      <c r="B9578" s="42" t="str">
        <f>IFERROR(__xludf.DUMMYFUNCTION("""COMPUTED_VALUE"""),"AB096/ABVNLOVC")</f>
        <v>AB096/ABVNLOVC</v>
      </c>
      <c r="C9578" s="42" t="str">
        <f>IFERROR(__xludf.DUMMYFUNCTION("""COMPUTED_VALUE"""),"Shgb nibel 397 Kemiling Permai")</f>
        <v>Shgb nibel 397 Kemiling Permai</v>
      </c>
      <c r="D9578" s="42"/>
      <c r="E9578" s="42"/>
      <c r="F9578" s="48" t="str">
        <f>IFERROR(__xludf.DUMMYFUNCTION("""COMPUTED_VALUE"""),"")</f>
        <v/>
      </c>
      <c r="G9578" s="42" t="str">
        <f>IFERROR(__xludf.DUMMYFUNCTION("""COMPUTED_VALUE"""),"Peningkatan Hak")</f>
        <v>Peningkatan Hak</v>
      </c>
      <c r="H9578" s="42">
        <f t="shared" si="1"/>
        <v>3345</v>
      </c>
    </row>
    <row r="9579" ht="22.5" customHeight="1">
      <c r="B9579" s="42" t="str">
        <f>IFERROR(__xludf.DUMMYFUNCTION("""COMPUTED_VALUE"""),"K/13/251125/1")</f>
        <v>K/13/251125/1</v>
      </c>
      <c r="C9579" s="42" t="str">
        <f>IFERROR(__xludf.DUMMYFUNCTION("""COMPUTED_VALUE"""),"M. 1213/SUMUR PUTRI")</f>
        <v>M. 1213/SUMUR PUTRI</v>
      </c>
      <c r="D9579" s="42"/>
      <c r="E9579" s="42"/>
      <c r="F9579" s="48" t="str">
        <f>IFERROR(__xludf.DUMMYFUNCTION("""COMPUTED_VALUE"""),"")</f>
        <v/>
      </c>
      <c r="G9579" s="42" t="str">
        <f>IFERROR(__xludf.DUMMYFUNCTION("""COMPUTED_VALUE"""),"HAPUS BPHTB")</f>
        <v>HAPUS BPHTB</v>
      </c>
      <c r="H9579" s="42">
        <f t="shared" si="1"/>
        <v>3345</v>
      </c>
    </row>
    <row r="9580" ht="22.5" customHeight="1">
      <c r="B9580" s="42" t="str">
        <f>IFERROR(__xludf.DUMMYFUNCTION("""COMPUTED_VALUE"""),"K/15/251125/1")</f>
        <v>K/15/251125/1</v>
      </c>
      <c r="C9580" s="42" t="str">
        <f>IFERROR(__xludf.DUMMYFUNCTION("""COMPUTED_VALUE"""),"M. 499/KOTA SEPANG")</f>
        <v>M. 499/KOTA SEPANG</v>
      </c>
      <c r="D9580" s="42"/>
      <c r="E9580" s="42"/>
      <c r="F9580" s="48" t="str">
        <f>IFERROR(__xludf.DUMMYFUNCTION("""COMPUTED_VALUE"""),"")</f>
        <v/>
      </c>
      <c r="G9580" s="42" t="str">
        <f>IFERROR(__xludf.DUMMYFUNCTION("""COMPUTED_VALUE"""),"PTPGT PEMECAHAN")</f>
        <v>PTPGT PEMECAHAN</v>
      </c>
      <c r="H9580" s="42">
        <f t="shared" si="1"/>
        <v>3345</v>
      </c>
    </row>
    <row r="9581" ht="22.5" customHeight="1">
      <c r="B9581" s="42" t="str">
        <f>IFERROR(__xludf.DUMMYFUNCTION("""COMPUTED_VALUE"""),"AB011 ABNYTMVY")</f>
        <v>AB011 ABNYTMVY</v>
      </c>
      <c r="C9581" s="42" t="str">
        <f>IFERROR(__xludf.DUMMYFUNCTION("""COMPUTED_VALUE"""),"SHM No. 238/Bilabong Jaya")</f>
        <v>SHM No. 238/Bilabong Jaya</v>
      </c>
      <c r="D9581" s="42"/>
      <c r="E9581" s="42"/>
      <c r="F9581" s="48" t="str">
        <f>IFERROR(__xludf.DUMMYFUNCTION("""COMPUTED_VALUE"""),"")</f>
        <v/>
      </c>
      <c r="G9581" s="42" t="str">
        <f>IFERROR(__xludf.DUMMYFUNCTION("""COMPUTED_VALUE"""),"Pengecekan Sertifikat ")</f>
        <v>Pengecekan Sertifikat </v>
      </c>
      <c r="H9581" s="42">
        <f t="shared" si="1"/>
        <v>3345</v>
      </c>
    </row>
    <row r="9582" ht="22.5" customHeight="1">
      <c r="B9582" s="42" t="str">
        <f>IFERROR(__xludf.DUMMYFUNCTION("""COMPUTED_VALUE"""),"AB011 ABJXZVAS")</f>
        <v>AB011 ABJXZVAS</v>
      </c>
      <c r="C9582" s="42" t="str">
        <f>IFERROR(__xludf.DUMMYFUNCTION("""COMPUTED_VALUE"""),"SHM No. 239/Bilabong Jaya")</f>
        <v>SHM No. 239/Bilabong Jaya</v>
      </c>
      <c r="D9582" s="42"/>
      <c r="E9582" s="42"/>
      <c r="F9582" s="48" t="str">
        <f>IFERROR(__xludf.DUMMYFUNCTION("""COMPUTED_VALUE"""),"")</f>
        <v/>
      </c>
      <c r="G9582" s="42" t="str">
        <f>IFERROR(__xludf.DUMMYFUNCTION("""COMPUTED_VALUE"""),"Pengecekan Sertifikat ")</f>
        <v>Pengecekan Sertifikat </v>
      </c>
      <c r="H9582" s="42">
        <f t="shared" si="1"/>
        <v>3345</v>
      </c>
    </row>
    <row r="9583" ht="22.5" customHeight="1">
      <c r="B9583" s="42" t="str">
        <f>IFERROR(__xludf.DUMMYFUNCTION("""COMPUTED_VALUE"""),"ABGFVISU")</f>
        <v>ABGFVISU</v>
      </c>
      <c r="C9583" s="42" t="str">
        <f>IFERROR(__xludf.DUMMYFUNCTION("""COMPUTED_VALUE"""),"M.4951/sawah brebes")</f>
        <v>M.4951/sawah brebes</v>
      </c>
      <c r="D9583" s="42"/>
      <c r="E9583" s="42"/>
      <c r="F9583" s="48" t="str">
        <f>IFERROR(__xludf.DUMMYFUNCTION("""COMPUTED_VALUE"""),"")</f>
        <v/>
      </c>
      <c r="G9583" s="42" t="str">
        <f>IFERROR(__xludf.DUMMYFUNCTION("""COMPUTED_VALUE"""),"Peralihan hak ( hibah)")</f>
        <v>Peralihan hak ( hibah)</v>
      </c>
      <c r="H9583" s="42">
        <f t="shared" si="1"/>
        <v>3345</v>
      </c>
    </row>
    <row r="9584" ht="22.5" customHeight="1">
      <c r="B9584" s="42" t="str">
        <f>IFERROR(__xludf.DUMMYFUNCTION("""COMPUTED_VALUE"""),"K/1/261125/1")</f>
        <v>K/1/261125/1</v>
      </c>
      <c r="C9584" s="42" t="str">
        <f>IFERROR(__xludf.DUMMYFUNCTION("""COMPUTED_VALUE"""),"NIBEL B. 25804/NUSANTARA PERMAI")</f>
        <v>NIBEL B. 25804/NUSANTARA PERMAI</v>
      </c>
      <c r="D9584" s="42"/>
      <c r="E9584" s="42"/>
      <c r="F9584" s="48" t="str">
        <f>IFERROR(__xludf.DUMMYFUNCTION("""COMPUTED_VALUE"""),"")</f>
        <v/>
      </c>
      <c r="G9584" s="42" t="str">
        <f>IFERROR(__xludf.DUMMYFUNCTION("""COMPUTED_VALUE"""),"PENINGKATAN HAK")</f>
        <v>PENINGKATAN HAK</v>
      </c>
      <c r="H9584" s="42">
        <f t="shared" si="1"/>
        <v>3345</v>
      </c>
    </row>
    <row r="9585" ht="22.5" customHeight="1">
      <c r="B9585" s="42" t="str">
        <f>IFERROR(__xludf.DUMMYFUNCTION("""COMPUTED_VALUE"""),"L/3/261125/1")</f>
        <v>L/3/261125/1</v>
      </c>
      <c r="C9585" s="42" t="str">
        <f>IFERROR(__xludf.DUMMYFUNCTION("""COMPUTED_VALUE"""),"KRL BERINGIN JAYA")</f>
        <v>KRL BERINGIN JAYA</v>
      </c>
      <c r="D9585" s="42"/>
      <c r="E9585" s="42"/>
      <c r="F9585" s="48" t="str">
        <f>IFERROR(__xludf.DUMMYFUNCTION("""COMPUTED_VALUE"""),"")</f>
        <v/>
      </c>
      <c r="G9585" s="42" t="str">
        <f>IFERROR(__xludf.DUMMYFUNCTION("""COMPUTED_VALUE"""),"WAKAF TANAH MENTAH")</f>
        <v>WAKAF TANAH MENTAH</v>
      </c>
      <c r="H9585" s="42">
        <f t="shared" si="1"/>
        <v>3345</v>
      </c>
    </row>
    <row r="9586" ht="22.5" customHeight="1">
      <c r="B9586" s="42" t="str">
        <f>IFERROR(__xludf.DUMMYFUNCTION("""COMPUTED_VALUE"""),"K/2/261125/1")</f>
        <v>K/2/261125/1</v>
      </c>
      <c r="C9586" s="42" t="str">
        <f>IFERROR(__xludf.DUMMYFUNCTION("""COMPUTED_VALUE"""),"M.222/PALAPA")</f>
        <v>M.222/PALAPA</v>
      </c>
      <c r="D9586" s="42"/>
      <c r="E9586" s="42"/>
      <c r="F9586" s="48" t="str">
        <f>IFERROR(__xludf.DUMMYFUNCTION("""COMPUTED_VALUE"""),"")</f>
        <v/>
      </c>
      <c r="G9586" s="42" t="str">
        <f>IFERROR(__xludf.DUMMYFUNCTION("""COMPUTED_VALUE"""),"SKPT LELANG")</f>
        <v>SKPT LELANG</v>
      </c>
      <c r="H9586" s="42">
        <f t="shared" si="1"/>
        <v>3345</v>
      </c>
    </row>
    <row r="9587" ht="22.5" customHeight="1">
      <c r="B9587" s="42" t="str">
        <f>IFERROR(__xludf.DUMMYFUNCTION("""COMPUTED_VALUE"""),"K/4/261125/1")</f>
        <v>K/4/261125/1</v>
      </c>
      <c r="C9587" s="42" t="str">
        <f>IFERROR(__xludf.DUMMYFUNCTION("""COMPUTED_VALUE"""),"M. 187/SUMBER AGUNG")</f>
        <v>M. 187/SUMBER AGUNG</v>
      </c>
      <c r="D9587" s="42"/>
      <c r="E9587" s="42"/>
      <c r="F9587" s="48" t="str">
        <f>IFERROR(__xludf.DUMMYFUNCTION("""COMPUTED_VALUE"""),"")</f>
        <v/>
      </c>
      <c r="G9587" s="42" t="str">
        <f>IFERROR(__xludf.DUMMYFUNCTION("""COMPUTED_VALUE"""),"BN WARIS ")</f>
        <v>BN WARIS </v>
      </c>
      <c r="H9587" s="42">
        <f t="shared" si="1"/>
        <v>3345</v>
      </c>
    </row>
    <row r="9588" ht="22.5" customHeight="1">
      <c r="B9588" s="42" t="str">
        <f>IFERROR(__xludf.DUMMYFUNCTION("""COMPUTED_VALUE"""),"Ab051/ABPGIBTJ")</f>
        <v>Ab051/ABPGIBTJ</v>
      </c>
      <c r="C9588" s="42" t="str">
        <f>IFERROR(__xludf.DUMMYFUNCTION("""COMPUTED_VALUE"""),"B 524/Rajabasa Nunyai")</f>
        <v>B 524/Rajabasa Nunyai</v>
      </c>
      <c r="D9588" s="42"/>
      <c r="E9588" s="42"/>
      <c r="F9588" s="48" t="str">
        <f>IFERROR(__xludf.DUMMYFUNCTION("""COMPUTED_VALUE"""),"")</f>
        <v/>
      </c>
      <c r="G9588" s="42" t="str">
        <f>IFERROR(__xludf.DUMMYFUNCTION("""COMPUTED_VALUE"""),"BN Jual Beli")</f>
        <v>BN Jual Beli</v>
      </c>
      <c r="H9588" s="42">
        <f t="shared" si="1"/>
        <v>3345</v>
      </c>
    </row>
    <row r="9589" ht="22.5" customHeight="1">
      <c r="B9589" s="42" t="str">
        <f>IFERROR(__xludf.DUMMYFUNCTION("""COMPUTED_VALUE"""),"AB012/ABLHFMJP")</f>
        <v>AB012/ABLHFMJP</v>
      </c>
      <c r="C9589" s="42" t="str">
        <f>IFERROR(__xludf.DUMMYFUNCTION("""COMPUTED_VALUE"""),"HM 969/Pt")</f>
        <v>HM 969/Pt</v>
      </c>
      <c r="D9589" s="42"/>
      <c r="E9589" s="42"/>
      <c r="F9589" s="48" t="str">
        <f>IFERROR(__xludf.DUMMYFUNCTION("""COMPUTED_VALUE"""),"")</f>
        <v/>
      </c>
      <c r="G9589" s="42" t="str">
        <f>IFERROR(__xludf.DUMMYFUNCTION("""COMPUTED_VALUE"""),"Hibah")</f>
        <v>Hibah</v>
      </c>
      <c r="H9589" s="42">
        <f t="shared" si="1"/>
        <v>3345</v>
      </c>
    </row>
    <row r="9590" ht="22.5" customHeight="1">
      <c r="B9590" s="42" t="str">
        <f>IFERROR(__xludf.DUMMYFUNCTION("""COMPUTED_VALUE"""),"K/5/261125/1")</f>
        <v>K/5/261125/1</v>
      </c>
      <c r="C9590" s="42" t="str">
        <f>IFERROR(__xludf.DUMMYFUNCTION("""COMPUTED_VALUE"""),"M. 996/WAY LAGA")</f>
        <v>M. 996/WAY LAGA</v>
      </c>
      <c r="D9590" s="42"/>
      <c r="E9590" s="42"/>
      <c r="F9590" s="48" t="str">
        <f>IFERROR(__xludf.DUMMYFUNCTION("""COMPUTED_VALUE"""),"")</f>
        <v/>
      </c>
      <c r="G9590" s="42" t="str">
        <f>IFERROR(__xludf.DUMMYFUNCTION("""COMPUTED_VALUE"""),"ROYA")</f>
        <v>ROYA</v>
      </c>
      <c r="H9590" s="42">
        <f t="shared" si="1"/>
        <v>3345</v>
      </c>
    </row>
    <row r="9591" ht="22.5" customHeight="1">
      <c r="B9591" s="42" t="str">
        <f>IFERROR(__xludf.DUMMYFUNCTION("""COMPUTED_VALUE"""),"L/7/261125/1")</f>
        <v>L/7/261125/1</v>
      </c>
      <c r="C9591" s="42" t="str">
        <f>IFERROR(__xludf.DUMMYFUNCTION("""COMPUTED_VALUE"""),"M. 421/GUNUNG TERANG")</f>
        <v>M. 421/GUNUNG TERANG</v>
      </c>
      <c r="D9591" s="42"/>
      <c r="E9591" s="42"/>
      <c r="F9591" s="48" t="str">
        <f>IFERROR(__xludf.DUMMYFUNCTION("""COMPUTED_VALUE"""),"")</f>
        <v/>
      </c>
      <c r="G9591" s="42" t="str">
        <f>IFERROR(__xludf.DUMMYFUNCTION("""COMPUTED_VALUE"""),"SKPT INFORMASI")</f>
        <v>SKPT INFORMASI</v>
      </c>
      <c r="H9591" s="42">
        <f t="shared" si="1"/>
        <v>3345</v>
      </c>
    </row>
    <row r="9592" ht="22.5" customHeight="1">
      <c r="B9592" s="42" t="str">
        <f>IFERROR(__xludf.DUMMYFUNCTION("""COMPUTED_VALUE"""),"AB053/ABXVGGFS")</f>
        <v>AB053/ABXVGGFS</v>
      </c>
      <c r="C9592" s="42" t="str">
        <f>IFERROR(__xludf.DUMMYFUNCTION("""COMPUTED_VALUE"""),"M.787/Pesawahan")</f>
        <v>M.787/Pesawahan</v>
      </c>
      <c r="D9592" s="42"/>
      <c r="E9592" s="42"/>
      <c r="F9592" s="48" t="str">
        <f>IFERROR(__xludf.DUMMYFUNCTION("""COMPUTED_VALUE"""),"")</f>
        <v/>
      </c>
      <c r="G9592" s="42" t="str">
        <f>IFERROR(__xludf.DUMMYFUNCTION("""COMPUTED_VALUE"""),"WARIS")</f>
        <v>WARIS</v>
      </c>
      <c r="H9592" s="42">
        <f t="shared" si="1"/>
        <v>3345</v>
      </c>
    </row>
    <row r="9593" ht="22.5" customHeight="1">
      <c r="B9593" s="42" t="str">
        <f>IFERROR(__xludf.DUMMYFUNCTION("""COMPUTED_VALUE"""),"K/6/261125/1")</f>
        <v>K/6/261125/1</v>
      </c>
      <c r="C9593" s="42" t="str">
        <f>IFERROR(__xludf.DUMMYFUNCTION("""COMPUTED_VALUE"""),"M. 2147/KANGKUNG")</f>
        <v>M. 2147/KANGKUNG</v>
      </c>
      <c r="D9593" s="42"/>
      <c r="E9593" s="42"/>
      <c r="F9593" s="48" t="str">
        <f>IFERROR(__xludf.DUMMYFUNCTION("""COMPUTED_VALUE"""),"")</f>
        <v/>
      </c>
      <c r="G9593" s="42" t="str">
        <f>IFERROR(__xludf.DUMMYFUNCTION("""COMPUTED_VALUE"""),"HAPUS BPHTB ")</f>
        <v>HAPUS BPHTB </v>
      </c>
      <c r="H9593" s="42">
        <f t="shared" si="1"/>
        <v>3345</v>
      </c>
    </row>
    <row r="9594" ht="22.5" customHeight="1">
      <c r="B9594" s="42" t="str">
        <f>IFERROR(__xludf.DUMMYFUNCTION("""COMPUTED_VALUE"""),"AB010/ABGXBAWC")</f>
        <v>AB010/ABGXBAWC</v>
      </c>
      <c r="C9594" s="42" t="str">
        <f>IFERROR(__xludf.DUMMYFUNCTION("""COMPUTED_VALUE"""),"M. 2592/Sukarame II")</f>
        <v>M. 2592/Sukarame II</v>
      </c>
      <c r="D9594" s="42"/>
      <c r="E9594" s="42"/>
      <c r="F9594" s="48" t="str">
        <f>IFERROR(__xludf.DUMMYFUNCTION("""COMPUTED_VALUE"""),"")</f>
        <v/>
      </c>
      <c r="G9594" s="42" t="str">
        <f>IFERROR(__xludf.DUMMYFUNCTION("""COMPUTED_VALUE"""),"PERALIHAN HAK JUAL BELI")</f>
        <v>PERALIHAN HAK JUAL BELI</v>
      </c>
      <c r="H9594" s="42">
        <f t="shared" si="1"/>
        <v>3345</v>
      </c>
    </row>
    <row r="9595" ht="22.5" customHeight="1">
      <c r="B9595" s="42" t="str">
        <f>IFERROR(__xludf.DUMMYFUNCTION("""COMPUTED_VALUE"""),"K/8/261125/1")</f>
        <v>K/8/261125/1</v>
      </c>
      <c r="C9595" s="42" t="str">
        <f>IFERROR(__xludf.DUMMYFUNCTION("""COMPUTED_VALUE"""),"M. 3915/TANJUNG SENANG ")</f>
        <v>M. 3915/TANJUNG SENANG </v>
      </c>
      <c r="D9595" s="42"/>
      <c r="E9595" s="42"/>
      <c r="F9595" s="48" t="str">
        <f>IFERROR(__xludf.DUMMYFUNCTION("""COMPUTED_VALUE"""),"")</f>
        <v/>
      </c>
      <c r="G9595" s="42" t="str">
        <f>IFERROR(__xludf.DUMMYFUNCTION("""COMPUTED_VALUE"""),"SKPT LELANG")</f>
        <v>SKPT LELANG</v>
      </c>
      <c r="H9595" s="42">
        <f t="shared" si="1"/>
        <v>3345</v>
      </c>
    </row>
    <row r="9596" ht="22.5" customHeight="1">
      <c r="B9596" s="42" t="str">
        <f>IFERROR(__xludf.DUMMYFUNCTION("""COMPUTED_VALUE"""),"ABLRZJWB")</f>
        <v>ABLRZJWB</v>
      </c>
      <c r="C9596" s="42" t="str">
        <f>IFERROR(__xludf.DUMMYFUNCTION("""COMPUTED_VALUE"""),"M.689/Pahoman")</f>
        <v>M.689/Pahoman</v>
      </c>
      <c r="D9596" s="42"/>
      <c r="E9596" s="42"/>
      <c r="F9596" s="48" t="str">
        <f>IFERROR(__xludf.DUMMYFUNCTION("""COMPUTED_VALUE"""),"")</f>
        <v/>
      </c>
      <c r="G9596" s="42" t="str">
        <f>IFERROR(__xludf.DUMMYFUNCTION("""COMPUTED_VALUE"""),"Turun Waris")</f>
        <v>Turun Waris</v>
      </c>
      <c r="H9596" s="42">
        <f t="shared" si="1"/>
        <v>3345</v>
      </c>
    </row>
    <row r="9597" ht="22.5" customHeight="1">
      <c r="B9597" s="42" t="str">
        <f>IFERROR(__xludf.DUMMYFUNCTION("""COMPUTED_VALUE"""),"ANDKMMN")</f>
        <v>ANDKMMN</v>
      </c>
      <c r="C9597" s="42" t="str">
        <f>IFERROR(__xludf.DUMMYFUNCTION("""COMPUTED_VALUE"""),"Nibel 20253 Sukadana Ham")</f>
        <v>Nibel 20253 Sukadana Ham</v>
      </c>
      <c r="D9597" s="42"/>
      <c r="E9597" s="42"/>
      <c r="F9597" s="48" t="str">
        <f>IFERROR(__xludf.DUMMYFUNCTION("""COMPUTED_VALUE"""),"")</f>
        <v/>
      </c>
      <c r="G9597" s="42" t="str">
        <f>IFERROR(__xludf.DUMMYFUNCTION("""COMPUTED_VALUE"""),"BN")</f>
        <v>BN</v>
      </c>
      <c r="H9597" s="42">
        <f t="shared" si="1"/>
        <v>3345</v>
      </c>
    </row>
    <row r="9598" ht="22.5" customHeight="1">
      <c r="B9598" s="42" t="str">
        <f>IFERROR(__xludf.DUMMYFUNCTION("""COMPUTED_VALUE"""),"ABESDGZG")</f>
        <v>ABESDGZG</v>
      </c>
      <c r="C9598" s="42" t="str">
        <f>IFERROR(__xludf.DUMMYFUNCTION("""COMPUTED_VALUE"""),"M.2130/ keteguhan")</f>
        <v>M.2130/ keteguhan</v>
      </c>
      <c r="D9598" s="42"/>
      <c r="E9598" s="42"/>
      <c r="F9598" s="48" t="str">
        <f>IFERROR(__xludf.DUMMYFUNCTION("""COMPUTED_VALUE"""),"")</f>
        <v/>
      </c>
      <c r="G9598" s="42" t="str">
        <f>IFERROR(__xludf.DUMMYFUNCTION("""COMPUTED_VALUE"""),"Balik Nama jual beli")</f>
        <v>Balik Nama jual beli</v>
      </c>
      <c r="H9598" s="42">
        <f t="shared" si="1"/>
        <v>3345</v>
      </c>
    </row>
    <row r="9599" ht="22.5" customHeight="1">
      <c r="B9599" s="42" t="str">
        <f>IFERROR(__xludf.DUMMYFUNCTION("""COMPUTED_VALUE"""),"K/9/261125/1")</f>
        <v>K/9/261125/1</v>
      </c>
      <c r="C9599" s="42" t="str">
        <f>IFERROR(__xludf.DUMMYFUNCTION("""COMPUTED_VALUE"""),"NIBEL B. 24741/CAMPANG RAYA")</f>
        <v>NIBEL B. 24741/CAMPANG RAYA</v>
      </c>
      <c r="D9599" s="42"/>
      <c r="E9599" s="42"/>
      <c r="F9599" s="48" t="str">
        <f>IFERROR(__xludf.DUMMYFUNCTION("""COMPUTED_VALUE"""),"")</f>
        <v/>
      </c>
      <c r="G9599" s="42" t="str">
        <f>IFERROR(__xludf.DUMMYFUNCTION("""COMPUTED_VALUE"""),"PENINGKATAN HAK")</f>
        <v>PENINGKATAN HAK</v>
      </c>
      <c r="H9599" s="42">
        <f t="shared" si="1"/>
        <v>3345</v>
      </c>
    </row>
    <row r="9600" ht="22.5" customHeight="1">
      <c r="B9600" s="42" t="str">
        <f>IFERROR(__xludf.DUMMYFUNCTION("""COMPUTED_VALUE"""),"0069")</f>
        <v>0069</v>
      </c>
      <c r="C9600" s="42" t="str">
        <f>IFERROR(__xludf.DUMMYFUNCTION("""COMPUTED_VALUE"""),"16103/S.I")</f>
        <v>16103/S.I</v>
      </c>
      <c r="D9600" s="42"/>
      <c r="E9600" s="42"/>
      <c r="F9600" s="48" t="str">
        <f>IFERROR(__xludf.DUMMYFUNCTION("""COMPUTED_VALUE"""),"")</f>
        <v/>
      </c>
      <c r="G9600" s="42" t="str">
        <f>IFERROR(__xludf.DUMMYFUNCTION("""COMPUTED_VALUE"""),"Ganti Desa")</f>
        <v>Ganti Desa</v>
      </c>
      <c r="H9600" s="42">
        <f t="shared" si="1"/>
        <v>3345</v>
      </c>
    </row>
    <row r="9601" ht="22.5" customHeight="1">
      <c r="B9601" s="42" t="str">
        <f>IFERROR(__xludf.DUMMYFUNCTION("""COMPUTED_VALUE"""),"L/11/261125/1")</f>
        <v>L/11/261125/1</v>
      </c>
      <c r="C9601" s="42" t="str">
        <f>IFERROR(__xludf.DUMMYFUNCTION("""COMPUTED_VALUE"""),"M. 334/KETAPANG")</f>
        <v>M. 334/KETAPANG</v>
      </c>
      <c r="D9601" s="42"/>
      <c r="E9601" s="42"/>
      <c r="F9601" s="48" t="str">
        <f>IFERROR(__xludf.DUMMYFUNCTION("""COMPUTED_VALUE"""),"")</f>
        <v/>
      </c>
      <c r="G9601" s="42" t="str">
        <f>IFERROR(__xludf.DUMMYFUNCTION("""COMPUTED_VALUE"""),"SKPT INFORMASI")</f>
        <v>SKPT INFORMASI</v>
      </c>
      <c r="H9601" s="42">
        <f t="shared" si="1"/>
        <v>3345</v>
      </c>
    </row>
    <row r="9602" ht="22.5" customHeight="1">
      <c r="B9602" s="42" t="str">
        <f>IFERROR(__xludf.DUMMYFUNCTION("""COMPUTED_VALUE"""),"ABUVEEKS")</f>
        <v>ABUVEEKS</v>
      </c>
      <c r="C9602" s="42" t="str">
        <f>IFERROR(__xludf.DUMMYFUNCTION("""COMPUTED_VALUE"""),"B. 699/Sumber Agung")</f>
        <v>B. 699/Sumber Agung</v>
      </c>
      <c r="D9602" s="42"/>
      <c r="E9602" s="42"/>
      <c r="F9602" s="48" t="str">
        <f>IFERROR(__xludf.DUMMYFUNCTION("""COMPUTED_VALUE"""),"")</f>
        <v/>
      </c>
      <c r="G9602" s="42" t="str">
        <f>IFERROR(__xludf.DUMMYFUNCTION("""COMPUTED_VALUE"""),"Balik Nama")</f>
        <v>Balik Nama</v>
      </c>
      <c r="H9602" s="42">
        <f t="shared" si="1"/>
        <v>3345</v>
      </c>
    </row>
    <row r="9603" ht="22.5" customHeight="1">
      <c r="B9603" s="42" t="str">
        <f>IFERROR(__xludf.DUMMYFUNCTION("""COMPUTED_VALUE"""),"ABWWEVWB")</f>
        <v>ABWWEVWB</v>
      </c>
      <c r="C9603" s="42" t="str">
        <f>IFERROR(__xludf.DUMMYFUNCTION("""COMPUTED_VALUE"""),"B. 612/Sumber Agung")</f>
        <v>B. 612/Sumber Agung</v>
      </c>
      <c r="D9603" s="42"/>
      <c r="E9603" s="42"/>
      <c r="F9603" s="48" t="str">
        <f>IFERROR(__xludf.DUMMYFUNCTION("""COMPUTED_VALUE"""),"")</f>
        <v/>
      </c>
      <c r="G9603" s="42" t="str">
        <f>IFERROR(__xludf.DUMMYFUNCTION("""COMPUTED_VALUE"""),"Balik Nama")</f>
        <v>Balik Nama</v>
      </c>
      <c r="H9603" s="42">
        <f t="shared" si="1"/>
        <v>3345</v>
      </c>
    </row>
    <row r="9604" ht="22.5" customHeight="1">
      <c r="B9604" s="42" t="str">
        <f>IFERROR(__xludf.DUMMYFUNCTION("""COMPUTED_VALUE"""),"ABZJDTLB")</f>
        <v>ABZJDTLB</v>
      </c>
      <c r="C9604" s="42" t="str">
        <f>IFERROR(__xludf.DUMMYFUNCTION("""COMPUTED_VALUE"""),"B. 971/Campang Jaya")</f>
        <v>B. 971/Campang Jaya</v>
      </c>
      <c r="D9604" s="42"/>
      <c r="E9604" s="42"/>
      <c r="F9604" s="48" t="str">
        <f>IFERROR(__xludf.DUMMYFUNCTION("""COMPUTED_VALUE"""),"")</f>
        <v/>
      </c>
      <c r="G9604" s="42" t="str">
        <f>IFERROR(__xludf.DUMMYFUNCTION("""COMPUTED_VALUE"""),"Balik Nama")</f>
        <v>Balik Nama</v>
      </c>
      <c r="H9604" s="42">
        <f t="shared" si="1"/>
        <v>3345</v>
      </c>
    </row>
    <row r="9605" ht="22.5" customHeight="1">
      <c r="B9605" s="42" t="str">
        <f>IFERROR(__xludf.DUMMYFUNCTION("""COMPUTED_VALUE"""),"K/10/261125/1")</f>
        <v>K/10/261125/1</v>
      </c>
      <c r="C9605" s="42" t="str">
        <f>IFERROR(__xludf.DUMMYFUNCTION("""COMPUTED_VALUE"""),"B. 3204/SUKABUMI")</f>
        <v>B. 3204/SUKABUMI</v>
      </c>
      <c r="D9605" s="42"/>
      <c r="E9605" s="42"/>
      <c r="F9605" s="48" t="str">
        <f>IFERROR(__xludf.DUMMYFUNCTION("""COMPUTED_VALUE"""),"")</f>
        <v/>
      </c>
      <c r="G9605" s="42" t="str">
        <f>IFERROR(__xludf.DUMMYFUNCTION("""COMPUTED_VALUE"""),"ROYA WARIS")</f>
        <v>ROYA WARIS</v>
      </c>
      <c r="H9605" s="42">
        <f t="shared" si="1"/>
        <v>3345</v>
      </c>
    </row>
    <row r="9606" ht="22.5" customHeight="1">
      <c r="B9606" s="42" t="str">
        <f>IFERROR(__xludf.DUMMYFUNCTION("""COMPUTED_VALUE"""),"L/12/261125/1")</f>
        <v>L/12/261125/1</v>
      </c>
      <c r="C9606" s="42" t="str">
        <f>IFERROR(__xludf.DUMMYFUNCTION("""COMPUTED_VALUE"""),"PBT NO 175/2025 KEL. LANGKAPURA")</f>
        <v>PBT NO 175/2025 KEL. LANGKAPURA</v>
      </c>
      <c r="D9606" s="42"/>
      <c r="E9606" s="42"/>
      <c r="F9606" s="48" t="str">
        <f>IFERROR(__xludf.DUMMYFUNCTION("""COMPUTED_VALUE"""),"")</f>
        <v/>
      </c>
      <c r="G9606" s="42" t="str">
        <f>IFERROR(__xludf.DUMMYFUNCTION("""COMPUTED_VALUE"""),"PTPGT TANAH MENTAH")</f>
        <v>PTPGT TANAH MENTAH</v>
      </c>
      <c r="H9606" s="42">
        <f t="shared" si="1"/>
        <v>3345</v>
      </c>
    </row>
    <row r="9607" ht="22.5" customHeight="1">
      <c r="B9607" s="42" t="str">
        <f>IFERROR(__xludf.DUMMYFUNCTION("""COMPUTED_VALUE"""),"L/13/261125/1")</f>
        <v>L/13/261125/1</v>
      </c>
      <c r="C9607" s="42" t="str">
        <f>IFERROR(__xludf.DUMMYFUNCTION("""COMPUTED_VALUE"""),"B. 92/KEDAMAIAN")</f>
        <v>B. 92/KEDAMAIAN</v>
      </c>
      <c r="D9607" s="42"/>
      <c r="E9607" s="42"/>
      <c r="F9607" s="48" t="str">
        <f>IFERROR(__xludf.DUMMYFUNCTION("""COMPUTED_VALUE"""),"")</f>
        <v/>
      </c>
      <c r="G9607" s="42" t="str">
        <f>IFERROR(__xludf.DUMMYFUNCTION("""COMPUTED_VALUE"""),"PTPGT HGB MATI")</f>
        <v>PTPGT HGB MATI</v>
      </c>
      <c r="H9607" s="42">
        <f t="shared" si="1"/>
        <v>3345</v>
      </c>
    </row>
    <row r="9608" ht="22.5" customHeight="1">
      <c r="B9608" s="42" t="str">
        <f>IFERROR(__xludf.DUMMYFUNCTION("""COMPUTED_VALUE"""),"L/14/261125/1")</f>
        <v>L/14/261125/1</v>
      </c>
      <c r="C9608" s="42" t="str">
        <f>IFERROR(__xludf.DUMMYFUNCTION("""COMPUTED_VALUE"""),"B. 860/PERUMNAS WAY KANDIS")</f>
        <v>B. 860/PERUMNAS WAY KANDIS</v>
      </c>
      <c r="D9608" s="42"/>
      <c r="E9608" s="42"/>
      <c r="F9608" s="48" t="str">
        <f>IFERROR(__xludf.DUMMYFUNCTION("""COMPUTED_VALUE"""),"")</f>
        <v/>
      </c>
      <c r="G9608" s="42" t="str">
        <f>IFERROR(__xludf.DUMMYFUNCTION("""COMPUTED_VALUE"""),"GANTI BLANKO")</f>
        <v>GANTI BLANKO</v>
      </c>
      <c r="H9608" s="42">
        <f t="shared" si="1"/>
        <v>3345</v>
      </c>
    </row>
    <row r="9609" ht="22.5" customHeight="1">
      <c r="B9609" s="42" t="str">
        <f>IFERROR(__xludf.DUMMYFUNCTION("""COMPUTED_VALUE"""),"Abnocaja")</f>
        <v>Abnocaja</v>
      </c>
      <c r="C9609" s="42" t="str">
        <f>IFERROR(__xludf.DUMMYFUNCTION("""COMPUTED_VALUE"""),"M 6648/ tanjung senang")</f>
        <v>M 6648/ tanjung senang</v>
      </c>
      <c r="D9609" s="42"/>
      <c r="E9609" s="42"/>
      <c r="F9609" s="48" t="str">
        <f>IFERROR(__xludf.DUMMYFUNCTION("""COMPUTED_VALUE"""),"")</f>
        <v/>
      </c>
      <c r="G9609" s="42" t="str">
        <f>IFERROR(__xludf.DUMMYFUNCTION("""COMPUTED_VALUE"""),"BN JUAL BELI")</f>
        <v>BN JUAL BELI</v>
      </c>
      <c r="H9609" s="42">
        <f t="shared" si="1"/>
        <v>3345</v>
      </c>
    </row>
    <row r="9610" ht="22.5" customHeight="1">
      <c r="B9610" s="42" t="str">
        <f>IFERROR(__xludf.DUMMYFUNCTION("""COMPUTED_VALUE"""),"AB073/ABNMNQIG")</f>
        <v>AB073/ABNMNQIG</v>
      </c>
      <c r="C9610" s="42" t="str">
        <f>IFERROR(__xludf.DUMMYFUNCTION("""COMPUTED_VALUE"""),"Shm 2774")</f>
        <v>Shm 2774</v>
      </c>
      <c r="D9610" s="42"/>
      <c r="E9610" s="42"/>
      <c r="F9610" s="48" t="str">
        <f>IFERROR(__xludf.DUMMYFUNCTION("""COMPUTED_VALUE"""),"")</f>
        <v/>
      </c>
      <c r="G9610" s="42" t="str">
        <f>IFERROR(__xludf.DUMMYFUNCTION("""COMPUTED_VALUE"""),"Balik Nama")</f>
        <v>Balik Nama</v>
      </c>
      <c r="H9610" s="42">
        <f t="shared" si="1"/>
        <v>3345</v>
      </c>
    </row>
    <row r="9611" ht="22.5" customHeight="1">
      <c r="B9611" s="42" t="str">
        <f>IFERROR(__xludf.DUMMYFUNCTION("""COMPUTED_VALUE"""),"K/15/261125/1")</f>
        <v>K/15/261125/1</v>
      </c>
      <c r="C9611" s="42" t="str">
        <f>IFERROR(__xludf.DUMMYFUNCTION("""COMPUTED_VALUE"""),"M. 13169/SEGALA MIDER")</f>
        <v>M. 13169/SEGALA MIDER</v>
      </c>
      <c r="D9611" s="42"/>
      <c r="E9611" s="42"/>
      <c r="F9611" s="48" t="str">
        <f>IFERROR(__xludf.DUMMYFUNCTION("""COMPUTED_VALUE"""),"")</f>
        <v/>
      </c>
      <c r="G9611" s="42" t="str">
        <f>IFERROR(__xludf.DUMMYFUNCTION("""COMPUTED_VALUE"""),"PENATAAN BATAS")</f>
        <v>PENATAAN BATAS</v>
      </c>
      <c r="H9611" s="42">
        <f t="shared" si="1"/>
        <v>3345</v>
      </c>
    </row>
    <row r="9612" ht="22.5" customHeight="1">
      <c r="B9612" s="42" t="str">
        <f>IFERROR(__xludf.DUMMYFUNCTION("""COMPUTED_VALUE"""),"K/16/261125/1")</f>
        <v>K/16/261125/1</v>
      </c>
      <c r="C9612" s="42" t="str">
        <f>IFERROR(__xludf.DUMMYFUNCTION("""COMPUTED_VALUE"""),"M. 614/PINANG JAYA")</f>
        <v>M. 614/PINANG JAYA</v>
      </c>
      <c r="D9612" s="42"/>
      <c r="E9612" s="42"/>
      <c r="F9612" s="48" t="str">
        <f>IFERROR(__xludf.DUMMYFUNCTION("""COMPUTED_VALUE"""),"")</f>
        <v/>
      </c>
      <c r="G9612" s="42" t="str">
        <f>IFERROR(__xludf.DUMMYFUNCTION("""COMPUTED_VALUE"""),"PTPGT")</f>
        <v>PTPGT</v>
      </c>
      <c r="H9612" s="42">
        <f t="shared" si="1"/>
        <v>3345</v>
      </c>
    </row>
    <row r="9613" ht="22.5" customHeight="1">
      <c r="B9613" s="42" t="str">
        <f>IFERROR(__xludf.DUMMYFUNCTION("""COMPUTED_VALUE"""),"AB077/ABUKYIOT")</f>
        <v>AB077/ABUKYIOT</v>
      </c>
      <c r="C9613" s="42" t="str">
        <f>IFERROR(__xludf.DUMMYFUNCTION("""COMPUTED_VALUE"""),"M NIBEL 25354/Kaliawi")</f>
        <v>M NIBEL 25354/Kaliawi</v>
      </c>
      <c r="D9613" s="42"/>
      <c r="E9613" s="42"/>
      <c r="F9613" s="48" t="str">
        <f>IFERROR(__xludf.DUMMYFUNCTION("""COMPUTED_VALUE"""),"")</f>
        <v/>
      </c>
      <c r="G9613" s="42" t="str">
        <f>IFERROR(__xludf.DUMMYFUNCTION("""COMPUTED_VALUE"""),"BN Jual Beli")</f>
        <v>BN Jual Beli</v>
      </c>
      <c r="H9613" s="42">
        <f t="shared" si="1"/>
        <v>3345</v>
      </c>
    </row>
    <row r="9614" ht="22.5" customHeight="1">
      <c r="B9614" s="42" t="str">
        <f>IFERROR(__xludf.DUMMYFUNCTION("""COMPUTED_VALUE"""),"AB027/ABUMENWM")</f>
        <v>AB027/ABUMENWM</v>
      </c>
      <c r="C9614" s="42" t="str">
        <f>IFERROR(__xludf.DUMMYFUNCTION("""COMPUTED_VALUE"""),"M.3150/Labuhan Dalam")</f>
        <v>M.3150/Labuhan Dalam</v>
      </c>
      <c r="D9614" s="42"/>
      <c r="E9614" s="42"/>
      <c r="F9614" s="48" t="str">
        <f>IFERROR(__xludf.DUMMYFUNCTION("""COMPUTED_VALUE"""),"")</f>
        <v/>
      </c>
      <c r="G9614" s="42" t="str">
        <f>IFERROR(__xludf.DUMMYFUNCTION("""COMPUTED_VALUE"""),"Pemecahan")</f>
        <v>Pemecahan</v>
      </c>
      <c r="H9614" s="42">
        <f t="shared" si="1"/>
        <v>3345</v>
      </c>
    </row>
    <row r="9615" ht="22.5" customHeight="1">
      <c r="B9615" s="42" t="str">
        <f>IFERROR(__xludf.DUMMYFUNCTION("""COMPUTED_VALUE"""),"AB051/ABTVKJEN")</f>
        <v>AB051/ABTVKJEN</v>
      </c>
      <c r="C9615" s="42" t="str">
        <f>IFERROR(__xludf.DUMMYFUNCTION("""COMPUTED_VALUE"""),"M. NIBEL 20766/Tanjung Senang")</f>
        <v>M. NIBEL 20766/Tanjung Senang</v>
      </c>
      <c r="D9615" s="42"/>
      <c r="E9615" s="42"/>
      <c r="F9615" s="48" t="str">
        <f>IFERROR(__xludf.DUMMYFUNCTION("""COMPUTED_VALUE"""),"")</f>
        <v/>
      </c>
      <c r="G9615" s="42" t="str">
        <f>IFERROR(__xludf.DUMMYFUNCTION("""COMPUTED_VALUE"""),"BN Jual Beli")</f>
        <v>BN Jual Beli</v>
      </c>
      <c r="H9615" s="42">
        <f t="shared" si="1"/>
        <v>3345</v>
      </c>
    </row>
    <row r="9616" ht="22.5" customHeight="1">
      <c r="B9616" s="42" t="str">
        <f>IFERROR(__xludf.DUMMYFUNCTION("""COMPUTED_VALUE"""),"AB051/ABCJOINO")</f>
        <v>AB051/ABCJOINO</v>
      </c>
      <c r="C9616" s="42" t="str">
        <f>IFERROR(__xludf.DUMMYFUNCTION("""COMPUTED_VALUE"""),"M. NIBEL 20767/Tanjung Senang")</f>
        <v>M. NIBEL 20767/Tanjung Senang</v>
      </c>
      <c r="D9616" s="42"/>
      <c r="E9616" s="42"/>
      <c r="F9616" s="48" t="str">
        <f>IFERROR(__xludf.DUMMYFUNCTION("""COMPUTED_VALUE"""),"")</f>
        <v/>
      </c>
      <c r="G9616" s="42" t="str">
        <f>IFERROR(__xludf.DUMMYFUNCTION("""COMPUTED_VALUE"""),"BN Jual Beli")</f>
        <v>BN Jual Beli</v>
      </c>
      <c r="H9616" s="42">
        <f t="shared" si="1"/>
        <v>3345</v>
      </c>
    </row>
    <row r="9617" ht="22.5" customHeight="1">
      <c r="B9617" s="42" t="str">
        <f>IFERROR(__xludf.DUMMYFUNCTION("""COMPUTED_VALUE"""),"AB038/ABFRLCUD")</f>
        <v>AB038/ABFRLCUD</v>
      </c>
      <c r="C9617" s="42" t="str">
        <f>IFERROR(__xludf.DUMMYFUNCTION("""COMPUTED_VALUE"""),"M.966 / tanjung seneng")</f>
        <v>M.966 / tanjung seneng</v>
      </c>
      <c r="D9617" s="42"/>
      <c r="E9617" s="42"/>
      <c r="F9617" s="48" t="str">
        <f>IFERROR(__xludf.DUMMYFUNCTION("""COMPUTED_VALUE"""),"")</f>
        <v/>
      </c>
      <c r="G9617" s="42" t="str">
        <f>IFERROR(__xludf.DUMMYFUNCTION("""COMPUTED_VALUE"""),"Hibah")</f>
        <v>Hibah</v>
      </c>
      <c r="H9617" s="42">
        <f t="shared" si="1"/>
        <v>3345</v>
      </c>
    </row>
    <row r="9618" ht="22.5" customHeight="1">
      <c r="B9618" s="42" t="str">
        <f>IFERROR(__xludf.DUMMYFUNCTION("""COMPUTED_VALUE"""),"ABZOSQAE")</f>
        <v>ABZOSQAE</v>
      </c>
      <c r="C9618" s="42" t="str">
        <f>IFERROR(__xludf.DUMMYFUNCTION("""COMPUTED_VALUE"""),"M 309/Prm")</f>
        <v>M 309/Prm</v>
      </c>
      <c r="D9618" s="42"/>
      <c r="E9618" s="42"/>
      <c r="F9618" s="48" t="str">
        <f>IFERROR(__xludf.DUMMYFUNCTION("""COMPUTED_VALUE"""),"")</f>
        <v/>
      </c>
      <c r="G9618" s="42" t="str">
        <f>IFERROR(__xludf.DUMMYFUNCTION("""COMPUTED_VALUE"""),"BN Waris")</f>
        <v>BN Waris</v>
      </c>
      <c r="H9618" s="42">
        <f t="shared" si="1"/>
        <v>3345</v>
      </c>
    </row>
    <row r="9619" ht="22.5" customHeight="1">
      <c r="B9619" s="42" t="str">
        <f>IFERROR(__xludf.DUMMYFUNCTION("""COMPUTED_VALUE"""),"ABYVDRRA")</f>
        <v>ABYVDRRA</v>
      </c>
      <c r="C9619" s="42" t="str">
        <f>IFERROR(__xludf.DUMMYFUNCTION("""COMPUTED_VALUE"""),"M 20396/ LABUHAN DALAM")</f>
        <v>M 20396/ LABUHAN DALAM</v>
      </c>
      <c r="D9619" s="42"/>
      <c r="E9619" s="42"/>
      <c r="F9619" s="48" t="str">
        <f>IFERROR(__xludf.DUMMYFUNCTION("""COMPUTED_VALUE"""),"")</f>
        <v/>
      </c>
      <c r="G9619" s="42" t="str">
        <f>IFERROR(__xludf.DUMMYFUNCTION("""COMPUTED_VALUE"""),"Balik Nama jual beLI")</f>
        <v>Balik Nama jual beLI</v>
      </c>
      <c r="H9619" s="42">
        <f t="shared" si="1"/>
        <v>3345</v>
      </c>
    </row>
    <row r="9620" ht="22.5" customHeight="1">
      <c r="B9620" s="42" t="str">
        <f>IFERROR(__xludf.DUMMYFUNCTION("""COMPUTED_VALUE"""),"ABLXGFSO")</f>
        <v>ABLXGFSO</v>
      </c>
      <c r="C9620" s="42" t="str">
        <f>IFERROR(__xludf.DUMMYFUNCTION("""COMPUTED_VALUE"""),"M 10203/ LABUHAN RATU")</f>
        <v>M 10203/ LABUHAN RATU</v>
      </c>
      <c r="D9620" s="42"/>
      <c r="E9620" s="42"/>
      <c r="F9620" s="48" t="str">
        <f>IFERROR(__xludf.DUMMYFUNCTION("""COMPUTED_VALUE"""),"")</f>
        <v/>
      </c>
      <c r="G9620" s="42" t="str">
        <f>IFERROR(__xludf.DUMMYFUNCTION("""COMPUTED_VALUE"""),"Hibah")</f>
        <v>Hibah</v>
      </c>
      <c r="H9620" s="42">
        <f t="shared" si="1"/>
        <v>3345</v>
      </c>
    </row>
    <row r="9621" ht="22.5" customHeight="1">
      <c r="B9621" s="42" t="str">
        <f>IFERROR(__xludf.DUMMYFUNCTION("""COMPUTED_VALUE"""),"AB010/ABCUVNJV")</f>
        <v>AB010/ABCUVNJV</v>
      </c>
      <c r="C9621" s="42" t="str">
        <f>IFERROR(__xludf.DUMMYFUNCTION("""COMPUTED_VALUE"""),"B.582/Kemiling Permai")</f>
        <v>B.582/Kemiling Permai</v>
      </c>
      <c r="D9621" s="42"/>
      <c r="E9621" s="42"/>
      <c r="F9621" s="48" t="str">
        <f>IFERROR(__xludf.DUMMYFUNCTION("""COMPUTED_VALUE"""),"")</f>
        <v/>
      </c>
      <c r="G9621" s="42" t="str">
        <f>IFERROR(__xludf.DUMMYFUNCTION("""COMPUTED_VALUE"""),"Balik Nama")</f>
        <v>Balik Nama</v>
      </c>
      <c r="H9621" s="42">
        <f t="shared" si="1"/>
        <v>3345</v>
      </c>
    </row>
    <row r="9622" ht="22.5" customHeight="1">
      <c r="B9622" s="42" t="str">
        <f>IFERROR(__xludf.DUMMYFUNCTION("""COMPUTED_VALUE"""),"ABAQHHMB/AB059")</f>
        <v>ABAQHHMB/AB059</v>
      </c>
      <c r="C9622" s="42" t="str">
        <f>IFERROR(__xludf.DUMMYFUNCTION("""COMPUTED_VALUE"""),"M Nibel 26885/Pinang Jaya")</f>
        <v>M Nibel 26885/Pinang Jaya</v>
      </c>
      <c r="D9622" s="42"/>
      <c r="E9622" s="42"/>
      <c r="F9622" s="48" t="str">
        <f>IFERROR(__xludf.DUMMYFUNCTION("""COMPUTED_VALUE"""),"")</f>
        <v/>
      </c>
      <c r="G9622" s="42" t="str">
        <f>IFERROR(__xludf.DUMMYFUNCTION("""COMPUTED_VALUE"""),"Perubahan hak")</f>
        <v>Perubahan hak</v>
      </c>
      <c r="H9622" s="42">
        <f t="shared" si="1"/>
        <v>3345</v>
      </c>
    </row>
    <row r="9623" ht="22.5" customHeight="1">
      <c r="B9623" s="42" t="str">
        <f>IFERROR(__xludf.DUMMYFUNCTION("""COMPUTED_VALUE"""),"AEDWVVL")</f>
        <v>AEDWVVL</v>
      </c>
      <c r="C9623" s="42" t="str">
        <f>IFERROR(__xludf.DUMMYFUNCTION("""COMPUTED_VALUE"""),"Nibel M.25957/Sukarame")</f>
        <v>Nibel M.25957/Sukarame</v>
      </c>
      <c r="D9623" s="42"/>
      <c r="E9623" s="42"/>
      <c r="F9623" s="48" t="str">
        <f>IFERROR(__xludf.DUMMYFUNCTION("""COMPUTED_VALUE"""),"")</f>
        <v/>
      </c>
      <c r="G9623" s="42" t="str">
        <f>IFERROR(__xludf.DUMMYFUNCTION("""COMPUTED_VALUE"""),"BN Lelang")</f>
        <v>BN Lelang</v>
      </c>
      <c r="H9623" s="42">
        <f t="shared" si="1"/>
        <v>3345</v>
      </c>
    </row>
    <row r="9624" ht="22.5" customHeight="1">
      <c r="B9624" s="42" t="str">
        <f>IFERROR(__xludf.DUMMYFUNCTION("""COMPUTED_VALUE"""),"ABNPRDGP")</f>
        <v>ABNPRDGP</v>
      </c>
      <c r="C9624" s="42" t="str">
        <f>IFERROR(__xludf.DUMMYFUNCTION("""COMPUTED_VALUE"""),"M.2086/gedong air")</f>
        <v>M.2086/gedong air</v>
      </c>
      <c r="D9624" s="42"/>
      <c r="E9624" s="42"/>
      <c r="F9624" s="48" t="str">
        <f>IFERROR(__xludf.DUMMYFUNCTION("""COMPUTED_VALUE"""),"")</f>
        <v/>
      </c>
      <c r="G9624" s="42" t="str">
        <f>IFERROR(__xludf.DUMMYFUNCTION("""COMPUTED_VALUE"""),"Roya")</f>
        <v>Roya</v>
      </c>
      <c r="H9624" s="42">
        <f t="shared" si="1"/>
        <v>3345</v>
      </c>
    </row>
    <row r="9625" ht="22.5" customHeight="1">
      <c r="B9625" s="42" t="str">
        <f>IFERROR(__xludf.DUMMYFUNCTION("""COMPUTED_VALUE"""),"ABBCYTBU")</f>
        <v>ABBCYTBU</v>
      </c>
      <c r="C9625" s="42" t="str">
        <f>IFERROR(__xludf.DUMMYFUNCTION("""COMPUTED_VALUE"""),"M.1608/kemiling raya")</f>
        <v>M.1608/kemiling raya</v>
      </c>
      <c r="D9625" s="42"/>
      <c r="E9625" s="42"/>
      <c r="F9625" s="48" t="str">
        <f>IFERROR(__xludf.DUMMYFUNCTION("""COMPUTED_VALUE"""),"")</f>
        <v/>
      </c>
      <c r="G9625" s="42" t="str">
        <f>IFERROR(__xludf.DUMMYFUNCTION("""COMPUTED_VALUE"""),"Ploting")</f>
        <v>Ploting</v>
      </c>
      <c r="H9625" s="42">
        <f t="shared" si="1"/>
        <v>3345</v>
      </c>
    </row>
    <row r="9626" ht="22.5" customHeight="1">
      <c r="B9626" s="42" t="str">
        <f>IFERROR(__xludf.DUMMYFUNCTION("""COMPUTED_VALUE"""),"K/17/261125/1")</f>
        <v>K/17/261125/1</v>
      </c>
      <c r="C9626" s="42" t="str">
        <f>IFERROR(__xludf.DUMMYFUNCTION("""COMPUTED_VALUE"""),"M.972/RAJABASA JAYA")</f>
        <v>M.972/RAJABASA JAYA</v>
      </c>
      <c r="D9626" s="42"/>
      <c r="E9626" s="42"/>
      <c r="F9626" s="48" t="str">
        <f>IFERROR(__xludf.DUMMYFUNCTION("""COMPUTED_VALUE"""),"")</f>
        <v/>
      </c>
      <c r="G9626" s="42" t="str">
        <f>IFERROR(__xludf.DUMMYFUNCTION("""COMPUTED_VALUE"""),"ROYA")</f>
        <v>ROYA</v>
      </c>
      <c r="H9626" s="42">
        <f t="shared" si="1"/>
        <v>3345</v>
      </c>
    </row>
    <row r="9627" ht="22.5" customHeight="1">
      <c r="B9627" s="42" t="str">
        <f>IFERROR(__xludf.DUMMYFUNCTION("""COMPUTED_VALUE"""),"ABHAFMKO/1/ABYQQZOQ/2")</f>
        <v>ABHAFMKO/1/ABYQQZOQ/2</v>
      </c>
      <c r="C9627" s="42" t="str">
        <f>IFERROR(__xludf.DUMMYFUNCTION("""COMPUTED_VALUE"""),"M.1448/Bumi Kedamaian &amp; M. 1306/Rawa Laut")</f>
        <v>M.1448/Bumi Kedamaian &amp; M. 1306/Rawa Laut</v>
      </c>
      <c r="D9627" s="42"/>
      <c r="E9627" s="42"/>
      <c r="F9627" s="48" t="str">
        <f>IFERROR(__xludf.DUMMYFUNCTION("""COMPUTED_VALUE"""),"")</f>
        <v/>
      </c>
      <c r="G9627" s="42" t="str">
        <f>IFERROR(__xludf.DUMMYFUNCTION("""COMPUTED_VALUE"""),"Balik Nama ")</f>
        <v>Balik Nama </v>
      </c>
      <c r="H9627" s="42">
        <f t="shared" si="1"/>
        <v>3345</v>
      </c>
    </row>
    <row r="9628" ht="22.5" customHeight="1">
      <c r="B9628" s="42" t="str">
        <f>IFERROR(__xludf.DUMMYFUNCTION("""COMPUTED_VALUE"""),"AB070/ABVAKDMI")</f>
        <v>AB070/ABVAKDMI</v>
      </c>
      <c r="C9628" s="42" t="str">
        <f>IFERROR(__xludf.DUMMYFUNCTION("""COMPUTED_VALUE"""),"Nibel Shgb 13023 Nusantara Permai")</f>
        <v>Nibel Shgb 13023 Nusantara Permai</v>
      </c>
      <c r="D9628" s="42"/>
      <c r="E9628" s="42"/>
      <c r="F9628" s="48" t="str">
        <f>IFERROR(__xludf.DUMMYFUNCTION("""COMPUTED_VALUE"""),"")</f>
        <v/>
      </c>
      <c r="G9628" s="42" t="str">
        <f>IFERROR(__xludf.DUMMYFUNCTION("""COMPUTED_VALUE"""),"Peningkatan hak")</f>
        <v>Peningkatan hak</v>
      </c>
      <c r="H9628" s="42">
        <f t="shared" si="1"/>
        <v>3345</v>
      </c>
    </row>
    <row r="9629" ht="22.5" customHeight="1">
      <c r="B9629" s="42" t="str">
        <f>IFERROR(__xludf.DUMMYFUNCTION("""COMPUTED_VALUE"""),"AB070/ABQRXKLA")</f>
        <v>AB070/ABQRXKLA</v>
      </c>
      <c r="C9629" s="42" t="str">
        <f>IFERROR(__xludf.DUMMYFUNCTION("""COMPUTED_VALUE"""),"Nibel Shgb 12229 Nusantara Permai")</f>
        <v>Nibel Shgb 12229 Nusantara Permai</v>
      </c>
      <c r="D9629" s="42"/>
      <c r="E9629" s="42"/>
      <c r="F9629" s="48" t="str">
        <f>IFERROR(__xludf.DUMMYFUNCTION("""COMPUTED_VALUE"""),"")</f>
        <v/>
      </c>
      <c r="G9629" s="42" t="str">
        <f>IFERROR(__xludf.DUMMYFUNCTION("""COMPUTED_VALUE"""),"Peningkatan hak")</f>
        <v>Peningkatan hak</v>
      </c>
      <c r="H9629" s="42">
        <f t="shared" si="1"/>
        <v>3345</v>
      </c>
    </row>
    <row r="9630" ht="22.5" customHeight="1">
      <c r="B9630" s="42" t="str">
        <f>IFERROR(__xludf.DUMMYFUNCTION("""COMPUTED_VALUE"""),"AB082/ABVSGLDP")</f>
        <v>AB082/ABVSGLDP</v>
      </c>
      <c r="C9630" s="42" t="str">
        <f>IFERROR(__xludf.DUMMYFUNCTION("""COMPUTED_VALUE"""),"M.5245/tanjung senang")</f>
        <v>M.5245/tanjung senang</v>
      </c>
      <c r="D9630" s="42"/>
      <c r="E9630" s="42"/>
      <c r="F9630" s="48" t="str">
        <f>IFERROR(__xludf.DUMMYFUNCTION("""COMPUTED_VALUE"""),"")</f>
        <v/>
      </c>
      <c r="G9630" s="42" t="str">
        <f>IFERROR(__xludf.DUMMYFUNCTION("""COMPUTED_VALUE"""),"BALIK NAMA")</f>
        <v>BALIK NAMA</v>
      </c>
      <c r="H9630" s="42">
        <f t="shared" si="1"/>
        <v>3345</v>
      </c>
    </row>
    <row r="9631" ht="22.5" customHeight="1">
      <c r="B9631" s="42" t="str">
        <f>IFERROR(__xludf.DUMMYFUNCTION("""COMPUTED_VALUE"""),"AB089/ABWIWLAS")</f>
        <v>AB089/ABWIWLAS</v>
      </c>
      <c r="C9631" s="42" t="str">
        <f>IFERROR(__xludf.DUMMYFUNCTION("""COMPUTED_VALUE"""),"M 5170/Way Kandis")</f>
        <v>M 5170/Way Kandis</v>
      </c>
      <c r="D9631" s="42"/>
      <c r="E9631" s="42"/>
      <c r="F9631" s="48" t="str">
        <f>IFERROR(__xludf.DUMMYFUNCTION("""COMPUTED_VALUE"""),"")</f>
        <v/>
      </c>
      <c r="G9631" s="42" t="str">
        <f>IFERROR(__xludf.DUMMYFUNCTION("""COMPUTED_VALUE"""),"Balik Nama ")</f>
        <v>Balik Nama </v>
      </c>
      <c r="H9631" s="42">
        <f t="shared" si="1"/>
        <v>3345</v>
      </c>
    </row>
    <row r="9632" ht="22.5" customHeight="1">
      <c r="B9632" s="42" t="str">
        <f>IFERROR(__xludf.DUMMYFUNCTION("""COMPUTED_VALUE"""),"AB085/ABGJIGXV")</f>
        <v>AB085/ABGJIGXV</v>
      </c>
      <c r="C9632" s="42" t="str">
        <f>IFERROR(__xludf.DUMMYFUNCTION("""COMPUTED_VALUE"""),"08.01.000025366.0")</f>
        <v>08.01.000025366.0</v>
      </c>
      <c r="D9632" s="42"/>
      <c r="E9632" s="42"/>
      <c r="F9632" s="48" t="str">
        <f>IFERROR(__xludf.DUMMYFUNCTION("""COMPUTED_VALUE"""),"")</f>
        <v/>
      </c>
      <c r="G9632" s="42" t="str">
        <f>IFERROR(__xludf.DUMMYFUNCTION("""COMPUTED_VALUE"""),"Balik nama turun waris")</f>
        <v>Balik nama turun waris</v>
      </c>
      <c r="H9632" s="42">
        <f t="shared" si="1"/>
        <v>3345</v>
      </c>
    </row>
    <row r="9633" ht="22.5" customHeight="1">
      <c r="B9633" s="42" t="str">
        <f>IFERROR(__xludf.DUMMYFUNCTION("""COMPUTED_VALUE"""),"ABSEMEMR/AB91")</f>
        <v>ABSEMEMR/AB91</v>
      </c>
      <c r="C9633" s="42" t="str">
        <f>IFERROR(__xludf.DUMMYFUNCTION("""COMPUTED_VALUE"""),"HGB NIBEL 18186/Nusantara Permai")</f>
        <v>HGB NIBEL 18186/Nusantara Permai</v>
      </c>
      <c r="D9633" s="42"/>
      <c r="E9633" s="42"/>
      <c r="F9633" s="48" t="str">
        <f>IFERROR(__xludf.DUMMYFUNCTION("""COMPUTED_VALUE"""),"")</f>
        <v/>
      </c>
      <c r="G9633" s="42" t="str">
        <f>IFERROR(__xludf.DUMMYFUNCTION("""COMPUTED_VALUE"""),"Peningkatan hak")</f>
        <v>Peningkatan hak</v>
      </c>
      <c r="H9633" s="42">
        <f t="shared" si="1"/>
        <v>3345</v>
      </c>
    </row>
    <row r="9634" ht="22.5" customHeight="1">
      <c r="B9634" s="42" t="str">
        <f>IFERROR(__xludf.DUMMYFUNCTION("""COMPUTED_VALUE"""),"ABCJRLLL")</f>
        <v>ABCJRLLL</v>
      </c>
      <c r="C9634" s="42" t="str">
        <f>IFERROR(__xludf.DUMMYFUNCTION("""COMPUTED_VALUE"""),"M 136/ KALIAWI")</f>
        <v>M 136/ KALIAWI</v>
      </c>
      <c r="D9634" s="42"/>
      <c r="E9634" s="42"/>
      <c r="F9634" s="48" t="str">
        <f>IFERROR(__xludf.DUMMYFUNCTION("""COMPUTED_VALUE"""),"")</f>
        <v/>
      </c>
      <c r="G9634" s="42" t="str">
        <f>IFERROR(__xludf.DUMMYFUNCTION("""COMPUTED_VALUE"""),"Hibah")</f>
        <v>Hibah</v>
      </c>
      <c r="H9634" s="42">
        <f t="shared" si="1"/>
        <v>3345</v>
      </c>
    </row>
    <row r="9635" ht="22.5" customHeight="1">
      <c r="B9635" s="42" t="str">
        <f>IFERROR(__xludf.DUMMYFUNCTION("""COMPUTED_VALUE"""),"ABVNRYGM/AB91")</f>
        <v>ABVNRYGM/AB91</v>
      </c>
      <c r="C9635" s="42" t="str">
        <f>IFERROR(__xludf.DUMMYFUNCTION("""COMPUTED_VALUE"""),"HGB NIBEL 17036/Nusantara Permai")</f>
        <v>HGB NIBEL 17036/Nusantara Permai</v>
      </c>
      <c r="D9635" s="42"/>
      <c r="E9635" s="42"/>
      <c r="F9635" s="48" t="str">
        <f>IFERROR(__xludf.DUMMYFUNCTION("""COMPUTED_VALUE"""),"")</f>
        <v/>
      </c>
      <c r="G9635" s="42" t="str">
        <f>IFERROR(__xludf.DUMMYFUNCTION("""COMPUTED_VALUE"""),"Peningkatan Hak")</f>
        <v>Peningkatan Hak</v>
      </c>
      <c r="H9635" s="42">
        <f t="shared" si="1"/>
        <v>3345</v>
      </c>
    </row>
    <row r="9636" ht="22.5" customHeight="1">
      <c r="B9636" s="42" t="str">
        <f>IFERROR(__xludf.DUMMYFUNCTION("""COMPUTED_VALUE"""),"AB90")</f>
        <v>AB90</v>
      </c>
      <c r="C9636" s="42" t="str">
        <f>IFERROR(__xludf.DUMMYFUNCTION("""COMPUTED_VALUE"""),"Shm 2042")</f>
        <v>Shm 2042</v>
      </c>
      <c r="D9636" s="42"/>
      <c r="E9636" s="42"/>
      <c r="F9636" s="48" t="str">
        <f>IFERROR(__xludf.DUMMYFUNCTION("""COMPUTED_VALUE"""),"")</f>
        <v/>
      </c>
      <c r="G9636" s="42" t="str">
        <f>IFERROR(__xludf.DUMMYFUNCTION("""COMPUTED_VALUE"""),"Balik Nama")</f>
        <v>Balik Nama</v>
      </c>
      <c r="H9636" s="42">
        <f t="shared" si="1"/>
        <v>3345</v>
      </c>
    </row>
    <row r="9637" ht="22.5" customHeight="1">
      <c r="B9637" s="42" t="str">
        <f>IFERROR(__xludf.DUMMYFUNCTION("""COMPUTED_VALUE"""),"L/1/271125/1")</f>
        <v>L/1/271125/1</v>
      </c>
      <c r="C9637" s="42" t="str">
        <f>IFERROR(__xludf.DUMMYFUNCTION("""COMPUTED_VALUE"""),"M. 2224/LABUHAN DALAM")</f>
        <v>M. 2224/LABUHAN DALAM</v>
      </c>
      <c r="D9637" s="42"/>
      <c r="E9637" s="42"/>
      <c r="F9637" s="48" t="str">
        <f>IFERROR(__xludf.DUMMYFUNCTION("""COMPUTED_VALUE"""),"")</f>
        <v/>
      </c>
      <c r="G9637" s="42" t="str">
        <f>IFERROR(__xludf.DUMMYFUNCTION("""COMPUTED_VALUE"""),"HAPUS BPHTB")</f>
        <v>HAPUS BPHTB</v>
      </c>
      <c r="H9637" s="42">
        <f t="shared" si="1"/>
        <v>3345</v>
      </c>
    </row>
    <row r="9638" ht="22.5" customHeight="1">
      <c r="B9638" s="42" t="str">
        <f>IFERROR(__xludf.DUMMYFUNCTION("""COMPUTED_VALUE"""),"L/3/271125/1")</f>
        <v>L/3/271125/1</v>
      </c>
      <c r="C9638" s="42" t="str">
        <f>IFERROR(__xludf.DUMMYFUNCTION("""COMPUTED_VALUE"""),"B. 4053/SUKABUMI")</f>
        <v>B. 4053/SUKABUMI</v>
      </c>
      <c r="D9638" s="42"/>
      <c r="E9638" s="42"/>
      <c r="F9638" s="48" t="str">
        <f>IFERROR(__xludf.DUMMYFUNCTION("""COMPUTED_VALUE"""),"")</f>
        <v/>
      </c>
      <c r="G9638" s="42" t="str">
        <f>IFERROR(__xludf.DUMMYFUNCTION("""COMPUTED_VALUE"""),"PENINGKATAN HAK")</f>
        <v>PENINGKATAN HAK</v>
      </c>
      <c r="H9638" s="42">
        <f t="shared" si="1"/>
        <v>3345</v>
      </c>
    </row>
    <row r="9639" ht="22.5" customHeight="1">
      <c r="B9639" s="42" t="str">
        <f>IFERROR(__xludf.DUMMYFUNCTION("""COMPUTED_VALUE"""),"ABLTGSZN")</f>
        <v>ABLTGSZN</v>
      </c>
      <c r="C9639" s="42" t="str">
        <f>IFERROR(__xludf.DUMMYFUNCTION("""COMPUTED_VALUE"""),"M.05035/sukabumi")</f>
        <v>M.05035/sukabumi</v>
      </c>
      <c r="D9639" s="42"/>
      <c r="E9639" s="42"/>
      <c r="F9639" s="48" t="str">
        <f>IFERROR(__xludf.DUMMYFUNCTION("""COMPUTED_VALUE"""),"")</f>
        <v/>
      </c>
      <c r="G9639" s="42" t="str">
        <f>IFERROR(__xludf.DUMMYFUNCTION("""COMPUTED_VALUE"""),"Peralihan hak jua beli")</f>
        <v>Peralihan hak jua beli</v>
      </c>
      <c r="H9639" s="42">
        <f t="shared" si="1"/>
        <v>3345</v>
      </c>
    </row>
    <row r="9640" ht="22.5" customHeight="1">
      <c r="B9640" s="42" t="str">
        <f>IFERROR(__xludf.DUMMYFUNCTION("""COMPUTED_VALUE"""),"L/4/271125/1")</f>
        <v>L/4/271125/1</v>
      </c>
      <c r="C9640" s="42" t="str">
        <f>IFERROR(__xludf.DUMMYFUNCTION("""COMPUTED_VALUE"""),"B. 353/BERINGIN RAYA")</f>
        <v>B. 353/BERINGIN RAYA</v>
      </c>
      <c r="D9640" s="42"/>
      <c r="E9640" s="42"/>
      <c r="F9640" s="48" t="str">
        <f>IFERROR(__xludf.DUMMYFUNCTION("""COMPUTED_VALUE"""),"")</f>
        <v/>
      </c>
      <c r="G9640" s="42" t="str">
        <f>IFERROR(__xludf.DUMMYFUNCTION("""COMPUTED_VALUE"""),"PENINGKATAN HAK")</f>
        <v>PENINGKATAN HAK</v>
      </c>
      <c r="H9640" s="42">
        <f t="shared" si="1"/>
        <v>3345</v>
      </c>
    </row>
    <row r="9641" ht="22.5" customHeight="1">
      <c r="B9641" s="42" t="str">
        <f>IFERROR(__xludf.DUMMYFUNCTION("""COMPUTED_VALUE"""),"L/5/271125/1")</f>
        <v>L/5/271125/1</v>
      </c>
      <c r="C9641" s="42" t="str">
        <f>IFERROR(__xludf.DUMMYFUNCTION("""COMPUTED_VALUE"""),"PBT 127/2025 KEL WAY DADI BARU")</f>
        <v>PBT 127/2025 KEL WAY DADI BARU</v>
      </c>
      <c r="D9641" s="42"/>
      <c r="E9641" s="42"/>
      <c r="F9641" s="48" t="str">
        <f>IFERROR(__xludf.DUMMYFUNCTION("""COMPUTED_VALUE"""),"")</f>
        <v/>
      </c>
      <c r="G9641" s="42" t="str">
        <f>IFERROR(__xludf.DUMMYFUNCTION("""COMPUTED_VALUE"""),"PERMOHONAN SK")</f>
        <v>PERMOHONAN SK</v>
      </c>
      <c r="H9641" s="42">
        <f t="shared" si="1"/>
        <v>3345</v>
      </c>
    </row>
    <row r="9642" ht="22.5" customHeight="1">
      <c r="B9642" s="42" t="str">
        <f>IFERROR(__xludf.DUMMYFUNCTION("""COMPUTED_VALUE"""),"L/6/271125/1")</f>
        <v>L/6/271125/1</v>
      </c>
      <c r="C9642" s="42" t="str">
        <f>IFERROR(__xludf.DUMMYFUNCTION("""COMPUTED_VALUE"""),"M. 701/RAJABASA NUNYAI")</f>
        <v>M. 701/RAJABASA NUNYAI</v>
      </c>
      <c r="D9642" s="42"/>
      <c r="E9642" s="42"/>
      <c r="F9642" s="48" t="str">
        <f>IFERROR(__xludf.DUMMYFUNCTION("""COMPUTED_VALUE"""),"")</f>
        <v/>
      </c>
      <c r="G9642" s="42" t="str">
        <f>IFERROR(__xludf.DUMMYFUNCTION("""COMPUTED_VALUE"""),"ROYA")</f>
        <v>ROYA</v>
      </c>
      <c r="H9642" s="42">
        <f t="shared" si="1"/>
        <v>3345</v>
      </c>
    </row>
    <row r="9643" ht="22.5" customHeight="1">
      <c r="B9643" s="42" t="str">
        <f>IFERROR(__xludf.DUMMYFUNCTION("""COMPUTED_VALUE"""),"K/2/271125/1")</f>
        <v>K/2/271125/1</v>
      </c>
      <c r="C9643" s="42" t="str">
        <f>IFERROR(__xludf.DUMMYFUNCTION("""COMPUTED_VALUE"""),"M. 4231/RAJABASA")</f>
        <v>M. 4231/RAJABASA</v>
      </c>
      <c r="D9643" s="42"/>
      <c r="E9643" s="42"/>
      <c r="F9643" s="48" t="str">
        <f>IFERROR(__xludf.DUMMYFUNCTION("""COMPUTED_VALUE"""),"")</f>
        <v/>
      </c>
      <c r="G9643" s="42" t="str">
        <f>IFERROR(__xludf.DUMMYFUNCTION("""COMPUTED_VALUE"""),"SKPT LELANG")</f>
        <v>SKPT LELANG</v>
      </c>
      <c r="H9643" s="42">
        <f t="shared" si="1"/>
        <v>3345</v>
      </c>
    </row>
    <row r="9644" ht="22.5" customHeight="1">
      <c r="B9644" s="42" t="str">
        <f>IFERROR(__xludf.DUMMYFUNCTION("""COMPUTED_VALUE"""),"K/7/271125/1")</f>
        <v>K/7/271125/1</v>
      </c>
      <c r="C9644" s="42" t="str">
        <f>IFERROR(__xludf.DUMMYFUNCTION("""COMPUTED_VALUE"""),"M. 175/GUNUNG AGUNG")</f>
        <v>M. 175/GUNUNG AGUNG</v>
      </c>
      <c r="D9644" s="42"/>
      <c r="E9644" s="42"/>
      <c r="F9644" s="48" t="str">
        <f>IFERROR(__xludf.DUMMYFUNCTION("""COMPUTED_VALUE"""),"")</f>
        <v/>
      </c>
      <c r="G9644" s="42" t="str">
        <f>IFERROR(__xludf.DUMMYFUNCTION("""COMPUTED_VALUE"""),"SKPT LELANG")</f>
        <v>SKPT LELANG</v>
      </c>
      <c r="H9644" s="42">
        <f t="shared" si="1"/>
        <v>3345</v>
      </c>
    </row>
    <row r="9645" ht="22.5" customHeight="1">
      <c r="B9645" s="42" t="str">
        <f>IFERROR(__xludf.DUMMYFUNCTION("""COMPUTED_VALUE"""),"L/9/271125/1")</f>
        <v>L/9/271125/1</v>
      </c>
      <c r="C9645" s="42" t="str">
        <f>IFERROR(__xludf.DUMMYFUNCTION("""COMPUTED_VALUE"""),"KEL. GOTONG ROYONG LUAS 240 M2")</f>
        <v>KEL. GOTONG ROYONG LUAS 240 M2</v>
      </c>
      <c r="D9645" s="42"/>
      <c r="E9645" s="42"/>
      <c r="F9645" s="48" t="str">
        <f>IFERROR(__xludf.DUMMYFUNCTION("""COMPUTED_VALUE"""),"")</f>
        <v/>
      </c>
      <c r="G9645" s="42" t="str">
        <f>IFERROR(__xludf.DUMMYFUNCTION("""COMPUTED_VALUE"""),"PENGUKURAN PERTAMA KALI")</f>
        <v>PENGUKURAN PERTAMA KALI</v>
      </c>
      <c r="H9645" s="42">
        <f t="shared" si="1"/>
        <v>3345</v>
      </c>
    </row>
    <row r="9646" ht="22.5" customHeight="1">
      <c r="B9646" s="42" t="str">
        <f>IFERROR(__xludf.DUMMYFUNCTION("""COMPUTED_VALUE"""),"AB094/ABOJPINT")</f>
        <v>AB094/ABOJPINT</v>
      </c>
      <c r="C9646" s="42" t="str">
        <f>IFERROR(__xludf.DUMMYFUNCTION("""COMPUTED_VALUE"""),"Nibel M23273 Sidodadi")</f>
        <v>Nibel M23273 Sidodadi</v>
      </c>
      <c r="D9646" s="42"/>
      <c r="E9646" s="42"/>
      <c r="F9646" s="48" t="str">
        <f>IFERROR(__xludf.DUMMYFUNCTION("""COMPUTED_VALUE"""),"")</f>
        <v/>
      </c>
      <c r="G9646" s="42" t="str">
        <f>IFERROR(__xludf.DUMMYFUNCTION("""COMPUTED_VALUE"""),"APHB")</f>
        <v>APHB</v>
      </c>
      <c r="H9646" s="42">
        <f t="shared" si="1"/>
        <v>3345</v>
      </c>
    </row>
    <row r="9647" ht="22.5" customHeight="1">
      <c r="B9647" s="42" t="str">
        <f>IFERROR(__xludf.DUMMYFUNCTION("""COMPUTED_VALUE"""),"L/10/271125/1")</f>
        <v>L/10/271125/1</v>
      </c>
      <c r="C9647" s="42" t="str">
        <f>IFERROR(__xludf.DUMMYFUNCTION("""COMPUTED_VALUE"""),"M. 9679/KAMPUNG BARU")</f>
        <v>M. 9679/KAMPUNG BARU</v>
      </c>
      <c r="D9647" s="42"/>
      <c r="E9647" s="42"/>
      <c r="F9647" s="48" t="str">
        <f>IFERROR(__xludf.DUMMYFUNCTION("""COMPUTED_VALUE"""),"")</f>
        <v/>
      </c>
      <c r="G9647" s="42" t="str">
        <f>IFERROR(__xludf.DUMMYFUNCTION("""COMPUTED_VALUE"""),"PTPGT PEMECAHAN")</f>
        <v>PTPGT PEMECAHAN</v>
      </c>
      <c r="H9647" s="42">
        <f t="shared" si="1"/>
        <v>3345</v>
      </c>
    </row>
    <row r="9648" ht="22.5" customHeight="1">
      <c r="B9648" s="42" t="str">
        <f>IFERROR(__xludf.DUMMYFUNCTION("""COMPUTED_VALUE"""),"L/11/271125/2")</f>
        <v>L/11/271125/2</v>
      </c>
      <c r="C9648" s="42" t="str">
        <f>IFERROR(__xludf.DUMMYFUNCTION("""COMPUTED_VALUE"""),"M. 9656/KAMPUNG BARU")</f>
        <v>M. 9656/KAMPUNG BARU</v>
      </c>
      <c r="D9648" s="42"/>
      <c r="E9648" s="42"/>
      <c r="F9648" s="48" t="str">
        <f>IFERROR(__xludf.DUMMYFUNCTION("""COMPUTED_VALUE"""),"")</f>
        <v/>
      </c>
      <c r="G9648" s="42" t="str">
        <f>IFERROR(__xludf.DUMMYFUNCTION("""COMPUTED_VALUE"""),"PTPGT PEMECAHAN")</f>
        <v>PTPGT PEMECAHAN</v>
      </c>
      <c r="H9648" s="42">
        <f t="shared" si="1"/>
        <v>3345</v>
      </c>
    </row>
    <row r="9649" ht="22.5" customHeight="1">
      <c r="B9649" s="42" t="str">
        <f>IFERROR(__xludf.DUMMYFUNCTION("""COMPUTED_VALUE"""),"L/12/271125/1")</f>
        <v>L/12/271125/1</v>
      </c>
      <c r="C9649" s="42" t="str">
        <f>IFERROR(__xludf.DUMMYFUNCTION("""COMPUTED_VALUE"""),"KEL. SUKARAME BARU LUAS 300 M2")</f>
        <v>KEL. SUKARAME BARU LUAS 300 M2</v>
      </c>
      <c r="D9649" s="42"/>
      <c r="E9649" s="42"/>
      <c r="F9649" s="48" t="str">
        <f>IFERROR(__xludf.DUMMYFUNCTION("""COMPUTED_VALUE"""),"")</f>
        <v/>
      </c>
      <c r="G9649" s="42" t="str">
        <f>IFERROR(__xludf.DUMMYFUNCTION("""COMPUTED_VALUE"""),"PENGUKURAN PERTAMA KALI")</f>
        <v>PENGUKURAN PERTAMA KALI</v>
      </c>
      <c r="H9649" s="42">
        <f t="shared" si="1"/>
        <v>3345</v>
      </c>
    </row>
    <row r="9650" ht="22.5" customHeight="1">
      <c r="B9650" s="42" t="str">
        <f>IFERROR(__xludf.DUMMYFUNCTION("""COMPUTED_VALUE"""),"L/13/271125/1")</f>
        <v>L/13/271125/1</v>
      </c>
      <c r="C9650" s="42" t="str">
        <f>IFERROR(__xludf.DUMMYFUNCTION("""COMPUTED_VALUE"""),"B. 98/SURABAYA")</f>
        <v>B. 98/SURABAYA</v>
      </c>
      <c r="D9650" s="42"/>
      <c r="E9650" s="42"/>
      <c r="F9650" s="48" t="str">
        <f>IFERROR(__xludf.DUMMYFUNCTION("""COMPUTED_VALUE"""),"")</f>
        <v/>
      </c>
      <c r="G9650" s="42" t="str">
        <f>IFERROR(__xludf.DUMMYFUNCTION("""COMPUTED_VALUE"""),"PENGUKURAN HGB MATI")</f>
        <v>PENGUKURAN HGB MATI</v>
      </c>
      <c r="H9650" s="42">
        <f t="shared" si="1"/>
        <v>3345</v>
      </c>
    </row>
    <row r="9651" ht="22.5" customHeight="1">
      <c r="B9651" s="42" t="str">
        <f>IFERROR(__xludf.DUMMYFUNCTION("""COMPUTED_VALUE"""),"ABNMXIWW")</f>
        <v>ABNMXIWW</v>
      </c>
      <c r="C9651" s="42" t="str">
        <f>IFERROR(__xludf.DUMMYFUNCTION("""COMPUTED_VALUE"""),"M. 02142/Bakung")</f>
        <v>M. 02142/Bakung</v>
      </c>
      <c r="D9651" s="42"/>
      <c r="E9651" s="42"/>
      <c r="F9651" s="48" t="str">
        <f>IFERROR(__xludf.DUMMYFUNCTION("""COMPUTED_VALUE"""),"")</f>
        <v/>
      </c>
      <c r="G9651" s="42" t="str">
        <f>IFERROR(__xludf.DUMMYFUNCTION("""COMPUTED_VALUE"""),"Balik nama")</f>
        <v>Balik nama</v>
      </c>
      <c r="H9651" s="42">
        <f t="shared" si="1"/>
        <v>3345</v>
      </c>
    </row>
    <row r="9652" ht="22.5" customHeight="1">
      <c r="B9652" s="42" t="str">
        <f>IFERROR(__xludf.DUMMYFUNCTION("""COMPUTED_VALUE"""),"K/8/271125/2")</f>
        <v>K/8/271125/2</v>
      </c>
      <c r="C9652" s="42" t="str">
        <f>IFERROR(__xludf.DUMMYFUNCTION("""COMPUTED_VALUE"""),"B. 222/LANGKAPURA")</f>
        <v>B. 222/LANGKAPURA</v>
      </c>
      <c r="D9652" s="42"/>
      <c r="E9652" s="42"/>
      <c r="F9652" s="48" t="str">
        <f>IFERROR(__xludf.DUMMYFUNCTION("""COMPUTED_VALUE"""),"")</f>
        <v/>
      </c>
      <c r="G9652" s="42" t="str">
        <f>IFERROR(__xludf.DUMMYFUNCTION("""COMPUTED_VALUE"""),"SKPT LELANG")</f>
        <v>SKPT LELANG</v>
      </c>
      <c r="H9652" s="42">
        <f t="shared" si="1"/>
        <v>3345</v>
      </c>
    </row>
    <row r="9653" ht="22.5" customHeight="1">
      <c r="B9653" s="42" t="str">
        <f>IFERROR(__xludf.DUMMYFUNCTION("""COMPUTED_VALUE"""),"K/1/281125/1")</f>
        <v>K/1/281125/1</v>
      </c>
      <c r="C9653" s="42" t="str">
        <f>IFERROR(__xludf.DUMMYFUNCTION("""COMPUTED_VALUE"""),"M. 1489/WAY KANDIS")</f>
        <v>M. 1489/WAY KANDIS</v>
      </c>
      <c r="D9653" s="42"/>
      <c r="E9653" s="42"/>
      <c r="F9653" s="48" t="str">
        <f>IFERROR(__xludf.DUMMYFUNCTION("""COMPUTED_VALUE"""),"")</f>
        <v/>
      </c>
      <c r="G9653" s="42" t="str">
        <f>IFERROR(__xludf.DUMMYFUNCTION("""COMPUTED_VALUE"""),"PENATAAN BATAS")</f>
        <v>PENATAAN BATAS</v>
      </c>
      <c r="H9653" s="42">
        <f t="shared" si="1"/>
        <v>3345</v>
      </c>
    </row>
    <row r="9654" ht="22.5" customHeight="1">
      <c r="B9654" s="42" t="str">
        <f>IFERROR(__xludf.DUMMYFUNCTION("""COMPUTED_VALUE"""),"ABJEVOQG")</f>
        <v>ABJEVOQG</v>
      </c>
      <c r="C9654" s="42" t="str">
        <f>IFERROR(__xludf.DUMMYFUNCTION("""COMPUTED_VALUE"""),"Shm no. 944 atas nama paulina")</f>
        <v>Shm no. 944 atas nama paulina</v>
      </c>
      <c r="D9654" s="42"/>
      <c r="E9654" s="42"/>
      <c r="F9654" s="48" t="str">
        <f>IFERROR(__xludf.DUMMYFUNCTION("""COMPUTED_VALUE"""),"")</f>
        <v/>
      </c>
      <c r="G9654" s="42" t="str">
        <f>IFERROR(__xludf.DUMMYFUNCTION("""COMPUTED_VALUE"""),"Hibah ")</f>
        <v>Hibah </v>
      </c>
      <c r="H9654" s="42">
        <f t="shared" si="1"/>
        <v>3345</v>
      </c>
    </row>
    <row r="9655" ht="22.5" customHeight="1">
      <c r="B9655" s="42" t="str">
        <f>IFERROR(__xludf.DUMMYFUNCTION("""COMPUTED_VALUE"""),"AB037/ABXCFIAH")</f>
        <v>AB037/ABXCFIAH</v>
      </c>
      <c r="C9655" s="42" t="str">
        <f>IFERROR(__xludf.DUMMYFUNCTION("""COMPUTED_VALUE"""),"M.1952/Kali Balau Kencana")</f>
        <v>M.1952/Kali Balau Kencana</v>
      </c>
      <c r="D9655" s="42"/>
      <c r="E9655" s="42"/>
      <c r="F9655" s="48" t="str">
        <f>IFERROR(__xludf.DUMMYFUNCTION("""COMPUTED_VALUE"""),"")</f>
        <v/>
      </c>
      <c r="G9655" s="42" t="str">
        <f>IFERROR(__xludf.DUMMYFUNCTION("""COMPUTED_VALUE"""),"APHB")</f>
        <v>APHB</v>
      </c>
      <c r="H9655" s="42">
        <f t="shared" si="1"/>
        <v>3345</v>
      </c>
    </row>
    <row r="9656" ht="22.5" customHeight="1">
      <c r="B9656" s="42" t="str">
        <f>IFERROR(__xludf.DUMMYFUNCTION("""COMPUTED_VALUE"""),"AB037/ABYWGZQW")</f>
        <v>AB037/ABYWGZQW</v>
      </c>
      <c r="C9656" s="42" t="str">
        <f>IFERROR(__xludf.DUMMYFUNCTION("""COMPUTED_VALUE"""),"M.2534/Pinang Jaya")</f>
        <v>M.2534/Pinang Jaya</v>
      </c>
      <c r="D9656" s="42"/>
      <c r="E9656" s="42"/>
      <c r="F9656" s="48" t="str">
        <f>IFERROR(__xludf.DUMMYFUNCTION("""COMPUTED_VALUE"""),"")</f>
        <v/>
      </c>
      <c r="G9656" s="42" t="str">
        <f>IFERROR(__xludf.DUMMYFUNCTION("""COMPUTED_VALUE"""),"balik nama ")</f>
        <v>balik nama </v>
      </c>
      <c r="H9656" s="42">
        <f t="shared" si="1"/>
        <v>3345</v>
      </c>
    </row>
    <row r="9657" ht="22.5" customHeight="1">
      <c r="B9657" s="42" t="str">
        <f>IFERROR(__xludf.DUMMYFUNCTION("""COMPUTED_VALUE"""),"AB037ABNSNMNQ")</f>
        <v>AB037ABNSNMNQ</v>
      </c>
      <c r="C9657" s="42" t="str">
        <f>IFERROR(__xludf.DUMMYFUNCTION("""COMPUTED_VALUE"""),"M.2533/Pinang Jaya")</f>
        <v>M.2533/Pinang Jaya</v>
      </c>
      <c r="D9657" s="42"/>
      <c r="E9657" s="42"/>
      <c r="F9657" s="48" t="str">
        <f>IFERROR(__xludf.DUMMYFUNCTION("""COMPUTED_VALUE"""),"")</f>
        <v/>
      </c>
      <c r="G9657" s="42" t="str">
        <f>IFERROR(__xludf.DUMMYFUNCTION("""COMPUTED_VALUE"""),"balik nama ")</f>
        <v>balik nama </v>
      </c>
      <c r="H9657" s="42">
        <f t="shared" si="1"/>
        <v>3345</v>
      </c>
    </row>
    <row r="9658" ht="22.5" customHeight="1">
      <c r="B9658" s="42" t="str">
        <f>IFERROR(__xludf.DUMMYFUNCTION("""COMPUTED_VALUE"""),"AB009/ABCQFKZI")</f>
        <v>AB009/ABCQFKZI</v>
      </c>
      <c r="C9658" s="42" t="str">
        <f>IFERROR(__xludf.DUMMYFUNCTION("""COMPUTED_VALUE"""),"No. 2707/Sukarame Baru")</f>
        <v>No. 2707/Sukarame Baru</v>
      </c>
      <c r="D9658" s="42"/>
      <c r="E9658" s="42"/>
      <c r="F9658" s="48" t="str">
        <f>IFERROR(__xludf.DUMMYFUNCTION("""COMPUTED_VALUE"""),"")</f>
        <v/>
      </c>
      <c r="G9658" s="42" t="str">
        <f>IFERROR(__xludf.DUMMYFUNCTION("""COMPUTED_VALUE"""),"BN Jual Beli")</f>
        <v>BN Jual Beli</v>
      </c>
      <c r="H9658" s="42">
        <f t="shared" si="1"/>
        <v>3345</v>
      </c>
    </row>
    <row r="9659" ht="22.5" customHeight="1">
      <c r="B9659" s="42" t="str">
        <f>IFERROR(__xludf.DUMMYFUNCTION("""COMPUTED_VALUE"""),"AB037/ABVBJZLC")</f>
        <v>AB037/ABVBJZLC</v>
      </c>
      <c r="C9659" s="42" t="str">
        <f>IFERROR(__xludf.DUMMYFUNCTION("""COMPUTED_VALUE"""),"M.4744/Sukadana Ham")</f>
        <v>M.4744/Sukadana Ham</v>
      </c>
      <c r="D9659" s="42"/>
      <c r="E9659" s="42"/>
      <c r="F9659" s="48" t="str">
        <f>IFERROR(__xludf.DUMMYFUNCTION("""COMPUTED_VALUE"""),"")</f>
        <v/>
      </c>
      <c r="G9659" s="42" t="str">
        <f>IFERROR(__xludf.DUMMYFUNCTION("""COMPUTED_VALUE"""),"balik nama")</f>
        <v>balik nama</v>
      </c>
      <c r="H9659" s="42">
        <f t="shared" si="1"/>
        <v>3345</v>
      </c>
    </row>
    <row r="9660" ht="22.5" customHeight="1">
      <c r="B9660" s="42" t="str">
        <f>IFERROR(__xludf.DUMMYFUNCTION("""COMPUTED_VALUE"""),"AB037/ABMTXSIV")</f>
        <v>AB037/ABMTXSIV</v>
      </c>
      <c r="C9660" s="42" t="str">
        <f>IFERROR(__xludf.DUMMYFUNCTION("""COMPUTED_VALUE"""),"M.4647/Sukadana Ham")</f>
        <v>M.4647/Sukadana Ham</v>
      </c>
      <c r="D9660" s="42"/>
      <c r="E9660" s="42"/>
      <c r="F9660" s="48" t="str">
        <f>IFERROR(__xludf.DUMMYFUNCTION("""COMPUTED_VALUE"""),"")</f>
        <v/>
      </c>
      <c r="G9660" s="42" t="str">
        <f>IFERROR(__xludf.DUMMYFUNCTION("""COMPUTED_VALUE"""),"balik nama ")</f>
        <v>balik nama </v>
      </c>
      <c r="H9660" s="42">
        <f t="shared" si="1"/>
        <v>3345</v>
      </c>
    </row>
    <row r="9661" ht="22.5" customHeight="1">
      <c r="B9661" s="42" t="str">
        <f>IFERROR(__xludf.DUMMYFUNCTION("""COMPUTED_VALUE"""),"K/2/281125/1")</f>
        <v>K/2/281125/1</v>
      </c>
      <c r="C9661" s="42" t="str">
        <f>IFERROR(__xludf.DUMMYFUNCTION("""COMPUTED_VALUE"""),"NIBEL M. 23706/SUKAMAJU")</f>
        <v>NIBEL M. 23706/SUKAMAJU</v>
      </c>
      <c r="D9661" s="42"/>
      <c r="E9661" s="42"/>
      <c r="F9661" s="48" t="str">
        <f>IFERROR(__xludf.DUMMYFUNCTION("""COMPUTED_VALUE"""),"")</f>
        <v/>
      </c>
      <c r="G9661" s="42" t="str">
        <f>IFERROR(__xludf.DUMMYFUNCTION("""COMPUTED_VALUE"""),"SKPT LELANG")</f>
        <v>SKPT LELANG</v>
      </c>
      <c r="H9661" s="42">
        <f t="shared" si="1"/>
        <v>3345</v>
      </c>
    </row>
    <row r="9662" ht="22.5" customHeight="1">
      <c r="B9662" s="42" t="str">
        <f>IFERROR(__xludf.DUMMYFUNCTION("""COMPUTED_VALUE"""),"K/3/281125/2")</f>
        <v>K/3/281125/2</v>
      </c>
      <c r="C9662" s="42" t="str">
        <f>IFERROR(__xludf.DUMMYFUNCTION("""COMPUTED_VALUE"""),"NIBEL M. 23705/SUKAMAJU")</f>
        <v>NIBEL M. 23705/SUKAMAJU</v>
      </c>
      <c r="D9662" s="42"/>
      <c r="E9662" s="42"/>
      <c r="F9662" s="48" t="str">
        <f>IFERROR(__xludf.DUMMYFUNCTION("""COMPUTED_VALUE"""),"")</f>
        <v/>
      </c>
      <c r="G9662" s="42" t="str">
        <f>IFERROR(__xludf.DUMMYFUNCTION("""COMPUTED_VALUE"""),"SKPT LELANG")</f>
        <v>SKPT LELANG</v>
      </c>
      <c r="H9662" s="42">
        <f t="shared" si="1"/>
        <v>3345</v>
      </c>
    </row>
    <row r="9663" ht="22.5" customHeight="1">
      <c r="B9663" s="42" t="str">
        <f>IFERROR(__xludf.DUMMYFUNCTION("""COMPUTED_VALUE"""),"K/4/281125/1")</f>
        <v>K/4/281125/1</v>
      </c>
      <c r="C9663" s="42" t="str">
        <f>IFERROR(__xludf.DUMMYFUNCTION("""COMPUTED_VALUE"""),"NIBEL M. 21081/LANGKAPURA")</f>
        <v>NIBEL M. 21081/LANGKAPURA</v>
      </c>
      <c r="D9663" s="42"/>
      <c r="E9663" s="42"/>
      <c r="F9663" s="48" t="str">
        <f>IFERROR(__xludf.DUMMYFUNCTION("""COMPUTED_VALUE"""),"")</f>
        <v/>
      </c>
      <c r="G9663" s="42" t="str">
        <f>IFERROR(__xludf.DUMMYFUNCTION("""COMPUTED_VALUE"""),"PENATAAN BATAS")</f>
        <v>PENATAAN BATAS</v>
      </c>
      <c r="H9663" s="42">
        <f t="shared" si="1"/>
        <v>3345</v>
      </c>
    </row>
    <row r="9664" ht="22.5" customHeight="1">
      <c r="B9664" s="42" t="str">
        <f>IFERROR(__xludf.DUMMYFUNCTION("""COMPUTED_VALUE"""),"ABDKFHWS/AB044")</f>
        <v>ABDKFHWS/AB044</v>
      </c>
      <c r="C9664" s="42" t="str">
        <f>IFERROR(__xludf.DUMMYFUNCTION("""COMPUTED_VALUE"""),"M. NIBEL 21720/Rajabasa Jaya")</f>
        <v>M. NIBEL 21720/Rajabasa Jaya</v>
      </c>
      <c r="D9664" s="42"/>
      <c r="E9664" s="42"/>
      <c r="F9664" s="48" t="str">
        <f>IFERROR(__xludf.DUMMYFUNCTION("""COMPUTED_VALUE"""),"")</f>
        <v/>
      </c>
      <c r="G9664" s="42" t="str">
        <f>IFERROR(__xludf.DUMMYFUNCTION("""COMPUTED_VALUE"""),"BN Jual Beli")</f>
        <v>BN Jual Beli</v>
      </c>
      <c r="H9664" s="42">
        <f t="shared" si="1"/>
        <v>3345</v>
      </c>
    </row>
    <row r="9665" ht="22.5" customHeight="1">
      <c r="B9665" s="42" t="str">
        <f>IFERROR(__xludf.DUMMYFUNCTION("""COMPUTED_VALUE"""),"ABOVHYLF/AB010 ")</f>
        <v>ABOVHYLF/AB010 </v>
      </c>
      <c r="C9665" s="42" t="str">
        <f>IFERROR(__xludf.DUMMYFUNCTION("""COMPUTED_VALUE"""),"M 259/sukajawa baru ")</f>
        <v>M 259/sukajawa baru </v>
      </c>
      <c r="D9665" s="42"/>
      <c r="E9665" s="42"/>
      <c r="F9665" s="48" t="str">
        <f>IFERROR(__xludf.DUMMYFUNCTION("""COMPUTED_VALUE"""),"")</f>
        <v/>
      </c>
      <c r="G9665" s="42" t="str">
        <f>IFERROR(__xludf.DUMMYFUNCTION("""COMPUTED_VALUE"""),"Bn waris ")</f>
        <v>Bn waris </v>
      </c>
      <c r="H9665" s="42">
        <f t="shared" si="1"/>
        <v>3345</v>
      </c>
    </row>
    <row r="9666" ht="22.5" customHeight="1">
      <c r="B9666" s="42" t="str">
        <f>IFERROR(__xludf.DUMMYFUNCTION("""COMPUTED_VALUE"""),"K/5/281125/1")</f>
        <v>K/5/281125/1</v>
      </c>
      <c r="C9666" s="42" t="str">
        <f>IFERROR(__xludf.DUMMYFUNCTION("""COMPUTED_VALUE"""),"M.11300/SUKARAME")</f>
        <v>M.11300/SUKARAME</v>
      </c>
      <c r="D9666" s="42"/>
      <c r="E9666" s="42"/>
      <c r="F9666" s="48" t="str">
        <f>IFERROR(__xludf.DUMMYFUNCTION("""COMPUTED_VALUE"""),"")</f>
        <v/>
      </c>
      <c r="G9666" s="42" t="str">
        <f>IFERROR(__xludf.DUMMYFUNCTION("""COMPUTED_VALUE"""),"SKPT LELANG")</f>
        <v>SKPT LELANG</v>
      </c>
      <c r="H9666" s="42">
        <f t="shared" si="1"/>
        <v>3345</v>
      </c>
    </row>
    <row r="9667" ht="22.5" customHeight="1">
      <c r="B9667" s="42" t="str">
        <f>IFERROR(__xludf.DUMMYFUNCTION("""COMPUTED_VALUE"""),"AB055/ABCQQDHA")</f>
        <v>AB055/ABCQQDHA</v>
      </c>
      <c r="C9667" s="42" t="str">
        <f>IFERROR(__xludf.DUMMYFUNCTION("""COMPUTED_VALUE"""),"Nibel M.19786/Susunan Baru")</f>
        <v>Nibel M.19786/Susunan Baru</v>
      </c>
      <c r="D9667" s="42"/>
      <c r="E9667" s="42"/>
      <c r="F9667" s="48" t="str">
        <f>IFERROR(__xludf.DUMMYFUNCTION("""COMPUTED_VALUE"""),"")</f>
        <v/>
      </c>
      <c r="G9667" s="42" t="str">
        <f>IFERROR(__xludf.DUMMYFUNCTION("""COMPUTED_VALUE"""),"Balik Nama")</f>
        <v>Balik Nama</v>
      </c>
      <c r="H9667" s="42">
        <f t="shared" si="1"/>
        <v>3345</v>
      </c>
    </row>
    <row r="9668" ht="22.5" customHeight="1">
      <c r="B9668" s="42" t="str">
        <f>IFERROR(__xludf.DUMMYFUNCTION("""COMPUTED_VALUE"""),"AB055/ABBBOMCR")</f>
        <v>AB055/ABBBOMCR</v>
      </c>
      <c r="C9668" s="42" t="str">
        <f>IFERROR(__xludf.DUMMYFUNCTION("""COMPUTED_VALUE"""),"Nibel M.19788/Susunan Baru")</f>
        <v>Nibel M.19788/Susunan Baru</v>
      </c>
      <c r="D9668" s="42"/>
      <c r="E9668" s="42"/>
      <c r="F9668" s="48" t="str">
        <f>IFERROR(__xludf.DUMMYFUNCTION("""COMPUTED_VALUE"""),"")</f>
        <v/>
      </c>
      <c r="G9668" s="42" t="str">
        <f>IFERROR(__xludf.DUMMYFUNCTION("""COMPUTED_VALUE"""),"Balik Nama")</f>
        <v>Balik Nama</v>
      </c>
      <c r="H9668" s="42">
        <f t="shared" si="1"/>
        <v>3345</v>
      </c>
    </row>
    <row r="9669" ht="22.5" customHeight="1">
      <c r="B9669" s="42" t="str">
        <f>IFERROR(__xludf.DUMMYFUNCTION("""COMPUTED_VALUE"""),"AB057/ABVXKHMS")</f>
        <v>AB057/ABVXKHMS</v>
      </c>
      <c r="C9669" s="42" t="str">
        <f>IFERROR(__xludf.DUMMYFUNCTION("""COMPUTED_VALUE"""),"Nibel M.26928/Bumi Kedamaian")</f>
        <v>Nibel M.26928/Bumi Kedamaian</v>
      </c>
      <c r="D9669" s="42"/>
      <c r="E9669" s="42"/>
      <c r="F9669" s="48" t="str">
        <f>IFERROR(__xludf.DUMMYFUNCTION("""COMPUTED_VALUE"""),"")</f>
        <v/>
      </c>
      <c r="G9669" s="42" t="str">
        <f>IFERROR(__xludf.DUMMYFUNCTION("""COMPUTED_VALUE"""),"BN")</f>
        <v>BN</v>
      </c>
      <c r="H9669" s="42">
        <f t="shared" si="1"/>
        <v>3345</v>
      </c>
    </row>
    <row r="9670" ht="22.5" customHeight="1">
      <c r="B9670" s="42" t="str">
        <f>IFERROR(__xludf.DUMMYFUNCTION("""COMPUTED_VALUE"""),"AB047/ABGIPIWJ")</f>
        <v>AB047/ABGIPIWJ</v>
      </c>
      <c r="C9670" s="42" t="str">
        <f>IFERROR(__xludf.DUMMYFUNCTION("""COMPUTED_VALUE"""),"M 1542/ TELUK BETUNG")</f>
        <v>M 1542/ TELUK BETUNG</v>
      </c>
      <c r="D9670" s="42"/>
      <c r="E9670" s="42"/>
      <c r="F9670" s="48" t="str">
        <f>IFERROR(__xludf.DUMMYFUNCTION("""COMPUTED_VALUE"""),"")</f>
        <v/>
      </c>
      <c r="G9670" s="42" t="str">
        <f>IFERROR(__xludf.DUMMYFUNCTION("""COMPUTED_VALUE"""),"AJB")</f>
        <v>AJB</v>
      </c>
      <c r="H9670" s="42">
        <f t="shared" si="1"/>
        <v>3345</v>
      </c>
    </row>
    <row r="9671" ht="22.5" customHeight="1">
      <c r="B9671" s="42" t="str">
        <f>IFERROR(__xludf.DUMMYFUNCTION("""COMPUTED_VALUE"""),"L/7/281125/1")</f>
        <v>L/7/281125/1</v>
      </c>
      <c r="C9671" s="42" t="str">
        <f>IFERROR(__xludf.DUMMYFUNCTION("""COMPUTED_VALUE"""),"M. 12227/SEGALA MIDER")</f>
        <v>M. 12227/SEGALA MIDER</v>
      </c>
      <c r="D9671" s="42"/>
      <c r="E9671" s="42"/>
      <c r="F9671" s="48" t="str">
        <f>IFERROR(__xludf.DUMMYFUNCTION("""COMPUTED_VALUE"""),"")</f>
        <v/>
      </c>
      <c r="G9671" s="42" t="str">
        <f>IFERROR(__xludf.DUMMYFUNCTION("""COMPUTED_VALUE"""),"ROYA")</f>
        <v>ROYA</v>
      </c>
      <c r="H9671" s="42">
        <f t="shared" si="1"/>
        <v>3345</v>
      </c>
    </row>
    <row r="9672" ht="22.5" customHeight="1">
      <c r="B9672" s="42" t="str">
        <f>IFERROR(__xludf.DUMMYFUNCTION("""COMPUTED_VALUE"""),"L/8/281125/1")</f>
        <v>L/8/281125/1</v>
      </c>
      <c r="C9672" s="42" t="str">
        <f>IFERROR(__xludf.DUMMYFUNCTION("""COMPUTED_VALUE"""),"B NIB. 24168/PEMATANG WANGI")</f>
        <v>B NIB. 24168/PEMATANG WANGI</v>
      </c>
      <c r="D9672" s="42"/>
      <c r="E9672" s="42"/>
      <c r="F9672" s="48" t="str">
        <f>IFERROR(__xludf.DUMMYFUNCTION("""COMPUTED_VALUE"""),"")</f>
        <v/>
      </c>
      <c r="G9672" s="42" t="str">
        <f>IFERROR(__xludf.DUMMYFUNCTION("""COMPUTED_VALUE"""),"PENINGKATAN HAK")</f>
        <v>PENINGKATAN HAK</v>
      </c>
      <c r="H9672" s="42">
        <f t="shared" si="1"/>
        <v>3345</v>
      </c>
    </row>
    <row r="9673" ht="22.5" customHeight="1">
      <c r="B9673" s="42" t="str">
        <f>IFERROR(__xludf.DUMMYFUNCTION("""COMPUTED_VALUE"""),"L/9/281125/1")</f>
        <v>L/9/281125/1</v>
      </c>
      <c r="C9673" s="42" t="str">
        <f>IFERROR(__xludf.DUMMYFUNCTION("""COMPUTED_VALUE"""),"KEL. TANJUNG SENANG LUAS 204 M2")</f>
        <v>KEL. TANJUNG SENANG LUAS 204 M2</v>
      </c>
      <c r="D9673" s="42"/>
      <c r="E9673" s="42"/>
      <c r="F9673" s="48" t="str">
        <f>IFERROR(__xludf.DUMMYFUNCTION("""COMPUTED_VALUE"""),"")</f>
        <v/>
      </c>
      <c r="G9673" s="42" t="str">
        <f>IFERROR(__xludf.DUMMYFUNCTION("""COMPUTED_VALUE"""),"PENGUKURAN PERTAMA KALI")</f>
        <v>PENGUKURAN PERTAMA KALI</v>
      </c>
      <c r="H9673" s="42">
        <f t="shared" si="1"/>
        <v>3345</v>
      </c>
    </row>
    <row r="9674" ht="22.5" customHeight="1">
      <c r="B9674" s="42" t="str">
        <f>IFERROR(__xludf.DUMMYFUNCTION("""COMPUTED_VALUE"""),"AB069/ABVKKBHS")</f>
        <v>AB069/ABVKKBHS</v>
      </c>
      <c r="C9674" s="42" t="str">
        <f>IFERROR(__xludf.DUMMYFUNCTION("""COMPUTED_VALUE"""),"Shm.2042/Jagabaya III")</f>
        <v>Shm.2042/Jagabaya III</v>
      </c>
      <c r="D9674" s="42"/>
      <c r="E9674" s="42"/>
      <c r="F9674" s="48" t="str">
        <f>IFERROR(__xludf.DUMMYFUNCTION("""COMPUTED_VALUE"""),"")</f>
        <v/>
      </c>
      <c r="G9674" s="42" t="str">
        <f>IFERROR(__xludf.DUMMYFUNCTION("""COMPUTED_VALUE"""),"Balik Nama")</f>
        <v>Balik Nama</v>
      </c>
      <c r="H9674" s="42">
        <f t="shared" si="1"/>
        <v>3345</v>
      </c>
    </row>
    <row r="9675" ht="22.5" customHeight="1">
      <c r="B9675" s="42" t="str">
        <f>IFERROR(__xludf.DUMMYFUNCTION("""COMPUTED_VALUE"""),"ABEZUUIE/AB091")</f>
        <v>ABEZUUIE/AB091</v>
      </c>
      <c r="C9675" s="42" t="str">
        <f>IFERROR(__xludf.DUMMYFUNCTION("""COMPUTED_VALUE"""),"M. 3499/beringin raya")</f>
        <v>M. 3499/beringin raya</v>
      </c>
      <c r="D9675" s="42"/>
      <c r="E9675" s="42"/>
      <c r="F9675" s="48" t="str">
        <f>IFERROR(__xludf.DUMMYFUNCTION("""COMPUTED_VALUE"""),"")</f>
        <v/>
      </c>
      <c r="G9675" s="42" t="str">
        <f>IFERROR(__xludf.DUMMYFUNCTION("""COMPUTED_VALUE"""),"BN Jual Beli")</f>
        <v>BN Jual Beli</v>
      </c>
      <c r="H9675" s="42">
        <f t="shared" si="1"/>
        <v>3345</v>
      </c>
    </row>
    <row r="9676" ht="22.5" customHeight="1">
      <c r="B9676" s="42" t="str">
        <f>IFERROR(__xludf.DUMMYFUNCTION("""COMPUTED_VALUE"""),"ABSCFEYU/AB091")</f>
        <v>ABSCFEYU/AB091</v>
      </c>
      <c r="C9676" s="42" t="str">
        <f>IFERROR(__xludf.DUMMYFUNCTION("""COMPUTED_VALUE"""),"M. 11824/Rajabasa")</f>
        <v>M. 11824/Rajabasa</v>
      </c>
      <c r="D9676" s="42"/>
      <c r="E9676" s="42"/>
      <c r="F9676" s="48" t="str">
        <f>IFERROR(__xludf.DUMMYFUNCTION("""COMPUTED_VALUE"""),"")</f>
        <v/>
      </c>
      <c r="G9676" s="42" t="str">
        <f>IFERROR(__xludf.DUMMYFUNCTION("""COMPUTED_VALUE"""),"BN Jual Beli")</f>
        <v>BN Jual Beli</v>
      </c>
      <c r="H9676" s="42">
        <f t="shared" si="1"/>
        <v>3345</v>
      </c>
    </row>
    <row r="9677" ht="22.5" customHeight="1">
      <c r="B9677" s="42" t="str">
        <f>IFERROR(__xludf.DUMMYFUNCTION("""COMPUTED_VALUE"""),"K/6/281125/1")</f>
        <v>K/6/281125/1</v>
      </c>
      <c r="C9677" s="42" t="str">
        <f>IFERROR(__xludf.DUMMYFUNCTION("""COMPUTED_VALUE"""),"NIBEL B. 19191/PINANG JAYA")</f>
        <v>NIBEL B. 19191/PINANG JAYA</v>
      </c>
      <c r="D9677" s="42"/>
      <c r="E9677" s="42"/>
      <c r="F9677" s="48" t="str">
        <f>IFERROR(__xludf.DUMMYFUNCTION("""COMPUTED_VALUE"""),"")</f>
        <v/>
      </c>
      <c r="G9677" s="42" t="str">
        <f>IFERROR(__xludf.DUMMYFUNCTION("""COMPUTED_VALUE"""),"PENINGKATAN HAK")</f>
        <v>PENINGKATAN HAK</v>
      </c>
      <c r="H9677" s="42">
        <f t="shared" si="1"/>
        <v>3345</v>
      </c>
    </row>
    <row r="9678" ht="22.5" customHeight="1">
      <c r="B9678" s="42" t="str">
        <f>IFERROR(__xludf.DUMMYFUNCTION("""COMPUTED_VALUE"""),"AB042/ABMKPTXZ")</f>
        <v>AB042/ABMKPTXZ</v>
      </c>
      <c r="C9678" s="42" t="str">
        <f>IFERROR(__xludf.DUMMYFUNCTION("""COMPUTED_VALUE"""),"M.3915/rajabasa jaya")</f>
        <v>M.3915/rajabasa jaya</v>
      </c>
      <c r="D9678" s="42"/>
      <c r="E9678" s="42"/>
      <c r="F9678" s="48" t="str">
        <f>IFERROR(__xludf.DUMMYFUNCTION("""COMPUTED_VALUE"""),"")</f>
        <v/>
      </c>
      <c r="G9678" s="42" t="str">
        <f>IFERROR(__xludf.DUMMYFUNCTION("""COMPUTED_VALUE"""),"Akta Jual Beli")</f>
        <v>Akta Jual Beli</v>
      </c>
      <c r="H9678" s="42">
        <f t="shared" si="1"/>
        <v>3345</v>
      </c>
    </row>
    <row r="9679" ht="22.5" customHeight="1">
      <c r="B9679" s="42" t="str">
        <f>IFERROR(__xludf.DUMMYFUNCTION("""COMPUTED_VALUE"""),"K/10/281125/1")</f>
        <v>K/10/281125/1</v>
      </c>
      <c r="C9679" s="42" t="str">
        <f>IFERROR(__xludf.DUMMYFUNCTION("""COMPUTED_VALUE"""),"NIBEL M. 25811/CAMPANG RAYA")</f>
        <v>NIBEL M. 25811/CAMPANG RAYA</v>
      </c>
      <c r="D9679" s="42"/>
      <c r="E9679" s="42"/>
      <c r="F9679" s="48" t="str">
        <f>IFERROR(__xludf.DUMMYFUNCTION("""COMPUTED_VALUE"""),"")</f>
        <v/>
      </c>
      <c r="G9679" s="42" t="str">
        <f>IFERROR(__xludf.DUMMYFUNCTION("""COMPUTED_VALUE"""),"BN LELANG")</f>
        <v>BN LELANG</v>
      </c>
      <c r="H9679" s="42">
        <f t="shared" si="1"/>
        <v>3345</v>
      </c>
    </row>
    <row r="9680" ht="22.5" customHeight="1">
      <c r="B9680" s="42" t="str">
        <f>IFERROR(__xludf.DUMMYFUNCTION("""COMPUTED_VALUE"""),"AB093/ ABARQCYZ")</f>
        <v>AB093/ ABARQCYZ</v>
      </c>
      <c r="C9680" s="42" t="str">
        <f>IFERROR(__xludf.DUMMYFUNCTION("""COMPUTED_VALUE"""),"M.483/ Rajabasa Raya")</f>
        <v>M.483/ Rajabasa Raya</v>
      </c>
      <c r="D9680" s="42"/>
      <c r="E9680" s="42"/>
      <c r="F9680" s="48" t="str">
        <f>IFERROR(__xludf.DUMMYFUNCTION("""COMPUTED_VALUE"""),"")</f>
        <v/>
      </c>
      <c r="G9680" s="42" t="str">
        <f>IFERROR(__xludf.DUMMYFUNCTION("""COMPUTED_VALUE"""),"BN")</f>
        <v>BN</v>
      </c>
      <c r="H9680" s="42">
        <f t="shared" si="1"/>
        <v>3345</v>
      </c>
    </row>
    <row r="9681" ht="22.5" customHeight="1">
      <c r="B9681" s="42" t="str">
        <f>IFERROR(__xludf.DUMMYFUNCTION("""COMPUTED_VALUE"""),"ABKUTJSV")</f>
        <v>ABKUTJSV</v>
      </c>
      <c r="C9681" s="42" t="str">
        <f>IFERROR(__xludf.DUMMYFUNCTION("""COMPUTED_VALUE"""),"M.23753/korpri jaya")</f>
        <v>M.23753/korpri jaya</v>
      </c>
      <c r="D9681" s="42"/>
      <c r="E9681" s="42"/>
      <c r="F9681" s="48" t="str">
        <f>IFERROR(__xludf.DUMMYFUNCTION("""COMPUTED_VALUE"""),"")</f>
        <v/>
      </c>
      <c r="G9681" s="42" t="str">
        <f>IFERROR(__xludf.DUMMYFUNCTION("""COMPUTED_VALUE"""),"Peralihan hak jual beli")</f>
        <v>Peralihan hak jual beli</v>
      </c>
      <c r="H9681" s="42">
        <f t="shared" si="1"/>
        <v>3345</v>
      </c>
    </row>
    <row r="9682" ht="22.5" customHeight="1">
      <c r="B9682" s="42" t="str">
        <f>IFERROR(__xludf.DUMMYFUNCTION("""COMPUTED_VALUE"""),"AB084/ABFJSEXX")</f>
        <v>AB084/ABFJSEXX</v>
      </c>
      <c r="C9682" s="42" t="str">
        <f>IFERROR(__xludf.DUMMYFUNCTION("""COMPUTED_VALUE"""),"M.838/gunung sulah")</f>
        <v>M.838/gunung sulah</v>
      </c>
      <c r="D9682" s="42"/>
      <c r="E9682" s="42"/>
      <c r="F9682" s="48" t="str">
        <f>IFERROR(__xludf.DUMMYFUNCTION("""COMPUTED_VALUE"""),"")</f>
        <v/>
      </c>
      <c r="G9682" s="42" t="str">
        <f>IFERROR(__xludf.DUMMYFUNCTION("""COMPUTED_VALUE"""),"Peralihan hak jual beli")</f>
        <v>Peralihan hak jual beli</v>
      </c>
      <c r="H9682" s="42">
        <f t="shared" si="1"/>
        <v>3345</v>
      </c>
    </row>
    <row r="9683" ht="22.5" customHeight="1">
      <c r="B9683" s="42" t="str">
        <f>IFERROR(__xludf.DUMMYFUNCTION("""COMPUTED_VALUE"""),"ABBCGPUX")</f>
        <v>ABBCGPUX</v>
      </c>
      <c r="C9683" s="42" t="str">
        <f>IFERROR(__xludf.DUMMYFUNCTION("""COMPUTED_VALUE"""),"SHM 11690 Tanjung baru")</f>
        <v>SHM 11690 Tanjung baru</v>
      </c>
      <c r="D9683" s="42"/>
      <c r="E9683" s="42"/>
      <c r="F9683" s="48" t="str">
        <f>IFERROR(__xludf.DUMMYFUNCTION("""COMPUTED_VALUE"""),"")</f>
        <v/>
      </c>
      <c r="G9683" s="42" t="str">
        <f>IFERROR(__xludf.DUMMYFUNCTION("""COMPUTED_VALUE"""),"Plotting")</f>
        <v>Plotting</v>
      </c>
      <c r="H9683" s="42">
        <f t="shared" si="1"/>
        <v>3345</v>
      </c>
    </row>
    <row r="9684" ht="22.5" customHeight="1">
      <c r="B9684" s="42" t="str">
        <f>IFERROR(__xludf.DUMMYFUNCTION("""COMPUTED_VALUE"""),"L/1/291126/1")</f>
        <v>L/1/291126/1</v>
      </c>
      <c r="C9684" s="42" t="str">
        <f>IFERROR(__xludf.DUMMYFUNCTION("""COMPUTED_VALUE"""),"M. NIBEL 17700")</f>
        <v>M. NIBEL 17700</v>
      </c>
      <c r="D9684" s="42"/>
      <c r="E9684" s="42"/>
      <c r="F9684" s="48" t="str">
        <f>IFERROR(__xludf.DUMMYFUNCTION("""COMPUTED_VALUE"""),"")</f>
        <v/>
      </c>
      <c r="G9684" s="42" t="str">
        <f>IFERROR(__xludf.DUMMYFUNCTION("""COMPUTED_VALUE"""),"PEMECAHAN")</f>
        <v>PEMECAHAN</v>
      </c>
      <c r="H9684" s="42">
        <f t="shared" si="1"/>
        <v>3345</v>
      </c>
    </row>
    <row r="9685" ht="22.5" customHeight="1">
      <c r="B9685" s="42" t="str">
        <f>IFERROR(__xludf.DUMMYFUNCTION("""COMPUTED_VALUE"""),"L/1/011225/1")</f>
        <v>L/1/011225/1</v>
      </c>
      <c r="C9685" s="42" t="str">
        <f>IFERROR(__xludf.DUMMYFUNCTION("""COMPUTED_VALUE"""),"M. 13894/TANJUNG BARU")</f>
        <v>M. 13894/TANJUNG BARU</v>
      </c>
      <c r="D9685" s="42"/>
      <c r="E9685" s="42"/>
      <c r="F9685" s="48" t="str">
        <f>IFERROR(__xludf.DUMMYFUNCTION("""COMPUTED_VALUE"""),"")</f>
        <v/>
      </c>
      <c r="G9685" s="42" t="str">
        <f>IFERROR(__xludf.DUMMYFUNCTION("""COMPUTED_VALUE"""),"PEMECAHAN")</f>
        <v>PEMECAHAN</v>
      </c>
      <c r="H9685" s="42">
        <f t="shared" si="1"/>
        <v>3345</v>
      </c>
    </row>
    <row r="9686" ht="22.5" customHeight="1">
      <c r="B9686" s="42" t="str">
        <f>IFERROR(__xludf.DUMMYFUNCTION("""COMPUTED_VALUE"""),"L/2/011225/1")</f>
        <v>L/2/011225/1</v>
      </c>
      <c r="C9686" s="42" t="str">
        <f>IFERROR(__xludf.DUMMYFUNCTION("""COMPUTED_VALUE"""),"M. 11198/LABUHAN RATU")</f>
        <v>M. 11198/LABUHAN RATU</v>
      </c>
      <c r="D9686" s="42"/>
      <c r="E9686" s="42"/>
      <c r="F9686" s="48" t="str">
        <f>IFERROR(__xludf.DUMMYFUNCTION("""COMPUTED_VALUE"""),"")</f>
        <v/>
      </c>
      <c r="G9686" s="42" t="str">
        <f>IFERROR(__xludf.DUMMYFUNCTION("""COMPUTED_VALUE"""),"ROYA")</f>
        <v>ROYA</v>
      </c>
      <c r="H9686" s="42">
        <f t="shared" si="1"/>
        <v>3345</v>
      </c>
    </row>
    <row r="9687" ht="22.5" customHeight="1">
      <c r="B9687" s="42" t="str">
        <f>IFERROR(__xludf.DUMMYFUNCTION("""COMPUTED_VALUE"""),"L/3/011225/1")</f>
        <v>L/3/011225/1</v>
      </c>
      <c r="C9687" s="42" t="str">
        <f>IFERROR(__xludf.DUMMYFUNCTION("""COMPUTED_VALUE"""),"M. 3979/TANJUNG SENENG")</f>
        <v>M. 3979/TANJUNG SENENG</v>
      </c>
      <c r="D9687" s="42"/>
      <c r="E9687" s="42"/>
      <c r="F9687" s="48" t="str">
        <f>IFERROR(__xludf.DUMMYFUNCTION("""COMPUTED_VALUE"""),"")</f>
        <v/>
      </c>
      <c r="G9687" s="42" t="str">
        <f>IFERROR(__xludf.DUMMYFUNCTION("""COMPUTED_VALUE"""),"ROYA")</f>
        <v>ROYA</v>
      </c>
      <c r="H9687" s="42">
        <f t="shared" si="1"/>
        <v>3345</v>
      </c>
    </row>
    <row r="9688" ht="22.5" customHeight="1">
      <c r="B9688" s="42" t="str">
        <f>IFERROR(__xludf.DUMMYFUNCTION("""COMPUTED_VALUE"""),"ABAMPVKI")</f>
        <v>ABAMPVKI</v>
      </c>
      <c r="C9688" s="42" t="str">
        <f>IFERROR(__xludf.DUMMYFUNCTION("""COMPUTED_VALUE"""),"Nibel M 8369/Pengajaran")</f>
        <v>Nibel M 8369/Pengajaran</v>
      </c>
      <c r="D9688" s="42"/>
      <c r="E9688" s="42"/>
      <c r="F9688" s="48" t="str">
        <f>IFERROR(__xludf.DUMMYFUNCTION("""COMPUTED_VALUE"""),"")</f>
        <v/>
      </c>
      <c r="G9688" s="42" t="str">
        <f>IFERROR(__xludf.DUMMYFUNCTION("""COMPUTED_VALUE"""),"Bn Jual Beli")</f>
        <v>Bn Jual Beli</v>
      </c>
      <c r="H9688" s="42">
        <f t="shared" si="1"/>
        <v>3345</v>
      </c>
    </row>
    <row r="9689" ht="22.5" customHeight="1">
      <c r="B9689" s="42" t="str">
        <f>IFERROR(__xludf.DUMMYFUNCTION("""COMPUTED_VALUE"""),"AB041/ ABNZHOZG")</f>
        <v>AB041/ ABNZHOZG</v>
      </c>
      <c r="C9689" s="42" t="str">
        <f>IFERROR(__xludf.DUMMYFUNCTION("""COMPUTED_VALUE""")," B.594/SUMBER AGUNG")</f>
        <v> B.594/SUMBER AGUNG</v>
      </c>
      <c r="D9689" s="42"/>
      <c r="E9689" s="42"/>
      <c r="F9689" s="48" t="str">
        <f>IFERROR(__xludf.DUMMYFUNCTION("""COMPUTED_VALUE"""),"")</f>
        <v/>
      </c>
      <c r="G9689" s="42" t="str">
        <f>IFERROR(__xludf.DUMMYFUNCTION("""COMPUTED_VALUE"""),"Balik Nama")</f>
        <v>Balik Nama</v>
      </c>
      <c r="H9689" s="42">
        <f t="shared" si="1"/>
        <v>3345</v>
      </c>
    </row>
    <row r="9690" ht="22.5" customHeight="1">
      <c r="B9690" s="42" t="str">
        <f>IFERROR(__xludf.DUMMYFUNCTION("""COMPUTED_VALUE"""),"AB041/ABHACRAX")</f>
        <v>AB041/ABHACRAX</v>
      </c>
      <c r="C9690" s="42" t="str">
        <f>IFERROR(__xludf.DUMMYFUNCTION("""COMPUTED_VALUE"""),"Nibel M.2314/Tanjung Senang")</f>
        <v>Nibel M.2314/Tanjung Senang</v>
      </c>
      <c r="D9690" s="42"/>
      <c r="E9690" s="42"/>
      <c r="F9690" s="48" t="str">
        <f>IFERROR(__xludf.DUMMYFUNCTION("""COMPUTED_VALUE"""),"")</f>
        <v/>
      </c>
      <c r="G9690" s="42" t="str">
        <f>IFERROR(__xludf.DUMMYFUNCTION("""COMPUTED_VALUE"""),"Balik Nama")</f>
        <v>Balik Nama</v>
      </c>
      <c r="H9690" s="42">
        <f t="shared" si="1"/>
        <v>3345</v>
      </c>
    </row>
    <row r="9691" ht="22.5" customHeight="1">
      <c r="B9691" s="42" t="str">
        <f>IFERROR(__xludf.DUMMYFUNCTION("""COMPUTED_VALUE"""),"AB041/ ABLWHDCI")</f>
        <v>AB041/ ABLWHDCI</v>
      </c>
      <c r="C9691" s="42" t="str">
        <f>IFERROR(__xludf.DUMMYFUNCTION("""COMPUTED_VALUE"""),"Nibel M.2301/Tanjung Senang")</f>
        <v>Nibel M.2301/Tanjung Senang</v>
      </c>
      <c r="D9691" s="42"/>
      <c r="E9691" s="42"/>
      <c r="F9691" s="48" t="str">
        <f>IFERROR(__xludf.DUMMYFUNCTION("""COMPUTED_VALUE"""),"")</f>
        <v/>
      </c>
      <c r="G9691" s="42" t="str">
        <f>IFERROR(__xludf.DUMMYFUNCTION("""COMPUTED_VALUE"""),"Balik Nama")</f>
        <v>Balik Nama</v>
      </c>
      <c r="H9691" s="42">
        <f t="shared" si="1"/>
        <v>3345</v>
      </c>
    </row>
    <row r="9692" ht="22.5" customHeight="1">
      <c r="B9692" s="42" t="str">
        <f>IFERROR(__xludf.DUMMYFUNCTION("""COMPUTED_VALUE"""),"ABQOYCQX/AB042")</f>
        <v>ABQOYCQX/AB042</v>
      </c>
      <c r="C9692" s="42" t="str">
        <f>IFERROR(__xludf.DUMMYFUNCTION("""COMPUTED_VALUE"""),"HM.16979/Sukarame ")</f>
        <v>HM.16979/Sukarame </v>
      </c>
      <c r="D9692" s="42"/>
      <c r="E9692" s="42"/>
      <c r="F9692" s="48" t="str">
        <f>IFERROR(__xludf.DUMMYFUNCTION("""COMPUTED_VALUE"""),"")</f>
        <v/>
      </c>
      <c r="G9692" s="42" t="str">
        <f>IFERROR(__xludf.DUMMYFUNCTION("""COMPUTED_VALUE"""),"Bn jual beli")</f>
        <v>Bn jual beli</v>
      </c>
      <c r="H9692" s="42">
        <f t="shared" si="1"/>
        <v>3345</v>
      </c>
    </row>
    <row r="9693" ht="22.5" customHeight="1">
      <c r="B9693" s="42" t="str">
        <f>IFERROR(__xludf.DUMMYFUNCTION("""COMPUTED_VALUE"""),"ABTGQNSM")</f>
        <v>ABTGQNSM</v>
      </c>
      <c r="C9693" s="42" t="str">
        <f>IFERROR(__xludf.DUMMYFUNCTION("""COMPUTED_VALUE"""),"M 1407/ DURIAN PAYUNG")</f>
        <v>M 1407/ DURIAN PAYUNG</v>
      </c>
      <c r="D9693" s="42"/>
      <c r="E9693" s="42"/>
      <c r="F9693" s="48" t="str">
        <f>IFERROR(__xludf.DUMMYFUNCTION("""COMPUTED_VALUE"""),"")</f>
        <v/>
      </c>
      <c r="G9693" s="42" t="str">
        <f>IFERROR(__xludf.DUMMYFUNCTION("""COMPUTED_VALUE"""),"Roya")</f>
        <v>Roya</v>
      </c>
      <c r="H9693" s="42">
        <f t="shared" si="1"/>
        <v>3345</v>
      </c>
    </row>
    <row r="9694" ht="22.5" customHeight="1">
      <c r="B9694" s="42" t="str">
        <f>IFERROR(__xludf.DUMMYFUNCTION("""COMPUTED_VALUE"""),"L/4/011225/1")</f>
        <v>L/4/011225/1</v>
      </c>
      <c r="C9694" s="42" t="str">
        <f>IFERROR(__xludf.DUMMYFUNCTION("""COMPUTED_VALUE"""),"M. 1325/JAGABAYA III")</f>
        <v>M. 1325/JAGABAYA III</v>
      </c>
      <c r="D9694" s="42"/>
      <c r="E9694" s="42"/>
      <c r="F9694" s="48" t="str">
        <f>IFERROR(__xludf.DUMMYFUNCTION("""COMPUTED_VALUE"""),"")</f>
        <v/>
      </c>
      <c r="G9694" s="42" t="str">
        <f>IFERROR(__xludf.DUMMYFUNCTION("""COMPUTED_VALUE"""),"ROYA")</f>
        <v>ROYA</v>
      </c>
      <c r="H9694" s="42">
        <f t="shared" si="1"/>
        <v>3345</v>
      </c>
    </row>
    <row r="9695" ht="22.5" customHeight="1">
      <c r="B9695" s="42" t="str">
        <f>IFERROR(__xludf.DUMMYFUNCTION("""COMPUTED_VALUE"""),"AB060/ ABKGHXWO")</f>
        <v>AB060/ ABKGHXWO</v>
      </c>
      <c r="C9695" s="42" t="str">
        <f>IFERROR(__xludf.DUMMYFUNCTION("""COMPUTED_VALUE"""),"NIBEL M 24935/Kemiling Permai")</f>
        <v>NIBEL M 24935/Kemiling Permai</v>
      </c>
      <c r="D9695" s="42"/>
      <c r="E9695" s="42"/>
      <c r="F9695" s="48" t="str">
        <f>IFERROR(__xludf.DUMMYFUNCTION("""COMPUTED_VALUE"""),"")</f>
        <v/>
      </c>
      <c r="G9695" s="42" t="str">
        <f>IFERROR(__xludf.DUMMYFUNCTION("""COMPUTED_VALUE"""),"Peralihan hak")</f>
        <v>Peralihan hak</v>
      </c>
      <c r="H9695" s="42">
        <f t="shared" si="1"/>
        <v>3345</v>
      </c>
    </row>
    <row r="9696" ht="22.5" customHeight="1">
      <c r="B9696" s="42" t="str">
        <f>IFERROR(__xludf.DUMMYFUNCTION("""COMPUTED_VALUE"""),"ABGRXPOM/AB039")</f>
        <v>ABGRXPOM/AB039</v>
      </c>
      <c r="C9696" s="42" t="str">
        <f>IFERROR(__xludf.DUMMYFUNCTION("""COMPUTED_VALUE"""),"M.00932/Sepang Jaya")</f>
        <v>M.00932/Sepang Jaya</v>
      </c>
      <c r="D9696" s="42"/>
      <c r="E9696" s="42"/>
      <c r="F9696" s="48" t="str">
        <f>IFERROR(__xludf.DUMMYFUNCTION("""COMPUTED_VALUE"""),"")</f>
        <v/>
      </c>
      <c r="G9696" s="42" t="str">
        <f>IFERROR(__xludf.DUMMYFUNCTION("""COMPUTED_VALUE"""),"Ganti kecamatan")</f>
        <v>Ganti kecamatan</v>
      </c>
      <c r="H9696" s="42">
        <f t="shared" si="1"/>
        <v>3345</v>
      </c>
    </row>
    <row r="9697" ht="22.5" customHeight="1">
      <c r="B9697" s="42" t="str">
        <f>IFERROR(__xludf.DUMMYFUNCTION("""COMPUTED_VALUE"""),"K/11/281125/1")</f>
        <v>K/11/281125/1</v>
      </c>
      <c r="C9697" s="42" t="str">
        <f>IFERROR(__xludf.DUMMYFUNCTION("""COMPUTED_VALUE"""),"M. 1770/SUKARAJA")</f>
        <v>M. 1770/SUKARAJA</v>
      </c>
      <c r="D9697" s="42"/>
      <c r="E9697" s="42"/>
      <c r="F9697" s="48" t="str">
        <f>IFERROR(__xludf.DUMMYFUNCTION("""COMPUTED_VALUE"""),"")</f>
        <v/>
      </c>
      <c r="G9697" s="42" t="str">
        <f>IFERROR(__xludf.DUMMYFUNCTION("""COMPUTED_VALUE"""),"HAPUS BPHTB")</f>
        <v>HAPUS BPHTB</v>
      </c>
      <c r="H9697" s="42">
        <f t="shared" si="1"/>
        <v>3345</v>
      </c>
    </row>
    <row r="9698" ht="22.5" customHeight="1">
      <c r="B9698" s="42" t="str">
        <f>IFERROR(__xludf.DUMMYFUNCTION("""COMPUTED_VALUE"""),"K/5/011225/1")</f>
        <v>K/5/011225/1</v>
      </c>
      <c r="C9698" s="42" t="str">
        <f>IFERROR(__xludf.DUMMYFUNCTION("""COMPUTED_VALUE"""),"LANGKAPURA")</f>
        <v>LANGKAPURA</v>
      </c>
      <c r="D9698" s="42"/>
      <c r="E9698" s="42"/>
      <c r="F9698" s="48" t="str">
        <f>IFERROR(__xludf.DUMMYFUNCTION("""COMPUTED_VALUE"""),"")</f>
        <v/>
      </c>
      <c r="G9698" s="42" t="str">
        <f>IFERROR(__xludf.DUMMYFUNCTION("""COMPUTED_VALUE"""),"PENGUKURAN PERTAMA KALI")</f>
        <v>PENGUKURAN PERTAMA KALI</v>
      </c>
      <c r="H9698" s="42">
        <f t="shared" si="1"/>
        <v>3345</v>
      </c>
    </row>
    <row r="9699" ht="22.5" customHeight="1">
      <c r="B9699" s="42" t="str">
        <f>IFERROR(__xludf.DUMMYFUNCTION("""COMPUTED_VALUE"""),"AB089/ABWUQJP")</f>
        <v>AB089/ABWUQJP</v>
      </c>
      <c r="C9699" s="42" t="str">
        <f>IFERROR(__xludf.DUMMYFUNCTION("""COMPUTED_VALUE"""),"SHM 1928/Susunan Baru")</f>
        <v>SHM 1928/Susunan Baru</v>
      </c>
      <c r="D9699" s="42"/>
      <c r="E9699" s="42"/>
      <c r="F9699" s="48" t="str">
        <f>IFERROR(__xludf.DUMMYFUNCTION("""COMPUTED_VALUE"""),"")</f>
        <v/>
      </c>
      <c r="G9699" s="42" t="str">
        <f>IFERROR(__xludf.DUMMYFUNCTION("""COMPUTED_VALUE"""),"Bn jual beli")</f>
        <v>Bn jual beli</v>
      </c>
      <c r="H9699" s="42">
        <f t="shared" si="1"/>
        <v>3345</v>
      </c>
    </row>
    <row r="9700" ht="22.5" customHeight="1">
      <c r="B9700" s="42" t="str">
        <f>IFERROR(__xludf.DUMMYFUNCTION("""COMPUTED_VALUE"""),"ABLNYIDD")</f>
        <v>ABLNYIDD</v>
      </c>
      <c r="C9700" s="42">
        <f>IFERROR(__xludf.DUMMYFUNCTION("""COMPUTED_VALUE"""),4430.0)</f>
        <v>4430</v>
      </c>
      <c r="D9700" s="42"/>
      <c r="E9700" s="42"/>
      <c r="F9700" s="48" t="str">
        <f>IFERROR(__xludf.DUMMYFUNCTION("""COMPUTED_VALUE"""),"")</f>
        <v/>
      </c>
      <c r="G9700" s="42" t="str">
        <f>IFERROR(__xludf.DUMMYFUNCTION("""COMPUTED_VALUE"""),"Ganti kecamatan")</f>
        <v>Ganti kecamatan</v>
      </c>
      <c r="H9700" s="42">
        <f t="shared" si="1"/>
        <v>3345</v>
      </c>
    </row>
    <row r="9701" ht="22.5" customHeight="1">
      <c r="B9701" s="42" t="str">
        <f>IFERROR(__xludf.DUMMYFUNCTION("""COMPUTED_VALUE"""),"ABBAFJDX")</f>
        <v>ABBAFJDX</v>
      </c>
      <c r="C9701" s="42" t="str">
        <f>IFERROR(__xludf.DUMMYFUNCTION("""COMPUTED_VALUE"""),"""_""")</f>
        <v>"_"</v>
      </c>
      <c r="D9701" s="42"/>
      <c r="E9701" s="42"/>
      <c r="F9701" s="48" t="str">
        <f>IFERROR(__xludf.DUMMYFUNCTION("""COMPUTED_VALUE"""),"")</f>
        <v/>
      </c>
      <c r="G9701" s="42" t="str">
        <f>IFERROR(__xludf.DUMMYFUNCTION("""COMPUTED_VALUE"""),"Ganti Kecamatan")</f>
        <v>Ganti Kecamatan</v>
      </c>
      <c r="H9701" s="42">
        <f t="shared" si="1"/>
        <v>3345</v>
      </c>
    </row>
    <row r="9702" ht="22.5" customHeight="1">
      <c r="B9702" s="42" t="str">
        <f>IFERROR(__xludf.DUMMYFUNCTION("""COMPUTED_VALUE"""),"AB073/ ABPWHCEN")</f>
        <v>AB073/ ABPWHCEN</v>
      </c>
      <c r="C9702" s="42" t="str">
        <f>IFERROR(__xludf.DUMMYFUNCTION("""COMPUTED_VALUE"""),"M.15992/Sukarame")</f>
        <v>M.15992/Sukarame</v>
      </c>
      <c r="D9702" s="42"/>
      <c r="E9702" s="42"/>
      <c r="F9702" s="48" t="str">
        <f>IFERROR(__xludf.DUMMYFUNCTION("""COMPUTED_VALUE"""),"")</f>
        <v/>
      </c>
      <c r="G9702" s="42" t="str">
        <f>IFERROR(__xludf.DUMMYFUNCTION("""COMPUTED_VALUE"""),"Roya")</f>
        <v>Roya</v>
      </c>
      <c r="H9702" s="42">
        <f t="shared" si="1"/>
        <v>3345</v>
      </c>
    </row>
    <row r="9703" ht="22.5" customHeight="1">
      <c r="B9703" s="42" t="str">
        <f>IFERROR(__xludf.DUMMYFUNCTION("""COMPUTED_VALUE"""),"ABTJKXJQ")</f>
        <v>ABTJKXJQ</v>
      </c>
      <c r="C9703" s="42">
        <f>IFERROR(__xludf.DUMMYFUNCTION("""COMPUTED_VALUE"""),214.0)</f>
        <v>214</v>
      </c>
      <c r="D9703" s="42"/>
      <c r="E9703" s="42"/>
      <c r="F9703" s="48" t="str">
        <f>IFERROR(__xludf.DUMMYFUNCTION("""COMPUTED_VALUE"""),"")</f>
        <v/>
      </c>
      <c r="G9703" s="42" t="str">
        <f>IFERROR(__xludf.DUMMYFUNCTION("""COMPUTED_VALUE"""),"Ganti Kecamatan")</f>
        <v>Ganti Kecamatan</v>
      </c>
      <c r="H9703" s="42">
        <f t="shared" si="1"/>
        <v>3345</v>
      </c>
    </row>
    <row r="9704" ht="22.5" customHeight="1">
      <c r="B9704" s="42" t="str">
        <f>IFERROR(__xludf.DUMMYFUNCTION("""COMPUTED_VALUE"""),"ABLNYIDD")</f>
        <v>ABLNYIDD</v>
      </c>
      <c r="C9704" s="42" t="str">
        <f>IFERROR(__xludf.DUMMYFUNCTION("""COMPUTED_VALUE"""),"m 972/ perumnas way kandis")</f>
        <v>m 972/ perumnas way kandis</v>
      </c>
      <c r="D9704" s="42"/>
      <c r="E9704" s="42"/>
      <c r="F9704" s="48" t="str">
        <f>IFERROR(__xludf.DUMMYFUNCTION("""COMPUTED_VALUE"""),"")</f>
        <v/>
      </c>
      <c r="G9704" s="42" t="str">
        <f>IFERROR(__xludf.DUMMYFUNCTION("""COMPUTED_VALUE"""),"Peralihan hak jual beli")</f>
        <v>Peralihan hak jual beli</v>
      </c>
      <c r="H9704" s="42">
        <f t="shared" si="1"/>
        <v>3345</v>
      </c>
    </row>
    <row r="9705" ht="22.5" customHeight="1">
      <c r="B9705" s="42" t="str">
        <f>IFERROR(__xludf.DUMMYFUNCTION("""COMPUTED_VALUE"""),"K/6/011225/1")</f>
        <v>K/6/011225/1</v>
      </c>
      <c r="C9705" s="42" t="str">
        <f>IFERROR(__xludf.DUMMYFUNCTION("""COMPUTED_VALUE"""),"KEDATON")</f>
        <v>KEDATON</v>
      </c>
      <c r="D9705" s="42"/>
      <c r="E9705" s="42"/>
      <c r="F9705" s="48" t="str">
        <f>IFERROR(__xludf.DUMMYFUNCTION("""COMPUTED_VALUE"""),"")</f>
        <v/>
      </c>
      <c r="G9705" s="42" t="str">
        <f>IFERROR(__xludf.DUMMYFUNCTION("""COMPUTED_VALUE"""),"PENGUKURAN PERTAMA KALI")</f>
        <v>PENGUKURAN PERTAMA KALI</v>
      </c>
      <c r="H9705" s="42">
        <f t="shared" si="1"/>
        <v>3345</v>
      </c>
    </row>
    <row r="9706" ht="22.5" customHeight="1">
      <c r="B9706" s="42" t="str">
        <f>IFERROR(__xludf.DUMMYFUNCTION("""COMPUTED_VALUE"""),"ABWSUHGH/AB086")</f>
        <v>ABWSUHGH/AB086</v>
      </c>
      <c r="C9706" s="42" t="str">
        <f>IFERROR(__xludf.DUMMYFUNCTION("""COMPUTED_VALUE"""),"M. 364/Gunung Agung")</f>
        <v>M. 364/Gunung Agung</v>
      </c>
      <c r="D9706" s="42"/>
      <c r="E9706" s="42"/>
      <c r="F9706" s="48" t="str">
        <f>IFERROR(__xludf.DUMMYFUNCTION("""COMPUTED_VALUE"""),"")</f>
        <v/>
      </c>
      <c r="G9706" s="42" t="str">
        <f>IFERROR(__xludf.DUMMYFUNCTION("""COMPUTED_VALUE"""),"Bn jual beli")</f>
        <v>Bn jual beli</v>
      </c>
      <c r="H9706" s="42">
        <f t="shared" si="1"/>
        <v>3345</v>
      </c>
    </row>
    <row r="9707" ht="22.5" customHeight="1">
      <c r="B9707" s="42" t="str">
        <f>IFERROR(__xludf.DUMMYFUNCTION("""COMPUTED_VALUE"""),"AB082/ABBRHPBD")</f>
        <v>AB082/ABBRHPBD</v>
      </c>
      <c r="C9707" s="42" t="str">
        <f>IFERROR(__xludf.DUMMYFUNCTION("""COMPUTED_VALUE"""),"M.2006Rajabasa Raya")</f>
        <v>M.2006Rajabasa Raya</v>
      </c>
      <c r="D9707" s="42"/>
      <c r="E9707" s="42"/>
      <c r="F9707" s="48" t="str">
        <f>IFERROR(__xludf.DUMMYFUNCTION("""COMPUTED_VALUE"""),"")</f>
        <v/>
      </c>
      <c r="G9707" s="42" t="str">
        <f>IFERROR(__xludf.DUMMYFUNCTION("""COMPUTED_VALUE"""),"Balik nama")</f>
        <v>Balik nama</v>
      </c>
      <c r="H9707" s="42">
        <f t="shared" si="1"/>
        <v>3345</v>
      </c>
    </row>
    <row r="9708" ht="22.5" customHeight="1">
      <c r="B9708" s="42" t="str">
        <f>IFERROR(__xludf.DUMMYFUNCTION("""COMPUTED_VALUE"""),"ABSVTNNS")</f>
        <v>ABSVTNNS</v>
      </c>
      <c r="C9708" s="42" t="str">
        <f>IFERROR(__xludf.DUMMYFUNCTION("""COMPUTED_VALUE"""),"B 17749/ kemiling permai")</f>
        <v>B 17749/ kemiling permai</v>
      </c>
      <c r="D9708" s="42"/>
      <c r="E9708" s="42"/>
      <c r="F9708" s="48" t="str">
        <f>IFERROR(__xludf.DUMMYFUNCTION("""COMPUTED_VALUE"""),"")</f>
        <v/>
      </c>
      <c r="G9708" s="42" t="str">
        <f>IFERROR(__xludf.DUMMYFUNCTION("""COMPUTED_VALUE"""),"Peningkatan Hak")</f>
        <v>Peningkatan Hak</v>
      </c>
      <c r="H9708" s="42">
        <f t="shared" si="1"/>
        <v>3345</v>
      </c>
    </row>
    <row r="9709" ht="22.5" customHeight="1">
      <c r="B9709" s="42" t="str">
        <f>IFERROR(__xludf.DUMMYFUNCTION("""COMPUTED_VALUE"""),"AB082/ABXBUFQO")</f>
        <v>AB082/ABXBUFQO</v>
      </c>
      <c r="C9709" s="42" t="str">
        <f>IFERROR(__xludf.DUMMYFUNCTION("""COMPUTED_VALUE"""),"M.2005 Rajabasa Raya")</f>
        <v>M.2005 Rajabasa Raya</v>
      </c>
      <c r="D9709" s="42"/>
      <c r="E9709" s="42"/>
      <c r="F9709" s="48" t="str">
        <f>IFERROR(__xludf.DUMMYFUNCTION("""COMPUTED_VALUE"""),"")</f>
        <v/>
      </c>
      <c r="G9709" s="42" t="str">
        <f>IFERROR(__xludf.DUMMYFUNCTION("""COMPUTED_VALUE"""),"Balik Nama")</f>
        <v>Balik Nama</v>
      </c>
      <c r="H9709" s="42">
        <f t="shared" si="1"/>
        <v>3345</v>
      </c>
    </row>
    <row r="9710" ht="22.5" customHeight="1">
      <c r="B9710" s="42" t="str">
        <f>IFERROR(__xludf.DUMMYFUNCTION("""COMPUTED_VALUE"""),"ABEUXESR")</f>
        <v>ABEUXESR</v>
      </c>
      <c r="C9710" s="42" t="str">
        <f>IFERROR(__xludf.DUMMYFUNCTION("""COMPUTED_VALUE"""),"nibel m 25653/ beringin raya")</f>
        <v>nibel m 25653/ beringin raya</v>
      </c>
      <c r="D9710" s="42"/>
      <c r="E9710" s="42"/>
      <c r="F9710" s="48" t="str">
        <f>IFERROR(__xludf.DUMMYFUNCTION("""COMPUTED_VALUE"""),"")</f>
        <v/>
      </c>
      <c r="G9710" s="42" t="str">
        <f>IFERROR(__xludf.DUMMYFUNCTION("""COMPUTED_VALUE"""),"Peralihan hak jual beli")</f>
        <v>Peralihan hak jual beli</v>
      </c>
      <c r="H9710" s="42">
        <f t="shared" si="1"/>
        <v>3345</v>
      </c>
    </row>
    <row r="9711" ht="22.5" customHeight="1">
      <c r="B9711" s="42" t="str">
        <f>IFERROR(__xludf.DUMMYFUNCTION("""COMPUTED_VALUE"""),"ABGPUAIG")</f>
        <v>ABGPUAIG</v>
      </c>
      <c r="C9711" s="42" t="str">
        <f>IFERROR(__xludf.DUMMYFUNCTION("""COMPUTED_VALUE"""),"M. 1217 / Pematang wangi")</f>
        <v>M. 1217 / Pematang wangi</v>
      </c>
      <c r="D9711" s="42"/>
      <c r="E9711" s="42"/>
      <c r="F9711" s="48" t="str">
        <f>IFERROR(__xludf.DUMMYFUNCTION("""COMPUTED_VALUE"""),"")</f>
        <v/>
      </c>
      <c r="G9711" s="42" t="str">
        <f>IFERROR(__xludf.DUMMYFUNCTION("""COMPUTED_VALUE"""),"Balik Nama")</f>
        <v>Balik Nama</v>
      </c>
      <c r="H9711" s="42">
        <f t="shared" si="1"/>
        <v>3345</v>
      </c>
    </row>
    <row r="9712" ht="22.5" customHeight="1">
      <c r="B9712" s="42" t="str">
        <f>IFERROR(__xludf.DUMMYFUNCTION("""COMPUTED_VALUE"""),"ABLCLHGE/AB088")</f>
        <v>ABLCLHGE/AB088</v>
      </c>
      <c r="C9712" s="42" t="str">
        <f>IFERROR(__xludf.DUMMYFUNCTION("""COMPUTED_VALUE"""),"M. 16449/Sukabumi")</f>
        <v>M. 16449/Sukabumi</v>
      </c>
      <c r="D9712" s="42"/>
      <c r="E9712" s="42"/>
      <c r="F9712" s="48" t="str">
        <f>IFERROR(__xludf.DUMMYFUNCTION("""COMPUTED_VALUE"""),"")</f>
        <v/>
      </c>
      <c r="G9712" s="42" t="str">
        <f>IFERROR(__xludf.DUMMYFUNCTION("""COMPUTED_VALUE"""),"Balik Nama")</f>
        <v>Balik Nama</v>
      </c>
      <c r="H9712" s="42">
        <f t="shared" si="1"/>
        <v>3345</v>
      </c>
    </row>
    <row r="9713" ht="22.5" customHeight="1">
      <c r="B9713" s="42" t="str">
        <f>IFERROR(__xludf.DUMMYFUNCTION("""COMPUTED_VALUE"""),"AB063/ABDCXQMT")</f>
        <v>AB063/ABDCXQMT</v>
      </c>
      <c r="C9713" s="42" t="str">
        <f>IFERROR(__xludf.DUMMYFUNCTION("""COMPUTED_VALUE"""),"M. 4887 sukarame")</f>
        <v>M. 4887 sukarame</v>
      </c>
      <c r="D9713" s="42"/>
      <c r="E9713" s="42"/>
      <c r="F9713" s="48" t="str">
        <f>IFERROR(__xludf.DUMMYFUNCTION("""COMPUTED_VALUE"""),"")</f>
        <v/>
      </c>
      <c r="G9713" s="42" t="str">
        <f>IFERROR(__xludf.DUMMYFUNCTION("""COMPUTED_VALUE"""),"Roya")</f>
        <v>Roya</v>
      </c>
      <c r="H9713" s="42">
        <f t="shared" si="1"/>
        <v>3345</v>
      </c>
    </row>
    <row r="9714" ht="22.5" customHeight="1">
      <c r="B9714" s="42" t="str">
        <f>IFERROR(__xludf.DUMMYFUNCTION("""COMPUTED_VALUE"""),"AB063/ABQIBGOH")</f>
        <v>AB063/ABQIBGOH</v>
      </c>
      <c r="C9714" s="42" t="str">
        <f>IFERROR(__xludf.DUMMYFUNCTION("""COMPUTED_VALUE"""),"M. 4888 Sukarame")</f>
        <v>M. 4888 Sukarame</v>
      </c>
      <c r="D9714" s="42"/>
      <c r="E9714" s="42"/>
      <c r="F9714" s="48" t="str">
        <f>IFERROR(__xludf.DUMMYFUNCTION("""COMPUTED_VALUE"""),"")</f>
        <v/>
      </c>
      <c r="G9714" s="42" t="str">
        <f>IFERROR(__xludf.DUMMYFUNCTION("""COMPUTED_VALUE"""),"Roya")</f>
        <v>Roya</v>
      </c>
      <c r="H9714" s="42">
        <f t="shared" si="1"/>
        <v>3345</v>
      </c>
    </row>
    <row r="9715" ht="22.5" customHeight="1">
      <c r="B9715" s="42" t="str">
        <f>IFERROR(__xludf.DUMMYFUNCTION("""COMPUTED_VALUE"""),"ABEVGHEI")</f>
        <v>ABEVGHEI</v>
      </c>
      <c r="C9715" s="42" t="str">
        <f>IFERROR(__xludf.DUMMYFUNCTION("""COMPUTED_VALUE"""),"m 2021/ kedaung")</f>
        <v>m 2021/ kedaung</v>
      </c>
      <c r="D9715" s="42"/>
      <c r="E9715" s="42"/>
      <c r="F9715" s="48" t="str">
        <f>IFERROR(__xludf.DUMMYFUNCTION("""COMPUTED_VALUE"""),"")</f>
        <v/>
      </c>
      <c r="G9715" s="42" t="str">
        <f>IFERROR(__xludf.DUMMYFUNCTION("""COMPUTED_VALUE"""),"Peralihan hak jual beli")</f>
        <v>Peralihan hak jual beli</v>
      </c>
      <c r="H9715" s="42">
        <f t="shared" si="1"/>
        <v>3345</v>
      </c>
    </row>
    <row r="9716" ht="22.5" customHeight="1">
      <c r="B9716" s="42" t="str">
        <f>IFERROR(__xludf.DUMMYFUNCTION("""COMPUTED_VALUE"""),"L/8/011225/1")</f>
        <v>L/8/011225/1</v>
      </c>
      <c r="C9716" s="42" t="str">
        <f>IFERROR(__xludf.DUMMYFUNCTION("""COMPUTED_VALUE"""),"B NIB. 22914/LANGKAPURA")</f>
        <v>B NIB. 22914/LANGKAPURA</v>
      </c>
      <c r="D9716" s="42"/>
      <c r="E9716" s="42"/>
      <c r="F9716" s="48" t="str">
        <f>IFERROR(__xludf.DUMMYFUNCTION("""COMPUTED_VALUE"""),"")</f>
        <v/>
      </c>
      <c r="G9716" s="42" t="str">
        <f>IFERROR(__xludf.DUMMYFUNCTION("""COMPUTED_VALUE"""),"PENINGKATAN HAK")</f>
        <v>PENINGKATAN HAK</v>
      </c>
      <c r="H9716" s="42">
        <f t="shared" si="1"/>
        <v>3345</v>
      </c>
    </row>
    <row r="9717" ht="22.5" customHeight="1">
      <c r="B9717" s="42" t="str">
        <f>IFERROR(__xludf.DUMMYFUNCTION("""COMPUTED_VALUE"""),"AB008/ABBXSCCO")</f>
        <v>AB008/ABBXSCCO</v>
      </c>
      <c r="C9717" s="42" t="str">
        <f>IFERROR(__xludf.DUMMYFUNCTION("""COMPUTED_VALUE"""),"Shm no. 1037/Jg.III ")</f>
        <v>Shm no. 1037/Jg.III </v>
      </c>
      <c r="D9717" s="42"/>
      <c r="E9717" s="42"/>
      <c r="F9717" s="48" t="str">
        <f>IFERROR(__xludf.DUMMYFUNCTION("""COMPUTED_VALUE"""),"")</f>
        <v/>
      </c>
      <c r="G9717" s="42" t="str">
        <f>IFERROR(__xludf.DUMMYFUNCTION("""COMPUTED_VALUE"""),"Roya hapus hak tanggungan ")</f>
        <v>Roya hapus hak tanggungan </v>
      </c>
      <c r="H9717" s="42">
        <f t="shared" si="1"/>
        <v>3345</v>
      </c>
    </row>
    <row r="9718" ht="22.5" customHeight="1">
      <c r="B9718" s="42" t="str">
        <f>IFERROR(__xludf.DUMMYFUNCTION("""COMPUTED_VALUE"""),"AB008/ABTEMMSC")</f>
        <v>AB008/ABTEMMSC</v>
      </c>
      <c r="C9718" s="42" t="str">
        <f>IFERROR(__xludf.DUMMYFUNCTION("""COMPUTED_VALUE"""),"M.453/JAGABAYA III")</f>
        <v>M.453/JAGABAYA III</v>
      </c>
      <c r="D9718" s="42"/>
      <c r="E9718" s="42"/>
      <c r="F9718" s="48" t="str">
        <f>IFERROR(__xludf.DUMMYFUNCTION("""COMPUTED_VALUE"""),"")</f>
        <v/>
      </c>
      <c r="G9718" s="42" t="str">
        <f>IFERROR(__xludf.DUMMYFUNCTION("""COMPUTED_VALUE"""),"Hibah ")</f>
        <v>Hibah </v>
      </c>
      <c r="H9718" s="42">
        <f t="shared" si="1"/>
        <v>3345</v>
      </c>
    </row>
    <row r="9719" ht="22.5" customHeight="1">
      <c r="B9719" s="42" t="str">
        <f>IFERROR(__xludf.DUMMYFUNCTION("""COMPUTED_VALUE"""),"K/7/011225/1")</f>
        <v>K/7/011225/1</v>
      </c>
      <c r="C9719" s="42" t="str">
        <f>IFERROR(__xludf.DUMMYFUNCTION("""COMPUTED_VALUE"""),"M. 14618/RAJABASA")</f>
        <v>M. 14618/RAJABASA</v>
      </c>
      <c r="D9719" s="42"/>
      <c r="E9719" s="42"/>
      <c r="F9719" s="48" t="str">
        <f>IFERROR(__xludf.DUMMYFUNCTION("""COMPUTED_VALUE"""),"")</f>
        <v/>
      </c>
      <c r="G9719" s="42" t="str">
        <f>IFERROR(__xludf.DUMMYFUNCTION("""COMPUTED_VALUE"""),"SKPT LELANG")</f>
        <v>SKPT LELANG</v>
      </c>
      <c r="H9719" s="42">
        <f t="shared" si="1"/>
        <v>3345</v>
      </c>
    </row>
    <row r="9720" ht="22.5" customHeight="1">
      <c r="B9720" s="42" t="str">
        <f>IFERROR(__xludf.DUMMYFUNCTION("""COMPUTED_VALUE"""),"L/2/021225/1")</f>
        <v>L/2/021225/1</v>
      </c>
      <c r="C9720" s="42" t="str">
        <f>IFERROR(__xludf.DUMMYFUNCTION("""COMPUTED_VALUE"""),"B. 3294/SUKABUMI")</f>
        <v>B. 3294/SUKABUMI</v>
      </c>
      <c r="D9720" s="42"/>
      <c r="E9720" s="42"/>
      <c r="F9720" s="48" t="str">
        <f>IFERROR(__xludf.DUMMYFUNCTION("""COMPUTED_VALUE"""),"")</f>
        <v/>
      </c>
      <c r="G9720" s="42" t="str">
        <f>IFERROR(__xludf.DUMMYFUNCTION("""COMPUTED_VALUE"""),"PENINGKATAN HAK")</f>
        <v>PENINGKATAN HAK</v>
      </c>
      <c r="H9720" s="42">
        <f t="shared" si="1"/>
        <v>3345</v>
      </c>
    </row>
    <row r="9721" ht="22.5" customHeight="1">
      <c r="B9721" s="42" t="str">
        <f>IFERROR(__xludf.DUMMYFUNCTION("""COMPUTED_VALUE"""),"AB005/ABCSPVVI")</f>
        <v>AB005/ABCSPVVI</v>
      </c>
      <c r="C9721" s="42" t="str">
        <f>IFERROR(__xludf.DUMMYFUNCTION("""COMPUTED_VALUE"""),"SHM 721/sumur batu")</f>
        <v>SHM 721/sumur batu</v>
      </c>
      <c r="D9721" s="42"/>
      <c r="E9721" s="42"/>
      <c r="F9721" s="48" t="str">
        <f>IFERROR(__xludf.DUMMYFUNCTION("""COMPUTED_VALUE"""),"")</f>
        <v/>
      </c>
      <c r="G9721" s="42" t="str">
        <f>IFERROR(__xludf.DUMMYFUNCTION("""COMPUTED_VALUE"""),"bn jual beli")</f>
        <v>bn jual beli</v>
      </c>
      <c r="H9721" s="42">
        <f t="shared" si="1"/>
        <v>3345</v>
      </c>
    </row>
    <row r="9722" ht="22.5" customHeight="1">
      <c r="B9722" s="42" t="str">
        <f>IFERROR(__xludf.DUMMYFUNCTION("""COMPUTED_VALUE"""),"ABTFPIQH")</f>
        <v>ABTFPIQH</v>
      </c>
      <c r="C9722" s="42" t="str">
        <f>IFERROR(__xludf.DUMMYFUNCTION("""COMPUTED_VALUE"""),"shgb nibel 16382 sumur putri")</f>
        <v>shgb nibel 16382 sumur putri</v>
      </c>
      <c r="D9722" s="42"/>
      <c r="E9722" s="42"/>
      <c r="F9722" s="48" t="str">
        <f>IFERROR(__xludf.DUMMYFUNCTION("""COMPUTED_VALUE"""),"")</f>
        <v/>
      </c>
      <c r="G9722" s="42" t="str">
        <f>IFERROR(__xludf.DUMMYFUNCTION("""COMPUTED_VALUE"""),"peningkatan hak")</f>
        <v>peningkatan hak</v>
      </c>
      <c r="H9722" s="42">
        <f t="shared" si="1"/>
        <v>3345</v>
      </c>
    </row>
    <row r="9723" ht="22.5" customHeight="1">
      <c r="B9723" s="42" t="str">
        <f>IFERROR(__xludf.DUMMYFUNCTION("""COMPUTED_VALUE"""),"L/3/021225/1")</f>
        <v>L/3/021225/1</v>
      </c>
      <c r="C9723" s="42" t="str">
        <f>IFERROR(__xludf.DUMMYFUNCTION("""COMPUTED_VALUE"""),"M. 1589/SUMUR PUTRI")</f>
        <v>M. 1589/SUMUR PUTRI</v>
      </c>
      <c r="D9723" s="42"/>
      <c r="E9723" s="42"/>
      <c r="F9723" s="48" t="str">
        <f>IFERROR(__xludf.DUMMYFUNCTION("""COMPUTED_VALUE"""),"")</f>
        <v/>
      </c>
      <c r="G9723" s="42" t="str">
        <f>IFERROR(__xludf.DUMMYFUNCTION("""COMPUTED_VALUE"""),"BN WARIS")</f>
        <v>BN WARIS</v>
      </c>
      <c r="H9723" s="42">
        <f t="shared" si="1"/>
        <v>3345</v>
      </c>
    </row>
    <row r="9724" ht="22.5" customHeight="1">
      <c r="B9724" s="42" t="str">
        <f>IFERROR(__xludf.DUMMYFUNCTION("""COMPUTED_VALUE"""),"ABTBLPNM/AB09")</f>
        <v>ABTBLPNM/AB09</v>
      </c>
      <c r="C9724" s="42" t="str">
        <f>IFERROR(__xludf.DUMMYFUNCTION("""COMPUTED_VALUE"""),"M 19369/sukarame")</f>
        <v>M 19369/sukarame</v>
      </c>
      <c r="D9724" s="42"/>
      <c r="E9724" s="42"/>
      <c r="F9724" s="48" t="str">
        <f>IFERROR(__xludf.DUMMYFUNCTION("""COMPUTED_VALUE"""),"")</f>
        <v/>
      </c>
      <c r="G9724" s="42" t="str">
        <f>IFERROR(__xludf.DUMMYFUNCTION("""COMPUTED_VALUE"""),"Balik Nama Jual Beli ")</f>
        <v>Balik Nama Jual Beli </v>
      </c>
      <c r="H9724" s="42">
        <f t="shared" si="1"/>
        <v>3345</v>
      </c>
    </row>
    <row r="9725" ht="22.5" customHeight="1">
      <c r="B9725" s="42" t="str">
        <f>IFERROR(__xludf.DUMMYFUNCTION("""COMPUTED_VALUE"""),"K/1/021225/1")</f>
        <v>K/1/021225/1</v>
      </c>
      <c r="C9725" s="42" t="str">
        <f>IFERROR(__xludf.DUMMYFUNCTION("""COMPUTED_VALUE"""),"B. 630/NUSANTARA PERMAI")</f>
        <v>B. 630/NUSANTARA PERMAI</v>
      </c>
      <c r="D9725" s="42"/>
      <c r="E9725" s="42"/>
      <c r="F9725" s="48" t="str">
        <f>IFERROR(__xludf.DUMMYFUNCTION("""COMPUTED_VALUE"""),"")</f>
        <v/>
      </c>
      <c r="G9725" s="42" t="str">
        <f>IFERROR(__xludf.DUMMYFUNCTION("""COMPUTED_VALUE"""),"PENINGKATAN HAK")</f>
        <v>PENINGKATAN HAK</v>
      </c>
      <c r="H9725" s="42">
        <f t="shared" si="1"/>
        <v>3345</v>
      </c>
    </row>
    <row r="9726" ht="22.5" customHeight="1">
      <c r="B9726" s="42" t="str">
        <f>IFERROR(__xludf.DUMMYFUNCTION("""COMPUTED_VALUE"""),"L/5/021225/1")</f>
        <v>L/5/021225/1</v>
      </c>
      <c r="C9726" s="42" t="str">
        <f>IFERROR(__xludf.DUMMYFUNCTION("""COMPUTED_VALUE"""),"M. 12101/RAJABASA")</f>
        <v>M. 12101/RAJABASA</v>
      </c>
      <c r="D9726" s="42"/>
      <c r="E9726" s="42"/>
      <c r="F9726" s="48" t="str">
        <f>IFERROR(__xludf.DUMMYFUNCTION("""COMPUTED_VALUE"""),"")</f>
        <v/>
      </c>
      <c r="G9726" s="42" t="str">
        <f>IFERROR(__xludf.DUMMYFUNCTION("""COMPUTED_VALUE"""),"ROYA")</f>
        <v>ROYA</v>
      </c>
      <c r="H9726" s="42">
        <f t="shared" si="1"/>
        <v>3345</v>
      </c>
    </row>
    <row r="9727" ht="22.5" customHeight="1">
      <c r="B9727" s="42" t="str">
        <f>IFERROR(__xludf.DUMMYFUNCTION("""COMPUTED_VALUE"""),"ABNSWKGT/AB036")</f>
        <v>ABNSWKGT/AB036</v>
      </c>
      <c r="C9727" s="42" t="str">
        <f>IFERROR(__xludf.DUMMYFUNCTION("""COMPUTED_VALUE"""),"SHM 573/Sepang Jaya")</f>
        <v>SHM 573/Sepang Jaya</v>
      </c>
      <c r="D9727" s="42"/>
      <c r="E9727" s="42"/>
      <c r="F9727" s="48" t="str">
        <f>IFERROR(__xludf.DUMMYFUNCTION("""COMPUTED_VALUE"""),"")</f>
        <v/>
      </c>
      <c r="G9727" s="42" t="str">
        <f>IFERROR(__xludf.DUMMYFUNCTION("""COMPUTED_VALUE"""),"BN jual beli")</f>
        <v>BN jual beli</v>
      </c>
      <c r="H9727" s="42">
        <f t="shared" si="1"/>
        <v>3345</v>
      </c>
    </row>
    <row r="9728" ht="22.5" customHeight="1">
      <c r="B9728" s="42" t="str">
        <f>IFERROR(__xludf.DUMMYFUNCTION("""COMPUTED_VALUE"""),"ABEFQOPS/AB040")</f>
        <v>ABEFQOPS/AB040</v>
      </c>
      <c r="C9728" s="42" t="str">
        <f>IFERROR(__xludf.DUMMYFUNCTION("""COMPUTED_VALUE"""),"NIB. 08.01.000025369.0/WAY KANDIS ")</f>
        <v>NIB. 08.01.000025369.0/WAY KANDIS </v>
      </c>
      <c r="D9728" s="42"/>
      <c r="E9728" s="42"/>
      <c r="F9728" s="48" t="str">
        <f>IFERROR(__xludf.DUMMYFUNCTION("""COMPUTED_VALUE"""),"")</f>
        <v/>
      </c>
      <c r="G9728" s="42" t="str">
        <f>IFERROR(__xludf.DUMMYFUNCTION("""COMPUTED_VALUE"""),"BN Jual Beli ")</f>
        <v>BN Jual Beli </v>
      </c>
      <c r="H9728" s="42">
        <f t="shared" si="1"/>
        <v>3345</v>
      </c>
    </row>
    <row r="9729" ht="22.5" customHeight="1">
      <c r="B9729" s="42" t="str">
        <f>IFERROR(__xludf.DUMMYFUNCTION("""COMPUTED_VALUE"""),"ABEPEWZZ/AB040")</f>
        <v>ABEPEWZZ/AB040</v>
      </c>
      <c r="C9729" s="42" t="str">
        <f>IFERROR(__xludf.DUMMYFUNCTION("""COMPUTED_VALUE"""),"Nib. 08.01.000021290.0/bakung")</f>
        <v>Nib. 08.01.000021290.0/bakung</v>
      </c>
      <c r="D9729" s="42"/>
      <c r="E9729" s="42"/>
      <c r="F9729" s="48" t="str">
        <f>IFERROR(__xludf.DUMMYFUNCTION("""COMPUTED_VALUE"""),"")</f>
        <v/>
      </c>
      <c r="G9729" s="42" t="str">
        <f>IFERROR(__xludf.DUMMYFUNCTION("""COMPUTED_VALUE"""),"BN jual beli")</f>
        <v>BN jual beli</v>
      </c>
      <c r="H9729" s="42">
        <f t="shared" si="1"/>
        <v>3345</v>
      </c>
    </row>
    <row r="9730" ht="22.5" customHeight="1">
      <c r="B9730" s="42" t="str">
        <f>IFERROR(__xludf.DUMMYFUNCTION("""COMPUTED_VALUE"""),"ABDXUPZK/AB040")</f>
        <v>ABDXUPZK/AB040</v>
      </c>
      <c r="C9730" s="42" t="str">
        <f>IFERROR(__xludf.DUMMYFUNCTION("""COMPUTED_VALUE"""),"NIB. 08.01.000012556.0/campang jaya ")</f>
        <v>NIB. 08.01.000012556.0/campang jaya </v>
      </c>
      <c r="D9730" s="42"/>
      <c r="E9730" s="42"/>
      <c r="F9730" s="48" t="str">
        <f>IFERROR(__xludf.DUMMYFUNCTION("""COMPUTED_VALUE"""),"")</f>
        <v/>
      </c>
      <c r="G9730" s="42" t="str">
        <f>IFERROR(__xludf.DUMMYFUNCTION("""COMPUTED_VALUE"""),"BN jual beli ")</f>
        <v>BN jual beli </v>
      </c>
      <c r="H9730" s="42">
        <f t="shared" si="1"/>
        <v>3345</v>
      </c>
    </row>
    <row r="9731" ht="22.5" customHeight="1">
      <c r="B9731" s="42" t="str">
        <f>IFERROR(__xludf.DUMMYFUNCTION("""COMPUTED_VALUE"""),"ABSQTFXY/AB040")</f>
        <v>ABSQTFXY/AB040</v>
      </c>
      <c r="C9731" s="42" t="str">
        <f>IFERROR(__xludf.DUMMYFUNCTION("""COMPUTED_VALUE"""),"M.00964/Korpri Jaya")</f>
        <v>M.00964/Korpri Jaya</v>
      </c>
      <c r="D9731" s="42"/>
      <c r="E9731" s="42"/>
      <c r="F9731" s="48" t="str">
        <f>IFERROR(__xludf.DUMMYFUNCTION("""COMPUTED_VALUE"""),"")</f>
        <v/>
      </c>
      <c r="G9731" s="42" t="str">
        <f>IFERROR(__xludf.DUMMYFUNCTION("""COMPUTED_VALUE"""),"BN jual beli ")</f>
        <v>BN jual beli </v>
      </c>
      <c r="H9731" s="42">
        <f t="shared" si="1"/>
        <v>3345</v>
      </c>
    </row>
    <row r="9732" ht="22.5" customHeight="1">
      <c r="B9732" s="42" t="str">
        <f>IFERROR(__xludf.DUMMYFUNCTION("""COMPUTED_VALUE"""),"ABFQPXFI/AB030")</f>
        <v>ABFQPXFI/AB030</v>
      </c>
      <c r="C9732" s="42" t="str">
        <f>IFERROR(__xludf.DUMMYFUNCTION("""COMPUTED_VALUE"""),"SHM.12402/jagabaya II ")</f>
        <v>SHM.12402/jagabaya II </v>
      </c>
      <c r="D9732" s="42"/>
      <c r="E9732" s="42"/>
      <c r="F9732" s="48" t="str">
        <f>IFERROR(__xludf.DUMMYFUNCTION("""COMPUTED_VALUE"""),"")</f>
        <v/>
      </c>
      <c r="G9732" s="42" t="str">
        <f>IFERROR(__xludf.DUMMYFUNCTION("""COMPUTED_VALUE"""),"Balik Nama ")</f>
        <v>Balik Nama </v>
      </c>
      <c r="H9732" s="42">
        <f t="shared" si="1"/>
        <v>3345</v>
      </c>
    </row>
    <row r="9733" ht="22.5" customHeight="1">
      <c r="B9733" s="42" t="str">
        <f>IFERROR(__xludf.DUMMYFUNCTION("""COMPUTED_VALUE"""),"L/6/021225/1")</f>
        <v>L/6/021225/1</v>
      </c>
      <c r="C9733" s="42" t="str">
        <f>IFERROR(__xludf.DUMMYFUNCTION("""COMPUTED_VALUE"""),"KEL. KOTA KARANG LUAS 105 M2")</f>
        <v>KEL. KOTA KARANG LUAS 105 M2</v>
      </c>
      <c r="D9733" s="42"/>
      <c r="E9733" s="42"/>
      <c r="F9733" s="48" t="str">
        <f>IFERROR(__xludf.DUMMYFUNCTION("""COMPUTED_VALUE"""),"")</f>
        <v/>
      </c>
      <c r="G9733" s="42" t="str">
        <f>IFERROR(__xludf.DUMMYFUNCTION("""COMPUTED_VALUE"""),"PENGUKURAN PERTAMA KALI")</f>
        <v>PENGUKURAN PERTAMA KALI</v>
      </c>
      <c r="H9733" s="42">
        <f t="shared" si="1"/>
        <v>3345</v>
      </c>
    </row>
    <row r="9734" ht="22.5" customHeight="1">
      <c r="B9734" s="42" t="str">
        <f>IFERROR(__xludf.DUMMYFUNCTION("""COMPUTED_VALUE"""),"K/4/021225/1")</f>
        <v>K/4/021225/1</v>
      </c>
      <c r="C9734" s="42" t="str">
        <f>IFERROR(__xludf.DUMMYFUNCTION("""COMPUTED_VALUE"""),"M. 3777/TANJUNG SENANG")</f>
        <v>M. 3777/TANJUNG SENANG</v>
      </c>
      <c r="D9734" s="42"/>
      <c r="E9734" s="42"/>
      <c r="F9734" s="48" t="str">
        <f>IFERROR(__xludf.DUMMYFUNCTION("""COMPUTED_VALUE"""),"")</f>
        <v/>
      </c>
      <c r="G9734" s="42" t="str">
        <f>IFERROR(__xludf.DUMMYFUNCTION("""COMPUTED_VALUE"""),"BN WARIS ")</f>
        <v>BN WARIS </v>
      </c>
      <c r="H9734" s="42">
        <f t="shared" si="1"/>
        <v>3345</v>
      </c>
    </row>
    <row r="9735" ht="22.5" customHeight="1">
      <c r="B9735" s="42" t="str">
        <f>IFERROR(__xludf.DUMMYFUNCTION("""COMPUTED_VALUE"""),"AB041/ABHLJVVT")</f>
        <v>AB041/ABHLJVVT</v>
      </c>
      <c r="C9735" s="42" t="str">
        <f>IFERROR(__xludf.DUMMYFUNCTION("""COMPUTED_VALUE"""),"Nibel m 16793 sukabumi")</f>
        <v>Nibel m 16793 sukabumi</v>
      </c>
      <c r="D9735" s="42"/>
      <c r="E9735" s="42"/>
      <c r="F9735" s="48" t="str">
        <f>IFERROR(__xludf.DUMMYFUNCTION("""COMPUTED_VALUE"""),"")</f>
        <v/>
      </c>
      <c r="G9735" s="42" t="str">
        <f>IFERROR(__xludf.DUMMYFUNCTION("""COMPUTED_VALUE"""),"Hibah")</f>
        <v>Hibah</v>
      </c>
      <c r="H9735" s="42">
        <f t="shared" si="1"/>
        <v>3345</v>
      </c>
    </row>
    <row r="9736" ht="22.5" customHeight="1">
      <c r="B9736" s="42" t="str">
        <f>IFERROR(__xludf.DUMMYFUNCTION("""COMPUTED_VALUE"""),"AB042")</f>
        <v>AB042</v>
      </c>
      <c r="C9736" s="42" t="str">
        <f>IFERROR(__xludf.DUMMYFUNCTION("""COMPUTED_VALUE"""),"Shm 16483")</f>
        <v>Shm 16483</v>
      </c>
      <c r="D9736" s="42"/>
      <c r="E9736" s="42"/>
      <c r="F9736" s="48" t="str">
        <f>IFERROR(__xludf.DUMMYFUNCTION("""COMPUTED_VALUE"""),"")</f>
        <v/>
      </c>
      <c r="G9736" s="42" t="str">
        <f>IFERROR(__xludf.DUMMYFUNCTION("""COMPUTED_VALUE"""),"Balik Nama")</f>
        <v>Balik Nama</v>
      </c>
      <c r="H9736" s="42">
        <f t="shared" si="1"/>
        <v>3345</v>
      </c>
    </row>
    <row r="9737" ht="22.5" customHeight="1">
      <c r="B9737" s="42" t="str">
        <f>IFERROR(__xludf.DUMMYFUNCTION("""COMPUTED_VALUE"""),"L/8/021225/1")</f>
        <v>L/8/021225/1</v>
      </c>
      <c r="C9737" s="42" t="str">
        <f>IFERROR(__xludf.DUMMYFUNCTION("""COMPUTED_VALUE"""),"M. 1255/BERINGIN RAYA")</f>
        <v>M. 1255/BERINGIN RAYA</v>
      </c>
      <c r="D9737" s="42"/>
      <c r="E9737" s="42"/>
      <c r="F9737" s="48" t="str">
        <f>IFERROR(__xludf.DUMMYFUNCTION("""COMPUTED_VALUE"""),"")</f>
        <v/>
      </c>
      <c r="G9737" s="42" t="str">
        <f>IFERROR(__xludf.DUMMYFUNCTION("""COMPUTED_VALUE"""),"BN WARIS")</f>
        <v>BN WARIS</v>
      </c>
      <c r="H9737" s="42">
        <f t="shared" si="1"/>
        <v>3345</v>
      </c>
    </row>
    <row r="9738" ht="22.5" customHeight="1">
      <c r="B9738" s="42" t="str">
        <f>IFERROR(__xludf.DUMMYFUNCTION("""COMPUTED_VALUE"""),"K/7/021225/1")</f>
        <v>K/7/021225/1</v>
      </c>
      <c r="C9738" s="42" t="str">
        <f>IFERROR(__xludf.DUMMYFUNCTION("""COMPUTED_VALUE"""),"M. 2056/KOTA KARANG")</f>
        <v>M. 2056/KOTA KARANG</v>
      </c>
      <c r="D9738" s="42"/>
      <c r="E9738" s="42"/>
      <c r="F9738" s="48" t="str">
        <f>IFERROR(__xludf.DUMMYFUNCTION("""COMPUTED_VALUE"""),"")</f>
        <v/>
      </c>
      <c r="G9738" s="42" t="str">
        <f>IFERROR(__xludf.DUMMYFUNCTION("""COMPUTED_VALUE"""),"BN WARIS")</f>
        <v>BN WARIS</v>
      </c>
      <c r="H9738" s="42">
        <f t="shared" si="1"/>
        <v>3345</v>
      </c>
    </row>
    <row r="9739" ht="22.5" customHeight="1">
      <c r="B9739" s="42" t="str">
        <f>IFERROR(__xludf.DUMMYFUNCTION("""COMPUTED_VALUE"""),"AB050/ABTVJUET")</f>
        <v>AB050/ABTVJUET</v>
      </c>
      <c r="C9739" s="42" t="str">
        <f>IFERROR(__xludf.DUMMYFUNCTION("""COMPUTED_VALUE"""),"M.02077/Sumber Rejo")</f>
        <v>M.02077/Sumber Rejo</v>
      </c>
      <c r="D9739" s="42"/>
      <c r="E9739" s="42"/>
      <c r="F9739" s="48" t="str">
        <f>IFERROR(__xludf.DUMMYFUNCTION("""COMPUTED_VALUE"""),"")</f>
        <v/>
      </c>
      <c r="G9739" s="42" t="str">
        <f>IFERROR(__xludf.DUMMYFUNCTION("""COMPUTED_VALUE"""),"Hapus BPHTB")</f>
        <v>Hapus BPHTB</v>
      </c>
      <c r="H9739" s="42">
        <f t="shared" si="1"/>
        <v>3345</v>
      </c>
    </row>
    <row r="9740" ht="22.5" customHeight="1">
      <c r="B9740" s="42" t="str">
        <f>IFERROR(__xludf.DUMMYFUNCTION("""COMPUTED_VALUE"""),"K/9/021225/1")</f>
        <v>K/9/021225/1</v>
      </c>
      <c r="C9740" s="42" t="str">
        <f>IFERROR(__xludf.DUMMYFUNCTION("""COMPUTED_VALUE"""),"M. 11287/KEDAMAIAN")</f>
        <v>M. 11287/KEDAMAIAN</v>
      </c>
      <c r="D9740" s="42"/>
      <c r="E9740" s="42"/>
      <c r="F9740" s="48" t="str">
        <f>IFERROR(__xludf.DUMMYFUNCTION("""COMPUTED_VALUE"""),"")</f>
        <v/>
      </c>
      <c r="G9740" s="42" t="str">
        <f>IFERROR(__xludf.DUMMYFUNCTION("""COMPUTED_VALUE"""),"PTPGT")</f>
        <v>PTPGT</v>
      </c>
      <c r="H9740" s="42">
        <f t="shared" si="1"/>
        <v>3345</v>
      </c>
    </row>
    <row r="9741" ht="22.5" customHeight="1">
      <c r="B9741" s="42" t="str">
        <f>IFERROR(__xludf.DUMMYFUNCTION("""COMPUTED_VALUE"""),"K/10/021225/1")</f>
        <v>K/10/021225/1</v>
      </c>
      <c r="C9741" s="42" t="str">
        <f>IFERROR(__xludf.DUMMYFUNCTION("""COMPUTED_VALUE"""),"B. 286/BAKUNG")</f>
        <v>B. 286/BAKUNG</v>
      </c>
      <c r="D9741" s="42"/>
      <c r="E9741" s="42"/>
      <c r="F9741" s="48" t="str">
        <f>IFERROR(__xludf.DUMMYFUNCTION("""COMPUTED_VALUE"""),"")</f>
        <v/>
      </c>
      <c r="G9741" s="42" t="str">
        <f>IFERROR(__xludf.DUMMYFUNCTION("""COMPUTED_VALUE"""),"SKPT INFORMASI")</f>
        <v>SKPT INFORMASI</v>
      </c>
      <c r="H9741" s="42">
        <f t="shared" si="1"/>
        <v>3345</v>
      </c>
    </row>
    <row r="9742" ht="22.5" customHeight="1">
      <c r="B9742" s="42" t="str">
        <f>IFERROR(__xludf.DUMMYFUNCTION("""COMPUTED_VALUE"""),"K/13/021225/1")</f>
        <v>K/13/021225/1</v>
      </c>
      <c r="C9742" s="42" t="str">
        <f>IFERROR(__xludf.DUMMYFUNCTION("""COMPUTED_VALUE"""),"M. 2675/KOTA BARU")</f>
        <v>M. 2675/KOTA BARU</v>
      </c>
      <c r="D9742" s="42"/>
      <c r="E9742" s="42"/>
      <c r="F9742" s="48" t="str">
        <f>IFERROR(__xludf.DUMMYFUNCTION("""COMPUTED_VALUE"""),"")</f>
        <v/>
      </c>
      <c r="G9742" s="42" t="str">
        <f>IFERROR(__xludf.DUMMYFUNCTION("""COMPUTED_VALUE"""),"SKPT LELANG")</f>
        <v>SKPT LELANG</v>
      </c>
      <c r="H9742" s="42">
        <f t="shared" si="1"/>
        <v>3345</v>
      </c>
    </row>
    <row r="9743" ht="22.5" customHeight="1">
      <c r="B9743" s="42" t="str">
        <f>IFERROR(__xludf.DUMMYFUNCTION("""COMPUTED_VALUE"""),"L/16/021225/1")</f>
        <v>L/16/021225/1</v>
      </c>
      <c r="C9743" s="42" t="str">
        <f>IFERROR(__xludf.DUMMYFUNCTION("""COMPUTED_VALUE"""),"M. 10604/GEDUNG MENENG")</f>
        <v>M. 10604/GEDUNG MENENG</v>
      </c>
      <c r="D9743" s="42"/>
      <c r="E9743" s="42"/>
      <c r="F9743" s="48" t="str">
        <f>IFERROR(__xludf.DUMMYFUNCTION("""COMPUTED_VALUE"""),"")</f>
        <v/>
      </c>
      <c r="G9743" s="42" t="str">
        <f>IFERROR(__xludf.DUMMYFUNCTION("""COMPUTED_VALUE"""),"ROYA")</f>
        <v>ROYA</v>
      </c>
      <c r="H9743" s="42">
        <f t="shared" si="1"/>
        <v>3345</v>
      </c>
    </row>
    <row r="9744" ht="22.5" customHeight="1">
      <c r="B9744" s="42" t="str">
        <f>IFERROR(__xludf.DUMMYFUNCTION("""COMPUTED_VALUE"""),"L/17/021225/1")</f>
        <v>L/17/021225/1</v>
      </c>
      <c r="C9744" s="42" t="str">
        <f>IFERROR(__xludf.DUMMYFUNCTION("""COMPUTED_VALUE"""),"M. 1707/KOTA KARANG")</f>
        <v>M. 1707/KOTA KARANG</v>
      </c>
      <c r="D9744" s="42"/>
      <c r="E9744" s="42"/>
      <c r="F9744" s="48" t="str">
        <f>IFERROR(__xludf.DUMMYFUNCTION("""COMPUTED_VALUE"""),"")</f>
        <v/>
      </c>
      <c r="G9744" s="42" t="str">
        <f>IFERROR(__xludf.DUMMYFUNCTION("""COMPUTED_VALUE"""),"ROYA")</f>
        <v>ROYA</v>
      </c>
      <c r="H9744" s="42">
        <f t="shared" si="1"/>
        <v>3345</v>
      </c>
    </row>
    <row r="9745" ht="22.5" customHeight="1">
      <c r="B9745" s="42" t="str">
        <f>IFERROR(__xludf.DUMMYFUNCTION("""COMPUTED_VALUE"""),"L/18/021225/1")</f>
        <v>L/18/021225/1</v>
      </c>
      <c r="C9745" s="42" t="str">
        <f>IFERROR(__xludf.DUMMYFUNCTION("""COMPUTED_VALUE"""),"M. 4579/TANJUNG SENENG")</f>
        <v>M. 4579/TANJUNG SENENG</v>
      </c>
      <c r="D9745" s="42"/>
      <c r="E9745" s="42"/>
      <c r="F9745" s="48" t="str">
        <f>IFERROR(__xludf.DUMMYFUNCTION("""COMPUTED_VALUE"""),"")</f>
        <v/>
      </c>
      <c r="G9745" s="42" t="str">
        <f>IFERROR(__xludf.DUMMYFUNCTION("""COMPUTED_VALUE"""),"ROYA LELANG")</f>
        <v>ROYA LELANG</v>
      </c>
      <c r="H9745" s="42">
        <f t="shared" si="1"/>
        <v>3345</v>
      </c>
    </row>
    <row r="9746" ht="22.5" customHeight="1">
      <c r="B9746" s="42" t="str">
        <f>IFERROR(__xludf.DUMMYFUNCTION("""COMPUTED_VALUE"""),"K/14/021225/2")</f>
        <v>K/14/021225/2</v>
      </c>
      <c r="C9746" s="42" t="str">
        <f>IFERROR(__xludf.DUMMYFUNCTION("""COMPUTED_VALUE"""),"M. 974/JAGABAYA III")</f>
        <v>M. 974/JAGABAYA III</v>
      </c>
      <c r="D9746" s="42"/>
      <c r="E9746" s="42"/>
      <c r="F9746" s="48" t="str">
        <f>IFERROR(__xludf.DUMMYFUNCTION("""COMPUTED_VALUE"""),"")</f>
        <v/>
      </c>
      <c r="G9746" s="42" t="str">
        <f>IFERROR(__xludf.DUMMYFUNCTION("""COMPUTED_VALUE"""),"skpt lelang")</f>
        <v>skpt lelang</v>
      </c>
      <c r="H9746" s="42">
        <f t="shared" si="1"/>
        <v>3345</v>
      </c>
    </row>
    <row r="9747" ht="22.5" customHeight="1">
      <c r="B9747" s="42" t="str">
        <f>IFERROR(__xludf.DUMMYFUNCTION("""COMPUTED_VALUE"""),"ABYLICXO/AB062")</f>
        <v>ABYLICXO/AB062</v>
      </c>
      <c r="C9747" s="42" t="str">
        <f>IFERROR(__xludf.DUMMYFUNCTION("""COMPUTED_VALUE"""),"M. NIBEL 24837/Gunung Terang")</f>
        <v>M. NIBEL 24837/Gunung Terang</v>
      </c>
      <c r="D9747" s="42"/>
      <c r="E9747" s="42"/>
      <c r="F9747" s="48" t="str">
        <f>IFERROR(__xludf.DUMMYFUNCTION("""COMPUTED_VALUE"""),"")</f>
        <v/>
      </c>
      <c r="G9747" s="42" t="str">
        <f>IFERROR(__xludf.DUMMYFUNCTION("""COMPUTED_VALUE"""),"BN Jual Beli ")</f>
        <v>BN Jual Beli </v>
      </c>
      <c r="H9747" s="42">
        <f t="shared" si="1"/>
        <v>3345</v>
      </c>
    </row>
    <row r="9748" ht="22.5" customHeight="1">
      <c r="B9748" s="42" t="str">
        <f>IFERROR(__xludf.DUMMYFUNCTION("""COMPUTED_VALUE"""),"ABUXMQGS/AB062")</f>
        <v>ABUXMQGS/AB062</v>
      </c>
      <c r="C9748" s="42" t="str">
        <f>IFERROR(__xludf.DUMMYFUNCTION("""COMPUTED_VALUE"""),"M. 226/Rajabasa Jaya")</f>
        <v>M. 226/Rajabasa Jaya</v>
      </c>
      <c r="D9748" s="42"/>
      <c r="E9748" s="42"/>
      <c r="F9748" s="48" t="str">
        <f>IFERROR(__xludf.DUMMYFUNCTION("""COMPUTED_VALUE"""),"")</f>
        <v/>
      </c>
      <c r="G9748" s="42" t="str">
        <f>IFERROR(__xludf.DUMMYFUNCTION("""COMPUTED_VALUE"""),"BN Jual Beli ")</f>
        <v>BN Jual Beli </v>
      </c>
      <c r="H9748" s="42">
        <f t="shared" si="1"/>
        <v>3345</v>
      </c>
    </row>
    <row r="9749" ht="22.5" customHeight="1">
      <c r="B9749" s="42" t="str">
        <f>IFERROR(__xludf.DUMMYFUNCTION("""COMPUTED_VALUE"""),"AB063/ABTOUVBG")</f>
        <v>AB063/ABTOUVBG</v>
      </c>
      <c r="C9749" s="42" t="str">
        <f>IFERROR(__xludf.DUMMYFUNCTION("""COMPUTED_VALUE"""),"M.05010/RAJABASA JAYA")</f>
        <v>M.05010/RAJABASA JAYA</v>
      </c>
      <c r="D9749" s="42"/>
      <c r="E9749" s="42"/>
      <c r="F9749" s="48" t="str">
        <f>IFERROR(__xludf.DUMMYFUNCTION("""COMPUTED_VALUE"""),"")</f>
        <v/>
      </c>
      <c r="G9749" s="42" t="str">
        <f>IFERROR(__xludf.DUMMYFUNCTION("""COMPUTED_VALUE"""),"BN")</f>
        <v>BN</v>
      </c>
      <c r="H9749" s="42">
        <f t="shared" si="1"/>
        <v>3345</v>
      </c>
    </row>
    <row r="9750" ht="22.5" customHeight="1">
      <c r="B9750" s="42" t="str">
        <f>IFERROR(__xludf.DUMMYFUNCTION("""COMPUTED_VALUE"""),"L/19/021225/1")</f>
        <v>L/19/021225/1</v>
      </c>
      <c r="C9750" s="42" t="str">
        <f>IFERROR(__xludf.DUMMYFUNCTION("""COMPUTED_VALUE"""),"B. 21/KOTA BARU")</f>
        <v>B. 21/KOTA BARU</v>
      </c>
      <c r="D9750" s="42"/>
      <c r="E9750" s="42"/>
      <c r="F9750" s="48" t="str">
        <f>IFERROR(__xludf.DUMMYFUNCTION("""COMPUTED_VALUE"""),"")</f>
        <v/>
      </c>
      <c r="G9750" s="42" t="str">
        <f>IFERROR(__xludf.DUMMYFUNCTION("""COMPUTED_VALUE"""),"PENDAFTARAN SK")</f>
        <v>PENDAFTARAN SK</v>
      </c>
      <c r="H9750" s="42">
        <f t="shared" si="1"/>
        <v>3345</v>
      </c>
    </row>
    <row r="9751" ht="22.5" customHeight="1">
      <c r="B9751" s="42" t="str">
        <f>IFERROR(__xludf.DUMMYFUNCTION("""COMPUTED_VALUE"""),"AB082/ABGZLKQF")</f>
        <v>AB082/ABGZLKQF</v>
      </c>
      <c r="C9751" s="42" t="str">
        <f>IFERROR(__xludf.DUMMYFUNCTION("""COMPUTED_VALUE"""),"0801000021046/Pinang Jaya")</f>
        <v>0801000021046/Pinang Jaya</v>
      </c>
      <c r="D9751" s="42"/>
      <c r="E9751" s="42"/>
      <c r="F9751" s="48" t="str">
        <f>IFERROR(__xludf.DUMMYFUNCTION("""COMPUTED_VALUE"""),"")</f>
        <v/>
      </c>
      <c r="G9751" s="42" t="str">
        <f>IFERROR(__xludf.DUMMYFUNCTION("""COMPUTED_VALUE"""),"balik nama ")</f>
        <v>balik nama </v>
      </c>
      <c r="H9751" s="42">
        <f t="shared" si="1"/>
        <v>3345</v>
      </c>
    </row>
    <row r="9752" ht="22.5" customHeight="1">
      <c r="B9752" s="42" t="str">
        <f>IFERROR(__xludf.DUMMYFUNCTION("""COMPUTED_VALUE"""),"AB082/ABGAKYOF")</f>
        <v>AB082/ABGAKYOF</v>
      </c>
      <c r="C9752" s="42" t="str">
        <f>IFERROR(__xludf.DUMMYFUNCTION("""COMPUTED_VALUE"""),"M.2540/Pinang Jaya")</f>
        <v>M.2540/Pinang Jaya</v>
      </c>
      <c r="D9752" s="42"/>
      <c r="E9752" s="42"/>
      <c r="F9752" s="48" t="str">
        <f>IFERROR(__xludf.DUMMYFUNCTION("""COMPUTED_VALUE"""),"")</f>
        <v/>
      </c>
      <c r="G9752" s="42" t="str">
        <f>IFERROR(__xludf.DUMMYFUNCTION("""COMPUTED_VALUE"""),"balik nama ")</f>
        <v>balik nama </v>
      </c>
      <c r="H9752" s="42">
        <f t="shared" si="1"/>
        <v>3345</v>
      </c>
    </row>
    <row r="9753" ht="22.5" customHeight="1">
      <c r="B9753" s="42" t="str">
        <f>IFERROR(__xludf.DUMMYFUNCTION("""COMPUTED_VALUE"""),"AB082/ABMFQLFG")</f>
        <v>AB082/ABMFQLFG</v>
      </c>
      <c r="C9753" s="42" t="str">
        <f>IFERROR(__xludf.DUMMYFUNCTION("""COMPUTED_VALUE"""),"M.4714/Sukadana Ham")</f>
        <v>M.4714/Sukadana Ham</v>
      </c>
      <c r="D9753" s="42"/>
      <c r="E9753" s="42"/>
      <c r="F9753" s="48" t="str">
        <f>IFERROR(__xludf.DUMMYFUNCTION("""COMPUTED_VALUE"""),"")</f>
        <v/>
      </c>
      <c r="G9753" s="42" t="str">
        <f>IFERROR(__xludf.DUMMYFUNCTION("""COMPUTED_VALUE"""),"balik nama")</f>
        <v>balik nama</v>
      </c>
      <c r="H9753" s="42">
        <f t="shared" si="1"/>
        <v>3345</v>
      </c>
    </row>
    <row r="9754" ht="22.5" customHeight="1">
      <c r="B9754" s="42" t="str">
        <f>IFERROR(__xludf.DUMMYFUNCTION("""COMPUTED_VALUE"""),"ABDVOUJO/AB084")</f>
        <v>ABDVOUJO/AB084</v>
      </c>
      <c r="C9754" s="42" t="str">
        <f>IFERROR(__xludf.DUMMYFUNCTION("""COMPUTED_VALUE"""),"M. NIBEL 27345/Sukamaju")</f>
        <v>M. NIBEL 27345/Sukamaju</v>
      </c>
      <c r="D9754" s="42"/>
      <c r="E9754" s="42"/>
      <c r="F9754" s="48" t="str">
        <f>IFERROR(__xludf.DUMMYFUNCTION("""COMPUTED_VALUE"""),"")</f>
        <v/>
      </c>
      <c r="G9754" s="42" t="str">
        <f>IFERROR(__xludf.DUMMYFUNCTION("""COMPUTED_VALUE"""),"Pendaftaran Peralihan Hak")</f>
        <v>Pendaftaran Peralihan Hak</v>
      </c>
      <c r="H9754" s="42">
        <f t="shared" si="1"/>
        <v>3345</v>
      </c>
    </row>
    <row r="9755" ht="22.5" customHeight="1">
      <c r="B9755" s="42" t="str">
        <f>IFERROR(__xludf.DUMMYFUNCTION("""COMPUTED_VALUE"""),"ABOUXVUV/AB084")</f>
        <v>ABOUXVUV/AB084</v>
      </c>
      <c r="C9755" s="42" t="str">
        <f>IFERROR(__xludf.DUMMYFUNCTION("""COMPUTED_VALUE"""),"M.NIBEL 27315/Sukamaju")</f>
        <v>M.NIBEL 27315/Sukamaju</v>
      </c>
      <c r="D9755" s="42"/>
      <c r="E9755" s="42"/>
      <c r="F9755" s="48" t="str">
        <f>IFERROR(__xludf.DUMMYFUNCTION("""COMPUTED_VALUE"""),"")</f>
        <v/>
      </c>
      <c r="G9755" s="42" t="str">
        <f>IFERROR(__xludf.DUMMYFUNCTION("""COMPUTED_VALUE"""),"Pendaftaran Peralihan Hak")</f>
        <v>Pendaftaran Peralihan Hak</v>
      </c>
      <c r="H9755" s="42">
        <f t="shared" si="1"/>
        <v>3345</v>
      </c>
    </row>
    <row r="9756" ht="22.5" customHeight="1">
      <c r="B9756" s="42" t="str">
        <f>IFERROR(__xludf.DUMMYFUNCTION("""COMPUTED_VALUE"""),"AB087/ABFBKQUN")</f>
        <v>AB087/ABFBKQUN</v>
      </c>
      <c r="C9756" s="42" t="str">
        <f>IFERROR(__xludf.DUMMYFUNCTION("""COMPUTED_VALUE"""),"m.599/G.A")</f>
        <v>m.599/G.A</v>
      </c>
      <c r="D9756" s="42"/>
      <c r="E9756" s="42"/>
      <c r="F9756" s="48" t="str">
        <f>IFERROR(__xludf.DUMMYFUNCTION("""COMPUTED_VALUE"""),"")</f>
        <v/>
      </c>
      <c r="G9756" s="42" t="str">
        <f>IFERROR(__xludf.DUMMYFUNCTION("""COMPUTED_VALUE"""),"ptpgt")</f>
        <v>ptpgt</v>
      </c>
      <c r="H9756" s="42">
        <f t="shared" si="1"/>
        <v>3345</v>
      </c>
    </row>
    <row r="9757" ht="22.5" customHeight="1">
      <c r="B9757" s="42" t="str">
        <f>IFERROR(__xludf.DUMMYFUNCTION("""COMPUTED_VALUE"""),"ABMDWRAR")</f>
        <v>ABMDWRAR</v>
      </c>
      <c r="C9757" s="42" t="str">
        <f>IFERROR(__xludf.DUMMYFUNCTION("""COMPUTED_VALUE"""),"M 624/ WAY LAGA")</f>
        <v>M 624/ WAY LAGA</v>
      </c>
      <c r="D9757" s="42"/>
      <c r="E9757" s="42"/>
      <c r="F9757" s="48" t="str">
        <f>IFERROR(__xludf.DUMMYFUNCTION("""COMPUTED_VALUE"""),"")</f>
        <v/>
      </c>
      <c r="G9757" s="42" t="str">
        <f>IFERROR(__xludf.DUMMYFUNCTION("""COMPUTED_VALUE"""),"Peralihan hak JUAL BELI")</f>
        <v>Peralihan hak JUAL BELI</v>
      </c>
      <c r="H9757" s="42">
        <f t="shared" si="1"/>
        <v>3345</v>
      </c>
    </row>
    <row r="9758" ht="22.5" customHeight="1">
      <c r="B9758" s="42" t="str">
        <f>IFERROR(__xludf.DUMMYFUNCTION("""COMPUTED_VALUE"""),"K/15/021225/3")</f>
        <v>K/15/021225/3</v>
      </c>
      <c r="C9758" s="42" t="str">
        <f>IFERROR(__xludf.DUMMYFUNCTION("""COMPUTED_VALUE"""),"M. 1809/JAGABAYA III")</f>
        <v>M. 1809/JAGABAYA III</v>
      </c>
      <c r="D9758" s="42"/>
      <c r="E9758" s="42"/>
      <c r="F9758" s="48" t="str">
        <f>IFERROR(__xludf.DUMMYFUNCTION("""COMPUTED_VALUE"""),"")</f>
        <v/>
      </c>
      <c r="G9758" s="42" t="str">
        <f>IFERROR(__xludf.DUMMYFUNCTION("""COMPUTED_VALUE"""),"SKPT LELANG")</f>
        <v>SKPT LELANG</v>
      </c>
      <c r="H9758" s="42">
        <f t="shared" si="1"/>
        <v>3345</v>
      </c>
    </row>
    <row r="9759" ht="22.5" customHeight="1">
      <c r="B9759" s="42" t="str">
        <f>IFERROR(__xludf.DUMMYFUNCTION("""COMPUTED_VALUE"""),"L/20/021225/1")</f>
        <v>L/20/021225/1</v>
      </c>
      <c r="C9759" s="42" t="str">
        <f>IFERROR(__xludf.DUMMYFUNCTION("""COMPUTED_VALUE"""),"M. 2081/NEGERI OLOK GADING")</f>
        <v>M. 2081/NEGERI OLOK GADING</v>
      </c>
      <c r="D9759" s="42"/>
      <c r="E9759" s="42"/>
      <c r="F9759" s="48" t="str">
        <f>IFERROR(__xludf.DUMMYFUNCTION("""COMPUTED_VALUE"""),"")</f>
        <v/>
      </c>
      <c r="G9759" s="42" t="str">
        <f>IFERROR(__xludf.DUMMYFUNCTION("""COMPUTED_VALUE"""),"ROYA")</f>
        <v>ROYA</v>
      </c>
      <c r="H9759" s="42">
        <f t="shared" si="1"/>
        <v>3345</v>
      </c>
    </row>
    <row r="9760" ht="22.5" customHeight="1">
      <c r="B9760" s="42" t="str">
        <f>IFERROR(__xludf.DUMMYFUNCTION("""COMPUTED_VALUE"""),"AB089/ ABYDINBK")</f>
        <v>AB089/ ABYDINBK</v>
      </c>
      <c r="C9760" s="42" t="str">
        <f>IFERROR(__xludf.DUMMYFUNCTION("""COMPUTED_VALUE"""),"SHM NIB.08.01.000023726.0")</f>
        <v>SHM NIB.08.01.000023726.0</v>
      </c>
      <c r="D9760" s="42"/>
      <c r="E9760" s="42"/>
      <c r="F9760" s="48" t="str">
        <f>IFERROR(__xludf.DUMMYFUNCTION("""COMPUTED_VALUE"""),"")</f>
        <v/>
      </c>
      <c r="G9760" s="42" t="str">
        <f>IFERROR(__xludf.DUMMYFUNCTION("""COMPUTED_VALUE"""),"balik nama")</f>
        <v>balik nama</v>
      </c>
      <c r="H9760" s="42">
        <f t="shared" si="1"/>
        <v>3345</v>
      </c>
    </row>
    <row r="9761" ht="22.5" customHeight="1">
      <c r="B9761" s="42" t="str">
        <f>IFERROR(__xludf.DUMMYFUNCTION("""COMPUTED_VALUE"""),"K/11/021225/2")</f>
        <v>K/11/021225/2</v>
      </c>
      <c r="C9761" s="42" t="str">
        <f>IFERROR(__xludf.DUMMYFUNCTION("""COMPUTED_VALUE"""),"B. 293/BAKUNG")</f>
        <v>B. 293/BAKUNG</v>
      </c>
      <c r="D9761" s="42"/>
      <c r="E9761" s="42"/>
      <c r="F9761" s="48" t="str">
        <f>IFERROR(__xludf.DUMMYFUNCTION("""COMPUTED_VALUE"""),"")</f>
        <v/>
      </c>
      <c r="G9761" s="42" t="str">
        <f>IFERROR(__xludf.DUMMYFUNCTION("""COMPUTED_VALUE"""),"SKPT INFORMASI")</f>
        <v>SKPT INFORMASI</v>
      </c>
      <c r="H9761" s="42">
        <f t="shared" si="1"/>
        <v>3345</v>
      </c>
    </row>
    <row r="9762" ht="22.5" customHeight="1">
      <c r="B9762" s="42" t="str">
        <f>IFERROR(__xludf.DUMMYFUNCTION("""COMPUTED_VALUE"""),"AB089/ABYODSBV")</f>
        <v>AB089/ABYODSBV</v>
      </c>
      <c r="C9762" s="42" t="str">
        <f>IFERROR(__xludf.DUMMYFUNCTION("""COMPUTED_VALUE"""),"SHM NIB. 08.01.000023722.0")</f>
        <v>SHM NIB. 08.01.000023722.0</v>
      </c>
      <c r="D9762" s="42"/>
      <c r="E9762" s="42"/>
      <c r="F9762" s="48" t="str">
        <f>IFERROR(__xludf.DUMMYFUNCTION("""COMPUTED_VALUE"""),"")</f>
        <v/>
      </c>
      <c r="G9762" s="42" t="str">
        <f>IFERROR(__xludf.DUMMYFUNCTION("""COMPUTED_VALUE"""),"balik nama")</f>
        <v>balik nama</v>
      </c>
      <c r="H9762" s="42">
        <f t="shared" si="1"/>
        <v>3345</v>
      </c>
    </row>
    <row r="9763" ht="22.5" customHeight="1">
      <c r="B9763" s="42" t="str">
        <f>IFERROR(__xludf.DUMMYFUNCTION("""COMPUTED_VALUE"""),"K/12/021225/3")</f>
        <v>K/12/021225/3</v>
      </c>
      <c r="C9763" s="42" t="str">
        <f>IFERROR(__xludf.DUMMYFUNCTION("""COMPUTED_VALUE"""),"B. 297/BAKUNG")</f>
        <v>B. 297/BAKUNG</v>
      </c>
      <c r="D9763" s="42"/>
      <c r="E9763" s="42"/>
      <c r="F9763" s="48" t="str">
        <f>IFERROR(__xludf.DUMMYFUNCTION("""COMPUTED_VALUE"""),"")</f>
        <v/>
      </c>
      <c r="G9763" s="42" t="str">
        <f>IFERROR(__xludf.DUMMYFUNCTION("""COMPUTED_VALUE"""),"SKPT INFORMASI")</f>
        <v>SKPT INFORMASI</v>
      </c>
      <c r="H9763" s="42">
        <f t="shared" si="1"/>
        <v>3345</v>
      </c>
    </row>
    <row r="9764" ht="22.5" customHeight="1">
      <c r="B9764" s="42" t="str">
        <f>IFERROR(__xludf.DUMMYFUNCTION("""COMPUTED_VALUE"""),"AB089")</f>
        <v>AB089</v>
      </c>
      <c r="C9764" s="42" t="str">
        <f>IFERROR(__xludf.DUMMYFUNCTION("""COMPUTED_VALUE"""),"SHM NIB.08.01.000021565.0")</f>
        <v>SHM NIB.08.01.000021565.0</v>
      </c>
      <c r="D9764" s="42"/>
      <c r="E9764" s="42"/>
      <c r="F9764" s="48" t="str">
        <f>IFERROR(__xludf.DUMMYFUNCTION("""COMPUTED_VALUE"""),"")</f>
        <v/>
      </c>
      <c r="G9764" s="42" t="str">
        <f>IFERROR(__xludf.DUMMYFUNCTION("""COMPUTED_VALUE"""),"balik nama")</f>
        <v>balik nama</v>
      </c>
      <c r="H9764" s="42">
        <f t="shared" si="1"/>
        <v>3345</v>
      </c>
    </row>
    <row r="9765" ht="22.5" customHeight="1">
      <c r="B9765" s="42" t="str">
        <f>IFERROR(__xludf.DUMMYFUNCTION("""COMPUTED_VALUE"""),"AB089/ABHWINMC")</f>
        <v>AB089/ABHWINMC</v>
      </c>
      <c r="C9765" s="42" t="str">
        <f>IFERROR(__xludf.DUMMYFUNCTION("""COMPUTED_VALUE"""),"SHM. NIB.08.01.000019785.0")</f>
        <v>SHM. NIB.08.01.000019785.0</v>
      </c>
      <c r="D9765" s="42"/>
      <c r="E9765" s="42"/>
      <c r="F9765" s="48" t="str">
        <f>IFERROR(__xludf.DUMMYFUNCTION("""COMPUTED_VALUE"""),"")</f>
        <v/>
      </c>
      <c r="G9765" s="42" t="str">
        <f>IFERROR(__xludf.DUMMYFUNCTION("""COMPUTED_VALUE"""),"balik nama")</f>
        <v>balik nama</v>
      </c>
      <c r="H9765" s="42">
        <f t="shared" si="1"/>
        <v>3345</v>
      </c>
    </row>
    <row r="9766" ht="22.5" customHeight="1">
      <c r="B9766" s="42" t="str">
        <f>IFERROR(__xludf.DUMMYFUNCTION("""COMPUTED_VALUE"""),"ABQQOSBH")</f>
        <v>ABQQOSBH</v>
      </c>
      <c r="C9766" s="42" t="str">
        <f>IFERROR(__xludf.DUMMYFUNCTION("""COMPUTED_VALUE"""),"M 1023/ LABUHAN RATU RAYA")</f>
        <v>M 1023/ LABUHAN RATU RAYA</v>
      </c>
      <c r="D9766" s="42"/>
      <c r="E9766" s="42"/>
      <c r="F9766" s="48" t="str">
        <f>IFERROR(__xludf.DUMMYFUNCTION("""COMPUTED_VALUE"""),"")</f>
        <v/>
      </c>
      <c r="G9766" s="42" t="str">
        <f>IFERROR(__xludf.DUMMYFUNCTION("""COMPUTED_VALUE"""),"Peralihan hak jual beli")</f>
        <v>Peralihan hak jual beli</v>
      </c>
      <c r="H9766" s="42">
        <f t="shared" si="1"/>
        <v>3345</v>
      </c>
    </row>
    <row r="9767" ht="22.5" customHeight="1">
      <c r="B9767" s="42" t="str">
        <f>IFERROR(__xludf.DUMMYFUNCTION("""COMPUTED_VALUE"""),"K/21/021225/1")</f>
        <v>K/21/021225/1</v>
      </c>
      <c r="C9767" s="42" t="str">
        <f>IFERROR(__xludf.DUMMYFUNCTION("""COMPUTED_VALUE"""),"M. 11384/SUKABUMI")</f>
        <v>M. 11384/SUKABUMI</v>
      </c>
      <c r="D9767" s="42"/>
      <c r="E9767" s="42"/>
      <c r="F9767" s="48" t="str">
        <f>IFERROR(__xludf.DUMMYFUNCTION("""COMPUTED_VALUE"""),"")</f>
        <v/>
      </c>
      <c r="G9767" s="42" t="str">
        <f>IFERROR(__xludf.DUMMYFUNCTION("""COMPUTED_VALUE"""),"ROYA")</f>
        <v>ROYA</v>
      </c>
      <c r="H9767" s="42">
        <f t="shared" si="1"/>
        <v>3345</v>
      </c>
    </row>
    <row r="9768" ht="22.5" customHeight="1">
      <c r="B9768" s="42" t="str">
        <f>IFERROR(__xludf.DUMMYFUNCTION("""COMPUTED_VALUE"""),"ABFHDXOK/AB091")</f>
        <v>ABFHDXOK/AB091</v>
      </c>
      <c r="C9768" s="42" t="str">
        <f>IFERROR(__xludf.DUMMYFUNCTION("""COMPUTED_VALUE"""),"M. 1155/Jagabaya III")</f>
        <v>M. 1155/Jagabaya III</v>
      </c>
      <c r="D9768" s="42"/>
      <c r="E9768" s="42"/>
      <c r="F9768" s="48" t="str">
        <f>IFERROR(__xludf.DUMMYFUNCTION("""COMPUTED_VALUE"""),"")</f>
        <v/>
      </c>
      <c r="G9768" s="42" t="str">
        <f>IFERROR(__xludf.DUMMYFUNCTION("""COMPUTED_VALUE"""),"BN JUAL BELI")</f>
        <v>BN JUAL BELI</v>
      </c>
      <c r="H9768" s="42">
        <f t="shared" si="1"/>
        <v>3345</v>
      </c>
    </row>
    <row r="9769" ht="22.5" customHeight="1">
      <c r="B9769" s="42" t="str">
        <f>IFERROR(__xludf.DUMMYFUNCTION("""COMPUTED_VALUE"""),"K/22/021225/4")</f>
        <v>K/22/021225/4</v>
      </c>
      <c r="C9769" s="42" t="str">
        <f>IFERROR(__xludf.DUMMYFUNCTION("""COMPUTED_VALUE"""),"B. 275/BAKUNG")</f>
        <v>B. 275/BAKUNG</v>
      </c>
      <c r="D9769" s="42"/>
      <c r="E9769" s="42"/>
      <c r="F9769" s="48" t="str">
        <f>IFERROR(__xludf.DUMMYFUNCTION("""COMPUTED_VALUE"""),"")</f>
        <v/>
      </c>
      <c r="G9769" s="42" t="str">
        <f>IFERROR(__xludf.DUMMYFUNCTION("""COMPUTED_VALUE"""),"SKPT INFORMASI")</f>
        <v>SKPT INFORMASI</v>
      </c>
      <c r="H9769" s="42">
        <f t="shared" si="1"/>
        <v>3345</v>
      </c>
    </row>
    <row r="9770" ht="22.5" customHeight="1">
      <c r="B9770" s="42" t="str">
        <f>IFERROR(__xludf.DUMMYFUNCTION("""COMPUTED_VALUE"""),"K/23/021225/1")</f>
        <v>K/23/021225/1</v>
      </c>
      <c r="C9770" s="42" t="str">
        <f>IFERROR(__xludf.DUMMYFUNCTION("""COMPUTED_VALUE"""),"B. 1234/SUKABUMI ")</f>
        <v>B. 1234/SUKABUMI </v>
      </c>
      <c r="D9770" s="42"/>
      <c r="E9770" s="42"/>
      <c r="F9770" s="48" t="str">
        <f>IFERROR(__xludf.DUMMYFUNCTION("""COMPUTED_VALUE"""),"")</f>
        <v/>
      </c>
      <c r="G9770" s="42" t="str">
        <f>IFERROR(__xludf.DUMMYFUNCTION("""COMPUTED_VALUE"""),"PENINGKATAN HAK")</f>
        <v>PENINGKATAN HAK</v>
      </c>
      <c r="H9770" s="42">
        <f t="shared" si="1"/>
        <v>3345</v>
      </c>
    </row>
    <row r="9771" ht="22.5" customHeight="1">
      <c r="B9771" s="42" t="str">
        <f>IFERROR(__xludf.DUMMYFUNCTION("""COMPUTED_VALUE"""),"ABGYRYAI/AB069")</f>
        <v>ABGYRYAI/AB069</v>
      </c>
      <c r="C9771" s="42" t="str">
        <f>IFERROR(__xludf.DUMMYFUNCTION("""COMPUTED_VALUE"""),"M. 1602 &amp; 1579/labuhan dalam")</f>
        <v>M. 1602 &amp; 1579/labuhan dalam</v>
      </c>
      <c r="D9771" s="42"/>
      <c r="E9771" s="42"/>
      <c r="F9771" s="48" t="str">
        <f>IFERROR(__xludf.DUMMYFUNCTION("""COMPUTED_VALUE"""),"")</f>
        <v/>
      </c>
      <c r="G9771" s="42" t="str">
        <f>IFERROR(__xludf.DUMMYFUNCTION("""COMPUTED_VALUE"""),"Roya")</f>
        <v>Roya</v>
      </c>
      <c r="H9771" s="42">
        <f t="shared" si="1"/>
        <v>3345</v>
      </c>
    </row>
    <row r="9772" ht="22.5" customHeight="1">
      <c r="B9772" s="42" t="str">
        <f>IFERROR(__xludf.DUMMYFUNCTION("""COMPUTED_VALUE"""),"ABTOWHNC/AB069")</f>
        <v>ABTOWHNC/AB069</v>
      </c>
      <c r="C9772" s="42" t="str">
        <f>IFERROR(__xludf.DUMMYFUNCTION("""COMPUTED_VALUE"""),"B. NIBEL 25810/Pasir Gintung ")</f>
        <v>B. NIBEL 25810/Pasir Gintung </v>
      </c>
      <c r="D9772" s="42"/>
      <c r="E9772" s="42"/>
      <c r="F9772" s="48" t="str">
        <f>IFERROR(__xludf.DUMMYFUNCTION("""COMPUTED_VALUE"""),"")</f>
        <v/>
      </c>
      <c r="G9772" s="42" t="str">
        <f>IFERROR(__xludf.DUMMYFUNCTION("""COMPUTED_VALUE"""),"Bn lelang")</f>
        <v>Bn lelang</v>
      </c>
      <c r="H9772" s="42">
        <f t="shared" si="1"/>
        <v>3345</v>
      </c>
    </row>
    <row r="9773" ht="22.5" customHeight="1">
      <c r="B9773" s="42" t="str">
        <f>IFERROR(__xludf.DUMMYFUNCTION("""COMPUTED_VALUE"""),"K/23/021225/1")</f>
        <v>K/23/021225/1</v>
      </c>
      <c r="C9773" s="42" t="str">
        <f>IFERROR(__xludf.DUMMYFUNCTION("""COMPUTED_VALUE"""),"B. 119/GEDONG MENENG")</f>
        <v>B. 119/GEDONG MENENG</v>
      </c>
      <c r="D9773" s="42"/>
      <c r="E9773" s="42"/>
      <c r="F9773" s="48" t="str">
        <f>IFERROR(__xludf.DUMMYFUNCTION("""COMPUTED_VALUE"""),"")</f>
        <v/>
      </c>
      <c r="G9773" s="42" t="str">
        <f>IFERROR(__xludf.DUMMYFUNCTION("""COMPUTED_VALUE"""),"ROYA")</f>
        <v>ROYA</v>
      </c>
      <c r="H9773" s="42">
        <f t="shared" si="1"/>
        <v>3345</v>
      </c>
    </row>
    <row r="9774" ht="22.5" customHeight="1">
      <c r="B9774" s="42" t="str">
        <f>IFERROR(__xludf.DUMMYFUNCTION("""COMPUTED_VALUE"""),"K/24/021225/1")</f>
        <v>K/24/021225/1</v>
      </c>
      <c r="C9774" s="42" t="str">
        <f>IFERROR(__xludf.DUMMYFUNCTION("""COMPUTED_VALUE"""),"SK NO. 360/HGB/BPN.18.71/X/2025")</f>
        <v>SK NO. 360/HGB/BPN.18.71/X/2025</v>
      </c>
      <c r="D9774" s="42"/>
      <c r="E9774" s="42"/>
      <c r="F9774" s="48" t="str">
        <f>IFERROR(__xludf.DUMMYFUNCTION("""COMPUTED_VALUE"""),"")</f>
        <v/>
      </c>
      <c r="G9774" s="42" t="str">
        <f>IFERROR(__xludf.DUMMYFUNCTION("""COMPUTED_VALUE"""),"PENDAFTARAN SK")</f>
        <v>PENDAFTARAN SK</v>
      </c>
      <c r="H9774" s="42">
        <f t="shared" si="1"/>
        <v>3345</v>
      </c>
    </row>
    <row r="9775" ht="22.5" customHeight="1">
      <c r="B9775" s="42" t="str">
        <f>IFERROR(__xludf.DUMMYFUNCTION("""COMPUTED_VALUE"""),"AB004/ABIHHAGW")</f>
        <v>AB004/ABIHHAGW</v>
      </c>
      <c r="C9775" s="42" t="str">
        <f>IFERROR(__xludf.DUMMYFUNCTION("""COMPUTED_VALUE"""),"SHM 13895/Kedamaian")</f>
        <v>SHM 13895/Kedamaian</v>
      </c>
      <c r="D9775" s="42"/>
      <c r="E9775" s="42"/>
      <c r="F9775" s="48" t="str">
        <f>IFERROR(__xludf.DUMMYFUNCTION("""COMPUTED_VALUE"""),"")</f>
        <v/>
      </c>
      <c r="G9775" s="42" t="str">
        <f>IFERROR(__xludf.DUMMYFUNCTION("""COMPUTED_VALUE"""),"BN")</f>
        <v>BN</v>
      </c>
      <c r="H9775" s="42">
        <f t="shared" si="1"/>
        <v>3345</v>
      </c>
    </row>
    <row r="9776" ht="22.5" customHeight="1">
      <c r="B9776" s="42" t="str">
        <f>IFERROR(__xludf.DUMMYFUNCTION("""COMPUTED_VALUE"""),"AB004/ABQOKENV")</f>
        <v>AB004/ABQOKENV</v>
      </c>
      <c r="C9776" s="42" t="str">
        <f>IFERROR(__xludf.DUMMYFUNCTION("""COMPUTED_VALUE"""),"SHM 13896/Kedamaian")</f>
        <v>SHM 13896/Kedamaian</v>
      </c>
      <c r="D9776" s="42"/>
      <c r="E9776" s="42"/>
      <c r="F9776" s="48" t="str">
        <f>IFERROR(__xludf.DUMMYFUNCTION("""COMPUTED_VALUE"""),"")</f>
        <v/>
      </c>
      <c r="G9776" s="42" t="str">
        <f>IFERROR(__xludf.DUMMYFUNCTION("""COMPUTED_VALUE"""),"BN")</f>
        <v>BN</v>
      </c>
      <c r="H9776" s="42">
        <f t="shared" si="1"/>
        <v>3345</v>
      </c>
    </row>
    <row r="9777" ht="22.5" customHeight="1">
      <c r="B9777" s="42" t="str">
        <f>IFERROR(__xludf.DUMMYFUNCTION("""COMPUTED_VALUE"""),"ABZNUTWB")</f>
        <v>ABZNUTWB</v>
      </c>
      <c r="C9777" s="42" t="str">
        <f>IFERROR(__xludf.DUMMYFUNCTION("""COMPUTED_VALUE"""),"HGB.178/SUMBERREJO SEJAHTERA")</f>
        <v>HGB.178/SUMBERREJO SEJAHTERA</v>
      </c>
      <c r="D9777" s="42"/>
      <c r="E9777" s="42"/>
      <c r="F9777" s="48" t="str">
        <f>IFERROR(__xludf.DUMMYFUNCTION("""COMPUTED_VALUE"""),"")</f>
        <v/>
      </c>
      <c r="G9777" s="42" t="str">
        <f>IFERROR(__xludf.DUMMYFUNCTION("""COMPUTED_VALUE"""),"BALIK NAMA")</f>
        <v>BALIK NAMA</v>
      </c>
      <c r="H9777" s="42">
        <f t="shared" si="1"/>
        <v>3345</v>
      </c>
    </row>
    <row r="9778" ht="22.5" customHeight="1">
      <c r="B9778" s="42" t="str">
        <f>IFERROR(__xludf.DUMMYFUNCTION("""COMPUTED_VALUE"""),"ABMPVQSP")</f>
        <v>ABMPVQSP</v>
      </c>
      <c r="C9778" s="42" t="str">
        <f>IFERROR(__xludf.DUMMYFUNCTION("""COMPUTED_VALUE"""),"M 2649/ way laga")</f>
        <v>M 2649/ way laga</v>
      </c>
      <c r="D9778" s="42"/>
      <c r="E9778" s="42"/>
      <c r="F9778" s="48" t="str">
        <f>IFERROR(__xludf.DUMMYFUNCTION("""COMPUTED_VALUE"""),"")</f>
        <v/>
      </c>
      <c r="G9778" s="42" t="str">
        <f>IFERROR(__xludf.DUMMYFUNCTION("""COMPUTED_VALUE"""),"BAlik NAMA JUAL BELI")</f>
        <v>BAlik NAMA JUAL BELI</v>
      </c>
      <c r="H9778" s="42">
        <f t="shared" si="1"/>
        <v>3345</v>
      </c>
    </row>
    <row r="9779" ht="22.5" customHeight="1">
      <c r="B9779" s="42" t="str">
        <f>IFERROR(__xludf.DUMMYFUNCTION("""COMPUTED_VALUE"""),"ABTOQUMI")</f>
        <v>ABTOQUMI</v>
      </c>
      <c r="C9779" s="42" t="str">
        <f>IFERROR(__xludf.DUMMYFUNCTION("""COMPUTED_VALUE"""),"nibel m 3629/ sepang jaya")</f>
        <v>nibel m 3629/ sepang jaya</v>
      </c>
      <c r="D9779" s="42"/>
      <c r="E9779" s="42"/>
      <c r="F9779" s="48" t="str">
        <f>IFERROR(__xludf.DUMMYFUNCTION("""COMPUTED_VALUE"""),"")</f>
        <v/>
      </c>
      <c r="G9779" s="42" t="str">
        <f>IFERROR(__xludf.DUMMYFUNCTION("""COMPUTED_VALUE"""),"Hibah")</f>
        <v>Hibah</v>
      </c>
      <c r="H9779" s="42">
        <f t="shared" si="1"/>
        <v>3345</v>
      </c>
    </row>
    <row r="9780" ht="22.5" customHeight="1">
      <c r="B9780" s="42" t="str">
        <f>IFERROR(__xludf.DUMMYFUNCTION("""COMPUTED_VALUE"""),"AB029/ABHSXLGT")</f>
        <v>AB029/ABHSXLGT</v>
      </c>
      <c r="C9780" s="42" t="str">
        <f>IFERROR(__xludf.DUMMYFUNCTION("""COMPUTED_VALUE"""),"Nib 18615.0/Sukarame Baru")</f>
        <v>Nib 18615.0/Sukarame Baru</v>
      </c>
      <c r="D9780" s="42"/>
      <c r="E9780" s="42"/>
      <c r="F9780" s="48" t="str">
        <f>IFERROR(__xludf.DUMMYFUNCTION("""COMPUTED_VALUE"""),"")</f>
        <v/>
      </c>
      <c r="G9780" s="42" t="str">
        <f>IFERROR(__xludf.DUMMYFUNCTION("""COMPUTED_VALUE"""),"Balik nama")</f>
        <v>Balik nama</v>
      </c>
      <c r="H9780" s="42">
        <f t="shared" si="1"/>
        <v>3345</v>
      </c>
    </row>
    <row r="9781" ht="22.5" customHeight="1">
      <c r="B9781" s="42" t="str">
        <f>IFERROR(__xludf.DUMMYFUNCTION("""COMPUTED_VALUE"""),"ABOJRCVC/AB010")</f>
        <v>ABOJRCVC/AB010</v>
      </c>
      <c r="C9781" s="42" t="str">
        <f>IFERROR(__xludf.DUMMYFUNCTION("""COMPUTED_VALUE"""),"SHGB 426/Teluk Betung")</f>
        <v>SHGB 426/Teluk Betung</v>
      </c>
      <c r="D9781" s="42"/>
      <c r="E9781" s="42"/>
      <c r="F9781" s="48" t="str">
        <f>IFERROR(__xludf.DUMMYFUNCTION("""COMPUTED_VALUE"""),"")</f>
        <v/>
      </c>
      <c r="G9781" s="42" t="str">
        <f>IFERROR(__xludf.DUMMYFUNCTION("""COMPUTED_VALUE"""),"Balik nama jual beli")</f>
        <v>Balik nama jual beli</v>
      </c>
      <c r="H9781" s="42">
        <f t="shared" si="1"/>
        <v>3345</v>
      </c>
    </row>
    <row r="9782" ht="22.5" customHeight="1">
      <c r="B9782" s="42" t="str">
        <f>IFERROR(__xludf.DUMMYFUNCTION("""COMPUTED_VALUE"""),"AB025/ ABRNHGPL")</f>
        <v>AB025/ ABRNHGPL</v>
      </c>
      <c r="C9782" s="42" t="str">
        <f>IFERROR(__xludf.DUMMYFUNCTION("""COMPUTED_VALUE"""),"HBG No. 98 Sumberejo Sejahtera")</f>
        <v>HBG No. 98 Sumberejo Sejahtera</v>
      </c>
      <c r="D9782" s="42"/>
      <c r="E9782" s="42"/>
      <c r="F9782" s="48" t="str">
        <f>IFERROR(__xludf.DUMMYFUNCTION("""COMPUTED_VALUE"""),"")</f>
        <v/>
      </c>
      <c r="G9782" s="42" t="str">
        <f>IFERROR(__xludf.DUMMYFUNCTION("""COMPUTED_VALUE"""),"Perubahan Hak")</f>
        <v>Perubahan Hak</v>
      </c>
      <c r="H9782" s="42">
        <f t="shared" si="1"/>
        <v>3345</v>
      </c>
    </row>
    <row r="9783" ht="22.5" customHeight="1">
      <c r="B9783" s="42" t="str">
        <f>IFERROR(__xludf.DUMMYFUNCTION("""COMPUTED_VALUE"""),"AB040/ABVTJMEM")</f>
        <v>AB040/ABVTJMEM</v>
      </c>
      <c r="C9783" s="42" t="str">
        <f>IFERROR(__xludf.DUMMYFUNCTION("""COMPUTED_VALUE"""),"SHM 238/Bilabong Jaya")</f>
        <v>SHM 238/Bilabong Jaya</v>
      </c>
      <c r="D9783" s="42"/>
      <c r="E9783" s="42"/>
      <c r="F9783" s="48" t="str">
        <f>IFERROR(__xludf.DUMMYFUNCTION("""COMPUTED_VALUE"""),"")</f>
        <v/>
      </c>
      <c r="G9783" s="42" t="str">
        <f>IFERROR(__xludf.DUMMYFUNCTION("""COMPUTED_VALUE"""),"Balik Nama Jual Beli")</f>
        <v>Balik Nama Jual Beli</v>
      </c>
      <c r="H9783" s="42">
        <f t="shared" si="1"/>
        <v>3345</v>
      </c>
    </row>
    <row r="9784" ht="22.5" customHeight="1">
      <c r="B9784" s="42" t="str">
        <f>IFERROR(__xludf.DUMMYFUNCTION("""COMPUTED_VALUE"""),"ABNKMUCN/AB047")</f>
        <v>ABNKMUCN/AB047</v>
      </c>
      <c r="C9784" s="42" t="str">
        <f>IFERROR(__xludf.DUMMYFUNCTION("""COMPUTED_VALUE"""),"M. NIBEL 24960/Beringin Raya")</f>
        <v>M. NIBEL 24960/Beringin Raya</v>
      </c>
      <c r="D9784" s="42"/>
      <c r="E9784" s="42"/>
      <c r="F9784" s="48" t="str">
        <f>IFERROR(__xludf.DUMMYFUNCTION("""COMPUTED_VALUE"""),"")</f>
        <v/>
      </c>
      <c r="G9784" s="42" t="str">
        <f>IFERROR(__xludf.DUMMYFUNCTION("""COMPUTED_VALUE"""),"Balik Nama")</f>
        <v>Balik Nama</v>
      </c>
      <c r="H9784" s="42">
        <f t="shared" si="1"/>
        <v>3345</v>
      </c>
    </row>
    <row r="9785" ht="22.5" customHeight="1">
      <c r="B9785" s="42" t="str">
        <f>IFERROR(__xludf.DUMMYFUNCTION("""COMPUTED_VALUE"""),"ABCPRKSS/AB047")</f>
        <v>ABCPRKSS/AB047</v>
      </c>
      <c r="C9785" s="42" t="str">
        <f>IFERROR(__xludf.DUMMYFUNCTION("""COMPUTED_VALUE"""),"M. 2040/sukarame baru")</f>
        <v>M. 2040/sukarame baru</v>
      </c>
      <c r="D9785" s="42"/>
      <c r="E9785" s="42"/>
      <c r="F9785" s="48" t="str">
        <f>IFERROR(__xludf.DUMMYFUNCTION("""COMPUTED_VALUE"""),"")</f>
        <v/>
      </c>
      <c r="G9785" s="42" t="str">
        <f>IFERROR(__xludf.DUMMYFUNCTION("""COMPUTED_VALUE"""),"Balik Nama")</f>
        <v>Balik Nama</v>
      </c>
      <c r="H9785" s="42">
        <f t="shared" si="1"/>
        <v>3345</v>
      </c>
    </row>
    <row r="9786" ht="22.5" customHeight="1">
      <c r="B9786" s="42" t="str">
        <f>IFERROR(__xludf.DUMMYFUNCTION("""COMPUTED_VALUE"""),"ABPDQFLI/AB047")</f>
        <v>ABPDQFLI/AB047</v>
      </c>
      <c r="C9786" s="42" t="str">
        <f>IFERROR(__xludf.DUMMYFUNCTION("""COMPUTED_VALUE"""),"M.NIBEL  26058/kota sepang")</f>
        <v>M.NIBEL  26058/kota sepang</v>
      </c>
      <c r="D9786" s="42"/>
      <c r="E9786" s="42"/>
      <c r="F9786" s="48" t="str">
        <f>IFERROR(__xludf.DUMMYFUNCTION("""COMPUTED_VALUE"""),"")</f>
        <v/>
      </c>
      <c r="G9786" s="42" t="str">
        <f>IFERROR(__xludf.DUMMYFUNCTION("""COMPUTED_VALUE"""),"APHB")</f>
        <v>APHB</v>
      </c>
      <c r="H9786" s="42">
        <f t="shared" si="1"/>
        <v>3345</v>
      </c>
    </row>
    <row r="9787" ht="22.5" customHeight="1">
      <c r="B9787" s="42" t="str">
        <f>IFERROR(__xludf.DUMMYFUNCTION("""COMPUTED_VALUE"""),"AB038/ABKDEIJA")</f>
        <v>AB038/ABKDEIJA</v>
      </c>
      <c r="C9787" s="42" t="str">
        <f>IFERROR(__xludf.DUMMYFUNCTION("""COMPUTED_VALUE"""),"Shm 16483 Sukabumi")</f>
        <v>Shm 16483 Sukabumi</v>
      </c>
      <c r="D9787" s="42"/>
      <c r="E9787" s="42"/>
      <c r="F9787" s="48" t="str">
        <f>IFERROR(__xludf.DUMMYFUNCTION("""COMPUTED_VALUE"""),"")</f>
        <v/>
      </c>
      <c r="G9787" s="42" t="str">
        <f>IFERROR(__xludf.DUMMYFUNCTION("""COMPUTED_VALUE"""),"Balik Nama")</f>
        <v>Balik Nama</v>
      </c>
      <c r="H9787" s="42">
        <f t="shared" si="1"/>
        <v>3345</v>
      </c>
    </row>
    <row r="9788" ht="22.5" customHeight="1">
      <c r="B9788" s="42" t="str">
        <f>IFERROR(__xludf.DUMMYFUNCTION("""COMPUTED_VALUE"""),"ABDDXEIF/AB056")</f>
        <v>ABDDXEIF/AB056</v>
      </c>
      <c r="C9788" s="42" t="str">
        <f>IFERROR(__xludf.DUMMYFUNCTION("""COMPUTED_VALUE"""),"M. NIBEL 257820/KALIAWI")</f>
        <v>M. NIBEL 257820/KALIAWI</v>
      </c>
      <c r="D9788" s="42"/>
      <c r="E9788" s="42"/>
      <c r="F9788" s="48" t="str">
        <f>IFERROR(__xludf.DUMMYFUNCTION("""COMPUTED_VALUE"""),"")</f>
        <v/>
      </c>
      <c r="G9788" s="42" t="str">
        <f>IFERROR(__xludf.DUMMYFUNCTION("""COMPUTED_VALUE"""),"Balik Nama Jual Beli")</f>
        <v>Balik Nama Jual Beli</v>
      </c>
      <c r="H9788" s="42">
        <f t="shared" si="1"/>
        <v>3345</v>
      </c>
    </row>
    <row r="9789" ht="22.5" customHeight="1">
      <c r="B9789" s="42" t="str">
        <f>IFERROR(__xludf.DUMMYFUNCTION("""COMPUTED_VALUE"""),"ABXRFUHL")</f>
        <v>ABXRFUHL</v>
      </c>
      <c r="C9789" s="42" t="str">
        <f>IFERROR(__xludf.DUMMYFUNCTION("""COMPUTED_VALUE"""),"M.2352/Rajabasa raya")</f>
        <v>M.2352/Rajabasa raya</v>
      </c>
      <c r="D9789" s="42"/>
      <c r="E9789" s="42"/>
      <c r="F9789" s="48" t="str">
        <f>IFERROR(__xludf.DUMMYFUNCTION("""COMPUTED_VALUE"""),"")</f>
        <v/>
      </c>
      <c r="G9789" s="42" t="str">
        <f>IFERROR(__xludf.DUMMYFUNCTION("""COMPUTED_VALUE"""),"BN jual beli")</f>
        <v>BN jual beli</v>
      </c>
      <c r="H9789" s="42">
        <f t="shared" si="1"/>
        <v>3345</v>
      </c>
    </row>
    <row r="9790" ht="22.5" customHeight="1">
      <c r="B9790" s="42" t="str">
        <f>IFERROR(__xludf.DUMMYFUNCTION("""COMPUTED_VALUE"""),"L/2/031225/1")</f>
        <v>L/2/031225/1</v>
      </c>
      <c r="C9790" s="42" t="str">
        <f>IFERROR(__xludf.DUMMYFUNCTION("""COMPUTED_VALUE"""),"M. 1223/SUMBEREJO KEMILING")</f>
        <v>M. 1223/SUMBEREJO KEMILING</v>
      </c>
      <c r="D9790" s="42"/>
      <c r="E9790" s="42"/>
      <c r="F9790" s="48" t="str">
        <f>IFERROR(__xludf.DUMMYFUNCTION("""COMPUTED_VALUE"""),"")</f>
        <v/>
      </c>
      <c r="G9790" s="42" t="str">
        <f>IFERROR(__xludf.DUMMYFUNCTION("""COMPUTED_VALUE"""),"ROYA")</f>
        <v>ROYA</v>
      </c>
      <c r="H9790" s="42">
        <f t="shared" si="1"/>
        <v>3345</v>
      </c>
    </row>
    <row r="9791" ht="22.5" customHeight="1">
      <c r="B9791" s="42" t="str">
        <f>IFERROR(__xludf.DUMMYFUNCTION("""COMPUTED_VALUE"""),"L/3/031225/1")</f>
        <v>L/3/031225/1</v>
      </c>
      <c r="C9791" s="42" t="str">
        <f>IFERROR(__xludf.DUMMYFUNCTION("""COMPUTED_VALUE"""),"M. 14681/SUKARAME I")</f>
        <v>M. 14681/SUKARAME I</v>
      </c>
      <c r="D9791" s="42"/>
      <c r="E9791" s="42"/>
      <c r="F9791" s="48" t="str">
        <f>IFERROR(__xludf.DUMMYFUNCTION("""COMPUTED_VALUE"""),"")</f>
        <v/>
      </c>
      <c r="G9791" s="42" t="str">
        <f>IFERROR(__xludf.DUMMYFUNCTION("""COMPUTED_VALUE"""),"ROYA")</f>
        <v>ROYA</v>
      </c>
      <c r="H9791" s="42">
        <f t="shared" si="1"/>
        <v>3345</v>
      </c>
    </row>
    <row r="9792" ht="22.5" customHeight="1">
      <c r="B9792" s="42" t="str">
        <f>IFERROR(__xludf.DUMMYFUNCTION("""COMPUTED_VALUE"""),"L/4/031225/1")</f>
        <v>L/4/031225/1</v>
      </c>
      <c r="C9792" s="42" t="str">
        <f>IFERROR(__xludf.DUMMYFUNCTION("""COMPUTED_VALUE"""),"M. 2499/KEMILING PERMAI")</f>
        <v>M. 2499/KEMILING PERMAI</v>
      </c>
      <c r="D9792" s="42"/>
      <c r="E9792" s="42"/>
      <c r="F9792" s="48" t="str">
        <f>IFERROR(__xludf.DUMMYFUNCTION("""COMPUTED_VALUE"""),"")</f>
        <v/>
      </c>
      <c r="G9792" s="42" t="str">
        <f>IFERROR(__xludf.DUMMYFUNCTION("""COMPUTED_VALUE"""),"ROYA")</f>
        <v>ROYA</v>
      </c>
      <c r="H9792" s="42">
        <f t="shared" si="1"/>
        <v>3345</v>
      </c>
    </row>
    <row r="9793" ht="22.5" customHeight="1">
      <c r="B9793" s="42" t="str">
        <f>IFERROR(__xludf.DUMMYFUNCTION("""COMPUTED_VALUE"""),"L/5/031225/1")</f>
        <v>L/5/031225/1</v>
      </c>
      <c r="C9793" s="42" t="str">
        <f>IFERROR(__xludf.DUMMYFUNCTION("""COMPUTED_VALUE"""),"M. 11110/RAJABASA")</f>
        <v>M. 11110/RAJABASA</v>
      </c>
      <c r="D9793" s="42"/>
      <c r="E9793" s="42"/>
      <c r="F9793" s="48" t="str">
        <f>IFERROR(__xludf.DUMMYFUNCTION("""COMPUTED_VALUE"""),"")</f>
        <v/>
      </c>
      <c r="G9793" s="42" t="str">
        <f>IFERROR(__xludf.DUMMYFUNCTION("""COMPUTED_VALUE"""),"ROYA")</f>
        <v>ROYA</v>
      </c>
      <c r="H9793" s="42">
        <f t="shared" si="1"/>
        <v>3345</v>
      </c>
    </row>
    <row r="9794" ht="22.5" customHeight="1">
      <c r="B9794" s="42" t="str">
        <f>IFERROR(__xludf.DUMMYFUNCTION("""COMPUTED_VALUE"""),"L/6/031225/1")</f>
        <v>L/6/031225/1</v>
      </c>
      <c r="C9794" s="42" t="str">
        <f>IFERROR(__xludf.DUMMYFUNCTION("""COMPUTED_VALUE"""),"B. 252/GEDUNG MENENG")</f>
        <v>B. 252/GEDUNG MENENG</v>
      </c>
      <c r="D9794" s="42"/>
      <c r="E9794" s="42"/>
      <c r="F9794" s="48" t="str">
        <f>IFERROR(__xludf.DUMMYFUNCTION("""COMPUTED_VALUE"""),"")</f>
        <v/>
      </c>
      <c r="G9794" s="42" t="str">
        <f>IFERROR(__xludf.DUMMYFUNCTION("""COMPUTED_VALUE"""),"PENINGKATAN HAK")</f>
        <v>PENINGKATAN HAK</v>
      </c>
      <c r="H9794" s="42">
        <f t="shared" si="1"/>
        <v>3345</v>
      </c>
    </row>
    <row r="9795" ht="22.5" customHeight="1">
      <c r="B9795" s="42" t="str">
        <f>IFERROR(__xludf.DUMMYFUNCTION("""COMPUTED_VALUE"""),"L/7/031225/1")</f>
        <v>L/7/031225/1</v>
      </c>
      <c r="C9795" s="42" t="str">
        <f>IFERROR(__xludf.DUMMYFUNCTION("""COMPUTED_VALUE"""),"M. 4694/BERINGIN RAYA")</f>
        <v>M. 4694/BERINGIN RAYA</v>
      </c>
      <c r="D9795" s="42"/>
      <c r="E9795" s="42"/>
      <c r="F9795" s="48" t="str">
        <f>IFERROR(__xludf.DUMMYFUNCTION("""COMPUTED_VALUE"""),"")</f>
        <v/>
      </c>
      <c r="G9795" s="42" t="str">
        <f>IFERROR(__xludf.DUMMYFUNCTION("""COMPUTED_VALUE"""),"ROYA")</f>
        <v>ROYA</v>
      </c>
      <c r="H9795" s="42">
        <f t="shared" si="1"/>
        <v>3345</v>
      </c>
    </row>
    <row r="9796" ht="22.5" customHeight="1">
      <c r="B9796" s="42" t="str">
        <f>IFERROR(__xludf.DUMMYFUNCTION("""COMPUTED_VALUE"""),"L/8/031225/1")</f>
        <v>L/8/031225/1</v>
      </c>
      <c r="C9796" s="42" t="str">
        <f>IFERROR(__xludf.DUMMYFUNCTION("""COMPUTED_VALUE"""),"B. 1878/SUKABUMI")</f>
        <v>B. 1878/SUKABUMI</v>
      </c>
      <c r="D9796" s="42"/>
      <c r="E9796" s="42"/>
      <c r="F9796" s="48" t="str">
        <f>IFERROR(__xludf.DUMMYFUNCTION("""COMPUTED_VALUE"""),"")</f>
        <v/>
      </c>
      <c r="G9796" s="42" t="str">
        <f>IFERROR(__xludf.DUMMYFUNCTION("""COMPUTED_VALUE"""),"ROYA")</f>
        <v>ROYA</v>
      </c>
      <c r="H9796" s="42">
        <f t="shared" si="1"/>
        <v>3345</v>
      </c>
    </row>
    <row r="9797" ht="22.5" customHeight="1">
      <c r="B9797" s="42" t="str">
        <f>IFERROR(__xludf.DUMMYFUNCTION("""COMPUTED_VALUE"""),"K/1/031225/1")</f>
        <v>K/1/031225/1</v>
      </c>
      <c r="C9797" s="42" t="str">
        <f>IFERROR(__xludf.DUMMYFUNCTION("""COMPUTED_VALUE"""),"NIBEL M. 25640/WAY LAGA")</f>
        <v>NIBEL M. 25640/WAY LAGA</v>
      </c>
      <c r="D9797" s="42"/>
      <c r="E9797" s="42"/>
      <c r="F9797" s="48" t="str">
        <f>IFERROR(__xludf.DUMMYFUNCTION("""COMPUTED_VALUE"""),"")</f>
        <v/>
      </c>
      <c r="G9797" s="42" t="str">
        <f>IFERROR(__xludf.DUMMYFUNCTION("""COMPUTED_VALUE"""),"BN LELANG")</f>
        <v>BN LELANG</v>
      </c>
      <c r="H9797" s="42">
        <f t="shared" si="1"/>
        <v>3345</v>
      </c>
    </row>
    <row r="9798" ht="22.5" customHeight="1">
      <c r="B9798" s="42" t="str">
        <f>IFERROR(__xludf.DUMMYFUNCTION("""COMPUTED_VALUE"""),"AB074/ABTEKDDZ")</f>
        <v>AB074/ABTEKDDZ</v>
      </c>
      <c r="C9798" s="42" t="str">
        <f>IFERROR(__xludf.DUMMYFUNCTION("""COMPUTED_VALUE"""),"SHM NIB.08.01.000026118.0")</f>
        <v>SHM NIB.08.01.000026118.0</v>
      </c>
      <c r="D9798" s="42"/>
      <c r="E9798" s="42"/>
      <c r="F9798" s="48" t="str">
        <f>IFERROR(__xludf.DUMMYFUNCTION("""COMPUTED_VALUE"""),"")</f>
        <v/>
      </c>
      <c r="G9798" s="42" t="str">
        <f>IFERROR(__xludf.DUMMYFUNCTION("""COMPUTED_VALUE"""),"balik nama")</f>
        <v>balik nama</v>
      </c>
      <c r="H9798" s="42">
        <f t="shared" si="1"/>
        <v>3345</v>
      </c>
    </row>
    <row r="9799" ht="22.5" customHeight="1">
      <c r="B9799" s="42" t="str">
        <f>IFERROR(__xludf.DUMMYFUNCTION("""COMPUTED_VALUE"""),"AB074/ABYORAQL")</f>
        <v>AB074/ABYORAQL</v>
      </c>
      <c r="C9799" s="42" t="str">
        <f>IFERROR(__xludf.DUMMYFUNCTION("""COMPUTED_VALUE"""),"SHM NIB.08.01.000021565.0")</f>
        <v>SHM NIB.08.01.000021565.0</v>
      </c>
      <c r="D9799" s="42"/>
      <c r="E9799" s="42"/>
      <c r="F9799" s="48" t="str">
        <f>IFERROR(__xludf.DUMMYFUNCTION("""COMPUTED_VALUE"""),"")</f>
        <v/>
      </c>
      <c r="G9799" s="42" t="str">
        <f>IFERROR(__xludf.DUMMYFUNCTION("""COMPUTED_VALUE"""),"balik nama")</f>
        <v>balik nama</v>
      </c>
      <c r="H9799" s="42">
        <f t="shared" si="1"/>
        <v>3345</v>
      </c>
    </row>
    <row r="9800" ht="22.5" customHeight="1">
      <c r="B9800" s="42" t="str">
        <f>IFERROR(__xludf.DUMMYFUNCTION("""COMPUTED_VALUE"""),"L/10/031225/1")</f>
        <v>L/10/031225/1</v>
      </c>
      <c r="C9800" s="42" t="str">
        <f>IFERROR(__xludf.DUMMYFUNCTION("""COMPUTED_VALUE"""),"B. 1482/TANJUNG SENENG")</f>
        <v>B. 1482/TANJUNG SENENG</v>
      </c>
      <c r="D9800" s="42"/>
      <c r="E9800" s="42"/>
      <c r="F9800" s="48" t="str">
        <f>IFERROR(__xludf.DUMMYFUNCTION("""COMPUTED_VALUE"""),"")</f>
        <v/>
      </c>
      <c r="G9800" s="42" t="str">
        <f>IFERROR(__xludf.DUMMYFUNCTION("""COMPUTED_VALUE"""),"ROYA")</f>
        <v>ROYA</v>
      </c>
      <c r="H9800" s="42">
        <f t="shared" si="1"/>
        <v>3345</v>
      </c>
    </row>
    <row r="9801" ht="22.5" customHeight="1">
      <c r="B9801" s="42" t="str">
        <f>IFERROR(__xludf.DUMMYFUNCTION("""COMPUTED_VALUE"""),"AB066/ABHCRBPL")</f>
        <v>AB066/ABHCRBPL</v>
      </c>
      <c r="C9801" s="42" t="str">
        <f>IFERROR(__xludf.DUMMYFUNCTION("""COMPUTED_VALUE"""),"m.6643/tanjung senang")</f>
        <v>m.6643/tanjung senang</v>
      </c>
      <c r="D9801" s="42"/>
      <c r="E9801" s="42"/>
      <c r="F9801" s="48" t="str">
        <f>IFERROR(__xludf.DUMMYFUNCTION("""COMPUTED_VALUE"""),"")</f>
        <v/>
      </c>
      <c r="G9801" s="42" t="str">
        <f>IFERROR(__xludf.DUMMYFUNCTION("""COMPUTED_VALUE"""),"BALIK NAMA")</f>
        <v>BALIK NAMA</v>
      </c>
      <c r="H9801" s="42">
        <f t="shared" si="1"/>
        <v>3345</v>
      </c>
    </row>
    <row r="9802" ht="22.5" customHeight="1">
      <c r="B9802" s="42" t="str">
        <f>IFERROR(__xludf.DUMMYFUNCTION("""COMPUTED_VALUE"""),"AB066/ABBXYBYK")</f>
        <v>AB066/ABBXYBYK</v>
      </c>
      <c r="C9802" s="42" t="str">
        <f>IFERROR(__xludf.DUMMYFUNCTION("""COMPUTED_VALUE"""),"M.1860, Rajabasa pemuka")</f>
        <v>M.1860, Rajabasa pemuka</v>
      </c>
      <c r="D9802" s="42"/>
      <c r="E9802" s="42"/>
      <c r="F9802" s="48" t="str">
        <f>IFERROR(__xludf.DUMMYFUNCTION("""COMPUTED_VALUE"""),"")</f>
        <v/>
      </c>
      <c r="G9802" s="42" t="str">
        <f>IFERROR(__xludf.DUMMYFUNCTION("""COMPUTED_VALUE"""),"BALIK NAMA")</f>
        <v>BALIK NAMA</v>
      </c>
      <c r="H9802" s="42">
        <f t="shared" si="1"/>
        <v>3345</v>
      </c>
    </row>
    <row r="9803" ht="22.5" customHeight="1">
      <c r="B9803" s="42" t="str">
        <f>IFERROR(__xludf.DUMMYFUNCTION("""COMPUTED_VALUE"""),"AB066/ABLULMDL")</f>
        <v>AB066/ABLULMDL</v>
      </c>
      <c r="C9803" s="42" t="str">
        <f>IFERROR(__xludf.DUMMYFUNCTION("""COMPUTED_VALUE"""),"B.559/gunung sulah")</f>
        <v>B.559/gunung sulah</v>
      </c>
      <c r="D9803" s="42"/>
      <c r="E9803" s="42"/>
      <c r="F9803" s="48" t="str">
        <f>IFERROR(__xludf.DUMMYFUNCTION("""COMPUTED_VALUE"""),"")</f>
        <v/>
      </c>
      <c r="G9803" s="42" t="str">
        <f>IFERROR(__xludf.DUMMYFUNCTION("""COMPUTED_VALUE"""),"Peningkatan hak")</f>
        <v>Peningkatan hak</v>
      </c>
      <c r="H9803" s="42">
        <f t="shared" si="1"/>
        <v>3345</v>
      </c>
    </row>
    <row r="9804" ht="22.5" customHeight="1">
      <c r="B9804" s="42" t="str">
        <f>IFERROR(__xludf.DUMMYFUNCTION("""COMPUTED_VALUE"""),"ABWRBIEV/AB086")</f>
        <v>ABWRBIEV/AB086</v>
      </c>
      <c r="C9804" s="42" t="str">
        <f>IFERROR(__xludf.DUMMYFUNCTION("""COMPUTED_VALUE"""),"M. 3499/beringin raya")</f>
        <v>M. 3499/beringin raya</v>
      </c>
      <c r="D9804" s="42"/>
      <c r="E9804" s="42"/>
      <c r="F9804" s="48" t="str">
        <f>IFERROR(__xludf.DUMMYFUNCTION("""COMPUTED_VALUE"""),"")</f>
        <v/>
      </c>
      <c r="G9804" s="42" t="str">
        <f>IFERROR(__xludf.DUMMYFUNCTION("""COMPUTED_VALUE"""),"BN jual beli")</f>
        <v>BN jual beli</v>
      </c>
      <c r="H9804" s="42">
        <f t="shared" si="1"/>
        <v>3345</v>
      </c>
    </row>
    <row r="9805" ht="22.5" customHeight="1">
      <c r="B9805" s="42" t="str">
        <f>IFERROR(__xludf.DUMMYFUNCTION("""COMPUTED_VALUE"""),"ABQCCYCI")</f>
        <v>ABQCCYCI</v>
      </c>
      <c r="C9805" s="42" t="str">
        <f>IFERROR(__xludf.DUMMYFUNCTION("""COMPUTED_VALUE"""),"m 1294/ pinang jaya")</f>
        <v>m 1294/ pinang jaya</v>
      </c>
      <c r="D9805" s="42"/>
      <c r="E9805" s="42"/>
      <c r="F9805" s="48" t="str">
        <f>IFERROR(__xludf.DUMMYFUNCTION("""COMPUTED_VALUE"""),"")</f>
        <v/>
      </c>
      <c r="G9805" s="42" t="str">
        <f>IFERROR(__xludf.DUMMYFUNCTION("""COMPUTED_VALUE"""),"AJB")</f>
        <v>AJB</v>
      </c>
      <c r="H9805" s="42">
        <f t="shared" si="1"/>
        <v>3345</v>
      </c>
    </row>
    <row r="9806" ht="22.5" customHeight="1">
      <c r="B9806" s="42" t="str">
        <f>IFERROR(__xludf.DUMMYFUNCTION("""COMPUTED_VALUE"""),"ABKOACDR/AB078/AB079")</f>
        <v>ABKOACDR/AB078/AB079</v>
      </c>
      <c r="C9806" s="42" t="str">
        <f>IFERROR(__xludf.DUMMYFUNCTION("""COMPUTED_VALUE"""),"M.1293./Kangkung")</f>
        <v>M.1293./Kangkung</v>
      </c>
      <c r="D9806" s="42"/>
      <c r="E9806" s="42"/>
      <c r="F9806" s="48" t="str">
        <f>IFERROR(__xludf.DUMMYFUNCTION("""COMPUTED_VALUE"""),"")</f>
        <v/>
      </c>
      <c r="G9806" s="42" t="str">
        <f>IFERROR(__xludf.DUMMYFUNCTION("""COMPUTED_VALUE"""),"BN Waris")</f>
        <v>BN Waris</v>
      </c>
      <c r="H9806" s="42">
        <f t="shared" si="1"/>
        <v>3345</v>
      </c>
    </row>
    <row r="9807" ht="22.5" customHeight="1">
      <c r="B9807" s="42" t="str">
        <f>IFERROR(__xludf.DUMMYFUNCTION("""COMPUTED_VALUE"""),"L/11/031225/1")</f>
        <v>L/11/031225/1</v>
      </c>
      <c r="C9807" s="42" t="str">
        <f>IFERROR(__xludf.DUMMYFUNCTION("""COMPUTED_VALUE"""),"M. 284/PERUMNAS WAY HALIM")</f>
        <v>M. 284/PERUMNAS WAY HALIM</v>
      </c>
      <c r="D9807" s="42"/>
      <c r="E9807" s="42"/>
      <c r="F9807" s="48" t="str">
        <f>IFERROR(__xludf.DUMMYFUNCTION("""COMPUTED_VALUE"""),"")</f>
        <v/>
      </c>
      <c r="G9807" s="42" t="str">
        <f>IFERROR(__xludf.DUMMYFUNCTION("""COMPUTED_VALUE"""),"BN WARIS")</f>
        <v>BN WARIS</v>
      </c>
      <c r="H9807" s="42">
        <f t="shared" si="1"/>
        <v>3345</v>
      </c>
    </row>
    <row r="9808" ht="22.5" customHeight="1">
      <c r="B9808" s="42" t="str">
        <f>IFERROR(__xludf.DUMMYFUNCTION("""COMPUTED_VALUE"""),"AB081/ABFUAMII")</f>
        <v>AB081/ABFUAMII</v>
      </c>
      <c r="C9808" s="42" t="str">
        <f>IFERROR(__xludf.DUMMYFUNCTION("""COMPUTED_VALUE"""),"Nibel M.25996/ Tanjung Gading")</f>
        <v>Nibel M.25996/ Tanjung Gading</v>
      </c>
      <c r="D9808" s="42"/>
      <c r="E9808" s="42"/>
      <c r="F9808" s="48" t="str">
        <f>IFERROR(__xludf.DUMMYFUNCTION("""COMPUTED_VALUE"""),"")</f>
        <v/>
      </c>
      <c r="G9808" s="42" t="str">
        <f>IFERROR(__xludf.DUMMYFUNCTION("""COMPUTED_VALUE"""),"BN")</f>
        <v>BN</v>
      </c>
      <c r="H9808" s="42">
        <f t="shared" si="1"/>
        <v>3345</v>
      </c>
    </row>
    <row r="9809" ht="22.5" customHeight="1">
      <c r="B9809" s="42" t="str">
        <f>IFERROR(__xludf.DUMMYFUNCTION("""COMPUTED_VALUE"""),"AB025/ABHXYEKF")</f>
        <v>AB025/ABHXYEKF</v>
      </c>
      <c r="C9809" s="42" t="str">
        <f>IFERROR(__xludf.DUMMYFUNCTION("""COMPUTED_VALUE"""),"Nib 26007.0 RAJABASA NUNYAI")</f>
        <v>Nib 26007.0 RAJABASA NUNYAI</v>
      </c>
      <c r="D9809" s="42"/>
      <c r="E9809" s="42"/>
      <c r="F9809" s="48" t="str">
        <f>IFERROR(__xludf.DUMMYFUNCTION("""COMPUTED_VALUE"""),"")</f>
        <v/>
      </c>
      <c r="G9809" s="42" t="str">
        <f>IFERROR(__xludf.DUMMYFUNCTION("""COMPUTED_VALUE"""),"Perubahan hak")</f>
        <v>Perubahan hak</v>
      </c>
      <c r="H9809" s="42">
        <f t="shared" si="1"/>
        <v>3345</v>
      </c>
    </row>
    <row r="9810" ht="22.5" customHeight="1">
      <c r="B9810" s="42" t="str">
        <f>IFERROR(__xludf.DUMMYFUNCTION("""COMPUTED_VALUE"""),"AB025/ABMPMFHD")</f>
        <v>AB025/ABMPMFHD</v>
      </c>
      <c r="C9810" s="42" t="str">
        <f>IFERROR(__xludf.DUMMYFUNCTION("""COMPUTED_VALUE"""),"Nib 26958.0 RAJABASA NUNYAI")</f>
        <v>Nib 26958.0 RAJABASA NUNYAI</v>
      </c>
      <c r="D9810" s="42"/>
      <c r="E9810" s="42"/>
      <c r="F9810" s="48" t="str">
        <f>IFERROR(__xludf.DUMMYFUNCTION("""COMPUTED_VALUE"""),"")</f>
        <v/>
      </c>
      <c r="G9810" s="42" t="str">
        <f>IFERROR(__xludf.DUMMYFUNCTION("""COMPUTED_VALUE"""),"Perubahan hak")</f>
        <v>Perubahan hak</v>
      </c>
      <c r="H9810" s="42">
        <f t="shared" si="1"/>
        <v>3345</v>
      </c>
    </row>
    <row r="9811" ht="22.5" customHeight="1">
      <c r="B9811" s="42" t="str">
        <f>IFERROR(__xludf.DUMMYFUNCTION("""COMPUTED_VALUE"""),"L/1/041225/1")</f>
        <v>L/1/041225/1</v>
      </c>
      <c r="C9811" s="42" t="str">
        <f>IFERROR(__xludf.DUMMYFUNCTION("""COMPUTED_VALUE"""),"M. 2176/KOTA BARU")</f>
        <v>M. 2176/KOTA BARU</v>
      </c>
      <c r="D9811" s="42"/>
      <c r="E9811" s="42"/>
      <c r="F9811" s="48" t="str">
        <f>IFERROR(__xludf.DUMMYFUNCTION("""COMPUTED_VALUE"""),"")</f>
        <v/>
      </c>
      <c r="G9811" s="42" t="str">
        <f>IFERROR(__xludf.DUMMYFUNCTION("""COMPUTED_VALUE"""),"ROYA")</f>
        <v>ROYA</v>
      </c>
      <c r="H9811" s="42">
        <f t="shared" si="1"/>
        <v>3345</v>
      </c>
    </row>
    <row r="9812" ht="22.5" customHeight="1">
      <c r="B9812" s="42" t="str">
        <f>IFERROR(__xludf.DUMMYFUNCTION("""COMPUTED_VALUE"""),"AB041/ ABVRLTRL")</f>
        <v>AB041/ ABVRLTRL</v>
      </c>
      <c r="C9812" s="42" t="str">
        <f>IFERROR(__xludf.DUMMYFUNCTION("""COMPUTED_VALUE"""),"NIBEL M.25480 LANGKAPURA")</f>
        <v>NIBEL M.25480 LANGKAPURA</v>
      </c>
      <c r="D9812" s="42"/>
      <c r="E9812" s="42"/>
      <c r="F9812" s="48" t="str">
        <f>IFERROR(__xludf.DUMMYFUNCTION("""COMPUTED_VALUE"""),"")</f>
        <v/>
      </c>
      <c r="G9812" s="42" t="str">
        <f>IFERROR(__xludf.DUMMYFUNCTION("""COMPUTED_VALUE"""),"BN")</f>
        <v>BN</v>
      </c>
      <c r="H9812" s="42">
        <f t="shared" si="1"/>
        <v>3345</v>
      </c>
    </row>
    <row r="9813" ht="22.5" customHeight="1">
      <c r="B9813" s="42" t="str">
        <f>IFERROR(__xludf.DUMMYFUNCTION("""COMPUTED_VALUE"""),"AB052/ ABHVUSRR")</f>
        <v>AB052/ ABHVUSRR</v>
      </c>
      <c r="C9813" s="42" t="str">
        <f>IFERROR(__xludf.DUMMYFUNCTION("""COMPUTED_VALUE"""),"  M.5315/ TANJUNG SENANG")</f>
        <v>  M.5315/ TANJUNG SENANG</v>
      </c>
      <c r="D9813" s="42"/>
      <c r="E9813" s="42"/>
      <c r="F9813" s="48" t="str">
        <f>IFERROR(__xludf.DUMMYFUNCTION("""COMPUTED_VALUE"""),"")</f>
        <v/>
      </c>
      <c r="G9813" s="42" t="str">
        <f>IFERROR(__xludf.DUMMYFUNCTION("""COMPUTED_VALUE"""),"Balik Nama")</f>
        <v>Balik Nama</v>
      </c>
      <c r="H9813" s="42">
        <f t="shared" si="1"/>
        <v>3345</v>
      </c>
    </row>
    <row r="9814" ht="22.5" customHeight="1">
      <c r="B9814" s="42" t="str">
        <f>IFERROR(__xludf.DUMMYFUNCTION("""COMPUTED_VALUE"""),"ABXJLNSD")</f>
        <v>ABXJLNSD</v>
      </c>
      <c r="C9814" s="42" t="str">
        <f>IFERROR(__xludf.DUMMYFUNCTION("""COMPUTED_VALUE"""),"HGB.178/SUMBERREJO SEJAHTERA")</f>
        <v>HGB.178/SUMBERREJO SEJAHTERA</v>
      </c>
      <c r="D9814" s="42"/>
      <c r="E9814" s="42"/>
      <c r="F9814" s="48" t="str">
        <f>IFERROR(__xludf.DUMMYFUNCTION("""COMPUTED_VALUE"""),"")</f>
        <v/>
      </c>
      <c r="G9814" s="42" t="str">
        <f>IFERROR(__xludf.DUMMYFUNCTION("""COMPUTED_VALUE"""),"BALIK NAMA")</f>
        <v>BALIK NAMA</v>
      </c>
      <c r="H9814" s="42">
        <f t="shared" si="1"/>
        <v>3345</v>
      </c>
    </row>
    <row r="9815" ht="22.5" customHeight="1">
      <c r="B9815" s="42" t="str">
        <f>IFERROR(__xludf.DUMMYFUNCTION("""COMPUTED_VALUE"""),"AB053/ABKPYVCA")</f>
        <v>AB053/ABKPYVCA</v>
      </c>
      <c r="C9815" s="42" t="str">
        <f>IFERROR(__xludf.DUMMYFUNCTION("""COMPUTED_VALUE"""),"M. 2713/SUKAJAWA")</f>
        <v>M. 2713/SUKAJAWA</v>
      </c>
      <c r="D9815" s="42"/>
      <c r="E9815" s="42"/>
      <c r="F9815" s="48" t="str">
        <f>IFERROR(__xludf.DUMMYFUNCTION("""COMPUTED_VALUE"""),"")</f>
        <v/>
      </c>
      <c r="G9815" s="42" t="str">
        <f>IFERROR(__xludf.DUMMYFUNCTION("""COMPUTED_VALUE"""),"BN jual beli")</f>
        <v>BN jual beli</v>
      </c>
      <c r="H9815" s="42">
        <f t="shared" si="1"/>
        <v>3345</v>
      </c>
    </row>
    <row r="9816" ht="22.5" customHeight="1">
      <c r="B9816" s="42" t="str">
        <f>IFERROR(__xludf.DUMMYFUNCTION("""COMPUTED_VALUE"""),"K/9/031225/1")</f>
        <v>K/9/031225/1</v>
      </c>
      <c r="C9816" s="42" t="str">
        <f>IFERROR(__xludf.DUMMYFUNCTION("""COMPUTED_VALUE"""),"B. 241/BAKUNG")</f>
        <v>B. 241/BAKUNG</v>
      </c>
      <c r="D9816" s="42"/>
      <c r="E9816" s="42"/>
      <c r="F9816" s="48" t="str">
        <f>IFERROR(__xludf.DUMMYFUNCTION("""COMPUTED_VALUE"""),"")</f>
        <v/>
      </c>
      <c r="G9816" s="42" t="str">
        <f>IFERROR(__xludf.DUMMYFUNCTION("""COMPUTED_VALUE"""),"SKPT INFORMASI")</f>
        <v>SKPT INFORMASI</v>
      </c>
      <c r="H9816" s="42">
        <f t="shared" si="1"/>
        <v>3345</v>
      </c>
    </row>
    <row r="9817" ht="22.5" customHeight="1">
      <c r="B9817" s="42" t="str">
        <f>IFERROR(__xludf.DUMMYFUNCTION("""COMPUTED_VALUE"""),"ABKDNJYL")</f>
        <v>ABKDNJYL</v>
      </c>
      <c r="C9817" s="42" t="str">
        <f>IFERROR(__xludf.DUMMYFUNCTION("""COMPUTED_VALUE"""),"03246")</f>
        <v>03246</v>
      </c>
      <c r="D9817" s="42"/>
      <c r="E9817" s="42"/>
      <c r="F9817" s="48" t="str">
        <f>IFERROR(__xludf.DUMMYFUNCTION("""COMPUTED_VALUE"""),"")</f>
        <v/>
      </c>
      <c r="G9817" s="42" t="str">
        <f>IFERROR(__xludf.DUMMYFUNCTION("""COMPUTED_VALUE"""),"Balik nama")</f>
        <v>Balik nama</v>
      </c>
      <c r="H9817" s="42">
        <f t="shared" si="1"/>
        <v>3345</v>
      </c>
    </row>
    <row r="9818" ht="22.5" customHeight="1">
      <c r="B9818" s="42" t="str">
        <f>IFERROR(__xludf.DUMMYFUNCTION("""COMPUTED_VALUE"""),"ABKTUFMY/006")</f>
        <v>ABKTUFMY/006</v>
      </c>
      <c r="C9818" s="42" t="str">
        <f>IFERROR(__xludf.DUMMYFUNCTION("""COMPUTED_VALUE"""),"SHM 968 Jagabaya 3")</f>
        <v>SHM 968 Jagabaya 3</v>
      </c>
      <c r="D9818" s="42"/>
      <c r="E9818" s="42"/>
      <c r="F9818" s="48" t="str">
        <f>IFERROR(__xludf.DUMMYFUNCTION("""COMPUTED_VALUE"""),"")</f>
        <v/>
      </c>
      <c r="G9818" s="42" t="str">
        <f>IFERROR(__xludf.DUMMYFUNCTION("""COMPUTED_VALUE"""),"perlihan hak waris")</f>
        <v>perlihan hak waris</v>
      </c>
      <c r="H9818" s="42">
        <f t="shared" si="1"/>
        <v>3345</v>
      </c>
    </row>
    <row r="9819" ht="22.5" customHeight="1">
      <c r="B9819" s="42" t="str">
        <f>IFERROR(__xludf.DUMMYFUNCTION("""COMPUTED_VALUE"""),"AB061/ABSQVJVE")</f>
        <v>AB061/ABSQVJVE</v>
      </c>
      <c r="C9819" s="42" t="str">
        <f>IFERROR(__xludf.DUMMYFUNCTION("""COMPUTED_VALUE"""),"M.1061/GUNUNG AGUNG")</f>
        <v>M.1061/GUNUNG AGUNG</v>
      </c>
      <c r="D9819" s="42"/>
      <c r="E9819" s="42"/>
      <c r="F9819" s="48" t="str">
        <f>IFERROR(__xludf.DUMMYFUNCTION("""COMPUTED_VALUE"""),"")</f>
        <v/>
      </c>
      <c r="G9819" s="42" t="str">
        <f>IFERROR(__xludf.DUMMYFUNCTION("""COMPUTED_VALUE"""),"HIBAH")</f>
        <v>HIBAH</v>
      </c>
      <c r="H9819" s="42">
        <f t="shared" si="1"/>
        <v>3345</v>
      </c>
    </row>
    <row r="9820" ht="22.5" customHeight="1">
      <c r="B9820" s="42" t="str">
        <f>IFERROR(__xludf.DUMMYFUNCTION("""COMPUTED_VALUE"""),"L/3/041225/1")</f>
        <v>L/3/041225/1</v>
      </c>
      <c r="C9820" s="42" t="str">
        <f>IFERROR(__xludf.DUMMYFUNCTION("""COMPUTED_VALUE"""),"M. 2938/KEMILING PERMAI")</f>
        <v>M. 2938/KEMILING PERMAI</v>
      </c>
      <c r="D9820" s="42"/>
      <c r="E9820" s="42"/>
      <c r="F9820" s="48" t="str">
        <f>IFERROR(__xludf.DUMMYFUNCTION("""COMPUTED_VALUE"""),"")</f>
        <v/>
      </c>
      <c r="G9820" s="42" t="str">
        <f>IFERROR(__xludf.DUMMYFUNCTION("""COMPUTED_VALUE"""),"ROYA")</f>
        <v>ROYA</v>
      </c>
      <c r="H9820" s="42">
        <f t="shared" si="1"/>
        <v>3345</v>
      </c>
    </row>
    <row r="9821" ht="22.5" customHeight="1">
      <c r="B9821" s="42" t="str">
        <f>IFERROR(__xludf.DUMMYFUNCTION("""COMPUTED_VALUE"""),"ABRQQXDC")</f>
        <v>ABRQQXDC</v>
      </c>
      <c r="C9821" s="42">
        <f>IFERROR(__xludf.DUMMYFUNCTION("""COMPUTED_VALUE"""),847.0)</f>
        <v>847</v>
      </c>
      <c r="D9821" s="42"/>
      <c r="E9821" s="42"/>
      <c r="F9821" s="48" t="str">
        <f>IFERROR(__xludf.DUMMYFUNCTION("""COMPUTED_VALUE"""),"")</f>
        <v/>
      </c>
      <c r="G9821" s="42" t="str">
        <f>IFERROR(__xludf.DUMMYFUNCTION("""COMPUTED_VALUE"""),"Peralihan hak")</f>
        <v>Peralihan hak</v>
      </c>
      <c r="H9821" s="42">
        <f t="shared" si="1"/>
        <v>3345</v>
      </c>
    </row>
    <row r="9822" ht="22.5" customHeight="1">
      <c r="B9822" s="42" t="str">
        <f>IFERROR(__xludf.DUMMYFUNCTION("""COMPUTED_VALUE"""),"AB061/ABFEKNUC")</f>
        <v>AB061/ABFEKNUC</v>
      </c>
      <c r="C9822" s="42" t="str">
        <f>IFERROR(__xludf.DUMMYFUNCTION("""COMPUTED_VALUE"""),"M.23189/tanjung senang ")</f>
        <v>M.23189/tanjung senang </v>
      </c>
      <c r="D9822" s="42"/>
      <c r="E9822" s="42"/>
      <c r="F9822" s="48" t="str">
        <f>IFERROR(__xludf.DUMMYFUNCTION("""COMPUTED_VALUE"""),"")</f>
        <v/>
      </c>
      <c r="G9822" s="42" t="str">
        <f>IFERROR(__xludf.DUMMYFUNCTION("""COMPUTED_VALUE"""),"Bn")</f>
        <v>Bn</v>
      </c>
      <c r="H9822" s="42">
        <f t="shared" si="1"/>
        <v>3345</v>
      </c>
    </row>
    <row r="9823" ht="22.5" customHeight="1">
      <c r="B9823" s="42" t="str">
        <f>IFERROR(__xludf.DUMMYFUNCTION("""COMPUTED_VALUE"""),"ABSEOENN")</f>
        <v>ABSEOENN</v>
      </c>
      <c r="C9823" s="42" t="str">
        <f>IFERROR(__xludf.DUMMYFUNCTION("""COMPUTED_VALUE"""),"M.14551/sukabumi")</f>
        <v>M.14551/sukabumi</v>
      </c>
      <c r="D9823" s="42"/>
      <c r="E9823" s="42"/>
      <c r="F9823" s="48" t="str">
        <f>IFERROR(__xludf.DUMMYFUNCTION("""COMPUTED_VALUE"""),"")</f>
        <v/>
      </c>
      <c r="G9823" s="42" t="str">
        <f>IFERROR(__xludf.DUMMYFUNCTION("""COMPUTED_VALUE"""),"Bn jual beli")</f>
        <v>Bn jual beli</v>
      </c>
      <c r="H9823" s="42">
        <f t="shared" si="1"/>
        <v>3345</v>
      </c>
    </row>
    <row r="9824" ht="22.5" customHeight="1">
      <c r="B9824" s="42" t="str">
        <f>IFERROR(__xludf.DUMMYFUNCTION("""COMPUTED_VALUE"""),"-")</f>
        <v>-</v>
      </c>
      <c r="C9824" s="42">
        <f>IFERROR(__xludf.DUMMYFUNCTION("""COMPUTED_VALUE"""),1832.0)</f>
        <v>1832</v>
      </c>
      <c r="D9824" s="42"/>
      <c r="E9824" s="42"/>
      <c r="F9824" s="48" t="str">
        <f>IFERROR(__xludf.DUMMYFUNCTION("""COMPUTED_VALUE"""),"")</f>
        <v/>
      </c>
      <c r="G9824" s="42" t="str">
        <f>IFERROR(__xludf.DUMMYFUNCTION("""COMPUTED_VALUE"""),"Gandes")</f>
        <v>Gandes</v>
      </c>
      <c r="H9824" s="42">
        <f t="shared" si="1"/>
        <v>3345</v>
      </c>
    </row>
    <row r="9825" ht="22.5" customHeight="1">
      <c r="B9825" s="42" t="str">
        <f>IFERROR(__xludf.DUMMYFUNCTION("""COMPUTED_VALUE"""),"AB080/ABTBRRBT")</f>
        <v>AB080/ABTBRRBT</v>
      </c>
      <c r="C9825" s="42" t="str">
        <f>IFERROR(__xludf.DUMMYFUNCTION("""COMPUTED_VALUE"""),"NIBEL M.26889/GUNUNG TERANG")</f>
        <v>NIBEL M.26889/GUNUNG TERANG</v>
      </c>
      <c r="D9825" s="42"/>
      <c r="E9825" s="42"/>
      <c r="F9825" s="48" t="str">
        <f>IFERROR(__xludf.DUMMYFUNCTION("""COMPUTED_VALUE"""),"")</f>
        <v/>
      </c>
      <c r="G9825" s="42" t="str">
        <f>IFERROR(__xludf.DUMMYFUNCTION("""COMPUTED_VALUE"""),"Balik nama hibah")</f>
        <v>Balik nama hibah</v>
      </c>
      <c r="H9825" s="42">
        <f t="shared" si="1"/>
        <v>3345</v>
      </c>
    </row>
    <row r="9826" ht="22.5" customHeight="1">
      <c r="B9826" s="42" t="str">
        <f>IFERROR(__xludf.DUMMYFUNCTION("""COMPUTED_VALUE"""),"ABGZPBWD/AB082")</f>
        <v>ABGZPBWD/AB082</v>
      </c>
      <c r="C9826" s="42" t="str">
        <f>IFERROR(__xludf.DUMMYFUNCTION("""COMPUTED_VALUE"""),"M. NIBEL 20582/RAJABASA JAYA")</f>
        <v>M. NIBEL 20582/RAJABASA JAYA</v>
      </c>
      <c r="D9826" s="42"/>
      <c r="E9826" s="42"/>
      <c r="F9826" s="48" t="str">
        <f>IFERROR(__xludf.DUMMYFUNCTION("""COMPUTED_VALUE"""),"")</f>
        <v/>
      </c>
      <c r="G9826" s="42" t="str">
        <f>IFERROR(__xludf.DUMMYFUNCTION("""COMPUTED_VALUE"""),"Balik Nama")</f>
        <v>Balik Nama</v>
      </c>
      <c r="H9826" s="42">
        <f t="shared" si="1"/>
        <v>3345</v>
      </c>
    </row>
    <row r="9827" ht="22.5" customHeight="1">
      <c r="B9827" s="42" t="str">
        <f>IFERROR(__xludf.DUMMYFUNCTION("""COMPUTED_VALUE"""),"K/2/041225/1")</f>
        <v>K/2/041225/1</v>
      </c>
      <c r="C9827" s="42" t="str">
        <f>IFERROR(__xludf.DUMMYFUNCTION("""COMPUTED_VALUE"""),"PBT. 110/2024 SUKAMAJU")</f>
        <v>PBT. 110/2024 SUKAMAJU</v>
      </c>
      <c r="D9827" s="42"/>
      <c r="E9827" s="42"/>
      <c r="F9827" s="48" t="str">
        <f>IFERROR(__xludf.DUMMYFUNCTION("""COMPUTED_VALUE"""),"")</f>
        <v/>
      </c>
      <c r="G9827" s="42" t="str">
        <f>IFERROR(__xludf.DUMMYFUNCTION("""COMPUTED_VALUE"""),"PERMOHONAN SK ")</f>
        <v>PERMOHONAN SK </v>
      </c>
      <c r="H9827" s="42">
        <f t="shared" si="1"/>
        <v>3345</v>
      </c>
    </row>
    <row r="9828" ht="22.5" customHeight="1">
      <c r="B9828" s="42" t="str">
        <f>IFERROR(__xludf.DUMMYFUNCTION("""COMPUTED_VALUE"""),"ABWZEZRC")</f>
        <v>ABWZEZRC</v>
      </c>
      <c r="C9828" s="42" t="str">
        <f>IFERROR(__xludf.DUMMYFUNCTION("""COMPUTED_VALUE"""),"M 16481/ sukabumi")</f>
        <v>M 16481/ sukabumi</v>
      </c>
      <c r="D9828" s="42"/>
      <c r="E9828" s="42"/>
      <c r="F9828" s="48" t="str">
        <f>IFERROR(__xludf.DUMMYFUNCTION("""COMPUTED_VALUE"""),"")</f>
        <v/>
      </c>
      <c r="G9828" s="42" t="str">
        <f>IFERROR(__xludf.DUMMYFUNCTION("""COMPUTED_VALUE"""),"Balik Nama jual beli")</f>
        <v>Balik Nama jual beli</v>
      </c>
      <c r="H9828" s="42">
        <f t="shared" si="1"/>
        <v>3345</v>
      </c>
    </row>
    <row r="9829" ht="22.5" customHeight="1">
      <c r="B9829" s="42" t="str">
        <f>IFERROR(__xludf.DUMMYFUNCTION("""COMPUTED_VALUE"""),"K/4/041225/1")</f>
        <v>K/4/041225/1</v>
      </c>
      <c r="C9829" s="42" t="str">
        <f>IFERROR(__xludf.DUMMYFUNCTION("""COMPUTED_VALUE"""),"B. 280/BAKUNG")</f>
        <v>B. 280/BAKUNG</v>
      </c>
      <c r="D9829" s="42"/>
      <c r="E9829" s="42"/>
      <c r="F9829" s="48" t="str">
        <f>IFERROR(__xludf.DUMMYFUNCTION("""COMPUTED_VALUE"""),"")</f>
        <v/>
      </c>
      <c r="G9829" s="42" t="str">
        <f>IFERROR(__xludf.DUMMYFUNCTION("""COMPUTED_VALUE"""),"SKPT INFORMASI")</f>
        <v>SKPT INFORMASI</v>
      </c>
      <c r="H9829" s="42">
        <f t="shared" si="1"/>
        <v>3345</v>
      </c>
    </row>
    <row r="9830" ht="22.5" customHeight="1">
      <c r="B9830" s="42" t="str">
        <f>IFERROR(__xludf.DUMMYFUNCTION("""COMPUTED_VALUE"""),"K/5/041225/2")</f>
        <v>K/5/041225/2</v>
      </c>
      <c r="C9830" s="42" t="str">
        <f>IFERROR(__xludf.DUMMYFUNCTION("""COMPUTED_VALUE"""),"B. 279/BAKUNG")</f>
        <v>B. 279/BAKUNG</v>
      </c>
      <c r="D9830" s="42"/>
      <c r="E9830" s="42"/>
      <c r="F9830" s="48" t="str">
        <f>IFERROR(__xludf.DUMMYFUNCTION("""COMPUTED_VALUE"""),"")</f>
        <v/>
      </c>
      <c r="G9830" s="42" t="str">
        <f>IFERROR(__xludf.DUMMYFUNCTION("""COMPUTED_VALUE"""),"SKPT INFORMASI")</f>
        <v>SKPT INFORMASI</v>
      </c>
      <c r="H9830" s="42">
        <f t="shared" si="1"/>
        <v>3345</v>
      </c>
    </row>
    <row r="9831" ht="22.5" customHeight="1">
      <c r="B9831" s="42" t="str">
        <f>IFERROR(__xludf.DUMMYFUNCTION("""COMPUTED_VALUE"""),"K/6/041225/3")</f>
        <v>K/6/041225/3</v>
      </c>
      <c r="C9831" s="42" t="str">
        <f>IFERROR(__xludf.DUMMYFUNCTION("""COMPUTED_VALUE"""),"B. 281/BAKUNG")</f>
        <v>B. 281/BAKUNG</v>
      </c>
      <c r="D9831" s="42"/>
      <c r="E9831" s="42"/>
      <c r="F9831" s="48" t="str">
        <f>IFERROR(__xludf.DUMMYFUNCTION("""COMPUTED_VALUE"""),"")</f>
        <v/>
      </c>
      <c r="G9831" s="42" t="str">
        <f>IFERROR(__xludf.DUMMYFUNCTION("""COMPUTED_VALUE"""),"SKPT INFORMASI")</f>
        <v>SKPT INFORMASI</v>
      </c>
      <c r="H9831" s="42">
        <f t="shared" si="1"/>
        <v>3345</v>
      </c>
    </row>
    <row r="9832" ht="22.5" customHeight="1">
      <c r="B9832" s="42" t="str">
        <f>IFERROR(__xludf.DUMMYFUNCTION("""COMPUTED_VALUE"""),"ABLXDZYK/AB06")</f>
        <v>ABLXDZYK/AB06</v>
      </c>
      <c r="C9832" s="42" t="str">
        <f>IFERROR(__xludf.DUMMYFUNCTION("""COMPUTED_VALUE"""),"M. 01852/Rajabasa Pemuka")</f>
        <v>M. 01852/Rajabasa Pemuka</v>
      </c>
      <c r="D9832" s="42"/>
      <c r="E9832" s="42"/>
      <c r="F9832" s="48" t="str">
        <f>IFERROR(__xludf.DUMMYFUNCTION("""COMPUTED_VALUE"""),"")</f>
        <v/>
      </c>
      <c r="G9832" s="42" t="str">
        <f>IFERROR(__xludf.DUMMYFUNCTION("""COMPUTED_VALUE"""),"Bn jual beli")</f>
        <v>Bn jual beli</v>
      </c>
      <c r="H9832" s="42">
        <f t="shared" si="1"/>
        <v>3345</v>
      </c>
    </row>
    <row r="9833" ht="22.5" customHeight="1">
      <c r="B9833" s="42" t="str">
        <f>IFERROR(__xludf.DUMMYFUNCTION("""COMPUTED_VALUE"""),"AB008/ABOHJTLG")</f>
        <v>AB008/ABOHJTLG</v>
      </c>
      <c r="C9833" s="42" t="str">
        <f>IFERROR(__xludf.DUMMYFUNCTION("""COMPUTED_VALUE"""),"HGB.178/SUMBERREJO SEJAHTERA")</f>
        <v>HGB.178/SUMBERREJO SEJAHTERA</v>
      </c>
      <c r="D9833" s="42"/>
      <c r="E9833" s="42"/>
      <c r="F9833" s="48" t="str">
        <f>IFERROR(__xludf.DUMMYFUNCTION("""COMPUTED_VALUE"""),"")</f>
        <v/>
      </c>
      <c r="G9833" s="42" t="str">
        <f>IFERROR(__xludf.DUMMYFUNCTION("""COMPUTED_VALUE"""),"BALIK NAMA")</f>
        <v>BALIK NAMA</v>
      </c>
      <c r="H9833" s="42">
        <f t="shared" si="1"/>
        <v>3345</v>
      </c>
    </row>
    <row r="9834" ht="22.5" customHeight="1">
      <c r="B9834" s="42" t="str">
        <f>IFERROR(__xludf.DUMMYFUNCTION("""COMPUTED_VALUE"""),"K/7/041225/4")</f>
        <v>K/7/041225/4</v>
      </c>
      <c r="C9834" s="42" t="str">
        <f>IFERROR(__xludf.DUMMYFUNCTION("""COMPUTED_VALUE"""),"B. 264/BAKUNG")</f>
        <v>B. 264/BAKUNG</v>
      </c>
      <c r="D9834" s="42"/>
      <c r="E9834" s="42"/>
      <c r="F9834" s="48" t="str">
        <f>IFERROR(__xludf.DUMMYFUNCTION("""COMPUTED_VALUE"""),"")</f>
        <v/>
      </c>
      <c r="G9834" s="42" t="str">
        <f>IFERROR(__xludf.DUMMYFUNCTION("""COMPUTED_VALUE"""),"SKPT INFORMASI")</f>
        <v>SKPT INFORMASI</v>
      </c>
      <c r="H9834" s="42">
        <f t="shared" si="1"/>
        <v>3345</v>
      </c>
    </row>
    <row r="9835" ht="22.5" customHeight="1">
      <c r="B9835" s="42" t="str">
        <f>IFERROR(__xludf.DUMMYFUNCTION("""COMPUTED_VALUE"""),"K/1/051225/1")</f>
        <v>K/1/051225/1</v>
      </c>
      <c r="C9835" s="42" t="str">
        <f>IFERROR(__xludf.DUMMYFUNCTION("""COMPUTED_VALUE"""),"M.9439/GEDONG MENENG")</f>
        <v>M.9439/GEDONG MENENG</v>
      </c>
      <c r="D9835" s="42"/>
      <c r="E9835" s="42"/>
      <c r="F9835" s="48" t="str">
        <f>IFERROR(__xludf.DUMMYFUNCTION("""COMPUTED_VALUE"""),"")</f>
        <v/>
      </c>
      <c r="G9835" s="42" t="str">
        <f>IFERROR(__xludf.DUMMYFUNCTION("""COMPUTED_VALUE"""),"SERTIPIKAT HILANG")</f>
        <v>SERTIPIKAT HILANG</v>
      </c>
      <c r="H9835" s="42">
        <f t="shared" si="1"/>
        <v>3345</v>
      </c>
    </row>
    <row r="9836" ht="22.5" customHeight="1">
      <c r="B9836" s="42" t="str">
        <f>IFERROR(__xludf.DUMMYFUNCTION("""COMPUTED_VALUE"""),"AB020/ABBIGEQF")</f>
        <v>AB020/ABBIGEQF</v>
      </c>
      <c r="C9836" s="42" t="str">
        <f>IFERROR(__xludf.DUMMYFUNCTION("""COMPUTED_VALUE"""),"Nibel M.19787 SUSUNAN BARU")</f>
        <v>Nibel M.19787 SUSUNAN BARU</v>
      </c>
      <c r="D9836" s="42"/>
      <c r="E9836" s="42"/>
      <c r="F9836" s="48" t="str">
        <f>IFERROR(__xludf.DUMMYFUNCTION("""COMPUTED_VALUE"""),"")</f>
        <v/>
      </c>
      <c r="G9836" s="42" t="str">
        <f>IFERROR(__xludf.DUMMYFUNCTION("""COMPUTED_VALUE"""),"Balik nama")</f>
        <v>Balik nama</v>
      </c>
      <c r="H9836" s="42">
        <f t="shared" si="1"/>
        <v>3345</v>
      </c>
    </row>
    <row r="9837" ht="22.5" customHeight="1">
      <c r="B9837" s="42" t="str">
        <f>IFERROR(__xludf.DUMMYFUNCTION("""COMPUTED_VALUE"""),"ABPTTDGG/AB034")</f>
        <v>ABPTTDGG/AB034</v>
      </c>
      <c r="C9837" s="42" t="str">
        <f>IFERROR(__xludf.DUMMYFUNCTION("""COMPUTED_VALUE"""),"B. NIBEL 16373/DURIAN PAYUNG")</f>
        <v>B. NIBEL 16373/DURIAN PAYUNG</v>
      </c>
      <c r="D9837" s="42"/>
      <c r="E9837" s="42"/>
      <c r="F9837" s="48" t="str">
        <f>IFERROR(__xludf.DUMMYFUNCTION("""COMPUTED_VALUE"""),"")</f>
        <v/>
      </c>
      <c r="G9837" s="42" t="str">
        <f>IFERROR(__xludf.DUMMYFUNCTION("""COMPUTED_VALUE"""),"Peningkatan Hak")</f>
        <v>Peningkatan Hak</v>
      </c>
      <c r="H9837" s="42">
        <f t="shared" si="1"/>
        <v>3345</v>
      </c>
    </row>
    <row r="9838" ht="22.5" customHeight="1">
      <c r="B9838" s="42" t="str">
        <f>IFERROR(__xludf.DUMMYFUNCTION("""COMPUTED_VALUE"""),"AB036/ABSJHWMJ")</f>
        <v>AB036/ABSJHWMJ</v>
      </c>
      <c r="C9838" s="42" t="str">
        <f>IFERROR(__xludf.DUMMYFUNCTION("""COMPUTED_VALUE"""),"M.3430 Gunung Terang")</f>
        <v>M.3430 Gunung Terang</v>
      </c>
      <c r="D9838" s="42"/>
      <c r="E9838" s="42"/>
      <c r="F9838" s="48" t="str">
        <f>IFERROR(__xludf.DUMMYFUNCTION("""COMPUTED_VALUE"""),"")</f>
        <v/>
      </c>
      <c r="G9838" s="42" t="str">
        <f>IFERROR(__xludf.DUMMYFUNCTION("""COMPUTED_VALUE"""),"Hapus bphtb terutang ptsl")</f>
        <v>Hapus bphtb terutang ptsl</v>
      </c>
      <c r="H9838" s="42">
        <f t="shared" si="1"/>
        <v>3345</v>
      </c>
    </row>
    <row r="9839" ht="22.5" customHeight="1">
      <c r="B9839" s="42" t="str">
        <f>IFERROR(__xludf.DUMMYFUNCTION("""COMPUTED_VALUE"""),"ABUBECIA/AB034")</f>
        <v>ABUBECIA/AB034</v>
      </c>
      <c r="C9839" s="42" t="str">
        <f>IFERROR(__xludf.DUMMYFUNCTION("""COMPUTED_VALUE"""),"B. NIBEL 16374/DURIAN PAYUNG")</f>
        <v>B. NIBEL 16374/DURIAN PAYUNG</v>
      </c>
      <c r="D9839" s="42"/>
      <c r="E9839" s="42"/>
      <c r="F9839" s="48" t="str">
        <f>IFERROR(__xludf.DUMMYFUNCTION("""COMPUTED_VALUE"""),"")</f>
        <v/>
      </c>
      <c r="G9839" s="42" t="str">
        <f>IFERROR(__xludf.DUMMYFUNCTION("""COMPUTED_VALUE"""),"Peningkatan Hak")</f>
        <v>Peningkatan Hak</v>
      </c>
      <c r="H9839" s="42">
        <f t="shared" si="1"/>
        <v>3345</v>
      </c>
    </row>
    <row r="9840" ht="22.5" customHeight="1">
      <c r="B9840" s="42" t="str">
        <f>IFERROR(__xludf.DUMMYFUNCTION("""COMPUTED_VALUE"""),"L/3/051225/1")</f>
        <v>L/3/051225/1</v>
      </c>
      <c r="C9840" s="42" t="str">
        <f>IFERROR(__xludf.DUMMYFUNCTION("""COMPUTED_VALUE"""),"M. 18/SUKARAME BARU")</f>
        <v>M. 18/SUKARAME BARU</v>
      </c>
      <c r="D9840" s="42"/>
      <c r="E9840" s="42"/>
      <c r="F9840" s="48" t="str">
        <f>IFERROR(__xludf.DUMMYFUNCTION("""COMPUTED_VALUE"""),"")</f>
        <v/>
      </c>
      <c r="G9840" s="42" t="str">
        <f>IFERROR(__xludf.DUMMYFUNCTION("""COMPUTED_VALUE"""),"ROYA")</f>
        <v>ROYA</v>
      </c>
      <c r="H9840" s="42">
        <f t="shared" si="1"/>
        <v>3345</v>
      </c>
    </row>
    <row r="9841" ht="22.5" customHeight="1">
      <c r="B9841" s="42" t="str">
        <f>IFERROR(__xludf.DUMMYFUNCTION("""COMPUTED_VALUE"""),"ABTYLMHF/AB042")</f>
        <v>ABTYLMHF/AB042</v>
      </c>
      <c r="C9841" s="42" t="str">
        <f>IFERROR(__xludf.DUMMYFUNCTION("""COMPUTED_VALUE"""),"M 5174/Sidodadi")</f>
        <v>M 5174/Sidodadi</v>
      </c>
      <c r="D9841" s="42"/>
      <c r="E9841" s="42"/>
      <c r="F9841" s="48" t="str">
        <f>IFERROR(__xludf.DUMMYFUNCTION("""COMPUTED_VALUE"""),"")</f>
        <v/>
      </c>
      <c r="G9841" s="42" t="str">
        <f>IFERROR(__xludf.DUMMYFUNCTION("""COMPUTED_VALUE"""),"Bn waris ")</f>
        <v>Bn waris </v>
      </c>
      <c r="H9841" s="42">
        <f t="shared" si="1"/>
        <v>3345</v>
      </c>
    </row>
    <row r="9842" ht="22.5" customHeight="1">
      <c r="B9842" s="42" t="str">
        <f>IFERROR(__xludf.DUMMYFUNCTION("""COMPUTED_VALUE"""),"AB045/ABTEBVTP")</f>
        <v>AB045/ABTEBVTP</v>
      </c>
      <c r="C9842" s="42" t="str">
        <f>IFERROR(__xludf.DUMMYFUNCTION("""COMPUTED_VALUE"""),"NIBEL 21111/TANJUNG SENANG")</f>
        <v>NIBEL 21111/TANJUNG SENANG</v>
      </c>
      <c r="D9842" s="42"/>
      <c r="E9842" s="42"/>
      <c r="F9842" s="48" t="str">
        <f>IFERROR(__xludf.DUMMYFUNCTION("""COMPUTED_VALUE"""),"")</f>
        <v/>
      </c>
      <c r="G9842" s="42" t="str">
        <f>IFERROR(__xludf.DUMMYFUNCTION("""COMPUTED_VALUE"""),"Bn")</f>
        <v>Bn</v>
      </c>
      <c r="H9842" s="42">
        <f t="shared" si="1"/>
        <v>3345</v>
      </c>
    </row>
    <row r="9843" ht="22.5" customHeight="1">
      <c r="B9843" s="42" t="str">
        <f>IFERROR(__xludf.DUMMYFUNCTION("""COMPUTED_VALUE"""),"L/4/051225/1")</f>
        <v>L/4/051225/1</v>
      </c>
      <c r="C9843" s="42" t="str">
        <f>IFERROR(__xludf.DUMMYFUNCTION("""COMPUTED_VALUE"""),"M. 18567/KALIAWI")</f>
        <v>M. 18567/KALIAWI</v>
      </c>
      <c r="D9843" s="42"/>
      <c r="E9843" s="42"/>
      <c r="F9843" s="48" t="str">
        <f>IFERROR(__xludf.DUMMYFUNCTION("""COMPUTED_VALUE"""),"")</f>
        <v/>
      </c>
      <c r="G9843" s="42" t="str">
        <f>IFERROR(__xludf.DUMMYFUNCTION("""COMPUTED_VALUE"""),"BN WARIS")</f>
        <v>BN WARIS</v>
      </c>
      <c r="H9843" s="42">
        <f t="shared" si="1"/>
        <v>3345</v>
      </c>
    </row>
    <row r="9844" ht="22.5" customHeight="1">
      <c r="B9844" s="42" t="str">
        <f>IFERROR(__xludf.DUMMYFUNCTION("""COMPUTED_VALUE"""),"ABHVFJZV/AB071")</f>
        <v>ABHVFJZV/AB071</v>
      </c>
      <c r="C9844" s="42" t="str">
        <f>IFERROR(__xludf.DUMMYFUNCTION("""COMPUTED_VALUE"""),"M 17177/sukarame baru")</f>
        <v>M 17177/sukarame baru</v>
      </c>
      <c r="D9844" s="42"/>
      <c r="E9844" s="42"/>
      <c r="F9844" s="48" t="str">
        <f>IFERROR(__xludf.DUMMYFUNCTION("""COMPUTED_VALUE"""),"")</f>
        <v/>
      </c>
      <c r="G9844" s="42" t="str">
        <f>IFERROR(__xludf.DUMMYFUNCTION("""COMPUTED_VALUE"""),"Bn jual beli")</f>
        <v>Bn jual beli</v>
      </c>
      <c r="H9844" s="42">
        <f t="shared" si="1"/>
        <v>3345</v>
      </c>
    </row>
    <row r="9845" ht="22.5" customHeight="1">
      <c r="B9845" s="42" t="str">
        <f>IFERROR(__xludf.DUMMYFUNCTION("""COMPUTED_VALUE"""),"L/5/051225/1")</f>
        <v>L/5/051225/1</v>
      </c>
      <c r="C9845" s="42" t="str">
        <f>IFERROR(__xludf.DUMMYFUNCTION("""COMPUTED_VALUE"""),"M NIB. 16540/KORPRI JAYA")</f>
        <v>M NIB. 16540/KORPRI JAYA</v>
      </c>
      <c r="D9845" s="42"/>
      <c r="E9845" s="42"/>
      <c r="F9845" s="48" t="str">
        <f>IFERROR(__xludf.DUMMYFUNCTION("""COMPUTED_VALUE"""),"")</f>
        <v/>
      </c>
      <c r="G9845" s="42" t="str">
        <f>IFERROR(__xludf.DUMMYFUNCTION("""COMPUTED_VALUE"""),"BN JUAL BELI")</f>
        <v>BN JUAL BELI</v>
      </c>
      <c r="H9845" s="42">
        <f t="shared" si="1"/>
        <v>3345</v>
      </c>
    </row>
    <row r="9846" ht="22.5" customHeight="1">
      <c r="B9846" s="42" t="str">
        <f>IFERROR(__xludf.DUMMYFUNCTION("""COMPUTED_VALUE"""),"ABLLIEZN/AB071")</f>
        <v>ABLLIEZN/AB071</v>
      </c>
      <c r="C9846" s="42" t="str">
        <f>IFERROR(__xludf.DUMMYFUNCTION("""COMPUTED_VALUE"""),"M.1979/way laga")</f>
        <v>M.1979/way laga</v>
      </c>
      <c r="D9846" s="42"/>
      <c r="E9846" s="42"/>
      <c r="F9846" s="48" t="str">
        <f>IFERROR(__xludf.DUMMYFUNCTION("""COMPUTED_VALUE"""),"")</f>
        <v/>
      </c>
      <c r="G9846" s="42" t="str">
        <f>IFERROR(__xludf.DUMMYFUNCTION("""COMPUTED_VALUE"""),"Roya atas hak tanggungan")</f>
        <v>Roya atas hak tanggungan</v>
      </c>
      <c r="H9846" s="42">
        <f t="shared" si="1"/>
        <v>3345</v>
      </c>
    </row>
    <row r="9847" ht="22.5" customHeight="1">
      <c r="B9847" s="42" t="str">
        <f>IFERROR(__xludf.DUMMYFUNCTION("""COMPUTED_VALUE"""),"L/6/051225/1")</f>
        <v>L/6/051225/1</v>
      </c>
      <c r="C9847" s="42" t="str">
        <f>IFERROR(__xludf.DUMMYFUNCTION("""COMPUTED_VALUE"""),"KEL. KUPANG RAYA LUAS 40 M2")</f>
        <v>KEL. KUPANG RAYA LUAS 40 M2</v>
      </c>
      <c r="D9847" s="42"/>
      <c r="E9847" s="42"/>
      <c r="F9847" s="48" t="str">
        <f>IFERROR(__xludf.DUMMYFUNCTION("""COMPUTED_VALUE"""),"")</f>
        <v/>
      </c>
      <c r="G9847" s="42" t="str">
        <f>IFERROR(__xludf.DUMMYFUNCTION("""COMPUTED_VALUE"""),"PENGUKURAN PERTAMA KALI")</f>
        <v>PENGUKURAN PERTAMA KALI</v>
      </c>
      <c r="H9847" s="42">
        <f t="shared" si="1"/>
        <v>3345</v>
      </c>
    </row>
    <row r="9848" ht="22.5" customHeight="1">
      <c r="B9848" s="42" t="str">
        <f>IFERROR(__xludf.DUMMYFUNCTION("""COMPUTED_VALUE"""),"L/7/051225/1")</f>
        <v>L/7/051225/1</v>
      </c>
      <c r="C9848" s="42" t="str">
        <f>IFERROR(__xludf.DUMMYFUNCTION("""COMPUTED_VALUE"""),"M. 163/GUNUNG AGUNG")</f>
        <v>M. 163/GUNUNG AGUNG</v>
      </c>
      <c r="D9848" s="42"/>
      <c r="E9848" s="42"/>
      <c r="F9848" s="48" t="str">
        <f>IFERROR(__xludf.DUMMYFUNCTION("""COMPUTED_VALUE"""),"")</f>
        <v/>
      </c>
      <c r="G9848" s="42" t="str">
        <f>IFERROR(__xludf.DUMMYFUNCTION("""COMPUTED_VALUE"""),"ROYA LELANG")</f>
        <v>ROYA LELANG</v>
      </c>
      <c r="H9848" s="42">
        <f t="shared" si="1"/>
        <v>3345</v>
      </c>
    </row>
    <row r="9849" ht="22.5" customHeight="1">
      <c r="B9849" s="42" t="str">
        <f>IFERROR(__xludf.DUMMYFUNCTION("""COMPUTED_VALUE"""),"L/8/051225/1")</f>
        <v>L/8/051225/1</v>
      </c>
      <c r="C9849" s="42" t="str">
        <f>IFERROR(__xludf.DUMMYFUNCTION("""COMPUTED_VALUE"""),"M. 2047/PANJANG SELATAN")</f>
        <v>M. 2047/PANJANG SELATAN</v>
      </c>
      <c r="D9849" s="42"/>
      <c r="E9849" s="42"/>
      <c r="F9849" s="48" t="str">
        <f>IFERROR(__xludf.DUMMYFUNCTION("""COMPUTED_VALUE"""),"")</f>
        <v/>
      </c>
      <c r="G9849" s="42" t="str">
        <f>IFERROR(__xludf.DUMMYFUNCTION("""COMPUTED_VALUE"""),"SKPT INFORMASI")</f>
        <v>SKPT INFORMASI</v>
      </c>
      <c r="H9849" s="42">
        <f t="shared" si="1"/>
        <v>3345</v>
      </c>
    </row>
    <row r="9850" ht="22.5" customHeight="1">
      <c r="B9850" s="42" t="str">
        <f>IFERROR(__xludf.DUMMYFUNCTION("""COMPUTED_VALUE"""),"L/9/051225/1")</f>
        <v>L/9/051225/1</v>
      </c>
      <c r="C9850" s="42" t="str">
        <f>IFERROR(__xludf.DUMMYFUNCTION("""COMPUTED_VALUE"""),"M. 602/PERUMNAS WAY HALIM")</f>
        <v>M. 602/PERUMNAS WAY HALIM</v>
      </c>
      <c r="D9850" s="42"/>
      <c r="E9850" s="42"/>
      <c r="F9850" s="48" t="str">
        <f>IFERROR(__xludf.DUMMYFUNCTION("""COMPUTED_VALUE"""),"")</f>
        <v/>
      </c>
      <c r="G9850" s="42" t="str">
        <f>IFERROR(__xludf.DUMMYFUNCTION("""COMPUTED_VALUE"""),"SKPT INFORMASI")</f>
        <v>SKPT INFORMASI</v>
      </c>
      <c r="H9850" s="42">
        <f t="shared" si="1"/>
        <v>3345</v>
      </c>
    </row>
    <row r="9851" ht="22.5" customHeight="1">
      <c r="B9851" s="42" t="str">
        <f>IFERROR(__xludf.DUMMYFUNCTION("""COMPUTED_VALUE"""),"L/10/051225/1")</f>
        <v>L/10/051225/1</v>
      </c>
      <c r="C9851" s="42" t="str">
        <f>IFERROR(__xludf.DUMMYFUNCTION("""COMPUTED_VALUE"""),"M. 18567/SUKARAME I")</f>
        <v>M. 18567/SUKARAME I</v>
      </c>
      <c r="D9851" s="42"/>
      <c r="E9851" s="42"/>
      <c r="F9851" s="48" t="str">
        <f>IFERROR(__xludf.DUMMYFUNCTION("""COMPUTED_VALUE"""),"")</f>
        <v/>
      </c>
      <c r="G9851" s="42" t="str">
        <f>IFERROR(__xludf.DUMMYFUNCTION("""COMPUTED_VALUE"""),"ROYA")</f>
        <v>ROYA</v>
      </c>
      <c r="H9851" s="42">
        <f t="shared" si="1"/>
        <v>3345</v>
      </c>
    </row>
    <row r="9852" ht="22.5" customHeight="1">
      <c r="B9852" s="42" t="str">
        <f>IFERROR(__xludf.DUMMYFUNCTION("""COMPUTED_VALUE"""),"AB004/ABZOJYOI")</f>
        <v>AB004/ABZOJYOI</v>
      </c>
      <c r="C9852" s="42" t="str">
        <f>IFERROR(__xludf.DUMMYFUNCTION("""COMPUTED_VALUE"""),"SHM 1608 bumi kedamaian")</f>
        <v>SHM 1608 bumi kedamaian</v>
      </c>
      <c r="D9852" s="42"/>
      <c r="E9852" s="42"/>
      <c r="F9852" s="48" t="str">
        <f>IFERROR(__xludf.DUMMYFUNCTION("""COMPUTED_VALUE"""),"")</f>
        <v/>
      </c>
      <c r="G9852" s="42" t="str">
        <f>IFERROR(__xludf.DUMMYFUNCTION("""COMPUTED_VALUE"""),"jual beli balik nama")</f>
        <v>jual beli balik nama</v>
      </c>
      <c r="H9852" s="42">
        <f t="shared" si="1"/>
        <v>3345</v>
      </c>
    </row>
    <row r="9853" ht="22.5" customHeight="1">
      <c r="B9853" s="42" t="str">
        <f>IFERROR(__xludf.DUMMYFUNCTION("""COMPUTED_VALUE"""),"ABCLDOZX/AB050")</f>
        <v>ABCLDOZX/AB050</v>
      </c>
      <c r="C9853" s="42" t="str">
        <f>IFERROR(__xludf.DUMMYFUNCTION("""COMPUTED_VALUE"""),"NIB.08.01.000023676.0/Sukabumi")</f>
        <v>NIB.08.01.000023676.0/Sukabumi</v>
      </c>
      <c r="D9853" s="42"/>
      <c r="E9853" s="42"/>
      <c r="F9853" s="48" t="str">
        <f>IFERROR(__xludf.DUMMYFUNCTION("""COMPUTED_VALUE"""),"")</f>
        <v/>
      </c>
      <c r="G9853" s="42" t="str">
        <f>IFERROR(__xludf.DUMMYFUNCTION("""COMPUTED_VALUE"""),"BN Jual Beli ")</f>
        <v>BN Jual Beli </v>
      </c>
      <c r="H9853" s="42">
        <f t="shared" si="1"/>
        <v>3345</v>
      </c>
    </row>
    <row r="9854" ht="22.5" customHeight="1">
      <c r="B9854" s="42" t="str">
        <f>IFERROR(__xludf.DUMMYFUNCTION("""COMPUTED_VALUE"""),"ABYHNNCT/AB050")</f>
        <v>ABYHNNCT/AB050</v>
      </c>
      <c r="C9854" s="42" t="str">
        <f>IFERROR(__xludf.DUMMYFUNCTION("""COMPUTED_VALUE"""),"NIB. 08.01.000025935.0/Kedaton ")</f>
        <v>NIB. 08.01.000025935.0/Kedaton </v>
      </c>
      <c r="D9854" s="42"/>
      <c r="E9854" s="42"/>
      <c r="F9854" s="48" t="str">
        <f>IFERROR(__xludf.DUMMYFUNCTION("""COMPUTED_VALUE"""),"")</f>
        <v/>
      </c>
      <c r="G9854" s="42" t="str">
        <f>IFERROR(__xludf.DUMMYFUNCTION("""COMPUTED_VALUE"""),"Gandes ")</f>
        <v>Gandes </v>
      </c>
      <c r="H9854" s="42">
        <f t="shared" si="1"/>
        <v>3345</v>
      </c>
    </row>
    <row r="9855" ht="22.5" customHeight="1">
      <c r="B9855" s="42" t="str">
        <f>IFERROR(__xludf.DUMMYFUNCTION("""COMPUTED_VALUE"""),"AB033/ABCRDEHL")</f>
        <v>AB033/ABCRDEHL</v>
      </c>
      <c r="C9855" s="42" t="str">
        <f>IFERROR(__xludf.DUMMYFUNCTION("""COMPUTED_VALUE"""),"B.1382 PINANG JAYA")</f>
        <v>B.1382 PINANG JAYA</v>
      </c>
      <c r="D9855" s="42"/>
      <c r="E9855" s="42"/>
      <c r="F9855" s="48" t="str">
        <f>IFERROR(__xludf.DUMMYFUNCTION("""COMPUTED_VALUE"""),"")</f>
        <v/>
      </c>
      <c r="G9855" s="42" t="str">
        <f>IFERROR(__xludf.DUMMYFUNCTION("""COMPUTED_VALUE"""),"BN")</f>
        <v>BN</v>
      </c>
      <c r="H9855" s="42">
        <f t="shared" si="1"/>
        <v>3345</v>
      </c>
    </row>
    <row r="9856" ht="22.5" customHeight="1">
      <c r="B9856" s="42" t="str">
        <f>IFERROR(__xludf.DUMMYFUNCTION("""COMPUTED_VALUE"""),"K/2/051225/1")</f>
        <v>K/2/051225/1</v>
      </c>
      <c r="C9856" s="42" t="str">
        <f>IFERROR(__xludf.DUMMYFUNCTION("""COMPUTED_VALUE"""),"NIBEL B. 24305/CAMPANG JAYA")</f>
        <v>NIBEL B. 24305/CAMPANG JAYA</v>
      </c>
      <c r="D9856" s="42"/>
      <c r="E9856" s="42"/>
      <c r="F9856" s="48" t="str">
        <f>IFERROR(__xludf.DUMMYFUNCTION("""COMPUTED_VALUE"""),"")</f>
        <v/>
      </c>
      <c r="G9856" s="42" t="str">
        <f>IFERROR(__xludf.DUMMYFUNCTION("""COMPUTED_VALUE"""),"PENINGKATAN HAK")</f>
        <v>PENINGKATAN HAK</v>
      </c>
      <c r="H9856" s="42">
        <f t="shared" si="1"/>
        <v>3345</v>
      </c>
    </row>
    <row r="9857" ht="22.5" customHeight="1">
      <c r="B9857" s="42" t="str">
        <f>IFERROR(__xludf.DUMMYFUNCTION("""COMPUTED_VALUE"""),"K/11/051225/1")</f>
        <v>K/11/051225/1</v>
      </c>
      <c r="C9857" s="42" t="str">
        <f>IFERROR(__xludf.DUMMYFUNCTION("""COMPUTED_VALUE"""),"M. 2187/KOTA BARU")</f>
        <v>M. 2187/KOTA BARU</v>
      </c>
      <c r="D9857" s="42"/>
      <c r="E9857" s="42"/>
      <c r="F9857" s="48" t="str">
        <f>IFERROR(__xludf.DUMMYFUNCTION("""COMPUTED_VALUE"""),"")</f>
        <v/>
      </c>
      <c r="G9857" s="42" t="str">
        <f>IFERROR(__xludf.DUMMYFUNCTION("""COMPUTED_VALUE"""),"GANTI BLANKO")</f>
        <v>GANTI BLANKO</v>
      </c>
      <c r="H9857" s="42">
        <f t="shared" si="1"/>
        <v>3345</v>
      </c>
    </row>
    <row r="9858" ht="22.5" customHeight="1">
      <c r="B9858" s="42" t="str">
        <f>IFERROR(__xludf.DUMMYFUNCTION("""COMPUTED_VALUE"""),"K/12/051225/1")</f>
        <v>K/12/051225/1</v>
      </c>
      <c r="C9858" s="42" t="str">
        <f>IFERROR(__xludf.DUMMYFUNCTION("""COMPUTED_VALUE"""),"M. 3008/GEDONG AIR")</f>
        <v>M. 3008/GEDONG AIR</v>
      </c>
      <c r="D9858" s="42"/>
      <c r="E9858" s="42"/>
      <c r="F9858" s="48" t="str">
        <f>IFERROR(__xludf.DUMMYFUNCTION("""COMPUTED_VALUE"""),"")</f>
        <v/>
      </c>
      <c r="G9858" s="42" t="str">
        <f>IFERROR(__xludf.DUMMYFUNCTION("""COMPUTED_VALUE"""),"BN JUAL BELI ")</f>
        <v>BN JUAL BELI </v>
      </c>
      <c r="H9858" s="42">
        <f t="shared" si="1"/>
        <v>3345</v>
      </c>
    </row>
    <row r="9859" ht="22.5" customHeight="1">
      <c r="B9859" s="42" t="str">
        <f>IFERROR(__xludf.DUMMYFUNCTION("""COMPUTED_VALUE"""),"K/13/051225/1")</f>
        <v>K/13/051225/1</v>
      </c>
      <c r="C9859" s="42" t="str">
        <f>IFERROR(__xludf.DUMMYFUNCTION("""COMPUTED_VALUE"""),"M. 2223/DURIAN PAYUNG")</f>
        <v>M. 2223/DURIAN PAYUNG</v>
      </c>
      <c r="D9859" s="42"/>
      <c r="E9859" s="42"/>
      <c r="F9859" s="48" t="str">
        <f>IFERROR(__xludf.DUMMYFUNCTION("""COMPUTED_VALUE"""),"")</f>
        <v/>
      </c>
      <c r="G9859" s="42" t="str">
        <f>IFERROR(__xludf.DUMMYFUNCTION("""COMPUTED_VALUE"""),"BLOKIR")</f>
        <v>BLOKIR</v>
      </c>
      <c r="H9859" s="42">
        <f t="shared" si="1"/>
        <v>3345</v>
      </c>
    </row>
    <row r="9860" ht="22.5" customHeight="1">
      <c r="B9860" s="42" t="str">
        <f>IFERROR(__xludf.DUMMYFUNCTION("""COMPUTED_VALUE"""),"K/14/051225/2")</f>
        <v>K/14/051225/2</v>
      </c>
      <c r="C9860" s="42" t="str">
        <f>IFERROR(__xludf.DUMMYFUNCTION("""COMPUTED_VALUE"""),"M. 2224/DURIAN PAYUNG")</f>
        <v>M. 2224/DURIAN PAYUNG</v>
      </c>
      <c r="D9860" s="42"/>
      <c r="E9860" s="42"/>
      <c r="F9860" s="48" t="str">
        <f>IFERROR(__xludf.DUMMYFUNCTION("""COMPUTED_VALUE"""),"")</f>
        <v/>
      </c>
      <c r="G9860" s="42" t="str">
        <f>IFERROR(__xludf.DUMMYFUNCTION("""COMPUTED_VALUE"""),"BLOKIR")</f>
        <v>BLOKIR</v>
      </c>
      <c r="H9860" s="42">
        <f t="shared" si="1"/>
        <v>3345</v>
      </c>
    </row>
    <row r="9861" ht="22.5" customHeight="1">
      <c r="B9861" s="42" t="str">
        <f>IFERROR(__xludf.DUMMYFUNCTION("""COMPUTED_VALUE"""),"K/15/051225/1")</f>
        <v>K/15/051225/1</v>
      </c>
      <c r="C9861" s="42" t="str">
        <f>IFERROR(__xludf.DUMMYFUNCTION("""COMPUTED_VALUE"""),"NIBEL M. 23823/RAWA LAUT")</f>
        <v>NIBEL M. 23823/RAWA LAUT</v>
      </c>
      <c r="D9861" s="42"/>
      <c r="E9861" s="42"/>
      <c r="F9861" s="48" t="str">
        <f>IFERROR(__xludf.DUMMYFUNCTION("""COMPUTED_VALUE"""),"")</f>
        <v/>
      </c>
      <c r="G9861" s="42" t="str">
        <f>IFERROR(__xludf.DUMMYFUNCTION("""COMPUTED_VALUE"""),"BN LELANG")</f>
        <v>BN LELANG</v>
      </c>
      <c r="H9861" s="42">
        <f t="shared" si="1"/>
        <v>3345</v>
      </c>
    </row>
    <row r="9862" ht="22.5" customHeight="1">
      <c r="B9862" s="42" t="str">
        <f>IFERROR(__xludf.DUMMYFUNCTION("""COMPUTED_VALUE"""),"K/16/051225/1")</f>
        <v>K/16/051225/1</v>
      </c>
      <c r="C9862" s="42" t="str">
        <f>IFERROR(__xludf.DUMMYFUNCTION("""COMPUTED_VALUE"""),"M. 2053/GUNUNG TERANG")</f>
        <v>M. 2053/GUNUNG TERANG</v>
      </c>
      <c r="D9862" s="42"/>
      <c r="E9862" s="42"/>
      <c r="F9862" s="48" t="str">
        <f>IFERROR(__xludf.DUMMYFUNCTION("""COMPUTED_VALUE"""),"")</f>
        <v/>
      </c>
      <c r="G9862" s="42" t="str">
        <f>IFERROR(__xludf.DUMMYFUNCTION("""COMPUTED_VALUE"""),"PTPGT PECAH")</f>
        <v>PTPGT PECAH</v>
      </c>
      <c r="H9862" s="42">
        <f t="shared" si="1"/>
        <v>3345</v>
      </c>
    </row>
    <row r="9863" ht="22.5" customHeight="1">
      <c r="B9863" s="42" t="str">
        <f>IFERROR(__xludf.DUMMYFUNCTION("""COMPUTED_VALUE"""),"L/1/061225/PELATARAN")</f>
        <v>L/1/061225/PELATARAN</v>
      </c>
      <c r="C9863" s="42" t="str">
        <f>IFERROR(__xludf.DUMMYFUNCTION("""COMPUTED_VALUE"""),"NIBEL M 24081/SUKABUMI")</f>
        <v>NIBEL M 24081/SUKABUMI</v>
      </c>
      <c r="D9863" s="42"/>
      <c r="E9863" s="42"/>
      <c r="F9863" s="48" t="str">
        <f>IFERROR(__xludf.DUMMYFUNCTION("""COMPUTED_VALUE"""),"")</f>
        <v/>
      </c>
      <c r="G9863" s="42" t="str">
        <f>IFERROR(__xludf.DUMMYFUNCTION("""COMPUTED_VALUE"""),"PTPGT")</f>
        <v>PTPGT</v>
      </c>
      <c r="H9863" s="42">
        <f t="shared" si="1"/>
        <v>3345</v>
      </c>
    </row>
    <row r="9864" ht="22.5" customHeight="1">
      <c r="B9864" s="42" t="str">
        <f>IFERROR(__xludf.DUMMYFUNCTION("""COMPUTED_VALUE"""),"L/1/071225/PELATARAN")</f>
        <v>L/1/071225/PELATARAN</v>
      </c>
      <c r="C9864" s="42" t="str">
        <f>IFERROR(__xludf.DUMMYFUNCTION("""COMPUTED_VALUE"""),"M.03736/kemiling Permai")</f>
        <v>M.03736/kemiling Permai</v>
      </c>
      <c r="D9864" s="42"/>
      <c r="E9864" s="42"/>
      <c r="F9864" s="48" t="str">
        <f>IFERROR(__xludf.DUMMYFUNCTION("""COMPUTED_VALUE"""),"")</f>
        <v/>
      </c>
      <c r="G9864" s="42" t="str">
        <f>IFERROR(__xludf.DUMMYFUNCTION("""COMPUTED_VALUE"""),"roya lelang")</f>
        <v>roya lelang</v>
      </c>
      <c r="H9864" s="42">
        <f t="shared" si="1"/>
        <v>3345</v>
      </c>
    </row>
    <row r="9865" ht="22.5" customHeight="1">
      <c r="B9865" s="42" t="str">
        <f>IFERROR(__xludf.DUMMYFUNCTION("""COMPUTED_VALUE"""),"ABZMLELU/06")</f>
        <v>ABZMLELU/06</v>
      </c>
      <c r="C9865" s="42" t="str">
        <f>IFERROR(__xludf.DUMMYFUNCTION("""COMPUTED_VALUE"""),"GB nibel 16413/ durian payung")</f>
        <v>GB nibel 16413/ durian payung</v>
      </c>
      <c r="D9865" s="42"/>
      <c r="E9865" s="42"/>
      <c r="F9865" s="48" t="str">
        <f>IFERROR(__xludf.DUMMYFUNCTION("""COMPUTED_VALUE"""),"")</f>
        <v/>
      </c>
      <c r="G9865" s="42" t="str">
        <f>IFERROR(__xludf.DUMMYFUNCTION("""COMPUTED_VALUE"""),"perubahan hak")</f>
        <v>perubahan hak</v>
      </c>
      <c r="H9865" s="42">
        <f t="shared" si="1"/>
        <v>3345</v>
      </c>
    </row>
    <row r="9866" ht="22.5" customHeight="1">
      <c r="B9866" s="42" t="str">
        <f>IFERROR(__xludf.DUMMYFUNCTION("""COMPUTED_VALUE"""),"ABSKLNCV /06")</f>
        <v>ABSKLNCV /06</v>
      </c>
      <c r="C9866" s="42" t="str">
        <f>IFERROR(__xludf.DUMMYFUNCTION("""COMPUTED_VALUE"""),"GB 16387/ durian payung")</f>
        <v>GB 16387/ durian payung</v>
      </c>
      <c r="D9866" s="42"/>
      <c r="E9866" s="42"/>
      <c r="F9866" s="48" t="str">
        <f>IFERROR(__xludf.DUMMYFUNCTION("""COMPUTED_VALUE"""),"")</f>
        <v/>
      </c>
      <c r="G9866" s="42" t="str">
        <f>IFERROR(__xludf.DUMMYFUNCTION("""COMPUTED_VALUE"""),"Perubahan Hak")</f>
        <v>Perubahan Hak</v>
      </c>
      <c r="H9866" s="42">
        <f t="shared" si="1"/>
        <v>3345</v>
      </c>
    </row>
    <row r="9867" ht="22.5" customHeight="1">
      <c r="B9867" s="42" t="str">
        <f>IFERROR(__xludf.DUMMYFUNCTION("""COMPUTED_VALUE"""),"K/17/051225/1")</f>
        <v>K/17/051225/1</v>
      </c>
      <c r="C9867" s="42" t="str">
        <f>IFERROR(__xludf.DUMMYFUNCTION("""COMPUTED_VALUE"""),"NIBEL M. 27000/SUKARAME BARU")</f>
        <v>NIBEL M. 27000/SUKARAME BARU</v>
      </c>
      <c r="D9867" s="42"/>
      <c r="E9867" s="42"/>
      <c r="F9867" s="48" t="str">
        <f>IFERROR(__xludf.DUMMYFUNCTION("""COMPUTED_VALUE"""),"")</f>
        <v/>
      </c>
      <c r="G9867" s="42" t="str">
        <f>IFERROR(__xludf.DUMMYFUNCTION("""COMPUTED_VALUE"""),"PTPGT PEMECAHAN")</f>
        <v>PTPGT PEMECAHAN</v>
      </c>
      <c r="H9867" s="42">
        <f t="shared" si="1"/>
        <v>3345</v>
      </c>
    </row>
    <row r="9868" ht="22.5" customHeight="1">
      <c r="B9868" s="42" t="str">
        <f>IFERROR(__xludf.DUMMYFUNCTION("""COMPUTED_VALUE"""),"AB035/ABLSCKPN")</f>
        <v>AB035/ABLSCKPN</v>
      </c>
      <c r="C9868" s="42" t="str">
        <f>IFERROR(__xludf.DUMMYFUNCTION("""COMPUTED_VALUE"""),"M.24325/Kemiling Permai ")</f>
        <v>M.24325/Kemiling Permai </v>
      </c>
      <c r="D9868" s="42"/>
      <c r="E9868" s="42"/>
      <c r="F9868" s="48" t="str">
        <f>IFERROR(__xludf.DUMMYFUNCTION("""COMPUTED_VALUE"""),"")</f>
        <v/>
      </c>
      <c r="G9868" s="42" t="str">
        <f>IFERROR(__xludf.DUMMYFUNCTION("""COMPUTED_VALUE"""),"BN jual beli ")</f>
        <v>BN jual beli </v>
      </c>
      <c r="H9868" s="42">
        <f t="shared" si="1"/>
        <v>3345</v>
      </c>
    </row>
    <row r="9869" ht="22.5" customHeight="1">
      <c r="B9869" s="42" t="str">
        <f>IFERROR(__xludf.DUMMYFUNCTION("""COMPUTED_VALUE"""),"ABYPKXYSL")</f>
        <v>ABYPKXYSL</v>
      </c>
      <c r="C9869" s="42" t="str">
        <f>IFERROR(__xludf.DUMMYFUNCTION("""COMPUTED_VALUE"""),"1741/Campang Raya")</f>
        <v>1741/Campang Raya</v>
      </c>
      <c r="D9869" s="42"/>
      <c r="E9869" s="42"/>
      <c r="F9869" s="48" t="str">
        <f>IFERROR(__xludf.DUMMYFUNCTION("""COMPUTED_VALUE"""),"")</f>
        <v/>
      </c>
      <c r="G9869" s="42" t="str">
        <f>IFERROR(__xludf.DUMMYFUNCTION("""COMPUTED_VALUE"""),"Ganti desa")</f>
        <v>Ganti desa</v>
      </c>
      <c r="H9869" s="42">
        <f t="shared" si="1"/>
        <v>3345</v>
      </c>
    </row>
    <row r="9870" ht="22.5" customHeight="1">
      <c r="B9870" s="42" t="str">
        <f>IFERROR(__xludf.DUMMYFUNCTION("""COMPUTED_VALUE"""),"AB035/ABSHSBFA")</f>
        <v>AB035/ABSHSBFA</v>
      </c>
      <c r="C9870" s="42" t="str">
        <f>IFERROR(__xludf.DUMMYFUNCTION("""COMPUTED_VALUE"""),"M.16979/Sukarame")</f>
        <v>M.16979/Sukarame</v>
      </c>
      <c r="D9870" s="42"/>
      <c r="E9870" s="42"/>
      <c r="F9870" s="48" t="str">
        <f>IFERROR(__xludf.DUMMYFUNCTION("""COMPUTED_VALUE"""),"")</f>
        <v/>
      </c>
      <c r="G9870" s="42" t="str">
        <f>IFERROR(__xludf.DUMMYFUNCTION("""COMPUTED_VALUE"""),"BN jual beli")</f>
        <v>BN jual beli</v>
      </c>
      <c r="H9870" s="42">
        <f t="shared" si="1"/>
        <v>3345</v>
      </c>
    </row>
    <row r="9871" ht="22.5" customHeight="1">
      <c r="B9871" s="42" t="str">
        <f>IFERROR(__xludf.DUMMYFUNCTION("""COMPUTED_VALUE"""),"ABBOWVJP")</f>
        <v>ABBOWVJP</v>
      </c>
      <c r="C9871" s="42" t="str">
        <f>IFERROR(__xludf.DUMMYFUNCTION("""COMPUTED_VALUE"""),"M. 1387/Tanjung Gading")</f>
        <v>M. 1387/Tanjung Gading</v>
      </c>
      <c r="D9871" s="42"/>
      <c r="E9871" s="42"/>
      <c r="F9871" s="48" t="str">
        <f>IFERROR(__xludf.DUMMYFUNCTION("""COMPUTED_VALUE"""),"")</f>
        <v/>
      </c>
      <c r="G9871" s="42" t="str">
        <f>IFERROR(__xludf.DUMMYFUNCTION("""COMPUTED_VALUE"""),"Peralihan Hak")</f>
        <v>Peralihan Hak</v>
      </c>
      <c r="H9871" s="42">
        <f t="shared" si="1"/>
        <v>3345</v>
      </c>
    </row>
    <row r="9872" ht="22.5" customHeight="1">
      <c r="B9872" s="42" t="str">
        <f>IFERROR(__xludf.DUMMYFUNCTION("""COMPUTED_VALUE"""),"ABUZFNFF")</f>
        <v>ABUZFNFF</v>
      </c>
      <c r="C9872" s="42" t="str">
        <f>IFERROR(__xludf.DUMMYFUNCTION("""COMPUTED_VALUE"""),"M.1383 Tanjung Gading")</f>
        <v>M.1383 Tanjung Gading</v>
      </c>
      <c r="D9872" s="42"/>
      <c r="E9872" s="42"/>
      <c r="F9872" s="48" t="str">
        <f>IFERROR(__xludf.DUMMYFUNCTION("""COMPUTED_VALUE"""),"")</f>
        <v/>
      </c>
      <c r="G9872" s="42" t="str">
        <f>IFERROR(__xludf.DUMMYFUNCTION("""COMPUTED_VALUE"""),"Peralihan Hak")</f>
        <v>Peralihan Hak</v>
      </c>
      <c r="H9872" s="42">
        <f t="shared" si="1"/>
        <v>3345</v>
      </c>
    </row>
    <row r="9873" ht="22.5" customHeight="1">
      <c r="B9873" s="42" t="str">
        <f>IFERROR(__xludf.DUMMYFUNCTION("""COMPUTED_VALUE"""),"ABFDSPCY/AB046")</f>
        <v>ABFDSPCY/AB046</v>
      </c>
      <c r="C9873" s="42" t="str">
        <f>IFERROR(__xludf.DUMMYFUNCTION("""COMPUTED_VALUE"""),"M.2396/Tanjung Senang")</f>
        <v>M.2396/Tanjung Senang</v>
      </c>
      <c r="D9873" s="42"/>
      <c r="E9873" s="42"/>
      <c r="F9873" s="48" t="str">
        <f>IFERROR(__xludf.DUMMYFUNCTION("""COMPUTED_VALUE"""),"")</f>
        <v/>
      </c>
      <c r="G9873" s="42" t="str">
        <f>IFERROR(__xludf.DUMMYFUNCTION("""COMPUTED_VALUE"""),"BN waris")</f>
        <v>BN waris</v>
      </c>
      <c r="H9873" s="42">
        <f t="shared" si="1"/>
        <v>3345</v>
      </c>
    </row>
    <row r="9874" ht="22.5" customHeight="1">
      <c r="B9874" s="42" t="str">
        <f>IFERROR(__xludf.DUMMYFUNCTION("""COMPUTED_VALUE"""),"L/2/081225/1")</f>
        <v>L/2/081225/1</v>
      </c>
      <c r="C9874" s="42" t="str">
        <f>IFERROR(__xludf.DUMMYFUNCTION("""COMPUTED_VALUE"""),"M. 400/CAMPANG RAYA")</f>
        <v>M. 400/CAMPANG RAYA</v>
      </c>
      <c r="D9874" s="42"/>
      <c r="E9874" s="42"/>
      <c r="F9874" s="48" t="str">
        <f>IFERROR(__xludf.DUMMYFUNCTION("""COMPUTED_VALUE"""),"")</f>
        <v/>
      </c>
      <c r="G9874" s="42" t="str">
        <f>IFERROR(__xludf.DUMMYFUNCTION("""COMPUTED_VALUE"""),"SKPT INFORMASI")</f>
        <v>SKPT INFORMASI</v>
      </c>
      <c r="H9874" s="42">
        <f t="shared" si="1"/>
        <v>3345</v>
      </c>
    </row>
    <row r="9875" ht="22.5" customHeight="1">
      <c r="B9875" s="42" t="str">
        <f>IFERROR(__xludf.DUMMYFUNCTION("""COMPUTED_VALUE"""),"AB047/ABYAEUOP")</f>
        <v>AB047/ABYAEUOP</v>
      </c>
      <c r="C9875" s="42" t="str">
        <f>IFERROR(__xludf.DUMMYFUNCTION("""COMPUTED_VALUE"""),"M.4359/ beringin raya")</f>
        <v>M.4359/ beringin raya</v>
      </c>
      <c r="D9875" s="42"/>
      <c r="E9875" s="42"/>
      <c r="F9875" s="48" t="str">
        <f>IFERROR(__xludf.DUMMYFUNCTION("""COMPUTED_VALUE"""),"")</f>
        <v/>
      </c>
      <c r="G9875" s="42" t="str">
        <f>IFERROR(__xludf.DUMMYFUNCTION("""COMPUTED_VALUE"""),"Roya")</f>
        <v>Roya</v>
      </c>
      <c r="H9875" s="42">
        <f t="shared" si="1"/>
        <v>3345</v>
      </c>
    </row>
    <row r="9876" ht="22.5" customHeight="1">
      <c r="B9876" s="42" t="str">
        <f>IFERROR(__xludf.DUMMYFUNCTION("""COMPUTED_VALUE"""),"L/3/081225/1")</f>
        <v>L/3/081225/1</v>
      </c>
      <c r="C9876" s="42" t="str">
        <f>IFERROR(__xludf.DUMMYFUNCTION("""COMPUTED_VALUE"""),"M NIB. 1542/KORPRI RAYA")</f>
        <v>M NIB. 1542/KORPRI RAYA</v>
      </c>
      <c r="D9876" s="42"/>
      <c r="E9876" s="42"/>
      <c r="F9876" s="48" t="str">
        <f>IFERROR(__xludf.DUMMYFUNCTION("""COMPUTED_VALUE"""),"")</f>
        <v/>
      </c>
      <c r="G9876" s="42" t="str">
        <f>IFERROR(__xludf.DUMMYFUNCTION("""COMPUTED_VALUE"""),"BN PUTUSAN PENGADILAN")</f>
        <v>BN PUTUSAN PENGADILAN</v>
      </c>
      <c r="H9876" s="42">
        <f t="shared" si="1"/>
        <v>3345</v>
      </c>
    </row>
    <row r="9877" ht="22.5" customHeight="1">
      <c r="B9877" s="42" t="str">
        <f>IFERROR(__xludf.DUMMYFUNCTION("""COMPUTED_VALUE"""),"L/4/081225/1")</f>
        <v>L/4/081225/1</v>
      </c>
      <c r="C9877" s="42" t="str">
        <f>IFERROR(__xludf.DUMMYFUNCTION("""COMPUTED_VALUE"""),"B. 2851/SUKABUMI")</f>
        <v>B. 2851/SUKABUMI</v>
      </c>
      <c r="D9877" s="42"/>
      <c r="E9877" s="42"/>
      <c r="F9877" s="48" t="str">
        <f>IFERROR(__xludf.DUMMYFUNCTION("""COMPUTED_VALUE"""),"")</f>
        <v/>
      </c>
      <c r="G9877" s="42" t="str">
        <f>IFERROR(__xludf.DUMMYFUNCTION("""COMPUTED_VALUE"""),"ROYA")</f>
        <v>ROYA</v>
      </c>
      <c r="H9877" s="42">
        <f t="shared" si="1"/>
        <v>3345</v>
      </c>
    </row>
    <row r="9878" ht="22.5" customHeight="1">
      <c r="B9878" s="42" t="str">
        <f>IFERROR(__xludf.DUMMYFUNCTION("""COMPUTED_VALUE"""),"L/5/081225/1")</f>
        <v>L/5/081225/1</v>
      </c>
      <c r="C9878" s="42" t="str">
        <f>IFERROR(__xludf.DUMMYFUNCTION("""COMPUTED_VALUE"""),"B. 3177/SUKABUMI")</f>
        <v>B. 3177/SUKABUMI</v>
      </c>
      <c r="D9878" s="42"/>
      <c r="E9878" s="42"/>
      <c r="F9878" s="48" t="str">
        <f>IFERROR(__xludf.DUMMYFUNCTION("""COMPUTED_VALUE"""),"")</f>
        <v/>
      </c>
      <c r="G9878" s="42" t="str">
        <f>IFERROR(__xludf.DUMMYFUNCTION("""COMPUTED_VALUE"""),"PTPGT PEMBAHARUAN")</f>
        <v>PTPGT PEMBAHARUAN</v>
      </c>
      <c r="H9878" s="42">
        <f t="shared" si="1"/>
        <v>3345</v>
      </c>
    </row>
    <row r="9879" ht="22.5" customHeight="1">
      <c r="B9879" s="42" t="str">
        <f>IFERROR(__xludf.DUMMYFUNCTION("""COMPUTED_VALUE"""),"AB009/ABECRCBM")</f>
        <v>AB009/ABECRCBM</v>
      </c>
      <c r="C9879" s="42" t="str">
        <f>IFERROR(__xludf.DUMMYFUNCTION("""COMPUTED_VALUE"""),"M.239/BW")</f>
        <v>M.239/BW</v>
      </c>
      <c r="D9879" s="42"/>
      <c r="E9879" s="42"/>
      <c r="F9879" s="48" t="str">
        <f>IFERROR(__xludf.DUMMYFUNCTION("""COMPUTED_VALUE"""),"")</f>
        <v/>
      </c>
      <c r="G9879" s="42" t="str">
        <f>IFERROR(__xludf.DUMMYFUNCTION("""COMPUTED_VALUE"""),"Hibah")</f>
        <v>Hibah</v>
      </c>
      <c r="H9879" s="42">
        <f t="shared" si="1"/>
        <v>3345</v>
      </c>
    </row>
    <row r="9880" ht="22.5" customHeight="1">
      <c r="B9880" s="42" t="str">
        <f>IFERROR(__xludf.DUMMYFUNCTION("""COMPUTED_VALUE"""),"AB019/ABMHGHXF")</f>
        <v>AB019/ABMHGHXF</v>
      </c>
      <c r="C9880" s="42" t="str">
        <f>IFERROR(__xludf.DUMMYFUNCTION("""COMPUTED_VALUE"""),"Shm nib 08.01.0000.27206.0")</f>
        <v>Shm nib 08.01.0000.27206.0</v>
      </c>
      <c r="D9880" s="42"/>
      <c r="E9880" s="42"/>
      <c r="F9880" s="48" t="str">
        <f>IFERROR(__xludf.DUMMYFUNCTION("""COMPUTED_VALUE"""),"")</f>
        <v/>
      </c>
      <c r="G9880" s="42" t="str">
        <f>IFERROR(__xludf.DUMMYFUNCTION("""COMPUTED_VALUE"""),"Bn lelang")</f>
        <v>Bn lelang</v>
      </c>
      <c r="H9880" s="42">
        <f t="shared" si="1"/>
        <v>3345</v>
      </c>
    </row>
    <row r="9881" ht="22.5" customHeight="1">
      <c r="B9881" s="42" t="str">
        <f>IFERROR(__xludf.DUMMYFUNCTION("""COMPUTED_VALUE"""),"ABDHNZDU/AB072")</f>
        <v>ABDHNZDU/AB072</v>
      </c>
      <c r="C9881" s="42" t="str">
        <f>IFERROR(__xludf.DUMMYFUNCTION("""COMPUTED_VALUE"""),"M.10556/JG.II DAN M. 11107/JG.II")</f>
        <v>M.10556/JG.II DAN M. 11107/JG.II</v>
      </c>
      <c r="D9881" s="42"/>
      <c r="E9881" s="42"/>
      <c r="F9881" s="48" t="str">
        <f>IFERROR(__xludf.DUMMYFUNCTION("""COMPUTED_VALUE"""),"")</f>
        <v/>
      </c>
      <c r="G9881" s="42" t="str">
        <f>IFERROR(__xludf.DUMMYFUNCTION("""COMPUTED_VALUE"""),"Roya")</f>
        <v>Roya</v>
      </c>
      <c r="H9881" s="42">
        <f t="shared" si="1"/>
        <v>3345</v>
      </c>
    </row>
    <row r="9882" ht="22.5" customHeight="1">
      <c r="B9882" s="42" t="str">
        <f>IFERROR(__xludf.DUMMYFUNCTION("""COMPUTED_VALUE"""),"ABWKRASR/AB072")</f>
        <v>ABWKRASR/AB072</v>
      </c>
      <c r="C9882" s="42" t="str">
        <f>IFERROR(__xludf.DUMMYFUNCTION("""COMPUTED_VALUE"""),"M.11086/ JG.II DAN M.10999/JG.II")</f>
        <v>M.11086/ JG.II DAN M.10999/JG.II</v>
      </c>
      <c r="D9882" s="42"/>
      <c r="E9882" s="42"/>
      <c r="F9882" s="48" t="str">
        <f>IFERROR(__xludf.DUMMYFUNCTION("""COMPUTED_VALUE"""),"")</f>
        <v/>
      </c>
      <c r="G9882" s="42" t="str">
        <f>IFERROR(__xludf.DUMMYFUNCTION("""COMPUTED_VALUE"""),"Roya")</f>
        <v>Roya</v>
      </c>
      <c r="H9882" s="42">
        <f t="shared" si="1"/>
        <v>3345</v>
      </c>
    </row>
    <row r="9883" ht="22.5" customHeight="1">
      <c r="B9883" s="42" t="str">
        <f>IFERROR(__xludf.DUMMYFUNCTION("""COMPUTED_VALUE"""),"ABSIGEMT/1")</f>
        <v>ABSIGEMT/1</v>
      </c>
      <c r="C9883" s="42" t="str">
        <f>IFERROR(__xludf.DUMMYFUNCTION("""COMPUTED_VALUE"""),"shm Nib. 27388")</f>
        <v>shm Nib. 27388</v>
      </c>
      <c r="D9883" s="42"/>
      <c r="E9883" s="42"/>
      <c r="F9883" s="48" t="str">
        <f>IFERROR(__xludf.DUMMYFUNCTION("""COMPUTED_VALUE"""),"")</f>
        <v/>
      </c>
      <c r="G9883" s="42" t="str">
        <f>IFERROR(__xludf.DUMMYFUNCTION("""COMPUTED_VALUE"""),"penetapan batas perbaikan bidang")</f>
        <v>penetapan batas perbaikan bidang</v>
      </c>
      <c r="H9883" s="42">
        <f t="shared" si="1"/>
        <v>3345</v>
      </c>
    </row>
    <row r="9884" ht="22.5" customHeight="1">
      <c r="B9884" s="42" t="str">
        <f>IFERROR(__xludf.DUMMYFUNCTION("""COMPUTED_VALUE"""),"ABXQLEFK/1")</f>
        <v>ABXQLEFK/1</v>
      </c>
      <c r="C9884" s="42" t="str">
        <f>IFERROR(__xludf.DUMMYFUNCTION("""COMPUTED_VALUE"""),"shm nib. 25582")</f>
        <v>shm nib. 25582</v>
      </c>
      <c r="D9884" s="42"/>
      <c r="E9884" s="42"/>
      <c r="F9884" s="48" t="str">
        <f>IFERROR(__xludf.DUMMYFUNCTION("""COMPUTED_VALUE"""),"")</f>
        <v/>
      </c>
      <c r="G9884" s="42" t="str">
        <f>IFERROR(__xludf.DUMMYFUNCTION("""COMPUTED_VALUE"""),"penetapan batas perbaikan bidang")</f>
        <v>penetapan batas perbaikan bidang</v>
      </c>
      <c r="H9884" s="42">
        <f t="shared" si="1"/>
        <v>3345</v>
      </c>
    </row>
    <row r="9885" ht="22.5" customHeight="1">
      <c r="B9885" s="42" t="str">
        <f>IFERROR(__xludf.DUMMYFUNCTION("""COMPUTED_VALUE"""),"ABVOGBME/AB064")</f>
        <v>ABVOGBME/AB064</v>
      </c>
      <c r="C9885" s="42" t="str">
        <f>IFERROR(__xludf.DUMMYFUNCTION("""COMPUTED_VALUE"""),"M. 1792/Bumi Waras")</f>
        <v>M. 1792/Bumi Waras</v>
      </c>
      <c r="D9885" s="42"/>
      <c r="E9885" s="42"/>
      <c r="F9885" s="48" t="str">
        <f>IFERROR(__xludf.DUMMYFUNCTION("""COMPUTED_VALUE"""),"")</f>
        <v/>
      </c>
      <c r="G9885" s="42" t="str">
        <f>IFERROR(__xludf.DUMMYFUNCTION("""COMPUTED_VALUE"""),"BN HIBAH")</f>
        <v>BN HIBAH</v>
      </c>
      <c r="H9885" s="42">
        <f t="shared" si="1"/>
        <v>3345</v>
      </c>
    </row>
    <row r="9886" ht="22.5" customHeight="1">
      <c r="B9886" s="42" t="str">
        <f>IFERROR(__xludf.DUMMYFUNCTION("""COMPUTED_VALUE"""),"ABYEQGMZ")</f>
        <v>ABYEQGMZ</v>
      </c>
      <c r="C9886" s="42" t="str">
        <f>IFERROR(__xludf.DUMMYFUNCTION("""COMPUTED_VALUE"""),"m 135/ Gunung Terang")</f>
        <v>m 135/ Gunung Terang</v>
      </c>
      <c r="D9886" s="42"/>
      <c r="E9886" s="42"/>
      <c r="F9886" s="48" t="str">
        <f>IFERROR(__xludf.DUMMYFUNCTION("""COMPUTED_VALUE"""),"")</f>
        <v/>
      </c>
      <c r="G9886" s="42" t="str">
        <f>IFERROR(__xludf.DUMMYFUNCTION("""COMPUTED_VALUE"""),"BN Waris")</f>
        <v>BN Waris</v>
      </c>
      <c r="H9886" s="42">
        <f t="shared" si="1"/>
        <v>3345</v>
      </c>
    </row>
    <row r="9887" ht="22.5" customHeight="1">
      <c r="B9887" s="42" t="str">
        <f>IFERROR(__xludf.DUMMYFUNCTION("""COMPUTED_VALUE"""),"L/7/081225/1")</f>
        <v>L/7/081225/1</v>
      </c>
      <c r="C9887" s="42" t="str">
        <f>IFERROR(__xludf.DUMMYFUNCTION("""COMPUTED_VALUE"""),"M. 715/SAWAH BREBES")</f>
        <v>M. 715/SAWAH BREBES</v>
      </c>
      <c r="D9887" s="42"/>
      <c r="E9887" s="42"/>
      <c r="F9887" s="48" t="str">
        <f>IFERROR(__xludf.DUMMYFUNCTION("""COMPUTED_VALUE"""),"")</f>
        <v/>
      </c>
      <c r="G9887" s="42" t="str">
        <f>IFERROR(__xludf.DUMMYFUNCTION("""COMPUTED_VALUE"""),"ROYA")</f>
        <v>ROYA</v>
      </c>
      <c r="H9887" s="42">
        <f t="shared" si="1"/>
        <v>3345</v>
      </c>
    </row>
    <row r="9888" ht="22.5" customHeight="1">
      <c r="B9888" s="42" t="str">
        <f>IFERROR(__xludf.DUMMYFUNCTION("""COMPUTED_VALUE"""),"L/8/081225/1")</f>
        <v>L/8/081225/1</v>
      </c>
      <c r="C9888" s="42" t="str">
        <f>IFERROR(__xludf.DUMMYFUNCTION("""COMPUTED_VALUE"""),"KEL. WAY KANDIS LUAS 150 M2")</f>
        <v>KEL. WAY KANDIS LUAS 150 M2</v>
      </c>
      <c r="D9888" s="42"/>
      <c r="E9888" s="42"/>
      <c r="F9888" s="48" t="str">
        <f>IFERROR(__xludf.DUMMYFUNCTION("""COMPUTED_VALUE"""),"")</f>
        <v/>
      </c>
      <c r="G9888" s="42" t="str">
        <f>IFERROR(__xludf.DUMMYFUNCTION("""COMPUTED_VALUE"""),"PENGUKURAN PERTAMA KALI")</f>
        <v>PENGUKURAN PERTAMA KALI</v>
      </c>
      <c r="H9888" s="42">
        <f t="shared" si="1"/>
        <v>3345</v>
      </c>
    </row>
    <row r="9889" ht="22.5" customHeight="1">
      <c r="B9889" s="42" t="str">
        <f>IFERROR(__xludf.DUMMYFUNCTION("""COMPUTED_VALUE"""),"L/9/081225/1")</f>
        <v>L/9/081225/1</v>
      </c>
      <c r="C9889" s="42" t="str">
        <f>IFERROR(__xludf.DUMMYFUNCTION("""COMPUTED_VALUE"""),"M. 2299/SUKADANAHAM")</f>
        <v>M. 2299/SUKADANAHAM</v>
      </c>
      <c r="D9889" s="42"/>
      <c r="E9889" s="42"/>
      <c r="F9889" s="48" t="str">
        <f>IFERROR(__xludf.DUMMYFUNCTION("""COMPUTED_VALUE"""),"")</f>
        <v/>
      </c>
      <c r="G9889" s="42" t="str">
        <f>IFERROR(__xludf.DUMMYFUNCTION("""COMPUTED_VALUE"""),"ROYA")</f>
        <v>ROYA</v>
      </c>
      <c r="H9889" s="42">
        <f t="shared" si="1"/>
        <v>3345</v>
      </c>
    </row>
    <row r="9890" ht="22.5" customHeight="1">
      <c r="B9890" s="42" t="str">
        <f>IFERROR(__xludf.DUMMYFUNCTION("""COMPUTED_VALUE"""),"L/10/081225/1")</f>
        <v>L/10/081225/1</v>
      </c>
      <c r="C9890" s="42" t="str">
        <f>IFERROR(__xludf.DUMMYFUNCTION("""COMPUTED_VALUE"""),"M. 2961/TANJUNG SENENG")</f>
        <v>M. 2961/TANJUNG SENENG</v>
      </c>
      <c r="D9890" s="42"/>
      <c r="E9890" s="42"/>
      <c r="F9890" s="48" t="str">
        <f>IFERROR(__xludf.DUMMYFUNCTION("""COMPUTED_VALUE"""),"")</f>
        <v/>
      </c>
      <c r="G9890" s="42" t="str">
        <f>IFERROR(__xludf.DUMMYFUNCTION("""COMPUTED_VALUE"""),"SKPT INFORMASI")</f>
        <v>SKPT INFORMASI</v>
      </c>
      <c r="H9890" s="42">
        <f t="shared" si="1"/>
        <v>3345</v>
      </c>
    </row>
    <row r="9891" ht="22.5" customHeight="1">
      <c r="B9891" s="42" t="str">
        <f>IFERROR(__xludf.DUMMYFUNCTION("""COMPUTED_VALUE"""),"AB0FTURB")</f>
        <v>AB0FTURB</v>
      </c>
      <c r="C9891" s="42" t="str">
        <f>IFERROR(__xludf.DUMMYFUNCTION("""COMPUTED_VALUE"""),"B 966/Kemiling Permai")</f>
        <v>B 966/Kemiling Permai</v>
      </c>
      <c r="D9891" s="42"/>
      <c r="E9891" s="42"/>
      <c r="F9891" s="48" t="str">
        <f>IFERROR(__xludf.DUMMYFUNCTION("""COMPUTED_VALUE"""),"")</f>
        <v/>
      </c>
      <c r="G9891" s="42" t="str">
        <f>IFERROR(__xludf.DUMMYFUNCTION("""COMPUTED_VALUE"""),"Balik Nama")</f>
        <v>Balik Nama</v>
      </c>
      <c r="H9891" s="42">
        <f t="shared" si="1"/>
        <v>3345</v>
      </c>
    </row>
    <row r="9892" ht="22.5" customHeight="1">
      <c r="B9892" s="42" t="str">
        <f>IFERROR(__xludf.DUMMYFUNCTION("""COMPUTED_VALUE"""),"ABTGJHUU")</f>
        <v>ABTGJHUU</v>
      </c>
      <c r="C9892" s="42" t="str">
        <f>IFERROR(__xludf.DUMMYFUNCTION("""COMPUTED_VALUE"""),"NIBEL M 25135")</f>
        <v>NIBEL M 25135</v>
      </c>
      <c r="D9892" s="42"/>
      <c r="E9892" s="42"/>
      <c r="F9892" s="48" t="str">
        <f>IFERROR(__xludf.DUMMYFUNCTION("""COMPUTED_VALUE"""),"")</f>
        <v/>
      </c>
      <c r="G9892" s="42" t="str">
        <f>IFERROR(__xludf.DUMMYFUNCTION("""COMPUTED_VALUE"""),"BN JUAL BELI")</f>
        <v>BN JUAL BELI</v>
      </c>
      <c r="H9892" s="42">
        <f t="shared" si="1"/>
        <v>3345</v>
      </c>
    </row>
    <row r="9893" ht="22.5" customHeight="1">
      <c r="B9893" s="42" t="str">
        <f>IFERROR(__xludf.DUMMYFUNCTION("""COMPUTED_VALUE"""),"ABTQEVUJ/1")</f>
        <v>ABTQEVUJ/1</v>
      </c>
      <c r="C9893" s="42" t="str">
        <f>IFERROR(__xludf.DUMMYFUNCTION("""COMPUTED_VALUE"""),"M.1204/Jagabaya III")</f>
        <v>M.1204/Jagabaya III</v>
      </c>
      <c r="D9893" s="42"/>
      <c r="E9893" s="42"/>
      <c r="F9893" s="48" t="str">
        <f>IFERROR(__xludf.DUMMYFUNCTION("""COMPUTED_VALUE"""),"")</f>
        <v/>
      </c>
      <c r="G9893" s="42" t="str">
        <f>IFERROR(__xludf.DUMMYFUNCTION("""COMPUTED_VALUE"""),"BALIK NAMA ")</f>
        <v>BALIK NAMA </v>
      </c>
      <c r="H9893" s="42">
        <f t="shared" si="1"/>
        <v>3345</v>
      </c>
    </row>
    <row r="9894" ht="22.5" customHeight="1">
      <c r="B9894" s="42" t="str">
        <f>IFERROR(__xludf.DUMMYFUNCTION("""COMPUTED_VALUE"""),"K/12/081225/1")</f>
        <v>K/12/081225/1</v>
      </c>
      <c r="C9894" s="42" t="str">
        <f>IFERROR(__xludf.DUMMYFUNCTION("""COMPUTED_VALUE"""),"NIBEL 27135 BERINGIN RAYA")</f>
        <v>NIBEL 27135 BERINGIN RAYA</v>
      </c>
      <c r="D9894" s="42"/>
      <c r="E9894" s="42"/>
      <c r="F9894" s="48" t="str">
        <f>IFERROR(__xludf.DUMMYFUNCTION("""COMPUTED_VALUE"""),"")</f>
        <v/>
      </c>
      <c r="G9894" s="42" t="str">
        <f>IFERROR(__xludf.DUMMYFUNCTION("""COMPUTED_VALUE"""),"BN LELANG")</f>
        <v>BN LELANG</v>
      </c>
      <c r="H9894" s="42">
        <f t="shared" si="1"/>
        <v>3345</v>
      </c>
    </row>
    <row r="9895" ht="22.5" customHeight="1">
      <c r="B9895" s="42" t="str">
        <f>IFERROR(__xludf.DUMMYFUNCTION("""COMPUTED_VALUE"""),"ABNDGLLM/3")</f>
        <v>ABNDGLLM/3</v>
      </c>
      <c r="C9895" s="42" t="str">
        <f>IFERROR(__xludf.DUMMYFUNCTION("""COMPUTED_VALUE"""),"1342/Jagabaya III")</f>
        <v>1342/Jagabaya III</v>
      </c>
      <c r="D9895" s="42"/>
      <c r="E9895" s="42"/>
      <c r="F9895" s="48" t="str">
        <f>IFERROR(__xludf.DUMMYFUNCTION("""COMPUTED_VALUE"""),"")</f>
        <v/>
      </c>
      <c r="G9895" s="42" t="str">
        <f>IFERROR(__xludf.DUMMYFUNCTION("""COMPUTED_VALUE"""),"Balik Nama ")</f>
        <v>Balik Nama </v>
      </c>
      <c r="H9895" s="42">
        <f t="shared" si="1"/>
        <v>3345</v>
      </c>
    </row>
    <row r="9896" ht="22.5" customHeight="1">
      <c r="B9896" s="42" t="str">
        <f>IFERROR(__xludf.DUMMYFUNCTION("""COMPUTED_VALUE"""),"Abekdbex")</f>
        <v>Abekdbex</v>
      </c>
      <c r="C9896" s="42" t="str">
        <f>IFERROR(__xludf.DUMMYFUNCTION("""COMPUTED_VALUE"""),"GUNUNG AGUNG/ PURYANI")</f>
        <v>GUNUNG AGUNG/ PURYANI</v>
      </c>
      <c r="D9896" s="42"/>
      <c r="E9896" s="42"/>
      <c r="F9896" s="48" t="str">
        <f>IFERROR(__xludf.DUMMYFUNCTION("""COMPUTED_VALUE"""),"")</f>
        <v/>
      </c>
      <c r="G9896" s="42" t="str">
        <f>IFERROR(__xludf.DUMMYFUNCTION("""COMPUTED_VALUE"""),"Pengukuran pertama kali")</f>
        <v>Pengukuran pertama kali</v>
      </c>
      <c r="H9896" s="42">
        <f t="shared" si="1"/>
        <v>3345</v>
      </c>
    </row>
    <row r="9897" ht="22.5" customHeight="1">
      <c r="B9897" s="42" t="str">
        <f>IFERROR(__xludf.DUMMYFUNCTION("""COMPUTED_VALUE"""),"L/1/091225/1")</f>
        <v>L/1/091225/1</v>
      </c>
      <c r="C9897" s="42" t="str">
        <f>IFERROR(__xludf.DUMMYFUNCTION("""COMPUTED_VALUE"""),"M. 16/KEMILING RAYA")</f>
        <v>M. 16/KEMILING RAYA</v>
      </c>
      <c r="D9897" s="42"/>
      <c r="E9897" s="42"/>
      <c r="F9897" s="48" t="str">
        <f>IFERROR(__xludf.DUMMYFUNCTION("""COMPUTED_VALUE"""),"")</f>
        <v/>
      </c>
      <c r="G9897" s="42" t="str">
        <f>IFERROR(__xludf.DUMMYFUNCTION("""COMPUTED_VALUE"""),"SERTIPIKAT HILANG")</f>
        <v>SERTIPIKAT HILANG</v>
      </c>
      <c r="H9897" s="42">
        <f t="shared" si="1"/>
        <v>3345</v>
      </c>
    </row>
    <row r="9898" ht="22.5" customHeight="1">
      <c r="B9898" s="42" t="str">
        <f>IFERROR(__xludf.DUMMYFUNCTION("""COMPUTED_VALUE"""),"L/3/091225/1")</f>
        <v>L/3/091225/1</v>
      </c>
      <c r="C9898" s="42" t="str">
        <f>IFERROR(__xludf.DUMMYFUNCTION("""COMPUTED_VALUE"""),"M. 1320/SUMBEREJO")</f>
        <v>M. 1320/SUMBEREJO</v>
      </c>
      <c r="D9898" s="42"/>
      <c r="E9898" s="42"/>
      <c r="F9898" s="48" t="str">
        <f>IFERROR(__xludf.DUMMYFUNCTION("""COMPUTED_VALUE"""),"")</f>
        <v/>
      </c>
      <c r="G9898" s="42" t="str">
        <f>IFERROR(__xludf.DUMMYFUNCTION("""COMPUTED_VALUE"""),"BN WARIS")</f>
        <v>BN WARIS</v>
      </c>
      <c r="H9898" s="42">
        <f t="shared" si="1"/>
        <v>3345</v>
      </c>
    </row>
    <row r="9899" ht="22.5" customHeight="1">
      <c r="B9899" s="42" t="str">
        <f>IFERROR(__xludf.DUMMYFUNCTION("""COMPUTED_VALUE"""),"L/4/091225/1")</f>
        <v>L/4/091225/1</v>
      </c>
      <c r="C9899" s="42" t="str">
        <f>IFERROR(__xludf.DUMMYFUNCTION("""COMPUTED_VALUE"""),"B. 43/GEDONG MENENG")</f>
        <v>B. 43/GEDONG MENENG</v>
      </c>
      <c r="D9899" s="42"/>
      <c r="E9899" s="42"/>
      <c r="F9899" s="48" t="str">
        <f>IFERROR(__xludf.DUMMYFUNCTION("""COMPUTED_VALUE"""),"")</f>
        <v/>
      </c>
      <c r="G9899" s="42" t="str">
        <f>IFERROR(__xludf.DUMMYFUNCTION("""COMPUTED_VALUE"""),"BN WARIS")</f>
        <v>BN WARIS</v>
      </c>
      <c r="H9899" s="42">
        <f t="shared" si="1"/>
        <v>3345</v>
      </c>
    </row>
    <row r="9900" ht="22.5" customHeight="1">
      <c r="B9900" s="42" t="str">
        <f>IFERROR(__xludf.DUMMYFUNCTION("""COMPUTED_VALUE"""),"AB033/ABBUQTII")</f>
        <v>AB033/ABBUQTII</v>
      </c>
      <c r="C9900" s="42" t="str">
        <f>IFERROR(__xludf.DUMMYFUNCTION("""COMPUTED_VALUE"""),"Nibel M.6393/Sukamaju")</f>
        <v>Nibel M.6393/Sukamaju</v>
      </c>
      <c r="D9900" s="42"/>
      <c r="E9900" s="42"/>
      <c r="F9900" s="48" t="str">
        <f>IFERROR(__xludf.DUMMYFUNCTION("""COMPUTED_VALUE"""),"")</f>
        <v/>
      </c>
      <c r="G9900" s="42" t="str">
        <f>IFERROR(__xludf.DUMMYFUNCTION("""COMPUTED_VALUE"""),"Balik nama")</f>
        <v>Balik nama</v>
      </c>
      <c r="H9900" s="42">
        <f t="shared" si="1"/>
        <v>3345</v>
      </c>
    </row>
    <row r="9901" ht="22.5" customHeight="1">
      <c r="B9901" s="42" t="str">
        <f>IFERROR(__xludf.DUMMYFUNCTION("""COMPUTED_VALUE"""),"AB033")</f>
        <v>AB033</v>
      </c>
      <c r="C9901" s="42">
        <f>IFERROR(__xludf.DUMMYFUNCTION("""COMPUTED_VALUE"""),19787.0)</f>
        <v>19787</v>
      </c>
      <c r="D9901" s="42"/>
      <c r="E9901" s="42"/>
      <c r="F9901" s="48" t="str">
        <f>IFERROR(__xludf.DUMMYFUNCTION("""COMPUTED_VALUE"""),"")</f>
        <v/>
      </c>
      <c r="G9901" s="42" t="str">
        <f>IFERROR(__xludf.DUMMYFUNCTION("""COMPUTED_VALUE"""),"Balik nama")</f>
        <v>Balik nama</v>
      </c>
      <c r="H9901" s="42">
        <f t="shared" si="1"/>
        <v>3345</v>
      </c>
    </row>
    <row r="9902" ht="22.5" customHeight="1">
      <c r="B9902" s="42" t="str">
        <f>IFERROR(__xludf.DUMMYFUNCTION("""COMPUTED_VALUE"""),"ABEPNVWH")</f>
        <v>ABEPNVWH</v>
      </c>
      <c r="C9902" s="42" t="str">
        <f>IFERROR(__xludf.DUMMYFUNCTION("""COMPUTED_VALUE"""),"08.01.000025577.0")</f>
        <v>08.01.000025577.0</v>
      </c>
      <c r="D9902" s="42"/>
      <c r="E9902" s="42"/>
      <c r="F9902" s="48" t="str">
        <f>IFERROR(__xludf.DUMMYFUNCTION("""COMPUTED_VALUE"""),"")</f>
        <v/>
      </c>
      <c r="G9902" s="42" t="str">
        <f>IFERROR(__xludf.DUMMYFUNCTION("""COMPUTED_VALUE"""),"Akte Jual Beli")</f>
        <v>Akte Jual Beli</v>
      </c>
      <c r="H9902" s="42">
        <f t="shared" si="1"/>
        <v>3345</v>
      </c>
    </row>
    <row r="9903" ht="22.5" customHeight="1">
      <c r="B9903" s="42" t="str">
        <f>IFERROR(__xludf.DUMMYFUNCTION("""COMPUTED_VALUE"""),"ABZSROLB/AB034")</f>
        <v>ABZSROLB/AB034</v>
      </c>
      <c r="C9903" s="42" t="str">
        <f>IFERROR(__xludf.DUMMYFUNCTION("""COMPUTED_VALUE"""),"B 2418/campang jaya")</f>
        <v>B 2418/campang jaya</v>
      </c>
      <c r="D9903" s="42"/>
      <c r="E9903" s="42"/>
      <c r="F9903" s="48" t="str">
        <f>IFERROR(__xludf.DUMMYFUNCTION("""COMPUTED_VALUE"""),"")</f>
        <v/>
      </c>
      <c r="G9903" s="42" t="str">
        <f>IFERROR(__xludf.DUMMYFUNCTION("""COMPUTED_VALUE"""),"Bn jual beli")</f>
        <v>Bn jual beli</v>
      </c>
      <c r="H9903" s="42">
        <f t="shared" si="1"/>
        <v>3345</v>
      </c>
    </row>
    <row r="9904" ht="22.5" customHeight="1">
      <c r="B9904" s="42" t="str">
        <f>IFERROR(__xludf.DUMMYFUNCTION("""COMPUTED_VALUE"""),"K/2/091225/1")</f>
        <v>K/2/091225/1</v>
      </c>
      <c r="C9904" s="42" t="str">
        <f>IFERROR(__xludf.DUMMYFUNCTION("""COMPUTED_VALUE"""),"M. 11248/SEGALA MIDER")</f>
        <v>M. 11248/SEGALA MIDER</v>
      </c>
      <c r="D9904" s="42"/>
      <c r="E9904" s="42"/>
      <c r="F9904" s="48" t="str">
        <f>IFERROR(__xludf.DUMMYFUNCTION("""COMPUTED_VALUE"""),"")</f>
        <v/>
      </c>
      <c r="G9904" s="42" t="str">
        <f>IFERROR(__xludf.DUMMYFUNCTION("""COMPUTED_VALUE"""),"ROYA ")</f>
        <v>ROYA </v>
      </c>
      <c r="H9904" s="42">
        <f t="shared" si="1"/>
        <v>3345</v>
      </c>
    </row>
    <row r="9905" ht="22.5" customHeight="1">
      <c r="B9905" s="42" t="str">
        <f>IFERROR(__xludf.DUMMYFUNCTION("""COMPUTED_VALUE"""),"AB028/ABJAXDRZ")</f>
        <v>AB028/ABJAXDRZ</v>
      </c>
      <c r="C9905" s="42" t="str">
        <f>IFERROR(__xludf.DUMMYFUNCTION("""COMPUTED_VALUE"""),"M.3305/Kota Karang")</f>
        <v>M.3305/Kota Karang</v>
      </c>
      <c r="D9905" s="42"/>
      <c r="E9905" s="42"/>
      <c r="F9905" s="48" t="str">
        <f>IFERROR(__xludf.DUMMYFUNCTION("""COMPUTED_VALUE"""),"")</f>
        <v/>
      </c>
      <c r="G9905" s="42" t="str">
        <f>IFERROR(__xludf.DUMMYFUNCTION("""COMPUTED_VALUE"""),"Peralihan Hak Jual Beli")</f>
        <v>Peralihan Hak Jual Beli</v>
      </c>
      <c r="H9905" s="42">
        <f t="shared" si="1"/>
        <v>3345</v>
      </c>
    </row>
    <row r="9906" ht="22.5" customHeight="1">
      <c r="B9906" s="42" t="str">
        <f>IFERROR(__xludf.DUMMYFUNCTION("""COMPUTED_VALUE"""),"L/5/091225/1")</f>
        <v>L/5/091225/1</v>
      </c>
      <c r="C9906" s="42" t="str">
        <f>IFERROR(__xludf.DUMMYFUNCTION("""COMPUTED_VALUE"""),"B NIB. 24168/PEMATANG WANGI")</f>
        <v>B NIB. 24168/PEMATANG WANGI</v>
      </c>
      <c r="D9906" s="42"/>
      <c r="E9906" s="42"/>
      <c r="F9906" s="48" t="str">
        <f>IFERROR(__xludf.DUMMYFUNCTION("""COMPUTED_VALUE"""),"")</f>
        <v/>
      </c>
      <c r="G9906" s="42" t="str">
        <f>IFERROR(__xludf.DUMMYFUNCTION("""COMPUTED_VALUE"""),"GANTI NAMA")</f>
        <v>GANTI NAMA</v>
      </c>
      <c r="H9906" s="42">
        <f t="shared" si="1"/>
        <v>3345</v>
      </c>
    </row>
    <row r="9907" ht="22.5" customHeight="1">
      <c r="B9907" s="42" t="str">
        <f>IFERROR(__xludf.DUMMYFUNCTION("""COMPUTED_VALUE"""),"L/6/091225/1")</f>
        <v>L/6/091225/1</v>
      </c>
      <c r="C9907" s="42" t="str">
        <f>IFERROR(__xludf.DUMMYFUNCTION("""COMPUTED_VALUE"""),"B. 1222/SUKABUMI INDAH")</f>
        <v>B. 1222/SUKABUMI INDAH</v>
      </c>
      <c r="D9907" s="42"/>
      <c r="E9907" s="42"/>
      <c r="F9907" s="48" t="str">
        <f>IFERROR(__xludf.DUMMYFUNCTION("""COMPUTED_VALUE"""),"")</f>
        <v/>
      </c>
      <c r="G9907" s="42" t="str">
        <f>IFERROR(__xludf.DUMMYFUNCTION("""COMPUTED_VALUE"""),"PENINGKATAN HAK")</f>
        <v>PENINGKATAN HAK</v>
      </c>
      <c r="H9907" s="42">
        <f t="shared" si="1"/>
        <v>3345</v>
      </c>
    </row>
    <row r="9908" ht="22.5" customHeight="1">
      <c r="B9908" s="42" t="str">
        <f>IFERROR(__xludf.DUMMYFUNCTION("""COMPUTED_VALUE"""),"L/7/091225/1")</f>
        <v>L/7/091225/1</v>
      </c>
      <c r="C9908" s="42" t="str">
        <f>IFERROR(__xludf.DUMMYFUNCTION("""COMPUTED_VALUE"""),"M. 3138/WAY KANDIS")</f>
        <v>M. 3138/WAY KANDIS</v>
      </c>
      <c r="D9908" s="42"/>
      <c r="E9908" s="42"/>
      <c r="F9908" s="48" t="str">
        <f>IFERROR(__xludf.DUMMYFUNCTION("""COMPUTED_VALUE"""),"")</f>
        <v/>
      </c>
      <c r="G9908" s="42" t="str">
        <f>IFERROR(__xludf.DUMMYFUNCTION("""COMPUTED_VALUE"""),"ROYA")</f>
        <v>ROYA</v>
      </c>
      <c r="H9908" s="42">
        <f t="shared" si="1"/>
        <v>3345</v>
      </c>
    </row>
    <row r="9909" ht="22.5" customHeight="1">
      <c r="B9909" s="42" t="str">
        <f>IFERROR(__xludf.DUMMYFUNCTION("""COMPUTED_VALUE"""),"L/9/091225/1")</f>
        <v>L/9/091225/1</v>
      </c>
      <c r="C9909" s="42" t="str">
        <f>IFERROR(__xludf.DUMMYFUNCTION("""COMPUTED_VALUE"""),"M. 13063/RAJABASA")</f>
        <v>M. 13063/RAJABASA</v>
      </c>
      <c r="D9909" s="42"/>
      <c r="E9909" s="42"/>
      <c r="F9909" s="48" t="str">
        <f>IFERROR(__xludf.DUMMYFUNCTION("""COMPUTED_VALUE"""),"")</f>
        <v/>
      </c>
      <c r="G9909" s="42" t="str">
        <f>IFERROR(__xludf.DUMMYFUNCTION("""COMPUTED_VALUE"""),"ROYA")</f>
        <v>ROYA</v>
      </c>
      <c r="H9909" s="42">
        <f t="shared" si="1"/>
        <v>3345</v>
      </c>
    </row>
    <row r="9910" ht="22.5" customHeight="1">
      <c r="B9910" s="42" t="str">
        <f>IFERROR(__xludf.DUMMYFUNCTION("""COMPUTED_VALUE"""),"L/10/091225/1")</f>
        <v>L/10/091225/1</v>
      </c>
      <c r="C9910" s="42" t="str">
        <f>IFERROR(__xludf.DUMMYFUNCTION("""COMPUTED_VALUE"""),"B. 94/RAJABASA RAYA")</f>
        <v>B. 94/RAJABASA RAYA</v>
      </c>
      <c r="D9910" s="42"/>
      <c r="E9910" s="42"/>
      <c r="F9910" s="48" t="str">
        <f>IFERROR(__xludf.DUMMYFUNCTION("""COMPUTED_VALUE"""),"")</f>
        <v/>
      </c>
      <c r="G9910" s="42" t="str">
        <f>IFERROR(__xludf.DUMMYFUNCTION("""COMPUTED_VALUE"""),"PEMBERIAN HAK DENGAN KONSTATASI")</f>
        <v>PEMBERIAN HAK DENGAN KONSTATASI</v>
      </c>
      <c r="H9910" s="42">
        <f t="shared" si="1"/>
        <v>3345</v>
      </c>
    </row>
    <row r="9911" ht="22.5" customHeight="1">
      <c r="B9911" s="42" t="str">
        <f>IFERROR(__xludf.DUMMYFUNCTION("""COMPUTED_VALUE"""),"K/8/091225/1")</f>
        <v>K/8/091225/1</v>
      </c>
      <c r="C9911" s="42" t="str">
        <f>IFERROR(__xludf.DUMMYFUNCTION("""COMPUTED_VALUE"""),"B. 2558/SUKARAME")</f>
        <v>B. 2558/SUKARAME</v>
      </c>
      <c r="D9911" s="42"/>
      <c r="E9911" s="42"/>
      <c r="F9911" s="48" t="str">
        <f>IFERROR(__xludf.DUMMYFUNCTION("""COMPUTED_VALUE"""),"")</f>
        <v/>
      </c>
      <c r="G9911" s="42" t="str">
        <f>IFERROR(__xludf.DUMMYFUNCTION("""COMPUTED_VALUE"""),"PERMOHONAN SK")</f>
        <v>PERMOHONAN SK</v>
      </c>
      <c r="H9911" s="42">
        <f t="shared" si="1"/>
        <v>3345</v>
      </c>
    </row>
    <row r="9912" ht="22.5" customHeight="1">
      <c r="B9912" s="42" t="str">
        <f>IFERROR(__xludf.DUMMYFUNCTION("""COMPUTED_VALUE"""),"K/11/091225/1")</f>
        <v>K/11/091225/1</v>
      </c>
      <c r="C9912" s="42" t="str">
        <f>IFERROR(__xludf.DUMMYFUNCTION("""COMPUTED_VALUE"""),"M. 2422/KALIAWI")</f>
        <v>M. 2422/KALIAWI</v>
      </c>
      <c r="D9912" s="42"/>
      <c r="E9912" s="42"/>
      <c r="F9912" s="48" t="str">
        <f>IFERROR(__xludf.DUMMYFUNCTION("""COMPUTED_VALUE"""),"")</f>
        <v/>
      </c>
      <c r="G9912" s="42" t="str">
        <f>IFERROR(__xludf.DUMMYFUNCTION("""COMPUTED_VALUE"""),"PENATAAN BATAS")</f>
        <v>PENATAAN BATAS</v>
      </c>
      <c r="H9912" s="42">
        <f t="shared" si="1"/>
        <v>3345</v>
      </c>
    </row>
    <row r="9913" ht="22.5" customHeight="1">
      <c r="B9913" s="42" t="str">
        <f>IFERROR(__xludf.DUMMYFUNCTION("""COMPUTED_VALUE"""),"K/12/091225/1")</f>
        <v>K/12/091225/1</v>
      </c>
      <c r="C9913" s="42" t="str">
        <f>IFERROR(__xludf.DUMMYFUNCTION("""COMPUTED_VALUE"""),"M.725/SAWAH LAMA")</f>
        <v>M.725/SAWAH LAMA</v>
      </c>
      <c r="D9913" s="42"/>
      <c r="E9913" s="42"/>
      <c r="F9913" s="48" t="str">
        <f>IFERROR(__xludf.DUMMYFUNCTION("""COMPUTED_VALUE"""),"")</f>
        <v/>
      </c>
      <c r="G9913" s="42" t="str">
        <f>IFERROR(__xludf.DUMMYFUNCTION("""COMPUTED_VALUE"""),"BN WARIS")</f>
        <v>BN WARIS</v>
      </c>
      <c r="H9913" s="42">
        <f t="shared" si="1"/>
        <v>3345</v>
      </c>
    </row>
    <row r="9914" ht="22.5" customHeight="1">
      <c r="B9914" s="42" t="str">
        <f>IFERROR(__xludf.DUMMYFUNCTION("""COMPUTED_VALUE"""),"Abnfzite")</f>
        <v>Abnfzite</v>
      </c>
      <c r="C9914" s="42" t="str">
        <f>IFERROR(__xludf.DUMMYFUNCTION("""COMPUTED_VALUE"""),"0801000000573/ DURIAN PAYUNG")</f>
        <v>0801000000573/ DURIAN PAYUNG</v>
      </c>
      <c r="D9914" s="42"/>
      <c r="E9914" s="42"/>
      <c r="F9914" s="48" t="str">
        <f>IFERROR(__xludf.DUMMYFUNCTION("""COMPUTED_VALUE"""),"")</f>
        <v/>
      </c>
      <c r="G9914" s="42" t="str">
        <f>IFERROR(__xludf.DUMMYFUNCTION("""COMPUTED_VALUE"""),"Roya")</f>
        <v>Roya</v>
      </c>
      <c r="H9914" s="42">
        <f t="shared" si="1"/>
        <v>3345</v>
      </c>
    </row>
    <row r="9915" ht="22.5" customHeight="1">
      <c r="B9915" s="42" t="str">
        <f>IFERROR(__xludf.DUMMYFUNCTION("""COMPUTED_VALUE"""),"ABODGXQP/AB030")</f>
        <v>ABODGXQP/AB030</v>
      </c>
      <c r="C9915" s="42" t="str">
        <f>IFERROR(__xludf.DUMMYFUNCTION("""COMPUTED_VALUE"""),"M NIBEL 259980/Rajabasa Pemuka")</f>
        <v>M NIBEL 259980/Rajabasa Pemuka</v>
      </c>
      <c r="D9915" s="42"/>
      <c r="E9915" s="42"/>
      <c r="F9915" s="48" t="str">
        <f>IFERROR(__xludf.DUMMYFUNCTION("""COMPUTED_VALUE"""),"")</f>
        <v/>
      </c>
      <c r="G9915" s="42" t="str">
        <f>IFERROR(__xludf.DUMMYFUNCTION("""COMPUTED_VALUE"""),"APHB")</f>
        <v>APHB</v>
      </c>
      <c r="H9915" s="42">
        <f t="shared" si="1"/>
        <v>3345</v>
      </c>
    </row>
    <row r="9916" ht="22.5" customHeight="1">
      <c r="B9916" s="42" t="str">
        <f>IFERROR(__xludf.DUMMYFUNCTION("""COMPUTED_VALUE"""),"ABMJPHHI/004")</f>
        <v>ABMJPHHI/004</v>
      </c>
      <c r="C9916" s="42" t="str">
        <f>IFERROR(__xludf.DUMMYFUNCTION("""COMPUTED_VALUE"""),"GB 26963 sumur putri")</f>
        <v>GB 26963 sumur putri</v>
      </c>
      <c r="D9916" s="42"/>
      <c r="E9916" s="42"/>
      <c r="F9916" s="48" t="str">
        <f>IFERROR(__xludf.DUMMYFUNCTION("""COMPUTED_VALUE"""),"")</f>
        <v/>
      </c>
      <c r="G9916" s="42" t="str">
        <f>IFERROR(__xludf.DUMMYFUNCTION("""COMPUTED_VALUE"""),"Perubahan Hak")</f>
        <v>Perubahan Hak</v>
      </c>
      <c r="H9916" s="42">
        <f t="shared" si="1"/>
        <v>3345</v>
      </c>
    </row>
    <row r="9917" ht="22.5" customHeight="1">
      <c r="B9917" s="42" t="str">
        <f>IFERROR(__xludf.DUMMYFUNCTION("""COMPUTED_VALUE"""),"ABGOOONQ/004")</f>
        <v>ABGOOONQ/004</v>
      </c>
      <c r="C9917" s="42" t="str">
        <f>IFERROR(__xludf.DUMMYFUNCTION("""COMPUTED_VALUE"""),"gb 27411 sumur putri")</f>
        <v>gb 27411 sumur putri</v>
      </c>
      <c r="D9917" s="42"/>
      <c r="E9917" s="42"/>
      <c r="F9917" s="48" t="str">
        <f>IFERROR(__xludf.DUMMYFUNCTION("""COMPUTED_VALUE"""),"")</f>
        <v/>
      </c>
      <c r="G9917" s="42" t="str">
        <f>IFERROR(__xludf.DUMMYFUNCTION("""COMPUTED_VALUE"""),"perubahan hak")</f>
        <v>perubahan hak</v>
      </c>
      <c r="H9917" s="42">
        <f t="shared" si="1"/>
        <v>3345</v>
      </c>
    </row>
    <row r="9918" ht="22.5" customHeight="1">
      <c r="B9918" s="42" t="str">
        <f>IFERROR(__xludf.DUMMYFUNCTION("""COMPUTED_VALUE"""),"AB068/ABAJAQ")</f>
        <v>AB068/ABAJAQ</v>
      </c>
      <c r="C9918" s="42" t="str">
        <f>IFERROR(__xludf.DUMMYFUNCTION("""COMPUTED_VALUE"""),"HGB. 145/SUMBER AGUNG")</f>
        <v>HGB. 145/SUMBER AGUNG</v>
      </c>
      <c r="D9918" s="42"/>
      <c r="E9918" s="42"/>
      <c r="F9918" s="48" t="str">
        <f>IFERROR(__xludf.DUMMYFUNCTION("""COMPUTED_VALUE"""),"")</f>
        <v/>
      </c>
      <c r="G9918" s="42" t="str">
        <f>IFERROR(__xludf.DUMMYFUNCTION("""COMPUTED_VALUE"""),"Balik nama")</f>
        <v>Balik nama</v>
      </c>
      <c r="H9918" s="42">
        <f t="shared" si="1"/>
        <v>3345</v>
      </c>
    </row>
    <row r="9919" ht="22.5" customHeight="1">
      <c r="B9919" s="42" t="str">
        <f>IFERROR(__xludf.DUMMYFUNCTION("""COMPUTED_VALUE"""),"ABVKTUPR")</f>
        <v>ABVKTUPR</v>
      </c>
      <c r="C9919" s="42" t="str">
        <f>IFERROR(__xludf.DUMMYFUNCTION("""COMPUTED_VALUE"""),"M 836/ RAJABASA NUNYAI")</f>
        <v>M 836/ RAJABASA NUNYAI</v>
      </c>
      <c r="D9919" s="42"/>
      <c r="E9919" s="42"/>
      <c r="F9919" s="48" t="str">
        <f>IFERROR(__xludf.DUMMYFUNCTION("""COMPUTED_VALUE"""),"")</f>
        <v/>
      </c>
      <c r="G9919" s="42" t="str">
        <f>IFERROR(__xludf.DUMMYFUNCTION("""COMPUTED_VALUE"""),"Peralihan hak")</f>
        <v>Peralihan hak</v>
      </c>
      <c r="H9919" s="42">
        <f t="shared" si="1"/>
        <v>3345</v>
      </c>
    </row>
    <row r="9920" ht="22.5" customHeight="1">
      <c r="B9920" s="42" t="str">
        <f>IFERROR(__xludf.DUMMYFUNCTION("""COMPUTED_VALUE"""),"ABMDRLLD")</f>
        <v>ABMDRLLD</v>
      </c>
      <c r="C9920" s="42" t="str">
        <f>IFERROR(__xludf.DUMMYFUNCTION("""COMPUTED_VALUE"""),"M 14/ TANJUNG AGUNG RAYA")</f>
        <v>M 14/ TANJUNG AGUNG RAYA</v>
      </c>
      <c r="D9920" s="42"/>
      <c r="E9920" s="42"/>
      <c r="F9920" s="48" t="str">
        <f>IFERROR(__xludf.DUMMYFUNCTION("""COMPUTED_VALUE"""),"")</f>
        <v/>
      </c>
      <c r="G9920" s="42" t="str">
        <f>IFERROR(__xludf.DUMMYFUNCTION("""COMPUTED_VALUE"""),"Peralihan Hak")</f>
        <v>Peralihan Hak</v>
      </c>
      <c r="H9920" s="42">
        <f t="shared" si="1"/>
        <v>3345</v>
      </c>
    </row>
    <row r="9921" ht="22.5" customHeight="1">
      <c r="B9921" s="42" t="str">
        <f>IFERROR(__xludf.DUMMYFUNCTION("""COMPUTED_VALUE"""),"L/14/091225/1")</f>
        <v>L/14/091225/1</v>
      </c>
      <c r="C9921" s="42" t="str">
        <f>IFERROR(__xludf.DUMMYFUNCTION("""COMPUTED_VALUE"""),"M. 2837/BUMI WARAS")</f>
        <v>M. 2837/BUMI WARAS</v>
      </c>
      <c r="D9921" s="42"/>
      <c r="E9921" s="42"/>
      <c r="F9921" s="48" t="str">
        <f>IFERROR(__xludf.DUMMYFUNCTION("""COMPUTED_VALUE"""),"")</f>
        <v/>
      </c>
      <c r="G9921" s="42" t="str">
        <f>IFERROR(__xludf.DUMMYFUNCTION("""COMPUTED_VALUE"""),"BN WARIS")</f>
        <v>BN WARIS</v>
      </c>
      <c r="H9921" s="42">
        <f t="shared" si="1"/>
        <v>3345</v>
      </c>
    </row>
    <row r="9922" ht="22.5" customHeight="1">
      <c r="B9922" s="42" t="str">
        <f>IFERROR(__xludf.DUMMYFUNCTION("""COMPUTED_VALUE"""),"K/13/091225/1")</f>
        <v>K/13/091225/1</v>
      </c>
      <c r="C9922" s="42" t="str">
        <f>IFERROR(__xludf.DUMMYFUNCTION("""COMPUTED_VALUE"""),"B. 1813/SUKARAME")</f>
        <v>B. 1813/SUKARAME</v>
      </c>
      <c r="D9922" s="42"/>
      <c r="E9922" s="42"/>
      <c r="F9922" s="48" t="str">
        <f>IFERROR(__xludf.DUMMYFUNCTION("""COMPUTED_VALUE"""),"")</f>
        <v/>
      </c>
      <c r="G9922" s="42" t="str">
        <f>IFERROR(__xludf.DUMMYFUNCTION("""COMPUTED_VALUE"""),"PENINGKATAN HAK")</f>
        <v>PENINGKATAN HAK</v>
      </c>
      <c r="H9922" s="42">
        <f t="shared" si="1"/>
        <v>3345</v>
      </c>
    </row>
    <row r="9923" ht="22.5" customHeight="1">
      <c r="B9923" s="42" t="str">
        <f>IFERROR(__xludf.DUMMYFUNCTION("""COMPUTED_VALUE"""),"AB063/ABHWOCVM")</f>
        <v>AB063/ABHWOCVM</v>
      </c>
      <c r="C9923" s="42" t="str">
        <f>IFERROR(__xludf.DUMMYFUNCTION("""COMPUTED_VALUE"""),"Nibel 18196 Rajabasa Jaya")</f>
        <v>Nibel 18196 Rajabasa Jaya</v>
      </c>
      <c r="D9923" s="42"/>
      <c r="E9923" s="42"/>
      <c r="F9923" s="48" t="str">
        <f>IFERROR(__xludf.DUMMYFUNCTION("""COMPUTED_VALUE"""),"")</f>
        <v/>
      </c>
      <c r="G9923" s="42" t="str">
        <f>IFERROR(__xludf.DUMMYFUNCTION("""COMPUTED_VALUE"""),"Balik Nama")</f>
        <v>Balik Nama</v>
      </c>
      <c r="H9923" s="42">
        <f t="shared" si="1"/>
        <v>3345</v>
      </c>
    </row>
    <row r="9924" ht="22.5" customHeight="1">
      <c r="B9924" s="42" t="str">
        <f>IFERROR(__xludf.DUMMYFUNCTION("""COMPUTED_VALUE"""),"AB063/ABKZMYEE")</f>
        <v>AB063/ABKZMYEE</v>
      </c>
      <c r="C9924" s="42" t="str">
        <f>IFERROR(__xludf.DUMMYFUNCTION("""COMPUTED_VALUE"""),"Nibel 18212 Rajabasa Jaya")</f>
        <v>Nibel 18212 Rajabasa Jaya</v>
      </c>
      <c r="D9924" s="42"/>
      <c r="E9924" s="42"/>
      <c r="F9924" s="48" t="str">
        <f>IFERROR(__xludf.DUMMYFUNCTION("""COMPUTED_VALUE"""),"")</f>
        <v/>
      </c>
      <c r="G9924" s="42" t="str">
        <f>IFERROR(__xludf.DUMMYFUNCTION("""COMPUTED_VALUE"""),"Balik Nama")</f>
        <v>Balik Nama</v>
      </c>
      <c r="H9924" s="42">
        <f t="shared" si="1"/>
        <v>3345</v>
      </c>
    </row>
    <row r="9925" ht="22.5" customHeight="1">
      <c r="B9925" s="42" t="str">
        <f>IFERROR(__xludf.DUMMYFUNCTION("""COMPUTED_VALUE"""),"AB063/ABHWOCVM")</f>
        <v>AB063/ABHWOCVM</v>
      </c>
      <c r="C9925" s="42" t="str">
        <f>IFERROR(__xludf.DUMMYFUNCTION("""COMPUTED_VALUE"""),"Nibel 24986 Rajabasa  Jaya")</f>
        <v>Nibel 24986 Rajabasa  Jaya</v>
      </c>
      <c r="D9925" s="42"/>
      <c r="E9925" s="42"/>
      <c r="F9925" s="48" t="str">
        <f>IFERROR(__xludf.DUMMYFUNCTION("""COMPUTED_VALUE"""),"")</f>
        <v/>
      </c>
      <c r="G9925" s="42" t="str">
        <f>IFERROR(__xludf.DUMMYFUNCTION("""COMPUTED_VALUE"""),"Balik Nama")</f>
        <v>Balik Nama</v>
      </c>
      <c r="H9925" s="42">
        <f t="shared" si="1"/>
        <v>3345</v>
      </c>
    </row>
    <row r="9926" ht="22.5" customHeight="1">
      <c r="B9926" s="42" t="str">
        <f>IFERROR(__xludf.DUMMYFUNCTION("""COMPUTED_VALUE"""),"K/15/091225/1")</f>
        <v>K/15/091225/1</v>
      </c>
      <c r="C9926" s="42" t="str">
        <f>IFERROR(__xludf.DUMMYFUNCTION("""COMPUTED_VALUE"""),"M. 8967/KAMPUNG BARU")</f>
        <v>M. 8967/KAMPUNG BARU</v>
      </c>
      <c r="D9926" s="42"/>
      <c r="E9926" s="42"/>
      <c r="F9926" s="48" t="str">
        <f>IFERROR(__xludf.DUMMYFUNCTION("""COMPUTED_VALUE"""),"")</f>
        <v/>
      </c>
      <c r="G9926" s="42" t="str">
        <f>IFERROR(__xludf.DUMMYFUNCTION("""COMPUTED_VALUE"""),"SKPT INFORMASI")</f>
        <v>SKPT INFORMASI</v>
      </c>
      <c r="H9926" s="42">
        <f t="shared" si="1"/>
        <v>3345</v>
      </c>
    </row>
    <row r="9927" ht="22.5" customHeight="1">
      <c r="B9927" s="42" t="str">
        <f>IFERROR(__xludf.DUMMYFUNCTION("""COMPUTED_VALUE"""),"K/16/091225/1")</f>
        <v>K/16/091225/1</v>
      </c>
      <c r="C9927" s="42" t="str">
        <f>IFERROR(__xludf.DUMMYFUNCTION("""COMPUTED_VALUE"""),"NIBEL M. 27367/WAY LUNIK")</f>
        <v>NIBEL M. 27367/WAY LUNIK</v>
      </c>
      <c r="D9927" s="42"/>
      <c r="E9927" s="42"/>
      <c r="F9927" s="48" t="str">
        <f>IFERROR(__xludf.DUMMYFUNCTION("""COMPUTED_VALUE"""),"")</f>
        <v/>
      </c>
      <c r="G9927" s="42" t="str">
        <f>IFERROR(__xludf.DUMMYFUNCTION("""COMPUTED_VALUE"""),"BN WARIS")</f>
        <v>BN WARIS</v>
      </c>
      <c r="H9927" s="42">
        <f t="shared" si="1"/>
        <v>3345</v>
      </c>
    </row>
    <row r="9928" ht="22.5" customHeight="1">
      <c r="B9928" s="42" t="str">
        <f>IFERROR(__xludf.DUMMYFUNCTION("""COMPUTED_VALUE"""),"ABBWLLTV/Ab045")</f>
        <v>ABBWLLTV/Ab045</v>
      </c>
      <c r="C9928" s="42" t="str">
        <f>IFERROR(__xludf.DUMMYFUNCTION("""COMPUTED_VALUE"""),"M 450/Kota karang raya")</f>
        <v>M 450/Kota karang raya</v>
      </c>
      <c r="D9928" s="42"/>
      <c r="E9928" s="42"/>
      <c r="F9928" s="48" t="str">
        <f>IFERROR(__xludf.DUMMYFUNCTION("""COMPUTED_VALUE"""),"")</f>
        <v/>
      </c>
      <c r="G9928" s="42" t="str">
        <f>IFERROR(__xludf.DUMMYFUNCTION("""COMPUTED_VALUE"""),"BN jual beli")</f>
        <v>BN jual beli</v>
      </c>
      <c r="H9928" s="42">
        <f t="shared" si="1"/>
        <v>3345</v>
      </c>
    </row>
    <row r="9929" ht="22.5" customHeight="1">
      <c r="B9929" s="42" t="str">
        <f>IFERROR(__xludf.DUMMYFUNCTION("""COMPUTED_VALUE"""),"ABUJJQTJ")</f>
        <v>ABUJJQTJ</v>
      </c>
      <c r="C9929" s="42" t="str">
        <f>IFERROR(__xludf.DUMMYFUNCTION("""COMPUTED_VALUE"""),"Nibel 17169")</f>
        <v>Nibel 17169</v>
      </c>
      <c r="D9929" s="42"/>
      <c r="E9929" s="42"/>
      <c r="F9929" s="48" t="str">
        <f>IFERROR(__xludf.DUMMYFUNCTION("""COMPUTED_VALUE"""),"")</f>
        <v/>
      </c>
      <c r="G9929" s="42" t="str">
        <f>IFERROR(__xludf.DUMMYFUNCTION("""COMPUTED_VALUE"""),"BN jual beli")</f>
        <v>BN jual beli</v>
      </c>
      <c r="H9929" s="42">
        <f t="shared" si="1"/>
        <v>3345</v>
      </c>
    </row>
    <row r="9930" ht="22.5" customHeight="1">
      <c r="B9930" s="42" t="str">
        <f>IFERROR(__xludf.DUMMYFUNCTION("""COMPUTED_VALUE"""),"AB059/ABORMXKV")</f>
        <v>AB059/ABORMXKV</v>
      </c>
      <c r="C9930" s="42" t="str">
        <f>IFERROR(__xludf.DUMMYFUNCTION("""COMPUTED_VALUE"""),"M.4412 RAJABASA JAYA")</f>
        <v>M.4412 RAJABASA JAYA</v>
      </c>
      <c r="D9930" s="42"/>
      <c r="E9930" s="42"/>
      <c r="F9930" s="48" t="str">
        <f>IFERROR(__xludf.DUMMYFUNCTION("""COMPUTED_VALUE"""),"")</f>
        <v/>
      </c>
      <c r="G9930" s="42" t="str">
        <f>IFERROR(__xludf.DUMMYFUNCTION("""COMPUTED_VALUE"""),"BN")</f>
        <v>BN</v>
      </c>
      <c r="H9930" s="42">
        <f t="shared" si="1"/>
        <v>3345</v>
      </c>
    </row>
    <row r="9931" ht="22.5" customHeight="1">
      <c r="B9931" s="42" t="str">
        <f>IFERROR(__xludf.DUMMYFUNCTION("""COMPUTED_VALUE"""),"ABCNFVJH")</f>
        <v>ABCNFVJH</v>
      </c>
      <c r="C9931" s="42" t="str">
        <f>IFERROR(__xludf.DUMMYFUNCTION("""COMPUTED_VALUE"""),"Nibel 17144")</f>
        <v>Nibel 17144</v>
      </c>
      <c r="D9931" s="42"/>
      <c r="E9931" s="42"/>
      <c r="F9931" s="48" t="str">
        <f>IFERROR(__xludf.DUMMYFUNCTION("""COMPUTED_VALUE"""),"")</f>
        <v/>
      </c>
      <c r="G9931" s="42" t="str">
        <f>IFERROR(__xludf.DUMMYFUNCTION("""COMPUTED_VALUE"""),"BN jual beli ")</f>
        <v>BN jual beli </v>
      </c>
      <c r="H9931" s="42">
        <f t="shared" si="1"/>
        <v>3345</v>
      </c>
    </row>
    <row r="9932" ht="22.5" customHeight="1">
      <c r="B9932" s="42" t="str">
        <f>IFERROR(__xludf.DUMMYFUNCTION("""COMPUTED_VALUE"""),"ABJMJBGP/Ab045")</f>
        <v>ABJMJBGP/Ab045</v>
      </c>
      <c r="C9932" s="42" t="str">
        <f>IFERROR(__xludf.DUMMYFUNCTION("""COMPUTED_VALUE"""),"M. 451/Kota karang raya")</f>
        <v>M. 451/Kota karang raya</v>
      </c>
      <c r="D9932" s="42"/>
      <c r="E9932" s="42"/>
      <c r="F9932" s="48" t="str">
        <f>IFERROR(__xludf.DUMMYFUNCTION("""COMPUTED_VALUE"""),"")</f>
        <v/>
      </c>
      <c r="G9932" s="42" t="str">
        <f>IFERROR(__xludf.DUMMYFUNCTION("""COMPUTED_VALUE"""),"BN jual beli")</f>
        <v>BN jual beli</v>
      </c>
      <c r="H9932" s="42">
        <f t="shared" si="1"/>
        <v>3345</v>
      </c>
    </row>
    <row r="9933" ht="22.5" customHeight="1">
      <c r="B9933" s="42" t="str">
        <f>IFERROR(__xludf.DUMMYFUNCTION("""COMPUTED_VALUE"""),"L/1/101225/1")</f>
        <v>L/1/101225/1</v>
      </c>
      <c r="C9933" s="42" t="str">
        <f>IFERROR(__xludf.DUMMYFUNCTION("""COMPUTED_VALUE"""),"M. 437/PEMATANG WANGI")</f>
        <v>M. 437/PEMATANG WANGI</v>
      </c>
      <c r="D9933" s="42"/>
      <c r="E9933" s="42"/>
      <c r="F9933" s="48" t="str">
        <f>IFERROR(__xludf.DUMMYFUNCTION("""COMPUTED_VALUE"""),"")</f>
        <v/>
      </c>
      <c r="G9933" s="42" t="str">
        <f>IFERROR(__xludf.DUMMYFUNCTION("""COMPUTED_VALUE"""),"GANTI BLANKO")</f>
        <v>GANTI BLANKO</v>
      </c>
      <c r="H9933" s="42">
        <f t="shared" si="1"/>
        <v>3345</v>
      </c>
    </row>
    <row r="9934" ht="22.5" customHeight="1">
      <c r="B9934" s="42" t="str">
        <f>IFERROR(__xludf.DUMMYFUNCTION("""COMPUTED_VALUE"""),"ABVJAMYK/AB053")</f>
        <v>ABVJAMYK/AB053</v>
      </c>
      <c r="C9934" s="42" t="str">
        <f>IFERROR(__xludf.DUMMYFUNCTION("""COMPUTED_VALUE"""),"M. 2651")</f>
        <v>M. 2651</v>
      </c>
      <c r="D9934" s="42"/>
      <c r="E9934" s="42"/>
      <c r="F9934" s="48" t="str">
        <f>IFERROR(__xludf.DUMMYFUNCTION("""COMPUTED_VALUE"""),"")</f>
        <v/>
      </c>
      <c r="G9934" s="42" t="str">
        <f>IFERROR(__xludf.DUMMYFUNCTION("""COMPUTED_VALUE"""),"Penataan Batas")</f>
        <v>Penataan Batas</v>
      </c>
      <c r="H9934" s="42">
        <f t="shared" si="1"/>
        <v>3345</v>
      </c>
    </row>
    <row r="9935" ht="22.5" customHeight="1">
      <c r="B9935" s="42" t="str">
        <f>IFERROR(__xludf.DUMMYFUNCTION("""COMPUTED_VALUE"""),"ABECXLVB/AB023")</f>
        <v>ABECXLVB/AB023</v>
      </c>
      <c r="C9935" s="42" t="str">
        <f>IFERROR(__xludf.DUMMYFUNCTION("""COMPUTED_VALUE"""),"M. NIBEL 1726/sukarame baru")</f>
        <v>M. NIBEL 1726/sukarame baru</v>
      </c>
      <c r="D9935" s="42"/>
      <c r="E9935" s="42"/>
      <c r="F9935" s="48" t="str">
        <f>IFERROR(__xludf.DUMMYFUNCTION("""COMPUTED_VALUE"""),"")</f>
        <v/>
      </c>
      <c r="G9935" s="42" t="str">
        <f>IFERROR(__xludf.DUMMYFUNCTION("""COMPUTED_VALUE"""),"Peralihak Hak Jual Beli")</f>
        <v>Peralihak Hak Jual Beli</v>
      </c>
      <c r="H9935" s="42">
        <f t="shared" si="1"/>
        <v>3345</v>
      </c>
    </row>
    <row r="9936" ht="22.5" customHeight="1">
      <c r="B9936" s="42" t="str">
        <f>IFERROR(__xludf.DUMMYFUNCTION("""COMPUTED_VALUE"""),"L/2/101225/1")</f>
        <v>L/2/101225/1</v>
      </c>
      <c r="C9936" s="42" t="str">
        <f>IFERROR(__xludf.DUMMYFUNCTION("""COMPUTED_VALUE"""),"M. 1685/PESAWAHAN")</f>
        <v>M. 1685/PESAWAHAN</v>
      </c>
      <c r="D9936" s="42"/>
      <c r="E9936" s="42"/>
      <c r="F9936" s="48" t="str">
        <f>IFERROR(__xludf.DUMMYFUNCTION("""COMPUTED_VALUE"""),"")</f>
        <v/>
      </c>
      <c r="G9936" s="42" t="str">
        <f>IFERROR(__xludf.DUMMYFUNCTION("""COMPUTED_VALUE"""),"GANTI BLANKO")</f>
        <v>GANTI BLANKO</v>
      </c>
      <c r="H9936" s="42">
        <f t="shared" si="1"/>
        <v>3345</v>
      </c>
    </row>
    <row r="9937" ht="22.5" customHeight="1">
      <c r="B9937" s="42" t="str">
        <f>IFERROR(__xludf.DUMMYFUNCTION("""COMPUTED_VALUE"""),"AB023")</f>
        <v>AB023</v>
      </c>
      <c r="C9937" s="42" t="str">
        <f>IFERROR(__xludf.DUMMYFUNCTION("""COMPUTED_VALUE"""),"M.19079/sukarame")</f>
        <v>M.19079/sukarame</v>
      </c>
      <c r="D9937" s="42"/>
      <c r="E9937" s="42"/>
      <c r="F9937" s="48" t="str">
        <f>IFERROR(__xludf.DUMMYFUNCTION("""COMPUTED_VALUE"""),"")</f>
        <v/>
      </c>
      <c r="G9937" s="42" t="str">
        <f>IFERROR(__xludf.DUMMYFUNCTION("""COMPUTED_VALUE"""),"Roya")</f>
        <v>Roya</v>
      </c>
      <c r="H9937" s="42">
        <f t="shared" si="1"/>
        <v>3345</v>
      </c>
    </row>
    <row r="9938" ht="22.5" customHeight="1">
      <c r="B9938" s="42" t="str">
        <f>IFERROR(__xludf.DUMMYFUNCTION("""COMPUTED_VALUE"""),"L/5/101225/1")</f>
        <v>L/5/101225/1</v>
      </c>
      <c r="C9938" s="42" t="str">
        <f>IFERROR(__xludf.DUMMYFUNCTION("""COMPUTED_VALUE"""),"KEL. SUMUR BATU LUAS 143 M2")</f>
        <v>KEL. SUMUR BATU LUAS 143 M2</v>
      </c>
      <c r="D9938" s="42"/>
      <c r="E9938" s="42"/>
      <c r="F9938" s="48" t="str">
        <f>IFERROR(__xludf.DUMMYFUNCTION("""COMPUTED_VALUE"""),"")</f>
        <v/>
      </c>
      <c r="G9938" s="42" t="str">
        <f>IFERROR(__xludf.DUMMYFUNCTION("""COMPUTED_VALUE"""),"PENGUKURAN PERTAMA KALI")</f>
        <v>PENGUKURAN PERTAMA KALI</v>
      </c>
      <c r="H9938" s="42">
        <f t="shared" si="1"/>
        <v>3345</v>
      </c>
    </row>
    <row r="9939" ht="22.5" customHeight="1">
      <c r="B9939" s="42" t="str">
        <f>IFERROR(__xludf.DUMMYFUNCTION("""COMPUTED_VALUE"""),"L/6/101225/1")</f>
        <v>L/6/101225/1</v>
      </c>
      <c r="C9939" s="42" t="str">
        <f>IFERROR(__xludf.DUMMYFUNCTION("""COMPUTED_VALUE"""),"KEL. JAGABAYA II LUAS 300 M2")</f>
        <v>KEL. JAGABAYA II LUAS 300 M2</v>
      </c>
      <c r="D9939" s="42"/>
      <c r="E9939" s="42"/>
      <c r="F9939" s="48" t="str">
        <f>IFERROR(__xludf.DUMMYFUNCTION("""COMPUTED_VALUE"""),"")</f>
        <v/>
      </c>
      <c r="G9939" s="42" t="str">
        <f>IFERROR(__xludf.DUMMYFUNCTION("""COMPUTED_VALUE"""),"ROYA")</f>
        <v>ROYA</v>
      </c>
      <c r="H9939" s="42">
        <f t="shared" si="1"/>
        <v>3345</v>
      </c>
    </row>
    <row r="9940" ht="22.5" customHeight="1">
      <c r="B9940" s="42" t="str">
        <f>IFERROR(__xludf.DUMMYFUNCTION("""COMPUTED_VALUE"""),"AB064")</f>
        <v>AB064</v>
      </c>
      <c r="C9940" s="42" t="str">
        <f>IFERROR(__xludf.DUMMYFUNCTION("""COMPUTED_VALUE"""),"M 1621/ sukamaju ")</f>
        <v>M 1621/ sukamaju </v>
      </c>
      <c r="D9940" s="42"/>
      <c r="E9940" s="42"/>
      <c r="F9940" s="48" t="str">
        <f>IFERROR(__xludf.DUMMYFUNCTION("""COMPUTED_VALUE"""),"")</f>
        <v/>
      </c>
      <c r="G9940" s="42" t="str">
        <f>IFERROR(__xludf.DUMMYFUNCTION("""COMPUTED_VALUE"""),"Ganti desa dan ganti kecamatan")</f>
        <v>Ganti desa dan ganti kecamatan</v>
      </c>
      <c r="H9940" s="42">
        <f t="shared" si="1"/>
        <v>3345</v>
      </c>
    </row>
    <row r="9941" ht="22.5" customHeight="1">
      <c r="B9941" s="42" t="str">
        <f>IFERROR(__xludf.DUMMYFUNCTION("""COMPUTED_VALUE"""),"L/7/101225/1")</f>
        <v>L/7/101225/1</v>
      </c>
      <c r="C9941" s="42" t="str">
        <f>IFERROR(__xludf.DUMMYFUNCTION("""COMPUTED_VALUE"""),"M. 1737/SUSUNAN BARU")</f>
        <v>M. 1737/SUSUNAN BARU</v>
      </c>
      <c r="D9941" s="42"/>
      <c r="E9941" s="42"/>
      <c r="F9941" s="48" t="str">
        <f>IFERROR(__xludf.DUMMYFUNCTION("""COMPUTED_VALUE"""),"")</f>
        <v/>
      </c>
      <c r="G9941" s="42" t="str">
        <f>IFERROR(__xludf.DUMMYFUNCTION("""COMPUTED_VALUE"""),"ROYA")</f>
        <v>ROYA</v>
      </c>
      <c r="H9941" s="42">
        <f t="shared" si="1"/>
        <v>3345</v>
      </c>
    </row>
    <row r="9942" ht="22.5" customHeight="1">
      <c r="B9942" s="42" t="str">
        <f>IFERROR(__xludf.DUMMYFUNCTION("""COMPUTED_VALUE"""),"ABTUAXKY")</f>
        <v>ABTUAXKY</v>
      </c>
      <c r="C9942" s="42" t="str">
        <f>IFERROR(__xludf.DUMMYFUNCTION("""COMPUTED_VALUE"""),"M 2136/ BAKUNG")</f>
        <v>M 2136/ BAKUNG</v>
      </c>
      <c r="D9942" s="42"/>
      <c r="E9942" s="42"/>
      <c r="F9942" s="48" t="str">
        <f>IFERROR(__xludf.DUMMYFUNCTION("""COMPUTED_VALUE"""),"")</f>
        <v/>
      </c>
      <c r="G9942" s="42" t="str">
        <f>IFERROR(__xludf.DUMMYFUNCTION("""COMPUTED_VALUE"""),"BN JUAL BELI")</f>
        <v>BN JUAL BELI</v>
      </c>
      <c r="H9942" s="42">
        <f t="shared" si="1"/>
        <v>3345</v>
      </c>
    </row>
    <row r="9943" ht="22.5" customHeight="1">
      <c r="B9943" s="42" t="str">
        <f>IFERROR(__xludf.DUMMYFUNCTION("""COMPUTED_VALUE"""),"AB067/ABSPONUA")</f>
        <v>AB067/ABSPONUA</v>
      </c>
      <c r="C9943" s="42" t="str">
        <f>IFERROR(__xludf.DUMMYFUNCTION("""COMPUTED_VALUE"""),"M.605/Sukaraja")</f>
        <v>M.605/Sukaraja</v>
      </c>
      <c r="D9943" s="42"/>
      <c r="E9943" s="42"/>
      <c r="F9943" s="48" t="str">
        <f>IFERROR(__xludf.DUMMYFUNCTION("""COMPUTED_VALUE"""),"")</f>
        <v/>
      </c>
      <c r="G9943" s="42" t="str">
        <f>IFERROR(__xludf.DUMMYFUNCTION("""COMPUTED_VALUE"""),"BN HIBAH")</f>
        <v>BN HIBAH</v>
      </c>
      <c r="H9943" s="42">
        <f t="shared" si="1"/>
        <v>3345</v>
      </c>
    </row>
    <row r="9944" ht="22.5" customHeight="1">
      <c r="B9944" s="42" t="str">
        <f>IFERROR(__xludf.DUMMYFUNCTION("""COMPUTED_VALUE"""),"K/4/101225/1")</f>
        <v>K/4/101225/1</v>
      </c>
      <c r="C9944" s="42" t="str">
        <f>IFERROR(__xludf.DUMMYFUNCTION("""COMPUTED_VALUE"""),"M. 99/PINANG JAYA")</f>
        <v>M. 99/PINANG JAYA</v>
      </c>
      <c r="D9944" s="42"/>
      <c r="E9944" s="42"/>
      <c r="F9944" s="48" t="str">
        <f>IFERROR(__xludf.DUMMYFUNCTION("""COMPUTED_VALUE"""),"")</f>
        <v/>
      </c>
      <c r="G9944" s="42" t="str">
        <f>IFERROR(__xludf.DUMMYFUNCTION("""COMPUTED_VALUE"""),"ROYA")</f>
        <v>ROYA</v>
      </c>
      <c r="H9944" s="42">
        <f t="shared" si="1"/>
        <v>3345</v>
      </c>
    </row>
    <row r="9945" ht="22.5" customHeight="1">
      <c r="B9945" s="42" t="str">
        <f>IFERROR(__xludf.DUMMYFUNCTION("""COMPUTED_VALUE"""),"L/8/101225/1")</f>
        <v>L/8/101225/1</v>
      </c>
      <c r="C9945" s="42" t="str">
        <f>IFERROR(__xludf.DUMMYFUNCTION("""COMPUTED_VALUE"""),"M. 9316/LABUHAN RATU")</f>
        <v>M. 9316/LABUHAN RATU</v>
      </c>
      <c r="D9945" s="42"/>
      <c r="E9945" s="42"/>
      <c r="F9945" s="48" t="str">
        <f>IFERROR(__xludf.DUMMYFUNCTION("""COMPUTED_VALUE"""),"")</f>
        <v/>
      </c>
      <c r="G9945" s="42" t="str">
        <f>IFERROR(__xludf.DUMMYFUNCTION("""COMPUTED_VALUE"""),"BN WARIS")</f>
        <v>BN WARIS</v>
      </c>
      <c r="H9945" s="42">
        <f t="shared" si="1"/>
        <v>3345</v>
      </c>
    </row>
    <row r="9946" ht="22.5" customHeight="1">
      <c r="B9946" s="42" t="str">
        <f>IFERROR(__xludf.DUMMYFUNCTION("""COMPUTED_VALUE"""),"ABWCHQBN")</f>
        <v>ABWCHQBN</v>
      </c>
      <c r="C9946" s="42" t="str">
        <f>IFERROR(__xludf.DUMMYFUNCTION("""COMPUTED_VALUE"""),"Nibel M.27149/ SUKARAME")</f>
        <v>Nibel M.27149/ SUKARAME</v>
      </c>
      <c r="D9946" s="42"/>
      <c r="E9946" s="42"/>
      <c r="F9946" s="48" t="str">
        <f>IFERROR(__xludf.DUMMYFUNCTION("""COMPUTED_VALUE"""),"")</f>
        <v/>
      </c>
      <c r="G9946" s="42" t="str">
        <f>IFERROR(__xludf.DUMMYFUNCTION("""COMPUTED_VALUE"""),"Turun Waris")</f>
        <v>Turun Waris</v>
      </c>
      <c r="H9946" s="42">
        <f t="shared" si="1"/>
        <v>3345</v>
      </c>
    </row>
    <row r="9947" ht="22.5" customHeight="1">
      <c r="B9947" s="42" t="str">
        <f>IFERROR(__xludf.DUMMYFUNCTION("""COMPUTED_VALUE"""),"ABXGMVRG/ AB006")</f>
        <v>ABXGMVRG/ AB006</v>
      </c>
      <c r="C9947" s="42" t="str">
        <f>IFERROR(__xludf.DUMMYFUNCTION("""COMPUTED_VALUE"""),"shm 9699 Kedamaian ")</f>
        <v>shm 9699 Kedamaian </v>
      </c>
      <c r="D9947" s="42"/>
      <c r="E9947" s="42"/>
      <c r="F9947" s="48" t="str">
        <f>IFERROR(__xludf.DUMMYFUNCTION("""COMPUTED_VALUE"""),"")</f>
        <v/>
      </c>
      <c r="G9947" s="42" t="str">
        <f>IFERROR(__xludf.DUMMYFUNCTION("""COMPUTED_VALUE"""),"waris")</f>
        <v>waris</v>
      </c>
      <c r="H9947" s="42">
        <f t="shared" si="1"/>
        <v>3345</v>
      </c>
    </row>
    <row r="9948" ht="22.5" customHeight="1">
      <c r="B9948" s="42" t="str">
        <f>IFERROR(__xludf.DUMMYFUNCTION("""COMPUTED_VALUE"""),"K/9/101225/1")</f>
        <v>K/9/101225/1</v>
      </c>
      <c r="C9948" s="42" t="str">
        <f>IFERROR(__xludf.DUMMYFUNCTION("""COMPUTED_VALUE"""),"M. 3116/KUPANG TEBA")</f>
        <v>M. 3116/KUPANG TEBA</v>
      </c>
      <c r="D9948" s="42"/>
      <c r="E9948" s="42"/>
      <c r="F9948" s="48" t="str">
        <f>IFERROR(__xludf.DUMMYFUNCTION("""COMPUTED_VALUE"""),"")</f>
        <v/>
      </c>
      <c r="G9948" s="42" t="str">
        <f>IFERROR(__xludf.DUMMYFUNCTION("""COMPUTED_VALUE"""),"ROYA")</f>
        <v>ROYA</v>
      </c>
      <c r="H9948" s="42">
        <f t="shared" si="1"/>
        <v>3345</v>
      </c>
    </row>
    <row r="9949" ht="22.5" customHeight="1">
      <c r="B9949" s="42" t="str">
        <f>IFERROR(__xludf.DUMMYFUNCTION("""COMPUTED_VALUE"""),"ABCJWEWV/AB063")</f>
        <v>ABCJWEWV/AB063</v>
      </c>
      <c r="C9949" s="42" t="str">
        <f>IFERROR(__xludf.DUMMYFUNCTION("""COMPUTED_VALUE"""),"M. 1488/Way Lunik")</f>
        <v>M. 1488/Way Lunik</v>
      </c>
      <c r="D9949" s="42"/>
      <c r="E9949" s="42"/>
      <c r="F9949" s="48" t="str">
        <f>IFERROR(__xludf.DUMMYFUNCTION("""COMPUTED_VALUE"""),"")</f>
        <v/>
      </c>
      <c r="G9949" s="42" t="str">
        <f>IFERROR(__xludf.DUMMYFUNCTION("""COMPUTED_VALUE"""),"BN JUAL BELI")</f>
        <v>BN JUAL BELI</v>
      </c>
      <c r="H9949" s="42">
        <f t="shared" si="1"/>
        <v>3345</v>
      </c>
    </row>
    <row r="9950" ht="22.5" customHeight="1">
      <c r="B9950" s="42" t="str">
        <f>IFERROR(__xludf.DUMMYFUNCTION("""COMPUTED_VALUE"""),"AB077/ABQHYNMA")</f>
        <v>AB077/ABQHYNMA</v>
      </c>
      <c r="C9950" s="42" t="str">
        <f>IFERROR(__xludf.DUMMYFUNCTION("""COMPUTED_VALUE"""),"Nibel M2604 RAJABASA JAYA")</f>
        <v>Nibel M2604 RAJABASA JAYA</v>
      </c>
      <c r="D9950" s="42"/>
      <c r="E9950" s="42"/>
      <c r="F9950" s="48" t="str">
        <f>IFERROR(__xludf.DUMMYFUNCTION("""COMPUTED_VALUE"""),"")</f>
        <v/>
      </c>
      <c r="G9950" s="42" t="str">
        <f>IFERROR(__xludf.DUMMYFUNCTION("""COMPUTED_VALUE"""),"Roya")</f>
        <v>Roya</v>
      </c>
      <c r="H9950" s="42">
        <f t="shared" si="1"/>
        <v>3345</v>
      </c>
    </row>
    <row r="9951" ht="22.5" customHeight="1">
      <c r="B9951" s="42" t="str">
        <f>IFERROR(__xludf.DUMMYFUNCTION("""COMPUTED_VALUE"""),"L/16/101225/1")</f>
        <v>L/16/101225/1</v>
      </c>
      <c r="C9951" s="42" t="str">
        <f>IFERROR(__xludf.DUMMYFUNCTION("""COMPUTED_VALUE"""),"KEL. KAMPUNG BARU LUAS 376 M2")</f>
        <v>KEL. KAMPUNG BARU LUAS 376 M2</v>
      </c>
      <c r="D9951" s="42"/>
      <c r="E9951" s="42"/>
      <c r="F9951" s="48" t="str">
        <f>IFERROR(__xludf.DUMMYFUNCTION("""COMPUTED_VALUE"""),"")</f>
        <v/>
      </c>
      <c r="G9951" s="42" t="str">
        <f>IFERROR(__xludf.DUMMYFUNCTION("""COMPUTED_VALUE"""),"PENGUKURAN PERTAMA KALI")</f>
        <v>PENGUKURAN PERTAMA KALI</v>
      </c>
      <c r="H9951" s="42">
        <f t="shared" si="1"/>
        <v>3345</v>
      </c>
    </row>
    <row r="9952" ht="22.5" customHeight="1">
      <c r="B9952" s="42" t="str">
        <f>IFERROR(__xludf.DUMMYFUNCTION("""COMPUTED_VALUE"""),"ABSOXYFF")</f>
        <v>ABSOXYFF</v>
      </c>
      <c r="C9952" s="42" t="str">
        <f>IFERROR(__xludf.DUMMYFUNCTION("""COMPUTED_VALUE"""),"M 20318/ NOG")</f>
        <v>M 20318/ NOG</v>
      </c>
      <c r="D9952" s="42"/>
      <c r="E9952" s="42"/>
      <c r="F9952" s="48" t="str">
        <f>IFERROR(__xludf.DUMMYFUNCTION("""COMPUTED_VALUE"""),"")</f>
        <v/>
      </c>
      <c r="G9952" s="42" t="str">
        <f>IFERROR(__xludf.DUMMYFUNCTION("""COMPUTED_VALUE"""),"Pemisahan ")</f>
        <v>Pemisahan </v>
      </c>
      <c r="H9952" s="42">
        <f t="shared" si="1"/>
        <v>3345</v>
      </c>
    </row>
    <row r="9953" ht="22.5" customHeight="1">
      <c r="B9953" s="42" t="str">
        <f>IFERROR(__xludf.DUMMYFUNCTION("""COMPUTED_VALUE"""),"ABSPPYXA")</f>
        <v>ABSPPYXA</v>
      </c>
      <c r="C9953" s="42" t="str">
        <f>IFERROR(__xludf.DUMMYFUNCTION("""COMPUTED_VALUE"""),"m 1493/ sumberejo sejahtera")</f>
        <v>m 1493/ sumberejo sejahtera</v>
      </c>
      <c r="D9953" s="42"/>
      <c r="E9953" s="42"/>
      <c r="F9953" s="48" t="str">
        <f>IFERROR(__xludf.DUMMYFUNCTION("""COMPUTED_VALUE"""),"")</f>
        <v/>
      </c>
      <c r="G9953" s="42" t="str">
        <f>IFERROR(__xludf.DUMMYFUNCTION("""COMPUTED_VALUE"""),"Penghapusan BPHTB PTSL")</f>
        <v>Penghapusan BPHTB PTSL</v>
      </c>
      <c r="H9953" s="42">
        <f t="shared" si="1"/>
        <v>3345</v>
      </c>
    </row>
    <row r="9954" ht="22.5" customHeight="1">
      <c r="B9954" s="42" t="str">
        <f>IFERROR(__xludf.DUMMYFUNCTION("""COMPUTED_VALUE"""),"K/10/101225/1")</f>
        <v>K/10/101225/1</v>
      </c>
      <c r="C9954" s="42" t="str">
        <f>IFERROR(__xludf.DUMMYFUNCTION("""COMPUTED_VALUE"""),"M. 3012/KEMILING PERMAI")</f>
        <v>M. 3012/KEMILING PERMAI</v>
      </c>
      <c r="D9954" s="42"/>
      <c r="E9954" s="42"/>
      <c r="F9954" s="48" t="str">
        <f>IFERROR(__xludf.DUMMYFUNCTION("""COMPUTED_VALUE"""),"")</f>
        <v/>
      </c>
      <c r="G9954" s="42" t="str">
        <f>IFERROR(__xludf.DUMMYFUNCTION("""COMPUTED_VALUE"""),"SKPT LELANG")</f>
        <v>SKPT LELANG</v>
      </c>
      <c r="H9954" s="42">
        <f t="shared" si="1"/>
        <v>3345</v>
      </c>
    </row>
    <row r="9955" ht="22.5" customHeight="1">
      <c r="B9955" s="42" t="str">
        <f>IFERROR(__xludf.DUMMYFUNCTION("""COMPUTED_VALUE"""),"K/17/101225/1")</f>
        <v>K/17/101225/1</v>
      </c>
      <c r="C9955" s="42" t="str">
        <f>IFERROR(__xludf.DUMMYFUNCTION("""COMPUTED_VALUE"""),"LABUHAN RATU")</f>
        <v>LABUHAN RATU</v>
      </c>
      <c r="D9955" s="42"/>
      <c r="E9955" s="42"/>
      <c r="F9955" s="48" t="str">
        <f>IFERROR(__xludf.DUMMYFUNCTION("""COMPUTED_VALUE"""),"")</f>
        <v/>
      </c>
      <c r="G9955" s="42" t="str">
        <f>IFERROR(__xludf.DUMMYFUNCTION("""COMPUTED_VALUE"""),"PENGUKURAN PERTAMA KALI")</f>
        <v>PENGUKURAN PERTAMA KALI</v>
      </c>
      <c r="H9955" s="42">
        <f t="shared" si="1"/>
        <v>3345</v>
      </c>
    </row>
    <row r="9956" ht="22.5" customHeight="1">
      <c r="B9956" s="42" t="str">
        <f>IFERROR(__xludf.DUMMYFUNCTION("""COMPUTED_VALUE"""),"K/11/101225/2")</f>
        <v>K/11/101225/2</v>
      </c>
      <c r="C9956" s="42" t="str">
        <f>IFERROR(__xludf.DUMMYFUNCTION("""COMPUTED_VALUE"""),"M. 304/KETAPANG")</f>
        <v>M. 304/KETAPANG</v>
      </c>
      <c r="D9956" s="42"/>
      <c r="E9956" s="42"/>
      <c r="F9956" s="48" t="str">
        <f>IFERROR(__xludf.DUMMYFUNCTION("""COMPUTED_VALUE"""),"")</f>
        <v/>
      </c>
      <c r="G9956" s="42" t="str">
        <f>IFERROR(__xludf.DUMMYFUNCTION("""COMPUTED_VALUE"""),"SKPT LELANG")</f>
        <v>SKPT LELANG</v>
      </c>
      <c r="H9956" s="42">
        <f t="shared" si="1"/>
        <v>3345</v>
      </c>
    </row>
    <row r="9957" ht="22.5" customHeight="1">
      <c r="B9957" s="42" t="str">
        <f>IFERROR(__xludf.DUMMYFUNCTION("""COMPUTED_VALUE"""),"K/12/101225/3")</f>
        <v>K/12/101225/3</v>
      </c>
      <c r="C9957" s="42" t="str">
        <f>IFERROR(__xludf.DUMMYFUNCTION("""COMPUTED_VALUE"""),"M. 314/KEBON JERUK")</f>
        <v>M. 314/KEBON JERUK</v>
      </c>
      <c r="D9957" s="42"/>
      <c r="E9957" s="42"/>
      <c r="F9957" s="48" t="str">
        <f>IFERROR(__xludf.DUMMYFUNCTION("""COMPUTED_VALUE"""),"")</f>
        <v/>
      </c>
      <c r="G9957" s="42" t="str">
        <f>IFERROR(__xludf.DUMMYFUNCTION("""COMPUTED_VALUE"""),"SKPT LELANG")</f>
        <v>SKPT LELANG</v>
      </c>
      <c r="H9957" s="42">
        <f t="shared" si="1"/>
        <v>3345</v>
      </c>
    </row>
    <row r="9958" ht="22.5" customHeight="1">
      <c r="B9958" s="42" t="str">
        <f>IFERROR(__xludf.DUMMYFUNCTION("""COMPUTED_VALUE"""),"K/13/101225/4")</f>
        <v>K/13/101225/4</v>
      </c>
      <c r="C9958" s="42" t="str">
        <f>IFERROR(__xludf.DUMMYFUNCTION("""COMPUTED_VALUE"""),"M. 352/KEBON JERUK")</f>
        <v>M. 352/KEBON JERUK</v>
      </c>
      <c r="D9958" s="42"/>
      <c r="E9958" s="42"/>
      <c r="F9958" s="48" t="str">
        <f>IFERROR(__xludf.DUMMYFUNCTION("""COMPUTED_VALUE"""),"")</f>
        <v/>
      </c>
      <c r="G9958" s="42" t="str">
        <f>IFERROR(__xludf.DUMMYFUNCTION("""COMPUTED_VALUE"""),"SKPT LELANG")</f>
        <v>SKPT LELANG</v>
      </c>
      <c r="H9958" s="42">
        <f t="shared" si="1"/>
        <v>3345</v>
      </c>
    </row>
    <row r="9959" ht="22.5" customHeight="1">
      <c r="B9959" s="42" t="str">
        <f>IFERROR(__xludf.DUMMYFUNCTION("""COMPUTED_VALUE"""),"K/14/101225/5")</f>
        <v>K/14/101225/5</v>
      </c>
      <c r="C9959" s="42" t="str">
        <f>IFERROR(__xludf.DUMMYFUNCTION("""COMPUTED_VALUE"""),"M. 535/KEBON JERUK")</f>
        <v>M. 535/KEBON JERUK</v>
      </c>
      <c r="D9959" s="42"/>
      <c r="E9959" s="42"/>
      <c r="F9959" s="48" t="str">
        <f>IFERROR(__xludf.DUMMYFUNCTION("""COMPUTED_VALUE"""),"")</f>
        <v/>
      </c>
      <c r="G9959" s="42" t="str">
        <f>IFERROR(__xludf.DUMMYFUNCTION("""COMPUTED_VALUE"""),"SKPT LELANG")</f>
        <v>SKPT LELANG</v>
      </c>
      <c r="H9959" s="42">
        <f t="shared" si="1"/>
        <v>3345</v>
      </c>
    </row>
    <row r="9960" ht="22.5" customHeight="1">
      <c r="B9960" s="42" t="str">
        <f>IFERROR(__xludf.DUMMYFUNCTION("""COMPUTED_VALUE"""),"K/15/101225/6")</f>
        <v>K/15/101225/6</v>
      </c>
      <c r="C9960" s="42" t="str">
        <f>IFERROR(__xludf.DUMMYFUNCTION("""COMPUTED_VALUE"""),"M. 1026/PENGAJARAN")</f>
        <v>M. 1026/PENGAJARAN</v>
      </c>
      <c r="D9960" s="42"/>
      <c r="E9960" s="42"/>
      <c r="F9960" s="48" t="str">
        <f>IFERROR(__xludf.DUMMYFUNCTION("""COMPUTED_VALUE"""),"")</f>
        <v/>
      </c>
      <c r="G9960" s="42" t="str">
        <f>IFERROR(__xludf.DUMMYFUNCTION("""COMPUTED_VALUE"""),"SKPT LELANG")</f>
        <v>SKPT LELANG</v>
      </c>
      <c r="H9960" s="42">
        <f t="shared" si="1"/>
        <v>3345</v>
      </c>
    </row>
    <row r="9961" ht="22.5" customHeight="1">
      <c r="B9961" s="42" t="str">
        <f>IFERROR(__xludf.DUMMYFUNCTION("""COMPUTED_VALUE"""),"ABDUFCOC")</f>
        <v>ABDUFCOC</v>
      </c>
      <c r="C9961" s="42">
        <f>IFERROR(__xludf.DUMMYFUNCTION("""COMPUTED_VALUE"""),695.0)</f>
        <v>695</v>
      </c>
      <c r="D9961" s="42"/>
      <c r="E9961" s="42"/>
      <c r="F9961" s="48" t="str">
        <f>IFERROR(__xludf.DUMMYFUNCTION("""COMPUTED_VALUE"""),"")</f>
        <v/>
      </c>
      <c r="G9961" s="42" t="str">
        <f>IFERROR(__xludf.DUMMYFUNCTION("""COMPUTED_VALUE"""),"BALIK NAMA")</f>
        <v>BALIK NAMA</v>
      </c>
      <c r="H9961" s="42">
        <f t="shared" si="1"/>
        <v>3345</v>
      </c>
    </row>
    <row r="9962" ht="22.5" customHeight="1">
      <c r="B9962" s="42" t="str">
        <f>IFERROR(__xludf.DUMMYFUNCTION("""COMPUTED_VALUE"""),"ABXWSAXW")</f>
        <v>ABXWSAXW</v>
      </c>
      <c r="C9962" s="42">
        <f>IFERROR(__xludf.DUMMYFUNCTION("""COMPUTED_VALUE"""),725.0)</f>
        <v>725</v>
      </c>
      <c r="D9962" s="42"/>
      <c r="E9962" s="42"/>
      <c r="F9962" s="48" t="str">
        <f>IFERROR(__xludf.DUMMYFUNCTION("""COMPUTED_VALUE"""),"")</f>
        <v/>
      </c>
      <c r="G9962" s="42" t="str">
        <f>IFERROR(__xludf.DUMMYFUNCTION("""COMPUTED_VALUE"""),"BN")</f>
        <v>BN</v>
      </c>
      <c r="H9962" s="42">
        <f t="shared" si="1"/>
        <v>3345</v>
      </c>
    </row>
    <row r="9963" ht="22.5" customHeight="1">
      <c r="B9963" s="42" t="str">
        <f>IFERROR(__xludf.DUMMYFUNCTION("""COMPUTED_VALUE"""),"K/1/111225/1")</f>
        <v>K/1/111225/1</v>
      </c>
      <c r="C9963" s="42" t="str">
        <f>IFERROR(__xludf.DUMMYFUNCTION("""COMPUTED_VALUE"""),"M. 3003/GEDONG AIR")</f>
        <v>M. 3003/GEDONG AIR</v>
      </c>
      <c r="D9963" s="42"/>
      <c r="E9963" s="42"/>
      <c r="F9963" s="48" t="str">
        <f>IFERROR(__xludf.DUMMYFUNCTION("""COMPUTED_VALUE"""),"")</f>
        <v/>
      </c>
      <c r="G9963" s="42" t="str">
        <f>IFERROR(__xludf.DUMMYFUNCTION("""COMPUTED_VALUE"""),"BN JUAL BELI ")</f>
        <v>BN JUAL BELI </v>
      </c>
      <c r="H9963" s="42">
        <f t="shared" si="1"/>
        <v>3345</v>
      </c>
    </row>
    <row r="9964" ht="22.5" customHeight="1">
      <c r="B9964" s="42" t="str">
        <f>IFERROR(__xludf.DUMMYFUNCTION("""COMPUTED_VALUE"""),"ABPNZETD/AB034")</f>
        <v>ABPNZETD/AB034</v>
      </c>
      <c r="C9964" s="42" t="str">
        <f>IFERROR(__xludf.DUMMYFUNCTION("""COMPUTED_VALUE"""),"M. 25518/sumber rejo")</f>
        <v>M. 25518/sumber rejo</v>
      </c>
      <c r="D9964" s="42"/>
      <c r="E9964" s="42"/>
      <c r="F9964" s="48" t="str">
        <f>IFERROR(__xludf.DUMMYFUNCTION("""COMPUTED_VALUE"""),"")</f>
        <v/>
      </c>
      <c r="G9964" s="42" t="str">
        <f>IFERROR(__xludf.DUMMYFUNCTION("""COMPUTED_VALUE"""),"BN JUAL BELI ")</f>
        <v>BN JUAL BELI </v>
      </c>
      <c r="H9964" s="42">
        <f t="shared" si="1"/>
        <v>3345</v>
      </c>
    </row>
    <row r="9965" ht="22.5" customHeight="1">
      <c r="B9965" s="42" t="str">
        <f>IFERROR(__xludf.DUMMYFUNCTION("""COMPUTED_VALUE"""),"AB039/ABXVMNCE")</f>
        <v>AB039/ABXVMNCE</v>
      </c>
      <c r="C9965" s="42" t="str">
        <f>IFERROR(__xludf.DUMMYFUNCTION("""COMPUTED_VALUE"""),"SHM 1334/R.L")</f>
        <v>SHM 1334/R.L</v>
      </c>
      <c r="D9965" s="42"/>
      <c r="E9965" s="42"/>
      <c r="F9965" s="48" t="str">
        <f>IFERROR(__xludf.DUMMYFUNCTION("""COMPUTED_VALUE"""),"")</f>
        <v/>
      </c>
      <c r="G9965" s="42" t="str">
        <f>IFERROR(__xludf.DUMMYFUNCTION("""COMPUTED_VALUE"""),"Roya")</f>
        <v>Roya</v>
      </c>
      <c r="H9965" s="42">
        <f t="shared" si="1"/>
        <v>3345</v>
      </c>
    </row>
    <row r="9966" ht="22.5" customHeight="1">
      <c r="B9966" s="42" t="str">
        <f>IFERROR(__xludf.DUMMYFUNCTION("""COMPUTED_VALUE"""),"AB039/ABQFOXYI")</f>
        <v>AB039/ABQFOXYI</v>
      </c>
      <c r="C9966" s="42" t="str">
        <f>IFERROR(__xludf.DUMMYFUNCTION("""COMPUTED_VALUE"""),"SHM 9677 /Kdm")</f>
        <v>SHM 9677 /Kdm</v>
      </c>
      <c r="D9966" s="42"/>
      <c r="E9966" s="42"/>
      <c r="F9966" s="48" t="str">
        <f>IFERROR(__xludf.DUMMYFUNCTION("""COMPUTED_VALUE"""),"")</f>
        <v/>
      </c>
      <c r="G9966" s="42" t="str">
        <f>IFERROR(__xludf.DUMMYFUNCTION("""COMPUTED_VALUE"""),"Roya")</f>
        <v>Roya</v>
      </c>
      <c r="H9966" s="42">
        <f t="shared" si="1"/>
        <v>3345</v>
      </c>
    </row>
    <row r="9967" ht="22.5" customHeight="1">
      <c r="B9967" s="42" t="str">
        <f>IFERROR(__xludf.DUMMYFUNCTION("""COMPUTED_VALUE"""),"L/3/111225/1")</f>
        <v>L/3/111225/1</v>
      </c>
      <c r="C9967" s="42" t="str">
        <f>IFERROR(__xludf.DUMMYFUNCTION("""COMPUTED_VALUE"""),"M NIB 18216/SIDODADI")</f>
        <v>M NIB 18216/SIDODADI</v>
      </c>
      <c r="D9967" s="42"/>
      <c r="E9967" s="42"/>
      <c r="F9967" s="48" t="str">
        <f>IFERROR(__xludf.DUMMYFUNCTION("""COMPUTED_VALUE"""),"")</f>
        <v/>
      </c>
      <c r="G9967" s="42" t="str">
        <f>IFERROR(__xludf.DUMMYFUNCTION("""COMPUTED_VALUE"""),"ROYA")</f>
        <v>ROYA</v>
      </c>
      <c r="H9967" s="42">
        <f t="shared" si="1"/>
        <v>3345</v>
      </c>
    </row>
    <row r="9968" ht="22.5" customHeight="1">
      <c r="B9968" s="42" t="str">
        <f>IFERROR(__xludf.DUMMYFUNCTION("""COMPUTED_VALUE"""),"ABYCHHUY/AB045")</f>
        <v>ABYCHHUY/AB045</v>
      </c>
      <c r="C9968" s="42" t="str">
        <f>IFERROR(__xludf.DUMMYFUNCTION("""COMPUTED_VALUE"""),"M. 104/Perumnas Way Kandis")</f>
        <v>M. 104/Perumnas Way Kandis</v>
      </c>
      <c r="D9968" s="42"/>
      <c r="E9968" s="42"/>
      <c r="F9968" s="48" t="str">
        <f>IFERROR(__xludf.DUMMYFUNCTION("""COMPUTED_VALUE"""),"")</f>
        <v/>
      </c>
      <c r="G9968" s="42" t="str">
        <f>IFERROR(__xludf.DUMMYFUNCTION("""COMPUTED_VALUE"""),"roya ")</f>
        <v>roya </v>
      </c>
      <c r="H9968" s="42">
        <f t="shared" si="1"/>
        <v>3345</v>
      </c>
    </row>
    <row r="9969" ht="22.5" customHeight="1">
      <c r="B9969" s="42" t="str">
        <f>IFERROR(__xludf.DUMMYFUNCTION("""COMPUTED_VALUE"""),"ABWMKJWD/AB045")</f>
        <v>ABWMKJWD/AB045</v>
      </c>
      <c r="C9969" s="42">
        <f>IFERROR(__xludf.DUMMYFUNCTION("""COMPUTED_VALUE"""),5285.0)</f>
        <v>5285</v>
      </c>
      <c r="D9969" s="42"/>
      <c r="E9969" s="42"/>
      <c r="F9969" s="48" t="str">
        <f>IFERROR(__xludf.DUMMYFUNCTION("""COMPUTED_VALUE"""),"")</f>
        <v/>
      </c>
      <c r="G9969" s="42" t="str">
        <f>IFERROR(__xludf.DUMMYFUNCTION("""COMPUTED_VALUE"""),"balik nama ")</f>
        <v>balik nama </v>
      </c>
      <c r="H9969" s="42">
        <f t="shared" si="1"/>
        <v>3345</v>
      </c>
    </row>
    <row r="9970" ht="22.5" customHeight="1">
      <c r="B9970" s="42" t="str">
        <f>IFERROR(__xludf.DUMMYFUNCTION("""COMPUTED_VALUE"""),"ABXDCCBG/AB045")</f>
        <v>ABXDCCBG/AB045</v>
      </c>
      <c r="C9970" s="42" t="str">
        <f>IFERROR(__xludf.DUMMYFUNCTION("""COMPUTED_VALUE"""),"M.4518/GUNUNG TERANG")</f>
        <v>M.4518/GUNUNG TERANG</v>
      </c>
      <c r="D9970" s="42"/>
      <c r="E9970" s="42"/>
      <c r="F9970" s="48" t="str">
        <f>IFERROR(__xludf.DUMMYFUNCTION("""COMPUTED_VALUE"""),"")</f>
        <v/>
      </c>
      <c r="G9970" s="42" t="str">
        <f>IFERROR(__xludf.DUMMYFUNCTION("""COMPUTED_VALUE"""),"balik nama")</f>
        <v>balik nama</v>
      </c>
      <c r="H9970" s="42">
        <f t="shared" si="1"/>
        <v>3345</v>
      </c>
    </row>
    <row r="9971" ht="22.5" customHeight="1">
      <c r="B9971" s="42" t="str">
        <f>IFERROR(__xludf.DUMMYFUNCTION("""COMPUTED_VALUE"""),"ABYCHHUJ/AB045")</f>
        <v>ABYCHHUJ/AB045</v>
      </c>
      <c r="C9971" s="42" t="str">
        <f>IFERROR(__xludf.DUMMYFUNCTION("""COMPUTED_VALUE"""),"M.4835 SUKADANA HAM")</f>
        <v>M.4835 SUKADANA HAM</v>
      </c>
      <c r="D9971" s="42"/>
      <c r="E9971" s="42"/>
      <c r="F9971" s="48" t="str">
        <f>IFERROR(__xludf.DUMMYFUNCTION("""COMPUTED_VALUE"""),"")</f>
        <v/>
      </c>
      <c r="G9971" s="42" t="str">
        <f>IFERROR(__xludf.DUMMYFUNCTION("""COMPUTED_VALUE"""),"balik nama")</f>
        <v>balik nama</v>
      </c>
      <c r="H9971" s="42">
        <f t="shared" si="1"/>
        <v>3345</v>
      </c>
    </row>
    <row r="9972" ht="22.5" customHeight="1">
      <c r="B9972" s="42" t="str">
        <f>IFERROR(__xludf.DUMMYFUNCTION("""COMPUTED_VALUE"""),"ABIYMNME")</f>
        <v>ABIYMNME</v>
      </c>
      <c r="C9972" s="42" t="str">
        <f>IFERROR(__xludf.DUMMYFUNCTION("""COMPUTED_VALUE"""),"M 1870/ SEPANG JAYA")</f>
        <v>M 1870/ SEPANG JAYA</v>
      </c>
      <c r="D9972" s="42"/>
      <c r="E9972" s="42"/>
      <c r="F9972" s="48" t="str">
        <f>IFERROR(__xludf.DUMMYFUNCTION("""COMPUTED_VALUE"""),"")</f>
        <v/>
      </c>
      <c r="G9972" s="42" t="str">
        <f>IFERROR(__xludf.DUMMYFUNCTION("""COMPUTED_VALUE"""),"Balik nama jual beli")</f>
        <v>Balik nama jual beli</v>
      </c>
      <c r="H9972" s="42">
        <f t="shared" si="1"/>
        <v>3345</v>
      </c>
    </row>
    <row r="9973" ht="22.5" customHeight="1">
      <c r="B9973" s="42" t="str">
        <f>IFERROR(__xludf.DUMMYFUNCTION("""COMPUTED_VALUE"""),"ABHIMKTO")</f>
        <v>ABHIMKTO</v>
      </c>
      <c r="C9973" s="42" t="str">
        <f>IFERROR(__xludf.DUMMYFUNCTION("""COMPUTED_VALUE"""),"M 1871/ sepang jaya")</f>
        <v>M 1871/ sepang jaya</v>
      </c>
      <c r="D9973" s="42"/>
      <c r="E9973" s="42"/>
      <c r="F9973" s="48" t="str">
        <f>IFERROR(__xludf.DUMMYFUNCTION("""COMPUTED_VALUE"""),"")</f>
        <v/>
      </c>
      <c r="G9973" s="42" t="str">
        <f>IFERROR(__xludf.DUMMYFUNCTION("""COMPUTED_VALUE"""),"Balik Nama jual beli")</f>
        <v>Balik Nama jual beli</v>
      </c>
      <c r="H9973" s="42">
        <f t="shared" si="1"/>
        <v>3345</v>
      </c>
    </row>
    <row r="9974" ht="22.5" customHeight="1">
      <c r="B9974" s="42" t="str">
        <f>IFERROR(__xludf.DUMMYFUNCTION("""COMPUTED_VALUE"""),"ABDVNXXN")</f>
        <v>ABDVNXXN</v>
      </c>
      <c r="C9974" s="42" t="str">
        <f>IFERROR(__xludf.DUMMYFUNCTION("""COMPUTED_VALUE"""),"M 13557/ SEGALA MIDER")</f>
        <v>M 13557/ SEGALA MIDER</v>
      </c>
      <c r="D9974" s="42"/>
      <c r="E9974" s="42"/>
      <c r="F9974" s="48" t="str">
        <f>IFERROR(__xludf.DUMMYFUNCTION("""COMPUTED_VALUE"""),"")</f>
        <v/>
      </c>
      <c r="G9974" s="42" t="str">
        <f>IFERROR(__xludf.DUMMYFUNCTION("""COMPUTED_VALUE"""),"Waris")</f>
        <v>Waris</v>
      </c>
      <c r="H9974" s="42">
        <f t="shared" si="1"/>
        <v>3345</v>
      </c>
    </row>
    <row r="9975" ht="22.5" customHeight="1">
      <c r="B9975" s="42" t="str">
        <f>IFERROR(__xludf.DUMMYFUNCTION("""COMPUTED_VALUE"""),"L/4/111225/1")</f>
        <v>L/4/111225/1</v>
      </c>
      <c r="C9975" s="42" t="str">
        <f>IFERROR(__xludf.DUMMYFUNCTION("""COMPUTED_VALUE"""),"M. 12059/JAGABAYA II")</f>
        <v>M. 12059/JAGABAYA II</v>
      </c>
      <c r="D9975" s="42"/>
      <c r="E9975" s="42"/>
      <c r="F9975" s="48" t="str">
        <f>IFERROR(__xludf.DUMMYFUNCTION("""COMPUTED_VALUE"""),"")</f>
        <v/>
      </c>
      <c r="G9975" s="42" t="str">
        <f>IFERROR(__xludf.DUMMYFUNCTION("""COMPUTED_VALUE"""),"ROYA")</f>
        <v>ROYA</v>
      </c>
      <c r="H9975" s="42">
        <f t="shared" si="1"/>
        <v>3345</v>
      </c>
    </row>
    <row r="9976" ht="22.5" customHeight="1">
      <c r="B9976" s="42" t="str">
        <f>IFERROR(__xludf.DUMMYFUNCTION("""COMPUTED_VALUE"""),"AB021/ABNZYPHZ")</f>
        <v>AB021/ABNZYPHZ</v>
      </c>
      <c r="C9976" s="42" t="str">
        <f>IFERROR(__xludf.DUMMYFUNCTION("""COMPUTED_VALUE"""),"M.19079/sukarame")</f>
        <v>M.19079/sukarame</v>
      </c>
      <c r="D9976" s="42"/>
      <c r="E9976" s="42"/>
      <c r="F9976" s="48" t="str">
        <f>IFERROR(__xludf.DUMMYFUNCTION("""COMPUTED_VALUE"""),"")</f>
        <v/>
      </c>
      <c r="G9976" s="42" t="str">
        <f>IFERROR(__xludf.DUMMYFUNCTION("""COMPUTED_VALUE"""),"Roya")</f>
        <v>Roya</v>
      </c>
      <c r="H9976" s="42">
        <f t="shared" si="1"/>
        <v>3345</v>
      </c>
    </row>
    <row r="9977" ht="22.5" customHeight="1">
      <c r="B9977" s="42" t="str">
        <f>IFERROR(__xludf.DUMMYFUNCTION("""COMPUTED_VALUE"""),"K/2/111225/1")</f>
        <v>K/2/111225/1</v>
      </c>
      <c r="C9977" s="42" t="str">
        <f>IFERROR(__xludf.DUMMYFUNCTION("""COMPUTED_VALUE"""),"B. 423/CAMPANG RAYA")</f>
        <v>B. 423/CAMPANG RAYA</v>
      </c>
      <c r="D9977" s="42"/>
      <c r="E9977" s="42"/>
      <c r="F9977" s="48" t="str">
        <f>IFERROR(__xludf.DUMMYFUNCTION("""COMPUTED_VALUE"""),"")</f>
        <v/>
      </c>
      <c r="G9977" s="42" t="str">
        <f>IFERROR(__xludf.DUMMYFUNCTION("""COMPUTED_VALUE"""),"PENGUKURAN HGB MATI")</f>
        <v>PENGUKURAN HGB MATI</v>
      </c>
      <c r="H9977" s="42">
        <f t="shared" si="1"/>
        <v>3345</v>
      </c>
    </row>
    <row r="9978" ht="22.5" customHeight="1">
      <c r="B9978" s="42" t="str">
        <f>IFERROR(__xludf.DUMMYFUNCTION("""COMPUTED_VALUE"""),"K/5/111225/1")</f>
        <v>K/5/111225/1</v>
      </c>
      <c r="C9978" s="42" t="str">
        <f>IFERROR(__xludf.DUMMYFUNCTION("""COMPUTED_VALUE"""),"M. 502/BERINGIN RAYA")</f>
        <v>M. 502/BERINGIN RAYA</v>
      </c>
      <c r="D9978" s="42"/>
      <c r="E9978" s="42"/>
      <c r="F9978" s="48" t="str">
        <f>IFERROR(__xludf.DUMMYFUNCTION("""COMPUTED_VALUE"""),"")</f>
        <v/>
      </c>
      <c r="G9978" s="42" t="str">
        <f>IFERROR(__xludf.DUMMYFUNCTION("""COMPUTED_VALUE"""),"ROYA")</f>
        <v>ROYA</v>
      </c>
      <c r="H9978" s="42">
        <f t="shared" si="1"/>
        <v>3345</v>
      </c>
    </row>
    <row r="9979" ht="22.5" customHeight="1">
      <c r="B9979" s="42" t="str">
        <f>IFERROR(__xludf.DUMMYFUNCTION("""COMPUTED_VALUE"""),"ABJNAUDK/Ab031")</f>
        <v>ABJNAUDK/Ab031</v>
      </c>
      <c r="C9979" s="42" t="str">
        <f>IFERROR(__xludf.DUMMYFUNCTION("""COMPUTED_VALUE"""),"M 15717/Sukabumi")</f>
        <v>M 15717/Sukabumi</v>
      </c>
      <c r="D9979" s="42"/>
      <c r="E9979" s="42"/>
      <c r="F9979" s="48" t="str">
        <f>IFERROR(__xludf.DUMMYFUNCTION("""COMPUTED_VALUE"""),"")</f>
        <v/>
      </c>
      <c r="G9979" s="42" t="str">
        <f>IFERROR(__xludf.DUMMYFUNCTION("""COMPUTED_VALUE"""),"Bn jual beli")</f>
        <v>Bn jual beli</v>
      </c>
      <c r="H9979" s="42">
        <f t="shared" si="1"/>
        <v>3345</v>
      </c>
    </row>
    <row r="9980" ht="22.5" customHeight="1">
      <c r="B9980" s="42" t="str">
        <f>IFERROR(__xludf.DUMMYFUNCTION("""COMPUTED_VALUE"""),"AB055/ABQIJSRF")</f>
        <v>AB055/ABQIJSRF</v>
      </c>
      <c r="C9980" s="42" t="str">
        <f>IFERROR(__xludf.DUMMYFUNCTION("""COMPUTED_VALUE"""),"Nibel 19461/ rajabasa")</f>
        <v>Nibel 19461/ rajabasa</v>
      </c>
      <c r="D9980" s="42"/>
      <c r="E9980" s="42"/>
      <c r="F9980" s="48" t="str">
        <f>IFERROR(__xludf.DUMMYFUNCTION("""COMPUTED_VALUE"""),"")</f>
        <v/>
      </c>
      <c r="G9980" s="42" t="str">
        <f>IFERROR(__xludf.DUMMYFUNCTION("""COMPUTED_VALUE"""),"Bn jual beli")</f>
        <v>Bn jual beli</v>
      </c>
      <c r="H9980" s="42">
        <f t="shared" si="1"/>
        <v>3345</v>
      </c>
    </row>
    <row r="9981" ht="22.5" customHeight="1">
      <c r="B9981" s="42" t="str">
        <f>IFERROR(__xludf.DUMMYFUNCTION("""COMPUTED_VALUE"""),"L/7/111225/1")</f>
        <v>L/7/111225/1</v>
      </c>
      <c r="C9981" s="42" t="str">
        <f>IFERROR(__xludf.DUMMYFUNCTION("""COMPUTED_VALUE"""),"M. 1933/KALIAWI")</f>
        <v>M. 1933/KALIAWI</v>
      </c>
      <c r="D9981" s="42"/>
      <c r="E9981" s="42"/>
      <c r="F9981" s="48" t="str">
        <f>IFERROR(__xludf.DUMMYFUNCTION("""COMPUTED_VALUE"""),"")</f>
        <v/>
      </c>
      <c r="G9981" s="42" t="str">
        <f>IFERROR(__xludf.DUMMYFUNCTION("""COMPUTED_VALUE"""),"ROYA")</f>
        <v>ROYA</v>
      </c>
      <c r="H9981" s="42">
        <f t="shared" si="1"/>
        <v>3345</v>
      </c>
    </row>
    <row r="9982" ht="22.5" customHeight="1">
      <c r="B9982" s="42" t="str">
        <f>IFERROR(__xludf.DUMMYFUNCTION("""COMPUTED_VALUE"""),"ABDJLIJJ")</f>
        <v>ABDJLIJJ</v>
      </c>
      <c r="C9982" s="42" t="str">
        <f>IFERROR(__xludf.DUMMYFUNCTION("""COMPUTED_VALUE"""),"Kemiling. Kemiling permai")</f>
        <v>Kemiling. Kemiling permai</v>
      </c>
      <c r="D9982" s="42"/>
      <c r="E9982" s="42"/>
      <c r="F9982" s="48" t="str">
        <f>IFERROR(__xludf.DUMMYFUNCTION("""COMPUTED_VALUE"""),"")</f>
        <v/>
      </c>
      <c r="G9982" s="42" t="str">
        <f>IFERROR(__xludf.DUMMYFUNCTION("""COMPUTED_VALUE"""),"Tanah mentah hpl")</f>
        <v>Tanah mentah hpl</v>
      </c>
      <c r="H9982" s="42">
        <f t="shared" si="1"/>
        <v>3345</v>
      </c>
    </row>
    <row r="9983" ht="22.5" customHeight="1">
      <c r="B9983" s="42" t="str">
        <f>IFERROR(__xludf.DUMMYFUNCTION("""COMPUTED_VALUE"""),"ABFCDUTL")</f>
        <v>ABFCDUTL</v>
      </c>
      <c r="C9983" s="42" t="str">
        <f>IFERROR(__xludf.DUMMYFUNCTION("""COMPUTED_VALUE"""),"Kemiling. Kemiling permai")</f>
        <v>Kemiling. Kemiling permai</v>
      </c>
      <c r="D9983" s="42"/>
      <c r="E9983" s="42"/>
      <c r="F9983" s="48" t="str">
        <f>IFERROR(__xludf.DUMMYFUNCTION("""COMPUTED_VALUE"""),"")</f>
        <v/>
      </c>
      <c r="G9983" s="42" t="str">
        <f>IFERROR(__xludf.DUMMYFUNCTION("""COMPUTED_VALUE"""),"Pertama kali HPL")</f>
        <v>Pertama kali HPL</v>
      </c>
      <c r="H9983" s="42">
        <f t="shared" si="1"/>
        <v>3345</v>
      </c>
    </row>
    <row r="9984" ht="22.5" customHeight="1">
      <c r="B9984" s="42" t="str">
        <f>IFERROR(__xludf.DUMMYFUNCTION("""COMPUTED_VALUE"""),"ABFIUWUY/1")</f>
        <v>ABFIUWUY/1</v>
      </c>
      <c r="C9984" s="42" t="str">
        <f>IFERROR(__xludf.DUMMYFUNCTION("""COMPUTED_VALUE"""),"08.01.000026032.0./ perumas way kandis")</f>
        <v>08.01.000026032.0./ perumas way kandis</v>
      </c>
      <c r="D9984" s="42"/>
      <c r="E9984" s="42"/>
      <c r="F9984" s="48" t="str">
        <f>IFERROR(__xludf.DUMMYFUNCTION("""COMPUTED_VALUE"""),"")</f>
        <v/>
      </c>
      <c r="G9984" s="42" t="str">
        <f>IFERROR(__xludf.DUMMYFUNCTION("""COMPUTED_VALUE"""),"Balik Nama APHB")</f>
        <v>Balik Nama APHB</v>
      </c>
      <c r="H9984" s="42">
        <f t="shared" si="1"/>
        <v>3345</v>
      </c>
    </row>
    <row r="9985" ht="22.5" customHeight="1">
      <c r="B9985" s="42" t="str">
        <f>IFERROR(__xludf.DUMMYFUNCTION("""COMPUTED_VALUE"""),"ABYPQEEI/AB059")</f>
        <v>ABYPQEEI/AB059</v>
      </c>
      <c r="C9985" s="42" t="str">
        <f>IFERROR(__xludf.DUMMYFUNCTION("""COMPUTED_VALUE"""),"M. 687/way kandis")</f>
        <v>M. 687/way kandis</v>
      </c>
      <c r="D9985" s="42"/>
      <c r="E9985" s="42"/>
      <c r="F9985" s="48" t="str">
        <f>IFERROR(__xludf.DUMMYFUNCTION("""COMPUTED_VALUE"""),"")</f>
        <v/>
      </c>
      <c r="G9985" s="42" t="str">
        <f>IFERROR(__xludf.DUMMYFUNCTION("""COMPUTED_VALUE"""),"Ganti kelurahan")</f>
        <v>Ganti kelurahan</v>
      </c>
      <c r="H9985" s="42">
        <f t="shared" si="1"/>
        <v>3345</v>
      </c>
    </row>
    <row r="9986" ht="22.5" customHeight="1">
      <c r="B9986" s="42" t="str">
        <f>IFERROR(__xludf.DUMMYFUNCTION("""COMPUTED_VALUE"""),"ABIESFRP/AB059")</f>
        <v>ABIESFRP/AB059</v>
      </c>
      <c r="C9986" s="42" t="str">
        <f>IFERROR(__xludf.DUMMYFUNCTION("""COMPUTED_VALUE"""),"M. 2212/Susunan Baru")</f>
        <v>M. 2212/Susunan Baru</v>
      </c>
      <c r="D9986" s="42"/>
      <c r="E9986" s="42"/>
      <c r="F9986" s="48" t="str">
        <f>IFERROR(__xludf.DUMMYFUNCTION("""COMPUTED_VALUE"""),"")</f>
        <v/>
      </c>
      <c r="G9986" s="42" t="str">
        <f>IFERROR(__xludf.DUMMYFUNCTION("""COMPUTED_VALUE"""),"Bn jual beli")</f>
        <v>Bn jual beli</v>
      </c>
      <c r="H9986" s="42">
        <f t="shared" si="1"/>
        <v>3345</v>
      </c>
    </row>
    <row r="9987" ht="22.5" customHeight="1">
      <c r="B9987" s="42" t="str">
        <f>IFERROR(__xludf.DUMMYFUNCTION("""COMPUTED_VALUE"""),"AB053/ ABSCOIEL")</f>
        <v>AB053/ ABSCOIEL</v>
      </c>
      <c r="C9987" s="42" t="str">
        <f>IFERROR(__xludf.DUMMYFUNCTION("""COMPUTED_VALUE"""),"NIBEL M.26032 PERUMNAS WAY KANDIS")</f>
        <v>NIBEL M.26032 PERUMNAS WAY KANDIS</v>
      </c>
      <c r="D9987" s="42"/>
      <c r="E9987" s="42"/>
      <c r="F9987" s="48" t="str">
        <f>IFERROR(__xludf.DUMMYFUNCTION("""COMPUTED_VALUE"""),"")</f>
        <v/>
      </c>
      <c r="G9987" s="42" t="str">
        <f>IFERROR(__xludf.DUMMYFUNCTION("""COMPUTED_VALUE"""),"APHB")</f>
        <v>APHB</v>
      </c>
      <c r="H9987" s="42">
        <f t="shared" si="1"/>
        <v>3345</v>
      </c>
    </row>
    <row r="9988" ht="22.5" customHeight="1">
      <c r="B9988" s="42" t="str">
        <f>IFERROR(__xludf.DUMMYFUNCTION("""COMPUTED_VALUE"""),"ABJKQKEZ/AB018")</f>
        <v>ABJKQKEZ/AB018</v>
      </c>
      <c r="C9988" s="42" t="str">
        <f>IFERROR(__xludf.DUMMYFUNCTION("""COMPUTED_VALUE"""),"M.1313/Kangkung &amp;  M.1335/Kangkung")</f>
        <v>M.1313/Kangkung &amp;  M.1335/Kangkung</v>
      </c>
      <c r="D9988" s="42"/>
      <c r="E9988" s="42"/>
      <c r="F9988" s="48" t="str">
        <f>IFERROR(__xludf.DUMMYFUNCTION("""COMPUTED_VALUE"""),"")</f>
        <v/>
      </c>
      <c r="G9988" s="42" t="str">
        <f>IFERROR(__xludf.DUMMYFUNCTION("""COMPUTED_VALUE"""),"Roya")</f>
        <v>Roya</v>
      </c>
      <c r="H9988" s="42">
        <f t="shared" si="1"/>
        <v>3345</v>
      </c>
    </row>
    <row r="9989" ht="22.5" customHeight="1">
      <c r="B9989" s="42" t="str">
        <f>IFERROR(__xludf.DUMMYFUNCTION("""COMPUTED_VALUE"""),"AB041")</f>
        <v>AB041</v>
      </c>
      <c r="C9989" s="42" t="str">
        <f>IFERROR(__xludf.DUMMYFUNCTION("""COMPUTED_VALUE"""),"08.01.000017811.0 ")</f>
        <v>08.01.000017811.0 </v>
      </c>
      <c r="D9989" s="42"/>
      <c r="E9989" s="42"/>
      <c r="F9989" s="48" t="str">
        <f>IFERROR(__xludf.DUMMYFUNCTION("""COMPUTED_VALUE"""),"")</f>
        <v/>
      </c>
      <c r="G9989" s="42" t="str">
        <f>IFERROR(__xludf.DUMMYFUNCTION("""COMPUTED_VALUE"""),"balik nama")</f>
        <v>balik nama</v>
      </c>
      <c r="H9989" s="42">
        <f t="shared" si="1"/>
        <v>3345</v>
      </c>
    </row>
    <row r="9990" ht="22.5" customHeight="1">
      <c r="B9990" s="42" t="str">
        <f>IFERROR(__xludf.DUMMYFUNCTION("""COMPUTED_VALUE"""),"K/6/111225/1")</f>
        <v>K/6/111225/1</v>
      </c>
      <c r="C9990" s="42" t="str">
        <f>IFERROR(__xludf.DUMMYFUNCTION("""COMPUTED_VALUE"""),"M. 7060/TANJUNG SENANG ")</f>
        <v>M. 7060/TANJUNG SENANG </v>
      </c>
      <c r="D9990" s="42"/>
      <c r="E9990" s="42"/>
      <c r="F9990" s="48" t="str">
        <f>IFERROR(__xludf.DUMMYFUNCTION("""COMPUTED_VALUE"""),"")</f>
        <v/>
      </c>
      <c r="G9990" s="42" t="str">
        <f>IFERROR(__xludf.DUMMYFUNCTION("""COMPUTED_VALUE"""),"PEMECAHAN")</f>
        <v>PEMECAHAN</v>
      </c>
      <c r="H9990" s="42">
        <f t="shared" si="1"/>
        <v>3345</v>
      </c>
    </row>
    <row r="9991" ht="22.5" customHeight="1">
      <c r="B9991" s="42" t="str">
        <f>IFERROR(__xludf.DUMMYFUNCTION("""COMPUTED_VALUE"""),"K/8/111225/1")</f>
        <v>K/8/111225/1</v>
      </c>
      <c r="C9991" s="42" t="str">
        <f>IFERROR(__xludf.DUMMYFUNCTION("""COMPUTED_VALUE"""),"NIBEL M. 19861/SUKADANA HAM ")</f>
        <v>NIBEL M. 19861/SUKADANA HAM </v>
      </c>
      <c r="D9991" s="42"/>
      <c r="E9991" s="42"/>
      <c r="F9991" s="48" t="str">
        <f>IFERROR(__xludf.DUMMYFUNCTION("""COMPUTED_VALUE"""),"")</f>
        <v/>
      </c>
      <c r="G9991" s="42" t="str">
        <f>IFERROR(__xludf.DUMMYFUNCTION("""COMPUTED_VALUE"""),"PEMECAHAN")</f>
        <v>PEMECAHAN</v>
      </c>
      <c r="H9991" s="42">
        <f t="shared" si="1"/>
        <v>3345</v>
      </c>
    </row>
    <row r="9992" ht="22.5" customHeight="1">
      <c r="B9992" s="42" t="str">
        <f>IFERROR(__xludf.DUMMYFUNCTION("""COMPUTED_VALUE"""),"K/9/111225/2")</f>
        <v>K/9/111225/2</v>
      </c>
      <c r="C9992" s="42" t="str">
        <f>IFERROR(__xludf.DUMMYFUNCTION("""COMPUTED_VALUE"""),"NIBEL M. 20191/SUKADANA HAM")</f>
        <v>NIBEL M. 20191/SUKADANA HAM</v>
      </c>
      <c r="D9992" s="42"/>
      <c r="E9992" s="42"/>
      <c r="F9992" s="48" t="str">
        <f>IFERROR(__xludf.DUMMYFUNCTION("""COMPUTED_VALUE"""),"")</f>
        <v/>
      </c>
      <c r="G9992" s="42" t="str">
        <f>IFERROR(__xludf.DUMMYFUNCTION("""COMPUTED_VALUE"""),"PEMECAHAN")</f>
        <v>PEMECAHAN</v>
      </c>
      <c r="H9992" s="42">
        <f t="shared" si="1"/>
        <v>3345</v>
      </c>
    </row>
    <row r="9993" ht="22.5" customHeight="1">
      <c r="B9993" s="42" t="str">
        <f>IFERROR(__xludf.DUMMYFUNCTION("""COMPUTED_VALUE"""),"ABEKVWQP")</f>
        <v>ABEKVWQP</v>
      </c>
      <c r="C9993" s="42">
        <f>IFERROR(__xludf.DUMMYFUNCTION("""COMPUTED_VALUE"""),25278.0)</f>
        <v>25278</v>
      </c>
      <c r="D9993" s="42"/>
      <c r="E9993" s="42"/>
      <c r="F9993" s="48" t="str">
        <f>IFERROR(__xludf.DUMMYFUNCTION("""COMPUTED_VALUE"""),"")</f>
        <v/>
      </c>
      <c r="G9993" s="42" t="str">
        <f>IFERROR(__xludf.DUMMYFUNCTION("""COMPUTED_VALUE"""),"Peralihan Hak")</f>
        <v>Peralihan Hak</v>
      </c>
      <c r="H9993" s="42">
        <f t="shared" si="1"/>
        <v>3345</v>
      </c>
    </row>
    <row r="9994" ht="22.5" customHeight="1">
      <c r="B9994" s="42" t="str">
        <f>IFERROR(__xludf.DUMMYFUNCTION("""COMPUTED_VALUE"""),"K/10/111225/1")</f>
        <v>K/10/111225/1</v>
      </c>
      <c r="C9994" s="42" t="str">
        <f>IFERROR(__xludf.DUMMYFUNCTION("""COMPUTED_VALUE"""),"M. 11903/TANJUNG BARU")</f>
        <v>M. 11903/TANJUNG BARU</v>
      </c>
      <c r="D9994" s="42"/>
      <c r="E9994" s="42"/>
      <c r="F9994" s="48" t="str">
        <f>IFERROR(__xludf.DUMMYFUNCTION("""COMPUTED_VALUE"""),"")</f>
        <v/>
      </c>
      <c r="G9994" s="42" t="str">
        <f>IFERROR(__xludf.DUMMYFUNCTION("""COMPUTED_VALUE"""),"SKPT INFORMASI")</f>
        <v>SKPT INFORMASI</v>
      </c>
      <c r="H9994" s="42">
        <f t="shared" si="1"/>
        <v>3345</v>
      </c>
    </row>
    <row r="9995" ht="22.5" customHeight="1">
      <c r="B9995" s="42" t="str">
        <f>IFERROR(__xludf.DUMMYFUNCTION("""COMPUTED_VALUE"""),"ABFZDMGU")</f>
        <v>ABFZDMGU</v>
      </c>
      <c r="C9995" s="42">
        <f>IFERROR(__xludf.DUMMYFUNCTION("""COMPUTED_VALUE"""),2737.0)</f>
        <v>2737</v>
      </c>
      <c r="D9995" s="42"/>
      <c r="E9995" s="42"/>
      <c r="F9995" s="48" t="str">
        <f>IFERROR(__xludf.DUMMYFUNCTION("""COMPUTED_VALUE"""),"")</f>
        <v/>
      </c>
      <c r="G9995" s="42" t="str">
        <f>IFERROR(__xludf.DUMMYFUNCTION("""COMPUTED_VALUE"""),"Fahrul Rozi, SH")</f>
        <v>Fahrul Rozi, SH</v>
      </c>
      <c r="H9995" s="42">
        <f t="shared" si="1"/>
        <v>3345</v>
      </c>
    </row>
    <row r="9996" ht="22.5" customHeight="1">
      <c r="B9996" s="42" t="str">
        <f>IFERROR(__xludf.DUMMYFUNCTION("""COMPUTED_VALUE"""),"ABXYBOXL")</f>
        <v>ABXYBOXL</v>
      </c>
      <c r="C9996" s="42">
        <f>IFERROR(__xludf.DUMMYFUNCTION("""COMPUTED_VALUE"""),2738.0)</f>
        <v>2738</v>
      </c>
      <c r="D9996" s="42"/>
      <c r="E9996" s="42"/>
      <c r="F9996" s="48" t="str">
        <f>IFERROR(__xludf.DUMMYFUNCTION("""COMPUTED_VALUE"""),"")</f>
        <v/>
      </c>
      <c r="G9996" s="42" t="str">
        <f>IFERROR(__xludf.DUMMYFUNCTION("""COMPUTED_VALUE"""),"Peralihan Hak")</f>
        <v>Peralihan Hak</v>
      </c>
      <c r="H9996" s="42">
        <f t="shared" si="1"/>
        <v>3345</v>
      </c>
    </row>
    <row r="9997" ht="22.5" customHeight="1">
      <c r="B9997" s="42" t="str">
        <f>IFERROR(__xludf.DUMMYFUNCTION("""COMPUTED_VALUE"""),"K/11/111225/1")</f>
        <v>K/11/111225/1</v>
      </c>
      <c r="C9997" s="42" t="str">
        <f>IFERROR(__xludf.DUMMYFUNCTION("""COMPUTED_VALUE"""),"M. 964/LANGKAPURA")</f>
        <v>M. 964/LANGKAPURA</v>
      </c>
      <c r="D9997" s="42"/>
      <c r="E9997" s="42"/>
      <c r="F9997" s="48" t="str">
        <f>IFERROR(__xludf.DUMMYFUNCTION("""COMPUTED_VALUE"""),"")</f>
        <v/>
      </c>
      <c r="G9997" s="42" t="str">
        <f>IFERROR(__xludf.DUMMYFUNCTION("""COMPUTED_VALUE"""),"PEMECAHAN")</f>
        <v>PEMECAHAN</v>
      </c>
      <c r="H9997" s="42">
        <f t="shared" si="1"/>
        <v>3345</v>
      </c>
    </row>
    <row r="9998" ht="22.5" customHeight="1">
      <c r="B9998" s="42" t="str">
        <f>IFERROR(__xludf.DUMMYFUNCTION("""COMPUTED_VALUE"""),"K/12/111225/1")</f>
        <v>K/12/111225/1</v>
      </c>
      <c r="C9998" s="42" t="str">
        <f>IFERROR(__xludf.DUMMYFUNCTION("""COMPUTED_VALUE"""),"PBT. 102/2025 WAY KANDIS")</f>
        <v>PBT. 102/2025 WAY KANDIS</v>
      </c>
      <c r="D9998" s="42"/>
      <c r="E9998" s="42"/>
      <c r="F9998" s="48" t="str">
        <f>IFERROR(__xludf.DUMMYFUNCTION("""COMPUTED_VALUE"""),"")</f>
        <v/>
      </c>
      <c r="G9998" s="42" t="str">
        <f>IFERROR(__xludf.DUMMYFUNCTION("""COMPUTED_VALUE"""),"PTPGT TANAH MENTAH")</f>
        <v>PTPGT TANAH MENTAH</v>
      </c>
      <c r="H9998" s="42">
        <f t="shared" si="1"/>
        <v>3345</v>
      </c>
    </row>
    <row r="9999" ht="22.5" customHeight="1">
      <c r="B9999" s="42" t="str">
        <f>IFERROR(__xludf.DUMMYFUNCTION("""COMPUTED_VALUE"""),"K/13/111225/2")</f>
        <v>K/13/111225/2</v>
      </c>
      <c r="C9999" s="42" t="str">
        <f>IFERROR(__xludf.DUMMYFUNCTION("""COMPUTED_VALUE"""),"WAY KANDIS")</f>
        <v>WAY KANDIS</v>
      </c>
      <c r="D9999" s="42"/>
      <c r="E9999" s="42"/>
      <c r="F9999" s="48" t="str">
        <f>IFERROR(__xludf.DUMMYFUNCTION("""COMPUTED_VALUE"""),"")</f>
        <v/>
      </c>
      <c r="G9999" s="42" t="str">
        <f>IFERROR(__xludf.DUMMYFUNCTION("""COMPUTED_VALUE"""),"PENGUKURAN PERTAMA KALI")</f>
        <v>PENGUKURAN PERTAMA KALI</v>
      </c>
      <c r="H9999" s="42">
        <f t="shared" si="1"/>
        <v>3345</v>
      </c>
    </row>
    <row r="10000" ht="22.5" customHeight="1">
      <c r="B10000" s="42" t="str">
        <f>IFERROR(__xludf.DUMMYFUNCTION("""COMPUTED_VALUE"""),"K/14/111225/1")</f>
        <v>K/14/111225/1</v>
      </c>
      <c r="C10000" s="42" t="str">
        <f>IFERROR(__xludf.DUMMYFUNCTION("""COMPUTED_VALUE"""),"NIBEL M. 28255/SUKABUMI")</f>
        <v>NIBEL M. 28255/SUKABUMI</v>
      </c>
      <c r="D10000" s="42"/>
      <c r="E10000" s="42"/>
      <c r="F10000" s="48" t="str">
        <f>IFERROR(__xludf.DUMMYFUNCTION("""COMPUTED_VALUE"""),"")</f>
        <v/>
      </c>
      <c r="G10000" s="42" t="str">
        <f>IFERROR(__xludf.DUMMYFUNCTION("""COMPUTED_VALUE"""),"BN LELANG")</f>
        <v>BN LELANG</v>
      </c>
      <c r="H10000" s="42">
        <f t="shared" si="1"/>
        <v>3345</v>
      </c>
    </row>
    <row r="10001" ht="22.5" customHeight="1">
      <c r="B10001" s="42" t="str">
        <f>IFERROR(__xludf.DUMMYFUNCTION("""COMPUTED_VALUE"""),"ABXTFEZD")</f>
        <v>ABXTFEZD</v>
      </c>
      <c r="C10001" s="42" t="str">
        <f>IFERROR(__xludf.DUMMYFUNCTION("""COMPUTED_VALUE"""),"NIBEL M 23802/ BUMI KEDAMAIAN")</f>
        <v>NIBEL M 23802/ BUMI KEDAMAIAN</v>
      </c>
      <c r="D10001" s="42"/>
      <c r="E10001" s="42"/>
      <c r="F10001" s="48" t="str">
        <f>IFERROR(__xludf.DUMMYFUNCTION("""COMPUTED_VALUE"""),"")</f>
        <v/>
      </c>
      <c r="G10001" s="42" t="str">
        <f>IFERROR(__xludf.DUMMYFUNCTION("""COMPUTED_VALUE"""),"Peralihan hak hibah")</f>
        <v>Peralihan hak hibah</v>
      </c>
      <c r="H10001" s="42">
        <f t="shared" si="1"/>
        <v>3345</v>
      </c>
    </row>
    <row r="10002" ht="22.5" customHeight="1">
      <c r="B10002" s="42" t="str">
        <f>IFERROR(__xludf.DUMMYFUNCTION("""COMPUTED_VALUE"""),"ABDCYUYD")</f>
        <v>ABDCYUYD</v>
      </c>
      <c r="C10002" s="42" t="str">
        <f>IFERROR(__xludf.DUMMYFUNCTION("""COMPUTED_VALUE"""),"M 1091/ PEMATANG WANGI")</f>
        <v>M 1091/ PEMATANG WANGI</v>
      </c>
      <c r="D10002" s="42"/>
      <c r="E10002" s="42"/>
      <c r="F10002" s="48" t="str">
        <f>IFERROR(__xludf.DUMMYFUNCTION("""COMPUTED_VALUE"""),"")</f>
        <v/>
      </c>
      <c r="G10002" s="42" t="str">
        <f>IFERROR(__xludf.DUMMYFUNCTION("""COMPUTED_VALUE"""),"PENATAAN BATAS")</f>
        <v>PENATAAN BATAS</v>
      </c>
      <c r="H10002" s="42">
        <f t="shared" si="1"/>
        <v>3345</v>
      </c>
    </row>
    <row r="10003" ht="22.5" customHeight="1">
      <c r="B10003" s="42" t="str">
        <f>IFERROR(__xludf.DUMMYFUNCTION("""COMPUTED_VALUE"""),"ABGHUJII")</f>
        <v>ABGHUJII</v>
      </c>
      <c r="C10003" s="42" t="str">
        <f>IFERROR(__xludf.DUMMYFUNCTION("""COMPUTED_VALUE"""),"M 2259/ KOTA BARU")</f>
        <v>M 2259/ KOTA BARU</v>
      </c>
      <c r="D10003" s="42"/>
      <c r="E10003" s="42"/>
      <c r="F10003" s="48" t="str">
        <f>IFERROR(__xludf.DUMMYFUNCTION("""COMPUTED_VALUE"""),"")</f>
        <v/>
      </c>
      <c r="G10003" s="42" t="str">
        <f>IFERROR(__xludf.DUMMYFUNCTION("""COMPUTED_VALUE"""),"ROYA")</f>
        <v>ROYA</v>
      </c>
      <c r="H10003" s="42">
        <f t="shared" si="1"/>
        <v>3345</v>
      </c>
    </row>
    <row r="10004" ht="22.5" customHeight="1">
      <c r="B10004" s="42" t="str">
        <f>IFERROR(__xludf.DUMMYFUNCTION("""COMPUTED_VALUE"""),"ABOKLDEE")</f>
        <v>ABOKLDEE</v>
      </c>
      <c r="C10004" s="42" t="str">
        <f>IFERROR(__xludf.DUMMYFUNCTION("""COMPUTED_VALUE"""),"M 1630/ BUMI WARAS")</f>
        <v>M 1630/ BUMI WARAS</v>
      </c>
      <c r="D10004" s="42"/>
      <c r="E10004" s="42"/>
      <c r="F10004" s="48" t="str">
        <f>IFERROR(__xludf.DUMMYFUNCTION("""COMPUTED_VALUE"""),"")</f>
        <v/>
      </c>
      <c r="G10004" s="42" t="str">
        <f>IFERROR(__xludf.DUMMYFUNCTION("""COMPUTED_VALUE"""),"ROYA")</f>
        <v>ROYA</v>
      </c>
      <c r="H10004" s="42">
        <f t="shared" si="1"/>
        <v>3345</v>
      </c>
    </row>
    <row r="10005" ht="22.5" customHeight="1">
      <c r="B10005" s="42" t="str">
        <f>IFERROR(__xludf.DUMMYFUNCTION("""COMPUTED_VALUE"""),"K/1/121225/1")</f>
        <v>K/1/121225/1</v>
      </c>
      <c r="C10005" s="42" t="str">
        <f>IFERROR(__xludf.DUMMYFUNCTION("""COMPUTED_VALUE"""),"B. 196/PERWATA")</f>
        <v>B. 196/PERWATA</v>
      </c>
      <c r="D10005" s="42"/>
      <c r="E10005" s="42"/>
      <c r="F10005" s="48" t="str">
        <f>IFERROR(__xludf.DUMMYFUNCTION("""COMPUTED_VALUE"""),"")</f>
        <v/>
      </c>
      <c r="G10005" s="42" t="str">
        <f>IFERROR(__xludf.DUMMYFUNCTION("""COMPUTED_VALUE"""),"ROYA")</f>
        <v>ROYA</v>
      </c>
      <c r="H10005" s="42">
        <f t="shared" si="1"/>
        <v>3345</v>
      </c>
    </row>
    <row r="10006" ht="22.5" customHeight="1">
      <c r="B10006" s="42" t="str">
        <f>IFERROR(__xludf.DUMMYFUNCTION("""COMPUTED_VALUE"""),"ABJUKIOA")</f>
        <v>ABJUKIOA</v>
      </c>
      <c r="C10006" s="42" t="str">
        <f>IFERROR(__xludf.DUMMYFUNCTION("""COMPUTED_VALUE"""),"NIBEL M 25577/ NUSANTARA PERMAI")</f>
        <v>NIBEL M 25577/ NUSANTARA PERMAI</v>
      </c>
      <c r="D10006" s="42"/>
      <c r="E10006" s="42"/>
      <c r="F10006" s="48" t="str">
        <f>IFERROR(__xludf.DUMMYFUNCTION("""COMPUTED_VALUE"""),"")</f>
        <v/>
      </c>
      <c r="G10006" s="42" t="str">
        <f>IFERROR(__xludf.DUMMYFUNCTION("""COMPUTED_VALUE"""),"BN JUAL BELI")</f>
        <v>BN JUAL BELI</v>
      </c>
      <c r="H10006" s="42">
        <f t="shared" si="1"/>
        <v>3345</v>
      </c>
    </row>
    <row r="10007" ht="22.5" customHeight="1">
      <c r="B10007" s="42" t="str">
        <f>IFERROR(__xludf.DUMMYFUNCTION("""COMPUTED_VALUE"""),"ABUUHWQR")</f>
        <v>ABUUHWQR</v>
      </c>
      <c r="C10007" s="42" t="str">
        <f>IFERROR(__xludf.DUMMYFUNCTION("""COMPUTED_VALUE"""),"B 692/ KETEGUHAN")</f>
        <v>B 692/ KETEGUHAN</v>
      </c>
      <c r="D10007" s="42"/>
      <c r="E10007" s="42"/>
      <c r="F10007" s="48" t="str">
        <f>IFERROR(__xludf.DUMMYFUNCTION("""COMPUTED_VALUE"""),"")</f>
        <v/>
      </c>
      <c r="G10007" s="42" t="str">
        <f>IFERROR(__xludf.DUMMYFUNCTION("""COMPUTED_VALUE"""),"PENINGKATAN HAK")</f>
        <v>PENINGKATAN HAK</v>
      </c>
      <c r="H10007" s="42">
        <f t="shared" si="1"/>
        <v>3345</v>
      </c>
    </row>
    <row r="10008" ht="22.5" customHeight="1">
      <c r="B10008" s="42" t="str">
        <f>IFERROR(__xludf.DUMMYFUNCTION("""COMPUTED_VALUE"""),"ABCZGNNC")</f>
        <v>ABCZGNNC</v>
      </c>
      <c r="C10008" s="42" t="str">
        <f>IFERROR(__xludf.DUMMYFUNCTION("""COMPUTED_VALUE"""),"08.01.000016508.0/Tanjung Senang")</f>
        <v>08.01.000016508.0/Tanjung Senang</v>
      </c>
      <c r="D10008" s="42"/>
      <c r="E10008" s="42"/>
      <c r="F10008" s="48" t="str">
        <f>IFERROR(__xludf.DUMMYFUNCTION("""COMPUTED_VALUE"""),"")</f>
        <v/>
      </c>
      <c r="G10008" s="42" t="str">
        <f>IFERROR(__xludf.DUMMYFUNCTION("""COMPUTED_VALUE"""),"AKTA PEMBAGIAN HAK BERSAMA")</f>
        <v>AKTA PEMBAGIAN HAK BERSAMA</v>
      </c>
      <c r="H10008" s="42">
        <f t="shared" si="1"/>
        <v>3345</v>
      </c>
    </row>
    <row r="10009" ht="22.5" customHeight="1">
      <c r="B10009" s="42" t="str">
        <f>IFERROR(__xludf.DUMMYFUNCTION("""COMPUTED_VALUE"""),"ABBJMKIN/AB042")</f>
        <v>ABBJMKIN/AB042</v>
      </c>
      <c r="C10009" s="42" t="str">
        <f>IFERROR(__xludf.DUMMYFUNCTION("""COMPUTED_VALUE"""),"M 1590/ JAGABAYA III")</f>
        <v>M 1590/ JAGABAYA III</v>
      </c>
      <c r="D10009" s="42"/>
      <c r="E10009" s="42"/>
      <c r="F10009" s="48" t="str">
        <f>IFERROR(__xludf.DUMMYFUNCTION("""COMPUTED_VALUE"""),"")</f>
        <v/>
      </c>
      <c r="G10009" s="42" t="str">
        <f>IFERROR(__xludf.DUMMYFUNCTION("""COMPUTED_VALUE"""),"Balik nama jual beli")</f>
        <v>Balik nama jual beli</v>
      </c>
      <c r="H10009" s="42">
        <f t="shared" si="1"/>
        <v>3345</v>
      </c>
    </row>
    <row r="10010" ht="22.5" customHeight="1">
      <c r="B10010" s="42" t="str">
        <f>IFERROR(__xludf.DUMMYFUNCTION("""COMPUTED_VALUE"""),"ABTFVGSL")</f>
        <v>ABTFVGSL</v>
      </c>
      <c r="C10010" s="42" t="str">
        <f>IFERROR(__xludf.DUMMYFUNCTION("""COMPUTED_VALUE"""),"M. 1591/JAGABAYA III")</f>
        <v>M. 1591/JAGABAYA III</v>
      </c>
      <c r="D10010" s="42"/>
      <c r="E10010" s="42"/>
      <c r="F10010" s="48" t="str">
        <f>IFERROR(__xludf.DUMMYFUNCTION("""COMPUTED_VALUE"""),"")</f>
        <v/>
      </c>
      <c r="G10010" s="42" t="str">
        <f>IFERROR(__xludf.DUMMYFUNCTION("""COMPUTED_VALUE"""),"BN JUAL BELI")</f>
        <v>BN JUAL BELI</v>
      </c>
      <c r="H10010" s="42">
        <f t="shared" si="1"/>
        <v>3345</v>
      </c>
    </row>
    <row r="10011" ht="22.5" customHeight="1">
      <c r="B10011" s="42" t="str">
        <f>IFERROR(__xludf.DUMMYFUNCTION("""COMPUTED_VALUE"""),"Ab 30 ( abgsnliu)")</f>
        <v>Ab 30 ( abgsnliu)</v>
      </c>
      <c r="C10011" s="42" t="str">
        <f>IFERROR(__xludf.DUMMYFUNCTION("""COMPUTED_VALUE"""),"B 323/ rajabasa nunyai")</f>
        <v>B 323/ rajabasa nunyai</v>
      </c>
      <c r="D10011" s="42"/>
      <c r="E10011" s="42"/>
      <c r="F10011" s="48" t="str">
        <f>IFERROR(__xludf.DUMMYFUNCTION("""COMPUTED_VALUE"""),"")</f>
        <v/>
      </c>
      <c r="G10011" s="42" t="str">
        <f>IFERROR(__xludf.DUMMYFUNCTION("""COMPUTED_VALUE"""),"Balik nama jual beli")</f>
        <v>Balik nama jual beli</v>
      </c>
      <c r="H10011" s="42">
        <f t="shared" si="1"/>
        <v>3345</v>
      </c>
    </row>
    <row r="10012" ht="22.5" customHeight="1">
      <c r="B10012" s="42" t="str">
        <f>IFERROR(__xludf.DUMMYFUNCTION("""COMPUTED_VALUE"""),"Ab 30 ( abwbmosc )")</f>
        <v>Ab 30 ( abwbmosc )</v>
      </c>
      <c r="C10012" s="42" t="str">
        <f>IFERROR(__xludf.DUMMYFUNCTION("""COMPUTED_VALUE"""),"B 322/ rajabasa nunyai")</f>
        <v>B 322/ rajabasa nunyai</v>
      </c>
      <c r="D10012" s="42"/>
      <c r="E10012" s="42"/>
      <c r="F10012" s="48" t="str">
        <f>IFERROR(__xludf.DUMMYFUNCTION("""COMPUTED_VALUE"""),"")</f>
        <v/>
      </c>
      <c r="G10012" s="42" t="str">
        <f>IFERROR(__xludf.DUMMYFUNCTION("""COMPUTED_VALUE"""),"Balik nama jual beli")</f>
        <v>Balik nama jual beli</v>
      </c>
      <c r="H10012" s="42">
        <f t="shared" si="1"/>
        <v>3345</v>
      </c>
    </row>
    <row r="10013" ht="22.5" customHeight="1">
      <c r="B10013" s="42" t="str">
        <f>IFERROR(__xludf.DUMMYFUNCTION("""COMPUTED_VALUE"""),"Ab 30 ( abbgrrjw) ")</f>
        <v>Ab 30 ( abbgrrjw) </v>
      </c>
      <c r="C10013" s="42" t="str">
        <f>IFERROR(__xludf.DUMMYFUNCTION("""COMPUTED_VALUE"""),"B 199/ rajabasa nunyai")</f>
        <v>B 199/ rajabasa nunyai</v>
      </c>
      <c r="D10013" s="42"/>
      <c r="E10013" s="42"/>
      <c r="F10013" s="48" t="str">
        <f>IFERROR(__xludf.DUMMYFUNCTION("""COMPUTED_VALUE"""),"")</f>
        <v/>
      </c>
      <c r="G10013" s="42" t="str">
        <f>IFERROR(__xludf.DUMMYFUNCTION("""COMPUTED_VALUE"""),"Balik nama jual beli")</f>
        <v>Balik nama jual beli</v>
      </c>
      <c r="H10013" s="42">
        <f t="shared" si="1"/>
        <v>3345</v>
      </c>
    </row>
    <row r="10014" ht="22.5" customHeight="1">
      <c r="B10014" s="42" t="str">
        <f>IFERROR(__xludf.DUMMYFUNCTION("""COMPUTED_VALUE"""),"Ab 30 ( abndskxe)")</f>
        <v>Ab 30 ( abndskxe)</v>
      </c>
      <c r="C10014" s="42" t="str">
        <f>IFERROR(__xludf.DUMMYFUNCTION("""COMPUTED_VALUE"""),"B 198/ rajabasa nunyai")</f>
        <v>B 198/ rajabasa nunyai</v>
      </c>
      <c r="D10014" s="42"/>
      <c r="E10014" s="42"/>
      <c r="F10014" s="48" t="str">
        <f>IFERROR(__xludf.DUMMYFUNCTION("""COMPUTED_VALUE"""),"")</f>
        <v/>
      </c>
      <c r="G10014" s="42" t="str">
        <f>IFERROR(__xludf.DUMMYFUNCTION("""COMPUTED_VALUE"""),"Balik nama jual beli")</f>
        <v>Balik nama jual beli</v>
      </c>
      <c r="H10014" s="42">
        <f t="shared" si="1"/>
        <v>3345</v>
      </c>
    </row>
    <row r="10015" ht="22.5" customHeight="1">
      <c r="B10015" s="42" t="str">
        <f>IFERROR(__xludf.DUMMYFUNCTION("""COMPUTED_VALUE"""),"AB031/ABCCXDKO")</f>
        <v>AB031/ABCCXDKO</v>
      </c>
      <c r="C10015" s="42" t="str">
        <f>IFERROR(__xludf.DUMMYFUNCTION("""COMPUTED_VALUE"""),"08010000220680/Segala Mider")</f>
        <v>08010000220680/Segala Mider</v>
      </c>
      <c r="D10015" s="42"/>
      <c r="E10015" s="42"/>
      <c r="F10015" s="48" t="str">
        <f>IFERROR(__xludf.DUMMYFUNCTION("""COMPUTED_VALUE"""),"")</f>
        <v/>
      </c>
      <c r="G10015" s="42" t="str">
        <f>IFERROR(__xludf.DUMMYFUNCTION("""COMPUTED_VALUE"""),"BALIK NAMA JUAL BELI")</f>
        <v>BALIK NAMA JUAL BELI</v>
      </c>
      <c r="H10015" s="42">
        <f t="shared" si="1"/>
        <v>3345</v>
      </c>
    </row>
    <row r="10016" ht="22.5" customHeight="1">
      <c r="B10016" s="42" t="str">
        <f>IFERROR(__xludf.DUMMYFUNCTION("""COMPUTED_VALUE"""),"ABOIWDDL")</f>
        <v>ABOIWDDL</v>
      </c>
      <c r="C10016" s="42" t="str">
        <f>IFERROR(__xludf.DUMMYFUNCTION("""COMPUTED_VALUE"""),"M.2021, Sumberejo sejahtera")</f>
        <v>M.2021, Sumberejo sejahtera</v>
      </c>
      <c r="D10016" s="42"/>
      <c r="E10016" s="42"/>
      <c r="F10016" s="48" t="str">
        <f>IFERROR(__xludf.DUMMYFUNCTION("""COMPUTED_VALUE"""),"")</f>
        <v/>
      </c>
      <c r="G10016" s="42" t="str">
        <f>IFERROR(__xludf.DUMMYFUNCTION("""COMPUTED_VALUE"""),"Hibah")</f>
        <v>Hibah</v>
      </c>
      <c r="H10016" s="42">
        <f t="shared" si="1"/>
        <v>3345</v>
      </c>
    </row>
    <row r="10017" ht="22.5" customHeight="1">
      <c r="B10017" s="42" t="str">
        <f>IFERROR(__xludf.DUMMYFUNCTION("""COMPUTED_VALUE"""),"K/2/121225/1")</f>
        <v>K/2/121225/1</v>
      </c>
      <c r="C10017" s="42" t="str">
        <f>IFERROR(__xludf.DUMMYFUNCTION("""COMPUTED_VALUE"""),"M. 1535/RAJABASA JAYA")</f>
        <v>M. 1535/RAJABASA JAYA</v>
      </c>
      <c r="D10017" s="42"/>
      <c r="E10017" s="42"/>
      <c r="F10017" s="48" t="str">
        <f>IFERROR(__xludf.DUMMYFUNCTION("""COMPUTED_VALUE"""),"")</f>
        <v/>
      </c>
      <c r="G10017" s="42" t="str">
        <f>IFERROR(__xludf.DUMMYFUNCTION("""COMPUTED_VALUE"""),"PENATAAN BATAS")</f>
        <v>PENATAAN BATAS</v>
      </c>
      <c r="H10017" s="42">
        <f t="shared" si="1"/>
        <v>3345</v>
      </c>
    </row>
    <row r="10018" ht="22.5" customHeight="1">
      <c r="B10018" s="42" t="str">
        <f>IFERROR(__xludf.DUMMYFUNCTION("""COMPUTED_VALUE"""),"ABIZVUUT/AB24")</f>
        <v>ABIZVUUT/AB24</v>
      </c>
      <c r="C10018" s="42" t="str">
        <f>IFERROR(__xludf.DUMMYFUNCTION("""COMPUTED_VALUE"""),"Nibel 24836/Gunung Terang")</f>
        <v>Nibel 24836/Gunung Terang</v>
      </c>
      <c r="D10018" s="42"/>
      <c r="E10018" s="42"/>
      <c r="F10018" s="48" t="str">
        <f>IFERROR(__xludf.DUMMYFUNCTION("""COMPUTED_VALUE"""),"")</f>
        <v/>
      </c>
      <c r="G10018" s="42" t="str">
        <f>IFERROR(__xludf.DUMMYFUNCTION("""COMPUTED_VALUE"""),"Balik nama jual beli")</f>
        <v>Balik nama jual beli</v>
      </c>
      <c r="H10018" s="42">
        <f t="shared" si="1"/>
        <v>3345</v>
      </c>
    </row>
    <row r="10019" ht="22.5" customHeight="1">
      <c r="B10019" s="42" t="str">
        <f>IFERROR(__xludf.DUMMYFUNCTION("""COMPUTED_VALUE"""),"ABTVXMLR")</f>
        <v>ABTVXMLR</v>
      </c>
      <c r="C10019" s="42" t="str">
        <f>IFERROR(__xludf.DUMMYFUNCTION("""COMPUTED_VALUE"""),"M 2326/ bumi waris")</f>
        <v>M 2326/ bumi waris</v>
      </c>
      <c r="D10019" s="42"/>
      <c r="E10019" s="42"/>
      <c r="F10019" s="48" t="str">
        <f>IFERROR(__xludf.DUMMYFUNCTION("""COMPUTED_VALUE"""),"")</f>
        <v/>
      </c>
      <c r="G10019" s="42" t="str">
        <f>IFERROR(__xludf.DUMMYFUNCTION("""COMPUTED_VALUE"""),"Bn waris")</f>
        <v>Bn waris</v>
      </c>
      <c r="H10019" s="42">
        <f t="shared" si="1"/>
        <v>3345</v>
      </c>
    </row>
    <row r="10020" ht="22.5" customHeight="1">
      <c r="B10020" s="42" t="str">
        <f>IFERROR(__xludf.DUMMYFUNCTION("""COMPUTED_VALUE"""),"AB015/ABBCBAFQ")</f>
        <v>AB015/ABBCBAFQ</v>
      </c>
      <c r="C10020" s="42" t="str">
        <f>IFERROR(__xludf.DUMMYFUNCTION("""COMPUTED_VALUE"""),"M.2633/KOTA KARANG")</f>
        <v>M.2633/KOTA KARANG</v>
      </c>
      <c r="D10020" s="42"/>
      <c r="E10020" s="42"/>
      <c r="F10020" s="48" t="str">
        <f>IFERROR(__xludf.DUMMYFUNCTION("""COMPUTED_VALUE"""),"")</f>
        <v/>
      </c>
      <c r="G10020" s="42" t="str">
        <f>IFERROR(__xludf.DUMMYFUNCTION("""COMPUTED_VALUE"""),"ROYA")</f>
        <v>ROYA</v>
      </c>
      <c r="H10020" s="42">
        <f t="shared" si="1"/>
        <v>3345</v>
      </c>
    </row>
    <row r="10021" ht="22.5" customHeight="1">
      <c r="B10021" s="42" t="str">
        <f>IFERROR(__xludf.DUMMYFUNCTION("""COMPUTED_VALUE"""),"L/5/121225/1")</f>
        <v>L/5/121225/1</v>
      </c>
      <c r="C10021" s="42" t="str">
        <f>IFERROR(__xludf.DUMMYFUNCTION("""COMPUTED_VALUE"""),"M.2355/KOTA KARANG")</f>
        <v>M.2355/KOTA KARANG</v>
      </c>
      <c r="D10021" s="42"/>
      <c r="E10021" s="42"/>
      <c r="F10021" s="48" t="str">
        <f>IFERROR(__xludf.DUMMYFUNCTION("""COMPUTED_VALUE"""),"")</f>
        <v/>
      </c>
      <c r="G10021" s="42" t="str">
        <f>IFERROR(__xludf.DUMMYFUNCTION("""COMPUTED_VALUE"""),"ROYA")</f>
        <v>ROYA</v>
      </c>
      <c r="H10021" s="42">
        <f t="shared" si="1"/>
        <v>3345</v>
      </c>
    </row>
    <row r="10022" ht="22.5" customHeight="1">
      <c r="B10022" s="42">
        <f>IFERROR(__xludf.DUMMYFUNCTION("""COMPUTED_VALUE"""),49.0)</f>
        <v>49</v>
      </c>
      <c r="C10022" s="42">
        <f>IFERROR(__xludf.DUMMYFUNCTION("""COMPUTED_VALUE"""),1745.0)</f>
        <v>1745</v>
      </c>
      <c r="D10022" s="42"/>
      <c r="E10022" s="42"/>
      <c r="F10022" s="48" t="str">
        <f>IFERROR(__xludf.DUMMYFUNCTION("""COMPUTED_VALUE"""),"")</f>
        <v/>
      </c>
      <c r="G10022" s="42" t="str">
        <f>IFERROR(__xludf.DUMMYFUNCTION("""COMPUTED_VALUE"""),"Balik Nama")</f>
        <v>Balik Nama</v>
      </c>
      <c r="H10022" s="42">
        <f t="shared" si="1"/>
        <v>3345</v>
      </c>
    </row>
    <row r="10023" ht="22.5" customHeight="1">
      <c r="B10023" s="42" t="str">
        <f>IFERROR(__xludf.DUMMYFUNCTION("""COMPUTED_VALUE"""),"AB041/ ABWJGSUM")</f>
        <v>AB041/ ABWJGSUM</v>
      </c>
      <c r="C10023" s="42" t="str">
        <f>IFERROR(__xludf.DUMMYFUNCTION("""COMPUTED_VALUE"""),"SHGB NIB 08.01.000017812.0")</f>
        <v>SHGB NIB 08.01.000017812.0</v>
      </c>
      <c r="D10023" s="42"/>
      <c r="E10023" s="42"/>
      <c r="F10023" s="48" t="str">
        <f>IFERROR(__xludf.DUMMYFUNCTION("""COMPUTED_VALUE"""),"")</f>
        <v/>
      </c>
      <c r="G10023" s="42" t="str">
        <f>IFERROR(__xludf.DUMMYFUNCTION("""COMPUTED_VALUE"""),"balik nama ")</f>
        <v>balik nama </v>
      </c>
      <c r="H10023" s="42">
        <f t="shared" si="1"/>
        <v>3345</v>
      </c>
    </row>
    <row r="10024" ht="22.5" customHeight="1">
      <c r="B10024" s="42" t="str">
        <f>IFERROR(__xludf.DUMMYFUNCTION("""COMPUTED_VALUE"""),"ABROCTZZ")</f>
        <v>ABROCTZZ</v>
      </c>
      <c r="C10024" s="42" t="str">
        <f>IFERROR(__xludf.DUMMYFUNCTION("""COMPUTED_VALUE"""),"SHGB NIB 08.01.000000357.0")</f>
        <v>SHGB NIB 08.01.000000357.0</v>
      </c>
      <c r="D10024" s="42"/>
      <c r="E10024" s="42"/>
      <c r="F10024" s="48" t="str">
        <f>IFERROR(__xludf.DUMMYFUNCTION("""COMPUTED_VALUE"""),"")</f>
        <v/>
      </c>
      <c r="G10024" s="42" t="str">
        <f>IFERROR(__xludf.DUMMYFUNCTION("""COMPUTED_VALUE"""),"balik nama ")</f>
        <v>balik nama </v>
      </c>
      <c r="H10024" s="42">
        <f t="shared" si="1"/>
        <v>3345</v>
      </c>
    </row>
    <row r="10025" ht="22.5" customHeight="1">
      <c r="B10025" s="42" t="str">
        <f>IFERROR(__xludf.DUMMYFUNCTION("""COMPUTED_VALUE"""),"ABCWQGCY")</f>
        <v>ABCWQGCY</v>
      </c>
      <c r="C10025" s="42" t="str">
        <f>IFERROR(__xludf.DUMMYFUNCTION("""COMPUTED_VALUE"""),"SHM NIB.08.01.000003284.0")</f>
        <v>SHM NIB.08.01.000003284.0</v>
      </c>
      <c r="D10025" s="42"/>
      <c r="E10025" s="42"/>
      <c r="F10025" s="48" t="str">
        <f>IFERROR(__xludf.DUMMYFUNCTION("""COMPUTED_VALUE"""),"")</f>
        <v/>
      </c>
      <c r="G10025" s="42" t="str">
        <f>IFERROR(__xludf.DUMMYFUNCTION("""COMPUTED_VALUE"""),"balik nama ")</f>
        <v>balik nama </v>
      </c>
      <c r="H10025" s="42">
        <f t="shared" si="1"/>
        <v>3345</v>
      </c>
    </row>
    <row r="10026" ht="22.5" customHeight="1">
      <c r="B10026" s="42" t="str">
        <f>IFERROR(__xludf.DUMMYFUNCTION("""COMPUTED_VALUE"""),"ABMPRNIE/AB054")</f>
        <v>ABMPRNIE/AB054</v>
      </c>
      <c r="C10026" s="42" t="str">
        <f>IFERROR(__xludf.DUMMYFUNCTION("""COMPUTED_VALUE"""),"M.493/pahoman")</f>
        <v>M.493/pahoman</v>
      </c>
      <c r="D10026" s="42"/>
      <c r="E10026" s="42"/>
      <c r="F10026" s="48" t="str">
        <f>IFERROR(__xludf.DUMMYFUNCTION("""COMPUTED_VALUE"""),"")</f>
        <v/>
      </c>
      <c r="G10026" s="42" t="str">
        <f>IFERROR(__xludf.DUMMYFUNCTION("""COMPUTED_VALUE"""),"Ganti desa")</f>
        <v>Ganti desa</v>
      </c>
      <c r="H10026" s="42">
        <f t="shared" si="1"/>
        <v>3345</v>
      </c>
    </row>
    <row r="10027" ht="22.5" customHeight="1">
      <c r="B10027" s="42" t="str">
        <f>IFERROR(__xludf.DUMMYFUNCTION("""COMPUTED_VALUE"""),"ABMSWRWG/AB054")</f>
        <v>ABMSWRWG/AB054</v>
      </c>
      <c r="C10027" s="42" t="str">
        <f>IFERROR(__xludf.DUMMYFUNCTION("""COMPUTED_VALUE"""),"M.149 dan M.96 / rajabasa jaya")</f>
        <v>M.149 dan M.96 / rajabasa jaya</v>
      </c>
      <c r="D10027" s="42"/>
      <c r="E10027" s="42"/>
      <c r="F10027" s="48" t="str">
        <f>IFERROR(__xludf.DUMMYFUNCTION("""COMPUTED_VALUE"""),"")</f>
        <v/>
      </c>
      <c r="G10027" s="42" t="str">
        <f>IFERROR(__xludf.DUMMYFUNCTION("""COMPUTED_VALUE"""),"Roya ")</f>
        <v>Roya </v>
      </c>
      <c r="H10027" s="42">
        <f t="shared" si="1"/>
        <v>3345</v>
      </c>
    </row>
    <row r="10028" ht="22.5" customHeight="1">
      <c r="B10028" s="42" t="str">
        <f>IFERROR(__xludf.DUMMYFUNCTION("""COMPUTED_VALUE"""),"ABOQUPBQ")</f>
        <v>ABOQUPBQ</v>
      </c>
      <c r="C10028" s="42" t="str">
        <f>IFERROR(__xludf.DUMMYFUNCTION("""COMPUTED_VALUE"""),"M.11079/kedaton")</f>
        <v>M.11079/kedaton</v>
      </c>
      <c r="D10028" s="42"/>
      <c r="E10028" s="42"/>
      <c r="F10028" s="48" t="str">
        <f>IFERROR(__xludf.DUMMYFUNCTION("""COMPUTED_VALUE"""),"")</f>
        <v/>
      </c>
      <c r="G10028" s="42" t="str">
        <f>IFERROR(__xludf.DUMMYFUNCTION("""COMPUTED_VALUE"""),"Roya")</f>
        <v>Roya</v>
      </c>
      <c r="H10028" s="42">
        <f t="shared" si="1"/>
        <v>3345</v>
      </c>
    </row>
    <row r="10029" ht="22.5" customHeight="1">
      <c r="B10029" s="42" t="str">
        <f>IFERROR(__xludf.DUMMYFUNCTION("""COMPUTED_VALUE"""),"ABIEJWIG/AB064")</f>
        <v>ABIEJWIG/AB064</v>
      </c>
      <c r="C10029" s="42" t="str">
        <f>IFERROR(__xludf.DUMMYFUNCTION("""COMPUTED_VALUE"""),"M. 2983/Labuhan Dalam")</f>
        <v>M. 2983/Labuhan Dalam</v>
      </c>
      <c r="D10029" s="42"/>
      <c r="E10029" s="42"/>
      <c r="F10029" s="48" t="str">
        <f>IFERROR(__xludf.DUMMYFUNCTION("""COMPUTED_VALUE"""),"")</f>
        <v/>
      </c>
      <c r="G10029" s="42" t="str">
        <f>IFERROR(__xludf.DUMMYFUNCTION("""COMPUTED_VALUE"""),"Balik nama jual beli")</f>
        <v>Balik nama jual beli</v>
      </c>
      <c r="H10029" s="42">
        <f t="shared" si="1"/>
        <v>3345</v>
      </c>
    </row>
    <row r="10030" ht="22.5" customHeight="1">
      <c r="B10030" s="42" t="str">
        <f>IFERROR(__xludf.DUMMYFUNCTION("""COMPUTED_VALUE"""),"ABPNLIXP")</f>
        <v>ABPNLIXP</v>
      </c>
      <c r="C10030" s="42" t="str">
        <f>IFERROR(__xludf.DUMMYFUNCTION("""COMPUTED_VALUE"""),"NIBEL M 2558/ pesawahan")</f>
        <v>NIBEL M 2558/ pesawahan</v>
      </c>
      <c r="D10030" s="42"/>
      <c r="E10030" s="42"/>
      <c r="F10030" s="48" t="str">
        <f>IFERROR(__xludf.DUMMYFUNCTION("""COMPUTED_VALUE"""),"")</f>
        <v/>
      </c>
      <c r="G10030" s="42" t="str">
        <f>IFERROR(__xludf.DUMMYFUNCTION("""COMPUTED_VALUE"""),"Permohonan SK ")</f>
        <v>Permohonan SK </v>
      </c>
      <c r="H10030" s="42">
        <f t="shared" si="1"/>
        <v>3345</v>
      </c>
    </row>
    <row r="10031" ht="22.5" customHeight="1">
      <c r="B10031" s="42" t="str">
        <f>IFERROR(__xludf.DUMMYFUNCTION("""COMPUTED_VALUE"""),"ABUUWOUJ/AB064")</f>
        <v>ABUUWOUJ/AB064</v>
      </c>
      <c r="C10031" s="42" t="str">
        <f>IFERROR(__xludf.DUMMYFUNCTION("""COMPUTED_VALUE"""),"M. 989/Beringin Jaya")</f>
        <v>M. 989/Beringin Jaya</v>
      </c>
      <c r="D10031" s="42"/>
      <c r="E10031" s="42"/>
      <c r="F10031" s="48" t="str">
        <f>IFERROR(__xludf.DUMMYFUNCTION("""COMPUTED_VALUE"""),"")</f>
        <v/>
      </c>
      <c r="G10031" s="42" t="str">
        <f>IFERROR(__xludf.DUMMYFUNCTION("""COMPUTED_VALUE"""),"Balik nama jual beli")</f>
        <v>Balik nama jual beli</v>
      </c>
      <c r="H10031" s="42">
        <f t="shared" si="1"/>
        <v>3345</v>
      </c>
    </row>
    <row r="10032" ht="22.5" customHeight="1">
      <c r="B10032" s="42" t="str">
        <f>IFERROR(__xludf.DUMMYFUNCTION("""COMPUTED_VALUE"""),"ABOJEPZX")</f>
        <v>ABOJEPZX</v>
      </c>
      <c r="C10032" s="42" t="str">
        <f>IFERROR(__xludf.DUMMYFUNCTION("""COMPUTED_VALUE"""),"M. 3569/beringin raya")</f>
        <v>M. 3569/beringin raya</v>
      </c>
      <c r="D10032" s="42"/>
      <c r="E10032" s="42"/>
      <c r="F10032" s="48" t="str">
        <f>IFERROR(__xludf.DUMMYFUNCTION("""COMPUTED_VALUE"""),"")</f>
        <v/>
      </c>
      <c r="G10032" s="42" t="str">
        <f>IFERROR(__xludf.DUMMYFUNCTION("""COMPUTED_VALUE"""),"Peralihan hak")</f>
        <v>Peralihan hak</v>
      </c>
      <c r="H10032" s="42">
        <f t="shared" si="1"/>
        <v>3345</v>
      </c>
    </row>
    <row r="10033" ht="22.5" customHeight="1">
      <c r="B10033" s="42" t="str">
        <f>IFERROR(__xludf.DUMMYFUNCTION("""COMPUTED_VALUE"""),"L/6/121225/1")</f>
        <v>L/6/121225/1</v>
      </c>
      <c r="C10033" s="42" t="str">
        <f>IFERROR(__xludf.DUMMYFUNCTION("""COMPUTED_VALUE"""),"NBEL B 26870/NUSANTARA PERMAI")</f>
        <v>NBEL B 26870/NUSANTARA PERMAI</v>
      </c>
      <c r="D10033" s="42"/>
      <c r="E10033" s="42"/>
      <c r="F10033" s="48" t="str">
        <f>IFERROR(__xludf.DUMMYFUNCTION("""COMPUTED_VALUE"""),"")</f>
        <v/>
      </c>
      <c r="G10033" s="42" t="str">
        <f>IFERROR(__xludf.DUMMYFUNCTION("""COMPUTED_VALUE"""),"PENINGKATAN HAK")</f>
        <v>PENINGKATAN HAK</v>
      </c>
      <c r="H10033" s="42">
        <f t="shared" si="1"/>
        <v>3345</v>
      </c>
    </row>
    <row r="10034" ht="22.5" customHeight="1">
      <c r="B10034" s="42" t="str">
        <f>IFERROR(__xludf.DUMMYFUNCTION("""COMPUTED_VALUE"""),"ABHUJIIL")</f>
        <v>ABHUJIIL</v>
      </c>
      <c r="C10034" s="42" t="str">
        <f>IFERROR(__xludf.DUMMYFUNCTION("""COMPUTED_VALUE"""),"NIBEL M 26931/ KEDAMAIAN")</f>
        <v>NIBEL M 26931/ KEDAMAIAN</v>
      </c>
      <c r="D10034" s="42"/>
      <c r="E10034" s="42"/>
      <c r="F10034" s="48" t="str">
        <f>IFERROR(__xludf.DUMMYFUNCTION("""COMPUTED_VALUE"""),"")</f>
        <v/>
      </c>
      <c r="G10034" s="42" t="str">
        <f>IFERROR(__xludf.DUMMYFUNCTION("""COMPUTED_VALUE"""),"BN PHB")</f>
        <v>BN PHB</v>
      </c>
      <c r="H10034" s="42">
        <f t="shared" si="1"/>
        <v>3345</v>
      </c>
    </row>
    <row r="10035" ht="22.5" customHeight="1">
      <c r="B10035" s="42" t="str">
        <f>IFERROR(__xludf.DUMMYFUNCTION("""COMPUTED_VALUE"""),"ABYTANEC/AB071")</f>
        <v>ABYTANEC/AB071</v>
      </c>
      <c r="C10035" s="42" t="str">
        <f>IFERROR(__xludf.DUMMYFUNCTION("""COMPUTED_VALUE"""),"M.3439/Langkapura")</f>
        <v>M.3439/Langkapura</v>
      </c>
      <c r="D10035" s="42"/>
      <c r="E10035" s="42"/>
      <c r="F10035" s="48" t="str">
        <f>IFERROR(__xludf.DUMMYFUNCTION("""COMPUTED_VALUE"""),"")</f>
        <v/>
      </c>
      <c r="G10035" s="42" t="str">
        <f>IFERROR(__xludf.DUMMYFUNCTION("""COMPUTED_VALUE"""),"Bn jual beli")</f>
        <v>Bn jual beli</v>
      </c>
      <c r="H10035" s="42">
        <f t="shared" si="1"/>
        <v>3345</v>
      </c>
    </row>
    <row r="10036" ht="22.5" customHeight="1">
      <c r="B10036" s="42" t="str">
        <f>IFERROR(__xludf.DUMMYFUNCTION("""COMPUTED_VALUE"""),"L/7/121225/1")</f>
        <v>L/7/121225/1</v>
      </c>
      <c r="C10036" s="42" t="str">
        <f>IFERROR(__xludf.DUMMYFUNCTION("""COMPUTED_VALUE"""),"M.348/PANENGAHAN")</f>
        <v>M.348/PANENGAHAN</v>
      </c>
      <c r="D10036" s="42"/>
      <c r="E10036" s="42"/>
      <c r="F10036" s="48" t="str">
        <f>IFERROR(__xludf.DUMMYFUNCTION("""COMPUTED_VALUE"""),"")</f>
        <v/>
      </c>
      <c r="G10036" s="42" t="str">
        <f>IFERROR(__xludf.DUMMYFUNCTION("""COMPUTED_VALUE"""),"ROYA WARS")</f>
        <v>ROYA WARS</v>
      </c>
      <c r="H10036" s="42">
        <f t="shared" si="1"/>
        <v>3345</v>
      </c>
    </row>
    <row r="10037" ht="22.5" customHeight="1">
      <c r="B10037" s="42" t="str">
        <f>IFERROR(__xludf.DUMMYFUNCTION("""COMPUTED_VALUE"""),"ABEWZDFU")</f>
        <v>ABEWZDFU</v>
      </c>
      <c r="C10037" s="42" t="str">
        <f>IFERROR(__xludf.DUMMYFUNCTION("""COMPUTED_VALUE"""),"B 1366/ SUKABUMI INDAH")</f>
        <v>B 1366/ SUKABUMI INDAH</v>
      </c>
      <c r="D10037" s="42"/>
      <c r="E10037" s="42"/>
      <c r="F10037" s="48" t="str">
        <f>IFERROR(__xludf.DUMMYFUNCTION("""COMPUTED_VALUE"""),"")</f>
        <v/>
      </c>
      <c r="G10037" s="42" t="str">
        <f>IFERROR(__xludf.DUMMYFUNCTION("""COMPUTED_VALUE"""),"PENINGKATAN HAK")</f>
        <v>PENINGKATAN HAK</v>
      </c>
      <c r="H10037" s="42">
        <f t="shared" si="1"/>
        <v>3345</v>
      </c>
    </row>
    <row r="10038" ht="22.5" customHeight="1">
      <c r="B10038" s="42" t="str">
        <f>IFERROR(__xludf.DUMMYFUNCTION("""COMPUTED_VALUE"""),"ABGUSFVG")</f>
        <v>ABGUSFVG</v>
      </c>
      <c r="C10038" s="42" t="str">
        <f>IFERROR(__xludf.DUMMYFUNCTION("""COMPUTED_VALUE"""),"M:69, NUSANTARA PERMAI")</f>
        <v>M:69, NUSANTARA PERMAI</v>
      </c>
      <c r="D10038" s="42"/>
      <c r="E10038" s="42"/>
      <c r="F10038" s="48" t="str">
        <f>IFERROR(__xludf.DUMMYFUNCTION("""COMPUTED_VALUE"""),"")</f>
        <v/>
      </c>
      <c r="G10038" s="42" t="str">
        <f>IFERROR(__xludf.DUMMYFUNCTION("""COMPUTED_VALUE"""),"ROYA")</f>
        <v>ROYA</v>
      </c>
      <c r="H10038" s="42">
        <f t="shared" si="1"/>
        <v>3345</v>
      </c>
    </row>
    <row r="10039" ht="22.5" customHeight="1">
      <c r="B10039" s="42" t="str">
        <f>IFERROR(__xludf.DUMMYFUNCTION("""COMPUTED_VALUE"""),"AB065/Abxececu")</f>
        <v>AB065/Abxececu</v>
      </c>
      <c r="C10039" s="42" t="str">
        <f>IFERROR(__xludf.DUMMYFUNCTION("""COMPUTED_VALUE"""),"M.1890/sepang jaya")</f>
        <v>M.1890/sepang jaya</v>
      </c>
      <c r="D10039" s="42"/>
      <c r="E10039" s="42"/>
      <c r="F10039" s="48" t="str">
        <f>IFERROR(__xludf.DUMMYFUNCTION("""COMPUTED_VALUE"""),"")</f>
        <v/>
      </c>
      <c r="G10039" s="42" t="str">
        <f>IFERROR(__xludf.DUMMYFUNCTION("""COMPUTED_VALUE"""),"Bn")</f>
        <v>Bn</v>
      </c>
      <c r="H10039" s="42">
        <f t="shared" si="1"/>
        <v>3345</v>
      </c>
    </row>
    <row r="10040" ht="22.5" customHeight="1">
      <c r="B10040" s="42" t="str">
        <f>IFERROR(__xludf.DUMMYFUNCTION("""COMPUTED_VALUE"""),"AB065/Abzuxhct")</f>
        <v>AB065/Abzuxhct</v>
      </c>
      <c r="C10040" s="42" t="str">
        <f>IFERROR(__xludf.DUMMYFUNCTION("""COMPUTED_VALUE"""),"NIB. M.23943/kemiling permai")</f>
        <v>NIB. M.23943/kemiling permai</v>
      </c>
      <c r="D10040" s="42"/>
      <c r="E10040" s="42"/>
      <c r="F10040" s="48" t="str">
        <f>IFERROR(__xludf.DUMMYFUNCTION("""COMPUTED_VALUE"""),"")</f>
        <v/>
      </c>
      <c r="G10040" s="42" t="str">
        <f>IFERROR(__xludf.DUMMYFUNCTION("""COMPUTED_VALUE"""),"Bn")</f>
        <v>Bn</v>
      </c>
      <c r="H10040" s="42">
        <f t="shared" si="1"/>
        <v>3345</v>
      </c>
    </row>
    <row r="10041" ht="22.5" customHeight="1">
      <c r="B10041" s="42" t="str">
        <f>IFERROR(__xludf.DUMMYFUNCTION("""COMPUTED_VALUE"""),"K/4/121225/1")</f>
        <v>K/4/121225/1</v>
      </c>
      <c r="C10041" s="42" t="str">
        <f>IFERROR(__xludf.DUMMYFUNCTION("""COMPUTED_VALUE"""),"PBT. 273/2022 PENGAJARAN")</f>
        <v>PBT. 273/2022 PENGAJARAN</v>
      </c>
      <c r="D10041" s="42"/>
      <c r="E10041" s="42"/>
      <c r="F10041" s="48" t="str">
        <f>IFERROR(__xludf.DUMMYFUNCTION("""COMPUTED_VALUE"""),"")</f>
        <v/>
      </c>
      <c r="G10041" s="42" t="str">
        <f>IFERROR(__xludf.DUMMYFUNCTION("""COMPUTED_VALUE"""),"PTPGT TANAH MENTAH")</f>
        <v>PTPGT TANAH MENTAH</v>
      </c>
      <c r="H10041" s="42">
        <f t="shared" si="1"/>
        <v>3345</v>
      </c>
    </row>
    <row r="10042" ht="22.5" customHeight="1">
      <c r="B10042" s="42" t="str">
        <f>IFERROR(__xludf.DUMMYFUNCTION("""COMPUTED_VALUE"""),"K/8/121225/1")</f>
        <v>K/8/121225/1</v>
      </c>
      <c r="C10042" s="42" t="str">
        <f>IFERROR(__xludf.DUMMYFUNCTION("""COMPUTED_VALUE"""),"B. 133/KUPANG KOTA")</f>
        <v>B. 133/KUPANG KOTA</v>
      </c>
      <c r="D10042" s="42"/>
      <c r="E10042" s="42"/>
      <c r="F10042" s="48" t="str">
        <f>IFERROR(__xludf.DUMMYFUNCTION("""COMPUTED_VALUE"""),"")</f>
        <v/>
      </c>
      <c r="G10042" s="42" t="str">
        <f>IFERROR(__xludf.DUMMYFUNCTION("""COMPUTED_VALUE"""),"SKPT LELANG EKSEKUSI HARTA PAILIT")</f>
        <v>SKPT LELANG EKSEKUSI HARTA PAILIT</v>
      </c>
      <c r="H10042" s="42">
        <f t="shared" si="1"/>
        <v>3345</v>
      </c>
    </row>
    <row r="10043" ht="22.5" customHeight="1">
      <c r="B10043" s="42" t="str">
        <f>IFERROR(__xludf.DUMMYFUNCTION("""COMPUTED_VALUE"""),"AB071/ABJLMPXT")</f>
        <v>AB071/ABJLMPXT</v>
      </c>
      <c r="C10043" s="42" t="str">
        <f>IFERROR(__xludf.DUMMYFUNCTION("""COMPUTED_VALUE"""),"M.12104/SUKABUMI")</f>
        <v>M.12104/SUKABUMI</v>
      </c>
      <c r="D10043" s="42"/>
      <c r="E10043" s="42"/>
      <c r="F10043" s="48" t="str">
        <f>IFERROR(__xludf.DUMMYFUNCTION("""COMPUTED_VALUE"""),"")</f>
        <v/>
      </c>
      <c r="G10043" s="42" t="str">
        <f>IFERROR(__xludf.DUMMYFUNCTION("""COMPUTED_VALUE"""),"BN")</f>
        <v>BN</v>
      </c>
      <c r="H10043" s="42">
        <f t="shared" si="1"/>
        <v>3345</v>
      </c>
    </row>
    <row r="10044" ht="22.5" customHeight="1">
      <c r="B10044" s="42" t="str">
        <f>IFERROR(__xludf.DUMMYFUNCTION("""COMPUTED_VALUE"""),"K/9/121225/1")</f>
        <v>K/9/121225/1</v>
      </c>
      <c r="C10044" s="42" t="str">
        <f>IFERROR(__xludf.DUMMYFUNCTION("""COMPUTED_VALUE"""),"NIBEL M.23743/RAJABASA JAYA")</f>
        <v>NIBEL M.23743/RAJABASA JAYA</v>
      </c>
      <c r="D10044" s="42"/>
      <c r="E10044" s="42"/>
      <c r="F10044" s="48" t="str">
        <f>IFERROR(__xludf.DUMMYFUNCTION("""COMPUTED_VALUE"""),"")</f>
        <v/>
      </c>
      <c r="G10044" s="42" t="str">
        <f>IFERROR(__xludf.DUMMYFUNCTION("""COMPUTED_VALUE"""),"BN JUAL BELI ")</f>
        <v>BN JUAL BELI </v>
      </c>
      <c r="H10044" s="42">
        <f t="shared" si="1"/>
        <v>3345</v>
      </c>
    </row>
    <row r="10045" ht="22.5" customHeight="1">
      <c r="B10045" s="42" t="str">
        <f>IFERROR(__xludf.DUMMYFUNCTION("""COMPUTED_VALUE"""),"K/1/081225/1")</f>
        <v>K/1/081225/1</v>
      </c>
      <c r="C10045" s="42" t="str">
        <f>IFERROR(__xludf.DUMMYFUNCTION("""COMPUTED_VALUE"""),"B. 925/SUKARAME BARU")</f>
        <v>B. 925/SUKARAME BARU</v>
      </c>
      <c r="D10045" s="42"/>
      <c r="E10045" s="42"/>
      <c r="F10045" s="48" t="str">
        <f>IFERROR(__xludf.DUMMYFUNCTION("""COMPUTED_VALUE"""),"")</f>
        <v/>
      </c>
      <c r="G10045" s="42" t="str">
        <f>IFERROR(__xludf.DUMMYFUNCTION("""COMPUTED_VALUE"""),"PENINGKATAN HAK")</f>
        <v>PENINGKATAN HAK</v>
      </c>
      <c r="H10045" s="42">
        <f t="shared" si="1"/>
        <v>3345</v>
      </c>
    </row>
    <row r="10046" ht="22.5" customHeight="1">
      <c r="B10046" s="42" t="str">
        <f>IFERROR(__xludf.DUMMYFUNCTION("""COMPUTED_VALUE"""),"L/1/131225/1")</f>
        <v>L/1/131225/1</v>
      </c>
      <c r="C10046" s="42" t="str">
        <f>IFERROR(__xludf.DUMMYFUNCTION("""COMPUTED_VALUE"""),"SUKARAME")</f>
        <v>SUKARAME</v>
      </c>
      <c r="D10046" s="42"/>
      <c r="E10046" s="42"/>
      <c r="F10046" s="48" t="str">
        <f>IFERROR(__xludf.DUMMYFUNCTION("""COMPUTED_VALUE"""),"")</f>
        <v/>
      </c>
      <c r="G10046" s="42" t="str">
        <f>IFERROR(__xludf.DUMMYFUNCTION("""COMPUTED_VALUE"""),"PENGUKURAN PERTAMA KALI")</f>
        <v>PENGUKURAN PERTAMA KALI</v>
      </c>
      <c r="H10046" s="42">
        <f t="shared" si="1"/>
        <v>3345</v>
      </c>
    </row>
    <row r="10047" ht="22.5" customHeight="1">
      <c r="B10047" s="42" t="str">
        <f>IFERROR(__xludf.DUMMYFUNCTION("""COMPUTED_VALUE"""),"ABCEFGII")</f>
        <v>ABCEFGII</v>
      </c>
      <c r="C10047" s="42" t="str">
        <f>IFERROR(__xludf.DUMMYFUNCTION("""COMPUTED_VALUE"""),"M.259 KORPRI RAYA")</f>
        <v>M.259 KORPRI RAYA</v>
      </c>
      <c r="D10047" s="42"/>
      <c r="E10047" s="42"/>
      <c r="F10047" s="48" t="str">
        <f>IFERROR(__xludf.DUMMYFUNCTION("""COMPUTED_VALUE"""),"")</f>
        <v/>
      </c>
      <c r="G10047" s="42" t="str">
        <f>IFERROR(__xludf.DUMMYFUNCTION("""COMPUTED_VALUE"""),"Pendaftaran Peralihan Hak ")</f>
        <v>Pendaftaran Peralihan Hak </v>
      </c>
      <c r="H10047" s="42">
        <f t="shared" si="1"/>
        <v>3345</v>
      </c>
    </row>
    <row r="10048" ht="22.5" customHeight="1">
      <c r="B10048" s="42" t="str">
        <f>IFERROR(__xludf.DUMMYFUNCTION("""COMPUTED_VALUE"""),"ABXGJLWB/AB07")</f>
        <v>ABXGJLWB/AB07</v>
      </c>
      <c r="C10048" s="42" t="str">
        <f>IFERROR(__xludf.DUMMYFUNCTION("""COMPUTED_VALUE"""),"M. Nibel 4979/Kedaton")</f>
        <v>M. Nibel 4979/Kedaton</v>
      </c>
      <c r="D10048" s="42"/>
      <c r="E10048" s="42"/>
      <c r="F10048" s="48" t="str">
        <f>IFERROR(__xludf.DUMMYFUNCTION("""COMPUTED_VALUE"""),"")</f>
        <v/>
      </c>
      <c r="G10048" s="42" t="str">
        <f>IFERROR(__xludf.DUMMYFUNCTION("""COMPUTED_VALUE"""),"Akta Jual Beli")</f>
        <v>Akta Jual Beli</v>
      </c>
      <c r="H10048" s="42">
        <f t="shared" si="1"/>
        <v>3345</v>
      </c>
    </row>
    <row r="10049" ht="22.5" customHeight="1">
      <c r="B10049" s="42" t="str">
        <f>IFERROR(__xludf.DUMMYFUNCTION("""COMPUTED_VALUE"""),"ABEFXIFP/006")</f>
        <v>ABEFXIFP/006</v>
      </c>
      <c r="C10049" s="42" t="str">
        <f>IFERROR(__xludf.DUMMYFUNCTION("""COMPUTED_VALUE"""),"M 3489/ kota baru")</f>
        <v>M 3489/ kota baru</v>
      </c>
      <c r="D10049" s="42"/>
      <c r="E10049" s="42"/>
      <c r="F10049" s="48" t="str">
        <f>IFERROR(__xludf.DUMMYFUNCTION("""COMPUTED_VALUE"""),"")</f>
        <v/>
      </c>
      <c r="G10049" s="42" t="str">
        <f>IFERROR(__xludf.DUMMYFUNCTION("""COMPUTED_VALUE"""),"balik nama jual beli")</f>
        <v>balik nama jual beli</v>
      </c>
      <c r="H10049" s="42">
        <f t="shared" si="1"/>
        <v>3345</v>
      </c>
    </row>
    <row r="10050" ht="22.5" customHeight="1">
      <c r="B10050" s="42" t="str">
        <f>IFERROR(__xludf.DUMMYFUNCTION("""COMPUTED_VALUE"""),"ABHASCAZ/AB02")</f>
        <v>ABHASCAZ/AB02</v>
      </c>
      <c r="C10050" s="42" t="str">
        <f>IFERROR(__xludf.DUMMYFUNCTION("""COMPUTED_VALUE"""),"M. 989/Negeri Olok Gading")</f>
        <v>M. 989/Negeri Olok Gading</v>
      </c>
      <c r="D10050" s="42"/>
      <c r="E10050" s="42"/>
      <c r="F10050" s="48" t="str">
        <f>IFERROR(__xludf.DUMMYFUNCTION("""COMPUTED_VALUE"""),"")</f>
        <v/>
      </c>
      <c r="G10050" s="42" t="str">
        <f>IFERROR(__xludf.DUMMYFUNCTION("""COMPUTED_VALUE"""),"Balik Nama")</f>
        <v>Balik Nama</v>
      </c>
      <c r="H10050" s="42">
        <f t="shared" si="1"/>
        <v>3345</v>
      </c>
    </row>
    <row r="10051" ht="22.5" customHeight="1">
      <c r="B10051" s="42" t="str">
        <f>IFERROR(__xludf.DUMMYFUNCTION("""COMPUTED_VALUE"""),"AB014/ABKYWCOI")</f>
        <v>AB014/ABKYWCOI</v>
      </c>
      <c r="C10051" s="42" t="str">
        <f>IFERROR(__xludf.DUMMYFUNCTION("""COMPUTED_VALUE"""),"M.725 GULAK GALIK")</f>
        <v>M.725 GULAK GALIK</v>
      </c>
      <c r="D10051" s="42"/>
      <c r="E10051" s="42"/>
      <c r="F10051" s="48" t="str">
        <f>IFERROR(__xludf.DUMMYFUNCTION("""COMPUTED_VALUE"""),"")</f>
        <v/>
      </c>
      <c r="G10051" s="42" t="str">
        <f>IFERROR(__xludf.DUMMYFUNCTION("""COMPUTED_VALUE"""),"BN")</f>
        <v>BN</v>
      </c>
      <c r="H10051" s="42">
        <f t="shared" si="1"/>
        <v>3345</v>
      </c>
    </row>
    <row r="10052" ht="22.5" customHeight="1">
      <c r="B10052" s="42" t="str">
        <f>IFERROR(__xludf.DUMMYFUNCTION("""COMPUTED_VALUE"""),"ABHFXFAP")</f>
        <v>ABHFXFAP</v>
      </c>
      <c r="C10052" s="42" t="str">
        <f>IFERROR(__xludf.DUMMYFUNCTION("""COMPUTED_VALUE"""),"M. 05353/ pinang jaya")</f>
        <v>M. 05353/ pinang jaya</v>
      </c>
      <c r="D10052" s="42"/>
      <c r="E10052" s="42"/>
      <c r="F10052" s="48" t="str">
        <f>IFERROR(__xludf.DUMMYFUNCTION("""COMPUTED_VALUE"""),"")</f>
        <v/>
      </c>
      <c r="G10052" s="42" t="str">
        <f>IFERROR(__xludf.DUMMYFUNCTION("""COMPUTED_VALUE"""),"Bn Hibah")</f>
        <v>Bn Hibah</v>
      </c>
      <c r="H10052" s="42">
        <f t="shared" si="1"/>
        <v>3345</v>
      </c>
    </row>
    <row r="10053" ht="22.5" customHeight="1">
      <c r="B10053" s="42" t="str">
        <f>IFERROR(__xludf.DUMMYFUNCTION("""COMPUTED_VALUE"""),"AB014/ABWKMVPQ")</f>
        <v>AB014/ABWKMVPQ</v>
      </c>
      <c r="C10053" s="42" t="str">
        <f>IFERROR(__xludf.DUMMYFUNCTION("""COMPUTED_VALUE"""),"M.695/ GULAK GALIK")</f>
        <v>M.695/ GULAK GALIK</v>
      </c>
      <c r="D10053" s="42"/>
      <c r="E10053" s="42"/>
      <c r="F10053" s="48" t="str">
        <f>IFERROR(__xludf.DUMMYFUNCTION("""COMPUTED_VALUE"""),"")</f>
        <v/>
      </c>
      <c r="G10053" s="42" t="str">
        <f>IFERROR(__xludf.DUMMYFUNCTION("""COMPUTED_VALUE"""),"BN")</f>
        <v>BN</v>
      </c>
      <c r="H10053" s="42">
        <f t="shared" si="1"/>
        <v>3345</v>
      </c>
    </row>
    <row r="10054" ht="22.5" customHeight="1">
      <c r="B10054" s="42" t="str">
        <f>IFERROR(__xludf.DUMMYFUNCTION("""COMPUTED_VALUE"""),"ABIPZZDR/AB040")</f>
        <v>ABIPZZDR/AB040</v>
      </c>
      <c r="C10054" s="42" t="str">
        <f>IFERROR(__xludf.DUMMYFUNCTION("""COMPUTED_VALUE"""),"M. 1745/Rajabasa Pemuka")</f>
        <v>M. 1745/Rajabasa Pemuka</v>
      </c>
      <c r="D10054" s="42"/>
      <c r="E10054" s="42"/>
      <c r="F10054" s="48" t="str">
        <f>IFERROR(__xludf.DUMMYFUNCTION("""COMPUTED_VALUE"""),"")</f>
        <v/>
      </c>
      <c r="G10054" s="42" t="str">
        <f>IFERROR(__xludf.DUMMYFUNCTION("""COMPUTED_VALUE"""),"balik nama jual beli")</f>
        <v>balik nama jual beli</v>
      </c>
      <c r="H10054" s="42">
        <f t="shared" si="1"/>
        <v>3345</v>
      </c>
    </row>
    <row r="10055" ht="22.5" customHeight="1">
      <c r="B10055" s="42" t="str">
        <f>IFERROR(__xludf.DUMMYFUNCTION("""COMPUTED_VALUE"""),"AB036/ ABJLGVKD")</f>
        <v>AB036/ ABJLGVKD</v>
      </c>
      <c r="C10055" s="42" t="str">
        <f>IFERROR(__xludf.DUMMYFUNCTION("""COMPUTED_VALUE"""),"NIBEL B 17796/ KEMILING PERMAI")</f>
        <v>NIBEL B 17796/ KEMILING PERMAI</v>
      </c>
      <c r="D10055" s="42"/>
      <c r="E10055" s="42"/>
      <c r="F10055" s="48" t="str">
        <f>IFERROR(__xludf.DUMMYFUNCTION("""COMPUTED_VALUE"""),"")</f>
        <v/>
      </c>
      <c r="G10055" s="42" t="str">
        <f>IFERROR(__xludf.DUMMYFUNCTION("""COMPUTED_VALUE"""),"balik nama jual beli")</f>
        <v>balik nama jual beli</v>
      </c>
      <c r="H10055" s="42">
        <f t="shared" si="1"/>
        <v>3345</v>
      </c>
    </row>
    <row r="10056" ht="22.5" customHeight="1">
      <c r="B10056" s="42" t="str">
        <f>IFERROR(__xludf.DUMMYFUNCTION("""COMPUTED_VALUE"""),"ABHJUUUI")</f>
        <v>ABHJUUUI</v>
      </c>
      <c r="C10056" s="42" t="str">
        <f>IFERROR(__xludf.DUMMYFUNCTION("""COMPUTED_VALUE"""),"HM 5325 langkapura")</f>
        <v>HM 5325 langkapura</v>
      </c>
      <c r="D10056" s="42"/>
      <c r="E10056" s="42"/>
      <c r="F10056" s="48" t="str">
        <f>IFERROR(__xludf.DUMMYFUNCTION("""COMPUTED_VALUE"""),"")</f>
        <v/>
      </c>
      <c r="G10056" s="42" t="str">
        <f>IFERROR(__xludf.DUMMYFUNCTION("""COMPUTED_VALUE"""),"BN JUAL BELI")</f>
        <v>BN JUAL BELI</v>
      </c>
      <c r="H10056" s="42">
        <f t="shared" si="1"/>
        <v>3345</v>
      </c>
    </row>
    <row r="10057" ht="22.5" customHeight="1">
      <c r="B10057" s="42" t="str">
        <f>IFERROR(__xludf.DUMMYFUNCTION("""COMPUTED_VALUE"""),"AB057/ ABHIDZCF")</f>
        <v>AB057/ ABHIDZCF</v>
      </c>
      <c r="C10057" s="42" t="str">
        <f>IFERROR(__xludf.DUMMYFUNCTION("""COMPUTED_VALUE"""),"NIBEL M.26947/tanjung gading")</f>
        <v>NIBEL M.26947/tanjung gading</v>
      </c>
      <c r="D10057" s="42"/>
      <c r="E10057" s="42"/>
      <c r="F10057" s="48" t="str">
        <f>IFERROR(__xludf.DUMMYFUNCTION("""COMPUTED_VALUE"""),"")</f>
        <v/>
      </c>
      <c r="G10057" s="42" t="str">
        <f>IFERROR(__xludf.DUMMYFUNCTION("""COMPUTED_VALUE"""),"Ajb")</f>
        <v>Ajb</v>
      </c>
      <c r="H10057" s="42">
        <f t="shared" si="1"/>
        <v>3345</v>
      </c>
    </row>
    <row r="10058" ht="22.5" customHeight="1">
      <c r="B10058" s="42" t="str">
        <f>IFERROR(__xludf.DUMMYFUNCTION("""COMPUTED_VALUE"""),"AB057/ ABWEYZPZ")</f>
        <v>AB057/ ABWEYZPZ</v>
      </c>
      <c r="C10058" s="42" t="str">
        <f>IFERROR(__xludf.DUMMYFUNCTION("""COMPUTED_VALUE"""),"M.211/ labuhan ratu raya")</f>
        <v>M.211/ labuhan ratu raya</v>
      </c>
      <c r="D10058" s="42"/>
      <c r="E10058" s="42"/>
      <c r="F10058" s="48" t="str">
        <f>IFERROR(__xludf.DUMMYFUNCTION("""COMPUTED_VALUE"""),"")</f>
        <v/>
      </c>
      <c r="G10058" s="42" t="str">
        <f>IFERROR(__xludf.DUMMYFUNCTION("""COMPUTED_VALUE"""),"Ajb")</f>
        <v>Ajb</v>
      </c>
      <c r="H10058" s="42">
        <f t="shared" si="1"/>
        <v>3345</v>
      </c>
    </row>
    <row r="10059" ht="22.5" customHeight="1">
      <c r="B10059" s="42" t="str">
        <f>IFERROR(__xludf.DUMMYFUNCTION("""COMPUTED_VALUE"""),"L/3/151225/1")</f>
        <v>L/3/151225/1</v>
      </c>
      <c r="C10059" s="42" t="str">
        <f>IFERROR(__xludf.DUMMYFUNCTION("""COMPUTED_VALUE"""),"SK NO 142/HM/BPN.18.71/XI/2025")</f>
        <v>SK NO 142/HM/BPN.18.71/XI/2025</v>
      </c>
      <c r="D10059" s="42"/>
      <c r="E10059" s="42"/>
      <c r="F10059" s="48" t="str">
        <f>IFERROR(__xludf.DUMMYFUNCTION("""COMPUTED_VALUE"""),"")</f>
        <v/>
      </c>
      <c r="G10059" s="42" t="str">
        <f>IFERROR(__xludf.DUMMYFUNCTION("""COMPUTED_VALUE"""),"PENDAFTARAN SK")</f>
        <v>PENDAFTARAN SK</v>
      </c>
      <c r="H10059" s="42">
        <f t="shared" si="1"/>
        <v>3345</v>
      </c>
    </row>
    <row r="10060" ht="22.5" customHeight="1">
      <c r="B10060" s="42" t="str">
        <f>IFERROR(__xludf.DUMMYFUNCTION("""COMPUTED_VALUE"""),"ABYAGBDJ/AB081")</f>
        <v>ABYAGBDJ/AB081</v>
      </c>
      <c r="C10060" s="42" t="str">
        <f>IFERROR(__xludf.DUMMYFUNCTION("""COMPUTED_VALUE"""),"m 9276/Labuhan Ratu")</f>
        <v>m 9276/Labuhan Ratu</v>
      </c>
      <c r="D10060" s="42"/>
      <c r="E10060" s="42"/>
      <c r="F10060" s="48" t="str">
        <f>IFERROR(__xludf.DUMMYFUNCTION("""COMPUTED_VALUE"""),"")</f>
        <v/>
      </c>
      <c r="G10060" s="42" t="str">
        <f>IFERROR(__xludf.DUMMYFUNCTION("""COMPUTED_VALUE"""),"Bn jual beli")</f>
        <v>Bn jual beli</v>
      </c>
      <c r="H10060" s="42">
        <f t="shared" si="1"/>
        <v>3345</v>
      </c>
    </row>
    <row r="10061" ht="22.5" customHeight="1">
      <c r="B10061" s="42" t="str">
        <f>IFERROR(__xludf.DUMMYFUNCTION("""COMPUTED_VALUE"""),"AB072/AABMVSYCE")</f>
        <v>AB072/AABMVSYCE</v>
      </c>
      <c r="C10061" s="42" t="str">
        <f>IFERROR(__xludf.DUMMYFUNCTION("""COMPUTED_VALUE"""),"M.1608/Kemiling Permai")</f>
        <v>M.1608/Kemiling Permai</v>
      </c>
      <c r="D10061" s="42"/>
      <c r="E10061" s="42"/>
      <c r="F10061" s="48" t="str">
        <f>IFERROR(__xludf.DUMMYFUNCTION("""COMPUTED_VALUE"""),"")</f>
        <v/>
      </c>
      <c r="G10061" s="42" t="str">
        <f>IFERROR(__xludf.DUMMYFUNCTION("""COMPUTED_VALUE"""),"Bn jual beli")</f>
        <v>Bn jual beli</v>
      </c>
      <c r="H10061" s="42">
        <f t="shared" si="1"/>
        <v>3345</v>
      </c>
    </row>
    <row r="10062" ht="22.5" customHeight="1">
      <c r="B10062" s="42" t="str">
        <f>IFERROR(__xludf.DUMMYFUNCTION("""COMPUTED_VALUE"""),"ABNGZETN")</f>
        <v>ABNGZETN</v>
      </c>
      <c r="C10062" s="42" t="str">
        <f>IFERROR(__xludf.DUMMYFUNCTION("""COMPUTED_VALUE"""),"NIBEL M.21564 RAJABASA NUNYAI")</f>
        <v>NIBEL M.21564 RAJABASA NUNYAI</v>
      </c>
      <c r="D10062" s="42"/>
      <c r="E10062" s="42"/>
      <c r="F10062" s="48" t="str">
        <f>IFERROR(__xludf.DUMMYFUNCTION("""COMPUTED_VALUE"""),"")</f>
        <v/>
      </c>
      <c r="G10062" s="42" t="str">
        <f>IFERROR(__xludf.DUMMYFUNCTION("""COMPUTED_VALUE"""),"Bn jual beli")</f>
        <v>Bn jual beli</v>
      </c>
      <c r="H10062" s="42">
        <f t="shared" si="1"/>
        <v>3345</v>
      </c>
    </row>
    <row r="10063" ht="22.5" customHeight="1">
      <c r="B10063" s="42" t="str">
        <f>IFERROR(__xludf.DUMMYFUNCTION("""COMPUTED_VALUE"""),"ABPQFDFV/AB062")</f>
        <v>ABPQFDFV/AB062</v>
      </c>
      <c r="C10063" s="42" t="str">
        <f>IFERROR(__xludf.DUMMYFUNCTION("""COMPUTED_VALUE"""),"M. 207/Pn / Penengahan")</f>
        <v>M. 207/Pn / Penengahan</v>
      </c>
      <c r="D10063" s="42"/>
      <c r="E10063" s="42"/>
      <c r="F10063" s="48" t="str">
        <f>IFERROR(__xludf.DUMMYFUNCTION("""COMPUTED_VALUE"""),"")</f>
        <v/>
      </c>
      <c r="G10063" s="42" t="str">
        <f>IFERROR(__xludf.DUMMYFUNCTION("""COMPUTED_VALUE"""),"BN WARIS")</f>
        <v>BN WARIS</v>
      </c>
      <c r="H10063" s="42">
        <f t="shared" si="1"/>
        <v>3345</v>
      </c>
    </row>
    <row r="10064" ht="22.5" customHeight="1">
      <c r="B10064" s="42" t="str">
        <f>IFERROR(__xludf.DUMMYFUNCTION("""COMPUTED_VALUE"""),"L/4/151225/1")</f>
        <v>L/4/151225/1</v>
      </c>
      <c r="C10064" s="42" t="str">
        <f>IFERROR(__xludf.DUMMYFUNCTION("""COMPUTED_VALUE"""),"M. 2153/KEDAUNG")</f>
        <v>M. 2153/KEDAUNG</v>
      </c>
      <c r="D10064" s="42"/>
      <c r="E10064" s="42"/>
      <c r="F10064" s="48" t="str">
        <f>IFERROR(__xludf.DUMMYFUNCTION("""COMPUTED_VALUE"""),"")</f>
        <v/>
      </c>
      <c r="G10064" s="42" t="str">
        <f>IFERROR(__xludf.DUMMYFUNCTION("""COMPUTED_VALUE"""),"BLOKIR")</f>
        <v>BLOKIR</v>
      </c>
      <c r="H10064" s="42">
        <f t="shared" si="1"/>
        <v>3345</v>
      </c>
    </row>
    <row r="10065" ht="22.5" customHeight="1">
      <c r="B10065" s="42" t="str">
        <f>IFERROR(__xludf.DUMMYFUNCTION("""COMPUTED_VALUE"""),"ABTUBXAF/AB062")</f>
        <v>ABTUBXAF/AB062</v>
      </c>
      <c r="C10065" s="42" t="str">
        <f>IFERROR(__xludf.DUMMYFUNCTION("""COMPUTED_VALUE"""),"258/ Penengahan Raya")</f>
        <v>258/ Penengahan Raya</v>
      </c>
      <c r="D10065" s="42"/>
      <c r="E10065" s="42"/>
      <c r="F10065" s="48" t="str">
        <f>IFERROR(__xludf.DUMMYFUNCTION("""COMPUTED_VALUE"""),"")</f>
        <v/>
      </c>
      <c r="G10065" s="42" t="str">
        <f>IFERROR(__xludf.DUMMYFUNCTION("""COMPUTED_VALUE"""),"BN JUAL BELI")</f>
        <v>BN JUAL BELI</v>
      </c>
      <c r="H10065" s="42">
        <f t="shared" si="1"/>
        <v>3345</v>
      </c>
    </row>
    <row r="10066" ht="22.5" customHeight="1">
      <c r="B10066" s="42" t="str">
        <f>IFERROR(__xludf.DUMMYFUNCTION("""COMPUTED_VALUE"""),"L/5/151225/1")</f>
        <v>L/5/151225/1</v>
      </c>
      <c r="C10066" s="42" t="str">
        <f>IFERROR(__xludf.DUMMYFUNCTION("""COMPUTED_VALUE"""),"M. 760/SUKARAME BARU")</f>
        <v>M. 760/SUKARAME BARU</v>
      </c>
      <c r="D10066" s="42"/>
      <c r="E10066" s="42"/>
      <c r="F10066" s="48" t="str">
        <f>IFERROR(__xludf.DUMMYFUNCTION("""COMPUTED_VALUE"""),"")</f>
        <v/>
      </c>
      <c r="G10066" s="42" t="str">
        <f>IFERROR(__xludf.DUMMYFUNCTION("""COMPUTED_VALUE"""),"ROYA")</f>
        <v>ROYA</v>
      </c>
      <c r="H10066" s="42">
        <f t="shared" si="1"/>
        <v>3345</v>
      </c>
    </row>
    <row r="10067" ht="22.5" customHeight="1">
      <c r="B10067" s="42" t="str">
        <f>IFERROR(__xludf.DUMMYFUNCTION("""COMPUTED_VALUE"""),"L/6/151225/1")</f>
        <v>L/6/151225/1</v>
      </c>
      <c r="C10067" s="42" t="str">
        <f>IFERROR(__xludf.DUMMYFUNCTION("""COMPUTED_VALUE"""),"M. 7479/SUKABUMI")</f>
        <v>M. 7479/SUKABUMI</v>
      </c>
      <c r="D10067" s="42"/>
      <c r="E10067" s="42"/>
      <c r="F10067" s="48" t="str">
        <f>IFERROR(__xludf.DUMMYFUNCTION("""COMPUTED_VALUE"""),"")</f>
        <v/>
      </c>
      <c r="G10067" s="42" t="str">
        <f>IFERROR(__xludf.DUMMYFUNCTION("""COMPUTED_VALUE"""),"ROYA")</f>
        <v>ROYA</v>
      </c>
      <c r="H10067" s="42">
        <f t="shared" si="1"/>
        <v>3345</v>
      </c>
    </row>
    <row r="10068" ht="22.5" customHeight="1">
      <c r="B10068" s="42" t="str">
        <f>IFERROR(__xludf.DUMMYFUNCTION("""COMPUTED_VALUE"""),"L/7/151225/1")</f>
        <v>L/7/151225/1</v>
      </c>
      <c r="C10068" s="42" t="str">
        <f>IFERROR(__xludf.DUMMYFUNCTION("""COMPUTED_VALUE"""),"M. 6491/GUNUNG SULAH")</f>
        <v>M. 6491/GUNUNG SULAH</v>
      </c>
      <c r="D10068" s="42"/>
      <c r="E10068" s="42"/>
      <c r="F10068" s="48" t="str">
        <f>IFERROR(__xludf.DUMMYFUNCTION("""COMPUTED_VALUE"""),"")</f>
        <v/>
      </c>
      <c r="G10068" s="42" t="str">
        <f>IFERROR(__xludf.DUMMYFUNCTION("""COMPUTED_VALUE"""),"BN JUAL BELI")</f>
        <v>BN JUAL BELI</v>
      </c>
      <c r="H10068" s="42">
        <f t="shared" si="1"/>
        <v>3345</v>
      </c>
    </row>
    <row r="10069" ht="22.5" customHeight="1">
      <c r="B10069" s="42" t="str">
        <f>IFERROR(__xludf.DUMMYFUNCTION("""COMPUTED_VALUE"""),"AB066/ABANCTSE")</f>
        <v>AB066/ABANCTSE</v>
      </c>
      <c r="C10069" s="42" t="str">
        <f>IFERROR(__xludf.DUMMYFUNCTION("""COMPUTED_VALUE"""),"M.2315 SUKARAME BARU")</f>
        <v>M.2315 SUKARAME BARU</v>
      </c>
      <c r="D10069" s="42"/>
      <c r="E10069" s="42"/>
      <c r="F10069" s="48" t="str">
        <f>IFERROR(__xludf.DUMMYFUNCTION("""COMPUTED_VALUE"""),"")</f>
        <v/>
      </c>
      <c r="G10069" s="42" t="str">
        <f>IFERROR(__xludf.DUMMYFUNCTION("""COMPUTED_VALUE"""),"BALIK NAMA")</f>
        <v>BALIK NAMA</v>
      </c>
      <c r="H10069" s="42">
        <f t="shared" si="1"/>
        <v>3345</v>
      </c>
    </row>
    <row r="10070" ht="22.5" customHeight="1">
      <c r="B10070" s="42" t="str">
        <f>IFERROR(__xludf.DUMMYFUNCTION("""COMPUTED_VALUE"""),"ABMNFLNM/AB077")</f>
        <v>ABMNFLNM/AB077</v>
      </c>
      <c r="C10070" s="42" t="str">
        <f>IFERROR(__xludf.DUMMYFUNCTION("""COMPUTED_VALUE"""),"M. 1913/Sukarame Baru")</f>
        <v>M. 1913/Sukarame Baru</v>
      </c>
      <c r="D10070" s="42"/>
      <c r="E10070" s="42"/>
      <c r="F10070" s="48" t="str">
        <f>IFERROR(__xludf.DUMMYFUNCTION("""COMPUTED_VALUE"""),"")</f>
        <v/>
      </c>
      <c r="G10070" s="42" t="str">
        <f>IFERROR(__xludf.DUMMYFUNCTION("""COMPUTED_VALUE"""),"BN JUAL BELI")</f>
        <v>BN JUAL BELI</v>
      </c>
      <c r="H10070" s="42">
        <f t="shared" si="1"/>
        <v>3345</v>
      </c>
    </row>
    <row r="10071" ht="22.5" customHeight="1">
      <c r="B10071" s="42" t="str">
        <f>IFERROR(__xludf.DUMMYFUNCTION("""COMPUTED_VALUE"""),"ABUFWQQU")</f>
        <v>ABUFWQQU</v>
      </c>
      <c r="C10071" s="42">
        <f>IFERROR(__xludf.DUMMYFUNCTION("""COMPUTED_VALUE"""),9345.0)</f>
        <v>9345</v>
      </c>
      <c r="D10071" s="42"/>
      <c r="E10071" s="42"/>
      <c r="F10071" s="48" t="str">
        <f>IFERROR(__xludf.DUMMYFUNCTION("""COMPUTED_VALUE"""),"")</f>
        <v/>
      </c>
      <c r="G10071" s="42" t="str">
        <f>IFERROR(__xludf.DUMMYFUNCTION("""COMPUTED_VALUE"""),"Peningkatan Hak")</f>
        <v>Peningkatan Hak</v>
      </c>
      <c r="H10071" s="42">
        <f t="shared" si="1"/>
        <v>3345</v>
      </c>
    </row>
    <row r="10072" ht="22.5" customHeight="1">
      <c r="B10072" s="42" t="str">
        <f>IFERROR(__xludf.DUMMYFUNCTION("""COMPUTED_VALUE"""),"ABAZWBQO")</f>
        <v>ABAZWBQO</v>
      </c>
      <c r="C10072" s="42">
        <f>IFERROR(__xludf.DUMMYFUNCTION("""COMPUTED_VALUE"""),4088.0)</f>
        <v>4088</v>
      </c>
      <c r="D10072" s="42"/>
      <c r="E10072" s="42"/>
      <c r="F10072" s="48" t="str">
        <f>IFERROR(__xludf.DUMMYFUNCTION("""COMPUTED_VALUE"""),"")</f>
        <v/>
      </c>
      <c r="G10072" s="42" t="str">
        <f>IFERROR(__xludf.DUMMYFUNCTION("""COMPUTED_VALUE"""),"Pelalihan Hak")</f>
        <v>Pelalihan Hak</v>
      </c>
      <c r="H10072" s="42">
        <f t="shared" si="1"/>
        <v>3345</v>
      </c>
    </row>
    <row r="10073" ht="22.5" customHeight="1">
      <c r="B10073" s="42" t="str">
        <f>IFERROR(__xludf.DUMMYFUNCTION("""COMPUTED_VALUE"""),"ABYGHQWT")</f>
        <v>ABYGHQWT</v>
      </c>
      <c r="C10073" s="42">
        <f>IFERROR(__xludf.DUMMYFUNCTION("""COMPUTED_VALUE"""),2529.0)</f>
        <v>2529</v>
      </c>
      <c r="D10073" s="42"/>
      <c r="E10073" s="42"/>
      <c r="F10073" s="48" t="str">
        <f>IFERROR(__xludf.DUMMYFUNCTION("""COMPUTED_VALUE"""),"")</f>
        <v/>
      </c>
      <c r="G10073" s="42" t="str">
        <f>IFERROR(__xludf.DUMMYFUNCTION("""COMPUTED_VALUE"""),"Peralihan Hak")</f>
        <v>Peralihan Hak</v>
      </c>
      <c r="H10073" s="42">
        <f t="shared" si="1"/>
        <v>3345</v>
      </c>
    </row>
    <row r="10074" ht="22.5" customHeight="1">
      <c r="B10074" s="42" t="str">
        <f>IFERROR(__xludf.DUMMYFUNCTION("""COMPUTED_VALUE"""),"ABECWKFW/AB019")</f>
        <v>ABECWKFW/AB019</v>
      </c>
      <c r="C10074" s="42" t="str">
        <f>IFERROR(__xludf.DUMMYFUNCTION("""COMPUTED_VALUE"""),"M NIBEL 165080/Tanjung Senang")</f>
        <v>M NIBEL 165080/Tanjung Senang</v>
      </c>
      <c r="D10074" s="42"/>
      <c r="E10074" s="42"/>
      <c r="F10074" s="48" t="str">
        <f>IFERROR(__xludf.DUMMYFUNCTION("""COMPUTED_VALUE"""),"")</f>
        <v/>
      </c>
      <c r="G10074" s="42" t="str">
        <f>IFERROR(__xludf.DUMMYFUNCTION("""COMPUTED_VALUE"""),"AKTA PEMBAGIAN HAK BERSAMA")</f>
        <v>AKTA PEMBAGIAN HAK BERSAMA</v>
      </c>
      <c r="H10074" s="42">
        <f t="shared" si="1"/>
        <v>3345</v>
      </c>
    </row>
    <row r="10075" ht="22.5" customHeight="1">
      <c r="B10075" s="42" t="str">
        <f>IFERROR(__xludf.DUMMYFUNCTION("""COMPUTED_VALUE"""),"ABKJDCQU")</f>
        <v>ABKJDCQU</v>
      </c>
      <c r="C10075" s="42">
        <f>IFERROR(__xludf.DUMMYFUNCTION("""COMPUTED_VALUE"""),4674.0)</f>
        <v>4674</v>
      </c>
      <c r="D10075" s="42"/>
      <c r="E10075" s="42"/>
      <c r="F10075" s="48" t="str">
        <f>IFERROR(__xludf.DUMMYFUNCTION("""COMPUTED_VALUE"""),"")</f>
        <v/>
      </c>
      <c r="G10075" s="42" t="str">
        <f>IFERROR(__xludf.DUMMYFUNCTION("""COMPUTED_VALUE"""),"Peralihan Hak")</f>
        <v>Peralihan Hak</v>
      </c>
      <c r="H10075" s="42">
        <f t="shared" si="1"/>
        <v>3345</v>
      </c>
    </row>
    <row r="10076" ht="22.5" customHeight="1">
      <c r="B10076" s="42" t="str">
        <f>IFERROR(__xludf.DUMMYFUNCTION("""COMPUTED_VALUE"""),"ABNLRZZS")</f>
        <v>ABNLRZZS</v>
      </c>
      <c r="C10076" s="42">
        <f>IFERROR(__xludf.DUMMYFUNCTION("""COMPUTED_VALUE"""),26219.0)</f>
        <v>26219</v>
      </c>
      <c r="D10076" s="42"/>
      <c r="E10076" s="42"/>
      <c r="F10076" s="48" t="str">
        <f>IFERROR(__xludf.DUMMYFUNCTION("""COMPUTED_VALUE"""),"")</f>
        <v/>
      </c>
      <c r="G10076" s="42" t="str">
        <f>IFERROR(__xludf.DUMMYFUNCTION("""COMPUTED_VALUE"""),"Peralihan Hak")</f>
        <v>Peralihan Hak</v>
      </c>
      <c r="H10076" s="42">
        <f t="shared" si="1"/>
        <v>3345</v>
      </c>
    </row>
    <row r="10077" ht="22.5" customHeight="1">
      <c r="B10077" s="42" t="str">
        <f>IFERROR(__xludf.DUMMYFUNCTION("""COMPUTED_VALUE"""),"L/8/151225/1")</f>
        <v>L/8/151225/1</v>
      </c>
      <c r="C10077" s="42" t="str">
        <f>IFERROR(__xludf.DUMMYFUNCTION("""COMPUTED_VALUE"""),"B. 2086/SUKABUMI")</f>
        <v>B. 2086/SUKABUMI</v>
      </c>
      <c r="D10077" s="42"/>
      <c r="E10077" s="42"/>
      <c r="F10077" s="48" t="str">
        <f>IFERROR(__xludf.DUMMYFUNCTION("""COMPUTED_VALUE"""),"")</f>
        <v/>
      </c>
      <c r="G10077" s="42" t="str">
        <f>IFERROR(__xludf.DUMMYFUNCTION("""COMPUTED_VALUE"""),"ROYA")</f>
        <v>ROYA</v>
      </c>
      <c r="H10077" s="42">
        <f t="shared" si="1"/>
        <v>3345</v>
      </c>
    </row>
    <row r="10078" ht="22.5" customHeight="1">
      <c r="B10078" s="42" t="str">
        <f>IFERROR(__xludf.DUMMYFUNCTION("""COMPUTED_VALUE"""),"L/9/151225/1")</f>
        <v>L/9/151225/1</v>
      </c>
      <c r="C10078" s="42" t="str">
        <f>IFERROR(__xludf.DUMMYFUNCTION("""COMPUTED_VALUE"""),"B NIB. 8353/CAMPANG JAYA")</f>
        <v>B NIB. 8353/CAMPANG JAYA</v>
      </c>
      <c r="D10078" s="42"/>
      <c r="E10078" s="42"/>
      <c r="F10078" s="48" t="str">
        <f>IFERROR(__xludf.DUMMYFUNCTION("""COMPUTED_VALUE"""),"")</f>
        <v/>
      </c>
      <c r="G10078" s="42" t="str">
        <f>IFERROR(__xludf.DUMMYFUNCTION("""COMPUTED_VALUE"""),"PENINGKATAN HAK")</f>
        <v>PENINGKATAN HAK</v>
      </c>
      <c r="H10078" s="42">
        <f t="shared" si="1"/>
        <v>3345</v>
      </c>
    </row>
    <row r="10079" ht="22.5" customHeight="1">
      <c r="B10079" s="42" t="str">
        <f>IFERROR(__xludf.DUMMYFUNCTION("""COMPUTED_VALUE"""),"L/10/151225/1")</f>
        <v>L/10/151225/1</v>
      </c>
      <c r="C10079" s="42" t="str">
        <f>IFERROR(__xludf.DUMMYFUNCTION("""COMPUTED_VALUE"""),"M. 18348/SUKARAME I")</f>
        <v>M. 18348/SUKARAME I</v>
      </c>
      <c r="D10079" s="42"/>
      <c r="E10079" s="42"/>
      <c r="F10079" s="48" t="str">
        <f>IFERROR(__xludf.DUMMYFUNCTION("""COMPUTED_VALUE"""),"")</f>
        <v/>
      </c>
      <c r="G10079" s="42" t="str">
        <f>IFERROR(__xludf.DUMMYFUNCTION("""COMPUTED_VALUE"""),"ROYA")</f>
        <v>ROYA</v>
      </c>
      <c r="H10079" s="42">
        <f t="shared" si="1"/>
        <v>3345</v>
      </c>
    </row>
    <row r="10080" ht="22.5" customHeight="1">
      <c r="B10080" s="42" t="str">
        <f>IFERROR(__xludf.DUMMYFUNCTION("""COMPUTED_VALUE"""),"ABBWALNG/AB060")</f>
        <v>ABBWALNG/AB060</v>
      </c>
      <c r="C10080" s="42" t="str">
        <f>IFERROR(__xludf.DUMMYFUNCTION("""COMPUTED_VALUE"""),"M. 936/Kupang Teba")</f>
        <v>M. 936/Kupang Teba</v>
      </c>
      <c r="D10080" s="42"/>
      <c r="E10080" s="42"/>
      <c r="F10080" s="48" t="str">
        <f>IFERROR(__xludf.DUMMYFUNCTION("""COMPUTED_VALUE"""),"")</f>
        <v/>
      </c>
      <c r="G10080" s="42" t="str">
        <f>IFERROR(__xludf.DUMMYFUNCTION("""COMPUTED_VALUE"""),"Peralihan hak Waris")</f>
        <v>Peralihan hak Waris</v>
      </c>
      <c r="H10080" s="42">
        <f t="shared" si="1"/>
        <v>3345</v>
      </c>
    </row>
    <row r="10081" ht="22.5" customHeight="1">
      <c r="B10081" s="42" t="str">
        <f>IFERROR(__xludf.DUMMYFUNCTION("""COMPUTED_VALUE"""),"L/11/151225/1")</f>
        <v>L/11/151225/1</v>
      </c>
      <c r="C10081" s="42" t="str">
        <f>IFERROR(__xludf.DUMMYFUNCTION("""COMPUTED_VALUE"""),"M. 1324/TANJUNG KARANG")</f>
        <v>M. 1324/TANJUNG KARANG</v>
      </c>
      <c r="D10081" s="42"/>
      <c r="E10081" s="42"/>
      <c r="F10081" s="48" t="str">
        <f>IFERROR(__xludf.DUMMYFUNCTION("""COMPUTED_VALUE"""),"")</f>
        <v/>
      </c>
      <c r="G10081" s="42" t="str">
        <f>IFERROR(__xludf.DUMMYFUNCTION("""COMPUTED_VALUE"""),"PEMECAHAN")</f>
        <v>PEMECAHAN</v>
      </c>
      <c r="H10081" s="42">
        <f t="shared" si="1"/>
        <v>3345</v>
      </c>
    </row>
    <row r="10082" ht="22.5" customHeight="1">
      <c r="B10082" s="42" t="str">
        <f>IFERROR(__xludf.DUMMYFUNCTION("""COMPUTED_VALUE"""),"ABAYSSWQ")</f>
        <v>ABAYSSWQ</v>
      </c>
      <c r="C10082" s="42" t="str">
        <f>IFERROR(__xludf.DUMMYFUNCTION("""COMPUTED_VALUE"""),"M. 25445")</f>
        <v>M. 25445</v>
      </c>
      <c r="D10082" s="42"/>
      <c r="E10082" s="42"/>
      <c r="F10082" s="48" t="str">
        <f>IFERROR(__xludf.DUMMYFUNCTION("""COMPUTED_VALUE"""),"")</f>
        <v/>
      </c>
      <c r="G10082" s="42" t="str">
        <f>IFERROR(__xludf.DUMMYFUNCTION("""COMPUTED_VALUE"""),"Pemecahan sertifikat ")</f>
        <v>Pemecahan sertifikat </v>
      </c>
      <c r="H10082" s="42">
        <f t="shared" si="1"/>
        <v>3345</v>
      </c>
    </row>
    <row r="10083" ht="22.5" customHeight="1">
      <c r="B10083" s="42" t="str">
        <f>IFERROR(__xludf.DUMMYFUNCTION("""COMPUTED_VALUE"""),"AB082/ABAYSSWQ")</f>
        <v>AB082/ABAYSSWQ</v>
      </c>
      <c r="C10083" s="42" t="str">
        <f>IFERROR(__xludf.DUMMYFUNCTION("""COMPUTED_VALUE"""),"NIBEL M.25445 WAY DADI")</f>
        <v>NIBEL M.25445 WAY DADI</v>
      </c>
      <c r="D10083" s="42"/>
      <c r="E10083" s="42"/>
      <c r="F10083" s="48" t="str">
        <f>IFERROR(__xludf.DUMMYFUNCTION("""COMPUTED_VALUE"""),"")</f>
        <v/>
      </c>
      <c r="G10083" s="42" t="str">
        <f>IFERROR(__xludf.DUMMYFUNCTION("""COMPUTED_VALUE"""),"PEMECAHAN")</f>
        <v>PEMECAHAN</v>
      </c>
      <c r="H10083" s="42">
        <f t="shared" si="1"/>
        <v>3345</v>
      </c>
    </row>
    <row r="10084" ht="22.5" customHeight="1">
      <c r="B10084" s="42" t="str">
        <f>IFERROR(__xludf.DUMMYFUNCTION("""COMPUTED_VALUE"""),"ABBGTSEA")</f>
        <v>ABBGTSEA</v>
      </c>
      <c r="C10084" s="42" t="str">
        <f>IFERROR(__xludf.DUMMYFUNCTION("""COMPUTED_VALUE"""),"NIBEL M 3293/ rajabasa pemuka")</f>
        <v>NIBEL M 3293/ rajabasa pemuka</v>
      </c>
      <c r="D10084" s="42"/>
      <c r="E10084" s="42"/>
      <c r="F10084" s="48" t="str">
        <f>IFERROR(__xludf.DUMMYFUNCTION("""COMPUTED_VALUE"""),"")</f>
        <v/>
      </c>
      <c r="G10084" s="42" t="str">
        <f>IFERROR(__xludf.DUMMYFUNCTION("""COMPUTED_VALUE"""),"balik nama")</f>
        <v>balik nama</v>
      </c>
      <c r="H10084" s="42">
        <f t="shared" si="1"/>
        <v>3345</v>
      </c>
    </row>
    <row r="10085" ht="22.5" customHeight="1">
      <c r="B10085" s="42" t="str">
        <f>IFERROR(__xludf.DUMMYFUNCTION("""COMPUTED_VALUE"""),"ABEDCRHD")</f>
        <v>ABEDCRHD</v>
      </c>
      <c r="C10085" s="42" t="str">
        <f>IFERROR(__xludf.DUMMYFUNCTION("""COMPUTED_VALUE"""),"nibel m 24370/ rajabasa jaya")</f>
        <v>nibel m 24370/ rajabasa jaya</v>
      </c>
      <c r="D10085" s="42"/>
      <c r="E10085" s="42"/>
      <c r="F10085" s="48" t="str">
        <f>IFERROR(__xludf.DUMMYFUNCTION("""COMPUTED_VALUE"""),"")</f>
        <v/>
      </c>
      <c r="G10085" s="42" t="str">
        <f>IFERROR(__xludf.DUMMYFUNCTION("""COMPUTED_VALUE"""),"balik nama")</f>
        <v>balik nama</v>
      </c>
      <c r="H10085" s="42">
        <f t="shared" si="1"/>
        <v>3345</v>
      </c>
    </row>
    <row r="10086" ht="22.5" customHeight="1">
      <c r="B10086" s="42" t="str">
        <f>IFERROR(__xludf.DUMMYFUNCTION("""COMPUTED_VALUE"""),"K/2/151225/1")</f>
        <v>K/2/151225/1</v>
      </c>
      <c r="C10086" s="42" t="str">
        <f>IFERROR(__xludf.DUMMYFUNCTION("""COMPUTED_VALUE"""),"B. 239/SURABAYA")</f>
        <v>B. 239/SURABAYA</v>
      </c>
      <c r="D10086" s="42"/>
      <c r="E10086" s="42"/>
      <c r="F10086" s="48" t="str">
        <f>IFERROR(__xludf.DUMMYFUNCTION("""COMPUTED_VALUE"""),"")</f>
        <v/>
      </c>
      <c r="G10086" s="42" t="str">
        <f>IFERROR(__xludf.DUMMYFUNCTION("""COMPUTED_VALUE"""),"PERMOHONAN SK")</f>
        <v>PERMOHONAN SK</v>
      </c>
      <c r="H10086" s="42">
        <f t="shared" si="1"/>
        <v>3345</v>
      </c>
    </row>
    <row r="10087" ht="22.5" customHeight="1">
      <c r="B10087" s="42" t="str">
        <f>IFERROR(__xludf.DUMMYFUNCTION("""COMPUTED_VALUE"""),"K/12/151225/1")</f>
        <v>K/12/151225/1</v>
      </c>
      <c r="C10087" s="42" t="str">
        <f>IFERROR(__xludf.DUMMYFUNCTION("""COMPUTED_VALUE"""),"M. 2225/DURIAN PAYUNG")</f>
        <v>M. 2225/DURIAN PAYUNG</v>
      </c>
      <c r="D10087" s="42"/>
      <c r="E10087" s="42"/>
      <c r="F10087" s="48" t="str">
        <f>IFERROR(__xludf.DUMMYFUNCTION("""COMPUTED_VALUE"""),"")</f>
        <v/>
      </c>
      <c r="G10087" s="42" t="str">
        <f>IFERROR(__xludf.DUMMYFUNCTION("""COMPUTED_VALUE"""),"SKPT LELANG")</f>
        <v>SKPT LELANG</v>
      </c>
      <c r="H10087" s="42">
        <f t="shared" si="1"/>
        <v>3345</v>
      </c>
    </row>
    <row r="10088" ht="22.5" customHeight="1">
      <c r="B10088" s="42" t="str">
        <f>IFERROR(__xludf.DUMMYFUNCTION("""COMPUTED_VALUE"""),"K/13/151225/2")</f>
        <v>K/13/151225/2</v>
      </c>
      <c r="C10088" s="42" t="str">
        <f>IFERROR(__xludf.DUMMYFUNCTION("""COMPUTED_VALUE"""),"M. 2239/DURIAN PAYUNG")</f>
        <v>M. 2239/DURIAN PAYUNG</v>
      </c>
      <c r="D10088" s="42"/>
      <c r="E10088" s="42"/>
      <c r="F10088" s="48" t="str">
        <f>IFERROR(__xludf.DUMMYFUNCTION("""COMPUTED_VALUE"""),"")</f>
        <v/>
      </c>
      <c r="G10088" s="42" t="str">
        <f>IFERROR(__xludf.DUMMYFUNCTION("""COMPUTED_VALUE"""),"SKPT LELANG")</f>
        <v>SKPT LELANG</v>
      </c>
      <c r="H10088" s="42">
        <f t="shared" si="1"/>
        <v>3345</v>
      </c>
    </row>
    <row r="10089" ht="22.5" customHeight="1">
      <c r="B10089" s="42" t="str">
        <f>IFERROR(__xludf.DUMMYFUNCTION("""COMPUTED_VALUE"""),"K/14/151225/1")</f>
        <v>K/14/151225/1</v>
      </c>
      <c r="C10089" s="42" t="str">
        <f>IFERROR(__xludf.DUMMYFUNCTION("""COMPUTED_VALUE"""),"M. 1849/LABUHAN DALAM")</f>
        <v>M. 1849/LABUHAN DALAM</v>
      </c>
      <c r="D10089" s="42"/>
      <c r="E10089" s="42"/>
      <c r="F10089" s="48" t="str">
        <f>IFERROR(__xludf.DUMMYFUNCTION("""COMPUTED_VALUE"""),"")</f>
        <v/>
      </c>
      <c r="G10089" s="42" t="str">
        <f>IFERROR(__xludf.DUMMYFUNCTION("""COMPUTED_VALUE"""),"SKPT LELANG")</f>
        <v>SKPT LELANG</v>
      </c>
      <c r="H10089" s="42">
        <f t="shared" si="1"/>
        <v>3345</v>
      </c>
    </row>
    <row r="10090" ht="22.5" customHeight="1">
      <c r="B10090" s="42" t="str">
        <f>IFERROR(__xludf.DUMMYFUNCTION("""COMPUTED_VALUE"""),"L/1/161225/1")</f>
        <v>L/1/161225/1</v>
      </c>
      <c r="C10090" s="42" t="str">
        <f>IFERROR(__xludf.DUMMYFUNCTION("""COMPUTED_VALUE"""),"M. 937/WAY LAGA")</f>
        <v>M. 937/WAY LAGA</v>
      </c>
      <c r="D10090" s="42"/>
      <c r="E10090" s="42"/>
      <c r="F10090" s="48" t="str">
        <f>IFERROR(__xludf.DUMMYFUNCTION("""COMPUTED_VALUE"""),"")</f>
        <v/>
      </c>
      <c r="G10090" s="42" t="str">
        <f>IFERROR(__xludf.DUMMYFUNCTION("""COMPUTED_VALUE"""),"ROYA")</f>
        <v>ROYA</v>
      </c>
      <c r="H10090" s="42">
        <f t="shared" si="1"/>
        <v>3345</v>
      </c>
    </row>
    <row r="10091" ht="22.5" customHeight="1">
      <c r="B10091" s="42" t="str">
        <f>IFERROR(__xludf.DUMMYFUNCTION("""COMPUTED_VALUE"""),"L/2/161225/1")</f>
        <v>L/2/161225/1</v>
      </c>
      <c r="C10091" s="42" t="str">
        <f>IFERROR(__xludf.DUMMYFUNCTION("""COMPUTED_VALUE"""),"B. 2090/SUKABUMI")</f>
        <v>B. 2090/SUKABUMI</v>
      </c>
      <c r="D10091" s="42"/>
      <c r="E10091" s="42"/>
      <c r="F10091" s="48" t="str">
        <f>IFERROR(__xludf.DUMMYFUNCTION("""COMPUTED_VALUE"""),"")</f>
        <v/>
      </c>
      <c r="G10091" s="42" t="str">
        <f>IFERROR(__xludf.DUMMYFUNCTION("""COMPUTED_VALUE"""),"PENINGKATAN HAK")</f>
        <v>PENINGKATAN HAK</v>
      </c>
      <c r="H10091" s="42">
        <f t="shared" si="1"/>
        <v>3345</v>
      </c>
    </row>
    <row r="10092" ht="22.5" customHeight="1">
      <c r="B10092" s="42" t="str">
        <f>IFERROR(__xludf.DUMMYFUNCTION("""COMPUTED_VALUE"""),"L/3/161225/2")</f>
        <v>L/3/161225/2</v>
      </c>
      <c r="C10092" s="42" t="str">
        <f>IFERROR(__xludf.DUMMYFUNCTION("""COMPUTED_VALUE"""),"B. 2091/SUKABUMI")</f>
        <v>B. 2091/SUKABUMI</v>
      </c>
      <c r="D10092" s="42"/>
      <c r="E10092" s="42"/>
      <c r="F10092" s="48" t="str">
        <f>IFERROR(__xludf.DUMMYFUNCTION("""COMPUTED_VALUE"""),"")</f>
        <v/>
      </c>
      <c r="G10092" s="42" t="str">
        <f>IFERROR(__xludf.DUMMYFUNCTION("""COMPUTED_VALUE"""),"PENINGKATAN HAK")</f>
        <v>PENINGKATAN HAK</v>
      </c>
      <c r="H10092" s="42">
        <f t="shared" si="1"/>
        <v>3345</v>
      </c>
    </row>
    <row r="10093" ht="22.5" customHeight="1">
      <c r="B10093" s="42" t="str">
        <f>IFERROR(__xludf.DUMMYFUNCTION("""COMPUTED_VALUE"""),"AB035/ ABZHDBCV")</f>
        <v>AB035/ ABZHDBCV</v>
      </c>
      <c r="C10093" s="42" t="str">
        <f>IFERROR(__xludf.DUMMYFUNCTION("""COMPUTED_VALUE"""),"NIBEL M.1965/SUKADANA HAM")</f>
        <v>NIBEL M.1965/SUKADANA HAM</v>
      </c>
      <c r="D10093" s="42"/>
      <c r="E10093" s="42"/>
      <c r="F10093" s="48" t="str">
        <f>IFERROR(__xludf.DUMMYFUNCTION("""COMPUTED_VALUE"""),"")</f>
        <v/>
      </c>
      <c r="G10093" s="42" t="str">
        <f>IFERROR(__xludf.DUMMYFUNCTION("""COMPUTED_VALUE"""),"BALIK NAMA")</f>
        <v>BALIK NAMA</v>
      </c>
      <c r="H10093" s="42">
        <f t="shared" si="1"/>
        <v>3345</v>
      </c>
    </row>
    <row r="10094" ht="22.5" customHeight="1">
      <c r="B10094" s="42" t="str">
        <f>IFERROR(__xludf.DUMMYFUNCTION("""COMPUTED_VALUE"""),"AB042/ABJGXPWO")</f>
        <v>AB042/ABJGXPWO</v>
      </c>
      <c r="C10094" s="42" t="str">
        <f>IFERROR(__xludf.DUMMYFUNCTION("""COMPUTED_VALUE"""),"NIBEL M.25628/langkapura")</f>
        <v>NIBEL M.25628/langkapura</v>
      </c>
      <c r="D10094" s="42"/>
      <c r="E10094" s="42"/>
      <c r="F10094" s="48" t="str">
        <f>IFERROR(__xludf.DUMMYFUNCTION("""COMPUTED_VALUE"""),"")</f>
        <v/>
      </c>
      <c r="G10094" s="42" t="str">
        <f>IFERROR(__xludf.DUMMYFUNCTION("""COMPUTED_VALUE"""),"Bn jual beli")</f>
        <v>Bn jual beli</v>
      </c>
      <c r="H10094" s="42">
        <f t="shared" si="1"/>
        <v>3345</v>
      </c>
    </row>
    <row r="10095" ht="22.5" customHeight="1">
      <c r="B10095" s="42" t="str">
        <f>IFERROR(__xludf.DUMMYFUNCTION("""COMPUTED_VALUE"""),"AB042/ABYAHHDT")</f>
        <v>AB042/ABYAHHDT</v>
      </c>
      <c r="C10095" s="42" t="str">
        <f>IFERROR(__xludf.DUMMYFUNCTION("""COMPUTED_VALUE"""),"M.3087/ gedong air")</f>
        <v>M.3087/ gedong air</v>
      </c>
      <c r="D10095" s="42"/>
      <c r="E10095" s="42"/>
      <c r="F10095" s="48" t="str">
        <f>IFERROR(__xludf.DUMMYFUNCTION("""COMPUTED_VALUE"""),"")</f>
        <v/>
      </c>
      <c r="G10095" s="42" t="str">
        <f>IFERROR(__xludf.DUMMYFUNCTION("""COMPUTED_VALUE"""),"Bn jual beli")</f>
        <v>Bn jual beli</v>
      </c>
      <c r="H10095" s="42">
        <f t="shared" si="1"/>
        <v>3345</v>
      </c>
    </row>
    <row r="10096" ht="22.5" customHeight="1">
      <c r="B10096" s="42" t="str">
        <f>IFERROR(__xludf.DUMMYFUNCTION("""COMPUTED_VALUE"""),"K/15/151225/1")</f>
        <v>K/15/151225/1</v>
      </c>
      <c r="C10096" s="42" t="str">
        <f>IFERROR(__xludf.DUMMYFUNCTION("""COMPUTED_VALUE""")," B. 319/NUSATARA PERMAI ")</f>
        <v> B. 319/NUSATARA PERMAI </v>
      </c>
      <c r="D10096" s="42"/>
      <c r="E10096" s="42"/>
      <c r="F10096" s="48" t="str">
        <f>IFERROR(__xludf.DUMMYFUNCTION("""COMPUTED_VALUE"""),"")</f>
        <v/>
      </c>
      <c r="G10096" s="42" t="str">
        <f>IFERROR(__xludf.DUMMYFUNCTION("""COMPUTED_VALUE"""),"PENINGKATAN HAK ")</f>
        <v>PENINGKATAN HAK </v>
      </c>
      <c r="H10096" s="42">
        <f t="shared" si="1"/>
        <v>3345</v>
      </c>
    </row>
    <row r="10097" ht="22.5" customHeight="1">
      <c r="B10097" s="42" t="str">
        <f>IFERROR(__xludf.DUMMYFUNCTION("""COMPUTED_VALUE"""),"K/4/161225/1")</f>
        <v>K/4/161225/1</v>
      </c>
      <c r="C10097" s="42" t="str">
        <f>IFERROR(__xludf.DUMMYFUNCTION("""COMPUTED_VALUE"""),"SUKADANA HAM LUAS 72 M2")</f>
        <v>SUKADANA HAM LUAS 72 M2</v>
      </c>
      <c r="D10097" s="42"/>
      <c r="E10097" s="42"/>
      <c r="F10097" s="48" t="str">
        <f>IFERROR(__xludf.DUMMYFUNCTION("""COMPUTED_VALUE"""),"")</f>
        <v/>
      </c>
      <c r="G10097" s="42" t="str">
        <f>IFERROR(__xludf.DUMMYFUNCTION("""COMPUTED_VALUE"""),"PENGUKURAN PERTAMA KALI")</f>
        <v>PENGUKURAN PERTAMA KALI</v>
      </c>
      <c r="H10097" s="42">
        <f t="shared" si="1"/>
        <v>3345</v>
      </c>
    </row>
    <row r="10098" ht="22.5" customHeight="1">
      <c r="B10098" s="42" t="str">
        <f>IFERROR(__xludf.DUMMYFUNCTION("""COMPUTED_VALUE"""),"ABROMİCC")</f>
        <v>ABROMİCC</v>
      </c>
      <c r="C10098" s="42" t="str">
        <f>IFERROR(__xludf.DUMMYFUNCTION("""COMPUTED_VALUE"""),"00391")</f>
        <v>00391</v>
      </c>
      <c r="D10098" s="42"/>
      <c r="E10098" s="42"/>
      <c r="F10098" s="48" t="str">
        <f>IFERROR(__xludf.DUMMYFUNCTION("""COMPUTED_VALUE"""),"")</f>
        <v/>
      </c>
      <c r="G10098" s="42" t="str">
        <f>IFERROR(__xludf.DUMMYFUNCTION("""COMPUTED_VALUE"""),"Bn")</f>
        <v>Bn</v>
      </c>
      <c r="H10098" s="42">
        <f t="shared" si="1"/>
        <v>3345</v>
      </c>
    </row>
    <row r="10099" ht="22.5" customHeight="1">
      <c r="B10099" s="42" t="str">
        <f>IFERROR(__xludf.DUMMYFUNCTION("""COMPUTED_VALUE"""),"ABEUBDR/AB060")</f>
        <v>ABEUBDR/AB060</v>
      </c>
      <c r="C10099" s="42" t="str">
        <f>IFERROR(__xludf.DUMMYFUNCTION("""COMPUTED_VALUE"""),"M. 258/Sukajawa Baru")</f>
        <v>M. 258/Sukajawa Baru</v>
      </c>
      <c r="D10099" s="42"/>
      <c r="E10099" s="42"/>
      <c r="F10099" s="48" t="str">
        <f>IFERROR(__xludf.DUMMYFUNCTION("""COMPUTED_VALUE"""),"")</f>
        <v/>
      </c>
      <c r="G10099" s="42" t="str">
        <f>IFERROR(__xludf.DUMMYFUNCTION("""COMPUTED_VALUE"""),"BN WARIS")</f>
        <v>BN WARIS</v>
      </c>
      <c r="H10099" s="42">
        <f t="shared" si="1"/>
        <v>3345</v>
      </c>
    </row>
    <row r="10100" ht="22.5" customHeight="1">
      <c r="B10100" s="42" t="str">
        <f>IFERROR(__xludf.DUMMYFUNCTION("""COMPUTED_VALUE"""),"L/6/161225/1")</f>
        <v>L/6/161225/1</v>
      </c>
      <c r="C10100" s="42" t="str">
        <f>IFERROR(__xludf.DUMMYFUNCTION("""COMPUTED_VALUE"""),"B. 304/SUMBEREJO")</f>
        <v>B. 304/SUMBEREJO</v>
      </c>
      <c r="D10100" s="42"/>
      <c r="E10100" s="42"/>
      <c r="F10100" s="48" t="str">
        <f>IFERROR(__xludf.DUMMYFUNCTION("""COMPUTED_VALUE"""),"")</f>
        <v/>
      </c>
      <c r="G10100" s="42" t="str">
        <f>IFERROR(__xludf.DUMMYFUNCTION("""COMPUTED_VALUE"""),"PTPGT HGB MATI")</f>
        <v>PTPGT HGB MATI</v>
      </c>
      <c r="H10100" s="42">
        <f t="shared" si="1"/>
        <v>3345</v>
      </c>
    </row>
    <row r="10101" ht="22.5" customHeight="1">
      <c r="B10101" s="42" t="str">
        <f>IFERROR(__xludf.DUMMYFUNCTION("""COMPUTED_VALUE"""),"ABZXKNQA")</f>
        <v>ABZXKNQA</v>
      </c>
      <c r="C10101" s="42" t="str">
        <f>IFERROR(__xludf.DUMMYFUNCTION("""COMPUTED_VALUE"""),"01977")</f>
        <v>01977</v>
      </c>
      <c r="D10101" s="42"/>
      <c r="E10101" s="42"/>
      <c r="F10101" s="48" t="str">
        <f>IFERROR(__xludf.DUMMYFUNCTION("""COMPUTED_VALUE"""),"")</f>
        <v/>
      </c>
      <c r="G10101" s="42" t="str">
        <f>IFERROR(__xludf.DUMMYFUNCTION("""COMPUTED_VALUE"""),"Ganti Kecamatan")</f>
        <v>Ganti Kecamatan</v>
      </c>
      <c r="H10101" s="42">
        <f t="shared" si="1"/>
        <v>3345</v>
      </c>
    </row>
    <row r="10102" ht="22.5" customHeight="1">
      <c r="B10102" s="42" t="str">
        <f>IFERROR(__xludf.DUMMYFUNCTION("""COMPUTED_VALUE"""),"ABLZKLBO")</f>
        <v>ABLZKLBO</v>
      </c>
      <c r="C10102" s="42">
        <f>IFERROR(__xludf.DUMMYFUNCTION("""COMPUTED_VALUE"""),583.0)</f>
        <v>583</v>
      </c>
      <c r="D10102" s="42"/>
      <c r="E10102" s="42"/>
      <c r="F10102" s="48" t="str">
        <f>IFERROR(__xludf.DUMMYFUNCTION("""COMPUTED_VALUE"""),"")</f>
        <v/>
      </c>
      <c r="G10102" s="42" t="str">
        <f>IFERROR(__xludf.DUMMYFUNCTION("""COMPUTED_VALUE"""),"Roya")</f>
        <v>Roya</v>
      </c>
      <c r="H10102" s="42">
        <f t="shared" si="1"/>
        <v>3345</v>
      </c>
    </row>
    <row r="10103" ht="22.5" customHeight="1">
      <c r="B10103" s="42" t="str">
        <f>IFERROR(__xludf.DUMMYFUNCTION("""COMPUTED_VALUE"""),"ABEILPZG/1")</f>
        <v>ABEILPZG/1</v>
      </c>
      <c r="C10103" s="42" t="str">
        <f>IFERROR(__xludf.DUMMYFUNCTION("""COMPUTED_VALUE"""),"SHM.2458/panjang utara")</f>
        <v>SHM.2458/panjang utara</v>
      </c>
      <c r="D10103" s="42"/>
      <c r="E10103" s="42"/>
      <c r="F10103" s="48" t="str">
        <f>IFERROR(__xludf.DUMMYFUNCTION("""COMPUTED_VALUE"""),"")</f>
        <v/>
      </c>
      <c r="G10103" s="42" t="str">
        <f>IFERROR(__xludf.DUMMYFUNCTION("""COMPUTED_VALUE"""),"Peralihan Hak")</f>
        <v>Peralihan Hak</v>
      </c>
      <c r="H10103" s="42">
        <f t="shared" si="1"/>
        <v>3345</v>
      </c>
    </row>
    <row r="10104" ht="22.5" customHeight="1">
      <c r="B10104" s="42" t="str">
        <f>IFERROR(__xludf.DUMMYFUNCTION("""COMPUTED_VALUE"""),"ABHBDFIE")</f>
        <v>ABHBDFIE</v>
      </c>
      <c r="C10104" s="42" t="str">
        <f>IFERROR(__xludf.DUMMYFUNCTION("""COMPUTED_VALUE"""),"03004")</f>
        <v>03004</v>
      </c>
      <c r="D10104" s="42"/>
      <c r="E10104" s="42"/>
      <c r="F10104" s="48" t="str">
        <f>IFERROR(__xludf.DUMMYFUNCTION("""COMPUTED_VALUE"""),"")</f>
        <v/>
      </c>
      <c r="G10104" s="42" t="str">
        <f>IFERROR(__xludf.DUMMYFUNCTION("""COMPUTED_VALUE"""),"Peralihan hak")</f>
        <v>Peralihan hak</v>
      </c>
      <c r="H10104" s="42">
        <f t="shared" si="1"/>
        <v>3345</v>
      </c>
    </row>
    <row r="10105" ht="22.5" customHeight="1">
      <c r="B10105" s="42" t="str">
        <f>IFERROR(__xludf.DUMMYFUNCTION("""COMPUTED_VALUE"""),"L/7/161225/1")</f>
        <v>L/7/161225/1</v>
      </c>
      <c r="C10105" s="42" t="str">
        <f>IFERROR(__xludf.DUMMYFUNCTION("""COMPUTED_VALUE"""),"B. 2186/BERINGIN RAYA")</f>
        <v>B. 2186/BERINGIN RAYA</v>
      </c>
      <c r="D10105" s="42"/>
      <c r="E10105" s="42"/>
      <c r="F10105" s="48" t="str">
        <f>IFERROR(__xludf.DUMMYFUNCTION("""COMPUTED_VALUE"""),"")</f>
        <v/>
      </c>
      <c r="G10105" s="42" t="str">
        <f>IFERROR(__xludf.DUMMYFUNCTION("""COMPUTED_VALUE"""),"PENGUKURAN HGB MATI")</f>
        <v>PENGUKURAN HGB MATI</v>
      </c>
      <c r="H10105" s="42">
        <f t="shared" si="1"/>
        <v>3345</v>
      </c>
    </row>
    <row r="10106" ht="22.5" customHeight="1">
      <c r="B10106" s="42" t="str">
        <f>IFERROR(__xludf.DUMMYFUNCTION("""COMPUTED_VALUE"""),"L/8/161225/1")</f>
        <v>L/8/161225/1</v>
      </c>
      <c r="C10106" s="42" t="str">
        <f>IFERROR(__xludf.DUMMYFUNCTION("""COMPUTED_VALUE"""),"B. 4069/SUKARAME I")</f>
        <v>B. 4069/SUKARAME I</v>
      </c>
      <c r="D10106" s="42"/>
      <c r="E10106" s="42"/>
      <c r="F10106" s="48" t="str">
        <f>IFERROR(__xludf.DUMMYFUNCTION("""COMPUTED_VALUE"""),"")</f>
        <v/>
      </c>
      <c r="G10106" s="42" t="str">
        <f>IFERROR(__xludf.DUMMYFUNCTION("""COMPUTED_VALUE"""),"ROYA")</f>
        <v>ROYA</v>
      </c>
      <c r="H10106" s="42">
        <f t="shared" si="1"/>
        <v>3345</v>
      </c>
    </row>
    <row r="10107" ht="22.5" customHeight="1">
      <c r="B10107" s="42" t="str">
        <f>IFERROR(__xludf.DUMMYFUNCTION("""COMPUTED_VALUE"""),"L/9/161225/1")</f>
        <v>L/9/161225/1</v>
      </c>
      <c r="C10107" s="42" t="str">
        <f>IFERROR(__xludf.DUMMYFUNCTION("""COMPUTED_VALUE"""),"M. 857/SEPANG JAYA")</f>
        <v>M. 857/SEPANG JAYA</v>
      </c>
      <c r="D10107" s="42"/>
      <c r="E10107" s="42"/>
      <c r="F10107" s="48" t="str">
        <f>IFERROR(__xludf.DUMMYFUNCTION("""COMPUTED_VALUE"""),"")</f>
        <v/>
      </c>
      <c r="G10107" s="42" t="str">
        <f>IFERROR(__xludf.DUMMYFUNCTION("""COMPUTED_VALUE"""),"ROYA")</f>
        <v>ROYA</v>
      </c>
      <c r="H10107" s="42">
        <f t="shared" si="1"/>
        <v>3345</v>
      </c>
    </row>
    <row r="10108" ht="22.5" customHeight="1">
      <c r="B10108" s="42" t="str">
        <f>IFERROR(__xludf.DUMMYFUNCTION("""COMPUTED_VALUE"""),"L/10/161225/1")</f>
        <v>L/10/161225/1</v>
      </c>
      <c r="C10108" s="42" t="str">
        <f>IFERROR(__xludf.DUMMYFUNCTION("""COMPUTED_VALUE"""),"M. 2837/BERINGIN RAYA")</f>
        <v>M. 2837/BERINGIN RAYA</v>
      </c>
      <c r="D10108" s="42"/>
      <c r="E10108" s="42"/>
      <c r="F10108" s="48" t="str">
        <f>IFERROR(__xludf.DUMMYFUNCTION("""COMPUTED_VALUE"""),"")</f>
        <v/>
      </c>
      <c r="G10108" s="42" t="str">
        <f>IFERROR(__xludf.DUMMYFUNCTION("""COMPUTED_VALUE"""),"ROYA")</f>
        <v>ROYA</v>
      </c>
      <c r="H10108" s="42">
        <f t="shared" si="1"/>
        <v>3345</v>
      </c>
    </row>
    <row r="10109" ht="22.5" customHeight="1">
      <c r="B10109" s="42" t="str">
        <f>IFERROR(__xludf.DUMMYFUNCTION("""COMPUTED_VALUE"""),"L/11/161225/1")</f>
        <v>L/11/161225/1</v>
      </c>
      <c r="C10109" s="42" t="str">
        <f>IFERROR(__xludf.DUMMYFUNCTION("""COMPUTED_VALUE"""),"M. 12167/JAGABAYA II")</f>
        <v>M. 12167/JAGABAYA II</v>
      </c>
      <c r="D10109" s="42"/>
      <c r="E10109" s="42"/>
      <c r="F10109" s="48" t="str">
        <f>IFERROR(__xludf.DUMMYFUNCTION("""COMPUTED_VALUE"""),"")</f>
        <v/>
      </c>
      <c r="G10109" s="42" t="str">
        <f>IFERROR(__xludf.DUMMYFUNCTION("""COMPUTED_VALUE"""),"ROYA")</f>
        <v>ROYA</v>
      </c>
      <c r="H10109" s="42">
        <f t="shared" si="1"/>
        <v>3345</v>
      </c>
    </row>
    <row r="10110" ht="22.5" customHeight="1">
      <c r="B10110" s="42" t="str">
        <f>IFERROR(__xludf.DUMMYFUNCTION("""COMPUTED_VALUE"""),"K/5/161225/2")</f>
        <v>K/5/161225/2</v>
      </c>
      <c r="C10110" s="42" t="str">
        <f>IFERROR(__xludf.DUMMYFUNCTION("""COMPUTED_VALUE"""),"SUKADANA HAM LUAS 96 M2")</f>
        <v>SUKADANA HAM LUAS 96 M2</v>
      </c>
      <c r="D10110" s="42"/>
      <c r="E10110" s="42"/>
      <c r="F10110" s="48" t="str">
        <f>IFERROR(__xludf.DUMMYFUNCTION("""COMPUTED_VALUE"""),"")</f>
        <v/>
      </c>
      <c r="G10110" s="42" t="str">
        <f>IFERROR(__xludf.DUMMYFUNCTION("""COMPUTED_VALUE"""),"PENGUKURAN PERTAMA KALI")</f>
        <v>PENGUKURAN PERTAMA KALI</v>
      </c>
      <c r="H10110" s="42">
        <f t="shared" si="1"/>
        <v>3345</v>
      </c>
    </row>
    <row r="10111" ht="22.5" customHeight="1">
      <c r="B10111" s="42" t="str">
        <f>IFERROR(__xludf.DUMMYFUNCTION("""COMPUTED_VALUE"""),"ABFWFJJO")</f>
        <v>ABFWFJJO</v>
      </c>
      <c r="C10111" s="42" t="str">
        <f>IFERROR(__xludf.DUMMYFUNCTION("""COMPUTED_VALUE"""),"B. 3020/sukabumi")</f>
        <v>B. 3020/sukabumi</v>
      </c>
      <c r="D10111" s="42"/>
      <c r="E10111" s="42"/>
      <c r="F10111" s="48" t="str">
        <f>IFERROR(__xludf.DUMMYFUNCTION("""COMPUTED_VALUE"""),"")</f>
        <v/>
      </c>
      <c r="G10111" s="42" t="str">
        <f>IFERROR(__xludf.DUMMYFUNCTION("""COMPUTED_VALUE"""),"Perubahan hak")</f>
        <v>Perubahan hak</v>
      </c>
      <c r="H10111" s="42">
        <f t="shared" si="1"/>
        <v>3345</v>
      </c>
    </row>
    <row r="10112" ht="22.5" customHeight="1">
      <c r="B10112" s="42" t="str">
        <f>IFERROR(__xludf.DUMMYFUNCTION("""COMPUTED_VALUE"""),"K/12/161225/1")</f>
        <v>K/12/161225/1</v>
      </c>
      <c r="C10112" s="42" t="str">
        <f>IFERROR(__xludf.DUMMYFUNCTION("""COMPUTED_VALUE"""),"M. 2223/DURIAN PAYUNG")</f>
        <v>M. 2223/DURIAN PAYUNG</v>
      </c>
      <c r="D10112" s="42"/>
      <c r="E10112" s="42"/>
      <c r="F10112" s="48" t="str">
        <f>IFERROR(__xludf.DUMMYFUNCTION("""COMPUTED_VALUE"""),"")</f>
        <v/>
      </c>
      <c r="G10112" s="42" t="str">
        <f>IFERROR(__xludf.DUMMYFUNCTION("""COMPUTED_VALUE"""),"BLOKIR")</f>
        <v>BLOKIR</v>
      </c>
      <c r="H10112" s="42">
        <f t="shared" si="1"/>
        <v>3345</v>
      </c>
    </row>
    <row r="10113" ht="22.5" customHeight="1">
      <c r="B10113" s="42" t="str">
        <f>IFERROR(__xludf.DUMMYFUNCTION("""COMPUTED_VALUE"""),"ABRAPSJN")</f>
        <v>ABRAPSJN</v>
      </c>
      <c r="C10113" s="42" t="str">
        <f>IFERROR(__xludf.DUMMYFUNCTION("""COMPUTED_VALUE"""),"B. 08.01.000028135.0/Sumber agung")</f>
        <v>B. 08.01.000028135.0/Sumber agung</v>
      </c>
      <c r="D10113" s="42"/>
      <c r="E10113" s="42"/>
      <c r="F10113" s="48" t="str">
        <f>IFERROR(__xludf.DUMMYFUNCTION("""COMPUTED_VALUE"""),"")</f>
        <v/>
      </c>
      <c r="G10113" s="42" t="str">
        <f>IFERROR(__xludf.DUMMYFUNCTION("""COMPUTED_VALUE"""),"Perubahan hak")</f>
        <v>Perubahan hak</v>
      </c>
      <c r="H10113" s="42">
        <f t="shared" si="1"/>
        <v>3345</v>
      </c>
    </row>
    <row r="10114" ht="22.5" customHeight="1">
      <c r="B10114" s="42" t="str">
        <f>IFERROR(__xludf.DUMMYFUNCTION("""COMPUTED_VALUE"""),"K/13/161225/2")</f>
        <v>K/13/161225/2</v>
      </c>
      <c r="C10114" s="42" t="str">
        <f>IFERROR(__xludf.DUMMYFUNCTION("""COMPUTED_VALUE"""),"M. 2224/DURIAN PAYUNG")</f>
        <v>M. 2224/DURIAN PAYUNG</v>
      </c>
      <c r="D10114" s="42"/>
      <c r="E10114" s="42"/>
      <c r="F10114" s="48" t="str">
        <f>IFERROR(__xludf.DUMMYFUNCTION("""COMPUTED_VALUE"""),"")</f>
        <v/>
      </c>
      <c r="G10114" s="42" t="str">
        <f>IFERROR(__xludf.DUMMYFUNCTION("""COMPUTED_VALUE"""),"BLOKIR ")</f>
        <v>BLOKIR </v>
      </c>
      <c r="H10114" s="42">
        <f t="shared" si="1"/>
        <v>3345</v>
      </c>
    </row>
    <row r="10115" ht="22.5" customHeight="1">
      <c r="B10115" s="42" t="str">
        <f>IFERROR(__xludf.DUMMYFUNCTION("""COMPUTED_VALUE"""),"ABDFGHUI")</f>
        <v>ABDFGHUI</v>
      </c>
      <c r="C10115" s="42" t="str">
        <f>IFERROR(__xludf.DUMMYFUNCTION("""COMPUTED_VALUE"""),"hgb 711/tj.b")</f>
        <v>hgb 711/tj.b</v>
      </c>
      <c r="D10115" s="42"/>
      <c r="E10115" s="42"/>
      <c r="F10115" s="48" t="str">
        <f>IFERROR(__xludf.DUMMYFUNCTION("""COMPUTED_VALUE"""),"")</f>
        <v/>
      </c>
      <c r="G10115" s="42" t="str">
        <f>IFERROR(__xludf.DUMMYFUNCTION("""COMPUTED_VALUE"""),"perpanjangan ")</f>
        <v>perpanjangan </v>
      </c>
      <c r="H10115" s="42">
        <f t="shared" si="1"/>
        <v>3345</v>
      </c>
    </row>
    <row r="10116" ht="22.5" customHeight="1">
      <c r="B10116" s="42" t="str">
        <f>IFERROR(__xludf.DUMMYFUNCTION("""COMPUTED_VALUE"""),"ABPMHMQS")</f>
        <v>ABPMHMQS</v>
      </c>
      <c r="C10116" s="42" t="str">
        <f>IFERROR(__xludf.DUMMYFUNCTION("""COMPUTED_VALUE"""),"Shm 260 sukajawa baru-")</f>
        <v>Shm 260 sukajawa baru-</v>
      </c>
      <c r="D10116" s="42"/>
      <c r="E10116" s="42"/>
      <c r="F10116" s="48" t="str">
        <f>IFERROR(__xludf.DUMMYFUNCTION("""COMPUTED_VALUE"""),"")</f>
        <v/>
      </c>
      <c r="G10116" s="42" t="str">
        <f>IFERROR(__xludf.DUMMYFUNCTION("""COMPUTED_VALUE"""),"Turun waris")</f>
        <v>Turun waris</v>
      </c>
      <c r="H10116" s="42">
        <f t="shared" si="1"/>
        <v>3345</v>
      </c>
    </row>
    <row r="10117" ht="22.5" customHeight="1">
      <c r="B10117" s="42" t="str">
        <f>IFERROR(__xludf.DUMMYFUNCTION("""COMPUTED_VALUE"""),"AB065/ABEMNVYT")</f>
        <v>AB065/ABEMNVYT</v>
      </c>
      <c r="C10117" s="42" t="str">
        <f>IFERROR(__xludf.DUMMYFUNCTION("""COMPUTED_VALUE"""),"m.1330/sj")</f>
        <v>m.1330/sj</v>
      </c>
      <c r="D10117" s="42"/>
      <c r="E10117" s="42"/>
      <c r="F10117" s="48" t="str">
        <f>IFERROR(__xludf.DUMMYFUNCTION("""COMPUTED_VALUE"""),"")</f>
        <v/>
      </c>
      <c r="G10117" s="42" t="str">
        <f>IFERROR(__xludf.DUMMYFUNCTION("""COMPUTED_VALUE"""),"peralihan hak")</f>
        <v>peralihan hak</v>
      </c>
      <c r="H10117" s="42">
        <f t="shared" si="1"/>
        <v>3345</v>
      </c>
    </row>
    <row r="10118" ht="22.5" customHeight="1">
      <c r="B10118" s="42" t="str">
        <f>IFERROR(__xludf.DUMMYFUNCTION("""COMPUTED_VALUE"""),"AB032/ABXUBEPQ")</f>
        <v>AB032/ABXUBEPQ</v>
      </c>
      <c r="C10118" s="42" t="str">
        <f>IFERROR(__xludf.DUMMYFUNCTION("""COMPUTED_VALUE"""),"M. 05353/ pinang jaya")</f>
        <v>M. 05353/ pinang jaya</v>
      </c>
      <c r="D10118" s="42"/>
      <c r="E10118" s="42"/>
      <c r="F10118" s="48" t="str">
        <f>IFERROR(__xludf.DUMMYFUNCTION("""COMPUTED_VALUE"""),"")</f>
        <v/>
      </c>
      <c r="G10118" s="42" t="str">
        <f>IFERROR(__xludf.DUMMYFUNCTION("""COMPUTED_VALUE"""),"Hibah")</f>
        <v>Hibah</v>
      </c>
      <c r="H10118" s="42">
        <f t="shared" si="1"/>
        <v>3345</v>
      </c>
    </row>
    <row r="10119" ht="22.5" customHeight="1">
      <c r="B10119" s="42" t="str">
        <f>IFERROR(__xludf.DUMMYFUNCTION("""COMPUTED_VALUE"""),"ABQJTKFS/AB066")</f>
        <v>ABQJTKFS/AB066</v>
      </c>
      <c r="C10119" s="42" t="str">
        <f>IFERROR(__xludf.DUMMYFUNCTION("""COMPUTED_VALUE"""),"M NIBEL 19182/Way Kandis")</f>
        <v>M NIBEL 19182/Way Kandis</v>
      </c>
      <c r="D10119" s="42"/>
      <c r="E10119" s="42"/>
      <c r="F10119" s="48" t="str">
        <f>IFERROR(__xludf.DUMMYFUNCTION("""COMPUTED_VALUE"""),"")</f>
        <v/>
      </c>
      <c r="G10119" s="42" t="str">
        <f>IFERROR(__xludf.DUMMYFUNCTION("""COMPUTED_VALUE"""),"BN Jual Beli")</f>
        <v>BN Jual Beli</v>
      </c>
      <c r="H10119" s="42">
        <f t="shared" si="1"/>
        <v>3345</v>
      </c>
    </row>
    <row r="10120" ht="22.5" customHeight="1">
      <c r="B10120" s="42" t="str">
        <f>IFERROR(__xludf.DUMMYFUNCTION("""COMPUTED_VALUE"""),"ABWWMBUK/AB075")</f>
        <v>ABWWMBUK/AB075</v>
      </c>
      <c r="C10120" s="42" t="str">
        <f>IFERROR(__xludf.DUMMYFUNCTION("""COMPUTED_VALUE"""),"M. 4706/Rajabasa jaya")</f>
        <v>M. 4706/Rajabasa jaya</v>
      </c>
      <c r="D10120" s="42"/>
      <c r="E10120" s="42"/>
      <c r="F10120" s="48" t="str">
        <f>IFERROR(__xludf.DUMMYFUNCTION("""COMPUTED_VALUE"""),"")</f>
        <v/>
      </c>
      <c r="G10120" s="42" t="str">
        <f>IFERROR(__xludf.DUMMYFUNCTION("""COMPUTED_VALUE"""),"BN Jual Beli")</f>
        <v>BN Jual Beli</v>
      </c>
      <c r="H10120" s="42">
        <f t="shared" si="1"/>
        <v>3345</v>
      </c>
    </row>
    <row r="10121" ht="22.5" customHeight="1">
      <c r="B10121" s="42" t="str">
        <f>IFERROR(__xludf.DUMMYFUNCTION("""COMPUTED_VALUE"""),"L/14/161225/1")</f>
        <v>L/14/161225/1</v>
      </c>
      <c r="C10121" s="42" t="str">
        <f>IFERROR(__xludf.DUMMYFUNCTION("""COMPUTED_VALUE"""),"M. 748/CAMPANG JAYA")</f>
        <v>M. 748/CAMPANG JAYA</v>
      </c>
      <c r="D10121" s="42"/>
      <c r="E10121" s="42"/>
      <c r="F10121" s="48" t="str">
        <f>IFERROR(__xludf.DUMMYFUNCTION("""COMPUTED_VALUE"""),"")</f>
        <v/>
      </c>
      <c r="G10121" s="42" t="str">
        <f>IFERROR(__xludf.DUMMYFUNCTION("""COMPUTED_VALUE"""),"BN JUAL BELI")</f>
        <v>BN JUAL BELI</v>
      </c>
      <c r="H10121" s="42">
        <f t="shared" si="1"/>
        <v>3345</v>
      </c>
    </row>
    <row r="10122" ht="22.5" customHeight="1">
      <c r="B10122" s="42" t="str">
        <f>IFERROR(__xludf.DUMMYFUNCTION("""COMPUTED_VALUE"""),"L/15/161225/1")</f>
        <v>L/15/161225/1</v>
      </c>
      <c r="C10122" s="42" t="str">
        <f>IFERROR(__xludf.DUMMYFUNCTION("""COMPUTED_VALUE"""),"M. 656/KUPANG KOTA")</f>
        <v>M. 656/KUPANG KOTA</v>
      </c>
      <c r="D10122" s="42"/>
      <c r="E10122" s="42"/>
      <c r="F10122" s="48" t="str">
        <f>IFERROR(__xludf.DUMMYFUNCTION("""COMPUTED_VALUE"""),"")</f>
        <v/>
      </c>
      <c r="G10122" s="42" t="str">
        <f>IFERROR(__xludf.DUMMYFUNCTION("""COMPUTED_VALUE"""),"BN WARIS")</f>
        <v>BN WARIS</v>
      </c>
      <c r="H10122" s="42">
        <f t="shared" si="1"/>
        <v>3345</v>
      </c>
    </row>
    <row r="10123" ht="22.5" customHeight="1">
      <c r="B10123" s="42" t="str">
        <f>IFERROR(__xludf.DUMMYFUNCTION("""COMPUTED_VALUE"""),"L/16/161225/1")</f>
        <v>L/16/161225/1</v>
      </c>
      <c r="C10123" s="42" t="str">
        <f>IFERROR(__xludf.DUMMYFUNCTION("""COMPUTED_VALUE"""),"M. 11972/SUKABUMI")</f>
        <v>M. 11972/SUKABUMI</v>
      </c>
      <c r="D10123" s="42"/>
      <c r="E10123" s="42"/>
      <c r="F10123" s="48" t="str">
        <f>IFERROR(__xludf.DUMMYFUNCTION("""COMPUTED_VALUE"""),"")</f>
        <v/>
      </c>
      <c r="G10123" s="42" t="str">
        <f>IFERROR(__xludf.DUMMYFUNCTION("""COMPUTED_VALUE"""),"ROYA")</f>
        <v>ROYA</v>
      </c>
      <c r="H10123" s="42">
        <f t="shared" si="1"/>
        <v>3345</v>
      </c>
    </row>
    <row r="10124" ht="22.5" customHeight="1">
      <c r="B10124" s="42" t="str">
        <f>IFERROR(__xludf.DUMMYFUNCTION("""COMPUTED_VALUE"""),"AB067/ABUDZVKP")</f>
        <v>AB067/ABUDZVKP</v>
      </c>
      <c r="C10124" s="42" t="str">
        <f>IFERROR(__xludf.DUMMYFUNCTION("""COMPUTED_VALUE"""),"NIBEL M.23188, tanjung senang")</f>
        <v>NIBEL M.23188, tanjung senang</v>
      </c>
      <c r="D10124" s="42"/>
      <c r="E10124" s="42"/>
      <c r="F10124" s="48" t="str">
        <f>IFERROR(__xludf.DUMMYFUNCTION("""COMPUTED_VALUE"""),"")</f>
        <v/>
      </c>
      <c r="G10124" s="42" t="str">
        <f>IFERROR(__xludf.DUMMYFUNCTION("""COMPUTED_VALUE"""),"Bn")</f>
        <v>Bn</v>
      </c>
      <c r="H10124" s="42">
        <f t="shared" si="1"/>
        <v>3345</v>
      </c>
    </row>
    <row r="10125" ht="22.5" customHeight="1">
      <c r="B10125" s="42" t="str">
        <f>IFERROR(__xludf.DUMMYFUNCTION("""COMPUTED_VALUE"""),"L/17/161225/1")</f>
        <v>L/17/161225/1</v>
      </c>
      <c r="C10125" s="42" t="str">
        <f>IFERROR(__xludf.DUMMYFUNCTION("""COMPUTED_VALUE"""),"B. 200/GEDUNG MENENG")</f>
        <v>B. 200/GEDUNG MENENG</v>
      </c>
      <c r="D10125" s="42"/>
      <c r="E10125" s="42"/>
      <c r="F10125" s="48" t="str">
        <f>IFERROR(__xludf.DUMMYFUNCTION("""COMPUTED_VALUE"""),"")</f>
        <v/>
      </c>
      <c r="G10125" s="42" t="str">
        <f>IFERROR(__xludf.DUMMYFUNCTION("""COMPUTED_VALUE"""),"ROYA")</f>
        <v>ROYA</v>
      </c>
      <c r="H10125" s="42">
        <f t="shared" si="1"/>
        <v>3345</v>
      </c>
    </row>
    <row r="10126" ht="22.5" customHeight="1">
      <c r="B10126" s="42" t="str">
        <f>IFERROR(__xludf.DUMMYFUNCTION("""COMPUTED_VALUE"""),"AB067/ABITPTYD")</f>
        <v>AB067/ABITPTYD</v>
      </c>
      <c r="C10126" s="42" t="str">
        <f>IFERROR(__xludf.DUMMYFUNCTION("""COMPUTED_VALUE"""),"NIBEL M.23186/ tanjung senang")</f>
        <v>NIBEL M.23186/ tanjung senang</v>
      </c>
      <c r="D10126" s="42"/>
      <c r="E10126" s="42"/>
      <c r="F10126" s="48" t="str">
        <f>IFERROR(__xludf.DUMMYFUNCTION("""COMPUTED_VALUE"""),"")</f>
        <v/>
      </c>
      <c r="G10126" s="42" t="str">
        <f>IFERROR(__xludf.DUMMYFUNCTION("""COMPUTED_VALUE"""),"Bn")</f>
        <v>Bn</v>
      </c>
      <c r="H10126" s="42">
        <f t="shared" si="1"/>
        <v>3345</v>
      </c>
    </row>
    <row r="10127" ht="22.5" customHeight="1">
      <c r="B10127" s="42" t="str">
        <f>IFERROR(__xludf.DUMMYFUNCTION("""COMPUTED_VALUE"""),"L/18/161225/1")</f>
        <v>L/18/161225/1</v>
      </c>
      <c r="C10127" s="42" t="str">
        <f>IFERROR(__xludf.DUMMYFUNCTION("""COMPUTED_VALUE"""),"B. 107/CAMPANG RAYA")</f>
        <v>B. 107/CAMPANG RAYA</v>
      </c>
      <c r="D10127" s="42"/>
      <c r="E10127" s="42"/>
      <c r="F10127" s="48" t="str">
        <f>IFERROR(__xludf.DUMMYFUNCTION("""COMPUTED_VALUE"""),"")</f>
        <v/>
      </c>
      <c r="G10127" s="42" t="str">
        <f>IFERROR(__xludf.DUMMYFUNCTION("""COMPUTED_VALUE"""),"PTPGT HGB MATI")</f>
        <v>PTPGT HGB MATI</v>
      </c>
      <c r="H10127" s="42">
        <f t="shared" si="1"/>
        <v>3345</v>
      </c>
    </row>
    <row r="10128" ht="22.5" customHeight="1">
      <c r="B10128" s="42" t="str">
        <f>IFERROR(__xludf.DUMMYFUNCTION("""COMPUTED_VALUE"""),"L/19/161225/1")</f>
        <v>L/19/161225/1</v>
      </c>
      <c r="C10128" s="42" t="str">
        <f>IFERROR(__xludf.DUMMYFUNCTION("""COMPUTED_VALUE"""),"B. 449/TELUK BETUNG")</f>
        <v>B. 449/TELUK BETUNG</v>
      </c>
      <c r="D10128" s="42"/>
      <c r="E10128" s="42"/>
      <c r="F10128" s="48" t="str">
        <f>IFERROR(__xludf.DUMMYFUNCTION("""COMPUTED_VALUE"""),"")</f>
        <v/>
      </c>
      <c r="G10128" s="42" t="str">
        <f>IFERROR(__xludf.DUMMYFUNCTION("""COMPUTED_VALUE"""),"SKPT INFORMASI")</f>
        <v>SKPT INFORMASI</v>
      </c>
      <c r="H10128" s="42">
        <f t="shared" si="1"/>
        <v>3345</v>
      </c>
    </row>
    <row r="10129" ht="22.5" customHeight="1">
      <c r="B10129" s="42" t="str">
        <f>IFERROR(__xludf.DUMMYFUNCTION("""COMPUTED_VALUE"""),"ABJBGKHJ")</f>
        <v>ABJBGKHJ</v>
      </c>
      <c r="C10129" s="42" t="str">
        <f>IFERROR(__xludf.DUMMYFUNCTION("""COMPUTED_VALUE"""),"NIBEL M 23805/ BUMI KEDAMAIAN")</f>
        <v>NIBEL M 23805/ BUMI KEDAMAIAN</v>
      </c>
      <c r="D10129" s="42"/>
      <c r="E10129" s="42"/>
      <c r="F10129" s="48" t="str">
        <f>IFERROR(__xludf.DUMMYFUNCTION("""COMPUTED_VALUE"""),"")</f>
        <v/>
      </c>
      <c r="G10129" s="42" t="str">
        <f>IFERROR(__xludf.DUMMYFUNCTION("""COMPUTED_VALUE"""),"Peralihan hak hibah")</f>
        <v>Peralihan hak hibah</v>
      </c>
      <c r="H10129" s="42">
        <f t="shared" si="1"/>
        <v>3345</v>
      </c>
    </row>
    <row r="10130" ht="22.5" customHeight="1">
      <c r="B10130" s="42" t="str">
        <f>IFERROR(__xludf.DUMMYFUNCTION("""COMPUTED_VALUE"""),"K/1/171225/1")</f>
        <v>K/1/171225/1</v>
      </c>
      <c r="C10130" s="42" t="str">
        <f>IFERROR(__xludf.DUMMYFUNCTION("""COMPUTED_VALUE"""),"M. 806/SUMUR PUTRI")</f>
        <v>M. 806/SUMUR PUTRI</v>
      </c>
      <c r="D10130" s="42"/>
      <c r="E10130" s="42"/>
      <c r="F10130" s="48" t="str">
        <f>IFERROR(__xludf.DUMMYFUNCTION("""COMPUTED_VALUE"""),"")</f>
        <v/>
      </c>
      <c r="G10130" s="42" t="str">
        <f>IFERROR(__xludf.DUMMYFUNCTION("""COMPUTED_VALUE"""),"SKPT LELANG")</f>
        <v>SKPT LELANG</v>
      </c>
      <c r="H10130" s="42">
        <f t="shared" si="1"/>
        <v>3345</v>
      </c>
    </row>
    <row r="10131" ht="22.5" customHeight="1">
      <c r="B10131" s="42" t="str">
        <f>IFERROR(__xludf.DUMMYFUNCTION("""COMPUTED_VALUE"""),"AB003/ ABPDAFWD")</f>
        <v>AB003/ ABPDAFWD</v>
      </c>
      <c r="C10131" s="42" t="str">
        <f>IFERROR(__xludf.DUMMYFUNCTION("""COMPUTED_VALUE"""),"NIBEL HGB 16389 DURIAN PAYUNG")</f>
        <v>NIBEL HGB 16389 DURIAN PAYUNG</v>
      </c>
      <c r="D10131" s="42"/>
      <c r="E10131" s="42"/>
      <c r="F10131" s="48" t="str">
        <f>IFERROR(__xludf.DUMMYFUNCTION("""COMPUTED_VALUE"""),"")</f>
        <v/>
      </c>
      <c r="G10131" s="42" t="str">
        <f>IFERROR(__xludf.DUMMYFUNCTION("""COMPUTED_VALUE"""),"PENINGKATAN HAK")</f>
        <v>PENINGKATAN HAK</v>
      </c>
      <c r="H10131" s="42">
        <f t="shared" si="1"/>
        <v>3345</v>
      </c>
    </row>
    <row r="10132" ht="22.5" customHeight="1">
      <c r="B10132" s="42" t="str">
        <f>IFERROR(__xludf.DUMMYFUNCTION("""COMPUTED_VALUE"""),"ABPDAFWD/003")</f>
        <v>ABPDAFWD/003</v>
      </c>
      <c r="C10132" s="42" t="str">
        <f>IFERROR(__xludf.DUMMYFUNCTION("""COMPUTED_VALUE"""),"nibel M 16389 durian payung")</f>
        <v>nibel M 16389 durian payung</v>
      </c>
      <c r="D10132" s="42"/>
      <c r="E10132" s="42"/>
      <c r="F10132" s="48" t="str">
        <f>IFERROR(__xludf.DUMMYFUNCTION("""COMPUTED_VALUE"""),"")</f>
        <v/>
      </c>
      <c r="G10132" s="42" t="str">
        <f>IFERROR(__xludf.DUMMYFUNCTION("""COMPUTED_VALUE"""),"perubahan hak")</f>
        <v>perubahan hak</v>
      </c>
      <c r="H10132" s="42">
        <f t="shared" si="1"/>
        <v>3345</v>
      </c>
    </row>
    <row r="10133" ht="22.5" customHeight="1">
      <c r="B10133" s="42" t="str">
        <f>IFERROR(__xludf.DUMMYFUNCTION("""COMPUTED_VALUE"""),"ABCFEECO/AB027")</f>
        <v>ABCFEECO/AB027</v>
      </c>
      <c r="C10133" s="42" t="str">
        <f>IFERROR(__xludf.DUMMYFUNCTION("""COMPUTED_VALUE"""),"M 1977/Pesawahan")</f>
        <v>M 1977/Pesawahan</v>
      </c>
      <c r="D10133" s="42"/>
      <c r="E10133" s="42"/>
      <c r="F10133" s="48" t="str">
        <f>IFERROR(__xludf.DUMMYFUNCTION("""COMPUTED_VALUE"""),"")</f>
        <v/>
      </c>
      <c r="G10133" s="42" t="str">
        <f>IFERROR(__xludf.DUMMYFUNCTION("""COMPUTED_VALUE"""),"BN/Hibah")</f>
        <v>BN/Hibah</v>
      </c>
      <c r="H10133" s="42">
        <f t="shared" si="1"/>
        <v>3345</v>
      </c>
    </row>
    <row r="10134" ht="22.5" customHeight="1">
      <c r="B10134" s="42" t="str">
        <f>IFERROR(__xludf.DUMMYFUNCTION("""COMPUTED_VALUE"""),"AB029- ABQTFCRC")</f>
        <v>AB029- ABQTFCRC</v>
      </c>
      <c r="C10134" s="42" t="str">
        <f>IFERROR(__xludf.DUMMYFUNCTION("""COMPUTED_VALUE"""),"B.18 KORPRI JAYA")</f>
        <v>B.18 KORPRI JAYA</v>
      </c>
      <c r="D10134" s="42"/>
      <c r="E10134" s="42"/>
      <c r="F10134" s="48" t="str">
        <f>IFERROR(__xludf.DUMMYFUNCTION("""COMPUTED_VALUE"""),"")</f>
        <v/>
      </c>
      <c r="G10134" s="42" t="str">
        <f>IFERROR(__xludf.DUMMYFUNCTION("""COMPUTED_VALUE"""),"Balik Nama")</f>
        <v>Balik Nama</v>
      </c>
      <c r="H10134" s="42">
        <f t="shared" si="1"/>
        <v>3345</v>
      </c>
    </row>
    <row r="10135" ht="22.5" customHeight="1">
      <c r="B10135" s="42" t="str">
        <f>IFERROR(__xludf.DUMMYFUNCTION("""COMPUTED_VALUE"""),"K/2/171225/1")</f>
        <v>K/2/171225/1</v>
      </c>
      <c r="C10135" s="42" t="str">
        <f>IFERROR(__xludf.DUMMYFUNCTION("""COMPUTED_VALUE"""),"NIBEL M. 22299/PEMATANG WANGI")</f>
        <v>NIBEL M. 22299/PEMATANG WANGI</v>
      </c>
      <c r="D10135" s="42"/>
      <c r="E10135" s="42"/>
      <c r="F10135" s="48" t="str">
        <f>IFERROR(__xludf.DUMMYFUNCTION("""COMPUTED_VALUE"""),"")</f>
        <v/>
      </c>
      <c r="G10135" s="42" t="str">
        <f>IFERROR(__xludf.DUMMYFUNCTION("""COMPUTED_VALUE"""),"BN JUAL BELI")</f>
        <v>BN JUAL BELI</v>
      </c>
      <c r="H10135" s="42">
        <f t="shared" si="1"/>
        <v>3345</v>
      </c>
    </row>
    <row r="10136" ht="22.5" customHeight="1">
      <c r="B10136" s="42" t="str">
        <f>IFERROR(__xludf.DUMMYFUNCTION("""COMPUTED_VALUE"""),"ABVRDPVV/AB014")</f>
        <v>ABVRDPVV/AB014</v>
      </c>
      <c r="C10136" s="42" t="str">
        <f>IFERROR(__xludf.DUMMYFUNCTION("""COMPUTED_VALUE"""),"SHM 780/NOG")</f>
        <v>SHM 780/NOG</v>
      </c>
      <c r="D10136" s="42"/>
      <c r="E10136" s="42"/>
      <c r="F10136" s="48" t="str">
        <f>IFERROR(__xludf.DUMMYFUNCTION("""COMPUTED_VALUE"""),"")</f>
        <v/>
      </c>
      <c r="G10136" s="42" t="str">
        <f>IFERROR(__xludf.DUMMYFUNCTION("""COMPUTED_VALUE"""),"Roya")</f>
        <v>Roya</v>
      </c>
      <c r="H10136" s="42">
        <f t="shared" si="1"/>
        <v>3345</v>
      </c>
    </row>
    <row r="10137" ht="22.5" customHeight="1">
      <c r="B10137" s="42" t="str">
        <f>IFERROR(__xludf.DUMMYFUNCTION("""COMPUTED_VALUE"""),"ABGMATTN")</f>
        <v>ABGMATTN</v>
      </c>
      <c r="C10137" s="42" t="str">
        <f>IFERROR(__xludf.DUMMYFUNCTION("""COMPUTED_VALUE"""),"M 1586  semberrejo sejahtera")</f>
        <v>M 1586  semberrejo sejahtera</v>
      </c>
      <c r="D10137" s="42"/>
      <c r="E10137" s="42"/>
      <c r="F10137" s="48" t="str">
        <f>IFERROR(__xludf.DUMMYFUNCTION("""COMPUTED_VALUE"""),"")</f>
        <v/>
      </c>
      <c r="G10137" s="42" t="str">
        <f>IFERROR(__xludf.DUMMYFUNCTION("""COMPUTED_VALUE"""),"Baliknama ajb")</f>
        <v>Baliknama ajb</v>
      </c>
      <c r="H10137" s="42">
        <f t="shared" si="1"/>
        <v>3345</v>
      </c>
    </row>
    <row r="10138" ht="22.5" customHeight="1">
      <c r="B10138" s="42" t="str">
        <f>IFERROR(__xludf.DUMMYFUNCTION("""COMPUTED_VALUE"""),"ABQSODYB")</f>
        <v>ABQSODYB</v>
      </c>
      <c r="C10138" s="42" t="str">
        <f>IFERROR(__xludf.DUMMYFUNCTION("""COMPUTED_VALUE"""),"M 1402 semberrejo sejahtera")</f>
        <v>M 1402 semberrejo sejahtera</v>
      </c>
      <c r="D10138" s="42"/>
      <c r="E10138" s="42"/>
      <c r="F10138" s="48" t="str">
        <f>IFERROR(__xludf.DUMMYFUNCTION("""COMPUTED_VALUE"""),"")</f>
        <v/>
      </c>
      <c r="G10138" s="42" t="str">
        <f>IFERROR(__xludf.DUMMYFUNCTION("""COMPUTED_VALUE"""),"Baliknama ajb")</f>
        <v>Baliknama ajb</v>
      </c>
      <c r="H10138" s="42">
        <f t="shared" si="1"/>
        <v>3345</v>
      </c>
    </row>
    <row r="10139" ht="22.5" customHeight="1">
      <c r="B10139" s="42" t="str">
        <f>IFERROR(__xludf.DUMMYFUNCTION("""COMPUTED_VALUE"""),"ABXGEILK")</f>
        <v>ABXGEILK</v>
      </c>
      <c r="C10139" s="42" t="str">
        <f>IFERROR(__xludf.DUMMYFUNCTION("""COMPUTED_VALUE"""),"M.1403")</f>
        <v>M.1403</v>
      </c>
      <c r="D10139" s="42"/>
      <c r="E10139" s="42"/>
      <c r="F10139" s="48" t="str">
        <f>IFERROR(__xludf.DUMMYFUNCTION("""COMPUTED_VALUE"""),"")</f>
        <v/>
      </c>
      <c r="G10139" s="42" t="str">
        <f>IFERROR(__xludf.DUMMYFUNCTION("""COMPUTED_VALUE"""),"Baliknama ajb")</f>
        <v>Baliknama ajb</v>
      </c>
      <c r="H10139" s="42">
        <f t="shared" si="1"/>
        <v>3345</v>
      </c>
    </row>
    <row r="10140" ht="22.5" customHeight="1">
      <c r="B10140" s="42" t="str">
        <f>IFERROR(__xludf.DUMMYFUNCTION("""COMPUTED_VALUE"""),"AB041-ABIVAPQS")</f>
        <v>AB041-ABIVAPQS</v>
      </c>
      <c r="C10140" s="42" t="str">
        <f>IFERROR(__xludf.DUMMYFUNCTION("""COMPUTED_VALUE"""),"M.1076/sumur putri")</f>
        <v>M.1076/sumur putri</v>
      </c>
      <c r="D10140" s="42"/>
      <c r="E10140" s="42"/>
      <c r="F10140" s="48" t="str">
        <f>IFERROR(__xludf.DUMMYFUNCTION("""COMPUTED_VALUE"""),"")</f>
        <v/>
      </c>
      <c r="G10140" s="42" t="str">
        <f>IFERROR(__xludf.DUMMYFUNCTION("""COMPUTED_VALUE"""),"BALIK NAMA ")</f>
        <v>BALIK NAMA </v>
      </c>
      <c r="H10140" s="42">
        <f t="shared" si="1"/>
        <v>3345</v>
      </c>
    </row>
    <row r="10141" ht="22.5" customHeight="1">
      <c r="B10141" s="42" t="str">
        <f>IFERROR(__xludf.DUMMYFUNCTION("""COMPUTED_VALUE"""),"ABWHUCHZ/AB044")</f>
        <v>ABWHUCHZ/AB044</v>
      </c>
      <c r="C10141" s="42" t="str">
        <f>IFERROR(__xludf.DUMMYFUNCTION("""COMPUTED_VALUE"""),"M. 408/Labuhan Dalam")</f>
        <v>M. 408/Labuhan Dalam</v>
      </c>
      <c r="D10141" s="42"/>
      <c r="E10141" s="42"/>
      <c r="F10141" s="48" t="str">
        <f>IFERROR(__xludf.DUMMYFUNCTION("""COMPUTED_VALUE"""),"")</f>
        <v/>
      </c>
      <c r="G10141" s="42" t="str">
        <f>IFERROR(__xludf.DUMMYFUNCTION("""COMPUTED_VALUE"""),"BN Jual Beli")</f>
        <v>BN Jual Beli</v>
      </c>
      <c r="H10141" s="42">
        <f t="shared" si="1"/>
        <v>3345</v>
      </c>
    </row>
    <row r="10142" ht="22.5" customHeight="1">
      <c r="B10142" s="42" t="str">
        <f>IFERROR(__xludf.DUMMYFUNCTION("""COMPUTED_VALUE"""),"AB026-ABKTAXJE")</f>
        <v>AB026-ABKTAXJE</v>
      </c>
      <c r="C10142" s="42" t="str">
        <f>IFERROR(__xludf.DUMMYFUNCTION("""COMPUTED_VALUE"""),"M.5178 RAJABASA JAYA")</f>
        <v>M.5178 RAJABASA JAYA</v>
      </c>
      <c r="D10142" s="42"/>
      <c r="E10142" s="42"/>
      <c r="F10142" s="48" t="str">
        <f>IFERROR(__xludf.DUMMYFUNCTION("""COMPUTED_VALUE"""),"")</f>
        <v/>
      </c>
      <c r="G10142" s="42" t="str">
        <f>IFERROR(__xludf.DUMMYFUNCTION("""COMPUTED_VALUE"""),"balik nama")</f>
        <v>balik nama</v>
      </c>
      <c r="H10142" s="42">
        <f t="shared" si="1"/>
        <v>3345</v>
      </c>
    </row>
    <row r="10143" ht="22.5" customHeight="1">
      <c r="B10143" s="42" t="str">
        <f>IFERROR(__xludf.DUMMYFUNCTION("""COMPUTED_VALUE"""),"AB026 -ABKRFIVF")</f>
        <v>AB026 -ABKRFIVF</v>
      </c>
      <c r="C10143" s="42" t="str">
        <f>IFERROR(__xludf.DUMMYFUNCTION("""COMPUTED_VALUE"""),"M.5285 SUKABUMI")</f>
        <v>M.5285 SUKABUMI</v>
      </c>
      <c r="D10143" s="42"/>
      <c r="E10143" s="42"/>
      <c r="F10143" s="48" t="str">
        <f>IFERROR(__xludf.DUMMYFUNCTION("""COMPUTED_VALUE"""),"")</f>
        <v/>
      </c>
      <c r="G10143" s="42" t="str">
        <f>IFERROR(__xludf.DUMMYFUNCTION("""COMPUTED_VALUE"""),"balik nama")</f>
        <v>balik nama</v>
      </c>
      <c r="H10143" s="42">
        <f t="shared" si="1"/>
        <v>3345</v>
      </c>
    </row>
    <row r="10144" ht="22.5" customHeight="1">
      <c r="B10144" s="42" t="str">
        <f>IFERROR(__xludf.DUMMYFUNCTION("""COMPUTED_VALUE"""),"ABBBSEQN/AB044")</f>
        <v>ABBBSEQN/AB044</v>
      </c>
      <c r="C10144" s="42" t="str">
        <f>IFERROR(__xludf.DUMMYFUNCTION("""COMPUTED_VALUE"""),"M NIBEL 12198/Way Kandis")</f>
        <v>M NIBEL 12198/Way Kandis</v>
      </c>
      <c r="D10144" s="42"/>
      <c r="E10144" s="42"/>
      <c r="F10144" s="48" t="str">
        <f>IFERROR(__xludf.DUMMYFUNCTION("""COMPUTED_VALUE"""),"")</f>
        <v/>
      </c>
      <c r="G10144" s="42" t="str">
        <f>IFERROR(__xludf.DUMMYFUNCTION("""COMPUTED_VALUE"""),"BN Jual Beli")</f>
        <v>BN Jual Beli</v>
      </c>
      <c r="H10144" s="42">
        <f t="shared" si="1"/>
        <v>3345</v>
      </c>
    </row>
    <row r="10145" ht="22.5" customHeight="1">
      <c r="B10145" s="42" t="str">
        <f>IFERROR(__xludf.DUMMYFUNCTION("""COMPUTED_VALUE"""),"ABUOIKLJ")</f>
        <v>ABUOIKLJ</v>
      </c>
      <c r="C10145" s="42" t="str">
        <f>IFERROR(__xludf.DUMMYFUNCTION("""COMPUTED_VALUE"""),"shgb 739")</f>
        <v>shgb 739</v>
      </c>
      <c r="D10145" s="42"/>
      <c r="E10145" s="42"/>
      <c r="F10145" s="48" t="str">
        <f>IFERROR(__xludf.DUMMYFUNCTION("""COMPUTED_VALUE"""),"")</f>
        <v/>
      </c>
      <c r="G10145" s="42" t="str">
        <f>IFERROR(__xludf.DUMMYFUNCTION("""COMPUTED_VALUE"""),"perpanjangan ")</f>
        <v>perpanjangan </v>
      </c>
      <c r="H10145" s="42">
        <f t="shared" si="1"/>
        <v>3345</v>
      </c>
    </row>
    <row r="10146" ht="22.5" customHeight="1">
      <c r="B10146" s="42" t="str">
        <f>IFERROR(__xludf.DUMMYFUNCTION("""COMPUTED_VALUE"""),"ABCWGJJZ/AB046")</f>
        <v>ABCWGJJZ/AB046</v>
      </c>
      <c r="C10146" s="42" t="str">
        <f>IFERROR(__xludf.DUMMYFUNCTION("""COMPUTED_VALUE"""),"M. 2651/ Sumber Rejo")</f>
        <v>M. 2651/ Sumber Rejo</v>
      </c>
      <c r="D10146" s="42"/>
      <c r="E10146" s="42"/>
      <c r="F10146" s="48" t="str">
        <f>IFERROR(__xludf.DUMMYFUNCTION("""COMPUTED_VALUE"""),"")</f>
        <v/>
      </c>
      <c r="G10146" s="42" t="str">
        <f>IFERROR(__xludf.DUMMYFUNCTION("""COMPUTED_VALUE"""),"Penataaan Batas")</f>
        <v>Penataaan Batas</v>
      </c>
      <c r="H10146" s="42">
        <f t="shared" si="1"/>
        <v>3345</v>
      </c>
    </row>
    <row r="10147" ht="22.5" customHeight="1">
      <c r="B10147" s="42" t="str">
        <f>IFERROR(__xludf.DUMMYFUNCTION("""COMPUTED_VALUE"""),"ABXHDEHU/AB016")</f>
        <v>ABXHDEHU/AB016</v>
      </c>
      <c r="C10147" s="42" t="str">
        <f>IFERROR(__xludf.DUMMYFUNCTION("""COMPUTED_VALUE"""),"M NIBEL 18009/Sukadana Ham")</f>
        <v>M NIBEL 18009/Sukadana Ham</v>
      </c>
      <c r="D10147" s="42"/>
      <c r="E10147" s="42"/>
      <c r="F10147" s="48" t="str">
        <f>IFERROR(__xludf.DUMMYFUNCTION("""COMPUTED_VALUE"""),"")</f>
        <v/>
      </c>
      <c r="G10147" s="42" t="str">
        <f>IFERROR(__xludf.DUMMYFUNCTION("""COMPUTED_VALUE"""),"Peralihan Hak")</f>
        <v>Peralihan Hak</v>
      </c>
      <c r="H10147" s="42">
        <f t="shared" si="1"/>
        <v>3345</v>
      </c>
    </row>
    <row r="10148" ht="22.5" customHeight="1">
      <c r="B10148" s="42" t="str">
        <f>IFERROR(__xludf.DUMMYFUNCTION("""COMPUTED_VALUE"""),"L/4/171225/1")</f>
        <v>L/4/171225/1</v>
      </c>
      <c r="C10148" s="42" t="str">
        <f>IFERROR(__xludf.DUMMYFUNCTION("""COMPUTED_VALUE"""),"M. 2844/SUMBEREJO")</f>
        <v>M. 2844/SUMBEREJO</v>
      </c>
      <c r="D10148" s="42"/>
      <c r="E10148" s="42"/>
      <c r="F10148" s="48" t="str">
        <f>IFERROR(__xludf.DUMMYFUNCTION("""COMPUTED_VALUE"""),"")</f>
        <v/>
      </c>
      <c r="G10148" s="42" t="str">
        <f>IFERROR(__xludf.DUMMYFUNCTION("""COMPUTED_VALUE"""),"BN LELANG")</f>
        <v>BN LELANG</v>
      </c>
      <c r="H10148" s="42">
        <f t="shared" si="1"/>
        <v>3345</v>
      </c>
    </row>
    <row r="10149" ht="22.5" customHeight="1">
      <c r="B10149" s="42" t="str">
        <f>IFERROR(__xludf.DUMMYFUNCTION("""COMPUTED_VALUE"""),"K/3/171225/1")</f>
        <v>K/3/171225/1</v>
      </c>
      <c r="C10149" s="42" t="str">
        <f>IFERROR(__xludf.DUMMYFUNCTION("""COMPUTED_VALUE"""),"M. 4231/RAJABASA JAYA")</f>
        <v>M. 4231/RAJABASA JAYA</v>
      </c>
      <c r="D10149" s="42"/>
      <c r="E10149" s="42"/>
      <c r="F10149" s="48" t="str">
        <f>IFERROR(__xludf.DUMMYFUNCTION("""COMPUTED_VALUE"""),"")</f>
        <v/>
      </c>
      <c r="G10149" s="42" t="str">
        <f>IFERROR(__xludf.DUMMYFUNCTION("""COMPUTED_VALUE"""),"SKPT LELANG")</f>
        <v>SKPT LELANG</v>
      </c>
      <c r="H10149" s="42">
        <f t="shared" si="1"/>
        <v>3345</v>
      </c>
    </row>
    <row r="10150" ht="22.5" customHeight="1">
      <c r="B10150" s="42" t="str">
        <f>IFERROR(__xludf.DUMMYFUNCTION("""COMPUTED_VALUE"""),"ABXLWLLZ/AB049")</f>
        <v>ABXLWLLZ/AB049</v>
      </c>
      <c r="C10150" s="42" t="str">
        <f>IFERROR(__xludf.DUMMYFUNCTION("""COMPUTED_VALUE"""),"B 88/Korpri Jaya")</f>
        <v>B 88/Korpri Jaya</v>
      </c>
      <c r="D10150" s="42"/>
      <c r="E10150" s="42"/>
      <c r="F10150" s="48" t="str">
        <f>IFERROR(__xludf.DUMMYFUNCTION("""COMPUTED_VALUE"""),"")</f>
        <v/>
      </c>
      <c r="G10150" s="42" t="str">
        <f>IFERROR(__xludf.DUMMYFUNCTION("""COMPUTED_VALUE"""),"BN Jual Beli")</f>
        <v>BN Jual Beli</v>
      </c>
      <c r="H10150" s="42">
        <f t="shared" si="1"/>
        <v>3345</v>
      </c>
    </row>
    <row r="10151" ht="22.5" customHeight="1">
      <c r="B10151" s="42" t="str">
        <f>IFERROR(__xludf.DUMMYFUNCTION("""COMPUTED_VALUE"""),"Abqntauk")</f>
        <v>Abqntauk</v>
      </c>
      <c r="C10151" s="42" t="str">
        <f>IFERROR(__xludf.DUMMYFUNCTION("""COMPUTED_VALUE"""),"M.6638-tanjung senang")</f>
        <v>M.6638-tanjung senang</v>
      </c>
      <c r="D10151" s="42"/>
      <c r="E10151" s="42"/>
      <c r="F10151" s="48" t="str">
        <f>IFERROR(__xludf.DUMMYFUNCTION("""COMPUTED_VALUE"""),"")</f>
        <v/>
      </c>
      <c r="G10151" s="42" t="str">
        <f>IFERROR(__xludf.DUMMYFUNCTION("""COMPUTED_VALUE"""),"Bn")</f>
        <v>Bn</v>
      </c>
      <c r="H10151" s="42">
        <f t="shared" si="1"/>
        <v>3345</v>
      </c>
    </row>
    <row r="10152" ht="22.5" customHeight="1">
      <c r="B10152" s="42" t="str">
        <f>IFERROR(__xludf.DUMMYFUNCTION("""COMPUTED_VALUE"""),"Abqcxmcc")</f>
        <v>Abqcxmcc</v>
      </c>
      <c r="C10152" s="42" t="str">
        <f>IFERROR(__xludf.DUMMYFUNCTION("""COMPUTED_VALUE"""),"NIBEL 23187, tanjung senang")</f>
        <v>NIBEL 23187, tanjung senang</v>
      </c>
      <c r="D10152" s="42"/>
      <c r="E10152" s="42"/>
      <c r="F10152" s="48" t="str">
        <f>IFERROR(__xludf.DUMMYFUNCTION("""COMPUTED_VALUE"""),"")</f>
        <v/>
      </c>
      <c r="G10152" s="42" t="str">
        <f>IFERROR(__xludf.DUMMYFUNCTION("""COMPUTED_VALUE"""),"Bn")</f>
        <v>Bn</v>
      </c>
      <c r="H10152" s="42">
        <f t="shared" si="1"/>
        <v>3345</v>
      </c>
    </row>
    <row r="10153" ht="22.5" customHeight="1">
      <c r="B10153" s="42" t="str">
        <f>IFERROR(__xludf.DUMMYFUNCTION("""COMPUTED_VALUE"""),"Abfmddwf")</f>
        <v>Abfmddwf</v>
      </c>
      <c r="C10153" s="42" t="str">
        <f>IFERROR(__xludf.DUMMYFUNCTION("""COMPUTED_VALUE"""),"6959, tanjung senang")</f>
        <v>6959, tanjung senang</v>
      </c>
      <c r="D10153" s="42"/>
      <c r="E10153" s="42"/>
      <c r="F10153" s="48" t="str">
        <f>IFERROR(__xludf.DUMMYFUNCTION("""COMPUTED_VALUE"""),"")</f>
        <v/>
      </c>
      <c r="G10153" s="42" t="str">
        <f>IFERROR(__xludf.DUMMYFUNCTION("""COMPUTED_VALUE"""),"Bn")</f>
        <v>Bn</v>
      </c>
      <c r="H10153" s="42">
        <f t="shared" si="1"/>
        <v>3345</v>
      </c>
    </row>
    <row r="10154" ht="22.5" customHeight="1">
      <c r="B10154" s="42" t="str">
        <f>IFERROR(__xludf.DUMMYFUNCTION("""COMPUTED_VALUE"""),"ABLCYCPH/AB049")</f>
        <v>ABLCYCPH/AB049</v>
      </c>
      <c r="C10154" s="42" t="str">
        <f>IFERROR(__xludf.DUMMYFUNCTION("""COMPUTED_VALUE"""),"B 200/Rajabasa Nunyai")</f>
        <v>B 200/Rajabasa Nunyai</v>
      </c>
      <c r="D10154" s="42"/>
      <c r="E10154" s="42"/>
      <c r="F10154" s="48" t="str">
        <f>IFERROR(__xludf.DUMMYFUNCTION("""COMPUTED_VALUE"""),"")</f>
        <v/>
      </c>
      <c r="G10154" s="42" t="str">
        <f>IFERROR(__xludf.DUMMYFUNCTION("""COMPUTED_VALUE"""),"BN Jual Beli")</f>
        <v>BN Jual Beli</v>
      </c>
      <c r="H10154" s="42">
        <f t="shared" si="1"/>
        <v>3345</v>
      </c>
    </row>
    <row r="10155" ht="22.5" customHeight="1">
      <c r="B10155" s="42" t="str">
        <f>IFERROR(__xludf.DUMMYFUNCTION("""COMPUTED_VALUE"""),"Abbyjowt")</f>
        <v>Abbyjowt</v>
      </c>
      <c r="C10155" s="42" t="str">
        <f>IFERROR(__xludf.DUMMYFUNCTION("""COMPUTED_VALUE"""),"1514, labuhan ratu raya")</f>
        <v>1514, labuhan ratu raya</v>
      </c>
      <c r="D10155" s="42"/>
      <c r="E10155" s="42"/>
      <c r="F10155" s="48" t="str">
        <f>IFERROR(__xludf.DUMMYFUNCTION("""COMPUTED_VALUE"""),"")</f>
        <v/>
      </c>
      <c r="G10155" s="42" t="str">
        <f>IFERROR(__xludf.DUMMYFUNCTION("""COMPUTED_VALUE"""),"Bn")</f>
        <v>Bn</v>
      </c>
      <c r="H10155" s="42">
        <f t="shared" si="1"/>
        <v>3345</v>
      </c>
    </row>
    <row r="10156" ht="22.5" customHeight="1">
      <c r="B10156" s="42" t="str">
        <f>IFERROR(__xludf.DUMMYFUNCTION("""COMPUTED_VALUE"""),"Abmsgnch")</f>
        <v>Abmsgnch</v>
      </c>
      <c r="C10156" s="42" t="str">
        <f>IFERROR(__xludf.DUMMYFUNCTION("""COMPUTED_VALUE"""),"M.88, sawah brebes")</f>
        <v>M.88, sawah brebes</v>
      </c>
      <c r="D10156" s="42"/>
      <c r="E10156" s="42"/>
      <c r="F10156" s="48" t="str">
        <f>IFERROR(__xludf.DUMMYFUNCTION("""COMPUTED_VALUE"""),"")</f>
        <v/>
      </c>
      <c r="G10156" s="42" t="str">
        <f>IFERROR(__xludf.DUMMYFUNCTION("""COMPUTED_VALUE"""),"Bn")</f>
        <v>Bn</v>
      </c>
      <c r="H10156" s="42">
        <f t="shared" si="1"/>
        <v>3345</v>
      </c>
    </row>
    <row r="10157" ht="22.5" customHeight="1">
      <c r="B10157" s="42" t="str">
        <f>IFERROR(__xludf.DUMMYFUNCTION("""COMPUTED_VALUE"""),"ABNANZIV")</f>
        <v>ABNANZIV</v>
      </c>
      <c r="C10157" s="42" t="str">
        <f>IFERROR(__xludf.DUMMYFUNCTION("""COMPUTED_VALUE"""),"M.12240/ segala mider")</f>
        <v>M.12240/ segala mider</v>
      </c>
      <c r="D10157" s="42"/>
      <c r="E10157" s="42"/>
      <c r="F10157" s="48" t="str">
        <f>IFERROR(__xludf.DUMMYFUNCTION("""COMPUTED_VALUE"""),"")</f>
        <v/>
      </c>
      <c r="G10157" s="42" t="str">
        <f>IFERROR(__xludf.DUMMYFUNCTION("""COMPUTED_VALUE"""),"Roya atas hak tanggungan")</f>
        <v>Roya atas hak tanggungan</v>
      </c>
      <c r="H10157" s="42">
        <f t="shared" si="1"/>
        <v>3345</v>
      </c>
    </row>
    <row r="10158" ht="22.5" customHeight="1">
      <c r="B10158" s="42" t="str">
        <f>IFERROR(__xludf.DUMMYFUNCTION("""COMPUTED_VALUE"""),"ABpopklm")</f>
        <v>ABpopklm</v>
      </c>
      <c r="C10158" s="42" t="str">
        <f>IFERROR(__xludf.DUMMYFUNCTION("""COMPUTED_VALUE"""),"M.2267")</f>
        <v>M.2267</v>
      </c>
      <c r="D10158" s="42"/>
      <c r="E10158" s="42"/>
      <c r="F10158" s="48" t="str">
        <f>IFERROR(__xludf.DUMMYFUNCTION("""COMPUTED_VALUE"""),"")</f>
        <v/>
      </c>
      <c r="G10158" s="42" t="str">
        <f>IFERROR(__xludf.DUMMYFUNCTION("""COMPUTED_VALUE"""),"peralihan hak jual beli")</f>
        <v>peralihan hak jual beli</v>
      </c>
      <c r="H10158" s="42">
        <f t="shared" si="1"/>
        <v>3345</v>
      </c>
    </row>
    <row r="10159" ht="22.5" customHeight="1">
      <c r="B10159" s="42" t="str">
        <f>IFERROR(__xludf.DUMMYFUNCTION("""COMPUTED_VALUE"""),"ABANXDHP/AB052")</f>
        <v>ABANXDHP/AB052</v>
      </c>
      <c r="C10159" s="42" t="str">
        <f>IFERROR(__xludf.DUMMYFUNCTION("""COMPUTED_VALUE"""),"B NIBEL 27325/ Sukamaju")</f>
        <v>B NIBEL 27325/ Sukamaju</v>
      </c>
      <c r="D10159" s="42"/>
      <c r="E10159" s="42"/>
      <c r="F10159" s="48" t="str">
        <f>IFERROR(__xludf.DUMMYFUNCTION("""COMPUTED_VALUE"""),"")</f>
        <v/>
      </c>
      <c r="G10159" s="42" t="str">
        <f>IFERROR(__xludf.DUMMYFUNCTION("""COMPUTED_VALUE"""),"Peningkatan Hak")</f>
        <v>Peningkatan Hak</v>
      </c>
      <c r="H10159" s="42">
        <f t="shared" si="1"/>
        <v>3345</v>
      </c>
    </row>
    <row r="10160" ht="22.5" customHeight="1">
      <c r="B10160" s="42" t="str">
        <f>IFERROR(__xludf.DUMMYFUNCTION("""COMPUTED_VALUE"""),"L/5/171225/1")</f>
        <v>L/5/171225/1</v>
      </c>
      <c r="C10160" s="42" t="str">
        <f>IFERROR(__xludf.DUMMYFUNCTION("""COMPUTED_VALUE"""),"KEL. SURABAYA LUAS 290 M2 PBT NO 163/2024")</f>
        <v>KEL. SURABAYA LUAS 290 M2 PBT NO 163/2024</v>
      </c>
      <c r="D10160" s="42"/>
      <c r="E10160" s="42"/>
      <c r="F10160" s="48" t="str">
        <f>IFERROR(__xludf.DUMMYFUNCTION("""COMPUTED_VALUE"""),"")</f>
        <v/>
      </c>
      <c r="G10160" s="42" t="str">
        <f>IFERROR(__xludf.DUMMYFUNCTION("""COMPUTED_VALUE"""),"PERMOHONAN SK")</f>
        <v>PERMOHONAN SK</v>
      </c>
      <c r="H10160" s="42">
        <f t="shared" si="1"/>
        <v>3345</v>
      </c>
    </row>
    <row r="10161" ht="22.5" customHeight="1">
      <c r="B10161" s="42" t="str">
        <f>IFERROR(__xludf.DUMMYFUNCTION("""COMPUTED_VALUE"""),"L/7/171225/1")</f>
        <v>L/7/171225/1</v>
      </c>
      <c r="C10161" s="42" t="str">
        <f>IFERROR(__xludf.DUMMYFUNCTION("""COMPUTED_VALUE"""),"B. 34/GEDUNG MENENG")</f>
        <v>B. 34/GEDUNG MENENG</v>
      </c>
      <c r="D10161" s="42"/>
      <c r="E10161" s="42"/>
      <c r="F10161" s="48" t="str">
        <f>IFERROR(__xludf.DUMMYFUNCTION("""COMPUTED_VALUE"""),"")</f>
        <v/>
      </c>
      <c r="G10161" s="42" t="str">
        <f>IFERROR(__xludf.DUMMYFUNCTION("""COMPUTED_VALUE"""),"BN WARIS")</f>
        <v>BN WARIS</v>
      </c>
      <c r="H10161" s="42">
        <f t="shared" si="1"/>
        <v>3345</v>
      </c>
    </row>
    <row r="10162" ht="22.5" customHeight="1">
      <c r="B10162" s="42" t="str">
        <f>IFERROR(__xludf.DUMMYFUNCTION("""COMPUTED_VALUE"""),"L/8/171225/1")</f>
        <v>L/8/171225/1</v>
      </c>
      <c r="C10162" s="42" t="str">
        <f>IFERROR(__xludf.DUMMYFUNCTION("""COMPUTED_VALUE"""),"SHMASRS NO 184/I/MASRS/T KEL. TANJUNG KARANG")</f>
        <v>SHMASRS NO 184/I/MASRS/T KEL. TANJUNG KARANG</v>
      </c>
      <c r="D10162" s="42"/>
      <c r="E10162" s="42"/>
      <c r="F10162" s="48" t="str">
        <f>IFERROR(__xludf.DUMMYFUNCTION("""COMPUTED_VALUE"""),"")</f>
        <v/>
      </c>
      <c r="G10162" s="42" t="str">
        <f>IFERROR(__xludf.DUMMYFUNCTION("""COMPUTED_VALUE"""),"ROYA")</f>
        <v>ROYA</v>
      </c>
      <c r="H10162" s="42">
        <f t="shared" si="1"/>
        <v>3345</v>
      </c>
    </row>
    <row r="10163" ht="22.5" customHeight="1">
      <c r="B10163" s="42" t="str">
        <f>IFERROR(__xludf.DUMMYFUNCTION("""COMPUTED_VALUE"""),"L/9/171225/2")</f>
        <v>L/9/171225/2</v>
      </c>
      <c r="C10163" s="42" t="str">
        <f>IFERROR(__xludf.DUMMYFUNCTION("""COMPUTED_VALUE"""),"SHMASRS NO 45/I/MASRS/T KEL. TANJUNG KARANG")</f>
        <v>SHMASRS NO 45/I/MASRS/T KEL. TANJUNG KARANG</v>
      </c>
      <c r="D10163" s="42"/>
      <c r="E10163" s="42"/>
      <c r="F10163" s="48" t="str">
        <f>IFERROR(__xludf.DUMMYFUNCTION("""COMPUTED_VALUE"""),"")</f>
        <v/>
      </c>
      <c r="G10163" s="42" t="str">
        <f>IFERROR(__xludf.DUMMYFUNCTION("""COMPUTED_VALUE"""),"ROYA")</f>
        <v>ROYA</v>
      </c>
      <c r="H10163" s="42">
        <f t="shared" si="1"/>
        <v>3345</v>
      </c>
    </row>
    <row r="10164" ht="22.5" customHeight="1">
      <c r="B10164" s="42" t="str">
        <f>IFERROR(__xludf.DUMMYFUNCTION("""COMPUTED_VALUE"""),"ABDFTEUI")</f>
        <v>ABDFTEUI</v>
      </c>
      <c r="C10164" s="42" t="str">
        <f>IFERROR(__xludf.DUMMYFUNCTION("""COMPUTED_VALUE"""),"M 588/ GUNUNG AGUNG")</f>
        <v>M 588/ GUNUNG AGUNG</v>
      </c>
      <c r="D10164" s="42"/>
      <c r="E10164" s="42"/>
      <c r="F10164" s="48" t="str">
        <f>IFERROR(__xludf.DUMMYFUNCTION("""COMPUTED_VALUE"""),"")</f>
        <v/>
      </c>
      <c r="G10164" s="42" t="str">
        <f>IFERROR(__xludf.DUMMYFUNCTION("""COMPUTED_VALUE"""),"Peralihan Hak Jual Beli")</f>
        <v>Peralihan Hak Jual Beli</v>
      </c>
      <c r="H10164" s="42">
        <f t="shared" si="1"/>
        <v>3345</v>
      </c>
    </row>
    <row r="10165" ht="22.5" customHeight="1">
      <c r="B10165" s="42" t="str">
        <f>IFERROR(__xludf.DUMMYFUNCTION("""COMPUTED_VALUE"""),"L/10/171225/1")</f>
        <v>L/10/171225/1</v>
      </c>
      <c r="C10165" s="42" t="str">
        <f>IFERROR(__xludf.DUMMYFUNCTION("""COMPUTED_VALUE"""),"M. 11750/LABUHAN RATU")</f>
        <v>M. 11750/LABUHAN RATU</v>
      </c>
      <c r="D10165" s="42"/>
      <c r="E10165" s="42"/>
      <c r="F10165" s="48" t="str">
        <f>IFERROR(__xludf.DUMMYFUNCTION("""COMPUTED_VALUE"""),"")</f>
        <v/>
      </c>
      <c r="G10165" s="42" t="str">
        <f>IFERROR(__xludf.DUMMYFUNCTION("""COMPUTED_VALUE"""),"ROYA LELANG")</f>
        <v>ROYA LELANG</v>
      </c>
      <c r="H10165" s="42">
        <f t="shared" si="1"/>
        <v>3345</v>
      </c>
    </row>
    <row r="10166" ht="22.5" customHeight="1">
      <c r="B10166" s="42" t="str">
        <f>IFERROR(__xludf.DUMMYFUNCTION("""COMPUTED_VALUE"""),"AB072-ABUHWRFG")</f>
        <v>AB072-ABUHWRFG</v>
      </c>
      <c r="C10166" s="42" t="str">
        <f>IFERROR(__xludf.DUMMYFUNCTION("""COMPUTED_VALUE"""),"M.2271 SEPANG JAYA")</f>
        <v>M.2271 SEPANG JAYA</v>
      </c>
      <c r="D10166" s="42"/>
      <c r="E10166" s="42"/>
      <c r="F10166" s="48" t="str">
        <f>IFERROR(__xludf.DUMMYFUNCTION("""COMPUTED_VALUE"""),"")</f>
        <v/>
      </c>
      <c r="G10166" s="42" t="str">
        <f>IFERROR(__xludf.DUMMYFUNCTION("""COMPUTED_VALUE"""),"BALIK NAMA")</f>
        <v>BALIK NAMA</v>
      </c>
      <c r="H10166" s="42">
        <f t="shared" si="1"/>
        <v>3345</v>
      </c>
    </row>
    <row r="10167" ht="22.5" customHeight="1">
      <c r="B10167" s="42" t="str">
        <f>IFERROR(__xludf.DUMMYFUNCTION("""COMPUTED_VALUE"""),"AB072-ABRMBTGQ")</f>
        <v>AB072-ABRMBTGQ</v>
      </c>
      <c r="C10167" s="42" t="str">
        <f>IFERROR(__xludf.DUMMYFUNCTION("""COMPUTED_VALUE"""),"NIBEL M.23255 KALI BALAU KENCANA")</f>
        <v>NIBEL M.23255 KALI BALAU KENCANA</v>
      </c>
      <c r="D10167" s="42"/>
      <c r="E10167" s="42"/>
      <c r="F10167" s="48" t="str">
        <f>IFERROR(__xludf.DUMMYFUNCTION("""COMPUTED_VALUE"""),"")</f>
        <v/>
      </c>
      <c r="G10167" s="42" t="str">
        <f>IFERROR(__xludf.DUMMYFUNCTION("""COMPUTED_VALUE"""),"BALIK NAMA")</f>
        <v>BALIK NAMA</v>
      </c>
      <c r="H10167" s="42">
        <f t="shared" si="1"/>
        <v>3345</v>
      </c>
    </row>
    <row r="10168" ht="22.5" customHeight="1">
      <c r="B10168" s="42" t="str">
        <f>IFERROR(__xludf.DUMMYFUNCTION("""COMPUTED_VALUE"""),"AB072-ABQHQPIU")</f>
        <v>AB072-ABQHQPIU</v>
      </c>
      <c r="C10168" s="42" t="str">
        <f>IFERROR(__xludf.DUMMYFUNCTION("""COMPUTED_VALUE"""),"NIBEL M. 16456 PANJANG UTARA")</f>
        <v>NIBEL M. 16456 PANJANG UTARA</v>
      </c>
      <c r="D10168" s="42"/>
      <c r="E10168" s="42"/>
      <c r="F10168" s="48" t="str">
        <f>IFERROR(__xludf.DUMMYFUNCTION("""COMPUTED_VALUE"""),"")</f>
        <v/>
      </c>
      <c r="G10168" s="42" t="str">
        <f>IFERROR(__xludf.DUMMYFUNCTION("""COMPUTED_VALUE"""),"BALIK NAMA")</f>
        <v>BALIK NAMA</v>
      </c>
      <c r="H10168" s="42">
        <f t="shared" si="1"/>
        <v>3345</v>
      </c>
    </row>
    <row r="10169" ht="22.5" customHeight="1">
      <c r="B10169" s="42" t="str">
        <f>IFERROR(__xludf.DUMMYFUNCTION("""COMPUTED_VALUE"""),"L/11/171225/1")</f>
        <v>L/11/171225/1</v>
      </c>
      <c r="C10169" s="42" t="str">
        <f>IFERROR(__xludf.DUMMYFUNCTION("""COMPUTED_VALUE"""),"B NIB. 17265/KEMILING PERMAI")</f>
        <v>B NIB. 17265/KEMILING PERMAI</v>
      </c>
      <c r="D10169" s="42"/>
      <c r="E10169" s="42"/>
      <c r="F10169" s="48" t="str">
        <f>IFERROR(__xludf.DUMMYFUNCTION("""COMPUTED_VALUE"""),"")</f>
        <v/>
      </c>
      <c r="G10169" s="42" t="str">
        <f>IFERROR(__xludf.DUMMYFUNCTION("""COMPUTED_VALUE"""),"PENINGKATAN HAK")</f>
        <v>PENINGKATAN HAK</v>
      </c>
      <c r="H10169" s="42">
        <f t="shared" si="1"/>
        <v>3345</v>
      </c>
    </row>
    <row r="10170" ht="22.5" customHeight="1">
      <c r="B10170" s="42" t="str">
        <f>IFERROR(__xludf.DUMMYFUNCTION("""COMPUTED_VALUE"""),"K/6/171225/1")</f>
        <v>K/6/171225/1</v>
      </c>
      <c r="C10170" s="42" t="str">
        <f>IFERROR(__xludf.DUMMYFUNCTION("""COMPUTED_VALUE"""),"M.10872/SUKARAME")</f>
        <v>M.10872/SUKARAME</v>
      </c>
      <c r="D10170" s="42"/>
      <c r="E10170" s="42"/>
      <c r="F10170" s="48" t="str">
        <f>IFERROR(__xludf.DUMMYFUNCTION("""COMPUTED_VALUE"""),"")</f>
        <v/>
      </c>
      <c r="G10170" s="42" t="str">
        <f>IFERROR(__xludf.DUMMYFUNCTION("""COMPUTED_VALUE"""),"SKPT LELANG")</f>
        <v>SKPT LELANG</v>
      </c>
      <c r="H10170" s="42">
        <f t="shared" si="1"/>
        <v>3345</v>
      </c>
    </row>
    <row r="10171" ht="22.5" customHeight="1">
      <c r="B10171" s="42" t="str">
        <f>IFERROR(__xludf.DUMMYFUNCTION("""COMPUTED_VALUE"""),"K/12/171225/1")</f>
        <v>K/12/171225/1</v>
      </c>
      <c r="C10171" s="42" t="str">
        <f>IFERROR(__xludf.DUMMYFUNCTION("""COMPUTED_VALUE"""),"M.10931/SUKABUMI")</f>
        <v>M.10931/SUKABUMI</v>
      </c>
      <c r="D10171" s="42"/>
      <c r="E10171" s="42"/>
      <c r="F10171" s="48" t="str">
        <f>IFERROR(__xludf.DUMMYFUNCTION("""COMPUTED_VALUE"""),"")</f>
        <v/>
      </c>
      <c r="G10171" s="42" t="str">
        <f>IFERROR(__xludf.DUMMYFUNCTION("""COMPUTED_VALUE"""),"BN WARIS")</f>
        <v>BN WARIS</v>
      </c>
      <c r="H10171" s="42">
        <f t="shared" si="1"/>
        <v>3345</v>
      </c>
    </row>
    <row r="10172" ht="22.5" customHeight="1">
      <c r="B10172" s="42" t="str">
        <f>IFERROR(__xludf.DUMMYFUNCTION("""COMPUTED_VALUE"""),"ABCXFQFZ/AB07")</f>
        <v>ABCXFQFZ/AB07</v>
      </c>
      <c r="C10172" s="42" t="str">
        <f>IFERROR(__xludf.DUMMYFUNCTION("""COMPUTED_VALUE"""),"M NIBEL 18305/Jagabaya III")</f>
        <v>M NIBEL 18305/Jagabaya III</v>
      </c>
      <c r="D10172" s="42"/>
      <c r="E10172" s="42"/>
      <c r="F10172" s="48" t="str">
        <f>IFERROR(__xludf.DUMMYFUNCTION("""COMPUTED_VALUE"""),"")</f>
        <v/>
      </c>
      <c r="G10172" s="42" t="str">
        <f>IFERROR(__xludf.DUMMYFUNCTION("""COMPUTED_VALUE"""),"BN Jual Beli")</f>
        <v>BN Jual Beli</v>
      </c>
      <c r="H10172" s="42">
        <f t="shared" si="1"/>
        <v>3345</v>
      </c>
    </row>
    <row r="10173" ht="22.5" customHeight="1">
      <c r="B10173" s="42" t="str">
        <f>IFERROR(__xludf.DUMMYFUNCTION("""COMPUTED_VALUE"""),"AB008-ABGKZBHJ")</f>
        <v>AB008-ABGKZBHJ</v>
      </c>
      <c r="C10173" s="42" t="str">
        <f>IFERROR(__xludf.DUMMYFUNCTION("""COMPUTED_VALUE"""),"NIBEL M.23801 BUMI KEDAMAIAN")</f>
        <v>NIBEL M.23801 BUMI KEDAMAIAN</v>
      </c>
      <c r="D10173" s="42"/>
      <c r="E10173" s="42"/>
      <c r="F10173" s="48" t="str">
        <f>IFERROR(__xludf.DUMMYFUNCTION("""COMPUTED_VALUE"""),"")</f>
        <v/>
      </c>
      <c r="G10173" s="42" t="str">
        <f>IFERROR(__xludf.DUMMYFUNCTION("""COMPUTED_VALUE"""),"Peralihan hak hibah")</f>
        <v>Peralihan hak hibah</v>
      </c>
      <c r="H10173" s="42">
        <f t="shared" si="1"/>
        <v>3345</v>
      </c>
    </row>
    <row r="10174" ht="22.5" customHeight="1">
      <c r="B10174" s="42" t="str">
        <f>IFERROR(__xludf.DUMMYFUNCTION("""COMPUTED_VALUE"""),"ABNVHODP")</f>
        <v>ABNVHODP</v>
      </c>
      <c r="C10174" s="42" t="str">
        <f>IFERROR(__xludf.DUMMYFUNCTION("""COMPUTED_VALUE"""),"M.28196/tanjung gading")</f>
        <v>M.28196/tanjung gading</v>
      </c>
      <c r="D10174" s="42"/>
      <c r="E10174" s="42"/>
      <c r="F10174" s="48" t="str">
        <f>IFERROR(__xludf.DUMMYFUNCTION("""COMPUTED_VALUE"""),"")</f>
        <v/>
      </c>
      <c r="G10174" s="42" t="str">
        <f>IFERROR(__xludf.DUMMYFUNCTION("""COMPUTED_VALUE"""),"Balik Nama ")</f>
        <v>Balik Nama </v>
      </c>
      <c r="H10174" s="42">
        <f t="shared" si="1"/>
        <v>3345</v>
      </c>
    </row>
    <row r="10175" ht="22.5" customHeight="1">
      <c r="B10175" s="42" t="str">
        <f>IFERROR(__xludf.DUMMYFUNCTION("""COMPUTED_VALUE"""),"ABDZJZMP")</f>
        <v>ABDZJZMP</v>
      </c>
      <c r="C10175" s="42" t="str">
        <f>IFERROR(__xludf.DUMMYFUNCTION("""COMPUTED_VALUE"""),"M.28195/Tanjung Gading ")</f>
        <v>M.28195/Tanjung Gading </v>
      </c>
      <c r="D10175" s="42"/>
      <c r="E10175" s="42"/>
      <c r="F10175" s="48" t="str">
        <f>IFERROR(__xludf.DUMMYFUNCTION("""COMPUTED_VALUE"""),"")</f>
        <v/>
      </c>
      <c r="G10175" s="42" t="str">
        <f>IFERROR(__xludf.DUMMYFUNCTION("""COMPUTED_VALUE"""),"Balik Nama ")</f>
        <v>Balik Nama </v>
      </c>
      <c r="H10175" s="42">
        <f t="shared" si="1"/>
        <v>3345</v>
      </c>
    </row>
    <row r="10176" ht="22.5" customHeight="1">
      <c r="B10176" s="42" t="str">
        <f>IFERROR(__xludf.DUMMYFUNCTION("""COMPUTED_VALUE"""),"ABGDUKYS/AB049")</f>
        <v>ABGDUKYS/AB049</v>
      </c>
      <c r="C10176" s="42" t="str">
        <f>IFERROR(__xludf.DUMMYFUNCTION("""COMPUTED_VALUE"""),"B 610/Sukarame Baru")</f>
        <v>B 610/Sukarame Baru</v>
      </c>
      <c r="D10176" s="42"/>
      <c r="E10176" s="42"/>
      <c r="F10176" s="48" t="str">
        <f>IFERROR(__xludf.DUMMYFUNCTION("""COMPUTED_VALUE"""),"")</f>
        <v/>
      </c>
      <c r="G10176" s="42" t="str">
        <f>IFERROR(__xludf.DUMMYFUNCTION("""COMPUTED_VALUE"""),"BN Jual Beli")</f>
        <v>BN Jual Beli</v>
      </c>
      <c r="H10176" s="42">
        <f t="shared" si="1"/>
        <v>3345</v>
      </c>
    </row>
    <row r="10177" ht="22.5" customHeight="1">
      <c r="B10177" s="42" t="str">
        <f>IFERROR(__xludf.DUMMYFUNCTION("""COMPUTED_VALUE"""),"K/13/171225/2")</f>
        <v>K/13/171225/2</v>
      </c>
      <c r="C10177" s="42" t="str">
        <f>IFERROR(__xludf.DUMMYFUNCTION("""COMPUTED_VALUE"""),"PBT 245/2025 RAJABASA JAYA")</f>
        <v>PBT 245/2025 RAJABASA JAYA</v>
      </c>
      <c r="D10177" s="42"/>
      <c r="E10177" s="42"/>
      <c r="F10177" s="48" t="str">
        <f>IFERROR(__xludf.DUMMYFUNCTION("""COMPUTED_VALUE"""),"")</f>
        <v/>
      </c>
      <c r="G10177" s="42" t="str">
        <f>IFERROR(__xludf.DUMMYFUNCTION("""COMPUTED_VALUE"""),"PTPGT TANAH MENTAH")</f>
        <v>PTPGT TANAH MENTAH</v>
      </c>
      <c r="H10177" s="42">
        <f t="shared" si="1"/>
        <v>3345</v>
      </c>
    </row>
    <row r="10178" ht="22.5" customHeight="1">
      <c r="B10178" s="42" t="str">
        <f>IFERROR(__xludf.DUMMYFUNCTION("""COMPUTED_VALUE"""),"ABZOSMQC")</f>
        <v>ABZOSMQC</v>
      </c>
      <c r="C10178" s="42" t="str">
        <f>IFERROR(__xludf.DUMMYFUNCTION("""COMPUTED_VALUE"""),"M.1331/Way Lunik ")</f>
        <v>M.1331/Way Lunik </v>
      </c>
      <c r="D10178" s="42"/>
      <c r="E10178" s="42"/>
      <c r="F10178" s="48" t="str">
        <f>IFERROR(__xludf.DUMMYFUNCTION("""COMPUTED_VALUE"""),"")</f>
        <v/>
      </c>
      <c r="G10178" s="42" t="str">
        <f>IFERROR(__xludf.DUMMYFUNCTION("""COMPUTED_VALUE"""),"Balik Nama ")</f>
        <v>Balik Nama </v>
      </c>
      <c r="H10178" s="42">
        <f t="shared" si="1"/>
        <v>3345</v>
      </c>
    </row>
    <row r="10179" ht="22.5" customHeight="1">
      <c r="B10179" s="42" t="str">
        <f>IFERROR(__xludf.DUMMYFUNCTION("""COMPUTED_VALUE"""),"K/1/181225/1")</f>
        <v>K/1/181225/1</v>
      </c>
      <c r="C10179" s="42" t="str">
        <f>IFERROR(__xludf.DUMMYFUNCTION("""COMPUTED_VALUE"""),"M. 624/SUKARAME II")</f>
        <v>M. 624/SUKARAME II</v>
      </c>
      <c r="D10179" s="42"/>
      <c r="E10179" s="42"/>
      <c r="F10179" s="48" t="str">
        <f>IFERROR(__xludf.DUMMYFUNCTION("""COMPUTED_VALUE"""),"")</f>
        <v/>
      </c>
      <c r="G10179" s="42" t="str">
        <f>IFERROR(__xludf.DUMMYFUNCTION("""COMPUTED_VALUE"""),"PTPGT PEMECAHAN")</f>
        <v>PTPGT PEMECAHAN</v>
      </c>
      <c r="H10179" s="42">
        <f t="shared" si="1"/>
        <v>3345</v>
      </c>
    </row>
    <row r="10180" ht="22.5" customHeight="1">
      <c r="B10180" s="42" t="str">
        <f>IFERROR(__xludf.DUMMYFUNCTION("""COMPUTED_VALUE"""),"ABAFTOGK")</f>
        <v>ABAFTOGK</v>
      </c>
      <c r="C10180" s="42" t="str">
        <f>IFERROR(__xludf.DUMMYFUNCTION("""COMPUTED_VALUE"""),"M. 583/Way Lunik ")</f>
        <v>M. 583/Way Lunik </v>
      </c>
      <c r="D10180" s="42"/>
      <c r="E10180" s="42"/>
      <c r="F10180" s="48" t="str">
        <f>IFERROR(__xludf.DUMMYFUNCTION("""COMPUTED_VALUE"""),"")</f>
        <v/>
      </c>
      <c r="G10180" s="42" t="str">
        <f>IFERROR(__xludf.DUMMYFUNCTION("""COMPUTED_VALUE"""),"Balik Nama ")</f>
        <v>Balik Nama </v>
      </c>
      <c r="H10180" s="42">
        <f t="shared" si="1"/>
        <v>3345</v>
      </c>
    </row>
    <row r="10181" ht="22.5" customHeight="1">
      <c r="B10181" s="42" t="str">
        <f>IFERROR(__xludf.DUMMYFUNCTION("""COMPUTED_VALUE"""),"AB0024 ABGEAXFQ")</f>
        <v>AB0024 ABGEAXFQ</v>
      </c>
      <c r="C10181" s="42" t="str">
        <f>IFERROR(__xludf.DUMMYFUNCTION("""COMPUTED_VALUE"""),"M 239/ BILABONG JAYA")</f>
        <v>M 239/ BILABONG JAYA</v>
      </c>
      <c r="D10181" s="42"/>
      <c r="E10181" s="42"/>
      <c r="F10181" s="48" t="str">
        <f>IFERROR(__xludf.DUMMYFUNCTION("""COMPUTED_VALUE"""),"")</f>
        <v/>
      </c>
      <c r="G10181" s="42" t="str">
        <f>IFERROR(__xludf.DUMMYFUNCTION("""COMPUTED_VALUE"""),"Balik Nama Jual Beli")</f>
        <v>Balik Nama Jual Beli</v>
      </c>
      <c r="H10181" s="42">
        <f t="shared" si="1"/>
        <v>3345</v>
      </c>
    </row>
    <row r="10182" ht="22.5" customHeight="1">
      <c r="B10182" s="42" t="str">
        <f>IFERROR(__xludf.DUMMYFUNCTION("""COMPUTED_VALUE"""),"L/2/181225/1")</f>
        <v>L/2/181225/1</v>
      </c>
      <c r="C10182" s="42" t="str">
        <f>IFERROR(__xludf.DUMMYFUNCTION("""COMPUTED_VALUE"""),"M. 11794/SUKABUMI")</f>
        <v>M. 11794/SUKABUMI</v>
      </c>
      <c r="D10182" s="42"/>
      <c r="E10182" s="42"/>
      <c r="F10182" s="48" t="str">
        <f>IFERROR(__xludf.DUMMYFUNCTION("""COMPUTED_VALUE"""),"")</f>
        <v/>
      </c>
      <c r="G10182" s="42" t="str">
        <f>IFERROR(__xludf.DUMMYFUNCTION("""COMPUTED_VALUE"""),"ROYA")</f>
        <v>ROYA</v>
      </c>
      <c r="H10182" s="42">
        <f t="shared" si="1"/>
        <v>3345</v>
      </c>
    </row>
    <row r="10183" ht="22.5" customHeight="1">
      <c r="B10183" s="42" t="str">
        <f>IFERROR(__xludf.DUMMYFUNCTION("""COMPUTED_VALUE"""),"L/3/181225/1")</f>
        <v>L/3/181225/1</v>
      </c>
      <c r="C10183" s="42" t="str">
        <f>IFERROR(__xludf.DUMMYFUNCTION("""COMPUTED_VALUE"""),"M NIB. 27107/SUKARAME")</f>
        <v>M NIB. 27107/SUKARAME</v>
      </c>
      <c r="D10183" s="42"/>
      <c r="E10183" s="42"/>
      <c r="F10183" s="48" t="str">
        <f>IFERROR(__xludf.DUMMYFUNCTION("""COMPUTED_VALUE"""),"")</f>
        <v/>
      </c>
      <c r="G10183" s="42" t="str">
        <f>IFERROR(__xludf.DUMMYFUNCTION("""COMPUTED_VALUE"""),"PENATAAN BATAS")</f>
        <v>PENATAAN BATAS</v>
      </c>
      <c r="H10183" s="42">
        <f t="shared" si="1"/>
        <v>3345</v>
      </c>
    </row>
    <row r="10184" ht="22.5" customHeight="1">
      <c r="B10184" s="42" t="str">
        <f>IFERROR(__xludf.DUMMYFUNCTION("""COMPUTED_VALUE"""),"ABVZSSHE/1")</f>
        <v>ABVZSSHE/1</v>
      </c>
      <c r="C10184" s="42" t="str">
        <f>IFERROR(__xludf.DUMMYFUNCTION("""COMPUTED_VALUE"""),"M.00690/Campang Jaya")</f>
        <v>M.00690/Campang Jaya</v>
      </c>
      <c r="D10184" s="42"/>
      <c r="E10184" s="42"/>
      <c r="F10184" s="48" t="str">
        <f>IFERROR(__xludf.DUMMYFUNCTION("""COMPUTED_VALUE"""),"")</f>
        <v/>
      </c>
      <c r="G10184" s="42" t="str">
        <f>IFERROR(__xludf.DUMMYFUNCTION("""COMPUTED_VALUE"""),"AJB BN")</f>
        <v>AJB BN</v>
      </c>
      <c r="H10184" s="42">
        <f t="shared" si="1"/>
        <v>3345</v>
      </c>
    </row>
    <row r="10185" ht="22.5" customHeight="1">
      <c r="B10185" s="42" t="str">
        <f>IFERROR(__xludf.DUMMYFUNCTION("""COMPUTED_VALUE"""),"ABCBLPIN/1")</f>
        <v>ABCBLPIN/1</v>
      </c>
      <c r="C10185" s="42" t="str">
        <f>IFERROR(__xludf.DUMMYFUNCTION("""COMPUTED_VALUE"""),"M.00207/Sukarame Baru")</f>
        <v>M.00207/Sukarame Baru</v>
      </c>
      <c r="D10185" s="42"/>
      <c r="E10185" s="42"/>
      <c r="F10185" s="48" t="str">
        <f>IFERROR(__xludf.DUMMYFUNCTION("""COMPUTED_VALUE"""),"")</f>
        <v/>
      </c>
      <c r="G10185" s="42" t="str">
        <f>IFERROR(__xludf.DUMMYFUNCTION("""COMPUTED_VALUE"""),"Ajb Bn")</f>
        <v>Ajb Bn</v>
      </c>
      <c r="H10185" s="42">
        <f t="shared" si="1"/>
        <v>3345</v>
      </c>
    </row>
    <row r="10186" ht="22.5" customHeight="1">
      <c r="B10186" s="42" t="str">
        <f>IFERROR(__xludf.DUMMYFUNCTION("""COMPUTED_VALUE"""),"ABIDFHHZ/1")</f>
        <v>ABIDFHHZ/1</v>
      </c>
      <c r="C10186" s="42" t="str">
        <f>IFERROR(__xludf.DUMMYFUNCTION("""COMPUTED_VALUE"""),"NIB. 08.01.000028283.0/Kampung Baru")</f>
        <v>NIB. 08.01.000028283.0/Kampung Baru</v>
      </c>
      <c r="D10186" s="42"/>
      <c r="E10186" s="42"/>
      <c r="F10186" s="48" t="str">
        <f>IFERROR(__xludf.DUMMYFUNCTION("""COMPUTED_VALUE"""),"")</f>
        <v/>
      </c>
      <c r="G10186" s="42" t="str">
        <f>IFERROR(__xludf.DUMMYFUNCTION("""COMPUTED_VALUE"""),"Ajb Bn")</f>
        <v>Ajb Bn</v>
      </c>
      <c r="H10186" s="42">
        <f t="shared" si="1"/>
        <v>3345</v>
      </c>
    </row>
    <row r="10187" ht="22.5" customHeight="1">
      <c r="B10187" s="42" t="str">
        <f>IFERROR(__xludf.DUMMYFUNCTION("""COMPUTED_VALUE"""),"AB045- ABCDZOSX")</f>
        <v>AB045- ABCDZOSX</v>
      </c>
      <c r="C10187" s="42" t="str">
        <f>IFERROR(__xludf.DUMMYFUNCTION("""COMPUTED_VALUE"""),"M.1646 RAJABASA PEMUKA")</f>
        <v>M.1646 RAJABASA PEMUKA</v>
      </c>
      <c r="D10187" s="42"/>
      <c r="E10187" s="42"/>
      <c r="F10187" s="48" t="str">
        <f>IFERROR(__xludf.DUMMYFUNCTION("""COMPUTED_VALUE"""),"")</f>
        <v/>
      </c>
      <c r="G10187" s="42" t="str">
        <f>IFERROR(__xludf.DUMMYFUNCTION("""COMPUTED_VALUE"""),"BALIK NAMA")</f>
        <v>BALIK NAMA</v>
      </c>
      <c r="H10187" s="42">
        <f t="shared" si="1"/>
        <v>3345</v>
      </c>
    </row>
    <row r="10188" ht="22.5" customHeight="1">
      <c r="B10188" s="42" t="str">
        <f>IFERROR(__xludf.DUMMYFUNCTION("""COMPUTED_VALUE"""),"ABKNNDRF")</f>
        <v>ABKNNDRF</v>
      </c>
      <c r="C10188" s="42" t="str">
        <f>IFERROR(__xludf.DUMMYFUNCTION("""COMPUTED_VALUE"""),"M 1327/ WAY HALIM PERMAI")</f>
        <v>M 1327/ WAY HALIM PERMAI</v>
      </c>
      <c r="D10188" s="42"/>
      <c r="E10188" s="42"/>
      <c r="F10188" s="48" t="str">
        <f>IFERROR(__xludf.DUMMYFUNCTION("""COMPUTED_VALUE"""),"")</f>
        <v/>
      </c>
      <c r="G10188" s="42" t="str">
        <f>IFERROR(__xludf.DUMMYFUNCTION("""COMPUTED_VALUE"""),"Balik nama hibah")</f>
        <v>Balik nama hibah</v>
      </c>
      <c r="H10188" s="42">
        <f t="shared" si="1"/>
        <v>3345</v>
      </c>
    </row>
    <row r="10189" ht="22.5" customHeight="1">
      <c r="B10189" s="42" t="str">
        <f>IFERROR(__xludf.DUMMYFUNCTION("""COMPUTED_VALUE"""),"AB061-ABCCRDBX")</f>
        <v>AB061-ABCCRDBX</v>
      </c>
      <c r="C10189" s="42" t="str">
        <f>IFERROR(__xludf.DUMMYFUNCTION("""COMPUTED_VALUE"""),"M.497 KEBON JERUK")</f>
        <v>M.497 KEBON JERUK</v>
      </c>
      <c r="D10189" s="42"/>
      <c r="E10189" s="42"/>
      <c r="F10189" s="48" t="str">
        <f>IFERROR(__xludf.DUMMYFUNCTION("""COMPUTED_VALUE"""),"")</f>
        <v/>
      </c>
      <c r="G10189" s="42" t="str">
        <f>IFERROR(__xludf.DUMMYFUNCTION("""COMPUTED_VALUE"""),"Roya")</f>
        <v>Roya</v>
      </c>
      <c r="H10189" s="42">
        <f t="shared" si="1"/>
        <v>3345</v>
      </c>
    </row>
    <row r="10190" ht="22.5" customHeight="1">
      <c r="B10190" s="42" t="str">
        <f>IFERROR(__xludf.DUMMYFUNCTION("""COMPUTED_VALUE"""),"AB061-ABFZRCZR")</f>
        <v>AB061-ABFZRCZR</v>
      </c>
      <c r="C10190" s="42" t="str">
        <f>IFERROR(__xludf.DUMMYFUNCTION("""COMPUTED_VALUE"""),"M.13775 SUKABUMI")</f>
        <v>M.13775 SUKABUMI</v>
      </c>
      <c r="D10190" s="42"/>
      <c r="E10190" s="42"/>
      <c r="F10190" s="48" t="str">
        <f>IFERROR(__xludf.DUMMYFUNCTION("""COMPUTED_VALUE"""),"")</f>
        <v/>
      </c>
      <c r="G10190" s="42" t="str">
        <f>IFERROR(__xludf.DUMMYFUNCTION("""COMPUTED_VALUE"""),"Balik Nama")</f>
        <v>Balik Nama</v>
      </c>
      <c r="H10190" s="42">
        <f t="shared" si="1"/>
        <v>3345</v>
      </c>
    </row>
    <row r="10191" ht="22.5" customHeight="1">
      <c r="B10191" s="42" t="str">
        <f>IFERROR(__xludf.DUMMYFUNCTION("""COMPUTED_VALUE"""),"ABLMZYOY")</f>
        <v>ABLMZYOY</v>
      </c>
      <c r="C10191" s="42" t="str">
        <f>IFERROR(__xludf.DUMMYFUNCTION("""COMPUTED_VALUE"""),"M.1332/WHP")</f>
        <v>M.1332/WHP</v>
      </c>
      <c r="D10191" s="42"/>
      <c r="E10191" s="42"/>
      <c r="F10191" s="48" t="str">
        <f>IFERROR(__xludf.DUMMYFUNCTION("""COMPUTED_VALUE"""),"")</f>
        <v/>
      </c>
      <c r="G10191" s="42" t="str">
        <f>IFERROR(__xludf.DUMMYFUNCTION("""COMPUTED_VALUE"""),"Balik nama")</f>
        <v>Balik nama</v>
      </c>
      <c r="H10191" s="42">
        <f t="shared" si="1"/>
        <v>3345</v>
      </c>
    </row>
    <row r="10192" ht="22.5" customHeight="1">
      <c r="B10192" s="42" t="str">
        <f>IFERROR(__xludf.DUMMYFUNCTION("""COMPUTED_VALUE"""),"ABMDASLL")</f>
        <v>ABMDASLL</v>
      </c>
      <c r="C10192" s="42" t="str">
        <f>IFERROR(__xludf.DUMMYFUNCTION("""COMPUTED_VALUE"""),"M.2447/ B.W")</f>
        <v>M.2447/ B.W</v>
      </c>
      <c r="D10192" s="42"/>
      <c r="E10192" s="42"/>
      <c r="F10192" s="48" t="str">
        <f>IFERROR(__xludf.DUMMYFUNCTION("""COMPUTED_VALUE"""),"")</f>
        <v/>
      </c>
      <c r="G10192" s="42" t="str">
        <f>IFERROR(__xludf.DUMMYFUNCTION("""COMPUTED_VALUE"""),"BN Hibah")</f>
        <v>BN Hibah</v>
      </c>
      <c r="H10192" s="42">
        <f t="shared" si="1"/>
        <v>3345</v>
      </c>
    </row>
    <row r="10193" ht="22.5" customHeight="1">
      <c r="B10193" s="42" t="str">
        <f>IFERROR(__xludf.DUMMYFUNCTION("""COMPUTED_VALUE"""),"ABZINJML")</f>
        <v>ABZINJML</v>
      </c>
      <c r="C10193" s="42" t="str">
        <f>IFERROR(__xludf.DUMMYFUNCTION("""COMPUTED_VALUE"""),"B 497/ SUKAMAJU")</f>
        <v>B 497/ SUKAMAJU</v>
      </c>
      <c r="D10193" s="42"/>
      <c r="E10193" s="42"/>
      <c r="F10193" s="48" t="str">
        <f>IFERROR(__xludf.DUMMYFUNCTION("""COMPUTED_VALUE"""),"")</f>
        <v/>
      </c>
      <c r="G10193" s="42" t="str">
        <f>IFERROR(__xludf.DUMMYFUNCTION("""COMPUTED_VALUE"""),"Ganti tanggal lahir ")</f>
        <v>Ganti tanggal lahir </v>
      </c>
      <c r="H10193" s="42">
        <f t="shared" si="1"/>
        <v>3345</v>
      </c>
    </row>
    <row r="10194" ht="22.5" customHeight="1">
      <c r="B10194" s="42" t="str">
        <f>IFERROR(__xludf.DUMMYFUNCTION("""COMPUTED_VALUE"""),"ABLUKSZG/AB018")</f>
        <v>ABLUKSZG/AB018</v>
      </c>
      <c r="C10194" s="42" t="str">
        <f>IFERROR(__xludf.DUMMYFUNCTION("""COMPUTED_VALUE"""),"M. 662/Labuhan Ratu Raya")</f>
        <v>M. 662/Labuhan Ratu Raya</v>
      </c>
      <c r="D10194" s="42"/>
      <c r="E10194" s="42"/>
      <c r="F10194" s="48" t="str">
        <f>IFERROR(__xludf.DUMMYFUNCTION("""COMPUTED_VALUE"""),"")</f>
        <v/>
      </c>
      <c r="G10194" s="42" t="str">
        <f>IFERROR(__xludf.DUMMYFUNCTION("""COMPUTED_VALUE"""),"Bn jual beli")</f>
        <v>Bn jual beli</v>
      </c>
      <c r="H10194" s="42">
        <f t="shared" si="1"/>
        <v>3345</v>
      </c>
    </row>
    <row r="10195" ht="22.5" customHeight="1">
      <c r="B10195" s="42" t="str">
        <f>IFERROR(__xludf.DUMMYFUNCTION("""COMPUTED_VALUE"""),"K/4/181225/1")</f>
        <v>K/4/181225/1</v>
      </c>
      <c r="C10195" s="42" t="str">
        <f>IFERROR(__xludf.DUMMYFUNCTION("""COMPUTED_VALUE"""),"M. 12887/SUKABUMI")</f>
        <v>M. 12887/SUKABUMI</v>
      </c>
      <c r="D10195" s="42"/>
      <c r="E10195" s="42"/>
      <c r="F10195" s="48" t="str">
        <f>IFERROR(__xludf.DUMMYFUNCTION("""COMPUTED_VALUE"""),"")</f>
        <v/>
      </c>
      <c r="G10195" s="42" t="str">
        <f>IFERROR(__xludf.DUMMYFUNCTION("""COMPUTED_VALUE"""),"PTPGT")</f>
        <v>PTPGT</v>
      </c>
      <c r="H10195" s="42">
        <f t="shared" si="1"/>
        <v>3345</v>
      </c>
    </row>
    <row r="10196" ht="22.5" customHeight="1">
      <c r="B10196" s="42" t="str">
        <f>IFERROR(__xludf.DUMMYFUNCTION("""COMPUTED_VALUE"""),"ABUEPBIV")</f>
        <v>ABUEPBIV</v>
      </c>
      <c r="C10196" s="42" t="str">
        <f>IFERROR(__xludf.DUMMYFUNCTION("""COMPUTED_VALUE"""),"M. 830/Jg.III")</f>
        <v>M. 830/Jg.III</v>
      </c>
      <c r="D10196" s="42"/>
      <c r="E10196" s="42"/>
      <c r="F10196" s="48" t="str">
        <f>IFERROR(__xludf.DUMMYFUNCTION("""COMPUTED_VALUE"""),"")</f>
        <v/>
      </c>
      <c r="G10196" s="42" t="str">
        <f>IFERROR(__xludf.DUMMYFUNCTION("""COMPUTED_VALUE"""),"Roya")</f>
        <v>Roya</v>
      </c>
      <c r="H10196" s="42">
        <f t="shared" si="1"/>
        <v>3345</v>
      </c>
    </row>
    <row r="10197" ht="22.5" customHeight="1">
      <c r="B10197" s="42" t="str">
        <f>IFERROR(__xludf.DUMMYFUNCTION("""COMPUTED_VALUE"""),"ABXCSXKC")</f>
        <v>ABXCSXKC</v>
      </c>
      <c r="C10197" s="42" t="str">
        <f>IFERROR(__xludf.DUMMYFUNCTION("""COMPUTED_VALUE"""),"SHM NIB.08.01.000026223.0")</f>
        <v>SHM NIB.08.01.000026223.0</v>
      </c>
      <c r="D10197" s="42"/>
      <c r="E10197" s="42"/>
      <c r="F10197" s="48" t="str">
        <f>IFERROR(__xludf.DUMMYFUNCTION("""COMPUTED_VALUE"""),"")</f>
        <v/>
      </c>
      <c r="G10197" s="42" t="str">
        <f>IFERROR(__xludf.DUMMYFUNCTION("""COMPUTED_VALUE"""),"balik nama")</f>
        <v>balik nama</v>
      </c>
      <c r="H10197" s="42">
        <f t="shared" si="1"/>
        <v>3345</v>
      </c>
    </row>
    <row r="10198" ht="22.5" customHeight="1">
      <c r="B10198" s="42" t="str">
        <f>IFERROR(__xludf.DUMMYFUNCTION("""COMPUTED_VALUE"""),"ABGUIIJK")</f>
        <v>ABGUIIJK</v>
      </c>
      <c r="C10198" s="42" t="str">
        <f>IFERROR(__xludf.DUMMYFUNCTION("""COMPUTED_VALUE"""),"M 69/ NUSANTARA PERMAI")</f>
        <v>M 69/ NUSANTARA PERMAI</v>
      </c>
      <c r="D10198" s="42"/>
      <c r="E10198" s="42"/>
      <c r="F10198" s="48" t="str">
        <f>IFERROR(__xludf.DUMMYFUNCTION("""COMPUTED_VALUE"""),"")</f>
        <v/>
      </c>
      <c r="G10198" s="42" t="str">
        <f>IFERROR(__xludf.DUMMYFUNCTION("""COMPUTED_VALUE"""),"ROYA")</f>
        <v>ROYA</v>
      </c>
      <c r="H10198" s="42">
        <f t="shared" si="1"/>
        <v>3345</v>
      </c>
    </row>
    <row r="10199" ht="22.5" customHeight="1">
      <c r="B10199" s="42" t="str">
        <f>IFERROR(__xludf.DUMMYFUNCTION("""COMPUTED_VALUE"""),"AB068-ABWGDLSV")</f>
        <v>AB068-ABWGDLSV</v>
      </c>
      <c r="C10199" s="42" t="str">
        <f>IFERROR(__xludf.DUMMYFUNCTION("""COMPUTED_VALUE"""),"M 1503/sumberejo sejahtera")</f>
        <v>M 1503/sumberejo sejahtera</v>
      </c>
      <c r="D10199" s="42"/>
      <c r="E10199" s="42"/>
      <c r="F10199" s="48" t="str">
        <f>IFERROR(__xludf.DUMMYFUNCTION("""COMPUTED_VALUE"""),"")</f>
        <v/>
      </c>
      <c r="G10199" s="42" t="str">
        <f>IFERROR(__xludf.DUMMYFUNCTION("""COMPUTED_VALUE"""),"Balik Nama ")</f>
        <v>Balik Nama </v>
      </c>
      <c r="H10199" s="42">
        <f t="shared" si="1"/>
        <v>3345</v>
      </c>
    </row>
    <row r="10200" ht="22.5" customHeight="1">
      <c r="B10200" s="42" t="str">
        <f>IFERROR(__xludf.DUMMYFUNCTION("""COMPUTED_VALUE"""),"K/5/181225/1")</f>
        <v>K/5/181225/1</v>
      </c>
      <c r="C10200" s="42" t="str">
        <f>IFERROR(__xludf.DUMMYFUNCTION("""COMPUTED_VALUE"""),"NIBEL B. 28180/SUMBERREJO SEJAHTERA")</f>
        <v>NIBEL B. 28180/SUMBERREJO SEJAHTERA</v>
      </c>
      <c r="D10200" s="42"/>
      <c r="E10200" s="42"/>
      <c r="F10200" s="48" t="str">
        <f>IFERROR(__xludf.DUMMYFUNCTION("""COMPUTED_VALUE"""),"")</f>
        <v/>
      </c>
      <c r="G10200" s="42" t="str">
        <f>IFERROR(__xludf.DUMMYFUNCTION("""COMPUTED_VALUE"""),"PENINGKATAN HAK")</f>
        <v>PENINGKATAN HAK</v>
      </c>
      <c r="H10200" s="42">
        <f t="shared" si="1"/>
        <v>3345</v>
      </c>
    </row>
    <row r="10201" ht="22.5" customHeight="1">
      <c r="B10201" s="42" t="str">
        <f>IFERROR(__xludf.DUMMYFUNCTION("""COMPUTED_VALUE"""),"K/6/181225/1")</f>
        <v>K/6/181225/1</v>
      </c>
      <c r="C10201" s="42" t="str">
        <f>IFERROR(__xludf.DUMMYFUNCTION("""COMPUTED_VALUE"""),"M. 2223/DURIAN PAYUNG")</f>
        <v>M. 2223/DURIAN PAYUNG</v>
      </c>
      <c r="D10201" s="42"/>
      <c r="E10201" s="42"/>
      <c r="F10201" s="48" t="str">
        <f>IFERROR(__xludf.DUMMYFUNCTION("""COMPUTED_VALUE"""),"")</f>
        <v/>
      </c>
      <c r="G10201" s="42" t="str">
        <f>IFERROR(__xludf.DUMMYFUNCTION("""COMPUTED_VALUE"""),"SKPT LELANG")</f>
        <v>SKPT LELANG</v>
      </c>
      <c r="H10201" s="42">
        <f t="shared" si="1"/>
        <v>3345</v>
      </c>
    </row>
    <row r="10202" ht="22.5" customHeight="1">
      <c r="B10202" s="42" t="str">
        <f>IFERROR(__xludf.DUMMYFUNCTION("""COMPUTED_VALUE"""),"ABWBAKXQ")</f>
        <v>ABWBAKXQ</v>
      </c>
      <c r="C10202" s="42">
        <f>IFERROR(__xludf.DUMMYFUNCTION("""COMPUTED_VALUE"""),2033.0)</f>
        <v>2033</v>
      </c>
      <c r="D10202" s="42"/>
      <c r="E10202" s="42"/>
      <c r="F10202" s="48" t="str">
        <f>IFERROR(__xludf.DUMMYFUNCTION("""COMPUTED_VALUE"""),"")</f>
        <v/>
      </c>
      <c r="G10202" s="42" t="str">
        <f>IFERROR(__xludf.DUMMYFUNCTION("""COMPUTED_VALUE"""),"AJB BN")</f>
        <v>AJB BN</v>
      </c>
      <c r="H10202" s="42">
        <f t="shared" si="1"/>
        <v>3345</v>
      </c>
    </row>
    <row r="10203" ht="22.5" customHeight="1">
      <c r="B10203" s="42" t="str">
        <f>IFERROR(__xludf.DUMMYFUNCTION("""COMPUTED_VALUE"""),"K/7/181225/2")</f>
        <v>K/7/181225/2</v>
      </c>
      <c r="C10203" s="42" t="str">
        <f>IFERROR(__xludf.DUMMYFUNCTION("""COMPUTED_VALUE"""),"M. 2224/DURIAN PAYUNG")</f>
        <v>M. 2224/DURIAN PAYUNG</v>
      </c>
      <c r="D10203" s="42"/>
      <c r="E10203" s="42"/>
      <c r="F10203" s="48" t="str">
        <f>IFERROR(__xludf.DUMMYFUNCTION("""COMPUTED_VALUE"""),"")</f>
        <v/>
      </c>
      <c r="G10203" s="42" t="str">
        <f>IFERROR(__xludf.DUMMYFUNCTION("""COMPUTED_VALUE"""),"SKPT LELANG")</f>
        <v>SKPT LELANG</v>
      </c>
      <c r="H10203" s="42">
        <f t="shared" si="1"/>
        <v>3345</v>
      </c>
    </row>
    <row r="10204" ht="22.5" customHeight="1">
      <c r="B10204" s="42" t="str">
        <f>IFERROR(__xludf.DUMMYFUNCTION("""COMPUTED_VALUE"""),"ABGNNKWE/AB070")</f>
        <v>ABGNNKWE/AB070</v>
      </c>
      <c r="C10204" s="42" t="str">
        <f>IFERROR(__xludf.DUMMYFUNCTION("""COMPUTED_VALUE"""),"M. 260/penengahan raya")</f>
        <v>M. 260/penengahan raya</v>
      </c>
      <c r="D10204" s="42"/>
      <c r="E10204" s="42"/>
      <c r="F10204" s="48" t="str">
        <f>IFERROR(__xludf.DUMMYFUNCTION("""COMPUTED_VALUE"""),"")</f>
        <v/>
      </c>
      <c r="G10204" s="42" t="str">
        <f>IFERROR(__xludf.DUMMYFUNCTION("""COMPUTED_VALUE"""),"Bn waris")</f>
        <v>Bn waris</v>
      </c>
      <c r="H10204" s="42">
        <f t="shared" si="1"/>
        <v>3345</v>
      </c>
    </row>
    <row r="10205" ht="22.5" customHeight="1">
      <c r="B10205" s="42" t="str">
        <f>IFERROR(__xludf.DUMMYFUNCTION("""COMPUTED_VALUE"""),"AB078-ABSMRVJV")</f>
        <v>AB078-ABSMRVJV</v>
      </c>
      <c r="C10205" s="42" t="str">
        <f>IFERROR(__xludf.DUMMYFUNCTION("""COMPUTED_VALUE"""),"Shm no 205/B.Pu")</f>
        <v>Shm no 205/B.Pu</v>
      </c>
      <c r="D10205" s="42"/>
      <c r="E10205" s="42"/>
      <c r="F10205" s="48" t="str">
        <f>IFERROR(__xludf.DUMMYFUNCTION("""COMPUTED_VALUE"""),"")</f>
        <v/>
      </c>
      <c r="G10205" s="42" t="str">
        <f>IFERROR(__xludf.DUMMYFUNCTION("""COMPUTED_VALUE"""),"Peralihan hak/ balik nama")</f>
        <v>Peralihan hak/ balik nama</v>
      </c>
      <c r="H10205" s="42">
        <f t="shared" si="1"/>
        <v>3345</v>
      </c>
    </row>
    <row r="10206" ht="22.5" customHeight="1">
      <c r="B10206" s="42" t="str">
        <f>IFERROR(__xludf.DUMMYFUNCTION("""COMPUTED_VALUE"""),"ABYVVQBF")</f>
        <v>ABYVVQBF</v>
      </c>
      <c r="C10206" s="42">
        <f>IFERROR(__xludf.DUMMYFUNCTION("""COMPUTED_VALUE"""),260.0)</f>
        <v>260</v>
      </c>
      <c r="D10206" s="42"/>
      <c r="E10206" s="42"/>
      <c r="F10206" s="48" t="str">
        <f>IFERROR(__xludf.DUMMYFUNCTION("""COMPUTED_VALUE"""),"")</f>
        <v/>
      </c>
      <c r="G10206" s="42" t="str">
        <f>IFERROR(__xludf.DUMMYFUNCTION("""COMPUTED_VALUE"""),"Turun waris")</f>
        <v>Turun waris</v>
      </c>
      <c r="H10206" s="42">
        <f t="shared" si="1"/>
        <v>3345</v>
      </c>
    </row>
    <row r="10207" ht="22.5" customHeight="1">
      <c r="B10207" s="42" t="str">
        <f>IFERROR(__xludf.DUMMYFUNCTION("""COMPUTED_VALUE"""),"K/8/181225/1")</f>
        <v>K/8/181225/1</v>
      </c>
      <c r="C10207" s="42" t="str">
        <f>IFERROR(__xludf.DUMMYFUNCTION("""COMPUTED_VALUE"""),"B. 122/SUMBER AGUNG")</f>
        <v>B. 122/SUMBER AGUNG</v>
      </c>
      <c r="D10207" s="42"/>
      <c r="E10207" s="42"/>
      <c r="F10207" s="48" t="str">
        <f>IFERROR(__xludf.DUMMYFUNCTION("""COMPUTED_VALUE"""),"")</f>
        <v/>
      </c>
      <c r="G10207" s="42" t="str">
        <f>IFERROR(__xludf.DUMMYFUNCTION("""COMPUTED_VALUE"""),"PENINGKATAN HAK")</f>
        <v>PENINGKATAN HAK</v>
      </c>
      <c r="H10207" s="42">
        <f t="shared" si="1"/>
        <v>3345</v>
      </c>
    </row>
    <row r="10208" ht="22.5" customHeight="1">
      <c r="B10208" s="42" t="str">
        <f>IFERROR(__xludf.DUMMYFUNCTION("""COMPUTED_VALUE"""),"L/10/181225/1")</f>
        <v>L/10/181225/1</v>
      </c>
      <c r="C10208" s="42" t="str">
        <f>IFERROR(__xludf.DUMMYFUNCTION("""COMPUTED_VALUE"""),"M. 12778/SEGALA MIDER")</f>
        <v>M. 12778/SEGALA MIDER</v>
      </c>
      <c r="D10208" s="42"/>
      <c r="E10208" s="42"/>
      <c r="F10208" s="48" t="str">
        <f>IFERROR(__xludf.DUMMYFUNCTION("""COMPUTED_VALUE"""),"")</f>
        <v/>
      </c>
      <c r="G10208" s="42" t="str">
        <f>IFERROR(__xludf.DUMMYFUNCTION("""COMPUTED_VALUE"""),"ROYA")</f>
        <v>ROYA</v>
      </c>
      <c r="H10208" s="42">
        <f t="shared" si="1"/>
        <v>3345</v>
      </c>
    </row>
    <row r="10209" ht="22.5" customHeight="1">
      <c r="B10209" s="42" t="str">
        <f>IFERROR(__xludf.DUMMYFUNCTION("""COMPUTED_VALUE"""),"L/11/181225/2")</f>
        <v>L/11/181225/2</v>
      </c>
      <c r="C10209" s="42" t="str">
        <f>IFERROR(__xludf.DUMMYFUNCTION("""COMPUTED_VALUE"""),"M. 605/RAJABASA NUNYAI")</f>
        <v>M. 605/RAJABASA NUNYAI</v>
      </c>
      <c r="D10209" s="42"/>
      <c r="E10209" s="42"/>
      <c r="F10209" s="48" t="str">
        <f>IFERROR(__xludf.DUMMYFUNCTION("""COMPUTED_VALUE"""),"")</f>
        <v/>
      </c>
      <c r="G10209" s="42" t="str">
        <f>IFERROR(__xludf.DUMMYFUNCTION("""COMPUTED_VALUE"""),"ROYA")</f>
        <v>ROYA</v>
      </c>
      <c r="H10209" s="42">
        <f t="shared" si="1"/>
        <v>3345</v>
      </c>
    </row>
    <row r="10210" ht="22.5" customHeight="1">
      <c r="B10210" s="42" t="str">
        <f>IFERROR(__xludf.DUMMYFUNCTION("""COMPUTED_VALUE"""),"Abcfojvv")</f>
        <v>Abcfojvv</v>
      </c>
      <c r="C10210" s="42" t="str">
        <f>IFERROR(__xludf.DUMMYFUNCTION("""COMPUTED_VALUE"""),"m.6959, tanjung senang")</f>
        <v>m.6959, tanjung senang</v>
      </c>
      <c r="D10210" s="42"/>
      <c r="E10210" s="42"/>
      <c r="F10210" s="48" t="str">
        <f>IFERROR(__xludf.DUMMYFUNCTION("""COMPUTED_VALUE"""),"")</f>
        <v/>
      </c>
      <c r="G10210" s="42" t="str">
        <f>IFERROR(__xludf.DUMMYFUNCTION("""COMPUTED_VALUE"""),"Bn")</f>
        <v>Bn</v>
      </c>
      <c r="H10210" s="42">
        <f t="shared" si="1"/>
        <v>3345</v>
      </c>
    </row>
    <row r="10211" ht="22.5" customHeight="1">
      <c r="B10211" s="42" t="str">
        <f>IFERROR(__xludf.DUMMYFUNCTION("""COMPUTED_VALUE"""),"L/12/181225/2")</f>
        <v>L/12/181225/2</v>
      </c>
      <c r="C10211" s="42" t="str">
        <f>IFERROR(__xludf.DUMMYFUNCTION("""COMPUTED_VALUE"""),"M. 604/RAJABASA NUNYAI")</f>
        <v>M. 604/RAJABASA NUNYAI</v>
      </c>
      <c r="D10211" s="42"/>
      <c r="E10211" s="42"/>
      <c r="F10211" s="48" t="str">
        <f>IFERROR(__xludf.DUMMYFUNCTION("""COMPUTED_VALUE"""),"")</f>
        <v/>
      </c>
      <c r="G10211" s="42" t="str">
        <f>IFERROR(__xludf.DUMMYFUNCTION("""COMPUTED_VALUE"""),"ROYA")</f>
        <v>ROYA</v>
      </c>
      <c r="H10211" s="42">
        <f t="shared" si="1"/>
        <v>3345</v>
      </c>
    </row>
    <row r="10212" ht="22.5" customHeight="1">
      <c r="B10212" s="42" t="str">
        <f>IFERROR(__xludf.DUMMYFUNCTION("""COMPUTED_VALUE"""),"Abooifxz")</f>
        <v>Abooifxz</v>
      </c>
      <c r="C10212" s="42" t="str">
        <f>IFERROR(__xludf.DUMMYFUNCTION("""COMPUTED_VALUE"""),"nibel 1514, labuhan dalam")</f>
        <v>nibel 1514, labuhan dalam</v>
      </c>
      <c r="D10212" s="42"/>
      <c r="E10212" s="42"/>
      <c r="F10212" s="48" t="str">
        <f>IFERROR(__xludf.DUMMYFUNCTION("""COMPUTED_VALUE"""),"")</f>
        <v/>
      </c>
      <c r="G10212" s="42" t="str">
        <f>IFERROR(__xludf.DUMMYFUNCTION("""COMPUTED_VALUE"""),"Bn")</f>
        <v>Bn</v>
      </c>
      <c r="H10212" s="42">
        <f t="shared" si="1"/>
        <v>3345</v>
      </c>
    </row>
    <row r="10213" ht="22.5" customHeight="1">
      <c r="B10213" s="42" t="str">
        <f>IFERROR(__xludf.DUMMYFUNCTION("""COMPUTED_VALUE"""),"Abltlbjy")</f>
        <v>Abltlbjy</v>
      </c>
      <c r="C10213" s="42" t="str">
        <f>IFERROR(__xludf.DUMMYFUNCTION("""COMPUTED_VALUE"""),"m.821, Perumnas way kandis")</f>
        <v>m.821, Perumnas way kandis</v>
      </c>
      <c r="D10213" s="42"/>
      <c r="E10213" s="42"/>
      <c r="F10213" s="48" t="str">
        <f>IFERROR(__xludf.DUMMYFUNCTION("""COMPUTED_VALUE"""),"")</f>
        <v/>
      </c>
      <c r="G10213" s="42" t="str">
        <f>IFERROR(__xludf.DUMMYFUNCTION("""COMPUTED_VALUE"""),"Bn")</f>
        <v>Bn</v>
      </c>
      <c r="H10213" s="42">
        <f t="shared" si="1"/>
        <v>3345</v>
      </c>
    </row>
    <row r="10214" ht="22.5" customHeight="1">
      <c r="B10214" s="42" t="str">
        <f>IFERROR(__xludf.DUMMYFUNCTION("""COMPUTED_VALUE"""),"L/13/181225/1")</f>
        <v>L/13/181225/1</v>
      </c>
      <c r="C10214" s="42" t="str">
        <f>IFERROR(__xludf.DUMMYFUNCTION("""COMPUTED_VALUE"""),"B NIB 26002/SUKARAME")</f>
        <v>B NIB 26002/SUKARAME</v>
      </c>
      <c r="D10214" s="42"/>
      <c r="E10214" s="42"/>
      <c r="F10214" s="48" t="str">
        <f>IFERROR(__xludf.DUMMYFUNCTION("""COMPUTED_VALUE"""),"")</f>
        <v/>
      </c>
      <c r="G10214" s="42" t="str">
        <f>IFERROR(__xludf.DUMMYFUNCTION("""COMPUTED_VALUE"""),"PENINGKATAN HAK")</f>
        <v>PENINGKATAN HAK</v>
      </c>
      <c r="H10214" s="42">
        <f t="shared" si="1"/>
        <v>3345</v>
      </c>
    </row>
    <row r="10215" ht="22.5" customHeight="1">
      <c r="B10215" s="42" t="str">
        <f>IFERROR(__xludf.DUMMYFUNCTION("""COMPUTED_VALUE"""),"K/9/181225/2")</f>
        <v>K/9/181225/2</v>
      </c>
      <c r="C10215" s="42" t="str">
        <f>IFERROR(__xludf.DUMMYFUNCTION("""COMPUTED_VALUE"""),"B. 121/SUMBER AGUNG")</f>
        <v>B. 121/SUMBER AGUNG</v>
      </c>
      <c r="D10215" s="42"/>
      <c r="E10215" s="42"/>
      <c r="F10215" s="48" t="str">
        <f>IFERROR(__xludf.DUMMYFUNCTION("""COMPUTED_VALUE"""),"")</f>
        <v/>
      </c>
      <c r="G10215" s="42" t="str">
        <f>IFERROR(__xludf.DUMMYFUNCTION("""COMPUTED_VALUE"""),"PENINGKATAN HAK")</f>
        <v>PENINGKATAN HAK</v>
      </c>
      <c r="H10215" s="42">
        <f t="shared" si="1"/>
        <v>3345</v>
      </c>
    </row>
    <row r="10216" ht="22.5" customHeight="1">
      <c r="B10216" s="42" t="str">
        <f>IFERROR(__xludf.DUMMYFUNCTION("""COMPUTED_VALUE"""),"AB0024 ABPBCPDP")</f>
        <v>AB0024 ABPBCPDP</v>
      </c>
      <c r="C10216" s="42" t="str">
        <f>IFERROR(__xludf.DUMMYFUNCTION("""COMPUTED_VALUE"""),"NIBEL M 23568/ SIDODADI")</f>
        <v>NIBEL M 23568/ SIDODADI</v>
      </c>
      <c r="D10216" s="42"/>
      <c r="E10216" s="42"/>
      <c r="F10216" s="48" t="str">
        <f>IFERROR(__xludf.DUMMYFUNCTION("""COMPUTED_VALUE"""),"")</f>
        <v/>
      </c>
      <c r="G10216" s="42" t="str">
        <f>IFERROR(__xludf.DUMMYFUNCTION("""COMPUTED_VALUE"""),"Balik Nama Jual Beli")</f>
        <v>Balik Nama Jual Beli</v>
      </c>
      <c r="H10216" s="42">
        <f t="shared" si="1"/>
        <v>3345</v>
      </c>
    </row>
    <row r="10217" ht="22.5" customHeight="1">
      <c r="B10217" s="42" t="str">
        <f>IFERROR(__xludf.DUMMYFUNCTION("""COMPUTED_VALUE"""),"L/1/191225/1")</f>
        <v>L/1/191225/1</v>
      </c>
      <c r="C10217" s="42" t="str">
        <f>IFERROR(__xludf.DUMMYFUNCTION("""COMPUTED_VALUE"""),"B. 60/LABUHAN RATU")</f>
        <v>B. 60/LABUHAN RATU</v>
      </c>
      <c r="D10217" s="42"/>
      <c r="E10217" s="42"/>
      <c r="F10217" s="48" t="str">
        <f>IFERROR(__xludf.DUMMYFUNCTION("""COMPUTED_VALUE"""),"")</f>
        <v/>
      </c>
      <c r="G10217" s="42" t="str">
        <f>IFERROR(__xludf.DUMMYFUNCTION("""COMPUTED_VALUE"""),"ROYA")</f>
        <v>ROYA</v>
      </c>
      <c r="H10217" s="42">
        <f t="shared" si="1"/>
        <v>3345</v>
      </c>
    </row>
    <row r="10218" ht="22.5" customHeight="1">
      <c r="B10218" s="42" t="str">
        <f>IFERROR(__xludf.DUMMYFUNCTION("""COMPUTED_VALUE"""),"ABOCWOHL/AB07")</f>
        <v>ABOCWOHL/AB07</v>
      </c>
      <c r="C10218" s="42" t="str">
        <f>IFERROR(__xludf.DUMMYFUNCTION("""COMPUTED_VALUE"""),"M. NIBEL 23806/Bumi Kedamaian")</f>
        <v>M. NIBEL 23806/Bumi Kedamaian</v>
      </c>
      <c r="D10218" s="42"/>
      <c r="E10218" s="42"/>
      <c r="F10218" s="48" t="str">
        <f>IFERROR(__xludf.DUMMYFUNCTION("""COMPUTED_VALUE"""),"")</f>
        <v/>
      </c>
      <c r="G10218" s="42" t="str">
        <f>IFERROR(__xludf.DUMMYFUNCTION("""COMPUTED_VALUE"""),"Peralihan hak hibah")</f>
        <v>Peralihan hak hibah</v>
      </c>
      <c r="H10218" s="42">
        <f t="shared" si="1"/>
        <v>3345</v>
      </c>
    </row>
    <row r="10219" ht="22.5" customHeight="1">
      <c r="B10219" s="42" t="str">
        <f>IFERROR(__xludf.DUMMYFUNCTION("""COMPUTED_VALUE"""),"AB023/ABIVWNEF")</f>
        <v>AB023/ABIVWNEF</v>
      </c>
      <c r="C10219" s="42" t="str">
        <f>IFERROR(__xludf.DUMMYFUNCTION("""COMPUTED_VALUE"""),"m.2481 pinang jaya")</f>
        <v>m.2481 pinang jaya</v>
      </c>
      <c r="D10219" s="42"/>
      <c r="E10219" s="42"/>
      <c r="F10219" s="48" t="str">
        <f>IFERROR(__xludf.DUMMYFUNCTION("""COMPUTED_VALUE"""),"")</f>
        <v/>
      </c>
      <c r="G10219" s="42" t="str">
        <f>IFERROR(__xludf.DUMMYFUNCTION("""COMPUTED_VALUE"""),"balik nama")</f>
        <v>balik nama</v>
      </c>
      <c r="H10219" s="42">
        <f t="shared" si="1"/>
        <v>3345</v>
      </c>
    </row>
    <row r="10220" ht="22.5" customHeight="1">
      <c r="B10220" s="42" t="str">
        <f>IFERROR(__xludf.DUMMYFUNCTION("""COMPUTED_VALUE"""),"ABPYSWUZ/AB022")</f>
        <v>ABPYSWUZ/AB022</v>
      </c>
      <c r="C10220" s="42" t="str">
        <f>IFERROR(__xludf.DUMMYFUNCTION("""COMPUTED_VALUE"""),"M. 05136/rajabasa jaya")</f>
        <v>M. 05136/rajabasa jaya</v>
      </c>
      <c r="D10220" s="42"/>
      <c r="E10220" s="42"/>
      <c r="F10220" s="48" t="str">
        <f>IFERROR(__xludf.DUMMYFUNCTION("""COMPUTED_VALUE"""),"")</f>
        <v/>
      </c>
      <c r="G10220" s="42" t="str">
        <f>IFERROR(__xludf.DUMMYFUNCTION("""COMPUTED_VALUE"""),"Balik nama jual beli")</f>
        <v>Balik nama jual beli</v>
      </c>
      <c r="H10220" s="42">
        <f t="shared" si="1"/>
        <v>3345</v>
      </c>
    </row>
    <row r="10221" ht="22.5" customHeight="1">
      <c r="B10221" s="42" t="str">
        <f>IFERROR(__xludf.DUMMYFUNCTION("""COMPUTED_VALUE"""),"ABXSUCNH")</f>
        <v>ABXSUCNH</v>
      </c>
      <c r="C10221" s="42" t="str">
        <f>IFERROR(__xludf.DUMMYFUNCTION("""COMPUTED_VALUE"""),"M 1405/ JAGABAYA III")</f>
        <v>M 1405/ JAGABAYA III</v>
      </c>
      <c r="D10221" s="42"/>
      <c r="E10221" s="42"/>
      <c r="F10221" s="48" t="str">
        <f>IFERROR(__xludf.DUMMYFUNCTION("""COMPUTED_VALUE"""),"")</f>
        <v/>
      </c>
      <c r="G10221" s="42" t="str">
        <f>IFERROR(__xludf.DUMMYFUNCTION("""COMPUTED_VALUE"""),"Bn hibah")</f>
        <v>Bn hibah</v>
      </c>
      <c r="H10221" s="42">
        <f t="shared" si="1"/>
        <v>3345</v>
      </c>
    </row>
    <row r="10222" ht="22.5" customHeight="1">
      <c r="B10222" s="42" t="str">
        <f>IFERROR(__xludf.DUMMYFUNCTION("""COMPUTED_VALUE"""),"AB014")</f>
        <v>AB014</v>
      </c>
      <c r="C10222" s="42">
        <f>IFERROR(__xludf.DUMMYFUNCTION("""COMPUTED_VALUE"""),1471.0)</f>
        <v>1471</v>
      </c>
      <c r="D10222" s="42"/>
      <c r="E10222" s="42"/>
      <c r="F10222" s="48" t="str">
        <f>IFERROR(__xludf.DUMMYFUNCTION("""COMPUTED_VALUE"""),"")</f>
        <v/>
      </c>
      <c r="G10222" s="42" t="str">
        <f>IFERROR(__xludf.DUMMYFUNCTION("""COMPUTED_VALUE"""),"Peralihan hal")</f>
        <v>Peralihan hal</v>
      </c>
      <c r="H10222" s="42">
        <f t="shared" si="1"/>
        <v>3345</v>
      </c>
    </row>
    <row r="10223" ht="22.5" customHeight="1">
      <c r="B10223" s="42" t="str">
        <f>IFERROR(__xludf.DUMMYFUNCTION("""COMPUTED_VALUE"""),"ABKJEGFS")</f>
        <v>ABKJEGFS</v>
      </c>
      <c r="C10223" s="42" t="str">
        <f>IFERROR(__xludf.DUMMYFUNCTION("""COMPUTED_VALUE"""),"M.806 Sukaraja")</f>
        <v>M.806 Sukaraja</v>
      </c>
      <c r="D10223" s="42"/>
      <c r="E10223" s="42"/>
      <c r="F10223" s="48" t="str">
        <f>IFERROR(__xludf.DUMMYFUNCTION("""COMPUTED_VALUE"""),"")</f>
        <v/>
      </c>
      <c r="G10223" s="42" t="str">
        <f>IFERROR(__xludf.DUMMYFUNCTION("""COMPUTED_VALUE"""),"Ganti kecamatan")</f>
        <v>Ganti kecamatan</v>
      </c>
      <c r="H10223" s="42">
        <f t="shared" si="1"/>
        <v>3345</v>
      </c>
    </row>
    <row r="10224" ht="22.5" customHeight="1">
      <c r="B10224" s="42" t="str">
        <f>IFERROR(__xludf.DUMMYFUNCTION("""COMPUTED_VALUE"""),"ABDEETQR")</f>
        <v>ABDEETQR</v>
      </c>
      <c r="C10224" s="42" t="str">
        <f>IFERROR(__xludf.DUMMYFUNCTION("""COMPUTED_VALUE"""),"M.770 /sukaraja")</f>
        <v>M.770 /sukaraja</v>
      </c>
      <c r="D10224" s="42"/>
      <c r="E10224" s="42"/>
      <c r="F10224" s="48" t="str">
        <f>IFERROR(__xludf.DUMMYFUNCTION("""COMPUTED_VALUE"""),"")</f>
        <v/>
      </c>
      <c r="G10224" s="42" t="str">
        <f>IFERROR(__xludf.DUMMYFUNCTION("""COMPUTED_VALUE"""),"Ganti kecamatan")</f>
        <v>Ganti kecamatan</v>
      </c>
      <c r="H10224" s="42">
        <f t="shared" si="1"/>
        <v>3345</v>
      </c>
    </row>
    <row r="10225" ht="22.5" customHeight="1">
      <c r="B10225" s="42" t="str">
        <f>IFERROR(__xludf.DUMMYFUNCTION("""COMPUTED_VALUE"""),"ABOYZBAA")</f>
        <v>ABOYZBAA</v>
      </c>
      <c r="C10225" s="42" t="str">
        <f>IFERROR(__xludf.DUMMYFUNCTION("""COMPUTED_VALUE"""),"M 1664 sumberejo sejahtera ")</f>
        <v>M 1664 sumberejo sejahtera </v>
      </c>
      <c r="D10225" s="42"/>
      <c r="E10225" s="42"/>
      <c r="F10225" s="48" t="str">
        <f>IFERROR(__xludf.DUMMYFUNCTION("""COMPUTED_VALUE"""),"")</f>
        <v/>
      </c>
      <c r="G10225" s="42" t="str">
        <f>IFERROR(__xludf.DUMMYFUNCTION("""COMPUTED_VALUE"""),"Bn ajb")</f>
        <v>Bn ajb</v>
      </c>
      <c r="H10225" s="42">
        <f t="shared" si="1"/>
        <v>3345</v>
      </c>
    </row>
    <row r="10226" ht="22.5" customHeight="1">
      <c r="B10226" s="42" t="str">
        <f>IFERROR(__xludf.DUMMYFUNCTION("""COMPUTED_VALUE"""),"ABIYUFUK")</f>
        <v>ABIYUFUK</v>
      </c>
      <c r="C10226" s="42" t="str">
        <f>IFERROR(__xludf.DUMMYFUNCTION("""COMPUTED_VALUE"""),"M 1404 sumberejo sejahtera ")</f>
        <v>M 1404 sumberejo sejahtera </v>
      </c>
      <c r="D10226" s="42"/>
      <c r="E10226" s="42"/>
      <c r="F10226" s="48" t="str">
        <f>IFERROR(__xludf.DUMMYFUNCTION("""COMPUTED_VALUE"""),"")</f>
        <v/>
      </c>
      <c r="G10226" s="42" t="str">
        <f>IFERROR(__xludf.DUMMYFUNCTION("""COMPUTED_VALUE"""),"Bbn ajb")</f>
        <v>Bbn ajb</v>
      </c>
      <c r="H10226" s="42">
        <f t="shared" si="1"/>
        <v>3345</v>
      </c>
    </row>
    <row r="10227" ht="22.5" customHeight="1">
      <c r="B10227" s="42" t="str">
        <f>IFERROR(__xludf.DUMMYFUNCTION("""COMPUTED_VALUE"""),"ABWHWXUR/AB037")</f>
        <v>ABWHWXUR/AB037</v>
      </c>
      <c r="C10227" s="42" t="str">
        <f>IFERROR(__xludf.DUMMYFUNCTION("""COMPUTED_VALUE"""),"M. NIBEL 1249/Kota Baru")</f>
        <v>M. NIBEL 1249/Kota Baru</v>
      </c>
      <c r="D10227" s="42"/>
      <c r="E10227" s="42"/>
      <c r="F10227" s="48" t="str">
        <f>IFERROR(__xludf.DUMMYFUNCTION("""COMPUTED_VALUE"""),"")</f>
        <v/>
      </c>
      <c r="G10227" s="42" t="str">
        <f>IFERROR(__xludf.DUMMYFUNCTION("""COMPUTED_VALUE"""),"BN JUAL BELI")</f>
        <v>BN JUAL BELI</v>
      </c>
      <c r="H10227" s="42">
        <f t="shared" si="1"/>
        <v>3345</v>
      </c>
    </row>
    <row r="10228" ht="22.5" customHeight="1">
      <c r="B10228" s="42" t="str">
        <f>IFERROR(__xludf.DUMMYFUNCTION("""COMPUTED_VALUE"""),"AB040/ABROTXZK")</f>
        <v>AB040/ABROTXZK</v>
      </c>
      <c r="C10228" s="42" t="str">
        <f>IFERROR(__xludf.DUMMYFUNCTION("""COMPUTED_VALUE"""),"NIBEL M 24843/ SUMBERREJO")</f>
        <v>NIBEL M 24843/ SUMBERREJO</v>
      </c>
      <c r="D10228" s="42"/>
      <c r="E10228" s="42"/>
      <c r="F10228" s="48" t="str">
        <f>IFERROR(__xludf.DUMMYFUNCTION("""COMPUTED_VALUE"""),"")</f>
        <v/>
      </c>
      <c r="G10228" s="42" t="str">
        <f>IFERROR(__xludf.DUMMYFUNCTION("""COMPUTED_VALUE"""),"AJB BN")</f>
        <v>AJB BN</v>
      </c>
      <c r="H10228" s="42">
        <f t="shared" si="1"/>
        <v>3345</v>
      </c>
    </row>
    <row r="10229" ht="22.5" customHeight="1">
      <c r="B10229" s="42" t="str">
        <f>IFERROR(__xludf.DUMMYFUNCTION("""COMPUTED_VALUE"""),"ABJERSZJ/AB060")</f>
        <v>ABJERSZJ/AB060</v>
      </c>
      <c r="C10229" s="42" t="str">
        <f>IFERROR(__xludf.DUMMYFUNCTION("""COMPUTED_VALUE"""),"M 10267/Sukabumi")</f>
        <v>M 10267/Sukabumi</v>
      </c>
      <c r="D10229" s="42"/>
      <c r="E10229" s="42"/>
      <c r="F10229" s="48" t="str">
        <f>IFERROR(__xludf.DUMMYFUNCTION("""COMPUTED_VALUE"""),"")</f>
        <v/>
      </c>
      <c r="G10229" s="42" t="str">
        <f>IFERROR(__xludf.DUMMYFUNCTION("""COMPUTED_VALUE"""),"BN Waris")</f>
        <v>BN Waris</v>
      </c>
      <c r="H10229" s="42">
        <f t="shared" si="1"/>
        <v>3345</v>
      </c>
    </row>
    <row r="10230" ht="22.5" customHeight="1">
      <c r="B10230" s="42" t="str">
        <f>IFERROR(__xludf.DUMMYFUNCTION("""COMPUTED_VALUE"""),"K/2/191225/1")</f>
        <v>K/2/191225/1</v>
      </c>
      <c r="C10230" s="42" t="str">
        <f>IFERROR(__xludf.DUMMYFUNCTION("""COMPUTED_VALUE"""),"M.1578/DURIAN PAYUNG")</f>
        <v>M.1578/DURIAN PAYUNG</v>
      </c>
      <c r="D10230" s="42"/>
      <c r="E10230" s="42"/>
      <c r="F10230" s="48" t="str">
        <f>IFERROR(__xludf.DUMMYFUNCTION("""COMPUTED_VALUE"""),"")</f>
        <v/>
      </c>
      <c r="G10230" s="42" t="str">
        <f>IFERROR(__xludf.DUMMYFUNCTION("""COMPUTED_VALUE"""),"PTPGT PECAH")</f>
        <v>PTPGT PECAH</v>
      </c>
      <c r="H10230" s="42">
        <f t="shared" si="1"/>
        <v>3345</v>
      </c>
    </row>
    <row r="10231" ht="22.5" customHeight="1">
      <c r="B10231" s="42" t="str">
        <f>IFERROR(__xludf.DUMMYFUNCTION("""COMPUTED_VALUE"""),"L/3/191225/1")</f>
        <v>L/3/191225/1</v>
      </c>
      <c r="C10231" s="42" t="str">
        <f>IFERROR(__xludf.DUMMYFUNCTION("""COMPUTED_VALUE"""),"M. 12687/KEDATON")</f>
        <v>M. 12687/KEDATON</v>
      </c>
      <c r="D10231" s="42"/>
      <c r="E10231" s="42"/>
      <c r="F10231" s="48" t="str">
        <f>IFERROR(__xludf.DUMMYFUNCTION("""COMPUTED_VALUE"""),"")</f>
        <v/>
      </c>
      <c r="G10231" s="42" t="str">
        <f>IFERROR(__xludf.DUMMYFUNCTION("""COMPUTED_VALUE"""),"PTPGT PEMECAHAN")</f>
        <v>PTPGT PEMECAHAN</v>
      </c>
      <c r="H10231" s="42">
        <f t="shared" si="1"/>
        <v>3345</v>
      </c>
    </row>
    <row r="10232" ht="22.5" customHeight="1">
      <c r="B10232" s="42" t="str">
        <f>IFERROR(__xludf.DUMMYFUNCTION("""COMPUTED_VALUE"""),"L/4/191225/1")</f>
        <v>L/4/191225/1</v>
      </c>
      <c r="C10232" s="42" t="str">
        <f>IFERROR(__xludf.DUMMYFUNCTION("""COMPUTED_VALUE"""),"M. 10026/KAMPUNG BARU")</f>
        <v>M. 10026/KAMPUNG BARU</v>
      </c>
      <c r="D10232" s="42"/>
      <c r="E10232" s="42"/>
      <c r="F10232" s="48" t="str">
        <f>IFERROR(__xludf.DUMMYFUNCTION("""COMPUTED_VALUE"""),"")</f>
        <v/>
      </c>
      <c r="G10232" s="42" t="str">
        <f>IFERROR(__xludf.DUMMYFUNCTION("""COMPUTED_VALUE"""),"ROYA")</f>
        <v>ROYA</v>
      </c>
      <c r="H10232" s="42">
        <f t="shared" si="1"/>
        <v>3345</v>
      </c>
    </row>
    <row r="10233" ht="22.5" customHeight="1">
      <c r="B10233" s="42" t="str">
        <f>IFERROR(__xludf.DUMMYFUNCTION("""COMPUTED_VALUE"""),"L/5/191225/1")</f>
        <v>L/5/191225/1</v>
      </c>
      <c r="C10233" s="42" t="str">
        <f>IFERROR(__xludf.DUMMYFUNCTION("""COMPUTED_VALUE"""),"M. 5314/TANJUNG SENANG")</f>
        <v>M. 5314/TANJUNG SENANG</v>
      </c>
      <c r="D10233" s="42"/>
      <c r="E10233" s="42"/>
      <c r="F10233" s="48" t="str">
        <f>IFERROR(__xludf.DUMMYFUNCTION("""COMPUTED_VALUE"""),"")</f>
        <v/>
      </c>
      <c r="G10233" s="42" t="str">
        <f>IFERROR(__xludf.DUMMYFUNCTION("""COMPUTED_VALUE"""),"BN LELANG")</f>
        <v>BN LELANG</v>
      </c>
      <c r="H10233" s="42">
        <f t="shared" si="1"/>
        <v>3345</v>
      </c>
    </row>
    <row r="10234" ht="22.5" customHeight="1">
      <c r="B10234" s="42" t="str">
        <f>IFERROR(__xludf.DUMMYFUNCTION("""COMPUTED_VALUE"""),"L/6/191225/1")</f>
        <v>L/6/191225/1</v>
      </c>
      <c r="C10234" s="42" t="str">
        <f>IFERROR(__xludf.DUMMYFUNCTION("""COMPUTED_VALUE"""),"B. 200/LANGKAPURA")</f>
        <v>B. 200/LANGKAPURA</v>
      </c>
      <c r="D10234" s="42"/>
      <c r="E10234" s="42"/>
      <c r="F10234" s="48" t="str">
        <f>IFERROR(__xludf.DUMMYFUNCTION("""COMPUTED_VALUE"""),"")</f>
        <v/>
      </c>
      <c r="G10234" s="42" t="str">
        <f>IFERROR(__xludf.DUMMYFUNCTION("""COMPUTED_VALUE"""),"ROYA")</f>
        <v>ROYA</v>
      </c>
      <c r="H10234" s="42">
        <f t="shared" si="1"/>
        <v>3345</v>
      </c>
    </row>
    <row r="10235" ht="22.5" customHeight="1">
      <c r="B10235" s="42" t="str">
        <f>IFERROR(__xludf.DUMMYFUNCTION("""COMPUTED_VALUE"""),"L/7/191225/1")</f>
        <v>L/7/191225/1</v>
      </c>
      <c r="C10235" s="42" t="str">
        <f>IFERROR(__xludf.DUMMYFUNCTION("""COMPUTED_VALUE"""),"M. 5134/TANJUNG SENANG")</f>
        <v>M. 5134/TANJUNG SENANG</v>
      </c>
      <c r="D10235" s="42"/>
      <c r="E10235" s="42"/>
      <c r="F10235" s="48" t="str">
        <f>IFERROR(__xludf.DUMMYFUNCTION("""COMPUTED_VALUE"""),"")</f>
        <v/>
      </c>
      <c r="G10235" s="42" t="str">
        <f>IFERROR(__xludf.DUMMYFUNCTION("""COMPUTED_VALUE"""),"SKPT INFORMASI")</f>
        <v>SKPT INFORMASI</v>
      </c>
      <c r="H10235" s="42">
        <f t="shared" si="1"/>
        <v>3345</v>
      </c>
    </row>
    <row r="10236" ht="22.5" customHeight="1">
      <c r="B10236" s="42" t="str">
        <f>IFERROR(__xludf.DUMMYFUNCTION("""COMPUTED_VALUE"""),"L/8/191225/1")</f>
        <v>L/8/191225/1</v>
      </c>
      <c r="C10236" s="42" t="str">
        <f>IFERROR(__xludf.DUMMYFUNCTION("""COMPUTED_VALUE"""),"M. 2667/CAMPANG RAYA")</f>
        <v>M. 2667/CAMPANG RAYA</v>
      </c>
      <c r="D10236" s="42"/>
      <c r="E10236" s="42"/>
      <c r="F10236" s="48" t="str">
        <f>IFERROR(__xludf.DUMMYFUNCTION("""COMPUTED_VALUE"""),"")</f>
        <v/>
      </c>
      <c r="G10236" s="42" t="str">
        <f>IFERROR(__xludf.DUMMYFUNCTION("""COMPUTED_VALUE"""),"BN JUAL BELI")</f>
        <v>BN JUAL BELI</v>
      </c>
      <c r="H10236" s="42">
        <f t="shared" si="1"/>
        <v>3345</v>
      </c>
    </row>
    <row r="10237" ht="22.5" customHeight="1">
      <c r="B10237" s="42" t="str">
        <f>IFERROR(__xludf.DUMMYFUNCTION("""COMPUTED_VALUE"""),"L/9/191225/1")</f>
        <v>L/9/191225/1</v>
      </c>
      <c r="C10237" s="42" t="str">
        <f>IFERROR(__xludf.DUMMYFUNCTION("""COMPUTED_VALUE"""),"B. 1241/SUKABUMI")</f>
        <v>B. 1241/SUKABUMI</v>
      </c>
      <c r="D10237" s="42"/>
      <c r="E10237" s="42"/>
      <c r="F10237" s="48" t="str">
        <f>IFERROR(__xludf.DUMMYFUNCTION("""COMPUTED_VALUE"""),"")</f>
        <v/>
      </c>
      <c r="G10237" s="42" t="str">
        <f>IFERROR(__xludf.DUMMYFUNCTION("""COMPUTED_VALUE"""),"ROYA")</f>
        <v>ROYA</v>
      </c>
      <c r="H10237" s="42">
        <f t="shared" si="1"/>
        <v>3345</v>
      </c>
    </row>
    <row r="10238" ht="22.5" customHeight="1">
      <c r="B10238" s="42" t="str">
        <f>IFERROR(__xludf.DUMMYFUNCTION("""COMPUTED_VALUE"""),"ABDJXUSY")</f>
        <v>ABDJXUSY</v>
      </c>
      <c r="C10238" s="42" t="str">
        <f>IFERROR(__xludf.DUMMYFUNCTION("""COMPUTED_VALUE"""),"SHM. 08.01.0000018090")</f>
        <v>SHM. 08.01.0000018090</v>
      </c>
      <c r="D10238" s="42"/>
      <c r="E10238" s="42"/>
      <c r="F10238" s="48" t="str">
        <f>IFERROR(__xludf.DUMMYFUNCTION("""COMPUTED_VALUE"""),"")</f>
        <v/>
      </c>
      <c r="G10238" s="42" t="str">
        <f>IFERROR(__xludf.DUMMYFUNCTION("""COMPUTED_VALUE"""),"Roya ")</f>
        <v>Roya </v>
      </c>
      <c r="H10238" s="42">
        <f t="shared" si="1"/>
        <v>3345</v>
      </c>
    </row>
    <row r="10239" ht="22.5" customHeight="1">
      <c r="B10239" s="42" t="str">
        <f>IFERROR(__xludf.DUMMYFUNCTION("""COMPUTED_VALUE"""),"ABAPLEHO")</f>
        <v>ABAPLEHO</v>
      </c>
      <c r="C10239" s="42" t="str">
        <f>IFERROR(__xludf.DUMMYFUNCTION("""COMPUTED_VALUE"""),"Hak Milik No.1332/WHP")</f>
        <v>Hak Milik No.1332/WHP</v>
      </c>
      <c r="D10239" s="42"/>
      <c r="E10239" s="42"/>
      <c r="F10239" s="48" t="str">
        <f>IFERROR(__xludf.DUMMYFUNCTION("""COMPUTED_VALUE"""),"")</f>
        <v/>
      </c>
      <c r="G10239" s="42" t="str">
        <f>IFERROR(__xludf.DUMMYFUNCTION("""COMPUTED_VALUE"""),"BN Hibah")</f>
        <v>BN Hibah</v>
      </c>
      <c r="H10239" s="42">
        <f t="shared" si="1"/>
        <v>3345</v>
      </c>
    </row>
    <row r="10240" ht="22.5" customHeight="1">
      <c r="B10240" s="42" t="str">
        <f>IFERROR(__xludf.DUMMYFUNCTION("""COMPUTED_VALUE"""),"ABYTKYBI")</f>
        <v>ABYTKYBI</v>
      </c>
      <c r="C10240" s="42" t="str">
        <f>IFERROR(__xludf.DUMMYFUNCTION("""COMPUTED_VALUE"""),"Hak Milik No.11987/Skb")</f>
        <v>Hak Milik No.11987/Skb</v>
      </c>
      <c r="D10240" s="42"/>
      <c r="E10240" s="42"/>
      <c r="F10240" s="48" t="str">
        <f>IFERROR(__xludf.DUMMYFUNCTION("""COMPUTED_VALUE"""),"")</f>
        <v/>
      </c>
      <c r="G10240" s="42" t="str">
        <f>IFERROR(__xludf.DUMMYFUNCTION("""COMPUTED_VALUE"""),"Pendaftaran Roya")</f>
        <v>Pendaftaran Roya</v>
      </c>
      <c r="H10240" s="42">
        <f t="shared" si="1"/>
        <v>3345</v>
      </c>
    </row>
    <row r="10241" ht="22.5" customHeight="1">
      <c r="B10241" s="42" t="str">
        <f>IFERROR(__xludf.DUMMYFUNCTION("""COMPUTED_VALUE"""),"ABIQGGKR")</f>
        <v>ABIQGGKR</v>
      </c>
      <c r="C10241" s="42" t="str">
        <f>IFERROR(__xludf.DUMMYFUNCTION("""COMPUTED_VALUE"""),"M.24343 KEMILING RAYA")</f>
        <v>M.24343 KEMILING RAYA</v>
      </c>
      <c r="D10241" s="42"/>
      <c r="E10241" s="42"/>
      <c r="F10241" s="48" t="str">
        <f>IFERROR(__xludf.DUMMYFUNCTION("""COMPUTED_VALUE"""),"")</f>
        <v/>
      </c>
      <c r="G10241" s="42" t="str">
        <f>IFERROR(__xludf.DUMMYFUNCTION("""COMPUTED_VALUE"""),"Bn jual beli")</f>
        <v>Bn jual beli</v>
      </c>
      <c r="H10241" s="42">
        <f t="shared" si="1"/>
        <v>3345</v>
      </c>
    </row>
    <row r="10242" ht="22.5" customHeight="1">
      <c r="B10242" s="42" t="str">
        <f>IFERROR(__xludf.DUMMYFUNCTION("""COMPUTED_VALUE"""),"ABBSPKLZ")</f>
        <v>ABBSPKLZ</v>
      </c>
      <c r="C10242" s="42" t="str">
        <f>IFERROR(__xludf.DUMMYFUNCTION("""COMPUTED_VALUE"""),"M.16854 KOTA BARU")</f>
        <v>M.16854 KOTA BARU</v>
      </c>
      <c r="D10242" s="42"/>
      <c r="E10242" s="42"/>
      <c r="F10242" s="48" t="str">
        <f>IFERROR(__xludf.DUMMYFUNCTION("""COMPUTED_VALUE"""),"")</f>
        <v/>
      </c>
      <c r="G10242" s="42" t="str">
        <f>IFERROR(__xludf.DUMMYFUNCTION("""COMPUTED_VALUE"""),"Bn jual beli")</f>
        <v>Bn jual beli</v>
      </c>
      <c r="H10242" s="42">
        <f t="shared" si="1"/>
        <v>3345</v>
      </c>
    </row>
    <row r="10243" ht="22.5" customHeight="1">
      <c r="B10243" s="42" t="str">
        <f>IFERROR(__xludf.DUMMYFUNCTION("""COMPUTED_VALUE"""),"ABTBVBZQ")</f>
        <v>ABTBVBZQ</v>
      </c>
      <c r="C10243" s="42" t="str">
        <f>IFERROR(__xludf.DUMMYFUNCTION("""COMPUTED_VALUE"""),"NIBEL M.18735 SUKARAME")</f>
        <v>NIBEL M.18735 SUKARAME</v>
      </c>
      <c r="D10243" s="42"/>
      <c r="E10243" s="42"/>
      <c r="F10243" s="48" t="str">
        <f>IFERROR(__xludf.DUMMYFUNCTION("""COMPUTED_VALUE"""),"")</f>
        <v/>
      </c>
      <c r="G10243" s="42" t="str">
        <f>IFERROR(__xludf.DUMMYFUNCTION("""COMPUTED_VALUE"""),"Bn jual beli")</f>
        <v>Bn jual beli</v>
      </c>
      <c r="H10243" s="42">
        <f t="shared" si="1"/>
        <v>3345</v>
      </c>
    </row>
    <row r="10244" ht="22.5" customHeight="1">
      <c r="B10244" s="42" t="str">
        <f>IFERROR(__xludf.DUMMYFUNCTION("""COMPUTED_VALUE"""),"ABFTDZNC/AB075")</f>
        <v>ABFTDZNC/AB075</v>
      </c>
      <c r="C10244" s="42" t="str">
        <f>IFERROR(__xludf.DUMMYFUNCTION("""COMPUTED_VALUE"""),"Shm 16468/Sukabumi")</f>
        <v>Shm 16468/Sukabumi</v>
      </c>
      <c r="D10244" s="42"/>
      <c r="E10244" s="42"/>
      <c r="F10244" s="48" t="str">
        <f>IFERROR(__xludf.DUMMYFUNCTION("""COMPUTED_VALUE"""),"")</f>
        <v/>
      </c>
      <c r="G10244" s="42" t="str">
        <f>IFERROR(__xludf.DUMMYFUNCTION("""COMPUTED_VALUE"""),"Balik Nama")</f>
        <v>Balik Nama</v>
      </c>
      <c r="H10244" s="42">
        <f t="shared" si="1"/>
        <v>3345</v>
      </c>
    </row>
    <row r="10245" ht="22.5" customHeight="1">
      <c r="B10245" s="42" t="str">
        <f>IFERROR(__xludf.DUMMYFUNCTION("""COMPUTED_VALUE"""),"L/10/191225/1")</f>
        <v>L/10/191225/1</v>
      </c>
      <c r="C10245" s="42" t="str">
        <f>IFERROR(__xludf.DUMMYFUNCTION("""COMPUTED_VALUE"""),"M. 4941/CAMPANG RAYA")</f>
        <v>M. 4941/CAMPANG RAYA</v>
      </c>
      <c r="D10245" s="42"/>
      <c r="E10245" s="42"/>
      <c r="F10245" s="48" t="str">
        <f>IFERROR(__xludf.DUMMYFUNCTION("""COMPUTED_VALUE"""),"")</f>
        <v/>
      </c>
      <c r="G10245" s="42" t="str">
        <f>IFERROR(__xludf.DUMMYFUNCTION("""COMPUTED_VALUE"""),"BN HIBAH")</f>
        <v>BN HIBAH</v>
      </c>
      <c r="H10245" s="42">
        <f t="shared" si="1"/>
        <v>3345</v>
      </c>
    </row>
    <row r="10246" ht="22.5" customHeight="1">
      <c r="B10246" s="42" t="str">
        <f>IFERROR(__xludf.DUMMYFUNCTION("""COMPUTED_VALUE"""),"L/11/191225/1")</f>
        <v>L/11/191225/1</v>
      </c>
      <c r="C10246" s="42" t="str">
        <f>IFERROR(__xludf.DUMMYFUNCTION("""COMPUTED_VALUE"""),"B. 2191/SUKARAME I")</f>
        <v>B. 2191/SUKARAME I</v>
      </c>
      <c r="D10246" s="42"/>
      <c r="E10246" s="42"/>
      <c r="F10246" s="48" t="str">
        <f>IFERROR(__xludf.DUMMYFUNCTION("""COMPUTED_VALUE"""),"")</f>
        <v/>
      </c>
      <c r="G10246" s="42" t="str">
        <f>IFERROR(__xludf.DUMMYFUNCTION("""COMPUTED_VALUE"""),"PENGUKURAN HGB MATI")</f>
        <v>PENGUKURAN HGB MATI</v>
      </c>
      <c r="H10246" s="42">
        <f t="shared" si="1"/>
        <v>3345</v>
      </c>
    </row>
    <row r="10247" ht="22.5" customHeight="1">
      <c r="B10247" s="42" t="str">
        <f>IFERROR(__xludf.DUMMYFUNCTION("""COMPUTED_VALUE"""),"ABUJIIKI")</f>
        <v>ABUJIIKI</v>
      </c>
      <c r="C10247" s="42" t="str">
        <f>IFERROR(__xludf.DUMMYFUNCTION("""COMPUTED_VALUE"""),"M 6076/ GUNUNG SULAH")</f>
        <v>M 6076/ GUNUNG SULAH</v>
      </c>
      <c r="D10247" s="42"/>
      <c r="E10247" s="42"/>
      <c r="F10247" s="48" t="str">
        <f>IFERROR(__xludf.DUMMYFUNCTION("""COMPUTED_VALUE"""),"")</f>
        <v/>
      </c>
      <c r="G10247" s="42" t="str">
        <f>IFERROR(__xludf.DUMMYFUNCTION("""COMPUTED_VALUE"""),"Bn jual beli")</f>
        <v>Bn jual beli</v>
      </c>
      <c r="H10247" s="42">
        <f t="shared" si="1"/>
        <v>3345</v>
      </c>
    </row>
    <row r="10248" ht="22.5" customHeight="1">
      <c r="B10248" s="42" t="str">
        <f>IFERROR(__xludf.DUMMYFUNCTION("""COMPUTED_VALUE"""),"ABHJUKLI")</f>
        <v>ABHJUKLI</v>
      </c>
      <c r="C10248" s="42" t="str">
        <f>IFERROR(__xludf.DUMMYFUNCTION("""COMPUTED_VALUE"""),"M 25834/ KEDAUNG")</f>
        <v>M 25834/ KEDAUNG</v>
      </c>
      <c r="D10248" s="42"/>
      <c r="E10248" s="42"/>
      <c r="F10248" s="48" t="str">
        <f>IFERROR(__xludf.DUMMYFUNCTION("""COMPUTED_VALUE"""),"")</f>
        <v/>
      </c>
      <c r="G10248" s="42" t="str">
        <f>IFERROR(__xludf.DUMMYFUNCTION("""COMPUTED_VALUE"""),"Bn jual beli")</f>
        <v>Bn jual beli</v>
      </c>
      <c r="H10248" s="42">
        <f t="shared" si="1"/>
        <v>3345</v>
      </c>
    </row>
    <row r="10249" ht="22.5" customHeight="1">
      <c r="B10249" s="42" t="str">
        <f>IFERROR(__xludf.DUMMYFUNCTION("""COMPUTED_VALUE"""),"ABMNOWBN")</f>
        <v>ABMNOWBN</v>
      </c>
      <c r="C10249" s="42" t="str">
        <f>IFERROR(__xludf.DUMMYFUNCTION("""COMPUTED_VALUE"""),"M 2332/ KEDAUNG")</f>
        <v>M 2332/ KEDAUNG</v>
      </c>
      <c r="D10249" s="42"/>
      <c r="E10249" s="42"/>
      <c r="F10249" s="48" t="str">
        <f>IFERROR(__xludf.DUMMYFUNCTION("""COMPUTED_VALUE"""),"")</f>
        <v/>
      </c>
      <c r="G10249" s="42" t="str">
        <f>IFERROR(__xludf.DUMMYFUNCTION("""COMPUTED_VALUE"""),"Bn jual beli")</f>
        <v>Bn jual beli</v>
      </c>
      <c r="H10249" s="42">
        <f t="shared" si="1"/>
        <v>3345</v>
      </c>
    </row>
    <row r="10250" ht="22.5" customHeight="1">
      <c r="B10250" s="42" t="str">
        <f>IFERROR(__xludf.DUMMYFUNCTION("""COMPUTED_VALUE"""),"K/12/191225/1")</f>
        <v>K/12/191225/1</v>
      </c>
      <c r="C10250" s="42" t="str">
        <f>IFERROR(__xludf.DUMMYFUNCTION("""COMPUTED_VALUE"""),"NIBEL M. 22544/KEMILING RAYA")</f>
        <v>NIBEL M. 22544/KEMILING RAYA</v>
      </c>
      <c r="D10250" s="42"/>
      <c r="E10250" s="42"/>
      <c r="F10250" s="48" t="str">
        <f>IFERROR(__xludf.DUMMYFUNCTION("""COMPUTED_VALUE"""),"")</f>
        <v/>
      </c>
      <c r="G10250" s="42" t="str">
        <f>IFERROR(__xludf.DUMMYFUNCTION("""COMPUTED_VALUE"""),"PEMECAHAN")</f>
        <v>PEMECAHAN</v>
      </c>
      <c r="H10250" s="42">
        <f t="shared" si="1"/>
        <v>3345</v>
      </c>
    </row>
    <row r="10251" ht="22.5" customHeight="1">
      <c r="B10251" s="42" t="str">
        <f>IFERROR(__xludf.DUMMYFUNCTION("""COMPUTED_VALUE"""),"K/13/191225/1")</f>
        <v>K/13/191225/1</v>
      </c>
      <c r="C10251" s="42" t="str">
        <f>IFERROR(__xludf.DUMMYFUNCTION("""COMPUTED_VALUE"""),"NIBEL B. 420/KEMILING PERMAI")</f>
        <v>NIBEL B. 420/KEMILING PERMAI</v>
      </c>
      <c r="D10251" s="42"/>
      <c r="E10251" s="42"/>
      <c r="F10251" s="48" t="str">
        <f>IFERROR(__xludf.DUMMYFUNCTION("""COMPUTED_VALUE"""),"")</f>
        <v/>
      </c>
      <c r="G10251" s="42" t="str">
        <f>IFERROR(__xludf.DUMMYFUNCTION("""COMPUTED_VALUE"""),"PENINGKATAN HAK")</f>
        <v>PENINGKATAN HAK</v>
      </c>
      <c r="H10251" s="42">
        <f t="shared" si="1"/>
        <v>3345</v>
      </c>
    </row>
    <row r="10252" ht="22.5" customHeight="1">
      <c r="B10252" s="42" t="str">
        <f>IFERROR(__xludf.DUMMYFUNCTION("""COMPUTED_VALUE"""),"K/14/191225/2")</f>
        <v>K/14/191225/2</v>
      </c>
      <c r="C10252" s="42" t="str">
        <f>IFERROR(__xludf.DUMMYFUNCTION("""COMPUTED_VALUE"""),"NIBEL M. 447/KEMILING PERMAI")</f>
        <v>NIBEL M. 447/KEMILING PERMAI</v>
      </c>
      <c r="D10252" s="42"/>
      <c r="E10252" s="42"/>
      <c r="F10252" s="48" t="str">
        <f>IFERROR(__xludf.DUMMYFUNCTION("""COMPUTED_VALUE"""),"")</f>
        <v/>
      </c>
      <c r="G10252" s="42" t="str">
        <f>IFERROR(__xludf.DUMMYFUNCTION("""COMPUTED_VALUE"""),"PENINGKATAN HAK")</f>
        <v>PENINGKATAN HAK</v>
      </c>
      <c r="H10252" s="42">
        <f t="shared" si="1"/>
        <v>3345</v>
      </c>
    </row>
    <row r="10253" ht="22.5" customHeight="1">
      <c r="B10253" s="42" t="str">
        <f>IFERROR(__xludf.DUMMYFUNCTION("""COMPUTED_VALUE"""),"K/15/191225/3")</f>
        <v>K/15/191225/3</v>
      </c>
      <c r="C10253" s="42" t="str">
        <f>IFERROR(__xludf.DUMMYFUNCTION("""COMPUTED_VALUE"""),"NIBEL M. 426/KEMILING PERMAI")</f>
        <v>NIBEL M. 426/KEMILING PERMAI</v>
      </c>
      <c r="D10253" s="42"/>
      <c r="E10253" s="42"/>
      <c r="F10253" s="48" t="str">
        <f>IFERROR(__xludf.DUMMYFUNCTION("""COMPUTED_VALUE"""),"")</f>
        <v/>
      </c>
      <c r="G10253" s="42" t="str">
        <f>IFERROR(__xludf.DUMMYFUNCTION("""COMPUTED_VALUE"""),"PENINGKATAN HAK")</f>
        <v>PENINGKATAN HAK</v>
      </c>
      <c r="H10253" s="42">
        <f t="shared" si="1"/>
        <v>3345</v>
      </c>
    </row>
    <row r="10254" ht="22.5" customHeight="1">
      <c r="B10254" s="42" t="str">
        <f>IFERROR(__xludf.DUMMYFUNCTION("""COMPUTED_VALUE"""),"AB010/ABIATTUU")</f>
        <v>AB010/ABIATTUU</v>
      </c>
      <c r="C10254" s="42" t="str">
        <f>IFERROR(__xludf.DUMMYFUNCTION("""COMPUTED_VALUE"""),"M. 26139 Labuhan Dalam")</f>
        <v>M. 26139 Labuhan Dalam</v>
      </c>
      <c r="D10254" s="42"/>
      <c r="E10254" s="42"/>
      <c r="F10254" s="48" t="str">
        <f>IFERROR(__xludf.DUMMYFUNCTION("""COMPUTED_VALUE"""),"")</f>
        <v/>
      </c>
      <c r="G10254" s="42" t="str">
        <f>IFERROR(__xludf.DUMMYFUNCTION("""COMPUTED_VALUE"""),"AJB")</f>
        <v>AJB</v>
      </c>
      <c r="H10254" s="42">
        <f t="shared" si="1"/>
        <v>3345</v>
      </c>
    </row>
    <row r="10255" ht="22.5" customHeight="1">
      <c r="B10255" s="42" t="str">
        <f>IFERROR(__xludf.DUMMYFUNCTION("""COMPUTED_VALUE"""),"AB010/ABMQCONK")</f>
        <v>AB010/ABMQCONK</v>
      </c>
      <c r="C10255" s="42" t="str">
        <f>IFERROR(__xludf.DUMMYFUNCTION("""COMPUTED_VALUE"""),"NIB 08010000271700")</f>
        <v>NIB 08010000271700</v>
      </c>
      <c r="D10255" s="42"/>
      <c r="E10255" s="42"/>
      <c r="F10255" s="48" t="str">
        <f>IFERROR(__xludf.DUMMYFUNCTION("""COMPUTED_VALUE"""),"")</f>
        <v/>
      </c>
      <c r="G10255" s="42" t="str">
        <f>IFERROR(__xludf.DUMMYFUNCTION("""COMPUTED_VALUE"""),"Peningkatan hak milik")</f>
        <v>Peningkatan hak milik</v>
      </c>
      <c r="H10255" s="42">
        <f t="shared" si="1"/>
        <v>3345</v>
      </c>
    </row>
    <row r="10256" ht="22.5" customHeight="1">
      <c r="B10256" s="42" t="str">
        <f>IFERROR(__xludf.DUMMYFUNCTION("""COMPUTED_VALUE"""),"AB029/ABMWYGTK")</f>
        <v>AB029/ABMWYGTK</v>
      </c>
      <c r="C10256" s="42" t="str">
        <f>IFERROR(__xludf.DUMMYFUNCTION("""COMPUTED_VALUE"""),"M 1617 sumberejo sejahtera ")</f>
        <v>M 1617 sumberejo sejahtera </v>
      </c>
      <c r="D10256" s="42"/>
      <c r="E10256" s="42"/>
      <c r="F10256" s="48" t="str">
        <f>IFERROR(__xludf.DUMMYFUNCTION("""COMPUTED_VALUE"""),"")</f>
        <v/>
      </c>
      <c r="G10256" s="42" t="str">
        <f>IFERROR(__xludf.DUMMYFUNCTION("""COMPUTED_VALUE"""),"Baliknama ajb")</f>
        <v>Baliknama ajb</v>
      </c>
      <c r="H10256" s="42">
        <f t="shared" si="1"/>
        <v>3345</v>
      </c>
    </row>
    <row r="10257" ht="22.5" customHeight="1">
      <c r="B10257" s="42" t="str">
        <f>IFERROR(__xludf.DUMMYFUNCTION("""COMPUTED_VALUE"""),"ABGLXQTM")</f>
        <v>ABGLXQTM</v>
      </c>
      <c r="C10257" s="42" t="str">
        <f>IFERROR(__xludf.DUMMYFUNCTION("""COMPUTED_VALUE"""),"M. 25517/sumberrejo")</f>
        <v>M. 25517/sumberrejo</v>
      </c>
      <c r="D10257" s="42"/>
      <c r="E10257" s="42"/>
      <c r="F10257" s="48" t="str">
        <f>IFERROR(__xludf.DUMMYFUNCTION("""COMPUTED_VALUE"""),"")</f>
        <v/>
      </c>
      <c r="G10257" s="42" t="str">
        <f>IFERROR(__xludf.DUMMYFUNCTION("""COMPUTED_VALUE"""),"Balik nama")</f>
        <v>Balik nama</v>
      </c>
      <c r="H10257" s="42">
        <f t="shared" si="1"/>
        <v>3345</v>
      </c>
    </row>
    <row r="10258" ht="22.5" customHeight="1">
      <c r="B10258" s="42" t="str">
        <f>IFERROR(__xludf.DUMMYFUNCTION("""COMPUTED_VALUE"""),"ABQYGOTW")</f>
        <v>ABQYGOTW</v>
      </c>
      <c r="C10258" s="42" t="str">
        <f>IFERROR(__xludf.DUMMYFUNCTION("""COMPUTED_VALUE"""),"M.11079/kdn")</f>
        <v>M.11079/kdn</v>
      </c>
      <c r="D10258" s="42"/>
      <c r="E10258" s="42"/>
      <c r="F10258" s="48" t="str">
        <f>IFERROR(__xludf.DUMMYFUNCTION("""COMPUTED_VALUE"""),"")</f>
        <v/>
      </c>
      <c r="G10258" s="42" t="str">
        <f>IFERROR(__xludf.DUMMYFUNCTION("""COMPUTED_VALUE"""),"Roya")</f>
        <v>Roya</v>
      </c>
      <c r="H10258" s="42">
        <f t="shared" si="1"/>
        <v>3345</v>
      </c>
    </row>
    <row r="10259" ht="22.5" customHeight="1">
      <c r="B10259" s="42" t="str">
        <f>IFERROR(__xludf.DUMMYFUNCTION("""COMPUTED_VALUE"""),"ABXYDGSC")</f>
        <v>ABXYDGSC</v>
      </c>
      <c r="C10259" s="42" t="str">
        <f>IFERROR(__xludf.DUMMYFUNCTION("""COMPUTED_VALUE"""),"M 265/ sukarame baru")</f>
        <v>M 265/ sukarame baru</v>
      </c>
      <c r="D10259" s="42"/>
      <c r="E10259" s="42"/>
      <c r="F10259" s="48" t="str">
        <f>IFERROR(__xludf.DUMMYFUNCTION("""COMPUTED_VALUE"""),"")</f>
        <v/>
      </c>
      <c r="G10259" s="42" t="str">
        <f>IFERROR(__xludf.DUMMYFUNCTION("""COMPUTED_VALUE"""),"Bn jual beli")</f>
        <v>Bn jual beli</v>
      </c>
      <c r="H10259" s="42">
        <f t="shared" si="1"/>
        <v>3345</v>
      </c>
    </row>
    <row r="10260" ht="22.5" customHeight="1">
      <c r="B10260" s="42" t="str">
        <f>IFERROR(__xludf.DUMMYFUNCTION("""COMPUTED_VALUE"""),"ABFVJMLK")</f>
        <v>ABFVJMLK</v>
      </c>
      <c r="C10260" s="42" t="str">
        <f>IFERROR(__xludf.DUMMYFUNCTION("""COMPUTED_VALUE"""),"M 568/ ketapang")</f>
        <v>M 568/ ketapang</v>
      </c>
      <c r="D10260" s="42"/>
      <c r="E10260" s="42"/>
      <c r="F10260" s="48" t="str">
        <f>IFERROR(__xludf.DUMMYFUNCTION("""COMPUTED_VALUE"""),"")</f>
        <v/>
      </c>
      <c r="G10260" s="42" t="str">
        <f>IFERROR(__xludf.DUMMYFUNCTION("""COMPUTED_VALUE"""),"Bn jual beli")</f>
        <v>Bn jual beli</v>
      </c>
      <c r="H10260" s="42">
        <f t="shared" si="1"/>
        <v>3345</v>
      </c>
    </row>
    <row r="10261" ht="22.5" customHeight="1">
      <c r="B10261" s="42" t="str">
        <f>IFERROR(__xludf.DUMMYFUNCTION("""COMPUTED_VALUE"""),"ABBXRJBN/AB068")</f>
        <v>ABBXRJBN/AB068</v>
      </c>
      <c r="C10261" s="42" t="str">
        <f>IFERROR(__xludf.DUMMYFUNCTION("""COMPUTED_VALUE"""),"1599/Sukabumi Indah")</f>
        <v>1599/Sukabumi Indah</v>
      </c>
      <c r="D10261" s="42"/>
      <c r="E10261" s="42"/>
      <c r="F10261" s="48" t="str">
        <f>IFERROR(__xludf.DUMMYFUNCTION("""COMPUTED_VALUE"""),"")</f>
        <v/>
      </c>
      <c r="G10261" s="42" t="str">
        <f>IFERROR(__xludf.DUMMYFUNCTION("""COMPUTED_VALUE"""),"Roya")</f>
        <v>Roya</v>
      </c>
      <c r="H10261" s="42">
        <f t="shared" si="1"/>
        <v>3345</v>
      </c>
    </row>
    <row r="10262" ht="22.5" customHeight="1">
      <c r="B10262" s="42" t="str">
        <f>IFERROR(__xludf.DUMMYFUNCTION("""COMPUTED_VALUE"""),"K/16/191225/4")</f>
        <v>K/16/191225/4</v>
      </c>
      <c r="C10262" s="42" t="str">
        <f>IFERROR(__xludf.DUMMYFUNCTION("""COMPUTED_VALUE"""),"NIBEL B. 437/KEMILING PERMAI")</f>
        <v>NIBEL B. 437/KEMILING PERMAI</v>
      </c>
      <c r="D10262" s="42"/>
      <c r="E10262" s="42"/>
      <c r="F10262" s="48" t="str">
        <f>IFERROR(__xludf.DUMMYFUNCTION("""COMPUTED_VALUE"""),"")</f>
        <v/>
      </c>
      <c r="G10262" s="42" t="str">
        <f>IFERROR(__xludf.DUMMYFUNCTION("""COMPUTED_VALUE"""),"PENINGKATAN HAK")</f>
        <v>PENINGKATAN HAK</v>
      </c>
      <c r="H10262" s="42">
        <f t="shared" si="1"/>
        <v>3345</v>
      </c>
    </row>
    <row r="10263" ht="22.5" customHeight="1">
      <c r="B10263" s="42" t="str">
        <f>IFERROR(__xludf.DUMMYFUNCTION("""COMPUTED_VALUE"""),"AB076/ABAMUICBC")</f>
        <v>AB076/ABAMUICBC</v>
      </c>
      <c r="C10263" s="42" t="str">
        <f>IFERROR(__xludf.DUMMYFUNCTION("""COMPUTED_VALUE"""),"SHM 95/Tanjung Karang")</f>
        <v>SHM 95/Tanjung Karang</v>
      </c>
      <c r="D10263" s="42"/>
      <c r="E10263" s="42"/>
      <c r="F10263" s="48" t="str">
        <f>IFERROR(__xludf.DUMMYFUNCTION("""COMPUTED_VALUE"""),"")</f>
        <v/>
      </c>
      <c r="G10263" s="42" t="str">
        <f>IFERROR(__xludf.DUMMYFUNCTION("""COMPUTED_VALUE"""),"Ganti nama ")</f>
        <v>Ganti nama </v>
      </c>
      <c r="H10263" s="42">
        <f t="shared" si="1"/>
        <v>3345</v>
      </c>
    </row>
    <row r="10264" ht="22.5" customHeight="1">
      <c r="B10264" s="42" t="str">
        <f>IFERROR(__xludf.DUMMYFUNCTION("""COMPUTED_VALUE"""),"K/3/221225/1")</f>
        <v>K/3/221225/1</v>
      </c>
      <c r="C10264" s="42" t="str">
        <f>IFERROR(__xludf.DUMMYFUNCTION("""COMPUTED_VALUE"""),"M. 3814/SUKADANA HAM")</f>
        <v>M. 3814/SUKADANA HAM</v>
      </c>
      <c r="D10264" s="42"/>
      <c r="E10264" s="42"/>
      <c r="F10264" s="48" t="str">
        <f>IFERROR(__xludf.DUMMYFUNCTION("""COMPUTED_VALUE"""),"")</f>
        <v/>
      </c>
      <c r="G10264" s="42" t="str">
        <f>IFERROR(__xludf.DUMMYFUNCTION("""COMPUTED_VALUE"""),"BN JUAL BELI")</f>
        <v>BN JUAL BELI</v>
      </c>
      <c r="H10264" s="42">
        <f t="shared" si="1"/>
        <v>3345</v>
      </c>
    </row>
    <row r="10265" ht="22.5" customHeight="1">
      <c r="B10265" s="42" t="str">
        <f>IFERROR(__xludf.DUMMYFUNCTION("""COMPUTED_VALUE"""),"K/5/221225/1")</f>
        <v>K/5/221225/1</v>
      </c>
      <c r="C10265" s="42" t="str">
        <f>IFERROR(__xludf.DUMMYFUNCTION("""COMPUTED_VALUE"""),"M. 1630/BAKUNG")</f>
        <v>M. 1630/BAKUNG</v>
      </c>
      <c r="D10265" s="42"/>
      <c r="E10265" s="42"/>
      <c r="F10265" s="48" t="str">
        <f>IFERROR(__xludf.DUMMYFUNCTION("""COMPUTED_VALUE"""),"")</f>
        <v/>
      </c>
      <c r="G10265" s="42" t="str">
        <f>IFERROR(__xludf.DUMMYFUNCTION("""COMPUTED_VALUE"""),"PTPGT PECAH")</f>
        <v>PTPGT PECAH</v>
      </c>
      <c r="H10265" s="42">
        <f t="shared" si="1"/>
        <v>3345</v>
      </c>
    </row>
    <row r="10266" ht="22.5" customHeight="1">
      <c r="B10266" s="42" t="str">
        <f>IFERROR(__xludf.DUMMYFUNCTION("""COMPUTED_VALUE"""),"AB067/ABNTKRUR")</f>
        <v>AB067/ABNTKRUR</v>
      </c>
      <c r="C10266" s="42" t="str">
        <f>IFERROR(__xludf.DUMMYFUNCTION("""COMPUTED_VALUE"""),"08.01.000023230.0")</f>
        <v>08.01.000023230.0</v>
      </c>
      <c r="D10266" s="42"/>
      <c r="E10266" s="42"/>
      <c r="F10266" s="48" t="str">
        <f>IFERROR(__xludf.DUMMYFUNCTION("""COMPUTED_VALUE"""),"")</f>
        <v/>
      </c>
      <c r="G10266" s="42" t="str">
        <f>IFERROR(__xludf.DUMMYFUNCTION("""COMPUTED_VALUE"""),"Balik Nama")</f>
        <v>Balik Nama</v>
      </c>
      <c r="H10266" s="42">
        <f t="shared" si="1"/>
        <v>3345</v>
      </c>
    </row>
    <row r="10267" ht="22.5" customHeight="1">
      <c r="B10267" s="42" t="str">
        <f>IFERROR(__xludf.DUMMYFUNCTION("""COMPUTED_VALUE"""),"ABXGYAZN/Ab077")</f>
        <v>ABXGYAZN/Ab077</v>
      </c>
      <c r="C10267" s="42" t="str">
        <f>IFERROR(__xludf.DUMMYFUNCTION("""COMPUTED_VALUE"""),"B Nibel 17031/Jagabaya III")</f>
        <v>B Nibel 17031/Jagabaya III</v>
      </c>
      <c r="D10267" s="42"/>
      <c r="E10267" s="42"/>
      <c r="F10267" s="48" t="str">
        <f>IFERROR(__xludf.DUMMYFUNCTION("""COMPUTED_VALUE"""),"")</f>
        <v/>
      </c>
      <c r="G10267" s="42" t="str">
        <f>IFERROR(__xludf.DUMMYFUNCTION("""COMPUTED_VALUE"""),"Peningkatan hak")</f>
        <v>Peningkatan hak</v>
      </c>
      <c r="H10267" s="42">
        <f t="shared" si="1"/>
        <v>3345</v>
      </c>
    </row>
    <row r="10268" ht="22.5" customHeight="1">
      <c r="B10268" s="42" t="str">
        <f>IFERROR(__xludf.DUMMYFUNCTION("""COMPUTED_VALUE"""),"ABDVUNFC/Ab077")</f>
        <v>ABDVUNFC/Ab077</v>
      </c>
      <c r="C10268" s="42" t="str">
        <f>IFERROR(__xludf.DUMMYFUNCTION("""COMPUTED_VALUE"""),"M. 13414/tanjung baru")</f>
        <v>M. 13414/tanjung baru</v>
      </c>
      <c r="D10268" s="42"/>
      <c r="E10268" s="42"/>
      <c r="F10268" s="48" t="str">
        <f>IFERROR(__xludf.DUMMYFUNCTION("""COMPUTED_VALUE"""),"")</f>
        <v/>
      </c>
      <c r="G10268" s="42" t="str">
        <f>IFERROR(__xludf.DUMMYFUNCTION("""COMPUTED_VALUE"""),"Roya")</f>
        <v>Roya</v>
      </c>
      <c r="H10268" s="42">
        <f t="shared" si="1"/>
        <v>3345</v>
      </c>
    </row>
    <row r="10269" ht="22.5" customHeight="1">
      <c r="B10269" s="42" t="str">
        <f>IFERROR(__xludf.DUMMYFUNCTION("""COMPUTED_VALUE"""),"L/1/221225/1")</f>
        <v>L/1/221225/1</v>
      </c>
      <c r="C10269" s="42" t="str">
        <f>IFERROR(__xludf.DUMMYFUNCTION("""COMPUTED_VALUE"""),"M.8953/SUKARAME BARU")</f>
        <v>M.8953/SUKARAME BARU</v>
      </c>
      <c r="D10269" s="42"/>
      <c r="E10269" s="42"/>
      <c r="F10269" s="48" t="str">
        <f>IFERROR(__xludf.DUMMYFUNCTION("""COMPUTED_VALUE"""),"")</f>
        <v/>
      </c>
      <c r="G10269" s="42" t="str">
        <f>IFERROR(__xludf.DUMMYFUNCTION("""COMPUTED_VALUE"""),"SKPT INFORMASI")</f>
        <v>SKPT INFORMASI</v>
      </c>
      <c r="H10269" s="42">
        <f t="shared" si="1"/>
        <v>3345</v>
      </c>
    </row>
    <row r="10270" ht="22.5" customHeight="1">
      <c r="B10270" s="42" t="str">
        <f>IFERROR(__xludf.DUMMYFUNCTION("""COMPUTED_VALUE"""),"L/2/221225/1")</f>
        <v>L/2/221225/1</v>
      </c>
      <c r="C10270" s="42" t="str">
        <f>IFERROR(__xludf.DUMMYFUNCTION("""COMPUTED_VALUE"""),"WAY DADI")</f>
        <v>WAY DADI</v>
      </c>
      <c r="D10270" s="42"/>
      <c r="E10270" s="42"/>
      <c r="F10270" s="48" t="str">
        <f>IFERROR(__xludf.DUMMYFUNCTION("""COMPUTED_VALUE"""),"")</f>
        <v/>
      </c>
      <c r="G10270" s="42" t="str">
        <f>IFERROR(__xludf.DUMMYFUNCTION("""COMPUTED_VALUE"""),"TANAH MENTAH")</f>
        <v>TANAH MENTAH</v>
      </c>
      <c r="H10270" s="42">
        <f t="shared" si="1"/>
        <v>3345</v>
      </c>
    </row>
    <row r="10271" ht="22.5" customHeight="1">
      <c r="B10271" s="42" t="str">
        <f>IFERROR(__xludf.DUMMYFUNCTION("""COMPUTED_VALUE"""),"L/4/221225/1")</f>
        <v>L/4/221225/1</v>
      </c>
      <c r="C10271" s="42" t="str">
        <f>IFERROR(__xludf.DUMMYFUNCTION("""COMPUTED_VALUE"""),"M.1395/KURIPAN")</f>
        <v>M.1395/KURIPAN</v>
      </c>
      <c r="D10271" s="42"/>
      <c r="E10271" s="42"/>
      <c r="F10271" s="48" t="str">
        <f>IFERROR(__xludf.DUMMYFUNCTION("""COMPUTED_VALUE"""),"")</f>
        <v/>
      </c>
      <c r="G10271" s="42" t="str">
        <f>IFERROR(__xludf.DUMMYFUNCTION("""COMPUTED_VALUE"""),"ROYA")</f>
        <v>ROYA</v>
      </c>
      <c r="H10271" s="42">
        <f t="shared" si="1"/>
        <v>3345</v>
      </c>
    </row>
    <row r="10272" ht="22.5" customHeight="1">
      <c r="B10272" s="42" t="str">
        <f>IFERROR(__xludf.DUMMYFUNCTION("""COMPUTED_VALUE"""),"ABERTVDC")</f>
        <v>ABERTVDC</v>
      </c>
      <c r="C10272" s="42">
        <f>IFERROR(__xludf.DUMMYFUNCTION("""COMPUTED_VALUE"""),4087.0)</f>
        <v>4087</v>
      </c>
      <c r="D10272" s="42"/>
      <c r="E10272" s="42"/>
      <c r="F10272" s="48" t="str">
        <f>IFERROR(__xludf.DUMMYFUNCTION("""COMPUTED_VALUE"""),"")</f>
        <v/>
      </c>
      <c r="G10272" s="42" t="str">
        <f>IFERROR(__xludf.DUMMYFUNCTION("""COMPUTED_VALUE"""),"Pereralihan Hak")</f>
        <v>Pereralihan Hak</v>
      </c>
      <c r="H10272" s="42">
        <f t="shared" si="1"/>
        <v>3345</v>
      </c>
    </row>
    <row r="10273" ht="22.5" customHeight="1">
      <c r="B10273" s="42" t="str">
        <f>IFERROR(__xludf.DUMMYFUNCTION("""COMPUTED_VALUE"""),"AB074/ABYSLAUO")</f>
        <v>AB074/ABYSLAUO</v>
      </c>
      <c r="C10273" s="42" t="str">
        <f>IFERROR(__xludf.DUMMYFUNCTION("""COMPUTED_VALUE"""),"M.2069 CAMPANG JAYA")</f>
        <v>M.2069 CAMPANG JAYA</v>
      </c>
      <c r="D10273" s="42"/>
      <c r="E10273" s="42"/>
      <c r="F10273" s="48" t="str">
        <f>IFERROR(__xludf.DUMMYFUNCTION("""COMPUTED_VALUE"""),"")</f>
        <v/>
      </c>
      <c r="G10273" s="42" t="str">
        <f>IFERROR(__xludf.DUMMYFUNCTION("""COMPUTED_VALUE"""),"BALIK NAMA")</f>
        <v>BALIK NAMA</v>
      </c>
      <c r="H10273" s="42">
        <f t="shared" si="1"/>
        <v>3345</v>
      </c>
    </row>
    <row r="10274" ht="22.5" customHeight="1">
      <c r="B10274" s="42" t="str">
        <f>IFERROR(__xludf.DUMMYFUNCTION("""COMPUTED_VALUE"""),"ABFXWWEI")</f>
        <v>ABFXWWEI</v>
      </c>
      <c r="C10274" s="42">
        <f>IFERROR(__xludf.DUMMYFUNCTION("""COMPUTED_VALUE"""),25833.0)</f>
        <v>25833</v>
      </c>
      <c r="D10274" s="42"/>
      <c r="E10274" s="42"/>
      <c r="F10274" s="48" t="str">
        <f>IFERROR(__xludf.DUMMYFUNCTION("""COMPUTED_VALUE"""),"")</f>
        <v/>
      </c>
      <c r="G10274" s="42" t="str">
        <f>IFERROR(__xludf.DUMMYFUNCTION("""COMPUTED_VALUE"""),"Peralihan Hak")</f>
        <v>Peralihan Hak</v>
      </c>
      <c r="H10274" s="42">
        <f t="shared" si="1"/>
        <v>3345</v>
      </c>
    </row>
    <row r="10275" ht="22.5" customHeight="1">
      <c r="B10275" s="42" t="str">
        <f>IFERROR(__xludf.DUMMYFUNCTION("""COMPUTED_VALUE"""),"ABJHIIOL")</f>
        <v>ABJHIIOL</v>
      </c>
      <c r="C10275" s="42" t="str">
        <f>IFERROR(__xludf.DUMMYFUNCTION("""COMPUTED_VALUE"""),"M 23148/ SUMUR BATU")</f>
        <v>M 23148/ SUMUR BATU</v>
      </c>
      <c r="D10275" s="42"/>
      <c r="E10275" s="42"/>
      <c r="F10275" s="48" t="str">
        <f>IFERROR(__xludf.DUMMYFUNCTION("""COMPUTED_VALUE"""),"")</f>
        <v/>
      </c>
      <c r="G10275" s="42" t="str">
        <f>IFERROR(__xludf.DUMMYFUNCTION("""COMPUTED_VALUE"""),"Peralihan Hak")</f>
        <v>Peralihan Hak</v>
      </c>
      <c r="H10275" s="42">
        <f t="shared" si="1"/>
        <v>3345</v>
      </c>
    </row>
    <row r="10276" ht="22.5" customHeight="1">
      <c r="B10276" s="42" t="str">
        <f>IFERROR(__xludf.DUMMYFUNCTION("""COMPUTED_VALUE"""),"AB074/ABWLSBBN")</f>
        <v>AB074/ABWLSBBN</v>
      </c>
      <c r="C10276" s="42" t="str">
        <f>IFERROR(__xludf.DUMMYFUNCTION("""COMPUTED_VALUE"""),"NIBEL 19795 WAY KANDIS")</f>
        <v>NIBEL 19795 WAY KANDIS</v>
      </c>
      <c r="D10276" s="42"/>
      <c r="E10276" s="42"/>
      <c r="F10276" s="48" t="str">
        <f>IFERROR(__xludf.DUMMYFUNCTION("""COMPUTED_VALUE"""),"")</f>
        <v/>
      </c>
      <c r="G10276" s="42" t="str">
        <f>IFERROR(__xludf.DUMMYFUNCTION("""COMPUTED_VALUE"""),"BALIK NAMA")</f>
        <v>BALIK NAMA</v>
      </c>
      <c r="H10276" s="42">
        <f t="shared" si="1"/>
        <v>3345</v>
      </c>
    </row>
    <row r="10277" ht="22.5" customHeight="1">
      <c r="B10277" s="42" t="str">
        <f>IFERROR(__xludf.DUMMYFUNCTION("""COMPUTED_VALUE"""),"L/7/221225/1")</f>
        <v>L/7/221225/1</v>
      </c>
      <c r="C10277" s="42" t="str">
        <f>IFERROR(__xludf.DUMMYFUNCTION("""COMPUTED_VALUE"""),"M.1796/TANJUNG SENENG")</f>
        <v>M.1796/TANJUNG SENENG</v>
      </c>
      <c r="D10277" s="42"/>
      <c r="E10277" s="42"/>
      <c r="F10277" s="48" t="str">
        <f>IFERROR(__xludf.DUMMYFUNCTION("""COMPUTED_VALUE"""),"")</f>
        <v/>
      </c>
      <c r="G10277" s="42" t="str">
        <f>IFERROR(__xludf.DUMMYFUNCTION("""COMPUTED_VALUE"""),"SKPT INFORMASI")</f>
        <v>SKPT INFORMASI</v>
      </c>
      <c r="H10277" s="42">
        <f t="shared" si="1"/>
        <v>3345</v>
      </c>
    </row>
    <row r="10278" ht="22.5" customHeight="1">
      <c r="B10278" s="42" t="str">
        <f>IFERROR(__xludf.DUMMYFUNCTION("""COMPUTED_VALUE"""),"K/6/221225/1")</f>
        <v>K/6/221225/1</v>
      </c>
      <c r="C10278" s="42" t="str">
        <f>IFERROR(__xludf.DUMMYFUNCTION("""COMPUTED_VALUE"""),"B. 53/SUMBER REJO")</f>
        <v>B. 53/SUMBER REJO</v>
      </c>
      <c r="D10278" s="42"/>
      <c r="E10278" s="42"/>
      <c r="F10278" s="48" t="str">
        <f>IFERROR(__xludf.DUMMYFUNCTION("""COMPUTED_VALUE"""),"")</f>
        <v/>
      </c>
      <c r="G10278" s="42" t="str">
        <f>IFERROR(__xludf.DUMMYFUNCTION("""COMPUTED_VALUE"""),"PENGUKURAN HGB MATI ")</f>
        <v>PENGUKURAN HGB MATI </v>
      </c>
      <c r="H10278" s="42">
        <f t="shared" si="1"/>
        <v>3345</v>
      </c>
    </row>
    <row r="10279" ht="22.5" customHeight="1">
      <c r="B10279" s="42" t="str">
        <f>IFERROR(__xludf.DUMMYFUNCTION("""COMPUTED_VALUE"""),"AB088")</f>
        <v>AB088</v>
      </c>
      <c r="C10279" s="42" t="str">
        <f>IFERROR(__xludf.DUMMYFUNCTION("""COMPUTED_VALUE"""),"SHGB No.72/Way Laga")</f>
        <v>SHGB No.72/Way Laga</v>
      </c>
      <c r="D10279" s="42"/>
      <c r="E10279" s="42"/>
      <c r="F10279" s="48" t="str">
        <f>IFERROR(__xludf.DUMMYFUNCTION("""COMPUTED_VALUE"""),"")</f>
        <v/>
      </c>
      <c r="G10279" s="42" t="str">
        <f>IFERROR(__xludf.DUMMYFUNCTION("""COMPUTED_VALUE"""),"Balik Nama")</f>
        <v>Balik Nama</v>
      </c>
      <c r="H10279" s="42">
        <f t="shared" si="1"/>
        <v>3345</v>
      </c>
    </row>
    <row r="10280" ht="22.5" customHeight="1">
      <c r="B10280" s="42" t="str">
        <f>IFERROR(__xludf.DUMMYFUNCTION("""COMPUTED_VALUE"""),"AB06/ABGKIMWO")</f>
        <v>AB06/ABGKIMWO</v>
      </c>
      <c r="C10280" s="42" t="str">
        <f>IFERROR(__xludf.DUMMYFUNCTION("""COMPUTED_VALUE"""),"M. NIBEL 23803/Bumi Kedamaian")</f>
        <v>M. NIBEL 23803/Bumi Kedamaian</v>
      </c>
      <c r="D10280" s="42"/>
      <c r="E10280" s="42"/>
      <c r="F10280" s="48" t="str">
        <f>IFERROR(__xludf.DUMMYFUNCTION("""COMPUTED_VALUE"""),"")</f>
        <v/>
      </c>
      <c r="G10280" s="42" t="str">
        <f>IFERROR(__xludf.DUMMYFUNCTION("""COMPUTED_VALUE"""),"BN hibah")</f>
        <v>BN hibah</v>
      </c>
      <c r="H10280" s="42">
        <f t="shared" si="1"/>
        <v>3345</v>
      </c>
    </row>
    <row r="10281" ht="22.5" customHeight="1">
      <c r="B10281" s="42" t="str">
        <f>IFERROR(__xludf.DUMMYFUNCTION("""COMPUTED_VALUE"""),"ABZZLNLJ")</f>
        <v>ABZZLNLJ</v>
      </c>
      <c r="C10281" s="42" t="str">
        <f>IFERROR(__xludf.DUMMYFUNCTION("""COMPUTED_VALUE"""),"M.16105/sukarame I")</f>
        <v>M.16105/sukarame I</v>
      </c>
      <c r="D10281" s="42"/>
      <c r="E10281" s="42"/>
      <c r="F10281" s="48" t="str">
        <f>IFERROR(__xludf.DUMMYFUNCTION("""COMPUTED_VALUE"""),"")</f>
        <v/>
      </c>
      <c r="G10281" s="42" t="str">
        <f>IFERROR(__xludf.DUMMYFUNCTION("""COMPUTED_VALUE"""),"ROYA")</f>
        <v>ROYA</v>
      </c>
      <c r="H10281" s="42">
        <f t="shared" si="1"/>
        <v>3345</v>
      </c>
    </row>
    <row r="10282" ht="22.5" customHeight="1">
      <c r="B10282" s="42" t="str">
        <f>IFERROR(__xludf.DUMMYFUNCTION("""COMPUTED_VALUE"""),"ABNVXHFU")</f>
        <v>ABNVXHFU</v>
      </c>
      <c r="C10282" s="42" t="str">
        <f>IFERROR(__xludf.DUMMYFUNCTION("""COMPUTED_VALUE"""),"M 6072 Rajabasa Jaya")</f>
        <v>M 6072 Rajabasa Jaya</v>
      </c>
      <c r="D10282" s="42"/>
      <c r="E10282" s="42"/>
      <c r="F10282" s="48" t="str">
        <f>IFERROR(__xludf.DUMMYFUNCTION("""COMPUTED_VALUE"""),"")</f>
        <v/>
      </c>
      <c r="G10282" s="42" t="str">
        <f>IFERROR(__xludf.DUMMYFUNCTION("""COMPUTED_VALUE"""),"Balik nama")</f>
        <v>Balik nama</v>
      </c>
      <c r="H10282" s="42">
        <f t="shared" si="1"/>
        <v>3345</v>
      </c>
    </row>
    <row r="10283" ht="22.5" customHeight="1">
      <c r="B10283" s="42" t="str">
        <f>IFERROR(__xludf.DUMMYFUNCTION("""COMPUTED_VALUE"""),"ABHJUIID")</f>
        <v>ABHJUIID</v>
      </c>
      <c r="C10283" s="42" t="str">
        <f>IFERROR(__xludf.DUMMYFUNCTION("""COMPUTED_VALUE"""),"B 652/ TANJUNG BARU")</f>
        <v>B 652/ TANJUNG BARU</v>
      </c>
      <c r="D10283" s="42"/>
      <c r="E10283" s="42"/>
      <c r="F10283" s="48" t="str">
        <f>IFERROR(__xludf.DUMMYFUNCTION("""COMPUTED_VALUE"""),"")</f>
        <v/>
      </c>
      <c r="G10283" s="42" t="str">
        <f>IFERROR(__xludf.DUMMYFUNCTION("""COMPUTED_VALUE"""),"PERMOHONAN SK PERPANJANGAN")</f>
        <v>PERMOHONAN SK PERPANJANGAN</v>
      </c>
      <c r="H10283" s="42">
        <f t="shared" si="1"/>
        <v>3345</v>
      </c>
    </row>
    <row r="10284" ht="22.5" customHeight="1">
      <c r="B10284" s="42" t="str">
        <f>IFERROR(__xludf.DUMMYFUNCTION("""COMPUTED_VALUE"""),"ABUKLMUN")</f>
        <v>ABUKLMUN</v>
      </c>
      <c r="C10284" s="42" t="str">
        <f>IFERROR(__xludf.DUMMYFUNCTION("""COMPUTED_VALUE"""),"B 653/ TANJUNG BARU")</f>
        <v>B 653/ TANJUNG BARU</v>
      </c>
      <c r="D10284" s="42"/>
      <c r="E10284" s="42"/>
      <c r="F10284" s="48" t="str">
        <f>IFERROR(__xludf.DUMMYFUNCTION("""COMPUTED_VALUE"""),"")</f>
        <v/>
      </c>
      <c r="G10284" s="42" t="str">
        <f>IFERROR(__xludf.DUMMYFUNCTION("""COMPUTED_VALUE"""),"PERMOHONAN SK PERPANJANGAN")</f>
        <v>PERMOHONAN SK PERPANJANGAN</v>
      </c>
      <c r="H10284" s="42">
        <f t="shared" si="1"/>
        <v>3345</v>
      </c>
    </row>
    <row r="10285" ht="22.5" customHeight="1">
      <c r="B10285" s="42" t="str">
        <f>IFERROR(__xludf.DUMMYFUNCTION("""COMPUTED_VALUE"""),"ABCEDFGJ")</f>
        <v>ABCEDFGJ</v>
      </c>
      <c r="C10285" s="42" t="str">
        <f>IFERROR(__xludf.DUMMYFUNCTION("""COMPUTED_VALUE"""),"B 656/ TANJUNG BARU")</f>
        <v>B 656/ TANJUNG BARU</v>
      </c>
      <c r="D10285" s="42"/>
      <c r="E10285" s="42"/>
      <c r="F10285" s="48" t="str">
        <f>IFERROR(__xludf.DUMMYFUNCTION("""COMPUTED_VALUE"""),"")</f>
        <v/>
      </c>
      <c r="G10285" s="42" t="str">
        <f>IFERROR(__xludf.DUMMYFUNCTION("""COMPUTED_VALUE"""),"PERMOHONAN SK PERPANJANGAN")</f>
        <v>PERMOHONAN SK PERPANJANGAN</v>
      </c>
      <c r="H10285" s="42">
        <f t="shared" si="1"/>
        <v>3345</v>
      </c>
    </row>
    <row r="10286" ht="22.5" customHeight="1">
      <c r="B10286" s="42" t="str">
        <f>IFERROR(__xludf.DUMMYFUNCTION("""COMPUTED_VALUE"""),"ABLUMNUK")</f>
        <v>ABLUMNUK</v>
      </c>
      <c r="C10286" s="42" t="str">
        <f>IFERROR(__xludf.DUMMYFUNCTION("""COMPUTED_VALUE"""),"B 650/ TANJUNG BARU")</f>
        <v>B 650/ TANJUNG BARU</v>
      </c>
      <c r="D10286" s="42"/>
      <c r="E10286" s="42"/>
      <c r="F10286" s="48" t="str">
        <f>IFERROR(__xludf.DUMMYFUNCTION("""COMPUTED_VALUE"""),"")</f>
        <v/>
      </c>
      <c r="G10286" s="42" t="str">
        <f>IFERROR(__xludf.DUMMYFUNCTION("""COMPUTED_VALUE"""),"PERMOHONAN SK PERPANJANGAN")</f>
        <v>PERMOHONAN SK PERPANJANGAN</v>
      </c>
      <c r="H10286" s="42">
        <f t="shared" si="1"/>
        <v>3345</v>
      </c>
    </row>
    <row r="10287" ht="22.5" customHeight="1">
      <c r="B10287" s="42" t="str">
        <f>IFERROR(__xludf.DUMMYFUNCTION("""COMPUTED_VALUE"""),"ABTSKYVF/AB019")</f>
        <v>ABTSKYVF/AB019</v>
      </c>
      <c r="C10287" s="42" t="str">
        <f>IFERROR(__xludf.DUMMYFUNCTION("""COMPUTED_VALUE"""),"Shm 1275")</f>
        <v>Shm 1275</v>
      </c>
      <c r="D10287" s="42"/>
      <c r="E10287" s="42"/>
      <c r="F10287" s="48" t="str">
        <f>IFERROR(__xludf.DUMMYFUNCTION("""COMPUTED_VALUE"""),"")</f>
        <v/>
      </c>
      <c r="G10287" s="42" t="str">
        <f>IFERROR(__xludf.DUMMYFUNCTION("""COMPUTED_VALUE"""),"Bn ajb")</f>
        <v>Bn ajb</v>
      </c>
      <c r="H10287" s="42">
        <f t="shared" si="1"/>
        <v>3345</v>
      </c>
    </row>
    <row r="10288" ht="22.5" customHeight="1">
      <c r="B10288" s="42" t="str">
        <f>IFERROR(__xludf.DUMMYFUNCTION("""COMPUTED_VALUE"""),"ABOFOZVP")</f>
        <v>ABOFOZVP</v>
      </c>
      <c r="C10288" s="42" t="str">
        <f>IFERROR(__xludf.DUMMYFUNCTION("""COMPUTED_VALUE"""),"SHM 2711 way kandis")</f>
        <v>SHM 2711 way kandis</v>
      </c>
      <c r="D10288" s="42"/>
      <c r="E10288" s="42"/>
      <c r="F10288" s="48" t="str">
        <f>IFERROR(__xludf.DUMMYFUNCTION("""COMPUTED_VALUE"""),"")</f>
        <v/>
      </c>
      <c r="G10288" s="42" t="str">
        <f>IFERROR(__xludf.DUMMYFUNCTION("""COMPUTED_VALUE"""),"balik nama jual beli")</f>
        <v>balik nama jual beli</v>
      </c>
      <c r="H10288" s="42">
        <f t="shared" si="1"/>
        <v>3345</v>
      </c>
    </row>
    <row r="10289" ht="22.5" customHeight="1">
      <c r="B10289" s="42" t="str">
        <f>IFERROR(__xludf.DUMMYFUNCTION("""COMPUTED_VALUE"""),"AB0018")</f>
        <v>AB0018</v>
      </c>
      <c r="C10289" s="42" t="str">
        <f>IFERROR(__xludf.DUMMYFUNCTION("""COMPUTED_VALUE"""),"08010000199630")</f>
        <v>08010000199630</v>
      </c>
      <c r="D10289" s="42"/>
      <c r="E10289" s="42"/>
      <c r="F10289" s="48" t="str">
        <f>IFERROR(__xludf.DUMMYFUNCTION("""COMPUTED_VALUE"""),"")</f>
        <v/>
      </c>
      <c r="G10289" s="42" t="str">
        <f>IFERROR(__xludf.DUMMYFUNCTION("""COMPUTED_VALUE"""),"balik nama")</f>
        <v>balik nama</v>
      </c>
      <c r="H10289" s="42">
        <f t="shared" si="1"/>
        <v>3345</v>
      </c>
    </row>
    <row r="10290" ht="22.5" customHeight="1">
      <c r="B10290" s="42" t="str">
        <f>IFERROR(__xludf.DUMMYFUNCTION("""COMPUTED_VALUE"""),"AB04")</f>
        <v>AB04</v>
      </c>
      <c r="C10290" s="42" t="str">
        <f>IFERROR(__xludf.DUMMYFUNCTION("""COMPUTED_VALUE"""),"M. 863/Perumnas Way Kandis")</f>
        <v>M. 863/Perumnas Way Kandis</v>
      </c>
      <c r="D10290" s="42"/>
      <c r="E10290" s="42"/>
      <c r="F10290" s="48" t="str">
        <f>IFERROR(__xludf.DUMMYFUNCTION("""COMPUTED_VALUE"""),"")</f>
        <v/>
      </c>
      <c r="G10290" s="42" t="str">
        <f>IFERROR(__xludf.DUMMYFUNCTION("""COMPUTED_VALUE"""),"balik nama jual beli")</f>
        <v>balik nama jual beli</v>
      </c>
      <c r="H10290" s="42">
        <f t="shared" si="1"/>
        <v>3345</v>
      </c>
    </row>
    <row r="10291" ht="22.5" customHeight="1">
      <c r="B10291" s="42" t="str">
        <f>IFERROR(__xludf.DUMMYFUNCTION("""COMPUTED_VALUE"""),"ABHIUJEX")</f>
        <v>ABHIUJEX</v>
      </c>
      <c r="C10291" s="42" t="str">
        <f>IFERROR(__xludf.DUMMYFUNCTION("""COMPUTED_VALUE"""),"B 304/ SURABAYA")</f>
        <v>B 304/ SURABAYA</v>
      </c>
      <c r="D10291" s="42"/>
      <c r="E10291" s="42"/>
      <c r="F10291" s="48" t="str">
        <f>IFERROR(__xludf.DUMMYFUNCTION("""COMPUTED_VALUE"""),"")</f>
        <v/>
      </c>
      <c r="G10291" s="42" t="str">
        <f>IFERROR(__xludf.DUMMYFUNCTION("""COMPUTED_VALUE"""),"pembaharuan hak")</f>
        <v>pembaharuan hak</v>
      </c>
      <c r="H10291" s="42">
        <f t="shared" si="1"/>
        <v>3345</v>
      </c>
    </row>
    <row r="10292" ht="22.5" customHeight="1">
      <c r="B10292" s="42" t="str">
        <f>IFERROR(__xludf.DUMMYFUNCTION("""COMPUTED_VALUE"""),"AB052/ABZOQIJK")</f>
        <v>AB052/ABZOQIJK</v>
      </c>
      <c r="C10292" s="42" t="str">
        <f>IFERROR(__xludf.DUMMYFUNCTION("""COMPUTED_VALUE"""),"1466 sukarame II")</f>
        <v>1466 sukarame II</v>
      </c>
      <c r="D10292" s="42"/>
      <c r="E10292" s="42"/>
      <c r="F10292" s="48" t="str">
        <f>IFERROR(__xludf.DUMMYFUNCTION("""COMPUTED_VALUE"""),"")</f>
        <v/>
      </c>
      <c r="G10292" s="42" t="str">
        <f>IFERROR(__xludf.DUMMYFUNCTION("""COMPUTED_VALUE"""),"AJB")</f>
        <v>AJB</v>
      </c>
      <c r="H10292" s="42">
        <f t="shared" si="1"/>
        <v>3345</v>
      </c>
    </row>
    <row r="10293" ht="22.5" customHeight="1">
      <c r="B10293" s="42" t="str">
        <f>IFERROR(__xludf.DUMMYFUNCTION("""COMPUTED_VALUE"""),"AB009/ABWUIWMN")</f>
        <v>AB009/ABWUIWMN</v>
      </c>
      <c r="C10293" s="42" t="str">
        <f>IFERROR(__xludf.DUMMYFUNCTION("""COMPUTED_VALUE"""),"HGB 942/Jg.III")</f>
        <v>HGB 942/Jg.III</v>
      </c>
      <c r="D10293" s="42"/>
      <c r="E10293" s="42"/>
      <c r="F10293" s="48" t="str">
        <f>IFERROR(__xludf.DUMMYFUNCTION("""COMPUTED_VALUE"""),"")</f>
        <v/>
      </c>
      <c r="G10293" s="42" t="str">
        <f>IFERROR(__xludf.DUMMYFUNCTION("""COMPUTED_VALUE"""),"Peningkatan Hak Milik")</f>
        <v>Peningkatan Hak Milik</v>
      </c>
      <c r="H10293" s="42">
        <f t="shared" si="1"/>
        <v>3345</v>
      </c>
    </row>
    <row r="10294" ht="22.5" customHeight="1">
      <c r="B10294" s="42" t="str">
        <f>IFERROR(__xludf.DUMMYFUNCTION("""COMPUTED_VALUE"""),"Ab")</f>
        <v>Ab</v>
      </c>
      <c r="C10294" s="42" t="str">
        <f>IFERROR(__xludf.DUMMYFUNCTION("""COMPUTED_VALUE"""),"21675/ PERUMNAS WAY HALIM")</f>
        <v>21675/ PERUMNAS WAY HALIM</v>
      </c>
      <c r="D10294" s="42"/>
      <c r="E10294" s="42"/>
      <c r="F10294" s="48" t="str">
        <f>IFERROR(__xludf.DUMMYFUNCTION("""COMPUTED_VALUE"""),"")</f>
        <v/>
      </c>
      <c r="G10294" s="42" t="str">
        <f>IFERROR(__xludf.DUMMYFUNCTION("""COMPUTED_VALUE"""),"Perlaihan hak Aphb")</f>
        <v>Perlaihan hak Aphb</v>
      </c>
      <c r="H10294" s="42">
        <f t="shared" si="1"/>
        <v>3345</v>
      </c>
    </row>
    <row r="10295" ht="22.5" customHeight="1">
      <c r="B10295" s="42" t="str">
        <f>IFERROR(__xludf.DUMMYFUNCTION("""COMPUTED_VALUE"""),"AB06")</f>
        <v>AB06</v>
      </c>
      <c r="C10295" s="42" t="str">
        <f>IFERROR(__xludf.DUMMYFUNCTION("""COMPUTED_VALUE"""),"M.2790/Sumber Rejo")</f>
        <v>M.2790/Sumber Rejo</v>
      </c>
      <c r="D10295" s="42"/>
      <c r="E10295" s="42"/>
      <c r="F10295" s="48" t="str">
        <f>IFERROR(__xludf.DUMMYFUNCTION("""COMPUTED_VALUE"""),"")</f>
        <v/>
      </c>
      <c r="G10295" s="42" t="str">
        <f>IFERROR(__xludf.DUMMYFUNCTION("""COMPUTED_VALUE"""),"Hibah")</f>
        <v>Hibah</v>
      </c>
      <c r="H10295" s="42">
        <f t="shared" si="1"/>
        <v>3345</v>
      </c>
    </row>
    <row r="10296" ht="22.5" customHeight="1">
      <c r="B10296" s="42" t="str">
        <f>IFERROR(__xludf.DUMMYFUNCTION("""COMPUTED_VALUE"""),"AB160")</f>
        <v>AB160</v>
      </c>
      <c r="C10296" s="42" t="str">
        <f>IFERROR(__xludf.DUMMYFUNCTION("""COMPUTED_VALUE"""),"M Nibel 20297/Gunung Sulah")</f>
        <v>M Nibel 20297/Gunung Sulah</v>
      </c>
      <c r="D10296" s="42"/>
      <c r="E10296" s="42"/>
      <c r="F10296" s="48" t="str">
        <f>IFERROR(__xludf.DUMMYFUNCTION("""COMPUTED_VALUE"""),"")</f>
        <v/>
      </c>
      <c r="G10296" s="42" t="str">
        <f>IFERROR(__xludf.DUMMYFUNCTION("""COMPUTED_VALUE"""),"Balik Nama Jual Beli")</f>
        <v>Balik Nama Jual Beli</v>
      </c>
      <c r="H10296" s="42">
        <f t="shared" si="1"/>
        <v>3345</v>
      </c>
    </row>
    <row r="10297" ht="22.5" customHeight="1">
      <c r="B10297" s="42" t="str">
        <f>IFERROR(__xludf.DUMMYFUNCTION("""COMPUTED_VALUE"""),"AB083")</f>
        <v>AB083</v>
      </c>
      <c r="C10297" s="42" t="str">
        <f>IFERROR(__xludf.DUMMYFUNCTION("""COMPUTED_VALUE"""),"08010000193730")</f>
        <v>08010000193730</v>
      </c>
      <c r="D10297" s="42"/>
      <c r="E10297" s="42"/>
      <c r="F10297" s="48" t="str">
        <f>IFERROR(__xludf.DUMMYFUNCTION("""COMPUTED_VALUE"""),"")</f>
        <v/>
      </c>
      <c r="G10297" s="42" t="str">
        <f>IFERROR(__xludf.DUMMYFUNCTION("""COMPUTED_VALUE"""),"Balik nama")</f>
        <v>Balik nama</v>
      </c>
      <c r="H10297" s="42">
        <f t="shared" si="1"/>
        <v>3345</v>
      </c>
    </row>
    <row r="10298" ht="22.5" customHeight="1">
      <c r="B10298" s="42" t="str">
        <f>IFERROR(__xludf.DUMMYFUNCTION("""COMPUTED_VALUE"""),"AB083")</f>
        <v>AB083</v>
      </c>
      <c r="C10298" s="42" t="str">
        <f>IFERROR(__xludf.DUMMYFUNCTION("""COMPUTED_VALUE"""),"08010000079320")</f>
        <v>08010000079320</v>
      </c>
      <c r="D10298" s="42"/>
      <c r="E10298" s="42"/>
      <c r="F10298" s="48" t="str">
        <f>IFERROR(__xludf.DUMMYFUNCTION("""COMPUTED_VALUE"""),"")</f>
        <v/>
      </c>
      <c r="G10298" s="42" t="str">
        <f>IFERROR(__xludf.DUMMYFUNCTION("""COMPUTED_VALUE"""),"Balik nama")</f>
        <v>Balik nama</v>
      </c>
      <c r="H10298" s="42">
        <f t="shared" si="1"/>
        <v>3345</v>
      </c>
    </row>
    <row r="10299" ht="22.5" customHeight="1">
      <c r="B10299" s="42" t="str">
        <f>IFERROR(__xludf.DUMMYFUNCTION("""COMPUTED_VALUE"""),"AB024")</f>
        <v>AB024</v>
      </c>
      <c r="C10299" s="42" t="str">
        <f>IFERROR(__xludf.DUMMYFUNCTION("""COMPUTED_VALUE"""),"M. 2377/Sepang Jaya")</f>
        <v>M. 2377/Sepang Jaya</v>
      </c>
      <c r="D10299" s="42"/>
      <c r="E10299" s="42"/>
      <c r="F10299" s="48" t="str">
        <f>IFERROR(__xludf.DUMMYFUNCTION("""COMPUTED_VALUE"""),"")</f>
        <v/>
      </c>
      <c r="G10299" s="42" t="str">
        <f>IFERROR(__xludf.DUMMYFUNCTION("""COMPUTED_VALUE"""),"Balik Nama Jual Beli")</f>
        <v>Balik Nama Jual Beli</v>
      </c>
      <c r="H10299" s="42">
        <f t="shared" si="1"/>
        <v>3345</v>
      </c>
    </row>
    <row r="10300" ht="22.5" customHeight="1">
      <c r="B10300" s="42" t="str">
        <f>IFERROR(__xludf.DUMMYFUNCTION("""COMPUTED_VALUE"""),"AB090")</f>
        <v>AB090</v>
      </c>
      <c r="C10300" s="42" t="str">
        <f>IFERROR(__xludf.DUMMYFUNCTION("""COMPUTED_VALUE"""),"M. NIBEL 19399/Sukadana Ham")</f>
        <v>M. NIBEL 19399/Sukadana Ham</v>
      </c>
      <c r="D10300" s="42"/>
      <c r="E10300" s="42"/>
      <c r="F10300" s="48" t="str">
        <f>IFERROR(__xludf.DUMMYFUNCTION("""COMPUTED_VALUE"""),"")</f>
        <v/>
      </c>
      <c r="G10300" s="42" t="str">
        <f>IFERROR(__xludf.DUMMYFUNCTION("""COMPUTED_VALUE"""),"Balik Nama Jual Beli")</f>
        <v>Balik Nama Jual Beli</v>
      </c>
      <c r="H10300" s="42">
        <f t="shared" si="1"/>
        <v>3345</v>
      </c>
    </row>
    <row r="10301" ht="22.5" customHeight="1">
      <c r="B10301" s="42" t="str">
        <f>IFERROR(__xludf.DUMMYFUNCTION("""COMPUTED_VALUE"""),"ABLVRZCE")</f>
        <v>ABLVRZCE</v>
      </c>
      <c r="C10301" s="42" t="str">
        <f>IFERROR(__xludf.DUMMYFUNCTION("""COMPUTED_VALUE"""),"1281 langkupra baru")</f>
        <v>1281 langkupra baru</v>
      </c>
      <c r="D10301" s="42"/>
      <c r="E10301" s="42"/>
      <c r="F10301" s="48" t="str">
        <f>IFERROR(__xludf.DUMMYFUNCTION("""COMPUTED_VALUE"""),"")</f>
        <v/>
      </c>
      <c r="G10301" s="42" t="str">
        <f>IFERROR(__xludf.DUMMYFUNCTION("""COMPUTED_VALUE"""),"Bn jual beli")</f>
        <v>Bn jual beli</v>
      </c>
      <c r="H10301" s="42">
        <f t="shared" si="1"/>
        <v>3345</v>
      </c>
    </row>
    <row r="10302" ht="22.5" customHeight="1">
      <c r="B10302" s="42" t="str">
        <f>IFERROR(__xludf.DUMMYFUNCTION("""COMPUTED_VALUE"""),"ABFHCVCP")</f>
        <v>ABFHCVCP</v>
      </c>
      <c r="C10302" s="42" t="str">
        <f>IFERROR(__xludf.DUMMYFUNCTION("""COMPUTED_VALUE"""),"10573/Kedaton")</f>
        <v>10573/Kedaton</v>
      </c>
      <c r="D10302" s="42"/>
      <c r="E10302" s="42"/>
      <c r="F10302" s="48" t="str">
        <f>IFERROR(__xludf.DUMMYFUNCTION("""COMPUTED_VALUE"""),"")</f>
        <v/>
      </c>
      <c r="G10302" s="42" t="str">
        <f>IFERROR(__xludf.DUMMYFUNCTION("""COMPUTED_VALUE"""),"Hibah")</f>
        <v>Hibah</v>
      </c>
      <c r="H10302" s="42">
        <f t="shared" si="1"/>
        <v>3345</v>
      </c>
    </row>
    <row r="10303" ht="22.5" customHeight="1">
      <c r="B10303" s="42" t="str">
        <f>IFERROR(__xludf.DUMMYFUNCTION("""COMPUTED_VALUE"""),"ABBDUEEX")</f>
        <v>ABBDUEEX</v>
      </c>
      <c r="C10303" s="42" t="str">
        <f>IFERROR(__xludf.DUMMYFUNCTION("""COMPUTED_VALUE"""),"M 2020/ KEDAUNG")</f>
        <v>M 2020/ KEDAUNG</v>
      </c>
      <c r="D10303" s="42"/>
      <c r="E10303" s="42"/>
      <c r="F10303" s="48" t="str">
        <f>IFERROR(__xludf.DUMMYFUNCTION("""COMPUTED_VALUE"""),"")</f>
        <v/>
      </c>
      <c r="G10303" s="42" t="str">
        <f>IFERROR(__xludf.DUMMYFUNCTION("""COMPUTED_VALUE"""),"Peralihan Hak jual beli")</f>
        <v>Peralihan Hak jual beli</v>
      </c>
      <c r="H10303" s="42">
        <f t="shared" si="1"/>
        <v>3345</v>
      </c>
    </row>
    <row r="10304" ht="22.5" customHeight="1">
      <c r="B10304" s="42" t="str">
        <f>IFERROR(__xludf.DUMMYFUNCTION("""COMPUTED_VALUE"""),"Ab0111")</f>
        <v>Ab0111</v>
      </c>
      <c r="C10304" s="42" t="str">
        <f>IFERROR(__xludf.DUMMYFUNCTION("""COMPUTED_VALUE"""),"M 452/Kotakarang Raya")</f>
        <v>M 452/Kotakarang Raya</v>
      </c>
      <c r="D10304" s="42"/>
      <c r="E10304" s="42"/>
      <c r="F10304" s="48" t="str">
        <f>IFERROR(__xludf.DUMMYFUNCTION("""COMPUTED_VALUE"""),"")</f>
        <v/>
      </c>
      <c r="G10304" s="42" t="str">
        <f>IFERROR(__xludf.DUMMYFUNCTION("""COMPUTED_VALUE"""),"Akta Jual Beli")</f>
        <v>Akta Jual Beli</v>
      </c>
      <c r="H10304" s="42">
        <f t="shared" si="1"/>
        <v>3345</v>
      </c>
    </row>
    <row r="10305" ht="22.5" customHeight="1">
      <c r="B10305" s="42" t="str">
        <f>IFERROR(__xludf.DUMMYFUNCTION("""COMPUTED_VALUE"""),"ABGHEEXW")</f>
        <v>ABGHEEXW</v>
      </c>
      <c r="C10305" s="42" t="str">
        <f>IFERROR(__xludf.DUMMYFUNCTION("""COMPUTED_VALUE"""),"M 2359/ KEDAUNG")</f>
        <v>M 2359/ KEDAUNG</v>
      </c>
      <c r="D10305" s="42"/>
      <c r="E10305" s="42"/>
      <c r="F10305" s="48" t="str">
        <f>IFERROR(__xludf.DUMMYFUNCTION("""COMPUTED_VALUE"""),"")</f>
        <v/>
      </c>
      <c r="G10305" s="42" t="str">
        <f>IFERROR(__xludf.DUMMYFUNCTION("""COMPUTED_VALUE"""),"bn jual beli")</f>
        <v>bn jual beli</v>
      </c>
      <c r="H10305" s="42">
        <f t="shared" si="1"/>
        <v>3345</v>
      </c>
    </row>
    <row r="10306" ht="22.5" customHeight="1">
      <c r="B10306" s="42" t="str">
        <f>IFERROR(__xludf.DUMMYFUNCTION("""COMPUTED_VALUE"""),"ABTNBUYM")</f>
        <v>ABTNBUYM</v>
      </c>
      <c r="C10306" s="42" t="str">
        <f>IFERROR(__xludf.DUMMYFUNCTION("""COMPUTED_VALUE"""),"Shm 2056 JAGABAYA III")</f>
        <v>Shm 2056 JAGABAYA III</v>
      </c>
      <c r="D10306" s="42"/>
      <c r="E10306" s="42"/>
      <c r="F10306" s="48" t="str">
        <f>IFERROR(__xludf.DUMMYFUNCTION("""COMPUTED_VALUE"""),"")</f>
        <v/>
      </c>
      <c r="G10306" s="42" t="str">
        <f>IFERROR(__xludf.DUMMYFUNCTION("""COMPUTED_VALUE"""),"Turun waris")</f>
        <v>Turun waris</v>
      </c>
      <c r="H10306" s="42">
        <f t="shared" si="1"/>
        <v>3345</v>
      </c>
    </row>
    <row r="10307" ht="22.5" customHeight="1">
      <c r="B10307" s="42" t="str">
        <f>IFERROR(__xludf.DUMMYFUNCTION("""COMPUTED_VALUE"""),"AB014")</f>
        <v>AB014</v>
      </c>
      <c r="C10307" s="42" t="str">
        <f>IFERROR(__xludf.DUMMYFUNCTION("""COMPUTED_VALUE"""),"B NIBEL 27183/Gulak Galik")</f>
        <v>B NIBEL 27183/Gulak Galik</v>
      </c>
      <c r="D10307" s="42"/>
      <c r="E10307" s="42"/>
      <c r="F10307" s="48" t="str">
        <f>IFERROR(__xludf.DUMMYFUNCTION("""COMPUTED_VALUE"""),"")</f>
        <v/>
      </c>
      <c r="G10307" s="42" t="str">
        <f>IFERROR(__xludf.DUMMYFUNCTION("""COMPUTED_VALUE"""),"AJB BN")</f>
        <v>AJB BN</v>
      </c>
      <c r="H10307" s="42">
        <f t="shared" si="1"/>
        <v>3345</v>
      </c>
    </row>
    <row r="10308" ht="22.5" customHeight="1">
      <c r="B10308" s="42" t="str">
        <f>IFERROR(__xludf.DUMMYFUNCTION("""COMPUTED_VALUE"""),"K/8/221225/1")</f>
        <v>K/8/221225/1</v>
      </c>
      <c r="C10308" s="42" t="str">
        <f>IFERROR(__xludf.DUMMYFUNCTION("""COMPUTED_VALUE"""),"M. 1807/TANJUNG SENANG")</f>
        <v>M. 1807/TANJUNG SENANG</v>
      </c>
      <c r="D10308" s="42"/>
      <c r="E10308" s="42"/>
      <c r="F10308" s="48" t="str">
        <f>IFERROR(__xludf.DUMMYFUNCTION("""COMPUTED_VALUE"""),"")</f>
        <v/>
      </c>
      <c r="G10308" s="42" t="str">
        <f>IFERROR(__xludf.DUMMYFUNCTION("""COMPUTED_VALUE"""),"SKPT INFORMASI ")</f>
        <v>SKPT INFORMASI </v>
      </c>
      <c r="H10308" s="42">
        <f t="shared" si="1"/>
        <v>3345</v>
      </c>
    </row>
    <row r="10309" ht="22.5" customHeight="1">
      <c r="B10309" s="42" t="str">
        <f>IFERROR(__xludf.DUMMYFUNCTION("""COMPUTED_VALUE"""),"ABSJASOL")</f>
        <v>ABSJASOL</v>
      </c>
      <c r="C10309" s="42" t="str">
        <f>IFERROR(__xludf.DUMMYFUNCTION("""COMPUTED_VALUE"""),"M. 1301/ pengajaran")</f>
        <v>M. 1301/ pengajaran</v>
      </c>
      <c r="D10309" s="42"/>
      <c r="E10309" s="42"/>
      <c r="F10309" s="48" t="str">
        <f>IFERROR(__xludf.DUMMYFUNCTION("""COMPUTED_VALUE"""),"")</f>
        <v/>
      </c>
      <c r="G10309" s="42" t="str">
        <f>IFERROR(__xludf.DUMMYFUNCTION("""COMPUTED_VALUE"""),"Hibah")</f>
        <v>Hibah</v>
      </c>
      <c r="H10309" s="42">
        <f t="shared" si="1"/>
        <v>3345</v>
      </c>
    </row>
    <row r="10310" ht="22.5" customHeight="1">
      <c r="B10310" s="42" t="str">
        <f>IFERROR(__xludf.DUMMYFUNCTION("""COMPUTED_VALUE"""),"ABWYNOFL")</f>
        <v>ABWYNOFL</v>
      </c>
      <c r="C10310" s="42" t="str">
        <f>IFERROR(__xludf.DUMMYFUNCTION("""COMPUTED_VALUE"""),"M. 1862/pengajaran")</f>
        <v>M. 1862/pengajaran</v>
      </c>
      <c r="D10310" s="42"/>
      <c r="E10310" s="42"/>
      <c r="F10310" s="48" t="str">
        <f>IFERROR(__xludf.DUMMYFUNCTION("""COMPUTED_VALUE"""),"")</f>
        <v/>
      </c>
      <c r="G10310" s="42" t="str">
        <f>IFERROR(__xludf.DUMMYFUNCTION("""COMPUTED_VALUE"""),"Hibah")</f>
        <v>Hibah</v>
      </c>
      <c r="H10310" s="42">
        <f t="shared" si="1"/>
        <v>3345</v>
      </c>
    </row>
    <row r="10311" ht="22.5" customHeight="1">
      <c r="B10311" s="42" t="str">
        <f>IFERROR(__xludf.DUMMYFUNCTION("""COMPUTED_VALUE"""),"K/1/231225/1")</f>
        <v>K/1/231225/1</v>
      </c>
      <c r="C10311" s="42" t="str">
        <f>IFERROR(__xludf.DUMMYFUNCTION("""COMPUTED_VALUE"""),"M. 1851/LABUHAN RATU RAYA")</f>
        <v>M. 1851/LABUHAN RATU RAYA</v>
      </c>
      <c r="D10311" s="42"/>
      <c r="E10311" s="42"/>
      <c r="F10311" s="48" t="str">
        <f>IFERROR(__xludf.DUMMYFUNCTION("""COMPUTED_VALUE"""),"")</f>
        <v/>
      </c>
      <c r="G10311" s="42" t="str">
        <f>IFERROR(__xludf.DUMMYFUNCTION("""COMPUTED_VALUE"""),"BN LELANG")</f>
        <v>BN LELANG</v>
      </c>
      <c r="H10311" s="42">
        <f t="shared" si="1"/>
        <v>3345</v>
      </c>
    </row>
    <row r="10312" ht="22.5" customHeight="1">
      <c r="B10312" s="42" t="str">
        <f>IFERROR(__xludf.DUMMYFUNCTION("""COMPUTED_VALUE"""),"AB076")</f>
        <v>AB076</v>
      </c>
      <c r="C10312" s="42" t="str">
        <f>IFERROR(__xludf.DUMMYFUNCTION("""COMPUTED_VALUE"""),"M.10573 KEDATON")</f>
        <v>M.10573 KEDATON</v>
      </c>
      <c r="D10312" s="42"/>
      <c r="E10312" s="42"/>
      <c r="F10312" s="48" t="str">
        <f>IFERROR(__xludf.DUMMYFUNCTION("""COMPUTED_VALUE"""),"")</f>
        <v/>
      </c>
      <c r="G10312" s="42" t="str">
        <f>IFERROR(__xludf.DUMMYFUNCTION("""COMPUTED_VALUE"""),"BALIK NAMA")</f>
        <v>BALIK NAMA</v>
      </c>
      <c r="H10312" s="42">
        <f t="shared" si="1"/>
        <v>3345</v>
      </c>
    </row>
    <row r="10313" ht="22.5" customHeight="1">
      <c r="B10313" s="42" t="str">
        <f>IFERROR(__xludf.DUMMYFUNCTION("""COMPUTED_VALUE"""),"K/2/231225/1")</f>
        <v>K/2/231225/1</v>
      </c>
      <c r="C10313" s="42" t="str">
        <f>IFERROR(__xludf.DUMMYFUNCTION("""COMPUTED_VALUE"""),"M. 11573/SUKABUMI")</f>
        <v>M. 11573/SUKABUMI</v>
      </c>
      <c r="D10313" s="42"/>
      <c r="E10313" s="42"/>
      <c r="F10313" s="48" t="str">
        <f>IFERROR(__xludf.DUMMYFUNCTION("""COMPUTED_VALUE"""),"")</f>
        <v/>
      </c>
      <c r="G10313" s="42" t="str">
        <f>IFERROR(__xludf.DUMMYFUNCTION("""COMPUTED_VALUE"""),"SKPT LELANG")</f>
        <v>SKPT LELANG</v>
      </c>
      <c r="H10313" s="42">
        <f t="shared" si="1"/>
        <v>3345</v>
      </c>
    </row>
    <row r="10314" ht="22.5" customHeight="1">
      <c r="B10314" s="42" t="str">
        <f>IFERROR(__xludf.DUMMYFUNCTION("""COMPUTED_VALUE"""),"K/3/231225/1")</f>
        <v>K/3/231225/1</v>
      </c>
      <c r="C10314" s="42" t="str">
        <f>IFERROR(__xludf.DUMMYFUNCTION("""COMPUTED_VALUE"""),"NIBEL M.27293/CAMPANG RAYA")</f>
        <v>NIBEL M.27293/CAMPANG RAYA</v>
      </c>
      <c r="D10314" s="42"/>
      <c r="E10314" s="42"/>
      <c r="F10314" s="48" t="str">
        <f>IFERROR(__xludf.DUMMYFUNCTION("""COMPUTED_VALUE"""),"")</f>
        <v/>
      </c>
      <c r="G10314" s="42" t="str">
        <f>IFERROR(__xludf.DUMMYFUNCTION("""COMPUTED_VALUE"""),"BN JUAL BELI ")</f>
        <v>BN JUAL BELI </v>
      </c>
      <c r="H10314" s="42">
        <f t="shared" si="1"/>
        <v>3345</v>
      </c>
    </row>
    <row r="10315" ht="22.5" customHeight="1">
      <c r="B10315" s="42" t="str">
        <f>IFERROR(__xludf.DUMMYFUNCTION("""COMPUTED_VALUE"""),"AB035")</f>
        <v>AB035</v>
      </c>
      <c r="C10315" s="42" t="str">
        <f>IFERROR(__xludf.DUMMYFUNCTION("""COMPUTED_VALUE"""),"B.72  WAY LAGA")</f>
        <v>B.72  WAY LAGA</v>
      </c>
      <c r="D10315" s="42"/>
      <c r="E10315" s="42"/>
      <c r="F10315" s="48" t="str">
        <f>IFERROR(__xludf.DUMMYFUNCTION("""COMPUTED_VALUE"""),"")</f>
        <v/>
      </c>
      <c r="G10315" s="42" t="str">
        <f>IFERROR(__xludf.DUMMYFUNCTION("""COMPUTED_VALUE"""),"BALIK NAMA")</f>
        <v>BALIK NAMA</v>
      </c>
      <c r="H10315" s="42">
        <f t="shared" si="1"/>
        <v>3345</v>
      </c>
    </row>
    <row r="10316" ht="22.5" customHeight="1">
      <c r="B10316" s="42" t="str">
        <f>IFERROR(__xludf.DUMMYFUNCTION("""COMPUTED_VALUE"""),"K/4/231225/2")</f>
        <v>K/4/231225/2</v>
      </c>
      <c r="C10316" s="42" t="str">
        <f>IFERROR(__xludf.DUMMYFUNCTION("""COMPUTED_VALUE"""),"NIBELM. 2298/WAY KANDIS")</f>
        <v>NIBELM. 2298/WAY KANDIS</v>
      </c>
      <c r="D10316" s="42"/>
      <c r="E10316" s="42"/>
      <c r="F10316" s="48" t="str">
        <f>IFERROR(__xludf.DUMMYFUNCTION("""COMPUTED_VALUE"""),"")</f>
        <v/>
      </c>
      <c r="G10316" s="42" t="str">
        <f>IFERROR(__xludf.DUMMYFUNCTION("""COMPUTED_VALUE"""),"BN JUAL BELI EL")</f>
        <v>BN JUAL BELI EL</v>
      </c>
      <c r="H10316" s="42">
        <f t="shared" si="1"/>
        <v>3345</v>
      </c>
    </row>
    <row r="10317" ht="22.5" customHeight="1">
      <c r="B10317" s="42" t="str">
        <f>IFERROR(__xludf.DUMMYFUNCTION("""COMPUTED_VALUE"""),"L/5/231225/1")</f>
        <v>L/5/231225/1</v>
      </c>
      <c r="C10317" s="42" t="str">
        <f>IFERROR(__xludf.DUMMYFUNCTION("""COMPUTED_VALUE"""),"M.12165/JAGABAYA II")</f>
        <v>M.12165/JAGABAYA II</v>
      </c>
      <c r="D10317" s="42"/>
      <c r="E10317" s="42"/>
      <c r="F10317" s="48" t="str">
        <f>IFERROR(__xludf.DUMMYFUNCTION("""COMPUTED_VALUE"""),"")</f>
        <v/>
      </c>
      <c r="G10317" s="42" t="str">
        <f>IFERROR(__xludf.DUMMYFUNCTION("""COMPUTED_VALUE"""),"ROYA")</f>
        <v>ROYA</v>
      </c>
      <c r="H10317" s="42">
        <f t="shared" si="1"/>
        <v>3345</v>
      </c>
    </row>
    <row r="10318" ht="22.5" customHeight="1">
      <c r="B10318" s="42" t="str">
        <f>IFERROR(__xludf.DUMMYFUNCTION("""COMPUTED_VALUE"""),"L/8/231225/1")</f>
        <v>L/8/231225/1</v>
      </c>
      <c r="C10318" s="42" t="str">
        <f>IFERROR(__xludf.DUMMYFUNCTION("""COMPUTED_VALUE"""),"M.690/BATU PUTUK")</f>
        <v>M.690/BATU PUTUK</v>
      </c>
      <c r="D10318" s="42"/>
      <c r="E10318" s="42"/>
      <c r="F10318" s="48" t="str">
        <f>IFERROR(__xludf.DUMMYFUNCTION("""COMPUTED_VALUE"""),"")</f>
        <v/>
      </c>
      <c r="G10318" s="42" t="str">
        <f>IFERROR(__xludf.DUMMYFUNCTION("""COMPUTED_VALUE"""),"SKPT INFORMASI ")</f>
        <v>SKPT INFORMASI </v>
      </c>
      <c r="H10318" s="42">
        <f t="shared" si="1"/>
        <v>3345</v>
      </c>
    </row>
    <row r="10319" ht="22.5" customHeight="1">
      <c r="B10319" s="42" t="str">
        <f>IFERROR(__xludf.DUMMYFUNCTION("""COMPUTED_VALUE"""),"L/9/231225/1")</f>
        <v>L/9/231225/1</v>
      </c>
      <c r="C10319" s="42" t="str">
        <f>IFERROR(__xludf.DUMMYFUNCTION("""COMPUTED_VALUE"""),"M.720/SUKABUMI INDAH")</f>
        <v>M.720/SUKABUMI INDAH</v>
      </c>
      <c r="D10319" s="42"/>
      <c r="E10319" s="42"/>
      <c r="F10319" s="48" t="str">
        <f>IFERROR(__xludf.DUMMYFUNCTION("""COMPUTED_VALUE"""),"")</f>
        <v/>
      </c>
      <c r="G10319" s="42" t="str">
        <f>IFERROR(__xludf.DUMMYFUNCTION("""COMPUTED_VALUE"""),"ROYA ")</f>
        <v>ROYA </v>
      </c>
      <c r="H10319" s="42">
        <f t="shared" si="1"/>
        <v>3345</v>
      </c>
    </row>
    <row r="10320" ht="22.5" customHeight="1">
      <c r="B10320" s="42" t="str">
        <f>IFERROR(__xludf.DUMMYFUNCTION("""COMPUTED_VALUE"""),"L/10/231225/1")</f>
        <v>L/10/231225/1</v>
      </c>
      <c r="C10320" s="42" t="str">
        <f>IFERROR(__xludf.DUMMYFUNCTION("""COMPUTED_VALUE"""),"M.11812/SEGALA MIDER")</f>
        <v>M.11812/SEGALA MIDER</v>
      </c>
      <c r="D10320" s="42"/>
      <c r="E10320" s="42"/>
      <c r="F10320" s="48" t="str">
        <f>IFERROR(__xludf.DUMMYFUNCTION("""COMPUTED_VALUE"""),"")</f>
        <v/>
      </c>
      <c r="G10320" s="42" t="str">
        <f>IFERROR(__xludf.DUMMYFUNCTION("""COMPUTED_VALUE"""),"ROYA")</f>
        <v>ROYA</v>
      </c>
      <c r="H10320" s="42">
        <f t="shared" si="1"/>
        <v>3345</v>
      </c>
    </row>
    <row r="10321" ht="22.5" customHeight="1">
      <c r="B10321" s="42" t="str">
        <f>IFERROR(__xludf.DUMMYFUNCTION("""COMPUTED_VALUE"""),"L/11/231225/1")</f>
        <v>L/11/231225/1</v>
      </c>
      <c r="C10321" s="42" t="str">
        <f>IFERROR(__xludf.DUMMYFUNCTION("""COMPUTED_VALUE"""),"M.4935/BERINGIN RAYA")</f>
        <v>M.4935/BERINGIN RAYA</v>
      </c>
      <c r="D10321" s="42"/>
      <c r="E10321" s="42"/>
      <c r="F10321" s="48" t="str">
        <f>IFERROR(__xludf.DUMMYFUNCTION("""COMPUTED_VALUE"""),"")</f>
        <v/>
      </c>
      <c r="G10321" s="42" t="str">
        <f>IFERROR(__xludf.DUMMYFUNCTION("""COMPUTED_VALUE"""),"ROYA")</f>
        <v>ROYA</v>
      </c>
      <c r="H10321" s="42">
        <f t="shared" si="1"/>
        <v>3345</v>
      </c>
    </row>
    <row r="10322" ht="22.5" customHeight="1">
      <c r="B10322" s="42" t="str">
        <f>IFERROR(__xludf.DUMMYFUNCTION("""COMPUTED_VALUE"""),"L/12/231225/1")</f>
        <v>L/12/231225/1</v>
      </c>
      <c r="C10322" s="42" t="str">
        <f>IFERROR(__xludf.DUMMYFUNCTION("""COMPUTED_VALUE"""),"M.11158/SEGALA MIDER")</f>
        <v>M.11158/SEGALA MIDER</v>
      </c>
      <c r="D10322" s="42"/>
      <c r="E10322" s="42"/>
      <c r="F10322" s="48" t="str">
        <f>IFERROR(__xludf.DUMMYFUNCTION("""COMPUTED_VALUE"""),"")</f>
        <v/>
      </c>
      <c r="G10322" s="42" t="str">
        <f>IFERROR(__xludf.DUMMYFUNCTION("""COMPUTED_VALUE"""),"ROYA")</f>
        <v>ROYA</v>
      </c>
      <c r="H10322" s="42">
        <f t="shared" si="1"/>
        <v>3345</v>
      </c>
    </row>
    <row r="10323" ht="22.5" customHeight="1">
      <c r="B10323" s="42" t="str">
        <f>IFERROR(__xludf.DUMMYFUNCTION("""COMPUTED_VALUE"""),"L/13/231225/1")</f>
        <v>L/13/231225/1</v>
      </c>
      <c r="C10323" s="42" t="str">
        <f>IFERROR(__xludf.DUMMYFUNCTION("""COMPUTED_VALUE"""),"M.1317/SUMBERREJO SEJAHTERA")</f>
        <v>M.1317/SUMBERREJO SEJAHTERA</v>
      </c>
      <c r="D10323" s="42"/>
      <c r="E10323" s="42"/>
      <c r="F10323" s="48" t="str">
        <f>IFERROR(__xludf.DUMMYFUNCTION("""COMPUTED_VALUE"""),"")</f>
        <v/>
      </c>
      <c r="G10323" s="42" t="str">
        <f>IFERROR(__xludf.DUMMYFUNCTION("""COMPUTED_VALUE"""),"HAPUS BPHTB")</f>
        <v>HAPUS BPHTB</v>
      </c>
      <c r="H10323" s="42">
        <f t="shared" si="1"/>
        <v>3345</v>
      </c>
    </row>
    <row r="10324" ht="22.5" customHeight="1">
      <c r="B10324" s="42" t="str">
        <f>IFERROR(__xludf.DUMMYFUNCTION("""COMPUTED_VALUE"""),"L/14/231225/1")</f>
        <v>L/14/231225/1</v>
      </c>
      <c r="C10324" s="42" t="str">
        <f>IFERROR(__xludf.DUMMYFUNCTION("""COMPUTED_VALUE"""),"NIBEL M. 23353/CAMPANG RAYA")</f>
        <v>NIBEL M. 23353/CAMPANG RAYA</v>
      </c>
      <c r="D10324" s="42"/>
      <c r="E10324" s="42"/>
      <c r="F10324" s="48" t="str">
        <f>IFERROR(__xludf.DUMMYFUNCTION("""COMPUTED_VALUE"""),"")</f>
        <v/>
      </c>
      <c r="G10324" s="42" t="str">
        <f>IFERROR(__xludf.DUMMYFUNCTION("""COMPUTED_VALUE"""),"PENATAAN BATAS PERBAIKAN BIDANG")</f>
        <v>PENATAAN BATAS PERBAIKAN BIDANG</v>
      </c>
      <c r="H10324" s="42">
        <f t="shared" si="1"/>
        <v>3345</v>
      </c>
    </row>
    <row r="10325" ht="22.5" customHeight="1">
      <c r="B10325" s="42" t="str">
        <f>IFERROR(__xludf.DUMMYFUNCTION("""COMPUTED_VALUE"""),"L/15/231225/1")</f>
        <v>L/15/231225/1</v>
      </c>
      <c r="C10325" s="42" t="str">
        <f>IFERROR(__xludf.DUMMYFUNCTION("""COMPUTED_VALUE"""),"PBT 282/2025 BERINGIN RAYA")</f>
        <v>PBT 282/2025 BERINGIN RAYA</v>
      </c>
      <c r="D10325" s="42"/>
      <c r="E10325" s="42"/>
      <c r="F10325" s="48" t="str">
        <f>IFERROR(__xludf.DUMMYFUNCTION("""COMPUTED_VALUE"""),"")</f>
        <v/>
      </c>
      <c r="G10325" s="42" t="str">
        <f>IFERROR(__xludf.DUMMYFUNCTION("""COMPUTED_VALUE"""),"PTPGT")</f>
        <v>PTPGT</v>
      </c>
      <c r="H10325" s="42">
        <f t="shared" si="1"/>
        <v>3345</v>
      </c>
    </row>
    <row r="10326" ht="22.5" customHeight="1">
      <c r="B10326" s="42" t="str">
        <f>IFERROR(__xludf.DUMMYFUNCTION("""COMPUTED_VALUE"""),"L/16/231225/1")</f>
        <v>L/16/231225/1</v>
      </c>
      <c r="C10326" s="42" t="str">
        <f>IFERROR(__xludf.DUMMYFUNCTION("""COMPUTED_VALUE"""),"NIBEL B.1118/NEGERI OLOK GADING")</f>
        <v>NIBEL B.1118/NEGERI OLOK GADING</v>
      </c>
      <c r="D10326" s="42"/>
      <c r="E10326" s="42"/>
      <c r="F10326" s="48" t="str">
        <f>IFERROR(__xludf.DUMMYFUNCTION("""COMPUTED_VALUE"""),"")</f>
        <v/>
      </c>
      <c r="G10326" s="42" t="str">
        <f>IFERROR(__xludf.DUMMYFUNCTION("""COMPUTED_VALUE"""),"PENINGKATAN HAK")</f>
        <v>PENINGKATAN HAK</v>
      </c>
      <c r="H10326" s="42">
        <f t="shared" si="1"/>
        <v>3345</v>
      </c>
    </row>
    <row r="10327" ht="22.5" customHeight="1">
      <c r="B10327" s="42" t="str">
        <f>IFERROR(__xludf.DUMMYFUNCTION("""COMPUTED_VALUE"""),"K/6/231225/1")</f>
        <v>K/6/231225/1</v>
      </c>
      <c r="C10327" s="42" t="str">
        <f>IFERROR(__xludf.DUMMYFUNCTION("""COMPUTED_VALUE"""),"M. 19051/SUKARAME")</f>
        <v>M. 19051/SUKARAME</v>
      </c>
      <c r="D10327" s="42"/>
      <c r="E10327" s="42"/>
      <c r="F10327" s="48" t="str">
        <f>IFERROR(__xludf.DUMMYFUNCTION("""COMPUTED_VALUE"""),"")</f>
        <v/>
      </c>
      <c r="G10327" s="42" t="str">
        <f>IFERROR(__xludf.DUMMYFUNCTION("""COMPUTED_VALUE"""),"SKPT LELANG")</f>
        <v>SKPT LELANG</v>
      </c>
      <c r="H10327" s="42">
        <f t="shared" si="1"/>
        <v>3345</v>
      </c>
    </row>
    <row r="10328" ht="22.5" customHeight="1">
      <c r="B10328" s="42" t="str">
        <f>IFERROR(__xludf.DUMMYFUNCTION("""COMPUTED_VALUE"""),"K/7/231225/2")</f>
        <v>K/7/231225/2</v>
      </c>
      <c r="C10328" s="42" t="str">
        <f>IFERROR(__xludf.DUMMYFUNCTION("""COMPUTED_VALUE"""),"M. 632/KORPRI JAYA")</f>
        <v>M. 632/KORPRI JAYA</v>
      </c>
      <c r="D10328" s="42"/>
      <c r="E10328" s="42"/>
      <c r="F10328" s="48" t="str">
        <f>IFERROR(__xludf.DUMMYFUNCTION("""COMPUTED_VALUE"""),"")</f>
        <v/>
      </c>
      <c r="G10328" s="42" t="str">
        <f>IFERROR(__xludf.DUMMYFUNCTION("""COMPUTED_VALUE"""),"SKPT LELANG")</f>
        <v>SKPT LELANG</v>
      </c>
      <c r="H10328" s="42">
        <f t="shared" si="1"/>
        <v>3345</v>
      </c>
    </row>
    <row r="10329" ht="22.5" customHeight="1">
      <c r="B10329" s="42" t="str">
        <f>IFERROR(__xludf.DUMMYFUNCTION("""COMPUTED_VALUE"""),"K/17/231225/1")</f>
        <v>K/17/231225/1</v>
      </c>
      <c r="C10329" s="42" t="str">
        <f>IFERROR(__xludf.DUMMYFUNCTION("""COMPUTED_VALUE"""),"B.592/CAMPANG JAYA")</f>
        <v>B.592/CAMPANG JAYA</v>
      </c>
      <c r="D10329" s="42"/>
      <c r="E10329" s="42"/>
      <c r="F10329" s="48" t="str">
        <f>IFERROR(__xludf.DUMMYFUNCTION("""COMPUTED_VALUE"""),"")</f>
        <v/>
      </c>
      <c r="G10329" s="42" t="str">
        <f>IFERROR(__xludf.DUMMYFUNCTION("""COMPUTED_VALUE"""),"PENINGKATAN HAK")</f>
        <v>PENINGKATAN HAK</v>
      </c>
      <c r="H10329" s="42">
        <f t="shared" si="1"/>
        <v>3345</v>
      </c>
    </row>
    <row r="10330" ht="22.5" customHeight="1">
      <c r="B10330" s="42" t="str">
        <f>IFERROR(__xludf.DUMMYFUNCTION("""COMPUTED_VALUE"""),"K/18/231225/1")</f>
        <v>K/18/231225/1</v>
      </c>
      <c r="C10330" s="42" t="str">
        <f>IFERROR(__xludf.DUMMYFUNCTION("""COMPUTED_VALUE"""),"B.861/PERUMNAS WAY KANDIS")</f>
        <v>B.861/PERUMNAS WAY KANDIS</v>
      </c>
      <c r="D10330" s="42"/>
      <c r="E10330" s="42"/>
      <c r="F10330" s="48" t="str">
        <f>IFERROR(__xludf.DUMMYFUNCTION("""COMPUTED_VALUE"""),"")</f>
        <v/>
      </c>
      <c r="G10330" s="42" t="str">
        <f>IFERROR(__xludf.DUMMYFUNCTION("""COMPUTED_VALUE"""),"BN WARIS")</f>
        <v>BN WARIS</v>
      </c>
      <c r="H10330" s="42">
        <f t="shared" si="1"/>
        <v>3345</v>
      </c>
    </row>
    <row r="10331" ht="22.5" customHeight="1">
      <c r="B10331" s="42" t="str">
        <f>IFERROR(__xludf.DUMMYFUNCTION("""COMPUTED_VALUE"""),"K/19/231225/1")</f>
        <v>K/19/231225/1</v>
      </c>
      <c r="C10331" s="42" t="str">
        <f>IFERROR(__xludf.DUMMYFUNCTION("""COMPUTED_VALUE"""),"B. 617/SUKABUMI")</f>
        <v>B. 617/SUKABUMI</v>
      </c>
      <c r="D10331" s="42"/>
      <c r="E10331" s="42"/>
      <c r="F10331" s="48" t="str">
        <f>IFERROR(__xludf.DUMMYFUNCTION("""COMPUTED_VALUE"""),"")</f>
        <v/>
      </c>
      <c r="G10331" s="42" t="str">
        <f>IFERROR(__xludf.DUMMYFUNCTION("""COMPUTED_VALUE"""),"PERMOHONAN SK")</f>
        <v>PERMOHONAN SK</v>
      </c>
      <c r="H10331" s="42">
        <f t="shared" si="1"/>
        <v>3345</v>
      </c>
    </row>
    <row r="10332" ht="22.5" customHeight="1">
      <c r="B10332" s="42" t="str">
        <f>IFERROR(__xludf.DUMMYFUNCTION("""COMPUTED_VALUE"""),"K/20/231225/1")</f>
        <v>K/20/231225/1</v>
      </c>
      <c r="C10332" s="42" t="str">
        <f>IFERROR(__xludf.DUMMYFUNCTION("""COMPUTED_VALUE"""),"M. 149/TANJUNG RAYA")</f>
        <v>M. 149/TANJUNG RAYA</v>
      </c>
      <c r="D10332" s="42"/>
      <c r="E10332" s="42"/>
      <c r="F10332" s="48" t="str">
        <f>IFERROR(__xludf.DUMMYFUNCTION("""COMPUTED_VALUE"""),"")</f>
        <v/>
      </c>
      <c r="G10332" s="42" t="str">
        <f>IFERROR(__xludf.DUMMYFUNCTION("""COMPUTED_VALUE"""),"ROYA")</f>
        <v>ROYA</v>
      </c>
      <c r="H10332" s="42">
        <f t="shared" si="1"/>
        <v>3345</v>
      </c>
    </row>
    <row r="10333" ht="22.5" customHeight="1">
      <c r="B10333" s="42" t="str">
        <f>IFERROR(__xludf.DUMMYFUNCTION("""COMPUTED_VALUE"""),"K/21/231225/1")</f>
        <v>K/21/231225/1</v>
      </c>
      <c r="C10333" s="42" t="str">
        <f>IFERROR(__xludf.DUMMYFUNCTION("""COMPUTED_VALUE"""),"B. 1498/KANGKUNG")</f>
        <v>B. 1498/KANGKUNG</v>
      </c>
      <c r="D10333" s="42"/>
      <c r="E10333" s="42"/>
      <c r="F10333" s="48" t="str">
        <f>IFERROR(__xludf.DUMMYFUNCTION("""COMPUTED_VALUE"""),"")</f>
        <v/>
      </c>
      <c r="G10333" s="42" t="str">
        <f>IFERROR(__xludf.DUMMYFUNCTION("""COMPUTED_VALUE"""),"SKPT INFORMASI")</f>
        <v>SKPT INFORMASI</v>
      </c>
      <c r="H10333" s="42">
        <f t="shared" si="1"/>
        <v>3345</v>
      </c>
    </row>
    <row r="10334" ht="22.5" customHeight="1">
      <c r="B10334" s="42" t="str">
        <f>IFERROR(__xludf.DUMMYFUNCTION("""COMPUTED_VALUE"""),"K/22/231225/1")</f>
        <v>K/22/231225/1</v>
      </c>
      <c r="C10334" s="42" t="str">
        <f>IFERROR(__xludf.DUMMYFUNCTION("""COMPUTED_VALUE"""),"SUMBERREJO")</f>
        <v>SUMBERREJO</v>
      </c>
      <c r="D10334" s="42"/>
      <c r="E10334" s="42"/>
      <c r="F10334" s="48" t="str">
        <f>IFERROR(__xludf.DUMMYFUNCTION("""COMPUTED_VALUE"""),"")</f>
        <v/>
      </c>
      <c r="G10334" s="42" t="str">
        <f>IFERROR(__xludf.DUMMYFUNCTION("""COMPUTED_VALUE"""),"PENGUKURAN PERTAMA KALI")</f>
        <v>PENGUKURAN PERTAMA KALI</v>
      </c>
      <c r="H10334" s="42">
        <f t="shared" si="1"/>
        <v>3345</v>
      </c>
    </row>
    <row r="10335" ht="22.5" customHeight="1">
      <c r="B10335" s="42" t="str">
        <f>IFERROR(__xludf.DUMMYFUNCTION("""COMPUTED_VALUE"""),"ABUQEWQF")</f>
        <v>ABUQEWQF</v>
      </c>
      <c r="C10335" s="42" t="str">
        <f>IFERROR(__xludf.DUMMYFUNCTION("""COMPUTED_VALUE"""),"M 5117 rajabasa jaya")</f>
        <v>M 5117 rajabasa jaya</v>
      </c>
      <c r="D10335" s="42"/>
      <c r="E10335" s="42"/>
      <c r="F10335" s="48" t="str">
        <f>IFERROR(__xludf.DUMMYFUNCTION("""COMPUTED_VALUE"""),"")</f>
        <v/>
      </c>
      <c r="G10335" s="42" t="str">
        <f>IFERROR(__xludf.DUMMYFUNCTION("""COMPUTED_VALUE"""),"Baliknama ")</f>
        <v>Baliknama </v>
      </c>
      <c r="H10335" s="42">
        <f t="shared" si="1"/>
        <v>3345</v>
      </c>
    </row>
    <row r="10336" ht="22.5" customHeight="1">
      <c r="B10336" s="42" t="str">
        <f>IFERROR(__xludf.DUMMYFUNCTION("""COMPUTED_VALUE"""),"L/2/241225/1")</f>
        <v>L/2/241225/1</v>
      </c>
      <c r="C10336" s="42" t="str">
        <f>IFERROR(__xludf.DUMMYFUNCTION("""COMPUTED_VALUE"""),"M. 460/BERINGIN JAYA")</f>
        <v>M. 460/BERINGIN JAYA</v>
      </c>
      <c r="D10336" s="42"/>
      <c r="E10336" s="42"/>
      <c r="F10336" s="48" t="str">
        <f>IFERROR(__xludf.DUMMYFUNCTION("""COMPUTED_VALUE"""),"")</f>
        <v/>
      </c>
      <c r="G10336" s="42" t="str">
        <f>IFERROR(__xludf.DUMMYFUNCTION("""COMPUTED_VALUE"""),"ROYA")</f>
        <v>ROYA</v>
      </c>
      <c r="H10336" s="42">
        <f t="shared" si="1"/>
        <v>3345</v>
      </c>
    </row>
    <row r="10337" ht="22.5" customHeight="1">
      <c r="B10337" s="42" t="str">
        <f>IFERROR(__xludf.DUMMYFUNCTION("""COMPUTED_VALUE"""),"AB041/ABOUBTGE")</f>
        <v>AB041/ABOUBTGE</v>
      </c>
      <c r="C10337" s="42" t="str">
        <f>IFERROR(__xludf.DUMMYFUNCTION("""COMPUTED_VALUE"""),"M 797/way halim permai")</f>
        <v>M 797/way halim permai</v>
      </c>
      <c r="D10337" s="42"/>
      <c r="E10337" s="42"/>
      <c r="F10337" s="48" t="str">
        <f>IFERROR(__xludf.DUMMYFUNCTION("""COMPUTED_VALUE"""),"")</f>
        <v/>
      </c>
      <c r="G10337" s="42" t="str">
        <f>IFERROR(__xludf.DUMMYFUNCTION("""COMPUTED_VALUE"""),"BN  Jual Beli")</f>
        <v>BN  Jual Beli</v>
      </c>
      <c r="H10337" s="42">
        <f t="shared" si="1"/>
        <v>3345</v>
      </c>
    </row>
    <row r="10338" ht="22.5" customHeight="1">
      <c r="B10338" s="42" t="str">
        <f>IFERROR(__xludf.DUMMYFUNCTION("""COMPUTED_VALUE"""),"ABIOEBMN")</f>
        <v>ABIOEBMN</v>
      </c>
      <c r="C10338" s="42" t="str">
        <f>IFERROR(__xludf.DUMMYFUNCTION("""COMPUTED_VALUE"""),"M. EL 16823 way kandis")</f>
        <v>M. EL 16823 way kandis</v>
      </c>
      <c r="D10338" s="42"/>
      <c r="E10338" s="42"/>
      <c r="F10338" s="48" t="str">
        <f>IFERROR(__xludf.DUMMYFUNCTION("""COMPUTED_VALUE"""),"")</f>
        <v/>
      </c>
      <c r="G10338" s="42" t="str">
        <f>IFERROR(__xludf.DUMMYFUNCTION("""COMPUTED_VALUE"""),"BN Jual Beli")</f>
        <v>BN Jual Beli</v>
      </c>
      <c r="H10338" s="42">
        <f t="shared" si="1"/>
        <v>3345</v>
      </c>
    </row>
    <row r="10339" ht="22.5" customHeight="1">
      <c r="B10339" s="42" t="str">
        <f>IFERROR(__xludf.DUMMYFUNCTION("""COMPUTED_VALUE"""),"K/1/241225/1")</f>
        <v>K/1/241225/1</v>
      </c>
      <c r="C10339" s="42" t="str">
        <f>IFERROR(__xludf.DUMMYFUNCTION("""COMPUTED_VALUE"""),"B. 3495/SUKARAME")</f>
        <v>B. 3495/SUKARAME</v>
      </c>
      <c r="D10339" s="42"/>
      <c r="E10339" s="42"/>
      <c r="F10339" s="48" t="str">
        <f>IFERROR(__xludf.DUMMYFUNCTION("""COMPUTED_VALUE"""),"")</f>
        <v/>
      </c>
      <c r="G10339" s="42" t="str">
        <f>IFERROR(__xludf.DUMMYFUNCTION("""COMPUTED_VALUE"""),"PENATAAN BATAS")</f>
        <v>PENATAAN BATAS</v>
      </c>
      <c r="H10339" s="42">
        <f t="shared" si="1"/>
        <v>3345</v>
      </c>
    </row>
    <row r="10340" ht="22.5" customHeight="1">
      <c r="B10340" s="42" t="str">
        <f>IFERROR(__xludf.DUMMYFUNCTION("""COMPUTED_VALUE"""),"ABGFLZDW/AB022")</f>
        <v>ABGFLZDW/AB022</v>
      </c>
      <c r="C10340" s="42" t="str">
        <f>IFERROR(__xludf.DUMMYFUNCTION("""COMPUTED_VALUE"""),"Shm nib 08.01.000021008.0")</f>
        <v>Shm nib 08.01.000021008.0</v>
      </c>
      <c r="D10340" s="42"/>
      <c r="E10340" s="42"/>
      <c r="F10340" s="48" t="str">
        <f>IFERROR(__xludf.DUMMYFUNCTION("""COMPUTED_VALUE"""),"")</f>
        <v/>
      </c>
      <c r="G10340" s="42" t="str">
        <f>IFERROR(__xludf.DUMMYFUNCTION("""COMPUTED_VALUE"""),"Bn hibah")</f>
        <v>Bn hibah</v>
      </c>
      <c r="H10340" s="42">
        <f t="shared" si="1"/>
        <v>3345</v>
      </c>
    </row>
    <row r="10341" ht="22.5" customHeight="1">
      <c r="B10341" s="42" t="str">
        <f>IFERROR(__xludf.DUMMYFUNCTION("""COMPUTED_VALUE"""),"ABVGATFH")</f>
        <v>ABVGATFH</v>
      </c>
      <c r="C10341" s="42" t="str">
        <f>IFERROR(__xludf.DUMMYFUNCTION("""COMPUTED_VALUE"""),"M.3031/BR")</f>
        <v>M.3031/BR</v>
      </c>
      <c r="D10341" s="42"/>
      <c r="E10341" s="42"/>
      <c r="F10341" s="48" t="str">
        <f>IFERROR(__xludf.DUMMYFUNCTION("""COMPUTED_VALUE"""),"")</f>
        <v/>
      </c>
      <c r="G10341" s="42" t="str">
        <f>IFERROR(__xludf.DUMMYFUNCTION("""COMPUTED_VALUE"""),"Bn jual beli")</f>
        <v>Bn jual beli</v>
      </c>
      <c r="H10341" s="42">
        <f t="shared" si="1"/>
        <v>3345</v>
      </c>
    </row>
    <row r="10342" ht="22.5" customHeight="1">
      <c r="B10342" s="42" t="str">
        <f>IFERROR(__xludf.DUMMYFUNCTION("""COMPUTED_VALUE"""),"ABUMWIMK/AB042")</f>
        <v>ABUMWIMK/AB042</v>
      </c>
      <c r="C10342" s="42" t="str">
        <f>IFERROR(__xludf.DUMMYFUNCTION("""COMPUTED_VALUE"""),"M.496/Beringin Raya")</f>
        <v>M.496/Beringin Raya</v>
      </c>
      <c r="D10342" s="42"/>
      <c r="E10342" s="42"/>
      <c r="F10342" s="48" t="str">
        <f>IFERROR(__xludf.DUMMYFUNCTION("""COMPUTED_VALUE"""),"")</f>
        <v/>
      </c>
      <c r="G10342" s="42" t="str">
        <f>IFERROR(__xludf.DUMMYFUNCTION("""COMPUTED_VALUE"""),"BN Hibah")</f>
        <v>BN Hibah</v>
      </c>
      <c r="H10342" s="42">
        <f t="shared" si="1"/>
        <v>3345</v>
      </c>
    </row>
    <row r="10343" ht="22.5" customHeight="1">
      <c r="B10343" s="42" t="str">
        <f>IFERROR(__xludf.DUMMYFUNCTION("""COMPUTED_VALUE"""),"ABUPDBRX")</f>
        <v>ABUPDBRX</v>
      </c>
      <c r="C10343" s="42" t="str">
        <f>IFERROR(__xludf.DUMMYFUNCTION("""COMPUTED_VALUE"""),"NIB.08010000261130")</f>
        <v>NIB.08010000261130</v>
      </c>
      <c r="D10343" s="42"/>
      <c r="E10343" s="42"/>
      <c r="F10343" s="48" t="str">
        <f>IFERROR(__xludf.DUMMYFUNCTION("""COMPUTED_VALUE"""),"")</f>
        <v/>
      </c>
      <c r="G10343" s="42" t="str">
        <f>IFERROR(__xludf.DUMMYFUNCTION("""COMPUTED_VALUE"""),"BN")</f>
        <v>BN</v>
      </c>
      <c r="H10343" s="42">
        <f t="shared" si="1"/>
        <v>3345</v>
      </c>
    </row>
    <row r="10344" ht="22.5" customHeight="1">
      <c r="B10344" s="42" t="str">
        <f>IFERROR(__xludf.DUMMYFUNCTION("""COMPUTED_VALUE"""),"ABHDJZQT/AB054")</f>
        <v>ABHDJZQT/AB054</v>
      </c>
      <c r="C10344" s="42" t="str">
        <f>IFERROR(__xludf.DUMMYFUNCTION("""COMPUTED_VALUE"""),"00926/Korpri Jaya")</f>
        <v>00926/Korpri Jaya</v>
      </c>
      <c r="D10344" s="42"/>
      <c r="E10344" s="42"/>
      <c r="F10344" s="48" t="str">
        <f>IFERROR(__xludf.DUMMYFUNCTION("""COMPUTED_VALUE"""),"")</f>
        <v/>
      </c>
      <c r="G10344" s="42" t="str">
        <f>IFERROR(__xludf.DUMMYFUNCTION("""COMPUTED_VALUE"""),"Bn jual beli")</f>
        <v>Bn jual beli</v>
      </c>
      <c r="H10344" s="42">
        <f t="shared" si="1"/>
        <v>3345</v>
      </c>
    </row>
    <row r="10345" ht="22.5" customHeight="1">
      <c r="B10345" s="42" t="str">
        <f>IFERROR(__xludf.DUMMYFUNCTION("""COMPUTED_VALUE"""),"AB 056")</f>
        <v>AB 056</v>
      </c>
      <c r="C10345" s="42" t="str">
        <f>IFERROR(__xludf.DUMMYFUNCTION("""COMPUTED_VALUE"""),"NIB EL 18282")</f>
        <v>NIB EL 18282</v>
      </c>
      <c r="D10345" s="42"/>
      <c r="E10345" s="42"/>
      <c r="F10345" s="48" t="str">
        <f>IFERROR(__xludf.DUMMYFUNCTION("""COMPUTED_VALUE"""),"")</f>
        <v/>
      </c>
      <c r="G10345" s="42" t="str">
        <f>IFERROR(__xludf.DUMMYFUNCTION("""COMPUTED_VALUE"""),"BN")</f>
        <v>BN</v>
      </c>
      <c r="H10345" s="42">
        <f t="shared" si="1"/>
        <v>3345</v>
      </c>
    </row>
    <row r="10346" ht="22.5" customHeight="1">
      <c r="B10346" s="42" t="str">
        <f>IFERROR(__xludf.DUMMYFUNCTION("""COMPUTED_VALUE"""),"ABBHBNJB")</f>
        <v>ABBHBNJB</v>
      </c>
      <c r="C10346" s="42" t="str">
        <f>IFERROR(__xludf.DUMMYFUNCTION("""COMPUTED_VALUE"""),"Hgb. No. 864 perumnas way kandis")</f>
        <v>Hgb. No. 864 perumnas way kandis</v>
      </c>
      <c r="D10346" s="42"/>
      <c r="E10346" s="42"/>
      <c r="F10346" s="48" t="str">
        <f>IFERROR(__xludf.DUMMYFUNCTION("""COMPUTED_VALUE"""),"")</f>
        <v/>
      </c>
      <c r="G10346" s="42" t="str">
        <f>IFERROR(__xludf.DUMMYFUNCTION("""COMPUTED_VALUE"""),"Peningkatan hak")</f>
        <v>Peningkatan hak</v>
      </c>
      <c r="H10346" s="42">
        <f t="shared" si="1"/>
        <v>3345</v>
      </c>
    </row>
    <row r="10347" ht="22.5" customHeight="1">
      <c r="B10347" s="42" t="str">
        <f>IFERROR(__xludf.DUMMYFUNCTION("""COMPUTED_VALUE"""),"Abyozcjk")</f>
        <v>Abyozcjk</v>
      </c>
      <c r="C10347" s="42" t="str">
        <f>IFERROR(__xludf.DUMMYFUNCTION("""COMPUTED_VALUE"""),"NIBEL 23701, tanjung senang")</f>
        <v>NIBEL 23701, tanjung senang</v>
      </c>
      <c r="D10347" s="42"/>
      <c r="E10347" s="42"/>
      <c r="F10347" s="48" t="str">
        <f>IFERROR(__xludf.DUMMYFUNCTION("""COMPUTED_VALUE"""),"")</f>
        <v/>
      </c>
      <c r="G10347" s="42" t="str">
        <f>IFERROR(__xludf.DUMMYFUNCTION("""COMPUTED_VALUE"""),"Bn")</f>
        <v>Bn</v>
      </c>
      <c r="H10347" s="42">
        <f t="shared" si="1"/>
        <v>3345</v>
      </c>
    </row>
    <row r="10348" ht="22.5" customHeight="1">
      <c r="B10348" s="42" t="str">
        <f>IFERROR(__xludf.DUMMYFUNCTION("""COMPUTED_VALUE"""),"Abobkfgz")</f>
        <v>Abobkfgz</v>
      </c>
      <c r="C10348" s="42" t="str">
        <f>IFERROR(__xludf.DUMMYFUNCTION("""COMPUTED_VALUE"""),"NIBEL 20569, labuhan dalam")</f>
        <v>NIBEL 20569, labuhan dalam</v>
      </c>
      <c r="D10348" s="42"/>
      <c r="E10348" s="42"/>
      <c r="F10348" s="48" t="str">
        <f>IFERROR(__xludf.DUMMYFUNCTION("""COMPUTED_VALUE"""),"")</f>
        <v/>
      </c>
      <c r="G10348" s="42" t="str">
        <f>IFERROR(__xludf.DUMMYFUNCTION("""COMPUTED_VALUE"""),"Bn")</f>
        <v>Bn</v>
      </c>
      <c r="H10348" s="42">
        <f t="shared" si="1"/>
        <v>3345</v>
      </c>
    </row>
    <row r="10349" ht="22.5" customHeight="1">
      <c r="B10349" s="42" t="str">
        <f>IFERROR(__xludf.DUMMYFUNCTION("""COMPUTED_VALUE"""),"ABKROAYH")</f>
        <v>ABKROAYH</v>
      </c>
      <c r="C10349" s="42" t="str">
        <f>IFERROR(__xludf.DUMMYFUNCTION("""COMPUTED_VALUE"""),"“-“")</f>
        <v>“-“</v>
      </c>
      <c r="D10349" s="42"/>
      <c r="E10349" s="42"/>
      <c r="F10349" s="48" t="str">
        <f>IFERROR(__xludf.DUMMYFUNCTION("""COMPUTED_VALUE"""),"")</f>
        <v/>
      </c>
      <c r="G10349" s="42" t="str">
        <f>IFERROR(__xludf.DUMMYFUNCTION("""COMPUTED_VALUE"""),"Pendaftaran Tanah Pertama Kali")</f>
        <v>Pendaftaran Tanah Pertama Kali</v>
      </c>
      <c r="H10349" s="42">
        <f t="shared" si="1"/>
        <v>3345</v>
      </c>
    </row>
    <row r="10350" ht="22.5" customHeight="1">
      <c r="B10350" s="42" t="str">
        <f>IFERROR(__xludf.DUMMYFUNCTION("""COMPUTED_VALUE"""),"AB032/ABDFLADL")</f>
        <v>AB032/ABDFLADL</v>
      </c>
      <c r="C10350" s="42" t="str">
        <f>IFERROR(__xludf.DUMMYFUNCTION("""COMPUTED_VALUE"""),"m. nibel 2996/Bumi Kedamaian")</f>
        <v>m. nibel 2996/Bumi Kedamaian</v>
      </c>
      <c r="D10350" s="42"/>
      <c r="E10350" s="42"/>
      <c r="F10350" s="48" t="str">
        <f>IFERROR(__xludf.DUMMYFUNCTION("""COMPUTED_VALUE"""),"")</f>
        <v/>
      </c>
      <c r="G10350" s="42" t="str">
        <f>IFERROR(__xludf.DUMMYFUNCTION("""COMPUTED_VALUE"""),"peralihan hak")</f>
        <v>peralihan hak</v>
      </c>
      <c r="H10350" s="42">
        <f t="shared" si="1"/>
        <v>3345</v>
      </c>
    </row>
    <row r="10351" ht="22.5" customHeight="1">
      <c r="B10351" s="42" t="str">
        <f>IFERROR(__xludf.DUMMYFUNCTION("""COMPUTED_VALUE"""),"ABQOGKHT/AB088")</f>
        <v>ABQOGKHT/AB088</v>
      </c>
      <c r="C10351" s="42" t="str">
        <f>IFERROR(__xludf.DUMMYFUNCTION("""COMPUTED_VALUE"""),"B. Nibel. 21055/gunung sulah ")</f>
        <v>B. Nibel. 21055/gunung sulah </v>
      </c>
      <c r="D10351" s="42"/>
      <c r="E10351" s="42"/>
      <c r="F10351" s="48" t="str">
        <f>IFERROR(__xludf.DUMMYFUNCTION("""COMPUTED_VALUE"""),"")</f>
        <v/>
      </c>
      <c r="G10351" s="42" t="str">
        <f>IFERROR(__xludf.DUMMYFUNCTION("""COMPUTED_VALUE"""),"Bn jual beli")</f>
        <v>Bn jual beli</v>
      </c>
      <c r="H10351" s="42">
        <f t="shared" si="1"/>
        <v>3345</v>
      </c>
    </row>
    <row r="10352" ht="22.5" customHeight="1">
      <c r="B10352" s="42" t="str">
        <f>IFERROR(__xludf.DUMMYFUNCTION("""COMPUTED_VALUE"""),"L/4/241225/1")</f>
        <v>L/4/241225/1</v>
      </c>
      <c r="C10352" s="42" t="str">
        <f>IFERROR(__xludf.DUMMYFUNCTION("""COMPUTED_VALUE"""),"M. 2741/LANGKAPURA")</f>
        <v>M. 2741/LANGKAPURA</v>
      </c>
      <c r="D10352" s="42"/>
      <c r="E10352" s="42"/>
      <c r="F10352" s="48" t="str">
        <f>IFERROR(__xludf.DUMMYFUNCTION("""COMPUTED_VALUE"""),"")</f>
        <v/>
      </c>
      <c r="G10352" s="42" t="str">
        <f>IFERROR(__xludf.DUMMYFUNCTION("""COMPUTED_VALUE"""),"ROYA")</f>
        <v>ROYA</v>
      </c>
      <c r="H10352" s="42">
        <f t="shared" si="1"/>
        <v>3345</v>
      </c>
    </row>
    <row r="10353" ht="22.5" customHeight="1">
      <c r="B10353" s="42" t="str">
        <f>IFERROR(__xludf.DUMMYFUNCTION("""COMPUTED_VALUE"""),"L/5/241225/1")</f>
        <v>L/5/241225/1</v>
      </c>
      <c r="C10353" s="42" t="str">
        <f>IFERROR(__xludf.DUMMYFUNCTION("""COMPUTED_VALUE"""),"M.683/RAJABASA NUNYAI")</f>
        <v>M.683/RAJABASA NUNYAI</v>
      </c>
      <c r="D10353" s="42"/>
      <c r="E10353" s="42"/>
      <c r="F10353" s="48" t="str">
        <f>IFERROR(__xludf.DUMMYFUNCTION("""COMPUTED_VALUE"""),"")</f>
        <v/>
      </c>
      <c r="G10353" s="42" t="str">
        <f>IFERROR(__xludf.DUMMYFUNCTION("""COMPUTED_VALUE"""),"ROYA")</f>
        <v>ROYA</v>
      </c>
      <c r="H10353" s="42">
        <f t="shared" si="1"/>
        <v>3345</v>
      </c>
    </row>
    <row r="10354" ht="22.5" customHeight="1">
      <c r="B10354" s="42" t="str">
        <f>IFERROR(__xludf.DUMMYFUNCTION("""COMPUTED_VALUE"""),"L/6/241225/1")</f>
        <v>L/6/241225/1</v>
      </c>
      <c r="C10354" s="42" t="str">
        <f>IFERROR(__xludf.DUMMYFUNCTION("""COMPUTED_VALUE"""),"M. 930/RAJABASA JAYA")</f>
        <v>M. 930/RAJABASA JAYA</v>
      </c>
      <c r="D10354" s="42"/>
      <c r="E10354" s="42"/>
      <c r="F10354" s="48" t="str">
        <f>IFERROR(__xludf.DUMMYFUNCTION("""COMPUTED_VALUE"""),"")</f>
        <v/>
      </c>
      <c r="G10354" s="42" t="str">
        <f>IFERROR(__xludf.DUMMYFUNCTION("""COMPUTED_VALUE"""),"ROYA")</f>
        <v>ROYA</v>
      </c>
      <c r="H10354" s="42">
        <f t="shared" si="1"/>
        <v>3345</v>
      </c>
    </row>
    <row r="10355" ht="22.5" customHeight="1">
      <c r="B10355" s="42" t="str">
        <f>IFERROR(__xludf.DUMMYFUNCTION("""COMPUTED_VALUE"""),"L/7/241225/1")</f>
        <v>L/7/241225/1</v>
      </c>
      <c r="C10355" s="42" t="str">
        <f>IFERROR(__xludf.DUMMYFUNCTION("""COMPUTED_VALUE"""),"B. 635/BERINGIN JAYA")</f>
        <v>B. 635/BERINGIN JAYA</v>
      </c>
      <c r="D10355" s="42"/>
      <c r="E10355" s="42"/>
      <c r="F10355" s="48" t="str">
        <f>IFERROR(__xludf.DUMMYFUNCTION("""COMPUTED_VALUE"""),"")</f>
        <v/>
      </c>
      <c r="G10355" s="42" t="str">
        <f>IFERROR(__xludf.DUMMYFUNCTION("""COMPUTED_VALUE"""),"PENINGKATAN HAK")</f>
        <v>PENINGKATAN HAK</v>
      </c>
      <c r="H10355" s="42">
        <f t="shared" si="1"/>
        <v>3345</v>
      </c>
    </row>
    <row r="10356" ht="22.5" customHeight="1">
      <c r="B10356" s="42" t="str">
        <f>IFERROR(__xludf.DUMMYFUNCTION("""COMPUTED_VALUE"""),"L/8/241225/1")</f>
        <v>L/8/241225/1</v>
      </c>
      <c r="C10356" s="42" t="str">
        <f>IFERROR(__xludf.DUMMYFUNCTION("""COMPUTED_VALUE"""),"B. 2578/SUKABUMI")</f>
        <v>B. 2578/SUKABUMI</v>
      </c>
      <c r="D10356" s="42"/>
      <c r="E10356" s="42"/>
      <c r="F10356" s="48" t="str">
        <f>IFERROR(__xludf.DUMMYFUNCTION("""COMPUTED_VALUE"""),"")</f>
        <v/>
      </c>
      <c r="G10356" s="42" t="str">
        <f>IFERROR(__xludf.DUMMYFUNCTION("""COMPUTED_VALUE"""),"PENINGKATAN HAK")</f>
        <v>PENINGKATAN HAK</v>
      </c>
      <c r="H10356" s="42">
        <f t="shared" si="1"/>
        <v>3345</v>
      </c>
    </row>
    <row r="10357" ht="22.5" customHeight="1">
      <c r="B10357" s="42" t="str">
        <f>IFERROR(__xludf.DUMMYFUNCTION("""COMPUTED_VALUE"""),"L/9/241225/1")</f>
        <v>L/9/241225/1</v>
      </c>
      <c r="C10357" s="42" t="str">
        <f>IFERROR(__xludf.DUMMYFUNCTION("""COMPUTED_VALUE"""),"B. 183/SUMBEREJO SEJAHTERA")</f>
        <v>B. 183/SUMBEREJO SEJAHTERA</v>
      </c>
      <c r="D10357" s="42"/>
      <c r="E10357" s="42"/>
      <c r="F10357" s="48" t="str">
        <f>IFERROR(__xludf.DUMMYFUNCTION("""COMPUTED_VALUE"""),"")</f>
        <v/>
      </c>
      <c r="G10357" s="42" t="str">
        <f>IFERROR(__xludf.DUMMYFUNCTION("""COMPUTED_VALUE"""),"PENINGKATAN HAK")</f>
        <v>PENINGKATAN HAK</v>
      </c>
      <c r="H10357" s="42">
        <f t="shared" si="1"/>
        <v>3345</v>
      </c>
    </row>
    <row r="10358" ht="22.5" customHeight="1">
      <c r="B10358" s="42" t="str">
        <f>IFERROR(__xludf.DUMMYFUNCTION("""COMPUTED_VALUE"""),"L/10/241225/1")</f>
        <v>L/10/241225/1</v>
      </c>
      <c r="C10358" s="42" t="str">
        <f>IFERROR(__xludf.DUMMYFUNCTION("""COMPUTED_VALUE"""),"B NIB. 27373/CAMPANG RAYA")</f>
        <v>B NIB. 27373/CAMPANG RAYA</v>
      </c>
      <c r="D10358" s="42"/>
      <c r="E10358" s="42"/>
      <c r="F10358" s="48" t="str">
        <f>IFERROR(__xludf.DUMMYFUNCTION("""COMPUTED_VALUE"""),"")</f>
        <v/>
      </c>
      <c r="G10358" s="42" t="str">
        <f>IFERROR(__xludf.DUMMYFUNCTION("""COMPUTED_VALUE"""),"PENINGKATAN HAK")</f>
        <v>PENINGKATAN HAK</v>
      </c>
      <c r="H10358" s="42">
        <f t="shared" si="1"/>
        <v>3345</v>
      </c>
    </row>
    <row r="10359" ht="22.5" customHeight="1">
      <c r="B10359" s="42" t="str">
        <f>IFERROR(__xludf.DUMMYFUNCTION("""COMPUTED_VALUE"""),"L/11/241225/1")</f>
        <v>L/11/241225/1</v>
      </c>
      <c r="C10359" s="42" t="str">
        <f>IFERROR(__xludf.DUMMYFUNCTION("""COMPUTED_VALUE"""),"M. 14064/RAJABASA")</f>
        <v>M. 14064/RAJABASA</v>
      </c>
      <c r="D10359" s="42"/>
      <c r="E10359" s="42"/>
      <c r="F10359" s="48" t="str">
        <f>IFERROR(__xludf.DUMMYFUNCTION("""COMPUTED_VALUE"""),"")</f>
        <v/>
      </c>
      <c r="G10359" s="42" t="str">
        <f>IFERROR(__xludf.DUMMYFUNCTION("""COMPUTED_VALUE"""),"ROYA LELANG")</f>
        <v>ROYA LELANG</v>
      </c>
      <c r="H10359" s="42">
        <f t="shared" si="1"/>
        <v>3345</v>
      </c>
    </row>
    <row r="10360" ht="22.5" customHeight="1">
      <c r="B10360" s="42" t="str">
        <f>IFERROR(__xludf.DUMMYFUNCTION("""COMPUTED_VALUE"""),"L/12/241225/1")</f>
        <v>L/12/241225/1</v>
      </c>
      <c r="C10360" s="42" t="str">
        <f>IFERROR(__xludf.DUMMYFUNCTION("""COMPUTED_VALUE"""),"M. 2721/GUNUNG TERANG")</f>
        <v>M. 2721/GUNUNG TERANG</v>
      </c>
      <c r="D10360" s="42"/>
      <c r="E10360" s="42"/>
      <c r="F10360" s="48" t="str">
        <f>IFERROR(__xludf.DUMMYFUNCTION("""COMPUTED_VALUE"""),"")</f>
        <v/>
      </c>
      <c r="G10360" s="42" t="str">
        <f>IFERROR(__xludf.DUMMYFUNCTION("""COMPUTED_VALUE"""),"BN JUAL BELI")</f>
        <v>BN JUAL BELI</v>
      </c>
      <c r="H10360" s="42">
        <f t="shared" si="1"/>
        <v>3345</v>
      </c>
    </row>
    <row r="10361" ht="22.5" customHeight="1">
      <c r="B10361" s="42" t="str">
        <f>IFERROR(__xludf.DUMMYFUNCTION("""COMPUTED_VALUE"""),"L/13/241225/1")</f>
        <v>L/13/241225/1</v>
      </c>
      <c r="C10361" s="42" t="str">
        <f>IFERROR(__xludf.DUMMYFUNCTION("""COMPUTED_VALUE"""),"PBT NO 174/2025 KEL. GOTONG ROYONG")</f>
        <v>PBT NO 174/2025 KEL. GOTONG ROYONG</v>
      </c>
      <c r="D10361" s="42"/>
      <c r="E10361" s="42"/>
      <c r="F10361" s="48" t="str">
        <f>IFERROR(__xludf.DUMMYFUNCTION("""COMPUTED_VALUE"""),"")</f>
        <v/>
      </c>
      <c r="G10361" s="42" t="str">
        <f>IFERROR(__xludf.DUMMYFUNCTION("""COMPUTED_VALUE"""),"PTPGT  TANAH MENTAH")</f>
        <v>PTPGT  TANAH MENTAH</v>
      </c>
      <c r="H10361" s="42">
        <f t="shared" si="1"/>
        <v>3345</v>
      </c>
    </row>
    <row r="10362" ht="22.5" customHeight="1">
      <c r="B10362" s="42" t="str">
        <f>IFERROR(__xludf.DUMMYFUNCTION("""COMPUTED_VALUE"""),"K/3/241225/1")</f>
        <v>K/3/241225/1</v>
      </c>
      <c r="C10362" s="42" t="str">
        <f>IFERROR(__xludf.DUMMYFUNCTION("""COMPUTED_VALUE"""),"M. 499/KOTA SEPANG")</f>
        <v>M. 499/KOTA SEPANG</v>
      </c>
      <c r="D10362" s="42"/>
      <c r="E10362" s="42"/>
      <c r="F10362" s="48" t="str">
        <f>IFERROR(__xludf.DUMMYFUNCTION("""COMPUTED_VALUE"""),"")</f>
        <v/>
      </c>
      <c r="G10362" s="42" t="str">
        <f>IFERROR(__xludf.DUMMYFUNCTION("""COMPUTED_VALUE"""),"PEMECAHAN ")</f>
        <v>PEMECAHAN </v>
      </c>
      <c r="H10362" s="42">
        <f t="shared" si="1"/>
        <v>3345</v>
      </c>
    </row>
    <row r="10363" ht="22.5" customHeight="1">
      <c r="B10363" s="42" t="str">
        <f>IFERROR(__xludf.DUMMYFUNCTION("""COMPUTED_VALUE"""),"L/14/241225/1")</f>
        <v>L/14/241225/1</v>
      </c>
      <c r="C10363" s="42" t="str">
        <f>IFERROR(__xludf.DUMMYFUNCTION("""COMPUTED_VALUE"""),"B NIB. 28720/GEDONG MENENG")</f>
        <v>B NIB. 28720/GEDONG MENENG</v>
      </c>
      <c r="D10363" s="42"/>
      <c r="E10363" s="42"/>
      <c r="F10363" s="48" t="str">
        <f>IFERROR(__xludf.DUMMYFUNCTION("""COMPUTED_VALUE"""),"")</f>
        <v/>
      </c>
      <c r="G10363" s="42" t="str">
        <f>IFERROR(__xludf.DUMMYFUNCTION("""COMPUTED_VALUE"""),"PENINGKATAN HAK")</f>
        <v>PENINGKATAN HAK</v>
      </c>
      <c r="H10363" s="42">
        <f t="shared" si="1"/>
        <v>3345</v>
      </c>
    </row>
    <row r="10364" ht="22.5" customHeight="1">
      <c r="B10364" s="42" t="str">
        <f>IFERROR(__xludf.DUMMYFUNCTION("""COMPUTED_VALUE"""),"K/15/241225/1")</f>
        <v>K/15/241225/1</v>
      </c>
      <c r="C10364" s="42" t="str">
        <f>IFERROR(__xludf.DUMMYFUNCTION("""COMPUTED_VALUE"""),"M. 3746/BERINGIN RAYA")</f>
        <v>M. 3746/BERINGIN RAYA</v>
      </c>
      <c r="D10364" s="42"/>
      <c r="E10364" s="42"/>
      <c r="F10364" s="48" t="str">
        <f>IFERROR(__xludf.DUMMYFUNCTION("""COMPUTED_VALUE"""),"")</f>
        <v/>
      </c>
      <c r="G10364" s="42" t="str">
        <f>IFERROR(__xludf.DUMMYFUNCTION("""COMPUTED_VALUE"""),"BN LELANG")</f>
        <v>BN LELANG</v>
      </c>
      <c r="H10364" s="42">
        <f t="shared" si="1"/>
        <v>3345</v>
      </c>
    </row>
    <row r="10365" ht="22.5" customHeight="1">
      <c r="B10365" s="42" t="str">
        <f>IFERROR(__xludf.DUMMYFUNCTION("""COMPUTED_VALUE"""),"K/16/241225/1")</f>
        <v>K/16/241225/1</v>
      </c>
      <c r="C10365" s="42" t="str">
        <f>IFERROR(__xludf.DUMMYFUNCTION("""COMPUTED_VALUE"""),"M. 974/GUNUNG TERANG")</f>
        <v>M. 974/GUNUNG TERANG</v>
      </c>
      <c r="D10365" s="42"/>
      <c r="E10365" s="42"/>
      <c r="F10365" s="48" t="str">
        <f>IFERROR(__xludf.DUMMYFUNCTION("""COMPUTED_VALUE"""),"")</f>
        <v/>
      </c>
      <c r="G10365" s="42" t="str">
        <f>IFERROR(__xludf.DUMMYFUNCTION("""COMPUTED_VALUE"""),"BN WARIS")</f>
        <v>BN WARIS</v>
      </c>
      <c r="H10365" s="42">
        <f t="shared" si="1"/>
        <v>3345</v>
      </c>
    </row>
    <row r="10366" ht="22.5" customHeight="1">
      <c r="B10366" s="42" t="str">
        <f>IFERROR(__xludf.DUMMYFUNCTION("""COMPUTED_VALUE"""),"K/17/241225/1")</f>
        <v>K/17/241225/1</v>
      </c>
      <c r="C10366" s="42" t="str">
        <f>IFERROR(__xludf.DUMMYFUNCTION("""COMPUTED_VALUE"""),"M. 1259/SUSUNAN BARU")</f>
        <v>M. 1259/SUSUNAN BARU</v>
      </c>
      <c r="D10366" s="42"/>
      <c r="E10366" s="42"/>
      <c r="F10366" s="48" t="str">
        <f>IFERROR(__xludf.DUMMYFUNCTION("""COMPUTED_VALUE"""),"")</f>
        <v/>
      </c>
      <c r="G10366" s="42" t="str">
        <f>IFERROR(__xludf.DUMMYFUNCTION("""COMPUTED_VALUE"""),"PTPGT PECAH")</f>
        <v>PTPGT PECAH</v>
      </c>
      <c r="H10366" s="42">
        <f t="shared" si="1"/>
        <v>3345</v>
      </c>
    </row>
    <row r="10367" ht="22.5" customHeight="1">
      <c r="B10367" s="42" t="str">
        <f>IFERROR(__xludf.DUMMYFUNCTION("""COMPUTED_VALUE"""),"K/18/241225/1")</f>
        <v>K/18/241225/1</v>
      </c>
      <c r="C10367" s="42" t="str">
        <f>IFERROR(__xludf.DUMMYFUNCTION("""COMPUTED_VALUE"""),"M. 504/PIDADA")</f>
        <v>M. 504/PIDADA</v>
      </c>
      <c r="D10367" s="42"/>
      <c r="E10367" s="42"/>
      <c r="F10367" s="48" t="str">
        <f>IFERROR(__xludf.DUMMYFUNCTION("""COMPUTED_VALUE"""),"")</f>
        <v/>
      </c>
      <c r="G10367" s="42" t="str">
        <f>IFERROR(__xludf.DUMMYFUNCTION("""COMPUTED_VALUE"""),"SKPT LELANG")</f>
        <v>SKPT LELANG</v>
      </c>
      <c r="H10367" s="42">
        <f t="shared" si="1"/>
        <v>3345</v>
      </c>
    </row>
    <row r="10368" ht="22.5" customHeight="1">
      <c r="B10368" s="42" t="str">
        <f>IFERROR(__xludf.DUMMYFUNCTION("""COMPUTED_VALUE"""),"K/19/241225/1")</f>
        <v>K/19/241225/1</v>
      </c>
      <c r="C10368" s="42" t="str">
        <f>IFERROR(__xludf.DUMMYFUNCTION("""COMPUTED_VALUE"""),"M. 3498/WAY KANDIS")</f>
        <v>M. 3498/WAY KANDIS</v>
      </c>
      <c r="D10368" s="42"/>
      <c r="E10368" s="42"/>
      <c r="F10368" s="48" t="str">
        <f>IFERROR(__xludf.DUMMYFUNCTION("""COMPUTED_VALUE"""),"")</f>
        <v/>
      </c>
      <c r="G10368" s="42" t="str">
        <f>IFERROR(__xludf.DUMMYFUNCTION("""COMPUTED_VALUE"""),"SKPT LELANG")</f>
        <v>SKPT LELANG</v>
      </c>
      <c r="H10368" s="42">
        <f t="shared" si="1"/>
        <v>3345</v>
      </c>
    </row>
    <row r="10369" ht="22.5" customHeight="1">
      <c r="B10369" s="42" t="str">
        <f>IFERROR(__xludf.DUMMYFUNCTION("""COMPUTED_VALUE"""),"K/21/241225/1")</f>
        <v>K/21/241225/1</v>
      </c>
      <c r="C10369" s="42" t="str">
        <f>IFERROR(__xludf.DUMMYFUNCTION("""COMPUTED_VALUE"""),"M. 1234/KETEGUHAN")</f>
        <v>M. 1234/KETEGUHAN</v>
      </c>
      <c r="D10369" s="42"/>
      <c r="E10369" s="42"/>
      <c r="F10369" s="48" t="str">
        <f>IFERROR(__xludf.DUMMYFUNCTION("""COMPUTED_VALUE"""),"")</f>
        <v/>
      </c>
      <c r="G10369" s="42" t="str">
        <f>IFERROR(__xludf.DUMMYFUNCTION("""COMPUTED_VALUE"""),"ROYA")</f>
        <v>ROYA</v>
      </c>
      <c r="H10369" s="42">
        <f t="shared" si="1"/>
        <v>3345</v>
      </c>
    </row>
    <row r="10370" ht="22.5" customHeight="1">
      <c r="B10370" s="42" t="str">
        <f>IFERROR(__xludf.DUMMYFUNCTION("""COMPUTED_VALUE"""),"K/22/241225/1")</f>
        <v>K/22/241225/1</v>
      </c>
      <c r="C10370" s="42" t="str">
        <f>IFERROR(__xludf.DUMMYFUNCTION("""COMPUTED_VALUE"""),"M. 106/PENENGAHAN")</f>
        <v>M. 106/PENENGAHAN</v>
      </c>
      <c r="D10370" s="42"/>
      <c r="E10370" s="42"/>
      <c r="F10370" s="48" t="str">
        <f>IFERROR(__xludf.DUMMYFUNCTION("""COMPUTED_VALUE"""),"")</f>
        <v/>
      </c>
      <c r="G10370" s="42" t="str">
        <f>IFERROR(__xludf.DUMMYFUNCTION("""COMPUTED_VALUE"""),"ROYA")</f>
        <v>ROYA</v>
      </c>
      <c r="H10370" s="42">
        <f t="shared" si="1"/>
        <v>3345</v>
      </c>
    </row>
    <row r="10371" ht="22.5" customHeight="1">
      <c r="B10371" s="42" t="str">
        <f>IFERROR(__xludf.DUMMYFUNCTION("""COMPUTED_VALUE"""),"K/23/241225/1")</f>
        <v>K/23/241225/1</v>
      </c>
      <c r="C10371" s="42" t="str">
        <f>IFERROR(__xludf.DUMMYFUNCTION("""COMPUTED_VALUE"""),"GEDONG MENENG")</f>
        <v>GEDONG MENENG</v>
      </c>
      <c r="D10371" s="42"/>
      <c r="E10371" s="42"/>
      <c r="F10371" s="48" t="str">
        <f>IFERROR(__xludf.DUMMYFUNCTION("""COMPUTED_VALUE"""),"")</f>
        <v/>
      </c>
      <c r="G10371" s="42" t="str">
        <f>IFERROR(__xludf.DUMMYFUNCTION("""COMPUTED_VALUE"""),"PENGUKURAN PERTAMA KALI")</f>
        <v>PENGUKURAN PERTAMA KALI</v>
      </c>
      <c r="H10371" s="42">
        <f t="shared" si="1"/>
        <v>3345</v>
      </c>
    </row>
    <row r="10372" ht="22.5" customHeight="1">
      <c r="B10372" s="42" t="str">
        <f>IFERROR(__xludf.DUMMYFUNCTION("""COMPUTED_VALUE"""),"ABGFBSCX")</f>
        <v>ABGFBSCX</v>
      </c>
      <c r="C10372" s="42" t="str">
        <f>IFERROR(__xludf.DUMMYFUNCTION("""COMPUTED_VALUE"""),"M.11567/Jagabaya III")</f>
        <v>M.11567/Jagabaya III</v>
      </c>
      <c r="D10372" s="42"/>
      <c r="E10372" s="42"/>
      <c r="F10372" s="48" t="str">
        <f>IFERROR(__xludf.DUMMYFUNCTION("""COMPUTED_VALUE"""),"")</f>
        <v/>
      </c>
      <c r="G10372" s="42" t="str">
        <f>IFERROR(__xludf.DUMMYFUNCTION("""COMPUTED_VALUE"""),"Balik Nama APHB")</f>
        <v>Balik Nama APHB</v>
      </c>
      <c r="H10372" s="42">
        <f t="shared" si="1"/>
        <v>3345</v>
      </c>
    </row>
    <row r="10373" ht="22.5" customHeight="1">
      <c r="B10373" s="42" t="str">
        <f>IFERROR(__xludf.DUMMYFUNCTION("""COMPUTED_VALUE"""),"ABDGFHUI")</f>
        <v>ABDGFHUI</v>
      </c>
      <c r="C10373" s="42" t="str">
        <f>IFERROR(__xludf.DUMMYFUNCTION("""COMPUTED_VALUE"""),"NIBEL M 24170/ LABUHAN RATU RAYA")</f>
        <v>NIBEL M 24170/ LABUHAN RATU RAYA</v>
      </c>
      <c r="D10373" s="42"/>
      <c r="E10373" s="42"/>
      <c r="F10373" s="48" t="str">
        <f>IFERROR(__xludf.DUMMYFUNCTION("""COMPUTED_VALUE"""),"")</f>
        <v/>
      </c>
      <c r="G10373" s="42" t="str">
        <f>IFERROR(__xludf.DUMMYFUNCTION("""COMPUTED_VALUE"""),"Hibah ")</f>
        <v>Hibah </v>
      </c>
      <c r="H10373" s="42">
        <f t="shared" si="1"/>
        <v>3345</v>
      </c>
    </row>
    <row r="10374" ht="22.5" customHeight="1">
      <c r="B10374" s="42" t="str">
        <f>IFERROR(__xludf.DUMMYFUNCTION("""COMPUTED_VALUE"""),"ABHOXMQX/AB030")</f>
        <v>ABHOXMQX/AB030</v>
      </c>
      <c r="C10374" s="42" t="str">
        <f>IFERROR(__xludf.DUMMYFUNCTION("""COMPUTED_VALUE"""),"M. NIBEL 20394/Tanjung Senang")</f>
        <v>M. NIBEL 20394/Tanjung Senang</v>
      </c>
      <c r="D10374" s="42"/>
      <c r="E10374" s="42"/>
      <c r="F10374" s="48" t="str">
        <f>IFERROR(__xludf.DUMMYFUNCTION("""COMPUTED_VALUE"""),"")</f>
        <v/>
      </c>
      <c r="G10374" s="42" t="str">
        <f>IFERROR(__xludf.DUMMYFUNCTION("""COMPUTED_VALUE"""),"Balik Nama jual beli")</f>
        <v>Balik Nama jual beli</v>
      </c>
      <c r="H10374" s="42">
        <f t="shared" si="1"/>
        <v>3345</v>
      </c>
    </row>
    <row r="10375" ht="22.5" customHeight="1">
      <c r="B10375" s="42" t="str">
        <f>IFERROR(__xludf.DUMMYFUNCTION("""COMPUTED_VALUE"""),"ABFOMHSL/AB030")</f>
        <v>ABFOMHSL/AB030</v>
      </c>
      <c r="C10375" s="42" t="str">
        <f>IFERROR(__xludf.DUMMYFUNCTION("""COMPUTED_VALUE"""),"M. NIBEL 19536/Labuhan Dalam")</f>
        <v>M. NIBEL 19536/Labuhan Dalam</v>
      </c>
      <c r="D10375" s="42"/>
      <c r="E10375" s="42"/>
      <c r="F10375" s="48" t="str">
        <f>IFERROR(__xludf.DUMMYFUNCTION("""COMPUTED_VALUE"""),"")</f>
        <v/>
      </c>
      <c r="G10375" s="42" t="str">
        <f>IFERROR(__xludf.DUMMYFUNCTION("""COMPUTED_VALUE"""),"Balik Nama jual beli")</f>
        <v>Balik Nama jual beli</v>
      </c>
      <c r="H10375" s="42">
        <f t="shared" si="1"/>
        <v>3345</v>
      </c>
    </row>
    <row r="10376" ht="22.5" customHeight="1">
      <c r="B10376" s="42" t="str">
        <f>IFERROR(__xludf.DUMMYFUNCTION("""COMPUTED_VALUE"""),"ABCVCCJS")</f>
        <v>ABCVCCJS</v>
      </c>
      <c r="C10376" s="42" t="str">
        <f>IFERROR(__xludf.DUMMYFUNCTION("""COMPUTED_VALUE"""),"NIBEL M 21675/ PERUMNAS WAY HALIM")</f>
        <v>NIBEL M 21675/ PERUMNAS WAY HALIM</v>
      </c>
      <c r="D10376" s="42"/>
      <c r="E10376" s="42"/>
      <c r="F10376" s="48" t="str">
        <f>IFERROR(__xludf.DUMMYFUNCTION("""COMPUTED_VALUE"""),"")</f>
        <v/>
      </c>
      <c r="G10376" s="42" t="str">
        <f>IFERROR(__xludf.DUMMYFUNCTION("""COMPUTED_VALUE"""),"Peralihan hak Aphb")</f>
        <v>Peralihan hak Aphb</v>
      </c>
      <c r="H10376" s="42">
        <f t="shared" si="1"/>
        <v>3345</v>
      </c>
    </row>
    <row r="10377" ht="22.5" customHeight="1">
      <c r="B10377" s="42" t="str">
        <f>IFERROR(__xludf.DUMMYFUNCTION("""COMPUTED_VALUE"""),"ABMKQYSX")</f>
        <v>ABMKQYSX</v>
      </c>
      <c r="C10377" s="42" t="str">
        <f>IFERROR(__xludf.DUMMYFUNCTION("""COMPUTED_VALUE"""),"M 2765/ SUMBEREJO KEMILING")</f>
        <v>M 2765/ SUMBEREJO KEMILING</v>
      </c>
      <c r="D10377" s="42"/>
      <c r="E10377" s="42"/>
      <c r="F10377" s="48" t="str">
        <f>IFERROR(__xludf.DUMMYFUNCTION("""COMPUTED_VALUE"""),"")</f>
        <v/>
      </c>
      <c r="G10377" s="42" t="str">
        <f>IFERROR(__xludf.DUMMYFUNCTION("""COMPUTED_VALUE"""),"Roya")</f>
        <v>Roya</v>
      </c>
      <c r="H10377" s="42">
        <f t="shared" si="1"/>
        <v>3345</v>
      </c>
    </row>
    <row r="10378" ht="22.5" customHeight="1">
      <c r="B10378" s="42" t="str">
        <f>IFERROR(__xludf.DUMMYFUNCTION("""COMPUTED_VALUE"""),"AB032/ABWLSBBN")</f>
        <v>AB032/ABWLSBBN</v>
      </c>
      <c r="C10378" s="42" t="str">
        <f>IFERROR(__xludf.DUMMYFUNCTION("""COMPUTED_VALUE"""),"M.1101 BATU PUTUK ")</f>
        <v>M.1101 BATU PUTUK </v>
      </c>
      <c r="D10378" s="42"/>
      <c r="E10378" s="42"/>
      <c r="F10378" s="48" t="str">
        <f>IFERROR(__xludf.DUMMYFUNCTION("""COMPUTED_VALUE"""),"")</f>
        <v/>
      </c>
      <c r="G10378" s="42" t="str">
        <f>IFERROR(__xludf.DUMMYFUNCTION("""COMPUTED_VALUE"""),"Balik Nama")</f>
        <v>Balik Nama</v>
      </c>
      <c r="H10378" s="42">
        <f t="shared" si="1"/>
        <v>3345</v>
      </c>
    </row>
    <row r="10379" ht="22.5" customHeight="1">
      <c r="B10379" s="42" t="str">
        <f>IFERROR(__xludf.DUMMYFUNCTION("""COMPUTED_VALUE"""),"AB055/ABUIPHPG")</f>
        <v>AB055/ABUIPHPG</v>
      </c>
      <c r="C10379" s="42" t="str">
        <f>IFERROR(__xludf.DUMMYFUNCTION("""COMPUTED_VALUE"""),"M nib. 08.01.000004993.0")</f>
        <v>M nib. 08.01.000004993.0</v>
      </c>
      <c r="D10379" s="42"/>
      <c r="E10379" s="42"/>
      <c r="F10379" s="48" t="str">
        <f>IFERROR(__xludf.DUMMYFUNCTION("""COMPUTED_VALUE"""),"")</f>
        <v/>
      </c>
      <c r="G10379" s="42" t="str">
        <f>IFERROR(__xludf.DUMMYFUNCTION("""COMPUTED_VALUE"""),"Balik nama ")</f>
        <v>Balik nama </v>
      </c>
      <c r="H10379" s="42">
        <f t="shared" si="1"/>
        <v>3345</v>
      </c>
    </row>
    <row r="10380" ht="22.5" customHeight="1">
      <c r="B10380" s="42" t="str">
        <f>IFERROR(__xludf.DUMMYFUNCTION("""COMPUTED_VALUE"""),"L/1/291225/1")</f>
        <v>L/1/291225/1</v>
      </c>
      <c r="C10380" s="42" t="str">
        <f>IFERROR(__xludf.DUMMYFUNCTION("""COMPUTED_VALUE"""),"M. 11775/SUKABUMI")</f>
        <v>M. 11775/SUKABUMI</v>
      </c>
      <c r="D10380" s="42"/>
      <c r="E10380" s="42"/>
      <c r="F10380" s="48" t="str">
        <f>IFERROR(__xludf.DUMMYFUNCTION("""COMPUTED_VALUE"""),"")</f>
        <v/>
      </c>
      <c r="G10380" s="42" t="str">
        <f>IFERROR(__xludf.DUMMYFUNCTION("""COMPUTED_VALUE"""),"ROYA")</f>
        <v>ROYA</v>
      </c>
      <c r="H10380" s="42">
        <f t="shared" si="1"/>
        <v>3345</v>
      </c>
    </row>
    <row r="10381" ht="22.5" customHeight="1">
      <c r="B10381" s="42" t="str">
        <f>IFERROR(__xludf.DUMMYFUNCTION("""COMPUTED_VALUE"""),"L/2/291225/1")</f>
        <v>L/2/291225/1</v>
      </c>
      <c r="C10381" s="42" t="str">
        <f>IFERROR(__xludf.DUMMYFUNCTION("""COMPUTED_VALUE"""),"M. 882/SUMBER AGUNG")</f>
        <v>M. 882/SUMBER AGUNG</v>
      </c>
      <c r="D10381" s="42"/>
      <c r="E10381" s="42"/>
      <c r="F10381" s="48" t="str">
        <f>IFERROR(__xludf.DUMMYFUNCTION("""COMPUTED_VALUE"""),"")</f>
        <v/>
      </c>
      <c r="G10381" s="42" t="str">
        <f>IFERROR(__xludf.DUMMYFUNCTION("""COMPUTED_VALUE"""),"SKPT INFORMASI")</f>
        <v>SKPT INFORMASI</v>
      </c>
      <c r="H10381" s="42">
        <f t="shared" si="1"/>
        <v>3345</v>
      </c>
    </row>
    <row r="10382" ht="22.5" customHeight="1">
      <c r="B10382" s="42" t="str">
        <f>IFERROR(__xludf.DUMMYFUNCTION("""COMPUTED_VALUE"""),"Ab061/ABNKFVWY")</f>
        <v>Ab061/ABNKFVWY</v>
      </c>
      <c r="C10382" s="42" t="str">
        <f>IFERROR(__xludf.DUMMYFUNCTION("""COMPUTED_VALUE"""),"M.290/ H. J")</f>
        <v>M.290/ H. J</v>
      </c>
      <c r="D10382" s="42"/>
      <c r="E10382" s="42"/>
      <c r="F10382" s="48" t="str">
        <f>IFERROR(__xludf.DUMMYFUNCTION("""COMPUTED_VALUE"""),"")</f>
        <v/>
      </c>
      <c r="G10382" s="42" t="str">
        <f>IFERROR(__xludf.DUMMYFUNCTION("""COMPUTED_VALUE"""),"Roya")</f>
        <v>Roya</v>
      </c>
      <c r="H10382" s="42">
        <f t="shared" si="1"/>
        <v>3345</v>
      </c>
    </row>
    <row r="10383" ht="22.5" customHeight="1">
      <c r="B10383" s="42" t="str">
        <f>IFERROR(__xludf.DUMMYFUNCTION("""COMPUTED_VALUE"""),"ABWEEFGS")</f>
        <v>ABWEEFGS</v>
      </c>
      <c r="C10383" s="42" t="str">
        <f>IFERROR(__xludf.DUMMYFUNCTION("""COMPUTED_VALUE"""),"NIBEL M 21572/ PALAPA")</f>
        <v>NIBEL M 21572/ PALAPA</v>
      </c>
      <c r="D10383" s="42"/>
      <c r="E10383" s="42"/>
      <c r="F10383" s="48" t="str">
        <f>IFERROR(__xludf.DUMMYFUNCTION("""COMPUTED_VALUE"""),"")</f>
        <v/>
      </c>
      <c r="G10383" s="42" t="str">
        <f>IFERROR(__xludf.DUMMYFUNCTION("""COMPUTED_VALUE"""),"BN JUAL BELI")</f>
        <v>BN JUAL BELI</v>
      </c>
      <c r="H10383" s="42">
        <f t="shared" si="1"/>
        <v>3345</v>
      </c>
    </row>
    <row r="10384" ht="22.5" customHeight="1">
      <c r="B10384" s="42" t="str">
        <f>IFERROR(__xludf.DUMMYFUNCTION("""COMPUTED_VALUE"""),"ABDPLRBA/AB039")</f>
        <v>ABDPLRBA/AB039</v>
      </c>
      <c r="C10384" s="42" t="str">
        <f>IFERROR(__xludf.DUMMYFUNCTION("""COMPUTED_VALUE"""),"M 1358/BAKUNG")</f>
        <v>M 1358/BAKUNG</v>
      </c>
      <c r="D10384" s="42"/>
      <c r="E10384" s="42"/>
      <c r="F10384" s="48" t="str">
        <f>IFERROR(__xludf.DUMMYFUNCTION("""COMPUTED_VALUE"""),"")</f>
        <v/>
      </c>
      <c r="G10384" s="42" t="str">
        <f>IFERROR(__xludf.DUMMYFUNCTION("""COMPUTED_VALUE"""),"Balik Nama jual beli")</f>
        <v>Balik Nama jual beli</v>
      </c>
      <c r="H10384" s="42">
        <f t="shared" si="1"/>
        <v>3345</v>
      </c>
    </row>
    <row r="10385" ht="22.5" customHeight="1">
      <c r="B10385" s="42" t="str">
        <f>IFERROR(__xludf.DUMMYFUNCTION("""COMPUTED_VALUE"""),"ABVBUHZB/AB039")</f>
        <v>ABVBUHZB/AB039</v>
      </c>
      <c r="C10385" s="42" t="str">
        <f>IFERROR(__xludf.DUMMYFUNCTION("""COMPUTED_VALUE"""),"M. 1359/BAKUNG")</f>
        <v>M. 1359/BAKUNG</v>
      </c>
      <c r="D10385" s="42"/>
      <c r="E10385" s="42"/>
      <c r="F10385" s="48" t="str">
        <f>IFERROR(__xludf.DUMMYFUNCTION("""COMPUTED_VALUE"""),"")</f>
        <v/>
      </c>
      <c r="G10385" s="42" t="str">
        <f>IFERROR(__xludf.DUMMYFUNCTION("""COMPUTED_VALUE"""),"Balik Nama jual beli")</f>
        <v>Balik Nama jual beli</v>
      </c>
      <c r="H10385" s="42">
        <f t="shared" si="1"/>
        <v>3345</v>
      </c>
    </row>
    <row r="10386" ht="22.5" customHeight="1">
      <c r="B10386" s="42" t="str">
        <f>IFERROR(__xludf.DUMMYFUNCTION("""COMPUTED_VALUE"""),"ABPCYKUY/AB039")</f>
        <v>ABPCYKUY/AB039</v>
      </c>
      <c r="C10386" s="42" t="str">
        <f>IFERROR(__xludf.DUMMYFUNCTION("""COMPUTED_VALUE"""),"M. 1355/BAKUNG")</f>
        <v>M. 1355/BAKUNG</v>
      </c>
      <c r="D10386" s="42"/>
      <c r="E10386" s="42"/>
      <c r="F10386" s="48" t="str">
        <f>IFERROR(__xludf.DUMMYFUNCTION("""COMPUTED_VALUE"""),"")</f>
        <v/>
      </c>
      <c r="G10386" s="42" t="str">
        <f>IFERROR(__xludf.DUMMYFUNCTION("""COMPUTED_VALUE"""),"Balik Nama jual beli")</f>
        <v>Balik Nama jual beli</v>
      </c>
      <c r="H10386" s="42">
        <f t="shared" si="1"/>
        <v>3345</v>
      </c>
    </row>
    <row r="10387" ht="22.5" customHeight="1">
      <c r="B10387" s="42" t="str">
        <f>IFERROR(__xludf.DUMMYFUNCTION("""COMPUTED_VALUE"""),"ABSROFLD/AB039")</f>
        <v>ABSROFLD/AB039</v>
      </c>
      <c r="C10387" s="42" t="str">
        <f>IFERROR(__xludf.DUMMYFUNCTION("""COMPUTED_VALUE"""),"M. 1137/BAKUNG")</f>
        <v>M. 1137/BAKUNG</v>
      </c>
      <c r="D10387" s="42"/>
      <c r="E10387" s="42"/>
      <c r="F10387" s="48" t="str">
        <f>IFERROR(__xludf.DUMMYFUNCTION("""COMPUTED_VALUE"""),"")</f>
        <v/>
      </c>
      <c r="G10387" s="42" t="str">
        <f>IFERROR(__xludf.DUMMYFUNCTION("""COMPUTED_VALUE"""),"Balik Nama jual beli")</f>
        <v>Balik Nama jual beli</v>
      </c>
      <c r="H10387" s="42">
        <f t="shared" si="1"/>
        <v>3345</v>
      </c>
    </row>
    <row r="10388" ht="22.5" customHeight="1">
      <c r="B10388" s="42" t="str">
        <f>IFERROR(__xludf.DUMMYFUNCTION("""COMPUTED_VALUE"""),"ABHRBBAN/AB039")</f>
        <v>ABHRBBAN/AB039</v>
      </c>
      <c r="C10388" s="42" t="str">
        <f>IFERROR(__xludf.DUMMYFUNCTION("""COMPUTED_VALUE"""),"M. 1184/BAKUNG")</f>
        <v>M. 1184/BAKUNG</v>
      </c>
      <c r="D10388" s="42"/>
      <c r="E10388" s="42"/>
      <c r="F10388" s="48" t="str">
        <f>IFERROR(__xludf.DUMMYFUNCTION("""COMPUTED_VALUE"""),"")</f>
        <v/>
      </c>
      <c r="G10388" s="42" t="str">
        <f>IFERROR(__xludf.DUMMYFUNCTION("""COMPUTED_VALUE"""),"Balik Nama jual beli")</f>
        <v>Balik Nama jual beli</v>
      </c>
      <c r="H10388" s="42">
        <f t="shared" si="1"/>
        <v>3345</v>
      </c>
    </row>
    <row r="10389" ht="22.5" customHeight="1">
      <c r="B10389" s="42" t="str">
        <f>IFERROR(__xludf.DUMMYFUNCTION("""COMPUTED_VALUE"""),"abukettm")</f>
        <v>abukettm</v>
      </c>
      <c r="C10389" s="42" t="str">
        <f>IFERROR(__xludf.DUMMYFUNCTION("""COMPUTED_VALUE"""),"Nib 17983.0")</f>
        <v>Nib 17983.0</v>
      </c>
      <c r="D10389" s="42"/>
      <c r="E10389" s="42"/>
      <c r="F10389" s="48" t="str">
        <f>IFERROR(__xludf.DUMMYFUNCTION("""COMPUTED_VALUE"""),"")</f>
        <v/>
      </c>
      <c r="G10389" s="42" t="str">
        <f>IFERROR(__xludf.DUMMYFUNCTION("""COMPUTED_VALUE"""),"Balik nama")</f>
        <v>Balik nama</v>
      </c>
      <c r="H10389" s="42">
        <f t="shared" si="1"/>
        <v>3345</v>
      </c>
    </row>
    <row r="10390" ht="22.5" customHeight="1">
      <c r="B10390" s="42" t="str">
        <f>IFERROR(__xludf.DUMMYFUNCTION("""COMPUTED_VALUE"""),"abxdrhwj ")</f>
        <v>abxdrhwj </v>
      </c>
      <c r="C10390" s="42" t="str">
        <f>IFERROR(__xludf.DUMMYFUNCTION("""COMPUTED_VALUE"""),"Nib 17968")</f>
        <v>Nib 17968</v>
      </c>
      <c r="D10390" s="42"/>
      <c r="E10390" s="42"/>
      <c r="F10390" s="48" t="str">
        <f>IFERROR(__xludf.DUMMYFUNCTION("""COMPUTED_VALUE"""),"")</f>
        <v/>
      </c>
      <c r="G10390" s="42" t="str">
        <f>IFERROR(__xludf.DUMMYFUNCTION("""COMPUTED_VALUE"""),"Balik nama")</f>
        <v>Balik nama</v>
      </c>
      <c r="H10390" s="42">
        <f t="shared" si="1"/>
        <v>3345</v>
      </c>
    </row>
    <row r="10391" ht="22.5" customHeight="1">
      <c r="B10391" s="42" t="str">
        <f>IFERROR(__xludf.DUMMYFUNCTION("""COMPUTED_VALUE"""),"ABHUIJKE")</f>
        <v>ABHUIJKE</v>
      </c>
      <c r="C10391" s="42" t="str">
        <f>IFERROR(__xludf.DUMMYFUNCTION("""COMPUTED_VALUE"""),"NIBEL M 21264/ PALAPA")</f>
        <v>NIBEL M 21264/ PALAPA</v>
      </c>
      <c r="D10391" s="42"/>
      <c r="E10391" s="42"/>
      <c r="F10391" s="48" t="str">
        <f>IFERROR(__xludf.DUMMYFUNCTION("""COMPUTED_VALUE"""),"")</f>
        <v/>
      </c>
      <c r="G10391" s="42" t="str">
        <f>IFERROR(__xludf.DUMMYFUNCTION("""COMPUTED_VALUE"""),"BN JUAL BELI")</f>
        <v>BN JUAL BELI</v>
      </c>
      <c r="H10391" s="42">
        <f t="shared" si="1"/>
        <v>3345</v>
      </c>
    </row>
    <row r="10392" ht="22.5" customHeight="1">
      <c r="B10392" s="42" t="str">
        <f>IFERROR(__xludf.DUMMYFUNCTION("""COMPUTED_VALUE"""),"K/24/241225/1")</f>
        <v>K/24/241225/1</v>
      </c>
      <c r="C10392" s="42" t="str">
        <f>IFERROR(__xludf.DUMMYFUNCTION("""COMPUTED_VALUE"""),"M. 2011/SUMBEREJO SEJAHTERA")</f>
        <v>M. 2011/SUMBEREJO SEJAHTERA</v>
      </c>
      <c r="D10392" s="42"/>
      <c r="E10392" s="42"/>
      <c r="F10392" s="48" t="str">
        <f>IFERROR(__xludf.DUMMYFUNCTION("""COMPUTED_VALUE"""),"")</f>
        <v/>
      </c>
      <c r="G10392" s="42" t="str">
        <f>IFERROR(__xludf.DUMMYFUNCTION("""COMPUTED_VALUE"""),"PEMECAHAN")</f>
        <v>PEMECAHAN</v>
      </c>
      <c r="H10392" s="42">
        <f t="shared" si="1"/>
        <v>3345</v>
      </c>
    </row>
    <row r="10393" ht="22.5" customHeight="1">
      <c r="B10393" s="42" t="str">
        <f>IFERROR(__xludf.DUMMYFUNCTION("""COMPUTED_VALUE"""),"K/3/291225/1")</f>
        <v>K/3/291225/1</v>
      </c>
      <c r="C10393" s="42" t="str">
        <f>IFERROR(__xludf.DUMMYFUNCTION("""COMPUTED_VALUE"""),"M. 10940/RAJABASA")</f>
        <v>M. 10940/RAJABASA</v>
      </c>
      <c r="D10393" s="42"/>
      <c r="E10393" s="42"/>
      <c r="F10393" s="48" t="str">
        <f>IFERROR(__xludf.DUMMYFUNCTION("""COMPUTED_VALUE"""),"")</f>
        <v/>
      </c>
      <c r="G10393" s="42" t="str">
        <f>IFERROR(__xludf.DUMMYFUNCTION("""COMPUTED_VALUE"""),"SKPT INFORMASI")</f>
        <v>SKPT INFORMASI</v>
      </c>
      <c r="H10393" s="42">
        <f t="shared" si="1"/>
        <v>3345</v>
      </c>
    </row>
    <row r="10394" ht="22.5" customHeight="1">
      <c r="B10394" s="42" t="str">
        <f>IFERROR(__xludf.DUMMYFUNCTION("""COMPUTED_VALUE"""),"K/4/291225/1")</f>
        <v>K/4/291225/1</v>
      </c>
      <c r="C10394" s="42" t="str">
        <f>IFERROR(__xludf.DUMMYFUNCTION("""COMPUTED_VALUE"""),"M. 1734/ BUMI KEDAMAIAN")</f>
        <v>M. 1734/ BUMI KEDAMAIAN</v>
      </c>
      <c r="D10394" s="42"/>
      <c r="E10394" s="42"/>
      <c r="F10394" s="48" t="str">
        <f>IFERROR(__xludf.DUMMYFUNCTION("""COMPUTED_VALUE"""),"")</f>
        <v/>
      </c>
      <c r="G10394" s="42" t="str">
        <f>IFERROR(__xludf.DUMMYFUNCTION("""COMPUTED_VALUE"""),"BN WARIS")</f>
        <v>BN WARIS</v>
      </c>
      <c r="H10394" s="42">
        <f t="shared" si="1"/>
        <v>3345</v>
      </c>
    </row>
    <row r="10395" ht="22.5" customHeight="1">
      <c r="B10395" s="42" t="str">
        <f>IFERROR(__xludf.DUMMYFUNCTION("""COMPUTED_VALUE"""),"ABDQRELN")</f>
        <v>ABDQRELN</v>
      </c>
      <c r="C10395" s="42" t="str">
        <f>IFERROR(__xludf.DUMMYFUNCTION("""COMPUTED_VALUE"""),"M 1993/ KOTA KARANG")</f>
        <v>M 1993/ KOTA KARANG</v>
      </c>
      <c r="D10395" s="42"/>
      <c r="E10395" s="42"/>
      <c r="F10395" s="48" t="str">
        <f>IFERROR(__xludf.DUMMYFUNCTION("""COMPUTED_VALUE"""),"")</f>
        <v/>
      </c>
      <c r="G10395" s="42" t="str">
        <f>IFERROR(__xludf.DUMMYFUNCTION("""COMPUTED_VALUE"""),"Peralihan hak WARIS")</f>
        <v>Peralihan hak WARIS</v>
      </c>
      <c r="H10395" s="42">
        <f t="shared" si="1"/>
        <v>3345</v>
      </c>
    </row>
    <row r="10396" ht="22.5" customHeight="1">
      <c r="B10396" s="42" t="str">
        <f>IFERROR(__xludf.DUMMYFUNCTION("""COMPUTED_VALUE"""),"ABRSHAQZ/AB066")</f>
        <v>ABRSHAQZ/AB066</v>
      </c>
      <c r="C10396" s="42" t="str">
        <f>IFERROR(__xludf.DUMMYFUNCTION("""COMPUTED_VALUE"""),"M. 2873/Way Laga")</f>
        <v>M. 2873/Way Laga</v>
      </c>
      <c r="D10396" s="42"/>
      <c r="E10396" s="42"/>
      <c r="F10396" s="48" t="str">
        <f>IFERROR(__xludf.DUMMYFUNCTION("""COMPUTED_VALUE"""),"")</f>
        <v/>
      </c>
      <c r="G10396" s="42" t="str">
        <f>IFERROR(__xludf.DUMMYFUNCTION("""COMPUTED_VALUE"""),"Balik Nama jual beli")</f>
        <v>Balik Nama jual beli</v>
      </c>
      <c r="H10396" s="42">
        <f t="shared" si="1"/>
        <v>3345</v>
      </c>
    </row>
    <row r="10397" ht="22.5" customHeight="1">
      <c r="B10397" s="42" t="str">
        <f>IFERROR(__xludf.DUMMYFUNCTION("""COMPUTED_VALUE"""),"L/5/291225/1")</f>
        <v>L/5/291225/1</v>
      </c>
      <c r="C10397" s="42" t="str">
        <f>IFERROR(__xludf.DUMMYFUNCTION("""COMPUTED_VALUE"""),"SHM NIB. 25826/GUNUNG TERANG")</f>
        <v>SHM NIB. 25826/GUNUNG TERANG</v>
      </c>
      <c r="D10397" s="42"/>
      <c r="E10397" s="42"/>
      <c r="F10397" s="48" t="str">
        <f>IFERROR(__xludf.DUMMYFUNCTION("""COMPUTED_VALUE"""),"")</f>
        <v/>
      </c>
      <c r="G10397" s="42" t="str">
        <f>IFERROR(__xludf.DUMMYFUNCTION("""COMPUTED_VALUE"""),"PEMECAHAN")</f>
        <v>PEMECAHAN</v>
      </c>
      <c r="H10397" s="42">
        <f t="shared" si="1"/>
        <v>3345</v>
      </c>
    </row>
    <row r="10398" ht="22.5" customHeight="1">
      <c r="B10398" s="42" t="str">
        <f>IFERROR(__xludf.DUMMYFUNCTION("""COMPUTED_VALUE"""),"L/6/291225/1")</f>
        <v>L/6/291225/1</v>
      </c>
      <c r="C10398" s="42" t="str">
        <f>IFERROR(__xludf.DUMMYFUNCTION("""COMPUTED_VALUE"""),"B NIB. 25980/RAJABASA NUNYAI")</f>
        <v>B NIB. 25980/RAJABASA NUNYAI</v>
      </c>
      <c r="D10398" s="42"/>
      <c r="E10398" s="42"/>
      <c r="F10398" s="48" t="str">
        <f>IFERROR(__xludf.DUMMYFUNCTION("""COMPUTED_VALUE"""),"")</f>
        <v/>
      </c>
      <c r="G10398" s="42" t="str">
        <f>IFERROR(__xludf.DUMMYFUNCTION("""COMPUTED_VALUE"""),"PENINGKATAN HAK")</f>
        <v>PENINGKATAN HAK</v>
      </c>
      <c r="H10398" s="42">
        <f t="shared" si="1"/>
        <v>3345</v>
      </c>
    </row>
    <row r="10399" ht="22.5" customHeight="1">
      <c r="B10399" s="42" t="str">
        <f>IFERROR(__xludf.DUMMYFUNCTION("""COMPUTED_VALUE"""),"L/7/291225/1")</f>
        <v>L/7/291225/1</v>
      </c>
      <c r="C10399" s="42" t="str">
        <f>IFERROR(__xludf.DUMMYFUNCTION("""COMPUTED_VALUE"""),"M. 13356/RAJABASA")</f>
        <v>M. 13356/RAJABASA</v>
      </c>
      <c r="D10399" s="42"/>
      <c r="E10399" s="42"/>
      <c r="F10399" s="48" t="str">
        <f>IFERROR(__xludf.DUMMYFUNCTION("""COMPUTED_VALUE"""),"")</f>
        <v/>
      </c>
      <c r="G10399" s="42" t="str">
        <f>IFERROR(__xludf.DUMMYFUNCTION("""COMPUTED_VALUE"""),"ROYA")</f>
        <v>ROYA</v>
      </c>
      <c r="H10399" s="42">
        <f t="shared" si="1"/>
        <v>3345</v>
      </c>
    </row>
    <row r="10400" ht="22.5" customHeight="1">
      <c r="B10400" s="42" t="str">
        <f>IFERROR(__xludf.DUMMYFUNCTION("""COMPUTED_VALUE"""),"ABTPZDGK")</f>
        <v>ABTPZDGK</v>
      </c>
      <c r="C10400" s="42" t="str">
        <f>IFERROR(__xludf.DUMMYFUNCTION("""COMPUTED_VALUE"""),"NIBEL M 25095/ Gedong Air")</f>
        <v>NIBEL M 25095/ Gedong Air</v>
      </c>
      <c r="D10400" s="42"/>
      <c r="E10400" s="42"/>
      <c r="F10400" s="48" t="str">
        <f>IFERROR(__xludf.DUMMYFUNCTION("""COMPUTED_VALUE"""),"")</f>
        <v/>
      </c>
      <c r="G10400" s="42" t="str">
        <f>IFERROR(__xludf.DUMMYFUNCTION("""COMPUTED_VALUE"""),"BN JUAL BELI")</f>
        <v>BN JUAL BELI</v>
      </c>
      <c r="H10400" s="42">
        <f t="shared" si="1"/>
        <v>3345</v>
      </c>
    </row>
    <row r="10401" ht="22.5" customHeight="1">
      <c r="B10401" s="42" t="str">
        <f>IFERROR(__xludf.DUMMYFUNCTION("""COMPUTED_VALUE"""),"AB 008/ABKHXFFD")</f>
        <v>AB 008/ABKHXFFD</v>
      </c>
      <c r="C10401" s="42" t="str">
        <f>IFERROR(__xludf.DUMMYFUNCTION("""COMPUTED_VALUE"""),"NIB 08010000255660")</f>
        <v>NIB 08010000255660</v>
      </c>
      <c r="D10401" s="42"/>
      <c r="E10401" s="42"/>
      <c r="F10401" s="48" t="str">
        <f>IFERROR(__xludf.DUMMYFUNCTION("""COMPUTED_VALUE"""),"")</f>
        <v/>
      </c>
      <c r="G10401" s="42" t="str">
        <f>IFERROR(__xludf.DUMMYFUNCTION("""COMPUTED_VALUE"""),"Peningkatan hak milik")</f>
        <v>Peningkatan hak milik</v>
      </c>
      <c r="H10401" s="42">
        <f t="shared" si="1"/>
        <v>3345</v>
      </c>
    </row>
    <row r="10402" ht="22.5" customHeight="1">
      <c r="B10402" s="42" t="str">
        <f>IFERROR(__xludf.DUMMYFUNCTION("""COMPUTED_VALUE"""),"AB011 ABNILFIE")</f>
        <v>AB011 ABNILFIE</v>
      </c>
      <c r="C10402" s="42" t="str">
        <f>IFERROR(__xludf.DUMMYFUNCTION("""COMPUTED_VALUE"""),"SHM EL NIB 08.01.000025383.0/Langkapura Baru an Sukardi")</f>
        <v>SHM EL NIB 08.01.000025383.0/Langkapura Baru an Sukardi</v>
      </c>
      <c r="D10402" s="42"/>
      <c r="E10402" s="42"/>
      <c r="F10402" s="48" t="str">
        <f>IFERROR(__xludf.DUMMYFUNCTION("""COMPUTED_VALUE"""),"")</f>
        <v/>
      </c>
      <c r="G10402" s="42" t="str">
        <f>IFERROR(__xludf.DUMMYFUNCTION("""COMPUTED_VALUE"""),"Balik Nama Waris")</f>
        <v>Balik Nama Waris</v>
      </c>
      <c r="H10402" s="42">
        <f t="shared" si="1"/>
        <v>3345</v>
      </c>
    </row>
    <row r="10403" ht="22.5" customHeight="1">
      <c r="B10403" s="42" t="str">
        <f>IFERROR(__xludf.DUMMYFUNCTION("""COMPUTED_VALUE"""),"ABXVJNTW")</f>
        <v>ABXVJNTW</v>
      </c>
      <c r="C10403" s="42" t="str">
        <f>IFERROR(__xludf.DUMMYFUNCTION("""COMPUTED_VALUE"""),"M.1360/Bumi Kedamaian")</f>
        <v>M.1360/Bumi Kedamaian</v>
      </c>
      <c r="D10403" s="42"/>
      <c r="E10403" s="42"/>
      <c r="F10403" s="48" t="str">
        <f>IFERROR(__xludf.DUMMYFUNCTION("""COMPUTED_VALUE"""),"")</f>
        <v/>
      </c>
      <c r="G10403" s="42" t="str">
        <f>IFERROR(__xludf.DUMMYFUNCTION("""COMPUTED_VALUE"""),"BALIK NAMA (AJB)")</f>
        <v>BALIK NAMA (AJB)</v>
      </c>
      <c r="H10403" s="42">
        <f t="shared" si="1"/>
        <v>3345</v>
      </c>
    </row>
    <row r="10404" ht="22.5" customHeight="1">
      <c r="B10404" s="42" t="str">
        <f>IFERROR(__xludf.DUMMYFUNCTION("""COMPUTED_VALUE"""),"ABZJJBWX/ABO36")</f>
        <v>ABZJJBWX/ABO36</v>
      </c>
      <c r="C10404" s="42" t="str">
        <f>IFERROR(__xludf.DUMMYFUNCTION("""COMPUTED_VALUE"""),"M. NIBEL 19792/Susunan Baru")</f>
        <v>M. NIBEL 19792/Susunan Baru</v>
      </c>
      <c r="D10404" s="42"/>
      <c r="E10404" s="42"/>
      <c r="F10404" s="48" t="str">
        <f>IFERROR(__xludf.DUMMYFUNCTION("""COMPUTED_VALUE"""),"")</f>
        <v/>
      </c>
      <c r="G10404" s="42" t="str">
        <f>IFERROR(__xludf.DUMMYFUNCTION("""COMPUTED_VALUE"""),"Balik Nama")</f>
        <v>Balik Nama</v>
      </c>
      <c r="H10404" s="42">
        <f t="shared" si="1"/>
        <v>3345</v>
      </c>
    </row>
    <row r="10405" ht="22.5" customHeight="1">
      <c r="B10405" s="42" t="str">
        <f>IFERROR(__xludf.DUMMYFUNCTION("""COMPUTED_VALUE"""),"ABGURFWG")</f>
        <v>ABGURFWG</v>
      </c>
      <c r="C10405" s="42" t="str">
        <f>IFERROR(__xludf.DUMMYFUNCTION("""COMPUTED_VALUE"""),"Shm no. 14823/Rajabasa")</f>
        <v>Shm no. 14823/Rajabasa</v>
      </c>
      <c r="D10405" s="42"/>
      <c r="E10405" s="42"/>
      <c r="F10405" s="48" t="str">
        <f>IFERROR(__xludf.DUMMYFUNCTION("""COMPUTED_VALUE"""),"")</f>
        <v/>
      </c>
      <c r="G10405" s="42" t="str">
        <f>IFERROR(__xludf.DUMMYFUNCTION("""COMPUTED_VALUE"""),"Hibah")</f>
        <v>Hibah</v>
      </c>
      <c r="H10405" s="42">
        <f t="shared" si="1"/>
        <v>3345</v>
      </c>
    </row>
    <row r="10406" ht="22.5" customHeight="1">
      <c r="B10406" s="42" t="str">
        <f>IFERROR(__xludf.DUMMYFUNCTION("""COMPUTED_VALUE"""),"AB037/ABNUSSRU")</f>
        <v>AB037/ABNUSSRU</v>
      </c>
      <c r="C10406" s="42" t="str">
        <f>IFERROR(__xludf.DUMMYFUNCTION("""COMPUTED_VALUE"""),"M.10658/sukamenanti")</f>
        <v>M.10658/sukamenanti</v>
      </c>
      <c r="D10406" s="42"/>
      <c r="E10406" s="42"/>
      <c r="F10406" s="48" t="str">
        <f>IFERROR(__xludf.DUMMYFUNCTION("""COMPUTED_VALUE"""),"")</f>
        <v/>
      </c>
      <c r="G10406" s="42" t="str">
        <f>IFERROR(__xludf.DUMMYFUNCTION("""COMPUTED_VALUE"""),"Hibah")</f>
        <v>Hibah</v>
      </c>
      <c r="H10406" s="42">
        <f t="shared" si="1"/>
        <v>3345</v>
      </c>
    </row>
    <row r="10407" ht="22.5" customHeight="1">
      <c r="B10407" s="42" t="str">
        <f>IFERROR(__xludf.DUMMYFUNCTION("""COMPUTED_VALUE"""),"AB037/ABQLPPUU")</f>
        <v>AB037/ABQLPPUU</v>
      </c>
      <c r="C10407" s="42" t="str">
        <f>IFERROR(__xludf.DUMMYFUNCTION("""COMPUTED_VALUE"""),"M.1182/GA")</f>
        <v>M.1182/GA</v>
      </c>
      <c r="D10407" s="42"/>
      <c r="E10407" s="42"/>
      <c r="F10407" s="48" t="str">
        <f>IFERROR(__xludf.DUMMYFUNCTION("""COMPUTED_VALUE"""),"")</f>
        <v/>
      </c>
      <c r="G10407" s="42" t="str">
        <f>IFERROR(__xludf.DUMMYFUNCTION("""COMPUTED_VALUE"""),"Waris")</f>
        <v>Waris</v>
      </c>
      <c r="H10407" s="42">
        <f t="shared" si="1"/>
        <v>3345</v>
      </c>
    </row>
    <row r="10408" ht="22.5" customHeight="1">
      <c r="B10408" s="42" t="str">
        <f>IFERROR(__xludf.DUMMYFUNCTION("""COMPUTED_VALUE"""),"AB037/ABXIAAKI")</f>
        <v>AB037/ABXIAAKI</v>
      </c>
      <c r="C10408" s="42" t="str">
        <f>IFERROR(__xludf.DUMMYFUNCTION("""COMPUTED_VALUE"""),"M.4626/KETEGUHAN")</f>
        <v>M.4626/KETEGUHAN</v>
      </c>
      <c r="D10408" s="42"/>
      <c r="E10408" s="42"/>
      <c r="F10408" s="48" t="str">
        <f>IFERROR(__xludf.DUMMYFUNCTION("""COMPUTED_VALUE"""),"")</f>
        <v/>
      </c>
      <c r="G10408" s="42" t="str">
        <f>IFERROR(__xludf.DUMMYFUNCTION("""COMPUTED_VALUE"""),"BN")</f>
        <v>BN</v>
      </c>
      <c r="H10408" s="42">
        <f t="shared" si="1"/>
        <v>3345</v>
      </c>
    </row>
    <row r="10409" ht="22.5" customHeight="1">
      <c r="B10409" s="42" t="str">
        <f>IFERROR(__xludf.DUMMYFUNCTION("""COMPUTED_VALUE"""),"ABMYDAYG")</f>
        <v>ABMYDAYG</v>
      </c>
      <c r="C10409" s="42" t="str">
        <f>IFERROR(__xludf.DUMMYFUNCTION("""COMPUTED_VALUE"""),"M.533/Sr")</f>
        <v>M.533/Sr</v>
      </c>
      <c r="D10409" s="42"/>
      <c r="E10409" s="42"/>
      <c r="F10409" s="48" t="str">
        <f>IFERROR(__xludf.DUMMYFUNCTION("""COMPUTED_VALUE"""),"")</f>
        <v/>
      </c>
      <c r="G10409" s="42" t="str">
        <f>IFERROR(__xludf.DUMMYFUNCTION("""COMPUTED_VALUE"""),"Hibah")</f>
        <v>Hibah</v>
      </c>
      <c r="H10409" s="42">
        <f t="shared" si="1"/>
        <v>3345</v>
      </c>
    </row>
    <row r="10410" ht="22.5" customHeight="1">
      <c r="B10410" s="42" t="str">
        <f>IFERROR(__xludf.DUMMYFUNCTION("""COMPUTED_VALUE"""),"K/1/301225/1")</f>
        <v>K/1/301225/1</v>
      </c>
      <c r="C10410" s="42" t="str">
        <f>IFERROR(__xludf.DUMMYFUNCTION("""COMPUTED_VALUE"""),"M. 992/LANGKAPURA BARU")</f>
        <v>M. 992/LANGKAPURA BARU</v>
      </c>
      <c r="D10410" s="42"/>
      <c r="E10410" s="42"/>
      <c r="F10410" s="48" t="str">
        <f>IFERROR(__xludf.DUMMYFUNCTION("""COMPUTED_VALUE"""),"")</f>
        <v/>
      </c>
      <c r="G10410" s="42" t="str">
        <f>IFERROR(__xludf.DUMMYFUNCTION("""COMPUTED_VALUE"""),"PTPGT PEMECAHAN")</f>
        <v>PTPGT PEMECAHAN</v>
      </c>
      <c r="H10410" s="42">
        <f t="shared" si="1"/>
        <v>3345</v>
      </c>
    </row>
    <row r="10411" ht="22.5" customHeight="1">
      <c r="B10411" s="42" t="str">
        <f>IFERROR(__xludf.DUMMYFUNCTION("""COMPUTED_VALUE"""),"K/2/301225/1")</f>
        <v>K/2/301225/1</v>
      </c>
      <c r="C10411" s="42" t="str">
        <f>IFERROR(__xludf.DUMMYFUNCTION("""COMPUTED_VALUE"""),"LABUHAN RATU")</f>
        <v>LABUHAN RATU</v>
      </c>
      <c r="D10411" s="42"/>
      <c r="E10411" s="42"/>
      <c r="F10411" s="48" t="str">
        <f>IFERROR(__xludf.DUMMYFUNCTION("""COMPUTED_VALUE"""),"")</f>
        <v/>
      </c>
      <c r="G10411" s="42" t="str">
        <f>IFERROR(__xludf.DUMMYFUNCTION("""COMPUTED_VALUE"""),"PENGUKURAN PERTAMA KALI")</f>
        <v>PENGUKURAN PERTAMA KALI</v>
      </c>
      <c r="H10411" s="42">
        <f t="shared" si="1"/>
        <v>3345</v>
      </c>
    </row>
    <row r="10412" ht="22.5" customHeight="1">
      <c r="B10412" s="42" t="str">
        <f>IFERROR(__xludf.DUMMYFUNCTION("""COMPUTED_VALUE"""),"K/3/301225/1")</f>
        <v>K/3/301225/1</v>
      </c>
      <c r="C10412" s="42" t="str">
        <f>IFERROR(__xludf.DUMMYFUNCTION("""COMPUTED_VALUE"""),"PBT. 186/2025 TELUKBETUNG")</f>
        <v>PBT. 186/2025 TELUKBETUNG</v>
      </c>
      <c r="D10412" s="42"/>
      <c r="E10412" s="42"/>
      <c r="F10412" s="48" t="str">
        <f>IFERROR(__xludf.DUMMYFUNCTION("""COMPUTED_VALUE"""),"")</f>
        <v/>
      </c>
      <c r="G10412" s="42" t="str">
        <f>IFERROR(__xludf.DUMMYFUNCTION("""COMPUTED_VALUE"""),"PERMOHONAN SK")</f>
        <v>PERMOHONAN SK</v>
      </c>
      <c r="H10412" s="42">
        <f t="shared" si="1"/>
        <v>3345</v>
      </c>
    </row>
    <row r="10413" ht="22.5" customHeight="1">
      <c r="B10413" s="42" t="str">
        <f>IFERROR(__xludf.DUMMYFUNCTION("""COMPUTED_VALUE"""),"K/4/301225/1")</f>
        <v>K/4/301225/1</v>
      </c>
      <c r="C10413" s="42" t="str">
        <f>IFERROR(__xludf.DUMMYFUNCTION("""COMPUTED_VALUE"""),"M. 1438/DURIAN PAYUNG")</f>
        <v>M. 1438/DURIAN PAYUNG</v>
      </c>
      <c r="D10413" s="42"/>
      <c r="E10413" s="42"/>
      <c r="F10413" s="48" t="str">
        <f>IFERROR(__xludf.DUMMYFUNCTION("""COMPUTED_VALUE"""),"")</f>
        <v/>
      </c>
      <c r="G10413" s="42" t="str">
        <f>IFERROR(__xludf.DUMMYFUNCTION("""COMPUTED_VALUE"""),"PERUBAHAN HAK")</f>
        <v>PERUBAHAN HAK</v>
      </c>
      <c r="H10413" s="42">
        <f t="shared" si="1"/>
        <v>3345</v>
      </c>
    </row>
    <row r="10414" ht="22.5" customHeight="1">
      <c r="B10414" s="42" t="str">
        <f>IFERROR(__xludf.DUMMYFUNCTION("""COMPUTED_VALUE"""),"K/5/301225/1")</f>
        <v>K/5/301225/1</v>
      </c>
      <c r="C10414" s="42" t="str">
        <f>IFERROR(__xludf.DUMMYFUNCTION("""COMPUTED_VALUE"""),"KOTA BARU")</f>
        <v>KOTA BARU</v>
      </c>
      <c r="D10414" s="42"/>
      <c r="E10414" s="42"/>
      <c r="F10414" s="48" t="str">
        <f>IFERROR(__xludf.DUMMYFUNCTION("""COMPUTED_VALUE"""),"")</f>
        <v/>
      </c>
      <c r="G10414" s="42" t="str">
        <f>IFERROR(__xludf.DUMMYFUNCTION("""COMPUTED_VALUE"""),"PENGUKURAN PERTAMA KALI")</f>
        <v>PENGUKURAN PERTAMA KALI</v>
      </c>
      <c r="H10414" s="42">
        <f t="shared" si="1"/>
        <v>3345</v>
      </c>
    </row>
    <row r="10415" ht="22.5" customHeight="1">
      <c r="B10415" s="42" t="str">
        <f>IFERROR(__xludf.DUMMYFUNCTION("""COMPUTED_VALUE"""),"K/6/301225/1")</f>
        <v>K/6/301225/1</v>
      </c>
      <c r="C10415" s="42" t="str">
        <f>IFERROR(__xludf.DUMMYFUNCTION("""COMPUTED_VALUE"""),"M. 846/PERUMNAS WAY KANDIS")</f>
        <v>M. 846/PERUMNAS WAY KANDIS</v>
      </c>
      <c r="D10415" s="42"/>
      <c r="E10415" s="42"/>
      <c r="F10415" s="48" t="str">
        <f>IFERROR(__xludf.DUMMYFUNCTION("""COMPUTED_VALUE"""),"")</f>
        <v/>
      </c>
      <c r="G10415" s="42" t="str">
        <f>IFERROR(__xludf.DUMMYFUNCTION("""COMPUTED_VALUE"""),"BN WARIS")</f>
        <v>BN WARIS</v>
      </c>
      <c r="H10415" s="42">
        <f t="shared" si="1"/>
        <v>3345</v>
      </c>
    </row>
    <row r="10416" ht="22.5" customHeight="1">
      <c r="B10416" s="42" t="str">
        <f>IFERROR(__xludf.DUMMYFUNCTION("""COMPUTED_VALUE"""),"ABWJFHOA/Ab065")</f>
        <v>ABWJFHOA/Ab065</v>
      </c>
      <c r="C10416" s="42" t="str">
        <f>IFERROR(__xludf.DUMMYFUNCTION("""COMPUTED_VALUE"""),"463/sawah lama")</f>
        <v>463/sawah lama</v>
      </c>
      <c r="D10416" s="42"/>
      <c r="E10416" s="42"/>
      <c r="F10416" s="48" t="str">
        <f>IFERROR(__xludf.DUMMYFUNCTION("""COMPUTED_VALUE"""),"")</f>
        <v/>
      </c>
      <c r="G10416" s="42" t="str">
        <f>IFERROR(__xludf.DUMMYFUNCTION("""COMPUTED_VALUE"""),"Marger bank")</f>
        <v>Marger bank</v>
      </c>
      <c r="H10416" s="42">
        <f t="shared" si="1"/>
        <v>3345</v>
      </c>
    </row>
    <row r="10417" ht="22.5" customHeight="1">
      <c r="B10417" s="42" t="str">
        <f>IFERROR(__xludf.DUMMYFUNCTION("""COMPUTED_VALUE"""),"L/7/301225/1")</f>
        <v>L/7/301225/1</v>
      </c>
      <c r="C10417" s="42" t="str">
        <f>IFERROR(__xludf.DUMMYFUNCTION("""COMPUTED_VALUE"""),"M. 12604/SEGALA MIDER")</f>
        <v>M. 12604/SEGALA MIDER</v>
      </c>
      <c r="D10417" s="42"/>
      <c r="E10417" s="42"/>
      <c r="F10417" s="48" t="str">
        <f>IFERROR(__xludf.DUMMYFUNCTION("""COMPUTED_VALUE"""),"")</f>
        <v/>
      </c>
      <c r="G10417" s="42" t="str">
        <f>IFERROR(__xludf.DUMMYFUNCTION("""COMPUTED_VALUE"""),"ROYA")</f>
        <v>ROYA</v>
      </c>
      <c r="H10417" s="42">
        <f t="shared" si="1"/>
        <v>3345</v>
      </c>
    </row>
    <row r="10418" ht="22.5" customHeight="1">
      <c r="B10418" s="42" t="str">
        <f>IFERROR(__xludf.DUMMYFUNCTION("""COMPUTED_VALUE"""),"ABAUEZNM/Ab065")</f>
        <v>ABAUEZNM/Ab065</v>
      </c>
      <c r="C10418" s="42" t="str">
        <f>IFERROR(__xludf.DUMMYFUNCTION("""COMPUTED_VALUE"""),"330/tanjung gading")</f>
        <v>330/tanjung gading</v>
      </c>
      <c r="D10418" s="42"/>
      <c r="E10418" s="42"/>
      <c r="F10418" s="48" t="str">
        <f>IFERROR(__xludf.DUMMYFUNCTION("""COMPUTED_VALUE"""),"")</f>
        <v/>
      </c>
      <c r="G10418" s="42" t="str">
        <f>IFERROR(__xludf.DUMMYFUNCTION("""COMPUTED_VALUE"""),"Marger bank")</f>
        <v>Marger bank</v>
      </c>
      <c r="H10418" s="42">
        <f t="shared" si="1"/>
        <v>3345</v>
      </c>
    </row>
    <row r="10419" ht="22.5" customHeight="1">
      <c r="B10419" s="42" t="str">
        <f>IFERROR(__xludf.DUMMYFUNCTION("""COMPUTED_VALUE"""),"ABHCMTBX/Ab065")</f>
        <v>ABHCMTBX/Ab065</v>
      </c>
      <c r="C10419" s="42" t="str">
        <f>IFERROR(__xludf.DUMMYFUNCTION("""COMPUTED_VALUE"""),"11085/jg II")</f>
        <v>11085/jg II</v>
      </c>
      <c r="D10419" s="42"/>
      <c r="E10419" s="42"/>
      <c r="F10419" s="48" t="str">
        <f>IFERROR(__xludf.DUMMYFUNCTION("""COMPUTED_VALUE"""),"")</f>
        <v/>
      </c>
      <c r="G10419" s="42" t="str">
        <f>IFERROR(__xludf.DUMMYFUNCTION("""COMPUTED_VALUE"""),"Marger bank")</f>
        <v>Marger bank</v>
      </c>
      <c r="H10419" s="42">
        <f t="shared" si="1"/>
        <v>3345</v>
      </c>
    </row>
    <row r="10420" ht="22.5" customHeight="1">
      <c r="B10420" s="42" t="str">
        <f>IFERROR(__xludf.DUMMYFUNCTION("""COMPUTED_VALUE"""),"ABVVLNWS/AB016")</f>
        <v>ABVVLNWS/AB016</v>
      </c>
      <c r="C10420" s="42" t="str">
        <f>IFERROR(__xludf.DUMMYFUNCTION("""COMPUTED_VALUE"""),"M. 1571/Kuripan")</f>
        <v>M. 1571/Kuripan</v>
      </c>
      <c r="D10420" s="42"/>
      <c r="E10420" s="42"/>
      <c r="F10420" s="48" t="str">
        <f>IFERROR(__xludf.DUMMYFUNCTION("""COMPUTED_VALUE"""),"")</f>
        <v/>
      </c>
      <c r="G10420" s="42" t="str">
        <f>IFERROR(__xludf.DUMMYFUNCTION("""COMPUTED_VALUE"""),"Balik Nama jual beli")</f>
        <v>Balik Nama jual beli</v>
      </c>
      <c r="H10420" s="42">
        <f t="shared" si="1"/>
        <v>3345</v>
      </c>
    </row>
    <row r="10421" ht="22.5" customHeight="1">
      <c r="B10421" s="42" t="str">
        <f>IFERROR(__xludf.DUMMYFUNCTION("""COMPUTED_VALUE"""),"ABBQBKBN/AB016")</f>
        <v>ABBQBKBN/AB016</v>
      </c>
      <c r="C10421" s="42" t="str">
        <f>IFERROR(__xludf.DUMMYFUNCTION("""COMPUTED_VALUE"""),"M. NIBEL 26112/Kota Baru")</f>
        <v>M. NIBEL 26112/Kota Baru</v>
      </c>
      <c r="D10421" s="42"/>
      <c r="E10421" s="42"/>
      <c r="F10421" s="48" t="str">
        <f>IFERROR(__xludf.DUMMYFUNCTION("""COMPUTED_VALUE"""),"")</f>
        <v/>
      </c>
      <c r="G10421" s="42" t="str">
        <f>IFERROR(__xludf.DUMMYFUNCTION("""COMPUTED_VALUE"""),"Balik Nama jual beli")</f>
        <v>Balik Nama jual beli</v>
      </c>
      <c r="H10421" s="42">
        <f t="shared" si="1"/>
        <v>3345</v>
      </c>
    </row>
    <row r="10422" ht="22.5" customHeight="1">
      <c r="B10422" s="42" t="str">
        <f>IFERROR(__xludf.DUMMYFUNCTION("""COMPUTED_VALUE"""),"ABWRQLOP")</f>
        <v>ABWRQLOP</v>
      </c>
      <c r="C10422" s="42" t="str">
        <f>IFERROR(__xludf.DUMMYFUNCTION("""COMPUTED_VALUE"""),"M.20395")</f>
        <v>M.20395</v>
      </c>
      <c r="D10422" s="42"/>
      <c r="E10422" s="42"/>
      <c r="F10422" s="48" t="str">
        <f>IFERROR(__xludf.DUMMYFUNCTION("""COMPUTED_VALUE"""),"")</f>
        <v/>
      </c>
      <c r="G10422" s="42" t="str">
        <f>IFERROR(__xludf.DUMMYFUNCTION("""COMPUTED_VALUE"""),"Bn jual beli")</f>
        <v>Bn jual beli</v>
      </c>
      <c r="H10422" s="42">
        <f t="shared" si="1"/>
        <v>3345</v>
      </c>
    </row>
    <row r="10423" ht="22.5" customHeight="1">
      <c r="B10423" s="42" t="str">
        <f>IFERROR(__xludf.DUMMYFUNCTION("""COMPUTED_VALUE"""),"L/8/301225/1")</f>
        <v>L/8/301225/1</v>
      </c>
      <c r="C10423" s="42" t="str">
        <f>IFERROR(__xludf.DUMMYFUNCTION("""COMPUTED_VALUE"""),"B. 25/RAJABASA JAYA")</f>
        <v>B. 25/RAJABASA JAYA</v>
      </c>
      <c r="D10423" s="42"/>
      <c r="E10423" s="42"/>
      <c r="F10423" s="48" t="str">
        <f>IFERROR(__xludf.DUMMYFUNCTION("""COMPUTED_VALUE"""),"")</f>
        <v/>
      </c>
      <c r="G10423" s="42" t="str">
        <f>IFERROR(__xludf.DUMMYFUNCTION("""COMPUTED_VALUE"""),"PENINGKATAN HAK")</f>
        <v>PENINGKATAN HAK</v>
      </c>
      <c r="H10423" s="42">
        <f t="shared" si="1"/>
        <v>3345</v>
      </c>
    </row>
    <row r="10424" ht="22.5" customHeight="1">
      <c r="B10424" s="42" t="str">
        <f>IFERROR(__xludf.DUMMYFUNCTION("""COMPUTED_VALUE"""),"L/9/301225/1")</f>
        <v>L/9/301225/1</v>
      </c>
      <c r="C10424" s="42" t="str">
        <f>IFERROR(__xludf.DUMMYFUNCTION("""COMPUTED_VALUE"""),"B. 588/SUKARAME BARU")</f>
        <v>B. 588/SUKARAME BARU</v>
      </c>
      <c r="D10424" s="42"/>
      <c r="E10424" s="42"/>
      <c r="F10424" s="48" t="str">
        <f>IFERROR(__xludf.DUMMYFUNCTION("""COMPUTED_VALUE"""),"")</f>
        <v/>
      </c>
      <c r="G10424" s="42" t="str">
        <f>IFERROR(__xludf.DUMMYFUNCTION("""COMPUTED_VALUE"""),"PENINGKATAN HAK")</f>
        <v>PENINGKATAN HAK</v>
      </c>
      <c r="H10424" s="42">
        <f t="shared" si="1"/>
        <v>3345</v>
      </c>
    </row>
    <row r="10425" ht="22.5" customHeight="1">
      <c r="B10425" s="42" t="str">
        <f>IFERROR(__xludf.DUMMYFUNCTION("""COMPUTED_VALUE"""),"ABRTKPNT")</f>
        <v>ABRTKPNT</v>
      </c>
      <c r="C10425" s="42" t="str">
        <f>IFERROR(__xludf.DUMMYFUNCTION("""COMPUTED_VALUE"""),"M.2829")</f>
        <v>M.2829</v>
      </c>
      <c r="D10425" s="42"/>
      <c r="E10425" s="42"/>
      <c r="F10425" s="48" t="str">
        <f>IFERROR(__xludf.DUMMYFUNCTION("""COMPUTED_VALUE"""),"")</f>
        <v/>
      </c>
      <c r="G10425" s="42" t="str">
        <f>IFERROR(__xludf.DUMMYFUNCTION("""COMPUTED_VALUE"""),"Bn jual beli")</f>
        <v>Bn jual beli</v>
      </c>
      <c r="H10425" s="42">
        <f t="shared" si="1"/>
        <v>3345</v>
      </c>
    </row>
    <row r="10426" ht="22.5" customHeight="1">
      <c r="B10426" s="42" t="str">
        <f>IFERROR(__xludf.DUMMYFUNCTION("""COMPUTED_VALUE"""),"ABSIJGQB")</f>
        <v>ABSIJGQB</v>
      </c>
      <c r="C10426" s="42">
        <f>IFERROR(__xludf.DUMMYFUNCTION("""COMPUTED_VALUE"""),1378.0)</f>
        <v>1378</v>
      </c>
      <c r="D10426" s="42"/>
      <c r="E10426" s="42"/>
      <c r="F10426" s="48" t="str">
        <f>IFERROR(__xludf.DUMMYFUNCTION("""COMPUTED_VALUE"""),"")</f>
        <v/>
      </c>
      <c r="G10426" s="42" t="str">
        <f>IFERROR(__xludf.DUMMYFUNCTION("""COMPUTED_VALUE"""),"Bn waris")</f>
        <v>Bn waris</v>
      </c>
      <c r="H10426" s="42">
        <f t="shared" si="1"/>
        <v>3345</v>
      </c>
    </row>
    <row r="10427" ht="22.5" customHeight="1">
      <c r="B10427" s="42" t="str">
        <f>IFERROR(__xludf.DUMMYFUNCTION("""COMPUTED_VALUE"""),"L/10/301225/1")</f>
        <v>L/10/301225/1</v>
      </c>
      <c r="C10427" s="42" t="str">
        <f>IFERROR(__xludf.DUMMYFUNCTION("""COMPUTED_VALUE"""),"B. 860/PERUMNAS WAY KANDIS")</f>
        <v>B. 860/PERUMNAS WAY KANDIS</v>
      </c>
      <c r="D10427" s="42"/>
      <c r="E10427" s="42"/>
      <c r="F10427" s="48" t="str">
        <f>IFERROR(__xludf.DUMMYFUNCTION("""COMPUTED_VALUE"""),"")</f>
        <v/>
      </c>
      <c r="G10427" s="42" t="str">
        <f>IFERROR(__xludf.DUMMYFUNCTION("""COMPUTED_VALUE"""),"PENINGKATAN HAK")</f>
        <v>PENINGKATAN HAK</v>
      </c>
      <c r="H10427" s="42">
        <f t="shared" si="1"/>
        <v>3345</v>
      </c>
    </row>
    <row r="10428" ht="22.5" customHeight="1">
      <c r="B10428" s="42" t="str">
        <f>IFERROR(__xludf.DUMMYFUNCTION("""COMPUTED_VALUE"""),"L/11/301225/1")</f>
        <v>L/11/301225/1</v>
      </c>
      <c r="C10428" s="42" t="str">
        <f>IFERROR(__xludf.DUMMYFUNCTION("""COMPUTED_VALUE"""),"M. 5845/GUNUNG SULAH")</f>
        <v>M. 5845/GUNUNG SULAH</v>
      </c>
      <c r="D10428" s="42"/>
      <c r="E10428" s="42"/>
      <c r="F10428" s="48" t="str">
        <f>IFERROR(__xludf.DUMMYFUNCTION("""COMPUTED_VALUE"""),"")</f>
        <v/>
      </c>
      <c r="G10428" s="42" t="str">
        <f>IFERROR(__xludf.DUMMYFUNCTION("""COMPUTED_VALUE"""),"SKPT INFORMASI")</f>
        <v>SKPT INFORMASI</v>
      </c>
      <c r="H10428" s="42">
        <f t="shared" si="1"/>
        <v>3345</v>
      </c>
    </row>
    <row r="10429" ht="22.5" customHeight="1">
      <c r="B10429" s="42" t="str">
        <f>IFERROR(__xludf.DUMMYFUNCTION("""COMPUTED_VALUE"""),"K/12/301225/1")</f>
        <v>K/12/301225/1</v>
      </c>
      <c r="C10429" s="42" t="str">
        <f>IFERROR(__xludf.DUMMYFUNCTION("""COMPUTED_VALUE"""),"NIBEL M. 26135/SUKABUMI INDAH")</f>
        <v>NIBEL M. 26135/SUKABUMI INDAH</v>
      </c>
      <c r="D10429" s="42"/>
      <c r="E10429" s="42"/>
      <c r="F10429" s="48" t="str">
        <f>IFERROR(__xludf.DUMMYFUNCTION("""COMPUTED_VALUE"""),"")</f>
        <v/>
      </c>
      <c r="G10429" s="42" t="str">
        <f>IFERROR(__xludf.DUMMYFUNCTION("""COMPUTED_VALUE"""),"BN JUAL BELI ")</f>
        <v>BN JUAL BELI </v>
      </c>
      <c r="H10429" s="42">
        <f t="shared" si="1"/>
        <v>3345</v>
      </c>
    </row>
    <row r="10430" ht="22.5" customHeight="1">
      <c r="B10430" s="42" t="str">
        <f>IFERROR(__xludf.DUMMYFUNCTION("""COMPUTED_VALUE"""),"ABKVGLSN")</f>
        <v>ABKVGLSN</v>
      </c>
      <c r="C10430" s="42">
        <f>IFERROR(__xludf.DUMMYFUNCTION("""COMPUTED_VALUE"""),1115.0)</f>
        <v>1115</v>
      </c>
      <c r="D10430" s="42"/>
      <c r="E10430" s="42"/>
      <c r="F10430" s="48" t="str">
        <f>IFERROR(__xludf.DUMMYFUNCTION("""COMPUTED_VALUE"""),"")</f>
        <v/>
      </c>
      <c r="G10430" s="42" t="str">
        <f>IFERROR(__xludf.DUMMYFUNCTION("""COMPUTED_VALUE"""),"Ganti desa")</f>
        <v>Ganti desa</v>
      </c>
      <c r="H10430" s="42">
        <f t="shared" si="1"/>
        <v>3345</v>
      </c>
    </row>
    <row r="10431" ht="22.5" customHeight="1">
      <c r="B10431" s="42" t="str">
        <f>IFERROR(__xludf.DUMMYFUNCTION("""COMPUTED_VALUE"""),"ABKVGLSN")</f>
        <v>ABKVGLSN</v>
      </c>
      <c r="C10431" s="42">
        <f>IFERROR(__xludf.DUMMYFUNCTION("""COMPUTED_VALUE"""),1115.0)</f>
        <v>1115</v>
      </c>
      <c r="D10431" s="42"/>
      <c r="E10431" s="42"/>
      <c r="F10431" s="48" t="str">
        <f>IFERROR(__xludf.DUMMYFUNCTION("""COMPUTED_VALUE"""),"")</f>
        <v/>
      </c>
      <c r="G10431" s="42" t="str">
        <f>IFERROR(__xludf.DUMMYFUNCTION("""COMPUTED_VALUE"""),"Ganti desa")</f>
        <v>Ganti desa</v>
      </c>
      <c r="H10431" s="42">
        <f t="shared" si="1"/>
        <v>3345</v>
      </c>
    </row>
    <row r="10432" ht="22.5" customHeight="1">
      <c r="B10432" s="42" t="str">
        <f>IFERROR(__xludf.DUMMYFUNCTION("""COMPUTED_VALUE"""),"ABLTKFHT")</f>
        <v>ABLTKFHT</v>
      </c>
      <c r="C10432" s="42" t="str">
        <f>IFERROR(__xludf.DUMMYFUNCTION("""COMPUTED_VALUE"""),"03998")</f>
        <v>03998</v>
      </c>
      <c r="D10432" s="42"/>
      <c r="E10432" s="42"/>
      <c r="F10432" s="48" t="str">
        <f>IFERROR(__xludf.DUMMYFUNCTION("""COMPUTED_VALUE"""),"")</f>
        <v/>
      </c>
      <c r="G10432" s="42" t="str">
        <f>IFERROR(__xludf.DUMMYFUNCTION("""COMPUTED_VALUE"""),"Penghapusan bphtb ptsl")</f>
        <v>Penghapusan bphtb ptsl</v>
      </c>
      <c r="H10432" s="42">
        <f t="shared" si="1"/>
        <v>3345</v>
      </c>
    </row>
    <row r="10433" ht="22.5" customHeight="1">
      <c r="B10433" s="42" t="str">
        <f>IFERROR(__xludf.DUMMYFUNCTION("""COMPUTED_VALUE"""),"L/14/301225/1")</f>
        <v>L/14/301225/1</v>
      </c>
      <c r="C10433" s="42" t="str">
        <f>IFERROR(__xludf.DUMMYFUNCTION("""COMPUTED_VALUE"""),"B. 20782/GEDONG MENENG")</f>
        <v>B. 20782/GEDONG MENENG</v>
      </c>
      <c r="D10433" s="42"/>
      <c r="E10433" s="42"/>
      <c r="F10433" s="48" t="str">
        <f>IFERROR(__xludf.DUMMYFUNCTION("""COMPUTED_VALUE"""),"")</f>
        <v/>
      </c>
      <c r="G10433" s="42" t="str">
        <f>IFERROR(__xludf.DUMMYFUNCTION("""COMPUTED_VALUE"""),"PENINGKATAN HAK")</f>
        <v>PENINGKATAN HAK</v>
      </c>
      <c r="H10433" s="42">
        <f t="shared" si="1"/>
        <v>3345</v>
      </c>
    </row>
    <row r="10434" ht="22.5" customHeight="1">
      <c r="B10434" s="42" t="str">
        <f>IFERROR(__xludf.DUMMYFUNCTION("""COMPUTED_VALUE"""),"L/15/301225/1")</f>
        <v>L/15/301225/1</v>
      </c>
      <c r="C10434" s="42" t="str">
        <f>IFERROR(__xludf.DUMMYFUNCTION("""COMPUTED_VALUE"""),"B NIB. 28692/PINANG JAYA")</f>
        <v>B NIB. 28692/PINANG JAYA</v>
      </c>
      <c r="D10434" s="42"/>
      <c r="E10434" s="42"/>
      <c r="F10434" s="48" t="str">
        <f>IFERROR(__xludf.DUMMYFUNCTION("""COMPUTED_VALUE"""),"")</f>
        <v/>
      </c>
      <c r="G10434" s="42" t="str">
        <f>IFERROR(__xludf.DUMMYFUNCTION("""COMPUTED_VALUE"""),"PENINGKATAN HAK")</f>
        <v>PENINGKATAN HAK</v>
      </c>
      <c r="H10434" s="42">
        <f t="shared" si="1"/>
        <v>3345</v>
      </c>
    </row>
    <row r="10435" ht="22.5" customHeight="1">
      <c r="B10435" s="42" t="str">
        <f>IFERROR(__xludf.DUMMYFUNCTION("""COMPUTED_VALUE"""),"K/13/301225/1")</f>
        <v>K/13/301225/1</v>
      </c>
      <c r="C10435" s="42" t="str">
        <f>IFERROR(__xludf.DUMMYFUNCTION("""COMPUTED_VALUE"""),"M. 11903/TANJUNG BARU")</f>
        <v>M. 11903/TANJUNG BARU</v>
      </c>
      <c r="D10435" s="42"/>
      <c r="E10435" s="42"/>
      <c r="F10435" s="48" t="str">
        <f>IFERROR(__xludf.DUMMYFUNCTION("""COMPUTED_VALUE"""),"")</f>
        <v/>
      </c>
      <c r="G10435" s="42" t="str">
        <f>IFERROR(__xludf.DUMMYFUNCTION("""COMPUTED_VALUE"""),"SERTIPIKAT HILANG")</f>
        <v>SERTIPIKAT HILANG</v>
      </c>
      <c r="H10435" s="42">
        <f t="shared" si="1"/>
        <v>3345</v>
      </c>
    </row>
    <row r="10436" ht="22.5" customHeight="1">
      <c r="B10436" s="42" t="str">
        <f>IFERROR(__xludf.DUMMYFUNCTION("""COMPUTED_VALUE"""),"L/16/301225/1")</f>
        <v>L/16/301225/1</v>
      </c>
      <c r="C10436" s="42" t="str">
        <f>IFERROR(__xludf.DUMMYFUNCTION("""COMPUTED_VALUE"""),"M. 7177/SUKARAME I")</f>
        <v>M. 7177/SUKARAME I</v>
      </c>
      <c r="D10436" s="42"/>
      <c r="E10436" s="42"/>
      <c r="F10436" s="48" t="str">
        <f>IFERROR(__xludf.DUMMYFUNCTION("""COMPUTED_VALUE"""),"")</f>
        <v/>
      </c>
      <c r="G10436" s="42" t="str">
        <f>IFERROR(__xludf.DUMMYFUNCTION("""COMPUTED_VALUE"""),"ROYA")</f>
        <v>ROYA</v>
      </c>
      <c r="H10436" s="42">
        <f t="shared" si="1"/>
        <v>3345</v>
      </c>
    </row>
    <row r="10437" ht="22.5" customHeight="1">
      <c r="B10437" s="42" t="str">
        <f>IFERROR(__xludf.DUMMYFUNCTION("""COMPUTED_VALUE"""),"ABSAYZHA")</f>
        <v>ABSAYZHA</v>
      </c>
      <c r="C10437" s="42" t="str">
        <f>IFERROR(__xludf.DUMMYFUNCTION("""COMPUTED_VALUE"""),"Rajabasa Raya/ NIB 3671")</f>
        <v>Rajabasa Raya/ NIB 3671</v>
      </c>
      <c r="D10437" s="42"/>
      <c r="E10437" s="42"/>
      <c r="F10437" s="48" t="str">
        <f>IFERROR(__xludf.DUMMYFUNCTION("""COMPUTED_VALUE"""),"")</f>
        <v/>
      </c>
      <c r="G10437" s="42" t="str">
        <f>IFERROR(__xludf.DUMMYFUNCTION("""COMPUTED_VALUE"""),"permohonan sk pemberian")</f>
        <v>permohonan sk pemberian</v>
      </c>
      <c r="H10437" s="42">
        <f t="shared" si="1"/>
        <v>3345</v>
      </c>
    </row>
    <row r="10438" ht="22.5" customHeight="1">
      <c r="B10438" s="42" t="str">
        <f>IFERROR(__xludf.DUMMYFUNCTION("""COMPUTED_VALUE"""),"ABSMIWZK/AB041")</f>
        <v>ABSMIWZK/AB041</v>
      </c>
      <c r="C10438" s="42" t="str">
        <f>IFERROR(__xludf.DUMMYFUNCTION("""COMPUTED_VALUE"""),"M. nibel 25131/Kedaton ")</f>
        <v>M. nibel 25131/Kedaton </v>
      </c>
      <c r="D10438" s="42"/>
      <c r="E10438" s="42"/>
      <c r="F10438" s="48" t="str">
        <f>IFERROR(__xludf.DUMMYFUNCTION("""COMPUTED_VALUE"""),"")</f>
        <v/>
      </c>
      <c r="G10438" s="42" t="str">
        <f>IFERROR(__xludf.DUMMYFUNCTION("""COMPUTED_VALUE"""),"Balik Nama Hibah")</f>
        <v>Balik Nama Hibah</v>
      </c>
      <c r="H10438" s="42">
        <f t="shared" si="1"/>
        <v>3345</v>
      </c>
    </row>
    <row r="10439" ht="22.5" customHeight="1">
      <c r="B10439" s="42" t="str">
        <f>IFERROR(__xludf.DUMMYFUNCTION("""COMPUTED_VALUE"""),"K/17/301225/1")</f>
        <v>K/17/301225/1</v>
      </c>
      <c r="C10439" s="42" t="str">
        <f>IFERROR(__xludf.DUMMYFUNCTION("""COMPUTED_VALUE"""),"M. 1451/BAKUNG")</f>
        <v>M. 1451/BAKUNG</v>
      </c>
      <c r="D10439" s="42"/>
      <c r="E10439" s="42"/>
      <c r="F10439" s="48" t="str">
        <f>IFERROR(__xludf.DUMMYFUNCTION("""COMPUTED_VALUE"""),"")</f>
        <v/>
      </c>
      <c r="G10439" s="42" t="str">
        <f>IFERROR(__xludf.DUMMYFUNCTION("""COMPUTED_VALUE"""),"PEMECAHAN")</f>
        <v>PEMECAHAN</v>
      </c>
      <c r="H10439" s="42">
        <f t="shared" si="1"/>
        <v>3345</v>
      </c>
    </row>
    <row r="10440" ht="22.5" customHeight="1">
      <c r="B10440" s="42" t="str">
        <f>IFERROR(__xludf.DUMMYFUNCTION("""COMPUTED_VALUE"""),"K/1/311225/1")</f>
        <v>K/1/311225/1</v>
      </c>
      <c r="C10440" s="42" t="str">
        <f>IFERROR(__xludf.DUMMYFUNCTION("""COMPUTED_VALUE"""),"B. 457/SUKAMAJU")</f>
        <v>B. 457/SUKAMAJU</v>
      </c>
      <c r="D10440" s="42"/>
      <c r="E10440" s="42"/>
      <c r="F10440" s="48" t="str">
        <f>IFERROR(__xludf.DUMMYFUNCTION("""COMPUTED_VALUE"""),"")</f>
        <v/>
      </c>
      <c r="G10440" s="42" t="str">
        <f>IFERROR(__xludf.DUMMYFUNCTION("""COMPUTED_VALUE"""),"PENINGKATAN HAK")</f>
        <v>PENINGKATAN HAK</v>
      </c>
      <c r="H10440" s="42">
        <f t="shared" si="1"/>
        <v>3345</v>
      </c>
    </row>
    <row r="10441" ht="22.5" customHeight="1">
      <c r="B10441" s="42" t="str">
        <f>IFERROR(__xludf.DUMMYFUNCTION("""COMPUTED_VALUE"""),"K/2/311225/1")</f>
        <v>K/2/311225/1</v>
      </c>
      <c r="C10441" s="42" t="str">
        <f>IFERROR(__xludf.DUMMYFUNCTION("""COMPUTED_VALUE"""),"B. 620/BERINGIN RAYA")</f>
        <v>B. 620/BERINGIN RAYA</v>
      </c>
      <c r="D10441" s="42"/>
      <c r="E10441" s="42"/>
      <c r="F10441" s="48" t="str">
        <f>IFERROR(__xludf.DUMMYFUNCTION("""COMPUTED_VALUE"""),"")</f>
        <v/>
      </c>
      <c r="G10441" s="42" t="str">
        <f>IFERROR(__xludf.DUMMYFUNCTION("""COMPUTED_VALUE"""),"PENGUKURAN HGB MATI")</f>
        <v>PENGUKURAN HGB MATI</v>
      </c>
      <c r="H10441" s="42">
        <f t="shared" si="1"/>
        <v>3345</v>
      </c>
    </row>
    <row r="10442" ht="22.5" customHeight="1">
      <c r="B10442" s="42" t="str">
        <f>IFERROR(__xludf.DUMMYFUNCTION("""COMPUTED_VALUE"""),"ABHEMMLF")</f>
        <v>ABHEMMLF</v>
      </c>
      <c r="C10442" s="42" t="str">
        <f>IFERROR(__xludf.DUMMYFUNCTION("""COMPUTED_VALUE"""),"NIBEL M 25096/ GEDONG AIR")</f>
        <v>NIBEL M 25096/ GEDONG AIR</v>
      </c>
      <c r="D10442" s="42"/>
      <c r="E10442" s="42"/>
      <c r="F10442" s="48" t="str">
        <f>IFERROR(__xludf.DUMMYFUNCTION("""COMPUTED_VALUE"""),"")</f>
        <v/>
      </c>
      <c r="G10442" s="42" t="str">
        <f>IFERROR(__xludf.DUMMYFUNCTION("""COMPUTED_VALUE"""),"Bn jual beli")</f>
        <v>Bn jual beli</v>
      </c>
      <c r="H10442" s="42">
        <f t="shared" si="1"/>
        <v>3345</v>
      </c>
    </row>
    <row r="10443" ht="22.5" customHeight="1">
      <c r="B10443" s="42" t="str">
        <f>IFERROR(__xludf.DUMMYFUNCTION("""COMPUTED_VALUE"""),"AB 44")</f>
        <v>AB 44</v>
      </c>
      <c r="C10443" s="42" t="str">
        <f>IFERROR(__xludf.DUMMYFUNCTION("""COMPUTED_VALUE"""),"B. NIBEL 28433/Campang Raya")</f>
        <v>B. NIBEL 28433/Campang Raya</v>
      </c>
      <c r="D10443" s="42"/>
      <c r="E10443" s="42"/>
      <c r="F10443" s="48" t="str">
        <f>IFERROR(__xludf.DUMMYFUNCTION("""COMPUTED_VALUE"""),"")</f>
        <v/>
      </c>
      <c r="G10443" s="42" t="str">
        <f>IFERROR(__xludf.DUMMYFUNCTION("""COMPUTED_VALUE"""),"Gandes")</f>
        <v>Gandes</v>
      </c>
      <c r="H10443" s="42">
        <f t="shared" si="1"/>
        <v>3345</v>
      </c>
    </row>
    <row r="10444" ht="22.5" customHeight="1">
      <c r="B10444" s="42" t="str">
        <f>IFERROR(__xludf.DUMMYFUNCTION("""COMPUTED_VALUE"""),"ABOATRKM/AB036")</f>
        <v>ABOATRKM/AB036</v>
      </c>
      <c r="C10444" s="42" t="str">
        <f>IFERROR(__xludf.DUMMYFUNCTION("""COMPUTED_VALUE"""),"M. NIBEL 25338/Bumi Kedamaian")</f>
        <v>M. NIBEL 25338/Bumi Kedamaian</v>
      </c>
      <c r="D10444" s="42"/>
      <c r="E10444" s="42"/>
      <c r="F10444" s="48" t="str">
        <f>IFERROR(__xludf.DUMMYFUNCTION("""COMPUTED_VALUE"""),"")</f>
        <v/>
      </c>
      <c r="G10444" s="42" t="str">
        <f>IFERROR(__xludf.DUMMYFUNCTION("""COMPUTED_VALUE"""),"Bn jual beli")</f>
        <v>Bn jual beli</v>
      </c>
      <c r="H10444" s="42">
        <f t="shared" si="1"/>
        <v>3345</v>
      </c>
    </row>
    <row r="10445" ht="22.5" customHeight="1">
      <c r="B10445" s="42" t="str">
        <f>IFERROR(__xludf.DUMMYFUNCTION("""COMPUTED_VALUE"""),"ABVCMFJQ")</f>
        <v>ABVCMFJQ</v>
      </c>
      <c r="C10445" s="42" t="str">
        <f>IFERROR(__xludf.DUMMYFUNCTION("""COMPUTED_VALUE"""),"NIBEL M 26120/ LABUHAN RATU")</f>
        <v>NIBEL M 26120/ LABUHAN RATU</v>
      </c>
      <c r="D10445" s="42"/>
      <c r="E10445" s="42"/>
      <c r="F10445" s="48" t="str">
        <f>IFERROR(__xludf.DUMMYFUNCTION("""COMPUTED_VALUE"""),"")</f>
        <v/>
      </c>
      <c r="G10445" s="42" t="str">
        <f>IFERROR(__xludf.DUMMYFUNCTION("""COMPUTED_VALUE"""),"Bn jual beli")</f>
        <v>Bn jual beli</v>
      </c>
      <c r="H10445" s="42">
        <f t="shared" si="1"/>
        <v>3345</v>
      </c>
    </row>
    <row r="10446" ht="22.5" customHeight="1">
      <c r="B10446" s="42" t="str">
        <f>IFERROR(__xludf.DUMMYFUNCTION("""COMPUTED_VALUE"""),"ABQYPBUU")</f>
        <v>ABQYPBUU</v>
      </c>
      <c r="C10446" s="42" t="str">
        <f>IFERROR(__xludf.DUMMYFUNCTION("""COMPUTED_VALUE"""),"M 232227/ BUMI KEDAMAIAN")</f>
        <v>M 232227/ BUMI KEDAMAIAN</v>
      </c>
      <c r="D10446" s="42"/>
      <c r="E10446" s="42"/>
      <c r="F10446" s="48" t="str">
        <f>IFERROR(__xludf.DUMMYFUNCTION("""COMPUTED_VALUE"""),"")</f>
        <v/>
      </c>
      <c r="G10446" s="42" t="str">
        <f>IFERROR(__xludf.DUMMYFUNCTION("""COMPUTED_VALUE"""),"Bn JUAL BELI")</f>
        <v>Bn JUAL BELI</v>
      </c>
      <c r="H10446" s="42">
        <f t="shared" si="1"/>
        <v>3345</v>
      </c>
    </row>
    <row r="10447" ht="22.5" customHeight="1">
      <c r="B10447" s="42" t="str">
        <f>IFERROR(__xludf.DUMMYFUNCTION("""COMPUTED_VALUE"""),"ABPXHKIP/AB048")</f>
        <v>ABPXHKIP/AB048</v>
      </c>
      <c r="C10447" s="42" t="str">
        <f>IFERROR(__xludf.DUMMYFUNCTION("""COMPUTED_VALUE"""),"M.1463 negeri olok gading")</f>
        <v>M.1463 negeri olok gading</v>
      </c>
      <c r="D10447" s="42"/>
      <c r="E10447" s="42"/>
      <c r="F10447" s="48" t="str">
        <f>IFERROR(__xludf.DUMMYFUNCTION("""COMPUTED_VALUE"""),"")</f>
        <v/>
      </c>
      <c r="G10447" s="42" t="str">
        <f>IFERROR(__xludf.DUMMYFUNCTION("""COMPUTED_VALUE"""),"Balik nama jual beli")</f>
        <v>Balik nama jual beli</v>
      </c>
      <c r="H10447" s="42">
        <f t="shared" si="1"/>
        <v>3345</v>
      </c>
    </row>
    <row r="10448" ht="22.5" customHeight="1">
      <c r="B10448" s="42" t="str">
        <f>IFERROR(__xludf.DUMMYFUNCTION("""COMPUTED_VALUE"""),"L/3/311225/1")</f>
        <v>L/3/311225/1</v>
      </c>
      <c r="C10448" s="42" t="str">
        <f>IFERROR(__xludf.DUMMYFUNCTION("""COMPUTED_VALUE"""),"M. 10271/SUKABUMI")</f>
        <v>M. 10271/SUKABUMI</v>
      </c>
      <c r="D10448" s="42"/>
      <c r="E10448" s="42"/>
      <c r="F10448" s="48" t="str">
        <f>IFERROR(__xludf.DUMMYFUNCTION("""COMPUTED_VALUE"""),"")</f>
        <v/>
      </c>
      <c r="G10448" s="42" t="str">
        <f>IFERROR(__xludf.DUMMYFUNCTION("""COMPUTED_VALUE"""),"ROYA WARIS")</f>
        <v>ROYA WARIS</v>
      </c>
      <c r="H10448" s="42">
        <f t="shared" si="1"/>
        <v>3345</v>
      </c>
    </row>
    <row r="10449" ht="22.5" customHeight="1">
      <c r="B10449" s="42" t="str">
        <f>IFERROR(__xludf.DUMMYFUNCTION("""COMPUTED_VALUE"""),"L/4/311225/1")</f>
        <v>L/4/311225/1</v>
      </c>
      <c r="C10449" s="42" t="str">
        <f>IFERROR(__xludf.DUMMYFUNCTION("""COMPUTED_VALUE"""),"B. 625/BERINGIN RAYA")</f>
        <v>B. 625/BERINGIN RAYA</v>
      </c>
      <c r="D10449" s="42"/>
      <c r="E10449" s="42"/>
      <c r="F10449" s="48" t="str">
        <f>IFERROR(__xludf.DUMMYFUNCTION("""COMPUTED_VALUE"""),"")</f>
        <v/>
      </c>
      <c r="G10449" s="42" t="str">
        <f>IFERROR(__xludf.DUMMYFUNCTION("""COMPUTED_VALUE"""),"PENGUKURAN HGB MATI")</f>
        <v>PENGUKURAN HGB MATI</v>
      </c>
      <c r="H10449" s="42">
        <f t="shared" si="1"/>
        <v>3345</v>
      </c>
    </row>
    <row r="10450" ht="22.5" customHeight="1">
      <c r="B10450" s="42" t="str">
        <f>IFERROR(__xludf.DUMMYFUNCTION("""COMPUTED_VALUE"""),"L/5/311225/1")</f>
        <v>L/5/311225/1</v>
      </c>
      <c r="C10450" s="42" t="str">
        <f>IFERROR(__xludf.DUMMYFUNCTION("""COMPUTED_VALUE"""),"M. 1818/WAY LAGA")</f>
        <v>M. 1818/WAY LAGA</v>
      </c>
      <c r="D10450" s="42"/>
      <c r="E10450" s="42"/>
      <c r="F10450" s="48" t="str">
        <f>IFERROR(__xludf.DUMMYFUNCTION("""COMPUTED_VALUE"""),"")</f>
        <v/>
      </c>
      <c r="G10450" s="42" t="str">
        <f>IFERROR(__xludf.DUMMYFUNCTION("""COMPUTED_VALUE"""),"HAPUS BPHTB")</f>
        <v>HAPUS BPHTB</v>
      </c>
      <c r="H10450" s="42">
        <f t="shared" si="1"/>
        <v>3345</v>
      </c>
    </row>
    <row r="10451" ht="22.5" customHeight="1">
      <c r="B10451" s="42" t="str">
        <f>IFERROR(__xludf.DUMMYFUNCTION("""COMPUTED_VALUE"""),"ABYGJZWH/AB048")</f>
        <v>ABYGJZWH/AB048</v>
      </c>
      <c r="C10451" s="42" t="str">
        <f>IFERROR(__xludf.DUMMYFUNCTION("""COMPUTED_VALUE"""),"B NIBEL 28551/Sumur putri")</f>
        <v>B NIBEL 28551/Sumur putri</v>
      </c>
      <c r="D10451" s="42"/>
      <c r="E10451" s="42"/>
      <c r="F10451" s="48" t="str">
        <f>IFERROR(__xludf.DUMMYFUNCTION("""COMPUTED_VALUE"""),"")</f>
        <v/>
      </c>
      <c r="G10451" s="42" t="str">
        <f>IFERROR(__xludf.DUMMYFUNCTION("""COMPUTED_VALUE"""),"Perubahan Hak")</f>
        <v>Perubahan Hak</v>
      </c>
      <c r="H10451" s="42">
        <f t="shared" si="1"/>
        <v>3345</v>
      </c>
    </row>
    <row r="10452" ht="22.5" customHeight="1">
      <c r="B10452" s="42" t="str">
        <f>IFERROR(__xludf.DUMMYFUNCTION("""COMPUTED_VALUE"""),"ABIHCBNF")</f>
        <v>ABIHCBNF</v>
      </c>
      <c r="C10452" s="42" t="str">
        <f>IFERROR(__xludf.DUMMYFUNCTION("""COMPUTED_VALUE"""),"NIBEL M 240840/ rajabasa pemuka")</f>
        <v>NIBEL M 240840/ rajabasa pemuka</v>
      </c>
      <c r="D10452" s="42"/>
      <c r="E10452" s="42"/>
      <c r="F10452" s="48" t="str">
        <f>IFERROR(__xludf.DUMMYFUNCTION("""COMPUTED_VALUE"""),"")</f>
        <v/>
      </c>
      <c r="G10452" s="42" t="str">
        <f>IFERROR(__xludf.DUMMYFUNCTION("""COMPUTED_VALUE"""),"BN jual beli")</f>
        <v>BN jual beli</v>
      </c>
      <c r="H10452" s="42">
        <f t="shared" si="1"/>
        <v>3345</v>
      </c>
    </row>
    <row r="10453" ht="22.5" customHeight="1">
      <c r="B10453" s="42" t="str">
        <f>IFERROR(__xludf.DUMMYFUNCTION("""COMPUTED_VALUE"""),"L/6/311225/1")</f>
        <v>L/6/311225/1</v>
      </c>
      <c r="C10453" s="42" t="str">
        <f>IFERROR(__xludf.DUMMYFUNCTION("""COMPUTED_VALUE"""),"KEL. KEDAUNG LUAS 126 M2")</f>
        <v>KEL. KEDAUNG LUAS 126 M2</v>
      </c>
      <c r="D10453" s="42"/>
      <c r="E10453" s="42"/>
      <c r="F10453" s="48" t="str">
        <f>IFERROR(__xludf.DUMMYFUNCTION("""COMPUTED_VALUE"""),"")</f>
        <v/>
      </c>
      <c r="G10453" s="42" t="str">
        <f>IFERROR(__xludf.DUMMYFUNCTION("""COMPUTED_VALUE"""),"PENGUKURAN PERTAMA KALI")</f>
        <v>PENGUKURAN PERTAMA KALI</v>
      </c>
      <c r="H10453" s="42">
        <f t="shared" si="1"/>
        <v>3345</v>
      </c>
    </row>
    <row r="10454" ht="22.5" customHeight="1">
      <c r="B10454" s="42" t="str">
        <f>IFERROR(__xludf.DUMMYFUNCTION("""COMPUTED_VALUE"""),"ABHCCIQP")</f>
        <v>ABHCCIQP</v>
      </c>
      <c r="C10454" s="42" t="str">
        <f>IFERROR(__xludf.DUMMYFUNCTION("""COMPUTED_VALUE"""),"M. Nibel 1880/bumi kedamaian")</f>
        <v>M. Nibel 1880/bumi kedamaian</v>
      </c>
      <c r="D10454" s="42"/>
      <c r="E10454" s="42"/>
      <c r="F10454" s="48" t="str">
        <f>IFERROR(__xludf.DUMMYFUNCTION("""COMPUTED_VALUE"""),"")</f>
        <v/>
      </c>
      <c r="G10454" s="42" t="str">
        <f>IFERROR(__xludf.DUMMYFUNCTION("""COMPUTED_VALUE"""),"Bn hibah")</f>
        <v>Bn hibah</v>
      </c>
      <c r="H10454" s="42">
        <f t="shared" si="1"/>
        <v>3345</v>
      </c>
    </row>
    <row r="10455" ht="22.5" customHeight="1">
      <c r="B10455" s="42" t="str">
        <f>IFERROR(__xludf.DUMMYFUNCTION("""COMPUTED_VALUE"""),"AB58")</f>
        <v>AB58</v>
      </c>
      <c r="C10455" s="42" t="str">
        <f>IFERROR(__xludf.DUMMYFUNCTION("""COMPUTED_VALUE"""),"SHM No. 2035/BW")</f>
        <v>SHM No. 2035/BW</v>
      </c>
      <c r="D10455" s="42"/>
      <c r="E10455" s="42"/>
      <c r="F10455" s="48" t="str">
        <f>IFERROR(__xludf.DUMMYFUNCTION("""COMPUTED_VALUE"""),"")</f>
        <v/>
      </c>
      <c r="G10455" s="42" t="str">
        <f>IFERROR(__xludf.DUMMYFUNCTION("""COMPUTED_VALUE"""),"Ganti Kecamatan")</f>
        <v>Ganti Kecamatan</v>
      </c>
      <c r="H10455" s="42">
        <f t="shared" si="1"/>
        <v>3345</v>
      </c>
    </row>
    <row r="10456" ht="22.5" customHeight="1">
      <c r="B10456" s="42" t="str">
        <f>IFERROR(__xludf.DUMMYFUNCTION("""COMPUTED_VALUE"""),"ABSXAFKJ")</f>
        <v>ABSXAFKJ</v>
      </c>
      <c r="C10456" s="42" t="str">
        <f>IFERROR(__xludf.DUMMYFUNCTION("""COMPUTED_VALUE"""),"02411")</f>
        <v>02411</v>
      </c>
      <c r="D10456" s="42"/>
      <c r="E10456" s="42"/>
      <c r="F10456" s="48" t="str">
        <f>IFERROR(__xludf.DUMMYFUNCTION("""COMPUTED_VALUE"""),"")</f>
        <v/>
      </c>
      <c r="G10456" s="42" t="str">
        <f>IFERROR(__xludf.DUMMYFUNCTION("""COMPUTED_VALUE"""),"Peralihan hak")</f>
        <v>Peralihan hak</v>
      </c>
      <c r="H10456" s="42">
        <f t="shared" si="1"/>
        <v>3345</v>
      </c>
    </row>
    <row r="10457" ht="22.5" customHeight="1">
      <c r="B10457" s="42" t="str">
        <f>IFERROR(__xludf.DUMMYFUNCTION("""COMPUTED_VALUE"""),"L/7/311225/1")</f>
        <v>L/7/311225/1</v>
      </c>
      <c r="C10457" s="42" t="str">
        <f>IFERROR(__xludf.DUMMYFUNCTION("""COMPUTED_VALUE"""),"M. 741/CAMPANG JAYA")</f>
        <v>M. 741/CAMPANG JAYA</v>
      </c>
      <c r="D10457" s="42"/>
      <c r="E10457" s="42"/>
      <c r="F10457" s="48" t="str">
        <f>IFERROR(__xludf.DUMMYFUNCTION("""COMPUTED_VALUE"""),"")</f>
        <v/>
      </c>
      <c r="G10457" s="42" t="str">
        <f>IFERROR(__xludf.DUMMYFUNCTION("""COMPUTED_VALUE"""),"BN LELANG")</f>
        <v>BN LELANG</v>
      </c>
      <c r="H10457" s="42">
        <f t="shared" si="1"/>
        <v>3345</v>
      </c>
    </row>
    <row r="10458" ht="22.5" customHeight="1">
      <c r="B10458" s="42" t="str">
        <f>IFERROR(__xludf.DUMMYFUNCTION("""COMPUTED_VALUE"""),"K/8/311225/1")</f>
        <v>K/8/311225/1</v>
      </c>
      <c r="C10458" s="42" t="str">
        <f>IFERROR(__xludf.DUMMYFUNCTION("""COMPUTED_VALUE"""),"B. 851/BERINGIN RAYA")</f>
        <v>B. 851/BERINGIN RAYA</v>
      </c>
      <c r="D10458" s="42"/>
      <c r="E10458" s="42"/>
      <c r="F10458" s="48" t="str">
        <f>IFERROR(__xludf.DUMMYFUNCTION("""COMPUTED_VALUE"""),"")</f>
        <v/>
      </c>
      <c r="G10458" s="42" t="str">
        <f>IFERROR(__xludf.DUMMYFUNCTION("""COMPUTED_VALUE"""),"PENGUKURAN PERTAMA KALI")</f>
        <v>PENGUKURAN PERTAMA KALI</v>
      </c>
      <c r="H10458" s="42">
        <f t="shared" si="1"/>
        <v>3345</v>
      </c>
    </row>
    <row r="10459" ht="22.5" customHeight="1">
      <c r="B10459" s="42" t="str">
        <f>IFERROR(__xludf.DUMMYFUNCTION("""COMPUTED_VALUE"""),"K/9/311225/1")</f>
        <v>K/9/311225/1</v>
      </c>
      <c r="C10459" s="42" t="str">
        <f>IFERROR(__xludf.DUMMYFUNCTION("""COMPUTED_VALUE"""),"M. 8969/SUKARAME")</f>
        <v>M. 8969/SUKARAME</v>
      </c>
      <c r="D10459" s="42"/>
      <c r="E10459" s="42"/>
      <c r="F10459" s="48" t="str">
        <f>IFERROR(__xludf.DUMMYFUNCTION("""COMPUTED_VALUE"""),"")</f>
        <v/>
      </c>
      <c r="G10459" s="42" t="str">
        <f>IFERROR(__xludf.DUMMYFUNCTION("""COMPUTED_VALUE"""),"ROYA ")</f>
        <v>ROYA </v>
      </c>
      <c r="H10459" s="42">
        <f t="shared" si="1"/>
        <v>3345</v>
      </c>
    </row>
    <row r="10460" ht="22.5" customHeight="1">
      <c r="B10460" s="42" t="str">
        <f>IFERROR(__xludf.DUMMYFUNCTION("""COMPUTED_VALUE"""),"L/1/020126/1")</f>
        <v>L/1/020126/1</v>
      </c>
      <c r="C10460" s="42" t="str">
        <f>IFERROR(__xludf.DUMMYFUNCTION("""COMPUTED_VALUE"""),"M NIB. 28668/RAJABASA JAYA")</f>
        <v>M NIB. 28668/RAJABASA JAYA</v>
      </c>
      <c r="D10460" s="42"/>
      <c r="E10460" s="42"/>
      <c r="F10460" s="48" t="str">
        <f>IFERROR(__xludf.DUMMYFUNCTION("""COMPUTED_VALUE"""),"")</f>
        <v/>
      </c>
      <c r="G10460" s="42" t="str">
        <f>IFERROR(__xludf.DUMMYFUNCTION("""COMPUTED_VALUE"""),"BN WARIS")</f>
        <v>BN WARIS</v>
      </c>
      <c r="H10460" s="42">
        <f t="shared" si="1"/>
        <v>3345</v>
      </c>
    </row>
    <row r="10461" ht="22.5" customHeight="1">
      <c r="B10461" s="42" t="str">
        <f>IFERROR(__xludf.DUMMYFUNCTION("""COMPUTED_VALUE"""),"ABBUXWZH")</f>
        <v>ABBUXWZH</v>
      </c>
      <c r="C10461" s="42" t="str">
        <f>IFERROR(__xludf.DUMMYFUNCTION("""COMPUTED_VALUE"""),"NIBEL M 27392/ KOTA SEPANG")</f>
        <v>NIBEL M 27392/ KOTA SEPANG</v>
      </c>
      <c r="D10461" s="42"/>
      <c r="E10461" s="42"/>
      <c r="F10461" s="48" t="str">
        <f>IFERROR(__xludf.DUMMYFUNCTION("""COMPUTED_VALUE"""),"")</f>
        <v/>
      </c>
      <c r="G10461" s="42" t="str">
        <f>IFERROR(__xludf.DUMMYFUNCTION("""COMPUTED_VALUE"""),"PELEPASAN HAK")</f>
        <v>PELEPASAN HAK</v>
      </c>
      <c r="H10461" s="42">
        <f t="shared" si="1"/>
        <v>3345</v>
      </c>
    </row>
    <row r="10462" ht="22.5" customHeight="1">
      <c r="B10462" s="42" t="str">
        <f>IFERROR(__xludf.DUMMYFUNCTION("""COMPUTED_VALUE"""),"AB025/ABALTRBU")</f>
        <v>AB025/ABALTRBU</v>
      </c>
      <c r="C10462" s="42" t="str">
        <f>IFERROR(__xludf.DUMMYFUNCTION("""COMPUTED_VALUE"""),"M.2178/KEDAUNG")</f>
        <v>M.2178/KEDAUNG</v>
      </c>
      <c r="D10462" s="42"/>
      <c r="E10462" s="42"/>
      <c r="F10462" s="48" t="str">
        <f>IFERROR(__xludf.DUMMYFUNCTION("""COMPUTED_VALUE"""),"")</f>
        <v/>
      </c>
      <c r="G10462" s="42" t="str">
        <f>IFERROR(__xludf.DUMMYFUNCTION("""COMPUTED_VALUE"""),"Balik Nama")</f>
        <v>Balik Nama</v>
      </c>
      <c r="H10462" s="42">
        <f t="shared" si="1"/>
        <v>3345</v>
      </c>
    </row>
    <row r="10463" ht="22.5" customHeight="1">
      <c r="B10463" s="42" t="str">
        <f>IFERROR(__xludf.DUMMYFUNCTION("""COMPUTED_VALUE"""),"AB025/ABTNDWXS")</f>
        <v>AB025/ABTNDWXS</v>
      </c>
      <c r="C10463" s="42" t="str">
        <f>IFERROR(__xludf.DUMMYFUNCTION("""COMPUTED_VALUE"""),"NIBEL 21561 RAJABASA NUNYAI")</f>
        <v>NIBEL 21561 RAJABASA NUNYAI</v>
      </c>
      <c r="D10463" s="42"/>
      <c r="E10463" s="42"/>
      <c r="F10463" s="48" t="str">
        <f>IFERROR(__xludf.DUMMYFUNCTION("""COMPUTED_VALUE"""),"")</f>
        <v/>
      </c>
      <c r="G10463" s="42" t="str">
        <f>IFERROR(__xludf.DUMMYFUNCTION("""COMPUTED_VALUE"""),"Balik Nama")</f>
        <v>Balik Nama</v>
      </c>
      <c r="H10463" s="42">
        <f t="shared" si="1"/>
        <v>3345</v>
      </c>
    </row>
    <row r="10464" ht="22.5" customHeight="1">
      <c r="B10464" s="42" t="str">
        <f>IFERROR(__xludf.DUMMYFUNCTION("""COMPUTED_VALUE"""),"L/2/020126/1")</f>
        <v>L/2/020126/1</v>
      </c>
      <c r="C10464" s="42" t="str">
        <f>IFERROR(__xludf.DUMMYFUNCTION("""COMPUTED_VALUE"""),"B. 2087/SUKABUMI")</f>
        <v>B. 2087/SUKABUMI</v>
      </c>
      <c r="D10464" s="42"/>
      <c r="E10464" s="42"/>
      <c r="F10464" s="48" t="str">
        <f>IFERROR(__xludf.DUMMYFUNCTION("""COMPUTED_VALUE"""),"")</f>
        <v/>
      </c>
      <c r="G10464" s="42" t="str">
        <f>IFERROR(__xludf.DUMMYFUNCTION("""COMPUTED_VALUE"""),"BN WARIS")</f>
        <v>BN WARIS</v>
      </c>
      <c r="H10464" s="42">
        <f t="shared" si="1"/>
        <v>3345</v>
      </c>
    </row>
    <row r="10465" ht="22.5" customHeight="1">
      <c r="B10465" s="42" t="str">
        <f>IFERROR(__xludf.DUMMYFUNCTION("""COMPUTED_VALUE"""),"ABXHOZVM")</f>
        <v>ABXHOZVM</v>
      </c>
      <c r="C10465" s="42" t="str">
        <f>IFERROR(__xludf.DUMMYFUNCTION("""COMPUTED_VALUE"""),"M 1963/ SUMBER AGUNG")</f>
        <v>M 1963/ SUMBER AGUNG</v>
      </c>
      <c r="D10465" s="42"/>
      <c r="E10465" s="42"/>
      <c r="F10465" s="48" t="str">
        <f>IFERROR(__xludf.DUMMYFUNCTION("""COMPUTED_VALUE"""),"")</f>
        <v/>
      </c>
      <c r="G10465" s="42" t="str">
        <f>IFERROR(__xludf.DUMMYFUNCTION("""COMPUTED_VALUE"""),"Peralihan Hak jual beli")</f>
        <v>Peralihan Hak jual beli</v>
      </c>
      <c r="H10465" s="42">
        <f t="shared" si="1"/>
        <v>3345</v>
      </c>
    </row>
    <row r="10466" ht="22.5" customHeight="1">
      <c r="B10466" s="42" t="str">
        <f>IFERROR(__xludf.DUMMYFUNCTION("""COMPUTED_VALUE"""),"K/3/020126/1")</f>
        <v>K/3/020126/1</v>
      </c>
      <c r="C10466" s="42" t="str">
        <f>IFERROR(__xludf.DUMMYFUNCTION("""COMPUTED_VALUE"""),"M. 12973/RAJABASA")</f>
        <v>M. 12973/RAJABASA</v>
      </c>
      <c r="D10466" s="42"/>
      <c r="E10466" s="42"/>
      <c r="F10466" s="48" t="str">
        <f>IFERROR(__xludf.DUMMYFUNCTION("""COMPUTED_VALUE"""),"")</f>
        <v/>
      </c>
      <c r="G10466" s="42" t="str">
        <f>IFERROR(__xludf.DUMMYFUNCTION("""COMPUTED_VALUE"""),"PEMECAHAN")</f>
        <v>PEMECAHAN</v>
      </c>
      <c r="H10466" s="42">
        <f t="shared" si="1"/>
        <v>3345</v>
      </c>
    </row>
    <row r="10467" ht="22.5" customHeight="1">
      <c r="B10467" s="42" t="str">
        <f>IFERROR(__xludf.DUMMYFUNCTION("""COMPUTED_VALUE"""),"K/4/020126/1")</f>
        <v>K/4/020126/1</v>
      </c>
      <c r="C10467" s="42" t="str">
        <f>IFERROR(__xludf.DUMMYFUNCTION("""COMPUTED_VALUE"""),"WAY DADI BARU")</f>
        <v>WAY DADI BARU</v>
      </c>
      <c r="D10467" s="42"/>
      <c r="E10467" s="42"/>
      <c r="F10467" s="48" t="str">
        <f>IFERROR(__xludf.DUMMYFUNCTION("""COMPUTED_VALUE"""),"")</f>
        <v/>
      </c>
      <c r="G10467" s="42" t="str">
        <f>IFERROR(__xludf.DUMMYFUNCTION("""COMPUTED_VALUE"""),"PENGUKURAN PERTAMA KALI")</f>
        <v>PENGUKURAN PERTAMA KALI</v>
      </c>
      <c r="H10467" s="42">
        <f t="shared" si="1"/>
        <v>3345</v>
      </c>
    </row>
    <row r="10468" ht="22.5" customHeight="1">
      <c r="B10468" s="42" t="str">
        <f>IFERROR(__xludf.DUMMYFUNCTION("""COMPUTED_VALUE"""),"A001/ALVBWVX")</f>
        <v>A001/ALVBWVX</v>
      </c>
      <c r="C10468" s="42" t="str">
        <f>IFERROR(__xludf.DUMMYFUNCTION("""COMPUTED_VALUE"""),"M.11287 KEDAMAIAN")</f>
        <v>M.11287 KEDAMAIAN</v>
      </c>
      <c r="D10468" s="42"/>
      <c r="E10468" s="42"/>
      <c r="F10468" s="48" t="str">
        <f>IFERROR(__xludf.DUMMYFUNCTION("""COMPUTED_VALUE"""),"")</f>
        <v/>
      </c>
      <c r="G10468" s="42" t="str">
        <f>IFERROR(__xludf.DUMMYFUNCTION("""COMPUTED_VALUE"""),"PEMECAHAN")</f>
        <v>PEMECAHAN</v>
      </c>
      <c r="H10468" s="42">
        <f t="shared" si="1"/>
        <v>3345</v>
      </c>
    </row>
    <row r="10469" ht="22.5" customHeight="1">
      <c r="B10469" s="42" t="str">
        <f>IFERROR(__xludf.DUMMYFUNCTION("""COMPUTED_VALUE"""),"ABYTSHXZ")</f>
        <v>ABYTSHXZ</v>
      </c>
      <c r="C10469" s="42" t="str">
        <f>IFERROR(__xludf.DUMMYFUNCTION("""COMPUTED_VALUE"""),"M. 00032/ Sumberejo sejahtera")</f>
        <v>M. 00032/ Sumberejo sejahtera</v>
      </c>
      <c r="D10469" s="42"/>
      <c r="E10469" s="42"/>
      <c r="F10469" s="48" t="str">
        <f>IFERROR(__xludf.DUMMYFUNCTION("""COMPUTED_VALUE"""),"")</f>
        <v/>
      </c>
      <c r="G10469" s="42" t="str">
        <f>IFERROR(__xludf.DUMMYFUNCTION("""COMPUTED_VALUE"""),"Balik nama")</f>
        <v>Balik nama</v>
      </c>
      <c r="H10469" s="42">
        <f t="shared" si="1"/>
        <v>3345</v>
      </c>
    </row>
    <row r="10470" ht="22.5" customHeight="1">
      <c r="B10470" s="42" t="str">
        <f>IFERROR(__xludf.DUMMYFUNCTION("""COMPUTED_VALUE"""),"ABADPHKJ/ AB12")</f>
        <v>ABADPHKJ/ AB12</v>
      </c>
      <c r="C10470" s="42" t="str">
        <f>IFERROR(__xludf.DUMMYFUNCTION("""COMPUTED_VALUE"""),"SHGB 4610 sukabumi")</f>
        <v>SHGB 4610 sukabumi</v>
      </c>
      <c r="D10470" s="42"/>
      <c r="E10470" s="42"/>
      <c r="F10470" s="48" t="str">
        <f>IFERROR(__xludf.DUMMYFUNCTION("""COMPUTED_VALUE"""),"")</f>
        <v/>
      </c>
      <c r="G10470" s="42" t="str">
        <f>IFERROR(__xludf.DUMMYFUNCTION("""COMPUTED_VALUE"""),"balik nama jual beli")</f>
        <v>balik nama jual beli</v>
      </c>
      <c r="H10470" s="42">
        <f t="shared" si="1"/>
        <v>3345</v>
      </c>
    </row>
    <row r="10471" ht="22.5" customHeight="1">
      <c r="B10471" s="42" t="str">
        <f>IFERROR(__xludf.DUMMYFUNCTION("""COMPUTED_VALUE"""),"L/1/050126/1")</f>
        <v>L/1/050126/1</v>
      </c>
      <c r="C10471" s="42" t="str">
        <f>IFERROR(__xludf.DUMMYFUNCTION("""COMPUTED_VALUE"""),"M. 9341/SURABAYA")</f>
        <v>M. 9341/SURABAYA</v>
      </c>
      <c r="D10471" s="42"/>
      <c r="E10471" s="42"/>
      <c r="F10471" s="48" t="str">
        <f>IFERROR(__xludf.DUMMYFUNCTION("""COMPUTED_VALUE"""),"")</f>
        <v/>
      </c>
      <c r="G10471" s="42" t="str">
        <f>IFERROR(__xludf.DUMMYFUNCTION("""COMPUTED_VALUE"""),"BN WARIS")</f>
        <v>BN WARIS</v>
      </c>
      <c r="H10471" s="42">
        <f t="shared" si="1"/>
        <v>3345</v>
      </c>
    </row>
    <row r="10472" ht="22.5" customHeight="1">
      <c r="B10472" s="42" t="str">
        <f>IFERROR(__xludf.DUMMYFUNCTION("""COMPUTED_VALUE"""),"ABWQJRWR")</f>
        <v>ABWQJRWR</v>
      </c>
      <c r="C10472" s="42" t="str">
        <f>IFERROR(__xludf.DUMMYFUNCTION("""COMPUTED_VALUE"""),"M. 33/ sumberejo sejahtera")</f>
        <v>M. 33/ sumberejo sejahtera</v>
      </c>
      <c r="D10472" s="42"/>
      <c r="E10472" s="42"/>
      <c r="F10472" s="48" t="str">
        <f>IFERROR(__xludf.DUMMYFUNCTION("""COMPUTED_VALUE"""),"")</f>
        <v/>
      </c>
      <c r="G10472" s="42" t="str">
        <f>IFERROR(__xludf.DUMMYFUNCTION("""COMPUTED_VALUE"""),"Balik nama jual beli")</f>
        <v>Balik nama jual beli</v>
      </c>
      <c r="H10472" s="42">
        <f t="shared" si="1"/>
        <v>3345</v>
      </c>
    </row>
    <row r="10473" ht="22.5" customHeight="1">
      <c r="B10473" s="42" t="str">
        <f>IFERROR(__xludf.DUMMYFUNCTION("""COMPUTED_VALUE"""),"ABTAJUKS")</f>
        <v>ABTAJUKS</v>
      </c>
      <c r="C10473" s="42" t="str">
        <f>IFERROR(__xludf.DUMMYFUNCTION("""COMPUTED_VALUE"""),"M 1976/ KOTABARU")</f>
        <v>M 1976/ KOTABARU</v>
      </c>
      <c r="D10473" s="42"/>
      <c r="E10473" s="42"/>
      <c r="F10473" s="48" t="str">
        <f>IFERROR(__xludf.DUMMYFUNCTION("""COMPUTED_VALUE"""),"")</f>
        <v/>
      </c>
      <c r="G10473" s="42" t="str">
        <f>IFERROR(__xludf.DUMMYFUNCTION("""COMPUTED_VALUE"""),"Roya")</f>
        <v>Roya</v>
      </c>
      <c r="H10473" s="42">
        <f t="shared" si="1"/>
        <v>3345</v>
      </c>
    </row>
    <row r="10474" ht="22.5" customHeight="1">
      <c r="B10474" s="42" t="str">
        <f>IFERROR(__xludf.DUMMYFUNCTION("""COMPUTED_VALUE"""),"ABHHUDQF")</f>
        <v>ABHHUDQF</v>
      </c>
      <c r="C10474" s="42" t="str">
        <f>IFERROR(__xludf.DUMMYFUNCTION("""COMPUTED_VALUE"""),"M 1047 &amp; M 1048/ KALIAWI")</f>
        <v>M 1047 &amp; M 1048/ KALIAWI</v>
      </c>
      <c r="D10474" s="42"/>
      <c r="E10474" s="42"/>
      <c r="F10474" s="48" t="str">
        <f>IFERROR(__xludf.DUMMYFUNCTION("""COMPUTED_VALUE"""),"")</f>
        <v/>
      </c>
      <c r="G10474" s="42" t="str">
        <f>IFERROR(__xludf.DUMMYFUNCTION("""COMPUTED_VALUE"""),"Roya")</f>
        <v>Roya</v>
      </c>
      <c r="H10474" s="42">
        <f t="shared" si="1"/>
        <v>3345</v>
      </c>
    </row>
    <row r="10475" ht="22.5" customHeight="1">
      <c r="B10475" s="42" t="str">
        <f>IFERROR(__xludf.DUMMYFUNCTION("""COMPUTED_VALUE"""),"ABBOWTWQ/AB037")</f>
        <v>ABBOWTWQ/AB037</v>
      </c>
      <c r="C10475" s="42" t="str">
        <f>IFERROR(__xludf.DUMMYFUNCTION("""COMPUTED_VALUE"""),"Shm 1048")</f>
        <v>Shm 1048</v>
      </c>
      <c r="D10475" s="42"/>
      <c r="E10475" s="42"/>
      <c r="F10475" s="48" t="str">
        <f>IFERROR(__xludf.DUMMYFUNCTION("""COMPUTED_VALUE"""),"")</f>
        <v/>
      </c>
      <c r="G10475" s="42" t="str">
        <f>IFERROR(__xludf.DUMMYFUNCTION("""COMPUTED_VALUE"""),"Roya")</f>
        <v>Roya</v>
      </c>
      <c r="H10475" s="42">
        <f t="shared" si="1"/>
        <v>3345</v>
      </c>
    </row>
    <row r="10476" ht="22.5" customHeight="1">
      <c r="B10476" s="42" t="str">
        <f>IFERROR(__xludf.DUMMYFUNCTION("""COMPUTED_VALUE"""),"ABHXKDJP")</f>
        <v>ABHXKDJP</v>
      </c>
      <c r="C10476" s="42" t="str">
        <f>IFERROR(__xludf.DUMMYFUNCTION("""COMPUTED_VALUE"""),"NIBEL M 24099/ Perumnas Way Kandis")</f>
        <v>NIBEL M 24099/ Perumnas Way Kandis</v>
      </c>
      <c r="D10476" s="42"/>
      <c r="E10476" s="42"/>
      <c r="F10476" s="48" t="str">
        <f>IFERROR(__xludf.DUMMYFUNCTION("""COMPUTED_VALUE"""),"")</f>
        <v/>
      </c>
      <c r="G10476" s="42" t="str">
        <f>IFERROR(__xludf.DUMMYFUNCTION("""COMPUTED_VALUE"""),"Peralihan Hak Jual Beli")</f>
        <v>Peralihan Hak Jual Beli</v>
      </c>
      <c r="H10476" s="42">
        <f t="shared" si="1"/>
        <v>3345</v>
      </c>
    </row>
    <row r="10477" ht="22.5" customHeight="1">
      <c r="B10477" s="42" t="str">
        <f>IFERROR(__xludf.DUMMYFUNCTION("""COMPUTED_VALUE"""),"ABAHPGSS")</f>
        <v>ABAHPGSS</v>
      </c>
      <c r="C10477" s="42" t="str">
        <f>IFERROR(__xludf.DUMMYFUNCTION("""COMPUTED_VALUE"""),"NIBEL M 24100/ PERUMNAS WAY KANDIS")</f>
        <v>NIBEL M 24100/ PERUMNAS WAY KANDIS</v>
      </c>
      <c r="D10477" s="42"/>
      <c r="E10477" s="42"/>
      <c r="F10477" s="48" t="str">
        <f>IFERROR(__xludf.DUMMYFUNCTION("""COMPUTED_VALUE"""),"")</f>
        <v/>
      </c>
      <c r="G10477" s="42" t="str">
        <f>IFERROR(__xludf.DUMMYFUNCTION("""COMPUTED_VALUE"""),"Peralihan Hak Jual Beli")</f>
        <v>Peralihan Hak Jual Beli</v>
      </c>
      <c r="H10477" s="42">
        <f t="shared" si="1"/>
        <v>3345</v>
      </c>
    </row>
    <row r="10478" ht="22.5" customHeight="1">
      <c r="B10478" s="42" t="str">
        <f>IFERROR(__xludf.DUMMYFUNCTION("""COMPUTED_VALUE"""),"ABUXPZCN")</f>
        <v>ABUXPZCN</v>
      </c>
      <c r="C10478" s="42" t="str">
        <f>IFERROR(__xludf.DUMMYFUNCTION("""COMPUTED_VALUE"""),"NIBEL M 380/ GUNUNG SULAH")</f>
        <v>NIBEL M 380/ GUNUNG SULAH</v>
      </c>
      <c r="D10478" s="42"/>
      <c r="E10478" s="42"/>
      <c r="F10478" s="48" t="str">
        <f>IFERROR(__xludf.DUMMYFUNCTION("""COMPUTED_VALUE"""),"")</f>
        <v/>
      </c>
      <c r="G10478" s="42" t="str">
        <f>IFERROR(__xludf.DUMMYFUNCTION("""COMPUTED_VALUE"""),"Balik nama jual beli")</f>
        <v>Balik nama jual beli</v>
      </c>
      <c r="H10478" s="42">
        <f t="shared" si="1"/>
        <v>3345</v>
      </c>
    </row>
    <row r="10479" ht="22.5" customHeight="1">
      <c r="B10479" s="42" t="str">
        <f>IFERROR(__xludf.DUMMYFUNCTION("""COMPUTED_VALUE"""),"L/2/050126/1")</f>
        <v>L/2/050126/1</v>
      </c>
      <c r="C10479" s="42" t="str">
        <f>IFERROR(__xludf.DUMMYFUNCTION("""COMPUTED_VALUE"""),"B. 4441/SUKARAME I")</f>
        <v>B. 4441/SUKARAME I</v>
      </c>
      <c r="D10479" s="42"/>
      <c r="E10479" s="42"/>
      <c r="F10479" s="48" t="str">
        <f>IFERROR(__xludf.DUMMYFUNCTION("""COMPUTED_VALUE"""),"")</f>
        <v/>
      </c>
      <c r="G10479" s="42" t="str">
        <f>IFERROR(__xludf.DUMMYFUNCTION("""COMPUTED_VALUE"""),"ROYA")</f>
        <v>ROYA</v>
      </c>
      <c r="H10479" s="42">
        <f t="shared" si="1"/>
        <v>3345</v>
      </c>
    </row>
    <row r="10480" ht="22.5" customHeight="1">
      <c r="B10480" s="42" t="str">
        <f>IFERROR(__xludf.DUMMYFUNCTION("""COMPUTED_VALUE"""),"ALDVFOB")</f>
        <v>ALDVFOB</v>
      </c>
      <c r="C10480" s="42" t="str">
        <f>IFERROR(__xludf.DUMMYFUNCTION("""COMPUTED_VALUE"""),"M.2101 SIDODADI")</f>
        <v>M.2101 SIDODADI</v>
      </c>
      <c r="D10480" s="42"/>
      <c r="E10480" s="42"/>
      <c r="F10480" s="48" t="str">
        <f>IFERROR(__xludf.DUMMYFUNCTION("""COMPUTED_VALUE"""),"")</f>
        <v/>
      </c>
      <c r="G10480" s="42" t="str">
        <f>IFERROR(__xludf.DUMMYFUNCTION("""COMPUTED_VALUE"""),"SKPT LELANG")</f>
        <v>SKPT LELANG</v>
      </c>
      <c r="H10480" s="42">
        <f t="shared" si="1"/>
        <v>3345</v>
      </c>
    </row>
    <row r="10481" ht="22.5" customHeight="1">
      <c r="B10481" s="42" t="str">
        <f>IFERROR(__xludf.DUMMYFUNCTION("""COMPUTED_VALUE"""),"ABYQKTUK")</f>
        <v>ABYQKTUK</v>
      </c>
      <c r="C10481" s="42" t="str">
        <f>IFERROR(__xludf.DUMMYFUNCTION("""COMPUTED_VALUE"""),"M.2888")</f>
        <v>M.2888</v>
      </c>
      <c r="D10481" s="42"/>
      <c r="E10481" s="42"/>
      <c r="F10481" s="48" t="str">
        <f>IFERROR(__xludf.DUMMYFUNCTION("""COMPUTED_VALUE"""),"")</f>
        <v/>
      </c>
      <c r="G10481" s="42" t="str">
        <f>IFERROR(__xludf.DUMMYFUNCTION("""COMPUTED_VALUE"""),"Bn jual beli")</f>
        <v>Bn jual beli</v>
      </c>
      <c r="H10481" s="42">
        <f t="shared" si="1"/>
        <v>3345</v>
      </c>
    </row>
    <row r="10482" ht="22.5" customHeight="1">
      <c r="B10482" s="42" t="str">
        <f>IFERROR(__xludf.DUMMYFUNCTION("""COMPUTED_VALUE"""),"AUWFEVV")</f>
        <v>AUWFEVV</v>
      </c>
      <c r="C10482" s="42" t="str">
        <f>IFERROR(__xludf.DUMMYFUNCTION("""COMPUTED_VALUE"""),"M.692 KANGKUNG")</f>
        <v>M.692 KANGKUNG</v>
      </c>
      <c r="D10482" s="42"/>
      <c r="E10482" s="42"/>
      <c r="F10482" s="48" t="str">
        <f>IFERROR(__xludf.DUMMYFUNCTION("""COMPUTED_VALUE"""),"")</f>
        <v/>
      </c>
      <c r="G10482" s="42" t="str">
        <f>IFERROR(__xludf.DUMMYFUNCTION("""COMPUTED_VALUE"""),"SKPT LELANG")</f>
        <v>SKPT LELANG</v>
      </c>
      <c r="H10482" s="42">
        <f t="shared" si="1"/>
        <v>3345</v>
      </c>
    </row>
    <row r="10483" ht="22.5" customHeight="1">
      <c r="B10483" s="42" t="str">
        <f>IFERROR(__xludf.DUMMYFUNCTION("""COMPUTED_VALUE"""),"ABJOBEUG")</f>
        <v>ABJOBEUG</v>
      </c>
      <c r="C10483" s="42" t="str">
        <f>IFERROR(__xludf.DUMMYFUNCTION("""COMPUTED_VALUE"""),"M. 4265/ TANJUNG SENANG")</f>
        <v>M. 4265/ TANJUNG SENANG</v>
      </c>
      <c r="D10483" s="42"/>
      <c r="E10483" s="42"/>
      <c r="F10483" s="48" t="str">
        <f>IFERROR(__xludf.DUMMYFUNCTION("""COMPUTED_VALUE"""),"")</f>
        <v/>
      </c>
      <c r="G10483" s="42" t="str">
        <f>IFERROR(__xludf.DUMMYFUNCTION("""COMPUTED_VALUE"""),"Bn jual beli")</f>
        <v>Bn jual beli</v>
      </c>
      <c r="H10483" s="42">
        <f t="shared" si="1"/>
        <v>3345</v>
      </c>
    </row>
    <row r="10484" ht="22.5" customHeight="1">
      <c r="B10484" s="42" t="str">
        <f>IFERROR(__xludf.DUMMYFUNCTION("""COMPUTED_VALUE"""),"AVGYQGP")</f>
        <v>AVGYQGP</v>
      </c>
      <c r="C10484" s="42" t="str">
        <f>IFERROR(__xludf.DUMMYFUNCTION("""COMPUTED_VALUE"""),"M.926 TB")</f>
        <v>M.926 TB</v>
      </c>
      <c r="D10484" s="42"/>
      <c r="E10484" s="42"/>
      <c r="F10484" s="48" t="str">
        <f>IFERROR(__xludf.DUMMYFUNCTION("""COMPUTED_VALUE"""),"")</f>
        <v/>
      </c>
      <c r="G10484" s="42" t="str">
        <f>IFERROR(__xludf.DUMMYFUNCTION("""COMPUTED_VALUE"""),"SKPT LELANG")</f>
        <v>SKPT LELANG</v>
      </c>
      <c r="H10484" s="42">
        <f t="shared" si="1"/>
        <v>3345</v>
      </c>
    </row>
    <row r="10485" ht="22.5" customHeight="1">
      <c r="B10485" s="42" t="str">
        <f>IFERROR(__xludf.DUMMYFUNCTION("""COMPUTED_VALUE"""),"ABTGJOUJ")</f>
        <v>ABTGJOUJ</v>
      </c>
      <c r="C10485" s="42" t="str">
        <f>IFERROR(__xludf.DUMMYFUNCTION("""COMPUTED_VALUE"""),"M.1676")</f>
        <v>M.1676</v>
      </c>
      <c r="D10485" s="42"/>
      <c r="E10485" s="42"/>
      <c r="F10485" s="48" t="str">
        <f>IFERROR(__xludf.DUMMYFUNCTION("""COMPUTED_VALUE"""),"")</f>
        <v/>
      </c>
      <c r="G10485" s="42" t="str">
        <f>IFERROR(__xludf.DUMMYFUNCTION("""COMPUTED_VALUE"""),"Penetaan batas")</f>
        <v>Penetaan batas</v>
      </c>
      <c r="H10485" s="42">
        <f t="shared" si="1"/>
        <v>3345</v>
      </c>
    </row>
    <row r="10486" ht="22.5" customHeight="1">
      <c r="B10486" s="42" t="str">
        <f>IFERROR(__xludf.DUMMYFUNCTION("""COMPUTED_VALUE"""),"AOOHDVL")</f>
        <v>AOOHDVL</v>
      </c>
      <c r="C10486" s="42" t="str">
        <f>IFERROR(__xludf.DUMMYFUNCTION("""COMPUTED_VALUE"""),"M.259 TB")</f>
        <v>M.259 TB</v>
      </c>
      <c r="D10486" s="42"/>
      <c r="E10486" s="42"/>
      <c r="F10486" s="48" t="str">
        <f>IFERROR(__xludf.DUMMYFUNCTION("""COMPUTED_VALUE"""),"")</f>
        <v/>
      </c>
      <c r="G10486" s="42" t="str">
        <f>IFERROR(__xludf.DUMMYFUNCTION("""COMPUTED_VALUE"""),"SKPT LELANG")</f>
        <v>SKPT LELANG</v>
      </c>
      <c r="H10486" s="42">
        <f t="shared" si="1"/>
        <v>3345</v>
      </c>
    </row>
    <row r="10487" ht="22.5" customHeight="1">
      <c r="B10487" s="42" t="str">
        <f>IFERROR(__xludf.DUMMYFUNCTION("""COMPUTED_VALUE"""),"AOOHDVL")</f>
        <v>AOOHDVL</v>
      </c>
      <c r="C10487" s="42" t="str">
        <f>IFERROR(__xludf.DUMMYFUNCTION("""COMPUTED_VALUE"""),"B.1513 TANJUNG SENANG")</f>
        <v>B.1513 TANJUNG SENANG</v>
      </c>
      <c r="D10487" s="42"/>
      <c r="E10487" s="42"/>
      <c r="F10487" s="48" t="str">
        <f>IFERROR(__xludf.DUMMYFUNCTION("""COMPUTED_VALUE"""),"")</f>
        <v/>
      </c>
      <c r="G10487" s="42" t="str">
        <f>IFERROR(__xludf.DUMMYFUNCTION("""COMPUTED_VALUE"""),"ROYA")</f>
        <v>ROYA</v>
      </c>
      <c r="H10487" s="42">
        <f t="shared" si="1"/>
        <v>3345</v>
      </c>
    </row>
    <row r="10488" ht="22.5" customHeight="1">
      <c r="B10488" s="42" t="str">
        <f>IFERROR(__xludf.DUMMYFUNCTION("""COMPUTED_VALUE"""),"AKEWRHP")</f>
        <v>AKEWRHP</v>
      </c>
      <c r="C10488" s="42" t="str">
        <f>IFERROR(__xludf.DUMMYFUNCTION("""COMPUTED_VALUE"""),"M.2451 SUKADANA HAM")</f>
        <v>M.2451 SUKADANA HAM</v>
      </c>
      <c r="D10488" s="42"/>
      <c r="E10488" s="42"/>
      <c r="F10488" s="48" t="str">
        <f>IFERROR(__xludf.DUMMYFUNCTION("""COMPUTED_VALUE"""),"")</f>
        <v/>
      </c>
      <c r="G10488" s="42" t="str">
        <f>IFERROR(__xludf.DUMMYFUNCTION("""COMPUTED_VALUE"""),"WARIS")</f>
        <v>WARIS</v>
      </c>
      <c r="H10488" s="42">
        <f t="shared" si="1"/>
        <v>3345</v>
      </c>
    </row>
    <row r="10489" ht="22.5" customHeight="1">
      <c r="B10489" s="42" t="str">
        <f>IFERROR(__xludf.DUMMYFUNCTION("""COMPUTED_VALUE"""),"AQZWRXV")</f>
        <v>AQZWRXV</v>
      </c>
      <c r="C10489" s="42" t="str">
        <f>IFERROR(__xludf.DUMMYFUNCTION("""COMPUTED_VALUE"""),"NIBEL 28277 SUKAMENANTI BARU")</f>
        <v>NIBEL 28277 SUKAMENANTI BARU</v>
      </c>
      <c r="D10489" s="42"/>
      <c r="E10489" s="42"/>
      <c r="F10489" s="48" t="str">
        <f>IFERROR(__xludf.DUMMYFUNCTION("""COMPUTED_VALUE"""),"")</f>
        <v/>
      </c>
      <c r="G10489" s="42" t="str">
        <f>IFERROR(__xludf.DUMMYFUNCTION("""COMPUTED_VALUE"""),"PTPGT")</f>
        <v>PTPGT</v>
      </c>
      <c r="H10489" s="42">
        <f t="shared" si="1"/>
        <v>3345</v>
      </c>
    </row>
    <row r="10490" ht="22.5" customHeight="1">
      <c r="B10490" s="42" t="str">
        <f>IFERROR(__xludf.DUMMYFUNCTION("""COMPUTED_VALUE"""),"L/3/050126/1")</f>
        <v>L/3/050126/1</v>
      </c>
      <c r="C10490" s="42" t="str">
        <f>IFERROR(__xludf.DUMMYFUNCTION("""COMPUTED_VALUE"""),"M. 1570/BUMI WARAS")</f>
        <v>M. 1570/BUMI WARAS</v>
      </c>
      <c r="D10490" s="42"/>
      <c r="E10490" s="42"/>
      <c r="F10490" s="48" t="str">
        <f>IFERROR(__xludf.DUMMYFUNCTION("""COMPUTED_VALUE"""),"")</f>
        <v/>
      </c>
      <c r="G10490" s="42" t="str">
        <f>IFERROR(__xludf.DUMMYFUNCTION("""COMPUTED_VALUE"""),"SKPT INFORMASI")</f>
        <v>SKPT INFORMASI</v>
      </c>
      <c r="H10490" s="42">
        <f t="shared" si="1"/>
        <v>3345</v>
      </c>
    </row>
    <row r="10491" ht="22.5" customHeight="1">
      <c r="B10491" s="42" t="str">
        <f>IFERROR(__xludf.DUMMYFUNCTION("""COMPUTED_VALUE""")," ADHBKQJ")</f>
        <v> ADHBKQJ</v>
      </c>
      <c r="C10491" s="42" t="str">
        <f>IFERROR(__xludf.DUMMYFUNCTION("""COMPUTED_VALUE"""),"NIBEL 11989 PINANG JAYA")</f>
        <v>NIBEL 11989 PINANG JAYA</v>
      </c>
      <c r="D10491" s="42"/>
      <c r="E10491" s="42"/>
      <c r="F10491" s="48" t="str">
        <f>IFERROR(__xludf.DUMMYFUNCTION("""COMPUTED_VALUE"""),"")</f>
        <v/>
      </c>
      <c r="G10491" s="42" t="str">
        <f>IFERROR(__xludf.DUMMYFUNCTION("""COMPUTED_VALUE"""),"PEMECAHAN")</f>
        <v>PEMECAHAN</v>
      </c>
      <c r="H10491" s="42">
        <f t="shared" si="1"/>
        <v>3345</v>
      </c>
    </row>
    <row r="10492" ht="22.5" customHeight="1">
      <c r="B10492" s="42" t="str">
        <f>IFERROR(__xludf.DUMMYFUNCTION("""COMPUTED_VALUE"""),"ABFCHNZD")</f>
        <v>ABFCHNZD</v>
      </c>
      <c r="C10492" s="42" t="str">
        <f>IFERROR(__xludf.DUMMYFUNCTION("""COMPUTED_VALUE"""),"B. 801/ Sukarame Baru")</f>
        <v>B. 801/ Sukarame Baru</v>
      </c>
      <c r="D10492" s="42"/>
      <c r="E10492" s="42"/>
      <c r="F10492" s="48" t="str">
        <f>IFERROR(__xludf.DUMMYFUNCTION("""COMPUTED_VALUE"""),"")</f>
        <v/>
      </c>
      <c r="G10492" s="42" t="str">
        <f>IFERROR(__xludf.DUMMYFUNCTION("""COMPUTED_VALUE"""),"Ganti Nama")</f>
        <v>Ganti Nama</v>
      </c>
      <c r="H10492" s="42">
        <f t="shared" si="1"/>
        <v>3345</v>
      </c>
    </row>
    <row r="10493" ht="22.5" customHeight="1">
      <c r="B10493" s="42" t="str">
        <f>IFERROR(__xludf.DUMMYFUNCTION("""COMPUTED_VALUE"""),"ABBWSASX")</f>
        <v>ABBWSASX</v>
      </c>
      <c r="C10493" s="42" t="str">
        <f>IFERROR(__xludf.DUMMYFUNCTION("""COMPUTED_VALUE"""),"B. 802/ Sukarame Baru")</f>
        <v>B. 802/ Sukarame Baru</v>
      </c>
      <c r="D10493" s="42"/>
      <c r="E10493" s="42"/>
      <c r="F10493" s="48" t="str">
        <f>IFERROR(__xludf.DUMMYFUNCTION("""COMPUTED_VALUE"""),"")</f>
        <v/>
      </c>
      <c r="G10493" s="42" t="str">
        <f>IFERROR(__xludf.DUMMYFUNCTION("""COMPUTED_VALUE"""),"Ganti Nama")</f>
        <v>Ganti Nama</v>
      </c>
      <c r="H10493" s="42">
        <f t="shared" si="1"/>
        <v>3345</v>
      </c>
    </row>
    <row r="10494" ht="22.5" customHeight="1">
      <c r="B10494" s="42" t="str">
        <f>IFERROR(__xludf.DUMMYFUNCTION("""COMPUTED_VALUE"""),"ABQGAMZC")</f>
        <v>ABQGAMZC</v>
      </c>
      <c r="C10494" s="42" t="str">
        <f>IFERROR(__xludf.DUMMYFUNCTION("""COMPUTED_VALUE"""),"B. 803/ Sukarame Baru")</f>
        <v>B. 803/ Sukarame Baru</v>
      </c>
      <c r="D10494" s="42"/>
      <c r="E10494" s="42"/>
      <c r="F10494" s="48" t="str">
        <f>IFERROR(__xludf.DUMMYFUNCTION("""COMPUTED_VALUE"""),"")</f>
        <v/>
      </c>
      <c r="G10494" s="42" t="str">
        <f>IFERROR(__xludf.DUMMYFUNCTION("""COMPUTED_VALUE"""),"Ganti Nama")</f>
        <v>Ganti Nama</v>
      </c>
      <c r="H10494" s="42">
        <f t="shared" si="1"/>
        <v>3345</v>
      </c>
    </row>
    <row r="10495" ht="22.5" customHeight="1">
      <c r="B10495" s="42" t="str">
        <f>IFERROR(__xludf.DUMMYFUNCTION("""COMPUTED_VALUE"""),"ABHRQKYW")</f>
        <v>ABHRQKYW</v>
      </c>
      <c r="C10495" s="42" t="str">
        <f>IFERROR(__xludf.DUMMYFUNCTION("""COMPUTED_VALUE"""),"B. 804/ Sukarame Baru")</f>
        <v>B. 804/ Sukarame Baru</v>
      </c>
      <c r="D10495" s="42"/>
      <c r="E10495" s="42"/>
      <c r="F10495" s="48" t="str">
        <f>IFERROR(__xludf.DUMMYFUNCTION("""COMPUTED_VALUE"""),"")</f>
        <v/>
      </c>
      <c r="G10495" s="42" t="str">
        <f>IFERROR(__xludf.DUMMYFUNCTION("""COMPUTED_VALUE"""),"Ganti Nama")</f>
        <v>Ganti Nama</v>
      </c>
      <c r="H10495" s="42">
        <f t="shared" si="1"/>
        <v>3345</v>
      </c>
    </row>
    <row r="10496" ht="22.5" customHeight="1">
      <c r="B10496" s="42" t="str">
        <f>IFERROR(__xludf.DUMMYFUNCTION("""COMPUTED_VALUE"""),"ABOPVFBI")</f>
        <v>ABOPVFBI</v>
      </c>
      <c r="C10496" s="42" t="str">
        <f>IFERROR(__xludf.DUMMYFUNCTION("""COMPUTED_VALUE"""),"B. 805/ Sukarame Baru")</f>
        <v>B. 805/ Sukarame Baru</v>
      </c>
      <c r="D10496" s="42"/>
      <c r="E10496" s="42"/>
      <c r="F10496" s="48" t="str">
        <f>IFERROR(__xludf.DUMMYFUNCTION("""COMPUTED_VALUE"""),"")</f>
        <v/>
      </c>
      <c r="G10496" s="42" t="str">
        <f>IFERROR(__xludf.DUMMYFUNCTION("""COMPUTED_VALUE"""),"Ganti Nama")</f>
        <v>Ganti Nama</v>
      </c>
      <c r="H10496" s="42">
        <f t="shared" si="1"/>
        <v>3345</v>
      </c>
    </row>
    <row r="10497" ht="22.5" customHeight="1">
      <c r="B10497" s="42" t="str">
        <f>IFERROR(__xludf.DUMMYFUNCTION("""COMPUTED_VALUE""")," AMZPQUA")</f>
        <v> AMZPQUA</v>
      </c>
      <c r="C10497" s="42" t="str">
        <f>IFERROR(__xludf.DUMMYFUNCTION("""COMPUTED_VALUE"""),"M.280 KETAPANG KUALA")</f>
        <v>M.280 KETAPANG KUALA</v>
      </c>
      <c r="D10497" s="42"/>
      <c r="E10497" s="42"/>
      <c r="F10497" s="48" t="str">
        <f>IFERROR(__xludf.DUMMYFUNCTION("""COMPUTED_VALUE"""),"")</f>
        <v/>
      </c>
      <c r="G10497" s="42" t="str">
        <f>IFERROR(__xludf.DUMMYFUNCTION("""COMPUTED_VALUE"""),"WARIS")</f>
        <v>WARIS</v>
      </c>
      <c r="H10497" s="42">
        <f t="shared" si="1"/>
        <v>3345</v>
      </c>
    </row>
    <row r="10498" ht="22.5" customHeight="1">
      <c r="B10498" s="42" t="str">
        <f>IFERROR(__xludf.DUMMYFUNCTION("""COMPUTED_VALUE"""),"ABNQHZPA/1")</f>
        <v>ABNQHZPA/1</v>
      </c>
      <c r="C10498" s="42" t="str">
        <f>IFERROR(__xludf.DUMMYFUNCTION("""COMPUTED_VALUE"""),"Hgb.00297/Campang Jaya")</f>
        <v>Hgb.00297/Campang Jaya</v>
      </c>
      <c r="D10498" s="42"/>
      <c r="E10498" s="42"/>
      <c r="F10498" s="48" t="str">
        <f>IFERROR(__xludf.DUMMYFUNCTION("""COMPUTED_VALUE"""),"")</f>
        <v/>
      </c>
      <c r="G10498" s="42" t="str">
        <f>IFERROR(__xludf.DUMMYFUNCTION("""COMPUTED_VALUE"""),"AJB BN")</f>
        <v>AJB BN</v>
      </c>
      <c r="H10498" s="42">
        <f t="shared" si="1"/>
        <v>3345</v>
      </c>
    </row>
    <row r="10499" ht="22.5" customHeight="1">
      <c r="B10499" s="42" t="str">
        <f>IFERROR(__xludf.DUMMYFUNCTION("""COMPUTED_VALUE"""),"ABOOCJRL/1")</f>
        <v>ABOOCJRL/1</v>
      </c>
      <c r="C10499" s="42" t="str">
        <f>IFERROR(__xludf.DUMMYFUNCTION("""COMPUTED_VALUE"""),"M.2429/Campang Jaya")</f>
        <v>M.2429/Campang Jaya</v>
      </c>
      <c r="D10499" s="42"/>
      <c r="E10499" s="42"/>
      <c r="F10499" s="48" t="str">
        <f>IFERROR(__xludf.DUMMYFUNCTION("""COMPUTED_VALUE"""),"")</f>
        <v/>
      </c>
      <c r="G10499" s="42" t="str">
        <f>IFERROR(__xludf.DUMMYFUNCTION("""COMPUTED_VALUE"""),"AJB BN")</f>
        <v>AJB BN</v>
      </c>
      <c r="H10499" s="42">
        <f t="shared" si="1"/>
        <v>3345</v>
      </c>
    </row>
    <row r="10500" ht="22.5" customHeight="1">
      <c r="B10500" s="42" t="str">
        <f>IFERROR(__xludf.DUMMYFUNCTION("""COMPUTED_VALUE"""),"ABHLNFHV")</f>
        <v>ABHLNFHV</v>
      </c>
      <c r="C10500" s="42" t="str">
        <f>IFERROR(__xludf.DUMMYFUNCTION("""COMPUTED_VALUE"""),"1564/SU.K")</f>
        <v>1564/SU.K</v>
      </c>
      <c r="D10500" s="42"/>
      <c r="E10500" s="42"/>
      <c r="F10500" s="48" t="str">
        <f>IFERROR(__xludf.DUMMYFUNCTION("""COMPUTED_VALUE"""),"")</f>
        <v/>
      </c>
      <c r="G10500" s="42" t="str">
        <f>IFERROR(__xludf.DUMMYFUNCTION("""COMPUTED_VALUE"""),"JUAL BELI")</f>
        <v>JUAL BELI</v>
      </c>
      <c r="H10500" s="42">
        <f t="shared" si="1"/>
        <v>3345</v>
      </c>
    </row>
    <row r="10501" ht="22.5" customHeight="1">
      <c r="B10501" s="42" t="str">
        <f>IFERROR(__xludf.DUMMYFUNCTION("""COMPUTED_VALUE"""),"ABSJHCBL")</f>
        <v>ABSJHCBL</v>
      </c>
      <c r="C10501" s="42" t="str">
        <f>IFERROR(__xludf.DUMMYFUNCTION("""COMPUTED_VALUE"""),"08010000261410")</f>
        <v>08010000261410</v>
      </c>
      <c r="D10501" s="42"/>
      <c r="E10501" s="42"/>
      <c r="F10501" s="48" t="str">
        <f>IFERROR(__xludf.DUMMYFUNCTION("""COMPUTED_VALUE"""),"")</f>
        <v/>
      </c>
      <c r="G10501" s="42" t="str">
        <f>IFERROR(__xludf.DUMMYFUNCTION("""COMPUTED_VALUE"""),"JUAL BELI")</f>
        <v>JUAL BELI</v>
      </c>
      <c r="H10501" s="42">
        <f t="shared" si="1"/>
        <v>3345</v>
      </c>
    </row>
    <row r="10502" ht="22.5" customHeight="1">
      <c r="B10502" s="42" t="str">
        <f>IFERROR(__xludf.DUMMYFUNCTION("""COMPUTED_VALUE"""),"ABBPVVTP")</f>
        <v>ABBPVVTP</v>
      </c>
      <c r="C10502" s="42" t="str">
        <f>IFERROR(__xludf.DUMMYFUNCTION("""COMPUTED_VALUE"""),"08010000271570")</f>
        <v>08010000271570</v>
      </c>
      <c r="D10502" s="42"/>
      <c r="E10502" s="42"/>
      <c r="F10502" s="48" t="str">
        <f>IFERROR(__xludf.DUMMYFUNCTION("""COMPUTED_VALUE"""),"")</f>
        <v/>
      </c>
      <c r="G10502" s="42" t="str">
        <f>IFERROR(__xludf.DUMMYFUNCTION("""COMPUTED_VALUE"""),"HIBAH")</f>
        <v>HIBAH</v>
      </c>
      <c r="H10502" s="42">
        <f t="shared" si="1"/>
        <v>3345</v>
      </c>
    </row>
    <row r="10503" ht="22.5" customHeight="1">
      <c r="B10503" s="42" t="str">
        <f>IFERROR(__xludf.DUMMYFUNCTION("""COMPUTED_VALUE"""),"ABGFYFOW")</f>
        <v>ABGFYFOW</v>
      </c>
      <c r="C10503" s="42" t="str">
        <f>IFERROR(__xludf.DUMMYFUNCTION("""COMPUTED_VALUE"""),"NIBEL M 18621/ labuhan ratu raya ")</f>
        <v>NIBEL M 18621/ labuhan ratu raya </v>
      </c>
      <c r="D10503" s="42"/>
      <c r="E10503" s="42"/>
      <c r="F10503" s="48" t="str">
        <f>IFERROR(__xludf.DUMMYFUNCTION("""COMPUTED_VALUE"""),"")</f>
        <v/>
      </c>
      <c r="G10503" s="42" t="str">
        <f>IFERROR(__xludf.DUMMYFUNCTION("""COMPUTED_VALUE"""),"Balik nama jual beli")</f>
        <v>Balik nama jual beli</v>
      </c>
      <c r="H10503" s="42">
        <f t="shared" si="1"/>
        <v>3345</v>
      </c>
    </row>
    <row r="10504" ht="22.5" customHeight="1">
      <c r="B10504" s="42" t="str">
        <f>IFERROR(__xludf.DUMMYFUNCTION("""COMPUTED_VALUE"""),"ABVEADHZ")</f>
        <v>ABVEADHZ</v>
      </c>
      <c r="C10504" s="42" t="str">
        <f>IFERROR(__xludf.DUMMYFUNCTION("""COMPUTED_VALUE"""),"B. 806/ Sukarame Baru")</f>
        <v>B. 806/ Sukarame Baru</v>
      </c>
      <c r="D10504" s="42"/>
      <c r="E10504" s="42"/>
      <c r="F10504" s="48" t="str">
        <f>IFERROR(__xludf.DUMMYFUNCTION("""COMPUTED_VALUE"""),"")</f>
        <v/>
      </c>
      <c r="G10504" s="42" t="str">
        <f>IFERROR(__xludf.DUMMYFUNCTION("""COMPUTED_VALUE"""),"Ganti nama")</f>
        <v>Ganti nama</v>
      </c>
      <c r="H10504" s="42">
        <f t="shared" si="1"/>
        <v>3345</v>
      </c>
    </row>
    <row r="10505" ht="22.5" customHeight="1">
      <c r="B10505" s="42" t="str">
        <f>IFERROR(__xludf.DUMMYFUNCTION("""COMPUTED_VALUE"""),"ABJJQDSB")</f>
        <v>ABJJQDSB</v>
      </c>
      <c r="C10505" s="42" t="str">
        <f>IFERROR(__xludf.DUMMYFUNCTION("""COMPUTED_VALUE"""),"B. 807/ sukarame baru")</f>
        <v>B. 807/ sukarame baru</v>
      </c>
      <c r="D10505" s="42"/>
      <c r="E10505" s="42"/>
      <c r="F10505" s="48" t="str">
        <f>IFERROR(__xludf.DUMMYFUNCTION("""COMPUTED_VALUE"""),"")</f>
        <v/>
      </c>
      <c r="G10505" s="42" t="str">
        <f>IFERROR(__xludf.DUMMYFUNCTION("""COMPUTED_VALUE"""),"Ganti Nama")</f>
        <v>Ganti Nama</v>
      </c>
      <c r="H10505" s="42">
        <f t="shared" si="1"/>
        <v>3345</v>
      </c>
    </row>
    <row r="10506" ht="22.5" customHeight="1">
      <c r="B10506" s="42" t="str">
        <f>IFERROR(__xludf.DUMMYFUNCTION("""COMPUTED_VALUE"""),"ABYYLEBX")</f>
        <v>ABYYLEBX</v>
      </c>
      <c r="C10506" s="42" t="str">
        <f>IFERROR(__xludf.DUMMYFUNCTION("""COMPUTED_VALUE"""),"B. 808/ Sukarame Baru")</f>
        <v>B. 808/ Sukarame Baru</v>
      </c>
      <c r="D10506" s="42"/>
      <c r="E10506" s="42"/>
      <c r="F10506" s="48" t="str">
        <f>IFERROR(__xludf.DUMMYFUNCTION("""COMPUTED_VALUE"""),"")</f>
        <v/>
      </c>
      <c r="G10506" s="42" t="str">
        <f>IFERROR(__xludf.DUMMYFUNCTION("""COMPUTED_VALUE"""),"Ganti Nama")</f>
        <v>Ganti Nama</v>
      </c>
      <c r="H10506" s="42">
        <f t="shared" si="1"/>
        <v>3345</v>
      </c>
    </row>
    <row r="10507" ht="22.5" customHeight="1">
      <c r="B10507" s="42" t="str">
        <f>IFERROR(__xludf.DUMMYFUNCTION("""COMPUTED_VALUE"""),"ABFAJEJO")</f>
        <v>ABFAJEJO</v>
      </c>
      <c r="C10507" s="42" t="str">
        <f>IFERROR(__xludf.DUMMYFUNCTION("""COMPUTED_VALUE"""),"B. 810/ Sukarame Baru")</f>
        <v>B. 810/ Sukarame Baru</v>
      </c>
      <c r="D10507" s="42"/>
      <c r="E10507" s="42"/>
      <c r="F10507" s="48" t="str">
        <f>IFERROR(__xludf.DUMMYFUNCTION("""COMPUTED_VALUE"""),"")</f>
        <v/>
      </c>
      <c r="G10507" s="42" t="str">
        <f>IFERROR(__xludf.DUMMYFUNCTION("""COMPUTED_VALUE"""),"Ganti Nama")</f>
        <v>Ganti Nama</v>
      </c>
      <c r="H10507" s="42">
        <f t="shared" si="1"/>
        <v>3345</v>
      </c>
    </row>
    <row r="10508" ht="22.5" customHeight="1">
      <c r="B10508" s="42" t="str">
        <f>IFERROR(__xludf.DUMMYFUNCTION("""COMPUTED_VALUE"""),"ABDZAQIE")</f>
        <v>ABDZAQIE</v>
      </c>
      <c r="C10508" s="42" t="str">
        <f>IFERROR(__xludf.DUMMYFUNCTION("""COMPUTED_VALUE"""),"B. 811/ Sukarame Baru")</f>
        <v>B. 811/ Sukarame Baru</v>
      </c>
      <c r="D10508" s="42"/>
      <c r="E10508" s="42"/>
      <c r="F10508" s="48" t="str">
        <f>IFERROR(__xludf.DUMMYFUNCTION("""COMPUTED_VALUE"""),"")</f>
        <v/>
      </c>
      <c r="G10508" s="42" t="str">
        <f>IFERROR(__xludf.DUMMYFUNCTION("""COMPUTED_VALUE"""),"Ganti Nama")</f>
        <v>Ganti Nama</v>
      </c>
      <c r="H10508" s="42">
        <f t="shared" si="1"/>
        <v>3345</v>
      </c>
    </row>
    <row r="10509" ht="22.5" customHeight="1">
      <c r="B10509" s="42" t="str">
        <f>IFERROR(__xludf.DUMMYFUNCTION("""COMPUTED_VALUE"""),"ABYGTCRH/AB028")</f>
        <v>ABYGTCRH/AB028</v>
      </c>
      <c r="C10509" s="42" t="str">
        <f>IFERROR(__xludf.DUMMYFUNCTION("""COMPUTED_VALUE"""),"B. 21991/PANJANG UTARA")</f>
        <v>B. 21991/PANJANG UTARA</v>
      </c>
      <c r="D10509" s="42"/>
      <c r="E10509" s="42"/>
      <c r="F10509" s="48" t="str">
        <f>IFERROR(__xludf.DUMMYFUNCTION("""COMPUTED_VALUE"""),"")</f>
        <v/>
      </c>
      <c r="G10509" s="42" t="str">
        <f>IFERROR(__xludf.DUMMYFUNCTION("""COMPUTED_VALUE"""),"Balik nama jual beli")</f>
        <v>Balik nama jual beli</v>
      </c>
      <c r="H10509" s="42">
        <f t="shared" si="1"/>
        <v>3345</v>
      </c>
    </row>
    <row r="10510" ht="22.5" customHeight="1">
      <c r="B10510" s="42" t="str">
        <f>IFERROR(__xludf.DUMMYFUNCTION("""COMPUTED_VALUE"""),"-")</f>
        <v>-</v>
      </c>
      <c r="C10510" s="42" t="str">
        <f>IFERROR(__xludf.DUMMYFUNCTION("""COMPUTED_VALUE"""),"1873, Kel. Gedong air")</f>
        <v>1873, Kel. Gedong air</v>
      </c>
      <c r="D10510" s="42"/>
      <c r="E10510" s="42"/>
      <c r="F10510" s="48" t="str">
        <f>IFERROR(__xludf.DUMMYFUNCTION("""COMPUTED_VALUE"""),"")</f>
        <v/>
      </c>
      <c r="G10510" s="42" t="str">
        <f>IFERROR(__xludf.DUMMYFUNCTION("""COMPUTED_VALUE"""),"Ploting sertifikat ")</f>
        <v>Ploting sertifikat </v>
      </c>
      <c r="H10510" s="42">
        <f t="shared" si="1"/>
        <v>3345</v>
      </c>
    </row>
    <row r="10511" ht="22.5" customHeight="1">
      <c r="B10511" s="42" t="str">
        <f>IFERROR(__xludf.DUMMYFUNCTION("""COMPUTED_VALUE"""),"ABRNRNSJ/AB035")</f>
        <v>ABRNRNSJ/AB035</v>
      </c>
      <c r="C10511" s="42" t="str">
        <f>IFERROR(__xludf.DUMMYFUNCTION("""COMPUTED_VALUE"""),"M. 137/pematang wangi")</f>
        <v>M. 137/pematang wangi</v>
      </c>
      <c r="D10511" s="42"/>
      <c r="E10511" s="42"/>
      <c r="F10511" s="48" t="str">
        <f>IFERROR(__xludf.DUMMYFUNCTION("""COMPUTED_VALUE"""),"")</f>
        <v/>
      </c>
      <c r="G10511" s="42" t="str">
        <f>IFERROR(__xludf.DUMMYFUNCTION("""COMPUTED_VALUE"""),"Balik nama")</f>
        <v>Balik nama</v>
      </c>
      <c r="H10511" s="42">
        <f t="shared" si="1"/>
        <v>3345</v>
      </c>
    </row>
    <row r="10512" ht="22.5" customHeight="1">
      <c r="B10512" s="42" t="str">
        <f>IFERROR(__xludf.DUMMYFUNCTION("""COMPUTED_VALUE"""),"ABMOXSEC/AB035")</f>
        <v>ABMOXSEC/AB035</v>
      </c>
      <c r="C10512" s="42" t="str">
        <f>IFERROR(__xludf.DUMMYFUNCTION("""COMPUTED_VALUE"""),"M. 138/pematang wangi")</f>
        <v>M. 138/pematang wangi</v>
      </c>
      <c r="D10512" s="42"/>
      <c r="E10512" s="42"/>
      <c r="F10512" s="48" t="str">
        <f>IFERROR(__xludf.DUMMYFUNCTION("""COMPUTED_VALUE"""),"")</f>
        <v/>
      </c>
      <c r="G10512" s="42" t="str">
        <f>IFERROR(__xludf.DUMMYFUNCTION("""COMPUTED_VALUE"""),"Balik nama")</f>
        <v>Balik nama</v>
      </c>
      <c r="H10512" s="42">
        <f t="shared" si="1"/>
        <v>3345</v>
      </c>
    </row>
    <row r="10513" ht="22.5" customHeight="1">
      <c r="B10513" s="42" t="str">
        <f>IFERROR(__xludf.DUMMYFUNCTION("""COMPUTED_VALUE"""),"ABYAZUQB/AB035")</f>
        <v>ABYAZUQB/AB035</v>
      </c>
      <c r="C10513" s="42" t="str">
        <f>IFERROR(__xludf.DUMMYFUNCTION("""COMPUTED_VALUE"""),"M. 145 / pematang wangi")</f>
        <v>M. 145 / pematang wangi</v>
      </c>
      <c r="D10513" s="42"/>
      <c r="E10513" s="42"/>
      <c r="F10513" s="48" t="str">
        <f>IFERROR(__xludf.DUMMYFUNCTION("""COMPUTED_VALUE"""),"")</f>
        <v/>
      </c>
      <c r="G10513" s="42" t="str">
        <f>IFERROR(__xludf.DUMMYFUNCTION("""COMPUTED_VALUE"""),"Balik nama")</f>
        <v>Balik nama</v>
      </c>
      <c r="H10513" s="42">
        <f t="shared" si="1"/>
        <v>3345</v>
      </c>
    </row>
    <row r="10514" ht="22.5" customHeight="1">
      <c r="B10514" s="42" t="str">
        <f>IFERROR(__xludf.DUMMYFUNCTION("""COMPUTED_VALUE"""),"ABOLMBTV/AB01")</f>
        <v>ABOLMBTV/AB01</v>
      </c>
      <c r="C10514" s="42" t="str">
        <f>IFERROR(__xludf.DUMMYFUNCTION("""COMPUTED_VALUE"""),"M. 13444/Sukabumi")</f>
        <v>M. 13444/Sukabumi</v>
      </c>
      <c r="D10514" s="42"/>
      <c r="E10514" s="42"/>
      <c r="F10514" s="48" t="str">
        <f>IFERROR(__xludf.DUMMYFUNCTION("""COMPUTED_VALUE"""),"")</f>
        <v/>
      </c>
      <c r="G10514" s="42" t="str">
        <f>IFERROR(__xludf.DUMMYFUNCTION("""COMPUTED_VALUE"""),"Balik Nama Waris")</f>
        <v>Balik Nama Waris</v>
      </c>
      <c r="H10514" s="42">
        <f t="shared" si="1"/>
        <v>3345</v>
      </c>
    </row>
    <row r="10515" ht="22.5" customHeight="1">
      <c r="B10515" s="42" t="str">
        <f>IFERROR(__xludf.DUMMYFUNCTION("""COMPUTED_VALUE"""),"ABQQZJGV")</f>
        <v>ABQQZJGV</v>
      </c>
      <c r="C10515" s="42" t="str">
        <f>IFERROR(__xludf.DUMMYFUNCTION("""COMPUTED_VALUE"""),"NIBEL B 28859/ TANJUNG GADING")</f>
        <v>NIBEL B 28859/ TANJUNG GADING</v>
      </c>
      <c r="D10515" s="42"/>
      <c r="E10515" s="42"/>
      <c r="F10515" s="48" t="str">
        <f>IFERROR(__xludf.DUMMYFUNCTION("""COMPUTED_VALUE"""),"")</f>
        <v/>
      </c>
      <c r="G10515" s="42" t="str">
        <f>IFERROR(__xludf.DUMMYFUNCTION("""COMPUTED_VALUE"""),"Peningkatan Hak Milik")</f>
        <v>Peningkatan Hak Milik</v>
      </c>
      <c r="H10515" s="42">
        <f t="shared" si="1"/>
        <v>3345</v>
      </c>
    </row>
    <row r="10516" ht="22.5" customHeight="1">
      <c r="B10516" s="42" t="str">
        <f>IFERROR(__xludf.DUMMYFUNCTION("""COMPUTED_VALUE"""),"ABYUGBNW/AB028")</f>
        <v>ABYUGBNW/AB028</v>
      </c>
      <c r="C10516" s="42" t="str">
        <f>IFERROR(__xludf.DUMMYFUNCTION("""COMPUTED_VALUE"""),"M 2191/LABUHAN RATU RAYA")</f>
        <v>M 2191/LABUHAN RATU RAYA</v>
      </c>
      <c r="D10516" s="42"/>
      <c r="E10516" s="42"/>
      <c r="F10516" s="48" t="str">
        <f>IFERROR(__xludf.DUMMYFUNCTION("""COMPUTED_VALUE"""),"")</f>
        <v/>
      </c>
      <c r="G10516" s="42" t="str">
        <f>IFERROR(__xludf.DUMMYFUNCTION("""COMPUTED_VALUE"""),"Balik nama jual beli")</f>
        <v>Balik nama jual beli</v>
      </c>
      <c r="H10516" s="42">
        <f t="shared" si="1"/>
        <v>3345</v>
      </c>
    </row>
    <row r="10517" ht="22.5" customHeight="1">
      <c r="B10517" s="42" t="str">
        <f>IFERROR(__xludf.DUMMYFUNCTION("""COMPUTED_VALUE"""),"ABDUTSVS/Ab038")</f>
        <v>ABDUTSVS/Ab038</v>
      </c>
      <c r="C10517" s="42" t="str">
        <f>IFERROR(__xludf.DUMMYFUNCTION("""COMPUTED_VALUE"""),"NibEL M 28863/Sukarame Baru")</f>
        <v>NibEL M 28863/Sukarame Baru</v>
      </c>
      <c r="D10517" s="42"/>
      <c r="E10517" s="42"/>
      <c r="F10517" s="48" t="str">
        <f>IFERROR(__xludf.DUMMYFUNCTION("""COMPUTED_VALUE"""),"")</f>
        <v/>
      </c>
      <c r="G10517" s="42" t="str">
        <f>IFERROR(__xludf.DUMMYFUNCTION("""COMPUTED_VALUE"""),"Peningkatan hak")</f>
        <v>Peningkatan hak</v>
      </c>
      <c r="H10517" s="42">
        <f t="shared" si="1"/>
        <v>3345</v>
      </c>
    </row>
    <row r="10518" ht="22.5" customHeight="1">
      <c r="B10518" s="42" t="str">
        <f>IFERROR(__xludf.DUMMYFUNCTION("""COMPUTED_VALUE"""),"ABTSZSZS")</f>
        <v>ABTSZSZS</v>
      </c>
      <c r="C10518" s="42" t="str">
        <f>IFERROR(__xludf.DUMMYFUNCTION("""COMPUTED_VALUE"""),"B 5051/ SUKABUMI")</f>
        <v>B 5051/ SUKABUMI</v>
      </c>
      <c r="D10518" s="42"/>
      <c r="E10518" s="42"/>
      <c r="F10518" s="48" t="str">
        <f>IFERROR(__xludf.DUMMYFUNCTION("""COMPUTED_VALUE"""),"")</f>
        <v/>
      </c>
      <c r="G10518" s="42" t="str">
        <f>IFERROR(__xludf.DUMMYFUNCTION("""COMPUTED_VALUE"""),"Balik Nama jual beli")</f>
        <v>Balik Nama jual beli</v>
      </c>
      <c r="H10518" s="42">
        <f t="shared" si="1"/>
        <v>3345</v>
      </c>
    </row>
    <row r="10519" ht="22.5" customHeight="1">
      <c r="B10519" s="42" t="str">
        <f>IFERROR(__xludf.DUMMYFUNCTION("""COMPUTED_VALUE"""),"L/1/060126/1")</f>
        <v>L/1/060126/1</v>
      </c>
      <c r="C10519" s="42" t="str">
        <f>IFERROR(__xludf.DUMMYFUNCTION("""COMPUTED_VALUE"""),"M. 456/PERUMNAS WAY KANDIS")</f>
        <v>M. 456/PERUMNAS WAY KANDIS</v>
      </c>
      <c r="D10519" s="42"/>
      <c r="E10519" s="42"/>
      <c r="F10519" s="48" t="str">
        <f>IFERROR(__xludf.DUMMYFUNCTION("""COMPUTED_VALUE"""),"")</f>
        <v/>
      </c>
      <c r="G10519" s="42" t="str">
        <f>IFERROR(__xludf.DUMMYFUNCTION("""COMPUTED_VALUE"""),"ROYA")</f>
        <v>ROYA</v>
      </c>
      <c r="H10519" s="42">
        <f t="shared" si="1"/>
        <v>3345</v>
      </c>
    </row>
    <row r="10520" ht="22.5" customHeight="1">
      <c r="B10520" s="42" t="str">
        <f>IFERROR(__xludf.DUMMYFUNCTION("""COMPUTED_VALUE"""),"AB059/ABWXQVL")</f>
        <v>AB059/ABWXQVL</v>
      </c>
      <c r="C10520" s="42" t="str">
        <f>IFERROR(__xludf.DUMMYFUNCTION("""COMPUTED_VALUE"""),"M. NIBEL 16255.0 / Bumi Kedamaian")</f>
        <v>M. NIBEL 16255.0 / Bumi Kedamaian</v>
      </c>
      <c r="D10520" s="42"/>
      <c r="E10520" s="42"/>
      <c r="F10520" s="48" t="str">
        <f>IFERROR(__xludf.DUMMYFUNCTION("""COMPUTED_VALUE"""),"")</f>
        <v/>
      </c>
      <c r="G10520" s="42" t="str">
        <f>IFERROR(__xludf.DUMMYFUNCTION("""COMPUTED_VALUE"""),"AJB")</f>
        <v>AJB</v>
      </c>
      <c r="H10520" s="42">
        <f t="shared" si="1"/>
        <v>3345</v>
      </c>
    </row>
    <row r="10521" ht="22.5" customHeight="1">
      <c r="B10521" s="42" t="str">
        <f>IFERROR(__xludf.DUMMYFUNCTION("""COMPUTED_VALUE"""),"AB059/ABEEOEEG")</f>
        <v>AB059/ABEEOEEG</v>
      </c>
      <c r="C10521" s="42" t="str">
        <f>IFERROR(__xludf.DUMMYFUNCTION("""COMPUTED_VALUE"""),"M. NIBEL 15548.0 / Bumi Kedamaian")</f>
        <v>M. NIBEL 15548.0 / Bumi Kedamaian</v>
      </c>
      <c r="D10521" s="42"/>
      <c r="E10521" s="42"/>
      <c r="F10521" s="48" t="str">
        <f>IFERROR(__xludf.DUMMYFUNCTION("""COMPUTED_VALUE"""),"")</f>
        <v/>
      </c>
      <c r="G10521" s="42" t="str">
        <f>IFERROR(__xludf.DUMMYFUNCTION("""COMPUTED_VALUE"""),"AJB")</f>
        <v>AJB</v>
      </c>
      <c r="H10521" s="42">
        <f t="shared" si="1"/>
        <v>3345</v>
      </c>
    </row>
    <row r="10522" ht="22.5" customHeight="1">
      <c r="B10522" s="42" t="str">
        <f>IFERROR(__xludf.DUMMYFUNCTION("""COMPUTED_VALUE"""),"AB059/ABZZAKKK")</f>
        <v>AB059/ABZZAKKK</v>
      </c>
      <c r="C10522" s="42" t="str">
        <f>IFERROR(__xludf.DUMMYFUNCTION("""COMPUTED_VALUE"""),"M. NIBEL 15549.0/ Bumi Kedamaian")</f>
        <v>M. NIBEL 15549.0/ Bumi Kedamaian</v>
      </c>
      <c r="D10522" s="42"/>
      <c r="E10522" s="42"/>
      <c r="F10522" s="48" t="str">
        <f>IFERROR(__xludf.DUMMYFUNCTION("""COMPUTED_VALUE"""),"")</f>
        <v/>
      </c>
      <c r="G10522" s="42" t="str">
        <f>IFERROR(__xludf.DUMMYFUNCTION("""COMPUTED_VALUE"""),"AJB")</f>
        <v>AJB</v>
      </c>
      <c r="H10522" s="42">
        <f t="shared" si="1"/>
        <v>3345</v>
      </c>
    </row>
    <row r="10523" ht="22.5" customHeight="1">
      <c r="B10523" s="42" t="str">
        <f>IFERROR(__xludf.DUMMYFUNCTION("""COMPUTED_VALUE"""),"ABHOUUCG")</f>
        <v>ABHOUUCG</v>
      </c>
      <c r="C10523" s="42">
        <f>IFERROR(__xludf.DUMMYFUNCTION("""COMPUTED_VALUE"""),28759.0)</f>
        <v>28759</v>
      </c>
      <c r="D10523" s="42"/>
      <c r="E10523" s="42"/>
      <c r="F10523" s="48" t="str">
        <f>IFERROR(__xludf.DUMMYFUNCTION("""COMPUTED_VALUE"""),"")</f>
        <v/>
      </c>
      <c r="G10523" s="42" t="str">
        <f>IFERROR(__xludf.DUMMYFUNCTION("""COMPUTED_VALUE"""),"Peningkatan hak")</f>
        <v>Peningkatan hak</v>
      </c>
      <c r="H10523" s="42">
        <f t="shared" si="1"/>
        <v>3345</v>
      </c>
    </row>
    <row r="10524" ht="22.5" customHeight="1">
      <c r="B10524" s="42" t="str">
        <f>IFERROR(__xludf.DUMMYFUNCTION("""COMPUTED_VALUE"""),"ABXQTOTL")</f>
        <v>ABXQTOTL</v>
      </c>
      <c r="C10524" s="42" t="str">
        <f>IFERROR(__xludf.DUMMYFUNCTION("""COMPUTED_VALUE"""),"04631/Keteguhan")</f>
        <v>04631/Keteguhan</v>
      </c>
      <c r="D10524" s="42"/>
      <c r="E10524" s="42"/>
      <c r="F10524" s="48" t="str">
        <f>IFERROR(__xludf.DUMMYFUNCTION("""COMPUTED_VALUE"""),"")</f>
        <v/>
      </c>
      <c r="G10524" s="42" t="str">
        <f>IFERROR(__xludf.DUMMYFUNCTION("""COMPUTED_VALUE"""),"Ajb")</f>
        <v>Ajb</v>
      </c>
      <c r="H10524" s="42">
        <f t="shared" si="1"/>
        <v>3345</v>
      </c>
    </row>
    <row r="10525" ht="22.5" customHeight="1">
      <c r="B10525" s="42">
        <f>IFERROR(__xludf.DUMMYFUNCTION("""COMPUTED_VALUE"""),50.0)</f>
        <v>50</v>
      </c>
      <c r="C10525" s="42" t="str">
        <f>IFERROR(__xludf.DUMMYFUNCTION("""COMPUTED_VALUE"""),"M 27961/ SUKARAME BARU")</f>
        <v>M 27961/ SUKARAME BARU</v>
      </c>
      <c r="D10525" s="42"/>
      <c r="E10525" s="42"/>
      <c r="F10525" s="48" t="str">
        <f>IFERROR(__xludf.DUMMYFUNCTION("""COMPUTED_VALUE"""),"")</f>
        <v/>
      </c>
      <c r="G10525" s="42" t="str">
        <f>IFERROR(__xludf.DUMMYFUNCTION("""COMPUTED_VALUE"""),"Peningkatan Hak")</f>
        <v>Peningkatan Hak</v>
      </c>
      <c r="H10525" s="42">
        <f t="shared" si="1"/>
        <v>3345</v>
      </c>
    </row>
    <row r="10526" ht="22.5" customHeight="1">
      <c r="B10526" s="42" t="str">
        <f>IFERROR(__xludf.DUMMYFUNCTION("""COMPUTED_VALUE"""),"AB050")</f>
        <v>AB050</v>
      </c>
      <c r="C10526" s="42" t="str">
        <f>IFERROR(__xludf.DUMMYFUNCTION("""COMPUTED_VALUE"""),"M 27962/ SUKARAME BARU")</f>
        <v>M 27962/ SUKARAME BARU</v>
      </c>
      <c r="D10526" s="42"/>
      <c r="E10526" s="42"/>
      <c r="F10526" s="48" t="str">
        <f>IFERROR(__xludf.DUMMYFUNCTION("""COMPUTED_VALUE"""),"")</f>
        <v/>
      </c>
      <c r="G10526" s="42" t="str">
        <f>IFERROR(__xludf.DUMMYFUNCTION("""COMPUTED_VALUE"""),"Peningkatan Hak")</f>
        <v>Peningkatan Hak</v>
      </c>
      <c r="H10526" s="42">
        <f t="shared" si="1"/>
        <v>3345</v>
      </c>
    </row>
    <row r="10527" ht="22.5" customHeight="1">
      <c r="B10527" s="42" t="str">
        <f>IFERROR(__xludf.DUMMYFUNCTION("""COMPUTED_VALUE"""),"AFEBHOE")</f>
        <v>AFEBHOE</v>
      </c>
      <c r="C10527" s="42" t="str">
        <f>IFERROR(__xludf.DUMMYFUNCTION("""COMPUTED_VALUE"""),"NIBEL 3393 RAJABASA JAYA")</f>
        <v>NIBEL 3393 RAJABASA JAYA</v>
      </c>
      <c r="D10527" s="42"/>
      <c r="E10527" s="42"/>
      <c r="F10527" s="48" t="str">
        <f>IFERROR(__xludf.DUMMYFUNCTION("""COMPUTED_VALUE"""),"")</f>
        <v/>
      </c>
      <c r="G10527" s="42" t="str">
        <f>IFERROR(__xludf.DUMMYFUNCTION("""COMPUTED_VALUE"""),"BN LELANG")</f>
        <v>BN LELANG</v>
      </c>
      <c r="H10527" s="42">
        <f t="shared" si="1"/>
        <v>3345</v>
      </c>
    </row>
    <row r="10528" ht="22.5" customHeight="1">
      <c r="B10528" s="42" t="str">
        <f>IFERROR(__xludf.DUMMYFUNCTION("""COMPUTED_VALUE"""),"ABJTMFCJ/AQB034")</f>
        <v>ABJTMFCJ/AQB034</v>
      </c>
      <c r="C10528" s="42" t="str">
        <f>IFERROR(__xludf.DUMMYFUNCTION("""COMPUTED_VALUE"""),"M. 10315/Segala Mider")</f>
        <v>M. 10315/Segala Mider</v>
      </c>
      <c r="D10528" s="42"/>
      <c r="E10528" s="42"/>
      <c r="F10528" s="48" t="str">
        <f>IFERROR(__xludf.DUMMYFUNCTION("""COMPUTED_VALUE"""),"")</f>
        <v/>
      </c>
      <c r="G10528" s="42" t="str">
        <f>IFERROR(__xludf.DUMMYFUNCTION("""COMPUTED_VALUE"""),"Balik nama jual beli")</f>
        <v>Balik nama jual beli</v>
      </c>
      <c r="H10528" s="42">
        <f t="shared" si="1"/>
        <v>3345</v>
      </c>
    </row>
    <row r="10529" ht="22.5" customHeight="1">
      <c r="B10529" s="42" t="str">
        <f>IFERROR(__xludf.DUMMYFUNCTION("""COMPUTED_VALUE"""),"ABGHUJIU")</f>
        <v>ABGHUJIU</v>
      </c>
      <c r="C10529" s="42" t="str">
        <f>IFERROR(__xludf.DUMMYFUNCTION("""COMPUTED_VALUE"""),"B 153/ SUMBER AGUNG")</f>
        <v>B 153/ SUMBER AGUNG</v>
      </c>
      <c r="D10529" s="42"/>
      <c r="E10529" s="42"/>
      <c r="F10529" s="48" t="str">
        <f>IFERROR(__xludf.DUMMYFUNCTION("""COMPUTED_VALUE"""),"")</f>
        <v/>
      </c>
      <c r="G10529" s="42" t="str">
        <f>IFERROR(__xludf.DUMMYFUNCTION("""COMPUTED_VALUE"""),"Peralihan Hak")</f>
        <v>Peralihan Hak</v>
      </c>
      <c r="H10529" s="42">
        <f t="shared" si="1"/>
        <v>3345</v>
      </c>
    </row>
    <row r="10530" ht="22.5" customHeight="1">
      <c r="B10530" s="42" t="str">
        <f>IFERROR(__xludf.DUMMYFUNCTION("""COMPUTED_VALUE"""),"ABTITOBG/AB054")</f>
        <v>ABTITOBG/AB054</v>
      </c>
      <c r="C10530" s="42" t="str">
        <f>IFERROR(__xludf.DUMMYFUNCTION("""COMPUTED_VALUE"""),"M.02710/Bumi Waras")</f>
        <v>M.02710/Bumi Waras</v>
      </c>
      <c r="D10530" s="42"/>
      <c r="E10530" s="42"/>
      <c r="F10530" s="48" t="str">
        <f>IFERROR(__xludf.DUMMYFUNCTION("""COMPUTED_VALUE"""),"")</f>
        <v/>
      </c>
      <c r="G10530" s="42" t="str">
        <f>IFERROR(__xludf.DUMMYFUNCTION("""COMPUTED_VALUE"""),"BN HIBAH")</f>
        <v>BN HIBAH</v>
      </c>
      <c r="H10530" s="42">
        <f t="shared" si="1"/>
        <v>3345</v>
      </c>
    </row>
    <row r="10531" ht="22.5" customHeight="1">
      <c r="B10531" s="42" t="str">
        <f>IFERROR(__xludf.DUMMYFUNCTION("""COMPUTED_VALUE"""),"L/1/070126/1")</f>
        <v>L/1/070126/1</v>
      </c>
      <c r="C10531" s="42" t="str">
        <f>IFERROR(__xludf.DUMMYFUNCTION("""COMPUTED_VALUE"""),"M. 945/GOTONG ROYONG")</f>
        <v>M. 945/GOTONG ROYONG</v>
      </c>
      <c r="D10531" s="42"/>
      <c r="E10531" s="42"/>
      <c r="F10531" s="48" t="str">
        <f>IFERROR(__xludf.DUMMYFUNCTION("""COMPUTED_VALUE"""),"")</f>
        <v/>
      </c>
      <c r="G10531" s="42" t="str">
        <f>IFERROR(__xludf.DUMMYFUNCTION("""COMPUTED_VALUE"""),"ROYA")</f>
        <v>ROYA</v>
      </c>
      <c r="H10531" s="42">
        <f t="shared" si="1"/>
        <v>3345</v>
      </c>
    </row>
    <row r="10532" ht="22.5" customHeight="1">
      <c r="B10532" s="42" t="str">
        <f>IFERROR(__xludf.DUMMYFUNCTION("""COMPUTED_VALUE"""),"ABUPMERQ")</f>
        <v>ABUPMERQ</v>
      </c>
      <c r="C10532" s="42" t="str">
        <f>IFERROR(__xludf.DUMMYFUNCTION("""COMPUTED_VALUE"""),"NIBEL M 27421/ kota baru")</f>
        <v>NIBEL M 27421/ kota baru</v>
      </c>
      <c r="D10532" s="42"/>
      <c r="E10532" s="42"/>
      <c r="F10532" s="48" t="str">
        <f>IFERROR(__xludf.DUMMYFUNCTION("""COMPUTED_VALUE"""),"")</f>
        <v/>
      </c>
      <c r="G10532" s="42" t="str">
        <f>IFERROR(__xludf.DUMMYFUNCTION("""COMPUTED_VALUE"""),"Peralihan hak (balik nama) jual beli")</f>
        <v>Peralihan hak (balik nama) jual beli</v>
      </c>
      <c r="H10532" s="42">
        <f t="shared" si="1"/>
        <v>3345</v>
      </c>
    </row>
    <row r="10533" ht="22.5" customHeight="1">
      <c r="B10533" s="42" t="str">
        <f>IFERROR(__xludf.DUMMYFUNCTION("""COMPUTED_VALUE"""),"ABHUJKIE")</f>
        <v>ABHUJKIE</v>
      </c>
      <c r="C10533" s="42" t="str">
        <f>IFERROR(__xludf.DUMMYFUNCTION("""COMPUTED_VALUE"""),"M 94/ PESAWAHAN")</f>
        <v>M 94/ PESAWAHAN</v>
      </c>
      <c r="D10533" s="42"/>
      <c r="E10533" s="42"/>
      <c r="F10533" s="48" t="str">
        <f>IFERROR(__xludf.DUMMYFUNCTION("""COMPUTED_VALUE"""),"")</f>
        <v/>
      </c>
      <c r="G10533" s="42" t="str">
        <f>IFERROR(__xludf.DUMMYFUNCTION("""COMPUTED_VALUE"""),"BN WARIS")</f>
        <v>BN WARIS</v>
      </c>
      <c r="H10533" s="42">
        <f t="shared" si="1"/>
        <v>3345</v>
      </c>
    </row>
    <row r="10534" ht="22.5" customHeight="1">
      <c r="B10534" s="42">
        <f>IFERROR(__xludf.DUMMYFUNCTION("""COMPUTED_VALUE"""),45.0)</f>
        <v>45</v>
      </c>
      <c r="C10534" s="42">
        <f>IFERROR(__xludf.DUMMYFUNCTION("""COMPUTED_VALUE"""),20214.0)</f>
        <v>20214</v>
      </c>
      <c r="D10534" s="42"/>
      <c r="E10534" s="42"/>
      <c r="F10534" s="48" t="str">
        <f>IFERROR(__xludf.DUMMYFUNCTION("""COMPUTED_VALUE"""),"")</f>
        <v/>
      </c>
      <c r="G10534" s="42" t="str">
        <f>IFERROR(__xludf.DUMMYFUNCTION("""COMPUTED_VALUE"""),"Perbaikan Data")</f>
        <v>Perbaikan Data</v>
      </c>
      <c r="H10534" s="42">
        <f t="shared" si="1"/>
        <v>3345</v>
      </c>
    </row>
    <row r="10535" ht="22.5" customHeight="1">
      <c r="B10535" s="42" t="str">
        <f>IFERROR(__xludf.DUMMYFUNCTION("""COMPUTED_VALUE"""),"ABLHZFAP")</f>
        <v>ABLHZFAP</v>
      </c>
      <c r="C10535" s="42" t="str">
        <f>IFERROR(__xludf.DUMMYFUNCTION("""COMPUTED_VALUE"""),"M. 145/ KUPANG KOTA")</f>
        <v>M. 145/ KUPANG KOTA</v>
      </c>
      <c r="D10535" s="42"/>
      <c r="E10535" s="42"/>
      <c r="F10535" s="48" t="str">
        <f>IFERROR(__xludf.DUMMYFUNCTION("""COMPUTED_VALUE"""),"")</f>
        <v/>
      </c>
      <c r="G10535" s="42" t="str">
        <f>IFERROR(__xludf.DUMMYFUNCTION("""COMPUTED_VALUE"""),"BN JUAL BELI")</f>
        <v>BN JUAL BELI</v>
      </c>
      <c r="H10535" s="42">
        <f t="shared" si="1"/>
        <v>3345</v>
      </c>
    </row>
    <row r="10536" ht="22.5" customHeight="1">
      <c r="B10536" s="42" t="str">
        <f>IFERROR(__xludf.DUMMYFUNCTION("""COMPUTED_VALUE"""),"ABCLUXOE/AB030")</f>
        <v>ABCLUXOE/AB030</v>
      </c>
      <c r="C10536" s="42" t="str">
        <f>IFERROR(__xludf.DUMMYFUNCTION("""COMPUTED_VALUE"""),"M. 34/ sumberejo sejahtera")</f>
        <v>M. 34/ sumberejo sejahtera</v>
      </c>
      <c r="D10536" s="42"/>
      <c r="E10536" s="42"/>
      <c r="F10536" s="48" t="str">
        <f>IFERROR(__xludf.DUMMYFUNCTION("""COMPUTED_VALUE"""),"")</f>
        <v/>
      </c>
      <c r="G10536" s="42" t="str">
        <f>IFERROR(__xludf.DUMMYFUNCTION("""COMPUTED_VALUE"""),"Balik nama jual beli")</f>
        <v>Balik nama jual beli</v>
      </c>
      <c r="H10536" s="42">
        <f t="shared" si="1"/>
        <v>3345</v>
      </c>
    </row>
    <row r="10537" ht="22.5" customHeight="1">
      <c r="B10537" s="42" t="str">
        <f>IFERROR(__xludf.DUMMYFUNCTION("""COMPUTED_VALUE"""),"K/2/070126/1")</f>
        <v>K/2/070126/1</v>
      </c>
      <c r="C10537" s="42" t="str">
        <f>IFERROR(__xludf.DUMMYFUNCTION("""COMPUTED_VALUE"""),"NIBEL B. 25896/KEMILING PERMAI")</f>
        <v>NIBEL B. 25896/KEMILING PERMAI</v>
      </c>
      <c r="D10537" s="42"/>
      <c r="E10537" s="42"/>
      <c r="F10537" s="48" t="str">
        <f>IFERROR(__xludf.DUMMYFUNCTION("""COMPUTED_VALUE"""),"")</f>
        <v/>
      </c>
      <c r="G10537" s="42" t="str">
        <f>IFERROR(__xludf.DUMMYFUNCTION("""COMPUTED_VALUE"""),"PENINGKATAN HAK")</f>
        <v>PENINGKATAN HAK</v>
      </c>
      <c r="H10537" s="42">
        <f t="shared" si="1"/>
        <v>3345</v>
      </c>
    </row>
    <row r="10538" ht="22.5" customHeight="1">
      <c r="B10538" s="42" t="str">
        <f>IFERROR(__xludf.DUMMYFUNCTION("""COMPUTED_VALUE"""),"AB057/ABAOISXK")</f>
        <v>AB057/ABAOISXK</v>
      </c>
      <c r="C10538" s="42" t="str">
        <f>IFERROR(__xludf.DUMMYFUNCTION("""COMPUTED_VALUE"""),"2123/PinangJaya")</f>
        <v>2123/PinangJaya</v>
      </c>
      <c r="D10538" s="42"/>
      <c r="E10538" s="42"/>
      <c r="F10538" s="48" t="str">
        <f>IFERROR(__xludf.DUMMYFUNCTION("""COMPUTED_VALUE"""),"")</f>
        <v/>
      </c>
      <c r="G10538" s="42" t="str">
        <f>IFERROR(__xludf.DUMMYFUNCTION("""COMPUTED_VALUE"""),"PTPGT")</f>
        <v>PTPGT</v>
      </c>
      <c r="H10538" s="42">
        <f t="shared" si="1"/>
        <v>3345</v>
      </c>
    </row>
    <row r="10539" ht="22.5" customHeight="1">
      <c r="B10539" s="42" t="str">
        <f>IFERROR(__xludf.DUMMYFUNCTION("""COMPUTED_VALUE"""),"AB046/ABDQSWSG")</f>
        <v>AB046/ABDQSWSG</v>
      </c>
      <c r="C10539" s="42" t="str">
        <f>IFERROR(__xludf.DUMMYFUNCTION("""COMPUTED_VALUE"""),"SHM NIB EL 27257.0/Rajabasa")</f>
        <v>SHM NIB EL 27257.0/Rajabasa</v>
      </c>
      <c r="D10539" s="42"/>
      <c r="E10539" s="42"/>
      <c r="F10539" s="48" t="str">
        <f>IFERROR(__xludf.DUMMYFUNCTION("""COMPUTED_VALUE"""),"")</f>
        <v/>
      </c>
      <c r="G10539" s="42" t="str">
        <f>IFERROR(__xludf.DUMMYFUNCTION("""COMPUTED_VALUE"""),"AJB")</f>
        <v>AJB</v>
      </c>
      <c r="H10539" s="42">
        <f t="shared" si="1"/>
        <v>3345</v>
      </c>
    </row>
    <row r="10540" ht="22.5" customHeight="1">
      <c r="B10540" s="42" t="str">
        <f>IFERROR(__xludf.DUMMYFUNCTION("""COMPUTED_VALUE"""),"ABBUWDSY")</f>
        <v>ABBUWDSY</v>
      </c>
      <c r="C10540" s="42" t="str">
        <f>IFERROR(__xludf.DUMMYFUNCTION("""COMPUTED_VALUE"""),"M 1454")</f>
        <v>M 1454</v>
      </c>
      <c r="D10540" s="42"/>
      <c r="E10540" s="42"/>
      <c r="F10540" s="48" t="str">
        <f>IFERROR(__xludf.DUMMYFUNCTION("""COMPUTED_VALUE"""),"")</f>
        <v/>
      </c>
      <c r="G10540" s="42" t="str">
        <f>IFERROR(__xludf.DUMMYFUNCTION("""COMPUTED_VALUE"""),"Peralihan hak")</f>
        <v>Peralihan hak</v>
      </c>
      <c r="H10540" s="42">
        <f t="shared" si="1"/>
        <v>3345</v>
      </c>
    </row>
    <row r="10541" ht="22.5" customHeight="1">
      <c r="B10541" s="42" t="str">
        <f>IFERROR(__xludf.DUMMYFUNCTION("""COMPUTED_VALUE"""),"Abtmgcbo")</f>
        <v>Abtmgcbo</v>
      </c>
      <c r="C10541" s="42" t="str">
        <f>IFERROR(__xludf.DUMMYFUNCTION("""COMPUTED_VALUE"""),"12958/kedamaian")</f>
        <v>12958/kedamaian</v>
      </c>
      <c r="D10541" s="42"/>
      <c r="E10541" s="42"/>
      <c r="F10541" s="48" t="str">
        <f>IFERROR(__xludf.DUMMYFUNCTION("""COMPUTED_VALUE"""),"")</f>
        <v/>
      </c>
      <c r="G10541" s="42" t="str">
        <f>IFERROR(__xludf.DUMMYFUNCTION("""COMPUTED_VALUE"""),"Balik nama")</f>
        <v>Balik nama</v>
      </c>
      <c r="H10541" s="42">
        <f t="shared" si="1"/>
        <v>3345</v>
      </c>
    </row>
    <row r="10542" ht="22.5" customHeight="1">
      <c r="B10542" s="42" t="str">
        <f>IFERROR(__xludf.DUMMYFUNCTION("""COMPUTED_VALUE"""),"ABSPKCKX")</f>
        <v>ABSPKCKX</v>
      </c>
      <c r="C10542" s="42" t="str">
        <f>IFERROR(__xludf.DUMMYFUNCTION("""COMPUTED_VALUE"""),"B 812/ SUKARAME BARU")</f>
        <v>B 812/ SUKARAME BARU</v>
      </c>
      <c r="D10542" s="42"/>
      <c r="E10542" s="42"/>
      <c r="F10542" s="48" t="str">
        <f>IFERROR(__xludf.DUMMYFUNCTION("""COMPUTED_VALUE"""),"")</f>
        <v/>
      </c>
      <c r="G10542" s="42" t="str">
        <f>IFERROR(__xludf.DUMMYFUNCTION("""COMPUTED_VALUE"""),"Ganti Nama")</f>
        <v>Ganti Nama</v>
      </c>
      <c r="H10542" s="42">
        <f t="shared" si="1"/>
        <v>3345</v>
      </c>
    </row>
    <row r="10543" ht="22.5" customHeight="1">
      <c r="B10543" s="42" t="str">
        <f>IFERROR(__xludf.DUMMYFUNCTION("""COMPUTED_VALUE"""),"ABNYCCGW")</f>
        <v>ABNYCCGW</v>
      </c>
      <c r="C10543" s="42" t="str">
        <f>IFERROR(__xludf.DUMMYFUNCTION("""COMPUTED_VALUE"""),"B 814/ SUKARAME BARU")</f>
        <v>B 814/ SUKARAME BARU</v>
      </c>
      <c r="D10543" s="42"/>
      <c r="E10543" s="42"/>
      <c r="F10543" s="48" t="str">
        <f>IFERROR(__xludf.DUMMYFUNCTION("""COMPUTED_VALUE"""),"")</f>
        <v/>
      </c>
      <c r="G10543" s="42" t="str">
        <f>IFERROR(__xludf.DUMMYFUNCTION("""COMPUTED_VALUE"""),"Ganti Nama")</f>
        <v>Ganti Nama</v>
      </c>
      <c r="H10543" s="42">
        <f t="shared" si="1"/>
        <v>3345</v>
      </c>
    </row>
    <row r="10544" ht="22.5" customHeight="1">
      <c r="B10544" s="42" t="str">
        <f>IFERROR(__xludf.DUMMYFUNCTION("""COMPUTED_VALUE"""),"ABVOGHPV")</f>
        <v>ABVOGHPV</v>
      </c>
      <c r="C10544" s="42" t="str">
        <f>IFERROR(__xludf.DUMMYFUNCTION("""COMPUTED_VALUE"""),"B 815/ SUKARAME BARU")</f>
        <v>B 815/ SUKARAME BARU</v>
      </c>
      <c r="D10544" s="42"/>
      <c r="E10544" s="42"/>
      <c r="F10544" s="48" t="str">
        <f>IFERROR(__xludf.DUMMYFUNCTION("""COMPUTED_VALUE"""),"")</f>
        <v/>
      </c>
      <c r="G10544" s="42" t="str">
        <f>IFERROR(__xludf.DUMMYFUNCTION("""COMPUTED_VALUE"""),"Ganti Nama")</f>
        <v>Ganti Nama</v>
      </c>
      <c r="H10544" s="42">
        <f t="shared" si="1"/>
        <v>3345</v>
      </c>
    </row>
    <row r="10545" ht="22.5" customHeight="1">
      <c r="B10545" s="42" t="str">
        <f>IFERROR(__xludf.DUMMYFUNCTION("""COMPUTED_VALUE"""),"ABMIBPHC")</f>
        <v>ABMIBPHC</v>
      </c>
      <c r="C10545" s="42" t="str">
        <f>IFERROR(__xludf.DUMMYFUNCTION("""COMPUTED_VALUE"""),"B 816/ SUKARAME BARU")</f>
        <v>B 816/ SUKARAME BARU</v>
      </c>
      <c r="D10545" s="42"/>
      <c r="E10545" s="42"/>
      <c r="F10545" s="48" t="str">
        <f>IFERROR(__xludf.DUMMYFUNCTION("""COMPUTED_VALUE"""),"")</f>
        <v/>
      </c>
      <c r="G10545" s="42" t="str">
        <f>IFERROR(__xludf.DUMMYFUNCTION("""COMPUTED_VALUE"""),"Ganti Nama")</f>
        <v>Ganti Nama</v>
      </c>
      <c r="H10545" s="42">
        <f t="shared" si="1"/>
        <v>3345</v>
      </c>
    </row>
    <row r="10546" ht="22.5" customHeight="1">
      <c r="B10546" s="42" t="str">
        <f>IFERROR(__xludf.DUMMYFUNCTION("""COMPUTED_VALUE"""),"ABCGKTYA")</f>
        <v>ABCGKTYA</v>
      </c>
      <c r="C10546" s="42" t="str">
        <f>IFERROR(__xludf.DUMMYFUNCTION("""COMPUTED_VALUE"""),"B 817/ SUKARAME BARU")</f>
        <v>B 817/ SUKARAME BARU</v>
      </c>
      <c r="D10546" s="42"/>
      <c r="E10546" s="42"/>
      <c r="F10546" s="48" t="str">
        <f>IFERROR(__xludf.DUMMYFUNCTION("""COMPUTED_VALUE"""),"")</f>
        <v/>
      </c>
      <c r="G10546" s="42" t="str">
        <f>IFERROR(__xludf.DUMMYFUNCTION("""COMPUTED_VALUE"""),"Ganti Nama")</f>
        <v>Ganti Nama</v>
      </c>
      <c r="H10546" s="42">
        <f t="shared" si="1"/>
        <v>3345</v>
      </c>
    </row>
    <row r="10547" ht="22.5" customHeight="1">
      <c r="B10547" s="42" t="str">
        <f>IFERROR(__xludf.DUMMYFUNCTION("""COMPUTED_VALUE"""),"L/4/070126/1")</f>
        <v>L/4/070126/1</v>
      </c>
      <c r="C10547" s="42" t="str">
        <f>IFERROR(__xludf.DUMMYFUNCTION("""COMPUTED_VALUE"""),"M. 887/RAJABASA RAYA")</f>
        <v>M. 887/RAJABASA RAYA</v>
      </c>
      <c r="D10547" s="42"/>
      <c r="E10547" s="42"/>
      <c r="F10547" s="48" t="str">
        <f>IFERROR(__xludf.DUMMYFUNCTION("""COMPUTED_VALUE"""),"")</f>
        <v/>
      </c>
      <c r="G10547" s="42" t="str">
        <f>IFERROR(__xludf.DUMMYFUNCTION("""COMPUTED_VALUE"""),"ROYA")</f>
        <v>ROYA</v>
      </c>
      <c r="H10547" s="42">
        <f t="shared" si="1"/>
        <v>3345</v>
      </c>
    </row>
    <row r="10548" ht="22.5" customHeight="1">
      <c r="B10548" s="42" t="str">
        <f>IFERROR(__xludf.DUMMYFUNCTION("""COMPUTED_VALUE"""),"ABZPEJDA/Ab037")</f>
        <v>ABZPEJDA/Ab037</v>
      </c>
      <c r="C10548" s="42" t="str">
        <f>IFERROR(__xludf.DUMMYFUNCTION("""COMPUTED_VALUE"""),"M. Nibel 23138/Labuhan Ratu Raya")</f>
        <v>M. Nibel 23138/Labuhan Ratu Raya</v>
      </c>
      <c r="D10548" s="42"/>
      <c r="E10548" s="42"/>
      <c r="F10548" s="48" t="str">
        <f>IFERROR(__xludf.DUMMYFUNCTION("""COMPUTED_VALUE"""),"")</f>
        <v/>
      </c>
      <c r="G10548" s="42" t="str">
        <f>IFERROR(__xludf.DUMMYFUNCTION("""COMPUTED_VALUE"""),"Balik nama jual beli")</f>
        <v>Balik nama jual beli</v>
      </c>
      <c r="H10548" s="42">
        <f t="shared" si="1"/>
        <v>3345</v>
      </c>
    </row>
    <row r="10549" ht="22.5" customHeight="1">
      <c r="B10549" s="42" t="str">
        <f>IFERROR(__xludf.DUMMYFUNCTION("""COMPUTED_VALUE"""),"Abgplkvw")</f>
        <v>Abgplkvw</v>
      </c>
      <c r="C10549" s="42" t="str">
        <f>IFERROR(__xludf.DUMMYFUNCTION("""COMPUTED_VALUE"""),"M.995 / bumi kedamaian")</f>
        <v>M.995 / bumi kedamaian</v>
      </c>
      <c r="D10549" s="42"/>
      <c r="E10549" s="42"/>
      <c r="F10549" s="48" t="str">
        <f>IFERROR(__xludf.DUMMYFUNCTION("""COMPUTED_VALUE"""),"")</f>
        <v/>
      </c>
      <c r="G10549" s="42" t="str">
        <f>IFERROR(__xludf.DUMMYFUNCTION("""COMPUTED_VALUE"""),"BN waris")</f>
        <v>BN waris</v>
      </c>
      <c r="H10549" s="42">
        <f t="shared" si="1"/>
        <v>3345</v>
      </c>
    </row>
    <row r="10550" ht="22.5" customHeight="1">
      <c r="B10550" s="42" t="str">
        <f>IFERROR(__xludf.DUMMYFUNCTION("""COMPUTED_VALUE"""),"ABWNQKQL/1")</f>
        <v>ABWNQKQL/1</v>
      </c>
      <c r="C10550" s="42" t="str">
        <f>IFERROR(__xludf.DUMMYFUNCTION("""COMPUTED_VALUE"""),"M.7101/Gedung Meneng")</f>
        <v>M.7101/Gedung Meneng</v>
      </c>
      <c r="D10550" s="42"/>
      <c r="E10550" s="42"/>
      <c r="F10550" s="48" t="str">
        <f>IFERROR(__xludf.DUMMYFUNCTION("""COMPUTED_VALUE"""),"")</f>
        <v/>
      </c>
      <c r="G10550" s="42" t="str">
        <f>IFERROR(__xludf.DUMMYFUNCTION("""COMPUTED_VALUE"""),"BN Hibah")</f>
        <v>BN Hibah</v>
      </c>
      <c r="H10550" s="42">
        <f t="shared" si="1"/>
        <v>3345</v>
      </c>
    </row>
    <row r="10551" ht="22.5" customHeight="1">
      <c r="B10551" s="42" t="str">
        <f>IFERROR(__xludf.DUMMYFUNCTION("""COMPUTED_VALUE"""),"ABQMJLWH/Ab037")</f>
        <v>ABQMJLWH/Ab037</v>
      </c>
      <c r="C10551" s="42" t="str">
        <f>IFERROR(__xludf.DUMMYFUNCTION("""COMPUTED_VALUE"""),"M Nibel 23431/Sukarame Baru")</f>
        <v>M Nibel 23431/Sukarame Baru</v>
      </c>
      <c r="D10551" s="42"/>
      <c r="E10551" s="42"/>
      <c r="F10551" s="48" t="str">
        <f>IFERROR(__xludf.DUMMYFUNCTION("""COMPUTED_VALUE"""),"")</f>
        <v/>
      </c>
      <c r="G10551" s="42" t="str">
        <f>IFERROR(__xludf.DUMMYFUNCTION("""COMPUTED_VALUE"""),"Balik nama jual beli")</f>
        <v>Balik nama jual beli</v>
      </c>
      <c r="H10551" s="42">
        <f t="shared" si="1"/>
        <v>3345</v>
      </c>
    </row>
    <row r="10552" ht="22.5" customHeight="1">
      <c r="B10552" s="42" t="str">
        <f>IFERROR(__xludf.DUMMYFUNCTION("""COMPUTED_VALUE"""),"-")</f>
        <v>-</v>
      </c>
      <c r="C10552" s="42" t="str">
        <f>IFERROR(__xludf.DUMMYFUNCTION("""COMPUTED_VALUE"""),"Shm 10507/Sukarame")</f>
        <v>Shm 10507/Sukarame</v>
      </c>
      <c r="D10552" s="42"/>
      <c r="E10552" s="42"/>
      <c r="F10552" s="48" t="str">
        <f>IFERROR(__xludf.DUMMYFUNCTION("""COMPUTED_VALUE"""),"")</f>
        <v/>
      </c>
      <c r="G10552" s="42" t="str">
        <f>IFERROR(__xludf.DUMMYFUNCTION("""COMPUTED_VALUE"""),"Ploting")</f>
        <v>Ploting</v>
      </c>
      <c r="H10552" s="42">
        <f t="shared" si="1"/>
        <v>3345</v>
      </c>
    </row>
    <row r="10553" ht="22.5" customHeight="1">
      <c r="B10553" s="42" t="str">
        <f>IFERROR(__xludf.DUMMYFUNCTION("""COMPUTED_VALUE"""),"K/3/070126/1")</f>
        <v>K/3/070126/1</v>
      </c>
      <c r="C10553" s="42" t="str">
        <f>IFERROR(__xludf.DUMMYFUNCTION("""COMPUTED_VALUE"""),"M. 9955/GEDONG MENENG")</f>
        <v>M. 9955/GEDONG MENENG</v>
      </c>
      <c r="D10553" s="42"/>
      <c r="E10553" s="42"/>
      <c r="F10553" s="48" t="str">
        <f>IFERROR(__xludf.DUMMYFUNCTION("""COMPUTED_VALUE"""),"")</f>
        <v/>
      </c>
      <c r="G10553" s="42" t="str">
        <f>IFERROR(__xludf.DUMMYFUNCTION("""COMPUTED_VALUE"""),"BN WARIS")</f>
        <v>BN WARIS</v>
      </c>
      <c r="H10553" s="42">
        <f t="shared" si="1"/>
        <v>3345</v>
      </c>
    </row>
    <row r="10554" ht="22.5" customHeight="1">
      <c r="B10554" s="42" t="str">
        <f>IFERROR(__xludf.DUMMYFUNCTION("""COMPUTED_VALUE"""),"ABFJSHNW")</f>
        <v>ABFJSHNW</v>
      </c>
      <c r="C10554" s="42" t="str">
        <f>IFERROR(__xludf.DUMMYFUNCTION("""COMPUTED_VALUE"""),"00806")</f>
        <v>00806</v>
      </c>
      <c r="D10554" s="42"/>
      <c r="E10554" s="42"/>
      <c r="F10554" s="48" t="str">
        <f>IFERROR(__xludf.DUMMYFUNCTION("""COMPUTED_VALUE"""),"")</f>
        <v/>
      </c>
      <c r="G10554" s="42" t="str">
        <f>IFERROR(__xludf.DUMMYFUNCTION("""COMPUTED_VALUE"""),"Roya")</f>
        <v>Roya</v>
      </c>
      <c r="H10554" s="42">
        <f t="shared" si="1"/>
        <v>3345</v>
      </c>
    </row>
    <row r="10555" ht="22.5" customHeight="1">
      <c r="B10555" s="42" t="str">
        <f>IFERROR(__xludf.DUMMYFUNCTION("""COMPUTED_VALUE"""),"L/5/070126/1")</f>
        <v>L/5/070126/1</v>
      </c>
      <c r="C10555" s="42" t="str">
        <f>IFERROR(__xludf.DUMMYFUNCTION("""COMPUTED_VALUE"""),"B. 2133/SUKABUMI")</f>
        <v>B. 2133/SUKABUMI</v>
      </c>
      <c r="D10555" s="42"/>
      <c r="E10555" s="42"/>
      <c r="F10555" s="48" t="str">
        <f>IFERROR(__xludf.DUMMYFUNCTION("""COMPUTED_VALUE"""),"")</f>
        <v/>
      </c>
      <c r="G10555" s="42" t="str">
        <f>IFERROR(__xludf.DUMMYFUNCTION("""COMPUTED_VALUE"""),"PENINGKATAN HAK")</f>
        <v>PENINGKATAN HAK</v>
      </c>
      <c r="H10555" s="42">
        <f t="shared" si="1"/>
        <v>3345</v>
      </c>
    </row>
    <row r="10556" ht="22.5" customHeight="1">
      <c r="B10556" s="42" t="str">
        <f>IFERROR(__xludf.DUMMYFUNCTION("""COMPUTED_VALUE"""),"L/6/070126/1")</f>
        <v>L/6/070126/1</v>
      </c>
      <c r="C10556" s="42" t="str">
        <f>IFERROR(__xludf.DUMMYFUNCTION("""COMPUTED_VALUE"""),"B NIB. 26015/NUSANTARA PERMAI")</f>
        <v>B NIB. 26015/NUSANTARA PERMAI</v>
      </c>
      <c r="D10556" s="42"/>
      <c r="E10556" s="42"/>
      <c r="F10556" s="48" t="str">
        <f>IFERROR(__xludf.DUMMYFUNCTION("""COMPUTED_VALUE"""),"")</f>
        <v/>
      </c>
      <c r="G10556" s="42" t="str">
        <f>IFERROR(__xludf.DUMMYFUNCTION("""COMPUTED_VALUE"""),"PENINGKATAN HAK")</f>
        <v>PENINGKATAN HAK</v>
      </c>
      <c r="H10556" s="42">
        <f t="shared" si="1"/>
        <v>3345</v>
      </c>
    </row>
    <row r="10557" ht="22.5" customHeight="1">
      <c r="B10557" s="42" t="str">
        <f>IFERROR(__xludf.DUMMYFUNCTION("""COMPUTED_VALUE"""),"ABISGRPF/AB032")</f>
        <v>ABISGRPF/AB032</v>
      </c>
      <c r="C10557" s="42" t="str">
        <f>IFERROR(__xludf.DUMMYFUNCTION("""COMPUTED_VALUE"""),"M. 258 / Sukajawa Baru")</f>
        <v>M. 258 / Sukajawa Baru</v>
      </c>
      <c r="D10557" s="42"/>
      <c r="E10557" s="42"/>
      <c r="F10557" s="48" t="str">
        <f>IFERROR(__xludf.DUMMYFUNCTION("""COMPUTED_VALUE"""),"")</f>
        <v/>
      </c>
      <c r="G10557" s="42" t="str">
        <f>IFERROR(__xludf.DUMMYFUNCTION("""COMPUTED_VALUE"""),"BN Waris")</f>
        <v>BN Waris</v>
      </c>
      <c r="H10557" s="42">
        <f t="shared" si="1"/>
        <v>3345</v>
      </c>
    </row>
    <row r="10558" ht="22.5" customHeight="1">
      <c r="B10558" s="42" t="str">
        <f>IFERROR(__xludf.DUMMYFUNCTION("""COMPUTED_VALUE"""),"L/7/070126/1")</f>
        <v>L/7/070126/1</v>
      </c>
      <c r="C10558" s="42" t="str">
        <f>IFERROR(__xludf.DUMMYFUNCTION("""COMPUTED_VALUE"""),"M. 524/GOTONG ROYONG ENGGAL")</f>
        <v>M. 524/GOTONG ROYONG ENGGAL</v>
      </c>
      <c r="D10558" s="42"/>
      <c r="E10558" s="42"/>
      <c r="F10558" s="48" t="str">
        <f>IFERROR(__xludf.DUMMYFUNCTION("""COMPUTED_VALUE"""),"")</f>
        <v/>
      </c>
      <c r="G10558" s="42" t="str">
        <f>IFERROR(__xludf.DUMMYFUNCTION("""COMPUTED_VALUE"""),"ROYA WARIS")</f>
        <v>ROYA WARIS</v>
      </c>
      <c r="H10558" s="42">
        <f t="shared" si="1"/>
        <v>3345</v>
      </c>
    </row>
    <row r="10559" ht="22.5" customHeight="1">
      <c r="B10559" s="42" t="str">
        <f>IFERROR(__xludf.DUMMYFUNCTION("""COMPUTED_VALUE"""),"ABWPLFRC/AB064")</f>
        <v>ABWPLFRC/AB064</v>
      </c>
      <c r="C10559" s="42" t="str">
        <f>IFERROR(__xludf.DUMMYFUNCTION("""COMPUTED_VALUE"""),"M NIBEL 26247/Sukarame II")</f>
        <v>M NIBEL 26247/Sukarame II</v>
      </c>
      <c r="D10559" s="42"/>
      <c r="E10559" s="42"/>
      <c r="F10559" s="48" t="str">
        <f>IFERROR(__xludf.DUMMYFUNCTION("""COMPUTED_VALUE"""),"")</f>
        <v/>
      </c>
      <c r="G10559" s="42" t="str">
        <f>IFERROR(__xludf.DUMMYFUNCTION("""COMPUTED_VALUE"""),"balik nama")</f>
        <v>balik nama</v>
      </c>
      <c r="H10559" s="42">
        <f t="shared" si="1"/>
        <v>3345</v>
      </c>
    </row>
    <row r="10560" ht="22.5" customHeight="1">
      <c r="B10560" s="42" t="str">
        <f>IFERROR(__xludf.DUMMYFUNCTION("""COMPUTED_VALUE"""),"L/8/070126/1")</f>
        <v>L/8/070126/1</v>
      </c>
      <c r="C10560" s="42" t="str">
        <f>IFERROR(__xludf.DUMMYFUNCTION("""COMPUTED_VALUE"""),"B. 80/GEDUNG MENENG")</f>
        <v>B. 80/GEDUNG MENENG</v>
      </c>
      <c r="D10560" s="42"/>
      <c r="E10560" s="42"/>
      <c r="F10560" s="48" t="str">
        <f>IFERROR(__xludf.DUMMYFUNCTION("""COMPUTED_VALUE"""),"")</f>
        <v/>
      </c>
      <c r="G10560" s="42" t="str">
        <f>IFERROR(__xludf.DUMMYFUNCTION("""COMPUTED_VALUE"""),"PENINGKATAN HAK")</f>
        <v>PENINGKATAN HAK</v>
      </c>
      <c r="H10560" s="42">
        <f t="shared" si="1"/>
        <v>3345</v>
      </c>
    </row>
    <row r="10561" ht="22.5" customHeight="1">
      <c r="B10561" s="42" t="str">
        <f>IFERROR(__xludf.DUMMYFUNCTION("""COMPUTED_VALUE"""),"L/9/070126/1")</f>
        <v>L/9/070126/1</v>
      </c>
      <c r="C10561" s="42" t="str">
        <f>IFERROR(__xludf.DUMMYFUNCTION("""COMPUTED_VALUE"""),"M. 512/CAMPANG JAYA")</f>
        <v>M. 512/CAMPANG JAYA</v>
      </c>
      <c r="D10561" s="42"/>
      <c r="E10561" s="42"/>
      <c r="F10561" s="48" t="str">
        <f>IFERROR(__xludf.DUMMYFUNCTION("""COMPUTED_VALUE"""),"")</f>
        <v/>
      </c>
      <c r="G10561" s="42" t="str">
        <f>IFERROR(__xludf.DUMMYFUNCTION("""COMPUTED_VALUE"""),"ROYA")</f>
        <v>ROYA</v>
      </c>
      <c r="H10561" s="42">
        <f t="shared" si="1"/>
        <v>3345</v>
      </c>
    </row>
    <row r="10562" ht="22.5" customHeight="1">
      <c r="B10562" s="42" t="str">
        <f>IFERROR(__xludf.DUMMYFUNCTION("""COMPUTED_VALUE"""),"L/10/070126/1")</f>
        <v>L/10/070126/1</v>
      </c>
      <c r="C10562" s="42" t="str">
        <f>IFERROR(__xludf.DUMMYFUNCTION("""COMPUTED_VALUE"""),"PBT NO 191/2025 KEL. SUKADANAHAM")</f>
        <v>PBT NO 191/2025 KEL. SUKADANAHAM</v>
      </c>
      <c r="D10562" s="42"/>
      <c r="E10562" s="42"/>
      <c r="F10562" s="48" t="str">
        <f>IFERROR(__xludf.DUMMYFUNCTION("""COMPUTED_VALUE"""),"")</f>
        <v/>
      </c>
      <c r="G10562" s="42" t="str">
        <f>IFERROR(__xludf.DUMMYFUNCTION("""COMPUTED_VALUE"""),"PERMOHONAN SK")</f>
        <v>PERMOHONAN SK</v>
      </c>
      <c r="H10562" s="42">
        <f t="shared" si="1"/>
        <v>3345</v>
      </c>
    </row>
    <row r="10563" ht="22.5" customHeight="1">
      <c r="B10563" s="42" t="str">
        <f>IFERROR(__xludf.DUMMYFUNCTION("""COMPUTED_VALUE"""),"ABVSIEAQ")</f>
        <v>ABVSIEAQ</v>
      </c>
      <c r="C10563" s="42" t="str">
        <f>IFERROR(__xludf.DUMMYFUNCTION("""COMPUTED_VALUE"""),"M 14147/ SUKABUMI")</f>
        <v>M 14147/ SUKABUMI</v>
      </c>
      <c r="D10563" s="42"/>
      <c r="E10563" s="42"/>
      <c r="F10563" s="48" t="str">
        <f>IFERROR(__xludf.DUMMYFUNCTION("""COMPUTED_VALUE"""),"")</f>
        <v/>
      </c>
      <c r="G10563" s="42" t="str">
        <f>IFERROR(__xludf.DUMMYFUNCTION("""COMPUTED_VALUE"""),"Peralihan hak JUAL BELI")</f>
        <v>Peralihan hak JUAL BELI</v>
      </c>
      <c r="H10563" s="42">
        <f t="shared" si="1"/>
        <v>3345</v>
      </c>
    </row>
    <row r="10564" ht="22.5" customHeight="1">
      <c r="B10564" s="42" t="str">
        <f>IFERROR(__xludf.DUMMYFUNCTION("""COMPUTED_VALUE"""),"AB055/ABTTVBCV")</f>
        <v>AB055/ABTTVBCV</v>
      </c>
      <c r="C10564" s="42" t="str">
        <f>IFERROR(__xludf.DUMMYFUNCTION("""COMPUTED_VALUE"""),"M.6637, Tanjung senang")</f>
        <v>M.6637, Tanjung senang</v>
      </c>
      <c r="D10564" s="42"/>
      <c r="E10564" s="42"/>
      <c r="F10564" s="48" t="str">
        <f>IFERROR(__xludf.DUMMYFUNCTION("""COMPUTED_VALUE"""),"")</f>
        <v/>
      </c>
      <c r="G10564" s="42" t="str">
        <f>IFERROR(__xludf.DUMMYFUNCTION("""COMPUTED_VALUE"""),"BALIK NAMA")</f>
        <v>BALIK NAMA</v>
      </c>
      <c r="H10564" s="42">
        <f t="shared" si="1"/>
        <v>3345</v>
      </c>
    </row>
    <row r="10565" ht="22.5" customHeight="1">
      <c r="B10565" s="42" t="str">
        <f>IFERROR(__xludf.DUMMYFUNCTION("""COMPUTED_VALUE"""),"ABQCVMUY/010")</f>
        <v>ABQCVMUY/010</v>
      </c>
      <c r="C10565" s="42" t="str">
        <f>IFERROR(__xludf.DUMMYFUNCTION("""COMPUTED_VALUE"""),"SHM nibel 24928/labuhan ratu raya")</f>
        <v>SHM nibel 24928/labuhan ratu raya</v>
      </c>
      <c r="D10565" s="42"/>
      <c r="E10565" s="42"/>
      <c r="F10565" s="48" t="str">
        <f>IFERROR(__xludf.DUMMYFUNCTION("""COMPUTED_VALUE"""),"")</f>
        <v/>
      </c>
      <c r="G10565" s="42" t="str">
        <f>IFERROR(__xludf.DUMMYFUNCTION("""COMPUTED_VALUE"""),"Hibah ")</f>
        <v>Hibah </v>
      </c>
      <c r="H10565" s="42">
        <f t="shared" si="1"/>
        <v>3345</v>
      </c>
    </row>
    <row r="10566" ht="22.5" customHeight="1">
      <c r="B10566" s="42" t="str">
        <f>IFERROR(__xludf.DUMMYFUNCTION("""COMPUTED_VALUE"""),"ABOTPYIE/AB017")</f>
        <v>ABOTPYIE/AB017</v>
      </c>
      <c r="C10566" s="42" t="str">
        <f>IFERROR(__xludf.DUMMYFUNCTION("""COMPUTED_VALUE"""),"M. 10212/Kel.Kedaton")</f>
        <v>M. 10212/Kel.Kedaton</v>
      </c>
      <c r="D10566" s="42"/>
      <c r="E10566" s="42"/>
      <c r="F10566" s="48" t="str">
        <f>IFERROR(__xludf.DUMMYFUNCTION("""COMPUTED_VALUE"""),"")</f>
        <v/>
      </c>
      <c r="G10566" s="42" t="str">
        <f>IFERROR(__xludf.DUMMYFUNCTION("""COMPUTED_VALUE"""),"Pelepasan Hak")</f>
        <v>Pelepasan Hak</v>
      </c>
      <c r="H10566" s="42">
        <f t="shared" si="1"/>
        <v>3345</v>
      </c>
    </row>
    <row r="10567" ht="22.5" customHeight="1">
      <c r="B10567" s="42" t="str">
        <f>IFERROR(__xludf.DUMMYFUNCTION("""COMPUTED_VALUE"""),"AB26")</f>
        <v>AB26</v>
      </c>
      <c r="C10567" s="42" t="str">
        <f>IFERROR(__xludf.DUMMYFUNCTION("""COMPUTED_VALUE"""),"M.9322/Sukabumi")</f>
        <v>M.9322/Sukabumi</v>
      </c>
      <c r="D10567" s="42"/>
      <c r="E10567" s="42"/>
      <c r="F10567" s="48" t="str">
        <f>IFERROR(__xludf.DUMMYFUNCTION("""COMPUTED_VALUE"""),"")</f>
        <v/>
      </c>
      <c r="G10567" s="42" t="str">
        <f>IFERROR(__xludf.DUMMYFUNCTION("""COMPUTED_VALUE"""),"Ploting")</f>
        <v>Ploting</v>
      </c>
      <c r="H10567" s="42">
        <f t="shared" si="1"/>
        <v>3345</v>
      </c>
    </row>
    <row r="10568" ht="22.5" customHeight="1">
      <c r="B10568" s="42" t="str">
        <f>IFERROR(__xludf.DUMMYFUNCTION("""COMPUTED_VALUE"""),"ABVDLZDM/AB042")</f>
        <v>ABVDLZDM/AB042</v>
      </c>
      <c r="C10568" s="42" t="str">
        <f>IFERROR(__xludf.DUMMYFUNCTION("""COMPUTED_VALUE"""),"SHM 28925/Enggal")</f>
        <v>SHM 28925/Enggal</v>
      </c>
      <c r="D10568" s="42"/>
      <c r="E10568" s="42"/>
      <c r="F10568" s="48" t="str">
        <f>IFERROR(__xludf.DUMMYFUNCTION("""COMPUTED_VALUE"""),"")</f>
        <v/>
      </c>
      <c r="G10568" s="42" t="str">
        <f>IFERROR(__xludf.DUMMYFUNCTION("""COMPUTED_VALUE"""),"Peralihan hak JUAL BELI")</f>
        <v>Peralihan hak JUAL BELI</v>
      </c>
      <c r="H10568" s="42">
        <f t="shared" si="1"/>
        <v>3345</v>
      </c>
    </row>
    <row r="10569" ht="22.5" customHeight="1">
      <c r="B10569" s="42" t="str">
        <f>IFERROR(__xludf.DUMMYFUNCTION("""COMPUTED_VALUE"""),"Ab044")</f>
        <v>Ab044</v>
      </c>
      <c r="C10569" s="42" t="str">
        <f>IFERROR(__xludf.DUMMYFUNCTION("""COMPUTED_VALUE"""),"Nibel M951/prm")</f>
        <v>Nibel M951/prm</v>
      </c>
      <c r="D10569" s="42"/>
      <c r="E10569" s="42"/>
      <c r="F10569" s="48" t="str">
        <f>IFERROR(__xludf.DUMMYFUNCTION("""COMPUTED_VALUE"""),"")</f>
        <v/>
      </c>
      <c r="G10569" s="42" t="str">
        <f>IFERROR(__xludf.DUMMYFUNCTION("""COMPUTED_VALUE"""),"Ganti camat")</f>
        <v>Ganti camat</v>
      </c>
      <c r="H10569" s="42">
        <f t="shared" si="1"/>
        <v>3345</v>
      </c>
    </row>
    <row r="10570" ht="22.5" customHeight="1">
      <c r="B10570" s="42" t="str">
        <f>IFERROR(__xludf.DUMMYFUNCTION("""COMPUTED_VALUE"""),"Ab044")</f>
        <v>Ab044</v>
      </c>
      <c r="C10570" s="42" t="str">
        <f>IFERROR(__xludf.DUMMYFUNCTION("""COMPUTED_VALUE"""),"Nibel M9559/S.I")</f>
        <v>Nibel M9559/S.I</v>
      </c>
      <c r="D10570" s="42"/>
      <c r="E10570" s="42"/>
      <c r="F10570" s="48" t="str">
        <f>IFERROR(__xludf.DUMMYFUNCTION("""COMPUTED_VALUE"""),"")</f>
        <v/>
      </c>
      <c r="G10570" s="42" t="str">
        <f>IFERROR(__xludf.DUMMYFUNCTION("""COMPUTED_VALUE"""),"Ganti desa")</f>
        <v>Ganti desa</v>
      </c>
      <c r="H10570" s="42">
        <f t="shared" si="1"/>
        <v>3345</v>
      </c>
    </row>
    <row r="10571" ht="22.5" customHeight="1">
      <c r="B10571" s="42" t="str">
        <f>IFERROR(__xludf.DUMMYFUNCTION("""COMPUTED_VALUE"""),"ABZRGWNQ")</f>
        <v>ABZRGWNQ</v>
      </c>
      <c r="C10571" s="42" t="str">
        <f>IFERROR(__xludf.DUMMYFUNCTION("""COMPUTED_VALUE"""),"M.9824/sidodadi")</f>
        <v>M.9824/sidodadi</v>
      </c>
      <c r="D10571" s="42"/>
      <c r="E10571" s="42"/>
      <c r="F10571" s="48" t="str">
        <f>IFERROR(__xludf.DUMMYFUNCTION("""COMPUTED_VALUE"""),"")</f>
        <v/>
      </c>
      <c r="G10571" s="42" t="str">
        <f>IFERROR(__xludf.DUMMYFUNCTION("""COMPUTED_VALUE"""),"BN WARIS")</f>
        <v>BN WARIS</v>
      </c>
      <c r="H10571" s="42">
        <f t="shared" si="1"/>
        <v>3345</v>
      </c>
    </row>
    <row r="10572" ht="22.5" customHeight="1">
      <c r="B10572" s="42" t="str">
        <f>IFERROR(__xludf.DUMMYFUNCTION("""COMPUTED_VALUE"""),"ABUDGNLY")</f>
        <v>ABUDGNLY</v>
      </c>
      <c r="C10572" s="42" t="str">
        <f>IFERROR(__xludf.DUMMYFUNCTION("""COMPUTED_VALUE"""),"Nibel M 16446/ labuhan ratu raya")</f>
        <v>Nibel M 16446/ labuhan ratu raya</v>
      </c>
      <c r="D10572" s="42"/>
      <c r="E10572" s="42"/>
      <c r="F10572" s="48" t="str">
        <f>IFERROR(__xludf.DUMMYFUNCTION("""COMPUTED_VALUE"""),"")</f>
        <v/>
      </c>
      <c r="G10572" s="42" t="str">
        <f>IFERROR(__xludf.DUMMYFUNCTION("""COMPUTED_VALUE"""),"BN Waris")</f>
        <v>BN Waris</v>
      </c>
      <c r="H10572" s="42">
        <f t="shared" si="1"/>
        <v>3345</v>
      </c>
    </row>
    <row r="10573" ht="22.5" customHeight="1">
      <c r="B10573" s="42" t="str">
        <f>IFERROR(__xludf.DUMMYFUNCTION("""COMPUTED_VALUE"""),"AB015/ABIURXUU")</f>
        <v>AB015/ABIURXUU</v>
      </c>
      <c r="C10573" s="42" t="str">
        <f>IFERROR(__xludf.DUMMYFUNCTION("""COMPUTED_VALUE"""),"M 1549 NOG")</f>
        <v>M 1549 NOG</v>
      </c>
      <c r="D10573" s="42"/>
      <c r="E10573" s="42"/>
      <c r="F10573" s="48" t="str">
        <f>IFERROR(__xludf.DUMMYFUNCTION("""COMPUTED_VALUE"""),"")</f>
        <v/>
      </c>
      <c r="G10573" s="42" t="str">
        <f>IFERROR(__xludf.DUMMYFUNCTION("""COMPUTED_VALUE"""),"Roya")</f>
        <v>Roya</v>
      </c>
      <c r="H10573" s="42">
        <f t="shared" si="1"/>
        <v>3345</v>
      </c>
    </row>
    <row r="10574" ht="22.5" customHeight="1">
      <c r="B10574" s="42" t="str">
        <f>IFERROR(__xludf.DUMMYFUNCTION("""COMPUTED_VALUE"""),"ABPOTOFT/AB036")</f>
        <v>ABPOTOFT/AB036</v>
      </c>
      <c r="C10574" s="42" t="str">
        <f>IFERROR(__xludf.DUMMYFUNCTION("""COMPUTED_VALUE"""),"M. Nibel 19552/gunung terang")</f>
        <v>M. Nibel 19552/gunung terang</v>
      </c>
      <c r="D10574" s="42"/>
      <c r="E10574" s="42"/>
      <c r="F10574" s="48" t="str">
        <f>IFERROR(__xludf.DUMMYFUNCTION("""COMPUTED_VALUE"""),"")</f>
        <v/>
      </c>
      <c r="G10574" s="42" t="str">
        <f>IFERROR(__xludf.DUMMYFUNCTION("""COMPUTED_VALUE"""),"Pendaftaran peralihan hak")</f>
        <v>Pendaftaran peralihan hak</v>
      </c>
      <c r="H10574" s="42">
        <f t="shared" si="1"/>
        <v>3345</v>
      </c>
    </row>
    <row r="10575" ht="22.5" customHeight="1">
      <c r="B10575" s="42" t="str">
        <f>IFERROR(__xludf.DUMMYFUNCTION("""COMPUTED_VALUE"""),"ABSBTQJB")</f>
        <v>ABSBTQJB</v>
      </c>
      <c r="C10575" s="42" t="str">
        <f>IFERROR(__xludf.DUMMYFUNCTION("""COMPUTED_VALUE"""),"M.2061/Pinang Jaya")</f>
        <v>M.2061/Pinang Jaya</v>
      </c>
      <c r="D10575" s="42"/>
      <c r="E10575" s="42"/>
      <c r="F10575" s="48" t="str">
        <f>IFERROR(__xludf.DUMMYFUNCTION("""COMPUTED_VALUE"""),"")</f>
        <v/>
      </c>
      <c r="G10575" s="42" t="str">
        <f>IFERROR(__xludf.DUMMYFUNCTION("""COMPUTED_VALUE"""),"Balik Nama")</f>
        <v>Balik Nama</v>
      </c>
      <c r="H10575" s="42">
        <f t="shared" si="1"/>
        <v>3345</v>
      </c>
    </row>
    <row r="10576" ht="22.5" customHeight="1">
      <c r="B10576" s="42" t="str">
        <f>IFERROR(__xludf.DUMMYFUNCTION("""COMPUTED_VALUE"""),"ABELUNKL")</f>
        <v>ABELUNKL</v>
      </c>
      <c r="C10576" s="42" t="str">
        <f>IFERROR(__xludf.DUMMYFUNCTION("""COMPUTED_VALUE"""),"M.2068/Pinang Jaya")</f>
        <v>M.2068/Pinang Jaya</v>
      </c>
      <c r="D10576" s="42"/>
      <c r="E10576" s="42"/>
      <c r="F10576" s="48" t="str">
        <f>IFERROR(__xludf.DUMMYFUNCTION("""COMPUTED_VALUE"""),"")</f>
        <v/>
      </c>
      <c r="G10576" s="42" t="str">
        <f>IFERROR(__xludf.DUMMYFUNCTION("""COMPUTED_VALUE"""),"Balik Nama")</f>
        <v>Balik Nama</v>
      </c>
      <c r="H10576" s="42">
        <f t="shared" si="1"/>
        <v>3345</v>
      </c>
    </row>
    <row r="10577" ht="22.5" customHeight="1">
      <c r="B10577" s="42" t="str">
        <f>IFERROR(__xludf.DUMMYFUNCTION("""COMPUTED_VALUE"""),"ABXYBUVO")</f>
        <v>ABXYBUVO</v>
      </c>
      <c r="C10577" s="42" t="str">
        <f>IFERROR(__xludf.DUMMYFUNCTION("""COMPUTED_VALUE"""),"M.2069/Pinang Jaya")</f>
        <v>M.2069/Pinang Jaya</v>
      </c>
      <c r="D10577" s="42"/>
      <c r="E10577" s="42"/>
      <c r="F10577" s="48" t="str">
        <f>IFERROR(__xludf.DUMMYFUNCTION("""COMPUTED_VALUE"""),"")</f>
        <v/>
      </c>
      <c r="G10577" s="42" t="str">
        <f>IFERROR(__xludf.DUMMYFUNCTION("""COMPUTED_VALUE"""),"Balik Nama")</f>
        <v>Balik Nama</v>
      </c>
      <c r="H10577" s="42">
        <f t="shared" si="1"/>
        <v>3345</v>
      </c>
    </row>
    <row r="10578" ht="22.5" customHeight="1">
      <c r="B10578" s="42" t="str">
        <f>IFERROR(__xludf.DUMMYFUNCTION("""COMPUTED_VALUE"""),"AB048/ABXDOWYU")</f>
        <v>AB048/ABXDOWYU</v>
      </c>
      <c r="C10578" s="42" t="str">
        <f>IFERROR(__xludf.DUMMYFUNCTION("""COMPUTED_VALUE"""),"NIB.25641/Tanjung Senang")</f>
        <v>NIB.25641/Tanjung Senang</v>
      </c>
      <c r="D10578" s="42"/>
      <c r="E10578" s="42"/>
      <c r="F10578" s="48" t="str">
        <f>IFERROR(__xludf.DUMMYFUNCTION("""COMPUTED_VALUE"""),"")</f>
        <v/>
      </c>
      <c r="G10578" s="42" t="str">
        <f>IFERROR(__xludf.DUMMYFUNCTION("""COMPUTED_VALUE"""),"Balik Nama")</f>
        <v>Balik Nama</v>
      </c>
      <c r="H10578" s="42">
        <f t="shared" si="1"/>
        <v>3345</v>
      </c>
    </row>
    <row r="10579" ht="22.5" customHeight="1">
      <c r="B10579" s="42" t="str">
        <f>IFERROR(__xludf.DUMMYFUNCTION("""COMPUTED_VALUE"""),"ABSGWWBW")</f>
        <v>ABSGWWBW</v>
      </c>
      <c r="C10579" s="42" t="str">
        <f>IFERROR(__xludf.DUMMYFUNCTION("""COMPUTED_VALUE"""),"Shgb 00809")</f>
        <v>Shgb 00809</v>
      </c>
      <c r="D10579" s="42"/>
      <c r="E10579" s="42"/>
      <c r="F10579" s="48" t="str">
        <f>IFERROR(__xludf.DUMMYFUNCTION("""COMPUTED_VALUE"""),"")</f>
        <v/>
      </c>
      <c r="G10579" s="42" t="str">
        <f>IFERROR(__xludf.DUMMYFUNCTION("""COMPUTED_VALUE"""),"Ganti nama")</f>
        <v>Ganti nama</v>
      </c>
      <c r="H10579" s="42">
        <f t="shared" si="1"/>
        <v>3345</v>
      </c>
    </row>
    <row r="10580" ht="22.5" customHeight="1">
      <c r="B10580" s="42" t="str">
        <f>IFERROR(__xludf.DUMMYFUNCTION("""COMPUTED_VALUE"""),"ABKACDQG")</f>
        <v>ABKACDQG</v>
      </c>
      <c r="C10580" s="42" t="str">
        <f>IFERROR(__xludf.DUMMYFUNCTION("""COMPUTED_VALUE"""),"Shgb 00813")</f>
        <v>Shgb 00813</v>
      </c>
      <c r="D10580" s="42"/>
      <c r="E10580" s="42"/>
      <c r="F10580" s="48" t="str">
        <f>IFERROR(__xludf.DUMMYFUNCTION("""COMPUTED_VALUE"""),"")</f>
        <v/>
      </c>
      <c r="G10580" s="42" t="str">
        <f>IFERROR(__xludf.DUMMYFUNCTION("""COMPUTED_VALUE"""),"Ganti Nama")</f>
        <v>Ganti Nama</v>
      </c>
      <c r="H10580" s="42">
        <f t="shared" si="1"/>
        <v>3345</v>
      </c>
    </row>
    <row r="10581" ht="22.5" customHeight="1">
      <c r="B10581" s="42" t="str">
        <f>IFERROR(__xludf.DUMMYFUNCTION("""COMPUTED_VALUE"""),"ABIWXBJS")</f>
        <v>ABIWXBJS</v>
      </c>
      <c r="C10581" s="42" t="str">
        <f>IFERROR(__xludf.DUMMYFUNCTION("""COMPUTED_VALUE"""),"Shbg 00818")</f>
        <v>Shbg 00818</v>
      </c>
      <c r="D10581" s="42"/>
      <c r="E10581" s="42"/>
      <c r="F10581" s="48" t="str">
        <f>IFERROR(__xludf.DUMMYFUNCTION("""COMPUTED_VALUE"""),"")</f>
        <v/>
      </c>
      <c r="G10581" s="42" t="str">
        <f>IFERROR(__xludf.DUMMYFUNCTION("""COMPUTED_VALUE"""),"Ganti nama")</f>
        <v>Ganti nama</v>
      </c>
      <c r="H10581" s="42">
        <f t="shared" si="1"/>
        <v>3345</v>
      </c>
    </row>
    <row r="10582" ht="22.5" customHeight="1">
      <c r="B10582" s="42" t="str">
        <f>IFERROR(__xludf.DUMMYFUNCTION("""COMPUTED_VALUE"""),"AB015/ABVTMVRN")</f>
        <v>AB015/ABVTMVRN</v>
      </c>
      <c r="C10582" s="42" t="str">
        <f>IFERROR(__xludf.DUMMYFUNCTION("""COMPUTED_VALUE"""),"M 16583/ S.I")</f>
        <v>M 16583/ S.I</v>
      </c>
      <c r="D10582" s="42"/>
      <c r="E10582" s="42"/>
      <c r="F10582" s="48" t="str">
        <f>IFERROR(__xludf.DUMMYFUNCTION("""COMPUTED_VALUE"""),"")</f>
        <v/>
      </c>
      <c r="G10582" s="42" t="str">
        <f>IFERROR(__xludf.DUMMYFUNCTION("""COMPUTED_VALUE"""),"Roya")</f>
        <v>Roya</v>
      </c>
      <c r="H10582" s="42">
        <f t="shared" si="1"/>
        <v>3345</v>
      </c>
    </row>
    <row r="10583" ht="22.5" customHeight="1">
      <c r="B10583" s="42" t="str">
        <f>IFERROR(__xludf.DUMMYFUNCTION("""COMPUTED_VALUE"""),"ABWOGTOS")</f>
        <v>ABWOGTOS</v>
      </c>
      <c r="C10583" s="42" t="str">
        <f>IFERROR(__xludf.DUMMYFUNCTION("""COMPUTED_VALUE"""),"Shgb 00800")</f>
        <v>Shgb 00800</v>
      </c>
      <c r="D10583" s="42"/>
      <c r="E10583" s="42"/>
      <c r="F10583" s="48" t="str">
        <f>IFERROR(__xludf.DUMMYFUNCTION("""COMPUTED_VALUE"""),"")</f>
        <v/>
      </c>
      <c r="G10583" s="42" t="str">
        <f>IFERROR(__xludf.DUMMYFUNCTION("""COMPUTED_VALUE"""),"Floating")</f>
        <v>Floating</v>
      </c>
      <c r="H10583" s="42">
        <f t="shared" si="1"/>
        <v>3345</v>
      </c>
    </row>
    <row r="10584" ht="22.5" customHeight="1">
      <c r="B10584" s="42" t="str">
        <f>IFERROR(__xludf.DUMMYFUNCTION("""COMPUTED_VALUE"""),"AB055/ABUHGFXZ")</f>
        <v>AB055/ABUHGFXZ</v>
      </c>
      <c r="C10584" s="42" t="str">
        <f>IFERROR(__xludf.DUMMYFUNCTION("""COMPUTED_VALUE"""),"NIBEL 18282 RAJABASA RAYA")</f>
        <v>NIBEL 18282 RAJABASA RAYA</v>
      </c>
      <c r="D10584" s="42"/>
      <c r="E10584" s="42"/>
      <c r="F10584" s="48" t="str">
        <f>IFERROR(__xludf.DUMMYFUNCTION("""COMPUTED_VALUE"""),"")</f>
        <v/>
      </c>
      <c r="G10584" s="42" t="str">
        <f>IFERROR(__xludf.DUMMYFUNCTION("""COMPUTED_VALUE"""),"BN")</f>
        <v>BN</v>
      </c>
      <c r="H10584" s="42">
        <f t="shared" si="1"/>
        <v>3345</v>
      </c>
    </row>
    <row r="10585" ht="22.5" customHeight="1">
      <c r="B10585" s="42" t="str">
        <f>IFERROR(__xludf.DUMMYFUNCTION("""COMPUTED_VALUE"""),"ABUCCAWH/AB059")</f>
        <v>ABUCCAWH/AB059</v>
      </c>
      <c r="C10585" s="42" t="str">
        <f>IFERROR(__xludf.DUMMYFUNCTION("""COMPUTED_VALUE"""),"M.3662/Sukabumi")</f>
        <v>M.3662/Sukabumi</v>
      </c>
      <c r="D10585" s="42"/>
      <c r="E10585" s="42"/>
      <c r="F10585" s="48" t="str">
        <f>IFERROR(__xludf.DUMMYFUNCTION("""COMPUTED_VALUE"""),"")</f>
        <v/>
      </c>
      <c r="G10585" s="42" t="str">
        <f>IFERROR(__xludf.DUMMYFUNCTION("""COMPUTED_VALUE"""),"Bn jual beli")</f>
        <v>Bn jual beli</v>
      </c>
      <c r="H10585" s="42">
        <f t="shared" si="1"/>
        <v>3345</v>
      </c>
    </row>
    <row r="10586" ht="22.5" customHeight="1">
      <c r="B10586" s="42" t="str">
        <f>IFERROR(__xludf.DUMMYFUNCTION("""COMPUTED_VALUE"""),"ABLOOBJI/AB059")</f>
        <v>ABLOOBJI/AB059</v>
      </c>
      <c r="C10586" s="42" t="str">
        <f>IFERROR(__xludf.DUMMYFUNCTION("""COMPUTED_VALUE"""),"M.3613/Sukabumi")</f>
        <v>M.3613/Sukabumi</v>
      </c>
      <c r="D10586" s="42"/>
      <c r="E10586" s="42"/>
      <c r="F10586" s="48" t="str">
        <f>IFERROR(__xludf.DUMMYFUNCTION("""COMPUTED_VALUE"""),"")</f>
        <v/>
      </c>
      <c r="G10586" s="42" t="str">
        <f>IFERROR(__xludf.DUMMYFUNCTION("""COMPUTED_VALUE"""),"Bn jual beli")</f>
        <v>Bn jual beli</v>
      </c>
      <c r="H10586" s="42">
        <f t="shared" si="1"/>
        <v>3345</v>
      </c>
    </row>
    <row r="10587" ht="22.5" customHeight="1">
      <c r="B10587" s="42" t="str">
        <f>IFERROR(__xludf.DUMMYFUNCTION("""COMPUTED_VALUE"""),"ABMJEWOW")</f>
        <v>ABMJEWOW</v>
      </c>
      <c r="C10587" s="42">
        <f>IFERROR(__xludf.DUMMYFUNCTION("""COMPUTED_VALUE"""),11990.0)</f>
        <v>11990</v>
      </c>
      <c r="D10587" s="42"/>
      <c r="E10587" s="42"/>
      <c r="F10587" s="48" t="str">
        <f>IFERROR(__xludf.DUMMYFUNCTION("""COMPUTED_VALUE"""),"")</f>
        <v/>
      </c>
      <c r="G10587" s="42" t="str">
        <f>IFERROR(__xludf.DUMMYFUNCTION("""COMPUTED_VALUE"""),"Peralihan Hak")</f>
        <v>Peralihan Hak</v>
      </c>
      <c r="H10587" s="42">
        <f t="shared" si="1"/>
        <v>3345</v>
      </c>
    </row>
    <row r="10588" ht="22.5" customHeight="1">
      <c r="B10588" s="42" t="str">
        <f>IFERROR(__xludf.DUMMYFUNCTION("""COMPUTED_VALUE"""),"L/1/080126/1")</f>
        <v>L/1/080126/1</v>
      </c>
      <c r="C10588" s="42" t="str">
        <f>IFERROR(__xludf.DUMMYFUNCTION("""COMPUTED_VALUE"""),"M. 1679/WAY KANDIS")</f>
        <v>M. 1679/WAY KANDIS</v>
      </c>
      <c r="D10588" s="42"/>
      <c r="E10588" s="42"/>
      <c r="F10588" s="48" t="str">
        <f>IFERROR(__xludf.DUMMYFUNCTION("""COMPUTED_VALUE"""),"")</f>
        <v/>
      </c>
      <c r="G10588" s="42" t="str">
        <f>IFERROR(__xludf.DUMMYFUNCTION("""COMPUTED_VALUE"""),"BN WARIS")</f>
        <v>BN WARIS</v>
      </c>
      <c r="H10588" s="42">
        <f t="shared" si="1"/>
        <v>3345</v>
      </c>
    </row>
    <row r="10589" ht="22.5" customHeight="1">
      <c r="B10589" s="42" t="str">
        <f>IFERROR(__xludf.DUMMYFUNCTION("""COMPUTED_VALUE"""),"AB076")</f>
        <v>AB076</v>
      </c>
      <c r="C10589" s="42">
        <f>IFERROR(__xludf.DUMMYFUNCTION("""COMPUTED_VALUE"""),134.0)</f>
        <v>134</v>
      </c>
      <c r="D10589" s="42"/>
      <c r="E10589" s="42"/>
      <c r="F10589" s="48" t="str">
        <f>IFERROR(__xludf.DUMMYFUNCTION("""COMPUTED_VALUE"""),"")</f>
        <v/>
      </c>
      <c r="G10589" s="42" t="str">
        <f>IFERROR(__xludf.DUMMYFUNCTION("""COMPUTED_VALUE"""),"Peralihan hak")</f>
        <v>Peralihan hak</v>
      </c>
      <c r="H10589" s="42">
        <f t="shared" si="1"/>
        <v>3345</v>
      </c>
    </row>
    <row r="10590" ht="22.5" customHeight="1">
      <c r="B10590" s="42" t="str">
        <f>IFERROR(__xludf.DUMMYFUNCTION("""COMPUTED_VALUE"""),"L/2/080126/1")</f>
        <v>L/2/080126/1</v>
      </c>
      <c r="C10590" s="42" t="str">
        <f>IFERROR(__xludf.DUMMYFUNCTION("""COMPUTED_VALUE"""),"M. 14403/SUKARAME I")</f>
        <v>M. 14403/SUKARAME I</v>
      </c>
      <c r="D10590" s="42"/>
      <c r="E10590" s="42"/>
      <c r="F10590" s="48" t="str">
        <f>IFERROR(__xludf.DUMMYFUNCTION("""COMPUTED_VALUE"""),"")</f>
        <v/>
      </c>
      <c r="G10590" s="42" t="str">
        <f>IFERROR(__xludf.DUMMYFUNCTION("""COMPUTED_VALUE"""),"ROYA")</f>
        <v>ROYA</v>
      </c>
      <c r="H10590" s="42">
        <f t="shared" si="1"/>
        <v>3345</v>
      </c>
    </row>
    <row r="10591" ht="22.5" customHeight="1">
      <c r="B10591" s="42" t="str">
        <f>IFERROR(__xludf.DUMMYFUNCTION("""COMPUTED_VALUE"""),"Ab 050")</f>
        <v>Ab 050</v>
      </c>
      <c r="C10591" s="42" t="str">
        <f>IFERROR(__xludf.DUMMYFUNCTION("""COMPUTED_VALUE"""),"Sporadik")</f>
        <v>Sporadik</v>
      </c>
      <c r="D10591" s="42"/>
      <c r="E10591" s="42"/>
      <c r="F10591" s="48" t="str">
        <f>IFERROR(__xludf.DUMMYFUNCTION("""COMPUTED_VALUE"""),"")</f>
        <v/>
      </c>
      <c r="G10591" s="42" t="str">
        <f>IFERROR(__xludf.DUMMYFUNCTION("""COMPUTED_VALUE"""),"Pendaftaran Tanah Pertama Kali")</f>
        <v>Pendaftaran Tanah Pertama Kali</v>
      </c>
      <c r="H10591" s="42">
        <f t="shared" si="1"/>
        <v>3345</v>
      </c>
    </row>
    <row r="10592" ht="22.5" customHeight="1">
      <c r="B10592" s="42" t="str">
        <f>IFERROR(__xludf.DUMMYFUNCTION("""COMPUTED_VALUE"""),"ABIXNHZD/AB058")</f>
        <v>ABIXNHZD/AB058</v>
      </c>
      <c r="C10592" s="42" t="str">
        <f>IFERROR(__xludf.DUMMYFUNCTION("""COMPUTED_VALUE"""),"M Nibel 18860/Way Halim permai ")</f>
        <v>M Nibel 18860/Way Halim permai </v>
      </c>
      <c r="D10592" s="42"/>
      <c r="E10592" s="42"/>
      <c r="F10592" s="48" t="str">
        <f>IFERROR(__xludf.DUMMYFUNCTION("""COMPUTED_VALUE"""),"")</f>
        <v/>
      </c>
      <c r="G10592" s="42" t="str">
        <f>IFERROR(__xludf.DUMMYFUNCTION("""COMPUTED_VALUE"""),"Peralihan Hak Jual Beli")</f>
        <v>Peralihan Hak Jual Beli</v>
      </c>
      <c r="H10592" s="42">
        <f t="shared" si="1"/>
        <v>3345</v>
      </c>
    </row>
    <row r="10593" ht="22.5" customHeight="1">
      <c r="B10593" s="42" t="str">
        <f>IFERROR(__xludf.DUMMYFUNCTION("""COMPUTED_VALUE"""),"L/3/080126/1")</f>
        <v>L/3/080126/1</v>
      </c>
      <c r="C10593" s="42" t="str">
        <f>IFERROR(__xludf.DUMMYFUNCTION("""COMPUTED_VALUE"""),"M. 969/PINANG JAYA")</f>
        <v>M. 969/PINANG JAYA</v>
      </c>
      <c r="D10593" s="42"/>
      <c r="E10593" s="42"/>
      <c r="F10593" s="48" t="str">
        <f>IFERROR(__xludf.DUMMYFUNCTION("""COMPUTED_VALUE"""),"")</f>
        <v/>
      </c>
      <c r="G10593" s="42" t="str">
        <f>IFERROR(__xludf.DUMMYFUNCTION("""COMPUTED_VALUE"""),"HAPUS BPHTB")</f>
        <v>HAPUS BPHTB</v>
      </c>
      <c r="H10593" s="42">
        <f t="shared" si="1"/>
        <v>3345</v>
      </c>
    </row>
    <row r="10594" ht="22.5" customHeight="1">
      <c r="B10594" s="42" t="str">
        <f>IFERROR(__xludf.DUMMYFUNCTION("""COMPUTED_VALUE"""),"Abxaezph")</f>
        <v>Abxaezph</v>
      </c>
      <c r="C10594" s="42" t="str">
        <f>IFERROR(__xludf.DUMMYFUNCTION("""COMPUTED_VALUE"""),"M. 11824, rajabasa")</f>
        <v>M. 11824, rajabasa</v>
      </c>
      <c r="D10594" s="42"/>
      <c r="E10594" s="42"/>
      <c r="F10594" s="48" t="str">
        <f>IFERROR(__xludf.DUMMYFUNCTION("""COMPUTED_VALUE"""),"")</f>
        <v/>
      </c>
      <c r="G10594" s="42" t="str">
        <f>IFERROR(__xludf.DUMMYFUNCTION("""COMPUTED_VALUE"""),"Bn")</f>
        <v>Bn</v>
      </c>
      <c r="H10594" s="42">
        <f t="shared" si="1"/>
        <v>3345</v>
      </c>
    </row>
    <row r="10595" ht="22.5" customHeight="1">
      <c r="B10595" s="42" t="str">
        <f>IFERROR(__xludf.DUMMYFUNCTION("""COMPUTED_VALUE"""),"L/4/080126/1")</f>
        <v>L/4/080126/1</v>
      </c>
      <c r="C10595" s="42" t="str">
        <f>IFERROR(__xludf.DUMMYFUNCTION("""COMPUTED_VALUE"""),"M. 909/RAJABASA PEMUKA")</f>
        <v>M. 909/RAJABASA PEMUKA</v>
      </c>
      <c r="D10595" s="42"/>
      <c r="E10595" s="42"/>
      <c r="F10595" s="48" t="str">
        <f>IFERROR(__xludf.DUMMYFUNCTION("""COMPUTED_VALUE"""),"")</f>
        <v/>
      </c>
      <c r="G10595" s="42" t="str">
        <f>IFERROR(__xludf.DUMMYFUNCTION("""COMPUTED_VALUE"""),"ROYA")</f>
        <v>ROYA</v>
      </c>
      <c r="H10595" s="42">
        <f t="shared" si="1"/>
        <v>3345</v>
      </c>
    </row>
    <row r="10596" ht="22.5" customHeight="1">
      <c r="B10596" s="42" t="str">
        <f>IFERROR(__xludf.DUMMYFUNCTION("""COMPUTED_VALUE"""),"AB078")</f>
        <v>AB078</v>
      </c>
      <c r="C10596" s="42">
        <f>IFERROR(__xludf.DUMMYFUNCTION("""COMPUTED_VALUE"""),24787.0)</f>
        <v>24787</v>
      </c>
      <c r="D10596" s="42"/>
      <c r="E10596" s="42"/>
      <c r="F10596" s="48" t="str">
        <f>IFERROR(__xludf.DUMMYFUNCTION("""COMPUTED_VALUE"""),"")</f>
        <v/>
      </c>
      <c r="G10596" s="42" t="str">
        <f>IFERROR(__xludf.DUMMYFUNCTION("""COMPUTED_VALUE"""),"Peralihan Hak")</f>
        <v>Peralihan Hak</v>
      </c>
      <c r="H10596" s="42">
        <f t="shared" si="1"/>
        <v>3345</v>
      </c>
    </row>
    <row r="10597" ht="22.5" customHeight="1">
      <c r="B10597" s="42" t="str">
        <f>IFERROR(__xludf.DUMMYFUNCTION("""COMPUTED_VALUE"""),"K/5/080126/1")</f>
        <v>K/5/080126/1</v>
      </c>
      <c r="C10597" s="42" t="str">
        <f>IFERROR(__xludf.DUMMYFUNCTION("""COMPUTED_VALUE"""),"M. 341/PERUMNAS WAY KANDIS")</f>
        <v>M. 341/PERUMNAS WAY KANDIS</v>
      </c>
      <c r="D10597" s="42"/>
      <c r="E10597" s="42"/>
      <c r="F10597" s="48" t="str">
        <f>IFERROR(__xludf.DUMMYFUNCTION("""COMPUTED_VALUE"""),"")</f>
        <v/>
      </c>
      <c r="G10597" s="42" t="str">
        <f>IFERROR(__xludf.DUMMYFUNCTION("""COMPUTED_VALUE"""),"ROYA")</f>
        <v>ROYA</v>
      </c>
      <c r="H10597" s="42">
        <f t="shared" si="1"/>
        <v>3345</v>
      </c>
    </row>
    <row r="10598" ht="22.5" customHeight="1">
      <c r="B10598" s="42" t="str">
        <f>IFERROR(__xludf.DUMMYFUNCTION("""COMPUTED_VALUE"""),"ABGHIKEW")</f>
        <v>ABGHIKEW</v>
      </c>
      <c r="C10598" s="42" t="str">
        <f>IFERROR(__xludf.DUMMYFUNCTION("""COMPUTED_VALUE"""),"M 3583/ BERINGIN RAYA")</f>
        <v>M 3583/ BERINGIN RAYA</v>
      </c>
      <c r="D10598" s="42"/>
      <c r="E10598" s="42"/>
      <c r="F10598" s="48" t="str">
        <f>IFERROR(__xludf.DUMMYFUNCTION("""COMPUTED_VALUE"""),"")</f>
        <v/>
      </c>
      <c r="G10598" s="42" t="str">
        <f>IFERROR(__xludf.DUMMYFUNCTION("""COMPUTED_VALUE"""),"Peralihan Hak")</f>
        <v>Peralihan Hak</v>
      </c>
      <c r="H10598" s="42">
        <f t="shared" si="1"/>
        <v>3345</v>
      </c>
    </row>
    <row r="10599" ht="22.5" customHeight="1">
      <c r="B10599" s="42" t="str">
        <f>IFERROR(__xludf.DUMMYFUNCTION("""COMPUTED_VALUE"""),"K/6/080126/1")</f>
        <v>K/6/080126/1</v>
      </c>
      <c r="C10599" s="42" t="str">
        <f>IFERROR(__xludf.DUMMYFUNCTION("""COMPUTED_VALUE"""),"NIBEL M. 24745/GUNUNG TERANG")</f>
        <v>NIBEL M. 24745/GUNUNG TERANG</v>
      </c>
      <c r="D10599" s="42"/>
      <c r="E10599" s="42"/>
      <c r="F10599" s="48" t="str">
        <f>IFERROR(__xludf.DUMMYFUNCTION("""COMPUTED_VALUE"""),"")</f>
        <v/>
      </c>
      <c r="G10599" s="42" t="str">
        <f>IFERROR(__xludf.DUMMYFUNCTION("""COMPUTED_VALUE"""),"BN HIBAH")</f>
        <v>BN HIBAH</v>
      </c>
      <c r="H10599" s="42">
        <f t="shared" si="1"/>
        <v>3345</v>
      </c>
    </row>
    <row r="10600" ht="22.5" customHeight="1">
      <c r="B10600" s="42" t="str">
        <f>IFERROR(__xludf.DUMMYFUNCTION("""COMPUTED_VALUE"""),"K/7/080126/1")</f>
        <v>K/7/080126/1</v>
      </c>
      <c r="C10600" s="42" t="str">
        <f>IFERROR(__xludf.DUMMYFUNCTION("""COMPUTED_VALUE"""),"BAKUNG")</f>
        <v>BAKUNG</v>
      </c>
      <c r="D10600" s="42"/>
      <c r="E10600" s="42"/>
      <c r="F10600" s="48" t="str">
        <f>IFERROR(__xludf.DUMMYFUNCTION("""COMPUTED_VALUE"""),"")</f>
        <v/>
      </c>
      <c r="G10600" s="42" t="str">
        <f>IFERROR(__xludf.DUMMYFUNCTION("""COMPUTED_VALUE"""),"PENGUKURAN PERTAMA KALI")</f>
        <v>PENGUKURAN PERTAMA KALI</v>
      </c>
      <c r="H10600" s="42">
        <f t="shared" si="1"/>
        <v>3345</v>
      </c>
    </row>
    <row r="10601" ht="22.5" customHeight="1">
      <c r="B10601" s="42" t="str">
        <f>IFERROR(__xludf.DUMMYFUNCTION("""COMPUTED_VALUE"""),"K/8/080126/1")</f>
        <v>K/8/080126/1</v>
      </c>
      <c r="C10601" s="42" t="str">
        <f>IFERROR(__xludf.DUMMYFUNCTION("""COMPUTED_VALUE"""),"M. 6727/LABUHAN RATU")</f>
        <v>M. 6727/LABUHAN RATU</v>
      </c>
      <c r="D10601" s="42"/>
      <c r="E10601" s="42"/>
      <c r="F10601" s="48" t="str">
        <f>IFERROR(__xludf.DUMMYFUNCTION("""COMPUTED_VALUE"""),"")</f>
        <v/>
      </c>
      <c r="G10601" s="42" t="str">
        <f>IFERROR(__xludf.DUMMYFUNCTION("""COMPUTED_VALUE"""),"GANTI DESA")</f>
        <v>GANTI DESA</v>
      </c>
      <c r="H10601" s="42">
        <f t="shared" si="1"/>
        <v>3345</v>
      </c>
    </row>
    <row r="10602" ht="22.5" customHeight="1">
      <c r="B10602" s="42" t="str">
        <f>IFERROR(__xludf.DUMMYFUNCTION("""COMPUTED_VALUE"""),"K/9/080126/1")</f>
        <v>K/9/080126/1</v>
      </c>
      <c r="C10602" s="42" t="str">
        <f>IFERROR(__xludf.DUMMYFUNCTION("""COMPUTED_VALUE"""),"NIBEL M. 16897/TANJUNG SENANG")</f>
        <v>NIBEL M. 16897/TANJUNG SENANG</v>
      </c>
      <c r="D10602" s="42"/>
      <c r="E10602" s="42"/>
      <c r="F10602" s="48" t="str">
        <f>IFERROR(__xludf.DUMMYFUNCTION("""COMPUTED_VALUE"""),"")</f>
        <v/>
      </c>
      <c r="G10602" s="42" t="str">
        <f>IFERROR(__xludf.DUMMYFUNCTION("""COMPUTED_VALUE"""),"BN JUAL BELI")</f>
        <v>BN JUAL BELI</v>
      </c>
      <c r="H10602" s="42">
        <f t="shared" si="1"/>
        <v>3345</v>
      </c>
    </row>
    <row r="10603" ht="22.5" customHeight="1">
      <c r="B10603" s="42" t="str">
        <f>IFERROR(__xludf.DUMMYFUNCTION("""COMPUTED_VALUE"""),"K/10/080126/1")</f>
        <v>K/10/080126/1</v>
      </c>
      <c r="C10603" s="42" t="str">
        <f>IFERROR(__xludf.DUMMYFUNCTION("""COMPUTED_VALUE"""),"M. 104/RAJABASA PEMUKA")</f>
        <v>M. 104/RAJABASA PEMUKA</v>
      </c>
      <c r="D10603" s="42"/>
      <c r="E10603" s="42"/>
      <c r="F10603" s="48" t="str">
        <f>IFERROR(__xludf.DUMMYFUNCTION("""COMPUTED_VALUE"""),"")</f>
        <v/>
      </c>
      <c r="G10603" s="42" t="str">
        <f>IFERROR(__xludf.DUMMYFUNCTION("""COMPUTED_VALUE"""),"BN WARIS")</f>
        <v>BN WARIS</v>
      </c>
      <c r="H10603" s="42">
        <f t="shared" si="1"/>
        <v>3345</v>
      </c>
    </row>
    <row r="10604" ht="22.5" customHeight="1">
      <c r="B10604" s="42" t="str">
        <f>IFERROR(__xludf.DUMMYFUNCTION("""COMPUTED_VALUE"""),"K/11/080126/2")</f>
        <v>K/11/080126/2</v>
      </c>
      <c r="C10604" s="42" t="str">
        <f>IFERROR(__xludf.DUMMYFUNCTION("""COMPUTED_VALUE"""),"M. 2482/SUSUNAN BARU")</f>
        <v>M. 2482/SUSUNAN BARU</v>
      </c>
      <c r="D10604" s="42"/>
      <c r="E10604" s="42"/>
      <c r="F10604" s="48" t="str">
        <f>IFERROR(__xludf.DUMMYFUNCTION("""COMPUTED_VALUE"""),"")</f>
        <v/>
      </c>
      <c r="G10604" s="42" t="str">
        <f>IFERROR(__xludf.DUMMYFUNCTION("""COMPUTED_VALUE"""),"BN JUAL BELI ")</f>
        <v>BN JUAL BELI </v>
      </c>
      <c r="H10604" s="42">
        <f t="shared" si="1"/>
        <v>3345</v>
      </c>
    </row>
    <row r="10605" ht="22.5" customHeight="1">
      <c r="B10605" s="42" t="str">
        <f>IFERROR(__xludf.DUMMYFUNCTION("""COMPUTED_VALUE"""),"K/12/080126/1")</f>
        <v>K/12/080126/1</v>
      </c>
      <c r="C10605" s="42" t="str">
        <f>IFERROR(__xludf.DUMMYFUNCTION("""COMPUTED_VALUE"""),"PBT . 299/2025")</f>
        <v>PBT . 299/2025</v>
      </c>
      <c r="D10605" s="42"/>
      <c r="E10605" s="42"/>
      <c r="F10605" s="48" t="str">
        <f>IFERROR(__xludf.DUMMYFUNCTION("""COMPUTED_VALUE"""),"")</f>
        <v/>
      </c>
      <c r="G10605" s="42" t="str">
        <f>IFERROR(__xludf.DUMMYFUNCTION("""COMPUTED_VALUE"""),"PTPGT TAMEN")</f>
        <v>PTPGT TAMEN</v>
      </c>
      <c r="H10605" s="42">
        <f t="shared" si="1"/>
        <v>3345</v>
      </c>
    </row>
    <row r="10606" ht="22.5" customHeight="1">
      <c r="B10606" s="42" t="str">
        <f>IFERROR(__xludf.DUMMYFUNCTION("""COMPUTED_VALUE"""),"K/13/080126/1")</f>
        <v>K/13/080126/1</v>
      </c>
      <c r="C10606" s="42" t="str">
        <f>IFERROR(__xludf.DUMMYFUNCTION("""COMPUTED_VALUE"""),"LABUHAN RATU RAYA")</f>
        <v>LABUHAN RATU RAYA</v>
      </c>
      <c r="D10606" s="42"/>
      <c r="E10606" s="42"/>
      <c r="F10606" s="48" t="str">
        <f>IFERROR(__xludf.DUMMYFUNCTION("""COMPUTED_VALUE"""),"")</f>
        <v/>
      </c>
      <c r="G10606" s="42" t="str">
        <f>IFERROR(__xludf.DUMMYFUNCTION("""COMPUTED_VALUE"""),"PENGUKURAN PERTAMA KALI")</f>
        <v>PENGUKURAN PERTAMA KALI</v>
      </c>
      <c r="H10606" s="42">
        <f t="shared" si="1"/>
        <v>3345</v>
      </c>
    </row>
    <row r="10607" ht="22.5" customHeight="1">
      <c r="B10607" s="42" t="str">
        <f>IFERROR(__xludf.DUMMYFUNCTION("""COMPUTED_VALUE"""),"K/14/080126/1")</f>
        <v>K/14/080126/1</v>
      </c>
      <c r="C10607" s="42" t="str">
        <f>IFERROR(__xludf.DUMMYFUNCTION("""COMPUTED_VALUE"""),"M. 490/PALAPA")</f>
        <v>M. 490/PALAPA</v>
      </c>
      <c r="D10607" s="42"/>
      <c r="E10607" s="42"/>
      <c r="F10607" s="48" t="str">
        <f>IFERROR(__xludf.DUMMYFUNCTION("""COMPUTED_VALUE"""),"")</f>
        <v/>
      </c>
      <c r="G10607" s="42" t="str">
        <f>IFERROR(__xludf.DUMMYFUNCTION("""COMPUTED_VALUE"""),"BLOKIR")</f>
        <v>BLOKIR</v>
      </c>
      <c r="H10607" s="42">
        <f t="shared" si="1"/>
        <v>3345</v>
      </c>
    </row>
    <row r="10608" ht="22.5" customHeight="1">
      <c r="B10608" s="42" t="str">
        <f>IFERROR(__xludf.DUMMYFUNCTION("""COMPUTED_VALUE"""),"K/15/080126/2")</f>
        <v>K/15/080126/2</v>
      </c>
      <c r="C10608" s="42" t="str">
        <f>IFERROR(__xludf.DUMMYFUNCTION("""COMPUTED_VALUE"""),"M. 570/PALAPA")</f>
        <v>M. 570/PALAPA</v>
      </c>
      <c r="D10608" s="42"/>
      <c r="E10608" s="42"/>
      <c r="F10608" s="48" t="str">
        <f>IFERROR(__xludf.DUMMYFUNCTION("""COMPUTED_VALUE"""),"")</f>
        <v/>
      </c>
      <c r="G10608" s="42" t="str">
        <f>IFERROR(__xludf.DUMMYFUNCTION("""COMPUTED_VALUE"""),"BLOKIR ")</f>
        <v>BLOKIR </v>
      </c>
      <c r="H10608" s="42">
        <f t="shared" si="1"/>
        <v>3345</v>
      </c>
    </row>
    <row r="10609" ht="22.5" customHeight="1">
      <c r="B10609" s="42" t="str">
        <f>IFERROR(__xludf.DUMMYFUNCTION("""COMPUTED_VALUE"""),"K/16/080126/3")</f>
        <v>K/16/080126/3</v>
      </c>
      <c r="C10609" s="42" t="str">
        <f>IFERROR(__xludf.DUMMYFUNCTION("""COMPUTED_VALUE"""),"M. 571/PALAPA")</f>
        <v>M. 571/PALAPA</v>
      </c>
      <c r="D10609" s="42"/>
      <c r="E10609" s="42"/>
      <c r="F10609" s="48" t="str">
        <f>IFERROR(__xludf.DUMMYFUNCTION("""COMPUTED_VALUE"""),"")</f>
        <v/>
      </c>
      <c r="G10609" s="42" t="str">
        <f>IFERROR(__xludf.DUMMYFUNCTION("""COMPUTED_VALUE"""),"BLOKIR")</f>
        <v>BLOKIR</v>
      </c>
      <c r="H10609" s="42">
        <f t="shared" si="1"/>
        <v>3345</v>
      </c>
    </row>
    <row r="10610" ht="22.5" customHeight="1">
      <c r="B10610" s="42" t="str">
        <f>IFERROR(__xludf.DUMMYFUNCTION("""COMPUTED_VALUE"""),"K/17/080126/4")</f>
        <v>K/17/080126/4</v>
      </c>
      <c r="C10610" s="42" t="str">
        <f>IFERROR(__xludf.DUMMYFUNCTION("""COMPUTED_VALUE"""),"M. 572/PALAPA")</f>
        <v>M. 572/PALAPA</v>
      </c>
      <c r="D10610" s="42"/>
      <c r="E10610" s="42"/>
      <c r="F10610" s="48" t="str">
        <f>IFERROR(__xludf.DUMMYFUNCTION("""COMPUTED_VALUE"""),"")</f>
        <v/>
      </c>
      <c r="G10610" s="42" t="str">
        <f>IFERROR(__xludf.DUMMYFUNCTION("""COMPUTED_VALUE"""),"BLOKIR")</f>
        <v>BLOKIR</v>
      </c>
      <c r="H10610" s="42">
        <f t="shared" si="1"/>
        <v>3345</v>
      </c>
    </row>
    <row r="10611" ht="22.5" customHeight="1">
      <c r="B10611" s="42" t="str">
        <f>IFERROR(__xludf.DUMMYFUNCTION("""COMPUTED_VALUE"""),"K/18/080126/5")</f>
        <v>K/18/080126/5</v>
      </c>
      <c r="C10611" s="42" t="str">
        <f>IFERROR(__xludf.DUMMYFUNCTION("""COMPUTED_VALUE"""),"M. 354/PALAPA")</f>
        <v>M. 354/PALAPA</v>
      </c>
      <c r="D10611" s="42"/>
      <c r="E10611" s="42"/>
      <c r="F10611" s="48" t="str">
        <f>IFERROR(__xludf.DUMMYFUNCTION("""COMPUTED_VALUE"""),"")</f>
        <v/>
      </c>
      <c r="G10611" s="42" t="str">
        <f>IFERROR(__xludf.DUMMYFUNCTION("""COMPUTED_VALUE"""),"BLOKIR")</f>
        <v>BLOKIR</v>
      </c>
      <c r="H10611" s="42">
        <f t="shared" si="1"/>
        <v>3345</v>
      </c>
    </row>
    <row r="10612" ht="22.5" customHeight="1">
      <c r="B10612" s="42" t="str">
        <f>IFERROR(__xludf.DUMMYFUNCTION("""COMPUTED_VALUE"""),"K/19/080126/6")</f>
        <v>K/19/080126/6</v>
      </c>
      <c r="C10612" s="42" t="str">
        <f>IFERROR(__xludf.DUMMYFUNCTION("""COMPUTED_VALUE"""),"M. 362/PALAPA")</f>
        <v>M. 362/PALAPA</v>
      </c>
      <c r="D10612" s="42"/>
      <c r="E10612" s="42"/>
      <c r="F10612" s="48" t="str">
        <f>IFERROR(__xludf.DUMMYFUNCTION("""COMPUTED_VALUE"""),"")</f>
        <v/>
      </c>
      <c r="G10612" s="42" t="str">
        <f>IFERROR(__xludf.DUMMYFUNCTION("""COMPUTED_VALUE"""),"BLOKIR")</f>
        <v>BLOKIR</v>
      </c>
      <c r="H10612" s="42">
        <f t="shared" si="1"/>
        <v>3345</v>
      </c>
    </row>
    <row r="10613" ht="22.5" customHeight="1">
      <c r="B10613" s="42" t="str">
        <f>IFERROR(__xludf.DUMMYFUNCTION("""COMPUTED_VALUE"""),"K/20/080126/7")</f>
        <v>K/20/080126/7</v>
      </c>
      <c r="C10613" s="42" t="str">
        <f>IFERROR(__xludf.DUMMYFUNCTION("""COMPUTED_VALUE"""),"M. 365/PALAPA")</f>
        <v>M. 365/PALAPA</v>
      </c>
      <c r="D10613" s="42"/>
      <c r="E10613" s="42"/>
      <c r="F10613" s="48" t="str">
        <f>IFERROR(__xludf.DUMMYFUNCTION("""COMPUTED_VALUE"""),"")</f>
        <v/>
      </c>
      <c r="G10613" s="42" t="str">
        <f>IFERROR(__xludf.DUMMYFUNCTION("""COMPUTED_VALUE"""),"BLOKIR")</f>
        <v>BLOKIR</v>
      </c>
      <c r="H10613" s="42">
        <f t="shared" si="1"/>
        <v>3345</v>
      </c>
    </row>
    <row r="10614" ht="22.5" customHeight="1">
      <c r="B10614" s="42" t="str">
        <f>IFERROR(__xludf.DUMMYFUNCTION("""COMPUTED_VALUE"""),"K/21/080126/8")</f>
        <v>K/21/080126/8</v>
      </c>
      <c r="C10614" s="42" t="str">
        <f>IFERROR(__xludf.DUMMYFUNCTION("""COMPUTED_VALUE"""),"M. 443/PALAPA")</f>
        <v>M. 443/PALAPA</v>
      </c>
      <c r="D10614" s="42"/>
      <c r="E10614" s="42"/>
      <c r="F10614" s="48" t="str">
        <f>IFERROR(__xludf.DUMMYFUNCTION("""COMPUTED_VALUE"""),"")</f>
        <v/>
      </c>
      <c r="G10614" s="42" t="str">
        <f>IFERROR(__xludf.DUMMYFUNCTION("""COMPUTED_VALUE"""),"BLOKIR")</f>
        <v>BLOKIR</v>
      </c>
      <c r="H10614" s="42">
        <f t="shared" si="1"/>
        <v>3345</v>
      </c>
    </row>
    <row r="10615" ht="22.5" customHeight="1">
      <c r="B10615" s="42" t="str">
        <f>IFERROR(__xludf.DUMMYFUNCTION("""COMPUTED_VALUE"""),"K/22/080126/9")</f>
        <v>K/22/080126/9</v>
      </c>
      <c r="C10615" s="42" t="str">
        <f>IFERROR(__xludf.DUMMYFUNCTION("""COMPUTED_VALUE"""),"M. 487/PALAPA")</f>
        <v>M. 487/PALAPA</v>
      </c>
      <c r="D10615" s="42"/>
      <c r="E10615" s="42"/>
      <c r="F10615" s="48" t="str">
        <f>IFERROR(__xludf.DUMMYFUNCTION("""COMPUTED_VALUE"""),"")</f>
        <v/>
      </c>
      <c r="G10615" s="42" t="str">
        <f>IFERROR(__xludf.DUMMYFUNCTION("""COMPUTED_VALUE"""),"BLOKIR")</f>
        <v>BLOKIR</v>
      </c>
      <c r="H10615" s="42">
        <f t="shared" si="1"/>
        <v>3345</v>
      </c>
    </row>
    <row r="10616" ht="22.5" customHeight="1">
      <c r="B10616" s="42" t="str">
        <f>IFERROR(__xludf.DUMMYFUNCTION("""COMPUTED_VALUE"""),"L/2/090126/1")</f>
        <v>L/2/090126/1</v>
      </c>
      <c r="C10616" s="42" t="str">
        <f>IFERROR(__xludf.DUMMYFUNCTION("""COMPUTED_VALUE"""),"M. 739/RAJABASA JAYA")</f>
        <v>M. 739/RAJABASA JAYA</v>
      </c>
      <c r="D10616" s="42"/>
      <c r="E10616" s="42"/>
      <c r="F10616" s="48" t="str">
        <f>IFERROR(__xludf.DUMMYFUNCTION("""COMPUTED_VALUE"""),"")</f>
        <v/>
      </c>
      <c r="G10616" s="42" t="str">
        <f>IFERROR(__xludf.DUMMYFUNCTION("""COMPUTED_VALUE"""),"ROYA")</f>
        <v>ROYA</v>
      </c>
      <c r="H10616" s="42">
        <f t="shared" si="1"/>
        <v>3345</v>
      </c>
    </row>
    <row r="10617" ht="22.5" customHeight="1">
      <c r="B10617" s="42" t="str">
        <f>IFERROR(__xludf.DUMMYFUNCTION("""COMPUTED_VALUE"""),"ABCRNEFW/AB028")</f>
        <v>ABCRNEFW/AB028</v>
      </c>
      <c r="C10617" s="42" t="str">
        <f>IFERROR(__xludf.DUMMYFUNCTION("""COMPUTED_VALUE"""),"M Nibel 28924/Enggal")</f>
        <v>M Nibel 28924/Enggal</v>
      </c>
      <c r="D10617" s="42"/>
      <c r="E10617" s="42"/>
      <c r="F10617" s="48" t="str">
        <f>IFERROR(__xludf.DUMMYFUNCTION("""COMPUTED_VALUE"""),"")</f>
        <v/>
      </c>
      <c r="G10617" s="42" t="str">
        <f>IFERROR(__xludf.DUMMYFUNCTION("""COMPUTED_VALUE"""),"Peralihan Hak Jual Beli")</f>
        <v>Peralihan Hak Jual Beli</v>
      </c>
      <c r="H10617" s="42">
        <f t="shared" si="1"/>
        <v>3345</v>
      </c>
    </row>
    <row r="10618" ht="22.5" customHeight="1">
      <c r="B10618" s="42" t="str">
        <f>IFERROR(__xludf.DUMMYFUNCTION("""COMPUTED_VALUE"""),"ABFDFMFB/AB028")</f>
        <v>ABFDFMFB/AB028</v>
      </c>
      <c r="C10618" s="42" t="str">
        <f>IFERROR(__xludf.DUMMYFUNCTION("""COMPUTED_VALUE"""),"M Nibel 28926/Enggal")</f>
        <v>M Nibel 28926/Enggal</v>
      </c>
      <c r="D10618" s="42"/>
      <c r="E10618" s="42"/>
      <c r="F10618" s="48" t="str">
        <f>IFERROR(__xludf.DUMMYFUNCTION("""COMPUTED_VALUE"""),"")</f>
        <v/>
      </c>
      <c r="G10618" s="42" t="str">
        <f>IFERROR(__xludf.DUMMYFUNCTION("""COMPUTED_VALUE"""),"Peralihan Hak Jual Beli")</f>
        <v>Peralihan Hak Jual Beli</v>
      </c>
      <c r="H10618" s="42">
        <f t="shared" si="1"/>
        <v>3345</v>
      </c>
    </row>
    <row r="10619" ht="22.5" customHeight="1">
      <c r="B10619" s="42" t="str">
        <f>IFERROR(__xludf.DUMMYFUNCTION("""COMPUTED_VALUE"""),"ABGXZDXO")</f>
        <v>ABGXZDXO</v>
      </c>
      <c r="C10619" s="42" t="str">
        <f>IFERROR(__xludf.DUMMYFUNCTION("""COMPUTED_VALUE"""),"NIBEL B 27450/ RAJABASA NUNYAI")</f>
        <v>NIBEL B 27450/ RAJABASA NUNYAI</v>
      </c>
      <c r="D10619" s="42"/>
      <c r="E10619" s="42"/>
      <c r="F10619" s="48" t="str">
        <f>IFERROR(__xludf.DUMMYFUNCTION("""COMPUTED_VALUE"""),"")</f>
        <v/>
      </c>
      <c r="G10619" s="42" t="str">
        <f>IFERROR(__xludf.DUMMYFUNCTION("""COMPUTED_VALUE"""),"Perubahan hak")</f>
        <v>Perubahan hak</v>
      </c>
      <c r="H10619" s="42">
        <f t="shared" si="1"/>
        <v>3345</v>
      </c>
    </row>
    <row r="10620" ht="22.5" customHeight="1">
      <c r="B10620" s="42" t="str">
        <f>IFERROR(__xludf.DUMMYFUNCTION("""COMPUTED_VALUE"""),"ABJFVHIV")</f>
        <v>ABJFVHIV</v>
      </c>
      <c r="C10620" s="42" t="str">
        <f>IFERROR(__xludf.DUMMYFUNCTION("""COMPUTED_VALUE"""),"NIBEL B 28729/ RAJABASA NUNYAI")</f>
        <v>NIBEL B 28729/ RAJABASA NUNYAI</v>
      </c>
      <c r="D10620" s="42"/>
      <c r="E10620" s="42"/>
      <c r="F10620" s="48" t="str">
        <f>IFERROR(__xludf.DUMMYFUNCTION("""COMPUTED_VALUE"""),"")</f>
        <v/>
      </c>
      <c r="G10620" s="42" t="str">
        <f>IFERROR(__xludf.DUMMYFUNCTION("""COMPUTED_VALUE"""),"Perubahan haak")</f>
        <v>Perubahan haak</v>
      </c>
      <c r="H10620" s="42">
        <f t="shared" si="1"/>
        <v>3345</v>
      </c>
    </row>
    <row r="10621" ht="22.5" customHeight="1">
      <c r="B10621" s="42" t="str">
        <f>IFERROR(__xludf.DUMMYFUNCTION("""COMPUTED_VALUE"""),"ABYQCOKZ")</f>
        <v>ABYQCOKZ</v>
      </c>
      <c r="C10621" s="42" t="str">
        <f>IFERROR(__xludf.DUMMYFUNCTION("""COMPUTED_VALUE"""),"NIBEL B 28853/ RAJABASA NUNYAI")</f>
        <v>NIBEL B 28853/ RAJABASA NUNYAI</v>
      </c>
      <c r="D10621" s="42"/>
      <c r="E10621" s="42"/>
      <c r="F10621" s="48" t="str">
        <f>IFERROR(__xludf.DUMMYFUNCTION("""COMPUTED_VALUE"""),"")</f>
        <v/>
      </c>
      <c r="G10621" s="42" t="str">
        <f>IFERROR(__xludf.DUMMYFUNCTION("""COMPUTED_VALUE"""),"Perubahan hak")</f>
        <v>Perubahan hak</v>
      </c>
      <c r="H10621" s="42">
        <f t="shared" si="1"/>
        <v>3345</v>
      </c>
    </row>
    <row r="10622" ht="22.5" customHeight="1">
      <c r="B10622" s="42" t="str">
        <f>IFERROR(__xludf.DUMMYFUNCTION("""COMPUTED_VALUE"""),"K/1/090126/1")</f>
        <v>K/1/090126/1</v>
      </c>
      <c r="C10622" s="42" t="str">
        <f>IFERROR(__xludf.DUMMYFUNCTION("""COMPUTED_VALUE"""),"NIBEL B. 21357/KETEGUHAN")</f>
        <v>NIBEL B. 21357/KETEGUHAN</v>
      </c>
      <c r="D10622" s="42"/>
      <c r="E10622" s="42"/>
      <c r="F10622" s="48" t="str">
        <f>IFERROR(__xludf.DUMMYFUNCTION("""COMPUTED_VALUE"""),"")</f>
        <v/>
      </c>
      <c r="G10622" s="42" t="str">
        <f>IFERROR(__xludf.DUMMYFUNCTION("""COMPUTED_VALUE"""),"BN HIBAH")</f>
        <v>BN HIBAH</v>
      </c>
      <c r="H10622" s="42">
        <f t="shared" si="1"/>
        <v>3345</v>
      </c>
    </row>
    <row r="10623" ht="22.5" customHeight="1">
      <c r="B10623" s="42" t="str">
        <f>IFERROR(__xludf.DUMMYFUNCTION("""COMPUTED_VALUE"""),"ABGCXTXI/AB10")</f>
        <v>ABGCXTXI/AB10</v>
      </c>
      <c r="C10623" s="42" t="str">
        <f>IFERROR(__xludf.DUMMYFUNCTION("""COMPUTED_VALUE"""),"M.Nibel 16705/Sukarame Baru")</f>
        <v>M.Nibel 16705/Sukarame Baru</v>
      </c>
      <c r="D10623" s="42"/>
      <c r="E10623" s="42"/>
      <c r="F10623" s="48" t="str">
        <f>IFERROR(__xludf.DUMMYFUNCTION("""COMPUTED_VALUE"""),"")</f>
        <v/>
      </c>
      <c r="G10623" s="42" t="str">
        <f>IFERROR(__xludf.DUMMYFUNCTION("""COMPUTED_VALUE"""),"BN Jual Beli")</f>
        <v>BN Jual Beli</v>
      </c>
      <c r="H10623" s="42">
        <f t="shared" si="1"/>
        <v>3345</v>
      </c>
    </row>
    <row r="10624" ht="22.5" customHeight="1">
      <c r="B10624" s="42" t="str">
        <f>IFERROR(__xludf.DUMMYFUNCTION("""COMPUTED_VALUE"""),"Abziqvtp")</f>
        <v>Abziqvtp</v>
      </c>
      <c r="C10624" s="42" t="str">
        <f>IFERROR(__xludf.DUMMYFUNCTION("""COMPUTED_VALUE"""),"M 14400/ sukarame")</f>
        <v>M 14400/ sukarame</v>
      </c>
      <c r="D10624" s="42"/>
      <c r="E10624" s="42"/>
      <c r="F10624" s="48" t="str">
        <f>IFERROR(__xludf.DUMMYFUNCTION("""COMPUTED_VALUE"""),"")</f>
        <v/>
      </c>
      <c r="G10624" s="42" t="str">
        <f>IFERROR(__xludf.DUMMYFUNCTION("""COMPUTED_VALUE"""),"Ganti kelurahan")</f>
        <v>Ganti kelurahan</v>
      </c>
      <c r="H10624" s="42">
        <f t="shared" si="1"/>
        <v>3345</v>
      </c>
    </row>
    <row r="10625" ht="22.5" customHeight="1">
      <c r="B10625" s="42" t="str">
        <f>IFERROR(__xludf.DUMMYFUNCTION("""COMPUTED_VALUE"""),"Abrhtvkv")</f>
        <v>Abrhtvkv</v>
      </c>
      <c r="C10625" s="42" t="str">
        <f>IFERROR(__xludf.DUMMYFUNCTION("""COMPUTED_VALUE"""),"M 3352/ rajabasa jaya")</f>
        <v>M 3352/ rajabasa jaya</v>
      </c>
      <c r="D10625" s="42"/>
      <c r="E10625" s="42"/>
      <c r="F10625" s="48" t="str">
        <f>IFERROR(__xludf.DUMMYFUNCTION("""COMPUTED_VALUE"""),"")</f>
        <v/>
      </c>
      <c r="G10625" s="42" t="str">
        <f>IFERROR(__xludf.DUMMYFUNCTION("""COMPUTED_VALUE"""),"Penghapusan bphtb ptsl")</f>
        <v>Penghapusan bphtb ptsl</v>
      </c>
      <c r="H10625" s="42">
        <f t="shared" si="1"/>
        <v>3345</v>
      </c>
    </row>
    <row r="10626" ht="22.5" customHeight="1">
      <c r="B10626" s="42" t="str">
        <f>IFERROR(__xludf.DUMMYFUNCTION("""COMPUTED_VALUE"""),"K/3/090126/1")</f>
        <v>K/3/090126/1</v>
      </c>
      <c r="C10626" s="42" t="str">
        <f>IFERROR(__xludf.DUMMYFUNCTION("""COMPUTED_VALUE"""),"M. 2053/GUNUNG TERANG")</f>
        <v>M. 2053/GUNUNG TERANG</v>
      </c>
      <c r="D10626" s="42"/>
      <c r="E10626" s="42"/>
      <c r="F10626" s="48" t="str">
        <f>IFERROR(__xludf.DUMMYFUNCTION("""COMPUTED_VALUE"""),"")</f>
        <v/>
      </c>
      <c r="G10626" s="42" t="str">
        <f>IFERROR(__xludf.DUMMYFUNCTION("""COMPUTED_VALUE"""),"PEMECAHAN")</f>
        <v>PEMECAHAN</v>
      </c>
      <c r="H10626" s="42">
        <f t="shared" si="1"/>
        <v>3345</v>
      </c>
    </row>
    <row r="10627" ht="22.5" customHeight="1">
      <c r="B10627" s="42" t="str">
        <f>IFERROR(__xludf.DUMMYFUNCTION("""COMPUTED_VALUE"""),"K/4/090126/1")</f>
        <v>K/4/090126/1</v>
      </c>
      <c r="C10627" s="42" t="str">
        <f>IFERROR(__xludf.DUMMYFUNCTION("""COMPUTED_VALUE"""),"M. 2633/GEDONG AIR")</f>
        <v>M. 2633/GEDONG AIR</v>
      </c>
      <c r="D10627" s="42"/>
      <c r="E10627" s="42"/>
      <c r="F10627" s="48" t="str">
        <f>IFERROR(__xludf.DUMMYFUNCTION("""COMPUTED_VALUE"""),"")</f>
        <v/>
      </c>
      <c r="G10627" s="42" t="str">
        <f>IFERROR(__xludf.DUMMYFUNCTION("""COMPUTED_VALUE"""),"BN JUAL BELI")</f>
        <v>BN JUAL BELI</v>
      </c>
      <c r="H10627" s="42">
        <f t="shared" si="1"/>
        <v>3345</v>
      </c>
    </row>
    <row r="10628" ht="22.5" customHeight="1">
      <c r="B10628" s="42" t="str">
        <f>IFERROR(__xludf.DUMMYFUNCTION("""COMPUTED_VALUE"""),"ABRUVKON")</f>
        <v>ABRUVKON</v>
      </c>
      <c r="C10628" s="42" t="str">
        <f>IFERROR(__xludf.DUMMYFUNCTION("""COMPUTED_VALUE"""),"B. 08.01.000003895.0/skb")</f>
        <v>B. 08.01.000003895.0/skb</v>
      </c>
      <c r="D10628" s="42"/>
      <c r="E10628" s="42"/>
      <c r="F10628" s="48" t="str">
        <f>IFERROR(__xludf.DUMMYFUNCTION("""COMPUTED_VALUE"""),"")</f>
        <v/>
      </c>
      <c r="G10628" s="42" t="str">
        <f>IFERROR(__xludf.DUMMYFUNCTION("""COMPUTED_VALUE"""),"Perubahan Hak")</f>
        <v>Perubahan Hak</v>
      </c>
      <c r="H10628" s="42">
        <f t="shared" si="1"/>
        <v>3345</v>
      </c>
    </row>
    <row r="10629" ht="22.5" customHeight="1">
      <c r="B10629" s="42" t="str">
        <f>IFERROR(__xludf.DUMMYFUNCTION("""COMPUTED_VALUE"""),"K/5/090126/2")</f>
        <v>K/5/090126/2</v>
      </c>
      <c r="C10629" s="42" t="str">
        <f>IFERROR(__xludf.DUMMYFUNCTION("""COMPUTED_VALUE"""),"M. 2632/ GEDONG AIR")</f>
        <v>M. 2632/ GEDONG AIR</v>
      </c>
      <c r="D10629" s="42"/>
      <c r="E10629" s="42"/>
      <c r="F10629" s="48" t="str">
        <f>IFERROR(__xludf.DUMMYFUNCTION("""COMPUTED_VALUE"""),"")</f>
        <v/>
      </c>
      <c r="G10629" s="42" t="str">
        <f>IFERROR(__xludf.DUMMYFUNCTION("""COMPUTED_VALUE"""),"BN JUAL BELI")</f>
        <v>BN JUAL BELI</v>
      </c>
      <c r="H10629" s="42">
        <f t="shared" si="1"/>
        <v>3345</v>
      </c>
    </row>
    <row r="10630" ht="22.5" customHeight="1">
      <c r="B10630" s="42" t="str">
        <f>IFERROR(__xludf.DUMMYFUNCTION("""COMPUTED_VALUE"""),"ABIINEKG/AB050")</f>
        <v>ABIINEKG/AB050</v>
      </c>
      <c r="C10630" s="42" t="str">
        <f>IFERROR(__xludf.DUMMYFUNCTION("""COMPUTED_VALUE"""),"M. NIBEL 28483/Jagabaya III")</f>
        <v>M. NIBEL 28483/Jagabaya III</v>
      </c>
      <c r="D10630" s="42"/>
      <c r="E10630" s="42"/>
      <c r="F10630" s="48" t="str">
        <f>IFERROR(__xludf.DUMMYFUNCTION("""COMPUTED_VALUE"""),"")</f>
        <v/>
      </c>
      <c r="G10630" s="42" t="str">
        <f>IFERROR(__xludf.DUMMYFUNCTION("""COMPUTED_VALUE"""),"BN JUAL BELI")</f>
        <v>BN JUAL BELI</v>
      </c>
      <c r="H10630" s="42">
        <f t="shared" si="1"/>
        <v>3345</v>
      </c>
    </row>
    <row r="10631" ht="22.5" customHeight="1">
      <c r="B10631" s="42" t="str">
        <f>IFERROR(__xludf.DUMMYFUNCTION("""COMPUTED_VALUE"""),"ABLDVVHO")</f>
        <v>ABLDVVHO</v>
      </c>
      <c r="C10631" s="42" t="str">
        <f>IFERROR(__xludf.DUMMYFUNCTION("""COMPUTED_VALUE"""),"2299/Su.H")</f>
        <v>2299/Su.H</v>
      </c>
      <c r="D10631" s="42"/>
      <c r="E10631" s="42"/>
      <c r="F10631" s="48" t="str">
        <f>IFERROR(__xludf.DUMMYFUNCTION("""COMPUTED_VALUE"""),"")</f>
        <v/>
      </c>
      <c r="G10631" s="42" t="str">
        <f>IFERROR(__xludf.DUMMYFUNCTION("""COMPUTED_VALUE"""),"Roya")</f>
        <v>Roya</v>
      </c>
      <c r="H10631" s="42">
        <f t="shared" si="1"/>
        <v>3345</v>
      </c>
    </row>
    <row r="10632" ht="22.5" customHeight="1">
      <c r="B10632" s="42" t="str">
        <f>IFERROR(__xludf.DUMMYFUNCTION("""COMPUTED_VALUE"""),"ABDKUFSN")</f>
        <v>ABDKUFSN</v>
      </c>
      <c r="C10632" s="42" t="str">
        <f>IFERROR(__xludf.DUMMYFUNCTION("""COMPUTED_VALUE"""),"1269/KK")</f>
        <v>1269/KK</v>
      </c>
      <c r="D10632" s="42"/>
      <c r="E10632" s="42"/>
      <c r="F10632" s="48" t="str">
        <f>IFERROR(__xludf.DUMMYFUNCTION("""COMPUTED_VALUE"""),"")</f>
        <v/>
      </c>
      <c r="G10632" s="42" t="str">
        <f>IFERROR(__xludf.DUMMYFUNCTION("""COMPUTED_VALUE"""),"JUAL BELI")</f>
        <v>JUAL BELI</v>
      </c>
      <c r="H10632" s="42">
        <f t="shared" si="1"/>
        <v>3345</v>
      </c>
    </row>
    <row r="10633" ht="22.5" customHeight="1">
      <c r="B10633" s="42" t="str">
        <f>IFERROR(__xludf.DUMMYFUNCTION("""COMPUTED_VALUE"""),"ABREUKVO")</f>
        <v>ABREUKVO</v>
      </c>
      <c r="C10633" s="42" t="str">
        <f>IFERROR(__xludf.DUMMYFUNCTION("""COMPUTED_VALUE"""),"12821/Beringin Raya")</f>
        <v>12821/Beringin Raya</v>
      </c>
      <c r="D10633" s="42"/>
      <c r="E10633" s="42"/>
      <c r="F10633" s="48" t="str">
        <f>IFERROR(__xludf.DUMMYFUNCTION("""COMPUTED_VALUE"""),"")</f>
        <v/>
      </c>
      <c r="G10633" s="42" t="str">
        <f>IFERROR(__xludf.DUMMYFUNCTION("""COMPUTED_VALUE"""),"Roya")</f>
        <v>Roya</v>
      </c>
      <c r="H10633" s="42">
        <f t="shared" si="1"/>
        <v>3345</v>
      </c>
    </row>
    <row r="10634" ht="22.5" customHeight="1">
      <c r="B10634" s="42" t="str">
        <f>IFERROR(__xludf.DUMMYFUNCTION("""COMPUTED_VALUE"""),"L/6/090126/1")</f>
        <v>L/6/090126/1</v>
      </c>
      <c r="C10634" s="42" t="str">
        <f>IFERROR(__xludf.DUMMYFUNCTION("""COMPUTED_VALUE"""),"M NIB. 25989/KELAPA TIGA PERMAI")</f>
        <v>M NIB. 25989/KELAPA TIGA PERMAI</v>
      </c>
      <c r="D10634" s="42"/>
      <c r="E10634" s="42"/>
      <c r="F10634" s="48" t="str">
        <f>IFERROR(__xludf.DUMMYFUNCTION("""COMPUTED_VALUE"""),"")</f>
        <v/>
      </c>
      <c r="G10634" s="42" t="str">
        <f>IFERROR(__xludf.DUMMYFUNCTION("""COMPUTED_VALUE"""),"BN WARIS")</f>
        <v>BN WARIS</v>
      </c>
      <c r="H10634" s="42">
        <f t="shared" si="1"/>
        <v>3345</v>
      </c>
    </row>
    <row r="10635" ht="22.5" customHeight="1">
      <c r="B10635" s="42" t="str">
        <f>IFERROR(__xludf.DUMMYFUNCTION("""COMPUTED_VALUE"""),"ABNIUMXG")</f>
        <v>ABNIUMXG</v>
      </c>
      <c r="C10635" s="42" t="str">
        <f>IFERROR(__xludf.DUMMYFUNCTION("""COMPUTED_VALUE"""),"10936/Kdn")</f>
        <v>10936/Kdn</v>
      </c>
      <c r="D10635" s="42"/>
      <c r="E10635" s="42"/>
      <c r="F10635" s="48" t="str">
        <f>IFERROR(__xludf.DUMMYFUNCTION("""COMPUTED_VALUE"""),"")</f>
        <v/>
      </c>
      <c r="G10635" s="42" t="str">
        <f>IFERROR(__xludf.DUMMYFUNCTION("""COMPUTED_VALUE"""),"Roya")</f>
        <v>Roya</v>
      </c>
      <c r="H10635" s="42">
        <f t="shared" si="1"/>
        <v>3345</v>
      </c>
    </row>
    <row r="10636" ht="22.5" customHeight="1">
      <c r="B10636" s="42" t="str">
        <f>IFERROR(__xludf.DUMMYFUNCTION("""COMPUTED_VALUE"""),"ABQOYNCU")</f>
        <v>ABQOYNCU</v>
      </c>
      <c r="C10636" s="42" t="str">
        <f>IFERROR(__xludf.DUMMYFUNCTION("""COMPUTED_VALUE"""),"4178/Skb")</f>
        <v>4178/Skb</v>
      </c>
      <c r="D10636" s="42"/>
      <c r="E10636" s="42"/>
      <c r="F10636" s="48" t="str">
        <f>IFERROR(__xludf.DUMMYFUNCTION("""COMPUTED_VALUE"""),"")</f>
        <v/>
      </c>
      <c r="G10636" s="42" t="str">
        <f>IFERROR(__xludf.DUMMYFUNCTION("""COMPUTED_VALUE"""),"PH")</f>
        <v>PH</v>
      </c>
      <c r="H10636" s="42">
        <f t="shared" si="1"/>
        <v>3345</v>
      </c>
    </row>
    <row r="10637" ht="22.5" customHeight="1">
      <c r="B10637" s="42" t="str">
        <f>IFERROR(__xludf.DUMMYFUNCTION("""COMPUTED_VALUE"""),"ABAWXGVB/AB065")</f>
        <v>ABAWXGVB/AB065</v>
      </c>
      <c r="C10637" s="42" t="str">
        <f>IFERROR(__xludf.DUMMYFUNCTION("""COMPUTED_VALUE""")," M. NIBEL 27588/Kota Karang Raya")</f>
        <v> M. NIBEL 27588/Kota Karang Raya</v>
      </c>
      <c r="D10637" s="42"/>
      <c r="E10637" s="42"/>
      <c r="F10637" s="48" t="str">
        <f>IFERROR(__xludf.DUMMYFUNCTION("""COMPUTED_VALUE"""),"")</f>
        <v/>
      </c>
      <c r="G10637" s="42" t="str">
        <f>IFERROR(__xludf.DUMMYFUNCTION("""COMPUTED_VALUE"""),"BN Lelang")</f>
        <v>BN Lelang</v>
      </c>
      <c r="H10637" s="42">
        <f t="shared" si="1"/>
        <v>3345</v>
      </c>
    </row>
    <row r="10638" ht="22.5" customHeight="1">
      <c r="B10638" s="42" t="str">
        <f>IFERROR(__xludf.DUMMYFUNCTION("""COMPUTED_VALUE"""),"ABWPNOLT")</f>
        <v>ABWPNOLT</v>
      </c>
      <c r="C10638" s="42">
        <f>IFERROR(__xludf.DUMMYFUNCTION("""COMPUTED_VALUE"""),2106.0)</f>
        <v>2106</v>
      </c>
      <c r="D10638" s="42"/>
      <c r="E10638" s="42"/>
      <c r="F10638" s="48" t="str">
        <f>IFERROR(__xludf.DUMMYFUNCTION("""COMPUTED_VALUE"""),"")</f>
        <v/>
      </c>
      <c r="G10638" s="42" t="str">
        <f>IFERROR(__xludf.DUMMYFUNCTION("""COMPUTED_VALUE"""),"Bn")</f>
        <v>Bn</v>
      </c>
      <c r="H10638" s="42">
        <f t="shared" si="1"/>
        <v>3345</v>
      </c>
    </row>
    <row r="10639" ht="22.5" customHeight="1">
      <c r="B10639" s="42" t="str">
        <f>IFERROR(__xludf.DUMMYFUNCTION("""COMPUTED_VALUE"""),"ABGAKYVR")</f>
        <v>ABGAKYVR</v>
      </c>
      <c r="C10639" s="42">
        <f>IFERROR(__xludf.DUMMYFUNCTION("""COMPUTED_VALUE"""),6439.0)</f>
        <v>6439</v>
      </c>
      <c r="D10639" s="42"/>
      <c r="E10639" s="42"/>
      <c r="F10639" s="48" t="str">
        <f>IFERROR(__xludf.DUMMYFUNCTION("""COMPUTED_VALUE"""),"")</f>
        <v/>
      </c>
      <c r="G10639" s="42" t="str">
        <f>IFERROR(__xludf.DUMMYFUNCTION("""COMPUTED_VALUE"""),"Bn")</f>
        <v>Bn</v>
      </c>
      <c r="H10639" s="42">
        <f t="shared" si="1"/>
        <v>3345</v>
      </c>
    </row>
    <row r="10640" ht="22.5" customHeight="1">
      <c r="B10640" s="42" t="str">
        <f>IFERROR(__xludf.DUMMYFUNCTION("""COMPUTED_VALUE"""),"ABGTSQRA")</f>
        <v>ABGTSQRA</v>
      </c>
      <c r="C10640" s="42" t="str">
        <f>IFERROR(__xludf.DUMMYFUNCTION("""COMPUTED_VALUE"""),"08.01.000026084.0")</f>
        <v>08.01.000026084.0</v>
      </c>
      <c r="D10640" s="42"/>
      <c r="E10640" s="42"/>
      <c r="F10640" s="48" t="str">
        <f>IFERROR(__xludf.DUMMYFUNCTION("""COMPUTED_VALUE"""),"")</f>
        <v/>
      </c>
      <c r="G10640" s="42" t="str">
        <f>IFERROR(__xludf.DUMMYFUNCTION("""COMPUTED_VALUE"""),"Bn")</f>
        <v>Bn</v>
      </c>
      <c r="H10640" s="42">
        <f t="shared" si="1"/>
        <v>3345</v>
      </c>
    </row>
    <row r="10641" ht="22.5" customHeight="1">
      <c r="B10641" s="42" t="str">
        <f>IFERROR(__xludf.DUMMYFUNCTION("""COMPUTED_VALUE"""),"ABZBDBNT/AB042")</f>
        <v>ABZBDBNT/AB042</v>
      </c>
      <c r="C10641" s="42" t="str">
        <f>IFERROR(__xludf.DUMMYFUNCTION("""COMPUTED_VALUE"""),"NIBEL .20505 RAJABASA")</f>
        <v>NIBEL .20505 RAJABASA</v>
      </c>
      <c r="D10641" s="42"/>
      <c r="E10641" s="42"/>
      <c r="F10641" s="48" t="str">
        <f>IFERROR(__xludf.DUMMYFUNCTION("""COMPUTED_VALUE"""),"")</f>
        <v/>
      </c>
      <c r="G10641" s="42" t="str">
        <f>IFERROR(__xludf.DUMMYFUNCTION("""COMPUTED_VALUE"""),"Bn jual beli")</f>
        <v>Bn jual beli</v>
      </c>
      <c r="H10641" s="42">
        <f t="shared" si="1"/>
        <v>3345</v>
      </c>
    </row>
    <row r="10642" ht="22.5" customHeight="1">
      <c r="B10642" s="42" t="str">
        <f>IFERROR(__xludf.DUMMYFUNCTION("""COMPUTED_VALUE"""),"ABLIOKSQ/AB042")</f>
        <v>ABLIOKSQ/AB042</v>
      </c>
      <c r="C10642" s="42" t="str">
        <f>IFERROR(__xludf.DUMMYFUNCTION("""COMPUTED_VALUE"""),"M.13771 SEGALA MIDER")</f>
        <v>M.13771 SEGALA MIDER</v>
      </c>
      <c r="D10642" s="42"/>
      <c r="E10642" s="42"/>
      <c r="F10642" s="48" t="str">
        <f>IFERROR(__xludf.DUMMYFUNCTION("""COMPUTED_VALUE"""),"")</f>
        <v/>
      </c>
      <c r="G10642" s="42" t="str">
        <f>IFERROR(__xludf.DUMMYFUNCTION("""COMPUTED_VALUE"""),"Ptsl")</f>
        <v>Ptsl</v>
      </c>
      <c r="H10642" s="42">
        <f t="shared" si="1"/>
        <v>3345</v>
      </c>
    </row>
    <row r="10643" ht="22.5" customHeight="1">
      <c r="B10643" s="42" t="str">
        <f>IFERROR(__xludf.DUMMYFUNCTION("""COMPUTED_VALUE"""),"ARINNCC")</f>
        <v>ARINNCC</v>
      </c>
      <c r="C10643" s="42" t="str">
        <f>IFERROR(__xludf.DUMMYFUNCTION("""COMPUTED_VALUE"""),"M.10284 LABUHAN RATU")</f>
        <v>M.10284 LABUHAN RATU</v>
      </c>
      <c r="D10643" s="42"/>
      <c r="E10643" s="42"/>
      <c r="F10643" s="48" t="str">
        <f>IFERROR(__xludf.DUMMYFUNCTION("""COMPUTED_VALUE"""),"")</f>
        <v/>
      </c>
      <c r="G10643" s="42" t="str">
        <f>IFERROR(__xludf.DUMMYFUNCTION("""COMPUTED_VALUE"""),"BALIK NAMA")</f>
        <v>BALIK NAMA</v>
      </c>
      <c r="H10643" s="42">
        <f t="shared" si="1"/>
        <v>3345</v>
      </c>
    </row>
    <row r="10644" ht="22.5" customHeight="1">
      <c r="B10644" s="42" t="str">
        <f>IFERROR(__xludf.DUMMYFUNCTION("""COMPUTED_VALUE"""),"K/7/090126/1")</f>
        <v>K/7/090126/1</v>
      </c>
      <c r="C10644" s="42" t="str">
        <f>IFERROR(__xludf.DUMMYFUNCTION("""COMPUTED_VALUE"""),"M. 518/KEMILING RAYA")</f>
        <v>M. 518/KEMILING RAYA</v>
      </c>
      <c r="D10644" s="42"/>
      <c r="E10644" s="42"/>
      <c r="F10644" s="48" t="str">
        <f>IFERROR(__xludf.DUMMYFUNCTION("""COMPUTED_VALUE"""),"")</f>
        <v/>
      </c>
      <c r="G10644" s="42" t="str">
        <f>IFERROR(__xludf.DUMMYFUNCTION("""COMPUTED_VALUE"""),"PTPGT")</f>
        <v>PTPGT</v>
      </c>
      <c r="H10644" s="42">
        <f t="shared" si="1"/>
        <v>3345</v>
      </c>
    </row>
    <row r="10645" ht="22.5" customHeight="1">
      <c r="B10645" s="42" t="str">
        <f>IFERROR(__xludf.DUMMYFUNCTION("""COMPUTED_VALUE"""),"ABJMBBBQ")</f>
        <v>ABJMBBBQ</v>
      </c>
      <c r="C10645" s="42" t="str">
        <f>IFERROR(__xludf.DUMMYFUNCTION("""COMPUTED_VALUE"""),"M 1858/ RAJABASA PEMUKA")</f>
        <v>M 1858/ RAJABASA PEMUKA</v>
      </c>
      <c r="D10645" s="42"/>
      <c r="E10645" s="42"/>
      <c r="F10645" s="48" t="str">
        <f>IFERROR(__xludf.DUMMYFUNCTION("""COMPUTED_VALUE"""),"")</f>
        <v/>
      </c>
      <c r="G10645" s="42" t="str">
        <f>IFERROR(__xludf.DUMMYFUNCTION("""COMPUTED_VALUE"""),"bn jual beli")</f>
        <v>bn jual beli</v>
      </c>
      <c r="H10645" s="42">
        <f t="shared" si="1"/>
        <v>3345</v>
      </c>
    </row>
    <row r="10646" ht="22.5" customHeight="1">
      <c r="B10646" s="42" t="str">
        <f>IFERROR(__xludf.DUMMYFUNCTION("""COMPUTED_VALUE"""),"ABAHJLBI")</f>
        <v>ABAHJLBI</v>
      </c>
      <c r="C10646" s="42" t="str">
        <f>IFERROR(__xludf.DUMMYFUNCTION("""COMPUTED_VALUE"""),"M 4944/ TANJUNG SENANG")</f>
        <v>M 4944/ TANJUNG SENANG</v>
      </c>
      <c r="D10646" s="42"/>
      <c r="E10646" s="42"/>
      <c r="F10646" s="48" t="str">
        <f>IFERROR(__xludf.DUMMYFUNCTION("""COMPUTED_VALUE"""),"")</f>
        <v/>
      </c>
      <c r="G10646" s="42" t="str">
        <f>IFERROR(__xludf.DUMMYFUNCTION("""COMPUTED_VALUE"""),"bn jual beli")</f>
        <v>bn jual beli</v>
      </c>
      <c r="H10646" s="42">
        <f t="shared" si="1"/>
        <v>3345</v>
      </c>
    </row>
    <row r="10647" ht="22.5" customHeight="1">
      <c r="B10647" s="42" t="str">
        <f>IFERROR(__xludf.DUMMYFUNCTION("""COMPUTED_VALUE"""),"L/8/090126/1")</f>
        <v>L/8/090126/1</v>
      </c>
      <c r="C10647" s="42" t="str">
        <f>IFERROR(__xludf.DUMMYFUNCTION("""COMPUTED_VALUE"""),"B. 1237/SUKABUMI INDAH")</f>
        <v>B. 1237/SUKABUMI INDAH</v>
      </c>
      <c r="D10647" s="42"/>
      <c r="E10647" s="42"/>
      <c r="F10647" s="48" t="str">
        <f>IFERROR(__xludf.DUMMYFUNCTION("""COMPUTED_VALUE"""),"")</f>
        <v/>
      </c>
      <c r="G10647" s="42" t="str">
        <f>IFERROR(__xludf.DUMMYFUNCTION("""COMPUTED_VALUE"""),"PENINGKATAN HAK")</f>
        <v>PENINGKATAN HAK</v>
      </c>
      <c r="H10647" s="42">
        <f t="shared" si="1"/>
        <v>3345</v>
      </c>
    </row>
    <row r="10648" ht="22.5" customHeight="1">
      <c r="B10648" s="42" t="str">
        <f>IFERROR(__xludf.DUMMYFUNCTION("""COMPUTED_VALUE"""),"L/9/090126/1")</f>
        <v>L/9/090126/1</v>
      </c>
      <c r="C10648" s="42" t="str">
        <f>IFERROR(__xludf.DUMMYFUNCTION("""COMPUTED_VALUE"""),"SK NO 163/BPN.18.71/XII/2025")</f>
        <v>SK NO 163/BPN.18.71/XII/2025</v>
      </c>
      <c r="D10648" s="42"/>
      <c r="E10648" s="42"/>
      <c r="F10648" s="48" t="str">
        <f>IFERROR(__xludf.DUMMYFUNCTION("""COMPUTED_VALUE"""),"")</f>
        <v/>
      </c>
      <c r="G10648" s="42" t="str">
        <f>IFERROR(__xludf.DUMMYFUNCTION("""COMPUTED_VALUE"""),"PENDAFTARAN SK")</f>
        <v>PENDAFTARAN SK</v>
      </c>
      <c r="H10648" s="42">
        <f t="shared" si="1"/>
        <v>3345</v>
      </c>
    </row>
    <row r="10649" ht="22.5" customHeight="1">
      <c r="B10649" s="42" t="str">
        <f>IFERROR(__xludf.DUMMYFUNCTION("""COMPUTED_VALUE"""),"L/10/090126/1")</f>
        <v>L/10/090126/1</v>
      </c>
      <c r="C10649" s="42" t="str">
        <f>IFERROR(__xludf.DUMMYFUNCTION("""COMPUTED_VALUE"""),"B. 444/KALI BALAU KENCANA")</f>
        <v>B. 444/KALI BALAU KENCANA</v>
      </c>
      <c r="D10649" s="42"/>
      <c r="E10649" s="42"/>
      <c r="F10649" s="48" t="str">
        <f>IFERROR(__xludf.DUMMYFUNCTION("""COMPUTED_VALUE"""),"")</f>
        <v/>
      </c>
      <c r="G10649" s="42" t="str">
        <f>IFERROR(__xludf.DUMMYFUNCTION("""COMPUTED_VALUE"""),"PENINGKATAN HAK")</f>
        <v>PENINGKATAN HAK</v>
      </c>
      <c r="H10649" s="42">
        <f t="shared" si="1"/>
        <v>3345</v>
      </c>
    </row>
    <row r="10650" ht="22.5" customHeight="1">
      <c r="B10650" s="42" t="str">
        <f>IFERROR(__xludf.DUMMYFUNCTION("""COMPUTED_VALUE"""),"K/1/151225/1")</f>
        <v>K/1/151225/1</v>
      </c>
      <c r="C10650" s="42" t="str">
        <f>IFERROR(__xludf.DUMMYFUNCTION("""COMPUTED_VALUE"""),"NIBEL B. 17929/GOTONG ROYONG")</f>
        <v>NIBEL B. 17929/GOTONG ROYONG</v>
      </c>
      <c r="D10650" s="42"/>
      <c r="E10650" s="42"/>
      <c r="F10650" s="48" t="str">
        <f>IFERROR(__xludf.DUMMYFUNCTION("""COMPUTED_VALUE"""),"")</f>
        <v/>
      </c>
      <c r="G10650" s="42" t="str">
        <f>IFERROR(__xludf.DUMMYFUNCTION("""COMPUTED_VALUE"""),"PTPGT PECAH")</f>
        <v>PTPGT PECAH</v>
      </c>
      <c r="H10650" s="42">
        <f t="shared" si="1"/>
        <v>3345</v>
      </c>
    </row>
    <row r="10651" ht="22.5" customHeight="1">
      <c r="B10651" s="42" t="str">
        <f>IFERROR(__xludf.DUMMYFUNCTION("""COMPUTED_VALUE"""),"ABAPPWJE/1")</f>
        <v>ABAPPWJE/1</v>
      </c>
      <c r="C10651" s="42" t="str">
        <f>IFERROR(__xludf.DUMMYFUNCTION("""COMPUTED_VALUE"""),"2202/Labuhan Ratu Raya")</f>
        <v>2202/Labuhan Ratu Raya</v>
      </c>
      <c r="D10651" s="42"/>
      <c r="E10651" s="42"/>
      <c r="F10651" s="48" t="str">
        <f>IFERROR(__xludf.DUMMYFUNCTION("""COMPUTED_VALUE"""),"")</f>
        <v/>
      </c>
      <c r="G10651" s="42" t="str">
        <f>IFERROR(__xludf.DUMMYFUNCTION("""COMPUTED_VALUE"""),"Bn waris")</f>
        <v>Bn waris</v>
      </c>
      <c r="H10651" s="42">
        <f t="shared" si="1"/>
        <v>3345</v>
      </c>
    </row>
    <row r="10652" ht="22.5" customHeight="1">
      <c r="B10652" s="42" t="str">
        <f>IFERROR(__xludf.DUMMYFUNCTION("""COMPUTED_VALUE"""),"ABAWQETK/1")</f>
        <v>ABAWQETK/1</v>
      </c>
      <c r="C10652" s="42" t="str">
        <f>IFERROR(__xludf.DUMMYFUNCTION("""COMPUTED_VALUE"""),"2037/Kalibalau Kencana")</f>
        <v>2037/Kalibalau Kencana</v>
      </c>
      <c r="D10652" s="42"/>
      <c r="E10652" s="42"/>
      <c r="F10652" s="48" t="str">
        <f>IFERROR(__xludf.DUMMYFUNCTION("""COMPUTED_VALUE"""),"")</f>
        <v/>
      </c>
      <c r="G10652" s="42" t="str">
        <f>IFERROR(__xludf.DUMMYFUNCTION("""COMPUTED_VALUE"""),"Bn waris")</f>
        <v>Bn waris</v>
      </c>
      <c r="H10652" s="42">
        <f t="shared" si="1"/>
        <v>3345</v>
      </c>
    </row>
    <row r="10653" ht="22.5" customHeight="1">
      <c r="B10653" s="42" t="str">
        <f>IFERROR(__xludf.DUMMYFUNCTION("""COMPUTED_VALUE"""),"ABIJGWJC/AB025")</f>
        <v>ABIJGWJC/AB025</v>
      </c>
      <c r="C10653" s="42" t="str">
        <f>IFERROR(__xludf.DUMMYFUNCTION("""COMPUTED_VALUE"""),"M. 1036/Rajabasa Jaya")</f>
        <v>M. 1036/Rajabasa Jaya</v>
      </c>
      <c r="D10653" s="42"/>
      <c r="E10653" s="42"/>
      <c r="F10653" s="48" t="str">
        <f>IFERROR(__xludf.DUMMYFUNCTION("""COMPUTED_VALUE"""),"")</f>
        <v/>
      </c>
      <c r="G10653" s="42" t="str">
        <f>IFERROR(__xludf.DUMMYFUNCTION("""COMPUTED_VALUE"""),"Peralihan Hak (AJB)")</f>
        <v>Peralihan Hak (AJB)</v>
      </c>
      <c r="H10653" s="42">
        <f t="shared" si="1"/>
        <v>3345</v>
      </c>
    </row>
    <row r="10654" ht="22.5" customHeight="1">
      <c r="B10654" s="42" t="str">
        <f>IFERROR(__xludf.DUMMYFUNCTION("""COMPUTED_VALUE"""),"L/1/120126/1")</f>
        <v>L/1/120126/1</v>
      </c>
      <c r="C10654" s="42" t="str">
        <f>IFERROR(__xludf.DUMMYFUNCTION("""COMPUTED_VALUE"""),"M. 780/GEDONG AIR")</f>
        <v>M. 780/GEDONG AIR</v>
      </c>
      <c r="D10654" s="42"/>
      <c r="E10654" s="42"/>
      <c r="F10654" s="48" t="str">
        <f>IFERROR(__xludf.DUMMYFUNCTION("""COMPUTED_VALUE"""),"")</f>
        <v/>
      </c>
      <c r="G10654" s="42" t="str">
        <f>IFERROR(__xludf.DUMMYFUNCTION("""COMPUTED_VALUE"""),"GANTI NAMA")</f>
        <v>GANTI NAMA</v>
      </c>
      <c r="H10654" s="42">
        <f t="shared" si="1"/>
        <v>3345</v>
      </c>
    </row>
    <row r="10655" ht="22.5" customHeight="1">
      <c r="B10655" s="42" t="str">
        <f>IFERROR(__xludf.DUMMYFUNCTION("""COMPUTED_VALUE"""),"ABVGIRAK/AB030")</f>
        <v>ABVGIRAK/AB030</v>
      </c>
      <c r="C10655" s="42" t="str">
        <f>IFERROR(__xludf.DUMMYFUNCTION("""COMPUTED_VALUE"""),"M. 18088/Rajabasa Jaya")</f>
        <v>M. 18088/Rajabasa Jaya</v>
      </c>
      <c r="D10655" s="42"/>
      <c r="E10655" s="42"/>
      <c r="F10655" s="48" t="str">
        <f>IFERROR(__xludf.DUMMYFUNCTION("""COMPUTED_VALUE"""),"")</f>
        <v/>
      </c>
      <c r="G10655" s="42" t="str">
        <f>IFERROR(__xludf.DUMMYFUNCTION("""COMPUTED_VALUE"""),"Peralihan Hak (AJB)")</f>
        <v>Peralihan Hak (AJB)</v>
      </c>
      <c r="H10655" s="42">
        <f t="shared" si="1"/>
        <v>3345</v>
      </c>
    </row>
    <row r="10656" ht="22.5" customHeight="1">
      <c r="B10656" s="42" t="str">
        <f>IFERROR(__xludf.DUMMYFUNCTION("""COMPUTED_VALUE"""),"ABEAIACI")</f>
        <v>ABEAIACI</v>
      </c>
      <c r="C10656" s="42" t="str">
        <f>IFERROR(__xludf.DUMMYFUNCTION("""COMPUTED_VALUE"""),"M 1140/ sukabumi indah")</f>
        <v>M 1140/ sukabumi indah</v>
      </c>
      <c r="D10656" s="42"/>
      <c r="E10656" s="42"/>
      <c r="F10656" s="48" t="str">
        <f>IFERROR(__xludf.DUMMYFUNCTION("""COMPUTED_VALUE"""),"")</f>
        <v/>
      </c>
      <c r="G10656" s="42" t="str">
        <f>IFERROR(__xludf.DUMMYFUNCTION("""COMPUTED_VALUE"""),"Balik nama jual beli")</f>
        <v>Balik nama jual beli</v>
      </c>
      <c r="H10656" s="42">
        <f t="shared" si="1"/>
        <v>3345</v>
      </c>
    </row>
    <row r="10657" ht="22.5" customHeight="1">
      <c r="B10657" s="42" t="str">
        <f>IFERROR(__xludf.DUMMYFUNCTION("""COMPUTED_VALUE"""),"ABGSMNQV")</f>
        <v>ABGSMNQV</v>
      </c>
      <c r="C10657" s="42" t="str">
        <f>IFERROR(__xludf.DUMMYFUNCTION("""COMPUTED_VALUE"""),"11011/  jagabaya II")</f>
        <v>11011/  jagabaya II</v>
      </c>
      <c r="D10657" s="42"/>
      <c r="E10657" s="42"/>
      <c r="F10657" s="48" t="str">
        <f>IFERROR(__xludf.DUMMYFUNCTION("""COMPUTED_VALUE"""),"")</f>
        <v/>
      </c>
      <c r="G10657" s="42" t="str">
        <f>IFERROR(__xludf.DUMMYFUNCTION("""COMPUTED_VALUE"""),"Marger")</f>
        <v>Marger</v>
      </c>
      <c r="H10657" s="42">
        <f t="shared" si="1"/>
        <v>3345</v>
      </c>
    </row>
    <row r="10658" ht="22.5" customHeight="1">
      <c r="B10658" s="42" t="str">
        <f>IFERROR(__xludf.DUMMYFUNCTION("""COMPUTED_VALUE"""),"ABVQKBKW/AB042")</f>
        <v>ABVQKBKW/AB042</v>
      </c>
      <c r="C10658" s="42" t="str">
        <f>IFERROR(__xludf.DUMMYFUNCTION("""COMPUTED_VALUE"""),"B. 564/Bkg")</f>
        <v>B. 564/Bkg</v>
      </c>
      <c r="D10658" s="42"/>
      <c r="E10658" s="42"/>
      <c r="F10658" s="48" t="str">
        <f>IFERROR(__xludf.DUMMYFUNCTION("""COMPUTED_VALUE"""),"")</f>
        <v/>
      </c>
      <c r="G10658" s="42" t="str">
        <f>IFERROR(__xludf.DUMMYFUNCTION("""COMPUTED_VALUE"""),"Peralihan Hak (AJB)")</f>
        <v>Peralihan Hak (AJB)</v>
      </c>
      <c r="H10658" s="42">
        <f t="shared" si="1"/>
        <v>3345</v>
      </c>
    </row>
    <row r="10659" ht="22.5" customHeight="1">
      <c r="B10659" s="42" t="str">
        <f>IFERROR(__xludf.DUMMYFUNCTION("""COMPUTED_VALUE"""),"ABAFKSAA/ AB047")</f>
        <v>ABAFKSAA/ AB047</v>
      </c>
      <c r="C10659" s="42" t="str">
        <f>IFERROR(__xludf.DUMMYFUNCTION("""COMPUTED_VALUE"""),"SHGB.NIB. 08.01.000024116.0/Kemiling Permai")</f>
        <v>SHGB.NIB. 08.01.000024116.0/Kemiling Permai</v>
      </c>
      <c r="D10659" s="42"/>
      <c r="E10659" s="42"/>
      <c r="F10659" s="48" t="str">
        <f>IFERROR(__xludf.DUMMYFUNCTION("""COMPUTED_VALUE"""),"")</f>
        <v/>
      </c>
      <c r="G10659" s="42" t="str">
        <f>IFERROR(__xludf.DUMMYFUNCTION("""COMPUTED_VALUE"""),"BN jual beli ")</f>
        <v>BN jual beli </v>
      </c>
      <c r="H10659" s="42">
        <f t="shared" si="1"/>
        <v>3345</v>
      </c>
    </row>
    <row r="10660" ht="22.5" customHeight="1">
      <c r="B10660" s="42" t="str">
        <f>IFERROR(__xludf.DUMMYFUNCTION("""COMPUTED_VALUE"""),"ABCEHVMB")</f>
        <v>ABCEHVMB</v>
      </c>
      <c r="C10660" s="42" t="str">
        <f>IFERROR(__xludf.DUMMYFUNCTION("""COMPUTED_VALUE"""),"M 1197/ BAKUNG")</f>
        <v>M 1197/ BAKUNG</v>
      </c>
      <c r="D10660" s="42"/>
      <c r="E10660" s="42"/>
      <c r="F10660" s="48" t="str">
        <f>IFERROR(__xludf.DUMMYFUNCTION("""COMPUTED_VALUE"""),"")</f>
        <v/>
      </c>
      <c r="G10660" s="42" t="str">
        <f>IFERROR(__xludf.DUMMYFUNCTION("""COMPUTED_VALUE"""),"JUAL BELI")</f>
        <v>JUAL BELI</v>
      </c>
      <c r="H10660" s="42">
        <f t="shared" si="1"/>
        <v>3345</v>
      </c>
    </row>
    <row r="10661" ht="22.5" customHeight="1">
      <c r="B10661" s="42" t="str">
        <f>IFERROR(__xludf.DUMMYFUNCTION("""COMPUTED_VALUE"""),"ABESTFMX")</f>
        <v>ABESTFMX</v>
      </c>
      <c r="C10661" s="42" t="str">
        <f>IFERROR(__xludf.DUMMYFUNCTION("""COMPUTED_VALUE"""),"M 1622/ PANJANG SELATAN")</f>
        <v>M 1622/ PANJANG SELATAN</v>
      </c>
      <c r="D10661" s="42"/>
      <c r="E10661" s="42"/>
      <c r="F10661" s="48" t="str">
        <f>IFERROR(__xludf.DUMMYFUNCTION("""COMPUTED_VALUE"""),"")</f>
        <v/>
      </c>
      <c r="G10661" s="42" t="str">
        <f>IFERROR(__xludf.DUMMYFUNCTION("""COMPUTED_VALUE"""),"JUAL BELI")</f>
        <v>JUAL BELI</v>
      </c>
      <c r="H10661" s="42">
        <f t="shared" si="1"/>
        <v>3345</v>
      </c>
    </row>
    <row r="10662" ht="22.5" customHeight="1">
      <c r="B10662" s="42" t="str">
        <f>IFERROR(__xludf.DUMMYFUNCTION("""COMPUTED_VALUE"""),"ABBYOBEK")</f>
        <v>ABBYOBEK</v>
      </c>
      <c r="C10662" s="42" t="str">
        <f>IFERROR(__xludf.DUMMYFUNCTION("""COMPUTED_VALUE"""),"Shgb 86/kaliawi persada")</f>
        <v>Shgb 86/kaliawi persada</v>
      </c>
      <c r="D10662" s="42"/>
      <c r="E10662" s="42"/>
      <c r="F10662" s="48" t="str">
        <f>IFERROR(__xludf.DUMMYFUNCTION("""COMPUTED_VALUE"""),"")</f>
        <v/>
      </c>
      <c r="G10662" s="42" t="str">
        <f>IFERROR(__xludf.DUMMYFUNCTION("""COMPUTED_VALUE"""),"Perpanjangan hak guna bangunan ")</f>
        <v>Perpanjangan hak guna bangunan </v>
      </c>
      <c r="H10662" s="42">
        <f t="shared" si="1"/>
        <v>3345</v>
      </c>
    </row>
    <row r="10663" ht="22.5" customHeight="1">
      <c r="B10663" s="42" t="str">
        <f>IFERROR(__xludf.DUMMYFUNCTION("""COMPUTED_VALUE"""),"ABKFXBWL")</f>
        <v>ABKFXBWL</v>
      </c>
      <c r="C10663" s="42" t="str">
        <f>IFERROR(__xludf.DUMMYFUNCTION("""COMPUTED_VALUE"""),"M.23220 rajabasa jaya")</f>
        <v>M.23220 rajabasa jaya</v>
      </c>
      <c r="D10663" s="42"/>
      <c r="E10663" s="42"/>
      <c r="F10663" s="48" t="str">
        <f>IFERROR(__xludf.DUMMYFUNCTION("""COMPUTED_VALUE"""),"")</f>
        <v/>
      </c>
      <c r="G10663" s="42" t="str">
        <f>IFERROR(__xludf.DUMMYFUNCTION("""COMPUTED_VALUE"""),"Bn jual beli")</f>
        <v>Bn jual beli</v>
      </c>
      <c r="H10663" s="42">
        <f t="shared" si="1"/>
        <v>3345</v>
      </c>
    </row>
    <row r="10664" ht="22.5" customHeight="1">
      <c r="B10664" s="42" t="str">
        <f>IFERROR(__xludf.DUMMYFUNCTION("""COMPUTED_VALUE"""),"ABTIXZFS")</f>
        <v>ABTIXZFS</v>
      </c>
      <c r="C10664" s="42" t="str">
        <f>IFERROR(__xludf.DUMMYFUNCTION("""COMPUTED_VALUE"""),"Nibel. 2707")</f>
        <v>Nibel. 2707</v>
      </c>
      <c r="D10664" s="42"/>
      <c r="E10664" s="42"/>
      <c r="F10664" s="48" t="str">
        <f>IFERROR(__xludf.DUMMYFUNCTION("""COMPUTED_VALUE"""),"")</f>
        <v/>
      </c>
      <c r="G10664" s="42" t="str">
        <f>IFERROR(__xludf.DUMMYFUNCTION("""COMPUTED_VALUE"""),"Balik Nama")</f>
        <v>Balik Nama</v>
      </c>
      <c r="H10664" s="42">
        <f t="shared" si="1"/>
        <v>3345</v>
      </c>
    </row>
    <row r="10665" ht="22.5" customHeight="1">
      <c r="B10665" s="42" t="str">
        <f>IFERROR(__xludf.DUMMYFUNCTION("""COMPUTED_VALUE"""),"ABMFFMFI")</f>
        <v>ABMFFMFI</v>
      </c>
      <c r="C10665" s="42" t="str">
        <f>IFERROR(__xludf.DUMMYFUNCTION("""COMPUTED_VALUE"""),"Nibel. 24776")</f>
        <v>Nibel. 24776</v>
      </c>
      <c r="D10665" s="42"/>
      <c r="E10665" s="42"/>
      <c r="F10665" s="48" t="str">
        <f>IFERROR(__xludf.DUMMYFUNCTION("""COMPUTED_VALUE"""),"")</f>
        <v/>
      </c>
      <c r="G10665" s="42" t="str">
        <f>IFERROR(__xludf.DUMMYFUNCTION("""COMPUTED_VALUE"""),"Balik Nama")</f>
        <v>Balik Nama</v>
      </c>
      <c r="H10665" s="42">
        <f t="shared" si="1"/>
        <v>3345</v>
      </c>
    </row>
    <row r="10666" ht="22.5" customHeight="1">
      <c r="B10666" s="42" t="str">
        <f>IFERROR(__xludf.DUMMYFUNCTION("""COMPUTED_VALUE"""),"ABFHHEXD")</f>
        <v>ABFHHEXD</v>
      </c>
      <c r="C10666" s="42" t="str">
        <f>IFERROR(__xludf.DUMMYFUNCTION("""COMPUTED_VALUE"""),"m.5485 way kandis")</f>
        <v>m.5485 way kandis</v>
      </c>
      <c r="D10666" s="42"/>
      <c r="E10666" s="42"/>
      <c r="F10666" s="48" t="str">
        <f>IFERROR(__xludf.DUMMYFUNCTION("""COMPUTED_VALUE"""),"")</f>
        <v/>
      </c>
      <c r="G10666" s="42" t="str">
        <f>IFERROR(__xludf.DUMMYFUNCTION("""COMPUTED_VALUE"""),"Bn")</f>
        <v>Bn</v>
      </c>
      <c r="H10666" s="42">
        <f t="shared" si="1"/>
        <v>3345</v>
      </c>
    </row>
    <row r="10667" ht="22.5" customHeight="1">
      <c r="B10667" s="42" t="str">
        <f>IFERROR(__xludf.DUMMYFUNCTION("""COMPUTED_VALUE"""),"L/2/120126/1")</f>
        <v>L/2/120126/1</v>
      </c>
      <c r="C10667" s="42" t="str">
        <f>IFERROR(__xludf.DUMMYFUNCTION("""COMPUTED_VALUE"""),"B. 41/GEDONG AIR")</f>
        <v>B. 41/GEDONG AIR</v>
      </c>
      <c r="D10667" s="42"/>
      <c r="E10667" s="42"/>
      <c r="F10667" s="48" t="str">
        <f>IFERROR(__xludf.DUMMYFUNCTION("""COMPUTED_VALUE"""),"")</f>
        <v/>
      </c>
      <c r="G10667" s="42" t="str">
        <f>IFERROR(__xludf.DUMMYFUNCTION("""COMPUTED_VALUE"""),"PERMOHONAN SK HGB MATI")</f>
        <v>PERMOHONAN SK HGB MATI</v>
      </c>
      <c r="H10667" s="42">
        <f t="shared" si="1"/>
        <v>3345</v>
      </c>
    </row>
    <row r="10668" ht="22.5" customHeight="1">
      <c r="B10668" s="42" t="str">
        <f>IFERROR(__xludf.DUMMYFUNCTION("""COMPUTED_VALUE"""),"L/3/120126/1")</f>
        <v>L/3/120126/1</v>
      </c>
      <c r="C10668" s="42" t="str">
        <f>IFERROR(__xludf.DUMMYFUNCTION("""COMPUTED_VALUE"""),"B. 1209/BERINGIN RAYA")</f>
        <v>B. 1209/BERINGIN RAYA</v>
      </c>
      <c r="D10668" s="42"/>
      <c r="E10668" s="42"/>
      <c r="F10668" s="48" t="str">
        <f>IFERROR(__xludf.DUMMYFUNCTION("""COMPUTED_VALUE"""),"")</f>
        <v/>
      </c>
      <c r="G10668" s="42" t="str">
        <f>IFERROR(__xludf.DUMMYFUNCTION("""COMPUTED_VALUE"""),"PENGUKURAN HGB MATI")</f>
        <v>PENGUKURAN HGB MATI</v>
      </c>
      <c r="H10668" s="42">
        <f t="shared" si="1"/>
        <v>3345</v>
      </c>
    </row>
    <row r="10669" ht="22.5" customHeight="1">
      <c r="B10669" s="42" t="str">
        <f>IFERROR(__xludf.DUMMYFUNCTION("""COMPUTED_VALUE"""),"ABNGMSOZ")</f>
        <v>ABNGMSOZ</v>
      </c>
      <c r="C10669" s="42" t="str">
        <f>IFERROR(__xludf.DUMMYFUNCTION("""COMPUTED_VALUE"""),"NIBEL M 18018/ SUKABUMI")</f>
        <v>NIBEL M 18018/ SUKABUMI</v>
      </c>
      <c r="D10669" s="42"/>
      <c r="E10669" s="42"/>
      <c r="F10669" s="48" t="str">
        <f>IFERROR(__xludf.DUMMYFUNCTION("""COMPUTED_VALUE"""),"")</f>
        <v/>
      </c>
      <c r="G10669" s="42" t="str">
        <f>IFERROR(__xludf.DUMMYFUNCTION("""COMPUTED_VALUE"""),"Balik Nama")</f>
        <v>Balik Nama</v>
      </c>
      <c r="H10669" s="42">
        <f t="shared" si="1"/>
        <v>3345</v>
      </c>
    </row>
    <row r="10670" ht="22.5" customHeight="1">
      <c r="B10670" s="42" t="str">
        <f>IFERROR(__xludf.DUMMYFUNCTION("""COMPUTED_VALUE"""),"ABKKYLTO")</f>
        <v>ABKKYLTO</v>
      </c>
      <c r="C10670" s="42" t="str">
        <f>IFERROR(__xludf.DUMMYFUNCTION("""COMPUTED_VALUE"""),"M 27146 surabaya")</f>
        <v>M 27146 surabaya</v>
      </c>
      <c r="D10670" s="42"/>
      <c r="E10670" s="42"/>
      <c r="F10670" s="48" t="str">
        <f>IFERROR(__xludf.DUMMYFUNCTION("""COMPUTED_VALUE"""),"")</f>
        <v/>
      </c>
      <c r="G10670" s="42" t="str">
        <f>IFERROR(__xludf.DUMMYFUNCTION("""COMPUTED_VALUE"""),"Balik nama hibah")</f>
        <v>Balik nama hibah</v>
      </c>
      <c r="H10670" s="42">
        <f t="shared" si="1"/>
        <v>3345</v>
      </c>
    </row>
    <row r="10671" ht="22.5" customHeight="1">
      <c r="B10671" s="42" t="str">
        <f>IFERROR(__xludf.DUMMYFUNCTION("""COMPUTED_VALUE"""),"L/4/120126/1")</f>
        <v>L/4/120126/1</v>
      </c>
      <c r="C10671" s="42" t="str">
        <f>IFERROR(__xludf.DUMMYFUNCTION("""COMPUTED_VALUE"""),"M. 13824/LABUHAN RATU")</f>
        <v>M. 13824/LABUHAN RATU</v>
      </c>
      <c r="D10671" s="42"/>
      <c r="E10671" s="42"/>
      <c r="F10671" s="48" t="str">
        <f>IFERROR(__xludf.DUMMYFUNCTION("""COMPUTED_VALUE"""),"")</f>
        <v/>
      </c>
      <c r="G10671" s="42" t="str">
        <f>IFERROR(__xludf.DUMMYFUNCTION("""COMPUTED_VALUE"""),"ROYA")</f>
        <v>ROYA</v>
      </c>
      <c r="H10671" s="42">
        <f t="shared" si="1"/>
        <v>3345</v>
      </c>
    </row>
    <row r="10672" ht="22.5" customHeight="1">
      <c r="B10672" s="42" t="str">
        <f>IFERROR(__xludf.DUMMYFUNCTION("""COMPUTED_VALUE"""),"ABJQTJIG/AB046")</f>
        <v>ABJQTJIG/AB046</v>
      </c>
      <c r="C10672" s="42" t="str">
        <f>IFERROR(__xludf.DUMMYFUNCTION("""COMPUTED_VALUE"""),"B. 25159/SUKARAME")</f>
        <v>B. 25159/SUKARAME</v>
      </c>
      <c r="D10672" s="42"/>
      <c r="E10672" s="42"/>
      <c r="F10672" s="48" t="str">
        <f>IFERROR(__xludf.DUMMYFUNCTION("""COMPUTED_VALUE"""),"")</f>
        <v/>
      </c>
      <c r="G10672" s="42" t="str">
        <f>IFERROR(__xludf.DUMMYFUNCTION("""COMPUTED_VALUE"""),"PETA ANALIS PEMBAHARUAN HGB")</f>
        <v>PETA ANALIS PEMBAHARUAN HGB</v>
      </c>
      <c r="H10672" s="42">
        <f t="shared" si="1"/>
        <v>3345</v>
      </c>
    </row>
    <row r="10673" ht="22.5" customHeight="1">
      <c r="B10673" s="42" t="str">
        <f>IFERROR(__xludf.DUMMYFUNCTION("""COMPUTED_VALUE"""),"ABRHZXDD/AB046")</f>
        <v>ABRHZXDD/AB046</v>
      </c>
      <c r="C10673" s="42" t="str">
        <f>IFERROR(__xludf.DUMMYFUNCTION("""COMPUTED_VALUE"""),"B. 25157/SUKARAME")</f>
        <v>B. 25157/SUKARAME</v>
      </c>
      <c r="D10673" s="42"/>
      <c r="E10673" s="42"/>
      <c r="F10673" s="48" t="str">
        <f>IFERROR(__xludf.DUMMYFUNCTION("""COMPUTED_VALUE"""),"")</f>
        <v/>
      </c>
      <c r="G10673" s="42" t="str">
        <f>IFERROR(__xludf.DUMMYFUNCTION("""COMPUTED_VALUE"""),"PETA ANALIS PEMBAHARUAN HGB")</f>
        <v>PETA ANALIS PEMBAHARUAN HGB</v>
      </c>
      <c r="H10673" s="42">
        <f t="shared" si="1"/>
        <v>3345</v>
      </c>
    </row>
    <row r="10674" ht="22.5" customHeight="1">
      <c r="B10674" s="42" t="str">
        <f>IFERROR(__xludf.DUMMYFUNCTION("""COMPUTED_VALUE"""),"ABYXVVYV/AB01")</f>
        <v>ABYXVVYV/AB01</v>
      </c>
      <c r="C10674" s="42" t="str">
        <f>IFERROR(__xludf.DUMMYFUNCTION("""COMPUTED_VALUE"""),"M. 257/Sukaraja")</f>
        <v>M. 257/Sukaraja</v>
      </c>
      <c r="D10674" s="42"/>
      <c r="E10674" s="42"/>
      <c r="F10674" s="48" t="str">
        <f>IFERROR(__xludf.DUMMYFUNCTION("""COMPUTED_VALUE"""),"")</f>
        <v/>
      </c>
      <c r="G10674" s="42" t="str">
        <f>IFERROR(__xludf.DUMMYFUNCTION("""COMPUTED_VALUE"""),"Balik nama waris")</f>
        <v>Balik nama waris</v>
      </c>
      <c r="H10674" s="42">
        <f t="shared" si="1"/>
        <v>3345</v>
      </c>
    </row>
    <row r="10675" ht="22.5" customHeight="1">
      <c r="B10675" s="42" t="str">
        <f>IFERROR(__xludf.DUMMYFUNCTION("""COMPUTED_VALUE"""),"ABXWUZRN")</f>
        <v>ABXWUZRN</v>
      </c>
      <c r="C10675" s="42">
        <f>IFERROR(__xludf.DUMMYFUNCTION("""COMPUTED_VALUE"""),1766.0)</f>
        <v>1766</v>
      </c>
      <c r="D10675" s="42"/>
      <c r="E10675" s="42"/>
      <c r="F10675" s="48" t="str">
        <f>IFERROR(__xludf.DUMMYFUNCTION("""COMPUTED_VALUE"""),"")</f>
        <v/>
      </c>
      <c r="G10675" s="42" t="str">
        <f>IFERROR(__xludf.DUMMYFUNCTION("""COMPUTED_VALUE"""),"Peralihan Hak")</f>
        <v>Peralihan Hak</v>
      </c>
      <c r="H10675" s="42">
        <f t="shared" si="1"/>
        <v>3345</v>
      </c>
    </row>
    <row r="10676" ht="22.5" customHeight="1">
      <c r="B10676" s="42" t="str">
        <f>IFERROR(__xludf.DUMMYFUNCTION("""COMPUTED_VALUE"""),"-")</f>
        <v>-</v>
      </c>
      <c r="C10676" s="42" t="str">
        <f>IFERROR(__xludf.DUMMYFUNCTION("""COMPUTED_VALUE"""),"M. 129/ gedong meneng")</f>
        <v>M. 129/ gedong meneng</v>
      </c>
      <c r="D10676" s="42"/>
      <c r="E10676" s="42"/>
      <c r="F10676" s="48" t="str">
        <f>IFERROR(__xludf.DUMMYFUNCTION("""COMPUTED_VALUE"""),"")</f>
        <v/>
      </c>
      <c r="G10676" s="42" t="str">
        <f>IFERROR(__xludf.DUMMYFUNCTION("""COMPUTED_VALUE"""),"Ganti desa ")</f>
        <v>Ganti desa </v>
      </c>
      <c r="H10676" s="42">
        <f t="shared" si="1"/>
        <v>3345</v>
      </c>
    </row>
    <row r="10677" ht="22.5" customHeight="1">
      <c r="B10677" s="42" t="str">
        <f>IFERROR(__xludf.DUMMYFUNCTION("""COMPUTED_VALUE"""),"ABCFWKHV")</f>
        <v>ABCFWKHV</v>
      </c>
      <c r="C10677" s="42">
        <f>IFERROR(__xludf.DUMMYFUNCTION("""COMPUTED_VALUE"""),4441.0)</f>
        <v>4441</v>
      </c>
      <c r="D10677" s="42"/>
      <c r="E10677" s="42"/>
      <c r="F10677" s="48" t="str">
        <f>IFERROR(__xludf.DUMMYFUNCTION("""COMPUTED_VALUE"""),"")</f>
        <v/>
      </c>
      <c r="G10677" s="42" t="str">
        <f>IFERROR(__xludf.DUMMYFUNCTION("""COMPUTED_VALUE"""),"Peralihan Hak")</f>
        <v>Peralihan Hak</v>
      </c>
      <c r="H10677" s="42">
        <f t="shared" si="1"/>
        <v>3345</v>
      </c>
    </row>
    <row r="10678" ht="22.5" customHeight="1">
      <c r="B10678" s="42" t="str">
        <f>IFERROR(__xludf.DUMMYFUNCTION("""COMPUTED_VALUE"""),"ABIKJXHO")</f>
        <v>ABIKJXHO</v>
      </c>
      <c r="C10678" s="42">
        <f>IFERROR(__xludf.DUMMYFUNCTION("""COMPUTED_VALUE"""),6222.0)</f>
        <v>6222</v>
      </c>
      <c r="D10678" s="42"/>
      <c r="E10678" s="42"/>
      <c r="F10678" s="48" t="str">
        <f>IFERROR(__xludf.DUMMYFUNCTION("""COMPUTED_VALUE"""),"")</f>
        <v/>
      </c>
      <c r="G10678" s="42" t="str">
        <f>IFERROR(__xludf.DUMMYFUNCTION("""COMPUTED_VALUE"""),"Peralihan haj")</f>
        <v>Peralihan haj</v>
      </c>
      <c r="H10678" s="42">
        <f t="shared" si="1"/>
        <v>3345</v>
      </c>
    </row>
    <row r="10679" ht="22.5" customHeight="1">
      <c r="B10679" s="42" t="str">
        <f>IFERROR(__xludf.DUMMYFUNCTION("""COMPUTED_VALUE"""),"AB065/ABGMRMPA")</f>
        <v>AB065/ABGMRMPA</v>
      </c>
      <c r="C10679" s="42" t="str">
        <f>IFERROR(__xludf.DUMMYFUNCTION("""COMPUTED_VALUE"""),"B.5034 SUKABUMI")</f>
        <v>B.5034 SUKABUMI</v>
      </c>
      <c r="D10679" s="42"/>
      <c r="E10679" s="42"/>
      <c r="F10679" s="48" t="str">
        <f>IFERROR(__xludf.DUMMYFUNCTION("""COMPUTED_VALUE"""),"")</f>
        <v/>
      </c>
      <c r="G10679" s="42" t="str">
        <f>IFERROR(__xludf.DUMMYFUNCTION("""COMPUTED_VALUE"""),"Balik Nama")</f>
        <v>Balik Nama</v>
      </c>
      <c r="H10679" s="42">
        <f t="shared" si="1"/>
        <v>3345</v>
      </c>
    </row>
    <row r="10680" ht="22.5" customHeight="1">
      <c r="B10680" s="42" t="str">
        <f>IFERROR(__xludf.DUMMYFUNCTION("""COMPUTED_VALUE"""),"ABGERHWG")</f>
        <v>ABGERHWG</v>
      </c>
      <c r="C10680" s="42" t="str">
        <f>IFERROR(__xludf.DUMMYFUNCTION("""COMPUTED_VALUE"""),"M 1190/ RAJABASA RAYA")</f>
        <v>M 1190/ RAJABASA RAYA</v>
      </c>
      <c r="D10680" s="42"/>
      <c r="E10680" s="42"/>
      <c r="F10680" s="48" t="str">
        <f>IFERROR(__xludf.DUMMYFUNCTION("""COMPUTED_VALUE"""),"")</f>
        <v/>
      </c>
      <c r="G10680" s="42" t="str">
        <f>IFERROR(__xludf.DUMMYFUNCTION("""COMPUTED_VALUE"""),"Peralihan hak kewarisan")</f>
        <v>Peralihan hak kewarisan</v>
      </c>
      <c r="H10680" s="42">
        <f t="shared" si="1"/>
        <v>3345</v>
      </c>
    </row>
    <row r="10681" ht="22.5" customHeight="1">
      <c r="B10681" s="42" t="str">
        <f>IFERROR(__xludf.DUMMYFUNCTION("""COMPUTED_VALUE"""),"ABTYNDQC")</f>
        <v>ABTYNDQC</v>
      </c>
      <c r="C10681" s="42" t="str">
        <f>IFERROR(__xludf.DUMMYFUNCTION("""COMPUTED_VALUE"""),"M 1247/ PERUMNAS WAY KANDIS")</f>
        <v>M 1247/ PERUMNAS WAY KANDIS</v>
      </c>
      <c r="D10681" s="42"/>
      <c r="E10681" s="42"/>
      <c r="F10681" s="48" t="str">
        <f>IFERROR(__xludf.DUMMYFUNCTION("""COMPUTED_VALUE"""),"")</f>
        <v/>
      </c>
      <c r="G10681" s="42" t="str">
        <f>IFERROR(__xludf.DUMMYFUNCTION("""COMPUTED_VALUE"""),"BN Waris")</f>
        <v>BN Waris</v>
      </c>
      <c r="H10681" s="42">
        <f t="shared" si="1"/>
        <v>3345</v>
      </c>
    </row>
    <row r="10682" ht="22.5" customHeight="1">
      <c r="B10682" s="42" t="str">
        <f>IFERROR(__xludf.DUMMYFUNCTION("""COMPUTED_VALUE"""),"K/5/120126/1")</f>
        <v>K/5/120126/1</v>
      </c>
      <c r="C10682" s="42" t="str">
        <f>IFERROR(__xludf.DUMMYFUNCTION("""COMPUTED_VALUE"""),"B. 3773/SUKABUMI")</f>
        <v>B. 3773/SUKABUMI</v>
      </c>
      <c r="D10682" s="42"/>
      <c r="E10682" s="42"/>
      <c r="F10682" s="48" t="str">
        <f>IFERROR(__xludf.DUMMYFUNCTION("""COMPUTED_VALUE"""),"")</f>
        <v/>
      </c>
      <c r="G10682" s="42" t="str">
        <f>IFERROR(__xludf.DUMMYFUNCTION("""COMPUTED_VALUE"""),"SKPT INFORMASI")</f>
        <v>SKPT INFORMASI</v>
      </c>
      <c r="H10682" s="42">
        <f t="shared" si="1"/>
        <v>3345</v>
      </c>
    </row>
    <row r="10683" ht="22.5" customHeight="1">
      <c r="B10683" s="42" t="str">
        <f>IFERROR(__xludf.DUMMYFUNCTION("""COMPUTED_VALUE"""),"K/6/120126/1")</f>
        <v>K/6/120126/1</v>
      </c>
      <c r="C10683" s="42" t="str">
        <f>IFERROR(__xludf.DUMMYFUNCTION("""COMPUTED_VALUE"""),"M. 1259/SUSUNAN BARU")</f>
        <v>M. 1259/SUSUNAN BARU</v>
      </c>
      <c r="D10683" s="42"/>
      <c r="E10683" s="42"/>
      <c r="F10683" s="48" t="str">
        <f>IFERROR(__xludf.DUMMYFUNCTION("""COMPUTED_VALUE"""),"")</f>
        <v/>
      </c>
      <c r="G10683" s="42" t="str">
        <f>IFERROR(__xludf.DUMMYFUNCTION("""COMPUTED_VALUE"""),"PEMECAHAN")</f>
        <v>PEMECAHAN</v>
      </c>
      <c r="H10683" s="42">
        <f t="shared" si="1"/>
        <v>3345</v>
      </c>
    </row>
    <row r="10684" ht="22.5" customHeight="1">
      <c r="B10684" s="42" t="str">
        <f>IFERROR(__xludf.DUMMYFUNCTION("""COMPUTED_VALUE"""),"K/7/120126/1")</f>
        <v>K/7/120126/1</v>
      </c>
      <c r="C10684" s="42" t="str">
        <f>IFERROR(__xludf.DUMMYFUNCTION("""COMPUTED_VALUE"""),"NIBEL M. 16357/PERUMNAS WAY KANDIS")</f>
        <v>NIBEL M. 16357/PERUMNAS WAY KANDIS</v>
      </c>
      <c r="D10684" s="42"/>
      <c r="E10684" s="42"/>
      <c r="F10684" s="48" t="str">
        <f>IFERROR(__xludf.DUMMYFUNCTION("""COMPUTED_VALUE"""),"")</f>
        <v/>
      </c>
      <c r="G10684" s="42" t="str">
        <f>IFERROR(__xludf.DUMMYFUNCTION("""COMPUTED_VALUE"""),"SKPT LELANG")</f>
        <v>SKPT LELANG</v>
      </c>
      <c r="H10684" s="42">
        <f t="shared" si="1"/>
        <v>3345</v>
      </c>
    </row>
    <row r="10685" ht="22.5" customHeight="1">
      <c r="B10685" s="42" t="str">
        <f>IFERROR(__xludf.DUMMYFUNCTION("""COMPUTED_VALUE"""),"K/8/120126/2")</f>
        <v>K/8/120126/2</v>
      </c>
      <c r="C10685" s="42" t="str">
        <f>IFERROR(__xludf.DUMMYFUNCTION("""COMPUTED_VALUE"""),"NIBEL M.16357/PERUMNAS WAY KANDIS")</f>
        <v>NIBEL M.16357/PERUMNAS WAY KANDIS</v>
      </c>
      <c r="D10685" s="42"/>
      <c r="E10685" s="42"/>
      <c r="F10685" s="48" t="str">
        <f>IFERROR(__xludf.DUMMYFUNCTION("""COMPUTED_VALUE"""),"")</f>
        <v/>
      </c>
      <c r="G10685" s="42" t="str">
        <f>IFERROR(__xludf.DUMMYFUNCTION("""COMPUTED_VALUE"""),"SKPT LELANG")</f>
        <v>SKPT LELANG</v>
      </c>
      <c r="H10685" s="42">
        <f t="shared" si="1"/>
        <v>3345</v>
      </c>
    </row>
    <row r="10686" ht="22.5" customHeight="1">
      <c r="B10686" s="42" t="str">
        <f>IFERROR(__xludf.DUMMYFUNCTION("""COMPUTED_VALUE"""),"K/9/120126/1")</f>
        <v>K/9/120126/1</v>
      </c>
      <c r="C10686" s="42" t="str">
        <f>IFERROR(__xludf.DUMMYFUNCTION("""COMPUTED_VALUE"""),"M.641/WAY GUBAK")</f>
        <v>M.641/WAY GUBAK</v>
      </c>
      <c r="D10686" s="42"/>
      <c r="E10686" s="42"/>
      <c r="F10686" s="48" t="str">
        <f>IFERROR(__xludf.DUMMYFUNCTION("""COMPUTED_VALUE"""),"")</f>
        <v/>
      </c>
      <c r="G10686" s="42" t="str">
        <f>IFERROR(__xludf.DUMMYFUNCTION("""COMPUTED_VALUE"""),"PTPGT")</f>
        <v>PTPGT</v>
      </c>
      <c r="H10686" s="42">
        <f t="shared" si="1"/>
        <v>3345</v>
      </c>
    </row>
    <row r="10687" ht="22.5" customHeight="1">
      <c r="B10687" s="42" t="str">
        <f>IFERROR(__xludf.DUMMYFUNCTION("""COMPUTED_VALUE"""),"K/10/120126/1")</f>
        <v>K/10/120126/1</v>
      </c>
      <c r="C10687" s="42" t="str">
        <f>IFERROR(__xludf.DUMMYFUNCTION("""COMPUTED_VALUE"""),"GOTONG ROYONG")</f>
        <v>GOTONG ROYONG</v>
      </c>
      <c r="D10687" s="42"/>
      <c r="E10687" s="42"/>
      <c r="F10687" s="48" t="str">
        <f>IFERROR(__xludf.DUMMYFUNCTION("""COMPUTED_VALUE"""),"")</f>
        <v/>
      </c>
      <c r="G10687" s="42" t="str">
        <f>IFERROR(__xludf.DUMMYFUNCTION("""COMPUTED_VALUE"""),"PENGUKURAN PERTAMA KALI")</f>
        <v>PENGUKURAN PERTAMA KALI</v>
      </c>
      <c r="H10687" s="42">
        <f t="shared" si="1"/>
        <v>3345</v>
      </c>
    </row>
    <row r="10688" ht="22.5" customHeight="1">
      <c r="B10688" s="42" t="str">
        <f>IFERROR(__xludf.DUMMYFUNCTION("""COMPUTED_VALUE"""),"K/11/120126/1")</f>
        <v>K/11/120126/1</v>
      </c>
      <c r="C10688" s="42" t="str">
        <f>IFERROR(__xludf.DUMMYFUNCTION("""COMPUTED_VALUE"""),"M. 1630/BAKUNG")</f>
        <v>M. 1630/BAKUNG</v>
      </c>
      <c r="D10688" s="42"/>
      <c r="E10688" s="42"/>
      <c r="F10688" s="48" t="str">
        <f>IFERROR(__xludf.DUMMYFUNCTION("""COMPUTED_VALUE"""),"")</f>
        <v/>
      </c>
      <c r="G10688" s="42" t="str">
        <f>IFERROR(__xludf.DUMMYFUNCTION("""COMPUTED_VALUE"""),"PEMECAHAN")</f>
        <v>PEMECAHAN</v>
      </c>
      <c r="H10688" s="42">
        <f t="shared" si="1"/>
        <v>3345</v>
      </c>
    </row>
    <row r="10689" ht="22.5" customHeight="1">
      <c r="B10689" s="42" t="str">
        <f>IFERROR(__xludf.DUMMYFUNCTION("""COMPUTED_VALUE"""),"K/12/120126/1")</f>
        <v>K/12/120126/1</v>
      </c>
      <c r="C10689" s="42" t="str">
        <f>IFERROR(__xludf.DUMMYFUNCTION("""COMPUTED_VALUE"""),"M. 3676/RAJABASA JAYA")</f>
        <v>M. 3676/RAJABASA JAYA</v>
      </c>
      <c r="D10689" s="42"/>
      <c r="E10689" s="42"/>
      <c r="F10689" s="48" t="str">
        <f>IFERROR(__xludf.DUMMYFUNCTION("""COMPUTED_VALUE"""),"")</f>
        <v/>
      </c>
      <c r="G10689" s="42" t="str">
        <f>IFERROR(__xludf.DUMMYFUNCTION("""COMPUTED_VALUE"""),"BLOKIR")</f>
        <v>BLOKIR</v>
      </c>
      <c r="H10689" s="42">
        <f t="shared" si="1"/>
        <v>3345</v>
      </c>
    </row>
    <row r="10690" ht="22.5" customHeight="1">
      <c r="B10690" s="42" t="str">
        <f>IFERROR(__xludf.DUMMYFUNCTION("""COMPUTED_VALUE"""),"K/13/120126/1")</f>
        <v>K/13/120126/1</v>
      </c>
      <c r="C10690" s="42" t="str">
        <f>IFERROR(__xludf.DUMMYFUNCTION("""COMPUTED_VALUE"""),"M. 3067/SUKADANA HAM")</f>
        <v>M. 3067/SUKADANA HAM</v>
      </c>
      <c r="D10690" s="42"/>
      <c r="E10690" s="42"/>
      <c r="F10690" s="48" t="str">
        <f>IFERROR(__xludf.DUMMYFUNCTION("""COMPUTED_VALUE"""),"")</f>
        <v/>
      </c>
      <c r="G10690" s="42" t="str">
        <f>IFERROR(__xludf.DUMMYFUNCTION("""COMPUTED_VALUE"""),"HAPUS BPHTB")</f>
        <v>HAPUS BPHTB</v>
      </c>
      <c r="H10690" s="42">
        <f t="shared" si="1"/>
        <v>3345</v>
      </c>
    </row>
    <row r="10691" ht="22.5" customHeight="1">
      <c r="B10691" s="42" t="str">
        <f>IFERROR(__xludf.DUMMYFUNCTION("""COMPUTED_VALUE"""),"K/1/130126/1")</f>
        <v>K/1/130126/1</v>
      </c>
      <c r="C10691" s="42" t="str">
        <f>IFERROR(__xludf.DUMMYFUNCTION("""COMPUTED_VALUE"""),"M. 3131/LANGKAPURA")</f>
        <v>M. 3131/LANGKAPURA</v>
      </c>
      <c r="D10691" s="42"/>
      <c r="E10691" s="42"/>
      <c r="F10691" s="48" t="str">
        <f>IFERROR(__xludf.DUMMYFUNCTION("""COMPUTED_VALUE"""),"")</f>
        <v/>
      </c>
      <c r="G10691" s="42" t="str">
        <f>IFERROR(__xludf.DUMMYFUNCTION("""COMPUTED_VALUE"""),"SKPT LELANG")</f>
        <v>SKPT LELANG</v>
      </c>
      <c r="H10691" s="42">
        <f t="shared" si="1"/>
        <v>3345</v>
      </c>
    </row>
    <row r="10692" ht="22.5" customHeight="1">
      <c r="B10692" s="42" t="str">
        <f>IFERROR(__xludf.DUMMYFUNCTION("""COMPUTED_VALUE"""),"K/2/130126/2")</f>
        <v>K/2/130126/2</v>
      </c>
      <c r="C10692" s="42" t="str">
        <f>IFERROR(__xludf.DUMMYFUNCTION("""COMPUTED_VALUE"""),"M. 16107/SUKABUMI")</f>
        <v>M. 16107/SUKABUMI</v>
      </c>
      <c r="D10692" s="42"/>
      <c r="E10692" s="42"/>
      <c r="F10692" s="48" t="str">
        <f>IFERROR(__xludf.DUMMYFUNCTION("""COMPUTED_VALUE"""),"")</f>
        <v/>
      </c>
      <c r="G10692" s="42" t="str">
        <f>IFERROR(__xludf.DUMMYFUNCTION("""COMPUTED_VALUE"""),"SKPT LELANG")</f>
        <v>SKPT LELANG</v>
      </c>
      <c r="H10692" s="42">
        <f t="shared" si="1"/>
        <v>3345</v>
      </c>
    </row>
    <row r="10693" ht="22.5" customHeight="1">
      <c r="B10693" s="42" t="str">
        <f>IFERROR(__xludf.DUMMYFUNCTION("""COMPUTED_VALUE"""),"K/3/130126/3")</f>
        <v>K/3/130126/3</v>
      </c>
      <c r="C10693" s="42" t="str">
        <f>IFERROR(__xludf.DUMMYFUNCTION("""COMPUTED_VALUE"""),"M. 16108/SUKABUMI")</f>
        <v>M. 16108/SUKABUMI</v>
      </c>
      <c r="D10693" s="42"/>
      <c r="E10693" s="42"/>
      <c r="F10693" s="48" t="str">
        <f>IFERROR(__xludf.DUMMYFUNCTION("""COMPUTED_VALUE"""),"")</f>
        <v/>
      </c>
      <c r="G10693" s="42" t="str">
        <f>IFERROR(__xludf.DUMMYFUNCTION("""COMPUTED_VALUE"""),"SKPT LELANG")</f>
        <v>SKPT LELANG</v>
      </c>
      <c r="H10693" s="42">
        <f t="shared" si="1"/>
        <v>3345</v>
      </c>
    </row>
    <row r="10694" ht="22.5" customHeight="1">
      <c r="B10694" s="42" t="str">
        <f>IFERROR(__xludf.DUMMYFUNCTION("""COMPUTED_VALUE"""),"L/4/130126/1")</f>
        <v>L/4/130126/1</v>
      </c>
      <c r="C10694" s="42" t="str">
        <f>IFERROR(__xludf.DUMMYFUNCTION("""COMPUTED_VALUE"""),"M. 1010/SUKAMAJU")</f>
        <v>M. 1010/SUKAMAJU</v>
      </c>
      <c r="D10694" s="42"/>
      <c r="E10694" s="42"/>
      <c r="F10694" s="48" t="str">
        <f>IFERROR(__xludf.DUMMYFUNCTION("""COMPUTED_VALUE"""),"")</f>
        <v/>
      </c>
      <c r="G10694" s="42" t="str">
        <f>IFERROR(__xludf.DUMMYFUNCTION("""COMPUTED_VALUE"""),"SKPT INFORMASI")</f>
        <v>SKPT INFORMASI</v>
      </c>
      <c r="H10694" s="42">
        <f t="shared" si="1"/>
        <v>3345</v>
      </c>
    </row>
    <row r="10695" ht="22.5" customHeight="1">
      <c r="B10695" s="42" t="str">
        <f>IFERROR(__xludf.DUMMYFUNCTION("""COMPUTED_VALUE"""),"AB036/ABHYTDTG")</f>
        <v>AB036/ABHYTDTG</v>
      </c>
      <c r="C10695" s="42" t="str">
        <f>IFERROR(__xludf.DUMMYFUNCTION("""COMPUTED_VALUE"""),"M. No. 01931/sukabumi indah ")</f>
        <v>M. No. 01931/sukabumi indah </v>
      </c>
      <c r="D10695" s="42"/>
      <c r="E10695" s="42"/>
      <c r="F10695" s="48" t="str">
        <f>IFERROR(__xludf.DUMMYFUNCTION("""COMPUTED_VALUE"""),"")</f>
        <v/>
      </c>
      <c r="G10695" s="42" t="str">
        <f>IFERROR(__xludf.DUMMYFUNCTION("""COMPUTED_VALUE"""),"Bn waris ")</f>
        <v>Bn waris </v>
      </c>
      <c r="H10695" s="42">
        <f t="shared" si="1"/>
        <v>3345</v>
      </c>
    </row>
    <row r="10696" ht="22.5" customHeight="1">
      <c r="B10696" s="42" t="str">
        <f>IFERROR(__xludf.DUMMYFUNCTION("""COMPUTED_VALUE"""),"ABUINVKX")</f>
        <v>ABUINVKX</v>
      </c>
      <c r="C10696" s="42" t="str">
        <f>IFERROR(__xludf.DUMMYFUNCTION("""COMPUTED_VALUE"""),"HM. 487/ Kel. Gunung Agung")</f>
        <v>HM. 487/ Kel. Gunung Agung</v>
      </c>
      <c r="D10696" s="42"/>
      <c r="E10696" s="42"/>
      <c r="F10696" s="48" t="str">
        <f>IFERROR(__xludf.DUMMYFUNCTION("""COMPUTED_VALUE"""),"")</f>
        <v/>
      </c>
      <c r="G10696" s="42" t="str">
        <f>IFERROR(__xludf.DUMMYFUNCTION("""COMPUTED_VALUE"""),"BN Jual Beli")</f>
        <v>BN Jual Beli</v>
      </c>
      <c r="H10696" s="42">
        <f t="shared" si="1"/>
        <v>3345</v>
      </c>
    </row>
    <row r="10697" ht="22.5" customHeight="1">
      <c r="B10697" s="42" t="str">
        <f>IFERROR(__xludf.DUMMYFUNCTION("""COMPUTED_VALUE"""),"ABEGCRWY")</f>
        <v>ABEGCRWY</v>
      </c>
      <c r="C10697" s="42" t="str">
        <f>IFERROR(__xludf.DUMMYFUNCTION("""COMPUTED_VALUE"""),"M. 459/sukarame baru")</f>
        <v>M. 459/sukarame baru</v>
      </c>
      <c r="D10697" s="42"/>
      <c r="E10697" s="42"/>
      <c r="F10697" s="48" t="str">
        <f>IFERROR(__xludf.DUMMYFUNCTION("""COMPUTED_VALUE"""),"")</f>
        <v/>
      </c>
      <c r="G10697" s="42" t="str">
        <f>IFERROR(__xludf.DUMMYFUNCTION("""COMPUTED_VALUE"""),"Pendaftaran peralihan hak")</f>
        <v>Pendaftaran peralihan hak</v>
      </c>
      <c r="H10697" s="42">
        <f t="shared" si="1"/>
        <v>3345</v>
      </c>
    </row>
    <row r="10698" ht="22.5" customHeight="1">
      <c r="B10698" s="42" t="str">
        <f>IFERROR(__xludf.DUMMYFUNCTION("""COMPUTED_VALUE"""),"L/5/130126/1")</f>
        <v>L/5/130126/1</v>
      </c>
      <c r="C10698" s="42" t="str">
        <f>IFERROR(__xludf.DUMMYFUNCTION("""COMPUTED_VALUE"""),"M. 886/KEMILING PERMAI")</f>
        <v>M. 886/KEMILING PERMAI</v>
      </c>
      <c r="D10698" s="42"/>
      <c r="E10698" s="42"/>
      <c r="F10698" s="48" t="str">
        <f>IFERROR(__xludf.DUMMYFUNCTION("""COMPUTED_VALUE"""),"")</f>
        <v/>
      </c>
      <c r="G10698" s="42" t="str">
        <f>IFERROR(__xludf.DUMMYFUNCTION("""COMPUTED_VALUE"""),"ROYA")</f>
        <v>ROYA</v>
      </c>
      <c r="H10698" s="42">
        <f t="shared" si="1"/>
        <v>3345</v>
      </c>
    </row>
    <row r="10699" ht="22.5" customHeight="1">
      <c r="B10699" s="42" t="str">
        <f>IFERROR(__xludf.DUMMYFUNCTION("""COMPUTED_VALUE"""),"ABOILYDT/AB050")</f>
        <v>ABOILYDT/AB050</v>
      </c>
      <c r="C10699" s="42" t="str">
        <f>IFERROR(__xludf.DUMMYFUNCTION("""COMPUTED_VALUE"""),"M NIBEL 23920/palapa")</f>
        <v>M NIBEL 23920/palapa</v>
      </c>
      <c r="D10699" s="42"/>
      <c r="E10699" s="42"/>
      <c r="F10699" s="48" t="str">
        <f>IFERROR(__xludf.DUMMYFUNCTION("""COMPUTED_VALUE"""),"")</f>
        <v/>
      </c>
      <c r="G10699" s="42" t="str">
        <f>IFERROR(__xludf.DUMMYFUNCTION("""COMPUTED_VALUE"""),"APHB")</f>
        <v>APHB</v>
      </c>
      <c r="H10699" s="42">
        <f t="shared" si="1"/>
        <v>3345</v>
      </c>
    </row>
    <row r="10700" ht="22.5" customHeight="1">
      <c r="B10700" s="42" t="str">
        <f>IFERROR(__xludf.DUMMYFUNCTION("""COMPUTED_VALUE"""),"ABUFNVRN")</f>
        <v>ABUFNVRN</v>
      </c>
      <c r="C10700" s="42" t="str">
        <f>IFERROR(__xludf.DUMMYFUNCTION("""COMPUTED_VALUE"""),"M 1198/ BAKUNG")</f>
        <v>M 1198/ BAKUNG</v>
      </c>
      <c r="D10700" s="42"/>
      <c r="E10700" s="42"/>
      <c r="F10700" s="48" t="str">
        <f>IFERROR(__xludf.DUMMYFUNCTION("""COMPUTED_VALUE"""),"")</f>
        <v/>
      </c>
      <c r="G10700" s="42" t="str">
        <f>IFERROR(__xludf.DUMMYFUNCTION("""COMPUTED_VALUE"""),"JUAL BELI balik nama")</f>
        <v>JUAL BELI balik nama</v>
      </c>
      <c r="H10700" s="42">
        <f t="shared" si="1"/>
        <v>3345</v>
      </c>
    </row>
    <row r="10701" ht="22.5" customHeight="1">
      <c r="B10701" s="42" t="str">
        <f>IFERROR(__xludf.DUMMYFUNCTION("""COMPUTED_VALUE"""),"ABYPZMET")</f>
        <v>ABYPZMET</v>
      </c>
      <c r="C10701" s="42" t="str">
        <f>IFERROR(__xludf.DUMMYFUNCTION("""COMPUTED_VALUE"""),"M 1199/ BAKUNG")</f>
        <v>M 1199/ BAKUNG</v>
      </c>
      <c r="D10701" s="42"/>
      <c r="E10701" s="42"/>
      <c r="F10701" s="48" t="str">
        <f>IFERROR(__xludf.DUMMYFUNCTION("""COMPUTED_VALUE"""),"")</f>
        <v/>
      </c>
      <c r="G10701" s="42" t="str">
        <f>IFERROR(__xludf.DUMMYFUNCTION("""COMPUTED_VALUE"""),"JUAL BELI balik nama")</f>
        <v>JUAL BELI balik nama</v>
      </c>
      <c r="H10701" s="42">
        <f t="shared" si="1"/>
        <v>3345</v>
      </c>
    </row>
    <row r="10702" ht="22.5" customHeight="1">
      <c r="B10702" s="42" t="str">
        <f>IFERROR(__xludf.DUMMYFUNCTION("""COMPUTED_VALUE"""),"ABRHOOLK/ AB035")</f>
        <v>ABRHOOLK/ AB035</v>
      </c>
      <c r="C10702" s="42" t="str">
        <f>IFERROR(__xludf.DUMMYFUNCTION("""COMPUTED_VALUE"""),"SHM 4735 rajabasa jaya")</f>
        <v>SHM 4735 rajabasa jaya</v>
      </c>
      <c r="D10702" s="42"/>
      <c r="E10702" s="42"/>
      <c r="F10702" s="48" t="str">
        <f>IFERROR(__xludf.DUMMYFUNCTION("""COMPUTED_VALUE"""),"")</f>
        <v/>
      </c>
      <c r="G10702" s="42" t="str">
        <f>IFERROR(__xludf.DUMMYFUNCTION("""COMPUTED_VALUE"""),"jual beli balik nama")</f>
        <v>jual beli balik nama</v>
      </c>
      <c r="H10702" s="42">
        <f t="shared" si="1"/>
        <v>3345</v>
      </c>
    </row>
    <row r="10703" ht="22.5" customHeight="1">
      <c r="B10703" s="42" t="str">
        <f>IFERROR(__xludf.DUMMYFUNCTION("""COMPUTED_VALUE"""),"ABYXRFTS/AB035")</f>
        <v>ABYXRFTS/AB035</v>
      </c>
      <c r="C10703" s="42" t="str">
        <f>IFERROR(__xludf.DUMMYFUNCTION("""COMPUTED_VALUE"""),"Shm nibel 22755 Tanjung senang")</f>
        <v>Shm nibel 22755 Tanjung senang</v>
      </c>
      <c r="D10703" s="42"/>
      <c r="E10703" s="42"/>
      <c r="F10703" s="48" t="str">
        <f>IFERROR(__xludf.DUMMYFUNCTION("""COMPUTED_VALUE"""),"")</f>
        <v/>
      </c>
      <c r="G10703" s="42" t="str">
        <f>IFERROR(__xludf.DUMMYFUNCTION("""COMPUTED_VALUE"""),"jual beli balik nama")</f>
        <v>jual beli balik nama</v>
      </c>
      <c r="H10703" s="42">
        <f t="shared" si="1"/>
        <v>3345</v>
      </c>
    </row>
    <row r="10704" ht="22.5" customHeight="1">
      <c r="B10704" s="42" t="str">
        <f>IFERROR(__xludf.DUMMYFUNCTION("""COMPUTED_VALUE"""),"K/6/130126/1")</f>
        <v>K/6/130126/1</v>
      </c>
      <c r="C10704" s="42" t="str">
        <f>IFERROR(__xludf.DUMMYFUNCTION("""COMPUTED_VALUE"""),"M. 1596/SUKABUMI INDAH")</f>
        <v>M. 1596/SUKABUMI INDAH</v>
      </c>
      <c r="D10704" s="42"/>
      <c r="E10704" s="42"/>
      <c r="F10704" s="48" t="str">
        <f>IFERROR(__xludf.DUMMYFUNCTION("""COMPUTED_VALUE"""),"")</f>
        <v/>
      </c>
      <c r="G10704" s="42" t="str">
        <f>IFERROR(__xludf.DUMMYFUNCTION("""COMPUTED_VALUE"""),"SKPT LELANG")</f>
        <v>SKPT LELANG</v>
      </c>
      <c r="H10704" s="42">
        <f t="shared" si="1"/>
        <v>3345</v>
      </c>
    </row>
    <row r="10705" ht="22.5" customHeight="1">
      <c r="B10705" s="42" t="str">
        <f>IFERROR(__xludf.DUMMYFUNCTION("""COMPUTED_VALUE"""),"ABCIDBGK/AB057")</f>
        <v>ABCIDBGK/AB057</v>
      </c>
      <c r="C10705" s="42" t="str">
        <f>IFERROR(__xludf.DUMMYFUNCTION("""COMPUTED_VALUE"""),"M. 3137/Langkapura")</f>
        <v>M. 3137/Langkapura</v>
      </c>
      <c r="D10705" s="42"/>
      <c r="E10705" s="42"/>
      <c r="F10705" s="48" t="str">
        <f>IFERROR(__xludf.DUMMYFUNCTION("""COMPUTED_VALUE"""),"")</f>
        <v/>
      </c>
      <c r="G10705" s="42" t="str">
        <f>IFERROR(__xludf.DUMMYFUNCTION("""COMPUTED_VALUE"""),"Balik Nama Jual Beli")</f>
        <v>Balik Nama Jual Beli</v>
      </c>
      <c r="H10705" s="42">
        <f t="shared" si="1"/>
        <v>3345</v>
      </c>
    </row>
    <row r="10706" ht="22.5" customHeight="1">
      <c r="B10706" s="42" t="str">
        <f>IFERROR(__xludf.DUMMYFUNCTION("""COMPUTED_VALUE"""),"L/8/130126/1")</f>
        <v>L/8/130126/1</v>
      </c>
      <c r="C10706" s="42" t="str">
        <f>IFERROR(__xludf.DUMMYFUNCTION("""COMPUTED_VALUE"""),"M. 12000/SUKABUMI")</f>
        <v>M. 12000/SUKABUMI</v>
      </c>
      <c r="D10706" s="42"/>
      <c r="E10706" s="42"/>
      <c r="F10706" s="48" t="str">
        <f>IFERROR(__xludf.DUMMYFUNCTION("""COMPUTED_VALUE"""),"")</f>
        <v/>
      </c>
      <c r="G10706" s="42" t="str">
        <f>IFERROR(__xludf.DUMMYFUNCTION("""COMPUTED_VALUE"""),"ROYA")</f>
        <v>ROYA</v>
      </c>
      <c r="H10706" s="42">
        <f t="shared" si="1"/>
        <v>3345</v>
      </c>
    </row>
    <row r="10707" ht="22.5" customHeight="1">
      <c r="B10707" s="42" t="str">
        <f>IFERROR(__xludf.DUMMYFUNCTION("""COMPUTED_VALUE"""),"K/7/130126/2")</f>
        <v>K/7/130126/2</v>
      </c>
      <c r="C10707" s="42" t="str">
        <f>IFERROR(__xludf.DUMMYFUNCTION("""COMPUTED_VALUE"""),"M. 3784/CAMPANG RAYA")</f>
        <v>M. 3784/CAMPANG RAYA</v>
      </c>
      <c r="D10707" s="42"/>
      <c r="E10707" s="42"/>
      <c r="F10707" s="48" t="str">
        <f>IFERROR(__xludf.DUMMYFUNCTION("""COMPUTED_VALUE"""),"")</f>
        <v/>
      </c>
      <c r="G10707" s="42" t="str">
        <f>IFERROR(__xludf.DUMMYFUNCTION("""COMPUTED_VALUE"""),"SKPT LELANG")</f>
        <v>SKPT LELANG</v>
      </c>
      <c r="H10707" s="42">
        <f t="shared" si="1"/>
        <v>3345</v>
      </c>
    </row>
    <row r="10708" ht="22.5" customHeight="1">
      <c r="B10708" s="42" t="str">
        <f>IFERROR(__xludf.DUMMYFUNCTION("""COMPUTED_VALUE"""),"K/9/130126/1")</f>
        <v>K/9/130126/1</v>
      </c>
      <c r="C10708" s="42" t="str">
        <f>IFERROR(__xludf.DUMMYFUNCTION("""COMPUTED_VALUE"""),"B. 1388/PINANG JAYA")</f>
        <v>B. 1388/PINANG JAYA</v>
      </c>
      <c r="D10708" s="42"/>
      <c r="E10708" s="42"/>
      <c r="F10708" s="48" t="str">
        <f>IFERROR(__xludf.DUMMYFUNCTION("""COMPUTED_VALUE"""),"")</f>
        <v/>
      </c>
      <c r="G10708" s="42" t="str">
        <f>IFERROR(__xludf.DUMMYFUNCTION("""COMPUTED_VALUE"""),"PENINGKATAN HAK")</f>
        <v>PENINGKATAN HAK</v>
      </c>
      <c r="H10708" s="42">
        <f t="shared" si="1"/>
        <v>3345</v>
      </c>
    </row>
    <row r="10709" ht="22.5" customHeight="1">
      <c r="B10709" s="42" t="str">
        <f>IFERROR(__xludf.DUMMYFUNCTION("""COMPUTED_VALUE"""),"ABMERQGK")</f>
        <v>ABMERQGK</v>
      </c>
      <c r="C10709" s="42" t="str">
        <f>IFERROR(__xludf.DUMMYFUNCTION("""COMPUTED_VALUE"""),"M 00271 KALIAWI PERSADA")</f>
        <v>M 00271 KALIAWI PERSADA</v>
      </c>
      <c r="D10709" s="42"/>
      <c r="E10709" s="42"/>
      <c r="F10709" s="48" t="str">
        <f>IFERROR(__xludf.DUMMYFUNCTION("""COMPUTED_VALUE"""),"")</f>
        <v/>
      </c>
      <c r="G10709" s="42" t="str">
        <f>IFERROR(__xludf.DUMMYFUNCTION("""COMPUTED_VALUE"""),"PTSL / BPHTB terhutang")</f>
        <v>PTSL / BPHTB terhutang</v>
      </c>
      <c r="H10709" s="42">
        <f t="shared" si="1"/>
        <v>3345</v>
      </c>
    </row>
    <row r="10710" ht="22.5" customHeight="1">
      <c r="B10710" s="42" t="str">
        <f>IFERROR(__xludf.DUMMYFUNCTION("""COMPUTED_VALUE"""),"K/10/130126/1")</f>
        <v>K/10/130126/1</v>
      </c>
      <c r="C10710" s="42" t="str">
        <f>IFERROR(__xludf.DUMMYFUNCTION("""COMPUTED_VALUE"""),"NIBEL B. 3075.1/KETEGUHAN")</f>
        <v>NIBEL B. 3075.1/KETEGUHAN</v>
      </c>
      <c r="D10710" s="42"/>
      <c r="E10710" s="42"/>
      <c r="F10710" s="48" t="str">
        <f>IFERROR(__xludf.DUMMYFUNCTION("""COMPUTED_VALUE"""),"")</f>
        <v/>
      </c>
      <c r="G10710" s="42" t="str">
        <f>IFERROR(__xludf.DUMMYFUNCTION("""COMPUTED_VALUE"""),"PENINGKTAN HAK")</f>
        <v>PENINGKTAN HAK</v>
      </c>
      <c r="H10710" s="42">
        <f t="shared" si="1"/>
        <v>3345</v>
      </c>
    </row>
    <row r="10711" ht="22.5" customHeight="1">
      <c r="B10711" s="42" t="str">
        <f>IFERROR(__xludf.DUMMYFUNCTION("""COMPUTED_VALUE"""),"ABPJZDAE")</f>
        <v>ABPJZDAE</v>
      </c>
      <c r="C10711" s="42" t="str">
        <f>IFERROR(__xludf.DUMMYFUNCTION("""COMPUTED_VALUE"""),"NIBEL M 26938/ WAY DADI")</f>
        <v>NIBEL M 26938/ WAY DADI</v>
      </c>
      <c r="D10711" s="42"/>
      <c r="E10711" s="42"/>
      <c r="F10711" s="48" t="str">
        <f>IFERROR(__xludf.DUMMYFUNCTION("""COMPUTED_VALUE"""),"")</f>
        <v/>
      </c>
      <c r="G10711" s="42" t="str">
        <f>IFERROR(__xludf.DUMMYFUNCTION("""COMPUTED_VALUE"""),"Balik Nama")</f>
        <v>Balik Nama</v>
      </c>
      <c r="H10711" s="42">
        <f t="shared" si="1"/>
        <v>3345</v>
      </c>
    </row>
    <row r="10712" ht="22.5" customHeight="1">
      <c r="B10712" s="42" t="str">
        <f>IFERROR(__xludf.DUMMYFUNCTION("""COMPUTED_VALUE"""),"ABUJMNUI")</f>
        <v>ABUJMNUI</v>
      </c>
      <c r="C10712" s="42" t="str">
        <f>IFERROR(__xludf.DUMMYFUNCTION("""COMPUTED_VALUE"""),"M 1554/ BUMI WARAS")</f>
        <v>M 1554/ BUMI WARAS</v>
      </c>
      <c r="D10712" s="42"/>
      <c r="E10712" s="42"/>
      <c r="F10712" s="48" t="str">
        <f>IFERROR(__xludf.DUMMYFUNCTION("""COMPUTED_VALUE"""),"")</f>
        <v/>
      </c>
      <c r="G10712" s="42" t="str">
        <f>IFERROR(__xludf.DUMMYFUNCTION("""COMPUTED_VALUE"""),"BN WARIS")</f>
        <v>BN WARIS</v>
      </c>
      <c r="H10712" s="42">
        <f t="shared" si="1"/>
        <v>3345</v>
      </c>
    </row>
    <row r="10713" ht="22.5" customHeight="1">
      <c r="B10713" s="42" t="str">
        <f>IFERROR(__xludf.DUMMYFUNCTION("""COMPUTED_VALUE"""),"ABTMZIZZ")</f>
        <v>ABTMZIZZ</v>
      </c>
      <c r="C10713" s="42" t="str">
        <f>IFERROR(__xludf.DUMMYFUNCTION("""COMPUTED_VALUE"""),"M 972/ SUKADANA HAM")</f>
        <v>M 972/ SUKADANA HAM</v>
      </c>
      <c r="D10713" s="42"/>
      <c r="E10713" s="42"/>
      <c r="F10713" s="48" t="str">
        <f>IFERROR(__xludf.DUMMYFUNCTION("""COMPUTED_VALUE"""),"")</f>
        <v/>
      </c>
      <c r="G10713" s="42" t="str">
        <f>IFERROR(__xludf.DUMMYFUNCTION("""COMPUTED_VALUE"""),"BN JUAL BELI")</f>
        <v>BN JUAL BELI</v>
      </c>
      <c r="H10713" s="42">
        <f t="shared" si="1"/>
        <v>3345</v>
      </c>
    </row>
    <row r="10714" ht="22.5" customHeight="1">
      <c r="B10714" s="42" t="str">
        <f>IFERROR(__xludf.DUMMYFUNCTION("""COMPUTED_VALUE""")," ABRDNLSG")</f>
        <v> ABRDNLSG</v>
      </c>
      <c r="C10714" s="42" t="str">
        <f>IFERROR(__xludf.DUMMYFUNCTION("""COMPUTED_VALUE"""),"NIBEL 17081 SUKABUMI")</f>
        <v>NIBEL 17081 SUKABUMI</v>
      </c>
      <c r="D10714" s="42"/>
      <c r="E10714" s="42"/>
      <c r="F10714" s="48" t="str">
        <f>IFERROR(__xludf.DUMMYFUNCTION("""COMPUTED_VALUE"""),"")</f>
        <v/>
      </c>
      <c r="G10714" s="42" t="str">
        <f>IFERROR(__xludf.DUMMYFUNCTION("""COMPUTED_VALUE"""),"ROYA")</f>
        <v>ROYA</v>
      </c>
      <c r="H10714" s="42">
        <f t="shared" si="1"/>
        <v>3345</v>
      </c>
    </row>
    <row r="10715" ht="22.5" customHeight="1">
      <c r="B10715" s="42" t="str">
        <f>IFERROR(__xludf.DUMMYFUNCTION("""COMPUTED_VALUE"""),"ABCOPTFN/1")</f>
        <v>ABCOPTFN/1</v>
      </c>
      <c r="C10715" s="42" t="str">
        <f>IFERROR(__xludf.DUMMYFUNCTION("""COMPUTED_VALUE"""),"m.2202/Labuhan Ratu Raya")</f>
        <v>m.2202/Labuhan Ratu Raya</v>
      </c>
      <c r="D10715" s="42"/>
      <c r="E10715" s="42"/>
      <c r="F10715" s="48" t="str">
        <f>IFERROR(__xludf.DUMMYFUNCTION("""COMPUTED_VALUE"""),"")</f>
        <v/>
      </c>
      <c r="G10715" s="42" t="str">
        <f>IFERROR(__xludf.DUMMYFUNCTION("""COMPUTED_VALUE"""),"Bn waris")</f>
        <v>Bn waris</v>
      </c>
      <c r="H10715" s="42">
        <f t="shared" si="1"/>
        <v>3345</v>
      </c>
    </row>
    <row r="10716" ht="22.5" customHeight="1">
      <c r="B10716" s="42" t="str">
        <f>IFERROR(__xludf.DUMMYFUNCTION("""COMPUTED_VALUE"""),"ABCYYGDW/1")</f>
        <v>ABCYYGDW/1</v>
      </c>
      <c r="C10716" s="42" t="str">
        <f>IFERROR(__xludf.DUMMYFUNCTION("""COMPUTED_VALUE"""),"m.2037/Kalibalau Kencana")</f>
        <v>m.2037/Kalibalau Kencana</v>
      </c>
      <c r="D10716" s="42"/>
      <c r="E10716" s="42"/>
      <c r="F10716" s="48" t="str">
        <f>IFERROR(__xludf.DUMMYFUNCTION("""COMPUTED_VALUE"""),"")</f>
        <v/>
      </c>
      <c r="G10716" s="42" t="str">
        <f>IFERROR(__xludf.DUMMYFUNCTION("""COMPUTED_VALUE"""),"Bn waris")</f>
        <v>Bn waris</v>
      </c>
      <c r="H10716" s="42">
        <f t="shared" si="1"/>
        <v>3345</v>
      </c>
    </row>
    <row r="10717" ht="22.5" customHeight="1">
      <c r="B10717" s="42" t="str">
        <f>IFERROR(__xludf.DUMMYFUNCTION("""COMPUTED_VALUE"""),"AB011/ ABAALJWR")</f>
        <v>AB011/ ABAALJWR</v>
      </c>
      <c r="C10717" s="42" t="str">
        <f>IFERROR(__xludf.DUMMYFUNCTION("""COMPUTED_VALUE"""),"Nib 23136 LABUHAN RATU RAYA")</f>
        <v>Nib 23136 LABUHAN RATU RAYA</v>
      </c>
      <c r="D10717" s="42"/>
      <c r="E10717" s="42"/>
      <c r="F10717" s="48" t="str">
        <f>IFERROR(__xludf.DUMMYFUNCTION("""COMPUTED_VALUE"""),"")</f>
        <v/>
      </c>
      <c r="G10717" s="42" t="str">
        <f>IFERROR(__xludf.DUMMYFUNCTION("""COMPUTED_VALUE"""),"Balik nama")</f>
        <v>Balik nama</v>
      </c>
      <c r="H10717" s="42">
        <f t="shared" si="1"/>
        <v>3345</v>
      </c>
    </row>
    <row r="10718" ht="22.5" customHeight="1">
      <c r="B10718" s="42" t="str">
        <f>IFERROR(__xludf.DUMMYFUNCTION("""COMPUTED_VALUE"""),"AB011/ABTFEXKV")</f>
        <v>AB011/ABTFEXKV</v>
      </c>
      <c r="C10718" s="42" t="str">
        <f>IFERROR(__xludf.DUMMYFUNCTION("""COMPUTED_VALUE"""),"M 294 KEMILING RAYA")</f>
        <v>M 294 KEMILING RAYA</v>
      </c>
      <c r="D10718" s="42"/>
      <c r="E10718" s="42"/>
      <c r="F10718" s="48" t="str">
        <f>IFERROR(__xludf.DUMMYFUNCTION("""COMPUTED_VALUE"""),"")</f>
        <v/>
      </c>
      <c r="G10718" s="42" t="str">
        <f>IFERROR(__xludf.DUMMYFUNCTION("""COMPUTED_VALUE"""),"Balik nama")</f>
        <v>Balik nama</v>
      </c>
      <c r="H10718" s="42">
        <f t="shared" si="1"/>
        <v>3345</v>
      </c>
    </row>
    <row r="10719" ht="22.5" customHeight="1">
      <c r="B10719" s="42" t="str">
        <f>IFERROR(__xludf.DUMMYFUNCTION("""COMPUTED_VALUE"""),"ABLZQWUQ")</f>
        <v>ABLZQWUQ</v>
      </c>
      <c r="C10719" s="42" t="str">
        <f>IFERROR(__xludf.DUMMYFUNCTION("""COMPUTED_VALUE"""),"Nibel 24027")</f>
        <v>Nibel 24027</v>
      </c>
      <c r="D10719" s="42"/>
      <c r="E10719" s="42"/>
      <c r="F10719" s="48" t="str">
        <f>IFERROR(__xludf.DUMMYFUNCTION("""COMPUTED_VALUE"""),"")</f>
        <v/>
      </c>
      <c r="G10719" s="42" t="str">
        <f>IFERROR(__xludf.DUMMYFUNCTION("""COMPUTED_VALUE"""),"Balik nama")</f>
        <v>Balik nama</v>
      </c>
      <c r="H10719" s="42">
        <f t="shared" si="1"/>
        <v>3345</v>
      </c>
    </row>
    <row r="10720" ht="22.5" customHeight="1">
      <c r="B10720" s="42" t="str">
        <f>IFERROR(__xludf.DUMMYFUNCTION("""COMPUTED_VALUE"""),"K/1/140126/1")</f>
        <v>K/1/140126/1</v>
      </c>
      <c r="C10720" s="42" t="str">
        <f>IFERROR(__xludf.DUMMYFUNCTION("""COMPUTED_VALUE"""),"B.1978/SUKABUMI")</f>
        <v>B.1978/SUKABUMI</v>
      </c>
      <c r="D10720" s="42"/>
      <c r="E10720" s="42"/>
      <c r="F10720" s="48" t="str">
        <f>IFERROR(__xludf.DUMMYFUNCTION("""COMPUTED_VALUE"""),"")</f>
        <v/>
      </c>
      <c r="G10720" s="42" t="str">
        <f>IFERROR(__xludf.DUMMYFUNCTION("""COMPUTED_VALUE"""),"ROYA")</f>
        <v>ROYA</v>
      </c>
      <c r="H10720" s="42">
        <f t="shared" si="1"/>
        <v>3345</v>
      </c>
    </row>
    <row r="10721" ht="22.5" customHeight="1">
      <c r="B10721" s="42" t="str">
        <f>IFERROR(__xludf.DUMMYFUNCTION("""COMPUTED_VALUE"""),"ABVCSZJW")</f>
        <v>ABVCSZJW</v>
      </c>
      <c r="C10721" s="42" t="str">
        <f>IFERROR(__xludf.DUMMYFUNCTION("""COMPUTED_VALUE"""),"Nibel 24026/ JAGABAYA III")</f>
        <v>Nibel 24026/ JAGABAYA III</v>
      </c>
      <c r="D10721" s="42"/>
      <c r="E10721" s="42"/>
      <c r="F10721" s="48" t="str">
        <f>IFERROR(__xludf.DUMMYFUNCTION("""COMPUTED_VALUE"""),"")</f>
        <v/>
      </c>
      <c r="G10721" s="42" t="str">
        <f>IFERROR(__xludf.DUMMYFUNCTION("""COMPUTED_VALUE"""),"Balik nama")</f>
        <v>Balik nama</v>
      </c>
      <c r="H10721" s="42">
        <f t="shared" si="1"/>
        <v>3345</v>
      </c>
    </row>
    <row r="10722" ht="22.5" customHeight="1">
      <c r="B10722" s="42" t="str">
        <f>IFERROR(__xludf.DUMMYFUNCTION("""COMPUTED_VALUE"""),"ABKHDSGB")</f>
        <v>ABKHDSGB</v>
      </c>
      <c r="C10722" s="42" t="str">
        <f>IFERROR(__xludf.DUMMYFUNCTION("""COMPUTED_VALUE"""),"Nibel 24039")</f>
        <v>Nibel 24039</v>
      </c>
      <c r="D10722" s="42"/>
      <c r="E10722" s="42"/>
      <c r="F10722" s="48" t="str">
        <f>IFERROR(__xludf.DUMMYFUNCTION("""COMPUTED_VALUE"""),"")</f>
        <v/>
      </c>
      <c r="G10722" s="42" t="str">
        <f>IFERROR(__xludf.DUMMYFUNCTION("""COMPUTED_VALUE"""),"Balik nama")</f>
        <v>Balik nama</v>
      </c>
      <c r="H10722" s="42">
        <f t="shared" si="1"/>
        <v>3345</v>
      </c>
    </row>
    <row r="10723" ht="22.5" customHeight="1">
      <c r="B10723" s="42" t="str">
        <f>IFERROR(__xludf.DUMMYFUNCTION("""COMPUTED_VALUE"""),"L/2/140126/1")</f>
        <v>L/2/140126/1</v>
      </c>
      <c r="C10723" s="42" t="str">
        <f>IFERROR(__xludf.DUMMYFUNCTION("""COMPUTED_VALUE"""),"M NIB. 26992/SURABAYA")</f>
        <v>M NIB. 26992/SURABAYA</v>
      </c>
      <c r="D10723" s="42"/>
      <c r="E10723" s="42"/>
      <c r="F10723" s="48" t="str">
        <f>IFERROR(__xludf.DUMMYFUNCTION("""COMPUTED_VALUE"""),"")</f>
        <v/>
      </c>
      <c r="G10723" s="42" t="str">
        <f>IFERROR(__xludf.DUMMYFUNCTION("""COMPUTED_VALUE"""),"PTPGT PEMECAHAN")</f>
        <v>PTPGT PEMECAHAN</v>
      </c>
      <c r="H10723" s="42">
        <f t="shared" si="1"/>
        <v>3345</v>
      </c>
    </row>
    <row r="10724" ht="22.5" customHeight="1">
      <c r="B10724" s="42" t="str">
        <f>IFERROR(__xludf.DUMMYFUNCTION("""COMPUTED_VALUE"""),"L/3/140126/1")</f>
        <v>L/3/140126/1</v>
      </c>
      <c r="C10724" s="42" t="str">
        <f>IFERROR(__xludf.DUMMYFUNCTION("""COMPUTED_VALUE"""),"B. 3929/SUKABUMI")</f>
        <v>B. 3929/SUKABUMI</v>
      </c>
      <c r="D10724" s="42"/>
      <c r="E10724" s="42"/>
      <c r="F10724" s="48" t="str">
        <f>IFERROR(__xludf.DUMMYFUNCTION("""COMPUTED_VALUE"""),"")</f>
        <v/>
      </c>
      <c r="G10724" s="42" t="str">
        <f>IFERROR(__xludf.DUMMYFUNCTION("""COMPUTED_VALUE"""),"SKPT INFORMASI")</f>
        <v>SKPT INFORMASI</v>
      </c>
      <c r="H10724" s="42">
        <f t="shared" si="1"/>
        <v>3345</v>
      </c>
    </row>
    <row r="10725" ht="22.5" customHeight="1">
      <c r="B10725" s="42" t="str">
        <f>IFERROR(__xludf.DUMMYFUNCTION("""COMPUTED_VALUE"""),"L/4/140126/2")</f>
        <v>L/4/140126/2</v>
      </c>
      <c r="C10725" s="42" t="str">
        <f>IFERROR(__xludf.DUMMYFUNCTION("""COMPUTED_VALUE"""),"B. 3929/SUKABUMI")</f>
        <v>B. 3929/SUKABUMI</v>
      </c>
      <c r="D10725" s="42"/>
      <c r="E10725" s="42"/>
      <c r="F10725" s="48" t="str">
        <f>IFERROR(__xludf.DUMMYFUNCTION("""COMPUTED_VALUE"""),"")</f>
        <v/>
      </c>
      <c r="G10725" s="42" t="str">
        <f>IFERROR(__xludf.DUMMYFUNCTION("""COMPUTED_VALUE"""),"SKPT INFORMASI")</f>
        <v>SKPT INFORMASI</v>
      </c>
      <c r="H10725" s="42">
        <f t="shared" si="1"/>
        <v>3345</v>
      </c>
    </row>
    <row r="10726" ht="22.5" customHeight="1">
      <c r="B10726" s="42" t="str">
        <f>IFERROR(__xludf.DUMMYFUNCTION("""COMPUTED_VALUE"""),"L/5/140126/3")</f>
        <v>L/5/140126/3</v>
      </c>
      <c r="C10726" s="42" t="str">
        <f>IFERROR(__xludf.DUMMYFUNCTION("""COMPUTED_VALUE"""),"B. 3931/SUKABUMI")</f>
        <v>B. 3931/SUKABUMI</v>
      </c>
      <c r="D10726" s="42"/>
      <c r="E10726" s="42"/>
      <c r="F10726" s="48" t="str">
        <f>IFERROR(__xludf.DUMMYFUNCTION("""COMPUTED_VALUE"""),"")</f>
        <v/>
      </c>
      <c r="G10726" s="42" t="str">
        <f>IFERROR(__xludf.DUMMYFUNCTION("""COMPUTED_VALUE"""),"SKPT INFORMASI")</f>
        <v>SKPT INFORMASI</v>
      </c>
      <c r="H10726" s="42">
        <f t="shared" si="1"/>
        <v>3345</v>
      </c>
    </row>
    <row r="10727" ht="22.5" customHeight="1">
      <c r="B10727" s="42" t="str">
        <f>IFERROR(__xludf.DUMMYFUNCTION("""COMPUTED_VALUE"""),"L/6/140126/4")</f>
        <v>L/6/140126/4</v>
      </c>
      <c r="C10727" s="42" t="str">
        <f>IFERROR(__xludf.DUMMYFUNCTION("""COMPUTED_VALUE"""),"B. 3938/SUKABUMI")</f>
        <v>B. 3938/SUKABUMI</v>
      </c>
      <c r="D10727" s="42"/>
      <c r="E10727" s="42"/>
      <c r="F10727" s="48" t="str">
        <f>IFERROR(__xludf.DUMMYFUNCTION("""COMPUTED_VALUE"""),"")</f>
        <v/>
      </c>
      <c r="G10727" s="42" t="str">
        <f>IFERROR(__xludf.DUMMYFUNCTION("""COMPUTED_VALUE"""),"SKPT INFORMASI")</f>
        <v>SKPT INFORMASI</v>
      </c>
      <c r="H10727" s="42">
        <f t="shared" si="1"/>
        <v>3345</v>
      </c>
    </row>
    <row r="10728" ht="22.5" customHeight="1">
      <c r="B10728" s="42" t="str">
        <f>IFERROR(__xludf.DUMMYFUNCTION("""COMPUTED_VALUE"""),"L/7/140126/5")</f>
        <v>L/7/140126/5</v>
      </c>
      <c r="C10728" s="42" t="str">
        <f>IFERROR(__xludf.DUMMYFUNCTION("""COMPUTED_VALUE"""),"B. 3937/SUKABUMI")</f>
        <v>B. 3937/SUKABUMI</v>
      </c>
      <c r="D10728" s="42"/>
      <c r="E10728" s="42"/>
      <c r="F10728" s="48" t="str">
        <f>IFERROR(__xludf.DUMMYFUNCTION("""COMPUTED_VALUE"""),"")</f>
        <v/>
      </c>
      <c r="G10728" s="42" t="str">
        <f>IFERROR(__xludf.DUMMYFUNCTION("""COMPUTED_VALUE"""),"SKPT INFORMASI")</f>
        <v>SKPT INFORMASI</v>
      </c>
      <c r="H10728" s="42">
        <f t="shared" si="1"/>
        <v>3345</v>
      </c>
    </row>
    <row r="10729" ht="22.5" customHeight="1">
      <c r="B10729" s="42" t="str">
        <f>IFERROR(__xludf.DUMMYFUNCTION("""COMPUTED_VALUE"""),"ABCDWENI")</f>
        <v>ABCDWENI</v>
      </c>
      <c r="C10729" s="42" t="str">
        <f>IFERROR(__xludf.DUMMYFUNCTION("""COMPUTED_VALUE"""),"SHM EL NIB 08.01.000025383.0")</f>
        <v>SHM EL NIB 08.01.000025383.0</v>
      </c>
      <c r="D10729" s="42"/>
      <c r="E10729" s="42"/>
      <c r="F10729" s="48" t="str">
        <f>IFERROR(__xludf.DUMMYFUNCTION("""COMPUTED_VALUE"""),"")</f>
        <v/>
      </c>
      <c r="G10729" s="42" t="str">
        <f>IFERROR(__xludf.DUMMYFUNCTION("""COMPUTED_VALUE"""),"Balik Nama Waris")</f>
        <v>Balik Nama Waris</v>
      </c>
      <c r="H10729" s="42">
        <f t="shared" si="1"/>
        <v>3345</v>
      </c>
    </row>
    <row r="10730" ht="22.5" customHeight="1">
      <c r="B10730" s="42" t="str">
        <f>IFERROR(__xludf.DUMMYFUNCTION("""COMPUTED_VALUE"""),"ABSQKTKE")</f>
        <v>ABSQKTKE</v>
      </c>
      <c r="C10730" s="42" t="str">
        <f>IFERROR(__xludf.DUMMYFUNCTION("""COMPUTED_VALUE"""),"M. 3510/CR")</f>
        <v>M. 3510/CR</v>
      </c>
      <c r="D10730" s="42"/>
      <c r="E10730" s="42"/>
      <c r="F10730" s="48" t="str">
        <f>IFERROR(__xludf.DUMMYFUNCTION("""COMPUTED_VALUE"""),"")</f>
        <v/>
      </c>
      <c r="G10730" s="42" t="str">
        <f>IFERROR(__xludf.DUMMYFUNCTION("""COMPUTED_VALUE"""),"Balik nama ajb")</f>
        <v>Balik nama ajb</v>
      </c>
      <c r="H10730" s="42">
        <f t="shared" si="1"/>
        <v>3345</v>
      </c>
    </row>
    <row r="10731" ht="22.5" customHeight="1">
      <c r="B10731" s="42" t="str">
        <f>IFERROR(__xludf.DUMMYFUNCTION("""COMPUTED_VALUE"""),"ABKGQIRG")</f>
        <v>ABKGQIRG</v>
      </c>
      <c r="C10731" s="42" t="str">
        <f>IFERROR(__xludf.DUMMYFUNCTION("""COMPUTED_VALUE"""),"M. 177/CJ")</f>
        <v>M. 177/CJ</v>
      </c>
      <c r="D10731" s="42"/>
      <c r="E10731" s="42"/>
      <c r="F10731" s="48" t="str">
        <f>IFERROR(__xludf.DUMMYFUNCTION("""COMPUTED_VALUE"""),"")</f>
        <v/>
      </c>
      <c r="G10731" s="42" t="str">
        <f>IFERROR(__xludf.DUMMYFUNCTION("""COMPUTED_VALUE"""),"Balik nama ajb")</f>
        <v>Balik nama ajb</v>
      </c>
      <c r="H10731" s="42">
        <f t="shared" si="1"/>
        <v>3345</v>
      </c>
    </row>
    <row r="10732" ht="22.5" customHeight="1">
      <c r="B10732" s="42" t="str">
        <f>IFERROR(__xludf.DUMMYFUNCTION("""COMPUTED_VALUE"""),"ABCOWQTQ")</f>
        <v>ABCOWQTQ</v>
      </c>
      <c r="C10732" s="42" t="str">
        <f>IFERROR(__xludf.DUMMYFUNCTION("""COMPUTED_VALUE"""),"M. 16580/Skb")</f>
        <v>M. 16580/Skb</v>
      </c>
      <c r="D10732" s="42"/>
      <c r="E10732" s="42"/>
      <c r="F10732" s="48" t="str">
        <f>IFERROR(__xludf.DUMMYFUNCTION("""COMPUTED_VALUE"""),"")</f>
        <v/>
      </c>
      <c r="G10732" s="42" t="str">
        <f>IFERROR(__xludf.DUMMYFUNCTION("""COMPUTED_VALUE"""),"Balik nama ajb")</f>
        <v>Balik nama ajb</v>
      </c>
      <c r="H10732" s="42">
        <f t="shared" si="1"/>
        <v>3345</v>
      </c>
    </row>
    <row r="10733" ht="22.5" customHeight="1">
      <c r="B10733" s="42" t="str">
        <f>IFERROR(__xludf.DUMMYFUNCTION("""COMPUTED_VALUE"""),"ABCUBKPD")</f>
        <v>ABCUBKPD</v>
      </c>
      <c r="C10733" s="42" t="str">
        <f>IFERROR(__xludf.DUMMYFUNCTION("""COMPUTED_VALUE"""),"M. 1777/Sukarame Baru")</f>
        <v>M. 1777/Sukarame Baru</v>
      </c>
      <c r="D10733" s="42"/>
      <c r="E10733" s="42"/>
      <c r="F10733" s="48" t="str">
        <f>IFERROR(__xludf.DUMMYFUNCTION("""COMPUTED_VALUE"""),"")</f>
        <v/>
      </c>
      <c r="G10733" s="42" t="str">
        <f>IFERROR(__xludf.DUMMYFUNCTION("""COMPUTED_VALUE"""),"Roya Hak Tanggungan")</f>
        <v>Roya Hak Tanggungan</v>
      </c>
      <c r="H10733" s="42">
        <f t="shared" si="1"/>
        <v>3345</v>
      </c>
    </row>
    <row r="10734" ht="22.5" customHeight="1">
      <c r="B10734" s="42" t="str">
        <f>IFERROR(__xludf.DUMMYFUNCTION("""COMPUTED_VALUE"""),"ABESMDNI")</f>
        <v>ABESMDNI</v>
      </c>
      <c r="C10734" s="42" t="str">
        <f>IFERROR(__xludf.DUMMYFUNCTION("""COMPUTED_VALUE"""),"NIBEL M 22933/ rajabasa raya")</f>
        <v>NIBEL M 22933/ rajabasa raya</v>
      </c>
      <c r="D10734" s="42"/>
      <c r="E10734" s="42"/>
      <c r="F10734" s="48" t="str">
        <f>IFERROR(__xludf.DUMMYFUNCTION("""COMPUTED_VALUE"""),"")</f>
        <v/>
      </c>
      <c r="G10734" s="42" t="str">
        <f>IFERROR(__xludf.DUMMYFUNCTION("""COMPUTED_VALUE"""),"BN jual beli")</f>
        <v>BN jual beli</v>
      </c>
      <c r="H10734" s="42">
        <f t="shared" si="1"/>
        <v>3345</v>
      </c>
    </row>
    <row r="10735" ht="22.5" customHeight="1">
      <c r="B10735" s="42" t="str">
        <f>IFERROR(__xludf.DUMMYFUNCTION("""COMPUTED_VALUE"""),"ABOGSVUW/AB0444")</f>
        <v>ABOGSVUW/AB0444</v>
      </c>
      <c r="C10735" s="42" t="str">
        <f>IFERROR(__xludf.DUMMYFUNCTION("""COMPUTED_VALUE"""),"M. 901/perumnas way kandis")</f>
        <v>M. 901/perumnas way kandis</v>
      </c>
      <c r="D10735" s="42"/>
      <c r="E10735" s="42"/>
      <c r="F10735" s="48" t="str">
        <f>IFERROR(__xludf.DUMMYFUNCTION("""COMPUTED_VALUE"""),"")</f>
        <v/>
      </c>
      <c r="G10735" s="42" t="str">
        <f>IFERROR(__xludf.DUMMYFUNCTION("""COMPUTED_VALUE"""),"Hapus bphtb ptsl")</f>
        <v>Hapus bphtb ptsl</v>
      </c>
      <c r="H10735" s="42">
        <f t="shared" si="1"/>
        <v>3345</v>
      </c>
    </row>
    <row r="10736" ht="22.5" customHeight="1">
      <c r="B10736" s="42" t="str">
        <f>IFERROR(__xludf.DUMMYFUNCTION("""COMPUTED_VALUE"""),"AB026/ABBFFZYW")</f>
        <v>AB026/ABBFFZYW</v>
      </c>
      <c r="C10736" s="42" t="str">
        <f>IFERROR(__xludf.DUMMYFUNCTION("""COMPUTED_VALUE"""),"08.01.000023583.0")</f>
        <v>08.01.000023583.0</v>
      </c>
      <c r="D10736" s="42"/>
      <c r="E10736" s="42"/>
      <c r="F10736" s="48" t="str">
        <f>IFERROR(__xludf.DUMMYFUNCTION("""COMPUTED_VALUE"""),"")</f>
        <v/>
      </c>
      <c r="G10736" s="42" t="str">
        <f>IFERROR(__xludf.DUMMYFUNCTION("""COMPUTED_VALUE"""),"balik nama")</f>
        <v>balik nama</v>
      </c>
      <c r="H10736" s="42">
        <f t="shared" si="1"/>
        <v>3345</v>
      </c>
    </row>
    <row r="10737" ht="22.5" customHeight="1">
      <c r="B10737" s="42" t="str">
        <f>IFERROR(__xludf.DUMMYFUNCTION("""COMPUTED_VALUE"""),"AB074")</f>
        <v>AB074</v>
      </c>
      <c r="C10737" s="42" t="str">
        <f>IFERROR(__xludf.DUMMYFUNCTION("""COMPUTED_VALUE"""),"Hm 13855, kelurahan Sukarame I")</f>
        <v>Hm 13855, kelurahan Sukarame I</v>
      </c>
      <c r="D10737" s="42"/>
      <c r="E10737" s="42"/>
      <c r="F10737" s="48" t="str">
        <f>IFERROR(__xludf.DUMMYFUNCTION("""COMPUTED_VALUE"""),"")</f>
        <v/>
      </c>
      <c r="G10737" s="42" t="str">
        <f>IFERROR(__xludf.DUMMYFUNCTION("""COMPUTED_VALUE"""),"Ganti desa (gandes)")</f>
        <v>Ganti desa (gandes)</v>
      </c>
      <c r="H10737" s="42">
        <f t="shared" si="1"/>
        <v>3345</v>
      </c>
    </row>
    <row r="10738" ht="22.5" customHeight="1">
      <c r="B10738" s="42" t="str">
        <f>IFERROR(__xludf.DUMMYFUNCTION("""COMPUTED_VALUE"""),"ABHZLWXW/AB09")</f>
        <v>ABHZLWXW/AB09</v>
      </c>
      <c r="C10738" s="42" t="str">
        <f>IFERROR(__xludf.DUMMYFUNCTION("""COMPUTED_VALUE"""),"M. 305/Suka Raja")</f>
        <v>M. 305/Suka Raja</v>
      </c>
      <c r="D10738" s="42"/>
      <c r="E10738" s="42"/>
      <c r="F10738" s="48" t="str">
        <f>IFERROR(__xludf.DUMMYFUNCTION("""COMPUTED_VALUE"""),"")</f>
        <v/>
      </c>
      <c r="G10738" s="42" t="str">
        <f>IFERROR(__xludf.DUMMYFUNCTION("""COMPUTED_VALUE"""),"BN Waris")</f>
        <v>BN Waris</v>
      </c>
      <c r="H10738" s="42">
        <f t="shared" si="1"/>
        <v>3345</v>
      </c>
    </row>
    <row r="10739" ht="22.5" customHeight="1">
      <c r="B10739" s="42" t="str">
        <f>IFERROR(__xludf.DUMMYFUNCTION("""COMPUTED_VALUE"""),"L/8/140126/1")</f>
        <v>L/8/140126/1</v>
      </c>
      <c r="C10739" s="42" t="str">
        <f>IFERROR(__xludf.DUMMYFUNCTION("""COMPUTED_VALUE"""),"B. 622/BERINGIN RAYA")</f>
        <v>B. 622/BERINGIN RAYA</v>
      </c>
      <c r="D10739" s="42"/>
      <c r="E10739" s="42"/>
      <c r="F10739" s="48" t="str">
        <f>IFERROR(__xludf.DUMMYFUNCTION("""COMPUTED_VALUE"""),"")</f>
        <v/>
      </c>
      <c r="G10739" s="42" t="str">
        <f>IFERROR(__xludf.DUMMYFUNCTION("""COMPUTED_VALUE"""),"PERMOHONAN SK HGB MATI")</f>
        <v>PERMOHONAN SK HGB MATI</v>
      </c>
      <c r="H10739" s="42">
        <f t="shared" si="1"/>
        <v>3345</v>
      </c>
    </row>
    <row r="10740" ht="22.5" customHeight="1">
      <c r="B10740" s="42" t="str">
        <f>IFERROR(__xludf.DUMMYFUNCTION("""COMPUTED_VALUE"""),"ABROIWML")</f>
        <v>ABROIWML</v>
      </c>
      <c r="C10740" s="42" t="str">
        <f>IFERROR(__xludf.DUMMYFUNCTION("""COMPUTED_VALUE"""),"M.2645. SUKBUMI")</f>
        <v>M.2645. SUKBUMI</v>
      </c>
      <c r="D10740" s="42"/>
      <c r="E10740" s="42"/>
      <c r="F10740" s="48" t="str">
        <f>IFERROR(__xludf.DUMMYFUNCTION("""COMPUTED_VALUE"""),"")</f>
        <v/>
      </c>
      <c r="G10740" s="42" t="str">
        <f>IFERROR(__xludf.DUMMYFUNCTION("""COMPUTED_VALUE"""),"BALIK NAMA WARIS")</f>
        <v>BALIK NAMA WARIS</v>
      </c>
      <c r="H10740" s="42">
        <f t="shared" si="1"/>
        <v>3345</v>
      </c>
    </row>
    <row r="10741" ht="22.5" customHeight="1">
      <c r="B10741" s="42" t="str">
        <f>IFERROR(__xludf.DUMMYFUNCTION("""COMPUTED_VALUE"""),"ABZTYKOZ")</f>
        <v>ABZTYKOZ</v>
      </c>
      <c r="C10741" s="42" t="str">
        <f>IFERROR(__xludf.DUMMYFUNCTION("""COMPUTED_VALUE"""),"M 1353/SM")</f>
        <v>M 1353/SM</v>
      </c>
      <c r="D10741" s="42"/>
      <c r="E10741" s="42"/>
      <c r="F10741" s="48" t="str">
        <f>IFERROR(__xludf.DUMMYFUNCTION("""COMPUTED_VALUE"""),"")</f>
        <v/>
      </c>
      <c r="G10741" s="42" t="str">
        <f>IFERROR(__xludf.DUMMYFUNCTION("""COMPUTED_VALUE"""),"Roya")</f>
        <v>Roya</v>
      </c>
      <c r="H10741" s="42">
        <f t="shared" si="1"/>
        <v>3345</v>
      </c>
    </row>
    <row r="10742" ht="22.5" customHeight="1">
      <c r="B10742" s="42" t="str">
        <f>IFERROR(__xludf.DUMMYFUNCTION("""COMPUTED_VALUE"""),"ABLDPBCN")</f>
        <v>ABLDPBCN</v>
      </c>
      <c r="C10742" s="42" t="str">
        <f>IFERROR(__xludf.DUMMYFUNCTION("""COMPUTED_VALUE"""),"03142 rajabasa jaya")</f>
        <v>03142 rajabasa jaya</v>
      </c>
      <c r="D10742" s="42"/>
      <c r="E10742" s="42"/>
      <c r="F10742" s="48" t="str">
        <f>IFERROR(__xludf.DUMMYFUNCTION("""COMPUTED_VALUE"""),"")</f>
        <v/>
      </c>
      <c r="G10742" s="42" t="str">
        <f>IFERROR(__xludf.DUMMYFUNCTION("""COMPUTED_VALUE"""),"Balik nama")</f>
        <v>Balik nama</v>
      </c>
      <c r="H10742" s="42">
        <f t="shared" si="1"/>
        <v>3345</v>
      </c>
    </row>
    <row r="10743" ht="22.5" customHeight="1">
      <c r="B10743" s="42" t="str">
        <f>IFERROR(__xludf.DUMMYFUNCTION("""COMPUTED_VALUE"""),"L/9/140126/1")</f>
        <v>L/9/140126/1</v>
      </c>
      <c r="C10743" s="42" t="str">
        <f>IFERROR(__xludf.DUMMYFUNCTION("""COMPUTED_VALUE"""),"B. 970/NEGERI OLOK GADING")</f>
        <v>B. 970/NEGERI OLOK GADING</v>
      </c>
      <c r="D10743" s="42"/>
      <c r="E10743" s="42"/>
      <c r="F10743" s="48" t="str">
        <f>IFERROR(__xludf.DUMMYFUNCTION("""COMPUTED_VALUE"""),"")</f>
        <v/>
      </c>
      <c r="G10743" s="42" t="str">
        <f>IFERROR(__xludf.DUMMYFUNCTION("""COMPUTED_VALUE"""),"PENINGKATAN HAK")</f>
        <v>PENINGKATAN HAK</v>
      </c>
      <c r="H10743" s="42">
        <f t="shared" si="1"/>
        <v>3345</v>
      </c>
    </row>
    <row r="10744" ht="22.5" customHeight="1">
      <c r="B10744" s="42" t="str">
        <f>IFERROR(__xludf.DUMMYFUNCTION("""COMPUTED_VALUE"""),"K/10/140126/1")</f>
        <v>K/10/140126/1</v>
      </c>
      <c r="C10744" s="42" t="str">
        <f>IFERROR(__xludf.DUMMYFUNCTION("""COMPUTED_VALUE"""),"M. 9814/SEGALA MIDER")</f>
        <v>M. 9814/SEGALA MIDER</v>
      </c>
      <c r="D10744" s="42"/>
      <c r="E10744" s="42"/>
      <c r="F10744" s="48" t="str">
        <f>IFERROR(__xludf.DUMMYFUNCTION("""COMPUTED_VALUE"""),"")</f>
        <v/>
      </c>
      <c r="G10744" s="42" t="str">
        <f>IFERROR(__xludf.DUMMYFUNCTION("""COMPUTED_VALUE"""),"PEMECAHAN")</f>
        <v>PEMECAHAN</v>
      </c>
      <c r="H10744" s="42">
        <f t="shared" si="1"/>
        <v>3345</v>
      </c>
    </row>
    <row r="10745" ht="22.5" customHeight="1">
      <c r="B10745" s="42" t="str">
        <f>IFERROR(__xludf.DUMMYFUNCTION("""COMPUTED_VALUE"""),"L/11/140126/1")</f>
        <v>L/11/140126/1</v>
      </c>
      <c r="C10745" s="42" t="str">
        <f>IFERROR(__xludf.DUMMYFUNCTION("""COMPUTED_VALUE"""),"M. 1185/KEMILING RAYA")</f>
        <v>M. 1185/KEMILING RAYA</v>
      </c>
      <c r="D10745" s="42"/>
      <c r="E10745" s="42"/>
      <c r="F10745" s="48" t="str">
        <f>IFERROR(__xludf.DUMMYFUNCTION("""COMPUTED_VALUE"""),"")</f>
        <v/>
      </c>
      <c r="G10745" s="42" t="str">
        <f>IFERROR(__xludf.DUMMYFUNCTION("""COMPUTED_VALUE"""),"ROYA")</f>
        <v>ROYA</v>
      </c>
      <c r="H10745" s="42">
        <f t="shared" si="1"/>
        <v>3345</v>
      </c>
    </row>
    <row r="10746" ht="22.5" customHeight="1">
      <c r="B10746" s="42" t="str">
        <f>IFERROR(__xludf.DUMMYFUNCTION("""COMPUTED_VALUE"""),"K/12/140126/1")</f>
        <v>K/12/140126/1</v>
      </c>
      <c r="C10746" s="42" t="str">
        <f>IFERROR(__xludf.DUMMYFUNCTION("""COMPUTED_VALUE"""),"M. 1948/BERINGIN JAYA")</f>
        <v>M. 1948/BERINGIN JAYA</v>
      </c>
      <c r="D10746" s="42"/>
      <c r="E10746" s="42"/>
      <c r="F10746" s="48" t="str">
        <f>IFERROR(__xludf.DUMMYFUNCTION("""COMPUTED_VALUE"""),"")</f>
        <v/>
      </c>
      <c r="G10746" s="42" t="str">
        <f>IFERROR(__xludf.DUMMYFUNCTION("""COMPUTED_VALUE"""),"BN WARIS CS")</f>
        <v>BN WARIS CS</v>
      </c>
      <c r="H10746" s="42">
        <f t="shared" si="1"/>
        <v>3345</v>
      </c>
    </row>
    <row r="10747" ht="22.5" customHeight="1">
      <c r="B10747" s="42" t="str">
        <f>IFERROR(__xludf.DUMMYFUNCTION("""COMPUTED_VALUE"""),"L/13/140126/1")</f>
        <v>L/13/140126/1</v>
      </c>
      <c r="C10747" s="42" t="str">
        <f>IFERROR(__xludf.DUMMYFUNCTION("""COMPUTED_VALUE"""),"M. 2691/BERINGIN RAYA")</f>
        <v>M. 2691/BERINGIN RAYA</v>
      </c>
      <c r="D10747" s="42"/>
      <c r="E10747" s="42"/>
      <c r="F10747" s="48" t="str">
        <f>IFERROR(__xludf.DUMMYFUNCTION("""COMPUTED_VALUE"""),"")</f>
        <v/>
      </c>
      <c r="G10747" s="42" t="str">
        <f>IFERROR(__xludf.DUMMYFUNCTION("""COMPUTED_VALUE"""),"ROYA")</f>
        <v>ROYA</v>
      </c>
      <c r="H10747" s="42">
        <f t="shared" si="1"/>
        <v>3345</v>
      </c>
    </row>
    <row r="10748" ht="22.5" customHeight="1">
      <c r="B10748" s="42" t="str">
        <f>IFERROR(__xludf.DUMMYFUNCTION("""COMPUTED_VALUE"""),"L/14/140126/1")</f>
        <v>L/14/140126/1</v>
      </c>
      <c r="C10748" s="42" t="str">
        <f>IFERROR(__xludf.DUMMYFUNCTION("""COMPUTED_VALUE"""),"M. 1585/SUKARAME I")</f>
        <v>M. 1585/SUKARAME I</v>
      </c>
      <c r="D10748" s="42"/>
      <c r="E10748" s="42"/>
      <c r="F10748" s="48" t="str">
        <f>IFERROR(__xludf.DUMMYFUNCTION("""COMPUTED_VALUE"""),"")</f>
        <v/>
      </c>
      <c r="G10748" s="42" t="str">
        <f>IFERROR(__xludf.DUMMYFUNCTION("""COMPUTED_VALUE"""),"ROYA")</f>
        <v>ROYA</v>
      </c>
      <c r="H10748" s="42">
        <f t="shared" si="1"/>
        <v>3345</v>
      </c>
    </row>
    <row r="10749" ht="22.5" customHeight="1">
      <c r="B10749" s="42" t="str">
        <f>IFERROR(__xludf.DUMMYFUNCTION("""COMPUTED_VALUE"""),"ABEJMKTI")</f>
        <v>ABEJMKTI</v>
      </c>
      <c r="C10749" s="42" t="str">
        <f>IFERROR(__xludf.DUMMYFUNCTION("""COMPUTED_VALUE"""),"M 1256/ kedaung")</f>
        <v>M 1256/ kedaung</v>
      </c>
      <c r="D10749" s="42"/>
      <c r="E10749" s="42"/>
      <c r="F10749" s="48" t="str">
        <f>IFERROR(__xludf.DUMMYFUNCTION("""COMPUTED_VALUE"""),"")</f>
        <v/>
      </c>
      <c r="G10749" s="42" t="str">
        <f>IFERROR(__xludf.DUMMYFUNCTION("""COMPUTED_VALUE"""),"BN")</f>
        <v>BN</v>
      </c>
      <c r="H10749" s="42">
        <f t="shared" si="1"/>
        <v>3345</v>
      </c>
    </row>
    <row r="10750" ht="22.5" customHeight="1">
      <c r="B10750" s="42" t="str">
        <f>IFERROR(__xludf.DUMMYFUNCTION("""COMPUTED_VALUE"""),"ABPXUSQK")</f>
        <v>ABPXUSQK</v>
      </c>
      <c r="C10750" s="42" t="str">
        <f>IFERROR(__xludf.DUMMYFUNCTION("""COMPUTED_VALUE"""),"m.5197/rajabasa jaya")</f>
        <v>m.5197/rajabasa jaya</v>
      </c>
      <c r="D10750" s="42"/>
      <c r="E10750" s="42"/>
      <c r="F10750" s="48" t="str">
        <f>IFERROR(__xludf.DUMMYFUNCTION("""COMPUTED_VALUE"""),"")</f>
        <v/>
      </c>
      <c r="G10750" s="42" t="str">
        <f>IFERROR(__xludf.DUMMYFUNCTION("""COMPUTED_VALUE"""),"Bn")</f>
        <v>Bn</v>
      </c>
      <c r="H10750" s="42">
        <f t="shared" si="1"/>
        <v>3345</v>
      </c>
    </row>
    <row r="10751" ht="22.5" customHeight="1">
      <c r="B10751" s="42" t="str">
        <f>IFERROR(__xludf.DUMMYFUNCTION("""COMPUTED_VALUE"""),"ABYPDOST/AB064")</f>
        <v>ABYPDOST/AB064</v>
      </c>
      <c r="C10751" s="42" t="str">
        <f>IFERROR(__xludf.DUMMYFUNCTION("""COMPUTED_VALUE"""),"M.NIBEL 23314/Sukabumi")</f>
        <v>M.NIBEL 23314/Sukabumi</v>
      </c>
      <c r="D10751" s="42"/>
      <c r="E10751" s="42"/>
      <c r="F10751" s="48" t="str">
        <f>IFERROR(__xludf.DUMMYFUNCTION("""COMPUTED_VALUE"""),"")</f>
        <v/>
      </c>
      <c r="G10751" s="42" t="str">
        <f>IFERROR(__xludf.DUMMYFUNCTION("""COMPUTED_VALUE"""),"BN Jual Beli")</f>
        <v>BN Jual Beli</v>
      </c>
      <c r="H10751" s="42">
        <f t="shared" si="1"/>
        <v>3345</v>
      </c>
    </row>
    <row r="10752" ht="22.5" customHeight="1">
      <c r="B10752" s="42" t="str">
        <f>IFERROR(__xludf.DUMMYFUNCTION("""COMPUTED_VALUE"""),"Abypweta")</f>
        <v>Abypweta</v>
      </c>
      <c r="C10752" s="42" t="str">
        <f>IFERROR(__xludf.DUMMYFUNCTION("""COMPUTED_VALUE"""),"M.12243/ kedamaian")</f>
        <v>M.12243/ kedamaian</v>
      </c>
      <c r="D10752" s="42"/>
      <c r="E10752" s="42"/>
      <c r="F10752" s="48" t="str">
        <f>IFERROR(__xludf.DUMMYFUNCTION("""COMPUTED_VALUE"""),"")</f>
        <v/>
      </c>
      <c r="G10752" s="42" t="str">
        <f>IFERROR(__xludf.DUMMYFUNCTION("""COMPUTED_VALUE"""),"Roya")</f>
        <v>Roya</v>
      </c>
      <c r="H10752" s="42">
        <f t="shared" si="1"/>
        <v>3345</v>
      </c>
    </row>
    <row r="10753" ht="22.5" customHeight="1">
      <c r="B10753" s="42" t="str">
        <f>IFERROR(__xludf.DUMMYFUNCTION("""COMPUTED_VALUE"""),"Abvausln")</f>
        <v>Abvausln</v>
      </c>
      <c r="C10753" s="42" t="str">
        <f>IFERROR(__xludf.DUMMYFUNCTION("""COMPUTED_VALUE"""),"M.749/ sukarame baru")</f>
        <v>M.749/ sukarame baru</v>
      </c>
      <c r="D10753" s="42"/>
      <c r="E10753" s="42"/>
      <c r="F10753" s="48" t="str">
        <f>IFERROR(__xludf.DUMMYFUNCTION("""COMPUTED_VALUE"""),"")</f>
        <v/>
      </c>
      <c r="G10753" s="42" t="str">
        <f>IFERROR(__xludf.DUMMYFUNCTION("""COMPUTED_VALUE"""),"Roya")</f>
        <v>Roya</v>
      </c>
      <c r="H10753" s="42">
        <f t="shared" si="1"/>
        <v>3345</v>
      </c>
    </row>
    <row r="10754" ht="22.5" customHeight="1">
      <c r="B10754" s="42" t="str">
        <f>IFERROR(__xludf.DUMMYFUNCTION("""COMPUTED_VALUE"""),"AB065/ABSUBWPK")</f>
        <v>AB065/ABSUBWPK</v>
      </c>
      <c r="C10754" s="42" t="str">
        <f>IFERROR(__xludf.DUMMYFUNCTION("""COMPUTED_VALUE"""),"m.4743/way kandis")</f>
        <v>m.4743/way kandis</v>
      </c>
      <c r="D10754" s="42"/>
      <c r="E10754" s="42"/>
      <c r="F10754" s="48" t="str">
        <f>IFERROR(__xludf.DUMMYFUNCTION("""COMPUTED_VALUE"""),"")</f>
        <v/>
      </c>
      <c r="G10754" s="42" t="str">
        <f>IFERROR(__xludf.DUMMYFUNCTION("""COMPUTED_VALUE"""),"Balik nama")</f>
        <v>Balik nama</v>
      </c>
      <c r="H10754" s="42">
        <f t="shared" si="1"/>
        <v>3345</v>
      </c>
    </row>
    <row r="10755" ht="22.5" customHeight="1">
      <c r="B10755" s="42" t="str">
        <f>IFERROR(__xludf.DUMMYFUNCTION("""COMPUTED_VALUE"""),"L/13/140126/1")</f>
        <v>L/13/140126/1</v>
      </c>
      <c r="C10755" s="42" t="str">
        <f>IFERROR(__xludf.DUMMYFUNCTION("""COMPUTED_VALUE"""),"M.1216/SUKAJAWA")</f>
        <v>M.1216/SUKAJAWA</v>
      </c>
      <c r="D10755" s="42"/>
      <c r="E10755" s="42"/>
      <c r="F10755" s="48" t="str">
        <f>IFERROR(__xludf.DUMMYFUNCTION("""COMPUTED_VALUE"""),"")</f>
        <v/>
      </c>
      <c r="G10755" s="42" t="str">
        <f>IFERROR(__xludf.DUMMYFUNCTION("""COMPUTED_VALUE"""),"PENATAAN BATAS")</f>
        <v>PENATAAN BATAS</v>
      </c>
      <c r="H10755" s="42">
        <f t="shared" si="1"/>
        <v>3345</v>
      </c>
    </row>
    <row r="10756" ht="22.5" customHeight="1">
      <c r="B10756" s="42" t="str">
        <f>IFERROR(__xludf.DUMMYFUNCTION("""COMPUTED_VALUE"""),"AB065/ABVOGPMR")</f>
        <v>AB065/ABVOGPMR</v>
      </c>
      <c r="C10756" s="42" t="str">
        <f>IFERROR(__xludf.DUMMYFUNCTION("""COMPUTED_VALUE"""),"M.04889 WAY KANDIS")</f>
        <v>M.04889 WAY KANDIS</v>
      </c>
      <c r="D10756" s="42"/>
      <c r="E10756" s="42"/>
      <c r="F10756" s="48" t="str">
        <f>IFERROR(__xludf.DUMMYFUNCTION("""COMPUTED_VALUE"""),"")</f>
        <v/>
      </c>
      <c r="G10756" s="42" t="str">
        <f>IFERROR(__xludf.DUMMYFUNCTION("""COMPUTED_VALUE"""),"Balik nama")</f>
        <v>Balik nama</v>
      </c>
      <c r="H10756" s="42">
        <f t="shared" si="1"/>
        <v>3345</v>
      </c>
    </row>
    <row r="10757" ht="22.5" customHeight="1">
      <c r="B10757" s="42" t="str">
        <f>IFERROR(__xludf.DUMMYFUNCTION("""COMPUTED_VALUE"""),"ABEWQDAA")</f>
        <v>ABEWQDAA</v>
      </c>
      <c r="C10757" s="42" t="str">
        <f>IFERROR(__xludf.DUMMYFUNCTION("""COMPUTED_VALUE"""),"M 1806/ BUMI WARAS")</f>
        <v>M 1806/ BUMI WARAS</v>
      </c>
      <c r="D10757" s="42"/>
      <c r="E10757" s="42"/>
      <c r="F10757" s="48" t="str">
        <f>IFERROR(__xludf.DUMMYFUNCTION("""COMPUTED_VALUE"""),"")</f>
        <v/>
      </c>
      <c r="G10757" s="42" t="str">
        <f>IFERROR(__xludf.DUMMYFUNCTION("""COMPUTED_VALUE"""),"BN WARIS")</f>
        <v>BN WARIS</v>
      </c>
      <c r="H10757" s="42">
        <f t="shared" si="1"/>
        <v>3345</v>
      </c>
    </row>
    <row r="10758" ht="22.5" customHeight="1">
      <c r="B10758" s="42" t="str">
        <f>IFERROR(__xludf.DUMMYFUNCTION("""COMPUTED_VALUE"""),"ABWNINBJ/AB068")</f>
        <v>ABWNINBJ/AB068</v>
      </c>
      <c r="C10758" s="42" t="str">
        <f>IFERROR(__xludf.DUMMYFUNCTION("""COMPUTED_VALUE"""),"HGB NIBEL 27255/sumur putri")</f>
        <v>HGB NIBEL 27255/sumur putri</v>
      </c>
      <c r="D10758" s="42"/>
      <c r="E10758" s="42"/>
      <c r="F10758" s="48" t="str">
        <f>IFERROR(__xludf.DUMMYFUNCTION("""COMPUTED_VALUE"""),"")</f>
        <v/>
      </c>
      <c r="G10758" s="42" t="str">
        <f>IFERROR(__xludf.DUMMYFUNCTION("""COMPUTED_VALUE"""),"Peningkatan hak milik")</f>
        <v>Peningkatan hak milik</v>
      </c>
      <c r="H10758" s="42">
        <f t="shared" si="1"/>
        <v>3345</v>
      </c>
    </row>
    <row r="10759" ht="22.5" customHeight="1">
      <c r="B10759" s="42" t="str">
        <f>IFERROR(__xludf.DUMMYFUNCTION("""COMPUTED_VALUE"""),"AB069/ABIXNTBM")</f>
        <v>AB069/ABIXNTBM</v>
      </c>
      <c r="C10759" s="42" t="str">
        <f>IFERROR(__xludf.DUMMYFUNCTION("""COMPUTED_VALUE"""),"Shm 08010000248540")</f>
        <v>Shm 08010000248540</v>
      </c>
      <c r="D10759" s="42"/>
      <c r="E10759" s="42"/>
      <c r="F10759" s="48" t="str">
        <f>IFERROR(__xludf.DUMMYFUNCTION("""COMPUTED_VALUE"""),"")</f>
        <v/>
      </c>
      <c r="G10759" s="42" t="str">
        <f>IFERROR(__xludf.DUMMYFUNCTION("""COMPUTED_VALUE"""),"Balik Nama")</f>
        <v>Balik Nama</v>
      </c>
      <c r="H10759" s="42">
        <f t="shared" si="1"/>
        <v>3345</v>
      </c>
    </row>
    <row r="10760" ht="22.5" customHeight="1">
      <c r="B10760" s="42" t="str">
        <f>IFERROR(__xludf.DUMMYFUNCTION("""COMPUTED_VALUE"""),"AB069/ABMYBGHU")</f>
        <v>AB069/ABMYBGHU</v>
      </c>
      <c r="C10760" s="42" t="str">
        <f>IFERROR(__xludf.DUMMYFUNCTION("""COMPUTED_VALUE"""),"NIBEL M 24855/ rajabasa jaya")</f>
        <v>NIBEL M 24855/ rajabasa jaya</v>
      </c>
      <c r="D10760" s="42"/>
      <c r="E10760" s="42"/>
      <c r="F10760" s="48" t="str">
        <f>IFERROR(__xludf.DUMMYFUNCTION("""COMPUTED_VALUE"""),"")</f>
        <v/>
      </c>
      <c r="G10760" s="42" t="str">
        <f>IFERROR(__xludf.DUMMYFUNCTION("""COMPUTED_VALUE"""),"Balik Nama jual beli")</f>
        <v>Balik Nama jual beli</v>
      </c>
      <c r="H10760" s="42">
        <f t="shared" si="1"/>
        <v>3345</v>
      </c>
    </row>
    <row r="10761" ht="22.5" customHeight="1">
      <c r="B10761" s="42" t="str">
        <f>IFERROR(__xludf.DUMMYFUNCTION("""COMPUTED_VALUE"""),"ABYXNACL")</f>
        <v>ABYXNACL</v>
      </c>
      <c r="C10761" s="42" t="str">
        <f>IFERROR(__xludf.DUMMYFUNCTION("""COMPUTED_VALUE"""),"NIBEL B 28818/ Teluk Betung")</f>
        <v>NIBEL B 28818/ Teluk Betung</v>
      </c>
      <c r="D10761" s="42"/>
      <c r="E10761" s="42"/>
      <c r="F10761" s="48" t="str">
        <f>IFERROR(__xludf.DUMMYFUNCTION("""COMPUTED_VALUE"""),"")</f>
        <v/>
      </c>
      <c r="G10761" s="42" t="str">
        <f>IFERROR(__xludf.DUMMYFUNCTION("""COMPUTED_VALUE"""),"1. BN Lelang ")</f>
        <v>1. BN Lelang </v>
      </c>
      <c r="H10761" s="42">
        <f t="shared" si="1"/>
        <v>3345</v>
      </c>
    </row>
    <row r="10762" ht="22.5" customHeight="1">
      <c r="B10762" s="42" t="str">
        <f>IFERROR(__xludf.DUMMYFUNCTION("""COMPUTED_VALUE"""),"ABLOCIQC")</f>
        <v>ABLOCIQC</v>
      </c>
      <c r="C10762" s="42" t="str">
        <f>IFERROR(__xludf.DUMMYFUNCTION("""COMPUTED_VALUE"""),"M 2469/ campang Raya")</f>
        <v>M 2469/ campang Raya</v>
      </c>
      <c r="D10762" s="42"/>
      <c r="E10762" s="42"/>
      <c r="F10762" s="48" t="str">
        <f>IFERROR(__xludf.DUMMYFUNCTION("""COMPUTED_VALUE"""),"")</f>
        <v/>
      </c>
      <c r="G10762" s="42" t="str">
        <f>IFERROR(__xludf.DUMMYFUNCTION("""COMPUTED_VALUE"""),"Roya")</f>
        <v>Roya</v>
      </c>
      <c r="H10762" s="42">
        <f t="shared" si="1"/>
        <v>3345</v>
      </c>
    </row>
    <row r="10763" ht="22.5" customHeight="1">
      <c r="B10763" s="42" t="str">
        <f>IFERROR(__xludf.DUMMYFUNCTION("""COMPUTED_VALUE"""),"ABWTZNIP")</f>
        <v>ABWTZNIP</v>
      </c>
      <c r="C10763" s="42">
        <f>IFERROR(__xludf.DUMMYFUNCTION("""COMPUTED_VALUE"""),2298.0)</f>
        <v>2298</v>
      </c>
      <c r="D10763" s="42"/>
      <c r="E10763" s="42"/>
      <c r="F10763" s="48" t="str">
        <f>IFERROR(__xludf.DUMMYFUNCTION("""COMPUTED_VALUE"""),"")</f>
        <v/>
      </c>
      <c r="G10763" s="42" t="str">
        <f>IFERROR(__xludf.DUMMYFUNCTION("""COMPUTED_VALUE"""),"Bn hibah")</f>
        <v>Bn hibah</v>
      </c>
      <c r="H10763" s="42">
        <f t="shared" si="1"/>
        <v>3345</v>
      </c>
    </row>
    <row r="10764" ht="22.5" customHeight="1">
      <c r="B10764" s="42" t="str">
        <f>IFERROR(__xludf.DUMMYFUNCTION("""COMPUTED_VALUE"""),"ABGSFWEB/AB053")</f>
        <v>ABGSFWEB/AB053</v>
      </c>
      <c r="C10764" s="42" t="str">
        <f>IFERROR(__xludf.DUMMYFUNCTION("""COMPUTED_VALUE"""),"M.18522/Sukarame I")</f>
        <v>M.18522/Sukarame I</v>
      </c>
      <c r="D10764" s="42"/>
      <c r="E10764" s="42"/>
      <c r="F10764" s="48" t="str">
        <f>IFERROR(__xludf.DUMMYFUNCTION("""COMPUTED_VALUE"""),"")</f>
        <v/>
      </c>
      <c r="G10764" s="42" t="str">
        <f>IFERROR(__xludf.DUMMYFUNCTION("""COMPUTED_VALUE"""),"Gandes")</f>
        <v>Gandes</v>
      </c>
      <c r="H10764" s="42">
        <f t="shared" si="1"/>
        <v>3345</v>
      </c>
    </row>
    <row r="10765" ht="22.5" customHeight="1">
      <c r="B10765" s="42" t="str">
        <f>IFERROR(__xludf.DUMMYFUNCTION("""COMPUTED_VALUE"""),"K/1/150126/1")</f>
        <v>K/1/150126/1</v>
      </c>
      <c r="C10765" s="42" t="str">
        <f>IFERROR(__xludf.DUMMYFUNCTION("""COMPUTED_VALUE"""),"M. 1156/WAY HALIM PERMAI")</f>
        <v>M. 1156/WAY HALIM PERMAI</v>
      </c>
      <c r="D10765" s="42"/>
      <c r="E10765" s="42"/>
      <c r="F10765" s="48" t="str">
        <f>IFERROR(__xludf.DUMMYFUNCTION("""COMPUTED_VALUE"""),"")</f>
        <v/>
      </c>
      <c r="G10765" s="42" t="str">
        <f>IFERROR(__xludf.DUMMYFUNCTION("""COMPUTED_VALUE"""),"SKPT LELANG")</f>
        <v>SKPT LELANG</v>
      </c>
      <c r="H10765" s="42">
        <f t="shared" si="1"/>
        <v>3345</v>
      </c>
    </row>
    <row r="10766" ht="22.5" customHeight="1">
      <c r="B10766" s="42" t="str">
        <f>IFERROR(__xludf.DUMMYFUNCTION("""COMPUTED_VALUE"""),"ABNPZFYK/Ab020")</f>
        <v>ABNPZFYK/Ab020</v>
      </c>
      <c r="C10766" s="42" t="str">
        <f>IFERROR(__xludf.DUMMYFUNCTION("""COMPUTED_VALUE"""),"M. 752/nog")</f>
        <v>M. 752/nog</v>
      </c>
      <c r="D10766" s="42"/>
      <c r="E10766" s="42"/>
      <c r="F10766" s="48" t="str">
        <f>IFERROR(__xludf.DUMMYFUNCTION("""COMPUTED_VALUE"""),"")</f>
        <v/>
      </c>
      <c r="G10766" s="42" t="str">
        <f>IFERROR(__xludf.DUMMYFUNCTION("""COMPUTED_VALUE"""),"Marger")</f>
        <v>Marger</v>
      </c>
      <c r="H10766" s="42">
        <f t="shared" si="1"/>
        <v>3345</v>
      </c>
    </row>
    <row r="10767" ht="22.5" customHeight="1">
      <c r="B10767" s="42" t="str">
        <f>IFERROR(__xludf.DUMMYFUNCTION("""COMPUTED_VALUE"""),"AB063/ABUVDMKR")</f>
        <v>AB063/ABUVDMKR</v>
      </c>
      <c r="C10767" s="42" t="str">
        <f>IFERROR(__xludf.DUMMYFUNCTION("""COMPUTED_VALUE"""),"Shm 08010000248450")</f>
        <v>Shm 08010000248450</v>
      </c>
      <c r="D10767" s="42"/>
      <c r="E10767" s="42"/>
      <c r="F10767" s="48" t="str">
        <f>IFERROR(__xludf.DUMMYFUNCTION("""COMPUTED_VALUE"""),"")</f>
        <v/>
      </c>
      <c r="G10767" s="42" t="str">
        <f>IFERROR(__xludf.DUMMYFUNCTION("""COMPUTED_VALUE"""),"Balik Nama")</f>
        <v>Balik Nama</v>
      </c>
      <c r="H10767" s="42">
        <f t="shared" si="1"/>
        <v>3345</v>
      </c>
    </row>
    <row r="10768" ht="22.5" customHeight="1">
      <c r="B10768" s="42" t="str">
        <f>IFERROR(__xludf.DUMMYFUNCTION("""COMPUTED_VALUE"""),"ABCEWYPU")</f>
        <v>ABCEWYPU</v>
      </c>
      <c r="C10768" s="42" t="str">
        <f>IFERROR(__xludf.DUMMYFUNCTION("""COMPUTED_VALUE"""),"11964/L.R")</f>
        <v>11964/L.R</v>
      </c>
      <c r="D10768" s="42"/>
      <c r="E10768" s="42"/>
      <c r="F10768" s="48" t="str">
        <f>IFERROR(__xludf.DUMMYFUNCTION("""COMPUTED_VALUE"""),"")</f>
        <v/>
      </c>
      <c r="G10768" s="42" t="str">
        <f>IFERROR(__xludf.DUMMYFUNCTION("""COMPUTED_VALUE"""),"Roya")</f>
        <v>Roya</v>
      </c>
      <c r="H10768" s="42">
        <f t="shared" si="1"/>
        <v>3345</v>
      </c>
    </row>
    <row r="10769" ht="22.5" customHeight="1">
      <c r="B10769" s="42" t="str">
        <f>IFERROR(__xludf.DUMMYFUNCTION("""COMPUTED_VALUE"""),"ABEAAMNU")</f>
        <v>ABEAAMNU</v>
      </c>
      <c r="C10769" s="42" t="str">
        <f>IFERROR(__xludf.DUMMYFUNCTION("""COMPUTED_VALUE"""),"M 587/ PECOH RAYA")</f>
        <v>M 587/ PECOH RAYA</v>
      </c>
      <c r="D10769" s="42"/>
      <c r="E10769" s="42"/>
      <c r="F10769" s="48" t="str">
        <f>IFERROR(__xludf.DUMMYFUNCTION("""COMPUTED_VALUE"""),"")</f>
        <v/>
      </c>
      <c r="G10769" s="42" t="str">
        <f>IFERROR(__xludf.DUMMYFUNCTION("""COMPUTED_VALUE"""),"roya")</f>
        <v>roya</v>
      </c>
      <c r="H10769" s="42">
        <f t="shared" si="1"/>
        <v>3345</v>
      </c>
    </row>
    <row r="10770" ht="22.5" customHeight="1">
      <c r="B10770" s="42" t="str">
        <f>IFERROR(__xludf.DUMMYFUNCTION("""COMPUTED_VALUE"""),"K/2/150126/1")</f>
        <v>K/2/150126/1</v>
      </c>
      <c r="C10770" s="42" t="str">
        <f>IFERROR(__xludf.DUMMYFUNCTION("""COMPUTED_VALUE"""),"M. 454/LABUHAN DALAM")</f>
        <v>M. 454/LABUHAN DALAM</v>
      </c>
      <c r="D10770" s="42"/>
      <c r="E10770" s="42"/>
      <c r="F10770" s="48" t="str">
        <f>IFERROR(__xludf.DUMMYFUNCTION("""COMPUTED_VALUE"""),"")</f>
        <v/>
      </c>
      <c r="G10770" s="42" t="str">
        <f>IFERROR(__xludf.DUMMYFUNCTION("""COMPUTED_VALUE"""),"SKPT INFORMASI")</f>
        <v>SKPT INFORMASI</v>
      </c>
      <c r="H10770" s="42">
        <f t="shared" si="1"/>
        <v>3345</v>
      </c>
    </row>
    <row r="10771" ht="22.5" customHeight="1">
      <c r="B10771" s="42" t="str">
        <f>IFERROR(__xludf.DUMMYFUNCTION("""COMPUTED_VALUE"""),"K/3/150126/1")</f>
        <v>K/3/150126/1</v>
      </c>
      <c r="C10771" s="42" t="str">
        <f>IFERROR(__xludf.DUMMYFUNCTION("""COMPUTED_VALUE"""),"NIBEL M. 27362/KETAPANG")</f>
        <v>NIBEL M. 27362/KETAPANG</v>
      </c>
      <c r="D10771" s="42"/>
      <c r="E10771" s="42"/>
      <c r="F10771" s="48" t="str">
        <f>IFERROR(__xludf.DUMMYFUNCTION("""COMPUTED_VALUE"""),"")</f>
        <v/>
      </c>
      <c r="G10771" s="42" t="str">
        <f>IFERROR(__xludf.DUMMYFUNCTION("""COMPUTED_VALUE"""),"BN LELANG")</f>
        <v>BN LELANG</v>
      </c>
      <c r="H10771" s="42">
        <f t="shared" si="1"/>
        <v>3345</v>
      </c>
    </row>
    <row r="10772" ht="22.5" customHeight="1">
      <c r="B10772" s="42" t="str">
        <f>IFERROR(__xludf.DUMMYFUNCTION("""COMPUTED_VALUE"""),"-")</f>
        <v>-</v>
      </c>
      <c r="C10772" s="42" t="str">
        <f>IFERROR(__xludf.DUMMYFUNCTION("""COMPUTED_VALUE"""),"M 2852/Sukabumi")</f>
        <v>M 2852/Sukabumi</v>
      </c>
      <c r="D10772" s="42"/>
      <c r="E10772" s="42"/>
      <c r="F10772" s="48" t="str">
        <f>IFERROR(__xludf.DUMMYFUNCTION("""COMPUTED_VALUE"""),"")</f>
        <v/>
      </c>
      <c r="G10772" s="42" t="str">
        <f>IFERROR(__xludf.DUMMYFUNCTION("""COMPUTED_VALUE"""),"Ganti Kelurahan")</f>
        <v>Ganti Kelurahan</v>
      </c>
      <c r="H10772" s="42">
        <f t="shared" si="1"/>
        <v>3345</v>
      </c>
    </row>
    <row r="10773" ht="22.5" customHeight="1">
      <c r="B10773" s="42" t="str">
        <f>IFERROR(__xludf.DUMMYFUNCTION("""COMPUTED_VALUE"""),"L/15/140126/1")</f>
        <v>L/15/140126/1</v>
      </c>
      <c r="C10773" s="42" t="str">
        <f>IFERROR(__xludf.DUMMYFUNCTION("""COMPUTED_VALUE"""),"M.1216/SUKAJAWA")</f>
        <v>M.1216/SUKAJAWA</v>
      </c>
      <c r="D10773" s="42"/>
      <c r="E10773" s="42"/>
      <c r="F10773" s="48" t="str">
        <f>IFERROR(__xludf.DUMMYFUNCTION("""COMPUTED_VALUE"""),"")</f>
        <v/>
      </c>
      <c r="G10773" s="42" t="str">
        <f>IFERROR(__xludf.DUMMYFUNCTION("""COMPUTED_VALUE"""),"PENATAAN BATAS")</f>
        <v>PENATAAN BATAS</v>
      </c>
      <c r="H10773" s="42">
        <f t="shared" si="1"/>
        <v>3345</v>
      </c>
    </row>
    <row r="10774" ht="22.5" customHeight="1">
      <c r="B10774" s="42" t="str">
        <f>IFERROR(__xludf.DUMMYFUNCTION("""COMPUTED_VALUE"""),"L/5/150126/1")</f>
        <v>L/5/150126/1</v>
      </c>
      <c r="C10774" s="42" t="str">
        <f>IFERROR(__xludf.DUMMYFUNCTION("""COMPUTED_VALUE"""),"M. 1346/BUMI WARAS")</f>
        <v>M. 1346/BUMI WARAS</v>
      </c>
      <c r="D10774" s="42"/>
      <c r="E10774" s="42"/>
      <c r="F10774" s="48" t="str">
        <f>IFERROR(__xludf.DUMMYFUNCTION("""COMPUTED_VALUE"""),"")</f>
        <v/>
      </c>
      <c r="G10774" s="42" t="str">
        <f>IFERROR(__xludf.DUMMYFUNCTION("""COMPUTED_VALUE"""),"ROYA")</f>
        <v>ROYA</v>
      </c>
      <c r="H10774" s="42">
        <f t="shared" si="1"/>
        <v>3345</v>
      </c>
    </row>
    <row r="10775" ht="22.5" customHeight="1">
      <c r="B10775" s="42" t="str">
        <f>IFERROR(__xludf.DUMMYFUNCTION("""COMPUTED_VALUE"""),"AB068/ABLEDSWX")</f>
        <v>AB068/ABLEDSWX</v>
      </c>
      <c r="C10775" s="42" t="str">
        <f>IFERROR(__xludf.DUMMYFUNCTION("""COMPUTED_VALUE"""),"Nibel 28983 Way Halim Permai")</f>
        <v>Nibel 28983 Way Halim Permai</v>
      </c>
      <c r="D10775" s="42"/>
      <c r="E10775" s="42"/>
      <c r="F10775" s="48" t="str">
        <f>IFERROR(__xludf.DUMMYFUNCTION("""COMPUTED_VALUE"""),"")</f>
        <v/>
      </c>
      <c r="G10775" s="42" t="str">
        <f>IFERROR(__xludf.DUMMYFUNCTION("""COMPUTED_VALUE"""),"Balik Nama")</f>
        <v>Balik Nama</v>
      </c>
      <c r="H10775" s="42">
        <f t="shared" si="1"/>
        <v>3345</v>
      </c>
    </row>
    <row r="10776" ht="22.5" customHeight="1">
      <c r="B10776" s="42">
        <f>IFERROR(__xludf.DUMMYFUNCTION("""COMPUTED_VALUE"""),68.0)</f>
        <v>68</v>
      </c>
      <c r="C10776" s="42" t="str">
        <f>IFERROR(__xludf.DUMMYFUNCTION("""COMPUTED_VALUE"""),"Nibel 27993")</f>
        <v>Nibel 27993</v>
      </c>
      <c r="D10776" s="42"/>
      <c r="E10776" s="42"/>
      <c r="F10776" s="48" t="str">
        <f>IFERROR(__xludf.DUMMYFUNCTION("""COMPUTED_VALUE"""),"")</f>
        <v/>
      </c>
      <c r="G10776" s="42" t="str">
        <f>IFERROR(__xludf.DUMMYFUNCTION("""COMPUTED_VALUE"""),"Balik Nama")</f>
        <v>Balik Nama</v>
      </c>
      <c r="H10776" s="42">
        <f t="shared" si="1"/>
        <v>3345</v>
      </c>
    </row>
    <row r="10777" ht="22.5" customHeight="1">
      <c r="B10777" s="42" t="str">
        <f>IFERROR(__xludf.DUMMYFUNCTION("""COMPUTED_VALUE"""),"L/6/150126/1")</f>
        <v>L/6/150126/1</v>
      </c>
      <c r="C10777" s="42" t="str">
        <f>IFERROR(__xludf.DUMMYFUNCTION("""COMPUTED_VALUE"""),"M. 4084/WAY KANDIS")</f>
        <v>M. 4084/WAY KANDIS</v>
      </c>
      <c r="D10777" s="42"/>
      <c r="E10777" s="42"/>
      <c r="F10777" s="48" t="str">
        <f>IFERROR(__xludf.DUMMYFUNCTION("""COMPUTED_VALUE"""),"")</f>
        <v/>
      </c>
      <c r="G10777" s="42" t="str">
        <f>IFERROR(__xludf.DUMMYFUNCTION("""COMPUTED_VALUE"""),"PTPGT PEMECAHAN")</f>
        <v>PTPGT PEMECAHAN</v>
      </c>
      <c r="H10777" s="42">
        <f t="shared" si="1"/>
        <v>3345</v>
      </c>
    </row>
    <row r="10778" ht="22.5" customHeight="1">
      <c r="B10778" s="42" t="str">
        <f>IFERROR(__xludf.DUMMYFUNCTION("""COMPUTED_VALUE"""),"L/7/150126/1")</f>
        <v>L/7/150126/1</v>
      </c>
      <c r="C10778" s="42" t="str">
        <f>IFERROR(__xludf.DUMMYFUNCTION("""COMPUTED_VALUE"""),"B NIB. 28175/CAMPANG JAYA")</f>
        <v>B NIB. 28175/CAMPANG JAYA</v>
      </c>
      <c r="D10778" s="42"/>
      <c r="E10778" s="42"/>
      <c r="F10778" s="48" t="str">
        <f>IFERROR(__xludf.DUMMYFUNCTION("""COMPUTED_VALUE"""),"")</f>
        <v/>
      </c>
      <c r="G10778" s="42" t="str">
        <f>IFERROR(__xludf.DUMMYFUNCTION("""COMPUTED_VALUE"""),"PENINGKATAN HAK")</f>
        <v>PENINGKATAN HAK</v>
      </c>
      <c r="H10778" s="42">
        <f t="shared" si="1"/>
        <v>3345</v>
      </c>
    </row>
    <row r="10779" ht="22.5" customHeight="1">
      <c r="B10779" s="42" t="str">
        <f>IFERROR(__xludf.DUMMYFUNCTION("""COMPUTED_VALUE"""),"L/8/150126/1")</f>
        <v>L/8/150126/1</v>
      </c>
      <c r="C10779" s="42" t="str">
        <f>IFERROR(__xludf.DUMMYFUNCTION("""COMPUTED_VALUE"""),"M. 3682/TANJUNG SENENG")</f>
        <v>M. 3682/TANJUNG SENENG</v>
      </c>
      <c r="D10779" s="42"/>
      <c r="E10779" s="42"/>
      <c r="F10779" s="48" t="str">
        <f>IFERROR(__xludf.DUMMYFUNCTION("""COMPUTED_VALUE"""),"")</f>
        <v/>
      </c>
      <c r="G10779" s="42" t="str">
        <f>IFERROR(__xludf.DUMMYFUNCTION("""COMPUTED_VALUE"""),"M. 3682/TANJUNG SENENG")</f>
        <v>M. 3682/TANJUNG SENENG</v>
      </c>
      <c r="H10779" s="42">
        <f t="shared" si="1"/>
        <v>3345</v>
      </c>
    </row>
    <row r="10780" ht="22.5" customHeight="1">
      <c r="B10780" s="42" t="str">
        <f>IFERROR(__xludf.DUMMYFUNCTION("""COMPUTED_VALUE"""),"L/9/150126/1")</f>
        <v>L/9/150126/1</v>
      </c>
      <c r="C10780" s="42" t="str">
        <f>IFERROR(__xludf.DUMMYFUNCTION("""COMPUTED_VALUE"""),"M. 13587/RAJABASA")</f>
        <v>M. 13587/RAJABASA</v>
      </c>
      <c r="D10780" s="42"/>
      <c r="E10780" s="42"/>
      <c r="F10780" s="48" t="str">
        <f>IFERROR(__xludf.DUMMYFUNCTION("""COMPUTED_VALUE"""),"")</f>
        <v/>
      </c>
      <c r="G10780" s="42" t="str">
        <f>IFERROR(__xludf.DUMMYFUNCTION("""COMPUTED_VALUE"""),"ROYA")</f>
        <v>ROYA</v>
      </c>
      <c r="H10780" s="42">
        <f t="shared" si="1"/>
        <v>3345</v>
      </c>
    </row>
    <row r="10781" ht="22.5" customHeight="1">
      <c r="B10781" s="42" t="str">
        <f>IFERROR(__xludf.DUMMYFUNCTION("""COMPUTED_VALUE"""),"ABHDWPAN/AB069")</f>
        <v>ABHDWPAN/AB069</v>
      </c>
      <c r="C10781" s="42" t="str">
        <f>IFERROR(__xludf.DUMMYFUNCTION("""COMPUTED_VALUE"""),"M 472/Kali Balau Kencana")</f>
        <v>M 472/Kali Balau Kencana</v>
      </c>
      <c r="D10781" s="42"/>
      <c r="E10781" s="42"/>
      <c r="F10781" s="48" t="str">
        <f>IFERROR(__xludf.DUMMYFUNCTION("""COMPUTED_VALUE"""),"")</f>
        <v/>
      </c>
      <c r="G10781" s="42" t="str">
        <f>IFERROR(__xludf.DUMMYFUNCTION("""COMPUTED_VALUE"""),"Balik Nama")</f>
        <v>Balik Nama</v>
      </c>
      <c r="H10781" s="42">
        <f t="shared" si="1"/>
        <v>3345</v>
      </c>
    </row>
    <row r="10782" ht="22.5" customHeight="1">
      <c r="B10782" s="42" t="str">
        <f>IFERROR(__xludf.DUMMYFUNCTION("""COMPUTED_VALUE"""),"ABSXJSHV")</f>
        <v>ABSXJSHV</v>
      </c>
      <c r="C10782" s="42" t="str">
        <f>IFERROR(__xludf.DUMMYFUNCTION("""COMPUTED_VALUE"""),"M 6220/ WAY KANDIS")</f>
        <v>M 6220/ WAY KANDIS</v>
      </c>
      <c r="D10782" s="42"/>
      <c r="E10782" s="42"/>
      <c r="F10782" s="48" t="str">
        <f>IFERROR(__xludf.DUMMYFUNCTION("""COMPUTED_VALUE"""),"")</f>
        <v/>
      </c>
      <c r="G10782" s="42" t="str">
        <f>IFERROR(__xludf.DUMMYFUNCTION("""COMPUTED_VALUE"""),"Peralihan hak")</f>
        <v>Peralihan hak</v>
      </c>
      <c r="H10782" s="42">
        <f t="shared" si="1"/>
        <v>3345</v>
      </c>
    </row>
    <row r="10783" ht="22.5" customHeight="1">
      <c r="B10783" s="42" t="str">
        <f>IFERROR(__xludf.DUMMYFUNCTION("""COMPUTED_VALUE"""),"ABSQWDBK/AB069")</f>
        <v>ABSQWDBK/AB069</v>
      </c>
      <c r="C10783" s="42" t="str">
        <f>IFERROR(__xludf.DUMMYFUNCTION("""COMPUTED_VALUE"""),"M 2034/ Kali Balau Kencana")</f>
        <v>M 2034/ Kali Balau Kencana</v>
      </c>
      <c r="D10783" s="42"/>
      <c r="E10783" s="42"/>
      <c r="F10783" s="48" t="str">
        <f>IFERROR(__xludf.DUMMYFUNCTION("""COMPUTED_VALUE"""),"")</f>
        <v/>
      </c>
      <c r="G10783" s="42" t="str">
        <f>IFERROR(__xludf.DUMMYFUNCTION("""COMPUTED_VALUE"""),"Balik Nama")</f>
        <v>Balik Nama</v>
      </c>
      <c r="H10783" s="42">
        <f t="shared" si="1"/>
        <v>3345</v>
      </c>
    </row>
    <row r="10784" ht="22.5" customHeight="1">
      <c r="B10784" s="42" t="str">
        <f>IFERROR(__xludf.DUMMYFUNCTION("""COMPUTED_VALUE"""),"ABAIUAEP")</f>
        <v>ABAIUAEP</v>
      </c>
      <c r="C10784" s="42" t="str">
        <f>IFERROR(__xludf.DUMMYFUNCTION("""COMPUTED_VALUE"""),"M 6239/ WAY KANDIS")</f>
        <v>M 6239/ WAY KANDIS</v>
      </c>
      <c r="D10784" s="42"/>
      <c r="E10784" s="42"/>
      <c r="F10784" s="48" t="str">
        <f>IFERROR(__xludf.DUMMYFUNCTION("""COMPUTED_VALUE"""),"")</f>
        <v/>
      </c>
      <c r="G10784" s="42" t="str">
        <f>IFERROR(__xludf.DUMMYFUNCTION("""COMPUTED_VALUE"""),"Peralihan Hak")</f>
        <v>Peralihan Hak</v>
      </c>
      <c r="H10784" s="42">
        <f t="shared" si="1"/>
        <v>3345</v>
      </c>
    </row>
    <row r="10785" ht="22.5" customHeight="1">
      <c r="B10785" s="42" t="str">
        <f>IFERROR(__xludf.DUMMYFUNCTION("""COMPUTED_VALUE"""),"ABNINZEJ")</f>
        <v>ABNINZEJ</v>
      </c>
      <c r="C10785" s="42" t="str">
        <f>IFERROR(__xludf.DUMMYFUNCTION("""COMPUTED_VALUE"""),"M 6234/ WAY KANDIS")</f>
        <v>M 6234/ WAY KANDIS</v>
      </c>
      <c r="D10785" s="42"/>
      <c r="E10785" s="42"/>
      <c r="F10785" s="48" t="str">
        <f>IFERROR(__xludf.DUMMYFUNCTION("""COMPUTED_VALUE"""),"")</f>
        <v/>
      </c>
      <c r="G10785" s="42" t="str">
        <f>IFERROR(__xludf.DUMMYFUNCTION("""COMPUTED_VALUE"""),"Peralihan hak")</f>
        <v>Peralihan hak</v>
      </c>
      <c r="H10785" s="42">
        <f t="shared" si="1"/>
        <v>3345</v>
      </c>
    </row>
    <row r="10786" ht="22.5" customHeight="1">
      <c r="B10786" s="42" t="str">
        <f>IFERROR(__xludf.DUMMYFUNCTION("""COMPUTED_VALUE"""),"ABHOTPEW/AB042")</f>
        <v>ABHOTPEW/AB042</v>
      </c>
      <c r="C10786" s="42" t="str">
        <f>IFERROR(__xludf.DUMMYFUNCTION("""COMPUTED_VALUE"""),"M. 13970/Tanjung Baru")</f>
        <v>M. 13970/Tanjung Baru</v>
      </c>
      <c r="D10786" s="42"/>
      <c r="E10786" s="42"/>
      <c r="F10786" s="48" t="str">
        <f>IFERROR(__xludf.DUMMYFUNCTION("""COMPUTED_VALUE"""),"")</f>
        <v/>
      </c>
      <c r="G10786" s="42" t="str">
        <f>IFERROR(__xludf.DUMMYFUNCTION("""COMPUTED_VALUE"""),"Peralihan hak Jual Beli")</f>
        <v>Peralihan hak Jual Beli</v>
      </c>
      <c r="H10786" s="42">
        <f t="shared" si="1"/>
        <v>3345</v>
      </c>
    </row>
    <row r="10787" ht="22.5" customHeight="1">
      <c r="B10787" s="42" t="str">
        <f>IFERROR(__xludf.DUMMYFUNCTION("""COMPUTED_VALUE"""),"ABKJAPUT")</f>
        <v>ABKJAPUT</v>
      </c>
      <c r="C10787" s="42" t="str">
        <f>IFERROR(__xludf.DUMMYFUNCTION("""COMPUTED_VALUE"""),"M 6238/ WAY KANDIS")</f>
        <v>M 6238/ WAY KANDIS</v>
      </c>
      <c r="D10787" s="42"/>
      <c r="E10787" s="42"/>
      <c r="F10787" s="48" t="str">
        <f>IFERROR(__xludf.DUMMYFUNCTION("""COMPUTED_VALUE"""),"")</f>
        <v/>
      </c>
      <c r="G10787" s="42" t="str">
        <f>IFERROR(__xludf.DUMMYFUNCTION("""COMPUTED_VALUE"""),"Peralihan hak")</f>
        <v>Peralihan hak</v>
      </c>
      <c r="H10787" s="42">
        <f t="shared" si="1"/>
        <v>3345</v>
      </c>
    </row>
    <row r="10788" ht="22.5" customHeight="1">
      <c r="B10788" s="42" t="str">
        <f>IFERROR(__xludf.DUMMYFUNCTION("""COMPUTED_VALUE"""),"ABCJNUNU/AB042")</f>
        <v>ABCJNUNU/AB042</v>
      </c>
      <c r="C10788" s="42" t="str">
        <f>IFERROR(__xludf.DUMMYFUNCTION("""COMPUTED_VALUE"""),"M. NIBEL 22334/Way Kandis")</f>
        <v>M. NIBEL 22334/Way Kandis</v>
      </c>
      <c r="D10788" s="42"/>
      <c r="E10788" s="42"/>
      <c r="F10788" s="48" t="str">
        <f>IFERROR(__xludf.DUMMYFUNCTION("""COMPUTED_VALUE"""),"")</f>
        <v/>
      </c>
      <c r="G10788" s="42" t="str">
        <f>IFERROR(__xludf.DUMMYFUNCTION("""COMPUTED_VALUE"""),"Peralihan Hak Waris")</f>
        <v>Peralihan Hak Waris</v>
      </c>
      <c r="H10788" s="42">
        <f t="shared" si="1"/>
        <v>3345</v>
      </c>
    </row>
    <row r="10789" ht="22.5" customHeight="1">
      <c r="B10789" s="42" t="str">
        <f>IFERROR(__xludf.DUMMYFUNCTION("""COMPUTED_VALUE"""),"K/10/150126/1")</f>
        <v>K/10/150126/1</v>
      </c>
      <c r="C10789" s="42" t="str">
        <f>IFERROR(__xludf.DUMMYFUNCTION("""COMPUTED_VALUE"""),"M. 380/KORPRI RAYA")</f>
        <v>M. 380/KORPRI RAYA</v>
      </c>
      <c r="D10789" s="42"/>
      <c r="E10789" s="42"/>
      <c r="F10789" s="48" t="str">
        <f>IFERROR(__xludf.DUMMYFUNCTION("""COMPUTED_VALUE"""),"")</f>
        <v/>
      </c>
      <c r="G10789" s="42" t="str">
        <f>IFERROR(__xludf.DUMMYFUNCTION("""COMPUTED_VALUE"""),"SKPT LELANG")</f>
        <v>SKPT LELANG</v>
      </c>
      <c r="H10789" s="42">
        <f t="shared" si="1"/>
        <v>3345</v>
      </c>
    </row>
    <row r="10790" ht="22.5" customHeight="1">
      <c r="B10790" s="42" t="str">
        <f>IFERROR(__xludf.DUMMYFUNCTION("""COMPUTED_VALUE"""),"ABBIPHAP")</f>
        <v>ABBIPHAP</v>
      </c>
      <c r="C10790" s="42" t="str">
        <f>IFERROR(__xludf.DUMMYFUNCTION("""COMPUTED_VALUE"""),"M 6236/ way kandis")</f>
        <v>M 6236/ way kandis</v>
      </c>
      <c r="D10790" s="42"/>
      <c r="E10790" s="42"/>
      <c r="F10790" s="48" t="str">
        <f>IFERROR(__xludf.DUMMYFUNCTION("""COMPUTED_VALUE"""),"")</f>
        <v/>
      </c>
      <c r="G10790" s="42" t="str">
        <f>IFERROR(__xludf.DUMMYFUNCTION("""COMPUTED_VALUE"""),"Peralihan Hak")</f>
        <v>Peralihan Hak</v>
      </c>
      <c r="H10790" s="42">
        <f t="shared" si="1"/>
        <v>3345</v>
      </c>
    </row>
    <row r="10791" ht="22.5" customHeight="1">
      <c r="B10791" s="42" t="str">
        <f>IFERROR(__xludf.DUMMYFUNCTION("""COMPUTED_VALUE"""),"ABSWFRDP/AB042")</f>
        <v>ABSWFRDP/AB042</v>
      </c>
      <c r="C10791" s="42" t="str">
        <f>IFERROR(__xludf.DUMMYFUNCTION("""COMPUTED_VALUE"""),"M. 2429/Labuhan Dalam")</f>
        <v>M. 2429/Labuhan Dalam</v>
      </c>
      <c r="D10791" s="42"/>
      <c r="E10791" s="42"/>
      <c r="F10791" s="48" t="str">
        <f>IFERROR(__xludf.DUMMYFUNCTION("""COMPUTED_VALUE"""),"")</f>
        <v/>
      </c>
      <c r="G10791" s="42" t="str">
        <f>IFERROR(__xludf.DUMMYFUNCTION("""COMPUTED_VALUE"""),"Peralihan Hak")</f>
        <v>Peralihan Hak</v>
      </c>
      <c r="H10791" s="42">
        <f t="shared" si="1"/>
        <v>3345</v>
      </c>
    </row>
    <row r="10792" ht="22.5" customHeight="1">
      <c r="B10792" s="42" t="str">
        <f>IFERROR(__xludf.DUMMYFUNCTION("""COMPUTED_VALUE"""),"K/11/150126/1")</f>
        <v>K/11/150126/1</v>
      </c>
      <c r="C10792" s="42" t="str">
        <f>IFERROR(__xludf.DUMMYFUNCTION("""COMPUTED_VALUE"""),"M. 5584/RAJABASA JAYA")</f>
        <v>M. 5584/RAJABASA JAYA</v>
      </c>
      <c r="D10792" s="42"/>
      <c r="E10792" s="42"/>
      <c r="F10792" s="48" t="str">
        <f>IFERROR(__xludf.DUMMYFUNCTION("""COMPUTED_VALUE"""),"")</f>
        <v/>
      </c>
      <c r="G10792" s="42" t="str">
        <f>IFERROR(__xludf.DUMMYFUNCTION("""COMPUTED_VALUE"""),"PTPGT PECAH")</f>
        <v>PTPGT PECAH</v>
      </c>
      <c r="H10792" s="42">
        <f t="shared" si="1"/>
        <v>3345</v>
      </c>
    </row>
    <row r="10793" ht="22.5" customHeight="1">
      <c r="B10793" s="42" t="str">
        <f>IFERROR(__xludf.DUMMYFUNCTION("""COMPUTED_VALUE"""),"L/13/150126/1")</f>
        <v>L/13/150126/1</v>
      </c>
      <c r="C10793" s="42" t="str">
        <f>IFERROR(__xludf.DUMMYFUNCTION("""COMPUTED_VALUE"""),"M. NIB 18216/SIDODADI")</f>
        <v>M. NIB 18216/SIDODADI</v>
      </c>
      <c r="D10793" s="42"/>
      <c r="E10793" s="42"/>
      <c r="F10793" s="48" t="str">
        <f>IFERROR(__xludf.DUMMYFUNCTION("""COMPUTED_VALUE"""),"")</f>
        <v/>
      </c>
      <c r="G10793" s="42" t="str">
        <f>IFERROR(__xludf.DUMMYFUNCTION("""COMPUTED_VALUE"""),"BN LELANG")</f>
        <v>BN LELANG</v>
      </c>
      <c r="H10793" s="42">
        <f t="shared" si="1"/>
        <v>3345</v>
      </c>
    </row>
    <row r="10794" ht="22.5" customHeight="1">
      <c r="B10794" s="42" t="str">
        <f>IFERROR(__xludf.DUMMYFUNCTION("""COMPUTED_VALUE"""),"L/14/150126/1")</f>
        <v>L/14/150126/1</v>
      </c>
      <c r="C10794" s="42" t="str">
        <f>IFERROR(__xludf.DUMMYFUNCTION("""COMPUTED_VALUE"""),"M. 1130/BERINGIN JAYA")</f>
        <v>M. 1130/BERINGIN JAYA</v>
      </c>
      <c r="D10794" s="42"/>
      <c r="E10794" s="42"/>
      <c r="F10794" s="48" t="str">
        <f>IFERROR(__xludf.DUMMYFUNCTION("""COMPUTED_VALUE"""),"")</f>
        <v/>
      </c>
      <c r="G10794" s="42" t="str">
        <f>IFERROR(__xludf.DUMMYFUNCTION("""COMPUTED_VALUE"""),"WAKAF")</f>
        <v>WAKAF</v>
      </c>
      <c r="H10794" s="42">
        <f t="shared" si="1"/>
        <v>3345</v>
      </c>
    </row>
    <row r="10795" ht="22.5" customHeight="1">
      <c r="B10795" s="42" t="str">
        <f>IFERROR(__xludf.DUMMYFUNCTION("""COMPUTED_VALUE"""),"ABXREVWT")</f>
        <v>ABXREVWT</v>
      </c>
      <c r="C10795" s="42" t="str">
        <f>IFERROR(__xludf.DUMMYFUNCTION("""COMPUTED_VALUE"""),"M 2014/ PANJANG UTARA")</f>
        <v>M 2014/ PANJANG UTARA</v>
      </c>
      <c r="D10795" s="42"/>
      <c r="E10795" s="42"/>
      <c r="F10795" s="48" t="str">
        <f>IFERROR(__xludf.DUMMYFUNCTION("""COMPUTED_VALUE"""),"")</f>
        <v/>
      </c>
      <c r="G10795" s="42" t="str">
        <f>IFERROR(__xludf.DUMMYFUNCTION("""COMPUTED_VALUE"""),"BN PHB")</f>
        <v>BN PHB</v>
      </c>
      <c r="H10795" s="42">
        <f t="shared" si="1"/>
        <v>3345</v>
      </c>
    </row>
    <row r="10796" ht="22.5" customHeight="1">
      <c r="B10796" s="42" t="str">
        <f>IFERROR(__xludf.DUMMYFUNCTION("""COMPUTED_VALUE"""),"ABJRAETT")</f>
        <v>ABJRAETT</v>
      </c>
      <c r="C10796" s="42" t="str">
        <f>IFERROR(__xludf.DUMMYFUNCTION("""COMPUTED_VALUE"""),"08.01.000017804.0")</f>
        <v>08.01.000017804.0</v>
      </c>
      <c r="D10796" s="42"/>
      <c r="E10796" s="42"/>
      <c r="F10796" s="48" t="str">
        <f>IFERROR(__xludf.DUMMYFUNCTION("""COMPUTED_VALUE"""),"")</f>
        <v/>
      </c>
      <c r="G10796" s="42" t="str">
        <f>IFERROR(__xludf.DUMMYFUNCTION("""COMPUTED_VALUE"""),"Balik Nama")</f>
        <v>Balik Nama</v>
      </c>
      <c r="H10796" s="42">
        <f t="shared" si="1"/>
        <v>3345</v>
      </c>
    </row>
    <row r="10797" ht="22.5" customHeight="1">
      <c r="B10797" s="42" t="str">
        <f>IFERROR(__xludf.DUMMYFUNCTION("""COMPUTED_VALUE"""),"ABMJCDLD")</f>
        <v>ABMJCDLD</v>
      </c>
      <c r="C10797" s="42" t="str">
        <f>IFERROR(__xludf.DUMMYFUNCTION("""COMPUTED_VALUE"""),"B.902/Kemiling Permai")</f>
        <v>B.902/Kemiling Permai</v>
      </c>
      <c r="D10797" s="42"/>
      <c r="E10797" s="42"/>
      <c r="F10797" s="48" t="str">
        <f>IFERROR(__xludf.DUMMYFUNCTION("""COMPUTED_VALUE"""),"")</f>
        <v/>
      </c>
      <c r="G10797" s="42" t="str">
        <f>IFERROR(__xludf.DUMMYFUNCTION("""COMPUTED_VALUE"""),"BN")</f>
        <v>BN</v>
      </c>
      <c r="H10797" s="42">
        <f t="shared" si="1"/>
        <v>3345</v>
      </c>
    </row>
    <row r="10798" ht="22.5" customHeight="1">
      <c r="B10798" s="42" t="str">
        <f>IFERROR(__xludf.DUMMYFUNCTION("""COMPUTED_VALUE"""),"ABTBNRFR/1")</f>
        <v>ABTBNRFR/1</v>
      </c>
      <c r="C10798" s="42" t="str">
        <f>IFERROR(__xludf.DUMMYFUNCTION("""COMPUTED_VALUE"""),"Nibel 28546/Beringin Raya")</f>
        <v>Nibel 28546/Beringin Raya</v>
      </c>
      <c r="D10798" s="42"/>
      <c r="E10798" s="42"/>
      <c r="F10798" s="48" t="str">
        <f>IFERROR(__xludf.DUMMYFUNCTION("""COMPUTED_VALUE"""),"")</f>
        <v/>
      </c>
      <c r="G10798" s="42" t="str">
        <f>IFERROR(__xludf.DUMMYFUNCTION("""COMPUTED_VALUE"""),"Balik Nama Hibah")</f>
        <v>Balik Nama Hibah</v>
      </c>
      <c r="H10798" s="42">
        <f t="shared" si="1"/>
        <v>3345</v>
      </c>
    </row>
    <row r="10799" ht="22.5" customHeight="1">
      <c r="B10799" s="42" t="str">
        <f>IFERROR(__xludf.DUMMYFUNCTION("""COMPUTED_VALUE"""),"ABEBFKJN/1")</f>
        <v>ABEBFKJN/1</v>
      </c>
      <c r="C10799" s="42" t="str">
        <f>IFERROR(__xludf.DUMMYFUNCTION("""COMPUTED_VALUE"""),"08.01.000028702.0")</f>
        <v>08.01.000028702.0</v>
      </c>
      <c r="D10799" s="42"/>
      <c r="E10799" s="42"/>
      <c r="F10799" s="48" t="str">
        <f>IFERROR(__xludf.DUMMYFUNCTION("""COMPUTED_VALUE"""),"")</f>
        <v/>
      </c>
      <c r="G10799" s="42" t="str">
        <f>IFERROR(__xludf.DUMMYFUNCTION("""COMPUTED_VALUE"""),"Perubahan hak")</f>
        <v>Perubahan hak</v>
      </c>
      <c r="H10799" s="42">
        <f t="shared" si="1"/>
        <v>3345</v>
      </c>
    </row>
    <row r="10800" ht="22.5" customHeight="1">
      <c r="B10800" s="42" t="str">
        <f>IFERROR(__xludf.DUMMYFUNCTION("""COMPUTED_VALUE"""),"ABQEHVGF/AB017")</f>
        <v>ABQEHVGF/AB017</v>
      </c>
      <c r="C10800" s="42" t="str">
        <f>IFERROR(__xludf.DUMMYFUNCTION("""COMPUTED_VALUE"""),"M Nibel 19406/bumi kedamaian")</f>
        <v>M Nibel 19406/bumi kedamaian</v>
      </c>
      <c r="D10800" s="42"/>
      <c r="E10800" s="42"/>
      <c r="F10800" s="48" t="str">
        <f>IFERROR(__xludf.DUMMYFUNCTION("""COMPUTED_VALUE"""),"")</f>
        <v/>
      </c>
      <c r="G10800" s="42" t="str">
        <f>IFERROR(__xludf.DUMMYFUNCTION("""COMPUTED_VALUE"""),"Balik Nama Jual Beli ")</f>
        <v>Balik Nama Jual Beli </v>
      </c>
      <c r="H10800" s="42">
        <f t="shared" si="1"/>
        <v>3345</v>
      </c>
    </row>
    <row r="10801" ht="22.5" customHeight="1">
      <c r="B10801" s="42" t="str">
        <f>IFERROR(__xludf.DUMMYFUNCTION("""COMPUTED_VALUE"""),"ABMKGWQG")</f>
        <v>ABMKGWQG</v>
      </c>
      <c r="C10801" s="42" t="str">
        <f>IFERROR(__xludf.DUMMYFUNCTION("""COMPUTED_VALUE"""),"Shm 08010000183950")</f>
        <v>Shm 08010000183950</v>
      </c>
      <c r="D10801" s="42"/>
      <c r="E10801" s="42"/>
      <c r="F10801" s="48" t="str">
        <f>IFERROR(__xludf.DUMMYFUNCTION("""COMPUTED_VALUE"""),"")</f>
        <v/>
      </c>
      <c r="G10801" s="42" t="str">
        <f>IFERROR(__xludf.DUMMYFUNCTION("""COMPUTED_VALUE"""),"Balik Nama Jual Beli ")</f>
        <v>Balik Nama Jual Beli </v>
      </c>
      <c r="H10801" s="42">
        <f t="shared" si="1"/>
        <v>3345</v>
      </c>
    </row>
    <row r="10802" ht="22.5" customHeight="1">
      <c r="B10802" s="42" t="str">
        <f>IFERROR(__xludf.DUMMYFUNCTION("""COMPUTED_VALUE"""),"K/12/150126/1")</f>
        <v>K/12/150126/1</v>
      </c>
      <c r="C10802" s="42" t="str">
        <f>IFERROR(__xludf.DUMMYFUNCTION("""COMPUTED_VALUE"""),"M. 730/PEWATA")</f>
        <v>M. 730/PEWATA</v>
      </c>
      <c r="D10802" s="42"/>
      <c r="E10802" s="42"/>
      <c r="F10802" s="48" t="str">
        <f>IFERROR(__xludf.DUMMYFUNCTION("""COMPUTED_VALUE"""),"")</f>
        <v/>
      </c>
      <c r="G10802" s="42" t="str">
        <f>IFERROR(__xludf.DUMMYFUNCTION("""COMPUTED_VALUE"""),"SKPT LELANG")</f>
        <v>SKPT LELANG</v>
      </c>
      <c r="H10802" s="42">
        <f t="shared" si="1"/>
        <v>3345</v>
      </c>
    </row>
    <row r="10803" ht="22.5" customHeight="1">
      <c r="B10803" s="42">
        <f>IFERROR(__xludf.DUMMYFUNCTION("""COMPUTED_VALUE"""),54.0)</f>
        <v>54</v>
      </c>
      <c r="C10803" s="42" t="str">
        <f>IFERROR(__xludf.DUMMYFUNCTION("""COMPUTED_VALUE"""),"Nibel. ")</f>
        <v>Nibel. </v>
      </c>
      <c r="D10803" s="42"/>
      <c r="E10803" s="42"/>
      <c r="F10803" s="48" t="str">
        <f>IFERROR(__xludf.DUMMYFUNCTION("""COMPUTED_VALUE"""),"")</f>
        <v/>
      </c>
      <c r="G10803" s="42" t="str">
        <f>IFERROR(__xludf.DUMMYFUNCTION("""COMPUTED_VALUE"""),"Balik nama")</f>
        <v>Balik nama</v>
      </c>
      <c r="H10803" s="42">
        <f t="shared" si="1"/>
        <v>3345</v>
      </c>
    </row>
    <row r="10804" ht="22.5" customHeight="1">
      <c r="B10804" s="42" t="str">
        <f>IFERROR(__xludf.DUMMYFUNCTION("""COMPUTED_VALUE"""),"ABLFYENO/AB054")</f>
        <v>ABLFYENO/AB054</v>
      </c>
      <c r="C10804" s="42" t="str">
        <f>IFERROR(__xludf.DUMMYFUNCTION("""COMPUTED_VALUE"""),"B. Nibel. 27465/Perumnas Way Kandis")</f>
        <v>B. Nibel. 27465/Perumnas Way Kandis</v>
      </c>
      <c r="D10804" s="42"/>
      <c r="E10804" s="42"/>
      <c r="F10804" s="48" t="str">
        <f>IFERROR(__xludf.DUMMYFUNCTION("""COMPUTED_VALUE"""),"")</f>
        <v/>
      </c>
      <c r="G10804" s="42" t="str">
        <f>IFERROR(__xludf.DUMMYFUNCTION("""COMPUTED_VALUE"""),"Balik Nama Jual Beli ")</f>
        <v>Balik Nama Jual Beli </v>
      </c>
      <c r="H10804" s="42">
        <f t="shared" si="1"/>
        <v>3345</v>
      </c>
    </row>
    <row r="10805" ht="22.5" customHeight="1">
      <c r="B10805" s="42">
        <f>IFERROR(__xludf.DUMMYFUNCTION("""COMPUTED_VALUE"""),54.0)</f>
        <v>54</v>
      </c>
      <c r="C10805" s="42" t="str">
        <f>IFERROR(__xludf.DUMMYFUNCTION("""COMPUTED_VALUE"""),"Nibel. ")</f>
        <v>Nibel. </v>
      </c>
      <c r="D10805" s="42"/>
      <c r="E10805" s="42"/>
      <c r="F10805" s="48" t="str">
        <f>IFERROR(__xludf.DUMMYFUNCTION("""COMPUTED_VALUE"""),"")</f>
        <v/>
      </c>
      <c r="G10805" s="42" t="str">
        <f>IFERROR(__xludf.DUMMYFUNCTION("""COMPUTED_VALUE"""),"Balik nama")</f>
        <v>Balik nama</v>
      </c>
      <c r="H10805" s="42">
        <f t="shared" si="1"/>
        <v>3345</v>
      </c>
    </row>
    <row r="10806" ht="22.5" customHeight="1">
      <c r="B10806" s="42" t="str">
        <f>IFERROR(__xludf.DUMMYFUNCTION("""COMPUTED_VALUE"""),"K/1/190126/1")</f>
        <v>K/1/190126/1</v>
      </c>
      <c r="C10806" s="42" t="str">
        <f>IFERROR(__xludf.DUMMYFUNCTION("""COMPUTED_VALUE"""),"NIBEL M. 28277/SUKAMENANTI BARU")</f>
        <v>NIBEL M. 28277/SUKAMENANTI BARU</v>
      </c>
      <c r="D10806" s="42"/>
      <c r="E10806" s="42"/>
      <c r="F10806" s="48" t="str">
        <f>IFERROR(__xludf.DUMMYFUNCTION("""COMPUTED_VALUE"""),"")</f>
        <v/>
      </c>
      <c r="G10806" s="42" t="str">
        <f>IFERROR(__xludf.DUMMYFUNCTION("""COMPUTED_VALUE"""),"PEMECAHAN")</f>
        <v>PEMECAHAN</v>
      </c>
      <c r="H10806" s="42">
        <f t="shared" si="1"/>
        <v>3345</v>
      </c>
    </row>
    <row r="10807" ht="22.5" customHeight="1">
      <c r="B10807" s="42" t="str">
        <f>IFERROR(__xludf.DUMMYFUNCTION("""COMPUTED_VALUE"""),"ABHQLSLO")</f>
        <v>ABHQLSLO</v>
      </c>
      <c r="C10807" s="42" t="str">
        <f>IFERROR(__xludf.DUMMYFUNCTION("""COMPUTED_VALUE"""),"NIBEL M 19550/ LABUHAN DALAM")</f>
        <v>NIBEL M 19550/ LABUHAN DALAM</v>
      </c>
      <c r="D10807" s="42"/>
      <c r="E10807" s="42"/>
      <c r="F10807" s="48" t="str">
        <f>IFERROR(__xludf.DUMMYFUNCTION("""COMPUTED_VALUE"""),"")</f>
        <v/>
      </c>
      <c r="G10807" s="42" t="str">
        <f>IFERROR(__xludf.DUMMYFUNCTION("""COMPUTED_VALUE"""),"Balik nama")</f>
        <v>Balik nama</v>
      </c>
      <c r="H10807" s="42">
        <f t="shared" si="1"/>
        <v>3345</v>
      </c>
    </row>
    <row r="10808" ht="22.5" customHeight="1">
      <c r="B10808" s="42" t="str">
        <f>IFERROR(__xludf.DUMMYFUNCTION("""COMPUTED_VALUE"""),"K/2/190126/1")</f>
        <v>K/2/190126/1</v>
      </c>
      <c r="C10808" s="42" t="str">
        <f>IFERROR(__xludf.DUMMYFUNCTION("""COMPUTED_VALUE"""),"M.418/CAMPANG JAYA")</f>
        <v>M.418/CAMPANG JAYA</v>
      </c>
      <c r="D10808" s="42"/>
      <c r="E10808" s="42"/>
      <c r="F10808" s="48" t="str">
        <f>IFERROR(__xludf.DUMMYFUNCTION("""COMPUTED_VALUE"""),"")</f>
        <v/>
      </c>
      <c r="G10808" s="42" t="str">
        <f>IFERROR(__xludf.DUMMYFUNCTION("""COMPUTED_VALUE"""),"PTPGT PEMECAHAN")</f>
        <v>PTPGT PEMECAHAN</v>
      </c>
      <c r="H10808" s="42">
        <f t="shared" si="1"/>
        <v>3345</v>
      </c>
    </row>
    <row r="10809" ht="22.5" customHeight="1">
      <c r="B10809" s="42" t="str">
        <f>IFERROR(__xludf.DUMMYFUNCTION("""COMPUTED_VALUE"""),"K/3/190126/1")</f>
        <v>K/3/190126/1</v>
      </c>
      <c r="C10809" s="42" t="str">
        <f>IFERROR(__xludf.DUMMYFUNCTION("""COMPUTED_VALUE"""),"PBT. 263/2025 WAY KANDIS")</f>
        <v>PBT. 263/2025 WAY KANDIS</v>
      </c>
      <c r="D10809" s="42"/>
      <c r="E10809" s="42"/>
      <c r="F10809" s="48" t="str">
        <f>IFERROR(__xludf.DUMMYFUNCTION("""COMPUTED_VALUE"""),"")</f>
        <v/>
      </c>
      <c r="G10809" s="42" t="str">
        <f>IFERROR(__xludf.DUMMYFUNCTION("""COMPUTED_VALUE"""),"PTPGT PERTAMA KALI")</f>
        <v>PTPGT PERTAMA KALI</v>
      </c>
      <c r="H10809" s="42">
        <f t="shared" si="1"/>
        <v>3345</v>
      </c>
    </row>
    <row r="10810" ht="22.5" customHeight="1">
      <c r="B10810" s="42" t="str">
        <f>IFERROR(__xludf.DUMMYFUNCTION("""COMPUTED_VALUE"""),"ABFZPAFB")</f>
        <v>ABFZPAFB</v>
      </c>
      <c r="C10810" s="42" t="str">
        <f>IFERROR(__xludf.DUMMYFUNCTION("""COMPUTED_VALUE"""),"M.3621")</f>
        <v>M.3621</v>
      </c>
      <c r="D10810" s="42"/>
      <c r="E10810" s="42"/>
      <c r="F10810" s="48" t="str">
        <f>IFERROR(__xludf.DUMMYFUNCTION("""COMPUTED_VALUE"""),"")</f>
        <v/>
      </c>
      <c r="G10810" s="42" t="str">
        <f>IFERROR(__xludf.DUMMYFUNCTION("""COMPUTED_VALUE"""),"Bn jual beli")</f>
        <v>Bn jual beli</v>
      </c>
      <c r="H10810" s="42">
        <f t="shared" si="1"/>
        <v>3345</v>
      </c>
    </row>
    <row r="10811" ht="22.5" customHeight="1">
      <c r="B10811" s="42" t="str">
        <f>IFERROR(__xludf.DUMMYFUNCTION("""COMPUTED_VALUE"""),"ABQFKUTX/AB059")</f>
        <v>ABQFKUTX/AB059</v>
      </c>
      <c r="C10811" s="42" t="str">
        <f>IFERROR(__xludf.DUMMYFUNCTION("""COMPUTED_VALUE"""),"m. 2503/Kota Baru")</f>
        <v>m. 2503/Kota Baru</v>
      </c>
      <c r="D10811" s="42"/>
      <c r="E10811" s="42"/>
      <c r="F10811" s="48" t="str">
        <f>IFERROR(__xludf.DUMMYFUNCTION("""COMPUTED_VALUE"""),"")</f>
        <v/>
      </c>
      <c r="G10811" s="42" t="str">
        <f>IFERROR(__xludf.DUMMYFUNCTION("""COMPUTED_VALUE"""),"BN Waris")</f>
        <v>BN Waris</v>
      </c>
      <c r="H10811" s="42">
        <f t="shared" si="1"/>
        <v>3345</v>
      </c>
    </row>
    <row r="10812" ht="22.5" customHeight="1">
      <c r="B10812" s="42" t="str">
        <f>IFERROR(__xludf.DUMMYFUNCTION("""COMPUTED_VALUE"""),"L/4/190126/1")</f>
        <v>L/4/190126/1</v>
      </c>
      <c r="C10812" s="42" t="str">
        <f>IFERROR(__xludf.DUMMYFUNCTION("""COMPUTED_VALUE"""),"NIBEL M 29108/PELITA")</f>
        <v>NIBEL M 29108/PELITA</v>
      </c>
      <c r="D10812" s="42"/>
      <c r="E10812" s="42"/>
      <c r="F10812" s="48" t="str">
        <f>IFERROR(__xludf.DUMMYFUNCTION("""COMPUTED_VALUE"""),"")</f>
        <v/>
      </c>
      <c r="G10812" s="42" t="str">
        <f>IFERROR(__xludf.DUMMYFUNCTION("""COMPUTED_VALUE"""),"WARIS")</f>
        <v>WARIS</v>
      </c>
      <c r="H10812" s="42">
        <f t="shared" si="1"/>
        <v>3345</v>
      </c>
    </row>
    <row r="10813" ht="22.5" customHeight="1">
      <c r="B10813" s="42" t="str">
        <f>IFERROR(__xludf.DUMMYFUNCTION("""COMPUTED_VALUE"""),"L/5/190126/1")</f>
        <v>L/5/190126/1</v>
      </c>
      <c r="C10813" s="42" t="str">
        <f>IFERROR(__xludf.DUMMYFUNCTION("""COMPUTED_VALUE"""),"M.3286/KETEGUHAN")</f>
        <v>M.3286/KETEGUHAN</v>
      </c>
      <c r="D10813" s="42"/>
      <c r="E10813" s="42"/>
      <c r="F10813" s="48" t="str">
        <f>IFERROR(__xludf.DUMMYFUNCTION("""COMPUTED_VALUE"""),"")</f>
        <v/>
      </c>
      <c r="G10813" s="42" t="str">
        <f>IFERROR(__xludf.DUMMYFUNCTION("""COMPUTED_VALUE"""),"GANTI BLANGKO")</f>
        <v>GANTI BLANGKO</v>
      </c>
      <c r="H10813" s="42">
        <f t="shared" si="1"/>
        <v>3345</v>
      </c>
    </row>
    <row r="10814" ht="22.5" customHeight="1">
      <c r="B10814" s="42" t="str">
        <f>IFERROR(__xludf.DUMMYFUNCTION("""COMPUTED_VALUE"""),"L/6/190126/1")</f>
        <v>L/6/190126/1</v>
      </c>
      <c r="C10814" s="42" t="str">
        <f>IFERROR(__xludf.DUMMYFUNCTION("""COMPUTED_VALUE"""),"B.116/KAMPUNG BARU RAYA")</f>
        <v>B.116/KAMPUNG BARU RAYA</v>
      </c>
      <c r="D10814" s="42"/>
      <c r="E10814" s="42"/>
      <c r="F10814" s="48" t="str">
        <f>IFERROR(__xludf.DUMMYFUNCTION("""COMPUTED_VALUE"""),"")</f>
        <v/>
      </c>
      <c r="G10814" s="42" t="str">
        <f>IFERROR(__xludf.DUMMYFUNCTION("""COMPUTED_VALUE"""),"PENINGKATAN HAK ")</f>
        <v>PENINGKATAN HAK </v>
      </c>
      <c r="H10814" s="42">
        <f t="shared" si="1"/>
        <v>3345</v>
      </c>
    </row>
    <row r="10815" ht="22.5" customHeight="1">
      <c r="B10815" s="42" t="str">
        <f>IFERROR(__xludf.DUMMYFUNCTION("""COMPUTED_VALUE"""),"L/7/190126/1")</f>
        <v>L/7/190126/1</v>
      </c>
      <c r="C10815" s="42" t="str">
        <f>IFERROR(__xludf.DUMMYFUNCTION("""COMPUTED_VALUE"""),"NIBEL M 19334/BUMI KEDAMAIAN")</f>
        <v>NIBEL M 19334/BUMI KEDAMAIAN</v>
      </c>
      <c r="D10815" s="42"/>
      <c r="E10815" s="42"/>
      <c r="F10815" s="48" t="str">
        <f>IFERROR(__xludf.DUMMYFUNCTION("""COMPUTED_VALUE"""),"")</f>
        <v/>
      </c>
      <c r="G10815" s="42" t="str">
        <f>IFERROR(__xludf.DUMMYFUNCTION("""COMPUTED_VALUE"""),"PTPGT")</f>
        <v>PTPGT</v>
      </c>
      <c r="H10815" s="42">
        <f t="shared" si="1"/>
        <v>3345</v>
      </c>
    </row>
    <row r="10816" ht="22.5" customHeight="1">
      <c r="B10816" s="42" t="str">
        <f>IFERROR(__xludf.DUMMYFUNCTION("""COMPUTED_VALUE"""),"ABHIXPJA")</f>
        <v>ABHIXPJA</v>
      </c>
      <c r="C10816" s="42" t="str">
        <f>IFERROR(__xludf.DUMMYFUNCTION("""COMPUTED_VALUE"""),"M.2184/Su.H/Sukadana Ham")</f>
        <v>M.2184/Su.H/Sukadana Ham</v>
      </c>
      <c r="D10816" s="42"/>
      <c r="E10816" s="42"/>
      <c r="F10816" s="48" t="str">
        <f>IFERROR(__xludf.DUMMYFUNCTION("""COMPUTED_VALUE"""),"")</f>
        <v/>
      </c>
      <c r="G10816" s="42" t="str">
        <f>IFERROR(__xludf.DUMMYFUNCTION("""COMPUTED_VALUE"""),"BN jual beli ")</f>
        <v>BN jual beli </v>
      </c>
      <c r="H10816" s="42">
        <f t="shared" si="1"/>
        <v>3345</v>
      </c>
    </row>
    <row r="10817" ht="22.5" customHeight="1">
      <c r="B10817" s="42" t="str">
        <f>IFERROR(__xludf.DUMMYFUNCTION("""COMPUTED_VALUE"""),"L/9/190126/1")</f>
        <v>L/9/190126/1</v>
      </c>
      <c r="C10817" s="42" t="str">
        <f>IFERROR(__xludf.DUMMYFUNCTION("""COMPUTED_VALUE"""),"NIBEL B.19149/GUNUNG SULAH")</f>
        <v>NIBEL B.19149/GUNUNG SULAH</v>
      </c>
      <c r="D10817" s="42"/>
      <c r="E10817" s="42"/>
      <c r="F10817" s="48" t="str">
        <f>IFERROR(__xludf.DUMMYFUNCTION("""COMPUTED_VALUE"""),"")</f>
        <v/>
      </c>
      <c r="G10817" s="42" t="str">
        <f>IFERROR(__xludf.DUMMYFUNCTION("""COMPUTED_VALUE"""),"GANTI NAMA ")</f>
        <v>GANTI NAMA </v>
      </c>
      <c r="H10817" s="42">
        <f t="shared" si="1"/>
        <v>3345</v>
      </c>
    </row>
    <row r="10818" ht="22.5" customHeight="1">
      <c r="B10818" s="42" t="str">
        <f>IFERROR(__xludf.DUMMYFUNCTION("""COMPUTED_VALUE"""),"L/10/190126/1")</f>
        <v>L/10/190126/1</v>
      </c>
      <c r="C10818" s="42" t="str">
        <f>IFERROR(__xludf.DUMMYFUNCTION("""COMPUTED_VALUE"""),"B.4180/SUKABUMI")</f>
        <v>B.4180/SUKABUMI</v>
      </c>
      <c r="D10818" s="42"/>
      <c r="E10818" s="42"/>
      <c r="F10818" s="48" t="str">
        <f>IFERROR(__xludf.DUMMYFUNCTION("""COMPUTED_VALUE"""),"")</f>
        <v/>
      </c>
      <c r="G10818" s="42" t="str">
        <f>IFERROR(__xludf.DUMMYFUNCTION("""COMPUTED_VALUE"""),"PENONGKATAN HAK")</f>
        <v>PENONGKATAN HAK</v>
      </c>
      <c r="H10818" s="42">
        <f t="shared" si="1"/>
        <v>3345</v>
      </c>
    </row>
    <row r="10819" ht="22.5" customHeight="1">
      <c r="B10819" s="42" t="str">
        <f>IFERROR(__xludf.DUMMYFUNCTION("""COMPUTED_VALUE"""),"L/11/190126/1")</f>
        <v>L/11/190126/1</v>
      </c>
      <c r="C10819" s="42" t="str">
        <f>IFERROR(__xludf.DUMMYFUNCTION("""COMPUTED_VALUE"""),"NIBEL B 28673/CAMPANG RAYA")</f>
        <v>NIBEL B 28673/CAMPANG RAYA</v>
      </c>
      <c r="D10819" s="42"/>
      <c r="E10819" s="42"/>
      <c r="F10819" s="48" t="str">
        <f>IFERROR(__xludf.DUMMYFUNCTION("""COMPUTED_VALUE"""),"")</f>
        <v/>
      </c>
      <c r="G10819" s="42" t="str">
        <f>IFERROR(__xludf.DUMMYFUNCTION("""COMPUTED_VALUE"""),"PENINGKATAN HAK")</f>
        <v>PENINGKATAN HAK</v>
      </c>
      <c r="H10819" s="42">
        <f t="shared" si="1"/>
        <v>3345</v>
      </c>
    </row>
    <row r="10820" ht="22.5" customHeight="1">
      <c r="B10820" s="42" t="str">
        <f>IFERROR(__xludf.DUMMYFUNCTION("""COMPUTED_VALUE"""),"ABMZBREU/AB058")</f>
        <v>ABMZBREU/AB058</v>
      </c>
      <c r="C10820" s="42" t="str">
        <f>IFERROR(__xludf.DUMMYFUNCTION("""COMPUTED_VALUE"""),"M. NIBEL 26166/Gedong Meneng")</f>
        <v>M. NIBEL 26166/Gedong Meneng</v>
      </c>
      <c r="D10820" s="42"/>
      <c r="E10820" s="42"/>
      <c r="F10820" s="48" t="str">
        <f>IFERROR(__xludf.DUMMYFUNCTION("""COMPUTED_VALUE"""),"")</f>
        <v/>
      </c>
      <c r="G10820" s="42" t="str">
        <f>IFERROR(__xludf.DUMMYFUNCTION("""COMPUTED_VALUE"""),"BN Hibah")</f>
        <v>BN Hibah</v>
      </c>
      <c r="H10820" s="42">
        <f t="shared" si="1"/>
        <v>3345</v>
      </c>
    </row>
    <row r="10821" ht="22.5" customHeight="1">
      <c r="B10821" s="42" t="str">
        <f>IFERROR(__xludf.DUMMYFUNCTION("""COMPUTED_VALUE"""),"Abmizahr")</f>
        <v>Abmizahr</v>
      </c>
      <c r="C10821" s="42" t="str">
        <f>IFERROR(__xludf.DUMMYFUNCTION("""COMPUTED_VALUE"""),"M 2045/ WAY KANDIS")</f>
        <v>M 2045/ WAY KANDIS</v>
      </c>
      <c r="D10821" s="42"/>
      <c r="E10821" s="42"/>
      <c r="F10821" s="48" t="str">
        <f>IFERROR(__xludf.DUMMYFUNCTION("""COMPUTED_VALUE"""),"")</f>
        <v/>
      </c>
      <c r="G10821" s="42" t="str">
        <f>IFERROR(__xludf.DUMMYFUNCTION("""COMPUTED_VALUE"""),"Roya")</f>
        <v>Roya</v>
      </c>
      <c r="H10821" s="42">
        <f t="shared" si="1"/>
        <v>3345</v>
      </c>
    </row>
    <row r="10822" ht="22.5" customHeight="1">
      <c r="B10822" s="42" t="str">
        <f>IFERROR(__xludf.DUMMYFUNCTION("""COMPUTED_VALUE"""),"Abrjmszn")</f>
        <v>Abrjmszn</v>
      </c>
      <c r="C10822" s="42" t="str">
        <f>IFERROR(__xludf.DUMMYFUNCTION("""COMPUTED_VALUE"""),"M 1812/ Rajabasa jaya")</f>
        <v>M 1812/ Rajabasa jaya</v>
      </c>
      <c r="D10822" s="42"/>
      <c r="E10822" s="42"/>
      <c r="F10822" s="48" t="str">
        <f>IFERROR(__xludf.DUMMYFUNCTION("""COMPUTED_VALUE"""),"")</f>
        <v/>
      </c>
      <c r="G10822" s="42" t="str">
        <f>IFERROR(__xludf.DUMMYFUNCTION("""COMPUTED_VALUE"""),"BN JUAL BELI")</f>
        <v>BN JUAL BELI</v>
      </c>
      <c r="H10822" s="42">
        <f t="shared" si="1"/>
        <v>3345</v>
      </c>
    </row>
    <row r="10823" ht="22.5" customHeight="1">
      <c r="B10823" s="42" t="str">
        <f>IFERROR(__xludf.DUMMYFUNCTION("""COMPUTED_VALUE"""),"ABYQRQWA/AB062")</f>
        <v>ABYQRQWA/AB062</v>
      </c>
      <c r="C10823" s="42" t="str">
        <f>IFERROR(__xludf.DUMMYFUNCTION("""COMPUTED_VALUE"""),"B. NIBEL. 17348/SURABAYA")</f>
        <v>B. NIBEL. 17348/SURABAYA</v>
      </c>
      <c r="D10823" s="42"/>
      <c r="E10823" s="42"/>
      <c r="F10823" s="48" t="str">
        <f>IFERROR(__xludf.DUMMYFUNCTION("""COMPUTED_VALUE"""),"")</f>
        <v/>
      </c>
      <c r="G10823" s="42" t="str">
        <f>IFERROR(__xludf.DUMMYFUNCTION("""COMPUTED_VALUE"""),"BN JUAL BELI")</f>
        <v>BN JUAL BELI</v>
      </c>
      <c r="H10823" s="42">
        <f t="shared" si="1"/>
        <v>3345</v>
      </c>
    </row>
    <row r="10824" ht="22.5" customHeight="1">
      <c r="B10824" s="42" t="str">
        <f>IFERROR(__xludf.DUMMYFUNCTION("""COMPUTED_VALUE"""),"Abmiguqd")</f>
        <v>Abmiguqd</v>
      </c>
      <c r="C10824" s="42" t="str">
        <f>IFERROR(__xludf.DUMMYFUNCTION("""COMPUTED_VALUE"""),"M 3627/ way kandis")</f>
        <v>M 3627/ way kandis</v>
      </c>
      <c r="D10824" s="42"/>
      <c r="E10824" s="42"/>
      <c r="F10824" s="48" t="str">
        <f>IFERROR(__xludf.DUMMYFUNCTION("""COMPUTED_VALUE"""),"")</f>
        <v/>
      </c>
      <c r="G10824" s="42" t="str">
        <f>IFERROR(__xludf.DUMMYFUNCTION("""COMPUTED_VALUE"""),"BN JUAL BELI")</f>
        <v>BN JUAL BELI</v>
      </c>
      <c r="H10824" s="42">
        <f t="shared" si="1"/>
        <v>3345</v>
      </c>
    </row>
    <row r="10825" ht="22.5" customHeight="1">
      <c r="B10825" s="42" t="str">
        <f>IFERROR(__xludf.DUMMYFUNCTION("""COMPUTED_VALUE"""),"ABCWIOCK")</f>
        <v>ABCWIOCK</v>
      </c>
      <c r="C10825" s="42" t="str">
        <f>IFERROR(__xludf.DUMMYFUNCTION("""COMPUTED_VALUE"""),"M.1155")</f>
        <v>M.1155</v>
      </c>
      <c r="D10825" s="42"/>
      <c r="E10825" s="42"/>
      <c r="F10825" s="48" t="str">
        <f>IFERROR(__xludf.DUMMYFUNCTION("""COMPUTED_VALUE"""),"")</f>
        <v/>
      </c>
      <c r="G10825" s="42" t="str">
        <f>IFERROR(__xludf.DUMMYFUNCTION("""COMPUTED_VALUE"""),"Bn jual beli")</f>
        <v>Bn jual beli</v>
      </c>
      <c r="H10825" s="42">
        <f t="shared" si="1"/>
        <v>3345</v>
      </c>
    </row>
    <row r="10826" ht="22.5" customHeight="1">
      <c r="B10826" s="42" t="str">
        <f>IFERROR(__xludf.DUMMYFUNCTION("""COMPUTED_VALUE"""),"ABZFKAJZ")</f>
        <v>ABZFKAJZ</v>
      </c>
      <c r="C10826" s="42" t="str">
        <f>IFERROR(__xludf.DUMMYFUNCTION("""COMPUTED_VALUE"""),"M.1156")</f>
        <v>M.1156</v>
      </c>
      <c r="D10826" s="42"/>
      <c r="E10826" s="42"/>
      <c r="F10826" s="48" t="str">
        <f>IFERROR(__xludf.DUMMYFUNCTION("""COMPUTED_VALUE"""),"")</f>
        <v/>
      </c>
      <c r="G10826" s="42" t="str">
        <f>IFERROR(__xludf.DUMMYFUNCTION("""COMPUTED_VALUE"""),"Bn jual beli")</f>
        <v>Bn jual beli</v>
      </c>
      <c r="H10826" s="42">
        <f t="shared" si="1"/>
        <v>3345</v>
      </c>
    </row>
    <row r="10827" ht="22.5" customHeight="1">
      <c r="B10827" s="42" t="str">
        <f>IFERROR(__xludf.DUMMYFUNCTION("""COMPUTED_VALUE"""),"ABSIODUO")</f>
        <v>ABSIODUO</v>
      </c>
      <c r="C10827" s="42" t="str">
        <f>IFERROR(__xludf.DUMMYFUNCTION("""COMPUTED_VALUE"""),"M.1157")</f>
        <v>M.1157</v>
      </c>
      <c r="D10827" s="42"/>
      <c r="E10827" s="42"/>
      <c r="F10827" s="48" t="str">
        <f>IFERROR(__xludf.DUMMYFUNCTION("""COMPUTED_VALUE"""),"")</f>
        <v/>
      </c>
      <c r="G10827" s="42" t="str">
        <f>IFERROR(__xludf.DUMMYFUNCTION("""COMPUTED_VALUE"""),"Bn jual beli")</f>
        <v>Bn jual beli</v>
      </c>
      <c r="H10827" s="42">
        <f t="shared" si="1"/>
        <v>3345</v>
      </c>
    </row>
    <row r="10828" ht="22.5" customHeight="1">
      <c r="B10828" s="42" t="str">
        <f>IFERROR(__xludf.DUMMYFUNCTION("""COMPUTED_VALUE"""),"Abgahxvr")</f>
        <v>Abgahxvr</v>
      </c>
      <c r="C10828" s="42" t="str">
        <f>IFERROR(__xludf.DUMMYFUNCTION("""COMPUTED_VALUE"""),"Hgb. 2028, Sukarame I")</f>
        <v>Hgb. 2028, Sukarame I</v>
      </c>
      <c r="D10828" s="42"/>
      <c r="E10828" s="42"/>
      <c r="F10828" s="48" t="str">
        <f>IFERROR(__xludf.DUMMYFUNCTION("""COMPUTED_VALUE"""),"")</f>
        <v/>
      </c>
      <c r="G10828" s="42" t="str">
        <f>IFERROR(__xludf.DUMMYFUNCTION("""COMPUTED_VALUE"""),"Ganti desa")</f>
        <v>Ganti desa</v>
      </c>
      <c r="H10828" s="42">
        <f t="shared" si="1"/>
        <v>3345</v>
      </c>
    </row>
    <row r="10829" ht="22.5" customHeight="1">
      <c r="B10829" s="42" t="str">
        <f>IFERROR(__xludf.DUMMYFUNCTION("""COMPUTED_VALUE"""),"K/8/190126/1")</f>
        <v>K/8/190126/1</v>
      </c>
      <c r="C10829" s="42" t="str">
        <f>IFERROR(__xludf.DUMMYFUNCTION("""COMPUTED_VALUE"""),"M. 15358/SUKARAME I")</f>
        <v>M. 15358/SUKARAME I</v>
      </c>
      <c r="D10829" s="42"/>
      <c r="E10829" s="42"/>
      <c r="F10829" s="48" t="str">
        <f>IFERROR(__xludf.DUMMYFUNCTION("""COMPUTED_VALUE"""),"")</f>
        <v/>
      </c>
      <c r="G10829" s="42" t="str">
        <f>IFERROR(__xludf.DUMMYFUNCTION("""COMPUTED_VALUE"""),"SKPT INFORMASI")</f>
        <v>SKPT INFORMASI</v>
      </c>
      <c r="H10829" s="42">
        <f t="shared" si="1"/>
        <v>3345</v>
      </c>
    </row>
    <row r="10830" ht="22.5" customHeight="1">
      <c r="B10830" s="42" t="str">
        <f>IFERROR(__xludf.DUMMYFUNCTION("""COMPUTED_VALUE"""),"L/12/190126/1")</f>
        <v>L/12/190126/1</v>
      </c>
      <c r="C10830" s="42" t="str">
        <f>IFERROR(__xludf.DUMMYFUNCTION("""COMPUTED_VALUE"""),"M.13611/SUKABUMI")</f>
        <v>M.13611/SUKABUMI</v>
      </c>
      <c r="D10830" s="42"/>
      <c r="E10830" s="42"/>
      <c r="F10830" s="48" t="str">
        <f>IFERROR(__xludf.DUMMYFUNCTION("""COMPUTED_VALUE"""),"")</f>
        <v/>
      </c>
      <c r="G10830" s="42" t="str">
        <f>IFERROR(__xludf.DUMMYFUNCTION("""COMPUTED_VALUE"""),"ROYA")</f>
        <v>ROYA</v>
      </c>
      <c r="H10830" s="42">
        <f t="shared" si="1"/>
        <v>3345</v>
      </c>
    </row>
    <row r="10831" ht="22.5" customHeight="1">
      <c r="B10831" s="42" t="str">
        <f>IFERROR(__xludf.DUMMYFUNCTION("""COMPUTED_VALUE"""),"ABDULAJS")</f>
        <v>ABDULAJS</v>
      </c>
      <c r="C10831" s="42" t="str">
        <f>IFERROR(__xludf.DUMMYFUNCTION("""COMPUTED_VALUE"""),"M 12005/ Segala Mider")</f>
        <v>M 12005/ Segala Mider</v>
      </c>
      <c r="D10831" s="42"/>
      <c r="E10831" s="42"/>
      <c r="F10831" s="48" t="str">
        <f>IFERROR(__xludf.DUMMYFUNCTION("""COMPUTED_VALUE"""),"")</f>
        <v/>
      </c>
      <c r="G10831" s="42" t="str">
        <f>IFERROR(__xludf.DUMMYFUNCTION("""COMPUTED_VALUE"""),"ROYA")</f>
        <v>ROYA</v>
      </c>
      <c r="H10831" s="42">
        <f t="shared" si="1"/>
        <v>3345</v>
      </c>
    </row>
    <row r="10832" ht="22.5" customHeight="1">
      <c r="B10832" s="42" t="str">
        <f>IFERROR(__xludf.DUMMYFUNCTION("""COMPUTED_VALUE"""),"ABXVWYDF")</f>
        <v>ABXVWYDF</v>
      </c>
      <c r="C10832" s="42" t="str">
        <f>IFERROR(__xludf.DUMMYFUNCTION("""COMPUTED_VALUE"""),"M 2468/ BERINGIN RAYA")</f>
        <v>M 2468/ BERINGIN RAYA</v>
      </c>
      <c r="D10832" s="42"/>
      <c r="E10832" s="42"/>
      <c r="F10832" s="48" t="str">
        <f>IFERROR(__xludf.DUMMYFUNCTION("""COMPUTED_VALUE"""),"")</f>
        <v/>
      </c>
      <c r="G10832" s="42" t="str">
        <f>IFERROR(__xludf.DUMMYFUNCTION("""COMPUTED_VALUE"""),"GANTI KECAMATAN")</f>
        <v>GANTI KECAMATAN</v>
      </c>
      <c r="H10832" s="42">
        <f t="shared" si="1"/>
        <v>3345</v>
      </c>
    </row>
    <row r="10833" ht="22.5" customHeight="1">
      <c r="B10833" s="42" t="str">
        <f>IFERROR(__xludf.DUMMYFUNCTION("""COMPUTED_VALUE"""),"ABBXHBBH")</f>
        <v>ABBXHBBH</v>
      </c>
      <c r="C10833" s="42" t="str">
        <f>IFERROR(__xludf.DUMMYFUNCTION("""COMPUTED_VALUE"""),"M 5855/ Way Kandis")</f>
        <v>M 5855/ Way Kandis</v>
      </c>
      <c r="D10833" s="42"/>
      <c r="E10833" s="42"/>
      <c r="F10833" s="48" t="str">
        <f>IFERROR(__xludf.DUMMYFUNCTION("""COMPUTED_VALUE"""),"")</f>
        <v/>
      </c>
      <c r="G10833" s="42" t="str">
        <f>IFERROR(__xludf.DUMMYFUNCTION("""COMPUTED_VALUE"""),"HAPUS BPHTB")</f>
        <v>HAPUS BPHTB</v>
      </c>
      <c r="H10833" s="42">
        <f t="shared" si="1"/>
        <v>3345</v>
      </c>
    </row>
    <row r="10834" ht="22.5" customHeight="1">
      <c r="B10834" s="42" t="str">
        <f>IFERROR(__xludf.DUMMYFUNCTION("""COMPUTED_VALUE"""),"ABJEKUEV")</f>
        <v>ABJEKUEV</v>
      </c>
      <c r="C10834" s="42" t="str">
        <f>IFERROR(__xludf.DUMMYFUNCTION("""COMPUTED_VALUE"""),"M 10231/ Sukarame I")</f>
        <v>M 10231/ Sukarame I</v>
      </c>
      <c r="D10834" s="42"/>
      <c r="E10834" s="42"/>
      <c r="F10834" s="48" t="str">
        <f>IFERROR(__xludf.DUMMYFUNCTION("""COMPUTED_VALUE"""),"")</f>
        <v/>
      </c>
      <c r="G10834" s="42" t="str">
        <f>IFERROR(__xludf.DUMMYFUNCTION("""COMPUTED_VALUE"""),"GANTI KECAMATAN")</f>
        <v>GANTI KECAMATAN</v>
      </c>
      <c r="H10834" s="42">
        <f t="shared" si="1"/>
        <v>3345</v>
      </c>
    </row>
    <row r="10835" ht="22.5" customHeight="1">
      <c r="B10835" s="42" t="str">
        <f>IFERROR(__xludf.DUMMYFUNCTION("""COMPUTED_VALUE"""),"L/13/190126/1")</f>
        <v>L/13/190126/1</v>
      </c>
      <c r="C10835" s="42" t="str">
        <f>IFERROR(__xludf.DUMMYFUNCTION("""COMPUTED_VALUE"""),"M.3652/LANGKAPURA")</f>
        <v>M.3652/LANGKAPURA</v>
      </c>
      <c r="D10835" s="42"/>
      <c r="E10835" s="42"/>
      <c r="F10835" s="48" t="str">
        <f>IFERROR(__xludf.DUMMYFUNCTION("""COMPUTED_VALUE"""),"")</f>
        <v/>
      </c>
      <c r="G10835" s="42" t="str">
        <f>IFERROR(__xludf.DUMMYFUNCTION("""COMPUTED_VALUE"""),"ROYA")</f>
        <v>ROYA</v>
      </c>
      <c r="H10835" s="42">
        <f t="shared" si="1"/>
        <v>3345</v>
      </c>
    </row>
    <row r="10836" ht="22.5" customHeight="1">
      <c r="B10836" s="42" t="str">
        <f>IFERROR(__xludf.DUMMYFUNCTION("""COMPUTED_VALUE"""),"ABSZKWAU/AB057")</f>
        <v>ABSZKWAU/AB057</v>
      </c>
      <c r="C10836" s="42" t="str">
        <f>IFERROR(__xludf.DUMMYFUNCTION("""COMPUTED_VALUE"""),"M. 10101/Sukamenanti")</f>
        <v>M. 10101/Sukamenanti</v>
      </c>
      <c r="D10836" s="42"/>
      <c r="E10836" s="42"/>
      <c r="F10836" s="48" t="str">
        <f>IFERROR(__xludf.DUMMYFUNCTION("""COMPUTED_VALUE"""),"")</f>
        <v/>
      </c>
      <c r="G10836" s="42" t="str">
        <f>IFERROR(__xludf.DUMMYFUNCTION("""COMPUTED_VALUE"""),"Roya")</f>
        <v>Roya</v>
      </c>
      <c r="H10836" s="42">
        <f t="shared" si="1"/>
        <v>3345</v>
      </c>
    </row>
    <row r="10837" ht="22.5" customHeight="1">
      <c r="B10837" s="42" t="str">
        <f>IFERROR(__xludf.DUMMYFUNCTION("""COMPUTED_VALUE"""),"L/14/190126/1")</f>
        <v>L/14/190126/1</v>
      </c>
      <c r="C10837" s="42" t="str">
        <f>IFERROR(__xludf.DUMMYFUNCTION("""COMPUTED_VALUE"""),"NIBEL M 19334/BUMI KEDAMAIAN")</f>
        <v>NIBEL M 19334/BUMI KEDAMAIAN</v>
      </c>
      <c r="D10837" s="42"/>
      <c r="E10837" s="42"/>
      <c r="F10837" s="48" t="str">
        <f>IFERROR(__xludf.DUMMYFUNCTION("""COMPUTED_VALUE"""),"")</f>
        <v/>
      </c>
      <c r="G10837" s="42" t="str">
        <f>IFERROR(__xludf.DUMMYFUNCTION("""COMPUTED_VALUE"""),"PTPGT")</f>
        <v>PTPGT</v>
      </c>
      <c r="H10837" s="42">
        <f t="shared" si="1"/>
        <v>3345</v>
      </c>
    </row>
    <row r="10838" ht="22.5" customHeight="1">
      <c r="B10838" s="42" t="str">
        <f>IFERROR(__xludf.DUMMYFUNCTION("""COMPUTED_VALUE"""),"K/1/200126/1")</f>
        <v>K/1/200126/1</v>
      </c>
      <c r="C10838" s="42" t="str">
        <f>IFERROR(__xludf.DUMMYFUNCTION("""COMPUTED_VALUE"""),"NIBEL M. 20189/SUKARAME II")</f>
        <v>NIBEL M. 20189/SUKARAME II</v>
      </c>
      <c r="D10838" s="42"/>
      <c r="E10838" s="42"/>
      <c r="F10838" s="48" t="str">
        <f>IFERROR(__xludf.DUMMYFUNCTION("""COMPUTED_VALUE"""),"")</f>
        <v/>
      </c>
      <c r="G10838" s="42" t="str">
        <f>IFERROR(__xludf.DUMMYFUNCTION("""COMPUTED_VALUE"""),"SKPT LELANG")</f>
        <v>SKPT LELANG</v>
      </c>
      <c r="H10838" s="42">
        <f t="shared" si="1"/>
        <v>3345</v>
      </c>
    </row>
    <row r="10839" ht="22.5" customHeight="1">
      <c r="B10839" s="42" t="str">
        <f>IFERROR(__xludf.DUMMYFUNCTION("""COMPUTED_VALUE"""),"K/2/200126/2")</f>
        <v>K/2/200126/2</v>
      </c>
      <c r="C10839" s="42" t="str">
        <f>IFERROR(__xludf.DUMMYFUNCTION("""COMPUTED_VALUE"""),"NIBEL B. 13016/SUKARAME II")</f>
        <v>NIBEL B. 13016/SUKARAME II</v>
      </c>
      <c r="D10839" s="42"/>
      <c r="E10839" s="42"/>
      <c r="F10839" s="48" t="str">
        <f>IFERROR(__xludf.DUMMYFUNCTION("""COMPUTED_VALUE"""),"")</f>
        <v/>
      </c>
      <c r="G10839" s="42" t="str">
        <f>IFERROR(__xludf.DUMMYFUNCTION("""COMPUTED_VALUE"""),"SKPT LELANG")</f>
        <v>SKPT LELANG</v>
      </c>
      <c r="H10839" s="42">
        <f t="shared" si="1"/>
        <v>3345</v>
      </c>
    </row>
    <row r="10840" ht="22.5" customHeight="1">
      <c r="B10840" s="42" t="str">
        <f>IFERROR(__xludf.DUMMYFUNCTION("""COMPUTED_VALUE"""),"K/3/200126/3")</f>
        <v>K/3/200126/3</v>
      </c>
      <c r="C10840" s="42" t="str">
        <f>IFERROR(__xludf.DUMMYFUNCTION("""COMPUTED_VALUE"""),"NIBEL B. 13014/SUKARAME II")</f>
        <v>NIBEL B. 13014/SUKARAME II</v>
      </c>
      <c r="D10840" s="42"/>
      <c r="E10840" s="42"/>
      <c r="F10840" s="48" t="str">
        <f>IFERROR(__xludf.DUMMYFUNCTION("""COMPUTED_VALUE"""),"")</f>
        <v/>
      </c>
      <c r="G10840" s="42" t="str">
        <f>IFERROR(__xludf.DUMMYFUNCTION("""COMPUTED_VALUE"""),"SKPT LELANG")</f>
        <v>SKPT LELANG</v>
      </c>
      <c r="H10840" s="42">
        <f t="shared" si="1"/>
        <v>3345</v>
      </c>
    </row>
    <row r="10841" ht="22.5" customHeight="1">
      <c r="B10841" s="42" t="str">
        <f>IFERROR(__xludf.DUMMYFUNCTION("""COMPUTED_VALUE"""),"K/4/200126/4")</f>
        <v>K/4/200126/4</v>
      </c>
      <c r="C10841" s="42" t="str">
        <f>IFERROR(__xludf.DUMMYFUNCTION("""COMPUTED_VALUE"""),"NIBEL M. 18119/SUKARAME II")</f>
        <v>NIBEL M. 18119/SUKARAME II</v>
      </c>
      <c r="D10841" s="42"/>
      <c r="E10841" s="42"/>
      <c r="F10841" s="48" t="str">
        <f>IFERROR(__xludf.DUMMYFUNCTION("""COMPUTED_VALUE"""),"")</f>
        <v/>
      </c>
      <c r="G10841" s="42" t="str">
        <f>IFERROR(__xludf.DUMMYFUNCTION("""COMPUTED_VALUE"""),"SKPT LELANG")</f>
        <v>SKPT LELANG</v>
      </c>
      <c r="H10841" s="42">
        <f t="shared" si="1"/>
        <v>3345</v>
      </c>
    </row>
    <row r="10842" ht="22.5" customHeight="1">
      <c r="B10842" s="42" t="str">
        <f>IFERROR(__xludf.DUMMYFUNCTION("""COMPUTED_VALUE"""),"ABRWLLIZ/AB025")</f>
        <v>ABRWLLIZ/AB025</v>
      </c>
      <c r="C10842" s="42" t="str">
        <f>IFERROR(__xludf.DUMMYFUNCTION("""COMPUTED_VALUE"""),"M. NIBEL 18863/Perumnas Way Halim")</f>
        <v>M. NIBEL 18863/Perumnas Way Halim</v>
      </c>
      <c r="D10842" s="42"/>
      <c r="E10842" s="42"/>
      <c r="F10842" s="48" t="str">
        <f>IFERROR(__xludf.DUMMYFUNCTION("""COMPUTED_VALUE"""),"")</f>
        <v/>
      </c>
      <c r="G10842" s="42" t="str">
        <f>IFERROR(__xludf.DUMMYFUNCTION("""COMPUTED_VALUE"""),"aphb")</f>
        <v>aphb</v>
      </c>
      <c r="H10842" s="42">
        <f t="shared" si="1"/>
        <v>3345</v>
      </c>
    </row>
    <row r="10843" ht="22.5" customHeight="1">
      <c r="B10843" s="42" t="str">
        <f>IFERROR(__xludf.DUMMYFUNCTION("""COMPUTED_VALUE"""),"ABSCOLCN/AB025")</f>
        <v>ABSCOLCN/AB025</v>
      </c>
      <c r="C10843" s="42" t="str">
        <f>IFERROR(__xludf.DUMMYFUNCTION("""COMPUTED_VALUE"""),"M. 2384/Pinang Jaya")</f>
        <v>M. 2384/Pinang Jaya</v>
      </c>
      <c r="D10843" s="42"/>
      <c r="E10843" s="42"/>
      <c r="F10843" s="48" t="str">
        <f>IFERROR(__xludf.DUMMYFUNCTION("""COMPUTED_VALUE"""),"")</f>
        <v/>
      </c>
      <c r="G10843" s="42" t="str">
        <f>IFERROR(__xludf.DUMMYFUNCTION("""COMPUTED_VALUE"""),"Bn jual beli")</f>
        <v>Bn jual beli</v>
      </c>
      <c r="H10843" s="42">
        <f t="shared" si="1"/>
        <v>3345</v>
      </c>
    </row>
    <row r="10844" ht="22.5" customHeight="1">
      <c r="B10844" s="42" t="str">
        <f>IFERROR(__xludf.DUMMYFUNCTION("""COMPUTED_VALUE"""),"ABETNNXK")</f>
        <v>ABETNNXK</v>
      </c>
      <c r="C10844" s="42" t="str">
        <f>IFERROR(__xludf.DUMMYFUNCTION("""COMPUTED_VALUE"""),"M. 1025/WK")</f>
        <v>M. 1025/WK</v>
      </c>
      <c r="D10844" s="42"/>
      <c r="E10844" s="42"/>
      <c r="F10844" s="48" t="str">
        <f>IFERROR(__xludf.DUMMYFUNCTION("""COMPUTED_VALUE"""),"")</f>
        <v/>
      </c>
      <c r="G10844" s="42" t="str">
        <f>IFERROR(__xludf.DUMMYFUNCTION("""COMPUTED_VALUE"""),"BN Jual Beli")</f>
        <v>BN Jual Beli</v>
      </c>
      <c r="H10844" s="42">
        <f t="shared" si="1"/>
        <v>3345</v>
      </c>
    </row>
    <row r="10845" ht="22.5" customHeight="1">
      <c r="B10845" s="42" t="str">
        <f>IFERROR(__xludf.DUMMYFUNCTION("""COMPUTED_VALUE"""),"Ab 41 abgfdpvi")</f>
        <v>Ab 41 abgfdpvi</v>
      </c>
      <c r="C10845" s="42" t="str">
        <f>IFERROR(__xludf.DUMMYFUNCTION("""COMPUTED_VALUE"""),"SHM 2712")</f>
        <v>SHM 2712</v>
      </c>
      <c r="D10845" s="42"/>
      <c r="E10845" s="42"/>
      <c r="F10845" s="48" t="str">
        <f>IFERROR(__xludf.DUMMYFUNCTION("""COMPUTED_VALUE"""),"")</f>
        <v/>
      </c>
      <c r="G10845" s="42" t="str">
        <f>IFERROR(__xludf.DUMMYFUNCTION("""COMPUTED_VALUE"""),"Balik nama")</f>
        <v>Balik nama</v>
      </c>
      <c r="H10845" s="42">
        <f t="shared" si="1"/>
        <v>3345</v>
      </c>
    </row>
    <row r="10846" ht="22.5" customHeight="1">
      <c r="B10846" s="42" t="str">
        <f>IFERROR(__xludf.DUMMYFUNCTION("""COMPUTED_VALUE"""),"Ab 41 abplzlii")</f>
        <v>Ab 41 abplzlii</v>
      </c>
      <c r="C10846" s="42" t="str">
        <f>IFERROR(__xludf.DUMMYFUNCTION("""COMPUTED_VALUE"""),"Nib 17985.0")</f>
        <v>Nib 17985.0</v>
      </c>
      <c r="D10846" s="42"/>
      <c r="E10846" s="42"/>
      <c r="F10846" s="48" t="str">
        <f>IFERROR(__xludf.DUMMYFUNCTION("""COMPUTED_VALUE"""),"")</f>
        <v/>
      </c>
      <c r="G10846" s="42" t="str">
        <f>IFERROR(__xludf.DUMMYFUNCTION("""COMPUTED_VALUE"""),"Balik nama")</f>
        <v>Balik nama</v>
      </c>
      <c r="H10846" s="42">
        <f t="shared" si="1"/>
        <v>3345</v>
      </c>
    </row>
    <row r="10847" ht="22.5" customHeight="1">
      <c r="B10847" s="42" t="str">
        <f>IFERROR(__xludf.DUMMYFUNCTION("""COMPUTED_VALUE"""),"Ab 41 abqjtgkj")</f>
        <v>Ab 41 abqjtgkj</v>
      </c>
      <c r="C10847" s="42" t="str">
        <f>IFERROR(__xludf.DUMMYFUNCTION("""COMPUTED_VALUE"""),"Nib 23135.0")</f>
        <v>Nib 23135.0</v>
      </c>
      <c r="D10847" s="42"/>
      <c r="E10847" s="42"/>
      <c r="F10847" s="48" t="str">
        <f>IFERROR(__xludf.DUMMYFUNCTION("""COMPUTED_VALUE"""),"")</f>
        <v/>
      </c>
      <c r="G10847" s="42" t="str">
        <f>IFERROR(__xludf.DUMMYFUNCTION("""COMPUTED_VALUE"""),"Balik nama ")</f>
        <v>Balik nama </v>
      </c>
      <c r="H10847" s="42">
        <f t="shared" si="1"/>
        <v>3345</v>
      </c>
    </row>
    <row r="10848" ht="22.5" customHeight="1">
      <c r="B10848" s="42" t="str">
        <f>IFERROR(__xludf.DUMMYFUNCTION("""COMPUTED_VALUE"""),"Ab 41 abuehycw")</f>
        <v>Ab 41 abuehycw</v>
      </c>
      <c r="C10848" s="42" t="str">
        <f>IFERROR(__xludf.DUMMYFUNCTION("""COMPUTED_VALUE"""),"Nib 00280.0")</f>
        <v>Nib 00280.0</v>
      </c>
      <c r="D10848" s="42"/>
      <c r="E10848" s="42"/>
      <c r="F10848" s="48" t="str">
        <f>IFERROR(__xludf.DUMMYFUNCTION("""COMPUTED_VALUE"""),"")</f>
        <v/>
      </c>
      <c r="G10848" s="42" t="str">
        <f>IFERROR(__xludf.DUMMYFUNCTION("""COMPUTED_VALUE"""),"Balik nama ")</f>
        <v>Balik nama </v>
      </c>
      <c r="H10848" s="42">
        <f t="shared" si="1"/>
        <v>3345</v>
      </c>
    </row>
    <row r="10849" ht="22.5" customHeight="1">
      <c r="B10849" s="42" t="str">
        <f>IFERROR(__xludf.DUMMYFUNCTION("""COMPUTED_VALUE"""),"ABDSWYFG/AB046")</f>
        <v>ABDSWYFG/AB046</v>
      </c>
      <c r="C10849" s="42" t="str">
        <f>IFERROR(__xludf.DUMMYFUNCTION("""COMPUTED_VALUE"""),"B. Nibel. 27993/Pematang Wangi")</f>
        <v>B. Nibel. 27993/Pematang Wangi</v>
      </c>
      <c r="D10849" s="42"/>
      <c r="E10849" s="42"/>
      <c r="F10849" s="48" t="str">
        <f>IFERROR(__xludf.DUMMYFUNCTION("""COMPUTED_VALUE"""),"")</f>
        <v/>
      </c>
      <c r="G10849" s="42" t="str">
        <f>IFERROR(__xludf.DUMMYFUNCTION("""COMPUTED_VALUE"""),"BN Jual Beli")</f>
        <v>BN Jual Beli</v>
      </c>
      <c r="H10849" s="42">
        <f t="shared" si="1"/>
        <v>3345</v>
      </c>
    </row>
    <row r="10850" ht="22.5" customHeight="1">
      <c r="B10850" s="42" t="str">
        <f>IFERROR(__xludf.DUMMYFUNCTION("""COMPUTED_VALUE"""),"AB039/ABEHZAAC")</f>
        <v>AB039/ABEHZAAC</v>
      </c>
      <c r="C10850" s="42" t="str">
        <f>IFERROR(__xludf.DUMMYFUNCTION("""COMPUTED_VALUE"""),"B. 783/Sup")</f>
        <v>B. 783/Sup</v>
      </c>
      <c r="D10850" s="42"/>
      <c r="E10850" s="42"/>
      <c r="F10850" s="48" t="str">
        <f>IFERROR(__xludf.DUMMYFUNCTION("""COMPUTED_VALUE"""),"")</f>
        <v/>
      </c>
      <c r="G10850" s="42" t="str">
        <f>IFERROR(__xludf.DUMMYFUNCTION("""COMPUTED_VALUE"""),"Balik Nama Ajb")</f>
        <v>Balik Nama Ajb</v>
      </c>
      <c r="H10850" s="42">
        <f t="shared" si="1"/>
        <v>3345</v>
      </c>
    </row>
    <row r="10851" ht="22.5" customHeight="1">
      <c r="B10851" s="42" t="str">
        <f>IFERROR(__xludf.DUMMYFUNCTION("""COMPUTED_VALUE"""),"AB039/ABEEHDAH")</f>
        <v>AB039/ABEEHDAH</v>
      </c>
      <c r="C10851" s="42" t="str">
        <f>IFERROR(__xludf.DUMMYFUNCTION("""COMPUTED_VALUE"""),"M. 08.01.000024891.0/Sumberrejo Sejahtera")</f>
        <v>M. 08.01.000024891.0/Sumberrejo Sejahtera</v>
      </c>
      <c r="D10851" s="42"/>
      <c r="E10851" s="42"/>
      <c r="F10851" s="48" t="str">
        <f>IFERROR(__xludf.DUMMYFUNCTION("""COMPUTED_VALUE"""),"")</f>
        <v/>
      </c>
      <c r="G10851" s="42" t="str">
        <f>IFERROR(__xludf.DUMMYFUNCTION("""COMPUTED_VALUE"""),"Balik Nama Ajb")</f>
        <v>Balik Nama Ajb</v>
      </c>
      <c r="H10851" s="42">
        <f t="shared" si="1"/>
        <v>3345</v>
      </c>
    </row>
    <row r="10852" ht="22.5" customHeight="1">
      <c r="B10852" s="42" t="str">
        <f>IFERROR(__xludf.DUMMYFUNCTION("""COMPUTED_VALUE"""),"ABNYZWMN")</f>
        <v>ABNYZWMN</v>
      </c>
      <c r="C10852" s="42" t="str">
        <f>IFERROR(__xludf.DUMMYFUNCTION("""COMPUTED_VALUE"""),"m.476/Ga/ gedong air")</f>
        <v>m.476/Ga/ gedong air</v>
      </c>
      <c r="D10852" s="42"/>
      <c r="E10852" s="42"/>
      <c r="F10852" s="48" t="str">
        <f>IFERROR(__xludf.DUMMYFUNCTION("""COMPUTED_VALUE"""),"")</f>
        <v/>
      </c>
      <c r="G10852" s="42" t="str">
        <f>IFERROR(__xludf.DUMMYFUNCTION("""COMPUTED_VALUE"""),"roya")</f>
        <v>roya</v>
      </c>
      <c r="H10852" s="42">
        <f t="shared" si="1"/>
        <v>3345</v>
      </c>
    </row>
    <row r="10853" ht="22.5" customHeight="1">
      <c r="B10853" s="42" t="str">
        <f>IFERROR(__xludf.DUMMYFUNCTION("""COMPUTED_VALUE"""),"
ABHBSVDY")</f>
        <v>
ABHBSVDY</v>
      </c>
      <c r="C10853" s="42" t="str">
        <f>IFERROR(__xludf.DUMMYFUNCTION("""COMPUTED_VALUE"""),"M. 247/Lr.R")</f>
        <v>M. 247/Lr.R</v>
      </c>
      <c r="D10853" s="42"/>
      <c r="E10853" s="42"/>
      <c r="F10853" s="48" t="str">
        <f>IFERROR(__xludf.DUMMYFUNCTION("""COMPUTED_VALUE"""),"")</f>
        <v/>
      </c>
      <c r="G10853" s="42" t="str">
        <f>IFERROR(__xludf.DUMMYFUNCTION("""COMPUTED_VALUE"""),"Roya Hak Tanggungan")</f>
        <v>Roya Hak Tanggungan</v>
      </c>
      <c r="H10853" s="42">
        <f t="shared" si="1"/>
        <v>3345</v>
      </c>
    </row>
    <row r="10854" ht="22.5" customHeight="1">
      <c r="B10854" s="42" t="str">
        <f>IFERROR(__xludf.DUMMYFUNCTION("""COMPUTED_VALUE"""),"ABVMBIDJ")</f>
        <v>ABVMBIDJ</v>
      </c>
      <c r="C10854" s="42" t="str">
        <f>IFERROR(__xludf.DUMMYFUNCTION("""COMPUTED_VALUE"""),"M 16370/ SUKABUMI")</f>
        <v>M 16370/ SUKABUMI</v>
      </c>
      <c r="D10854" s="42"/>
      <c r="E10854" s="42"/>
      <c r="F10854" s="48" t="str">
        <f>IFERROR(__xludf.DUMMYFUNCTION("""COMPUTED_VALUE"""),"")</f>
        <v/>
      </c>
      <c r="G10854" s="42" t="str">
        <f>IFERROR(__xludf.DUMMYFUNCTION("""COMPUTED_VALUE"""),"Peralihan Hak balik nama")</f>
        <v>Peralihan Hak balik nama</v>
      </c>
      <c r="H10854" s="42">
        <f t="shared" si="1"/>
        <v>3345</v>
      </c>
    </row>
    <row r="10855" ht="22.5" customHeight="1">
      <c r="B10855" s="42" t="str">
        <f>IFERROR(__xludf.DUMMYFUNCTION("""COMPUTED_VALUE"""),"L/5/200126/1")</f>
        <v>L/5/200126/1</v>
      </c>
      <c r="C10855" s="42" t="str">
        <f>IFERROR(__xludf.DUMMYFUNCTION("""COMPUTED_VALUE"""),"M.610/TANJUNG KARANG")</f>
        <v>M.610/TANJUNG KARANG</v>
      </c>
      <c r="D10855" s="42"/>
      <c r="E10855" s="42"/>
      <c r="F10855" s="48" t="str">
        <f>IFERROR(__xludf.DUMMYFUNCTION("""COMPUTED_VALUE"""),"")</f>
        <v/>
      </c>
      <c r="G10855" s="42" t="str">
        <f>IFERROR(__xludf.DUMMYFUNCTION("""COMPUTED_VALUE"""),"ROYA")</f>
        <v>ROYA</v>
      </c>
      <c r="H10855" s="42">
        <f t="shared" si="1"/>
        <v>3345</v>
      </c>
    </row>
    <row r="10856" ht="22.5" customHeight="1">
      <c r="B10856" s="42" t="str">
        <f>IFERROR(__xludf.DUMMYFUNCTION("""COMPUTED_VALUE"""),"ABZCDIIV")</f>
        <v>ABZCDIIV</v>
      </c>
      <c r="C10856" s="42" t="str">
        <f>IFERROR(__xludf.DUMMYFUNCTION("""COMPUTED_VALUE"""),"B.796/Sukarame Baru")</f>
        <v>B.796/Sukarame Baru</v>
      </c>
      <c r="D10856" s="42"/>
      <c r="E10856" s="42"/>
      <c r="F10856" s="48" t="str">
        <f>IFERROR(__xludf.DUMMYFUNCTION("""COMPUTED_VALUE"""),"")</f>
        <v/>
      </c>
      <c r="G10856" s="42" t="str">
        <f>IFERROR(__xludf.DUMMYFUNCTION("""COMPUTED_VALUE"""),"Balik nama")</f>
        <v>Balik nama</v>
      </c>
      <c r="H10856" s="42">
        <f t="shared" si="1"/>
        <v>3345</v>
      </c>
    </row>
    <row r="10857" ht="22.5" customHeight="1">
      <c r="B10857" s="42" t="str">
        <f>IFERROR(__xludf.DUMMYFUNCTION("""COMPUTED_VALUE"""),"L/6/200126/2")</f>
        <v>L/6/200126/2</v>
      </c>
      <c r="C10857" s="42" t="str">
        <f>IFERROR(__xludf.DUMMYFUNCTION("""COMPUTED_VALUE"""),"M.475/TANJUNG KARANG")</f>
        <v>M.475/TANJUNG KARANG</v>
      </c>
      <c r="D10857" s="42"/>
      <c r="E10857" s="42"/>
      <c r="F10857" s="48" t="str">
        <f>IFERROR(__xludf.DUMMYFUNCTION("""COMPUTED_VALUE"""),"")</f>
        <v/>
      </c>
      <c r="G10857" s="42" t="str">
        <f>IFERROR(__xludf.DUMMYFUNCTION("""COMPUTED_VALUE"""),"ROYA")</f>
        <v>ROYA</v>
      </c>
      <c r="H10857" s="42">
        <f t="shared" si="1"/>
        <v>3345</v>
      </c>
    </row>
    <row r="10858" ht="22.5" customHeight="1">
      <c r="B10858" s="42" t="str">
        <f>IFERROR(__xludf.DUMMYFUNCTION("""COMPUTED_VALUE"""),"L/7/200126/1")</f>
        <v>L/7/200126/1</v>
      </c>
      <c r="C10858" s="42" t="str">
        <f>IFERROR(__xludf.DUMMYFUNCTION("""COMPUTED_VALUE"""),"M.15200/SUKARAME I")</f>
        <v>M.15200/SUKARAME I</v>
      </c>
      <c r="D10858" s="42"/>
      <c r="E10858" s="42"/>
      <c r="F10858" s="48" t="str">
        <f>IFERROR(__xludf.DUMMYFUNCTION("""COMPUTED_VALUE"""),"")</f>
        <v/>
      </c>
      <c r="G10858" s="42" t="str">
        <f>IFERROR(__xludf.DUMMYFUNCTION("""COMPUTED_VALUE"""),"ROYA")</f>
        <v>ROYA</v>
      </c>
      <c r="H10858" s="42">
        <f t="shared" si="1"/>
        <v>3345</v>
      </c>
    </row>
    <row r="10859" ht="22.5" customHeight="1">
      <c r="B10859" s="42" t="str">
        <f>IFERROR(__xludf.DUMMYFUNCTION("""COMPUTED_VALUE"""),"L/8/200126/1")</f>
        <v>L/8/200126/1</v>
      </c>
      <c r="C10859" s="42" t="str">
        <f>IFERROR(__xludf.DUMMYFUNCTION("""COMPUTED_VALUE"""),"M.1264/KEDAUNG")</f>
        <v>M.1264/KEDAUNG</v>
      </c>
      <c r="D10859" s="42"/>
      <c r="E10859" s="42"/>
      <c r="F10859" s="48" t="str">
        <f>IFERROR(__xludf.DUMMYFUNCTION("""COMPUTED_VALUE"""),"")</f>
        <v/>
      </c>
      <c r="G10859" s="42" t="str">
        <f>IFERROR(__xludf.DUMMYFUNCTION("""COMPUTED_VALUE"""),"PENATAAN BATAS")</f>
        <v>PENATAAN BATAS</v>
      </c>
      <c r="H10859" s="42">
        <f t="shared" si="1"/>
        <v>3345</v>
      </c>
    </row>
    <row r="10860" ht="22.5" customHeight="1">
      <c r="B10860" s="42" t="str">
        <f>IFERROR(__xludf.DUMMYFUNCTION("""COMPUTED_VALUE"""),"L/9/200126/1")</f>
        <v>L/9/200126/1</v>
      </c>
      <c r="C10860" s="42" t="str">
        <f>IFERROR(__xludf.DUMMYFUNCTION("""COMPUTED_VALUE"""),"M.4845/BERINGIN RAYA")</f>
        <v>M.4845/BERINGIN RAYA</v>
      </c>
      <c r="D10860" s="42"/>
      <c r="E10860" s="42"/>
      <c r="F10860" s="48" t="str">
        <f>IFERROR(__xludf.DUMMYFUNCTION("""COMPUTED_VALUE"""),"")</f>
        <v/>
      </c>
      <c r="G10860" s="42" t="str">
        <f>IFERROR(__xludf.DUMMYFUNCTION("""COMPUTED_VALUE"""),"ROYA")</f>
        <v>ROYA</v>
      </c>
      <c r="H10860" s="42">
        <f t="shared" si="1"/>
        <v>3345</v>
      </c>
    </row>
    <row r="10861" ht="22.5" customHeight="1">
      <c r="B10861" s="42" t="str">
        <f>IFERROR(__xludf.DUMMYFUNCTION("""COMPUTED_VALUE"""),"L/10/200126/1")</f>
        <v>L/10/200126/1</v>
      </c>
      <c r="C10861" s="42" t="str">
        <f>IFERROR(__xludf.DUMMYFUNCTION("""COMPUTED_VALUE"""),"M.16749/SUKARAME I")</f>
        <v>M.16749/SUKARAME I</v>
      </c>
      <c r="D10861" s="42"/>
      <c r="E10861" s="42"/>
      <c r="F10861" s="48" t="str">
        <f>IFERROR(__xludf.DUMMYFUNCTION("""COMPUTED_VALUE"""),"")</f>
        <v/>
      </c>
      <c r="G10861" s="42" t="str">
        <f>IFERROR(__xludf.DUMMYFUNCTION("""COMPUTED_VALUE"""),"ROYA")</f>
        <v>ROYA</v>
      </c>
      <c r="H10861" s="42">
        <f t="shared" si="1"/>
        <v>3345</v>
      </c>
    </row>
    <row r="10862" ht="22.5" customHeight="1">
      <c r="B10862" s="42" t="str">
        <f>IFERROR(__xludf.DUMMYFUNCTION("""COMPUTED_VALUE"""),"L/11/200126/1")</f>
        <v>L/11/200126/1</v>
      </c>
      <c r="C10862" s="42" t="str">
        <f>IFERROR(__xludf.DUMMYFUNCTION("""COMPUTED_VALUE"""),"B.841/TANJUNG SENENG")</f>
        <v>B.841/TANJUNG SENENG</v>
      </c>
      <c r="D10862" s="42"/>
      <c r="E10862" s="42"/>
      <c r="F10862" s="48" t="str">
        <f>IFERROR(__xludf.DUMMYFUNCTION("""COMPUTED_VALUE"""),"")</f>
        <v/>
      </c>
      <c r="G10862" s="42" t="str">
        <f>IFERROR(__xludf.DUMMYFUNCTION("""COMPUTED_VALUE"""),"ROYA")</f>
        <v>ROYA</v>
      </c>
      <c r="H10862" s="42">
        <f t="shared" si="1"/>
        <v>3345</v>
      </c>
    </row>
    <row r="10863" ht="22.5" customHeight="1">
      <c r="B10863" s="42" t="str">
        <f>IFERROR(__xludf.DUMMYFUNCTION("""COMPUTED_VALUE"""),"ABIIDAQL/AB052")</f>
        <v>ABIIDAQL/AB052</v>
      </c>
      <c r="C10863" s="42" t="str">
        <f>IFERROR(__xludf.DUMMYFUNCTION("""COMPUTED_VALUE"""),"M NIBEL 17376/Sukarame Baru")</f>
        <v>M NIBEL 17376/Sukarame Baru</v>
      </c>
      <c r="D10863" s="42"/>
      <c r="E10863" s="42"/>
      <c r="F10863" s="48" t="str">
        <f>IFERROR(__xludf.DUMMYFUNCTION("""COMPUTED_VALUE"""),"")</f>
        <v/>
      </c>
      <c r="G10863" s="42" t="str">
        <f>IFERROR(__xludf.DUMMYFUNCTION("""COMPUTED_VALUE"""),"Balik Nama Ajb")</f>
        <v>Balik Nama Ajb</v>
      </c>
      <c r="H10863" s="42">
        <f t="shared" si="1"/>
        <v>3345</v>
      </c>
    </row>
    <row r="10864" ht="22.5" customHeight="1">
      <c r="B10864" s="42" t="str">
        <f>IFERROR(__xludf.DUMMYFUNCTION("""COMPUTED_VALUE"""),"ABEHTMYR")</f>
        <v>ABEHTMYR</v>
      </c>
      <c r="C10864" s="42">
        <f>IFERROR(__xludf.DUMMYFUNCTION("""COMPUTED_VALUE"""),6232.0)</f>
        <v>6232</v>
      </c>
      <c r="D10864" s="42"/>
      <c r="E10864" s="42"/>
      <c r="F10864" s="48" t="str">
        <f>IFERROR(__xludf.DUMMYFUNCTION("""COMPUTED_VALUE"""),"")</f>
        <v/>
      </c>
      <c r="G10864" s="42" t="str">
        <f>IFERROR(__xludf.DUMMYFUNCTION("""COMPUTED_VALUE"""),"Peralihan Hak")</f>
        <v>Peralihan Hak</v>
      </c>
      <c r="H10864" s="42">
        <f t="shared" si="1"/>
        <v>3345</v>
      </c>
    </row>
    <row r="10865" ht="22.5" customHeight="1">
      <c r="B10865" s="42" t="str">
        <f>IFERROR(__xludf.DUMMYFUNCTION("""COMPUTED_VALUE"""),"K/12/200126/1")</f>
        <v>K/12/200126/1</v>
      </c>
      <c r="C10865" s="42" t="str">
        <f>IFERROR(__xludf.DUMMYFUNCTION("""COMPUTED_VALUE"""),"M.9002/SUKARAME")</f>
        <v>M.9002/SUKARAME</v>
      </c>
      <c r="D10865" s="42"/>
      <c r="E10865" s="42"/>
      <c r="F10865" s="48" t="str">
        <f>IFERROR(__xludf.DUMMYFUNCTION("""COMPUTED_VALUE"""),"")</f>
        <v/>
      </c>
      <c r="G10865" s="42" t="str">
        <f>IFERROR(__xludf.DUMMYFUNCTION("""COMPUTED_VALUE"""),"SKPT LELANG")</f>
        <v>SKPT LELANG</v>
      </c>
      <c r="H10865" s="42">
        <f t="shared" si="1"/>
        <v>3345</v>
      </c>
    </row>
    <row r="10866" ht="22.5" customHeight="1">
      <c r="B10866" s="42" t="str">
        <f>IFERROR(__xludf.DUMMYFUNCTION("""COMPUTED_VALUE"""),"ABEOIKGR")</f>
        <v>ABEOIKGR</v>
      </c>
      <c r="C10866" s="42">
        <f>IFERROR(__xludf.DUMMYFUNCTION("""COMPUTED_VALUE"""),6242.0)</f>
        <v>6242</v>
      </c>
      <c r="D10866" s="42"/>
      <c r="E10866" s="42"/>
      <c r="F10866" s="48" t="str">
        <f>IFERROR(__xludf.DUMMYFUNCTION("""COMPUTED_VALUE"""),"")</f>
        <v/>
      </c>
      <c r="G10866" s="42" t="str">
        <f>IFERROR(__xludf.DUMMYFUNCTION("""COMPUTED_VALUE"""),"Peralihan Hak")</f>
        <v>Peralihan Hak</v>
      </c>
      <c r="H10866" s="42">
        <f t="shared" si="1"/>
        <v>3345</v>
      </c>
    </row>
    <row r="10867" ht="22.5" customHeight="1">
      <c r="B10867" s="42" t="str">
        <f>IFERROR(__xludf.DUMMYFUNCTION("""COMPUTED_VALUE"""),"ABTMNLWS")</f>
        <v>ABTMNLWS</v>
      </c>
      <c r="C10867" s="42">
        <f>IFERROR(__xludf.DUMMYFUNCTION("""COMPUTED_VALUE"""),6235.0)</f>
        <v>6235</v>
      </c>
      <c r="D10867" s="42"/>
      <c r="E10867" s="42"/>
      <c r="F10867" s="48" t="str">
        <f>IFERROR(__xludf.DUMMYFUNCTION("""COMPUTED_VALUE"""),"")</f>
        <v/>
      </c>
      <c r="G10867" s="42" t="str">
        <f>IFERROR(__xludf.DUMMYFUNCTION("""COMPUTED_VALUE"""),"Peralihan Hak")</f>
        <v>Peralihan Hak</v>
      </c>
      <c r="H10867" s="42">
        <f t="shared" si="1"/>
        <v>3345</v>
      </c>
    </row>
    <row r="10868" ht="22.5" customHeight="1">
      <c r="B10868" s="42" t="str">
        <f>IFERROR(__xludf.DUMMYFUNCTION("""COMPUTED_VALUE"""),"K/13/200126/1")</f>
        <v>K/13/200126/1</v>
      </c>
      <c r="C10868" s="42" t="str">
        <f>IFERROR(__xludf.DUMMYFUNCTION("""COMPUTED_VALUE"""),"M. 103/WAY KANDIS")</f>
        <v>M. 103/WAY KANDIS</v>
      </c>
      <c r="D10868" s="42"/>
      <c r="E10868" s="42"/>
      <c r="F10868" s="48" t="str">
        <f>IFERROR(__xludf.DUMMYFUNCTION("""COMPUTED_VALUE"""),"")</f>
        <v/>
      </c>
      <c r="G10868" s="42" t="str">
        <f>IFERROR(__xludf.DUMMYFUNCTION("""COMPUTED_VALUE"""),"BLOKIR")</f>
        <v>BLOKIR</v>
      </c>
      <c r="H10868" s="42">
        <f t="shared" si="1"/>
        <v>3345</v>
      </c>
    </row>
    <row r="10869" ht="22.5" customHeight="1">
      <c r="B10869" s="42" t="str">
        <f>IFERROR(__xludf.DUMMYFUNCTION("""COMPUTED_VALUE"""),"ABNSGHER")</f>
        <v>ABNSGHER</v>
      </c>
      <c r="C10869" s="42">
        <f>IFERROR(__xludf.DUMMYFUNCTION("""COMPUTED_VALUE"""),6233.0)</f>
        <v>6233</v>
      </c>
      <c r="D10869" s="42"/>
      <c r="E10869" s="42"/>
      <c r="F10869" s="48" t="str">
        <f>IFERROR(__xludf.DUMMYFUNCTION("""COMPUTED_VALUE"""),"")</f>
        <v/>
      </c>
      <c r="G10869" s="42" t="str">
        <f>IFERROR(__xludf.DUMMYFUNCTION("""COMPUTED_VALUE"""),"Peralihan hak")</f>
        <v>Peralihan hak</v>
      </c>
      <c r="H10869" s="42">
        <f t="shared" si="1"/>
        <v>3345</v>
      </c>
    </row>
    <row r="10870" ht="22.5" customHeight="1">
      <c r="B10870" s="42" t="str">
        <f>IFERROR(__xludf.DUMMYFUNCTION("""COMPUTED_VALUE"""),"K/14/200126/1")</f>
        <v>K/14/200126/1</v>
      </c>
      <c r="C10870" s="42" t="str">
        <f>IFERROR(__xludf.DUMMYFUNCTION("""COMPUTED_VALUE"""),"M.11363/SUKABUMI")</f>
        <v>M.11363/SUKABUMI</v>
      </c>
      <c r="D10870" s="42"/>
      <c r="E10870" s="42"/>
      <c r="F10870" s="48" t="str">
        <f>IFERROR(__xludf.DUMMYFUNCTION("""COMPUTED_VALUE"""),"")</f>
        <v/>
      </c>
      <c r="G10870" s="42" t="str">
        <f>IFERROR(__xludf.DUMMYFUNCTION("""COMPUTED_VALUE"""),"ROYA")</f>
        <v>ROYA</v>
      </c>
      <c r="H10870" s="42">
        <f t="shared" si="1"/>
        <v>3345</v>
      </c>
    </row>
    <row r="10871" ht="22.5" customHeight="1">
      <c r="B10871" s="42" t="str">
        <f>IFERROR(__xludf.DUMMYFUNCTION("""COMPUTED_VALUE"""),"ABELKEUO")</f>
        <v>ABELKEUO</v>
      </c>
      <c r="C10871" s="42">
        <f>IFERROR(__xludf.DUMMYFUNCTION("""COMPUTED_VALUE"""),6237.0)</f>
        <v>6237</v>
      </c>
      <c r="D10871" s="42"/>
      <c r="E10871" s="42"/>
      <c r="F10871" s="48" t="str">
        <f>IFERROR(__xludf.DUMMYFUNCTION("""COMPUTED_VALUE"""),"")</f>
        <v/>
      </c>
      <c r="G10871" s="42" t="str">
        <f>IFERROR(__xludf.DUMMYFUNCTION("""COMPUTED_VALUE"""),"Peralihan Hak")</f>
        <v>Peralihan Hak</v>
      </c>
      <c r="H10871" s="42">
        <f t="shared" si="1"/>
        <v>3345</v>
      </c>
    </row>
    <row r="10872" ht="22.5" customHeight="1">
      <c r="B10872" s="42" t="str">
        <f>IFERROR(__xludf.DUMMYFUNCTION("""COMPUTED_VALUE"""),"K/15/200126/2")</f>
        <v>K/15/200126/2</v>
      </c>
      <c r="C10872" s="42" t="str">
        <f>IFERROR(__xludf.DUMMYFUNCTION("""COMPUTED_VALUE"""),"M.16505/SUKABUMI")</f>
        <v>M.16505/SUKABUMI</v>
      </c>
      <c r="D10872" s="42"/>
      <c r="E10872" s="42"/>
      <c r="F10872" s="48" t="str">
        <f>IFERROR(__xludf.DUMMYFUNCTION("""COMPUTED_VALUE"""),"")</f>
        <v/>
      </c>
      <c r="G10872" s="42" t="str">
        <f>IFERROR(__xludf.DUMMYFUNCTION("""COMPUTED_VALUE"""),"GANTI NAMA KREDITUR")</f>
        <v>GANTI NAMA KREDITUR</v>
      </c>
      <c r="H10872" s="42">
        <f t="shared" si="1"/>
        <v>3345</v>
      </c>
    </row>
    <row r="10873" ht="22.5" customHeight="1">
      <c r="B10873" s="42" t="str">
        <f>IFERROR(__xludf.DUMMYFUNCTION("""COMPUTED_VALUE"""),"AB055/ABZIJCDM")</f>
        <v>AB055/ABZIJCDM</v>
      </c>
      <c r="C10873" s="42" t="str">
        <f>IFERROR(__xludf.DUMMYFUNCTION("""COMPUTED_VALUE"""),"Shgb 08.01.0000245950")</f>
        <v>Shgb 08.01.0000245950</v>
      </c>
      <c r="D10873" s="42"/>
      <c r="E10873" s="42"/>
      <c r="F10873" s="48" t="str">
        <f>IFERROR(__xludf.DUMMYFUNCTION("""COMPUTED_VALUE"""),"")</f>
        <v/>
      </c>
      <c r="G10873" s="42" t="str">
        <f>IFERROR(__xludf.DUMMYFUNCTION("""COMPUTED_VALUE"""),"Balik nama")</f>
        <v>Balik nama</v>
      </c>
      <c r="H10873" s="42">
        <f t="shared" si="1"/>
        <v>3345</v>
      </c>
    </row>
    <row r="10874" ht="22.5" customHeight="1">
      <c r="B10874" s="42" t="str">
        <f>IFERROR(__xludf.DUMMYFUNCTION("""COMPUTED_VALUE"""),"L/17/200126/1")</f>
        <v>L/17/200126/1</v>
      </c>
      <c r="C10874" s="42" t="str">
        <f>IFERROR(__xludf.DUMMYFUNCTION("""COMPUTED_VALUE"""),"M.19105/SUKARAME")</f>
        <v>M.19105/SUKARAME</v>
      </c>
      <c r="D10874" s="42"/>
      <c r="E10874" s="42"/>
      <c r="F10874" s="48" t="str">
        <f>IFERROR(__xludf.DUMMYFUNCTION("""COMPUTED_VALUE"""),"")</f>
        <v/>
      </c>
      <c r="G10874" s="42" t="str">
        <f>IFERROR(__xludf.DUMMYFUNCTION("""COMPUTED_VALUE"""),"YUNIZAR FITRIANI")</f>
        <v>YUNIZAR FITRIANI</v>
      </c>
      <c r="H10874" s="42">
        <f t="shared" si="1"/>
        <v>3345</v>
      </c>
    </row>
    <row r="10875" ht="22.5" customHeight="1">
      <c r="B10875" s="42" t="str">
        <f>IFERROR(__xludf.DUMMYFUNCTION("""COMPUTED_VALUE"""),"L/18/200126/1")</f>
        <v>L/18/200126/1</v>
      </c>
      <c r="C10875" s="42" t="str">
        <f>IFERROR(__xludf.DUMMYFUNCTION("""COMPUTED_VALUE"""),"M.10292/KAMPUNG BARU")</f>
        <v>M.10292/KAMPUNG BARU</v>
      </c>
      <c r="D10875" s="42"/>
      <c r="E10875" s="42"/>
      <c r="F10875" s="48" t="str">
        <f>IFERROR(__xludf.DUMMYFUNCTION("""COMPUTED_VALUE"""),"")</f>
        <v/>
      </c>
      <c r="G10875" s="42" t="str">
        <f>IFERROR(__xludf.DUMMYFUNCTION("""COMPUTED_VALUE"""),"JUAL BELI")</f>
        <v>JUAL BELI</v>
      </c>
      <c r="H10875" s="42">
        <f t="shared" si="1"/>
        <v>3345</v>
      </c>
    </row>
    <row r="10876" ht="22.5" customHeight="1">
      <c r="B10876" s="42" t="str">
        <f>IFERROR(__xludf.DUMMYFUNCTION("""COMPUTED_VALUE"""),"L/19/200126/1")</f>
        <v>L/19/200126/1</v>
      </c>
      <c r="C10876" s="42" t="str">
        <f>IFERROR(__xludf.DUMMYFUNCTION("""COMPUTED_VALUE"""),"B.94/GUNUNG SULAH")</f>
        <v>B.94/GUNUNG SULAH</v>
      </c>
      <c r="D10876" s="42"/>
      <c r="E10876" s="42"/>
      <c r="F10876" s="48" t="str">
        <f>IFERROR(__xludf.DUMMYFUNCTION("""COMPUTED_VALUE"""),"")</f>
        <v/>
      </c>
      <c r="G10876" s="42" t="str">
        <f>IFERROR(__xludf.DUMMYFUNCTION("""COMPUTED_VALUE"""),"PENDAFTARAN SK")</f>
        <v>PENDAFTARAN SK</v>
      </c>
      <c r="H10876" s="42">
        <f t="shared" si="1"/>
        <v>3345</v>
      </c>
    </row>
    <row r="10877" ht="22.5" customHeight="1">
      <c r="B10877" s="42" t="str">
        <f>IFERROR(__xludf.DUMMYFUNCTION("""COMPUTED_VALUE"""),"L/7/171225/1")</f>
        <v>L/7/171225/1</v>
      </c>
      <c r="C10877" s="42" t="str">
        <f>IFERROR(__xludf.DUMMYFUNCTION("""COMPUTED_VALUE"""),"B. 34/GEDUNG MENENG")</f>
        <v>B. 34/GEDUNG MENENG</v>
      </c>
      <c r="D10877" s="42"/>
      <c r="E10877" s="42"/>
      <c r="F10877" s="48" t="str">
        <f>IFERROR(__xludf.DUMMYFUNCTION("""COMPUTED_VALUE"""),"")</f>
        <v/>
      </c>
      <c r="G10877" s="42" t="str">
        <f>IFERROR(__xludf.DUMMYFUNCTION("""COMPUTED_VALUE"""),"BN WARIS")</f>
        <v>BN WARIS</v>
      </c>
      <c r="H10877" s="42">
        <f t="shared" si="1"/>
        <v>3345</v>
      </c>
    </row>
    <row r="10878" ht="22.5" customHeight="1">
      <c r="B10878" s="42" t="str">
        <f>IFERROR(__xludf.DUMMYFUNCTION("""COMPUTED_VALUE"""),"ABZXLCMV")</f>
        <v>ABZXLCMV</v>
      </c>
      <c r="C10878" s="42" t="str">
        <f>IFERROR(__xludf.DUMMYFUNCTION("""COMPUTED_VALUE"""),"SHM 1001/Tb")</f>
        <v>SHM 1001/Tb</v>
      </c>
      <c r="D10878" s="42"/>
      <c r="E10878" s="42"/>
      <c r="F10878" s="48" t="str">
        <f>IFERROR(__xludf.DUMMYFUNCTION("""COMPUTED_VALUE"""),"")</f>
        <v/>
      </c>
      <c r="G10878" s="42" t="str">
        <f>IFERROR(__xludf.DUMMYFUNCTION("""COMPUTED_VALUE"""),"Peralihan hak waris")</f>
        <v>Peralihan hak waris</v>
      </c>
      <c r="H10878" s="42">
        <f t="shared" si="1"/>
        <v>3345</v>
      </c>
    </row>
    <row r="10879" ht="22.5" customHeight="1">
      <c r="B10879" s="42" t="str">
        <f>IFERROR(__xludf.DUMMYFUNCTION("""COMPUTED_VALUE"""),"ABTPKJPQ")</f>
        <v>ABTPKJPQ</v>
      </c>
      <c r="C10879" s="42" t="str">
        <f>IFERROR(__xludf.DUMMYFUNCTION("""COMPUTED_VALUE"""),"Nib 18097.0")</f>
        <v>Nib 18097.0</v>
      </c>
      <c r="D10879" s="42"/>
      <c r="E10879" s="42"/>
      <c r="F10879" s="48" t="str">
        <f>IFERROR(__xludf.DUMMYFUNCTION("""COMPUTED_VALUE"""),"")</f>
        <v/>
      </c>
      <c r="G10879" s="42" t="str">
        <f>IFERROR(__xludf.DUMMYFUNCTION("""COMPUTED_VALUE"""),"Balik nama")</f>
        <v>Balik nama</v>
      </c>
      <c r="H10879" s="42">
        <f t="shared" si="1"/>
        <v>3345</v>
      </c>
    </row>
    <row r="10880" ht="22.5" customHeight="1">
      <c r="B10880" s="42" t="str">
        <f>IFERROR(__xludf.DUMMYFUNCTION("""COMPUTED_VALUE"""),"ABIBMADX")</f>
        <v>ABIBMADX</v>
      </c>
      <c r="C10880" s="42" t="str">
        <f>IFERROR(__xludf.DUMMYFUNCTION("""COMPUTED_VALUE"""),"m 12045/ tanjung baru")</f>
        <v>m 12045/ tanjung baru</v>
      </c>
      <c r="D10880" s="42"/>
      <c r="E10880" s="42"/>
      <c r="F10880" s="48" t="str">
        <f>IFERROR(__xludf.DUMMYFUNCTION("""COMPUTED_VALUE"""),"")</f>
        <v/>
      </c>
      <c r="G10880" s="42" t="str">
        <f>IFERROR(__xludf.DUMMYFUNCTION("""COMPUTED_VALUE"""),"bn jual beli")</f>
        <v>bn jual beli</v>
      </c>
      <c r="H10880" s="42">
        <f t="shared" si="1"/>
        <v>3345</v>
      </c>
    </row>
    <row r="10881" ht="22.5" customHeight="1">
      <c r="B10881" s="42" t="str">
        <f>IFERROR(__xludf.DUMMYFUNCTION("""COMPUTED_VALUE"""),"ABADOPTV")</f>
        <v>ABADOPTV</v>
      </c>
      <c r="C10881" s="42" t="str">
        <f>IFERROR(__xludf.DUMMYFUNCTION("""COMPUTED_VALUE"""),"m 61/ pesawahan")</f>
        <v>m 61/ pesawahan</v>
      </c>
      <c r="D10881" s="42"/>
      <c r="E10881" s="42"/>
      <c r="F10881" s="48" t="str">
        <f>IFERROR(__xludf.DUMMYFUNCTION("""COMPUTED_VALUE"""),"")</f>
        <v/>
      </c>
      <c r="G10881" s="42" t="str">
        <f>IFERROR(__xludf.DUMMYFUNCTION("""COMPUTED_VALUE"""),"bn waris")</f>
        <v>bn waris</v>
      </c>
      <c r="H10881" s="42">
        <f t="shared" si="1"/>
        <v>3345</v>
      </c>
    </row>
    <row r="10882" ht="22.5" customHeight="1">
      <c r="B10882" s="42" t="str">
        <f>IFERROR(__xludf.DUMMYFUNCTION("""COMPUTED_VALUE"""),"ABXZEGTL")</f>
        <v>ABXZEGTL</v>
      </c>
      <c r="C10882" s="42" t="str">
        <f>IFERROR(__xludf.DUMMYFUNCTION("""COMPUTED_VALUE"""),"m 222/ pesawahan")</f>
        <v>m 222/ pesawahan</v>
      </c>
      <c r="D10882" s="42"/>
      <c r="E10882" s="42"/>
      <c r="F10882" s="48" t="str">
        <f>IFERROR(__xludf.DUMMYFUNCTION("""COMPUTED_VALUE"""),"")</f>
        <v/>
      </c>
      <c r="G10882" s="42" t="str">
        <f>IFERROR(__xludf.DUMMYFUNCTION("""COMPUTED_VALUE"""),"bn waris")</f>
        <v>bn waris</v>
      </c>
      <c r="H10882" s="42">
        <f t="shared" si="1"/>
        <v>3345</v>
      </c>
    </row>
    <row r="10883" ht="22.5" customHeight="1">
      <c r="B10883" s="42" t="str">
        <f>IFERROR(__xludf.DUMMYFUNCTION("""COMPUTED_VALUE"""),"ABVEPDVV")</f>
        <v>ABVEPDVV</v>
      </c>
      <c r="C10883" s="42" t="str">
        <f>IFERROR(__xludf.DUMMYFUNCTION("""COMPUTED_VALUE"""),"m 27323/ keteguhan")</f>
        <v>m 27323/ keteguhan</v>
      </c>
      <c r="D10883" s="42"/>
      <c r="E10883" s="42"/>
      <c r="F10883" s="48" t="str">
        <f>IFERROR(__xludf.DUMMYFUNCTION("""COMPUTED_VALUE"""),"")</f>
        <v/>
      </c>
      <c r="G10883" s="42" t="str">
        <f>IFERROR(__xludf.DUMMYFUNCTION("""COMPUTED_VALUE"""),"ptpgt")</f>
        <v>ptpgt</v>
      </c>
      <c r="H10883" s="42">
        <f t="shared" si="1"/>
        <v>3345</v>
      </c>
    </row>
    <row r="10884" ht="22.5" customHeight="1">
      <c r="B10884" s="42" t="str">
        <f>IFERROR(__xludf.DUMMYFUNCTION("""COMPUTED_VALUE"""),"ABVAJTXX")</f>
        <v>ABVAJTXX</v>
      </c>
      <c r="C10884" s="42" t="str">
        <f>IFERROR(__xludf.DUMMYFUNCTION("""COMPUTED_VALUE"""),"Hgb NIB 0000164020")</f>
        <v>Hgb NIB 0000164020</v>
      </c>
      <c r="D10884" s="42"/>
      <c r="E10884" s="42"/>
      <c r="F10884" s="48" t="str">
        <f>IFERROR(__xludf.DUMMYFUNCTION("""COMPUTED_VALUE"""),"")</f>
        <v/>
      </c>
      <c r="G10884" s="42" t="str">
        <f>IFERROR(__xludf.DUMMYFUNCTION("""COMPUTED_VALUE"""),"Peralihan Hak")</f>
        <v>Peralihan Hak</v>
      </c>
      <c r="H10884" s="42">
        <f t="shared" si="1"/>
        <v>3345</v>
      </c>
    </row>
    <row r="10885" ht="22.5" customHeight="1">
      <c r="B10885" s="42" t="str">
        <f>IFERROR(__xludf.DUMMYFUNCTION("""COMPUTED_VALUE"""),"ABCIHNWV/AB039")</f>
        <v>ABCIHNWV/AB039</v>
      </c>
      <c r="C10885" s="42" t="str">
        <f>IFERROR(__xludf.DUMMYFUNCTION("""COMPUTED_VALUE"""),"M. 1889/Rajabasa nyunyai")</f>
        <v>M. 1889/Rajabasa nyunyai</v>
      </c>
      <c r="D10885" s="42"/>
      <c r="E10885" s="42"/>
      <c r="F10885" s="48" t="str">
        <f>IFERROR(__xludf.DUMMYFUNCTION("""COMPUTED_VALUE"""),"")</f>
        <v/>
      </c>
      <c r="G10885" s="42" t="str">
        <f>IFERROR(__xludf.DUMMYFUNCTION("""COMPUTED_VALUE"""),"PTPGT")</f>
        <v>PTPGT</v>
      </c>
      <c r="H10885" s="42">
        <f t="shared" si="1"/>
        <v>3345</v>
      </c>
    </row>
    <row r="10886" ht="22.5" customHeight="1">
      <c r="B10886" s="42" t="str">
        <f>IFERROR(__xludf.DUMMYFUNCTION("""COMPUTED_VALUE"""),"ABFPOGVV")</f>
        <v>ABFPOGVV</v>
      </c>
      <c r="C10886" s="42" t="str">
        <f>IFERROR(__xludf.DUMMYFUNCTION("""COMPUTED_VALUE"""),"01456/KupangKota")</f>
        <v>01456/KupangKota</v>
      </c>
      <c r="D10886" s="42"/>
      <c r="E10886" s="42"/>
      <c r="F10886" s="48" t="str">
        <f>IFERROR(__xludf.DUMMYFUNCTION("""COMPUTED_VALUE"""),"")</f>
        <v/>
      </c>
      <c r="G10886" s="42" t="str">
        <f>IFERROR(__xludf.DUMMYFUNCTION("""COMPUTED_VALUE"""),"KUASA MITRA PPAT")</f>
        <v>KUASA MITRA PPAT</v>
      </c>
      <c r="H10886" s="42">
        <f t="shared" si="1"/>
        <v>3345</v>
      </c>
    </row>
    <row r="10887" ht="22.5" customHeight="1">
      <c r="B10887" s="42" t="str">
        <f>IFERROR(__xludf.DUMMYFUNCTION("""COMPUTED_VALUE"""),"ABALUCTY")</f>
        <v>ABALUCTY</v>
      </c>
      <c r="C10887" s="42" t="str">
        <f>IFERROR(__xludf.DUMMYFUNCTION("""COMPUTED_VALUE"""),"0801000285840/SumurPutri")</f>
        <v>0801000285840/SumurPutri</v>
      </c>
      <c r="D10887" s="42"/>
      <c r="E10887" s="42"/>
      <c r="F10887" s="48" t="str">
        <f>IFERROR(__xludf.DUMMYFUNCTION("""COMPUTED_VALUE"""),"")</f>
        <v/>
      </c>
      <c r="G10887" s="42" t="str">
        <f>IFERROR(__xludf.DUMMYFUNCTION("""COMPUTED_VALUE"""),"KUASA MITRA PPAT")</f>
        <v>KUASA MITRA PPAT</v>
      </c>
      <c r="H10887" s="42">
        <f t="shared" si="1"/>
        <v>3345</v>
      </c>
    </row>
    <row r="10888" ht="22.5" customHeight="1">
      <c r="B10888" s="42" t="str">
        <f>IFERROR(__xludf.DUMMYFUNCTION("""COMPUTED_VALUE"""),"K/16/200126/1")</f>
        <v>K/16/200126/1</v>
      </c>
      <c r="C10888" s="42" t="str">
        <f>IFERROR(__xludf.DUMMYFUNCTION("""COMPUTED_VALUE"""),"SUMUR BATU")</f>
        <v>SUMUR BATU</v>
      </c>
      <c r="D10888" s="42"/>
      <c r="E10888" s="42"/>
      <c r="F10888" s="48" t="str">
        <f>IFERROR(__xludf.DUMMYFUNCTION("""COMPUTED_VALUE"""),"")</f>
        <v/>
      </c>
      <c r="G10888" s="42" t="str">
        <f>IFERROR(__xludf.DUMMYFUNCTION("""COMPUTED_VALUE"""),"PENGUKURAN PERTAMA KALI")</f>
        <v>PENGUKURAN PERTAMA KALI</v>
      </c>
      <c r="H10888" s="42">
        <f t="shared" si="1"/>
        <v>3345</v>
      </c>
    </row>
    <row r="10889" ht="22.5" customHeight="1">
      <c r="B10889" s="42" t="str">
        <f>IFERROR(__xludf.DUMMYFUNCTION("""COMPUTED_VALUE"""),"ABSOLFNS")</f>
        <v>ABSOLFNS</v>
      </c>
      <c r="C10889" s="42" t="str">
        <f>IFERROR(__xludf.DUMMYFUNCTION("""COMPUTED_VALUE"""),"M.24077 BUMI KEDAMAIAN")</f>
        <v>M.24077 BUMI KEDAMAIAN</v>
      </c>
      <c r="D10889" s="42"/>
      <c r="E10889" s="42"/>
      <c r="F10889" s="48" t="str">
        <f>IFERROR(__xludf.DUMMYFUNCTION("""COMPUTED_VALUE"""),"")</f>
        <v/>
      </c>
      <c r="G10889" s="42" t="str">
        <f>IFERROR(__xludf.DUMMYFUNCTION("""COMPUTED_VALUE"""),"Bn jual beli")</f>
        <v>Bn jual beli</v>
      </c>
      <c r="H10889" s="42">
        <f t="shared" si="1"/>
        <v>3345</v>
      </c>
    </row>
    <row r="10890" ht="22.5" customHeight="1">
      <c r="B10890" s="42" t="str">
        <f>IFERROR(__xludf.DUMMYFUNCTION("""COMPUTED_VALUE"""),"ABKPVXLO")</f>
        <v>ABKPVXLO</v>
      </c>
      <c r="C10890" s="42" t="str">
        <f>IFERROR(__xludf.DUMMYFUNCTION("""COMPUTED_VALUE"""),"nibel m 25893/ gunung agung")</f>
        <v>nibel m 25893/ gunung agung</v>
      </c>
      <c r="D10890" s="42"/>
      <c r="E10890" s="42"/>
      <c r="F10890" s="48" t="str">
        <f>IFERROR(__xludf.DUMMYFUNCTION("""COMPUTED_VALUE"""),"")</f>
        <v/>
      </c>
      <c r="G10890" s="42" t="str">
        <f>IFERROR(__xludf.DUMMYFUNCTION("""COMPUTED_VALUE"""),"Bn AJB ")</f>
        <v>Bn AJB </v>
      </c>
      <c r="H10890" s="42">
        <f t="shared" si="1"/>
        <v>3345</v>
      </c>
    </row>
    <row r="10891" ht="22.5" customHeight="1">
      <c r="B10891" s="42" t="str">
        <f>IFERROR(__xludf.DUMMYFUNCTION("""COMPUTED_VALUE"""),"K/1/210126/1")</f>
        <v>K/1/210126/1</v>
      </c>
      <c r="C10891" s="42" t="str">
        <f>IFERROR(__xludf.DUMMYFUNCTION("""COMPUTED_VALUE"""),"M. 3019/WAY KANDIS")</f>
        <v>M. 3019/WAY KANDIS</v>
      </c>
      <c r="D10891" s="42"/>
      <c r="E10891" s="42"/>
      <c r="F10891" s="48" t="str">
        <f>IFERROR(__xludf.DUMMYFUNCTION("""COMPUTED_VALUE"""),"")</f>
        <v/>
      </c>
      <c r="G10891" s="42" t="str">
        <f>IFERROR(__xludf.DUMMYFUNCTION("""COMPUTED_VALUE"""),"SKPT LELANG")</f>
        <v>SKPT LELANG</v>
      </c>
      <c r="H10891" s="42">
        <f t="shared" si="1"/>
        <v>3345</v>
      </c>
    </row>
    <row r="10892" ht="22.5" customHeight="1">
      <c r="B10892" s="42" t="str">
        <f>IFERROR(__xludf.DUMMYFUNCTION("""COMPUTED_VALUE"""),"ABCVANDK")</f>
        <v>ABCVANDK</v>
      </c>
      <c r="C10892" s="42" t="str">
        <f>IFERROR(__xludf.DUMMYFUNCTION("""COMPUTED_VALUE"""),"NIBEL M 23014/ SUKARAJA")</f>
        <v>NIBEL M 23014/ SUKARAJA</v>
      </c>
      <c r="D10892" s="42"/>
      <c r="E10892" s="42"/>
      <c r="F10892" s="48" t="str">
        <f>IFERROR(__xludf.DUMMYFUNCTION("""COMPUTED_VALUE"""),"")</f>
        <v/>
      </c>
      <c r="G10892" s="42" t="str">
        <f>IFERROR(__xludf.DUMMYFUNCTION("""COMPUTED_VALUE"""),"Balik Nama")</f>
        <v>Balik Nama</v>
      </c>
      <c r="H10892" s="42">
        <f t="shared" si="1"/>
        <v>3345</v>
      </c>
    </row>
    <row r="10893" ht="22.5" customHeight="1">
      <c r="B10893" s="42" t="str">
        <f>IFERROR(__xludf.DUMMYFUNCTION("""COMPUTED_VALUE"""),"ABAOQUOT")</f>
        <v>ABAOQUOT</v>
      </c>
      <c r="C10893" s="42" t="str">
        <f>IFERROR(__xludf.DUMMYFUNCTION("""COMPUTED_VALUE"""),"M.617")</f>
        <v>M.617</v>
      </c>
      <c r="D10893" s="42"/>
      <c r="E10893" s="42"/>
      <c r="F10893" s="48" t="str">
        <f>IFERROR(__xludf.DUMMYFUNCTION("""COMPUTED_VALUE"""),"")</f>
        <v/>
      </c>
      <c r="G10893" s="42" t="str">
        <f>IFERROR(__xludf.DUMMYFUNCTION("""COMPUTED_VALUE"""),"Bn jual beli")</f>
        <v>Bn jual beli</v>
      </c>
      <c r="H10893" s="42">
        <f t="shared" si="1"/>
        <v>3345</v>
      </c>
    </row>
    <row r="10894" ht="22.5" customHeight="1">
      <c r="B10894" s="42" t="str">
        <f>IFERROR(__xludf.DUMMYFUNCTION("""COMPUTED_VALUE"""),"ABAOQUPT")</f>
        <v>ABAOQUPT</v>
      </c>
      <c r="C10894" s="42" t="str">
        <f>IFERROR(__xludf.DUMMYFUNCTION("""COMPUTED_VALUE"""),"M.3008  SUKARAME II")</f>
        <v>M.3008  SUKARAME II</v>
      </c>
      <c r="D10894" s="42"/>
      <c r="E10894" s="42"/>
      <c r="F10894" s="48" t="str">
        <f>IFERROR(__xludf.DUMMYFUNCTION("""COMPUTED_VALUE"""),"")</f>
        <v/>
      </c>
      <c r="G10894" s="42" t="str">
        <f>IFERROR(__xludf.DUMMYFUNCTION("""COMPUTED_VALUE"""),"Bn jual beli")</f>
        <v>Bn jual beli</v>
      </c>
      <c r="H10894" s="42">
        <f t="shared" si="1"/>
        <v>3345</v>
      </c>
    </row>
    <row r="10895" ht="22.5" customHeight="1">
      <c r="B10895" s="42" t="str">
        <f>IFERROR(__xludf.DUMMYFUNCTION("""COMPUTED_VALUE"""),"K/2/210126/1")</f>
        <v>K/2/210126/1</v>
      </c>
      <c r="C10895" s="42" t="str">
        <f>IFERROR(__xludf.DUMMYFUNCTION("""COMPUTED_VALUE"""),"M. 13894/SUKABUMI")</f>
        <v>M. 13894/SUKABUMI</v>
      </c>
      <c r="D10895" s="42"/>
      <c r="E10895" s="42"/>
      <c r="F10895" s="48" t="str">
        <f>IFERROR(__xludf.DUMMYFUNCTION("""COMPUTED_VALUE"""),"")</f>
        <v/>
      </c>
      <c r="G10895" s="42" t="str">
        <f>IFERROR(__xludf.DUMMYFUNCTION("""COMPUTED_VALUE"""),"PEMECAHAN")</f>
        <v>PEMECAHAN</v>
      </c>
      <c r="H10895" s="42">
        <f t="shared" si="1"/>
        <v>3345</v>
      </c>
    </row>
    <row r="10896" ht="22.5" customHeight="1">
      <c r="B10896" s="42" t="str">
        <f>IFERROR(__xludf.DUMMYFUNCTION("""COMPUTED_VALUE"""),"ABIDGGBY/Ab043")</f>
        <v>ABIDGGBY/Ab043</v>
      </c>
      <c r="C10896" s="42" t="str">
        <f>IFERROR(__xludf.DUMMYFUNCTION("""COMPUTED_VALUE"""),"M. 9951/Sidodadi")</f>
        <v>M. 9951/Sidodadi</v>
      </c>
      <c r="D10896" s="42"/>
      <c r="E10896" s="42"/>
      <c r="F10896" s="48" t="str">
        <f>IFERROR(__xludf.DUMMYFUNCTION("""COMPUTED_VALUE"""),"")</f>
        <v/>
      </c>
      <c r="G10896" s="42" t="str">
        <f>IFERROR(__xludf.DUMMYFUNCTION("""COMPUTED_VALUE"""),"BN waris")</f>
        <v>BN waris</v>
      </c>
      <c r="H10896" s="42">
        <f t="shared" si="1"/>
        <v>3345</v>
      </c>
    </row>
    <row r="10897" ht="22.5" customHeight="1">
      <c r="B10897" s="42" t="str">
        <f>IFERROR(__xludf.DUMMYFUNCTION("""COMPUTED_VALUE"""),"L/4/210126/1")</f>
        <v>L/4/210126/1</v>
      </c>
      <c r="C10897" s="42" t="str">
        <f>IFERROR(__xludf.DUMMYFUNCTION("""COMPUTED_VALUE"""),"M. 825/SEPANG JAYA")</f>
        <v>M. 825/SEPANG JAYA</v>
      </c>
      <c r="D10897" s="42"/>
      <c r="E10897" s="42"/>
      <c r="F10897" s="48" t="str">
        <f>IFERROR(__xludf.DUMMYFUNCTION("""COMPUTED_VALUE"""),"")</f>
        <v/>
      </c>
      <c r="G10897" s="42" t="str">
        <f>IFERROR(__xludf.DUMMYFUNCTION("""COMPUTED_VALUE"""),"ROYA")</f>
        <v>ROYA</v>
      </c>
      <c r="H10897" s="42">
        <f t="shared" si="1"/>
        <v>3345</v>
      </c>
    </row>
    <row r="10898" ht="22.5" customHeight="1">
      <c r="B10898" s="42" t="str">
        <f>IFERROR(__xludf.DUMMYFUNCTION("""COMPUTED_VALUE"""),"L/5/210126/1")</f>
        <v>L/5/210126/1</v>
      </c>
      <c r="C10898" s="42" t="str">
        <f>IFERROR(__xludf.DUMMYFUNCTION("""COMPUTED_VALUE"""),"M. 12287/KEDATON")</f>
        <v>M. 12287/KEDATON</v>
      </c>
      <c r="D10898" s="42"/>
      <c r="E10898" s="42"/>
      <c r="F10898" s="48" t="str">
        <f>IFERROR(__xludf.DUMMYFUNCTION("""COMPUTED_VALUE"""),"")</f>
        <v/>
      </c>
      <c r="G10898" s="42" t="str">
        <f>IFERROR(__xludf.DUMMYFUNCTION("""COMPUTED_VALUE"""),"ROYA")</f>
        <v>ROYA</v>
      </c>
      <c r="H10898" s="42">
        <f t="shared" si="1"/>
        <v>3345</v>
      </c>
    </row>
    <row r="10899" ht="22.5" customHeight="1">
      <c r="B10899" s="42" t="str">
        <f>IFERROR(__xludf.DUMMYFUNCTION("""COMPUTED_VALUE"""),"K/3/210126/2")</f>
        <v>K/3/210126/2</v>
      </c>
      <c r="C10899" s="42" t="str">
        <f>IFERROR(__xludf.DUMMYFUNCTION("""COMPUTED_VALUE"""),"NIBEL M. 16939/SUKABUMI")</f>
        <v>NIBEL M. 16939/SUKABUMI</v>
      </c>
      <c r="D10899" s="42"/>
      <c r="E10899" s="42"/>
      <c r="F10899" s="48" t="str">
        <f>IFERROR(__xludf.DUMMYFUNCTION("""COMPUTED_VALUE"""),"")</f>
        <v/>
      </c>
      <c r="G10899" s="42" t="str">
        <f>IFERROR(__xludf.DUMMYFUNCTION("""COMPUTED_VALUE"""),"PEMECAHAN")</f>
        <v>PEMECAHAN</v>
      </c>
      <c r="H10899" s="42">
        <f t="shared" si="1"/>
        <v>3345</v>
      </c>
    </row>
    <row r="10900" ht="22.5" customHeight="1">
      <c r="B10900" s="42" t="str">
        <f>IFERROR(__xludf.DUMMYFUNCTION("""COMPUTED_VALUE"""),"K/6/210126/1")</f>
        <v>K/6/210126/1</v>
      </c>
      <c r="C10900" s="42" t="str">
        <f>IFERROR(__xludf.DUMMYFUNCTION("""COMPUTED_VALUE"""),"M. 12887/SUKABUMI")</f>
        <v>M. 12887/SUKABUMI</v>
      </c>
      <c r="D10900" s="42"/>
      <c r="E10900" s="42"/>
      <c r="F10900" s="48" t="str">
        <f>IFERROR(__xludf.DUMMYFUNCTION("""COMPUTED_VALUE"""),"")</f>
        <v/>
      </c>
      <c r="G10900" s="42" t="str">
        <f>IFERROR(__xludf.DUMMYFUNCTION("""COMPUTED_VALUE"""),"PEMECAHAN")</f>
        <v>PEMECAHAN</v>
      </c>
      <c r="H10900" s="42">
        <f t="shared" si="1"/>
        <v>3345</v>
      </c>
    </row>
    <row r="10901" ht="22.5" customHeight="1">
      <c r="B10901" s="42" t="str">
        <f>IFERROR(__xludf.DUMMYFUNCTION("""COMPUTED_VALUE"""),"K/7/210126/1")</f>
        <v>K/7/210126/1</v>
      </c>
      <c r="C10901" s="42" t="str">
        <f>IFERROR(__xludf.DUMMYFUNCTION("""COMPUTED_VALUE"""),"M. 2048/SEPANG JAYA")</f>
        <v>M. 2048/SEPANG JAYA</v>
      </c>
      <c r="D10901" s="42"/>
      <c r="E10901" s="42"/>
      <c r="F10901" s="48" t="str">
        <f>IFERROR(__xludf.DUMMYFUNCTION("""COMPUTED_VALUE"""),"")</f>
        <v/>
      </c>
      <c r="G10901" s="42" t="str">
        <f>IFERROR(__xludf.DUMMYFUNCTION("""COMPUTED_VALUE"""),"BN WARIS")</f>
        <v>BN WARIS</v>
      </c>
      <c r="H10901" s="42">
        <f t="shared" si="1"/>
        <v>3345</v>
      </c>
    </row>
    <row r="10902" ht="22.5" customHeight="1">
      <c r="B10902" s="42" t="str">
        <f>IFERROR(__xludf.DUMMYFUNCTION("""COMPUTED_VALUE"""),"ABBJBRBJ/AB046")</f>
        <v>ABBJBRBJ/AB046</v>
      </c>
      <c r="C10902" s="42" t="str">
        <f>IFERROR(__xludf.DUMMYFUNCTION("""COMPUTED_VALUE"""),"M.14989/ rajabasa")</f>
        <v>M.14989/ rajabasa</v>
      </c>
      <c r="D10902" s="42"/>
      <c r="E10902" s="42"/>
      <c r="F10902" s="48" t="str">
        <f>IFERROR(__xludf.DUMMYFUNCTION("""COMPUTED_VALUE"""),"")</f>
        <v/>
      </c>
      <c r="G10902" s="42" t="str">
        <f>IFERROR(__xludf.DUMMYFUNCTION("""COMPUTED_VALUE"""),"Bn jual beli")</f>
        <v>Bn jual beli</v>
      </c>
      <c r="H10902" s="42">
        <f t="shared" si="1"/>
        <v>3345</v>
      </c>
    </row>
    <row r="10903" ht="22.5" customHeight="1">
      <c r="B10903" s="42" t="str">
        <f>IFERROR(__xludf.DUMMYFUNCTION("""COMPUTED_VALUE"""),"ABXMMWAK/AB046")</f>
        <v>ABXMMWAK/AB046</v>
      </c>
      <c r="C10903" s="42" t="str">
        <f>IFERROR(__xludf.DUMMYFUNCTION("""COMPUTED_VALUE"""),"M. NIBEL 24277/ kupang teba")</f>
        <v>M. NIBEL 24277/ kupang teba</v>
      </c>
      <c r="D10903" s="42"/>
      <c r="E10903" s="42"/>
      <c r="F10903" s="48" t="str">
        <f>IFERROR(__xludf.DUMMYFUNCTION("""COMPUTED_VALUE"""),"")</f>
        <v/>
      </c>
      <c r="G10903" s="42" t="str">
        <f>IFERROR(__xludf.DUMMYFUNCTION("""COMPUTED_VALUE"""),"Bn jual beli")</f>
        <v>Bn jual beli</v>
      </c>
      <c r="H10903" s="42">
        <f t="shared" si="1"/>
        <v>3345</v>
      </c>
    </row>
    <row r="10904" ht="22.5" customHeight="1">
      <c r="B10904" s="42" t="str">
        <f>IFERROR(__xludf.DUMMYFUNCTION("""COMPUTED_VALUE"""),"ABQVBSKJ")</f>
        <v>ABQVBSKJ</v>
      </c>
      <c r="C10904" s="42" t="str">
        <f>IFERROR(__xludf.DUMMYFUNCTION("""COMPUTED_VALUE"""),"M.01212/Rajabasa Raya")</f>
        <v>M.01212/Rajabasa Raya</v>
      </c>
      <c r="D10904" s="42"/>
      <c r="E10904" s="42"/>
      <c r="F10904" s="48" t="str">
        <f>IFERROR(__xludf.DUMMYFUNCTION("""COMPUTED_VALUE"""),"")</f>
        <v/>
      </c>
      <c r="G10904" s="42" t="str">
        <f>IFERROR(__xludf.DUMMYFUNCTION("""COMPUTED_VALUE"""),"PTPGT")</f>
        <v>PTPGT</v>
      </c>
      <c r="H10904" s="42">
        <f t="shared" si="1"/>
        <v>3345</v>
      </c>
    </row>
    <row r="10905" ht="22.5" customHeight="1">
      <c r="B10905" s="42" t="str">
        <f>IFERROR(__xludf.DUMMYFUNCTION("""COMPUTED_VALUE"""),"ABQCXAHT")</f>
        <v>ABQCXAHT</v>
      </c>
      <c r="C10905" s="42" t="str">
        <f>IFERROR(__xludf.DUMMYFUNCTION("""COMPUTED_VALUE"""),"NIBEL M 25417/Kemiling Raya")</f>
        <v>NIBEL M 25417/Kemiling Raya</v>
      </c>
      <c r="D10905" s="42"/>
      <c r="E10905" s="42"/>
      <c r="F10905" s="48" t="str">
        <f>IFERROR(__xludf.DUMMYFUNCTION("""COMPUTED_VALUE"""),"")</f>
        <v/>
      </c>
      <c r="G10905" s="42" t="str">
        <f>IFERROR(__xludf.DUMMYFUNCTION("""COMPUTED_VALUE"""),"Ajb")</f>
        <v>Ajb</v>
      </c>
      <c r="H10905" s="42">
        <f t="shared" si="1"/>
        <v>3345</v>
      </c>
    </row>
    <row r="10906" ht="22.5" customHeight="1">
      <c r="B10906" s="42" t="str">
        <f>IFERROR(__xludf.DUMMYFUNCTION("""COMPUTED_VALUE"""),"L/8/210126/1")</f>
        <v>L/8/210126/1</v>
      </c>
      <c r="C10906" s="42" t="str">
        <f>IFERROR(__xludf.DUMMYFUNCTION("""COMPUTED_VALUE"""),"KEL. KAMPUNG BARU PBT 115/2025")</f>
        <v>KEL. KAMPUNG BARU PBT 115/2025</v>
      </c>
      <c r="D10906" s="42"/>
      <c r="E10906" s="42"/>
      <c r="F10906" s="48" t="str">
        <f>IFERROR(__xludf.DUMMYFUNCTION("""COMPUTED_VALUE"""),"")</f>
        <v/>
      </c>
      <c r="G10906" s="42" t="str">
        <f>IFERROR(__xludf.DUMMYFUNCTION("""COMPUTED_VALUE"""),"PERMOHONAN SK")</f>
        <v>PERMOHONAN SK</v>
      </c>
      <c r="H10906" s="42">
        <f t="shared" si="1"/>
        <v>3345</v>
      </c>
    </row>
    <row r="10907" ht="22.5" customHeight="1">
      <c r="B10907" s="42" t="str">
        <f>IFERROR(__xludf.DUMMYFUNCTION("""COMPUTED_VALUE"""),"ABEVLHYC")</f>
        <v>ABEVLHYC</v>
      </c>
      <c r="C10907" s="42" t="str">
        <f>IFERROR(__xludf.DUMMYFUNCTION("""COMPUTED_VALUE"""),"B.00795/Sukarame Baru")</f>
        <v>B.00795/Sukarame Baru</v>
      </c>
      <c r="D10907" s="42"/>
      <c r="E10907" s="42"/>
      <c r="F10907" s="48" t="str">
        <f>IFERROR(__xludf.DUMMYFUNCTION("""COMPUTED_VALUE"""),"")</f>
        <v/>
      </c>
      <c r="G10907" s="42" t="str">
        <f>IFERROR(__xludf.DUMMYFUNCTION("""COMPUTED_VALUE"""),"Balik nama")</f>
        <v>Balik nama</v>
      </c>
      <c r="H10907" s="42">
        <f t="shared" si="1"/>
        <v>3345</v>
      </c>
    </row>
    <row r="10908" ht="22.5" customHeight="1">
      <c r="B10908" s="42" t="str">
        <f>IFERROR(__xludf.DUMMYFUNCTION("""COMPUTED_VALUE"""),"ABELTONE")</f>
        <v>ABELTONE</v>
      </c>
      <c r="C10908" s="42" t="str">
        <f>IFERROR(__xludf.DUMMYFUNCTION("""COMPUTED_VALUE"""),"“-“")</f>
        <v>“-“</v>
      </c>
      <c r="D10908" s="42"/>
      <c r="E10908" s="42"/>
      <c r="F10908" s="48" t="str">
        <f>IFERROR(__xludf.DUMMYFUNCTION("""COMPUTED_VALUE"""),"")</f>
        <v/>
      </c>
      <c r="G10908" s="42" t="str">
        <f>IFERROR(__xludf.DUMMYFUNCTION("""COMPUTED_VALUE"""),"Pendaftaran Tanah Pertama Kali")</f>
        <v>Pendaftaran Tanah Pertama Kali</v>
      </c>
      <c r="H10908" s="42">
        <f t="shared" si="1"/>
        <v>3345</v>
      </c>
    </row>
    <row r="10909" ht="22.5" customHeight="1">
      <c r="B10909" s="42" t="str">
        <f>IFERROR(__xludf.DUMMYFUNCTION("""COMPUTED_VALUE"""),"L/9/210126/1")</f>
        <v>L/9/210126/1</v>
      </c>
      <c r="C10909" s="42" t="str">
        <f>IFERROR(__xludf.DUMMYFUNCTION("""COMPUTED_VALUE"""),"M. 3046/KUPANG TEBA")</f>
        <v>M. 3046/KUPANG TEBA</v>
      </c>
      <c r="D10909" s="42"/>
      <c r="E10909" s="42"/>
      <c r="F10909" s="48" t="str">
        <f>IFERROR(__xludf.DUMMYFUNCTION("""COMPUTED_VALUE"""),"")</f>
        <v/>
      </c>
      <c r="G10909" s="42" t="str">
        <f>IFERROR(__xludf.DUMMYFUNCTION("""COMPUTED_VALUE"""),"HAPUS BPHTB")</f>
        <v>HAPUS BPHTB</v>
      </c>
      <c r="H10909" s="42">
        <f t="shared" si="1"/>
        <v>3345</v>
      </c>
    </row>
    <row r="10910" ht="22.5" customHeight="1">
      <c r="B10910" s="42" t="str">
        <f>IFERROR(__xludf.DUMMYFUNCTION("""COMPUTED_VALUE"""),"ABQXLASF/Ab013")</f>
        <v>ABQXLASF/Ab013</v>
      </c>
      <c r="C10910" s="42" t="str">
        <f>IFERROR(__xludf.DUMMYFUNCTION("""COMPUTED_VALUE"""),"M. 1426/sumur puteri")</f>
        <v>M. 1426/sumur puteri</v>
      </c>
      <c r="D10910" s="42"/>
      <c r="E10910" s="42"/>
      <c r="F10910" s="48" t="str">
        <f>IFERROR(__xludf.DUMMYFUNCTION("""COMPUTED_VALUE"""),"")</f>
        <v/>
      </c>
      <c r="G10910" s="42" t="str">
        <f>IFERROR(__xludf.DUMMYFUNCTION("""COMPUTED_VALUE"""),"Bn jual beli")</f>
        <v>Bn jual beli</v>
      </c>
      <c r="H10910" s="42">
        <f t="shared" si="1"/>
        <v>3345</v>
      </c>
    </row>
    <row r="10911" ht="22.5" customHeight="1">
      <c r="B10911" s="42" t="str">
        <f>IFERROR(__xludf.DUMMYFUNCTION("""COMPUTED_VALUE"""),"L/10/210126/1")</f>
        <v>L/10/210126/1</v>
      </c>
      <c r="C10911" s="42" t="str">
        <f>IFERROR(__xludf.DUMMYFUNCTION("""COMPUTED_VALUE"""),"M NIB 28187/SUKARAME BARU")</f>
        <v>M NIB 28187/SUKARAME BARU</v>
      </c>
      <c r="D10911" s="42"/>
      <c r="E10911" s="42"/>
      <c r="F10911" s="48" t="str">
        <f>IFERROR(__xludf.DUMMYFUNCTION("""COMPUTED_VALUE"""),"")</f>
        <v/>
      </c>
      <c r="G10911" s="42" t="str">
        <f>IFERROR(__xludf.DUMMYFUNCTION("""COMPUTED_VALUE"""),"BN JUAL BELI")</f>
        <v>BN JUAL BELI</v>
      </c>
      <c r="H10911" s="42">
        <f t="shared" si="1"/>
        <v>3345</v>
      </c>
    </row>
    <row r="10912" ht="22.5" customHeight="1">
      <c r="B10912" s="42" t="str">
        <f>IFERROR(__xludf.DUMMYFUNCTION("""COMPUTED_VALUE"""),"ABTMQINH")</f>
        <v>ABTMQINH</v>
      </c>
      <c r="C10912" s="42" t="str">
        <f>IFERROR(__xludf.DUMMYFUNCTION("""COMPUTED_VALUE"""),"RAJABASA RAYA")</f>
        <v>RAJABASA RAYA</v>
      </c>
      <c r="D10912" s="42"/>
      <c r="E10912" s="42"/>
      <c r="F10912" s="48" t="str">
        <f>IFERROR(__xludf.DUMMYFUNCTION("""COMPUTED_VALUE"""),"")</f>
        <v/>
      </c>
      <c r="G10912" s="42" t="str">
        <f>IFERROR(__xludf.DUMMYFUNCTION("""COMPUTED_VALUE"""),"Pendaftaran PTPGT")</f>
        <v>Pendaftaran PTPGT</v>
      </c>
      <c r="H10912" s="42">
        <f t="shared" si="1"/>
        <v>3345</v>
      </c>
    </row>
    <row r="10913" ht="22.5" customHeight="1">
      <c r="B10913" s="42" t="str">
        <f>IFERROR(__xludf.DUMMYFUNCTION("""COMPUTED_VALUE"""),"ABCJNZRI/AB056")</f>
        <v>ABCJNZRI/AB056</v>
      </c>
      <c r="C10913" s="42" t="str">
        <f>IFERROR(__xludf.DUMMYFUNCTION("""COMPUTED_VALUE"""),"M. NIBEL 20580/Rajabasa Jaya")</f>
        <v>M. NIBEL 20580/Rajabasa Jaya</v>
      </c>
      <c r="D10913" s="42"/>
      <c r="E10913" s="42"/>
      <c r="F10913" s="48" t="str">
        <f>IFERROR(__xludf.DUMMYFUNCTION("""COMPUTED_VALUE"""),"")</f>
        <v/>
      </c>
      <c r="G10913" s="42" t="str">
        <f>IFERROR(__xludf.DUMMYFUNCTION("""COMPUTED_VALUE"""),"BN Jual Beli")</f>
        <v>BN Jual Beli</v>
      </c>
      <c r="H10913" s="42">
        <f t="shared" si="1"/>
        <v>3345</v>
      </c>
    </row>
    <row r="10914" ht="22.5" customHeight="1">
      <c r="B10914" s="42" t="str">
        <f>IFERROR(__xludf.DUMMYFUNCTION("""COMPUTED_VALUE"""),"ABRLKUYY")</f>
        <v>ABRLKUYY</v>
      </c>
      <c r="C10914" s="42" t="str">
        <f>IFERROR(__xludf.DUMMYFUNCTION("""COMPUTED_VALUE"""),"KAMPUNG BARU RAYA")</f>
        <v>KAMPUNG BARU RAYA</v>
      </c>
      <c r="D10914" s="42"/>
      <c r="E10914" s="42"/>
      <c r="F10914" s="48" t="str">
        <f>IFERROR(__xludf.DUMMYFUNCTION("""COMPUTED_VALUE"""),"")</f>
        <v/>
      </c>
      <c r="G10914" s="42" t="str">
        <f>IFERROR(__xludf.DUMMYFUNCTION("""COMPUTED_VALUE"""),"Pengukuran Pertama kali")</f>
        <v>Pengukuran Pertama kali</v>
      </c>
      <c r="H10914" s="42">
        <f t="shared" si="1"/>
        <v>3345</v>
      </c>
    </row>
    <row r="10915" ht="22.5" customHeight="1">
      <c r="B10915" s="42" t="str">
        <f>IFERROR(__xludf.DUMMYFUNCTION("""COMPUTED_VALUE"""),"ABXFYEUO")</f>
        <v>ABXFYEUO</v>
      </c>
      <c r="C10915" s="42" t="str">
        <f>IFERROR(__xludf.DUMMYFUNCTION("""COMPUTED_VALUE"""),"Hm 08.01.000025166.0, Kel. Kedaton")</f>
        <v>Hm 08.01.000025166.0, Kel. Kedaton</v>
      </c>
      <c r="D10915" s="42"/>
      <c r="E10915" s="42"/>
      <c r="F10915" s="48" t="str">
        <f>IFERROR(__xludf.DUMMYFUNCTION("""COMPUTED_VALUE"""),"")</f>
        <v/>
      </c>
      <c r="G10915" s="42" t="str">
        <f>IFERROR(__xludf.DUMMYFUNCTION("""COMPUTED_VALUE"""),"Balik Nama Sertifikat ")</f>
        <v>Balik Nama Sertifikat </v>
      </c>
      <c r="H10915" s="42">
        <f t="shared" si="1"/>
        <v>3345</v>
      </c>
    </row>
    <row r="10916" ht="22.5" customHeight="1">
      <c r="B10916" s="42" t="str">
        <f>IFERROR(__xludf.DUMMYFUNCTION("""COMPUTED_VALUE"""),"L/11/210126/1")</f>
        <v>L/11/210126/1</v>
      </c>
      <c r="C10916" s="42" t="str">
        <f>IFERROR(__xludf.DUMMYFUNCTION("""COMPUTED_VALUE"""),"B. 659/NUSANTARA PERMAI")</f>
        <v>B. 659/NUSANTARA PERMAI</v>
      </c>
      <c r="D10916" s="42"/>
      <c r="E10916" s="42"/>
      <c r="F10916" s="48" t="str">
        <f>IFERROR(__xludf.DUMMYFUNCTION("""COMPUTED_VALUE"""),"")</f>
        <v/>
      </c>
      <c r="G10916" s="42" t="str">
        <f>IFERROR(__xludf.DUMMYFUNCTION("""COMPUTED_VALUE"""),"PENINGKATAN HAK")</f>
        <v>PENINGKATAN HAK</v>
      </c>
      <c r="H10916" s="42">
        <f t="shared" si="1"/>
        <v>3345</v>
      </c>
    </row>
    <row r="10917" ht="22.5" customHeight="1">
      <c r="B10917" s="42" t="str">
        <f>IFERROR(__xludf.DUMMYFUNCTION("""COMPUTED_VALUE"""),"ABBFWTHK")</f>
        <v>ABBFWTHK</v>
      </c>
      <c r="C10917" s="42" t="str">
        <f>IFERROR(__xludf.DUMMYFUNCTION("""COMPUTED_VALUE"""),"08.01.000024139")</f>
        <v>08.01.000024139</v>
      </c>
      <c r="D10917" s="42"/>
      <c r="E10917" s="42"/>
      <c r="F10917" s="48" t="str">
        <f>IFERROR(__xludf.DUMMYFUNCTION("""COMPUTED_VALUE"""),"")</f>
        <v/>
      </c>
      <c r="G10917" s="42" t="str">
        <f>IFERROR(__xludf.DUMMYFUNCTION("""COMPUTED_VALUE"""),"balik nama")</f>
        <v>balik nama</v>
      </c>
      <c r="H10917" s="42">
        <f t="shared" si="1"/>
        <v>3345</v>
      </c>
    </row>
    <row r="10918" ht="22.5" customHeight="1">
      <c r="B10918" s="42" t="str">
        <f>IFERROR(__xludf.DUMMYFUNCTION("""COMPUTED_VALUE"""),"ABZGCVSC")</f>
        <v>ABZGCVSC</v>
      </c>
      <c r="C10918" s="42" t="str">
        <f>IFERROR(__xludf.DUMMYFUNCTION("""COMPUTED_VALUE"""),"08.01.000024138")</f>
        <v>08.01.000024138</v>
      </c>
      <c r="D10918" s="42"/>
      <c r="E10918" s="42"/>
      <c r="F10918" s="48" t="str">
        <f>IFERROR(__xludf.DUMMYFUNCTION("""COMPUTED_VALUE"""),"")</f>
        <v/>
      </c>
      <c r="G10918" s="42" t="str">
        <f>IFERROR(__xludf.DUMMYFUNCTION("""COMPUTED_VALUE"""),"balik nama")</f>
        <v>balik nama</v>
      </c>
      <c r="H10918" s="42">
        <f t="shared" si="1"/>
        <v>3345</v>
      </c>
    </row>
    <row r="10919" ht="22.5" customHeight="1">
      <c r="B10919" s="42" t="str">
        <f>IFERROR(__xludf.DUMMYFUNCTION("""COMPUTED_VALUE"""),"ABPGZVZO")</f>
        <v>ABPGZVZO</v>
      </c>
      <c r="C10919" s="42" t="str">
        <f>IFERROR(__xludf.DUMMYFUNCTION("""COMPUTED_VALUE"""),"03481/RajabasaJaya")</f>
        <v>03481/RajabasaJaya</v>
      </c>
      <c r="D10919" s="42"/>
      <c r="E10919" s="42"/>
      <c r="F10919" s="48" t="str">
        <f>IFERROR(__xludf.DUMMYFUNCTION("""COMPUTED_VALUE"""),"")</f>
        <v/>
      </c>
      <c r="G10919" s="42" t="str">
        <f>IFERROR(__xludf.DUMMYFUNCTION("""COMPUTED_VALUE"""),"balik nama")</f>
        <v>balik nama</v>
      </c>
      <c r="H10919" s="42">
        <f t="shared" si="1"/>
        <v>3345</v>
      </c>
    </row>
    <row r="10920" ht="22.5" customHeight="1">
      <c r="B10920" s="42" t="str">
        <f>IFERROR(__xludf.DUMMYFUNCTION("""COMPUTED_VALUE"""),"L/1/220126/1")</f>
        <v>L/1/220126/1</v>
      </c>
      <c r="C10920" s="42" t="str">
        <f>IFERROR(__xludf.DUMMYFUNCTION("""COMPUTED_VALUE"""),"M. 16822/SUKARAME I")</f>
        <v>M. 16822/SUKARAME I</v>
      </c>
      <c r="D10920" s="42"/>
      <c r="E10920" s="42"/>
      <c r="F10920" s="48" t="str">
        <f>IFERROR(__xludf.DUMMYFUNCTION("""COMPUTED_VALUE"""),"")</f>
        <v/>
      </c>
      <c r="G10920" s="42" t="str">
        <f>IFERROR(__xludf.DUMMYFUNCTION("""COMPUTED_VALUE"""),"ROYA")</f>
        <v>ROYA</v>
      </c>
      <c r="H10920" s="42">
        <f t="shared" si="1"/>
        <v>3345</v>
      </c>
    </row>
    <row r="10921" ht="22.5" customHeight="1">
      <c r="B10921" s="42" t="str">
        <f>IFERROR(__xludf.DUMMYFUNCTION("""COMPUTED_VALUE"""),"ABVAOFUS/AB010")</f>
        <v>ABVAOFUS/AB010</v>
      </c>
      <c r="C10921" s="42" t="str">
        <f>IFERROR(__xludf.DUMMYFUNCTION("""COMPUTED_VALUE"""),"M 662/Rajabasa Nunyai")</f>
        <v>M 662/Rajabasa Nunyai</v>
      </c>
      <c r="D10921" s="42"/>
      <c r="E10921" s="42"/>
      <c r="F10921" s="48" t="str">
        <f>IFERROR(__xludf.DUMMYFUNCTION("""COMPUTED_VALUE"""),"")</f>
        <v/>
      </c>
      <c r="G10921" s="42" t="str">
        <f>IFERROR(__xludf.DUMMYFUNCTION("""COMPUTED_VALUE"""),"Roya Waris ")</f>
        <v>Roya Waris </v>
      </c>
      <c r="H10921" s="42">
        <f t="shared" si="1"/>
        <v>3345</v>
      </c>
    </row>
    <row r="10922" ht="22.5" customHeight="1">
      <c r="B10922" s="42" t="str">
        <f>IFERROR(__xludf.DUMMYFUNCTION("""COMPUTED_VALUE"""),"ABVRLAXI")</f>
        <v>ABVRLAXI</v>
      </c>
      <c r="C10922" s="42" t="str">
        <f>IFERROR(__xludf.DUMMYFUNCTION("""COMPUTED_VALUE"""),"M. 23954/sepang jaya")</f>
        <v>M. 23954/sepang jaya</v>
      </c>
      <c r="D10922" s="42"/>
      <c r="E10922" s="42"/>
      <c r="F10922" s="48" t="str">
        <f>IFERROR(__xludf.DUMMYFUNCTION("""COMPUTED_VALUE"""),"")</f>
        <v/>
      </c>
      <c r="G10922" s="42" t="str">
        <f>IFERROR(__xludf.DUMMYFUNCTION("""COMPUTED_VALUE"""),"Peralihan hak jual beli")</f>
        <v>Peralihan hak jual beli</v>
      </c>
      <c r="H10922" s="42">
        <f t="shared" si="1"/>
        <v>3345</v>
      </c>
    </row>
    <row r="10923" ht="22.5" customHeight="1">
      <c r="B10923" s="42" t="str">
        <f>IFERROR(__xludf.DUMMYFUNCTION("""COMPUTED_VALUE"""),"L/2/220126/1")</f>
        <v>L/2/220126/1</v>
      </c>
      <c r="C10923" s="42" t="str">
        <f>IFERROR(__xludf.DUMMYFUNCTION("""COMPUTED_VALUE"""),"M. 154/SUSUNAN BARU")</f>
        <v>M. 154/SUSUNAN BARU</v>
      </c>
      <c r="D10923" s="42"/>
      <c r="E10923" s="42"/>
      <c r="F10923" s="48" t="str">
        <f>IFERROR(__xludf.DUMMYFUNCTION("""COMPUTED_VALUE"""),"")</f>
        <v/>
      </c>
      <c r="G10923" s="42" t="str">
        <f>IFERROR(__xludf.DUMMYFUNCTION("""COMPUTED_VALUE"""),"ROYA WARIS")</f>
        <v>ROYA WARIS</v>
      </c>
      <c r="H10923" s="42">
        <f t="shared" si="1"/>
        <v>3345</v>
      </c>
    </row>
    <row r="10924" ht="22.5" customHeight="1">
      <c r="B10924" s="42" t="str">
        <f>IFERROR(__xludf.DUMMYFUNCTION("""COMPUTED_VALUE"""),"ABCDMJYP/1")</f>
        <v>ABCDMJYP/1</v>
      </c>
      <c r="C10924" s="42" t="str">
        <f>IFERROR(__xludf.DUMMYFUNCTION("""COMPUTED_VALUE"""),"08.01.000023231.0/Sumur Batu")</f>
        <v>08.01.000023231.0/Sumur Batu</v>
      </c>
      <c r="D10924" s="42"/>
      <c r="E10924" s="42"/>
      <c r="F10924" s="48" t="str">
        <f>IFERROR(__xludf.DUMMYFUNCTION("""COMPUTED_VALUE"""),"")</f>
        <v/>
      </c>
      <c r="G10924" s="42" t="str">
        <f>IFERROR(__xludf.DUMMYFUNCTION("""COMPUTED_VALUE"""),"Balik nama jual beli")</f>
        <v>Balik nama jual beli</v>
      </c>
      <c r="H10924" s="42">
        <f t="shared" si="1"/>
        <v>3345</v>
      </c>
    </row>
    <row r="10925" ht="22.5" customHeight="1">
      <c r="B10925" s="42" t="str">
        <f>IFERROR(__xludf.DUMMYFUNCTION("""COMPUTED_VALUE"""),"ABUJHLGL/AB028")</f>
        <v>ABUJHLGL/AB028</v>
      </c>
      <c r="C10925" s="42" t="str">
        <f>IFERROR(__xludf.DUMMYFUNCTION("""COMPUTED_VALUE"""),"M.617/Sukarame Baru")</f>
        <v>M.617/Sukarame Baru</v>
      </c>
      <c r="D10925" s="42"/>
      <c r="E10925" s="42"/>
      <c r="F10925" s="48" t="str">
        <f>IFERROR(__xludf.DUMMYFUNCTION("""COMPUTED_VALUE"""),"")</f>
        <v/>
      </c>
      <c r="G10925" s="42" t="str">
        <f>IFERROR(__xludf.DUMMYFUNCTION("""COMPUTED_VALUE"""),"Bn jual beli")</f>
        <v>Bn jual beli</v>
      </c>
      <c r="H10925" s="42">
        <f t="shared" si="1"/>
        <v>3345</v>
      </c>
    </row>
    <row r="10926" ht="22.5" customHeight="1">
      <c r="B10926" s="42" t="str">
        <f>IFERROR(__xludf.DUMMYFUNCTION("""COMPUTED_VALUE"""),"ABPEXDKP/AB028")</f>
        <v>ABPEXDKP/AB028</v>
      </c>
      <c r="C10926" s="42" t="str">
        <f>IFERROR(__xludf.DUMMYFUNCTION("""COMPUTED_VALUE"""),"M. NIBEL 23725/Labuhan Dalam")</f>
        <v>M. NIBEL 23725/Labuhan Dalam</v>
      </c>
      <c r="D10926" s="42"/>
      <c r="E10926" s="42"/>
      <c r="F10926" s="48" t="str">
        <f>IFERROR(__xludf.DUMMYFUNCTION("""COMPUTED_VALUE"""),"")</f>
        <v/>
      </c>
      <c r="G10926" s="42" t="str">
        <f>IFERROR(__xludf.DUMMYFUNCTION("""COMPUTED_VALUE"""),"Bn jual beli")</f>
        <v>Bn jual beli</v>
      </c>
      <c r="H10926" s="42">
        <f t="shared" si="1"/>
        <v>3345</v>
      </c>
    </row>
    <row r="10927" ht="22.5" customHeight="1">
      <c r="B10927" s="42" t="str">
        <f>IFERROR(__xludf.DUMMYFUNCTION("""COMPUTED_VALUE"""),"ABKYKMBA/AB028")</f>
        <v>ABKYKMBA/AB028</v>
      </c>
      <c r="C10927" s="42" t="str">
        <f>IFERROR(__xludf.DUMMYFUNCTION("""COMPUTED_VALUE"""),"B NIBEL 3669/Sukabumi")</f>
        <v>B NIBEL 3669/Sukabumi</v>
      </c>
      <c r="D10927" s="42"/>
      <c r="E10927" s="42"/>
      <c r="F10927" s="48" t="str">
        <f>IFERROR(__xludf.DUMMYFUNCTION("""COMPUTED_VALUE"""),"")</f>
        <v/>
      </c>
      <c r="G10927" s="42" t="str">
        <f>IFERROR(__xludf.DUMMYFUNCTION("""COMPUTED_VALUE"""),"Bn jual beli")</f>
        <v>Bn jual beli</v>
      </c>
      <c r="H10927" s="42">
        <f t="shared" si="1"/>
        <v>3345</v>
      </c>
    </row>
    <row r="10928" ht="22.5" customHeight="1">
      <c r="B10928" s="42" t="str">
        <f>IFERROR(__xludf.DUMMYFUNCTION("""COMPUTED_VALUE"""),"ABYNNMYN")</f>
        <v>ABYNNMYN</v>
      </c>
      <c r="C10928" s="42" t="str">
        <f>IFERROR(__xludf.DUMMYFUNCTION("""COMPUTED_VALUE"""),"Hm. 1149 RAJABASA RAYA")</f>
        <v>Hm. 1149 RAJABASA RAYA</v>
      </c>
      <c r="D10928" s="42"/>
      <c r="E10928" s="42"/>
      <c r="F10928" s="48" t="str">
        <f>IFERROR(__xludf.DUMMYFUNCTION("""COMPUTED_VALUE"""),"")</f>
        <v/>
      </c>
      <c r="G10928" s="42" t="str">
        <f>IFERROR(__xludf.DUMMYFUNCTION("""COMPUTED_VALUE"""),"Bn Jual Beli")</f>
        <v>Bn Jual Beli</v>
      </c>
      <c r="H10928" s="42">
        <f t="shared" si="1"/>
        <v>3345</v>
      </c>
    </row>
    <row r="10929" ht="22.5" customHeight="1">
      <c r="B10929" s="42" t="str">
        <f>IFERROR(__xludf.DUMMYFUNCTION("""COMPUTED_VALUE"""),"ABQJDCFI")</f>
        <v>ABQJDCFI</v>
      </c>
      <c r="C10929" s="42" t="str">
        <f>IFERROR(__xludf.DUMMYFUNCTION("""COMPUTED_VALUE"""),"SHM No.703/Su.P")</f>
        <v>SHM No.703/Su.P</v>
      </c>
      <c r="D10929" s="42"/>
      <c r="E10929" s="42"/>
      <c r="F10929" s="48" t="str">
        <f>IFERROR(__xludf.DUMMYFUNCTION("""COMPUTED_VALUE"""),"")</f>
        <v/>
      </c>
      <c r="G10929" s="42" t="str">
        <f>IFERROR(__xludf.DUMMYFUNCTION("""COMPUTED_VALUE"""),"Peralihan Hak")</f>
        <v>Peralihan Hak</v>
      </c>
      <c r="H10929" s="42">
        <f t="shared" si="1"/>
        <v>3345</v>
      </c>
    </row>
    <row r="10930" ht="22.5" customHeight="1">
      <c r="B10930" s="42" t="str">
        <f>IFERROR(__xludf.DUMMYFUNCTION("""COMPUTED_VALUE"""),"ABTWGLXN/Ab005")</f>
        <v>ABTWGLXN/Ab005</v>
      </c>
      <c r="C10930" s="42" t="str">
        <f>IFERROR(__xludf.DUMMYFUNCTION("""COMPUTED_VALUE"""),"M. 412/Way Halim Permai")</f>
        <v>M. 412/Way Halim Permai</v>
      </c>
      <c r="D10930" s="42"/>
      <c r="E10930" s="42"/>
      <c r="F10930" s="48" t="str">
        <f>IFERROR(__xludf.DUMMYFUNCTION("""COMPUTED_VALUE"""),"")</f>
        <v/>
      </c>
      <c r="G10930" s="42" t="str">
        <f>IFERROR(__xludf.DUMMYFUNCTION("""COMPUTED_VALUE"""),"Marger")</f>
        <v>Marger</v>
      </c>
      <c r="H10930" s="42">
        <f t="shared" si="1"/>
        <v>3345</v>
      </c>
    </row>
    <row r="10931" ht="22.5" customHeight="1">
      <c r="B10931" s="42" t="str">
        <f>IFERROR(__xludf.DUMMYFUNCTION("""COMPUTED_VALUE"""),"ABCKAEIK")</f>
        <v>ABCKAEIK</v>
      </c>
      <c r="C10931" s="42" t="str">
        <f>IFERROR(__xludf.DUMMYFUNCTION("""COMPUTED_VALUE"""),"M. 08.01.000021175.0/Way Kandis")</f>
        <v>M. 08.01.000021175.0/Way Kandis</v>
      </c>
      <c r="D10931" s="42"/>
      <c r="E10931" s="42"/>
      <c r="F10931" s="48" t="str">
        <f>IFERROR(__xludf.DUMMYFUNCTION("""COMPUTED_VALUE"""),"")</f>
        <v/>
      </c>
      <c r="G10931" s="42" t="str">
        <f>IFERROR(__xludf.DUMMYFUNCTION("""COMPUTED_VALUE"""),"BN ajb")</f>
        <v>BN ajb</v>
      </c>
      <c r="H10931" s="42">
        <f t="shared" si="1"/>
        <v>3345</v>
      </c>
    </row>
    <row r="10932" ht="22.5" customHeight="1">
      <c r="B10932" s="42" t="str">
        <f>IFERROR(__xludf.DUMMYFUNCTION("""COMPUTED_VALUE"""),"ABJIOODS")</f>
        <v>ABJIOODS</v>
      </c>
      <c r="C10932" s="42" t="str">
        <f>IFERROR(__xludf.DUMMYFUNCTION("""COMPUTED_VALUE"""),"M. 08.01.000022533.0")</f>
        <v>M. 08.01.000022533.0</v>
      </c>
      <c r="D10932" s="42"/>
      <c r="E10932" s="42"/>
      <c r="F10932" s="48" t="str">
        <f>IFERROR(__xludf.DUMMYFUNCTION("""COMPUTED_VALUE"""),"")</f>
        <v/>
      </c>
      <c r="G10932" s="42" t="str">
        <f>IFERROR(__xludf.DUMMYFUNCTION("""COMPUTED_VALUE"""),"Bn ajb")</f>
        <v>Bn ajb</v>
      </c>
      <c r="H10932" s="42">
        <f t="shared" si="1"/>
        <v>3345</v>
      </c>
    </row>
    <row r="10933" ht="22.5" customHeight="1">
      <c r="B10933" s="42" t="str">
        <f>IFERROR(__xludf.DUMMYFUNCTION("""COMPUTED_VALUE"""),"ABFKRHDR")</f>
        <v>ABFKRHDR</v>
      </c>
      <c r="C10933" s="42" t="str">
        <f>IFERROR(__xludf.DUMMYFUNCTION("""COMPUTED_VALUE"""),"04942 Rajabasa jaya")</f>
        <v>04942 Rajabasa jaya</v>
      </c>
      <c r="D10933" s="42"/>
      <c r="E10933" s="42"/>
      <c r="F10933" s="48" t="str">
        <f>IFERROR(__xludf.DUMMYFUNCTION("""COMPUTED_VALUE"""),"")</f>
        <v/>
      </c>
      <c r="G10933" s="42" t="str">
        <f>IFERROR(__xludf.DUMMYFUNCTION("""COMPUTED_VALUE"""),"BN")</f>
        <v>BN</v>
      </c>
      <c r="H10933" s="42">
        <f t="shared" si="1"/>
        <v>3345</v>
      </c>
    </row>
    <row r="10934" ht="22.5" customHeight="1">
      <c r="B10934" s="42" t="str">
        <f>IFERROR(__xludf.DUMMYFUNCTION("""COMPUTED_VALUE"""),"ABBGVFXW")</f>
        <v>ABBGVFXW</v>
      </c>
      <c r="C10934" s="42" t="str">
        <f>IFERROR(__xludf.DUMMYFUNCTION("""COMPUTED_VALUE"""),"m 4624/ Rajabasa jaya")</f>
        <v>m 4624/ Rajabasa jaya</v>
      </c>
      <c r="D10934" s="42"/>
      <c r="E10934" s="42"/>
      <c r="F10934" s="48" t="str">
        <f>IFERROR(__xludf.DUMMYFUNCTION("""COMPUTED_VALUE"""),"")</f>
        <v/>
      </c>
      <c r="G10934" s="42" t="str">
        <f>IFERROR(__xludf.DUMMYFUNCTION("""COMPUTED_VALUE"""),"BN")</f>
        <v>BN</v>
      </c>
      <c r="H10934" s="42">
        <f t="shared" si="1"/>
        <v>3345</v>
      </c>
    </row>
    <row r="10935" ht="22.5" customHeight="1">
      <c r="B10935" s="42" t="str">
        <f>IFERROR(__xludf.DUMMYFUNCTION("""COMPUTED_VALUE"""),"ABKSRBSF")</f>
        <v>ABKSRBSF</v>
      </c>
      <c r="C10935" s="42" t="str">
        <f>IFERROR(__xludf.DUMMYFUNCTION("""COMPUTED_VALUE"""),"04324, Rajabasa Jaya")</f>
        <v>04324, Rajabasa Jaya</v>
      </c>
      <c r="D10935" s="42"/>
      <c r="E10935" s="42"/>
      <c r="F10935" s="48" t="str">
        <f>IFERROR(__xludf.DUMMYFUNCTION("""COMPUTED_VALUE"""),"")</f>
        <v/>
      </c>
      <c r="G10935" s="42" t="str">
        <f>IFERROR(__xludf.DUMMYFUNCTION("""COMPUTED_VALUE"""),"BN")</f>
        <v>BN</v>
      </c>
      <c r="H10935" s="42">
        <f t="shared" si="1"/>
        <v>3345</v>
      </c>
    </row>
    <row r="10936" ht="22.5" customHeight="1">
      <c r="B10936" s="42" t="str">
        <f>IFERROR(__xludf.DUMMYFUNCTION("""COMPUTED_VALUE"""),"ABSDFVWD")</f>
        <v>ABSDFVWD</v>
      </c>
      <c r="C10936" s="42" t="str">
        <f>IFERROR(__xludf.DUMMYFUNCTION("""COMPUTED_VALUE"""),"NIBEL.24586/Rajabasa")</f>
        <v>NIBEL.24586/Rajabasa</v>
      </c>
      <c r="D10936" s="42"/>
      <c r="E10936" s="42"/>
      <c r="F10936" s="48" t="str">
        <f>IFERROR(__xludf.DUMMYFUNCTION("""COMPUTED_VALUE"""),"")</f>
        <v/>
      </c>
      <c r="G10936" s="42" t="str">
        <f>IFERROR(__xludf.DUMMYFUNCTION("""COMPUTED_VALUE"""),"Ganti desa")</f>
        <v>Ganti desa</v>
      </c>
      <c r="H10936" s="42">
        <f t="shared" si="1"/>
        <v>3345</v>
      </c>
    </row>
    <row r="10937" ht="22.5" customHeight="1">
      <c r="B10937" s="42" t="str">
        <f>IFERROR(__xludf.DUMMYFUNCTION("""COMPUTED_VALUE"""),"ABRYWMVM/Ab018")</f>
        <v>ABRYWMVM/Ab018</v>
      </c>
      <c r="C10937" s="42" t="str">
        <f>IFERROR(__xludf.DUMMYFUNCTION("""COMPUTED_VALUE"""),"M Nibel 01181/Sukarame Baru")</f>
        <v>M Nibel 01181/Sukarame Baru</v>
      </c>
      <c r="D10937" s="42"/>
      <c r="E10937" s="42"/>
      <c r="F10937" s="48" t="str">
        <f>IFERROR(__xludf.DUMMYFUNCTION("""COMPUTED_VALUE"""),"")</f>
        <v/>
      </c>
      <c r="G10937" s="42" t="str">
        <f>IFERROR(__xludf.DUMMYFUNCTION("""COMPUTED_VALUE"""),"Balik nama ajb")</f>
        <v>Balik nama ajb</v>
      </c>
      <c r="H10937" s="42">
        <f t="shared" si="1"/>
        <v>3345</v>
      </c>
    </row>
    <row r="10938" ht="22.5" customHeight="1">
      <c r="B10938" s="42" t="str">
        <f>IFERROR(__xludf.DUMMYFUNCTION("""COMPUTED_VALUE"""),"ABZMPZBM")</f>
        <v>ABZMPZBM</v>
      </c>
      <c r="C10938" s="42" t="str">
        <f>IFERROR(__xludf.DUMMYFUNCTION("""COMPUTED_VALUE"""),"NIBEL.25630/perumnas waykandis")</f>
        <v>NIBEL.25630/perumnas waykandis</v>
      </c>
      <c r="D10938" s="42"/>
      <c r="E10938" s="42"/>
      <c r="F10938" s="48" t="str">
        <f>IFERROR(__xludf.DUMMYFUNCTION("""COMPUTED_VALUE"""),"")</f>
        <v/>
      </c>
      <c r="G10938" s="42" t="str">
        <f>IFERROR(__xludf.DUMMYFUNCTION("""COMPUTED_VALUE"""),"APHB")</f>
        <v>APHB</v>
      </c>
      <c r="H10938" s="42">
        <f t="shared" si="1"/>
        <v>3345</v>
      </c>
    </row>
    <row r="10939" ht="22.5" customHeight="1">
      <c r="B10939" s="42" t="str">
        <f>IFERROR(__xludf.DUMMYFUNCTION("""COMPUTED_VALUE"""),"ABLRTXSE")</f>
        <v>ABLRTXSE</v>
      </c>
      <c r="C10939" s="42" t="str">
        <f>IFERROR(__xludf.DUMMYFUNCTION("""COMPUTED_VALUE"""),"M.11500/kedaton")</f>
        <v>M.11500/kedaton</v>
      </c>
      <c r="D10939" s="42"/>
      <c r="E10939" s="42"/>
      <c r="F10939" s="48" t="str">
        <f>IFERROR(__xludf.DUMMYFUNCTION("""COMPUTED_VALUE"""),"")</f>
        <v/>
      </c>
      <c r="G10939" s="42" t="str">
        <f>IFERROR(__xludf.DUMMYFUNCTION("""COMPUTED_VALUE"""),"BN WARIS")</f>
        <v>BN WARIS</v>
      </c>
      <c r="H10939" s="42">
        <f t="shared" si="1"/>
        <v>3345</v>
      </c>
    </row>
    <row r="10940" ht="22.5" customHeight="1">
      <c r="B10940" s="42" t="str">
        <f>IFERROR(__xludf.DUMMYFUNCTION("""COMPUTED_VALUE"""),"AB048/ABEYGJZL")</f>
        <v>AB048/ABEYGJZL</v>
      </c>
      <c r="C10940" s="42" t="str">
        <f>IFERROR(__xludf.DUMMYFUNCTION("""COMPUTED_VALUE"""),"HGB 436 Rajabasa Nunyai")</f>
        <v>HGB 436 Rajabasa Nunyai</v>
      </c>
      <c r="D10940" s="42"/>
      <c r="E10940" s="42"/>
      <c r="F10940" s="48" t="str">
        <f>IFERROR(__xludf.DUMMYFUNCTION("""COMPUTED_VALUE"""),"")</f>
        <v/>
      </c>
      <c r="G10940" s="42" t="str">
        <f>IFERROR(__xludf.DUMMYFUNCTION("""COMPUTED_VALUE"""),"BN")</f>
        <v>BN</v>
      </c>
      <c r="H10940" s="42">
        <f t="shared" si="1"/>
        <v>3345</v>
      </c>
    </row>
    <row r="10941" ht="22.5" customHeight="1">
      <c r="B10941" s="42" t="str">
        <f>IFERROR(__xludf.DUMMYFUNCTION("""COMPUTED_VALUE"""),"ABHUKLIO")</f>
        <v>ABHUKLIO</v>
      </c>
      <c r="C10941" s="42" t="str">
        <f>IFERROR(__xludf.DUMMYFUNCTION("""COMPUTED_VALUE"""),"B 742/ KEDAMAIAN")</f>
        <v>B 742/ KEDAMAIAN</v>
      </c>
      <c r="D10941" s="42"/>
      <c r="E10941" s="42"/>
      <c r="F10941" s="48" t="str">
        <f>IFERROR(__xludf.DUMMYFUNCTION("""COMPUTED_VALUE"""),"")</f>
        <v/>
      </c>
      <c r="G10941" s="42" t="str">
        <f>IFERROR(__xludf.DUMMYFUNCTION("""COMPUTED_VALUE"""),"BN JUAL BELI ")</f>
        <v>BN JUAL BELI </v>
      </c>
      <c r="H10941" s="42">
        <f t="shared" si="1"/>
        <v>3345</v>
      </c>
    </row>
    <row r="10942" ht="22.5" customHeight="1">
      <c r="B10942" s="42" t="str">
        <f>IFERROR(__xludf.DUMMYFUNCTION("""COMPUTED_VALUE"""),"AB052/")</f>
        <v>AB052/</v>
      </c>
      <c r="C10942" s="42" t="str">
        <f>IFERROR(__xludf.DUMMYFUNCTION("""COMPUTED_VALUE"""),"M.3721/Tj.s")</f>
        <v>M.3721/Tj.s</v>
      </c>
      <c r="D10942" s="42"/>
      <c r="E10942" s="42"/>
      <c r="F10942" s="48" t="str">
        <f>IFERROR(__xludf.DUMMYFUNCTION("""COMPUTED_VALUE"""),"")</f>
        <v/>
      </c>
      <c r="G10942" s="42" t="str">
        <f>IFERROR(__xludf.DUMMYFUNCTION("""COMPUTED_VALUE"""),"peralihan hak")</f>
        <v>peralihan hak</v>
      </c>
      <c r="H10942" s="42">
        <f t="shared" si="1"/>
        <v>3345</v>
      </c>
    </row>
    <row r="10943" ht="22.5" customHeight="1">
      <c r="B10943" s="42" t="str">
        <f>IFERROR(__xludf.DUMMYFUNCTION("""COMPUTED_VALUE"""),"ABXHEGVB/AB046")</f>
        <v>ABXHEGVB/AB046</v>
      </c>
      <c r="C10943" s="42" t="str">
        <f>IFERROR(__xludf.DUMMYFUNCTION("""COMPUTED_VALUE"""),"M.01262/Kedaung ")</f>
        <v>M.01262/Kedaung </v>
      </c>
      <c r="D10943" s="42"/>
      <c r="E10943" s="42"/>
      <c r="F10943" s="48" t="str">
        <f>IFERROR(__xludf.DUMMYFUNCTION("""COMPUTED_VALUE"""),"")</f>
        <v/>
      </c>
      <c r="G10943" s="42" t="str">
        <f>IFERROR(__xludf.DUMMYFUNCTION("""COMPUTED_VALUE"""),"BN jual beli ")</f>
        <v>BN jual beli </v>
      </c>
      <c r="H10943" s="42">
        <f t="shared" si="1"/>
        <v>3345</v>
      </c>
    </row>
    <row r="10944" ht="22.5" customHeight="1">
      <c r="B10944" s="42" t="str">
        <f>IFERROR(__xludf.DUMMYFUNCTION("""COMPUTED_VALUE"""),"ABRPEWST")</f>
        <v>ABRPEWST</v>
      </c>
      <c r="C10944" s="42" t="str">
        <f>IFERROR(__xludf.DUMMYFUNCTION("""COMPUTED_VALUE"""),"M.1379/ sepang jaya")</f>
        <v>M.1379/ sepang jaya</v>
      </c>
      <c r="D10944" s="42"/>
      <c r="E10944" s="42"/>
      <c r="F10944" s="48" t="str">
        <f>IFERROR(__xludf.DUMMYFUNCTION("""COMPUTED_VALUE"""),"")</f>
        <v/>
      </c>
      <c r="G10944" s="42" t="str">
        <f>IFERROR(__xludf.DUMMYFUNCTION("""COMPUTED_VALUE"""),"Roya")</f>
        <v>Roya</v>
      </c>
      <c r="H10944" s="42">
        <f t="shared" si="1"/>
        <v>3345</v>
      </c>
    </row>
    <row r="10945" ht="22.5" customHeight="1">
      <c r="B10945" s="42" t="str">
        <f>IFERROR(__xludf.DUMMYFUNCTION("""COMPUTED_VALUE"""),"L/3/220126/1")</f>
        <v>L/3/220126/1</v>
      </c>
      <c r="C10945" s="42" t="str">
        <f>IFERROR(__xludf.DUMMYFUNCTION("""COMPUTED_VALUE"""),"KEL. LANGKAPURA PBT NO285/2025")</f>
        <v>KEL. LANGKAPURA PBT NO285/2025</v>
      </c>
      <c r="D10945" s="42"/>
      <c r="E10945" s="42"/>
      <c r="F10945" s="48" t="str">
        <f>IFERROR(__xludf.DUMMYFUNCTION("""COMPUTED_VALUE"""),"")</f>
        <v/>
      </c>
      <c r="G10945" s="42" t="str">
        <f>IFERROR(__xludf.DUMMYFUNCTION("""COMPUTED_VALUE"""),"PTPGT TANAH MENTAH")</f>
        <v>PTPGT TANAH MENTAH</v>
      </c>
      <c r="H10945" s="42">
        <f t="shared" si="1"/>
        <v>3345</v>
      </c>
    </row>
    <row r="10946" ht="22.5" customHeight="1">
      <c r="B10946" s="42" t="str">
        <f>IFERROR(__xludf.DUMMYFUNCTION("""COMPUTED_VALUE"""),"K/4/220126/1")</f>
        <v>K/4/220126/1</v>
      </c>
      <c r="C10946" s="42" t="str">
        <f>IFERROR(__xludf.DUMMYFUNCTION("""COMPUTED_VALUE"""),"KEMILING RAYA")</f>
        <v>KEMILING RAYA</v>
      </c>
      <c r="D10946" s="42"/>
      <c r="E10946" s="42"/>
      <c r="F10946" s="48" t="str">
        <f>IFERROR(__xludf.DUMMYFUNCTION("""COMPUTED_VALUE"""),"")</f>
        <v/>
      </c>
      <c r="G10946" s="42" t="str">
        <f>IFERROR(__xludf.DUMMYFUNCTION("""COMPUTED_VALUE"""),"PENGUKURAN PERTAMA KALI")</f>
        <v>PENGUKURAN PERTAMA KALI</v>
      </c>
      <c r="H10946" s="42">
        <f t="shared" si="1"/>
        <v>3345</v>
      </c>
    </row>
    <row r="10947" ht="22.5" customHeight="1">
      <c r="B10947" s="42" t="str">
        <f>IFERROR(__xludf.DUMMYFUNCTION("""COMPUTED_VALUE"""),"K/5/220126/1")</f>
        <v>K/5/220126/1</v>
      </c>
      <c r="C10947" s="42" t="str">
        <f>IFERROR(__xludf.DUMMYFUNCTION("""COMPUTED_VALUE"""),"B. 658/NUSANTARA PERMAI")</f>
        <v>B. 658/NUSANTARA PERMAI</v>
      </c>
      <c r="D10947" s="42"/>
      <c r="E10947" s="42"/>
      <c r="F10947" s="48" t="str">
        <f>IFERROR(__xludf.DUMMYFUNCTION("""COMPUTED_VALUE"""),"")</f>
        <v/>
      </c>
      <c r="G10947" s="42" t="str">
        <f>IFERROR(__xludf.DUMMYFUNCTION("""COMPUTED_VALUE"""),"PENINGKATAN HAK")</f>
        <v>PENINGKATAN HAK</v>
      </c>
      <c r="H10947" s="42">
        <f t="shared" si="1"/>
        <v>3345</v>
      </c>
    </row>
    <row r="10948" ht="22.5" customHeight="1">
      <c r="B10948" s="42" t="str">
        <f>IFERROR(__xludf.DUMMYFUNCTION("""COMPUTED_VALUE"""),"K/6/220126/1")</f>
        <v>K/6/220126/1</v>
      </c>
      <c r="C10948" s="42" t="str">
        <f>IFERROR(__xludf.DUMMYFUNCTION("""COMPUTED_VALUE"""),"NIBEL M.19441/BUMI WARAS")</f>
        <v>NIBEL M.19441/BUMI WARAS</v>
      </c>
      <c r="D10948" s="42"/>
      <c r="E10948" s="42"/>
      <c r="F10948" s="48" t="str">
        <f>IFERROR(__xludf.DUMMYFUNCTION("""COMPUTED_VALUE"""),"")</f>
        <v/>
      </c>
      <c r="G10948" s="42" t="str">
        <f>IFERROR(__xludf.DUMMYFUNCTION("""COMPUTED_VALUE"""),"BN JUAL BELI EL")</f>
        <v>BN JUAL BELI EL</v>
      </c>
      <c r="H10948" s="42">
        <f t="shared" si="1"/>
        <v>3345</v>
      </c>
    </row>
    <row r="10949" ht="22.5" customHeight="1">
      <c r="B10949" s="42" t="str">
        <f>IFERROR(__xludf.DUMMYFUNCTION("""COMPUTED_VALUE"""),"L/7/220126/1")</f>
        <v>L/7/220126/1</v>
      </c>
      <c r="C10949" s="42" t="str">
        <f>IFERROR(__xludf.DUMMYFUNCTION("""COMPUTED_VALUE"""),"M. 6582/GEDUNG MENENG")</f>
        <v>M. 6582/GEDUNG MENENG</v>
      </c>
      <c r="D10949" s="42"/>
      <c r="E10949" s="42"/>
      <c r="F10949" s="48" t="str">
        <f>IFERROR(__xludf.DUMMYFUNCTION("""COMPUTED_VALUE"""),"")</f>
        <v/>
      </c>
      <c r="G10949" s="42" t="str">
        <f>IFERROR(__xludf.DUMMYFUNCTION("""COMPUTED_VALUE"""),"GANTI BLANKO")</f>
        <v>GANTI BLANKO</v>
      </c>
      <c r="H10949" s="42">
        <f t="shared" si="1"/>
        <v>3345</v>
      </c>
    </row>
    <row r="10950" ht="22.5" customHeight="1">
      <c r="B10950" s="42" t="str">
        <f>IFERROR(__xludf.DUMMYFUNCTION("""COMPUTED_VALUE"""),"K/9/220126/1")</f>
        <v>K/9/220126/1</v>
      </c>
      <c r="C10950" s="42" t="str">
        <f>IFERROR(__xludf.DUMMYFUNCTION("""COMPUTED_VALUE"""),"M.354/TANJUNG RAYA")</f>
        <v>M.354/TANJUNG RAYA</v>
      </c>
      <c r="D10950" s="42"/>
      <c r="E10950" s="42"/>
      <c r="F10950" s="48" t="str">
        <f>IFERROR(__xludf.DUMMYFUNCTION("""COMPUTED_VALUE"""),"")</f>
        <v/>
      </c>
      <c r="G10950" s="42" t="str">
        <f>IFERROR(__xludf.DUMMYFUNCTION("""COMPUTED_VALUE"""),"ROYA")</f>
        <v>ROYA</v>
      </c>
      <c r="H10950" s="42">
        <f t="shared" si="1"/>
        <v>3345</v>
      </c>
    </row>
    <row r="10951" ht="22.5" customHeight="1">
      <c r="B10951" s="42" t="str">
        <f>IFERROR(__xludf.DUMMYFUNCTION("""COMPUTED_VALUE"""),"K/10/220126/1")</f>
        <v>K/10/220126/1</v>
      </c>
      <c r="C10951" s="42" t="str">
        <f>IFERROR(__xludf.DUMMYFUNCTION("""COMPUTED_VALUE"""),"NIBEL B. 28960/SEPANG JAYA")</f>
        <v>NIBEL B. 28960/SEPANG JAYA</v>
      </c>
      <c r="D10951" s="42"/>
      <c r="E10951" s="42"/>
      <c r="F10951" s="48" t="str">
        <f>IFERROR(__xludf.DUMMYFUNCTION("""COMPUTED_VALUE"""),"")</f>
        <v/>
      </c>
      <c r="G10951" s="42" t="str">
        <f>IFERROR(__xludf.DUMMYFUNCTION("""COMPUTED_VALUE"""),"PENINGKATAN HAK")</f>
        <v>PENINGKATAN HAK</v>
      </c>
      <c r="H10951" s="42">
        <f t="shared" si="1"/>
        <v>3345</v>
      </c>
    </row>
    <row r="10952" ht="22.5" customHeight="1">
      <c r="B10952" s="42" t="str">
        <f>IFERROR(__xludf.DUMMYFUNCTION("""COMPUTED_VALUE"""),"L/8/220126/1")</f>
        <v>L/8/220126/1</v>
      </c>
      <c r="C10952" s="42" t="str">
        <f>IFERROR(__xludf.DUMMYFUNCTION("""COMPUTED_VALUE"""),"M. 6583/GEDUNG MENENG")</f>
        <v>M. 6583/GEDUNG MENENG</v>
      </c>
      <c r="D10952" s="42"/>
      <c r="E10952" s="42"/>
      <c r="F10952" s="48" t="str">
        <f>IFERROR(__xludf.DUMMYFUNCTION("""COMPUTED_VALUE"""),"")</f>
        <v/>
      </c>
      <c r="G10952" s="42" t="str">
        <f>IFERROR(__xludf.DUMMYFUNCTION("""COMPUTED_VALUE"""),"GANTI BLANKO")</f>
        <v>GANTI BLANKO</v>
      </c>
      <c r="H10952" s="42">
        <f t="shared" si="1"/>
        <v>3345</v>
      </c>
    </row>
    <row r="10953" ht="22.5" customHeight="1">
      <c r="B10953" s="42" t="str">
        <f>IFERROR(__xludf.DUMMYFUNCTION("""COMPUTED_VALUE"""),"K/11/220126/1")</f>
        <v>K/11/220126/1</v>
      </c>
      <c r="C10953" s="42" t="str">
        <f>IFERROR(__xludf.DUMMYFUNCTION("""COMPUTED_VALUE"""),"M. 33/PAHOMAN")</f>
        <v>M. 33/PAHOMAN</v>
      </c>
      <c r="D10953" s="42"/>
      <c r="E10953" s="42"/>
      <c r="F10953" s="48" t="str">
        <f>IFERROR(__xludf.DUMMYFUNCTION("""COMPUTED_VALUE"""),"")</f>
        <v/>
      </c>
      <c r="G10953" s="42" t="str">
        <f>IFERROR(__xludf.DUMMYFUNCTION("""COMPUTED_VALUE"""),"BLOKIR ")</f>
        <v>BLOKIR </v>
      </c>
      <c r="H10953" s="42">
        <f t="shared" si="1"/>
        <v>3345</v>
      </c>
    </row>
    <row r="10954" ht="22.5" customHeight="1">
      <c r="B10954" s="42" t="str">
        <f>IFERROR(__xludf.DUMMYFUNCTION("""COMPUTED_VALUE"""),"L/12/220126/1")</f>
        <v>L/12/220126/1</v>
      </c>
      <c r="C10954" s="42" t="str">
        <f>IFERROR(__xludf.DUMMYFUNCTION("""COMPUTED_VALUE"""),"KEL. BAKUNG PBT 524/2021")</f>
        <v>KEL. BAKUNG PBT 524/2021</v>
      </c>
      <c r="D10954" s="42"/>
      <c r="E10954" s="42"/>
      <c r="F10954" s="48" t="str">
        <f>IFERROR(__xludf.DUMMYFUNCTION("""COMPUTED_VALUE"""),"")</f>
        <v/>
      </c>
      <c r="G10954" s="42" t="str">
        <f>IFERROR(__xludf.DUMMYFUNCTION("""COMPUTED_VALUE"""),"PERMOHONAN SK")</f>
        <v>PERMOHONAN SK</v>
      </c>
      <c r="H10954" s="42">
        <f t="shared" si="1"/>
        <v>3345</v>
      </c>
    </row>
    <row r="10955" ht="22.5" customHeight="1">
      <c r="B10955" s="42" t="str">
        <f>IFERROR(__xludf.DUMMYFUNCTION("""COMPUTED_VALUE"""),"K/13/220126/1")</f>
        <v>K/13/220126/1</v>
      </c>
      <c r="C10955" s="42" t="str">
        <f>IFERROR(__xludf.DUMMYFUNCTION("""COMPUTED_VALUE"""),"M. 5585/TANJUNG SENANG")</f>
        <v>M. 5585/TANJUNG SENANG</v>
      </c>
      <c r="D10955" s="42"/>
      <c r="E10955" s="42"/>
      <c r="F10955" s="48" t="str">
        <f>IFERROR(__xludf.DUMMYFUNCTION("""COMPUTED_VALUE"""),"")</f>
        <v/>
      </c>
      <c r="G10955" s="42" t="str">
        <f>IFERROR(__xludf.DUMMYFUNCTION("""COMPUTED_VALUE"""),"PTPGT PECAH")</f>
        <v>PTPGT PECAH</v>
      </c>
      <c r="H10955" s="42">
        <f t="shared" si="1"/>
        <v>3345</v>
      </c>
    </row>
    <row r="10956" ht="22.5" customHeight="1">
      <c r="B10956" s="42" t="str">
        <f>IFERROR(__xludf.DUMMYFUNCTION("""COMPUTED_VALUE"""),"L/14/220126/1")</f>
        <v>L/14/220126/1</v>
      </c>
      <c r="C10956" s="42" t="str">
        <f>IFERROR(__xludf.DUMMYFUNCTION("""COMPUTED_VALUE"""),"M. 470/SUMBEREJO SEJAHTERA")</f>
        <v>M. 470/SUMBEREJO SEJAHTERA</v>
      </c>
      <c r="D10956" s="42"/>
      <c r="E10956" s="42"/>
      <c r="F10956" s="48" t="str">
        <f>IFERROR(__xludf.DUMMYFUNCTION("""COMPUTED_VALUE"""),"")</f>
        <v/>
      </c>
      <c r="G10956" s="42" t="str">
        <f>IFERROR(__xludf.DUMMYFUNCTION("""COMPUTED_VALUE"""),"ROYA")</f>
        <v>ROYA</v>
      </c>
      <c r="H10956" s="42">
        <f t="shared" si="1"/>
        <v>3345</v>
      </c>
    </row>
    <row r="10957" ht="22.5" customHeight="1">
      <c r="B10957" s="42" t="str">
        <f>IFERROR(__xludf.DUMMYFUNCTION("""COMPUTED_VALUE"""),"K/15/220126/1")</f>
        <v>K/15/220126/1</v>
      </c>
      <c r="C10957" s="42" t="str">
        <f>IFERROR(__xludf.DUMMYFUNCTION("""COMPUTED_VALUE"""),"M. 1834/KANGKUNG")</f>
        <v>M. 1834/KANGKUNG</v>
      </c>
      <c r="D10957" s="42"/>
      <c r="E10957" s="42"/>
      <c r="F10957" s="48" t="str">
        <f>IFERROR(__xludf.DUMMYFUNCTION("""COMPUTED_VALUE"""),"")</f>
        <v/>
      </c>
      <c r="G10957" s="42" t="str">
        <f>IFERROR(__xludf.DUMMYFUNCTION("""COMPUTED_VALUE"""),"PENATAAN BATAS")</f>
        <v>PENATAAN BATAS</v>
      </c>
      <c r="H10957" s="42">
        <f t="shared" si="1"/>
        <v>3345</v>
      </c>
    </row>
    <row r="10958" ht="22.5" customHeight="1">
      <c r="B10958" s="42" t="str">
        <f>IFERROR(__xludf.DUMMYFUNCTION("""COMPUTED_VALUE"""),"K/16/220126/1")</f>
        <v>K/16/220126/1</v>
      </c>
      <c r="C10958" s="42" t="str">
        <f>IFERROR(__xludf.DUMMYFUNCTION("""COMPUTED_VALUE"""),"B. 137/LABUHAN RATU RAYA")</f>
        <v>B. 137/LABUHAN RATU RAYA</v>
      </c>
      <c r="D10958" s="42"/>
      <c r="E10958" s="42"/>
      <c r="F10958" s="48" t="str">
        <f>IFERROR(__xludf.DUMMYFUNCTION("""COMPUTED_VALUE"""),"")</f>
        <v/>
      </c>
      <c r="G10958" s="42" t="str">
        <f>IFERROR(__xludf.DUMMYFUNCTION("""COMPUTED_VALUE"""),"PENINGKATAN HAK")</f>
        <v>PENINGKATAN HAK</v>
      </c>
      <c r="H10958" s="42">
        <f t="shared" si="1"/>
        <v>3345</v>
      </c>
    </row>
    <row r="10959" ht="22.5" customHeight="1">
      <c r="B10959" s="42" t="str">
        <f>IFERROR(__xludf.DUMMYFUNCTION("""COMPUTED_VALUE"""),"K/17/220126/2")</f>
        <v>K/17/220126/2</v>
      </c>
      <c r="C10959" s="42" t="str">
        <f>IFERROR(__xludf.DUMMYFUNCTION("""COMPUTED_VALUE"""),"B.138/LABUHAN RATU RAYA")</f>
        <v>B.138/LABUHAN RATU RAYA</v>
      </c>
      <c r="D10959" s="42"/>
      <c r="E10959" s="42"/>
      <c r="F10959" s="48" t="str">
        <f>IFERROR(__xludf.DUMMYFUNCTION("""COMPUTED_VALUE"""),"")</f>
        <v/>
      </c>
      <c r="G10959" s="42" t="str">
        <f>IFERROR(__xludf.DUMMYFUNCTION("""COMPUTED_VALUE"""),"PENINGKATAN HAK")</f>
        <v>PENINGKATAN HAK</v>
      </c>
      <c r="H10959" s="42">
        <f t="shared" si="1"/>
        <v>3345</v>
      </c>
    </row>
    <row r="10960" ht="22.5" customHeight="1">
      <c r="B10960" s="42" t="str">
        <f>IFERROR(__xludf.DUMMYFUNCTION("""COMPUTED_VALUE"""),"K/1/230126/1")</f>
        <v>K/1/230126/1</v>
      </c>
      <c r="C10960" s="42" t="str">
        <f>IFERROR(__xludf.DUMMYFUNCTION("""COMPUTED_VALUE"""),"M. 3918/GUNUNG TERANG")</f>
        <v>M. 3918/GUNUNG TERANG</v>
      </c>
      <c r="D10960" s="42"/>
      <c r="E10960" s="42"/>
      <c r="F10960" s="48" t="str">
        <f>IFERROR(__xludf.DUMMYFUNCTION("""COMPUTED_VALUE"""),"")</f>
        <v/>
      </c>
      <c r="G10960" s="42" t="str">
        <f>IFERROR(__xludf.DUMMYFUNCTION("""COMPUTED_VALUE"""),"PEMECAHAN")</f>
        <v>PEMECAHAN</v>
      </c>
      <c r="H10960" s="42">
        <f t="shared" si="1"/>
        <v>3345</v>
      </c>
    </row>
    <row r="10961" ht="22.5" customHeight="1">
      <c r="B10961" s="42" t="str">
        <f>IFERROR(__xludf.DUMMYFUNCTION("""COMPUTED_VALUE"""),"ABNVXQQT/1")</f>
        <v>ABNVXQQT/1</v>
      </c>
      <c r="C10961" s="42" t="str">
        <f>IFERROR(__xludf.DUMMYFUNCTION("""COMPUTED_VALUE"""),"M.4619/Gunung Terang ")</f>
        <v>M.4619/Gunung Terang </v>
      </c>
      <c r="D10961" s="42"/>
      <c r="E10961" s="42"/>
      <c r="F10961" s="48" t="str">
        <f>IFERROR(__xludf.DUMMYFUNCTION("""COMPUTED_VALUE"""),"")</f>
        <v/>
      </c>
      <c r="G10961" s="42" t="str">
        <f>IFERROR(__xludf.DUMMYFUNCTION("""COMPUTED_VALUE"""),"Bn jual beli")</f>
        <v>Bn jual beli</v>
      </c>
      <c r="H10961" s="42">
        <f t="shared" si="1"/>
        <v>3345</v>
      </c>
    </row>
    <row r="10962" ht="22.5" customHeight="1">
      <c r="B10962" s="42" t="str">
        <f>IFERROR(__xludf.DUMMYFUNCTION("""COMPUTED_VALUE"""),"ABOAJVRP/1")</f>
        <v>ABOAJVRP/1</v>
      </c>
      <c r="C10962" s="42" t="str">
        <f>IFERROR(__xludf.DUMMYFUNCTION("""COMPUTED_VALUE"""),"M.29611/Tanjung Baru")</f>
        <v>M.29611/Tanjung Baru</v>
      </c>
      <c r="D10962" s="42"/>
      <c r="E10962" s="42"/>
      <c r="F10962" s="48" t="str">
        <f>IFERROR(__xludf.DUMMYFUNCTION("""COMPUTED_VALUE"""),"")</f>
        <v/>
      </c>
      <c r="G10962" s="42" t="str">
        <f>IFERROR(__xludf.DUMMYFUNCTION("""COMPUTED_VALUE"""),"Bn jual beli")</f>
        <v>Bn jual beli</v>
      </c>
      <c r="H10962" s="42">
        <f t="shared" si="1"/>
        <v>3345</v>
      </c>
    </row>
    <row r="10963" ht="22.5" customHeight="1">
      <c r="B10963" s="42" t="str">
        <f>IFERROR(__xludf.DUMMYFUNCTION("""COMPUTED_VALUE"""),"Abneeprw")</f>
        <v>Abneeprw</v>
      </c>
      <c r="C10963" s="42">
        <f>IFERROR(__xludf.DUMMYFUNCTION("""COMPUTED_VALUE"""),1686.0)</f>
        <v>1686</v>
      </c>
      <c r="D10963" s="42"/>
      <c r="E10963" s="42"/>
      <c r="F10963" s="48" t="str">
        <f>IFERROR(__xludf.DUMMYFUNCTION("""COMPUTED_VALUE"""),"")</f>
        <v/>
      </c>
      <c r="G10963" s="42" t="str">
        <f>IFERROR(__xludf.DUMMYFUNCTION("""COMPUTED_VALUE"""),"Balik nama")</f>
        <v>Balik nama</v>
      </c>
      <c r="H10963" s="42">
        <f t="shared" si="1"/>
        <v>3345</v>
      </c>
    </row>
    <row r="10964" ht="22.5" customHeight="1">
      <c r="B10964" s="42" t="str">
        <f>IFERROR(__xludf.DUMMYFUNCTION("""COMPUTED_VALUE"""),"ABKFOTAW/AB027")</f>
        <v>ABKFOTAW/AB027</v>
      </c>
      <c r="C10964" s="42" t="str">
        <f>IFERROR(__xludf.DUMMYFUNCTION("""COMPUTED_VALUE"""),"M. 12159/segala mider")</f>
        <v>M. 12159/segala mider</v>
      </c>
      <c r="D10964" s="42"/>
      <c r="E10964" s="42"/>
      <c r="F10964" s="48" t="str">
        <f>IFERROR(__xludf.DUMMYFUNCTION("""COMPUTED_VALUE"""),"")</f>
        <v/>
      </c>
      <c r="G10964" s="42" t="str">
        <f>IFERROR(__xludf.DUMMYFUNCTION("""COMPUTED_VALUE"""),"Roya")</f>
        <v>Roya</v>
      </c>
      <c r="H10964" s="42">
        <f t="shared" si="1"/>
        <v>3345</v>
      </c>
    </row>
    <row r="10965" ht="22.5" customHeight="1">
      <c r="B10965" s="42" t="str">
        <f>IFERROR(__xludf.DUMMYFUNCTION("""COMPUTED_VALUE"""),"Abtfmxfo")</f>
        <v>Abtfmxfo</v>
      </c>
      <c r="C10965" s="42" t="str">
        <f>IFERROR(__xludf.DUMMYFUNCTION("""COMPUTED_VALUE"""),"M. 772/ way kandis")</f>
        <v>M. 772/ way kandis</v>
      </c>
      <c r="D10965" s="42"/>
      <c r="E10965" s="42"/>
      <c r="F10965" s="48" t="str">
        <f>IFERROR(__xludf.DUMMYFUNCTION("""COMPUTED_VALUE"""),"")</f>
        <v/>
      </c>
      <c r="G10965" s="42" t="str">
        <f>IFERROR(__xludf.DUMMYFUNCTION("""COMPUTED_VALUE"""),"Balik nama")</f>
        <v>Balik nama</v>
      </c>
      <c r="H10965" s="42">
        <f t="shared" si="1"/>
        <v>3345</v>
      </c>
    </row>
    <row r="10966" ht="22.5" customHeight="1">
      <c r="B10966" s="42" t="str">
        <f>IFERROR(__xludf.DUMMYFUNCTION("""COMPUTED_VALUE"""),"Abkxpqnd")</f>
        <v>Abkxpqnd</v>
      </c>
      <c r="C10966" s="42" t="str">
        <f>IFERROR(__xludf.DUMMYFUNCTION("""COMPUTED_VALUE"""),"M. 1687/sumber agung")</f>
        <v>M. 1687/sumber agung</v>
      </c>
      <c r="D10966" s="42"/>
      <c r="E10966" s="42"/>
      <c r="F10966" s="48" t="str">
        <f>IFERROR(__xludf.DUMMYFUNCTION("""COMPUTED_VALUE"""),"")</f>
        <v/>
      </c>
      <c r="G10966" s="42" t="str">
        <f>IFERROR(__xludf.DUMMYFUNCTION("""COMPUTED_VALUE"""),"Balik nama")</f>
        <v>Balik nama</v>
      </c>
      <c r="H10966" s="42">
        <f t="shared" si="1"/>
        <v>3345</v>
      </c>
    </row>
    <row r="10967" ht="22.5" customHeight="1">
      <c r="B10967" s="42" t="str">
        <f>IFERROR(__xludf.DUMMYFUNCTION("""COMPUTED_VALUE"""),"ABGUYYKG/AB028")</f>
        <v>ABGUYYKG/AB028</v>
      </c>
      <c r="C10967" s="42" t="str">
        <f>IFERROR(__xludf.DUMMYFUNCTION("""COMPUTED_VALUE"""),"M. 26936/ sukarame")</f>
        <v>M. 26936/ sukarame</v>
      </c>
      <c r="D10967" s="42"/>
      <c r="E10967" s="42"/>
      <c r="F10967" s="48" t="str">
        <f>IFERROR(__xludf.DUMMYFUNCTION("""COMPUTED_VALUE"""),"")</f>
        <v/>
      </c>
      <c r="G10967" s="42" t="str">
        <f>IFERROR(__xludf.DUMMYFUNCTION("""COMPUTED_VALUE"""),"ganti desa")</f>
        <v>ganti desa</v>
      </c>
      <c r="H10967" s="42">
        <f t="shared" si="1"/>
        <v>3345</v>
      </c>
    </row>
    <row r="10968" ht="22.5" customHeight="1">
      <c r="B10968" s="42" t="str">
        <f>IFERROR(__xludf.DUMMYFUNCTION("""COMPUTED_VALUE"""),"Ab029")</f>
        <v>Ab029</v>
      </c>
      <c r="C10968" s="42" t="str">
        <f>IFERROR(__xludf.DUMMYFUNCTION("""COMPUTED_VALUE"""),"M 12509/ Rajabasa ")</f>
        <v>M 12509/ Rajabasa </v>
      </c>
      <c r="D10968" s="42"/>
      <c r="E10968" s="42"/>
      <c r="F10968" s="48" t="str">
        <f>IFERROR(__xludf.DUMMYFUNCTION("""COMPUTED_VALUE"""),"")</f>
        <v/>
      </c>
      <c r="G10968" s="42" t="str">
        <f>IFERROR(__xludf.DUMMYFUNCTION("""COMPUTED_VALUE"""),"Ganti desa ")</f>
        <v>Ganti desa </v>
      </c>
      <c r="H10968" s="42">
        <f t="shared" si="1"/>
        <v>3345</v>
      </c>
    </row>
    <row r="10969" ht="22.5" customHeight="1">
      <c r="B10969" s="42" t="str">
        <f>IFERROR(__xludf.DUMMYFUNCTION("""COMPUTED_VALUE"""),"L/3/230126/1")</f>
        <v>L/3/230126/1</v>
      </c>
      <c r="C10969" s="42" t="str">
        <f>IFERROR(__xludf.DUMMYFUNCTION("""COMPUTED_VALUE"""),"M. 13554/SUKABUMI")</f>
        <v>M. 13554/SUKABUMI</v>
      </c>
      <c r="D10969" s="42"/>
      <c r="E10969" s="42"/>
      <c r="F10969" s="48" t="str">
        <f>IFERROR(__xludf.DUMMYFUNCTION("""COMPUTED_VALUE"""),"")</f>
        <v/>
      </c>
      <c r="G10969" s="42" t="str">
        <f>IFERROR(__xludf.DUMMYFUNCTION("""COMPUTED_VALUE"""),"BN JUAL BELI")</f>
        <v>BN JUAL BELI</v>
      </c>
      <c r="H10969" s="42">
        <f t="shared" si="1"/>
        <v>3345</v>
      </c>
    </row>
    <row r="10970" ht="22.5" customHeight="1">
      <c r="B10970" s="42" t="str">
        <f>IFERROR(__xludf.DUMMYFUNCTION("""COMPUTED_VALUE"""),"L/4/230126/1")</f>
        <v>L/4/230126/1</v>
      </c>
      <c r="C10970" s="42" t="str">
        <f>IFERROR(__xludf.DUMMYFUNCTION("""COMPUTED_VALUE"""),"M. 13570/LABUHAN RATU")</f>
        <v>M. 13570/LABUHAN RATU</v>
      </c>
      <c r="D10970" s="42"/>
      <c r="E10970" s="42"/>
      <c r="F10970" s="48" t="str">
        <f>IFERROR(__xludf.DUMMYFUNCTION("""COMPUTED_VALUE"""),"")</f>
        <v/>
      </c>
      <c r="G10970" s="42" t="str">
        <f>IFERROR(__xludf.DUMMYFUNCTION("""COMPUTED_VALUE"""),"ROYA")</f>
        <v>ROYA</v>
      </c>
      <c r="H10970" s="42">
        <f t="shared" si="1"/>
        <v>3345</v>
      </c>
    </row>
    <row r="10971" ht="22.5" customHeight="1">
      <c r="B10971" s="42" t="str">
        <f>IFERROR(__xludf.DUMMYFUNCTION("""COMPUTED_VALUE"""),"ABMCGBLL/AB037")</f>
        <v>ABMCGBLL/AB037</v>
      </c>
      <c r="C10971" s="42" t="str">
        <f>IFERROR(__xludf.DUMMYFUNCTION("""COMPUTED_VALUE"""),"M. Nibel. 28300/Korpri Raya")</f>
        <v>M. Nibel. 28300/Korpri Raya</v>
      </c>
      <c r="D10971" s="42"/>
      <c r="E10971" s="42"/>
      <c r="F10971" s="48" t="str">
        <f>IFERROR(__xludf.DUMMYFUNCTION("""COMPUTED_VALUE"""),"")</f>
        <v/>
      </c>
      <c r="G10971" s="42" t="str">
        <f>IFERROR(__xludf.DUMMYFUNCTION("""COMPUTED_VALUE"""),"Balik Nama")</f>
        <v>Balik Nama</v>
      </c>
      <c r="H10971" s="42">
        <f t="shared" si="1"/>
        <v>3345</v>
      </c>
    </row>
    <row r="10972" ht="22.5" customHeight="1">
      <c r="B10972" s="42" t="str">
        <f>IFERROR(__xludf.DUMMYFUNCTION("""COMPUTED_VALUE"""),"K/2/230126/1")</f>
        <v>K/2/230126/1</v>
      </c>
      <c r="C10972" s="42" t="str">
        <f>IFERROR(__xludf.DUMMYFUNCTION("""COMPUTED_VALUE"""),"M. 11624/SUKARAME")</f>
        <v>M. 11624/SUKARAME</v>
      </c>
      <c r="D10972" s="42"/>
      <c r="E10972" s="42"/>
      <c r="F10972" s="48" t="str">
        <f>IFERROR(__xludf.DUMMYFUNCTION("""COMPUTED_VALUE"""),"")</f>
        <v/>
      </c>
      <c r="G10972" s="42" t="str">
        <f>IFERROR(__xludf.DUMMYFUNCTION("""COMPUTED_VALUE"""),"SKPT LELANG")</f>
        <v>SKPT LELANG</v>
      </c>
      <c r="H10972" s="42">
        <f t="shared" si="1"/>
        <v>3345</v>
      </c>
    </row>
    <row r="10973" ht="22.5" customHeight="1">
      <c r="B10973" s="42" t="str">
        <f>IFERROR(__xludf.DUMMYFUNCTION("""COMPUTED_VALUE"""),"L/5/230126/1")</f>
        <v>L/5/230126/1</v>
      </c>
      <c r="C10973" s="42" t="str">
        <f>IFERROR(__xludf.DUMMYFUNCTION("""COMPUTED_VALUE"""),"B. 3495/SUKARAME I")</f>
        <v>B. 3495/SUKARAME I</v>
      </c>
      <c r="D10973" s="42"/>
      <c r="E10973" s="42"/>
      <c r="F10973" s="48" t="str">
        <f>IFERROR(__xludf.DUMMYFUNCTION("""COMPUTED_VALUE"""),"")</f>
        <v/>
      </c>
      <c r="G10973" s="42" t="str">
        <f>IFERROR(__xludf.DUMMYFUNCTION("""COMPUTED_VALUE"""),"PENGUKURAN HGB MATI")</f>
        <v>PENGUKURAN HGB MATI</v>
      </c>
      <c r="H10973" s="42">
        <f t="shared" si="1"/>
        <v>3345</v>
      </c>
    </row>
    <row r="10974" ht="22.5" customHeight="1">
      <c r="B10974" s="42" t="str">
        <f>IFERROR(__xludf.DUMMYFUNCTION("""COMPUTED_VALUE"""),"ABZHVQLN")</f>
        <v>ABZHVQLN</v>
      </c>
      <c r="C10974" s="42" t="str">
        <f>IFERROR(__xludf.DUMMYFUNCTION("""COMPUTED_VALUE"""),"08.01.000028529.0")</f>
        <v>08.01.000028529.0</v>
      </c>
      <c r="D10974" s="42"/>
      <c r="E10974" s="42"/>
      <c r="F10974" s="48" t="str">
        <f>IFERROR(__xludf.DUMMYFUNCTION("""COMPUTED_VALUE"""),"")</f>
        <v/>
      </c>
      <c r="G10974" s="42" t="str">
        <f>IFERROR(__xludf.DUMMYFUNCTION("""COMPUTED_VALUE"""),"BN")</f>
        <v>BN</v>
      </c>
      <c r="H10974" s="42">
        <f t="shared" si="1"/>
        <v>3345</v>
      </c>
    </row>
    <row r="10975" ht="22.5" customHeight="1">
      <c r="B10975" s="42" t="str">
        <f>IFERROR(__xludf.DUMMYFUNCTION("""COMPUTED_VALUE"""),"ABSKXBVE/038")</f>
        <v>ABSKXBVE/038</v>
      </c>
      <c r="C10975" s="42" t="str">
        <f>IFERROR(__xludf.DUMMYFUNCTION("""COMPUTED_VALUE"""),"ShGb 831 Bakung")</f>
        <v>ShGb 831 Bakung</v>
      </c>
      <c r="D10975" s="42"/>
      <c r="E10975" s="42"/>
      <c r="F10975" s="48" t="str">
        <f>IFERROR(__xludf.DUMMYFUNCTION("""COMPUTED_VALUE"""),"")</f>
        <v/>
      </c>
      <c r="G10975" s="42" t="str">
        <f>IFERROR(__xludf.DUMMYFUNCTION("""COMPUTED_VALUE"""),"balik nama waris")</f>
        <v>balik nama waris</v>
      </c>
      <c r="H10975" s="42">
        <f t="shared" si="1"/>
        <v>3345</v>
      </c>
    </row>
    <row r="10976" ht="22.5" customHeight="1">
      <c r="B10976" s="42" t="str">
        <f>IFERROR(__xludf.DUMMYFUNCTION("""COMPUTED_VALUE"""),"ABZPIRLA/038")</f>
        <v>ABZPIRLA/038</v>
      </c>
      <c r="C10976" s="42" t="str">
        <f>IFERROR(__xludf.DUMMYFUNCTION("""COMPUTED_VALUE"""),"SHM 433 kebon jeruk")</f>
        <v>SHM 433 kebon jeruk</v>
      </c>
      <c r="D10976" s="42"/>
      <c r="E10976" s="42"/>
      <c r="F10976" s="48" t="str">
        <f>IFERROR(__xludf.DUMMYFUNCTION("""COMPUTED_VALUE"""),"")</f>
        <v/>
      </c>
      <c r="G10976" s="42" t="str">
        <f>IFERROR(__xludf.DUMMYFUNCTION("""COMPUTED_VALUE"""),"plotting")</f>
        <v>plotting</v>
      </c>
      <c r="H10976" s="42">
        <f t="shared" si="1"/>
        <v>3345</v>
      </c>
    </row>
    <row r="10977" ht="22.5" customHeight="1">
      <c r="B10977" s="42" t="str">
        <f>IFERROR(__xludf.DUMMYFUNCTION("""COMPUTED_VALUE"""),"K/6/230126/1")</f>
        <v>K/6/230126/1</v>
      </c>
      <c r="C10977" s="42" t="str">
        <f>IFERROR(__xludf.DUMMYFUNCTION("""COMPUTED_VALUE"""),"M. 2026/GUNUNG TERANG")</f>
        <v>M. 2026/GUNUNG TERANG</v>
      </c>
      <c r="D10977" s="42"/>
      <c r="E10977" s="42"/>
      <c r="F10977" s="48" t="str">
        <f>IFERROR(__xludf.DUMMYFUNCTION("""COMPUTED_VALUE"""),"")</f>
        <v/>
      </c>
      <c r="G10977" s="42" t="str">
        <f>IFERROR(__xludf.DUMMYFUNCTION("""COMPUTED_VALUE"""),"PEMECAHAN")</f>
        <v>PEMECAHAN</v>
      </c>
      <c r="H10977" s="42">
        <f t="shared" si="1"/>
        <v>3345</v>
      </c>
    </row>
    <row r="10978" ht="22.5" customHeight="1">
      <c r="B10978" s="42" t="str">
        <f>IFERROR(__xludf.DUMMYFUNCTION("""COMPUTED_VALUE"""),"ABVLIQGH")</f>
        <v>ABVLIQGH</v>
      </c>
      <c r="C10978" s="42" t="str">
        <f>IFERROR(__xludf.DUMMYFUNCTION("""COMPUTED_VALUE"""),"M 856")</f>
        <v>M 856</v>
      </c>
      <c r="D10978" s="42"/>
      <c r="E10978" s="42"/>
      <c r="F10978" s="48" t="str">
        <f>IFERROR(__xludf.DUMMYFUNCTION("""COMPUTED_VALUE"""),"")</f>
        <v/>
      </c>
      <c r="G10978" s="42" t="str">
        <f>IFERROR(__xludf.DUMMYFUNCTION("""COMPUTED_VALUE"""),"Peralihan Hak ")</f>
        <v>Peralihan Hak </v>
      </c>
      <c r="H10978" s="42">
        <f t="shared" si="1"/>
        <v>3345</v>
      </c>
    </row>
    <row r="10979" ht="22.5" customHeight="1">
      <c r="B10979" s="42" t="str">
        <f>IFERROR(__xludf.DUMMYFUNCTION("""COMPUTED_VALUE"""),"ABPSMCLJ")</f>
        <v>ABPSMCLJ</v>
      </c>
      <c r="C10979" s="42" t="str">
        <f>IFERROR(__xludf.DUMMYFUNCTION("""COMPUTED_VALUE"""),"08.01.000016760.0")</f>
        <v>08.01.000016760.0</v>
      </c>
      <c r="D10979" s="42"/>
      <c r="E10979" s="42"/>
      <c r="F10979" s="48" t="str">
        <f>IFERROR(__xludf.DUMMYFUNCTION("""COMPUTED_VALUE"""),"")</f>
        <v/>
      </c>
      <c r="G10979" s="42" t="str">
        <f>IFERROR(__xludf.DUMMYFUNCTION("""COMPUTED_VALUE"""),"Perubahan Hak")</f>
        <v>Perubahan Hak</v>
      </c>
      <c r="H10979" s="42">
        <f t="shared" si="1"/>
        <v>3345</v>
      </c>
    </row>
    <row r="10980" ht="22.5" customHeight="1">
      <c r="B10980" s="42" t="str">
        <f>IFERROR(__xludf.DUMMYFUNCTION("""COMPUTED_VALUE"""),"ABOLESCX")</f>
        <v>ABOLESCX</v>
      </c>
      <c r="C10980" s="42" t="str">
        <f>IFERROR(__xludf.DUMMYFUNCTION("""COMPUTED_VALUE"""),"08.01.000024984.0")</f>
        <v>08.01.000024984.0</v>
      </c>
      <c r="D10980" s="42"/>
      <c r="E10980" s="42"/>
      <c r="F10980" s="48" t="str">
        <f>IFERROR(__xludf.DUMMYFUNCTION("""COMPUTED_VALUE"""),"")</f>
        <v/>
      </c>
      <c r="G10980" s="42" t="str">
        <f>IFERROR(__xludf.DUMMYFUNCTION("""COMPUTED_VALUE"""),"Perubahan Hak")</f>
        <v>Perubahan Hak</v>
      </c>
      <c r="H10980" s="42">
        <f t="shared" si="1"/>
        <v>3345</v>
      </c>
    </row>
    <row r="10981" ht="22.5" customHeight="1">
      <c r="B10981" s="42" t="str">
        <f>IFERROR(__xludf.DUMMYFUNCTION("""COMPUTED_VALUE"""),"ABFKNLCV/AB044")</f>
        <v>ABFKNLCV/AB044</v>
      </c>
      <c r="C10981" s="42" t="str">
        <f>IFERROR(__xludf.DUMMYFUNCTION("""COMPUTED_VALUE"""),"B NIBEL 3664/Sukabumi")</f>
        <v>B NIBEL 3664/Sukabumi</v>
      </c>
      <c r="D10981" s="42"/>
      <c r="E10981" s="42"/>
      <c r="F10981" s="48" t="str">
        <f>IFERROR(__xludf.DUMMYFUNCTION("""COMPUTED_VALUE"""),"")</f>
        <v/>
      </c>
      <c r="G10981" s="42" t="str">
        <f>IFERROR(__xludf.DUMMYFUNCTION("""COMPUTED_VALUE"""),"Bn jual beli")</f>
        <v>Bn jual beli</v>
      </c>
      <c r="H10981" s="42">
        <f t="shared" si="1"/>
        <v>3345</v>
      </c>
    </row>
    <row r="10982" ht="22.5" customHeight="1">
      <c r="B10982" s="42" t="str">
        <f>IFERROR(__xludf.DUMMYFUNCTION("""COMPUTED_VALUE"""),"ABAYIXKX")</f>
        <v>ABAYIXKX</v>
      </c>
      <c r="C10982" s="42" t="str">
        <f>IFERROR(__xludf.DUMMYFUNCTION("""COMPUTED_VALUE"""),"M.4468 GUNUNG T ERANG")</f>
        <v>M.4468 GUNUNG T ERANG</v>
      </c>
      <c r="D10982" s="42"/>
      <c r="E10982" s="42"/>
      <c r="F10982" s="48" t="str">
        <f>IFERROR(__xludf.DUMMYFUNCTION("""COMPUTED_VALUE"""),"")</f>
        <v/>
      </c>
      <c r="G10982" s="42" t="str">
        <f>IFERROR(__xludf.DUMMYFUNCTION("""COMPUTED_VALUE"""),"Balik Nama")</f>
        <v>Balik Nama</v>
      </c>
      <c r="H10982" s="42">
        <f t="shared" si="1"/>
        <v>3345</v>
      </c>
    </row>
    <row r="10983" ht="22.5" customHeight="1">
      <c r="B10983" s="42" t="str">
        <f>IFERROR(__xludf.DUMMYFUNCTION("""COMPUTED_VALUE"""),"ABHVBUYD")</f>
        <v>ABHVBUYD</v>
      </c>
      <c r="C10983" s="42" t="str">
        <f>IFERROR(__xludf.DUMMYFUNCTION("""COMPUTED_VALUE"""),"M 00241 Bilabong Jaya")</f>
        <v>M 00241 Bilabong Jaya</v>
      </c>
      <c r="D10983" s="42"/>
      <c r="E10983" s="42"/>
      <c r="F10983" s="48" t="str">
        <f>IFERROR(__xludf.DUMMYFUNCTION("""COMPUTED_VALUE"""),"")</f>
        <v/>
      </c>
      <c r="G10983" s="42" t="str">
        <f>IFERROR(__xludf.DUMMYFUNCTION("""COMPUTED_VALUE"""),"Balik Nama ")</f>
        <v>Balik Nama </v>
      </c>
      <c r="H10983" s="42">
        <f t="shared" si="1"/>
        <v>3345</v>
      </c>
    </row>
    <row r="10984" ht="22.5" customHeight="1">
      <c r="B10984" s="42" t="str">
        <f>IFERROR(__xludf.DUMMYFUNCTION("""COMPUTED_VALUE"""),"ABCNLUBI")</f>
        <v>ABCNLUBI</v>
      </c>
      <c r="C10984" s="42">
        <f>IFERROR(__xludf.DUMMYFUNCTION("""COMPUTED_VALUE"""),1805.0)</f>
        <v>1805</v>
      </c>
      <c r="D10984" s="42"/>
      <c r="E10984" s="42"/>
      <c r="F10984" s="48" t="str">
        <f>IFERROR(__xludf.DUMMYFUNCTION("""COMPUTED_VALUE"""),"")</f>
        <v/>
      </c>
      <c r="G10984" s="42" t="str">
        <f>IFERROR(__xludf.DUMMYFUNCTION("""COMPUTED_VALUE"""),"Hibah")</f>
        <v>Hibah</v>
      </c>
      <c r="H10984" s="42">
        <f t="shared" si="1"/>
        <v>3345</v>
      </c>
    </row>
    <row r="10985" ht="22.5" customHeight="1">
      <c r="B10985" s="42" t="str">
        <f>IFERROR(__xludf.DUMMYFUNCTION("""COMPUTED_VALUE"""),"ABWHMCDV")</f>
        <v>ABWHMCDV</v>
      </c>
      <c r="C10985" s="42" t="str">
        <f>IFERROR(__xludf.DUMMYFUNCTION("""COMPUTED_VALUE"""),"M.1266 SUMUR BATU")</f>
        <v>M.1266 SUMUR BATU</v>
      </c>
      <c r="D10985" s="42"/>
      <c r="E10985" s="42"/>
      <c r="F10985" s="48" t="str">
        <f>IFERROR(__xludf.DUMMYFUNCTION("""COMPUTED_VALUE"""),"")</f>
        <v/>
      </c>
      <c r="G10985" s="42" t="str">
        <f>IFERROR(__xludf.DUMMYFUNCTION("""COMPUTED_VALUE"""),"BALIK NAMA")</f>
        <v>BALIK NAMA</v>
      </c>
      <c r="H10985" s="42">
        <f t="shared" si="1"/>
        <v>3345</v>
      </c>
    </row>
    <row r="10986" ht="22.5" customHeight="1">
      <c r="B10986" s="42" t="str">
        <f>IFERROR(__xludf.DUMMYFUNCTION("""COMPUTED_VALUE"""),"ABYVTGSO")</f>
        <v>ABYVTGSO</v>
      </c>
      <c r="C10986" s="42" t="str">
        <f>IFERROR(__xludf.DUMMYFUNCTION("""COMPUTED_VALUE"""),"M.1011 SUMUR BATU")</f>
        <v>M.1011 SUMUR BATU</v>
      </c>
      <c r="D10986" s="42"/>
      <c r="E10986" s="42"/>
      <c r="F10986" s="48" t="str">
        <f>IFERROR(__xludf.DUMMYFUNCTION("""COMPUTED_VALUE"""),"")</f>
        <v/>
      </c>
      <c r="G10986" s="42" t="str">
        <f>IFERROR(__xludf.DUMMYFUNCTION("""COMPUTED_VALUE"""),"BALIK NAMA")</f>
        <v>BALIK NAMA</v>
      </c>
      <c r="H10986" s="42">
        <f t="shared" si="1"/>
        <v>3345</v>
      </c>
    </row>
    <row r="10987" ht="22.5" customHeight="1">
      <c r="B10987" s="42" t="str">
        <f>IFERROR(__xludf.DUMMYFUNCTION("""COMPUTED_VALUE"""),"ABXOMFYN")</f>
        <v>ABXOMFYN</v>
      </c>
      <c r="C10987" s="42" t="str">
        <f>IFERROR(__xludf.DUMMYFUNCTION("""COMPUTED_VALUE"""),"M.1123 SUMUR BATU")</f>
        <v>M.1123 SUMUR BATU</v>
      </c>
      <c r="D10987" s="42"/>
      <c r="E10987" s="42"/>
      <c r="F10987" s="48" t="str">
        <f>IFERROR(__xludf.DUMMYFUNCTION("""COMPUTED_VALUE"""),"")</f>
        <v/>
      </c>
      <c r="G10987" s="42" t="str">
        <f>IFERROR(__xludf.DUMMYFUNCTION("""COMPUTED_VALUE"""),"BALIK NAMA")</f>
        <v>BALIK NAMA</v>
      </c>
      <c r="H10987" s="42">
        <f t="shared" si="1"/>
        <v>3345</v>
      </c>
    </row>
    <row r="10988" ht="22.5" customHeight="1">
      <c r="B10988" s="42" t="str">
        <f>IFERROR(__xludf.DUMMYFUNCTION("""COMPUTED_VALUE"""),"ABLFVOHD")</f>
        <v>ABLFVOHD</v>
      </c>
      <c r="C10988" s="42" t="str">
        <f>IFERROR(__xludf.DUMMYFUNCTION("""COMPUTED_VALUE"""),"M.10152/sukabumi")</f>
        <v>M.10152/sukabumi</v>
      </c>
      <c r="D10988" s="42"/>
      <c r="E10988" s="42"/>
      <c r="F10988" s="48" t="str">
        <f>IFERROR(__xludf.DUMMYFUNCTION("""COMPUTED_VALUE"""),"")</f>
        <v/>
      </c>
      <c r="G10988" s="42" t="str">
        <f>IFERROR(__xludf.DUMMYFUNCTION("""COMPUTED_VALUE"""),"Peralihan hak ")</f>
        <v>Peralihan hak </v>
      </c>
      <c r="H10988" s="42">
        <f t="shared" si="1"/>
        <v>3345</v>
      </c>
    </row>
    <row r="10989" ht="22.5" customHeight="1">
      <c r="B10989" s="42" t="str">
        <f>IFERROR(__xludf.DUMMYFUNCTION("""COMPUTED_VALUE"""),"ABSSBLUH")</f>
        <v>ABSSBLUH</v>
      </c>
      <c r="C10989" s="42" t="str">
        <f>IFERROR(__xludf.DUMMYFUNCTION("""COMPUTED_VALUE"""),"M.9175/Kp.B")</f>
        <v>M.9175/Kp.B</v>
      </c>
      <c r="D10989" s="42"/>
      <c r="E10989" s="42"/>
      <c r="F10989" s="48" t="str">
        <f>IFERROR(__xludf.DUMMYFUNCTION("""COMPUTED_VALUE"""),"")</f>
        <v/>
      </c>
      <c r="G10989" s="42" t="str">
        <f>IFERROR(__xludf.DUMMYFUNCTION("""COMPUTED_VALUE"""),"Ganti Desa")</f>
        <v>Ganti Desa</v>
      </c>
      <c r="H10989" s="42">
        <f t="shared" si="1"/>
        <v>3345</v>
      </c>
    </row>
    <row r="10990" ht="22.5" customHeight="1">
      <c r="B10990" s="42" t="str">
        <f>IFERROR(__xludf.DUMMYFUNCTION("""COMPUTED_VALUE"""),"ABGKHTNQ/AB014")</f>
        <v>ABGKHTNQ/AB014</v>
      </c>
      <c r="C10990" s="42" t="str">
        <f>IFERROR(__xludf.DUMMYFUNCTION("""COMPUTED_VALUE"""),"M. 798/Kedaung")</f>
        <v>M. 798/Kedaung</v>
      </c>
      <c r="D10990" s="42"/>
      <c r="E10990" s="42"/>
      <c r="F10990" s="48" t="str">
        <f>IFERROR(__xludf.DUMMYFUNCTION("""COMPUTED_VALUE"""),"")</f>
        <v/>
      </c>
      <c r="G10990" s="42" t="str">
        <f>IFERROR(__xludf.DUMMYFUNCTION("""COMPUTED_VALUE"""),"Peralihan hak")</f>
        <v>Peralihan hak</v>
      </c>
      <c r="H10990" s="42">
        <f t="shared" si="1"/>
        <v>3345</v>
      </c>
    </row>
    <row r="10991" ht="22.5" customHeight="1">
      <c r="B10991" s="42" t="str">
        <f>IFERROR(__xludf.DUMMYFUNCTION("""COMPUTED_VALUE"""),"ABYTXEUD")</f>
        <v>ABYTXEUD</v>
      </c>
      <c r="C10991" s="42" t="str">
        <f>IFERROR(__xludf.DUMMYFUNCTION("""COMPUTED_VALUE"""),"M.09989/kampung baru")</f>
        <v>M.09989/kampung baru</v>
      </c>
      <c r="D10991" s="42"/>
      <c r="E10991" s="42"/>
      <c r="F10991" s="48" t="str">
        <f>IFERROR(__xludf.DUMMYFUNCTION("""COMPUTED_VALUE"""),"")</f>
        <v/>
      </c>
      <c r="G10991" s="42" t="str">
        <f>IFERROR(__xludf.DUMMYFUNCTION("""COMPUTED_VALUE"""),"BN JUAL BELI")</f>
        <v>BN JUAL BELI</v>
      </c>
      <c r="H10991" s="42">
        <f t="shared" si="1"/>
        <v>3345</v>
      </c>
    </row>
    <row r="10992" ht="22.5" customHeight="1">
      <c r="B10992" s="42" t="str">
        <f>IFERROR(__xludf.DUMMYFUNCTION("""COMPUTED_VALUE"""),"ABAEFVJC/AB014")</f>
        <v>ABAEFVJC/AB014</v>
      </c>
      <c r="C10992" s="42" t="str">
        <f>IFERROR(__xludf.DUMMYFUNCTION("""COMPUTED_VALUE"""),"M. 4200/Sukadana Ham")</f>
        <v>M. 4200/Sukadana Ham</v>
      </c>
      <c r="D10992" s="42"/>
      <c r="E10992" s="42"/>
      <c r="F10992" s="48" t="str">
        <f>IFERROR(__xludf.DUMMYFUNCTION("""COMPUTED_VALUE"""),"")</f>
        <v/>
      </c>
      <c r="G10992" s="42" t="str">
        <f>IFERROR(__xludf.DUMMYFUNCTION("""COMPUTED_VALUE"""),"Peralihan hak")</f>
        <v>Peralihan hak</v>
      </c>
      <c r="H10992" s="42">
        <f t="shared" si="1"/>
        <v>3345</v>
      </c>
    </row>
    <row r="10993" ht="22.5" customHeight="1">
      <c r="B10993" s="42" t="str">
        <f>IFERROR(__xludf.DUMMYFUNCTION("""COMPUTED_VALUE"""),"ABOOJXER/AB014")</f>
        <v>ABOOJXER/AB014</v>
      </c>
      <c r="C10993" s="42" t="str">
        <f>IFERROR(__xludf.DUMMYFUNCTION("""COMPUTED_VALUE"""),"M. 2815/Sukadana Ham")</f>
        <v>M. 2815/Sukadana Ham</v>
      </c>
      <c r="D10993" s="42"/>
      <c r="E10993" s="42"/>
      <c r="F10993" s="48" t="str">
        <f>IFERROR(__xludf.DUMMYFUNCTION("""COMPUTED_VALUE"""),"")</f>
        <v/>
      </c>
      <c r="G10993" s="42" t="str">
        <f>IFERROR(__xludf.DUMMYFUNCTION("""COMPUTED_VALUE"""),"Peralihan Hak")</f>
        <v>Peralihan Hak</v>
      </c>
      <c r="H10993" s="42">
        <f t="shared" si="1"/>
        <v>3345</v>
      </c>
    </row>
    <row r="10994" ht="22.5" customHeight="1">
      <c r="B10994" s="42" t="str">
        <f>IFERROR(__xludf.DUMMYFUNCTION("""COMPUTED_VALUE"""),"ABEYWGIO/AB014")</f>
        <v>ABEYWGIO/AB014</v>
      </c>
      <c r="C10994" s="42" t="str">
        <f>IFERROR(__xludf.DUMMYFUNCTION("""COMPUTED_VALUE"""),"M. nibel 24166/Rajabasa Jaya")</f>
        <v>M. nibel 24166/Rajabasa Jaya</v>
      </c>
      <c r="D10994" s="42"/>
      <c r="E10994" s="42"/>
      <c r="F10994" s="48" t="str">
        <f>IFERROR(__xludf.DUMMYFUNCTION("""COMPUTED_VALUE"""),"")</f>
        <v/>
      </c>
      <c r="G10994" s="42" t="str">
        <f>IFERROR(__xludf.DUMMYFUNCTION("""COMPUTED_VALUE"""),"Peralihan Hak")</f>
        <v>Peralihan Hak</v>
      </c>
      <c r="H10994" s="42">
        <f t="shared" si="1"/>
        <v>3345</v>
      </c>
    </row>
    <row r="10995" ht="22.5" customHeight="1">
      <c r="B10995" s="42" t="str">
        <f>IFERROR(__xludf.DUMMYFUNCTION("""COMPUTED_VALUE"""),"ABMXXELR")</f>
        <v>ABMXXELR</v>
      </c>
      <c r="C10995" s="42" t="str">
        <f>IFERROR(__xludf.DUMMYFUNCTION("""COMPUTED_VALUE"""),"M.14073 KEDAMAIAN")</f>
        <v>M.14073 KEDAMAIAN</v>
      </c>
      <c r="D10995" s="42"/>
      <c r="E10995" s="42"/>
      <c r="F10995" s="48" t="str">
        <f>IFERROR(__xludf.DUMMYFUNCTION("""COMPUTED_VALUE"""),"")</f>
        <v/>
      </c>
      <c r="G10995" s="42" t="str">
        <f>IFERROR(__xludf.DUMMYFUNCTION("""COMPUTED_VALUE"""),"turun waris")</f>
        <v>turun waris</v>
      </c>
      <c r="H10995" s="42">
        <f t="shared" si="1"/>
        <v>3345</v>
      </c>
    </row>
    <row r="10996" ht="22.5" customHeight="1">
      <c r="B10996" s="42" t="str">
        <f>IFERROR(__xludf.DUMMYFUNCTION("""COMPUTED_VALUE"""),"ABKJZPII/AB059")</f>
        <v>ABKJZPII/AB059</v>
      </c>
      <c r="C10996" s="42" t="str">
        <f>IFERROR(__xludf.DUMMYFUNCTION("""COMPUTED_VALUE"""),"B 01280/Nusantara Permai")</f>
        <v>B 01280/Nusantara Permai</v>
      </c>
      <c r="D10996" s="42"/>
      <c r="E10996" s="42"/>
      <c r="F10996" s="48" t="str">
        <f>IFERROR(__xludf.DUMMYFUNCTION("""COMPUTED_VALUE"""),"")</f>
        <v/>
      </c>
      <c r="G10996" s="42" t="str">
        <f>IFERROR(__xludf.DUMMYFUNCTION("""COMPUTED_VALUE"""),"Peningkatan hak")</f>
        <v>Peningkatan hak</v>
      </c>
      <c r="H10996" s="42">
        <f t="shared" si="1"/>
        <v>3345</v>
      </c>
    </row>
    <row r="10997" ht="22.5" customHeight="1">
      <c r="B10997" s="42" t="str">
        <f>IFERROR(__xludf.DUMMYFUNCTION("""COMPUTED_VALUE"""),"ABGDMCLN")</f>
        <v>ABGDMCLN</v>
      </c>
      <c r="C10997" s="42" t="str">
        <f>IFERROR(__xludf.DUMMYFUNCTION("""COMPUTED_VALUE"""),"03489/Sukadana ham")</f>
        <v>03489/Sukadana ham</v>
      </c>
      <c r="D10997" s="42"/>
      <c r="E10997" s="42"/>
      <c r="F10997" s="48" t="str">
        <f>IFERROR(__xludf.DUMMYFUNCTION("""COMPUTED_VALUE"""),"")</f>
        <v/>
      </c>
      <c r="G10997" s="42" t="str">
        <f>IFERROR(__xludf.DUMMYFUNCTION("""COMPUTED_VALUE"""),"Balik nama jual beli")</f>
        <v>Balik nama jual beli</v>
      </c>
      <c r="H10997" s="42">
        <f t="shared" si="1"/>
        <v>3345</v>
      </c>
    </row>
    <row r="10998" ht="22.5" customHeight="1">
      <c r="B10998" s="42" t="str">
        <f>IFERROR(__xludf.DUMMYFUNCTION("""COMPUTED_VALUE"""),"ABXEKRDB")</f>
        <v>ABXEKRDB</v>
      </c>
      <c r="C10998" s="42" t="str">
        <f>IFERROR(__xludf.DUMMYFUNCTION("""COMPUTED_VALUE"""),"M.3243 SUKARAME BARU")</f>
        <v>M.3243 SUKARAME BARU</v>
      </c>
      <c r="D10998" s="42"/>
      <c r="E10998" s="42"/>
      <c r="F10998" s="48" t="str">
        <f>IFERROR(__xludf.DUMMYFUNCTION("""COMPUTED_VALUE"""),"")</f>
        <v/>
      </c>
      <c r="G10998" s="42" t="str">
        <f>IFERROR(__xludf.DUMMYFUNCTION("""COMPUTED_VALUE"""),"Bn jual beli")</f>
        <v>Bn jual beli</v>
      </c>
      <c r="H10998" s="42">
        <f t="shared" si="1"/>
        <v>3345</v>
      </c>
    </row>
    <row r="10999" ht="22.5" customHeight="1">
      <c r="B10999" s="42" t="str">
        <f>IFERROR(__xludf.DUMMYFUNCTION("""COMPUTED_VALUE"""),"K/7/230126/1")</f>
        <v>K/7/230126/1</v>
      </c>
      <c r="C10999" s="42" t="str">
        <f>IFERROR(__xludf.DUMMYFUNCTION("""COMPUTED_VALUE"""),"NIBEL M. 22720/SUSUNAN BARU")</f>
        <v>NIBEL M. 22720/SUSUNAN BARU</v>
      </c>
      <c r="D10999" s="42"/>
      <c r="E10999" s="42"/>
      <c r="F10999" s="48" t="str">
        <f>IFERROR(__xludf.DUMMYFUNCTION("""COMPUTED_VALUE"""),"")</f>
        <v/>
      </c>
      <c r="G10999" s="42" t="str">
        <f>IFERROR(__xludf.DUMMYFUNCTION("""COMPUTED_VALUE"""),"SKPT INFORMASI")</f>
        <v>SKPT INFORMASI</v>
      </c>
      <c r="H10999" s="42">
        <f t="shared" si="1"/>
        <v>3345</v>
      </c>
    </row>
    <row r="11000" ht="22.5" customHeight="1">
      <c r="B11000" s="42" t="str">
        <f>IFERROR(__xludf.DUMMYFUNCTION("""COMPUTED_VALUE"""),"K/8/230126/1")</f>
        <v>K/8/230126/1</v>
      </c>
      <c r="C11000" s="42" t="str">
        <f>IFERROR(__xludf.DUMMYFUNCTION("""COMPUTED_VALUE"""),"B. 204/GUNUNG SULAH")</f>
        <v>B. 204/GUNUNG SULAH</v>
      </c>
      <c r="D11000" s="42"/>
      <c r="E11000" s="42"/>
      <c r="F11000" s="48" t="str">
        <f>IFERROR(__xludf.DUMMYFUNCTION("""COMPUTED_VALUE"""),"")</f>
        <v/>
      </c>
      <c r="G11000" s="42" t="str">
        <f>IFERROR(__xludf.DUMMYFUNCTION("""COMPUTED_VALUE"""),"PENGUKURAN HGB MATI")</f>
        <v>PENGUKURAN HGB MATI</v>
      </c>
      <c r="H11000" s="42">
        <f t="shared" si="1"/>
        <v>3345</v>
      </c>
    </row>
    <row r="11001" ht="22.5" customHeight="1">
      <c r="B11001" s="42" t="str">
        <f>IFERROR(__xludf.DUMMYFUNCTION("""COMPUTED_VALUE"""),"ABQJDCGK")</f>
        <v>ABQJDCGK</v>
      </c>
      <c r="C11001" s="42" t="str">
        <f>IFERROR(__xludf.DUMMYFUNCTION("""COMPUTED_VALUE"""),"NIBEL M 27182/ talang")</f>
        <v>NIBEL M 27182/ talang</v>
      </c>
      <c r="D11001" s="42"/>
      <c r="E11001" s="42"/>
      <c r="F11001" s="48" t="str">
        <f>IFERROR(__xludf.DUMMYFUNCTION("""COMPUTED_VALUE"""),"")</f>
        <v/>
      </c>
      <c r="G11001" s="42" t="str">
        <f>IFERROR(__xludf.DUMMYFUNCTION("""COMPUTED_VALUE"""),"bn waris")</f>
        <v>bn waris</v>
      </c>
      <c r="H11001" s="42">
        <f t="shared" si="1"/>
        <v>3345</v>
      </c>
    </row>
    <row r="11002" ht="22.5" customHeight="1">
      <c r="B11002" s="42" t="str">
        <f>IFERROR(__xludf.DUMMYFUNCTION("""COMPUTED_VALUE"""),"K/9/230126/1")</f>
        <v>K/9/230126/1</v>
      </c>
      <c r="C11002" s="42" t="str">
        <f>IFERROR(__xludf.DUMMYFUNCTION("""COMPUTED_VALUE"""),"M. 247 &amp; M.193/BATU PUTU")</f>
        <v>M. 247 &amp; M.193/BATU PUTU</v>
      </c>
      <c r="D11002" s="42"/>
      <c r="E11002" s="42"/>
      <c r="F11002" s="48" t="str">
        <f>IFERROR(__xludf.DUMMYFUNCTION("""COMPUTED_VALUE"""),"")</f>
        <v/>
      </c>
      <c r="G11002" s="42" t="str">
        <f>IFERROR(__xludf.DUMMYFUNCTION("""COMPUTED_VALUE"""),"ROYA")</f>
        <v>ROYA</v>
      </c>
      <c r="H11002" s="42">
        <f t="shared" si="1"/>
        <v>3345</v>
      </c>
    </row>
    <row r="11003" ht="22.5" customHeight="1">
      <c r="B11003" s="42" t="str">
        <f>IFERROR(__xludf.DUMMYFUNCTION("""COMPUTED_VALUE"""),"ABEYXQHH")</f>
        <v>ABEYXQHH</v>
      </c>
      <c r="C11003" s="42" t="str">
        <f>IFERROR(__xludf.DUMMYFUNCTION("""COMPUTED_VALUE"""),"M.777 KUPANG KOTA")</f>
        <v>M.777 KUPANG KOTA</v>
      </c>
      <c r="D11003" s="42"/>
      <c r="E11003" s="42"/>
      <c r="F11003" s="48" t="str">
        <f>IFERROR(__xludf.DUMMYFUNCTION("""COMPUTED_VALUE"""),"")</f>
        <v/>
      </c>
      <c r="G11003" s="42" t="str">
        <f>IFERROR(__xludf.DUMMYFUNCTION("""COMPUTED_VALUE"""),"BN LELANG")</f>
        <v>BN LELANG</v>
      </c>
      <c r="H11003" s="42">
        <f t="shared" si="1"/>
        <v>3345</v>
      </c>
    </row>
    <row r="11004" ht="22.5" customHeight="1">
      <c r="B11004" s="42" t="str">
        <f>IFERROR(__xludf.DUMMYFUNCTION("""COMPUTED_VALUE"""),"ABSNZTQK")</f>
        <v>ABSNZTQK</v>
      </c>
      <c r="C11004" s="42" t="str">
        <f>IFERROR(__xludf.DUMMYFUNCTION("""COMPUTED_VALUE"""),"M.2974")</f>
        <v>M.2974</v>
      </c>
      <c r="D11004" s="42"/>
      <c r="E11004" s="42"/>
      <c r="F11004" s="48" t="str">
        <f>IFERROR(__xludf.DUMMYFUNCTION("""COMPUTED_VALUE"""),"")</f>
        <v/>
      </c>
      <c r="G11004" s="42" t="str">
        <f>IFERROR(__xludf.DUMMYFUNCTION("""COMPUTED_VALUE"""),"Balik nama")</f>
        <v>Balik nama</v>
      </c>
      <c r="H11004" s="42">
        <f t="shared" si="1"/>
        <v>3345</v>
      </c>
    </row>
    <row r="11005" ht="22.5" customHeight="1">
      <c r="B11005" s="42" t="str">
        <f>IFERROR(__xludf.DUMMYFUNCTION("""COMPUTED_VALUE"""),"ABBJHBTQ")</f>
        <v>ABBJHBTQ</v>
      </c>
      <c r="C11005" s="42" t="str">
        <f>IFERROR(__xludf.DUMMYFUNCTION("""COMPUTED_VALUE"""),"M.2973")</f>
        <v>M.2973</v>
      </c>
      <c r="D11005" s="42"/>
      <c r="E11005" s="42"/>
      <c r="F11005" s="48" t="str">
        <f>IFERROR(__xludf.DUMMYFUNCTION("""COMPUTED_VALUE"""),"")</f>
        <v/>
      </c>
      <c r="G11005" s="42" t="str">
        <f>IFERROR(__xludf.DUMMYFUNCTION("""COMPUTED_VALUE"""),"Balik nama")</f>
        <v>Balik nama</v>
      </c>
      <c r="H11005" s="42">
        <f t="shared" si="1"/>
        <v>3345</v>
      </c>
    </row>
    <row r="11006" ht="22.5" customHeight="1">
      <c r="B11006" s="42" t="str">
        <f>IFERROR(__xludf.DUMMYFUNCTION("""COMPUTED_VALUE"""),"ABDNBQSW")</f>
        <v>ABDNBQSW</v>
      </c>
      <c r="C11006" s="42" t="str">
        <f>IFERROR(__xludf.DUMMYFUNCTION("""COMPUTED_VALUE"""),"M.2972")</f>
        <v>M.2972</v>
      </c>
      <c r="D11006" s="42"/>
      <c r="E11006" s="42"/>
      <c r="F11006" s="48" t="str">
        <f>IFERROR(__xludf.DUMMYFUNCTION("""COMPUTED_VALUE"""),"")</f>
        <v/>
      </c>
      <c r="G11006" s="42" t="str">
        <f>IFERROR(__xludf.DUMMYFUNCTION("""COMPUTED_VALUE"""),"Balik nama")</f>
        <v>Balik nama</v>
      </c>
      <c r="H11006" s="42">
        <f t="shared" si="1"/>
        <v>3345</v>
      </c>
    </row>
    <row r="11007" ht="22.5" customHeight="1">
      <c r="B11007" s="42" t="str">
        <f>IFERROR(__xludf.DUMMYFUNCTION("""COMPUTED_VALUE"""),"ABFRVDUT")</f>
        <v>ABFRVDUT</v>
      </c>
      <c r="C11007" s="42">
        <f>IFERROR(__xludf.DUMMYFUNCTION("""COMPUTED_VALUE"""),28308.0)</f>
        <v>28308</v>
      </c>
      <c r="D11007" s="42"/>
      <c r="E11007" s="42"/>
      <c r="F11007" s="48" t="str">
        <f>IFERROR(__xludf.DUMMYFUNCTION("""COMPUTED_VALUE"""),"")</f>
        <v/>
      </c>
      <c r="G11007" s="42" t="str">
        <f>IFERROR(__xludf.DUMMYFUNCTION("""COMPUTED_VALUE"""),"BN")</f>
        <v>BN</v>
      </c>
      <c r="H11007" s="42">
        <f t="shared" si="1"/>
        <v>3345</v>
      </c>
    </row>
    <row r="11008" ht="22.5" customHeight="1">
      <c r="B11008" s="42" t="str">
        <f>IFERROR(__xludf.DUMMYFUNCTION("""COMPUTED_VALUE"""),"ABIERUMS")</f>
        <v>ABIERUMS</v>
      </c>
      <c r="C11008" s="42" t="str">
        <f>IFERROR(__xludf.DUMMYFUNCTION("""COMPUTED_VALUE"""),"02996/Tj.s")</f>
        <v>02996/Tj.s</v>
      </c>
      <c r="D11008" s="42"/>
      <c r="E11008" s="42"/>
      <c r="F11008" s="48" t="str">
        <f>IFERROR(__xludf.DUMMYFUNCTION("""COMPUTED_VALUE"""),"")</f>
        <v/>
      </c>
      <c r="G11008" s="42" t="str">
        <f>IFERROR(__xludf.DUMMYFUNCTION("""COMPUTED_VALUE"""),"BN")</f>
        <v>BN</v>
      </c>
      <c r="H11008" s="42">
        <f t="shared" si="1"/>
        <v>3345</v>
      </c>
    </row>
    <row r="11009" ht="22.5" customHeight="1">
      <c r="B11009" s="42" t="str">
        <f>IFERROR(__xludf.DUMMYFUNCTION("""COMPUTED_VALUE"""),"QBJAFSGG/1")</f>
        <v>QBJAFSGG/1</v>
      </c>
      <c r="C11009" s="42">
        <f>IFERROR(__xludf.DUMMYFUNCTION("""COMPUTED_VALUE"""),29820.0)</f>
        <v>29820</v>
      </c>
      <c r="D11009" s="42"/>
      <c r="E11009" s="42"/>
      <c r="F11009" s="48" t="str">
        <f>IFERROR(__xludf.DUMMYFUNCTION("""COMPUTED_VALUE"""),"")</f>
        <v/>
      </c>
      <c r="G11009" s="42" t="str">
        <f>IFERROR(__xludf.DUMMYFUNCTION("""COMPUTED_VALUE"""),"Balik nama waris")</f>
        <v>Balik nama waris</v>
      </c>
      <c r="H11009" s="42">
        <f t="shared" si="1"/>
        <v>3345</v>
      </c>
    </row>
    <row r="11010" ht="22.5" customHeight="1">
      <c r="B11010" s="42" t="str">
        <f>IFERROR(__xludf.DUMMYFUNCTION("""COMPUTED_VALUE"""),"ABUYQNFY")</f>
        <v>ABUYQNFY</v>
      </c>
      <c r="C11010" s="42" t="str">
        <f>IFERROR(__xludf.DUMMYFUNCTION("""COMPUTED_VALUE"""),"Hm. EL. 08.01.0000.23029.0")</f>
        <v>Hm. EL. 08.01.0000.23029.0</v>
      </c>
      <c r="D11010" s="42"/>
      <c r="E11010" s="42"/>
      <c r="F11010" s="48" t="str">
        <f>IFERROR(__xludf.DUMMYFUNCTION("""COMPUTED_VALUE"""),"")</f>
        <v/>
      </c>
      <c r="G11010" s="42" t="str">
        <f>IFERROR(__xludf.DUMMYFUNCTION("""COMPUTED_VALUE"""),"Bn Jual Beli")</f>
        <v>Bn Jual Beli</v>
      </c>
      <c r="H11010" s="42">
        <f t="shared" si="1"/>
        <v>3345</v>
      </c>
    </row>
    <row r="11011" ht="22.5" customHeight="1">
      <c r="B11011" s="42" t="str">
        <f>IFERROR(__xludf.DUMMYFUNCTION("""COMPUTED_VALUE"""),"AB013")</f>
        <v>AB013</v>
      </c>
      <c r="C11011" s="42" t="str">
        <f>IFERROR(__xludf.DUMMYFUNCTION("""COMPUTED_VALUE"""),"M. 3256")</f>
        <v>M. 3256</v>
      </c>
      <c r="D11011" s="42"/>
      <c r="E11011" s="42"/>
      <c r="F11011" s="48" t="str">
        <f>IFERROR(__xludf.DUMMYFUNCTION("""COMPUTED_VALUE"""),"")</f>
        <v/>
      </c>
      <c r="G11011" s="42" t="str">
        <f>IFERROR(__xludf.DUMMYFUNCTION("""COMPUTED_VALUE"""),"Balik Nama Jual Beli")</f>
        <v>Balik Nama Jual Beli</v>
      </c>
      <c r="H11011" s="42">
        <f t="shared" si="1"/>
        <v>3345</v>
      </c>
    </row>
    <row r="11012" ht="22.5" customHeight="1">
      <c r="B11012" s="42" t="str">
        <f>IFERROR(__xludf.DUMMYFUNCTION("""COMPUTED_VALUE"""),"L/1/260126/1")</f>
        <v>L/1/260126/1</v>
      </c>
      <c r="C11012" s="42" t="str">
        <f>IFERROR(__xludf.DUMMYFUNCTION("""COMPUTED_VALUE"""),"M. 6178/TANJUNG SENANG")</f>
        <v>M. 6178/TANJUNG SENANG</v>
      </c>
      <c r="D11012" s="42"/>
      <c r="E11012" s="42"/>
      <c r="F11012" s="48" t="str">
        <f>IFERROR(__xludf.DUMMYFUNCTION("""COMPUTED_VALUE"""),"")</f>
        <v/>
      </c>
      <c r="G11012" s="42" t="str">
        <f>IFERROR(__xludf.DUMMYFUNCTION("""COMPUTED_VALUE"""),"HAPUS BPHTB")</f>
        <v>HAPUS BPHTB</v>
      </c>
      <c r="H11012" s="42">
        <f t="shared" si="1"/>
        <v>3345</v>
      </c>
    </row>
    <row r="11013" ht="22.5" customHeight="1">
      <c r="B11013" s="42" t="str">
        <f>IFERROR(__xludf.DUMMYFUNCTION("""COMPUTED_VALUE"""),"ABKBQQQK")</f>
        <v>ABKBQQQK</v>
      </c>
      <c r="C11013" s="42" t="str">
        <f>IFERROR(__xludf.DUMMYFUNCTION("""COMPUTED_VALUE"""),"Hm. 284/Rj.J")</f>
        <v>Hm. 284/Rj.J</v>
      </c>
      <c r="D11013" s="42"/>
      <c r="E11013" s="42"/>
      <c r="F11013" s="48" t="str">
        <f>IFERROR(__xludf.DUMMYFUNCTION("""COMPUTED_VALUE"""),"")</f>
        <v/>
      </c>
      <c r="G11013" s="42" t="str">
        <f>IFERROR(__xludf.DUMMYFUNCTION("""COMPUTED_VALUE"""),"Bn Jual Beli")</f>
        <v>Bn Jual Beli</v>
      </c>
      <c r="H11013" s="42">
        <f t="shared" si="1"/>
        <v>3345</v>
      </c>
    </row>
    <row r="11014" ht="22.5" customHeight="1">
      <c r="B11014" s="42" t="str">
        <f>IFERROR(__xludf.DUMMYFUNCTION("""COMPUTED_VALUE"""),"L/2/260126/1")</f>
        <v>L/2/260126/1</v>
      </c>
      <c r="C11014" s="42" t="str">
        <f>IFERROR(__xludf.DUMMYFUNCTION("""COMPUTED_VALUE"""),"M NIB. 27121/BERINGIN JAYA")</f>
        <v>M NIB. 27121/BERINGIN JAYA</v>
      </c>
      <c r="D11014" s="42"/>
      <c r="E11014" s="42"/>
      <c r="F11014" s="48" t="str">
        <f>IFERROR(__xludf.DUMMYFUNCTION("""COMPUTED_VALUE"""),"")</f>
        <v/>
      </c>
      <c r="G11014" s="42" t="str">
        <f>IFERROR(__xludf.DUMMYFUNCTION("""COMPUTED_VALUE"""),"PTPGT PEMECAHAN")</f>
        <v>PTPGT PEMECAHAN</v>
      </c>
      <c r="H11014" s="42">
        <f t="shared" si="1"/>
        <v>3345</v>
      </c>
    </row>
    <row r="11015" ht="22.5" customHeight="1">
      <c r="B11015" s="42" t="str">
        <f>IFERROR(__xludf.DUMMYFUNCTION("""COMPUTED_VALUE"""),"L/3/260126/1")</f>
        <v>L/3/260126/1</v>
      </c>
      <c r="C11015" s="42" t="str">
        <f>IFERROR(__xludf.DUMMYFUNCTION("""COMPUTED_VALUE"""),"M. 1221/GOTONG ROYONG")</f>
        <v>M. 1221/GOTONG ROYONG</v>
      </c>
      <c r="D11015" s="42"/>
      <c r="E11015" s="42"/>
      <c r="F11015" s="48" t="str">
        <f>IFERROR(__xludf.DUMMYFUNCTION("""COMPUTED_VALUE"""),"")</f>
        <v/>
      </c>
      <c r="G11015" s="42" t="str">
        <f>IFERROR(__xludf.DUMMYFUNCTION("""COMPUTED_VALUE"""),"BN WARIS")</f>
        <v>BN WARIS</v>
      </c>
      <c r="H11015" s="42">
        <f t="shared" si="1"/>
        <v>3345</v>
      </c>
    </row>
    <row r="11016" ht="22.5" customHeight="1">
      <c r="B11016" s="42" t="str">
        <f>IFERROR(__xludf.DUMMYFUNCTION("""COMPUTED_VALUE"""),"ABIYTCME")</f>
        <v>ABIYTCME</v>
      </c>
      <c r="C11016" s="42" t="str">
        <f>IFERROR(__xludf.DUMMYFUNCTION("""COMPUTED_VALUE"""),"Hm. 6511/Kd.")</f>
        <v>Hm. 6511/Kd.</v>
      </c>
      <c r="D11016" s="42"/>
      <c r="E11016" s="42"/>
      <c r="F11016" s="48" t="str">
        <f>IFERROR(__xludf.DUMMYFUNCTION("""COMPUTED_VALUE"""),"")</f>
        <v/>
      </c>
      <c r="G11016" s="42" t="str">
        <f>IFERROR(__xludf.DUMMYFUNCTION("""COMPUTED_VALUE"""),"Bn Jual Beli")</f>
        <v>Bn Jual Beli</v>
      </c>
      <c r="H11016" s="42">
        <f t="shared" si="1"/>
        <v>3345</v>
      </c>
    </row>
    <row r="11017" ht="22.5" customHeight="1">
      <c r="B11017" s="42" t="str">
        <f>IFERROR(__xludf.DUMMYFUNCTION("""COMPUTED_VALUE"""),"ABSUQBHQ")</f>
        <v>ABSUQBHQ</v>
      </c>
      <c r="C11017" s="42" t="str">
        <f>IFERROR(__xludf.DUMMYFUNCTION("""COMPUTED_VALUE"""),"2298 langkapura")</f>
        <v>2298 langkapura</v>
      </c>
      <c r="D11017" s="42"/>
      <c r="E11017" s="42"/>
      <c r="F11017" s="48" t="str">
        <f>IFERROR(__xludf.DUMMYFUNCTION("""COMPUTED_VALUE"""),"")</f>
        <v/>
      </c>
      <c r="G11017" s="42" t="str">
        <f>IFERROR(__xludf.DUMMYFUNCTION("""COMPUTED_VALUE"""),"Bn hibah")</f>
        <v>Bn hibah</v>
      </c>
      <c r="H11017" s="42">
        <f t="shared" si="1"/>
        <v>3345</v>
      </c>
    </row>
    <row r="11018" ht="22.5" customHeight="1">
      <c r="B11018" s="42" t="str">
        <f>IFERROR(__xludf.DUMMYFUNCTION("""COMPUTED_VALUE"""),"L/4/260126/1")</f>
        <v>L/4/260126/1</v>
      </c>
      <c r="C11018" s="42" t="str">
        <f>IFERROR(__xludf.DUMMYFUNCTION("""COMPUTED_VALUE"""),"M. 3882/GUNUNG TERANG")</f>
        <v>M. 3882/GUNUNG TERANG</v>
      </c>
      <c r="D11018" s="42"/>
      <c r="E11018" s="42"/>
      <c r="F11018" s="48" t="str">
        <f>IFERROR(__xludf.DUMMYFUNCTION("""COMPUTED_VALUE"""),"")</f>
        <v/>
      </c>
      <c r="G11018" s="42" t="str">
        <f>IFERROR(__xludf.DUMMYFUNCTION("""COMPUTED_VALUE"""),"BN JUAL BELI")</f>
        <v>BN JUAL BELI</v>
      </c>
      <c r="H11018" s="42">
        <f t="shared" si="1"/>
        <v>3345</v>
      </c>
    </row>
    <row r="11019" ht="22.5" customHeight="1">
      <c r="B11019" s="42" t="str">
        <f>IFERROR(__xludf.DUMMYFUNCTION("""COMPUTED_VALUE"""),"Ab 37 absctstk")</f>
        <v>Ab 37 absctstk</v>
      </c>
      <c r="C11019" s="42" t="str">
        <f>IFERROR(__xludf.DUMMYFUNCTION("""COMPUTED_VALUE"""),"B.3955")</f>
        <v>B.3955</v>
      </c>
      <c r="D11019" s="42"/>
      <c r="E11019" s="42"/>
      <c r="F11019" s="48" t="str">
        <f>IFERROR(__xludf.DUMMYFUNCTION("""COMPUTED_VALUE"""),"")</f>
        <v/>
      </c>
      <c r="G11019" s="42" t="str">
        <f>IFERROR(__xludf.DUMMYFUNCTION("""COMPUTED_VALUE"""),"Balik nama")</f>
        <v>Balik nama</v>
      </c>
      <c r="H11019" s="42">
        <f t="shared" si="1"/>
        <v>3345</v>
      </c>
    </row>
    <row r="11020" ht="22.5" customHeight="1">
      <c r="B11020" s="42" t="str">
        <f>IFERROR(__xludf.DUMMYFUNCTION("""COMPUTED_VALUE"""),"ABEMKCQO")</f>
        <v>ABEMKCQO</v>
      </c>
      <c r="C11020" s="42" t="str">
        <f>IFERROR(__xludf.DUMMYFUNCTION("""COMPUTED_VALUE"""),"NIBEL B 25119/ sukarame")</f>
        <v>NIBEL B 25119/ sukarame</v>
      </c>
      <c r="D11020" s="42"/>
      <c r="E11020" s="42"/>
      <c r="F11020" s="48" t="str">
        <f>IFERROR(__xludf.DUMMYFUNCTION("""COMPUTED_VALUE"""),"")</f>
        <v/>
      </c>
      <c r="G11020" s="42" t="str">
        <f>IFERROR(__xludf.DUMMYFUNCTION("""COMPUTED_VALUE"""),"Peningkatan ")</f>
        <v>Peningkatan </v>
      </c>
      <c r="H11020" s="42">
        <f t="shared" si="1"/>
        <v>3345</v>
      </c>
    </row>
    <row r="11021" ht="22.5" customHeight="1">
      <c r="B11021" s="42" t="str">
        <f>IFERROR(__xludf.DUMMYFUNCTION("""COMPUTED_VALUE"""),"ABLLEZMD")</f>
        <v>ABLLEZMD</v>
      </c>
      <c r="C11021" s="42" t="str">
        <f>IFERROR(__xludf.DUMMYFUNCTION("""COMPUTED_VALUE"""),"B.1917/cr")</f>
        <v>B.1917/cr</v>
      </c>
      <c r="D11021" s="42"/>
      <c r="E11021" s="42"/>
      <c r="F11021" s="48" t="str">
        <f>IFERROR(__xludf.DUMMYFUNCTION("""COMPUTED_VALUE"""),"")</f>
        <v/>
      </c>
      <c r="G11021" s="42" t="str">
        <f>IFERROR(__xludf.DUMMYFUNCTION("""COMPUTED_VALUE"""),"Gandes")</f>
        <v>Gandes</v>
      </c>
      <c r="H11021" s="42">
        <f t="shared" si="1"/>
        <v>3345</v>
      </c>
    </row>
    <row r="11022" ht="22.5" customHeight="1">
      <c r="B11022" s="42" t="str">
        <f>IFERROR(__xludf.DUMMYFUNCTION("""COMPUTED_VALUE"""),"ABCVZQIN")</f>
        <v>ABCVZQIN</v>
      </c>
      <c r="C11022" s="42" t="str">
        <f>IFERROR(__xludf.DUMMYFUNCTION("""COMPUTED_VALUE"""),"SHM no :2569")</f>
        <v>SHM no :2569</v>
      </c>
      <c r="D11022" s="42"/>
      <c r="E11022" s="42"/>
      <c r="F11022" s="48" t="str">
        <f>IFERROR(__xludf.DUMMYFUNCTION("""COMPUTED_VALUE"""),"")</f>
        <v/>
      </c>
      <c r="G11022" s="42" t="str">
        <f>IFERROR(__xludf.DUMMYFUNCTION("""COMPUTED_VALUE"""),"Turun waris")</f>
        <v>Turun waris</v>
      </c>
      <c r="H11022" s="42">
        <f t="shared" si="1"/>
        <v>3345</v>
      </c>
    </row>
    <row r="11023" ht="22.5" customHeight="1">
      <c r="B11023" s="42" t="str">
        <f>IFERROR(__xludf.DUMMYFUNCTION("""COMPUTED_VALUE"""),"ABEWWMGU,ABFTUWWH,ABPBJTJG,ABYEQKYT,ABDILVKI/AB031")</f>
        <v>ABEWWMGU,ABFTUWWH,ABPBJTJG,ABYEQKYT,ABDILVKI/AB031</v>
      </c>
      <c r="C11023" s="42" t="str">
        <f>IFERROR(__xludf.DUMMYFUNCTION("""COMPUTED_VALUE"""),"Shm 89,93,96,97,98")</f>
        <v>Shm 89,93,96,97,98</v>
      </c>
      <c r="D11023" s="42"/>
      <c r="E11023" s="42"/>
      <c r="F11023" s="48" t="str">
        <f>IFERROR(__xludf.DUMMYFUNCTION("""COMPUTED_VALUE"""),"")</f>
        <v/>
      </c>
      <c r="G11023" s="42" t="str">
        <f>IFERROR(__xludf.DUMMYFUNCTION("""COMPUTED_VALUE"""),"Bn ajb ")</f>
        <v>Bn ajb </v>
      </c>
      <c r="H11023" s="42">
        <f t="shared" si="1"/>
        <v>3345</v>
      </c>
    </row>
    <row r="11024" ht="22.5" customHeight="1">
      <c r="B11024" s="42" t="str">
        <f>IFERROR(__xludf.DUMMYFUNCTION("""COMPUTED_VALUE"""),"AB027/ABRUGCLN")</f>
        <v>AB027/ABRUGCLN</v>
      </c>
      <c r="C11024" s="42" t="str">
        <f>IFERROR(__xludf.DUMMYFUNCTION("""COMPUTED_VALUE"""),"Hgb NIB 08.01.000016390.0")</f>
        <v>Hgb NIB 08.01.000016390.0</v>
      </c>
      <c r="D11024" s="42"/>
      <c r="E11024" s="42"/>
      <c r="F11024" s="48" t="str">
        <f>IFERROR(__xludf.DUMMYFUNCTION("""COMPUTED_VALUE"""),"")</f>
        <v/>
      </c>
      <c r="G11024" s="42" t="str">
        <f>IFERROR(__xludf.DUMMYFUNCTION("""COMPUTED_VALUE"""),"Peralihan Hak")</f>
        <v>Peralihan Hak</v>
      </c>
      <c r="H11024" s="42">
        <f t="shared" si="1"/>
        <v>3345</v>
      </c>
    </row>
    <row r="11025" ht="22.5" customHeight="1">
      <c r="B11025" s="42" t="str">
        <f>IFERROR(__xludf.DUMMYFUNCTION("""COMPUTED_VALUE"""),"ABDLVMYZ")</f>
        <v>ABDLVMYZ</v>
      </c>
      <c r="C11025" s="42" t="str">
        <f>IFERROR(__xludf.DUMMYFUNCTION("""COMPUTED_VALUE"""),"08.01.000022951.0/Tanjung Baru")</f>
        <v>08.01.000022951.0/Tanjung Baru</v>
      </c>
      <c r="D11025" s="42"/>
      <c r="E11025" s="42"/>
      <c r="F11025" s="48" t="str">
        <f>IFERROR(__xludf.DUMMYFUNCTION("""COMPUTED_VALUE"""),"")</f>
        <v/>
      </c>
      <c r="G11025" s="42" t="str">
        <f>IFERROR(__xludf.DUMMYFUNCTION("""COMPUTED_VALUE"""),"Pemecahan Sertifikat")</f>
        <v>Pemecahan Sertifikat</v>
      </c>
      <c r="H11025" s="42">
        <f t="shared" si="1"/>
        <v>3345</v>
      </c>
    </row>
    <row r="11026" ht="22.5" customHeight="1">
      <c r="B11026" s="42" t="str">
        <f>IFERROR(__xludf.DUMMYFUNCTION("""COMPUTED_VALUE"""),"ABYXOKEP/AB036")</f>
        <v>ABYXOKEP/AB036</v>
      </c>
      <c r="C11026" s="42" t="str">
        <f>IFERROR(__xludf.DUMMYFUNCTION("""COMPUTED_VALUE"""),"3282/Lkp / Langkapura")</f>
        <v>3282/Lkp / Langkapura</v>
      </c>
      <c r="D11026" s="42"/>
      <c r="E11026" s="42"/>
      <c r="F11026" s="48" t="str">
        <f>IFERROR(__xludf.DUMMYFUNCTION("""COMPUTED_VALUE"""),"")</f>
        <v/>
      </c>
      <c r="G11026" s="42" t="str">
        <f>IFERROR(__xludf.DUMMYFUNCTION("""COMPUTED_VALUE"""),"Roya")</f>
        <v>Roya</v>
      </c>
      <c r="H11026" s="42">
        <f t="shared" si="1"/>
        <v>3345</v>
      </c>
    </row>
    <row r="11027" ht="22.5" customHeight="1">
      <c r="B11027" s="42" t="str">
        <f>IFERROR(__xludf.DUMMYFUNCTION("""COMPUTED_VALUE"""),"ABPHFASR")</f>
        <v>ABPHFASR</v>
      </c>
      <c r="C11027" s="42" t="str">
        <f>IFERROR(__xludf.DUMMYFUNCTION("""COMPUTED_VALUE"""),"M.3614 Sukabumi")</f>
        <v>M.3614 Sukabumi</v>
      </c>
      <c r="D11027" s="42"/>
      <c r="E11027" s="42"/>
      <c r="F11027" s="48" t="str">
        <f>IFERROR(__xludf.DUMMYFUNCTION("""COMPUTED_VALUE"""),"")</f>
        <v/>
      </c>
      <c r="G11027" s="42" t="str">
        <f>IFERROR(__xludf.DUMMYFUNCTION("""COMPUTED_VALUE"""),"Bn jual beli")</f>
        <v>Bn jual beli</v>
      </c>
      <c r="H11027" s="42">
        <f t="shared" si="1"/>
        <v>3345</v>
      </c>
    </row>
    <row r="11028" ht="22.5" customHeight="1">
      <c r="B11028" s="42" t="str">
        <f>IFERROR(__xludf.DUMMYFUNCTION("""COMPUTED_VALUE"""),"ABFGXSZW")</f>
        <v>ABFGXSZW</v>
      </c>
      <c r="C11028" s="42" t="str">
        <f>IFERROR(__xludf.DUMMYFUNCTION("""COMPUTED_VALUE"""),"M 4173/ BERINGIN RAYA")</f>
        <v>M 4173/ BERINGIN RAYA</v>
      </c>
      <c r="D11028" s="42"/>
      <c r="E11028" s="42"/>
      <c r="F11028" s="48" t="str">
        <f>IFERROR(__xludf.DUMMYFUNCTION("""COMPUTED_VALUE"""),"")</f>
        <v/>
      </c>
      <c r="G11028" s="42" t="str">
        <f>IFERROR(__xludf.DUMMYFUNCTION("""COMPUTED_VALUE"""),"Bn waris")</f>
        <v>Bn waris</v>
      </c>
      <c r="H11028" s="42">
        <f t="shared" si="1"/>
        <v>3345</v>
      </c>
    </row>
    <row r="11029" ht="22.5" customHeight="1">
      <c r="B11029" s="42" t="str">
        <f>IFERROR(__xludf.DUMMYFUNCTION("""COMPUTED_VALUE"""),"ABHAKGXF/AB036")</f>
        <v>ABHAKGXF/AB036</v>
      </c>
      <c r="C11029" s="42" t="str">
        <f>IFERROR(__xludf.DUMMYFUNCTION("""COMPUTED_VALUE"""),"1670/Sumber Rejo Sejahtera")</f>
        <v>1670/Sumber Rejo Sejahtera</v>
      </c>
      <c r="D11029" s="42"/>
      <c r="E11029" s="42"/>
      <c r="F11029" s="48" t="str">
        <f>IFERROR(__xludf.DUMMYFUNCTION("""COMPUTED_VALUE"""),"")</f>
        <v/>
      </c>
      <c r="G11029" s="42" t="str">
        <f>IFERROR(__xludf.DUMMYFUNCTION("""COMPUTED_VALUE"""),"BN JUAL BELI")</f>
        <v>BN JUAL BELI</v>
      </c>
      <c r="H11029" s="42">
        <f t="shared" si="1"/>
        <v>3345</v>
      </c>
    </row>
    <row r="11030" ht="22.5" customHeight="1">
      <c r="B11030" s="42" t="str">
        <f>IFERROR(__xludf.DUMMYFUNCTION("""COMPUTED_VALUE"""),"ABEQWDRT")</f>
        <v>ABEQWDRT</v>
      </c>
      <c r="C11030" s="42">
        <f>IFERROR(__xludf.DUMMYFUNCTION("""COMPUTED_VALUE"""),1294.0)</f>
        <v>1294</v>
      </c>
      <c r="D11030" s="42"/>
      <c r="E11030" s="42"/>
      <c r="F11030" s="48" t="str">
        <f>IFERROR(__xludf.DUMMYFUNCTION("""COMPUTED_VALUE"""),"")</f>
        <v/>
      </c>
      <c r="G11030" s="42" t="str">
        <f>IFERROR(__xludf.DUMMYFUNCTION("""COMPUTED_VALUE"""),"Waris")</f>
        <v>Waris</v>
      </c>
      <c r="H11030" s="42">
        <f t="shared" si="1"/>
        <v>3345</v>
      </c>
    </row>
    <row r="11031" ht="22.5" customHeight="1">
      <c r="B11031" s="42" t="str">
        <f>IFERROR(__xludf.DUMMYFUNCTION("""COMPUTED_VALUE"""),"ABXLLPZE")</f>
        <v>ABXLLPZE</v>
      </c>
      <c r="C11031" s="42">
        <f>IFERROR(__xludf.DUMMYFUNCTION("""COMPUTED_VALUE"""),1749.0)</f>
        <v>1749</v>
      </c>
      <c r="D11031" s="42"/>
      <c r="E11031" s="42"/>
      <c r="F11031" s="48" t="str">
        <f>IFERROR(__xludf.DUMMYFUNCTION("""COMPUTED_VALUE"""),"")</f>
        <v/>
      </c>
      <c r="G11031" s="42" t="str">
        <f>IFERROR(__xludf.DUMMYFUNCTION("""COMPUTED_VALUE"""),"Waris")</f>
        <v>Waris</v>
      </c>
      <c r="H11031" s="42">
        <f t="shared" si="1"/>
        <v>3345</v>
      </c>
    </row>
    <row r="11032" ht="22.5" customHeight="1">
      <c r="B11032" s="42" t="str">
        <f>IFERROR(__xludf.DUMMYFUNCTION("""COMPUTED_VALUE"""),"ABMUMXCL/AB036")</f>
        <v>ABMUMXCL/AB036</v>
      </c>
      <c r="C11032" s="42" t="str">
        <f>IFERROR(__xludf.DUMMYFUNCTION("""COMPUTED_VALUE"""),"08.01.000000996.0/ Way Kandis")</f>
        <v>08.01.000000996.0/ Way Kandis</v>
      </c>
      <c r="D11032" s="42"/>
      <c r="E11032" s="42"/>
      <c r="F11032" s="48" t="str">
        <f>IFERROR(__xludf.DUMMYFUNCTION("""COMPUTED_VALUE"""),"")</f>
        <v/>
      </c>
      <c r="G11032" s="42" t="str">
        <f>IFERROR(__xludf.DUMMYFUNCTION("""COMPUTED_VALUE"""),"BN JUAL BELI")</f>
        <v>BN JUAL BELI</v>
      </c>
      <c r="H11032" s="42">
        <f t="shared" si="1"/>
        <v>3345</v>
      </c>
    </row>
    <row r="11033" ht="22.5" customHeight="1">
      <c r="B11033" s="42" t="str">
        <f>IFERROR(__xludf.DUMMYFUNCTION("""COMPUTED_VALUE"""),"ABFTUWWH")</f>
        <v>ABFTUWWH</v>
      </c>
      <c r="C11033" s="42" t="str">
        <f>IFERROR(__xludf.DUMMYFUNCTION("""COMPUTED_VALUE"""),"M.98 BUMI KEDAMAIAN")</f>
        <v>M.98 BUMI KEDAMAIAN</v>
      </c>
      <c r="D11033" s="42"/>
      <c r="E11033" s="42"/>
      <c r="F11033" s="48" t="str">
        <f>IFERROR(__xludf.DUMMYFUNCTION("""COMPUTED_VALUE"""),"")</f>
        <v/>
      </c>
      <c r="G11033" s="42" t="str">
        <f>IFERROR(__xludf.DUMMYFUNCTION("""COMPUTED_VALUE"""),"BALIK NAMA")</f>
        <v>BALIK NAMA</v>
      </c>
      <c r="H11033" s="42">
        <f t="shared" si="1"/>
        <v>3345</v>
      </c>
    </row>
    <row r="11034" ht="22.5" customHeight="1">
      <c r="B11034" s="42" t="str">
        <f>IFERROR(__xludf.DUMMYFUNCTION("""COMPUTED_VALUE"""),"ABPBJTJG")</f>
        <v>ABPBJTJG</v>
      </c>
      <c r="C11034" s="42" t="str">
        <f>IFERROR(__xludf.DUMMYFUNCTION("""COMPUTED_VALUE"""),"M.97 BUMI KEDAMAIAN")</f>
        <v>M.97 BUMI KEDAMAIAN</v>
      </c>
      <c r="D11034" s="42"/>
      <c r="E11034" s="42"/>
      <c r="F11034" s="48" t="str">
        <f>IFERROR(__xludf.DUMMYFUNCTION("""COMPUTED_VALUE"""),"")</f>
        <v/>
      </c>
      <c r="G11034" s="42" t="str">
        <f>IFERROR(__xludf.DUMMYFUNCTION("""COMPUTED_VALUE"""),"BALIK NAMA")</f>
        <v>BALIK NAMA</v>
      </c>
      <c r="H11034" s="42">
        <f t="shared" si="1"/>
        <v>3345</v>
      </c>
    </row>
    <row r="11035" ht="22.5" customHeight="1">
      <c r="B11035" s="42" t="str">
        <f>IFERROR(__xludf.DUMMYFUNCTION("""COMPUTED_VALUE"""),"ABDILVKI")</f>
        <v>ABDILVKI</v>
      </c>
      <c r="C11035" s="42" t="str">
        <f>IFERROR(__xludf.DUMMYFUNCTION("""COMPUTED_VALUE"""),"M.96 BUMI KEDAMAIAN")</f>
        <v>M.96 BUMI KEDAMAIAN</v>
      </c>
      <c r="D11035" s="42"/>
      <c r="E11035" s="42"/>
      <c r="F11035" s="48" t="str">
        <f>IFERROR(__xludf.DUMMYFUNCTION("""COMPUTED_VALUE"""),"")</f>
        <v/>
      </c>
      <c r="G11035" s="42" t="str">
        <f>IFERROR(__xludf.DUMMYFUNCTION("""COMPUTED_VALUE"""),"BALIK NAMA")</f>
        <v>BALIK NAMA</v>
      </c>
      <c r="H11035" s="42">
        <f t="shared" si="1"/>
        <v>3345</v>
      </c>
    </row>
    <row r="11036" ht="22.5" customHeight="1">
      <c r="B11036" s="42" t="str">
        <f>IFERROR(__xludf.DUMMYFUNCTION("""COMPUTED_VALUE"""),"ABYEQKYT")</f>
        <v>ABYEQKYT</v>
      </c>
      <c r="C11036" s="42" t="str">
        <f>IFERROR(__xludf.DUMMYFUNCTION("""COMPUTED_VALUE"""),"M.93 BUMI KEDAMAIAN")</f>
        <v>M.93 BUMI KEDAMAIAN</v>
      </c>
      <c r="D11036" s="42"/>
      <c r="E11036" s="42"/>
      <c r="F11036" s="48" t="str">
        <f>IFERROR(__xludf.DUMMYFUNCTION("""COMPUTED_VALUE"""),"")</f>
        <v/>
      </c>
      <c r="G11036" s="42" t="str">
        <f>IFERROR(__xludf.DUMMYFUNCTION("""COMPUTED_VALUE"""),"BALIK NAMA")</f>
        <v>BALIK NAMA</v>
      </c>
      <c r="H11036" s="42">
        <f t="shared" si="1"/>
        <v>3345</v>
      </c>
    </row>
    <row r="11037" ht="22.5" customHeight="1">
      <c r="B11037" s="42" t="str">
        <f>IFERROR(__xludf.DUMMYFUNCTION("""COMPUTED_VALUE"""),"ABEWWMGU")</f>
        <v>ABEWWMGU</v>
      </c>
      <c r="C11037" s="42" t="str">
        <f>IFERROR(__xludf.DUMMYFUNCTION("""COMPUTED_VALUE"""),"M.89 BUMI KEDAMAIAN")</f>
        <v>M.89 BUMI KEDAMAIAN</v>
      </c>
      <c r="D11037" s="42"/>
      <c r="E11037" s="42"/>
      <c r="F11037" s="48" t="str">
        <f>IFERROR(__xludf.DUMMYFUNCTION("""COMPUTED_VALUE"""),"")</f>
        <v/>
      </c>
      <c r="G11037" s="42" t="str">
        <f>IFERROR(__xludf.DUMMYFUNCTION("""COMPUTED_VALUE"""),"BALIK NAMA")</f>
        <v>BALIK NAMA</v>
      </c>
      <c r="H11037" s="42">
        <f t="shared" si="1"/>
        <v>3345</v>
      </c>
    </row>
    <row r="11038" ht="22.5" customHeight="1">
      <c r="B11038" s="42" t="str">
        <f>IFERROR(__xludf.DUMMYFUNCTION("""COMPUTED_VALUE"""),"Ab045")</f>
        <v>Ab045</v>
      </c>
      <c r="C11038" s="42" t="str">
        <f>IFERROR(__xludf.DUMMYFUNCTION("""COMPUTED_VALUE"""),"m1328/ tanjung karang")</f>
        <v>m1328/ tanjung karang</v>
      </c>
      <c r="D11038" s="42"/>
      <c r="E11038" s="42"/>
      <c r="F11038" s="48" t="str">
        <f>IFERROR(__xludf.DUMMYFUNCTION("""COMPUTED_VALUE"""),"")</f>
        <v/>
      </c>
      <c r="G11038" s="42" t="str">
        <f>IFERROR(__xludf.DUMMYFUNCTION("""COMPUTED_VALUE"""),"roya lelang")</f>
        <v>roya lelang</v>
      </c>
      <c r="H11038" s="42">
        <f t="shared" si="1"/>
        <v>3345</v>
      </c>
    </row>
    <row r="11039" ht="22.5" customHeight="1">
      <c r="B11039" s="42" t="str">
        <f>IFERROR(__xludf.DUMMYFUNCTION("""COMPUTED_VALUE"""),"AB048/ABNSQILG")</f>
        <v>AB048/ABNSQILG</v>
      </c>
      <c r="C11039" s="42" t="str">
        <f>IFERROR(__xludf.DUMMYFUNCTION("""COMPUTED_VALUE"""),"SHGB 201/ L.R")</f>
        <v>SHGB 201/ L.R</v>
      </c>
      <c r="D11039" s="42"/>
      <c r="E11039" s="42"/>
      <c r="F11039" s="48" t="str">
        <f>IFERROR(__xludf.DUMMYFUNCTION("""COMPUTED_VALUE"""),"")</f>
        <v/>
      </c>
      <c r="G11039" s="42" t="str">
        <f>IFERROR(__xludf.DUMMYFUNCTION("""COMPUTED_VALUE"""),"Roya")</f>
        <v>Roya</v>
      </c>
      <c r="H11039" s="42">
        <f t="shared" si="1"/>
        <v>3345</v>
      </c>
    </row>
    <row r="11040" ht="22.5" customHeight="1">
      <c r="B11040" s="42" t="str">
        <f>IFERROR(__xludf.DUMMYFUNCTION("""COMPUTED_VALUE"""),"AB041/ABLVXDVT")</f>
        <v>AB041/ABLVXDVT</v>
      </c>
      <c r="C11040" s="42" t="str">
        <f>IFERROR(__xludf.DUMMYFUNCTION("""COMPUTED_VALUE"""),"m.12893/jagabaya II")</f>
        <v>m.12893/jagabaya II</v>
      </c>
      <c r="D11040" s="42"/>
      <c r="E11040" s="42"/>
      <c r="F11040" s="48" t="str">
        <f>IFERROR(__xludf.DUMMYFUNCTION("""COMPUTED_VALUE"""),"")</f>
        <v/>
      </c>
      <c r="G11040" s="42" t="str">
        <f>IFERROR(__xludf.DUMMYFUNCTION("""COMPUTED_VALUE"""),"Bn")</f>
        <v>Bn</v>
      </c>
      <c r="H11040" s="42">
        <f t="shared" si="1"/>
        <v>3345</v>
      </c>
    </row>
    <row r="11041" ht="22.5" customHeight="1">
      <c r="B11041" s="42" t="str">
        <f>IFERROR(__xludf.DUMMYFUNCTION("""COMPUTED_VALUE"""),"ABRNVRQZ")</f>
        <v>ABRNVRQZ</v>
      </c>
      <c r="C11041" s="42" t="str">
        <f>IFERROR(__xludf.DUMMYFUNCTION("""COMPUTED_VALUE"""),"M.9857/kedamaian")</f>
        <v>M.9857/kedamaian</v>
      </c>
      <c r="D11041" s="42"/>
      <c r="E11041" s="42"/>
      <c r="F11041" s="48" t="str">
        <f>IFERROR(__xludf.DUMMYFUNCTION("""COMPUTED_VALUE"""),"")</f>
        <v/>
      </c>
      <c r="G11041" s="42" t="str">
        <f>IFERROR(__xludf.DUMMYFUNCTION("""COMPUTED_VALUE"""),"BN WARIS")</f>
        <v>BN WARIS</v>
      </c>
      <c r="H11041" s="42">
        <f t="shared" si="1"/>
        <v>3345</v>
      </c>
    </row>
    <row r="11042" ht="22.5" customHeight="1">
      <c r="B11042" s="42" t="str">
        <f>IFERROR(__xludf.DUMMYFUNCTION("""COMPUTED_VALUE"""),"K/5/260126/1")</f>
        <v>K/5/260126/1</v>
      </c>
      <c r="C11042" s="42" t="str">
        <f>IFERROR(__xludf.DUMMYFUNCTION("""COMPUTED_VALUE"""),"M. 883/RAWA LAUT ")</f>
        <v>M. 883/RAWA LAUT </v>
      </c>
      <c r="D11042" s="42"/>
      <c r="E11042" s="42"/>
      <c r="F11042" s="48" t="str">
        <f>IFERROR(__xludf.DUMMYFUNCTION("""COMPUTED_VALUE"""),"")</f>
        <v/>
      </c>
      <c r="G11042" s="42" t="str">
        <f>IFERROR(__xludf.DUMMYFUNCTION("""COMPUTED_VALUE"""),"SKPT INFORMASI")</f>
        <v>SKPT INFORMASI</v>
      </c>
      <c r="H11042" s="42">
        <f t="shared" si="1"/>
        <v>3345</v>
      </c>
    </row>
    <row r="11043" ht="22.5" customHeight="1">
      <c r="B11043" s="42" t="str">
        <f>IFERROR(__xludf.DUMMYFUNCTION("""COMPUTED_VALUE"""),"ABWHCZRL")</f>
        <v>ABWHCZRL</v>
      </c>
      <c r="C11043" s="42" t="str">
        <f>IFERROR(__xludf.DUMMYFUNCTION("""COMPUTED_VALUE"""),"NIBEL M 22696/ SUKARAJA")</f>
        <v>NIBEL M 22696/ SUKARAJA</v>
      </c>
      <c r="D11043" s="42"/>
      <c r="E11043" s="42"/>
      <c r="F11043" s="48" t="str">
        <f>IFERROR(__xludf.DUMMYFUNCTION("""COMPUTED_VALUE"""),"")</f>
        <v/>
      </c>
      <c r="G11043" s="42" t="str">
        <f>IFERROR(__xludf.DUMMYFUNCTION("""COMPUTED_VALUE"""),"BN PHB")</f>
        <v>BN PHB</v>
      </c>
      <c r="H11043" s="42">
        <f t="shared" si="1"/>
        <v>3345</v>
      </c>
    </row>
    <row r="11044" ht="22.5" customHeight="1">
      <c r="B11044" s="42" t="str">
        <f>IFERROR(__xludf.DUMMYFUNCTION("""COMPUTED_VALUE"""),"ABPSPRZY")</f>
        <v>ABPSPRZY</v>
      </c>
      <c r="C11044" s="42" t="str">
        <f>IFERROR(__xludf.DUMMYFUNCTION("""COMPUTED_VALUE"""),"NIBEL M 26194/ SUKARAJA")</f>
        <v>NIBEL M 26194/ SUKARAJA</v>
      </c>
      <c r="D11044" s="42"/>
      <c r="E11044" s="42"/>
      <c r="F11044" s="48" t="str">
        <f>IFERROR(__xludf.DUMMYFUNCTION("""COMPUTED_VALUE"""),"")</f>
        <v/>
      </c>
      <c r="G11044" s="42" t="str">
        <f>IFERROR(__xludf.DUMMYFUNCTION("""COMPUTED_VALUE"""),"BN PHB")</f>
        <v>BN PHB</v>
      </c>
      <c r="H11044" s="42">
        <f t="shared" si="1"/>
        <v>3345</v>
      </c>
    </row>
    <row r="11045" ht="22.5" customHeight="1">
      <c r="B11045" s="42" t="str">
        <f>IFERROR(__xludf.DUMMYFUNCTION("""COMPUTED_VALUE"""),"AB")</f>
        <v>AB</v>
      </c>
      <c r="C11045" s="42" t="str">
        <f>IFERROR(__xludf.DUMMYFUNCTION("""COMPUTED_VALUE"""),"M 9470/ Kedamaian")</f>
        <v>M 9470/ Kedamaian</v>
      </c>
      <c r="D11045" s="42"/>
      <c r="E11045" s="42"/>
      <c r="F11045" s="48" t="str">
        <f>IFERROR(__xludf.DUMMYFUNCTION("""COMPUTED_VALUE"""),"")</f>
        <v/>
      </c>
      <c r="G11045" s="42" t="str">
        <f>IFERROR(__xludf.DUMMYFUNCTION("""COMPUTED_VALUE"""),"Plotting")</f>
        <v>Plotting</v>
      </c>
      <c r="H11045" s="42">
        <f t="shared" si="1"/>
        <v>3345</v>
      </c>
    </row>
    <row r="11046" ht="22.5" customHeight="1">
      <c r="B11046" s="42" t="str">
        <f>IFERROR(__xludf.DUMMYFUNCTION("""COMPUTED_VALUE"""),"K/6/260126/1")</f>
        <v>K/6/260126/1</v>
      </c>
      <c r="C11046" s="42" t="str">
        <f>IFERROR(__xludf.DUMMYFUNCTION("""COMPUTED_VALUE"""),"NIBEL M. 3062/CAMPANG JAYA")</f>
        <v>NIBEL M. 3062/CAMPANG JAYA</v>
      </c>
      <c r="D11046" s="42"/>
      <c r="E11046" s="42"/>
      <c r="F11046" s="48" t="str">
        <f>IFERROR(__xludf.DUMMYFUNCTION("""COMPUTED_VALUE"""),"")</f>
        <v/>
      </c>
      <c r="G11046" s="42" t="str">
        <f>IFERROR(__xludf.DUMMYFUNCTION("""COMPUTED_VALUE"""),"BN JUAL BELI ")</f>
        <v>BN JUAL BELI </v>
      </c>
      <c r="H11046" s="42">
        <f t="shared" si="1"/>
        <v>3345</v>
      </c>
    </row>
    <row r="11047" ht="22.5" customHeight="1">
      <c r="B11047" s="42" t="str">
        <f>IFERROR(__xludf.DUMMYFUNCTION("""COMPUTED_VALUE"""),"K/7/260126/2")</f>
        <v>K/7/260126/2</v>
      </c>
      <c r="C11047" s="42" t="str">
        <f>IFERROR(__xludf.DUMMYFUNCTION("""COMPUTED_VALUE"""),"M. 4908/LANGKAPURA")</f>
        <v>M. 4908/LANGKAPURA</v>
      </c>
      <c r="D11047" s="42"/>
      <c r="E11047" s="42"/>
      <c r="F11047" s="48" t="str">
        <f>IFERROR(__xludf.DUMMYFUNCTION("""COMPUTED_VALUE"""),"")</f>
        <v/>
      </c>
      <c r="G11047" s="42" t="str">
        <f>IFERROR(__xludf.DUMMYFUNCTION("""COMPUTED_VALUE"""),"BN JUAL BELI")</f>
        <v>BN JUAL BELI</v>
      </c>
      <c r="H11047" s="42">
        <f t="shared" si="1"/>
        <v>3345</v>
      </c>
    </row>
    <row r="11048" ht="22.5" customHeight="1">
      <c r="B11048" s="42" t="str">
        <f>IFERROR(__xludf.DUMMYFUNCTION("""COMPUTED_VALUE"""),"L/9/250126/1")</f>
        <v>L/9/250126/1</v>
      </c>
      <c r="C11048" s="42" t="str">
        <f>IFERROR(__xludf.DUMMYFUNCTION("""COMPUTED_VALUE"""),"M 666/ ENGGAL")</f>
        <v>M 666/ ENGGAL</v>
      </c>
      <c r="D11048" s="42"/>
      <c r="E11048" s="42"/>
      <c r="F11048" s="48" t="str">
        <f>IFERROR(__xludf.DUMMYFUNCTION("""COMPUTED_VALUE"""),"")</f>
        <v/>
      </c>
      <c r="G11048" s="42" t="str">
        <f>IFERROR(__xludf.DUMMYFUNCTION("""COMPUTED_VALUE"""),"BN WARIS")</f>
        <v>BN WARIS</v>
      </c>
      <c r="H11048" s="42">
        <f t="shared" si="1"/>
        <v>3345</v>
      </c>
    </row>
    <row r="11049" ht="22.5" customHeight="1">
      <c r="B11049" s="42" t="str">
        <f>IFERROR(__xludf.DUMMYFUNCTION("""COMPUTED_VALUE"""),"K/8/260126/1")</f>
        <v>K/8/260126/1</v>
      </c>
      <c r="C11049" s="42" t="str">
        <f>IFERROR(__xludf.DUMMYFUNCTION("""COMPUTED_VALUE"""),"M. 220/KOTA KARANG RAYA")</f>
        <v>M. 220/KOTA KARANG RAYA</v>
      </c>
      <c r="D11049" s="42"/>
      <c r="E11049" s="42"/>
      <c r="F11049" s="48" t="str">
        <f>IFERROR(__xludf.DUMMYFUNCTION("""COMPUTED_VALUE"""),"")</f>
        <v/>
      </c>
      <c r="G11049" s="42" t="str">
        <f>IFERROR(__xludf.DUMMYFUNCTION("""COMPUTED_VALUE"""),"BN WARIS")</f>
        <v>BN WARIS</v>
      </c>
      <c r="H11049" s="42">
        <f t="shared" si="1"/>
        <v>3345</v>
      </c>
    </row>
    <row r="11050" ht="22.5" customHeight="1">
      <c r="B11050" s="42" t="str">
        <f>IFERROR(__xludf.DUMMYFUNCTION("""COMPUTED_VALUE"""),"K/10/260126/1")</f>
        <v>K/10/260126/1</v>
      </c>
      <c r="C11050" s="42" t="str">
        <f>IFERROR(__xludf.DUMMYFUNCTION("""COMPUTED_VALUE"""),"B. 263/LABUHAN DALAM")</f>
        <v>B. 263/LABUHAN DALAM</v>
      </c>
      <c r="D11050" s="42"/>
      <c r="E11050" s="42"/>
      <c r="F11050" s="48" t="str">
        <f>IFERROR(__xludf.DUMMYFUNCTION("""COMPUTED_VALUE"""),"")</f>
        <v/>
      </c>
      <c r="G11050" s="42" t="str">
        <f>IFERROR(__xludf.DUMMYFUNCTION("""COMPUTED_VALUE"""),"PENINGKATAN HAK")</f>
        <v>PENINGKATAN HAK</v>
      </c>
      <c r="H11050" s="42">
        <f t="shared" si="1"/>
        <v>3345</v>
      </c>
    </row>
    <row r="11051" ht="22.5" customHeight="1">
      <c r="B11051" s="42" t="str">
        <f>IFERROR(__xludf.DUMMYFUNCTION("""COMPUTED_VALUE"""),"K/11/260126/1")</f>
        <v>K/11/260126/1</v>
      </c>
      <c r="C11051" s="42" t="str">
        <f>IFERROR(__xludf.DUMMYFUNCTION("""COMPUTED_VALUE"""),"M. 2058/RAJABASA RAYA")</f>
        <v>M. 2058/RAJABASA RAYA</v>
      </c>
      <c r="D11051" s="42"/>
      <c r="E11051" s="42"/>
      <c r="F11051" s="48" t="str">
        <f>IFERROR(__xludf.DUMMYFUNCTION("""COMPUTED_VALUE"""),"")</f>
        <v/>
      </c>
      <c r="G11051" s="42" t="str">
        <f>IFERROR(__xludf.DUMMYFUNCTION("""COMPUTED_VALUE"""),"BN JUAL BELI")</f>
        <v>BN JUAL BELI</v>
      </c>
      <c r="H11051" s="42">
        <f t="shared" si="1"/>
        <v>3345</v>
      </c>
    </row>
    <row r="11052" ht="22.5" customHeight="1">
      <c r="B11052" s="42" t="str">
        <f>IFERROR(__xludf.DUMMYFUNCTION("""COMPUTED_VALUE"""),"ABQGNIJI")</f>
        <v>ABQGNIJI</v>
      </c>
      <c r="C11052" s="42" t="str">
        <f>IFERROR(__xludf.DUMMYFUNCTION("""COMPUTED_VALUE"""),"Milik Nib El 08.01.000027116.0/ Way Laga")</f>
        <v>Milik Nib El 08.01.000027116.0/ Way Laga</v>
      </c>
      <c r="D11052" s="42"/>
      <c r="E11052" s="42"/>
      <c r="F11052" s="48" t="str">
        <f>IFERROR(__xludf.DUMMYFUNCTION("""COMPUTED_VALUE"""),"")</f>
        <v/>
      </c>
      <c r="G11052" s="42" t="str">
        <f>IFERROR(__xludf.DUMMYFUNCTION("""COMPUTED_VALUE"""),"Balik Nama")</f>
        <v>Balik Nama</v>
      </c>
      <c r="H11052" s="42">
        <f t="shared" si="1"/>
        <v>3345</v>
      </c>
    </row>
    <row r="11053" ht="22.5" customHeight="1">
      <c r="B11053" s="42" t="str">
        <f>IFERROR(__xludf.DUMMYFUNCTION("""COMPUTED_VALUE"""),"ABJERRIB")</f>
        <v>ABJERRIB</v>
      </c>
      <c r="C11053" s="42" t="str">
        <f>IFERROR(__xludf.DUMMYFUNCTION("""COMPUTED_VALUE"""),"15944/Sukabumi")</f>
        <v>15944/Sukabumi</v>
      </c>
      <c r="D11053" s="42"/>
      <c r="E11053" s="42"/>
      <c r="F11053" s="48" t="str">
        <f>IFERROR(__xludf.DUMMYFUNCTION("""COMPUTED_VALUE"""),"")</f>
        <v/>
      </c>
      <c r="G11053" s="42" t="str">
        <f>IFERROR(__xludf.DUMMYFUNCTION("""COMPUTED_VALUE"""),"PERALIHAN HAK - BALIK NAMA JUAL BELI")</f>
        <v>PERALIHAN HAK - BALIK NAMA JUAL BELI</v>
      </c>
      <c r="H11053" s="42">
        <f t="shared" si="1"/>
        <v>3345</v>
      </c>
    </row>
    <row r="11054" ht="22.5" customHeight="1">
      <c r="B11054" s="42" t="str">
        <f>IFERROR(__xludf.DUMMYFUNCTION("""COMPUTED_VALUE"""),"ABFLHDZX")</f>
        <v>ABFLHDZX</v>
      </c>
      <c r="C11054" s="42" t="str">
        <f>IFERROR(__xludf.DUMMYFUNCTION("""COMPUTED_VALUE"""),"01112/Kelapatiga")</f>
        <v>01112/Kelapatiga</v>
      </c>
      <c r="D11054" s="42"/>
      <c r="E11054" s="42"/>
      <c r="F11054" s="48" t="str">
        <f>IFERROR(__xludf.DUMMYFUNCTION("""COMPUTED_VALUE"""),"")</f>
        <v/>
      </c>
      <c r="G11054" s="42" t="str">
        <f>IFERROR(__xludf.DUMMYFUNCTION("""COMPUTED_VALUE"""),"PERALIHAN HAK - BALIK NAMA JUAL BELI")</f>
        <v>PERALIHAN HAK - BALIK NAMA JUAL BELI</v>
      </c>
      <c r="H11054" s="42">
        <f t="shared" si="1"/>
        <v>3345</v>
      </c>
    </row>
    <row r="11055" ht="22.5" customHeight="1">
      <c r="B11055" s="42" t="str">
        <f>IFERROR(__xludf.DUMMYFUNCTION("""COMPUTED_VALUE"""),"ABIGCBLZ")</f>
        <v>ABIGCBLZ</v>
      </c>
      <c r="C11055" s="42" t="str">
        <f>IFERROR(__xludf.DUMMYFUNCTION("""COMPUTED_VALUE"""),"08.01.000019644.0/Sukarame")</f>
        <v>08.01.000019644.0/Sukarame</v>
      </c>
      <c r="D11055" s="42"/>
      <c r="E11055" s="42"/>
      <c r="F11055" s="48" t="str">
        <f>IFERROR(__xludf.DUMMYFUNCTION("""COMPUTED_VALUE"""),"")</f>
        <v/>
      </c>
      <c r="G11055" s="42" t="str">
        <f>IFERROR(__xludf.DUMMYFUNCTION("""COMPUTED_VALUE"""),"PERALIHAN HAK - BALIK NAMA JUAL BELI")</f>
        <v>PERALIHAN HAK - BALIK NAMA JUAL BELI</v>
      </c>
      <c r="H11055" s="42">
        <f t="shared" si="1"/>
        <v>3345</v>
      </c>
    </row>
    <row r="11056" ht="22.5" customHeight="1">
      <c r="B11056" s="42" t="str">
        <f>IFERROR(__xludf.DUMMYFUNCTION("""COMPUTED_VALUE"""),"ABSGVMTU")</f>
        <v>ABSGVMTU</v>
      </c>
      <c r="C11056" s="42" t="str">
        <f>IFERROR(__xludf.DUMMYFUNCTION("""COMPUTED_VALUE"""),"00929/Pengajaran")</f>
        <v>00929/Pengajaran</v>
      </c>
      <c r="D11056" s="42"/>
      <c r="E11056" s="42"/>
      <c r="F11056" s="48" t="str">
        <f>IFERROR(__xludf.DUMMYFUNCTION("""COMPUTED_VALUE"""),"")</f>
        <v/>
      </c>
      <c r="G11056" s="42" t="str">
        <f>IFERROR(__xludf.DUMMYFUNCTION("""COMPUTED_VALUE"""),"GANTI DESA")</f>
        <v>GANTI DESA</v>
      </c>
      <c r="H11056" s="42">
        <f t="shared" si="1"/>
        <v>3345</v>
      </c>
    </row>
    <row r="11057" ht="22.5" customHeight="1">
      <c r="B11057" s="42" t="str">
        <f>IFERROR(__xludf.DUMMYFUNCTION("""COMPUTED_VALUE"""),"ABIGNMFN")</f>
        <v>ABIGNMFN</v>
      </c>
      <c r="C11057" s="42" t="str">
        <f>IFERROR(__xludf.DUMMYFUNCTION("""COMPUTED_VALUE"""),"00485/PENGAJARAN")</f>
        <v>00485/PENGAJARAN</v>
      </c>
      <c r="D11057" s="42"/>
      <c r="E11057" s="42"/>
      <c r="F11057" s="48" t="str">
        <f>IFERROR(__xludf.DUMMYFUNCTION("""COMPUTED_VALUE"""),"")</f>
        <v/>
      </c>
      <c r="G11057" s="42" t="str">
        <f>IFERROR(__xludf.DUMMYFUNCTION("""COMPUTED_VALUE"""),"GANTI DESA")</f>
        <v>GANTI DESA</v>
      </c>
      <c r="H11057" s="42">
        <f t="shared" si="1"/>
        <v>3345</v>
      </c>
    </row>
    <row r="11058" ht="22.5" customHeight="1">
      <c r="B11058" s="42" t="str">
        <f>IFERROR(__xludf.DUMMYFUNCTION("""COMPUTED_VALUE"""),"ABLEMZUV")</f>
        <v>ABLEMZUV</v>
      </c>
      <c r="C11058" s="42" t="str">
        <f>IFERROR(__xludf.DUMMYFUNCTION("""COMPUTED_VALUE"""),"M 4750/ Rajabasa jaya")</f>
        <v>M 4750/ Rajabasa jaya</v>
      </c>
      <c r="D11058" s="42"/>
      <c r="E11058" s="42"/>
      <c r="F11058" s="48" t="str">
        <f>IFERROR(__xludf.DUMMYFUNCTION("""COMPUTED_VALUE"""),"")</f>
        <v/>
      </c>
      <c r="G11058" s="42" t="str">
        <f>IFERROR(__xludf.DUMMYFUNCTION("""COMPUTED_VALUE"""),"BN JUAL BELI ")</f>
        <v>BN JUAL BELI </v>
      </c>
      <c r="H11058" s="42">
        <f t="shared" si="1"/>
        <v>3345</v>
      </c>
    </row>
    <row r="11059" ht="22.5" customHeight="1">
      <c r="B11059" s="42" t="str">
        <f>IFERROR(__xludf.DUMMYFUNCTION("""COMPUTED_VALUE"""),"ABUAOFUJ")</f>
        <v>ABUAOFUJ</v>
      </c>
      <c r="C11059" s="42" t="str">
        <f>IFERROR(__xludf.DUMMYFUNCTION("""COMPUTED_VALUE"""),"M 4625/ Rajabasa Jaya")</f>
        <v>M 4625/ Rajabasa Jaya</v>
      </c>
      <c r="D11059" s="42"/>
      <c r="E11059" s="42"/>
      <c r="F11059" s="48" t="str">
        <f>IFERROR(__xludf.DUMMYFUNCTION("""COMPUTED_VALUE"""),"")</f>
        <v/>
      </c>
      <c r="G11059" s="42" t="str">
        <f>IFERROR(__xludf.DUMMYFUNCTION("""COMPUTED_VALUE"""),"BN JUAL BELI")</f>
        <v>BN JUAL BELI</v>
      </c>
      <c r="H11059" s="42">
        <f t="shared" si="1"/>
        <v>3345</v>
      </c>
    </row>
    <row r="11060" ht="22.5" customHeight="1">
      <c r="B11060" s="42" t="str">
        <f>IFERROR(__xludf.DUMMYFUNCTION("""COMPUTED_VALUE"""),"ABTNLIMU/AB20")</f>
        <v>ABTNLIMU/AB20</v>
      </c>
      <c r="C11060" s="42" t="str">
        <f>IFERROR(__xludf.DUMMYFUNCTION("""COMPUTED_VALUE"""),"Shm 48 bumi kedamaian")</f>
        <v>Shm 48 bumi kedamaian</v>
      </c>
      <c r="D11060" s="42"/>
      <c r="E11060" s="42"/>
      <c r="F11060" s="48" t="str">
        <f>IFERROR(__xludf.DUMMYFUNCTION("""COMPUTED_VALUE"""),"")</f>
        <v/>
      </c>
      <c r="G11060" s="42" t="str">
        <f>IFERROR(__xludf.DUMMYFUNCTION("""COMPUTED_VALUE"""),"Bn ajb")</f>
        <v>Bn ajb</v>
      </c>
      <c r="H11060" s="42">
        <f t="shared" si="1"/>
        <v>3345</v>
      </c>
    </row>
    <row r="11061" ht="22.5" customHeight="1">
      <c r="B11061" s="42" t="str">
        <f>IFERROR(__xludf.DUMMYFUNCTION("""COMPUTED_VALUE"""),"ABDWEIJY/AB020")</f>
        <v>ABDWEIJY/AB020</v>
      </c>
      <c r="C11061" s="42" t="str">
        <f>IFERROR(__xludf.DUMMYFUNCTION("""COMPUTED_VALUE"""),"SHGB 3933 Sukabumi")</f>
        <v>SHGB 3933 Sukabumi</v>
      </c>
      <c r="D11061" s="42"/>
      <c r="E11061" s="42"/>
      <c r="F11061" s="48" t="str">
        <f>IFERROR(__xludf.DUMMYFUNCTION("""COMPUTED_VALUE"""),"")</f>
        <v/>
      </c>
      <c r="G11061" s="42" t="str">
        <f>IFERROR(__xludf.DUMMYFUNCTION("""COMPUTED_VALUE"""),"Bn aja")</f>
        <v>Bn aja</v>
      </c>
      <c r="H11061" s="42">
        <f t="shared" si="1"/>
        <v>3345</v>
      </c>
    </row>
    <row r="11062" ht="22.5" customHeight="1">
      <c r="B11062" s="42" t="str">
        <f>IFERROR(__xludf.DUMMYFUNCTION("""COMPUTED_VALUE"""),"ABOZETWJ")</f>
        <v>ABOZETWJ</v>
      </c>
      <c r="C11062" s="42" t="str">
        <f>IFERROR(__xludf.DUMMYFUNCTION("""COMPUTED_VALUE"""),"M. 16621/Sukabumi")</f>
        <v>M. 16621/Sukabumi</v>
      </c>
      <c r="D11062" s="42"/>
      <c r="E11062" s="42"/>
      <c r="F11062" s="48" t="str">
        <f>IFERROR(__xludf.DUMMYFUNCTION("""COMPUTED_VALUE"""),"")</f>
        <v/>
      </c>
      <c r="G11062" s="42" t="str">
        <f>IFERROR(__xludf.DUMMYFUNCTION("""COMPUTED_VALUE"""),"Bn Ajb")</f>
        <v>Bn Ajb</v>
      </c>
      <c r="H11062" s="42">
        <f t="shared" si="1"/>
        <v>3345</v>
      </c>
    </row>
    <row r="11063" ht="22.5" customHeight="1">
      <c r="B11063" s="42" t="str">
        <f>IFERROR(__xludf.DUMMYFUNCTION("""COMPUTED_VALUE"""),"ABJNLJFO")</f>
        <v>ABJNLJFO</v>
      </c>
      <c r="C11063" s="42" t="str">
        <f>IFERROR(__xludf.DUMMYFUNCTION("""COMPUTED_VALUE"""),"M. 08.01.000001482.0/ Pematang Wangi")</f>
        <v>M. 08.01.000001482.0/ Pematang Wangi</v>
      </c>
      <c r="D11063" s="42"/>
      <c r="E11063" s="42"/>
      <c r="F11063" s="48" t="str">
        <f>IFERROR(__xludf.DUMMYFUNCTION("""COMPUTED_VALUE"""),"")</f>
        <v/>
      </c>
      <c r="G11063" s="42" t="str">
        <f>IFERROR(__xludf.DUMMYFUNCTION("""COMPUTED_VALUE"""),"Bn ajb")</f>
        <v>Bn ajb</v>
      </c>
      <c r="H11063" s="42">
        <f t="shared" si="1"/>
        <v>3345</v>
      </c>
    </row>
    <row r="11064" ht="22.5" customHeight="1">
      <c r="B11064" s="42" t="str">
        <f>IFERROR(__xludf.DUMMYFUNCTION("""COMPUTED_VALUE"""),"ABGNFJIF")</f>
        <v>ABGNFJIF</v>
      </c>
      <c r="C11064" s="42" t="str">
        <f>IFERROR(__xludf.DUMMYFUNCTION("""COMPUTED_VALUE"""),"M. 252/Labuhan Ratu Raya")</f>
        <v>M. 252/Labuhan Ratu Raya</v>
      </c>
      <c r="D11064" s="42"/>
      <c r="E11064" s="42"/>
      <c r="F11064" s="48" t="str">
        <f>IFERROR(__xludf.DUMMYFUNCTION("""COMPUTED_VALUE"""),"")</f>
        <v/>
      </c>
      <c r="G11064" s="42" t="str">
        <f>IFERROR(__xludf.DUMMYFUNCTION("""COMPUTED_VALUE"""),"Bn ajb")</f>
        <v>Bn ajb</v>
      </c>
      <c r="H11064" s="42">
        <f t="shared" si="1"/>
        <v>3345</v>
      </c>
    </row>
    <row r="11065" ht="22.5" customHeight="1">
      <c r="B11065" s="42" t="str">
        <f>IFERROR(__xludf.DUMMYFUNCTION("""COMPUTED_VALUE"""),"ABFACUNU")</f>
        <v>ABFACUNU</v>
      </c>
      <c r="C11065" s="42" t="str">
        <f>IFERROR(__xludf.DUMMYFUNCTION("""COMPUTED_VALUE"""),"M. 08.01.000029533.0/Sukabumi Indah")</f>
        <v>M. 08.01.000029533.0/Sukabumi Indah</v>
      </c>
      <c r="D11065" s="42"/>
      <c r="E11065" s="42"/>
      <c r="F11065" s="48" t="str">
        <f>IFERROR(__xludf.DUMMYFUNCTION("""COMPUTED_VALUE"""),"")</f>
        <v/>
      </c>
      <c r="G11065" s="42" t="str">
        <f>IFERROR(__xludf.DUMMYFUNCTION("""COMPUTED_VALUE"""),"Bn ajb")</f>
        <v>Bn ajb</v>
      </c>
      <c r="H11065" s="42">
        <f t="shared" si="1"/>
        <v>3345</v>
      </c>
    </row>
    <row r="11066" ht="22.5" customHeight="1">
      <c r="B11066" s="42" t="str">
        <f>IFERROR(__xludf.DUMMYFUNCTION("""COMPUTED_VALUE"""),"ABLXOEOJ")</f>
        <v>ABLXOEOJ</v>
      </c>
      <c r="C11066" s="42" t="str">
        <f>IFERROR(__xludf.DUMMYFUNCTION("""COMPUTED_VALUE"""),"Nibel M 18779/ LABUHAN RATU RAYA")</f>
        <v>Nibel M 18779/ LABUHAN RATU RAYA</v>
      </c>
      <c r="D11066" s="42"/>
      <c r="E11066" s="42"/>
      <c r="F11066" s="48" t="str">
        <f>IFERROR(__xludf.DUMMYFUNCTION("""COMPUTED_VALUE"""),"")</f>
        <v/>
      </c>
      <c r="G11066" s="42" t="str">
        <f>IFERROR(__xludf.DUMMYFUNCTION("""COMPUTED_VALUE"""),"Balik nama")</f>
        <v>Balik nama</v>
      </c>
      <c r="H11066" s="42">
        <f t="shared" si="1"/>
        <v>3345</v>
      </c>
    </row>
    <row r="11067" ht="22.5" customHeight="1">
      <c r="B11067" s="42" t="str">
        <f>IFERROR(__xludf.DUMMYFUNCTION("""COMPUTED_VALUE"""),"ABJTFNAI")</f>
        <v>ABJTFNAI</v>
      </c>
      <c r="C11067" s="42" t="str">
        <f>IFERROR(__xludf.DUMMYFUNCTION("""COMPUTED_VALUE"""),"Nibel B 18966/ SUKABUMI")</f>
        <v>Nibel B 18966/ SUKABUMI</v>
      </c>
      <c r="D11067" s="42"/>
      <c r="E11067" s="42"/>
      <c r="F11067" s="48" t="str">
        <f>IFERROR(__xludf.DUMMYFUNCTION("""COMPUTED_VALUE"""),"")</f>
        <v/>
      </c>
      <c r="G11067" s="42" t="str">
        <f>IFERROR(__xludf.DUMMYFUNCTION("""COMPUTED_VALUE"""),"Balik nama")</f>
        <v>Balik nama</v>
      </c>
      <c r="H11067" s="42">
        <f t="shared" si="1"/>
        <v>3345</v>
      </c>
    </row>
    <row r="11068" ht="22.5" customHeight="1">
      <c r="B11068" s="42" t="str">
        <f>IFERROR(__xludf.DUMMYFUNCTION("""COMPUTED_VALUE"""),"ABDRAUEW")</f>
        <v>ABDRAUEW</v>
      </c>
      <c r="C11068" s="42" t="str">
        <f>IFERROR(__xludf.DUMMYFUNCTION("""COMPUTED_VALUE"""),"M 3244/ SUKARAME BARU")</f>
        <v>M 3244/ SUKARAME BARU</v>
      </c>
      <c r="D11068" s="42"/>
      <c r="E11068" s="42"/>
      <c r="F11068" s="48" t="str">
        <f>IFERROR(__xludf.DUMMYFUNCTION("""COMPUTED_VALUE"""),"")</f>
        <v/>
      </c>
      <c r="G11068" s="42" t="str">
        <f>IFERROR(__xludf.DUMMYFUNCTION("""COMPUTED_VALUE"""),"Hibah")</f>
        <v>Hibah</v>
      </c>
      <c r="H11068" s="42">
        <f t="shared" si="1"/>
        <v>3345</v>
      </c>
    </row>
    <row r="11069" ht="22.5" customHeight="1">
      <c r="B11069" s="42" t="str">
        <f>IFERROR(__xludf.DUMMYFUNCTION("""COMPUTED_VALUE"""),"ABWBJQZD")</f>
        <v>ABWBJQZD</v>
      </c>
      <c r="C11069" s="42" t="str">
        <f>IFERROR(__xludf.DUMMYFUNCTION("""COMPUTED_VALUE"""),"M 1849/ kemiling permai")</f>
        <v>M 1849/ kemiling permai</v>
      </c>
      <c r="D11069" s="42"/>
      <c r="E11069" s="42"/>
      <c r="F11069" s="48" t="str">
        <f>IFERROR(__xludf.DUMMYFUNCTION("""COMPUTED_VALUE"""),"")</f>
        <v/>
      </c>
      <c r="G11069" s="42" t="str">
        <f>IFERROR(__xludf.DUMMYFUNCTION("""COMPUTED_VALUE"""),"Balik nama")</f>
        <v>Balik nama</v>
      </c>
      <c r="H11069" s="42">
        <f t="shared" si="1"/>
        <v>3345</v>
      </c>
    </row>
    <row r="11070" ht="22.5" customHeight="1">
      <c r="B11070" s="42" t="str">
        <f>IFERROR(__xludf.DUMMYFUNCTION("""COMPUTED_VALUE"""),"ab")</f>
        <v>ab</v>
      </c>
      <c r="C11070" s="42" t="str">
        <f>IFERROR(__xludf.DUMMYFUNCTION("""COMPUTED_VALUE"""),"M 10880")</f>
        <v>M 10880</v>
      </c>
      <c r="D11070" s="42"/>
      <c r="E11070" s="42"/>
      <c r="F11070" s="48" t="str">
        <f>IFERROR(__xludf.DUMMYFUNCTION("""COMPUTED_VALUE"""),"")</f>
        <v/>
      </c>
      <c r="G11070" s="42" t="str">
        <f>IFERROR(__xludf.DUMMYFUNCTION("""COMPUTED_VALUE"""),"Ganti desa")</f>
        <v>Ganti desa</v>
      </c>
      <c r="H11070" s="42">
        <f t="shared" si="1"/>
        <v>3345</v>
      </c>
    </row>
    <row r="11071" ht="22.5" customHeight="1">
      <c r="B11071" s="42" t="str">
        <f>IFERROR(__xludf.DUMMYFUNCTION("""COMPUTED_VALUE"""),"Ab")</f>
        <v>Ab</v>
      </c>
      <c r="C11071" s="42" t="str">
        <f>IFERROR(__xludf.DUMMYFUNCTION("""COMPUTED_VALUE"""),"M 02160")</f>
        <v>M 02160</v>
      </c>
      <c r="D11071" s="42"/>
      <c r="E11071" s="42"/>
      <c r="F11071" s="48" t="str">
        <f>IFERROR(__xludf.DUMMYFUNCTION("""COMPUTED_VALUE"""),"")</f>
        <v/>
      </c>
      <c r="G11071" s="42" t="str">
        <f>IFERROR(__xludf.DUMMYFUNCTION("""COMPUTED_VALUE"""),"Ganti desa")</f>
        <v>Ganti desa</v>
      </c>
      <c r="H11071" s="42">
        <f t="shared" si="1"/>
        <v>3345</v>
      </c>
    </row>
    <row r="11072" ht="22.5" customHeight="1">
      <c r="B11072" s="42" t="str">
        <f>IFERROR(__xludf.DUMMYFUNCTION("""COMPUTED_VALUE"""),"ABDFVFFT")</f>
        <v>ABDFVFFT</v>
      </c>
      <c r="C11072" s="42" t="str">
        <f>IFERROR(__xludf.DUMMYFUNCTION("""COMPUTED_VALUE"""),"M. 1603 dan 1597")</f>
        <v>M. 1603 dan 1597</v>
      </c>
      <c r="D11072" s="42"/>
      <c r="E11072" s="42"/>
      <c r="F11072" s="48" t="str">
        <f>IFERROR(__xludf.DUMMYFUNCTION("""COMPUTED_VALUE"""),"")</f>
        <v/>
      </c>
      <c r="G11072" s="42" t="str">
        <f>IFERROR(__xludf.DUMMYFUNCTION("""COMPUTED_VALUE"""),"Ploting")</f>
        <v>Ploting</v>
      </c>
      <c r="H11072" s="42">
        <f t="shared" si="1"/>
        <v>3345</v>
      </c>
    </row>
    <row r="11073" ht="22.5" customHeight="1">
      <c r="B11073" s="42" t="str">
        <f>IFERROR(__xludf.DUMMYFUNCTION("""COMPUTED_VALUE"""),"ABXBEVCH")</f>
        <v>ABXBEVCH</v>
      </c>
      <c r="C11073" s="42" t="str">
        <f>IFERROR(__xludf.DUMMYFUNCTION("""COMPUTED_VALUE"""),"M. 00146/Jagabaya III")</f>
        <v>M. 00146/Jagabaya III</v>
      </c>
      <c r="D11073" s="42"/>
      <c r="E11073" s="42"/>
      <c r="F11073" s="48" t="str">
        <f>IFERROR(__xludf.DUMMYFUNCTION("""COMPUTED_VALUE"""),"")</f>
        <v/>
      </c>
      <c r="G11073" s="42" t="str">
        <f>IFERROR(__xludf.DUMMYFUNCTION("""COMPUTED_VALUE"""),"Ganti Kecamatan")</f>
        <v>Ganti Kecamatan</v>
      </c>
      <c r="H11073" s="42">
        <f t="shared" si="1"/>
        <v>3345</v>
      </c>
    </row>
    <row r="11074" ht="22.5" customHeight="1">
      <c r="B11074" s="42" t="str">
        <f>IFERROR(__xludf.DUMMYFUNCTION("""COMPUTED_VALUE"""),"ABIJOPPJ")</f>
        <v>ABIJOPPJ</v>
      </c>
      <c r="C11074" s="42" t="str">
        <f>IFERROR(__xludf.DUMMYFUNCTION("""COMPUTED_VALUE"""),"M.3663 SUKABUMI")</f>
        <v>M.3663 SUKABUMI</v>
      </c>
      <c r="D11074" s="42"/>
      <c r="E11074" s="42"/>
      <c r="F11074" s="48" t="str">
        <f>IFERROR(__xludf.DUMMYFUNCTION("""COMPUTED_VALUE"""),"")</f>
        <v/>
      </c>
      <c r="G11074" s="42" t="str">
        <f>IFERROR(__xludf.DUMMYFUNCTION("""COMPUTED_VALUE"""),"Bn jual beli")</f>
        <v>Bn jual beli</v>
      </c>
      <c r="H11074" s="42">
        <f t="shared" si="1"/>
        <v>3345</v>
      </c>
    </row>
    <row r="11075" ht="22.5" customHeight="1">
      <c r="B11075" s="42" t="str">
        <f>IFERROR(__xludf.DUMMYFUNCTION("""COMPUTED_VALUE"""),"ABVGEFYC")</f>
        <v>ABVGEFYC</v>
      </c>
      <c r="C11075" s="42" t="str">
        <f>IFERROR(__xludf.DUMMYFUNCTION("""COMPUTED_VALUE"""),"M.3668 SUKABUMI")</f>
        <v>M.3668 SUKABUMI</v>
      </c>
      <c r="D11075" s="42"/>
      <c r="E11075" s="42"/>
      <c r="F11075" s="48" t="str">
        <f>IFERROR(__xludf.DUMMYFUNCTION("""COMPUTED_VALUE"""),"")</f>
        <v/>
      </c>
      <c r="G11075" s="42" t="str">
        <f>IFERROR(__xludf.DUMMYFUNCTION("""COMPUTED_VALUE"""),"Bn jual beli")</f>
        <v>Bn jual beli</v>
      </c>
      <c r="H11075" s="42">
        <f t="shared" si="1"/>
        <v>3345</v>
      </c>
    </row>
    <row r="11076" ht="22.5" customHeight="1">
      <c r="B11076" s="42" t="str">
        <f>IFERROR(__xludf.DUMMYFUNCTION("""COMPUTED_VALUE"""),"ABEVTOCE")</f>
        <v>ABEVTOCE</v>
      </c>
      <c r="C11076" s="42" t="str">
        <f>IFERROR(__xludf.DUMMYFUNCTION("""COMPUTED_VALUE"""),"M.3667 SUKABUMI")</f>
        <v>M.3667 SUKABUMI</v>
      </c>
      <c r="D11076" s="42"/>
      <c r="E11076" s="42"/>
      <c r="F11076" s="48" t="str">
        <f>IFERROR(__xludf.DUMMYFUNCTION("""COMPUTED_VALUE"""),"")</f>
        <v/>
      </c>
      <c r="G11076" s="42" t="str">
        <f>IFERROR(__xludf.DUMMYFUNCTION("""COMPUTED_VALUE"""),"Bn jual beli")</f>
        <v>Bn jual beli</v>
      </c>
      <c r="H11076" s="42">
        <f t="shared" si="1"/>
        <v>3345</v>
      </c>
    </row>
    <row r="11077" ht="22.5" customHeight="1">
      <c r="B11077" s="42" t="str">
        <f>IFERROR(__xludf.DUMMYFUNCTION("""COMPUTED_VALUE"""),"L/12/260126/1")</f>
        <v>L/12/260126/1</v>
      </c>
      <c r="C11077" s="42" t="str">
        <f>IFERROR(__xludf.DUMMYFUNCTION("""COMPUTED_VALUE"""),"M.15907/SUKABUMI INDAH")</f>
        <v>M.15907/SUKABUMI INDAH</v>
      </c>
      <c r="D11077" s="42"/>
      <c r="E11077" s="42"/>
      <c r="F11077" s="48" t="str">
        <f>IFERROR(__xludf.DUMMYFUNCTION("""COMPUTED_VALUE"""),"")</f>
        <v/>
      </c>
      <c r="G11077" s="42" t="str">
        <f>IFERROR(__xludf.DUMMYFUNCTION("""COMPUTED_VALUE"""),"SKPT INFORMASI")</f>
        <v>SKPT INFORMASI</v>
      </c>
      <c r="H11077" s="42">
        <f t="shared" si="1"/>
        <v>3345</v>
      </c>
    </row>
    <row r="11078" ht="22.5" customHeight="1">
      <c r="B11078" s="42" t="str">
        <f>IFERROR(__xludf.DUMMYFUNCTION("""COMPUTED_VALUE"""),"L/13/260126/1")</f>
        <v>L/13/260126/1</v>
      </c>
      <c r="C11078" s="42" t="str">
        <f>IFERROR(__xludf.DUMMYFUNCTION("""COMPUTED_VALUE"""),"M.282/RAJABASA JAYA")</f>
        <v>M.282/RAJABASA JAYA</v>
      </c>
      <c r="D11078" s="42"/>
      <c r="E11078" s="42"/>
      <c r="F11078" s="48" t="str">
        <f>IFERROR(__xludf.DUMMYFUNCTION("""COMPUTED_VALUE"""),"")</f>
        <v/>
      </c>
      <c r="G11078" s="42" t="str">
        <f>IFERROR(__xludf.DUMMYFUNCTION("""COMPUTED_VALUE"""),"GANTI NAMA ")</f>
        <v>GANTI NAMA </v>
      </c>
      <c r="H11078" s="42">
        <f t="shared" si="1"/>
        <v>3345</v>
      </c>
    </row>
    <row r="11079" ht="22.5" customHeight="1">
      <c r="B11079" s="42" t="str">
        <f>IFERROR(__xludf.DUMMYFUNCTION("""COMPUTED_VALUE"""),"L/1/270226/1")</f>
        <v>L/1/270226/1</v>
      </c>
      <c r="C11079" s="42" t="str">
        <f>IFERROR(__xludf.DUMMYFUNCTION("""COMPUTED_VALUE"""),"M.15907/SUKABUMI INDAH")</f>
        <v>M.15907/SUKABUMI INDAH</v>
      </c>
      <c r="D11079" s="42"/>
      <c r="E11079" s="42"/>
      <c r="F11079" s="48" t="str">
        <f>IFERROR(__xludf.DUMMYFUNCTION("""COMPUTED_VALUE"""),"")</f>
        <v/>
      </c>
      <c r="G11079" s="42" t="str">
        <f>IFERROR(__xludf.DUMMYFUNCTION("""COMPUTED_VALUE"""),"SKPT ")</f>
        <v>SKPT </v>
      </c>
      <c r="H11079" s="42">
        <f t="shared" si="1"/>
        <v>3345</v>
      </c>
    </row>
    <row r="11080" ht="22.5" customHeight="1">
      <c r="B11080" s="42" t="str">
        <f>IFERROR(__xludf.DUMMYFUNCTION("""COMPUTED_VALUE"""),"L/2/270226/1")</f>
        <v>L/2/270226/1</v>
      </c>
      <c r="C11080" s="42" t="str">
        <f>IFERROR(__xludf.DUMMYFUNCTION("""COMPUTED_VALUE"""),"M.282/RAJABASA JAYA")</f>
        <v>M.282/RAJABASA JAYA</v>
      </c>
      <c r="D11080" s="42"/>
      <c r="E11080" s="42"/>
      <c r="F11080" s="48" t="str">
        <f>IFERROR(__xludf.DUMMYFUNCTION("""COMPUTED_VALUE"""),"")</f>
        <v/>
      </c>
      <c r="G11080" s="42" t="str">
        <f>IFERROR(__xludf.DUMMYFUNCTION("""COMPUTED_VALUE"""),"GANTI NAMA")</f>
        <v>GANTI NAMA</v>
      </c>
      <c r="H11080" s="42">
        <f t="shared" si="1"/>
        <v>3345</v>
      </c>
    </row>
    <row r="11081" ht="22.5" customHeight="1">
      <c r="B11081" s="42" t="str">
        <f>IFERROR(__xludf.DUMMYFUNCTION("""COMPUTED_VALUE"""),"L/3/270226/2")</f>
        <v>L/3/270226/2</v>
      </c>
      <c r="C11081" s="42" t="str">
        <f>IFERROR(__xludf.DUMMYFUNCTION("""COMPUTED_VALUE"""),"TANJUNG SENENG")</f>
        <v>TANJUNG SENENG</v>
      </c>
      <c r="D11081" s="42"/>
      <c r="E11081" s="42"/>
      <c r="F11081" s="48" t="str">
        <f>IFERROR(__xludf.DUMMYFUNCTION("""COMPUTED_VALUE"""),"")</f>
        <v/>
      </c>
      <c r="G11081" s="42" t="str">
        <f>IFERROR(__xludf.DUMMYFUNCTION("""COMPUTED_VALUE"""),"PTPGT")</f>
        <v>PTPGT</v>
      </c>
      <c r="H11081" s="42">
        <f t="shared" si="1"/>
        <v>3345</v>
      </c>
    </row>
    <row r="11082" ht="22.5" customHeight="1">
      <c r="B11082" s="42" t="str">
        <f>IFERROR(__xludf.DUMMYFUNCTION("""COMPUTED_VALUE"""),"L/4/270226/3")</f>
        <v>L/4/270226/3</v>
      </c>
      <c r="C11082" s="42" t="str">
        <f>IFERROR(__xludf.DUMMYFUNCTION("""COMPUTED_VALUE"""),"B.92/KEDAMAIAN")</f>
        <v>B.92/KEDAMAIAN</v>
      </c>
      <c r="D11082" s="42"/>
      <c r="E11082" s="42"/>
      <c r="F11082" s="48" t="str">
        <f>IFERROR(__xludf.DUMMYFUNCTION("""COMPUTED_VALUE"""),"")</f>
        <v/>
      </c>
      <c r="G11082" s="42" t="str">
        <f>IFERROR(__xludf.DUMMYFUNCTION("""COMPUTED_VALUE"""),"PERMOHONAN SK KONSTATASI")</f>
        <v>PERMOHONAN SK KONSTATASI</v>
      </c>
      <c r="H11082" s="42">
        <f t="shared" si="1"/>
        <v>3345</v>
      </c>
    </row>
    <row r="11083" ht="22.5" customHeight="1">
      <c r="B11083" s="42" t="str">
        <f>IFERROR(__xludf.DUMMYFUNCTION("""COMPUTED_VALUE"""),"L/5/270226/1")</f>
        <v>L/5/270226/1</v>
      </c>
      <c r="C11083" s="42" t="str">
        <f>IFERROR(__xludf.DUMMYFUNCTION("""COMPUTED_VALUE"""),"M.88 DAN 176/LANGKAPURA BARU")</f>
        <v>M.88 DAN 176/LANGKAPURA BARU</v>
      </c>
      <c r="D11083" s="42"/>
      <c r="E11083" s="42"/>
      <c r="F11083" s="48" t="str">
        <f>IFERROR(__xludf.DUMMYFUNCTION("""COMPUTED_VALUE"""),"")</f>
        <v/>
      </c>
      <c r="G11083" s="42" t="str">
        <f>IFERROR(__xludf.DUMMYFUNCTION("""COMPUTED_VALUE"""),"ROYA")</f>
        <v>ROYA</v>
      </c>
      <c r="H11083" s="42">
        <f t="shared" si="1"/>
        <v>3345</v>
      </c>
    </row>
    <row r="11084" ht="22.5" customHeight="1">
      <c r="B11084" s="42" t="str">
        <f>IFERROR(__xludf.DUMMYFUNCTION("""COMPUTED_VALUE"""),"L/6/270226/1")</f>
        <v>L/6/270226/1</v>
      </c>
      <c r="C11084" s="42" t="str">
        <f>IFERROR(__xludf.DUMMYFUNCTION("""COMPUTED_VALUE"""),"M.7011/TANJUNG SENENG")</f>
        <v>M.7011/TANJUNG SENENG</v>
      </c>
      <c r="D11084" s="42"/>
      <c r="E11084" s="42"/>
      <c r="F11084" s="48" t="str">
        <f>IFERROR(__xludf.DUMMYFUNCTION("""COMPUTED_VALUE"""),"")</f>
        <v/>
      </c>
      <c r="G11084" s="42" t="str">
        <f>IFERROR(__xludf.DUMMYFUNCTION("""COMPUTED_VALUE"""),"ROYA")</f>
        <v>ROYA</v>
      </c>
      <c r="H11084" s="42">
        <f t="shared" si="1"/>
        <v>3345</v>
      </c>
    </row>
    <row r="11085" ht="22.5" customHeight="1">
      <c r="B11085" s="42" t="str">
        <f>IFERROR(__xludf.DUMMYFUNCTION("""COMPUTED_VALUE"""),"ABAXGMAR")</f>
        <v>ABAXGMAR</v>
      </c>
      <c r="C11085" s="42" t="str">
        <f>IFERROR(__xludf.DUMMYFUNCTION("""COMPUTED_VALUE"""),"m.4958")</f>
        <v>m.4958</v>
      </c>
      <c r="D11085" s="42"/>
      <c r="E11085" s="42"/>
      <c r="F11085" s="48" t="str">
        <f>IFERROR(__xludf.DUMMYFUNCTION("""COMPUTED_VALUE"""),"")</f>
        <v/>
      </c>
      <c r="G11085" s="42" t="str">
        <f>IFERROR(__xludf.DUMMYFUNCTION("""COMPUTED_VALUE"""),"peralihan hak")</f>
        <v>peralihan hak</v>
      </c>
      <c r="H11085" s="42">
        <f t="shared" si="1"/>
        <v>3345</v>
      </c>
    </row>
    <row r="11086" ht="22.5" customHeight="1">
      <c r="B11086" s="42" t="str">
        <f>IFERROR(__xludf.DUMMYFUNCTION("""COMPUTED_VALUE"""),"AB042/ABITCZUE")</f>
        <v>AB042/ABITCZUE</v>
      </c>
      <c r="C11086" s="42" t="str">
        <f>IFERROR(__xludf.DUMMYFUNCTION("""COMPUTED_VALUE"""),"SHM NO.18610/S.I-")</f>
        <v>SHM NO.18610/S.I-</v>
      </c>
      <c r="D11086" s="42"/>
      <c r="E11086" s="42"/>
      <c r="F11086" s="48" t="str">
        <f>IFERROR(__xludf.DUMMYFUNCTION("""COMPUTED_VALUE"""),"")</f>
        <v/>
      </c>
      <c r="G11086" s="42" t="str">
        <f>IFERROR(__xludf.DUMMYFUNCTION("""COMPUTED_VALUE"""),"Pendaftaran Peralihan Hak")</f>
        <v>Pendaftaran Peralihan Hak</v>
      </c>
      <c r="H11086" s="42">
        <f t="shared" si="1"/>
        <v>3345</v>
      </c>
    </row>
    <row r="11087" ht="22.5" customHeight="1">
      <c r="B11087" s="42" t="str">
        <f>IFERROR(__xludf.DUMMYFUNCTION("""COMPUTED_VALUE"""),"ABDTYZGQ")</f>
        <v>ABDTYZGQ</v>
      </c>
      <c r="C11087" s="42">
        <f>IFERROR(__xludf.DUMMYFUNCTION("""COMPUTED_VALUE"""),10111.0)</f>
        <v>10111</v>
      </c>
      <c r="D11087" s="42"/>
      <c r="E11087" s="42"/>
      <c r="F11087" s="48" t="str">
        <f>IFERROR(__xludf.DUMMYFUNCTION("""COMPUTED_VALUE"""),"")</f>
        <v/>
      </c>
      <c r="G11087" s="42" t="str">
        <f>IFERROR(__xludf.DUMMYFUNCTION("""COMPUTED_VALUE"""),"TURUN WARIS")</f>
        <v>TURUN WARIS</v>
      </c>
      <c r="H11087" s="42">
        <f t="shared" si="1"/>
        <v>3345</v>
      </c>
    </row>
    <row r="11088" ht="22.5" customHeight="1">
      <c r="B11088" s="42" t="str">
        <f>IFERROR(__xludf.DUMMYFUNCTION("""COMPUTED_VALUE"""),"AB044")</f>
        <v>AB044</v>
      </c>
      <c r="C11088" s="42" t="str">
        <f>IFERROR(__xludf.DUMMYFUNCTION("""COMPUTED_VALUE"""),"M.614/campang raya")</f>
        <v>M.614/campang raya</v>
      </c>
      <c r="D11088" s="42"/>
      <c r="E11088" s="42"/>
      <c r="F11088" s="48" t="str">
        <f>IFERROR(__xludf.DUMMYFUNCTION("""COMPUTED_VALUE"""),"")</f>
        <v/>
      </c>
      <c r="G11088" s="42" t="str">
        <f>IFERROR(__xludf.DUMMYFUNCTION("""COMPUTED_VALUE"""),"Ganti desa")</f>
        <v>Ganti desa</v>
      </c>
      <c r="H11088" s="42">
        <f t="shared" si="1"/>
        <v>3345</v>
      </c>
    </row>
    <row r="11089" ht="22.5" customHeight="1">
      <c r="B11089" s="42" t="str">
        <f>IFERROR(__xludf.DUMMYFUNCTION("""COMPUTED_VALUE"""),"AB044")</f>
        <v>AB044</v>
      </c>
      <c r="C11089" s="42" t="str">
        <f>IFERROR(__xludf.DUMMYFUNCTION("""COMPUTED_VALUE"""),"M.9431/kampung baru")</f>
        <v>M.9431/kampung baru</v>
      </c>
      <c r="D11089" s="42"/>
      <c r="E11089" s="42"/>
      <c r="F11089" s="48" t="str">
        <f>IFERROR(__xludf.DUMMYFUNCTION("""COMPUTED_VALUE"""),"")</f>
        <v/>
      </c>
      <c r="G11089" s="42" t="str">
        <f>IFERROR(__xludf.DUMMYFUNCTION("""COMPUTED_VALUE"""),"Ganti desa")</f>
        <v>Ganti desa</v>
      </c>
      <c r="H11089" s="42">
        <f t="shared" si="1"/>
        <v>3345</v>
      </c>
    </row>
    <row r="11090" ht="22.5" customHeight="1">
      <c r="B11090" s="42" t="str">
        <f>IFERROR(__xludf.DUMMYFUNCTION("""COMPUTED_VALUE"""),"AB044")</f>
        <v>AB044</v>
      </c>
      <c r="C11090" s="42" t="str">
        <f>IFERROR(__xludf.DUMMYFUNCTION("""COMPUTED_VALUE"""),"M.9431/kampung baru")</f>
        <v>M.9431/kampung baru</v>
      </c>
      <c r="D11090" s="42"/>
      <c r="E11090" s="42"/>
      <c r="F11090" s="48" t="str">
        <f>IFERROR(__xludf.DUMMYFUNCTION("""COMPUTED_VALUE"""),"")</f>
        <v/>
      </c>
      <c r="G11090" s="42" t="str">
        <f>IFERROR(__xludf.DUMMYFUNCTION("""COMPUTED_VALUE"""),"Ganti desa")</f>
        <v>Ganti desa</v>
      </c>
      <c r="H11090" s="42">
        <f t="shared" si="1"/>
        <v>3345</v>
      </c>
    </row>
    <row r="11091" ht="22.5" customHeight="1">
      <c r="B11091" s="42" t="str">
        <f>IFERROR(__xludf.DUMMYFUNCTION("""COMPUTED_VALUE"""),"AB044")</f>
        <v>AB044</v>
      </c>
      <c r="C11091" s="42" t="str">
        <f>IFERROR(__xludf.DUMMYFUNCTION("""COMPUTED_VALUE"""),"M.9629/gedung meneng")</f>
        <v>M.9629/gedung meneng</v>
      </c>
      <c r="D11091" s="42"/>
      <c r="E11091" s="42"/>
      <c r="F11091" s="48" t="str">
        <f>IFERROR(__xludf.DUMMYFUNCTION("""COMPUTED_VALUE"""),"")</f>
        <v/>
      </c>
      <c r="G11091" s="42" t="str">
        <f>IFERROR(__xludf.DUMMYFUNCTION("""COMPUTED_VALUE"""),"Ganti desa")</f>
        <v>Ganti desa</v>
      </c>
      <c r="H11091" s="42">
        <f t="shared" si="1"/>
        <v>3345</v>
      </c>
    </row>
    <row r="11092" ht="22.5" customHeight="1">
      <c r="B11092" s="42" t="str">
        <f>IFERROR(__xludf.DUMMYFUNCTION("""COMPUTED_VALUE"""),"ABTKKHQG")</f>
        <v>ABTKKHQG</v>
      </c>
      <c r="C11092" s="42" t="str">
        <f>IFERROR(__xludf.DUMMYFUNCTION("""COMPUTED_VALUE"""),"M16110 Sukabumi ")</f>
        <v>M16110 Sukabumi </v>
      </c>
      <c r="D11092" s="42"/>
      <c r="E11092" s="42"/>
      <c r="F11092" s="48" t="str">
        <f>IFERROR(__xludf.DUMMYFUNCTION("""COMPUTED_VALUE"""),"")</f>
        <v/>
      </c>
      <c r="G11092" s="42" t="str">
        <f>IFERROR(__xludf.DUMMYFUNCTION("""COMPUTED_VALUE"""),"Balik nama")</f>
        <v>Balik nama</v>
      </c>
      <c r="H11092" s="42">
        <f t="shared" si="1"/>
        <v>3345</v>
      </c>
    </row>
    <row r="11093" ht="22.5" customHeight="1">
      <c r="B11093" s="42" t="str">
        <f>IFERROR(__xludf.DUMMYFUNCTION("""COMPUTED_VALUE"""),"AB046/ABLEINBM")</f>
        <v>AB046/ABLEINBM</v>
      </c>
      <c r="C11093" s="42" t="str">
        <f>IFERROR(__xludf.DUMMYFUNCTION("""COMPUTED_VALUE"""),"Nibel 24024")</f>
        <v>Nibel 24024</v>
      </c>
      <c r="D11093" s="42"/>
      <c r="E11093" s="42"/>
      <c r="F11093" s="48" t="str">
        <f>IFERROR(__xludf.DUMMYFUNCTION("""COMPUTED_VALUE"""),"")</f>
        <v/>
      </c>
      <c r="G11093" s="42" t="str">
        <f>IFERROR(__xludf.DUMMYFUNCTION("""COMPUTED_VALUE"""),"Balik nama")</f>
        <v>Balik nama</v>
      </c>
      <c r="H11093" s="42">
        <f t="shared" si="1"/>
        <v>3345</v>
      </c>
    </row>
    <row r="11094" ht="22.5" customHeight="1">
      <c r="B11094" s="42" t="str">
        <f>IFERROR(__xludf.DUMMYFUNCTION("""COMPUTED_VALUE"""),"AB046/ABETJPKN")</f>
        <v>AB046/ABETJPKN</v>
      </c>
      <c r="C11094" s="42" t="str">
        <f>IFERROR(__xludf.DUMMYFUNCTION("""COMPUTED_VALUE"""),"Nibel 24025")</f>
        <v>Nibel 24025</v>
      </c>
      <c r="D11094" s="42"/>
      <c r="E11094" s="42"/>
      <c r="F11094" s="48" t="str">
        <f>IFERROR(__xludf.DUMMYFUNCTION("""COMPUTED_VALUE"""),"")</f>
        <v/>
      </c>
      <c r="G11094" s="42" t="str">
        <f>IFERROR(__xludf.DUMMYFUNCTION("""COMPUTED_VALUE"""),"Balik nama")</f>
        <v>Balik nama</v>
      </c>
      <c r="H11094" s="42">
        <f t="shared" si="1"/>
        <v>3345</v>
      </c>
    </row>
    <row r="11095" ht="22.5" customHeight="1">
      <c r="B11095" s="42" t="str">
        <f>IFERROR(__xludf.DUMMYFUNCTION("""COMPUTED_VALUE"""),"Abhmbxmb")</f>
        <v>Abhmbxmb</v>
      </c>
      <c r="C11095" s="42" t="str">
        <f>IFERROR(__xludf.DUMMYFUNCTION("""COMPUTED_VALUE"""),"Labuhan ratu")</f>
        <v>Labuhan ratu</v>
      </c>
      <c r="D11095" s="42"/>
      <c r="E11095" s="42"/>
      <c r="F11095" s="48" t="str">
        <f>IFERROR(__xludf.DUMMYFUNCTION("""COMPUTED_VALUE"""),"")</f>
        <v/>
      </c>
      <c r="G11095" s="42" t="str">
        <f>IFERROR(__xludf.DUMMYFUNCTION("""COMPUTED_VALUE"""),"Sk tanah mentah")</f>
        <v>Sk tanah mentah</v>
      </c>
      <c r="H11095" s="42">
        <f t="shared" si="1"/>
        <v>3345</v>
      </c>
    </row>
    <row r="11096" ht="22.5" customHeight="1">
      <c r="B11096" s="42" t="str">
        <f>IFERROR(__xludf.DUMMYFUNCTION("""COMPUTED_VALUE"""),"AB047/ABMQMYOF")</f>
        <v>AB047/ABMQMYOF</v>
      </c>
      <c r="C11096" s="42" t="str">
        <f>IFERROR(__xludf.DUMMYFUNCTION("""COMPUTED_VALUE"""),"Shgb 08.01.00001957.0")</f>
        <v>Shgb 08.01.00001957.0</v>
      </c>
      <c r="D11096" s="42"/>
      <c r="E11096" s="42"/>
      <c r="F11096" s="48" t="str">
        <f>IFERROR(__xludf.DUMMYFUNCTION("""COMPUTED_VALUE"""),"")</f>
        <v/>
      </c>
      <c r="G11096" s="42" t="str">
        <f>IFERROR(__xludf.DUMMYFUNCTION("""COMPUTED_VALUE"""),"Balik nama")</f>
        <v>Balik nama</v>
      </c>
      <c r="H11096" s="42">
        <f t="shared" si="1"/>
        <v>3345</v>
      </c>
    </row>
    <row r="11097" ht="22.5" customHeight="1">
      <c r="B11097" s="42" t="str">
        <f>IFERROR(__xludf.DUMMYFUNCTION("""COMPUTED_VALUE"""),"K/7/270126/1")</f>
        <v>K/7/270126/1</v>
      </c>
      <c r="C11097" s="42" t="str">
        <f>IFERROR(__xludf.DUMMYFUNCTION("""COMPUTED_VALUE"""),"M. 3198/SUKARAME BARU")</f>
        <v>M. 3198/SUKARAME BARU</v>
      </c>
      <c r="D11097" s="42"/>
      <c r="E11097" s="42"/>
      <c r="F11097" s="48" t="str">
        <f>IFERROR(__xludf.DUMMYFUNCTION("""COMPUTED_VALUE"""),"")</f>
        <v/>
      </c>
      <c r="G11097" s="42" t="str">
        <f>IFERROR(__xludf.DUMMYFUNCTION("""COMPUTED_VALUE"""),"PENATAAN BATAS")</f>
        <v>PENATAAN BATAS</v>
      </c>
      <c r="H11097" s="42">
        <f t="shared" si="1"/>
        <v>3345</v>
      </c>
    </row>
    <row r="11098" ht="22.5" customHeight="1">
      <c r="B11098" s="42" t="str">
        <f>IFERROR(__xludf.DUMMYFUNCTION("""COMPUTED_VALUE"""),"K/8/270226/1")</f>
        <v>K/8/270226/1</v>
      </c>
      <c r="C11098" s="42" t="str">
        <f>IFERROR(__xludf.DUMMYFUNCTION("""COMPUTED_VALUE"""),"M. 8970/LABUHANRATU")</f>
        <v>M. 8970/LABUHANRATU</v>
      </c>
      <c r="D11098" s="42"/>
      <c r="E11098" s="42"/>
      <c r="F11098" s="48" t="str">
        <f>IFERROR(__xludf.DUMMYFUNCTION("""COMPUTED_VALUE"""),"")</f>
        <v/>
      </c>
      <c r="G11098" s="42" t="str">
        <f>IFERROR(__xludf.DUMMYFUNCTION("""COMPUTED_VALUE"""),"PENATAAN BATAS")</f>
        <v>PENATAAN BATAS</v>
      </c>
      <c r="H11098" s="42">
        <f t="shared" si="1"/>
        <v>3345</v>
      </c>
    </row>
    <row r="11099" ht="22.5" customHeight="1">
      <c r="B11099" s="42" t="str">
        <f>IFERROR(__xludf.DUMMYFUNCTION("""COMPUTED_VALUE"""),"K/9/270226/1")</f>
        <v>K/9/270226/1</v>
      </c>
      <c r="C11099" s="42" t="str">
        <f>IFERROR(__xludf.DUMMYFUNCTION("""COMPUTED_VALUE"""),"M. 4871/WAY KANDIS")</f>
        <v>M. 4871/WAY KANDIS</v>
      </c>
      <c r="D11099" s="42"/>
      <c r="E11099" s="42"/>
      <c r="F11099" s="48" t="str">
        <f>IFERROR(__xludf.DUMMYFUNCTION("""COMPUTED_VALUE"""),"")</f>
        <v/>
      </c>
      <c r="G11099" s="42" t="str">
        <f>IFERROR(__xludf.DUMMYFUNCTION("""COMPUTED_VALUE"""),"HAPUS BPHTB")</f>
        <v>HAPUS BPHTB</v>
      </c>
      <c r="H11099" s="42">
        <f t="shared" si="1"/>
        <v>3345</v>
      </c>
    </row>
    <row r="11100" ht="22.5" customHeight="1">
      <c r="B11100" s="42" t="str">
        <f>IFERROR(__xludf.DUMMYFUNCTION("""COMPUTED_VALUE"""),"K/10/270226/1")</f>
        <v>K/10/270226/1</v>
      </c>
      <c r="C11100" s="42" t="str">
        <f>IFERROR(__xludf.DUMMYFUNCTION("""COMPUTED_VALUE"""),"M. 265/JAGABAYA III")</f>
        <v>M. 265/JAGABAYA III</v>
      </c>
      <c r="D11100" s="42"/>
      <c r="E11100" s="42"/>
      <c r="F11100" s="48" t="str">
        <f>IFERROR(__xludf.DUMMYFUNCTION("""COMPUTED_VALUE"""),"")</f>
        <v/>
      </c>
      <c r="G11100" s="42" t="str">
        <f>IFERROR(__xludf.DUMMYFUNCTION("""COMPUTED_VALUE"""),"BLOKIR")</f>
        <v>BLOKIR</v>
      </c>
      <c r="H11100" s="42">
        <f t="shared" si="1"/>
        <v>3345</v>
      </c>
    </row>
    <row r="11101" ht="22.5" customHeight="1">
      <c r="B11101" s="42" t="str">
        <f>IFERROR(__xludf.DUMMYFUNCTION("""COMPUTED_VALUE"""),"K/11/270226/2")</f>
        <v>K/11/270226/2</v>
      </c>
      <c r="C11101" s="42" t="str">
        <f>IFERROR(__xludf.DUMMYFUNCTION("""COMPUTED_VALUE"""),"M. 237/JAGABAYA III")</f>
        <v>M. 237/JAGABAYA III</v>
      </c>
      <c r="D11101" s="42"/>
      <c r="E11101" s="42"/>
      <c r="F11101" s="48" t="str">
        <f>IFERROR(__xludf.DUMMYFUNCTION("""COMPUTED_VALUE"""),"")</f>
        <v/>
      </c>
      <c r="G11101" s="42" t="str">
        <f>IFERROR(__xludf.DUMMYFUNCTION("""COMPUTED_VALUE"""),"BLOKIR")</f>
        <v>BLOKIR</v>
      </c>
      <c r="H11101" s="42">
        <f t="shared" si="1"/>
        <v>3345</v>
      </c>
    </row>
    <row r="11102" ht="22.5" customHeight="1">
      <c r="B11102" s="42" t="str">
        <f>IFERROR(__xludf.DUMMYFUNCTION("""COMPUTED_VALUE"""),"L/13/270226/1")</f>
        <v>L/13/270226/1</v>
      </c>
      <c r="C11102" s="42" t="str">
        <f>IFERROR(__xludf.DUMMYFUNCTION("""COMPUTED_VALUE"""),"NIBEL M 27162/SUKABUMI ")</f>
        <v>NIBEL M 27162/SUKABUMI </v>
      </c>
      <c r="D11102" s="42"/>
      <c r="E11102" s="42"/>
      <c r="F11102" s="48" t="str">
        <f>IFERROR(__xludf.DUMMYFUNCTION("""COMPUTED_VALUE"""),"")</f>
        <v/>
      </c>
      <c r="G11102" s="42" t="str">
        <f>IFERROR(__xludf.DUMMYFUNCTION("""COMPUTED_VALUE"""),"PENATAAN BATAS")</f>
        <v>PENATAAN BATAS</v>
      </c>
      <c r="H11102" s="42">
        <f t="shared" si="1"/>
        <v>3345</v>
      </c>
    </row>
    <row r="11103" ht="22.5" customHeight="1">
      <c r="B11103" s="42" t="str">
        <f>IFERROR(__xludf.DUMMYFUNCTION("""COMPUTED_VALUE"""),"K/12/270226/1")</f>
        <v>K/12/270226/1</v>
      </c>
      <c r="C11103" s="42" t="str">
        <f>IFERROR(__xludf.DUMMYFUNCTION("""COMPUTED_VALUE"""),"B. 1411/RAJABASA")</f>
        <v>B. 1411/RAJABASA</v>
      </c>
      <c r="D11103" s="42"/>
      <c r="E11103" s="42"/>
      <c r="F11103" s="48" t="str">
        <f>IFERROR(__xludf.DUMMYFUNCTION("""COMPUTED_VALUE"""),"")</f>
        <v/>
      </c>
      <c r="G11103" s="42" t="str">
        <f>IFERROR(__xludf.DUMMYFUNCTION("""COMPUTED_VALUE"""),"ROYA")</f>
        <v>ROYA</v>
      </c>
      <c r="H11103" s="42">
        <f t="shared" si="1"/>
        <v>3345</v>
      </c>
    </row>
    <row r="11104" ht="22.5" customHeight="1">
      <c r="B11104" s="42" t="str">
        <f>IFERROR(__xludf.DUMMYFUNCTION("""COMPUTED_VALUE"""),"L/14/270226/1")</f>
        <v>L/14/270226/1</v>
      </c>
      <c r="C11104" s="42" t="str">
        <f>IFERROR(__xludf.DUMMYFUNCTION("""COMPUTED_VALUE"""),"NIBEL B 18760/BILABONG JAYA")</f>
        <v>NIBEL B 18760/BILABONG JAYA</v>
      </c>
      <c r="D11104" s="42"/>
      <c r="E11104" s="42"/>
      <c r="F11104" s="48" t="str">
        <f>IFERROR(__xludf.DUMMYFUNCTION("""COMPUTED_VALUE"""),"")</f>
        <v/>
      </c>
      <c r="G11104" s="42" t="str">
        <f>IFERROR(__xludf.DUMMYFUNCTION("""COMPUTED_VALUE"""),"PENINGKATAN HAK")</f>
        <v>PENINGKATAN HAK</v>
      </c>
      <c r="H11104" s="42">
        <f t="shared" si="1"/>
        <v>3345</v>
      </c>
    </row>
    <row r="11105" ht="22.5" customHeight="1">
      <c r="B11105" s="42" t="str">
        <f>IFERROR(__xludf.DUMMYFUNCTION("""COMPUTED_VALUE"""),"K/15/270226/1")</f>
        <v>K/15/270226/1</v>
      </c>
      <c r="C11105" s="42" t="str">
        <f>IFERROR(__xludf.DUMMYFUNCTION("""COMPUTED_VALUE"""),"NIBEL M. 2508/GUNUNG TERANG")</f>
        <v>NIBEL M. 2508/GUNUNG TERANG</v>
      </c>
      <c r="D11105" s="42"/>
      <c r="E11105" s="42"/>
      <c r="F11105" s="48" t="str">
        <f>IFERROR(__xludf.DUMMYFUNCTION("""COMPUTED_VALUE"""),"")</f>
        <v/>
      </c>
      <c r="G11105" s="42" t="str">
        <f>IFERROR(__xludf.DUMMYFUNCTION("""COMPUTED_VALUE"""),"PTPGT PECAH")</f>
        <v>PTPGT PECAH</v>
      </c>
      <c r="H11105" s="42">
        <f t="shared" si="1"/>
        <v>3345</v>
      </c>
    </row>
    <row r="11106" ht="22.5" customHeight="1">
      <c r="B11106" s="42" t="str">
        <f>IFERROR(__xludf.DUMMYFUNCTION("""COMPUTED_VALUE"""),"ABNJKNWA")</f>
        <v>ABNJKNWA</v>
      </c>
      <c r="C11106" s="42">
        <f>IFERROR(__xludf.DUMMYFUNCTION("""COMPUTED_VALUE"""),4823.0)</f>
        <v>4823</v>
      </c>
      <c r="D11106" s="42"/>
      <c r="E11106" s="42"/>
      <c r="F11106" s="48" t="str">
        <f>IFERROR(__xludf.DUMMYFUNCTION("""COMPUTED_VALUE"""),"")</f>
        <v/>
      </c>
      <c r="G11106" s="42" t="str">
        <f>IFERROR(__xludf.DUMMYFUNCTION("""COMPUTED_VALUE"""),"bn ")</f>
        <v>bn </v>
      </c>
      <c r="H11106" s="42">
        <f t="shared" si="1"/>
        <v>3345</v>
      </c>
    </row>
    <row r="11107" ht="22.5" customHeight="1">
      <c r="B11107" s="42" t="str">
        <f>IFERROR(__xludf.DUMMYFUNCTION("""COMPUTED_VALUE"""),"ABMJFRBG")</f>
        <v>ABMJFRBG</v>
      </c>
      <c r="C11107" s="42" t="str">
        <f>IFERROR(__xludf.DUMMYFUNCTION("""COMPUTED_VALUE"""),"B.17737 KEMILING PERMAI")</f>
        <v>B.17737 KEMILING PERMAI</v>
      </c>
      <c r="D11107" s="42"/>
      <c r="E11107" s="42"/>
      <c r="F11107" s="48" t="str">
        <f>IFERROR(__xludf.DUMMYFUNCTION("""COMPUTED_VALUE"""),"")</f>
        <v/>
      </c>
      <c r="G11107" s="42" t="str">
        <f>IFERROR(__xludf.DUMMYFUNCTION("""COMPUTED_VALUE"""),"PH")</f>
        <v>PH</v>
      </c>
      <c r="H11107" s="42">
        <f t="shared" si="1"/>
        <v>3345</v>
      </c>
    </row>
    <row r="11108" ht="22.5" customHeight="1">
      <c r="B11108" s="42" t="str">
        <f>IFERROR(__xludf.DUMMYFUNCTION("""COMPUTED_VALUE"""),"ABHYZMHY")</f>
        <v>ABHYZMHY</v>
      </c>
      <c r="C11108" s="42" t="str">
        <f>IFERROR(__xludf.DUMMYFUNCTION("""COMPUTED_VALUE"""),"NIBEL 357 KEMILING PERMAI")</f>
        <v>NIBEL 357 KEMILING PERMAI</v>
      </c>
      <c r="D11108" s="42"/>
      <c r="E11108" s="42"/>
      <c r="F11108" s="48" t="str">
        <f>IFERROR(__xludf.DUMMYFUNCTION("""COMPUTED_VALUE"""),"")</f>
        <v/>
      </c>
      <c r="G11108" s="42" t="str">
        <f>IFERROR(__xludf.DUMMYFUNCTION("""COMPUTED_VALUE"""),"PH")</f>
        <v>PH</v>
      </c>
      <c r="H11108" s="42">
        <f t="shared" si="1"/>
        <v>3345</v>
      </c>
    </row>
    <row r="11109" ht="22.5" customHeight="1">
      <c r="B11109" s="42" t="str">
        <f>IFERROR(__xludf.DUMMYFUNCTION("""COMPUTED_VALUE"""),"ABEZGJOR")</f>
        <v>ABEZGJOR</v>
      </c>
      <c r="C11109" s="42" t="str">
        <f>IFERROR(__xludf.DUMMYFUNCTION("""COMPUTED_VALUE"""),"NIBEL B. 17801 KEMILING PERMAI")</f>
        <v>NIBEL B. 17801 KEMILING PERMAI</v>
      </c>
      <c r="D11109" s="42"/>
      <c r="E11109" s="42"/>
      <c r="F11109" s="48" t="str">
        <f>IFERROR(__xludf.DUMMYFUNCTION("""COMPUTED_VALUE"""),"")</f>
        <v/>
      </c>
      <c r="G11109" s="42" t="str">
        <f>IFERROR(__xludf.DUMMYFUNCTION("""COMPUTED_VALUE"""),"PH")</f>
        <v>PH</v>
      </c>
      <c r="H11109" s="42">
        <f t="shared" si="1"/>
        <v>3345</v>
      </c>
    </row>
    <row r="11110" ht="22.5" customHeight="1">
      <c r="B11110" s="42" t="str">
        <f>IFERROR(__xludf.DUMMYFUNCTION("""COMPUTED_VALUE"""),"ABKTYRDW")</f>
        <v>ABKTYRDW</v>
      </c>
      <c r="C11110" s="42" t="str">
        <f>IFERROR(__xludf.DUMMYFUNCTION("""COMPUTED_VALUE"""),"NIBEL B. 17722 KEMILING PERMAI")</f>
        <v>NIBEL B. 17722 KEMILING PERMAI</v>
      </c>
      <c r="D11110" s="42"/>
      <c r="E11110" s="42"/>
      <c r="F11110" s="48" t="str">
        <f>IFERROR(__xludf.DUMMYFUNCTION("""COMPUTED_VALUE"""),"")</f>
        <v/>
      </c>
      <c r="G11110" s="42" t="str">
        <f>IFERROR(__xludf.DUMMYFUNCTION("""COMPUTED_VALUE"""),"PH")</f>
        <v>PH</v>
      </c>
      <c r="H11110" s="42">
        <f t="shared" si="1"/>
        <v>3345</v>
      </c>
    </row>
    <row r="11111" ht="22.5" customHeight="1">
      <c r="B11111" s="42" t="str">
        <f>IFERROR(__xludf.DUMMYFUNCTION("""COMPUTED_VALUE"""),"ABXYRWYU")</f>
        <v>ABXYRWYU</v>
      </c>
      <c r="C11111" s="42" t="str">
        <f>IFERROR(__xludf.DUMMYFUNCTION("""COMPUTED_VALUE"""),"NIBEL B.17798 KEMILING PERMAI")</f>
        <v>NIBEL B.17798 KEMILING PERMAI</v>
      </c>
      <c r="D11111" s="42"/>
      <c r="E11111" s="42"/>
      <c r="F11111" s="48" t="str">
        <f>IFERROR(__xludf.DUMMYFUNCTION("""COMPUTED_VALUE"""),"")</f>
        <v/>
      </c>
      <c r="G11111" s="42" t="str">
        <f>IFERROR(__xludf.DUMMYFUNCTION("""COMPUTED_VALUE"""),"PH")</f>
        <v>PH</v>
      </c>
      <c r="H11111" s="42">
        <f t="shared" si="1"/>
        <v>3345</v>
      </c>
    </row>
    <row r="11112" ht="22.5" customHeight="1">
      <c r="B11112" s="42" t="str">
        <f>IFERROR(__xludf.DUMMYFUNCTION("""COMPUTED_VALUE"""),"ABRXOEON")</f>
        <v>ABRXOEON</v>
      </c>
      <c r="C11112" s="42" t="str">
        <f>IFERROR(__xludf.DUMMYFUNCTION("""COMPUTED_VALUE"""),"NIBEL B.17812 KEMILING PERMAI")</f>
        <v>NIBEL B.17812 KEMILING PERMAI</v>
      </c>
      <c r="D11112" s="42"/>
      <c r="E11112" s="42"/>
      <c r="F11112" s="48" t="str">
        <f>IFERROR(__xludf.DUMMYFUNCTION("""COMPUTED_VALUE"""),"")</f>
        <v/>
      </c>
      <c r="G11112" s="42" t="str">
        <f>IFERROR(__xludf.DUMMYFUNCTION("""COMPUTED_VALUE"""),"PH")</f>
        <v>PH</v>
      </c>
      <c r="H11112" s="42">
        <f t="shared" si="1"/>
        <v>3345</v>
      </c>
    </row>
    <row r="11113" ht="22.5" customHeight="1">
      <c r="B11113" s="42" t="str">
        <f>IFERROR(__xludf.DUMMYFUNCTION("""COMPUTED_VALUE"""),"ABFHIRRU")</f>
        <v>ABFHIRRU</v>
      </c>
      <c r="C11113" s="42" t="str">
        <f>IFERROR(__xludf.DUMMYFUNCTION("""COMPUTED_VALUE"""),"NIBEL B.17811 KEMILING PERMAI")</f>
        <v>NIBEL B.17811 KEMILING PERMAI</v>
      </c>
      <c r="D11113" s="42"/>
      <c r="E11113" s="42"/>
      <c r="F11113" s="48" t="str">
        <f>IFERROR(__xludf.DUMMYFUNCTION("""COMPUTED_VALUE"""),"")</f>
        <v/>
      </c>
      <c r="G11113" s="42" t="str">
        <f>IFERROR(__xludf.DUMMYFUNCTION("""COMPUTED_VALUE"""),"PH")</f>
        <v>PH</v>
      </c>
      <c r="H11113" s="42">
        <f t="shared" si="1"/>
        <v>3345</v>
      </c>
    </row>
    <row r="11114" ht="22.5" customHeight="1">
      <c r="B11114" s="42" t="str">
        <f>IFERROR(__xludf.DUMMYFUNCTION("""COMPUTED_VALUE"""),"ABCXXQKQ")</f>
        <v>ABCXXQKQ</v>
      </c>
      <c r="C11114" s="42" t="str">
        <f>IFERROR(__xludf.DUMMYFUNCTION("""COMPUTED_VALUE"""),"NIBEL B.117796 KEMILING PERMAI")</f>
        <v>NIBEL B.117796 KEMILING PERMAI</v>
      </c>
      <c r="D11114" s="42"/>
      <c r="E11114" s="42"/>
      <c r="F11114" s="48" t="str">
        <f>IFERROR(__xludf.DUMMYFUNCTION("""COMPUTED_VALUE"""),"")</f>
        <v/>
      </c>
      <c r="G11114" s="42" t="str">
        <f>IFERROR(__xludf.DUMMYFUNCTION("""COMPUTED_VALUE"""),"PH")</f>
        <v>PH</v>
      </c>
      <c r="H11114" s="42">
        <f t="shared" si="1"/>
        <v>3345</v>
      </c>
    </row>
    <row r="11115" ht="22.5" customHeight="1">
      <c r="B11115" s="42" t="str">
        <f>IFERROR(__xludf.DUMMYFUNCTION("""COMPUTED_VALUE"""),"ABQDDHDY")</f>
        <v>ABQDDHDY</v>
      </c>
      <c r="C11115" s="42" t="str">
        <f>IFERROR(__xludf.DUMMYFUNCTION("""COMPUTED_VALUE"""),"NIBEL B.17802 KEMILING PERMAI")</f>
        <v>NIBEL B.17802 KEMILING PERMAI</v>
      </c>
      <c r="D11115" s="42"/>
      <c r="E11115" s="42"/>
      <c r="F11115" s="48" t="str">
        <f>IFERROR(__xludf.DUMMYFUNCTION("""COMPUTED_VALUE"""),"")</f>
        <v/>
      </c>
      <c r="G11115" s="42" t="str">
        <f>IFERROR(__xludf.DUMMYFUNCTION("""COMPUTED_VALUE"""),"PH")</f>
        <v>PH</v>
      </c>
      <c r="H11115" s="42">
        <f t="shared" si="1"/>
        <v>3345</v>
      </c>
    </row>
    <row r="11116" ht="22.5" customHeight="1">
      <c r="B11116" s="42" t="str">
        <f>IFERROR(__xludf.DUMMYFUNCTION("""COMPUTED_VALUE"""),"ABHRRAAC")</f>
        <v>ABHRRAAC</v>
      </c>
      <c r="C11116" s="42" t="str">
        <f>IFERROR(__xludf.DUMMYFUNCTION("""COMPUTED_VALUE"""),"NIBEL B.17747 KEMILING PERMAI")</f>
        <v>NIBEL B.17747 KEMILING PERMAI</v>
      </c>
      <c r="D11116" s="42"/>
      <c r="E11116" s="42"/>
      <c r="F11116" s="48" t="str">
        <f>IFERROR(__xludf.DUMMYFUNCTION("""COMPUTED_VALUE"""),"")</f>
        <v/>
      </c>
      <c r="G11116" s="42" t="str">
        <f>IFERROR(__xludf.DUMMYFUNCTION("""COMPUTED_VALUE"""),"PH")</f>
        <v>PH</v>
      </c>
      <c r="H11116" s="42">
        <f t="shared" si="1"/>
        <v>3345</v>
      </c>
    </row>
    <row r="11117" ht="22.5" customHeight="1">
      <c r="B11117" s="42" t="str">
        <f>IFERROR(__xludf.DUMMYFUNCTION("""COMPUTED_VALUE"""),"ABPKTOUX")</f>
        <v>ABPKTOUX</v>
      </c>
      <c r="C11117" s="42" t="str">
        <f>IFERROR(__xludf.DUMMYFUNCTION("""COMPUTED_VALUE"""),"NIBEL B.17752 KEMILING PERMAI")</f>
        <v>NIBEL B.17752 KEMILING PERMAI</v>
      </c>
      <c r="D11117" s="42"/>
      <c r="E11117" s="42"/>
      <c r="F11117" s="48" t="str">
        <f>IFERROR(__xludf.DUMMYFUNCTION("""COMPUTED_VALUE"""),"")</f>
        <v/>
      </c>
      <c r="G11117" s="42" t="str">
        <f>IFERROR(__xludf.DUMMYFUNCTION("""COMPUTED_VALUE"""),"PH")</f>
        <v>PH</v>
      </c>
      <c r="H11117" s="42">
        <f t="shared" si="1"/>
        <v>3345</v>
      </c>
    </row>
    <row r="11118" ht="22.5" customHeight="1">
      <c r="B11118" s="42" t="str">
        <f>IFERROR(__xludf.DUMMYFUNCTION("""COMPUTED_VALUE"""),"ABUYQTCS")</f>
        <v>ABUYQTCS</v>
      </c>
      <c r="C11118" s="42" t="str">
        <f>IFERROR(__xludf.DUMMYFUNCTION("""COMPUTED_VALUE"""),"NIBEL B.17736 KEMILING PERMAI")</f>
        <v>NIBEL B.17736 KEMILING PERMAI</v>
      </c>
      <c r="D11118" s="42"/>
      <c r="E11118" s="42"/>
      <c r="F11118" s="48" t="str">
        <f>IFERROR(__xludf.DUMMYFUNCTION("""COMPUTED_VALUE"""),"")</f>
        <v/>
      </c>
      <c r="G11118" s="42" t="str">
        <f>IFERROR(__xludf.DUMMYFUNCTION("""COMPUTED_VALUE"""),"PH")</f>
        <v>PH</v>
      </c>
      <c r="H11118" s="42">
        <f t="shared" si="1"/>
        <v>3345</v>
      </c>
    </row>
    <row r="11119" ht="22.5" customHeight="1">
      <c r="B11119" s="42" t="str">
        <f>IFERROR(__xludf.DUMMYFUNCTION("""COMPUTED_VALUE"""),"ABRJDCSD")</f>
        <v>ABRJDCSD</v>
      </c>
      <c r="C11119" s="42" t="str">
        <f>IFERROR(__xludf.DUMMYFUNCTION("""COMPUTED_VALUE"""),"NIBEL B.359 KEMILING PERMAI")</f>
        <v>NIBEL B.359 KEMILING PERMAI</v>
      </c>
      <c r="D11119" s="42"/>
      <c r="E11119" s="42"/>
      <c r="F11119" s="48" t="str">
        <f>IFERROR(__xludf.DUMMYFUNCTION("""COMPUTED_VALUE"""),"")</f>
        <v/>
      </c>
      <c r="G11119" s="42" t="str">
        <f>IFERROR(__xludf.DUMMYFUNCTION("""COMPUTED_VALUE"""),"PH")</f>
        <v>PH</v>
      </c>
      <c r="H11119" s="42">
        <f t="shared" si="1"/>
        <v>3345</v>
      </c>
    </row>
    <row r="11120" ht="22.5" customHeight="1">
      <c r="B11120" s="42" t="str">
        <f>IFERROR(__xludf.DUMMYFUNCTION("""COMPUTED_VALUE"""),"ABNNUBAT/AB016")</f>
        <v>ABNNUBAT/AB016</v>
      </c>
      <c r="C11120" s="42" t="str">
        <f>IFERROR(__xludf.DUMMYFUNCTION("""COMPUTED_VALUE"""),"M. NIBEL 25414/Kemiling Raya ")</f>
        <v>M. NIBEL 25414/Kemiling Raya </v>
      </c>
      <c r="D11120" s="42"/>
      <c r="E11120" s="42"/>
      <c r="F11120" s="48" t="str">
        <f>IFERROR(__xludf.DUMMYFUNCTION("""COMPUTED_VALUE"""),"")</f>
        <v/>
      </c>
      <c r="G11120" s="42" t="str">
        <f>IFERROR(__xludf.DUMMYFUNCTION("""COMPUTED_VALUE"""),"Peralihan Hak Jual Beli")</f>
        <v>Peralihan Hak Jual Beli</v>
      </c>
      <c r="H11120" s="42">
        <f t="shared" si="1"/>
        <v>3345</v>
      </c>
    </row>
    <row r="11121" ht="22.5" customHeight="1">
      <c r="B11121" s="42" t="str">
        <f>IFERROR(__xludf.DUMMYFUNCTION("""COMPUTED_VALUE"""),"ABESRNKL/AB016")</f>
        <v>ABESRNKL/AB016</v>
      </c>
      <c r="C11121" s="42" t="str">
        <f>IFERROR(__xludf.DUMMYFUNCTION("""COMPUTED_VALUE"""),"M. NIBEL 25424/Kemiling Raya ")</f>
        <v>M. NIBEL 25424/Kemiling Raya </v>
      </c>
      <c r="D11121" s="42"/>
      <c r="E11121" s="42"/>
      <c r="F11121" s="48" t="str">
        <f>IFERROR(__xludf.DUMMYFUNCTION("""COMPUTED_VALUE"""),"")</f>
        <v/>
      </c>
      <c r="G11121" s="42" t="str">
        <f>IFERROR(__xludf.DUMMYFUNCTION("""COMPUTED_VALUE"""),"Peralihan Hak Jual Beli")</f>
        <v>Peralihan Hak Jual Beli</v>
      </c>
      <c r="H11121" s="42">
        <f t="shared" si="1"/>
        <v>3345</v>
      </c>
    </row>
    <row r="11122" ht="22.5" customHeight="1">
      <c r="B11122" s="42" t="str">
        <f>IFERROR(__xludf.DUMMYFUNCTION("""COMPUTED_VALUE"""),"ABJUDCAC/AB016")</f>
        <v>ABJUDCAC/AB016</v>
      </c>
      <c r="C11122" s="42" t="str">
        <f>IFERROR(__xludf.DUMMYFUNCTION("""COMPUTED_VALUE"""),"M. NIBEL 16572/KEMILING RAYA")</f>
        <v>M. NIBEL 16572/KEMILING RAYA</v>
      </c>
      <c r="D11122" s="42"/>
      <c r="E11122" s="42"/>
      <c r="F11122" s="48" t="str">
        <f>IFERROR(__xludf.DUMMYFUNCTION("""COMPUTED_VALUE"""),"")</f>
        <v/>
      </c>
      <c r="G11122" s="42" t="str">
        <f>IFERROR(__xludf.DUMMYFUNCTION("""COMPUTED_VALUE"""),"Peralihan Hak Jual Beli")</f>
        <v>Peralihan Hak Jual Beli</v>
      </c>
      <c r="H11122" s="42">
        <f t="shared" si="1"/>
        <v>3345</v>
      </c>
    </row>
    <row r="11123" ht="22.5" customHeight="1">
      <c r="B11123" s="42" t="str">
        <f>IFERROR(__xludf.DUMMYFUNCTION("""COMPUTED_VALUE"""),"ABGVATUT/AB016")</f>
        <v>ABGVATUT/AB016</v>
      </c>
      <c r="C11123" s="42" t="str">
        <f>IFERROR(__xludf.DUMMYFUNCTION("""COMPUTED_VALUE"""),"M. NIBEL 25405/Kemiling Raya ")</f>
        <v>M. NIBEL 25405/Kemiling Raya </v>
      </c>
      <c r="D11123" s="42"/>
      <c r="E11123" s="42"/>
      <c r="F11123" s="48" t="str">
        <f>IFERROR(__xludf.DUMMYFUNCTION("""COMPUTED_VALUE"""),"")</f>
        <v/>
      </c>
      <c r="G11123" s="42" t="str">
        <f>IFERROR(__xludf.DUMMYFUNCTION("""COMPUTED_VALUE"""),"Peralihan Hak Jual Beli")</f>
        <v>Peralihan Hak Jual Beli</v>
      </c>
      <c r="H11123" s="42">
        <f t="shared" si="1"/>
        <v>3345</v>
      </c>
    </row>
    <row r="11124" ht="22.5" customHeight="1">
      <c r="B11124" s="42" t="str">
        <f>IFERROR(__xludf.DUMMYFUNCTION("""COMPUTED_VALUE"""),"K/16/270226/1")</f>
        <v>K/16/270226/1</v>
      </c>
      <c r="C11124" s="42" t="str">
        <f>IFERROR(__xludf.DUMMYFUNCTION("""COMPUTED_VALUE"""),"M. 19161/SUKARAME")</f>
        <v>M. 19161/SUKARAME</v>
      </c>
      <c r="D11124" s="42"/>
      <c r="E11124" s="42"/>
      <c r="F11124" s="48" t="str">
        <f>IFERROR(__xludf.DUMMYFUNCTION("""COMPUTED_VALUE"""),"")</f>
        <v/>
      </c>
      <c r="G11124" s="42" t="str">
        <f>IFERROR(__xludf.DUMMYFUNCTION("""COMPUTED_VALUE"""),"SKPT LELANG")</f>
        <v>SKPT LELANG</v>
      </c>
      <c r="H11124" s="42">
        <f t="shared" si="1"/>
        <v>3345</v>
      </c>
    </row>
    <row r="11125" ht="22.5" customHeight="1">
      <c r="B11125" s="42" t="str">
        <f>IFERROR(__xludf.DUMMYFUNCTION("""COMPUTED_VALUE"""),"AB023/ABKGJISM")</f>
        <v>AB023/ABKGJISM</v>
      </c>
      <c r="C11125" s="42" t="str">
        <f>IFERROR(__xludf.DUMMYFUNCTION("""COMPUTED_VALUE"""),"M.4933/SUKADANA HAM")</f>
        <v>M.4933/SUKADANA HAM</v>
      </c>
      <c r="D11125" s="42"/>
      <c r="E11125" s="42"/>
      <c r="F11125" s="48" t="str">
        <f>IFERROR(__xludf.DUMMYFUNCTION("""COMPUTED_VALUE"""),"")</f>
        <v/>
      </c>
      <c r="G11125" s="42" t="str">
        <f>IFERROR(__xludf.DUMMYFUNCTION("""COMPUTED_VALUE"""),"Balik nama")</f>
        <v>Balik nama</v>
      </c>
      <c r="H11125" s="42">
        <f t="shared" si="1"/>
        <v>3345</v>
      </c>
    </row>
    <row r="11126" ht="22.5" customHeight="1">
      <c r="B11126" s="42" t="str">
        <f>IFERROR(__xludf.DUMMYFUNCTION("""COMPUTED_VALUE"""),"K/1/280126/1")</f>
        <v>K/1/280126/1</v>
      </c>
      <c r="C11126" s="42" t="str">
        <f>IFERROR(__xludf.DUMMYFUNCTION("""COMPUTED_VALUE"""),"M. 3997/TANJUNG SENANG")</f>
        <v>M. 3997/TANJUNG SENANG</v>
      </c>
      <c r="D11126" s="42"/>
      <c r="E11126" s="42"/>
      <c r="F11126" s="48" t="str">
        <f>IFERROR(__xludf.DUMMYFUNCTION("""COMPUTED_VALUE"""),"")</f>
        <v/>
      </c>
      <c r="G11126" s="42" t="str">
        <f>IFERROR(__xludf.DUMMYFUNCTION("""COMPUTED_VALUE"""),"SKPT LELANG")</f>
        <v>SKPT LELANG</v>
      </c>
      <c r="H11126" s="42">
        <f t="shared" si="1"/>
        <v>3345</v>
      </c>
    </row>
    <row r="11127" ht="22.5" customHeight="1">
      <c r="B11127" s="42" t="str">
        <f>IFERROR(__xludf.DUMMYFUNCTION("""COMPUTED_VALUE"""),"AB023/ABOEMDOX")</f>
        <v>AB023/ABOEMDOX</v>
      </c>
      <c r="C11127" s="42" t="str">
        <f>IFERROR(__xludf.DUMMYFUNCTION("""COMPUTED_VALUE"""),"Nibel. 23729 Labuhan Dalam")</f>
        <v>Nibel. 23729 Labuhan Dalam</v>
      </c>
      <c r="D11127" s="42"/>
      <c r="E11127" s="42"/>
      <c r="F11127" s="48" t="str">
        <f>IFERROR(__xludf.DUMMYFUNCTION("""COMPUTED_VALUE"""),"")</f>
        <v/>
      </c>
      <c r="G11127" s="42" t="str">
        <f>IFERROR(__xludf.DUMMYFUNCTION("""COMPUTED_VALUE"""),"Balik nama")</f>
        <v>Balik nama</v>
      </c>
      <c r="H11127" s="42">
        <f t="shared" si="1"/>
        <v>3345</v>
      </c>
    </row>
    <row r="11128" ht="22.5" customHeight="1">
      <c r="B11128" s="42" t="str">
        <f>IFERROR(__xludf.DUMMYFUNCTION("""COMPUTED_VALUE"""),"K/2/280126/2")</f>
        <v>K/2/280126/2</v>
      </c>
      <c r="C11128" s="42" t="str">
        <f>IFERROR(__xludf.DUMMYFUNCTION("""COMPUTED_VALUE"""),"M. 4008/TANJUNG SENANG")</f>
        <v>M. 4008/TANJUNG SENANG</v>
      </c>
      <c r="D11128" s="42"/>
      <c r="E11128" s="42"/>
      <c r="F11128" s="48" t="str">
        <f>IFERROR(__xludf.DUMMYFUNCTION("""COMPUTED_VALUE"""),"")</f>
        <v/>
      </c>
      <c r="G11128" s="42" t="str">
        <f>IFERROR(__xludf.DUMMYFUNCTION("""COMPUTED_VALUE"""),"SKPT LELANG")</f>
        <v>SKPT LELANG</v>
      </c>
      <c r="H11128" s="42">
        <f t="shared" si="1"/>
        <v>3345</v>
      </c>
    </row>
    <row r="11129" ht="22.5" customHeight="1">
      <c r="B11129" s="42" t="str">
        <f>IFERROR(__xludf.DUMMYFUNCTION("""COMPUTED_VALUE"""),"ABMFEBYM")</f>
        <v>ABMFEBYM</v>
      </c>
      <c r="C11129" s="42" t="str">
        <f>IFERROR(__xludf.DUMMYFUNCTION("""COMPUTED_VALUE"""),"00532/KORPRIJAYA")</f>
        <v>00532/KORPRIJAYA</v>
      </c>
      <c r="D11129" s="42"/>
      <c r="E11129" s="42"/>
      <c r="F11129" s="48" t="str">
        <f>IFERROR(__xludf.DUMMYFUNCTION("""COMPUTED_VALUE"""),"")</f>
        <v/>
      </c>
      <c r="G11129" s="42" t="str">
        <f>IFERROR(__xludf.DUMMYFUNCTION("""COMPUTED_VALUE"""),"PERALIHAN HAK - JUAL BELI")</f>
        <v>PERALIHAN HAK - JUAL BELI</v>
      </c>
      <c r="H11129" s="42">
        <f t="shared" si="1"/>
        <v>3345</v>
      </c>
    </row>
    <row r="11130" ht="22.5" customHeight="1">
      <c r="B11130" s="42" t="str">
        <f>IFERROR(__xludf.DUMMYFUNCTION("""COMPUTED_VALUE"""),"ABGVMKWJ")</f>
        <v>ABGVMKWJ</v>
      </c>
      <c r="C11130" s="42" t="str">
        <f>IFERROR(__xludf.DUMMYFUNCTION("""COMPUTED_VALUE"""),"12572/KEDAMAIAN")</f>
        <v>12572/KEDAMAIAN</v>
      </c>
      <c r="D11130" s="42"/>
      <c r="E11130" s="42"/>
      <c r="F11130" s="48" t="str">
        <f>IFERROR(__xludf.DUMMYFUNCTION("""COMPUTED_VALUE"""),"")</f>
        <v/>
      </c>
      <c r="G11130" s="42" t="str">
        <f>IFERROR(__xludf.DUMMYFUNCTION("""COMPUTED_VALUE"""),"GANTI DESA")</f>
        <v>GANTI DESA</v>
      </c>
      <c r="H11130" s="42">
        <f t="shared" si="1"/>
        <v>3345</v>
      </c>
    </row>
    <row r="11131" ht="22.5" customHeight="1">
      <c r="B11131" s="42" t="str">
        <f>IFERROR(__xludf.DUMMYFUNCTION("""COMPUTED_VALUE"""),"ABZKBUMK/AB022/28022026")</f>
        <v>ABZKBUMK/AB022/28022026</v>
      </c>
      <c r="C11131" s="42" t="str">
        <f>IFERROR(__xludf.DUMMYFUNCTION("""COMPUTED_VALUE"""),"NIB. 08.01.000023088.0")</f>
        <v>NIB. 08.01.000023088.0</v>
      </c>
      <c r="D11131" s="42"/>
      <c r="E11131" s="42"/>
      <c r="F11131" s="48" t="str">
        <f>IFERROR(__xludf.DUMMYFUNCTION("""COMPUTED_VALUE"""),"")</f>
        <v/>
      </c>
      <c r="G11131" s="42" t="str">
        <f>IFERROR(__xludf.DUMMYFUNCTION("""COMPUTED_VALUE"""),"Balik Nama")</f>
        <v>Balik Nama</v>
      </c>
      <c r="H11131" s="42">
        <f t="shared" si="1"/>
        <v>3345</v>
      </c>
    </row>
    <row r="11132" ht="22.5" customHeight="1">
      <c r="B11132" s="42" t="str">
        <f>IFERROR(__xludf.DUMMYFUNCTION("""COMPUTED_VALUE"""),"K/3/280126/1")</f>
        <v>K/3/280126/1</v>
      </c>
      <c r="C11132" s="42" t="str">
        <f>IFERROR(__xludf.DUMMYFUNCTION("""COMPUTED_VALUE"""),"M. 1807/TANJUNG SENANG")</f>
        <v>M. 1807/TANJUNG SENANG</v>
      </c>
      <c r="D11132" s="42"/>
      <c r="E11132" s="42"/>
      <c r="F11132" s="48" t="str">
        <f>IFERROR(__xludf.DUMMYFUNCTION("""COMPUTED_VALUE"""),"")</f>
        <v/>
      </c>
      <c r="G11132" s="42" t="str">
        <f>IFERROR(__xludf.DUMMYFUNCTION("""COMPUTED_VALUE"""),"SERTIPIKAT HILANG")</f>
        <v>SERTIPIKAT HILANG</v>
      </c>
      <c r="H11132" s="42">
        <f t="shared" si="1"/>
        <v>3345</v>
      </c>
    </row>
    <row r="11133" ht="22.5" customHeight="1">
      <c r="B11133" s="42" t="str">
        <f>IFERROR(__xludf.DUMMYFUNCTION("""COMPUTED_VALUE"""),"K/4/280126/1")</f>
        <v>K/4/280126/1</v>
      </c>
      <c r="C11133" s="42" t="str">
        <f>IFERROR(__xludf.DUMMYFUNCTION("""COMPUTED_VALUE"""),"B. 865/PERUMNAS WAY KANDIS")</f>
        <v>B. 865/PERUMNAS WAY KANDIS</v>
      </c>
      <c r="D11133" s="42"/>
      <c r="E11133" s="42"/>
      <c r="F11133" s="48" t="str">
        <f>IFERROR(__xludf.DUMMYFUNCTION("""COMPUTED_VALUE"""),"")</f>
        <v/>
      </c>
      <c r="G11133" s="42" t="str">
        <f>IFERROR(__xludf.DUMMYFUNCTION("""COMPUTED_VALUE"""),"BN WARIS")</f>
        <v>BN WARIS</v>
      </c>
      <c r="H11133" s="42">
        <f t="shared" si="1"/>
        <v>3345</v>
      </c>
    </row>
    <row r="11134" ht="22.5" customHeight="1">
      <c r="B11134" s="42" t="str">
        <f>IFERROR(__xludf.DUMMYFUNCTION("""COMPUTED_VALUE"""),"Ab 25 abzgbfbp")</f>
        <v>Ab 25 abzgbfbp</v>
      </c>
      <c r="C11134" s="42" t="str">
        <f>IFERROR(__xludf.DUMMYFUNCTION("""COMPUTED_VALUE"""),"Nib 29891")</f>
        <v>Nib 29891</v>
      </c>
      <c r="D11134" s="42"/>
      <c r="E11134" s="42"/>
      <c r="F11134" s="48" t="str">
        <f>IFERROR(__xludf.DUMMYFUNCTION("""COMPUTED_VALUE"""),"")</f>
        <v/>
      </c>
      <c r="G11134" s="42" t="str">
        <f>IFERROR(__xludf.DUMMYFUNCTION("""COMPUTED_VALUE"""),"Balik nama")</f>
        <v>Balik nama</v>
      </c>
      <c r="H11134" s="42">
        <f t="shared" si="1"/>
        <v>3345</v>
      </c>
    </row>
    <row r="11135" ht="22.5" customHeight="1">
      <c r="B11135" s="42" t="str">
        <f>IFERROR(__xludf.DUMMYFUNCTION("""COMPUTED_VALUE"""),"AB026")</f>
        <v>AB026</v>
      </c>
      <c r="C11135" s="42" t="str">
        <f>IFERROR(__xludf.DUMMYFUNCTION("""COMPUTED_VALUE"""),"00172")</f>
        <v>00172</v>
      </c>
      <c r="D11135" s="42"/>
      <c r="E11135" s="42"/>
      <c r="F11135" s="48" t="str">
        <f>IFERROR(__xludf.DUMMYFUNCTION("""COMPUTED_VALUE"""),"")</f>
        <v/>
      </c>
      <c r="G11135" s="42" t="str">
        <f>IFERROR(__xludf.DUMMYFUNCTION("""COMPUTED_VALUE"""),"Waris")</f>
        <v>Waris</v>
      </c>
      <c r="H11135" s="42">
        <f t="shared" si="1"/>
        <v>3345</v>
      </c>
    </row>
    <row r="11136" ht="22.5" customHeight="1">
      <c r="B11136" s="42" t="str">
        <f>IFERROR(__xludf.DUMMYFUNCTION("""COMPUTED_VALUE"""),"ABFHIDKZ/AB027")</f>
        <v>ABFHIDKZ/AB027</v>
      </c>
      <c r="C11136" s="42" t="str">
        <f>IFERROR(__xludf.DUMMYFUNCTION("""COMPUTED_VALUE"""),"M.1253/WHP/Way Halim Permai")</f>
        <v>M.1253/WHP/Way Halim Permai</v>
      </c>
      <c r="D11136" s="42"/>
      <c r="E11136" s="42"/>
      <c r="F11136" s="48" t="str">
        <f>IFERROR(__xludf.DUMMYFUNCTION("""COMPUTED_VALUE"""),"")</f>
        <v/>
      </c>
      <c r="G11136" s="42" t="str">
        <f>IFERROR(__xludf.DUMMYFUNCTION("""COMPUTED_VALUE"""),"BN waris ")</f>
        <v>BN waris </v>
      </c>
      <c r="H11136" s="42">
        <f t="shared" si="1"/>
        <v>3345</v>
      </c>
    </row>
    <row r="11137" ht="22.5" customHeight="1">
      <c r="B11137" s="42" t="str">
        <f>IFERROR(__xludf.DUMMYFUNCTION("""COMPUTED_VALUE"""),"ABPFQBRY/AB020")</f>
        <v>ABPFQBRY/AB020</v>
      </c>
      <c r="C11137" s="42" t="str">
        <f>IFERROR(__xludf.DUMMYFUNCTION("""COMPUTED_VALUE"""),"M. 1088/Pematang Wangi")</f>
        <v>M. 1088/Pematang Wangi</v>
      </c>
      <c r="D11137" s="42"/>
      <c r="E11137" s="42"/>
      <c r="F11137" s="48" t="str">
        <f>IFERROR(__xludf.DUMMYFUNCTION("""COMPUTED_VALUE"""),"")</f>
        <v/>
      </c>
      <c r="G11137" s="42" t="str">
        <f>IFERROR(__xludf.DUMMYFUNCTION("""COMPUTED_VALUE"""),"Peralihan Hak Jual Beli")</f>
        <v>Peralihan Hak Jual Beli</v>
      </c>
      <c r="H11137" s="42">
        <f t="shared" si="1"/>
        <v>3345</v>
      </c>
    </row>
    <row r="11138" ht="22.5" customHeight="1">
      <c r="B11138" s="42" t="str">
        <f>IFERROR(__xludf.DUMMYFUNCTION("""COMPUTED_VALUE"""),"AB029/ABRUAYAG")</f>
        <v>AB029/ABRUAYAG</v>
      </c>
      <c r="C11138" s="42" t="str">
        <f>IFERROR(__xludf.DUMMYFUNCTION("""COMPUTED_VALUE"""),"nibel 08.01.000023674.0")</f>
        <v>nibel 08.01.000023674.0</v>
      </c>
      <c r="D11138" s="42"/>
      <c r="E11138" s="42"/>
      <c r="F11138" s="48" t="str">
        <f>IFERROR(__xludf.DUMMYFUNCTION("""COMPUTED_VALUE"""),"")</f>
        <v/>
      </c>
      <c r="G11138" s="42" t="str">
        <f>IFERROR(__xludf.DUMMYFUNCTION("""COMPUTED_VALUE"""),"peralihan hak")</f>
        <v>peralihan hak</v>
      </c>
      <c r="H11138" s="42">
        <f t="shared" si="1"/>
        <v>3345</v>
      </c>
    </row>
    <row r="11139" ht="22.5" customHeight="1">
      <c r="B11139" s="42" t="str">
        <f>IFERROR(__xludf.DUMMYFUNCTION("""COMPUTED_VALUE"""),"AB029/ABBASBBD")</f>
        <v>AB029/ABBASBBD</v>
      </c>
      <c r="C11139" s="42" t="str">
        <f>IFERROR(__xludf.DUMMYFUNCTION("""COMPUTED_VALUE"""),"M.10464/gedung meneng")</f>
        <v>M.10464/gedung meneng</v>
      </c>
      <c r="D11139" s="42"/>
      <c r="E11139" s="42"/>
      <c r="F11139" s="48" t="str">
        <f>IFERROR(__xludf.DUMMYFUNCTION("""COMPUTED_VALUE"""),"")</f>
        <v/>
      </c>
      <c r="G11139" s="42" t="str">
        <f>IFERROR(__xludf.DUMMYFUNCTION("""COMPUTED_VALUE"""),"WARIS")</f>
        <v>WARIS</v>
      </c>
      <c r="H11139" s="42">
        <f t="shared" si="1"/>
        <v>3345</v>
      </c>
    </row>
    <row r="11140" ht="22.5" customHeight="1">
      <c r="B11140" s="42" t="str">
        <f>IFERROR(__xludf.DUMMYFUNCTION("""COMPUTED_VALUE"""),"ABWVMVVQ/AB020")</f>
        <v>ABWVMVVQ/AB020</v>
      </c>
      <c r="C11140" s="42" t="str">
        <f>IFERROR(__xludf.DUMMYFUNCTION("""COMPUTED_VALUE"""),"M. 11862/Sukabumi")</f>
        <v>M. 11862/Sukabumi</v>
      </c>
      <c r="D11140" s="42"/>
      <c r="E11140" s="42"/>
      <c r="F11140" s="48" t="str">
        <f>IFERROR(__xludf.DUMMYFUNCTION("""COMPUTED_VALUE"""),"")</f>
        <v/>
      </c>
      <c r="G11140" s="42" t="str">
        <f>IFERROR(__xludf.DUMMYFUNCTION("""COMPUTED_VALUE"""),"Peralihan Hak Jual Beli")</f>
        <v>Peralihan Hak Jual Beli</v>
      </c>
      <c r="H11140" s="42">
        <f t="shared" si="1"/>
        <v>3345</v>
      </c>
    </row>
    <row r="11141" ht="22.5" customHeight="1">
      <c r="B11141" s="42" t="str">
        <f>IFERROR(__xludf.DUMMYFUNCTION("""COMPUTED_VALUE"""),"L/5/280126/1")</f>
        <v>L/5/280126/1</v>
      </c>
      <c r="C11141" s="42" t="str">
        <f>IFERROR(__xludf.DUMMYFUNCTION("""COMPUTED_VALUE"""),"M.17480, 16798, 9531/SUKARAME I")</f>
        <v>M.17480, 16798, 9531/SUKARAME I</v>
      </c>
      <c r="D11141" s="42"/>
      <c r="E11141" s="42"/>
      <c r="F11141" s="48" t="str">
        <f>IFERROR(__xludf.DUMMYFUNCTION("""COMPUTED_VALUE"""),"")</f>
        <v/>
      </c>
      <c r="G11141" s="42" t="str">
        <f>IFERROR(__xludf.DUMMYFUNCTION("""COMPUTED_VALUE"""),"ROYA")</f>
        <v>ROYA</v>
      </c>
      <c r="H11141" s="42">
        <f t="shared" si="1"/>
        <v>3345</v>
      </c>
    </row>
    <row r="11142" ht="22.5" customHeight="1">
      <c r="B11142" s="42" t="str">
        <f>IFERROR(__xludf.DUMMYFUNCTION("""COMPUTED_VALUE"""),"L/6/280126/1")</f>
        <v>L/6/280126/1</v>
      </c>
      <c r="C11142" s="42" t="str">
        <f>IFERROR(__xludf.DUMMYFUNCTION("""COMPUTED_VALUE"""),"M.264/RAJABASA JAYA")</f>
        <v>M.264/RAJABASA JAYA</v>
      </c>
      <c r="D11142" s="42"/>
      <c r="E11142" s="42"/>
      <c r="F11142" s="48" t="str">
        <f>IFERROR(__xludf.DUMMYFUNCTION("""COMPUTED_VALUE"""),"")</f>
        <v/>
      </c>
      <c r="G11142" s="42" t="str">
        <f>IFERROR(__xludf.DUMMYFUNCTION("""COMPUTED_VALUE"""),"GANTI NAMA ")</f>
        <v>GANTI NAMA </v>
      </c>
      <c r="H11142" s="42">
        <f t="shared" si="1"/>
        <v>3345</v>
      </c>
    </row>
    <row r="11143" ht="22.5" customHeight="1">
      <c r="B11143" s="42" t="str">
        <f>IFERROR(__xludf.DUMMYFUNCTION("""COMPUTED_VALUE"""),"L/7/280126/1")</f>
        <v>L/7/280126/1</v>
      </c>
      <c r="C11143" s="42" t="str">
        <f>IFERROR(__xludf.DUMMYFUNCTION("""COMPUTED_VALUE"""),"M.10881/SUKARAME ")</f>
        <v>M.10881/SUKARAME </v>
      </c>
      <c r="D11143" s="42"/>
      <c r="E11143" s="42"/>
      <c r="F11143" s="48" t="str">
        <f>IFERROR(__xludf.DUMMYFUNCTION("""COMPUTED_VALUE"""),"")</f>
        <v/>
      </c>
      <c r="G11143" s="42" t="str">
        <f>IFERROR(__xludf.DUMMYFUNCTION("""COMPUTED_VALUE"""),"SKPT INFORMASI ")</f>
        <v>SKPT INFORMASI </v>
      </c>
      <c r="H11143" s="42">
        <f t="shared" si="1"/>
        <v>3345</v>
      </c>
    </row>
    <row r="11144" ht="22.5" customHeight="1">
      <c r="B11144" s="42" t="str">
        <f>IFERROR(__xludf.DUMMYFUNCTION("""COMPUTED_VALUE"""),"L/8/280126/1")</f>
        <v>L/8/280126/1</v>
      </c>
      <c r="C11144" s="42" t="str">
        <f>IFERROR(__xludf.DUMMYFUNCTION("""COMPUTED_VALUE"""),"M.2255/PERUMNAS WAY HALIM")</f>
        <v>M.2255/PERUMNAS WAY HALIM</v>
      </c>
      <c r="D11144" s="42"/>
      <c r="E11144" s="42"/>
      <c r="F11144" s="48" t="str">
        <f>IFERROR(__xludf.DUMMYFUNCTION("""COMPUTED_VALUE"""),"")</f>
        <v/>
      </c>
      <c r="G11144" s="42" t="str">
        <f>IFERROR(__xludf.DUMMYFUNCTION("""COMPUTED_VALUE"""),"SKPT INFORMASI")</f>
        <v>SKPT INFORMASI</v>
      </c>
      <c r="H11144" s="42">
        <f t="shared" si="1"/>
        <v>3345</v>
      </c>
    </row>
    <row r="11145" ht="22.5" customHeight="1">
      <c r="B11145" s="42" t="str">
        <f>IFERROR(__xludf.DUMMYFUNCTION("""COMPUTED_VALUE"""),"L/9/280126/1")</f>
        <v>L/9/280126/1</v>
      </c>
      <c r="C11145" s="42" t="str">
        <f>IFERROR(__xludf.DUMMYFUNCTION("""COMPUTED_VALUE"""),"M.1796/TANJUNG SENENG")</f>
        <v>M.1796/TANJUNG SENENG</v>
      </c>
      <c r="D11145" s="42"/>
      <c r="E11145" s="42"/>
      <c r="F11145" s="48" t="str">
        <f>IFERROR(__xludf.DUMMYFUNCTION("""COMPUTED_VALUE"""),"")</f>
        <v/>
      </c>
      <c r="G11145" s="42" t="str">
        <f>IFERROR(__xludf.DUMMYFUNCTION("""COMPUTED_VALUE"""),"SERTIPIKAT HILANG")</f>
        <v>SERTIPIKAT HILANG</v>
      </c>
      <c r="H11145" s="42">
        <f t="shared" si="1"/>
        <v>3345</v>
      </c>
    </row>
    <row r="11146" ht="22.5" customHeight="1">
      <c r="B11146" s="42" t="str">
        <f>IFERROR(__xludf.DUMMYFUNCTION("""COMPUTED_VALUE"""),"ABUZRUFW")</f>
        <v>ABUZRUFW</v>
      </c>
      <c r="C11146" s="42" t="str">
        <f>IFERROR(__xludf.DUMMYFUNCTION("""COMPUTED_VALUE"""),"08.01.000006404.0")</f>
        <v>08.01.000006404.0</v>
      </c>
      <c r="D11146" s="42"/>
      <c r="E11146" s="42"/>
      <c r="F11146" s="48" t="str">
        <f>IFERROR(__xludf.DUMMYFUNCTION("""COMPUTED_VALUE"""),"")</f>
        <v/>
      </c>
      <c r="G11146" s="42" t="str">
        <f>IFERROR(__xludf.DUMMYFUNCTION("""COMPUTED_VALUE"""),"BN")</f>
        <v>BN</v>
      </c>
      <c r="H11146" s="42">
        <f t="shared" si="1"/>
        <v>3345</v>
      </c>
    </row>
    <row r="11147" ht="22.5" customHeight="1">
      <c r="B11147" s="42" t="str">
        <f>IFERROR(__xludf.DUMMYFUNCTION("""COMPUTED_VALUE"""),"L/1/290126/1")</f>
        <v>L/1/290126/1</v>
      </c>
      <c r="C11147" s="42" t="str">
        <f>IFERROR(__xludf.DUMMYFUNCTION("""COMPUTED_VALUE"""),"PBT 49/2025 KEL SUKARAME")</f>
        <v>PBT 49/2025 KEL SUKARAME</v>
      </c>
      <c r="D11147" s="42"/>
      <c r="E11147" s="42"/>
      <c r="F11147" s="48" t="str">
        <f>IFERROR(__xludf.DUMMYFUNCTION("""COMPUTED_VALUE"""),"")</f>
        <v/>
      </c>
      <c r="G11147" s="42" t="str">
        <f>IFERROR(__xludf.DUMMYFUNCTION("""COMPUTED_VALUE"""),"PTPGT TANAH MENTAH")</f>
        <v>PTPGT TANAH MENTAH</v>
      </c>
      <c r="H11147" s="42">
        <f t="shared" si="1"/>
        <v>3345</v>
      </c>
    </row>
    <row r="11148" ht="22.5" customHeight="1">
      <c r="B11148" s="42" t="str">
        <f>IFERROR(__xludf.DUMMYFUNCTION("""COMPUTED_VALUE"""),"ABYPLGLW")</f>
        <v>ABYPLGLW</v>
      </c>
      <c r="C11148" s="42" t="str">
        <f>IFERROR(__xludf.DUMMYFUNCTION("""COMPUTED_VALUE"""),"Hm. EL. 08.01.000024269.0")</f>
        <v>Hm. EL. 08.01.000024269.0</v>
      </c>
      <c r="D11148" s="42"/>
      <c r="E11148" s="42"/>
      <c r="F11148" s="48" t="str">
        <f>IFERROR(__xludf.DUMMYFUNCTION("""COMPUTED_VALUE"""),"")</f>
        <v/>
      </c>
      <c r="G11148" s="42" t="str">
        <f>IFERROR(__xludf.DUMMYFUNCTION("""COMPUTED_VALUE"""),"Bn Jual Beli")</f>
        <v>Bn Jual Beli</v>
      </c>
      <c r="H11148" s="42">
        <f t="shared" si="1"/>
        <v>3345</v>
      </c>
    </row>
    <row r="11149" ht="22.5" customHeight="1">
      <c r="B11149" s="42" t="str">
        <f>IFERROR(__xludf.DUMMYFUNCTION("""COMPUTED_VALUE"""),"Abczgfcv")</f>
        <v>Abczgfcv</v>
      </c>
      <c r="C11149" s="42" t="str">
        <f>IFERROR(__xludf.DUMMYFUNCTION("""COMPUTED_VALUE"""),"M. Nibel 22716.0/perumnas way kandis")</f>
        <v>M. Nibel 22716.0/perumnas way kandis</v>
      </c>
      <c r="D11149" s="42"/>
      <c r="E11149" s="42"/>
      <c r="F11149" s="48" t="str">
        <f>IFERROR(__xludf.DUMMYFUNCTION("""COMPUTED_VALUE"""),"")</f>
        <v/>
      </c>
      <c r="G11149" s="42" t="str">
        <f>IFERROR(__xludf.DUMMYFUNCTION("""COMPUTED_VALUE"""),"Balik nama")</f>
        <v>Balik nama</v>
      </c>
      <c r="H11149" s="42">
        <f t="shared" si="1"/>
        <v>3345</v>
      </c>
    </row>
    <row r="11150" ht="22.5" customHeight="1">
      <c r="B11150" s="42" t="str">
        <f>IFERROR(__xludf.DUMMYFUNCTION("""COMPUTED_VALUE"""),"ABXZLZAK/AB038")</f>
        <v>ABXZLZAK/AB038</v>
      </c>
      <c r="C11150" s="42" t="str">
        <f>IFERROR(__xludf.DUMMYFUNCTION("""COMPUTED_VALUE"""),"M. 5048/Rajabasa jaya")</f>
        <v>M. 5048/Rajabasa jaya</v>
      </c>
      <c r="D11150" s="42"/>
      <c r="E11150" s="42"/>
      <c r="F11150" s="48" t="str">
        <f>IFERROR(__xludf.DUMMYFUNCTION("""COMPUTED_VALUE"""),"")</f>
        <v/>
      </c>
      <c r="G11150" s="42" t="str">
        <f>IFERROR(__xludf.DUMMYFUNCTION("""COMPUTED_VALUE"""),"BN Hibah")</f>
        <v>BN Hibah</v>
      </c>
      <c r="H11150" s="42">
        <f t="shared" si="1"/>
        <v>3345</v>
      </c>
    </row>
    <row r="11151" ht="22.5" customHeight="1">
      <c r="B11151" s="42" t="str">
        <f>IFERROR(__xludf.DUMMYFUNCTION("""COMPUTED_VALUE"""),"Abntzexr")</f>
        <v>Abntzexr</v>
      </c>
      <c r="C11151" s="42" t="str">
        <f>IFERROR(__xludf.DUMMYFUNCTION("""COMPUTED_VALUE"""),"M. 11630 / segala mider")</f>
        <v>M. 11630 / segala mider</v>
      </c>
      <c r="D11151" s="42"/>
      <c r="E11151" s="42"/>
      <c r="F11151" s="48" t="str">
        <f>IFERROR(__xludf.DUMMYFUNCTION("""COMPUTED_VALUE"""),"")</f>
        <v/>
      </c>
      <c r="G11151" s="42" t="str">
        <f>IFERROR(__xludf.DUMMYFUNCTION("""COMPUTED_VALUE"""),"Balik nama ")</f>
        <v>Balik nama </v>
      </c>
      <c r="H11151" s="42">
        <f t="shared" si="1"/>
        <v>3345</v>
      </c>
    </row>
    <row r="11152" ht="22.5" customHeight="1">
      <c r="B11152" s="42" t="str">
        <f>IFERROR(__xludf.DUMMYFUNCTION("""COMPUTED_VALUE"""),"Abnmsewb")</f>
        <v>Abnmsewb</v>
      </c>
      <c r="C11152" s="42" t="str">
        <f>IFERROR(__xludf.DUMMYFUNCTION("""COMPUTED_VALUE"""),"M. 3676/rajabasa jaya")</f>
        <v>M. 3676/rajabasa jaya</v>
      </c>
      <c r="D11152" s="42"/>
      <c r="E11152" s="42"/>
      <c r="F11152" s="48" t="str">
        <f>IFERROR(__xludf.DUMMYFUNCTION("""COMPUTED_VALUE"""),"")</f>
        <v/>
      </c>
      <c r="G11152" s="42" t="str">
        <f>IFERROR(__xludf.DUMMYFUNCTION("""COMPUTED_VALUE"""),"Balik nama lelang")</f>
        <v>Balik nama lelang</v>
      </c>
      <c r="H11152" s="42">
        <f t="shared" si="1"/>
        <v>3345</v>
      </c>
    </row>
    <row r="11153" ht="22.5" customHeight="1">
      <c r="B11153" s="42" t="str">
        <f>IFERROR(__xludf.DUMMYFUNCTION("""COMPUTED_VALUE"""),"ABXBDSUW")</f>
        <v>ABXBDSUW</v>
      </c>
      <c r="C11153" s="42" t="str">
        <f>IFERROR(__xludf.DUMMYFUNCTION("""COMPUTED_VALUE"""),"Hm. 02110 RAJABASA RAYA")</f>
        <v>Hm. 02110 RAJABASA RAYA</v>
      </c>
      <c r="D11153" s="42"/>
      <c r="E11153" s="42"/>
      <c r="F11153" s="48" t="str">
        <f>IFERROR(__xludf.DUMMYFUNCTION("""COMPUTED_VALUE"""),"")</f>
        <v/>
      </c>
      <c r="G11153" s="42" t="str">
        <f>IFERROR(__xludf.DUMMYFUNCTION("""COMPUTED_VALUE"""),"Bn Jual Beli")</f>
        <v>Bn Jual Beli</v>
      </c>
      <c r="H11153" s="42">
        <f t="shared" si="1"/>
        <v>3345</v>
      </c>
    </row>
    <row r="11154" ht="22.5" customHeight="1">
      <c r="B11154" s="42" t="str">
        <f>IFERROR(__xludf.DUMMYFUNCTION("""COMPUTED_VALUE"""),"L/9/260126/1")</f>
        <v>L/9/260126/1</v>
      </c>
      <c r="C11154" s="42" t="str">
        <f>IFERROR(__xludf.DUMMYFUNCTION("""COMPUTED_VALUE"""),"M. 10080/KEDATON")</f>
        <v>M. 10080/KEDATON</v>
      </c>
      <c r="D11154" s="42"/>
      <c r="E11154" s="42"/>
      <c r="F11154" s="48" t="str">
        <f>IFERROR(__xludf.DUMMYFUNCTION("""COMPUTED_VALUE"""),"")</f>
        <v/>
      </c>
      <c r="G11154" s="42" t="str">
        <f>IFERROR(__xludf.DUMMYFUNCTION("""COMPUTED_VALUE"""),"ROYA WARIS")</f>
        <v>ROYA WARIS</v>
      </c>
      <c r="H11154" s="42">
        <f t="shared" si="1"/>
        <v>3345</v>
      </c>
    </row>
    <row r="11155" ht="22.5" customHeight="1">
      <c r="B11155" s="42" t="str">
        <f>IFERROR(__xludf.DUMMYFUNCTION("""COMPUTED_VALUE"""),"ABNGVKYU")</f>
        <v>ABNGVKYU</v>
      </c>
      <c r="C11155" s="42" t="str">
        <f>IFERROR(__xludf.DUMMYFUNCTION("""COMPUTED_VALUE"""),"NIBEL 28811 GOTONG ROYONG")</f>
        <v>NIBEL 28811 GOTONG ROYONG</v>
      </c>
      <c r="D11155" s="42"/>
      <c r="E11155" s="42"/>
      <c r="F11155" s="48" t="str">
        <f>IFERROR(__xludf.DUMMYFUNCTION("""COMPUTED_VALUE"""),"")</f>
        <v/>
      </c>
      <c r="G11155" s="42" t="str">
        <f>IFERROR(__xludf.DUMMYFUNCTION("""COMPUTED_VALUE"""),"Balik Nama")</f>
        <v>Balik Nama</v>
      </c>
      <c r="H11155" s="42">
        <f t="shared" si="1"/>
        <v>3345</v>
      </c>
    </row>
    <row r="11156" ht="22.5" customHeight="1">
      <c r="B11156" s="42" t="str">
        <f>IFERROR(__xludf.DUMMYFUNCTION("""COMPUTED_VALUE"""),"AB34")</f>
        <v>AB34</v>
      </c>
      <c r="C11156" s="42" t="str">
        <f>IFERROR(__xludf.DUMMYFUNCTION("""COMPUTED_VALUE"""),"M. 16583/S.I")</f>
        <v>M. 16583/S.I</v>
      </c>
      <c r="D11156" s="42"/>
      <c r="E11156" s="42"/>
      <c r="F11156" s="48" t="str">
        <f>IFERROR(__xludf.DUMMYFUNCTION("""COMPUTED_VALUE"""),"")</f>
        <v/>
      </c>
      <c r="G11156" s="42" t="str">
        <f>IFERROR(__xludf.DUMMYFUNCTION("""COMPUTED_VALUE"""),"GANDES")</f>
        <v>GANDES</v>
      </c>
      <c r="H11156" s="42">
        <f t="shared" si="1"/>
        <v>3345</v>
      </c>
    </row>
    <row r="11157" ht="22.5" customHeight="1">
      <c r="B11157" s="42" t="str">
        <f>IFERROR(__xludf.DUMMYFUNCTION("""COMPUTED_VALUE"""),"ABFFYFNE/AB010")</f>
        <v>ABFFYFNE/AB010</v>
      </c>
      <c r="C11157" s="42" t="str">
        <f>IFERROR(__xludf.DUMMYFUNCTION("""COMPUTED_VALUE"""),"M. NIBEL 23952/N.O.G")</f>
        <v>M. NIBEL 23952/N.O.G</v>
      </c>
      <c r="D11157" s="42"/>
      <c r="E11157" s="42"/>
      <c r="F11157" s="48" t="str">
        <f>IFERROR(__xludf.DUMMYFUNCTION("""COMPUTED_VALUE"""),"")</f>
        <v/>
      </c>
      <c r="G11157" s="42" t="str">
        <f>IFERROR(__xludf.DUMMYFUNCTION("""COMPUTED_VALUE"""),"Bn AJB ")</f>
        <v>Bn AJB </v>
      </c>
      <c r="H11157" s="42">
        <f t="shared" si="1"/>
        <v>3345</v>
      </c>
    </row>
    <row r="11158" ht="22.5" customHeight="1">
      <c r="B11158" s="42" t="str">
        <f>IFERROR(__xludf.DUMMYFUNCTION("""COMPUTED_VALUE"""),"ABXJJERG")</f>
        <v>ABXJJERG</v>
      </c>
      <c r="C11158" s="42">
        <f>IFERROR(__xludf.DUMMYFUNCTION("""COMPUTED_VALUE"""),4431.0)</f>
        <v>4431</v>
      </c>
      <c r="D11158" s="42"/>
      <c r="E11158" s="42"/>
      <c r="F11158" s="48" t="str">
        <f>IFERROR(__xludf.DUMMYFUNCTION("""COMPUTED_VALUE"""),"")</f>
        <v/>
      </c>
      <c r="G11158" s="42" t="str">
        <f>IFERROR(__xludf.DUMMYFUNCTION("""COMPUTED_VALUE"""),"TURUN WARIS")</f>
        <v>TURUN WARIS</v>
      </c>
      <c r="H11158" s="42">
        <f t="shared" si="1"/>
        <v>3345</v>
      </c>
    </row>
    <row r="11159" ht="22.5" customHeight="1">
      <c r="B11159" s="42" t="str">
        <f>IFERROR(__xludf.DUMMYFUNCTION("""COMPUTED_VALUE"""),"AB036/ABSOLDWS")</f>
        <v>AB036/ABSOLDWS</v>
      </c>
      <c r="C11159" s="42">
        <f>IFERROR(__xludf.DUMMYFUNCTION("""COMPUTED_VALUE"""),0.0)</f>
        <v>0</v>
      </c>
      <c r="D11159" s="42"/>
      <c r="E11159" s="42"/>
      <c r="F11159" s="48" t="str">
        <f>IFERROR(__xludf.DUMMYFUNCTION("""COMPUTED_VALUE"""),"")</f>
        <v/>
      </c>
      <c r="G11159" s="42" t="str">
        <f>IFERROR(__xludf.DUMMYFUNCTION("""COMPUTED_VALUE"""),"HIBAH")</f>
        <v>HIBAH</v>
      </c>
      <c r="H11159" s="42">
        <f t="shared" si="1"/>
        <v>3345</v>
      </c>
    </row>
    <row r="11160" ht="22.5" customHeight="1">
      <c r="B11160" s="42" t="str">
        <f>IFERROR(__xludf.DUMMYFUNCTION("""COMPUTED_VALUE"""),"ABSCPKIE")</f>
        <v>ABSCPKIE</v>
      </c>
      <c r="C11160" s="42" t="str">
        <f>IFERROR(__xludf.DUMMYFUNCTION("""COMPUTED_VALUE"""),"M.11077")</f>
        <v>M.11077</v>
      </c>
      <c r="D11160" s="42"/>
      <c r="E11160" s="42"/>
      <c r="F11160" s="48" t="str">
        <f>IFERROR(__xludf.DUMMYFUNCTION("""COMPUTED_VALUE"""),"")</f>
        <v/>
      </c>
      <c r="G11160" s="42" t="str">
        <f>IFERROR(__xludf.DUMMYFUNCTION("""COMPUTED_VALUE"""),"Roya")</f>
        <v>Roya</v>
      </c>
      <c r="H11160" s="42">
        <f t="shared" si="1"/>
        <v>3345</v>
      </c>
    </row>
    <row r="11161" ht="22.5" customHeight="1">
      <c r="B11161" s="42" t="str">
        <f>IFERROR(__xludf.DUMMYFUNCTION("""COMPUTED_VALUE"""),"ABBTIEUN")</f>
        <v>ABBTIEUN</v>
      </c>
      <c r="C11161" s="42" t="str">
        <f>IFERROR(__xludf.DUMMYFUNCTION("""COMPUTED_VALUE"""),"M.849")</f>
        <v>M.849</v>
      </c>
      <c r="D11161" s="42"/>
      <c r="E11161" s="42"/>
      <c r="F11161" s="48" t="str">
        <f>IFERROR(__xludf.DUMMYFUNCTION("""COMPUTED_VALUE"""),"")</f>
        <v/>
      </c>
      <c r="G11161" s="42" t="str">
        <f>IFERROR(__xludf.DUMMYFUNCTION("""COMPUTED_VALUE"""),"BN JUAL BELI")</f>
        <v>BN JUAL BELI</v>
      </c>
      <c r="H11161" s="42">
        <f t="shared" si="1"/>
        <v>3345</v>
      </c>
    </row>
    <row r="11162" ht="22.5" customHeight="1">
      <c r="B11162" s="42" t="str">
        <f>IFERROR(__xludf.DUMMYFUNCTION("""COMPUTED_VALUE"""),"ABQLXYZV/AB019 ")</f>
        <v>ABQLXYZV/AB019 </v>
      </c>
      <c r="C11162" s="42" t="str">
        <f>IFERROR(__xludf.DUMMYFUNCTION("""COMPUTED_VALUE"""),"m. 5520/langkapura")</f>
        <v>m. 5520/langkapura</v>
      </c>
      <c r="D11162" s="42"/>
      <c r="E11162" s="42"/>
      <c r="F11162" s="48" t="str">
        <f>IFERROR(__xludf.DUMMYFUNCTION("""COMPUTED_VALUE"""),"")</f>
        <v/>
      </c>
      <c r="G11162" s="42" t="str">
        <f>IFERROR(__xludf.DUMMYFUNCTION("""COMPUTED_VALUE"""),"Peralihan Hak Jual Beli")</f>
        <v>Peralihan Hak Jual Beli</v>
      </c>
      <c r="H11162" s="42">
        <f t="shared" si="1"/>
        <v>3345</v>
      </c>
    </row>
    <row r="11163" ht="22.5" customHeight="1">
      <c r="B11163" s="42" t="str">
        <f>IFERROR(__xludf.DUMMYFUNCTION("""COMPUTED_VALUE"""),"ABGTBWRR/AB019")</f>
        <v>ABGTBWRR/AB019</v>
      </c>
      <c r="C11163" s="42" t="str">
        <f>IFERROR(__xludf.DUMMYFUNCTION("""COMPUTED_VALUE"""),"M. NIBEL 21882/Labuhan Ratu Raya")</f>
        <v>M. NIBEL 21882/Labuhan Ratu Raya</v>
      </c>
      <c r="D11163" s="42"/>
      <c r="E11163" s="42"/>
      <c r="F11163" s="48" t="str">
        <f>IFERROR(__xludf.DUMMYFUNCTION("""COMPUTED_VALUE"""),"")</f>
        <v/>
      </c>
      <c r="G11163" s="42" t="str">
        <f>IFERROR(__xludf.DUMMYFUNCTION("""COMPUTED_VALUE"""),"Peralihan Hak Jual Beli")</f>
        <v>Peralihan Hak Jual Beli</v>
      </c>
      <c r="H11163" s="42">
        <f t="shared" si="1"/>
        <v>3345</v>
      </c>
    </row>
    <row r="11164" ht="22.5" customHeight="1">
      <c r="B11164" s="42" t="str">
        <f>IFERROR(__xludf.DUMMYFUNCTION("""COMPUTED_VALUE"""),"ABXVBQQE/Ab031")</f>
        <v>ABXVBQQE/Ab031</v>
      </c>
      <c r="C11164" s="42" t="str">
        <f>IFERROR(__xludf.DUMMYFUNCTION("""COMPUTED_VALUE"""),"M. 185/ Sumberrejo")</f>
        <v>M. 185/ Sumberrejo</v>
      </c>
      <c r="D11164" s="42"/>
      <c r="E11164" s="42"/>
      <c r="F11164" s="48" t="str">
        <f>IFERROR(__xludf.DUMMYFUNCTION("""COMPUTED_VALUE"""),"")</f>
        <v/>
      </c>
      <c r="G11164" s="42" t="str">
        <f>IFERROR(__xludf.DUMMYFUNCTION("""COMPUTED_VALUE"""),"Roya")</f>
        <v>Roya</v>
      </c>
      <c r="H11164" s="42">
        <f t="shared" si="1"/>
        <v>3345</v>
      </c>
    </row>
    <row r="11165" ht="22.5" customHeight="1">
      <c r="B11165" s="42" t="str">
        <f>IFERROR(__xludf.DUMMYFUNCTION("""COMPUTED_VALUE"""),"ABQPYBPD")</f>
        <v>ABQPYBPD</v>
      </c>
      <c r="C11165" s="42" t="str">
        <f>IFERROR(__xludf.DUMMYFUNCTION("""COMPUTED_VALUE"""),"12107/Kdm")</f>
        <v>12107/Kdm</v>
      </c>
      <c r="D11165" s="42"/>
      <c r="E11165" s="42"/>
      <c r="F11165" s="48" t="str">
        <f>IFERROR(__xludf.DUMMYFUNCTION("""COMPUTED_VALUE"""),"")</f>
        <v/>
      </c>
      <c r="G11165" s="42" t="str">
        <f>IFERROR(__xludf.DUMMYFUNCTION("""COMPUTED_VALUE"""),"Roya hak tanggungan ")</f>
        <v>Roya hak tanggungan </v>
      </c>
      <c r="H11165" s="42">
        <f t="shared" si="1"/>
        <v>3345</v>
      </c>
    </row>
    <row r="11166" ht="22.5" customHeight="1">
      <c r="B11166" s="42" t="str">
        <f>IFERROR(__xludf.DUMMYFUNCTION("""COMPUTED_VALUE"""),"ABNCGYVA/AB048")</f>
        <v>ABNCGYVA/AB048</v>
      </c>
      <c r="C11166" s="42" t="str">
        <f>IFERROR(__xludf.DUMMYFUNCTION("""COMPUTED_VALUE"""),"B. NIBEL 19580/Nusantara Permai")</f>
        <v>B. NIBEL 19580/Nusantara Permai</v>
      </c>
      <c r="D11166" s="42"/>
      <c r="E11166" s="42"/>
      <c r="F11166" s="48" t="str">
        <f>IFERROR(__xludf.DUMMYFUNCTION("""COMPUTED_VALUE"""),"")</f>
        <v/>
      </c>
      <c r="G11166" s="42" t="str">
        <f>IFERROR(__xludf.DUMMYFUNCTION("""COMPUTED_VALUE"""),"BN Jual Beli")</f>
        <v>BN Jual Beli</v>
      </c>
      <c r="H11166" s="42">
        <f t="shared" si="1"/>
        <v>3345</v>
      </c>
    </row>
    <row r="11167" ht="22.5" customHeight="1">
      <c r="B11167" s="42" t="str">
        <f>IFERROR(__xludf.DUMMYFUNCTION("""COMPUTED_VALUE"""),"ABTWIGOQ")</f>
        <v>ABTWIGOQ</v>
      </c>
      <c r="C11167" s="42" t="str">
        <f>IFERROR(__xludf.DUMMYFUNCTION("""COMPUTED_VALUE"""),"GB 164")</f>
        <v>GB 164</v>
      </c>
      <c r="D11167" s="42"/>
      <c r="E11167" s="42"/>
      <c r="F11167" s="48" t="str">
        <f>IFERROR(__xludf.DUMMYFUNCTION("""COMPUTED_VALUE"""),"")</f>
        <v/>
      </c>
      <c r="G11167" s="42" t="str">
        <f>IFERROR(__xludf.DUMMYFUNCTION("""COMPUTED_VALUE"""),"Peningkatan")</f>
        <v>Peningkatan</v>
      </c>
      <c r="H11167" s="42">
        <f t="shared" si="1"/>
        <v>3345</v>
      </c>
    </row>
    <row r="11168" ht="22.5" customHeight="1">
      <c r="B11168" s="42" t="str">
        <f>IFERROR(__xludf.DUMMYFUNCTION("""COMPUTED_VALUE"""),"K/2/290126/1")</f>
        <v>K/2/290126/1</v>
      </c>
      <c r="C11168" s="42" t="str">
        <f>IFERROR(__xludf.DUMMYFUNCTION("""COMPUTED_VALUE"""),"NIBEL B. 23091/SUKABUMI")</f>
        <v>NIBEL B. 23091/SUKABUMI</v>
      </c>
      <c r="D11168" s="42"/>
      <c r="E11168" s="42"/>
      <c r="F11168" s="48" t="str">
        <f>IFERROR(__xludf.DUMMYFUNCTION("""COMPUTED_VALUE"""),"")</f>
        <v/>
      </c>
      <c r="G11168" s="42" t="str">
        <f>IFERROR(__xludf.DUMMYFUNCTION("""COMPUTED_VALUE"""),"SKPT LELANG")</f>
        <v>SKPT LELANG</v>
      </c>
      <c r="H11168" s="42">
        <f t="shared" si="1"/>
        <v>3345</v>
      </c>
    </row>
    <row r="11169" ht="22.5" customHeight="1">
      <c r="B11169" s="42" t="str">
        <f>IFERROR(__xludf.DUMMYFUNCTION("""COMPUTED_VALUE"""),"K/3/290126/2")</f>
        <v>K/3/290126/2</v>
      </c>
      <c r="C11169" s="42" t="str">
        <f>IFERROR(__xludf.DUMMYFUNCTION("""COMPUTED_VALUE"""),"NIBEL B. 23091/SUKABUMI")</f>
        <v>NIBEL B. 23091/SUKABUMI</v>
      </c>
      <c r="D11169" s="42"/>
      <c r="E11169" s="42"/>
      <c r="F11169" s="48" t="str">
        <f>IFERROR(__xludf.DUMMYFUNCTION("""COMPUTED_VALUE"""),"")</f>
        <v/>
      </c>
      <c r="G11169" s="42" t="str">
        <f>IFERROR(__xludf.DUMMYFUNCTION("""COMPUTED_VALUE"""),"SKPT LELANG")</f>
        <v>SKPT LELANG</v>
      </c>
      <c r="H11169" s="42">
        <f t="shared" si="1"/>
        <v>3345</v>
      </c>
    </row>
    <row r="11170" ht="22.5" customHeight="1">
      <c r="B11170" s="42" t="str">
        <f>IFERROR(__xludf.DUMMYFUNCTION("""COMPUTED_VALUE"""),"ABBLJQLP")</f>
        <v>ABBLJQLP</v>
      </c>
      <c r="C11170" s="42" t="str">
        <f>IFERROR(__xludf.DUMMYFUNCTION("""COMPUTED_VALUE"""),"M 2710 Way kandis")</f>
        <v>M 2710 Way kandis</v>
      </c>
      <c r="D11170" s="42"/>
      <c r="E11170" s="42"/>
      <c r="F11170" s="48" t="str">
        <f>IFERROR(__xludf.DUMMYFUNCTION("""COMPUTED_VALUE"""),"")</f>
        <v/>
      </c>
      <c r="G11170" s="42" t="str">
        <f>IFERROR(__xludf.DUMMYFUNCTION("""COMPUTED_VALUE"""),"balik nama waris")</f>
        <v>balik nama waris</v>
      </c>
      <c r="H11170" s="42">
        <f t="shared" si="1"/>
        <v>3345</v>
      </c>
    </row>
    <row r="11171" ht="22.5" customHeight="1">
      <c r="B11171" s="42" t="str">
        <f>IFERROR(__xludf.DUMMYFUNCTION("""COMPUTED_VALUE"""),"K/4/290126/3")</f>
        <v>K/4/290126/3</v>
      </c>
      <c r="C11171" s="42" t="str">
        <f>IFERROR(__xludf.DUMMYFUNCTION("""COMPUTED_VALUE"""),"NIBEL B. 22944/SUKABUMI")</f>
        <v>NIBEL B. 22944/SUKABUMI</v>
      </c>
      <c r="D11171" s="42"/>
      <c r="E11171" s="42"/>
      <c r="F11171" s="48" t="str">
        <f>IFERROR(__xludf.DUMMYFUNCTION("""COMPUTED_VALUE"""),"")</f>
        <v/>
      </c>
      <c r="G11171" s="42" t="str">
        <f>IFERROR(__xludf.DUMMYFUNCTION("""COMPUTED_VALUE"""),"SKPT LELANG")</f>
        <v>SKPT LELANG</v>
      </c>
      <c r="H11171" s="42">
        <f t="shared" si="1"/>
        <v>3345</v>
      </c>
    </row>
    <row r="11172" ht="22.5" customHeight="1">
      <c r="B11172" s="42" t="str">
        <f>IFERROR(__xludf.DUMMYFUNCTION("""COMPUTED_VALUE"""),"K/5/290126/4")</f>
        <v>K/5/290126/4</v>
      </c>
      <c r="C11172" s="42" t="str">
        <f>IFERROR(__xludf.DUMMYFUNCTION("""COMPUTED_VALUE"""),"NIBEL B. 23064/SUKABUMI")</f>
        <v>NIBEL B. 23064/SUKABUMI</v>
      </c>
      <c r="D11172" s="42"/>
      <c r="E11172" s="42"/>
      <c r="F11172" s="48" t="str">
        <f>IFERROR(__xludf.DUMMYFUNCTION("""COMPUTED_VALUE"""),"")</f>
        <v/>
      </c>
      <c r="G11172" s="42" t="str">
        <f>IFERROR(__xludf.DUMMYFUNCTION("""COMPUTED_VALUE"""),"SKPT LELANG")</f>
        <v>SKPT LELANG</v>
      </c>
      <c r="H11172" s="42">
        <f t="shared" si="1"/>
        <v>3345</v>
      </c>
    </row>
    <row r="11173" ht="22.5" customHeight="1">
      <c r="B11173" s="42" t="str">
        <f>IFERROR(__xludf.DUMMYFUNCTION("""COMPUTED_VALUE"""),"L/7/290126/1")</f>
        <v>L/7/290126/1</v>
      </c>
      <c r="C11173" s="42" t="str">
        <f>IFERROR(__xludf.DUMMYFUNCTION("""COMPUTED_VALUE"""),"B. 85/KAMPUNG BARU")</f>
        <v>B. 85/KAMPUNG BARU</v>
      </c>
      <c r="D11173" s="42"/>
      <c r="E11173" s="42"/>
      <c r="F11173" s="48" t="str">
        <f>IFERROR(__xludf.DUMMYFUNCTION("""COMPUTED_VALUE"""),"")</f>
        <v/>
      </c>
      <c r="G11173" s="42" t="str">
        <f>IFERROR(__xludf.DUMMYFUNCTION("""COMPUTED_VALUE"""),"ROYA")</f>
        <v>ROYA</v>
      </c>
      <c r="H11173" s="42">
        <f t="shared" si="1"/>
        <v>3345</v>
      </c>
    </row>
    <row r="11174" ht="22.5" customHeight="1">
      <c r="B11174" s="42" t="str">
        <f>IFERROR(__xludf.DUMMYFUNCTION("""COMPUTED_VALUE"""),"L/8/290126/1")</f>
        <v>L/8/290126/1</v>
      </c>
      <c r="C11174" s="42" t="str">
        <f>IFERROR(__xludf.DUMMYFUNCTION("""COMPUTED_VALUE"""),"M. 2117/SUKAMAJU")</f>
        <v>M. 2117/SUKAMAJU</v>
      </c>
      <c r="D11174" s="42"/>
      <c r="E11174" s="42"/>
      <c r="F11174" s="48" t="str">
        <f>IFERROR(__xludf.DUMMYFUNCTION("""COMPUTED_VALUE"""),"")</f>
        <v/>
      </c>
      <c r="G11174" s="42" t="str">
        <f>IFERROR(__xludf.DUMMYFUNCTION("""COMPUTED_VALUE"""),"ROYA")</f>
        <v>ROYA</v>
      </c>
      <c r="H11174" s="42">
        <f t="shared" si="1"/>
        <v>3345</v>
      </c>
    </row>
    <row r="11175" ht="22.5" customHeight="1">
      <c r="B11175" s="42" t="str">
        <f>IFERROR(__xludf.DUMMYFUNCTION("""COMPUTED_VALUE"""),"K/6/290126/5")</f>
        <v>K/6/290126/5</v>
      </c>
      <c r="C11175" s="42" t="str">
        <f>IFERROR(__xludf.DUMMYFUNCTION("""COMPUTED_VALUE"""),"NIBEL B.22945/SUKABUMI")</f>
        <v>NIBEL B.22945/SUKABUMI</v>
      </c>
      <c r="D11175" s="42"/>
      <c r="E11175" s="42"/>
      <c r="F11175" s="48" t="str">
        <f>IFERROR(__xludf.DUMMYFUNCTION("""COMPUTED_VALUE"""),"")</f>
        <v/>
      </c>
      <c r="G11175" s="42" t="str">
        <f>IFERROR(__xludf.DUMMYFUNCTION("""COMPUTED_VALUE"""),"SKPT LELANG")</f>
        <v>SKPT LELANG</v>
      </c>
      <c r="H11175" s="42">
        <f t="shared" si="1"/>
        <v>3345</v>
      </c>
    </row>
    <row r="11176" ht="22.5" customHeight="1">
      <c r="B11176" s="42" t="str">
        <f>IFERROR(__xludf.DUMMYFUNCTION("""COMPUTED_VALUE"""),"L/10/290126/1")</f>
        <v>L/10/290126/1</v>
      </c>
      <c r="C11176" s="42" t="str">
        <f>IFERROR(__xludf.DUMMYFUNCTION("""COMPUTED_VALUE"""),"M. 1391/SUSUNAN BARU")</f>
        <v>M. 1391/SUSUNAN BARU</v>
      </c>
      <c r="D11176" s="42"/>
      <c r="E11176" s="42"/>
      <c r="F11176" s="48" t="str">
        <f>IFERROR(__xludf.DUMMYFUNCTION("""COMPUTED_VALUE"""),"")</f>
        <v/>
      </c>
      <c r="G11176" s="42" t="str">
        <f>IFERROR(__xludf.DUMMYFUNCTION("""COMPUTED_VALUE"""),"ROYA")</f>
        <v>ROYA</v>
      </c>
      <c r="H11176" s="42">
        <f t="shared" si="1"/>
        <v>3345</v>
      </c>
    </row>
    <row r="11177" ht="22.5" customHeight="1">
      <c r="B11177" s="42" t="str">
        <f>IFERROR(__xludf.DUMMYFUNCTION("""COMPUTED_VALUE"""),"K/9/290126/1")</f>
        <v>K/9/290126/1</v>
      </c>
      <c r="C11177" s="42" t="str">
        <f>IFERROR(__xludf.DUMMYFUNCTION("""COMPUTED_VALUE"""),"B. 14/PERUMNAS, M. 2247/PERUMNAS, B.2072/PERUMNAS, B.1389/PERUMNAS")</f>
        <v>B. 14/PERUMNAS, M. 2247/PERUMNAS, B.2072/PERUMNAS, B.1389/PERUMNAS</v>
      </c>
      <c r="D11177" s="42"/>
      <c r="E11177" s="42"/>
      <c r="F11177" s="48" t="str">
        <f>IFERROR(__xludf.DUMMYFUNCTION("""COMPUTED_VALUE"""),"")</f>
        <v/>
      </c>
      <c r="G11177" s="42" t="str">
        <f>IFERROR(__xludf.DUMMYFUNCTION("""COMPUTED_VALUE"""),"BLOKIR")</f>
        <v>BLOKIR</v>
      </c>
      <c r="H11177" s="42">
        <f t="shared" si="1"/>
        <v>3345</v>
      </c>
    </row>
    <row r="11178" ht="22.5" customHeight="1">
      <c r="B11178" s="42" t="str">
        <f>IFERROR(__xludf.DUMMYFUNCTION("""COMPUTED_VALUE"""),"L/11/290126/1")</f>
        <v>L/11/290126/1</v>
      </c>
      <c r="C11178" s="42" t="str">
        <f>IFERROR(__xludf.DUMMYFUNCTION("""COMPUTED_VALUE"""),"M. 1504/SUSUNAN BARU")</f>
        <v>M. 1504/SUSUNAN BARU</v>
      </c>
      <c r="D11178" s="42"/>
      <c r="E11178" s="42"/>
      <c r="F11178" s="48" t="str">
        <f>IFERROR(__xludf.DUMMYFUNCTION("""COMPUTED_VALUE"""),"")</f>
        <v/>
      </c>
      <c r="G11178" s="42" t="str">
        <f>IFERROR(__xludf.DUMMYFUNCTION("""COMPUTED_VALUE"""),"ROYA")</f>
        <v>ROYA</v>
      </c>
      <c r="H11178" s="42">
        <f t="shared" si="1"/>
        <v>3345</v>
      </c>
    </row>
    <row r="11179" ht="22.5" customHeight="1">
      <c r="B11179" s="42" t="str">
        <f>IFERROR(__xludf.DUMMYFUNCTION("""COMPUTED_VALUE"""),"L/13/290126/1")</f>
        <v>L/13/290126/1</v>
      </c>
      <c r="C11179" s="42" t="str">
        <f>IFERROR(__xludf.DUMMYFUNCTION("""COMPUTED_VALUE"""),"B NIB. 29604/BERINGIN RAYA")</f>
        <v>B NIB. 29604/BERINGIN RAYA</v>
      </c>
      <c r="D11179" s="42"/>
      <c r="E11179" s="42"/>
      <c r="F11179" s="48" t="str">
        <f>IFERROR(__xludf.DUMMYFUNCTION("""COMPUTED_VALUE"""),"")</f>
        <v/>
      </c>
      <c r="G11179" s="42" t="str">
        <f>IFERROR(__xludf.DUMMYFUNCTION("""COMPUTED_VALUE"""),"PENINGKATAN HAK")</f>
        <v>PENINGKATAN HAK</v>
      </c>
      <c r="H11179" s="42">
        <f t="shared" si="1"/>
        <v>3345</v>
      </c>
    </row>
    <row r="11180" ht="22.5" customHeight="1">
      <c r="B11180" s="42" t="str">
        <f>IFERROR(__xludf.DUMMYFUNCTION("""COMPUTED_VALUE"""),"K/12/290126/1")</f>
        <v>K/12/290126/1</v>
      </c>
      <c r="C11180" s="42" t="str">
        <f>IFERROR(__xludf.DUMMYFUNCTION("""COMPUTED_VALUE"""),"B. 114/LABUHAN RATU")</f>
        <v>B. 114/LABUHAN RATU</v>
      </c>
      <c r="D11180" s="42"/>
      <c r="E11180" s="42"/>
      <c r="F11180" s="48" t="str">
        <f>IFERROR(__xludf.DUMMYFUNCTION("""COMPUTED_VALUE"""),"")</f>
        <v/>
      </c>
      <c r="G11180" s="42" t="str">
        <f>IFERROR(__xludf.DUMMYFUNCTION("""COMPUTED_VALUE"""),"ROYA")</f>
        <v>ROYA</v>
      </c>
      <c r="H11180" s="42">
        <f t="shared" si="1"/>
        <v>3345</v>
      </c>
    </row>
    <row r="11181" ht="22.5" customHeight="1">
      <c r="B11181" s="42" t="str">
        <f>IFERROR(__xludf.DUMMYFUNCTION("""COMPUTED_VALUE"""),"K/15/290126/1")</f>
        <v>K/15/290126/1</v>
      </c>
      <c r="C11181" s="42" t="str">
        <f>IFERROR(__xludf.DUMMYFUNCTION("""COMPUTED_VALUE"""),"BATU PUTUK")</f>
        <v>BATU PUTUK</v>
      </c>
      <c r="D11181" s="42"/>
      <c r="E11181" s="42"/>
      <c r="F11181" s="48" t="str">
        <f>IFERROR(__xludf.DUMMYFUNCTION("""COMPUTED_VALUE"""),"")</f>
        <v/>
      </c>
      <c r="G11181" s="42" t="str">
        <f>IFERROR(__xludf.DUMMYFUNCTION("""COMPUTED_VALUE"""),"PENGUKURAN PERTAMA KALI")</f>
        <v>PENGUKURAN PERTAMA KALI</v>
      </c>
      <c r="H11181" s="42">
        <f t="shared" si="1"/>
        <v>3345</v>
      </c>
    </row>
    <row r="11182" ht="22.5" customHeight="1">
      <c r="B11182" s="42" t="str">
        <f>IFERROR(__xludf.DUMMYFUNCTION("""COMPUTED_VALUE"""),"L/14/290126/2")</f>
        <v>L/14/290126/2</v>
      </c>
      <c r="C11182" s="42" t="str">
        <f>IFERROR(__xludf.DUMMYFUNCTION("""COMPUTED_VALUE"""),"B NIB. 29594/BERINGIN RAYA")</f>
        <v>B NIB. 29594/BERINGIN RAYA</v>
      </c>
      <c r="D11182" s="42"/>
      <c r="E11182" s="42"/>
      <c r="F11182" s="48" t="str">
        <f>IFERROR(__xludf.DUMMYFUNCTION("""COMPUTED_VALUE"""),"")</f>
        <v/>
      </c>
      <c r="G11182" s="42" t="str">
        <f>IFERROR(__xludf.DUMMYFUNCTION("""COMPUTED_VALUE"""),"PENINGKATAN HAK")</f>
        <v>PENINGKATAN HAK</v>
      </c>
      <c r="H11182" s="42">
        <f t="shared" si="1"/>
        <v>3345</v>
      </c>
    </row>
    <row r="11183" ht="22.5" customHeight="1">
      <c r="B11183" s="42" t="str">
        <f>IFERROR(__xludf.DUMMYFUNCTION("""COMPUTED_VALUE"""),"K/16/290126/2")</f>
        <v>K/16/290126/2</v>
      </c>
      <c r="C11183" s="42" t="str">
        <f>IFERROR(__xludf.DUMMYFUNCTION("""COMPUTED_VALUE"""),"BATU PUTUK LUAS 392,92 M2")</f>
        <v>BATU PUTUK LUAS 392,92 M2</v>
      </c>
      <c r="D11183" s="42"/>
      <c r="E11183" s="42"/>
      <c r="F11183" s="48" t="str">
        <f>IFERROR(__xludf.DUMMYFUNCTION("""COMPUTED_VALUE"""),"")</f>
        <v/>
      </c>
      <c r="G11183" s="42" t="str">
        <f>IFERROR(__xludf.DUMMYFUNCTION("""COMPUTED_VALUE"""),"PENGUKURAN PERTAMA KALI")</f>
        <v>PENGUKURAN PERTAMA KALI</v>
      </c>
      <c r="H11183" s="42">
        <f t="shared" si="1"/>
        <v>3345</v>
      </c>
    </row>
    <row r="11184" ht="22.5" customHeight="1">
      <c r="B11184" s="42" t="str">
        <f>IFERROR(__xludf.DUMMYFUNCTION("""COMPUTED_VALUE"""),"K/17/290126/1")</f>
        <v>K/17/290126/1</v>
      </c>
      <c r="C11184" s="42" t="str">
        <f>IFERROR(__xludf.DUMMYFUNCTION("""COMPUTED_VALUE"""),"BUMI WARAS")</f>
        <v>BUMI WARAS</v>
      </c>
      <c r="D11184" s="42"/>
      <c r="E11184" s="42"/>
      <c r="F11184" s="48" t="str">
        <f>IFERROR(__xludf.DUMMYFUNCTION("""COMPUTED_VALUE"""),"")</f>
        <v/>
      </c>
      <c r="G11184" s="42" t="str">
        <f>IFERROR(__xludf.DUMMYFUNCTION("""COMPUTED_VALUE"""),"PENGUKURAN PERTAMA KALI")</f>
        <v>PENGUKURAN PERTAMA KALI</v>
      </c>
      <c r="H11184" s="42">
        <f t="shared" si="1"/>
        <v>3345</v>
      </c>
    </row>
    <row r="11185" ht="22.5" customHeight="1">
      <c r="B11185" s="42" t="str">
        <f>IFERROR(__xludf.DUMMYFUNCTION("""COMPUTED_VALUE"""),"K/18/290126/1")</f>
        <v>K/18/290126/1</v>
      </c>
      <c r="C11185" s="42" t="str">
        <f>IFERROR(__xludf.DUMMYFUNCTION("""COMPUTED_VALUE"""),"B.660/NUSANTARA PERMAI")</f>
        <v>B.660/NUSANTARA PERMAI</v>
      </c>
      <c r="D11185" s="42"/>
      <c r="E11185" s="42"/>
      <c r="F11185" s="48" t="str">
        <f>IFERROR(__xludf.DUMMYFUNCTION("""COMPUTED_VALUE"""),"")</f>
        <v/>
      </c>
      <c r="G11185" s="42" t="str">
        <f>IFERROR(__xludf.DUMMYFUNCTION("""COMPUTED_VALUE"""),"PENINGKATAN HAK")</f>
        <v>PENINGKATAN HAK</v>
      </c>
      <c r="H11185" s="42">
        <f t="shared" si="1"/>
        <v>3345</v>
      </c>
    </row>
    <row r="11186" ht="22.5" customHeight="1">
      <c r="B11186" s="42" t="str">
        <f>IFERROR(__xludf.DUMMYFUNCTION("""COMPUTED_VALUE"""),"K/19/290126/1")</f>
        <v>K/19/290126/1</v>
      </c>
      <c r="C11186" s="42" t="str">
        <f>IFERROR(__xludf.DUMMYFUNCTION("""COMPUTED_VALUE"""),"B. 3953/SUKARAME")</f>
        <v>B. 3953/SUKARAME</v>
      </c>
      <c r="D11186" s="42"/>
      <c r="E11186" s="42"/>
      <c r="F11186" s="48" t="str">
        <f>IFERROR(__xludf.DUMMYFUNCTION("""COMPUTED_VALUE"""),"")</f>
        <v/>
      </c>
      <c r="G11186" s="42" t="str">
        <f>IFERROR(__xludf.DUMMYFUNCTION("""COMPUTED_VALUE"""),"SKPT INFORMASI")</f>
        <v>SKPT INFORMASI</v>
      </c>
      <c r="H11186" s="42">
        <f t="shared" si="1"/>
        <v>3345</v>
      </c>
    </row>
    <row r="11187" ht="22.5" customHeight="1">
      <c r="B11187" s="42" t="str">
        <f>IFERROR(__xludf.DUMMYFUNCTION("""COMPUTED_VALUE"""),"K/20/290126/2")</f>
        <v>K/20/290126/2</v>
      </c>
      <c r="C11187" s="42" t="str">
        <f>IFERROR(__xludf.DUMMYFUNCTION("""COMPUTED_VALUE"""),"B. 3954/SUKARAME")</f>
        <v>B. 3954/SUKARAME</v>
      </c>
      <c r="D11187" s="42"/>
      <c r="E11187" s="42"/>
      <c r="F11187" s="48" t="str">
        <f>IFERROR(__xludf.DUMMYFUNCTION("""COMPUTED_VALUE"""),"")</f>
        <v/>
      </c>
      <c r="G11187" s="42" t="str">
        <f>IFERROR(__xludf.DUMMYFUNCTION("""COMPUTED_VALUE"""),"SKPT INFORMASI")</f>
        <v>SKPT INFORMASI</v>
      </c>
      <c r="H11187" s="42">
        <f t="shared" si="1"/>
        <v>3345</v>
      </c>
    </row>
    <row r="11188" ht="22.5" customHeight="1">
      <c r="B11188" s="42" t="str">
        <f>IFERROR(__xludf.DUMMYFUNCTION("""COMPUTED_VALUE"""),"K/21/290126/1")</f>
        <v>K/21/290126/1</v>
      </c>
      <c r="C11188" s="42" t="str">
        <f>IFERROR(__xludf.DUMMYFUNCTION("""COMPUTED_VALUE"""),"B. 2583/SUKABUMI")</f>
        <v>B. 2583/SUKABUMI</v>
      </c>
      <c r="D11188" s="42"/>
      <c r="E11188" s="42"/>
      <c r="F11188" s="48" t="str">
        <f>IFERROR(__xludf.DUMMYFUNCTION("""COMPUTED_VALUE"""),"")</f>
        <v/>
      </c>
      <c r="G11188" s="42" t="str">
        <f>IFERROR(__xludf.DUMMYFUNCTION("""COMPUTED_VALUE"""),"PENINGKATAN HAK")</f>
        <v>PENINGKATAN HAK</v>
      </c>
      <c r="H11188" s="42">
        <f t="shared" si="1"/>
        <v>3345</v>
      </c>
    </row>
    <row r="11189" ht="22.5" customHeight="1">
      <c r="B11189" s="42" t="str">
        <f>IFERROR(__xludf.DUMMYFUNCTION("""COMPUTED_VALUE"""),"K/22/290126/1")</f>
        <v>K/22/290126/1</v>
      </c>
      <c r="C11189" s="42" t="str">
        <f>IFERROR(__xludf.DUMMYFUNCTION("""COMPUTED_VALUE"""),"M. 4622/KETEGUHAN")</f>
        <v>M. 4622/KETEGUHAN</v>
      </c>
      <c r="D11189" s="42"/>
      <c r="E11189" s="42"/>
      <c r="F11189" s="48" t="str">
        <f>IFERROR(__xludf.DUMMYFUNCTION("""COMPUTED_VALUE"""),"")</f>
        <v/>
      </c>
      <c r="G11189" s="42" t="str">
        <f>IFERROR(__xludf.DUMMYFUNCTION("""COMPUTED_VALUE"""),"BN JUAL BELI")</f>
        <v>BN JUAL BELI</v>
      </c>
      <c r="H11189" s="42">
        <f t="shared" si="1"/>
        <v>3345</v>
      </c>
    </row>
    <row r="11190" ht="22.5" customHeight="1">
      <c r="B11190" s="42" t="str">
        <f>IFERROR(__xludf.DUMMYFUNCTION("""COMPUTED_VALUE"""),"K/23/290126/1")</f>
        <v>K/23/290126/1</v>
      </c>
      <c r="C11190" s="42" t="str">
        <f>IFERROR(__xludf.DUMMYFUNCTION("""COMPUTED_VALUE"""),"B. 2852/SUKABUMI")</f>
        <v>B. 2852/SUKABUMI</v>
      </c>
      <c r="D11190" s="42"/>
      <c r="E11190" s="42"/>
      <c r="F11190" s="48" t="str">
        <f>IFERROR(__xludf.DUMMYFUNCTION("""COMPUTED_VALUE"""),"")</f>
        <v/>
      </c>
      <c r="G11190" s="42" t="str">
        <f>IFERROR(__xludf.DUMMYFUNCTION("""COMPUTED_VALUE"""),"PENINGKATAN HAK")</f>
        <v>PENINGKATAN HAK</v>
      </c>
      <c r="H11190" s="42">
        <f t="shared" si="1"/>
        <v>3345</v>
      </c>
    </row>
    <row r="11191" ht="22.5" customHeight="1">
      <c r="B11191" s="42" t="str">
        <f>IFERROR(__xludf.DUMMYFUNCTION("""COMPUTED_VALUE"""),"K/24/290126/1")</f>
        <v>K/24/290126/1</v>
      </c>
      <c r="C11191" s="42" t="str">
        <f>IFERROR(__xludf.DUMMYFUNCTION("""COMPUTED_VALUE"""),"M.265/JAGABAYA III")</f>
        <v>M.265/JAGABAYA III</v>
      </c>
      <c r="D11191" s="42"/>
      <c r="E11191" s="42"/>
      <c r="F11191" s="48" t="str">
        <f>IFERROR(__xludf.DUMMYFUNCTION("""COMPUTED_VALUE"""),"")</f>
        <v/>
      </c>
      <c r="G11191" s="42" t="str">
        <f>IFERROR(__xludf.DUMMYFUNCTION("""COMPUTED_VALUE"""),"SKPT LELANG")</f>
        <v>SKPT LELANG</v>
      </c>
      <c r="H11191" s="42">
        <f t="shared" si="1"/>
        <v>3345</v>
      </c>
    </row>
    <row r="11192" ht="22.5" customHeight="1">
      <c r="B11192" s="42" t="str">
        <f>IFERROR(__xludf.DUMMYFUNCTION("""COMPUTED_VALUE"""),"K/24/290126/1")</f>
        <v>K/24/290126/1</v>
      </c>
      <c r="C11192" s="42" t="str">
        <f>IFERROR(__xludf.DUMMYFUNCTION("""COMPUTED_VALUE"""),"M.265/JAGABAYA III")</f>
        <v>M.265/JAGABAYA III</v>
      </c>
      <c r="D11192" s="42"/>
      <c r="E11192" s="42"/>
      <c r="F11192" s="48" t="str">
        <f>IFERROR(__xludf.DUMMYFUNCTION("""COMPUTED_VALUE"""),"")</f>
        <v/>
      </c>
      <c r="G11192" s="42" t="str">
        <f>IFERROR(__xludf.DUMMYFUNCTION("""COMPUTED_VALUE"""),"SKPT LELANG")</f>
        <v>SKPT LELANG</v>
      </c>
      <c r="H11192" s="42">
        <f t="shared" si="1"/>
        <v>3345</v>
      </c>
    </row>
    <row r="11193" ht="22.5" customHeight="1">
      <c r="B11193" s="42" t="str">
        <f>IFERROR(__xludf.DUMMYFUNCTION("""COMPUTED_VALUE"""),"ABFSHUSA")</f>
        <v>ABFSHUSA</v>
      </c>
      <c r="C11193" s="42" t="str">
        <f>IFERROR(__xludf.DUMMYFUNCTION("""COMPUTED_VALUE"""),"M.4209/BERINGIN RAYA")</f>
        <v>M.4209/BERINGIN RAYA</v>
      </c>
      <c r="D11193" s="42"/>
      <c r="E11193" s="42"/>
      <c r="F11193" s="48" t="str">
        <f>IFERROR(__xludf.DUMMYFUNCTION("""COMPUTED_VALUE"""),"")</f>
        <v/>
      </c>
      <c r="G11193" s="42" t="str">
        <f>IFERROR(__xludf.DUMMYFUNCTION("""COMPUTED_VALUE"""),"BALIK NAMA")</f>
        <v>BALIK NAMA</v>
      </c>
      <c r="H11193" s="42">
        <f t="shared" si="1"/>
        <v>3345</v>
      </c>
    </row>
    <row r="11194" ht="22.5" customHeight="1">
      <c r="B11194" s="42" t="str">
        <f>IFERROR(__xludf.DUMMYFUNCTION("""COMPUTED_VALUE"""),"K/25/290126/2")</f>
        <v>K/25/290126/2</v>
      </c>
      <c r="C11194" s="42" t="str">
        <f>IFERROR(__xludf.DUMMYFUNCTION("""COMPUTED_VALUE"""),"M. 237/JAGABAYA III")</f>
        <v>M. 237/JAGABAYA III</v>
      </c>
      <c r="D11194" s="42"/>
      <c r="E11194" s="42"/>
      <c r="F11194" s="48" t="str">
        <f>IFERROR(__xludf.DUMMYFUNCTION("""COMPUTED_VALUE"""),"")</f>
        <v/>
      </c>
      <c r="G11194" s="42" t="str">
        <f>IFERROR(__xludf.DUMMYFUNCTION("""COMPUTED_VALUE"""),"SKPT LELANG")</f>
        <v>SKPT LELANG</v>
      </c>
      <c r="H11194" s="42">
        <f t="shared" si="1"/>
        <v>3345</v>
      </c>
    </row>
    <row r="11195" ht="22.5" customHeight="1">
      <c r="B11195" s="42" t="str">
        <f>IFERROR(__xludf.DUMMYFUNCTION("""COMPUTED_VALUE"""),"ABBLQCQS")</f>
        <v>ABBLQCQS</v>
      </c>
      <c r="C11195" s="42" t="str">
        <f>IFERROR(__xludf.DUMMYFUNCTION("""COMPUTED_VALUE"""),"M. 991/Sukabumi indah")</f>
        <v>M. 991/Sukabumi indah</v>
      </c>
      <c r="D11195" s="42"/>
      <c r="E11195" s="42"/>
      <c r="F11195" s="48" t="str">
        <f>IFERROR(__xludf.DUMMYFUNCTION("""COMPUTED_VALUE"""),"")</f>
        <v/>
      </c>
      <c r="G11195" s="42" t="str">
        <f>IFERROR(__xludf.DUMMYFUNCTION("""COMPUTED_VALUE"""),"Hibah")</f>
        <v>Hibah</v>
      </c>
      <c r="H11195" s="42">
        <f t="shared" si="1"/>
        <v>3345</v>
      </c>
    </row>
    <row r="11196" ht="22.5" customHeight="1">
      <c r="B11196" s="42" t="str">
        <f>IFERROR(__xludf.DUMMYFUNCTION("""COMPUTED_VALUE"""),"ABICRBAX")</f>
        <v>ABICRBAX</v>
      </c>
      <c r="C11196" s="42" t="str">
        <f>IFERROR(__xludf.DUMMYFUNCTION("""COMPUTED_VALUE"""),"M. 992/ Sukabumi Indah")</f>
        <v>M. 992/ Sukabumi Indah</v>
      </c>
      <c r="D11196" s="42"/>
      <c r="E11196" s="42"/>
      <c r="F11196" s="48" t="str">
        <f>IFERROR(__xludf.DUMMYFUNCTION("""COMPUTED_VALUE"""),"")</f>
        <v/>
      </c>
      <c r="G11196" s="42" t="str">
        <f>IFERROR(__xludf.DUMMYFUNCTION("""COMPUTED_VALUE"""),"Hibah")</f>
        <v>Hibah</v>
      </c>
      <c r="H11196" s="42">
        <f t="shared" si="1"/>
        <v>3345</v>
      </c>
    </row>
    <row r="11197" ht="22.5" customHeight="1">
      <c r="B11197" s="42" t="str">
        <f>IFERROR(__xludf.DUMMYFUNCTION("""COMPUTED_VALUE"""),"ABQVZEGR")</f>
        <v>ABQVZEGR</v>
      </c>
      <c r="C11197" s="42" t="str">
        <f>IFERROR(__xludf.DUMMYFUNCTION("""COMPUTED_VALUE"""),"M. 993/ Sukabumi Indah")</f>
        <v>M. 993/ Sukabumi Indah</v>
      </c>
      <c r="D11197" s="42"/>
      <c r="E11197" s="42"/>
      <c r="F11197" s="48" t="str">
        <f>IFERROR(__xludf.DUMMYFUNCTION("""COMPUTED_VALUE"""),"")</f>
        <v/>
      </c>
      <c r="G11197" s="42" t="str">
        <f>IFERROR(__xludf.DUMMYFUNCTION("""COMPUTED_VALUE"""),"Hibah")</f>
        <v>Hibah</v>
      </c>
      <c r="H11197" s="42">
        <f t="shared" si="1"/>
        <v>3345</v>
      </c>
    </row>
    <row r="11198" ht="22.5" customHeight="1">
      <c r="B11198" s="42" t="str">
        <f>IFERROR(__xludf.DUMMYFUNCTION("""COMPUTED_VALUE"""),"ABGFPXMK/AB020")</f>
        <v>ABGFPXMK/AB020</v>
      </c>
      <c r="C11198" s="42" t="str">
        <f>IFERROR(__xludf.DUMMYFUNCTION("""COMPUTED_VALUE"""),"M. Nibel. 18017/Sukabumi")</f>
        <v>M. Nibel. 18017/Sukabumi</v>
      </c>
      <c r="D11198" s="42"/>
      <c r="E11198" s="42"/>
      <c r="F11198" s="48" t="str">
        <f>IFERROR(__xludf.DUMMYFUNCTION("""COMPUTED_VALUE"""),"")</f>
        <v/>
      </c>
      <c r="G11198" s="42" t="str">
        <f>IFERROR(__xludf.DUMMYFUNCTION("""COMPUTED_VALUE"""),"Balik nama Jual Beli")</f>
        <v>Balik nama Jual Beli</v>
      </c>
      <c r="H11198" s="42">
        <f t="shared" si="1"/>
        <v>3345</v>
      </c>
    </row>
    <row r="11199" ht="22.5" customHeight="1">
      <c r="B11199" s="42" t="str">
        <f>IFERROR(__xludf.DUMMYFUNCTION("""COMPUTED_VALUE"""),"AB018/ABLQABNP")</f>
        <v>AB018/ABLQABNP</v>
      </c>
      <c r="C11199" s="42" t="str">
        <f>IFERROR(__xludf.DUMMYFUNCTION("""COMPUTED_VALUE"""),"2830 sukarame baru")</f>
        <v>2830 sukarame baru</v>
      </c>
      <c r="D11199" s="42"/>
      <c r="E11199" s="42"/>
      <c r="F11199" s="48" t="str">
        <f>IFERROR(__xludf.DUMMYFUNCTION("""COMPUTED_VALUE"""),"")</f>
        <v/>
      </c>
      <c r="G11199" s="42" t="str">
        <f>IFERROR(__xludf.DUMMYFUNCTION("""COMPUTED_VALUE"""),"Balik nama ")</f>
        <v>Balik nama </v>
      </c>
      <c r="H11199" s="42">
        <f t="shared" si="1"/>
        <v>3345</v>
      </c>
    </row>
    <row r="11200" ht="22.5" customHeight="1">
      <c r="B11200" s="42" t="str">
        <f>IFERROR(__xludf.DUMMYFUNCTION("""COMPUTED_VALUE"""),"AB018/ABTVSCKO")</f>
        <v>AB018/ABTVSCKO</v>
      </c>
      <c r="C11200" s="42" t="str">
        <f>IFERROR(__xludf.DUMMYFUNCTION("""COMPUTED_VALUE"""),"NIBEL 10509 LABUHAN DALAM")</f>
        <v>NIBEL 10509 LABUHAN DALAM</v>
      </c>
      <c r="D11200" s="42"/>
      <c r="E11200" s="42"/>
      <c r="F11200" s="48" t="str">
        <f>IFERROR(__xludf.DUMMYFUNCTION("""COMPUTED_VALUE"""),"")</f>
        <v/>
      </c>
      <c r="G11200" s="42" t="str">
        <f>IFERROR(__xludf.DUMMYFUNCTION("""COMPUTED_VALUE"""),"Balik nama")</f>
        <v>Balik nama</v>
      </c>
      <c r="H11200" s="42">
        <f t="shared" si="1"/>
        <v>3345</v>
      </c>
    </row>
    <row r="11201" ht="22.5" customHeight="1">
      <c r="B11201" s="42" t="str">
        <f>IFERROR(__xludf.DUMMYFUNCTION("""COMPUTED_VALUE"""),"AB024/ABLOIRJE")</f>
        <v>AB024/ABLOIRJE</v>
      </c>
      <c r="C11201" s="42" t="str">
        <f>IFERROR(__xludf.DUMMYFUNCTION("""COMPUTED_VALUE"""),"M 1131 / Bumi Waras")</f>
        <v>M 1131 / Bumi Waras</v>
      </c>
      <c r="D11201" s="42"/>
      <c r="E11201" s="42"/>
      <c r="F11201" s="48" t="str">
        <f>IFERROR(__xludf.DUMMYFUNCTION("""COMPUTED_VALUE"""),"")</f>
        <v/>
      </c>
      <c r="G11201" s="42" t="str">
        <f>IFERROR(__xludf.DUMMYFUNCTION("""COMPUTED_VALUE"""),"BN Waris")</f>
        <v>BN Waris</v>
      </c>
      <c r="H11201" s="42">
        <f t="shared" si="1"/>
        <v>3345</v>
      </c>
    </row>
    <row r="11202" ht="22.5" customHeight="1">
      <c r="B11202" s="42" t="str">
        <f>IFERROR(__xludf.DUMMYFUNCTION("""COMPUTED_VALUE"""),"AB023/ABEEFTXN")</f>
        <v>AB023/ABEEFTXN</v>
      </c>
      <c r="C11202" s="42" t="str">
        <f>IFERROR(__xludf.DUMMYFUNCTION("""COMPUTED_VALUE"""),"B.19574.0/Nusantara Permai")</f>
        <v>B.19574.0/Nusantara Permai</v>
      </c>
      <c r="D11202" s="42"/>
      <c r="E11202" s="42"/>
      <c r="F11202" s="48" t="str">
        <f>IFERROR(__xludf.DUMMYFUNCTION("""COMPUTED_VALUE"""),"")</f>
        <v/>
      </c>
      <c r="G11202" s="42" t="str">
        <f>IFERROR(__xludf.DUMMYFUNCTION("""COMPUTED_VALUE"""),"Peralihan hak jual beli")</f>
        <v>Peralihan hak jual beli</v>
      </c>
      <c r="H11202" s="42">
        <f t="shared" si="1"/>
        <v>3345</v>
      </c>
    </row>
    <row r="11203" ht="22.5" customHeight="1">
      <c r="B11203" s="42" t="str">
        <f>IFERROR(__xludf.DUMMYFUNCTION("""COMPUTED_VALUE"""),"AB023/ABEQFOLA")</f>
        <v>AB023/ABEQFOLA</v>
      </c>
      <c r="C11203" s="42" t="str">
        <f>IFERROR(__xludf.DUMMYFUNCTION("""COMPUTED_VALUE"""),"B.19578.0/Nusantara Permai")</f>
        <v>B.19578.0/Nusantara Permai</v>
      </c>
      <c r="D11203" s="42"/>
      <c r="E11203" s="42"/>
      <c r="F11203" s="48" t="str">
        <f>IFERROR(__xludf.DUMMYFUNCTION("""COMPUTED_VALUE"""),"")</f>
        <v/>
      </c>
      <c r="G11203" s="42" t="str">
        <f>IFERROR(__xludf.DUMMYFUNCTION("""COMPUTED_VALUE"""),"Peralihan hak jual beli")</f>
        <v>Peralihan hak jual beli</v>
      </c>
      <c r="H11203" s="42">
        <f t="shared" si="1"/>
        <v>3345</v>
      </c>
    </row>
    <row r="11204" ht="22.5" customHeight="1">
      <c r="B11204" s="42" t="str">
        <f>IFERROR(__xludf.DUMMYFUNCTION("""COMPUTED_VALUE"""),"ABKVCTKC/AB019")</f>
        <v>ABKVCTKC/AB019</v>
      </c>
      <c r="C11204" s="42" t="str">
        <f>IFERROR(__xludf.DUMMYFUNCTION("""COMPUTED_VALUE"""),"M. Nibel 24324/Kemiling Raya")</f>
        <v>M. Nibel 24324/Kemiling Raya</v>
      </c>
      <c r="D11204" s="42"/>
      <c r="E11204" s="42"/>
      <c r="F11204" s="48" t="str">
        <f>IFERROR(__xludf.DUMMYFUNCTION("""COMPUTED_VALUE"""),"")</f>
        <v/>
      </c>
      <c r="G11204" s="42" t="str">
        <f>IFERROR(__xludf.DUMMYFUNCTION("""COMPUTED_VALUE"""),"Bn jual beli")</f>
        <v>Bn jual beli</v>
      </c>
      <c r="H11204" s="42">
        <f t="shared" si="1"/>
        <v>3345</v>
      </c>
    </row>
    <row r="11205" ht="22.5" customHeight="1">
      <c r="B11205" s="42" t="str">
        <f>IFERROR(__xludf.DUMMYFUNCTION("""COMPUTED_VALUE"""),"L/2/300126/1")</f>
        <v>L/2/300126/1</v>
      </c>
      <c r="C11205" s="42" t="str">
        <f>IFERROR(__xludf.DUMMYFUNCTION("""COMPUTED_VALUE"""),"M. 12366/SEGALA MIDER")</f>
        <v>M. 12366/SEGALA MIDER</v>
      </c>
      <c r="D11205" s="42"/>
      <c r="E11205" s="42"/>
      <c r="F11205" s="48" t="str">
        <f>IFERROR(__xludf.DUMMYFUNCTION("""COMPUTED_VALUE"""),"")</f>
        <v/>
      </c>
      <c r="G11205" s="42" t="str">
        <f>IFERROR(__xludf.DUMMYFUNCTION("""COMPUTED_VALUE"""),"ROYA")</f>
        <v>ROYA</v>
      </c>
      <c r="H11205" s="42">
        <f t="shared" si="1"/>
        <v>3345</v>
      </c>
    </row>
    <row r="11206" ht="22.5" customHeight="1">
      <c r="B11206" s="42" t="str">
        <f>IFERROR(__xludf.DUMMYFUNCTION("""COMPUTED_VALUE"""),"L/3/300126/1")</f>
        <v>L/3/300126/1</v>
      </c>
      <c r="C11206" s="42" t="str">
        <f>IFERROR(__xludf.DUMMYFUNCTION("""COMPUTED_VALUE"""),"M. 15349/SUKARAME I")</f>
        <v>M. 15349/SUKARAME I</v>
      </c>
      <c r="D11206" s="42"/>
      <c r="E11206" s="42"/>
      <c r="F11206" s="48" t="str">
        <f>IFERROR(__xludf.DUMMYFUNCTION("""COMPUTED_VALUE"""),"")</f>
        <v/>
      </c>
      <c r="G11206" s="42" t="str">
        <f>IFERROR(__xludf.DUMMYFUNCTION("""COMPUTED_VALUE"""),"ROYA")</f>
        <v>ROYA</v>
      </c>
      <c r="H11206" s="42">
        <f t="shared" si="1"/>
        <v>3345</v>
      </c>
    </row>
    <row r="11207" ht="22.5" customHeight="1">
      <c r="B11207" s="42" t="str">
        <f>IFERROR(__xludf.DUMMYFUNCTION("""COMPUTED_VALUE"""),"L/4/300126/1")</f>
        <v>L/4/300126/1</v>
      </c>
      <c r="C11207" s="42" t="str">
        <f>IFERROR(__xludf.DUMMYFUNCTION("""COMPUTED_VALUE"""),"M. 11223/SUKABUMI")</f>
        <v>M. 11223/SUKABUMI</v>
      </c>
      <c r="D11207" s="42"/>
      <c r="E11207" s="42"/>
      <c r="F11207" s="48" t="str">
        <f>IFERROR(__xludf.DUMMYFUNCTION("""COMPUTED_VALUE"""),"")</f>
        <v/>
      </c>
      <c r="G11207" s="42" t="str">
        <f>IFERROR(__xludf.DUMMYFUNCTION("""COMPUTED_VALUE"""),"ROYA")</f>
        <v>ROYA</v>
      </c>
      <c r="H11207" s="42">
        <f t="shared" si="1"/>
        <v>3345</v>
      </c>
    </row>
    <row r="11208" ht="22.5" customHeight="1">
      <c r="B11208" s="42" t="str">
        <f>IFERROR(__xludf.DUMMYFUNCTION("""COMPUTED_VALUE"""),"L/5/300126/1")</f>
        <v>L/5/300126/1</v>
      </c>
      <c r="C11208" s="42" t="str">
        <f>IFERROR(__xludf.DUMMYFUNCTION("""COMPUTED_VALUE"""),"M. 10299/KEDAMAIAN")</f>
        <v>M. 10299/KEDAMAIAN</v>
      </c>
      <c r="D11208" s="42"/>
      <c r="E11208" s="42"/>
      <c r="F11208" s="48" t="str">
        <f>IFERROR(__xludf.DUMMYFUNCTION("""COMPUTED_VALUE"""),"")</f>
        <v/>
      </c>
      <c r="G11208" s="42" t="str">
        <f>IFERROR(__xludf.DUMMYFUNCTION("""COMPUTED_VALUE"""),"ROYA")</f>
        <v>ROYA</v>
      </c>
      <c r="H11208" s="42">
        <f t="shared" si="1"/>
        <v>3345</v>
      </c>
    </row>
    <row r="11209" ht="22.5" customHeight="1">
      <c r="B11209" s="42" t="str">
        <f>IFERROR(__xludf.DUMMYFUNCTION("""COMPUTED_VALUE"""),"L/6/300126/1")</f>
        <v>L/6/300126/1</v>
      </c>
      <c r="C11209" s="42" t="str">
        <f>IFERROR(__xludf.DUMMYFUNCTION("""COMPUTED_VALUE"""),"M. 13335/RAJABASA")</f>
        <v>M. 13335/RAJABASA</v>
      </c>
      <c r="D11209" s="42"/>
      <c r="E11209" s="42"/>
      <c r="F11209" s="48" t="str">
        <f>IFERROR(__xludf.DUMMYFUNCTION("""COMPUTED_VALUE"""),"")</f>
        <v/>
      </c>
      <c r="G11209" s="42" t="str">
        <f>IFERROR(__xludf.DUMMYFUNCTION("""COMPUTED_VALUE"""),"M. 13335/RAJABASA")</f>
        <v>M. 13335/RAJABASA</v>
      </c>
      <c r="H11209" s="42">
        <f t="shared" si="1"/>
        <v>3345</v>
      </c>
    </row>
    <row r="11210" ht="22.5" customHeight="1">
      <c r="B11210" s="42" t="str">
        <f>IFERROR(__xludf.DUMMYFUNCTION("""COMPUTED_VALUE"""),"L/7/300126/1")</f>
        <v>L/7/300126/1</v>
      </c>
      <c r="C11210" s="42" t="str">
        <f>IFERROR(__xludf.DUMMYFUNCTION("""COMPUTED_VALUE"""),"M. 11062/SEGALA MIDER")</f>
        <v>M. 11062/SEGALA MIDER</v>
      </c>
      <c r="D11210" s="42"/>
      <c r="E11210" s="42"/>
      <c r="F11210" s="48" t="str">
        <f>IFERROR(__xludf.DUMMYFUNCTION("""COMPUTED_VALUE"""),"")</f>
        <v/>
      </c>
      <c r="G11210" s="42" t="str">
        <f>IFERROR(__xludf.DUMMYFUNCTION("""COMPUTED_VALUE"""),"ROYA WARIS")</f>
        <v>ROYA WARIS</v>
      </c>
      <c r="H11210" s="42">
        <f t="shared" si="1"/>
        <v>3345</v>
      </c>
    </row>
    <row r="11211" ht="22.5" customHeight="1">
      <c r="B11211" s="42" t="str">
        <f>IFERROR(__xludf.DUMMYFUNCTION("""COMPUTED_VALUE"""),"K/1/300126/1")</f>
        <v>K/1/300126/1</v>
      </c>
      <c r="C11211" s="42" t="str">
        <f>IFERROR(__xludf.DUMMYFUNCTION("""COMPUTED_VALUE"""),"M.3784/CAMPANG RAYA")</f>
        <v>M.3784/CAMPANG RAYA</v>
      </c>
      <c r="D11211" s="42"/>
      <c r="E11211" s="42"/>
      <c r="F11211" s="48" t="str">
        <f>IFERROR(__xludf.DUMMYFUNCTION("""COMPUTED_VALUE"""),"")</f>
        <v/>
      </c>
      <c r="G11211" s="42" t="str">
        <f>IFERROR(__xludf.DUMMYFUNCTION("""COMPUTED_VALUE"""),"SKPT LELANG")</f>
        <v>SKPT LELANG</v>
      </c>
      <c r="H11211" s="42">
        <f t="shared" si="1"/>
        <v>3345</v>
      </c>
    </row>
    <row r="11212" ht="22.5" customHeight="1">
      <c r="B11212" s="42" t="str">
        <f>IFERROR(__xludf.DUMMYFUNCTION("""COMPUTED_VALUE"""),"L/9/300126/1")</f>
        <v>L/9/300126/1</v>
      </c>
      <c r="C11212" s="42" t="str">
        <f>IFERROR(__xludf.DUMMYFUNCTION("""COMPUTED_VALUE"""),"B. 89/KEMILING PERMAI")</f>
        <v>B. 89/KEMILING PERMAI</v>
      </c>
      <c r="D11212" s="42"/>
      <c r="E11212" s="42"/>
      <c r="F11212" s="48" t="str">
        <f>IFERROR(__xludf.DUMMYFUNCTION("""COMPUTED_VALUE"""),"")</f>
        <v/>
      </c>
      <c r="G11212" s="42" t="str">
        <f>IFERROR(__xludf.DUMMYFUNCTION("""COMPUTED_VALUE"""),"PENINGKATAN HAK")</f>
        <v>PENINGKATAN HAK</v>
      </c>
      <c r="H11212" s="42">
        <f t="shared" si="1"/>
        <v>3345</v>
      </c>
    </row>
    <row r="11213" ht="22.5" customHeight="1">
      <c r="B11213" s="42" t="str">
        <f>IFERROR(__xludf.DUMMYFUNCTION("""COMPUTED_VALUE"""),"K/8/300126/1")</f>
        <v>K/8/300126/1</v>
      </c>
      <c r="C11213" s="42" t="str">
        <f>IFERROR(__xludf.DUMMYFUNCTION("""COMPUTED_VALUE"""),"M. 3784/CAMPANG RAYA")</f>
        <v>M. 3784/CAMPANG RAYA</v>
      </c>
      <c r="D11213" s="42"/>
      <c r="E11213" s="42"/>
      <c r="F11213" s="48" t="str">
        <f>IFERROR(__xludf.DUMMYFUNCTION("""COMPUTED_VALUE"""),"")</f>
        <v/>
      </c>
      <c r="G11213" s="42" t="str">
        <f>IFERROR(__xludf.DUMMYFUNCTION("""COMPUTED_VALUE"""),"SKPT LELANG")</f>
        <v>SKPT LELANG</v>
      </c>
      <c r="H11213" s="42">
        <f t="shared" si="1"/>
        <v>3345</v>
      </c>
    </row>
    <row r="11214" ht="22.5" customHeight="1">
      <c r="B11214" s="42" t="str">
        <f>IFERROR(__xludf.DUMMYFUNCTION("""COMPUTED_VALUE"""),"L/10/300126/1")</f>
        <v>L/10/300126/1</v>
      </c>
      <c r="C11214" s="42" t="str">
        <f>IFERROR(__xludf.DUMMYFUNCTION("""COMPUTED_VALUE"""),"M. 10510/SIDODADI")</f>
        <v>M. 10510/SIDODADI</v>
      </c>
      <c r="D11214" s="42"/>
      <c r="E11214" s="42"/>
      <c r="F11214" s="48" t="str">
        <f>IFERROR(__xludf.DUMMYFUNCTION("""COMPUTED_VALUE"""),"")</f>
        <v/>
      </c>
      <c r="G11214" s="42" t="str">
        <f>IFERROR(__xludf.DUMMYFUNCTION("""COMPUTED_VALUE"""),"ROYA")</f>
        <v>ROYA</v>
      </c>
      <c r="H11214" s="42">
        <f t="shared" si="1"/>
        <v>3345</v>
      </c>
    </row>
    <row r="11215" ht="22.5" customHeight="1">
      <c r="B11215" s="42" t="str">
        <f>IFERROR(__xludf.DUMMYFUNCTION("""COMPUTED_VALUE"""),"ABOXFHMG")</f>
        <v>ABOXFHMG</v>
      </c>
      <c r="C11215" s="42" t="str">
        <f>IFERROR(__xludf.DUMMYFUNCTION("""COMPUTED_VALUE"""),"02900/SukarameBaru")</f>
        <v>02900/SukarameBaru</v>
      </c>
      <c r="D11215" s="42"/>
      <c r="E11215" s="42"/>
      <c r="F11215" s="48" t="str">
        <f>IFERROR(__xludf.DUMMYFUNCTION("""COMPUTED_VALUE"""),"")</f>
        <v/>
      </c>
      <c r="G11215" s="42" t="str">
        <f>IFERROR(__xludf.DUMMYFUNCTION("""COMPUTED_VALUE"""),"Hibah")</f>
        <v>Hibah</v>
      </c>
      <c r="H11215" s="42">
        <f t="shared" si="1"/>
        <v>3345</v>
      </c>
    </row>
    <row r="11216" ht="22.5" customHeight="1">
      <c r="B11216" s="42" t="str">
        <f>IFERROR(__xludf.DUMMYFUNCTION("""COMPUTED_VALUE"""),"ABMJXNVF/AB025")</f>
        <v>ABMJXNVF/AB025</v>
      </c>
      <c r="C11216" s="42" t="str">
        <f>IFERROR(__xludf.DUMMYFUNCTION("""COMPUTED_VALUE"""),"M. 2039/Campang Jaya")</f>
        <v>M. 2039/Campang Jaya</v>
      </c>
      <c r="D11216" s="42"/>
      <c r="E11216" s="42"/>
      <c r="F11216" s="48" t="str">
        <f>IFERROR(__xludf.DUMMYFUNCTION("""COMPUTED_VALUE"""),"")</f>
        <v/>
      </c>
      <c r="G11216" s="42" t="str">
        <f>IFERROR(__xludf.DUMMYFUNCTION("""COMPUTED_VALUE"""),"Balik nama Ajb")</f>
        <v>Balik nama Ajb</v>
      </c>
      <c r="H11216" s="42">
        <f t="shared" si="1"/>
        <v>3345</v>
      </c>
    </row>
    <row r="11217" ht="22.5" customHeight="1">
      <c r="B11217" s="42" t="str">
        <f>IFERROR(__xludf.DUMMYFUNCTION("""COMPUTED_VALUE"""),"ABDBZVUB")</f>
        <v>ABDBZVUB</v>
      </c>
      <c r="C11217" s="42" t="str">
        <f>IFERROR(__xludf.DUMMYFUNCTION("""COMPUTED_VALUE"""),"M. 617/Palapa")</f>
        <v>M. 617/Palapa</v>
      </c>
      <c r="D11217" s="42"/>
      <c r="E11217" s="42"/>
      <c r="F11217" s="48" t="str">
        <f>IFERROR(__xludf.DUMMYFUNCTION("""COMPUTED_VALUE"""),"")</f>
        <v/>
      </c>
      <c r="G11217" s="42" t="str">
        <f>IFERROR(__xludf.DUMMYFUNCTION("""COMPUTED_VALUE"""),"Roya")</f>
        <v>Roya</v>
      </c>
      <c r="H11217" s="42">
        <f t="shared" si="1"/>
        <v>3345</v>
      </c>
    </row>
    <row r="11218" ht="22.5" customHeight="1">
      <c r="B11218" s="42" t="str">
        <f>IFERROR(__xludf.DUMMYFUNCTION("""COMPUTED_VALUE"""),"AB026/ABTPKOSZ")</f>
        <v>AB026/ABTPKOSZ</v>
      </c>
      <c r="C11218" s="42" t="str">
        <f>IFERROR(__xludf.DUMMYFUNCTION("""COMPUTED_VALUE"""),"M. 3430 Gunung Terang")</f>
        <v>M. 3430 Gunung Terang</v>
      </c>
      <c r="D11218" s="42"/>
      <c r="E11218" s="42"/>
      <c r="F11218" s="48" t="str">
        <f>IFERROR(__xludf.DUMMYFUNCTION("""COMPUTED_VALUE"""),"")</f>
        <v/>
      </c>
      <c r="G11218" s="42" t="str">
        <f>IFERROR(__xludf.DUMMYFUNCTION("""COMPUTED_VALUE"""),"Peralihan Hak")</f>
        <v>Peralihan Hak</v>
      </c>
      <c r="H11218" s="42">
        <f t="shared" si="1"/>
        <v>3345</v>
      </c>
    </row>
    <row r="11219" ht="22.5" customHeight="1">
      <c r="B11219" s="42" t="str">
        <f>IFERROR(__xludf.DUMMYFUNCTION("""COMPUTED_VALUE"""),"L/11/300126/1")</f>
        <v>L/11/300126/1</v>
      </c>
      <c r="C11219" s="42" t="str">
        <f>IFERROR(__xludf.DUMMYFUNCTION("""COMPUTED_VALUE"""),"B NIB. 28467/SUKABUMI")</f>
        <v>B NIB. 28467/SUKABUMI</v>
      </c>
      <c r="D11219" s="42"/>
      <c r="E11219" s="42"/>
      <c r="F11219" s="48" t="str">
        <f>IFERROR(__xludf.DUMMYFUNCTION("""COMPUTED_VALUE"""),"")</f>
        <v/>
      </c>
      <c r="G11219" s="42" t="str">
        <f>IFERROR(__xludf.DUMMYFUNCTION("""COMPUTED_VALUE"""),"BN WARIS")</f>
        <v>BN WARIS</v>
      </c>
      <c r="H11219" s="42">
        <f t="shared" si="1"/>
        <v>3345</v>
      </c>
    </row>
    <row r="11220" ht="22.5" customHeight="1">
      <c r="B11220" s="42" t="str">
        <f>IFERROR(__xludf.DUMMYFUNCTION("""COMPUTED_VALUE"""),"L/12/300126/1")</f>
        <v>L/12/300126/1</v>
      </c>
      <c r="C11220" s="42" t="str">
        <f>IFERROR(__xludf.DUMMYFUNCTION("""COMPUTED_VALUE"""),"B. 60/TANJUNG AGUNG")</f>
        <v>B. 60/TANJUNG AGUNG</v>
      </c>
      <c r="D11220" s="42"/>
      <c r="E11220" s="42"/>
      <c r="F11220" s="48" t="str">
        <f>IFERROR(__xludf.DUMMYFUNCTION("""COMPUTED_VALUE"""),"")</f>
        <v/>
      </c>
      <c r="G11220" s="42" t="str">
        <f>IFERROR(__xludf.DUMMYFUNCTION("""COMPUTED_VALUE"""),"PENINGKATAN HAK")</f>
        <v>PENINGKATAN HAK</v>
      </c>
      <c r="H11220" s="42">
        <f t="shared" si="1"/>
        <v>3345</v>
      </c>
    </row>
    <row r="11221" ht="22.5" customHeight="1">
      <c r="B11221" s="42" t="str">
        <f>IFERROR(__xludf.DUMMYFUNCTION("""COMPUTED_VALUE"""),"ABYVNODE/AB08")</f>
        <v>ABYVNODE/AB08</v>
      </c>
      <c r="C11221" s="42" t="str">
        <f>IFERROR(__xludf.DUMMYFUNCTION("""COMPUTED_VALUE"""),"M. 80/Sawah Brebes")</f>
        <v>M. 80/Sawah Brebes</v>
      </c>
      <c r="D11221" s="42"/>
      <c r="E11221" s="42"/>
      <c r="F11221" s="48" t="str">
        <f>IFERROR(__xludf.DUMMYFUNCTION("""COMPUTED_VALUE"""),"")</f>
        <v/>
      </c>
      <c r="G11221" s="42" t="str">
        <f>IFERROR(__xludf.DUMMYFUNCTION("""COMPUTED_VALUE"""),"Peralihan hak Jual beli")</f>
        <v>Peralihan hak Jual beli</v>
      </c>
      <c r="H11221" s="42">
        <f t="shared" si="1"/>
        <v>3345</v>
      </c>
    </row>
    <row r="11222" ht="22.5" customHeight="1">
      <c r="B11222" s="42" t="str">
        <f>IFERROR(__xludf.DUMMYFUNCTION("""COMPUTED_VALUE"""),"Abhstxvx")</f>
        <v>Abhstxvx</v>
      </c>
      <c r="C11222" s="42" t="str">
        <f>IFERROR(__xludf.DUMMYFUNCTION("""COMPUTED_VALUE"""),"M.246/k")</f>
        <v>M.246/k</v>
      </c>
      <c r="D11222" s="42"/>
      <c r="E11222" s="42"/>
      <c r="F11222" s="48" t="str">
        <f>IFERROR(__xludf.DUMMYFUNCTION("""COMPUTED_VALUE"""),"")</f>
        <v/>
      </c>
      <c r="G11222" s="42" t="str">
        <f>IFERROR(__xludf.DUMMYFUNCTION("""COMPUTED_VALUE"""),"Ganti kecamatan")</f>
        <v>Ganti kecamatan</v>
      </c>
      <c r="H11222" s="42">
        <f t="shared" si="1"/>
        <v>3345</v>
      </c>
    </row>
    <row r="11223" ht="22.5" customHeight="1">
      <c r="B11223" s="42" t="str">
        <f>IFERROR(__xludf.DUMMYFUNCTION("""COMPUTED_VALUE"""),"ABDELCVT")</f>
        <v>ABDELCVT</v>
      </c>
      <c r="C11223" s="42" t="str">
        <f>IFERROR(__xludf.DUMMYFUNCTION("""COMPUTED_VALUE"""),"M.863 GUNUNG TERANG")</f>
        <v>M.863 GUNUNG TERANG</v>
      </c>
      <c r="D11223" s="42"/>
      <c r="E11223" s="42"/>
      <c r="F11223" s="48" t="str">
        <f>IFERROR(__xludf.DUMMYFUNCTION("""COMPUTED_VALUE"""),"")</f>
        <v/>
      </c>
      <c r="G11223" s="42" t="str">
        <f>IFERROR(__xludf.DUMMYFUNCTION("""COMPUTED_VALUE"""),"BN jual beli")</f>
        <v>BN jual beli</v>
      </c>
      <c r="H11223" s="42">
        <f t="shared" si="1"/>
        <v>3345</v>
      </c>
    </row>
    <row r="11224" ht="22.5" customHeight="1">
      <c r="B11224" s="42" t="str">
        <f>IFERROR(__xludf.DUMMYFUNCTION("""COMPUTED_VALUE"""),"ABMREGRL")</f>
        <v>ABMREGRL</v>
      </c>
      <c r="C11224" s="42" t="str">
        <f>IFERROR(__xludf.DUMMYFUNCTION("""COMPUTED_VALUE"""),"M.252 / harapan jaya")</f>
        <v>M.252 / harapan jaya</v>
      </c>
      <c r="D11224" s="42"/>
      <c r="E11224" s="42"/>
      <c r="F11224" s="48" t="str">
        <f>IFERROR(__xludf.DUMMYFUNCTION("""COMPUTED_VALUE"""),"")</f>
        <v/>
      </c>
      <c r="G11224" s="42" t="str">
        <f>IFERROR(__xludf.DUMMYFUNCTION("""COMPUTED_VALUE"""),"Roya")</f>
        <v>Roya</v>
      </c>
      <c r="H11224" s="42">
        <f t="shared" si="1"/>
        <v>3345</v>
      </c>
    </row>
    <row r="11225" ht="22.5" customHeight="1">
      <c r="B11225" s="42" t="str">
        <f>IFERROR(__xludf.DUMMYFUNCTION("""COMPUTED_VALUE"""),"K/13/300126/1")</f>
        <v>K/13/300126/1</v>
      </c>
      <c r="C11225" s="42" t="str">
        <f>IFERROR(__xludf.DUMMYFUNCTION("""COMPUTED_VALUE"""),"M. 3782/BERINGIN RAYA")</f>
        <v>M. 3782/BERINGIN RAYA</v>
      </c>
      <c r="D11225" s="42"/>
      <c r="E11225" s="42"/>
      <c r="F11225" s="48" t="str">
        <f>IFERROR(__xludf.DUMMYFUNCTION("""COMPUTED_VALUE"""),"")</f>
        <v/>
      </c>
      <c r="G11225" s="42" t="str">
        <f>IFERROR(__xludf.DUMMYFUNCTION("""COMPUTED_VALUE"""),"ROYA")</f>
        <v>ROYA</v>
      </c>
      <c r="H11225" s="42">
        <f t="shared" si="1"/>
        <v>3345</v>
      </c>
    </row>
    <row r="11226" ht="22.5" customHeight="1">
      <c r="B11226" s="42" t="str">
        <f>IFERROR(__xludf.DUMMYFUNCTION("""COMPUTED_VALUE"""),"K/14/300126/1")</f>
        <v>K/14/300126/1</v>
      </c>
      <c r="C11226" s="42" t="str">
        <f>IFERROR(__xludf.DUMMYFUNCTION("""COMPUTED_VALUE"""),"M.669/BERINGIN JAYA")</f>
        <v>M.669/BERINGIN JAYA</v>
      </c>
      <c r="D11226" s="42"/>
      <c r="E11226" s="42"/>
      <c r="F11226" s="48" t="str">
        <f>IFERROR(__xludf.DUMMYFUNCTION("""COMPUTED_VALUE"""),"")</f>
        <v/>
      </c>
      <c r="G11226" s="42" t="str">
        <f>IFERROR(__xludf.DUMMYFUNCTION("""COMPUTED_VALUE"""),"HAPUS BPHTB")</f>
        <v>HAPUS BPHTB</v>
      </c>
      <c r="H11226" s="42">
        <f t="shared" si="1"/>
        <v>3345</v>
      </c>
    </row>
    <row r="11227" ht="22.5" customHeight="1">
      <c r="B11227" s="42" t="str">
        <f>IFERROR(__xludf.DUMMYFUNCTION("""COMPUTED_VALUE"""),"L/1/010226/1")</f>
        <v>L/1/010226/1</v>
      </c>
      <c r="C11227" s="42" t="str">
        <f>IFERROR(__xludf.DUMMYFUNCTION("""COMPUTED_VALUE"""),"B. 929/SUKARAME BARU")</f>
        <v>B. 929/SUKARAME BARU</v>
      </c>
      <c r="D11227" s="42"/>
      <c r="E11227" s="42"/>
      <c r="F11227" s="48" t="str">
        <f>IFERROR(__xludf.DUMMYFUNCTION("""COMPUTED_VALUE"""),"")</f>
        <v/>
      </c>
      <c r="G11227" s="42" t="str">
        <f>IFERROR(__xludf.DUMMYFUNCTION("""COMPUTED_VALUE"""),"PENINGKATAN HAK")</f>
        <v>PENINGKATAN HAK</v>
      </c>
      <c r="H11227" s="42">
        <f t="shared" si="1"/>
        <v>3345</v>
      </c>
    </row>
    <row r="11228" ht="22.5" customHeight="1">
      <c r="B11228" s="42" t="str">
        <f>IFERROR(__xludf.DUMMYFUNCTION("""COMPUTED_VALUE"""),"AAWHLIA")</f>
        <v>AAWHLIA</v>
      </c>
      <c r="C11228" s="42" t="str">
        <f>IFERROR(__xludf.DUMMYFUNCTION("""COMPUTED_VALUE"""),"NIBEL HGB 443 KEMILING PERMAI")</f>
        <v>NIBEL HGB 443 KEMILING PERMAI</v>
      </c>
      <c r="D11228" s="42"/>
      <c r="E11228" s="42"/>
      <c r="F11228" s="48" t="str">
        <f>IFERROR(__xludf.DUMMYFUNCTION("""COMPUTED_VALUE"""),"")</f>
        <v/>
      </c>
      <c r="G11228" s="42" t="str">
        <f>IFERROR(__xludf.DUMMYFUNCTION("""COMPUTED_VALUE"""),"PENINGKATAN HAK")</f>
        <v>PENINGKATAN HAK</v>
      </c>
      <c r="H11228" s="42">
        <f t="shared" si="1"/>
        <v>3345</v>
      </c>
    </row>
    <row r="11229" ht="22.5" customHeight="1">
      <c r="B11229" s="42" t="str">
        <f>IFERROR(__xludf.DUMMYFUNCTION("""COMPUTED_VALUE"""),"ABPCDQGP")</f>
        <v>ABPCDQGP</v>
      </c>
      <c r="C11229" s="42" t="str">
        <f>IFERROR(__xludf.DUMMYFUNCTION("""COMPUTED_VALUE"""),"08.01.000027592.0")</f>
        <v>08.01.000027592.0</v>
      </c>
      <c r="D11229" s="42"/>
      <c r="E11229" s="42"/>
      <c r="F11229" s="48" t="str">
        <f>IFERROR(__xludf.DUMMYFUNCTION("""COMPUTED_VALUE"""),"")</f>
        <v/>
      </c>
      <c r="G11229" s="42" t="str">
        <f>IFERROR(__xludf.DUMMYFUNCTION("""COMPUTED_VALUE"""),"BN")</f>
        <v>BN</v>
      </c>
      <c r="H11229" s="42">
        <f t="shared" si="1"/>
        <v>3345</v>
      </c>
    </row>
    <row r="11230" ht="22.5" customHeight="1">
      <c r="B11230" s="42" t="str">
        <f>IFERROR(__xludf.DUMMYFUNCTION("""COMPUTED_VALUE"""),"ABGOJNXO/AB003")</f>
        <v>ABGOJNXO/AB003</v>
      </c>
      <c r="C11230" s="42" t="str">
        <f>IFERROR(__xludf.DUMMYFUNCTION("""COMPUTED_VALUE"""),"M. 953/Pematang Wangi")</f>
        <v>M. 953/Pematang Wangi</v>
      </c>
      <c r="D11230" s="42"/>
      <c r="E11230" s="42"/>
      <c r="F11230" s="48" t="str">
        <f>IFERROR(__xludf.DUMMYFUNCTION("""COMPUTED_VALUE"""),"")</f>
        <v/>
      </c>
      <c r="G11230" s="42" t="str">
        <f>IFERROR(__xludf.DUMMYFUNCTION("""COMPUTED_VALUE"""),"Balik Nama")</f>
        <v>Balik Nama</v>
      </c>
      <c r="H11230" s="42">
        <f t="shared" si="1"/>
        <v>3345</v>
      </c>
    </row>
    <row r="11231" ht="22.5" customHeight="1">
      <c r="B11231" s="42" t="str">
        <f>IFERROR(__xludf.DUMMYFUNCTION("""COMPUTED_VALUE"""),"ABVTBKUA")</f>
        <v>ABVTBKUA</v>
      </c>
      <c r="C11231" s="42" t="str">
        <f>IFERROR(__xludf.DUMMYFUNCTION("""COMPUTED_VALUE"""),"Nibel. 23723")</f>
        <v>Nibel. 23723</v>
      </c>
      <c r="D11231" s="42"/>
      <c r="E11231" s="42"/>
      <c r="F11231" s="48" t="str">
        <f>IFERROR(__xludf.DUMMYFUNCTION("""COMPUTED_VALUE"""),"")</f>
        <v/>
      </c>
      <c r="G11231" s="42" t="str">
        <f>IFERROR(__xludf.DUMMYFUNCTION("""COMPUTED_VALUE"""),"Balik Nama")</f>
        <v>Balik Nama</v>
      </c>
      <c r="H11231" s="42">
        <f t="shared" si="1"/>
        <v>3345</v>
      </c>
    </row>
    <row r="11232" ht="22.5" customHeight="1">
      <c r="B11232" s="42" t="str">
        <f>IFERROR(__xludf.DUMMYFUNCTION("""COMPUTED_VALUE"""),"AEBLBPZ")</f>
        <v>AEBLBPZ</v>
      </c>
      <c r="C11232" s="42" t="str">
        <f>IFERROR(__xludf.DUMMYFUNCTION("""COMPUTED_VALUE"""),"M.9767 SUKARAME")</f>
        <v>M.9767 SUKARAME</v>
      </c>
      <c r="D11232" s="42"/>
      <c r="E11232" s="42"/>
      <c r="F11232" s="48" t="str">
        <f>IFERROR(__xludf.DUMMYFUNCTION("""COMPUTED_VALUE"""),"")</f>
        <v/>
      </c>
      <c r="G11232" s="42" t="str">
        <f>IFERROR(__xludf.DUMMYFUNCTION("""COMPUTED_VALUE"""),"SHM HILANG")</f>
        <v>SHM HILANG</v>
      </c>
      <c r="H11232" s="42">
        <f t="shared" si="1"/>
        <v>3345</v>
      </c>
    </row>
    <row r="11233" ht="22.5" customHeight="1">
      <c r="B11233" s="42" t="str">
        <f>IFERROR(__xludf.DUMMYFUNCTION("""COMPUTED_VALUE"""),"ABQGNNFE")</f>
        <v>ABQGNNFE</v>
      </c>
      <c r="C11233" s="42" t="str">
        <f>IFERROR(__xludf.DUMMYFUNCTION("""COMPUTED_VALUE"""),"08.01.00001754.0")</f>
        <v>08.01.00001754.0</v>
      </c>
      <c r="D11233" s="42"/>
      <c r="E11233" s="42"/>
      <c r="F11233" s="48" t="str">
        <f>IFERROR(__xludf.DUMMYFUNCTION("""COMPUTED_VALUE"""),"")</f>
        <v/>
      </c>
      <c r="G11233" s="42" t="str">
        <f>IFERROR(__xludf.DUMMYFUNCTION("""COMPUTED_VALUE"""),"Penataan Batas ")</f>
        <v>Penataan Batas </v>
      </c>
      <c r="H11233" s="42">
        <f t="shared" si="1"/>
        <v>3345</v>
      </c>
    </row>
    <row r="11234" ht="22.5" customHeight="1">
      <c r="B11234" s="42" t="str">
        <f>IFERROR(__xludf.DUMMYFUNCTION("""COMPUTED_VALUE"""),"ABPOXHPO/AB017")</f>
        <v>ABPOXHPO/AB017</v>
      </c>
      <c r="C11234" s="42" t="str">
        <f>IFERROR(__xludf.DUMMYFUNCTION("""COMPUTED_VALUE"""),"M. NIBEL 18803/Labuhan Ratu Raya")</f>
        <v>M. NIBEL 18803/Labuhan Ratu Raya</v>
      </c>
      <c r="D11234" s="42"/>
      <c r="E11234" s="42"/>
      <c r="F11234" s="48" t="str">
        <f>IFERROR(__xludf.DUMMYFUNCTION("""COMPUTED_VALUE"""),"")</f>
        <v/>
      </c>
      <c r="G11234" s="42" t="str">
        <f>IFERROR(__xludf.DUMMYFUNCTION("""COMPUTED_VALUE"""),"BN jual beli")</f>
        <v>BN jual beli</v>
      </c>
      <c r="H11234" s="42">
        <f t="shared" si="1"/>
        <v>3345</v>
      </c>
    </row>
    <row r="11235" ht="22.5" customHeight="1">
      <c r="B11235" s="42" t="str">
        <f>IFERROR(__xludf.DUMMYFUNCTION("""COMPUTED_VALUE"""),"ABFTJNTI")</f>
        <v>ABFTJNTI</v>
      </c>
      <c r="C11235" s="42" t="str">
        <f>IFERROR(__xludf.DUMMYFUNCTION("""COMPUTED_VALUE"""),"985/bkg")</f>
        <v>985/bkg</v>
      </c>
      <c r="D11235" s="42"/>
      <c r="E11235" s="42"/>
      <c r="F11235" s="48" t="str">
        <f>IFERROR(__xludf.DUMMYFUNCTION("""COMPUTED_VALUE"""),"")</f>
        <v/>
      </c>
      <c r="G11235" s="42" t="str">
        <f>IFERROR(__xludf.DUMMYFUNCTION("""COMPUTED_VALUE"""),"Balik nama")</f>
        <v>Balik nama</v>
      </c>
      <c r="H11235" s="42">
        <f t="shared" si="1"/>
        <v>3345</v>
      </c>
    </row>
    <row r="11236" ht="22.5" customHeight="1">
      <c r="B11236" s="42" t="str">
        <f>IFERROR(__xludf.DUMMYFUNCTION("""COMPUTED_VALUE"""),"L/1/020226/1")</f>
        <v>L/1/020226/1</v>
      </c>
      <c r="C11236" s="42" t="str">
        <f>IFERROR(__xludf.DUMMYFUNCTION("""COMPUTED_VALUE"""),"M. 457/KALIAWI PERSADA")</f>
        <v>M. 457/KALIAWI PERSADA</v>
      </c>
      <c r="D11236" s="42"/>
      <c r="E11236" s="42"/>
      <c r="F11236" s="48" t="str">
        <f>IFERROR(__xludf.DUMMYFUNCTION("""COMPUTED_VALUE"""),"")</f>
        <v/>
      </c>
      <c r="G11236" s="42" t="str">
        <f>IFERROR(__xludf.DUMMYFUNCTION("""COMPUTED_VALUE"""),"BN WARIS ")</f>
        <v>BN WARIS </v>
      </c>
      <c r="H11236" s="42">
        <f t="shared" si="1"/>
        <v>3345</v>
      </c>
    </row>
    <row r="11237" ht="22.5" customHeight="1">
      <c r="B11237" s="42" t="str">
        <f>IFERROR(__xludf.DUMMYFUNCTION("""COMPUTED_VALUE"""),"L/2/020226/1")</f>
        <v>L/2/020226/1</v>
      </c>
      <c r="C11237" s="42" t="str">
        <f>IFERROR(__xludf.DUMMYFUNCTION("""COMPUTED_VALUE"""),"M. 2450/KANGKUNG")</f>
        <v>M. 2450/KANGKUNG</v>
      </c>
      <c r="D11237" s="42"/>
      <c r="E11237" s="42"/>
      <c r="F11237" s="48" t="str">
        <f>IFERROR(__xludf.DUMMYFUNCTION("""COMPUTED_VALUE"""),"")</f>
        <v/>
      </c>
      <c r="G11237" s="42" t="str">
        <f>IFERROR(__xludf.DUMMYFUNCTION("""COMPUTED_VALUE"""),"HAPUS BPHTB")</f>
        <v>HAPUS BPHTB</v>
      </c>
      <c r="H11237" s="42">
        <f t="shared" si="1"/>
        <v>3345</v>
      </c>
    </row>
    <row r="11238" ht="22.5" customHeight="1">
      <c r="B11238" s="42" t="str">
        <f>IFERROR(__xludf.DUMMYFUNCTION("""COMPUTED_VALUE"""),"ABUFHBJV")</f>
        <v>ABUFHBJV</v>
      </c>
      <c r="C11238" s="42" t="str">
        <f>IFERROR(__xludf.DUMMYFUNCTION("""COMPUTED_VALUE"""),"M 14051/ TANJUNG BARU")</f>
        <v>M 14051/ TANJUNG BARU</v>
      </c>
      <c r="D11238" s="42"/>
      <c r="E11238" s="42"/>
      <c r="F11238" s="48" t="str">
        <f>IFERROR(__xludf.DUMMYFUNCTION("""COMPUTED_VALUE"""),"")</f>
        <v/>
      </c>
      <c r="G11238" s="42" t="str">
        <f>IFERROR(__xludf.DUMMYFUNCTION("""COMPUTED_VALUE"""),"Hibah")</f>
        <v>Hibah</v>
      </c>
      <c r="H11238" s="42">
        <f t="shared" si="1"/>
        <v>3345</v>
      </c>
    </row>
    <row r="11239" ht="22.5" customHeight="1">
      <c r="B11239" s="42" t="str">
        <f>IFERROR(__xludf.DUMMYFUNCTION("""COMPUTED_VALUE"""),"ABMCPKGQ/AB08")</f>
        <v>ABMCPKGQ/AB08</v>
      </c>
      <c r="C11239" s="42" t="str">
        <f>IFERROR(__xludf.DUMMYFUNCTION("""COMPUTED_VALUE"""),"M. NIBEL 27979/Batu Putuk")</f>
        <v>M. NIBEL 27979/Batu Putuk</v>
      </c>
      <c r="D11239" s="42"/>
      <c r="E11239" s="42"/>
      <c r="F11239" s="48" t="str">
        <f>IFERROR(__xludf.DUMMYFUNCTION("""COMPUTED_VALUE"""),"")</f>
        <v/>
      </c>
      <c r="G11239" s="42" t="str">
        <f>IFERROR(__xludf.DUMMYFUNCTION("""COMPUTED_VALUE"""),"Peralihan hak Jual beli")</f>
        <v>Peralihan hak Jual beli</v>
      </c>
      <c r="H11239" s="42">
        <f t="shared" si="1"/>
        <v>3345</v>
      </c>
    </row>
    <row r="11240" ht="22.5" customHeight="1">
      <c r="B11240" s="42" t="str">
        <f>IFERROR(__xludf.DUMMYFUNCTION("""COMPUTED_VALUE"""),"ABOIDVEE/AB08")</f>
        <v>ABOIDVEE/AB08</v>
      </c>
      <c r="C11240" s="42" t="str">
        <f>IFERROR(__xludf.DUMMYFUNCTION("""COMPUTED_VALUE"""),"M. 19750/Sukarame")</f>
        <v>M. 19750/Sukarame</v>
      </c>
      <c r="D11240" s="42"/>
      <c r="E11240" s="42"/>
      <c r="F11240" s="48" t="str">
        <f>IFERROR(__xludf.DUMMYFUNCTION("""COMPUTED_VALUE"""),"")</f>
        <v/>
      </c>
      <c r="G11240" s="42" t="str">
        <f>IFERROR(__xludf.DUMMYFUNCTION("""COMPUTED_VALUE"""),"Peralihan hak Jual beli")</f>
        <v>Peralihan hak Jual beli</v>
      </c>
      <c r="H11240" s="42">
        <f t="shared" si="1"/>
        <v>3345</v>
      </c>
    </row>
    <row r="11241" ht="22.5" customHeight="1">
      <c r="B11241" s="42" t="str">
        <f>IFERROR(__xludf.DUMMYFUNCTION("""COMPUTED_VALUE"""),"ABPZWSVS/1")</f>
        <v>ABPZWSVS/1</v>
      </c>
      <c r="C11241" s="42" t="str">
        <f>IFERROR(__xludf.DUMMYFUNCTION("""COMPUTED_VALUE"""),"Nibel 08.01.000018650.0/kangkung")</f>
        <v>Nibel 08.01.000018650.0/kangkung</v>
      </c>
      <c r="D11241" s="42"/>
      <c r="E11241" s="42"/>
      <c r="F11241" s="48" t="str">
        <f>IFERROR(__xludf.DUMMYFUNCTION("""COMPUTED_VALUE"""),"")</f>
        <v/>
      </c>
      <c r="G11241" s="42" t="str">
        <f>IFERROR(__xludf.DUMMYFUNCTION("""COMPUTED_VALUE"""),"Balik Nama")</f>
        <v>Balik Nama</v>
      </c>
      <c r="H11241" s="42">
        <f t="shared" si="1"/>
        <v>3345</v>
      </c>
    </row>
    <row r="11242" ht="22.5" customHeight="1">
      <c r="B11242" s="42" t="str">
        <f>IFERROR(__xludf.DUMMYFUNCTION("""COMPUTED_VALUE"""),"ABRWTAWE")</f>
        <v>ABRWTAWE</v>
      </c>
      <c r="C11242" s="42" t="str">
        <f>IFERROR(__xludf.DUMMYFUNCTION("""COMPUTED_VALUE"""),"Nibel.25455/tanjung senang")</f>
        <v>Nibel.25455/tanjung senang</v>
      </c>
      <c r="D11242" s="42"/>
      <c r="E11242" s="42"/>
      <c r="F11242" s="48" t="str">
        <f>IFERROR(__xludf.DUMMYFUNCTION("""COMPUTED_VALUE"""),"")</f>
        <v/>
      </c>
      <c r="G11242" s="42" t="str">
        <f>IFERROR(__xludf.DUMMYFUNCTION("""COMPUTED_VALUE"""),"DAFTAR UKUR PEMECAHAN")</f>
        <v>DAFTAR UKUR PEMECAHAN</v>
      </c>
      <c r="H11242" s="42">
        <f t="shared" si="1"/>
        <v>3345</v>
      </c>
    </row>
    <row r="11243" ht="22.5" customHeight="1">
      <c r="B11243" s="42" t="str">
        <f>IFERROR(__xludf.DUMMYFUNCTION("""COMPUTED_VALUE"""),"ABZVNPBF")</f>
        <v>ABZVNPBF</v>
      </c>
      <c r="C11243" s="42" t="str">
        <f>IFERROR(__xludf.DUMMYFUNCTION("""COMPUTED_VALUE"""),"M.01564/langkapura")</f>
        <v>M.01564/langkapura</v>
      </c>
      <c r="D11243" s="42"/>
      <c r="E11243" s="42"/>
      <c r="F11243" s="48" t="str">
        <f>IFERROR(__xludf.DUMMYFUNCTION("""COMPUTED_VALUE"""),"")</f>
        <v/>
      </c>
      <c r="G11243" s="42" t="str">
        <f>IFERROR(__xludf.DUMMYFUNCTION("""COMPUTED_VALUE"""),"Daftar ukur pemecahan")</f>
        <v>Daftar ukur pemecahan</v>
      </c>
      <c r="H11243" s="42">
        <f t="shared" si="1"/>
        <v>3345</v>
      </c>
    </row>
    <row r="11244" ht="22.5" customHeight="1">
      <c r="B11244" s="42" t="str">
        <f>IFERROR(__xludf.DUMMYFUNCTION("""COMPUTED_VALUE"""),"AB029")</f>
        <v>AB029</v>
      </c>
      <c r="C11244" s="42" t="str">
        <f>IFERROR(__xludf.DUMMYFUNCTION("""COMPUTED_VALUE"""),"08.01.000030006.0")</f>
        <v>08.01.000030006.0</v>
      </c>
      <c r="D11244" s="42"/>
      <c r="E11244" s="42"/>
      <c r="F11244" s="48" t="str">
        <f>IFERROR(__xludf.DUMMYFUNCTION("""COMPUTED_VALUE"""),"")</f>
        <v/>
      </c>
      <c r="G11244" s="42" t="str">
        <f>IFERROR(__xludf.DUMMYFUNCTION("""COMPUTED_VALUE"""),"PERALIHAN HAK")</f>
        <v>PERALIHAN HAK</v>
      </c>
      <c r="H11244" s="42">
        <f t="shared" si="1"/>
        <v>3345</v>
      </c>
    </row>
    <row r="11245" ht="22.5" customHeight="1">
      <c r="B11245" s="42" t="str">
        <f>IFERROR(__xludf.DUMMYFUNCTION("""COMPUTED_VALUE"""),"L/3/020226/1")</f>
        <v>L/3/020226/1</v>
      </c>
      <c r="C11245" s="42" t="str">
        <f>IFERROR(__xludf.DUMMYFUNCTION("""COMPUTED_VALUE"""),"B. 247/NUSANTARA PERMAI")</f>
        <v>B. 247/NUSANTARA PERMAI</v>
      </c>
      <c r="D11245" s="42"/>
      <c r="E11245" s="42"/>
      <c r="F11245" s="48" t="str">
        <f>IFERROR(__xludf.DUMMYFUNCTION("""COMPUTED_VALUE"""),"")</f>
        <v/>
      </c>
      <c r="G11245" s="42" t="str">
        <f>IFERROR(__xludf.DUMMYFUNCTION("""COMPUTED_VALUE"""),"PENINGKATAN HAK")</f>
        <v>PENINGKATAN HAK</v>
      </c>
      <c r="H11245" s="42">
        <f t="shared" si="1"/>
        <v>3345</v>
      </c>
    </row>
    <row r="11246" ht="22.5" customHeight="1">
      <c r="B11246" s="42" t="str">
        <f>IFERROR(__xludf.DUMMYFUNCTION("""COMPUTED_VALUE"""),"ABGDSRDX/AB028")</f>
        <v>ABGDSRDX/AB028</v>
      </c>
      <c r="C11246" s="42" t="str">
        <f>IFERROR(__xludf.DUMMYFUNCTION("""COMPUTED_VALUE"""),"M. 172/Perumnas Way Kandis")</f>
        <v>M. 172/Perumnas Way Kandis</v>
      </c>
      <c r="D11246" s="42"/>
      <c r="E11246" s="42"/>
      <c r="F11246" s="48" t="str">
        <f>IFERROR(__xludf.DUMMYFUNCTION("""COMPUTED_VALUE"""),"")</f>
        <v/>
      </c>
      <c r="G11246" s="42" t="str">
        <f>IFERROR(__xludf.DUMMYFUNCTION("""COMPUTED_VALUE"""),"BN Waris")</f>
        <v>BN Waris</v>
      </c>
      <c r="H11246" s="42">
        <f t="shared" si="1"/>
        <v>3345</v>
      </c>
    </row>
    <row r="11247" ht="22.5" customHeight="1">
      <c r="B11247" s="42" t="str">
        <f>IFERROR(__xludf.DUMMYFUNCTION("""COMPUTED_VALUE"""),"ABNBPEVW")</f>
        <v>ABNBPEVW</v>
      </c>
      <c r="C11247" s="42" t="str">
        <f>IFERROR(__xludf.DUMMYFUNCTION("""COMPUTED_VALUE"""),"SHM no 01456")</f>
        <v>SHM no 01456</v>
      </c>
      <c r="D11247" s="42"/>
      <c r="E11247" s="42"/>
      <c r="F11247" s="48" t="str">
        <f>IFERROR(__xludf.DUMMYFUNCTION("""COMPUTED_VALUE"""),"")</f>
        <v/>
      </c>
      <c r="G11247" s="42" t="str">
        <f>IFERROR(__xludf.DUMMYFUNCTION("""COMPUTED_VALUE"""),"BN jual beli")</f>
        <v>BN jual beli</v>
      </c>
      <c r="H11247" s="42">
        <f t="shared" si="1"/>
        <v>3345</v>
      </c>
    </row>
    <row r="11248" ht="22.5" customHeight="1">
      <c r="B11248" s="42" t="str">
        <f>IFERROR(__xludf.DUMMYFUNCTION("""COMPUTED_VALUE"""),"030")</f>
        <v>030</v>
      </c>
      <c r="C11248" s="42">
        <f>IFERROR(__xludf.DUMMYFUNCTION("""COMPUTED_VALUE"""),25278.0)</f>
        <v>25278</v>
      </c>
      <c r="D11248" s="42"/>
      <c r="E11248" s="42"/>
      <c r="F11248" s="48" t="str">
        <f>IFERROR(__xludf.DUMMYFUNCTION("""COMPUTED_VALUE"""),"")</f>
        <v/>
      </c>
      <c r="G11248" s="42" t="str">
        <f>IFERROR(__xludf.DUMMYFUNCTION("""COMPUTED_VALUE"""),"Perbaikan data")</f>
        <v>Perbaikan data</v>
      </c>
      <c r="H11248" s="42">
        <f t="shared" si="1"/>
        <v>3345</v>
      </c>
    </row>
    <row r="11249" ht="22.5" customHeight="1">
      <c r="B11249" s="42" t="str">
        <f>IFERROR(__xludf.DUMMYFUNCTION("""COMPUTED_VALUE"""),"030")</f>
        <v>030</v>
      </c>
      <c r="C11249" s="42">
        <f>IFERROR(__xludf.DUMMYFUNCTION("""COMPUTED_VALUE"""),25653.0)</f>
        <v>25653</v>
      </c>
      <c r="D11249" s="42"/>
      <c r="E11249" s="42"/>
      <c r="F11249" s="48" t="str">
        <f>IFERROR(__xludf.DUMMYFUNCTION("""COMPUTED_VALUE"""),"")</f>
        <v/>
      </c>
      <c r="G11249" s="42" t="str">
        <f>IFERROR(__xludf.DUMMYFUNCTION("""COMPUTED_VALUE"""),"Perbaikan data")</f>
        <v>Perbaikan data</v>
      </c>
      <c r="H11249" s="42">
        <f t="shared" si="1"/>
        <v>3345</v>
      </c>
    </row>
    <row r="11250" ht="22.5" customHeight="1">
      <c r="B11250" s="42" t="str">
        <f>IFERROR(__xludf.DUMMYFUNCTION("""COMPUTED_VALUE"""),"ABITWJLI")</f>
        <v>ABITWJLI</v>
      </c>
      <c r="C11250" s="42" t="str">
        <f>IFERROR(__xludf.DUMMYFUNCTION("""COMPUTED_VALUE"""),"NIBEL M 18166/ KORPRI JAYA")</f>
        <v>NIBEL M 18166/ KORPRI JAYA</v>
      </c>
      <c r="D11250" s="42"/>
      <c r="E11250" s="42"/>
      <c r="F11250" s="48" t="str">
        <f>IFERROR(__xludf.DUMMYFUNCTION("""COMPUTED_VALUE"""),"")</f>
        <v/>
      </c>
      <c r="G11250" s="42" t="str">
        <f>IFERROR(__xludf.DUMMYFUNCTION("""COMPUTED_VALUE"""),"Peralihan hak ")</f>
        <v>Peralihan hak </v>
      </c>
      <c r="H11250" s="42">
        <f t="shared" si="1"/>
        <v>3345</v>
      </c>
    </row>
    <row r="11251" ht="22.5" customHeight="1">
      <c r="B11251" s="42" t="str">
        <f>IFERROR(__xludf.DUMMYFUNCTION("""COMPUTED_VALUE"""),"AJHHVFJ")</f>
        <v>AJHHVFJ</v>
      </c>
      <c r="C11251" s="42" t="str">
        <f>IFERROR(__xludf.DUMMYFUNCTION("""COMPUTED_VALUE"""),"B.4813 SUKABUMI")</f>
        <v>B.4813 SUKABUMI</v>
      </c>
      <c r="D11251" s="42"/>
      <c r="E11251" s="42"/>
      <c r="F11251" s="48" t="str">
        <f>IFERROR(__xludf.DUMMYFUNCTION("""COMPUTED_VALUE"""),"")</f>
        <v/>
      </c>
      <c r="G11251" s="42" t="str">
        <f>IFERROR(__xludf.DUMMYFUNCTION("""COMPUTED_VALUE"""),"PERUBAHAN HAK")</f>
        <v>PERUBAHAN HAK</v>
      </c>
      <c r="H11251" s="42">
        <f t="shared" si="1"/>
        <v>3345</v>
      </c>
    </row>
    <row r="11252" ht="22.5" customHeight="1">
      <c r="B11252" s="42" t="str">
        <f>IFERROR(__xludf.DUMMYFUNCTION("""COMPUTED_VALUE"""),"AMQYZBT")</f>
        <v>AMQYZBT</v>
      </c>
      <c r="C11252" s="42" t="str">
        <f>IFERROR(__xludf.DUMMYFUNCTION("""COMPUTED_VALUE"""),"M.1494 SUMBERREJO SEJAHTERA")</f>
        <v>M.1494 SUMBERREJO SEJAHTERA</v>
      </c>
      <c r="D11252" s="42"/>
      <c r="E11252" s="42"/>
      <c r="F11252" s="48" t="str">
        <f>IFERROR(__xludf.DUMMYFUNCTION("""COMPUTED_VALUE"""),"")</f>
        <v/>
      </c>
      <c r="G11252" s="42" t="str">
        <f>IFERROR(__xludf.DUMMYFUNCTION("""COMPUTED_VALUE"""),"PTPGT")</f>
        <v>PTPGT</v>
      </c>
      <c r="H11252" s="42">
        <f t="shared" si="1"/>
        <v>3345</v>
      </c>
    </row>
    <row r="11253" ht="22.5" customHeight="1">
      <c r="B11253" s="42" t="str">
        <f>IFERROR(__xludf.DUMMYFUNCTION("""COMPUTED_VALUE"""),"ABDKUEMN")</f>
        <v>ABDKUEMN</v>
      </c>
      <c r="C11253" s="42" t="str">
        <f>IFERROR(__xludf.DUMMYFUNCTION("""COMPUTED_VALUE"""),"M 608/ BATU PUTUK")</f>
        <v>M 608/ BATU PUTUK</v>
      </c>
      <c r="D11253" s="42"/>
      <c r="E11253" s="42"/>
      <c r="F11253" s="48" t="str">
        <f>IFERROR(__xludf.DUMMYFUNCTION("""COMPUTED_VALUE"""),"")</f>
        <v/>
      </c>
      <c r="G11253" s="42" t="str">
        <f>IFERROR(__xludf.DUMMYFUNCTION("""COMPUTED_VALUE"""),"BN jual beli")</f>
        <v>BN jual beli</v>
      </c>
      <c r="H11253" s="42">
        <f t="shared" si="1"/>
        <v>3345</v>
      </c>
    </row>
    <row r="11254" ht="22.5" customHeight="1">
      <c r="B11254" s="42" t="str">
        <f>IFERROR(__xludf.DUMMYFUNCTION("""COMPUTED_VALUE"""),"ABUGIINN")</f>
        <v>ABUGIINN</v>
      </c>
      <c r="C11254" s="42" t="str">
        <f>IFERROR(__xludf.DUMMYFUNCTION("""COMPUTED_VALUE"""),"NIBEL M 22877/ CAMPANG RAYA")</f>
        <v>NIBEL M 22877/ CAMPANG RAYA</v>
      </c>
      <c r="D11254" s="42"/>
      <c r="E11254" s="42"/>
      <c r="F11254" s="48" t="str">
        <f>IFERROR(__xludf.DUMMYFUNCTION("""COMPUTED_VALUE"""),"")</f>
        <v/>
      </c>
      <c r="G11254" s="42" t="str">
        <f>IFERROR(__xludf.DUMMYFUNCTION("""COMPUTED_VALUE"""),"BN jual beli")</f>
        <v>BN jual beli</v>
      </c>
      <c r="H11254" s="42">
        <f t="shared" si="1"/>
        <v>3345</v>
      </c>
    </row>
    <row r="11255" ht="22.5" customHeight="1">
      <c r="B11255" s="42" t="str">
        <f>IFERROR(__xludf.DUMMYFUNCTION("""COMPUTED_VALUE"""),"ABNSVJVH")</f>
        <v>ABNSVJVH</v>
      </c>
      <c r="C11255" s="42" t="str">
        <f>IFERROR(__xludf.DUMMYFUNCTION("""COMPUTED_VALUE"""),"m 2925/ labuhan dalam")</f>
        <v>m 2925/ labuhan dalam</v>
      </c>
      <c r="D11255" s="42"/>
      <c r="E11255" s="42"/>
      <c r="F11255" s="48" t="str">
        <f>IFERROR(__xludf.DUMMYFUNCTION("""COMPUTED_VALUE"""),"")</f>
        <v/>
      </c>
      <c r="G11255" s="42" t="str">
        <f>IFERROR(__xludf.DUMMYFUNCTION("""COMPUTED_VALUE"""),"BALIK NAMA")</f>
        <v>BALIK NAMA</v>
      </c>
      <c r="H11255" s="42">
        <f t="shared" si="1"/>
        <v>3345</v>
      </c>
    </row>
    <row r="11256" ht="22.5" customHeight="1">
      <c r="B11256" s="42" t="str">
        <f>IFERROR(__xludf.DUMMYFUNCTION("""COMPUTED_VALUE"""),"ABZHNINE/AB08")</f>
        <v>ABZHNINE/AB08</v>
      </c>
      <c r="C11256" s="42" t="str">
        <f>IFERROR(__xludf.DUMMYFUNCTION("""COMPUTED_VALUE"""),"M 2461/sukadanaham")</f>
        <v>M 2461/sukadanaham</v>
      </c>
      <c r="D11256" s="42"/>
      <c r="E11256" s="42"/>
      <c r="F11256" s="48" t="str">
        <f>IFERROR(__xludf.DUMMYFUNCTION("""COMPUTED_VALUE"""),"")</f>
        <v/>
      </c>
      <c r="G11256" s="42" t="str">
        <f>IFERROR(__xludf.DUMMYFUNCTION("""COMPUTED_VALUE"""),"Peralihan hak Jual beli")</f>
        <v>Peralihan hak Jual beli</v>
      </c>
      <c r="H11256" s="42">
        <f t="shared" si="1"/>
        <v>3345</v>
      </c>
    </row>
    <row r="11257" ht="22.5" customHeight="1">
      <c r="B11257" s="42" t="str">
        <f>IFERROR(__xludf.DUMMYFUNCTION("""COMPUTED_VALUE"""),"Abadevkr")</f>
        <v>Abadevkr</v>
      </c>
      <c r="C11257" s="42" t="str">
        <f>IFERROR(__xludf.DUMMYFUNCTION("""COMPUTED_VALUE"""),"M. 367/ Pesawahan")</f>
        <v>M. 367/ Pesawahan</v>
      </c>
      <c r="D11257" s="42"/>
      <c r="E11257" s="42"/>
      <c r="F11257" s="48" t="str">
        <f>IFERROR(__xludf.DUMMYFUNCTION("""COMPUTED_VALUE"""),"")</f>
        <v/>
      </c>
      <c r="G11257" s="42" t="str">
        <f>IFERROR(__xludf.DUMMYFUNCTION("""COMPUTED_VALUE"""),"Ganti nama kota madya")</f>
        <v>Ganti nama kota madya</v>
      </c>
      <c r="H11257" s="42">
        <f t="shared" si="1"/>
        <v>3345</v>
      </c>
    </row>
    <row r="11258" ht="22.5" customHeight="1">
      <c r="B11258" s="42" t="str">
        <f>IFERROR(__xludf.DUMMYFUNCTION("""COMPUTED_VALUE"""),"L/1/030226/1")</f>
        <v>L/1/030226/1</v>
      </c>
      <c r="C11258" s="42" t="str">
        <f>IFERROR(__xludf.DUMMYFUNCTION("""COMPUTED_VALUE"""),"M. 2715/RAJABASA JAYA")</f>
        <v>M. 2715/RAJABASA JAYA</v>
      </c>
      <c r="D11258" s="42"/>
      <c r="E11258" s="42"/>
      <c r="F11258" s="48" t="str">
        <f>IFERROR(__xludf.DUMMYFUNCTION("""COMPUTED_VALUE"""),"")</f>
        <v/>
      </c>
      <c r="G11258" s="42" t="str">
        <f>IFERROR(__xludf.DUMMYFUNCTION("""COMPUTED_VALUE"""),"ROYA")</f>
        <v>ROYA</v>
      </c>
      <c r="H11258" s="42">
        <f t="shared" si="1"/>
        <v>3345</v>
      </c>
    </row>
    <row r="11259" ht="22.5" customHeight="1">
      <c r="B11259" s="42" t="str">
        <f>IFERROR(__xludf.DUMMYFUNCTION("""COMPUTED_VALUE"""),"ABKHXVAL/025/03022026")</f>
        <v>ABKHXVAL/025/03022026</v>
      </c>
      <c r="C11259" s="42" t="str">
        <f>IFERROR(__xludf.DUMMYFUNCTION("""COMPUTED_VALUE"""),"08.01.000023063.0")</f>
        <v>08.01.000023063.0</v>
      </c>
      <c r="D11259" s="42"/>
      <c r="E11259" s="42"/>
      <c r="F11259" s="48" t="str">
        <f>IFERROR(__xludf.DUMMYFUNCTION("""COMPUTED_VALUE"""),"")</f>
        <v/>
      </c>
      <c r="G11259" s="42" t="str">
        <f>IFERROR(__xludf.DUMMYFUNCTION("""COMPUTED_VALUE"""),"Perubahan hak")</f>
        <v>Perubahan hak</v>
      </c>
      <c r="H11259" s="42">
        <f t="shared" si="1"/>
        <v>3345</v>
      </c>
    </row>
    <row r="11260" ht="22.5" customHeight="1">
      <c r="B11260" s="42" t="str">
        <f>IFERROR(__xludf.DUMMYFUNCTION("""COMPUTED_VALUE"""),"ABQSBKCG/1")</f>
        <v>ABQSBKCG/1</v>
      </c>
      <c r="C11260" s="42" t="str">
        <f>IFERROR(__xludf.DUMMYFUNCTION("""COMPUTED_VALUE"""),"M.9483/Surabaya")</f>
        <v>M.9483/Surabaya</v>
      </c>
      <c r="D11260" s="42"/>
      <c r="E11260" s="42"/>
      <c r="F11260" s="48" t="str">
        <f>IFERROR(__xludf.DUMMYFUNCTION("""COMPUTED_VALUE"""),"")</f>
        <v/>
      </c>
      <c r="G11260" s="42" t="str">
        <f>IFERROR(__xludf.DUMMYFUNCTION("""COMPUTED_VALUE"""),"bn hibah")</f>
        <v>bn hibah</v>
      </c>
      <c r="H11260" s="42">
        <f t="shared" si="1"/>
        <v>3345</v>
      </c>
    </row>
    <row r="11261" ht="22.5" customHeight="1">
      <c r="B11261" s="42" t="str">
        <f>IFERROR(__xludf.DUMMYFUNCTION("""COMPUTED_VALUE"""),"ABQHWURW/1")</f>
        <v>ABQHWURW/1</v>
      </c>
      <c r="C11261" s="42" t="str">
        <f>IFERROR(__xludf.DUMMYFUNCTION("""COMPUTED_VALUE"""),"B.4991/Campang Raya")</f>
        <v>B.4991/Campang Raya</v>
      </c>
      <c r="D11261" s="42"/>
      <c r="E11261" s="42"/>
      <c r="F11261" s="48" t="str">
        <f>IFERROR(__xludf.DUMMYFUNCTION("""COMPUTED_VALUE"""),"")</f>
        <v/>
      </c>
      <c r="G11261" s="42" t="str">
        <f>IFERROR(__xludf.DUMMYFUNCTION("""COMPUTED_VALUE"""),"Bn jual beli")</f>
        <v>Bn jual beli</v>
      </c>
      <c r="H11261" s="42">
        <f t="shared" si="1"/>
        <v>3345</v>
      </c>
    </row>
    <row r="11262" ht="22.5" customHeight="1">
      <c r="B11262" s="42" t="str">
        <f>IFERROR(__xludf.DUMMYFUNCTION("""COMPUTED_VALUE"""),"ABDXMKKV/AB021/03022026")</f>
        <v>ABDXMKKV/AB021/03022026</v>
      </c>
      <c r="C11262" s="42" t="str">
        <f>IFERROR(__xludf.DUMMYFUNCTION("""COMPUTED_VALUE"""),"08.01.000016414.0")</f>
        <v>08.01.000016414.0</v>
      </c>
      <c r="D11262" s="42"/>
      <c r="E11262" s="42"/>
      <c r="F11262" s="48" t="str">
        <f>IFERROR(__xludf.DUMMYFUNCTION("""COMPUTED_VALUE"""),"")</f>
        <v/>
      </c>
      <c r="G11262" s="42" t="str">
        <f>IFERROR(__xludf.DUMMYFUNCTION("""COMPUTED_VALUE"""),"Peralihan hak")</f>
        <v>Peralihan hak</v>
      </c>
      <c r="H11262" s="42">
        <f t="shared" si="1"/>
        <v>3345</v>
      </c>
    </row>
    <row r="11263" ht="22.5" customHeight="1">
      <c r="B11263" s="42" t="str">
        <f>IFERROR(__xludf.DUMMYFUNCTION("""COMPUTED_VALUE"""),"ABLVSJUK/AB018")</f>
        <v>ABLVSJUK/AB018</v>
      </c>
      <c r="C11263" s="42" t="str">
        <f>IFERROR(__xludf.DUMMYFUNCTION("""COMPUTED_VALUE"""),"M. 14923/Sukarame")</f>
        <v>M. 14923/Sukarame</v>
      </c>
      <c r="D11263" s="42"/>
      <c r="E11263" s="42"/>
      <c r="F11263" s="48" t="str">
        <f>IFERROR(__xludf.DUMMYFUNCTION("""COMPUTED_VALUE"""),"")</f>
        <v/>
      </c>
      <c r="G11263" s="42" t="str">
        <f>IFERROR(__xludf.DUMMYFUNCTION("""COMPUTED_VALUE"""),"SKPT Informasi")</f>
        <v>SKPT Informasi</v>
      </c>
      <c r="H11263" s="42">
        <f t="shared" si="1"/>
        <v>3345</v>
      </c>
    </row>
    <row r="11264" ht="22.5" customHeight="1">
      <c r="B11264" s="42" t="str">
        <f>IFERROR(__xludf.DUMMYFUNCTION("""COMPUTED_VALUE"""),"ABWHQRHR")</f>
        <v>ABWHQRHR</v>
      </c>
      <c r="C11264" s="42">
        <f>IFERROR(__xludf.DUMMYFUNCTION("""COMPUTED_VALUE"""),93.0)</f>
        <v>93</v>
      </c>
      <c r="D11264" s="42"/>
      <c r="E11264" s="42"/>
      <c r="F11264" s="48" t="str">
        <f>IFERROR(__xludf.DUMMYFUNCTION("""COMPUTED_VALUE"""),"")</f>
        <v/>
      </c>
      <c r="G11264" s="42" t="str">
        <f>IFERROR(__xludf.DUMMYFUNCTION("""COMPUTED_VALUE"""),"WARIS")</f>
        <v>WARIS</v>
      </c>
      <c r="H11264" s="42">
        <f t="shared" si="1"/>
        <v>3345</v>
      </c>
    </row>
    <row r="11265" ht="22.5" customHeight="1">
      <c r="B11265" s="42" t="str">
        <f>IFERROR(__xludf.DUMMYFUNCTION("""COMPUTED_VALUE"""),"ABCHIAVD")</f>
        <v>ABCHIAVD</v>
      </c>
      <c r="C11265" s="42" t="str">
        <f>IFERROR(__xludf.DUMMYFUNCTION("""COMPUTED_VALUE"""),"Nibel. 24390")</f>
        <v>Nibel. 24390</v>
      </c>
      <c r="D11265" s="42"/>
      <c r="E11265" s="42"/>
      <c r="F11265" s="48" t="str">
        <f>IFERROR(__xludf.DUMMYFUNCTION("""COMPUTED_VALUE"""),"")</f>
        <v/>
      </c>
      <c r="G11265" s="42" t="str">
        <f>IFERROR(__xludf.DUMMYFUNCTION("""COMPUTED_VALUE"""),"Balik Nama")</f>
        <v>Balik Nama</v>
      </c>
      <c r="H11265" s="42">
        <f t="shared" si="1"/>
        <v>3345</v>
      </c>
    </row>
    <row r="11266" ht="22.5" customHeight="1">
      <c r="B11266" s="42" t="str">
        <f>IFERROR(__xludf.DUMMYFUNCTION("""COMPUTED_VALUE"""),"ABOMNECV")</f>
        <v>ABOMNECV</v>
      </c>
      <c r="C11266" s="42" t="str">
        <f>IFERROR(__xludf.DUMMYFUNCTION("""COMPUTED_VALUE"""),"Nibel. 19790")</f>
        <v>Nibel. 19790</v>
      </c>
      <c r="D11266" s="42"/>
      <c r="E11266" s="42"/>
      <c r="F11266" s="48" t="str">
        <f>IFERROR(__xludf.DUMMYFUNCTION("""COMPUTED_VALUE"""),"")</f>
        <v/>
      </c>
      <c r="G11266" s="42" t="str">
        <f>IFERROR(__xludf.DUMMYFUNCTION("""COMPUTED_VALUE"""),"Balik Nama")</f>
        <v>Balik Nama</v>
      </c>
      <c r="H11266" s="42">
        <f t="shared" si="1"/>
        <v>3345</v>
      </c>
    </row>
    <row r="11267" ht="22.5" customHeight="1">
      <c r="B11267" s="42" t="str">
        <f>IFERROR(__xludf.DUMMYFUNCTION("""COMPUTED_VALUE"""),"ABFVSKXL/AB022")</f>
        <v>ABFVSKXL/AB022</v>
      </c>
      <c r="C11267" s="42" t="str">
        <f>IFERROR(__xludf.DUMMYFUNCTION("""COMPUTED_VALUE"""),"M. 1368/SUKARAJA")</f>
        <v>M. 1368/SUKARAJA</v>
      </c>
      <c r="D11267" s="42"/>
      <c r="E11267" s="42"/>
      <c r="F11267" s="48" t="str">
        <f>IFERROR(__xludf.DUMMYFUNCTION("""COMPUTED_VALUE"""),"")</f>
        <v/>
      </c>
      <c r="G11267" s="42" t="str">
        <f>IFERROR(__xludf.DUMMYFUNCTION("""COMPUTED_VALUE"""),"Hapus BPHTB")</f>
        <v>Hapus BPHTB</v>
      </c>
      <c r="H11267" s="42">
        <f t="shared" si="1"/>
        <v>3345</v>
      </c>
    </row>
    <row r="11268" ht="22.5" customHeight="1">
      <c r="B11268" s="42" t="str">
        <f>IFERROR(__xludf.DUMMYFUNCTION("""COMPUTED_VALUE"""),"ABJRFWFA")</f>
        <v>ABJRFWFA</v>
      </c>
      <c r="C11268" s="42" t="str">
        <f>IFERROR(__xludf.DUMMYFUNCTION("""COMPUTED_VALUE"""),"M. 9225/Sukabumi")</f>
        <v>M. 9225/Sukabumi</v>
      </c>
      <c r="D11268" s="42"/>
      <c r="E11268" s="42"/>
      <c r="F11268" s="48" t="str">
        <f>IFERROR(__xludf.DUMMYFUNCTION("""COMPUTED_VALUE"""),"")</f>
        <v/>
      </c>
      <c r="G11268" s="42" t="str">
        <f>IFERROR(__xludf.DUMMYFUNCTION("""COMPUTED_VALUE"""),"Ganti desa")</f>
        <v>Ganti desa</v>
      </c>
      <c r="H11268" s="42">
        <f t="shared" si="1"/>
        <v>3345</v>
      </c>
    </row>
    <row r="11269" ht="22.5" customHeight="1">
      <c r="B11269" s="42" t="str">
        <f>IFERROR(__xludf.DUMMYFUNCTION("""COMPUTED_VALUE"""),"ABTELJNY")</f>
        <v>ABTELJNY</v>
      </c>
      <c r="C11269" s="42" t="str">
        <f>IFERROR(__xludf.DUMMYFUNCTION("""COMPUTED_VALUE"""),"B 10/ gotong royong")</f>
        <v>B 10/ gotong royong</v>
      </c>
      <c r="D11269" s="42"/>
      <c r="E11269" s="42"/>
      <c r="F11269" s="48" t="str">
        <f>IFERROR(__xludf.DUMMYFUNCTION("""COMPUTED_VALUE"""),"")</f>
        <v/>
      </c>
      <c r="G11269" s="42" t="str">
        <f>IFERROR(__xludf.DUMMYFUNCTION("""COMPUTED_VALUE"""),"Marger")</f>
        <v>Marger</v>
      </c>
      <c r="H11269" s="42">
        <f t="shared" si="1"/>
        <v>3345</v>
      </c>
    </row>
    <row r="11270" ht="22.5" customHeight="1">
      <c r="B11270" s="42" t="str">
        <f>IFERROR(__xludf.DUMMYFUNCTION("""COMPUTED_VALUE"""),"ABABINUG/AB026")</f>
        <v>ABABINUG/AB026</v>
      </c>
      <c r="C11270" s="42" t="str">
        <f>IFERROR(__xludf.DUMMYFUNCTION("""COMPUTED_VALUE"""),"M. 2162/Kota Karang")</f>
        <v>M. 2162/Kota Karang</v>
      </c>
      <c r="D11270" s="42"/>
      <c r="E11270" s="42"/>
      <c r="F11270" s="48" t="str">
        <f>IFERROR(__xludf.DUMMYFUNCTION("""COMPUTED_VALUE"""),"")</f>
        <v/>
      </c>
      <c r="G11270" s="42" t="str">
        <f>IFERROR(__xludf.DUMMYFUNCTION("""COMPUTED_VALUE"""),"ROYA PARSIAL")</f>
        <v>ROYA PARSIAL</v>
      </c>
      <c r="H11270" s="42">
        <f t="shared" si="1"/>
        <v>3345</v>
      </c>
    </row>
    <row r="11271" ht="22.5" customHeight="1">
      <c r="B11271" s="42" t="str">
        <f>IFERROR(__xludf.DUMMYFUNCTION("""COMPUTED_VALUE"""),"ABTXJGIB")</f>
        <v>ABTXJGIB</v>
      </c>
      <c r="C11271" s="42" t="str">
        <f>IFERROR(__xludf.DUMMYFUNCTION("""COMPUTED_VALUE"""),"B 43/ gotong royong")</f>
        <v>B 43/ gotong royong</v>
      </c>
      <c r="D11271" s="42"/>
      <c r="E11271" s="42"/>
      <c r="F11271" s="48" t="str">
        <f>IFERROR(__xludf.DUMMYFUNCTION("""COMPUTED_VALUE"""),"")</f>
        <v/>
      </c>
      <c r="G11271" s="42" t="str">
        <f>IFERROR(__xludf.DUMMYFUNCTION("""COMPUTED_VALUE"""),"Marger")</f>
        <v>Marger</v>
      </c>
      <c r="H11271" s="42">
        <f t="shared" si="1"/>
        <v>3345</v>
      </c>
    </row>
    <row r="11272" ht="22.5" customHeight="1">
      <c r="B11272" s="42" t="str">
        <f>IFERROR(__xludf.DUMMYFUNCTION("""COMPUTED_VALUE"""),"ABUKJLUM")</f>
        <v>ABUKJLUM</v>
      </c>
      <c r="C11272" s="42" t="str">
        <f>IFERROR(__xludf.DUMMYFUNCTION("""COMPUTED_VALUE"""),"NIBEL M 21822/ CAMPANG RAYA")</f>
        <v>NIBEL M 21822/ CAMPANG RAYA</v>
      </c>
      <c r="D11272" s="42"/>
      <c r="E11272" s="42"/>
      <c r="F11272" s="48" t="str">
        <f>IFERROR(__xludf.DUMMYFUNCTION("""COMPUTED_VALUE"""),"")</f>
        <v/>
      </c>
      <c r="G11272" s="42" t="str">
        <f>IFERROR(__xludf.DUMMYFUNCTION("""COMPUTED_VALUE"""),"BN JUAL BELI")</f>
        <v>BN JUAL BELI</v>
      </c>
      <c r="H11272" s="42">
        <f t="shared" si="1"/>
        <v>3345</v>
      </c>
    </row>
    <row r="11273" ht="22.5" customHeight="1">
      <c r="B11273" s="42" t="str">
        <f>IFERROR(__xludf.DUMMYFUNCTION("""COMPUTED_VALUE"""),"K/4/020226/1")</f>
        <v>K/4/020226/1</v>
      </c>
      <c r="C11273" s="42" t="str">
        <f>IFERROR(__xludf.DUMMYFUNCTION("""COMPUTED_VALUE"""),"M.971/TANJUNG GADING")</f>
        <v>M.971/TANJUNG GADING</v>
      </c>
      <c r="D11273" s="42"/>
      <c r="E11273" s="42"/>
      <c r="F11273" s="48" t="str">
        <f>IFERROR(__xludf.DUMMYFUNCTION("""COMPUTED_VALUE"""),"")</f>
        <v/>
      </c>
      <c r="G11273" s="42" t="str">
        <f>IFERROR(__xludf.DUMMYFUNCTION("""COMPUTED_VALUE"""),"ROYA")</f>
        <v>ROYA</v>
      </c>
      <c r="H11273" s="42">
        <f t="shared" si="1"/>
        <v>3345</v>
      </c>
    </row>
    <row r="11274" ht="22.5" customHeight="1">
      <c r="B11274" s="42" t="str">
        <f>IFERROR(__xludf.DUMMYFUNCTION("""COMPUTED_VALUE"""),"K/4/020226/1")</f>
        <v>K/4/020226/1</v>
      </c>
      <c r="C11274" s="42" t="str">
        <f>IFERROR(__xludf.DUMMYFUNCTION("""COMPUTED_VALUE"""),"M.17745 SUKARAME")</f>
        <v>M.17745 SUKARAME</v>
      </c>
      <c r="D11274" s="42"/>
      <c r="E11274" s="42"/>
      <c r="F11274" s="48" t="str">
        <f>IFERROR(__xludf.DUMMYFUNCTION("""COMPUTED_VALUE"""),"")</f>
        <v/>
      </c>
      <c r="G11274" s="42" t="str">
        <f>IFERROR(__xludf.DUMMYFUNCTION("""COMPUTED_VALUE"""),"ROYA")</f>
        <v>ROYA</v>
      </c>
      <c r="H11274" s="42">
        <f t="shared" si="1"/>
        <v>3345</v>
      </c>
    </row>
    <row r="11275" ht="22.5" customHeight="1">
      <c r="B11275" s="42" t="str">
        <f>IFERROR(__xludf.DUMMYFUNCTION("""COMPUTED_VALUE"""),"K/5/020226/1")</f>
        <v>K/5/020226/1</v>
      </c>
      <c r="C11275" s="42" t="str">
        <f>IFERROR(__xludf.DUMMYFUNCTION("""COMPUTED_VALUE"""),"HGB.4813 SUKABUMI")</f>
        <v>HGB.4813 SUKABUMI</v>
      </c>
      <c r="D11275" s="42"/>
      <c r="E11275" s="42"/>
      <c r="F11275" s="48" t="str">
        <f>IFERROR(__xludf.DUMMYFUNCTION("""COMPUTED_VALUE"""),"")</f>
        <v/>
      </c>
      <c r="G11275" s="42" t="str">
        <f>IFERROR(__xludf.DUMMYFUNCTION("""COMPUTED_VALUE"""),"PENINGKATAN HAK")</f>
        <v>PENINGKATAN HAK</v>
      </c>
      <c r="H11275" s="42">
        <f t="shared" si="1"/>
        <v>3345</v>
      </c>
    </row>
    <row r="11276" ht="22.5" customHeight="1">
      <c r="B11276" s="42" t="str">
        <f>IFERROR(__xludf.DUMMYFUNCTION("""COMPUTED_VALUE"""),"K/6/020226/1")</f>
        <v>K/6/020226/1</v>
      </c>
      <c r="C11276" s="42" t="str">
        <f>IFERROR(__xludf.DUMMYFUNCTION("""COMPUTED_VALUE"""),"M.1494 SUMBERREJO SEJAHTERA")</f>
        <v>M.1494 SUMBERREJO SEJAHTERA</v>
      </c>
      <c r="D11276" s="42"/>
      <c r="E11276" s="42"/>
      <c r="F11276" s="48" t="str">
        <f>IFERROR(__xludf.DUMMYFUNCTION("""COMPUTED_VALUE"""),"")</f>
        <v/>
      </c>
      <c r="G11276" s="42" t="str">
        <f>IFERROR(__xludf.DUMMYFUNCTION("""COMPUTED_VALUE"""),"PTPGT")</f>
        <v>PTPGT</v>
      </c>
      <c r="H11276" s="42">
        <f t="shared" si="1"/>
        <v>3345</v>
      </c>
    </row>
    <row r="11277" ht="22.5" customHeight="1">
      <c r="B11277" s="42" t="str">
        <f>IFERROR(__xludf.DUMMYFUNCTION("""COMPUTED_VALUE"""),"K/7/020226/1")</f>
        <v>K/7/020226/1</v>
      </c>
      <c r="C11277" s="42" t="str">
        <f>IFERROR(__xludf.DUMMYFUNCTION("""COMPUTED_VALUE"""),"M.518 KEMILING PERMAI")</f>
        <v>M.518 KEMILING PERMAI</v>
      </c>
      <c r="D11277" s="42"/>
      <c r="E11277" s="42"/>
      <c r="F11277" s="48" t="str">
        <f>IFERROR(__xludf.DUMMYFUNCTION("""COMPUTED_VALUE"""),"")</f>
        <v/>
      </c>
      <c r="G11277" s="42" t="str">
        <f>IFERROR(__xludf.DUMMYFUNCTION("""COMPUTED_VALUE"""),"PEMECAHAN")</f>
        <v>PEMECAHAN</v>
      </c>
      <c r="H11277" s="42">
        <f t="shared" si="1"/>
        <v>3345</v>
      </c>
    </row>
    <row r="11278" ht="22.5" customHeight="1">
      <c r="B11278" s="42" t="str">
        <f>IFERROR(__xludf.DUMMYFUNCTION("""COMPUTED_VALUE"""),"K/8/020226/1")</f>
        <v>K/8/020226/1</v>
      </c>
      <c r="C11278" s="42" t="str">
        <f>IFERROR(__xludf.DUMMYFUNCTION("""COMPUTED_VALUE"""),"M.9767 SUKARAME")</f>
        <v>M.9767 SUKARAME</v>
      </c>
      <c r="D11278" s="42"/>
      <c r="E11278" s="42"/>
      <c r="F11278" s="48" t="str">
        <f>IFERROR(__xludf.DUMMYFUNCTION("""COMPUTED_VALUE"""),"")</f>
        <v/>
      </c>
      <c r="G11278" s="42" t="str">
        <f>IFERROR(__xludf.DUMMYFUNCTION("""COMPUTED_VALUE"""),"SHM HILANG")</f>
        <v>SHM HILANG</v>
      </c>
      <c r="H11278" s="42">
        <f t="shared" si="1"/>
        <v>3345</v>
      </c>
    </row>
    <row r="11279" ht="22.5" customHeight="1">
      <c r="B11279" s="42" t="str">
        <f>IFERROR(__xludf.DUMMYFUNCTION("""COMPUTED_VALUE"""),"K/9/020226/1")</f>
        <v>K/9/020226/1</v>
      </c>
      <c r="C11279" s="42" t="str">
        <f>IFERROR(__xludf.DUMMYFUNCTION("""COMPUTED_VALUE"""),"NIBEL 443 KEMILING PERMAI")</f>
        <v>NIBEL 443 KEMILING PERMAI</v>
      </c>
      <c r="D11279" s="42"/>
      <c r="E11279" s="42"/>
      <c r="F11279" s="48" t="str">
        <f>IFERROR(__xludf.DUMMYFUNCTION("""COMPUTED_VALUE"""),"")</f>
        <v/>
      </c>
      <c r="G11279" s="42" t="str">
        <f>IFERROR(__xludf.DUMMYFUNCTION("""COMPUTED_VALUE"""),"PENINGKATAN HAK")</f>
        <v>PENINGKATAN HAK</v>
      </c>
      <c r="H11279" s="42">
        <f t="shared" si="1"/>
        <v>3345</v>
      </c>
    </row>
    <row r="11280" ht="22.5" customHeight="1">
      <c r="B11280" s="42" t="str">
        <f>IFERROR(__xludf.DUMMYFUNCTION("""COMPUTED_VALUE"""),"K/10/020226/1")</f>
        <v>K/10/020226/1</v>
      </c>
      <c r="C11280" s="42" t="str">
        <f>IFERROR(__xludf.DUMMYFUNCTION("""COMPUTED_VALUE"""),"M.176 SUMUR PUTRI")</f>
        <v>M.176 SUMUR PUTRI</v>
      </c>
      <c r="D11280" s="42"/>
      <c r="E11280" s="42"/>
      <c r="F11280" s="48" t="str">
        <f>IFERROR(__xludf.DUMMYFUNCTION("""COMPUTED_VALUE"""),"")</f>
        <v/>
      </c>
      <c r="G11280" s="42" t="str">
        <f>IFERROR(__xludf.DUMMYFUNCTION("""COMPUTED_VALUE"""),"WARIS")</f>
        <v>WARIS</v>
      </c>
      <c r="H11280" s="42">
        <f t="shared" si="1"/>
        <v>3345</v>
      </c>
    </row>
    <row r="11281" ht="22.5" customHeight="1">
      <c r="B11281" s="42" t="str">
        <f>IFERROR(__xludf.DUMMYFUNCTION("""COMPUTED_VALUE"""),"K/11/020226/1")</f>
        <v>K/11/020226/1</v>
      </c>
      <c r="C11281" s="42" t="str">
        <f>IFERROR(__xludf.DUMMYFUNCTION("""COMPUTED_VALUE"""),"M.992 LANGKAPURA BARU")</f>
        <v>M.992 LANGKAPURA BARU</v>
      </c>
      <c r="D11281" s="42"/>
      <c r="E11281" s="42"/>
      <c r="F11281" s="48" t="str">
        <f>IFERROR(__xludf.DUMMYFUNCTION("""COMPUTED_VALUE"""),"")</f>
        <v/>
      </c>
      <c r="G11281" s="42" t="str">
        <f>IFERROR(__xludf.DUMMYFUNCTION("""COMPUTED_VALUE"""),"PEMECAHAN")</f>
        <v>PEMECAHAN</v>
      </c>
      <c r="H11281" s="42">
        <f t="shared" si="1"/>
        <v>3345</v>
      </c>
    </row>
    <row r="11282" ht="22.5" customHeight="1">
      <c r="B11282" s="42" t="str">
        <f>IFERROR(__xludf.DUMMYFUNCTION("""COMPUTED_VALUE"""),"K/2/030226/1")</f>
        <v>K/2/030226/1</v>
      </c>
      <c r="C11282" s="42" t="str">
        <f>IFERROR(__xludf.DUMMYFUNCTION("""COMPUTED_VALUE"""),"M.1405 KALI BALAU KENCANA")</f>
        <v>M.1405 KALI BALAU KENCANA</v>
      </c>
      <c r="D11282" s="42"/>
      <c r="E11282" s="42"/>
      <c r="F11282" s="48" t="str">
        <f>IFERROR(__xludf.DUMMYFUNCTION("""COMPUTED_VALUE"""),"")</f>
        <v/>
      </c>
      <c r="G11282" s="42" t="str">
        <f>IFERROR(__xludf.DUMMYFUNCTION("""COMPUTED_VALUE"""),"ROYA")</f>
        <v>ROYA</v>
      </c>
      <c r="H11282" s="42">
        <f t="shared" si="1"/>
        <v>3345</v>
      </c>
    </row>
    <row r="11283" ht="22.5" customHeight="1">
      <c r="B11283" s="42" t="str">
        <f>IFERROR(__xludf.DUMMYFUNCTION("""COMPUTED_VALUE"""),"K/3/030226/1")</f>
        <v>K/3/030226/1</v>
      </c>
      <c r="C11283" s="42" t="str">
        <f>IFERROR(__xludf.DUMMYFUNCTION("""COMPUTED_VALUE"""),"M.742 CAMPANG JAYA")</f>
        <v>M.742 CAMPANG JAYA</v>
      </c>
      <c r="D11283" s="42"/>
      <c r="E11283" s="42"/>
      <c r="F11283" s="48" t="str">
        <f>IFERROR(__xludf.DUMMYFUNCTION("""COMPUTED_VALUE"""),"")</f>
        <v/>
      </c>
      <c r="G11283" s="42" t="str">
        <f>IFERROR(__xludf.DUMMYFUNCTION("""COMPUTED_VALUE"""),"SKPT LELANG")</f>
        <v>SKPT LELANG</v>
      </c>
      <c r="H11283" s="42">
        <f t="shared" si="1"/>
        <v>3345</v>
      </c>
    </row>
    <row r="11284" ht="22.5" customHeight="1">
      <c r="B11284" s="42" t="str">
        <f>IFERROR(__xludf.DUMMYFUNCTION("""COMPUTED_VALUE"""),"K/4/030226/1")</f>
        <v>K/4/030226/1</v>
      </c>
      <c r="C11284" s="42" t="str">
        <f>IFERROR(__xludf.DUMMYFUNCTION("""COMPUTED_VALUE"""),"M.740 CAMPANG JAYA")</f>
        <v>M.740 CAMPANG JAYA</v>
      </c>
      <c r="D11284" s="42"/>
      <c r="E11284" s="42"/>
      <c r="F11284" s="48" t="str">
        <f>IFERROR(__xludf.DUMMYFUNCTION("""COMPUTED_VALUE"""),"")</f>
        <v/>
      </c>
      <c r="G11284" s="42" t="str">
        <f>IFERROR(__xludf.DUMMYFUNCTION("""COMPUTED_VALUE"""),"SKPT")</f>
        <v>SKPT</v>
      </c>
      <c r="H11284" s="42">
        <f t="shared" si="1"/>
        <v>3345</v>
      </c>
    </row>
    <row r="11285" ht="22.5" customHeight="1">
      <c r="B11285" s="42" t="str">
        <f>IFERROR(__xludf.DUMMYFUNCTION("""COMPUTED_VALUE"""),"K/5/030226/1")</f>
        <v>K/5/030226/1</v>
      </c>
      <c r="C11285" s="42" t="str">
        <f>IFERROR(__xludf.DUMMYFUNCTION("""COMPUTED_VALUE"""),"M.670 KORPRI JAYA")</f>
        <v>M.670 KORPRI JAYA</v>
      </c>
      <c r="D11285" s="42"/>
      <c r="E11285" s="42"/>
      <c r="F11285" s="48" t="str">
        <f>IFERROR(__xludf.DUMMYFUNCTION("""COMPUTED_VALUE"""),"")</f>
        <v/>
      </c>
      <c r="G11285" s="42" t="str">
        <f>IFERROR(__xludf.DUMMYFUNCTION("""COMPUTED_VALUE"""),"SKPT LELANG")</f>
        <v>SKPT LELANG</v>
      </c>
      <c r="H11285" s="42">
        <f t="shared" si="1"/>
        <v>3345</v>
      </c>
    </row>
    <row r="11286" ht="22.5" customHeight="1">
      <c r="B11286" s="42" t="str">
        <f>IFERROR(__xludf.DUMMYFUNCTION("""COMPUTED_VALUE"""),"K/6/030226/1")</f>
        <v>K/6/030226/1</v>
      </c>
      <c r="C11286" s="42" t="str">
        <f>IFERROR(__xludf.DUMMYFUNCTION("""COMPUTED_VALUE"""),"NIBEL M.2700 SUKARAME BARU")</f>
        <v>NIBEL M.2700 SUKARAME BARU</v>
      </c>
      <c r="D11286" s="42"/>
      <c r="E11286" s="42"/>
      <c r="F11286" s="48" t="str">
        <f>IFERROR(__xludf.DUMMYFUNCTION("""COMPUTED_VALUE"""),"")</f>
        <v/>
      </c>
      <c r="G11286" s="42" t="str">
        <f>IFERROR(__xludf.DUMMYFUNCTION("""COMPUTED_VALUE"""),"PEMECAHAN")</f>
        <v>PEMECAHAN</v>
      </c>
      <c r="H11286" s="42">
        <f t="shared" si="1"/>
        <v>3345</v>
      </c>
    </row>
    <row r="11287" ht="22.5" customHeight="1">
      <c r="B11287" s="42" t="str">
        <f>IFERROR(__xludf.DUMMYFUNCTION("""COMPUTED_VALUE"""),"ABTJESLP/Ab016")</f>
        <v>ABTJESLP/Ab016</v>
      </c>
      <c r="C11287" s="42" t="str">
        <f>IFERROR(__xludf.DUMMYFUNCTION("""COMPUTED_VALUE"""),"M. NIBEL 29750/way kandis ")</f>
        <v>M. NIBEL 29750/way kandis </v>
      </c>
      <c r="D11287" s="42"/>
      <c r="E11287" s="42"/>
      <c r="F11287" s="48" t="str">
        <f>IFERROR(__xludf.DUMMYFUNCTION("""COMPUTED_VALUE"""),"")</f>
        <v/>
      </c>
      <c r="G11287" s="42" t="str">
        <f>IFERROR(__xludf.DUMMYFUNCTION("""COMPUTED_VALUE"""),"Bn jual beli ")</f>
        <v>Bn jual beli </v>
      </c>
      <c r="H11287" s="42">
        <f t="shared" si="1"/>
        <v>3345</v>
      </c>
    </row>
    <row r="11288" ht="22.5" customHeight="1">
      <c r="B11288" s="42" t="str">
        <f>IFERROR(__xludf.DUMMYFUNCTION("""COMPUTED_VALUE"""),"ABIZDDQO/Ab016")</f>
        <v>ABIZDDQO/Ab016</v>
      </c>
      <c r="C11288" s="42" t="str">
        <f>IFERROR(__xludf.DUMMYFUNCTION("""COMPUTED_VALUE"""),"M. NIBEL 19498/KORPRI JAYA")</f>
        <v>M. NIBEL 19498/KORPRI JAYA</v>
      </c>
      <c r="D11288" s="42"/>
      <c r="E11288" s="42"/>
      <c r="F11288" s="48" t="str">
        <f>IFERROR(__xludf.DUMMYFUNCTION("""COMPUTED_VALUE"""),"")</f>
        <v/>
      </c>
      <c r="G11288" s="42" t="str">
        <f>IFERROR(__xludf.DUMMYFUNCTION("""COMPUTED_VALUE"""),"Bn jual beli")</f>
        <v>Bn jual beli</v>
      </c>
      <c r="H11288" s="42">
        <f t="shared" si="1"/>
        <v>3345</v>
      </c>
    </row>
    <row r="11289" ht="22.5" customHeight="1">
      <c r="B11289" s="42" t="str">
        <f>IFERROR(__xludf.DUMMYFUNCTION("""COMPUTED_VALUE"""),"ABKAUTEE")</f>
        <v>ABKAUTEE</v>
      </c>
      <c r="C11289" s="42" t="str">
        <f>IFERROR(__xludf.DUMMYFUNCTION("""COMPUTED_VALUE"""),"M 1361/BW")</f>
        <v>M 1361/BW</v>
      </c>
      <c r="D11289" s="42"/>
      <c r="E11289" s="42"/>
      <c r="F11289" s="48" t="str">
        <f>IFERROR(__xludf.DUMMYFUNCTION("""COMPUTED_VALUE"""),"")</f>
        <v/>
      </c>
      <c r="G11289" s="42" t="str">
        <f>IFERROR(__xludf.DUMMYFUNCTION("""COMPUTED_VALUE"""),"Peralihan Hak")</f>
        <v>Peralihan Hak</v>
      </c>
      <c r="H11289" s="42">
        <f t="shared" si="1"/>
        <v>3345</v>
      </c>
    </row>
    <row r="11290" ht="22.5" customHeight="1">
      <c r="B11290" s="42" t="str">
        <f>IFERROR(__xludf.DUMMYFUNCTION("""COMPUTED_VALUE"""),"L/7/030226/1")</f>
        <v>L/7/030226/1</v>
      </c>
      <c r="C11290" s="42" t="str">
        <f>IFERROR(__xludf.DUMMYFUNCTION("""COMPUTED_VALUE"""),"B NIB.3109/RAWA LAUT")</f>
        <v>B NIB.3109/RAWA LAUT</v>
      </c>
      <c r="D11290" s="42"/>
      <c r="E11290" s="42"/>
      <c r="F11290" s="48" t="str">
        <f>IFERROR(__xludf.DUMMYFUNCTION("""COMPUTED_VALUE"""),"")</f>
        <v/>
      </c>
      <c r="G11290" s="42" t="str">
        <f>IFERROR(__xludf.DUMMYFUNCTION("""COMPUTED_VALUE"""),"PENINGKATAN HAK")</f>
        <v>PENINGKATAN HAK</v>
      </c>
      <c r="H11290" s="42">
        <f t="shared" si="1"/>
        <v>3345</v>
      </c>
    </row>
    <row r="11291" ht="22.5" customHeight="1">
      <c r="B11291" s="42" t="str">
        <f>IFERROR(__xludf.DUMMYFUNCTION("""COMPUTED_VALUE"""),"ABQNLMNZ/1")</f>
        <v>ABQNLMNZ/1</v>
      </c>
      <c r="C11291" s="42" t="str">
        <f>IFERROR(__xludf.DUMMYFUNCTION("""COMPUTED_VALUE"""),"00010000186500/kangkung ")</f>
        <v>00010000186500/kangkung </v>
      </c>
      <c r="D11291" s="42"/>
      <c r="E11291" s="42"/>
      <c r="F11291" s="48" t="str">
        <f>IFERROR(__xludf.DUMMYFUNCTION("""COMPUTED_VALUE"""),"")</f>
        <v/>
      </c>
      <c r="G11291" s="42" t="str">
        <f>IFERROR(__xludf.DUMMYFUNCTION("""COMPUTED_VALUE"""),"Balik Nama")</f>
        <v>Balik Nama</v>
      </c>
      <c r="H11291" s="42">
        <f t="shared" si="1"/>
        <v>3345</v>
      </c>
    </row>
    <row r="11292" ht="22.5" customHeight="1">
      <c r="B11292" s="42" t="str">
        <f>IFERROR(__xludf.DUMMYFUNCTION("""COMPUTED_VALUE"""),"ABJQJZQA")</f>
        <v>ABJQJZQA</v>
      </c>
      <c r="C11292" s="42">
        <f>IFERROR(__xludf.DUMMYFUNCTION("""COMPUTED_VALUE"""),14007.0)</f>
        <v>14007</v>
      </c>
      <c r="D11292" s="42"/>
      <c r="E11292" s="42"/>
      <c r="F11292" s="48" t="str">
        <f>IFERROR(__xludf.DUMMYFUNCTION("""COMPUTED_VALUE"""),"")</f>
        <v/>
      </c>
      <c r="G11292" s="42" t="str">
        <f>IFERROR(__xludf.DUMMYFUNCTION("""COMPUTED_VALUE"""),"Bn jual beli")</f>
        <v>Bn jual beli</v>
      </c>
      <c r="H11292" s="42">
        <f t="shared" si="1"/>
        <v>3345</v>
      </c>
    </row>
    <row r="11293" ht="22.5" customHeight="1">
      <c r="B11293" s="42" t="str">
        <f>IFERROR(__xludf.DUMMYFUNCTION("""COMPUTED_VALUE"""),"K/9/030226/1")</f>
        <v>K/9/030226/1</v>
      </c>
      <c r="C11293" s="42" t="str">
        <f>IFERROR(__xludf.DUMMYFUNCTION("""COMPUTED_VALUE"""),"M.1657 PENGAJARAN")</f>
        <v>M.1657 PENGAJARAN</v>
      </c>
      <c r="D11293" s="42"/>
      <c r="E11293" s="42"/>
      <c r="F11293" s="48" t="str">
        <f>IFERROR(__xludf.DUMMYFUNCTION("""COMPUTED_VALUE"""),"")</f>
        <v/>
      </c>
      <c r="G11293" s="42" t="str">
        <f>IFERROR(__xludf.DUMMYFUNCTION("""COMPUTED_VALUE"""),"WARIS")</f>
        <v>WARIS</v>
      </c>
      <c r="H11293" s="42">
        <f t="shared" si="1"/>
        <v>3345</v>
      </c>
    </row>
    <row r="11294" ht="22.5" customHeight="1">
      <c r="B11294" s="42" t="str">
        <f>IFERROR(__xludf.DUMMYFUNCTION("""COMPUTED_VALUE"""),"ABXJDYEY/AB034")</f>
        <v>ABXJDYEY/AB034</v>
      </c>
      <c r="C11294" s="42" t="str">
        <f>IFERROR(__xludf.DUMMYFUNCTION("""COMPUTED_VALUE"""),"M. NIBEL 27581/Tanjung Gading")</f>
        <v>M. NIBEL 27581/Tanjung Gading</v>
      </c>
      <c r="D11294" s="42"/>
      <c r="E11294" s="42"/>
      <c r="F11294" s="48" t="str">
        <f>IFERROR(__xludf.DUMMYFUNCTION("""COMPUTED_VALUE"""),"")</f>
        <v/>
      </c>
      <c r="G11294" s="42" t="str">
        <f>IFERROR(__xludf.DUMMYFUNCTION("""COMPUTED_VALUE"""),"Bn Jual Beli")</f>
        <v>Bn Jual Beli</v>
      </c>
      <c r="H11294" s="42">
        <f t="shared" si="1"/>
        <v>3345</v>
      </c>
    </row>
    <row r="11295" ht="22.5" customHeight="1">
      <c r="B11295" s="42" t="str">
        <f>IFERROR(__xludf.DUMMYFUNCTION("""COMPUTED_VALUE"""),"ABDSBCVJ")</f>
        <v>ABDSBCVJ</v>
      </c>
      <c r="C11295" s="42" t="str">
        <f>IFERROR(__xludf.DUMMYFUNCTION("""COMPUTED_VALUE"""),"Shm 13771 kelurahan segalamidee")</f>
        <v>Shm 13771 kelurahan segalamidee</v>
      </c>
      <c r="D11295" s="42"/>
      <c r="E11295" s="42"/>
      <c r="F11295" s="48" t="str">
        <f>IFERROR(__xludf.DUMMYFUNCTION("""COMPUTED_VALUE"""),"")</f>
        <v/>
      </c>
      <c r="G11295" s="42" t="str">
        <f>IFERROR(__xludf.DUMMYFUNCTION("""COMPUTED_VALUE"""),"BN jual beli")</f>
        <v>BN jual beli</v>
      </c>
      <c r="H11295" s="42">
        <f t="shared" si="1"/>
        <v>3345</v>
      </c>
    </row>
    <row r="11296" ht="22.5" customHeight="1">
      <c r="B11296" s="42" t="str">
        <f>IFERROR(__xludf.DUMMYFUNCTION("""COMPUTED_VALUE"""),"ABFBFTHB")</f>
        <v>ABFBFTHB</v>
      </c>
      <c r="C11296" s="42" t="str">
        <f>IFERROR(__xludf.DUMMYFUNCTION("""COMPUTED_VALUE"""),"SHGB el 3666/sukabumi")</f>
        <v>SHGB el 3666/sukabumi</v>
      </c>
      <c r="D11296" s="42"/>
      <c r="E11296" s="42"/>
      <c r="F11296" s="48" t="str">
        <f>IFERROR(__xludf.DUMMYFUNCTION("""COMPUTED_VALUE"""),"")</f>
        <v/>
      </c>
      <c r="G11296" s="42" t="str">
        <f>IFERROR(__xludf.DUMMYFUNCTION("""COMPUTED_VALUE"""),"BN jual beli")</f>
        <v>BN jual beli</v>
      </c>
      <c r="H11296" s="42">
        <f t="shared" si="1"/>
        <v>3345</v>
      </c>
    </row>
    <row r="11297" ht="22.5" customHeight="1">
      <c r="B11297" s="42" t="str">
        <f>IFERROR(__xludf.DUMMYFUNCTION("""COMPUTED_VALUE"""),"L/10/030226/1")</f>
        <v>L/10/030226/1</v>
      </c>
      <c r="C11297" s="42" t="str">
        <f>IFERROR(__xludf.DUMMYFUNCTION("""COMPUTED_VALUE"""),"M NIB. 22851/SEGALA MIDER")</f>
        <v>M NIB. 22851/SEGALA MIDER</v>
      </c>
      <c r="D11297" s="42"/>
      <c r="E11297" s="42"/>
      <c r="F11297" s="48" t="str">
        <f>IFERROR(__xludf.DUMMYFUNCTION("""COMPUTED_VALUE"""),"")</f>
        <v/>
      </c>
      <c r="G11297" s="42" t="str">
        <f>IFERROR(__xludf.DUMMYFUNCTION("""COMPUTED_VALUE"""),"GANTI NAMA")</f>
        <v>GANTI NAMA</v>
      </c>
      <c r="H11297" s="42">
        <f t="shared" si="1"/>
        <v>3345</v>
      </c>
    </row>
    <row r="11298" ht="22.5" customHeight="1">
      <c r="B11298" s="42" t="str">
        <f>IFERROR(__xludf.DUMMYFUNCTION("""COMPUTED_VALUE"""),"ABZUIDEL")</f>
        <v>ABZUIDEL</v>
      </c>
      <c r="C11298" s="42" t="str">
        <f>IFERROR(__xludf.DUMMYFUNCTION("""COMPUTED_VALUE"""),"M 6070/ GUNUNG SULAH")</f>
        <v>M 6070/ GUNUNG SULAH</v>
      </c>
      <c r="D11298" s="42"/>
      <c r="E11298" s="42"/>
      <c r="F11298" s="48" t="str">
        <f>IFERROR(__xludf.DUMMYFUNCTION("""COMPUTED_VALUE"""),"")</f>
        <v/>
      </c>
      <c r="G11298" s="42" t="str">
        <f>IFERROR(__xludf.DUMMYFUNCTION("""COMPUTED_VALUE"""),"Peralihan hak")</f>
        <v>Peralihan hak</v>
      </c>
      <c r="H11298" s="42">
        <f t="shared" si="1"/>
        <v>3345</v>
      </c>
    </row>
    <row r="11299" ht="22.5" customHeight="1">
      <c r="B11299" s="42" t="str">
        <f>IFERROR(__xludf.DUMMYFUNCTION("""COMPUTED_VALUE"""),"ABUKLEWV")</f>
        <v>ABUKLEWV</v>
      </c>
      <c r="C11299" s="42" t="str">
        <f>IFERROR(__xludf.DUMMYFUNCTION("""COMPUTED_VALUE"""),"M 2577/ SUMBER AGUNG")</f>
        <v>M 2577/ SUMBER AGUNG</v>
      </c>
      <c r="D11299" s="42"/>
      <c r="E11299" s="42"/>
      <c r="F11299" s="48" t="str">
        <f>IFERROR(__xludf.DUMMYFUNCTION("""COMPUTED_VALUE"""),"")</f>
        <v/>
      </c>
      <c r="G11299" s="42" t="str">
        <f>IFERROR(__xludf.DUMMYFUNCTION("""COMPUTED_VALUE"""),"Perlaihan hak")</f>
        <v>Perlaihan hak</v>
      </c>
      <c r="H11299" s="42">
        <f t="shared" si="1"/>
        <v>3345</v>
      </c>
    </row>
    <row r="11300" ht="22.5" customHeight="1">
      <c r="B11300" s="42" t="str">
        <f>IFERROR(__xludf.DUMMYFUNCTION("""COMPUTED_VALUE"""),"K/12/030226/1")</f>
        <v>K/12/030226/1</v>
      </c>
      <c r="C11300" s="42" t="str">
        <f>IFERROR(__xludf.DUMMYFUNCTION("""COMPUTED_VALUE"""),"B.1498 KANGKUNG")</f>
        <v>B.1498 KANGKUNG</v>
      </c>
      <c r="D11300" s="42"/>
      <c r="E11300" s="42"/>
      <c r="F11300" s="48" t="str">
        <f>IFERROR(__xludf.DUMMYFUNCTION("""COMPUTED_VALUE"""),"")</f>
        <v/>
      </c>
      <c r="G11300" s="42" t="str">
        <f>IFERROR(__xludf.DUMMYFUNCTION("""COMPUTED_VALUE"""),"PTPGT PERPANJANGAN")</f>
        <v>PTPGT PERPANJANGAN</v>
      </c>
      <c r="H11300" s="42">
        <f t="shared" si="1"/>
        <v>3345</v>
      </c>
    </row>
    <row r="11301" ht="22.5" customHeight="1">
      <c r="B11301" s="42" t="str">
        <f>IFERROR(__xludf.DUMMYFUNCTION("""COMPUTED_VALUE"""),"K/8/030226/1")</f>
        <v>K/8/030226/1</v>
      </c>
      <c r="C11301" s="42" t="str">
        <f>IFERROR(__xludf.DUMMYFUNCTION("""COMPUTED_VALUE"""),"M.341 SUSUNAN BARU")</f>
        <v>M.341 SUSUNAN BARU</v>
      </c>
      <c r="D11301" s="42"/>
      <c r="E11301" s="42"/>
      <c r="F11301" s="48" t="str">
        <f>IFERROR(__xludf.DUMMYFUNCTION("""COMPUTED_VALUE"""),"")</f>
        <v/>
      </c>
      <c r="G11301" s="42" t="str">
        <f>IFERROR(__xludf.DUMMYFUNCTION("""COMPUTED_VALUE"""),"SKPT INFORMASI")</f>
        <v>SKPT INFORMASI</v>
      </c>
      <c r="H11301" s="42">
        <f t="shared" si="1"/>
        <v>3345</v>
      </c>
    </row>
    <row r="11302" ht="22.5" customHeight="1">
      <c r="B11302" s="42" t="str">
        <f>IFERROR(__xludf.DUMMYFUNCTION("""COMPUTED_VALUE"""),"K/6/030226/1")</f>
        <v>K/6/030226/1</v>
      </c>
      <c r="C11302" s="42" t="str">
        <f>IFERROR(__xludf.DUMMYFUNCTION("""COMPUTED_VALUE"""),"NIBEL 27000 SUKARAME BARU")</f>
        <v>NIBEL 27000 SUKARAME BARU</v>
      </c>
      <c r="D11302" s="42"/>
      <c r="E11302" s="42"/>
      <c r="F11302" s="48" t="str">
        <f>IFERROR(__xludf.DUMMYFUNCTION("""COMPUTED_VALUE"""),"")</f>
        <v/>
      </c>
      <c r="G11302" s="42" t="str">
        <f>IFERROR(__xludf.DUMMYFUNCTION("""COMPUTED_VALUE"""),"PEMECAHAN")</f>
        <v>PEMECAHAN</v>
      </c>
      <c r="H11302" s="42">
        <f t="shared" si="1"/>
        <v>3345</v>
      </c>
    </row>
    <row r="11303" ht="22.5" customHeight="1">
      <c r="B11303" s="42" t="str">
        <f>IFERROR(__xludf.DUMMYFUNCTION("""COMPUTED_VALUE"""),"ABAOLUWF")</f>
        <v>ABAOLUWF</v>
      </c>
      <c r="C11303" s="42" t="str">
        <f>IFERROR(__xludf.DUMMYFUNCTION("""COMPUTED_VALUE"""),"Hak Milik Nomor 1329/Way Lunik")</f>
        <v>Hak Milik Nomor 1329/Way Lunik</v>
      </c>
      <c r="D11303" s="42"/>
      <c r="E11303" s="42"/>
      <c r="F11303" s="48" t="str">
        <f>IFERROR(__xludf.DUMMYFUNCTION("""COMPUTED_VALUE"""),"")</f>
        <v/>
      </c>
      <c r="G11303" s="42" t="str">
        <f>IFERROR(__xludf.DUMMYFUNCTION("""COMPUTED_VALUE"""),"PERMOHONAN BALIK NAMA")</f>
        <v>PERMOHONAN BALIK NAMA</v>
      </c>
      <c r="H11303" s="42">
        <f t="shared" si="1"/>
        <v>3345</v>
      </c>
    </row>
    <row r="11304" ht="22.5" customHeight="1">
      <c r="B11304" s="42" t="str">
        <f>IFERROR(__xludf.DUMMYFUNCTION("""COMPUTED_VALUE"""),"ABZLYAUH/AB011")</f>
        <v>ABZLYAUH/AB011</v>
      </c>
      <c r="C11304" s="42" t="str">
        <f>IFERROR(__xludf.DUMMYFUNCTION("""COMPUTED_VALUE"""),"M. 1921/BERINGIN RAYA")</f>
        <v>M. 1921/BERINGIN RAYA</v>
      </c>
      <c r="D11304" s="42"/>
      <c r="E11304" s="42"/>
      <c r="F11304" s="48" t="str">
        <f>IFERROR(__xludf.DUMMYFUNCTION("""COMPUTED_VALUE"""),"")</f>
        <v/>
      </c>
      <c r="G11304" s="42" t="str">
        <f>IFERROR(__xludf.DUMMYFUNCTION("""COMPUTED_VALUE"""),"roya ")</f>
        <v>roya </v>
      </c>
      <c r="H11304" s="42">
        <f t="shared" si="1"/>
        <v>3345</v>
      </c>
    </row>
    <row r="11305" ht="22.5" customHeight="1">
      <c r="B11305" s="42" t="str">
        <f>IFERROR(__xludf.DUMMYFUNCTION("""COMPUTED_VALUE"""),"L/1/040226/1")</f>
        <v>L/1/040226/1</v>
      </c>
      <c r="C11305" s="42" t="str">
        <f>IFERROR(__xludf.DUMMYFUNCTION("""COMPUTED_VALUE"""),"SHGB NIB. 29606/PINANG JAYA")</f>
        <v>SHGB NIB. 29606/PINANG JAYA</v>
      </c>
      <c r="D11305" s="42"/>
      <c r="E11305" s="42"/>
      <c r="F11305" s="48" t="str">
        <f>IFERROR(__xludf.DUMMYFUNCTION("""COMPUTED_VALUE"""),"")</f>
        <v/>
      </c>
      <c r="G11305" s="42" t="str">
        <f>IFERROR(__xludf.DUMMYFUNCTION("""COMPUTED_VALUE"""),"PENINGKATAN HAK")</f>
        <v>PENINGKATAN HAK</v>
      </c>
      <c r="H11305" s="42">
        <f t="shared" si="1"/>
        <v>3345</v>
      </c>
    </row>
    <row r="11306" ht="22.5" customHeight="1">
      <c r="B11306" s="42" t="str">
        <f>IFERROR(__xludf.DUMMYFUNCTION("""COMPUTED_VALUE"""),"L/2/040226/1")</f>
        <v>L/2/040226/1</v>
      </c>
      <c r="C11306" s="42" t="str">
        <f>IFERROR(__xludf.DUMMYFUNCTION("""COMPUTED_VALUE"""),"M. 47/KELAPA TIGA PERMAI")</f>
        <v>M. 47/KELAPA TIGA PERMAI</v>
      </c>
      <c r="D11306" s="42"/>
      <c r="E11306" s="42"/>
      <c r="F11306" s="48" t="str">
        <f>IFERROR(__xludf.DUMMYFUNCTION("""COMPUTED_VALUE"""),"")</f>
        <v/>
      </c>
      <c r="G11306" s="42" t="str">
        <f>IFERROR(__xludf.DUMMYFUNCTION("""COMPUTED_VALUE"""),"ROYA")</f>
        <v>ROYA</v>
      </c>
      <c r="H11306" s="42">
        <f t="shared" si="1"/>
        <v>3345</v>
      </c>
    </row>
    <row r="11307" ht="22.5" customHeight="1">
      <c r="B11307" s="42" t="str">
        <f>IFERROR(__xludf.DUMMYFUNCTION("""COMPUTED_VALUE"""),"ABYJPKTY/AB012")</f>
        <v>ABYJPKTY/AB012</v>
      </c>
      <c r="C11307" s="42" t="str">
        <f>IFERROR(__xludf.DUMMYFUNCTION("""COMPUTED_VALUE"""),"M.08.01.000030123.0/durian payung")</f>
        <v>M.08.01.000030123.0/durian payung</v>
      </c>
      <c r="D11307" s="42"/>
      <c r="E11307" s="42"/>
      <c r="F11307" s="48" t="str">
        <f>IFERROR(__xludf.DUMMYFUNCTION("""COMPUTED_VALUE"""),"")</f>
        <v/>
      </c>
      <c r="G11307" s="42" t="str">
        <f>IFERROR(__xludf.DUMMYFUNCTION("""COMPUTED_VALUE"""),"PTPGT")</f>
        <v>PTPGT</v>
      </c>
      <c r="H11307" s="42">
        <f t="shared" si="1"/>
        <v>3345</v>
      </c>
    </row>
    <row r="11308" ht="22.5" customHeight="1">
      <c r="B11308" s="42" t="str">
        <f>IFERROR(__xludf.DUMMYFUNCTION("""COMPUTED_VALUE"""),"AB023/ABWYXECQ")</f>
        <v>AB023/ABWYXECQ</v>
      </c>
      <c r="C11308" s="42" t="str">
        <f>IFERROR(__xludf.DUMMYFUNCTION("""COMPUTED_VALUE"""),"M 2044/ Gedong Air")</f>
        <v>M 2044/ Gedong Air</v>
      </c>
      <c r="D11308" s="42"/>
      <c r="E11308" s="42"/>
      <c r="F11308" s="48" t="str">
        <f>IFERROR(__xludf.DUMMYFUNCTION("""COMPUTED_VALUE"""),"")</f>
        <v/>
      </c>
      <c r="G11308" s="42" t="str">
        <f>IFERROR(__xludf.DUMMYFUNCTION("""COMPUTED_VALUE"""),"BN Waris")</f>
        <v>BN Waris</v>
      </c>
      <c r="H11308" s="42">
        <f t="shared" si="1"/>
        <v>3345</v>
      </c>
    </row>
    <row r="11309" ht="22.5" customHeight="1">
      <c r="B11309" s="42" t="str">
        <f>IFERROR(__xludf.DUMMYFUNCTION("""COMPUTED_VALUE"""),"ABQGAGRC")</f>
        <v>ABQGAGRC</v>
      </c>
      <c r="C11309" s="42" t="str">
        <f>IFERROR(__xludf.DUMMYFUNCTION("""COMPUTED_VALUE"""),"M.24344/Kemiling Raya ")</f>
        <v>M.24344/Kemiling Raya </v>
      </c>
      <c r="D11309" s="42"/>
      <c r="E11309" s="42"/>
      <c r="F11309" s="48" t="str">
        <f>IFERROR(__xludf.DUMMYFUNCTION("""COMPUTED_VALUE"""),"")</f>
        <v/>
      </c>
      <c r="G11309" s="42" t="str">
        <f>IFERROR(__xludf.DUMMYFUNCTION("""COMPUTED_VALUE"""),"Bn jual beli")</f>
        <v>Bn jual beli</v>
      </c>
      <c r="H11309" s="42">
        <f t="shared" si="1"/>
        <v>3345</v>
      </c>
    </row>
    <row r="11310" ht="22.5" customHeight="1">
      <c r="B11310" s="42" t="str">
        <f>IFERROR(__xludf.DUMMYFUNCTION("""COMPUTED_VALUE"""),"K/3/040226/1")</f>
        <v>K/3/040226/1</v>
      </c>
      <c r="C11310" s="42" t="str">
        <f>IFERROR(__xludf.DUMMYFUNCTION("""COMPUTED_VALUE"""),"M. 1153/GUNUNG TERANG")</f>
        <v>M. 1153/GUNUNG TERANG</v>
      </c>
      <c r="D11310" s="42"/>
      <c r="E11310" s="42"/>
      <c r="F11310" s="48" t="str">
        <f>IFERROR(__xludf.DUMMYFUNCTION("""COMPUTED_VALUE"""),"")</f>
        <v/>
      </c>
      <c r="G11310" s="42" t="str">
        <f>IFERROR(__xludf.DUMMYFUNCTION("""COMPUTED_VALUE"""),"BN WARIS")</f>
        <v>BN WARIS</v>
      </c>
      <c r="H11310" s="42">
        <f t="shared" si="1"/>
        <v>3345</v>
      </c>
    </row>
    <row r="11311" ht="22.5" customHeight="1">
      <c r="B11311" s="42" t="str">
        <f>IFERROR(__xludf.DUMMYFUNCTION("""COMPUTED_VALUE"""),"K/4/040226/1")</f>
        <v>K/4/040226/1</v>
      </c>
      <c r="C11311" s="42" t="str">
        <f>IFERROR(__xludf.DUMMYFUNCTION("""COMPUTED_VALUE"""),"NIBEL M. 23999/NUSANTARA PERMAI DAN NIBEL M. 24000/NUSANTARA PERMAI")</f>
        <v>NIBEL M. 23999/NUSANTARA PERMAI DAN NIBEL M. 24000/NUSANTARA PERMAI</v>
      </c>
      <c r="D11311" s="42"/>
      <c r="E11311" s="42"/>
      <c r="F11311" s="48" t="str">
        <f>IFERROR(__xludf.DUMMYFUNCTION("""COMPUTED_VALUE"""),"")</f>
        <v/>
      </c>
      <c r="G11311" s="42" t="str">
        <f>IFERROR(__xludf.DUMMYFUNCTION("""COMPUTED_VALUE"""),"PENGGABUNGAN")</f>
        <v>PENGGABUNGAN</v>
      </c>
      <c r="H11311" s="42">
        <f t="shared" si="1"/>
        <v>3345</v>
      </c>
    </row>
    <row r="11312" ht="22.5" customHeight="1">
      <c r="B11312" s="42" t="str">
        <f>IFERROR(__xludf.DUMMYFUNCTION("""COMPUTED_VALUE"""),"ABSNICLZ")</f>
        <v>ABSNICLZ</v>
      </c>
      <c r="C11312" s="42" t="str">
        <f>IFERROR(__xludf.DUMMYFUNCTION("""COMPUTED_VALUE"""),"M. 824")</f>
        <v>M. 824</v>
      </c>
      <c r="D11312" s="42"/>
      <c r="E11312" s="42"/>
      <c r="F11312" s="48" t="str">
        <f>IFERROR(__xludf.DUMMYFUNCTION("""COMPUTED_VALUE"""),"")</f>
        <v/>
      </c>
      <c r="G11312" s="42" t="str">
        <f>IFERROR(__xludf.DUMMYFUNCTION("""COMPUTED_VALUE"""),"Balik Nama")</f>
        <v>Balik Nama</v>
      </c>
      <c r="H11312" s="42">
        <f t="shared" si="1"/>
        <v>3345</v>
      </c>
    </row>
    <row r="11313" ht="22.5" customHeight="1">
      <c r="B11313" s="42" t="str">
        <f>IFERROR(__xludf.DUMMYFUNCTION("""COMPUTED_VALUE"""),"ABTSUUCJ")</f>
        <v>ABTSUUCJ</v>
      </c>
      <c r="C11313" s="42" t="str">
        <f>IFERROR(__xludf.DUMMYFUNCTION("""COMPUTED_VALUE"""),"Nibel. 18778")</f>
        <v>Nibel. 18778</v>
      </c>
      <c r="D11313" s="42"/>
      <c r="E11313" s="42"/>
      <c r="F11313" s="48" t="str">
        <f>IFERROR(__xludf.DUMMYFUNCTION("""COMPUTED_VALUE"""),"")</f>
        <v/>
      </c>
      <c r="G11313" s="42" t="str">
        <f>IFERROR(__xludf.DUMMYFUNCTION("""COMPUTED_VALUE"""),"Balik Nama")</f>
        <v>Balik Nama</v>
      </c>
      <c r="H11313" s="42">
        <f t="shared" si="1"/>
        <v>3345</v>
      </c>
    </row>
    <row r="11314" ht="22.5" customHeight="1">
      <c r="B11314" s="42" t="str">
        <f>IFERROR(__xludf.DUMMYFUNCTION("""COMPUTED_VALUE"""),"AB025/ABAJMJKU")</f>
        <v>AB025/ABAJMJKU</v>
      </c>
      <c r="C11314" s="42">
        <f>IFERROR(__xludf.DUMMYFUNCTION("""COMPUTED_VALUE"""),24976.0)</f>
        <v>24976</v>
      </c>
      <c r="D11314" s="42"/>
      <c r="E11314" s="42"/>
      <c r="F11314" s="48" t="str">
        <f>IFERROR(__xludf.DUMMYFUNCTION("""COMPUTED_VALUE"""),"")</f>
        <v/>
      </c>
      <c r="G11314" s="42" t="str">
        <f>IFERROR(__xludf.DUMMYFUNCTION("""COMPUTED_VALUE"""),"waris")</f>
        <v>waris</v>
      </c>
      <c r="H11314" s="42">
        <f t="shared" si="1"/>
        <v>3345</v>
      </c>
    </row>
    <row r="11315" ht="22.5" customHeight="1">
      <c r="B11315" s="42" t="str">
        <f>IFERROR(__xludf.DUMMYFUNCTION("""COMPUTED_VALUE"""),"K/5/040226/1")</f>
        <v>K/5/040226/1</v>
      </c>
      <c r="C11315" s="42" t="str">
        <f>IFERROR(__xludf.DUMMYFUNCTION("""COMPUTED_VALUE"""),"M. 935/WAY LAGA")</f>
        <v>M. 935/WAY LAGA</v>
      </c>
      <c r="D11315" s="42"/>
      <c r="E11315" s="42"/>
      <c r="F11315" s="48" t="str">
        <f>IFERROR(__xludf.DUMMYFUNCTION("""COMPUTED_VALUE"""),"")</f>
        <v/>
      </c>
      <c r="G11315" s="42" t="str">
        <f>IFERROR(__xludf.DUMMYFUNCTION("""COMPUTED_VALUE"""),"SKPT LELANG")</f>
        <v>SKPT LELANG</v>
      </c>
      <c r="H11315" s="42">
        <f t="shared" si="1"/>
        <v>3345</v>
      </c>
    </row>
    <row r="11316" ht="22.5" customHeight="1">
      <c r="B11316" s="42" t="str">
        <f>IFERROR(__xludf.DUMMYFUNCTION("""COMPUTED_VALUE"""),"L/6/040226/1")</f>
        <v>L/6/040226/1</v>
      </c>
      <c r="C11316" s="42" t="str">
        <f>IFERROR(__xludf.DUMMYFUNCTION("""COMPUTED_VALUE"""),"M. 152/PAHOMAN")</f>
        <v>M. 152/PAHOMAN</v>
      </c>
      <c r="D11316" s="42"/>
      <c r="E11316" s="42"/>
      <c r="F11316" s="48" t="str">
        <f>IFERROR(__xludf.DUMMYFUNCTION("""COMPUTED_VALUE"""),"")</f>
        <v/>
      </c>
      <c r="G11316" s="42" t="str">
        <f>IFERROR(__xludf.DUMMYFUNCTION("""COMPUTED_VALUE"""),"ROYA WARIS")</f>
        <v>ROYA WARIS</v>
      </c>
      <c r="H11316" s="42">
        <f t="shared" si="1"/>
        <v>3345</v>
      </c>
    </row>
    <row r="11317" ht="22.5" customHeight="1">
      <c r="B11317" s="42" t="str">
        <f>IFERROR(__xludf.DUMMYFUNCTION("""COMPUTED_VALUE"""),"ABLYDODT")</f>
        <v>ABLYDODT</v>
      </c>
      <c r="C11317" s="42" t="str">
        <f>IFERROR(__xludf.DUMMYFUNCTION("""COMPUTED_VALUE"""),"08.01.000026064.0")</f>
        <v>08.01.000026064.0</v>
      </c>
      <c r="D11317" s="42"/>
      <c r="E11317" s="42"/>
      <c r="F11317" s="48" t="str">
        <f>IFERROR(__xludf.DUMMYFUNCTION("""COMPUTED_VALUE"""),"")</f>
        <v/>
      </c>
      <c r="G11317" s="42" t="str">
        <f>IFERROR(__xludf.DUMMYFUNCTION("""COMPUTED_VALUE"""),"APHB")</f>
        <v>APHB</v>
      </c>
      <c r="H11317" s="42">
        <f t="shared" si="1"/>
        <v>3345</v>
      </c>
    </row>
    <row r="11318" ht="22.5" customHeight="1">
      <c r="B11318" s="42" t="str">
        <f>IFERROR(__xludf.DUMMYFUNCTION("""COMPUTED_VALUE"""),"ABDNOOGS")</f>
        <v>ABDNOOGS</v>
      </c>
      <c r="C11318" s="42" t="str">
        <f>IFERROR(__xludf.DUMMYFUNCTION("""COMPUTED_VALUE"""),"08.01.000025438.0")</f>
        <v>08.01.000025438.0</v>
      </c>
      <c r="D11318" s="42"/>
      <c r="E11318" s="42"/>
      <c r="F11318" s="48" t="str">
        <f>IFERROR(__xludf.DUMMYFUNCTION("""COMPUTED_VALUE"""),"")</f>
        <v/>
      </c>
      <c r="G11318" s="42" t="str">
        <f>IFERROR(__xludf.DUMMYFUNCTION("""COMPUTED_VALUE"""),"APHB")</f>
        <v>APHB</v>
      </c>
      <c r="H11318" s="42">
        <f t="shared" si="1"/>
        <v>3345</v>
      </c>
    </row>
    <row r="11319" ht="22.5" customHeight="1">
      <c r="B11319" s="42" t="str">
        <f>IFERROR(__xludf.DUMMYFUNCTION("""COMPUTED_VALUE"""),"ABJDHHKF")</f>
        <v>ABJDHHKF</v>
      </c>
      <c r="C11319" s="42" t="str">
        <f>IFERROR(__xludf.DUMMYFUNCTION("""COMPUTED_VALUE"""),"M.01564/Langkapura")</f>
        <v>M.01564/Langkapura</v>
      </c>
      <c r="D11319" s="42"/>
      <c r="E11319" s="42"/>
      <c r="F11319" s="48" t="str">
        <f>IFERROR(__xludf.DUMMYFUNCTION("""COMPUTED_VALUE"""),"")</f>
        <v/>
      </c>
      <c r="G11319" s="42" t="str">
        <f>IFERROR(__xludf.DUMMYFUNCTION("""COMPUTED_VALUE"""),"Pemecehan")</f>
        <v>Pemecehan</v>
      </c>
      <c r="H11319" s="42">
        <f t="shared" si="1"/>
        <v>3345</v>
      </c>
    </row>
    <row r="11320" ht="22.5" customHeight="1">
      <c r="B11320" s="42" t="str">
        <f>IFERROR(__xludf.DUMMYFUNCTION("""COMPUTED_VALUE"""),"ABNVPFGL/AB034")</f>
        <v>ABNVPFGL/AB034</v>
      </c>
      <c r="C11320" s="42" t="str">
        <f>IFERROR(__xludf.DUMMYFUNCTION("""COMPUTED_VALUE"""),"M. 2872/Sukamaju")</f>
        <v>M. 2872/Sukamaju</v>
      </c>
      <c r="D11320" s="42"/>
      <c r="E11320" s="42"/>
      <c r="F11320" s="48" t="str">
        <f>IFERROR(__xludf.DUMMYFUNCTION("""COMPUTED_VALUE"""),"")</f>
        <v/>
      </c>
      <c r="G11320" s="42" t="str">
        <f>IFERROR(__xludf.DUMMYFUNCTION("""COMPUTED_VALUE"""),"Bn jual beli")</f>
        <v>Bn jual beli</v>
      </c>
      <c r="H11320" s="42">
        <f t="shared" si="1"/>
        <v>3345</v>
      </c>
    </row>
    <row r="11321" ht="22.5" customHeight="1">
      <c r="B11321" s="42" t="str">
        <f>IFERROR(__xludf.DUMMYFUNCTION("""COMPUTED_VALUE"""),"ABEGNYBP/AB029")</f>
        <v>ABEGNYBP/AB029</v>
      </c>
      <c r="C11321" s="42" t="str">
        <f>IFERROR(__xludf.DUMMYFUNCTION("""COMPUTED_VALUE"""),"Shm 29886 Kedaton")</f>
        <v>Shm 29886 Kedaton</v>
      </c>
      <c r="D11321" s="42"/>
      <c r="E11321" s="42"/>
      <c r="F11321" s="48" t="str">
        <f>IFERROR(__xludf.DUMMYFUNCTION("""COMPUTED_VALUE"""),"")</f>
        <v/>
      </c>
      <c r="G11321" s="42" t="str">
        <f>IFERROR(__xludf.DUMMYFUNCTION("""COMPUTED_VALUE"""),"balik nama jual beli")</f>
        <v>balik nama jual beli</v>
      </c>
      <c r="H11321" s="42">
        <f t="shared" si="1"/>
        <v>3345</v>
      </c>
    </row>
    <row r="11322" ht="22.5" customHeight="1">
      <c r="B11322" s="42" t="str">
        <f>IFERROR(__xludf.DUMMYFUNCTION("""COMPUTED_VALUE"""),"ABYYDBVF/029")</f>
        <v>ABYYDBVF/029</v>
      </c>
      <c r="C11322" s="42" t="str">
        <f>IFERROR(__xludf.DUMMYFUNCTION("""COMPUTED_VALUE"""),"ABVIXHYU")</f>
        <v>ABVIXHYU</v>
      </c>
      <c r="D11322" s="42"/>
      <c r="E11322" s="42"/>
      <c r="F11322" s="48" t="str">
        <f>IFERROR(__xludf.DUMMYFUNCTION("""COMPUTED_VALUE"""),"")</f>
        <v/>
      </c>
      <c r="G11322" s="42" t="str">
        <f>IFERROR(__xludf.DUMMYFUNCTION("""COMPUTED_VALUE"""),"balik nama jual beli")</f>
        <v>balik nama jual beli</v>
      </c>
      <c r="H11322" s="42">
        <f t="shared" si="1"/>
        <v>3345</v>
      </c>
    </row>
    <row r="11323" ht="22.5" customHeight="1">
      <c r="B11323" s="42" t="str">
        <f>IFERROR(__xludf.DUMMYFUNCTION("""COMPUTED_VALUE"""),"ABQZPSZQ")</f>
        <v>ABQZPSZQ</v>
      </c>
      <c r="C11323" s="42" t="str">
        <f>IFERROR(__xludf.DUMMYFUNCTION("""COMPUTED_VALUE"""),"B. 148/Way Laga")</f>
        <v>B. 148/Way Laga</v>
      </c>
      <c r="D11323" s="42"/>
      <c r="E11323" s="42"/>
      <c r="F11323" s="48" t="str">
        <f>IFERROR(__xludf.DUMMYFUNCTION("""COMPUTED_VALUE"""),"")</f>
        <v/>
      </c>
      <c r="G11323" s="42" t="str">
        <f>IFERROR(__xludf.DUMMYFUNCTION("""COMPUTED_VALUE"""),"Bn Ajb")</f>
        <v>Bn Ajb</v>
      </c>
      <c r="H11323" s="42">
        <f t="shared" si="1"/>
        <v>3345</v>
      </c>
    </row>
    <row r="11324" ht="22.5" customHeight="1">
      <c r="B11324" s="42" t="str">
        <f>IFERROR(__xludf.DUMMYFUNCTION("""COMPUTED_VALUE"""),"L/7/040226/1")</f>
        <v>L/7/040226/1</v>
      </c>
      <c r="C11324" s="42" t="str">
        <f>IFERROR(__xludf.DUMMYFUNCTION("""COMPUTED_VALUE"""),"M. 141/PENGAJARAN")</f>
        <v>M. 141/PENGAJARAN</v>
      </c>
      <c r="D11324" s="42"/>
      <c r="E11324" s="42"/>
      <c r="F11324" s="48" t="str">
        <f>IFERROR(__xludf.DUMMYFUNCTION("""COMPUTED_VALUE"""),"")</f>
        <v/>
      </c>
      <c r="G11324" s="42" t="str">
        <f>IFERROR(__xludf.DUMMYFUNCTION("""COMPUTED_VALUE"""),"SKPT INFORMASI")</f>
        <v>SKPT INFORMASI</v>
      </c>
      <c r="H11324" s="42">
        <f t="shared" si="1"/>
        <v>3345</v>
      </c>
    </row>
    <row r="11325" ht="22.5" customHeight="1">
      <c r="B11325" s="42" t="str">
        <f>IFERROR(__xludf.DUMMYFUNCTION("""COMPUTED_VALUE"""),"AB037/ABXPRMGE")</f>
        <v>AB037/ABXPRMGE</v>
      </c>
      <c r="C11325" s="42" t="str">
        <f>IFERROR(__xludf.DUMMYFUNCTION("""COMPUTED_VALUE"""),"M 56/ Gu.T")</f>
        <v>M 56/ Gu.T</v>
      </c>
      <c r="D11325" s="42"/>
      <c r="E11325" s="42"/>
      <c r="F11325" s="48" t="str">
        <f>IFERROR(__xludf.DUMMYFUNCTION("""COMPUTED_VALUE"""),"")</f>
        <v/>
      </c>
      <c r="G11325" s="42" t="str">
        <f>IFERROR(__xludf.DUMMYFUNCTION("""COMPUTED_VALUE"""),"Peralihan Hak")</f>
        <v>Peralihan Hak</v>
      </c>
      <c r="H11325" s="42">
        <f t="shared" si="1"/>
        <v>3345</v>
      </c>
    </row>
    <row r="11326" ht="22.5" customHeight="1">
      <c r="B11326" s="42" t="str">
        <f>IFERROR(__xludf.DUMMYFUNCTION("""COMPUTED_VALUE"""),"L/8/040226/1")</f>
        <v>L/8/040226/1</v>
      </c>
      <c r="C11326" s="42" t="str">
        <f>IFERROR(__xludf.DUMMYFUNCTION("""COMPUTED_VALUE"""),"KEL. SUKARAME II")</f>
        <v>KEL. SUKARAME II</v>
      </c>
      <c r="D11326" s="42"/>
      <c r="E11326" s="42"/>
      <c r="F11326" s="48" t="str">
        <f>IFERROR(__xludf.DUMMYFUNCTION("""COMPUTED_VALUE"""),"")</f>
        <v/>
      </c>
      <c r="G11326" s="42" t="str">
        <f>IFERROR(__xludf.DUMMYFUNCTION("""COMPUTED_VALUE"""),"PENGUKURAN PERTAMA KALI")</f>
        <v>PENGUKURAN PERTAMA KALI</v>
      </c>
      <c r="H11326" s="42">
        <f t="shared" si="1"/>
        <v>3345</v>
      </c>
    </row>
    <row r="11327" ht="22.5" customHeight="1">
      <c r="B11327" s="42" t="str">
        <f>IFERROR(__xludf.DUMMYFUNCTION("""COMPUTED_VALUE"""),"L/9/040226/1")</f>
        <v>L/9/040226/1</v>
      </c>
      <c r="C11327" s="42" t="str">
        <f>IFERROR(__xludf.DUMMYFUNCTION("""COMPUTED_VALUE"""),"B. 75/GEDONG MENENG")</f>
        <v>B. 75/GEDONG MENENG</v>
      </c>
      <c r="D11327" s="42"/>
      <c r="E11327" s="42"/>
      <c r="F11327" s="48" t="str">
        <f>IFERROR(__xludf.DUMMYFUNCTION("""COMPUTED_VALUE"""),"")</f>
        <v/>
      </c>
      <c r="G11327" s="42" t="str">
        <f>IFERROR(__xludf.DUMMYFUNCTION("""COMPUTED_VALUE"""),"PENINGKATAN HAK")</f>
        <v>PENINGKATAN HAK</v>
      </c>
      <c r="H11327" s="42">
        <f t="shared" si="1"/>
        <v>3345</v>
      </c>
    </row>
    <row r="11328" ht="22.5" customHeight="1">
      <c r="B11328" s="42" t="str">
        <f>IFERROR(__xludf.DUMMYFUNCTION("""COMPUTED_VALUE"""),"L/10/040226/1")</f>
        <v>L/10/040226/1</v>
      </c>
      <c r="C11328" s="42" t="str">
        <f>IFERROR(__xludf.DUMMYFUNCTION("""COMPUTED_VALUE"""),"M. 1030/SUKARAJA")</f>
        <v>M. 1030/SUKARAJA</v>
      </c>
      <c r="D11328" s="42"/>
      <c r="E11328" s="42"/>
      <c r="F11328" s="48" t="str">
        <f>IFERROR(__xludf.DUMMYFUNCTION("""COMPUTED_VALUE"""),"")</f>
        <v/>
      </c>
      <c r="G11328" s="42" t="str">
        <f>IFERROR(__xludf.DUMMYFUNCTION("""COMPUTED_VALUE"""),"BN JUAL BELI")</f>
        <v>BN JUAL BELI</v>
      </c>
      <c r="H11328" s="42">
        <f t="shared" si="1"/>
        <v>3345</v>
      </c>
    </row>
    <row r="11329" ht="22.5" customHeight="1">
      <c r="B11329" s="42" t="str">
        <f>IFERROR(__xludf.DUMMYFUNCTION("""COMPUTED_VALUE"""),"L/13/040226/1")</f>
        <v>L/13/040226/1</v>
      </c>
      <c r="C11329" s="42" t="str">
        <f>IFERROR(__xludf.DUMMYFUNCTION("""COMPUTED_VALUE"""),"M. 1763/RAJABASA PEMUKA")</f>
        <v>M. 1763/RAJABASA PEMUKA</v>
      </c>
      <c r="D11329" s="42"/>
      <c r="E11329" s="42"/>
      <c r="F11329" s="48" t="str">
        <f>IFERROR(__xludf.DUMMYFUNCTION("""COMPUTED_VALUE"""),"")</f>
        <v/>
      </c>
      <c r="G11329" s="42" t="str">
        <f>IFERROR(__xludf.DUMMYFUNCTION("""COMPUTED_VALUE"""),"GANTI BLANKO")</f>
        <v>GANTI BLANKO</v>
      </c>
      <c r="H11329" s="42">
        <f t="shared" si="1"/>
        <v>3345</v>
      </c>
    </row>
    <row r="11330" ht="22.5" customHeight="1">
      <c r="B11330" s="42" t="str">
        <f>IFERROR(__xludf.DUMMYFUNCTION("""COMPUTED_VALUE"""),"L/14/040226/2")</f>
        <v>L/14/040226/2</v>
      </c>
      <c r="C11330" s="42" t="str">
        <f>IFERROR(__xludf.DUMMYFUNCTION("""COMPUTED_VALUE"""),"M. 981/NEGERI OLOK GADING")</f>
        <v>M. 981/NEGERI OLOK GADING</v>
      </c>
      <c r="D11330" s="42"/>
      <c r="E11330" s="42"/>
      <c r="F11330" s="48" t="str">
        <f>IFERROR(__xludf.DUMMYFUNCTION("""COMPUTED_VALUE"""),"")</f>
        <v/>
      </c>
      <c r="G11330" s="42" t="str">
        <f>IFERROR(__xludf.DUMMYFUNCTION("""COMPUTED_VALUE"""),"GANTI BLANKO")</f>
        <v>GANTI BLANKO</v>
      </c>
      <c r="H11330" s="42">
        <f t="shared" si="1"/>
        <v>3345</v>
      </c>
    </row>
    <row r="11331" ht="22.5" customHeight="1">
      <c r="B11331" s="42" t="str">
        <f>IFERROR(__xludf.DUMMYFUNCTION("""COMPUTED_VALUE"""),"L/11/040226/1")</f>
        <v>L/11/040226/1</v>
      </c>
      <c r="C11331" s="42" t="str">
        <f>IFERROR(__xludf.DUMMYFUNCTION("""COMPUTED_VALUE"""),"M. 1116/LABUHAN RATU")</f>
        <v>M. 1116/LABUHAN RATU</v>
      </c>
      <c r="D11331" s="42"/>
      <c r="E11331" s="42"/>
      <c r="F11331" s="48" t="str">
        <f>IFERROR(__xludf.DUMMYFUNCTION("""COMPUTED_VALUE"""),"")</f>
        <v/>
      </c>
      <c r="G11331" s="42" t="str">
        <f>IFERROR(__xludf.DUMMYFUNCTION("""COMPUTED_VALUE"""),"GANTI BLANKO")</f>
        <v>GANTI BLANKO</v>
      </c>
      <c r="H11331" s="42">
        <f t="shared" si="1"/>
        <v>3345</v>
      </c>
    </row>
    <row r="11332" ht="22.5" customHeight="1">
      <c r="B11332" s="42" t="str">
        <f>IFERROR(__xludf.DUMMYFUNCTION("""COMPUTED_VALUE"""),"L/12/040226/1")</f>
        <v>L/12/040226/1</v>
      </c>
      <c r="C11332" s="42" t="str">
        <f>IFERROR(__xludf.DUMMYFUNCTION("""COMPUTED_VALUE"""),"M. 436/PAHOMAN")</f>
        <v>M. 436/PAHOMAN</v>
      </c>
      <c r="D11332" s="42"/>
      <c r="E11332" s="42"/>
      <c r="F11332" s="48" t="str">
        <f>IFERROR(__xludf.DUMMYFUNCTION("""COMPUTED_VALUE"""),"")</f>
        <v/>
      </c>
      <c r="G11332" s="42" t="str">
        <f>IFERROR(__xludf.DUMMYFUNCTION("""COMPUTED_VALUE"""),"GANTI BLANKO")</f>
        <v>GANTI BLANKO</v>
      </c>
      <c r="H11332" s="42">
        <f t="shared" si="1"/>
        <v>3345</v>
      </c>
    </row>
    <row r="11333" ht="22.5" customHeight="1">
      <c r="B11333" s="42" t="str">
        <f>IFERROR(__xludf.DUMMYFUNCTION("""COMPUTED_VALUE"""),"ABAFKYHQ")</f>
        <v>ABAFKYHQ</v>
      </c>
      <c r="C11333" s="42" t="str">
        <f>IFERROR(__xludf.DUMMYFUNCTION("""COMPUTED_VALUE"""),"M.1229")</f>
        <v>M.1229</v>
      </c>
      <c r="D11333" s="42"/>
      <c r="E11333" s="42"/>
      <c r="F11333" s="48" t="str">
        <f>IFERROR(__xludf.DUMMYFUNCTION("""COMPUTED_VALUE"""),"")</f>
        <v/>
      </c>
      <c r="G11333" s="42" t="str">
        <f>IFERROR(__xludf.DUMMYFUNCTION("""COMPUTED_VALUE"""),"Bn jual beli")</f>
        <v>Bn jual beli</v>
      </c>
      <c r="H11333" s="42">
        <f t="shared" si="1"/>
        <v>3345</v>
      </c>
    </row>
    <row r="11334" ht="22.5" customHeight="1">
      <c r="B11334" s="42" t="str">
        <f>IFERROR(__xludf.DUMMYFUNCTION("""COMPUTED_VALUE"""),"ABODESHA")</f>
        <v>ABODESHA</v>
      </c>
      <c r="C11334" s="42" t="str">
        <f>IFERROR(__xludf.DUMMYFUNCTION("""COMPUTED_VALUE"""),"M.182/Rajabasa Pemuka")</f>
        <v>M.182/Rajabasa Pemuka</v>
      </c>
      <c r="D11334" s="42"/>
      <c r="E11334" s="42"/>
      <c r="F11334" s="48" t="str">
        <f>IFERROR(__xludf.DUMMYFUNCTION("""COMPUTED_VALUE"""),"")</f>
        <v/>
      </c>
      <c r="G11334" s="42" t="str">
        <f>IFERROR(__xludf.DUMMYFUNCTION("""COMPUTED_VALUE"""),"Bn waris")</f>
        <v>Bn waris</v>
      </c>
      <c r="H11334" s="42">
        <f t="shared" si="1"/>
        <v>3345</v>
      </c>
    </row>
    <row r="11335" ht="22.5" customHeight="1">
      <c r="B11335" s="42" t="str">
        <f>IFERROR(__xludf.DUMMYFUNCTION("""COMPUTED_VALUE"""),"L/1/050226/1")</f>
        <v>L/1/050226/1</v>
      </c>
      <c r="C11335" s="42" t="str">
        <f>IFERROR(__xludf.DUMMYFUNCTION("""COMPUTED_VALUE"""),"M. 18016/SUKARAME I")</f>
        <v>M. 18016/SUKARAME I</v>
      </c>
      <c r="D11335" s="42"/>
      <c r="E11335" s="42"/>
      <c r="F11335" s="48" t="str">
        <f>IFERROR(__xludf.DUMMYFUNCTION("""COMPUTED_VALUE"""),"")</f>
        <v/>
      </c>
      <c r="G11335" s="42" t="str">
        <f>IFERROR(__xludf.DUMMYFUNCTION("""COMPUTED_VALUE"""),"ROYA LELANG")</f>
        <v>ROYA LELANG</v>
      </c>
      <c r="H11335" s="42">
        <f t="shared" si="1"/>
        <v>3345</v>
      </c>
    </row>
    <row r="11336" ht="22.5" customHeight="1">
      <c r="B11336" s="42" t="str">
        <f>IFERROR(__xludf.DUMMYFUNCTION("""COMPUTED_VALUE"""),"AB024/ABUYVJCL")</f>
        <v>AB024/ABUYVJCL</v>
      </c>
      <c r="C11336" s="42" t="str">
        <f>IFERROR(__xludf.DUMMYFUNCTION("""COMPUTED_VALUE"""),"M.951 PWH")</f>
        <v>M.951 PWH</v>
      </c>
      <c r="D11336" s="42"/>
      <c r="E11336" s="42"/>
      <c r="F11336" s="48" t="str">
        <f>IFERROR(__xludf.DUMMYFUNCTION("""COMPUTED_VALUE"""),"")</f>
        <v/>
      </c>
      <c r="G11336" s="42" t="str">
        <f>IFERROR(__xludf.DUMMYFUNCTION("""COMPUTED_VALUE"""),"Balik nama waris")</f>
        <v>Balik nama waris</v>
      </c>
      <c r="H11336" s="42">
        <f t="shared" si="1"/>
        <v>3345</v>
      </c>
    </row>
    <row r="11337" ht="22.5" customHeight="1">
      <c r="B11337" s="42" t="str">
        <f>IFERROR(__xludf.DUMMYFUNCTION("""COMPUTED_VALUE"""),"ABESVOKE")</f>
        <v>ABESVOKE</v>
      </c>
      <c r="C11337" s="42" t="str">
        <f>IFERROR(__xludf.DUMMYFUNCTION("""COMPUTED_VALUE"""),"M.459/Kaliawi Persada")</f>
        <v>M.459/Kaliawi Persada</v>
      </c>
      <c r="D11337" s="42"/>
      <c r="E11337" s="42"/>
      <c r="F11337" s="48" t="str">
        <f>IFERROR(__xludf.DUMMYFUNCTION("""COMPUTED_VALUE"""),"")</f>
        <v/>
      </c>
      <c r="G11337" s="42" t="str">
        <f>IFERROR(__xludf.DUMMYFUNCTION("""COMPUTED_VALUE"""),"BN")</f>
        <v>BN</v>
      </c>
      <c r="H11337" s="42">
        <f t="shared" si="1"/>
        <v>3345</v>
      </c>
    </row>
    <row r="11338" ht="22.5" customHeight="1">
      <c r="B11338" s="42">
        <f>IFERROR(__xludf.DUMMYFUNCTION("""COMPUTED_VALUE"""),29.0)</f>
        <v>29</v>
      </c>
      <c r="C11338" s="42">
        <f>IFERROR(__xludf.DUMMYFUNCTION("""COMPUTED_VALUE"""),825.0)</f>
        <v>825</v>
      </c>
      <c r="D11338" s="42"/>
      <c r="E11338" s="42"/>
      <c r="F11338" s="48" t="str">
        <f>IFERROR(__xludf.DUMMYFUNCTION("""COMPUTED_VALUE"""),"")</f>
        <v/>
      </c>
      <c r="G11338" s="42" t="str">
        <f>IFERROR(__xludf.DUMMYFUNCTION("""COMPUTED_VALUE"""),"Balik Nama")</f>
        <v>Balik Nama</v>
      </c>
      <c r="H11338" s="42">
        <f t="shared" si="1"/>
        <v>3345</v>
      </c>
    </row>
    <row r="11339" ht="22.5" customHeight="1">
      <c r="B11339" s="42" t="str">
        <f>IFERROR(__xludf.DUMMYFUNCTION("""COMPUTED_VALUE"""),"ABRXCAEH")</f>
        <v>ABRXCAEH</v>
      </c>
      <c r="C11339" s="42" t="str">
        <f>IFERROR(__xludf.DUMMYFUNCTION("""COMPUTED_VALUE"""),"M.9138 SIDODADI")</f>
        <v>M.9138 SIDODADI</v>
      </c>
      <c r="D11339" s="42"/>
      <c r="E11339" s="42"/>
      <c r="F11339" s="48" t="str">
        <f>IFERROR(__xludf.DUMMYFUNCTION("""COMPUTED_VALUE"""),"")</f>
        <v/>
      </c>
      <c r="G11339" s="42" t="str">
        <f>IFERROR(__xludf.DUMMYFUNCTION("""COMPUTED_VALUE"""),"BN WARIS")</f>
        <v>BN WARIS</v>
      </c>
      <c r="H11339" s="42">
        <f t="shared" si="1"/>
        <v>3345</v>
      </c>
    </row>
    <row r="11340" ht="22.5" customHeight="1">
      <c r="B11340" s="42" t="str">
        <f>IFERROR(__xludf.DUMMYFUNCTION("""COMPUTED_VALUE"""),"ABDFBXLC")</f>
        <v>ABDFBXLC</v>
      </c>
      <c r="C11340" s="42" t="str">
        <f>IFERROR(__xludf.DUMMYFUNCTION("""COMPUTED_VALUE"""),"M.10465 SIDODADI")</f>
        <v>M.10465 SIDODADI</v>
      </c>
      <c r="D11340" s="42"/>
      <c r="E11340" s="42"/>
      <c r="F11340" s="48" t="str">
        <f>IFERROR(__xludf.DUMMYFUNCTION("""COMPUTED_VALUE"""),"")</f>
        <v/>
      </c>
      <c r="G11340" s="42" t="str">
        <f>IFERROR(__xludf.DUMMYFUNCTION("""COMPUTED_VALUE"""),"BN WARIS")</f>
        <v>BN WARIS</v>
      </c>
      <c r="H11340" s="42">
        <f t="shared" si="1"/>
        <v>3345</v>
      </c>
    </row>
    <row r="11341" ht="22.5" customHeight="1">
      <c r="B11341" s="42" t="str">
        <f>IFERROR(__xludf.DUMMYFUNCTION("""COMPUTED_VALUE"""),"ABKXWPQW")</f>
        <v>ABKXWPQW</v>
      </c>
      <c r="C11341" s="42" t="str">
        <f>IFERROR(__xludf.DUMMYFUNCTION("""COMPUTED_VALUE"""),"M.1112 SUSUNAN BARU")</f>
        <v>M.1112 SUSUNAN BARU</v>
      </c>
      <c r="D11341" s="42"/>
      <c r="E11341" s="42"/>
      <c r="F11341" s="48" t="str">
        <f>IFERROR(__xludf.DUMMYFUNCTION("""COMPUTED_VALUE"""),"")</f>
        <v/>
      </c>
      <c r="G11341" s="42" t="str">
        <f>IFERROR(__xludf.DUMMYFUNCTION("""COMPUTED_VALUE"""),"BN WARIS")</f>
        <v>BN WARIS</v>
      </c>
      <c r="H11341" s="42">
        <f t="shared" si="1"/>
        <v>3345</v>
      </c>
    </row>
    <row r="11342" ht="22.5" customHeight="1">
      <c r="B11342" s="42" t="str">
        <f>IFERROR(__xludf.DUMMYFUNCTION("""COMPUTED_VALUE"""),"K/2/050226/1")</f>
        <v>K/2/050226/1</v>
      </c>
      <c r="C11342" s="42" t="str">
        <f>IFERROR(__xludf.DUMMYFUNCTION("""COMPUTED_VALUE"""),"B. 3773/SUKABUMI")</f>
        <v>B. 3773/SUKABUMI</v>
      </c>
      <c r="D11342" s="42"/>
      <c r="E11342" s="42"/>
      <c r="F11342" s="48" t="str">
        <f>IFERROR(__xludf.DUMMYFUNCTION("""COMPUTED_VALUE"""),"")</f>
        <v/>
      </c>
      <c r="G11342" s="42" t="str">
        <f>IFERROR(__xludf.DUMMYFUNCTION("""COMPUTED_VALUE"""),"PTPGT")</f>
        <v>PTPGT</v>
      </c>
      <c r="H11342" s="42">
        <f t="shared" si="1"/>
        <v>3345</v>
      </c>
    </row>
    <row r="11343" ht="22.5" customHeight="1">
      <c r="B11343" s="42" t="str">
        <f>IFERROR(__xludf.DUMMYFUNCTION("""COMPUTED_VALUE"""),"K/3/050226/1")</f>
        <v>K/3/050226/1</v>
      </c>
      <c r="C11343" s="42" t="str">
        <f>IFERROR(__xludf.DUMMYFUNCTION("""COMPUTED_VALUE"""),"NIBEL M. 23746/RAJABASA JAYA")</f>
        <v>NIBEL M. 23746/RAJABASA JAYA</v>
      </c>
      <c r="D11343" s="42"/>
      <c r="E11343" s="42"/>
      <c r="F11343" s="48" t="str">
        <f>IFERROR(__xludf.DUMMYFUNCTION("""COMPUTED_VALUE"""),"")</f>
        <v/>
      </c>
      <c r="G11343" s="42" t="str">
        <f>IFERROR(__xludf.DUMMYFUNCTION("""COMPUTED_VALUE"""),"BN JUAL BELI")</f>
        <v>BN JUAL BELI</v>
      </c>
      <c r="H11343" s="42">
        <f t="shared" si="1"/>
        <v>3345</v>
      </c>
    </row>
    <row r="11344" ht="22.5" customHeight="1">
      <c r="B11344" s="42" t="str">
        <f>IFERROR(__xludf.DUMMYFUNCTION("""COMPUTED_VALUE"""),"K/4/050226/2")</f>
        <v>K/4/050226/2</v>
      </c>
      <c r="C11344" s="42" t="str">
        <f>IFERROR(__xludf.DUMMYFUNCTION("""COMPUTED_VALUE"""),"NIBEL M.20302/RAJABASA JAYA")</f>
        <v>NIBEL M.20302/RAJABASA JAYA</v>
      </c>
      <c r="D11344" s="42"/>
      <c r="E11344" s="42"/>
      <c r="F11344" s="48" t="str">
        <f>IFERROR(__xludf.DUMMYFUNCTION("""COMPUTED_VALUE"""),"")</f>
        <v/>
      </c>
      <c r="G11344" s="42" t="str">
        <f>IFERROR(__xludf.DUMMYFUNCTION("""COMPUTED_VALUE"""),"BN JUAL BELI")</f>
        <v>BN JUAL BELI</v>
      </c>
      <c r="H11344" s="42">
        <f t="shared" si="1"/>
        <v>3345</v>
      </c>
    </row>
    <row r="11345" ht="22.5" customHeight="1">
      <c r="B11345" s="42" t="str">
        <f>IFERROR(__xludf.DUMMYFUNCTION("""COMPUTED_VALUE"""),"K/5/050226/1")</f>
        <v>K/5/050226/1</v>
      </c>
      <c r="C11345" s="42" t="str">
        <f>IFERROR(__xludf.DUMMYFUNCTION("""COMPUTED_VALUE"""),"M. 13097/SUKARAME")</f>
        <v>M. 13097/SUKARAME</v>
      </c>
      <c r="D11345" s="42"/>
      <c r="E11345" s="42"/>
      <c r="F11345" s="48" t="str">
        <f>IFERROR(__xludf.DUMMYFUNCTION("""COMPUTED_VALUE"""),"")</f>
        <v/>
      </c>
      <c r="G11345" s="42" t="str">
        <f>IFERROR(__xludf.DUMMYFUNCTION("""COMPUTED_VALUE"""),"BN WARIS")</f>
        <v>BN WARIS</v>
      </c>
      <c r="H11345" s="42">
        <f t="shared" si="1"/>
        <v>3345</v>
      </c>
    </row>
    <row r="11346" ht="22.5" customHeight="1">
      <c r="B11346" s="42" t="str">
        <f>IFERROR(__xludf.DUMMYFUNCTION("""COMPUTED_VALUE"""),"K/6/050226/1")</f>
        <v>K/6/050226/1</v>
      </c>
      <c r="C11346" s="42" t="str">
        <f>IFERROR(__xludf.DUMMYFUNCTION("""COMPUTED_VALUE"""),"M. 974/WAY LAGA")</f>
        <v>M. 974/WAY LAGA</v>
      </c>
      <c r="D11346" s="42"/>
      <c r="E11346" s="42"/>
      <c r="F11346" s="48" t="str">
        <f>IFERROR(__xludf.DUMMYFUNCTION("""COMPUTED_VALUE"""),"")</f>
        <v/>
      </c>
      <c r="G11346" s="42" t="str">
        <f>IFERROR(__xludf.DUMMYFUNCTION("""COMPUTED_VALUE"""),"SKPT LELANG")</f>
        <v>SKPT LELANG</v>
      </c>
      <c r="H11346" s="42">
        <f t="shared" si="1"/>
        <v>3345</v>
      </c>
    </row>
    <row r="11347" ht="22.5" customHeight="1">
      <c r="B11347" s="42" t="str">
        <f>IFERROR(__xludf.DUMMYFUNCTION("""COMPUTED_VALUE"""),"K/7/050226/1")</f>
        <v>K/7/050226/1</v>
      </c>
      <c r="C11347" s="42" t="str">
        <f>IFERROR(__xludf.DUMMYFUNCTION("""COMPUTED_VALUE"""),"M. 418/CAMPANG JAYA")</f>
        <v>M. 418/CAMPANG JAYA</v>
      </c>
      <c r="D11347" s="42"/>
      <c r="E11347" s="42"/>
      <c r="F11347" s="48" t="str">
        <f>IFERROR(__xludf.DUMMYFUNCTION("""COMPUTED_VALUE"""),"")</f>
        <v/>
      </c>
      <c r="G11347" s="42" t="str">
        <f>IFERROR(__xludf.DUMMYFUNCTION("""COMPUTED_VALUE"""),"PEMECAHAN")</f>
        <v>PEMECAHAN</v>
      </c>
      <c r="H11347" s="42">
        <f t="shared" si="1"/>
        <v>3345</v>
      </c>
    </row>
    <row r="11348" ht="22.5" customHeight="1">
      <c r="B11348" s="42" t="str">
        <f>IFERROR(__xludf.DUMMYFUNCTION("""COMPUTED_VALUE"""),"ABGBSVYT")</f>
        <v>ABGBSVYT</v>
      </c>
      <c r="C11348" s="42" t="str">
        <f>IFERROR(__xludf.DUMMYFUNCTION("""COMPUTED_VALUE"""),"01198/Perumnas Way Kandis")</f>
        <v>01198/Perumnas Way Kandis</v>
      </c>
      <c r="D11348" s="42"/>
      <c r="E11348" s="42"/>
      <c r="F11348" s="48" t="str">
        <f>IFERROR(__xludf.DUMMYFUNCTION("""COMPUTED_VALUE"""),"")</f>
        <v/>
      </c>
      <c r="G11348" s="42" t="str">
        <f>IFERROR(__xludf.DUMMYFUNCTION("""COMPUTED_VALUE"""),"PERALIHAN HAK - BALIK NAMA")</f>
        <v>PERALIHAN HAK - BALIK NAMA</v>
      </c>
      <c r="H11348" s="42">
        <f t="shared" si="1"/>
        <v>3345</v>
      </c>
    </row>
    <row r="11349" ht="22.5" customHeight="1">
      <c r="B11349" s="42" t="str">
        <f>IFERROR(__xludf.DUMMYFUNCTION("""COMPUTED_VALUE"""),"K/8/050226/1")</f>
        <v>K/8/050226/1</v>
      </c>
      <c r="C11349" s="42" t="str">
        <f>IFERROR(__xludf.DUMMYFUNCTION("""COMPUTED_VALUE"""),"B. 892/TANJUNG SENANG")</f>
        <v>B. 892/TANJUNG SENANG</v>
      </c>
      <c r="D11349" s="42"/>
      <c r="E11349" s="42"/>
      <c r="F11349" s="48" t="str">
        <f>IFERROR(__xludf.DUMMYFUNCTION("""COMPUTED_VALUE"""),"")</f>
        <v/>
      </c>
      <c r="G11349" s="42" t="str">
        <f>IFERROR(__xludf.DUMMYFUNCTION("""COMPUTED_VALUE"""),"ROYA")</f>
        <v>ROYA</v>
      </c>
      <c r="H11349" s="42">
        <f t="shared" si="1"/>
        <v>3345</v>
      </c>
    </row>
    <row r="11350" ht="22.5" customHeight="1">
      <c r="B11350" s="42" t="str">
        <f>IFERROR(__xludf.DUMMYFUNCTION("""COMPUTED_VALUE"""),"L/10/050226/1")</f>
        <v>L/10/050226/1</v>
      </c>
      <c r="C11350" s="42" t="str">
        <f>IFERROR(__xludf.DUMMYFUNCTION("""COMPUTED_VALUE"""),"M NIB. 27488/WAY DADI BARU")</f>
        <v>M NIB. 27488/WAY DADI BARU</v>
      </c>
      <c r="D11350" s="42"/>
      <c r="E11350" s="42"/>
      <c r="F11350" s="48" t="str">
        <f>IFERROR(__xludf.DUMMYFUNCTION("""COMPUTED_VALUE"""),"")</f>
        <v/>
      </c>
      <c r="G11350" s="42" t="str">
        <f>IFERROR(__xludf.DUMMYFUNCTION("""COMPUTED_VALUE"""),"BN HIBAH")</f>
        <v>BN HIBAH</v>
      </c>
      <c r="H11350" s="42">
        <f t="shared" si="1"/>
        <v>3345</v>
      </c>
    </row>
    <row r="11351" ht="22.5" customHeight="1">
      <c r="B11351" s="42" t="str">
        <f>IFERROR(__xludf.DUMMYFUNCTION("""COMPUTED_VALUE"""),"ABWPBWWL/Ab09")</f>
        <v>ABWPBWWL/Ab09</v>
      </c>
      <c r="C11351" s="42" t="str">
        <f>IFERROR(__xludf.DUMMYFUNCTION("""COMPUTED_VALUE"""),"M 01494/Rajabasa Raya")</f>
        <v>M 01494/Rajabasa Raya</v>
      </c>
      <c r="D11351" s="42"/>
      <c r="E11351" s="42"/>
      <c r="F11351" s="48" t="str">
        <f>IFERROR(__xludf.DUMMYFUNCTION("""COMPUTED_VALUE"""),"")</f>
        <v/>
      </c>
      <c r="G11351" s="42" t="str">
        <f>IFERROR(__xludf.DUMMYFUNCTION("""COMPUTED_VALUE"""),"Penghapusan bphtb ptsl ")</f>
        <v>Penghapusan bphtb ptsl </v>
      </c>
      <c r="H11351" s="42">
        <f t="shared" si="1"/>
        <v>3345</v>
      </c>
    </row>
    <row r="11352" ht="22.5" customHeight="1">
      <c r="B11352" s="42" t="str">
        <f>IFERROR(__xludf.DUMMYFUNCTION("""COMPUTED_VALUE"""),"ABNMPEJB/AB038")</f>
        <v>ABNMPEJB/AB038</v>
      </c>
      <c r="C11352" s="42" t="str">
        <f>IFERROR(__xludf.DUMMYFUNCTION("""COMPUTED_VALUE"""),"M. NIBEL 21665/Sukarame Baru")</f>
        <v>M. NIBEL 21665/Sukarame Baru</v>
      </c>
      <c r="D11352" s="42"/>
      <c r="E11352" s="42"/>
      <c r="F11352" s="48" t="str">
        <f>IFERROR(__xludf.DUMMYFUNCTION("""COMPUTED_VALUE"""),"")</f>
        <v/>
      </c>
      <c r="G11352" s="42" t="str">
        <f>IFERROR(__xludf.DUMMYFUNCTION("""COMPUTED_VALUE"""),"BN JUAL BELI")</f>
        <v>BN JUAL BELI</v>
      </c>
      <c r="H11352" s="42">
        <f t="shared" si="1"/>
        <v>3345</v>
      </c>
    </row>
    <row r="11353" ht="22.5" customHeight="1">
      <c r="B11353" s="42" t="str">
        <f>IFERROR(__xludf.DUMMYFUNCTION("""COMPUTED_VALUE"""),"ABCQRXMZ/AB036")</f>
        <v>ABCQRXMZ/AB036</v>
      </c>
      <c r="C11353" s="42" t="str">
        <f>IFERROR(__xludf.DUMMYFUNCTION("""COMPUTED_VALUE"""),"M. Nibel 18650/kangkung")</f>
        <v>M. Nibel 18650/kangkung</v>
      </c>
      <c r="D11353" s="42"/>
      <c r="E11353" s="42"/>
      <c r="F11353" s="48" t="str">
        <f>IFERROR(__xludf.DUMMYFUNCTION("""COMPUTED_VALUE"""),"")</f>
        <v/>
      </c>
      <c r="G11353" s="42" t="str">
        <f>IFERROR(__xludf.DUMMYFUNCTION("""COMPUTED_VALUE"""),"Balik Nama Jual Beli")</f>
        <v>Balik Nama Jual Beli</v>
      </c>
      <c r="H11353" s="42">
        <f t="shared" si="1"/>
        <v>3345</v>
      </c>
    </row>
    <row r="11354" ht="22.5" customHeight="1">
      <c r="B11354" s="42" t="str">
        <f>IFERROR(__xludf.DUMMYFUNCTION("""COMPUTED_VALUE"""),"K/9/050226/1")</f>
        <v>K/9/050226/1</v>
      </c>
      <c r="C11354" s="42" t="str">
        <f>IFERROR(__xludf.DUMMYFUNCTION("""COMPUTED_VALUE"""),"M.8969/SUKARAME")</f>
        <v>M.8969/SUKARAME</v>
      </c>
      <c r="D11354" s="42"/>
      <c r="E11354" s="42"/>
      <c r="F11354" s="48" t="str">
        <f>IFERROR(__xludf.DUMMYFUNCTION("""COMPUTED_VALUE"""),"")</f>
        <v/>
      </c>
      <c r="G11354" s="42" t="str">
        <f>IFERROR(__xludf.DUMMYFUNCTION("""COMPUTED_VALUE"""),"ROYA")</f>
        <v>ROYA</v>
      </c>
      <c r="H11354" s="42">
        <f t="shared" si="1"/>
        <v>3345</v>
      </c>
    </row>
    <row r="11355" ht="22.5" customHeight="1">
      <c r="B11355" s="42" t="str">
        <f>IFERROR(__xludf.DUMMYFUNCTION("""COMPUTED_VALUE"""),"ABSIHZVE")</f>
        <v>ABSIHZVE</v>
      </c>
      <c r="C11355" s="42" t="str">
        <f>IFERROR(__xludf.DUMMYFUNCTION("""COMPUTED_VALUE"""),"SHM 783/Ps")</f>
        <v>SHM 783/Ps</v>
      </c>
      <c r="D11355" s="42"/>
      <c r="E11355" s="42"/>
      <c r="F11355" s="48" t="str">
        <f>IFERROR(__xludf.DUMMYFUNCTION("""COMPUTED_VALUE"""),"")</f>
        <v/>
      </c>
      <c r="G11355" s="42" t="str">
        <f>IFERROR(__xludf.DUMMYFUNCTION("""COMPUTED_VALUE"""),"peralihan hak (turun waris)")</f>
        <v>peralihan hak (turun waris)</v>
      </c>
      <c r="H11355" s="42">
        <f t="shared" si="1"/>
        <v>3345</v>
      </c>
    </row>
    <row r="11356" ht="22.5" customHeight="1">
      <c r="B11356" s="42" t="str">
        <f>IFERROR(__xludf.DUMMYFUNCTION("""COMPUTED_VALUE"""),"AB040")</f>
        <v>AB040</v>
      </c>
      <c r="C11356" s="42">
        <f>IFERROR(__xludf.DUMMYFUNCTION("""COMPUTED_VALUE"""),15588.0)</f>
        <v>15588</v>
      </c>
      <c r="D11356" s="42"/>
      <c r="E11356" s="42"/>
      <c r="F11356" s="48" t="str">
        <f>IFERROR(__xludf.DUMMYFUNCTION("""COMPUTED_VALUE"""),"")</f>
        <v/>
      </c>
      <c r="G11356" s="42" t="str">
        <f>IFERROR(__xludf.DUMMYFUNCTION("""COMPUTED_VALUE"""),"BN")</f>
        <v>BN</v>
      </c>
      <c r="H11356" s="42">
        <f t="shared" si="1"/>
        <v>3345</v>
      </c>
    </row>
    <row r="11357" ht="22.5" customHeight="1">
      <c r="B11357" s="42" t="str">
        <f>IFERROR(__xludf.DUMMYFUNCTION("""COMPUTED_VALUE"""),"K/11/050226/1")</f>
        <v>K/11/050226/1</v>
      </c>
      <c r="C11357" s="42" t="str">
        <f>IFERROR(__xludf.DUMMYFUNCTION("""COMPUTED_VALUE"""),"M. 1216/SRENGSEM")</f>
        <v>M. 1216/SRENGSEM</v>
      </c>
      <c r="D11357" s="42"/>
      <c r="E11357" s="42"/>
      <c r="F11357" s="48" t="str">
        <f>IFERROR(__xludf.DUMMYFUNCTION("""COMPUTED_VALUE"""),"")</f>
        <v/>
      </c>
      <c r="G11357" s="42" t="str">
        <f>IFERROR(__xludf.DUMMYFUNCTION("""COMPUTED_VALUE"""),"BN WARIS")</f>
        <v>BN WARIS</v>
      </c>
      <c r="H11357" s="42">
        <f t="shared" si="1"/>
        <v>3345</v>
      </c>
    </row>
    <row r="11358" ht="22.5" customHeight="1">
      <c r="B11358" s="42" t="str">
        <f>IFERROR(__xludf.DUMMYFUNCTION("""COMPUTED_VALUE"""),"ABIGGEIV/AB039")</f>
        <v>ABIGGEIV/AB039</v>
      </c>
      <c r="C11358" s="42" t="str">
        <f>IFERROR(__xludf.DUMMYFUNCTION("""COMPUTED_VALUE"""),"M. NIBEL 3465/Rajabasa Jaya")</f>
        <v>M. NIBEL 3465/Rajabasa Jaya</v>
      </c>
      <c r="D11358" s="42"/>
      <c r="E11358" s="42"/>
      <c r="F11358" s="48" t="str">
        <f>IFERROR(__xludf.DUMMYFUNCTION("""COMPUTED_VALUE"""),"")</f>
        <v/>
      </c>
      <c r="G11358" s="42" t="str">
        <f>IFERROR(__xludf.DUMMYFUNCTION("""COMPUTED_VALUE"""),"APHB")</f>
        <v>APHB</v>
      </c>
      <c r="H11358" s="42">
        <f t="shared" si="1"/>
        <v>3345</v>
      </c>
    </row>
    <row r="11359" ht="22.5" customHeight="1">
      <c r="B11359" s="42" t="str">
        <f>IFERROR(__xludf.DUMMYFUNCTION("""COMPUTED_VALUE"""),"K/12/050226/1")</f>
        <v>K/12/050226/1</v>
      </c>
      <c r="C11359" s="42" t="str">
        <f>IFERROR(__xludf.DUMMYFUNCTION("""COMPUTED_VALUE"""),"B. 139/SUMBER REJO")</f>
        <v>B. 139/SUMBER REJO</v>
      </c>
      <c r="D11359" s="42"/>
      <c r="E11359" s="42"/>
      <c r="F11359" s="48" t="str">
        <f>IFERROR(__xludf.DUMMYFUNCTION("""COMPUTED_VALUE"""),"")</f>
        <v/>
      </c>
      <c r="G11359" s="42" t="str">
        <f>IFERROR(__xludf.DUMMYFUNCTION("""COMPUTED_VALUE"""),"ROYA")</f>
        <v>ROYA</v>
      </c>
      <c r="H11359" s="42">
        <f t="shared" si="1"/>
        <v>3345</v>
      </c>
    </row>
    <row r="11360" ht="22.5" customHeight="1">
      <c r="B11360" s="42" t="str">
        <f>IFERROR(__xludf.DUMMYFUNCTION("""COMPUTED_VALUE"""),"ABWSPBLO")</f>
        <v>ABWSPBLO</v>
      </c>
      <c r="C11360" s="42">
        <f>IFERROR(__xludf.DUMMYFUNCTION("""COMPUTED_VALUE"""),669.0)</f>
        <v>669</v>
      </c>
      <c r="D11360" s="42"/>
      <c r="E11360" s="42"/>
      <c r="F11360" s="48" t="str">
        <f>IFERROR(__xludf.DUMMYFUNCTION("""COMPUTED_VALUE"""),"")</f>
        <v/>
      </c>
      <c r="G11360" s="42" t="str">
        <f>IFERROR(__xludf.DUMMYFUNCTION("""COMPUTED_VALUE"""),"Peralihan hak")</f>
        <v>Peralihan hak</v>
      </c>
      <c r="H11360" s="42">
        <f t="shared" si="1"/>
        <v>3345</v>
      </c>
    </row>
    <row r="11361" ht="22.5" customHeight="1">
      <c r="B11361" s="42" t="str">
        <f>IFERROR(__xludf.DUMMYFUNCTION("""COMPUTED_VALUE"""),"ABGCEFZK")</f>
        <v>ABGCEFZK</v>
      </c>
      <c r="C11361" s="42" t="str">
        <f>IFERROR(__xludf.DUMMYFUNCTION("""COMPUTED_VALUE"""),"M.11923")</f>
        <v>M.11923</v>
      </c>
      <c r="D11361" s="42"/>
      <c r="E11361" s="42"/>
      <c r="F11361" s="48" t="str">
        <f>IFERROR(__xludf.DUMMYFUNCTION("""COMPUTED_VALUE"""),"")</f>
        <v/>
      </c>
      <c r="G11361" s="42" t="str">
        <f>IFERROR(__xludf.DUMMYFUNCTION("""COMPUTED_VALUE"""),"Balik nama jual beli")</f>
        <v>Balik nama jual beli</v>
      </c>
      <c r="H11361" s="42">
        <f t="shared" si="1"/>
        <v>3345</v>
      </c>
    </row>
    <row r="11362" ht="22.5" customHeight="1">
      <c r="B11362" s="42" t="str">
        <f>IFERROR(__xludf.DUMMYFUNCTION("""COMPUTED_VALUE"""),"ABWGUFHZ/AB042")</f>
        <v>ABWGUFHZ/AB042</v>
      </c>
      <c r="C11362" s="42" t="str">
        <f>IFERROR(__xludf.DUMMYFUNCTION("""COMPUTED_VALUE"""),"M Nibel 29504/gedong air")</f>
        <v>M Nibel 29504/gedong air</v>
      </c>
      <c r="D11362" s="42"/>
      <c r="E11362" s="42"/>
      <c r="F11362" s="48" t="str">
        <f>IFERROR(__xludf.DUMMYFUNCTION("""COMPUTED_VALUE"""),"")</f>
        <v/>
      </c>
      <c r="G11362" s="42" t="str">
        <f>IFERROR(__xludf.DUMMYFUNCTION("""COMPUTED_VALUE"""),"BN jual beli")</f>
        <v>BN jual beli</v>
      </c>
      <c r="H11362" s="42">
        <f t="shared" si="1"/>
        <v>3345</v>
      </c>
    </row>
    <row r="11363" ht="22.5" customHeight="1">
      <c r="B11363" s="42" t="str">
        <f>IFERROR(__xludf.DUMMYFUNCTION("""COMPUTED_VALUE"""),"ABNKLDJE")</f>
        <v>ABNKLDJE</v>
      </c>
      <c r="C11363" s="42" t="str">
        <f>IFERROR(__xludf.DUMMYFUNCTION("""COMPUTED_VALUE"""),"NIBEL 26082, kampung baru")</f>
        <v>NIBEL 26082, kampung baru</v>
      </c>
      <c r="D11363" s="42"/>
      <c r="E11363" s="42"/>
      <c r="F11363" s="48" t="str">
        <f>IFERROR(__xludf.DUMMYFUNCTION("""COMPUTED_VALUE"""),"")</f>
        <v/>
      </c>
      <c r="G11363" s="42" t="str">
        <f>IFERROR(__xludf.DUMMYFUNCTION("""COMPUTED_VALUE"""),"Bn")</f>
        <v>Bn</v>
      </c>
      <c r="H11363" s="42">
        <f t="shared" si="1"/>
        <v>3345</v>
      </c>
    </row>
    <row r="11364" ht="22.5" customHeight="1">
      <c r="B11364" s="42" t="str">
        <f>IFERROR(__xludf.DUMMYFUNCTION("""COMPUTED_VALUE"""),"ABFCFRYW/AB048")</f>
        <v>ABFCFRYW/AB048</v>
      </c>
      <c r="C11364" s="42" t="str">
        <f>IFERROR(__xludf.DUMMYFUNCTION("""COMPUTED_VALUE"""),"M. 2431/Lkp")</f>
        <v>M. 2431/Lkp</v>
      </c>
      <c r="D11364" s="42"/>
      <c r="E11364" s="42"/>
      <c r="F11364" s="48" t="str">
        <f>IFERROR(__xludf.DUMMYFUNCTION("""COMPUTED_VALUE"""),"")</f>
        <v/>
      </c>
      <c r="G11364" s="42" t="str">
        <f>IFERROR(__xludf.DUMMYFUNCTION("""COMPUTED_VALUE"""),"Gandes")</f>
        <v>Gandes</v>
      </c>
      <c r="H11364" s="42">
        <f t="shared" si="1"/>
        <v>3345</v>
      </c>
    </row>
    <row r="11365" ht="22.5" customHeight="1">
      <c r="B11365" s="42" t="str">
        <f>IFERROR(__xludf.DUMMYFUNCTION("""COMPUTED_VALUE"""),"ABNVDQVD/AB045")</f>
        <v>ABNVDQVD/AB045</v>
      </c>
      <c r="C11365" s="42" t="str">
        <f>IFERROR(__xludf.DUMMYFUNCTION("""COMPUTED_VALUE"""),"M.1727/Beringin Jaya")</f>
        <v>M.1727/Beringin Jaya</v>
      </c>
      <c r="D11365" s="42"/>
      <c r="E11365" s="42"/>
      <c r="F11365" s="48" t="str">
        <f>IFERROR(__xludf.DUMMYFUNCTION("""COMPUTED_VALUE"""),"")</f>
        <v/>
      </c>
      <c r="G11365" s="42" t="str">
        <f>IFERROR(__xludf.DUMMYFUNCTION("""COMPUTED_VALUE"""),"Peralihan Hak Jual beli")</f>
        <v>Peralihan Hak Jual beli</v>
      </c>
      <c r="H11365" s="42">
        <f t="shared" si="1"/>
        <v>3345</v>
      </c>
    </row>
    <row r="11366" ht="22.5" customHeight="1">
      <c r="B11366" s="42" t="str">
        <f>IFERROR(__xludf.DUMMYFUNCTION("""COMPUTED_VALUE"""),"AB051/ABYQQCLR")</f>
        <v>AB051/ABYQQCLR</v>
      </c>
      <c r="C11366" s="42" t="str">
        <f>IFERROR(__xludf.DUMMYFUNCTION("""COMPUTED_VALUE"""),"m.4488")</f>
        <v>m.4488</v>
      </c>
      <c r="D11366" s="42"/>
      <c r="E11366" s="42"/>
      <c r="F11366" s="48" t="str">
        <f>IFERROR(__xludf.DUMMYFUNCTION("""COMPUTED_VALUE"""),"")</f>
        <v/>
      </c>
      <c r="G11366" s="42" t="str">
        <f>IFERROR(__xludf.DUMMYFUNCTION("""COMPUTED_VALUE"""),"peralihan hak")</f>
        <v>peralihan hak</v>
      </c>
      <c r="H11366" s="42">
        <f t="shared" si="1"/>
        <v>3345</v>
      </c>
    </row>
    <row r="11367" ht="22.5" customHeight="1">
      <c r="B11367" s="42" t="str">
        <f>IFERROR(__xludf.DUMMYFUNCTION("""COMPUTED_VALUE"""),"L/1/060226/1")</f>
        <v>L/1/060226/1</v>
      </c>
      <c r="C11367" s="42" t="str">
        <f>IFERROR(__xludf.DUMMYFUNCTION("""COMPUTED_VALUE"""),"M. 296/TANJUNG SENENG")</f>
        <v>M. 296/TANJUNG SENENG</v>
      </c>
      <c r="D11367" s="42"/>
      <c r="E11367" s="42"/>
      <c r="F11367" s="48" t="str">
        <f>IFERROR(__xludf.DUMMYFUNCTION("""COMPUTED_VALUE"""),"")</f>
        <v/>
      </c>
      <c r="G11367" s="42" t="str">
        <f>IFERROR(__xludf.DUMMYFUNCTION("""COMPUTED_VALUE"""),"SKPT INFORMASI")</f>
        <v>SKPT INFORMASI</v>
      </c>
      <c r="H11367" s="42">
        <f t="shared" si="1"/>
        <v>3345</v>
      </c>
    </row>
    <row r="11368" ht="22.5" customHeight="1">
      <c r="B11368" s="42" t="str">
        <f>IFERROR(__xludf.DUMMYFUNCTION("""COMPUTED_VALUE"""),"Abpfpiiu")</f>
        <v>Abpfpiiu</v>
      </c>
      <c r="C11368" s="42" t="str">
        <f>IFERROR(__xludf.DUMMYFUNCTION("""COMPUTED_VALUE"""),"B. 864/perumnas way kandis")</f>
        <v>B. 864/perumnas way kandis</v>
      </c>
      <c r="D11368" s="42"/>
      <c r="E11368" s="42"/>
      <c r="F11368" s="48" t="str">
        <f>IFERROR(__xludf.DUMMYFUNCTION("""COMPUTED_VALUE"""),"")</f>
        <v/>
      </c>
      <c r="G11368" s="42" t="str">
        <f>IFERROR(__xludf.DUMMYFUNCTION("""COMPUTED_VALUE"""),"Balik nama waris")</f>
        <v>Balik nama waris</v>
      </c>
      <c r="H11368" s="42">
        <f t="shared" si="1"/>
        <v>3345</v>
      </c>
    </row>
    <row r="11369" ht="22.5" customHeight="1">
      <c r="B11369" s="42" t="str">
        <f>IFERROR(__xludf.DUMMYFUNCTION("""COMPUTED_VALUE"""),"ABWOZPMU")</f>
        <v>ABWOZPMU</v>
      </c>
      <c r="C11369" s="42" t="str">
        <f>IFERROR(__xludf.DUMMYFUNCTION("""COMPUTED_VALUE"""),"M. 118/kampung baru raya")</f>
        <v>M. 118/kampung baru raya</v>
      </c>
      <c r="D11369" s="42"/>
      <c r="E11369" s="42"/>
      <c r="F11369" s="48" t="str">
        <f>IFERROR(__xludf.DUMMYFUNCTION("""COMPUTED_VALUE"""),"")</f>
        <v/>
      </c>
      <c r="G11369" s="42" t="str">
        <f>IFERROR(__xludf.DUMMYFUNCTION("""COMPUTED_VALUE"""),"Balik nama waris")</f>
        <v>Balik nama waris</v>
      </c>
      <c r="H11369" s="42">
        <f t="shared" si="1"/>
        <v>3345</v>
      </c>
    </row>
    <row r="11370" ht="22.5" customHeight="1">
      <c r="B11370" s="42" t="str">
        <f>IFERROR(__xludf.DUMMYFUNCTION("""COMPUTED_VALUE"""),"AB016/ABZAXCSH")</f>
        <v>AB016/ABZAXCSH</v>
      </c>
      <c r="C11370" s="42" t="str">
        <f>IFERROR(__xludf.DUMMYFUNCTION("""COMPUTED_VALUE"""),"NIBEL 28898.0 / pahoman")</f>
        <v>NIBEL 28898.0 / pahoman</v>
      </c>
      <c r="D11370" s="42"/>
      <c r="E11370" s="42"/>
      <c r="F11370" s="48" t="str">
        <f>IFERROR(__xludf.DUMMYFUNCTION("""COMPUTED_VALUE"""),"")</f>
        <v/>
      </c>
      <c r="G11370" s="42" t="str">
        <f>IFERROR(__xludf.DUMMYFUNCTION("""COMPUTED_VALUE"""),"AJB BN")</f>
        <v>AJB BN</v>
      </c>
      <c r="H11370" s="42">
        <f t="shared" si="1"/>
        <v>3345</v>
      </c>
    </row>
    <row r="11371" ht="22.5" customHeight="1">
      <c r="B11371" s="42" t="str">
        <f>IFERROR(__xludf.DUMMYFUNCTION("""COMPUTED_VALUE"""),"AB016/ABVRXSHV")</f>
        <v>AB016/ABVRXSHV</v>
      </c>
      <c r="C11371" s="42" t="str">
        <f>IFERROR(__xludf.DUMMYFUNCTION("""COMPUTED_VALUE"""),"NIBEL 28939.0 / pahoman")</f>
        <v>NIBEL 28939.0 / pahoman</v>
      </c>
      <c r="D11371" s="42"/>
      <c r="E11371" s="42"/>
      <c r="F11371" s="48" t="str">
        <f>IFERROR(__xludf.DUMMYFUNCTION("""COMPUTED_VALUE"""),"")</f>
        <v/>
      </c>
      <c r="G11371" s="42" t="str">
        <f>IFERROR(__xludf.DUMMYFUNCTION("""COMPUTED_VALUE"""),"AJB BN")</f>
        <v>AJB BN</v>
      </c>
      <c r="H11371" s="42">
        <f t="shared" si="1"/>
        <v>3345</v>
      </c>
    </row>
    <row r="11372" ht="22.5" customHeight="1">
      <c r="B11372" s="42" t="str">
        <f>IFERROR(__xludf.DUMMYFUNCTION("""COMPUTED_VALUE"""),"AB016/ABRKFGRH")</f>
        <v>AB016/ABRKFGRH</v>
      </c>
      <c r="C11372" s="42" t="str">
        <f>IFERROR(__xludf.DUMMYFUNCTION("""COMPUTED_VALUE"""),"NIBEL 28940.0 / pahoman")</f>
        <v>NIBEL 28940.0 / pahoman</v>
      </c>
      <c r="D11372" s="42"/>
      <c r="E11372" s="42"/>
      <c r="F11372" s="48" t="str">
        <f>IFERROR(__xludf.DUMMYFUNCTION("""COMPUTED_VALUE"""),"")</f>
        <v/>
      </c>
      <c r="G11372" s="42" t="str">
        <f>IFERROR(__xludf.DUMMYFUNCTION("""COMPUTED_VALUE"""),"AJB BN")</f>
        <v>AJB BN</v>
      </c>
      <c r="H11372" s="42">
        <f t="shared" si="1"/>
        <v>3345</v>
      </c>
    </row>
    <row r="11373" ht="22.5" customHeight="1">
      <c r="B11373" s="42" t="str">
        <f>IFERROR(__xludf.DUMMYFUNCTION("""COMPUTED_VALUE"""),"AYLITUS")</f>
        <v>AYLITUS</v>
      </c>
      <c r="C11373" s="42" t="str">
        <f>IFERROR(__xludf.DUMMYFUNCTION("""COMPUTED_VALUE"""),"M.1086 KELAPA TIGA")</f>
        <v>M.1086 KELAPA TIGA</v>
      </c>
      <c r="D11373" s="42"/>
      <c r="E11373" s="42"/>
      <c r="F11373" s="48" t="str">
        <f>IFERROR(__xludf.DUMMYFUNCTION("""COMPUTED_VALUE"""),"")</f>
        <v/>
      </c>
      <c r="G11373" s="42" t="str">
        <f>IFERROR(__xludf.DUMMYFUNCTION("""COMPUTED_VALUE"""),"WARIS")</f>
        <v>WARIS</v>
      </c>
      <c r="H11373" s="42">
        <f t="shared" si="1"/>
        <v>3345</v>
      </c>
    </row>
    <row r="11374" ht="22.5" customHeight="1">
      <c r="B11374" s="42" t="str">
        <f>IFERROR(__xludf.DUMMYFUNCTION("""COMPUTED_VALUE"""),"AUBRIPS")</f>
        <v>AUBRIPS</v>
      </c>
      <c r="C11374" s="42" t="str">
        <f>IFERROR(__xludf.DUMMYFUNCTION("""COMPUTED_VALUE"""),"M.40 WAY HALIM PERMAI")</f>
        <v>M.40 WAY HALIM PERMAI</v>
      </c>
      <c r="D11374" s="42"/>
      <c r="E11374" s="42"/>
      <c r="F11374" s="48" t="str">
        <f>IFERROR(__xludf.DUMMYFUNCTION("""COMPUTED_VALUE"""),"")</f>
        <v/>
      </c>
      <c r="G11374" s="42" t="str">
        <f>IFERROR(__xludf.DUMMYFUNCTION("""COMPUTED_VALUE"""),"WARIS")</f>
        <v>WARIS</v>
      </c>
      <c r="H11374" s="42">
        <f t="shared" si="1"/>
        <v>3345</v>
      </c>
    </row>
    <row r="11375" ht="22.5" customHeight="1">
      <c r="B11375" s="42" t="str">
        <f>IFERROR(__xludf.DUMMYFUNCTION("""COMPUTED_VALUE"""),"ASAXGRX")</f>
        <v>ASAXGRX</v>
      </c>
      <c r="C11375" s="42" t="str">
        <f>IFERROR(__xludf.DUMMYFUNCTION("""COMPUTED_VALUE"""),"M.9770 GEDONG MENENG")</f>
        <v>M.9770 GEDONG MENENG</v>
      </c>
      <c r="D11375" s="42"/>
      <c r="E11375" s="42"/>
      <c r="F11375" s="48" t="str">
        <f>IFERROR(__xludf.DUMMYFUNCTION("""COMPUTED_VALUE"""),"")</f>
        <v/>
      </c>
      <c r="G11375" s="42" t="str">
        <f>IFERROR(__xludf.DUMMYFUNCTION("""COMPUTED_VALUE"""),"WARIS")</f>
        <v>WARIS</v>
      </c>
      <c r="H11375" s="42">
        <f t="shared" si="1"/>
        <v>3345</v>
      </c>
    </row>
    <row r="11376" ht="22.5" customHeight="1">
      <c r="B11376" s="42" t="str">
        <f>IFERROR(__xludf.DUMMYFUNCTION("""COMPUTED_VALUE"""),"AMDANWU")</f>
        <v>AMDANWU</v>
      </c>
      <c r="C11376" s="42" t="str">
        <f>IFERROR(__xludf.DUMMYFUNCTION("""COMPUTED_VALUE"""),"M.1089 KELAPA TIGA")</f>
        <v>M.1089 KELAPA TIGA</v>
      </c>
      <c r="D11376" s="42"/>
      <c r="E11376" s="42"/>
      <c r="F11376" s="48" t="str">
        <f>IFERROR(__xludf.DUMMYFUNCTION("""COMPUTED_VALUE"""),"")</f>
        <v/>
      </c>
      <c r="G11376" s="42" t="str">
        <f>IFERROR(__xludf.DUMMYFUNCTION("""COMPUTED_VALUE"""),"WARIS")</f>
        <v>WARIS</v>
      </c>
      <c r="H11376" s="42">
        <f t="shared" si="1"/>
        <v>3345</v>
      </c>
    </row>
    <row r="11377" ht="22.5" customHeight="1">
      <c r="B11377" s="42" t="str">
        <f>IFERROR(__xludf.DUMMYFUNCTION("""COMPUTED_VALUE"""),"ABWVWNFX")</f>
        <v>ABWVWNFX</v>
      </c>
      <c r="C11377" s="42" t="str">
        <f>IFERROR(__xludf.DUMMYFUNCTION("""COMPUTED_VALUE"""),"M.15588 SUKABUMI")</f>
        <v>M.15588 SUKABUMI</v>
      </c>
      <c r="D11377" s="42"/>
      <c r="E11377" s="42"/>
      <c r="F11377" s="48" t="str">
        <f>IFERROR(__xludf.DUMMYFUNCTION("""COMPUTED_VALUE"""),"")</f>
        <v/>
      </c>
      <c r="G11377" s="42" t="str">
        <f>IFERROR(__xludf.DUMMYFUNCTION("""COMPUTED_VALUE"""),"BALIK NAMA")</f>
        <v>BALIK NAMA</v>
      </c>
      <c r="H11377" s="42">
        <f t="shared" si="1"/>
        <v>3345</v>
      </c>
    </row>
    <row r="11378" ht="22.5" customHeight="1">
      <c r="B11378" s="42" t="str">
        <f>IFERROR(__xludf.DUMMYFUNCTION("""COMPUTED_VALUE"""),"L/14/050226/1")</f>
        <v>L/14/050226/1</v>
      </c>
      <c r="C11378" s="42" t="str">
        <f>IFERROR(__xludf.DUMMYFUNCTION("""COMPUTED_VALUE"""),"M. 2016/RAJABASA RAYA")</f>
        <v>M. 2016/RAJABASA RAYA</v>
      </c>
      <c r="D11378" s="42"/>
      <c r="E11378" s="42"/>
      <c r="F11378" s="48" t="str">
        <f>IFERROR(__xludf.DUMMYFUNCTION("""COMPUTED_VALUE"""),"")</f>
        <v/>
      </c>
      <c r="G11378" s="42" t="str">
        <f>IFERROR(__xludf.DUMMYFUNCTION("""COMPUTED_VALUE"""),"SITA")</f>
        <v>SITA</v>
      </c>
      <c r="H11378" s="42">
        <f t="shared" si="1"/>
        <v>3345</v>
      </c>
    </row>
    <row r="11379" ht="22.5" customHeight="1">
      <c r="B11379" s="42" t="str">
        <f>IFERROR(__xludf.DUMMYFUNCTION("""COMPUTED_VALUE"""),"L/15/050226/1")</f>
        <v>L/15/050226/1</v>
      </c>
      <c r="C11379" s="42" t="str">
        <f>IFERROR(__xludf.DUMMYFUNCTION("""COMPUTED_VALUE"""),"M. 140/LANGKAPURA BARU")</f>
        <v>M. 140/LANGKAPURA BARU</v>
      </c>
      <c r="D11379" s="42"/>
      <c r="E11379" s="42"/>
      <c r="F11379" s="48" t="str">
        <f>IFERROR(__xludf.DUMMYFUNCTION("""COMPUTED_VALUE"""),"")</f>
        <v/>
      </c>
      <c r="G11379" s="42" t="str">
        <f>IFERROR(__xludf.DUMMYFUNCTION("""COMPUTED_VALUE"""),"SITA")</f>
        <v>SITA</v>
      </c>
      <c r="H11379" s="42">
        <f t="shared" si="1"/>
        <v>3345</v>
      </c>
    </row>
    <row r="11380" ht="22.5" customHeight="1">
      <c r="B11380" s="42" t="str">
        <f>IFERROR(__xludf.DUMMYFUNCTION("""COMPUTED_VALUE"""),"L/16/050226/1")</f>
        <v>L/16/050226/1</v>
      </c>
      <c r="C11380" s="42" t="str">
        <f>IFERROR(__xludf.DUMMYFUNCTION("""COMPUTED_VALUE"""),"M. 2004/RAJABASA RAYA")</f>
        <v>M. 2004/RAJABASA RAYA</v>
      </c>
      <c r="D11380" s="42"/>
      <c r="E11380" s="42"/>
      <c r="F11380" s="48" t="str">
        <f>IFERROR(__xludf.DUMMYFUNCTION("""COMPUTED_VALUE"""),"")</f>
        <v/>
      </c>
      <c r="G11380" s="42" t="str">
        <f>IFERROR(__xludf.DUMMYFUNCTION("""COMPUTED_VALUE"""),"SITA")</f>
        <v>SITA</v>
      </c>
      <c r="H11380" s="42">
        <f t="shared" si="1"/>
        <v>3345</v>
      </c>
    </row>
    <row r="11381" ht="22.5" customHeight="1">
      <c r="B11381" s="42" t="str">
        <f>IFERROR(__xludf.DUMMYFUNCTION("""COMPUTED_VALUE"""),"K/13/050226/1")</f>
        <v>K/13/050226/1</v>
      </c>
      <c r="C11381" s="42" t="str">
        <f>IFERROR(__xludf.DUMMYFUNCTION("""COMPUTED_VALUE"""),"M. 1462/JAGABAYA III")</f>
        <v>M. 1462/JAGABAYA III</v>
      </c>
      <c r="D11381" s="42"/>
      <c r="E11381" s="42"/>
      <c r="F11381" s="48" t="str">
        <f>IFERROR(__xludf.DUMMYFUNCTION("""COMPUTED_VALUE"""),"")</f>
        <v/>
      </c>
      <c r="G11381" s="42" t="str">
        <f>IFERROR(__xludf.DUMMYFUNCTION("""COMPUTED_VALUE"""),"PTPGT")</f>
        <v>PTPGT</v>
      </c>
      <c r="H11381" s="42">
        <f t="shared" si="1"/>
        <v>3345</v>
      </c>
    </row>
    <row r="11382" ht="22.5" customHeight="1">
      <c r="B11382" s="42" t="str">
        <f>IFERROR(__xludf.DUMMYFUNCTION("""COMPUTED_VALUE"""),"ABIYLKWH")</f>
        <v>ABIYLKWH</v>
      </c>
      <c r="C11382" s="42" t="str">
        <f>IFERROR(__xludf.DUMMYFUNCTION("""COMPUTED_VALUE"""),"M. 11489")</f>
        <v>M. 11489</v>
      </c>
      <c r="D11382" s="42"/>
      <c r="E11382" s="42"/>
      <c r="F11382" s="48" t="str">
        <f>IFERROR(__xludf.DUMMYFUNCTION("""COMPUTED_VALUE"""),"")</f>
        <v/>
      </c>
      <c r="G11382" s="42" t="str">
        <f>IFERROR(__xludf.DUMMYFUNCTION("""COMPUTED_VALUE"""),"Balik Nama")</f>
        <v>Balik Nama</v>
      </c>
      <c r="H11382" s="42">
        <f t="shared" si="1"/>
        <v>3345</v>
      </c>
    </row>
    <row r="11383" ht="22.5" customHeight="1">
      <c r="B11383" s="42" t="str">
        <f>IFERROR(__xludf.DUMMYFUNCTION("""COMPUTED_VALUE"""),"ABUUKQJL")</f>
        <v>ABUUKQJL</v>
      </c>
      <c r="C11383" s="42" t="str">
        <f>IFERROR(__xludf.DUMMYFUNCTION("""COMPUTED_VALUE"""),"Nibel. 23730")</f>
        <v>Nibel. 23730</v>
      </c>
      <c r="D11383" s="42"/>
      <c r="E11383" s="42"/>
      <c r="F11383" s="48" t="str">
        <f>IFERROR(__xludf.DUMMYFUNCTION("""COMPUTED_VALUE"""),"")</f>
        <v/>
      </c>
      <c r="G11383" s="42" t="str">
        <f>IFERROR(__xludf.DUMMYFUNCTION("""COMPUTED_VALUE"""),"Balik Nama")</f>
        <v>Balik Nama</v>
      </c>
      <c r="H11383" s="42">
        <f t="shared" si="1"/>
        <v>3345</v>
      </c>
    </row>
    <row r="11384" ht="22.5" customHeight="1">
      <c r="B11384" s="42" t="str">
        <f>IFERROR(__xludf.DUMMYFUNCTION("""COMPUTED_VALUE"""),"ABYGJWTW/AB019")</f>
        <v>ABYGJWTW/AB019</v>
      </c>
      <c r="C11384" s="42" t="str">
        <f>IFERROR(__xludf.DUMMYFUNCTION("""COMPUTED_VALUE"""),"M 14672/Sukarame")</f>
        <v>M 14672/Sukarame</v>
      </c>
      <c r="D11384" s="42"/>
      <c r="E11384" s="42"/>
      <c r="F11384" s="48" t="str">
        <f>IFERROR(__xludf.DUMMYFUNCTION("""COMPUTED_VALUE"""),"")</f>
        <v/>
      </c>
      <c r="G11384" s="42" t="str">
        <f>IFERROR(__xludf.DUMMYFUNCTION("""COMPUTED_VALUE"""),"Balik nama Jual beli")</f>
        <v>Balik nama Jual beli</v>
      </c>
      <c r="H11384" s="42">
        <f t="shared" si="1"/>
        <v>3345</v>
      </c>
    </row>
    <row r="11385" ht="22.5" customHeight="1">
      <c r="B11385" s="42" t="str">
        <f>IFERROR(__xludf.DUMMYFUNCTION("""COMPUTED_VALUE"""),"ABZJRZMV")</f>
        <v>ABZJRZMV</v>
      </c>
      <c r="C11385" s="42" t="str">
        <f>IFERROR(__xludf.DUMMYFUNCTION("""COMPUTED_VALUE"""),"08.01.000026988")</f>
        <v>08.01.000026988</v>
      </c>
      <c r="D11385" s="42"/>
      <c r="E11385" s="42"/>
      <c r="F11385" s="48" t="str">
        <f>IFERROR(__xludf.DUMMYFUNCTION("""COMPUTED_VALUE"""),"")</f>
        <v/>
      </c>
      <c r="G11385" s="42" t="str">
        <f>IFERROR(__xludf.DUMMYFUNCTION("""COMPUTED_VALUE"""),"Aphb")</f>
        <v>Aphb</v>
      </c>
      <c r="H11385" s="42">
        <f t="shared" si="1"/>
        <v>3345</v>
      </c>
    </row>
    <row r="11386" ht="22.5" customHeight="1">
      <c r="B11386" s="42" t="str">
        <f>IFERROR(__xludf.DUMMYFUNCTION("""COMPUTED_VALUE"""),"ABFFNITQ/022")</f>
        <v>ABFFNITQ/022</v>
      </c>
      <c r="C11386" s="42" t="str">
        <f>IFERROR(__xludf.DUMMYFUNCTION("""COMPUTED_VALUE"""),"SHM nibel 16932 way halim")</f>
        <v>SHM nibel 16932 way halim</v>
      </c>
      <c r="D11386" s="42"/>
      <c r="E11386" s="42"/>
      <c r="F11386" s="48" t="str">
        <f>IFERROR(__xludf.DUMMYFUNCTION("""COMPUTED_VALUE"""),"")</f>
        <v/>
      </c>
      <c r="G11386" s="42" t="str">
        <f>IFERROR(__xludf.DUMMYFUNCTION("""COMPUTED_VALUE"""),"jual beli balik nama")</f>
        <v>jual beli balik nama</v>
      </c>
      <c r="H11386" s="42">
        <f t="shared" si="1"/>
        <v>3345</v>
      </c>
    </row>
    <row r="11387" ht="22.5" customHeight="1">
      <c r="B11387" s="42" t="str">
        <f>IFERROR(__xludf.DUMMYFUNCTION("""COMPUTED_VALUE"""),"ABNQZFEE")</f>
        <v>ABNQZFEE</v>
      </c>
      <c r="C11387" s="42" t="str">
        <f>IFERROR(__xludf.DUMMYFUNCTION("""COMPUTED_VALUE"""),"M.293 KEMILING PERMAI")</f>
        <v>M.293 KEMILING PERMAI</v>
      </c>
      <c r="D11387" s="42"/>
      <c r="E11387" s="42"/>
      <c r="F11387" s="48" t="str">
        <f>IFERROR(__xludf.DUMMYFUNCTION("""COMPUTED_VALUE"""),"")</f>
        <v/>
      </c>
      <c r="G11387" s="42" t="str">
        <f>IFERROR(__xludf.DUMMYFUNCTION("""COMPUTED_VALUE"""),"BALIK NAMA")</f>
        <v>BALIK NAMA</v>
      </c>
      <c r="H11387" s="42">
        <f t="shared" si="1"/>
        <v>3345</v>
      </c>
    </row>
    <row r="11388" ht="22.5" customHeight="1">
      <c r="B11388" s="42" t="str">
        <f>IFERROR(__xludf.DUMMYFUNCTION("""COMPUTED_VALUE"""),"ABKDPUDV")</f>
        <v>ABKDPUDV</v>
      </c>
      <c r="C11388" s="42" t="str">
        <f>IFERROR(__xludf.DUMMYFUNCTION("""COMPUTED_VALUE"""),"M.432 KEMILING PERMIA")</f>
        <v>M.432 KEMILING PERMIA</v>
      </c>
      <c r="D11388" s="42"/>
      <c r="E11388" s="42"/>
      <c r="F11388" s="48" t="str">
        <f>IFERROR(__xludf.DUMMYFUNCTION("""COMPUTED_VALUE"""),"")</f>
        <v/>
      </c>
      <c r="G11388" s="42" t="str">
        <f>IFERROR(__xludf.DUMMYFUNCTION("""COMPUTED_VALUE"""),"BALIK NAMA")</f>
        <v>BALIK NAMA</v>
      </c>
      <c r="H11388" s="42">
        <f t="shared" si="1"/>
        <v>3345</v>
      </c>
    </row>
    <row r="11389" ht="22.5" customHeight="1">
      <c r="B11389" s="42" t="str">
        <f>IFERROR(__xludf.DUMMYFUNCTION("""COMPUTED_VALUE"""),"L/2/060226/1")</f>
        <v>L/2/060226/1</v>
      </c>
      <c r="C11389" s="42" t="str">
        <f>IFERROR(__xludf.DUMMYFUNCTION("""COMPUTED_VALUE"""),"M. 13074/SUKABUMI")</f>
        <v>M. 13074/SUKABUMI</v>
      </c>
      <c r="D11389" s="42"/>
      <c r="E11389" s="42"/>
      <c r="F11389" s="48" t="str">
        <f>IFERROR(__xludf.DUMMYFUNCTION("""COMPUTED_VALUE"""),"")</f>
        <v/>
      </c>
      <c r="G11389" s="42" t="str">
        <f>IFERROR(__xludf.DUMMYFUNCTION("""COMPUTED_VALUE"""),"ROYA")</f>
        <v>ROYA</v>
      </c>
      <c r="H11389" s="42">
        <f t="shared" si="1"/>
        <v>3345</v>
      </c>
    </row>
    <row r="11390" ht="22.5" customHeight="1">
      <c r="B11390" s="42" t="str">
        <f>IFERROR(__xludf.DUMMYFUNCTION("""COMPUTED_VALUE"""),"ABXBPDBU/AB032")</f>
        <v>ABXBPDBU/AB032</v>
      </c>
      <c r="C11390" s="42" t="str">
        <f>IFERROR(__xludf.DUMMYFUNCTION("""COMPUTED_VALUE"""),"M NIBEL 17794/Kemiling Permai")</f>
        <v>M NIBEL 17794/Kemiling Permai</v>
      </c>
      <c r="D11390" s="42"/>
      <c r="E11390" s="42"/>
      <c r="F11390" s="48" t="str">
        <f>IFERROR(__xludf.DUMMYFUNCTION("""COMPUTED_VALUE"""),"")</f>
        <v/>
      </c>
      <c r="G11390" s="42" t="str">
        <f>IFERROR(__xludf.DUMMYFUNCTION("""COMPUTED_VALUE"""),"BN AKTA JUAL BELI")</f>
        <v>BN AKTA JUAL BELI</v>
      </c>
      <c r="H11390" s="42">
        <f t="shared" si="1"/>
        <v>3345</v>
      </c>
    </row>
    <row r="11391" ht="22.5" customHeight="1">
      <c r="B11391" s="42" t="str">
        <f>IFERROR(__xludf.DUMMYFUNCTION("""COMPUTED_VALUE"""),"AB030")</f>
        <v>AB030</v>
      </c>
      <c r="C11391" s="42" t="str">
        <f>IFERROR(__xludf.DUMMYFUNCTION("""COMPUTED_VALUE"""),"Shm 217230")</f>
        <v>Shm 217230</v>
      </c>
      <c r="D11391" s="42"/>
      <c r="E11391" s="42"/>
      <c r="F11391" s="48" t="str">
        <f>IFERROR(__xludf.DUMMYFUNCTION("""COMPUTED_VALUE"""),"")</f>
        <v/>
      </c>
      <c r="G11391" s="42" t="str">
        <f>IFERROR(__xludf.DUMMYFUNCTION("""COMPUTED_VALUE"""),"Balik nama")</f>
        <v>Balik nama</v>
      </c>
      <c r="H11391" s="42">
        <f t="shared" si="1"/>
        <v>3345</v>
      </c>
    </row>
    <row r="11392" ht="22.5" customHeight="1">
      <c r="B11392" s="42" t="str">
        <f>IFERROR(__xludf.DUMMYFUNCTION("""COMPUTED_VALUE"""),"AB034/ABRNMASS")</f>
        <v>AB034/ABRNMASS</v>
      </c>
      <c r="C11392" s="42" t="str">
        <f>IFERROR(__xludf.DUMMYFUNCTION("""COMPUTED_VALUE"""),"M. 2035/BW")</f>
        <v>M. 2035/BW</v>
      </c>
      <c r="D11392" s="42"/>
      <c r="E11392" s="42"/>
      <c r="F11392" s="48" t="str">
        <f>IFERROR(__xludf.DUMMYFUNCTION("""COMPUTED_VALUE"""),"")</f>
        <v/>
      </c>
      <c r="G11392" s="42" t="str">
        <f>IFERROR(__xludf.DUMMYFUNCTION("""COMPUTED_VALUE"""),"Peralihan Hak")</f>
        <v>Peralihan Hak</v>
      </c>
      <c r="H11392" s="42">
        <f t="shared" si="1"/>
        <v>3345</v>
      </c>
    </row>
    <row r="11393" ht="22.5" customHeight="1">
      <c r="B11393" s="42" t="str">
        <f>IFERROR(__xludf.DUMMYFUNCTION("""COMPUTED_VALUE"""),"")</f>
        <v/>
      </c>
      <c r="C11393" s="42" t="str">
        <f>IFERROR(__xludf.DUMMYFUNCTION("""COMPUTED_VALUE"""),"")</f>
        <v/>
      </c>
      <c r="D11393" s="42"/>
      <c r="E11393" s="42"/>
      <c r="F11393" s="48" t="str">
        <f>IFERROR(__xludf.DUMMYFUNCTION("""COMPUTED_VALUE"""),"")</f>
        <v/>
      </c>
      <c r="G11393" s="42" t="str">
        <f>IFERROR(__xludf.DUMMYFUNCTION("""COMPUTED_VALUE"""),"")</f>
        <v/>
      </c>
      <c r="H11393" s="42">
        <f t="shared" si="1"/>
        <v>3345</v>
      </c>
    </row>
    <row r="11394" ht="22.5" customHeight="1">
      <c r="B11394" s="42" t="str">
        <f>IFERROR(__xludf.DUMMYFUNCTION("""COMPUTED_VALUE"""),"")</f>
        <v/>
      </c>
      <c r="C11394" s="42" t="str">
        <f>IFERROR(__xludf.DUMMYFUNCTION("""COMPUTED_VALUE"""),"")</f>
        <v/>
      </c>
      <c r="D11394" s="42"/>
      <c r="E11394" s="42"/>
      <c r="F11394" s="48" t="str">
        <f>IFERROR(__xludf.DUMMYFUNCTION("""COMPUTED_VALUE"""),"")</f>
        <v/>
      </c>
      <c r="G11394" s="42" t="str">
        <f>IFERROR(__xludf.DUMMYFUNCTION("""COMPUTED_VALUE"""),"")</f>
        <v/>
      </c>
      <c r="H11394" s="42">
        <f t="shared" si="1"/>
        <v>3345</v>
      </c>
    </row>
    <row r="11395" ht="22.5" customHeight="1">
      <c r="B11395" s="42" t="str">
        <f>IFERROR(__xludf.DUMMYFUNCTION("""COMPUTED_VALUE"""),"")</f>
        <v/>
      </c>
      <c r="C11395" s="42" t="str">
        <f>IFERROR(__xludf.DUMMYFUNCTION("""COMPUTED_VALUE"""),"")</f>
        <v/>
      </c>
      <c r="D11395" s="42"/>
      <c r="E11395" s="42"/>
      <c r="F11395" s="48" t="str">
        <f>IFERROR(__xludf.DUMMYFUNCTION("""COMPUTED_VALUE"""),"")</f>
        <v/>
      </c>
      <c r="G11395" s="42" t="str">
        <f>IFERROR(__xludf.DUMMYFUNCTION("""COMPUTED_VALUE"""),"")</f>
        <v/>
      </c>
      <c r="H11395" s="42">
        <f t="shared" si="1"/>
        <v>3345</v>
      </c>
    </row>
    <row r="11396" ht="22.5" customHeight="1">
      <c r="B11396" s="42" t="str">
        <f>IFERROR(__xludf.DUMMYFUNCTION("""COMPUTED_VALUE"""),"")</f>
        <v/>
      </c>
      <c r="C11396" s="42" t="str">
        <f>IFERROR(__xludf.DUMMYFUNCTION("""COMPUTED_VALUE"""),"")</f>
        <v/>
      </c>
      <c r="D11396" s="42"/>
      <c r="E11396" s="42"/>
      <c r="F11396" s="48" t="str">
        <f>IFERROR(__xludf.DUMMYFUNCTION("""COMPUTED_VALUE"""),"")</f>
        <v/>
      </c>
      <c r="G11396" s="42" t="str">
        <f>IFERROR(__xludf.DUMMYFUNCTION("""COMPUTED_VALUE"""),"")</f>
        <v/>
      </c>
      <c r="H11396" s="42">
        <f t="shared" si="1"/>
        <v>3345</v>
      </c>
    </row>
    <row r="11397" ht="22.5" customHeight="1">
      <c r="B11397" s="42" t="str">
        <f>IFERROR(__xludf.DUMMYFUNCTION("""COMPUTED_VALUE"""),"")</f>
        <v/>
      </c>
      <c r="C11397" s="42" t="str">
        <f>IFERROR(__xludf.DUMMYFUNCTION("""COMPUTED_VALUE"""),"")</f>
        <v/>
      </c>
      <c r="D11397" s="42"/>
      <c r="E11397" s="42"/>
      <c r="F11397" s="48" t="str">
        <f>IFERROR(__xludf.DUMMYFUNCTION("""COMPUTED_VALUE"""),"")</f>
        <v/>
      </c>
      <c r="G11397" s="42" t="str">
        <f>IFERROR(__xludf.DUMMYFUNCTION("""COMPUTED_VALUE"""),"")</f>
        <v/>
      </c>
      <c r="H11397" s="42">
        <f t="shared" si="1"/>
        <v>3345</v>
      </c>
    </row>
    <row r="11398" ht="22.5" customHeight="1">
      <c r="B11398" s="42" t="str">
        <f>IFERROR(__xludf.DUMMYFUNCTION("""COMPUTED_VALUE"""),"")</f>
        <v/>
      </c>
      <c r="C11398" s="42" t="str">
        <f>IFERROR(__xludf.DUMMYFUNCTION("""COMPUTED_VALUE"""),"")</f>
        <v/>
      </c>
      <c r="D11398" s="42"/>
      <c r="E11398" s="42"/>
      <c r="F11398" s="48" t="str">
        <f>IFERROR(__xludf.DUMMYFUNCTION("""COMPUTED_VALUE"""),"")</f>
        <v/>
      </c>
      <c r="G11398" s="42" t="str">
        <f>IFERROR(__xludf.DUMMYFUNCTION("""COMPUTED_VALUE"""),"")</f>
        <v/>
      </c>
      <c r="H11398" s="42">
        <f t="shared" si="1"/>
        <v>3345</v>
      </c>
    </row>
    <row r="11399" ht="22.5" customHeight="1">
      <c r="B11399" s="42" t="str">
        <f>IFERROR(__xludf.DUMMYFUNCTION("""COMPUTED_VALUE"""),"")</f>
        <v/>
      </c>
      <c r="C11399" s="42" t="str">
        <f>IFERROR(__xludf.DUMMYFUNCTION("""COMPUTED_VALUE"""),"")</f>
        <v/>
      </c>
      <c r="D11399" s="42"/>
      <c r="E11399" s="42"/>
      <c r="F11399" s="48" t="str">
        <f>IFERROR(__xludf.DUMMYFUNCTION("""COMPUTED_VALUE"""),"")</f>
        <v/>
      </c>
      <c r="G11399" s="42" t="str">
        <f>IFERROR(__xludf.DUMMYFUNCTION("""COMPUTED_VALUE"""),"")</f>
        <v/>
      </c>
      <c r="H11399" s="42">
        <f t="shared" si="1"/>
        <v>3345</v>
      </c>
    </row>
    <row r="11400" ht="22.5" customHeight="1">
      <c r="B11400" s="42" t="str">
        <f>IFERROR(__xludf.DUMMYFUNCTION("""COMPUTED_VALUE"""),"")</f>
        <v/>
      </c>
      <c r="C11400" s="42" t="str">
        <f>IFERROR(__xludf.DUMMYFUNCTION("""COMPUTED_VALUE"""),"")</f>
        <v/>
      </c>
      <c r="D11400" s="42"/>
      <c r="E11400" s="42"/>
      <c r="F11400" s="48" t="str">
        <f>IFERROR(__xludf.DUMMYFUNCTION("""COMPUTED_VALUE"""),"")</f>
        <v/>
      </c>
      <c r="G11400" s="42" t="str">
        <f>IFERROR(__xludf.DUMMYFUNCTION("""COMPUTED_VALUE"""),"")</f>
        <v/>
      </c>
      <c r="H11400" s="42">
        <f t="shared" si="1"/>
        <v>3345</v>
      </c>
    </row>
    <row r="11401" ht="22.5" customHeight="1">
      <c r="B11401" s="42" t="str">
        <f>IFERROR(__xludf.DUMMYFUNCTION("""COMPUTED_VALUE"""),"")</f>
        <v/>
      </c>
      <c r="C11401" s="42" t="str">
        <f>IFERROR(__xludf.DUMMYFUNCTION("""COMPUTED_VALUE"""),"")</f>
        <v/>
      </c>
      <c r="D11401" s="42"/>
      <c r="E11401" s="42"/>
      <c r="F11401" s="48" t="str">
        <f>IFERROR(__xludf.DUMMYFUNCTION("""COMPUTED_VALUE"""),"")</f>
        <v/>
      </c>
      <c r="G11401" s="42" t="str">
        <f>IFERROR(__xludf.DUMMYFUNCTION("""COMPUTED_VALUE"""),"")</f>
        <v/>
      </c>
      <c r="H11401" s="42">
        <f t="shared" si="1"/>
        <v>3345</v>
      </c>
    </row>
    <row r="11402" ht="22.5" customHeight="1">
      <c r="B11402" s="42" t="str">
        <f>IFERROR(__xludf.DUMMYFUNCTION("""COMPUTED_VALUE"""),"")</f>
        <v/>
      </c>
      <c r="C11402" s="42" t="str">
        <f>IFERROR(__xludf.DUMMYFUNCTION("""COMPUTED_VALUE"""),"")</f>
        <v/>
      </c>
      <c r="D11402" s="42"/>
      <c r="E11402" s="42"/>
      <c r="F11402" s="48" t="str">
        <f>IFERROR(__xludf.DUMMYFUNCTION("""COMPUTED_VALUE"""),"")</f>
        <v/>
      </c>
      <c r="G11402" s="42" t="str">
        <f>IFERROR(__xludf.DUMMYFUNCTION("""COMPUTED_VALUE"""),"")</f>
        <v/>
      </c>
      <c r="H11402" s="42">
        <f t="shared" si="1"/>
        <v>3345</v>
      </c>
    </row>
    <row r="11403" ht="22.5" customHeight="1">
      <c r="B11403" s="42" t="str">
        <f>IFERROR(__xludf.DUMMYFUNCTION("""COMPUTED_VALUE"""),"")</f>
        <v/>
      </c>
      <c r="C11403" s="42" t="str">
        <f>IFERROR(__xludf.DUMMYFUNCTION("""COMPUTED_VALUE"""),"")</f>
        <v/>
      </c>
      <c r="D11403" s="42"/>
      <c r="E11403" s="42"/>
      <c r="F11403" s="48" t="str">
        <f>IFERROR(__xludf.DUMMYFUNCTION("""COMPUTED_VALUE"""),"")</f>
        <v/>
      </c>
      <c r="G11403" s="42" t="str">
        <f>IFERROR(__xludf.DUMMYFUNCTION("""COMPUTED_VALUE"""),"")</f>
        <v/>
      </c>
      <c r="H11403" s="42">
        <f t="shared" si="1"/>
        <v>3345</v>
      </c>
    </row>
    <row r="11404" ht="22.5" customHeight="1">
      <c r="B11404" s="42" t="str">
        <f>IFERROR(__xludf.DUMMYFUNCTION("""COMPUTED_VALUE"""),"")</f>
        <v/>
      </c>
      <c r="C11404" s="42" t="str">
        <f>IFERROR(__xludf.DUMMYFUNCTION("""COMPUTED_VALUE"""),"")</f>
        <v/>
      </c>
      <c r="D11404" s="42"/>
      <c r="E11404" s="42"/>
      <c r="F11404" s="48" t="str">
        <f>IFERROR(__xludf.DUMMYFUNCTION("""COMPUTED_VALUE"""),"")</f>
        <v/>
      </c>
      <c r="G11404" s="42" t="str">
        <f>IFERROR(__xludf.DUMMYFUNCTION("""COMPUTED_VALUE"""),"")</f>
        <v/>
      </c>
      <c r="H11404" s="42">
        <f t="shared" si="1"/>
        <v>3345</v>
      </c>
    </row>
    <row r="11405" ht="22.5" customHeight="1">
      <c r="B11405" s="42" t="str">
        <f>IFERROR(__xludf.DUMMYFUNCTION("""COMPUTED_VALUE"""),"")</f>
        <v/>
      </c>
      <c r="C11405" s="42" t="str">
        <f>IFERROR(__xludf.DUMMYFUNCTION("""COMPUTED_VALUE"""),"")</f>
        <v/>
      </c>
      <c r="D11405" s="42"/>
      <c r="E11405" s="42"/>
      <c r="F11405" s="48" t="str">
        <f>IFERROR(__xludf.DUMMYFUNCTION("""COMPUTED_VALUE"""),"")</f>
        <v/>
      </c>
      <c r="G11405" s="42" t="str">
        <f>IFERROR(__xludf.DUMMYFUNCTION("""COMPUTED_VALUE"""),"")</f>
        <v/>
      </c>
      <c r="H11405" s="42">
        <f t="shared" si="1"/>
        <v>3345</v>
      </c>
    </row>
    <row r="11406" ht="22.5" customHeight="1">
      <c r="B11406" s="42" t="str">
        <f>IFERROR(__xludf.DUMMYFUNCTION("""COMPUTED_VALUE"""),"")</f>
        <v/>
      </c>
      <c r="C11406" s="42" t="str">
        <f>IFERROR(__xludf.DUMMYFUNCTION("""COMPUTED_VALUE"""),"")</f>
        <v/>
      </c>
      <c r="D11406" s="42"/>
      <c r="E11406" s="42"/>
      <c r="F11406" s="48" t="str">
        <f>IFERROR(__xludf.DUMMYFUNCTION("""COMPUTED_VALUE"""),"")</f>
        <v/>
      </c>
      <c r="G11406" s="42" t="str">
        <f>IFERROR(__xludf.DUMMYFUNCTION("""COMPUTED_VALUE"""),"")</f>
        <v/>
      </c>
      <c r="H11406" s="42">
        <f t="shared" si="1"/>
        <v>3345</v>
      </c>
    </row>
    <row r="11407" ht="22.5" customHeight="1">
      <c r="B11407" s="42" t="str">
        <f>IFERROR(__xludf.DUMMYFUNCTION("""COMPUTED_VALUE"""),"")</f>
        <v/>
      </c>
      <c r="C11407" s="42" t="str">
        <f>IFERROR(__xludf.DUMMYFUNCTION("""COMPUTED_VALUE"""),"")</f>
        <v/>
      </c>
      <c r="D11407" s="42"/>
      <c r="E11407" s="42"/>
      <c r="F11407" s="48" t="str">
        <f>IFERROR(__xludf.DUMMYFUNCTION("""COMPUTED_VALUE"""),"")</f>
        <v/>
      </c>
      <c r="G11407" s="42" t="str">
        <f>IFERROR(__xludf.DUMMYFUNCTION("""COMPUTED_VALUE"""),"")</f>
        <v/>
      </c>
      <c r="H11407" s="42">
        <f t="shared" si="1"/>
        <v>3345</v>
      </c>
    </row>
    <row r="11408" ht="22.5" customHeight="1">
      <c r="B11408" s="42" t="str">
        <f>IFERROR(__xludf.DUMMYFUNCTION("""COMPUTED_VALUE"""),"")</f>
        <v/>
      </c>
      <c r="C11408" s="42" t="str">
        <f>IFERROR(__xludf.DUMMYFUNCTION("""COMPUTED_VALUE"""),"")</f>
        <v/>
      </c>
      <c r="D11408" s="42"/>
      <c r="E11408" s="42"/>
      <c r="F11408" s="48" t="str">
        <f>IFERROR(__xludf.DUMMYFUNCTION("""COMPUTED_VALUE"""),"")</f>
        <v/>
      </c>
      <c r="G11408" s="42" t="str">
        <f>IFERROR(__xludf.DUMMYFUNCTION("""COMPUTED_VALUE"""),"")</f>
        <v/>
      </c>
      <c r="H11408" s="42">
        <f t="shared" si="1"/>
        <v>3345</v>
      </c>
    </row>
    <row r="11409" ht="22.5" customHeight="1">
      <c r="B11409" s="42" t="str">
        <f>IFERROR(__xludf.DUMMYFUNCTION("""COMPUTED_VALUE"""),"")</f>
        <v/>
      </c>
      <c r="C11409" s="42" t="str">
        <f>IFERROR(__xludf.DUMMYFUNCTION("""COMPUTED_VALUE"""),"")</f>
        <v/>
      </c>
      <c r="D11409" s="42"/>
      <c r="E11409" s="42"/>
      <c r="F11409" s="48" t="str">
        <f>IFERROR(__xludf.DUMMYFUNCTION("""COMPUTED_VALUE"""),"")</f>
        <v/>
      </c>
      <c r="G11409" s="42" t="str">
        <f>IFERROR(__xludf.DUMMYFUNCTION("""COMPUTED_VALUE"""),"")</f>
        <v/>
      </c>
      <c r="H11409" s="42">
        <f t="shared" si="1"/>
        <v>3345</v>
      </c>
    </row>
    <row r="11410" ht="22.5" customHeight="1">
      <c r="B11410" s="42" t="str">
        <f>IFERROR(__xludf.DUMMYFUNCTION("""COMPUTED_VALUE"""),"")</f>
        <v/>
      </c>
      <c r="C11410" s="42" t="str">
        <f>IFERROR(__xludf.DUMMYFUNCTION("""COMPUTED_VALUE"""),"")</f>
        <v/>
      </c>
      <c r="D11410" s="42"/>
      <c r="E11410" s="42"/>
      <c r="F11410" s="48" t="str">
        <f>IFERROR(__xludf.DUMMYFUNCTION("""COMPUTED_VALUE"""),"")</f>
        <v/>
      </c>
      <c r="G11410" s="42" t="str">
        <f>IFERROR(__xludf.DUMMYFUNCTION("""COMPUTED_VALUE"""),"")</f>
        <v/>
      </c>
      <c r="H11410" s="42">
        <f t="shared" si="1"/>
        <v>3345</v>
      </c>
    </row>
    <row r="11411" ht="22.5" customHeight="1">
      <c r="B11411" s="42" t="str">
        <f>IFERROR(__xludf.DUMMYFUNCTION("""COMPUTED_VALUE"""),"")</f>
        <v/>
      </c>
      <c r="C11411" s="42" t="str">
        <f>IFERROR(__xludf.DUMMYFUNCTION("""COMPUTED_VALUE"""),"")</f>
        <v/>
      </c>
      <c r="D11411" s="42"/>
      <c r="E11411" s="42"/>
      <c r="F11411" s="48" t="str">
        <f>IFERROR(__xludf.DUMMYFUNCTION("""COMPUTED_VALUE"""),"")</f>
        <v/>
      </c>
      <c r="G11411" s="42" t="str">
        <f>IFERROR(__xludf.DUMMYFUNCTION("""COMPUTED_VALUE"""),"")</f>
        <v/>
      </c>
      <c r="H11411" s="42">
        <f t="shared" si="1"/>
        <v>3345</v>
      </c>
    </row>
    <row r="11412" ht="22.5" customHeight="1">
      <c r="B11412" s="42" t="str">
        <f>IFERROR(__xludf.DUMMYFUNCTION("""COMPUTED_VALUE"""),"")</f>
        <v/>
      </c>
      <c r="C11412" s="42" t="str">
        <f>IFERROR(__xludf.DUMMYFUNCTION("""COMPUTED_VALUE"""),"")</f>
        <v/>
      </c>
      <c r="D11412" s="42"/>
      <c r="E11412" s="42"/>
      <c r="F11412" s="48" t="str">
        <f>IFERROR(__xludf.DUMMYFUNCTION("""COMPUTED_VALUE"""),"")</f>
        <v/>
      </c>
      <c r="G11412" s="42" t="str">
        <f>IFERROR(__xludf.DUMMYFUNCTION("""COMPUTED_VALUE"""),"")</f>
        <v/>
      </c>
      <c r="H11412" s="42">
        <f t="shared" si="1"/>
        <v>3345</v>
      </c>
    </row>
    <row r="11413" ht="22.5" customHeight="1">
      <c r="B11413" s="42" t="str">
        <f>IFERROR(__xludf.DUMMYFUNCTION("""COMPUTED_VALUE"""),"")</f>
        <v/>
      </c>
      <c r="C11413" s="42" t="str">
        <f>IFERROR(__xludf.DUMMYFUNCTION("""COMPUTED_VALUE"""),"")</f>
        <v/>
      </c>
      <c r="D11413" s="42"/>
      <c r="E11413" s="42"/>
      <c r="F11413" s="48" t="str">
        <f>IFERROR(__xludf.DUMMYFUNCTION("""COMPUTED_VALUE"""),"")</f>
        <v/>
      </c>
      <c r="G11413" s="42" t="str">
        <f>IFERROR(__xludf.DUMMYFUNCTION("""COMPUTED_VALUE"""),"")</f>
        <v/>
      </c>
      <c r="H11413" s="42">
        <f t="shared" si="1"/>
        <v>3345</v>
      </c>
    </row>
    <row r="11414" ht="22.5" customHeight="1">
      <c r="B11414" s="42" t="str">
        <f>IFERROR(__xludf.DUMMYFUNCTION("""COMPUTED_VALUE"""),"")</f>
        <v/>
      </c>
      <c r="C11414" s="42" t="str">
        <f>IFERROR(__xludf.DUMMYFUNCTION("""COMPUTED_VALUE"""),"")</f>
        <v/>
      </c>
      <c r="D11414" s="42"/>
      <c r="E11414" s="42"/>
      <c r="F11414" s="48" t="str">
        <f>IFERROR(__xludf.DUMMYFUNCTION("""COMPUTED_VALUE"""),"")</f>
        <v/>
      </c>
      <c r="G11414" s="42" t="str">
        <f>IFERROR(__xludf.DUMMYFUNCTION("""COMPUTED_VALUE"""),"")</f>
        <v/>
      </c>
      <c r="H11414" s="42">
        <f t="shared" si="1"/>
        <v>3345</v>
      </c>
    </row>
    <row r="11415" ht="22.5" customHeight="1">
      <c r="B11415" s="42" t="str">
        <f>IFERROR(__xludf.DUMMYFUNCTION("""COMPUTED_VALUE"""),"")</f>
        <v/>
      </c>
      <c r="C11415" s="42" t="str">
        <f>IFERROR(__xludf.DUMMYFUNCTION("""COMPUTED_VALUE"""),"")</f>
        <v/>
      </c>
      <c r="D11415" s="42"/>
      <c r="E11415" s="42"/>
      <c r="F11415" s="48" t="str">
        <f>IFERROR(__xludf.DUMMYFUNCTION("""COMPUTED_VALUE"""),"")</f>
        <v/>
      </c>
      <c r="G11415" s="42" t="str">
        <f>IFERROR(__xludf.DUMMYFUNCTION("""COMPUTED_VALUE"""),"")</f>
        <v/>
      </c>
      <c r="H11415" s="42">
        <f t="shared" si="1"/>
        <v>3345</v>
      </c>
    </row>
    <row r="11416" ht="22.5" customHeight="1">
      <c r="B11416" s="42" t="str">
        <f>IFERROR(__xludf.DUMMYFUNCTION("""COMPUTED_VALUE"""),"")</f>
        <v/>
      </c>
      <c r="C11416" s="42" t="str">
        <f>IFERROR(__xludf.DUMMYFUNCTION("""COMPUTED_VALUE"""),"")</f>
        <v/>
      </c>
      <c r="D11416" s="42"/>
      <c r="E11416" s="42"/>
      <c r="F11416" s="48" t="str">
        <f>IFERROR(__xludf.DUMMYFUNCTION("""COMPUTED_VALUE"""),"")</f>
        <v/>
      </c>
      <c r="G11416" s="42" t="str">
        <f>IFERROR(__xludf.DUMMYFUNCTION("""COMPUTED_VALUE"""),"")</f>
        <v/>
      </c>
      <c r="H11416" s="42">
        <f t="shared" si="1"/>
        <v>3345</v>
      </c>
    </row>
    <row r="11417" ht="22.5" customHeight="1">
      <c r="B11417" s="42" t="str">
        <f>IFERROR(__xludf.DUMMYFUNCTION("""COMPUTED_VALUE"""),"")</f>
        <v/>
      </c>
      <c r="C11417" s="42" t="str">
        <f>IFERROR(__xludf.DUMMYFUNCTION("""COMPUTED_VALUE"""),"")</f>
        <v/>
      </c>
      <c r="D11417" s="42"/>
      <c r="E11417" s="42"/>
      <c r="F11417" s="48" t="str">
        <f>IFERROR(__xludf.DUMMYFUNCTION("""COMPUTED_VALUE"""),"")</f>
        <v/>
      </c>
      <c r="G11417" s="42" t="str">
        <f>IFERROR(__xludf.DUMMYFUNCTION("""COMPUTED_VALUE"""),"")</f>
        <v/>
      </c>
      <c r="H11417" s="42">
        <f t="shared" si="1"/>
        <v>3345</v>
      </c>
    </row>
    <row r="11418" ht="22.5" customHeight="1">
      <c r="B11418" s="42" t="str">
        <f>IFERROR(__xludf.DUMMYFUNCTION("""COMPUTED_VALUE"""),"")</f>
        <v/>
      </c>
      <c r="C11418" s="42" t="str">
        <f>IFERROR(__xludf.DUMMYFUNCTION("""COMPUTED_VALUE"""),"")</f>
        <v/>
      </c>
      <c r="D11418" s="42"/>
      <c r="E11418" s="42"/>
      <c r="F11418" s="48" t="str">
        <f>IFERROR(__xludf.DUMMYFUNCTION("""COMPUTED_VALUE"""),"")</f>
        <v/>
      </c>
      <c r="G11418" s="42" t="str">
        <f>IFERROR(__xludf.DUMMYFUNCTION("""COMPUTED_VALUE"""),"")</f>
        <v/>
      </c>
      <c r="H11418" s="42">
        <f t="shared" si="1"/>
        <v>3345</v>
      </c>
    </row>
    <row r="11419" ht="22.5" customHeight="1">
      <c r="B11419" s="42" t="str">
        <f>IFERROR(__xludf.DUMMYFUNCTION("""COMPUTED_VALUE"""),"")</f>
        <v/>
      </c>
      <c r="C11419" s="42" t="str">
        <f>IFERROR(__xludf.DUMMYFUNCTION("""COMPUTED_VALUE"""),"")</f>
        <v/>
      </c>
      <c r="D11419" s="42"/>
      <c r="E11419" s="42"/>
      <c r="F11419" s="48" t="str">
        <f>IFERROR(__xludf.DUMMYFUNCTION("""COMPUTED_VALUE"""),"")</f>
        <v/>
      </c>
      <c r="G11419" s="42" t="str">
        <f>IFERROR(__xludf.DUMMYFUNCTION("""COMPUTED_VALUE"""),"")</f>
        <v/>
      </c>
      <c r="H11419" s="42">
        <f t="shared" si="1"/>
        <v>3345</v>
      </c>
    </row>
    <row r="11420" ht="22.5" customHeight="1">
      <c r="B11420" s="42" t="str">
        <f>IFERROR(__xludf.DUMMYFUNCTION("""COMPUTED_VALUE"""),"")</f>
        <v/>
      </c>
      <c r="C11420" s="42" t="str">
        <f>IFERROR(__xludf.DUMMYFUNCTION("""COMPUTED_VALUE"""),"")</f>
        <v/>
      </c>
      <c r="D11420" s="42"/>
      <c r="E11420" s="42"/>
      <c r="F11420" s="48" t="str">
        <f>IFERROR(__xludf.DUMMYFUNCTION("""COMPUTED_VALUE"""),"")</f>
        <v/>
      </c>
      <c r="G11420" s="42" t="str">
        <f>IFERROR(__xludf.DUMMYFUNCTION("""COMPUTED_VALUE"""),"")</f>
        <v/>
      </c>
      <c r="H11420" s="42">
        <f t="shared" si="1"/>
        <v>3345</v>
      </c>
    </row>
    <row r="11421" ht="22.5" customHeight="1">
      <c r="B11421" s="42" t="str">
        <f>IFERROR(__xludf.DUMMYFUNCTION("""COMPUTED_VALUE"""),"")</f>
        <v/>
      </c>
      <c r="C11421" s="42" t="str">
        <f>IFERROR(__xludf.DUMMYFUNCTION("""COMPUTED_VALUE"""),"")</f>
        <v/>
      </c>
      <c r="D11421" s="42"/>
      <c r="E11421" s="42"/>
      <c r="F11421" s="48" t="str">
        <f>IFERROR(__xludf.DUMMYFUNCTION("""COMPUTED_VALUE"""),"")</f>
        <v/>
      </c>
      <c r="G11421" s="42" t="str">
        <f>IFERROR(__xludf.DUMMYFUNCTION("""COMPUTED_VALUE"""),"")</f>
        <v/>
      </c>
      <c r="H11421" s="42">
        <f t="shared" si="1"/>
        <v>3345</v>
      </c>
    </row>
    <row r="11422" ht="22.5" customHeight="1">
      <c r="B11422" s="42" t="str">
        <f>IFERROR(__xludf.DUMMYFUNCTION("""COMPUTED_VALUE"""),"")</f>
        <v/>
      </c>
      <c r="C11422" s="42" t="str">
        <f>IFERROR(__xludf.DUMMYFUNCTION("""COMPUTED_VALUE"""),"")</f>
        <v/>
      </c>
      <c r="D11422" s="42"/>
      <c r="E11422" s="42"/>
      <c r="F11422" s="48" t="str">
        <f>IFERROR(__xludf.DUMMYFUNCTION("""COMPUTED_VALUE"""),"")</f>
        <v/>
      </c>
      <c r="G11422" s="42" t="str">
        <f>IFERROR(__xludf.DUMMYFUNCTION("""COMPUTED_VALUE"""),"")</f>
        <v/>
      </c>
      <c r="H11422" s="42">
        <f t="shared" si="1"/>
        <v>3345</v>
      </c>
    </row>
    <row r="11423" ht="22.5" customHeight="1">
      <c r="B11423" s="42" t="str">
        <f>IFERROR(__xludf.DUMMYFUNCTION("""COMPUTED_VALUE"""),"")</f>
        <v/>
      </c>
      <c r="C11423" s="42" t="str">
        <f>IFERROR(__xludf.DUMMYFUNCTION("""COMPUTED_VALUE"""),"")</f>
        <v/>
      </c>
      <c r="D11423" s="42"/>
      <c r="E11423" s="42"/>
      <c r="F11423" s="48" t="str">
        <f>IFERROR(__xludf.DUMMYFUNCTION("""COMPUTED_VALUE"""),"")</f>
        <v/>
      </c>
      <c r="G11423" s="42" t="str">
        <f>IFERROR(__xludf.DUMMYFUNCTION("""COMPUTED_VALUE"""),"")</f>
        <v/>
      </c>
      <c r="H11423" s="42">
        <f t="shared" si="1"/>
        <v>3345</v>
      </c>
    </row>
    <row r="11424" ht="22.5" customHeight="1">
      <c r="B11424" s="42" t="str">
        <f>IFERROR(__xludf.DUMMYFUNCTION("""COMPUTED_VALUE"""),"")</f>
        <v/>
      </c>
      <c r="C11424" s="42" t="str">
        <f>IFERROR(__xludf.DUMMYFUNCTION("""COMPUTED_VALUE"""),"")</f>
        <v/>
      </c>
      <c r="D11424" s="42"/>
      <c r="E11424" s="42"/>
      <c r="F11424" s="48" t="str">
        <f>IFERROR(__xludf.DUMMYFUNCTION("""COMPUTED_VALUE"""),"")</f>
        <v/>
      </c>
      <c r="G11424" s="42" t="str">
        <f>IFERROR(__xludf.DUMMYFUNCTION("""COMPUTED_VALUE"""),"")</f>
        <v/>
      </c>
      <c r="H11424" s="42">
        <f t="shared" si="1"/>
        <v>3345</v>
      </c>
    </row>
    <row r="11425" ht="22.5" customHeight="1">
      <c r="B11425" s="42" t="str">
        <f>IFERROR(__xludf.DUMMYFUNCTION("""COMPUTED_VALUE"""),"")</f>
        <v/>
      </c>
      <c r="C11425" s="42" t="str">
        <f>IFERROR(__xludf.DUMMYFUNCTION("""COMPUTED_VALUE"""),"")</f>
        <v/>
      </c>
      <c r="D11425" s="42"/>
      <c r="E11425" s="42"/>
      <c r="F11425" s="48" t="str">
        <f>IFERROR(__xludf.DUMMYFUNCTION("""COMPUTED_VALUE"""),"")</f>
        <v/>
      </c>
      <c r="G11425" s="42" t="str">
        <f>IFERROR(__xludf.DUMMYFUNCTION("""COMPUTED_VALUE"""),"")</f>
        <v/>
      </c>
      <c r="H11425" s="42">
        <f t="shared" si="1"/>
        <v>3345</v>
      </c>
    </row>
    <row r="11426" ht="22.5" customHeight="1">
      <c r="B11426" s="42" t="str">
        <f>IFERROR(__xludf.DUMMYFUNCTION("""COMPUTED_VALUE"""),"")</f>
        <v/>
      </c>
      <c r="C11426" s="42" t="str">
        <f>IFERROR(__xludf.DUMMYFUNCTION("""COMPUTED_VALUE"""),"")</f>
        <v/>
      </c>
      <c r="D11426" s="42"/>
      <c r="E11426" s="42"/>
      <c r="F11426" s="48" t="str">
        <f>IFERROR(__xludf.DUMMYFUNCTION("""COMPUTED_VALUE"""),"")</f>
        <v/>
      </c>
      <c r="G11426" s="42" t="str">
        <f>IFERROR(__xludf.DUMMYFUNCTION("""COMPUTED_VALUE"""),"")</f>
        <v/>
      </c>
      <c r="H11426" s="42">
        <f t="shared" si="1"/>
        <v>3345</v>
      </c>
    </row>
    <row r="11427" ht="22.5" customHeight="1">
      <c r="B11427" s="42" t="str">
        <f>IFERROR(__xludf.DUMMYFUNCTION("""COMPUTED_VALUE"""),"")</f>
        <v/>
      </c>
      <c r="C11427" s="42" t="str">
        <f>IFERROR(__xludf.DUMMYFUNCTION("""COMPUTED_VALUE"""),"")</f>
        <v/>
      </c>
      <c r="D11427" s="42"/>
      <c r="E11427" s="42"/>
      <c r="F11427" s="48" t="str">
        <f>IFERROR(__xludf.DUMMYFUNCTION("""COMPUTED_VALUE"""),"")</f>
        <v/>
      </c>
      <c r="G11427" s="42" t="str">
        <f>IFERROR(__xludf.DUMMYFUNCTION("""COMPUTED_VALUE"""),"")</f>
        <v/>
      </c>
      <c r="H11427" s="42">
        <f t="shared" si="1"/>
        <v>3345</v>
      </c>
    </row>
    <row r="11428" ht="22.5" customHeight="1">
      <c r="B11428" s="42" t="str">
        <f>IFERROR(__xludf.DUMMYFUNCTION("""COMPUTED_VALUE"""),"")</f>
        <v/>
      </c>
      <c r="C11428" s="42" t="str">
        <f>IFERROR(__xludf.DUMMYFUNCTION("""COMPUTED_VALUE"""),"")</f>
        <v/>
      </c>
      <c r="D11428" s="42"/>
      <c r="E11428" s="42"/>
      <c r="F11428" s="48" t="str">
        <f>IFERROR(__xludf.DUMMYFUNCTION("""COMPUTED_VALUE"""),"")</f>
        <v/>
      </c>
      <c r="G11428" s="42" t="str">
        <f>IFERROR(__xludf.DUMMYFUNCTION("""COMPUTED_VALUE"""),"")</f>
        <v/>
      </c>
      <c r="H11428" s="42">
        <f t="shared" si="1"/>
        <v>3345</v>
      </c>
    </row>
    <row r="11429" ht="22.5" customHeight="1">
      <c r="B11429" s="42" t="str">
        <f>IFERROR(__xludf.DUMMYFUNCTION("""COMPUTED_VALUE"""),"")</f>
        <v/>
      </c>
      <c r="C11429" s="42" t="str">
        <f>IFERROR(__xludf.DUMMYFUNCTION("""COMPUTED_VALUE"""),"")</f>
        <v/>
      </c>
      <c r="D11429" s="42"/>
      <c r="E11429" s="42"/>
      <c r="F11429" s="48" t="str">
        <f>IFERROR(__xludf.DUMMYFUNCTION("""COMPUTED_VALUE"""),"")</f>
        <v/>
      </c>
      <c r="G11429" s="42" t="str">
        <f>IFERROR(__xludf.DUMMYFUNCTION("""COMPUTED_VALUE"""),"")</f>
        <v/>
      </c>
      <c r="H11429" s="42">
        <f t="shared" si="1"/>
        <v>3345</v>
      </c>
    </row>
    <row r="11430" ht="22.5" customHeight="1">
      <c r="B11430" s="42" t="str">
        <f>IFERROR(__xludf.DUMMYFUNCTION("""COMPUTED_VALUE"""),"")</f>
        <v/>
      </c>
      <c r="C11430" s="42" t="str">
        <f>IFERROR(__xludf.DUMMYFUNCTION("""COMPUTED_VALUE"""),"")</f>
        <v/>
      </c>
      <c r="D11430" s="42"/>
      <c r="E11430" s="42"/>
      <c r="F11430" s="48" t="str">
        <f>IFERROR(__xludf.DUMMYFUNCTION("""COMPUTED_VALUE"""),"")</f>
        <v/>
      </c>
      <c r="G11430" s="42" t="str">
        <f>IFERROR(__xludf.DUMMYFUNCTION("""COMPUTED_VALUE"""),"")</f>
        <v/>
      </c>
      <c r="H11430" s="42">
        <f t="shared" si="1"/>
        <v>3345</v>
      </c>
    </row>
    <row r="11431" ht="22.5" customHeight="1">
      <c r="B11431" s="42" t="str">
        <f>IFERROR(__xludf.DUMMYFUNCTION("""COMPUTED_VALUE"""),"")</f>
        <v/>
      </c>
      <c r="C11431" s="42" t="str">
        <f>IFERROR(__xludf.DUMMYFUNCTION("""COMPUTED_VALUE"""),"")</f>
        <v/>
      </c>
      <c r="D11431" s="42"/>
      <c r="E11431" s="42"/>
      <c r="F11431" s="48" t="str">
        <f>IFERROR(__xludf.DUMMYFUNCTION("""COMPUTED_VALUE"""),"")</f>
        <v/>
      </c>
      <c r="G11431" s="42" t="str">
        <f>IFERROR(__xludf.DUMMYFUNCTION("""COMPUTED_VALUE"""),"")</f>
        <v/>
      </c>
      <c r="H11431" s="42">
        <f t="shared" si="1"/>
        <v>3345</v>
      </c>
    </row>
    <row r="11432" ht="22.5" customHeight="1">
      <c r="B11432" s="42" t="str">
        <f>IFERROR(__xludf.DUMMYFUNCTION("""COMPUTED_VALUE"""),"")</f>
        <v/>
      </c>
      <c r="C11432" s="42" t="str">
        <f>IFERROR(__xludf.DUMMYFUNCTION("""COMPUTED_VALUE"""),"")</f>
        <v/>
      </c>
      <c r="D11432" s="42"/>
      <c r="E11432" s="42"/>
      <c r="F11432" s="48" t="str">
        <f>IFERROR(__xludf.DUMMYFUNCTION("""COMPUTED_VALUE"""),"")</f>
        <v/>
      </c>
      <c r="G11432" s="42" t="str">
        <f>IFERROR(__xludf.DUMMYFUNCTION("""COMPUTED_VALUE"""),"")</f>
        <v/>
      </c>
      <c r="H11432" s="42">
        <f t="shared" si="1"/>
        <v>3345</v>
      </c>
    </row>
    <row r="11433" ht="22.5" customHeight="1">
      <c r="B11433" s="42" t="str">
        <f>IFERROR(__xludf.DUMMYFUNCTION("""COMPUTED_VALUE"""),"")</f>
        <v/>
      </c>
      <c r="C11433" s="42" t="str">
        <f>IFERROR(__xludf.DUMMYFUNCTION("""COMPUTED_VALUE"""),"")</f>
        <v/>
      </c>
      <c r="D11433" s="42"/>
      <c r="E11433" s="42"/>
      <c r="F11433" s="48" t="str">
        <f>IFERROR(__xludf.DUMMYFUNCTION("""COMPUTED_VALUE"""),"")</f>
        <v/>
      </c>
      <c r="G11433" s="42" t="str">
        <f>IFERROR(__xludf.DUMMYFUNCTION("""COMPUTED_VALUE"""),"")</f>
        <v/>
      </c>
      <c r="H11433" s="42">
        <f t="shared" si="1"/>
        <v>3345</v>
      </c>
    </row>
    <row r="11434" ht="22.5" customHeight="1">
      <c r="B11434" s="42" t="str">
        <f>IFERROR(__xludf.DUMMYFUNCTION("""COMPUTED_VALUE"""),"")</f>
        <v/>
      </c>
      <c r="C11434" s="42" t="str">
        <f>IFERROR(__xludf.DUMMYFUNCTION("""COMPUTED_VALUE"""),"")</f>
        <v/>
      </c>
      <c r="D11434" s="42"/>
      <c r="E11434" s="42"/>
      <c r="F11434" s="48" t="str">
        <f>IFERROR(__xludf.DUMMYFUNCTION("""COMPUTED_VALUE"""),"")</f>
        <v/>
      </c>
      <c r="G11434" s="42" t="str">
        <f>IFERROR(__xludf.DUMMYFUNCTION("""COMPUTED_VALUE"""),"")</f>
        <v/>
      </c>
      <c r="H11434" s="42">
        <f t="shared" si="1"/>
        <v>3345</v>
      </c>
    </row>
    <row r="11435" ht="22.5" customHeight="1">
      <c r="B11435" s="42" t="str">
        <f>IFERROR(__xludf.DUMMYFUNCTION("""COMPUTED_VALUE"""),"")</f>
        <v/>
      </c>
      <c r="C11435" s="42" t="str">
        <f>IFERROR(__xludf.DUMMYFUNCTION("""COMPUTED_VALUE"""),"")</f>
        <v/>
      </c>
      <c r="D11435" s="42"/>
      <c r="E11435" s="42"/>
      <c r="F11435" s="48" t="str">
        <f>IFERROR(__xludf.DUMMYFUNCTION("""COMPUTED_VALUE"""),"")</f>
        <v/>
      </c>
      <c r="G11435" s="42" t="str">
        <f>IFERROR(__xludf.DUMMYFUNCTION("""COMPUTED_VALUE"""),"")</f>
        <v/>
      </c>
      <c r="H11435" s="42">
        <f t="shared" si="1"/>
        <v>3345</v>
      </c>
    </row>
    <row r="11436" ht="22.5" customHeight="1">
      <c r="B11436" s="42" t="str">
        <f>IFERROR(__xludf.DUMMYFUNCTION("""COMPUTED_VALUE"""),"")</f>
        <v/>
      </c>
      <c r="C11436" s="42" t="str">
        <f>IFERROR(__xludf.DUMMYFUNCTION("""COMPUTED_VALUE"""),"")</f>
        <v/>
      </c>
      <c r="D11436" s="42"/>
      <c r="E11436" s="42"/>
      <c r="F11436" s="48" t="str">
        <f>IFERROR(__xludf.DUMMYFUNCTION("""COMPUTED_VALUE"""),"")</f>
        <v/>
      </c>
      <c r="G11436" s="42" t="str">
        <f>IFERROR(__xludf.DUMMYFUNCTION("""COMPUTED_VALUE"""),"")</f>
        <v/>
      </c>
      <c r="H11436" s="42">
        <f t="shared" si="1"/>
        <v>3345</v>
      </c>
    </row>
    <row r="11437" ht="22.5" customHeight="1">
      <c r="B11437" s="42" t="str">
        <f>IFERROR(__xludf.DUMMYFUNCTION("""COMPUTED_VALUE"""),"")</f>
        <v/>
      </c>
      <c r="C11437" s="42" t="str">
        <f>IFERROR(__xludf.DUMMYFUNCTION("""COMPUTED_VALUE"""),"")</f>
        <v/>
      </c>
      <c r="D11437" s="42"/>
      <c r="E11437" s="42"/>
      <c r="F11437" s="48" t="str">
        <f>IFERROR(__xludf.DUMMYFUNCTION("""COMPUTED_VALUE"""),"")</f>
        <v/>
      </c>
      <c r="G11437" s="42" t="str">
        <f>IFERROR(__xludf.DUMMYFUNCTION("""COMPUTED_VALUE"""),"")</f>
        <v/>
      </c>
      <c r="H11437" s="42">
        <f t="shared" si="1"/>
        <v>3345</v>
      </c>
    </row>
    <row r="11438" ht="22.5" customHeight="1">
      <c r="B11438" s="42" t="str">
        <f>IFERROR(__xludf.DUMMYFUNCTION("""COMPUTED_VALUE"""),"")</f>
        <v/>
      </c>
      <c r="C11438" s="42" t="str">
        <f>IFERROR(__xludf.DUMMYFUNCTION("""COMPUTED_VALUE"""),"")</f>
        <v/>
      </c>
      <c r="D11438" s="42"/>
      <c r="E11438" s="42"/>
      <c r="F11438" s="48" t="str">
        <f>IFERROR(__xludf.DUMMYFUNCTION("""COMPUTED_VALUE"""),"")</f>
        <v/>
      </c>
      <c r="G11438" s="42" t="str">
        <f>IFERROR(__xludf.DUMMYFUNCTION("""COMPUTED_VALUE"""),"")</f>
        <v/>
      </c>
      <c r="H11438" s="42">
        <f t="shared" si="1"/>
        <v>3345</v>
      </c>
    </row>
    <row r="11439" ht="22.5" customHeight="1">
      <c r="B11439" s="42" t="str">
        <f>IFERROR(__xludf.DUMMYFUNCTION("""COMPUTED_VALUE"""),"")</f>
        <v/>
      </c>
      <c r="C11439" s="42" t="str">
        <f>IFERROR(__xludf.DUMMYFUNCTION("""COMPUTED_VALUE"""),"")</f>
        <v/>
      </c>
      <c r="D11439" s="42"/>
      <c r="E11439" s="42"/>
      <c r="F11439" s="48" t="str">
        <f>IFERROR(__xludf.DUMMYFUNCTION("""COMPUTED_VALUE"""),"")</f>
        <v/>
      </c>
      <c r="G11439" s="42" t="str">
        <f>IFERROR(__xludf.DUMMYFUNCTION("""COMPUTED_VALUE"""),"")</f>
        <v/>
      </c>
      <c r="H11439" s="42">
        <f t="shared" si="1"/>
        <v>3345</v>
      </c>
    </row>
    <row r="11440" ht="22.5" customHeight="1">
      <c r="B11440" s="42" t="str">
        <f>IFERROR(__xludf.DUMMYFUNCTION("""COMPUTED_VALUE"""),"")</f>
        <v/>
      </c>
      <c r="C11440" s="42" t="str">
        <f>IFERROR(__xludf.DUMMYFUNCTION("""COMPUTED_VALUE"""),"")</f>
        <v/>
      </c>
      <c r="D11440" s="42"/>
      <c r="E11440" s="42"/>
      <c r="F11440" s="48" t="str">
        <f>IFERROR(__xludf.DUMMYFUNCTION("""COMPUTED_VALUE"""),"")</f>
        <v/>
      </c>
      <c r="G11440" s="42" t="str">
        <f>IFERROR(__xludf.DUMMYFUNCTION("""COMPUTED_VALUE"""),"")</f>
        <v/>
      </c>
      <c r="H11440" s="42">
        <f t="shared" si="1"/>
        <v>3345</v>
      </c>
    </row>
    <row r="11441" ht="22.5" customHeight="1">
      <c r="B11441" s="42" t="str">
        <f>IFERROR(__xludf.DUMMYFUNCTION("""COMPUTED_VALUE"""),"")</f>
        <v/>
      </c>
      <c r="C11441" s="42" t="str">
        <f>IFERROR(__xludf.DUMMYFUNCTION("""COMPUTED_VALUE"""),"")</f>
        <v/>
      </c>
      <c r="D11441" s="42"/>
      <c r="E11441" s="42"/>
      <c r="F11441" s="48" t="str">
        <f>IFERROR(__xludf.DUMMYFUNCTION("""COMPUTED_VALUE"""),"")</f>
        <v/>
      </c>
      <c r="G11441" s="42" t="str">
        <f>IFERROR(__xludf.DUMMYFUNCTION("""COMPUTED_VALUE"""),"")</f>
        <v/>
      </c>
      <c r="H11441" s="42">
        <f t="shared" si="1"/>
        <v>3345</v>
      </c>
    </row>
    <row r="11442" ht="22.5" customHeight="1">
      <c r="B11442" s="42" t="str">
        <f>IFERROR(__xludf.DUMMYFUNCTION("""COMPUTED_VALUE"""),"")</f>
        <v/>
      </c>
      <c r="C11442" s="42" t="str">
        <f>IFERROR(__xludf.DUMMYFUNCTION("""COMPUTED_VALUE"""),"")</f>
        <v/>
      </c>
      <c r="D11442" s="42"/>
      <c r="E11442" s="42"/>
      <c r="F11442" s="48" t="str">
        <f>IFERROR(__xludf.DUMMYFUNCTION("""COMPUTED_VALUE"""),"")</f>
        <v/>
      </c>
      <c r="G11442" s="42" t="str">
        <f>IFERROR(__xludf.DUMMYFUNCTION("""COMPUTED_VALUE"""),"")</f>
        <v/>
      </c>
      <c r="H11442" s="42">
        <f t="shared" si="1"/>
        <v>3345</v>
      </c>
    </row>
    <row r="11443" ht="22.5" customHeight="1">
      <c r="B11443" s="42" t="str">
        <f>IFERROR(__xludf.DUMMYFUNCTION("""COMPUTED_VALUE"""),"")</f>
        <v/>
      </c>
      <c r="C11443" s="42" t="str">
        <f>IFERROR(__xludf.DUMMYFUNCTION("""COMPUTED_VALUE"""),"")</f>
        <v/>
      </c>
      <c r="D11443" s="42"/>
      <c r="E11443" s="42"/>
      <c r="F11443" s="48" t="str">
        <f>IFERROR(__xludf.DUMMYFUNCTION("""COMPUTED_VALUE"""),"")</f>
        <v/>
      </c>
      <c r="G11443" s="42" t="str">
        <f>IFERROR(__xludf.DUMMYFUNCTION("""COMPUTED_VALUE"""),"")</f>
        <v/>
      </c>
      <c r="H11443" s="42">
        <f t="shared" si="1"/>
        <v>3345</v>
      </c>
    </row>
    <row r="11444" ht="22.5" customHeight="1">
      <c r="B11444" s="42" t="str">
        <f>IFERROR(__xludf.DUMMYFUNCTION("""COMPUTED_VALUE"""),"")</f>
        <v/>
      </c>
      <c r="C11444" s="42" t="str">
        <f>IFERROR(__xludf.DUMMYFUNCTION("""COMPUTED_VALUE"""),"")</f>
        <v/>
      </c>
      <c r="D11444" s="42"/>
      <c r="E11444" s="42"/>
      <c r="F11444" s="48" t="str">
        <f>IFERROR(__xludf.DUMMYFUNCTION("""COMPUTED_VALUE"""),"")</f>
        <v/>
      </c>
      <c r="G11444" s="42" t="str">
        <f>IFERROR(__xludf.DUMMYFUNCTION("""COMPUTED_VALUE"""),"")</f>
        <v/>
      </c>
      <c r="H11444" s="42">
        <f t="shared" si="1"/>
        <v>3345</v>
      </c>
    </row>
    <row r="11445" ht="22.5" customHeight="1">
      <c r="B11445" s="42" t="str">
        <f>IFERROR(__xludf.DUMMYFUNCTION("""COMPUTED_VALUE"""),"")</f>
        <v/>
      </c>
      <c r="C11445" s="42" t="str">
        <f>IFERROR(__xludf.DUMMYFUNCTION("""COMPUTED_VALUE"""),"")</f>
        <v/>
      </c>
      <c r="D11445" s="42"/>
      <c r="E11445" s="42"/>
      <c r="F11445" s="48" t="str">
        <f>IFERROR(__xludf.DUMMYFUNCTION("""COMPUTED_VALUE"""),"")</f>
        <v/>
      </c>
      <c r="G11445" s="42" t="str">
        <f>IFERROR(__xludf.DUMMYFUNCTION("""COMPUTED_VALUE"""),"")</f>
        <v/>
      </c>
      <c r="H11445" s="42">
        <f t="shared" si="1"/>
        <v>3345</v>
      </c>
    </row>
    <row r="11446" ht="22.5" customHeight="1">
      <c r="B11446" s="42" t="str">
        <f>IFERROR(__xludf.DUMMYFUNCTION("""COMPUTED_VALUE"""),"")</f>
        <v/>
      </c>
      <c r="C11446" s="42" t="str">
        <f>IFERROR(__xludf.DUMMYFUNCTION("""COMPUTED_VALUE"""),"")</f>
        <v/>
      </c>
      <c r="D11446" s="42"/>
      <c r="E11446" s="42"/>
      <c r="F11446" s="48" t="str">
        <f>IFERROR(__xludf.DUMMYFUNCTION("""COMPUTED_VALUE"""),"")</f>
        <v/>
      </c>
      <c r="G11446" s="42" t="str">
        <f>IFERROR(__xludf.DUMMYFUNCTION("""COMPUTED_VALUE"""),"")</f>
        <v/>
      </c>
      <c r="H11446" s="42">
        <f t="shared" si="1"/>
        <v>3345</v>
      </c>
    </row>
    <row r="11447" ht="22.5" customHeight="1">
      <c r="B11447" s="42" t="str">
        <f>IFERROR(__xludf.DUMMYFUNCTION("""COMPUTED_VALUE"""),"")</f>
        <v/>
      </c>
      <c r="C11447" s="42" t="str">
        <f>IFERROR(__xludf.DUMMYFUNCTION("""COMPUTED_VALUE"""),"")</f>
        <v/>
      </c>
      <c r="D11447" s="42"/>
      <c r="E11447" s="42"/>
      <c r="F11447" s="48" t="str">
        <f>IFERROR(__xludf.DUMMYFUNCTION("""COMPUTED_VALUE"""),"")</f>
        <v/>
      </c>
      <c r="G11447" s="42" t="str">
        <f>IFERROR(__xludf.DUMMYFUNCTION("""COMPUTED_VALUE"""),"")</f>
        <v/>
      </c>
      <c r="H11447" s="42">
        <f t="shared" si="1"/>
        <v>3345</v>
      </c>
    </row>
    <row r="11448" ht="22.5" customHeight="1">
      <c r="B11448" s="42" t="str">
        <f>IFERROR(__xludf.DUMMYFUNCTION("""COMPUTED_VALUE"""),"")</f>
        <v/>
      </c>
      <c r="C11448" s="42" t="str">
        <f>IFERROR(__xludf.DUMMYFUNCTION("""COMPUTED_VALUE"""),"")</f>
        <v/>
      </c>
      <c r="D11448" s="42"/>
      <c r="E11448" s="42"/>
      <c r="F11448" s="48" t="str">
        <f>IFERROR(__xludf.DUMMYFUNCTION("""COMPUTED_VALUE"""),"")</f>
        <v/>
      </c>
      <c r="G11448" s="42" t="str">
        <f>IFERROR(__xludf.DUMMYFUNCTION("""COMPUTED_VALUE"""),"")</f>
        <v/>
      </c>
      <c r="H11448" s="42">
        <f t="shared" si="1"/>
        <v>3345</v>
      </c>
    </row>
    <row r="11449" ht="22.5" customHeight="1">
      <c r="B11449" s="42" t="str">
        <f>IFERROR(__xludf.DUMMYFUNCTION("""COMPUTED_VALUE"""),"")</f>
        <v/>
      </c>
      <c r="C11449" s="42" t="str">
        <f>IFERROR(__xludf.DUMMYFUNCTION("""COMPUTED_VALUE"""),"")</f>
        <v/>
      </c>
      <c r="D11449" s="42"/>
      <c r="E11449" s="42"/>
      <c r="F11449" s="48" t="str">
        <f>IFERROR(__xludf.DUMMYFUNCTION("""COMPUTED_VALUE"""),"")</f>
        <v/>
      </c>
      <c r="G11449" s="42" t="str">
        <f>IFERROR(__xludf.DUMMYFUNCTION("""COMPUTED_VALUE"""),"")</f>
        <v/>
      </c>
      <c r="H11449" s="42">
        <f t="shared" si="1"/>
        <v>3345</v>
      </c>
    </row>
    <row r="11450" ht="22.5" customHeight="1">
      <c r="B11450" s="42" t="str">
        <f>IFERROR(__xludf.DUMMYFUNCTION("""COMPUTED_VALUE"""),"")</f>
        <v/>
      </c>
      <c r="C11450" s="42" t="str">
        <f>IFERROR(__xludf.DUMMYFUNCTION("""COMPUTED_VALUE"""),"")</f>
        <v/>
      </c>
      <c r="D11450" s="42"/>
      <c r="E11450" s="42"/>
      <c r="F11450" s="48" t="str">
        <f>IFERROR(__xludf.DUMMYFUNCTION("""COMPUTED_VALUE"""),"")</f>
        <v/>
      </c>
      <c r="G11450" s="42" t="str">
        <f>IFERROR(__xludf.DUMMYFUNCTION("""COMPUTED_VALUE"""),"")</f>
        <v/>
      </c>
      <c r="H11450" s="42">
        <f t="shared" si="1"/>
        <v>3345</v>
      </c>
    </row>
    <row r="11451" ht="22.5" customHeight="1">
      <c r="B11451" s="42" t="str">
        <f>IFERROR(__xludf.DUMMYFUNCTION("""COMPUTED_VALUE"""),"")</f>
        <v/>
      </c>
      <c r="C11451" s="42" t="str">
        <f>IFERROR(__xludf.DUMMYFUNCTION("""COMPUTED_VALUE"""),"")</f>
        <v/>
      </c>
      <c r="D11451" s="42"/>
      <c r="E11451" s="42"/>
      <c r="F11451" s="48" t="str">
        <f>IFERROR(__xludf.DUMMYFUNCTION("""COMPUTED_VALUE"""),"")</f>
        <v/>
      </c>
      <c r="G11451" s="42" t="str">
        <f>IFERROR(__xludf.DUMMYFUNCTION("""COMPUTED_VALUE"""),"")</f>
        <v/>
      </c>
      <c r="H11451" s="42">
        <f t="shared" si="1"/>
        <v>3345</v>
      </c>
    </row>
    <row r="11452" ht="22.5" customHeight="1">
      <c r="B11452" s="42" t="str">
        <f>IFERROR(__xludf.DUMMYFUNCTION("""COMPUTED_VALUE"""),"")</f>
        <v/>
      </c>
      <c r="C11452" s="42" t="str">
        <f>IFERROR(__xludf.DUMMYFUNCTION("""COMPUTED_VALUE"""),"")</f>
        <v/>
      </c>
      <c r="D11452" s="42"/>
      <c r="E11452" s="42"/>
      <c r="F11452" s="48" t="str">
        <f>IFERROR(__xludf.DUMMYFUNCTION("""COMPUTED_VALUE"""),"")</f>
        <v/>
      </c>
      <c r="G11452" s="42" t="str">
        <f>IFERROR(__xludf.DUMMYFUNCTION("""COMPUTED_VALUE"""),"")</f>
        <v/>
      </c>
      <c r="H11452" s="42">
        <f t="shared" si="1"/>
        <v>3345</v>
      </c>
    </row>
    <row r="11453" ht="22.5" customHeight="1">
      <c r="B11453" s="42" t="str">
        <f>IFERROR(__xludf.DUMMYFUNCTION("""COMPUTED_VALUE"""),"")</f>
        <v/>
      </c>
      <c r="C11453" s="42" t="str">
        <f>IFERROR(__xludf.DUMMYFUNCTION("""COMPUTED_VALUE"""),"")</f>
        <v/>
      </c>
      <c r="D11453" s="42"/>
      <c r="E11453" s="42"/>
      <c r="F11453" s="48" t="str">
        <f>IFERROR(__xludf.DUMMYFUNCTION("""COMPUTED_VALUE"""),"")</f>
        <v/>
      </c>
      <c r="G11453" s="42" t="str">
        <f>IFERROR(__xludf.DUMMYFUNCTION("""COMPUTED_VALUE"""),"")</f>
        <v/>
      </c>
      <c r="H11453" s="42">
        <f t="shared" si="1"/>
        <v>3345</v>
      </c>
    </row>
    <row r="11454" ht="22.5" customHeight="1">
      <c r="B11454" s="42" t="str">
        <f>IFERROR(__xludf.DUMMYFUNCTION("""COMPUTED_VALUE"""),"")</f>
        <v/>
      </c>
      <c r="C11454" s="42" t="str">
        <f>IFERROR(__xludf.DUMMYFUNCTION("""COMPUTED_VALUE"""),"")</f>
        <v/>
      </c>
      <c r="D11454" s="42"/>
      <c r="E11454" s="42"/>
      <c r="F11454" s="48" t="str">
        <f>IFERROR(__xludf.DUMMYFUNCTION("""COMPUTED_VALUE"""),"")</f>
        <v/>
      </c>
      <c r="G11454" s="42" t="str">
        <f>IFERROR(__xludf.DUMMYFUNCTION("""COMPUTED_VALUE"""),"")</f>
        <v/>
      </c>
      <c r="H11454" s="42">
        <f t="shared" si="1"/>
        <v>3345</v>
      </c>
    </row>
    <row r="11455" ht="22.5" customHeight="1">
      <c r="B11455" s="42" t="str">
        <f>IFERROR(__xludf.DUMMYFUNCTION("""COMPUTED_VALUE"""),"")</f>
        <v/>
      </c>
      <c r="C11455" s="42" t="str">
        <f>IFERROR(__xludf.DUMMYFUNCTION("""COMPUTED_VALUE"""),"")</f>
        <v/>
      </c>
      <c r="D11455" s="42"/>
      <c r="E11455" s="42"/>
      <c r="F11455" s="48" t="str">
        <f>IFERROR(__xludf.DUMMYFUNCTION("""COMPUTED_VALUE"""),"")</f>
        <v/>
      </c>
      <c r="G11455" s="42" t="str">
        <f>IFERROR(__xludf.DUMMYFUNCTION("""COMPUTED_VALUE"""),"")</f>
        <v/>
      </c>
      <c r="H11455" s="42">
        <f t="shared" si="1"/>
        <v>3345</v>
      </c>
    </row>
    <row r="11456" ht="22.5" customHeight="1">
      <c r="B11456" s="42" t="str">
        <f>IFERROR(__xludf.DUMMYFUNCTION("""COMPUTED_VALUE"""),"")</f>
        <v/>
      </c>
      <c r="C11456" s="42" t="str">
        <f>IFERROR(__xludf.DUMMYFUNCTION("""COMPUTED_VALUE"""),"")</f>
        <v/>
      </c>
      <c r="D11456" s="42"/>
      <c r="E11456" s="42"/>
      <c r="F11456" s="48" t="str">
        <f>IFERROR(__xludf.DUMMYFUNCTION("""COMPUTED_VALUE"""),"")</f>
        <v/>
      </c>
      <c r="G11456" s="42" t="str">
        <f>IFERROR(__xludf.DUMMYFUNCTION("""COMPUTED_VALUE"""),"")</f>
        <v/>
      </c>
      <c r="H11456" s="42">
        <f t="shared" si="1"/>
        <v>3345</v>
      </c>
    </row>
    <row r="11457" ht="22.5" customHeight="1">
      <c r="B11457" s="42" t="str">
        <f>IFERROR(__xludf.DUMMYFUNCTION("""COMPUTED_VALUE"""),"")</f>
        <v/>
      </c>
      <c r="C11457" s="42" t="str">
        <f>IFERROR(__xludf.DUMMYFUNCTION("""COMPUTED_VALUE"""),"")</f>
        <v/>
      </c>
      <c r="D11457" s="42"/>
      <c r="E11457" s="42"/>
      <c r="F11457" s="48" t="str">
        <f>IFERROR(__xludf.DUMMYFUNCTION("""COMPUTED_VALUE"""),"")</f>
        <v/>
      </c>
      <c r="G11457" s="42" t="str">
        <f>IFERROR(__xludf.DUMMYFUNCTION("""COMPUTED_VALUE"""),"")</f>
        <v/>
      </c>
      <c r="H11457" s="42">
        <f t="shared" si="1"/>
        <v>3345</v>
      </c>
    </row>
    <row r="11458" ht="22.5" customHeight="1">
      <c r="B11458" s="42" t="str">
        <f>IFERROR(__xludf.DUMMYFUNCTION("""COMPUTED_VALUE"""),"")</f>
        <v/>
      </c>
      <c r="C11458" s="42" t="str">
        <f>IFERROR(__xludf.DUMMYFUNCTION("""COMPUTED_VALUE"""),"")</f>
        <v/>
      </c>
      <c r="D11458" s="42"/>
      <c r="E11458" s="42"/>
      <c r="F11458" s="48" t="str">
        <f>IFERROR(__xludf.DUMMYFUNCTION("""COMPUTED_VALUE"""),"")</f>
        <v/>
      </c>
      <c r="G11458" s="42" t="str">
        <f>IFERROR(__xludf.DUMMYFUNCTION("""COMPUTED_VALUE"""),"")</f>
        <v/>
      </c>
      <c r="H11458" s="42">
        <f t="shared" si="1"/>
        <v>3345</v>
      </c>
    </row>
    <row r="11459" ht="22.5" customHeight="1">
      <c r="B11459" s="42" t="str">
        <f>IFERROR(__xludf.DUMMYFUNCTION("""COMPUTED_VALUE"""),"")</f>
        <v/>
      </c>
      <c r="C11459" s="42" t="str">
        <f>IFERROR(__xludf.DUMMYFUNCTION("""COMPUTED_VALUE"""),"")</f>
        <v/>
      </c>
      <c r="D11459" s="42"/>
      <c r="E11459" s="42"/>
      <c r="F11459" s="48" t="str">
        <f>IFERROR(__xludf.DUMMYFUNCTION("""COMPUTED_VALUE"""),"")</f>
        <v/>
      </c>
      <c r="G11459" s="42" t="str">
        <f>IFERROR(__xludf.DUMMYFUNCTION("""COMPUTED_VALUE"""),"")</f>
        <v/>
      </c>
      <c r="H11459" s="42">
        <f t="shared" si="1"/>
        <v>3345</v>
      </c>
    </row>
    <row r="11460" ht="22.5" customHeight="1">
      <c r="B11460" s="42" t="str">
        <f>IFERROR(__xludf.DUMMYFUNCTION("""COMPUTED_VALUE"""),"")</f>
        <v/>
      </c>
      <c r="C11460" s="42" t="str">
        <f>IFERROR(__xludf.DUMMYFUNCTION("""COMPUTED_VALUE"""),"")</f>
        <v/>
      </c>
      <c r="D11460" s="42"/>
      <c r="E11460" s="42"/>
      <c r="F11460" s="48" t="str">
        <f>IFERROR(__xludf.DUMMYFUNCTION("""COMPUTED_VALUE"""),"")</f>
        <v/>
      </c>
      <c r="G11460" s="42" t="str">
        <f>IFERROR(__xludf.DUMMYFUNCTION("""COMPUTED_VALUE"""),"")</f>
        <v/>
      </c>
      <c r="H11460" s="42">
        <f t="shared" si="1"/>
        <v>3345</v>
      </c>
    </row>
    <row r="11461" ht="22.5" customHeight="1">
      <c r="B11461" s="42" t="str">
        <f>IFERROR(__xludf.DUMMYFUNCTION("""COMPUTED_VALUE"""),"")</f>
        <v/>
      </c>
      <c r="C11461" s="42" t="str">
        <f>IFERROR(__xludf.DUMMYFUNCTION("""COMPUTED_VALUE"""),"")</f>
        <v/>
      </c>
      <c r="D11461" s="42"/>
      <c r="E11461" s="42"/>
      <c r="F11461" s="48" t="str">
        <f>IFERROR(__xludf.DUMMYFUNCTION("""COMPUTED_VALUE"""),"")</f>
        <v/>
      </c>
      <c r="G11461" s="42" t="str">
        <f>IFERROR(__xludf.DUMMYFUNCTION("""COMPUTED_VALUE"""),"")</f>
        <v/>
      </c>
      <c r="H11461" s="42">
        <f t="shared" si="1"/>
        <v>3345</v>
      </c>
    </row>
    <row r="11462" ht="22.5" customHeight="1">
      <c r="B11462" s="42" t="str">
        <f>IFERROR(__xludf.DUMMYFUNCTION("""COMPUTED_VALUE"""),"")</f>
        <v/>
      </c>
      <c r="C11462" s="42" t="str">
        <f>IFERROR(__xludf.DUMMYFUNCTION("""COMPUTED_VALUE"""),"")</f>
        <v/>
      </c>
      <c r="D11462" s="42"/>
      <c r="E11462" s="42"/>
      <c r="F11462" s="48" t="str">
        <f>IFERROR(__xludf.DUMMYFUNCTION("""COMPUTED_VALUE"""),"")</f>
        <v/>
      </c>
      <c r="G11462" s="42" t="str">
        <f>IFERROR(__xludf.DUMMYFUNCTION("""COMPUTED_VALUE"""),"")</f>
        <v/>
      </c>
      <c r="H11462" s="42">
        <f t="shared" si="1"/>
        <v>3345</v>
      </c>
    </row>
    <row r="11463" ht="22.5" customHeight="1">
      <c r="B11463" s="42" t="str">
        <f>IFERROR(__xludf.DUMMYFUNCTION("""COMPUTED_VALUE"""),"")</f>
        <v/>
      </c>
      <c r="C11463" s="42" t="str">
        <f>IFERROR(__xludf.DUMMYFUNCTION("""COMPUTED_VALUE"""),"")</f>
        <v/>
      </c>
      <c r="D11463" s="42"/>
      <c r="E11463" s="42"/>
      <c r="F11463" s="48" t="str">
        <f>IFERROR(__xludf.DUMMYFUNCTION("""COMPUTED_VALUE"""),"")</f>
        <v/>
      </c>
      <c r="G11463" s="42" t="str">
        <f>IFERROR(__xludf.DUMMYFUNCTION("""COMPUTED_VALUE"""),"")</f>
        <v/>
      </c>
      <c r="H11463" s="42">
        <f t="shared" si="1"/>
        <v>3345</v>
      </c>
    </row>
    <row r="11464" ht="22.5" customHeight="1">
      <c r="B11464" s="42" t="str">
        <f>IFERROR(__xludf.DUMMYFUNCTION("""COMPUTED_VALUE"""),"")</f>
        <v/>
      </c>
      <c r="C11464" s="42" t="str">
        <f>IFERROR(__xludf.DUMMYFUNCTION("""COMPUTED_VALUE"""),"")</f>
        <v/>
      </c>
      <c r="D11464" s="42"/>
      <c r="E11464" s="42"/>
      <c r="F11464" s="48" t="str">
        <f>IFERROR(__xludf.DUMMYFUNCTION("""COMPUTED_VALUE"""),"")</f>
        <v/>
      </c>
      <c r="G11464" s="42" t="str">
        <f>IFERROR(__xludf.DUMMYFUNCTION("""COMPUTED_VALUE"""),"")</f>
        <v/>
      </c>
      <c r="H11464" s="42">
        <f t="shared" si="1"/>
        <v>3345</v>
      </c>
    </row>
    <row r="11465" ht="22.5" customHeight="1">
      <c r="B11465" s="42" t="str">
        <f>IFERROR(__xludf.DUMMYFUNCTION("""COMPUTED_VALUE"""),"")</f>
        <v/>
      </c>
      <c r="C11465" s="42" t="str">
        <f>IFERROR(__xludf.DUMMYFUNCTION("""COMPUTED_VALUE"""),"")</f>
        <v/>
      </c>
      <c r="D11465" s="42"/>
      <c r="E11465" s="42"/>
      <c r="F11465" s="48" t="str">
        <f>IFERROR(__xludf.DUMMYFUNCTION("""COMPUTED_VALUE"""),"")</f>
        <v/>
      </c>
      <c r="G11465" s="42" t="str">
        <f>IFERROR(__xludf.DUMMYFUNCTION("""COMPUTED_VALUE"""),"")</f>
        <v/>
      </c>
      <c r="H11465" s="42">
        <f t="shared" si="1"/>
        <v>3345</v>
      </c>
    </row>
    <row r="11466" ht="22.5" customHeight="1">
      <c r="B11466" s="42" t="str">
        <f>IFERROR(__xludf.DUMMYFUNCTION("""COMPUTED_VALUE"""),"")</f>
        <v/>
      </c>
      <c r="C11466" s="42" t="str">
        <f>IFERROR(__xludf.DUMMYFUNCTION("""COMPUTED_VALUE"""),"")</f>
        <v/>
      </c>
      <c r="D11466" s="42"/>
      <c r="E11466" s="42"/>
      <c r="F11466" s="48" t="str">
        <f>IFERROR(__xludf.DUMMYFUNCTION("""COMPUTED_VALUE"""),"")</f>
        <v/>
      </c>
      <c r="G11466" s="42" t="str">
        <f>IFERROR(__xludf.DUMMYFUNCTION("""COMPUTED_VALUE"""),"")</f>
        <v/>
      </c>
      <c r="H11466" s="42">
        <f t="shared" si="1"/>
        <v>3345</v>
      </c>
    </row>
    <row r="11467" ht="22.5" customHeight="1">
      <c r="B11467" s="42" t="str">
        <f>IFERROR(__xludf.DUMMYFUNCTION("""COMPUTED_VALUE"""),"")</f>
        <v/>
      </c>
      <c r="C11467" s="42" t="str">
        <f>IFERROR(__xludf.DUMMYFUNCTION("""COMPUTED_VALUE"""),"")</f>
        <v/>
      </c>
      <c r="D11467" s="42"/>
      <c r="E11467" s="42"/>
      <c r="F11467" s="48" t="str">
        <f>IFERROR(__xludf.DUMMYFUNCTION("""COMPUTED_VALUE"""),"")</f>
        <v/>
      </c>
      <c r="G11467" s="42" t="str">
        <f>IFERROR(__xludf.DUMMYFUNCTION("""COMPUTED_VALUE"""),"")</f>
        <v/>
      </c>
      <c r="H11467" s="42">
        <f t="shared" si="1"/>
        <v>3345</v>
      </c>
    </row>
    <row r="11468" ht="22.5" customHeight="1">
      <c r="B11468" s="42" t="str">
        <f>IFERROR(__xludf.DUMMYFUNCTION("""COMPUTED_VALUE"""),"")</f>
        <v/>
      </c>
      <c r="C11468" s="42" t="str">
        <f>IFERROR(__xludf.DUMMYFUNCTION("""COMPUTED_VALUE"""),"")</f>
        <v/>
      </c>
      <c r="D11468" s="42"/>
      <c r="E11468" s="42"/>
      <c r="F11468" s="48" t="str">
        <f>IFERROR(__xludf.DUMMYFUNCTION("""COMPUTED_VALUE"""),"")</f>
        <v/>
      </c>
      <c r="G11468" s="42" t="str">
        <f>IFERROR(__xludf.DUMMYFUNCTION("""COMPUTED_VALUE"""),"")</f>
        <v/>
      </c>
      <c r="H11468" s="42">
        <f t="shared" si="1"/>
        <v>3345</v>
      </c>
    </row>
    <row r="11469" ht="22.5" customHeight="1">
      <c r="B11469" s="42" t="str">
        <f>IFERROR(__xludf.DUMMYFUNCTION("""COMPUTED_VALUE"""),"")</f>
        <v/>
      </c>
      <c r="C11469" s="42" t="str">
        <f>IFERROR(__xludf.DUMMYFUNCTION("""COMPUTED_VALUE"""),"")</f>
        <v/>
      </c>
      <c r="D11469" s="42"/>
      <c r="E11469" s="42"/>
      <c r="F11469" s="48" t="str">
        <f>IFERROR(__xludf.DUMMYFUNCTION("""COMPUTED_VALUE"""),"")</f>
        <v/>
      </c>
      <c r="G11469" s="42" t="str">
        <f>IFERROR(__xludf.DUMMYFUNCTION("""COMPUTED_VALUE"""),"")</f>
        <v/>
      </c>
      <c r="H11469" s="42">
        <f t="shared" si="1"/>
        <v>3345</v>
      </c>
    </row>
    <row r="11470" ht="22.5" customHeight="1">
      <c r="B11470" s="42" t="str">
        <f>IFERROR(__xludf.DUMMYFUNCTION("""COMPUTED_VALUE"""),"")</f>
        <v/>
      </c>
      <c r="C11470" s="42" t="str">
        <f>IFERROR(__xludf.DUMMYFUNCTION("""COMPUTED_VALUE"""),"")</f>
        <v/>
      </c>
      <c r="D11470" s="42"/>
      <c r="E11470" s="42"/>
      <c r="F11470" s="48" t="str">
        <f>IFERROR(__xludf.DUMMYFUNCTION("""COMPUTED_VALUE"""),"")</f>
        <v/>
      </c>
      <c r="G11470" s="42" t="str">
        <f>IFERROR(__xludf.DUMMYFUNCTION("""COMPUTED_VALUE"""),"")</f>
        <v/>
      </c>
      <c r="H11470" s="42">
        <f t="shared" si="1"/>
        <v>3345</v>
      </c>
    </row>
    <row r="11471" ht="22.5" customHeight="1">
      <c r="B11471" s="42" t="str">
        <f>IFERROR(__xludf.DUMMYFUNCTION("""COMPUTED_VALUE"""),"")</f>
        <v/>
      </c>
      <c r="C11471" s="42" t="str">
        <f>IFERROR(__xludf.DUMMYFUNCTION("""COMPUTED_VALUE"""),"")</f>
        <v/>
      </c>
      <c r="D11471" s="42"/>
      <c r="E11471" s="42"/>
      <c r="F11471" s="48" t="str">
        <f>IFERROR(__xludf.DUMMYFUNCTION("""COMPUTED_VALUE"""),"")</f>
        <v/>
      </c>
      <c r="G11471" s="42" t="str">
        <f>IFERROR(__xludf.DUMMYFUNCTION("""COMPUTED_VALUE"""),"")</f>
        <v/>
      </c>
      <c r="H11471" s="42">
        <f t="shared" si="1"/>
        <v>3345</v>
      </c>
    </row>
    <row r="11472" ht="22.5" customHeight="1">
      <c r="B11472" s="42" t="str">
        <f>IFERROR(__xludf.DUMMYFUNCTION("""COMPUTED_VALUE"""),"")</f>
        <v/>
      </c>
      <c r="C11472" s="42" t="str">
        <f>IFERROR(__xludf.DUMMYFUNCTION("""COMPUTED_VALUE"""),"")</f>
        <v/>
      </c>
      <c r="D11472" s="42"/>
      <c r="E11472" s="42"/>
      <c r="F11472" s="48" t="str">
        <f>IFERROR(__xludf.DUMMYFUNCTION("""COMPUTED_VALUE"""),"")</f>
        <v/>
      </c>
      <c r="G11472" s="42" t="str">
        <f>IFERROR(__xludf.DUMMYFUNCTION("""COMPUTED_VALUE"""),"")</f>
        <v/>
      </c>
      <c r="H11472" s="42">
        <f t="shared" si="1"/>
        <v>3345</v>
      </c>
    </row>
    <row r="11473" ht="22.5" customHeight="1">
      <c r="B11473" s="42" t="str">
        <f>IFERROR(__xludf.DUMMYFUNCTION("""COMPUTED_VALUE"""),"")</f>
        <v/>
      </c>
      <c r="C11473" s="42" t="str">
        <f>IFERROR(__xludf.DUMMYFUNCTION("""COMPUTED_VALUE"""),"")</f>
        <v/>
      </c>
      <c r="D11473" s="42"/>
      <c r="E11473" s="42"/>
      <c r="F11473" s="48" t="str">
        <f>IFERROR(__xludf.DUMMYFUNCTION("""COMPUTED_VALUE"""),"")</f>
        <v/>
      </c>
      <c r="G11473" s="42" t="str">
        <f>IFERROR(__xludf.DUMMYFUNCTION("""COMPUTED_VALUE"""),"")</f>
        <v/>
      </c>
      <c r="H11473" s="42">
        <f t="shared" si="1"/>
        <v>3345</v>
      </c>
    </row>
    <row r="11474" ht="22.5" customHeight="1">
      <c r="B11474" s="42" t="str">
        <f>IFERROR(__xludf.DUMMYFUNCTION("""COMPUTED_VALUE"""),"")</f>
        <v/>
      </c>
      <c r="C11474" s="42" t="str">
        <f>IFERROR(__xludf.DUMMYFUNCTION("""COMPUTED_VALUE"""),"")</f>
        <v/>
      </c>
      <c r="D11474" s="42"/>
      <c r="E11474" s="42"/>
      <c r="F11474" s="48" t="str">
        <f>IFERROR(__xludf.DUMMYFUNCTION("""COMPUTED_VALUE"""),"")</f>
        <v/>
      </c>
      <c r="G11474" s="42" t="str">
        <f>IFERROR(__xludf.DUMMYFUNCTION("""COMPUTED_VALUE"""),"")</f>
        <v/>
      </c>
      <c r="H11474" s="42">
        <f t="shared" si="1"/>
        <v>3345</v>
      </c>
    </row>
    <row r="11475" ht="22.5" customHeight="1">
      <c r="B11475" s="42" t="str">
        <f>IFERROR(__xludf.DUMMYFUNCTION("""COMPUTED_VALUE"""),"")</f>
        <v/>
      </c>
      <c r="C11475" s="42" t="str">
        <f>IFERROR(__xludf.DUMMYFUNCTION("""COMPUTED_VALUE"""),"")</f>
        <v/>
      </c>
      <c r="D11475" s="42"/>
      <c r="E11475" s="42"/>
      <c r="F11475" s="48" t="str">
        <f>IFERROR(__xludf.DUMMYFUNCTION("""COMPUTED_VALUE"""),"")</f>
        <v/>
      </c>
      <c r="G11475" s="42" t="str">
        <f>IFERROR(__xludf.DUMMYFUNCTION("""COMPUTED_VALUE"""),"")</f>
        <v/>
      </c>
      <c r="H11475" s="42">
        <f t="shared" si="1"/>
        <v>3345</v>
      </c>
    </row>
    <row r="11476" ht="22.5" customHeight="1">
      <c r="B11476" s="42" t="str">
        <f>IFERROR(__xludf.DUMMYFUNCTION("""COMPUTED_VALUE"""),"")</f>
        <v/>
      </c>
      <c r="C11476" s="42" t="str">
        <f>IFERROR(__xludf.DUMMYFUNCTION("""COMPUTED_VALUE"""),"")</f>
        <v/>
      </c>
      <c r="D11476" s="42"/>
      <c r="E11476" s="42"/>
      <c r="F11476" s="48" t="str">
        <f>IFERROR(__xludf.DUMMYFUNCTION("""COMPUTED_VALUE"""),"")</f>
        <v/>
      </c>
      <c r="G11476" s="42" t="str">
        <f>IFERROR(__xludf.DUMMYFUNCTION("""COMPUTED_VALUE"""),"")</f>
        <v/>
      </c>
      <c r="H11476" s="42">
        <f t="shared" si="1"/>
        <v>3345</v>
      </c>
    </row>
    <row r="11477" ht="22.5" customHeight="1">
      <c r="B11477" s="42" t="str">
        <f>IFERROR(__xludf.DUMMYFUNCTION("""COMPUTED_VALUE"""),"")</f>
        <v/>
      </c>
      <c r="C11477" s="42" t="str">
        <f>IFERROR(__xludf.DUMMYFUNCTION("""COMPUTED_VALUE"""),"")</f>
        <v/>
      </c>
      <c r="D11477" s="42"/>
      <c r="E11477" s="42"/>
      <c r="F11477" s="48" t="str">
        <f>IFERROR(__xludf.DUMMYFUNCTION("""COMPUTED_VALUE"""),"")</f>
        <v/>
      </c>
      <c r="G11477" s="42" t="str">
        <f>IFERROR(__xludf.DUMMYFUNCTION("""COMPUTED_VALUE"""),"")</f>
        <v/>
      </c>
      <c r="H11477" s="42">
        <f t="shared" si="1"/>
        <v>3345</v>
      </c>
    </row>
    <row r="11478" ht="22.5" customHeight="1">
      <c r="B11478" s="42" t="str">
        <f>IFERROR(__xludf.DUMMYFUNCTION("""COMPUTED_VALUE"""),"")</f>
        <v/>
      </c>
      <c r="C11478" s="42" t="str">
        <f>IFERROR(__xludf.DUMMYFUNCTION("""COMPUTED_VALUE"""),"")</f>
        <v/>
      </c>
      <c r="D11478" s="42"/>
      <c r="E11478" s="42"/>
      <c r="F11478" s="48" t="str">
        <f>IFERROR(__xludf.DUMMYFUNCTION("""COMPUTED_VALUE"""),"")</f>
        <v/>
      </c>
      <c r="G11478" s="42" t="str">
        <f>IFERROR(__xludf.DUMMYFUNCTION("""COMPUTED_VALUE"""),"")</f>
        <v/>
      </c>
      <c r="H11478" s="42">
        <f t="shared" si="1"/>
        <v>3345</v>
      </c>
    </row>
    <row r="11479" ht="22.5" customHeight="1">
      <c r="B11479" s="42" t="str">
        <f>IFERROR(__xludf.DUMMYFUNCTION("""COMPUTED_VALUE"""),"")</f>
        <v/>
      </c>
      <c r="C11479" s="42" t="str">
        <f>IFERROR(__xludf.DUMMYFUNCTION("""COMPUTED_VALUE"""),"")</f>
        <v/>
      </c>
      <c r="D11479" s="42"/>
      <c r="E11479" s="42"/>
      <c r="F11479" s="48" t="str">
        <f>IFERROR(__xludf.DUMMYFUNCTION("""COMPUTED_VALUE"""),"")</f>
        <v/>
      </c>
      <c r="G11479" s="42" t="str">
        <f>IFERROR(__xludf.DUMMYFUNCTION("""COMPUTED_VALUE"""),"")</f>
        <v/>
      </c>
      <c r="H11479" s="42">
        <f t="shared" si="1"/>
        <v>3345</v>
      </c>
    </row>
    <row r="11480" ht="22.5" customHeight="1">
      <c r="B11480" s="42" t="str">
        <f>IFERROR(__xludf.DUMMYFUNCTION("""COMPUTED_VALUE"""),"")</f>
        <v/>
      </c>
      <c r="C11480" s="42" t="str">
        <f>IFERROR(__xludf.DUMMYFUNCTION("""COMPUTED_VALUE"""),"")</f>
        <v/>
      </c>
      <c r="D11480" s="42"/>
      <c r="E11480" s="42"/>
      <c r="F11480" s="48" t="str">
        <f>IFERROR(__xludf.DUMMYFUNCTION("""COMPUTED_VALUE"""),"")</f>
        <v/>
      </c>
      <c r="G11480" s="42" t="str">
        <f>IFERROR(__xludf.DUMMYFUNCTION("""COMPUTED_VALUE"""),"")</f>
        <v/>
      </c>
      <c r="H11480" s="42">
        <f t="shared" si="1"/>
        <v>3345</v>
      </c>
    </row>
    <row r="11481" ht="22.5" customHeight="1">
      <c r="B11481" s="42" t="str">
        <f>IFERROR(__xludf.DUMMYFUNCTION("""COMPUTED_VALUE"""),"")</f>
        <v/>
      </c>
      <c r="C11481" s="42" t="str">
        <f>IFERROR(__xludf.DUMMYFUNCTION("""COMPUTED_VALUE"""),"")</f>
        <v/>
      </c>
      <c r="D11481" s="42"/>
      <c r="E11481" s="42"/>
      <c r="F11481" s="48" t="str">
        <f>IFERROR(__xludf.DUMMYFUNCTION("""COMPUTED_VALUE"""),"")</f>
        <v/>
      </c>
      <c r="G11481" s="42" t="str">
        <f>IFERROR(__xludf.DUMMYFUNCTION("""COMPUTED_VALUE"""),"")</f>
        <v/>
      </c>
      <c r="H11481" s="42">
        <f t="shared" si="1"/>
        <v>3345</v>
      </c>
    </row>
    <row r="11482" ht="22.5" customHeight="1">
      <c r="B11482" s="42" t="str">
        <f>IFERROR(__xludf.DUMMYFUNCTION("""COMPUTED_VALUE"""),"")</f>
        <v/>
      </c>
      <c r="C11482" s="42" t="str">
        <f>IFERROR(__xludf.DUMMYFUNCTION("""COMPUTED_VALUE"""),"")</f>
        <v/>
      </c>
      <c r="D11482" s="42"/>
      <c r="E11482" s="42"/>
      <c r="F11482" s="48" t="str">
        <f>IFERROR(__xludf.DUMMYFUNCTION("""COMPUTED_VALUE"""),"")</f>
        <v/>
      </c>
      <c r="G11482" s="42" t="str">
        <f>IFERROR(__xludf.DUMMYFUNCTION("""COMPUTED_VALUE"""),"")</f>
        <v/>
      </c>
      <c r="H11482" s="42">
        <f t="shared" si="1"/>
        <v>3345</v>
      </c>
    </row>
    <row r="11483" ht="22.5" customHeight="1">
      <c r="B11483" s="42" t="str">
        <f>IFERROR(__xludf.DUMMYFUNCTION("""COMPUTED_VALUE"""),"")</f>
        <v/>
      </c>
      <c r="C11483" s="42" t="str">
        <f>IFERROR(__xludf.DUMMYFUNCTION("""COMPUTED_VALUE"""),"")</f>
        <v/>
      </c>
      <c r="D11483" s="42"/>
      <c r="E11483" s="42"/>
      <c r="F11483" s="48" t="str">
        <f>IFERROR(__xludf.DUMMYFUNCTION("""COMPUTED_VALUE"""),"")</f>
        <v/>
      </c>
      <c r="G11483" s="42" t="str">
        <f>IFERROR(__xludf.DUMMYFUNCTION("""COMPUTED_VALUE"""),"")</f>
        <v/>
      </c>
      <c r="H11483" s="42">
        <f t="shared" si="1"/>
        <v>3345</v>
      </c>
    </row>
    <row r="11484" ht="22.5" customHeight="1">
      <c r="B11484" s="42" t="str">
        <f>IFERROR(__xludf.DUMMYFUNCTION("""COMPUTED_VALUE"""),"")</f>
        <v/>
      </c>
      <c r="C11484" s="42" t="str">
        <f>IFERROR(__xludf.DUMMYFUNCTION("""COMPUTED_VALUE"""),"")</f>
        <v/>
      </c>
      <c r="D11484" s="42"/>
      <c r="E11484" s="42"/>
      <c r="F11484" s="48" t="str">
        <f>IFERROR(__xludf.DUMMYFUNCTION("""COMPUTED_VALUE"""),"")</f>
        <v/>
      </c>
      <c r="G11484" s="42" t="str">
        <f>IFERROR(__xludf.DUMMYFUNCTION("""COMPUTED_VALUE"""),"")</f>
        <v/>
      </c>
      <c r="H11484" s="42">
        <f t="shared" si="1"/>
        <v>3345</v>
      </c>
    </row>
    <row r="11485" ht="22.5" customHeight="1">
      <c r="B11485" s="42" t="str">
        <f>IFERROR(__xludf.DUMMYFUNCTION("""COMPUTED_VALUE"""),"")</f>
        <v/>
      </c>
      <c r="C11485" s="42" t="str">
        <f>IFERROR(__xludf.DUMMYFUNCTION("""COMPUTED_VALUE"""),"")</f>
        <v/>
      </c>
      <c r="D11485" s="42"/>
      <c r="E11485" s="42"/>
      <c r="F11485" s="48" t="str">
        <f>IFERROR(__xludf.DUMMYFUNCTION("""COMPUTED_VALUE"""),"")</f>
        <v/>
      </c>
      <c r="G11485" s="42" t="str">
        <f>IFERROR(__xludf.DUMMYFUNCTION("""COMPUTED_VALUE"""),"")</f>
        <v/>
      </c>
      <c r="H11485" s="42">
        <f t="shared" si="1"/>
        <v>3345</v>
      </c>
    </row>
    <row r="11486" ht="22.5" customHeight="1">
      <c r="B11486" s="42" t="str">
        <f>IFERROR(__xludf.DUMMYFUNCTION("""COMPUTED_VALUE"""),"")</f>
        <v/>
      </c>
      <c r="C11486" s="42" t="str">
        <f>IFERROR(__xludf.DUMMYFUNCTION("""COMPUTED_VALUE"""),"")</f>
        <v/>
      </c>
      <c r="D11486" s="42"/>
      <c r="E11486" s="42"/>
      <c r="F11486" s="48" t="str">
        <f>IFERROR(__xludf.DUMMYFUNCTION("""COMPUTED_VALUE"""),"")</f>
        <v/>
      </c>
      <c r="G11486" s="42" t="str">
        <f>IFERROR(__xludf.DUMMYFUNCTION("""COMPUTED_VALUE"""),"")</f>
        <v/>
      </c>
      <c r="H11486" s="42">
        <f t="shared" si="1"/>
        <v>3345</v>
      </c>
    </row>
    <row r="11487" ht="22.5" customHeight="1">
      <c r="B11487" s="42" t="str">
        <f>IFERROR(__xludf.DUMMYFUNCTION("""COMPUTED_VALUE"""),"")</f>
        <v/>
      </c>
      <c r="C11487" s="42" t="str">
        <f>IFERROR(__xludf.DUMMYFUNCTION("""COMPUTED_VALUE"""),"")</f>
        <v/>
      </c>
      <c r="D11487" s="42"/>
      <c r="E11487" s="42"/>
      <c r="F11487" s="48" t="str">
        <f>IFERROR(__xludf.DUMMYFUNCTION("""COMPUTED_VALUE"""),"")</f>
        <v/>
      </c>
      <c r="G11487" s="42" t="str">
        <f>IFERROR(__xludf.DUMMYFUNCTION("""COMPUTED_VALUE"""),"")</f>
        <v/>
      </c>
      <c r="H11487" s="42">
        <f t="shared" si="1"/>
        <v>3345</v>
      </c>
    </row>
    <row r="11488" ht="22.5" customHeight="1">
      <c r="B11488" s="42" t="str">
        <f>IFERROR(__xludf.DUMMYFUNCTION("""COMPUTED_VALUE"""),"")</f>
        <v/>
      </c>
      <c r="C11488" s="42" t="str">
        <f>IFERROR(__xludf.DUMMYFUNCTION("""COMPUTED_VALUE"""),"")</f>
        <v/>
      </c>
      <c r="D11488" s="42"/>
      <c r="E11488" s="42"/>
      <c r="F11488" s="48" t="str">
        <f>IFERROR(__xludf.DUMMYFUNCTION("""COMPUTED_VALUE"""),"")</f>
        <v/>
      </c>
      <c r="G11488" s="42" t="str">
        <f>IFERROR(__xludf.DUMMYFUNCTION("""COMPUTED_VALUE"""),"")</f>
        <v/>
      </c>
      <c r="H11488" s="42">
        <f t="shared" si="1"/>
        <v>3345</v>
      </c>
    </row>
    <row r="11489" ht="22.5" customHeight="1">
      <c r="B11489" s="42" t="str">
        <f>IFERROR(__xludf.DUMMYFUNCTION("""COMPUTED_VALUE"""),"")</f>
        <v/>
      </c>
      <c r="C11489" s="42" t="str">
        <f>IFERROR(__xludf.DUMMYFUNCTION("""COMPUTED_VALUE"""),"")</f>
        <v/>
      </c>
      <c r="D11489" s="42"/>
      <c r="E11489" s="42"/>
      <c r="F11489" s="48" t="str">
        <f>IFERROR(__xludf.DUMMYFUNCTION("""COMPUTED_VALUE"""),"")</f>
        <v/>
      </c>
      <c r="G11489" s="42" t="str">
        <f>IFERROR(__xludf.DUMMYFUNCTION("""COMPUTED_VALUE"""),"")</f>
        <v/>
      </c>
      <c r="H11489" s="42">
        <f t="shared" si="1"/>
        <v>3345</v>
      </c>
    </row>
    <row r="11490" ht="22.5" customHeight="1">
      <c r="B11490" s="42" t="str">
        <f>IFERROR(__xludf.DUMMYFUNCTION("""COMPUTED_VALUE"""),"")</f>
        <v/>
      </c>
      <c r="C11490" s="42" t="str">
        <f>IFERROR(__xludf.DUMMYFUNCTION("""COMPUTED_VALUE"""),"")</f>
        <v/>
      </c>
      <c r="D11490" s="42"/>
      <c r="E11490" s="42"/>
      <c r="F11490" s="48" t="str">
        <f>IFERROR(__xludf.DUMMYFUNCTION("""COMPUTED_VALUE"""),"")</f>
        <v/>
      </c>
      <c r="G11490" s="42" t="str">
        <f>IFERROR(__xludf.DUMMYFUNCTION("""COMPUTED_VALUE"""),"")</f>
        <v/>
      </c>
      <c r="H11490" s="42">
        <f t="shared" si="1"/>
        <v>3345</v>
      </c>
    </row>
    <row r="11491" ht="22.5" customHeight="1">
      <c r="B11491" s="42" t="str">
        <f>IFERROR(__xludf.DUMMYFUNCTION("""COMPUTED_VALUE"""),"")</f>
        <v/>
      </c>
      <c r="C11491" s="42" t="str">
        <f>IFERROR(__xludf.DUMMYFUNCTION("""COMPUTED_VALUE"""),"")</f>
        <v/>
      </c>
      <c r="D11491" s="42"/>
      <c r="E11491" s="42"/>
      <c r="F11491" s="48" t="str">
        <f>IFERROR(__xludf.DUMMYFUNCTION("""COMPUTED_VALUE"""),"")</f>
        <v/>
      </c>
      <c r="G11491" s="42" t="str">
        <f>IFERROR(__xludf.DUMMYFUNCTION("""COMPUTED_VALUE"""),"")</f>
        <v/>
      </c>
      <c r="H11491" s="42">
        <f t="shared" si="1"/>
        <v>3345</v>
      </c>
    </row>
    <row r="11492" ht="22.5" customHeight="1">
      <c r="B11492" s="42" t="str">
        <f>IFERROR(__xludf.DUMMYFUNCTION("""COMPUTED_VALUE"""),"")</f>
        <v/>
      </c>
      <c r="C11492" s="42" t="str">
        <f>IFERROR(__xludf.DUMMYFUNCTION("""COMPUTED_VALUE"""),"")</f>
        <v/>
      </c>
      <c r="D11492" s="42"/>
      <c r="E11492" s="42"/>
      <c r="F11492" s="48" t="str">
        <f>IFERROR(__xludf.DUMMYFUNCTION("""COMPUTED_VALUE"""),"")</f>
        <v/>
      </c>
      <c r="G11492" s="42" t="str">
        <f>IFERROR(__xludf.DUMMYFUNCTION("""COMPUTED_VALUE"""),"")</f>
        <v/>
      </c>
      <c r="H11492" s="42">
        <f t="shared" si="1"/>
        <v>3345</v>
      </c>
    </row>
    <row r="11493" ht="22.5" customHeight="1">
      <c r="B11493" s="42" t="str">
        <f>IFERROR(__xludf.DUMMYFUNCTION("""COMPUTED_VALUE"""),"")</f>
        <v/>
      </c>
      <c r="C11493" s="42" t="str">
        <f>IFERROR(__xludf.DUMMYFUNCTION("""COMPUTED_VALUE"""),"")</f>
        <v/>
      </c>
      <c r="D11493" s="42"/>
      <c r="E11493" s="42"/>
      <c r="F11493" s="48" t="str">
        <f>IFERROR(__xludf.DUMMYFUNCTION("""COMPUTED_VALUE"""),"")</f>
        <v/>
      </c>
      <c r="G11493" s="42" t="str">
        <f>IFERROR(__xludf.DUMMYFUNCTION("""COMPUTED_VALUE"""),"")</f>
        <v/>
      </c>
      <c r="H11493" s="42">
        <f t="shared" si="1"/>
        <v>3345</v>
      </c>
    </row>
    <row r="11494" ht="22.5" customHeight="1">
      <c r="B11494" s="42" t="str">
        <f>IFERROR(__xludf.DUMMYFUNCTION("""COMPUTED_VALUE"""),"")</f>
        <v/>
      </c>
      <c r="C11494" s="42" t="str">
        <f>IFERROR(__xludf.DUMMYFUNCTION("""COMPUTED_VALUE"""),"")</f>
        <v/>
      </c>
      <c r="D11494" s="42"/>
      <c r="E11494" s="42"/>
      <c r="F11494" s="48" t="str">
        <f>IFERROR(__xludf.DUMMYFUNCTION("""COMPUTED_VALUE"""),"")</f>
        <v/>
      </c>
      <c r="G11494" s="42" t="str">
        <f>IFERROR(__xludf.DUMMYFUNCTION("""COMPUTED_VALUE"""),"")</f>
        <v/>
      </c>
      <c r="H11494" s="42">
        <f t="shared" si="1"/>
        <v>3345</v>
      </c>
    </row>
    <row r="11495" ht="22.5" customHeight="1">
      <c r="B11495" s="42" t="str">
        <f>IFERROR(__xludf.DUMMYFUNCTION("""COMPUTED_VALUE"""),"")</f>
        <v/>
      </c>
      <c r="C11495" s="42" t="str">
        <f>IFERROR(__xludf.DUMMYFUNCTION("""COMPUTED_VALUE"""),"")</f>
        <v/>
      </c>
      <c r="D11495" s="42"/>
      <c r="E11495" s="42"/>
      <c r="F11495" s="48" t="str">
        <f>IFERROR(__xludf.DUMMYFUNCTION("""COMPUTED_VALUE"""),"")</f>
        <v/>
      </c>
      <c r="G11495" s="42" t="str">
        <f>IFERROR(__xludf.DUMMYFUNCTION("""COMPUTED_VALUE"""),"")</f>
        <v/>
      </c>
      <c r="H11495" s="42">
        <f t="shared" si="1"/>
        <v>3345</v>
      </c>
    </row>
    <row r="11496" ht="22.5" customHeight="1">
      <c r="B11496" s="42" t="str">
        <f>IFERROR(__xludf.DUMMYFUNCTION("""COMPUTED_VALUE"""),"")</f>
        <v/>
      </c>
      <c r="C11496" s="42" t="str">
        <f>IFERROR(__xludf.DUMMYFUNCTION("""COMPUTED_VALUE"""),"")</f>
        <v/>
      </c>
      <c r="D11496" s="42"/>
      <c r="E11496" s="42"/>
      <c r="F11496" s="48" t="str">
        <f>IFERROR(__xludf.DUMMYFUNCTION("""COMPUTED_VALUE"""),"")</f>
        <v/>
      </c>
      <c r="G11496" s="42" t="str">
        <f>IFERROR(__xludf.DUMMYFUNCTION("""COMPUTED_VALUE"""),"")</f>
        <v/>
      </c>
      <c r="H11496" s="42">
        <f t="shared" si="1"/>
        <v>3345</v>
      </c>
    </row>
    <row r="11497" ht="22.5" customHeight="1">
      <c r="B11497" s="42" t="str">
        <f>IFERROR(__xludf.DUMMYFUNCTION("""COMPUTED_VALUE"""),"")</f>
        <v/>
      </c>
      <c r="C11497" s="42" t="str">
        <f>IFERROR(__xludf.DUMMYFUNCTION("""COMPUTED_VALUE"""),"")</f>
        <v/>
      </c>
      <c r="D11497" s="42"/>
      <c r="E11497" s="42"/>
      <c r="F11497" s="48" t="str">
        <f>IFERROR(__xludf.DUMMYFUNCTION("""COMPUTED_VALUE"""),"")</f>
        <v/>
      </c>
      <c r="G11497" s="42" t="str">
        <f>IFERROR(__xludf.DUMMYFUNCTION("""COMPUTED_VALUE"""),"")</f>
        <v/>
      </c>
      <c r="H11497" s="42">
        <f t="shared" si="1"/>
        <v>3345</v>
      </c>
    </row>
    <row r="11498" ht="22.5" customHeight="1">
      <c r="B11498" s="42" t="str">
        <f>IFERROR(__xludf.DUMMYFUNCTION("""COMPUTED_VALUE"""),"")</f>
        <v/>
      </c>
      <c r="C11498" s="42" t="str">
        <f>IFERROR(__xludf.DUMMYFUNCTION("""COMPUTED_VALUE"""),"")</f>
        <v/>
      </c>
      <c r="D11498" s="42"/>
      <c r="E11498" s="42"/>
      <c r="F11498" s="48" t="str">
        <f>IFERROR(__xludf.DUMMYFUNCTION("""COMPUTED_VALUE"""),"")</f>
        <v/>
      </c>
      <c r="G11498" s="42" t="str">
        <f>IFERROR(__xludf.DUMMYFUNCTION("""COMPUTED_VALUE"""),"")</f>
        <v/>
      </c>
      <c r="H11498" s="42">
        <f t="shared" si="1"/>
        <v>3345</v>
      </c>
    </row>
    <row r="11499" ht="22.5" customHeight="1">
      <c r="B11499" s="42" t="str">
        <f>IFERROR(__xludf.DUMMYFUNCTION("""COMPUTED_VALUE"""),"")</f>
        <v/>
      </c>
      <c r="C11499" s="42" t="str">
        <f>IFERROR(__xludf.DUMMYFUNCTION("""COMPUTED_VALUE"""),"")</f>
        <v/>
      </c>
      <c r="D11499" s="42"/>
      <c r="E11499" s="42"/>
      <c r="F11499" s="48" t="str">
        <f>IFERROR(__xludf.DUMMYFUNCTION("""COMPUTED_VALUE"""),"")</f>
        <v/>
      </c>
      <c r="G11499" s="42" t="str">
        <f>IFERROR(__xludf.DUMMYFUNCTION("""COMPUTED_VALUE"""),"")</f>
        <v/>
      </c>
      <c r="H11499" s="42">
        <f t="shared" si="1"/>
        <v>3345</v>
      </c>
    </row>
    <row r="11500" ht="22.5" customHeight="1">
      <c r="B11500" s="42" t="str">
        <f>IFERROR(__xludf.DUMMYFUNCTION("""COMPUTED_VALUE"""),"")</f>
        <v/>
      </c>
      <c r="C11500" s="42" t="str">
        <f>IFERROR(__xludf.DUMMYFUNCTION("""COMPUTED_VALUE"""),"")</f>
        <v/>
      </c>
      <c r="D11500" s="42"/>
      <c r="E11500" s="42"/>
      <c r="F11500" s="48" t="str">
        <f>IFERROR(__xludf.DUMMYFUNCTION("""COMPUTED_VALUE"""),"")</f>
        <v/>
      </c>
      <c r="G11500" s="42" t="str">
        <f>IFERROR(__xludf.DUMMYFUNCTION("""COMPUTED_VALUE"""),"")</f>
        <v/>
      </c>
      <c r="H11500" s="42">
        <f t="shared" si="1"/>
        <v>3345</v>
      </c>
    </row>
    <row r="11501" ht="22.5" customHeight="1">
      <c r="B11501" s="42" t="str">
        <f>IFERROR(__xludf.DUMMYFUNCTION("""COMPUTED_VALUE"""),"")</f>
        <v/>
      </c>
      <c r="C11501" s="42" t="str">
        <f>IFERROR(__xludf.DUMMYFUNCTION("""COMPUTED_VALUE"""),"")</f>
        <v/>
      </c>
      <c r="D11501" s="42"/>
      <c r="E11501" s="42"/>
      <c r="F11501" s="48" t="str">
        <f>IFERROR(__xludf.DUMMYFUNCTION("""COMPUTED_VALUE"""),"")</f>
        <v/>
      </c>
      <c r="G11501" s="42" t="str">
        <f>IFERROR(__xludf.DUMMYFUNCTION("""COMPUTED_VALUE"""),"")</f>
        <v/>
      </c>
      <c r="H11501" s="42">
        <f t="shared" si="1"/>
        <v>3345</v>
      </c>
    </row>
    <row r="11502" ht="22.5" customHeight="1">
      <c r="B11502" s="42" t="str">
        <f>IFERROR(__xludf.DUMMYFUNCTION("""COMPUTED_VALUE"""),"")</f>
        <v/>
      </c>
      <c r="C11502" s="42" t="str">
        <f>IFERROR(__xludf.DUMMYFUNCTION("""COMPUTED_VALUE"""),"")</f>
        <v/>
      </c>
      <c r="D11502" s="42"/>
      <c r="E11502" s="42"/>
      <c r="F11502" s="48" t="str">
        <f>IFERROR(__xludf.DUMMYFUNCTION("""COMPUTED_VALUE"""),"")</f>
        <v/>
      </c>
      <c r="G11502" s="42" t="str">
        <f>IFERROR(__xludf.DUMMYFUNCTION("""COMPUTED_VALUE"""),"")</f>
        <v/>
      </c>
      <c r="H11502" s="42">
        <f t="shared" si="1"/>
        <v>3345</v>
      </c>
    </row>
    <row r="11503" ht="22.5" customHeight="1">
      <c r="B11503" s="42" t="str">
        <f>IFERROR(__xludf.DUMMYFUNCTION("""COMPUTED_VALUE"""),"")</f>
        <v/>
      </c>
      <c r="C11503" s="42" t="str">
        <f>IFERROR(__xludf.DUMMYFUNCTION("""COMPUTED_VALUE"""),"")</f>
        <v/>
      </c>
      <c r="D11503" s="42"/>
      <c r="E11503" s="42"/>
      <c r="F11503" s="48" t="str">
        <f>IFERROR(__xludf.DUMMYFUNCTION("""COMPUTED_VALUE"""),"")</f>
        <v/>
      </c>
      <c r="G11503" s="42" t="str">
        <f>IFERROR(__xludf.DUMMYFUNCTION("""COMPUTED_VALUE"""),"")</f>
        <v/>
      </c>
      <c r="H11503" s="42">
        <f t="shared" si="1"/>
        <v>3345</v>
      </c>
    </row>
    <row r="11504" ht="22.5" customHeight="1">
      <c r="B11504" s="42" t="str">
        <f>IFERROR(__xludf.DUMMYFUNCTION("""COMPUTED_VALUE"""),"")</f>
        <v/>
      </c>
      <c r="C11504" s="42" t="str">
        <f>IFERROR(__xludf.DUMMYFUNCTION("""COMPUTED_VALUE"""),"")</f>
        <v/>
      </c>
      <c r="D11504" s="42"/>
      <c r="E11504" s="42"/>
      <c r="F11504" s="48" t="str">
        <f>IFERROR(__xludf.DUMMYFUNCTION("""COMPUTED_VALUE"""),"")</f>
        <v/>
      </c>
      <c r="G11504" s="42" t="str">
        <f>IFERROR(__xludf.DUMMYFUNCTION("""COMPUTED_VALUE"""),"")</f>
        <v/>
      </c>
      <c r="H11504" s="42">
        <f t="shared" si="1"/>
        <v>3345</v>
      </c>
    </row>
    <row r="11505" ht="22.5" customHeight="1">
      <c r="B11505" s="42" t="str">
        <f>IFERROR(__xludf.DUMMYFUNCTION("""COMPUTED_VALUE"""),"")</f>
        <v/>
      </c>
      <c r="C11505" s="42" t="str">
        <f>IFERROR(__xludf.DUMMYFUNCTION("""COMPUTED_VALUE"""),"")</f>
        <v/>
      </c>
      <c r="D11505" s="42"/>
      <c r="E11505" s="42"/>
      <c r="F11505" s="48" t="str">
        <f>IFERROR(__xludf.DUMMYFUNCTION("""COMPUTED_VALUE"""),"")</f>
        <v/>
      </c>
      <c r="G11505" s="42" t="str">
        <f>IFERROR(__xludf.DUMMYFUNCTION("""COMPUTED_VALUE"""),"")</f>
        <v/>
      </c>
      <c r="H11505" s="42">
        <f t="shared" si="1"/>
        <v>3345</v>
      </c>
    </row>
    <row r="11506" ht="22.5" customHeight="1">
      <c r="B11506" s="42" t="str">
        <f>IFERROR(__xludf.DUMMYFUNCTION("""COMPUTED_VALUE"""),"")</f>
        <v/>
      </c>
      <c r="C11506" s="42" t="str">
        <f>IFERROR(__xludf.DUMMYFUNCTION("""COMPUTED_VALUE"""),"")</f>
        <v/>
      </c>
      <c r="D11506" s="42"/>
      <c r="E11506" s="42"/>
      <c r="F11506" s="48" t="str">
        <f>IFERROR(__xludf.DUMMYFUNCTION("""COMPUTED_VALUE"""),"")</f>
        <v/>
      </c>
      <c r="G11506" s="42" t="str">
        <f>IFERROR(__xludf.DUMMYFUNCTION("""COMPUTED_VALUE"""),"")</f>
        <v/>
      </c>
      <c r="H11506" s="42">
        <f t="shared" si="1"/>
        <v>3345</v>
      </c>
    </row>
    <row r="11507" ht="22.5" customHeight="1">
      <c r="B11507" s="42" t="str">
        <f>IFERROR(__xludf.DUMMYFUNCTION("""COMPUTED_VALUE"""),"")</f>
        <v/>
      </c>
      <c r="C11507" s="42" t="str">
        <f>IFERROR(__xludf.DUMMYFUNCTION("""COMPUTED_VALUE"""),"")</f>
        <v/>
      </c>
      <c r="D11507" s="42"/>
      <c r="E11507" s="42"/>
      <c r="F11507" s="48" t="str">
        <f>IFERROR(__xludf.DUMMYFUNCTION("""COMPUTED_VALUE"""),"")</f>
        <v/>
      </c>
      <c r="G11507" s="42" t="str">
        <f>IFERROR(__xludf.DUMMYFUNCTION("""COMPUTED_VALUE"""),"")</f>
        <v/>
      </c>
      <c r="H11507" s="42">
        <f t="shared" si="1"/>
        <v>3345</v>
      </c>
    </row>
    <row r="11508" ht="22.5" customHeight="1">
      <c r="B11508" s="42" t="str">
        <f>IFERROR(__xludf.DUMMYFUNCTION("""COMPUTED_VALUE"""),"")</f>
        <v/>
      </c>
      <c r="C11508" s="42" t="str">
        <f>IFERROR(__xludf.DUMMYFUNCTION("""COMPUTED_VALUE"""),"")</f>
        <v/>
      </c>
      <c r="D11508" s="42"/>
      <c r="E11508" s="42"/>
      <c r="F11508" s="48" t="str">
        <f>IFERROR(__xludf.DUMMYFUNCTION("""COMPUTED_VALUE"""),"")</f>
        <v/>
      </c>
      <c r="G11508" s="42" t="str">
        <f>IFERROR(__xludf.DUMMYFUNCTION("""COMPUTED_VALUE"""),"")</f>
        <v/>
      </c>
      <c r="H11508" s="42">
        <f t="shared" si="1"/>
        <v>3345</v>
      </c>
    </row>
    <row r="11509" ht="22.5" customHeight="1">
      <c r="B11509" s="42" t="str">
        <f>IFERROR(__xludf.DUMMYFUNCTION("""COMPUTED_VALUE"""),"")</f>
        <v/>
      </c>
      <c r="C11509" s="42" t="str">
        <f>IFERROR(__xludf.DUMMYFUNCTION("""COMPUTED_VALUE"""),"")</f>
        <v/>
      </c>
      <c r="D11509" s="42"/>
      <c r="E11509" s="42"/>
      <c r="F11509" s="48" t="str">
        <f>IFERROR(__xludf.DUMMYFUNCTION("""COMPUTED_VALUE"""),"")</f>
        <v/>
      </c>
      <c r="G11509" s="42" t="str">
        <f>IFERROR(__xludf.DUMMYFUNCTION("""COMPUTED_VALUE"""),"")</f>
        <v/>
      </c>
      <c r="H11509" s="42">
        <f t="shared" si="1"/>
        <v>3345</v>
      </c>
    </row>
    <row r="11510" ht="22.5" customHeight="1">
      <c r="B11510" s="42" t="str">
        <f>IFERROR(__xludf.DUMMYFUNCTION("""COMPUTED_VALUE"""),"")</f>
        <v/>
      </c>
      <c r="C11510" s="42" t="str">
        <f>IFERROR(__xludf.DUMMYFUNCTION("""COMPUTED_VALUE"""),"")</f>
        <v/>
      </c>
      <c r="D11510" s="42"/>
      <c r="E11510" s="42"/>
      <c r="F11510" s="48" t="str">
        <f>IFERROR(__xludf.DUMMYFUNCTION("""COMPUTED_VALUE"""),"")</f>
        <v/>
      </c>
      <c r="G11510" s="42" t="str">
        <f>IFERROR(__xludf.DUMMYFUNCTION("""COMPUTED_VALUE"""),"")</f>
        <v/>
      </c>
      <c r="H11510" s="42">
        <f t="shared" si="1"/>
        <v>3345</v>
      </c>
    </row>
    <row r="11511" ht="22.5" customHeight="1">
      <c r="B11511" s="42" t="str">
        <f>IFERROR(__xludf.DUMMYFUNCTION("""COMPUTED_VALUE"""),"")</f>
        <v/>
      </c>
      <c r="C11511" s="42" t="str">
        <f>IFERROR(__xludf.DUMMYFUNCTION("""COMPUTED_VALUE"""),"")</f>
        <v/>
      </c>
      <c r="D11511" s="42"/>
      <c r="E11511" s="42"/>
      <c r="F11511" s="48" t="str">
        <f>IFERROR(__xludf.DUMMYFUNCTION("""COMPUTED_VALUE"""),"")</f>
        <v/>
      </c>
      <c r="G11511" s="42" t="str">
        <f>IFERROR(__xludf.DUMMYFUNCTION("""COMPUTED_VALUE"""),"")</f>
        <v/>
      </c>
      <c r="H11511" s="42">
        <f t="shared" si="1"/>
        <v>3345</v>
      </c>
    </row>
    <row r="11512" ht="22.5" customHeight="1">
      <c r="B11512" s="42" t="str">
        <f>IFERROR(__xludf.DUMMYFUNCTION("""COMPUTED_VALUE"""),"")</f>
        <v/>
      </c>
      <c r="C11512" s="42" t="str">
        <f>IFERROR(__xludf.DUMMYFUNCTION("""COMPUTED_VALUE"""),"")</f>
        <v/>
      </c>
      <c r="D11512" s="42"/>
      <c r="E11512" s="42"/>
      <c r="F11512" s="48" t="str">
        <f>IFERROR(__xludf.DUMMYFUNCTION("""COMPUTED_VALUE"""),"")</f>
        <v/>
      </c>
      <c r="G11512" s="42" t="str">
        <f>IFERROR(__xludf.DUMMYFUNCTION("""COMPUTED_VALUE"""),"")</f>
        <v/>
      </c>
      <c r="H11512" s="42">
        <f t="shared" si="1"/>
        <v>3345</v>
      </c>
    </row>
    <row r="11513" ht="22.5" customHeight="1">
      <c r="B11513" s="42" t="str">
        <f>IFERROR(__xludf.DUMMYFUNCTION("""COMPUTED_VALUE"""),"")</f>
        <v/>
      </c>
      <c r="C11513" s="42" t="str">
        <f>IFERROR(__xludf.DUMMYFUNCTION("""COMPUTED_VALUE"""),"")</f>
        <v/>
      </c>
      <c r="D11513" s="42"/>
      <c r="E11513" s="42"/>
      <c r="F11513" s="48" t="str">
        <f>IFERROR(__xludf.DUMMYFUNCTION("""COMPUTED_VALUE"""),"")</f>
        <v/>
      </c>
      <c r="G11513" s="42" t="str">
        <f>IFERROR(__xludf.DUMMYFUNCTION("""COMPUTED_VALUE"""),"")</f>
        <v/>
      </c>
      <c r="H11513" s="42">
        <f t="shared" si="1"/>
        <v>3345</v>
      </c>
    </row>
    <row r="11514" ht="22.5" customHeight="1">
      <c r="B11514" s="42" t="str">
        <f>IFERROR(__xludf.DUMMYFUNCTION("""COMPUTED_VALUE"""),"")</f>
        <v/>
      </c>
      <c r="C11514" s="42" t="str">
        <f>IFERROR(__xludf.DUMMYFUNCTION("""COMPUTED_VALUE"""),"")</f>
        <v/>
      </c>
      <c r="D11514" s="42"/>
      <c r="E11514" s="42"/>
      <c r="F11514" s="48" t="str">
        <f>IFERROR(__xludf.DUMMYFUNCTION("""COMPUTED_VALUE"""),"")</f>
        <v/>
      </c>
      <c r="G11514" s="42" t="str">
        <f>IFERROR(__xludf.DUMMYFUNCTION("""COMPUTED_VALUE"""),"")</f>
        <v/>
      </c>
      <c r="H11514" s="42">
        <f t="shared" si="1"/>
        <v>3345</v>
      </c>
    </row>
    <row r="11515" ht="22.5" customHeight="1">
      <c r="B11515" s="42" t="str">
        <f>IFERROR(__xludf.DUMMYFUNCTION("""COMPUTED_VALUE"""),"")</f>
        <v/>
      </c>
      <c r="C11515" s="42" t="str">
        <f>IFERROR(__xludf.DUMMYFUNCTION("""COMPUTED_VALUE"""),"")</f>
        <v/>
      </c>
      <c r="D11515" s="42"/>
      <c r="E11515" s="42"/>
      <c r="F11515" s="48" t="str">
        <f>IFERROR(__xludf.DUMMYFUNCTION("""COMPUTED_VALUE"""),"")</f>
        <v/>
      </c>
      <c r="G11515" s="42" t="str">
        <f>IFERROR(__xludf.DUMMYFUNCTION("""COMPUTED_VALUE"""),"")</f>
        <v/>
      </c>
      <c r="H11515" s="42">
        <f t="shared" si="1"/>
        <v>3345</v>
      </c>
    </row>
    <row r="11516" ht="22.5" customHeight="1">
      <c r="B11516" s="42" t="str">
        <f>IFERROR(__xludf.DUMMYFUNCTION("""COMPUTED_VALUE"""),"")</f>
        <v/>
      </c>
      <c r="C11516" s="42" t="str">
        <f>IFERROR(__xludf.DUMMYFUNCTION("""COMPUTED_VALUE"""),"")</f>
        <v/>
      </c>
      <c r="D11516" s="42"/>
      <c r="E11516" s="42"/>
      <c r="F11516" s="48" t="str">
        <f>IFERROR(__xludf.DUMMYFUNCTION("""COMPUTED_VALUE"""),"")</f>
        <v/>
      </c>
      <c r="G11516" s="42" t="str">
        <f>IFERROR(__xludf.DUMMYFUNCTION("""COMPUTED_VALUE"""),"")</f>
        <v/>
      </c>
      <c r="H11516" s="42">
        <f t="shared" si="1"/>
        <v>3345</v>
      </c>
    </row>
    <row r="11517" ht="22.5" customHeight="1">
      <c r="B11517" s="42" t="str">
        <f>IFERROR(__xludf.DUMMYFUNCTION("""COMPUTED_VALUE"""),"")</f>
        <v/>
      </c>
      <c r="C11517" s="42" t="str">
        <f>IFERROR(__xludf.DUMMYFUNCTION("""COMPUTED_VALUE"""),"")</f>
        <v/>
      </c>
      <c r="D11517" s="42"/>
      <c r="E11517" s="42"/>
      <c r="F11517" s="48" t="str">
        <f>IFERROR(__xludf.DUMMYFUNCTION("""COMPUTED_VALUE"""),"")</f>
        <v/>
      </c>
      <c r="G11517" s="42" t="str">
        <f>IFERROR(__xludf.DUMMYFUNCTION("""COMPUTED_VALUE"""),"")</f>
        <v/>
      </c>
      <c r="H11517" s="42">
        <f t="shared" si="1"/>
        <v>3345</v>
      </c>
    </row>
    <row r="11518" ht="22.5" customHeight="1">
      <c r="B11518" s="42" t="str">
        <f>IFERROR(__xludf.DUMMYFUNCTION("""COMPUTED_VALUE"""),"")</f>
        <v/>
      </c>
      <c r="C11518" s="42" t="str">
        <f>IFERROR(__xludf.DUMMYFUNCTION("""COMPUTED_VALUE"""),"")</f>
        <v/>
      </c>
      <c r="D11518" s="42"/>
      <c r="E11518" s="42"/>
      <c r="F11518" s="48" t="str">
        <f>IFERROR(__xludf.DUMMYFUNCTION("""COMPUTED_VALUE"""),"")</f>
        <v/>
      </c>
      <c r="G11518" s="42" t="str">
        <f>IFERROR(__xludf.DUMMYFUNCTION("""COMPUTED_VALUE"""),"")</f>
        <v/>
      </c>
      <c r="H11518" s="42">
        <f t="shared" si="1"/>
        <v>3345</v>
      </c>
    </row>
    <row r="11519" ht="22.5" customHeight="1">
      <c r="B11519" s="42" t="str">
        <f>IFERROR(__xludf.DUMMYFUNCTION("""COMPUTED_VALUE"""),"")</f>
        <v/>
      </c>
      <c r="C11519" s="42" t="str">
        <f>IFERROR(__xludf.DUMMYFUNCTION("""COMPUTED_VALUE"""),"")</f>
        <v/>
      </c>
      <c r="D11519" s="42"/>
      <c r="E11519" s="42"/>
      <c r="F11519" s="48" t="str">
        <f>IFERROR(__xludf.DUMMYFUNCTION("""COMPUTED_VALUE"""),"")</f>
        <v/>
      </c>
      <c r="G11519" s="42" t="str">
        <f>IFERROR(__xludf.DUMMYFUNCTION("""COMPUTED_VALUE"""),"")</f>
        <v/>
      </c>
      <c r="H11519" s="42">
        <f t="shared" si="1"/>
        <v>3345</v>
      </c>
    </row>
    <row r="11520" ht="22.5" customHeight="1">
      <c r="B11520" s="42" t="str">
        <f>IFERROR(__xludf.DUMMYFUNCTION("""COMPUTED_VALUE"""),"")</f>
        <v/>
      </c>
      <c r="C11520" s="42" t="str">
        <f>IFERROR(__xludf.DUMMYFUNCTION("""COMPUTED_VALUE"""),"")</f>
        <v/>
      </c>
      <c r="D11520" s="42"/>
      <c r="E11520" s="42"/>
      <c r="F11520" s="48" t="str">
        <f>IFERROR(__xludf.DUMMYFUNCTION("""COMPUTED_VALUE"""),"")</f>
        <v/>
      </c>
      <c r="G11520" s="42" t="str">
        <f>IFERROR(__xludf.DUMMYFUNCTION("""COMPUTED_VALUE"""),"")</f>
        <v/>
      </c>
      <c r="H11520" s="42">
        <f t="shared" si="1"/>
        <v>3345</v>
      </c>
    </row>
    <row r="11521" ht="22.5" customHeight="1">
      <c r="B11521" s="42" t="str">
        <f>IFERROR(__xludf.DUMMYFUNCTION("""COMPUTED_VALUE"""),"")</f>
        <v/>
      </c>
      <c r="C11521" s="42" t="str">
        <f>IFERROR(__xludf.DUMMYFUNCTION("""COMPUTED_VALUE"""),"")</f>
        <v/>
      </c>
      <c r="D11521" s="42"/>
      <c r="E11521" s="42"/>
      <c r="F11521" s="48" t="str">
        <f>IFERROR(__xludf.DUMMYFUNCTION("""COMPUTED_VALUE"""),"")</f>
        <v/>
      </c>
      <c r="G11521" s="42" t="str">
        <f>IFERROR(__xludf.DUMMYFUNCTION("""COMPUTED_VALUE"""),"")</f>
        <v/>
      </c>
      <c r="H11521" s="42">
        <f t="shared" si="1"/>
        <v>3345</v>
      </c>
    </row>
    <row r="11522" ht="22.5" customHeight="1">
      <c r="B11522" s="42" t="str">
        <f>IFERROR(__xludf.DUMMYFUNCTION("""COMPUTED_VALUE"""),"")</f>
        <v/>
      </c>
      <c r="C11522" s="42" t="str">
        <f>IFERROR(__xludf.DUMMYFUNCTION("""COMPUTED_VALUE"""),"")</f>
        <v/>
      </c>
      <c r="D11522" s="42"/>
      <c r="E11522" s="42"/>
      <c r="F11522" s="48" t="str">
        <f>IFERROR(__xludf.DUMMYFUNCTION("""COMPUTED_VALUE"""),"")</f>
        <v/>
      </c>
      <c r="G11522" s="42" t="str">
        <f>IFERROR(__xludf.DUMMYFUNCTION("""COMPUTED_VALUE"""),"")</f>
        <v/>
      </c>
      <c r="H11522" s="42">
        <f t="shared" si="1"/>
        <v>3345</v>
      </c>
    </row>
    <row r="11523" ht="22.5" customHeight="1">
      <c r="B11523" s="42" t="str">
        <f>IFERROR(__xludf.DUMMYFUNCTION("""COMPUTED_VALUE"""),"")</f>
        <v/>
      </c>
      <c r="C11523" s="42" t="str">
        <f>IFERROR(__xludf.DUMMYFUNCTION("""COMPUTED_VALUE"""),"")</f>
        <v/>
      </c>
      <c r="D11523" s="42"/>
      <c r="E11523" s="42"/>
      <c r="F11523" s="48" t="str">
        <f>IFERROR(__xludf.DUMMYFUNCTION("""COMPUTED_VALUE"""),"")</f>
        <v/>
      </c>
      <c r="G11523" s="42" t="str">
        <f>IFERROR(__xludf.DUMMYFUNCTION("""COMPUTED_VALUE"""),"")</f>
        <v/>
      </c>
      <c r="H11523" s="42">
        <f t="shared" si="1"/>
        <v>3345</v>
      </c>
    </row>
    <row r="11524" ht="22.5" customHeight="1">
      <c r="B11524" s="42" t="str">
        <f>IFERROR(__xludf.DUMMYFUNCTION("""COMPUTED_VALUE"""),"")</f>
        <v/>
      </c>
      <c r="C11524" s="42" t="str">
        <f>IFERROR(__xludf.DUMMYFUNCTION("""COMPUTED_VALUE"""),"")</f>
        <v/>
      </c>
      <c r="D11524" s="42"/>
      <c r="E11524" s="42"/>
      <c r="F11524" s="48" t="str">
        <f>IFERROR(__xludf.DUMMYFUNCTION("""COMPUTED_VALUE"""),"")</f>
        <v/>
      </c>
      <c r="G11524" s="42" t="str">
        <f>IFERROR(__xludf.DUMMYFUNCTION("""COMPUTED_VALUE"""),"")</f>
        <v/>
      </c>
      <c r="H11524" s="42">
        <f t="shared" si="1"/>
        <v>3345</v>
      </c>
    </row>
    <row r="11525" ht="22.5" customHeight="1">
      <c r="B11525" s="42" t="str">
        <f>IFERROR(__xludf.DUMMYFUNCTION("""COMPUTED_VALUE"""),"")</f>
        <v/>
      </c>
      <c r="C11525" s="42" t="str">
        <f>IFERROR(__xludf.DUMMYFUNCTION("""COMPUTED_VALUE"""),"")</f>
        <v/>
      </c>
      <c r="D11525" s="42"/>
      <c r="E11525" s="42"/>
      <c r="F11525" s="48" t="str">
        <f>IFERROR(__xludf.DUMMYFUNCTION("""COMPUTED_VALUE"""),"")</f>
        <v/>
      </c>
      <c r="G11525" s="42" t="str">
        <f>IFERROR(__xludf.DUMMYFUNCTION("""COMPUTED_VALUE"""),"")</f>
        <v/>
      </c>
      <c r="H11525" s="42">
        <f t="shared" si="1"/>
        <v>3345</v>
      </c>
    </row>
    <row r="11526" ht="22.5" customHeight="1">
      <c r="B11526" s="42" t="str">
        <f>IFERROR(__xludf.DUMMYFUNCTION("""COMPUTED_VALUE"""),"")</f>
        <v/>
      </c>
      <c r="C11526" s="42" t="str">
        <f>IFERROR(__xludf.DUMMYFUNCTION("""COMPUTED_VALUE"""),"")</f>
        <v/>
      </c>
      <c r="D11526" s="42"/>
      <c r="E11526" s="42"/>
      <c r="F11526" s="48" t="str">
        <f>IFERROR(__xludf.DUMMYFUNCTION("""COMPUTED_VALUE"""),"")</f>
        <v/>
      </c>
      <c r="G11526" s="42" t="str">
        <f>IFERROR(__xludf.DUMMYFUNCTION("""COMPUTED_VALUE"""),"")</f>
        <v/>
      </c>
      <c r="H11526" s="42">
        <f t="shared" si="1"/>
        <v>3345</v>
      </c>
    </row>
    <row r="11527" ht="22.5" customHeight="1">
      <c r="B11527" s="42" t="str">
        <f>IFERROR(__xludf.DUMMYFUNCTION("""COMPUTED_VALUE"""),"")</f>
        <v/>
      </c>
      <c r="C11527" s="42" t="str">
        <f>IFERROR(__xludf.DUMMYFUNCTION("""COMPUTED_VALUE"""),"")</f>
        <v/>
      </c>
      <c r="D11527" s="42"/>
      <c r="E11527" s="42"/>
      <c r="F11527" s="48" t="str">
        <f>IFERROR(__xludf.DUMMYFUNCTION("""COMPUTED_VALUE"""),"")</f>
        <v/>
      </c>
      <c r="G11527" s="42" t="str">
        <f>IFERROR(__xludf.DUMMYFUNCTION("""COMPUTED_VALUE"""),"")</f>
        <v/>
      </c>
      <c r="H11527" s="42">
        <f t="shared" si="1"/>
        <v>3345</v>
      </c>
    </row>
    <row r="11528" ht="22.5" customHeight="1">
      <c r="B11528" s="42" t="str">
        <f>IFERROR(__xludf.DUMMYFUNCTION("""COMPUTED_VALUE"""),"")</f>
        <v/>
      </c>
      <c r="C11528" s="42" t="str">
        <f>IFERROR(__xludf.DUMMYFUNCTION("""COMPUTED_VALUE"""),"")</f>
        <v/>
      </c>
      <c r="D11528" s="42"/>
      <c r="E11528" s="42"/>
      <c r="F11528" s="48" t="str">
        <f>IFERROR(__xludf.DUMMYFUNCTION("""COMPUTED_VALUE"""),"")</f>
        <v/>
      </c>
      <c r="G11528" s="42" t="str">
        <f>IFERROR(__xludf.DUMMYFUNCTION("""COMPUTED_VALUE"""),"")</f>
        <v/>
      </c>
      <c r="H11528" s="42">
        <f t="shared" si="1"/>
        <v>3345</v>
      </c>
    </row>
    <row r="11529" ht="22.5" customHeight="1">
      <c r="B11529" s="42" t="str">
        <f>IFERROR(__xludf.DUMMYFUNCTION("""COMPUTED_VALUE"""),"")</f>
        <v/>
      </c>
      <c r="C11529" s="42" t="str">
        <f>IFERROR(__xludf.DUMMYFUNCTION("""COMPUTED_VALUE"""),"")</f>
        <v/>
      </c>
      <c r="D11529" s="42"/>
      <c r="E11529" s="42"/>
      <c r="F11529" s="48" t="str">
        <f>IFERROR(__xludf.DUMMYFUNCTION("""COMPUTED_VALUE"""),"")</f>
        <v/>
      </c>
      <c r="G11529" s="42" t="str">
        <f>IFERROR(__xludf.DUMMYFUNCTION("""COMPUTED_VALUE"""),"")</f>
        <v/>
      </c>
      <c r="H11529" s="42">
        <f t="shared" si="1"/>
        <v>3345</v>
      </c>
    </row>
    <row r="11530" ht="22.5" customHeight="1">
      <c r="B11530" s="42" t="str">
        <f>IFERROR(__xludf.DUMMYFUNCTION("""COMPUTED_VALUE"""),"")</f>
        <v/>
      </c>
      <c r="C11530" s="42" t="str">
        <f>IFERROR(__xludf.DUMMYFUNCTION("""COMPUTED_VALUE"""),"")</f>
        <v/>
      </c>
      <c r="D11530" s="42"/>
      <c r="E11530" s="42"/>
      <c r="F11530" s="48" t="str">
        <f>IFERROR(__xludf.DUMMYFUNCTION("""COMPUTED_VALUE"""),"")</f>
        <v/>
      </c>
      <c r="G11530" s="42" t="str">
        <f>IFERROR(__xludf.DUMMYFUNCTION("""COMPUTED_VALUE"""),"")</f>
        <v/>
      </c>
      <c r="H11530" s="42">
        <f t="shared" si="1"/>
        <v>3345</v>
      </c>
    </row>
    <row r="11531" ht="22.5" customHeight="1">
      <c r="B11531" s="42" t="str">
        <f>IFERROR(__xludf.DUMMYFUNCTION("""COMPUTED_VALUE"""),"")</f>
        <v/>
      </c>
      <c r="C11531" s="42" t="str">
        <f>IFERROR(__xludf.DUMMYFUNCTION("""COMPUTED_VALUE"""),"")</f>
        <v/>
      </c>
      <c r="D11531" s="42"/>
      <c r="E11531" s="42"/>
      <c r="F11531" s="48" t="str">
        <f>IFERROR(__xludf.DUMMYFUNCTION("""COMPUTED_VALUE"""),"")</f>
        <v/>
      </c>
      <c r="G11531" s="42" t="str">
        <f>IFERROR(__xludf.DUMMYFUNCTION("""COMPUTED_VALUE"""),"")</f>
        <v/>
      </c>
      <c r="H11531" s="42">
        <f t="shared" si="1"/>
        <v>3345</v>
      </c>
    </row>
    <row r="11532" ht="22.5" customHeight="1">
      <c r="B11532" s="42" t="str">
        <f>IFERROR(__xludf.DUMMYFUNCTION("""COMPUTED_VALUE"""),"")</f>
        <v/>
      </c>
      <c r="C11532" s="42" t="str">
        <f>IFERROR(__xludf.DUMMYFUNCTION("""COMPUTED_VALUE"""),"")</f>
        <v/>
      </c>
      <c r="D11532" s="42"/>
      <c r="E11532" s="42"/>
      <c r="F11532" s="48" t="str">
        <f>IFERROR(__xludf.DUMMYFUNCTION("""COMPUTED_VALUE"""),"")</f>
        <v/>
      </c>
      <c r="G11532" s="42" t="str">
        <f>IFERROR(__xludf.DUMMYFUNCTION("""COMPUTED_VALUE"""),"")</f>
        <v/>
      </c>
      <c r="H11532" s="42">
        <f t="shared" si="1"/>
        <v>3345</v>
      </c>
    </row>
    <row r="11533" ht="22.5" customHeight="1">
      <c r="B11533" s="42" t="str">
        <f>IFERROR(__xludf.DUMMYFUNCTION("""COMPUTED_VALUE"""),"")</f>
        <v/>
      </c>
      <c r="C11533" s="42" t="str">
        <f>IFERROR(__xludf.DUMMYFUNCTION("""COMPUTED_VALUE"""),"")</f>
        <v/>
      </c>
      <c r="D11533" s="42"/>
      <c r="E11533" s="42"/>
      <c r="F11533" s="48" t="str">
        <f>IFERROR(__xludf.DUMMYFUNCTION("""COMPUTED_VALUE"""),"")</f>
        <v/>
      </c>
      <c r="G11533" s="42" t="str">
        <f>IFERROR(__xludf.DUMMYFUNCTION("""COMPUTED_VALUE"""),"")</f>
        <v/>
      </c>
      <c r="H11533" s="42">
        <f t="shared" si="1"/>
        <v>3345</v>
      </c>
    </row>
    <row r="11534" ht="22.5" customHeight="1">
      <c r="B11534" s="42" t="str">
        <f>IFERROR(__xludf.DUMMYFUNCTION("""COMPUTED_VALUE"""),"")</f>
        <v/>
      </c>
      <c r="C11534" s="42" t="str">
        <f>IFERROR(__xludf.DUMMYFUNCTION("""COMPUTED_VALUE"""),"")</f>
        <v/>
      </c>
      <c r="D11534" s="42"/>
      <c r="E11534" s="42"/>
      <c r="F11534" s="48" t="str">
        <f>IFERROR(__xludf.DUMMYFUNCTION("""COMPUTED_VALUE"""),"")</f>
        <v/>
      </c>
      <c r="G11534" s="42" t="str">
        <f>IFERROR(__xludf.DUMMYFUNCTION("""COMPUTED_VALUE"""),"")</f>
        <v/>
      </c>
      <c r="H11534" s="42">
        <f t="shared" si="1"/>
        <v>3345</v>
      </c>
    </row>
    <row r="11535" ht="22.5" customHeight="1">
      <c r="B11535" s="42" t="str">
        <f>IFERROR(__xludf.DUMMYFUNCTION("""COMPUTED_VALUE"""),"")</f>
        <v/>
      </c>
      <c r="C11535" s="42" t="str">
        <f>IFERROR(__xludf.DUMMYFUNCTION("""COMPUTED_VALUE"""),"")</f>
        <v/>
      </c>
      <c r="D11535" s="42"/>
      <c r="E11535" s="42"/>
      <c r="F11535" s="48" t="str">
        <f>IFERROR(__xludf.DUMMYFUNCTION("""COMPUTED_VALUE"""),"")</f>
        <v/>
      </c>
      <c r="G11535" s="42" t="str">
        <f>IFERROR(__xludf.DUMMYFUNCTION("""COMPUTED_VALUE"""),"")</f>
        <v/>
      </c>
      <c r="H11535" s="42">
        <f t="shared" si="1"/>
        <v>3345</v>
      </c>
    </row>
    <row r="11536" ht="22.5" customHeight="1">
      <c r="B11536" s="42" t="str">
        <f>IFERROR(__xludf.DUMMYFUNCTION("""COMPUTED_VALUE"""),"")</f>
        <v/>
      </c>
      <c r="C11536" s="42" t="str">
        <f>IFERROR(__xludf.DUMMYFUNCTION("""COMPUTED_VALUE"""),"")</f>
        <v/>
      </c>
      <c r="D11536" s="42"/>
      <c r="E11536" s="42"/>
      <c r="F11536" s="48" t="str">
        <f>IFERROR(__xludf.DUMMYFUNCTION("""COMPUTED_VALUE"""),"")</f>
        <v/>
      </c>
      <c r="G11536" s="42" t="str">
        <f>IFERROR(__xludf.DUMMYFUNCTION("""COMPUTED_VALUE"""),"")</f>
        <v/>
      </c>
      <c r="H11536" s="42">
        <f t="shared" si="1"/>
        <v>3345</v>
      </c>
    </row>
    <row r="11537" ht="22.5" customHeight="1">
      <c r="B11537" s="42" t="str">
        <f>IFERROR(__xludf.DUMMYFUNCTION("""COMPUTED_VALUE"""),"")</f>
        <v/>
      </c>
      <c r="C11537" s="42" t="str">
        <f>IFERROR(__xludf.DUMMYFUNCTION("""COMPUTED_VALUE"""),"")</f>
        <v/>
      </c>
      <c r="D11537" s="42"/>
      <c r="E11537" s="42"/>
      <c r="F11537" s="48" t="str">
        <f>IFERROR(__xludf.DUMMYFUNCTION("""COMPUTED_VALUE"""),"")</f>
        <v/>
      </c>
      <c r="G11537" s="42" t="str">
        <f>IFERROR(__xludf.DUMMYFUNCTION("""COMPUTED_VALUE"""),"")</f>
        <v/>
      </c>
      <c r="H11537" s="42">
        <f t="shared" si="1"/>
        <v>3345</v>
      </c>
    </row>
    <row r="11538" ht="22.5" customHeight="1">
      <c r="B11538" s="42" t="str">
        <f>IFERROR(__xludf.DUMMYFUNCTION("""COMPUTED_VALUE"""),"")</f>
        <v/>
      </c>
      <c r="C11538" s="42" t="str">
        <f>IFERROR(__xludf.DUMMYFUNCTION("""COMPUTED_VALUE"""),"")</f>
        <v/>
      </c>
      <c r="D11538" s="42"/>
      <c r="E11538" s="42"/>
      <c r="F11538" s="48" t="str">
        <f>IFERROR(__xludf.DUMMYFUNCTION("""COMPUTED_VALUE"""),"")</f>
        <v/>
      </c>
      <c r="G11538" s="42" t="str">
        <f>IFERROR(__xludf.DUMMYFUNCTION("""COMPUTED_VALUE"""),"")</f>
        <v/>
      </c>
      <c r="H11538" s="42">
        <f t="shared" si="1"/>
        <v>3345</v>
      </c>
    </row>
    <row r="11539" ht="22.5" customHeight="1">
      <c r="B11539" s="42" t="str">
        <f>IFERROR(__xludf.DUMMYFUNCTION("""COMPUTED_VALUE"""),"")</f>
        <v/>
      </c>
      <c r="C11539" s="42" t="str">
        <f>IFERROR(__xludf.DUMMYFUNCTION("""COMPUTED_VALUE"""),"")</f>
        <v/>
      </c>
      <c r="D11539" s="42"/>
      <c r="E11539" s="42"/>
      <c r="F11539" s="48" t="str">
        <f>IFERROR(__xludf.DUMMYFUNCTION("""COMPUTED_VALUE"""),"")</f>
        <v/>
      </c>
      <c r="G11539" s="42" t="str">
        <f>IFERROR(__xludf.DUMMYFUNCTION("""COMPUTED_VALUE"""),"")</f>
        <v/>
      </c>
      <c r="H11539" s="42">
        <f t="shared" si="1"/>
        <v>3345</v>
      </c>
    </row>
    <row r="11540" ht="22.5" customHeight="1">
      <c r="B11540" s="42" t="str">
        <f>IFERROR(__xludf.DUMMYFUNCTION("""COMPUTED_VALUE"""),"")</f>
        <v/>
      </c>
      <c r="C11540" s="42" t="str">
        <f>IFERROR(__xludf.DUMMYFUNCTION("""COMPUTED_VALUE"""),"")</f>
        <v/>
      </c>
      <c r="D11540" s="42"/>
      <c r="E11540" s="42"/>
      <c r="F11540" s="48" t="str">
        <f>IFERROR(__xludf.DUMMYFUNCTION("""COMPUTED_VALUE"""),"")</f>
        <v/>
      </c>
      <c r="G11540" s="42" t="str">
        <f>IFERROR(__xludf.DUMMYFUNCTION("""COMPUTED_VALUE"""),"")</f>
        <v/>
      </c>
      <c r="H11540" s="42">
        <f t="shared" si="1"/>
        <v>3345</v>
      </c>
    </row>
    <row r="11541" ht="22.5" customHeight="1">
      <c r="B11541" s="42" t="str">
        <f>IFERROR(__xludf.DUMMYFUNCTION("""COMPUTED_VALUE"""),"")</f>
        <v/>
      </c>
      <c r="C11541" s="42" t="str">
        <f>IFERROR(__xludf.DUMMYFUNCTION("""COMPUTED_VALUE"""),"")</f>
        <v/>
      </c>
      <c r="D11541" s="42"/>
      <c r="E11541" s="42"/>
      <c r="F11541" s="48" t="str">
        <f>IFERROR(__xludf.DUMMYFUNCTION("""COMPUTED_VALUE"""),"")</f>
        <v/>
      </c>
      <c r="G11541" s="42" t="str">
        <f>IFERROR(__xludf.DUMMYFUNCTION("""COMPUTED_VALUE"""),"")</f>
        <v/>
      </c>
      <c r="H11541" s="42">
        <f t="shared" si="1"/>
        <v>3345</v>
      </c>
    </row>
    <row r="11542" ht="22.5" customHeight="1">
      <c r="B11542" s="42" t="str">
        <f>IFERROR(__xludf.DUMMYFUNCTION("""COMPUTED_VALUE"""),"")</f>
        <v/>
      </c>
      <c r="C11542" s="42" t="str">
        <f>IFERROR(__xludf.DUMMYFUNCTION("""COMPUTED_VALUE"""),"")</f>
        <v/>
      </c>
      <c r="D11542" s="42"/>
      <c r="E11542" s="42"/>
      <c r="F11542" s="48" t="str">
        <f>IFERROR(__xludf.DUMMYFUNCTION("""COMPUTED_VALUE"""),"")</f>
        <v/>
      </c>
      <c r="G11542" s="42" t="str">
        <f>IFERROR(__xludf.DUMMYFUNCTION("""COMPUTED_VALUE"""),"")</f>
        <v/>
      </c>
      <c r="H11542" s="42">
        <f t="shared" si="1"/>
        <v>3345</v>
      </c>
    </row>
    <row r="11543" ht="22.5" customHeight="1">
      <c r="B11543" s="42" t="str">
        <f>IFERROR(__xludf.DUMMYFUNCTION("""COMPUTED_VALUE"""),"")</f>
        <v/>
      </c>
      <c r="C11543" s="42" t="str">
        <f>IFERROR(__xludf.DUMMYFUNCTION("""COMPUTED_VALUE"""),"")</f>
        <v/>
      </c>
      <c r="D11543" s="42"/>
      <c r="E11543" s="42"/>
      <c r="F11543" s="48" t="str">
        <f>IFERROR(__xludf.DUMMYFUNCTION("""COMPUTED_VALUE"""),"")</f>
        <v/>
      </c>
      <c r="G11543" s="42" t="str">
        <f>IFERROR(__xludf.DUMMYFUNCTION("""COMPUTED_VALUE"""),"")</f>
        <v/>
      </c>
      <c r="H11543" s="42">
        <f t="shared" si="1"/>
        <v>3345</v>
      </c>
    </row>
    <row r="11544" ht="22.5" customHeight="1">
      <c r="B11544" s="42" t="str">
        <f>IFERROR(__xludf.DUMMYFUNCTION("""COMPUTED_VALUE"""),"")</f>
        <v/>
      </c>
      <c r="C11544" s="42" t="str">
        <f>IFERROR(__xludf.DUMMYFUNCTION("""COMPUTED_VALUE"""),"")</f>
        <v/>
      </c>
      <c r="D11544" s="42"/>
      <c r="E11544" s="42"/>
      <c r="F11544" s="48" t="str">
        <f>IFERROR(__xludf.DUMMYFUNCTION("""COMPUTED_VALUE"""),"")</f>
        <v/>
      </c>
      <c r="G11544" s="42" t="str">
        <f>IFERROR(__xludf.DUMMYFUNCTION("""COMPUTED_VALUE"""),"")</f>
        <v/>
      </c>
      <c r="H11544" s="42">
        <f t="shared" si="1"/>
        <v>3345</v>
      </c>
    </row>
    <row r="11545" ht="22.5" customHeight="1">
      <c r="B11545" s="42" t="str">
        <f>IFERROR(__xludf.DUMMYFUNCTION("""COMPUTED_VALUE"""),"")</f>
        <v/>
      </c>
      <c r="C11545" s="42" t="str">
        <f>IFERROR(__xludf.DUMMYFUNCTION("""COMPUTED_VALUE"""),"")</f>
        <v/>
      </c>
      <c r="D11545" s="42"/>
      <c r="E11545" s="42"/>
      <c r="F11545" s="48" t="str">
        <f>IFERROR(__xludf.DUMMYFUNCTION("""COMPUTED_VALUE"""),"")</f>
        <v/>
      </c>
      <c r="G11545" s="42" t="str">
        <f>IFERROR(__xludf.DUMMYFUNCTION("""COMPUTED_VALUE"""),"")</f>
        <v/>
      </c>
      <c r="H11545" s="42">
        <f t="shared" si="1"/>
        <v>3345</v>
      </c>
    </row>
    <row r="11546" ht="22.5" customHeight="1">
      <c r="B11546" s="42" t="str">
        <f>IFERROR(__xludf.DUMMYFUNCTION("""COMPUTED_VALUE"""),"")</f>
        <v/>
      </c>
      <c r="C11546" s="42" t="str">
        <f>IFERROR(__xludf.DUMMYFUNCTION("""COMPUTED_VALUE"""),"")</f>
        <v/>
      </c>
      <c r="D11546" s="42"/>
      <c r="E11546" s="42"/>
      <c r="F11546" s="48" t="str">
        <f>IFERROR(__xludf.DUMMYFUNCTION("""COMPUTED_VALUE"""),"")</f>
        <v/>
      </c>
      <c r="G11546" s="42" t="str">
        <f>IFERROR(__xludf.DUMMYFUNCTION("""COMPUTED_VALUE"""),"")</f>
        <v/>
      </c>
      <c r="H11546" s="42">
        <f t="shared" si="1"/>
        <v>3345</v>
      </c>
    </row>
    <row r="11547" ht="22.5" customHeight="1">
      <c r="B11547" s="42" t="str">
        <f>IFERROR(__xludf.DUMMYFUNCTION("""COMPUTED_VALUE"""),"")</f>
        <v/>
      </c>
      <c r="C11547" s="42" t="str">
        <f>IFERROR(__xludf.DUMMYFUNCTION("""COMPUTED_VALUE"""),"")</f>
        <v/>
      </c>
      <c r="D11547" s="42"/>
      <c r="E11547" s="42"/>
      <c r="F11547" s="48" t="str">
        <f>IFERROR(__xludf.DUMMYFUNCTION("""COMPUTED_VALUE"""),"")</f>
        <v/>
      </c>
      <c r="G11547" s="42" t="str">
        <f>IFERROR(__xludf.DUMMYFUNCTION("""COMPUTED_VALUE"""),"")</f>
        <v/>
      </c>
      <c r="H11547" s="42">
        <f t="shared" si="1"/>
        <v>3345</v>
      </c>
    </row>
    <row r="11548" ht="22.5" customHeight="1">
      <c r="B11548" s="42" t="str">
        <f>IFERROR(__xludf.DUMMYFUNCTION("""COMPUTED_VALUE"""),"")</f>
        <v/>
      </c>
      <c r="C11548" s="42" t="str">
        <f>IFERROR(__xludf.DUMMYFUNCTION("""COMPUTED_VALUE"""),"")</f>
        <v/>
      </c>
      <c r="D11548" s="42"/>
      <c r="E11548" s="42"/>
      <c r="F11548" s="48" t="str">
        <f>IFERROR(__xludf.DUMMYFUNCTION("""COMPUTED_VALUE"""),"")</f>
        <v/>
      </c>
      <c r="G11548" s="42" t="str">
        <f>IFERROR(__xludf.DUMMYFUNCTION("""COMPUTED_VALUE"""),"")</f>
        <v/>
      </c>
      <c r="H11548" s="42">
        <f t="shared" si="1"/>
        <v>3345</v>
      </c>
    </row>
    <row r="11549" ht="22.5" customHeight="1">
      <c r="B11549" s="42" t="str">
        <f>IFERROR(__xludf.DUMMYFUNCTION("""COMPUTED_VALUE"""),"")</f>
        <v/>
      </c>
      <c r="C11549" s="42" t="str">
        <f>IFERROR(__xludf.DUMMYFUNCTION("""COMPUTED_VALUE"""),"")</f>
        <v/>
      </c>
      <c r="D11549" s="42"/>
      <c r="E11549" s="42"/>
      <c r="F11549" s="48" t="str">
        <f>IFERROR(__xludf.DUMMYFUNCTION("""COMPUTED_VALUE"""),"")</f>
        <v/>
      </c>
      <c r="G11549" s="42" t="str">
        <f>IFERROR(__xludf.DUMMYFUNCTION("""COMPUTED_VALUE"""),"")</f>
        <v/>
      </c>
      <c r="H11549" s="42">
        <f t="shared" si="1"/>
        <v>3345</v>
      </c>
    </row>
    <row r="11550" ht="22.5" customHeight="1">
      <c r="B11550" s="42" t="str">
        <f>IFERROR(__xludf.DUMMYFUNCTION("""COMPUTED_VALUE"""),"")</f>
        <v/>
      </c>
      <c r="C11550" s="42" t="str">
        <f>IFERROR(__xludf.DUMMYFUNCTION("""COMPUTED_VALUE"""),"")</f>
        <v/>
      </c>
      <c r="D11550" s="42"/>
      <c r="E11550" s="42"/>
      <c r="F11550" s="48" t="str">
        <f>IFERROR(__xludf.DUMMYFUNCTION("""COMPUTED_VALUE"""),"")</f>
        <v/>
      </c>
      <c r="G11550" s="42" t="str">
        <f>IFERROR(__xludf.DUMMYFUNCTION("""COMPUTED_VALUE"""),"")</f>
        <v/>
      </c>
      <c r="H11550" s="42">
        <f t="shared" si="1"/>
        <v>3345</v>
      </c>
    </row>
    <row r="11551" ht="22.5" customHeight="1">
      <c r="B11551" s="42" t="str">
        <f>IFERROR(__xludf.DUMMYFUNCTION("""COMPUTED_VALUE"""),"")</f>
        <v/>
      </c>
      <c r="C11551" s="42" t="str">
        <f>IFERROR(__xludf.DUMMYFUNCTION("""COMPUTED_VALUE"""),"")</f>
        <v/>
      </c>
      <c r="D11551" s="42"/>
      <c r="E11551" s="42"/>
      <c r="F11551" s="48" t="str">
        <f>IFERROR(__xludf.DUMMYFUNCTION("""COMPUTED_VALUE"""),"")</f>
        <v/>
      </c>
      <c r="G11551" s="42" t="str">
        <f>IFERROR(__xludf.DUMMYFUNCTION("""COMPUTED_VALUE"""),"")</f>
        <v/>
      </c>
      <c r="H11551" s="42">
        <f t="shared" si="1"/>
        <v>3345</v>
      </c>
    </row>
    <row r="11552" ht="22.5" customHeight="1">
      <c r="B11552" s="42" t="str">
        <f>IFERROR(__xludf.DUMMYFUNCTION("""COMPUTED_VALUE"""),"")</f>
        <v/>
      </c>
      <c r="C11552" s="42" t="str">
        <f>IFERROR(__xludf.DUMMYFUNCTION("""COMPUTED_VALUE"""),"")</f>
        <v/>
      </c>
      <c r="D11552" s="42"/>
      <c r="E11552" s="42"/>
      <c r="F11552" s="48" t="str">
        <f>IFERROR(__xludf.DUMMYFUNCTION("""COMPUTED_VALUE"""),"")</f>
        <v/>
      </c>
      <c r="G11552" s="42" t="str">
        <f>IFERROR(__xludf.DUMMYFUNCTION("""COMPUTED_VALUE"""),"")</f>
        <v/>
      </c>
      <c r="H11552" s="42">
        <f t="shared" si="1"/>
        <v>3345</v>
      </c>
    </row>
    <row r="11553" ht="22.5" customHeight="1">
      <c r="B11553" s="42" t="str">
        <f>IFERROR(__xludf.DUMMYFUNCTION("""COMPUTED_VALUE"""),"")</f>
        <v/>
      </c>
      <c r="C11553" s="42" t="str">
        <f>IFERROR(__xludf.DUMMYFUNCTION("""COMPUTED_VALUE"""),"")</f>
        <v/>
      </c>
      <c r="D11553" s="42"/>
      <c r="E11553" s="42"/>
      <c r="F11553" s="48" t="str">
        <f>IFERROR(__xludf.DUMMYFUNCTION("""COMPUTED_VALUE"""),"")</f>
        <v/>
      </c>
      <c r="G11553" s="42" t="str">
        <f>IFERROR(__xludf.DUMMYFUNCTION("""COMPUTED_VALUE"""),"")</f>
        <v/>
      </c>
      <c r="H11553" s="42">
        <f t="shared" si="1"/>
        <v>3345</v>
      </c>
    </row>
    <row r="11554" ht="22.5" customHeight="1">
      <c r="B11554" s="42" t="str">
        <f>IFERROR(__xludf.DUMMYFUNCTION("""COMPUTED_VALUE"""),"")</f>
        <v/>
      </c>
      <c r="C11554" s="42" t="str">
        <f>IFERROR(__xludf.DUMMYFUNCTION("""COMPUTED_VALUE"""),"")</f>
        <v/>
      </c>
      <c r="D11554" s="42"/>
      <c r="E11554" s="42"/>
      <c r="F11554" s="48" t="str">
        <f>IFERROR(__xludf.DUMMYFUNCTION("""COMPUTED_VALUE"""),"")</f>
        <v/>
      </c>
      <c r="G11554" s="42" t="str">
        <f>IFERROR(__xludf.DUMMYFUNCTION("""COMPUTED_VALUE"""),"")</f>
        <v/>
      </c>
      <c r="H11554" s="42">
        <f t="shared" si="1"/>
        <v>3345</v>
      </c>
    </row>
    <row r="11555" ht="22.5" customHeight="1">
      <c r="B11555" s="42" t="str">
        <f>IFERROR(__xludf.DUMMYFUNCTION("""COMPUTED_VALUE"""),"")</f>
        <v/>
      </c>
      <c r="C11555" s="42" t="str">
        <f>IFERROR(__xludf.DUMMYFUNCTION("""COMPUTED_VALUE"""),"")</f>
        <v/>
      </c>
      <c r="D11555" s="42"/>
      <c r="E11555" s="42"/>
      <c r="F11555" s="48" t="str">
        <f>IFERROR(__xludf.DUMMYFUNCTION("""COMPUTED_VALUE"""),"")</f>
        <v/>
      </c>
      <c r="G11555" s="42" t="str">
        <f>IFERROR(__xludf.DUMMYFUNCTION("""COMPUTED_VALUE"""),"")</f>
        <v/>
      </c>
      <c r="H11555" s="42">
        <f t="shared" si="1"/>
        <v>3345</v>
      </c>
    </row>
    <row r="11556" ht="22.5" customHeight="1">
      <c r="B11556" s="42" t="str">
        <f>IFERROR(__xludf.DUMMYFUNCTION("""COMPUTED_VALUE"""),"")</f>
        <v/>
      </c>
      <c r="C11556" s="42" t="str">
        <f>IFERROR(__xludf.DUMMYFUNCTION("""COMPUTED_VALUE"""),"")</f>
        <v/>
      </c>
      <c r="D11556" s="42"/>
      <c r="E11556" s="42"/>
      <c r="F11556" s="48" t="str">
        <f>IFERROR(__xludf.DUMMYFUNCTION("""COMPUTED_VALUE"""),"")</f>
        <v/>
      </c>
      <c r="G11556" s="42" t="str">
        <f>IFERROR(__xludf.DUMMYFUNCTION("""COMPUTED_VALUE"""),"")</f>
        <v/>
      </c>
      <c r="H11556" s="42">
        <f t="shared" si="1"/>
        <v>3345</v>
      </c>
    </row>
    <row r="11557" ht="22.5" customHeight="1">
      <c r="B11557" s="42" t="str">
        <f>IFERROR(__xludf.DUMMYFUNCTION("""COMPUTED_VALUE"""),"")</f>
        <v/>
      </c>
      <c r="C11557" s="42" t="str">
        <f>IFERROR(__xludf.DUMMYFUNCTION("""COMPUTED_VALUE"""),"")</f>
        <v/>
      </c>
      <c r="D11557" s="42"/>
      <c r="E11557" s="42"/>
      <c r="F11557" s="48" t="str">
        <f>IFERROR(__xludf.DUMMYFUNCTION("""COMPUTED_VALUE"""),"")</f>
        <v/>
      </c>
      <c r="G11557" s="42" t="str">
        <f>IFERROR(__xludf.DUMMYFUNCTION("""COMPUTED_VALUE"""),"")</f>
        <v/>
      </c>
      <c r="H11557" s="42">
        <f t="shared" si="1"/>
        <v>3345</v>
      </c>
    </row>
    <row r="11558" ht="22.5" customHeight="1">
      <c r="B11558" s="42" t="str">
        <f>IFERROR(__xludf.DUMMYFUNCTION("""COMPUTED_VALUE"""),"")</f>
        <v/>
      </c>
      <c r="C11558" s="42" t="str">
        <f>IFERROR(__xludf.DUMMYFUNCTION("""COMPUTED_VALUE"""),"")</f>
        <v/>
      </c>
      <c r="D11558" s="42"/>
      <c r="E11558" s="42"/>
      <c r="F11558" s="48" t="str">
        <f>IFERROR(__xludf.DUMMYFUNCTION("""COMPUTED_VALUE"""),"")</f>
        <v/>
      </c>
      <c r="G11558" s="42" t="str">
        <f>IFERROR(__xludf.DUMMYFUNCTION("""COMPUTED_VALUE"""),"")</f>
        <v/>
      </c>
      <c r="H11558" s="42">
        <f t="shared" si="1"/>
        <v>3345</v>
      </c>
    </row>
    <row r="11559" ht="22.5" customHeight="1">
      <c r="B11559" s="42" t="str">
        <f>IFERROR(__xludf.DUMMYFUNCTION("""COMPUTED_VALUE"""),"")</f>
        <v/>
      </c>
      <c r="C11559" s="42" t="str">
        <f>IFERROR(__xludf.DUMMYFUNCTION("""COMPUTED_VALUE"""),"")</f>
        <v/>
      </c>
      <c r="D11559" s="42"/>
      <c r="E11559" s="42"/>
      <c r="F11559" s="48" t="str">
        <f>IFERROR(__xludf.DUMMYFUNCTION("""COMPUTED_VALUE"""),"")</f>
        <v/>
      </c>
      <c r="G11559" s="42" t="str">
        <f>IFERROR(__xludf.DUMMYFUNCTION("""COMPUTED_VALUE"""),"")</f>
        <v/>
      </c>
      <c r="H11559" s="42">
        <f t="shared" si="1"/>
        <v>3345</v>
      </c>
    </row>
    <row r="11560" ht="22.5" customHeight="1">
      <c r="B11560" s="42" t="str">
        <f>IFERROR(__xludf.DUMMYFUNCTION("""COMPUTED_VALUE"""),"")</f>
        <v/>
      </c>
      <c r="C11560" s="42" t="str">
        <f>IFERROR(__xludf.DUMMYFUNCTION("""COMPUTED_VALUE"""),"")</f>
        <v/>
      </c>
      <c r="D11560" s="42"/>
      <c r="E11560" s="42"/>
      <c r="F11560" s="48" t="str">
        <f>IFERROR(__xludf.DUMMYFUNCTION("""COMPUTED_VALUE"""),"")</f>
        <v/>
      </c>
      <c r="G11560" s="42" t="str">
        <f>IFERROR(__xludf.DUMMYFUNCTION("""COMPUTED_VALUE"""),"")</f>
        <v/>
      </c>
      <c r="H11560" s="42">
        <f t="shared" si="1"/>
        <v>3345</v>
      </c>
    </row>
    <row r="11561" ht="22.5" customHeight="1">
      <c r="B11561" s="42" t="str">
        <f>IFERROR(__xludf.DUMMYFUNCTION("""COMPUTED_VALUE"""),"")</f>
        <v/>
      </c>
      <c r="C11561" s="42" t="str">
        <f>IFERROR(__xludf.DUMMYFUNCTION("""COMPUTED_VALUE"""),"")</f>
        <v/>
      </c>
      <c r="D11561" s="42"/>
      <c r="E11561" s="42"/>
      <c r="F11561" s="48" t="str">
        <f>IFERROR(__xludf.DUMMYFUNCTION("""COMPUTED_VALUE"""),"")</f>
        <v/>
      </c>
      <c r="G11561" s="42" t="str">
        <f>IFERROR(__xludf.DUMMYFUNCTION("""COMPUTED_VALUE"""),"")</f>
        <v/>
      </c>
      <c r="H11561" s="42">
        <f t="shared" si="1"/>
        <v>3345</v>
      </c>
    </row>
    <row r="11562" ht="22.5" customHeight="1">
      <c r="B11562" s="42" t="str">
        <f>IFERROR(__xludf.DUMMYFUNCTION("""COMPUTED_VALUE"""),"")</f>
        <v/>
      </c>
      <c r="C11562" s="42" t="str">
        <f>IFERROR(__xludf.DUMMYFUNCTION("""COMPUTED_VALUE"""),"")</f>
        <v/>
      </c>
      <c r="D11562" s="42"/>
      <c r="E11562" s="42"/>
      <c r="F11562" s="48" t="str">
        <f>IFERROR(__xludf.DUMMYFUNCTION("""COMPUTED_VALUE"""),"")</f>
        <v/>
      </c>
      <c r="G11562" s="42" t="str">
        <f>IFERROR(__xludf.DUMMYFUNCTION("""COMPUTED_VALUE"""),"")</f>
        <v/>
      </c>
      <c r="H11562" s="42">
        <f t="shared" si="1"/>
        <v>3345</v>
      </c>
    </row>
    <row r="11563" ht="22.5" customHeight="1">
      <c r="B11563" s="42" t="str">
        <f>IFERROR(__xludf.DUMMYFUNCTION("""COMPUTED_VALUE"""),"")</f>
        <v/>
      </c>
      <c r="C11563" s="42" t="str">
        <f>IFERROR(__xludf.DUMMYFUNCTION("""COMPUTED_VALUE"""),"")</f>
        <v/>
      </c>
      <c r="D11563" s="42"/>
      <c r="E11563" s="42"/>
      <c r="F11563" s="48" t="str">
        <f>IFERROR(__xludf.DUMMYFUNCTION("""COMPUTED_VALUE"""),"")</f>
        <v/>
      </c>
      <c r="G11563" s="42" t="str">
        <f>IFERROR(__xludf.DUMMYFUNCTION("""COMPUTED_VALUE"""),"")</f>
        <v/>
      </c>
      <c r="H11563" s="42">
        <f t="shared" si="1"/>
        <v>3345</v>
      </c>
    </row>
    <row r="11564" ht="22.5" customHeight="1">
      <c r="B11564" s="42" t="str">
        <f>IFERROR(__xludf.DUMMYFUNCTION("""COMPUTED_VALUE"""),"")</f>
        <v/>
      </c>
      <c r="C11564" s="42" t="str">
        <f>IFERROR(__xludf.DUMMYFUNCTION("""COMPUTED_VALUE"""),"")</f>
        <v/>
      </c>
      <c r="D11564" s="42"/>
      <c r="E11564" s="42"/>
      <c r="F11564" s="48" t="str">
        <f>IFERROR(__xludf.DUMMYFUNCTION("""COMPUTED_VALUE"""),"")</f>
        <v/>
      </c>
      <c r="G11564" s="42" t="str">
        <f>IFERROR(__xludf.DUMMYFUNCTION("""COMPUTED_VALUE"""),"")</f>
        <v/>
      </c>
      <c r="H11564" s="42">
        <f t="shared" si="1"/>
        <v>3345</v>
      </c>
    </row>
    <row r="11565" ht="22.5" customHeight="1">
      <c r="B11565" s="42" t="str">
        <f>IFERROR(__xludf.DUMMYFUNCTION("""COMPUTED_VALUE"""),"")</f>
        <v/>
      </c>
      <c r="C11565" s="42" t="str">
        <f>IFERROR(__xludf.DUMMYFUNCTION("""COMPUTED_VALUE"""),"")</f>
        <v/>
      </c>
      <c r="D11565" s="42"/>
      <c r="E11565" s="42"/>
      <c r="F11565" s="48" t="str">
        <f>IFERROR(__xludf.DUMMYFUNCTION("""COMPUTED_VALUE"""),"")</f>
        <v/>
      </c>
      <c r="G11565" s="42" t="str">
        <f>IFERROR(__xludf.DUMMYFUNCTION("""COMPUTED_VALUE"""),"")</f>
        <v/>
      </c>
      <c r="H11565" s="42">
        <f t="shared" si="1"/>
        <v>3345</v>
      </c>
    </row>
    <row r="11566" ht="22.5" customHeight="1">
      <c r="B11566" s="42" t="str">
        <f>IFERROR(__xludf.DUMMYFUNCTION("""COMPUTED_VALUE"""),"")</f>
        <v/>
      </c>
      <c r="C11566" s="42" t="str">
        <f>IFERROR(__xludf.DUMMYFUNCTION("""COMPUTED_VALUE"""),"")</f>
        <v/>
      </c>
      <c r="D11566" s="42"/>
      <c r="E11566" s="42"/>
      <c r="F11566" s="48" t="str">
        <f>IFERROR(__xludf.DUMMYFUNCTION("""COMPUTED_VALUE"""),"")</f>
        <v/>
      </c>
      <c r="G11566" s="42" t="str">
        <f>IFERROR(__xludf.DUMMYFUNCTION("""COMPUTED_VALUE"""),"")</f>
        <v/>
      </c>
      <c r="H11566" s="42">
        <f t="shared" si="1"/>
        <v>3345</v>
      </c>
    </row>
    <row r="11567" ht="22.5" customHeight="1">
      <c r="B11567" s="42" t="str">
        <f>IFERROR(__xludf.DUMMYFUNCTION("""COMPUTED_VALUE"""),"")</f>
        <v/>
      </c>
      <c r="C11567" s="42" t="str">
        <f>IFERROR(__xludf.DUMMYFUNCTION("""COMPUTED_VALUE"""),"")</f>
        <v/>
      </c>
      <c r="D11567" s="42"/>
      <c r="E11567" s="42"/>
      <c r="F11567" s="48" t="str">
        <f>IFERROR(__xludf.DUMMYFUNCTION("""COMPUTED_VALUE"""),"")</f>
        <v/>
      </c>
      <c r="G11567" s="42" t="str">
        <f>IFERROR(__xludf.DUMMYFUNCTION("""COMPUTED_VALUE"""),"")</f>
        <v/>
      </c>
      <c r="H11567" s="42">
        <f t="shared" si="1"/>
        <v>3345</v>
      </c>
    </row>
    <row r="11568" ht="22.5" customHeight="1">
      <c r="B11568" s="42" t="str">
        <f>IFERROR(__xludf.DUMMYFUNCTION("""COMPUTED_VALUE"""),"")</f>
        <v/>
      </c>
      <c r="C11568" s="42" t="str">
        <f>IFERROR(__xludf.DUMMYFUNCTION("""COMPUTED_VALUE"""),"")</f>
        <v/>
      </c>
      <c r="D11568" s="42"/>
      <c r="E11568" s="42"/>
      <c r="F11568" s="48" t="str">
        <f>IFERROR(__xludf.DUMMYFUNCTION("""COMPUTED_VALUE"""),"")</f>
        <v/>
      </c>
      <c r="G11568" s="42" t="str">
        <f>IFERROR(__xludf.DUMMYFUNCTION("""COMPUTED_VALUE"""),"")</f>
        <v/>
      </c>
      <c r="H11568" s="42">
        <f t="shared" si="1"/>
        <v>3345</v>
      </c>
    </row>
    <row r="11569" ht="22.5" customHeight="1">
      <c r="B11569" s="42" t="str">
        <f>IFERROR(__xludf.DUMMYFUNCTION("""COMPUTED_VALUE"""),"")</f>
        <v/>
      </c>
      <c r="C11569" s="42" t="str">
        <f>IFERROR(__xludf.DUMMYFUNCTION("""COMPUTED_VALUE"""),"")</f>
        <v/>
      </c>
      <c r="D11569" s="42"/>
      <c r="E11569" s="42"/>
      <c r="F11569" s="48" t="str">
        <f>IFERROR(__xludf.DUMMYFUNCTION("""COMPUTED_VALUE"""),"")</f>
        <v/>
      </c>
      <c r="G11569" s="42" t="str">
        <f>IFERROR(__xludf.DUMMYFUNCTION("""COMPUTED_VALUE"""),"")</f>
        <v/>
      </c>
      <c r="H11569" s="42">
        <f t="shared" si="1"/>
        <v>3345</v>
      </c>
    </row>
    <row r="11570" ht="22.5" customHeight="1">
      <c r="B11570" s="42" t="str">
        <f>IFERROR(__xludf.DUMMYFUNCTION("""COMPUTED_VALUE"""),"")</f>
        <v/>
      </c>
      <c r="C11570" s="42" t="str">
        <f>IFERROR(__xludf.DUMMYFUNCTION("""COMPUTED_VALUE"""),"")</f>
        <v/>
      </c>
      <c r="D11570" s="42"/>
      <c r="E11570" s="42"/>
      <c r="F11570" s="48" t="str">
        <f>IFERROR(__xludf.DUMMYFUNCTION("""COMPUTED_VALUE"""),"")</f>
        <v/>
      </c>
      <c r="G11570" s="42" t="str">
        <f>IFERROR(__xludf.DUMMYFUNCTION("""COMPUTED_VALUE"""),"")</f>
        <v/>
      </c>
      <c r="H11570" s="42">
        <f t="shared" si="1"/>
        <v>3345</v>
      </c>
    </row>
    <row r="11571" ht="22.5" customHeight="1">
      <c r="B11571" s="42" t="str">
        <f>IFERROR(__xludf.DUMMYFUNCTION("""COMPUTED_VALUE"""),"")</f>
        <v/>
      </c>
      <c r="C11571" s="42" t="str">
        <f>IFERROR(__xludf.DUMMYFUNCTION("""COMPUTED_VALUE"""),"")</f>
        <v/>
      </c>
      <c r="D11571" s="42"/>
      <c r="E11571" s="42"/>
      <c r="F11571" s="48" t="str">
        <f>IFERROR(__xludf.DUMMYFUNCTION("""COMPUTED_VALUE"""),"")</f>
        <v/>
      </c>
      <c r="G11571" s="42" t="str">
        <f>IFERROR(__xludf.DUMMYFUNCTION("""COMPUTED_VALUE"""),"")</f>
        <v/>
      </c>
      <c r="H11571" s="42">
        <f t="shared" si="1"/>
        <v>3345</v>
      </c>
    </row>
    <row r="11572" ht="22.5" customHeight="1">
      <c r="B11572" s="42" t="str">
        <f>IFERROR(__xludf.DUMMYFUNCTION("""COMPUTED_VALUE"""),"")</f>
        <v/>
      </c>
      <c r="C11572" s="42" t="str">
        <f>IFERROR(__xludf.DUMMYFUNCTION("""COMPUTED_VALUE"""),"")</f>
        <v/>
      </c>
      <c r="D11572" s="42"/>
      <c r="E11572" s="42"/>
      <c r="F11572" s="48" t="str">
        <f>IFERROR(__xludf.DUMMYFUNCTION("""COMPUTED_VALUE"""),"")</f>
        <v/>
      </c>
      <c r="G11572" s="42" t="str">
        <f>IFERROR(__xludf.DUMMYFUNCTION("""COMPUTED_VALUE"""),"")</f>
        <v/>
      </c>
      <c r="H11572" s="42">
        <f t="shared" si="1"/>
        <v>3345</v>
      </c>
    </row>
    <row r="11573" ht="22.5" customHeight="1">
      <c r="B11573" s="42" t="str">
        <f>IFERROR(__xludf.DUMMYFUNCTION("""COMPUTED_VALUE"""),"")</f>
        <v/>
      </c>
      <c r="C11573" s="42" t="str">
        <f>IFERROR(__xludf.DUMMYFUNCTION("""COMPUTED_VALUE"""),"")</f>
        <v/>
      </c>
      <c r="D11573" s="42"/>
      <c r="E11573" s="42"/>
      <c r="F11573" s="48" t="str">
        <f>IFERROR(__xludf.DUMMYFUNCTION("""COMPUTED_VALUE"""),"")</f>
        <v/>
      </c>
      <c r="G11573" s="42" t="str">
        <f>IFERROR(__xludf.DUMMYFUNCTION("""COMPUTED_VALUE"""),"")</f>
        <v/>
      </c>
      <c r="H11573" s="42">
        <f t="shared" si="1"/>
        <v>3345</v>
      </c>
    </row>
    <row r="11574" ht="22.5" customHeight="1">
      <c r="B11574" s="42" t="str">
        <f>IFERROR(__xludf.DUMMYFUNCTION("""COMPUTED_VALUE"""),"")</f>
        <v/>
      </c>
      <c r="C11574" s="42" t="str">
        <f>IFERROR(__xludf.DUMMYFUNCTION("""COMPUTED_VALUE"""),"")</f>
        <v/>
      </c>
      <c r="D11574" s="42"/>
      <c r="E11574" s="42"/>
      <c r="F11574" s="48" t="str">
        <f>IFERROR(__xludf.DUMMYFUNCTION("""COMPUTED_VALUE"""),"")</f>
        <v/>
      </c>
      <c r="G11574" s="42" t="str">
        <f>IFERROR(__xludf.DUMMYFUNCTION("""COMPUTED_VALUE"""),"")</f>
        <v/>
      </c>
      <c r="H11574" s="42">
        <f t="shared" si="1"/>
        <v>3345</v>
      </c>
    </row>
    <row r="11575" ht="22.5" customHeight="1">
      <c r="B11575" s="42" t="str">
        <f>IFERROR(__xludf.DUMMYFUNCTION("""COMPUTED_VALUE"""),"")</f>
        <v/>
      </c>
      <c r="C11575" s="42" t="str">
        <f>IFERROR(__xludf.DUMMYFUNCTION("""COMPUTED_VALUE"""),"")</f>
        <v/>
      </c>
      <c r="D11575" s="42"/>
      <c r="E11575" s="42"/>
      <c r="F11575" s="48" t="str">
        <f>IFERROR(__xludf.DUMMYFUNCTION("""COMPUTED_VALUE"""),"")</f>
        <v/>
      </c>
      <c r="G11575" s="42" t="str">
        <f>IFERROR(__xludf.DUMMYFUNCTION("""COMPUTED_VALUE"""),"")</f>
        <v/>
      </c>
      <c r="H11575" s="42">
        <f t="shared" si="1"/>
        <v>3345</v>
      </c>
    </row>
    <row r="11576" ht="22.5" customHeight="1">
      <c r="B11576" s="42" t="str">
        <f>IFERROR(__xludf.DUMMYFUNCTION("""COMPUTED_VALUE"""),"")</f>
        <v/>
      </c>
      <c r="C11576" s="42" t="str">
        <f>IFERROR(__xludf.DUMMYFUNCTION("""COMPUTED_VALUE"""),"")</f>
        <v/>
      </c>
      <c r="D11576" s="42"/>
      <c r="E11576" s="42"/>
      <c r="F11576" s="48" t="str">
        <f>IFERROR(__xludf.DUMMYFUNCTION("""COMPUTED_VALUE"""),"")</f>
        <v/>
      </c>
      <c r="G11576" s="42" t="str">
        <f>IFERROR(__xludf.DUMMYFUNCTION("""COMPUTED_VALUE"""),"")</f>
        <v/>
      </c>
      <c r="H11576" s="42">
        <f t="shared" si="1"/>
        <v>3345</v>
      </c>
    </row>
    <row r="11577" ht="22.5" customHeight="1">
      <c r="B11577" s="42" t="str">
        <f>IFERROR(__xludf.DUMMYFUNCTION("""COMPUTED_VALUE"""),"")</f>
        <v/>
      </c>
      <c r="C11577" s="42" t="str">
        <f>IFERROR(__xludf.DUMMYFUNCTION("""COMPUTED_VALUE"""),"")</f>
        <v/>
      </c>
      <c r="D11577" s="42"/>
      <c r="E11577" s="42"/>
      <c r="F11577" s="48" t="str">
        <f>IFERROR(__xludf.DUMMYFUNCTION("""COMPUTED_VALUE"""),"")</f>
        <v/>
      </c>
      <c r="G11577" s="42" t="str">
        <f>IFERROR(__xludf.DUMMYFUNCTION("""COMPUTED_VALUE"""),"")</f>
        <v/>
      </c>
      <c r="H11577" s="42">
        <f t="shared" si="1"/>
        <v>3345</v>
      </c>
    </row>
    <row r="11578" ht="22.5" customHeight="1">
      <c r="B11578" s="42" t="str">
        <f>IFERROR(__xludf.DUMMYFUNCTION("""COMPUTED_VALUE"""),"")</f>
        <v/>
      </c>
      <c r="C11578" s="42" t="str">
        <f>IFERROR(__xludf.DUMMYFUNCTION("""COMPUTED_VALUE"""),"")</f>
        <v/>
      </c>
      <c r="D11578" s="42"/>
      <c r="E11578" s="42"/>
      <c r="F11578" s="48" t="str">
        <f>IFERROR(__xludf.DUMMYFUNCTION("""COMPUTED_VALUE"""),"")</f>
        <v/>
      </c>
      <c r="G11578" s="42" t="str">
        <f>IFERROR(__xludf.DUMMYFUNCTION("""COMPUTED_VALUE"""),"")</f>
        <v/>
      </c>
      <c r="H11578" s="42">
        <f t="shared" si="1"/>
        <v>3345</v>
      </c>
    </row>
    <row r="11579" ht="22.5" customHeight="1">
      <c r="B11579" s="42" t="str">
        <f>IFERROR(__xludf.DUMMYFUNCTION("""COMPUTED_VALUE"""),"")</f>
        <v/>
      </c>
      <c r="C11579" s="42" t="str">
        <f>IFERROR(__xludf.DUMMYFUNCTION("""COMPUTED_VALUE"""),"")</f>
        <v/>
      </c>
      <c r="D11579" s="42"/>
      <c r="E11579" s="42"/>
      <c r="F11579" s="48" t="str">
        <f>IFERROR(__xludf.DUMMYFUNCTION("""COMPUTED_VALUE"""),"")</f>
        <v/>
      </c>
      <c r="G11579" s="42" t="str">
        <f>IFERROR(__xludf.DUMMYFUNCTION("""COMPUTED_VALUE"""),"")</f>
        <v/>
      </c>
      <c r="H11579" s="42">
        <f t="shared" si="1"/>
        <v>3345</v>
      </c>
    </row>
    <row r="11580" ht="22.5" customHeight="1">
      <c r="B11580" s="42" t="str">
        <f>IFERROR(__xludf.DUMMYFUNCTION("""COMPUTED_VALUE"""),"")</f>
        <v/>
      </c>
      <c r="C11580" s="42" t="str">
        <f>IFERROR(__xludf.DUMMYFUNCTION("""COMPUTED_VALUE"""),"")</f>
        <v/>
      </c>
      <c r="D11580" s="42"/>
      <c r="E11580" s="42"/>
      <c r="F11580" s="48" t="str">
        <f>IFERROR(__xludf.DUMMYFUNCTION("""COMPUTED_VALUE"""),"")</f>
        <v/>
      </c>
      <c r="G11580" s="42" t="str">
        <f>IFERROR(__xludf.DUMMYFUNCTION("""COMPUTED_VALUE"""),"")</f>
        <v/>
      </c>
      <c r="H11580" s="42">
        <f t="shared" si="1"/>
        <v>3345</v>
      </c>
    </row>
    <row r="11581" ht="22.5" customHeight="1">
      <c r="B11581" s="42" t="str">
        <f>IFERROR(__xludf.DUMMYFUNCTION("""COMPUTED_VALUE"""),"")</f>
        <v/>
      </c>
      <c r="C11581" s="42" t="str">
        <f>IFERROR(__xludf.DUMMYFUNCTION("""COMPUTED_VALUE"""),"")</f>
        <v/>
      </c>
      <c r="D11581" s="42"/>
      <c r="E11581" s="42"/>
      <c r="F11581" s="48" t="str">
        <f>IFERROR(__xludf.DUMMYFUNCTION("""COMPUTED_VALUE"""),"")</f>
        <v/>
      </c>
      <c r="G11581" s="42" t="str">
        <f>IFERROR(__xludf.DUMMYFUNCTION("""COMPUTED_VALUE"""),"")</f>
        <v/>
      </c>
      <c r="H11581" s="42">
        <f t="shared" si="1"/>
        <v>3345</v>
      </c>
    </row>
    <row r="11582" ht="22.5" customHeight="1">
      <c r="B11582" s="42" t="str">
        <f>IFERROR(__xludf.DUMMYFUNCTION("""COMPUTED_VALUE"""),"")</f>
        <v/>
      </c>
      <c r="C11582" s="42" t="str">
        <f>IFERROR(__xludf.DUMMYFUNCTION("""COMPUTED_VALUE"""),"")</f>
        <v/>
      </c>
      <c r="D11582" s="42"/>
      <c r="E11582" s="42"/>
      <c r="F11582" s="48" t="str">
        <f>IFERROR(__xludf.DUMMYFUNCTION("""COMPUTED_VALUE"""),"")</f>
        <v/>
      </c>
      <c r="G11582" s="42" t="str">
        <f>IFERROR(__xludf.DUMMYFUNCTION("""COMPUTED_VALUE"""),"")</f>
        <v/>
      </c>
      <c r="H11582" s="42">
        <f t="shared" si="1"/>
        <v>3345</v>
      </c>
    </row>
    <row r="11583" ht="22.5" customHeight="1">
      <c r="B11583" s="42" t="str">
        <f>IFERROR(__xludf.DUMMYFUNCTION("""COMPUTED_VALUE"""),"")</f>
        <v/>
      </c>
      <c r="C11583" s="42" t="str">
        <f>IFERROR(__xludf.DUMMYFUNCTION("""COMPUTED_VALUE"""),"")</f>
        <v/>
      </c>
      <c r="D11583" s="42"/>
      <c r="E11583" s="42"/>
      <c r="F11583" s="48" t="str">
        <f>IFERROR(__xludf.DUMMYFUNCTION("""COMPUTED_VALUE"""),"")</f>
        <v/>
      </c>
      <c r="G11583" s="42" t="str">
        <f>IFERROR(__xludf.DUMMYFUNCTION("""COMPUTED_VALUE"""),"")</f>
        <v/>
      </c>
      <c r="H11583" s="42">
        <f t="shared" si="1"/>
        <v>3345</v>
      </c>
    </row>
    <row r="11584" ht="22.5" customHeight="1">
      <c r="B11584" s="42" t="str">
        <f>IFERROR(__xludf.DUMMYFUNCTION("""COMPUTED_VALUE"""),"")</f>
        <v/>
      </c>
      <c r="C11584" s="42" t="str">
        <f>IFERROR(__xludf.DUMMYFUNCTION("""COMPUTED_VALUE"""),"")</f>
        <v/>
      </c>
      <c r="D11584" s="42"/>
      <c r="E11584" s="42"/>
      <c r="F11584" s="48" t="str">
        <f>IFERROR(__xludf.DUMMYFUNCTION("""COMPUTED_VALUE"""),"")</f>
        <v/>
      </c>
      <c r="G11584" s="42" t="str">
        <f>IFERROR(__xludf.DUMMYFUNCTION("""COMPUTED_VALUE"""),"")</f>
        <v/>
      </c>
      <c r="H11584" s="42">
        <f t="shared" si="1"/>
        <v>3345</v>
      </c>
    </row>
    <row r="11585" ht="22.5" customHeight="1">
      <c r="B11585" s="42" t="str">
        <f>IFERROR(__xludf.DUMMYFUNCTION("""COMPUTED_VALUE"""),"")</f>
        <v/>
      </c>
      <c r="C11585" s="42" t="str">
        <f>IFERROR(__xludf.DUMMYFUNCTION("""COMPUTED_VALUE"""),"")</f>
        <v/>
      </c>
      <c r="D11585" s="42"/>
      <c r="E11585" s="42"/>
      <c r="F11585" s="48" t="str">
        <f>IFERROR(__xludf.DUMMYFUNCTION("""COMPUTED_VALUE"""),"")</f>
        <v/>
      </c>
      <c r="G11585" s="42" t="str">
        <f>IFERROR(__xludf.DUMMYFUNCTION("""COMPUTED_VALUE"""),"")</f>
        <v/>
      </c>
      <c r="H11585" s="42">
        <f t="shared" si="1"/>
        <v>3345</v>
      </c>
    </row>
    <row r="11586" ht="22.5" customHeight="1">
      <c r="B11586" s="42" t="str">
        <f>IFERROR(__xludf.DUMMYFUNCTION("""COMPUTED_VALUE"""),"")</f>
        <v/>
      </c>
      <c r="C11586" s="42" t="str">
        <f>IFERROR(__xludf.DUMMYFUNCTION("""COMPUTED_VALUE"""),"")</f>
        <v/>
      </c>
      <c r="D11586" s="42"/>
      <c r="E11586" s="42"/>
      <c r="F11586" s="48" t="str">
        <f>IFERROR(__xludf.DUMMYFUNCTION("""COMPUTED_VALUE"""),"")</f>
        <v/>
      </c>
      <c r="G11586" s="42" t="str">
        <f>IFERROR(__xludf.DUMMYFUNCTION("""COMPUTED_VALUE"""),"")</f>
        <v/>
      </c>
      <c r="H11586" s="42">
        <f t="shared" si="1"/>
        <v>3345</v>
      </c>
    </row>
    <row r="11587" ht="22.5" customHeight="1">
      <c r="B11587" s="42" t="str">
        <f>IFERROR(__xludf.DUMMYFUNCTION("""COMPUTED_VALUE"""),"")</f>
        <v/>
      </c>
      <c r="C11587" s="42" t="str">
        <f>IFERROR(__xludf.DUMMYFUNCTION("""COMPUTED_VALUE"""),"")</f>
        <v/>
      </c>
      <c r="D11587" s="42"/>
      <c r="E11587" s="42"/>
      <c r="F11587" s="48" t="str">
        <f>IFERROR(__xludf.DUMMYFUNCTION("""COMPUTED_VALUE"""),"")</f>
        <v/>
      </c>
      <c r="G11587" s="42" t="str">
        <f>IFERROR(__xludf.DUMMYFUNCTION("""COMPUTED_VALUE"""),"")</f>
        <v/>
      </c>
      <c r="H11587" s="42">
        <f t="shared" si="1"/>
        <v>3345</v>
      </c>
    </row>
    <row r="11588" ht="22.5" customHeight="1">
      <c r="B11588" s="42" t="str">
        <f>IFERROR(__xludf.DUMMYFUNCTION("""COMPUTED_VALUE"""),"")</f>
        <v/>
      </c>
      <c r="C11588" s="42" t="str">
        <f>IFERROR(__xludf.DUMMYFUNCTION("""COMPUTED_VALUE"""),"")</f>
        <v/>
      </c>
      <c r="D11588" s="42"/>
      <c r="E11588" s="42"/>
      <c r="F11588" s="48" t="str">
        <f>IFERROR(__xludf.DUMMYFUNCTION("""COMPUTED_VALUE"""),"")</f>
        <v/>
      </c>
      <c r="G11588" s="42" t="str">
        <f>IFERROR(__xludf.DUMMYFUNCTION("""COMPUTED_VALUE"""),"")</f>
        <v/>
      </c>
      <c r="H11588" s="42">
        <f t="shared" si="1"/>
        <v>3345</v>
      </c>
    </row>
    <row r="11589" ht="22.5" customHeight="1">
      <c r="B11589" s="42" t="str">
        <f>IFERROR(__xludf.DUMMYFUNCTION("""COMPUTED_VALUE"""),"")</f>
        <v/>
      </c>
      <c r="C11589" s="42" t="str">
        <f>IFERROR(__xludf.DUMMYFUNCTION("""COMPUTED_VALUE"""),"")</f>
        <v/>
      </c>
      <c r="D11589" s="42"/>
      <c r="E11589" s="42"/>
      <c r="F11589" s="48" t="str">
        <f>IFERROR(__xludf.DUMMYFUNCTION("""COMPUTED_VALUE"""),"")</f>
        <v/>
      </c>
      <c r="G11589" s="42" t="str">
        <f>IFERROR(__xludf.DUMMYFUNCTION("""COMPUTED_VALUE"""),"")</f>
        <v/>
      </c>
      <c r="H11589" s="42">
        <f t="shared" si="1"/>
        <v>3345</v>
      </c>
    </row>
    <row r="11590" ht="22.5" customHeight="1">
      <c r="B11590" s="42" t="str">
        <f>IFERROR(__xludf.DUMMYFUNCTION("""COMPUTED_VALUE"""),"")</f>
        <v/>
      </c>
      <c r="C11590" s="42" t="str">
        <f>IFERROR(__xludf.DUMMYFUNCTION("""COMPUTED_VALUE"""),"")</f>
        <v/>
      </c>
      <c r="D11590" s="42"/>
      <c r="E11590" s="42"/>
      <c r="F11590" s="48" t="str">
        <f>IFERROR(__xludf.DUMMYFUNCTION("""COMPUTED_VALUE"""),"")</f>
        <v/>
      </c>
      <c r="G11590" s="42" t="str">
        <f>IFERROR(__xludf.DUMMYFUNCTION("""COMPUTED_VALUE"""),"")</f>
        <v/>
      </c>
      <c r="H11590" s="42">
        <f t="shared" si="1"/>
        <v>3345</v>
      </c>
    </row>
    <row r="11591" ht="22.5" customHeight="1">
      <c r="B11591" s="42" t="str">
        <f>IFERROR(__xludf.DUMMYFUNCTION("""COMPUTED_VALUE"""),"")</f>
        <v/>
      </c>
      <c r="C11591" s="42" t="str">
        <f>IFERROR(__xludf.DUMMYFUNCTION("""COMPUTED_VALUE"""),"")</f>
        <v/>
      </c>
      <c r="D11591" s="42"/>
      <c r="E11591" s="42"/>
      <c r="F11591" s="48" t="str">
        <f>IFERROR(__xludf.DUMMYFUNCTION("""COMPUTED_VALUE"""),"")</f>
        <v/>
      </c>
      <c r="G11591" s="42" t="str">
        <f>IFERROR(__xludf.DUMMYFUNCTION("""COMPUTED_VALUE"""),"")</f>
        <v/>
      </c>
      <c r="H11591" s="42">
        <f t="shared" si="1"/>
        <v>3345</v>
      </c>
    </row>
    <row r="11592" ht="22.5" customHeight="1">
      <c r="B11592" s="42" t="str">
        <f>IFERROR(__xludf.DUMMYFUNCTION("""COMPUTED_VALUE"""),"")</f>
        <v/>
      </c>
      <c r="C11592" s="42" t="str">
        <f>IFERROR(__xludf.DUMMYFUNCTION("""COMPUTED_VALUE"""),"")</f>
        <v/>
      </c>
      <c r="D11592" s="42"/>
      <c r="E11592" s="42"/>
      <c r="F11592" s="48" t="str">
        <f>IFERROR(__xludf.DUMMYFUNCTION("""COMPUTED_VALUE"""),"")</f>
        <v/>
      </c>
      <c r="G11592" s="42" t="str">
        <f>IFERROR(__xludf.DUMMYFUNCTION("""COMPUTED_VALUE"""),"")</f>
        <v/>
      </c>
      <c r="H11592" s="42">
        <f t="shared" si="1"/>
        <v>3345</v>
      </c>
    </row>
    <row r="11593" ht="22.5" customHeight="1">
      <c r="B11593" s="42" t="str">
        <f>IFERROR(__xludf.DUMMYFUNCTION("""COMPUTED_VALUE"""),"")</f>
        <v/>
      </c>
      <c r="C11593" s="42" t="str">
        <f>IFERROR(__xludf.DUMMYFUNCTION("""COMPUTED_VALUE"""),"")</f>
        <v/>
      </c>
      <c r="D11593" s="42"/>
      <c r="E11593" s="42"/>
      <c r="F11593" s="48" t="str">
        <f>IFERROR(__xludf.DUMMYFUNCTION("""COMPUTED_VALUE"""),"")</f>
        <v/>
      </c>
      <c r="G11593" s="42" t="str">
        <f>IFERROR(__xludf.DUMMYFUNCTION("""COMPUTED_VALUE"""),"")</f>
        <v/>
      </c>
      <c r="H11593" s="42">
        <f t="shared" si="1"/>
        <v>3345</v>
      </c>
    </row>
    <row r="11594" ht="22.5" customHeight="1">
      <c r="B11594" s="42" t="str">
        <f>IFERROR(__xludf.DUMMYFUNCTION("""COMPUTED_VALUE"""),"")</f>
        <v/>
      </c>
      <c r="C11594" s="42" t="str">
        <f>IFERROR(__xludf.DUMMYFUNCTION("""COMPUTED_VALUE"""),"")</f>
        <v/>
      </c>
      <c r="D11594" s="42"/>
      <c r="E11594" s="42"/>
      <c r="F11594" s="48" t="str">
        <f>IFERROR(__xludf.DUMMYFUNCTION("""COMPUTED_VALUE"""),"")</f>
        <v/>
      </c>
      <c r="G11594" s="42" t="str">
        <f>IFERROR(__xludf.DUMMYFUNCTION("""COMPUTED_VALUE"""),"")</f>
        <v/>
      </c>
      <c r="H11594" s="42">
        <f t="shared" si="1"/>
        <v>3345</v>
      </c>
    </row>
    <row r="11595" ht="22.5" customHeight="1">
      <c r="B11595" s="42" t="str">
        <f>IFERROR(__xludf.DUMMYFUNCTION("""COMPUTED_VALUE"""),"")</f>
        <v/>
      </c>
      <c r="C11595" s="42" t="str">
        <f>IFERROR(__xludf.DUMMYFUNCTION("""COMPUTED_VALUE"""),"")</f>
        <v/>
      </c>
      <c r="D11595" s="42"/>
      <c r="E11595" s="42"/>
      <c r="F11595" s="48" t="str">
        <f>IFERROR(__xludf.DUMMYFUNCTION("""COMPUTED_VALUE"""),"")</f>
        <v/>
      </c>
      <c r="G11595" s="42" t="str">
        <f>IFERROR(__xludf.DUMMYFUNCTION("""COMPUTED_VALUE"""),"")</f>
        <v/>
      </c>
      <c r="H11595" s="42">
        <f t="shared" si="1"/>
        <v>3345</v>
      </c>
    </row>
    <row r="11596" ht="22.5" customHeight="1">
      <c r="B11596" s="42" t="str">
        <f>IFERROR(__xludf.DUMMYFUNCTION("""COMPUTED_VALUE"""),"")</f>
        <v/>
      </c>
      <c r="C11596" s="42" t="str">
        <f>IFERROR(__xludf.DUMMYFUNCTION("""COMPUTED_VALUE"""),"")</f>
        <v/>
      </c>
      <c r="D11596" s="42"/>
      <c r="E11596" s="42"/>
      <c r="F11596" s="48" t="str">
        <f>IFERROR(__xludf.DUMMYFUNCTION("""COMPUTED_VALUE"""),"")</f>
        <v/>
      </c>
      <c r="G11596" s="42" t="str">
        <f>IFERROR(__xludf.DUMMYFUNCTION("""COMPUTED_VALUE"""),"")</f>
        <v/>
      </c>
      <c r="H11596" s="42">
        <f t="shared" si="1"/>
        <v>3345</v>
      </c>
    </row>
    <row r="11597" ht="22.5" customHeight="1">
      <c r="B11597" s="42" t="str">
        <f>IFERROR(__xludf.DUMMYFUNCTION("""COMPUTED_VALUE"""),"")</f>
        <v/>
      </c>
      <c r="C11597" s="42" t="str">
        <f>IFERROR(__xludf.DUMMYFUNCTION("""COMPUTED_VALUE"""),"")</f>
        <v/>
      </c>
      <c r="D11597" s="42"/>
      <c r="E11597" s="42"/>
      <c r="F11597" s="48" t="str">
        <f>IFERROR(__xludf.DUMMYFUNCTION("""COMPUTED_VALUE"""),"")</f>
        <v/>
      </c>
      <c r="G11597" s="42" t="str">
        <f>IFERROR(__xludf.DUMMYFUNCTION("""COMPUTED_VALUE"""),"")</f>
        <v/>
      </c>
      <c r="H11597" s="42">
        <f t="shared" si="1"/>
        <v>3345</v>
      </c>
    </row>
    <row r="11598" ht="22.5" customHeight="1">
      <c r="B11598" s="42" t="str">
        <f>IFERROR(__xludf.DUMMYFUNCTION("""COMPUTED_VALUE"""),"")</f>
        <v/>
      </c>
      <c r="C11598" s="42" t="str">
        <f>IFERROR(__xludf.DUMMYFUNCTION("""COMPUTED_VALUE"""),"")</f>
        <v/>
      </c>
      <c r="D11598" s="42"/>
      <c r="E11598" s="42"/>
      <c r="F11598" s="48" t="str">
        <f>IFERROR(__xludf.DUMMYFUNCTION("""COMPUTED_VALUE"""),"")</f>
        <v/>
      </c>
      <c r="G11598" s="42" t="str">
        <f>IFERROR(__xludf.DUMMYFUNCTION("""COMPUTED_VALUE"""),"")</f>
        <v/>
      </c>
      <c r="H11598" s="42">
        <f t="shared" si="1"/>
        <v>3345</v>
      </c>
    </row>
    <row r="11599" ht="22.5" customHeight="1">
      <c r="B11599" s="42" t="str">
        <f>IFERROR(__xludf.DUMMYFUNCTION("""COMPUTED_VALUE"""),"")</f>
        <v/>
      </c>
      <c r="C11599" s="42" t="str">
        <f>IFERROR(__xludf.DUMMYFUNCTION("""COMPUTED_VALUE"""),"")</f>
        <v/>
      </c>
      <c r="D11599" s="42"/>
      <c r="E11599" s="42"/>
      <c r="F11599" s="48" t="str">
        <f>IFERROR(__xludf.DUMMYFUNCTION("""COMPUTED_VALUE"""),"")</f>
        <v/>
      </c>
      <c r="G11599" s="42" t="str">
        <f>IFERROR(__xludf.DUMMYFUNCTION("""COMPUTED_VALUE"""),"")</f>
        <v/>
      </c>
      <c r="H11599" s="42">
        <f t="shared" si="1"/>
        <v>3345</v>
      </c>
    </row>
    <row r="11600" ht="22.5" customHeight="1">
      <c r="B11600" s="42" t="str">
        <f>IFERROR(__xludf.DUMMYFUNCTION("""COMPUTED_VALUE"""),"")</f>
        <v/>
      </c>
      <c r="C11600" s="42" t="str">
        <f>IFERROR(__xludf.DUMMYFUNCTION("""COMPUTED_VALUE"""),"")</f>
        <v/>
      </c>
      <c r="D11600" s="42"/>
      <c r="E11600" s="42"/>
      <c r="F11600" s="48" t="str">
        <f>IFERROR(__xludf.DUMMYFUNCTION("""COMPUTED_VALUE"""),"")</f>
        <v/>
      </c>
      <c r="G11600" s="42" t="str">
        <f>IFERROR(__xludf.DUMMYFUNCTION("""COMPUTED_VALUE"""),"")</f>
        <v/>
      </c>
      <c r="H11600" s="42">
        <f t="shared" si="1"/>
        <v>3345</v>
      </c>
    </row>
    <row r="11601" ht="22.5" customHeight="1">
      <c r="B11601" s="42" t="str">
        <f>IFERROR(__xludf.DUMMYFUNCTION("""COMPUTED_VALUE"""),"")</f>
        <v/>
      </c>
      <c r="C11601" s="42" t="str">
        <f>IFERROR(__xludf.DUMMYFUNCTION("""COMPUTED_VALUE"""),"")</f>
        <v/>
      </c>
      <c r="D11601" s="42"/>
      <c r="E11601" s="42"/>
      <c r="F11601" s="48" t="str">
        <f>IFERROR(__xludf.DUMMYFUNCTION("""COMPUTED_VALUE"""),"")</f>
        <v/>
      </c>
      <c r="G11601" s="42" t="str">
        <f>IFERROR(__xludf.DUMMYFUNCTION("""COMPUTED_VALUE"""),"")</f>
        <v/>
      </c>
      <c r="H11601" s="42">
        <f t="shared" si="1"/>
        <v>3345</v>
      </c>
    </row>
    <row r="11602" ht="22.5" customHeight="1">
      <c r="B11602" s="42" t="str">
        <f>IFERROR(__xludf.DUMMYFUNCTION("""COMPUTED_VALUE"""),"")</f>
        <v/>
      </c>
      <c r="C11602" s="42" t="str">
        <f>IFERROR(__xludf.DUMMYFUNCTION("""COMPUTED_VALUE"""),"")</f>
        <v/>
      </c>
      <c r="D11602" s="42"/>
      <c r="E11602" s="42"/>
      <c r="F11602" s="48" t="str">
        <f>IFERROR(__xludf.DUMMYFUNCTION("""COMPUTED_VALUE"""),"")</f>
        <v/>
      </c>
      <c r="G11602" s="42" t="str">
        <f>IFERROR(__xludf.DUMMYFUNCTION("""COMPUTED_VALUE"""),"")</f>
        <v/>
      </c>
      <c r="H11602" s="42">
        <f t="shared" si="1"/>
        <v>3345</v>
      </c>
    </row>
    <row r="11603" ht="22.5" customHeight="1">
      <c r="B11603" s="42" t="str">
        <f>IFERROR(__xludf.DUMMYFUNCTION("""COMPUTED_VALUE"""),"")</f>
        <v/>
      </c>
      <c r="C11603" s="42" t="str">
        <f>IFERROR(__xludf.DUMMYFUNCTION("""COMPUTED_VALUE"""),"")</f>
        <v/>
      </c>
      <c r="D11603" s="42"/>
      <c r="E11603" s="42"/>
      <c r="F11603" s="48" t="str">
        <f>IFERROR(__xludf.DUMMYFUNCTION("""COMPUTED_VALUE"""),"")</f>
        <v/>
      </c>
      <c r="G11603" s="42" t="str">
        <f>IFERROR(__xludf.DUMMYFUNCTION("""COMPUTED_VALUE"""),"")</f>
        <v/>
      </c>
      <c r="H11603" s="42">
        <f t="shared" si="1"/>
        <v>3345</v>
      </c>
    </row>
    <row r="11604" ht="22.5" customHeight="1">
      <c r="B11604" s="42" t="str">
        <f>IFERROR(__xludf.DUMMYFUNCTION("""COMPUTED_VALUE"""),"")</f>
        <v/>
      </c>
      <c r="C11604" s="42" t="str">
        <f>IFERROR(__xludf.DUMMYFUNCTION("""COMPUTED_VALUE"""),"")</f>
        <v/>
      </c>
      <c r="D11604" s="42"/>
      <c r="E11604" s="42"/>
      <c r="F11604" s="48" t="str">
        <f>IFERROR(__xludf.DUMMYFUNCTION("""COMPUTED_VALUE"""),"")</f>
        <v/>
      </c>
      <c r="G11604" s="42" t="str">
        <f>IFERROR(__xludf.DUMMYFUNCTION("""COMPUTED_VALUE"""),"")</f>
        <v/>
      </c>
      <c r="H11604" s="42">
        <f t="shared" si="1"/>
        <v>3345</v>
      </c>
    </row>
    <row r="11605" ht="22.5" customHeight="1">
      <c r="B11605" s="42" t="str">
        <f>IFERROR(__xludf.DUMMYFUNCTION("""COMPUTED_VALUE"""),"")</f>
        <v/>
      </c>
      <c r="C11605" s="42" t="str">
        <f>IFERROR(__xludf.DUMMYFUNCTION("""COMPUTED_VALUE"""),"")</f>
        <v/>
      </c>
      <c r="D11605" s="42"/>
      <c r="E11605" s="42"/>
      <c r="F11605" s="48" t="str">
        <f>IFERROR(__xludf.DUMMYFUNCTION("""COMPUTED_VALUE"""),"")</f>
        <v/>
      </c>
      <c r="G11605" s="42" t="str">
        <f>IFERROR(__xludf.DUMMYFUNCTION("""COMPUTED_VALUE"""),"")</f>
        <v/>
      </c>
      <c r="H11605" s="42">
        <f t="shared" si="1"/>
        <v>3345</v>
      </c>
    </row>
    <row r="11606" ht="22.5" customHeight="1">
      <c r="B11606" s="42" t="str">
        <f>IFERROR(__xludf.DUMMYFUNCTION("""COMPUTED_VALUE"""),"")</f>
        <v/>
      </c>
      <c r="C11606" s="42" t="str">
        <f>IFERROR(__xludf.DUMMYFUNCTION("""COMPUTED_VALUE"""),"")</f>
        <v/>
      </c>
      <c r="D11606" s="42"/>
      <c r="E11606" s="42"/>
      <c r="F11606" s="48" t="str">
        <f>IFERROR(__xludf.DUMMYFUNCTION("""COMPUTED_VALUE"""),"")</f>
        <v/>
      </c>
      <c r="G11606" s="42" t="str">
        <f>IFERROR(__xludf.DUMMYFUNCTION("""COMPUTED_VALUE"""),"")</f>
        <v/>
      </c>
      <c r="H11606" s="42">
        <f t="shared" si="1"/>
        <v>3345</v>
      </c>
    </row>
    <row r="11607" ht="22.5" customHeight="1">
      <c r="B11607" s="42" t="str">
        <f>IFERROR(__xludf.DUMMYFUNCTION("""COMPUTED_VALUE"""),"")</f>
        <v/>
      </c>
      <c r="C11607" s="42" t="str">
        <f>IFERROR(__xludf.DUMMYFUNCTION("""COMPUTED_VALUE"""),"")</f>
        <v/>
      </c>
      <c r="D11607" s="42"/>
      <c r="E11607" s="42"/>
      <c r="F11607" s="48" t="str">
        <f>IFERROR(__xludf.DUMMYFUNCTION("""COMPUTED_VALUE"""),"")</f>
        <v/>
      </c>
      <c r="G11607" s="42" t="str">
        <f>IFERROR(__xludf.DUMMYFUNCTION("""COMPUTED_VALUE"""),"")</f>
        <v/>
      </c>
      <c r="H11607" s="42">
        <f t="shared" si="1"/>
        <v>3345</v>
      </c>
    </row>
    <row r="11608" ht="22.5" customHeight="1">
      <c r="B11608" s="42" t="str">
        <f>IFERROR(__xludf.DUMMYFUNCTION("""COMPUTED_VALUE"""),"")</f>
        <v/>
      </c>
      <c r="C11608" s="42" t="str">
        <f>IFERROR(__xludf.DUMMYFUNCTION("""COMPUTED_VALUE"""),"")</f>
        <v/>
      </c>
      <c r="D11608" s="42"/>
      <c r="E11608" s="42"/>
      <c r="F11608" s="48" t="str">
        <f>IFERROR(__xludf.DUMMYFUNCTION("""COMPUTED_VALUE"""),"")</f>
        <v/>
      </c>
      <c r="G11608" s="42" t="str">
        <f>IFERROR(__xludf.DUMMYFUNCTION("""COMPUTED_VALUE"""),"")</f>
        <v/>
      </c>
      <c r="H11608" s="42">
        <f t="shared" si="1"/>
        <v>3345</v>
      </c>
    </row>
    <row r="11609" ht="22.5" customHeight="1">
      <c r="B11609" s="42" t="str">
        <f>IFERROR(__xludf.DUMMYFUNCTION("""COMPUTED_VALUE"""),"")</f>
        <v/>
      </c>
      <c r="C11609" s="42" t="str">
        <f>IFERROR(__xludf.DUMMYFUNCTION("""COMPUTED_VALUE"""),"")</f>
        <v/>
      </c>
      <c r="D11609" s="42"/>
      <c r="E11609" s="42"/>
      <c r="F11609" s="48" t="str">
        <f>IFERROR(__xludf.DUMMYFUNCTION("""COMPUTED_VALUE"""),"")</f>
        <v/>
      </c>
      <c r="G11609" s="42" t="str">
        <f>IFERROR(__xludf.DUMMYFUNCTION("""COMPUTED_VALUE"""),"")</f>
        <v/>
      </c>
      <c r="H11609" s="42">
        <f t="shared" si="1"/>
        <v>3345</v>
      </c>
    </row>
    <row r="11610" ht="22.5" customHeight="1">
      <c r="B11610" s="42" t="str">
        <f>IFERROR(__xludf.DUMMYFUNCTION("""COMPUTED_VALUE"""),"")</f>
        <v/>
      </c>
      <c r="C11610" s="42" t="str">
        <f>IFERROR(__xludf.DUMMYFUNCTION("""COMPUTED_VALUE"""),"")</f>
        <v/>
      </c>
      <c r="D11610" s="42"/>
      <c r="E11610" s="42"/>
      <c r="F11610" s="48" t="str">
        <f>IFERROR(__xludf.DUMMYFUNCTION("""COMPUTED_VALUE"""),"")</f>
        <v/>
      </c>
      <c r="G11610" s="42" t="str">
        <f>IFERROR(__xludf.DUMMYFUNCTION("""COMPUTED_VALUE"""),"")</f>
        <v/>
      </c>
      <c r="H11610" s="42">
        <f t="shared" si="1"/>
        <v>3345</v>
      </c>
    </row>
    <row r="11611" ht="22.5" customHeight="1">
      <c r="B11611" s="42" t="str">
        <f>IFERROR(__xludf.DUMMYFUNCTION("""COMPUTED_VALUE"""),"")</f>
        <v/>
      </c>
      <c r="C11611" s="42" t="str">
        <f>IFERROR(__xludf.DUMMYFUNCTION("""COMPUTED_VALUE"""),"")</f>
        <v/>
      </c>
      <c r="D11611" s="42"/>
      <c r="E11611" s="42"/>
      <c r="F11611" s="48" t="str">
        <f>IFERROR(__xludf.DUMMYFUNCTION("""COMPUTED_VALUE"""),"")</f>
        <v/>
      </c>
      <c r="G11611" s="42" t="str">
        <f>IFERROR(__xludf.DUMMYFUNCTION("""COMPUTED_VALUE"""),"")</f>
        <v/>
      </c>
      <c r="H11611" s="42">
        <f t="shared" si="1"/>
        <v>3345</v>
      </c>
    </row>
    <row r="11612" ht="22.5" customHeight="1">
      <c r="B11612" s="42" t="str">
        <f>IFERROR(__xludf.DUMMYFUNCTION("""COMPUTED_VALUE"""),"")</f>
        <v/>
      </c>
      <c r="C11612" s="42" t="str">
        <f>IFERROR(__xludf.DUMMYFUNCTION("""COMPUTED_VALUE"""),"")</f>
        <v/>
      </c>
      <c r="D11612" s="42"/>
      <c r="E11612" s="42"/>
      <c r="F11612" s="48" t="str">
        <f>IFERROR(__xludf.DUMMYFUNCTION("""COMPUTED_VALUE"""),"")</f>
        <v/>
      </c>
      <c r="G11612" s="42" t="str">
        <f>IFERROR(__xludf.DUMMYFUNCTION("""COMPUTED_VALUE"""),"")</f>
        <v/>
      </c>
      <c r="H11612" s="42">
        <f t="shared" si="1"/>
        <v>3345</v>
      </c>
    </row>
    <row r="11613" ht="22.5" customHeight="1">
      <c r="B11613" s="42" t="str">
        <f>IFERROR(__xludf.DUMMYFUNCTION("""COMPUTED_VALUE"""),"")</f>
        <v/>
      </c>
      <c r="C11613" s="42" t="str">
        <f>IFERROR(__xludf.DUMMYFUNCTION("""COMPUTED_VALUE"""),"")</f>
        <v/>
      </c>
      <c r="D11613" s="42"/>
      <c r="E11613" s="42"/>
      <c r="F11613" s="48" t="str">
        <f>IFERROR(__xludf.DUMMYFUNCTION("""COMPUTED_VALUE"""),"")</f>
        <v/>
      </c>
      <c r="G11613" s="42" t="str">
        <f>IFERROR(__xludf.DUMMYFUNCTION("""COMPUTED_VALUE"""),"")</f>
        <v/>
      </c>
      <c r="H11613" s="42">
        <f t="shared" si="1"/>
        <v>3345</v>
      </c>
    </row>
    <row r="11614" ht="22.5" customHeight="1">
      <c r="B11614" s="42" t="str">
        <f>IFERROR(__xludf.DUMMYFUNCTION("""COMPUTED_VALUE"""),"")</f>
        <v/>
      </c>
      <c r="C11614" s="42" t="str">
        <f>IFERROR(__xludf.DUMMYFUNCTION("""COMPUTED_VALUE"""),"")</f>
        <v/>
      </c>
      <c r="D11614" s="42"/>
      <c r="E11614" s="42"/>
      <c r="F11614" s="48" t="str">
        <f>IFERROR(__xludf.DUMMYFUNCTION("""COMPUTED_VALUE"""),"")</f>
        <v/>
      </c>
      <c r="G11614" s="42" t="str">
        <f>IFERROR(__xludf.DUMMYFUNCTION("""COMPUTED_VALUE"""),"")</f>
        <v/>
      </c>
      <c r="H11614" s="42">
        <f t="shared" si="1"/>
        <v>3345</v>
      </c>
    </row>
    <row r="11615" ht="22.5" customHeight="1">
      <c r="B11615" s="42" t="str">
        <f>IFERROR(__xludf.DUMMYFUNCTION("""COMPUTED_VALUE"""),"")</f>
        <v/>
      </c>
      <c r="C11615" s="42" t="str">
        <f>IFERROR(__xludf.DUMMYFUNCTION("""COMPUTED_VALUE"""),"")</f>
        <v/>
      </c>
      <c r="D11615" s="42"/>
      <c r="E11615" s="42"/>
      <c r="F11615" s="48" t="str">
        <f>IFERROR(__xludf.DUMMYFUNCTION("""COMPUTED_VALUE"""),"")</f>
        <v/>
      </c>
      <c r="G11615" s="42" t="str">
        <f>IFERROR(__xludf.DUMMYFUNCTION("""COMPUTED_VALUE"""),"")</f>
        <v/>
      </c>
      <c r="H11615" s="42">
        <f t="shared" si="1"/>
        <v>3345</v>
      </c>
    </row>
    <row r="11616" ht="22.5" customHeight="1">
      <c r="B11616" s="42" t="str">
        <f>IFERROR(__xludf.DUMMYFUNCTION("""COMPUTED_VALUE"""),"")</f>
        <v/>
      </c>
      <c r="C11616" s="42" t="str">
        <f>IFERROR(__xludf.DUMMYFUNCTION("""COMPUTED_VALUE"""),"")</f>
        <v/>
      </c>
      <c r="D11616" s="42"/>
      <c r="E11616" s="42"/>
      <c r="F11616" s="48" t="str">
        <f>IFERROR(__xludf.DUMMYFUNCTION("""COMPUTED_VALUE"""),"")</f>
        <v/>
      </c>
      <c r="G11616" s="42" t="str">
        <f>IFERROR(__xludf.DUMMYFUNCTION("""COMPUTED_VALUE"""),"")</f>
        <v/>
      </c>
      <c r="H11616" s="42">
        <f t="shared" si="1"/>
        <v>3345</v>
      </c>
    </row>
    <row r="11617" ht="22.5" customHeight="1">
      <c r="B11617" s="42" t="str">
        <f>IFERROR(__xludf.DUMMYFUNCTION("""COMPUTED_VALUE"""),"")</f>
        <v/>
      </c>
      <c r="C11617" s="42" t="str">
        <f>IFERROR(__xludf.DUMMYFUNCTION("""COMPUTED_VALUE"""),"")</f>
        <v/>
      </c>
      <c r="D11617" s="42"/>
      <c r="E11617" s="42"/>
      <c r="F11617" s="48" t="str">
        <f>IFERROR(__xludf.DUMMYFUNCTION("""COMPUTED_VALUE"""),"")</f>
        <v/>
      </c>
      <c r="G11617" s="42" t="str">
        <f>IFERROR(__xludf.DUMMYFUNCTION("""COMPUTED_VALUE"""),"")</f>
        <v/>
      </c>
      <c r="H11617" s="42">
        <f t="shared" si="1"/>
        <v>3345</v>
      </c>
    </row>
    <row r="11618" ht="22.5" customHeight="1">
      <c r="B11618" s="42" t="str">
        <f>IFERROR(__xludf.DUMMYFUNCTION("""COMPUTED_VALUE"""),"")</f>
        <v/>
      </c>
      <c r="C11618" s="42" t="str">
        <f>IFERROR(__xludf.DUMMYFUNCTION("""COMPUTED_VALUE"""),"")</f>
        <v/>
      </c>
      <c r="D11618" s="42"/>
      <c r="E11618" s="42"/>
      <c r="F11618" s="48" t="str">
        <f>IFERROR(__xludf.DUMMYFUNCTION("""COMPUTED_VALUE"""),"")</f>
        <v/>
      </c>
      <c r="G11618" s="42" t="str">
        <f>IFERROR(__xludf.DUMMYFUNCTION("""COMPUTED_VALUE"""),"")</f>
        <v/>
      </c>
      <c r="H11618" s="42">
        <f t="shared" si="1"/>
        <v>3345</v>
      </c>
    </row>
    <row r="11619" ht="22.5" customHeight="1">
      <c r="B11619" s="42" t="str">
        <f>IFERROR(__xludf.DUMMYFUNCTION("""COMPUTED_VALUE"""),"")</f>
        <v/>
      </c>
      <c r="C11619" s="42" t="str">
        <f>IFERROR(__xludf.DUMMYFUNCTION("""COMPUTED_VALUE"""),"")</f>
        <v/>
      </c>
      <c r="D11619" s="42"/>
      <c r="E11619" s="42"/>
      <c r="F11619" s="48" t="str">
        <f>IFERROR(__xludf.DUMMYFUNCTION("""COMPUTED_VALUE"""),"")</f>
        <v/>
      </c>
      <c r="G11619" s="42" t="str">
        <f>IFERROR(__xludf.DUMMYFUNCTION("""COMPUTED_VALUE"""),"")</f>
        <v/>
      </c>
      <c r="H11619" s="42">
        <f t="shared" si="1"/>
        <v>3345</v>
      </c>
    </row>
    <row r="11620" ht="22.5" customHeight="1">
      <c r="B11620" s="42" t="str">
        <f>IFERROR(__xludf.DUMMYFUNCTION("""COMPUTED_VALUE"""),"")</f>
        <v/>
      </c>
      <c r="C11620" s="42" t="str">
        <f>IFERROR(__xludf.DUMMYFUNCTION("""COMPUTED_VALUE"""),"")</f>
        <v/>
      </c>
      <c r="D11620" s="42"/>
      <c r="E11620" s="42"/>
      <c r="F11620" s="48" t="str">
        <f>IFERROR(__xludf.DUMMYFUNCTION("""COMPUTED_VALUE"""),"")</f>
        <v/>
      </c>
      <c r="G11620" s="42" t="str">
        <f>IFERROR(__xludf.DUMMYFUNCTION("""COMPUTED_VALUE"""),"")</f>
        <v/>
      </c>
      <c r="H11620" s="42">
        <f t="shared" si="1"/>
        <v>3345</v>
      </c>
    </row>
    <row r="11621" ht="22.5" customHeight="1">
      <c r="B11621" s="42" t="str">
        <f>IFERROR(__xludf.DUMMYFUNCTION("""COMPUTED_VALUE"""),"")</f>
        <v/>
      </c>
      <c r="C11621" s="42" t="str">
        <f>IFERROR(__xludf.DUMMYFUNCTION("""COMPUTED_VALUE"""),"")</f>
        <v/>
      </c>
      <c r="D11621" s="42"/>
      <c r="E11621" s="42"/>
      <c r="F11621" s="48" t="str">
        <f>IFERROR(__xludf.DUMMYFUNCTION("""COMPUTED_VALUE"""),"")</f>
        <v/>
      </c>
      <c r="G11621" s="42" t="str">
        <f>IFERROR(__xludf.DUMMYFUNCTION("""COMPUTED_VALUE"""),"")</f>
        <v/>
      </c>
      <c r="H11621" s="42">
        <f t="shared" si="1"/>
        <v>3345</v>
      </c>
    </row>
    <row r="11622" ht="22.5" customHeight="1">
      <c r="B11622" s="42" t="str">
        <f>IFERROR(__xludf.DUMMYFUNCTION("""COMPUTED_VALUE"""),"")</f>
        <v/>
      </c>
      <c r="C11622" s="42" t="str">
        <f>IFERROR(__xludf.DUMMYFUNCTION("""COMPUTED_VALUE"""),"")</f>
        <v/>
      </c>
      <c r="D11622" s="42"/>
      <c r="E11622" s="42"/>
      <c r="F11622" s="48" t="str">
        <f>IFERROR(__xludf.DUMMYFUNCTION("""COMPUTED_VALUE"""),"")</f>
        <v/>
      </c>
      <c r="G11622" s="42" t="str">
        <f>IFERROR(__xludf.DUMMYFUNCTION("""COMPUTED_VALUE"""),"")</f>
        <v/>
      </c>
      <c r="H11622" s="42">
        <f t="shared" si="1"/>
        <v>3345</v>
      </c>
    </row>
    <row r="11623" ht="22.5" customHeight="1">
      <c r="B11623" s="42" t="str">
        <f>IFERROR(__xludf.DUMMYFUNCTION("""COMPUTED_VALUE"""),"")</f>
        <v/>
      </c>
      <c r="C11623" s="42" t="str">
        <f>IFERROR(__xludf.DUMMYFUNCTION("""COMPUTED_VALUE"""),"")</f>
        <v/>
      </c>
      <c r="D11623" s="42"/>
      <c r="E11623" s="42"/>
      <c r="F11623" s="48" t="str">
        <f>IFERROR(__xludf.DUMMYFUNCTION("""COMPUTED_VALUE"""),"")</f>
        <v/>
      </c>
      <c r="G11623" s="42" t="str">
        <f>IFERROR(__xludf.DUMMYFUNCTION("""COMPUTED_VALUE"""),"")</f>
        <v/>
      </c>
      <c r="H11623" s="42">
        <f t="shared" si="1"/>
        <v>3345</v>
      </c>
    </row>
    <row r="11624" ht="22.5" customHeight="1">
      <c r="B11624" s="42" t="str">
        <f>IFERROR(__xludf.DUMMYFUNCTION("""COMPUTED_VALUE"""),"")</f>
        <v/>
      </c>
      <c r="C11624" s="42" t="str">
        <f>IFERROR(__xludf.DUMMYFUNCTION("""COMPUTED_VALUE"""),"")</f>
        <v/>
      </c>
      <c r="D11624" s="42"/>
      <c r="E11624" s="42"/>
      <c r="F11624" s="48" t="str">
        <f>IFERROR(__xludf.DUMMYFUNCTION("""COMPUTED_VALUE"""),"")</f>
        <v/>
      </c>
      <c r="G11624" s="42" t="str">
        <f>IFERROR(__xludf.DUMMYFUNCTION("""COMPUTED_VALUE"""),"")</f>
        <v/>
      </c>
      <c r="H11624" s="42">
        <f t="shared" si="1"/>
        <v>3345</v>
      </c>
    </row>
    <row r="11625" ht="22.5" customHeight="1">
      <c r="B11625" s="42" t="str">
        <f>IFERROR(__xludf.DUMMYFUNCTION("""COMPUTED_VALUE"""),"")</f>
        <v/>
      </c>
      <c r="C11625" s="42" t="str">
        <f>IFERROR(__xludf.DUMMYFUNCTION("""COMPUTED_VALUE"""),"")</f>
        <v/>
      </c>
      <c r="D11625" s="42"/>
      <c r="E11625" s="42"/>
      <c r="F11625" s="48" t="str">
        <f>IFERROR(__xludf.DUMMYFUNCTION("""COMPUTED_VALUE"""),"")</f>
        <v/>
      </c>
      <c r="G11625" s="42" t="str">
        <f>IFERROR(__xludf.DUMMYFUNCTION("""COMPUTED_VALUE"""),"")</f>
        <v/>
      </c>
      <c r="H11625" s="42">
        <f t="shared" si="1"/>
        <v>3345</v>
      </c>
    </row>
    <row r="11626" ht="22.5" customHeight="1">
      <c r="B11626" s="42" t="str">
        <f>IFERROR(__xludf.DUMMYFUNCTION("""COMPUTED_VALUE"""),"")</f>
        <v/>
      </c>
      <c r="C11626" s="42" t="str">
        <f>IFERROR(__xludf.DUMMYFUNCTION("""COMPUTED_VALUE"""),"")</f>
        <v/>
      </c>
      <c r="D11626" s="42"/>
      <c r="E11626" s="42"/>
      <c r="F11626" s="48" t="str">
        <f>IFERROR(__xludf.DUMMYFUNCTION("""COMPUTED_VALUE"""),"")</f>
        <v/>
      </c>
      <c r="G11626" s="42" t="str">
        <f>IFERROR(__xludf.DUMMYFUNCTION("""COMPUTED_VALUE"""),"")</f>
        <v/>
      </c>
      <c r="H11626" s="42">
        <f t="shared" si="1"/>
        <v>3345</v>
      </c>
    </row>
    <row r="11627" ht="22.5" customHeight="1">
      <c r="B11627" s="42" t="str">
        <f>IFERROR(__xludf.DUMMYFUNCTION("""COMPUTED_VALUE"""),"")</f>
        <v/>
      </c>
      <c r="C11627" s="42" t="str">
        <f>IFERROR(__xludf.DUMMYFUNCTION("""COMPUTED_VALUE"""),"")</f>
        <v/>
      </c>
      <c r="D11627" s="42"/>
      <c r="E11627" s="42"/>
      <c r="F11627" s="48" t="str">
        <f>IFERROR(__xludf.DUMMYFUNCTION("""COMPUTED_VALUE"""),"")</f>
        <v/>
      </c>
      <c r="G11627" s="42" t="str">
        <f>IFERROR(__xludf.DUMMYFUNCTION("""COMPUTED_VALUE"""),"")</f>
        <v/>
      </c>
      <c r="H11627" s="42">
        <f t="shared" si="1"/>
        <v>3345</v>
      </c>
    </row>
    <row r="11628" ht="22.5" customHeight="1">
      <c r="B11628" s="42" t="str">
        <f>IFERROR(__xludf.DUMMYFUNCTION("""COMPUTED_VALUE"""),"")</f>
        <v/>
      </c>
      <c r="C11628" s="42" t="str">
        <f>IFERROR(__xludf.DUMMYFUNCTION("""COMPUTED_VALUE"""),"")</f>
        <v/>
      </c>
      <c r="D11628" s="42"/>
      <c r="E11628" s="42"/>
      <c r="F11628" s="48" t="str">
        <f>IFERROR(__xludf.DUMMYFUNCTION("""COMPUTED_VALUE"""),"")</f>
        <v/>
      </c>
      <c r="G11628" s="42" t="str">
        <f>IFERROR(__xludf.DUMMYFUNCTION("""COMPUTED_VALUE"""),"")</f>
        <v/>
      </c>
      <c r="H11628" s="42">
        <f t="shared" si="1"/>
        <v>3345</v>
      </c>
    </row>
    <row r="11629" ht="22.5" customHeight="1">
      <c r="B11629" s="42" t="str">
        <f>IFERROR(__xludf.DUMMYFUNCTION("""COMPUTED_VALUE"""),"")</f>
        <v/>
      </c>
      <c r="C11629" s="42" t="str">
        <f>IFERROR(__xludf.DUMMYFUNCTION("""COMPUTED_VALUE"""),"")</f>
        <v/>
      </c>
      <c r="D11629" s="42"/>
      <c r="E11629" s="42"/>
      <c r="F11629" s="48" t="str">
        <f>IFERROR(__xludf.DUMMYFUNCTION("""COMPUTED_VALUE"""),"")</f>
        <v/>
      </c>
      <c r="G11629" s="42" t="str">
        <f>IFERROR(__xludf.DUMMYFUNCTION("""COMPUTED_VALUE"""),"")</f>
        <v/>
      </c>
      <c r="H11629" s="42">
        <f t="shared" si="1"/>
        <v>3345</v>
      </c>
    </row>
    <row r="11630" ht="22.5" customHeight="1">
      <c r="B11630" s="42" t="str">
        <f>IFERROR(__xludf.DUMMYFUNCTION("""COMPUTED_VALUE"""),"")</f>
        <v/>
      </c>
      <c r="C11630" s="42" t="str">
        <f>IFERROR(__xludf.DUMMYFUNCTION("""COMPUTED_VALUE"""),"")</f>
        <v/>
      </c>
      <c r="D11630" s="42"/>
      <c r="E11630" s="42"/>
      <c r="F11630" s="48" t="str">
        <f>IFERROR(__xludf.DUMMYFUNCTION("""COMPUTED_VALUE"""),"")</f>
        <v/>
      </c>
      <c r="G11630" s="42" t="str">
        <f>IFERROR(__xludf.DUMMYFUNCTION("""COMPUTED_VALUE"""),"")</f>
        <v/>
      </c>
      <c r="H11630" s="42">
        <f t="shared" si="1"/>
        <v>3345</v>
      </c>
    </row>
    <row r="11631" ht="22.5" customHeight="1">
      <c r="B11631" s="42" t="str">
        <f>IFERROR(__xludf.DUMMYFUNCTION("""COMPUTED_VALUE"""),"")</f>
        <v/>
      </c>
      <c r="C11631" s="42" t="str">
        <f>IFERROR(__xludf.DUMMYFUNCTION("""COMPUTED_VALUE"""),"")</f>
        <v/>
      </c>
      <c r="D11631" s="42"/>
      <c r="E11631" s="42"/>
      <c r="F11631" s="48" t="str">
        <f>IFERROR(__xludf.DUMMYFUNCTION("""COMPUTED_VALUE"""),"")</f>
        <v/>
      </c>
      <c r="G11631" s="42" t="str">
        <f>IFERROR(__xludf.DUMMYFUNCTION("""COMPUTED_VALUE"""),"")</f>
        <v/>
      </c>
      <c r="H11631" s="42">
        <f t="shared" si="1"/>
        <v>3345</v>
      </c>
    </row>
    <row r="11632" ht="22.5" customHeight="1">
      <c r="B11632" s="42" t="str">
        <f>IFERROR(__xludf.DUMMYFUNCTION("""COMPUTED_VALUE"""),"")</f>
        <v/>
      </c>
      <c r="C11632" s="42" t="str">
        <f>IFERROR(__xludf.DUMMYFUNCTION("""COMPUTED_VALUE"""),"")</f>
        <v/>
      </c>
      <c r="D11632" s="42"/>
      <c r="E11632" s="42"/>
      <c r="F11632" s="48" t="str">
        <f>IFERROR(__xludf.DUMMYFUNCTION("""COMPUTED_VALUE"""),"")</f>
        <v/>
      </c>
      <c r="G11632" s="42" t="str">
        <f>IFERROR(__xludf.DUMMYFUNCTION("""COMPUTED_VALUE"""),"")</f>
        <v/>
      </c>
      <c r="H11632" s="42">
        <f t="shared" si="1"/>
        <v>3345</v>
      </c>
    </row>
    <row r="11633" ht="22.5" customHeight="1">
      <c r="B11633" s="42" t="str">
        <f>IFERROR(__xludf.DUMMYFUNCTION("""COMPUTED_VALUE"""),"")</f>
        <v/>
      </c>
      <c r="C11633" s="42" t="str">
        <f>IFERROR(__xludf.DUMMYFUNCTION("""COMPUTED_VALUE"""),"")</f>
        <v/>
      </c>
      <c r="D11633" s="42"/>
      <c r="E11633" s="42"/>
      <c r="F11633" s="48" t="str">
        <f>IFERROR(__xludf.DUMMYFUNCTION("""COMPUTED_VALUE"""),"")</f>
        <v/>
      </c>
      <c r="G11633" s="42" t="str">
        <f>IFERROR(__xludf.DUMMYFUNCTION("""COMPUTED_VALUE"""),"")</f>
        <v/>
      </c>
      <c r="H11633" s="42">
        <f t="shared" si="1"/>
        <v>3345</v>
      </c>
    </row>
    <row r="11634" ht="22.5" customHeight="1">
      <c r="B11634" s="42" t="str">
        <f>IFERROR(__xludf.DUMMYFUNCTION("""COMPUTED_VALUE"""),"")</f>
        <v/>
      </c>
      <c r="C11634" s="42" t="str">
        <f>IFERROR(__xludf.DUMMYFUNCTION("""COMPUTED_VALUE"""),"")</f>
        <v/>
      </c>
      <c r="D11634" s="42"/>
      <c r="E11634" s="42"/>
      <c r="F11634" s="48" t="str">
        <f>IFERROR(__xludf.DUMMYFUNCTION("""COMPUTED_VALUE"""),"")</f>
        <v/>
      </c>
      <c r="G11634" s="42" t="str">
        <f>IFERROR(__xludf.DUMMYFUNCTION("""COMPUTED_VALUE"""),"")</f>
        <v/>
      </c>
      <c r="H11634" s="42">
        <f t="shared" si="1"/>
        <v>3345</v>
      </c>
    </row>
    <row r="11635" ht="22.5" customHeight="1">
      <c r="B11635" s="42" t="str">
        <f>IFERROR(__xludf.DUMMYFUNCTION("""COMPUTED_VALUE"""),"")</f>
        <v/>
      </c>
      <c r="C11635" s="42" t="str">
        <f>IFERROR(__xludf.DUMMYFUNCTION("""COMPUTED_VALUE"""),"")</f>
        <v/>
      </c>
      <c r="D11635" s="42"/>
      <c r="E11635" s="42"/>
      <c r="F11635" s="48" t="str">
        <f>IFERROR(__xludf.DUMMYFUNCTION("""COMPUTED_VALUE"""),"")</f>
        <v/>
      </c>
      <c r="G11635" s="42" t="str">
        <f>IFERROR(__xludf.DUMMYFUNCTION("""COMPUTED_VALUE"""),"")</f>
        <v/>
      </c>
      <c r="H11635" s="42">
        <f t="shared" si="1"/>
        <v>3345</v>
      </c>
    </row>
    <row r="11636" ht="22.5" customHeight="1">
      <c r="B11636" s="42" t="str">
        <f>IFERROR(__xludf.DUMMYFUNCTION("""COMPUTED_VALUE"""),"")</f>
        <v/>
      </c>
      <c r="C11636" s="42" t="str">
        <f>IFERROR(__xludf.DUMMYFUNCTION("""COMPUTED_VALUE"""),"")</f>
        <v/>
      </c>
      <c r="D11636" s="42"/>
      <c r="E11636" s="42"/>
      <c r="F11636" s="48" t="str">
        <f>IFERROR(__xludf.DUMMYFUNCTION("""COMPUTED_VALUE"""),"")</f>
        <v/>
      </c>
      <c r="G11636" s="42" t="str">
        <f>IFERROR(__xludf.DUMMYFUNCTION("""COMPUTED_VALUE"""),"")</f>
        <v/>
      </c>
      <c r="H11636" s="42">
        <f t="shared" si="1"/>
        <v>3345</v>
      </c>
    </row>
    <row r="11637" ht="22.5" customHeight="1">
      <c r="B11637" s="42" t="str">
        <f>IFERROR(__xludf.DUMMYFUNCTION("""COMPUTED_VALUE"""),"")</f>
        <v/>
      </c>
      <c r="C11637" s="42" t="str">
        <f>IFERROR(__xludf.DUMMYFUNCTION("""COMPUTED_VALUE"""),"")</f>
        <v/>
      </c>
      <c r="D11637" s="42"/>
      <c r="E11637" s="42"/>
      <c r="F11637" s="48" t="str">
        <f>IFERROR(__xludf.DUMMYFUNCTION("""COMPUTED_VALUE"""),"")</f>
        <v/>
      </c>
      <c r="G11637" s="42" t="str">
        <f>IFERROR(__xludf.DUMMYFUNCTION("""COMPUTED_VALUE"""),"")</f>
        <v/>
      </c>
      <c r="H11637" s="42">
        <f t="shared" si="1"/>
        <v>3345</v>
      </c>
    </row>
    <row r="11638" ht="22.5" customHeight="1">
      <c r="B11638" s="42" t="str">
        <f>IFERROR(__xludf.DUMMYFUNCTION("""COMPUTED_VALUE"""),"")</f>
        <v/>
      </c>
      <c r="C11638" s="42" t="str">
        <f>IFERROR(__xludf.DUMMYFUNCTION("""COMPUTED_VALUE"""),"")</f>
        <v/>
      </c>
      <c r="D11638" s="42"/>
      <c r="E11638" s="42"/>
      <c r="F11638" s="48" t="str">
        <f>IFERROR(__xludf.DUMMYFUNCTION("""COMPUTED_VALUE"""),"")</f>
        <v/>
      </c>
      <c r="G11638" s="42" t="str">
        <f>IFERROR(__xludf.DUMMYFUNCTION("""COMPUTED_VALUE"""),"")</f>
        <v/>
      </c>
      <c r="H11638" s="42">
        <f t="shared" si="1"/>
        <v>3345</v>
      </c>
    </row>
    <row r="11639" ht="22.5" customHeight="1">
      <c r="B11639" s="42" t="str">
        <f>IFERROR(__xludf.DUMMYFUNCTION("""COMPUTED_VALUE"""),"")</f>
        <v/>
      </c>
      <c r="C11639" s="42" t="str">
        <f>IFERROR(__xludf.DUMMYFUNCTION("""COMPUTED_VALUE"""),"")</f>
        <v/>
      </c>
      <c r="D11639" s="42"/>
      <c r="E11639" s="42"/>
      <c r="F11639" s="48" t="str">
        <f>IFERROR(__xludf.DUMMYFUNCTION("""COMPUTED_VALUE"""),"")</f>
        <v/>
      </c>
      <c r="G11639" s="42" t="str">
        <f>IFERROR(__xludf.DUMMYFUNCTION("""COMPUTED_VALUE"""),"")</f>
        <v/>
      </c>
      <c r="H11639" s="42">
        <f t="shared" si="1"/>
        <v>3345</v>
      </c>
    </row>
    <row r="11640" ht="22.5" customHeight="1">
      <c r="B11640" s="42" t="str">
        <f>IFERROR(__xludf.DUMMYFUNCTION("""COMPUTED_VALUE"""),"")</f>
        <v/>
      </c>
      <c r="C11640" s="42" t="str">
        <f>IFERROR(__xludf.DUMMYFUNCTION("""COMPUTED_VALUE"""),"")</f>
        <v/>
      </c>
      <c r="D11640" s="42"/>
      <c r="E11640" s="42"/>
      <c r="F11640" s="48" t="str">
        <f>IFERROR(__xludf.DUMMYFUNCTION("""COMPUTED_VALUE"""),"")</f>
        <v/>
      </c>
      <c r="G11640" s="42" t="str">
        <f>IFERROR(__xludf.DUMMYFUNCTION("""COMPUTED_VALUE"""),"")</f>
        <v/>
      </c>
      <c r="H11640" s="42">
        <f t="shared" si="1"/>
        <v>3345</v>
      </c>
    </row>
    <row r="11641" ht="22.5" customHeight="1">
      <c r="B11641" s="42" t="str">
        <f>IFERROR(__xludf.DUMMYFUNCTION("""COMPUTED_VALUE"""),"")</f>
        <v/>
      </c>
      <c r="C11641" s="42" t="str">
        <f>IFERROR(__xludf.DUMMYFUNCTION("""COMPUTED_VALUE"""),"")</f>
        <v/>
      </c>
      <c r="D11641" s="42"/>
      <c r="E11641" s="42"/>
      <c r="F11641" s="48" t="str">
        <f>IFERROR(__xludf.DUMMYFUNCTION("""COMPUTED_VALUE"""),"")</f>
        <v/>
      </c>
      <c r="G11641" s="42" t="str">
        <f>IFERROR(__xludf.DUMMYFUNCTION("""COMPUTED_VALUE"""),"")</f>
        <v/>
      </c>
      <c r="H11641" s="42">
        <f t="shared" si="1"/>
        <v>3345</v>
      </c>
    </row>
    <row r="11642" ht="22.5" customHeight="1">
      <c r="B11642" s="42" t="str">
        <f>IFERROR(__xludf.DUMMYFUNCTION("""COMPUTED_VALUE"""),"")</f>
        <v/>
      </c>
      <c r="C11642" s="42" t="str">
        <f>IFERROR(__xludf.DUMMYFUNCTION("""COMPUTED_VALUE"""),"")</f>
        <v/>
      </c>
      <c r="D11642" s="42"/>
      <c r="E11642" s="42"/>
      <c r="F11642" s="48" t="str">
        <f>IFERROR(__xludf.DUMMYFUNCTION("""COMPUTED_VALUE"""),"")</f>
        <v/>
      </c>
      <c r="G11642" s="42" t="str">
        <f>IFERROR(__xludf.DUMMYFUNCTION("""COMPUTED_VALUE"""),"")</f>
        <v/>
      </c>
      <c r="H11642" s="42">
        <f t="shared" si="1"/>
        <v>3345</v>
      </c>
    </row>
    <row r="11643" ht="22.5" customHeight="1">
      <c r="B11643" s="42" t="str">
        <f>IFERROR(__xludf.DUMMYFUNCTION("""COMPUTED_VALUE"""),"")</f>
        <v/>
      </c>
      <c r="C11643" s="42" t="str">
        <f>IFERROR(__xludf.DUMMYFUNCTION("""COMPUTED_VALUE"""),"")</f>
        <v/>
      </c>
      <c r="D11643" s="42"/>
      <c r="E11643" s="42"/>
      <c r="F11643" s="48" t="str">
        <f>IFERROR(__xludf.DUMMYFUNCTION("""COMPUTED_VALUE"""),"")</f>
        <v/>
      </c>
      <c r="G11643" s="42" t="str">
        <f>IFERROR(__xludf.DUMMYFUNCTION("""COMPUTED_VALUE"""),"")</f>
        <v/>
      </c>
      <c r="H11643" s="42">
        <f t="shared" si="1"/>
        <v>3345</v>
      </c>
    </row>
    <row r="11644" ht="22.5" customHeight="1">
      <c r="B11644" s="42" t="str">
        <f>IFERROR(__xludf.DUMMYFUNCTION("""COMPUTED_VALUE"""),"")</f>
        <v/>
      </c>
      <c r="C11644" s="42" t="str">
        <f>IFERROR(__xludf.DUMMYFUNCTION("""COMPUTED_VALUE"""),"")</f>
        <v/>
      </c>
      <c r="D11644" s="42"/>
      <c r="E11644" s="42"/>
      <c r="F11644" s="48" t="str">
        <f>IFERROR(__xludf.DUMMYFUNCTION("""COMPUTED_VALUE"""),"")</f>
        <v/>
      </c>
      <c r="G11644" s="42" t="str">
        <f>IFERROR(__xludf.DUMMYFUNCTION("""COMPUTED_VALUE"""),"")</f>
        <v/>
      </c>
      <c r="H11644" s="42">
        <f t="shared" si="1"/>
        <v>3345</v>
      </c>
    </row>
    <row r="11645" ht="22.5" customHeight="1">
      <c r="B11645" s="42" t="str">
        <f>IFERROR(__xludf.DUMMYFUNCTION("""COMPUTED_VALUE"""),"")</f>
        <v/>
      </c>
      <c r="C11645" s="42" t="str">
        <f>IFERROR(__xludf.DUMMYFUNCTION("""COMPUTED_VALUE"""),"")</f>
        <v/>
      </c>
      <c r="D11645" s="42"/>
      <c r="E11645" s="42"/>
      <c r="F11645" s="48" t="str">
        <f>IFERROR(__xludf.DUMMYFUNCTION("""COMPUTED_VALUE"""),"")</f>
        <v/>
      </c>
      <c r="G11645" s="42" t="str">
        <f>IFERROR(__xludf.DUMMYFUNCTION("""COMPUTED_VALUE"""),"")</f>
        <v/>
      </c>
      <c r="H11645" s="42">
        <f t="shared" si="1"/>
        <v>3345</v>
      </c>
    </row>
    <row r="11646" ht="22.5" customHeight="1">
      <c r="B11646" s="42" t="str">
        <f>IFERROR(__xludf.DUMMYFUNCTION("""COMPUTED_VALUE"""),"")</f>
        <v/>
      </c>
      <c r="C11646" s="42" t="str">
        <f>IFERROR(__xludf.DUMMYFUNCTION("""COMPUTED_VALUE"""),"")</f>
        <v/>
      </c>
      <c r="D11646" s="42"/>
      <c r="E11646" s="42"/>
      <c r="F11646" s="48" t="str">
        <f>IFERROR(__xludf.DUMMYFUNCTION("""COMPUTED_VALUE"""),"")</f>
        <v/>
      </c>
      <c r="G11646" s="42" t="str">
        <f>IFERROR(__xludf.DUMMYFUNCTION("""COMPUTED_VALUE"""),"")</f>
        <v/>
      </c>
      <c r="H11646" s="42">
        <f t="shared" si="1"/>
        <v>3345</v>
      </c>
    </row>
    <row r="11647" ht="22.5" customHeight="1">
      <c r="B11647" s="42" t="str">
        <f>IFERROR(__xludf.DUMMYFUNCTION("""COMPUTED_VALUE"""),"")</f>
        <v/>
      </c>
      <c r="C11647" s="42" t="str">
        <f>IFERROR(__xludf.DUMMYFUNCTION("""COMPUTED_VALUE"""),"")</f>
        <v/>
      </c>
      <c r="D11647" s="42"/>
      <c r="E11647" s="42"/>
      <c r="F11647" s="48" t="str">
        <f>IFERROR(__xludf.DUMMYFUNCTION("""COMPUTED_VALUE"""),"")</f>
        <v/>
      </c>
      <c r="G11647" s="42" t="str">
        <f>IFERROR(__xludf.DUMMYFUNCTION("""COMPUTED_VALUE"""),"")</f>
        <v/>
      </c>
      <c r="H11647" s="42">
        <f t="shared" si="1"/>
        <v>3345</v>
      </c>
    </row>
    <row r="11648" ht="22.5" customHeight="1">
      <c r="B11648" s="42" t="str">
        <f>IFERROR(__xludf.DUMMYFUNCTION("""COMPUTED_VALUE"""),"")</f>
        <v/>
      </c>
      <c r="C11648" s="42" t="str">
        <f>IFERROR(__xludf.DUMMYFUNCTION("""COMPUTED_VALUE"""),"")</f>
        <v/>
      </c>
      <c r="D11648" s="42"/>
      <c r="E11648" s="42"/>
      <c r="F11648" s="48" t="str">
        <f>IFERROR(__xludf.DUMMYFUNCTION("""COMPUTED_VALUE"""),"")</f>
        <v/>
      </c>
      <c r="G11648" s="42" t="str">
        <f>IFERROR(__xludf.DUMMYFUNCTION("""COMPUTED_VALUE"""),"")</f>
        <v/>
      </c>
      <c r="H11648" s="42">
        <f t="shared" si="1"/>
        <v>3345</v>
      </c>
    </row>
    <row r="11649" ht="22.5" customHeight="1">
      <c r="B11649" s="42" t="str">
        <f>IFERROR(__xludf.DUMMYFUNCTION("""COMPUTED_VALUE"""),"")</f>
        <v/>
      </c>
      <c r="C11649" s="42" t="str">
        <f>IFERROR(__xludf.DUMMYFUNCTION("""COMPUTED_VALUE"""),"")</f>
        <v/>
      </c>
      <c r="D11649" s="42"/>
      <c r="E11649" s="42"/>
      <c r="F11649" s="48" t="str">
        <f>IFERROR(__xludf.DUMMYFUNCTION("""COMPUTED_VALUE"""),"")</f>
        <v/>
      </c>
      <c r="G11649" s="42" t="str">
        <f>IFERROR(__xludf.DUMMYFUNCTION("""COMPUTED_VALUE"""),"")</f>
        <v/>
      </c>
      <c r="H11649" s="42">
        <f t="shared" si="1"/>
        <v>3345</v>
      </c>
    </row>
    <row r="11650" ht="22.5" customHeight="1">
      <c r="B11650" s="42" t="str">
        <f>IFERROR(__xludf.DUMMYFUNCTION("""COMPUTED_VALUE"""),"")</f>
        <v/>
      </c>
      <c r="C11650" s="42" t="str">
        <f>IFERROR(__xludf.DUMMYFUNCTION("""COMPUTED_VALUE"""),"")</f>
        <v/>
      </c>
      <c r="D11650" s="42"/>
      <c r="E11650" s="42"/>
      <c r="F11650" s="48" t="str">
        <f>IFERROR(__xludf.DUMMYFUNCTION("""COMPUTED_VALUE"""),"")</f>
        <v/>
      </c>
      <c r="G11650" s="42" t="str">
        <f>IFERROR(__xludf.DUMMYFUNCTION("""COMPUTED_VALUE"""),"")</f>
        <v/>
      </c>
      <c r="H11650" s="42">
        <f t="shared" si="1"/>
        <v>3345</v>
      </c>
    </row>
    <row r="11651" ht="22.5" customHeight="1">
      <c r="B11651" s="42" t="str">
        <f>IFERROR(__xludf.DUMMYFUNCTION("""COMPUTED_VALUE"""),"")</f>
        <v/>
      </c>
      <c r="C11651" s="42" t="str">
        <f>IFERROR(__xludf.DUMMYFUNCTION("""COMPUTED_VALUE"""),"")</f>
        <v/>
      </c>
      <c r="D11651" s="42"/>
      <c r="E11651" s="42"/>
      <c r="F11651" s="48" t="str">
        <f>IFERROR(__xludf.DUMMYFUNCTION("""COMPUTED_VALUE"""),"")</f>
        <v/>
      </c>
      <c r="G11651" s="42" t="str">
        <f>IFERROR(__xludf.DUMMYFUNCTION("""COMPUTED_VALUE"""),"")</f>
        <v/>
      </c>
      <c r="H11651" s="42">
        <f t="shared" si="1"/>
        <v>3345</v>
      </c>
    </row>
    <row r="11652" ht="22.5" customHeight="1">
      <c r="B11652" s="42" t="str">
        <f>IFERROR(__xludf.DUMMYFUNCTION("""COMPUTED_VALUE"""),"")</f>
        <v/>
      </c>
      <c r="C11652" s="42" t="str">
        <f>IFERROR(__xludf.DUMMYFUNCTION("""COMPUTED_VALUE"""),"")</f>
        <v/>
      </c>
      <c r="D11652" s="42"/>
      <c r="E11652" s="42"/>
      <c r="F11652" s="48" t="str">
        <f>IFERROR(__xludf.DUMMYFUNCTION("""COMPUTED_VALUE"""),"")</f>
        <v/>
      </c>
      <c r="G11652" s="42" t="str">
        <f>IFERROR(__xludf.DUMMYFUNCTION("""COMPUTED_VALUE"""),"")</f>
        <v/>
      </c>
      <c r="H11652" s="42">
        <f t="shared" si="1"/>
        <v>3345</v>
      </c>
    </row>
    <row r="11653" ht="22.5" customHeight="1">
      <c r="B11653" s="42" t="str">
        <f>IFERROR(__xludf.DUMMYFUNCTION("""COMPUTED_VALUE"""),"")</f>
        <v/>
      </c>
      <c r="C11653" s="42" t="str">
        <f>IFERROR(__xludf.DUMMYFUNCTION("""COMPUTED_VALUE"""),"")</f>
        <v/>
      </c>
      <c r="D11653" s="42"/>
      <c r="E11653" s="42"/>
      <c r="F11653" s="48" t="str">
        <f>IFERROR(__xludf.DUMMYFUNCTION("""COMPUTED_VALUE"""),"")</f>
        <v/>
      </c>
      <c r="G11653" s="42" t="str">
        <f>IFERROR(__xludf.DUMMYFUNCTION("""COMPUTED_VALUE"""),"")</f>
        <v/>
      </c>
      <c r="H11653" s="42">
        <f t="shared" si="1"/>
        <v>3345</v>
      </c>
    </row>
    <row r="11654" ht="22.5" customHeight="1">
      <c r="B11654" s="42" t="str">
        <f>IFERROR(__xludf.DUMMYFUNCTION("""COMPUTED_VALUE"""),"")</f>
        <v/>
      </c>
      <c r="C11654" s="42" t="str">
        <f>IFERROR(__xludf.DUMMYFUNCTION("""COMPUTED_VALUE"""),"")</f>
        <v/>
      </c>
      <c r="D11654" s="42"/>
      <c r="E11654" s="42"/>
      <c r="F11654" s="48" t="str">
        <f>IFERROR(__xludf.DUMMYFUNCTION("""COMPUTED_VALUE"""),"")</f>
        <v/>
      </c>
      <c r="G11654" s="42" t="str">
        <f>IFERROR(__xludf.DUMMYFUNCTION("""COMPUTED_VALUE"""),"")</f>
        <v/>
      </c>
      <c r="H11654" s="42">
        <f t="shared" si="1"/>
        <v>3345</v>
      </c>
    </row>
    <row r="11655" ht="22.5" customHeight="1">
      <c r="B11655" s="42" t="str">
        <f>IFERROR(__xludf.DUMMYFUNCTION("""COMPUTED_VALUE"""),"")</f>
        <v/>
      </c>
      <c r="C11655" s="42" t="str">
        <f>IFERROR(__xludf.DUMMYFUNCTION("""COMPUTED_VALUE"""),"")</f>
        <v/>
      </c>
      <c r="D11655" s="42"/>
      <c r="E11655" s="42"/>
      <c r="F11655" s="48" t="str">
        <f>IFERROR(__xludf.DUMMYFUNCTION("""COMPUTED_VALUE"""),"")</f>
        <v/>
      </c>
      <c r="G11655" s="42" t="str">
        <f>IFERROR(__xludf.DUMMYFUNCTION("""COMPUTED_VALUE"""),"")</f>
        <v/>
      </c>
      <c r="H11655" s="42">
        <f t="shared" si="1"/>
        <v>3345</v>
      </c>
    </row>
    <row r="11656" ht="22.5" customHeight="1">
      <c r="B11656" s="42" t="str">
        <f>IFERROR(__xludf.DUMMYFUNCTION("""COMPUTED_VALUE"""),"")</f>
        <v/>
      </c>
      <c r="C11656" s="42" t="str">
        <f>IFERROR(__xludf.DUMMYFUNCTION("""COMPUTED_VALUE"""),"")</f>
        <v/>
      </c>
      <c r="D11656" s="42"/>
      <c r="E11656" s="42"/>
      <c r="F11656" s="48" t="str">
        <f>IFERROR(__xludf.DUMMYFUNCTION("""COMPUTED_VALUE"""),"")</f>
        <v/>
      </c>
      <c r="G11656" s="42" t="str">
        <f>IFERROR(__xludf.DUMMYFUNCTION("""COMPUTED_VALUE"""),"")</f>
        <v/>
      </c>
      <c r="H11656" s="42">
        <f t="shared" si="1"/>
        <v>3345</v>
      </c>
    </row>
    <row r="11657" ht="22.5" customHeight="1">
      <c r="B11657" s="42" t="str">
        <f>IFERROR(__xludf.DUMMYFUNCTION("""COMPUTED_VALUE"""),"")</f>
        <v/>
      </c>
      <c r="C11657" s="42" t="str">
        <f>IFERROR(__xludf.DUMMYFUNCTION("""COMPUTED_VALUE"""),"")</f>
        <v/>
      </c>
      <c r="D11657" s="42"/>
      <c r="E11657" s="42"/>
      <c r="F11657" s="48" t="str">
        <f>IFERROR(__xludf.DUMMYFUNCTION("""COMPUTED_VALUE"""),"")</f>
        <v/>
      </c>
      <c r="G11657" s="42" t="str">
        <f>IFERROR(__xludf.DUMMYFUNCTION("""COMPUTED_VALUE"""),"")</f>
        <v/>
      </c>
      <c r="H11657" s="42">
        <f t="shared" si="1"/>
        <v>3345</v>
      </c>
    </row>
    <row r="11658" ht="22.5" customHeight="1">
      <c r="B11658" s="42" t="str">
        <f>IFERROR(__xludf.DUMMYFUNCTION("""COMPUTED_VALUE"""),"")</f>
        <v/>
      </c>
      <c r="C11658" s="42" t="str">
        <f>IFERROR(__xludf.DUMMYFUNCTION("""COMPUTED_VALUE"""),"")</f>
        <v/>
      </c>
      <c r="D11658" s="42"/>
      <c r="E11658" s="42"/>
      <c r="F11658" s="48" t="str">
        <f>IFERROR(__xludf.DUMMYFUNCTION("""COMPUTED_VALUE"""),"")</f>
        <v/>
      </c>
      <c r="G11658" s="42" t="str">
        <f>IFERROR(__xludf.DUMMYFUNCTION("""COMPUTED_VALUE"""),"")</f>
        <v/>
      </c>
      <c r="H11658" s="42">
        <f t="shared" si="1"/>
        <v>3345</v>
      </c>
    </row>
    <row r="11659" ht="22.5" customHeight="1">
      <c r="B11659" s="42" t="str">
        <f>IFERROR(__xludf.DUMMYFUNCTION("""COMPUTED_VALUE"""),"")</f>
        <v/>
      </c>
      <c r="C11659" s="42" t="str">
        <f>IFERROR(__xludf.DUMMYFUNCTION("""COMPUTED_VALUE"""),"")</f>
        <v/>
      </c>
      <c r="D11659" s="42"/>
      <c r="E11659" s="42"/>
      <c r="F11659" s="48" t="str">
        <f>IFERROR(__xludf.DUMMYFUNCTION("""COMPUTED_VALUE"""),"")</f>
        <v/>
      </c>
      <c r="G11659" s="42" t="str">
        <f>IFERROR(__xludf.DUMMYFUNCTION("""COMPUTED_VALUE"""),"")</f>
        <v/>
      </c>
      <c r="H11659" s="42">
        <f t="shared" si="1"/>
        <v>3345</v>
      </c>
    </row>
    <row r="11660" ht="22.5" customHeight="1">
      <c r="B11660" s="42" t="str">
        <f>IFERROR(__xludf.DUMMYFUNCTION("""COMPUTED_VALUE"""),"")</f>
        <v/>
      </c>
      <c r="C11660" s="42" t="str">
        <f>IFERROR(__xludf.DUMMYFUNCTION("""COMPUTED_VALUE"""),"")</f>
        <v/>
      </c>
      <c r="D11660" s="42"/>
      <c r="E11660" s="42"/>
      <c r="F11660" s="48" t="str">
        <f>IFERROR(__xludf.DUMMYFUNCTION("""COMPUTED_VALUE"""),"")</f>
        <v/>
      </c>
      <c r="G11660" s="42" t="str">
        <f>IFERROR(__xludf.DUMMYFUNCTION("""COMPUTED_VALUE"""),"")</f>
        <v/>
      </c>
      <c r="H11660" s="42">
        <f t="shared" si="1"/>
        <v>3345</v>
      </c>
    </row>
    <row r="11661" ht="22.5" customHeight="1">
      <c r="B11661" s="42" t="str">
        <f>IFERROR(__xludf.DUMMYFUNCTION("""COMPUTED_VALUE"""),"")</f>
        <v/>
      </c>
      <c r="C11661" s="42" t="str">
        <f>IFERROR(__xludf.DUMMYFUNCTION("""COMPUTED_VALUE"""),"")</f>
        <v/>
      </c>
      <c r="D11661" s="42"/>
      <c r="E11661" s="42"/>
      <c r="F11661" s="48" t="str">
        <f>IFERROR(__xludf.DUMMYFUNCTION("""COMPUTED_VALUE"""),"")</f>
        <v/>
      </c>
      <c r="G11661" s="42" t="str">
        <f>IFERROR(__xludf.DUMMYFUNCTION("""COMPUTED_VALUE"""),"")</f>
        <v/>
      </c>
      <c r="H11661" s="42">
        <f t="shared" si="1"/>
        <v>3345</v>
      </c>
    </row>
    <row r="11662" ht="22.5" customHeight="1">
      <c r="B11662" s="42" t="str">
        <f>IFERROR(__xludf.DUMMYFUNCTION("""COMPUTED_VALUE"""),"")</f>
        <v/>
      </c>
      <c r="C11662" s="42" t="str">
        <f>IFERROR(__xludf.DUMMYFUNCTION("""COMPUTED_VALUE"""),"")</f>
        <v/>
      </c>
      <c r="D11662" s="42"/>
      <c r="E11662" s="42"/>
      <c r="F11662" s="48" t="str">
        <f>IFERROR(__xludf.DUMMYFUNCTION("""COMPUTED_VALUE"""),"")</f>
        <v/>
      </c>
      <c r="G11662" s="42" t="str">
        <f>IFERROR(__xludf.DUMMYFUNCTION("""COMPUTED_VALUE"""),"")</f>
        <v/>
      </c>
      <c r="H11662" s="42">
        <f t="shared" si="1"/>
        <v>3345</v>
      </c>
    </row>
    <row r="11663" ht="22.5" customHeight="1">
      <c r="B11663" s="42" t="str">
        <f>IFERROR(__xludf.DUMMYFUNCTION("""COMPUTED_VALUE"""),"")</f>
        <v/>
      </c>
      <c r="C11663" s="42" t="str">
        <f>IFERROR(__xludf.DUMMYFUNCTION("""COMPUTED_VALUE"""),"")</f>
        <v/>
      </c>
      <c r="D11663" s="42"/>
      <c r="E11663" s="42"/>
      <c r="F11663" s="48" t="str">
        <f>IFERROR(__xludf.DUMMYFUNCTION("""COMPUTED_VALUE"""),"")</f>
        <v/>
      </c>
      <c r="G11663" s="42" t="str">
        <f>IFERROR(__xludf.DUMMYFUNCTION("""COMPUTED_VALUE"""),"")</f>
        <v/>
      </c>
      <c r="H11663" s="42">
        <f t="shared" si="1"/>
        <v>3345</v>
      </c>
    </row>
    <row r="11664" ht="22.5" customHeight="1">
      <c r="B11664" s="42" t="str">
        <f>IFERROR(__xludf.DUMMYFUNCTION("""COMPUTED_VALUE"""),"")</f>
        <v/>
      </c>
      <c r="C11664" s="42" t="str">
        <f>IFERROR(__xludf.DUMMYFUNCTION("""COMPUTED_VALUE"""),"")</f>
        <v/>
      </c>
      <c r="D11664" s="42"/>
      <c r="E11664" s="42"/>
      <c r="F11664" s="48" t="str">
        <f>IFERROR(__xludf.DUMMYFUNCTION("""COMPUTED_VALUE"""),"")</f>
        <v/>
      </c>
      <c r="G11664" s="42" t="str">
        <f>IFERROR(__xludf.DUMMYFUNCTION("""COMPUTED_VALUE"""),"")</f>
        <v/>
      </c>
      <c r="H11664" s="42">
        <f t="shared" si="1"/>
        <v>3345</v>
      </c>
    </row>
    <row r="11665" ht="22.5" customHeight="1">
      <c r="B11665" s="42" t="str">
        <f>IFERROR(__xludf.DUMMYFUNCTION("""COMPUTED_VALUE"""),"")</f>
        <v/>
      </c>
      <c r="C11665" s="42" t="str">
        <f>IFERROR(__xludf.DUMMYFUNCTION("""COMPUTED_VALUE"""),"")</f>
        <v/>
      </c>
      <c r="D11665" s="42"/>
      <c r="E11665" s="42"/>
      <c r="F11665" s="48" t="str">
        <f>IFERROR(__xludf.DUMMYFUNCTION("""COMPUTED_VALUE"""),"")</f>
        <v/>
      </c>
      <c r="G11665" s="42" t="str">
        <f>IFERROR(__xludf.DUMMYFUNCTION("""COMPUTED_VALUE"""),"")</f>
        <v/>
      </c>
      <c r="H11665" s="42">
        <f t="shared" si="1"/>
        <v>3345</v>
      </c>
    </row>
    <row r="11666" ht="22.5" customHeight="1">
      <c r="B11666" s="42" t="str">
        <f>IFERROR(__xludf.DUMMYFUNCTION("""COMPUTED_VALUE"""),"")</f>
        <v/>
      </c>
      <c r="C11666" s="42" t="str">
        <f>IFERROR(__xludf.DUMMYFUNCTION("""COMPUTED_VALUE"""),"")</f>
        <v/>
      </c>
      <c r="D11666" s="42"/>
      <c r="E11666" s="42"/>
      <c r="F11666" s="48" t="str">
        <f>IFERROR(__xludf.DUMMYFUNCTION("""COMPUTED_VALUE"""),"")</f>
        <v/>
      </c>
      <c r="G11666" s="42" t="str">
        <f>IFERROR(__xludf.DUMMYFUNCTION("""COMPUTED_VALUE"""),"")</f>
        <v/>
      </c>
      <c r="H11666" s="42">
        <f t="shared" si="1"/>
        <v>3345</v>
      </c>
    </row>
    <row r="11667" ht="22.5" customHeight="1">
      <c r="B11667" s="42" t="str">
        <f>IFERROR(__xludf.DUMMYFUNCTION("""COMPUTED_VALUE"""),"")</f>
        <v/>
      </c>
      <c r="C11667" s="42" t="str">
        <f>IFERROR(__xludf.DUMMYFUNCTION("""COMPUTED_VALUE"""),"")</f>
        <v/>
      </c>
      <c r="D11667" s="42"/>
      <c r="E11667" s="42"/>
      <c r="F11667" s="48" t="str">
        <f>IFERROR(__xludf.DUMMYFUNCTION("""COMPUTED_VALUE"""),"")</f>
        <v/>
      </c>
      <c r="G11667" s="42" t="str">
        <f>IFERROR(__xludf.DUMMYFUNCTION("""COMPUTED_VALUE"""),"")</f>
        <v/>
      </c>
      <c r="H11667" s="42">
        <f t="shared" si="1"/>
        <v>3345</v>
      </c>
    </row>
    <row r="11668" ht="22.5" customHeight="1">
      <c r="B11668" s="42" t="str">
        <f>IFERROR(__xludf.DUMMYFUNCTION("""COMPUTED_VALUE"""),"")</f>
        <v/>
      </c>
      <c r="C11668" s="42" t="str">
        <f>IFERROR(__xludf.DUMMYFUNCTION("""COMPUTED_VALUE"""),"")</f>
        <v/>
      </c>
      <c r="D11668" s="42"/>
      <c r="E11668" s="42"/>
      <c r="F11668" s="48" t="str">
        <f>IFERROR(__xludf.DUMMYFUNCTION("""COMPUTED_VALUE"""),"")</f>
        <v/>
      </c>
      <c r="G11668" s="42" t="str">
        <f>IFERROR(__xludf.DUMMYFUNCTION("""COMPUTED_VALUE"""),"")</f>
        <v/>
      </c>
      <c r="H11668" s="42">
        <f t="shared" si="1"/>
        <v>3345</v>
      </c>
    </row>
    <row r="11669" ht="22.5" customHeight="1">
      <c r="B11669" s="42" t="str">
        <f>IFERROR(__xludf.DUMMYFUNCTION("""COMPUTED_VALUE"""),"")</f>
        <v/>
      </c>
      <c r="C11669" s="42" t="str">
        <f>IFERROR(__xludf.DUMMYFUNCTION("""COMPUTED_VALUE"""),"")</f>
        <v/>
      </c>
      <c r="D11669" s="42"/>
      <c r="E11669" s="42"/>
      <c r="F11669" s="48" t="str">
        <f>IFERROR(__xludf.DUMMYFUNCTION("""COMPUTED_VALUE"""),"")</f>
        <v/>
      </c>
      <c r="G11669" s="42" t="str">
        <f>IFERROR(__xludf.DUMMYFUNCTION("""COMPUTED_VALUE"""),"")</f>
        <v/>
      </c>
      <c r="H11669" s="42">
        <f t="shared" si="1"/>
        <v>3345</v>
      </c>
    </row>
    <row r="11670" ht="22.5" customHeight="1">
      <c r="B11670" s="42" t="str">
        <f>IFERROR(__xludf.DUMMYFUNCTION("""COMPUTED_VALUE"""),"")</f>
        <v/>
      </c>
      <c r="C11670" s="42" t="str">
        <f>IFERROR(__xludf.DUMMYFUNCTION("""COMPUTED_VALUE"""),"")</f>
        <v/>
      </c>
      <c r="D11670" s="42"/>
      <c r="E11670" s="42"/>
      <c r="F11670" s="48" t="str">
        <f>IFERROR(__xludf.DUMMYFUNCTION("""COMPUTED_VALUE"""),"")</f>
        <v/>
      </c>
      <c r="G11670" s="42" t="str">
        <f>IFERROR(__xludf.DUMMYFUNCTION("""COMPUTED_VALUE"""),"")</f>
        <v/>
      </c>
      <c r="H11670" s="42">
        <f t="shared" si="1"/>
        <v>3345</v>
      </c>
    </row>
    <row r="11671" ht="22.5" customHeight="1">
      <c r="B11671" s="42" t="str">
        <f>IFERROR(__xludf.DUMMYFUNCTION("""COMPUTED_VALUE"""),"")</f>
        <v/>
      </c>
      <c r="C11671" s="42" t="str">
        <f>IFERROR(__xludf.DUMMYFUNCTION("""COMPUTED_VALUE"""),"")</f>
        <v/>
      </c>
      <c r="D11671" s="42"/>
      <c r="E11671" s="42"/>
      <c r="F11671" s="48" t="str">
        <f>IFERROR(__xludf.DUMMYFUNCTION("""COMPUTED_VALUE"""),"")</f>
        <v/>
      </c>
      <c r="G11671" s="42" t="str">
        <f>IFERROR(__xludf.DUMMYFUNCTION("""COMPUTED_VALUE"""),"")</f>
        <v/>
      </c>
      <c r="H11671" s="42">
        <f t="shared" si="1"/>
        <v>3345</v>
      </c>
    </row>
    <row r="11672" ht="22.5" customHeight="1">
      <c r="B11672" s="42" t="str">
        <f>IFERROR(__xludf.DUMMYFUNCTION("""COMPUTED_VALUE"""),"")</f>
        <v/>
      </c>
      <c r="C11672" s="42" t="str">
        <f>IFERROR(__xludf.DUMMYFUNCTION("""COMPUTED_VALUE"""),"")</f>
        <v/>
      </c>
      <c r="D11672" s="42"/>
      <c r="E11672" s="42"/>
      <c r="F11672" s="48" t="str">
        <f>IFERROR(__xludf.DUMMYFUNCTION("""COMPUTED_VALUE"""),"")</f>
        <v/>
      </c>
      <c r="G11672" s="42" t="str">
        <f>IFERROR(__xludf.DUMMYFUNCTION("""COMPUTED_VALUE"""),"")</f>
        <v/>
      </c>
      <c r="H11672" s="42">
        <f t="shared" si="1"/>
        <v>3345</v>
      </c>
    </row>
    <row r="11673" ht="22.5" customHeight="1">
      <c r="B11673" s="42" t="str">
        <f>IFERROR(__xludf.DUMMYFUNCTION("""COMPUTED_VALUE"""),"")</f>
        <v/>
      </c>
      <c r="C11673" s="42" t="str">
        <f>IFERROR(__xludf.DUMMYFUNCTION("""COMPUTED_VALUE"""),"")</f>
        <v/>
      </c>
      <c r="D11673" s="42"/>
      <c r="E11673" s="42"/>
      <c r="F11673" s="48" t="str">
        <f>IFERROR(__xludf.DUMMYFUNCTION("""COMPUTED_VALUE"""),"")</f>
        <v/>
      </c>
      <c r="G11673" s="42" t="str">
        <f>IFERROR(__xludf.DUMMYFUNCTION("""COMPUTED_VALUE"""),"")</f>
        <v/>
      </c>
      <c r="H11673" s="42">
        <f t="shared" si="1"/>
        <v>3345</v>
      </c>
    </row>
    <row r="11674" ht="22.5" customHeight="1">
      <c r="B11674" s="42" t="str">
        <f>IFERROR(__xludf.DUMMYFUNCTION("""COMPUTED_VALUE"""),"")</f>
        <v/>
      </c>
      <c r="C11674" s="42" t="str">
        <f>IFERROR(__xludf.DUMMYFUNCTION("""COMPUTED_VALUE"""),"")</f>
        <v/>
      </c>
      <c r="D11674" s="42"/>
      <c r="E11674" s="42"/>
      <c r="F11674" s="48" t="str">
        <f>IFERROR(__xludf.DUMMYFUNCTION("""COMPUTED_VALUE"""),"")</f>
        <v/>
      </c>
      <c r="G11674" s="42" t="str">
        <f>IFERROR(__xludf.DUMMYFUNCTION("""COMPUTED_VALUE"""),"")</f>
        <v/>
      </c>
      <c r="H11674" s="42">
        <f t="shared" si="1"/>
        <v>3345</v>
      </c>
    </row>
    <row r="11675" ht="22.5" customHeight="1">
      <c r="B11675" s="42" t="str">
        <f>IFERROR(__xludf.DUMMYFUNCTION("""COMPUTED_VALUE"""),"")</f>
        <v/>
      </c>
      <c r="C11675" s="42" t="str">
        <f>IFERROR(__xludf.DUMMYFUNCTION("""COMPUTED_VALUE"""),"")</f>
        <v/>
      </c>
      <c r="D11675" s="42"/>
      <c r="E11675" s="42"/>
      <c r="F11675" s="48" t="str">
        <f>IFERROR(__xludf.DUMMYFUNCTION("""COMPUTED_VALUE"""),"")</f>
        <v/>
      </c>
      <c r="G11675" s="42" t="str">
        <f>IFERROR(__xludf.DUMMYFUNCTION("""COMPUTED_VALUE"""),"")</f>
        <v/>
      </c>
      <c r="H11675" s="42">
        <f t="shared" si="1"/>
        <v>3345</v>
      </c>
    </row>
    <row r="11676" ht="22.5" customHeight="1">
      <c r="B11676" s="42" t="str">
        <f>IFERROR(__xludf.DUMMYFUNCTION("""COMPUTED_VALUE"""),"")</f>
        <v/>
      </c>
      <c r="C11676" s="42" t="str">
        <f>IFERROR(__xludf.DUMMYFUNCTION("""COMPUTED_VALUE"""),"")</f>
        <v/>
      </c>
      <c r="D11676" s="42"/>
      <c r="E11676" s="42"/>
      <c r="F11676" s="48" t="str">
        <f>IFERROR(__xludf.DUMMYFUNCTION("""COMPUTED_VALUE"""),"")</f>
        <v/>
      </c>
      <c r="G11676" s="42" t="str">
        <f>IFERROR(__xludf.DUMMYFUNCTION("""COMPUTED_VALUE"""),"")</f>
        <v/>
      </c>
      <c r="H11676" s="42">
        <f t="shared" si="1"/>
        <v>3345</v>
      </c>
    </row>
    <row r="11677" ht="22.5" customHeight="1">
      <c r="B11677" s="42" t="str">
        <f>IFERROR(__xludf.DUMMYFUNCTION("""COMPUTED_VALUE"""),"")</f>
        <v/>
      </c>
      <c r="C11677" s="42" t="str">
        <f>IFERROR(__xludf.DUMMYFUNCTION("""COMPUTED_VALUE"""),"")</f>
        <v/>
      </c>
      <c r="D11677" s="42"/>
      <c r="E11677" s="42"/>
      <c r="F11677" s="48" t="str">
        <f>IFERROR(__xludf.DUMMYFUNCTION("""COMPUTED_VALUE"""),"")</f>
        <v/>
      </c>
      <c r="G11677" s="42" t="str">
        <f>IFERROR(__xludf.DUMMYFUNCTION("""COMPUTED_VALUE"""),"")</f>
        <v/>
      </c>
      <c r="H11677" s="42">
        <f t="shared" si="1"/>
        <v>3345</v>
      </c>
    </row>
    <row r="11678" ht="22.5" customHeight="1">
      <c r="B11678" s="42" t="str">
        <f>IFERROR(__xludf.DUMMYFUNCTION("""COMPUTED_VALUE"""),"")</f>
        <v/>
      </c>
      <c r="C11678" s="42" t="str">
        <f>IFERROR(__xludf.DUMMYFUNCTION("""COMPUTED_VALUE"""),"")</f>
        <v/>
      </c>
      <c r="D11678" s="42"/>
      <c r="E11678" s="42"/>
      <c r="F11678" s="48" t="str">
        <f>IFERROR(__xludf.DUMMYFUNCTION("""COMPUTED_VALUE"""),"")</f>
        <v/>
      </c>
      <c r="G11678" s="42" t="str">
        <f>IFERROR(__xludf.DUMMYFUNCTION("""COMPUTED_VALUE"""),"")</f>
        <v/>
      </c>
      <c r="H11678" s="42">
        <f t="shared" si="1"/>
        <v>3345</v>
      </c>
    </row>
    <row r="11679" ht="22.5" customHeight="1">
      <c r="B11679" s="42" t="str">
        <f>IFERROR(__xludf.DUMMYFUNCTION("""COMPUTED_VALUE"""),"")</f>
        <v/>
      </c>
      <c r="C11679" s="42" t="str">
        <f>IFERROR(__xludf.DUMMYFUNCTION("""COMPUTED_VALUE"""),"")</f>
        <v/>
      </c>
      <c r="D11679" s="42"/>
      <c r="E11679" s="42"/>
      <c r="F11679" s="48" t="str">
        <f>IFERROR(__xludf.DUMMYFUNCTION("""COMPUTED_VALUE"""),"")</f>
        <v/>
      </c>
      <c r="G11679" s="42" t="str">
        <f>IFERROR(__xludf.DUMMYFUNCTION("""COMPUTED_VALUE"""),"")</f>
        <v/>
      </c>
      <c r="H11679" s="42">
        <f t="shared" si="1"/>
        <v>3345</v>
      </c>
    </row>
    <row r="11680" ht="22.5" customHeight="1">
      <c r="B11680" s="42" t="str">
        <f>IFERROR(__xludf.DUMMYFUNCTION("""COMPUTED_VALUE"""),"")</f>
        <v/>
      </c>
      <c r="C11680" s="42" t="str">
        <f>IFERROR(__xludf.DUMMYFUNCTION("""COMPUTED_VALUE"""),"")</f>
        <v/>
      </c>
      <c r="D11680" s="42"/>
      <c r="E11680" s="42"/>
      <c r="F11680" s="48" t="str">
        <f>IFERROR(__xludf.DUMMYFUNCTION("""COMPUTED_VALUE"""),"")</f>
        <v/>
      </c>
      <c r="G11680" s="42" t="str">
        <f>IFERROR(__xludf.DUMMYFUNCTION("""COMPUTED_VALUE"""),"")</f>
        <v/>
      </c>
      <c r="H11680" s="42">
        <f t="shared" si="1"/>
        <v>3345</v>
      </c>
    </row>
    <row r="11681" ht="22.5" customHeight="1">
      <c r="B11681" s="42" t="str">
        <f>IFERROR(__xludf.DUMMYFUNCTION("""COMPUTED_VALUE"""),"")</f>
        <v/>
      </c>
      <c r="C11681" s="42" t="str">
        <f>IFERROR(__xludf.DUMMYFUNCTION("""COMPUTED_VALUE"""),"")</f>
        <v/>
      </c>
      <c r="D11681" s="42"/>
      <c r="E11681" s="42"/>
      <c r="F11681" s="48" t="str">
        <f>IFERROR(__xludf.DUMMYFUNCTION("""COMPUTED_VALUE"""),"")</f>
        <v/>
      </c>
      <c r="G11681" s="42" t="str">
        <f>IFERROR(__xludf.DUMMYFUNCTION("""COMPUTED_VALUE"""),"")</f>
        <v/>
      </c>
      <c r="H11681" s="42">
        <f t="shared" si="1"/>
        <v>3345</v>
      </c>
    </row>
    <row r="11682" ht="22.5" customHeight="1">
      <c r="B11682" s="42" t="str">
        <f>IFERROR(__xludf.DUMMYFUNCTION("""COMPUTED_VALUE"""),"")</f>
        <v/>
      </c>
      <c r="C11682" s="42" t="str">
        <f>IFERROR(__xludf.DUMMYFUNCTION("""COMPUTED_VALUE"""),"")</f>
        <v/>
      </c>
      <c r="D11682" s="42"/>
      <c r="E11682" s="42"/>
      <c r="F11682" s="48" t="str">
        <f>IFERROR(__xludf.DUMMYFUNCTION("""COMPUTED_VALUE"""),"")</f>
        <v/>
      </c>
      <c r="G11682" s="42" t="str">
        <f>IFERROR(__xludf.DUMMYFUNCTION("""COMPUTED_VALUE"""),"")</f>
        <v/>
      </c>
      <c r="H11682" s="42">
        <f t="shared" si="1"/>
        <v>3345</v>
      </c>
    </row>
    <row r="11683" ht="22.5" customHeight="1">
      <c r="B11683" s="42" t="str">
        <f>IFERROR(__xludf.DUMMYFUNCTION("""COMPUTED_VALUE"""),"")</f>
        <v/>
      </c>
      <c r="C11683" s="42" t="str">
        <f>IFERROR(__xludf.DUMMYFUNCTION("""COMPUTED_VALUE"""),"")</f>
        <v/>
      </c>
      <c r="D11683" s="42"/>
      <c r="E11683" s="42"/>
      <c r="F11683" s="48" t="str">
        <f>IFERROR(__xludf.DUMMYFUNCTION("""COMPUTED_VALUE"""),"")</f>
        <v/>
      </c>
      <c r="G11683" s="42" t="str">
        <f>IFERROR(__xludf.DUMMYFUNCTION("""COMPUTED_VALUE"""),"")</f>
        <v/>
      </c>
      <c r="H11683" s="42">
        <f t="shared" si="1"/>
        <v>3345</v>
      </c>
    </row>
    <row r="11684" ht="22.5" customHeight="1">
      <c r="B11684" s="42" t="str">
        <f>IFERROR(__xludf.DUMMYFUNCTION("""COMPUTED_VALUE"""),"")</f>
        <v/>
      </c>
      <c r="C11684" s="42" t="str">
        <f>IFERROR(__xludf.DUMMYFUNCTION("""COMPUTED_VALUE"""),"")</f>
        <v/>
      </c>
      <c r="D11684" s="42"/>
      <c r="E11684" s="42"/>
      <c r="F11684" s="48" t="str">
        <f>IFERROR(__xludf.DUMMYFUNCTION("""COMPUTED_VALUE"""),"")</f>
        <v/>
      </c>
      <c r="G11684" s="42" t="str">
        <f>IFERROR(__xludf.DUMMYFUNCTION("""COMPUTED_VALUE"""),"")</f>
        <v/>
      </c>
      <c r="H11684" s="42">
        <f t="shared" si="1"/>
        <v>3345</v>
      </c>
    </row>
    <row r="11685" ht="22.5" customHeight="1">
      <c r="B11685" s="42" t="str">
        <f>IFERROR(__xludf.DUMMYFUNCTION("""COMPUTED_VALUE"""),"")</f>
        <v/>
      </c>
      <c r="C11685" s="42" t="str">
        <f>IFERROR(__xludf.DUMMYFUNCTION("""COMPUTED_VALUE"""),"")</f>
        <v/>
      </c>
      <c r="D11685" s="42"/>
      <c r="E11685" s="42"/>
      <c r="F11685" s="48" t="str">
        <f>IFERROR(__xludf.DUMMYFUNCTION("""COMPUTED_VALUE"""),"")</f>
        <v/>
      </c>
      <c r="G11685" s="42" t="str">
        <f>IFERROR(__xludf.DUMMYFUNCTION("""COMPUTED_VALUE"""),"")</f>
        <v/>
      </c>
      <c r="H11685" s="42">
        <f t="shared" si="1"/>
        <v>3345</v>
      </c>
    </row>
    <row r="11686" ht="22.5" customHeight="1">
      <c r="B11686" s="42" t="str">
        <f>IFERROR(__xludf.DUMMYFUNCTION("""COMPUTED_VALUE"""),"")</f>
        <v/>
      </c>
      <c r="C11686" s="42" t="str">
        <f>IFERROR(__xludf.DUMMYFUNCTION("""COMPUTED_VALUE"""),"")</f>
        <v/>
      </c>
      <c r="D11686" s="42"/>
      <c r="E11686" s="42"/>
      <c r="F11686" s="48" t="str">
        <f>IFERROR(__xludf.DUMMYFUNCTION("""COMPUTED_VALUE"""),"")</f>
        <v/>
      </c>
      <c r="G11686" s="42" t="str">
        <f>IFERROR(__xludf.DUMMYFUNCTION("""COMPUTED_VALUE"""),"")</f>
        <v/>
      </c>
      <c r="H11686" s="42">
        <f t="shared" si="1"/>
        <v>3345</v>
      </c>
    </row>
    <row r="11687" ht="22.5" customHeight="1">
      <c r="B11687" s="42" t="str">
        <f>IFERROR(__xludf.DUMMYFUNCTION("""COMPUTED_VALUE"""),"")</f>
        <v/>
      </c>
      <c r="C11687" s="42" t="str">
        <f>IFERROR(__xludf.DUMMYFUNCTION("""COMPUTED_VALUE"""),"")</f>
        <v/>
      </c>
      <c r="D11687" s="42"/>
      <c r="E11687" s="42"/>
      <c r="F11687" s="48" t="str">
        <f>IFERROR(__xludf.DUMMYFUNCTION("""COMPUTED_VALUE"""),"")</f>
        <v/>
      </c>
      <c r="G11687" s="42" t="str">
        <f>IFERROR(__xludf.DUMMYFUNCTION("""COMPUTED_VALUE"""),"")</f>
        <v/>
      </c>
      <c r="H11687" s="42">
        <f t="shared" si="1"/>
        <v>3345</v>
      </c>
    </row>
    <row r="11688" ht="22.5" customHeight="1">
      <c r="B11688" s="42" t="str">
        <f>IFERROR(__xludf.DUMMYFUNCTION("""COMPUTED_VALUE"""),"")</f>
        <v/>
      </c>
      <c r="C11688" s="42" t="str">
        <f>IFERROR(__xludf.DUMMYFUNCTION("""COMPUTED_VALUE"""),"")</f>
        <v/>
      </c>
      <c r="D11688" s="42"/>
      <c r="E11688" s="42"/>
      <c r="F11688" s="48" t="str">
        <f>IFERROR(__xludf.DUMMYFUNCTION("""COMPUTED_VALUE"""),"")</f>
        <v/>
      </c>
      <c r="G11688" s="42" t="str">
        <f>IFERROR(__xludf.DUMMYFUNCTION("""COMPUTED_VALUE"""),"")</f>
        <v/>
      </c>
      <c r="H11688" s="42">
        <f t="shared" si="1"/>
        <v>3345</v>
      </c>
    </row>
    <row r="11689" ht="22.5" customHeight="1">
      <c r="B11689" s="42" t="str">
        <f>IFERROR(__xludf.DUMMYFUNCTION("""COMPUTED_VALUE"""),"")</f>
        <v/>
      </c>
      <c r="C11689" s="42" t="str">
        <f>IFERROR(__xludf.DUMMYFUNCTION("""COMPUTED_VALUE"""),"")</f>
        <v/>
      </c>
      <c r="D11689" s="42"/>
      <c r="E11689" s="42"/>
      <c r="F11689" s="48" t="str">
        <f>IFERROR(__xludf.DUMMYFUNCTION("""COMPUTED_VALUE"""),"")</f>
        <v/>
      </c>
      <c r="G11689" s="42" t="str">
        <f>IFERROR(__xludf.DUMMYFUNCTION("""COMPUTED_VALUE"""),"")</f>
        <v/>
      </c>
      <c r="H11689" s="42">
        <f t="shared" si="1"/>
        <v>3345</v>
      </c>
    </row>
    <row r="11690" ht="22.5" customHeight="1">
      <c r="B11690" s="42" t="str">
        <f>IFERROR(__xludf.DUMMYFUNCTION("""COMPUTED_VALUE"""),"")</f>
        <v/>
      </c>
      <c r="C11690" s="42" t="str">
        <f>IFERROR(__xludf.DUMMYFUNCTION("""COMPUTED_VALUE"""),"")</f>
        <v/>
      </c>
      <c r="D11690" s="42"/>
      <c r="E11690" s="42"/>
      <c r="F11690" s="48" t="str">
        <f>IFERROR(__xludf.DUMMYFUNCTION("""COMPUTED_VALUE"""),"")</f>
        <v/>
      </c>
      <c r="G11690" s="42" t="str">
        <f>IFERROR(__xludf.DUMMYFUNCTION("""COMPUTED_VALUE"""),"")</f>
        <v/>
      </c>
      <c r="H11690" s="42">
        <f t="shared" si="1"/>
        <v>3345</v>
      </c>
    </row>
    <row r="11691" ht="22.5" customHeight="1">
      <c r="B11691" s="42" t="str">
        <f>IFERROR(__xludf.DUMMYFUNCTION("""COMPUTED_VALUE"""),"")</f>
        <v/>
      </c>
      <c r="C11691" s="42" t="str">
        <f>IFERROR(__xludf.DUMMYFUNCTION("""COMPUTED_VALUE"""),"")</f>
        <v/>
      </c>
      <c r="D11691" s="42"/>
      <c r="E11691" s="42"/>
      <c r="F11691" s="48" t="str">
        <f>IFERROR(__xludf.DUMMYFUNCTION("""COMPUTED_VALUE"""),"")</f>
        <v/>
      </c>
      <c r="G11691" s="42" t="str">
        <f>IFERROR(__xludf.DUMMYFUNCTION("""COMPUTED_VALUE"""),"")</f>
        <v/>
      </c>
      <c r="H11691" s="42">
        <f t="shared" si="1"/>
        <v>3345</v>
      </c>
    </row>
    <row r="11692" ht="22.5" customHeight="1">
      <c r="B11692" s="42" t="str">
        <f>IFERROR(__xludf.DUMMYFUNCTION("""COMPUTED_VALUE"""),"")</f>
        <v/>
      </c>
      <c r="C11692" s="42" t="str">
        <f>IFERROR(__xludf.DUMMYFUNCTION("""COMPUTED_VALUE"""),"")</f>
        <v/>
      </c>
      <c r="D11692" s="42"/>
      <c r="E11692" s="42"/>
      <c r="F11692" s="48" t="str">
        <f>IFERROR(__xludf.DUMMYFUNCTION("""COMPUTED_VALUE"""),"")</f>
        <v/>
      </c>
      <c r="G11692" s="42" t="str">
        <f>IFERROR(__xludf.DUMMYFUNCTION("""COMPUTED_VALUE"""),"")</f>
        <v/>
      </c>
      <c r="H11692" s="42">
        <f t="shared" si="1"/>
        <v>3345</v>
      </c>
    </row>
    <row r="11693" ht="22.5" customHeight="1">
      <c r="B11693" s="42" t="str">
        <f>IFERROR(__xludf.DUMMYFUNCTION("""COMPUTED_VALUE"""),"")</f>
        <v/>
      </c>
      <c r="C11693" s="42" t="str">
        <f>IFERROR(__xludf.DUMMYFUNCTION("""COMPUTED_VALUE"""),"")</f>
        <v/>
      </c>
      <c r="D11693" s="42"/>
      <c r="E11693" s="42"/>
      <c r="F11693" s="48" t="str">
        <f>IFERROR(__xludf.DUMMYFUNCTION("""COMPUTED_VALUE"""),"")</f>
        <v/>
      </c>
      <c r="G11693" s="42" t="str">
        <f>IFERROR(__xludf.DUMMYFUNCTION("""COMPUTED_VALUE"""),"")</f>
        <v/>
      </c>
      <c r="H11693" s="42">
        <f t="shared" si="1"/>
        <v>3345</v>
      </c>
    </row>
    <row r="11694" ht="22.5" customHeight="1">
      <c r="B11694" s="42" t="str">
        <f>IFERROR(__xludf.DUMMYFUNCTION("""COMPUTED_VALUE"""),"")</f>
        <v/>
      </c>
      <c r="C11694" s="42" t="str">
        <f>IFERROR(__xludf.DUMMYFUNCTION("""COMPUTED_VALUE"""),"")</f>
        <v/>
      </c>
      <c r="D11694" s="42"/>
      <c r="E11694" s="42"/>
      <c r="F11694" s="48" t="str">
        <f>IFERROR(__xludf.DUMMYFUNCTION("""COMPUTED_VALUE"""),"")</f>
        <v/>
      </c>
      <c r="G11694" s="42" t="str">
        <f>IFERROR(__xludf.DUMMYFUNCTION("""COMPUTED_VALUE"""),"")</f>
        <v/>
      </c>
      <c r="H11694" s="42">
        <f t="shared" si="1"/>
        <v>3345</v>
      </c>
    </row>
    <row r="11695" ht="22.5" customHeight="1">
      <c r="B11695" s="42" t="str">
        <f>IFERROR(__xludf.DUMMYFUNCTION("""COMPUTED_VALUE"""),"")</f>
        <v/>
      </c>
      <c r="C11695" s="42" t="str">
        <f>IFERROR(__xludf.DUMMYFUNCTION("""COMPUTED_VALUE"""),"")</f>
        <v/>
      </c>
      <c r="D11695" s="42"/>
      <c r="E11695" s="42"/>
      <c r="F11695" s="48" t="str">
        <f>IFERROR(__xludf.DUMMYFUNCTION("""COMPUTED_VALUE"""),"")</f>
        <v/>
      </c>
      <c r="G11695" s="42" t="str">
        <f>IFERROR(__xludf.DUMMYFUNCTION("""COMPUTED_VALUE"""),"")</f>
        <v/>
      </c>
      <c r="H11695" s="42">
        <f t="shared" si="1"/>
        <v>3345</v>
      </c>
    </row>
    <row r="11696" ht="22.5" customHeight="1">
      <c r="B11696" s="42" t="str">
        <f>IFERROR(__xludf.DUMMYFUNCTION("""COMPUTED_VALUE"""),"")</f>
        <v/>
      </c>
      <c r="C11696" s="42" t="str">
        <f>IFERROR(__xludf.DUMMYFUNCTION("""COMPUTED_VALUE"""),"")</f>
        <v/>
      </c>
      <c r="D11696" s="42"/>
      <c r="E11696" s="42"/>
      <c r="F11696" s="48" t="str">
        <f>IFERROR(__xludf.DUMMYFUNCTION("""COMPUTED_VALUE"""),"")</f>
        <v/>
      </c>
      <c r="G11696" s="42" t="str">
        <f>IFERROR(__xludf.DUMMYFUNCTION("""COMPUTED_VALUE"""),"")</f>
        <v/>
      </c>
      <c r="H11696" s="42">
        <f t="shared" si="1"/>
        <v>3345</v>
      </c>
    </row>
    <row r="11697" ht="22.5" customHeight="1">
      <c r="B11697" s="42" t="str">
        <f>IFERROR(__xludf.DUMMYFUNCTION("""COMPUTED_VALUE"""),"")</f>
        <v/>
      </c>
      <c r="C11697" s="42" t="str">
        <f>IFERROR(__xludf.DUMMYFUNCTION("""COMPUTED_VALUE"""),"")</f>
        <v/>
      </c>
      <c r="D11697" s="42"/>
      <c r="E11697" s="42"/>
      <c r="F11697" s="48" t="str">
        <f>IFERROR(__xludf.DUMMYFUNCTION("""COMPUTED_VALUE"""),"")</f>
        <v/>
      </c>
      <c r="G11697" s="42" t="str">
        <f>IFERROR(__xludf.DUMMYFUNCTION("""COMPUTED_VALUE"""),"")</f>
        <v/>
      </c>
      <c r="H11697" s="42">
        <f t="shared" si="1"/>
        <v>3345</v>
      </c>
    </row>
    <row r="11698" ht="22.5" customHeight="1">
      <c r="B11698" s="42" t="str">
        <f>IFERROR(__xludf.DUMMYFUNCTION("""COMPUTED_VALUE"""),"")</f>
        <v/>
      </c>
      <c r="C11698" s="42" t="str">
        <f>IFERROR(__xludf.DUMMYFUNCTION("""COMPUTED_VALUE"""),"")</f>
        <v/>
      </c>
      <c r="D11698" s="42"/>
      <c r="E11698" s="42"/>
      <c r="F11698" s="48" t="str">
        <f>IFERROR(__xludf.DUMMYFUNCTION("""COMPUTED_VALUE"""),"")</f>
        <v/>
      </c>
      <c r="G11698" s="42" t="str">
        <f>IFERROR(__xludf.DUMMYFUNCTION("""COMPUTED_VALUE"""),"")</f>
        <v/>
      </c>
      <c r="H11698" s="42">
        <f t="shared" si="1"/>
        <v>3345</v>
      </c>
    </row>
    <row r="11699" ht="22.5" customHeight="1">
      <c r="B11699" s="42" t="str">
        <f>IFERROR(__xludf.DUMMYFUNCTION("""COMPUTED_VALUE"""),"")</f>
        <v/>
      </c>
      <c r="C11699" s="42" t="str">
        <f>IFERROR(__xludf.DUMMYFUNCTION("""COMPUTED_VALUE"""),"")</f>
        <v/>
      </c>
      <c r="D11699" s="42"/>
      <c r="E11699" s="42"/>
      <c r="F11699" s="48" t="str">
        <f>IFERROR(__xludf.DUMMYFUNCTION("""COMPUTED_VALUE"""),"")</f>
        <v/>
      </c>
      <c r="G11699" s="42" t="str">
        <f>IFERROR(__xludf.DUMMYFUNCTION("""COMPUTED_VALUE"""),"")</f>
        <v/>
      </c>
      <c r="H11699" s="42">
        <f t="shared" si="1"/>
        <v>3345</v>
      </c>
    </row>
    <row r="11700" ht="22.5" customHeight="1">
      <c r="B11700" s="42" t="str">
        <f>IFERROR(__xludf.DUMMYFUNCTION("""COMPUTED_VALUE"""),"")</f>
        <v/>
      </c>
      <c r="C11700" s="42" t="str">
        <f>IFERROR(__xludf.DUMMYFUNCTION("""COMPUTED_VALUE"""),"")</f>
        <v/>
      </c>
      <c r="D11700" s="42"/>
      <c r="E11700" s="42"/>
      <c r="F11700" s="48" t="str">
        <f>IFERROR(__xludf.DUMMYFUNCTION("""COMPUTED_VALUE"""),"")</f>
        <v/>
      </c>
      <c r="G11700" s="42" t="str">
        <f>IFERROR(__xludf.DUMMYFUNCTION("""COMPUTED_VALUE"""),"")</f>
        <v/>
      </c>
      <c r="H11700" s="42">
        <f t="shared" si="1"/>
        <v>3345</v>
      </c>
    </row>
    <row r="11701" ht="22.5" customHeight="1">
      <c r="B11701" s="42" t="str">
        <f>IFERROR(__xludf.DUMMYFUNCTION("""COMPUTED_VALUE"""),"")</f>
        <v/>
      </c>
      <c r="C11701" s="42" t="str">
        <f>IFERROR(__xludf.DUMMYFUNCTION("""COMPUTED_VALUE"""),"")</f>
        <v/>
      </c>
      <c r="D11701" s="42"/>
      <c r="E11701" s="42"/>
      <c r="F11701" s="48" t="str">
        <f>IFERROR(__xludf.DUMMYFUNCTION("""COMPUTED_VALUE"""),"")</f>
        <v/>
      </c>
      <c r="G11701" s="42" t="str">
        <f>IFERROR(__xludf.DUMMYFUNCTION("""COMPUTED_VALUE"""),"")</f>
        <v/>
      </c>
      <c r="H11701" s="42">
        <f t="shared" si="1"/>
        <v>3345</v>
      </c>
    </row>
    <row r="11702" ht="22.5" customHeight="1">
      <c r="B11702" s="42" t="str">
        <f>IFERROR(__xludf.DUMMYFUNCTION("""COMPUTED_VALUE"""),"")</f>
        <v/>
      </c>
      <c r="C11702" s="42" t="str">
        <f>IFERROR(__xludf.DUMMYFUNCTION("""COMPUTED_VALUE"""),"")</f>
        <v/>
      </c>
      <c r="D11702" s="42"/>
      <c r="E11702" s="42"/>
      <c r="F11702" s="48" t="str">
        <f>IFERROR(__xludf.DUMMYFUNCTION("""COMPUTED_VALUE"""),"")</f>
        <v/>
      </c>
      <c r="G11702" s="42" t="str">
        <f>IFERROR(__xludf.DUMMYFUNCTION("""COMPUTED_VALUE"""),"")</f>
        <v/>
      </c>
      <c r="H11702" s="42">
        <f t="shared" si="1"/>
        <v>3345</v>
      </c>
    </row>
    <row r="11703" ht="22.5" customHeight="1">
      <c r="B11703" s="42" t="str">
        <f>IFERROR(__xludf.DUMMYFUNCTION("""COMPUTED_VALUE"""),"")</f>
        <v/>
      </c>
      <c r="C11703" s="42" t="str">
        <f>IFERROR(__xludf.DUMMYFUNCTION("""COMPUTED_VALUE"""),"")</f>
        <v/>
      </c>
      <c r="D11703" s="42"/>
      <c r="E11703" s="42"/>
      <c r="F11703" s="48" t="str">
        <f>IFERROR(__xludf.DUMMYFUNCTION("""COMPUTED_VALUE"""),"")</f>
        <v/>
      </c>
      <c r="G11703" s="42" t="str">
        <f>IFERROR(__xludf.DUMMYFUNCTION("""COMPUTED_VALUE"""),"")</f>
        <v/>
      </c>
      <c r="H11703" s="42">
        <f t="shared" si="1"/>
        <v>3345</v>
      </c>
    </row>
    <row r="11704" ht="22.5" customHeight="1">
      <c r="B11704" s="42" t="str">
        <f>IFERROR(__xludf.DUMMYFUNCTION("""COMPUTED_VALUE"""),"")</f>
        <v/>
      </c>
      <c r="C11704" s="42" t="str">
        <f>IFERROR(__xludf.DUMMYFUNCTION("""COMPUTED_VALUE"""),"")</f>
        <v/>
      </c>
      <c r="D11704" s="42"/>
      <c r="E11704" s="42"/>
      <c r="F11704" s="48" t="str">
        <f>IFERROR(__xludf.DUMMYFUNCTION("""COMPUTED_VALUE"""),"")</f>
        <v/>
      </c>
      <c r="G11704" s="42" t="str">
        <f>IFERROR(__xludf.DUMMYFUNCTION("""COMPUTED_VALUE"""),"")</f>
        <v/>
      </c>
      <c r="H11704" s="42">
        <f t="shared" si="1"/>
        <v>3345</v>
      </c>
    </row>
    <row r="11705" ht="22.5" customHeight="1">
      <c r="B11705" s="42" t="str">
        <f>IFERROR(__xludf.DUMMYFUNCTION("""COMPUTED_VALUE"""),"")</f>
        <v/>
      </c>
      <c r="C11705" s="42" t="str">
        <f>IFERROR(__xludf.DUMMYFUNCTION("""COMPUTED_VALUE"""),"")</f>
        <v/>
      </c>
      <c r="D11705" s="42"/>
      <c r="E11705" s="42"/>
      <c r="F11705" s="48" t="str">
        <f>IFERROR(__xludf.DUMMYFUNCTION("""COMPUTED_VALUE"""),"")</f>
        <v/>
      </c>
      <c r="G11705" s="42" t="str">
        <f>IFERROR(__xludf.DUMMYFUNCTION("""COMPUTED_VALUE"""),"")</f>
        <v/>
      </c>
      <c r="H11705" s="42">
        <f t="shared" si="1"/>
        <v>3345</v>
      </c>
    </row>
    <row r="11706" ht="22.5" customHeight="1">
      <c r="B11706" s="42" t="str">
        <f>IFERROR(__xludf.DUMMYFUNCTION("""COMPUTED_VALUE"""),"")</f>
        <v/>
      </c>
      <c r="C11706" s="42" t="str">
        <f>IFERROR(__xludf.DUMMYFUNCTION("""COMPUTED_VALUE"""),"")</f>
        <v/>
      </c>
      <c r="D11706" s="42"/>
      <c r="E11706" s="42"/>
      <c r="F11706" s="48" t="str">
        <f>IFERROR(__xludf.DUMMYFUNCTION("""COMPUTED_VALUE"""),"")</f>
        <v/>
      </c>
      <c r="G11706" s="42" t="str">
        <f>IFERROR(__xludf.DUMMYFUNCTION("""COMPUTED_VALUE"""),"")</f>
        <v/>
      </c>
      <c r="H11706" s="42">
        <f t="shared" si="1"/>
        <v>3345</v>
      </c>
    </row>
    <row r="11707" ht="22.5" customHeight="1">
      <c r="B11707" s="42" t="str">
        <f>IFERROR(__xludf.DUMMYFUNCTION("""COMPUTED_VALUE"""),"")</f>
        <v/>
      </c>
      <c r="C11707" s="42" t="str">
        <f>IFERROR(__xludf.DUMMYFUNCTION("""COMPUTED_VALUE"""),"")</f>
        <v/>
      </c>
      <c r="D11707" s="42"/>
      <c r="E11707" s="42"/>
      <c r="F11707" s="48" t="str">
        <f>IFERROR(__xludf.DUMMYFUNCTION("""COMPUTED_VALUE"""),"")</f>
        <v/>
      </c>
      <c r="G11707" s="42" t="str">
        <f>IFERROR(__xludf.DUMMYFUNCTION("""COMPUTED_VALUE"""),"")</f>
        <v/>
      </c>
      <c r="H11707" s="42">
        <f t="shared" si="1"/>
        <v>3345</v>
      </c>
    </row>
    <row r="11708" ht="22.5" customHeight="1">
      <c r="B11708" s="42" t="str">
        <f>IFERROR(__xludf.DUMMYFUNCTION("""COMPUTED_VALUE"""),"")</f>
        <v/>
      </c>
      <c r="C11708" s="42" t="str">
        <f>IFERROR(__xludf.DUMMYFUNCTION("""COMPUTED_VALUE"""),"")</f>
        <v/>
      </c>
      <c r="D11708" s="42"/>
      <c r="E11708" s="42"/>
      <c r="F11708" s="48" t="str">
        <f>IFERROR(__xludf.DUMMYFUNCTION("""COMPUTED_VALUE"""),"")</f>
        <v/>
      </c>
      <c r="G11708" s="42" t="str">
        <f>IFERROR(__xludf.DUMMYFUNCTION("""COMPUTED_VALUE"""),"")</f>
        <v/>
      </c>
      <c r="H11708" s="42">
        <f t="shared" si="1"/>
        <v>3345</v>
      </c>
    </row>
    <row r="11709" ht="22.5" customHeight="1">
      <c r="B11709" s="42" t="str">
        <f>IFERROR(__xludf.DUMMYFUNCTION("""COMPUTED_VALUE"""),"")</f>
        <v/>
      </c>
      <c r="C11709" s="42" t="str">
        <f>IFERROR(__xludf.DUMMYFUNCTION("""COMPUTED_VALUE"""),"")</f>
        <v/>
      </c>
      <c r="D11709" s="42"/>
      <c r="E11709" s="42"/>
      <c r="F11709" s="48" t="str">
        <f>IFERROR(__xludf.DUMMYFUNCTION("""COMPUTED_VALUE"""),"")</f>
        <v/>
      </c>
      <c r="G11709" s="42" t="str">
        <f>IFERROR(__xludf.DUMMYFUNCTION("""COMPUTED_VALUE"""),"")</f>
        <v/>
      </c>
      <c r="H11709" s="42">
        <f t="shared" si="1"/>
        <v>3345</v>
      </c>
    </row>
    <row r="11710" ht="22.5" customHeight="1">
      <c r="B11710" s="42" t="str">
        <f>IFERROR(__xludf.DUMMYFUNCTION("""COMPUTED_VALUE"""),"")</f>
        <v/>
      </c>
      <c r="C11710" s="42" t="str">
        <f>IFERROR(__xludf.DUMMYFUNCTION("""COMPUTED_VALUE"""),"")</f>
        <v/>
      </c>
      <c r="D11710" s="42"/>
      <c r="E11710" s="42"/>
      <c r="F11710" s="48" t="str">
        <f>IFERROR(__xludf.DUMMYFUNCTION("""COMPUTED_VALUE"""),"")</f>
        <v/>
      </c>
      <c r="G11710" s="42" t="str">
        <f>IFERROR(__xludf.DUMMYFUNCTION("""COMPUTED_VALUE"""),"")</f>
        <v/>
      </c>
      <c r="H11710" s="42">
        <f t="shared" si="1"/>
        <v>3345</v>
      </c>
    </row>
    <row r="11711" ht="22.5" customHeight="1">
      <c r="B11711" s="42" t="str">
        <f>IFERROR(__xludf.DUMMYFUNCTION("""COMPUTED_VALUE"""),"")</f>
        <v/>
      </c>
      <c r="C11711" s="42" t="str">
        <f>IFERROR(__xludf.DUMMYFUNCTION("""COMPUTED_VALUE"""),"")</f>
        <v/>
      </c>
      <c r="D11711" s="42"/>
      <c r="E11711" s="42"/>
      <c r="F11711" s="48" t="str">
        <f>IFERROR(__xludf.DUMMYFUNCTION("""COMPUTED_VALUE"""),"")</f>
        <v/>
      </c>
      <c r="G11711" s="42" t="str">
        <f>IFERROR(__xludf.DUMMYFUNCTION("""COMPUTED_VALUE"""),"")</f>
        <v/>
      </c>
      <c r="H11711" s="42">
        <f t="shared" si="1"/>
        <v>3345</v>
      </c>
    </row>
    <row r="11712" ht="22.5" customHeight="1">
      <c r="B11712" s="42" t="str">
        <f>IFERROR(__xludf.DUMMYFUNCTION("""COMPUTED_VALUE"""),"")</f>
        <v/>
      </c>
      <c r="C11712" s="42" t="str">
        <f>IFERROR(__xludf.DUMMYFUNCTION("""COMPUTED_VALUE"""),"")</f>
        <v/>
      </c>
      <c r="D11712" s="42"/>
      <c r="E11712" s="42"/>
      <c r="F11712" s="48" t="str">
        <f>IFERROR(__xludf.DUMMYFUNCTION("""COMPUTED_VALUE"""),"")</f>
        <v/>
      </c>
      <c r="G11712" s="42" t="str">
        <f>IFERROR(__xludf.DUMMYFUNCTION("""COMPUTED_VALUE"""),"")</f>
        <v/>
      </c>
      <c r="H11712" s="42">
        <f t="shared" si="1"/>
        <v>3345</v>
      </c>
    </row>
    <row r="11713" ht="22.5" customHeight="1">
      <c r="B11713" s="42" t="str">
        <f>IFERROR(__xludf.DUMMYFUNCTION("""COMPUTED_VALUE"""),"")</f>
        <v/>
      </c>
      <c r="C11713" s="42" t="str">
        <f>IFERROR(__xludf.DUMMYFUNCTION("""COMPUTED_VALUE"""),"")</f>
        <v/>
      </c>
      <c r="D11713" s="42"/>
      <c r="E11713" s="42"/>
      <c r="F11713" s="48" t="str">
        <f>IFERROR(__xludf.DUMMYFUNCTION("""COMPUTED_VALUE"""),"")</f>
        <v/>
      </c>
      <c r="G11713" s="42" t="str">
        <f>IFERROR(__xludf.DUMMYFUNCTION("""COMPUTED_VALUE"""),"")</f>
        <v/>
      </c>
      <c r="H11713" s="42">
        <f t="shared" si="1"/>
        <v>3345</v>
      </c>
    </row>
    <row r="11714" ht="22.5" customHeight="1">
      <c r="B11714" s="42" t="str">
        <f>IFERROR(__xludf.DUMMYFUNCTION("""COMPUTED_VALUE"""),"")</f>
        <v/>
      </c>
      <c r="C11714" s="42" t="str">
        <f>IFERROR(__xludf.DUMMYFUNCTION("""COMPUTED_VALUE"""),"")</f>
        <v/>
      </c>
      <c r="D11714" s="42"/>
      <c r="E11714" s="42"/>
      <c r="F11714" s="48" t="str">
        <f>IFERROR(__xludf.DUMMYFUNCTION("""COMPUTED_VALUE"""),"")</f>
        <v/>
      </c>
      <c r="G11714" s="42" t="str">
        <f>IFERROR(__xludf.DUMMYFUNCTION("""COMPUTED_VALUE"""),"")</f>
        <v/>
      </c>
      <c r="H11714" s="42">
        <f t="shared" si="1"/>
        <v>3345</v>
      </c>
    </row>
    <row r="11715" ht="22.5" customHeight="1">
      <c r="B11715" s="42" t="str">
        <f>IFERROR(__xludf.DUMMYFUNCTION("""COMPUTED_VALUE"""),"")</f>
        <v/>
      </c>
      <c r="C11715" s="42" t="str">
        <f>IFERROR(__xludf.DUMMYFUNCTION("""COMPUTED_VALUE"""),"")</f>
        <v/>
      </c>
      <c r="D11715" s="42"/>
      <c r="E11715" s="42"/>
      <c r="F11715" s="48" t="str">
        <f>IFERROR(__xludf.DUMMYFUNCTION("""COMPUTED_VALUE"""),"")</f>
        <v/>
      </c>
      <c r="G11715" s="42" t="str">
        <f>IFERROR(__xludf.DUMMYFUNCTION("""COMPUTED_VALUE"""),"")</f>
        <v/>
      </c>
      <c r="H11715" s="42">
        <f t="shared" si="1"/>
        <v>3345</v>
      </c>
    </row>
    <row r="11716" ht="22.5" customHeight="1">
      <c r="B11716" s="42" t="str">
        <f>IFERROR(__xludf.DUMMYFUNCTION("""COMPUTED_VALUE"""),"")</f>
        <v/>
      </c>
      <c r="C11716" s="42" t="str">
        <f>IFERROR(__xludf.DUMMYFUNCTION("""COMPUTED_VALUE"""),"")</f>
        <v/>
      </c>
      <c r="D11716" s="42"/>
      <c r="E11716" s="42"/>
      <c r="F11716" s="48" t="str">
        <f>IFERROR(__xludf.DUMMYFUNCTION("""COMPUTED_VALUE"""),"")</f>
        <v/>
      </c>
      <c r="G11716" s="42" t="str">
        <f>IFERROR(__xludf.DUMMYFUNCTION("""COMPUTED_VALUE"""),"")</f>
        <v/>
      </c>
      <c r="H11716" s="42">
        <f t="shared" si="1"/>
        <v>3345</v>
      </c>
    </row>
    <row r="11717" ht="22.5" customHeight="1">
      <c r="B11717" s="42" t="str">
        <f>IFERROR(__xludf.DUMMYFUNCTION("""COMPUTED_VALUE"""),"")</f>
        <v/>
      </c>
      <c r="C11717" s="42" t="str">
        <f>IFERROR(__xludf.DUMMYFUNCTION("""COMPUTED_VALUE"""),"")</f>
        <v/>
      </c>
      <c r="D11717" s="42"/>
      <c r="E11717" s="42"/>
      <c r="F11717" s="48" t="str">
        <f>IFERROR(__xludf.DUMMYFUNCTION("""COMPUTED_VALUE"""),"")</f>
        <v/>
      </c>
      <c r="G11717" s="42" t="str">
        <f>IFERROR(__xludf.DUMMYFUNCTION("""COMPUTED_VALUE"""),"")</f>
        <v/>
      </c>
      <c r="H11717" s="42">
        <f t="shared" si="1"/>
        <v>3345</v>
      </c>
    </row>
    <row r="11718" ht="22.5" customHeight="1">
      <c r="B11718" s="42" t="str">
        <f>IFERROR(__xludf.DUMMYFUNCTION("""COMPUTED_VALUE"""),"")</f>
        <v/>
      </c>
      <c r="C11718" s="42" t="str">
        <f>IFERROR(__xludf.DUMMYFUNCTION("""COMPUTED_VALUE"""),"")</f>
        <v/>
      </c>
      <c r="D11718" s="42"/>
      <c r="E11718" s="42"/>
      <c r="F11718" s="48" t="str">
        <f>IFERROR(__xludf.DUMMYFUNCTION("""COMPUTED_VALUE"""),"")</f>
        <v/>
      </c>
      <c r="G11718" s="42" t="str">
        <f>IFERROR(__xludf.DUMMYFUNCTION("""COMPUTED_VALUE"""),"")</f>
        <v/>
      </c>
      <c r="H11718" s="42">
        <f t="shared" si="1"/>
        <v>3345</v>
      </c>
    </row>
    <row r="11719" ht="22.5" customHeight="1">
      <c r="B11719" s="42" t="str">
        <f>IFERROR(__xludf.DUMMYFUNCTION("""COMPUTED_VALUE"""),"")</f>
        <v/>
      </c>
      <c r="C11719" s="42" t="str">
        <f>IFERROR(__xludf.DUMMYFUNCTION("""COMPUTED_VALUE"""),"")</f>
        <v/>
      </c>
      <c r="D11719" s="42"/>
      <c r="E11719" s="42"/>
      <c r="F11719" s="48" t="str">
        <f>IFERROR(__xludf.DUMMYFUNCTION("""COMPUTED_VALUE"""),"")</f>
        <v/>
      </c>
      <c r="G11719" s="42" t="str">
        <f>IFERROR(__xludf.DUMMYFUNCTION("""COMPUTED_VALUE"""),"")</f>
        <v/>
      </c>
      <c r="H11719" s="42">
        <f t="shared" si="1"/>
        <v>3345</v>
      </c>
    </row>
    <row r="11720" ht="22.5" customHeight="1">
      <c r="B11720" s="42" t="str">
        <f>IFERROR(__xludf.DUMMYFUNCTION("""COMPUTED_VALUE"""),"")</f>
        <v/>
      </c>
      <c r="C11720" s="42" t="str">
        <f>IFERROR(__xludf.DUMMYFUNCTION("""COMPUTED_VALUE"""),"")</f>
        <v/>
      </c>
      <c r="D11720" s="42"/>
      <c r="E11720" s="42"/>
      <c r="F11720" s="48" t="str">
        <f>IFERROR(__xludf.DUMMYFUNCTION("""COMPUTED_VALUE"""),"")</f>
        <v/>
      </c>
      <c r="G11720" s="42" t="str">
        <f>IFERROR(__xludf.DUMMYFUNCTION("""COMPUTED_VALUE"""),"")</f>
        <v/>
      </c>
      <c r="H11720" s="42">
        <f t="shared" si="1"/>
        <v>3345</v>
      </c>
    </row>
    <row r="11721" ht="22.5" customHeight="1">
      <c r="B11721" s="42" t="str">
        <f>IFERROR(__xludf.DUMMYFUNCTION("""COMPUTED_VALUE"""),"")</f>
        <v/>
      </c>
      <c r="C11721" s="42" t="str">
        <f>IFERROR(__xludf.DUMMYFUNCTION("""COMPUTED_VALUE"""),"")</f>
        <v/>
      </c>
      <c r="D11721" s="42"/>
      <c r="E11721" s="42"/>
      <c r="F11721" s="48" t="str">
        <f>IFERROR(__xludf.DUMMYFUNCTION("""COMPUTED_VALUE"""),"")</f>
        <v/>
      </c>
      <c r="G11721" s="42" t="str">
        <f>IFERROR(__xludf.DUMMYFUNCTION("""COMPUTED_VALUE"""),"")</f>
        <v/>
      </c>
      <c r="H11721" s="42">
        <f t="shared" si="1"/>
        <v>3345</v>
      </c>
    </row>
    <row r="11722" ht="22.5" customHeight="1">
      <c r="B11722" s="42" t="str">
        <f>IFERROR(__xludf.DUMMYFUNCTION("""COMPUTED_VALUE"""),"")</f>
        <v/>
      </c>
      <c r="C11722" s="42" t="str">
        <f>IFERROR(__xludf.DUMMYFUNCTION("""COMPUTED_VALUE"""),"")</f>
        <v/>
      </c>
      <c r="D11722" s="42"/>
      <c r="E11722" s="42"/>
      <c r="F11722" s="48" t="str">
        <f>IFERROR(__xludf.DUMMYFUNCTION("""COMPUTED_VALUE"""),"")</f>
        <v/>
      </c>
      <c r="G11722" s="42" t="str">
        <f>IFERROR(__xludf.DUMMYFUNCTION("""COMPUTED_VALUE"""),"")</f>
        <v/>
      </c>
      <c r="H11722" s="42">
        <f t="shared" si="1"/>
        <v>3345</v>
      </c>
    </row>
    <row r="11723" ht="22.5" customHeight="1">
      <c r="B11723" s="42" t="str">
        <f>IFERROR(__xludf.DUMMYFUNCTION("""COMPUTED_VALUE"""),"")</f>
        <v/>
      </c>
      <c r="C11723" s="42" t="str">
        <f>IFERROR(__xludf.DUMMYFUNCTION("""COMPUTED_VALUE"""),"")</f>
        <v/>
      </c>
      <c r="D11723" s="42"/>
      <c r="E11723" s="42"/>
      <c r="F11723" s="48" t="str">
        <f>IFERROR(__xludf.DUMMYFUNCTION("""COMPUTED_VALUE"""),"")</f>
        <v/>
      </c>
      <c r="G11723" s="42" t="str">
        <f>IFERROR(__xludf.DUMMYFUNCTION("""COMPUTED_VALUE"""),"")</f>
        <v/>
      </c>
      <c r="H11723" s="42">
        <f t="shared" si="1"/>
        <v>3345</v>
      </c>
    </row>
    <row r="11724" ht="22.5" customHeight="1">
      <c r="B11724" s="42" t="str">
        <f>IFERROR(__xludf.DUMMYFUNCTION("""COMPUTED_VALUE"""),"")</f>
        <v/>
      </c>
      <c r="C11724" s="42" t="str">
        <f>IFERROR(__xludf.DUMMYFUNCTION("""COMPUTED_VALUE"""),"")</f>
        <v/>
      </c>
      <c r="D11724" s="42"/>
      <c r="E11724" s="42"/>
      <c r="F11724" s="48" t="str">
        <f>IFERROR(__xludf.DUMMYFUNCTION("""COMPUTED_VALUE"""),"")</f>
        <v/>
      </c>
      <c r="G11724" s="42" t="str">
        <f>IFERROR(__xludf.DUMMYFUNCTION("""COMPUTED_VALUE"""),"")</f>
        <v/>
      </c>
      <c r="H11724" s="42">
        <f t="shared" si="1"/>
        <v>3345</v>
      </c>
    </row>
    <row r="11725" ht="22.5" customHeight="1">
      <c r="B11725" s="42" t="str">
        <f>IFERROR(__xludf.DUMMYFUNCTION("""COMPUTED_VALUE"""),"")</f>
        <v/>
      </c>
      <c r="C11725" s="42" t="str">
        <f>IFERROR(__xludf.DUMMYFUNCTION("""COMPUTED_VALUE"""),"")</f>
        <v/>
      </c>
      <c r="D11725" s="42"/>
      <c r="E11725" s="42"/>
      <c r="F11725" s="48" t="str">
        <f>IFERROR(__xludf.DUMMYFUNCTION("""COMPUTED_VALUE"""),"")</f>
        <v/>
      </c>
      <c r="G11725" s="42" t="str">
        <f>IFERROR(__xludf.DUMMYFUNCTION("""COMPUTED_VALUE"""),"")</f>
        <v/>
      </c>
      <c r="H11725" s="42">
        <f t="shared" si="1"/>
        <v>3345</v>
      </c>
    </row>
    <row r="11726" ht="22.5" customHeight="1">
      <c r="B11726" s="42" t="str">
        <f>IFERROR(__xludf.DUMMYFUNCTION("""COMPUTED_VALUE"""),"")</f>
        <v/>
      </c>
      <c r="C11726" s="42" t="str">
        <f>IFERROR(__xludf.DUMMYFUNCTION("""COMPUTED_VALUE"""),"")</f>
        <v/>
      </c>
      <c r="D11726" s="42"/>
      <c r="E11726" s="42"/>
      <c r="F11726" s="48" t="str">
        <f>IFERROR(__xludf.DUMMYFUNCTION("""COMPUTED_VALUE"""),"")</f>
        <v/>
      </c>
      <c r="G11726" s="42" t="str">
        <f>IFERROR(__xludf.DUMMYFUNCTION("""COMPUTED_VALUE"""),"")</f>
        <v/>
      </c>
      <c r="H11726" s="42">
        <f t="shared" si="1"/>
        <v>3345</v>
      </c>
    </row>
    <row r="11727" ht="22.5" customHeight="1">
      <c r="B11727" s="42" t="str">
        <f>IFERROR(__xludf.DUMMYFUNCTION("""COMPUTED_VALUE"""),"")</f>
        <v/>
      </c>
      <c r="C11727" s="42" t="str">
        <f>IFERROR(__xludf.DUMMYFUNCTION("""COMPUTED_VALUE"""),"")</f>
        <v/>
      </c>
      <c r="D11727" s="42"/>
      <c r="E11727" s="42"/>
      <c r="F11727" s="48" t="str">
        <f>IFERROR(__xludf.DUMMYFUNCTION("""COMPUTED_VALUE"""),"")</f>
        <v/>
      </c>
      <c r="G11727" s="42" t="str">
        <f>IFERROR(__xludf.DUMMYFUNCTION("""COMPUTED_VALUE"""),"")</f>
        <v/>
      </c>
      <c r="H11727" s="42">
        <f t="shared" si="1"/>
        <v>3345</v>
      </c>
    </row>
    <row r="11728" ht="22.5" customHeight="1">
      <c r="B11728" s="42" t="str">
        <f>IFERROR(__xludf.DUMMYFUNCTION("""COMPUTED_VALUE"""),"")</f>
        <v/>
      </c>
      <c r="C11728" s="42" t="str">
        <f>IFERROR(__xludf.DUMMYFUNCTION("""COMPUTED_VALUE"""),"")</f>
        <v/>
      </c>
      <c r="D11728" s="42"/>
      <c r="E11728" s="42"/>
      <c r="F11728" s="48" t="str">
        <f>IFERROR(__xludf.DUMMYFUNCTION("""COMPUTED_VALUE"""),"")</f>
        <v/>
      </c>
      <c r="G11728" s="42" t="str">
        <f>IFERROR(__xludf.DUMMYFUNCTION("""COMPUTED_VALUE"""),"")</f>
        <v/>
      </c>
      <c r="H11728" s="42">
        <f t="shared" si="1"/>
        <v>3345</v>
      </c>
    </row>
    <row r="11729" ht="22.5" customHeight="1">
      <c r="B11729" s="42" t="str">
        <f>IFERROR(__xludf.DUMMYFUNCTION("""COMPUTED_VALUE"""),"")</f>
        <v/>
      </c>
      <c r="C11729" s="42" t="str">
        <f>IFERROR(__xludf.DUMMYFUNCTION("""COMPUTED_VALUE"""),"")</f>
        <v/>
      </c>
      <c r="D11729" s="42"/>
      <c r="E11729" s="42"/>
      <c r="F11729" s="48" t="str">
        <f>IFERROR(__xludf.DUMMYFUNCTION("""COMPUTED_VALUE"""),"")</f>
        <v/>
      </c>
      <c r="G11729" s="42" t="str">
        <f>IFERROR(__xludf.DUMMYFUNCTION("""COMPUTED_VALUE"""),"")</f>
        <v/>
      </c>
      <c r="H11729" s="42">
        <f t="shared" si="1"/>
        <v>3345</v>
      </c>
    </row>
    <row r="11730" ht="22.5" customHeight="1">
      <c r="B11730" s="42" t="str">
        <f>IFERROR(__xludf.DUMMYFUNCTION("""COMPUTED_VALUE"""),"")</f>
        <v/>
      </c>
      <c r="C11730" s="42" t="str">
        <f>IFERROR(__xludf.DUMMYFUNCTION("""COMPUTED_VALUE"""),"")</f>
        <v/>
      </c>
      <c r="D11730" s="42"/>
      <c r="E11730" s="42"/>
      <c r="F11730" s="48" t="str">
        <f>IFERROR(__xludf.DUMMYFUNCTION("""COMPUTED_VALUE"""),"")</f>
        <v/>
      </c>
      <c r="G11730" s="42" t="str">
        <f>IFERROR(__xludf.DUMMYFUNCTION("""COMPUTED_VALUE"""),"")</f>
        <v/>
      </c>
      <c r="H11730" s="42">
        <f t="shared" si="1"/>
        <v>3345</v>
      </c>
    </row>
    <row r="11731" ht="22.5" customHeight="1">
      <c r="B11731" s="42" t="str">
        <f>IFERROR(__xludf.DUMMYFUNCTION("""COMPUTED_VALUE"""),"")</f>
        <v/>
      </c>
      <c r="C11731" s="42" t="str">
        <f>IFERROR(__xludf.DUMMYFUNCTION("""COMPUTED_VALUE"""),"")</f>
        <v/>
      </c>
      <c r="D11731" s="42"/>
      <c r="E11731" s="42"/>
      <c r="F11731" s="48" t="str">
        <f>IFERROR(__xludf.DUMMYFUNCTION("""COMPUTED_VALUE"""),"")</f>
        <v/>
      </c>
      <c r="G11731" s="42" t="str">
        <f>IFERROR(__xludf.DUMMYFUNCTION("""COMPUTED_VALUE"""),"")</f>
        <v/>
      </c>
      <c r="H11731" s="42">
        <f t="shared" si="1"/>
        <v>3345</v>
      </c>
    </row>
    <row r="11732" ht="22.5" customHeight="1">
      <c r="B11732" s="42" t="str">
        <f>IFERROR(__xludf.DUMMYFUNCTION("""COMPUTED_VALUE"""),"")</f>
        <v/>
      </c>
      <c r="C11732" s="42" t="str">
        <f>IFERROR(__xludf.DUMMYFUNCTION("""COMPUTED_VALUE"""),"")</f>
        <v/>
      </c>
      <c r="D11732" s="42"/>
      <c r="E11732" s="42"/>
      <c r="F11732" s="48" t="str">
        <f>IFERROR(__xludf.DUMMYFUNCTION("""COMPUTED_VALUE"""),"")</f>
        <v/>
      </c>
      <c r="G11732" s="42" t="str">
        <f>IFERROR(__xludf.DUMMYFUNCTION("""COMPUTED_VALUE"""),"")</f>
        <v/>
      </c>
      <c r="H11732" s="42">
        <f t="shared" si="1"/>
        <v>3345</v>
      </c>
    </row>
    <row r="11733" ht="22.5" customHeight="1">
      <c r="B11733" s="42" t="str">
        <f>IFERROR(__xludf.DUMMYFUNCTION("""COMPUTED_VALUE"""),"")</f>
        <v/>
      </c>
      <c r="C11733" s="42" t="str">
        <f>IFERROR(__xludf.DUMMYFUNCTION("""COMPUTED_VALUE"""),"")</f>
        <v/>
      </c>
      <c r="D11733" s="42"/>
      <c r="E11733" s="42"/>
      <c r="F11733" s="48" t="str">
        <f>IFERROR(__xludf.DUMMYFUNCTION("""COMPUTED_VALUE"""),"")</f>
        <v/>
      </c>
      <c r="G11733" s="42" t="str">
        <f>IFERROR(__xludf.DUMMYFUNCTION("""COMPUTED_VALUE"""),"")</f>
        <v/>
      </c>
      <c r="H11733" s="42">
        <f t="shared" si="1"/>
        <v>3345</v>
      </c>
    </row>
    <row r="11734" ht="22.5" customHeight="1">
      <c r="B11734" s="42" t="str">
        <f>IFERROR(__xludf.DUMMYFUNCTION("""COMPUTED_VALUE"""),"")</f>
        <v/>
      </c>
      <c r="C11734" s="42" t="str">
        <f>IFERROR(__xludf.DUMMYFUNCTION("""COMPUTED_VALUE"""),"")</f>
        <v/>
      </c>
      <c r="D11734" s="42"/>
      <c r="E11734" s="42"/>
      <c r="F11734" s="48" t="str">
        <f>IFERROR(__xludf.DUMMYFUNCTION("""COMPUTED_VALUE"""),"")</f>
        <v/>
      </c>
      <c r="G11734" s="42" t="str">
        <f>IFERROR(__xludf.DUMMYFUNCTION("""COMPUTED_VALUE"""),"")</f>
        <v/>
      </c>
      <c r="H11734" s="42">
        <f t="shared" si="1"/>
        <v>3345</v>
      </c>
    </row>
    <row r="11735" ht="22.5" customHeight="1">
      <c r="B11735" s="42" t="str">
        <f>IFERROR(__xludf.DUMMYFUNCTION("""COMPUTED_VALUE"""),"")</f>
        <v/>
      </c>
      <c r="C11735" s="42" t="str">
        <f>IFERROR(__xludf.DUMMYFUNCTION("""COMPUTED_VALUE"""),"")</f>
        <v/>
      </c>
      <c r="D11735" s="42"/>
      <c r="E11735" s="42"/>
      <c r="F11735" s="48" t="str">
        <f>IFERROR(__xludf.DUMMYFUNCTION("""COMPUTED_VALUE"""),"")</f>
        <v/>
      </c>
      <c r="G11735" s="42" t="str">
        <f>IFERROR(__xludf.DUMMYFUNCTION("""COMPUTED_VALUE"""),"")</f>
        <v/>
      </c>
      <c r="H11735" s="42">
        <f t="shared" si="1"/>
        <v>3345</v>
      </c>
    </row>
    <row r="11736" ht="22.5" customHeight="1">
      <c r="B11736" s="42" t="str">
        <f>IFERROR(__xludf.DUMMYFUNCTION("""COMPUTED_VALUE"""),"")</f>
        <v/>
      </c>
      <c r="C11736" s="42" t="str">
        <f>IFERROR(__xludf.DUMMYFUNCTION("""COMPUTED_VALUE"""),"")</f>
        <v/>
      </c>
      <c r="D11736" s="42"/>
      <c r="E11736" s="42"/>
      <c r="F11736" s="48" t="str">
        <f>IFERROR(__xludf.DUMMYFUNCTION("""COMPUTED_VALUE"""),"")</f>
        <v/>
      </c>
      <c r="G11736" s="42" t="str">
        <f>IFERROR(__xludf.DUMMYFUNCTION("""COMPUTED_VALUE"""),"")</f>
        <v/>
      </c>
      <c r="H11736" s="42">
        <f t="shared" si="1"/>
        <v>3345</v>
      </c>
    </row>
    <row r="11737" ht="22.5" customHeight="1">
      <c r="B11737" s="42" t="str">
        <f>IFERROR(__xludf.DUMMYFUNCTION("""COMPUTED_VALUE"""),"")</f>
        <v/>
      </c>
      <c r="C11737" s="42" t="str">
        <f>IFERROR(__xludf.DUMMYFUNCTION("""COMPUTED_VALUE"""),"")</f>
        <v/>
      </c>
      <c r="D11737" s="42"/>
      <c r="E11737" s="42"/>
      <c r="F11737" s="48" t="str">
        <f>IFERROR(__xludf.DUMMYFUNCTION("""COMPUTED_VALUE"""),"")</f>
        <v/>
      </c>
      <c r="G11737" s="42" t="str">
        <f>IFERROR(__xludf.DUMMYFUNCTION("""COMPUTED_VALUE"""),"")</f>
        <v/>
      </c>
      <c r="H11737" s="42">
        <f t="shared" si="1"/>
        <v>3345</v>
      </c>
    </row>
    <row r="11738" ht="22.5" customHeight="1">
      <c r="B11738" s="42" t="str">
        <f>IFERROR(__xludf.DUMMYFUNCTION("""COMPUTED_VALUE"""),"")</f>
        <v/>
      </c>
      <c r="C11738" s="42" t="str">
        <f>IFERROR(__xludf.DUMMYFUNCTION("""COMPUTED_VALUE"""),"")</f>
        <v/>
      </c>
      <c r="D11738" s="42"/>
      <c r="E11738" s="42"/>
      <c r="F11738" s="48" t="str">
        <f>IFERROR(__xludf.DUMMYFUNCTION("""COMPUTED_VALUE"""),"")</f>
        <v/>
      </c>
      <c r="G11738" s="42" t="str">
        <f>IFERROR(__xludf.DUMMYFUNCTION("""COMPUTED_VALUE"""),"")</f>
        <v/>
      </c>
      <c r="H11738" s="42">
        <f t="shared" si="1"/>
        <v>3345</v>
      </c>
    </row>
    <row r="11739" ht="22.5" customHeight="1">
      <c r="B11739" s="42" t="str">
        <f>IFERROR(__xludf.DUMMYFUNCTION("""COMPUTED_VALUE"""),"")</f>
        <v/>
      </c>
      <c r="C11739" s="42" t="str">
        <f>IFERROR(__xludf.DUMMYFUNCTION("""COMPUTED_VALUE"""),"")</f>
        <v/>
      </c>
      <c r="D11739" s="42"/>
      <c r="E11739" s="42"/>
      <c r="F11739" s="48" t="str">
        <f>IFERROR(__xludf.DUMMYFUNCTION("""COMPUTED_VALUE"""),"")</f>
        <v/>
      </c>
      <c r="G11739" s="42" t="str">
        <f>IFERROR(__xludf.DUMMYFUNCTION("""COMPUTED_VALUE"""),"")</f>
        <v/>
      </c>
      <c r="H11739" s="42">
        <f t="shared" si="1"/>
        <v>3345</v>
      </c>
    </row>
    <row r="11740" ht="22.5" customHeight="1">
      <c r="B11740" s="42" t="str">
        <f>IFERROR(__xludf.DUMMYFUNCTION("""COMPUTED_VALUE"""),"")</f>
        <v/>
      </c>
      <c r="C11740" s="42" t="str">
        <f>IFERROR(__xludf.DUMMYFUNCTION("""COMPUTED_VALUE"""),"")</f>
        <v/>
      </c>
      <c r="D11740" s="42"/>
      <c r="E11740" s="42"/>
      <c r="F11740" s="48" t="str">
        <f>IFERROR(__xludf.DUMMYFUNCTION("""COMPUTED_VALUE"""),"")</f>
        <v/>
      </c>
      <c r="G11740" s="42" t="str">
        <f>IFERROR(__xludf.DUMMYFUNCTION("""COMPUTED_VALUE"""),"")</f>
        <v/>
      </c>
      <c r="H11740" s="42">
        <f t="shared" si="1"/>
        <v>3345</v>
      </c>
    </row>
    <row r="11741" ht="22.5" customHeight="1">
      <c r="B11741" s="42" t="str">
        <f>IFERROR(__xludf.DUMMYFUNCTION("""COMPUTED_VALUE"""),"")</f>
        <v/>
      </c>
      <c r="C11741" s="42" t="str">
        <f>IFERROR(__xludf.DUMMYFUNCTION("""COMPUTED_VALUE"""),"")</f>
        <v/>
      </c>
      <c r="D11741" s="42"/>
      <c r="E11741" s="42"/>
      <c r="F11741" s="48" t="str">
        <f>IFERROR(__xludf.DUMMYFUNCTION("""COMPUTED_VALUE"""),"")</f>
        <v/>
      </c>
      <c r="G11741" s="42" t="str">
        <f>IFERROR(__xludf.DUMMYFUNCTION("""COMPUTED_VALUE"""),"")</f>
        <v/>
      </c>
      <c r="H11741" s="42">
        <f t="shared" si="1"/>
        <v>3345</v>
      </c>
    </row>
    <row r="11742" ht="22.5" customHeight="1">
      <c r="B11742" s="42" t="str">
        <f>IFERROR(__xludf.DUMMYFUNCTION("""COMPUTED_VALUE"""),"")</f>
        <v/>
      </c>
      <c r="C11742" s="42" t="str">
        <f>IFERROR(__xludf.DUMMYFUNCTION("""COMPUTED_VALUE"""),"")</f>
        <v/>
      </c>
      <c r="D11742" s="42"/>
      <c r="E11742" s="42"/>
      <c r="F11742" s="48" t="str">
        <f>IFERROR(__xludf.DUMMYFUNCTION("""COMPUTED_VALUE"""),"")</f>
        <v/>
      </c>
      <c r="G11742" s="42" t="str">
        <f>IFERROR(__xludf.DUMMYFUNCTION("""COMPUTED_VALUE"""),"")</f>
        <v/>
      </c>
      <c r="H11742" s="42">
        <f t="shared" si="1"/>
        <v>3345</v>
      </c>
    </row>
    <row r="11743" ht="22.5" customHeight="1">
      <c r="B11743" s="42" t="str">
        <f>IFERROR(__xludf.DUMMYFUNCTION("""COMPUTED_VALUE"""),"")</f>
        <v/>
      </c>
      <c r="C11743" s="42" t="str">
        <f>IFERROR(__xludf.DUMMYFUNCTION("""COMPUTED_VALUE"""),"")</f>
        <v/>
      </c>
      <c r="D11743" s="42"/>
      <c r="E11743" s="42"/>
      <c r="F11743" s="48" t="str">
        <f>IFERROR(__xludf.DUMMYFUNCTION("""COMPUTED_VALUE"""),"")</f>
        <v/>
      </c>
      <c r="G11743" s="42" t="str">
        <f>IFERROR(__xludf.DUMMYFUNCTION("""COMPUTED_VALUE"""),"")</f>
        <v/>
      </c>
      <c r="H11743" s="42">
        <f t="shared" si="1"/>
        <v>3345</v>
      </c>
    </row>
    <row r="11744" ht="22.5" customHeight="1">
      <c r="B11744" s="42" t="str">
        <f>IFERROR(__xludf.DUMMYFUNCTION("""COMPUTED_VALUE"""),"")</f>
        <v/>
      </c>
      <c r="C11744" s="42" t="str">
        <f>IFERROR(__xludf.DUMMYFUNCTION("""COMPUTED_VALUE"""),"")</f>
        <v/>
      </c>
      <c r="D11744" s="42"/>
      <c r="E11744" s="42"/>
      <c r="F11744" s="48" t="str">
        <f>IFERROR(__xludf.DUMMYFUNCTION("""COMPUTED_VALUE"""),"")</f>
        <v/>
      </c>
      <c r="G11744" s="42" t="str">
        <f>IFERROR(__xludf.DUMMYFUNCTION("""COMPUTED_VALUE"""),"")</f>
        <v/>
      </c>
      <c r="H11744" s="42">
        <f t="shared" si="1"/>
        <v>3345</v>
      </c>
    </row>
    <row r="11745" ht="22.5" customHeight="1">
      <c r="B11745" s="42" t="str">
        <f>IFERROR(__xludf.DUMMYFUNCTION("""COMPUTED_VALUE"""),"")</f>
        <v/>
      </c>
      <c r="C11745" s="42" t="str">
        <f>IFERROR(__xludf.DUMMYFUNCTION("""COMPUTED_VALUE"""),"")</f>
        <v/>
      </c>
      <c r="D11745" s="42"/>
      <c r="E11745" s="42"/>
      <c r="F11745" s="48" t="str">
        <f>IFERROR(__xludf.DUMMYFUNCTION("""COMPUTED_VALUE"""),"")</f>
        <v/>
      </c>
      <c r="G11745" s="42" t="str">
        <f>IFERROR(__xludf.DUMMYFUNCTION("""COMPUTED_VALUE"""),"")</f>
        <v/>
      </c>
      <c r="H11745" s="42">
        <f t="shared" si="1"/>
        <v>3345</v>
      </c>
    </row>
    <row r="11746" ht="22.5" customHeight="1">
      <c r="B11746" s="42" t="str">
        <f>IFERROR(__xludf.DUMMYFUNCTION("""COMPUTED_VALUE"""),"")</f>
        <v/>
      </c>
      <c r="C11746" s="42" t="str">
        <f>IFERROR(__xludf.DUMMYFUNCTION("""COMPUTED_VALUE"""),"")</f>
        <v/>
      </c>
      <c r="D11746" s="42"/>
      <c r="E11746" s="42"/>
      <c r="F11746" s="48" t="str">
        <f>IFERROR(__xludf.DUMMYFUNCTION("""COMPUTED_VALUE"""),"")</f>
        <v/>
      </c>
      <c r="G11746" s="42" t="str">
        <f>IFERROR(__xludf.DUMMYFUNCTION("""COMPUTED_VALUE"""),"")</f>
        <v/>
      </c>
      <c r="H11746" s="42">
        <f t="shared" si="1"/>
        <v>3345</v>
      </c>
    </row>
    <row r="11747" ht="22.5" customHeight="1">
      <c r="B11747" s="42" t="str">
        <f>IFERROR(__xludf.DUMMYFUNCTION("""COMPUTED_VALUE"""),"")</f>
        <v/>
      </c>
      <c r="C11747" s="42" t="str">
        <f>IFERROR(__xludf.DUMMYFUNCTION("""COMPUTED_VALUE"""),"")</f>
        <v/>
      </c>
      <c r="D11747" s="42"/>
      <c r="E11747" s="42"/>
      <c r="F11747" s="48" t="str">
        <f>IFERROR(__xludf.DUMMYFUNCTION("""COMPUTED_VALUE"""),"")</f>
        <v/>
      </c>
      <c r="G11747" s="42" t="str">
        <f>IFERROR(__xludf.DUMMYFUNCTION("""COMPUTED_VALUE"""),"")</f>
        <v/>
      </c>
      <c r="H11747" s="42">
        <f t="shared" si="1"/>
        <v>3345</v>
      </c>
    </row>
    <row r="11748" ht="22.5" customHeight="1">
      <c r="B11748" s="42" t="str">
        <f>IFERROR(__xludf.DUMMYFUNCTION("""COMPUTED_VALUE"""),"")</f>
        <v/>
      </c>
      <c r="C11748" s="42" t="str">
        <f>IFERROR(__xludf.DUMMYFUNCTION("""COMPUTED_VALUE"""),"")</f>
        <v/>
      </c>
      <c r="D11748" s="42"/>
      <c r="E11748" s="42"/>
      <c r="F11748" s="48" t="str">
        <f>IFERROR(__xludf.DUMMYFUNCTION("""COMPUTED_VALUE"""),"")</f>
        <v/>
      </c>
      <c r="G11748" s="42" t="str">
        <f>IFERROR(__xludf.DUMMYFUNCTION("""COMPUTED_VALUE"""),"")</f>
        <v/>
      </c>
      <c r="H11748" s="42">
        <f t="shared" si="1"/>
        <v>3345</v>
      </c>
    </row>
    <row r="11749" ht="22.5" customHeight="1">
      <c r="B11749" s="42" t="str">
        <f>IFERROR(__xludf.DUMMYFUNCTION("""COMPUTED_VALUE"""),"")</f>
        <v/>
      </c>
      <c r="C11749" s="42" t="str">
        <f>IFERROR(__xludf.DUMMYFUNCTION("""COMPUTED_VALUE"""),"")</f>
        <v/>
      </c>
      <c r="D11749" s="42"/>
      <c r="E11749" s="42"/>
      <c r="F11749" s="48" t="str">
        <f>IFERROR(__xludf.DUMMYFUNCTION("""COMPUTED_VALUE"""),"")</f>
        <v/>
      </c>
      <c r="G11749" s="42" t="str">
        <f>IFERROR(__xludf.DUMMYFUNCTION("""COMPUTED_VALUE"""),"")</f>
        <v/>
      </c>
      <c r="H11749" s="42">
        <f t="shared" si="1"/>
        <v>3345</v>
      </c>
    </row>
    <row r="11750" ht="22.5" customHeight="1">
      <c r="B11750" s="42" t="str">
        <f>IFERROR(__xludf.DUMMYFUNCTION("""COMPUTED_VALUE"""),"")</f>
        <v/>
      </c>
      <c r="C11750" s="42" t="str">
        <f>IFERROR(__xludf.DUMMYFUNCTION("""COMPUTED_VALUE"""),"")</f>
        <v/>
      </c>
      <c r="D11750" s="42"/>
      <c r="E11750" s="42"/>
      <c r="F11750" s="48" t="str">
        <f>IFERROR(__xludf.DUMMYFUNCTION("""COMPUTED_VALUE"""),"")</f>
        <v/>
      </c>
      <c r="G11750" s="42" t="str">
        <f>IFERROR(__xludf.DUMMYFUNCTION("""COMPUTED_VALUE"""),"")</f>
        <v/>
      </c>
      <c r="H11750" s="42">
        <f t="shared" si="1"/>
        <v>3345</v>
      </c>
    </row>
    <row r="11751" ht="22.5" customHeight="1">
      <c r="B11751" s="42" t="str">
        <f>IFERROR(__xludf.DUMMYFUNCTION("""COMPUTED_VALUE"""),"")</f>
        <v/>
      </c>
      <c r="C11751" s="42" t="str">
        <f>IFERROR(__xludf.DUMMYFUNCTION("""COMPUTED_VALUE"""),"")</f>
        <v/>
      </c>
      <c r="D11751" s="42"/>
      <c r="E11751" s="42"/>
      <c r="F11751" s="48" t="str">
        <f>IFERROR(__xludf.DUMMYFUNCTION("""COMPUTED_VALUE"""),"")</f>
        <v/>
      </c>
      <c r="G11751" s="42" t="str">
        <f>IFERROR(__xludf.DUMMYFUNCTION("""COMPUTED_VALUE"""),"")</f>
        <v/>
      </c>
      <c r="H11751" s="42">
        <f t="shared" si="1"/>
        <v>3345</v>
      </c>
    </row>
    <row r="11752" ht="22.5" customHeight="1">
      <c r="B11752" s="42" t="str">
        <f>IFERROR(__xludf.DUMMYFUNCTION("""COMPUTED_VALUE"""),"")</f>
        <v/>
      </c>
      <c r="C11752" s="42" t="str">
        <f>IFERROR(__xludf.DUMMYFUNCTION("""COMPUTED_VALUE"""),"")</f>
        <v/>
      </c>
      <c r="D11752" s="42"/>
      <c r="E11752" s="42"/>
      <c r="F11752" s="48" t="str">
        <f>IFERROR(__xludf.DUMMYFUNCTION("""COMPUTED_VALUE"""),"")</f>
        <v/>
      </c>
      <c r="G11752" s="42" t="str">
        <f>IFERROR(__xludf.DUMMYFUNCTION("""COMPUTED_VALUE"""),"")</f>
        <v/>
      </c>
      <c r="H11752" s="42">
        <f t="shared" si="1"/>
        <v>3345</v>
      </c>
    </row>
    <row r="11753" ht="22.5" customHeight="1">
      <c r="B11753" s="42" t="str">
        <f>IFERROR(__xludf.DUMMYFUNCTION("""COMPUTED_VALUE"""),"")</f>
        <v/>
      </c>
      <c r="C11753" s="42" t="str">
        <f>IFERROR(__xludf.DUMMYFUNCTION("""COMPUTED_VALUE"""),"")</f>
        <v/>
      </c>
      <c r="D11753" s="42"/>
      <c r="E11753" s="42"/>
      <c r="F11753" s="48" t="str">
        <f>IFERROR(__xludf.DUMMYFUNCTION("""COMPUTED_VALUE"""),"")</f>
        <v/>
      </c>
      <c r="G11753" s="42" t="str">
        <f>IFERROR(__xludf.DUMMYFUNCTION("""COMPUTED_VALUE"""),"")</f>
        <v/>
      </c>
      <c r="H11753" s="42">
        <f t="shared" si="1"/>
        <v>3345</v>
      </c>
    </row>
    <row r="11754" ht="22.5" customHeight="1">
      <c r="B11754" s="42" t="str">
        <f>IFERROR(__xludf.DUMMYFUNCTION("""COMPUTED_VALUE"""),"")</f>
        <v/>
      </c>
      <c r="C11754" s="42" t="str">
        <f>IFERROR(__xludf.DUMMYFUNCTION("""COMPUTED_VALUE"""),"")</f>
        <v/>
      </c>
      <c r="D11754" s="42"/>
      <c r="E11754" s="42"/>
      <c r="F11754" s="48" t="str">
        <f>IFERROR(__xludf.DUMMYFUNCTION("""COMPUTED_VALUE"""),"")</f>
        <v/>
      </c>
      <c r="G11754" s="42" t="str">
        <f>IFERROR(__xludf.DUMMYFUNCTION("""COMPUTED_VALUE"""),"")</f>
        <v/>
      </c>
      <c r="H11754" s="42">
        <f t="shared" si="1"/>
        <v>3345</v>
      </c>
    </row>
    <row r="11755" ht="22.5" customHeight="1">
      <c r="B11755" s="42" t="str">
        <f>IFERROR(__xludf.DUMMYFUNCTION("""COMPUTED_VALUE"""),"")</f>
        <v/>
      </c>
      <c r="C11755" s="42" t="str">
        <f>IFERROR(__xludf.DUMMYFUNCTION("""COMPUTED_VALUE"""),"")</f>
        <v/>
      </c>
      <c r="D11755" s="42"/>
      <c r="E11755" s="42"/>
      <c r="F11755" s="48" t="str">
        <f>IFERROR(__xludf.DUMMYFUNCTION("""COMPUTED_VALUE"""),"")</f>
        <v/>
      </c>
      <c r="G11755" s="42" t="str">
        <f>IFERROR(__xludf.DUMMYFUNCTION("""COMPUTED_VALUE"""),"")</f>
        <v/>
      </c>
      <c r="H11755" s="42">
        <f t="shared" si="1"/>
        <v>3345</v>
      </c>
    </row>
    <row r="11756" ht="22.5" customHeight="1">
      <c r="B11756" s="42" t="str">
        <f>IFERROR(__xludf.DUMMYFUNCTION("""COMPUTED_VALUE"""),"")</f>
        <v/>
      </c>
      <c r="C11756" s="42" t="str">
        <f>IFERROR(__xludf.DUMMYFUNCTION("""COMPUTED_VALUE"""),"")</f>
        <v/>
      </c>
      <c r="D11756" s="42"/>
      <c r="E11756" s="42"/>
      <c r="F11756" s="48" t="str">
        <f>IFERROR(__xludf.DUMMYFUNCTION("""COMPUTED_VALUE"""),"")</f>
        <v/>
      </c>
      <c r="G11756" s="42" t="str">
        <f>IFERROR(__xludf.DUMMYFUNCTION("""COMPUTED_VALUE"""),"")</f>
        <v/>
      </c>
      <c r="H11756" s="42">
        <f t="shared" si="1"/>
        <v>3345</v>
      </c>
    </row>
    <row r="11757" ht="22.5" customHeight="1">
      <c r="B11757" s="42" t="str">
        <f>IFERROR(__xludf.DUMMYFUNCTION("""COMPUTED_VALUE"""),"")</f>
        <v/>
      </c>
      <c r="C11757" s="42" t="str">
        <f>IFERROR(__xludf.DUMMYFUNCTION("""COMPUTED_VALUE"""),"")</f>
        <v/>
      </c>
      <c r="D11757" s="42"/>
      <c r="E11757" s="42"/>
      <c r="F11757" s="48" t="str">
        <f>IFERROR(__xludf.DUMMYFUNCTION("""COMPUTED_VALUE"""),"")</f>
        <v/>
      </c>
      <c r="G11757" s="42" t="str">
        <f>IFERROR(__xludf.DUMMYFUNCTION("""COMPUTED_VALUE"""),"")</f>
        <v/>
      </c>
      <c r="H11757" s="42">
        <f t="shared" si="1"/>
        <v>3345</v>
      </c>
    </row>
    <row r="11758" ht="22.5" customHeight="1">
      <c r="B11758" s="42" t="str">
        <f>IFERROR(__xludf.DUMMYFUNCTION("""COMPUTED_VALUE"""),"")</f>
        <v/>
      </c>
      <c r="C11758" s="42" t="str">
        <f>IFERROR(__xludf.DUMMYFUNCTION("""COMPUTED_VALUE"""),"")</f>
        <v/>
      </c>
      <c r="D11758" s="42"/>
      <c r="E11758" s="42"/>
      <c r="F11758" s="48" t="str">
        <f>IFERROR(__xludf.DUMMYFUNCTION("""COMPUTED_VALUE"""),"")</f>
        <v/>
      </c>
      <c r="G11758" s="42" t="str">
        <f>IFERROR(__xludf.DUMMYFUNCTION("""COMPUTED_VALUE"""),"")</f>
        <v/>
      </c>
      <c r="H11758" s="42">
        <f t="shared" si="1"/>
        <v>3345</v>
      </c>
    </row>
    <row r="11759" ht="22.5" customHeight="1">
      <c r="B11759" s="42" t="str">
        <f>IFERROR(__xludf.DUMMYFUNCTION("""COMPUTED_VALUE"""),"")</f>
        <v/>
      </c>
      <c r="C11759" s="42" t="str">
        <f>IFERROR(__xludf.DUMMYFUNCTION("""COMPUTED_VALUE"""),"")</f>
        <v/>
      </c>
      <c r="D11759" s="42"/>
      <c r="E11759" s="42"/>
      <c r="F11759" s="48" t="str">
        <f>IFERROR(__xludf.DUMMYFUNCTION("""COMPUTED_VALUE"""),"")</f>
        <v/>
      </c>
      <c r="G11759" s="42" t="str">
        <f>IFERROR(__xludf.DUMMYFUNCTION("""COMPUTED_VALUE"""),"")</f>
        <v/>
      </c>
      <c r="H11759" s="42">
        <f t="shared" si="1"/>
        <v>3345</v>
      </c>
    </row>
    <row r="11760" ht="22.5" customHeight="1">
      <c r="B11760" s="42" t="str">
        <f>IFERROR(__xludf.DUMMYFUNCTION("""COMPUTED_VALUE"""),"")</f>
        <v/>
      </c>
      <c r="C11760" s="42" t="str">
        <f>IFERROR(__xludf.DUMMYFUNCTION("""COMPUTED_VALUE"""),"")</f>
        <v/>
      </c>
      <c r="D11760" s="42"/>
      <c r="E11760" s="42"/>
      <c r="F11760" s="48" t="str">
        <f>IFERROR(__xludf.DUMMYFUNCTION("""COMPUTED_VALUE"""),"")</f>
        <v/>
      </c>
      <c r="G11760" s="42" t="str">
        <f>IFERROR(__xludf.DUMMYFUNCTION("""COMPUTED_VALUE"""),"")</f>
        <v/>
      </c>
      <c r="H11760" s="42">
        <f t="shared" si="1"/>
        <v>3345</v>
      </c>
    </row>
    <row r="11761" ht="22.5" customHeight="1">
      <c r="B11761" s="42" t="str">
        <f>IFERROR(__xludf.DUMMYFUNCTION("""COMPUTED_VALUE"""),"")</f>
        <v/>
      </c>
      <c r="C11761" s="42" t="str">
        <f>IFERROR(__xludf.DUMMYFUNCTION("""COMPUTED_VALUE"""),"")</f>
        <v/>
      </c>
      <c r="D11761" s="42"/>
      <c r="E11761" s="42"/>
      <c r="F11761" s="48" t="str">
        <f>IFERROR(__xludf.DUMMYFUNCTION("""COMPUTED_VALUE"""),"")</f>
        <v/>
      </c>
      <c r="G11761" s="42" t="str">
        <f>IFERROR(__xludf.DUMMYFUNCTION("""COMPUTED_VALUE"""),"")</f>
        <v/>
      </c>
      <c r="H11761" s="42">
        <f t="shared" si="1"/>
        <v>3345</v>
      </c>
    </row>
    <row r="11762" ht="22.5" customHeight="1">
      <c r="B11762" s="42" t="str">
        <f>IFERROR(__xludf.DUMMYFUNCTION("""COMPUTED_VALUE"""),"")</f>
        <v/>
      </c>
      <c r="C11762" s="42" t="str">
        <f>IFERROR(__xludf.DUMMYFUNCTION("""COMPUTED_VALUE"""),"")</f>
        <v/>
      </c>
      <c r="D11762" s="42"/>
      <c r="E11762" s="42"/>
      <c r="F11762" s="48" t="str">
        <f>IFERROR(__xludf.DUMMYFUNCTION("""COMPUTED_VALUE"""),"")</f>
        <v/>
      </c>
      <c r="G11762" s="42" t="str">
        <f>IFERROR(__xludf.DUMMYFUNCTION("""COMPUTED_VALUE"""),"")</f>
        <v/>
      </c>
      <c r="H11762" s="42">
        <f t="shared" si="1"/>
        <v>3345</v>
      </c>
    </row>
    <row r="11763" ht="22.5" customHeight="1">
      <c r="B11763" s="42" t="str">
        <f>IFERROR(__xludf.DUMMYFUNCTION("""COMPUTED_VALUE"""),"")</f>
        <v/>
      </c>
      <c r="C11763" s="42" t="str">
        <f>IFERROR(__xludf.DUMMYFUNCTION("""COMPUTED_VALUE"""),"")</f>
        <v/>
      </c>
      <c r="D11763" s="42"/>
      <c r="E11763" s="42"/>
      <c r="F11763" s="48" t="str">
        <f>IFERROR(__xludf.DUMMYFUNCTION("""COMPUTED_VALUE"""),"")</f>
        <v/>
      </c>
      <c r="G11763" s="42" t="str">
        <f>IFERROR(__xludf.DUMMYFUNCTION("""COMPUTED_VALUE"""),"")</f>
        <v/>
      </c>
      <c r="H11763" s="42">
        <f t="shared" si="1"/>
        <v>3345</v>
      </c>
    </row>
    <row r="11764" ht="22.5" customHeight="1">
      <c r="B11764" s="42" t="str">
        <f>IFERROR(__xludf.DUMMYFUNCTION("""COMPUTED_VALUE"""),"")</f>
        <v/>
      </c>
      <c r="C11764" s="42" t="str">
        <f>IFERROR(__xludf.DUMMYFUNCTION("""COMPUTED_VALUE"""),"")</f>
        <v/>
      </c>
      <c r="D11764" s="42"/>
      <c r="E11764" s="42"/>
      <c r="F11764" s="48" t="str">
        <f>IFERROR(__xludf.DUMMYFUNCTION("""COMPUTED_VALUE"""),"")</f>
        <v/>
      </c>
      <c r="G11764" s="42" t="str">
        <f>IFERROR(__xludf.DUMMYFUNCTION("""COMPUTED_VALUE"""),"")</f>
        <v/>
      </c>
      <c r="H11764" s="42">
        <f t="shared" si="1"/>
        <v>3345</v>
      </c>
    </row>
    <row r="11765" ht="22.5" customHeight="1">
      <c r="B11765" s="42" t="str">
        <f>IFERROR(__xludf.DUMMYFUNCTION("""COMPUTED_VALUE"""),"")</f>
        <v/>
      </c>
      <c r="C11765" s="42" t="str">
        <f>IFERROR(__xludf.DUMMYFUNCTION("""COMPUTED_VALUE"""),"")</f>
        <v/>
      </c>
      <c r="D11765" s="42"/>
      <c r="E11765" s="42"/>
      <c r="F11765" s="48" t="str">
        <f>IFERROR(__xludf.DUMMYFUNCTION("""COMPUTED_VALUE"""),"")</f>
        <v/>
      </c>
      <c r="G11765" s="42" t="str">
        <f>IFERROR(__xludf.DUMMYFUNCTION("""COMPUTED_VALUE"""),"")</f>
        <v/>
      </c>
      <c r="H11765" s="42">
        <f t="shared" si="1"/>
        <v>3345</v>
      </c>
    </row>
    <row r="11766" ht="22.5" customHeight="1">
      <c r="B11766" s="42" t="str">
        <f>IFERROR(__xludf.DUMMYFUNCTION("""COMPUTED_VALUE"""),"")</f>
        <v/>
      </c>
      <c r="C11766" s="42" t="str">
        <f>IFERROR(__xludf.DUMMYFUNCTION("""COMPUTED_VALUE"""),"")</f>
        <v/>
      </c>
      <c r="D11766" s="42"/>
      <c r="E11766" s="42"/>
      <c r="F11766" s="48" t="str">
        <f>IFERROR(__xludf.DUMMYFUNCTION("""COMPUTED_VALUE"""),"")</f>
        <v/>
      </c>
      <c r="G11766" s="42" t="str">
        <f>IFERROR(__xludf.DUMMYFUNCTION("""COMPUTED_VALUE"""),"")</f>
        <v/>
      </c>
      <c r="H11766" s="42">
        <f t="shared" si="1"/>
        <v>3345</v>
      </c>
    </row>
    <row r="11767" ht="22.5" customHeight="1">
      <c r="B11767" s="42" t="str">
        <f>IFERROR(__xludf.DUMMYFUNCTION("""COMPUTED_VALUE"""),"")</f>
        <v/>
      </c>
      <c r="C11767" s="42" t="str">
        <f>IFERROR(__xludf.DUMMYFUNCTION("""COMPUTED_VALUE"""),"")</f>
        <v/>
      </c>
      <c r="D11767" s="42"/>
      <c r="E11767" s="42"/>
      <c r="F11767" s="48" t="str">
        <f>IFERROR(__xludf.DUMMYFUNCTION("""COMPUTED_VALUE"""),"")</f>
        <v/>
      </c>
      <c r="G11767" s="42" t="str">
        <f>IFERROR(__xludf.DUMMYFUNCTION("""COMPUTED_VALUE"""),"")</f>
        <v/>
      </c>
      <c r="H11767" s="42">
        <f t="shared" si="1"/>
        <v>3345</v>
      </c>
    </row>
    <row r="11768" ht="22.5" customHeight="1">
      <c r="B11768" s="42" t="str">
        <f>IFERROR(__xludf.DUMMYFUNCTION("""COMPUTED_VALUE"""),"")</f>
        <v/>
      </c>
      <c r="C11768" s="42" t="str">
        <f>IFERROR(__xludf.DUMMYFUNCTION("""COMPUTED_VALUE"""),"")</f>
        <v/>
      </c>
      <c r="D11768" s="42"/>
      <c r="E11768" s="42"/>
      <c r="F11768" s="48" t="str">
        <f>IFERROR(__xludf.DUMMYFUNCTION("""COMPUTED_VALUE"""),"")</f>
        <v/>
      </c>
      <c r="G11768" s="42" t="str">
        <f>IFERROR(__xludf.DUMMYFUNCTION("""COMPUTED_VALUE"""),"")</f>
        <v/>
      </c>
      <c r="H11768" s="42">
        <f t="shared" si="1"/>
        <v>3345</v>
      </c>
    </row>
    <row r="11769" ht="22.5" customHeight="1">
      <c r="B11769" s="42" t="str">
        <f>IFERROR(__xludf.DUMMYFUNCTION("""COMPUTED_VALUE"""),"")</f>
        <v/>
      </c>
      <c r="C11769" s="42" t="str">
        <f>IFERROR(__xludf.DUMMYFUNCTION("""COMPUTED_VALUE"""),"")</f>
        <v/>
      </c>
      <c r="D11769" s="42"/>
      <c r="E11769" s="42"/>
      <c r="F11769" s="48" t="str">
        <f>IFERROR(__xludf.DUMMYFUNCTION("""COMPUTED_VALUE"""),"")</f>
        <v/>
      </c>
      <c r="G11769" s="42" t="str">
        <f>IFERROR(__xludf.DUMMYFUNCTION("""COMPUTED_VALUE"""),"")</f>
        <v/>
      </c>
      <c r="H11769" s="42">
        <f t="shared" si="1"/>
        <v>3345</v>
      </c>
    </row>
    <row r="11770" ht="22.5" customHeight="1">
      <c r="B11770" s="42" t="str">
        <f>IFERROR(__xludf.DUMMYFUNCTION("""COMPUTED_VALUE"""),"")</f>
        <v/>
      </c>
      <c r="C11770" s="42" t="str">
        <f>IFERROR(__xludf.DUMMYFUNCTION("""COMPUTED_VALUE"""),"")</f>
        <v/>
      </c>
      <c r="D11770" s="42"/>
      <c r="E11770" s="42"/>
      <c r="F11770" s="48" t="str">
        <f>IFERROR(__xludf.DUMMYFUNCTION("""COMPUTED_VALUE"""),"")</f>
        <v/>
      </c>
      <c r="G11770" s="42" t="str">
        <f>IFERROR(__xludf.DUMMYFUNCTION("""COMPUTED_VALUE"""),"")</f>
        <v/>
      </c>
      <c r="H11770" s="42">
        <f t="shared" si="1"/>
        <v>3345</v>
      </c>
    </row>
    <row r="11771" ht="22.5" customHeight="1">
      <c r="B11771" s="42" t="str">
        <f>IFERROR(__xludf.DUMMYFUNCTION("""COMPUTED_VALUE"""),"")</f>
        <v/>
      </c>
      <c r="C11771" s="42" t="str">
        <f>IFERROR(__xludf.DUMMYFUNCTION("""COMPUTED_VALUE"""),"")</f>
        <v/>
      </c>
      <c r="D11771" s="42"/>
      <c r="E11771" s="42"/>
      <c r="F11771" s="48" t="str">
        <f>IFERROR(__xludf.DUMMYFUNCTION("""COMPUTED_VALUE"""),"")</f>
        <v/>
      </c>
      <c r="G11771" s="42" t="str">
        <f>IFERROR(__xludf.DUMMYFUNCTION("""COMPUTED_VALUE"""),"")</f>
        <v/>
      </c>
      <c r="H11771" s="42">
        <f t="shared" si="1"/>
        <v>3345</v>
      </c>
    </row>
    <row r="11772" ht="22.5" customHeight="1">
      <c r="B11772" s="42" t="str">
        <f>IFERROR(__xludf.DUMMYFUNCTION("""COMPUTED_VALUE"""),"")</f>
        <v/>
      </c>
      <c r="C11772" s="42" t="str">
        <f>IFERROR(__xludf.DUMMYFUNCTION("""COMPUTED_VALUE"""),"")</f>
        <v/>
      </c>
      <c r="D11772" s="42"/>
      <c r="E11772" s="42"/>
      <c r="F11772" s="48" t="str">
        <f>IFERROR(__xludf.DUMMYFUNCTION("""COMPUTED_VALUE"""),"")</f>
        <v/>
      </c>
      <c r="G11772" s="42" t="str">
        <f>IFERROR(__xludf.DUMMYFUNCTION("""COMPUTED_VALUE"""),"")</f>
        <v/>
      </c>
      <c r="H11772" s="42">
        <f t="shared" si="1"/>
        <v>3345</v>
      </c>
    </row>
    <row r="11773" ht="22.5" customHeight="1">
      <c r="B11773" s="42" t="str">
        <f>IFERROR(__xludf.DUMMYFUNCTION("""COMPUTED_VALUE"""),"")</f>
        <v/>
      </c>
      <c r="C11773" s="42" t="str">
        <f>IFERROR(__xludf.DUMMYFUNCTION("""COMPUTED_VALUE"""),"")</f>
        <v/>
      </c>
      <c r="D11773" s="42"/>
      <c r="E11773" s="42"/>
      <c r="F11773" s="48" t="str">
        <f>IFERROR(__xludf.DUMMYFUNCTION("""COMPUTED_VALUE"""),"")</f>
        <v/>
      </c>
      <c r="G11773" s="42" t="str">
        <f>IFERROR(__xludf.DUMMYFUNCTION("""COMPUTED_VALUE"""),"")</f>
        <v/>
      </c>
      <c r="H11773" s="42">
        <f t="shared" si="1"/>
        <v>3345</v>
      </c>
    </row>
    <row r="11774" ht="22.5" customHeight="1">
      <c r="B11774" s="42" t="str">
        <f>IFERROR(__xludf.DUMMYFUNCTION("""COMPUTED_VALUE"""),"")</f>
        <v/>
      </c>
      <c r="C11774" s="42" t="str">
        <f>IFERROR(__xludf.DUMMYFUNCTION("""COMPUTED_VALUE"""),"")</f>
        <v/>
      </c>
      <c r="D11774" s="42"/>
      <c r="E11774" s="42"/>
      <c r="F11774" s="48" t="str">
        <f>IFERROR(__xludf.DUMMYFUNCTION("""COMPUTED_VALUE"""),"")</f>
        <v/>
      </c>
      <c r="G11774" s="42" t="str">
        <f>IFERROR(__xludf.DUMMYFUNCTION("""COMPUTED_VALUE"""),"")</f>
        <v/>
      </c>
      <c r="H11774" s="42">
        <f t="shared" si="1"/>
        <v>3345</v>
      </c>
    </row>
    <row r="11775" ht="22.5" customHeight="1">
      <c r="B11775" s="42" t="str">
        <f>IFERROR(__xludf.DUMMYFUNCTION("""COMPUTED_VALUE"""),"")</f>
        <v/>
      </c>
      <c r="C11775" s="42" t="str">
        <f>IFERROR(__xludf.DUMMYFUNCTION("""COMPUTED_VALUE"""),"")</f>
        <v/>
      </c>
      <c r="D11775" s="42"/>
      <c r="E11775" s="42"/>
      <c r="F11775" s="48" t="str">
        <f>IFERROR(__xludf.DUMMYFUNCTION("""COMPUTED_VALUE"""),"")</f>
        <v/>
      </c>
      <c r="G11775" s="42" t="str">
        <f>IFERROR(__xludf.DUMMYFUNCTION("""COMPUTED_VALUE"""),"")</f>
        <v/>
      </c>
      <c r="H11775" s="42">
        <f t="shared" si="1"/>
        <v>3345</v>
      </c>
    </row>
    <row r="11776" ht="22.5" customHeight="1">
      <c r="B11776" s="42" t="str">
        <f>IFERROR(__xludf.DUMMYFUNCTION("""COMPUTED_VALUE"""),"")</f>
        <v/>
      </c>
      <c r="C11776" s="42" t="str">
        <f>IFERROR(__xludf.DUMMYFUNCTION("""COMPUTED_VALUE"""),"")</f>
        <v/>
      </c>
      <c r="D11776" s="42"/>
      <c r="E11776" s="42"/>
      <c r="F11776" s="48" t="str">
        <f>IFERROR(__xludf.DUMMYFUNCTION("""COMPUTED_VALUE"""),"")</f>
        <v/>
      </c>
      <c r="G11776" s="42" t="str">
        <f>IFERROR(__xludf.DUMMYFUNCTION("""COMPUTED_VALUE"""),"")</f>
        <v/>
      </c>
      <c r="H11776" s="42">
        <f t="shared" si="1"/>
        <v>3345</v>
      </c>
    </row>
    <row r="11777" ht="22.5" customHeight="1">
      <c r="B11777" s="42" t="str">
        <f>IFERROR(__xludf.DUMMYFUNCTION("""COMPUTED_VALUE"""),"")</f>
        <v/>
      </c>
      <c r="C11777" s="42" t="str">
        <f>IFERROR(__xludf.DUMMYFUNCTION("""COMPUTED_VALUE"""),"")</f>
        <v/>
      </c>
      <c r="D11777" s="42"/>
      <c r="E11777" s="42"/>
      <c r="F11777" s="48" t="str">
        <f>IFERROR(__xludf.DUMMYFUNCTION("""COMPUTED_VALUE"""),"")</f>
        <v/>
      </c>
      <c r="G11777" s="42" t="str">
        <f>IFERROR(__xludf.DUMMYFUNCTION("""COMPUTED_VALUE"""),"")</f>
        <v/>
      </c>
      <c r="H11777" s="42">
        <f t="shared" si="1"/>
        <v>3345</v>
      </c>
    </row>
    <row r="11778" ht="22.5" customHeight="1">
      <c r="B11778" s="42" t="str">
        <f>IFERROR(__xludf.DUMMYFUNCTION("""COMPUTED_VALUE"""),"")</f>
        <v/>
      </c>
      <c r="C11778" s="42" t="str">
        <f>IFERROR(__xludf.DUMMYFUNCTION("""COMPUTED_VALUE"""),"")</f>
        <v/>
      </c>
      <c r="D11778" s="42"/>
      <c r="E11778" s="42"/>
      <c r="F11778" s="48" t="str">
        <f>IFERROR(__xludf.DUMMYFUNCTION("""COMPUTED_VALUE"""),"")</f>
        <v/>
      </c>
      <c r="G11778" s="42" t="str">
        <f>IFERROR(__xludf.DUMMYFUNCTION("""COMPUTED_VALUE"""),"")</f>
        <v/>
      </c>
      <c r="H11778" s="42">
        <f t="shared" si="1"/>
        <v>3345</v>
      </c>
    </row>
    <row r="11779" ht="22.5" customHeight="1">
      <c r="B11779" s="42" t="str">
        <f>IFERROR(__xludf.DUMMYFUNCTION("""COMPUTED_VALUE"""),"")</f>
        <v/>
      </c>
      <c r="C11779" s="42" t="str">
        <f>IFERROR(__xludf.DUMMYFUNCTION("""COMPUTED_VALUE"""),"")</f>
        <v/>
      </c>
      <c r="D11779" s="42"/>
      <c r="E11779" s="42"/>
      <c r="F11779" s="48" t="str">
        <f>IFERROR(__xludf.DUMMYFUNCTION("""COMPUTED_VALUE"""),"")</f>
        <v/>
      </c>
      <c r="G11779" s="42" t="str">
        <f>IFERROR(__xludf.DUMMYFUNCTION("""COMPUTED_VALUE"""),"")</f>
        <v/>
      </c>
      <c r="H11779" s="42">
        <f t="shared" si="1"/>
        <v>3345</v>
      </c>
    </row>
    <row r="11780" ht="22.5" customHeight="1">
      <c r="B11780" s="42" t="str">
        <f>IFERROR(__xludf.DUMMYFUNCTION("""COMPUTED_VALUE"""),"")</f>
        <v/>
      </c>
      <c r="C11780" s="42" t="str">
        <f>IFERROR(__xludf.DUMMYFUNCTION("""COMPUTED_VALUE"""),"")</f>
        <v/>
      </c>
      <c r="D11780" s="42"/>
      <c r="E11780" s="42"/>
      <c r="F11780" s="48" t="str">
        <f>IFERROR(__xludf.DUMMYFUNCTION("""COMPUTED_VALUE"""),"")</f>
        <v/>
      </c>
      <c r="G11780" s="42" t="str">
        <f>IFERROR(__xludf.DUMMYFUNCTION("""COMPUTED_VALUE"""),"")</f>
        <v/>
      </c>
      <c r="H11780" s="42">
        <f t="shared" si="1"/>
        <v>3345</v>
      </c>
    </row>
    <row r="11781" ht="22.5" customHeight="1">
      <c r="B11781" s="42" t="str">
        <f>IFERROR(__xludf.DUMMYFUNCTION("""COMPUTED_VALUE"""),"")</f>
        <v/>
      </c>
      <c r="C11781" s="42" t="str">
        <f>IFERROR(__xludf.DUMMYFUNCTION("""COMPUTED_VALUE"""),"")</f>
        <v/>
      </c>
      <c r="D11781" s="42"/>
      <c r="E11781" s="42"/>
      <c r="F11781" s="48" t="str">
        <f>IFERROR(__xludf.DUMMYFUNCTION("""COMPUTED_VALUE"""),"")</f>
        <v/>
      </c>
      <c r="G11781" s="42" t="str">
        <f>IFERROR(__xludf.DUMMYFUNCTION("""COMPUTED_VALUE"""),"")</f>
        <v/>
      </c>
      <c r="H11781" s="42">
        <f t="shared" si="1"/>
        <v>3345</v>
      </c>
    </row>
    <row r="11782" ht="22.5" customHeight="1">
      <c r="B11782" s="42" t="str">
        <f>IFERROR(__xludf.DUMMYFUNCTION("""COMPUTED_VALUE"""),"")</f>
        <v/>
      </c>
      <c r="C11782" s="42" t="str">
        <f>IFERROR(__xludf.DUMMYFUNCTION("""COMPUTED_VALUE"""),"")</f>
        <v/>
      </c>
      <c r="D11782" s="42"/>
      <c r="E11782" s="42"/>
      <c r="F11782" s="48" t="str">
        <f>IFERROR(__xludf.DUMMYFUNCTION("""COMPUTED_VALUE"""),"")</f>
        <v/>
      </c>
      <c r="G11782" s="42" t="str">
        <f>IFERROR(__xludf.DUMMYFUNCTION("""COMPUTED_VALUE"""),"")</f>
        <v/>
      </c>
      <c r="H11782" s="42">
        <f t="shared" si="1"/>
        <v>3345</v>
      </c>
    </row>
    <row r="11783" ht="22.5" customHeight="1">
      <c r="B11783" s="42" t="str">
        <f>IFERROR(__xludf.DUMMYFUNCTION("""COMPUTED_VALUE"""),"")</f>
        <v/>
      </c>
      <c r="C11783" s="42" t="str">
        <f>IFERROR(__xludf.DUMMYFUNCTION("""COMPUTED_VALUE"""),"")</f>
        <v/>
      </c>
      <c r="D11783" s="42"/>
      <c r="E11783" s="42"/>
      <c r="F11783" s="48" t="str">
        <f>IFERROR(__xludf.DUMMYFUNCTION("""COMPUTED_VALUE"""),"")</f>
        <v/>
      </c>
      <c r="G11783" s="42" t="str">
        <f>IFERROR(__xludf.DUMMYFUNCTION("""COMPUTED_VALUE"""),"")</f>
        <v/>
      </c>
      <c r="H11783" s="42">
        <f t="shared" si="1"/>
        <v>3345</v>
      </c>
    </row>
    <row r="11784" ht="22.5" customHeight="1">
      <c r="B11784" s="42" t="str">
        <f>IFERROR(__xludf.DUMMYFUNCTION("""COMPUTED_VALUE"""),"")</f>
        <v/>
      </c>
      <c r="C11784" s="42" t="str">
        <f>IFERROR(__xludf.DUMMYFUNCTION("""COMPUTED_VALUE"""),"")</f>
        <v/>
      </c>
      <c r="D11784" s="42"/>
      <c r="E11784" s="42"/>
      <c r="F11784" s="48" t="str">
        <f>IFERROR(__xludf.DUMMYFUNCTION("""COMPUTED_VALUE"""),"")</f>
        <v/>
      </c>
      <c r="G11784" s="42" t="str">
        <f>IFERROR(__xludf.DUMMYFUNCTION("""COMPUTED_VALUE"""),"")</f>
        <v/>
      </c>
      <c r="H11784" s="42">
        <f t="shared" si="1"/>
        <v>3345</v>
      </c>
    </row>
    <row r="11785" ht="22.5" customHeight="1">
      <c r="B11785" s="42" t="str">
        <f>IFERROR(__xludf.DUMMYFUNCTION("""COMPUTED_VALUE"""),"")</f>
        <v/>
      </c>
      <c r="C11785" s="42" t="str">
        <f>IFERROR(__xludf.DUMMYFUNCTION("""COMPUTED_VALUE"""),"")</f>
        <v/>
      </c>
      <c r="D11785" s="42"/>
      <c r="E11785" s="42"/>
      <c r="F11785" s="48" t="str">
        <f>IFERROR(__xludf.DUMMYFUNCTION("""COMPUTED_VALUE"""),"")</f>
        <v/>
      </c>
      <c r="G11785" s="42" t="str">
        <f>IFERROR(__xludf.DUMMYFUNCTION("""COMPUTED_VALUE"""),"")</f>
        <v/>
      </c>
      <c r="H11785" s="42">
        <f t="shared" si="1"/>
        <v>3345</v>
      </c>
    </row>
    <row r="11786" ht="22.5" customHeight="1">
      <c r="B11786" s="42" t="str">
        <f>IFERROR(__xludf.DUMMYFUNCTION("""COMPUTED_VALUE"""),"")</f>
        <v/>
      </c>
      <c r="C11786" s="42" t="str">
        <f>IFERROR(__xludf.DUMMYFUNCTION("""COMPUTED_VALUE"""),"")</f>
        <v/>
      </c>
      <c r="D11786" s="42"/>
      <c r="E11786" s="42"/>
      <c r="F11786" s="48" t="str">
        <f>IFERROR(__xludf.DUMMYFUNCTION("""COMPUTED_VALUE"""),"")</f>
        <v/>
      </c>
      <c r="G11786" s="42" t="str">
        <f>IFERROR(__xludf.DUMMYFUNCTION("""COMPUTED_VALUE"""),"")</f>
        <v/>
      </c>
      <c r="H11786" s="42">
        <f t="shared" si="1"/>
        <v>3345</v>
      </c>
    </row>
    <row r="11787" ht="22.5" customHeight="1">
      <c r="B11787" s="42" t="str">
        <f>IFERROR(__xludf.DUMMYFUNCTION("""COMPUTED_VALUE"""),"")</f>
        <v/>
      </c>
      <c r="C11787" s="42" t="str">
        <f>IFERROR(__xludf.DUMMYFUNCTION("""COMPUTED_VALUE"""),"")</f>
        <v/>
      </c>
      <c r="D11787" s="42"/>
      <c r="E11787" s="42"/>
      <c r="F11787" s="48" t="str">
        <f>IFERROR(__xludf.DUMMYFUNCTION("""COMPUTED_VALUE"""),"")</f>
        <v/>
      </c>
      <c r="G11787" s="42" t="str">
        <f>IFERROR(__xludf.DUMMYFUNCTION("""COMPUTED_VALUE"""),"")</f>
        <v/>
      </c>
      <c r="H11787" s="42">
        <f t="shared" si="1"/>
        <v>3345</v>
      </c>
    </row>
    <row r="11788" ht="22.5" customHeight="1">
      <c r="B11788" s="42" t="str">
        <f>IFERROR(__xludf.DUMMYFUNCTION("""COMPUTED_VALUE"""),"")</f>
        <v/>
      </c>
      <c r="C11788" s="42" t="str">
        <f>IFERROR(__xludf.DUMMYFUNCTION("""COMPUTED_VALUE"""),"")</f>
        <v/>
      </c>
      <c r="D11788" s="42"/>
      <c r="E11788" s="42"/>
      <c r="F11788" s="48" t="str">
        <f>IFERROR(__xludf.DUMMYFUNCTION("""COMPUTED_VALUE"""),"")</f>
        <v/>
      </c>
      <c r="G11788" s="42" t="str">
        <f>IFERROR(__xludf.DUMMYFUNCTION("""COMPUTED_VALUE"""),"")</f>
        <v/>
      </c>
      <c r="H11788" s="42">
        <f t="shared" si="1"/>
        <v>3345</v>
      </c>
    </row>
    <row r="11789" ht="22.5" customHeight="1">
      <c r="B11789" s="42" t="str">
        <f>IFERROR(__xludf.DUMMYFUNCTION("""COMPUTED_VALUE"""),"")</f>
        <v/>
      </c>
      <c r="C11789" s="42" t="str">
        <f>IFERROR(__xludf.DUMMYFUNCTION("""COMPUTED_VALUE"""),"")</f>
        <v/>
      </c>
      <c r="D11789" s="42"/>
      <c r="E11789" s="42"/>
      <c r="F11789" s="48" t="str">
        <f>IFERROR(__xludf.DUMMYFUNCTION("""COMPUTED_VALUE"""),"")</f>
        <v/>
      </c>
      <c r="G11789" s="42" t="str">
        <f>IFERROR(__xludf.DUMMYFUNCTION("""COMPUTED_VALUE"""),"")</f>
        <v/>
      </c>
      <c r="H11789" s="42">
        <f t="shared" si="1"/>
        <v>3345</v>
      </c>
    </row>
    <row r="11790" ht="22.5" customHeight="1">
      <c r="B11790" s="42" t="str">
        <f>IFERROR(__xludf.DUMMYFUNCTION("""COMPUTED_VALUE"""),"")</f>
        <v/>
      </c>
      <c r="C11790" s="42" t="str">
        <f>IFERROR(__xludf.DUMMYFUNCTION("""COMPUTED_VALUE"""),"")</f>
        <v/>
      </c>
      <c r="D11790" s="42"/>
      <c r="E11790" s="42"/>
      <c r="F11790" s="48" t="str">
        <f>IFERROR(__xludf.DUMMYFUNCTION("""COMPUTED_VALUE"""),"")</f>
        <v/>
      </c>
      <c r="G11790" s="42" t="str">
        <f>IFERROR(__xludf.DUMMYFUNCTION("""COMPUTED_VALUE"""),"")</f>
        <v/>
      </c>
      <c r="H11790" s="42">
        <f t="shared" si="1"/>
        <v>3345</v>
      </c>
    </row>
    <row r="11791" ht="22.5" customHeight="1">
      <c r="B11791" s="42" t="str">
        <f>IFERROR(__xludf.DUMMYFUNCTION("""COMPUTED_VALUE"""),"")</f>
        <v/>
      </c>
      <c r="C11791" s="42" t="str">
        <f>IFERROR(__xludf.DUMMYFUNCTION("""COMPUTED_VALUE"""),"")</f>
        <v/>
      </c>
      <c r="D11791" s="42"/>
      <c r="E11791" s="42"/>
      <c r="F11791" s="48" t="str">
        <f>IFERROR(__xludf.DUMMYFUNCTION("""COMPUTED_VALUE"""),"")</f>
        <v/>
      </c>
      <c r="G11791" s="42" t="str">
        <f>IFERROR(__xludf.DUMMYFUNCTION("""COMPUTED_VALUE"""),"")</f>
        <v/>
      </c>
      <c r="H11791" s="42">
        <f t="shared" si="1"/>
        <v>3345</v>
      </c>
    </row>
    <row r="11792" ht="22.5" customHeight="1">
      <c r="B11792" s="42" t="str">
        <f>IFERROR(__xludf.DUMMYFUNCTION("""COMPUTED_VALUE"""),"")</f>
        <v/>
      </c>
      <c r="C11792" s="42" t="str">
        <f>IFERROR(__xludf.DUMMYFUNCTION("""COMPUTED_VALUE"""),"")</f>
        <v/>
      </c>
      <c r="D11792" s="42"/>
      <c r="E11792" s="42"/>
      <c r="F11792" s="48" t="str">
        <f>IFERROR(__xludf.DUMMYFUNCTION("""COMPUTED_VALUE"""),"")</f>
        <v/>
      </c>
      <c r="G11792" s="42" t="str">
        <f>IFERROR(__xludf.DUMMYFUNCTION("""COMPUTED_VALUE"""),"")</f>
        <v/>
      </c>
      <c r="H11792" s="42">
        <f t="shared" si="1"/>
        <v>3345</v>
      </c>
    </row>
    <row r="11793" ht="22.5" customHeight="1">
      <c r="B11793" s="42" t="str">
        <f>IFERROR(__xludf.DUMMYFUNCTION("""COMPUTED_VALUE"""),"")</f>
        <v/>
      </c>
      <c r="C11793" s="42" t="str">
        <f>IFERROR(__xludf.DUMMYFUNCTION("""COMPUTED_VALUE"""),"")</f>
        <v/>
      </c>
      <c r="D11793" s="42"/>
      <c r="E11793" s="42"/>
      <c r="F11793" s="48" t="str">
        <f>IFERROR(__xludf.DUMMYFUNCTION("""COMPUTED_VALUE"""),"")</f>
        <v/>
      </c>
      <c r="G11793" s="42" t="str">
        <f>IFERROR(__xludf.DUMMYFUNCTION("""COMPUTED_VALUE"""),"")</f>
        <v/>
      </c>
      <c r="H11793" s="42">
        <f t="shared" si="1"/>
        <v>3345</v>
      </c>
    </row>
    <row r="11794" ht="22.5" customHeight="1">
      <c r="B11794" s="42" t="str">
        <f>IFERROR(__xludf.DUMMYFUNCTION("""COMPUTED_VALUE"""),"")</f>
        <v/>
      </c>
      <c r="C11794" s="42" t="str">
        <f>IFERROR(__xludf.DUMMYFUNCTION("""COMPUTED_VALUE"""),"")</f>
        <v/>
      </c>
      <c r="D11794" s="42"/>
      <c r="E11794" s="42"/>
      <c r="F11794" s="48" t="str">
        <f>IFERROR(__xludf.DUMMYFUNCTION("""COMPUTED_VALUE"""),"")</f>
        <v/>
      </c>
      <c r="G11794" s="42" t="str">
        <f>IFERROR(__xludf.DUMMYFUNCTION("""COMPUTED_VALUE"""),"")</f>
        <v/>
      </c>
      <c r="H11794" s="42">
        <f t="shared" si="1"/>
        <v>3345</v>
      </c>
    </row>
    <row r="11795" ht="22.5" customHeight="1">
      <c r="B11795" s="42" t="str">
        <f>IFERROR(__xludf.DUMMYFUNCTION("""COMPUTED_VALUE"""),"")</f>
        <v/>
      </c>
      <c r="C11795" s="42" t="str">
        <f>IFERROR(__xludf.DUMMYFUNCTION("""COMPUTED_VALUE"""),"")</f>
        <v/>
      </c>
      <c r="D11795" s="42"/>
      <c r="E11795" s="42"/>
      <c r="F11795" s="48" t="str">
        <f>IFERROR(__xludf.DUMMYFUNCTION("""COMPUTED_VALUE"""),"")</f>
        <v/>
      </c>
      <c r="G11795" s="42" t="str">
        <f>IFERROR(__xludf.DUMMYFUNCTION("""COMPUTED_VALUE"""),"")</f>
        <v/>
      </c>
      <c r="H11795" s="42">
        <f t="shared" si="1"/>
        <v>3345</v>
      </c>
    </row>
    <row r="11796" ht="22.5" customHeight="1">
      <c r="B11796" s="42" t="str">
        <f>IFERROR(__xludf.DUMMYFUNCTION("""COMPUTED_VALUE"""),"")</f>
        <v/>
      </c>
      <c r="C11796" s="42" t="str">
        <f>IFERROR(__xludf.DUMMYFUNCTION("""COMPUTED_VALUE"""),"")</f>
        <v/>
      </c>
      <c r="D11796" s="42"/>
      <c r="E11796" s="42"/>
      <c r="F11796" s="48" t="str">
        <f>IFERROR(__xludf.DUMMYFUNCTION("""COMPUTED_VALUE"""),"")</f>
        <v/>
      </c>
      <c r="G11796" s="42" t="str">
        <f>IFERROR(__xludf.DUMMYFUNCTION("""COMPUTED_VALUE"""),"")</f>
        <v/>
      </c>
      <c r="H11796" s="42">
        <f t="shared" si="1"/>
        <v>3345</v>
      </c>
    </row>
    <row r="11797" ht="22.5" customHeight="1">
      <c r="B11797" s="42" t="str">
        <f>IFERROR(__xludf.DUMMYFUNCTION("""COMPUTED_VALUE"""),"")</f>
        <v/>
      </c>
      <c r="C11797" s="42" t="str">
        <f>IFERROR(__xludf.DUMMYFUNCTION("""COMPUTED_VALUE"""),"")</f>
        <v/>
      </c>
      <c r="D11797" s="42"/>
      <c r="E11797" s="42"/>
      <c r="F11797" s="48" t="str">
        <f>IFERROR(__xludf.DUMMYFUNCTION("""COMPUTED_VALUE"""),"")</f>
        <v/>
      </c>
      <c r="G11797" s="42" t="str">
        <f>IFERROR(__xludf.DUMMYFUNCTION("""COMPUTED_VALUE"""),"")</f>
        <v/>
      </c>
      <c r="H11797" s="42">
        <f t="shared" si="1"/>
        <v>3345</v>
      </c>
    </row>
    <row r="11798" ht="22.5" customHeight="1">
      <c r="B11798" s="42" t="str">
        <f>IFERROR(__xludf.DUMMYFUNCTION("""COMPUTED_VALUE"""),"")</f>
        <v/>
      </c>
      <c r="C11798" s="42" t="str">
        <f>IFERROR(__xludf.DUMMYFUNCTION("""COMPUTED_VALUE"""),"")</f>
        <v/>
      </c>
      <c r="D11798" s="42"/>
      <c r="E11798" s="42"/>
      <c r="F11798" s="48" t="str">
        <f>IFERROR(__xludf.DUMMYFUNCTION("""COMPUTED_VALUE"""),"")</f>
        <v/>
      </c>
      <c r="G11798" s="42" t="str">
        <f>IFERROR(__xludf.DUMMYFUNCTION("""COMPUTED_VALUE"""),"")</f>
        <v/>
      </c>
      <c r="H11798" s="42">
        <f t="shared" si="1"/>
        <v>3345</v>
      </c>
    </row>
    <row r="11799" ht="22.5" customHeight="1">
      <c r="B11799" s="42" t="str">
        <f>IFERROR(__xludf.DUMMYFUNCTION("""COMPUTED_VALUE"""),"")</f>
        <v/>
      </c>
      <c r="C11799" s="42" t="str">
        <f>IFERROR(__xludf.DUMMYFUNCTION("""COMPUTED_VALUE"""),"")</f>
        <v/>
      </c>
      <c r="D11799" s="42"/>
      <c r="E11799" s="42"/>
      <c r="F11799" s="48" t="str">
        <f>IFERROR(__xludf.DUMMYFUNCTION("""COMPUTED_VALUE"""),"")</f>
        <v/>
      </c>
      <c r="G11799" s="42" t="str">
        <f>IFERROR(__xludf.DUMMYFUNCTION("""COMPUTED_VALUE"""),"")</f>
        <v/>
      </c>
      <c r="H11799" s="42">
        <f t="shared" si="1"/>
        <v>3345</v>
      </c>
    </row>
    <row r="11800" ht="22.5" customHeight="1">
      <c r="B11800" s="42" t="str">
        <f>IFERROR(__xludf.DUMMYFUNCTION("""COMPUTED_VALUE"""),"")</f>
        <v/>
      </c>
      <c r="C11800" s="42" t="str">
        <f>IFERROR(__xludf.DUMMYFUNCTION("""COMPUTED_VALUE"""),"")</f>
        <v/>
      </c>
      <c r="D11800" s="42"/>
      <c r="E11800" s="42"/>
      <c r="F11800" s="48" t="str">
        <f>IFERROR(__xludf.DUMMYFUNCTION("""COMPUTED_VALUE"""),"")</f>
        <v/>
      </c>
      <c r="G11800" s="42" t="str">
        <f>IFERROR(__xludf.DUMMYFUNCTION("""COMPUTED_VALUE"""),"")</f>
        <v/>
      </c>
      <c r="H11800" s="42">
        <f t="shared" si="1"/>
        <v>3345</v>
      </c>
    </row>
    <row r="11801" ht="22.5" customHeight="1">
      <c r="B11801" s="42" t="str">
        <f>IFERROR(__xludf.DUMMYFUNCTION("""COMPUTED_VALUE"""),"")</f>
        <v/>
      </c>
      <c r="C11801" s="42" t="str">
        <f>IFERROR(__xludf.DUMMYFUNCTION("""COMPUTED_VALUE"""),"")</f>
        <v/>
      </c>
      <c r="D11801" s="42"/>
      <c r="E11801" s="42"/>
      <c r="F11801" s="48" t="str">
        <f>IFERROR(__xludf.DUMMYFUNCTION("""COMPUTED_VALUE"""),"")</f>
        <v/>
      </c>
      <c r="G11801" s="42" t="str">
        <f>IFERROR(__xludf.DUMMYFUNCTION("""COMPUTED_VALUE"""),"")</f>
        <v/>
      </c>
      <c r="H11801" s="42">
        <f t="shared" si="1"/>
        <v>3345</v>
      </c>
    </row>
    <row r="11802" ht="22.5" customHeight="1">
      <c r="B11802" s="42" t="str">
        <f>IFERROR(__xludf.DUMMYFUNCTION("""COMPUTED_VALUE"""),"")</f>
        <v/>
      </c>
      <c r="C11802" s="42" t="str">
        <f>IFERROR(__xludf.DUMMYFUNCTION("""COMPUTED_VALUE"""),"")</f>
        <v/>
      </c>
      <c r="D11802" s="42"/>
      <c r="E11802" s="42"/>
      <c r="F11802" s="48" t="str">
        <f>IFERROR(__xludf.DUMMYFUNCTION("""COMPUTED_VALUE"""),"")</f>
        <v/>
      </c>
      <c r="G11802" s="42" t="str">
        <f>IFERROR(__xludf.DUMMYFUNCTION("""COMPUTED_VALUE"""),"")</f>
        <v/>
      </c>
      <c r="H11802" s="42">
        <f t="shared" si="1"/>
        <v>3345</v>
      </c>
    </row>
    <row r="11803" ht="22.5" customHeight="1">
      <c r="B11803" s="42" t="str">
        <f>IFERROR(__xludf.DUMMYFUNCTION("""COMPUTED_VALUE"""),"")</f>
        <v/>
      </c>
      <c r="C11803" s="42" t="str">
        <f>IFERROR(__xludf.DUMMYFUNCTION("""COMPUTED_VALUE"""),"")</f>
        <v/>
      </c>
      <c r="D11803" s="42"/>
      <c r="E11803" s="42"/>
      <c r="F11803" s="48" t="str">
        <f>IFERROR(__xludf.DUMMYFUNCTION("""COMPUTED_VALUE"""),"")</f>
        <v/>
      </c>
      <c r="G11803" s="42" t="str">
        <f>IFERROR(__xludf.DUMMYFUNCTION("""COMPUTED_VALUE"""),"")</f>
        <v/>
      </c>
      <c r="H11803" s="42">
        <f t="shared" si="1"/>
        <v>3345</v>
      </c>
    </row>
    <row r="11804" ht="22.5" customHeight="1">
      <c r="B11804" s="42" t="str">
        <f>IFERROR(__xludf.DUMMYFUNCTION("""COMPUTED_VALUE"""),"")</f>
        <v/>
      </c>
      <c r="C11804" s="42" t="str">
        <f>IFERROR(__xludf.DUMMYFUNCTION("""COMPUTED_VALUE"""),"")</f>
        <v/>
      </c>
      <c r="D11804" s="42"/>
      <c r="E11804" s="42"/>
      <c r="F11804" s="48" t="str">
        <f>IFERROR(__xludf.DUMMYFUNCTION("""COMPUTED_VALUE"""),"")</f>
        <v/>
      </c>
      <c r="G11804" s="42" t="str">
        <f>IFERROR(__xludf.DUMMYFUNCTION("""COMPUTED_VALUE"""),"")</f>
        <v/>
      </c>
      <c r="H11804" s="42">
        <f t="shared" si="1"/>
        <v>3345</v>
      </c>
    </row>
    <row r="11805" ht="22.5" customHeight="1">
      <c r="B11805" s="42" t="str">
        <f>IFERROR(__xludf.DUMMYFUNCTION("""COMPUTED_VALUE"""),"")</f>
        <v/>
      </c>
      <c r="C11805" s="42" t="str">
        <f>IFERROR(__xludf.DUMMYFUNCTION("""COMPUTED_VALUE"""),"")</f>
        <v/>
      </c>
      <c r="D11805" s="42"/>
      <c r="E11805" s="42"/>
      <c r="F11805" s="48" t="str">
        <f>IFERROR(__xludf.DUMMYFUNCTION("""COMPUTED_VALUE"""),"")</f>
        <v/>
      </c>
      <c r="G11805" s="42" t="str">
        <f>IFERROR(__xludf.DUMMYFUNCTION("""COMPUTED_VALUE"""),"")</f>
        <v/>
      </c>
      <c r="H11805" s="42">
        <f t="shared" si="1"/>
        <v>3345</v>
      </c>
    </row>
    <row r="11806" ht="22.5" customHeight="1">
      <c r="B11806" s="42" t="str">
        <f>IFERROR(__xludf.DUMMYFUNCTION("""COMPUTED_VALUE"""),"")</f>
        <v/>
      </c>
      <c r="C11806" s="42" t="str">
        <f>IFERROR(__xludf.DUMMYFUNCTION("""COMPUTED_VALUE"""),"")</f>
        <v/>
      </c>
      <c r="D11806" s="42"/>
      <c r="E11806" s="42"/>
      <c r="F11806" s="48" t="str">
        <f>IFERROR(__xludf.DUMMYFUNCTION("""COMPUTED_VALUE"""),"")</f>
        <v/>
      </c>
      <c r="G11806" s="42" t="str">
        <f>IFERROR(__xludf.DUMMYFUNCTION("""COMPUTED_VALUE"""),"")</f>
        <v/>
      </c>
      <c r="H11806" s="42">
        <f t="shared" si="1"/>
        <v>3345</v>
      </c>
    </row>
    <row r="11807" ht="22.5" customHeight="1">
      <c r="B11807" s="42" t="str">
        <f>IFERROR(__xludf.DUMMYFUNCTION("""COMPUTED_VALUE"""),"")</f>
        <v/>
      </c>
      <c r="C11807" s="42" t="str">
        <f>IFERROR(__xludf.DUMMYFUNCTION("""COMPUTED_VALUE"""),"")</f>
        <v/>
      </c>
      <c r="D11807" s="42"/>
      <c r="E11807" s="42"/>
      <c r="F11807" s="48" t="str">
        <f>IFERROR(__xludf.DUMMYFUNCTION("""COMPUTED_VALUE"""),"")</f>
        <v/>
      </c>
      <c r="G11807" s="42" t="str">
        <f>IFERROR(__xludf.DUMMYFUNCTION("""COMPUTED_VALUE"""),"")</f>
        <v/>
      </c>
      <c r="H11807" s="42">
        <f t="shared" si="1"/>
        <v>3345</v>
      </c>
    </row>
    <row r="11808" ht="22.5" customHeight="1">
      <c r="B11808" s="42" t="str">
        <f>IFERROR(__xludf.DUMMYFUNCTION("""COMPUTED_VALUE"""),"")</f>
        <v/>
      </c>
      <c r="C11808" s="42" t="str">
        <f>IFERROR(__xludf.DUMMYFUNCTION("""COMPUTED_VALUE"""),"")</f>
        <v/>
      </c>
      <c r="D11808" s="42"/>
      <c r="E11808" s="42"/>
      <c r="F11808" s="48" t="str">
        <f>IFERROR(__xludf.DUMMYFUNCTION("""COMPUTED_VALUE"""),"")</f>
        <v/>
      </c>
      <c r="G11808" s="42" t="str">
        <f>IFERROR(__xludf.DUMMYFUNCTION("""COMPUTED_VALUE"""),"")</f>
        <v/>
      </c>
      <c r="H11808" s="42">
        <f t="shared" si="1"/>
        <v>3345</v>
      </c>
    </row>
    <row r="11809" ht="22.5" customHeight="1">
      <c r="B11809" s="42" t="str">
        <f>IFERROR(__xludf.DUMMYFUNCTION("""COMPUTED_VALUE"""),"")</f>
        <v/>
      </c>
      <c r="C11809" s="42" t="str">
        <f>IFERROR(__xludf.DUMMYFUNCTION("""COMPUTED_VALUE"""),"")</f>
        <v/>
      </c>
      <c r="D11809" s="42"/>
      <c r="E11809" s="42"/>
      <c r="F11809" s="48" t="str">
        <f>IFERROR(__xludf.DUMMYFUNCTION("""COMPUTED_VALUE"""),"")</f>
        <v/>
      </c>
      <c r="G11809" s="42" t="str">
        <f>IFERROR(__xludf.DUMMYFUNCTION("""COMPUTED_VALUE"""),"")</f>
        <v/>
      </c>
      <c r="H11809" s="42">
        <f t="shared" si="1"/>
        <v>3345</v>
      </c>
    </row>
    <row r="11810" ht="22.5" customHeight="1">
      <c r="B11810" s="42" t="str">
        <f>IFERROR(__xludf.DUMMYFUNCTION("""COMPUTED_VALUE"""),"")</f>
        <v/>
      </c>
      <c r="C11810" s="42" t="str">
        <f>IFERROR(__xludf.DUMMYFUNCTION("""COMPUTED_VALUE"""),"")</f>
        <v/>
      </c>
      <c r="D11810" s="42"/>
      <c r="E11810" s="42"/>
      <c r="F11810" s="48" t="str">
        <f>IFERROR(__xludf.DUMMYFUNCTION("""COMPUTED_VALUE"""),"")</f>
        <v/>
      </c>
      <c r="G11810" s="42" t="str">
        <f>IFERROR(__xludf.DUMMYFUNCTION("""COMPUTED_VALUE"""),"")</f>
        <v/>
      </c>
      <c r="H11810" s="42">
        <f t="shared" si="1"/>
        <v>3345</v>
      </c>
    </row>
    <row r="11811" ht="22.5" customHeight="1">
      <c r="B11811" s="42" t="str">
        <f>IFERROR(__xludf.DUMMYFUNCTION("""COMPUTED_VALUE"""),"")</f>
        <v/>
      </c>
      <c r="C11811" s="42" t="str">
        <f>IFERROR(__xludf.DUMMYFUNCTION("""COMPUTED_VALUE"""),"")</f>
        <v/>
      </c>
      <c r="D11811" s="42"/>
      <c r="E11811" s="42"/>
      <c r="F11811" s="48" t="str">
        <f>IFERROR(__xludf.DUMMYFUNCTION("""COMPUTED_VALUE"""),"")</f>
        <v/>
      </c>
      <c r="G11811" s="42" t="str">
        <f>IFERROR(__xludf.DUMMYFUNCTION("""COMPUTED_VALUE"""),"")</f>
        <v/>
      </c>
      <c r="H11811" s="42">
        <f t="shared" si="1"/>
        <v>3345</v>
      </c>
    </row>
    <row r="11812" ht="22.5" customHeight="1">
      <c r="B11812" s="42" t="str">
        <f>IFERROR(__xludf.DUMMYFUNCTION("""COMPUTED_VALUE"""),"")</f>
        <v/>
      </c>
      <c r="C11812" s="42" t="str">
        <f>IFERROR(__xludf.DUMMYFUNCTION("""COMPUTED_VALUE"""),"")</f>
        <v/>
      </c>
      <c r="D11812" s="42"/>
      <c r="E11812" s="42"/>
      <c r="F11812" s="48" t="str">
        <f>IFERROR(__xludf.DUMMYFUNCTION("""COMPUTED_VALUE"""),"")</f>
        <v/>
      </c>
      <c r="G11812" s="42" t="str">
        <f>IFERROR(__xludf.DUMMYFUNCTION("""COMPUTED_VALUE"""),"")</f>
        <v/>
      </c>
      <c r="H11812" s="42">
        <f t="shared" si="1"/>
        <v>3345</v>
      </c>
    </row>
    <row r="11813" ht="22.5" customHeight="1">
      <c r="B11813" s="42" t="str">
        <f>IFERROR(__xludf.DUMMYFUNCTION("""COMPUTED_VALUE"""),"")</f>
        <v/>
      </c>
      <c r="C11813" s="42" t="str">
        <f>IFERROR(__xludf.DUMMYFUNCTION("""COMPUTED_VALUE"""),"")</f>
        <v/>
      </c>
      <c r="D11813" s="42"/>
      <c r="E11813" s="42"/>
      <c r="F11813" s="48" t="str">
        <f>IFERROR(__xludf.DUMMYFUNCTION("""COMPUTED_VALUE"""),"")</f>
        <v/>
      </c>
      <c r="G11813" s="42" t="str">
        <f>IFERROR(__xludf.DUMMYFUNCTION("""COMPUTED_VALUE"""),"")</f>
        <v/>
      </c>
      <c r="H11813" s="42">
        <f t="shared" si="1"/>
        <v>3345</v>
      </c>
    </row>
    <row r="11814" ht="22.5" customHeight="1">
      <c r="B11814" s="42" t="str">
        <f>IFERROR(__xludf.DUMMYFUNCTION("""COMPUTED_VALUE"""),"")</f>
        <v/>
      </c>
      <c r="C11814" s="42" t="str">
        <f>IFERROR(__xludf.DUMMYFUNCTION("""COMPUTED_VALUE"""),"")</f>
        <v/>
      </c>
      <c r="D11814" s="42"/>
      <c r="E11814" s="42"/>
      <c r="F11814" s="48" t="str">
        <f>IFERROR(__xludf.DUMMYFUNCTION("""COMPUTED_VALUE"""),"")</f>
        <v/>
      </c>
      <c r="G11814" s="42" t="str">
        <f>IFERROR(__xludf.DUMMYFUNCTION("""COMPUTED_VALUE"""),"")</f>
        <v/>
      </c>
      <c r="H11814" s="42">
        <f t="shared" si="1"/>
        <v>3345</v>
      </c>
    </row>
    <row r="11815" ht="22.5" customHeight="1">
      <c r="B11815" s="42" t="str">
        <f>IFERROR(__xludf.DUMMYFUNCTION("""COMPUTED_VALUE"""),"")</f>
        <v/>
      </c>
      <c r="C11815" s="42" t="str">
        <f>IFERROR(__xludf.DUMMYFUNCTION("""COMPUTED_VALUE"""),"")</f>
        <v/>
      </c>
      <c r="D11815" s="42"/>
      <c r="E11815" s="42"/>
      <c r="F11815" s="48" t="str">
        <f>IFERROR(__xludf.DUMMYFUNCTION("""COMPUTED_VALUE"""),"")</f>
        <v/>
      </c>
      <c r="G11815" s="42" t="str">
        <f>IFERROR(__xludf.DUMMYFUNCTION("""COMPUTED_VALUE"""),"")</f>
        <v/>
      </c>
      <c r="H11815" s="42">
        <f t="shared" si="1"/>
        <v>3345</v>
      </c>
    </row>
    <row r="11816" ht="22.5" customHeight="1">
      <c r="B11816" s="42" t="str">
        <f>IFERROR(__xludf.DUMMYFUNCTION("""COMPUTED_VALUE"""),"")</f>
        <v/>
      </c>
      <c r="C11816" s="42" t="str">
        <f>IFERROR(__xludf.DUMMYFUNCTION("""COMPUTED_VALUE"""),"")</f>
        <v/>
      </c>
      <c r="D11816" s="42"/>
      <c r="E11816" s="42"/>
      <c r="F11816" s="48" t="str">
        <f>IFERROR(__xludf.DUMMYFUNCTION("""COMPUTED_VALUE"""),"")</f>
        <v/>
      </c>
      <c r="G11816" s="42" t="str">
        <f>IFERROR(__xludf.DUMMYFUNCTION("""COMPUTED_VALUE"""),"")</f>
        <v/>
      </c>
      <c r="H11816" s="42">
        <f t="shared" si="1"/>
        <v>3345</v>
      </c>
    </row>
    <row r="11817" ht="22.5" customHeight="1">
      <c r="B11817" s="42" t="str">
        <f>IFERROR(__xludf.DUMMYFUNCTION("""COMPUTED_VALUE"""),"")</f>
        <v/>
      </c>
      <c r="C11817" s="42" t="str">
        <f>IFERROR(__xludf.DUMMYFUNCTION("""COMPUTED_VALUE"""),"")</f>
        <v/>
      </c>
      <c r="D11817" s="42"/>
      <c r="E11817" s="42"/>
      <c r="F11817" s="48" t="str">
        <f>IFERROR(__xludf.DUMMYFUNCTION("""COMPUTED_VALUE"""),"")</f>
        <v/>
      </c>
      <c r="G11817" s="42" t="str">
        <f>IFERROR(__xludf.DUMMYFUNCTION("""COMPUTED_VALUE"""),"")</f>
        <v/>
      </c>
      <c r="H11817" s="42">
        <f t="shared" si="1"/>
        <v>3345</v>
      </c>
    </row>
    <row r="11818" ht="22.5" customHeight="1">
      <c r="B11818" s="42" t="str">
        <f>IFERROR(__xludf.DUMMYFUNCTION("""COMPUTED_VALUE"""),"")</f>
        <v/>
      </c>
      <c r="C11818" s="42" t="str">
        <f>IFERROR(__xludf.DUMMYFUNCTION("""COMPUTED_VALUE"""),"")</f>
        <v/>
      </c>
      <c r="D11818" s="42"/>
      <c r="E11818" s="42"/>
      <c r="F11818" s="48" t="str">
        <f>IFERROR(__xludf.DUMMYFUNCTION("""COMPUTED_VALUE"""),"")</f>
        <v/>
      </c>
      <c r="G11818" s="42" t="str">
        <f>IFERROR(__xludf.DUMMYFUNCTION("""COMPUTED_VALUE"""),"")</f>
        <v/>
      </c>
      <c r="H11818" s="42">
        <f t="shared" si="1"/>
        <v>3345</v>
      </c>
    </row>
    <row r="11819" ht="22.5" customHeight="1">
      <c r="B11819" s="42" t="str">
        <f>IFERROR(__xludf.DUMMYFUNCTION("""COMPUTED_VALUE"""),"")</f>
        <v/>
      </c>
      <c r="C11819" s="42" t="str">
        <f>IFERROR(__xludf.DUMMYFUNCTION("""COMPUTED_VALUE"""),"")</f>
        <v/>
      </c>
      <c r="D11819" s="42"/>
      <c r="E11819" s="42"/>
      <c r="F11819" s="48" t="str">
        <f>IFERROR(__xludf.DUMMYFUNCTION("""COMPUTED_VALUE"""),"")</f>
        <v/>
      </c>
      <c r="G11819" s="42" t="str">
        <f>IFERROR(__xludf.DUMMYFUNCTION("""COMPUTED_VALUE"""),"")</f>
        <v/>
      </c>
      <c r="H11819" s="42">
        <f t="shared" si="1"/>
        <v>3345</v>
      </c>
    </row>
    <row r="11820" ht="22.5" customHeight="1">
      <c r="B11820" s="42" t="str">
        <f>IFERROR(__xludf.DUMMYFUNCTION("""COMPUTED_VALUE"""),"")</f>
        <v/>
      </c>
      <c r="C11820" s="42" t="str">
        <f>IFERROR(__xludf.DUMMYFUNCTION("""COMPUTED_VALUE"""),"")</f>
        <v/>
      </c>
      <c r="D11820" s="42"/>
      <c r="E11820" s="42"/>
      <c r="F11820" s="48" t="str">
        <f>IFERROR(__xludf.DUMMYFUNCTION("""COMPUTED_VALUE"""),"")</f>
        <v/>
      </c>
      <c r="G11820" s="42" t="str">
        <f>IFERROR(__xludf.DUMMYFUNCTION("""COMPUTED_VALUE"""),"")</f>
        <v/>
      </c>
      <c r="H11820" s="42">
        <f t="shared" si="1"/>
        <v>3345</v>
      </c>
    </row>
    <row r="11821" ht="22.5" customHeight="1">
      <c r="B11821" s="42" t="str">
        <f>IFERROR(__xludf.DUMMYFUNCTION("""COMPUTED_VALUE"""),"")</f>
        <v/>
      </c>
      <c r="C11821" s="42" t="str">
        <f>IFERROR(__xludf.DUMMYFUNCTION("""COMPUTED_VALUE"""),"")</f>
        <v/>
      </c>
      <c r="D11821" s="42"/>
      <c r="E11821" s="42"/>
      <c r="F11821" s="48" t="str">
        <f>IFERROR(__xludf.DUMMYFUNCTION("""COMPUTED_VALUE"""),"")</f>
        <v/>
      </c>
      <c r="G11821" s="42" t="str">
        <f>IFERROR(__xludf.DUMMYFUNCTION("""COMPUTED_VALUE"""),"")</f>
        <v/>
      </c>
      <c r="H11821" s="42">
        <f t="shared" si="1"/>
        <v>3345</v>
      </c>
    </row>
    <row r="11822" ht="22.5" customHeight="1">
      <c r="B11822" s="42" t="str">
        <f>IFERROR(__xludf.DUMMYFUNCTION("""COMPUTED_VALUE"""),"")</f>
        <v/>
      </c>
      <c r="C11822" s="42" t="str">
        <f>IFERROR(__xludf.DUMMYFUNCTION("""COMPUTED_VALUE"""),"")</f>
        <v/>
      </c>
      <c r="D11822" s="42"/>
      <c r="E11822" s="42"/>
      <c r="F11822" s="48" t="str">
        <f>IFERROR(__xludf.DUMMYFUNCTION("""COMPUTED_VALUE"""),"")</f>
        <v/>
      </c>
      <c r="G11822" s="42" t="str">
        <f>IFERROR(__xludf.DUMMYFUNCTION("""COMPUTED_VALUE"""),"")</f>
        <v/>
      </c>
      <c r="H11822" s="42">
        <f t="shared" si="1"/>
        <v>3345</v>
      </c>
    </row>
    <row r="11823" ht="22.5" customHeight="1">
      <c r="B11823" s="42" t="str">
        <f>IFERROR(__xludf.DUMMYFUNCTION("""COMPUTED_VALUE"""),"")</f>
        <v/>
      </c>
      <c r="C11823" s="42" t="str">
        <f>IFERROR(__xludf.DUMMYFUNCTION("""COMPUTED_VALUE"""),"")</f>
        <v/>
      </c>
      <c r="D11823" s="42"/>
      <c r="E11823" s="42"/>
      <c r="F11823" s="48" t="str">
        <f>IFERROR(__xludf.DUMMYFUNCTION("""COMPUTED_VALUE"""),"")</f>
        <v/>
      </c>
      <c r="G11823" s="42" t="str">
        <f>IFERROR(__xludf.DUMMYFUNCTION("""COMPUTED_VALUE"""),"")</f>
        <v/>
      </c>
      <c r="H11823" s="42">
        <f t="shared" si="1"/>
        <v>3345</v>
      </c>
    </row>
    <row r="11824" ht="22.5" customHeight="1">
      <c r="B11824" s="42" t="str">
        <f>IFERROR(__xludf.DUMMYFUNCTION("""COMPUTED_VALUE"""),"")</f>
        <v/>
      </c>
      <c r="C11824" s="42" t="str">
        <f>IFERROR(__xludf.DUMMYFUNCTION("""COMPUTED_VALUE"""),"")</f>
        <v/>
      </c>
      <c r="D11824" s="42"/>
      <c r="E11824" s="42"/>
      <c r="F11824" s="48" t="str">
        <f>IFERROR(__xludf.DUMMYFUNCTION("""COMPUTED_VALUE"""),"")</f>
        <v/>
      </c>
      <c r="G11824" s="42" t="str">
        <f>IFERROR(__xludf.DUMMYFUNCTION("""COMPUTED_VALUE"""),"")</f>
        <v/>
      </c>
      <c r="H11824" s="42">
        <f t="shared" si="1"/>
        <v>3345</v>
      </c>
    </row>
    <row r="11825" ht="22.5" customHeight="1">
      <c r="B11825" s="42" t="str">
        <f>IFERROR(__xludf.DUMMYFUNCTION("""COMPUTED_VALUE"""),"")</f>
        <v/>
      </c>
      <c r="C11825" s="42" t="str">
        <f>IFERROR(__xludf.DUMMYFUNCTION("""COMPUTED_VALUE"""),"")</f>
        <v/>
      </c>
      <c r="D11825" s="42"/>
      <c r="E11825" s="42"/>
      <c r="F11825" s="48" t="str">
        <f>IFERROR(__xludf.DUMMYFUNCTION("""COMPUTED_VALUE"""),"")</f>
        <v/>
      </c>
      <c r="G11825" s="42" t="str">
        <f>IFERROR(__xludf.DUMMYFUNCTION("""COMPUTED_VALUE"""),"")</f>
        <v/>
      </c>
      <c r="H11825" s="42">
        <f t="shared" si="1"/>
        <v>3345</v>
      </c>
    </row>
    <row r="11826" ht="22.5" customHeight="1">
      <c r="B11826" s="42" t="str">
        <f>IFERROR(__xludf.DUMMYFUNCTION("""COMPUTED_VALUE"""),"")</f>
        <v/>
      </c>
      <c r="C11826" s="42" t="str">
        <f>IFERROR(__xludf.DUMMYFUNCTION("""COMPUTED_VALUE"""),"")</f>
        <v/>
      </c>
      <c r="D11826" s="42"/>
      <c r="E11826" s="42"/>
      <c r="F11826" s="48" t="str">
        <f>IFERROR(__xludf.DUMMYFUNCTION("""COMPUTED_VALUE"""),"")</f>
        <v/>
      </c>
      <c r="G11826" s="42" t="str">
        <f>IFERROR(__xludf.DUMMYFUNCTION("""COMPUTED_VALUE"""),"")</f>
        <v/>
      </c>
      <c r="H11826" s="42">
        <f t="shared" si="1"/>
        <v>3345</v>
      </c>
    </row>
    <row r="11827" ht="22.5" customHeight="1">
      <c r="B11827" s="42" t="str">
        <f>IFERROR(__xludf.DUMMYFUNCTION("""COMPUTED_VALUE"""),"")</f>
        <v/>
      </c>
      <c r="C11827" s="42" t="str">
        <f>IFERROR(__xludf.DUMMYFUNCTION("""COMPUTED_VALUE"""),"")</f>
        <v/>
      </c>
      <c r="D11827" s="42"/>
      <c r="E11827" s="42"/>
      <c r="F11827" s="48" t="str">
        <f>IFERROR(__xludf.DUMMYFUNCTION("""COMPUTED_VALUE"""),"")</f>
        <v/>
      </c>
      <c r="G11827" s="42" t="str">
        <f>IFERROR(__xludf.DUMMYFUNCTION("""COMPUTED_VALUE"""),"")</f>
        <v/>
      </c>
      <c r="H11827" s="42">
        <f t="shared" si="1"/>
        <v>3345</v>
      </c>
    </row>
    <row r="11828" ht="22.5" customHeight="1">
      <c r="B11828" s="42" t="str">
        <f>IFERROR(__xludf.DUMMYFUNCTION("""COMPUTED_VALUE"""),"")</f>
        <v/>
      </c>
      <c r="C11828" s="42" t="str">
        <f>IFERROR(__xludf.DUMMYFUNCTION("""COMPUTED_VALUE"""),"")</f>
        <v/>
      </c>
      <c r="D11828" s="42"/>
      <c r="E11828" s="42"/>
      <c r="F11828" s="48" t="str">
        <f>IFERROR(__xludf.DUMMYFUNCTION("""COMPUTED_VALUE"""),"")</f>
        <v/>
      </c>
      <c r="G11828" s="42" t="str">
        <f>IFERROR(__xludf.DUMMYFUNCTION("""COMPUTED_VALUE"""),"")</f>
        <v/>
      </c>
      <c r="H11828" s="42">
        <f t="shared" si="1"/>
        <v>3345</v>
      </c>
    </row>
    <row r="11829" ht="22.5" customHeight="1">
      <c r="B11829" s="42" t="str">
        <f>IFERROR(__xludf.DUMMYFUNCTION("""COMPUTED_VALUE"""),"")</f>
        <v/>
      </c>
      <c r="C11829" s="42" t="str">
        <f>IFERROR(__xludf.DUMMYFUNCTION("""COMPUTED_VALUE"""),"")</f>
        <v/>
      </c>
      <c r="D11829" s="42"/>
      <c r="E11829" s="42"/>
      <c r="F11829" s="48" t="str">
        <f>IFERROR(__xludf.DUMMYFUNCTION("""COMPUTED_VALUE"""),"")</f>
        <v/>
      </c>
      <c r="G11829" s="42" t="str">
        <f>IFERROR(__xludf.DUMMYFUNCTION("""COMPUTED_VALUE"""),"")</f>
        <v/>
      </c>
      <c r="H11829" s="42">
        <f t="shared" si="1"/>
        <v>3345</v>
      </c>
    </row>
    <row r="11830" ht="22.5" customHeight="1">
      <c r="B11830" s="42" t="str">
        <f>IFERROR(__xludf.DUMMYFUNCTION("""COMPUTED_VALUE"""),"")</f>
        <v/>
      </c>
      <c r="C11830" s="42" t="str">
        <f>IFERROR(__xludf.DUMMYFUNCTION("""COMPUTED_VALUE"""),"")</f>
        <v/>
      </c>
      <c r="D11830" s="42"/>
      <c r="E11830" s="42"/>
      <c r="F11830" s="48" t="str">
        <f>IFERROR(__xludf.DUMMYFUNCTION("""COMPUTED_VALUE"""),"")</f>
        <v/>
      </c>
      <c r="G11830" s="42" t="str">
        <f>IFERROR(__xludf.DUMMYFUNCTION("""COMPUTED_VALUE"""),"")</f>
        <v/>
      </c>
      <c r="H11830" s="42">
        <f t="shared" si="1"/>
        <v>3345</v>
      </c>
    </row>
    <row r="11831" ht="22.5" customHeight="1">
      <c r="B11831" s="42" t="str">
        <f>IFERROR(__xludf.DUMMYFUNCTION("""COMPUTED_VALUE"""),"")</f>
        <v/>
      </c>
      <c r="C11831" s="42" t="str">
        <f>IFERROR(__xludf.DUMMYFUNCTION("""COMPUTED_VALUE"""),"")</f>
        <v/>
      </c>
      <c r="D11831" s="42"/>
      <c r="E11831" s="42"/>
      <c r="F11831" s="48" t="str">
        <f>IFERROR(__xludf.DUMMYFUNCTION("""COMPUTED_VALUE"""),"")</f>
        <v/>
      </c>
      <c r="G11831" s="42" t="str">
        <f>IFERROR(__xludf.DUMMYFUNCTION("""COMPUTED_VALUE"""),"")</f>
        <v/>
      </c>
      <c r="H11831" s="42">
        <f t="shared" si="1"/>
        <v>3345</v>
      </c>
    </row>
    <row r="11832" ht="22.5" customHeight="1">
      <c r="B11832" s="42" t="str">
        <f>IFERROR(__xludf.DUMMYFUNCTION("""COMPUTED_VALUE"""),"")</f>
        <v/>
      </c>
      <c r="C11832" s="42" t="str">
        <f>IFERROR(__xludf.DUMMYFUNCTION("""COMPUTED_VALUE"""),"")</f>
        <v/>
      </c>
      <c r="D11832" s="42"/>
      <c r="E11832" s="42"/>
      <c r="F11832" s="48" t="str">
        <f>IFERROR(__xludf.DUMMYFUNCTION("""COMPUTED_VALUE"""),"")</f>
        <v/>
      </c>
      <c r="G11832" s="42" t="str">
        <f>IFERROR(__xludf.DUMMYFUNCTION("""COMPUTED_VALUE"""),"")</f>
        <v/>
      </c>
      <c r="H11832" s="42">
        <f t="shared" si="1"/>
        <v>3345</v>
      </c>
    </row>
    <row r="11833" ht="22.5" customHeight="1">
      <c r="B11833" s="42" t="str">
        <f>IFERROR(__xludf.DUMMYFUNCTION("""COMPUTED_VALUE"""),"")</f>
        <v/>
      </c>
      <c r="C11833" s="42" t="str">
        <f>IFERROR(__xludf.DUMMYFUNCTION("""COMPUTED_VALUE"""),"")</f>
        <v/>
      </c>
      <c r="D11833" s="42"/>
      <c r="E11833" s="42"/>
      <c r="F11833" s="48" t="str">
        <f>IFERROR(__xludf.DUMMYFUNCTION("""COMPUTED_VALUE"""),"")</f>
        <v/>
      </c>
      <c r="G11833" s="42" t="str">
        <f>IFERROR(__xludf.DUMMYFUNCTION("""COMPUTED_VALUE"""),"")</f>
        <v/>
      </c>
      <c r="H11833" s="42">
        <f t="shared" si="1"/>
        <v>3345</v>
      </c>
    </row>
    <row r="11834" ht="22.5" customHeight="1">
      <c r="B11834" s="42" t="str">
        <f>IFERROR(__xludf.DUMMYFUNCTION("""COMPUTED_VALUE"""),"")</f>
        <v/>
      </c>
      <c r="C11834" s="42" t="str">
        <f>IFERROR(__xludf.DUMMYFUNCTION("""COMPUTED_VALUE"""),"")</f>
        <v/>
      </c>
      <c r="D11834" s="42"/>
      <c r="E11834" s="42"/>
      <c r="F11834" s="48" t="str">
        <f>IFERROR(__xludf.DUMMYFUNCTION("""COMPUTED_VALUE"""),"")</f>
        <v/>
      </c>
      <c r="G11834" s="42" t="str">
        <f>IFERROR(__xludf.DUMMYFUNCTION("""COMPUTED_VALUE"""),"")</f>
        <v/>
      </c>
      <c r="H11834" s="42">
        <f t="shared" si="1"/>
        <v>3345</v>
      </c>
    </row>
    <row r="11835" ht="22.5" customHeight="1">
      <c r="B11835" s="42" t="str">
        <f>IFERROR(__xludf.DUMMYFUNCTION("""COMPUTED_VALUE"""),"")</f>
        <v/>
      </c>
      <c r="C11835" s="42" t="str">
        <f>IFERROR(__xludf.DUMMYFUNCTION("""COMPUTED_VALUE"""),"")</f>
        <v/>
      </c>
      <c r="D11835" s="42"/>
      <c r="E11835" s="42"/>
      <c r="F11835" s="48" t="str">
        <f>IFERROR(__xludf.DUMMYFUNCTION("""COMPUTED_VALUE"""),"")</f>
        <v/>
      </c>
      <c r="G11835" s="42" t="str">
        <f>IFERROR(__xludf.DUMMYFUNCTION("""COMPUTED_VALUE"""),"")</f>
        <v/>
      </c>
      <c r="H11835" s="42">
        <f t="shared" si="1"/>
        <v>3345</v>
      </c>
    </row>
    <row r="11836" ht="22.5" customHeight="1">
      <c r="B11836" s="42" t="str">
        <f>IFERROR(__xludf.DUMMYFUNCTION("""COMPUTED_VALUE"""),"")</f>
        <v/>
      </c>
      <c r="C11836" s="42" t="str">
        <f>IFERROR(__xludf.DUMMYFUNCTION("""COMPUTED_VALUE"""),"")</f>
        <v/>
      </c>
      <c r="D11836" s="42"/>
      <c r="E11836" s="42"/>
      <c r="F11836" s="48" t="str">
        <f>IFERROR(__xludf.DUMMYFUNCTION("""COMPUTED_VALUE"""),"")</f>
        <v/>
      </c>
      <c r="G11836" s="42" t="str">
        <f>IFERROR(__xludf.DUMMYFUNCTION("""COMPUTED_VALUE"""),"")</f>
        <v/>
      </c>
      <c r="H11836" s="42">
        <f t="shared" si="1"/>
        <v>3345</v>
      </c>
    </row>
    <row r="11837" ht="22.5" customHeight="1">
      <c r="B11837" s="42" t="str">
        <f>IFERROR(__xludf.DUMMYFUNCTION("""COMPUTED_VALUE"""),"")</f>
        <v/>
      </c>
      <c r="C11837" s="42" t="str">
        <f>IFERROR(__xludf.DUMMYFUNCTION("""COMPUTED_VALUE"""),"")</f>
        <v/>
      </c>
      <c r="D11837" s="42"/>
      <c r="E11837" s="42"/>
      <c r="F11837" s="48" t="str">
        <f>IFERROR(__xludf.DUMMYFUNCTION("""COMPUTED_VALUE"""),"")</f>
        <v/>
      </c>
      <c r="G11837" s="42" t="str">
        <f>IFERROR(__xludf.DUMMYFUNCTION("""COMPUTED_VALUE"""),"")</f>
        <v/>
      </c>
      <c r="H11837" s="42">
        <f t="shared" si="1"/>
        <v>3345</v>
      </c>
    </row>
    <row r="11838" ht="22.5" customHeight="1">
      <c r="B11838" s="42" t="str">
        <f>IFERROR(__xludf.DUMMYFUNCTION("""COMPUTED_VALUE"""),"")</f>
        <v/>
      </c>
      <c r="C11838" s="42" t="str">
        <f>IFERROR(__xludf.DUMMYFUNCTION("""COMPUTED_VALUE"""),"")</f>
        <v/>
      </c>
      <c r="D11838" s="42"/>
      <c r="E11838" s="42"/>
      <c r="F11838" s="48" t="str">
        <f>IFERROR(__xludf.DUMMYFUNCTION("""COMPUTED_VALUE"""),"")</f>
        <v/>
      </c>
      <c r="G11838" s="42" t="str">
        <f>IFERROR(__xludf.DUMMYFUNCTION("""COMPUTED_VALUE"""),"")</f>
        <v/>
      </c>
      <c r="H11838" s="42">
        <f t="shared" si="1"/>
        <v>3345</v>
      </c>
    </row>
    <row r="11839" ht="22.5" customHeight="1">
      <c r="B11839" s="42" t="str">
        <f>IFERROR(__xludf.DUMMYFUNCTION("""COMPUTED_VALUE"""),"")</f>
        <v/>
      </c>
      <c r="C11839" s="42" t="str">
        <f>IFERROR(__xludf.DUMMYFUNCTION("""COMPUTED_VALUE"""),"")</f>
        <v/>
      </c>
      <c r="D11839" s="42"/>
      <c r="E11839" s="42"/>
      <c r="F11839" s="48" t="str">
        <f>IFERROR(__xludf.DUMMYFUNCTION("""COMPUTED_VALUE"""),"")</f>
        <v/>
      </c>
      <c r="G11839" s="42" t="str">
        <f>IFERROR(__xludf.DUMMYFUNCTION("""COMPUTED_VALUE"""),"")</f>
        <v/>
      </c>
      <c r="H11839" s="42">
        <f t="shared" si="1"/>
        <v>3345</v>
      </c>
    </row>
    <row r="11840" ht="22.5" customHeight="1">
      <c r="B11840" s="42" t="str">
        <f>IFERROR(__xludf.DUMMYFUNCTION("""COMPUTED_VALUE"""),"")</f>
        <v/>
      </c>
      <c r="C11840" s="42" t="str">
        <f>IFERROR(__xludf.DUMMYFUNCTION("""COMPUTED_VALUE"""),"")</f>
        <v/>
      </c>
      <c r="D11840" s="42"/>
      <c r="E11840" s="42"/>
      <c r="F11840" s="48" t="str">
        <f>IFERROR(__xludf.DUMMYFUNCTION("""COMPUTED_VALUE"""),"")</f>
        <v/>
      </c>
      <c r="G11840" s="42" t="str">
        <f>IFERROR(__xludf.DUMMYFUNCTION("""COMPUTED_VALUE"""),"")</f>
        <v/>
      </c>
      <c r="H11840" s="42">
        <f t="shared" si="1"/>
        <v>3345</v>
      </c>
    </row>
    <row r="11841" ht="22.5" customHeight="1">
      <c r="B11841" s="42" t="str">
        <f>IFERROR(__xludf.DUMMYFUNCTION("""COMPUTED_VALUE"""),"")</f>
        <v/>
      </c>
      <c r="C11841" s="42" t="str">
        <f>IFERROR(__xludf.DUMMYFUNCTION("""COMPUTED_VALUE"""),"")</f>
        <v/>
      </c>
      <c r="D11841" s="42"/>
      <c r="E11841" s="42"/>
      <c r="F11841" s="48" t="str">
        <f>IFERROR(__xludf.DUMMYFUNCTION("""COMPUTED_VALUE"""),"")</f>
        <v/>
      </c>
      <c r="G11841" s="42" t="str">
        <f>IFERROR(__xludf.DUMMYFUNCTION("""COMPUTED_VALUE"""),"")</f>
        <v/>
      </c>
      <c r="H11841" s="42">
        <f t="shared" si="1"/>
        <v>3345</v>
      </c>
    </row>
    <row r="11842" ht="22.5" customHeight="1">
      <c r="B11842" s="42" t="str">
        <f>IFERROR(__xludf.DUMMYFUNCTION("""COMPUTED_VALUE"""),"")</f>
        <v/>
      </c>
      <c r="C11842" s="42" t="str">
        <f>IFERROR(__xludf.DUMMYFUNCTION("""COMPUTED_VALUE"""),"")</f>
        <v/>
      </c>
      <c r="D11842" s="42"/>
      <c r="E11842" s="42"/>
      <c r="F11842" s="48" t="str">
        <f>IFERROR(__xludf.DUMMYFUNCTION("""COMPUTED_VALUE"""),"")</f>
        <v/>
      </c>
      <c r="G11842" s="42" t="str">
        <f>IFERROR(__xludf.DUMMYFUNCTION("""COMPUTED_VALUE"""),"")</f>
        <v/>
      </c>
      <c r="H11842" s="42">
        <f t="shared" si="1"/>
        <v>3345</v>
      </c>
    </row>
    <row r="11843" ht="22.5" customHeight="1">
      <c r="B11843" s="42" t="str">
        <f>IFERROR(__xludf.DUMMYFUNCTION("""COMPUTED_VALUE"""),"")</f>
        <v/>
      </c>
      <c r="C11843" s="42" t="str">
        <f>IFERROR(__xludf.DUMMYFUNCTION("""COMPUTED_VALUE"""),"")</f>
        <v/>
      </c>
      <c r="D11843" s="42"/>
      <c r="E11843" s="42"/>
      <c r="F11843" s="48" t="str">
        <f>IFERROR(__xludf.DUMMYFUNCTION("""COMPUTED_VALUE"""),"")</f>
        <v/>
      </c>
      <c r="G11843" s="42" t="str">
        <f>IFERROR(__xludf.DUMMYFUNCTION("""COMPUTED_VALUE"""),"")</f>
        <v/>
      </c>
      <c r="H11843" s="42">
        <f t="shared" si="1"/>
        <v>3345</v>
      </c>
    </row>
    <row r="11844" ht="22.5" customHeight="1">
      <c r="B11844" s="42" t="str">
        <f>IFERROR(__xludf.DUMMYFUNCTION("""COMPUTED_VALUE"""),"")</f>
        <v/>
      </c>
      <c r="C11844" s="42" t="str">
        <f>IFERROR(__xludf.DUMMYFUNCTION("""COMPUTED_VALUE"""),"")</f>
        <v/>
      </c>
      <c r="D11844" s="42"/>
      <c r="E11844" s="42"/>
      <c r="F11844" s="48" t="str">
        <f>IFERROR(__xludf.DUMMYFUNCTION("""COMPUTED_VALUE"""),"")</f>
        <v/>
      </c>
      <c r="G11844" s="42" t="str">
        <f>IFERROR(__xludf.DUMMYFUNCTION("""COMPUTED_VALUE"""),"")</f>
        <v/>
      </c>
      <c r="H11844" s="42">
        <f t="shared" si="1"/>
        <v>3345</v>
      </c>
    </row>
    <row r="11845" ht="22.5" customHeight="1">
      <c r="B11845" s="42" t="str">
        <f>IFERROR(__xludf.DUMMYFUNCTION("""COMPUTED_VALUE"""),"")</f>
        <v/>
      </c>
      <c r="C11845" s="42" t="str">
        <f>IFERROR(__xludf.DUMMYFUNCTION("""COMPUTED_VALUE"""),"")</f>
        <v/>
      </c>
      <c r="D11845" s="42"/>
      <c r="E11845" s="42"/>
      <c r="F11845" s="48" t="str">
        <f>IFERROR(__xludf.DUMMYFUNCTION("""COMPUTED_VALUE"""),"")</f>
        <v/>
      </c>
      <c r="G11845" s="42" t="str">
        <f>IFERROR(__xludf.DUMMYFUNCTION("""COMPUTED_VALUE"""),"")</f>
        <v/>
      </c>
      <c r="H11845" s="42">
        <f t="shared" si="1"/>
        <v>3345</v>
      </c>
    </row>
    <row r="11846" ht="22.5" customHeight="1">
      <c r="B11846" s="42" t="str">
        <f>IFERROR(__xludf.DUMMYFUNCTION("""COMPUTED_VALUE"""),"")</f>
        <v/>
      </c>
      <c r="C11846" s="42" t="str">
        <f>IFERROR(__xludf.DUMMYFUNCTION("""COMPUTED_VALUE"""),"")</f>
        <v/>
      </c>
      <c r="D11846" s="42"/>
      <c r="E11846" s="42"/>
      <c r="F11846" s="48" t="str">
        <f>IFERROR(__xludf.DUMMYFUNCTION("""COMPUTED_VALUE"""),"")</f>
        <v/>
      </c>
      <c r="G11846" s="42" t="str">
        <f>IFERROR(__xludf.DUMMYFUNCTION("""COMPUTED_VALUE"""),"")</f>
        <v/>
      </c>
      <c r="H11846" s="42">
        <f t="shared" si="1"/>
        <v>3345</v>
      </c>
    </row>
    <row r="11847" ht="22.5" customHeight="1">
      <c r="B11847" s="42" t="str">
        <f>IFERROR(__xludf.DUMMYFUNCTION("""COMPUTED_VALUE"""),"")</f>
        <v/>
      </c>
      <c r="C11847" s="42" t="str">
        <f>IFERROR(__xludf.DUMMYFUNCTION("""COMPUTED_VALUE"""),"")</f>
        <v/>
      </c>
      <c r="D11847" s="42"/>
      <c r="E11847" s="42"/>
      <c r="F11847" s="48" t="str">
        <f>IFERROR(__xludf.DUMMYFUNCTION("""COMPUTED_VALUE"""),"")</f>
        <v/>
      </c>
      <c r="G11847" s="42" t="str">
        <f>IFERROR(__xludf.DUMMYFUNCTION("""COMPUTED_VALUE"""),"")</f>
        <v/>
      </c>
      <c r="H11847" s="42">
        <f t="shared" si="1"/>
        <v>3345</v>
      </c>
    </row>
    <row r="11848" ht="22.5" customHeight="1">
      <c r="B11848" s="42" t="str">
        <f>IFERROR(__xludf.DUMMYFUNCTION("""COMPUTED_VALUE"""),"")</f>
        <v/>
      </c>
      <c r="C11848" s="42" t="str">
        <f>IFERROR(__xludf.DUMMYFUNCTION("""COMPUTED_VALUE"""),"")</f>
        <v/>
      </c>
      <c r="D11848" s="42"/>
      <c r="E11848" s="42"/>
      <c r="F11848" s="48" t="str">
        <f>IFERROR(__xludf.DUMMYFUNCTION("""COMPUTED_VALUE"""),"")</f>
        <v/>
      </c>
      <c r="G11848" s="42" t="str">
        <f>IFERROR(__xludf.DUMMYFUNCTION("""COMPUTED_VALUE"""),"")</f>
        <v/>
      </c>
      <c r="H11848" s="42">
        <f t="shared" si="1"/>
        <v>3345</v>
      </c>
    </row>
    <row r="11849" ht="22.5" customHeight="1">
      <c r="B11849" s="42" t="str">
        <f>IFERROR(__xludf.DUMMYFUNCTION("""COMPUTED_VALUE"""),"")</f>
        <v/>
      </c>
      <c r="C11849" s="42" t="str">
        <f>IFERROR(__xludf.DUMMYFUNCTION("""COMPUTED_VALUE"""),"")</f>
        <v/>
      </c>
      <c r="D11849" s="42"/>
      <c r="E11849" s="42"/>
      <c r="F11849" s="48" t="str">
        <f>IFERROR(__xludf.DUMMYFUNCTION("""COMPUTED_VALUE"""),"")</f>
        <v/>
      </c>
      <c r="G11849" s="42" t="str">
        <f>IFERROR(__xludf.DUMMYFUNCTION("""COMPUTED_VALUE"""),"")</f>
        <v/>
      </c>
      <c r="H11849" s="42">
        <f t="shared" si="1"/>
        <v>3345</v>
      </c>
    </row>
    <row r="11850" ht="22.5" customHeight="1">
      <c r="B11850" s="42" t="str">
        <f>IFERROR(__xludf.DUMMYFUNCTION("""COMPUTED_VALUE"""),"")</f>
        <v/>
      </c>
      <c r="C11850" s="42" t="str">
        <f>IFERROR(__xludf.DUMMYFUNCTION("""COMPUTED_VALUE"""),"")</f>
        <v/>
      </c>
      <c r="D11850" s="42"/>
      <c r="E11850" s="42"/>
      <c r="F11850" s="48" t="str">
        <f>IFERROR(__xludf.DUMMYFUNCTION("""COMPUTED_VALUE"""),"")</f>
        <v/>
      </c>
      <c r="G11850" s="42" t="str">
        <f>IFERROR(__xludf.DUMMYFUNCTION("""COMPUTED_VALUE"""),"")</f>
        <v/>
      </c>
      <c r="H11850" s="42">
        <f t="shared" si="1"/>
        <v>3345</v>
      </c>
    </row>
    <row r="11851" ht="22.5" customHeight="1">
      <c r="B11851" s="42" t="str">
        <f>IFERROR(__xludf.DUMMYFUNCTION("""COMPUTED_VALUE"""),"")</f>
        <v/>
      </c>
      <c r="C11851" s="42" t="str">
        <f>IFERROR(__xludf.DUMMYFUNCTION("""COMPUTED_VALUE"""),"")</f>
        <v/>
      </c>
      <c r="D11851" s="42"/>
      <c r="E11851" s="42"/>
      <c r="F11851" s="48" t="str">
        <f>IFERROR(__xludf.DUMMYFUNCTION("""COMPUTED_VALUE"""),"")</f>
        <v/>
      </c>
      <c r="G11851" s="42" t="str">
        <f>IFERROR(__xludf.DUMMYFUNCTION("""COMPUTED_VALUE"""),"")</f>
        <v/>
      </c>
      <c r="H11851" s="42">
        <f t="shared" si="1"/>
        <v>3345</v>
      </c>
    </row>
    <row r="11852" ht="22.5" customHeight="1">
      <c r="B11852" s="42" t="str">
        <f>IFERROR(__xludf.DUMMYFUNCTION("""COMPUTED_VALUE"""),"")</f>
        <v/>
      </c>
      <c r="C11852" s="42" t="str">
        <f>IFERROR(__xludf.DUMMYFUNCTION("""COMPUTED_VALUE"""),"")</f>
        <v/>
      </c>
      <c r="D11852" s="42"/>
      <c r="E11852" s="42"/>
      <c r="F11852" s="48" t="str">
        <f>IFERROR(__xludf.DUMMYFUNCTION("""COMPUTED_VALUE"""),"")</f>
        <v/>
      </c>
      <c r="G11852" s="42" t="str">
        <f>IFERROR(__xludf.DUMMYFUNCTION("""COMPUTED_VALUE"""),"")</f>
        <v/>
      </c>
      <c r="H11852" s="42">
        <f t="shared" si="1"/>
        <v>3345</v>
      </c>
    </row>
    <row r="11853" ht="22.5" customHeight="1">
      <c r="B11853" s="42" t="str">
        <f>IFERROR(__xludf.DUMMYFUNCTION("""COMPUTED_VALUE"""),"")</f>
        <v/>
      </c>
      <c r="C11853" s="42" t="str">
        <f>IFERROR(__xludf.DUMMYFUNCTION("""COMPUTED_VALUE"""),"")</f>
        <v/>
      </c>
      <c r="D11853" s="42"/>
      <c r="E11853" s="42"/>
      <c r="F11853" s="48" t="str">
        <f>IFERROR(__xludf.DUMMYFUNCTION("""COMPUTED_VALUE"""),"")</f>
        <v/>
      </c>
      <c r="G11853" s="42" t="str">
        <f>IFERROR(__xludf.DUMMYFUNCTION("""COMPUTED_VALUE"""),"")</f>
        <v/>
      </c>
      <c r="H11853" s="42">
        <f t="shared" si="1"/>
        <v>3345</v>
      </c>
    </row>
    <row r="11854" ht="22.5" customHeight="1">
      <c r="B11854" s="42" t="str">
        <f>IFERROR(__xludf.DUMMYFUNCTION("""COMPUTED_VALUE"""),"")</f>
        <v/>
      </c>
      <c r="C11854" s="42" t="str">
        <f>IFERROR(__xludf.DUMMYFUNCTION("""COMPUTED_VALUE"""),"")</f>
        <v/>
      </c>
      <c r="D11854" s="42"/>
      <c r="E11854" s="42"/>
      <c r="F11854" s="48" t="str">
        <f>IFERROR(__xludf.DUMMYFUNCTION("""COMPUTED_VALUE"""),"")</f>
        <v/>
      </c>
      <c r="G11854" s="42" t="str">
        <f>IFERROR(__xludf.DUMMYFUNCTION("""COMPUTED_VALUE"""),"")</f>
        <v/>
      </c>
      <c r="H11854" s="42">
        <f t="shared" si="1"/>
        <v>3345</v>
      </c>
    </row>
    <row r="11855" ht="22.5" customHeight="1">
      <c r="B11855" s="42" t="str">
        <f>IFERROR(__xludf.DUMMYFUNCTION("""COMPUTED_VALUE"""),"")</f>
        <v/>
      </c>
      <c r="C11855" s="42" t="str">
        <f>IFERROR(__xludf.DUMMYFUNCTION("""COMPUTED_VALUE"""),"")</f>
        <v/>
      </c>
      <c r="D11855" s="42"/>
      <c r="E11855" s="42"/>
      <c r="F11855" s="48" t="str">
        <f>IFERROR(__xludf.DUMMYFUNCTION("""COMPUTED_VALUE"""),"")</f>
        <v/>
      </c>
      <c r="G11855" s="42" t="str">
        <f>IFERROR(__xludf.DUMMYFUNCTION("""COMPUTED_VALUE"""),"")</f>
        <v/>
      </c>
      <c r="H11855" s="42">
        <f t="shared" si="1"/>
        <v>3345</v>
      </c>
    </row>
    <row r="11856" ht="22.5" customHeight="1">
      <c r="B11856" s="42" t="str">
        <f>IFERROR(__xludf.DUMMYFUNCTION("""COMPUTED_VALUE"""),"")</f>
        <v/>
      </c>
      <c r="C11856" s="42" t="str">
        <f>IFERROR(__xludf.DUMMYFUNCTION("""COMPUTED_VALUE"""),"")</f>
        <v/>
      </c>
      <c r="D11856" s="42"/>
      <c r="E11856" s="42"/>
      <c r="F11856" s="48" t="str">
        <f>IFERROR(__xludf.DUMMYFUNCTION("""COMPUTED_VALUE"""),"")</f>
        <v/>
      </c>
      <c r="G11856" s="42" t="str">
        <f>IFERROR(__xludf.DUMMYFUNCTION("""COMPUTED_VALUE"""),"")</f>
        <v/>
      </c>
      <c r="H11856" s="42">
        <f t="shared" si="1"/>
        <v>3345</v>
      </c>
    </row>
    <row r="11857" ht="22.5" customHeight="1">
      <c r="B11857" s="42" t="str">
        <f>IFERROR(__xludf.DUMMYFUNCTION("""COMPUTED_VALUE"""),"")</f>
        <v/>
      </c>
      <c r="C11857" s="42" t="str">
        <f>IFERROR(__xludf.DUMMYFUNCTION("""COMPUTED_VALUE"""),"")</f>
        <v/>
      </c>
      <c r="D11857" s="42"/>
      <c r="E11857" s="42"/>
      <c r="F11857" s="48" t="str">
        <f>IFERROR(__xludf.DUMMYFUNCTION("""COMPUTED_VALUE"""),"")</f>
        <v/>
      </c>
      <c r="G11857" s="42" t="str">
        <f>IFERROR(__xludf.DUMMYFUNCTION("""COMPUTED_VALUE"""),"")</f>
        <v/>
      </c>
      <c r="H11857" s="42">
        <f t="shared" si="1"/>
        <v>3345</v>
      </c>
    </row>
    <row r="11858" ht="22.5" customHeight="1">
      <c r="B11858" s="42" t="str">
        <f>IFERROR(__xludf.DUMMYFUNCTION("""COMPUTED_VALUE"""),"")</f>
        <v/>
      </c>
      <c r="C11858" s="42" t="str">
        <f>IFERROR(__xludf.DUMMYFUNCTION("""COMPUTED_VALUE"""),"")</f>
        <v/>
      </c>
      <c r="D11858" s="42"/>
      <c r="E11858" s="42"/>
      <c r="F11858" s="48" t="str">
        <f>IFERROR(__xludf.DUMMYFUNCTION("""COMPUTED_VALUE"""),"")</f>
        <v/>
      </c>
      <c r="G11858" s="42" t="str">
        <f>IFERROR(__xludf.DUMMYFUNCTION("""COMPUTED_VALUE"""),"")</f>
        <v/>
      </c>
      <c r="H11858" s="42">
        <f t="shared" si="1"/>
        <v>3345</v>
      </c>
    </row>
    <row r="11859" ht="22.5" customHeight="1">
      <c r="B11859" s="42" t="str">
        <f>IFERROR(__xludf.DUMMYFUNCTION("""COMPUTED_VALUE"""),"")</f>
        <v/>
      </c>
      <c r="C11859" s="42" t="str">
        <f>IFERROR(__xludf.DUMMYFUNCTION("""COMPUTED_VALUE"""),"")</f>
        <v/>
      </c>
      <c r="D11859" s="42"/>
      <c r="E11859" s="42"/>
      <c r="F11859" s="48" t="str">
        <f>IFERROR(__xludf.DUMMYFUNCTION("""COMPUTED_VALUE"""),"")</f>
        <v/>
      </c>
      <c r="G11859" s="42" t="str">
        <f>IFERROR(__xludf.DUMMYFUNCTION("""COMPUTED_VALUE"""),"")</f>
        <v/>
      </c>
      <c r="H11859" s="42">
        <f t="shared" si="1"/>
        <v>3345</v>
      </c>
    </row>
    <row r="11860" ht="22.5" customHeight="1">
      <c r="B11860" s="42" t="str">
        <f>IFERROR(__xludf.DUMMYFUNCTION("""COMPUTED_VALUE"""),"")</f>
        <v/>
      </c>
      <c r="C11860" s="42" t="str">
        <f>IFERROR(__xludf.DUMMYFUNCTION("""COMPUTED_VALUE"""),"")</f>
        <v/>
      </c>
      <c r="D11860" s="42"/>
      <c r="E11860" s="42"/>
      <c r="F11860" s="48" t="str">
        <f>IFERROR(__xludf.DUMMYFUNCTION("""COMPUTED_VALUE"""),"")</f>
        <v/>
      </c>
      <c r="G11860" s="42" t="str">
        <f>IFERROR(__xludf.DUMMYFUNCTION("""COMPUTED_VALUE"""),"")</f>
        <v/>
      </c>
      <c r="H11860" s="42">
        <f t="shared" si="1"/>
        <v>3345</v>
      </c>
    </row>
    <row r="11861" ht="22.5" customHeight="1">
      <c r="B11861" s="42" t="str">
        <f>IFERROR(__xludf.DUMMYFUNCTION("""COMPUTED_VALUE"""),"")</f>
        <v/>
      </c>
      <c r="C11861" s="42" t="str">
        <f>IFERROR(__xludf.DUMMYFUNCTION("""COMPUTED_VALUE"""),"")</f>
        <v/>
      </c>
      <c r="D11861" s="42"/>
      <c r="E11861" s="42"/>
      <c r="F11861" s="48" t="str">
        <f>IFERROR(__xludf.DUMMYFUNCTION("""COMPUTED_VALUE"""),"")</f>
        <v/>
      </c>
      <c r="G11861" s="42" t="str">
        <f>IFERROR(__xludf.DUMMYFUNCTION("""COMPUTED_VALUE"""),"")</f>
        <v/>
      </c>
      <c r="H11861" s="42">
        <f t="shared" si="1"/>
        <v>3345</v>
      </c>
    </row>
    <row r="11862" ht="22.5" customHeight="1">
      <c r="B11862" s="42" t="str">
        <f>IFERROR(__xludf.DUMMYFUNCTION("""COMPUTED_VALUE"""),"")</f>
        <v/>
      </c>
      <c r="C11862" s="42" t="str">
        <f>IFERROR(__xludf.DUMMYFUNCTION("""COMPUTED_VALUE"""),"")</f>
        <v/>
      </c>
      <c r="D11862" s="42"/>
      <c r="E11862" s="42"/>
      <c r="F11862" s="48" t="str">
        <f>IFERROR(__xludf.DUMMYFUNCTION("""COMPUTED_VALUE"""),"")</f>
        <v/>
      </c>
      <c r="G11862" s="42" t="str">
        <f>IFERROR(__xludf.DUMMYFUNCTION("""COMPUTED_VALUE"""),"")</f>
        <v/>
      </c>
      <c r="H11862" s="42">
        <f t="shared" si="1"/>
        <v>3345</v>
      </c>
    </row>
    <row r="11863" ht="22.5" customHeight="1">
      <c r="B11863" s="42" t="str">
        <f>IFERROR(__xludf.DUMMYFUNCTION("""COMPUTED_VALUE"""),"")</f>
        <v/>
      </c>
      <c r="C11863" s="42" t="str">
        <f>IFERROR(__xludf.DUMMYFUNCTION("""COMPUTED_VALUE"""),"")</f>
        <v/>
      </c>
      <c r="D11863" s="42"/>
      <c r="E11863" s="42"/>
      <c r="F11863" s="48" t="str">
        <f>IFERROR(__xludf.DUMMYFUNCTION("""COMPUTED_VALUE"""),"")</f>
        <v/>
      </c>
      <c r="G11863" s="42" t="str">
        <f>IFERROR(__xludf.DUMMYFUNCTION("""COMPUTED_VALUE"""),"")</f>
        <v/>
      </c>
      <c r="H11863" s="42">
        <f t="shared" si="1"/>
        <v>3345</v>
      </c>
    </row>
    <row r="11864" ht="22.5" customHeight="1">
      <c r="B11864" s="42" t="str">
        <f>IFERROR(__xludf.DUMMYFUNCTION("""COMPUTED_VALUE"""),"")</f>
        <v/>
      </c>
      <c r="C11864" s="42" t="str">
        <f>IFERROR(__xludf.DUMMYFUNCTION("""COMPUTED_VALUE"""),"")</f>
        <v/>
      </c>
      <c r="D11864" s="42"/>
      <c r="E11864" s="42"/>
      <c r="F11864" s="48" t="str">
        <f>IFERROR(__xludf.DUMMYFUNCTION("""COMPUTED_VALUE"""),"")</f>
        <v/>
      </c>
      <c r="G11864" s="42" t="str">
        <f>IFERROR(__xludf.DUMMYFUNCTION("""COMPUTED_VALUE"""),"")</f>
        <v/>
      </c>
      <c r="H11864" s="42">
        <f t="shared" si="1"/>
        <v>3345</v>
      </c>
    </row>
    <row r="11865" ht="22.5" customHeight="1">
      <c r="B11865" s="42" t="str">
        <f>IFERROR(__xludf.DUMMYFUNCTION("""COMPUTED_VALUE"""),"")</f>
        <v/>
      </c>
      <c r="C11865" s="42" t="str">
        <f>IFERROR(__xludf.DUMMYFUNCTION("""COMPUTED_VALUE"""),"")</f>
        <v/>
      </c>
      <c r="D11865" s="42"/>
      <c r="E11865" s="42"/>
      <c r="F11865" s="48" t="str">
        <f>IFERROR(__xludf.DUMMYFUNCTION("""COMPUTED_VALUE"""),"")</f>
        <v/>
      </c>
      <c r="G11865" s="42" t="str">
        <f>IFERROR(__xludf.DUMMYFUNCTION("""COMPUTED_VALUE"""),"")</f>
        <v/>
      </c>
      <c r="H11865" s="42">
        <f t="shared" si="1"/>
        <v>3345</v>
      </c>
    </row>
    <row r="11866" ht="22.5" customHeight="1">
      <c r="B11866" s="42" t="str">
        <f>IFERROR(__xludf.DUMMYFUNCTION("""COMPUTED_VALUE"""),"")</f>
        <v/>
      </c>
      <c r="C11866" s="42" t="str">
        <f>IFERROR(__xludf.DUMMYFUNCTION("""COMPUTED_VALUE"""),"")</f>
        <v/>
      </c>
      <c r="D11866" s="42"/>
      <c r="E11866" s="42"/>
      <c r="F11866" s="48" t="str">
        <f>IFERROR(__xludf.DUMMYFUNCTION("""COMPUTED_VALUE"""),"")</f>
        <v/>
      </c>
      <c r="G11866" s="42" t="str">
        <f>IFERROR(__xludf.DUMMYFUNCTION("""COMPUTED_VALUE"""),"")</f>
        <v/>
      </c>
      <c r="H11866" s="42">
        <f t="shared" si="1"/>
        <v>3345</v>
      </c>
    </row>
    <row r="11867" ht="22.5" customHeight="1">
      <c r="B11867" s="42" t="str">
        <f>IFERROR(__xludf.DUMMYFUNCTION("""COMPUTED_VALUE"""),"")</f>
        <v/>
      </c>
      <c r="C11867" s="42" t="str">
        <f>IFERROR(__xludf.DUMMYFUNCTION("""COMPUTED_VALUE"""),"")</f>
        <v/>
      </c>
      <c r="D11867" s="42"/>
      <c r="E11867" s="42"/>
      <c r="F11867" s="48" t="str">
        <f>IFERROR(__xludf.DUMMYFUNCTION("""COMPUTED_VALUE"""),"")</f>
        <v/>
      </c>
      <c r="G11867" s="42" t="str">
        <f>IFERROR(__xludf.DUMMYFUNCTION("""COMPUTED_VALUE"""),"")</f>
        <v/>
      </c>
      <c r="H11867" s="42">
        <f t="shared" si="1"/>
        <v>3345</v>
      </c>
    </row>
    <row r="11868" ht="22.5" customHeight="1">
      <c r="B11868" s="42" t="str">
        <f>IFERROR(__xludf.DUMMYFUNCTION("""COMPUTED_VALUE"""),"")</f>
        <v/>
      </c>
      <c r="C11868" s="42" t="str">
        <f>IFERROR(__xludf.DUMMYFUNCTION("""COMPUTED_VALUE"""),"")</f>
        <v/>
      </c>
      <c r="D11868" s="42"/>
      <c r="E11868" s="42"/>
      <c r="F11868" s="48" t="str">
        <f>IFERROR(__xludf.DUMMYFUNCTION("""COMPUTED_VALUE"""),"")</f>
        <v/>
      </c>
      <c r="G11868" s="42" t="str">
        <f>IFERROR(__xludf.DUMMYFUNCTION("""COMPUTED_VALUE"""),"")</f>
        <v/>
      </c>
      <c r="H11868" s="42">
        <f t="shared" si="1"/>
        <v>3345</v>
      </c>
    </row>
    <row r="11869" ht="22.5" customHeight="1">
      <c r="B11869" s="42" t="str">
        <f>IFERROR(__xludf.DUMMYFUNCTION("""COMPUTED_VALUE"""),"")</f>
        <v/>
      </c>
      <c r="C11869" s="42" t="str">
        <f>IFERROR(__xludf.DUMMYFUNCTION("""COMPUTED_VALUE"""),"")</f>
        <v/>
      </c>
      <c r="D11869" s="42"/>
      <c r="E11869" s="42"/>
      <c r="F11869" s="48" t="str">
        <f>IFERROR(__xludf.DUMMYFUNCTION("""COMPUTED_VALUE"""),"")</f>
        <v/>
      </c>
      <c r="G11869" s="42" t="str">
        <f>IFERROR(__xludf.DUMMYFUNCTION("""COMPUTED_VALUE"""),"")</f>
        <v/>
      </c>
      <c r="H11869" s="42">
        <f t="shared" si="1"/>
        <v>3345</v>
      </c>
    </row>
    <row r="11870" ht="22.5" customHeight="1">
      <c r="B11870" s="42" t="str">
        <f>IFERROR(__xludf.DUMMYFUNCTION("""COMPUTED_VALUE"""),"")</f>
        <v/>
      </c>
      <c r="C11870" s="42" t="str">
        <f>IFERROR(__xludf.DUMMYFUNCTION("""COMPUTED_VALUE"""),"")</f>
        <v/>
      </c>
      <c r="D11870" s="42"/>
      <c r="E11870" s="42"/>
      <c r="F11870" s="48" t="str">
        <f>IFERROR(__xludf.DUMMYFUNCTION("""COMPUTED_VALUE"""),"")</f>
        <v/>
      </c>
      <c r="G11870" s="42" t="str">
        <f>IFERROR(__xludf.DUMMYFUNCTION("""COMPUTED_VALUE"""),"")</f>
        <v/>
      </c>
      <c r="H11870" s="42">
        <f t="shared" si="1"/>
        <v>3345</v>
      </c>
    </row>
    <row r="11871" ht="22.5" customHeight="1">
      <c r="B11871" s="42" t="str">
        <f>IFERROR(__xludf.DUMMYFUNCTION("""COMPUTED_VALUE"""),"")</f>
        <v/>
      </c>
      <c r="C11871" s="42" t="str">
        <f>IFERROR(__xludf.DUMMYFUNCTION("""COMPUTED_VALUE"""),"")</f>
        <v/>
      </c>
      <c r="D11871" s="42"/>
      <c r="E11871" s="42"/>
      <c r="F11871" s="48" t="str">
        <f>IFERROR(__xludf.DUMMYFUNCTION("""COMPUTED_VALUE"""),"")</f>
        <v/>
      </c>
      <c r="G11871" s="42" t="str">
        <f>IFERROR(__xludf.DUMMYFUNCTION("""COMPUTED_VALUE"""),"")</f>
        <v/>
      </c>
      <c r="H11871" s="42">
        <f t="shared" si="1"/>
        <v>3345</v>
      </c>
    </row>
    <row r="11872" ht="22.5" customHeight="1">
      <c r="B11872" s="42" t="str">
        <f>IFERROR(__xludf.DUMMYFUNCTION("""COMPUTED_VALUE"""),"")</f>
        <v/>
      </c>
      <c r="C11872" s="42" t="str">
        <f>IFERROR(__xludf.DUMMYFUNCTION("""COMPUTED_VALUE"""),"")</f>
        <v/>
      </c>
      <c r="D11872" s="42"/>
      <c r="E11872" s="42"/>
      <c r="F11872" s="48" t="str">
        <f>IFERROR(__xludf.DUMMYFUNCTION("""COMPUTED_VALUE"""),"")</f>
        <v/>
      </c>
      <c r="G11872" s="42" t="str">
        <f>IFERROR(__xludf.DUMMYFUNCTION("""COMPUTED_VALUE"""),"")</f>
        <v/>
      </c>
      <c r="H11872" s="42">
        <f t="shared" si="1"/>
        <v>3345</v>
      </c>
    </row>
    <row r="11873" ht="22.5" customHeight="1">
      <c r="B11873" s="42" t="str">
        <f>IFERROR(__xludf.DUMMYFUNCTION("""COMPUTED_VALUE"""),"")</f>
        <v/>
      </c>
      <c r="C11873" s="42" t="str">
        <f>IFERROR(__xludf.DUMMYFUNCTION("""COMPUTED_VALUE"""),"")</f>
        <v/>
      </c>
      <c r="D11873" s="42"/>
      <c r="E11873" s="42"/>
      <c r="F11873" s="48" t="str">
        <f>IFERROR(__xludf.DUMMYFUNCTION("""COMPUTED_VALUE"""),"")</f>
        <v/>
      </c>
      <c r="G11873" s="42" t="str">
        <f>IFERROR(__xludf.DUMMYFUNCTION("""COMPUTED_VALUE"""),"")</f>
        <v/>
      </c>
      <c r="H11873" s="42">
        <f t="shared" si="1"/>
        <v>3345</v>
      </c>
    </row>
    <row r="11874" ht="22.5" customHeight="1">
      <c r="B11874" s="42" t="str">
        <f>IFERROR(__xludf.DUMMYFUNCTION("""COMPUTED_VALUE"""),"")</f>
        <v/>
      </c>
      <c r="C11874" s="42" t="str">
        <f>IFERROR(__xludf.DUMMYFUNCTION("""COMPUTED_VALUE"""),"")</f>
        <v/>
      </c>
      <c r="D11874" s="42"/>
      <c r="E11874" s="42"/>
      <c r="F11874" s="48" t="str">
        <f>IFERROR(__xludf.DUMMYFUNCTION("""COMPUTED_VALUE"""),"")</f>
        <v/>
      </c>
      <c r="G11874" s="42" t="str">
        <f>IFERROR(__xludf.DUMMYFUNCTION("""COMPUTED_VALUE"""),"")</f>
        <v/>
      </c>
      <c r="H11874" s="42">
        <f t="shared" si="1"/>
        <v>3345</v>
      </c>
    </row>
    <row r="11875" ht="22.5" customHeight="1">
      <c r="B11875" s="42" t="str">
        <f>IFERROR(__xludf.DUMMYFUNCTION("""COMPUTED_VALUE"""),"")</f>
        <v/>
      </c>
      <c r="C11875" s="42" t="str">
        <f>IFERROR(__xludf.DUMMYFUNCTION("""COMPUTED_VALUE"""),"")</f>
        <v/>
      </c>
      <c r="D11875" s="42"/>
      <c r="E11875" s="42"/>
      <c r="F11875" s="48" t="str">
        <f>IFERROR(__xludf.DUMMYFUNCTION("""COMPUTED_VALUE"""),"")</f>
        <v/>
      </c>
      <c r="G11875" s="42" t="str">
        <f>IFERROR(__xludf.DUMMYFUNCTION("""COMPUTED_VALUE"""),"")</f>
        <v/>
      </c>
      <c r="H11875" s="42">
        <f t="shared" si="1"/>
        <v>3345</v>
      </c>
    </row>
    <row r="11876" ht="22.5" customHeight="1">
      <c r="B11876" s="42" t="str">
        <f>IFERROR(__xludf.DUMMYFUNCTION("""COMPUTED_VALUE"""),"")</f>
        <v/>
      </c>
      <c r="C11876" s="42" t="str">
        <f>IFERROR(__xludf.DUMMYFUNCTION("""COMPUTED_VALUE"""),"")</f>
        <v/>
      </c>
      <c r="D11876" s="42"/>
      <c r="E11876" s="42"/>
      <c r="F11876" s="48" t="str">
        <f>IFERROR(__xludf.DUMMYFUNCTION("""COMPUTED_VALUE"""),"")</f>
        <v/>
      </c>
      <c r="G11876" s="42" t="str">
        <f>IFERROR(__xludf.DUMMYFUNCTION("""COMPUTED_VALUE"""),"")</f>
        <v/>
      </c>
      <c r="H11876" s="42">
        <f t="shared" si="1"/>
        <v>3345</v>
      </c>
    </row>
    <row r="11877" ht="22.5" customHeight="1">
      <c r="B11877" s="42" t="str">
        <f>IFERROR(__xludf.DUMMYFUNCTION("""COMPUTED_VALUE"""),"")</f>
        <v/>
      </c>
      <c r="C11877" s="42" t="str">
        <f>IFERROR(__xludf.DUMMYFUNCTION("""COMPUTED_VALUE"""),"")</f>
        <v/>
      </c>
      <c r="D11877" s="42"/>
      <c r="E11877" s="42"/>
      <c r="F11877" s="48" t="str">
        <f>IFERROR(__xludf.DUMMYFUNCTION("""COMPUTED_VALUE"""),"")</f>
        <v/>
      </c>
      <c r="G11877" s="42" t="str">
        <f>IFERROR(__xludf.DUMMYFUNCTION("""COMPUTED_VALUE"""),"")</f>
        <v/>
      </c>
      <c r="H11877" s="42">
        <f t="shared" si="1"/>
        <v>3345</v>
      </c>
    </row>
    <row r="11878" ht="22.5" customHeight="1">
      <c r="B11878" s="42" t="str">
        <f>IFERROR(__xludf.DUMMYFUNCTION("""COMPUTED_VALUE"""),"")</f>
        <v/>
      </c>
      <c r="C11878" s="42" t="str">
        <f>IFERROR(__xludf.DUMMYFUNCTION("""COMPUTED_VALUE"""),"")</f>
        <v/>
      </c>
      <c r="D11878" s="42"/>
      <c r="E11878" s="42"/>
      <c r="F11878" s="48" t="str">
        <f>IFERROR(__xludf.DUMMYFUNCTION("""COMPUTED_VALUE"""),"")</f>
        <v/>
      </c>
      <c r="G11878" s="42" t="str">
        <f>IFERROR(__xludf.DUMMYFUNCTION("""COMPUTED_VALUE"""),"")</f>
        <v/>
      </c>
      <c r="H11878" s="42">
        <f t="shared" si="1"/>
        <v>3345</v>
      </c>
    </row>
    <row r="11879" ht="22.5" customHeight="1">
      <c r="B11879" s="42" t="str">
        <f>IFERROR(__xludf.DUMMYFUNCTION("""COMPUTED_VALUE"""),"")</f>
        <v/>
      </c>
      <c r="C11879" s="42" t="str">
        <f>IFERROR(__xludf.DUMMYFUNCTION("""COMPUTED_VALUE"""),"")</f>
        <v/>
      </c>
      <c r="D11879" s="42"/>
      <c r="E11879" s="42"/>
      <c r="F11879" s="48" t="str">
        <f>IFERROR(__xludf.DUMMYFUNCTION("""COMPUTED_VALUE"""),"")</f>
        <v/>
      </c>
      <c r="G11879" s="42" t="str">
        <f>IFERROR(__xludf.DUMMYFUNCTION("""COMPUTED_VALUE"""),"")</f>
        <v/>
      </c>
      <c r="H11879" s="42">
        <f t="shared" si="1"/>
        <v>3345</v>
      </c>
    </row>
    <row r="11880" ht="22.5" customHeight="1">
      <c r="B11880" s="42" t="str">
        <f>IFERROR(__xludf.DUMMYFUNCTION("""COMPUTED_VALUE"""),"")</f>
        <v/>
      </c>
      <c r="C11880" s="42" t="str">
        <f>IFERROR(__xludf.DUMMYFUNCTION("""COMPUTED_VALUE"""),"")</f>
        <v/>
      </c>
      <c r="D11880" s="42"/>
      <c r="E11880" s="42"/>
      <c r="F11880" s="48" t="str">
        <f>IFERROR(__xludf.DUMMYFUNCTION("""COMPUTED_VALUE"""),"")</f>
        <v/>
      </c>
      <c r="G11880" s="42" t="str">
        <f>IFERROR(__xludf.DUMMYFUNCTION("""COMPUTED_VALUE"""),"")</f>
        <v/>
      </c>
      <c r="H11880" s="42">
        <f t="shared" si="1"/>
        <v>3345</v>
      </c>
    </row>
    <row r="11881" ht="22.5" customHeight="1">
      <c r="B11881" s="42" t="str">
        <f>IFERROR(__xludf.DUMMYFUNCTION("""COMPUTED_VALUE"""),"")</f>
        <v/>
      </c>
      <c r="C11881" s="42" t="str">
        <f>IFERROR(__xludf.DUMMYFUNCTION("""COMPUTED_VALUE"""),"")</f>
        <v/>
      </c>
      <c r="D11881" s="42"/>
      <c r="E11881" s="42"/>
      <c r="F11881" s="48" t="str">
        <f>IFERROR(__xludf.DUMMYFUNCTION("""COMPUTED_VALUE"""),"")</f>
        <v/>
      </c>
      <c r="G11881" s="42" t="str">
        <f>IFERROR(__xludf.DUMMYFUNCTION("""COMPUTED_VALUE"""),"")</f>
        <v/>
      </c>
      <c r="H11881" s="42">
        <f t="shared" si="1"/>
        <v>3345</v>
      </c>
    </row>
    <row r="11882" ht="22.5" customHeight="1">
      <c r="B11882" s="42" t="str">
        <f>IFERROR(__xludf.DUMMYFUNCTION("""COMPUTED_VALUE"""),"")</f>
        <v/>
      </c>
      <c r="C11882" s="42" t="str">
        <f>IFERROR(__xludf.DUMMYFUNCTION("""COMPUTED_VALUE"""),"")</f>
        <v/>
      </c>
      <c r="D11882" s="42"/>
      <c r="E11882" s="42"/>
      <c r="F11882" s="48" t="str">
        <f>IFERROR(__xludf.DUMMYFUNCTION("""COMPUTED_VALUE"""),"")</f>
        <v/>
      </c>
      <c r="G11882" s="42" t="str">
        <f>IFERROR(__xludf.DUMMYFUNCTION("""COMPUTED_VALUE"""),"")</f>
        <v/>
      </c>
      <c r="H11882" s="42">
        <f t="shared" si="1"/>
        <v>3345</v>
      </c>
    </row>
    <row r="11883" ht="22.5" customHeight="1">
      <c r="B11883" s="42" t="str">
        <f>IFERROR(__xludf.DUMMYFUNCTION("""COMPUTED_VALUE"""),"")</f>
        <v/>
      </c>
      <c r="C11883" s="42" t="str">
        <f>IFERROR(__xludf.DUMMYFUNCTION("""COMPUTED_VALUE"""),"")</f>
        <v/>
      </c>
      <c r="D11883" s="42"/>
      <c r="E11883" s="42"/>
      <c r="F11883" s="48" t="str">
        <f>IFERROR(__xludf.DUMMYFUNCTION("""COMPUTED_VALUE"""),"")</f>
        <v/>
      </c>
      <c r="G11883" s="42" t="str">
        <f>IFERROR(__xludf.DUMMYFUNCTION("""COMPUTED_VALUE"""),"")</f>
        <v/>
      </c>
      <c r="H11883" s="42">
        <f t="shared" si="1"/>
        <v>3345</v>
      </c>
    </row>
    <row r="11884" ht="22.5" customHeight="1">
      <c r="B11884" s="42" t="str">
        <f>IFERROR(__xludf.DUMMYFUNCTION("""COMPUTED_VALUE"""),"")</f>
        <v/>
      </c>
      <c r="C11884" s="42" t="str">
        <f>IFERROR(__xludf.DUMMYFUNCTION("""COMPUTED_VALUE"""),"")</f>
        <v/>
      </c>
      <c r="D11884" s="42"/>
      <c r="E11884" s="42"/>
      <c r="F11884" s="48" t="str">
        <f>IFERROR(__xludf.DUMMYFUNCTION("""COMPUTED_VALUE"""),"")</f>
        <v/>
      </c>
      <c r="G11884" s="42" t="str">
        <f>IFERROR(__xludf.DUMMYFUNCTION("""COMPUTED_VALUE"""),"")</f>
        <v/>
      </c>
      <c r="H11884" s="42">
        <f t="shared" si="1"/>
        <v>3345</v>
      </c>
    </row>
    <row r="11885" ht="22.5" customHeight="1">
      <c r="B11885" s="42" t="str">
        <f>IFERROR(__xludf.DUMMYFUNCTION("""COMPUTED_VALUE"""),"")</f>
        <v/>
      </c>
      <c r="C11885" s="42" t="str">
        <f>IFERROR(__xludf.DUMMYFUNCTION("""COMPUTED_VALUE"""),"")</f>
        <v/>
      </c>
      <c r="D11885" s="42"/>
      <c r="E11885" s="42"/>
      <c r="F11885" s="48" t="str">
        <f>IFERROR(__xludf.DUMMYFUNCTION("""COMPUTED_VALUE"""),"")</f>
        <v/>
      </c>
      <c r="G11885" s="42" t="str">
        <f>IFERROR(__xludf.DUMMYFUNCTION("""COMPUTED_VALUE"""),"")</f>
        <v/>
      </c>
      <c r="H11885" s="42">
        <f t="shared" si="1"/>
        <v>3345</v>
      </c>
    </row>
    <row r="11886" ht="22.5" customHeight="1">
      <c r="B11886" s="42" t="str">
        <f>IFERROR(__xludf.DUMMYFUNCTION("""COMPUTED_VALUE"""),"")</f>
        <v/>
      </c>
      <c r="C11886" s="42" t="str">
        <f>IFERROR(__xludf.DUMMYFUNCTION("""COMPUTED_VALUE"""),"")</f>
        <v/>
      </c>
      <c r="D11886" s="42"/>
      <c r="E11886" s="42"/>
      <c r="F11886" s="48" t="str">
        <f>IFERROR(__xludf.DUMMYFUNCTION("""COMPUTED_VALUE"""),"")</f>
        <v/>
      </c>
      <c r="G11886" s="42" t="str">
        <f>IFERROR(__xludf.DUMMYFUNCTION("""COMPUTED_VALUE"""),"")</f>
        <v/>
      </c>
      <c r="H11886" s="42">
        <f t="shared" si="1"/>
        <v>3345</v>
      </c>
    </row>
    <row r="11887" ht="22.5" customHeight="1">
      <c r="B11887" s="42" t="str">
        <f>IFERROR(__xludf.DUMMYFUNCTION("""COMPUTED_VALUE"""),"")</f>
        <v/>
      </c>
      <c r="C11887" s="42" t="str">
        <f>IFERROR(__xludf.DUMMYFUNCTION("""COMPUTED_VALUE"""),"")</f>
        <v/>
      </c>
      <c r="D11887" s="42"/>
      <c r="E11887" s="42"/>
      <c r="F11887" s="48" t="str">
        <f>IFERROR(__xludf.DUMMYFUNCTION("""COMPUTED_VALUE"""),"")</f>
        <v/>
      </c>
      <c r="G11887" s="42" t="str">
        <f>IFERROR(__xludf.DUMMYFUNCTION("""COMPUTED_VALUE"""),"")</f>
        <v/>
      </c>
      <c r="H11887" s="42">
        <f t="shared" si="1"/>
        <v>3345</v>
      </c>
    </row>
    <row r="11888" ht="22.5" customHeight="1">
      <c r="B11888" s="42" t="str">
        <f>IFERROR(__xludf.DUMMYFUNCTION("""COMPUTED_VALUE"""),"")</f>
        <v/>
      </c>
      <c r="C11888" s="42" t="str">
        <f>IFERROR(__xludf.DUMMYFUNCTION("""COMPUTED_VALUE"""),"")</f>
        <v/>
      </c>
      <c r="D11888" s="42"/>
      <c r="E11888" s="42"/>
      <c r="F11888" s="48" t="str">
        <f>IFERROR(__xludf.DUMMYFUNCTION("""COMPUTED_VALUE"""),"")</f>
        <v/>
      </c>
      <c r="G11888" s="42" t="str">
        <f>IFERROR(__xludf.DUMMYFUNCTION("""COMPUTED_VALUE"""),"")</f>
        <v/>
      </c>
      <c r="H11888" s="42">
        <f t="shared" si="1"/>
        <v>3345</v>
      </c>
    </row>
    <row r="11889" ht="22.5" customHeight="1">
      <c r="B11889" s="42" t="str">
        <f>IFERROR(__xludf.DUMMYFUNCTION("""COMPUTED_VALUE"""),"")</f>
        <v/>
      </c>
      <c r="C11889" s="42" t="str">
        <f>IFERROR(__xludf.DUMMYFUNCTION("""COMPUTED_VALUE"""),"")</f>
        <v/>
      </c>
      <c r="D11889" s="42"/>
      <c r="E11889" s="42"/>
      <c r="F11889" s="48" t="str">
        <f>IFERROR(__xludf.DUMMYFUNCTION("""COMPUTED_VALUE"""),"")</f>
        <v/>
      </c>
      <c r="G11889" s="42" t="str">
        <f>IFERROR(__xludf.DUMMYFUNCTION("""COMPUTED_VALUE"""),"")</f>
        <v/>
      </c>
      <c r="H11889" s="42">
        <f t="shared" si="1"/>
        <v>3345</v>
      </c>
    </row>
    <row r="11890" ht="22.5" customHeight="1">
      <c r="B11890" s="42" t="str">
        <f>IFERROR(__xludf.DUMMYFUNCTION("""COMPUTED_VALUE"""),"")</f>
        <v/>
      </c>
      <c r="C11890" s="42" t="str">
        <f>IFERROR(__xludf.DUMMYFUNCTION("""COMPUTED_VALUE"""),"")</f>
        <v/>
      </c>
      <c r="D11890" s="42"/>
      <c r="E11890" s="42"/>
      <c r="F11890" s="48" t="str">
        <f>IFERROR(__xludf.DUMMYFUNCTION("""COMPUTED_VALUE"""),"")</f>
        <v/>
      </c>
      <c r="G11890" s="42" t="str">
        <f>IFERROR(__xludf.DUMMYFUNCTION("""COMPUTED_VALUE"""),"")</f>
        <v/>
      </c>
      <c r="H11890" s="42">
        <f t="shared" si="1"/>
        <v>3345</v>
      </c>
    </row>
    <row r="11891" ht="22.5" customHeight="1">
      <c r="B11891" s="42" t="str">
        <f>IFERROR(__xludf.DUMMYFUNCTION("""COMPUTED_VALUE"""),"")</f>
        <v/>
      </c>
      <c r="C11891" s="42" t="str">
        <f>IFERROR(__xludf.DUMMYFUNCTION("""COMPUTED_VALUE"""),"")</f>
        <v/>
      </c>
      <c r="D11891" s="42"/>
      <c r="E11891" s="42"/>
      <c r="F11891" s="48" t="str">
        <f>IFERROR(__xludf.DUMMYFUNCTION("""COMPUTED_VALUE"""),"")</f>
        <v/>
      </c>
      <c r="G11891" s="42" t="str">
        <f>IFERROR(__xludf.DUMMYFUNCTION("""COMPUTED_VALUE"""),"")</f>
        <v/>
      </c>
      <c r="H11891" s="42">
        <f t="shared" si="1"/>
        <v>3345</v>
      </c>
    </row>
    <row r="11892" ht="22.5" customHeight="1">
      <c r="B11892" s="42" t="str">
        <f>IFERROR(__xludf.DUMMYFUNCTION("""COMPUTED_VALUE"""),"")</f>
        <v/>
      </c>
      <c r="C11892" s="42" t="str">
        <f>IFERROR(__xludf.DUMMYFUNCTION("""COMPUTED_VALUE"""),"")</f>
        <v/>
      </c>
      <c r="D11892" s="42"/>
      <c r="E11892" s="42"/>
      <c r="F11892" s="48" t="str">
        <f>IFERROR(__xludf.DUMMYFUNCTION("""COMPUTED_VALUE"""),"")</f>
        <v/>
      </c>
      <c r="G11892" s="42" t="str">
        <f>IFERROR(__xludf.DUMMYFUNCTION("""COMPUTED_VALUE"""),"")</f>
        <v/>
      </c>
      <c r="H11892" s="42">
        <f t="shared" si="1"/>
        <v>3345</v>
      </c>
    </row>
    <row r="11893" ht="22.5" customHeight="1">
      <c r="B11893" s="42" t="str">
        <f>IFERROR(__xludf.DUMMYFUNCTION("""COMPUTED_VALUE"""),"")</f>
        <v/>
      </c>
      <c r="C11893" s="42" t="str">
        <f>IFERROR(__xludf.DUMMYFUNCTION("""COMPUTED_VALUE"""),"")</f>
        <v/>
      </c>
      <c r="D11893" s="42"/>
      <c r="E11893" s="42"/>
      <c r="F11893" s="48" t="str">
        <f>IFERROR(__xludf.DUMMYFUNCTION("""COMPUTED_VALUE"""),"")</f>
        <v/>
      </c>
      <c r="G11893" s="42" t="str">
        <f>IFERROR(__xludf.DUMMYFUNCTION("""COMPUTED_VALUE"""),"")</f>
        <v/>
      </c>
      <c r="H11893" s="42">
        <f t="shared" si="1"/>
        <v>3345</v>
      </c>
    </row>
    <row r="11894" ht="22.5" customHeight="1">
      <c r="B11894" s="42" t="str">
        <f>IFERROR(__xludf.DUMMYFUNCTION("""COMPUTED_VALUE"""),"")</f>
        <v/>
      </c>
      <c r="C11894" s="42" t="str">
        <f>IFERROR(__xludf.DUMMYFUNCTION("""COMPUTED_VALUE"""),"")</f>
        <v/>
      </c>
      <c r="D11894" s="42"/>
      <c r="E11894" s="42"/>
      <c r="F11894" s="48" t="str">
        <f>IFERROR(__xludf.DUMMYFUNCTION("""COMPUTED_VALUE"""),"")</f>
        <v/>
      </c>
      <c r="G11894" s="42" t="str">
        <f>IFERROR(__xludf.DUMMYFUNCTION("""COMPUTED_VALUE"""),"")</f>
        <v/>
      </c>
      <c r="H11894" s="42">
        <f t="shared" si="1"/>
        <v>3345</v>
      </c>
    </row>
    <row r="11895" ht="22.5" customHeight="1">
      <c r="B11895" s="42" t="str">
        <f>IFERROR(__xludf.DUMMYFUNCTION("""COMPUTED_VALUE"""),"")</f>
        <v/>
      </c>
      <c r="C11895" s="42" t="str">
        <f>IFERROR(__xludf.DUMMYFUNCTION("""COMPUTED_VALUE"""),"")</f>
        <v/>
      </c>
      <c r="D11895" s="42"/>
      <c r="E11895" s="42"/>
      <c r="F11895" s="48" t="str">
        <f>IFERROR(__xludf.DUMMYFUNCTION("""COMPUTED_VALUE"""),"")</f>
        <v/>
      </c>
      <c r="G11895" s="42" t="str">
        <f>IFERROR(__xludf.DUMMYFUNCTION("""COMPUTED_VALUE"""),"")</f>
        <v/>
      </c>
      <c r="H11895" s="42">
        <f t="shared" si="1"/>
        <v>3345</v>
      </c>
    </row>
    <row r="11896" ht="22.5" customHeight="1">
      <c r="B11896" s="42" t="str">
        <f>IFERROR(__xludf.DUMMYFUNCTION("""COMPUTED_VALUE"""),"")</f>
        <v/>
      </c>
      <c r="C11896" s="42" t="str">
        <f>IFERROR(__xludf.DUMMYFUNCTION("""COMPUTED_VALUE"""),"")</f>
        <v/>
      </c>
      <c r="D11896" s="42"/>
      <c r="E11896" s="42"/>
      <c r="F11896" s="48" t="str">
        <f>IFERROR(__xludf.DUMMYFUNCTION("""COMPUTED_VALUE"""),"")</f>
        <v/>
      </c>
      <c r="G11896" s="42" t="str">
        <f>IFERROR(__xludf.DUMMYFUNCTION("""COMPUTED_VALUE"""),"")</f>
        <v/>
      </c>
      <c r="H11896" s="42">
        <f t="shared" si="1"/>
        <v>3345</v>
      </c>
    </row>
    <row r="11897" ht="22.5" customHeight="1">
      <c r="B11897" s="42" t="str">
        <f>IFERROR(__xludf.DUMMYFUNCTION("""COMPUTED_VALUE"""),"")</f>
        <v/>
      </c>
      <c r="C11897" s="42" t="str">
        <f>IFERROR(__xludf.DUMMYFUNCTION("""COMPUTED_VALUE"""),"")</f>
        <v/>
      </c>
      <c r="D11897" s="42"/>
      <c r="E11897" s="42"/>
      <c r="F11897" s="48" t="str">
        <f>IFERROR(__xludf.DUMMYFUNCTION("""COMPUTED_VALUE"""),"")</f>
        <v/>
      </c>
      <c r="G11897" s="42" t="str">
        <f>IFERROR(__xludf.DUMMYFUNCTION("""COMPUTED_VALUE"""),"")</f>
        <v/>
      </c>
      <c r="H11897" s="42">
        <f t="shared" si="1"/>
        <v>3345</v>
      </c>
    </row>
    <row r="11898" ht="22.5" customHeight="1">
      <c r="B11898" s="42" t="str">
        <f>IFERROR(__xludf.DUMMYFUNCTION("""COMPUTED_VALUE"""),"")</f>
        <v/>
      </c>
      <c r="C11898" s="42" t="str">
        <f>IFERROR(__xludf.DUMMYFUNCTION("""COMPUTED_VALUE"""),"")</f>
        <v/>
      </c>
      <c r="D11898" s="42"/>
      <c r="E11898" s="42"/>
      <c r="F11898" s="48" t="str">
        <f>IFERROR(__xludf.DUMMYFUNCTION("""COMPUTED_VALUE"""),"")</f>
        <v/>
      </c>
      <c r="G11898" s="42" t="str">
        <f>IFERROR(__xludf.DUMMYFUNCTION("""COMPUTED_VALUE"""),"")</f>
        <v/>
      </c>
      <c r="H11898" s="42">
        <f t="shared" si="1"/>
        <v>3345</v>
      </c>
    </row>
    <row r="11899" ht="22.5" customHeight="1">
      <c r="B11899" s="42" t="str">
        <f>IFERROR(__xludf.DUMMYFUNCTION("""COMPUTED_VALUE"""),"")</f>
        <v/>
      </c>
      <c r="C11899" s="42" t="str">
        <f>IFERROR(__xludf.DUMMYFUNCTION("""COMPUTED_VALUE"""),"")</f>
        <v/>
      </c>
      <c r="D11899" s="42"/>
      <c r="E11899" s="42"/>
      <c r="F11899" s="48" t="str">
        <f>IFERROR(__xludf.DUMMYFUNCTION("""COMPUTED_VALUE"""),"")</f>
        <v/>
      </c>
      <c r="G11899" s="42" t="str">
        <f>IFERROR(__xludf.DUMMYFUNCTION("""COMPUTED_VALUE"""),"")</f>
        <v/>
      </c>
      <c r="H11899" s="42">
        <f t="shared" si="1"/>
        <v>3345</v>
      </c>
    </row>
    <row r="11900" ht="22.5" customHeight="1">
      <c r="B11900" s="42" t="str">
        <f>IFERROR(__xludf.DUMMYFUNCTION("""COMPUTED_VALUE"""),"")</f>
        <v/>
      </c>
      <c r="C11900" s="42" t="str">
        <f>IFERROR(__xludf.DUMMYFUNCTION("""COMPUTED_VALUE"""),"")</f>
        <v/>
      </c>
      <c r="D11900" s="42"/>
      <c r="E11900" s="42"/>
      <c r="F11900" s="48" t="str">
        <f>IFERROR(__xludf.DUMMYFUNCTION("""COMPUTED_VALUE"""),"")</f>
        <v/>
      </c>
      <c r="G11900" s="42" t="str">
        <f>IFERROR(__xludf.DUMMYFUNCTION("""COMPUTED_VALUE"""),"")</f>
        <v/>
      </c>
      <c r="H11900" s="42">
        <f t="shared" si="1"/>
        <v>3345</v>
      </c>
    </row>
    <row r="11901" ht="22.5" customHeight="1">
      <c r="B11901" s="42" t="str">
        <f>IFERROR(__xludf.DUMMYFUNCTION("""COMPUTED_VALUE"""),"")</f>
        <v/>
      </c>
      <c r="C11901" s="42" t="str">
        <f>IFERROR(__xludf.DUMMYFUNCTION("""COMPUTED_VALUE"""),"")</f>
        <v/>
      </c>
      <c r="D11901" s="42"/>
      <c r="E11901" s="42"/>
      <c r="F11901" s="48" t="str">
        <f>IFERROR(__xludf.DUMMYFUNCTION("""COMPUTED_VALUE"""),"")</f>
        <v/>
      </c>
      <c r="G11901" s="42" t="str">
        <f>IFERROR(__xludf.DUMMYFUNCTION("""COMPUTED_VALUE"""),"")</f>
        <v/>
      </c>
      <c r="H11901" s="42">
        <f t="shared" si="1"/>
        <v>3345</v>
      </c>
    </row>
    <row r="11902" ht="22.5" customHeight="1">
      <c r="B11902" s="42" t="str">
        <f>IFERROR(__xludf.DUMMYFUNCTION("""COMPUTED_VALUE"""),"")</f>
        <v/>
      </c>
      <c r="C11902" s="42" t="str">
        <f>IFERROR(__xludf.DUMMYFUNCTION("""COMPUTED_VALUE"""),"")</f>
        <v/>
      </c>
      <c r="D11902" s="42"/>
      <c r="E11902" s="42"/>
      <c r="F11902" s="48" t="str">
        <f>IFERROR(__xludf.DUMMYFUNCTION("""COMPUTED_VALUE"""),"")</f>
        <v/>
      </c>
      <c r="G11902" s="42" t="str">
        <f>IFERROR(__xludf.DUMMYFUNCTION("""COMPUTED_VALUE"""),"")</f>
        <v/>
      </c>
      <c r="H11902" s="42">
        <f t="shared" si="1"/>
        <v>3345</v>
      </c>
    </row>
    <row r="11903" ht="22.5" customHeight="1">
      <c r="B11903" s="42" t="str">
        <f>IFERROR(__xludf.DUMMYFUNCTION("""COMPUTED_VALUE"""),"")</f>
        <v/>
      </c>
      <c r="C11903" s="42" t="str">
        <f>IFERROR(__xludf.DUMMYFUNCTION("""COMPUTED_VALUE"""),"")</f>
        <v/>
      </c>
      <c r="D11903" s="42"/>
      <c r="E11903" s="42"/>
      <c r="F11903" s="48" t="str">
        <f>IFERROR(__xludf.DUMMYFUNCTION("""COMPUTED_VALUE"""),"")</f>
        <v/>
      </c>
      <c r="G11903" s="42" t="str">
        <f>IFERROR(__xludf.DUMMYFUNCTION("""COMPUTED_VALUE"""),"")</f>
        <v/>
      </c>
      <c r="H11903" s="42">
        <f t="shared" si="1"/>
        <v>3345</v>
      </c>
    </row>
    <row r="11904" ht="22.5" customHeight="1">
      <c r="B11904" s="42" t="str">
        <f>IFERROR(__xludf.DUMMYFUNCTION("""COMPUTED_VALUE"""),"")</f>
        <v/>
      </c>
      <c r="C11904" s="42" t="str">
        <f>IFERROR(__xludf.DUMMYFUNCTION("""COMPUTED_VALUE"""),"")</f>
        <v/>
      </c>
      <c r="D11904" s="42"/>
      <c r="E11904" s="42"/>
      <c r="F11904" s="48" t="str">
        <f>IFERROR(__xludf.DUMMYFUNCTION("""COMPUTED_VALUE"""),"")</f>
        <v/>
      </c>
      <c r="G11904" s="42" t="str">
        <f>IFERROR(__xludf.DUMMYFUNCTION("""COMPUTED_VALUE"""),"")</f>
        <v/>
      </c>
      <c r="H11904" s="42">
        <f t="shared" si="1"/>
        <v>3345</v>
      </c>
    </row>
    <row r="11905" ht="22.5" customHeight="1">
      <c r="B11905" s="42" t="str">
        <f>IFERROR(__xludf.DUMMYFUNCTION("""COMPUTED_VALUE"""),"")</f>
        <v/>
      </c>
      <c r="C11905" s="42" t="str">
        <f>IFERROR(__xludf.DUMMYFUNCTION("""COMPUTED_VALUE"""),"")</f>
        <v/>
      </c>
      <c r="D11905" s="42"/>
      <c r="E11905" s="42"/>
      <c r="F11905" s="48" t="str">
        <f>IFERROR(__xludf.DUMMYFUNCTION("""COMPUTED_VALUE"""),"")</f>
        <v/>
      </c>
      <c r="G11905" s="42" t="str">
        <f>IFERROR(__xludf.DUMMYFUNCTION("""COMPUTED_VALUE"""),"")</f>
        <v/>
      </c>
      <c r="H11905" s="42">
        <f t="shared" si="1"/>
        <v>3345</v>
      </c>
    </row>
    <row r="11906" ht="22.5" customHeight="1">
      <c r="B11906" s="42" t="str">
        <f>IFERROR(__xludf.DUMMYFUNCTION("""COMPUTED_VALUE"""),"")</f>
        <v/>
      </c>
      <c r="C11906" s="42" t="str">
        <f>IFERROR(__xludf.DUMMYFUNCTION("""COMPUTED_VALUE"""),"")</f>
        <v/>
      </c>
      <c r="D11906" s="42"/>
      <c r="E11906" s="42"/>
      <c r="F11906" s="48" t="str">
        <f>IFERROR(__xludf.DUMMYFUNCTION("""COMPUTED_VALUE"""),"")</f>
        <v/>
      </c>
      <c r="G11906" s="42" t="str">
        <f>IFERROR(__xludf.DUMMYFUNCTION("""COMPUTED_VALUE"""),"")</f>
        <v/>
      </c>
      <c r="H11906" s="42">
        <f t="shared" si="1"/>
        <v>3345</v>
      </c>
    </row>
    <row r="11907" ht="22.5" customHeight="1">
      <c r="B11907" s="42" t="str">
        <f>IFERROR(__xludf.DUMMYFUNCTION("""COMPUTED_VALUE"""),"")</f>
        <v/>
      </c>
      <c r="C11907" s="42" t="str">
        <f>IFERROR(__xludf.DUMMYFUNCTION("""COMPUTED_VALUE"""),"")</f>
        <v/>
      </c>
      <c r="D11907" s="42"/>
      <c r="E11907" s="42"/>
      <c r="F11907" s="48" t="str">
        <f>IFERROR(__xludf.DUMMYFUNCTION("""COMPUTED_VALUE"""),"")</f>
        <v/>
      </c>
      <c r="G11907" s="42" t="str">
        <f>IFERROR(__xludf.DUMMYFUNCTION("""COMPUTED_VALUE"""),"")</f>
        <v/>
      </c>
      <c r="H11907" s="42">
        <f t="shared" si="1"/>
        <v>3345</v>
      </c>
    </row>
    <row r="11908" ht="22.5" customHeight="1">
      <c r="B11908" s="42" t="str">
        <f>IFERROR(__xludf.DUMMYFUNCTION("""COMPUTED_VALUE"""),"")</f>
        <v/>
      </c>
      <c r="C11908" s="42" t="str">
        <f>IFERROR(__xludf.DUMMYFUNCTION("""COMPUTED_VALUE"""),"")</f>
        <v/>
      </c>
      <c r="D11908" s="42"/>
      <c r="E11908" s="42"/>
      <c r="F11908" s="48" t="str">
        <f>IFERROR(__xludf.DUMMYFUNCTION("""COMPUTED_VALUE"""),"")</f>
        <v/>
      </c>
      <c r="G11908" s="42" t="str">
        <f>IFERROR(__xludf.DUMMYFUNCTION("""COMPUTED_VALUE"""),"")</f>
        <v/>
      </c>
      <c r="H11908" s="42">
        <f t="shared" si="1"/>
        <v>3345</v>
      </c>
    </row>
    <row r="11909" ht="22.5" customHeight="1">
      <c r="B11909" s="42" t="str">
        <f>IFERROR(__xludf.DUMMYFUNCTION("""COMPUTED_VALUE"""),"")</f>
        <v/>
      </c>
      <c r="C11909" s="42" t="str">
        <f>IFERROR(__xludf.DUMMYFUNCTION("""COMPUTED_VALUE"""),"")</f>
        <v/>
      </c>
      <c r="D11909" s="42"/>
      <c r="E11909" s="42"/>
      <c r="F11909" s="48" t="str">
        <f>IFERROR(__xludf.DUMMYFUNCTION("""COMPUTED_VALUE"""),"")</f>
        <v/>
      </c>
      <c r="G11909" s="42" t="str">
        <f>IFERROR(__xludf.DUMMYFUNCTION("""COMPUTED_VALUE"""),"")</f>
        <v/>
      </c>
      <c r="H11909" s="42">
        <f t="shared" si="1"/>
        <v>3345</v>
      </c>
    </row>
    <row r="11910" ht="22.5" customHeight="1">
      <c r="B11910" s="42" t="str">
        <f>IFERROR(__xludf.DUMMYFUNCTION("""COMPUTED_VALUE"""),"")</f>
        <v/>
      </c>
      <c r="C11910" s="42" t="str">
        <f>IFERROR(__xludf.DUMMYFUNCTION("""COMPUTED_VALUE"""),"")</f>
        <v/>
      </c>
      <c r="D11910" s="42"/>
      <c r="E11910" s="42"/>
      <c r="F11910" s="48" t="str">
        <f>IFERROR(__xludf.DUMMYFUNCTION("""COMPUTED_VALUE"""),"")</f>
        <v/>
      </c>
      <c r="G11910" s="42" t="str">
        <f>IFERROR(__xludf.DUMMYFUNCTION("""COMPUTED_VALUE"""),"")</f>
        <v/>
      </c>
      <c r="H11910" s="42">
        <f t="shared" si="1"/>
        <v>3345</v>
      </c>
    </row>
    <row r="11911" ht="22.5" customHeight="1">
      <c r="B11911" s="42" t="str">
        <f>IFERROR(__xludf.DUMMYFUNCTION("""COMPUTED_VALUE"""),"")</f>
        <v/>
      </c>
      <c r="C11911" s="42" t="str">
        <f>IFERROR(__xludf.DUMMYFUNCTION("""COMPUTED_VALUE"""),"")</f>
        <v/>
      </c>
      <c r="D11911" s="42"/>
      <c r="E11911" s="42"/>
      <c r="F11911" s="48" t="str">
        <f>IFERROR(__xludf.DUMMYFUNCTION("""COMPUTED_VALUE"""),"")</f>
        <v/>
      </c>
      <c r="G11911" s="42" t="str">
        <f>IFERROR(__xludf.DUMMYFUNCTION("""COMPUTED_VALUE"""),"")</f>
        <v/>
      </c>
      <c r="H11911" s="42">
        <f t="shared" si="1"/>
        <v>3345</v>
      </c>
    </row>
    <row r="11912" ht="22.5" customHeight="1">
      <c r="B11912" s="42" t="str">
        <f>IFERROR(__xludf.DUMMYFUNCTION("""COMPUTED_VALUE"""),"")</f>
        <v/>
      </c>
      <c r="C11912" s="42" t="str">
        <f>IFERROR(__xludf.DUMMYFUNCTION("""COMPUTED_VALUE"""),"")</f>
        <v/>
      </c>
      <c r="D11912" s="42"/>
      <c r="E11912" s="42"/>
      <c r="F11912" s="48" t="str">
        <f>IFERROR(__xludf.DUMMYFUNCTION("""COMPUTED_VALUE"""),"")</f>
        <v/>
      </c>
      <c r="G11912" s="42" t="str">
        <f>IFERROR(__xludf.DUMMYFUNCTION("""COMPUTED_VALUE"""),"")</f>
        <v/>
      </c>
      <c r="H11912" s="42">
        <f t="shared" si="1"/>
        <v>3345</v>
      </c>
    </row>
    <row r="11913" ht="22.5" customHeight="1">
      <c r="B11913" s="42" t="str">
        <f>IFERROR(__xludf.DUMMYFUNCTION("""COMPUTED_VALUE"""),"")</f>
        <v/>
      </c>
      <c r="C11913" s="42" t="str">
        <f>IFERROR(__xludf.DUMMYFUNCTION("""COMPUTED_VALUE"""),"")</f>
        <v/>
      </c>
      <c r="D11913" s="42"/>
      <c r="E11913" s="42"/>
      <c r="F11913" s="48" t="str">
        <f>IFERROR(__xludf.DUMMYFUNCTION("""COMPUTED_VALUE"""),"")</f>
        <v/>
      </c>
      <c r="G11913" s="42" t="str">
        <f>IFERROR(__xludf.DUMMYFUNCTION("""COMPUTED_VALUE"""),"")</f>
        <v/>
      </c>
      <c r="H11913" s="42">
        <f t="shared" si="1"/>
        <v>3345</v>
      </c>
    </row>
    <row r="11914" ht="22.5" customHeight="1">
      <c r="B11914" s="42" t="str">
        <f>IFERROR(__xludf.DUMMYFUNCTION("""COMPUTED_VALUE"""),"")</f>
        <v/>
      </c>
      <c r="C11914" s="42" t="str">
        <f>IFERROR(__xludf.DUMMYFUNCTION("""COMPUTED_VALUE"""),"")</f>
        <v/>
      </c>
      <c r="D11914" s="42"/>
      <c r="E11914" s="42"/>
      <c r="F11914" s="48" t="str">
        <f>IFERROR(__xludf.DUMMYFUNCTION("""COMPUTED_VALUE"""),"")</f>
        <v/>
      </c>
      <c r="G11914" s="42" t="str">
        <f>IFERROR(__xludf.DUMMYFUNCTION("""COMPUTED_VALUE"""),"")</f>
        <v/>
      </c>
      <c r="H11914" s="42">
        <f t="shared" si="1"/>
        <v>3345</v>
      </c>
    </row>
    <row r="11915" ht="22.5" customHeight="1">
      <c r="B11915" s="42" t="str">
        <f>IFERROR(__xludf.DUMMYFUNCTION("""COMPUTED_VALUE"""),"")</f>
        <v/>
      </c>
      <c r="C11915" s="42" t="str">
        <f>IFERROR(__xludf.DUMMYFUNCTION("""COMPUTED_VALUE"""),"")</f>
        <v/>
      </c>
      <c r="D11915" s="42"/>
      <c r="E11915" s="42"/>
      <c r="F11915" s="48" t="str">
        <f>IFERROR(__xludf.DUMMYFUNCTION("""COMPUTED_VALUE"""),"")</f>
        <v/>
      </c>
      <c r="G11915" s="42" t="str">
        <f>IFERROR(__xludf.DUMMYFUNCTION("""COMPUTED_VALUE"""),"")</f>
        <v/>
      </c>
      <c r="H11915" s="42">
        <f t="shared" si="1"/>
        <v>3345</v>
      </c>
    </row>
    <row r="11916" ht="22.5" customHeight="1">
      <c r="B11916" s="42" t="str">
        <f>IFERROR(__xludf.DUMMYFUNCTION("""COMPUTED_VALUE"""),"")</f>
        <v/>
      </c>
      <c r="C11916" s="42" t="str">
        <f>IFERROR(__xludf.DUMMYFUNCTION("""COMPUTED_VALUE"""),"")</f>
        <v/>
      </c>
      <c r="D11916" s="42"/>
      <c r="E11916" s="42"/>
      <c r="F11916" s="48" t="str">
        <f>IFERROR(__xludf.DUMMYFUNCTION("""COMPUTED_VALUE"""),"")</f>
        <v/>
      </c>
      <c r="G11916" s="42" t="str">
        <f>IFERROR(__xludf.DUMMYFUNCTION("""COMPUTED_VALUE"""),"")</f>
        <v/>
      </c>
      <c r="H11916" s="42">
        <f t="shared" si="1"/>
        <v>3345</v>
      </c>
    </row>
    <row r="11917" ht="22.5" customHeight="1">
      <c r="B11917" s="42" t="str">
        <f>IFERROR(__xludf.DUMMYFUNCTION("""COMPUTED_VALUE"""),"")</f>
        <v/>
      </c>
      <c r="C11917" s="42" t="str">
        <f>IFERROR(__xludf.DUMMYFUNCTION("""COMPUTED_VALUE"""),"")</f>
        <v/>
      </c>
      <c r="D11917" s="42"/>
      <c r="E11917" s="42"/>
      <c r="F11917" s="48" t="str">
        <f>IFERROR(__xludf.DUMMYFUNCTION("""COMPUTED_VALUE"""),"")</f>
        <v/>
      </c>
      <c r="G11917" s="42" t="str">
        <f>IFERROR(__xludf.DUMMYFUNCTION("""COMPUTED_VALUE"""),"")</f>
        <v/>
      </c>
      <c r="H11917" s="42">
        <f t="shared" si="1"/>
        <v>3345</v>
      </c>
    </row>
    <row r="11918" ht="22.5" customHeight="1">
      <c r="B11918" s="42" t="str">
        <f>IFERROR(__xludf.DUMMYFUNCTION("""COMPUTED_VALUE"""),"")</f>
        <v/>
      </c>
      <c r="C11918" s="42" t="str">
        <f>IFERROR(__xludf.DUMMYFUNCTION("""COMPUTED_VALUE"""),"")</f>
        <v/>
      </c>
      <c r="D11918" s="42"/>
      <c r="E11918" s="42"/>
      <c r="F11918" s="48" t="str">
        <f>IFERROR(__xludf.DUMMYFUNCTION("""COMPUTED_VALUE"""),"")</f>
        <v/>
      </c>
      <c r="G11918" s="42" t="str">
        <f>IFERROR(__xludf.DUMMYFUNCTION("""COMPUTED_VALUE"""),"")</f>
        <v/>
      </c>
      <c r="H11918" s="42">
        <f t="shared" si="1"/>
        <v>3345</v>
      </c>
    </row>
    <row r="11919" ht="22.5" customHeight="1">
      <c r="B11919" s="42" t="str">
        <f>IFERROR(__xludf.DUMMYFUNCTION("""COMPUTED_VALUE"""),"")</f>
        <v/>
      </c>
      <c r="C11919" s="42" t="str">
        <f>IFERROR(__xludf.DUMMYFUNCTION("""COMPUTED_VALUE"""),"")</f>
        <v/>
      </c>
      <c r="D11919" s="42"/>
      <c r="E11919" s="42"/>
      <c r="F11919" s="48" t="str">
        <f>IFERROR(__xludf.DUMMYFUNCTION("""COMPUTED_VALUE"""),"")</f>
        <v/>
      </c>
      <c r="G11919" s="42" t="str">
        <f>IFERROR(__xludf.DUMMYFUNCTION("""COMPUTED_VALUE"""),"")</f>
        <v/>
      </c>
      <c r="H11919" s="42">
        <f t="shared" si="1"/>
        <v>3345</v>
      </c>
    </row>
    <row r="11920" ht="22.5" customHeight="1">
      <c r="B11920" s="42" t="str">
        <f>IFERROR(__xludf.DUMMYFUNCTION("""COMPUTED_VALUE"""),"")</f>
        <v/>
      </c>
      <c r="C11920" s="42" t="str">
        <f>IFERROR(__xludf.DUMMYFUNCTION("""COMPUTED_VALUE"""),"")</f>
        <v/>
      </c>
      <c r="D11920" s="42"/>
      <c r="E11920" s="42"/>
      <c r="F11920" s="48" t="str">
        <f>IFERROR(__xludf.DUMMYFUNCTION("""COMPUTED_VALUE"""),"")</f>
        <v/>
      </c>
      <c r="G11920" s="42" t="str">
        <f>IFERROR(__xludf.DUMMYFUNCTION("""COMPUTED_VALUE"""),"")</f>
        <v/>
      </c>
      <c r="H11920" s="42">
        <f t="shared" si="1"/>
        <v>3345</v>
      </c>
    </row>
    <row r="11921" ht="22.5" customHeight="1">
      <c r="B11921" s="42" t="str">
        <f>IFERROR(__xludf.DUMMYFUNCTION("""COMPUTED_VALUE"""),"")</f>
        <v/>
      </c>
      <c r="C11921" s="42" t="str">
        <f>IFERROR(__xludf.DUMMYFUNCTION("""COMPUTED_VALUE"""),"")</f>
        <v/>
      </c>
      <c r="D11921" s="42"/>
      <c r="E11921" s="42"/>
      <c r="F11921" s="48" t="str">
        <f>IFERROR(__xludf.DUMMYFUNCTION("""COMPUTED_VALUE"""),"")</f>
        <v/>
      </c>
      <c r="G11921" s="42" t="str">
        <f>IFERROR(__xludf.DUMMYFUNCTION("""COMPUTED_VALUE"""),"")</f>
        <v/>
      </c>
      <c r="H11921" s="42">
        <f t="shared" si="1"/>
        <v>3345</v>
      </c>
    </row>
    <row r="11922" ht="22.5" customHeight="1">
      <c r="B11922" s="42" t="str">
        <f>IFERROR(__xludf.DUMMYFUNCTION("""COMPUTED_VALUE"""),"")</f>
        <v/>
      </c>
      <c r="C11922" s="42" t="str">
        <f>IFERROR(__xludf.DUMMYFUNCTION("""COMPUTED_VALUE"""),"")</f>
        <v/>
      </c>
      <c r="D11922" s="42"/>
      <c r="E11922" s="42"/>
      <c r="F11922" s="48" t="str">
        <f>IFERROR(__xludf.DUMMYFUNCTION("""COMPUTED_VALUE"""),"")</f>
        <v/>
      </c>
      <c r="G11922" s="42" t="str">
        <f>IFERROR(__xludf.DUMMYFUNCTION("""COMPUTED_VALUE"""),"")</f>
        <v/>
      </c>
      <c r="H11922" s="42">
        <f t="shared" si="1"/>
        <v>3345</v>
      </c>
    </row>
    <row r="11923" ht="22.5" customHeight="1">
      <c r="B11923" s="42" t="str">
        <f>IFERROR(__xludf.DUMMYFUNCTION("""COMPUTED_VALUE"""),"")</f>
        <v/>
      </c>
      <c r="C11923" s="42" t="str">
        <f>IFERROR(__xludf.DUMMYFUNCTION("""COMPUTED_VALUE"""),"")</f>
        <v/>
      </c>
      <c r="D11923" s="42"/>
      <c r="E11923" s="42"/>
      <c r="F11923" s="48" t="str">
        <f>IFERROR(__xludf.DUMMYFUNCTION("""COMPUTED_VALUE"""),"")</f>
        <v/>
      </c>
      <c r="G11923" s="42" t="str">
        <f>IFERROR(__xludf.DUMMYFUNCTION("""COMPUTED_VALUE"""),"")</f>
        <v/>
      </c>
      <c r="H11923" s="42">
        <f t="shared" si="1"/>
        <v>3345</v>
      </c>
    </row>
    <row r="11924" ht="22.5" customHeight="1">
      <c r="B11924" s="42" t="str">
        <f>IFERROR(__xludf.DUMMYFUNCTION("""COMPUTED_VALUE"""),"")</f>
        <v/>
      </c>
      <c r="C11924" s="42" t="str">
        <f>IFERROR(__xludf.DUMMYFUNCTION("""COMPUTED_VALUE"""),"")</f>
        <v/>
      </c>
      <c r="D11924" s="42"/>
      <c r="E11924" s="42"/>
      <c r="F11924" s="48" t="str">
        <f>IFERROR(__xludf.DUMMYFUNCTION("""COMPUTED_VALUE"""),"")</f>
        <v/>
      </c>
      <c r="G11924" s="42" t="str">
        <f>IFERROR(__xludf.DUMMYFUNCTION("""COMPUTED_VALUE"""),"")</f>
        <v/>
      </c>
      <c r="H11924" s="42">
        <f t="shared" si="1"/>
        <v>3345</v>
      </c>
    </row>
    <row r="11925" ht="22.5" customHeight="1">
      <c r="B11925" s="42" t="str">
        <f>IFERROR(__xludf.DUMMYFUNCTION("""COMPUTED_VALUE"""),"")</f>
        <v/>
      </c>
      <c r="C11925" s="42" t="str">
        <f>IFERROR(__xludf.DUMMYFUNCTION("""COMPUTED_VALUE"""),"")</f>
        <v/>
      </c>
      <c r="D11925" s="42"/>
      <c r="E11925" s="42"/>
      <c r="F11925" s="48" t="str">
        <f>IFERROR(__xludf.DUMMYFUNCTION("""COMPUTED_VALUE"""),"")</f>
        <v/>
      </c>
      <c r="G11925" s="42" t="str">
        <f>IFERROR(__xludf.DUMMYFUNCTION("""COMPUTED_VALUE"""),"")</f>
        <v/>
      </c>
      <c r="H11925" s="42">
        <f t="shared" si="1"/>
        <v>3345</v>
      </c>
    </row>
    <row r="11926" ht="22.5" customHeight="1">
      <c r="B11926" s="42" t="str">
        <f>IFERROR(__xludf.DUMMYFUNCTION("""COMPUTED_VALUE"""),"")</f>
        <v/>
      </c>
      <c r="C11926" s="42" t="str">
        <f>IFERROR(__xludf.DUMMYFUNCTION("""COMPUTED_VALUE"""),"")</f>
        <v/>
      </c>
      <c r="D11926" s="42"/>
      <c r="E11926" s="42"/>
      <c r="F11926" s="48" t="str">
        <f>IFERROR(__xludf.DUMMYFUNCTION("""COMPUTED_VALUE"""),"")</f>
        <v/>
      </c>
      <c r="G11926" s="42" t="str">
        <f>IFERROR(__xludf.DUMMYFUNCTION("""COMPUTED_VALUE"""),"")</f>
        <v/>
      </c>
      <c r="H11926" s="42">
        <f t="shared" si="1"/>
        <v>3345</v>
      </c>
    </row>
    <row r="11927" ht="22.5" customHeight="1">
      <c r="B11927" s="42" t="str">
        <f>IFERROR(__xludf.DUMMYFUNCTION("""COMPUTED_VALUE"""),"")</f>
        <v/>
      </c>
      <c r="C11927" s="42" t="str">
        <f>IFERROR(__xludf.DUMMYFUNCTION("""COMPUTED_VALUE"""),"")</f>
        <v/>
      </c>
      <c r="D11927" s="42"/>
      <c r="E11927" s="42"/>
      <c r="F11927" s="48" t="str">
        <f>IFERROR(__xludf.DUMMYFUNCTION("""COMPUTED_VALUE"""),"")</f>
        <v/>
      </c>
      <c r="G11927" s="42" t="str">
        <f>IFERROR(__xludf.DUMMYFUNCTION("""COMPUTED_VALUE"""),"")</f>
        <v/>
      </c>
      <c r="H11927" s="42">
        <f t="shared" si="1"/>
        <v>3345</v>
      </c>
    </row>
    <row r="11928" ht="22.5" customHeight="1">
      <c r="B11928" s="42" t="str">
        <f>IFERROR(__xludf.DUMMYFUNCTION("""COMPUTED_VALUE"""),"")</f>
        <v/>
      </c>
      <c r="C11928" s="42" t="str">
        <f>IFERROR(__xludf.DUMMYFUNCTION("""COMPUTED_VALUE"""),"")</f>
        <v/>
      </c>
      <c r="D11928" s="42"/>
      <c r="E11928" s="42"/>
      <c r="F11928" s="48" t="str">
        <f>IFERROR(__xludf.DUMMYFUNCTION("""COMPUTED_VALUE"""),"")</f>
        <v/>
      </c>
      <c r="G11928" s="42" t="str">
        <f>IFERROR(__xludf.DUMMYFUNCTION("""COMPUTED_VALUE"""),"")</f>
        <v/>
      </c>
      <c r="H11928" s="42">
        <f t="shared" si="1"/>
        <v>3345</v>
      </c>
    </row>
    <row r="11929" ht="22.5" customHeight="1">
      <c r="B11929" s="42" t="str">
        <f>IFERROR(__xludf.DUMMYFUNCTION("""COMPUTED_VALUE"""),"")</f>
        <v/>
      </c>
      <c r="C11929" s="42" t="str">
        <f>IFERROR(__xludf.DUMMYFUNCTION("""COMPUTED_VALUE"""),"")</f>
        <v/>
      </c>
      <c r="D11929" s="42"/>
      <c r="E11929" s="42"/>
      <c r="F11929" s="48" t="str">
        <f>IFERROR(__xludf.DUMMYFUNCTION("""COMPUTED_VALUE"""),"")</f>
        <v/>
      </c>
      <c r="G11929" s="42" t="str">
        <f>IFERROR(__xludf.DUMMYFUNCTION("""COMPUTED_VALUE"""),"")</f>
        <v/>
      </c>
      <c r="H11929" s="42">
        <f t="shared" si="1"/>
        <v>3345</v>
      </c>
    </row>
    <row r="11930" ht="22.5" customHeight="1">
      <c r="B11930" s="42" t="str">
        <f>IFERROR(__xludf.DUMMYFUNCTION("""COMPUTED_VALUE"""),"")</f>
        <v/>
      </c>
      <c r="C11930" s="42" t="str">
        <f>IFERROR(__xludf.DUMMYFUNCTION("""COMPUTED_VALUE"""),"")</f>
        <v/>
      </c>
      <c r="D11930" s="42"/>
      <c r="E11930" s="42"/>
      <c r="F11930" s="48" t="str">
        <f>IFERROR(__xludf.DUMMYFUNCTION("""COMPUTED_VALUE"""),"")</f>
        <v/>
      </c>
      <c r="G11930" s="42" t="str">
        <f>IFERROR(__xludf.DUMMYFUNCTION("""COMPUTED_VALUE"""),"")</f>
        <v/>
      </c>
      <c r="H11930" s="42">
        <f t="shared" si="1"/>
        <v>3345</v>
      </c>
    </row>
    <row r="11931" ht="22.5" customHeight="1">
      <c r="B11931" s="42" t="str">
        <f>IFERROR(__xludf.DUMMYFUNCTION("""COMPUTED_VALUE"""),"")</f>
        <v/>
      </c>
      <c r="C11931" s="42" t="str">
        <f>IFERROR(__xludf.DUMMYFUNCTION("""COMPUTED_VALUE"""),"")</f>
        <v/>
      </c>
      <c r="D11931" s="42"/>
      <c r="E11931" s="42"/>
      <c r="F11931" s="48" t="str">
        <f>IFERROR(__xludf.DUMMYFUNCTION("""COMPUTED_VALUE"""),"")</f>
        <v/>
      </c>
      <c r="G11931" s="42" t="str">
        <f>IFERROR(__xludf.DUMMYFUNCTION("""COMPUTED_VALUE"""),"")</f>
        <v/>
      </c>
      <c r="H11931" s="42">
        <f t="shared" si="1"/>
        <v>3345</v>
      </c>
    </row>
    <row r="11932" ht="22.5" customHeight="1">
      <c r="B11932" s="42" t="str">
        <f>IFERROR(__xludf.DUMMYFUNCTION("""COMPUTED_VALUE"""),"")</f>
        <v/>
      </c>
      <c r="C11932" s="42" t="str">
        <f>IFERROR(__xludf.DUMMYFUNCTION("""COMPUTED_VALUE"""),"")</f>
        <v/>
      </c>
      <c r="D11932" s="42"/>
      <c r="E11932" s="42"/>
      <c r="F11932" s="48" t="str">
        <f>IFERROR(__xludf.DUMMYFUNCTION("""COMPUTED_VALUE"""),"")</f>
        <v/>
      </c>
      <c r="G11932" s="42" t="str">
        <f>IFERROR(__xludf.DUMMYFUNCTION("""COMPUTED_VALUE"""),"")</f>
        <v/>
      </c>
      <c r="H11932" s="42">
        <f t="shared" si="1"/>
        <v>3345</v>
      </c>
    </row>
    <row r="11933" ht="22.5" customHeight="1">
      <c r="B11933" s="42" t="str">
        <f>IFERROR(__xludf.DUMMYFUNCTION("""COMPUTED_VALUE"""),"")</f>
        <v/>
      </c>
      <c r="C11933" s="42" t="str">
        <f>IFERROR(__xludf.DUMMYFUNCTION("""COMPUTED_VALUE"""),"")</f>
        <v/>
      </c>
      <c r="D11933" s="42"/>
      <c r="E11933" s="42"/>
      <c r="F11933" s="48" t="str">
        <f>IFERROR(__xludf.DUMMYFUNCTION("""COMPUTED_VALUE"""),"")</f>
        <v/>
      </c>
      <c r="G11933" s="42" t="str">
        <f>IFERROR(__xludf.DUMMYFUNCTION("""COMPUTED_VALUE"""),"")</f>
        <v/>
      </c>
      <c r="H11933" s="42">
        <f t="shared" si="1"/>
        <v>3345</v>
      </c>
    </row>
    <row r="11934" ht="22.5" customHeight="1">
      <c r="B11934" s="42" t="str">
        <f>IFERROR(__xludf.DUMMYFUNCTION("""COMPUTED_VALUE"""),"")</f>
        <v/>
      </c>
      <c r="C11934" s="42" t="str">
        <f>IFERROR(__xludf.DUMMYFUNCTION("""COMPUTED_VALUE"""),"")</f>
        <v/>
      </c>
      <c r="D11934" s="42"/>
      <c r="E11934" s="42"/>
      <c r="F11934" s="48" t="str">
        <f>IFERROR(__xludf.DUMMYFUNCTION("""COMPUTED_VALUE"""),"")</f>
        <v/>
      </c>
      <c r="G11934" s="42" t="str">
        <f>IFERROR(__xludf.DUMMYFUNCTION("""COMPUTED_VALUE"""),"")</f>
        <v/>
      </c>
      <c r="H11934" s="42">
        <f t="shared" si="1"/>
        <v>3345</v>
      </c>
    </row>
    <row r="11935" ht="22.5" customHeight="1">
      <c r="B11935" s="42" t="str">
        <f>IFERROR(__xludf.DUMMYFUNCTION("""COMPUTED_VALUE"""),"")</f>
        <v/>
      </c>
      <c r="C11935" s="42" t="str">
        <f>IFERROR(__xludf.DUMMYFUNCTION("""COMPUTED_VALUE"""),"")</f>
        <v/>
      </c>
      <c r="D11935" s="42"/>
      <c r="E11935" s="42"/>
      <c r="F11935" s="48" t="str">
        <f>IFERROR(__xludf.DUMMYFUNCTION("""COMPUTED_VALUE"""),"")</f>
        <v/>
      </c>
      <c r="G11935" s="42" t="str">
        <f>IFERROR(__xludf.DUMMYFUNCTION("""COMPUTED_VALUE"""),"")</f>
        <v/>
      </c>
      <c r="H11935" s="42">
        <f t="shared" si="1"/>
        <v>3345</v>
      </c>
    </row>
    <row r="11936" ht="22.5" customHeight="1">
      <c r="B11936" s="42" t="str">
        <f>IFERROR(__xludf.DUMMYFUNCTION("""COMPUTED_VALUE"""),"")</f>
        <v/>
      </c>
      <c r="C11936" s="42" t="str">
        <f>IFERROR(__xludf.DUMMYFUNCTION("""COMPUTED_VALUE"""),"")</f>
        <v/>
      </c>
      <c r="D11936" s="42"/>
      <c r="E11936" s="42"/>
      <c r="F11936" s="48" t="str">
        <f>IFERROR(__xludf.DUMMYFUNCTION("""COMPUTED_VALUE"""),"")</f>
        <v/>
      </c>
      <c r="G11936" s="42" t="str">
        <f>IFERROR(__xludf.DUMMYFUNCTION("""COMPUTED_VALUE"""),"")</f>
        <v/>
      </c>
      <c r="H11936" s="42">
        <f t="shared" si="1"/>
        <v>3345</v>
      </c>
    </row>
    <row r="11937" ht="22.5" customHeight="1">
      <c r="B11937" s="42" t="str">
        <f>IFERROR(__xludf.DUMMYFUNCTION("""COMPUTED_VALUE"""),"")</f>
        <v/>
      </c>
      <c r="C11937" s="42" t="str">
        <f>IFERROR(__xludf.DUMMYFUNCTION("""COMPUTED_VALUE"""),"")</f>
        <v/>
      </c>
      <c r="D11937" s="42"/>
      <c r="E11937" s="42"/>
      <c r="F11937" s="48" t="str">
        <f>IFERROR(__xludf.DUMMYFUNCTION("""COMPUTED_VALUE"""),"")</f>
        <v/>
      </c>
      <c r="G11937" s="42" t="str">
        <f>IFERROR(__xludf.DUMMYFUNCTION("""COMPUTED_VALUE"""),"")</f>
        <v/>
      </c>
      <c r="H11937" s="42">
        <f t="shared" si="1"/>
        <v>3345</v>
      </c>
    </row>
    <row r="11938" ht="22.5" customHeight="1">
      <c r="B11938" s="42" t="str">
        <f>IFERROR(__xludf.DUMMYFUNCTION("""COMPUTED_VALUE"""),"")</f>
        <v/>
      </c>
      <c r="C11938" s="42" t="str">
        <f>IFERROR(__xludf.DUMMYFUNCTION("""COMPUTED_VALUE"""),"")</f>
        <v/>
      </c>
      <c r="D11938" s="42"/>
      <c r="E11938" s="42"/>
      <c r="F11938" s="48" t="str">
        <f>IFERROR(__xludf.DUMMYFUNCTION("""COMPUTED_VALUE"""),"")</f>
        <v/>
      </c>
      <c r="G11938" s="42" t="str">
        <f>IFERROR(__xludf.DUMMYFUNCTION("""COMPUTED_VALUE"""),"")</f>
        <v/>
      </c>
      <c r="H11938" s="42">
        <f t="shared" si="1"/>
        <v>3345</v>
      </c>
    </row>
    <row r="11939" ht="22.5" customHeight="1">
      <c r="B11939" s="42" t="str">
        <f>IFERROR(__xludf.DUMMYFUNCTION("""COMPUTED_VALUE"""),"")</f>
        <v/>
      </c>
      <c r="C11939" s="42" t="str">
        <f>IFERROR(__xludf.DUMMYFUNCTION("""COMPUTED_VALUE"""),"")</f>
        <v/>
      </c>
      <c r="D11939" s="42"/>
      <c r="E11939" s="42"/>
      <c r="F11939" s="48" t="str">
        <f>IFERROR(__xludf.DUMMYFUNCTION("""COMPUTED_VALUE"""),"")</f>
        <v/>
      </c>
      <c r="G11939" s="42" t="str">
        <f>IFERROR(__xludf.DUMMYFUNCTION("""COMPUTED_VALUE"""),"")</f>
        <v/>
      </c>
      <c r="H11939" s="42">
        <f t="shared" si="1"/>
        <v>3345</v>
      </c>
    </row>
    <row r="11940" ht="22.5" customHeight="1">
      <c r="B11940" s="42" t="str">
        <f>IFERROR(__xludf.DUMMYFUNCTION("""COMPUTED_VALUE"""),"")</f>
        <v/>
      </c>
      <c r="C11940" s="42" t="str">
        <f>IFERROR(__xludf.DUMMYFUNCTION("""COMPUTED_VALUE"""),"")</f>
        <v/>
      </c>
      <c r="D11940" s="42"/>
      <c r="E11940" s="42"/>
      <c r="F11940" s="48" t="str">
        <f>IFERROR(__xludf.DUMMYFUNCTION("""COMPUTED_VALUE"""),"")</f>
        <v/>
      </c>
      <c r="G11940" s="42" t="str">
        <f>IFERROR(__xludf.DUMMYFUNCTION("""COMPUTED_VALUE"""),"")</f>
        <v/>
      </c>
      <c r="H11940" s="42">
        <f t="shared" si="1"/>
        <v>3345</v>
      </c>
    </row>
    <row r="11941" ht="22.5" customHeight="1">
      <c r="B11941" s="42" t="str">
        <f>IFERROR(__xludf.DUMMYFUNCTION("""COMPUTED_VALUE"""),"")</f>
        <v/>
      </c>
      <c r="C11941" s="42" t="str">
        <f>IFERROR(__xludf.DUMMYFUNCTION("""COMPUTED_VALUE"""),"")</f>
        <v/>
      </c>
      <c r="D11941" s="42"/>
      <c r="E11941" s="42"/>
      <c r="F11941" s="48" t="str">
        <f>IFERROR(__xludf.DUMMYFUNCTION("""COMPUTED_VALUE"""),"")</f>
        <v/>
      </c>
      <c r="G11941" s="42" t="str">
        <f>IFERROR(__xludf.DUMMYFUNCTION("""COMPUTED_VALUE"""),"")</f>
        <v/>
      </c>
      <c r="H11941" s="42">
        <f t="shared" si="1"/>
        <v>3345</v>
      </c>
    </row>
    <row r="11942" ht="22.5" customHeight="1">
      <c r="B11942" s="42" t="str">
        <f>IFERROR(__xludf.DUMMYFUNCTION("""COMPUTED_VALUE"""),"")</f>
        <v/>
      </c>
      <c r="C11942" s="42" t="str">
        <f>IFERROR(__xludf.DUMMYFUNCTION("""COMPUTED_VALUE"""),"")</f>
        <v/>
      </c>
      <c r="D11942" s="42"/>
      <c r="E11942" s="42"/>
      <c r="F11942" s="48" t="str">
        <f>IFERROR(__xludf.DUMMYFUNCTION("""COMPUTED_VALUE"""),"")</f>
        <v/>
      </c>
      <c r="G11942" s="42" t="str">
        <f>IFERROR(__xludf.DUMMYFUNCTION("""COMPUTED_VALUE"""),"")</f>
        <v/>
      </c>
      <c r="H11942" s="42">
        <f t="shared" si="1"/>
        <v>3345</v>
      </c>
    </row>
    <row r="11943" ht="22.5" customHeight="1">
      <c r="B11943" s="42" t="str">
        <f>IFERROR(__xludf.DUMMYFUNCTION("""COMPUTED_VALUE"""),"")</f>
        <v/>
      </c>
      <c r="C11943" s="42" t="str">
        <f>IFERROR(__xludf.DUMMYFUNCTION("""COMPUTED_VALUE"""),"")</f>
        <v/>
      </c>
      <c r="D11943" s="42"/>
      <c r="E11943" s="42"/>
      <c r="F11943" s="48" t="str">
        <f>IFERROR(__xludf.DUMMYFUNCTION("""COMPUTED_VALUE"""),"")</f>
        <v/>
      </c>
      <c r="G11943" s="42" t="str">
        <f>IFERROR(__xludf.DUMMYFUNCTION("""COMPUTED_VALUE"""),"")</f>
        <v/>
      </c>
      <c r="H11943" s="42">
        <f t="shared" si="1"/>
        <v>3345</v>
      </c>
    </row>
    <row r="11944" ht="22.5" customHeight="1">
      <c r="B11944" s="42" t="str">
        <f>IFERROR(__xludf.DUMMYFUNCTION("""COMPUTED_VALUE"""),"")</f>
        <v/>
      </c>
      <c r="C11944" s="42" t="str">
        <f>IFERROR(__xludf.DUMMYFUNCTION("""COMPUTED_VALUE"""),"")</f>
        <v/>
      </c>
      <c r="D11944" s="42"/>
      <c r="E11944" s="42"/>
      <c r="F11944" s="48" t="str">
        <f>IFERROR(__xludf.DUMMYFUNCTION("""COMPUTED_VALUE"""),"")</f>
        <v/>
      </c>
      <c r="G11944" s="42" t="str">
        <f>IFERROR(__xludf.DUMMYFUNCTION("""COMPUTED_VALUE"""),"")</f>
        <v/>
      </c>
      <c r="H11944" s="42">
        <f t="shared" si="1"/>
        <v>3345</v>
      </c>
    </row>
    <row r="11945" ht="22.5" customHeight="1">
      <c r="B11945" s="42" t="str">
        <f>IFERROR(__xludf.DUMMYFUNCTION("""COMPUTED_VALUE"""),"")</f>
        <v/>
      </c>
      <c r="C11945" s="42" t="str">
        <f>IFERROR(__xludf.DUMMYFUNCTION("""COMPUTED_VALUE"""),"")</f>
        <v/>
      </c>
      <c r="D11945" s="42"/>
      <c r="E11945" s="42"/>
      <c r="F11945" s="48" t="str">
        <f>IFERROR(__xludf.DUMMYFUNCTION("""COMPUTED_VALUE"""),"")</f>
        <v/>
      </c>
      <c r="G11945" s="42" t="str">
        <f>IFERROR(__xludf.DUMMYFUNCTION("""COMPUTED_VALUE"""),"")</f>
        <v/>
      </c>
      <c r="H11945" s="42">
        <f t="shared" si="1"/>
        <v>3345</v>
      </c>
    </row>
    <row r="11946" ht="22.5" customHeight="1">
      <c r="B11946" s="42" t="str">
        <f>IFERROR(__xludf.DUMMYFUNCTION("""COMPUTED_VALUE"""),"")</f>
        <v/>
      </c>
      <c r="C11946" s="42" t="str">
        <f>IFERROR(__xludf.DUMMYFUNCTION("""COMPUTED_VALUE"""),"")</f>
        <v/>
      </c>
      <c r="D11946" s="42"/>
      <c r="E11946" s="42"/>
      <c r="F11946" s="48" t="str">
        <f>IFERROR(__xludf.DUMMYFUNCTION("""COMPUTED_VALUE"""),"")</f>
        <v/>
      </c>
      <c r="G11946" s="42" t="str">
        <f>IFERROR(__xludf.DUMMYFUNCTION("""COMPUTED_VALUE"""),"")</f>
        <v/>
      </c>
      <c r="H11946" s="42">
        <f t="shared" si="1"/>
        <v>3345</v>
      </c>
    </row>
    <row r="11947" ht="22.5" customHeight="1">
      <c r="B11947" s="42" t="str">
        <f>IFERROR(__xludf.DUMMYFUNCTION("""COMPUTED_VALUE"""),"")</f>
        <v/>
      </c>
      <c r="C11947" s="42" t="str">
        <f>IFERROR(__xludf.DUMMYFUNCTION("""COMPUTED_VALUE"""),"")</f>
        <v/>
      </c>
      <c r="D11947" s="42"/>
      <c r="E11947" s="42"/>
      <c r="F11947" s="48" t="str">
        <f>IFERROR(__xludf.DUMMYFUNCTION("""COMPUTED_VALUE"""),"")</f>
        <v/>
      </c>
      <c r="G11947" s="42" t="str">
        <f>IFERROR(__xludf.DUMMYFUNCTION("""COMPUTED_VALUE"""),"")</f>
        <v/>
      </c>
      <c r="H11947" s="42">
        <f t="shared" si="1"/>
        <v>3345</v>
      </c>
    </row>
    <row r="11948" ht="22.5" customHeight="1">
      <c r="B11948" s="42" t="str">
        <f>IFERROR(__xludf.DUMMYFUNCTION("""COMPUTED_VALUE"""),"")</f>
        <v/>
      </c>
      <c r="C11948" s="42" t="str">
        <f>IFERROR(__xludf.DUMMYFUNCTION("""COMPUTED_VALUE"""),"")</f>
        <v/>
      </c>
      <c r="D11948" s="42"/>
      <c r="E11948" s="42"/>
      <c r="F11948" s="48" t="str">
        <f>IFERROR(__xludf.DUMMYFUNCTION("""COMPUTED_VALUE"""),"")</f>
        <v/>
      </c>
      <c r="G11948" s="42" t="str">
        <f>IFERROR(__xludf.DUMMYFUNCTION("""COMPUTED_VALUE"""),"")</f>
        <v/>
      </c>
      <c r="H11948" s="42">
        <f t="shared" si="1"/>
        <v>3345</v>
      </c>
    </row>
    <row r="11949" ht="22.5" customHeight="1">
      <c r="B11949" s="42" t="str">
        <f>IFERROR(__xludf.DUMMYFUNCTION("""COMPUTED_VALUE"""),"")</f>
        <v/>
      </c>
      <c r="C11949" s="42" t="str">
        <f>IFERROR(__xludf.DUMMYFUNCTION("""COMPUTED_VALUE"""),"")</f>
        <v/>
      </c>
      <c r="D11949" s="42"/>
      <c r="E11949" s="42"/>
      <c r="F11949" s="48" t="str">
        <f>IFERROR(__xludf.DUMMYFUNCTION("""COMPUTED_VALUE"""),"")</f>
        <v/>
      </c>
      <c r="G11949" s="42" t="str">
        <f>IFERROR(__xludf.DUMMYFUNCTION("""COMPUTED_VALUE"""),"")</f>
        <v/>
      </c>
      <c r="H11949" s="42">
        <f t="shared" si="1"/>
        <v>3345</v>
      </c>
    </row>
    <row r="11950" ht="22.5" customHeight="1">
      <c r="B11950" s="42" t="str">
        <f>IFERROR(__xludf.DUMMYFUNCTION("""COMPUTED_VALUE"""),"")</f>
        <v/>
      </c>
      <c r="C11950" s="42" t="str">
        <f>IFERROR(__xludf.DUMMYFUNCTION("""COMPUTED_VALUE"""),"")</f>
        <v/>
      </c>
      <c r="D11950" s="42"/>
      <c r="E11950" s="42"/>
      <c r="F11950" s="48" t="str">
        <f>IFERROR(__xludf.DUMMYFUNCTION("""COMPUTED_VALUE"""),"")</f>
        <v/>
      </c>
      <c r="G11950" s="42" t="str">
        <f>IFERROR(__xludf.DUMMYFUNCTION("""COMPUTED_VALUE"""),"")</f>
        <v/>
      </c>
      <c r="H11950" s="42">
        <f t="shared" si="1"/>
        <v>3345</v>
      </c>
    </row>
    <row r="11951" ht="22.5" customHeight="1">
      <c r="B11951" s="42" t="str">
        <f>IFERROR(__xludf.DUMMYFUNCTION("""COMPUTED_VALUE"""),"")</f>
        <v/>
      </c>
      <c r="C11951" s="42" t="str">
        <f>IFERROR(__xludf.DUMMYFUNCTION("""COMPUTED_VALUE"""),"")</f>
        <v/>
      </c>
      <c r="D11951" s="42"/>
      <c r="E11951" s="42"/>
      <c r="F11951" s="48" t="str">
        <f>IFERROR(__xludf.DUMMYFUNCTION("""COMPUTED_VALUE"""),"")</f>
        <v/>
      </c>
      <c r="G11951" s="42" t="str">
        <f>IFERROR(__xludf.DUMMYFUNCTION("""COMPUTED_VALUE"""),"")</f>
        <v/>
      </c>
      <c r="H11951" s="42">
        <f t="shared" si="1"/>
        <v>3345</v>
      </c>
    </row>
    <row r="11952" ht="22.5" customHeight="1">
      <c r="B11952" s="42" t="str">
        <f>IFERROR(__xludf.DUMMYFUNCTION("""COMPUTED_VALUE"""),"")</f>
        <v/>
      </c>
      <c r="C11952" s="42" t="str">
        <f>IFERROR(__xludf.DUMMYFUNCTION("""COMPUTED_VALUE"""),"")</f>
        <v/>
      </c>
      <c r="D11952" s="42"/>
      <c r="E11952" s="42"/>
      <c r="F11952" s="48" t="str">
        <f>IFERROR(__xludf.DUMMYFUNCTION("""COMPUTED_VALUE"""),"")</f>
        <v/>
      </c>
      <c r="G11952" s="42" t="str">
        <f>IFERROR(__xludf.DUMMYFUNCTION("""COMPUTED_VALUE"""),"")</f>
        <v/>
      </c>
      <c r="H11952" s="42">
        <f t="shared" si="1"/>
        <v>3345</v>
      </c>
    </row>
    <row r="11953" ht="22.5" customHeight="1">
      <c r="B11953" s="42" t="str">
        <f>IFERROR(__xludf.DUMMYFUNCTION("""COMPUTED_VALUE"""),"")</f>
        <v/>
      </c>
      <c r="C11953" s="42" t="str">
        <f>IFERROR(__xludf.DUMMYFUNCTION("""COMPUTED_VALUE"""),"")</f>
        <v/>
      </c>
      <c r="D11953" s="42"/>
      <c r="E11953" s="42"/>
      <c r="F11953" s="48" t="str">
        <f>IFERROR(__xludf.DUMMYFUNCTION("""COMPUTED_VALUE"""),"")</f>
        <v/>
      </c>
      <c r="G11953" s="42" t="str">
        <f>IFERROR(__xludf.DUMMYFUNCTION("""COMPUTED_VALUE"""),"")</f>
        <v/>
      </c>
      <c r="H11953" s="42">
        <f t="shared" si="1"/>
        <v>3345</v>
      </c>
    </row>
    <row r="11954" ht="22.5" customHeight="1">
      <c r="B11954" s="42" t="str">
        <f>IFERROR(__xludf.DUMMYFUNCTION("""COMPUTED_VALUE"""),"")</f>
        <v/>
      </c>
      <c r="C11954" s="42" t="str">
        <f>IFERROR(__xludf.DUMMYFUNCTION("""COMPUTED_VALUE"""),"")</f>
        <v/>
      </c>
      <c r="D11954" s="42"/>
      <c r="E11954" s="42"/>
      <c r="F11954" s="48" t="str">
        <f>IFERROR(__xludf.DUMMYFUNCTION("""COMPUTED_VALUE"""),"")</f>
        <v/>
      </c>
      <c r="G11954" s="42" t="str">
        <f>IFERROR(__xludf.DUMMYFUNCTION("""COMPUTED_VALUE"""),"")</f>
        <v/>
      </c>
      <c r="H11954" s="42">
        <f t="shared" si="1"/>
        <v>3345</v>
      </c>
    </row>
    <row r="11955" ht="22.5" customHeight="1">
      <c r="B11955" s="42" t="str">
        <f>IFERROR(__xludf.DUMMYFUNCTION("""COMPUTED_VALUE"""),"")</f>
        <v/>
      </c>
      <c r="C11955" s="42" t="str">
        <f>IFERROR(__xludf.DUMMYFUNCTION("""COMPUTED_VALUE"""),"")</f>
        <v/>
      </c>
      <c r="D11955" s="42"/>
      <c r="E11955" s="42"/>
      <c r="F11955" s="48" t="str">
        <f>IFERROR(__xludf.DUMMYFUNCTION("""COMPUTED_VALUE"""),"")</f>
        <v/>
      </c>
      <c r="G11955" s="42" t="str">
        <f>IFERROR(__xludf.DUMMYFUNCTION("""COMPUTED_VALUE"""),"")</f>
        <v/>
      </c>
      <c r="H11955" s="42">
        <f t="shared" si="1"/>
        <v>3345</v>
      </c>
    </row>
    <row r="11956" ht="22.5" customHeight="1">
      <c r="B11956" s="42" t="str">
        <f>IFERROR(__xludf.DUMMYFUNCTION("""COMPUTED_VALUE"""),"")</f>
        <v/>
      </c>
      <c r="C11956" s="42" t="str">
        <f>IFERROR(__xludf.DUMMYFUNCTION("""COMPUTED_VALUE"""),"")</f>
        <v/>
      </c>
      <c r="D11956" s="42"/>
      <c r="E11956" s="42"/>
      <c r="F11956" s="48" t="str">
        <f>IFERROR(__xludf.DUMMYFUNCTION("""COMPUTED_VALUE"""),"")</f>
        <v/>
      </c>
      <c r="G11956" s="42" t="str">
        <f>IFERROR(__xludf.DUMMYFUNCTION("""COMPUTED_VALUE"""),"")</f>
        <v/>
      </c>
      <c r="H11956" s="42">
        <f t="shared" si="1"/>
        <v>3345</v>
      </c>
    </row>
    <row r="11957" ht="22.5" customHeight="1">
      <c r="B11957" s="42" t="str">
        <f>IFERROR(__xludf.DUMMYFUNCTION("""COMPUTED_VALUE"""),"")</f>
        <v/>
      </c>
      <c r="C11957" s="42" t="str">
        <f>IFERROR(__xludf.DUMMYFUNCTION("""COMPUTED_VALUE"""),"")</f>
        <v/>
      </c>
      <c r="D11957" s="42"/>
      <c r="E11957" s="42"/>
      <c r="F11957" s="48" t="str">
        <f>IFERROR(__xludf.DUMMYFUNCTION("""COMPUTED_VALUE"""),"")</f>
        <v/>
      </c>
      <c r="G11957" s="42" t="str">
        <f>IFERROR(__xludf.DUMMYFUNCTION("""COMPUTED_VALUE"""),"")</f>
        <v/>
      </c>
      <c r="H11957" s="42">
        <f t="shared" si="1"/>
        <v>3345</v>
      </c>
    </row>
    <row r="11958" ht="22.5" customHeight="1">
      <c r="B11958" s="42" t="str">
        <f>IFERROR(__xludf.DUMMYFUNCTION("""COMPUTED_VALUE"""),"")</f>
        <v/>
      </c>
      <c r="C11958" s="42" t="str">
        <f>IFERROR(__xludf.DUMMYFUNCTION("""COMPUTED_VALUE"""),"")</f>
        <v/>
      </c>
      <c r="D11958" s="42"/>
      <c r="E11958" s="42"/>
      <c r="F11958" s="48" t="str">
        <f>IFERROR(__xludf.DUMMYFUNCTION("""COMPUTED_VALUE"""),"")</f>
        <v/>
      </c>
      <c r="G11958" s="42" t="str">
        <f>IFERROR(__xludf.DUMMYFUNCTION("""COMPUTED_VALUE"""),"")</f>
        <v/>
      </c>
      <c r="H11958" s="42">
        <f t="shared" si="1"/>
        <v>3345</v>
      </c>
    </row>
    <row r="11959" ht="22.5" customHeight="1">
      <c r="B11959" s="42" t="str">
        <f>IFERROR(__xludf.DUMMYFUNCTION("""COMPUTED_VALUE"""),"")</f>
        <v/>
      </c>
      <c r="C11959" s="42" t="str">
        <f>IFERROR(__xludf.DUMMYFUNCTION("""COMPUTED_VALUE"""),"")</f>
        <v/>
      </c>
      <c r="D11959" s="42"/>
      <c r="E11959" s="42"/>
      <c r="F11959" s="48" t="str">
        <f>IFERROR(__xludf.DUMMYFUNCTION("""COMPUTED_VALUE"""),"")</f>
        <v/>
      </c>
      <c r="G11959" s="42" t="str">
        <f>IFERROR(__xludf.DUMMYFUNCTION("""COMPUTED_VALUE"""),"")</f>
        <v/>
      </c>
      <c r="H11959" s="42">
        <f t="shared" si="1"/>
        <v>3345</v>
      </c>
    </row>
    <row r="11960" ht="22.5" customHeight="1">
      <c r="B11960" s="42" t="str">
        <f>IFERROR(__xludf.DUMMYFUNCTION("""COMPUTED_VALUE"""),"")</f>
        <v/>
      </c>
      <c r="C11960" s="42" t="str">
        <f>IFERROR(__xludf.DUMMYFUNCTION("""COMPUTED_VALUE"""),"")</f>
        <v/>
      </c>
      <c r="D11960" s="42"/>
      <c r="E11960" s="42"/>
      <c r="F11960" s="48" t="str">
        <f>IFERROR(__xludf.DUMMYFUNCTION("""COMPUTED_VALUE"""),"")</f>
        <v/>
      </c>
      <c r="G11960" s="42" t="str">
        <f>IFERROR(__xludf.DUMMYFUNCTION("""COMPUTED_VALUE"""),"")</f>
        <v/>
      </c>
      <c r="H11960" s="42">
        <f t="shared" si="1"/>
        <v>3345</v>
      </c>
    </row>
    <row r="11961" ht="22.5" customHeight="1">
      <c r="B11961" s="42" t="str">
        <f>IFERROR(__xludf.DUMMYFUNCTION("""COMPUTED_VALUE"""),"")</f>
        <v/>
      </c>
      <c r="C11961" s="42" t="str">
        <f>IFERROR(__xludf.DUMMYFUNCTION("""COMPUTED_VALUE"""),"")</f>
        <v/>
      </c>
      <c r="D11961" s="42"/>
      <c r="E11961" s="42"/>
      <c r="F11961" s="48" t="str">
        <f>IFERROR(__xludf.DUMMYFUNCTION("""COMPUTED_VALUE"""),"")</f>
        <v/>
      </c>
      <c r="G11961" s="42" t="str">
        <f>IFERROR(__xludf.DUMMYFUNCTION("""COMPUTED_VALUE"""),"")</f>
        <v/>
      </c>
      <c r="H11961" s="42">
        <f t="shared" si="1"/>
        <v>3345</v>
      </c>
    </row>
    <row r="11962" ht="22.5" customHeight="1">
      <c r="B11962" s="42" t="str">
        <f>IFERROR(__xludf.DUMMYFUNCTION("""COMPUTED_VALUE"""),"")</f>
        <v/>
      </c>
      <c r="C11962" s="42" t="str">
        <f>IFERROR(__xludf.DUMMYFUNCTION("""COMPUTED_VALUE"""),"")</f>
        <v/>
      </c>
      <c r="D11962" s="42"/>
      <c r="E11962" s="42"/>
      <c r="F11962" s="48" t="str">
        <f>IFERROR(__xludf.DUMMYFUNCTION("""COMPUTED_VALUE"""),"")</f>
        <v/>
      </c>
      <c r="G11962" s="42" t="str">
        <f>IFERROR(__xludf.DUMMYFUNCTION("""COMPUTED_VALUE"""),"")</f>
        <v/>
      </c>
      <c r="H11962" s="42">
        <f t="shared" si="1"/>
        <v>3345</v>
      </c>
    </row>
    <row r="11963" ht="22.5" customHeight="1">
      <c r="B11963" s="42" t="str">
        <f>IFERROR(__xludf.DUMMYFUNCTION("""COMPUTED_VALUE"""),"")</f>
        <v/>
      </c>
      <c r="C11963" s="42" t="str">
        <f>IFERROR(__xludf.DUMMYFUNCTION("""COMPUTED_VALUE"""),"")</f>
        <v/>
      </c>
      <c r="D11963" s="42"/>
      <c r="E11963" s="42"/>
      <c r="F11963" s="48" t="str">
        <f>IFERROR(__xludf.DUMMYFUNCTION("""COMPUTED_VALUE"""),"")</f>
        <v/>
      </c>
      <c r="G11963" s="42" t="str">
        <f>IFERROR(__xludf.DUMMYFUNCTION("""COMPUTED_VALUE"""),"")</f>
        <v/>
      </c>
      <c r="H11963" s="42">
        <f t="shared" si="1"/>
        <v>3345</v>
      </c>
    </row>
    <row r="11964" ht="22.5" customHeight="1">
      <c r="B11964" s="42" t="str">
        <f>IFERROR(__xludf.DUMMYFUNCTION("""COMPUTED_VALUE"""),"")</f>
        <v/>
      </c>
      <c r="C11964" s="42" t="str">
        <f>IFERROR(__xludf.DUMMYFUNCTION("""COMPUTED_VALUE"""),"")</f>
        <v/>
      </c>
      <c r="D11964" s="42"/>
      <c r="E11964" s="42"/>
      <c r="F11964" s="48" t="str">
        <f>IFERROR(__xludf.DUMMYFUNCTION("""COMPUTED_VALUE"""),"")</f>
        <v/>
      </c>
      <c r="G11964" s="42" t="str">
        <f>IFERROR(__xludf.DUMMYFUNCTION("""COMPUTED_VALUE"""),"")</f>
        <v/>
      </c>
      <c r="H11964" s="42">
        <f t="shared" si="1"/>
        <v>3345</v>
      </c>
    </row>
    <row r="11965" ht="22.5" customHeight="1">
      <c r="B11965" s="42" t="str">
        <f>IFERROR(__xludf.DUMMYFUNCTION("""COMPUTED_VALUE"""),"")</f>
        <v/>
      </c>
      <c r="C11965" s="42" t="str">
        <f>IFERROR(__xludf.DUMMYFUNCTION("""COMPUTED_VALUE"""),"")</f>
        <v/>
      </c>
      <c r="D11965" s="42"/>
      <c r="E11965" s="42"/>
      <c r="F11965" s="48" t="str">
        <f>IFERROR(__xludf.DUMMYFUNCTION("""COMPUTED_VALUE"""),"")</f>
        <v/>
      </c>
      <c r="G11965" s="42" t="str">
        <f>IFERROR(__xludf.DUMMYFUNCTION("""COMPUTED_VALUE"""),"")</f>
        <v/>
      </c>
      <c r="H11965" s="42">
        <f t="shared" si="1"/>
        <v>3345</v>
      </c>
    </row>
    <row r="11966" ht="22.5" customHeight="1">
      <c r="B11966" s="42" t="str">
        <f>IFERROR(__xludf.DUMMYFUNCTION("""COMPUTED_VALUE"""),"")</f>
        <v/>
      </c>
      <c r="C11966" s="42" t="str">
        <f>IFERROR(__xludf.DUMMYFUNCTION("""COMPUTED_VALUE"""),"")</f>
        <v/>
      </c>
      <c r="D11966" s="42"/>
      <c r="E11966" s="42"/>
      <c r="F11966" s="48" t="str">
        <f>IFERROR(__xludf.DUMMYFUNCTION("""COMPUTED_VALUE"""),"")</f>
        <v/>
      </c>
      <c r="G11966" s="42" t="str">
        <f>IFERROR(__xludf.DUMMYFUNCTION("""COMPUTED_VALUE"""),"")</f>
        <v/>
      </c>
      <c r="H11966" s="42">
        <f t="shared" si="1"/>
        <v>3345</v>
      </c>
    </row>
    <row r="11967" ht="22.5" customHeight="1">
      <c r="B11967" s="42" t="str">
        <f>IFERROR(__xludf.DUMMYFUNCTION("""COMPUTED_VALUE"""),"")</f>
        <v/>
      </c>
      <c r="C11967" s="42" t="str">
        <f>IFERROR(__xludf.DUMMYFUNCTION("""COMPUTED_VALUE"""),"")</f>
        <v/>
      </c>
      <c r="D11967" s="42"/>
      <c r="E11967" s="42"/>
      <c r="F11967" s="48" t="str">
        <f>IFERROR(__xludf.DUMMYFUNCTION("""COMPUTED_VALUE"""),"")</f>
        <v/>
      </c>
      <c r="G11967" s="42" t="str">
        <f>IFERROR(__xludf.DUMMYFUNCTION("""COMPUTED_VALUE"""),"")</f>
        <v/>
      </c>
      <c r="H11967" s="42">
        <f t="shared" si="1"/>
        <v>3345</v>
      </c>
    </row>
    <row r="11968" ht="22.5" customHeight="1">
      <c r="B11968" s="42" t="str">
        <f>IFERROR(__xludf.DUMMYFUNCTION("""COMPUTED_VALUE"""),"")</f>
        <v/>
      </c>
      <c r="C11968" s="42" t="str">
        <f>IFERROR(__xludf.DUMMYFUNCTION("""COMPUTED_VALUE"""),"")</f>
        <v/>
      </c>
      <c r="D11968" s="42"/>
      <c r="E11968" s="42"/>
      <c r="F11968" s="48" t="str">
        <f>IFERROR(__xludf.DUMMYFUNCTION("""COMPUTED_VALUE"""),"")</f>
        <v/>
      </c>
      <c r="G11968" s="42" t="str">
        <f>IFERROR(__xludf.DUMMYFUNCTION("""COMPUTED_VALUE"""),"")</f>
        <v/>
      </c>
      <c r="H11968" s="42">
        <f t="shared" si="1"/>
        <v>3345</v>
      </c>
    </row>
    <row r="11969" ht="22.5" customHeight="1">
      <c r="B11969" s="42" t="str">
        <f>IFERROR(__xludf.DUMMYFUNCTION("""COMPUTED_VALUE"""),"")</f>
        <v/>
      </c>
      <c r="C11969" s="42" t="str">
        <f>IFERROR(__xludf.DUMMYFUNCTION("""COMPUTED_VALUE"""),"")</f>
        <v/>
      </c>
      <c r="D11969" s="42"/>
      <c r="E11969" s="42"/>
      <c r="F11969" s="48" t="str">
        <f>IFERROR(__xludf.DUMMYFUNCTION("""COMPUTED_VALUE"""),"")</f>
        <v/>
      </c>
      <c r="G11969" s="42" t="str">
        <f>IFERROR(__xludf.DUMMYFUNCTION("""COMPUTED_VALUE"""),"")</f>
        <v/>
      </c>
      <c r="H11969" s="42">
        <f t="shared" si="1"/>
        <v>3345</v>
      </c>
    </row>
    <row r="11970" ht="22.5" customHeight="1">
      <c r="B11970" s="42" t="str">
        <f>IFERROR(__xludf.DUMMYFUNCTION("""COMPUTED_VALUE"""),"")</f>
        <v/>
      </c>
      <c r="C11970" s="42" t="str">
        <f>IFERROR(__xludf.DUMMYFUNCTION("""COMPUTED_VALUE"""),"")</f>
        <v/>
      </c>
      <c r="D11970" s="42"/>
      <c r="E11970" s="42"/>
      <c r="F11970" s="48" t="str">
        <f>IFERROR(__xludf.DUMMYFUNCTION("""COMPUTED_VALUE"""),"")</f>
        <v/>
      </c>
      <c r="G11970" s="42" t="str">
        <f>IFERROR(__xludf.DUMMYFUNCTION("""COMPUTED_VALUE"""),"")</f>
        <v/>
      </c>
      <c r="H11970" s="42">
        <f t="shared" si="1"/>
        <v>3345</v>
      </c>
    </row>
    <row r="11971" ht="22.5" customHeight="1">
      <c r="B11971" s="42" t="str">
        <f>IFERROR(__xludf.DUMMYFUNCTION("""COMPUTED_VALUE"""),"")</f>
        <v/>
      </c>
      <c r="C11971" s="42" t="str">
        <f>IFERROR(__xludf.DUMMYFUNCTION("""COMPUTED_VALUE"""),"")</f>
        <v/>
      </c>
      <c r="D11971" s="42"/>
      <c r="E11971" s="42"/>
      <c r="F11971" s="48" t="str">
        <f>IFERROR(__xludf.DUMMYFUNCTION("""COMPUTED_VALUE"""),"")</f>
        <v/>
      </c>
      <c r="G11971" s="42" t="str">
        <f>IFERROR(__xludf.DUMMYFUNCTION("""COMPUTED_VALUE"""),"")</f>
        <v/>
      </c>
      <c r="H11971" s="42">
        <f t="shared" si="1"/>
        <v>3345</v>
      </c>
    </row>
    <row r="11972" ht="22.5" customHeight="1">
      <c r="B11972" s="42" t="str">
        <f>IFERROR(__xludf.DUMMYFUNCTION("""COMPUTED_VALUE"""),"")</f>
        <v/>
      </c>
      <c r="C11972" s="42" t="str">
        <f>IFERROR(__xludf.DUMMYFUNCTION("""COMPUTED_VALUE"""),"")</f>
        <v/>
      </c>
      <c r="D11972" s="42"/>
      <c r="E11972" s="42"/>
      <c r="F11972" s="48" t="str">
        <f>IFERROR(__xludf.DUMMYFUNCTION("""COMPUTED_VALUE"""),"")</f>
        <v/>
      </c>
      <c r="G11972" s="42" t="str">
        <f>IFERROR(__xludf.DUMMYFUNCTION("""COMPUTED_VALUE"""),"")</f>
        <v/>
      </c>
      <c r="H11972" s="42">
        <f t="shared" si="1"/>
        <v>3345</v>
      </c>
    </row>
    <row r="11973" ht="22.5" customHeight="1">
      <c r="B11973" s="42" t="str">
        <f>IFERROR(__xludf.DUMMYFUNCTION("""COMPUTED_VALUE"""),"")</f>
        <v/>
      </c>
      <c r="C11973" s="42" t="str">
        <f>IFERROR(__xludf.DUMMYFUNCTION("""COMPUTED_VALUE"""),"")</f>
        <v/>
      </c>
      <c r="D11973" s="42"/>
      <c r="E11973" s="42"/>
      <c r="F11973" s="48" t="str">
        <f>IFERROR(__xludf.DUMMYFUNCTION("""COMPUTED_VALUE"""),"")</f>
        <v/>
      </c>
      <c r="G11973" s="42" t="str">
        <f>IFERROR(__xludf.DUMMYFUNCTION("""COMPUTED_VALUE"""),"")</f>
        <v/>
      </c>
      <c r="H11973" s="42">
        <f t="shared" si="1"/>
        <v>3345</v>
      </c>
    </row>
    <row r="11974" ht="22.5" customHeight="1">
      <c r="B11974" s="42" t="str">
        <f>IFERROR(__xludf.DUMMYFUNCTION("""COMPUTED_VALUE"""),"")</f>
        <v/>
      </c>
      <c r="C11974" s="42" t="str">
        <f>IFERROR(__xludf.DUMMYFUNCTION("""COMPUTED_VALUE"""),"")</f>
        <v/>
      </c>
      <c r="D11974" s="42"/>
      <c r="E11974" s="42"/>
      <c r="F11974" s="48" t="str">
        <f>IFERROR(__xludf.DUMMYFUNCTION("""COMPUTED_VALUE"""),"")</f>
        <v/>
      </c>
      <c r="G11974" s="42" t="str">
        <f>IFERROR(__xludf.DUMMYFUNCTION("""COMPUTED_VALUE"""),"")</f>
        <v/>
      </c>
      <c r="H11974" s="42">
        <f t="shared" si="1"/>
        <v>3345</v>
      </c>
    </row>
    <row r="11975" ht="22.5" customHeight="1">
      <c r="B11975" s="42" t="str">
        <f>IFERROR(__xludf.DUMMYFUNCTION("""COMPUTED_VALUE"""),"")</f>
        <v/>
      </c>
      <c r="C11975" s="42" t="str">
        <f>IFERROR(__xludf.DUMMYFUNCTION("""COMPUTED_VALUE"""),"")</f>
        <v/>
      </c>
      <c r="D11975" s="42"/>
      <c r="E11975" s="42"/>
      <c r="F11975" s="48" t="str">
        <f>IFERROR(__xludf.DUMMYFUNCTION("""COMPUTED_VALUE"""),"")</f>
        <v/>
      </c>
      <c r="G11975" s="42" t="str">
        <f>IFERROR(__xludf.DUMMYFUNCTION("""COMPUTED_VALUE"""),"")</f>
        <v/>
      </c>
      <c r="H11975" s="42">
        <f t="shared" si="1"/>
        <v>3345</v>
      </c>
    </row>
    <row r="11976" ht="22.5" customHeight="1">
      <c r="B11976" s="42" t="str">
        <f>IFERROR(__xludf.DUMMYFUNCTION("""COMPUTED_VALUE"""),"")</f>
        <v/>
      </c>
      <c r="C11976" s="42" t="str">
        <f>IFERROR(__xludf.DUMMYFUNCTION("""COMPUTED_VALUE"""),"")</f>
        <v/>
      </c>
      <c r="D11976" s="42"/>
      <c r="E11976" s="42"/>
      <c r="F11976" s="48" t="str">
        <f>IFERROR(__xludf.DUMMYFUNCTION("""COMPUTED_VALUE"""),"")</f>
        <v/>
      </c>
      <c r="G11976" s="42" t="str">
        <f>IFERROR(__xludf.DUMMYFUNCTION("""COMPUTED_VALUE"""),"")</f>
        <v/>
      </c>
      <c r="H11976" s="42">
        <f t="shared" si="1"/>
        <v>3345</v>
      </c>
    </row>
    <row r="11977" ht="22.5" customHeight="1">
      <c r="B11977" s="42" t="str">
        <f>IFERROR(__xludf.DUMMYFUNCTION("""COMPUTED_VALUE"""),"")</f>
        <v/>
      </c>
      <c r="C11977" s="42" t="str">
        <f>IFERROR(__xludf.DUMMYFUNCTION("""COMPUTED_VALUE"""),"")</f>
        <v/>
      </c>
      <c r="D11977" s="42"/>
      <c r="E11977" s="42"/>
      <c r="F11977" s="48" t="str">
        <f>IFERROR(__xludf.DUMMYFUNCTION("""COMPUTED_VALUE"""),"")</f>
        <v/>
      </c>
      <c r="G11977" s="42" t="str">
        <f>IFERROR(__xludf.DUMMYFUNCTION("""COMPUTED_VALUE"""),"")</f>
        <v/>
      </c>
      <c r="H11977" s="42">
        <f t="shared" si="1"/>
        <v>3345</v>
      </c>
    </row>
    <row r="11978" ht="22.5" customHeight="1">
      <c r="B11978" s="42" t="str">
        <f>IFERROR(__xludf.DUMMYFUNCTION("""COMPUTED_VALUE"""),"")</f>
        <v/>
      </c>
      <c r="C11978" s="42" t="str">
        <f>IFERROR(__xludf.DUMMYFUNCTION("""COMPUTED_VALUE"""),"")</f>
        <v/>
      </c>
      <c r="D11978" s="42"/>
      <c r="E11978" s="42"/>
      <c r="F11978" s="48" t="str">
        <f>IFERROR(__xludf.DUMMYFUNCTION("""COMPUTED_VALUE"""),"")</f>
        <v/>
      </c>
      <c r="G11978" s="42" t="str">
        <f>IFERROR(__xludf.DUMMYFUNCTION("""COMPUTED_VALUE"""),"")</f>
        <v/>
      </c>
      <c r="H11978" s="42">
        <f t="shared" si="1"/>
        <v>3345</v>
      </c>
    </row>
    <row r="11979" ht="22.5" customHeight="1">
      <c r="B11979" s="42" t="str">
        <f>IFERROR(__xludf.DUMMYFUNCTION("""COMPUTED_VALUE"""),"")</f>
        <v/>
      </c>
      <c r="C11979" s="42" t="str">
        <f>IFERROR(__xludf.DUMMYFUNCTION("""COMPUTED_VALUE"""),"")</f>
        <v/>
      </c>
      <c r="D11979" s="42"/>
      <c r="E11979" s="42"/>
      <c r="F11979" s="48" t="str">
        <f>IFERROR(__xludf.DUMMYFUNCTION("""COMPUTED_VALUE"""),"")</f>
        <v/>
      </c>
      <c r="G11979" s="42" t="str">
        <f>IFERROR(__xludf.DUMMYFUNCTION("""COMPUTED_VALUE"""),"")</f>
        <v/>
      </c>
      <c r="H11979" s="42">
        <f t="shared" si="1"/>
        <v>3345</v>
      </c>
    </row>
    <row r="11980" ht="22.5" customHeight="1">
      <c r="B11980" s="42" t="str">
        <f>IFERROR(__xludf.DUMMYFUNCTION("""COMPUTED_VALUE"""),"")</f>
        <v/>
      </c>
      <c r="C11980" s="42" t="str">
        <f>IFERROR(__xludf.DUMMYFUNCTION("""COMPUTED_VALUE"""),"")</f>
        <v/>
      </c>
      <c r="D11980" s="42"/>
      <c r="E11980" s="42"/>
      <c r="F11980" s="48" t="str">
        <f>IFERROR(__xludf.DUMMYFUNCTION("""COMPUTED_VALUE"""),"")</f>
        <v/>
      </c>
      <c r="G11980" s="42" t="str">
        <f>IFERROR(__xludf.DUMMYFUNCTION("""COMPUTED_VALUE"""),"")</f>
        <v/>
      </c>
      <c r="H11980" s="42">
        <f t="shared" si="1"/>
        <v>3345</v>
      </c>
    </row>
    <row r="11981" ht="22.5" customHeight="1">
      <c r="B11981" s="42" t="str">
        <f>IFERROR(__xludf.DUMMYFUNCTION("""COMPUTED_VALUE"""),"")</f>
        <v/>
      </c>
      <c r="C11981" s="42" t="str">
        <f>IFERROR(__xludf.DUMMYFUNCTION("""COMPUTED_VALUE"""),"")</f>
        <v/>
      </c>
      <c r="D11981" s="42"/>
      <c r="E11981" s="42"/>
      <c r="F11981" s="48" t="str">
        <f>IFERROR(__xludf.DUMMYFUNCTION("""COMPUTED_VALUE"""),"")</f>
        <v/>
      </c>
      <c r="G11981" s="42" t="str">
        <f>IFERROR(__xludf.DUMMYFUNCTION("""COMPUTED_VALUE"""),"")</f>
        <v/>
      </c>
      <c r="H11981" s="42">
        <f t="shared" si="1"/>
        <v>3345</v>
      </c>
    </row>
    <row r="11982" ht="22.5" customHeight="1">
      <c r="B11982" s="42" t="str">
        <f>IFERROR(__xludf.DUMMYFUNCTION("""COMPUTED_VALUE"""),"")</f>
        <v/>
      </c>
      <c r="C11982" s="42" t="str">
        <f>IFERROR(__xludf.DUMMYFUNCTION("""COMPUTED_VALUE"""),"")</f>
        <v/>
      </c>
      <c r="D11982" s="42"/>
      <c r="E11982" s="42"/>
      <c r="F11982" s="48" t="str">
        <f>IFERROR(__xludf.DUMMYFUNCTION("""COMPUTED_VALUE"""),"")</f>
        <v/>
      </c>
      <c r="G11982" s="42" t="str">
        <f>IFERROR(__xludf.DUMMYFUNCTION("""COMPUTED_VALUE"""),"")</f>
        <v/>
      </c>
      <c r="H11982" s="42">
        <f t="shared" si="1"/>
        <v>3345</v>
      </c>
    </row>
    <row r="11983" ht="22.5" customHeight="1">
      <c r="B11983" s="42" t="str">
        <f>IFERROR(__xludf.DUMMYFUNCTION("""COMPUTED_VALUE"""),"")</f>
        <v/>
      </c>
      <c r="C11983" s="42" t="str">
        <f>IFERROR(__xludf.DUMMYFUNCTION("""COMPUTED_VALUE"""),"")</f>
        <v/>
      </c>
      <c r="D11983" s="42"/>
      <c r="E11983" s="42"/>
      <c r="F11983" s="48" t="str">
        <f>IFERROR(__xludf.DUMMYFUNCTION("""COMPUTED_VALUE"""),"")</f>
        <v/>
      </c>
      <c r="G11983" s="42" t="str">
        <f>IFERROR(__xludf.DUMMYFUNCTION("""COMPUTED_VALUE"""),"")</f>
        <v/>
      </c>
      <c r="H11983" s="42">
        <f t="shared" si="1"/>
        <v>3345</v>
      </c>
    </row>
    <row r="11984" ht="22.5" customHeight="1">
      <c r="B11984" s="42" t="str">
        <f>IFERROR(__xludf.DUMMYFUNCTION("""COMPUTED_VALUE"""),"")</f>
        <v/>
      </c>
      <c r="C11984" s="42" t="str">
        <f>IFERROR(__xludf.DUMMYFUNCTION("""COMPUTED_VALUE"""),"")</f>
        <v/>
      </c>
      <c r="D11984" s="42"/>
      <c r="E11984" s="42"/>
      <c r="F11984" s="48" t="str">
        <f>IFERROR(__xludf.DUMMYFUNCTION("""COMPUTED_VALUE"""),"")</f>
        <v/>
      </c>
      <c r="G11984" s="42" t="str">
        <f>IFERROR(__xludf.DUMMYFUNCTION("""COMPUTED_VALUE"""),"")</f>
        <v/>
      </c>
      <c r="H11984" s="42">
        <f t="shared" si="1"/>
        <v>3345</v>
      </c>
    </row>
    <row r="11985" ht="22.5" customHeight="1">
      <c r="B11985" s="42" t="str">
        <f>IFERROR(__xludf.DUMMYFUNCTION("""COMPUTED_VALUE"""),"")</f>
        <v/>
      </c>
      <c r="C11985" s="42" t="str">
        <f>IFERROR(__xludf.DUMMYFUNCTION("""COMPUTED_VALUE"""),"")</f>
        <v/>
      </c>
      <c r="D11985" s="42"/>
      <c r="E11985" s="42"/>
      <c r="F11985" s="48" t="str">
        <f>IFERROR(__xludf.DUMMYFUNCTION("""COMPUTED_VALUE"""),"")</f>
        <v/>
      </c>
      <c r="G11985" s="42" t="str">
        <f>IFERROR(__xludf.DUMMYFUNCTION("""COMPUTED_VALUE"""),"")</f>
        <v/>
      </c>
      <c r="H11985" s="42">
        <f t="shared" si="1"/>
        <v>3345</v>
      </c>
    </row>
    <row r="11986" ht="22.5" customHeight="1">
      <c r="B11986" s="42" t="str">
        <f>IFERROR(__xludf.DUMMYFUNCTION("""COMPUTED_VALUE"""),"")</f>
        <v/>
      </c>
      <c r="C11986" s="42" t="str">
        <f>IFERROR(__xludf.DUMMYFUNCTION("""COMPUTED_VALUE"""),"")</f>
        <v/>
      </c>
      <c r="D11986" s="42"/>
      <c r="E11986" s="42"/>
      <c r="F11986" s="48" t="str">
        <f>IFERROR(__xludf.DUMMYFUNCTION("""COMPUTED_VALUE"""),"")</f>
        <v/>
      </c>
      <c r="G11986" s="42" t="str">
        <f>IFERROR(__xludf.DUMMYFUNCTION("""COMPUTED_VALUE"""),"")</f>
        <v/>
      </c>
      <c r="H11986" s="42">
        <f t="shared" si="1"/>
        <v>3345</v>
      </c>
    </row>
    <row r="11987" ht="22.5" customHeight="1">
      <c r="B11987" s="42" t="str">
        <f>IFERROR(__xludf.DUMMYFUNCTION("""COMPUTED_VALUE"""),"")</f>
        <v/>
      </c>
      <c r="C11987" s="42" t="str">
        <f>IFERROR(__xludf.DUMMYFUNCTION("""COMPUTED_VALUE"""),"")</f>
        <v/>
      </c>
      <c r="D11987" s="42"/>
      <c r="E11987" s="42"/>
      <c r="F11987" s="48" t="str">
        <f>IFERROR(__xludf.DUMMYFUNCTION("""COMPUTED_VALUE"""),"")</f>
        <v/>
      </c>
      <c r="G11987" s="42" t="str">
        <f>IFERROR(__xludf.DUMMYFUNCTION("""COMPUTED_VALUE"""),"")</f>
        <v/>
      </c>
      <c r="H11987" s="42">
        <f t="shared" si="1"/>
        <v>3345</v>
      </c>
    </row>
    <row r="11988" ht="22.5" customHeight="1">
      <c r="B11988" s="42" t="str">
        <f>IFERROR(__xludf.DUMMYFUNCTION("""COMPUTED_VALUE"""),"")</f>
        <v/>
      </c>
      <c r="C11988" s="42" t="str">
        <f>IFERROR(__xludf.DUMMYFUNCTION("""COMPUTED_VALUE"""),"")</f>
        <v/>
      </c>
      <c r="D11988" s="42"/>
      <c r="E11988" s="42"/>
      <c r="F11988" s="48" t="str">
        <f>IFERROR(__xludf.DUMMYFUNCTION("""COMPUTED_VALUE"""),"")</f>
        <v/>
      </c>
      <c r="G11988" s="42" t="str">
        <f>IFERROR(__xludf.DUMMYFUNCTION("""COMPUTED_VALUE"""),"")</f>
        <v/>
      </c>
      <c r="H11988" s="42">
        <f t="shared" si="1"/>
        <v>3345</v>
      </c>
    </row>
    <row r="11989" ht="22.5" customHeight="1">
      <c r="B11989" s="42" t="str">
        <f>IFERROR(__xludf.DUMMYFUNCTION("""COMPUTED_VALUE"""),"")</f>
        <v/>
      </c>
      <c r="C11989" s="42" t="str">
        <f>IFERROR(__xludf.DUMMYFUNCTION("""COMPUTED_VALUE"""),"")</f>
        <v/>
      </c>
      <c r="D11989" s="42"/>
      <c r="E11989" s="42"/>
      <c r="F11989" s="48" t="str">
        <f>IFERROR(__xludf.DUMMYFUNCTION("""COMPUTED_VALUE"""),"")</f>
        <v/>
      </c>
      <c r="G11989" s="42" t="str">
        <f>IFERROR(__xludf.DUMMYFUNCTION("""COMPUTED_VALUE"""),"")</f>
        <v/>
      </c>
      <c r="H11989" s="42">
        <f t="shared" si="1"/>
        <v>3345</v>
      </c>
    </row>
    <row r="11990" ht="22.5" customHeight="1">
      <c r="B11990" s="42" t="str">
        <f>IFERROR(__xludf.DUMMYFUNCTION("""COMPUTED_VALUE"""),"")</f>
        <v/>
      </c>
      <c r="C11990" s="42" t="str">
        <f>IFERROR(__xludf.DUMMYFUNCTION("""COMPUTED_VALUE"""),"")</f>
        <v/>
      </c>
      <c r="D11990" s="42"/>
      <c r="E11990" s="42"/>
      <c r="F11990" s="48" t="str">
        <f>IFERROR(__xludf.DUMMYFUNCTION("""COMPUTED_VALUE"""),"")</f>
        <v/>
      </c>
      <c r="G11990" s="42" t="str">
        <f>IFERROR(__xludf.DUMMYFUNCTION("""COMPUTED_VALUE"""),"")</f>
        <v/>
      </c>
      <c r="H11990" s="42">
        <f t="shared" si="1"/>
        <v>3345</v>
      </c>
    </row>
    <row r="11991" ht="22.5" customHeight="1">
      <c r="B11991" s="42" t="str">
        <f>IFERROR(__xludf.DUMMYFUNCTION("""COMPUTED_VALUE"""),"")</f>
        <v/>
      </c>
      <c r="C11991" s="42" t="str">
        <f>IFERROR(__xludf.DUMMYFUNCTION("""COMPUTED_VALUE"""),"")</f>
        <v/>
      </c>
      <c r="D11991" s="42"/>
      <c r="E11991" s="42"/>
      <c r="F11991" s="48" t="str">
        <f>IFERROR(__xludf.DUMMYFUNCTION("""COMPUTED_VALUE"""),"")</f>
        <v/>
      </c>
      <c r="G11991" s="42" t="str">
        <f>IFERROR(__xludf.DUMMYFUNCTION("""COMPUTED_VALUE"""),"")</f>
        <v/>
      </c>
      <c r="H11991" s="42">
        <f t="shared" si="1"/>
        <v>3345</v>
      </c>
    </row>
    <row r="11992" ht="22.5" customHeight="1">
      <c r="B11992" s="42" t="str">
        <f>IFERROR(__xludf.DUMMYFUNCTION("""COMPUTED_VALUE"""),"")</f>
        <v/>
      </c>
      <c r="C11992" s="42" t="str">
        <f>IFERROR(__xludf.DUMMYFUNCTION("""COMPUTED_VALUE"""),"")</f>
        <v/>
      </c>
      <c r="D11992" s="42"/>
      <c r="E11992" s="42"/>
      <c r="F11992" s="48" t="str">
        <f>IFERROR(__xludf.DUMMYFUNCTION("""COMPUTED_VALUE"""),"")</f>
        <v/>
      </c>
      <c r="G11992" s="42" t="str">
        <f>IFERROR(__xludf.DUMMYFUNCTION("""COMPUTED_VALUE"""),"")</f>
        <v/>
      </c>
      <c r="H11992" s="42">
        <f t="shared" si="1"/>
        <v>3345</v>
      </c>
    </row>
    <row r="11993" ht="22.5" customHeight="1">
      <c r="B11993" s="42" t="str">
        <f>IFERROR(__xludf.DUMMYFUNCTION("""COMPUTED_VALUE"""),"")</f>
        <v/>
      </c>
      <c r="C11993" s="42" t="str">
        <f>IFERROR(__xludf.DUMMYFUNCTION("""COMPUTED_VALUE"""),"")</f>
        <v/>
      </c>
      <c r="D11993" s="42"/>
      <c r="E11993" s="42"/>
      <c r="F11993" s="48" t="str">
        <f>IFERROR(__xludf.DUMMYFUNCTION("""COMPUTED_VALUE"""),"")</f>
        <v/>
      </c>
      <c r="G11993" s="42" t="str">
        <f>IFERROR(__xludf.DUMMYFUNCTION("""COMPUTED_VALUE"""),"")</f>
        <v/>
      </c>
      <c r="H11993" s="42">
        <f t="shared" si="1"/>
        <v>3345</v>
      </c>
    </row>
    <row r="11994" ht="22.5" customHeight="1">
      <c r="B11994" s="42" t="str">
        <f>IFERROR(__xludf.DUMMYFUNCTION("""COMPUTED_VALUE"""),"")</f>
        <v/>
      </c>
      <c r="C11994" s="42" t="str">
        <f>IFERROR(__xludf.DUMMYFUNCTION("""COMPUTED_VALUE"""),"")</f>
        <v/>
      </c>
      <c r="D11994" s="42"/>
      <c r="E11994" s="42"/>
      <c r="F11994" s="48" t="str">
        <f>IFERROR(__xludf.DUMMYFUNCTION("""COMPUTED_VALUE"""),"")</f>
        <v/>
      </c>
      <c r="G11994" s="42" t="str">
        <f>IFERROR(__xludf.DUMMYFUNCTION("""COMPUTED_VALUE"""),"")</f>
        <v/>
      </c>
      <c r="H11994" s="42">
        <f t="shared" si="1"/>
        <v>3345</v>
      </c>
    </row>
    <row r="11995" ht="22.5" customHeight="1">
      <c r="B11995" s="42" t="str">
        <f>IFERROR(__xludf.DUMMYFUNCTION("""COMPUTED_VALUE"""),"")</f>
        <v/>
      </c>
      <c r="C11995" s="42" t="str">
        <f>IFERROR(__xludf.DUMMYFUNCTION("""COMPUTED_VALUE"""),"")</f>
        <v/>
      </c>
      <c r="D11995" s="42"/>
      <c r="E11995" s="42"/>
      <c r="F11995" s="48" t="str">
        <f>IFERROR(__xludf.DUMMYFUNCTION("""COMPUTED_VALUE"""),"")</f>
        <v/>
      </c>
      <c r="G11995" s="42" t="str">
        <f>IFERROR(__xludf.DUMMYFUNCTION("""COMPUTED_VALUE"""),"")</f>
        <v/>
      </c>
      <c r="H11995" s="42">
        <f t="shared" si="1"/>
        <v>3345</v>
      </c>
    </row>
    <row r="11996" ht="22.5" customHeight="1">
      <c r="B11996" s="42" t="str">
        <f>IFERROR(__xludf.DUMMYFUNCTION("""COMPUTED_VALUE"""),"")</f>
        <v/>
      </c>
      <c r="C11996" s="42" t="str">
        <f>IFERROR(__xludf.DUMMYFUNCTION("""COMPUTED_VALUE"""),"")</f>
        <v/>
      </c>
      <c r="D11996" s="42"/>
      <c r="E11996" s="42"/>
      <c r="F11996" s="48" t="str">
        <f>IFERROR(__xludf.DUMMYFUNCTION("""COMPUTED_VALUE"""),"")</f>
        <v/>
      </c>
      <c r="G11996" s="42" t="str">
        <f>IFERROR(__xludf.DUMMYFUNCTION("""COMPUTED_VALUE"""),"")</f>
        <v/>
      </c>
      <c r="H11996" s="42">
        <f t="shared" si="1"/>
        <v>3345</v>
      </c>
    </row>
    <row r="11997" ht="22.5" customHeight="1">
      <c r="B11997" s="42" t="str">
        <f>IFERROR(__xludf.DUMMYFUNCTION("""COMPUTED_VALUE"""),"")</f>
        <v/>
      </c>
      <c r="C11997" s="42" t="str">
        <f>IFERROR(__xludf.DUMMYFUNCTION("""COMPUTED_VALUE"""),"")</f>
        <v/>
      </c>
      <c r="D11997" s="42"/>
      <c r="E11997" s="42"/>
      <c r="F11997" s="48" t="str">
        <f>IFERROR(__xludf.DUMMYFUNCTION("""COMPUTED_VALUE"""),"")</f>
        <v/>
      </c>
      <c r="G11997" s="42" t="str">
        <f>IFERROR(__xludf.DUMMYFUNCTION("""COMPUTED_VALUE"""),"")</f>
        <v/>
      </c>
      <c r="H11997" s="42">
        <f t="shared" si="1"/>
        <v>3345</v>
      </c>
    </row>
    <row r="11998" ht="22.5" customHeight="1">
      <c r="B11998" s="42" t="str">
        <f>IFERROR(__xludf.DUMMYFUNCTION("""COMPUTED_VALUE"""),"")</f>
        <v/>
      </c>
      <c r="C11998" s="42" t="str">
        <f>IFERROR(__xludf.DUMMYFUNCTION("""COMPUTED_VALUE"""),"")</f>
        <v/>
      </c>
      <c r="D11998" s="42"/>
      <c r="E11998" s="42"/>
      <c r="F11998" s="48" t="str">
        <f>IFERROR(__xludf.DUMMYFUNCTION("""COMPUTED_VALUE"""),"")</f>
        <v/>
      </c>
      <c r="G11998" s="42" t="str">
        <f>IFERROR(__xludf.DUMMYFUNCTION("""COMPUTED_VALUE"""),"")</f>
        <v/>
      </c>
      <c r="H11998" s="42">
        <f t="shared" si="1"/>
        <v>3345</v>
      </c>
    </row>
    <row r="11999" ht="22.5" customHeight="1">
      <c r="B11999" s="42" t="str">
        <f>IFERROR(__xludf.DUMMYFUNCTION("""COMPUTED_VALUE"""),"")</f>
        <v/>
      </c>
      <c r="C11999" s="42" t="str">
        <f>IFERROR(__xludf.DUMMYFUNCTION("""COMPUTED_VALUE"""),"")</f>
        <v/>
      </c>
      <c r="D11999" s="42"/>
      <c r="E11999" s="42"/>
      <c r="F11999" s="48" t="str">
        <f>IFERROR(__xludf.DUMMYFUNCTION("""COMPUTED_VALUE"""),"")</f>
        <v/>
      </c>
      <c r="G11999" s="42" t="str">
        <f>IFERROR(__xludf.DUMMYFUNCTION("""COMPUTED_VALUE"""),"")</f>
        <v/>
      </c>
      <c r="H11999" s="42">
        <f t="shared" si="1"/>
        <v>3345</v>
      </c>
    </row>
    <row r="12000" ht="22.5" customHeight="1">
      <c r="B12000" s="42" t="str">
        <f>IFERROR(__xludf.DUMMYFUNCTION("""COMPUTED_VALUE"""),"")</f>
        <v/>
      </c>
      <c r="C12000" s="42" t="str">
        <f>IFERROR(__xludf.DUMMYFUNCTION("""COMPUTED_VALUE"""),"")</f>
        <v/>
      </c>
      <c r="D12000" s="42"/>
      <c r="E12000" s="42"/>
      <c r="F12000" s="48" t="str">
        <f>IFERROR(__xludf.DUMMYFUNCTION("""COMPUTED_VALUE"""),"")</f>
        <v/>
      </c>
      <c r="G12000" s="42" t="str">
        <f>IFERROR(__xludf.DUMMYFUNCTION("""COMPUTED_VALUE"""),"")</f>
        <v/>
      </c>
      <c r="H12000" s="42">
        <f t="shared" si="1"/>
        <v>3345</v>
      </c>
    </row>
    <row r="12001" ht="22.5" customHeight="1">
      <c r="B12001" s="42" t="str">
        <f>IFERROR(__xludf.DUMMYFUNCTION("""COMPUTED_VALUE"""),"")</f>
        <v/>
      </c>
      <c r="C12001" s="42" t="str">
        <f>IFERROR(__xludf.DUMMYFUNCTION("""COMPUTED_VALUE"""),"")</f>
        <v/>
      </c>
      <c r="D12001" s="42"/>
      <c r="E12001" s="42"/>
      <c r="F12001" s="48" t="str">
        <f>IFERROR(__xludf.DUMMYFUNCTION("""COMPUTED_VALUE"""),"")</f>
        <v/>
      </c>
      <c r="G12001" s="42" t="str">
        <f>IFERROR(__xludf.DUMMYFUNCTION("""COMPUTED_VALUE"""),"")</f>
        <v/>
      </c>
      <c r="H12001" s="42">
        <f t="shared" si="1"/>
        <v>3345</v>
      </c>
    </row>
    <row r="12002" ht="22.5" customHeight="1">
      <c r="B12002" s="42" t="str">
        <f>IFERROR(__xludf.DUMMYFUNCTION("""COMPUTED_VALUE"""),"")</f>
        <v/>
      </c>
      <c r="C12002" s="42" t="str">
        <f>IFERROR(__xludf.DUMMYFUNCTION("""COMPUTED_VALUE"""),"")</f>
        <v/>
      </c>
      <c r="D12002" s="42"/>
      <c r="E12002" s="42"/>
      <c r="F12002" s="48" t="str">
        <f>IFERROR(__xludf.DUMMYFUNCTION("""COMPUTED_VALUE"""),"")</f>
        <v/>
      </c>
      <c r="G12002" s="42" t="str">
        <f>IFERROR(__xludf.DUMMYFUNCTION("""COMPUTED_VALUE"""),"")</f>
        <v/>
      </c>
      <c r="H12002" s="42">
        <f t="shared" si="1"/>
        <v>3345</v>
      </c>
    </row>
    <row r="12003" ht="22.5" customHeight="1">
      <c r="B12003" s="42" t="str">
        <f>IFERROR(__xludf.DUMMYFUNCTION("""COMPUTED_VALUE"""),"")</f>
        <v/>
      </c>
      <c r="C12003" s="42" t="str">
        <f>IFERROR(__xludf.DUMMYFUNCTION("""COMPUTED_VALUE"""),"")</f>
        <v/>
      </c>
      <c r="D12003" s="42"/>
      <c r="E12003" s="42"/>
      <c r="F12003" s="48" t="str">
        <f>IFERROR(__xludf.DUMMYFUNCTION("""COMPUTED_VALUE"""),"")</f>
        <v/>
      </c>
      <c r="G12003" s="42" t="str">
        <f>IFERROR(__xludf.DUMMYFUNCTION("""COMPUTED_VALUE"""),"")</f>
        <v/>
      </c>
      <c r="H12003" s="42">
        <f t="shared" si="1"/>
        <v>3345</v>
      </c>
    </row>
    <row r="12004" ht="22.5" customHeight="1">
      <c r="B12004" s="42" t="str">
        <f>IFERROR(__xludf.DUMMYFUNCTION("""COMPUTED_VALUE"""),"")</f>
        <v/>
      </c>
      <c r="C12004" s="42" t="str">
        <f>IFERROR(__xludf.DUMMYFUNCTION("""COMPUTED_VALUE"""),"")</f>
        <v/>
      </c>
      <c r="D12004" s="42"/>
      <c r="E12004" s="42"/>
      <c r="F12004" s="48" t="str">
        <f>IFERROR(__xludf.DUMMYFUNCTION("""COMPUTED_VALUE"""),"")</f>
        <v/>
      </c>
      <c r="G12004" s="42" t="str">
        <f>IFERROR(__xludf.DUMMYFUNCTION("""COMPUTED_VALUE"""),"")</f>
        <v/>
      </c>
      <c r="H12004" s="42">
        <f t="shared" si="1"/>
        <v>3345</v>
      </c>
    </row>
    <row r="12005" ht="22.5" customHeight="1">
      <c r="B12005" s="42" t="str">
        <f>IFERROR(__xludf.DUMMYFUNCTION("""COMPUTED_VALUE"""),"")</f>
        <v/>
      </c>
      <c r="C12005" s="42" t="str">
        <f>IFERROR(__xludf.DUMMYFUNCTION("""COMPUTED_VALUE"""),"")</f>
        <v/>
      </c>
      <c r="D12005" s="42"/>
      <c r="E12005" s="42"/>
      <c r="F12005" s="48" t="str">
        <f>IFERROR(__xludf.DUMMYFUNCTION("""COMPUTED_VALUE"""),"")</f>
        <v/>
      </c>
      <c r="G12005" s="42" t="str">
        <f>IFERROR(__xludf.DUMMYFUNCTION("""COMPUTED_VALUE"""),"")</f>
        <v/>
      </c>
      <c r="H12005" s="42">
        <f t="shared" si="1"/>
        <v>3345</v>
      </c>
    </row>
    <row r="12006" ht="22.5" customHeight="1">
      <c r="B12006" s="42" t="str">
        <f>IFERROR(__xludf.DUMMYFUNCTION("""COMPUTED_VALUE"""),"")</f>
        <v/>
      </c>
      <c r="C12006" s="42" t="str">
        <f>IFERROR(__xludf.DUMMYFUNCTION("""COMPUTED_VALUE"""),"")</f>
        <v/>
      </c>
      <c r="D12006" s="42"/>
      <c r="E12006" s="42"/>
      <c r="F12006" s="48" t="str">
        <f>IFERROR(__xludf.DUMMYFUNCTION("""COMPUTED_VALUE"""),"")</f>
        <v/>
      </c>
      <c r="G12006" s="42" t="str">
        <f>IFERROR(__xludf.DUMMYFUNCTION("""COMPUTED_VALUE"""),"")</f>
        <v/>
      </c>
      <c r="H12006" s="42">
        <f t="shared" si="1"/>
        <v>3345</v>
      </c>
    </row>
    <row r="12007" ht="22.5" customHeight="1">
      <c r="B12007" s="42" t="str">
        <f>IFERROR(__xludf.DUMMYFUNCTION("""COMPUTED_VALUE"""),"")</f>
        <v/>
      </c>
      <c r="C12007" s="42" t="str">
        <f>IFERROR(__xludf.DUMMYFUNCTION("""COMPUTED_VALUE"""),"")</f>
        <v/>
      </c>
      <c r="D12007" s="42"/>
      <c r="E12007" s="42"/>
      <c r="F12007" s="48" t="str">
        <f>IFERROR(__xludf.DUMMYFUNCTION("""COMPUTED_VALUE"""),"")</f>
        <v/>
      </c>
      <c r="G12007" s="42" t="str">
        <f>IFERROR(__xludf.DUMMYFUNCTION("""COMPUTED_VALUE"""),"")</f>
        <v/>
      </c>
      <c r="H12007" s="42">
        <f t="shared" si="1"/>
        <v>3345</v>
      </c>
    </row>
    <row r="12008" ht="22.5" customHeight="1">
      <c r="B12008" s="42" t="str">
        <f>IFERROR(__xludf.DUMMYFUNCTION("""COMPUTED_VALUE"""),"")</f>
        <v/>
      </c>
      <c r="C12008" s="42" t="str">
        <f>IFERROR(__xludf.DUMMYFUNCTION("""COMPUTED_VALUE"""),"")</f>
        <v/>
      </c>
      <c r="D12008" s="42"/>
      <c r="E12008" s="42"/>
      <c r="F12008" s="48" t="str">
        <f>IFERROR(__xludf.DUMMYFUNCTION("""COMPUTED_VALUE"""),"")</f>
        <v/>
      </c>
      <c r="G12008" s="42" t="str">
        <f>IFERROR(__xludf.DUMMYFUNCTION("""COMPUTED_VALUE"""),"")</f>
        <v/>
      </c>
      <c r="H12008" s="42">
        <f t="shared" si="1"/>
        <v>3345</v>
      </c>
    </row>
    <row r="12009" ht="22.5" customHeight="1">
      <c r="B12009" s="42" t="str">
        <f>IFERROR(__xludf.DUMMYFUNCTION("""COMPUTED_VALUE"""),"")</f>
        <v/>
      </c>
      <c r="C12009" s="42" t="str">
        <f>IFERROR(__xludf.DUMMYFUNCTION("""COMPUTED_VALUE"""),"")</f>
        <v/>
      </c>
      <c r="D12009" s="42"/>
      <c r="E12009" s="42"/>
      <c r="F12009" s="48" t="str">
        <f>IFERROR(__xludf.DUMMYFUNCTION("""COMPUTED_VALUE"""),"")</f>
        <v/>
      </c>
      <c r="G12009" s="42" t="str">
        <f>IFERROR(__xludf.DUMMYFUNCTION("""COMPUTED_VALUE"""),"")</f>
        <v/>
      </c>
      <c r="H12009" s="42">
        <f t="shared" si="1"/>
        <v>3345</v>
      </c>
    </row>
    <row r="12010" ht="22.5" customHeight="1">
      <c r="B12010" s="42" t="str">
        <f>IFERROR(__xludf.DUMMYFUNCTION("""COMPUTED_VALUE"""),"")</f>
        <v/>
      </c>
      <c r="C12010" s="42" t="str">
        <f>IFERROR(__xludf.DUMMYFUNCTION("""COMPUTED_VALUE"""),"")</f>
        <v/>
      </c>
      <c r="D12010" s="42"/>
      <c r="E12010" s="42"/>
      <c r="F12010" s="48" t="str">
        <f>IFERROR(__xludf.DUMMYFUNCTION("""COMPUTED_VALUE"""),"")</f>
        <v/>
      </c>
      <c r="G12010" s="42" t="str">
        <f>IFERROR(__xludf.DUMMYFUNCTION("""COMPUTED_VALUE"""),"")</f>
        <v/>
      </c>
      <c r="H12010" s="42">
        <f t="shared" si="1"/>
        <v>3345</v>
      </c>
    </row>
    <row r="12011" ht="22.5" customHeight="1">
      <c r="B12011" s="42" t="str">
        <f>IFERROR(__xludf.DUMMYFUNCTION("""COMPUTED_VALUE"""),"")</f>
        <v/>
      </c>
      <c r="C12011" s="42" t="str">
        <f>IFERROR(__xludf.DUMMYFUNCTION("""COMPUTED_VALUE"""),"")</f>
        <v/>
      </c>
      <c r="D12011" s="42"/>
      <c r="E12011" s="42"/>
      <c r="F12011" s="48" t="str">
        <f>IFERROR(__xludf.DUMMYFUNCTION("""COMPUTED_VALUE"""),"")</f>
        <v/>
      </c>
      <c r="G12011" s="42" t="str">
        <f>IFERROR(__xludf.DUMMYFUNCTION("""COMPUTED_VALUE"""),"")</f>
        <v/>
      </c>
      <c r="H12011" s="42">
        <f t="shared" si="1"/>
        <v>3345</v>
      </c>
    </row>
    <row r="12012" ht="22.5" customHeight="1">
      <c r="B12012" s="42" t="str">
        <f>IFERROR(__xludf.DUMMYFUNCTION("""COMPUTED_VALUE"""),"")</f>
        <v/>
      </c>
      <c r="C12012" s="42" t="str">
        <f>IFERROR(__xludf.DUMMYFUNCTION("""COMPUTED_VALUE"""),"")</f>
        <v/>
      </c>
      <c r="D12012" s="42"/>
      <c r="E12012" s="42"/>
      <c r="F12012" s="48" t="str">
        <f>IFERROR(__xludf.DUMMYFUNCTION("""COMPUTED_VALUE"""),"")</f>
        <v/>
      </c>
      <c r="G12012" s="42" t="str">
        <f>IFERROR(__xludf.DUMMYFUNCTION("""COMPUTED_VALUE"""),"")</f>
        <v/>
      </c>
      <c r="H12012" s="42">
        <f t="shared" si="1"/>
        <v>3345</v>
      </c>
    </row>
    <row r="12013" ht="22.5" customHeight="1">
      <c r="B12013" s="42" t="str">
        <f>IFERROR(__xludf.DUMMYFUNCTION("""COMPUTED_VALUE"""),"")</f>
        <v/>
      </c>
      <c r="C12013" s="42" t="str">
        <f>IFERROR(__xludf.DUMMYFUNCTION("""COMPUTED_VALUE"""),"")</f>
        <v/>
      </c>
      <c r="D12013" s="42"/>
      <c r="E12013" s="42"/>
      <c r="F12013" s="48" t="str">
        <f>IFERROR(__xludf.DUMMYFUNCTION("""COMPUTED_VALUE"""),"")</f>
        <v/>
      </c>
      <c r="G12013" s="42" t="str">
        <f>IFERROR(__xludf.DUMMYFUNCTION("""COMPUTED_VALUE"""),"")</f>
        <v/>
      </c>
      <c r="H12013" s="42">
        <f t="shared" si="1"/>
        <v>3345</v>
      </c>
    </row>
    <row r="12014" ht="22.5" customHeight="1">
      <c r="B12014" s="42" t="str">
        <f>IFERROR(__xludf.DUMMYFUNCTION("""COMPUTED_VALUE"""),"")</f>
        <v/>
      </c>
      <c r="C12014" s="42" t="str">
        <f>IFERROR(__xludf.DUMMYFUNCTION("""COMPUTED_VALUE"""),"")</f>
        <v/>
      </c>
      <c r="D12014" s="42"/>
      <c r="E12014" s="42"/>
      <c r="F12014" s="48" t="str">
        <f>IFERROR(__xludf.DUMMYFUNCTION("""COMPUTED_VALUE"""),"")</f>
        <v/>
      </c>
      <c r="G12014" s="42" t="str">
        <f>IFERROR(__xludf.DUMMYFUNCTION("""COMPUTED_VALUE"""),"")</f>
        <v/>
      </c>
      <c r="H12014" s="42">
        <f t="shared" si="1"/>
        <v>3345</v>
      </c>
    </row>
    <row r="12015" ht="22.5" customHeight="1">
      <c r="B12015" s="42" t="str">
        <f>IFERROR(__xludf.DUMMYFUNCTION("""COMPUTED_VALUE"""),"")</f>
        <v/>
      </c>
      <c r="C12015" s="42" t="str">
        <f>IFERROR(__xludf.DUMMYFUNCTION("""COMPUTED_VALUE"""),"")</f>
        <v/>
      </c>
      <c r="D12015" s="42"/>
      <c r="E12015" s="42"/>
      <c r="F12015" s="48" t="str">
        <f>IFERROR(__xludf.DUMMYFUNCTION("""COMPUTED_VALUE"""),"")</f>
        <v/>
      </c>
      <c r="G12015" s="42" t="str">
        <f>IFERROR(__xludf.DUMMYFUNCTION("""COMPUTED_VALUE"""),"")</f>
        <v/>
      </c>
      <c r="H12015" s="42">
        <f t="shared" si="1"/>
        <v>3345</v>
      </c>
    </row>
    <row r="12016" ht="22.5" customHeight="1">
      <c r="B12016" s="42" t="str">
        <f>IFERROR(__xludf.DUMMYFUNCTION("""COMPUTED_VALUE"""),"")</f>
        <v/>
      </c>
      <c r="C12016" s="42" t="str">
        <f>IFERROR(__xludf.DUMMYFUNCTION("""COMPUTED_VALUE"""),"")</f>
        <v/>
      </c>
      <c r="D12016" s="42"/>
      <c r="E12016" s="42"/>
      <c r="F12016" s="48" t="str">
        <f>IFERROR(__xludf.DUMMYFUNCTION("""COMPUTED_VALUE"""),"")</f>
        <v/>
      </c>
      <c r="G12016" s="42" t="str">
        <f>IFERROR(__xludf.DUMMYFUNCTION("""COMPUTED_VALUE"""),"")</f>
        <v/>
      </c>
      <c r="H12016" s="42">
        <f t="shared" si="1"/>
        <v>3345</v>
      </c>
    </row>
    <row r="12017" ht="22.5" customHeight="1">
      <c r="B12017" s="42" t="str">
        <f>IFERROR(__xludf.DUMMYFUNCTION("""COMPUTED_VALUE"""),"")</f>
        <v/>
      </c>
      <c r="C12017" s="42" t="str">
        <f>IFERROR(__xludf.DUMMYFUNCTION("""COMPUTED_VALUE"""),"")</f>
        <v/>
      </c>
      <c r="D12017" s="42"/>
      <c r="E12017" s="42"/>
      <c r="F12017" s="48" t="str">
        <f>IFERROR(__xludf.DUMMYFUNCTION("""COMPUTED_VALUE"""),"")</f>
        <v/>
      </c>
      <c r="G12017" s="42" t="str">
        <f>IFERROR(__xludf.DUMMYFUNCTION("""COMPUTED_VALUE"""),"")</f>
        <v/>
      </c>
      <c r="H12017" s="42">
        <f t="shared" si="1"/>
        <v>3345</v>
      </c>
    </row>
    <row r="12018" ht="22.5" customHeight="1">
      <c r="B12018" s="42" t="str">
        <f>IFERROR(__xludf.DUMMYFUNCTION("""COMPUTED_VALUE"""),"")</f>
        <v/>
      </c>
      <c r="C12018" s="42" t="str">
        <f>IFERROR(__xludf.DUMMYFUNCTION("""COMPUTED_VALUE"""),"")</f>
        <v/>
      </c>
      <c r="D12018" s="42"/>
      <c r="E12018" s="42"/>
      <c r="F12018" s="48" t="str">
        <f>IFERROR(__xludf.DUMMYFUNCTION("""COMPUTED_VALUE"""),"")</f>
        <v/>
      </c>
      <c r="G12018" s="42" t="str">
        <f>IFERROR(__xludf.DUMMYFUNCTION("""COMPUTED_VALUE"""),"")</f>
        <v/>
      </c>
      <c r="H12018" s="42">
        <f t="shared" si="1"/>
        <v>3345</v>
      </c>
    </row>
    <row r="12019" ht="22.5" customHeight="1">
      <c r="B12019" s="42" t="str">
        <f>IFERROR(__xludf.DUMMYFUNCTION("""COMPUTED_VALUE"""),"")</f>
        <v/>
      </c>
      <c r="C12019" s="42" t="str">
        <f>IFERROR(__xludf.DUMMYFUNCTION("""COMPUTED_VALUE"""),"")</f>
        <v/>
      </c>
      <c r="D12019" s="42"/>
      <c r="E12019" s="42"/>
      <c r="F12019" s="48" t="str">
        <f>IFERROR(__xludf.DUMMYFUNCTION("""COMPUTED_VALUE"""),"")</f>
        <v/>
      </c>
      <c r="G12019" s="42" t="str">
        <f>IFERROR(__xludf.DUMMYFUNCTION("""COMPUTED_VALUE"""),"")</f>
        <v/>
      </c>
      <c r="H12019" s="42">
        <f t="shared" si="1"/>
        <v>3345</v>
      </c>
    </row>
    <row r="12020" ht="22.5" customHeight="1">
      <c r="B12020" s="42" t="str">
        <f>IFERROR(__xludf.DUMMYFUNCTION("""COMPUTED_VALUE"""),"")</f>
        <v/>
      </c>
      <c r="C12020" s="42" t="str">
        <f>IFERROR(__xludf.DUMMYFUNCTION("""COMPUTED_VALUE"""),"")</f>
        <v/>
      </c>
      <c r="D12020" s="42"/>
      <c r="E12020" s="42"/>
      <c r="F12020" s="48" t="str">
        <f>IFERROR(__xludf.DUMMYFUNCTION("""COMPUTED_VALUE"""),"")</f>
        <v/>
      </c>
      <c r="G12020" s="42" t="str">
        <f>IFERROR(__xludf.DUMMYFUNCTION("""COMPUTED_VALUE"""),"")</f>
        <v/>
      </c>
      <c r="H12020" s="42">
        <f t="shared" si="1"/>
        <v>3345</v>
      </c>
    </row>
    <row r="12021" ht="22.5" customHeight="1">
      <c r="B12021" s="42" t="str">
        <f>IFERROR(__xludf.DUMMYFUNCTION("""COMPUTED_VALUE"""),"")</f>
        <v/>
      </c>
      <c r="C12021" s="42" t="str">
        <f>IFERROR(__xludf.DUMMYFUNCTION("""COMPUTED_VALUE"""),"")</f>
        <v/>
      </c>
      <c r="D12021" s="42"/>
      <c r="E12021" s="42"/>
      <c r="F12021" s="48" t="str">
        <f>IFERROR(__xludf.DUMMYFUNCTION("""COMPUTED_VALUE"""),"")</f>
        <v/>
      </c>
      <c r="G12021" s="42" t="str">
        <f>IFERROR(__xludf.DUMMYFUNCTION("""COMPUTED_VALUE"""),"")</f>
        <v/>
      </c>
      <c r="H12021" s="42">
        <f t="shared" si="1"/>
        <v>3345</v>
      </c>
    </row>
    <row r="12022" ht="22.5" customHeight="1">
      <c r="B12022" s="42" t="str">
        <f>IFERROR(__xludf.DUMMYFUNCTION("""COMPUTED_VALUE"""),"")</f>
        <v/>
      </c>
      <c r="C12022" s="42" t="str">
        <f>IFERROR(__xludf.DUMMYFUNCTION("""COMPUTED_VALUE"""),"")</f>
        <v/>
      </c>
      <c r="D12022" s="42"/>
      <c r="E12022" s="42"/>
      <c r="F12022" s="48" t="str">
        <f>IFERROR(__xludf.DUMMYFUNCTION("""COMPUTED_VALUE"""),"")</f>
        <v/>
      </c>
      <c r="G12022" s="42" t="str">
        <f>IFERROR(__xludf.DUMMYFUNCTION("""COMPUTED_VALUE"""),"")</f>
        <v/>
      </c>
      <c r="H12022" s="42">
        <f t="shared" si="1"/>
        <v>3345</v>
      </c>
    </row>
    <row r="12023" ht="22.5" customHeight="1">
      <c r="B12023" s="42" t="str">
        <f>IFERROR(__xludf.DUMMYFUNCTION("""COMPUTED_VALUE"""),"")</f>
        <v/>
      </c>
      <c r="C12023" s="42" t="str">
        <f>IFERROR(__xludf.DUMMYFUNCTION("""COMPUTED_VALUE"""),"")</f>
        <v/>
      </c>
      <c r="D12023" s="42"/>
      <c r="E12023" s="42"/>
      <c r="F12023" s="48" t="str">
        <f>IFERROR(__xludf.DUMMYFUNCTION("""COMPUTED_VALUE"""),"")</f>
        <v/>
      </c>
      <c r="G12023" s="42" t="str">
        <f>IFERROR(__xludf.DUMMYFUNCTION("""COMPUTED_VALUE"""),"")</f>
        <v/>
      </c>
      <c r="H12023" s="42">
        <f t="shared" si="1"/>
        <v>3345</v>
      </c>
    </row>
    <row r="12024" ht="22.5" customHeight="1">
      <c r="B12024" s="42" t="str">
        <f>IFERROR(__xludf.DUMMYFUNCTION("""COMPUTED_VALUE"""),"")</f>
        <v/>
      </c>
      <c r="C12024" s="42" t="str">
        <f>IFERROR(__xludf.DUMMYFUNCTION("""COMPUTED_VALUE"""),"")</f>
        <v/>
      </c>
      <c r="D12024" s="42"/>
      <c r="E12024" s="42"/>
      <c r="F12024" s="48" t="str">
        <f>IFERROR(__xludf.DUMMYFUNCTION("""COMPUTED_VALUE"""),"")</f>
        <v/>
      </c>
      <c r="G12024" s="42" t="str">
        <f>IFERROR(__xludf.DUMMYFUNCTION("""COMPUTED_VALUE"""),"")</f>
        <v/>
      </c>
      <c r="H12024" s="42">
        <f t="shared" si="1"/>
        <v>3345</v>
      </c>
    </row>
    <row r="12025" ht="22.5" customHeight="1">
      <c r="B12025" s="42" t="str">
        <f>IFERROR(__xludf.DUMMYFUNCTION("""COMPUTED_VALUE"""),"")</f>
        <v/>
      </c>
      <c r="C12025" s="42" t="str">
        <f>IFERROR(__xludf.DUMMYFUNCTION("""COMPUTED_VALUE"""),"")</f>
        <v/>
      </c>
      <c r="D12025" s="42"/>
      <c r="E12025" s="42"/>
      <c r="F12025" s="48" t="str">
        <f>IFERROR(__xludf.DUMMYFUNCTION("""COMPUTED_VALUE"""),"")</f>
        <v/>
      </c>
      <c r="G12025" s="42" t="str">
        <f>IFERROR(__xludf.DUMMYFUNCTION("""COMPUTED_VALUE"""),"")</f>
        <v/>
      </c>
      <c r="H12025" s="42">
        <f t="shared" si="1"/>
        <v>3345</v>
      </c>
    </row>
    <row r="12026" ht="22.5" customHeight="1">
      <c r="B12026" s="42" t="str">
        <f>IFERROR(__xludf.DUMMYFUNCTION("""COMPUTED_VALUE"""),"")</f>
        <v/>
      </c>
      <c r="C12026" s="42" t="str">
        <f>IFERROR(__xludf.DUMMYFUNCTION("""COMPUTED_VALUE"""),"")</f>
        <v/>
      </c>
      <c r="D12026" s="42"/>
      <c r="E12026" s="42"/>
      <c r="F12026" s="48" t="str">
        <f>IFERROR(__xludf.DUMMYFUNCTION("""COMPUTED_VALUE"""),"")</f>
        <v/>
      </c>
      <c r="G12026" s="42" t="str">
        <f>IFERROR(__xludf.DUMMYFUNCTION("""COMPUTED_VALUE"""),"")</f>
        <v/>
      </c>
      <c r="H12026" s="42">
        <f t="shared" si="1"/>
        <v>3345</v>
      </c>
    </row>
    <row r="12027" ht="22.5" customHeight="1">
      <c r="B12027" s="42" t="str">
        <f>IFERROR(__xludf.DUMMYFUNCTION("""COMPUTED_VALUE"""),"")</f>
        <v/>
      </c>
      <c r="C12027" s="42" t="str">
        <f>IFERROR(__xludf.DUMMYFUNCTION("""COMPUTED_VALUE"""),"")</f>
        <v/>
      </c>
      <c r="D12027" s="42"/>
      <c r="E12027" s="42"/>
      <c r="F12027" s="48" t="str">
        <f>IFERROR(__xludf.DUMMYFUNCTION("""COMPUTED_VALUE"""),"")</f>
        <v/>
      </c>
      <c r="G12027" s="42" t="str">
        <f>IFERROR(__xludf.DUMMYFUNCTION("""COMPUTED_VALUE"""),"")</f>
        <v/>
      </c>
      <c r="H12027" s="42">
        <f t="shared" si="1"/>
        <v>3345</v>
      </c>
    </row>
    <row r="12028" ht="22.5" customHeight="1">
      <c r="B12028" s="42" t="str">
        <f>IFERROR(__xludf.DUMMYFUNCTION("""COMPUTED_VALUE"""),"")</f>
        <v/>
      </c>
      <c r="C12028" s="42" t="str">
        <f>IFERROR(__xludf.DUMMYFUNCTION("""COMPUTED_VALUE"""),"")</f>
        <v/>
      </c>
      <c r="D12028" s="42"/>
      <c r="E12028" s="42"/>
      <c r="F12028" s="48" t="str">
        <f>IFERROR(__xludf.DUMMYFUNCTION("""COMPUTED_VALUE"""),"")</f>
        <v/>
      </c>
      <c r="G12028" s="42" t="str">
        <f>IFERROR(__xludf.DUMMYFUNCTION("""COMPUTED_VALUE"""),"")</f>
        <v/>
      </c>
      <c r="H12028" s="42">
        <f t="shared" si="1"/>
        <v>3345</v>
      </c>
    </row>
    <row r="12029" ht="22.5" customHeight="1">
      <c r="B12029" s="42" t="str">
        <f>IFERROR(__xludf.DUMMYFUNCTION("""COMPUTED_VALUE"""),"")</f>
        <v/>
      </c>
      <c r="C12029" s="42" t="str">
        <f>IFERROR(__xludf.DUMMYFUNCTION("""COMPUTED_VALUE"""),"")</f>
        <v/>
      </c>
      <c r="D12029" s="42"/>
      <c r="E12029" s="42"/>
      <c r="F12029" s="48" t="str">
        <f>IFERROR(__xludf.DUMMYFUNCTION("""COMPUTED_VALUE"""),"")</f>
        <v/>
      </c>
      <c r="G12029" s="42" t="str">
        <f>IFERROR(__xludf.DUMMYFUNCTION("""COMPUTED_VALUE"""),"")</f>
        <v/>
      </c>
      <c r="H12029" s="42">
        <f t="shared" si="1"/>
        <v>3345</v>
      </c>
    </row>
    <row r="12030" ht="22.5" customHeight="1">
      <c r="B12030" s="42" t="str">
        <f>IFERROR(__xludf.DUMMYFUNCTION("""COMPUTED_VALUE"""),"")</f>
        <v/>
      </c>
      <c r="C12030" s="42" t="str">
        <f>IFERROR(__xludf.DUMMYFUNCTION("""COMPUTED_VALUE"""),"")</f>
        <v/>
      </c>
      <c r="D12030" s="42"/>
      <c r="E12030" s="42"/>
      <c r="F12030" s="48" t="str">
        <f>IFERROR(__xludf.DUMMYFUNCTION("""COMPUTED_VALUE"""),"")</f>
        <v/>
      </c>
      <c r="G12030" s="42" t="str">
        <f>IFERROR(__xludf.DUMMYFUNCTION("""COMPUTED_VALUE"""),"")</f>
        <v/>
      </c>
      <c r="H12030" s="42">
        <f t="shared" si="1"/>
        <v>3345</v>
      </c>
    </row>
    <row r="12031" ht="22.5" customHeight="1">
      <c r="B12031" s="42" t="str">
        <f>IFERROR(__xludf.DUMMYFUNCTION("""COMPUTED_VALUE"""),"")</f>
        <v/>
      </c>
      <c r="C12031" s="42" t="str">
        <f>IFERROR(__xludf.DUMMYFUNCTION("""COMPUTED_VALUE"""),"")</f>
        <v/>
      </c>
      <c r="D12031" s="42"/>
      <c r="E12031" s="42"/>
      <c r="F12031" s="48" t="str">
        <f>IFERROR(__xludf.DUMMYFUNCTION("""COMPUTED_VALUE"""),"")</f>
        <v/>
      </c>
      <c r="G12031" s="42" t="str">
        <f>IFERROR(__xludf.DUMMYFUNCTION("""COMPUTED_VALUE"""),"")</f>
        <v/>
      </c>
      <c r="H12031" s="42">
        <f t="shared" si="1"/>
        <v>3345</v>
      </c>
    </row>
    <row r="12032" ht="22.5" customHeight="1">
      <c r="B12032" s="42" t="str">
        <f>IFERROR(__xludf.DUMMYFUNCTION("""COMPUTED_VALUE"""),"")</f>
        <v/>
      </c>
      <c r="C12032" s="42" t="str">
        <f>IFERROR(__xludf.DUMMYFUNCTION("""COMPUTED_VALUE"""),"")</f>
        <v/>
      </c>
      <c r="D12032" s="42"/>
      <c r="E12032" s="42"/>
      <c r="F12032" s="48" t="str">
        <f>IFERROR(__xludf.DUMMYFUNCTION("""COMPUTED_VALUE"""),"")</f>
        <v/>
      </c>
      <c r="G12032" s="42" t="str">
        <f>IFERROR(__xludf.DUMMYFUNCTION("""COMPUTED_VALUE"""),"")</f>
        <v/>
      </c>
      <c r="H12032" s="42">
        <f t="shared" si="1"/>
        <v>3345</v>
      </c>
    </row>
    <row r="12033" ht="22.5" customHeight="1">
      <c r="B12033" s="42" t="str">
        <f>IFERROR(__xludf.DUMMYFUNCTION("""COMPUTED_VALUE"""),"")</f>
        <v/>
      </c>
      <c r="C12033" s="42" t="str">
        <f>IFERROR(__xludf.DUMMYFUNCTION("""COMPUTED_VALUE"""),"")</f>
        <v/>
      </c>
      <c r="D12033" s="42"/>
      <c r="E12033" s="42"/>
      <c r="F12033" s="48" t="str">
        <f>IFERROR(__xludf.DUMMYFUNCTION("""COMPUTED_VALUE"""),"")</f>
        <v/>
      </c>
      <c r="G12033" s="42" t="str">
        <f>IFERROR(__xludf.DUMMYFUNCTION("""COMPUTED_VALUE"""),"")</f>
        <v/>
      </c>
      <c r="H12033" s="42">
        <f t="shared" si="1"/>
        <v>3345</v>
      </c>
    </row>
    <row r="12034" ht="22.5" customHeight="1">
      <c r="B12034" s="42" t="str">
        <f>IFERROR(__xludf.DUMMYFUNCTION("""COMPUTED_VALUE"""),"")</f>
        <v/>
      </c>
      <c r="C12034" s="42" t="str">
        <f>IFERROR(__xludf.DUMMYFUNCTION("""COMPUTED_VALUE"""),"")</f>
        <v/>
      </c>
      <c r="D12034" s="42"/>
      <c r="E12034" s="42"/>
      <c r="F12034" s="48" t="str">
        <f>IFERROR(__xludf.DUMMYFUNCTION("""COMPUTED_VALUE"""),"")</f>
        <v/>
      </c>
      <c r="G12034" s="42" t="str">
        <f>IFERROR(__xludf.DUMMYFUNCTION("""COMPUTED_VALUE"""),"")</f>
        <v/>
      </c>
      <c r="H12034" s="42">
        <f t="shared" si="1"/>
        <v>3345</v>
      </c>
    </row>
    <row r="12035" ht="22.5" customHeight="1">
      <c r="B12035" s="42" t="str">
        <f>IFERROR(__xludf.DUMMYFUNCTION("""COMPUTED_VALUE"""),"")</f>
        <v/>
      </c>
      <c r="C12035" s="42" t="str">
        <f>IFERROR(__xludf.DUMMYFUNCTION("""COMPUTED_VALUE"""),"")</f>
        <v/>
      </c>
      <c r="D12035" s="42"/>
      <c r="E12035" s="42"/>
      <c r="F12035" s="48" t="str">
        <f>IFERROR(__xludf.DUMMYFUNCTION("""COMPUTED_VALUE"""),"")</f>
        <v/>
      </c>
      <c r="G12035" s="42" t="str">
        <f>IFERROR(__xludf.DUMMYFUNCTION("""COMPUTED_VALUE"""),"")</f>
        <v/>
      </c>
      <c r="H12035" s="42">
        <f t="shared" si="1"/>
        <v>3345</v>
      </c>
    </row>
    <row r="12036" ht="22.5" customHeight="1">
      <c r="B12036" s="42" t="str">
        <f>IFERROR(__xludf.DUMMYFUNCTION("""COMPUTED_VALUE"""),"")</f>
        <v/>
      </c>
      <c r="C12036" s="42" t="str">
        <f>IFERROR(__xludf.DUMMYFUNCTION("""COMPUTED_VALUE"""),"")</f>
        <v/>
      </c>
      <c r="D12036" s="42"/>
      <c r="E12036" s="42"/>
      <c r="F12036" s="48" t="str">
        <f>IFERROR(__xludf.DUMMYFUNCTION("""COMPUTED_VALUE"""),"")</f>
        <v/>
      </c>
      <c r="G12036" s="42" t="str">
        <f>IFERROR(__xludf.DUMMYFUNCTION("""COMPUTED_VALUE"""),"")</f>
        <v/>
      </c>
      <c r="H12036" s="42">
        <f t="shared" si="1"/>
        <v>3345</v>
      </c>
    </row>
    <row r="12037" ht="22.5" customHeight="1">
      <c r="B12037" s="42" t="str">
        <f>IFERROR(__xludf.DUMMYFUNCTION("""COMPUTED_VALUE"""),"")</f>
        <v/>
      </c>
      <c r="C12037" s="42" t="str">
        <f>IFERROR(__xludf.DUMMYFUNCTION("""COMPUTED_VALUE"""),"")</f>
        <v/>
      </c>
      <c r="D12037" s="42"/>
      <c r="E12037" s="42"/>
      <c r="F12037" s="48" t="str">
        <f>IFERROR(__xludf.DUMMYFUNCTION("""COMPUTED_VALUE"""),"")</f>
        <v/>
      </c>
      <c r="G12037" s="42" t="str">
        <f>IFERROR(__xludf.DUMMYFUNCTION("""COMPUTED_VALUE"""),"")</f>
        <v/>
      </c>
      <c r="H12037" s="42">
        <f t="shared" si="1"/>
        <v>3345</v>
      </c>
    </row>
    <row r="12038" ht="22.5" customHeight="1">
      <c r="B12038" s="42" t="str">
        <f>IFERROR(__xludf.DUMMYFUNCTION("""COMPUTED_VALUE"""),"")</f>
        <v/>
      </c>
      <c r="C12038" s="42" t="str">
        <f>IFERROR(__xludf.DUMMYFUNCTION("""COMPUTED_VALUE"""),"")</f>
        <v/>
      </c>
      <c r="D12038" s="42"/>
      <c r="E12038" s="42"/>
      <c r="F12038" s="48" t="str">
        <f>IFERROR(__xludf.DUMMYFUNCTION("""COMPUTED_VALUE"""),"")</f>
        <v/>
      </c>
      <c r="G12038" s="42" t="str">
        <f>IFERROR(__xludf.DUMMYFUNCTION("""COMPUTED_VALUE"""),"")</f>
        <v/>
      </c>
      <c r="H12038" s="42">
        <f t="shared" si="1"/>
        <v>3345</v>
      </c>
    </row>
    <row r="12039" ht="22.5" customHeight="1">
      <c r="B12039" s="42" t="str">
        <f>IFERROR(__xludf.DUMMYFUNCTION("""COMPUTED_VALUE"""),"")</f>
        <v/>
      </c>
      <c r="C12039" s="42" t="str">
        <f>IFERROR(__xludf.DUMMYFUNCTION("""COMPUTED_VALUE"""),"")</f>
        <v/>
      </c>
      <c r="D12039" s="42"/>
      <c r="E12039" s="42"/>
      <c r="F12039" s="48" t="str">
        <f>IFERROR(__xludf.DUMMYFUNCTION("""COMPUTED_VALUE"""),"")</f>
        <v/>
      </c>
      <c r="G12039" s="42" t="str">
        <f>IFERROR(__xludf.DUMMYFUNCTION("""COMPUTED_VALUE"""),"")</f>
        <v/>
      </c>
      <c r="H12039" s="42">
        <f t="shared" si="1"/>
        <v>3345</v>
      </c>
    </row>
    <row r="12040" ht="22.5" customHeight="1">
      <c r="B12040" s="42" t="str">
        <f>IFERROR(__xludf.DUMMYFUNCTION("""COMPUTED_VALUE"""),"")</f>
        <v/>
      </c>
      <c r="C12040" s="42" t="str">
        <f>IFERROR(__xludf.DUMMYFUNCTION("""COMPUTED_VALUE"""),"")</f>
        <v/>
      </c>
      <c r="D12040" s="42"/>
      <c r="E12040" s="42"/>
      <c r="F12040" s="48" t="str">
        <f>IFERROR(__xludf.DUMMYFUNCTION("""COMPUTED_VALUE"""),"")</f>
        <v/>
      </c>
      <c r="G12040" s="42" t="str">
        <f>IFERROR(__xludf.DUMMYFUNCTION("""COMPUTED_VALUE"""),"")</f>
        <v/>
      </c>
      <c r="H12040" s="42">
        <f t="shared" si="1"/>
        <v>3345</v>
      </c>
    </row>
    <row r="12041" ht="22.5" customHeight="1">
      <c r="B12041" s="42" t="str">
        <f>IFERROR(__xludf.DUMMYFUNCTION("""COMPUTED_VALUE"""),"")</f>
        <v/>
      </c>
      <c r="C12041" s="42" t="str">
        <f>IFERROR(__xludf.DUMMYFUNCTION("""COMPUTED_VALUE"""),"")</f>
        <v/>
      </c>
      <c r="D12041" s="42"/>
      <c r="E12041" s="42"/>
      <c r="F12041" s="48" t="str">
        <f>IFERROR(__xludf.DUMMYFUNCTION("""COMPUTED_VALUE"""),"")</f>
        <v/>
      </c>
      <c r="G12041" s="42" t="str">
        <f>IFERROR(__xludf.DUMMYFUNCTION("""COMPUTED_VALUE"""),"")</f>
        <v/>
      </c>
      <c r="H12041" s="42">
        <f t="shared" si="1"/>
        <v>3345</v>
      </c>
    </row>
    <row r="12042" ht="22.5" customHeight="1">
      <c r="B12042" s="42" t="str">
        <f>IFERROR(__xludf.DUMMYFUNCTION("""COMPUTED_VALUE"""),"")</f>
        <v/>
      </c>
      <c r="C12042" s="42" t="str">
        <f>IFERROR(__xludf.DUMMYFUNCTION("""COMPUTED_VALUE"""),"")</f>
        <v/>
      </c>
      <c r="D12042" s="42"/>
      <c r="E12042" s="42"/>
      <c r="F12042" s="48" t="str">
        <f>IFERROR(__xludf.DUMMYFUNCTION("""COMPUTED_VALUE"""),"")</f>
        <v/>
      </c>
      <c r="G12042" s="42" t="str">
        <f>IFERROR(__xludf.DUMMYFUNCTION("""COMPUTED_VALUE"""),"")</f>
        <v/>
      </c>
      <c r="H12042" s="42">
        <f t="shared" si="1"/>
        <v>3345</v>
      </c>
    </row>
    <row r="12043" ht="22.5" customHeight="1">
      <c r="B12043" s="42" t="str">
        <f>IFERROR(__xludf.DUMMYFUNCTION("""COMPUTED_VALUE"""),"")</f>
        <v/>
      </c>
      <c r="C12043" s="42" t="str">
        <f>IFERROR(__xludf.DUMMYFUNCTION("""COMPUTED_VALUE"""),"")</f>
        <v/>
      </c>
      <c r="D12043" s="42"/>
      <c r="E12043" s="42"/>
      <c r="F12043" s="48" t="str">
        <f>IFERROR(__xludf.DUMMYFUNCTION("""COMPUTED_VALUE"""),"")</f>
        <v/>
      </c>
      <c r="G12043" s="42" t="str">
        <f>IFERROR(__xludf.DUMMYFUNCTION("""COMPUTED_VALUE"""),"")</f>
        <v/>
      </c>
      <c r="H12043" s="42">
        <f t="shared" si="1"/>
        <v>3345</v>
      </c>
    </row>
    <row r="12044" ht="22.5" customHeight="1">
      <c r="B12044" s="42" t="str">
        <f>IFERROR(__xludf.DUMMYFUNCTION("""COMPUTED_VALUE"""),"")</f>
        <v/>
      </c>
      <c r="C12044" s="42" t="str">
        <f>IFERROR(__xludf.DUMMYFUNCTION("""COMPUTED_VALUE"""),"")</f>
        <v/>
      </c>
      <c r="D12044" s="42"/>
      <c r="E12044" s="42"/>
      <c r="F12044" s="48" t="str">
        <f>IFERROR(__xludf.DUMMYFUNCTION("""COMPUTED_VALUE"""),"")</f>
        <v/>
      </c>
      <c r="G12044" s="42" t="str">
        <f>IFERROR(__xludf.DUMMYFUNCTION("""COMPUTED_VALUE"""),"")</f>
        <v/>
      </c>
      <c r="H12044" s="42">
        <f t="shared" si="1"/>
        <v>3345</v>
      </c>
    </row>
    <row r="12045" ht="22.5" customHeight="1">
      <c r="B12045" s="42" t="str">
        <f>IFERROR(__xludf.DUMMYFUNCTION("""COMPUTED_VALUE"""),"")</f>
        <v/>
      </c>
      <c r="C12045" s="42" t="str">
        <f>IFERROR(__xludf.DUMMYFUNCTION("""COMPUTED_VALUE"""),"")</f>
        <v/>
      </c>
      <c r="D12045" s="42"/>
      <c r="E12045" s="42"/>
      <c r="F12045" s="48" t="str">
        <f>IFERROR(__xludf.DUMMYFUNCTION("""COMPUTED_VALUE"""),"")</f>
        <v/>
      </c>
      <c r="G12045" s="42" t="str">
        <f>IFERROR(__xludf.DUMMYFUNCTION("""COMPUTED_VALUE"""),"")</f>
        <v/>
      </c>
      <c r="H12045" s="42">
        <f t="shared" si="1"/>
        <v>3345</v>
      </c>
    </row>
    <row r="12046" ht="22.5" customHeight="1">
      <c r="B12046" s="42" t="str">
        <f>IFERROR(__xludf.DUMMYFUNCTION("""COMPUTED_VALUE"""),"")</f>
        <v/>
      </c>
      <c r="C12046" s="42" t="str">
        <f>IFERROR(__xludf.DUMMYFUNCTION("""COMPUTED_VALUE"""),"")</f>
        <v/>
      </c>
      <c r="D12046" s="42"/>
      <c r="E12046" s="42"/>
      <c r="F12046" s="48" t="str">
        <f>IFERROR(__xludf.DUMMYFUNCTION("""COMPUTED_VALUE"""),"")</f>
        <v/>
      </c>
      <c r="G12046" s="42" t="str">
        <f>IFERROR(__xludf.DUMMYFUNCTION("""COMPUTED_VALUE"""),"")</f>
        <v/>
      </c>
      <c r="H12046" s="42">
        <f t="shared" si="1"/>
        <v>3345</v>
      </c>
    </row>
    <row r="12047" ht="22.5" customHeight="1">
      <c r="B12047" s="42" t="str">
        <f>IFERROR(__xludf.DUMMYFUNCTION("""COMPUTED_VALUE"""),"")</f>
        <v/>
      </c>
      <c r="C12047" s="42" t="str">
        <f>IFERROR(__xludf.DUMMYFUNCTION("""COMPUTED_VALUE"""),"")</f>
        <v/>
      </c>
      <c r="D12047" s="42"/>
      <c r="E12047" s="42"/>
      <c r="F12047" s="48" t="str">
        <f>IFERROR(__xludf.DUMMYFUNCTION("""COMPUTED_VALUE"""),"")</f>
        <v/>
      </c>
      <c r="G12047" s="42" t="str">
        <f>IFERROR(__xludf.DUMMYFUNCTION("""COMPUTED_VALUE"""),"")</f>
        <v/>
      </c>
      <c r="H12047" s="42">
        <f t="shared" si="1"/>
        <v>3345</v>
      </c>
    </row>
    <row r="12048" ht="22.5" customHeight="1">
      <c r="B12048" s="42" t="str">
        <f>IFERROR(__xludf.DUMMYFUNCTION("""COMPUTED_VALUE"""),"")</f>
        <v/>
      </c>
      <c r="C12048" s="42" t="str">
        <f>IFERROR(__xludf.DUMMYFUNCTION("""COMPUTED_VALUE"""),"")</f>
        <v/>
      </c>
      <c r="D12048" s="42"/>
      <c r="E12048" s="42"/>
      <c r="F12048" s="48" t="str">
        <f>IFERROR(__xludf.DUMMYFUNCTION("""COMPUTED_VALUE"""),"")</f>
        <v/>
      </c>
      <c r="G12048" s="42" t="str">
        <f>IFERROR(__xludf.DUMMYFUNCTION("""COMPUTED_VALUE"""),"")</f>
        <v/>
      </c>
      <c r="H12048" s="42">
        <f t="shared" si="1"/>
        <v>3345</v>
      </c>
    </row>
    <row r="12049" ht="22.5" customHeight="1">
      <c r="B12049" s="42" t="str">
        <f>IFERROR(__xludf.DUMMYFUNCTION("""COMPUTED_VALUE"""),"")</f>
        <v/>
      </c>
      <c r="C12049" s="42" t="str">
        <f>IFERROR(__xludf.DUMMYFUNCTION("""COMPUTED_VALUE"""),"")</f>
        <v/>
      </c>
      <c r="D12049" s="42"/>
      <c r="E12049" s="42"/>
      <c r="F12049" s="48" t="str">
        <f>IFERROR(__xludf.DUMMYFUNCTION("""COMPUTED_VALUE"""),"")</f>
        <v/>
      </c>
      <c r="G12049" s="42" t="str">
        <f>IFERROR(__xludf.DUMMYFUNCTION("""COMPUTED_VALUE"""),"")</f>
        <v/>
      </c>
      <c r="H12049" s="42">
        <f t="shared" si="1"/>
        <v>3345</v>
      </c>
    </row>
    <row r="12050" ht="22.5" customHeight="1">
      <c r="B12050" s="42" t="str">
        <f>IFERROR(__xludf.DUMMYFUNCTION("""COMPUTED_VALUE"""),"")</f>
        <v/>
      </c>
      <c r="C12050" s="42" t="str">
        <f>IFERROR(__xludf.DUMMYFUNCTION("""COMPUTED_VALUE"""),"")</f>
        <v/>
      </c>
      <c r="D12050" s="42"/>
      <c r="E12050" s="42"/>
      <c r="F12050" s="48" t="str">
        <f>IFERROR(__xludf.DUMMYFUNCTION("""COMPUTED_VALUE"""),"")</f>
        <v/>
      </c>
      <c r="G12050" s="42" t="str">
        <f>IFERROR(__xludf.DUMMYFUNCTION("""COMPUTED_VALUE"""),"")</f>
        <v/>
      </c>
      <c r="H12050" s="42">
        <f t="shared" si="1"/>
        <v>3345</v>
      </c>
    </row>
    <row r="12051" ht="22.5" customHeight="1">
      <c r="B12051" s="42" t="str">
        <f>IFERROR(__xludf.DUMMYFUNCTION("""COMPUTED_VALUE"""),"")</f>
        <v/>
      </c>
      <c r="C12051" s="42" t="str">
        <f>IFERROR(__xludf.DUMMYFUNCTION("""COMPUTED_VALUE"""),"")</f>
        <v/>
      </c>
      <c r="D12051" s="42"/>
      <c r="E12051" s="42"/>
      <c r="F12051" s="48" t="str">
        <f>IFERROR(__xludf.DUMMYFUNCTION("""COMPUTED_VALUE"""),"")</f>
        <v/>
      </c>
      <c r="G12051" s="42" t="str">
        <f>IFERROR(__xludf.DUMMYFUNCTION("""COMPUTED_VALUE"""),"")</f>
        <v/>
      </c>
      <c r="H12051" s="42">
        <f t="shared" si="1"/>
        <v>3345</v>
      </c>
    </row>
    <row r="12052" ht="22.5" customHeight="1">
      <c r="B12052" s="42" t="str">
        <f>IFERROR(__xludf.DUMMYFUNCTION("""COMPUTED_VALUE"""),"")</f>
        <v/>
      </c>
      <c r="C12052" s="42" t="str">
        <f>IFERROR(__xludf.DUMMYFUNCTION("""COMPUTED_VALUE"""),"")</f>
        <v/>
      </c>
      <c r="D12052" s="42"/>
      <c r="E12052" s="42"/>
      <c r="F12052" s="48" t="str">
        <f>IFERROR(__xludf.DUMMYFUNCTION("""COMPUTED_VALUE"""),"")</f>
        <v/>
      </c>
      <c r="G12052" s="42" t="str">
        <f>IFERROR(__xludf.DUMMYFUNCTION("""COMPUTED_VALUE"""),"")</f>
        <v/>
      </c>
      <c r="H12052" s="42">
        <f t="shared" si="1"/>
        <v>3345</v>
      </c>
    </row>
    <row r="12053" ht="22.5" customHeight="1">
      <c r="B12053" s="42" t="str">
        <f>IFERROR(__xludf.DUMMYFUNCTION("""COMPUTED_VALUE"""),"")</f>
        <v/>
      </c>
      <c r="C12053" s="42" t="str">
        <f>IFERROR(__xludf.DUMMYFUNCTION("""COMPUTED_VALUE"""),"")</f>
        <v/>
      </c>
      <c r="D12053" s="42"/>
      <c r="E12053" s="42"/>
      <c r="F12053" s="48" t="str">
        <f>IFERROR(__xludf.DUMMYFUNCTION("""COMPUTED_VALUE"""),"")</f>
        <v/>
      </c>
      <c r="G12053" s="42" t="str">
        <f>IFERROR(__xludf.DUMMYFUNCTION("""COMPUTED_VALUE"""),"")</f>
        <v/>
      </c>
      <c r="H12053" s="42">
        <f t="shared" si="1"/>
        <v>3345</v>
      </c>
    </row>
    <row r="12054" ht="22.5" customHeight="1">
      <c r="B12054" s="42" t="str">
        <f>IFERROR(__xludf.DUMMYFUNCTION("""COMPUTED_VALUE"""),"")</f>
        <v/>
      </c>
      <c r="C12054" s="42" t="str">
        <f>IFERROR(__xludf.DUMMYFUNCTION("""COMPUTED_VALUE"""),"")</f>
        <v/>
      </c>
      <c r="D12054" s="42"/>
      <c r="E12054" s="42"/>
      <c r="F12054" s="48" t="str">
        <f>IFERROR(__xludf.DUMMYFUNCTION("""COMPUTED_VALUE"""),"")</f>
        <v/>
      </c>
      <c r="G12054" s="42" t="str">
        <f>IFERROR(__xludf.DUMMYFUNCTION("""COMPUTED_VALUE"""),"")</f>
        <v/>
      </c>
      <c r="H12054" s="42">
        <f t="shared" si="1"/>
        <v>3345</v>
      </c>
    </row>
    <row r="12055" ht="22.5" customHeight="1">
      <c r="B12055" s="42" t="str">
        <f>IFERROR(__xludf.DUMMYFUNCTION("""COMPUTED_VALUE"""),"")</f>
        <v/>
      </c>
      <c r="C12055" s="42" t="str">
        <f>IFERROR(__xludf.DUMMYFUNCTION("""COMPUTED_VALUE"""),"")</f>
        <v/>
      </c>
      <c r="D12055" s="42"/>
      <c r="E12055" s="42"/>
      <c r="F12055" s="48" t="str">
        <f>IFERROR(__xludf.DUMMYFUNCTION("""COMPUTED_VALUE"""),"")</f>
        <v/>
      </c>
      <c r="G12055" s="42" t="str">
        <f>IFERROR(__xludf.DUMMYFUNCTION("""COMPUTED_VALUE"""),"")</f>
        <v/>
      </c>
      <c r="H12055" s="42">
        <f t="shared" si="1"/>
        <v>3345</v>
      </c>
    </row>
    <row r="12056" ht="22.5" customHeight="1">
      <c r="B12056" s="42" t="str">
        <f>IFERROR(__xludf.DUMMYFUNCTION("""COMPUTED_VALUE"""),"")</f>
        <v/>
      </c>
      <c r="C12056" s="42" t="str">
        <f>IFERROR(__xludf.DUMMYFUNCTION("""COMPUTED_VALUE"""),"")</f>
        <v/>
      </c>
      <c r="D12056" s="42"/>
      <c r="E12056" s="42"/>
      <c r="F12056" s="48" t="str">
        <f>IFERROR(__xludf.DUMMYFUNCTION("""COMPUTED_VALUE"""),"")</f>
        <v/>
      </c>
      <c r="G12056" s="42" t="str">
        <f>IFERROR(__xludf.DUMMYFUNCTION("""COMPUTED_VALUE"""),"")</f>
        <v/>
      </c>
      <c r="H12056" s="42">
        <f t="shared" si="1"/>
        <v>3345</v>
      </c>
    </row>
    <row r="12057" ht="22.5" customHeight="1">
      <c r="B12057" s="42" t="str">
        <f>IFERROR(__xludf.DUMMYFUNCTION("""COMPUTED_VALUE"""),"")</f>
        <v/>
      </c>
      <c r="C12057" s="42" t="str">
        <f>IFERROR(__xludf.DUMMYFUNCTION("""COMPUTED_VALUE"""),"")</f>
        <v/>
      </c>
      <c r="D12057" s="42"/>
      <c r="E12057" s="42"/>
      <c r="F12057" s="48" t="str">
        <f>IFERROR(__xludf.DUMMYFUNCTION("""COMPUTED_VALUE"""),"")</f>
        <v/>
      </c>
      <c r="G12057" s="42" t="str">
        <f>IFERROR(__xludf.DUMMYFUNCTION("""COMPUTED_VALUE"""),"")</f>
        <v/>
      </c>
      <c r="H12057" s="42">
        <f t="shared" si="1"/>
        <v>3345</v>
      </c>
    </row>
    <row r="12058" ht="22.5" customHeight="1">
      <c r="B12058" s="42" t="str">
        <f>IFERROR(__xludf.DUMMYFUNCTION("""COMPUTED_VALUE"""),"")</f>
        <v/>
      </c>
      <c r="C12058" s="42" t="str">
        <f>IFERROR(__xludf.DUMMYFUNCTION("""COMPUTED_VALUE"""),"")</f>
        <v/>
      </c>
      <c r="D12058" s="42"/>
      <c r="E12058" s="42"/>
      <c r="F12058" s="48" t="str">
        <f>IFERROR(__xludf.DUMMYFUNCTION("""COMPUTED_VALUE"""),"")</f>
        <v/>
      </c>
      <c r="G12058" s="42" t="str">
        <f>IFERROR(__xludf.DUMMYFUNCTION("""COMPUTED_VALUE"""),"")</f>
        <v/>
      </c>
      <c r="H12058" s="42">
        <f t="shared" si="1"/>
        <v>3345</v>
      </c>
    </row>
    <row r="12059" ht="22.5" customHeight="1">
      <c r="B12059" s="42" t="str">
        <f>IFERROR(__xludf.DUMMYFUNCTION("""COMPUTED_VALUE"""),"")</f>
        <v/>
      </c>
      <c r="C12059" s="42" t="str">
        <f>IFERROR(__xludf.DUMMYFUNCTION("""COMPUTED_VALUE"""),"")</f>
        <v/>
      </c>
      <c r="D12059" s="42"/>
      <c r="E12059" s="42"/>
      <c r="F12059" s="48" t="str">
        <f>IFERROR(__xludf.DUMMYFUNCTION("""COMPUTED_VALUE"""),"")</f>
        <v/>
      </c>
      <c r="G12059" s="42" t="str">
        <f>IFERROR(__xludf.DUMMYFUNCTION("""COMPUTED_VALUE"""),"")</f>
        <v/>
      </c>
      <c r="H12059" s="42">
        <f t="shared" si="1"/>
        <v>3345</v>
      </c>
    </row>
    <row r="12060" ht="22.5" customHeight="1">
      <c r="B12060" s="42" t="str">
        <f>IFERROR(__xludf.DUMMYFUNCTION("""COMPUTED_VALUE"""),"")</f>
        <v/>
      </c>
      <c r="C12060" s="42" t="str">
        <f>IFERROR(__xludf.DUMMYFUNCTION("""COMPUTED_VALUE"""),"")</f>
        <v/>
      </c>
      <c r="D12060" s="42"/>
      <c r="E12060" s="42"/>
      <c r="F12060" s="48" t="str">
        <f>IFERROR(__xludf.DUMMYFUNCTION("""COMPUTED_VALUE"""),"")</f>
        <v/>
      </c>
      <c r="G12060" s="42" t="str">
        <f>IFERROR(__xludf.DUMMYFUNCTION("""COMPUTED_VALUE"""),"")</f>
        <v/>
      </c>
      <c r="H12060" s="42">
        <f t="shared" si="1"/>
        <v>3345</v>
      </c>
    </row>
    <row r="12061" ht="22.5" customHeight="1">
      <c r="B12061" s="42" t="str">
        <f>IFERROR(__xludf.DUMMYFUNCTION("""COMPUTED_VALUE"""),"")</f>
        <v/>
      </c>
      <c r="C12061" s="42" t="str">
        <f>IFERROR(__xludf.DUMMYFUNCTION("""COMPUTED_VALUE"""),"")</f>
        <v/>
      </c>
      <c r="D12061" s="42"/>
      <c r="E12061" s="42"/>
      <c r="F12061" s="48" t="str">
        <f>IFERROR(__xludf.DUMMYFUNCTION("""COMPUTED_VALUE"""),"")</f>
        <v/>
      </c>
      <c r="G12061" s="42" t="str">
        <f>IFERROR(__xludf.DUMMYFUNCTION("""COMPUTED_VALUE"""),"")</f>
        <v/>
      </c>
      <c r="H12061" s="42">
        <f t="shared" si="1"/>
        <v>3345</v>
      </c>
    </row>
    <row r="12062" ht="22.5" customHeight="1">
      <c r="B12062" s="42" t="str">
        <f>IFERROR(__xludf.DUMMYFUNCTION("""COMPUTED_VALUE"""),"")</f>
        <v/>
      </c>
      <c r="C12062" s="42" t="str">
        <f>IFERROR(__xludf.DUMMYFUNCTION("""COMPUTED_VALUE"""),"")</f>
        <v/>
      </c>
      <c r="D12062" s="42"/>
      <c r="E12062" s="42"/>
      <c r="F12062" s="48" t="str">
        <f>IFERROR(__xludf.DUMMYFUNCTION("""COMPUTED_VALUE"""),"")</f>
        <v/>
      </c>
      <c r="G12062" s="42" t="str">
        <f>IFERROR(__xludf.DUMMYFUNCTION("""COMPUTED_VALUE"""),"")</f>
        <v/>
      </c>
      <c r="H12062" s="42">
        <f t="shared" si="1"/>
        <v>3345</v>
      </c>
    </row>
    <row r="12063" ht="22.5" customHeight="1">
      <c r="B12063" s="42" t="str">
        <f>IFERROR(__xludf.DUMMYFUNCTION("""COMPUTED_VALUE"""),"")</f>
        <v/>
      </c>
      <c r="C12063" s="42" t="str">
        <f>IFERROR(__xludf.DUMMYFUNCTION("""COMPUTED_VALUE"""),"")</f>
        <v/>
      </c>
      <c r="D12063" s="42"/>
      <c r="E12063" s="42"/>
      <c r="F12063" s="48" t="str">
        <f>IFERROR(__xludf.DUMMYFUNCTION("""COMPUTED_VALUE"""),"")</f>
        <v/>
      </c>
      <c r="G12063" s="42" t="str">
        <f>IFERROR(__xludf.DUMMYFUNCTION("""COMPUTED_VALUE"""),"")</f>
        <v/>
      </c>
      <c r="H12063" s="42">
        <f t="shared" si="1"/>
        <v>3345</v>
      </c>
    </row>
    <row r="12064" ht="22.5" customHeight="1">
      <c r="B12064" s="42" t="str">
        <f>IFERROR(__xludf.DUMMYFUNCTION("""COMPUTED_VALUE"""),"")</f>
        <v/>
      </c>
      <c r="C12064" s="42" t="str">
        <f>IFERROR(__xludf.DUMMYFUNCTION("""COMPUTED_VALUE"""),"")</f>
        <v/>
      </c>
      <c r="D12064" s="42"/>
      <c r="E12064" s="42"/>
      <c r="F12064" s="48" t="str">
        <f>IFERROR(__xludf.DUMMYFUNCTION("""COMPUTED_VALUE"""),"")</f>
        <v/>
      </c>
      <c r="G12064" s="42" t="str">
        <f>IFERROR(__xludf.DUMMYFUNCTION("""COMPUTED_VALUE"""),"")</f>
        <v/>
      </c>
      <c r="H12064" s="42">
        <f t="shared" si="1"/>
        <v>3345</v>
      </c>
    </row>
    <row r="12065" ht="22.5" customHeight="1">
      <c r="B12065" s="42" t="str">
        <f>IFERROR(__xludf.DUMMYFUNCTION("""COMPUTED_VALUE"""),"")</f>
        <v/>
      </c>
      <c r="C12065" s="42" t="str">
        <f>IFERROR(__xludf.DUMMYFUNCTION("""COMPUTED_VALUE"""),"")</f>
        <v/>
      </c>
      <c r="D12065" s="42"/>
      <c r="E12065" s="42"/>
      <c r="F12065" s="48" t="str">
        <f>IFERROR(__xludf.DUMMYFUNCTION("""COMPUTED_VALUE"""),"")</f>
        <v/>
      </c>
      <c r="G12065" s="42" t="str">
        <f>IFERROR(__xludf.DUMMYFUNCTION("""COMPUTED_VALUE"""),"")</f>
        <v/>
      </c>
      <c r="H12065" s="42">
        <f t="shared" si="1"/>
        <v>3345</v>
      </c>
    </row>
    <row r="12066" ht="22.5" customHeight="1">
      <c r="B12066" s="42" t="str">
        <f>IFERROR(__xludf.DUMMYFUNCTION("""COMPUTED_VALUE"""),"")</f>
        <v/>
      </c>
      <c r="C12066" s="42" t="str">
        <f>IFERROR(__xludf.DUMMYFUNCTION("""COMPUTED_VALUE"""),"")</f>
        <v/>
      </c>
      <c r="D12066" s="42"/>
      <c r="E12066" s="42"/>
      <c r="F12066" s="48" t="str">
        <f>IFERROR(__xludf.DUMMYFUNCTION("""COMPUTED_VALUE"""),"")</f>
        <v/>
      </c>
      <c r="G12066" s="42" t="str">
        <f>IFERROR(__xludf.DUMMYFUNCTION("""COMPUTED_VALUE"""),"")</f>
        <v/>
      </c>
      <c r="H12066" s="42">
        <f t="shared" si="1"/>
        <v>3345</v>
      </c>
    </row>
    <row r="12067" ht="22.5" customHeight="1">
      <c r="B12067" s="42" t="str">
        <f>IFERROR(__xludf.DUMMYFUNCTION("""COMPUTED_VALUE"""),"")</f>
        <v/>
      </c>
      <c r="C12067" s="42" t="str">
        <f>IFERROR(__xludf.DUMMYFUNCTION("""COMPUTED_VALUE"""),"")</f>
        <v/>
      </c>
      <c r="D12067" s="42"/>
      <c r="E12067" s="42"/>
      <c r="F12067" s="48" t="str">
        <f>IFERROR(__xludf.DUMMYFUNCTION("""COMPUTED_VALUE"""),"")</f>
        <v/>
      </c>
      <c r="G12067" s="42" t="str">
        <f>IFERROR(__xludf.DUMMYFUNCTION("""COMPUTED_VALUE"""),"")</f>
        <v/>
      </c>
      <c r="H12067" s="42">
        <f t="shared" si="1"/>
        <v>3345</v>
      </c>
    </row>
    <row r="12068" ht="22.5" customHeight="1">
      <c r="B12068" s="42" t="str">
        <f>IFERROR(__xludf.DUMMYFUNCTION("""COMPUTED_VALUE"""),"")</f>
        <v/>
      </c>
      <c r="C12068" s="42" t="str">
        <f>IFERROR(__xludf.DUMMYFUNCTION("""COMPUTED_VALUE"""),"")</f>
        <v/>
      </c>
      <c r="D12068" s="42"/>
      <c r="E12068" s="42"/>
      <c r="F12068" s="48" t="str">
        <f>IFERROR(__xludf.DUMMYFUNCTION("""COMPUTED_VALUE"""),"")</f>
        <v/>
      </c>
      <c r="G12068" s="42" t="str">
        <f>IFERROR(__xludf.DUMMYFUNCTION("""COMPUTED_VALUE"""),"")</f>
        <v/>
      </c>
      <c r="H12068" s="42">
        <f t="shared" si="1"/>
        <v>3345</v>
      </c>
    </row>
    <row r="12069" ht="22.5" customHeight="1">
      <c r="B12069" s="42" t="str">
        <f>IFERROR(__xludf.DUMMYFUNCTION("""COMPUTED_VALUE"""),"")</f>
        <v/>
      </c>
      <c r="C12069" s="42" t="str">
        <f>IFERROR(__xludf.DUMMYFUNCTION("""COMPUTED_VALUE"""),"")</f>
        <v/>
      </c>
      <c r="D12069" s="42"/>
      <c r="E12069" s="42"/>
      <c r="F12069" s="48" t="str">
        <f>IFERROR(__xludf.DUMMYFUNCTION("""COMPUTED_VALUE"""),"")</f>
        <v/>
      </c>
      <c r="G12069" s="42" t="str">
        <f>IFERROR(__xludf.DUMMYFUNCTION("""COMPUTED_VALUE"""),"")</f>
        <v/>
      </c>
      <c r="H12069" s="42">
        <f t="shared" si="1"/>
        <v>3345</v>
      </c>
    </row>
    <row r="12070" ht="22.5" customHeight="1">
      <c r="B12070" s="42" t="str">
        <f>IFERROR(__xludf.DUMMYFUNCTION("""COMPUTED_VALUE"""),"")</f>
        <v/>
      </c>
      <c r="C12070" s="42" t="str">
        <f>IFERROR(__xludf.DUMMYFUNCTION("""COMPUTED_VALUE"""),"")</f>
        <v/>
      </c>
      <c r="D12070" s="42"/>
      <c r="E12070" s="42"/>
      <c r="F12070" s="48" t="str">
        <f>IFERROR(__xludf.DUMMYFUNCTION("""COMPUTED_VALUE"""),"")</f>
        <v/>
      </c>
      <c r="G12070" s="42" t="str">
        <f>IFERROR(__xludf.DUMMYFUNCTION("""COMPUTED_VALUE"""),"")</f>
        <v/>
      </c>
      <c r="H12070" s="42">
        <f t="shared" si="1"/>
        <v>3345</v>
      </c>
    </row>
    <row r="12071" ht="22.5" customHeight="1">
      <c r="B12071" s="42" t="str">
        <f>IFERROR(__xludf.DUMMYFUNCTION("""COMPUTED_VALUE"""),"")</f>
        <v/>
      </c>
      <c r="C12071" s="42" t="str">
        <f>IFERROR(__xludf.DUMMYFUNCTION("""COMPUTED_VALUE"""),"")</f>
        <v/>
      </c>
      <c r="D12071" s="42"/>
      <c r="E12071" s="42"/>
      <c r="F12071" s="48" t="str">
        <f>IFERROR(__xludf.DUMMYFUNCTION("""COMPUTED_VALUE"""),"")</f>
        <v/>
      </c>
      <c r="G12071" s="42" t="str">
        <f>IFERROR(__xludf.DUMMYFUNCTION("""COMPUTED_VALUE"""),"")</f>
        <v/>
      </c>
      <c r="H12071" s="42">
        <f t="shared" si="1"/>
        <v>3345</v>
      </c>
    </row>
    <row r="12072" ht="22.5" customHeight="1">
      <c r="B12072" s="42" t="str">
        <f>IFERROR(__xludf.DUMMYFUNCTION("""COMPUTED_VALUE"""),"")</f>
        <v/>
      </c>
      <c r="C12072" s="42" t="str">
        <f>IFERROR(__xludf.DUMMYFUNCTION("""COMPUTED_VALUE"""),"")</f>
        <v/>
      </c>
      <c r="D12072" s="42"/>
      <c r="E12072" s="42"/>
      <c r="F12072" s="48" t="str">
        <f>IFERROR(__xludf.DUMMYFUNCTION("""COMPUTED_VALUE"""),"")</f>
        <v/>
      </c>
      <c r="G12072" s="42" t="str">
        <f>IFERROR(__xludf.DUMMYFUNCTION("""COMPUTED_VALUE"""),"")</f>
        <v/>
      </c>
      <c r="H12072" s="42">
        <f t="shared" si="1"/>
        <v>3345</v>
      </c>
    </row>
    <row r="12073" ht="22.5" customHeight="1">
      <c r="B12073" s="42" t="str">
        <f>IFERROR(__xludf.DUMMYFUNCTION("""COMPUTED_VALUE"""),"")</f>
        <v/>
      </c>
      <c r="C12073" s="42" t="str">
        <f>IFERROR(__xludf.DUMMYFUNCTION("""COMPUTED_VALUE"""),"")</f>
        <v/>
      </c>
      <c r="D12073" s="42"/>
      <c r="E12073" s="42"/>
      <c r="F12073" s="48" t="str">
        <f>IFERROR(__xludf.DUMMYFUNCTION("""COMPUTED_VALUE"""),"")</f>
        <v/>
      </c>
      <c r="G12073" s="42" t="str">
        <f>IFERROR(__xludf.DUMMYFUNCTION("""COMPUTED_VALUE"""),"")</f>
        <v/>
      </c>
      <c r="H12073" s="42">
        <f t="shared" si="1"/>
        <v>3345</v>
      </c>
    </row>
    <row r="12074" ht="22.5" customHeight="1">
      <c r="B12074" s="42" t="str">
        <f>IFERROR(__xludf.DUMMYFUNCTION("""COMPUTED_VALUE"""),"")</f>
        <v/>
      </c>
      <c r="C12074" s="42" t="str">
        <f>IFERROR(__xludf.DUMMYFUNCTION("""COMPUTED_VALUE"""),"")</f>
        <v/>
      </c>
      <c r="D12074" s="42"/>
      <c r="E12074" s="42"/>
      <c r="F12074" s="48" t="str">
        <f>IFERROR(__xludf.DUMMYFUNCTION("""COMPUTED_VALUE"""),"")</f>
        <v/>
      </c>
      <c r="G12074" s="42" t="str">
        <f>IFERROR(__xludf.DUMMYFUNCTION("""COMPUTED_VALUE"""),"")</f>
        <v/>
      </c>
      <c r="H12074" s="42">
        <f t="shared" si="1"/>
        <v>3345</v>
      </c>
    </row>
    <row r="12075" ht="22.5" customHeight="1">
      <c r="B12075" s="42" t="str">
        <f>IFERROR(__xludf.DUMMYFUNCTION("""COMPUTED_VALUE"""),"")</f>
        <v/>
      </c>
      <c r="C12075" s="42" t="str">
        <f>IFERROR(__xludf.DUMMYFUNCTION("""COMPUTED_VALUE"""),"")</f>
        <v/>
      </c>
      <c r="D12075" s="42"/>
      <c r="E12075" s="42"/>
      <c r="F12075" s="48" t="str">
        <f>IFERROR(__xludf.DUMMYFUNCTION("""COMPUTED_VALUE"""),"")</f>
        <v/>
      </c>
      <c r="G12075" s="42" t="str">
        <f>IFERROR(__xludf.DUMMYFUNCTION("""COMPUTED_VALUE"""),"")</f>
        <v/>
      </c>
      <c r="H12075" s="42">
        <f t="shared" si="1"/>
        <v>3345</v>
      </c>
    </row>
    <row r="12076" ht="22.5" customHeight="1">
      <c r="B12076" s="42" t="str">
        <f>IFERROR(__xludf.DUMMYFUNCTION("""COMPUTED_VALUE"""),"")</f>
        <v/>
      </c>
      <c r="C12076" s="42" t="str">
        <f>IFERROR(__xludf.DUMMYFUNCTION("""COMPUTED_VALUE"""),"")</f>
        <v/>
      </c>
      <c r="D12076" s="42"/>
      <c r="E12076" s="42"/>
      <c r="F12076" s="48" t="str">
        <f>IFERROR(__xludf.DUMMYFUNCTION("""COMPUTED_VALUE"""),"")</f>
        <v/>
      </c>
      <c r="G12076" s="42" t="str">
        <f>IFERROR(__xludf.DUMMYFUNCTION("""COMPUTED_VALUE"""),"")</f>
        <v/>
      </c>
      <c r="H12076" s="42">
        <f t="shared" si="1"/>
        <v>3345</v>
      </c>
    </row>
    <row r="12077" ht="22.5" customHeight="1">
      <c r="B12077" s="42" t="str">
        <f>IFERROR(__xludf.DUMMYFUNCTION("""COMPUTED_VALUE"""),"")</f>
        <v/>
      </c>
      <c r="C12077" s="42" t="str">
        <f>IFERROR(__xludf.DUMMYFUNCTION("""COMPUTED_VALUE"""),"")</f>
        <v/>
      </c>
      <c r="D12077" s="42"/>
      <c r="E12077" s="42"/>
      <c r="F12077" s="48" t="str">
        <f>IFERROR(__xludf.DUMMYFUNCTION("""COMPUTED_VALUE"""),"")</f>
        <v/>
      </c>
      <c r="G12077" s="42" t="str">
        <f>IFERROR(__xludf.DUMMYFUNCTION("""COMPUTED_VALUE"""),"")</f>
        <v/>
      </c>
      <c r="H12077" s="42">
        <f t="shared" si="1"/>
        <v>3345</v>
      </c>
    </row>
    <row r="12078" ht="22.5" customHeight="1">
      <c r="B12078" s="42" t="str">
        <f>IFERROR(__xludf.DUMMYFUNCTION("""COMPUTED_VALUE"""),"")</f>
        <v/>
      </c>
      <c r="C12078" s="42" t="str">
        <f>IFERROR(__xludf.DUMMYFUNCTION("""COMPUTED_VALUE"""),"")</f>
        <v/>
      </c>
      <c r="D12078" s="42"/>
      <c r="E12078" s="42"/>
      <c r="F12078" s="48" t="str">
        <f>IFERROR(__xludf.DUMMYFUNCTION("""COMPUTED_VALUE"""),"")</f>
        <v/>
      </c>
      <c r="G12078" s="42" t="str">
        <f>IFERROR(__xludf.DUMMYFUNCTION("""COMPUTED_VALUE"""),"")</f>
        <v/>
      </c>
      <c r="H12078" s="42">
        <f t="shared" si="1"/>
        <v>3345</v>
      </c>
    </row>
    <row r="12079" ht="22.5" customHeight="1">
      <c r="B12079" s="42" t="str">
        <f>IFERROR(__xludf.DUMMYFUNCTION("""COMPUTED_VALUE"""),"")</f>
        <v/>
      </c>
      <c r="C12079" s="42" t="str">
        <f>IFERROR(__xludf.DUMMYFUNCTION("""COMPUTED_VALUE"""),"")</f>
        <v/>
      </c>
      <c r="D12079" s="42"/>
      <c r="E12079" s="42"/>
      <c r="F12079" s="48" t="str">
        <f>IFERROR(__xludf.DUMMYFUNCTION("""COMPUTED_VALUE"""),"")</f>
        <v/>
      </c>
      <c r="G12079" s="42" t="str">
        <f>IFERROR(__xludf.DUMMYFUNCTION("""COMPUTED_VALUE"""),"")</f>
        <v/>
      </c>
      <c r="H12079" s="42">
        <f t="shared" si="1"/>
        <v>3345</v>
      </c>
    </row>
    <row r="12080" ht="22.5" customHeight="1">
      <c r="B12080" s="42" t="str">
        <f>IFERROR(__xludf.DUMMYFUNCTION("""COMPUTED_VALUE"""),"")</f>
        <v/>
      </c>
      <c r="C12080" s="42" t="str">
        <f>IFERROR(__xludf.DUMMYFUNCTION("""COMPUTED_VALUE"""),"")</f>
        <v/>
      </c>
      <c r="D12080" s="42"/>
      <c r="E12080" s="42"/>
      <c r="F12080" s="48" t="str">
        <f>IFERROR(__xludf.DUMMYFUNCTION("""COMPUTED_VALUE"""),"")</f>
        <v/>
      </c>
      <c r="G12080" s="42" t="str">
        <f>IFERROR(__xludf.DUMMYFUNCTION("""COMPUTED_VALUE"""),"")</f>
        <v/>
      </c>
      <c r="H12080" s="42">
        <f t="shared" si="1"/>
        <v>3345</v>
      </c>
    </row>
    <row r="12081" ht="22.5" customHeight="1">
      <c r="B12081" s="42" t="str">
        <f>IFERROR(__xludf.DUMMYFUNCTION("""COMPUTED_VALUE"""),"")</f>
        <v/>
      </c>
      <c r="C12081" s="42" t="str">
        <f>IFERROR(__xludf.DUMMYFUNCTION("""COMPUTED_VALUE"""),"")</f>
        <v/>
      </c>
      <c r="D12081" s="42"/>
      <c r="E12081" s="42"/>
      <c r="F12081" s="48" t="str">
        <f>IFERROR(__xludf.DUMMYFUNCTION("""COMPUTED_VALUE"""),"")</f>
        <v/>
      </c>
      <c r="G12081" s="42" t="str">
        <f>IFERROR(__xludf.DUMMYFUNCTION("""COMPUTED_VALUE"""),"")</f>
        <v/>
      </c>
      <c r="H12081" s="42">
        <f t="shared" si="1"/>
        <v>3345</v>
      </c>
    </row>
    <row r="12082" ht="22.5" customHeight="1">
      <c r="B12082" s="42" t="str">
        <f>IFERROR(__xludf.DUMMYFUNCTION("""COMPUTED_VALUE"""),"")</f>
        <v/>
      </c>
      <c r="C12082" s="42" t="str">
        <f>IFERROR(__xludf.DUMMYFUNCTION("""COMPUTED_VALUE"""),"")</f>
        <v/>
      </c>
      <c r="D12082" s="42"/>
      <c r="E12082" s="42"/>
      <c r="F12082" s="48" t="str">
        <f>IFERROR(__xludf.DUMMYFUNCTION("""COMPUTED_VALUE"""),"")</f>
        <v/>
      </c>
      <c r="G12082" s="42" t="str">
        <f>IFERROR(__xludf.DUMMYFUNCTION("""COMPUTED_VALUE"""),"")</f>
        <v/>
      </c>
      <c r="H12082" s="42">
        <f t="shared" si="1"/>
        <v>3345</v>
      </c>
    </row>
    <row r="12083" ht="22.5" customHeight="1">
      <c r="B12083" s="42" t="str">
        <f>IFERROR(__xludf.DUMMYFUNCTION("""COMPUTED_VALUE"""),"")</f>
        <v/>
      </c>
      <c r="C12083" s="42" t="str">
        <f>IFERROR(__xludf.DUMMYFUNCTION("""COMPUTED_VALUE"""),"")</f>
        <v/>
      </c>
      <c r="D12083" s="42"/>
      <c r="E12083" s="42"/>
      <c r="F12083" s="48" t="str">
        <f>IFERROR(__xludf.DUMMYFUNCTION("""COMPUTED_VALUE"""),"")</f>
        <v/>
      </c>
      <c r="G12083" s="42" t="str">
        <f>IFERROR(__xludf.DUMMYFUNCTION("""COMPUTED_VALUE"""),"")</f>
        <v/>
      </c>
      <c r="H12083" s="42">
        <f t="shared" si="1"/>
        <v>3345</v>
      </c>
    </row>
    <row r="12084" ht="22.5" customHeight="1">
      <c r="B12084" s="42" t="str">
        <f>IFERROR(__xludf.DUMMYFUNCTION("""COMPUTED_VALUE"""),"")</f>
        <v/>
      </c>
      <c r="C12084" s="42" t="str">
        <f>IFERROR(__xludf.DUMMYFUNCTION("""COMPUTED_VALUE"""),"")</f>
        <v/>
      </c>
      <c r="D12084" s="42"/>
      <c r="E12084" s="42"/>
      <c r="F12084" s="48" t="str">
        <f>IFERROR(__xludf.DUMMYFUNCTION("""COMPUTED_VALUE"""),"")</f>
        <v/>
      </c>
      <c r="G12084" s="42" t="str">
        <f>IFERROR(__xludf.DUMMYFUNCTION("""COMPUTED_VALUE"""),"")</f>
        <v/>
      </c>
      <c r="H12084" s="42">
        <f t="shared" si="1"/>
        <v>3345</v>
      </c>
    </row>
    <row r="12085" ht="22.5" customHeight="1">
      <c r="B12085" s="42" t="str">
        <f>IFERROR(__xludf.DUMMYFUNCTION("""COMPUTED_VALUE"""),"")</f>
        <v/>
      </c>
      <c r="C12085" s="42" t="str">
        <f>IFERROR(__xludf.DUMMYFUNCTION("""COMPUTED_VALUE"""),"")</f>
        <v/>
      </c>
      <c r="D12085" s="42"/>
      <c r="E12085" s="42"/>
      <c r="F12085" s="48" t="str">
        <f>IFERROR(__xludf.DUMMYFUNCTION("""COMPUTED_VALUE"""),"")</f>
        <v/>
      </c>
      <c r="G12085" s="42" t="str">
        <f>IFERROR(__xludf.DUMMYFUNCTION("""COMPUTED_VALUE"""),"")</f>
        <v/>
      </c>
      <c r="H12085" s="42">
        <f t="shared" si="1"/>
        <v>3345</v>
      </c>
    </row>
    <row r="12086" ht="22.5" customHeight="1">
      <c r="B12086" s="42" t="str">
        <f>IFERROR(__xludf.DUMMYFUNCTION("""COMPUTED_VALUE"""),"")</f>
        <v/>
      </c>
      <c r="C12086" s="42" t="str">
        <f>IFERROR(__xludf.DUMMYFUNCTION("""COMPUTED_VALUE"""),"")</f>
        <v/>
      </c>
      <c r="D12086" s="42"/>
      <c r="E12086" s="42"/>
      <c r="F12086" s="48" t="str">
        <f>IFERROR(__xludf.DUMMYFUNCTION("""COMPUTED_VALUE"""),"")</f>
        <v/>
      </c>
      <c r="G12086" s="42" t="str">
        <f>IFERROR(__xludf.DUMMYFUNCTION("""COMPUTED_VALUE"""),"")</f>
        <v/>
      </c>
      <c r="H12086" s="42">
        <f t="shared" si="1"/>
        <v>3345</v>
      </c>
    </row>
    <row r="12087" ht="22.5" customHeight="1">
      <c r="B12087" s="42" t="str">
        <f>IFERROR(__xludf.DUMMYFUNCTION("""COMPUTED_VALUE"""),"")</f>
        <v/>
      </c>
      <c r="C12087" s="42" t="str">
        <f>IFERROR(__xludf.DUMMYFUNCTION("""COMPUTED_VALUE"""),"")</f>
        <v/>
      </c>
      <c r="D12087" s="42"/>
      <c r="E12087" s="42"/>
      <c r="F12087" s="48" t="str">
        <f>IFERROR(__xludf.DUMMYFUNCTION("""COMPUTED_VALUE"""),"")</f>
        <v/>
      </c>
      <c r="G12087" s="42" t="str">
        <f>IFERROR(__xludf.DUMMYFUNCTION("""COMPUTED_VALUE"""),"")</f>
        <v/>
      </c>
      <c r="H12087" s="42">
        <f t="shared" si="1"/>
        <v>3345</v>
      </c>
    </row>
    <row r="12088" ht="22.5" customHeight="1">
      <c r="B12088" s="42" t="str">
        <f>IFERROR(__xludf.DUMMYFUNCTION("""COMPUTED_VALUE"""),"")</f>
        <v/>
      </c>
      <c r="C12088" s="42" t="str">
        <f>IFERROR(__xludf.DUMMYFUNCTION("""COMPUTED_VALUE"""),"")</f>
        <v/>
      </c>
      <c r="D12088" s="42"/>
      <c r="E12088" s="42"/>
      <c r="F12088" s="48" t="str">
        <f>IFERROR(__xludf.DUMMYFUNCTION("""COMPUTED_VALUE"""),"")</f>
        <v/>
      </c>
      <c r="G12088" s="42" t="str">
        <f>IFERROR(__xludf.DUMMYFUNCTION("""COMPUTED_VALUE"""),"")</f>
        <v/>
      </c>
      <c r="H12088" s="42">
        <f t="shared" si="1"/>
        <v>3345</v>
      </c>
    </row>
    <row r="12089" ht="22.5" customHeight="1">
      <c r="B12089" s="42" t="str">
        <f>IFERROR(__xludf.DUMMYFUNCTION("""COMPUTED_VALUE"""),"")</f>
        <v/>
      </c>
      <c r="C12089" s="42" t="str">
        <f>IFERROR(__xludf.DUMMYFUNCTION("""COMPUTED_VALUE"""),"")</f>
        <v/>
      </c>
      <c r="D12089" s="42"/>
      <c r="E12089" s="42"/>
      <c r="F12089" s="48" t="str">
        <f>IFERROR(__xludf.DUMMYFUNCTION("""COMPUTED_VALUE"""),"")</f>
        <v/>
      </c>
      <c r="G12089" s="42" t="str">
        <f>IFERROR(__xludf.DUMMYFUNCTION("""COMPUTED_VALUE"""),"")</f>
        <v/>
      </c>
      <c r="H12089" s="42">
        <f t="shared" si="1"/>
        <v>3345</v>
      </c>
    </row>
    <row r="12090" ht="22.5" customHeight="1">
      <c r="B12090" s="42" t="str">
        <f>IFERROR(__xludf.DUMMYFUNCTION("""COMPUTED_VALUE"""),"")</f>
        <v/>
      </c>
      <c r="C12090" s="42" t="str">
        <f>IFERROR(__xludf.DUMMYFUNCTION("""COMPUTED_VALUE"""),"")</f>
        <v/>
      </c>
      <c r="D12090" s="42"/>
      <c r="E12090" s="42"/>
      <c r="F12090" s="48" t="str">
        <f>IFERROR(__xludf.DUMMYFUNCTION("""COMPUTED_VALUE"""),"")</f>
        <v/>
      </c>
      <c r="G12090" s="42" t="str">
        <f>IFERROR(__xludf.DUMMYFUNCTION("""COMPUTED_VALUE"""),"")</f>
        <v/>
      </c>
      <c r="H12090" s="42">
        <f t="shared" si="1"/>
        <v>3345</v>
      </c>
    </row>
    <row r="12091" ht="22.5" customHeight="1">
      <c r="B12091" s="42" t="str">
        <f>IFERROR(__xludf.DUMMYFUNCTION("""COMPUTED_VALUE"""),"")</f>
        <v/>
      </c>
      <c r="C12091" s="42" t="str">
        <f>IFERROR(__xludf.DUMMYFUNCTION("""COMPUTED_VALUE"""),"")</f>
        <v/>
      </c>
      <c r="D12091" s="42"/>
      <c r="E12091" s="42"/>
      <c r="F12091" s="48" t="str">
        <f>IFERROR(__xludf.DUMMYFUNCTION("""COMPUTED_VALUE"""),"")</f>
        <v/>
      </c>
      <c r="G12091" s="42" t="str">
        <f>IFERROR(__xludf.DUMMYFUNCTION("""COMPUTED_VALUE"""),"")</f>
        <v/>
      </c>
      <c r="H12091" s="42">
        <f t="shared" si="1"/>
        <v>3345</v>
      </c>
    </row>
    <row r="12092" ht="22.5" customHeight="1">
      <c r="B12092" s="42" t="str">
        <f>IFERROR(__xludf.DUMMYFUNCTION("""COMPUTED_VALUE"""),"")</f>
        <v/>
      </c>
      <c r="C12092" s="42" t="str">
        <f>IFERROR(__xludf.DUMMYFUNCTION("""COMPUTED_VALUE"""),"")</f>
        <v/>
      </c>
      <c r="D12092" s="42"/>
      <c r="E12092" s="42"/>
      <c r="F12092" s="48" t="str">
        <f>IFERROR(__xludf.DUMMYFUNCTION("""COMPUTED_VALUE"""),"")</f>
        <v/>
      </c>
      <c r="G12092" s="42" t="str">
        <f>IFERROR(__xludf.DUMMYFUNCTION("""COMPUTED_VALUE"""),"")</f>
        <v/>
      </c>
      <c r="H12092" s="42">
        <f t="shared" si="1"/>
        <v>3345</v>
      </c>
    </row>
    <row r="12093" ht="22.5" customHeight="1">
      <c r="B12093" s="42" t="str">
        <f>IFERROR(__xludf.DUMMYFUNCTION("""COMPUTED_VALUE"""),"")</f>
        <v/>
      </c>
      <c r="C12093" s="42" t="str">
        <f>IFERROR(__xludf.DUMMYFUNCTION("""COMPUTED_VALUE"""),"")</f>
        <v/>
      </c>
      <c r="D12093" s="42"/>
      <c r="E12093" s="42"/>
      <c r="F12093" s="48" t="str">
        <f>IFERROR(__xludf.DUMMYFUNCTION("""COMPUTED_VALUE"""),"")</f>
        <v/>
      </c>
      <c r="G12093" s="42" t="str">
        <f>IFERROR(__xludf.DUMMYFUNCTION("""COMPUTED_VALUE"""),"")</f>
        <v/>
      </c>
      <c r="H12093" s="42">
        <f t="shared" si="1"/>
        <v>3345</v>
      </c>
    </row>
    <row r="12094" ht="22.5" customHeight="1">
      <c r="B12094" s="42" t="str">
        <f>IFERROR(__xludf.DUMMYFUNCTION("""COMPUTED_VALUE"""),"")</f>
        <v/>
      </c>
      <c r="C12094" s="42" t="str">
        <f>IFERROR(__xludf.DUMMYFUNCTION("""COMPUTED_VALUE"""),"")</f>
        <v/>
      </c>
      <c r="D12094" s="42"/>
      <c r="E12094" s="42"/>
      <c r="F12094" s="48" t="str">
        <f>IFERROR(__xludf.DUMMYFUNCTION("""COMPUTED_VALUE"""),"")</f>
        <v/>
      </c>
      <c r="G12094" s="42" t="str">
        <f>IFERROR(__xludf.DUMMYFUNCTION("""COMPUTED_VALUE"""),"")</f>
        <v/>
      </c>
      <c r="H12094" s="42">
        <f t="shared" si="1"/>
        <v>3345</v>
      </c>
    </row>
    <row r="12095" ht="22.5" customHeight="1">
      <c r="B12095" s="42" t="str">
        <f>IFERROR(__xludf.DUMMYFUNCTION("""COMPUTED_VALUE"""),"")</f>
        <v/>
      </c>
      <c r="C12095" s="42" t="str">
        <f>IFERROR(__xludf.DUMMYFUNCTION("""COMPUTED_VALUE"""),"")</f>
        <v/>
      </c>
      <c r="D12095" s="42"/>
      <c r="E12095" s="42"/>
      <c r="F12095" s="48" t="str">
        <f>IFERROR(__xludf.DUMMYFUNCTION("""COMPUTED_VALUE"""),"")</f>
        <v/>
      </c>
      <c r="G12095" s="42" t="str">
        <f>IFERROR(__xludf.DUMMYFUNCTION("""COMPUTED_VALUE"""),"")</f>
        <v/>
      </c>
      <c r="H12095" s="42">
        <f t="shared" si="1"/>
        <v>3345</v>
      </c>
    </row>
    <row r="12096" ht="22.5" customHeight="1">
      <c r="B12096" s="42" t="str">
        <f>IFERROR(__xludf.DUMMYFUNCTION("""COMPUTED_VALUE"""),"")</f>
        <v/>
      </c>
      <c r="C12096" s="42" t="str">
        <f>IFERROR(__xludf.DUMMYFUNCTION("""COMPUTED_VALUE"""),"")</f>
        <v/>
      </c>
      <c r="D12096" s="42"/>
      <c r="E12096" s="42"/>
      <c r="F12096" s="48" t="str">
        <f>IFERROR(__xludf.DUMMYFUNCTION("""COMPUTED_VALUE"""),"")</f>
        <v/>
      </c>
      <c r="G12096" s="42" t="str">
        <f>IFERROR(__xludf.DUMMYFUNCTION("""COMPUTED_VALUE"""),"")</f>
        <v/>
      </c>
      <c r="H12096" s="42">
        <f t="shared" si="1"/>
        <v>3345</v>
      </c>
    </row>
    <row r="12097" ht="22.5" customHeight="1">
      <c r="B12097" s="42" t="str">
        <f>IFERROR(__xludf.DUMMYFUNCTION("""COMPUTED_VALUE"""),"")</f>
        <v/>
      </c>
      <c r="C12097" s="42" t="str">
        <f>IFERROR(__xludf.DUMMYFUNCTION("""COMPUTED_VALUE"""),"")</f>
        <v/>
      </c>
      <c r="D12097" s="42"/>
      <c r="E12097" s="42"/>
      <c r="F12097" s="48" t="str">
        <f>IFERROR(__xludf.DUMMYFUNCTION("""COMPUTED_VALUE"""),"")</f>
        <v/>
      </c>
      <c r="G12097" s="42" t="str">
        <f>IFERROR(__xludf.DUMMYFUNCTION("""COMPUTED_VALUE"""),"")</f>
        <v/>
      </c>
      <c r="H12097" s="42">
        <f t="shared" si="1"/>
        <v>3345</v>
      </c>
    </row>
    <row r="12098" ht="22.5" customHeight="1">
      <c r="B12098" s="42" t="str">
        <f>IFERROR(__xludf.DUMMYFUNCTION("""COMPUTED_VALUE"""),"")</f>
        <v/>
      </c>
      <c r="C12098" s="42" t="str">
        <f>IFERROR(__xludf.DUMMYFUNCTION("""COMPUTED_VALUE"""),"")</f>
        <v/>
      </c>
      <c r="D12098" s="42"/>
      <c r="E12098" s="42"/>
      <c r="F12098" s="48" t="str">
        <f>IFERROR(__xludf.DUMMYFUNCTION("""COMPUTED_VALUE"""),"")</f>
        <v/>
      </c>
      <c r="G12098" s="42" t="str">
        <f>IFERROR(__xludf.DUMMYFUNCTION("""COMPUTED_VALUE"""),"")</f>
        <v/>
      </c>
      <c r="H12098" s="42">
        <f t="shared" si="1"/>
        <v>3345</v>
      </c>
    </row>
    <row r="12099" ht="22.5" customHeight="1">
      <c r="B12099" s="42" t="str">
        <f>IFERROR(__xludf.DUMMYFUNCTION("""COMPUTED_VALUE"""),"")</f>
        <v/>
      </c>
      <c r="C12099" s="42" t="str">
        <f>IFERROR(__xludf.DUMMYFUNCTION("""COMPUTED_VALUE"""),"")</f>
        <v/>
      </c>
      <c r="D12099" s="42"/>
      <c r="E12099" s="42"/>
      <c r="F12099" s="48" t="str">
        <f>IFERROR(__xludf.DUMMYFUNCTION("""COMPUTED_VALUE"""),"")</f>
        <v/>
      </c>
      <c r="G12099" s="42" t="str">
        <f>IFERROR(__xludf.DUMMYFUNCTION("""COMPUTED_VALUE"""),"")</f>
        <v/>
      </c>
      <c r="H12099" s="42">
        <f t="shared" si="1"/>
        <v>3345</v>
      </c>
    </row>
    <row r="12100" ht="22.5" customHeight="1">
      <c r="B12100" s="42" t="str">
        <f>IFERROR(__xludf.DUMMYFUNCTION("""COMPUTED_VALUE"""),"")</f>
        <v/>
      </c>
      <c r="C12100" s="42" t="str">
        <f>IFERROR(__xludf.DUMMYFUNCTION("""COMPUTED_VALUE"""),"")</f>
        <v/>
      </c>
      <c r="D12100" s="42"/>
      <c r="E12100" s="42"/>
      <c r="F12100" s="48" t="str">
        <f>IFERROR(__xludf.DUMMYFUNCTION("""COMPUTED_VALUE"""),"")</f>
        <v/>
      </c>
      <c r="G12100" s="42" t="str">
        <f>IFERROR(__xludf.DUMMYFUNCTION("""COMPUTED_VALUE"""),"")</f>
        <v/>
      </c>
      <c r="H12100" s="42">
        <f t="shared" si="1"/>
        <v>3345</v>
      </c>
    </row>
    <row r="12101" ht="22.5" customHeight="1">
      <c r="B12101" s="42" t="str">
        <f>IFERROR(__xludf.DUMMYFUNCTION("""COMPUTED_VALUE"""),"")</f>
        <v/>
      </c>
      <c r="C12101" s="42" t="str">
        <f>IFERROR(__xludf.DUMMYFUNCTION("""COMPUTED_VALUE"""),"")</f>
        <v/>
      </c>
      <c r="D12101" s="42"/>
      <c r="E12101" s="42"/>
      <c r="F12101" s="48" t="str">
        <f>IFERROR(__xludf.DUMMYFUNCTION("""COMPUTED_VALUE"""),"")</f>
        <v/>
      </c>
      <c r="G12101" s="42" t="str">
        <f>IFERROR(__xludf.DUMMYFUNCTION("""COMPUTED_VALUE"""),"")</f>
        <v/>
      </c>
      <c r="H12101" s="42">
        <f t="shared" si="1"/>
        <v>3345</v>
      </c>
    </row>
    <row r="12102" ht="22.5" customHeight="1">
      <c r="B12102" s="42" t="str">
        <f>IFERROR(__xludf.DUMMYFUNCTION("""COMPUTED_VALUE"""),"")</f>
        <v/>
      </c>
      <c r="C12102" s="42" t="str">
        <f>IFERROR(__xludf.DUMMYFUNCTION("""COMPUTED_VALUE"""),"")</f>
        <v/>
      </c>
      <c r="D12102" s="42"/>
      <c r="E12102" s="42"/>
      <c r="F12102" s="48" t="str">
        <f>IFERROR(__xludf.DUMMYFUNCTION("""COMPUTED_VALUE"""),"")</f>
        <v/>
      </c>
      <c r="G12102" s="42" t="str">
        <f>IFERROR(__xludf.DUMMYFUNCTION("""COMPUTED_VALUE"""),"")</f>
        <v/>
      </c>
      <c r="H12102" s="42">
        <f t="shared" si="1"/>
        <v>3345</v>
      </c>
    </row>
    <row r="12103" ht="22.5" customHeight="1">
      <c r="B12103" s="42" t="str">
        <f>IFERROR(__xludf.DUMMYFUNCTION("""COMPUTED_VALUE"""),"")</f>
        <v/>
      </c>
      <c r="C12103" s="42" t="str">
        <f>IFERROR(__xludf.DUMMYFUNCTION("""COMPUTED_VALUE"""),"")</f>
        <v/>
      </c>
      <c r="D12103" s="42"/>
      <c r="E12103" s="42"/>
      <c r="F12103" s="48" t="str">
        <f>IFERROR(__xludf.DUMMYFUNCTION("""COMPUTED_VALUE"""),"")</f>
        <v/>
      </c>
      <c r="G12103" s="42" t="str">
        <f>IFERROR(__xludf.DUMMYFUNCTION("""COMPUTED_VALUE"""),"")</f>
        <v/>
      </c>
      <c r="H12103" s="42">
        <f t="shared" si="1"/>
        <v>3345</v>
      </c>
    </row>
    <row r="12104" ht="22.5" customHeight="1">
      <c r="B12104" s="42" t="str">
        <f>IFERROR(__xludf.DUMMYFUNCTION("""COMPUTED_VALUE"""),"")</f>
        <v/>
      </c>
      <c r="C12104" s="42" t="str">
        <f>IFERROR(__xludf.DUMMYFUNCTION("""COMPUTED_VALUE"""),"")</f>
        <v/>
      </c>
      <c r="D12104" s="42"/>
      <c r="E12104" s="42"/>
      <c r="F12104" s="48" t="str">
        <f>IFERROR(__xludf.DUMMYFUNCTION("""COMPUTED_VALUE"""),"")</f>
        <v/>
      </c>
      <c r="G12104" s="42" t="str">
        <f>IFERROR(__xludf.DUMMYFUNCTION("""COMPUTED_VALUE"""),"")</f>
        <v/>
      </c>
      <c r="H12104" s="42">
        <f t="shared" si="1"/>
        <v>3345</v>
      </c>
    </row>
    <row r="12105" ht="22.5" customHeight="1">
      <c r="B12105" s="42" t="str">
        <f>IFERROR(__xludf.DUMMYFUNCTION("""COMPUTED_VALUE"""),"")</f>
        <v/>
      </c>
      <c r="C12105" s="42" t="str">
        <f>IFERROR(__xludf.DUMMYFUNCTION("""COMPUTED_VALUE"""),"")</f>
        <v/>
      </c>
      <c r="D12105" s="42"/>
      <c r="E12105" s="42"/>
      <c r="F12105" s="48" t="str">
        <f>IFERROR(__xludf.DUMMYFUNCTION("""COMPUTED_VALUE"""),"")</f>
        <v/>
      </c>
      <c r="G12105" s="42" t="str">
        <f>IFERROR(__xludf.DUMMYFUNCTION("""COMPUTED_VALUE"""),"")</f>
        <v/>
      </c>
      <c r="H12105" s="42">
        <f t="shared" si="1"/>
        <v>3345</v>
      </c>
    </row>
    <row r="12106" ht="22.5" customHeight="1">
      <c r="B12106" s="42" t="str">
        <f>IFERROR(__xludf.DUMMYFUNCTION("""COMPUTED_VALUE"""),"")</f>
        <v/>
      </c>
      <c r="C12106" s="42" t="str">
        <f>IFERROR(__xludf.DUMMYFUNCTION("""COMPUTED_VALUE"""),"")</f>
        <v/>
      </c>
      <c r="D12106" s="42"/>
      <c r="E12106" s="42"/>
      <c r="F12106" s="48" t="str">
        <f>IFERROR(__xludf.DUMMYFUNCTION("""COMPUTED_VALUE"""),"")</f>
        <v/>
      </c>
      <c r="G12106" s="42" t="str">
        <f>IFERROR(__xludf.DUMMYFUNCTION("""COMPUTED_VALUE"""),"")</f>
        <v/>
      </c>
      <c r="H12106" s="42">
        <f t="shared" si="1"/>
        <v>3345</v>
      </c>
    </row>
    <row r="12107" ht="22.5" customHeight="1">
      <c r="B12107" s="42" t="str">
        <f>IFERROR(__xludf.DUMMYFUNCTION("""COMPUTED_VALUE"""),"")</f>
        <v/>
      </c>
      <c r="C12107" s="42" t="str">
        <f>IFERROR(__xludf.DUMMYFUNCTION("""COMPUTED_VALUE"""),"")</f>
        <v/>
      </c>
      <c r="D12107" s="42"/>
      <c r="E12107" s="42"/>
      <c r="F12107" s="48" t="str">
        <f>IFERROR(__xludf.DUMMYFUNCTION("""COMPUTED_VALUE"""),"")</f>
        <v/>
      </c>
      <c r="G12107" s="42" t="str">
        <f>IFERROR(__xludf.DUMMYFUNCTION("""COMPUTED_VALUE"""),"")</f>
        <v/>
      </c>
      <c r="H12107" s="42">
        <f t="shared" si="1"/>
        <v>3345</v>
      </c>
    </row>
    <row r="12108" ht="22.5" customHeight="1">
      <c r="B12108" s="42" t="str">
        <f>IFERROR(__xludf.DUMMYFUNCTION("""COMPUTED_VALUE"""),"")</f>
        <v/>
      </c>
      <c r="C12108" s="42" t="str">
        <f>IFERROR(__xludf.DUMMYFUNCTION("""COMPUTED_VALUE"""),"")</f>
        <v/>
      </c>
      <c r="D12108" s="42"/>
      <c r="E12108" s="42"/>
      <c r="F12108" s="48" t="str">
        <f>IFERROR(__xludf.DUMMYFUNCTION("""COMPUTED_VALUE"""),"")</f>
        <v/>
      </c>
      <c r="G12108" s="42" t="str">
        <f>IFERROR(__xludf.DUMMYFUNCTION("""COMPUTED_VALUE"""),"")</f>
        <v/>
      </c>
      <c r="H12108" s="42">
        <f t="shared" si="1"/>
        <v>3345</v>
      </c>
    </row>
    <row r="12109" ht="22.5" customHeight="1">
      <c r="B12109" s="42" t="str">
        <f>IFERROR(__xludf.DUMMYFUNCTION("""COMPUTED_VALUE"""),"")</f>
        <v/>
      </c>
      <c r="C12109" s="42" t="str">
        <f>IFERROR(__xludf.DUMMYFUNCTION("""COMPUTED_VALUE"""),"")</f>
        <v/>
      </c>
      <c r="D12109" s="42"/>
      <c r="E12109" s="42"/>
      <c r="F12109" s="48" t="str">
        <f>IFERROR(__xludf.DUMMYFUNCTION("""COMPUTED_VALUE"""),"")</f>
        <v/>
      </c>
      <c r="G12109" s="42" t="str">
        <f>IFERROR(__xludf.DUMMYFUNCTION("""COMPUTED_VALUE"""),"")</f>
        <v/>
      </c>
      <c r="H12109" s="42">
        <f t="shared" si="1"/>
        <v>3345</v>
      </c>
    </row>
    <row r="12110" ht="22.5" customHeight="1">
      <c r="B12110" s="42" t="str">
        <f>IFERROR(__xludf.DUMMYFUNCTION("""COMPUTED_VALUE"""),"")</f>
        <v/>
      </c>
      <c r="C12110" s="42" t="str">
        <f>IFERROR(__xludf.DUMMYFUNCTION("""COMPUTED_VALUE"""),"")</f>
        <v/>
      </c>
      <c r="D12110" s="42"/>
      <c r="E12110" s="42"/>
      <c r="F12110" s="48" t="str">
        <f>IFERROR(__xludf.DUMMYFUNCTION("""COMPUTED_VALUE"""),"")</f>
        <v/>
      </c>
      <c r="G12110" s="42" t="str">
        <f>IFERROR(__xludf.DUMMYFUNCTION("""COMPUTED_VALUE"""),"")</f>
        <v/>
      </c>
      <c r="H12110" s="42">
        <f t="shared" si="1"/>
        <v>3345</v>
      </c>
    </row>
    <row r="12111" ht="22.5" customHeight="1">
      <c r="B12111" s="42" t="str">
        <f>IFERROR(__xludf.DUMMYFUNCTION("""COMPUTED_VALUE"""),"")</f>
        <v/>
      </c>
      <c r="C12111" s="42" t="str">
        <f>IFERROR(__xludf.DUMMYFUNCTION("""COMPUTED_VALUE"""),"")</f>
        <v/>
      </c>
      <c r="D12111" s="42"/>
      <c r="E12111" s="42"/>
      <c r="F12111" s="48" t="str">
        <f>IFERROR(__xludf.DUMMYFUNCTION("""COMPUTED_VALUE"""),"")</f>
        <v/>
      </c>
      <c r="G12111" s="42" t="str">
        <f>IFERROR(__xludf.DUMMYFUNCTION("""COMPUTED_VALUE"""),"")</f>
        <v/>
      </c>
      <c r="H12111" s="42">
        <f t="shared" si="1"/>
        <v>3345</v>
      </c>
    </row>
    <row r="12112" ht="22.5" customHeight="1">
      <c r="B12112" s="42" t="str">
        <f>IFERROR(__xludf.DUMMYFUNCTION("""COMPUTED_VALUE"""),"")</f>
        <v/>
      </c>
      <c r="C12112" s="42" t="str">
        <f>IFERROR(__xludf.DUMMYFUNCTION("""COMPUTED_VALUE"""),"")</f>
        <v/>
      </c>
      <c r="D12112" s="42"/>
      <c r="E12112" s="42"/>
      <c r="F12112" s="48" t="str">
        <f>IFERROR(__xludf.DUMMYFUNCTION("""COMPUTED_VALUE"""),"")</f>
        <v/>
      </c>
      <c r="G12112" s="42" t="str">
        <f>IFERROR(__xludf.DUMMYFUNCTION("""COMPUTED_VALUE"""),"")</f>
        <v/>
      </c>
      <c r="H12112" s="42">
        <f t="shared" si="1"/>
        <v>3345</v>
      </c>
    </row>
    <row r="12113" ht="22.5" customHeight="1">
      <c r="B12113" s="42" t="str">
        <f>IFERROR(__xludf.DUMMYFUNCTION("""COMPUTED_VALUE"""),"")</f>
        <v/>
      </c>
      <c r="C12113" s="42" t="str">
        <f>IFERROR(__xludf.DUMMYFUNCTION("""COMPUTED_VALUE"""),"")</f>
        <v/>
      </c>
      <c r="D12113" s="42"/>
      <c r="E12113" s="42"/>
      <c r="F12113" s="48" t="str">
        <f>IFERROR(__xludf.DUMMYFUNCTION("""COMPUTED_VALUE"""),"")</f>
        <v/>
      </c>
      <c r="G12113" s="42" t="str">
        <f>IFERROR(__xludf.DUMMYFUNCTION("""COMPUTED_VALUE"""),"")</f>
        <v/>
      </c>
      <c r="H12113" s="42">
        <f t="shared" si="1"/>
        <v>3345</v>
      </c>
    </row>
    <row r="12114" ht="22.5" customHeight="1">
      <c r="B12114" s="42" t="str">
        <f>IFERROR(__xludf.DUMMYFUNCTION("""COMPUTED_VALUE"""),"")</f>
        <v/>
      </c>
      <c r="C12114" s="42" t="str">
        <f>IFERROR(__xludf.DUMMYFUNCTION("""COMPUTED_VALUE"""),"")</f>
        <v/>
      </c>
      <c r="D12114" s="42"/>
      <c r="E12114" s="42"/>
      <c r="F12114" s="48" t="str">
        <f>IFERROR(__xludf.DUMMYFUNCTION("""COMPUTED_VALUE"""),"")</f>
        <v/>
      </c>
      <c r="G12114" s="42" t="str">
        <f>IFERROR(__xludf.DUMMYFUNCTION("""COMPUTED_VALUE"""),"")</f>
        <v/>
      </c>
      <c r="H12114" s="42">
        <f t="shared" si="1"/>
        <v>3345</v>
      </c>
    </row>
    <row r="12115" ht="22.5" customHeight="1">
      <c r="B12115" s="42" t="str">
        <f>IFERROR(__xludf.DUMMYFUNCTION("""COMPUTED_VALUE"""),"")</f>
        <v/>
      </c>
      <c r="C12115" s="42" t="str">
        <f>IFERROR(__xludf.DUMMYFUNCTION("""COMPUTED_VALUE"""),"")</f>
        <v/>
      </c>
      <c r="D12115" s="42"/>
      <c r="E12115" s="42"/>
      <c r="F12115" s="48" t="str">
        <f>IFERROR(__xludf.DUMMYFUNCTION("""COMPUTED_VALUE"""),"")</f>
        <v/>
      </c>
      <c r="G12115" s="42" t="str">
        <f>IFERROR(__xludf.DUMMYFUNCTION("""COMPUTED_VALUE"""),"")</f>
        <v/>
      </c>
      <c r="H12115" s="42">
        <f t="shared" si="1"/>
        <v>3345</v>
      </c>
    </row>
    <row r="12116" ht="22.5" customHeight="1">
      <c r="B12116" s="42" t="str">
        <f>IFERROR(__xludf.DUMMYFUNCTION("""COMPUTED_VALUE"""),"")</f>
        <v/>
      </c>
      <c r="C12116" s="42" t="str">
        <f>IFERROR(__xludf.DUMMYFUNCTION("""COMPUTED_VALUE"""),"")</f>
        <v/>
      </c>
      <c r="D12116" s="42"/>
      <c r="E12116" s="42"/>
      <c r="F12116" s="48" t="str">
        <f>IFERROR(__xludf.DUMMYFUNCTION("""COMPUTED_VALUE"""),"")</f>
        <v/>
      </c>
      <c r="G12116" s="42" t="str">
        <f>IFERROR(__xludf.DUMMYFUNCTION("""COMPUTED_VALUE"""),"")</f>
        <v/>
      </c>
      <c r="H12116" s="42">
        <f t="shared" si="1"/>
        <v>3345</v>
      </c>
    </row>
    <row r="12117" ht="22.5" customHeight="1">
      <c r="B12117" s="42" t="str">
        <f>IFERROR(__xludf.DUMMYFUNCTION("""COMPUTED_VALUE"""),"")</f>
        <v/>
      </c>
      <c r="C12117" s="42" t="str">
        <f>IFERROR(__xludf.DUMMYFUNCTION("""COMPUTED_VALUE"""),"")</f>
        <v/>
      </c>
      <c r="D12117" s="42"/>
      <c r="E12117" s="42"/>
      <c r="F12117" s="48" t="str">
        <f>IFERROR(__xludf.DUMMYFUNCTION("""COMPUTED_VALUE"""),"")</f>
        <v/>
      </c>
      <c r="G12117" s="42" t="str">
        <f>IFERROR(__xludf.DUMMYFUNCTION("""COMPUTED_VALUE"""),"")</f>
        <v/>
      </c>
      <c r="H12117" s="42">
        <f t="shared" si="1"/>
        <v>3345</v>
      </c>
    </row>
    <row r="12118" ht="22.5" customHeight="1">
      <c r="B12118" s="42" t="str">
        <f>IFERROR(__xludf.DUMMYFUNCTION("""COMPUTED_VALUE"""),"")</f>
        <v/>
      </c>
      <c r="C12118" s="42" t="str">
        <f>IFERROR(__xludf.DUMMYFUNCTION("""COMPUTED_VALUE"""),"")</f>
        <v/>
      </c>
      <c r="D12118" s="42"/>
      <c r="E12118" s="42"/>
      <c r="F12118" s="48" t="str">
        <f>IFERROR(__xludf.DUMMYFUNCTION("""COMPUTED_VALUE"""),"")</f>
        <v/>
      </c>
      <c r="G12118" s="42" t="str">
        <f>IFERROR(__xludf.DUMMYFUNCTION("""COMPUTED_VALUE"""),"")</f>
        <v/>
      </c>
      <c r="H12118" s="42">
        <f t="shared" si="1"/>
        <v>3345</v>
      </c>
    </row>
    <row r="12119" ht="22.5" customHeight="1">
      <c r="B12119" s="42" t="str">
        <f>IFERROR(__xludf.DUMMYFUNCTION("""COMPUTED_VALUE"""),"")</f>
        <v/>
      </c>
      <c r="C12119" s="42" t="str">
        <f>IFERROR(__xludf.DUMMYFUNCTION("""COMPUTED_VALUE"""),"")</f>
        <v/>
      </c>
      <c r="D12119" s="42"/>
      <c r="E12119" s="42"/>
      <c r="F12119" s="48" t="str">
        <f>IFERROR(__xludf.DUMMYFUNCTION("""COMPUTED_VALUE"""),"")</f>
        <v/>
      </c>
      <c r="G12119" s="42" t="str">
        <f>IFERROR(__xludf.DUMMYFUNCTION("""COMPUTED_VALUE"""),"")</f>
        <v/>
      </c>
      <c r="H12119" s="42">
        <f t="shared" si="1"/>
        <v>3345</v>
      </c>
    </row>
    <row r="12120" ht="22.5" customHeight="1">
      <c r="B12120" s="42" t="str">
        <f>IFERROR(__xludf.DUMMYFUNCTION("""COMPUTED_VALUE"""),"")</f>
        <v/>
      </c>
      <c r="C12120" s="42" t="str">
        <f>IFERROR(__xludf.DUMMYFUNCTION("""COMPUTED_VALUE"""),"")</f>
        <v/>
      </c>
      <c r="D12120" s="42"/>
      <c r="E12120" s="42"/>
      <c r="F12120" s="48" t="str">
        <f>IFERROR(__xludf.DUMMYFUNCTION("""COMPUTED_VALUE"""),"")</f>
        <v/>
      </c>
      <c r="G12120" s="42" t="str">
        <f>IFERROR(__xludf.DUMMYFUNCTION("""COMPUTED_VALUE"""),"")</f>
        <v/>
      </c>
      <c r="H12120" s="42">
        <f t="shared" si="1"/>
        <v>3345</v>
      </c>
    </row>
    <row r="12121" ht="22.5" customHeight="1">
      <c r="B12121" s="42" t="str">
        <f>IFERROR(__xludf.DUMMYFUNCTION("""COMPUTED_VALUE"""),"")</f>
        <v/>
      </c>
      <c r="C12121" s="42" t="str">
        <f>IFERROR(__xludf.DUMMYFUNCTION("""COMPUTED_VALUE"""),"")</f>
        <v/>
      </c>
      <c r="D12121" s="42"/>
      <c r="E12121" s="42"/>
      <c r="F12121" s="48" t="str">
        <f>IFERROR(__xludf.DUMMYFUNCTION("""COMPUTED_VALUE"""),"")</f>
        <v/>
      </c>
      <c r="G12121" s="42" t="str">
        <f>IFERROR(__xludf.DUMMYFUNCTION("""COMPUTED_VALUE"""),"")</f>
        <v/>
      </c>
      <c r="H12121" s="42">
        <f t="shared" si="1"/>
        <v>3345</v>
      </c>
    </row>
    <row r="12122" ht="22.5" customHeight="1">
      <c r="B12122" s="42" t="str">
        <f>IFERROR(__xludf.DUMMYFUNCTION("""COMPUTED_VALUE"""),"")</f>
        <v/>
      </c>
      <c r="C12122" s="42" t="str">
        <f>IFERROR(__xludf.DUMMYFUNCTION("""COMPUTED_VALUE"""),"")</f>
        <v/>
      </c>
      <c r="D12122" s="42"/>
      <c r="E12122" s="42"/>
      <c r="F12122" s="48" t="str">
        <f>IFERROR(__xludf.DUMMYFUNCTION("""COMPUTED_VALUE"""),"")</f>
        <v/>
      </c>
      <c r="G12122" s="42" t="str">
        <f>IFERROR(__xludf.DUMMYFUNCTION("""COMPUTED_VALUE"""),"")</f>
        <v/>
      </c>
      <c r="H12122" s="42">
        <f t="shared" si="1"/>
        <v>3345</v>
      </c>
    </row>
    <row r="12123" ht="22.5" customHeight="1">
      <c r="B12123" s="42" t="str">
        <f>IFERROR(__xludf.DUMMYFUNCTION("""COMPUTED_VALUE"""),"")</f>
        <v/>
      </c>
      <c r="C12123" s="42" t="str">
        <f>IFERROR(__xludf.DUMMYFUNCTION("""COMPUTED_VALUE"""),"")</f>
        <v/>
      </c>
      <c r="D12123" s="42"/>
      <c r="E12123" s="42"/>
      <c r="F12123" s="48" t="str">
        <f>IFERROR(__xludf.DUMMYFUNCTION("""COMPUTED_VALUE"""),"")</f>
        <v/>
      </c>
      <c r="G12123" s="42" t="str">
        <f>IFERROR(__xludf.DUMMYFUNCTION("""COMPUTED_VALUE"""),"")</f>
        <v/>
      </c>
      <c r="H12123" s="42">
        <f t="shared" si="1"/>
        <v>3345</v>
      </c>
    </row>
    <row r="12124" ht="22.5" customHeight="1">
      <c r="B12124" s="42" t="str">
        <f>IFERROR(__xludf.DUMMYFUNCTION("""COMPUTED_VALUE"""),"")</f>
        <v/>
      </c>
      <c r="C12124" s="42" t="str">
        <f>IFERROR(__xludf.DUMMYFUNCTION("""COMPUTED_VALUE"""),"")</f>
        <v/>
      </c>
      <c r="D12124" s="42"/>
      <c r="E12124" s="42"/>
      <c r="F12124" s="48" t="str">
        <f>IFERROR(__xludf.DUMMYFUNCTION("""COMPUTED_VALUE"""),"")</f>
        <v/>
      </c>
      <c r="G12124" s="42" t="str">
        <f>IFERROR(__xludf.DUMMYFUNCTION("""COMPUTED_VALUE"""),"")</f>
        <v/>
      </c>
      <c r="H12124" s="42">
        <f t="shared" si="1"/>
        <v>3345</v>
      </c>
    </row>
    <row r="12125" ht="22.5" customHeight="1">
      <c r="B12125" s="42" t="str">
        <f>IFERROR(__xludf.DUMMYFUNCTION("""COMPUTED_VALUE"""),"")</f>
        <v/>
      </c>
      <c r="C12125" s="42" t="str">
        <f>IFERROR(__xludf.DUMMYFUNCTION("""COMPUTED_VALUE"""),"")</f>
        <v/>
      </c>
      <c r="D12125" s="42"/>
      <c r="E12125" s="42"/>
      <c r="F12125" s="48" t="str">
        <f>IFERROR(__xludf.DUMMYFUNCTION("""COMPUTED_VALUE"""),"")</f>
        <v/>
      </c>
      <c r="G12125" s="42" t="str">
        <f>IFERROR(__xludf.DUMMYFUNCTION("""COMPUTED_VALUE"""),"")</f>
        <v/>
      </c>
      <c r="H12125" s="42">
        <f t="shared" si="1"/>
        <v>3345</v>
      </c>
    </row>
    <row r="12126" ht="22.5" customHeight="1">
      <c r="B12126" s="42" t="str">
        <f>IFERROR(__xludf.DUMMYFUNCTION("""COMPUTED_VALUE"""),"")</f>
        <v/>
      </c>
      <c r="C12126" s="42" t="str">
        <f>IFERROR(__xludf.DUMMYFUNCTION("""COMPUTED_VALUE"""),"")</f>
        <v/>
      </c>
      <c r="D12126" s="42"/>
      <c r="E12126" s="42"/>
      <c r="F12126" s="48" t="str">
        <f>IFERROR(__xludf.DUMMYFUNCTION("""COMPUTED_VALUE"""),"")</f>
        <v/>
      </c>
      <c r="G12126" s="42" t="str">
        <f>IFERROR(__xludf.DUMMYFUNCTION("""COMPUTED_VALUE"""),"")</f>
        <v/>
      </c>
      <c r="H12126" s="42">
        <f t="shared" si="1"/>
        <v>3345</v>
      </c>
    </row>
    <row r="12127" ht="22.5" customHeight="1">
      <c r="B12127" s="42" t="str">
        <f>IFERROR(__xludf.DUMMYFUNCTION("""COMPUTED_VALUE"""),"")</f>
        <v/>
      </c>
      <c r="C12127" s="42" t="str">
        <f>IFERROR(__xludf.DUMMYFUNCTION("""COMPUTED_VALUE"""),"")</f>
        <v/>
      </c>
      <c r="D12127" s="42"/>
      <c r="E12127" s="42"/>
      <c r="F12127" s="48" t="str">
        <f>IFERROR(__xludf.DUMMYFUNCTION("""COMPUTED_VALUE"""),"")</f>
        <v/>
      </c>
      <c r="G12127" s="42" t="str">
        <f>IFERROR(__xludf.DUMMYFUNCTION("""COMPUTED_VALUE"""),"")</f>
        <v/>
      </c>
      <c r="H12127" s="42">
        <f t="shared" si="1"/>
        <v>3345</v>
      </c>
    </row>
    <row r="12128" ht="22.5" customHeight="1">
      <c r="B12128" s="42" t="str">
        <f>IFERROR(__xludf.DUMMYFUNCTION("""COMPUTED_VALUE"""),"")</f>
        <v/>
      </c>
      <c r="C12128" s="42" t="str">
        <f>IFERROR(__xludf.DUMMYFUNCTION("""COMPUTED_VALUE"""),"")</f>
        <v/>
      </c>
      <c r="D12128" s="42"/>
      <c r="E12128" s="42"/>
      <c r="F12128" s="48" t="str">
        <f>IFERROR(__xludf.DUMMYFUNCTION("""COMPUTED_VALUE"""),"")</f>
        <v/>
      </c>
      <c r="G12128" s="42" t="str">
        <f>IFERROR(__xludf.DUMMYFUNCTION("""COMPUTED_VALUE"""),"")</f>
        <v/>
      </c>
      <c r="H12128" s="42">
        <f t="shared" si="1"/>
        <v>3345</v>
      </c>
    </row>
    <row r="12129" ht="22.5" customHeight="1">
      <c r="B12129" s="42" t="str">
        <f>IFERROR(__xludf.DUMMYFUNCTION("""COMPUTED_VALUE"""),"")</f>
        <v/>
      </c>
      <c r="C12129" s="42" t="str">
        <f>IFERROR(__xludf.DUMMYFUNCTION("""COMPUTED_VALUE"""),"")</f>
        <v/>
      </c>
      <c r="D12129" s="42"/>
      <c r="E12129" s="42"/>
      <c r="F12129" s="48" t="str">
        <f>IFERROR(__xludf.DUMMYFUNCTION("""COMPUTED_VALUE"""),"")</f>
        <v/>
      </c>
      <c r="G12129" s="42" t="str">
        <f>IFERROR(__xludf.DUMMYFUNCTION("""COMPUTED_VALUE"""),"")</f>
        <v/>
      </c>
      <c r="H12129" s="42">
        <f t="shared" si="1"/>
        <v>3345</v>
      </c>
    </row>
    <row r="12130" ht="22.5" customHeight="1">
      <c r="B12130" s="42" t="str">
        <f>IFERROR(__xludf.DUMMYFUNCTION("""COMPUTED_VALUE"""),"")</f>
        <v/>
      </c>
      <c r="C12130" s="42" t="str">
        <f>IFERROR(__xludf.DUMMYFUNCTION("""COMPUTED_VALUE"""),"")</f>
        <v/>
      </c>
      <c r="D12130" s="42"/>
      <c r="E12130" s="42"/>
      <c r="F12130" s="48" t="str">
        <f>IFERROR(__xludf.DUMMYFUNCTION("""COMPUTED_VALUE"""),"")</f>
        <v/>
      </c>
      <c r="G12130" s="42" t="str">
        <f>IFERROR(__xludf.DUMMYFUNCTION("""COMPUTED_VALUE"""),"")</f>
        <v/>
      </c>
      <c r="H12130" s="42">
        <f t="shared" si="1"/>
        <v>3345</v>
      </c>
    </row>
    <row r="12131" ht="22.5" customHeight="1">
      <c r="B12131" s="42" t="str">
        <f>IFERROR(__xludf.DUMMYFUNCTION("""COMPUTED_VALUE"""),"")</f>
        <v/>
      </c>
      <c r="C12131" s="42" t="str">
        <f>IFERROR(__xludf.DUMMYFUNCTION("""COMPUTED_VALUE"""),"")</f>
        <v/>
      </c>
      <c r="D12131" s="42"/>
      <c r="E12131" s="42"/>
      <c r="F12131" s="48" t="str">
        <f>IFERROR(__xludf.DUMMYFUNCTION("""COMPUTED_VALUE"""),"")</f>
        <v/>
      </c>
      <c r="G12131" s="42" t="str">
        <f>IFERROR(__xludf.DUMMYFUNCTION("""COMPUTED_VALUE"""),"")</f>
        <v/>
      </c>
      <c r="H12131" s="42">
        <f t="shared" si="1"/>
        <v>3345</v>
      </c>
    </row>
    <row r="12132" ht="22.5" customHeight="1">
      <c r="B12132" s="42" t="str">
        <f>IFERROR(__xludf.DUMMYFUNCTION("""COMPUTED_VALUE"""),"")</f>
        <v/>
      </c>
      <c r="C12132" s="42" t="str">
        <f>IFERROR(__xludf.DUMMYFUNCTION("""COMPUTED_VALUE"""),"")</f>
        <v/>
      </c>
      <c r="D12132" s="42"/>
      <c r="E12132" s="42"/>
      <c r="F12132" s="48" t="str">
        <f>IFERROR(__xludf.DUMMYFUNCTION("""COMPUTED_VALUE"""),"")</f>
        <v/>
      </c>
      <c r="G12132" s="42" t="str">
        <f>IFERROR(__xludf.DUMMYFUNCTION("""COMPUTED_VALUE"""),"")</f>
        <v/>
      </c>
      <c r="H12132" s="42">
        <f t="shared" si="1"/>
        <v>3345</v>
      </c>
    </row>
    <row r="12133" ht="22.5" customHeight="1">
      <c r="B12133" s="42" t="str">
        <f>IFERROR(__xludf.DUMMYFUNCTION("""COMPUTED_VALUE"""),"")</f>
        <v/>
      </c>
      <c r="C12133" s="42" t="str">
        <f>IFERROR(__xludf.DUMMYFUNCTION("""COMPUTED_VALUE"""),"")</f>
        <v/>
      </c>
      <c r="D12133" s="42"/>
      <c r="E12133" s="42"/>
      <c r="F12133" s="48" t="str">
        <f>IFERROR(__xludf.DUMMYFUNCTION("""COMPUTED_VALUE"""),"")</f>
        <v/>
      </c>
      <c r="G12133" s="42" t="str">
        <f>IFERROR(__xludf.DUMMYFUNCTION("""COMPUTED_VALUE"""),"")</f>
        <v/>
      </c>
      <c r="H12133" s="42">
        <f t="shared" si="1"/>
        <v>3345</v>
      </c>
    </row>
    <row r="12134" ht="22.5" customHeight="1">
      <c r="B12134" s="42" t="str">
        <f>IFERROR(__xludf.DUMMYFUNCTION("""COMPUTED_VALUE"""),"")</f>
        <v/>
      </c>
      <c r="C12134" s="42" t="str">
        <f>IFERROR(__xludf.DUMMYFUNCTION("""COMPUTED_VALUE"""),"")</f>
        <v/>
      </c>
      <c r="D12134" s="42"/>
      <c r="E12134" s="42"/>
      <c r="F12134" s="48" t="str">
        <f>IFERROR(__xludf.DUMMYFUNCTION("""COMPUTED_VALUE"""),"")</f>
        <v/>
      </c>
      <c r="G12134" s="42" t="str">
        <f>IFERROR(__xludf.DUMMYFUNCTION("""COMPUTED_VALUE"""),"")</f>
        <v/>
      </c>
      <c r="H12134" s="42">
        <f t="shared" si="1"/>
        <v>3345</v>
      </c>
    </row>
    <row r="12135" ht="22.5" customHeight="1">
      <c r="B12135" s="42" t="str">
        <f>IFERROR(__xludf.DUMMYFUNCTION("""COMPUTED_VALUE"""),"")</f>
        <v/>
      </c>
      <c r="C12135" s="42" t="str">
        <f>IFERROR(__xludf.DUMMYFUNCTION("""COMPUTED_VALUE"""),"")</f>
        <v/>
      </c>
      <c r="D12135" s="42"/>
      <c r="E12135" s="42"/>
      <c r="F12135" s="48" t="str">
        <f>IFERROR(__xludf.DUMMYFUNCTION("""COMPUTED_VALUE"""),"")</f>
        <v/>
      </c>
      <c r="G12135" s="42" t="str">
        <f>IFERROR(__xludf.DUMMYFUNCTION("""COMPUTED_VALUE"""),"")</f>
        <v/>
      </c>
      <c r="H12135" s="42">
        <f t="shared" si="1"/>
        <v>3345</v>
      </c>
    </row>
    <row r="12136" ht="22.5" customHeight="1">
      <c r="B12136" s="42" t="str">
        <f>IFERROR(__xludf.DUMMYFUNCTION("""COMPUTED_VALUE"""),"")</f>
        <v/>
      </c>
      <c r="C12136" s="42" t="str">
        <f>IFERROR(__xludf.DUMMYFUNCTION("""COMPUTED_VALUE"""),"")</f>
        <v/>
      </c>
      <c r="D12136" s="42"/>
      <c r="E12136" s="42"/>
      <c r="F12136" s="48" t="str">
        <f>IFERROR(__xludf.DUMMYFUNCTION("""COMPUTED_VALUE"""),"")</f>
        <v/>
      </c>
      <c r="G12136" s="42" t="str">
        <f>IFERROR(__xludf.DUMMYFUNCTION("""COMPUTED_VALUE"""),"")</f>
        <v/>
      </c>
      <c r="H12136" s="42">
        <f t="shared" si="1"/>
        <v>3345</v>
      </c>
    </row>
    <row r="12137" ht="22.5" customHeight="1">
      <c r="B12137" s="42" t="str">
        <f>IFERROR(__xludf.DUMMYFUNCTION("""COMPUTED_VALUE"""),"")</f>
        <v/>
      </c>
      <c r="C12137" s="42" t="str">
        <f>IFERROR(__xludf.DUMMYFUNCTION("""COMPUTED_VALUE"""),"")</f>
        <v/>
      </c>
      <c r="D12137" s="42"/>
      <c r="E12137" s="42"/>
      <c r="F12137" s="48" t="str">
        <f>IFERROR(__xludf.DUMMYFUNCTION("""COMPUTED_VALUE"""),"")</f>
        <v/>
      </c>
      <c r="G12137" s="42" t="str">
        <f>IFERROR(__xludf.DUMMYFUNCTION("""COMPUTED_VALUE"""),"")</f>
        <v/>
      </c>
      <c r="H12137" s="42">
        <f t="shared" si="1"/>
        <v>3345</v>
      </c>
    </row>
    <row r="12138" ht="22.5" customHeight="1">
      <c r="B12138" s="42" t="str">
        <f>IFERROR(__xludf.DUMMYFUNCTION("""COMPUTED_VALUE"""),"")</f>
        <v/>
      </c>
      <c r="C12138" s="42" t="str">
        <f>IFERROR(__xludf.DUMMYFUNCTION("""COMPUTED_VALUE"""),"")</f>
        <v/>
      </c>
      <c r="D12138" s="42"/>
      <c r="E12138" s="42"/>
      <c r="F12138" s="48" t="str">
        <f>IFERROR(__xludf.DUMMYFUNCTION("""COMPUTED_VALUE"""),"")</f>
        <v/>
      </c>
      <c r="G12138" s="42" t="str">
        <f>IFERROR(__xludf.DUMMYFUNCTION("""COMPUTED_VALUE"""),"")</f>
        <v/>
      </c>
      <c r="H12138" s="42">
        <f t="shared" si="1"/>
        <v>3345</v>
      </c>
    </row>
    <row r="12139" ht="22.5" customHeight="1">
      <c r="B12139" s="42" t="str">
        <f>IFERROR(__xludf.DUMMYFUNCTION("""COMPUTED_VALUE"""),"")</f>
        <v/>
      </c>
      <c r="C12139" s="42" t="str">
        <f>IFERROR(__xludf.DUMMYFUNCTION("""COMPUTED_VALUE"""),"")</f>
        <v/>
      </c>
      <c r="D12139" s="42"/>
      <c r="E12139" s="42"/>
      <c r="F12139" s="48" t="str">
        <f>IFERROR(__xludf.DUMMYFUNCTION("""COMPUTED_VALUE"""),"")</f>
        <v/>
      </c>
      <c r="G12139" s="42" t="str">
        <f>IFERROR(__xludf.DUMMYFUNCTION("""COMPUTED_VALUE"""),"")</f>
        <v/>
      </c>
      <c r="H12139" s="42">
        <f t="shared" si="1"/>
        <v>3345</v>
      </c>
    </row>
    <row r="12140" ht="22.5" customHeight="1">
      <c r="B12140" s="42" t="str">
        <f>IFERROR(__xludf.DUMMYFUNCTION("""COMPUTED_VALUE"""),"")</f>
        <v/>
      </c>
      <c r="C12140" s="42" t="str">
        <f>IFERROR(__xludf.DUMMYFUNCTION("""COMPUTED_VALUE"""),"")</f>
        <v/>
      </c>
      <c r="D12140" s="42"/>
      <c r="E12140" s="42"/>
      <c r="F12140" s="48" t="str">
        <f>IFERROR(__xludf.DUMMYFUNCTION("""COMPUTED_VALUE"""),"")</f>
        <v/>
      </c>
      <c r="G12140" s="42" t="str">
        <f>IFERROR(__xludf.DUMMYFUNCTION("""COMPUTED_VALUE"""),"")</f>
        <v/>
      </c>
      <c r="H12140" s="42">
        <f t="shared" si="1"/>
        <v>3345</v>
      </c>
    </row>
    <row r="12141" ht="22.5" customHeight="1">
      <c r="B12141" s="42" t="str">
        <f>IFERROR(__xludf.DUMMYFUNCTION("""COMPUTED_VALUE"""),"")</f>
        <v/>
      </c>
      <c r="C12141" s="42" t="str">
        <f>IFERROR(__xludf.DUMMYFUNCTION("""COMPUTED_VALUE"""),"")</f>
        <v/>
      </c>
      <c r="D12141" s="42"/>
      <c r="E12141" s="42"/>
      <c r="F12141" s="48" t="str">
        <f>IFERROR(__xludf.DUMMYFUNCTION("""COMPUTED_VALUE"""),"")</f>
        <v/>
      </c>
      <c r="G12141" s="42" t="str">
        <f>IFERROR(__xludf.DUMMYFUNCTION("""COMPUTED_VALUE"""),"")</f>
        <v/>
      </c>
      <c r="H12141" s="42">
        <f t="shared" si="1"/>
        <v>3345</v>
      </c>
    </row>
    <row r="12142" ht="22.5" customHeight="1">
      <c r="B12142" s="42" t="str">
        <f>IFERROR(__xludf.DUMMYFUNCTION("""COMPUTED_VALUE"""),"")</f>
        <v/>
      </c>
      <c r="C12142" s="42" t="str">
        <f>IFERROR(__xludf.DUMMYFUNCTION("""COMPUTED_VALUE"""),"")</f>
        <v/>
      </c>
      <c r="D12142" s="42"/>
      <c r="E12142" s="42"/>
      <c r="F12142" s="48" t="str">
        <f>IFERROR(__xludf.DUMMYFUNCTION("""COMPUTED_VALUE"""),"")</f>
        <v/>
      </c>
      <c r="G12142" s="42" t="str">
        <f>IFERROR(__xludf.DUMMYFUNCTION("""COMPUTED_VALUE"""),"")</f>
        <v/>
      </c>
      <c r="H12142" s="42">
        <f t="shared" si="1"/>
        <v>3345</v>
      </c>
    </row>
    <row r="12143" ht="22.5" customHeight="1">
      <c r="B12143" s="42" t="str">
        <f>IFERROR(__xludf.DUMMYFUNCTION("""COMPUTED_VALUE"""),"")</f>
        <v/>
      </c>
      <c r="C12143" s="42" t="str">
        <f>IFERROR(__xludf.DUMMYFUNCTION("""COMPUTED_VALUE"""),"")</f>
        <v/>
      </c>
      <c r="D12143" s="42"/>
      <c r="E12143" s="42"/>
      <c r="F12143" s="48" t="str">
        <f>IFERROR(__xludf.DUMMYFUNCTION("""COMPUTED_VALUE"""),"")</f>
        <v/>
      </c>
      <c r="G12143" s="42" t="str">
        <f>IFERROR(__xludf.DUMMYFUNCTION("""COMPUTED_VALUE"""),"")</f>
        <v/>
      </c>
      <c r="H12143" s="42">
        <f t="shared" si="1"/>
        <v>3345</v>
      </c>
    </row>
    <row r="12144" ht="22.5" customHeight="1">
      <c r="B12144" s="42" t="str">
        <f>IFERROR(__xludf.DUMMYFUNCTION("""COMPUTED_VALUE"""),"")</f>
        <v/>
      </c>
      <c r="C12144" s="42" t="str">
        <f>IFERROR(__xludf.DUMMYFUNCTION("""COMPUTED_VALUE"""),"")</f>
        <v/>
      </c>
      <c r="D12144" s="42"/>
      <c r="E12144" s="42"/>
      <c r="F12144" s="48" t="str">
        <f>IFERROR(__xludf.DUMMYFUNCTION("""COMPUTED_VALUE"""),"")</f>
        <v/>
      </c>
      <c r="G12144" s="42" t="str">
        <f>IFERROR(__xludf.DUMMYFUNCTION("""COMPUTED_VALUE"""),"")</f>
        <v/>
      </c>
      <c r="H12144" s="42">
        <f t="shared" si="1"/>
        <v>3345</v>
      </c>
    </row>
    <row r="12145" ht="22.5" customHeight="1">
      <c r="B12145" s="42" t="str">
        <f>IFERROR(__xludf.DUMMYFUNCTION("""COMPUTED_VALUE"""),"")</f>
        <v/>
      </c>
      <c r="C12145" s="42" t="str">
        <f>IFERROR(__xludf.DUMMYFUNCTION("""COMPUTED_VALUE"""),"")</f>
        <v/>
      </c>
      <c r="D12145" s="42"/>
      <c r="E12145" s="42"/>
      <c r="F12145" s="48" t="str">
        <f>IFERROR(__xludf.DUMMYFUNCTION("""COMPUTED_VALUE"""),"")</f>
        <v/>
      </c>
      <c r="G12145" s="42" t="str">
        <f>IFERROR(__xludf.DUMMYFUNCTION("""COMPUTED_VALUE"""),"")</f>
        <v/>
      </c>
      <c r="H12145" s="42">
        <f t="shared" si="1"/>
        <v>3345</v>
      </c>
    </row>
    <row r="12146" ht="22.5" customHeight="1">
      <c r="B12146" s="42" t="str">
        <f>IFERROR(__xludf.DUMMYFUNCTION("""COMPUTED_VALUE"""),"")</f>
        <v/>
      </c>
      <c r="C12146" s="42" t="str">
        <f>IFERROR(__xludf.DUMMYFUNCTION("""COMPUTED_VALUE"""),"")</f>
        <v/>
      </c>
      <c r="D12146" s="42"/>
      <c r="E12146" s="42"/>
      <c r="F12146" s="48" t="str">
        <f>IFERROR(__xludf.DUMMYFUNCTION("""COMPUTED_VALUE"""),"")</f>
        <v/>
      </c>
      <c r="G12146" s="42" t="str">
        <f>IFERROR(__xludf.DUMMYFUNCTION("""COMPUTED_VALUE"""),"")</f>
        <v/>
      </c>
      <c r="H12146" s="42">
        <f t="shared" si="1"/>
        <v>3345</v>
      </c>
    </row>
    <row r="12147" ht="22.5" customHeight="1">
      <c r="B12147" s="42" t="str">
        <f>IFERROR(__xludf.DUMMYFUNCTION("""COMPUTED_VALUE"""),"")</f>
        <v/>
      </c>
      <c r="C12147" s="42" t="str">
        <f>IFERROR(__xludf.DUMMYFUNCTION("""COMPUTED_VALUE"""),"")</f>
        <v/>
      </c>
      <c r="D12147" s="42"/>
      <c r="E12147" s="42"/>
      <c r="F12147" s="48" t="str">
        <f>IFERROR(__xludf.DUMMYFUNCTION("""COMPUTED_VALUE"""),"")</f>
        <v/>
      </c>
      <c r="G12147" s="42" t="str">
        <f>IFERROR(__xludf.DUMMYFUNCTION("""COMPUTED_VALUE"""),"")</f>
        <v/>
      </c>
      <c r="H12147" s="42">
        <f t="shared" si="1"/>
        <v>3345</v>
      </c>
    </row>
    <row r="12148" ht="22.5" customHeight="1">
      <c r="B12148" s="42" t="str">
        <f>IFERROR(__xludf.DUMMYFUNCTION("""COMPUTED_VALUE"""),"")</f>
        <v/>
      </c>
      <c r="C12148" s="42" t="str">
        <f>IFERROR(__xludf.DUMMYFUNCTION("""COMPUTED_VALUE"""),"")</f>
        <v/>
      </c>
      <c r="D12148" s="42"/>
      <c r="E12148" s="42"/>
      <c r="F12148" s="48" t="str">
        <f>IFERROR(__xludf.DUMMYFUNCTION("""COMPUTED_VALUE"""),"")</f>
        <v/>
      </c>
      <c r="G12148" s="42" t="str">
        <f>IFERROR(__xludf.DUMMYFUNCTION("""COMPUTED_VALUE"""),"")</f>
        <v/>
      </c>
      <c r="H12148" s="42">
        <f t="shared" si="1"/>
        <v>3345</v>
      </c>
    </row>
    <row r="12149" ht="22.5" customHeight="1">
      <c r="B12149" s="42" t="str">
        <f>IFERROR(__xludf.DUMMYFUNCTION("""COMPUTED_VALUE"""),"")</f>
        <v/>
      </c>
      <c r="C12149" s="42" t="str">
        <f>IFERROR(__xludf.DUMMYFUNCTION("""COMPUTED_VALUE"""),"")</f>
        <v/>
      </c>
      <c r="D12149" s="42"/>
      <c r="E12149" s="42"/>
      <c r="F12149" s="48" t="str">
        <f>IFERROR(__xludf.DUMMYFUNCTION("""COMPUTED_VALUE"""),"")</f>
        <v/>
      </c>
      <c r="G12149" s="42" t="str">
        <f>IFERROR(__xludf.DUMMYFUNCTION("""COMPUTED_VALUE"""),"")</f>
        <v/>
      </c>
      <c r="H12149" s="42">
        <f t="shared" si="1"/>
        <v>3345</v>
      </c>
    </row>
    <row r="12150" ht="22.5" customHeight="1">
      <c r="B12150" s="42" t="str">
        <f>IFERROR(__xludf.DUMMYFUNCTION("""COMPUTED_VALUE"""),"")</f>
        <v/>
      </c>
      <c r="C12150" s="42" t="str">
        <f>IFERROR(__xludf.DUMMYFUNCTION("""COMPUTED_VALUE"""),"")</f>
        <v/>
      </c>
      <c r="D12150" s="42"/>
      <c r="E12150" s="42"/>
      <c r="F12150" s="48" t="str">
        <f>IFERROR(__xludf.DUMMYFUNCTION("""COMPUTED_VALUE"""),"")</f>
        <v/>
      </c>
      <c r="G12150" s="42" t="str">
        <f>IFERROR(__xludf.DUMMYFUNCTION("""COMPUTED_VALUE"""),"")</f>
        <v/>
      </c>
      <c r="H12150" s="42">
        <f t="shared" si="1"/>
        <v>3345</v>
      </c>
    </row>
    <row r="12151" ht="22.5" customHeight="1">
      <c r="B12151" s="42" t="str">
        <f>IFERROR(__xludf.DUMMYFUNCTION("""COMPUTED_VALUE"""),"")</f>
        <v/>
      </c>
      <c r="C12151" s="42" t="str">
        <f>IFERROR(__xludf.DUMMYFUNCTION("""COMPUTED_VALUE"""),"")</f>
        <v/>
      </c>
      <c r="D12151" s="42"/>
      <c r="E12151" s="42"/>
      <c r="F12151" s="48" t="str">
        <f>IFERROR(__xludf.DUMMYFUNCTION("""COMPUTED_VALUE"""),"")</f>
        <v/>
      </c>
      <c r="G12151" s="42" t="str">
        <f>IFERROR(__xludf.DUMMYFUNCTION("""COMPUTED_VALUE"""),"")</f>
        <v/>
      </c>
      <c r="H12151" s="42">
        <f t="shared" si="1"/>
        <v>3345</v>
      </c>
    </row>
    <row r="12152" ht="22.5" customHeight="1">
      <c r="B12152" s="42" t="str">
        <f>IFERROR(__xludf.DUMMYFUNCTION("""COMPUTED_VALUE"""),"")</f>
        <v/>
      </c>
      <c r="C12152" s="42" t="str">
        <f>IFERROR(__xludf.DUMMYFUNCTION("""COMPUTED_VALUE"""),"")</f>
        <v/>
      </c>
      <c r="D12152" s="42"/>
      <c r="E12152" s="42"/>
      <c r="F12152" s="48" t="str">
        <f>IFERROR(__xludf.DUMMYFUNCTION("""COMPUTED_VALUE"""),"")</f>
        <v/>
      </c>
      <c r="G12152" s="42" t="str">
        <f>IFERROR(__xludf.DUMMYFUNCTION("""COMPUTED_VALUE"""),"")</f>
        <v/>
      </c>
      <c r="H12152" s="42">
        <f t="shared" si="1"/>
        <v>3345</v>
      </c>
    </row>
    <row r="12153" ht="22.5" customHeight="1">
      <c r="B12153" s="42" t="str">
        <f>IFERROR(__xludf.DUMMYFUNCTION("""COMPUTED_VALUE"""),"")</f>
        <v/>
      </c>
      <c r="C12153" s="42" t="str">
        <f>IFERROR(__xludf.DUMMYFUNCTION("""COMPUTED_VALUE"""),"")</f>
        <v/>
      </c>
      <c r="D12153" s="42"/>
      <c r="E12153" s="42"/>
      <c r="F12153" s="48" t="str">
        <f>IFERROR(__xludf.DUMMYFUNCTION("""COMPUTED_VALUE"""),"")</f>
        <v/>
      </c>
      <c r="G12153" s="42" t="str">
        <f>IFERROR(__xludf.DUMMYFUNCTION("""COMPUTED_VALUE"""),"")</f>
        <v/>
      </c>
      <c r="H12153" s="42">
        <f t="shared" si="1"/>
        <v>3345</v>
      </c>
    </row>
    <row r="12154" ht="22.5" customHeight="1">
      <c r="B12154" s="42" t="str">
        <f>IFERROR(__xludf.DUMMYFUNCTION("""COMPUTED_VALUE"""),"")</f>
        <v/>
      </c>
      <c r="C12154" s="42" t="str">
        <f>IFERROR(__xludf.DUMMYFUNCTION("""COMPUTED_VALUE"""),"")</f>
        <v/>
      </c>
      <c r="D12154" s="42"/>
      <c r="E12154" s="42"/>
      <c r="F12154" s="48" t="str">
        <f>IFERROR(__xludf.DUMMYFUNCTION("""COMPUTED_VALUE"""),"")</f>
        <v/>
      </c>
      <c r="G12154" s="42" t="str">
        <f>IFERROR(__xludf.DUMMYFUNCTION("""COMPUTED_VALUE"""),"")</f>
        <v/>
      </c>
      <c r="H12154" s="42">
        <f t="shared" si="1"/>
        <v>3345</v>
      </c>
    </row>
    <row r="12155" ht="22.5" customHeight="1">
      <c r="B12155" s="42" t="str">
        <f>IFERROR(__xludf.DUMMYFUNCTION("""COMPUTED_VALUE"""),"")</f>
        <v/>
      </c>
      <c r="C12155" s="42" t="str">
        <f>IFERROR(__xludf.DUMMYFUNCTION("""COMPUTED_VALUE"""),"")</f>
        <v/>
      </c>
      <c r="D12155" s="42"/>
      <c r="E12155" s="42"/>
      <c r="F12155" s="48" t="str">
        <f>IFERROR(__xludf.DUMMYFUNCTION("""COMPUTED_VALUE"""),"")</f>
        <v/>
      </c>
      <c r="G12155" s="42" t="str">
        <f>IFERROR(__xludf.DUMMYFUNCTION("""COMPUTED_VALUE"""),"")</f>
        <v/>
      </c>
      <c r="H12155" s="42">
        <f t="shared" si="1"/>
        <v>3345</v>
      </c>
    </row>
    <row r="12156" ht="22.5" customHeight="1">
      <c r="B12156" s="42" t="str">
        <f>IFERROR(__xludf.DUMMYFUNCTION("""COMPUTED_VALUE"""),"")</f>
        <v/>
      </c>
      <c r="C12156" s="42" t="str">
        <f>IFERROR(__xludf.DUMMYFUNCTION("""COMPUTED_VALUE"""),"")</f>
        <v/>
      </c>
      <c r="D12156" s="42"/>
      <c r="E12156" s="42"/>
      <c r="F12156" s="48" t="str">
        <f>IFERROR(__xludf.DUMMYFUNCTION("""COMPUTED_VALUE"""),"")</f>
        <v/>
      </c>
      <c r="G12156" s="42" t="str">
        <f>IFERROR(__xludf.DUMMYFUNCTION("""COMPUTED_VALUE"""),"")</f>
        <v/>
      </c>
      <c r="H12156" s="42">
        <f t="shared" si="1"/>
        <v>3345</v>
      </c>
    </row>
    <row r="12157" ht="22.5" customHeight="1">
      <c r="B12157" s="42" t="str">
        <f>IFERROR(__xludf.DUMMYFUNCTION("""COMPUTED_VALUE"""),"")</f>
        <v/>
      </c>
      <c r="C12157" s="42" t="str">
        <f>IFERROR(__xludf.DUMMYFUNCTION("""COMPUTED_VALUE"""),"")</f>
        <v/>
      </c>
      <c r="D12157" s="42"/>
      <c r="E12157" s="42"/>
      <c r="F12157" s="48" t="str">
        <f>IFERROR(__xludf.DUMMYFUNCTION("""COMPUTED_VALUE"""),"")</f>
        <v/>
      </c>
      <c r="G12157" s="42" t="str">
        <f>IFERROR(__xludf.DUMMYFUNCTION("""COMPUTED_VALUE"""),"")</f>
        <v/>
      </c>
      <c r="H12157" s="42">
        <f t="shared" si="1"/>
        <v>3345</v>
      </c>
    </row>
    <row r="12158" ht="22.5" customHeight="1">
      <c r="B12158" s="42" t="str">
        <f>IFERROR(__xludf.DUMMYFUNCTION("""COMPUTED_VALUE"""),"")</f>
        <v/>
      </c>
      <c r="C12158" s="42" t="str">
        <f>IFERROR(__xludf.DUMMYFUNCTION("""COMPUTED_VALUE"""),"")</f>
        <v/>
      </c>
      <c r="D12158" s="42"/>
      <c r="E12158" s="42"/>
      <c r="F12158" s="48" t="str">
        <f>IFERROR(__xludf.DUMMYFUNCTION("""COMPUTED_VALUE"""),"")</f>
        <v/>
      </c>
      <c r="G12158" s="42" t="str">
        <f>IFERROR(__xludf.DUMMYFUNCTION("""COMPUTED_VALUE"""),"")</f>
        <v/>
      </c>
      <c r="H12158" s="42">
        <f t="shared" si="1"/>
        <v>3345</v>
      </c>
    </row>
    <row r="12159" ht="22.5" customHeight="1">
      <c r="B12159" s="42" t="str">
        <f>IFERROR(__xludf.DUMMYFUNCTION("""COMPUTED_VALUE"""),"")</f>
        <v/>
      </c>
      <c r="C12159" s="42" t="str">
        <f>IFERROR(__xludf.DUMMYFUNCTION("""COMPUTED_VALUE"""),"")</f>
        <v/>
      </c>
      <c r="D12159" s="42"/>
      <c r="E12159" s="42"/>
      <c r="F12159" s="48" t="str">
        <f>IFERROR(__xludf.DUMMYFUNCTION("""COMPUTED_VALUE"""),"")</f>
        <v/>
      </c>
      <c r="G12159" s="42" t="str">
        <f>IFERROR(__xludf.DUMMYFUNCTION("""COMPUTED_VALUE"""),"")</f>
        <v/>
      </c>
      <c r="H12159" s="42">
        <f t="shared" si="1"/>
        <v>3345</v>
      </c>
    </row>
    <row r="12160" ht="22.5" customHeight="1">
      <c r="B12160" s="42" t="str">
        <f>IFERROR(__xludf.DUMMYFUNCTION("""COMPUTED_VALUE"""),"")</f>
        <v/>
      </c>
      <c r="C12160" s="42" t="str">
        <f>IFERROR(__xludf.DUMMYFUNCTION("""COMPUTED_VALUE"""),"")</f>
        <v/>
      </c>
      <c r="D12160" s="42"/>
      <c r="E12160" s="42"/>
      <c r="F12160" s="48" t="str">
        <f>IFERROR(__xludf.DUMMYFUNCTION("""COMPUTED_VALUE"""),"")</f>
        <v/>
      </c>
      <c r="G12160" s="42" t="str">
        <f>IFERROR(__xludf.DUMMYFUNCTION("""COMPUTED_VALUE"""),"")</f>
        <v/>
      </c>
      <c r="H12160" s="42">
        <f t="shared" si="1"/>
        <v>3345</v>
      </c>
    </row>
    <row r="12161" ht="22.5" customHeight="1">
      <c r="B12161" s="42" t="str">
        <f>IFERROR(__xludf.DUMMYFUNCTION("""COMPUTED_VALUE"""),"")</f>
        <v/>
      </c>
      <c r="C12161" s="42" t="str">
        <f>IFERROR(__xludf.DUMMYFUNCTION("""COMPUTED_VALUE"""),"")</f>
        <v/>
      </c>
      <c r="D12161" s="42"/>
      <c r="E12161" s="42"/>
      <c r="F12161" s="48" t="str">
        <f>IFERROR(__xludf.DUMMYFUNCTION("""COMPUTED_VALUE"""),"")</f>
        <v/>
      </c>
      <c r="G12161" s="42" t="str">
        <f>IFERROR(__xludf.DUMMYFUNCTION("""COMPUTED_VALUE"""),"")</f>
        <v/>
      </c>
      <c r="H12161" s="42">
        <f t="shared" si="1"/>
        <v>3345</v>
      </c>
    </row>
    <row r="12162" ht="22.5" customHeight="1">
      <c r="B12162" s="42" t="str">
        <f>IFERROR(__xludf.DUMMYFUNCTION("""COMPUTED_VALUE"""),"")</f>
        <v/>
      </c>
      <c r="C12162" s="42" t="str">
        <f>IFERROR(__xludf.DUMMYFUNCTION("""COMPUTED_VALUE"""),"")</f>
        <v/>
      </c>
      <c r="D12162" s="42"/>
      <c r="E12162" s="42"/>
      <c r="F12162" s="48" t="str">
        <f>IFERROR(__xludf.DUMMYFUNCTION("""COMPUTED_VALUE"""),"")</f>
        <v/>
      </c>
      <c r="G12162" s="42" t="str">
        <f>IFERROR(__xludf.DUMMYFUNCTION("""COMPUTED_VALUE"""),"")</f>
        <v/>
      </c>
      <c r="H12162" s="42">
        <f t="shared" si="1"/>
        <v>3345</v>
      </c>
    </row>
    <row r="12163" ht="22.5" customHeight="1">
      <c r="B12163" s="42" t="str">
        <f>IFERROR(__xludf.DUMMYFUNCTION("""COMPUTED_VALUE"""),"")</f>
        <v/>
      </c>
      <c r="C12163" s="42" t="str">
        <f>IFERROR(__xludf.DUMMYFUNCTION("""COMPUTED_VALUE"""),"")</f>
        <v/>
      </c>
      <c r="D12163" s="42"/>
      <c r="E12163" s="42"/>
      <c r="F12163" s="48" t="str">
        <f>IFERROR(__xludf.DUMMYFUNCTION("""COMPUTED_VALUE"""),"")</f>
        <v/>
      </c>
      <c r="G12163" s="42" t="str">
        <f>IFERROR(__xludf.DUMMYFUNCTION("""COMPUTED_VALUE"""),"")</f>
        <v/>
      </c>
      <c r="H12163" s="42">
        <f t="shared" si="1"/>
        <v>3345</v>
      </c>
    </row>
    <row r="12164" ht="22.5" customHeight="1">
      <c r="B12164" s="42" t="str">
        <f>IFERROR(__xludf.DUMMYFUNCTION("""COMPUTED_VALUE"""),"")</f>
        <v/>
      </c>
      <c r="C12164" s="42" t="str">
        <f>IFERROR(__xludf.DUMMYFUNCTION("""COMPUTED_VALUE"""),"")</f>
        <v/>
      </c>
      <c r="D12164" s="42"/>
      <c r="E12164" s="42"/>
      <c r="F12164" s="48" t="str">
        <f>IFERROR(__xludf.DUMMYFUNCTION("""COMPUTED_VALUE"""),"")</f>
        <v/>
      </c>
      <c r="G12164" s="42" t="str">
        <f>IFERROR(__xludf.DUMMYFUNCTION("""COMPUTED_VALUE"""),"")</f>
        <v/>
      </c>
      <c r="H12164" s="42">
        <f t="shared" si="1"/>
        <v>3345</v>
      </c>
    </row>
    <row r="12165" ht="22.5" customHeight="1">
      <c r="B12165" s="42" t="str">
        <f>IFERROR(__xludf.DUMMYFUNCTION("""COMPUTED_VALUE"""),"")</f>
        <v/>
      </c>
      <c r="C12165" s="42" t="str">
        <f>IFERROR(__xludf.DUMMYFUNCTION("""COMPUTED_VALUE"""),"")</f>
        <v/>
      </c>
      <c r="D12165" s="42"/>
      <c r="E12165" s="42"/>
      <c r="F12165" s="48" t="str">
        <f>IFERROR(__xludf.DUMMYFUNCTION("""COMPUTED_VALUE"""),"")</f>
        <v/>
      </c>
      <c r="G12165" s="42" t="str">
        <f>IFERROR(__xludf.DUMMYFUNCTION("""COMPUTED_VALUE"""),"")</f>
        <v/>
      </c>
      <c r="H12165" s="42">
        <f t="shared" si="1"/>
        <v>3345</v>
      </c>
    </row>
    <row r="12166" ht="22.5" customHeight="1">
      <c r="B12166" s="42" t="str">
        <f>IFERROR(__xludf.DUMMYFUNCTION("""COMPUTED_VALUE"""),"")</f>
        <v/>
      </c>
      <c r="C12166" s="42" t="str">
        <f>IFERROR(__xludf.DUMMYFUNCTION("""COMPUTED_VALUE"""),"")</f>
        <v/>
      </c>
      <c r="D12166" s="42"/>
      <c r="E12166" s="42"/>
      <c r="F12166" s="48" t="str">
        <f>IFERROR(__xludf.DUMMYFUNCTION("""COMPUTED_VALUE"""),"")</f>
        <v/>
      </c>
      <c r="G12166" s="42" t="str">
        <f>IFERROR(__xludf.DUMMYFUNCTION("""COMPUTED_VALUE"""),"")</f>
        <v/>
      </c>
      <c r="H12166" s="42">
        <f t="shared" si="1"/>
        <v>3345</v>
      </c>
    </row>
    <row r="12167" ht="22.5" customHeight="1">
      <c r="B12167" s="42" t="str">
        <f>IFERROR(__xludf.DUMMYFUNCTION("""COMPUTED_VALUE"""),"")</f>
        <v/>
      </c>
      <c r="C12167" s="42" t="str">
        <f>IFERROR(__xludf.DUMMYFUNCTION("""COMPUTED_VALUE"""),"")</f>
        <v/>
      </c>
      <c r="D12167" s="42"/>
      <c r="E12167" s="42"/>
      <c r="F12167" s="48" t="str">
        <f>IFERROR(__xludf.DUMMYFUNCTION("""COMPUTED_VALUE"""),"")</f>
        <v/>
      </c>
      <c r="G12167" s="42" t="str">
        <f>IFERROR(__xludf.DUMMYFUNCTION("""COMPUTED_VALUE"""),"")</f>
        <v/>
      </c>
      <c r="H12167" s="42">
        <f t="shared" si="1"/>
        <v>3345</v>
      </c>
    </row>
    <row r="12168" ht="22.5" customHeight="1">
      <c r="B12168" s="42" t="str">
        <f>IFERROR(__xludf.DUMMYFUNCTION("""COMPUTED_VALUE"""),"")</f>
        <v/>
      </c>
      <c r="C12168" s="42" t="str">
        <f>IFERROR(__xludf.DUMMYFUNCTION("""COMPUTED_VALUE"""),"")</f>
        <v/>
      </c>
      <c r="D12168" s="42"/>
      <c r="E12168" s="42"/>
      <c r="F12168" s="48" t="str">
        <f>IFERROR(__xludf.DUMMYFUNCTION("""COMPUTED_VALUE"""),"")</f>
        <v/>
      </c>
      <c r="G12168" s="42" t="str">
        <f>IFERROR(__xludf.DUMMYFUNCTION("""COMPUTED_VALUE"""),"")</f>
        <v/>
      </c>
      <c r="H12168" s="42">
        <f t="shared" si="1"/>
        <v>3345</v>
      </c>
    </row>
    <row r="12169" ht="22.5" customHeight="1">
      <c r="B12169" s="42" t="str">
        <f>IFERROR(__xludf.DUMMYFUNCTION("""COMPUTED_VALUE"""),"")</f>
        <v/>
      </c>
      <c r="C12169" s="42" t="str">
        <f>IFERROR(__xludf.DUMMYFUNCTION("""COMPUTED_VALUE"""),"")</f>
        <v/>
      </c>
      <c r="D12169" s="42"/>
      <c r="E12169" s="42"/>
      <c r="F12169" s="48" t="str">
        <f>IFERROR(__xludf.DUMMYFUNCTION("""COMPUTED_VALUE"""),"")</f>
        <v/>
      </c>
      <c r="G12169" s="42" t="str">
        <f>IFERROR(__xludf.DUMMYFUNCTION("""COMPUTED_VALUE"""),"")</f>
        <v/>
      </c>
      <c r="H12169" s="42">
        <f t="shared" si="1"/>
        <v>3345</v>
      </c>
    </row>
    <row r="12170" ht="22.5" customHeight="1">
      <c r="B12170" s="42" t="str">
        <f>IFERROR(__xludf.DUMMYFUNCTION("""COMPUTED_VALUE"""),"")</f>
        <v/>
      </c>
      <c r="C12170" s="42" t="str">
        <f>IFERROR(__xludf.DUMMYFUNCTION("""COMPUTED_VALUE"""),"")</f>
        <v/>
      </c>
      <c r="D12170" s="42"/>
      <c r="E12170" s="42"/>
      <c r="F12170" s="48" t="str">
        <f>IFERROR(__xludf.DUMMYFUNCTION("""COMPUTED_VALUE"""),"")</f>
        <v/>
      </c>
      <c r="G12170" s="42" t="str">
        <f>IFERROR(__xludf.DUMMYFUNCTION("""COMPUTED_VALUE"""),"")</f>
        <v/>
      </c>
      <c r="H12170" s="42">
        <f t="shared" si="1"/>
        <v>3345</v>
      </c>
    </row>
    <row r="12171" ht="22.5" customHeight="1">
      <c r="B12171" s="42" t="str">
        <f>IFERROR(__xludf.DUMMYFUNCTION("""COMPUTED_VALUE"""),"")</f>
        <v/>
      </c>
      <c r="C12171" s="42" t="str">
        <f>IFERROR(__xludf.DUMMYFUNCTION("""COMPUTED_VALUE"""),"")</f>
        <v/>
      </c>
      <c r="D12171" s="42"/>
      <c r="E12171" s="42"/>
      <c r="F12171" s="48" t="str">
        <f>IFERROR(__xludf.DUMMYFUNCTION("""COMPUTED_VALUE"""),"")</f>
        <v/>
      </c>
      <c r="G12171" s="42" t="str">
        <f>IFERROR(__xludf.DUMMYFUNCTION("""COMPUTED_VALUE"""),"")</f>
        <v/>
      </c>
      <c r="H12171" s="42">
        <f t="shared" si="1"/>
        <v>3345</v>
      </c>
    </row>
    <row r="12172" ht="22.5" customHeight="1">
      <c r="B12172" s="42" t="str">
        <f>IFERROR(__xludf.DUMMYFUNCTION("""COMPUTED_VALUE"""),"")</f>
        <v/>
      </c>
      <c r="C12172" s="42" t="str">
        <f>IFERROR(__xludf.DUMMYFUNCTION("""COMPUTED_VALUE"""),"")</f>
        <v/>
      </c>
      <c r="D12172" s="42"/>
      <c r="E12172" s="42"/>
      <c r="F12172" s="48" t="str">
        <f>IFERROR(__xludf.DUMMYFUNCTION("""COMPUTED_VALUE"""),"")</f>
        <v/>
      </c>
      <c r="G12172" s="42" t="str">
        <f>IFERROR(__xludf.DUMMYFUNCTION("""COMPUTED_VALUE"""),"")</f>
        <v/>
      </c>
      <c r="H12172" s="42">
        <f t="shared" si="1"/>
        <v>3345</v>
      </c>
    </row>
    <row r="12173" ht="22.5" customHeight="1">
      <c r="B12173" s="42" t="str">
        <f>IFERROR(__xludf.DUMMYFUNCTION("""COMPUTED_VALUE"""),"")</f>
        <v/>
      </c>
      <c r="C12173" s="42" t="str">
        <f>IFERROR(__xludf.DUMMYFUNCTION("""COMPUTED_VALUE"""),"")</f>
        <v/>
      </c>
      <c r="D12173" s="42"/>
      <c r="E12173" s="42"/>
      <c r="F12173" s="48" t="str">
        <f>IFERROR(__xludf.DUMMYFUNCTION("""COMPUTED_VALUE"""),"")</f>
        <v/>
      </c>
      <c r="G12173" s="42" t="str">
        <f>IFERROR(__xludf.DUMMYFUNCTION("""COMPUTED_VALUE"""),"")</f>
        <v/>
      </c>
      <c r="H12173" s="42">
        <f t="shared" si="1"/>
        <v>3345</v>
      </c>
    </row>
    <row r="12174" ht="22.5" customHeight="1">
      <c r="B12174" s="42" t="str">
        <f>IFERROR(__xludf.DUMMYFUNCTION("""COMPUTED_VALUE"""),"")</f>
        <v/>
      </c>
      <c r="C12174" s="42" t="str">
        <f>IFERROR(__xludf.DUMMYFUNCTION("""COMPUTED_VALUE"""),"")</f>
        <v/>
      </c>
      <c r="D12174" s="42"/>
      <c r="E12174" s="42"/>
      <c r="F12174" s="48" t="str">
        <f>IFERROR(__xludf.DUMMYFUNCTION("""COMPUTED_VALUE"""),"")</f>
        <v/>
      </c>
      <c r="G12174" s="42" t="str">
        <f>IFERROR(__xludf.DUMMYFUNCTION("""COMPUTED_VALUE"""),"")</f>
        <v/>
      </c>
      <c r="H12174" s="42">
        <f t="shared" si="1"/>
        <v>3345</v>
      </c>
    </row>
    <row r="12175" ht="22.5" customHeight="1">
      <c r="B12175" s="42" t="str">
        <f>IFERROR(__xludf.DUMMYFUNCTION("""COMPUTED_VALUE"""),"")</f>
        <v/>
      </c>
      <c r="C12175" s="42" t="str">
        <f>IFERROR(__xludf.DUMMYFUNCTION("""COMPUTED_VALUE"""),"")</f>
        <v/>
      </c>
      <c r="D12175" s="42"/>
      <c r="E12175" s="42"/>
      <c r="F12175" s="48" t="str">
        <f>IFERROR(__xludf.DUMMYFUNCTION("""COMPUTED_VALUE"""),"")</f>
        <v/>
      </c>
      <c r="G12175" s="42" t="str">
        <f>IFERROR(__xludf.DUMMYFUNCTION("""COMPUTED_VALUE"""),"")</f>
        <v/>
      </c>
      <c r="H12175" s="42">
        <f t="shared" si="1"/>
        <v>3345</v>
      </c>
    </row>
    <row r="12176" ht="22.5" customHeight="1">
      <c r="B12176" s="42" t="str">
        <f>IFERROR(__xludf.DUMMYFUNCTION("""COMPUTED_VALUE"""),"")</f>
        <v/>
      </c>
      <c r="C12176" s="42" t="str">
        <f>IFERROR(__xludf.DUMMYFUNCTION("""COMPUTED_VALUE"""),"")</f>
        <v/>
      </c>
      <c r="D12176" s="42"/>
      <c r="E12176" s="42"/>
      <c r="F12176" s="48" t="str">
        <f>IFERROR(__xludf.DUMMYFUNCTION("""COMPUTED_VALUE"""),"")</f>
        <v/>
      </c>
      <c r="G12176" s="42" t="str">
        <f>IFERROR(__xludf.DUMMYFUNCTION("""COMPUTED_VALUE"""),"")</f>
        <v/>
      </c>
      <c r="H12176" s="42">
        <f t="shared" si="1"/>
        <v>3345</v>
      </c>
    </row>
    <row r="12177" ht="22.5" customHeight="1">
      <c r="B12177" s="42" t="str">
        <f>IFERROR(__xludf.DUMMYFUNCTION("""COMPUTED_VALUE"""),"")</f>
        <v/>
      </c>
      <c r="C12177" s="42" t="str">
        <f>IFERROR(__xludf.DUMMYFUNCTION("""COMPUTED_VALUE"""),"")</f>
        <v/>
      </c>
      <c r="D12177" s="42"/>
      <c r="E12177" s="42"/>
      <c r="F12177" s="48" t="str">
        <f>IFERROR(__xludf.DUMMYFUNCTION("""COMPUTED_VALUE"""),"")</f>
        <v/>
      </c>
      <c r="G12177" s="42" t="str">
        <f>IFERROR(__xludf.DUMMYFUNCTION("""COMPUTED_VALUE"""),"")</f>
        <v/>
      </c>
      <c r="H12177" s="42">
        <f t="shared" si="1"/>
        <v>3345</v>
      </c>
    </row>
    <row r="12178" ht="22.5" customHeight="1">
      <c r="B12178" s="42" t="str">
        <f>IFERROR(__xludf.DUMMYFUNCTION("""COMPUTED_VALUE"""),"")</f>
        <v/>
      </c>
      <c r="C12178" s="42" t="str">
        <f>IFERROR(__xludf.DUMMYFUNCTION("""COMPUTED_VALUE"""),"")</f>
        <v/>
      </c>
      <c r="D12178" s="42"/>
      <c r="E12178" s="42"/>
      <c r="F12178" s="48" t="str">
        <f>IFERROR(__xludf.DUMMYFUNCTION("""COMPUTED_VALUE"""),"")</f>
        <v/>
      </c>
      <c r="G12178" s="42" t="str">
        <f>IFERROR(__xludf.DUMMYFUNCTION("""COMPUTED_VALUE"""),"")</f>
        <v/>
      </c>
      <c r="H12178" s="42">
        <f t="shared" si="1"/>
        <v>3345</v>
      </c>
    </row>
    <row r="12179" ht="22.5" customHeight="1">
      <c r="B12179" s="42" t="str">
        <f>IFERROR(__xludf.DUMMYFUNCTION("""COMPUTED_VALUE"""),"")</f>
        <v/>
      </c>
      <c r="C12179" s="42" t="str">
        <f>IFERROR(__xludf.DUMMYFUNCTION("""COMPUTED_VALUE"""),"")</f>
        <v/>
      </c>
      <c r="D12179" s="42"/>
      <c r="E12179" s="42"/>
      <c r="F12179" s="48" t="str">
        <f>IFERROR(__xludf.DUMMYFUNCTION("""COMPUTED_VALUE"""),"")</f>
        <v/>
      </c>
      <c r="G12179" s="42" t="str">
        <f>IFERROR(__xludf.DUMMYFUNCTION("""COMPUTED_VALUE"""),"")</f>
        <v/>
      </c>
      <c r="H12179" s="42">
        <f t="shared" si="1"/>
        <v>3345</v>
      </c>
    </row>
    <row r="12180" ht="22.5" customHeight="1">
      <c r="B12180" s="42" t="str">
        <f>IFERROR(__xludf.DUMMYFUNCTION("""COMPUTED_VALUE"""),"")</f>
        <v/>
      </c>
      <c r="C12180" s="42" t="str">
        <f>IFERROR(__xludf.DUMMYFUNCTION("""COMPUTED_VALUE"""),"")</f>
        <v/>
      </c>
      <c r="D12180" s="42"/>
      <c r="E12180" s="42"/>
      <c r="F12180" s="48" t="str">
        <f>IFERROR(__xludf.DUMMYFUNCTION("""COMPUTED_VALUE"""),"")</f>
        <v/>
      </c>
      <c r="G12180" s="42" t="str">
        <f>IFERROR(__xludf.DUMMYFUNCTION("""COMPUTED_VALUE"""),"")</f>
        <v/>
      </c>
      <c r="H12180" s="42">
        <f t="shared" si="1"/>
        <v>3345</v>
      </c>
    </row>
    <row r="12181" ht="22.5" customHeight="1">
      <c r="B12181" s="42" t="str">
        <f>IFERROR(__xludf.DUMMYFUNCTION("""COMPUTED_VALUE"""),"")</f>
        <v/>
      </c>
      <c r="C12181" s="42" t="str">
        <f>IFERROR(__xludf.DUMMYFUNCTION("""COMPUTED_VALUE"""),"")</f>
        <v/>
      </c>
      <c r="D12181" s="42"/>
      <c r="E12181" s="42"/>
      <c r="F12181" s="48" t="str">
        <f>IFERROR(__xludf.DUMMYFUNCTION("""COMPUTED_VALUE"""),"")</f>
        <v/>
      </c>
      <c r="G12181" s="42" t="str">
        <f>IFERROR(__xludf.DUMMYFUNCTION("""COMPUTED_VALUE"""),"")</f>
        <v/>
      </c>
      <c r="H12181" s="42">
        <f t="shared" si="1"/>
        <v>3345</v>
      </c>
    </row>
    <row r="12182" ht="22.5" customHeight="1">
      <c r="B12182" s="42" t="str">
        <f>IFERROR(__xludf.DUMMYFUNCTION("""COMPUTED_VALUE"""),"")</f>
        <v/>
      </c>
      <c r="C12182" s="42" t="str">
        <f>IFERROR(__xludf.DUMMYFUNCTION("""COMPUTED_VALUE"""),"")</f>
        <v/>
      </c>
      <c r="D12182" s="42"/>
      <c r="E12182" s="42"/>
      <c r="F12182" s="48" t="str">
        <f>IFERROR(__xludf.DUMMYFUNCTION("""COMPUTED_VALUE"""),"")</f>
        <v/>
      </c>
      <c r="G12182" s="42" t="str">
        <f>IFERROR(__xludf.DUMMYFUNCTION("""COMPUTED_VALUE"""),"")</f>
        <v/>
      </c>
      <c r="H12182" s="42">
        <f t="shared" si="1"/>
        <v>3345</v>
      </c>
    </row>
    <row r="12183" ht="22.5" customHeight="1">
      <c r="B12183" s="42" t="str">
        <f>IFERROR(__xludf.DUMMYFUNCTION("""COMPUTED_VALUE"""),"")</f>
        <v/>
      </c>
      <c r="C12183" s="42" t="str">
        <f>IFERROR(__xludf.DUMMYFUNCTION("""COMPUTED_VALUE"""),"")</f>
        <v/>
      </c>
      <c r="D12183" s="42"/>
      <c r="E12183" s="42"/>
      <c r="F12183" s="48" t="str">
        <f>IFERROR(__xludf.DUMMYFUNCTION("""COMPUTED_VALUE"""),"")</f>
        <v/>
      </c>
      <c r="G12183" s="42" t="str">
        <f>IFERROR(__xludf.DUMMYFUNCTION("""COMPUTED_VALUE"""),"")</f>
        <v/>
      </c>
      <c r="H12183" s="42">
        <f t="shared" si="1"/>
        <v>3345</v>
      </c>
    </row>
    <row r="12184" ht="22.5" customHeight="1">
      <c r="B12184" s="42" t="str">
        <f>IFERROR(__xludf.DUMMYFUNCTION("""COMPUTED_VALUE"""),"")</f>
        <v/>
      </c>
      <c r="C12184" s="42" t="str">
        <f>IFERROR(__xludf.DUMMYFUNCTION("""COMPUTED_VALUE"""),"")</f>
        <v/>
      </c>
      <c r="D12184" s="42"/>
      <c r="E12184" s="42"/>
      <c r="F12184" s="48" t="str">
        <f>IFERROR(__xludf.DUMMYFUNCTION("""COMPUTED_VALUE"""),"")</f>
        <v/>
      </c>
      <c r="G12184" s="42" t="str">
        <f>IFERROR(__xludf.DUMMYFUNCTION("""COMPUTED_VALUE"""),"")</f>
        <v/>
      </c>
      <c r="H12184" s="42">
        <f t="shared" si="1"/>
        <v>3345</v>
      </c>
    </row>
    <row r="12185" ht="22.5" customHeight="1">
      <c r="B12185" s="42" t="str">
        <f>IFERROR(__xludf.DUMMYFUNCTION("""COMPUTED_VALUE"""),"")</f>
        <v/>
      </c>
      <c r="C12185" s="42" t="str">
        <f>IFERROR(__xludf.DUMMYFUNCTION("""COMPUTED_VALUE"""),"")</f>
        <v/>
      </c>
      <c r="D12185" s="42"/>
      <c r="E12185" s="42"/>
      <c r="F12185" s="48" t="str">
        <f>IFERROR(__xludf.DUMMYFUNCTION("""COMPUTED_VALUE"""),"")</f>
        <v/>
      </c>
      <c r="G12185" s="42" t="str">
        <f>IFERROR(__xludf.DUMMYFUNCTION("""COMPUTED_VALUE"""),"")</f>
        <v/>
      </c>
      <c r="H12185" s="42">
        <f t="shared" si="1"/>
        <v>3345</v>
      </c>
    </row>
    <row r="12186" ht="22.5" customHeight="1">
      <c r="B12186" s="42" t="str">
        <f>IFERROR(__xludf.DUMMYFUNCTION("""COMPUTED_VALUE"""),"")</f>
        <v/>
      </c>
      <c r="C12186" s="42" t="str">
        <f>IFERROR(__xludf.DUMMYFUNCTION("""COMPUTED_VALUE"""),"")</f>
        <v/>
      </c>
      <c r="D12186" s="42"/>
      <c r="E12186" s="42"/>
      <c r="F12186" s="48" t="str">
        <f>IFERROR(__xludf.DUMMYFUNCTION("""COMPUTED_VALUE"""),"")</f>
        <v/>
      </c>
      <c r="G12186" s="42" t="str">
        <f>IFERROR(__xludf.DUMMYFUNCTION("""COMPUTED_VALUE"""),"")</f>
        <v/>
      </c>
      <c r="H12186" s="42">
        <f t="shared" si="1"/>
        <v>3345</v>
      </c>
    </row>
    <row r="12187" ht="22.5" customHeight="1">
      <c r="B12187" s="42" t="str">
        <f>IFERROR(__xludf.DUMMYFUNCTION("""COMPUTED_VALUE"""),"")</f>
        <v/>
      </c>
      <c r="C12187" s="42" t="str">
        <f>IFERROR(__xludf.DUMMYFUNCTION("""COMPUTED_VALUE"""),"")</f>
        <v/>
      </c>
      <c r="D12187" s="42"/>
      <c r="E12187" s="42"/>
      <c r="F12187" s="48" t="str">
        <f>IFERROR(__xludf.DUMMYFUNCTION("""COMPUTED_VALUE"""),"")</f>
        <v/>
      </c>
      <c r="G12187" s="42" t="str">
        <f>IFERROR(__xludf.DUMMYFUNCTION("""COMPUTED_VALUE"""),"")</f>
        <v/>
      </c>
      <c r="H12187" s="42">
        <f t="shared" si="1"/>
        <v>3345</v>
      </c>
    </row>
    <row r="12188" ht="22.5" customHeight="1">
      <c r="B12188" s="42" t="str">
        <f>IFERROR(__xludf.DUMMYFUNCTION("""COMPUTED_VALUE"""),"")</f>
        <v/>
      </c>
      <c r="C12188" s="42" t="str">
        <f>IFERROR(__xludf.DUMMYFUNCTION("""COMPUTED_VALUE"""),"")</f>
        <v/>
      </c>
      <c r="D12188" s="42"/>
      <c r="E12188" s="42"/>
      <c r="F12188" s="48" t="str">
        <f>IFERROR(__xludf.DUMMYFUNCTION("""COMPUTED_VALUE"""),"")</f>
        <v/>
      </c>
      <c r="G12188" s="42" t="str">
        <f>IFERROR(__xludf.DUMMYFUNCTION("""COMPUTED_VALUE"""),"")</f>
        <v/>
      </c>
      <c r="H12188" s="42">
        <f t="shared" si="1"/>
        <v>3345</v>
      </c>
    </row>
    <row r="12189" ht="22.5" customHeight="1">
      <c r="B12189" s="42" t="str">
        <f>IFERROR(__xludf.DUMMYFUNCTION("""COMPUTED_VALUE"""),"")</f>
        <v/>
      </c>
      <c r="C12189" s="42" t="str">
        <f>IFERROR(__xludf.DUMMYFUNCTION("""COMPUTED_VALUE"""),"")</f>
        <v/>
      </c>
      <c r="D12189" s="42"/>
      <c r="E12189" s="42"/>
      <c r="F12189" s="48" t="str">
        <f>IFERROR(__xludf.DUMMYFUNCTION("""COMPUTED_VALUE"""),"")</f>
        <v/>
      </c>
      <c r="G12189" s="42" t="str">
        <f>IFERROR(__xludf.DUMMYFUNCTION("""COMPUTED_VALUE"""),"")</f>
        <v/>
      </c>
      <c r="H12189" s="42">
        <f t="shared" si="1"/>
        <v>3345</v>
      </c>
    </row>
    <row r="12190" ht="22.5" customHeight="1">
      <c r="B12190" s="42" t="str">
        <f>IFERROR(__xludf.DUMMYFUNCTION("""COMPUTED_VALUE"""),"")</f>
        <v/>
      </c>
      <c r="C12190" s="42" t="str">
        <f>IFERROR(__xludf.DUMMYFUNCTION("""COMPUTED_VALUE"""),"")</f>
        <v/>
      </c>
      <c r="D12190" s="42"/>
      <c r="E12190" s="42"/>
      <c r="F12190" s="48" t="str">
        <f>IFERROR(__xludf.DUMMYFUNCTION("""COMPUTED_VALUE"""),"")</f>
        <v/>
      </c>
      <c r="G12190" s="42" t="str">
        <f>IFERROR(__xludf.DUMMYFUNCTION("""COMPUTED_VALUE"""),"")</f>
        <v/>
      </c>
      <c r="H12190" s="42">
        <f t="shared" si="1"/>
        <v>3345</v>
      </c>
    </row>
    <row r="12191" ht="22.5" customHeight="1">
      <c r="B12191" s="42" t="str">
        <f>IFERROR(__xludf.DUMMYFUNCTION("""COMPUTED_VALUE"""),"")</f>
        <v/>
      </c>
      <c r="C12191" s="42" t="str">
        <f>IFERROR(__xludf.DUMMYFUNCTION("""COMPUTED_VALUE"""),"")</f>
        <v/>
      </c>
      <c r="D12191" s="42"/>
      <c r="E12191" s="42"/>
      <c r="F12191" s="48" t="str">
        <f>IFERROR(__xludf.DUMMYFUNCTION("""COMPUTED_VALUE"""),"")</f>
        <v/>
      </c>
      <c r="G12191" s="42" t="str">
        <f>IFERROR(__xludf.DUMMYFUNCTION("""COMPUTED_VALUE"""),"")</f>
        <v/>
      </c>
      <c r="H12191" s="42">
        <f t="shared" si="1"/>
        <v>3345</v>
      </c>
    </row>
    <row r="12192" ht="22.5" customHeight="1">
      <c r="B12192" s="42" t="str">
        <f>IFERROR(__xludf.DUMMYFUNCTION("""COMPUTED_VALUE"""),"")</f>
        <v/>
      </c>
      <c r="C12192" s="42" t="str">
        <f>IFERROR(__xludf.DUMMYFUNCTION("""COMPUTED_VALUE"""),"")</f>
        <v/>
      </c>
      <c r="D12192" s="42"/>
      <c r="E12192" s="42"/>
      <c r="F12192" s="48" t="str">
        <f>IFERROR(__xludf.DUMMYFUNCTION("""COMPUTED_VALUE"""),"")</f>
        <v/>
      </c>
      <c r="G12192" s="42" t="str">
        <f>IFERROR(__xludf.DUMMYFUNCTION("""COMPUTED_VALUE"""),"")</f>
        <v/>
      </c>
      <c r="H12192" s="42">
        <f t="shared" si="1"/>
        <v>3345</v>
      </c>
    </row>
    <row r="12193" ht="22.5" customHeight="1">
      <c r="B12193" s="42" t="str">
        <f>IFERROR(__xludf.DUMMYFUNCTION("""COMPUTED_VALUE"""),"")</f>
        <v/>
      </c>
      <c r="C12193" s="42" t="str">
        <f>IFERROR(__xludf.DUMMYFUNCTION("""COMPUTED_VALUE"""),"")</f>
        <v/>
      </c>
      <c r="D12193" s="42"/>
      <c r="E12193" s="42"/>
      <c r="F12193" s="48" t="str">
        <f>IFERROR(__xludf.DUMMYFUNCTION("""COMPUTED_VALUE"""),"")</f>
        <v/>
      </c>
      <c r="G12193" s="42" t="str">
        <f>IFERROR(__xludf.DUMMYFUNCTION("""COMPUTED_VALUE"""),"")</f>
        <v/>
      </c>
      <c r="H12193" s="42">
        <f t="shared" si="1"/>
        <v>3345</v>
      </c>
    </row>
    <row r="12194" ht="22.5" customHeight="1">
      <c r="B12194" s="42" t="str">
        <f>IFERROR(__xludf.DUMMYFUNCTION("""COMPUTED_VALUE"""),"")</f>
        <v/>
      </c>
      <c r="C12194" s="42" t="str">
        <f>IFERROR(__xludf.DUMMYFUNCTION("""COMPUTED_VALUE"""),"")</f>
        <v/>
      </c>
      <c r="D12194" s="42"/>
      <c r="E12194" s="42"/>
      <c r="F12194" s="48" t="str">
        <f>IFERROR(__xludf.DUMMYFUNCTION("""COMPUTED_VALUE"""),"")</f>
        <v/>
      </c>
      <c r="G12194" s="42" t="str">
        <f>IFERROR(__xludf.DUMMYFUNCTION("""COMPUTED_VALUE"""),"")</f>
        <v/>
      </c>
      <c r="H12194" s="42">
        <f t="shared" si="1"/>
        <v>3345</v>
      </c>
    </row>
    <row r="12195" ht="22.5" customHeight="1">
      <c r="B12195" s="42" t="str">
        <f>IFERROR(__xludf.DUMMYFUNCTION("""COMPUTED_VALUE"""),"")</f>
        <v/>
      </c>
      <c r="C12195" s="42" t="str">
        <f>IFERROR(__xludf.DUMMYFUNCTION("""COMPUTED_VALUE"""),"")</f>
        <v/>
      </c>
      <c r="D12195" s="42"/>
      <c r="E12195" s="42"/>
      <c r="F12195" s="48" t="str">
        <f>IFERROR(__xludf.DUMMYFUNCTION("""COMPUTED_VALUE"""),"")</f>
        <v/>
      </c>
      <c r="G12195" s="42" t="str">
        <f>IFERROR(__xludf.DUMMYFUNCTION("""COMPUTED_VALUE"""),"")</f>
        <v/>
      </c>
      <c r="H12195" s="42">
        <f t="shared" si="1"/>
        <v>3345</v>
      </c>
    </row>
    <row r="12196" ht="22.5" customHeight="1">
      <c r="B12196" s="42" t="str">
        <f>IFERROR(__xludf.DUMMYFUNCTION("""COMPUTED_VALUE"""),"")</f>
        <v/>
      </c>
      <c r="C12196" s="42" t="str">
        <f>IFERROR(__xludf.DUMMYFUNCTION("""COMPUTED_VALUE"""),"")</f>
        <v/>
      </c>
      <c r="D12196" s="42"/>
      <c r="E12196" s="42"/>
      <c r="F12196" s="48" t="str">
        <f>IFERROR(__xludf.DUMMYFUNCTION("""COMPUTED_VALUE"""),"")</f>
        <v/>
      </c>
      <c r="G12196" s="42" t="str">
        <f>IFERROR(__xludf.DUMMYFUNCTION("""COMPUTED_VALUE"""),"")</f>
        <v/>
      </c>
      <c r="H12196" s="42">
        <f t="shared" si="1"/>
        <v>3345</v>
      </c>
    </row>
    <row r="12197" ht="22.5" customHeight="1">
      <c r="B12197" s="42" t="str">
        <f>IFERROR(__xludf.DUMMYFUNCTION("""COMPUTED_VALUE"""),"")</f>
        <v/>
      </c>
      <c r="C12197" s="42" t="str">
        <f>IFERROR(__xludf.DUMMYFUNCTION("""COMPUTED_VALUE"""),"")</f>
        <v/>
      </c>
      <c r="D12197" s="42"/>
      <c r="E12197" s="42"/>
      <c r="F12197" s="48" t="str">
        <f>IFERROR(__xludf.DUMMYFUNCTION("""COMPUTED_VALUE"""),"")</f>
        <v/>
      </c>
      <c r="G12197" s="42" t="str">
        <f>IFERROR(__xludf.DUMMYFUNCTION("""COMPUTED_VALUE"""),"")</f>
        <v/>
      </c>
      <c r="H12197" s="42">
        <f t="shared" si="1"/>
        <v>3345</v>
      </c>
    </row>
    <row r="12198" ht="22.5" customHeight="1">
      <c r="B12198" s="42" t="str">
        <f>IFERROR(__xludf.DUMMYFUNCTION("""COMPUTED_VALUE"""),"")</f>
        <v/>
      </c>
      <c r="C12198" s="42" t="str">
        <f>IFERROR(__xludf.DUMMYFUNCTION("""COMPUTED_VALUE"""),"")</f>
        <v/>
      </c>
      <c r="D12198" s="42"/>
      <c r="E12198" s="42"/>
      <c r="F12198" s="48" t="str">
        <f>IFERROR(__xludf.DUMMYFUNCTION("""COMPUTED_VALUE"""),"")</f>
        <v/>
      </c>
      <c r="G12198" s="42" t="str">
        <f>IFERROR(__xludf.DUMMYFUNCTION("""COMPUTED_VALUE"""),"")</f>
        <v/>
      </c>
      <c r="H12198" s="42">
        <f t="shared" si="1"/>
        <v>3345</v>
      </c>
    </row>
    <row r="12199" ht="22.5" customHeight="1">
      <c r="B12199" s="42" t="str">
        <f>IFERROR(__xludf.DUMMYFUNCTION("""COMPUTED_VALUE"""),"")</f>
        <v/>
      </c>
      <c r="C12199" s="42" t="str">
        <f>IFERROR(__xludf.DUMMYFUNCTION("""COMPUTED_VALUE"""),"")</f>
        <v/>
      </c>
      <c r="D12199" s="42"/>
      <c r="E12199" s="42"/>
      <c r="F12199" s="48" t="str">
        <f>IFERROR(__xludf.DUMMYFUNCTION("""COMPUTED_VALUE"""),"")</f>
        <v/>
      </c>
      <c r="G12199" s="42" t="str">
        <f>IFERROR(__xludf.DUMMYFUNCTION("""COMPUTED_VALUE"""),"")</f>
        <v/>
      </c>
      <c r="H12199" s="42">
        <f t="shared" si="1"/>
        <v>3345</v>
      </c>
    </row>
    <row r="12200" ht="22.5" customHeight="1">
      <c r="B12200" s="42" t="str">
        <f>IFERROR(__xludf.DUMMYFUNCTION("""COMPUTED_VALUE"""),"")</f>
        <v/>
      </c>
      <c r="C12200" s="42" t="str">
        <f>IFERROR(__xludf.DUMMYFUNCTION("""COMPUTED_VALUE"""),"")</f>
        <v/>
      </c>
      <c r="D12200" s="42"/>
      <c r="E12200" s="42"/>
      <c r="F12200" s="48" t="str">
        <f>IFERROR(__xludf.DUMMYFUNCTION("""COMPUTED_VALUE"""),"")</f>
        <v/>
      </c>
      <c r="G12200" s="42" t="str">
        <f>IFERROR(__xludf.DUMMYFUNCTION("""COMPUTED_VALUE"""),"")</f>
        <v/>
      </c>
      <c r="H12200" s="42">
        <f t="shared" si="1"/>
        <v>3345</v>
      </c>
    </row>
    <row r="12201" ht="22.5" customHeight="1">
      <c r="B12201" s="42" t="str">
        <f>IFERROR(__xludf.DUMMYFUNCTION("""COMPUTED_VALUE"""),"")</f>
        <v/>
      </c>
      <c r="C12201" s="42" t="str">
        <f>IFERROR(__xludf.DUMMYFUNCTION("""COMPUTED_VALUE"""),"")</f>
        <v/>
      </c>
      <c r="D12201" s="42"/>
      <c r="E12201" s="42"/>
      <c r="F12201" s="48" t="str">
        <f>IFERROR(__xludf.DUMMYFUNCTION("""COMPUTED_VALUE"""),"")</f>
        <v/>
      </c>
      <c r="G12201" s="42" t="str">
        <f>IFERROR(__xludf.DUMMYFUNCTION("""COMPUTED_VALUE"""),"")</f>
        <v/>
      </c>
      <c r="H12201" s="42">
        <f t="shared" si="1"/>
        <v>3345</v>
      </c>
    </row>
    <row r="12202" ht="22.5" customHeight="1">
      <c r="B12202" s="42" t="str">
        <f>IFERROR(__xludf.DUMMYFUNCTION("""COMPUTED_VALUE"""),"")</f>
        <v/>
      </c>
      <c r="C12202" s="42" t="str">
        <f>IFERROR(__xludf.DUMMYFUNCTION("""COMPUTED_VALUE"""),"")</f>
        <v/>
      </c>
      <c r="D12202" s="42"/>
      <c r="E12202" s="42"/>
      <c r="F12202" s="48" t="str">
        <f>IFERROR(__xludf.DUMMYFUNCTION("""COMPUTED_VALUE"""),"")</f>
        <v/>
      </c>
      <c r="G12202" s="42" t="str">
        <f>IFERROR(__xludf.DUMMYFUNCTION("""COMPUTED_VALUE"""),"")</f>
        <v/>
      </c>
      <c r="H12202" s="42">
        <f t="shared" si="1"/>
        <v>3345</v>
      </c>
    </row>
    <row r="12203" ht="22.5" customHeight="1">
      <c r="B12203" s="42" t="str">
        <f>IFERROR(__xludf.DUMMYFUNCTION("""COMPUTED_VALUE"""),"")</f>
        <v/>
      </c>
      <c r="C12203" s="42" t="str">
        <f>IFERROR(__xludf.DUMMYFUNCTION("""COMPUTED_VALUE"""),"")</f>
        <v/>
      </c>
      <c r="D12203" s="42"/>
      <c r="E12203" s="42"/>
      <c r="F12203" s="48" t="str">
        <f>IFERROR(__xludf.DUMMYFUNCTION("""COMPUTED_VALUE"""),"")</f>
        <v/>
      </c>
      <c r="G12203" s="42" t="str">
        <f>IFERROR(__xludf.DUMMYFUNCTION("""COMPUTED_VALUE"""),"")</f>
        <v/>
      </c>
      <c r="H12203" s="42">
        <f t="shared" si="1"/>
        <v>3345</v>
      </c>
    </row>
    <row r="12204" ht="22.5" customHeight="1">
      <c r="B12204" s="42" t="str">
        <f>IFERROR(__xludf.DUMMYFUNCTION("""COMPUTED_VALUE"""),"")</f>
        <v/>
      </c>
      <c r="C12204" s="42" t="str">
        <f>IFERROR(__xludf.DUMMYFUNCTION("""COMPUTED_VALUE"""),"")</f>
        <v/>
      </c>
      <c r="D12204" s="42"/>
      <c r="E12204" s="42"/>
      <c r="F12204" s="48" t="str">
        <f>IFERROR(__xludf.DUMMYFUNCTION("""COMPUTED_VALUE"""),"")</f>
        <v/>
      </c>
      <c r="G12204" s="42" t="str">
        <f>IFERROR(__xludf.DUMMYFUNCTION("""COMPUTED_VALUE"""),"")</f>
        <v/>
      </c>
      <c r="H12204" s="42">
        <f t="shared" si="1"/>
        <v>3345</v>
      </c>
    </row>
    <row r="12205" ht="22.5" customHeight="1">
      <c r="B12205" s="42" t="str">
        <f>IFERROR(__xludf.DUMMYFUNCTION("""COMPUTED_VALUE"""),"")</f>
        <v/>
      </c>
      <c r="C12205" s="42" t="str">
        <f>IFERROR(__xludf.DUMMYFUNCTION("""COMPUTED_VALUE"""),"")</f>
        <v/>
      </c>
      <c r="D12205" s="42"/>
      <c r="E12205" s="42"/>
      <c r="F12205" s="48" t="str">
        <f>IFERROR(__xludf.DUMMYFUNCTION("""COMPUTED_VALUE"""),"")</f>
        <v/>
      </c>
      <c r="G12205" s="42" t="str">
        <f>IFERROR(__xludf.DUMMYFUNCTION("""COMPUTED_VALUE"""),"")</f>
        <v/>
      </c>
      <c r="H12205" s="42">
        <f t="shared" si="1"/>
        <v>3345</v>
      </c>
    </row>
    <row r="12206" ht="22.5" customHeight="1">
      <c r="B12206" s="42" t="str">
        <f>IFERROR(__xludf.DUMMYFUNCTION("""COMPUTED_VALUE"""),"")</f>
        <v/>
      </c>
      <c r="C12206" s="42" t="str">
        <f>IFERROR(__xludf.DUMMYFUNCTION("""COMPUTED_VALUE"""),"")</f>
        <v/>
      </c>
      <c r="D12206" s="42"/>
      <c r="E12206" s="42"/>
      <c r="F12206" s="48" t="str">
        <f>IFERROR(__xludf.DUMMYFUNCTION("""COMPUTED_VALUE"""),"")</f>
        <v/>
      </c>
      <c r="G12206" s="42" t="str">
        <f>IFERROR(__xludf.DUMMYFUNCTION("""COMPUTED_VALUE"""),"")</f>
        <v/>
      </c>
      <c r="H12206" s="42">
        <f t="shared" si="1"/>
        <v>3345</v>
      </c>
    </row>
    <row r="12207" ht="22.5" customHeight="1">
      <c r="B12207" s="42" t="str">
        <f>IFERROR(__xludf.DUMMYFUNCTION("""COMPUTED_VALUE"""),"")</f>
        <v/>
      </c>
      <c r="C12207" s="42" t="str">
        <f>IFERROR(__xludf.DUMMYFUNCTION("""COMPUTED_VALUE"""),"")</f>
        <v/>
      </c>
      <c r="D12207" s="42"/>
      <c r="E12207" s="42"/>
      <c r="F12207" s="48" t="str">
        <f>IFERROR(__xludf.DUMMYFUNCTION("""COMPUTED_VALUE"""),"")</f>
        <v/>
      </c>
      <c r="G12207" s="42" t="str">
        <f>IFERROR(__xludf.DUMMYFUNCTION("""COMPUTED_VALUE"""),"")</f>
        <v/>
      </c>
      <c r="H12207" s="42">
        <f t="shared" si="1"/>
        <v>3345</v>
      </c>
    </row>
    <row r="12208" ht="22.5" customHeight="1">
      <c r="B12208" s="42" t="str">
        <f>IFERROR(__xludf.DUMMYFUNCTION("""COMPUTED_VALUE"""),"")</f>
        <v/>
      </c>
      <c r="C12208" s="42" t="str">
        <f>IFERROR(__xludf.DUMMYFUNCTION("""COMPUTED_VALUE"""),"")</f>
        <v/>
      </c>
      <c r="D12208" s="42"/>
      <c r="E12208" s="42"/>
      <c r="F12208" s="48" t="str">
        <f>IFERROR(__xludf.DUMMYFUNCTION("""COMPUTED_VALUE"""),"")</f>
        <v/>
      </c>
      <c r="G12208" s="42" t="str">
        <f>IFERROR(__xludf.DUMMYFUNCTION("""COMPUTED_VALUE"""),"")</f>
        <v/>
      </c>
      <c r="H12208" s="42">
        <f t="shared" si="1"/>
        <v>3345</v>
      </c>
    </row>
    <row r="12209" ht="22.5" customHeight="1">
      <c r="B12209" s="42" t="str">
        <f>IFERROR(__xludf.DUMMYFUNCTION("""COMPUTED_VALUE"""),"")</f>
        <v/>
      </c>
      <c r="C12209" s="42" t="str">
        <f>IFERROR(__xludf.DUMMYFUNCTION("""COMPUTED_VALUE"""),"")</f>
        <v/>
      </c>
      <c r="D12209" s="42"/>
      <c r="E12209" s="42"/>
      <c r="F12209" s="48" t="str">
        <f>IFERROR(__xludf.DUMMYFUNCTION("""COMPUTED_VALUE"""),"")</f>
        <v/>
      </c>
      <c r="G12209" s="42" t="str">
        <f>IFERROR(__xludf.DUMMYFUNCTION("""COMPUTED_VALUE"""),"")</f>
        <v/>
      </c>
      <c r="H12209" s="42">
        <f t="shared" si="1"/>
        <v>3345</v>
      </c>
    </row>
    <row r="12210" ht="22.5" customHeight="1">
      <c r="B12210" s="42" t="str">
        <f>IFERROR(__xludf.DUMMYFUNCTION("""COMPUTED_VALUE"""),"")</f>
        <v/>
      </c>
      <c r="C12210" s="42" t="str">
        <f>IFERROR(__xludf.DUMMYFUNCTION("""COMPUTED_VALUE"""),"")</f>
        <v/>
      </c>
      <c r="D12210" s="42"/>
      <c r="E12210" s="42"/>
      <c r="F12210" s="48" t="str">
        <f>IFERROR(__xludf.DUMMYFUNCTION("""COMPUTED_VALUE"""),"")</f>
        <v/>
      </c>
      <c r="G12210" s="42" t="str">
        <f>IFERROR(__xludf.DUMMYFUNCTION("""COMPUTED_VALUE"""),"")</f>
        <v/>
      </c>
      <c r="H12210" s="42">
        <f t="shared" si="1"/>
        <v>3345</v>
      </c>
    </row>
    <row r="12211" ht="22.5" customHeight="1">
      <c r="B12211" s="42" t="str">
        <f>IFERROR(__xludf.DUMMYFUNCTION("""COMPUTED_VALUE"""),"")</f>
        <v/>
      </c>
      <c r="C12211" s="42" t="str">
        <f>IFERROR(__xludf.DUMMYFUNCTION("""COMPUTED_VALUE"""),"")</f>
        <v/>
      </c>
      <c r="D12211" s="42"/>
      <c r="E12211" s="42"/>
      <c r="F12211" s="48" t="str">
        <f>IFERROR(__xludf.DUMMYFUNCTION("""COMPUTED_VALUE"""),"")</f>
        <v/>
      </c>
      <c r="G12211" s="42" t="str">
        <f>IFERROR(__xludf.DUMMYFUNCTION("""COMPUTED_VALUE"""),"")</f>
        <v/>
      </c>
      <c r="H12211" s="42">
        <f t="shared" si="1"/>
        <v>3345</v>
      </c>
    </row>
    <row r="12212" ht="22.5" customHeight="1">
      <c r="B12212" s="42" t="str">
        <f>IFERROR(__xludf.DUMMYFUNCTION("""COMPUTED_VALUE"""),"")</f>
        <v/>
      </c>
      <c r="C12212" s="42" t="str">
        <f>IFERROR(__xludf.DUMMYFUNCTION("""COMPUTED_VALUE"""),"")</f>
        <v/>
      </c>
      <c r="D12212" s="42"/>
      <c r="E12212" s="42"/>
      <c r="F12212" s="48" t="str">
        <f>IFERROR(__xludf.DUMMYFUNCTION("""COMPUTED_VALUE"""),"")</f>
        <v/>
      </c>
      <c r="G12212" s="42" t="str">
        <f>IFERROR(__xludf.DUMMYFUNCTION("""COMPUTED_VALUE"""),"")</f>
        <v/>
      </c>
      <c r="H12212" s="42">
        <f t="shared" si="1"/>
        <v>3345</v>
      </c>
    </row>
    <row r="12213" ht="22.5" customHeight="1">
      <c r="B12213" s="42" t="str">
        <f>IFERROR(__xludf.DUMMYFUNCTION("""COMPUTED_VALUE"""),"")</f>
        <v/>
      </c>
      <c r="C12213" s="42" t="str">
        <f>IFERROR(__xludf.DUMMYFUNCTION("""COMPUTED_VALUE"""),"")</f>
        <v/>
      </c>
      <c r="D12213" s="42"/>
      <c r="E12213" s="42"/>
      <c r="F12213" s="48" t="str">
        <f>IFERROR(__xludf.DUMMYFUNCTION("""COMPUTED_VALUE"""),"")</f>
        <v/>
      </c>
      <c r="G12213" s="42" t="str">
        <f>IFERROR(__xludf.DUMMYFUNCTION("""COMPUTED_VALUE"""),"")</f>
        <v/>
      </c>
      <c r="H12213" s="42">
        <f t="shared" si="1"/>
        <v>3345</v>
      </c>
    </row>
    <row r="12214" ht="22.5" customHeight="1">
      <c r="B12214" s="42" t="str">
        <f>IFERROR(__xludf.DUMMYFUNCTION("""COMPUTED_VALUE"""),"")</f>
        <v/>
      </c>
      <c r="C12214" s="42" t="str">
        <f>IFERROR(__xludf.DUMMYFUNCTION("""COMPUTED_VALUE"""),"")</f>
        <v/>
      </c>
      <c r="D12214" s="42"/>
      <c r="E12214" s="42"/>
      <c r="F12214" s="48" t="str">
        <f>IFERROR(__xludf.DUMMYFUNCTION("""COMPUTED_VALUE"""),"")</f>
        <v/>
      </c>
      <c r="G12214" s="42" t="str">
        <f>IFERROR(__xludf.DUMMYFUNCTION("""COMPUTED_VALUE"""),"")</f>
        <v/>
      </c>
      <c r="H12214" s="42">
        <f t="shared" si="1"/>
        <v>3345</v>
      </c>
    </row>
    <row r="12215" ht="22.5" customHeight="1">
      <c r="B12215" s="42" t="str">
        <f>IFERROR(__xludf.DUMMYFUNCTION("""COMPUTED_VALUE"""),"")</f>
        <v/>
      </c>
      <c r="C12215" s="42" t="str">
        <f>IFERROR(__xludf.DUMMYFUNCTION("""COMPUTED_VALUE"""),"")</f>
        <v/>
      </c>
      <c r="D12215" s="42"/>
      <c r="E12215" s="42"/>
      <c r="F12215" s="48" t="str">
        <f>IFERROR(__xludf.DUMMYFUNCTION("""COMPUTED_VALUE"""),"")</f>
        <v/>
      </c>
      <c r="G12215" s="42" t="str">
        <f>IFERROR(__xludf.DUMMYFUNCTION("""COMPUTED_VALUE"""),"")</f>
        <v/>
      </c>
      <c r="H12215" s="42">
        <f t="shared" si="1"/>
        <v>3345</v>
      </c>
    </row>
    <row r="12216" ht="22.5" customHeight="1">
      <c r="B12216" s="42" t="str">
        <f>IFERROR(__xludf.DUMMYFUNCTION("""COMPUTED_VALUE"""),"")</f>
        <v/>
      </c>
      <c r="C12216" s="42" t="str">
        <f>IFERROR(__xludf.DUMMYFUNCTION("""COMPUTED_VALUE"""),"")</f>
        <v/>
      </c>
      <c r="D12216" s="42"/>
      <c r="E12216" s="42"/>
      <c r="F12216" s="48" t="str">
        <f>IFERROR(__xludf.DUMMYFUNCTION("""COMPUTED_VALUE"""),"")</f>
        <v/>
      </c>
      <c r="G12216" s="42" t="str">
        <f>IFERROR(__xludf.DUMMYFUNCTION("""COMPUTED_VALUE"""),"")</f>
        <v/>
      </c>
      <c r="H12216" s="42">
        <f t="shared" si="1"/>
        <v>3345</v>
      </c>
    </row>
    <row r="12217" ht="22.5" customHeight="1">
      <c r="B12217" s="42" t="str">
        <f>IFERROR(__xludf.DUMMYFUNCTION("""COMPUTED_VALUE"""),"")</f>
        <v/>
      </c>
      <c r="C12217" s="42" t="str">
        <f>IFERROR(__xludf.DUMMYFUNCTION("""COMPUTED_VALUE"""),"")</f>
        <v/>
      </c>
      <c r="D12217" s="42"/>
      <c r="E12217" s="42"/>
      <c r="F12217" s="48" t="str">
        <f>IFERROR(__xludf.DUMMYFUNCTION("""COMPUTED_VALUE"""),"")</f>
        <v/>
      </c>
      <c r="G12217" s="42" t="str">
        <f>IFERROR(__xludf.DUMMYFUNCTION("""COMPUTED_VALUE"""),"")</f>
        <v/>
      </c>
      <c r="H12217" s="42">
        <f t="shared" si="1"/>
        <v>3345</v>
      </c>
    </row>
    <row r="12218" ht="22.5" customHeight="1">
      <c r="B12218" s="42" t="str">
        <f>IFERROR(__xludf.DUMMYFUNCTION("""COMPUTED_VALUE"""),"")</f>
        <v/>
      </c>
      <c r="C12218" s="42" t="str">
        <f>IFERROR(__xludf.DUMMYFUNCTION("""COMPUTED_VALUE"""),"")</f>
        <v/>
      </c>
      <c r="D12218" s="42"/>
      <c r="E12218" s="42"/>
      <c r="F12218" s="48" t="str">
        <f>IFERROR(__xludf.DUMMYFUNCTION("""COMPUTED_VALUE"""),"")</f>
        <v/>
      </c>
      <c r="G12218" s="42" t="str">
        <f>IFERROR(__xludf.DUMMYFUNCTION("""COMPUTED_VALUE"""),"")</f>
        <v/>
      </c>
      <c r="H12218" s="42">
        <f t="shared" si="1"/>
        <v>3345</v>
      </c>
    </row>
    <row r="12219" ht="22.5" customHeight="1">
      <c r="B12219" s="42" t="str">
        <f>IFERROR(__xludf.DUMMYFUNCTION("""COMPUTED_VALUE"""),"")</f>
        <v/>
      </c>
      <c r="C12219" s="42" t="str">
        <f>IFERROR(__xludf.DUMMYFUNCTION("""COMPUTED_VALUE"""),"")</f>
        <v/>
      </c>
      <c r="D12219" s="42"/>
      <c r="E12219" s="42"/>
      <c r="F12219" s="48" t="str">
        <f>IFERROR(__xludf.DUMMYFUNCTION("""COMPUTED_VALUE"""),"")</f>
        <v/>
      </c>
      <c r="G12219" s="42" t="str">
        <f>IFERROR(__xludf.DUMMYFUNCTION("""COMPUTED_VALUE"""),"")</f>
        <v/>
      </c>
      <c r="H12219" s="42">
        <f t="shared" si="1"/>
        <v>3345</v>
      </c>
    </row>
    <row r="12220" ht="22.5" customHeight="1">
      <c r="B12220" s="42" t="str">
        <f>IFERROR(__xludf.DUMMYFUNCTION("""COMPUTED_VALUE"""),"")</f>
        <v/>
      </c>
      <c r="C12220" s="42" t="str">
        <f>IFERROR(__xludf.DUMMYFUNCTION("""COMPUTED_VALUE"""),"")</f>
        <v/>
      </c>
      <c r="D12220" s="42"/>
      <c r="E12220" s="42"/>
      <c r="F12220" s="48" t="str">
        <f>IFERROR(__xludf.DUMMYFUNCTION("""COMPUTED_VALUE"""),"")</f>
        <v/>
      </c>
      <c r="G12220" s="42" t="str">
        <f>IFERROR(__xludf.DUMMYFUNCTION("""COMPUTED_VALUE"""),"")</f>
        <v/>
      </c>
      <c r="H12220" s="42">
        <f t="shared" si="1"/>
        <v>3345</v>
      </c>
    </row>
    <row r="12221" ht="22.5" customHeight="1">
      <c r="B12221" s="42" t="str">
        <f>IFERROR(__xludf.DUMMYFUNCTION("""COMPUTED_VALUE"""),"")</f>
        <v/>
      </c>
      <c r="C12221" s="42" t="str">
        <f>IFERROR(__xludf.DUMMYFUNCTION("""COMPUTED_VALUE"""),"")</f>
        <v/>
      </c>
      <c r="D12221" s="42"/>
      <c r="E12221" s="42"/>
      <c r="F12221" s="48" t="str">
        <f>IFERROR(__xludf.DUMMYFUNCTION("""COMPUTED_VALUE"""),"")</f>
        <v/>
      </c>
      <c r="G12221" s="42" t="str">
        <f>IFERROR(__xludf.DUMMYFUNCTION("""COMPUTED_VALUE"""),"")</f>
        <v/>
      </c>
      <c r="H12221" s="42">
        <f t="shared" si="1"/>
        <v>3345</v>
      </c>
    </row>
    <row r="12222" ht="22.5" customHeight="1">
      <c r="B12222" s="42" t="str">
        <f>IFERROR(__xludf.DUMMYFUNCTION("""COMPUTED_VALUE"""),"")</f>
        <v/>
      </c>
      <c r="C12222" s="42" t="str">
        <f>IFERROR(__xludf.DUMMYFUNCTION("""COMPUTED_VALUE"""),"")</f>
        <v/>
      </c>
      <c r="D12222" s="42"/>
      <c r="E12222" s="42"/>
      <c r="F12222" s="48" t="str">
        <f>IFERROR(__xludf.DUMMYFUNCTION("""COMPUTED_VALUE"""),"")</f>
        <v/>
      </c>
      <c r="G12222" s="42" t="str">
        <f>IFERROR(__xludf.DUMMYFUNCTION("""COMPUTED_VALUE"""),"")</f>
        <v/>
      </c>
      <c r="H12222" s="42">
        <f t="shared" si="1"/>
        <v>3345</v>
      </c>
    </row>
    <row r="12223" ht="22.5" customHeight="1">
      <c r="B12223" s="42" t="str">
        <f>IFERROR(__xludf.DUMMYFUNCTION("""COMPUTED_VALUE"""),"")</f>
        <v/>
      </c>
      <c r="C12223" s="42" t="str">
        <f>IFERROR(__xludf.DUMMYFUNCTION("""COMPUTED_VALUE"""),"")</f>
        <v/>
      </c>
      <c r="D12223" s="42"/>
      <c r="E12223" s="42"/>
      <c r="F12223" s="48" t="str">
        <f>IFERROR(__xludf.DUMMYFUNCTION("""COMPUTED_VALUE"""),"")</f>
        <v/>
      </c>
      <c r="G12223" s="42" t="str">
        <f>IFERROR(__xludf.DUMMYFUNCTION("""COMPUTED_VALUE"""),"")</f>
        <v/>
      </c>
      <c r="H12223" s="42">
        <f t="shared" si="1"/>
        <v>3345</v>
      </c>
    </row>
    <row r="12224" ht="22.5" customHeight="1">
      <c r="B12224" s="42" t="str">
        <f>IFERROR(__xludf.DUMMYFUNCTION("""COMPUTED_VALUE"""),"")</f>
        <v/>
      </c>
      <c r="C12224" s="42" t="str">
        <f>IFERROR(__xludf.DUMMYFUNCTION("""COMPUTED_VALUE"""),"")</f>
        <v/>
      </c>
      <c r="D12224" s="42"/>
      <c r="E12224" s="42"/>
      <c r="F12224" s="48" t="str">
        <f>IFERROR(__xludf.DUMMYFUNCTION("""COMPUTED_VALUE"""),"")</f>
        <v/>
      </c>
      <c r="G12224" s="42" t="str">
        <f>IFERROR(__xludf.DUMMYFUNCTION("""COMPUTED_VALUE"""),"")</f>
        <v/>
      </c>
      <c r="H12224" s="42">
        <f t="shared" si="1"/>
        <v>3345</v>
      </c>
    </row>
    <row r="12225" ht="22.5" customHeight="1">
      <c r="B12225" s="42" t="str">
        <f>IFERROR(__xludf.DUMMYFUNCTION("""COMPUTED_VALUE"""),"")</f>
        <v/>
      </c>
      <c r="C12225" s="42" t="str">
        <f>IFERROR(__xludf.DUMMYFUNCTION("""COMPUTED_VALUE"""),"")</f>
        <v/>
      </c>
      <c r="D12225" s="42"/>
      <c r="E12225" s="42"/>
      <c r="F12225" s="48" t="str">
        <f>IFERROR(__xludf.DUMMYFUNCTION("""COMPUTED_VALUE"""),"")</f>
        <v/>
      </c>
      <c r="G12225" s="42" t="str">
        <f>IFERROR(__xludf.DUMMYFUNCTION("""COMPUTED_VALUE"""),"")</f>
        <v/>
      </c>
      <c r="H12225" s="42">
        <f t="shared" si="1"/>
        <v>3345</v>
      </c>
    </row>
    <row r="12226" ht="22.5" customHeight="1">
      <c r="B12226" s="42" t="str">
        <f>IFERROR(__xludf.DUMMYFUNCTION("""COMPUTED_VALUE"""),"")</f>
        <v/>
      </c>
      <c r="C12226" s="42" t="str">
        <f>IFERROR(__xludf.DUMMYFUNCTION("""COMPUTED_VALUE"""),"")</f>
        <v/>
      </c>
      <c r="D12226" s="42"/>
      <c r="E12226" s="42"/>
      <c r="F12226" s="48" t="str">
        <f>IFERROR(__xludf.DUMMYFUNCTION("""COMPUTED_VALUE"""),"")</f>
        <v/>
      </c>
      <c r="G12226" s="42" t="str">
        <f>IFERROR(__xludf.DUMMYFUNCTION("""COMPUTED_VALUE"""),"")</f>
        <v/>
      </c>
      <c r="H12226" s="42">
        <f t="shared" si="1"/>
        <v>3345</v>
      </c>
    </row>
    <row r="12227" ht="22.5" customHeight="1">
      <c r="B12227" s="42" t="str">
        <f>IFERROR(__xludf.DUMMYFUNCTION("""COMPUTED_VALUE"""),"")</f>
        <v/>
      </c>
      <c r="C12227" s="42" t="str">
        <f>IFERROR(__xludf.DUMMYFUNCTION("""COMPUTED_VALUE"""),"")</f>
        <v/>
      </c>
      <c r="D12227" s="42"/>
      <c r="E12227" s="42"/>
      <c r="F12227" s="48" t="str">
        <f>IFERROR(__xludf.DUMMYFUNCTION("""COMPUTED_VALUE"""),"")</f>
        <v/>
      </c>
      <c r="G12227" s="42" t="str">
        <f>IFERROR(__xludf.DUMMYFUNCTION("""COMPUTED_VALUE"""),"")</f>
        <v/>
      </c>
      <c r="H12227" s="42">
        <f t="shared" si="1"/>
        <v>3345</v>
      </c>
    </row>
    <row r="12228" ht="22.5" customHeight="1">
      <c r="B12228" s="42" t="str">
        <f>IFERROR(__xludf.DUMMYFUNCTION("""COMPUTED_VALUE"""),"")</f>
        <v/>
      </c>
      <c r="C12228" s="42" t="str">
        <f>IFERROR(__xludf.DUMMYFUNCTION("""COMPUTED_VALUE"""),"")</f>
        <v/>
      </c>
      <c r="D12228" s="42"/>
      <c r="E12228" s="42"/>
      <c r="F12228" s="48" t="str">
        <f>IFERROR(__xludf.DUMMYFUNCTION("""COMPUTED_VALUE"""),"")</f>
        <v/>
      </c>
      <c r="G12228" s="42" t="str">
        <f>IFERROR(__xludf.DUMMYFUNCTION("""COMPUTED_VALUE"""),"")</f>
        <v/>
      </c>
      <c r="H12228" s="42">
        <f t="shared" si="1"/>
        <v>3345</v>
      </c>
    </row>
    <row r="12229" ht="22.5" customHeight="1">
      <c r="B12229" s="42" t="str">
        <f>IFERROR(__xludf.DUMMYFUNCTION("""COMPUTED_VALUE"""),"")</f>
        <v/>
      </c>
      <c r="C12229" s="42" t="str">
        <f>IFERROR(__xludf.DUMMYFUNCTION("""COMPUTED_VALUE"""),"")</f>
        <v/>
      </c>
      <c r="D12229" s="42"/>
      <c r="E12229" s="42"/>
      <c r="F12229" s="48" t="str">
        <f>IFERROR(__xludf.DUMMYFUNCTION("""COMPUTED_VALUE"""),"")</f>
        <v/>
      </c>
      <c r="G12229" s="42" t="str">
        <f>IFERROR(__xludf.DUMMYFUNCTION("""COMPUTED_VALUE"""),"")</f>
        <v/>
      </c>
      <c r="H12229" s="42">
        <f t="shared" si="1"/>
        <v>3345</v>
      </c>
    </row>
    <row r="12230" ht="22.5" customHeight="1">
      <c r="B12230" s="42" t="str">
        <f>IFERROR(__xludf.DUMMYFUNCTION("""COMPUTED_VALUE"""),"")</f>
        <v/>
      </c>
      <c r="C12230" s="42" t="str">
        <f>IFERROR(__xludf.DUMMYFUNCTION("""COMPUTED_VALUE"""),"")</f>
        <v/>
      </c>
      <c r="D12230" s="42"/>
      <c r="E12230" s="42"/>
      <c r="F12230" s="48" t="str">
        <f>IFERROR(__xludf.DUMMYFUNCTION("""COMPUTED_VALUE"""),"")</f>
        <v/>
      </c>
      <c r="G12230" s="42" t="str">
        <f>IFERROR(__xludf.DUMMYFUNCTION("""COMPUTED_VALUE"""),"")</f>
        <v/>
      </c>
      <c r="H12230" s="42">
        <f t="shared" si="1"/>
        <v>3345</v>
      </c>
    </row>
    <row r="12231" ht="22.5" customHeight="1">
      <c r="B12231" s="42" t="str">
        <f>IFERROR(__xludf.DUMMYFUNCTION("""COMPUTED_VALUE"""),"")</f>
        <v/>
      </c>
      <c r="C12231" s="42" t="str">
        <f>IFERROR(__xludf.DUMMYFUNCTION("""COMPUTED_VALUE"""),"")</f>
        <v/>
      </c>
      <c r="D12231" s="42"/>
      <c r="E12231" s="42"/>
      <c r="F12231" s="48" t="str">
        <f>IFERROR(__xludf.DUMMYFUNCTION("""COMPUTED_VALUE"""),"")</f>
        <v/>
      </c>
      <c r="G12231" s="42" t="str">
        <f>IFERROR(__xludf.DUMMYFUNCTION("""COMPUTED_VALUE"""),"")</f>
        <v/>
      </c>
      <c r="H12231" s="42">
        <f t="shared" si="1"/>
        <v>3345</v>
      </c>
    </row>
    <row r="12232" ht="22.5" customHeight="1">
      <c r="B12232" s="42" t="str">
        <f>IFERROR(__xludf.DUMMYFUNCTION("""COMPUTED_VALUE"""),"")</f>
        <v/>
      </c>
      <c r="C12232" s="42" t="str">
        <f>IFERROR(__xludf.DUMMYFUNCTION("""COMPUTED_VALUE"""),"")</f>
        <v/>
      </c>
      <c r="D12232" s="42"/>
      <c r="E12232" s="42"/>
      <c r="F12232" s="48" t="str">
        <f>IFERROR(__xludf.DUMMYFUNCTION("""COMPUTED_VALUE"""),"")</f>
        <v/>
      </c>
      <c r="G12232" s="42" t="str">
        <f>IFERROR(__xludf.DUMMYFUNCTION("""COMPUTED_VALUE"""),"")</f>
        <v/>
      </c>
      <c r="H12232" s="42">
        <f t="shared" si="1"/>
        <v>3345</v>
      </c>
    </row>
    <row r="12233" ht="22.5" customHeight="1">
      <c r="B12233" s="42" t="str">
        <f>IFERROR(__xludf.DUMMYFUNCTION("""COMPUTED_VALUE"""),"")</f>
        <v/>
      </c>
      <c r="C12233" s="42" t="str">
        <f>IFERROR(__xludf.DUMMYFUNCTION("""COMPUTED_VALUE"""),"")</f>
        <v/>
      </c>
      <c r="D12233" s="42"/>
      <c r="E12233" s="42"/>
      <c r="F12233" s="48" t="str">
        <f>IFERROR(__xludf.DUMMYFUNCTION("""COMPUTED_VALUE"""),"")</f>
        <v/>
      </c>
      <c r="G12233" s="42" t="str">
        <f>IFERROR(__xludf.DUMMYFUNCTION("""COMPUTED_VALUE"""),"")</f>
        <v/>
      </c>
      <c r="H12233" s="42">
        <f t="shared" si="1"/>
        <v>3345</v>
      </c>
    </row>
    <row r="12234" ht="22.5" customHeight="1">
      <c r="B12234" s="42" t="str">
        <f>IFERROR(__xludf.DUMMYFUNCTION("""COMPUTED_VALUE"""),"")</f>
        <v/>
      </c>
      <c r="C12234" s="42" t="str">
        <f>IFERROR(__xludf.DUMMYFUNCTION("""COMPUTED_VALUE"""),"")</f>
        <v/>
      </c>
      <c r="D12234" s="42"/>
      <c r="E12234" s="42"/>
      <c r="F12234" s="48" t="str">
        <f>IFERROR(__xludf.DUMMYFUNCTION("""COMPUTED_VALUE"""),"")</f>
        <v/>
      </c>
      <c r="G12234" s="42" t="str">
        <f>IFERROR(__xludf.DUMMYFUNCTION("""COMPUTED_VALUE"""),"")</f>
        <v/>
      </c>
      <c r="H12234" s="42">
        <f t="shared" si="1"/>
        <v>3345</v>
      </c>
    </row>
    <row r="12235" ht="22.5" customHeight="1">
      <c r="B12235" s="42" t="str">
        <f>IFERROR(__xludf.DUMMYFUNCTION("""COMPUTED_VALUE"""),"")</f>
        <v/>
      </c>
      <c r="C12235" s="42" t="str">
        <f>IFERROR(__xludf.DUMMYFUNCTION("""COMPUTED_VALUE"""),"")</f>
        <v/>
      </c>
      <c r="D12235" s="42"/>
      <c r="E12235" s="42"/>
      <c r="F12235" s="48" t="str">
        <f>IFERROR(__xludf.DUMMYFUNCTION("""COMPUTED_VALUE"""),"")</f>
        <v/>
      </c>
      <c r="G12235" s="42" t="str">
        <f>IFERROR(__xludf.DUMMYFUNCTION("""COMPUTED_VALUE"""),"")</f>
        <v/>
      </c>
      <c r="H12235" s="42">
        <f t="shared" si="1"/>
        <v>3345</v>
      </c>
    </row>
    <row r="12236" ht="22.5" customHeight="1">
      <c r="B12236" s="42" t="str">
        <f>IFERROR(__xludf.DUMMYFUNCTION("""COMPUTED_VALUE"""),"")</f>
        <v/>
      </c>
      <c r="C12236" s="42" t="str">
        <f>IFERROR(__xludf.DUMMYFUNCTION("""COMPUTED_VALUE"""),"")</f>
        <v/>
      </c>
      <c r="D12236" s="42"/>
      <c r="E12236" s="42"/>
      <c r="F12236" s="48" t="str">
        <f>IFERROR(__xludf.DUMMYFUNCTION("""COMPUTED_VALUE"""),"")</f>
        <v/>
      </c>
      <c r="G12236" s="42" t="str">
        <f>IFERROR(__xludf.DUMMYFUNCTION("""COMPUTED_VALUE"""),"")</f>
        <v/>
      </c>
      <c r="H12236" s="42">
        <f t="shared" si="1"/>
        <v>3345</v>
      </c>
    </row>
    <row r="12237" ht="22.5" customHeight="1">
      <c r="B12237" s="42" t="str">
        <f>IFERROR(__xludf.DUMMYFUNCTION("""COMPUTED_VALUE"""),"")</f>
        <v/>
      </c>
      <c r="C12237" s="42" t="str">
        <f>IFERROR(__xludf.DUMMYFUNCTION("""COMPUTED_VALUE"""),"")</f>
        <v/>
      </c>
      <c r="D12237" s="42"/>
      <c r="E12237" s="42"/>
      <c r="F12237" s="48" t="str">
        <f>IFERROR(__xludf.DUMMYFUNCTION("""COMPUTED_VALUE"""),"")</f>
        <v/>
      </c>
      <c r="G12237" s="42" t="str">
        <f>IFERROR(__xludf.DUMMYFUNCTION("""COMPUTED_VALUE"""),"")</f>
        <v/>
      </c>
      <c r="H12237" s="42">
        <f t="shared" si="1"/>
        <v>3345</v>
      </c>
    </row>
    <row r="12238" ht="22.5" customHeight="1">
      <c r="B12238" s="42" t="str">
        <f>IFERROR(__xludf.DUMMYFUNCTION("""COMPUTED_VALUE"""),"")</f>
        <v/>
      </c>
      <c r="C12238" s="42" t="str">
        <f>IFERROR(__xludf.DUMMYFUNCTION("""COMPUTED_VALUE"""),"")</f>
        <v/>
      </c>
      <c r="D12238" s="42"/>
      <c r="E12238" s="42"/>
      <c r="F12238" s="48" t="str">
        <f>IFERROR(__xludf.DUMMYFUNCTION("""COMPUTED_VALUE"""),"")</f>
        <v/>
      </c>
      <c r="G12238" s="42" t="str">
        <f>IFERROR(__xludf.DUMMYFUNCTION("""COMPUTED_VALUE"""),"")</f>
        <v/>
      </c>
      <c r="H12238" s="42">
        <f t="shared" si="1"/>
        <v>3345</v>
      </c>
    </row>
    <row r="12239" ht="22.5" customHeight="1">
      <c r="B12239" s="42" t="str">
        <f>IFERROR(__xludf.DUMMYFUNCTION("""COMPUTED_VALUE"""),"")</f>
        <v/>
      </c>
      <c r="C12239" s="42" t="str">
        <f>IFERROR(__xludf.DUMMYFUNCTION("""COMPUTED_VALUE"""),"")</f>
        <v/>
      </c>
      <c r="D12239" s="42"/>
      <c r="E12239" s="42"/>
      <c r="F12239" s="48" t="str">
        <f>IFERROR(__xludf.DUMMYFUNCTION("""COMPUTED_VALUE"""),"")</f>
        <v/>
      </c>
      <c r="G12239" s="42" t="str">
        <f>IFERROR(__xludf.DUMMYFUNCTION("""COMPUTED_VALUE"""),"")</f>
        <v/>
      </c>
      <c r="H12239" s="42">
        <f t="shared" si="1"/>
        <v>3345</v>
      </c>
    </row>
    <row r="12240" ht="22.5" customHeight="1">
      <c r="B12240" s="42" t="str">
        <f>IFERROR(__xludf.DUMMYFUNCTION("""COMPUTED_VALUE"""),"")</f>
        <v/>
      </c>
      <c r="C12240" s="42" t="str">
        <f>IFERROR(__xludf.DUMMYFUNCTION("""COMPUTED_VALUE"""),"")</f>
        <v/>
      </c>
      <c r="D12240" s="42"/>
      <c r="E12240" s="42"/>
      <c r="F12240" s="48" t="str">
        <f>IFERROR(__xludf.DUMMYFUNCTION("""COMPUTED_VALUE"""),"")</f>
        <v/>
      </c>
      <c r="G12240" s="42" t="str">
        <f>IFERROR(__xludf.DUMMYFUNCTION("""COMPUTED_VALUE"""),"")</f>
        <v/>
      </c>
      <c r="H12240" s="42">
        <f t="shared" si="1"/>
        <v>3345</v>
      </c>
    </row>
    <row r="12241" ht="22.5" customHeight="1">
      <c r="B12241" s="42" t="str">
        <f>IFERROR(__xludf.DUMMYFUNCTION("""COMPUTED_VALUE"""),"")</f>
        <v/>
      </c>
      <c r="C12241" s="42" t="str">
        <f>IFERROR(__xludf.DUMMYFUNCTION("""COMPUTED_VALUE"""),"")</f>
        <v/>
      </c>
      <c r="D12241" s="42"/>
      <c r="E12241" s="42"/>
      <c r="F12241" s="48" t="str">
        <f>IFERROR(__xludf.DUMMYFUNCTION("""COMPUTED_VALUE"""),"")</f>
        <v/>
      </c>
      <c r="G12241" s="42" t="str">
        <f>IFERROR(__xludf.DUMMYFUNCTION("""COMPUTED_VALUE"""),"")</f>
        <v/>
      </c>
      <c r="H12241" s="42">
        <f t="shared" si="1"/>
        <v>3345</v>
      </c>
    </row>
    <row r="12242" ht="22.5" customHeight="1">
      <c r="B12242" s="42" t="str">
        <f>IFERROR(__xludf.DUMMYFUNCTION("""COMPUTED_VALUE"""),"")</f>
        <v/>
      </c>
      <c r="C12242" s="42" t="str">
        <f>IFERROR(__xludf.DUMMYFUNCTION("""COMPUTED_VALUE"""),"")</f>
        <v/>
      </c>
      <c r="D12242" s="42"/>
      <c r="E12242" s="42"/>
      <c r="F12242" s="48" t="str">
        <f>IFERROR(__xludf.DUMMYFUNCTION("""COMPUTED_VALUE"""),"")</f>
        <v/>
      </c>
      <c r="G12242" s="42" t="str">
        <f>IFERROR(__xludf.DUMMYFUNCTION("""COMPUTED_VALUE"""),"")</f>
        <v/>
      </c>
      <c r="H12242" s="42">
        <f t="shared" si="1"/>
        <v>3345</v>
      </c>
    </row>
    <row r="12243" ht="22.5" customHeight="1">
      <c r="B12243" s="42" t="str">
        <f>IFERROR(__xludf.DUMMYFUNCTION("""COMPUTED_VALUE"""),"")</f>
        <v/>
      </c>
      <c r="C12243" s="42" t="str">
        <f>IFERROR(__xludf.DUMMYFUNCTION("""COMPUTED_VALUE"""),"")</f>
        <v/>
      </c>
      <c r="D12243" s="42"/>
      <c r="E12243" s="42"/>
      <c r="F12243" s="48" t="str">
        <f>IFERROR(__xludf.DUMMYFUNCTION("""COMPUTED_VALUE"""),"")</f>
        <v/>
      </c>
      <c r="G12243" s="42" t="str">
        <f>IFERROR(__xludf.DUMMYFUNCTION("""COMPUTED_VALUE"""),"")</f>
        <v/>
      </c>
      <c r="H12243" s="42">
        <f t="shared" si="1"/>
        <v>3345</v>
      </c>
    </row>
    <row r="12244" ht="22.5" customHeight="1">
      <c r="B12244" s="42" t="str">
        <f>IFERROR(__xludf.DUMMYFUNCTION("""COMPUTED_VALUE"""),"")</f>
        <v/>
      </c>
      <c r="C12244" s="42" t="str">
        <f>IFERROR(__xludf.DUMMYFUNCTION("""COMPUTED_VALUE"""),"")</f>
        <v/>
      </c>
      <c r="D12244" s="42"/>
      <c r="E12244" s="42"/>
      <c r="F12244" s="48" t="str">
        <f>IFERROR(__xludf.DUMMYFUNCTION("""COMPUTED_VALUE"""),"")</f>
        <v/>
      </c>
      <c r="G12244" s="42" t="str">
        <f>IFERROR(__xludf.DUMMYFUNCTION("""COMPUTED_VALUE"""),"")</f>
        <v/>
      </c>
      <c r="H12244" s="42">
        <f t="shared" si="1"/>
        <v>3345</v>
      </c>
    </row>
    <row r="12245" ht="22.5" customHeight="1">
      <c r="B12245" s="42" t="str">
        <f>IFERROR(__xludf.DUMMYFUNCTION("""COMPUTED_VALUE"""),"")</f>
        <v/>
      </c>
      <c r="C12245" s="42" t="str">
        <f>IFERROR(__xludf.DUMMYFUNCTION("""COMPUTED_VALUE"""),"")</f>
        <v/>
      </c>
      <c r="D12245" s="42"/>
      <c r="E12245" s="42"/>
      <c r="F12245" s="48" t="str">
        <f>IFERROR(__xludf.DUMMYFUNCTION("""COMPUTED_VALUE"""),"")</f>
        <v/>
      </c>
      <c r="G12245" s="42" t="str">
        <f>IFERROR(__xludf.DUMMYFUNCTION("""COMPUTED_VALUE"""),"")</f>
        <v/>
      </c>
      <c r="H12245" s="42">
        <f t="shared" si="1"/>
        <v>3345</v>
      </c>
    </row>
    <row r="12246" ht="22.5" customHeight="1">
      <c r="B12246" s="42" t="str">
        <f>IFERROR(__xludf.DUMMYFUNCTION("""COMPUTED_VALUE"""),"")</f>
        <v/>
      </c>
      <c r="C12246" s="42" t="str">
        <f>IFERROR(__xludf.DUMMYFUNCTION("""COMPUTED_VALUE"""),"")</f>
        <v/>
      </c>
      <c r="D12246" s="42"/>
      <c r="E12246" s="42"/>
      <c r="F12246" s="48" t="str">
        <f>IFERROR(__xludf.DUMMYFUNCTION("""COMPUTED_VALUE"""),"")</f>
        <v/>
      </c>
      <c r="G12246" s="42" t="str">
        <f>IFERROR(__xludf.DUMMYFUNCTION("""COMPUTED_VALUE"""),"")</f>
        <v/>
      </c>
      <c r="H12246" s="42">
        <f t="shared" si="1"/>
        <v>3345</v>
      </c>
    </row>
    <row r="12247" ht="22.5" customHeight="1">
      <c r="B12247" s="42" t="str">
        <f>IFERROR(__xludf.DUMMYFUNCTION("""COMPUTED_VALUE"""),"")</f>
        <v/>
      </c>
      <c r="C12247" s="42" t="str">
        <f>IFERROR(__xludf.DUMMYFUNCTION("""COMPUTED_VALUE"""),"")</f>
        <v/>
      </c>
      <c r="D12247" s="42"/>
      <c r="E12247" s="42"/>
      <c r="F12247" s="48" t="str">
        <f>IFERROR(__xludf.DUMMYFUNCTION("""COMPUTED_VALUE"""),"")</f>
        <v/>
      </c>
      <c r="G12247" s="42" t="str">
        <f>IFERROR(__xludf.DUMMYFUNCTION("""COMPUTED_VALUE"""),"")</f>
        <v/>
      </c>
      <c r="H12247" s="42">
        <f t="shared" si="1"/>
        <v>3345</v>
      </c>
    </row>
    <row r="12248" ht="22.5" customHeight="1">
      <c r="B12248" s="42" t="str">
        <f>IFERROR(__xludf.DUMMYFUNCTION("""COMPUTED_VALUE"""),"")</f>
        <v/>
      </c>
      <c r="C12248" s="42" t="str">
        <f>IFERROR(__xludf.DUMMYFUNCTION("""COMPUTED_VALUE"""),"")</f>
        <v/>
      </c>
      <c r="D12248" s="42"/>
      <c r="E12248" s="42"/>
      <c r="F12248" s="48" t="str">
        <f>IFERROR(__xludf.DUMMYFUNCTION("""COMPUTED_VALUE"""),"")</f>
        <v/>
      </c>
      <c r="G12248" s="42" t="str">
        <f>IFERROR(__xludf.DUMMYFUNCTION("""COMPUTED_VALUE"""),"")</f>
        <v/>
      </c>
      <c r="H12248" s="42">
        <f t="shared" si="1"/>
        <v>3345</v>
      </c>
    </row>
    <row r="12249" ht="22.5" customHeight="1">
      <c r="B12249" s="42" t="str">
        <f>IFERROR(__xludf.DUMMYFUNCTION("""COMPUTED_VALUE"""),"")</f>
        <v/>
      </c>
      <c r="C12249" s="42" t="str">
        <f>IFERROR(__xludf.DUMMYFUNCTION("""COMPUTED_VALUE"""),"")</f>
        <v/>
      </c>
      <c r="D12249" s="42"/>
      <c r="E12249" s="42"/>
      <c r="F12249" s="48" t="str">
        <f>IFERROR(__xludf.DUMMYFUNCTION("""COMPUTED_VALUE"""),"")</f>
        <v/>
      </c>
      <c r="G12249" s="42" t="str">
        <f>IFERROR(__xludf.DUMMYFUNCTION("""COMPUTED_VALUE"""),"")</f>
        <v/>
      </c>
      <c r="H12249" s="42">
        <f t="shared" si="1"/>
        <v>3345</v>
      </c>
    </row>
    <row r="12250" ht="22.5" customHeight="1">
      <c r="B12250" s="42" t="str">
        <f>IFERROR(__xludf.DUMMYFUNCTION("""COMPUTED_VALUE"""),"")</f>
        <v/>
      </c>
      <c r="C12250" s="42" t="str">
        <f>IFERROR(__xludf.DUMMYFUNCTION("""COMPUTED_VALUE"""),"")</f>
        <v/>
      </c>
      <c r="D12250" s="42"/>
      <c r="E12250" s="42"/>
      <c r="F12250" s="48" t="str">
        <f>IFERROR(__xludf.DUMMYFUNCTION("""COMPUTED_VALUE"""),"")</f>
        <v/>
      </c>
      <c r="G12250" s="42" t="str">
        <f>IFERROR(__xludf.DUMMYFUNCTION("""COMPUTED_VALUE"""),"")</f>
        <v/>
      </c>
      <c r="H12250" s="42">
        <f t="shared" si="1"/>
        <v>3345</v>
      </c>
    </row>
    <row r="12251" ht="22.5" customHeight="1">
      <c r="B12251" s="42" t="str">
        <f>IFERROR(__xludf.DUMMYFUNCTION("""COMPUTED_VALUE"""),"")</f>
        <v/>
      </c>
      <c r="C12251" s="42" t="str">
        <f>IFERROR(__xludf.DUMMYFUNCTION("""COMPUTED_VALUE"""),"")</f>
        <v/>
      </c>
      <c r="D12251" s="42"/>
      <c r="E12251" s="42"/>
      <c r="F12251" s="48" t="str">
        <f>IFERROR(__xludf.DUMMYFUNCTION("""COMPUTED_VALUE"""),"")</f>
        <v/>
      </c>
      <c r="G12251" s="42" t="str">
        <f>IFERROR(__xludf.DUMMYFUNCTION("""COMPUTED_VALUE"""),"")</f>
        <v/>
      </c>
      <c r="H12251" s="42">
        <f t="shared" si="1"/>
        <v>3345</v>
      </c>
    </row>
    <row r="12252" ht="22.5" customHeight="1">
      <c r="B12252" s="42" t="str">
        <f>IFERROR(__xludf.DUMMYFUNCTION("""COMPUTED_VALUE"""),"")</f>
        <v/>
      </c>
      <c r="C12252" s="42" t="str">
        <f>IFERROR(__xludf.DUMMYFUNCTION("""COMPUTED_VALUE"""),"")</f>
        <v/>
      </c>
      <c r="D12252" s="42"/>
      <c r="E12252" s="42"/>
      <c r="F12252" s="48" t="str">
        <f>IFERROR(__xludf.DUMMYFUNCTION("""COMPUTED_VALUE"""),"")</f>
        <v/>
      </c>
      <c r="G12252" s="42" t="str">
        <f>IFERROR(__xludf.DUMMYFUNCTION("""COMPUTED_VALUE"""),"")</f>
        <v/>
      </c>
      <c r="H12252" s="42">
        <f t="shared" si="1"/>
        <v>3345</v>
      </c>
    </row>
    <row r="12253" ht="22.5" customHeight="1">
      <c r="B12253" s="42" t="str">
        <f>IFERROR(__xludf.DUMMYFUNCTION("""COMPUTED_VALUE"""),"")</f>
        <v/>
      </c>
      <c r="C12253" s="42" t="str">
        <f>IFERROR(__xludf.DUMMYFUNCTION("""COMPUTED_VALUE"""),"")</f>
        <v/>
      </c>
      <c r="D12253" s="42"/>
      <c r="E12253" s="42"/>
      <c r="F12253" s="48" t="str">
        <f>IFERROR(__xludf.DUMMYFUNCTION("""COMPUTED_VALUE"""),"")</f>
        <v/>
      </c>
      <c r="G12253" s="42" t="str">
        <f>IFERROR(__xludf.DUMMYFUNCTION("""COMPUTED_VALUE"""),"")</f>
        <v/>
      </c>
      <c r="H12253" s="42">
        <f t="shared" si="1"/>
        <v>3345</v>
      </c>
    </row>
    <row r="12254" ht="22.5" customHeight="1">
      <c r="B12254" s="42" t="str">
        <f>IFERROR(__xludf.DUMMYFUNCTION("""COMPUTED_VALUE"""),"")</f>
        <v/>
      </c>
      <c r="C12254" s="42" t="str">
        <f>IFERROR(__xludf.DUMMYFUNCTION("""COMPUTED_VALUE"""),"")</f>
        <v/>
      </c>
      <c r="D12254" s="42"/>
      <c r="E12254" s="42"/>
      <c r="F12254" s="48" t="str">
        <f>IFERROR(__xludf.DUMMYFUNCTION("""COMPUTED_VALUE"""),"")</f>
        <v/>
      </c>
      <c r="G12254" s="42" t="str">
        <f>IFERROR(__xludf.DUMMYFUNCTION("""COMPUTED_VALUE"""),"")</f>
        <v/>
      </c>
      <c r="H12254" s="42">
        <f t="shared" si="1"/>
        <v>3345</v>
      </c>
    </row>
    <row r="12255" ht="22.5" customHeight="1">
      <c r="B12255" s="42" t="str">
        <f>IFERROR(__xludf.DUMMYFUNCTION("""COMPUTED_VALUE"""),"")</f>
        <v/>
      </c>
      <c r="C12255" s="42" t="str">
        <f>IFERROR(__xludf.DUMMYFUNCTION("""COMPUTED_VALUE"""),"")</f>
        <v/>
      </c>
      <c r="D12255" s="42"/>
      <c r="E12255" s="42"/>
      <c r="F12255" s="48" t="str">
        <f>IFERROR(__xludf.DUMMYFUNCTION("""COMPUTED_VALUE"""),"")</f>
        <v/>
      </c>
      <c r="G12255" s="42" t="str">
        <f>IFERROR(__xludf.DUMMYFUNCTION("""COMPUTED_VALUE"""),"")</f>
        <v/>
      </c>
      <c r="H12255" s="42">
        <f t="shared" si="1"/>
        <v>3345</v>
      </c>
    </row>
    <row r="12256" ht="22.5" customHeight="1">
      <c r="B12256" s="42" t="str">
        <f>IFERROR(__xludf.DUMMYFUNCTION("""COMPUTED_VALUE"""),"")</f>
        <v/>
      </c>
      <c r="C12256" s="42" t="str">
        <f>IFERROR(__xludf.DUMMYFUNCTION("""COMPUTED_VALUE"""),"")</f>
        <v/>
      </c>
      <c r="D12256" s="42"/>
      <c r="E12256" s="42"/>
      <c r="F12256" s="48" t="str">
        <f>IFERROR(__xludf.DUMMYFUNCTION("""COMPUTED_VALUE"""),"")</f>
        <v/>
      </c>
      <c r="G12256" s="42" t="str">
        <f>IFERROR(__xludf.DUMMYFUNCTION("""COMPUTED_VALUE"""),"")</f>
        <v/>
      </c>
      <c r="H12256" s="42">
        <f t="shared" si="1"/>
        <v>3345</v>
      </c>
    </row>
    <row r="12257" ht="22.5" customHeight="1">
      <c r="B12257" s="42" t="str">
        <f>IFERROR(__xludf.DUMMYFUNCTION("""COMPUTED_VALUE"""),"")</f>
        <v/>
      </c>
      <c r="C12257" s="42" t="str">
        <f>IFERROR(__xludf.DUMMYFUNCTION("""COMPUTED_VALUE"""),"")</f>
        <v/>
      </c>
      <c r="D12257" s="42"/>
      <c r="E12257" s="42"/>
      <c r="F12257" s="48" t="str">
        <f>IFERROR(__xludf.DUMMYFUNCTION("""COMPUTED_VALUE"""),"")</f>
        <v/>
      </c>
      <c r="G12257" s="42" t="str">
        <f>IFERROR(__xludf.DUMMYFUNCTION("""COMPUTED_VALUE"""),"")</f>
        <v/>
      </c>
      <c r="H12257" s="42">
        <f t="shared" si="1"/>
        <v>3345</v>
      </c>
    </row>
    <row r="12258" ht="22.5" customHeight="1">
      <c r="B12258" s="42" t="str">
        <f>IFERROR(__xludf.DUMMYFUNCTION("""COMPUTED_VALUE"""),"")</f>
        <v/>
      </c>
      <c r="C12258" s="42" t="str">
        <f>IFERROR(__xludf.DUMMYFUNCTION("""COMPUTED_VALUE"""),"")</f>
        <v/>
      </c>
      <c r="D12258" s="42"/>
      <c r="E12258" s="42"/>
      <c r="F12258" s="48" t="str">
        <f>IFERROR(__xludf.DUMMYFUNCTION("""COMPUTED_VALUE"""),"")</f>
        <v/>
      </c>
      <c r="G12258" s="42" t="str">
        <f>IFERROR(__xludf.DUMMYFUNCTION("""COMPUTED_VALUE"""),"")</f>
        <v/>
      </c>
      <c r="H12258" s="42">
        <f t="shared" si="1"/>
        <v>3345</v>
      </c>
    </row>
    <row r="12259" ht="22.5" customHeight="1">
      <c r="B12259" s="42" t="str">
        <f>IFERROR(__xludf.DUMMYFUNCTION("""COMPUTED_VALUE"""),"")</f>
        <v/>
      </c>
      <c r="C12259" s="42" t="str">
        <f>IFERROR(__xludf.DUMMYFUNCTION("""COMPUTED_VALUE"""),"")</f>
        <v/>
      </c>
      <c r="D12259" s="42"/>
      <c r="E12259" s="42"/>
      <c r="F12259" s="48" t="str">
        <f>IFERROR(__xludf.DUMMYFUNCTION("""COMPUTED_VALUE"""),"")</f>
        <v/>
      </c>
      <c r="G12259" s="42" t="str">
        <f>IFERROR(__xludf.DUMMYFUNCTION("""COMPUTED_VALUE"""),"")</f>
        <v/>
      </c>
      <c r="H12259" s="42">
        <f t="shared" si="1"/>
        <v>3345</v>
      </c>
    </row>
    <row r="12260" ht="22.5" customHeight="1">
      <c r="B12260" s="42" t="str">
        <f>IFERROR(__xludf.DUMMYFUNCTION("""COMPUTED_VALUE"""),"")</f>
        <v/>
      </c>
      <c r="C12260" s="42" t="str">
        <f>IFERROR(__xludf.DUMMYFUNCTION("""COMPUTED_VALUE"""),"")</f>
        <v/>
      </c>
      <c r="D12260" s="42"/>
      <c r="E12260" s="42"/>
      <c r="F12260" s="48" t="str">
        <f>IFERROR(__xludf.DUMMYFUNCTION("""COMPUTED_VALUE"""),"")</f>
        <v/>
      </c>
      <c r="G12260" s="42" t="str">
        <f>IFERROR(__xludf.DUMMYFUNCTION("""COMPUTED_VALUE"""),"")</f>
        <v/>
      </c>
      <c r="H12260" s="42">
        <f t="shared" si="1"/>
        <v>3345</v>
      </c>
    </row>
    <row r="12261" ht="22.5" customHeight="1">
      <c r="B12261" s="42" t="str">
        <f>IFERROR(__xludf.DUMMYFUNCTION("""COMPUTED_VALUE"""),"")</f>
        <v/>
      </c>
      <c r="C12261" s="42" t="str">
        <f>IFERROR(__xludf.DUMMYFUNCTION("""COMPUTED_VALUE"""),"")</f>
        <v/>
      </c>
      <c r="D12261" s="42"/>
      <c r="E12261" s="42"/>
      <c r="F12261" s="48" t="str">
        <f>IFERROR(__xludf.DUMMYFUNCTION("""COMPUTED_VALUE"""),"")</f>
        <v/>
      </c>
      <c r="G12261" s="42" t="str">
        <f>IFERROR(__xludf.DUMMYFUNCTION("""COMPUTED_VALUE"""),"")</f>
        <v/>
      </c>
      <c r="H12261" s="42">
        <f t="shared" si="1"/>
        <v>3345</v>
      </c>
    </row>
    <row r="12262" ht="22.5" customHeight="1">
      <c r="B12262" s="42" t="str">
        <f>IFERROR(__xludf.DUMMYFUNCTION("""COMPUTED_VALUE"""),"")</f>
        <v/>
      </c>
      <c r="C12262" s="42" t="str">
        <f>IFERROR(__xludf.DUMMYFUNCTION("""COMPUTED_VALUE"""),"")</f>
        <v/>
      </c>
      <c r="D12262" s="42"/>
      <c r="E12262" s="42"/>
      <c r="F12262" s="48" t="str">
        <f>IFERROR(__xludf.DUMMYFUNCTION("""COMPUTED_VALUE"""),"")</f>
        <v/>
      </c>
      <c r="G12262" s="42" t="str">
        <f>IFERROR(__xludf.DUMMYFUNCTION("""COMPUTED_VALUE"""),"")</f>
        <v/>
      </c>
      <c r="H12262" s="42">
        <f t="shared" si="1"/>
        <v>3345</v>
      </c>
    </row>
    <row r="12263" ht="22.5" customHeight="1">
      <c r="B12263" s="42" t="str">
        <f>IFERROR(__xludf.DUMMYFUNCTION("""COMPUTED_VALUE"""),"")</f>
        <v/>
      </c>
      <c r="C12263" s="42" t="str">
        <f>IFERROR(__xludf.DUMMYFUNCTION("""COMPUTED_VALUE"""),"")</f>
        <v/>
      </c>
      <c r="D12263" s="42"/>
      <c r="E12263" s="42"/>
      <c r="F12263" s="48" t="str">
        <f>IFERROR(__xludf.DUMMYFUNCTION("""COMPUTED_VALUE"""),"")</f>
        <v/>
      </c>
      <c r="G12263" s="42" t="str">
        <f>IFERROR(__xludf.DUMMYFUNCTION("""COMPUTED_VALUE"""),"")</f>
        <v/>
      </c>
      <c r="H12263" s="42">
        <f t="shared" si="1"/>
        <v>3345</v>
      </c>
    </row>
    <row r="12264" ht="22.5" customHeight="1">
      <c r="B12264" s="42" t="str">
        <f>IFERROR(__xludf.DUMMYFUNCTION("""COMPUTED_VALUE"""),"")</f>
        <v/>
      </c>
      <c r="C12264" s="42" t="str">
        <f>IFERROR(__xludf.DUMMYFUNCTION("""COMPUTED_VALUE"""),"")</f>
        <v/>
      </c>
      <c r="D12264" s="42"/>
      <c r="E12264" s="42"/>
      <c r="F12264" s="48" t="str">
        <f>IFERROR(__xludf.DUMMYFUNCTION("""COMPUTED_VALUE"""),"")</f>
        <v/>
      </c>
      <c r="G12264" s="42" t="str">
        <f>IFERROR(__xludf.DUMMYFUNCTION("""COMPUTED_VALUE"""),"")</f>
        <v/>
      </c>
      <c r="H12264" s="42">
        <f t="shared" si="1"/>
        <v>3345</v>
      </c>
    </row>
    <row r="12265" ht="22.5" customHeight="1">
      <c r="B12265" s="42" t="str">
        <f>IFERROR(__xludf.DUMMYFUNCTION("""COMPUTED_VALUE"""),"")</f>
        <v/>
      </c>
      <c r="C12265" s="42" t="str">
        <f>IFERROR(__xludf.DUMMYFUNCTION("""COMPUTED_VALUE"""),"")</f>
        <v/>
      </c>
      <c r="D12265" s="42"/>
      <c r="E12265" s="42"/>
      <c r="F12265" s="48" t="str">
        <f>IFERROR(__xludf.DUMMYFUNCTION("""COMPUTED_VALUE"""),"")</f>
        <v/>
      </c>
      <c r="G12265" s="42" t="str">
        <f>IFERROR(__xludf.DUMMYFUNCTION("""COMPUTED_VALUE"""),"")</f>
        <v/>
      </c>
      <c r="H12265" s="42">
        <f t="shared" si="1"/>
        <v>3345</v>
      </c>
    </row>
    <row r="12266" ht="22.5" customHeight="1">
      <c r="B12266" s="42" t="str">
        <f>IFERROR(__xludf.DUMMYFUNCTION("""COMPUTED_VALUE"""),"")</f>
        <v/>
      </c>
      <c r="C12266" s="42" t="str">
        <f>IFERROR(__xludf.DUMMYFUNCTION("""COMPUTED_VALUE"""),"")</f>
        <v/>
      </c>
      <c r="D12266" s="42"/>
      <c r="E12266" s="42"/>
      <c r="F12266" s="48" t="str">
        <f>IFERROR(__xludf.DUMMYFUNCTION("""COMPUTED_VALUE"""),"")</f>
        <v/>
      </c>
      <c r="G12266" s="42" t="str">
        <f>IFERROR(__xludf.DUMMYFUNCTION("""COMPUTED_VALUE"""),"")</f>
        <v/>
      </c>
      <c r="H12266" s="42">
        <f t="shared" si="1"/>
        <v>3345</v>
      </c>
    </row>
    <row r="12267" ht="22.5" customHeight="1">
      <c r="B12267" s="42" t="str">
        <f>IFERROR(__xludf.DUMMYFUNCTION("""COMPUTED_VALUE"""),"")</f>
        <v/>
      </c>
      <c r="C12267" s="42" t="str">
        <f>IFERROR(__xludf.DUMMYFUNCTION("""COMPUTED_VALUE"""),"")</f>
        <v/>
      </c>
      <c r="D12267" s="42"/>
      <c r="E12267" s="42"/>
      <c r="F12267" s="48" t="str">
        <f>IFERROR(__xludf.DUMMYFUNCTION("""COMPUTED_VALUE"""),"")</f>
        <v/>
      </c>
      <c r="G12267" s="42" t="str">
        <f>IFERROR(__xludf.DUMMYFUNCTION("""COMPUTED_VALUE"""),"")</f>
        <v/>
      </c>
      <c r="H12267" s="42">
        <f t="shared" si="1"/>
        <v>3345</v>
      </c>
    </row>
    <row r="12268" ht="22.5" customHeight="1">
      <c r="B12268" s="42" t="str">
        <f>IFERROR(__xludf.DUMMYFUNCTION("""COMPUTED_VALUE"""),"")</f>
        <v/>
      </c>
      <c r="C12268" s="42" t="str">
        <f>IFERROR(__xludf.DUMMYFUNCTION("""COMPUTED_VALUE"""),"")</f>
        <v/>
      </c>
      <c r="D12268" s="42"/>
      <c r="E12268" s="42"/>
      <c r="F12268" s="48" t="str">
        <f>IFERROR(__xludf.DUMMYFUNCTION("""COMPUTED_VALUE"""),"")</f>
        <v/>
      </c>
      <c r="G12268" s="42" t="str">
        <f>IFERROR(__xludf.DUMMYFUNCTION("""COMPUTED_VALUE"""),"")</f>
        <v/>
      </c>
      <c r="H12268" s="42">
        <f t="shared" si="1"/>
        <v>3345</v>
      </c>
    </row>
    <row r="12269" ht="22.5" customHeight="1">
      <c r="B12269" s="42" t="str">
        <f>IFERROR(__xludf.DUMMYFUNCTION("""COMPUTED_VALUE"""),"")</f>
        <v/>
      </c>
      <c r="C12269" s="42" t="str">
        <f>IFERROR(__xludf.DUMMYFUNCTION("""COMPUTED_VALUE"""),"")</f>
        <v/>
      </c>
      <c r="D12269" s="42"/>
      <c r="E12269" s="42"/>
      <c r="F12269" s="48" t="str">
        <f>IFERROR(__xludf.DUMMYFUNCTION("""COMPUTED_VALUE"""),"")</f>
        <v/>
      </c>
      <c r="G12269" s="42" t="str">
        <f>IFERROR(__xludf.DUMMYFUNCTION("""COMPUTED_VALUE"""),"")</f>
        <v/>
      </c>
      <c r="H12269" s="42">
        <f t="shared" si="1"/>
        <v>3345</v>
      </c>
    </row>
    <row r="12270" ht="22.5" customHeight="1">
      <c r="B12270" s="42" t="str">
        <f>IFERROR(__xludf.DUMMYFUNCTION("""COMPUTED_VALUE"""),"")</f>
        <v/>
      </c>
      <c r="C12270" s="42" t="str">
        <f>IFERROR(__xludf.DUMMYFUNCTION("""COMPUTED_VALUE"""),"")</f>
        <v/>
      </c>
      <c r="D12270" s="42"/>
      <c r="E12270" s="42"/>
      <c r="F12270" s="48" t="str">
        <f>IFERROR(__xludf.DUMMYFUNCTION("""COMPUTED_VALUE"""),"")</f>
        <v/>
      </c>
      <c r="G12270" s="42" t="str">
        <f>IFERROR(__xludf.DUMMYFUNCTION("""COMPUTED_VALUE"""),"")</f>
        <v/>
      </c>
      <c r="H12270" s="42">
        <f t="shared" si="1"/>
        <v>3345</v>
      </c>
    </row>
    <row r="12271" ht="22.5" customHeight="1">
      <c r="B12271" s="42" t="str">
        <f>IFERROR(__xludf.DUMMYFUNCTION("""COMPUTED_VALUE"""),"")</f>
        <v/>
      </c>
      <c r="C12271" s="42" t="str">
        <f>IFERROR(__xludf.DUMMYFUNCTION("""COMPUTED_VALUE"""),"")</f>
        <v/>
      </c>
      <c r="D12271" s="42"/>
      <c r="E12271" s="42"/>
      <c r="F12271" s="48" t="str">
        <f>IFERROR(__xludf.DUMMYFUNCTION("""COMPUTED_VALUE"""),"")</f>
        <v/>
      </c>
      <c r="G12271" s="42" t="str">
        <f>IFERROR(__xludf.DUMMYFUNCTION("""COMPUTED_VALUE"""),"")</f>
        <v/>
      </c>
      <c r="H12271" s="42">
        <f t="shared" si="1"/>
        <v>3345</v>
      </c>
    </row>
    <row r="12272" ht="22.5" customHeight="1">
      <c r="B12272" s="42" t="str">
        <f>IFERROR(__xludf.DUMMYFUNCTION("""COMPUTED_VALUE"""),"")</f>
        <v/>
      </c>
      <c r="C12272" s="42" t="str">
        <f>IFERROR(__xludf.DUMMYFUNCTION("""COMPUTED_VALUE"""),"")</f>
        <v/>
      </c>
      <c r="D12272" s="42"/>
      <c r="E12272" s="42"/>
      <c r="F12272" s="48" t="str">
        <f>IFERROR(__xludf.DUMMYFUNCTION("""COMPUTED_VALUE"""),"")</f>
        <v/>
      </c>
      <c r="G12272" s="42" t="str">
        <f>IFERROR(__xludf.DUMMYFUNCTION("""COMPUTED_VALUE"""),"")</f>
        <v/>
      </c>
      <c r="H12272" s="42">
        <f t="shared" si="1"/>
        <v>3345</v>
      </c>
    </row>
    <row r="12273" ht="22.5" customHeight="1">
      <c r="B12273" s="42" t="str">
        <f>IFERROR(__xludf.DUMMYFUNCTION("""COMPUTED_VALUE"""),"")</f>
        <v/>
      </c>
      <c r="C12273" s="42" t="str">
        <f>IFERROR(__xludf.DUMMYFUNCTION("""COMPUTED_VALUE"""),"")</f>
        <v/>
      </c>
      <c r="D12273" s="42"/>
      <c r="E12273" s="42"/>
      <c r="F12273" s="48" t="str">
        <f>IFERROR(__xludf.DUMMYFUNCTION("""COMPUTED_VALUE"""),"")</f>
        <v/>
      </c>
      <c r="G12273" s="42" t="str">
        <f>IFERROR(__xludf.DUMMYFUNCTION("""COMPUTED_VALUE"""),"")</f>
        <v/>
      </c>
      <c r="H12273" s="42">
        <f t="shared" si="1"/>
        <v>3345</v>
      </c>
    </row>
    <row r="12274" ht="22.5" customHeight="1">
      <c r="B12274" s="42" t="str">
        <f>IFERROR(__xludf.DUMMYFUNCTION("""COMPUTED_VALUE"""),"")</f>
        <v/>
      </c>
      <c r="C12274" s="42" t="str">
        <f>IFERROR(__xludf.DUMMYFUNCTION("""COMPUTED_VALUE"""),"")</f>
        <v/>
      </c>
      <c r="D12274" s="42"/>
      <c r="E12274" s="42"/>
      <c r="F12274" s="48" t="str">
        <f>IFERROR(__xludf.DUMMYFUNCTION("""COMPUTED_VALUE"""),"")</f>
        <v/>
      </c>
      <c r="G12274" s="42" t="str">
        <f>IFERROR(__xludf.DUMMYFUNCTION("""COMPUTED_VALUE"""),"")</f>
        <v/>
      </c>
      <c r="H12274" s="42">
        <f t="shared" si="1"/>
        <v>3345</v>
      </c>
    </row>
    <row r="12275" ht="22.5" customHeight="1">
      <c r="B12275" s="42" t="str">
        <f>IFERROR(__xludf.DUMMYFUNCTION("""COMPUTED_VALUE"""),"")</f>
        <v/>
      </c>
      <c r="C12275" s="42" t="str">
        <f>IFERROR(__xludf.DUMMYFUNCTION("""COMPUTED_VALUE"""),"")</f>
        <v/>
      </c>
      <c r="D12275" s="42"/>
      <c r="E12275" s="42"/>
      <c r="F12275" s="48" t="str">
        <f>IFERROR(__xludf.DUMMYFUNCTION("""COMPUTED_VALUE"""),"")</f>
        <v/>
      </c>
      <c r="G12275" s="42" t="str">
        <f>IFERROR(__xludf.DUMMYFUNCTION("""COMPUTED_VALUE"""),"")</f>
        <v/>
      </c>
      <c r="H12275" s="42">
        <f t="shared" si="1"/>
        <v>3345</v>
      </c>
    </row>
    <row r="12276" ht="22.5" customHeight="1">
      <c r="B12276" s="42" t="str">
        <f>IFERROR(__xludf.DUMMYFUNCTION("""COMPUTED_VALUE"""),"")</f>
        <v/>
      </c>
      <c r="C12276" s="42" t="str">
        <f>IFERROR(__xludf.DUMMYFUNCTION("""COMPUTED_VALUE"""),"")</f>
        <v/>
      </c>
      <c r="D12276" s="42"/>
      <c r="E12276" s="42"/>
      <c r="F12276" s="48" t="str">
        <f>IFERROR(__xludf.DUMMYFUNCTION("""COMPUTED_VALUE"""),"")</f>
        <v/>
      </c>
      <c r="G12276" s="42" t="str">
        <f>IFERROR(__xludf.DUMMYFUNCTION("""COMPUTED_VALUE"""),"")</f>
        <v/>
      </c>
      <c r="H12276" s="42">
        <f t="shared" si="1"/>
        <v>3345</v>
      </c>
    </row>
    <row r="12277" ht="22.5" customHeight="1">
      <c r="B12277" s="42" t="str">
        <f>IFERROR(__xludf.DUMMYFUNCTION("""COMPUTED_VALUE"""),"")</f>
        <v/>
      </c>
      <c r="C12277" s="42" t="str">
        <f>IFERROR(__xludf.DUMMYFUNCTION("""COMPUTED_VALUE"""),"")</f>
        <v/>
      </c>
      <c r="D12277" s="42"/>
      <c r="E12277" s="42"/>
      <c r="F12277" s="48" t="str">
        <f>IFERROR(__xludf.DUMMYFUNCTION("""COMPUTED_VALUE"""),"")</f>
        <v/>
      </c>
      <c r="G12277" s="42" t="str">
        <f>IFERROR(__xludf.DUMMYFUNCTION("""COMPUTED_VALUE"""),"")</f>
        <v/>
      </c>
      <c r="H12277" s="42">
        <f t="shared" si="1"/>
        <v>3345</v>
      </c>
    </row>
    <row r="12278" ht="22.5" customHeight="1">
      <c r="B12278" s="42" t="str">
        <f>IFERROR(__xludf.DUMMYFUNCTION("""COMPUTED_VALUE"""),"")</f>
        <v/>
      </c>
      <c r="C12278" s="42" t="str">
        <f>IFERROR(__xludf.DUMMYFUNCTION("""COMPUTED_VALUE"""),"")</f>
        <v/>
      </c>
      <c r="D12278" s="42"/>
      <c r="E12278" s="42"/>
      <c r="F12278" s="48" t="str">
        <f>IFERROR(__xludf.DUMMYFUNCTION("""COMPUTED_VALUE"""),"")</f>
        <v/>
      </c>
      <c r="G12278" s="42" t="str">
        <f>IFERROR(__xludf.DUMMYFUNCTION("""COMPUTED_VALUE"""),"")</f>
        <v/>
      </c>
      <c r="H12278" s="42">
        <f t="shared" si="1"/>
        <v>3345</v>
      </c>
    </row>
    <row r="12279" ht="22.5" customHeight="1">
      <c r="B12279" s="42" t="str">
        <f>IFERROR(__xludf.DUMMYFUNCTION("""COMPUTED_VALUE"""),"")</f>
        <v/>
      </c>
      <c r="C12279" s="42" t="str">
        <f>IFERROR(__xludf.DUMMYFUNCTION("""COMPUTED_VALUE"""),"")</f>
        <v/>
      </c>
      <c r="D12279" s="42"/>
      <c r="E12279" s="42"/>
      <c r="F12279" s="48" t="str">
        <f>IFERROR(__xludf.DUMMYFUNCTION("""COMPUTED_VALUE"""),"")</f>
        <v/>
      </c>
      <c r="G12279" s="42" t="str">
        <f>IFERROR(__xludf.DUMMYFUNCTION("""COMPUTED_VALUE"""),"")</f>
        <v/>
      </c>
      <c r="H12279" s="42">
        <f t="shared" si="1"/>
        <v>3345</v>
      </c>
    </row>
    <row r="12280" ht="22.5" customHeight="1">
      <c r="B12280" s="42" t="str">
        <f>IFERROR(__xludf.DUMMYFUNCTION("""COMPUTED_VALUE"""),"")</f>
        <v/>
      </c>
      <c r="C12280" s="42" t="str">
        <f>IFERROR(__xludf.DUMMYFUNCTION("""COMPUTED_VALUE"""),"")</f>
        <v/>
      </c>
      <c r="D12280" s="42"/>
      <c r="E12280" s="42"/>
      <c r="F12280" s="48" t="str">
        <f>IFERROR(__xludf.DUMMYFUNCTION("""COMPUTED_VALUE"""),"")</f>
        <v/>
      </c>
      <c r="G12280" s="42" t="str">
        <f>IFERROR(__xludf.DUMMYFUNCTION("""COMPUTED_VALUE"""),"")</f>
        <v/>
      </c>
      <c r="H12280" s="42">
        <f t="shared" si="1"/>
        <v>3345</v>
      </c>
    </row>
    <row r="12281" ht="22.5" customHeight="1">
      <c r="B12281" s="42" t="str">
        <f>IFERROR(__xludf.DUMMYFUNCTION("""COMPUTED_VALUE"""),"")</f>
        <v/>
      </c>
      <c r="C12281" s="42" t="str">
        <f>IFERROR(__xludf.DUMMYFUNCTION("""COMPUTED_VALUE"""),"")</f>
        <v/>
      </c>
      <c r="D12281" s="42"/>
      <c r="E12281" s="42"/>
      <c r="F12281" s="48" t="str">
        <f>IFERROR(__xludf.DUMMYFUNCTION("""COMPUTED_VALUE"""),"")</f>
        <v/>
      </c>
      <c r="G12281" s="42" t="str">
        <f>IFERROR(__xludf.DUMMYFUNCTION("""COMPUTED_VALUE"""),"")</f>
        <v/>
      </c>
      <c r="H12281" s="42">
        <f t="shared" si="1"/>
        <v>3345</v>
      </c>
    </row>
    <row r="12282" ht="22.5" customHeight="1">
      <c r="B12282" s="42" t="str">
        <f>IFERROR(__xludf.DUMMYFUNCTION("""COMPUTED_VALUE"""),"")</f>
        <v/>
      </c>
      <c r="C12282" s="42" t="str">
        <f>IFERROR(__xludf.DUMMYFUNCTION("""COMPUTED_VALUE"""),"")</f>
        <v/>
      </c>
      <c r="D12282" s="42"/>
      <c r="E12282" s="42"/>
      <c r="F12282" s="48" t="str">
        <f>IFERROR(__xludf.DUMMYFUNCTION("""COMPUTED_VALUE"""),"")</f>
        <v/>
      </c>
      <c r="G12282" s="42" t="str">
        <f>IFERROR(__xludf.DUMMYFUNCTION("""COMPUTED_VALUE"""),"")</f>
        <v/>
      </c>
      <c r="H12282" s="42">
        <f t="shared" si="1"/>
        <v>3345</v>
      </c>
    </row>
    <row r="12283" ht="22.5" customHeight="1">
      <c r="B12283" s="42" t="str">
        <f>IFERROR(__xludf.DUMMYFUNCTION("""COMPUTED_VALUE"""),"")</f>
        <v/>
      </c>
      <c r="C12283" s="42" t="str">
        <f>IFERROR(__xludf.DUMMYFUNCTION("""COMPUTED_VALUE"""),"")</f>
        <v/>
      </c>
      <c r="D12283" s="42"/>
      <c r="E12283" s="42"/>
      <c r="F12283" s="48" t="str">
        <f>IFERROR(__xludf.DUMMYFUNCTION("""COMPUTED_VALUE"""),"")</f>
        <v/>
      </c>
      <c r="G12283" s="42" t="str">
        <f>IFERROR(__xludf.DUMMYFUNCTION("""COMPUTED_VALUE"""),"")</f>
        <v/>
      </c>
      <c r="H12283" s="42">
        <f t="shared" si="1"/>
        <v>3345</v>
      </c>
    </row>
    <row r="12284" ht="22.5" customHeight="1">
      <c r="B12284" s="42" t="str">
        <f>IFERROR(__xludf.DUMMYFUNCTION("""COMPUTED_VALUE"""),"")</f>
        <v/>
      </c>
      <c r="C12284" s="42" t="str">
        <f>IFERROR(__xludf.DUMMYFUNCTION("""COMPUTED_VALUE"""),"")</f>
        <v/>
      </c>
      <c r="D12284" s="42"/>
      <c r="E12284" s="42"/>
      <c r="F12284" s="48" t="str">
        <f>IFERROR(__xludf.DUMMYFUNCTION("""COMPUTED_VALUE"""),"")</f>
        <v/>
      </c>
      <c r="G12284" s="42" t="str">
        <f>IFERROR(__xludf.DUMMYFUNCTION("""COMPUTED_VALUE"""),"")</f>
        <v/>
      </c>
      <c r="H12284" s="42">
        <f t="shared" si="1"/>
        <v>3345</v>
      </c>
    </row>
    <row r="12285" ht="22.5" customHeight="1">
      <c r="B12285" s="42" t="str">
        <f>IFERROR(__xludf.DUMMYFUNCTION("""COMPUTED_VALUE"""),"")</f>
        <v/>
      </c>
      <c r="C12285" s="42" t="str">
        <f>IFERROR(__xludf.DUMMYFUNCTION("""COMPUTED_VALUE"""),"")</f>
        <v/>
      </c>
      <c r="D12285" s="42"/>
      <c r="E12285" s="42"/>
      <c r="F12285" s="48" t="str">
        <f>IFERROR(__xludf.DUMMYFUNCTION("""COMPUTED_VALUE"""),"")</f>
        <v/>
      </c>
      <c r="G12285" s="42" t="str">
        <f>IFERROR(__xludf.DUMMYFUNCTION("""COMPUTED_VALUE"""),"")</f>
        <v/>
      </c>
      <c r="H12285" s="42">
        <f t="shared" si="1"/>
        <v>3345</v>
      </c>
    </row>
    <row r="12286" ht="22.5" customHeight="1">
      <c r="B12286" s="42" t="str">
        <f>IFERROR(__xludf.DUMMYFUNCTION("""COMPUTED_VALUE"""),"")</f>
        <v/>
      </c>
      <c r="C12286" s="42" t="str">
        <f>IFERROR(__xludf.DUMMYFUNCTION("""COMPUTED_VALUE"""),"")</f>
        <v/>
      </c>
      <c r="D12286" s="42"/>
      <c r="E12286" s="42"/>
      <c r="F12286" s="48" t="str">
        <f>IFERROR(__xludf.DUMMYFUNCTION("""COMPUTED_VALUE"""),"")</f>
        <v/>
      </c>
      <c r="G12286" s="42" t="str">
        <f>IFERROR(__xludf.DUMMYFUNCTION("""COMPUTED_VALUE"""),"")</f>
        <v/>
      </c>
      <c r="H12286" s="42">
        <f t="shared" si="1"/>
        <v>3345</v>
      </c>
    </row>
    <row r="12287" ht="22.5" customHeight="1">
      <c r="B12287" s="42" t="str">
        <f>IFERROR(__xludf.DUMMYFUNCTION("""COMPUTED_VALUE"""),"")</f>
        <v/>
      </c>
      <c r="C12287" s="42" t="str">
        <f>IFERROR(__xludf.DUMMYFUNCTION("""COMPUTED_VALUE"""),"")</f>
        <v/>
      </c>
      <c r="D12287" s="42"/>
      <c r="E12287" s="42"/>
      <c r="F12287" s="48" t="str">
        <f>IFERROR(__xludf.DUMMYFUNCTION("""COMPUTED_VALUE"""),"")</f>
        <v/>
      </c>
      <c r="G12287" s="42" t="str">
        <f>IFERROR(__xludf.DUMMYFUNCTION("""COMPUTED_VALUE"""),"")</f>
        <v/>
      </c>
      <c r="H12287" s="42">
        <f t="shared" si="1"/>
        <v>3345</v>
      </c>
    </row>
    <row r="12288" ht="22.5" customHeight="1">
      <c r="B12288" s="42" t="str">
        <f>IFERROR(__xludf.DUMMYFUNCTION("""COMPUTED_VALUE"""),"")</f>
        <v/>
      </c>
      <c r="C12288" s="42" t="str">
        <f>IFERROR(__xludf.DUMMYFUNCTION("""COMPUTED_VALUE"""),"")</f>
        <v/>
      </c>
      <c r="D12288" s="42"/>
      <c r="E12288" s="42"/>
      <c r="F12288" s="48" t="str">
        <f>IFERROR(__xludf.DUMMYFUNCTION("""COMPUTED_VALUE"""),"")</f>
        <v/>
      </c>
      <c r="G12288" s="42" t="str">
        <f>IFERROR(__xludf.DUMMYFUNCTION("""COMPUTED_VALUE"""),"")</f>
        <v/>
      </c>
      <c r="H12288" s="42">
        <f t="shared" si="1"/>
        <v>3345</v>
      </c>
    </row>
    <row r="12289" ht="22.5" customHeight="1">
      <c r="B12289" s="42" t="str">
        <f>IFERROR(__xludf.DUMMYFUNCTION("""COMPUTED_VALUE"""),"")</f>
        <v/>
      </c>
      <c r="C12289" s="42" t="str">
        <f>IFERROR(__xludf.DUMMYFUNCTION("""COMPUTED_VALUE"""),"")</f>
        <v/>
      </c>
      <c r="D12289" s="42"/>
      <c r="E12289" s="42"/>
      <c r="F12289" s="48" t="str">
        <f>IFERROR(__xludf.DUMMYFUNCTION("""COMPUTED_VALUE"""),"")</f>
        <v/>
      </c>
      <c r="G12289" s="42" t="str">
        <f>IFERROR(__xludf.DUMMYFUNCTION("""COMPUTED_VALUE"""),"")</f>
        <v/>
      </c>
      <c r="H12289" s="42">
        <f t="shared" si="1"/>
        <v>3345</v>
      </c>
    </row>
    <row r="12290" ht="22.5" customHeight="1">
      <c r="B12290" s="42" t="str">
        <f>IFERROR(__xludf.DUMMYFUNCTION("""COMPUTED_VALUE"""),"")</f>
        <v/>
      </c>
      <c r="C12290" s="42" t="str">
        <f>IFERROR(__xludf.DUMMYFUNCTION("""COMPUTED_VALUE"""),"")</f>
        <v/>
      </c>
      <c r="D12290" s="42"/>
      <c r="E12290" s="42"/>
      <c r="F12290" s="48" t="str">
        <f>IFERROR(__xludf.DUMMYFUNCTION("""COMPUTED_VALUE"""),"")</f>
        <v/>
      </c>
      <c r="G12290" s="42" t="str">
        <f>IFERROR(__xludf.DUMMYFUNCTION("""COMPUTED_VALUE"""),"")</f>
        <v/>
      </c>
      <c r="H12290" s="42">
        <f t="shared" si="1"/>
        <v>3345</v>
      </c>
    </row>
    <row r="12291" ht="22.5" customHeight="1">
      <c r="B12291" s="42" t="str">
        <f>IFERROR(__xludf.DUMMYFUNCTION("""COMPUTED_VALUE"""),"")</f>
        <v/>
      </c>
      <c r="C12291" s="42" t="str">
        <f>IFERROR(__xludf.DUMMYFUNCTION("""COMPUTED_VALUE"""),"")</f>
        <v/>
      </c>
      <c r="D12291" s="42"/>
      <c r="E12291" s="42"/>
      <c r="F12291" s="48" t="str">
        <f>IFERROR(__xludf.DUMMYFUNCTION("""COMPUTED_VALUE"""),"")</f>
        <v/>
      </c>
      <c r="G12291" s="42" t="str">
        <f>IFERROR(__xludf.DUMMYFUNCTION("""COMPUTED_VALUE"""),"")</f>
        <v/>
      </c>
      <c r="H12291" s="42">
        <f t="shared" si="1"/>
        <v>3345</v>
      </c>
    </row>
    <row r="12292" ht="22.5" customHeight="1">
      <c r="B12292" s="42" t="str">
        <f>IFERROR(__xludf.DUMMYFUNCTION("""COMPUTED_VALUE"""),"")</f>
        <v/>
      </c>
      <c r="C12292" s="42" t="str">
        <f>IFERROR(__xludf.DUMMYFUNCTION("""COMPUTED_VALUE"""),"")</f>
        <v/>
      </c>
      <c r="D12292" s="42"/>
      <c r="E12292" s="42"/>
      <c r="F12292" s="48" t="str">
        <f>IFERROR(__xludf.DUMMYFUNCTION("""COMPUTED_VALUE"""),"")</f>
        <v/>
      </c>
      <c r="G12292" s="42" t="str">
        <f>IFERROR(__xludf.DUMMYFUNCTION("""COMPUTED_VALUE"""),"")</f>
        <v/>
      </c>
      <c r="H12292" s="42">
        <f t="shared" si="1"/>
        <v>3345</v>
      </c>
    </row>
    <row r="12293" ht="22.5" customHeight="1">
      <c r="B12293" s="42" t="str">
        <f>IFERROR(__xludf.DUMMYFUNCTION("""COMPUTED_VALUE"""),"")</f>
        <v/>
      </c>
      <c r="C12293" s="42" t="str">
        <f>IFERROR(__xludf.DUMMYFUNCTION("""COMPUTED_VALUE"""),"")</f>
        <v/>
      </c>
      <c r="D12293" s="42"/>
      <c r="E12293" s="42"/>
      <c r="F12293" s="48" t="str">
        <f>IFERROR(__xludf.DUMMYFUNCTION("""COMPUTED_VALUE"""),"")</f>
        <v/>
      </c>
      <c r="G12293" s="42" t="str">
        <f>IFERROR(__xludf.DUMMYFUNCTION("""COMPUTED_VALUE"""),"")</f>
        <v/>
      </c>
      <c r="H12293" s="42">
        <f t="shared" si="1"/>
        <v>3345</v>
      </c>
    </row>
    <row r="12294" ht="22.5" customHeight="1">
      <c r="B12294" s="42" t="str">
        <f>IFERROR(__xludf.DUMMYFUNCTION("""COMPUTED_VALUE"""),"")</f>
        <v/>
      </c>
      <c r="C12294" s="42" t="str">
        <f>IFERROR(__xludf.DUMMYFUNCTION("""COMPUTED_VALUE"""),"")</f>
        <v/>
      </c>
      <c r="D12294" s="42"/>
      <c r="E12294" s="42"/>
      <c r="F12294" s="48" t="str">
        <f>IFERROR(__xludf.DUMMYFUNCTION("""COMPUTED_VALUE"""),"")</f>
        <v/>
      </c>
      <c r="G12294" s="42" t="str">
        <f>IFERROR(__xludf.DUMMYFUNCTION("""COMPUTED_VALUE"""),"")</f>
        <v/>
      </c>
      <c r="H12294" s="42">
        <f t="shared" si="1"/>
        <v>3345</v>
      </c>
    </row>
    <row r="12295" ht="22.5" customHeight="1">
      <c r="B12295" s="42" t="str">
        <f>IFERROR(__xludf.DUMMYFUNCTION("""COMPUTED_VALUE"""),"")</f>
        <v/>
      </c>
      <c r="C12295" s="42" t="str">
        <f>IFERROR(__xludf.DUMMYFUNCTION("""COMPUTED_VALUE"""),"")</f>
        <v/>
      </c>
      <c r="D12295" s="42"/>
      <c r="E12295" s="42"/>
      <c r="F12295" s="48" t="str">
        <f>IFERROR(__xludf.DUMMYFUNCTION("""COMPUTED_VALUE"""),"")</f>
        <v/>
      </c>
      <c r="G12295" s="42" t="str">
        <f>IFERROR(__xludf.DUMMYFUNCTION("""COMPUTED_VALUE"""),"")</f>
        <v/>
      </c>
      <c r="H12295" s="42">
        <f t="shared" si="1"/>
        <v>3345</v>
      </c>
    </row>
    <row r="12296" ht="22.5" customHeight="1">
      <c r="B12296" s="42" t="str">
        <f>IFERROR(__xludf.DUMMYFUNCTION("""COMPUTED_VALUE"""),"")</f>
        <v/>
      </c>
      <c r="C12296" s="42" t="str">
        <f>IFERROR(__xludf.DUMMYFUNCTION("""COMPUTED_VALUE"""),"")</f>
        <v/>
      </c>
      <c r="D12296" s="42"/>
      <c r="E12296" s="42"/>
      <c r="F12296" s="48" t="str">
        <f>IFERROR(__xludf.DUMMYFUNCTION("""COMPUTED_VALUE"""),"")</f>
        <v/>
      </c>
      <c r="G12296" s="42" t="str">
        <f>IFERROR(__xludf.DUMMYFUNCTION("""COMPUTED_VALUE"""),"")</f>
        <v/>
      </c>
      <c r="H12296" s="42">
        <f t="shared" si="1"/>
        <v>3345</v>
      </c>
    </row>
    <row r="12297" ht="22.5" customHeight="1">
      <c r="B12297" s="42" t="str">
        <f>IFERROR(__xludf.DUMMYFUNCTION("""COMPUTED_VALUE"""),"")</f>
        <v/>
      </c>
      <c r="C12297" s="42" t="str">
        <f>IFERROR(__xludf.DUMMYFUNCTION("""COMPUTED_VALUE"""),"")</f>
        <v/>
      </c>
      <c r="D12297" s="42"/>
      <c r="E12297" s="42"/>
      <c r="F12297" s="48" t="str">
        <f>IFERROR(__xludf.DUMMYFUNCTION("""COMPUTED_VALUE"""),"")</f>
        <v/>
      </c>
      <c r="G12297" s="42" t="str">
        <f>IFERROR(__xludf.DUMMYFUNCTION("""COMPUTED_VALUE"""),"")</f>
        <v/>
      </c>
      <c r="H12297" s="42">
        <f t="shared" si="1"/>
        <v>3345</v>
      </c>
    </row>
    <row r="12298" ht="22.5" customHeight="1">
      <c r="B12298" s="42" t="str">
        <f>IFERROR(__xludf.DUMMYFUNCTION("""COMPUTED_VALUE"""),"")</f>
        <v/>
      </c>
      <c r="C12298" s="42" t="str">
        <f>IFERROR(__xludf.DUMMYFUNCTION("""COMPUTED_VALUE"""),"")</f>
        <v/>
      </c>
      <c r="D12298" s="42"/>
      <c r="E12298" s="42"/>
      <c r="F12298" s="48" t="str">
        <f>IFERROR(__xludf.DUMMYFUNCTION("""COMPUTED_VALUE"""),"")</f>
        <v/>
      </c>
      <c r="G12298" s="42" t="str">
        <f>IFERROR(__xludf.DUMMYFUNCTION("""COMPUTED_VALUE"""),"")</f>
        <v/>
      </c>
      <c r="H12298" s="42">
        <f t="shared" si="1"/>
        <v>3345</v>
      </c>
    </row>
    <row r="12299" ht="22.5" customHeight="1">
      <c r="B12299" s="42" t="str">
        <f>IFERROR(__xludf.DUMMYFUNCTION("""COMPUTED_VALUE"""),"")</f>
        <v/>
      </c>
      <c r="C12299" s="42" t="str">
        <f>IFERROR(__xludf.DUMMYFUNCTION("""COMPUTED_VALUE"""),"")</f>
        <v/>
      </c>
      <c r="D12299" s="42"/>
      <c r="E12299" s="42"/>
      <c r="F12299" s="48" t="str">
        <f>IFERROR(__xludf.DUMMYFUNCTION("""COMPUTED_VALUE"""),"")</f>
        <v/>
      </c>
      <c r="G12299" s="42" t="str">
        <f>IFERROR(__xludf.DUMMYFUNCTION("""COMPUTED_VALUE"""),"")</f>
        <v/>
      </c>
      <c r="H12299" s="42">
        <f t="shared" si="1"/>
        <v>3345</v>
      </c>
    </row>
    <row r="12300" ht="22.5" customHeight="1">
      <c r="B12300" s="42" t="str">
        <f>IFERROR(__xludf.DUMMYFUNCTION("""COMPUTED_VALUE"""),"")</f>
        <v/>
      </c>
      <c r="C12300" s="42" t="str">
        <f>IFERROR(__xludf.DUMMYFUNCTION("""COMPUTED_VALUE"""),"")</f>
        <v/>
      </c>
      <c r="D12300" s="42"/>
      <c r="E12300" s="42"/>
      <c r="F12300" s="48" t="str">
        <f>IFERROR(__xludf.DUMMYFUNCTION("""COMPUTED_VALUE"""),"")</f>
        <v/>
      </c>
      <c r="G12300" s="42" t="str">
        <f>IFERROR(__xludf.DUMMYFUNCTION("""COMPUTED_VALUE"""),"")</f>
        <v/>
      </c>
      <c r="H12300" s="42">
        <f t="shared" si="1"/>
        <v>3345</v>
      </c>
    </row>
    <row r="12301" ht="22.5" customHeight="1">
      <c r="B12301" s="42" t="str">
        <f>IFERROR(__xludf.DUMMYFUNCTION("""COMPUTED_VALUE"""),"")</f>
        <v/>
      </c>
      <c r="C12301" s="42" t="str">
        <f>IFERROR(__xludf.DUMMYFUNCTION("""COMPUTED_VALUE"""),"")</f>
        <v/>
      </c>
      <c r="D12301" s="42"/>
      <c r="E12301" s="42"/>
      <c r="F12301" s="48" t="str">
        <f>IFERROR(__xludf.DUMMYFUNCTION("""COMPUTED_VALUE"""),"")</f>
        <v/>
      </c>
      <c r="G12301" s="42" t="str">
        <f>IFERROR(__xludf.DUMMYFUNCTION("""COMPUTED_VALUE"""),"")</f>
        <v/>
      </c>
      <c r="H12301" s="42">
        <f t="shared" si="1"/>
        <v>3345</v>
      </c>
    </row>
    <row r="12302" ht="22.5" customHeight="1">
      <c r="B12302" s="42" t="str">
        <f>IFERROR(__xludf.DUMMYFUNCTION("""COMPUTED_VALUE"""),"")</f>
        <v/>
      </c>
      <c r="C12302" s="42" t="str">
        <f>IFERROR(__xludf.DUMMYFUNCTION("""COMPUTED_VALUE"""),"")</f>
        <v/>
      </c>
      <c r="D12302" s="42"/>
      <c r="E12302" s="42"/>
      <c r="F12302" s="48" t="str">
        <f>IFERROR(__xludf.DUMMYFUNCTION("""COMPUTED_VALUE"""),"")</f>
        <v/>
      </c>
      <c r="G12302" s="42" t="str">
        <f>IFERROR(__xludf.DUMMYFUNCTION("""COMPUTED_VALUE"""),"")</f>
        <v/>
      </c>
      <c r="H12302" s="42">
        <f t="shared" si="1"/>
        <v>3345</v>
      </c>
    </row>
    <row r="12303" ht="22.5" customHeight="1">
      <c r="B12303" s="42" t="str">
        <f>IFERROR(__xludf.DUMMYFUNCTION("""COMPUTED_VALUE"""),"")</f>
        <v/>
      </c>
      <c r="C12303" s="42" t="str">
        <f>IFERROR(__xludf.DUMMYFUNCTION("""COMPUTED_VALUE"""),"")</f>
        <v/>
      </c>
      <c r="D12303" s="42"/>
      <c r="E12303" s="42"/>
      <c r="F12303" s="48" t="str">
        <f>IFERROR(__xludf.DUMMYFUNCTION("""COMPUTED_VALUE"""),"")</f>
        <v/>
      </c>
      <c r="G12303" s="42" t="str">
        <f>IFERROR(__xludf.DUMMYFUNCTION("""COMPUTED_VALUE"""),"")</f>
        <v/>
      </c>
      <c r="H12303" s="42">
        <f t="shared" si="1"/>
        <v>3345</v>
      </c>
    </row>
    <row r="12304" ht="22.5" customHeight="1">
      <c r="B12304" s="42" t="str">
        <f>IFERROR(__xludf.DUMMYFUNCTION("""COMPUTED_VALUE"""),"")</f>
        <v/>
      </c>
      <c r="C12304" s="42" t="str">
        <f>IFERROR(__xludf.DUMMYFUNCTION("""COMPUTED_VALUE"""),"")</f>
        <v/>
      </c>
      <c r="D12304" s="42"/>
      <c r="E12304" s="42"/>
      <c r="F12304" s="48" t="str">
        <f>IFERROR(__xludf.DUMMYFUNCTION("""COMPUTED_VALUE"""),"")</f>
        <v/>
      </c>
      <c r="G12304" s="42" t="str">
        <f>IFERROR(__xludf.DUMMYFUNCTION("""COMPUTED_VALUE"""),"")</f>
        <v/>
      </c>
      <c r="H12304" s="42">
        <f t="shared" si="1"/>
        <v>3345</v>
      </c>
    </row>
    <row r="12305" ht="22.5" customHeight="1">
      <c r="B12305" s="42" t="str">
        <f>IFERROR(__xludf.DUMMYFUNCTION("""COMPUTED_VALUE"""),"")</f>
        <v/>
      </c>
      <c r="C12305" s="42" t="str">
        <f>IFERROR(__xludf.DUMMYFUNCTION("""COMPUTED_VALUE"""),"")</f>
        <v/>
      </c>
      <c r="D12305" s="42"/>
      <c r="E12305" s="42"/>
      <c r="F12305" s="48" t="str">
        <f>IFERROR(__xludf.DUMMYFUNCTION("""COMPUTED_VALUE"""),"")</f>
        <v/>
      </c>
      <c r="G12305" s="42" t="str">
        <f>IFERROR(__xludf.DUMMYFUNCTION("""COMPUTED_VALUE"""),"")</f>
        <v/>
      </c>
      <c r="H12305" s="42">
        <f t="shared" si="1"/>
        <v>3345</v>
      </c>
    </row>
    <row r="12306" ht="22.5" customHeight="1">
      <c r="B12306" s="42" t="str">
        <f>IFERROR(__xludf.DUMMYFUNCTION("""COMPUTED_VALUE"""),"")</f>
        <v/>
      </c>
      <c r="C12306" s="42" t="str">
        <f>IFERROR(__xludf.DUMMYFUNCTION("""COMPUTED_VALUE"""),"")</f>
        <v/>
      </c>
      <c r="D12306" s="42"/>
      <c r="E12306" s="42"/>
      <c r="F12306" s="48" t="str">
        <f>IFERROR(__xludf.DUMMYFUNCTION("""COMPUTED_VALUE"""),"")</f>
        <v/>
      </c>
      <c r="G12306" s="42" t="str">
        <f>IFERROR(__xludf.DUMMYFUNCTION("""COMPUTED_VALUE"""),"")</f>
        <v/>
      </c>
      <c r="H12306" s="42">
        <f t="shared" si="1"/>
        <v>3345</v>
      </c>
    </row>
    <row r="12307" ht="22.5" customHeight="1">
      <c r="B12307" s="42" t="str">
        <f>IFERROR(__xludf.DUMMYFUNCTION("""COMPUTED_VALUE"""),"")</f>
        <v/>
      </c>
      <c r="C12307" s="42" t="str">
        <f>IFERROR(__xludf.DUMMYFUNCTION("""COMPUTED_VALUE"""),"")</f>
        <v/>
      </c>
      <c r="D12307" s="42"/>
      <c r="E12307" s="42"/>
      <c r="F12307" s="48" t="str">
        <f>IFERROR(__xludf.DUMMYFUNCTION("""COMPUTED_VALUE"""),"")</f>
        <v/>
      </c>
      <c r="G12307" s="42" t="str">
        <f>IFERROR(__xludf.DUMMYFUNCTION("""COMPUTED_VALUE"""),"")</f>
        <v/>
      </c>
      <c r="H12307" s="42">
        <f t="shared" si="1"/>
        <v>3345</v>
      </c>
    </row>
    <row r="12308" ht="22.5" customHeight="1">
      <c r="B12308" s="42" t="str">
        <f>IFERROR(__xludf.DUMMYFUNCTION("""COMPUTED_VALUE"""),"")</f>
        <v/>
      </c>
      <c r="C12308" s="42" t="str">
        <f>IFERROR(__xludf.DUMMYFUNCTION("""COMPUTED_VALUE"""),"")</f>
        <v/>
      </c>
      <c r="D12308" s="42"/>
      <c r="E12308" s="42"/>
      <c r="F12308" s="48" t="str">
        <f>IFERROR(__xludf.DUMMYFUNCTION("""COMPUTED_VALUE"""),"")</f>
        <v/>
      </c>
      <c r="G12308" s="42" t="str">
        <f>IFERROR(__xludf.DUMMYFUNCTION("""COMPUTED_VALUE"""),"")</f>
        <v/>
      </c>
      <c r="H12308" s="42">
        <f t="shared" si="1"/>
        <v>3345</v>
      </c>
    </row>
    <row r="12309" ht="22.5" customHeight="1">
      <c r="B12309" s="42" t="str">
        <f>IFERROR(__xludf.DUMMYFUNCTION("""COMPUTED_VALUE"""),"")</f>
        <v/>
      </c>
      <c r="C12309" s="42" t="str">
        <f>IFERROR(__xludf.DUMMYFUNCTION("""COMPUTED_VALUE"""),"")</f>
        <v/>
      </c>
      <c r="D12309" s="42"/>
      <c r="E12309" s="42"/>
      <c r="F12309" s="48" t="str">
        <f>IFERROR(__xludf.DUMMYFUNCTION("""COMPUTED_VALUE"""),"")</f>
        <v/>
      </c>
      <c r="G12309" s="42" t="str">
        <f>IFERROR(__xludf.DUMMYFUNCTION("""COMPUTED_VALUE"""),"")</f>
        <v/>
      </c>
      <c r="H12309" s="42">
        <f t="shared" si="1"/>
        <v>3345</v>
      </c>
    </row>
    <row r="12310" ht="22.5" customHeight="1">
      <c r="B12310" s="42" t="str">
        <f>IFERROR(__xludf.DUMMYFUNCTION("""COMPUTED_VALUE"""),"")</f>
        <v/>
      </c>
      <c r="C12310" s="42" t="str">
        <f>IFERROR(__xludf.DUMMYFUNCTION("""COMPUTED_VALUE"""),"")</f>
        <v/>
      </c>
      <c r="D12310" s="42"/>
      <c r="E12310" s="42"/>
      <c r="F12310" s="48" t="str">
        <f>IFERROR(__xludf.DUMMYFUNCTION("""COMPUTED_VALUE"""),"")</f>
        <v/>
      </c>
      <c r="G12310" s="42" t="str">
        <f>IFERROR(__xludf.DUMMYFUNCTION("""COMPUTED_VALUE"""),"")</f>
        <v/>
      </c>
      <c r="H12310" s="42">
        <f t="shared" si="1"/>
        <v>3345</v>
      </c>
    </row>
    <row r="12311" ht="22.5" customHeight="1">
      <c r="B12311" s="42" t="str">
        <f>IFERROR(__xludf.DUMMYFUNCTION("""COMPUTED_VALUE"""),"")</f>
        <v/>
      </c>
      <c r="C12311" s="42" t="str">
        <f>IFERROR(__xludf.DUMMYFUNCTION("""COMPUTED_VALUE"""),"")</f>
        <v/>
      </c>
      <c r="D12311" s="42"/>
      <c r="E12311" s="42"/>
      <c r="F12311" s="48" t="str">
        <f>IFERROR(__xludf.DUMMYFUNCTION("""COMPUTED_VALUE"""),"")</f>
        <v/>
      </c>
      <c r="G12311" s="42" t="str">
        <f>IFERROR(__xludf.DUMMYFUNCTION("""COMPUTED_VALUE"""),"")</f>
        <v/>
      </c>
      <c r="H12311" s="42">
        <f t="shared" si="1"/>
        <v>3345</v>
      </c>
    </row>
    <row r="12312" ht="22.5" customHeight="1">
      <c r="B12312" s="42" t="str">
        <f>IFERROR(__xludf.DUMMYFUNCTION("""COMPUTED_VALUE"""),"")</f>
        <v/>
      </c>
      <c r="C12312" s="42" t="str">
        <f>IFERROR(__xludf.DUMMYFUNCTION("""COMPUTED_VALUE"""),"")</f>
        <v/>
      </c>
      <c r="D12312" s="42"/>
      <c r="E12312" s="42"/>
      <c r="F12312" s="48" t="str">
        <f>IFERROR(__xludf.DUMMYFUNCTION("""COMPUTED_VALUE"""),"")</f>
        <v/>
      </c>
      <c r="G12312" s="42" t="str">
        <f>IFERROR(__xludf.DUMMYFUNCTION("""COMPUTED_VALUE"""),"")</f>
        <v/>
      </c>
      <c r="H12312" s="42">
        <f t="shared" si="1"/>
        <v>3345</v>
      </c>
    </row>
    <row r="12313" ht="22.5" customHeight="1">
      <c r="B12313" s="42" t="str">
        <f>IFERROR(__xludf.DUMMYFUNCTION("""COMPUTED_VALUE"""),"")</f>
        <v/>
      </c>
      <c r="C12313" s="42" t="str">
        <f>IFERROR(__xludf.DUMMYFUNCTION("""COMPUTED_VALUE"""),"")</f>
        <v/>
      </c>
      <c r="D12313" s="42"/>
      <c r="E12313" s="42"/>
      <c r="F12313" s="48" t="str">
        <f>IFERROR(__xludf.DUMMYFUNCTION("""COMPUTED_VALUE"""),"")</f>
        <v/>
      </c>
      <c r="G12313" s="42" t="str">
        <f>IFERROR(__xludf.DUMMYFUNCTION("""COMPUTED_VALUE"""),"")</f>
        <v/>
      </c>
      <c r="H12313" s="42">
        <f t="shared" si="1"/>
        <v>3345</v>
      </c>
    </row>
    <row r="12314" ht="22.5" customHeight="1">
      <c r="B12314" s="42" t="str">
        <f>IFERROR(__xludf.DUMMYFUNCTION("""COMPUTED_VALUE"""),"")</f>
        <v/>
      </c>
      <c r="C12314" s="42" t="str">
        <f>IFERROR(__xludf.DUMMYFUNCTION("""COMPUTED_VALUE"""),"")</f>
        <v/>
      </c>
      <c r="D12314" s="42"/>
      <c r="E12314" s="42"/>
      <c r="F12314" s="48" t="str">
        <f>IFERROR(__xludf.DUMMYFUNCTION("""COMPUTED_VALUE"""),"")</f>
        <v/>
      </c>
      <c r="G12314" s="42" t="str">
        <f>IFERROR(__xludf.DUMMYFUNCTION("""COMPUTED_VALUE"""),"")</f>
        <v/>
      </c>
      <c r="H12314" s="42">
        <f t="shared" si="1"/>
        <v>3345</v>
      </c>
    </row>
    <row r="12315" ht="22.5" customHeight="1">
      <c r="B12315" s="42" t="str">
        <f>IFERROR(__xludf.DUMMYFUNCTION("""COMPUTED_VALUE"""),"")</f>
        <v/>
      </c>
      <c r="C12315" s="42" t="str">
        <f>IFERROR(__xludf.DUMMYFUNCTION("""COMPUTED_VALUE"""),"")</f>
        <v/>
      </c>
      <c r="D12315" s="42"/>
      <c r="E12315" s="42"/>
      <c r="F12315" s="48" t="str">
        <f>IFERROR(__xludf.DUMMYFUNCTION("""COMPUTED_VALUE"""),"")</f>
        <v/>
      </c>
      <c r="G12315" s="42" t="str">
        <f>IFERROR(__xludf.DUMMYFUNCTION("""COMPUTED_VALUE"""),"")</f>
        <v/>
      </c>
      <c r="H12315" s="42">
        <f t="shared" si="1"/>
        <v>3345</v>
      </c>
    </row>
    <row r="12316" ht="22.5" customHeight="1">
      <c r="B12316" s="42" t="str">
        <f>IFERROR(__xludf.DUMMYFUNCTION("""COMPUTED_VALUE"""),"")</f>
        <v/>
      </c>
      <c r="C12316" s="42" t="str">
        <f>IFERROR(__xludf.DUMMYFUNCTION("""COMPUTED_VALUE"""),"")</f>
        <v/>
      </c>
      <c r="D12316" s="42"/>
      <c r="E12316" s="42"/>
      <c r="F12316" s="48" t="str">
        <f>IFERROR(__xludf.DUMMYFUNCTION("""COMPUTED_VALUE"""),"")</f>
        <v/>
      </c>
      <c r="G12316" s="42" t="str">
        <f>IFERROR(__xludf.DUMMYFUNCTION("""COMPUTED_VALUE"""),"")</f>
        <v/>
      </c>
      <c r="H12316" s="42">
        <f t="shared" si="1"/>
        <v>3345</v>
      </c>
    </row>
    <row r="12317" ht="22.5" customHeight="1">
      <c r="B12317" s="42" t="str">
        <f>IFERROR(__xludf.DUMMYFUNCTION("""COMPUTED_VALUE"""),"")</f>
        <v/>
      </c>
      <c r="C12317" s="42" t="str">
        <f>IFERROR(__xludf.DUMMYFUNCTION("""COMPUTED_VALUE"""),"")</f>
        <v/>
      </c>
      <c r="D12317" s="42"/>
      <c r="E12317" s="42"/>
      <c r="F12317" s="48" t="str">
        <f>IFERROR(__xludf.DUMMYFUNCTION("""COMPUTED_VALUE"""),"")</f>
        <v/>
      </c>
      <c r="G12317" s="42" t="str">
        <f>IFERROR(__xludf.DUMMYFUNCTION("""COMPUTED_VALUE"""),"")</f>
        <v/>
      </c>
      <c r="H12317" s="42">
        <f t="shared" si="1"/>
        <v>3345</v>
      </c>
    </row>
    <row r="12318" ht="22.5" customHeight="1">
      <c r="B12318" s="42" t="str">
        <f>IFERROR(__xludf.DUMMYFUNCTION("""COMPUTED_VALUE"""),"")</f>
        <v/>
      </c>
      <c r="C12318" s="42" t="str">
        <f>IFERROR(__xludf.DUMMYFUNCTION("""COMPUTED_VALUE"""),"")</f>
        <v/>
      </c>
      <c r="D12318" s="42"/>
      <c r="E12318" s="42"/>
      <c r="F12318" s="48" t="str">
        <f>IFERROR(__xludf.DUMMYFUNCTION("""COMPUTED_VALUE"""),"")</f>
        <v/>
      </c>
      <c r="G12318" s="42" t="str">
        <f>IFERROR(__xludf.DUMMYFUNCTION("""COMPUTED_VALUE"""),"")</f>
        <v/>
      </c>
      <c r="H12318" s="42">
        <f t="shared" si="1"/>
        <v>3345</v>
      </c>
    </row>
    <row r="12319" ht="22.5" customHeight="1">
      <c r="B12319" s="42" t="str">
        <f>IFERROR(__xludf.DUMMYFUNCTION("""COMPUTED_VALUE"""),"")</f>
        <v/>
      </c>
      <c r="C12319" s="42" t="str">
        <f>IFERROR(__xludf.DUMMYFUNCTION("""COMPUTED_VALUE"""),"")</f>
        <v/>
      </c>
      <c r="D12319" s="42"/>
      <c r="E12319" s="42"/>
      <c r="F12319" s="48" t="str">
        <f>IFERROR(__xludf.DUMMYFUNCTION("""COMPUTED_VALUE"""),"")</f>
        <v/>
      </c>
      <c r="G12319" s="42" t="str">
        <f>IFERROR(__xludf.DUMMYFUNCTION("""COMPUTED_VALUE"""),"")</f>
        <v/>
      </c>
      <c r="H12319" s="42">
        <f t="shared" si="1"/>
        <v>3345</v>
      </c>
    </row>
    <row r="12320" ht="22.5" customHeight="1">
      <c r="B12320" s="42" t="str">
        <f>IFERROR(__xludf.DUMMYFUNCTION("""COMPUTED_VALUE"""),"")</f>
        <v/>
      </c>
      <c r="C12320" s="42" t="str">
        <f>IFERROR(__xludf.DUMMYFUNCTION("""COMPUTED_VALUE"""),"")</f>
        <v/>
      </c>
      <c r="D12320" s="42"/>
      <c r="E12320" s="42"/>
      <c r="F12320" s="48" t="str">
        <f>IFERROR(__xludf.DUMMYFUNCTION("""COMPUTED_VALUE"""),"")</f>
        <v/>
      </c>
      <c r="G12320" s="42" t="str">
        <f>IFERROR(__xludf.DUMMYFUNCTION("""COMPUTED_VALUE"""),"")</f>
        <v/>
      </c>
      <c r="H12320" s="42">
        <f t="shared" si="1"/>
        <v>3345</v>
      </c>
    </row>
    <row r="12321" ht="22.5" customHeight="1">
      <c r="B12321" s="42" t="str">
        <f>IFERROR(__xludf.DUMMYFUNCTION("""COMPUTED_VALUE"""),"")</f>
        <v/>
      </c>
      <c r="C12321" s="42" t="str">
        <f>IFERROR(__xludf.DUMMYFUNCTION("""COMPUTED_VALUE"""),"")</f>
        <v/>
      </c>
      <c r="D12321" s="42"/>
      <c r="E12321" s="42"/>
      <c r="F12321" s="48" t="str">
        <f>IFERROR(__xludf.DUMMYFUNCTION("""COMPUTED_VALUE"""),"")</f>
        <v/>
      </c>
      <c r="G12321" s="42" t="str">
        <f>IFERROR(__xludf.DUMMYFUNCTION("""COMPUTED_VALUE"""),"")</f>
        <v/>
      </c>
      <c r="H12321" s="42">
        <f t="shared" si="1"/>
        <v>3345</v>
      </c>
    </row>
    <row r="12322" ht="22.5" customHeight="1">
      <c r="B12322" s="42" t="str">
        <f>IFERROR(__xludf.DUMMYFUNCTION("""COMPUTED_VALUE"""),"")</f>
        <v/>
      </c>
      <c r="C12322" s="42" t="str">
        <f>IFERROR(__xludf.DUMMYFUNCTION("""COMPUTED_VALUE"""),"")</f>
        <v/>
      </c>
      <c r="D12322" s="42"/>
      <c r="E12322" s="42"/>
      <c r="F12322" s="48" t="str">
        <f>IFERROR(__xludf.DUMMYFUNCTION("""COMPUTED_VALUE"""),"")</f>
        <v/>
      </c>
      <c r="G12322" s="42" t="str">
        <f>IFERROR(__xludf.DUMMYFUNCTION("""COMPUTED_VALUE"""),"")</f>
        <v/>
      </c>
      <c r="H12322" s="42">
        <f t="shared" si="1"/>
        <v>3345</v>
      </c>
    </row>
    <row r="12323" ht="22.5" customHeight="1">
      <c r="B12323" s="42" t="str">
        <f>IFERROR(__xludf.DUMMYFUNCTION("""COMPUTED_VALUE"""),"")</f>
        <v/>
      </c>
      <c r="C12323" s="42" t="str">
        <f>IFERROR(__xludf.DUMMYFUNCTION("""COMPUTED_VALUE"""),"")</f>
        <v/>
      </c>
      <c r="D12323" s="42"/>
      <c r="E12323" s="42"/>
      <c r="F12323" s="48" t="str">
        <f>IFERROR(__xludf.DUMMYFUNCTION("""COMPUTED_VALUE"""),"")</f>
        <v/>
      </c>
      <c r="G12323" s="42" t="str">
        <f>IFERROR(__xludf.DUMMYFUNCTION("""COMPUTED_VALUE"""),"")</f>
        <v/>
      </c>
      <c r="H12323" s="42">
        <f t="shared" si="1"/>
        <v>3345</v>
      </c>
    </row>
    <row r="12324" ht="22.5" customHeight="1">
      <c r="B12324" s="42" t="str">
        <f>IFERROR(__xludf.DUMMYFUNCTION("""COMPUTED_VALUE"""),"")</f>
        <v/>
      </c>
      <c r="C12324" s="42" t="str">
        <f>IFERROR(__xludf.DUMMYFUNCTION("""COMPUTED_VALUE"""),"")</f>
        <v/>
      </c>
      <c r="D12324" s="42"/>
      <c r="E12324" s="42"/>
      <c r="F12324" s="48" t="str">
        <f>IFERROR(__xludf.DUMMYFUNCTION("""COMPUTED_VALUE"""),"")</f>
        <v/>
      </c>
      <c r="G12324" s="42" t="str">
        <f>IFERROR(__xludf.DUMMYFUNCTION("""COMPUTED_VALUE"""),"")</f>
        <v/>
      </c>
      <c r="H12324" s="42">
        <f t="shared" si="1"/>
        <v>3345</v>
      </c>
    </row>
    <row r="12325" ht="22.5" customHeight="1">
      <c r="B12325" s="42" t="str">
        <f>IFERROR(__xludf.DUMMYFUNCTION("""COMPUTED_VALUE"""),"")</f>
        <v/>
      </c>
      <c r="C12325" s="42" t="str">
        <f>IFERROR(__xludf.DUMMYFUNCTION("""COMPUTED_VALUE"""),"")</f>
        <v/>
      </c>
      <c r="D12325" s="42"/>
      <c r="E12325" s="42"/>
      <c r="F12325" s="48" t="str">
        <f>IFERROR(__xludf.DUMMYFUNCTION("""COMPUTED_VALUE"""),"")</f>
        <v/>
      </c>
      <c r="G12325" s="42" t="str">
        <f>IFERROR(__xludf.DUMMYFUNCTION("""COMPUTED_VALUE"""),"")</f>
        <v/>
      </c>
      <c r="H12325" s="42">
        <f t="shared" si="1"/>
        <v>3345</v>
      </c>
    </row>
    <row r="12326" ht="22.5" customHeight="1">
      <c r="B12326" s="42" t="str">
        <f>IFERROR(__xludf.DUMMYFUNCTION("""COMPUTED_VALUE"""),"")</f>
        <v/>
      </c>
      <c r="C12326" s="42" t="str">
        <f>IFERROR(__xludf.DUMMYFUNCTION("""COMPUTED_VALUE"""),"")</f>
        <v/>
      </c>
      <c r="D12326" s="42"/>
      <c r="E12326" s="42"/>
      <c r="F12326" s="48" t="str">
        <f>IFERROR(__xludf.DUMMYFUNCTION("""COMPUTED_VALUE"""),"")</f>
        <v/>
      </c>
      <c r="G12326" s="42" t="str">
        <f>IFERROR(__xludf.DUMMYFUNCTION("""COMPUTED_VALUE"""),"")</f>
        <v/>
      </c>
      <c r="H12326" s="42">
        <f t="shared" si="1"/>
        <v>3345</v>
      </c>
    </row>
    <row r="12327" ht="22.5" customHeight="1">
      <c r="B12327" s="42" t="str">
        <f>IFERROR(__xludf.DUMMYFUNCTION("""COMPUTED_VALUE"""),"")</f>
        <v/>
      </c>
      <c r="C12327" s="42" t="str">
        <f>IFERROR(__xludf.DUMMYFUNCTION("""COMPUTED_VALUE"""),"")</f>
        <v/>
      </c>
      <c r="D12327" s="42"/>
      <c r="E12327" s="42"/>
      <c r="F12327" s="48" t="str">
        <f>IFERROR(__xludf.DUMMYFUNCTION("""COMPUTED_VALUE"""),"")</f>
        <v/>
      </c>
      <c r="G12327" s="42" t="str">
        <f>IFERROR(__xludf.DUMMYFUNCTION("""COMPUTED_VALUE"""),"")</f>
        <v/>
      </c>
      <c r="H12327" s="42">
        <f t="shared" si="1"/>
        <v>3345</v>
      </c>
    </row>
    <row r="12328" ht="22.5" customHeight="1">
      <c r="B12328" s="42" t="str">
        <f>IFERROR(__xludf.DUMMYFUNCTION("""COMPUTED_VALUE"""),"")</f>
        <v/>
      </c>
      <c r="C12328" s="42" t="str">
        <f>IFERROR(__xludf.DUMMYFUNCTION("""COMPUTED_VALUE"""),"")</f>
        <v/>
      </c>
      <c r="D12328" s="42"/>
      <c r="E12328" s="42"/>
      <c r="F12328" s="48" t="str">
        <f>IFERROR(__xludf.DUMMYFUNCTION("""COMPUTED_VALUE"""),"")</f>
        <v/>
      </c>
      <c r="G12328" s="42" t="str">
        <f>IFERROR(__xludf.DUMMYFUNCTION("""COMPUTED_VALUE"""),"")</f>
        <v/>
      </c>
      <c r="H12328" s="42">
        <f t="shared" si="1"/>
        <v>3345</v>
      </c>
    </row>
    <row r="12329" ht="22.5" customHeight="1">
      <c r="B12329" s="42" t="str">
        <f>IFERROR(__xludf.DUMMYFUNCTION("""COMPUTED_VALUE"""),"")</f>
        <v/>
      </c>
      <c r="C12329" s="42" t="str">
        <f>IFERROR(__xludf.DUMMYFUNCTION("""COMPUTED_VALUE"""),"")</f>
        <v/>
      </c>
      <c r="D12329" s="42"/>
      <c r="E12329" s="42"/>
      <c r="F12329" s="48" t="str">
        <f>IFERROR(__xludf.DUMMYFUNCTION("""COMPUTED_VALUE"""),"")</f>
        <v/>
      </c>
      <c r="G12329" s="42" t="str">
        <f>IFERROR(__xludf.DUMMYFUNCTION("""COMPUTED_VALUE"""),"")</f>
        <v/>
      </c>
      <c r="H12329" s="42">
        <f t="shared" si="1"/>
        <v>3345</v>
      </c>
    </row>
    <row r="12330" ht="22.5" customHeight="1">
      <c r="B12330" s="42" t="str">
        <f>IFERROR(__xludf.DUMMYFUNCTION("""COMPUTED_VALUE"""),"")</f>
        <v/>
      </c>
      <c r="C12330" s="42" t="str">
        <f>IFERROR(__xludf.DUMMYFUNCTION("""COMPUTED_VALUE"""),"")</f>
        <v/>
      </c>
      <c r="D12330" s="42"/>
      <c r="E12330" s="42"/>
      <c r="F12330" s="48" t="str">
        <f>IFERROR(__xludf.DUMMYFUNCTION("""COMPUTED_VALUE"""),"")</f>
        <v/>
      </c>
      <c r="G12330" s="42" t="str">
        <f>IFERROR(__xludf.DUMMYFUNCTION("""COMPUTED_VALUE"""),"")</f>
        <v/>
      </c>
      <c r="H12330" s="42">
        <f t="shared" si="1"/>
        <v>3345</v>
      </c>
    </row>
    <row r="12331" ht="22.5" customHeight="1">
      <c r="B12331" s="42" t="str">
        <f>IFERROR(__xludf.DUMMYFUNCTION("""COMPUTED_VALUE"""),"")</f>
        <v/>
      </c>
      <c r="C12331" s="42" t="str">
        <f>IFERROR(__xludf.DUMMYFUNCTION("""COMPUTED_VALUE"""),"")</f>
        <v/>
      </c>
      <c r="D12331" s="42"/>
      <c r="E12331" s="42"/>
      <c r="F12331" s="48" t="str">
        <f>IFERROR(__xludf.DUMMYFUNCTION("""COMPUTED_VALUE"""),"")</f>
        <v/>
      </c>
      <c r="G12331" s="42" t="str">
        <f>IFERROR(__xludf.DUMMYFUNCTION("""COMPUTED_VALUE"""),"")</f>
        <v/>
      </c>
      <c r="H12331" s="42">
        <f t="shared" si="1"/>
        <v>3345</v>
      </c>
    </row>
    <row r="12332" ht="22.5" customHeight="1">
      <c r="B12332" s="42" t="str">
        <f>IFERROR(__xludf.DUMMYFUNCTION("""COMPUTED_VALUE"""),"")</f>
        <v/>
      </c>
      <c r="C12332" s="42" t="str">
        <f>IFERROR(__xludf.DUMMYFUNCTION("""COMPUTED_VALUE"""),"")</f>
        <v/>
      </c>
      <c r="D12332" s="42"/>
      <c r="E12332" s="42"/>
      <c r="F12332" s="48" t="str">
        <f>IFERROR(__xludf.DUMMYFUNCTION("""COMPUTED_VALUE"""),"")</f>
        <v/>
      </c>
      <c r="G12332" s="42" t="str">
        <f>IFERROR(__xludf.DUMMYFUNCTION("""COMPUTED_VALUE"""),"")</f>
        <v/>
      </c>
      <c r="H12332" s="42">
        <f t="shared" si="1"/>
        <v>3345</v>
      </c>
    </row>
    <row r="12333" ht="22.5" customHeight="1">
      <c r="B12333" s="42" t="str">
        <f>IFERROR(__xludf.DUMMYFUNCTION("""COMPUTED_VALUE"""),"")</f>
        <v/>
      </c>
      <c r="C12333" s="42" t="str">
        <f>IFERROR(__xludf.DUMMYFUNCTION("""COMPUTED_VALUE"""),"")</f>
        <v/>
      </c>
      <c r="D12333" s="42"/>
      <c r="E12333" s="42"/>
      <c r="F12333" s="48" t="str">
        <f>IFERROR(__xludf.DUMMYFUNCTION("""COMPUTED_VALUE"""),"")</f>
        <v/>
      </c>
      <c r="G12333" s="42" t="str">
        <f>IFERROR(__xludf.DUMMYFUNCTION("""COMPUTED_VALUE"""),"")</f>
        <v/>
      </c>
      <c r="H12333" s="42">
        <f t="shared" si="1"/>
        <v>3345</v>
      </c>
    </row>
    <row r="12334" ht="22.5" customHeight="1">
      <c r="B12334" s="42" t="str">
        <f>IFERROR(__xludf.DUMMYFUNCTION("""COMPUTED_VALUE"""),"")</f>
        <v/>
      </c>
      <c r="C12334" s="42" t="str">
        <f>IFERROR(__xludf.DUMMYFUNCTION("""COMPUTED_VALUE"""),"")</f>
        <v/>
      </c>
      <c r="D12334" s="42"/>
      <c r="E12334" s="42"/>
      <c r="F12334" s="48" t="str">
        <f>IFERROR(__xludf.DUMMYFUNCTION("""COMPUTED_VALUE"""),"")</f>
        <v/>
      </c>
      <c r="G12334" s="42" t="str">
        <f>IFERROR(__xludf.DUMMYFUNCTION("""COMPUTED_VALUE"""),"")</f>
        <v/>
      </c>
      <c r="H12334" s="42">
        <f t="shared" si="1"/>
        <v>3345</v>
      </c>
    </row>
    <row r="12335" ht="22.5" customHeight="1">
      <c r="B12335" s="42" t="str">
        <f>IFERROR(__xludf.DUMMYFUNCTION("""COMPUTED_VALUE"""),"")</f>
        <v/>
      </c>
      <c r="C12335" s="42" t="str">
        <f>IFERROR(__xludf.DUMMYFUNCTION("""COMPUTED_VALUE"""),"")</f>
        <v/>
      </c>
      <c r="D12335" s="42"/>
      <c r="E12335" s="42"/>
      <c r="F12335" s="48" t="str">
        <f>IFERROR(__xludf.DUMMYFUNCTION("""COMPUTED_VALUE"""),"")</f>
        <v/>
      </c>
      <c r="G12335" s="42" t="str">
        <f>IFERROR(__xludf.DUMMYFUNCTION("""COMPUTED_VALUE"""),"")</f>
        <v/>
      </c>
      <c r="H12335" s="42">
        <f t="shared" si="1"/>
        <v>3345</v>
      </c>
    </row>
    <row r="12336" ht="22.5" customHeight="1">
      <c r="B12336" s="42" t="str">
        <f>IFERROR(__xludf.DUMMYFUNCTION("""COMPUTED_VALUE"""),"")</f>
        <v/>
      </c>
      <c r="C12336" s="42" t="str">
        <f>IFERROR(__xludf.DUMMYFUNCTION("""COMPUTED_VALUE"""),"")</f>
        <v/>
      </c>
      <c r="D12336" s="42"/>
      <c r="E12336" s="42"/>
      <c r="F12336" s="48" t="str">
        <f>IFERROR(__xludf.DUMMYFUNCTION("""COMPUTED_VALUE"""),"")</f>
        <v/>
      </c>
      <c r="G12336" s="42" t="str">
        <f>IFERROR(__xludf.DUMMYFUNCTION("""COMPUTED_VALUE"""),"")</f>
        <v/>
      </c>
      <c r="H12336" s="42">
        <f t="shared" si="1"/>
        <v>3345</v>
      </c>
    </row>
    <row r="12337" ht="22.5" customHeight="1">
      <c r="B12337" s="42" t="str">
        <f>IFERROR(__xludf.DUMMYFUNCTION("""COMPUTED_VALUE"""),"")</f>
        <v/>
      </c>
      <c r="C12337" s="42" t="str">
        <f>IFERROR(__xludf.DUMMYFUNCTION("""COMPUTED_VALUE"""),"")</f>
        <v/>
      </c>
      <c r="D12337" s="42"/>
      <c r="E12337" s="42"/>
      <c r="F12337" s="48" t="str">
        <f>IFERROR(__xludf.DUMMYFUNCTION("""COMPUTED_VALUE"""),"")</f>
        <v/>
      </c>
      <c r="G12337" s="42" t="str">
        <f>IFERROR(__xludf.DUMMYFUNCTION("""COMPUTED_VALUE"""),"")</f>
        <v/>
      </c>
      <c r="H12337" s="42">
        <f t="shared" si="1"/>
        <v>3345</v>
      </c>
    </row>
    <row r="12338" ht="22.5" customHeight="1">
      <c r="B12338" s="42" t="str">
        <f>IFERROR(__xludf.DUMMYFUNCTION("""COMPUTED_VALUE"""),"")</f>
        <v/>
      </c>
      <c r="C12338" s="42" t="str">
        <f>IFERROR(__xludf.DUMMYFUNCTION("""COMPUTED_VALUE"""),"")</f>
        <v/>
      </c>
      <c r="D12338" s="42"/>
      <c r="E12338" s="42"/>
      <c r="F12338" s="48" t="str">
        <f>IFERROR(__xludf.DUMMYFUNCTION("""COMPUTED_VALUE"""),"")</f>
        <v/>
      </c>
      <c r="G12338" s="42" t="str">
        <f>IFERROR(__xludf.DUMMYFUNCTION("""COMPUTED_VALUE"""),"")</f>
        <v/>
      </c>
      <c r="H12338" s="42">
        <f t="shared" si="1"/>
        <v>3345</v>
      </c>
    </row>
    <row r="12339" ht="22.5" customHeight="1">
      <c r="B12339" s="42" t="str">
        <f>IFERROR(__xludf.DUMMYFUNCTION("""COMPUTED_VALUE"""),"")</f>
        <v/>
      </c>
      <c r="C12339" s="42" t="str">
        <f>IFERROR(__xludf.DUMMYFUNCTION("""COMPUTED_VALUE"""),"")</f>
        <v/>
      </c>
      <c r="D12339" s="42"/>
      <c r="E12339" s="42"/>
      <c r="F12339" s="48" t="str">
        <f>IFERROR(__xludf.DUMMYFUNCTION("""COMPUTED_VALUE"""),"")</f>
        <v/>
      </c>
      <c r="G12339" s="42" t="str">
        <f>IFERROR(__xludf.DUMMYFUNCTION("""COMPUTED_VALUE"""),"")</f>
        <v/>
      </c>
      <c r="H12339" s="42">
        <f t="shared" si="1"/>
        <v>3345</v>
      </c>
    </row>
    <row r="12340" ht="22.5" customHeight="1">
      <c r="B12340" s="42" t="str">
        <f>IFERROR(__xludf.DUMMYFUNCTION("""COMPUTED_VALUE"""),"")</f>
        <v/>
      </c>
      <c r="C12340" s="42" t="str">
        <f>IFERROR(__xludf.DUMMYFUNCTION("""COMPUTED_VALUE"""),"")</f>
        <v/>
      </c>
      <c r="D12340" s="42"/>
      <c r="E12340" s="42"/>
      <c r="F12340" s="48" t="str">
        <f>IFERROR(__xludf.DUMMYFUNCTION("""COMPUTED_VALUE"""),"")</f>
        <v/>
      </c>
      <c r="G12340" s="42" t="str">
        <f>IFERROR(__xludf.DUMMYFUNCTION("""COMPUTED_VALUE"""),"")</f>
        <v/>
      </c>
      <c r="H12340" s="42">
        <f t="shared" si="1"/>
        <v>3345</v>
      </c>
    </row>
    <row r="12341" ht="22.5" customHeight="1">
      <c r="B12341" s="42" t="str">
        <f>IFERROR(__xludf.DUMMYFUNCTION("""COMPUTED_VALUE"""),"")</f>
        <v/>
      </c>
      <c r="C12341" s="42" t="str">
        <f>IFERROR(__xludf.DUMMYFUNCTION("""COMPUTED_VALUE"""),"")</f>
        <v/>
      </c>
      <c r="D12341" s="42"/>
      <c r="E12341" s="42"/>
      <c r="F12341" s="48" t="str">
        <f>IFERROR(__xludf.DUMMYFUNCTION("""COMPUTED_VALUE"""),"")</f>
        <v/>
      </c>
      <c r="G12341" s="42" t="str">
        <f>IFERROR(__xludf.DUMMYFUNCTION("""COMPUTED_VALUE"""),"")</f>
        <v/>
      </c>
      <c r="H12341" s="42">
        <f t="shared" si="1"/>
        <v>3345</v>
      </c>
    </row>
    <row r="12342" ht="22.5" customHeight="1">
      <c r="B12342" s="42" t="str">
        <f>IFERROR(__xludf.DUMMYFUNCTION("""COMPUTED_VALUE"""),"")</f>
        <v/>
      </c>
      <c r="C12342" s="42" t="str">
        <f>IFERROR(__xludf.DUMMYFUNCTION("""COMPUTED_VALUE"""),"")</f>
        <v/>
      </c>
      <c r="D12342" s="42"/>
      <c r="E12342" s="42"/>
      <c r="F12342" s="48" t="str">
        <f>IFERROR(__xludf.DUMMYFUNCTION("""COMPUTED_VALUE"""),"")</f>
        <v/>
      </c>
      <c r="G12342" s="42" t="str">
        <f>IFERROR(__xludf.DUMMYFUNCTION("""COMPUTED_VALUE"""),"")</f>
        <v/>
      </c>
      <c r="H12342" s="42">
        <f t="shared" si="1"/>
        <v>3345</v>
      </c>
    </row>
    <row r="12343" ht="22.5" customHeight="1">
      <c r="B12343" s="42" t="str">
        <f>IFERROR(__xludf.DUMMYFUNCTION("""COMPUTED_VALUE"""),"")</f>
        <v/>
      </c>
      <c r="C12343" s="42" t="str">
        <f>IFERROR(__xludf.DUMMYFUNCTION("""COMPUTED_VALUE"""),"")</f>
        <v/>
      </c>
      <c r="D12343" s="42"/>
      <c r="E12343" s="42"/>
      <c r="F12343" s="48" t="str">
        <f>IFERROR(__xludf.DUMMYFUNCTION("""COMPUTED_VALUE"""),"")</f>
        <v/>
      </c>
      <c r="G12343" s="42" t="str">
        <f>IFERROR(__xludf.DUMMYFUNCTION("""COMPUTED_VALUE"""),"")</f>
        <v/>
      </c>
      <c r="H12343" s="42">
        <f t="shared" si="1"/>
        <v>3345</v>
      </c>
    </row>
    <row r="12344" ht="22.5" customHeight="1">
      <c r="B12344" s="42" t="str">
        <f>IFERROR(__xludf.DUMMYFUNCTION("""COMPUTED_VALUE"""),"")</f>
        <v/>
      </c>
      <c r="C12344" s="42" t="str">
        <f>IFERROR(__xludf.DUMMYFUNCTION("""COMPUTED_VALUE"""),"")</f>
        <v/>
      </c>
      <c r="D12344" s="42"/>
      <c r="E12344" s="42"/>
      <c r="F12344" s="48" t="str">
        <f>IFERROR(__xludf.DUMMYFUNCTION("""COMPUTED_VALUE"""),"")</f>
        <v/>
      </c>
      <c r="G12344" s="42" t="str">
        <f>IFERROR(__xludf.DUMMYFUNCTION("""COMPUTED_VALUE"""),"")</f>
        <v/>
      </c>
      <c r="H12344" s="42">
        <f t="shared" si="1"/>
        <v>3345</v>
      </c>
    </row>
    <row r="12345" ht="22.5" customHeight="1">
      <c r="B12345" s="42" t="str">
        <f>IFERROR(__xludf.DUMMYFUNCTION("""COMPUTED_VALUE"""),"")</f>
        <v/>
      </c>
      <c r="C12345" s="42" t="str">
        <f>IFERROR(__xludf.DUMMYFUNCTION("""COMPUTED_VALUE"""),"")</f>
        <v/>
      </c>
      <c r="D12345" s="42"/>
      <c r="E12345" s="42"/>
      <c r="F12345" s="48" t="str">
        <f>IFERROR(__xludf.DUMMYFUNCTION("""COMPUTED_VALUE"""),"")</f>
        <v/>
      </c>
      <c r="G12345" s="42" t="str">
        <f>IFERROR(__xludf.DUMMYFUNCTION("""COMPUTED_VALUE"""),"")</f>
        <v/>
      </c>
      <c r="H12345" s="42">
        <f t="shared" si="1"/>
        <v>3345</v>
      </c>
    </row>
    <row r="12346" ht="22.5" customHeight="1">
      <c r="B12346" s="42" t="str">
        <f>IFERROR(__xludf.DUMMYFUNCTION("""COMPUTED_VALUE"""),"")</f>
        <v/>
      </c>
      <c r="C12346" s="42" t="str">
        <f>IFERROR(__xludf.DUMMYFUNCTION("""COMPUTED_VALUE"""),"")</f>
        <v/>
      </c>
      <c r="D12346" s="42"/>
      <c r="E12346" s="42"/>
      <c r="F12346" s="48" t="str">
        <f>IFERROR(__xludf.DUMMYFUNCTION("""COMPUTED_VALUE"""),"")</f>
        <v/>
      </c>
      <c r="G12346" s="42" t="str">
        <f>IFERROR(__xludf.DUMMYFUNCTION("""COMPUTED_VALUE"""),"")</f>
        <v/>
      </c>
      <c r="H12346" s="42">
        <f t="shared" si="1"/>
        <v>3345</v>
      </c>
    </row>
    <row r="12347" ht="22.5" customHeight="1">
      <c r="B12347" s="42" t="str">
        <f>IFERROR(__xludf.DUMMYFUNCTION("""COMPUTED_VALUE"""),"")</f>
        <v/>
      </c>
      <c r="C12347" s="42" t="str">
        <f>IFERROR(__xludf.DUMMYFUNCTION("""COMPUTED_VALUE"""),"")</f>
        <v/>
      </c>
      <c r="D12347" s="42"/>
      <c r="E12347" s="42"/>
      <c r="F12347" s="48" t="str">
        <f>IFERROR(__xludf.DUMMYFUNCTION("""COMPUTED_VALUE"""),"")</f>
        <v/>
      </c>
      <c r="G12347" s="42" t="str">
        <f>IFERROR(__xludf.DUMMYFUNCTION("""COMPUTED_VALUE"""),"")</f>
        <v/>
      </c>
      <c r="H12347" s="42">
        <f t="shared" si="1"/>
        <v>3345</v>
      </c>
    </row>
    <row r="12348" ht="22.5" customHeight="1">
      <c r="B12348" s="42" t="str">
        <f>IFERROR(__xludf.DUMMYFUNCTION("""COMPUTED_VALUE"""),"")</f>
        <v/>
      </c>
      <c r="C12348" s="42" t="str">
        <f>IFERROR(__xludf.DUMMYFUNCTION("""COMPUTED_VALUE"""),"")</f>
        <v/>
      </c>
      <c r="D12348" s="42"/>
      <c r="E12348" s="42"/>
      <c r="F12348" s="48" t="str">
        <f>IFERROR(__xludf.DUMMYFUNCTION("""COMPUTED_VALUE"""),"")</f>
        <v/>
      </c>
      <c r="G12348" s="42" t="str">
        <f>IFERROR(__xludf.DUMMYFUNCTION("""COMPUTED_VALUE"""),"")</f>
        <v/>
      </c>
      <c r="H12348" s="42">
        <f t="shared" si="1"/>
        <v>3345</v>
      </c>
    </row>
    <row r="12349" ht="22.5" customHeight="1">
      <c r="B12349" s="42" t="str">
        <f>IFERROR(__xludf.DUMMYFUNCTION("""COMPUTED_VALUE"""),"")</f>
        <v/>
      </c>
      <c r="C12349" s="42" t="str">
        <f>IFERROR(__xludf.DUMMYFUNCTION("""COMPUTED_VALUE"""),"")</f>
        <v/>
      </c>
      <c r="D12349" s="42"/>
      <c r="E12349" s="42"/>
      <c r="F12349" s="48" t="str">
        <f>IFERROR(__xludf.DUMMYFUNCTION("""COMPUTED_VALUE"""),"")</f>
        <v/>
      </c>
      <c r="G12349" s="42" t="str">
        <f>IFERROR(__xludf.DUMMYFUNCTION("""COMPUTED_VALUE"""),"")</f>
        <v/>
      </c>
      <c r="H12349" s="42">
        <f t="shared" si="1"/>
        <v>3345</v>
      </c>
    </row>
    <row r="12350" ht="22.5" customHeight="1">
      <c r="B12350" s="42" t="str">
        <f>IFERROR(__xludf.DUMMYFUNCTION("""COMPUTED_VALUE"""),"")</f>
        <v/>
      </c>
      <c r="C12350" s="42" t="str">
        <f>IFERROR(__xludf.DUMMYFUNCTION("""COMPUTED_VALUE"""),"")</f>
        <v/>
      </c>
      <c r="D12350" s="42"/>
      <c r="E12350" s="42"/>
      <c r="F12350" s="48" t="str">
        <f>IFERROR(__xludf.DUMMYFUNCTION("""COMPUTED_VALUE"""),"")</f>
        <v/>
      </c>
      <c r="G12350" s="42" t="str">
        <f>IFERROR(__xludf.DUMMYFUNCTION("""COMPUTED_VALUE"""),"")</f>
        <v/>
      </c>
      <c r="H12350" s="42">
        <f t="shared" si="1"/>
        <v>3345</v>
      </c>
    </row>
    <row r="12351" ht="22.5" customHeight="1">
      <c r="B12351" s="42" t="str">
        <f>IFERROR(__xludf.DUMMYFUNCTION("""COMPUTED_VALUE"""),"")</f>
        <v/>
      </c>
      <c r="C12351" s="42" t="str">
        <f>IFERROR(__xludf.DUMMYFUNCTION("""COMPUTED_VALUE"""),"")</f>
        <v/>
      </c>
      <c r="D12351" s="42"/>
      <c r="E12351" s="42"/>
      <c r="F12351" s="48" t="str">
        <f>IFERROR(__xludf.DUMMYFUNCTION("""COMPUTED_VALUE"""),"")</f>
        <v/>
      </c>
      <c r="G12351" s="42" t="str">
        <f>IFERROR(__xludf.DUMMYFUNCTION("""COMPUTED_VALUE"""),"")</f>
        <v/>
      </c>
      <c r="H12351" s="42">
        <f t="shared" si="1"/>
        <v>3345</v>
      </c>
    </row>
    <row r="12352" ht="22.5" customHeight="1">
      <c r="B12352" s="42" t="str">
        <f>IFERROR(__xludf.DUMMYFUNCTION("""COMPUTED_VALUE"""),"")</f>
        <v/>
      </c>
      <c r="C12352" s="42" t="str">
        <f>IFERROR(__xludf.DUMMYFUNCTION("""COMPUTED_VALUE"""),"")</f>
        <v/>
      </c>
      <c r="D12352" s="42"/>
      <c r="E12352" s="42"/>
      <c r="F12352" s="48" t="str">
        <f>IFERROR(__xludf.DUMMYFUNCTION("""COMPUTED_VALUE"""),"")</f>
        <v/>
      </c>
      <c r="G12352" s="42" t="str">
        <f>IFERROR(__xludf.DUMMYFUNCTION("""COMPUTED_VALUE"""),"")</f>
        <v/>
      </c>
      <c r="H12352" s="42">
        <f t="shared" si="1"/>
        <v>3345</v>
      </c>
    </row>
    <row r="12353" ht="22.5" customHeight="1">
      <c r="B12353" s="42" t="str">
        <f>IFERROR(__xludf.DUMMYFUNCTION("""COMPUTED_VALUE"""),"")</f>
        <v/>
      </c>
      <c r="C12353" s="42" t="str">
        <f>IFERROR(__xludf.DUMMYFUNCTION("""COMPUTED_VALUE"""),"")</f>
        <v/>
      </c>
      <c r="D12353" s="42"/>
      <c r="E12353" s="42"/>
      <c r="F12353" s="48" t="str">
        <f>IFERROR(__xludf.DUMMYFUNCTION("""COMPUTED_VALUE"""),"")</f>
        <v/>
      </c>
      <c r="G12353" s="42" t="str">
        <f>IFERROR(__xludf.DUMMYFUNCTION("""COMPUTED_VALUE"""),"")</f>
        <v/>
      </c>
      <c r="H12353" s="42">
        <f t="shared" si="1"/>
        <v>3345</v>
      </c>
    </row>
    <row r="12354" ht="22.5" customHeight="1">
      <c r="B12354" s="42" t="str">
        <f>IFERROR(__xludf.DUMMYFUNCTION("""COMPUTED_VALUE"""),"")</f>
        <v/>
      </c>
      <c r="C12354" s="42" t="str">
        <f>IFERROR(__xludf.DUMMYFUNCTION("""COMPUTED_VALUE"""),"")</f>
        <v/>
      </c>
      <c r="D12354" s="42"/>
      <c r="E12354" s="42"/>
      <c r="F12354" s="48" t="str">
        <f>IFERROR(__xludf.DUMMYFUNCTION("""COMPUTED_VALUE"""),"")</f>
        <v/>
      </c>
      <c r="G12354" s="42" t="str">
        <f>IFERROR(__xludf.DUMMYFUNCTION("""COMPUTED_VALUE"""),"")</f>
        <v/>
      </c>
      <c r="H12354" s="42">
        <f t="shared" si="1"/>
        <v>3345</v>
      </c>
    </row>
    <row r="12355" ht="22.5" customHeight="1">
      <c r="B12355" s="42" t="str">
        <f>IFERROR(__xludf.DUMMYFUNCTION("""COMPUTED_VALUE"""),"")</f>
        <v/>
      </c>
      <c r="C12355" s="42" t="str">
        <f>IFERROR(__xludf.DUMMYFUNCTION("""COMPUTED_VALUE"""),"")</f>
        <v/>
      </c>
      <c r="D12355" s="42"/>
      <c r="E12355" s="42"/>
      <c r="F12355" s="48" t="str">
        <f>IFERROR(__xludf.DUMMYFUNCTION("""COMPUTED_VALUE"""),"")</f>
        <v/>
      </c>
      <c r="G12355" s="42" t="str">
        <f>IFERROR(__xludf.DUMMYFUNCTION("""COMPUTED_VALUE"""),"")</f>
        <v/>
      </c>
      <c r="H12355" s="42">
        <f t="shared" si="1"/>
        <v>3345</v>
      </c>
    </row>
    <row r="12356" ht="22.5" customHeight="1">
      <c r="B12356" s="42" t="str">
        <f>IFERROR(__xludf.DUMMYFUNCTION("""COMPUTED_VALUE"""),"")</f>
        <v/>
      </c>
      <c r="C12356" s="42" t="str">
        <f>IFERROR(__xludf.DUMMYFUNCTION("""COMPUTED_VALUE"""),"")</f>
        <v/>
      </c>
      <c r="D12356" s="42"/>
      <c r="E12356" s="42"/>
      <c r="F12356" s="48" t="str">
        <f>IFERROR(__xludf.DUMMYFUNCTION("""COMPUTED_VALUE"""),"")</f>
        <v/>
      </c>
      <c r="G12356" s="42" t="str">
        <f>IFERROR(__xludf.DUMMYFUNCTION("""COMPUTED_VALUE"""),"")</f>
        <v/>
      </c>
      <c r="H12356" s="42">
        <f t="shared" si="1"/>
        <v>3345</v>
      </c>
    </row>
    <row r="12357" ht="22.5" customHeight="1">
      <c r="B12357" s="42" t="str">
        <f>IFERROR(__xludf.DUMMYFUNCTION("""COMPUTED_VALUE"""),"")</f>
        <v/>
      </c>
      <c r="C12357" s="42" t="str">
        <f>IFERROR(__xludf.DUMMYFUNCTION("""COMPUTED_VALUE"""),"")</f>
        <v/>
      </c>
      <c r="D12357" s="42"/>
      <c r="E12357" s="42"/>
      <c r="F12357" s="48" t="str">
        <f>IFERROR(__xludf.DUMMYFUNCTION("""COMPUTED_VALUE"""),"")</f>
        <v/>
      </c>
      <c r="G12357" s="42" t="str">
        <f>IFERROR(__xludf.DUMMYFUNCTION("""COMPUTED_VALUE"""),"")</f>
        <v/>
      </c>
      <c r="H12357" s="42">
        <f t="shared" si="1"/>
        <v>3345</v>
      </c>
    </row>
    <row r="12358" ht="22.5" customHeight="1">
      <c r="B12358" s="42" t="str">
        <f>IFERROR(__xludf.DUMMYFUNCTION("""COMPUTED_VALUE"""),"")</f>
        <v/>
      </c>
      <c r="C12358" s="42" t="str">
        <f>IFERROR(__xludf.DUMMYFUNCTION("""COMPUTED_VALUE"""),"")</f>
        <v/>
      </c>
      <c r="D12358" s="42"/>
      <c r="E12358" s="42"/>
      <c r="F12358" s="48" t="str">
        <f>IFERROR(__xludf.DUMMYFUNCTION("""COMPUTED_VALUE"""),"")</f>
        <v/>
      </c>
      <c r="G12358" s="42" t="str">
        <f>IFERROR(__xludf.DUMMYFUNCTION("""COMPUTED_VALUE"""),"")</f>
        <v/>
      </c>
      <c r="H12358" s="42">
        <f t="shared" si="1"/>
        <v>3345</v>
      </c>
    </row>
    <row r="12359" ht="22.5" customHeight="1">
      <c r="B12359" s="42" t="str">
        <f>IFERROR(__xludf.DUMMYFUNCTION("""COMPUTED_VALUE"""),"")</f>
        <v/>
      </c>
      <c r="C12359" s="42" t="str">
        <f>IFERROR(__xludf.DUMMYFUNCTION("""COMPUTED_VALUE"""),"")</f>
        <v/>
      </c>
      <c r="D12359" s="42"/>
      <c r="E12359" s="42"/>
      <c r="F12359" s="48" t="str">
        <f>IFERROR(__xludf.DUMMYFUNCTION("""COMPUTED_VALUE"""),"")</f>
        <v/>
      </c>
      <c r="G12359" s="42" t="str">
        <f>IFERROR(__xludf.DUMMYFUNCTION("""COMPUTED_VALUE"""),"")</f>
        <v/>
      </c>
      <c r="H12359" s="42">
        <f t="shared" si="1"/>
        <v>3345</v>
      </c>
    </row>
    <row r="12360" ht="22.5" customHeight="1">
      <c r="B12360" s="42" t="str">
        <f>IFERROR(__xludf.DUMMYFUNCTION("""COMPUTED_VALUE"""),"")</f>
        <v/>
      </c>
      <c r="C12360" s="42" t="str">
        <f>IFERROR(__xludf.DUMMYFUNCTION("""COMPUTED_VALUE"""),"")</f>
        <v/>
      </c>
      <c r="D12360" s="42"/>
      <c r="E12360" s="42"/>
      <c r="F12360" s="48" t="str">
        <f>IFERROR(__xludf.DUMMYFUNCTION("""COMPUTED_VALUE"""),"")</f>
        <v/>
      </c>
      <c r="G12360" s="42" t="str">
        <f>IFERROR(__xludf.DUMMYFUNCTION("""COMPUTED_VALUE"""),"")</f>
        <v/>
      </c>
      <c r="H12360" s="42">
        <f t="shared" si="1"/>
        <v>3345</v>
      </c>
    </row>
    <row r="12361" ht="22.5" customHeight="1">
      <c r="B12361" s="42" t="str">
        <f>IFERROR(__xludf.DUMMYFUNCTION("""COMPUTED_VALUE"""),"")</f>
        <v/>
      </c>
      <c r="C12361" s="42" t="str">
        <f>IFERROR(__xludf.DUMMYFUNCTION("""COMPUTED_VALUE"""),"")</f>
        <v/>
      </c>
      <c r="D12361" s="42"/>
      <c r="E12361" s="42"/>
      <c r="F12361" s="48" t="str">
        <f>IFERROR(__xludf.DUMMYFUNCTION("""COMPUTED_VALUE"""),"")</f>
        <v/>
      </c>
      <c r="G12361" s="42" t="str">
        <f>IFERROR(__xludf.DUMMYFUNCTION("""COMPUTED_VALUE"""),"")</f>
        <v/>
      </c>
      <c r="H12361" s="42">
        <f t="shared" si="1"/>
        <v>3345</v>
      </c>
    </row>
    <row r="12362" ht="22.5" customHeight="1">
      <c r="B12362" s="42" t="str">
        <f>IFERROR(__xludf.DUMMYFUNCTION("""COMPUTED_VALUE"""),"")</f>
        <v/>
      </c>
      <c r="C12362" s="42" t="str">
        <f>IFERROR(__xludf.DUMMYFUNCTION("""COMPUTED_VALUE"""),"")</f>
        <v/>
      </c>
      <c r="D12362" s="42"/>
      <c r="E12362" s="42"/>
      <c r="F12362" s="48" t="str">
        <f>IFERROR(__xludf.DUMMYFUNCTION("""COMPUTED_VALUE"""),"")</f>
        <v/>
      </c>
      <c r="G12362" s="42" t="str">
        <f>IFERROR(__xludf.DUMMYFUNCTION("""COMPUTED_VALUE"""),"")</f>
        <v/>
      </c>
      <c r="H12362" s="42">
        <f t="shared" si="1"/>
        <v>3345</v>
      </c>
    </row>
    <row r="12363" ht="22.5" customHeight="1">
      <c r="B12363" s="42" t="str">
        <f>IFERROR(__xludf.DUMMYFUNCTION("""COMPUTED_VALUE"""),"")</f>
        <v/>
      </c>
      <c r="C12363" s="42" t="str">
        <f>IFERROR(__xludf.DUMMYFUNCTION("""COMPUTED_VALUE"""),"")</f>
        <v/>
      </c>
      <c r="D12363" s="42"/>
      <c r="E12363" s="42"/>
      <c r="F12363" s="48" t="str">
        <f>IFERROR(__xludf.DUMMYFUNCTION("""COMPUTED_VALUE"""),"")</f>
        <v/>
      </c>
      <c r="G12363" s="42" t="str">
        <f>IFERROR(__xludf.DUMMYFUNCTION("""COMPUTED_VALUE"""),"")</f>
        <v/>
      </c>
      <c r="H12363" s="42">
        <f t="shared" si="1"/>
        <v>3345</v>
      </c>
    </row>
    <row r="12364" ht="22.5" customHeight="1">
      <c r="B12364" s="42" t="str">
        <f>IFERROR(__xludf.DUMMYFUNCTION("""COMPUTED_VALUE"""),"")</f>
        <v/>
      </c>
      <c r="C12364" s="42" t="str">
        <f>IFERROR(__xludf.DUMMYFUNCTION("""COMPUTED_VALUE"""),"")</f>
        <v/>
      </c>
      <c r="D12364" s="42"/>
      <c r="E12364" s="42"/>
      <c r="F12364" s="48" t="str">
        <f>IFERROR(__xludf.DUMMYFUNCTION("""COMPUTED_VALUE"""),"")</f>
        <v/>
      </c>
      <c r="G12364" s="42" t="str">
        <f>IFERROR(__xludf.DUMMYFUNCTION("""COMPUTED_VALUE"""),"")</f>
        <v/>
      </c>
      <c r="H12364" s="42">
        <f t="shared" si="1"/>
        <v>3345</v>
      </c>
    </row>
    <row r="12365" ht="22.5" customHeight="1">
      <c r="B12365" s="42" t="str">
        <f>IFERROR(__xludf.DUMMYFUNCTION("""COMPUTED_VALUE"""),"")</f>
        <v/>
      </c>
      <c r="C12365" s="42" t="str">
        <f>IFERROR(__xludf.DUMMYFUNCTION("""COMPUTED_VALUE"""),"")</f>
        <v/>
      </c>
      <c r="D12365" s="42"/>
      <c r="E12365" s="42"/>
      <c r="F12365" s="48" t="str">
        <f>IFERROR(__xludf.DUMMYFUNCTION("""COMPUTED_VALUE"""),"")</f>
        <v/>
      </c>
      <c r="G12365" s="42" t="str">
        <f>IFERROR(__xludf.DUMMYFUNCTION("""COMPUTED_VALUE"""),"")</f>
        <v/>
      </c>
      <c r="H12365" s="42">
        <f t="shared" si="1"/>
        <v>3345</v>
      </c>
    </row>
    <row r="12366" ht="22.5" customHeight="1">
      <c r="B12366" s="42" t="str">
        <f>IFERROR(__xludf.DUMMYFUNCTION("""COMPUTED_VALUE"""),"")</f>
        <v/>
      </c>
      <c r="C12366" s="42" t="str">
        <f>IFERROR(__xludf.DUMMYFUNCTION("""COMPUTED_VALUE"""),"")</f>
        <v/>
      </c>
      <c r="D12366" s="42"/>
      <c r="E12366" s="42"/>
      <c r="F12366" s="48" t="str">
        <f>IFERROR(__xludf.DUMMYFUNCTION("""COMPUTED_VALUE"""),"")</f>
        <v/>
      </c>
      <c r="G12366" s="42" t="str">
        <f>IFERROR(__xludf.DUMMYFUNCTION("""COMPUTED_VALUE"""),"")</f>
        <v/>
      </c>
      <c r="H12366" s="42">
        <f t="shared" si="1"/>
        <v>3345</v>
      </c>
    </row>
    <row r="12367" ht="22.5" customHeight="1">
      <c r="B12367" s="42" t="str">
        <f>IFERROR(__xludf.DUMMYFUNCTION("""COMPUTED_VALUE"""),"")</f>
        <v/>
      </c>
      <c r="C12367" s="42" t="str">
        <f>IFERROR(__xludf.DUMMYFUNCTION("""COMPUTED_VALUE"""),"")</f>
        <v/>
      </c>
      <c r="D12367" s="42"/>
      <c r="E12367" s="42"/>
      <c r="F12367" s="48" t="str">
        <f>IFERROR(__xludf.DUMMYFUNCTION("""COMPUTED_VALUE"""),"")</f>
        <v/>
      </c>
      <c r="G12367" s="42" t="str">
        <f>IFERROR(__xludf.DUMMYFUNCTION("""COMPUTED_VALUE"""),"")</f>
        <v/>
      </c>
      <c r="H12367" s="42">
        <f t="shared" si="1"/>
        <v>3345</v>
      </c>
    </row>
    <row r="12368" ht="22.5" customHeight="1">
      <c r="B12368" s="42" t="str">
        <f>IFERROR(__xludf.DUMMYFUNCTION("""COMPUTED_VALUE"""),"")</f>
        <v/>
      </c>
      <c r="C12368" s="42" t="str">
        <f>IFERROR(__xludf.DUMMYFUNCTION("""COMPUTED_VALUE"""),"")</f>
        <v/>
      </c>
      <c r="D12368" s="42"/>
      <c r="E12368" s="42"/>
      <c r="F12368" s="48" t="str">
        <f>IFERROR(__xludf.DUMMYFUNCTION("""COMPUTED_VALUE"""),"")</f>
        <v/>
      </c>
      <c r="G12368" s="42" t="str">
        <f>IFERROR(__xludf.DUMMYFUNCTION("""COMPUTED_VALUE"""),"")</f>
        <v/>
      </c>
      <c r="H12368" s="42">
        <f t="shared" si="1"/>
        <v>3345</v>
      </c>
    </row>
    <row r="12369" ht="22.5" customHeight="1">
      <c r="B12369" s="42" t="str">
        <f>IFERROR(__xludf.DUMMYFUNCTION("""COMPUTED_VALUE"""),"")</f>
        <v/>
      </c>
      <c r="C12369" s="42" t="str">
        <f>IFERROR(__xludf.DUMMYFUNCTION("""COMPUTED_VALUE"""),"")</f>
        <v/>
      </c>
      <c r="D12369" s="42"/>
      <c r="E12369" s="42"/>
      <c r="F12369" s="48" t="str">
        <f>IFERROR(__xludf.DUMMYFUNCTION("""COMPUTED_VALUE"""),"")</f>
        <v/>
      </c>
      <c r="G12369" s="42" t="str">
        <f>IFERROR(__xludf.DUMMYFUNCTION("""COMPUTED_VALUE"""),"")</f>
        <v/>
      </c>
      <c r="H12369" s="42">
        <f t="shared" si="1"/>
        <v>3345</v>
      </c>
    </row>
    <row r="12370" ht="22.5" customHeight="1">
      <c r="B12370" s="42" t="str">
        <f>IFERROR(__xludf.DUMMYFUNCTION("""COMPUTED_VALUE"""),"")</f>
        <v/>
      </c>
      <c r="C12370" s="42" t="str">
        <f>IFERROR(__xludf.DUMMYFUNCTION("""COMPUTED_VALUE"""),"")</f>
        <v/>
      </c>
      <c r="D12370" s="42"/>
      <c r="E12370" s="42"/>
      <c r="F12370" s="48" t="str">
        <f>IFERROR(__xludf.DUMMYFUNCTION("""COMPUTED_VALUE"""),"")</f>
        <v/>
      </c>
      <c r="G12370" s="42" t="str">
        <f>IFERROR(__xludf.DUMMYFUNCTION("""COMPUTED_VALUE"""),"")</f>
        <v/>
      </c>
      <c r="H12370" s="42">
        <f t="shared" si="1"/>
        <v>3345</v>
      </c>
    </row>
    <row r="12371" ht="22.5" customHeight="1">
      <c r="B12371" s="42" t="str">
        <f>IFERROR(__xludf.DUMMYFUNCTION("""COMPUTED_VALUE"""),"")</f>
        <v/>
      </c>
      <c r="C12371" s="42" t="str">
        <f>IFERROR(__xludf.DUMMYFUNCTION("""COMPUTED_VALUE"""),"")</f>
        <v/>
      </c>
      <c r="D12371" s="42"/>
      <c r="E12371" s="42"/>
      <c r="F12371" s="48" t="str">
        <f>IFERROR(__xludf.DUMMYFUNCTION("""COMPUTED_VALUE"""),"")</f>
        <v/>
      </c>
      <c r="G12371" s="42" t="str">
        <f>IFERROR(__xludf.DUMMYFUNCTION("""COMPUTED_VALUE"""),"")</f>
        <v/>
      </c>
      <c r="H12371" s="42">
        <f t="shared" si="1"/>
        <v>3345</v>
      </c>
    </row>
    <row r="12372" ht="22.5" customHeight="1">
      <c r="B12372" s="42" t="str">
        <f>IFERROR(__xludf.DUMMYFUNCTION("""COMPUTED_VALUE"""),"")</f>
        <v/>
      </c>
      <c r="C12372" s="42" t="str">
        <f>IFERROR(__xludf.DUMMYFUNCTION("""COMPUTED_VALUE"""),"")</f>
        <v/>
      </c>
      <c r="D12372" s="42"/>
      <c r="E12372" s="42"/>
      <c r="F12372" s="48" t="str">
        <f>IFERROR(__xludf.DUMMYFUNCTION("""COMPUTED_VALUE"""),"")</f>
        <v/>
      </c>
      <c r="G12372" s="42" t="str">
        <f>IFERROR(__xludf.DUMMYFUNCTION("""COMPUTED_VALUE"""),"")</f>
        <v/>
      </c>
      <c r="H12372" s="42">
        <f t="shared" si="1"/>
        <v>3345</v>
      </c>
    </row>
    <row r="12373" ht="22.5" customHeight="1">
      <c r="B12373" s="42" t="str">
        <f>IFERROR(__xludf.DUMMYFUNCTION("""COMPUTED_VALUE"""),"")</f>
        <v/>
      </c>
      <c r="C12373" s="42" t="str">
        <f>IFERROR(__xludf.DUMMYFUNCTION("""COMPUTED_VALUE"""),"")</f>
        <v/>
      </c>
      <c r="D12373" s="42"/>
      <c r="E12373" s="42"/>
      <c r="F12373" s="48" t="str">
        <f>IFERROR(__xludf.DUMMYFUNCTION("""COMPUTED_VALUE"""),"")</f>
        <v/>
      </c>
      <c r="G12373" s="42" t="str">
        <f>IFERROR(__xludf.DUMMYFUNCTION("""COMPUTED_VALUE"""),"")</f>
        <v/>
      </c>
      <c r="H12373" s="42">
        <f t="shared" si="1"/>
        <v>3345</v>
      </c>
    </row>
    <row r="12374" ht="22.5" customHeight="1">
      <c r="B12374" s="42" t="str">
        <f>IFERROR(__xludf.DUMMYFUNCTION("""COMPUTED_VALUE"""),"")</f>
        <v/>
      </c>
      <c r="C12374" s="42" t="str">
        <f>IFERROR(__xludf.DUMMYFUNCTION("""COMPUTED_VALUE"""),"")</f>
        <v/>
      </c>
      <c r="D12374" s="42"/>
      <c r="E12374" s="42"/>
      <c r="F12374" s="48" t="str">
        <f>IFERROR(__xludf.DUMMYFUNCTION("""COMPUTED_VALUE"""),"")</f>
        <v/>
      </c>
      <c r="G12374" s="42" t="str">
        <f>IFERROR(__xludf.DUMMYFUNCTION("""COMPUTED_VALUE"""),"")</f>
        <v/>
      </c>
      <c r="H12374" s="42">
        <f t="shared" si="1"/>
        <v>3345</v>
      </c>
    </row>
    <row r="12375" ht="22.5" customHeight="1">
      <c r="B12375" s="42" t="str">
        <f>IFERROR(__xludf.DUMMYFUNCTION("""COMPUTED_VALUE"""),"")</f>
        <v/>
      </c>
      <c r="C12375" s="42" t="str">
        <f>IFERROR(__xludf.DUMMYFUNCTION("""COMPUTED_VALUE"""),"")</f>
        <v/>
      </c>
      <c r="D12375" s="42"/>
      <c r="E12375" s="42"/>
      <c r="F12375" s="48" t="str">
        <f>IFERROR(__xludf.DUMMYFUNCTION("""COMPUTED_VALUE"""),"")</f>
        <v/>
      </c>
      <c r="G12375" s="42" t="str">
        <f>IFERROR(__xludf.DUMMYFUNCTION("""COMPUTED_VALUE"""),"")</f>
        <v/>
      </c>
      <c r="H12375" s="42">
        <f t="shared" si="1"/>
        <v>3345</v>
      </c>
    </row>
    <row r="12376" ht="22.5" customHeight="1">
      <c r="B12376" s="42" t="str">
        <f>IFERROR(__xludf.DUMMYFUNCTION("""COMPUTED_VALUE"""),"")</f>
        <v/>
      </c>
      <c r="C12376" s="42" t="str">
        <f>IFERROR(__xludf.DUMMYFUNCTION("""COMPUTED_VALUE"""),"")</f>
        <v/>
      </c>
      <c r="D12376" s="42"/>
      <c r="E12376" s="42"/>
      <c r="F12376" s="48" t="str">
        <f>IFERROR(__xludf.DUMMYFUNCTION("""COMPUTED_VALUE"""),"")</f>
        <v/>
      </c>
      <c r="G12376" s="42" t="str">
        <f>IFERROR(__xludf.DUMMYFUNCTION("""COMPUTED_VALUE"""),"")</f>
        <v/>
      </c>
      <c r="H12376" s="42">
        <f t="shared" si="1"/>
        <v>3345</v>
      </c>
    </row>
    <row r="12377" ht="22.5" customHeight="1">
      <c r="B12377" s="42" t="str">
        <f>IFERROR(__xludf.DUMMYFUNCTION("""COMPUTED_VALUE"""),"")</f>
        <v/>
      </c>
      <c r="C12377" s="42" t="str">
        <f>IFERROR(__xludf.DUMMYFUNCTION("""COMPUTED_VALUE"""),"")</f>
        <v/>
      </c>
      <c r="D12377" s="42"/>
      <c r="E12377" s="42"/>
      <c r="F12377" s="48" t="str">
        <f>IFERROR(__xludf.DUMMYFUNCTION("""COMPUTED_VALUE"""),"")</f>
        <v/>
      </c>
      <c r="G12377" s="42" t="str">
        <f>IFERROR(__xludf.DUMMYFUNCTION("""COMPUTED_VALUE"""),"")</f>
        <v/>
      </c>
      <c r="H12377" s="42">
        <f t="shared" si="1"/>
        <v>3345</v>
      </c>
    </row>
    <row r="12378" ht="22.5" customHeight="1">
      <c r="B12378" s="42" t="str">
        <f>IFERROR(__xludf.DUMMYFUNCTION("""COMPUTED_VALUE"""),"")</f>
        <v/>
      </c>
      <c r="C12378" s="42" t="str">
        <f>IFERROR(__xludf.DUMMYFUNCTION("""COMPUTED_VALUE"""),"")</f>
        <v/>
      </c>
      <c r="D12378" s="42"/>
      <c r="E12378" s="42"/>
      <c r="F12378" s="48" t="str">
        <f>IFERROR(__xludf.DUMMYFUNCTION("""COMPUTED_VALUE"""),"")</f>
        <v/>
      </c>
      <c r="G12378" s="42" t="str">
        <f>IFERROR(__xludf.DUMMYFUNCTION("""COMPUTED_VALUE"""),"")</f>
        <v/>
      </c>
      <c r="H12378" s="42">
        <f t="shared" si="1"/>
        <v>3345</v>
      </c>
    </row>
    <row r="12379" ht="22.5" customHeight="1">
      <c r="B12379" s="42" t="str">
        <f>IFERROR(__xludf.DUMMYFUNCTION("""COMPUTED_VALUE"""),"")</f>
        <v/>
      </c>
      <c r="C12379" s="42" t="str">
        <f>IFERROR(__xludf.DUMMYFUNCTION("""COMPUTED_VALUE"""),"")</f>
        <v/>
      </c>
      <c r="D12379" s="42"/>
      <c r="E12379" s="42"/>
      <c r="F12379" s="48" t="str">
        <f>IFERROR(__xludf.DUMMYFUNCTION("""COMPUTED_VALUE"""),"")</f>
        <v/>
      </c>
      <c r="G12379" s="42" t="str">
        <f>IFERROR(__xludf.DUMMYFUNCTION("""COMPUTED_VALUE"""),"")</f>
        <v/>
      </c>
      <c r="H12379" s="42">
        <f t="shared" si="1"/>
        <v>3345</v>
      </c>
    </row>
    <row r="12380" ht="22.5" customHeight="1">
      <c r="B12380" s="42" t="str">
        <f>IFERROR(__xludf.DUMMYFUNCTION("""COMPUTED_VALUE"""),"")</f>
        <v/>
      </c>
      <c r="C12380" s="42" t="str">
        <f>IFERROR(__xludf.DUMMYFUNCTION("""COMPUTED_VALUE"""),"")</f>
        <v/>
      </c>
      <c r="D12380" s="42"/>
      <c r="E12380" s="42"/>
      <c r="F12380" s="48" t="str">
        <f>IFERROR(__xludf.DUMMYFUNCTION("""COMPUTED_VALUE"""),"")</f>
        <v/>
      </c>
      <c r="G12380" s="42" t="str">
        <f>IFERROR(__xludf.DUMMYFUNCTION("""COMPUTED_VALUE"""),"")</f>
        <v/>
      </c>
      <c r="H12380" s="42">
        <f t="shared" si="1"/>
        <v>3345</v>
      </c>
    </row>
    <row r="12381" ht="22.5" customHeight="1">
      <c r="B12381" s="42" t="str">
        <f>IFERROR(__xludf.DUMMYFUNCTION("""COMPUTED_VALUE"""),"")</f>
        <v/>
      </c>
      <c r="C12381" s="42" t="str">
        <f>IFERROR(__xludf.DUMMYFUNCTION("""COMPUTED_VALUE"""),"")</f>
        <v/>
      </c>
      <c r="D12381" s="42"/>
      <c r="E12381" s="42"/>
      <c r="F12381" s="48" t="str">
        <f>IFERROR(__xludf.DUMMYFUNCTION("""COMPUTED_VALUE"""),"")</f>
        <v/>
      </c>
      <c r="G12381" s="42" t="str">
        <f>IFERROR(__xludf.DUMMYFUNCTION("""COMPUTED_VALUE"""),"")</f>
        <v/>
      </c>
      <c r="H12381" s="42">
        <f t="shared" si="1"/>
        <v>3345</v>
      </c>
    </row>
    <row r="12382" ht="22.5" customHeight="1">
      <c r="B12382" s="42" t="str">
        <f>IFERROR(__xludf.DUMMYFUNCTION("""COMPUTED_VALUE"""),"")</f>
        <v/>
      </c>
      <c r="C12382" s="42" t="str">
        <f>IFERROR(__xludf.DUMMYFUNCTION("""COMPUTED_VALUE"""),"")</f>
        <v/>
      </c>
      <c r="D12382" s="42"/>
      <c r="E12382" s="42"/>
      <c r="F12382" s="48" t="str">
        <f>IFERROR(__xludf.DUMMYFUNCTION("""COMPUTED_VALUE"""),"")</f>
        <v/>
      </c>
      <c r="G12382" s="42" t="str">
        <f>IFERROR(__xludf.DUMMYFUNCTION("""COMPUTED_VALUE"""),"")</f>
        <v/>
      </c>
      <c r="H12382" s="42">
        <f t="shared" si="1"/>
        <v>3345</v>
      </c>
    </row>
    <row r="12383" ht="22.5" customHeight="1">
      <c r="B12383" s="42" t="str">
        <f>IFERROR(__xludf.DUMMYFUNCTION("""COMPUTED_VALUE"""),"")</f>
        <v/>
      </c>
      <c r="C12383" s="42" t="str">
        <f>IFERROR(__xludf.DUMMYFUNCTION("""COMPUTED_VALUE"""),"")</f>
        <v/>
      </c>
      <c r="D12383" s="42"/>
      <c r="E12383" s="42"/>
      <c r="F12383" s="48" t="str">
        <f>IFERROR(__xludf.DUMMYFUNCTION("""COMPUTED_VALUE"""),"")</f>
        <v/>
      </c>
      <c r="G12383" s="42" t="str">
        <f>IFERROR(__xludf.DUMMYFUNCTION("""COMPUTED_VALUE"""),"")</f>
        <v/>
      </c>
      <c r="H12383" s="42">
        <f t="shared" si="1"/>
        <v>3345</v>
      </c>
    </row>
    <row r="12384" ht="22.5" customHeight="1">
      <c r="B12384" s="42" t="str">
        <f>IFERROR(__xludf.DUMMYFUNCTION("""COMPUTED_VALUE"""),"")</f>
        <v/>
      </c>
      <c r="C12384" s="42" t="str">
        <f>IFERROR(__xludf.DUMMYFUNCTION("""COMPUTED_VALUE"""),"")</f>
        <v/>
      </c>
      <c r="D12384" s="42"/>
      <c r="E12384" s="42"/>
      <c r="F12384" s="48" t="str">
        <f>IFERROR(__xludf.DUMMYFUNCTION("""COMPUTED_VALUE"""),"")</f>
        <v/>
      </c>
      <c r="G12384" s="42" t="str">
        <f>IFERROR(__xludf.DUMMYFUNCTION("""COMPUTED_VALUE"""),"")</f>
        <v/>
      </c>
      <c r="H12384" s="42">
        <f t="shared" si="1"/>
        <v>3345</v>
      </c>
    </row>
    <row r="12385" ht="22.5" customHeight="1">
      <c r="B12385" s="42" t="str">
        <f>IFERROR(__xludf.DUMMYFUNCTION("""COMPUTED_VALUE"""),"")</f>
        <v/>
      </c>
      <c r="C12385" s="42" t="str">
        <f>IFERROR(__xludf.DUMMYFUNCTION("""COMPUTED_VALUE"""),"")</f>
        <v/>
      </c>
      <c r="D12385" s="42"/>
      <c r="E12385" s="42"/>
      <c r="F12385" s="48" t="str">
        <f>IFERROR(__xludf.DUMMYFUNCTION("""COMPUTED_VALUE"""),"")</f>
        <v/>
      </c>
      <c r="G12385" s="42" t="str">
        <f>IFERROR(__xludf.DUMMYFUNCTION("""COMPUTED_VALUE"""),"")</f>
        <v/>
      </c>
      <c r="H12385" s="42">
        <f t="shared" si="1"/>
        <v>3345</v>
      </c>
    </row>
    <row r="12386" ht="22.5" customHeight="1">
      <c r="B12386" s="42" t="str">
        <f>IFERROR(__xludf.DUMMYFUNCTION("""COMPUTED_VALUE"""),"")</f>
        <v/>
      </c>
      <c r="C12386" s="42" t="str">
        <f>IFERROR(__xludf.DUMMYFUNCTION("""COMPUTED_VALUE"""),"")</f>
        <v/>
      </c>
      <c r="D12386" s="42"/>
      <c r="E12386" s="42"/>
      <c r="F12386" s="48" t="str">
        <f>IFERROR(__xludf.DUMMYFUNCTION("""COMPUTED_VALUE"""),"")</f>
        <v/>
      </c>
      <c r="G12386" s="42" t="str">
        <f>IFERROR(__xludf.DUMMYFUNCTION("""COMPUTED_VALUE"""),"")</f>
        <v/>
      </c>
      <c r="H12386" s="42">
        <f t="shared" si="1"/>
        <v>3345</v>
      </c>
    </row>
    <row r="12387" ht="22.5" customHeight="1">
      <c r="B12387" s="42" t="str">
        <f>IFERROR(__xludf.DUMMYFUNCTION("""COMPUTED_VALUE"""),"")</f>
        <v/>
      </c>
      <c r="C12387" s="42" t="str">
        <f>IFERROR(__xludf.DUMMYFUNCTION("""COMPUTED_VALUE"""),"")</f>
        <v/>
      </c>
      <c r="D12387" s="42"/>
      <c r="E12387" s="42"/>
      <c r="F12387" s="48" t="str">
        <f>IFERROR(__xludf.DUMMYFUNCTION("""COMPUTED_VALUE"""),"")</f>
        <v/>
      </c>
      <c r="G12387" s="42" t="str">
        <f>IFERROR(__xludf.DUMMYFUNCTION("""COMPUTED_VALUE"""),"")</f>
        <v/>
      </c>
      <c r="H12387" s="42">
        <f t="shared" si="1"/>
        <v>3345</v>
      </c>
    </row>
    <row r="12388" ht="22.5" customHeight="1">
      <c r="B12388" s="42" t="str">
        <f>IFERROR(__xludf.DUMMYFUNCTION("""COMPUTED_VALUE"""),"")</f>
        <v/>
      </c>
      <c r="C12388" s="42" t="str">
        <f>IFERROR(__xludf.DUMMYFUNCTION("""COMPUTED_VALUE"""),"")</f>
        <v/>
      </c>
      <c r="D12388" s="42"/>
      <c r="E12388" s="42"/>
      <c r="F12388" s="48" t="str">
        <f>IFERROR(__xludf.DUMMYFUNCTION("""COMPUTED_VALUE"""),"")</f>
        <v/>
      </c>
      <c r="G12388" s="42" t="str">
        <f>IFERROR(__xludf.DUMMYFUNCTION("""COMPUTED_VALUE"""),"")</f>
        <v/>
      </c>
      <c r="H12388" s="42">
        <f t="shared" si="1"/>
        <v>3345</v>
      </c>
    </row>
    <row r="12389" ht="22.5" customHeight="1">
      <c r="B12389" s="42" t="str">
        <f>IFERROR(__xludf.DUMMYFUNCTION("""COMPUTED_VALUE"""),"")</f>
        <v/>
      </c>
      <c r="C12389" s="42" t="str">
        <f>IFERROR(__xludf.DUMMYFUNCTION("""COMPUTED_VALUE"""),"")</f>
        <v/>
      </c>
      <c r="D12389" s="42"/>
      <c r="E12389" s="42"/>
      <c r="F12389" s="48" t="str">
        <f>IFERROR(__xludf.DUMMYFUNCTION("""COMPUTED_VALUE"""),"")</f>
        <v/>
      </c>
      <c r="G12389" s="42" t="str">
        <f>IFERROR(__xludf.DUMMYFUNCTION("""COMPUTED_VALUE"""),"")</f>
        <v/>
      </c>
      <c r="H12389" s="42">
        <f t="shared" si="1"/>
        <v>3345</v>
      </c>
    </row>
    <row r="12390" ht="22.5" customHeight="1">
      <c r="B12390" s="42" t="str">
        <f>IFERROR(__xludf.DUMMYFUNCTION("""COMPUTED_VALUE"""),"")</f>
        <v/>
      </c>
      <c r="C12390" s="42" t="str">
        <f>IFERROR(__xludf.DUMMYFUNCTION("""COMPUTED_VALUE"""),"")</f>
        <v/>
      </c>
      <c r="D12390" s="42"/>
      <c r="E12390" s="42"/>
      <c r="F12390" s="48" t="str">
        <f>IFERROR(__xludf.DUMMYFUNCTION("""COMPUTED_VALUE"""),"")</f>
        <v/>
      </c>
      <c r="G12390" s="42" t="str">
        <f>IFERROR(__xludf.DUMMYFUNCTION("""COMPUTED_VALUE"""),"")</f>
        <v/>
      </c>
      <c r="H12390" s="42">
        <f t="shared" si="1"/>
        <v>3345</v>
      </c>
    </row>
    <row r="12391" ht="22.5" customHeight="1">
      <c r="B12391" s="42" t="str">
        <f>IFERROR(__xludf.DUMMYFUNCTION("""COMPUTED_VALUE"""),"")</f>
        <v/>
      </c>
      <c r="C12391" s="42" t="str">
        <f>IFERROR(__xludf.DUMMYFUNCTION("""COMPUTED_VALUE"""),"")</f>
        <v/>
      </c>
      <c r="D12391" s="42"/>
      <c r="E12391" s="42"/>
      <c r="F12391" s="48" t="str">
        <f>IFERROR(__xludf.DUMMYFUNCTION("""COMPUTED_VALUE"""),"")</f>
        <v/>
      </c>
      <c r="G12391" s="42" t="str">
        <f>IFERROR(__xludf.DUMMYFUNCTION("""COMPUTED_VALUE"""),"")</f>
        <v/>
      </c>
      <c r="H12391" s="42">
        <f t="shared" si="1"/>
        <v>3345</v>
      </c>
    </row>
    <row r="12392" ht="22.5" customHeight="1">
      <c r="B12392" s="42" t="str">
        <f>IFERROR(__xludf.DUMMYFUNCTION("""COMPUTED_VALUE"""),"")</f>
        <v/>
      </c>
      <c r="C12392" s="42" t="str">
        <f>IFERROR(__xludf.DUMMYFUNCTION("""COMPUTED_VALUE"""),"")</f>
        <v/>
      </c>
      <c r="D12392" s="42"/>
      <c r="E12392" s="42"/>
      <c r="F12392" s="48" t="str">
        <f>IFERROR(__xludf.DUMMYFUNCTION("""COMPUTED_VALUE"""),"")</f>
        <v/>
      </c>
      <c r="G12392" s="42" t="str">
        <f>IFERROR(__xludf.DUMMYFUNCTION("""COMPUTED_VALUE"""),"")</f>
        <v/>
      </c>
      <c r="H12392" s="42">
        <f t="shared" si="1"/>
        <v>3345</v>
      </c>
    </row>
    <row r="12393" ht="22.5" customHeight="1">
      <c r="B12393" s="42" t="str">
        <f>IFERROR(__xludf.DUMMYFUNCTION("""COMPUTED_VALUE"""),"")</f>
        <v/>
      </c>
      <c r="C12393" s="42" t="str">
        <f>IFERROR(__xludf.DUMMYFUNCTION("""COMPUTED_VALUE"""),"")</f>
        <v/>
      </c>
      <c r="D12393" s="42"/>
      <c r="E12393" s="42"/>
      <c r="F12393" s="48" t="str">
        <f>IFERROR(__xludf.DUMMYFUNCTION("""COMPUTED_VALUE"""),"")</f>
        <v/>
      </c>
      <c r="G12393" s="42" t="str">
        <f>IFERROR(__xludf.DUMMYFUNCTION("""COMPUTED_VALUE"""),"")</f>
        <v/>
      </c>
      <c r="H12393" s="42">
        <f t="shared" si="1"/>
        <v>3345</v>
      </c>
    </row>
    <row r="12394" ht="22.5" customHeight="1">
      <c r="B12394" s="42" t="str">
        <f>IFERROR(__xludf.DUMMYFUNCTION("""COMPUTED_VALUE"""),"")</f>
        <v/>
      </c>
      <c r="C12394" s="42" t="str">
        <f>IFERROR(__xludf.DUMMYFUNCTION("""COMPUTED_VALUE"""),"")</f>
        <v/>
      </c>
      <c r="D12394" s="42"/>
      <c r="E12394" s="42"/>
      <c r="F12394" s="48" t="str">
        <f>IFERROR(__xludf.DUMMYFUNCTION("""COMPUTED_VALUE"""),"")</f>
        <v/>
      </c>
      <c r="G12394" s="42" t="str">
        <f>IFERROR(__xludf.DUMMYFUNCTION("""COMPUTED_VALUE"""),"")</f>
        <v/>
      </c>
      <c r="H12394" s="42">
        <f t="shared" si="1"/>
        <v>3345</v>
      </c>
    </row>
    <row r="12395" ht="22.5" customHeight="1">
      <c r="B12395" s="42" t="str">
        <f>IFERROR(__xludf.DUMMYFUNCTION("""COMPUTED_VALUE"""),"")</f>
        <v/>
      </c>
      <c r="C12395" s="42" t="str">
        <f>IFERROR(__xludf.DUMMYFUNCTION("""COMPUTED_VALUE"""),"")</f>
        <v/>
      </c>
      <c r="D12395" s="42"/>
      <c r="E12395" s="42"/>
      <c r="F12395" s="48" t="str">
        <f>IFERROR(__xludf.DUMMYFUNCTION("""COMPUTED_VALUE"""),"")</f>
        <v/>
      </c>
      <c r="G12395" s="42" t="str">
        <f>IFERROR(__xludf.DUMMYFUNCTION("""COMPUTED_VALUE"""),"")</f>
        <v/>
      </c>
      <c r="H12395" s="42">
        <f t="shared" si="1"/>
        <v>3345</v>
      </c>
    </row>
    <row r="12396" ht="22.5" customHeight="1">
      <c r="B12396" s="42" t="str">
        <f>IFERROR(__xludf.DUMMYFUNCTION("""COMPUTED_VALUE"""),"")</f>
        <v/>
      </c>
      <c r="C12396" s="42" t="str">
        <f>IFERROR(__xludf.DUMMYFUNCTION("""COMPUTED_VALUE"""),"")</f>
        <v/>
      </c>
      <c r="D12396" s="42"/>
      <c r="E12396" s="42"/>
      <c r="F12396" s="48" t="str">
        <f>IFERROR(__xludf.DUMMYFUNCTION("""COMPUTED_VALUE"""),"")</f>
        <v/>
      </c>
      <c r="G12396" s="42" t="str">
        <f>IFERROR(__xludf.DUMMYFUNCTION("""COMPUTED_VALUE"""),"")</f>
        <v/>
      </c>
      <c r="H12396" s="42">
        <f t="shared" si="1"/>
        <v>3345</v>
      </c>
    </row>
    <row r="12397" ht="22.5" customHeight="1">
      <c r="B12397" s="42" t="str">
        <f>IFERROR(__xludf.DUMMYFUNCTION("""COMPUTED_VALUE"""),"")</f>
        <v/>
      </c>
      <c r="C12397" s="42" t="str">
        <f>IFERROR(__xludf.DUMMYFUNCTION("""COMPUTED_VALUE"""),"")</f>
        <v/>
      </c>
      <c r="D12397" s="42"/>
      <c r="E12397" s="42"/>
      <c r="F12397" s="48" t="str">
        <f>IFERROR(__xludf.DUMMYFUNCTION("""COMPUTED_VALUE"""),"")</f>
        <v/>
      </c>
      <c r="G12397" s="42" t="str">
        <f>IFERROR(__xludf.DUMMYFUNCTION("""COMPUTED_VALUE"""),"")</f>
        <v/>
      </c>
      <c r="H12397" s="42">
        <f t="shared" si="1"/>
        <v>3345</v>
      </c>
    </row>
    <row r="12398" ht="22.5" customHeight="1">
      <c r="B12398" s="42" t="str">
        <f>IFERROR(__xludf.DUMMYFUNCTION("""COMPUTED_VALUE"""),"")</f>
        <v/>
      </c>
      <c r="C12398" s="42" t="str">
        <f>IFERROR(__xludf.DUMMYFUNCTION("""COMPUTED_VALUE"""),"")</f>
        <v/>
      </c>
      <c r="D12398" s="42"/>
      <c r="E12398" s="42"/>
      <c r="F12398" s="48" t="str">
        <f>IFERROR(__xludf.DUMMYFUNCTION("""COMPUTED_VALUE"""),"")</f>
        <v/>
      </c>
      <c r="G12398" s="42" t="str">
        <f>IFERROR(__xludf.DUMMYFUNCTION("""COMPUTED_VALUE"""),"")</f>
        <v/>
      </c>
      <c r="H12398" s="42">
        <f t="shared" si="1"/>
        <v>3345</v>
      </c>
    </row>
    <row r="12399" ht="22.5" customHeight="1">
      <c r="B12399" s="42" t="str">
        <f>IFERROR(__xludf.DUMMYFUNCTION("""COMPUTED_VALUE"""),"")</f>
        <v/>
      </c>
      <c r="C12399" s="42" t="str">
        <f>IFERROR(__xludf.DUMMYFUNCTION("""COMPUTED_VALUE"""),"")</f>
        <v/>
      </c>
      <c r="D12399" s="42"/>
      <c r="E12399" s="42"/>
      <c r="F12399" s="48" t="str">
        <f>IFERROR(__xludf.DUMMYFUNCTION("""COMPUTED_VALUE"""),"")</f>
        <v/>
      </c>
      <c r="G12399" s="42" t="str">
        <f>IFERROR(__xludf.DUMMYFUNCTION("""COMPUTED_VALUE"""),"")</f>
        <v/>
      </c>
      <c r="H12399" s="42">
        <f t="shared" si="1"/>
        <v>3345</v>
      </c>
    </row>
    <row r="12400" ht="22.5" customHeight="1">
      <c r="B12400" s="42" t="str">
        <f>IFERROR(__xludf.DUMMYFUNCTION("""COMPUTED_VALUE"""),"")</f>
        <v/>
      </c>
      <c r="C12400" s="42" t="str">
        <f>IFERROR(__xludf.DUMMYFUNCTION("""COMPUTED_VALUE"""),"")</f>
        <v/>
      </c>
      <c r="D12400" s="42"/>
      <c r="E12400" s="42"/>
      <c r="F12400" s="48" t="str">
        <f>IFERROR(__xludf.DUMMYFUNCTION("""COMPUTED_VALUE"""),"")</f>
        <v/>
      </c>
      <c r="G12400" s="42" t="str">
        <f>IFERROR(__xludf.DUMMYFUNCTION("""COMPUTED_VALUE"""),"")</f>
        <v/>
      </c>
      <c r="H12400" s="42">
        <f t="shared" si="1"/>
        <v>3345</v>
      </c>
    </row>
    <row r="12401" ht="22.5" customHeight="1">
      <c r="B12401" s="42" t="str">
        <f>IFERROR(__xludf.DUMMYFUNCTION("""COMPUTED_VALUE"""),"")</f>
        <v/>
      </c>
      <c r="C12401" s="42" t="str">
        <f>IFERROR(__xludf.DUMMYFUNCTION("""COMPUTED_VALUE"""),"")</f>
        <v/>
      </c>
      <c r="D12401" s="42"/>
      <c r="E12401" s="42"/>
      <c r="F12401" s="48" t="str">
        <f>IFERROR(__xludf.DUMMYFUNCTION("""COMPUTED_VALUE"""),"")</f>
        <v/>
      </c>
      <c r="G12401" s="42" t="str">
        <f>IFERROR(__xludf.DUMMYFUNCTION("""COMPUTED_VALUE"""),"")</f>
        <v/>
      </c>
      <c r="H12401" s="42">
        <f t="shared" si="1"/>
        <v>3345</v>
      </c>
    </row>
    <row r="12402" ht="22.5" customHeight="1">
      <c r="B12402" s="42" t="str">
        <f>IFERROR(__xludf.DUMMYFUNCTION("""COMPUTED_VALUE"""),"")</f>
        <v/>
      </c>
      <c r="C12402" s="42" t="str">
        <f>IFERROR(__xludf.DUMMYFUNCTION("""COMPUTED_VALUE"""),"")</f>
        <v/>
      </c>
      <c r="D12402" s="42"/>
      <c r="E12402" s="42"/>
      <c r="F12402" s="48" t="str">
        <f>IFERROR(__xludf.DUMMYFUNCTION("""COMPUTED_VALUE"""),"")</f>
        <v/>
      </c>
      <c r="G12402" s="42" t="str">
        <f>IFERROR(__xludf.DUMMYFUNCTION("""COMPUTED_VALUE"""),"")</f>
        <v/>
      </c>
      <c r="H12402" s="42">
        <f t="shared" si="1"/>
        <v>3345</v>
      </c>
    </row>
    <row r="12403" ht="22.5" customHeight="1">
      <c r="B12403" s="42" t="str">
        <f>IFERROR(__xludf.DUMMYFUNCTION("""COMPUTED_VALUE"""),"")</f>
        <v/>
      </c>
      <c r="C12403" s="42" t="str">
        <f>IFERROR(__xludf.DUMMYFUNCTION("""COMPUTED_VALUE"""),"")</f>
        <v/>
      </c>
      <c r="D12403" s="42"/>
      <c r="E12403" s="42"/>
      <c r="F12403" s="48" t="str">
        <f>IFERROR(__xludf.DUMMYFUNCTION("""COMPUTED_VALUE"""),"")</f>
        <v/>
      </c>
      <c r="G12403" s="42" t="str">
        <f>IFERROR(__xludf.DUMMYFUNCTION("""COMPUTED_VALUE"""),"")</f>
        <v/>
      </c>
      <c r="H12403" s="42">
        <f t="shared" si="1"/>
        <v>3345</v>
      </c>
    </row>
    <row r="12404" ht="22.5" customHeight="1">
      <c r="B12404" s="42" t="str">
        <f>IFERROR(__xludf.DUMMYFUNCTION("""COMPUTED_VALUE"""),"")</f>
        <v/>
      </c>
      <c r="C12404" s="42" t="str">
        <f>IFERROR(__xludf.DUMMYFUNCTION("""COMPUTED_VALUE"""),"")</f>
        <v/>
      </c>
      <c r="D12404" s="42"/>
      <c r="E12404" s="42"/>
      <c r="F12404" s="48" t="str">
        <f>IFERROR(__xludf.DUMMYFUNCTION("""COMPUTED_VALUE"""),"")</f>
        <v/>
      </c>
      <c r="G12404" s="42" t="str">
        <f>IFERROR(__xludf.DUMMYFUNCTION("""COMPUTED_VALUE"""),"")</f>
        <v/>
      </c>
      <c r="H12404" s="42">
        <f t="shared" si="1"/>
        <v>3345</v>
      </c>
    </row>
    <row r="12405" ht="22.5" customHeight="1">
      <c r="B12405" s="42" t="str">
        <f>IFERROR(__xludf.DUMMYFUNCTION("""COMPUTED_VALUE"""),"")</f>
        <v/>
      </c>
      <c r="C12405" s="42" t="str">
        <f>IFERROR(__xludf.DUMMYFUNCTION("""COMPUTED_VALUE"""),"")</f>
        <v/>
      </c>
      <c r="D12405" s="42"/>
      <c r="E12405" s="42"/>
      <c r="F12405" s="48" t="str">
        <f>IFERROR(__xludf.DUMMYFUNCTION("""COMPUTED_VALUE"""),"")</f>
        <v/>
      </c>
      <c r="G12405" s="42" t="str">
        <f>IFERROR(__xludf.DUMMYFUNCTION("""COMPUTED_VALUE"""),"")</f>
        <v/>
      </c>
      <c r="H12405" s="42">
        <f t="shared" si="1"/>
        <v>3345</v>
      </c>
    </row>
    <row r="12406" ht="22.5" customHeight="1">
      <c r="B12406" s="42" t="str">
        <f>IFERROR(__xludf.DUMMYFUNCTION("""COMPUTED_VALUE"""),"")</f>
        <v/>
      </c>
      <c r="C12406" s="42" t="str">
        <f>IFERROR(__xludf.DUMMYFUNCTION("""COMPUTED_VALUE"""),"")</f>
        <v/>
      </c>
      <c r="D12406" s="42"/>
      <c r="E12406" s="42"/>
      <c r="F12406" s="48" t="str">
        <f>IFERROR(__xludf.DUMMYFUNCTION("""COMPUTED_VALUE"""),"")</f>
        <v/>
      </c>
      <c r="G12406" s="42" t="str">
        <f>IFERROR(__xludf.DUMMYFUNCTION("""COMPUTED_VALUE"""),"")</f>
        <v/>
      </c>
      <c r="H12406" s="42">
        <f t="shared" si="1"/>
        <v>3345</v>
      </c>
    </row>
    <row r="12407" ht="22.5" customHeight="1">
      <c r="B12407" s="42" t="str">
        <f>IFERROR(__xludf.DUMMYFUNCTION("""COMPUTED_VALUE"""),"")</f>
        <v/>
      </c>
      <c r="C12407" s="42" t="str">
        <f>IFERROR(__xludf.DUMMYFUNCTION("""COMPUTED_VALUE"""),"")</f>
        <v/>
      </c>
      <c r="D12407" s="42"/>
      <c r="E12407" s="42"/>
      <c r="F12407" s="48" t="str">
        <f>IFERROR(__xludf.DUMMYFUNCTION("""COMPUTED_VALUE"""),"")</f>
        <v/>
      </c>
      <c r="G12407" s="42" t="str">
        <f>IFERROR(__xludf.DUMMYFUNCTION("""COMPUTED_VALUE"""),"")</f>
        <v/>
      </c>
      <c r="H12407" s="42">
        <f t="shared" si="1"/>
        <v>3345</v>
      </c>
    </row>
    <row r="12408" ht="22.5" customHeight="1">
      <c r="B12408" s="42" t="str">
        <f>IFERROR(__xludf.DUMMYFUNCTION("""COMPUTED_VALUE"""),"")</f>
        <v/>
      </c>
      <c r="C12408" s="42" t="str">
        <f>IFERROR(__xludf.DUMMYFUNCTION("""COMPUTED_VALUE"""),"")</f>
        <v/>
      </c>
      <c r="D12408" s="42"/>
      <c r="E12408" s="42"/>
      <c r="F12408" s="48" t="str">
        <f>IFERROR(__xludf.DUMMYFUNCTION("""COMPUTED_VALUE"""),"")</f>
        <v/>
      </c>
      <c r="G12408" s="42" t="str">
        <f>IFERROR(__xludf.DUMMYFUNCTION("""COMPUTED_VALUE"""),"")</f>
        <v/>
      </c>
      <c r="H12408" s="42">
        <f t="shared" si="1"/>
        <v>3345</v>
      </c>
    </row>
    <row r="12409" ht="22.5" customHeight="1">
      <c r="B12409" s="42" t="str">
        <f>IFERROR(__xludf.DUMMYFUNCTION("""COMPUTED_VALUE"""),"")</f>
        <v/>
      </c>
      <c r="C12409" s="42" t="str">
        <f>IFERROR(__xludf.DUMMYFUNCTION("""COMPUTED_VALUE"""),"")</f>
        <v/>
      </c>
      <c r="D12409" s="42"/>
      <c r="E12409" s="42"/>
      <c r="F12409" s="48" t="str">
        <f>IFERROR(__xludf.DUMMYFUNCTION("""COMPUTED_VALUE"""),"")</f>
        <v/>
      </c>
      <c r="G12409" s="42" t="str">
        <f>IFERROR(__xludf.DUMMYFUNCTION("""COMPUTED_VALUE"""),"")</f>
        <v/>
      </c>
      <c r="H12409" s="42">
        <f t="shared" si="1"/>
        <v>3345</v>
      </c>
    </row>
    <row r="12410" ht="22.5" customHeight="1">
      <c r="B12410" s="42" t="str">
        <f>IFERROR(__xludf.DUMMYFUNCTION("""COMPUTED_VALUE"""),"")</f>
        <v/>
      </c>
      <c r="C12410" s="42" t="str">
        <f>IFERROR(__xludf.DUMMYFUNCTION("""COMPUTED_VALUE"""),"")</f>
        <v/>
      </c>
      <c r="D12410" s="42"/>
      <c r="E12410" s="42"/>
      <c r="F12410" s="48" t="str">
        <f>IFERROR(__xludf.DUMMYFUNCTION("""COMPUTED_VALUE"""),"")</f>
        <v/>
      </c>
      <c r="G12410" s="42" t="str">
        <f>IFERROR(__xludf.DUMMYFUNCTION("""COMPUTED_VALUE"""),"")</f>
        <v/>
      </c>
      <c r="H12410" s="42">
        <f t="shared" si="1"/>
        <v>3345</v>
      </c>
    </row>
    <row r="12411" ht="22.5" customHeight="1">
      <c r="B12411" s="42" t="str">
        <f>IFERROR(__xludf.DUMMYFUNCTION("""COMPUTED_VALUE"""),"")</f>
        <v/>
      </c>
      <c r="C12411" s="42" t="str">
        <f>IFERROR(__xludf.DUMMYFUNCTION("""COMPUTED_VALUE"""),"")</f>
        <v/>
      </c>
      <c r="D12411" s="42"/>
      <c r="E12411" s="42"/>
      <c r="F12411" s="48" t="str">
        <f>IFERROR(__xludf.DUMMYFUNCTION("""COMPUTED_VALUE"""),"")</f>
        <v/>
      </c>
      <c r="G12411" s="42" t="str">
        <f>IFERROR(__xludf.DUMMYFUNCTION("""COMPUTED_VALUE"""),"")</f>
        <v/>
      </c>
      <c r="H12411" s="42">
        <f t="shared" si="1"/>
        <v>3345</v>
      </c>
    </row>
    <row r="12412" ht="22.5" customHeight="1">
      <c r="B12412" s="42" t="str">
        <f>IFERROR(__xludf.DUMMYFUNCTION("""COMPUTED_VALUE"""),"")</f>
        <v/>
      </c>
      <c r="C12412" s="42" t="str">
        <f>IFERROR(__xludf.DUMMYFUNCTION("""COMPUTED_VALUE"""),"")</f>
        <v/>
      </c>
      <c r="D12412" s="42"/>
      <c r="E12412" s="42"/>
      <c r="F12412" s="48" t="str">
        <f>IFERROR(__xludf.DUMMYFUNCTION("""COMPUTED_VALUE"""),"")</f>
        <v/>
      </c>
      <c r="G12412" s="42" t="str">
        <f>IFERROR(__xludf.DUMMYFUNCTION("""COMPUTED_VALUE"""),"")</f>
        <v/>
      </c>
      <c r="H12412" s="42">
        <f t="shared" si="1"/>
        <v>3345</v>
      </c>
    </row>
    <row r="12413" ht="22.5" customHeight="1">
      <c r="B12413" s="42" t="str">
        <f>IFERROR(__xludf.DUMMYFUNCTION("""COMPUTED_VALUE"""),"")</f>
        <v/>
      </c>
      <c r="C12413" s="42" t="str">
        <f>IFERROR(__xludf.DUMMYFUNCTION("""COMPUTED_VALUE"""),"")</f>
        <v/>
      </c>
      <c r="D12413" s="42"/>
      <c r="E12413" s="42"/>
      <c r="F12413" s="48" t="str">
        <f>IFERROR(__xludf.DUMMYFUNCTION("""COMPUTED_VALUE"""),"")</f>
        <v/>
      </c>
      <c r="G12413" s="42" t="str">
        <f>IFERROR(__xludf.DUMMYFUNCTION("""COMPUTED_VALUE"""),"")</f>
        <v/>
      </c>
      <c r="H12413" s="42">
        <f t="shared" si="1"/>
        <v>3345</v>
      </c>
    </row>
    <row r="12414" ht="22.5" customHeight="1">
      <c r="B12414" s="42" t="str">
        <f>IFERROR(__xludf.DUMMYFUNCTION("""COMPUTED_VALUE"""),"")</f>
        <v/>
      </c>
      <c r="C12414" s="42" t="str">
        <f>IFERROR(__xludf.DUMMYFUNCTION("""COMPUTED_VALUE"""),"")</f>
        <v/>
      </c>
      <c r="D12414" s="42"/>
      <c r="E12414" s="42"/>
      <c r="F12414" s="48" t="str">
        <f>IFERROR(__xludf.DUMMYFUNCTION("""COMPUTED_VALUE"""),"")</f>
        <v/>
      </c>
      <c r="G12414" s="42" t="str">
        <f>IFERROR(__xludf.DUMMYFUNCTION("""COMPUTED_VALUE"""),"")</f>
        <v/>
      </c>
      <c r="H12414" s="42">
        <f t="shared" si="1"/>
        <v>3345</v>
      </c>
    </row>
    <row r="12415" ht="22.5" customHeight="1">
      <c r="B12415" s="42" t="str">
        <f>IFERROR(__xludf.DUMMYFUNCTION("""COMPUTED_VALUE"""),"")</f>
        <v/>
      </c>
      <c r="C12415" s="42" t="str">
        <f>IFERROR(__xludf.DUMMYFUNCTION("""COMPUTED_VALUE"""),"")</f>
        <v/>
      </c>
      <c r="D12415" s="42"/>
      <c r="E12415" s="42"/>
      <c r="F12415" s="48" t="str">
        <f>IFERROR(__xludf.DUMMYFUNCTION("""COMPUTED_VALUE"""),"")</f>
        <v/>
      </c>
      <c r="G12415" s="42" t="str">
        <f>IFERROR(__xludf.DUMMYFUNCTION("""COMPUTED_VALUE"""),"")</f>
        <v/>
      </c>
      <c r="H12415" s="42">
        <f t="shared" si="1"/>
        <v>3345</v>
      </c>
    </row>
    <row r="12416" ht="22.5" customHeight="1">
      <c r="B12416" s="42" t="str">
        <f>IFERROR(__xludf.DUMMYFUNCTION("""COMPUTED_VALUE"""),"")</f>
        <v/>
      </c>
      <c r="C12416" s="42" t="str">
        <f>IFERROR(__xludf.DUMMYFUNCTION("""COMPUTED_VALUE"""),"")</f>
        <v/>
      </c>
      <c r="D12416" s="42"/>
      <c r="E12416" s="42"/>
      <c r="F12416" s="48" t="str">
        <f>IFERROR(__xludf.DUMMYFUNCTION("""COMPUTED_VALUE"""),"")</f>
        <v/>
      </c>
      <c r="G12416" s="42" t="str">
        <f>IFERROR(__xludf.DUMMYFUNCTION("""COMPUTED_VALUE"""),"")</f>
        <v/>
      </c>
      <c r="H12416" s="42">
        <f t="shared" si="1"/>
        <v>3345</v>
      </c>
    </row>
    <row r="12417" ht="22.5" customHeight="1">
      <c r="B12417" s="42" t="str">
        <f>IFERROR(__xludf.DUMMYFUNCTION("""COMPUTED_VALUE"""),"")</f>
        <v/>
      </c>
      <c r="C12417" s="42" t="str">
        <f>IFERROR(__xludf.DUMMYFUNCTION("""COMPUTED_VALUE"""),"")</f>
        <v/>
      </c>
      <c r="D12417" s="42"/>
      <c r="E12417" s="42"/>
      <c r="F12417" s="48" t="str">
        <f>IFERROR(__xludf.DUMMYFUNCTION("""COMPUTED_VALUE"""),"")</f>
        <v/>
      </c>
      <c r="G12417" s="42" t="str">
        <f>IFERROR(__xludf.DUMMYFUNCTION("""COMPUTED_VALUE"""),"")</f>
        <v/>
      </c>
      <c r="H12417" s="42">
        <f t="shared" si="1"/>
        <v>3345</v>
      </c>
    </row>
    <row r="12418" ht="22.5" customHeight="1">
      <c r="B12418" s="42" t="str">
        <f>IFERROR(__xludf.DUMMYFUNCTION("""COMPUTED_VALUE"""),"")</f>
        <v/>
      </c>
      <c r="C12418" s="42" t="str">
        <f>IFERROR(__xludf.DUMMYFUNCTION("""COMPUTED_VALUE"""),"")</f>
        <v/>
      </c>
      <c r="D12418" s="42"/>
      <c r="E12418" s="42"/>
      <c r="F12418" s="48" t="str">
        <f>IFERROR(__xludf.DUMMYFUNCTION("""COMPUTED_VALUE"""),"")</f>
        <v/>
      </c>
      <c r="G12418" s="42" t="str">
        <f>IFERROR(__xludf.DUMMYFUNCTION("""COMPUTED_VALUE"""),"")</f>
        <v/>
      </c>
      <c r="H12418" s="42">
        <f t="shared" si="1"/>
        <v>3345</v>
      </c>
    </row>
    <row r="12419" ht="22.5" customHeight="1">
      <c r="B12419" s="42" t="str">
        <f>IFERROR(__xludf.DUMMYFUNCTION("""COMPUTED_VALUE"""),"")</f>
        <v/>
      </c>
      <c r="C12419" s="42" t="str">
        <f>IFERROR(__xludf.DUMMYFUNCTION("""COMPUTED_VALUE"""),"")</f>
        <v/>
      </c>
      <c r="D12419" s="42"/>
      <c r="E12419" s="42"/>
      <c r="F12419" s="48" t="str">
        <f>IFERROR(__xludf.DUMMYFUNCTION("""COMPUTED_VALUE"""),"")</f>
        <v/>
      </c>
      <c r="G12419" s="42" t="str">
        <f>IFERROR(__xludf.DUMMYFUNCTION("""COMPUTED_VALUE"""),"")</f>
        <v/>
      </c>
      <c r="H12419" s="42">
        <f t="shared" si="1"/>
        <v>3345</v>
      </c>
    </row>
    <row r="12420" ht="22.5" customHeight="1">
      <c r="B12420" s="42" t="str">
        <f>IFERROR(__xludf.DUMMYFUNCTION("""COMPUTED_VALUE"""),"")</f>
        <v/>
      </c>
      <c r="C12420" s="42" t="str">
        <f>IFERROR(__xludf.DUMMYFUNCTION("""COMPUTED_VALUE"""),"")</f>
        <v/>
      </c>
      <c r="D12420" s="42"/>
      <c r="E12420" s="42"/>
      <c r="F12420" s="48" t="str">
        <f>IFERROR(__xludf.DUMMYFUNCTION("""COMPUTED_VALUE"""),"")</f>
        <v/>
      </c>
      <c r="G12420" s="42" t="str">
        <f>IFERROR(__xludf.DUMMYFUNCTION("""COMPUTED_VALUE"""),"")</f>
        <v/>
      </c>
      <c r="H12420" s="42">
        <f t="shared" si="1"/>
        <v>3345</v>
      </c>
    </row>
    <row r="12421" ht="22.5" customHeight="1">
      <c r="B12421" s="42" t="str">
        <f>IFERROR(__xludf.DUMMYFUNCTION("""COMPUTED_VALUE"""),"")</f>
        <v/>
      </c>
      <c r="C12421" s="42" t="str">
        <f>IFERROR(__xludf.DUMMYFUNCTION("""COMPUTED_VALUE"""),"")</f>
        <v/>
      </c>
      <c r="D12421" s="42"/>
      <c r="E12421" s="42"/>
      <c r="F12421" s="48" t="str">
        <f>IFERROR(__xludf.DUMMYFUNCTION("""COMPUTED_VALUE"""),"")</f>
        <v/>
      </c>
      <c r="G12421" s="42" t="str">
        <f>IFERROR(__xludf.DUMMYFUNCTION("""COMPUTED_VALUE"""),"")</f>
        <v/>
      </c>
      <c r="H12421" s="42">
        <f t="shared" si="1"/>
        <v>3345</v>
      </c>
    </row>
    <row r="12422" ht="22.5" customHeight="1">
      <c r="B12422" s="42" t="str">
        <f>IFERROR(__xludf.DUMMYFUNCTION("""COMPUTED_VALUE"""),"")</f>
        <v/>
      </c>
      <c r="C12422" s="42" t="str">
        <f>IFERROR(__xludf.DUMMYFUNCTION("""COMPUTED_VALUE"""),"")</f>
        <v/>
      </c>
      <c r="D12422" s="42"/>
      <c r="E12422" s="42"/>
      <c r="F12422" s="48" t="str">
        <f>IFERROR(__xludf.DUMMYFUNCTION("""COMPUTED_VALUE"""),"")</f>
        <v/>
      </c>
      <c r="G12422" s="42" t="str">
        <f>IFERROR(__xludf.DUMMYFUNCTION("""COMPUTED_VALUE"""),"")</f>
        <v/>
      </c>
      <c r="H12422" s="42">
        <f t="shared" si="1"/>
        <v>3345</v>
      </c>
    </row>
    <row r="12423" ht="22.5" customHeight="1">
      <c r="B12423" s="42" t="str">
        <f>IFERROR(__xludf.DUMMYFUNCTION("""COMPUTED_VALUE"""),"")</f>
        <v/>
      </c>
      <c r="C12423" s="42" t="str">
        <f>IFERROR(__xludf.DUMMYFUNCTION("""COMPUTED_VALUE"""),"")</f>
        <v/>
      </c>
      <c r="D12423" s="42"/>
      <c r="E12423" s="42"/>
      <c r="F12423" s="48" t="str">
        <f>IFERROR(__xludf.DUMMYFUNCTION("""COMPUTED_VALUE"""),"")</f>
        <v/>
      </c>
      <c r="G12423" s="42" t="str">
        <f>IFERROR(__xludf.DUMMYFUNCTION("""COMPUTED_VALUE"""),"")</f>
        <v/>
      </c>
      <c r="H12423" s="42">
        <f t="shared" si="1"/>
        <v>3345</v>
      </c>
    </row>
    <row r="12424" ht="22.5" customHeight="1">
      <c r="B12424" s="42" t="str">
        <f>IFERROR(__xludf.DUMMYFUNCTION("""COMPUTED_VALUE"""),"")</f>
        <v/>
      </c>
      <c r="C12424" s="42" t="str">
        <f>IFERROR(__xludf.DUMMYFUNCTION("""COMPUTED_VALUE"""),"")</f>
        <v/>
      </c>
      <c r="D12424" s="42"/>
      <c r="E12424" s="42"/>
      <c r="F12424" s="48" t="str">
        <f>IFERROR(__xludf.DUMMYFUNCTION("""COMPUTED_VALUE"""),"")</f>
        <v/>
      </c>
      <c r="G12424" s="42" t="str">
        <f>IFERROR(__xludf.DUMMYFUNCTION("""COMPUTED_VALUE"""),"")</f>
        <v/>
      </c>
      <c r="H12424" s="42">
        <f t="shared" si="1"/>
        <v>3345</v>
      </c>
    </row>
    <row r="12425" ht="22.5" customHeight="1">
      <c r="B12425" s="42" t="str">
        <f>IFERROR(__xludf.DUMMYFUNCTION("""COMPUTED_VALUE"""),"")</f>
        <v/>
      </c>
      <c r="C12425" s="42" t="str">
        <f>IFERROR(__xludf.DUMMYFUNCTION("""COMPUTED_VALUE"""),"")</f>
        <v/>
      </c>
      <c r="D12425" s="42"/>
      <c r="E12425" s="42"/>
      <c r="F12425" s="48" t="str">
        <f>IFERROR(__xludf.DUMMYFUNCTION("""COMPUTED_VALUE"""),"")</f>
        <v/>
      </c>
      <c r="G12425" s="42" t="str">
        <f>IFERROR(__xludf.DUMMYFUNCTION("""COMPUTED_VALUE"""),"")</f>
        <v/>
      </c>
      <c r="H12425" s="42">
        <f t="shared" si="1"/>
        <v>3345</v>
      </c>
    </row>
    <row r="12426" ht="22.5" customHeight="1">
      <c r="B12426" s="42" t="str">
        <f>IFERROR(__xludf.DUMMYFUNCTION("""COMPUTED_VALUE"""),"")</f>
        <v/>
      </c>
      <c r="C12426" s="42" t="str">
        <f>IFERROR(__xludf.DUMMYFUNCTION("""COMPUTED_VALUE"""),"")</f>
        <v/>
      </c>
      <c r="D12426" s="42"/>
      <c r="E12426" s="42"/>
      <c r="F12426" s="48" t="str">
        <f>IFERROR(__xludf.DUMMYFUNCTION("""COMPUTED_VALUE"""),"")</f>
        <v/>
      </c>
      <c r="G12426" s="42" t="str">
        <f>IFERROR(__xludf.DUMMYFUNCTION("""COMPUTED_VALUE"""),"")</f>
        <v/>
      </c>
      <c r="H12426" s="42">
        <f t="shared" si="1"/>
        <v>3345</v>
      </c>
    </row>
    <row r="12427" ht="22.5" customHeight="1">
      <c r="B12427" s="42" t="str">
        <f>IFERROR(__xludf.DUMMYFUNCTION("""COMPUTED_VALUE"""),"")</f>
        <v/>
      </c>
      <c r="C12427" s="42" t="str">
        <f>IFERROR(__xludf.DUMMYFUNCTION("""COMPUTED_VALUE"""),"")</f>
        <v/>
      </c>
      <c r="D12427" s="42"/>
      <c r="E12427" s="42"/>
      <c r="F12427" s="48" t="str">
        <f>IFERROR(__xludf.DUMMYFUNCTION("""COMPUTED_VALUE"""),"")</f>
        <v/>
      </c>
      <c r="G12427" s="42" t="str">
        <f>IFERROR(__xludf.DUMMYFUNCTION("""COMPUTED_VALUE"""),"")</f>
        <v/>
      </c>
      <c r="H12427" s="42">
        <f t="shared" si="1"/>
        <v>3345</v>
      </c>
    </row>
    <row r="12428" ht="22.5" customHeight="1">
      <c r="B12428" s="42" t="str">
        <f>IFERROR(__xludf.DUMMYFUNCTION("""COMPUTED_VALUE"""),"")</f>
        <v/>
      </c>
      <c r="C12428" s="42" t="str">
        <f>IFERROR(__xludf.DUMMYFUNCTION("""COMPUTED_VALUE"""),"")</f>
        <v/>
      </c>
      <c r="D12428" s="42"/>
      <c r="E12428" s="42"/>
      <c r="F12428" s="48" t="str">
        <f>IFERROR(__xludf.DUMMYFUNCTION("""COMPUTED_VALUE"""),"")</f>
        <v/>
      </c>
      <c r="G12428" s="42" t="str">
        <f>IFERROR(__xludf.DUMMYFUNCTION("""COMPUTED_VALUE"""),"")</f>
        <v/>
      </c>
      <c r="H12428" s="42">
        <f t="shared" si="1"/>
        <v>3345</v>
      </c>
    </row>
    <row r="12429" ht="22.5" customHeight="1">
      <c r="B12429" s="42" t="str">
        <f>IFERROR(__xludf.DUMMYFUNCTION("""COMPUTED_VALUE"""),"")</f>
        <v/>
      </c>
      <c r="C12429" s="42" t="str">
        <f>IFERROR(__xludf.DUMMYFUNCTION("""COMPUTED_VALUE"""),"")</f>
        <v/>
      </c>
      <c r="D12429" s="42"/>
      <c r="E12429" s="42"/>
      <c r="F12429" s="48" t="str">
        <f>IFERROR(__xludf.DUMMYFUNCTION("""COMPUTED_VALUE"""),"")</f>
        <v/>
      </c>
      <c r="G12429" s="42" t="str">
        <f>IFERROR(__xludf.DUMMYFUNCTION("""COMPUTED_VALUE"""),"")</f>
        <v/>
      </c>
      <c r="H12429" s="42">
        <f t="shared" si="1"/>
        <v>3345</v>
      </c>
    </row>
    <row r="12430" ht="22.5" customHeight="1">
      <c r="B12430" s="42" t="str">
        <f>IFERROR(__xludf.DUMMYFUNCTION("""COMPUTED_VALUE"""),"")</f>
        <v/>
      </c>
      <c r="C12430" s="42" t="str">
        <f>IFERROR(__xludf.DUMMYFUNCTION("""COMPUTED_VALUE"""),"")</f>
        <v/>
      </c>
      <c r="D12430" s="42"/>
      <c r="E12430" s="42"/>
      <c r="F12430" s="48" t="str">
        <f>IFERROR(__xludf.DUMMYFUNCTION("""COMPUTED_VALUE"""),"")</f>
        <v/>
      </c>
      <c r="G12430" s="42" t="str">
        <f>IFERROR(__xludf.DUMMYFUNCTION("""COMPUTED_VALUE"""),"")</f>
        <v/>
      </c>
      <c r="H12430" s="42">
        <f t="shared" si="1"/>
        <v>3345</v>
      </c>
    </row>
    <row r="12431" ht="22.5" customHeight="1">
      <c r="B12431" s="42" t="str">
        <f>IFERROR(__xludf.DUMMYFUNCTION("""COMPUTED_VALUE"""),"")</f>
        <v/>
      </c>
      <c r="C12431" s="42" t="str">
        <f>IFERROR(__xludf.DUMMYFUNCTION("""COMPUTED_VALUE"""),"")</f>
        <v/>
      </c>
      <c r="D12431" s="42"/>
      <c r="E12431" s="42"/>
      <c r="F12431" s="48" t="str">
        <f>IFERROR(__xludf.DUMMYFUNCTION("""COMPUTED_VALUE"""),"")</f>
        <v/>
      </c>
      <c r="G12431" s="42" t="str">
        <f>IFERROR(__xludf.DUMMYFUNCTION("""COMPUTED_VALUE"""),"")</f>
        <v/>
      </c>
      <c r="H12431" s="42">
        <f t="shared" si="1"/>
        <v>3345</v>
      </c>
    </row>
    <row r="12432" ht="22.5" customHeight="1">
      <c r="B12432" s="42" t="str">
        <f>IFERROR(__xludf.DUMMYFUNCTION("""COMPUTED_VALUE"""),"")</f>
        <v/>
      </c>
      <c r="C12432" s="42" t="str">
        <f>IFERROR(__xludf.DUMMYFUNCTION("""COMPUTED_VALUE"""),"")</f>
        <v/>
      </c>
      <c r="D12432" s="42"/>
      <c r="E12432" s="42"/>
      <c r="F12432" s="48" t="str">
        <f>IFERROR(__xludf.DUMMYFUNCTION("""COMPUTED_VALUE"""),"")</f>
        <v/>
      </c>
      <c r="G12432" s="42" t="str">
        <f>IFERROR(__xludf.DUMMYFUNCTION("""COMPUTED_VALUE"""),"")</f>
        <v/>
      </c>
      <c r="H12432" s="42">
        <f t="shared" si="1"/>
        <v>3345</v>
      </c>
    </row>
    <row r="12433" ht="22.5" customHeight="1">
      <c r="B12433" s="42" t="str">
        <f>IFERROR(__xludf.DUMMYFUNCTION("""COMPUTED_VALUE"""),"")</f>
        <v/>
      </c>
      <c r="C12433" s="42" t="str">
        <f>IFERROR(__xludf.DUMMYFUNCTION("""COMPUTED_VALUE"""),"")</f>
        <v/>
      </c>
      <c r="D12433" s="42"/>
      <c r="E12433" s="42"/>
      <c r="F12433" s="48" t="str">
        <f>IFERROR(__xludf.DUMMYFUNCTION("""COMPUTED_VALUE"""),"")</f>
        <v/>
      </c>
      <c r="G12433" s="42" t="str">
        <f>IFERROR(__xludf.DUMMYFUNCTION("""COMPUTED_VALUE"""),"")</f>
        <v/>
      </c>
      <c r="H12433" s="42">
        <f t="shared" si="1"/>
        <v>3345</v>
      </c>
    </row>
    <row r="12434" ht="22.5" customHeight="1">
      <c r="B12434" s="42" t="str">
        <f>IFERROR(__xludf.DUMMYFUNCTION("""COMPUTED_VALUE"""),"")</f>
        <v/>
      </c>
      <c r="C12434" s="42" t="str">
        <f>IFERROR(__xludf.DUMMYFUNCTION("""COMPUTED_VALUE"""),"")</f>
        <v/>
      </c>
      <c r="D12434" s="42"/>
      <c r="E12434" s="42"/>
      <c r="F12434" s="48" t="str">
        <f>IFERROR(__xludf.DUMMYFUNCTION("""COMPUTED_VALUE"""),"")</f>
        <v/>
      </c>
      <c r="G12434" s="42" t="str">
        <f>IFERROR(__xludf.DUMMYFUNCTION("""COMPUTED_VALUE"""),"")</f>
        <v/>
      </c>
      <c r="H12434" s="42">
        <f t="shared" si="1"/>
        <v>3345</v>
      </c>
    </row>
    <row r="12435" ht="22.5" customHeight="1">
      <c r="B12435" s="42" t="str">
        <f>IFERROR(__xludf.DUMMYFUNCTION("""COMPUTED_VALUE"""),"")</f>
        <v/>
      </c>
      <c r="C12435" s="42" t="str">
        <f>IFERROR(__xludf.DUMMYFUNCTION("""COMPUTED_VALUE"""),"")</f>
        <v/>
      </c>
      <c r="D12435" s="42"/>
      <c r="E12435" s="42"/>
      <c r="F12435" s="48" t="str">
        <f>IFERROR(__xludf.DUMMYFUNCTION("""COMPUTED_VALUE"""),"")</f>
        <v/>
      </c>
      <c r="G12435" s="42" t="str">
        <f>IFERROR(__xludf.DUMMYFUNCTION("""COMPUTED_VALUE"""),"")</f>
        <v/>
      </c>
      <c r="H12435" s="42">
        <f t="shared" si="1"/>
        <v>3345</v>
      </c>
    </row>
    <row r="12436" ht="22.5" customHeight="1">
      <c r="B12436" s="42" t="str">
        <f>IFERROR(__xludf.DUMMYFUNCTION("""COMPUTED_VALUE"""),"")</f>
        <v/>
      </c>
      <c r="C12436" s="42" t="str">
        <f>IFERROR(__xludf.DUMMYFUNCTION("""COMPUTED_VALUE"""),"")</f>
        <v/>
      </c>
      <c r="D12436" s="42"/>
      <c r="E12436" s="42"/>
      <c r="F12436" s="48" t="str">
        <f>IFERROR(__xludf.DUMMYFUNCTION("""COMPUTED_VALUE"""),"")</f>
        <v/>
      </c>
      <c r="G12436" s="42" t="str">
        <f>IFERROR(__xludf.DUMMYFUNCTION("""COMPUTED_VALUE"""),"")</f>
        <v/>
      </c>
      <c r="H12436" s="42">
        <f t="shared" si="1"/>
        <v>3345</v>
      </c>
    </row>
    <row r="12437" ht="22.5" customHeight="1">
      <c r="B12437" s="42" t="str">
        <f>IFERROR(__xludf.DUMMYFUNCTION("""COMPUTED_VALUE"""),"")</f>
        <v/>
      </c>
      <c r="C12437" s="42" t="str">
        <f>IFERROR(__xludf.DUMMYFUNCTION("""COMPUTED_VALUE"""),"")</f>
        <v/>
      </c>
      <c r="D12437" s="42"/>
      <c r="E12437" s="42"/>
      <c r="F12437" s="48" t="str">
        <f>IFERROR(__xludf.DUMMYFUNCTION("""COMPUTED_VALUE"""),"")</f>
        <v/>
      </c>
      <c r="G12437" s="42" t="str">
        <f>IFERROR(__xludf.DUMMYFUNCTION("""COMPUTED_VALUE"""),"")</f>
        <v/>
      </c>
      <c r="H12437" s="42">
        <f t="shared" si="1"/>
        <v>3345</v>
      </c>
    </row>
    <row r="12438" ht="22.5" customHeight="1">
      <c r="B12438" s="42" t="str">
        <f>IFERROR(__xludf.DUMMYFUNCTION("""COMPUTED_VALUE"""),"")</f>
        <v/>
      </c>
      <c r="C12438" s="42" t="str">
        <f>IFERROR(__xludf.DUMMYFUNCTION("""COMPUTED_VALUE"""),"")</f>
        <v/>
      </c>
      <c r="D12438" s="42"/>
      <c r="E12438" s="42"/>
      <c r="F12438" s="48" t="str">
        <f>IFERROR(__xludf.DUMMYFUNCTION("""COMPUTED_VALUE"""),"")</f>
        <v/>
      </c>
      <c r="G12438" s="42" t="str">
        <f>IFERROR(__xludf.DUMMYFUNCTION("""COMPUTED_VALUE"""),"")</f>
        <v/>
      </c>
      <c r="H12438" s="42">
        <f t="shared" si="1"/>
        <v>3345</v>
      </c>
    </row>
    <row r="12439" ht="22.5" customHeight="1">
      <c r="B12439" s="42" t="str">
        <f>IFERROR(__xludf.DUMMYFUNCTION("""COMPUTED_VALUE"""),"")</f>
        <v/>
      </c>
      <c r="C12439" s="42" t="str">
        <f>IFERROR(__xludf.DUMMYFUNCTION("""COMPUTED_VALUE"""),"")</f>
        <v/>
      </c>
      <c r="D12439" s="42"/>
      <c r="E12439" s="42"/>
      <c r="F12439" s="48" t="str">
        <f>IFERROR(__xludf.DUMMYFUNCTION("""COMPUTED_VALUE"""),"")</f>
        <v/>
      </c>
      <c r="G12439" s="42" t="str">
        <f>IFERROR(__xludf.DUMMYFUNCTION("""COMPUTED_VALUE"""),"")</f>
        <v/>
      </c>
      <c r="H12439" s="42">
        <f t="shared" si="1"/>
        <v>3345</v>
      </c>
    </row>
    <row r="12440" ht="22.5" customHeight="1">
      <c r="B12440" s="42" t="str">
        <f>IFERROR(__xludf.DUMMYFUNCTION("""COMPUTED_VALUE"""),"")</f>
        <v/>
      </c>
      <c r="C12440" s="42" t="str">
        <f>IFERROR(__xludf.DUMMYFUNCTION("""COMPUTED_VALUE"""),"")</f>
        <v/>
      </c>
      <c r="D12440" s="42"/>
      <c r="E12440" s="42"/>
      <c r="F12440" s="48" t="str">
        <f>IFERROR(__xludf.DUMMYFUNCTION("""COMPUTED_VALUE"""),"")</f>
        <v/>
      </c>
      <c r="G12440" s="42" t="str">
        <f>IFERROR(__xludf.DUMMYFUNCTION("""COMPUTED_VALUE"""),"")</f>
        <v/>
      </c>
      <c r="H12440" s="42">
        <f t="shared" si="1"/>
        <v>3345</v>
      </c>
    </row>
    <row r="12441" ht="22.5" customHeight="1">
      <c r="B12441" s="42" t="str">
        <f>IFERROR(__xludf.DUMMYFUNCTION("""COMPUTED_VALUE"""),"")</f>
        <v/>
      </c>
      <c r="C12441" s="42" t="str">
        <f>IFERROR(__xludf.DUMMYFUNCTION("""COMPUTED_VALUE"""),"")</f>
        <v/>
      </c>
      <c r="D12441" s="42"/>
      <c r="E12441" s="42"/>
      <c r="F12441" s="48" t="str">
        <f>IFERROR(__xludf.DUMMYFUNCTION("""COMPUTED_VALUE"""),"")</f>
        <v/>
      </c>
      <c r="G12441" s="42" t="str">
        <f>IFERROR(__xludf.DUMMYFUNCTION("""COMPUTED_VALUE"""),"")</f>
        <v/>
      </c>
      <c r="H12441" s="42">
        <f t="shared" si="1"/>
        <v>3345</v>
      </c>
    </row>
    <row r="12442" ht="22.5" customHeight="1">
      <c r="B12442" s="42" t="str">
        <f>IFERROR(__xludf.DUMMYFUNCTION("""COMPUTED_VALUE"""),"")</f>
        <v/>
      </c>
      <c r="C12442" s="42" t="str">
        <f>IFERROR(__xludf.DUMMYFUNCTION("""COMPUTED_VALUE"""),"")</f>
        <v/>
      </c>
      <c r="D12442" s="42"/>
      <c r="E12442" s="42"/>
      <c r="F12442" s="48" t="str">
        <f>IFERROR(__xludf.DUMMYFUNCTION("""COMPUTED_VALUE"""),"")</f>
        <v/>
      </c>
      <c r="G12442" s="42" t="str">
        <f>IFERROR(__xludf.DUMMYFUNCTION("""COMPUTED_VALUE"""),"")</f>
        <v/>
      </c>
      <c r="H12442" s="42">
        <f t="shared" si="1"/>
        <v>3345</v>
      </c>
    </row>
    <row r="12443" ht="22.5" customHeight="1">
      <c r="B12443" s="42" t="str">
        <f>IFERROR(__xludf.DUMMYFUNCTION("""COMPUTED_VALUE"""),"")</f>
        <v/>
      </c>
      <c r="C12443" s="42" t="str">
        <f>IFERROR(__xludf.DUMMYFUNCTION("""COMPUTED_VALUE"""),"")</f>
        <v/>
      </c>
      <c r="D12443" s="42"/>
      <c r="E12443" s="42"/>
      <c r="F12443" s="48" t="str">
        <f>IFERROR(__xludf.DUMMYFUNCTION("""COMPUTED_VALUE"""),"")</f>
        <v/>
      </c>
      <c r="G12443" s="42" t="str">
        <f>IFERROR(__xludf.DUMMYFUNCTION("""COMPUTED_VALUE"""),"")</f>
        <v/>
      </c>
      <c r="H12443" s="42">
        <f t="shared" si="1"/>
        <v>3345</v>
      </c>
    </row>
    <row r="12444" ht="22.5" customHeight="1">
      <c r="B12444" s="42" t="str">
        <f>IFERROR(__xludf.DUMMYFUNCTION("""COMPUTED_VALUE"""),"")</f>
        <v/>
      </c>
      <c r="C12444" s="42" t="str">
        <f>IFERROR(__xludf.DUMMYFUNCTION("""COMPUTED_VALUE"""),"")</f>
        <v/>
      </c>
      <c r="D12444" s="42"/>
      <c r="E12444" s="42"/>
      <c r="F12444" s="48" t="str">
        <f>IFERROR(__xludf.DUMMYFUNCTION("""COMPUTED_VALUE"""),"")</f>
        <v/>
      </c>
      <c r="G12444" s="42" t="str">
        <f>IFERROR(__xludf.DUMMYFUNCTION("""COMPUTED_VALUE"""),"")</f>
        <v/>
      </c>
      <c r="H12444" s="42">
        <f t="shared" si="1"/>
        <v>3345</v>
      </c>
    </row>
    <row r="12445" ht="22.5" customHeight="1">
      <c r="B12445" s="42" t="str">
        <f>IFERROR(__xludf.DUMMYFUNCTION("""COMPUTED_VALUE"""),"")</f>
        <v/>
      </c>
      <c r="C12445" s="42" t="str">
        <f>IFERROR(__xludf.DUMMYFUNCTION("""COMPUTED_VALUE"""),"")</f>
        <v/>
      </c>
      <c r="D12445" s="42"/>
      <c r="E12445" s="42"/>
      <c r="F12445" s="48" t="str">
        <f>IFERROR(__xludf.DUMMYFUNCTION("""COMPUTED_VALUE"""),"")</f>
        <v/>
      </c>
      <c r="G12445" s="42" t="str">
        <f>IFERROR(__xludf.DUMMYFUNCTION("""COMPUTED_VALUE"""),"")</f>
        <v/>
      </c>
      <c r="H12445" s="42">
        <f t="shared" si="1"/>
        <v>3345</v>
      </c>
    </row>
    <row r="12446" ht="22.5" customHeight="1">
      <c r="B12446" s="42" t="str">
        <f>IFERROR(__xludf.DUMMYFUNCTION("""COMPUTED_VALUE"""),"")</f>
        <v/>
      </c>
      <c r="C12446" s="42" t="str">
        <f>IFERROR(__xludf.DUMMYFUNCTION("""COMPUTED_VALUE"""),"")</f>
        <v/>
      </c>
      <c r="D12446" s="42"/>
      <c r="E12446" s="42"/>
      <c r="F12446" s="48" t="str">
        <f>IFERROR(__xludf.DUMMYFUNCTION("""COMPUTED_VALUE"""),"")</f>
        <v/>
      </c>
      <c r="G12446" s="42" t="str">
        <f>IFERROR(__xludf.DUMMYFUNCTION("""COMPUTED_VALUE"""),"")</f>
        <v/>
      </c>
      <c r="H12446" s="42">
        <f t="shared" si="1"/>
        <v>3345</v>
      </c>
    </row>
    <row r="12447" ht="22.5" customHeight="1">
      <c r="B12447" s="42" t="str">
        <f>IFERROR(__xludf.DUMMYFUNCTION("""COMPUTED_VALUE"""),"")</f>
        <v/>
      </c>
      <c r="C12447" s="42" t="str">
        <f>IFERROR(__xludf.DUMMYFUNCTION("""COMPUTED_VALUE"""),"")</f>
        <v/>
      </c>
      <c r="D12447" s="42"/>
      <c r="E12447" s="42"/>
      <c r="F12447" s="48" t="str">
        <f>IFERROR(__xludf.DUMMYFUNCTION("""COMPUTED_VALUE"""),"")</f>
        <v/>
      </c>
      <c r="G12447" s="42" t="str">
        <f>IFERROR(__xludf.DUMMYFUNCTION("""COMPUTED_VALUE"""),"")</f>
        <v/>
      </c>
      <c r="H12447" s="42">
        <f t="shared" si="1"/>
        <v>3345</v>
      </c>
    </row>
    <row r="12448" ht="22.5" customHeight="1">
      <c r="B12448" s="42" t="str">
        <f>IFERROR(__xludf.DUMMYFUNCTION("""COMPUTED_VALUE"""),"")</f>
        <v/>
      </c>
      <c r="C12448" s="42" t="str">
        <f>IFERROR(__xludf.DUMMYFUNCTION("""COMPUTED_VALUE"""),"")</f>
        <v/>
      </c>
      <c r="D12448" s="42"/>
      <c r="E12448" s="42"/>
      <c r="F12448" s="48" t="str">
        <f>IFERROR(__xludf.DUMMYFUNCTION("""COMPUTED_VALUE"""),"")</f>
        <v/>
      </c>
      <c r="G12448" s="42" t="str">
        <f>IFERROR(__xludf.DUMMYFUNCTION("""COMPUTED_VALUE"""),"")</f>
        <v/>
      </c>
      <c r="H12448" s="42">
        <f t="shared" si="1"/>
        <v>3345</v>
      </c>
    </row>
    <row r="12449" ht="22.5" customHeight="1">
      <c r="B12449" s="42" t="str">
        <f>IFERROR(__xludf.DUMMYFUNCTION("""COMPUTED_VALUE"""),"")</f>
        <v/>
      </c>
      <c r="C12449" s="42" t="str">
        <f>IFERROR(__xludf.DUMMYFUNCTION("""COMPUTED_VALUE"""),"")</f>
        <v/>
      </c>
      <c r="D12449" s="42"/>
      <c r="E12449" s="42"/>
      <c r="F12449" s="48" t="str">
        <f>IFERROR(__xludf.DUMMYFUNCTION("""COMPUTED_VALUE"""),"")</f>
        <v/>
      </c>
      <c r="G12449" s="42" t="str">
        <f>IFERROR(__xludf.DUMMYFUNCTION("""COMPUTED_VALUE"""),"")</f>
        <v/>
      </c>
      <c r="H12449" s="42">
        <f t="shared" si="1"/>
        <v>3345</v>
      </c>
    </row>
    <row r="12450" ht="22.5" customHeight="1">
      <c r="B12450" s="42" t="str">
        <f>IFERROR(__xludf.DUMMYFUNCTION("""COMPUTED_VALUE"""),"")</f>
        <v/>
      </c>
      <c r="C12450" s="42" t="str">
        <f>IFERROR(__xludf.DUMMYFUNCTION("""COMPUTED_VALUE"""),"")</f>
        <v/>
      </c>
      <c r="D12450" s="42"/>
      <c r="E12450" s="42"/>
      <c r="F12450" s="48" t="str">
        <f>IFERROR(__xludf.DUMMYFUNCTION("""COMPUTED_VALUE"""),"")</f>
        <v/>
      </c>
      <c r="G12450" s="42" t="str">
        <f>IFERROR(__xludf.DUMMYFUNCTION("""COMPUTED_VALUE"""),"")</f>
        <v/>
      </c>
      <c r="H12450" s="42">
        <f t="shared" si="1"/>
        <v>3345</v>
      </c>
    </row>
    <row r="12451" ht="22.5" customHeight="1">
      <c r="B12451" s="42" t="str">
        <f>IFERROR(__xludf.DUMMYFUNCTION("""COMPUTED_VALUE"""),"")</f>
        <v/>
      </c>
      <c r="C12451" s="42" t="str">
        <f>IFERROR(__xludf.DUMMYFUNCTION("""COMPUTED_VALUE"""),"")</f>
        <v/>
      </c>
      <c r="D12451" s="42"/>
      <c r="E12451" s="42"/>
      <c r="F12451" s="48" t="str">
        <f>IFERROR(__xludf.DUMMYFUNCTION("""COMPUTED_VALUE"""),"")</f>
        <v/>
      </c>
      <c r="G12451" s="42" t="str">
        <f>IFERROR(__xludf.DUMMYFUNCTION("""COMPUTED_VALUE"""),"")</f>
        <v/>
      </c>
      <c r="H12451" s="42">
        <f t="shared" si="1"/>
        <v>3345</v>
      </c>
    </row>
    <row r="12452" ht="22.5" customHeight="1">
      <c r="B12452" s="42" t="str">
        <f>IFERROR(__xludf.DUMMYFUNCTION("""COMPUTED_VALUE"""),"")</f>
        <v/>
      </c>
      <c r="C12452" s="42" t="str">
        <f>IFERROR(__xludf.DUMMYFUNCTION("""COMPUTED_VALUE"""),"")</f>
        <v/>
      </c>
      <c r="D12452" s="42"/>
      <c r="E12452" s="42"/>
      <c r="F12452" s="48" t="str">
        <f>IFERROR(__xludf.DUMMYFUNCTION("""COMPUTED_VALUE"""),"")</f>
        <v/>
      </c>
      <c r="G12452" s="42" t="str">
        <f>IFERROR(__xludf.DUMMYFUNCTION("""COMPUTED_VALUE"""),"")</f>
        <v/>
      </c>
      <c r="H12452" s="42">
        <f t="shared" si="1"/>
        <v>3345</v>
      </c>
    </row>
    <row r="12453" ht="22.5" customHeight="1">
      <c r="B12453" s="42" t="str">
        <f>IFERROR(__xludf.DUMMYFUNCTION("""COMPUTED_VALUE"""),"")</f>
        <v/>
      </c>
      <c r="C12453" s="42" t="str">
        <f>IFERROR(__xludf.DUMMYFUNCTION("""COMPUTED_VALUE"""),"")</f>
        <v/>
      </c>
      <c r="D12453" s="42"/>
      <c r="E12453" s="42"/>
      <c r="F12453" s="48" t="str">
        <f>IFERROR(__xludf.DUMMYFUNCTION("""COMPUTED_VALUE"""),"")</f>
        <v/>
      </c>
      <c r="G12453" s="42" t="str">
        <f>IFERROR(__xludf.DUMMYFUNCTION("""COMPUTED_VALUE"""),"")</f>
        <v/>
      </c>
      <c r="H12453" s="42">
        <f t="shared" si="1"/>
        <v>3345</v>
      </c>
    </row>
    <row r="12454" ht="22.5" customHeight="1">
      <c r="B12454" s="42" t="str">
        <f>IFERROR(__xludf.DUMMYFUNCTION("""COMPUTED_VALUE"""),"")</f>
        <v/>
      </c>
      <c r="C12454" s="42" t="str">
        <f>IFERROR(__xludf.DUMMYFUNCTION("""COMPUTED_VALUE"""),"")</f>
        <v/>
      </c>
      <c r="D12454" s="42"/>
      <c r="E12454" s="42"/>
      <c r="F12454" s="48" t="str">
        <f>IFERROR(__xludf.DUMMYFUNCTION("""COMPUTED_VALUE"""),"")</f>
        <v/>
      </c>
      <c r="G12454" s="42" t="str">
        <f>IFERROR(__xludf.DUMMYFUNCTION("""COMPUTED_VALUE"""),"")</f>
        <v/>
      </c>
      <c r="H12454" s="42">
        <f t="shared" si="1"/>
        <v>3345</v>
      </c>
    </row>
    <row r="12455" ht="22.5" customHeight="1">
      <c r="B12455" s="42" t="str">
        <f>IFERROR(__xludf.DUMMYFUNCTION("""COMPUTED_VALUE"""),"")</f>
        <v/>
      </c>
      <c r="C12455" s="42" t="str">
        <f>IFERROR(__xludf.DUMMYFUNCTION("""COMPUTED_VALUE"""),"")</f>
        <v/>
      </c>
      <c r="D12455" s="42"/>
      <c r="E12455" s="42"/>
      <c r="F12455" s="48" t="str">
        <f>IFERROR(__xludf.DUMMYFUNCTION("""COMPUTED_VALUE"""),"")</f>
        <v/>
      </c>
      <c r="G12455" s="42" t="str">
        <f>IFERROR(__xludf.DUMMYFUNCTION("""COMPUTED_VALUE"""),"")</f>
        <v/>
      </c>
      <c r="H12455" s="42">
        <f t="shared" si="1"/>
        <v>3345</v>
      </c>
    </row>
    <row r="12456" ht="22.5" customHeight="1">
      <c r="B12456" s="42" t="str">
        <f>IFERROR(__xludf.DUMMYFUNCTION("""COMPUTED_VALUE"""),"")</f>
        <v/>
      </c>
      <c r="C12456" s="42" t="str">
        <f>IFERROR(__xludf.DUMMYFUNCTION("""COMPUTED_VALUE"""),"")</f>
        <v/>
      </c>
      <c r="D12456" s="42"/>
      <c r="E12456" s="42"/>
      <c r="F12456" s="48" t="str">
        <f>IFERROR(__xludf.DUMMYFUNCTION("""COMPUTED_VALUE"""),"")</f>
        <v/>
      </c>
      <c r="G12456" s="42" t="str">
        <f>IFERROR(__xludf.DUMMYFUNCTION("""COMPUTED_VALUE"""),"")</f>
        <v/>
      </c>
      <c r="H12456" s="42">
        <f t="shared" si="1"/>
        <v>3345</v>
      </c>
    </row>
    <row r="12457" ht="22.5" customHeight="1">
      <c r="B12457" s="42" t="str">
        <f>IFERROR(__xludf.DUMMYFUNCTION("""COMPUTED_VALUE"""),"")</f>
        <v/>
      </c>
      <c r="C12457" s="42" t="str">
        <f>IFERROR(__xludf.DUMMYFUNCTION("""COMPUTED_VALUE"""),"")</f>
        <v/>
      </c>
      <c r="D12457" s="42"/>
      <c r="E12457" s="42"/>
      <c r="F12457" s="48" t="str">
        <f>IFERROR(__xludf.DUMMYFUNCTION("""COMPUTED_VALUE"""),"")</f>
        <v/>
      </c>
      <c r="G12457" s="42" t="str">
        <f>IFERROR(__xludf.DUMMYFUNCTION("""COMPUTED_VALUE"""),"")</f>
        <v/>
      </c>
      <c r="H12457" s="42">
        <f t="shared" si="1"/>
        <v>3345</v>
      </c>
    </row>
    <row r="12458" ht="22.5" customHeight="1">
      <c r="B12458" s="42" t="str">
        <f>IFERROR(__xludf.DUMMYFUNCTION("""COMPUTED_VALUE"""),"")</f>
        <v/>
      </c>
      <c r="C12458" s="42" t="str">
        <f>IFERROR(__xludf.DUMMYFUNCTION("""COMPUTED_VALUE"""),"")</f>
        <v/>
      </c>
      <c r="D12458" s="42"/>
      <c r="E12458" s="42"/>
      <c r="F12458" s="48" t="str">
        <f>IFERROR(__xludf.DUMMYFUNCTION("""COMPUTED_VALUE"""),"")</f>
        <v/>
      </c>
      <c r="G12458" s="42" t="str">
        <f>IFERROR(__xludf.DUMMYFUNCTION("""COMPUTED_VALUE"""),"")</f>
        <v/>
      </c>
      <c r="H12458" s="42">
        <f t="shared" si="1"/>
        <v>3345</v>
      </c>
    </row>
    <row r="12459" ht="22.5" customHeight="1">
      <c r="B12459" s="42" t="str">
        <f>IFERROR(__xludf.DUMMYFUNCTION("""COMPUTED_VALUE"""),"")</f>
        <v/>
      </c>
      <c r="C12459" s="42" t="str">
        <f>IFERROR(__xludf.DUMMYFUNCTION("""COMPUTED_VALUE"""),"")</f>
        <v/>
      </c>
      <c r="D12459" s="42"/>
      <c r="E12459" s="42"/>
      <c r="F12459" s="48" t="str">
        <f>IFERROR(__xludf.DUMMYFUNCTION("""COMPUTED_VALUE"""),"")</f>
        <v/>
      </c>
      <c r="G12459" s="42" t="str">
        <f>IFERROR(__xludf.DUMMYFUNCTION("""COMPUTED_VALUE"""),"")</f>
        <v/>
      </c>
      <c r="H12459" s="42">
        <f t="shared" si="1"/>
        <v>3345</v>
      </c>
    </row>
    <row r="12460" ht="22.5" customHeight="1">
      <c r="B12460" s="42" t="str">
        <f>IFERROR(__xludf.DUMMYFUNCTION("""COMPUTED_VALUE"""),"")</f>
        <v/>
      </c>
      <c r="C12460" s="42" t="str">
        <f>IFERROR(__xludf.DUMMYFUNCTION("""COMPUTED_VALUE"""),"")</f>
        <v/>
      </c>
      <c r="D12460" s="42"/>
      <c r="E12460" s="42"/>
      <c r="F12460" s="48" t="str">
        <f>IFERROR(__xludf.DUMMYFUNCTION("""COMPUTED_VALUE"""),"")</f>
        <v/>
      </c>
      <c r="G12460" s="42" t="str">
        <f>IFERROR(__xludf.DUMMYFUNCTION("""COMPUTED_VALUE"""),"")</f>
        <v/>
      </c>
      <c r="H12460" s="42">
        <f t="shared" si="1"/>
        <v>3345</v>
      </c>
    </row>
    <row r="12461" ht="22.5" customHeight="1">
      <c r="B12461" s="42" t="str">
        <f>IFERROR(__xludf.DUMMYFUNCTION("""COMPUTED_VALUE"""),"")</f>
        <v/>
      </c>
      <c r="C12461" s="42" t="str">
        <f>IFERROR(__xludf.DUMMYFUNCTION("""COMPUTED_VALUE"""),"")</f>
        <v/>
      </c>
      <c r="D12461" s="42"/>
      <c r="E12461" s="42"/>
      <c r="F12461" s="48" t="str">
        <f>IFERROR(__xludf.DUMMYFUNCTION("""COMPUTED_VALUE"""),"")</f>
        <v/>
      </c>
      <c r="G12461" s="42" t="str">
        <f>IFERROR(__xludf.DUMMYFUNCTION("""COMPUTED_VALUE"""),"")</f>
        <v/>
      </c>
      <c r="H12461" s="42">
        <f t="shared" si="1"/>
        <v>3345</v>
      </c>
    </row>
    <row r="12462" ht="22.5" customHeight="1">
      <c r="B12462" s="42" t="str">
        <f>IFERROR(__xludf.DUMMYFUNCTION("""COMPUTED_VALUE"""),"")</f>
        <v/>
      </c>
      <c r="C12462" s="42" t="str">
        <f>IFERROR(__xludf.DUMMYFUNCTION("""COMPUTED_VALUE"""),"")</f>
        <v/>
      </c>
      <c r="D12462" s="42"/>
      <c r="E12462" s="42"/>
      <c r="F12462" s="48" t="str">
        <f>IFERROR(__xludf.DUMMYFUNCTION("""COMPUTED_VALUE"""),"")</f>
        <v/>
      </c>
      <c r="G12462" s="42" t="str">
        <f>IFERROR(__xludf.DUMMYFUNCTION("""COMPUTED_VALUE"""),"")</f>
        <v/>
      </c>
      <c r="H12462" s="42">
        <f t="shared" si="1"/>
        <v>3345</v>
      </c>
    </row>
    <row r="12463" ht="22.5" customHeight="1">
      <c r="B12463" s="42" t="str">
        <f>IFERROR(__xludf.DUMMYFUNCTION("""COMPUTED_VALUE"""),"")</f>
        <v/>
      </c>
      <c r="C12463" s="42" t="str">
        <f>IFERROR(__xludf.DUMMYFUNCTION("""COMPUTED_VALUE"""),"")</f>
        <v/>
      </c>
      <c r="D12463" s="42"/>
      <c r="E12463" s="42"/>
      <c r="F12463" s="48" t="str">
        <f>IFERROR(__xludf.DUMMYFUNCTION("""COMPUTED_VALUE"""),"")</f>
        <v/>
      </c>
      <c r="G12463" s="42" t="str">
        <f>IFERROR(__xludf.DUMMYFUNCTION("""COMPUTED_VALUE"""),"")</f>
        <v/>
      </c>
      <c r="H12463" s="42">
        <f t="shared" si="1"/>
        <v>3345</v>
      </c>
    </row>
    <row r="12464" ht="22.5" customHeight="1">
      <c r="B12464" s="42" t="str">
        <f>IFERROR(__xludf.DUMMYFUNCTION("""COMPUTED_VALUE"""),"")</f>
        <v/>
      </c>
      <c r="C12464" s="42" t="str">
        <f>IFERROR(__xludf.DUMMYFUNCTION("""COMPUTED_VALUE"""),"")</f>
        <v/>
      </c>
      <c r="D12464" s="42"/>
      <c r="E12464" s="42"/>
      <c r="F12464" s="48" t="str">
        <f>IFERROR(__xludf.DUMMYFUNCTION("""COMPUTED_VALUE"""),"")</f>
        <v/>
      </c>
      <c r="G12464" s="42" t="str">
        <f>IFERROR(__xludf.DUMMYFUNCTION("""COMPUTED_VALUE"""),"")</f>
        <v/>
      </c>
      <c r="H12464" s="42">
        <f t="shared" si="1"/>
        <v>3345</v>
      </c>
    </row>
    <row r="12465" ht="22.5" customHeight="1">
      <c r="B12465" s="42" t="str">
        <f>IFERROR(__xludf.DUMMYFUNCTION("""COMPUTED_VALUE"""),"")</f>
        <v/>
      </c>
      <c r="C12465" s="42" t="str">
        <f>IFERROR(__xludf.DUMMYFUNCTION("""COMPUTED_VALUE"""),"")</f>
        <v/>
      </c>
      <c r="D12465" s="42"/>
      <c r="E12465" s="42"/>
      <c r="F12465" s="48" t="str">
        <f>IFERROR(__xludf.DUMMYFUNCTION("""COMPUTED_VALUE"""),"")</f>
        <v/>
      </c>
      <c r="G12465" s="42" t="str">
        <f>IFERROR(__xludf.DUMMYFUNCTION("""COMPUTED_VALUE"""),"")</f>
        <v/>
      </c>
      <c r="H12465" s="42">
        <f t="shared" si="1"/>
        <v>3345</v>
      </c>
    </row>
    <row r="12466" ht="22.5" customHeight="1">
      <c r="B12466" s="42" t="str">
        <f>IFERROR(__xludf.DUMMYFUNCTION("""COMPUTED_VALUE"""),"")</f>
        <v/>
      </c>
      <c r="C12466" s="42" t="str">
        <f>IFERROR(__xludf.DUMMYFUNCTION("""COMPUTED_VALUE"""),"")</f>
        <v/>
      </c>
      <c r="D12466" s="42"/>
      <c r="E12466" s="42"/>
      <c r="F12466" s="48" t="str">
        <f>IFERROR(__xludf.DUMMYFUNCTION("""COMPUTED_VALUE"""),"")</f>
        <v/>
      </c>
      <c r="G12466" s="42" t="str">
        <f>IFERROR(__xludf.DUMMYFUNCTION("""COMPUTED_VALUE"""),"")</f>
        <v/>
      </c>
      <c r="H12466" s="42">
        <f t="shared" si="1"/>
        <v>3345</v>
      </c>
    </row>
    <row r="12467" ht="22.5" customHeight="1">
      <c r="B12467" s="42" t="str">
        <f>IFERROR(__xludf.DUMMYFUNCTION("""COMPUTED_VALUE"""),"")</f>
        <v/>
      </c>
      <c r="C12467" s="42" t="str">
        <f>IFERROR(__xludf.DUMMYFUNCTION("""COMPUTED_VALUE"""),"")</f>
        <v/>
      </c>
      <c r="D12467" s="42"/>
      <c r="E12467" s="42"/>
      <c r="F12467" s="48" t="str">
        <f>IFERROR(__xludf.DUMMYFUNCTION("""COMPUTED_VALUE"""),"")</f>
        <v/>
      </c>
      <c r="G12467" s="42" t="str">
        <f>IFERROR(__xludf.DUMMYFUNCTION("""COMPUTED_VALUE"""),"")</f>
        <v/>
      </c>
      <c r="H12467" s="42">
        <f t="shared" si="1"/>
        <v>3345</v>
      </c>
    </row>
    <row r="12468" ht="22.5" customHeight="1">
      <c r="B12468" s="42" t="str">
        <f>IFERROR(__xludf.DUMMYFUNCTION("""COMPUTED_VALUE"""),"")</f>
        <v/>
      </c>
      <c r="C12468" s="42" t="str">
        <f>IFERROR(__xludf.DUMMYFUNCTION("""COMPUTED_VALUE"""),"")</f>
        <v/>
      </c>
      <c r="D12468" s="42"/>
      <c r="E12468" s="42"/>
      <c r="F12468" s="48" t="str">
        <f>IFERROR(__xludf.DUMMYFUNCTION("""COMPUTED_VALUE"""),"")</f>
        <v/>
      </c>
      <c r="G12468" s="42" t="str">
        <f>IFERROR(__xludf.DUMMYFUNCTION("""COMPUTED_VALUE"""),"")</f>
        <v/>
      </c>
      <c r="H12468" s="42">
        <f t="shared" si="1"/>
        <v>3345</v>
      </c>
    </row>
    <row r="12469" ht="22.5" customHeight="1">
      <c r="B12469" s="42" t="str">
        <f>IFERROR(__xludf.DUMMYFUNCTION("""COMPUTED_VALUE"""),"")</f>
        <v/>
      </c>
      <c r="C12469" s="42" t="str">
        <f>IFERROR(__xludf.DUMMYFUNCTION("""COMPUTED_VALUE"""),"")</f>
        <v/>
      </c>
      <c r="D12469" s="42"/>
      <c r="E12469" s="42"/>
      <c r="F12469" s="48" t="str">
        <f>IFERROR(__xludf.DUMMYFUNCTION("""COMPUTED_VALUE"""),"")</f>
        <v/>
      </c>
      <c r="G12469" s="42" t="str">
        <f>IFERROR(__xludf.DUMMYFUNCTION("""COMPUTED_VALUE"""),"")</f>
        <v/>
      </c>
      <c r="H12469" s="42">
        <f t="shared" si="1"/>
        <v>3345</v>
      </c>
    </row>
    <row r="12470" ht="22.5" customHeight="1">
      <c r="B12470" s="42" t="str">
        <f>IFERROR(__xludf.DUMMYFUNCTION("""COMPUTED_VALUE"""),"")</f>
        <v/>
      </c>
      <c r="C12470" s="42" t="str">
        <f>IFERROR(__xludf.DUMMYFUNCTION("""COMPUTED_VALUE"""),"")</f>
        <v/>
      </c>
      <c r="D12470" s="42"/>
      <c r="E12470" s="42"/>
      <c r="F12470" s="48" t="str">
        <f>IFERROR(__xludf.DUMMYFUNCTION("""COMPUTED_VALUE"""),"")</f>
        <v/>
      </c>
      <c r="G12470" s="42" t="str">
        <f>IFERROR(__xludf.DUMMYFUNCTION("""COMPUTED_VALUE"""),"")</f>
        <v/>
      </c>
      <c r="H12470" s="42">
        <f t="shared" si="1"/>
        <v>3345</v>
      </c>
    </row>
    <row r="12471" ht="22.5" customHeight="1">
      <c r="B12471" s="42" t="str">
        <f>IFERROR(__xludf.DUMMYFUNCTION("""COMPUTED_VALUE"""),"")</f>
        <v/>
      </c>
      <c r="C12471" s="42" t="str">
        <f>IFERROR(__xludf.DUMMYFUNCTION("""COMPUTED_VALUE"""),"")</f>
        <v/>
      </c>
      <c r="D12471" s="42"/>
      <c r="E12471" s="42"/>
      <c r="F12471" s="48" t="str">
        <f>IFERROR(__xludf.DUMMYFUNCTION("""COMPUTED_VALUE"""),"")</f>
        <v/>
      </c>
      <c r="G12471" s="42" t="str">
        <f>IFERROR(__xludf.DUMMYFUNCTION("""COMPUTED_VALUE"""),"")</f>
        <v/>
      </c>
      <c r="H12471" s="42">
        <f t="shared" si="1"/>
        <v>3345</v>
      </c>
    </row>
    <row r="12472" ht="22.5" customHeight="1">
      <c r="B12472" s="42" t="str">
        <f>IFERROR(__xludf.DUMMYFUNCTION("""COMPUTED_VALUE"""),"")</f>
        <v/>
      </c>
      <c r="C12472" s="42" t="str">
        <f>IFERROR(__xludf.DUMMYFUNCTION("""COMPUTED_VALUE"""),"")</f>
        <v/>
      </c>
      <c r="D12472" s="42"/>
      <c r="E12472" s="42"/>
      <c r="F12472" s="48" t="str">
        <f>IFERROR(__xludf.DUMMYFUNCTION("""COMPUTED_VALUE"""),"")</f>
        <v/>
      </c>
      <c r="G12472" s="42" t="str">
        <f>IFERROR(__xludf.DUMMYFUNCTION("""COMPUTED_VALUE"""),"")</f>
        <v/>
      </c>
      <c r="H12472" s="42">
        <f t="shared" si="1"/>
        <v>3345</v>
      </c>
    </row>
    <row r="12473" ht="22.5" customHeight="1">
      <c r="B12473" s="42" t="str">
        <f>IFERROR(__xludf.DUMMYFUNCTION("""COMPUTED_VALUE"""),"")</f>
        <v/>
      </c>
      <c r="C12473" s="42" t="str">
        <f>IFERROR(__xludf.DUMMYFUNCTION("""COMPUTED_VALUE"""),"")</f>
        <v/>
      </c>
      <c r="D12473" s="42"/>
      <c r="E12473" s="42"/>
      <c r="F12473" s="48" t="str">
        <f>IFERROR(__xludf.DUMMYFUNCTION("""COMPUTED_VALUE"""),"")</f>
        <v/>
      </c>
      <c r="G12473" s="42" t="str">
        <f>IFERROR(__xludf.DUMMYFUNCTION("""COMPUTED_VALUE"""),"")</f>
        <v/>
      </c>
      <c r="H12473" s="42">
        <f t="shared" si="1"/>
        <v>3345</v>
      </c>
    </row>
    <row r="12474" ht="22.5" customHeight="1">
      <c r="B12474" s="42" t="str">
        <f>IFERROR(__xludf.DUMMYFUNCTION("""COMPUTED_VALUE"""),"")</f>
        <v/>
      </c>
      <c r="C12474" s="42" t="str">
        <f>IFERROR(__xludf.DUMMYFUNCTION("""COMPUTED_VALUE"""),"")</f>
        <v/>
      </c>
      <c r="D12474" s="42"/>
      <c r="E12474" s="42"/>
      <c r="F12474" s="48" t="str">
        <f>IFERROR(__xludf.DUMMYFUNCTION("""COMPUTED_VALUE"""),"")</f>
        <v/>
      </c>
      <c r="G12474" s="42" t="str">
        <f>IFERROR(__xludf.DUMMYFUNCTION("""COMPUTED_VALUE"""),"")</f>
        <v/>
      </c>
      <c r="H12474" s="42">
        <f t="shared" si="1"/>
        <v>3345</v>
      </c>
    </row>
    <row r="12475" ht="22.5" customHeight="1">
      <c r="B12475" s="42" t="str">
        <f>IFERROR(__xludf.DUMMYFUNCTION("""COMPUTED_VALUE"""),"")</f>
        <v/>
      </c>
      <c r="C12475" s="42" t="str">
        <f>IFERROR(__xludf.DUMMYFUNCTION("""COMPUTED_VALUE"""),"")</f>
        <v/>
      </c>
      <c r="D12475" s="42"/>
      <c r="E12475" s="42"/>
      <c r="F12475" s="48" t="str">
        <f>IFERROR(__xludf.DUMMYFUNCTION("""COMPUTED_VALUE"""),"")</f>
        <v/>
      </c>
      <c r="G12475" s="42" t="str">
        <f>IFERROR(__xludf.DUMMYFUNCTION("""COMPUTED_VALUE"""),"")</f>
        <v/>
      </c>
      <c r="H12475" s="42">
        <f t="shared" si="1"/>
        <v>3345</v>
      </c>
    </row>
    <row r="12476" ht="22.5" customHeight="1">
      <c r="B12476" s="42" t="str">
        <f>IFERROR(__xludf.DUMMYFUNCTION("""COMPUTED_VALUE"""),"")</f>
        <v/>
      </c>
      <c r="C12476" s="42" t="str">
        <f>IFERROR(__xludf.DUMMYFUNCTION("""COMPUTED_VALUE"""),"")</f>
        <v/>
      </c>
      <c r="D12476" s="42"/>
      <c r="E12476" s="42"/>
      <c r="F12476" s="48" t="str">
        <f>IFERROR(__xludf.DUMMYFUNCTION("""COMPUTED_VALUE"""),"")</f>
        <v/>
      </c>
      <c r="G12476" s="42" t="str">
        <f>IFERROR(__xludf.DUMMYFUNCTION("""COMPUTED_VALUE"""),"")</f>
        <v/>
      </c>
      <c r="H12476" s="42">
        <f t="shared" si="1"/>
        <v>3345</v>
      </c>
    </row>
    <row r="12477" ht="22.5" customHeight="1">
      <c r="B12477" s="42" t="str">
        <f>IFERROR(__xludf.DUMMYFUNCTION("""COMPUTED_VALUE"""),"")</f>
        <v/>
      </c>
      <c r="C12477" s="42" t="str">
        <f>IFERROR(__xludf.DUMMYFUNCTION("""COMPUTED_VALUE"""),"")</f>
        <v/>
      </c>
      <c r="D12477" s="42"/>
      <c r="E12477" s="42"/>
      <c r="F12477" s="48" t="str">
        <f>IFERROR(__xludf.DUMMYFUNCTION("""COMPUTED_VALUE"""),"")</f>
        <v/>
      </c>
      <c r="G12477" s="42" t="str">
        <f>IFERROR(__xludf.DUMMYFUNCTION("""COMPUTED_VALUE"""),"")</f>
        <v/>
      </c>
      <c r="H12477" s="42">
        <f t="shared" si="1"/>
        <v>3345</v>
      </c>
    </row>
    <row r="12478" ht="22.5" customHeight="1">
      <c r="B12478" s="42" t="str">
        <f>IFERROR(__xludf.DUMMYFUNCTION("""COMPUTED_VALUE"""),"")</f>
        <v/>
      </c>
      <c r="C12478" s="42" t="str">
        <f>IFERROR(__xludf.DUMMYFUNCTION("""COMPUTED_VALUE"""),"")</f>
        <v/>
      </c>
      <c r="D12478" s="42"/>
      <c r="E12478" s="42"/>
      <c r="F12478" s="48" t="str">
        <f>IFERROR(__xludf.DUMMYFUNCTION("""COMPUTED_VALUE"""),"")</f>
        <v/>
      </c>
      <c r="G12478" s="42" t="str">
        <f>IFERROR(__xludf.DUMMYFUNCTION("""COMPUTED_VALUE"""),"")</f>
        <v/>
      </c>
      <c r="H12478" s="42">
        <f t="shared" si="1"/>
        <v>3345</v>
      </c>
    </row>
    <row r="12479" ht="22.5" customHeight="1">
      <c r="B12479" s="42" t="str">
        <f>IFERROR(__xludf.DUMMYFUNCTION("""COMPUTED_VALUE"""),"")</f>
        <v/>
      </c>
      <c r="C12479" s="42" t="str">
        <f>IFERROR(__xludf.DUMMYFUNCTION("""COMPUTED_VALUE"""),"")</f>
        <v/>
      </c>
      <c r="D12479" s="42"/>
      <c r="E12479" s="42"/>
      <c r="F12479" s="48" t="str">
        <f>IFERROR(__xludf.DUMMYFUNCTION("""COMPUTED_VALUE"""),"")</f>
        <v/>
      </c>
      <c r="G12479" s="42" t="str">
        <f>IFERROR(__xludf.DUMMYFUNCTION("""COMPUTED_VALUE"""),"")</f>
        <v/>
      </c>
      <c r="H12479" s="42">
        <f t="shared" si="1"/>
        <v>3345</v>
      </c>
    </row>
    <row r="12480" ht="22.5" customHeight="1">
      <c r="B12480" s="42" t="str">
        <f>IFERROR(__xludf.DUMMYFUNCTION("""COMPUTED_VALUE"""),"")</f>
        <v/>
      </c>
      <c r="C12480" s="42" t="str">
        <f>IFERROR(__xludf.DUMMYFUNCTION("""COMPUTED_VALUE"""),"")</f>
        <v/>
      </c>
      <c r="D12480" s="42"/>
      <c r="E12480" s="42"/>
      <c r="F12480" s="48" t="str">
        <f>IFERROR(__xludf.DUMMYFUNCTION("""COMPUTED_VALUE"""),"")</f>
        <v/>
      </c>
      <c r="G12480" s="42" t="str">
        <f>IFERROR(__xludf.DUMMYFUNCTION("""COMPUTED_VALUE"""),"")</f>
        <v/>
      </c>
      <c r="H12480" s="42">
        <f t="shared" si="1"/>
        <v>3345</v>
      </c>
    </row>
    <row r="12481" ht="22.5" customHeight="1">
      <c r="B12481" s="42" t="str">
        <f>IFERROR(__xludf.DUMMYFUNCTION("""COMPUTED_VALUE"""),"")</f>
        <v/>
      </c>
      <c r="C12481" s="42" t="str">
        <f>IFERROR(__xludf.DUMMYFUNCTION("""COMPUTED_VALUE"""),"")</f>
        <v/>
      </c>
      <c r="D12481" s="42"/>
      <c r="E12481" s="42"/>
      <c r="F12481" s="48" t="str">
        <f>IFERROR(__xludf.DUMMYFUNCTION("""COMPUTED_VALUE"""),"")</f>
        <v/>
      </c>
      <c r="G12481" s="42" t="str">
        <f>IFERROR(__xludf.DUMMYFUNCTION("""COMPUTED_VALUE"""),"")</f>
        <v/>
      </c>
      <c r="H12481" s="42">
        <f t="shared" si="1"/>
        <v>3345</v>
      </c>
    </row>
    <row r="12482" ht="22.5" customHeight="1">
      <c r="B12482" s="42" t="str">
        <f>IFERROR(__xludf.DUMMYFUNCTION("""COMPUTED_VALUE"""),"")</f>
        <v/>
      </c>
      <c r="C12482" s="42" t="str">
        <f>IFERROR(__xludf.DUMMYFUNCTION("""COMPUTED_VALUE"""),"")</f>
        <v/>
      </c>
      <c r="D12482" s="42"/>
      <c r="E12482" s="42"/>
      <c r="F12482" s="48" t="str">
        <f>IFERROR(__xludf.DUMMYFUNCTION("""COMPUTED_VALUE"""),"")</f>
        <v/>
      </c>
      <c r="G12482" s="42" t="str">
        <f>IFERROR(__xludf.DUMMYFUNCTION("""COMPUTED_VALUE"""),"")</f>
        <v/>
      </c>
      <c r="H12482" s="42">
        <f t="shared" si="1"/>
        <v>3345</v>
      </c>
    </row>
    <row r="12483" ht="22.5" customHeight="1">
      <c r="B12483" s="42" t="str">
        <f>IFERROR(__xludf.DUMMYFUNCTION("""COMPUTED_VALUE"""),"")</f>
        <v/>
      </c>
      <c r="C12483" s="42" t="str">
        <f>IFERROR(__xludf.DUMMYFUNCTION("""COMPUTED_VALUE"""),"")</f>
        <v/>
      </c>
      <c r="D12483" s="42"/>
      <c r="E12483" s="42"/>
      <c r="F12483" s="48" t="str">
        <f>IFERROR(__xludf.DUMMYFUNCTION("""COMPUTED_VALUE"""),"")</f>
        <v/>
      </c>
      <c r="G12483" s="42" t="str">
        <f>IFERROR(__xludf.DUMMYFUNCTION("""COMPUTED_VALUE"""),"")</f>
        <v/>
      </c>
      <c r="H12483" s="42">
        <f t="shared" si="1"/>
        <v>3345</v>
      </c>
    </row>
    <row r="12484" ht="22.5" customHeight="1">
      <c r="B12484" s="42" t="str">
        <f>IFERROR(__xludf.DUMMYFUNCTION("""COMPUTED_VALUE"""),"")</f>
        <v/>
      </c>
      <c r="C12484" s="42" t="str">
        <f>IFERROR(__xludf.DUMMYFUNCTION("""COMPUTED_VALUE"""),"")</f>
        <v/>
      </c>
      <c r="D12484" s="42"/>
      <c r="E12484" s="42"/>
      <c r="F12484" s="48" t="str">
        <f>IFERROR(__xludf.DUMMYFUNCTION("""COMPUTED_VALUE"""),"")</f>
        <v/>
      </c>
      <c r="G12484" s="42" t="str">
        <f>IFERROR(__xludf.DUMMYFUNCTION("""COMPUTED_VALUE"""),"")</f>
        <v/>
      </c>
      <c r="H12484" s="42">
        <f t="shared" si="1"/>
        <v>3345</v>
      </c>
    </row>
    <row r="12485" ht="22.5" customHeight="1">
      <c r="B12485" s="42" t="str">
        <f>IFERROR(__xludf.DUMMYFUNCTION("""COMPUTED_VALUE"""),"")</f>
        <v/>
      </c>
      <c r="C12485" s="42" t="str">
        <f>IFERROR(__xludf.DUMMYFUNCTION("""COMPUTED_VALUE"""),"")</f>
        <v/>
      </c>
      <c r="D12485" s="42"/>
      <c r="E12485" s="42"/>
      <c r="F12485" s="48" t="str">
        <f>IFERROR(__xludf.DUMMYFUNCTION("""COMPUTED_VALUE"""),"")</f>
        <v/>
      </c>
      <c r="G12485" s="42" t="str">
        <f>IFERROR(__xludf.DUMMYFUNCTION("""COMPUTED_VALUE"""),"")</f>
        <v/>
      </c>
      <c r="H12485" s="42">
        <f t="shared" si="1"/>
        <v>3345</v>
      </c>
    </row>
    <row r="12486" ht="22.5" customHeight="1">
      <c r="B12486" s="42" t="str">
        <f>IFERROR(__xludf.DUMMYFUNCTION("""COMPUTED_VALUE"""),"")</f>
        <v/>
      </c>
      <c r="C12486" s="42" t="str">
        <f>IFERROR(__xludf.DUMMYFUNCTION("""COMPUTED_VALUE"""),"")</f>
        <v/>
      </c>
      <c r="D12486" s="42"/>
      <c r="E12486" s="42"/>
      <c r="F12486" s="48" t="str">
        <f>IFERROR(__xludf.DUMMYFUNCTION("""COMPUTED_VALUE"""),"")</f>
        <v/>
      </c>
      <c r="G12486" s="42" t="str">
        <f>IFERROR(__xludf.DUMMYFUNCTION("""COMPUTED_VALUE"""),"")</f>
        <v/>
      </c>
      <c r="H12486" s="42">
        <f t="shared" si="1"/>
        <v>3345</v>
      </c>
    </row>
    <row r="12487" ht="22.5" customHeight="1">
      <c r="B12487" s="42" t="str">
        <f>IFERROR(__xludf.DUMMYFUNCTION("""COMPUTED_VALUE"""),"")</f>
        <v/>
      </c>
      <c r="C12487" s="42" t="str">
        <f>IFERROR(__xludf.DUMMYFUNCTION("""COMPUTED_VALUE"""),"")</f>
        <v/>
      </c>
      <c r="D12487" s="42"/>
      <c r="E12487" s="42"/>
      <c r="F12487" s="48" t="str">
        <f>IFERROR(__xludf.DUMMYFUNCTION("""COMPUTED_VALUE"""),"")</f>
        <v/>
      </c>
      <c r="G12487" s="42" t="str">
        <f>IFERROR(__xludf.DUMMYFUNCTION("""COMPUTED_VALUE"""),"")</f>
        <v/>
      </c>
      <c r="H12487" s="42">
        <f t="shared" si="1"/>
        <v>3345</v>
      </c>
    </row>
    <row r="12488" ht="22.5" customHeight="1">
      <c r="B12488" s="42" t="str">
        <f>IFERROR(__xludf.DUMMYFUNCTION("""COMPUTED_VALUE"""),"")</f>
        <v/>
      </c>
      <c r="C12488" s="42" t="str">
        <f>IFERROR(__xludf.DUMMYFUNCTION("""COMPUTED_VALUE"""),"")</f>
        <v/>
      </c>
      <c r="D12488" s="42"/>
      <c r="E12488" s="42"/>
      <c r="F12488" s="48" t="str">
        <f>IFERROR(__xludf.DUMMYFUNCTION("""COMPUTED_VALUE"""),"")</f>
        <v/>
      </c>
      <c r="G12488" s="42" t="str">
        <f>IFERROR(__xludf.DUMMYFUNCTION("""COMPUTED_VALUE"""),"")</f>
        <v/>
      </c>
      <c r="H12488" s="42">
        <f t="shared" si="1"/>
        <v>3345</v>
      </c>
    </row>
    <row r="12489" ht="22.5" customHeight="1">
      <c r="B12489" s="42" t="str">
        <f>IFERROR(__xludf.DUMMYFUNCTION("""COMPUTED_VALUE"""),"")</f>
        <v/>
      </c>
      <c r="C12489" s="42" t="str">
        <f>IFERROR(__xludf.DUMMYFUNCTION("""COMPUTED_VALUE"""),"")</f>
        <v/>
      </c>
      <c r="D12489" s="42"/>
      <c r="E12489" s="42"/>
      <c r="F12489" s="48" t="str">
        <f>IFERROR(__xludf.DUMMYFUNCTION("""COMPUTED_VALUE"""),"")</f>
        <v/>
      </c>
      <c r="G12489" s="42" t="str">
        <f>IFERROR(__xludf.DUMMYFUNCTION("""COMPUTED_VALUE"""),"")</f>
        <v/>
      </c>
      <c r="H12489" s="42">
        <f t="shared" si="1"/>
        <v>3345</v>
      </c>
    </row>
    <row r="12490" ht="22.5" customHeight="1">
      <c r="B12490" s="42" t="str">
        <f>IFERROR(__xludf.DUMMYFUNCTION("""COMPUTED_VALUE"""),"")</f>
        <v/>
      </c>
      <c r="C12490" s="42" t="str">
        <f>IFERROR(__xludf.DUMMYFUNCTION("""COMPUTED_VALUE"""),"")</f>
        <v/>
      </c>
      <c r="D12490" s="42"/>
      <c r="E12490" s="42"/>
      <c r="F12490" s="48" t="str">
        <f>IFERROR(__xludf.DUMMYFUNCTION("""COMPUTED_VALUE"""),"")</f>
        <v/>
      </c>
      <c r="G12490" s="42" t="str">
        <f>IFERROR(__xludf.DUMMYFUNCTION("""COMPUTED_VALUE"""),"")</f>
        <v/>
      </c>
      <c r="H12490" s="42">
        <f t="shared" si="1"/>
        <v>3345</v>
      </c>
    </row>
    <row r="12491" ht="22.5" customHeight="1">
      <c r="B12491" s="42" t="str">
        <f>IFERROR(__xludf.DUMMYFUNCTION("""COMPUTED_VALUE"""),"")</f>
        <v/>
      </c>
      <c r="C12491" s="42" t="str">
        <f>IFERROR(__xludf.DUMMYFUNCTION("""COMPUTED_VALUE"""),"")</f>
        <v/>
      </c>
      <c r="D12491" s="42"/>
      <c r="E12491" s="42"/>
      <c r="F12491" s="48" t="str">
        <f>IFERROR(__xludf.DUMMYFUNCTION("""COMPUTED_VALUE"""),"")</f>
        <v/>
      </c>
      <c r="G12491" s="42" t="str">
        <f>IFERROR(__xludf.DUMMYFUNCTION("""COMPUTED_VALUE"""),"")</f>
        <v/>
      </c>
      <c r="H12491" s="42">
        <f t="shared" si="1"/>
        <v>3345</v>
      </c>
    </row>
    <row r="12492" ht="22.5" customHeight="1">
      <c r="B12492" s="42" t="str">
        <f>IFERROR(__xludf.DUMMYFUNCTION("""COMPUTED_VALUE"""),"")</f>
        <v/>
      </c>
      <c r="C12492" s="42" t="str">
        <f>IFERROR(__xludf.DUMMYFUNCTION("""COMPUTED_VALUE"""),"")</f>
        <v/>
      </c>
      <c r="D12492" s="42"/>
      <c r="E12492" s="42"/>
      <c r="F12492" s="48" t="str">
        <f>IFERROR(__xludf.DUMMYFUNCTION("""COMPUTED_VALUE"""),"")</f>
        <v/>
      </c>
      <c r="G12492" s="42" t="str">
        <f>IFERROR(__xludf.DUMMYFUNCTION("""COMPUTED_VALUE"""),"")</f>
        <v/>
      </c>
      <c r="H12492" s="42">
        <f t="shared" si="1"/>
        <v>3345</v>
      </c>
    </row>
    <row r="12493" ht="22.5" customHeight="1">
      <c r="B12493" s="42" t="str">
        <f>IFERROR(__xludf.DUMMYFUNCTION("""COMPUTED_VALUE"""),"")</f>
        <v/>
      </c>
      <c r="C12493" s="42" t="str">
        <f>IFERROR(__xludf.DUMMYFUNCTION("""COMPUTED_VALUE"""),"")</f>
        <v/>
      </c>
      <c r="D12493" s="42"/>
      <c r="E12493" s="42"/>
      <c r="F12493" s="48" t="str">
        <f>IFERROR(__xludf.DUMMYFUNCTION("""COMPUTED_VALUE"""),"")</f>
        <v/>
      </c>
      <c r="G12493" s="42" t="str">
        <f>IFERROR(__xludf.DUMMYFUNCTION("""COMPUTED_VALUE"""),"")</f>
        <v/>
      </c>
      <c r="H12493" s="42">
        <f t="shared" si="1"/>
        <v>3345</v>
      </c>
    </row>
    <row r="12494" ht="22.5" customHeight="1">
      <c r="B12494" s="42" t="str">
        <f>IFERROR(__xludf.DUMMYFUNCTION("""COMPUTED_VALUE"""),"")</f>
        <v/>
      </c>
      <c r="C12494" s="42" t="str">
        <f>IFERROR(__xludf.DUMMYFUNCTION("""COMPUTED_VALUE"""),"")</f>
        <v/>
      </c>
      <c r="D12494" s="42"/>
      <c r="E12494" s="42"/>
      <c r="F12494" s="48" t="str">
        <f>IFERROR(__xludf.DUMMYFUNCTION("""COMPUTED_VALUE"""),"")</f>
        <v/>
      </c>
      <c r="G12494" s="42" t="str">
        <f>IFERROR(__xludf.DUMMYFUNCTION("""COMPUTED_VALUE"""),"")</f>
        <v/>
      </c>
      <c r="H12494" s="42">
        <f t="shared" si="1"/>
        <v>3345</v>
      </c>
    </row>
    <row r="12495" ht="22.5" customHeight="1">
      <c r="B12495" s="42" t="str">
        <f>IFERROR(__xludf.DUMMYFUNCTION("""COMPUTED_VALUE"""),"")</f>
        <v/>
      </c>
      <c r="C12495" s="42" t="str">
        <f>IFERROR(__xludf.DUMMYFUNCTION("""COMPUTED_VALUE"""),"")</f>
        <v/>
      </c>
      <c r="D12495" s="42"/>
      <c r="E12495" s="42"/>
      <c r="F12495" s="48" t="str">
        <f>IFERROR(__xludf.DUMMYFUNCTION("""COMPUTED_VALUE"""),"")</f>
        <v/>
      </c>
      <c r="G12495" s="42" t="str">
        <f>IFERROR(__xludf.DUMMYFUNCTION("""COMPUTED_VALUE"""),"")</f>
        <v/>
      </c>
      <c r="H12495" s="42">
        <f t="shared" si="1"/>
        <v>3345</v>
      </c>
    </row>
    <row r="12496" ht="22.5" customHeight="1">
      <c r="B12496" s="42" t="str">
        <f>IFERROR(__xludf.DUMMYFUNCTION("""COMPUTED_VALUE"""),"")</f>
        <v/>
      </c>
      <c r="C12496" s="42" t="str">
        <f>IFERROR(__xludf.DUMMYFUNCTION("""COMPUTED_VALUE"""),"")</f>
        <v/>
      </c>
      <c r="D12496" s="42"/>
      <c r="E12496" s="42"/>
      <c r="F12496" s="48" t="str">
        <f>IFERROR(__xludf.DUMMYFUNCTION("""COMPUTED_VALUE"""),"")</f>
        <v/>
      </c>
      <c r="G12496" s="42" t="str">
        <f>IFERROR(__xludf.DUMMYFUNCTION("""COMPUTED_VALUE"""),"")</f>
        <v/>
      </c>
      <c r="H12496" s="42">
        <f t="shared" si="1"/>
        <v>3345</v>
      </c>
    </row>
    <row r="12497" ht="22.5" customHeight="1">
      <c r="B12497" s="42" t="str">
        <f>IFERROR(__xludf.DUMMYFUNCTION("""COMPUTED_VALUE"""),"")</f>
        <v/>
      </c>
      <c r="C12497" s="42" t="str">
        <f>IFERROR(__xludf.DUMMYFUNCTION("""COMPUTED_VALUE"""),"")</f>
        <v/>
      </c>
      <c r="D12497" s="42"/>
      <c r="E12497" s="42"/>
      <c r="F12497" s="48" t="str">
        <f>IFERROR(__xludf.DUMMYFUNCTION("""COMPUTED_VALUE"""),"")</f>
        <v/>
      </c>
      <c r="G12497" s="42" t="str">
        <f>IFERROR(__xludf.DUMMYFUNCTION("""COMPUTED_VALUE"""),"")</f>
        <v/>
      </c>
      <c r="H12497" s="42">
        <f t="shared" si="1"/>
        <v>3345</v>
      </c>
    </row>
    <row r="12498" ht="22.5" customHeight="1">
      <c r="B12498" s="42" t="str">
        <f>IFERROR(__xludf.DUMMYFUNCTION("""COMPUTED_VALUE"""),"")</f>
        <v/>
      </c>
      <c r="C12498" s="42" t="str">
        <f>IFERROR(__xludf.DUMMYFUNCTION("""COMPUTED_VALUE"""),"")</f>
        <v/>
      </c>
      <c r="D12498" s="42"/>
      <c r="E12498" s="42"/>
      <c r="F12498" s="48" t="str">
        <f>IFERROR(__xludf.DUMMYFUNCTION("""COMPUTED_VALUE"""),"")</f>
        <v/>
      </c>
      <c r="G12498" s="42" t="str">
        <f>IFERROR(__xludf.DUMMYFUNCTION("""COMPUTED_VALUE"""),"")</f>
        <v/>
      </c>
      <c r="H12498" s="42">
        <f t="shared" si="1"/>
        <v>3345</v>
      </c>
    </row>
    <row r="12499" ht="22.5" customHeight="1">
      <c r="B12499" s="42" t="str">
        <f>IFERROR(__xludf.DUMMYFUNCTION("""COMPUTED_VALUE"""),"")</f>
        <v/>
      </c>
      <c r="C12499" s="42" t="str">
        <f>IFERROR(__xludf.DUMMYFUNCTION("""COMPUTED_VALUE"""),"")</f>
        <v/>
      </c>
      <c r="D12499" s="42"/>
      <c r="E12499" s="42"/>
      <c r="F12499" s="48" t="str">
        <f>IFERROR(__xludf.DUMMYFUNCTION("""COMPUTED_VALUE"""),"")</f>
        <v/>
      </c>
      <c r="G12499" s="42" t="str">
        <f>IFERROR(__xludf.DUMMYFUNCTION("""COMPUTED_VALUE"""),"")</f>
        <v/>
      </c>
      <c r="H12499" s="42">
        <f t="shared" si="1"/>
        <v>3345</v>
      </c>
    </row>
    <row r="12500" ht="22.5" customHeight="1">
      <c r="B12500" s="42" t="str">
        <f>IFERROR(__xludf.DUMMYFUNCTION("""COMPUTED_VALUE"""),"")</f>
        <v/>
      </c>
      <c r="C12500" s="42" t="str">
        <f>IFERROR(__xludf.DUMMYFUNCTION("""COMPUTED_VALUE"""),"")</f>
        <v/>
      </c>
      <c r="D12500" s="42"/>
      <c r="E12500" s="42"/>
      <c r="F12500" s="48" t="str">
        <f>IFERROR(__xludf.DUMMYFUNCTION("""COMPUTED_VALUE"""),"")</f>
        <v/>
      </c>
      <c r="G12500" s="42" t="str">
        <f>IFERROR(__xludf.DUMMYFUNCTION("""COMPUTED_VALUE"""),"")</f>
        <v/>
      </c>
      <c r="H12500" s="42">
        <f t="shared" si="1"/>
        <v>3345</v>
      </c>
    </row>
    <row r="12501" ht="22.5" customHeight="1">
      <c r="B12501" s="42" t="str">
        <f>IFERROR(__xludf.DUMMYFUNCTION("""COMPUTED_VALUE"""),"")</f>
        <v/>
      </c>
      <c r="C12501" s="42" t="str">
        <f>IFERROR(__xludf.DUMMYFUNCTION("""COMPUTED_VALUE"""),"")</f>
        <v/>
      </c>
      <c r="D12501" s="42"/>
      <c r="E12501" s="42"/>
      <c r="F12501" s="48" t="str">
        <f>IFERROR(__xludf.DUMMYFUNCTION("""COMPUTED_VALUE"""),"")</f>
        <v/>
      </c>
      <c r="G12501" s="42" t="str">
        <f>IFERROR(__xludf.DUMMYFUNCTION("""COMPUTED_VALUE"""),"")</f>
        <v/>
      </c>
      <c r="H12501" s="42">
        <f t="shared" si="1"/>
        <v>3345</v>
      </c>
    </row>
    <row r="12502" ht="22.5" customHeight="1">
      <c r="B12502" s="42" t="str">
        <f>IFERROR(__xludf.DUMMYFUNCTION("""COMPUTED_VALUE"""),"")</f>
        <v/>
      </c>
      <c r="C12502" s="42" t="str">
        <f>IFERROR(__xludf.DUMMYFUNCTION("""COMPUTED_VALUE"""),"")</f>
        <v/>
      </c>
      <c r="D12502" s="42"/>
      <c r="E12502" s="42"/>
      <c r="F12502" s="48" t="str">
        <f>IFERROR(__xludf.DUMMYFUNCTION("""COMPUTED_VALUE"""),"")</f>
        <v/>
      </c>
      <c r="G12502" s="42" t="str">
        <f>IFERROR(__xludf.DUMMYFUNCTION("""COMPUTED_VALUE"""),"")</f>
        <v/>
      </c>
      <c r="H12502" s="42">
        <f t="shared" si="1"/>
        <v>3345</v>
      </c>
    </row>
    <row r="12503" ht="22.5" customHeight="1">
      <c r="B12503" s="42" t="str">
        <f>IFERROR(__xludf.DUMMYFUNCTION("""COMPUTED_VALUE"""),"")</f>
        <v/>
      </c>
      <c r="C12503" s="42" t="str">
        <f>IFERROR(__xludf.DUMMYFUNCTION("""COMPUTED_VALUE"""),"")</f>
        <v/>
      </c>
      <c r="D12503" s="42"/>
      <c r="E12503" s="42"/>
      <c r="F12503" s="48" t="str">
        <f>IFERROR(__xludf.DUMMYFUNCTION("""COMPUTED_VALUE"""),"")</f>
        <v/>
      </c>
      <c r="G12503" s="42" t="str">
        <f>IFERROR(__xludf.DUMMYFUNCTION("""COMPUTED_VALUE"""),"")</f>
        <v/>
      </c>
      <c r="H12503" s="42">
        <f t="shared" si="1"/>
        <v>3345</v>
      </c>
    </row>
    <row r="12504" ht="22.5" customHeight="1">
      <c r="B12504" s="42" t="str">
        <f>IFERROR(__xludf.DUMMYFUNCTION("""COMPUTED_VALUE"""),"")</f>
        <v/>
      </c>
      <c r="C12504" s="42" t="str">
        <f>IFERROR(__xludf.DUMMYFUNCTION("""COMPUTED_VALUE"""),"")</f>
        <v/>
      </c>
      <c r="D12504" s="42"/>
      <c r="E12504" s="42"/>
      <c r="F12504" s="48" t="str">
        <f>IFERROR(__xludf.DUMMYFUNCTION("""COMPUTED_VALUE"""),"")</f>
        <v/>
      </c>
      <c r="G12504" s="42" t="str">
        <f>IFERROR(__xludf.DUMMYFUNCTION("""COMPUTED_VALUE"""),"")</f>
        <v/>
      </c>
      <c r="H12504" s="42">
        <f t="shared" si="1"/>
        <v>3345</v>
      </c>
    </row>
    <row r="12505" ht="22.5" customHeight="1">
      <c r="B12505" s="42" t="str">
        <f>IFERROR(__xludf.DUMMYFUNCTION("""COMPUTED_VALUE"""),"")</f>
        <v/>
      </c>
      <c r="C12505" s="42" t="str">
        <f>IFERROR(__xludf.DUMMYFUNCTION("""COMPUTED_VALUE"""),"")</f>
        <v/>
      </c>
      <c r="D12505" s="42"/>
      <c r="E12505" s="42"/>
      <c r="F12505" s="48" t="str">
        <f>IFERROR(__xludf.DUMMYFUNCTION("""COMPUTED_VALUE"""),"")</f>
        <v/>
      </c>
      <c r="G12505" s="42" t="str">
        <f>IFERROR(__xludf.DUMMYFUNCTION("""COMPUTED_VALUE"""),"")</f>
        <v/>
      </c>
      <c r="H12505" s="42">
        <f t="shared" si="1"/>
        <v>3345</v>
      </c>
    </row>
    <row r="12506" ht="22.5" customHeight="1">
      <c r="B12506" s="42" t="str">
        <f>IFERROR(__xludf.DUMMYFUNCTION("""COMPUTED_VALUE"""),"")</f>
        <v/>
      </c>
      <c r="C12506" s="42" t="str">
        <f>IFERROR(__xludf.DUMMYFUNCTION("""COMPUTED_VALUE"""),"")</f>
        <v/>
      </c>
      <c r="D12506" s="42"/>
      <c r="E12506" s="42"/>
      <c r="F12506" s="48" t="str">
        <f>IFERROR(__xludf.DUMMYFUNCTION("""COMPUTED_VALUE"""),"")</f>
        <v/>
      </c>
      <c r="G12506" s="42" t="str">
        <f>IFERROR(__xludf.DUMMYFUNCTION("""COMPUTED_VALUE"""),"")</f>
        <v/>
      </c>
      <c r="H12506" s="42">
        <f t="shared" si="1"/>
        <v>3345</v>
      </c>
    </row>
    <row r="12507" ht="22.5" customHeight="1">
      <c r="B12507" s="42" t="str">
        <f>IFERROR(__xludf.DUMMYFUNCTION("""COMPUTED_VALUE"""),"")</f>
        <v/>
      </c>
      <c r="C12507" s="42" t="str">
        <f>IFERROR(__xludf.DUMMYFUNCTION("""COMPUTED_VALUE"""),"")</f>
        <v/>
      </c>
      <c r="D12507" s="42"/>
      <c r="E12507" s="42"/>
      <c r="F12507" s="48" t="str">
        <f>IFERROR(__xludf.DUMMYFUNCTION("""COMPUTED_VALUE"""),"")</f>
        <v/>
      </c>
      <c r="G12507" s="42" t="str">
        <f>IFERROR(__xludf.DUMMYFUNCTION("""COMPUTED_VALUE"""),"")</f>
        <v/>
      </c>
      <c r="H12507" s="42">
        <f t="shared" si="1"/>
        <v>3345</v>
      </c>
    </row>
    <row r="12508" ht="22.5" customHeight="1">
      <c r="B12508" s="42" t="str">
        <f>IFERROR(__xludf.DUMMYFUNCTION("""COMPUTED_VALUE"""),"")</f>
        <v/>
      </c>
      <c r="C12508" s="42" t="str">
        <f>IFERROR(__xludf.DUMMYFUNCTION("""COMPUTED_VALUE"""),"")</f>
        <v/>
      </c>
      <c r="D12508" s="42"/>
      <c r="E12508" s="42"/>
      <c r="F12508" s="48" t="str">
        <f>IFERROR(__xludf.DUMMYFUNCTION("""COMPUTED_VALUE"""),"")</f>
        <v/>
      </c>
      <c r="G12508" s="42" t="str">
        <f>IFERROR(__xludf.DUMMYFUNCTION("""COMPUTED_VALUE"""),"")</f>
        <v/>
      </c>
      <c r="H12508" s="42">
        <f t="shared" si="1"/>
        <v>3345</v>
      </c>
    </row>
    <row r="12509" ht="22.5" customHeight="1">
      <c r="B12509" s="42" t="str">
        <f>IFERROR(__xludf.DUMMYFUNCTION("""COMPUTED_VALUE"""),"")</f>
        <v/>
      </c>
      <c r="C12509" s="42" t="str">
        <f>IFERROR(__xludf.DUMMYFUNCTION("""COMPUTED_VALUE"""),"")</f>
        <v/>
      </c>
      <c r="D12509" s="42"/>
      <c r="E12509" s="42"/>
      <c r="F12509" s="48" t="str">
        <f>IFERROR(__xludf.DUMMYFUNCTION("""COMPUTED_VALUE"""),"")</f>
        <v/>
      </c>
      <c r="G12509" s="42" t="str">
        <f>IFERROR(__xludf.DUMMYFUNCTION("""COMPUTED_VALUE"""),"")</f>
        <v/>
      </c>
      <c r="H12509" s="42">
        <f t="shared" si="1"/>
        <v>3345</v>
      </c>
    </row>
    <row r="12510" ht="22.5" customHeight="1">
      <c r="B12510" s="42" t="str">
        <f>IFERROR(__xludf.DUMMYFUNCTION("""COMPUTED_VALUE"""),"")</f>
        <v/>
      </c>
      <c r="C12510" s="42" t="str">
        <f>IFERROR(__xludf.DUMMYFUNCTION("""COMPUTED_VALUE"""),"")</f>
        <v/>
      </c>
      <c r="D12510" s="42"/>
      <c r="E12510" s="42"/>
      <c r="F12510" s="48" t="str">
        <f>IFERROR(__xludf.DUMMYFUNCTION("""COMPUTED_VALUE"""),"")</f>
        <v/>
      </c>
      <c r="G12510" s="42" t="str">
        <f>IFERROR(__xludf.DUMMYFUNCTION("""COMPUTED_VALUE"""),"")</f>
        <v/>
      </c>
      <c r="H12510" s="42">
        <f t="shared" si="1"/>
        <v>3345</v>
      </c>
    </row>
    <row r="12511" ht="22.5" customHeight="1">
      <c r="B12511" s="42" t="str">
        <f>IFERROR(__xludf.DUMMYFUNCTION("""COMPUTED_VALUE"""),"")</f>
        <v/>
      </c>
      <c r="C12511" s="42" t="str">
        <f>IFERROR(__xludf.DUMMYFUNCTION("""COMPUTED_VALUE"""),"")</f>
        <v/>
      </c>
      <c r="D12511" s="42"/>
      <c r="E12511" s="42"/>
      <c r="F12511" s="48" t="str">
        <f>IFERROR(__xludf.DUMMYFUNCTION("""COMPUTED_VALUE"""),"")</f>
        <v/>
      </c>
      <c r="G12511" s="42" t="str">
        <f>IFERROR(__xludf.DUMMYFUNCTION("""COMPUTED_VALUE"""),"")</f>
        <v/>
      </c>
      <c r="H12511" s="42">
        <f t="shared" si="1"/>
        <v>3345</v>
      </c>
    </row>
    <row r="12512" ht="22.5" customHeight="1">
      <c r="B12512" s="42" t="str">
        <f>IFERROR(__xludf.DUMMYFUNCTION("""COMPUTED_VALUE"""),"")</f>
        <v/>
      </c>
      <c r="C12512" s="42" t="str">
        <f>IFERROR(__xludf.DUMMYFUNCTION("""COMPUTED_VALUE"""),"")</f>
        <v/>
      </c>
      <c r="D12512" s="42"/>
      <c r="E12512" s="42"/>
      <c r="F12512" s="48" t="str">
        <f>IFERROR(__xludf.DUMMYFUNCTION("""COMPUTED_VALUE"""),"")</f>
        <v/>
      </c>
      <c r="G12512" s="42" t="str">
        <f>IFERROR(__xludf.DUMMYFUNCTION("""COMPUTED_VALUE"""),"")</f>
        <v/>
      </c>
      <c r="H12512" s="42">
        <f t="shared" si="1"/>
        <v>3345</v>
      </c>
    </row>
    <row r="12513" ht="22.5" customHeight="1">
      <c r="B12513" s="42" t="str">
        <f>IFERROR(__xludf.DUMMYFUNCTION("""COMPUTED_VALUE"""),"")</f>
        <v/>
      </c>
      <c r="C12513" s="42" t="str">
        <f>IFERROR(__xludf.DUMMYFUNCTION("""COMPUTED_VALUE"""),"")</f>
        <v/>
      </c>
      <c r="D12513" s="42"/>
      <c r="E12513" s="42"/>
      <c r="F12513" s="48" t="str">
        <f>IFERROR(__xludf.DUMMYFUNCTION("""COMPUTED_VALUE"""),"")</f>
        <v/>
      </c>
      <c r="G12513" s="42" t="str">
        <f>IFERROR(__xludf.DUMMYFUNCTION("""COMPUTED_VALUE"""),"")</f>
        <v/>
      </c>
      <c r="H12513" s="42">
        <f t="shared" si="1"/>
        <v>3345</v>
      </c>
    </row>
    <row r="12514" ht="22.5" customHeight="1">
      <c r="B12514" s="42" t="str">
        <f>IFERROR(__xludf.DUMMYFUNCTION("""COMPUTED_VALUE"""),"")</f>
        <v/>
      </c>
      <c r="C12514" s="42" t="str">
        <f>IFERROR(__xludf.DUMMYFUNCTION("""COMPUTED_VALUE"""),"")</f>
        <v/>
      </c>
      <c r="D12514" s="42"/>
      <c r="E12514" s="42"/>
      <c r="F12514" s="48" t="str">
        <f>IFERROR(__xludf.DUMMYFUNCTION("""COMPUTED_VALUE"""),"")</f>
        <v/>
      </c>
      <c r="G12514" s="42" t="str">
        <f>IFERROR(__xludf.DUMMYFUNCTION("""COMPUTED_VALUE"""),"")</f>
        <v/>
      </c>
      <c r="H12514" s="42">
        <f t="shared" si="1"/>
        <v>3345</v>
      </c>
    </row>
    <row r="12515" ht="22.5" customHeight="1">
      <c r="B12515" s="42" t="str">
        <f>IFERROR(__xludf.DUMMYFUNCTION("""COMPUTED_VALUE"""),"")</f>
        <v/>
      </c>
      <c r="C12515" s="42" t="str">
        <f>IFERROR(__xludf.DUMMYFUNCTION("""COMPUTED_VALUE"""),"")</f>
        <v/>
      </c>
      <c r="D12515" s="42"/>
      <c r="E12515" s="42"/>
      <c r="F12515" s="48" t="str">
        <f>IFERROR(__xludf.DUMMYFUNCTION("""COMPUTED_VALUE"""),"")</f>
        <v/>
      </c>
      <c r="G12515" s="42" t="str">
        <f>IFERROR(__xludf.DUMMYFUNCTION("""COMPUTED_VALUE"""),"")</f>
        <v/>
      </c>
      <c r="H12515" s="42">
        <f t="shared" si="1"/>
        <v>3345</v>
      </c>
    </row>
    <row r="12516" ht="22.5" customHeight="1">
      <c r="B12516" s="42" t="str">
        <f>IFERROR(__xludf.DUMMYFUNCTION("""COMPUTED_VALUE"""),"")</f>
        <v/>
      </c>
      <c r="C12516" s="42" t="str">
        <f>IFERROR(__xludf.DUMMYFUNCTION("""COMPUTED_VALUE"""),"")</f>
        <v/>
      </c>
      <c r="D12516" s="42"/>
      <c r="E12516" s="42"/>
      <c r="F12516" s="48" t="str">
        <f>IFERROR(__xludf.DUMMYFUNCTION("""COMPUTED_VALUE"""),"")</f>
        <v/>
      </c>
      <c r="G12516" s="42" t="str">
        <f>IFERROR(__xludf.DUMMYFUNCTION("""COMPUTED_VALUE"""),"")</f>
        <v/>
      </c>
      <c r="H12516" s="42">
        <f t="shared" si="1"/>
        <v>3345</v>
      </c>
    </row>
    <row r="12517" ht="22.5" customHeight="1">
      <c r="B12517" s="42" t="str">
        <f>IFERROR(__xludf.DUMMYFUNCTION("""COMPUTED_VALUE"""),"")</f>
        <v/>
      </c>
      <c r="C12517" s="42" t="str">
        <f>IFERROR(__xludf.DUMMYFUNCTION("""COMPUTED_VALUE"""),"")</f>
        <v/>
      </c>
      <c r="D12517" s="42"/>
      <c r="E12517" s="42"/>
      <c r="F12517" s="48" t="str">
        <f>IFERROR(__xludf.DUMMYFUNCTION("""COMPUTED_VALUE"""),"")</f>
        <v/>
      </c>
      <c r="G12517" s="42" t="str">
        <f>IFERROR(__xludf.DUMMYFUNCTION("""COMPUTED_VALUE"""),"")</f>
        <v/>
      </c>
      <c r="H12517" s="42">
        <f t="shared" si="1"/>
        <v>3345</v>
      </c>
    </row>
    <row r="12518" ht="22.5" customHeight="1">
      <c r="B12518" s="42" t="str">
        <f>IFERROR(__xludf.DUMMYFUNCTION("""COMPUTED_VALUE"""),"")</f>
        <v/>
      </c>
      <c r="C12518" s="42" t="str">
        <f>IFERROR(__xludf.DUMMYFUNCTION("""COMPUTED_VALUE"""),"")</f>
        <v/>
      </c>
      <c r="D12518" s="42"/>
      <c r="E12518" s="42"/>
      <c r="F12518" s="48" t="str">
        <f>IFERROR(__xludf.DUMMYFUNCTION("""COMPUTED_VALUE"""),"")</f>
        <v/>
      </c>
      <c r="G12518" s="42" t="str">
        <f>IFERROR(__xludf.DUMMYFUNCTION("""COMPUTED_VALUE"""),"")</f>
        <v/>
      </c>
      <c r="H12518" s="42">
        <f t="shared" si="1"/>
        <v>3345</v>
      </c>
    </row>
    <row r="12519" ht="22.5" customHeight="1">
      <c r="B12519" s="42" t="str">
        <f>IFERROR(__xludf.DUMMYFUNCTION("""COMPUTED_VALUE"""),"")</f>
        <v/>
      </c>
      <c r="C12519" s="42" t="str">
        <f>IFERROR(__xludf.DUMMYFUNCTION("""COMPUTED_VALUE"""),"")</f>
        <v/>
      </c>
      <c r="D12519" s="42"/>
      <c r="E12519" s="42"/>
      <c r="F12519" s="48" t="str">
        <f>IFERROR(__xludf.DUMMYFUNCTION("""COMPUTED_VALUE"""),"")</f>
        <v/>
      </c>
      <c r="G12519" s="42" t="str">
        <f>IFERROR(__xludf.DUMMYFUNCTION("""COMPUTED_VALUE"""),"")</f>
        <v/>
      </c>
      <c r="H12519" s="42">
        <f t="shared" si="1"/>
        <v>3345</v>
      </c>
    </row>
    <row r="12520" ht="22.5" customHeight="1">
      <c r="B12520" s="42" t="str">
        <f>IFERROR(__xludf.DUMMYFUNCTION("""COMPUTED_VALUE"""),"")</f>
        <v/>
      </c>
      <c r="C12520" s="42" t="str">
        <f>IFERROR(__xludf.DUMMYFUNCTION("""COMPUTED_VALUE"""),"")</f>
        <v/>
      </c>
      <c r="D12520" s="42"/>
      <c r="E12520" s="42"/>
      <c r="F12520" s="48" t="str">
        <f>IFERROR(__xludf.DUMMYFUNCTION("""COMPUTED_VALUE"""),"")</f>
        <v/>
      </c>
      <c r="G12520" s="42" t="str">
        <f>IFERROR(__xludf.DUMMYFUNCTION("""COMPUTED_VALUE"""),"")</f>
        <v/>
      </c>
      <c r="H12520" s="42">
        <f t="shared" si="1"/>
        <v>3345</v>
      </c>
    </row>
    <row r="12521" ht="22.5" customHeight="1">
      <c r="B12521" s="42" t="str">
        <f>IFERROR(__xludf.DUMMYFUNCTION("""COMPUTED_VALUE"""),"")</f>
        <v/>
      </c>
      <c r="C12521" s="42" t="str">
        <f>IFERROR(__xludf.DUMMYFUNCTION("""COMPUTED_VALUE"""),"")</f>
        <v/>
      </c>
      <c r="D12521" s="42"/>
      <c r="E12521" s="42"/>
      <c r="F12521" s="48" t="str">
        <f>IFERROR(__xludf.DUMMYFUNCTION("""COMPUTED_VALUE"""),"")</f>
        <v/>
      </c>
      <c r="G12521" s="42" t="str">
        <f>IFERROR(__xludf.DUMMYFUNCTION("""COMPUTED_VALUE"""),"")</f>
        <v/>
      </c>
      <c r="H12521" s="42">
        <f t="shared" si="1"/>
        <v>3345</v>
      </c>
    </row>
    <row r="12522" ht="22.5" customHeight="1">
      <c r="B12522" s="42" t="str">
        <f>IFERROR(__xludf.DUMMYFUNCTION("""COMPUTED_VALUE"""),"")</f>
        <v/>
      </c>
      <c r="C12522" s="42" t="str">
        <f>IFERROR(__xludf.DUMMYFUNCTION("""COMPUTED_VALUE"""),"")</f>
        <v/>
      </c>
      <c r="D12522" s="42"/>
      <c r="E12522" s="42"/>
      <c r="F12522" s="48" t="str">
        <f>IFERROR(__xludf.DUMMYFUNCTION("""COMPUTED_VALUE"""),"")</f>
        <v/>
      </c>
      <c r="G12522" s="42" t="str">
        <f>IFERROR(__xludf.DUMMYFUNCTION("""COMPUTED_VALUE"""),"")</f>
        <v/>
      </c>
      <c r="H12522" s="42">
        <f t="shared" si="1"/>
        <v>3345</v>
      </c>
    </row>
    <row r="12523" ht="22.5" customHeight="1">
      <c r="B12523" s="42" t="str">
        <f>IFERROR(__xludf.DUMMYFUNCTION("""COMPUTED_VALUE"""),"")</f>
        <v/>
      </c>
      <c r="C12523" s="42" t="str">
        <f>IFERROR(__xludf.DUMMYFUNCTION("""COMPUTED_VALUE"""),"")</f>
        <v/>
      </c>
      <c r="D12523" s="42"/>
      <c r="E12523" s="42"/>
      <c r="F12523" s="48" t="str">
        <f>IFERROR(__xludf.DUMMYFUNCTION("""COMPUTED_VALUE"""),"")</f>
        <v/>
      </c>
      <c r="G12523" s="42" t="str">
        <f>IFERROR(__xludf.DUMMYFUNCTION("""COMPUTED_VALUE"""),"")</f>
        <v/>
      </c>
      <c r="H12523" s="42">
        <f t="shared" si="1"/>
        <v>3345</v>
      </c>
    </row>
    <row r="12524" ht="22.5" customHeight="1">
      <c r="B12524" s="42" t="str">
        <f>IFERROR(__xludf.DUMMYFUNCTION("""COMPUTED_VALUE"""),"")</f>
        <v/>
      </c>
      <c r="C12524" s="42" t="str">
        <f>IFERROR(__xludf.DUMMYFUNCTION("""COMPUTED_VALUE"""),"")</f>
        <v/>
      </c>
      <c r="D12524" s="42"/>
      <c r="E12524" s="42"/>
      <c r="F12524" s="48" t="str">
        <f>IFERROR(__xludf.DUMMYFUNCTION("""COMPUTED_VALUE"""),"")</f>
        <v/>
      </c>
      <c r="G12524" s="42" t="str">
        <f>IFERROR(__xludf.DUMMYFUNCTION("""COMPUTED_VALUE"""),"")</f>
        <v/>
      </c>
      <c r="H12524" s="42">
        <f t="shared" si="1"/>
        <v>3345</v>
      </c>
    </row>
    <row r="12525" ht="22.5" customHeight="1">
      <c r="B12525" s="42" t="str">
        <f>IFERROR(__xludf.DUMMYFUNCTION("""COMPUTED_VALUE"""),"")</f>
        <v/>
      </c>
      <c r="C12525" s="42" t="str">
        <f>IFERROR(__xludf.DUMMYFUNCTION("""COMPUTED_VALUE"""),"")</f>
        <v/>
      </c>
      <c r="D12525" s="42"/>
      <c r="E12525" s="42"/>
      <c r="F12525" s="48" t="str">
        <f>IFERROR(__xludf.DUMMYFUNCTION("""COMPUTED_VALUE"""),"")</f>
        <v/>
      </c>
      <c r="G12525" s="42" t="str">
        <f>IFERROR(__xludf.DUMMYFUNCTION("""COMPUTED_VALUE"""),"")</f>
        <v/>
      </c>
      <c r="H12525" s="42">
        <f t="shared" si="1"/>
        <v>3345</v>
      </c>
    </row>
    <row r="12526" ht="22.5" customHeight="1">
      <c r="B12526" s="42" t="str">
        <f>IFERROR(__xludf.DUMMYFUNCTION("""COMPUTED_VALUE"""),"")</f>
        <v/>
      </c>
      <c r="C12526" s="42" t="str">
        <f>IFERROR(__xludf.DUMMYFUNCTION("""COMPUTED_VALUE"""),"")</f>
        <v/>
      </c>
      <c r="D12526" s="42"/>
      <c r="E12526" s="42"/>
      <c r="F12526" s="48" t="str">
        <f>IFERROR(__xludf.DUMMYFUNCTION("""COMPUTED_VALUE"""),"")</f>
        <v/>
      </c>
      <c r="G12526" s="42" t="str">
        <f>IFERROR(__xludf.DUMMYFUNCTION("""COMPUTED_VALUE"""),"")</f>
        <v/>
      </c>
      <c r="H12526" s="42">
        <f t="shared" si="1"/>
        <v>3345</v>
      </c>
    </row>
    <row r="12527" ht="22.5" customHeight="1">
      <c r="B12527" s="42" t="str">
        <f>IFERROR(__xludf.DUMMYFUNCTION("""COMPUTED_VALUE"""),"")</f>
        <v/>
      </c>
      <c r="C12527" s="42" t="str">
        <f>IFERROR(__xludf.DUMMYFUNCTION("""COMPUTED_VALUE"""),"")</f>
        <v/>
      </c>
      <c r="D12527" s="42"/>
      <c r="E12527" s="42"/>
      <c r="F12527" s="48" t="str">
        <f>IFERROR(__xludf.DUMMYFUNCTION("""COMPUTED_VALUE"""),"")</f>
        <v/>
      </c>
      <c r="G12527" s="42" t="str">
        <f>IFERROR(__xludf.DUMMYFUNCTION("""COMPUTED_VALUE"""),"")</f>
        <v/>
      </c>
      <c r="H12527" s="42">
        <f t="shared" si="1"/>
        <v>3345</v>
      </c>
    </row>
    <row r="12528" ht="22.5" customHeight="1">
      <c r="B12528" s="42" t="str">
        <f>IFERROR(__xludf.DUMMYFUNCTION("""COMPUTED_VALUE"""),"")</f>
        <v/>
      </c>
      <c r="C12528" s="42" t="str">
        <f>IFERROR(__xludf.DUMMYFUNCTION("""COMPUTED_VALUE"""),"")</f>
        <v/>
      </c>
      <c r="D12528" s="42"/>
      <c r="E12528" s="42"/>
      <c r="F12528" s="48" t="str">
        <f>IFERROR(__xludf.DUMMYFUNCTION("""COMPUTED_VALUE"""),"")</f>
        <v/>
      </c>
      <c r="G12528" s="42" t="str">
        <f>IFERROR(__xludf.DUMMYFUNCTION("""COMPUTED_VALUE"""),"")</f>
        <v/>
      </c>
      <c r="H12528" s="42">
        <f t="shared" si="1"/>
        <v>3345</v>
      </c>
    </row>
    <row r="12529" ht="22.5" customHeight="1">
      <c r="B12529" s="42" t="str">
        <f>IFERROR(__xludf.DUMMYFUNCTION("""COMPUTED_VALUE"""),"")</f>
        <v/>
      </c>
      <c r="C12529" s="42" t="str">
        <f>IFERROR(__xludf.DUMMYFUNCTION("""COMPUTED_VALUE"""),"")</f>
        <v/>
      </c>
      <c r="D12529" s="42"/>
      <c r="E12529" s="42"/>
      <c r="F12529" s="48" t="str">
        <f>IFERROR(__xludf.DUMMYFUNCTION("""COMPUTED_VALUE"""),"")</f>
        <v/>
      </c>
      <c r="G12529" s="42" t="str">
        <f>IFERROR(__xludf.DUMMYFUNCTION("""COMPUTED_VALUE"""),"")</f>
        <v/>
      </c>
      <c r="H12529" s="42">
        <f t="shared" si="1"/>
        <v>3345</v>
      </c>
    </row>
    <row r="12530" ht="22.5" customHeight="1">
      <c r="B12530" s="42" t="str">
        <f>IFERROR(__xludf.DUMMYFUNCTION("""COMPUTED_VALUE"""),"")</f>
        <v/>
      </c>
      <c r="C12530" s="42" t="str">
        <f>IFERROR(__xludf.DUMMYFUNCTION("""COMPUTED_VALUE"""),"")</f>
        <v/>
      </c>
      <c r="D12530" s="42"/>
      <c r="E12530" s="42"/>
      <c r="F12530" s="48" t="str">
        <f>IFERROR(__xludf.DUMMYFUNCTION("""COMPUTED_VALUE"""),"")</f>
        <v/>
      </c>
      <c r="G12530" s="42" t="str">
        <f>IFERROR(__xludf.DUMMYFUNCTION("""COMPUTED_VALUE"""),"")</f>
        <v/>
      </c>
      <c r="H12530" s="42">
        <f t="shared" si="1"/>
        <v>3345</v>
      </c>
    </row>
    <row r="12531" ht="22.5" customHeight="1">
      <c r="B12531" s="42" t="str">
        <f>IFERROR(__xludf.DUMMYFUNCTION("""COMPUTED_VALUE"""),"")</f>
        <v/>
      </c>
      <c r="C12531" s="42" t="str">
        <f>IFERROR(__xludf.DUMMYFUNCTION("""COMPUTED_VALUE"""),"")</f>
        <v/>
      </c>
      <c r="D12531" s="42"/>
      <c r="E12531" s="42"/>
      <c r="F12531" s="48" t="str">
        <f>IFERROR(__xludf.DUMMYFUNCTION("""COMPUTED_VALUE"""),"")</f>
        <v/>
      </c>
      <c r="G12531" s="42" t="str">
        <f>IFERROR(__xludf.DUMMYFUNCTION("""COMPUTED_VALUE"""),"")</f>
        <v/>
      </c>
      <c r="H12531" s="42">
        <f t="shared" si="1"/>
        <v>3345</v>
      </c>
    </row>
    <row r="12532" ht="22.5" customHeight="1">
      <c r="B12532" s="42" t="str">
        <f>IFERROR(__xludf.DUMMYFUNCTION("""COMPUTED_VALUE"""),"")</f>
        <v/>
      </c>
      <c r="C12532" s="42" t="str">
        <f>IFERROR(__xludf.DUMMYFUNCTION("""COMPUTED_VALUE"""),"")</f>
        <v/>
      </c>
      <c r="D12532" s="42"/>
      <c r="E12532" s="42"/>
      <c r="F12532" s="48" t="str">
        <f>IFERROR(__xludf.DUMMYFUNCTION("""COMPUTED_VALUE"""),"")</f>
        <v/>
      </c>
      <c r="G12532" s="42" t="str">
        <f>IFERROR(__xludf.DUMMYFUNCTION("""COMPUTED_VALUE"""),"")</f>
        <v/>
      </c>
      <c r="H12532" s="42">
        <f t="shared" si="1"/>
        <v>3345</v>
      </c>
    </row>
    <row r="12533" ht="22.5" customHeight="1">
      <c r="B12533" s="42" t="str">
        <f>IFERROR(__xludf.DUMMYFUNCTION("""COMPUTED_VALUE"""),"")</f>
        <v/>
      </c>
      <c r="C12533" s="42" t="str">
        <f>IFERROR(__xludf.DUMMYFUNCTION("""COMPUTED_VALUE"""),"")</f>
        <v/>
      </c>
      <c r="D12533" s="42"/>
      <c r="E12533" s="42"/>
      <c r="F12533" s="48" t="str">
        <f>IFERROR(__xludf.DUMMYFUNCTION("""COMPUTED_VALUE"""),"")</f>
        <v/>
      </c>
      <c r="G12533" s="42" t="str">
        <f>IFERROR(__xludf.DUMMYFUNCTION("""COMPUTED_VALUE"""),"")</f>
        <v/>
      </c>
      <c r="H12533" s="42">
        <f t="shared" si="1"/>
        <v>3345</v>
      </c>
    </row>
    <row r="12534" ht="22.5" customHeight="1">
      <c r="B12534" s="42" t="str">
        <f>IFERROR(__xludf.DUMMYFUNCTION("""COMPUTED_VALUE"""),"")</f>
        <v/>
      </c>
      <c r="C12534" s="42" t="str">
        <f>IFERROR(__xludf.DUMMYFUNCTION("""COMPUTED_VALUE"""),"")</f>
        <v/>
      </c>
      <c r="D12534" s="42"/>
      <c r="E12534" s="42"/>
      <c r="F12534" s="48" t="str">
        <f>IFERROR(__xludf.DUMMYFUNCTION("""COMPUTED_VALUE"""),"")</f>
        <v/>
      </c>
      <c r="G12534" s="42" t="str">
        <f>IFERROR(__xludf.DUMMYFUNCTION("""COMPUTED_VALUE"""),"")</f>
        <v/>
      </c>
      <c r="H12534" s="42">
        <f t="shared" si="1"/>
        <v>3345</v>
      </c>
    </row>
    <row r="12535" ht="22.5" customHeight="1">
      <c r="B12535" s="42" t="str">
        <f>IFERROR(__xludf.DUMMYFUNCTION("""COMPUTED_VALUE"""),"")</f>
        <v/>
      </c>
      <c r="C12535" s="42" t="str">
        <f>IFERROR(__xludf.DUMMYFUNCTION("""COMPUTED_VALUE"""),"")</f>
        <v/>
      </c>
      <c r="D12535" s="42"/>
      <c r="E12535" s="42"/>
      <c r="F12535" s="48" t="str">
        <f>IFERROR(__xludf.DUMMYFUNCTION("""COMPUTED_VALUE"""),"")</f>
        <v/>
      </c>
      <c r="G12535" s="42" t="str">
        <f>IFERROR(__xludf.DUMMYFUNCTION("""COMPUTED_VALUE"""),"")</f>
        <v/>
      </c>
      <c r="H12535" s="42">
        <f t="shared" si="1"/>
        <v>3345</v>
      </c>
    </row>
    <row r="12536" ht="22.5" customHeight="1">
      <c r="B12536" s="42" t="str">
        <f>IFERROR(__xludf.DUMMYFUNCTION("""COMPUTED_VALUE"""),"")</f>
        <v/>
      </c>
      <c r="C12536" s="42" t="str">
        <f>IFERROR(__xludf.DUMMYFUNCTION("""COMPUTED_VALUE"""),"")</f>
        <v/>
      </c>
      <c r="D12536" s="42"/>
      <c r="E12536" s="42"/>
      <c r="F12536" s="48" t="str">
        <f>IFERROR(__xludf.DUMMYFUNCTION("""COMPUTED_VALUE"""),"")</f>
        <v/>
      </c>
      <c r="G12536" s="42" t="str">
        <f>IFERROR(__xludf.DUMMYFUNCTION("""COMPUTED_VALUE"""),"")</f>
        <v/>
      </c>
      <c r="H12536" s="42">
        <f t="shared" si="1"/>
        <v>3345</v>
      </c>
    </row>
    <row r="12537" ht="22.5" customHeight="1">
      <c r="B12537" s="42" t="str">
        <f>IFERROR(__xludf.DUMMYFUNCTION("""COMPUTED_VALUE"""),"")</f>
        <v/>
      </c>
      <c r="C12537" s="42" t="str">
        <f>IFERROR(__xludf.DUMMYFUNCTION("""COMPUTED_VALUE"""),"")</f>
        <v/>
      </c>
      <c r="D12537" s="42"/>
      <c r="E12537" s="42"/>
      <c r="F12537" s="48" t="str">
        <f>IFERROR(__xludf.DUMMYFUNCTION("""COMPUTED_VALUE"""),"")</f>
        <v/>
      </c>
      <c r="G12537" s="42" t="str">
        <f>IFERROR(__xludf.DUMMYFUNCTION("""COMPUTED_VALUE"""),"")</f>
        <v/>
      </c>
      <c r="H12537" s="42">
        <f t="shared" si="1"/>
        <v>3345</v>
      </c>
    </row>
    <row r="12538" ht="22.5" customHeight="1">
      <c r="B12538" s="42" t="str">
        <f>IFERROR(__xludf.DUMMYFUNCTION("""COMPUTED_VALUE"""),"")</f>
        <v/>
      </c>
      <c r="C12538" s="42" t="str">
        <f>IFERROR(__xludf.DUMMYFUNCTION("""COMPUTED_VALUE"""),"")</f>
        <v/>
      </c>
      <c r="D12538" s="42"/>
      <c r="E12538" s="42"/>
      <c r="F12538" s="48" t="str">
        <f>IFERROR(__xludf.DUMMYFUNCTION("""COMPUTED_VALUE"""),"")</f>
        <v/>
      </c>
      <c r="G12538" s="42" t="str">
        <f>IFERROR(__xludf.DUMMYFUNCTION("""COMPUTED_VALUE"""),"")</f>
        <v/>
      </c>
      <c r="H12538" s="42">
        <f t="shared" si="1"/>
        <v>3345</v>
      </c>
    </row>
    <row r="12539" ht="22.5" customHeight="1">
      <c r="B12539" s="42" t="str">
        <f>IFERROR(__xludf.DUMMYFUNCTION("""COMPUTED_VALUE"""),"")</f>
        <v/>
      </c>
      <c r="C12539" s="42" t="str">
        <f>IFERROR(__xludf.DUMMYFUNCTION("""COMPUTED_VALUE"""),"")</f>
        <v/>
      </c>
      <c r="D12539" s="42"/>
      <c r="E12539" s="42"/>
      <c r="F12539" s="48" t="str">
        <f>IFERROR(__xludf.DUMMYFUNCTION("""COMPUTED_VALUE"""),"")</f>
        <v/>
      </c>
      <c r="G12539" s="42" t="str">
        <f>IFERROR(__xludf.DUMMYFUNCTION("""COMPUTED_VALUE"""),"")</f>
        <v/>
      </c>
      <c r="H12539" s="42">
        <f t="shared" si="1"/>
        <v>3345</v>
      </c>
    </row>
    <row r="12540" ht="22.5" customHeight="1">
      <c r="B12540" s="42" t="str">
        <f>IFERROR(__xludf.DUMMYFUNCTION("""COMPUTED_VALUE"""),"")</f>
        <v/>
      </c>
      <c r="C12540" s="42" t="str">
        <f>IFERROR(__xludf.DUMMYFUNCTION("""COMPUTED_VALUE"""),"")</f>
        <v/>
      </c>
      <c r="D12540" s="42"/>
      <c r="E12540" s="42"/>
      <c r="F12540" s="48" t="str">
        <f>IFERROR(__xludf.DUMMYFUNCTION("""COMPUTED_VALUE"""),"")</f>
        <v/>
      </c>
      <c r="G12540" s="42" t="str">
        <f>IFERROR(__xludf.DUMMYFUNCTION("""COMPUTED_VALUE"""),"")</f>
        <v/>
      </c>
      <c r="H12540" s="42">
        <f t="shared" si="1"/>
        <v>3345</v>
      </c>
    </row>
    <row r="12541" ht="22.5" customHeight="1">
      <c r="B12541" s="42" t="str">
        <f>IFERROR(__xludf.DUMMYFUNCTION("""COMPUTED_VALUE"""),"")</f>
        <v/>
      </c>
      <c r="C12541" s="42" t="str">
        <f>IFERROR(__xludf.DUMMYFUNCTION("""COMPUTED_VALUE"""),"")</f>
        <v/>
      </c>
      <c r="D12541" s="42"/>
      <c r="E12541" s="42"/>
      <c r="F12541" s="48" t="str">
        <f>IFERROR(__xludf.DUMMYFUNCTION("""COMPUTED_VALUE"""),"")</f>
        <v/>
      </c>
      <c r="G12541" s="42" t="str">
        <f>IFERROR(__xludf.DUMMYFUNCTION("""COMPUTED_VALUE"""),"")</f>
        <v/>
      </c>
      <c r="H12541" s="42">
        <f t="shared" si="1"/>
        <v>3345</v>
      </c>
    </row>
    <row r="12542" ht="22.5" customHeight="1">
      <c r="B12542" s="42" t="str">
        <f>IFERROR(__xludf.DUMMYFUNCTION("""COMPUTED_VALUE"""),"")</f>
        <v/>
      </c>
      <c r="C12542" s="42" t="str">
        <f>IFERROR(__xludf.DUMMYFUNCTION("""COMPUTED_VALUE"""),"")</f>
        <v/>
      </c>
      <c r="D12542" s="42"/>
      <c r="E12542" s="42"/>
      <c r="F12542" s="48" t="str">
        <f>IFERROR(__xludf.DUMMYFUNCTION("""COMPUTED_VALUE"""),"")</f>
        <v/>
      </c>
      <c r="G12542" s="42" t="str">
        <f>IFERROR(__xludf.DUMMYFUNCTION("""COMPUTED_VALUE"""),"")</f>
        <v/>
      </c>
      <c r="H12542" s="42">
        <f t="shared" si="1"/>
        <v>3345</v>
      </c>
    </row>
    <row r="12543" ht="22.5" customHeight="1">
      <c r="B12543" s="42" t="str">
        <f>IFERROR(__xludf.DUMMYFUNCTION("""COMPUTED_VALUE"""),"")</f>
        <v/>
      </c>
      <c r="C12543" s="42" t="str">
        <f>IFERROR(__xludf.DUMMYFUNCTION("""COMPUTED_VALUE"""),"")</f>
        <v/>
      </c>
      <c r="D12543" s="42"/>
      <c r="E12543" s="42"/>
      <c r="F12543" s="48" t="str">
        <f>IFERROR(__xludf.DUMMYFUNCTION("""COMPUTED_VALUE"""),"")</f>
        <v/>
      </c>
      <c r="G12543" s="42" t="str">
        <f>IFERROR(__xludf.DUMMYFUNCTION("""COMPUTED_VALUE"""),"")</f>
        <v/>
      </c>
      <c r="H12543" s="42">
        <f t="shared" si="1"/>
        <v>3345</v>
      </c>
    </row>
    <row r="12544" ht="22.5" customHeight="1">
      <c r="B12544" s="42" t="str">
        <f>IFERROR(__xludf.DUMMYFUNCTION("""COMPUTED_VALUE"""),"")</f>
        <v/>
      </c>
      <c r="C12544" s="42" t="str">
        <f>IFERROR(__xludf.DUMMYFUNCTION("""COMPUTED_VALUE"""),"")</f>
        <v/>
      </c>
      <c r="D12544" s="42"/>
      <c r="E12544" s="42"/>
      <c r="F12544" s="48" t="str">
        <f>IFERROR(__xludf.DUMMYFUNCTION("""COMPUTED_VALUE"""),"")</f>
        <v/>
      </c>
      <c r="G12544" s="42" t="str">
        <f>IFERROR(__xludf.DUMMYFUNCTION("""COMPUTED_VALUE"""),"")</f>
        <v/>
      </c>
      <c r="H12544" s="42">
        <f t="shared" si="1"/>
        <v>3345</v>
      </c>
    </row>
    <row r="12545" ht="22.5" customHeight="1">
      <c r="B12545" s="42" t="str">
        <f>IFERROR(__xludf.DUMMYFUNCTION("""COMPUTED_VALUE"""),"")</f>
        <v/>
      </c>
      <c r="C12545" s="42" t="str">
        <f>IFERROR(__xludf.DUMMYFUNCTION("""COMPUTED_VALUE"""),"")</f>
        <v/>
      </c>
      <c r="D12545" s="42"/>
      <c r="E12545" s="42"/>
      <c r="F12545" s="48" t="str">
        <f>IFERROR(__xludf.DUMMYFUNCTION("""COMPUTED_VALUE"""),"")</f>
        <v/>
      </c>
      <c r="G12545" s="42" t="str">
        <f>IFERROR(__xludf.DUMMYFUNCTION("""COMPUTED_VALUE"""),"")</f>
        <v/>
      </c>
      <c r="H12545" s="42">
        <f t="shared" si="1"/>
        <v>3345</v>
      </c>
    </row>
    <row r="12546" ht="22.5" customHeight="1">
      <c r="B12546" s="42" t="str">
        <f>IFERROR(__xludf.DUMMYFUNCTION("""COMPUTED_VALUE"""),"")</f>
        <v/>
      </c>
      <c r="C12546" s="42" t="str">
        <f>IFERROR(__xludf.DUMMYFUNCTION("""COMPUTED_VALUE"""),"")</f>
        <v/>
      </c>
      <c r="D12546" s="42"/>
      <c r="E12546" s="42"/>
      <c r="F12546" s="48" t="str">
        <f>IFERROR(__xludf.DUMMYFUNCTION("""COMPUTED_VALUE"""),"")</f>
        <v/>
      </c>
      <c r="G12546" s="42" t="str">
        <f>IFERROR(__xludf.DUMMYFUNCTION("""COMPUTED_VALUE"""),"")</f>
        <v/>
      </c>
      <c r="H12546" s="42">
        <f t="shared" si="1"/>
        <v>3345</v>
      </c>
    </row>
    <row r="12547" ht="22.5" customHeight="1">
      <c r="B12547" s="42" t="str">
        <f>IFERROR(__xludf.DUMMYFUNCTION("""COMPUTED_VALUE"""),"")</f>
        <v/>
      </c>
      <c r="C12547" s="42" t="str">
        <f>IFERROR(__xludf.DUMMYFUNCTION("""COMPUTED_VALUE"""),"")</f>
        <v/>
      </c>
      <c r="D12547" s="42"/>
      <c r="E12547" s="42"/>
      <c r="F12547" s="48" t="str">
        <f>IFERROR(__xludf.DUMMYFUNCTION("""COMPUTED_VALUE"""),"")</f>
        <v/>
      </c>
      <c r="G12547" s="42" t="str">
        <f>IFERROR(__xludf.DUMMYFUNCTION("""COMPUTED_VALUE"""),"")</f>
        <v/>
      </c>
      <c r="H12547" s="42">
        <f t="shared" si="1"/>
        <v>3345</v>
      </c>
    </row>
    <row r="12548" ht="22.5" customHeight="1">
      <c r="B12548" s="42" t="str">
        <f>IFERROR(__xludf.DUMMYFUNCTION("""COMPUTED_VALUE"""),"")</f>
        <v/>
      </c>
      <c r="C12548" s="42" t="str">
        <f>IFERROR(__xludf.DUMMYFUNCTION("""COMPUTED_VALUE"""),"")</f>
        <v/>
      </c>
      <c r="D12548" s="42"/>
      <c r="E12548" s="42"/>
      <c r="F12548" s="48" t="str">
        <f>IFERROR(__xludf.DUMMYFUNCTION("""COMPUTED_VALUE"""),"")</f>
        <v/>
      </c>
      <c r="G12548" s="42" t="str">
        <f>IFERROR(__xludf.DUMMYFUNCTION("""COMPUTED_VALUE"""),"")</f>
        <v/>
      </c>
      <c r="H12548" s="42">
        <f t="shared" si="1"/>
        <v>3345</v>
      </c>
    </row>
    <row r="12549" ht="22.5" customHeight="1">
      <c r="B12549" s="42" t="str">
        <f>IFERROR(__xludf.DUMMYFUNCTION("""COMPUTED_VALUE"""),"")</f>
        <v/>
      </c>
      <c r="C12549" s="42" t="str">
        <f>IFERROR(__xludf.DUMMYFUNCTION("""COMPUTED_VALUE"""),"")</f>
        <v/>
      </c>
      <c r="D12549" s="42"/>
      <c r="E12549" s="42"/>
      <c r="F12549" s="48" t="str">
        <f>IFERROR(__xludf.DUMMYFUNCTION("""COMPUTED_VALUE"""),"")</f>
        <v/>
      </c>
      <c r="G12549" s="42" t="str">
        <f>IFERROR(__xludf.DUMMYFUNCTION("""COMPUTED_VALUE"""),"")</f>
        <v/>
      </c>
      <c r="H12549" s="42">
        <f t="shared" si="1"/>
        <v>3345</v>
      </c>
    </row>
    <row r="12550" ht="22.5" customHeight="1">
      <c r="B12550" s="42" t="str">
        <f>IFERROR(__xludf.DUMMYFUNCTION("""COMPUTED_VALUE"""),"")</f>
        <v/>
      </c>
      <c r="C12550" s="42" t="str">
        <f>IFERROR(__xludf.DUMMYFUNCTION("""COMPUTED_VALUE"""),"")</f>
        <v/>
      </c>
      <c r="D12550" s="42"/>
      <c r="E12550" s="42"/>
      <c r="F12550" s="48" t="str">
        <f>IFERROR(__xludf.DUMMYFUNCTION("""COMPUTED_VALUE"""),"")</f>
        <v/>
      </c>
      <c r="G12550" s="42" t="str">
        <f>IFERROR(__xludf.DUMMYFUNCTION("""COMPUTED_VALUE"""),"")</f>
        <v/>
      </c>
      <c r="H12550" s="42">
        <f t="shared" si="1"/>
        <v>3345</v>
      </c>
    </row>
    <row r="12551" ht="22.5" customHeight="1">
      <c r="B12551" s="42" t="str">
        <f>IFERROR(__xludf.DUMMYFUNCTION("""COMPUTED_VALUE"""),"")</f>
        <v/>
      </c>
      <c r="C12551" s="42" t="str">
        <f>IFERROR(__xludf.DUMMYFUNCTION("""COMPUTED_VALUE"""),"")</f>
        <v/>
      </c>
      <c r="D12551" s="42"/>
      <c r="E12551" s="42"/>
      <c r="F12551" s="48" t="str">
        <f>IFERROR(__xludf.DUMMYFUNCTION("""COMPUTED_VALUE"""),"")</f>
        <v/>
      </c>
      <c r="G12551" s="42" t="str">
        <f>IFERROR(__xludf.DUMMYFUNCTION("""COMPUTED_VALUE"""),"")</f>
        <v/>
      </c>
      <c r="H12551" s="42">
        <f t="shared" si="1"/>
        <v>3345</v>
      </c>
    </row>
    <row r="12552" ht="22.5" customHeight="1">
      <c r="B12552" s="42" t="str">
        <f>IFERROR(__xludf.DUMMYFUNCTION("""COMPUTED_VALUE"""),"")</f>
        <v/>
      </c>
      <c r="C12552" s="42" t="str">
        <f>IFERROR(__xludf.DUMMYFUNCTION("""COMPUTED_VALUE"""),"")</f>
        <v/>
      </c>
      <c r="D12552" s="42"/>
      <c r="E12552" s="42"/>
      <c r="F12552" s="48" t="str">
        <f>IFERROR(__xludf.DUMMYFUNCTION("""COMPUTED_VALUE"""),"")</f>
        <v/>
      </c>
      <c r="G12552" s="42" t="str">
        <f>IFERROR(__xludf.DUMMYFUNCTION("""COMPUTED_VALUE"""),"")</f>
        <v/>
      </c>
      <c r="H12552" s="42">
        <f t="shared" si="1"/>
        <v>3345</v>
      </c>
    </row>
    <row r="12553" ht="22.5" customHeight="1">
      <c r="B12553" s="42" t="str">
        <f>IFERROR(__xludf.DUMMYFUNCTION("""COMPUTED_VALUE"""),"")</f>
        <v/>
      </c>
      <c r="C12553" s="42" t="str">
        <f>IFERROR(__xludf.DUMMYFUNCTION("""COMPUTED_VALUE"""),"")</f>
        <v/>
      </c>
      <c r="D12553" s="42"/>
      <c r="E12553" s="42"/>
      <c r="F12553" s="48" t="str">
        <f>IFERROR(__xludf.DUMMYFUNCTION("""COMPUTED_VALUE"""),"")</f>
        <v/>
      </c>
      <c r="G12553" s="42" t="str">
        <f>IFERROR(__xludf.DUMMYFUNCTION("""COMPUTED_VALUE"""),"")</f>
        <v/>
      </c>
      <c r="H12553" s="42">
        <f t="shared" si="1"/>
        <v>3345</v>
      </c>
    </row>
    <row r="12554" ht="22.5" customHeight="1">
      <c r="B12554" s="42" t="str">
        <f>IFERROR(__xludf.DUMMYFUNCTION("""COMPUTED_VALUE"""),"")</f>
        <v/>
      </c>
      <c r="C12554" s="42" t="str">
        <f>IFERROR(__xludf.DUMMYFUNCTION("""COMPUTED_VALUE"""),"")</f>
        <v/>
      </c>
      <c r="D12554" s="42"/>
      <c r="E12554" s="42"/>
      <c r="F12554" s="48" t="str">
        <f>IFERROR(__xludf.DUMMYFUNCTION("""COMPUTED_VALUE"""),"")</f>
        <v/>
      </c>
      <c r="G12554" s="42" t="str">
        <f>IFERROR(__xludf.DUMMYFUNCTION("""COMPUTED_VALUE"""),"")</f>
        <v/>
      </c>
      <c r="H12554" s="42">
        <f t="shared" si="1"/>
        <v>3345</v>
      </c>
    </row>
    <row r="12555" ht="22.5" customHeight="1">
      <c r="B12555" s="42" t="str">
        <f>IFERROR(__xludf.DUMMYFUNCTION("""COMPUTED_VALUE"""),"")</f>
        <v/>
      </c>
      <c r="C12555" s="42" t="str">
        <f>IFERROR(__xludf.DUMMYFUNCTION("""COMPUTED_VALUE"""),"")</f>
        <v/>
      </c>
      <c r="D12555" s="42"/>
      <c r="E12555" s="42"/>
      <c r="F12555" s="48" t="str">
        <f>IFERROR(__xludf.DUMMYFUNCTION("""COMPUTED_VALUE"""),"")</f>
        <v/>
      </c>
      <c r="G12555" s="42" t="str">
        <f>IFERROR(__xludf.DUMMYFUNCTION("""COMPUTED_VALUE"""),"")</f>
        <v/>
      </c>
      <c r="H12555" s="42">
        <f t="shared" si="1"/>
        <v>3345</v>
      </c>
    </row>
    <row r="12556" ht="22.5" customHeight="1">
      <c r="B12556" s="42" t="str">
        <f>IFERROR(__xludf.DUMMYFUNCTION("""COMPUTED_VALUE"""),"")</f>
        <v/>
      </c>
      <c r="C12556" s="42" t="str">
        <f>IFERROR(__xludf.DUMMYFUNCTION("""COMPUTED_VALUE"""),"")</f>
        <v/>
      </c>
      <c r="D12556" s="42"/>
      <c r="E12556" s="42"/>
      <c r="F12556" s="48" t="str">
        <f>IFERROR(__xludf.DUMMYFUNCTION("""COMPUTED_VALUE"""),"")</f>
        <v/>
      </c>
      <c r="G12556" s="42" t="str">
        <f>IFERROR(__xludf.DUMMYFUNCTION("""COMPUTED_VALUE"""),"")</f>
        <v/>
      </c>
      <c r="H12556" s="42">
        <f t="shared" si="1"/>
        <v>3345</v>
      </c>
    </row>
    <row r="12557" ht="22.5" customHeight="1">
      <c r="B12557" s="42" t="str">
        <f>IFERROR(__xludf.DUMMYFUNCTION("""COMPUTED_VALUE"""),"")</f>
        <v/>
      </c>
      <c r="C12557" s="42" t="str">
        <f>IFERROR(__xludf.DUMMYFUNCTION("""COMPUTED_VALUE"""),"")</f>
        <v/>
      </c>
      <c r="D12557" s="42"/>
      <c r="E12557" s="42"/>
      <c r="F12557" s="48" t="str">
        <f>IFERROR(__xludf.DUMMYFUNCTION("""COMPUTED_VALUE"""),"")</f>
        <v/>
      </c>
      <c r="G12557" s="42" t="str">
        <f>IFERROR(__xludf.DUMMYFUNCTION("""COMPUTED_VALUE"""),"")</f>
        <v/>
      </c>
      <c r="H12557" s="42">
        <f t="shared" si="1"/>
        <v>3345</v>
      </c>
    </row>
    <row r="12558" ht="22.5" customHeight="1">
      <c r="B12558" s="42" t="str">
        <f>IFERROR(__xludf.DUMMYFUNCTION("""COMPUTED_VALUE"""),"")</f>
        <v/>
      </c>
      <c r="C12558" s="42" t="str">
        <f>IFERROR(__xludf.DUMMYFUNCTION("""COMPUTED_VALUE"""),"")</f>
        <v/>
      </c>
      <c r="D12558" s="42"/>
      <c r="E12558" s="42"/>
      <c r="F12558" s="48" t="str">
        <f>IFERROR(__xludf.DUMMYFUNCTION("""COMPUTED_VALUE"""),"")</f>
        <v/>
      </c>
      <c r="G12558" s="42" t="str">
        <f>IFERROR(__xludf.DUMMYFUNCTION("""COMPUTED_VALUE"""),"")</f>
        <v/>
      </c>
      <c r="H12558" s="42">
        <f t="shared" si="1"/>
        <v>3345</v>
      </c>
    </row>
    <row r="12559" ht="22.5" customHeight="1">
      <c r="B12559" s="42" t="str">
        <f>IFERROR(__xludf.DUMMYFUNCTION("""COMPUTED_VALUE"""),"")</f>
        <v/>
      </c>
      <c r="C12559" s="42" t="str">
        <f>IFERROR(__xludf.DUMMYFUNCTION("""COMPUTED_VALUE"""),"")</f>
        <v/>
      </c>
      <c r="D12559" s="42"/>
      <c r="E12559" s="42"/>
      <c r="F12559" s="48" t="str">
        <f>IFERROR(__xludf.DUMMYFUNCTION("""COMPUTED_VALUE"""),"")</f>
        <v/>
      </c>
      <c r="G12559" s="42" t="str">
        <f>IFERROR(__xludf.DUMMYFUNCTION("""COMPUTED_VALUE"""),"")</f>
        <v/>
      </c>
      <c r="H12559" s="42">
        <f t="shared" si="1"/>
        <v>3345</v>
      </c>
    </row>
    <row r="12560" ht="22.5" customHeight="1">
      <c r="B12560" s="42" t="str">
        <f>IFERROR(__xludf.DUMMYFUNCTION("""COMPUTED_VALUE"""),"")</f>
        <v/>
      </c>
      <c r="C12560" s="42" t="str">
        <f>IFERROR(__xludf.DUMMYFUNCTION("""COMPUTED_VALUE"""),"")</f>
        <v/>
      </c>
      <c r="D12560" s="42"/>
      <c r="E12560" s="42"/>
      <c r="F12560" s="48" t="str">
        <f>IFERROR(__xludf.DUMMYFUNCTION("""COMPUTED_VALUE"""),"")</f>
        <v/>
      </c>
      <c r="G12560" s="42" t="str">
        <f>IFERROR(__xludf.DUMMYFUNCTION("""COMPUTED_VALUE"""),"")</f>
        <v/>
      </c>
      <c r="H12560" s="42">
        <f t="shared" si="1"/>
        <v>3345</v>
      </c>
    </row>
    <row r="12561" ht="22.5" customHeight="1">
      <c r="B12561" s="42" t="str">
        <f>IFERROR(__xludf.DUMMYFUNCTION("""COMPUTED_VALUE"""),"")</f>
        <v/>
      </c>
      <c r="C12561" s="42" t="str">
        <f>IFERROR(__xludf.DUMMYFUNCTION("""COMPUTED_VALUE"""),"")</f>
        <v/>
      </c>
      <c r="D12561" s="42"/>
      <c r="E12561" s="42"/>
      <c r="F12561" s="48" t="str">
        <f>IFERROR(__xludf.DUMMYFUNCTION("""COMPUTED_VALUE"""),"")</f>
        <v/>
      </c>
      <c r="G12561" s="42" t="str">
        <f>IFERROR(__xludf.DUMMYFUNCTION("""COMPUTED_VALUE"""),"")</f>
        <v/>
      </c>
      <c r="H12561" s="42">
        <f t="shared" si="1"/>
        <v>3345</v>
      </c>
    </row>
    <row r="12562" ht="22.5" customHeight="1">
      <c r="B12562" s="42" t="str">
        <f>IFERROR(__xludf.DUMMYFUNCTION("""COMPUTED_VALUE"""),"")</f>
        <v/>
      </c>
      <c r="C12562" s="42" t="str">
        <f>IFERROR(__xludf.DUMMYFUNCTION("""COMPUTED_VALUE"""),"")</f>
        <v/>
      </c>
      <c r="D12562" s="42"/>
      <c r="E12562" s="42"/>
      <c r="F12562" s="48" t="str">
        <f>IFERROR(__xludf.DUMMYFUNCTION("""COMPUTED_VALUE"""),"")</f>
        <v/>
      </c>
      <c r="G12562" s="42" t="str">
        <f>IFERROR(__xludf.DUMMYFUNCTION("""COMPUTED_VALUE"""),"")</f>
        <v/>
      </c>
      <c r="H12562" s="42">
        <f t="shared" si="1"/>
        <v>3345</v>
      </c>
    </row>
    <row r="12563" ht="22.5" customHeight="1">
      <c r="B12563" s="42" t="str">
        <f>IFERROR(__xludf.DUMMYFUNCTION("""COMPUTED_VALUE"""),"")</f>
        <v/>
      </c>
      <c r="C12563" s="42" t="str">
        <f>IFERROR(__xludf.DUMMYFUNCTION("""COMPUTED_VALUE"""),"")</f>
        <v/>
      </c>
      <c r="D12563" s="42"/>
      <c r="E12563" s="42"/>
      <c r="F12563" s="48" t="str">
        <f>IFERROR(__xludf.DUMMYFUNCTION("""COMPUTED_VALUE"""),"")</f>
        <v/>
      </c>
      <c r="G12563" s="42" t="str">
        <f>IFERROR(__xludf.DUMMYFUNCTION("""COMPUTED_VALUE"""),"")</f>
        <v/>
      </c>
      <c r="H12563" s="42">
        <f t="shared" si="1"/>
        <v>3345</v>
      </c>
    </row>
    <row r="12564" ht="22.5" customHeight="1">
      <c r="B12564" s="42" t="str">
        <f>IFERROR(__xludf.DUMMYFUNCTION("""COMPUTED_VALUE"""),"")</f>
        <v/>
      </c>
      <c r="C12564" s="42" t="str">
        <f>IFERROR(__xludf.DUMMYFUNCTION("""COMPUTED_VALUE"""),"")</f>
        <v/>
      </c>
      <c r="D12564" s="42"/>
      <c r="E12564" s="42"/>
      <c r="F12564" s="48" t="str">
        <f>IFERROR(__xludf.DUMMYFUNCTION("""COMPUTED_VALUE"""),"")</f>
        <v/>
      </c>
      <c r="G12564" s="42" t="str">
        <f>IFERROR(__xludf.DUMMYFUNCTION("""COMPUTED_VALUE"""),"")</f>
        <v/>
      </c>
      <c r="H12564" s="42">
        <f t="shared" si="1"/>
        <v>3345</v>
      </c>
    </row>
    <row r="12565" ht="22.5" customHeight="1">
      <c r="B12565" s="42" t="str">
        <f>IFERROR(__xludf.DUMMYFUNCTION("""COMPUTED_VALUE"""),"")</f>
        <v/>
      </c>
      <c r="C12565" s="42" t="str">
        <f>IFERROR(__xludf.DUMMYFUNCTION("""COMPUTED_VALUE"""),"")</f>
        <v/>
      </c>
      <c r="D12565" s="42"/>
      <c r="E12565" s="42"/>
      <c r="F12565" s="48" t="str">
        <f>IFERROR(__xludf.DUMMYFUNCTION("""COMPUTED_VALUE"""),"")</f>
        <v/>
      </c>
      <c r="G12565" s="42" t="str">
        <f>IFERROR(__xludf.DUMMYFUNCTION("""COMPUTED_VALUE"""),"")</f>
        <v/>
      </c>
      <c r="H12565" s="42">
        <f t="shared" si="1"/>
        <v>3345</v>
      </c>
    </row>
    <row r="12566" ht="22.5" customHeight="1">
      <c r="B12566" s="42" t="str">
        <f>IFERROR(__xludf.DUMMYFUNCTION("""COMPUTED_VALUE"""),"")</f>
        <v/>
      </c>
      <c r="C12566" s="42" t="str">
        <f>IFERROR(__xludf.DUMMYFUNCTION("""COMPUTED_VALUE"""),"")</f>
        <v/>
      </c>
      <c r="D12566" s="42"/>
      <c r="E12566" s="42"/>
      <c r="F12566" s="48" t="str">
        <f>IFERROR(__xludf.DUMMYFUNCTION("""COMPUTED_VALUE"""),"")</f>
        <v/>
      </c>
      <c r="G12566" s="42" t="str">
        <f>IFERROR(__xludf.DUMMYFUNCTION("""COMPUTED_VALUE"""),"")</f>
        <v/>
      </c>
      <c r="H12566" s="42">
        <f t="shared" si="1"/>
        <v>3345</v>
      </c>
    </row>
    <row r="12567" ht="22.5" customHeight="1">
      <c r="B12567" s="42" t="str">
        <f>IFERROR(__xludf.DUMMYFUNCTION("""COMPUTED_VALUE"""),"")</f>
        <v/>
      </c>
      <c r="C12567" s="42" t="str">
        <f>IFERROR(__xludf.DUMMYFUNCTION("""COMPUTED_VALUE"""),"")</f>
        <v/>
      </c>
      <c r="D12567" s="42"/>
      <c r="E12567" s="42"/>
      <c r="F12567" s="48" t="str">
        <f>IFERROR(__xludf.DUMMYFUNCTION("""COMPUTED_VALUE"""),"")</f>
        <v/>
      </c>
      <c r="G12567" s="42" t="str">
        <f>IFERROR(__xludf.DUMMYFUNCTION("""COMPUTED_VALUE"""),"")</f>
        <v/>
      </c>
      <c r="H12567" s="42">
        <f t="shared" si="1"/>
        <v>3345</v>
      </c>
    </row>
    <row r="12568" ht="22.5" customHeight="1">
      <c r="B12568" s="42" t="str">
        <f>IFERROR(__xludf.DUMMYFUNCTION("""COMPUTED_VALUE"""),"")</f>
        <v/>
      </c>
      <c r="C12568" s="42" t="str">
        <f>IFERROR(__xludf.DUMMYFUNCTION("""COMPUTED_VALUE"""),"")</f>
        <v/>
      </c>
      <c r="D12568" s="42"/>
      <c r="E12568" s="42"/>
      <c r="F12568" s="48" t="str">
        <f>IFERROR(__xludf.DUMMYFUNCTION("""COMPUTED_VALUE"""),"")</f>
        <v/>
      </c>
      <c r="G12568" s="42" t="str">
        <f>IFERROR(__xludf.DUMMYFUNCTION("""COMPUTED_VALUE"""),"")</f>
        <v/>
      </c>
      <c r="H12568" s="42">
        <f t="shared" si="1"/>
        <v>3345</v>
      </c>
    </row>
    <row r="12569" ht="22.5" customHeight="1">
      <c r="B12569" s="42" t="str">
        <f>IFERROR(__xludf.DUMMYFUNCTION("""COMPUTED_VALUE"""),"")</f>
        <v/>
      </c>
      <c r="C12569" s="42" t="str">
        <f>IFERROR(__xludf.DUMMYFUNCTION("""COMPUTED_VALUE"""),"")</f>
        <v/>
      </c>
      <c r="D12569" s="42"/>
      <c r="E12569" s="42"/>
      <c r="F12569" s="48" t="str">
        <f>IFERROR(__xludf.DUMMYFUNCTION("""COMPUTED_VALUE"""),"")</f>
        <v/>
      </c>
      <c r="G12569" s="42" t="str">
        <f>IFERROR(__xludf.DUMMYFUNCTION("""COMPUTED_VALUE"""),"")</f>
        <v/>
      </c>
      <c r="H12569" s="42">
        <f t="shared" si="1"/>
        <v>3345</v>
      </c>
    </row>
    <row r="12570" ht="22.5" customHeight="1">
      <c r="B12570" s="42" t="str">
        <f>IFERROR(__xludf.DUMMYFUNCTION("""COMPUTED_VALUE"""),"")</f>
        <v/>
      </c>
      <c r="C12570" s="42" t="str">
        <f>IFERROR(__xludf.DUMMYFUNCTION("""COMPUTED_VALUE"""),"")</f>
        <v/>
      </c>
      <c r="D12570" s="42"/>
      <c r="E12570" s="42"/>
      <c r="F12570" s="48" t="str">
        <f>IFERROR(__xludf.DUMMYFUNCTION("""COMPUTED_VALUE"""),"")</f>
        <v/>
      </c>
      <c r="G12570" s="42" t="str">
        <f>IFERROR(__xludf.DUMMYFUNCTION("""COMPUTED_VALUE"""),"")</f>
        <v/>
      </c>
      <c r="H12570" s="42">
        <f t="shared" si="1"/>
        <v>3345</v>
      </c>
    </row>
    <row r="12571" ht="22.5" customHeight="1">
      <c r="B12571" s="42" t="str">
        <f>IFERROR(__xludf.DUMMYFUNCTION("""COMPUTED_VALUE"""),"")</f>
        <v/>
      </c>
      <c r="C12571" s="42" t="str">
        <f>IFERROR(__xludf.DUMMYFUNCTION("""COMPUTED_VALUE"""),"")</f>
        <v/>
      </c>
      <c r="D12571" s="42"/>
      <c r="E12571" s="42"/>
      <c r="F12571" s="48" t="str">
        <f>IFERROR(__xludf.DUMMYFUNCTION("""COMPUTED_VALUE"""),"")</f>
        <v/>
      </c>
      <c r="G12571" s="42" t="str">
        <f>IFERROR(__xludf.DUMMYFUNCTION("""COMPUTED_VALUE"""),"")</f>
        <v/>
      </c>
      <c r="H12571" s="42">
        <f t="shared" si="1"/>
        <v>3345</v>
      </c>
    </row>
    <row r="12572" ht="22.5" customHeight="1">
      <c r="B12572" s="42" t="str">
        <f>IFERROR(__xludf.DUMMYFUNCTION("""COMPUTED_VALUE"""),"")</f>
        <v/>
      </c>
      <c r="C12572" s="42" t="str">
        <f>IFERROR(__xludf.DUMMYFUNCTION("""COMPUTED_VALUE"""),"")</f>
        <v/>
      </c>
      <c r="D12572" s="42"/>
      <c r="E12572" s="42"/>
      <c r="F12572" s="48" t="str">
        <f>IFERROR(__xludf.DUMMYFUNCTION("""COMPUTED_VALUE"""),"")</f>
        <v/>
      </c>
      <c r="G12572" s="42" t="str">
        <f>IFERROR(__xludf.DUMMYFUNCTION("""COMPUTED_VALUE"""),"")</f>
        <v/>
      </c>
      <c r="H12572" s="42">
        <f t="shared" si="1"/>
        <v>3345</v>
      </c>
    </row>
    <row r="12573" ht="22.5" customHeight="1">
      <c r="B12573" s="42" t="str">
        <f>IFERROR(__xludf.DUMMYFUNCTION("""COMPUTED_VALUE"""),"")</f>
        <v/>
      </c>
      <c r="C12573" s="42" t="str">
        <f>IFERROR(__xludf.DUMMYFUNCTION("""COMPUTED_VALUE"""),"")</f>
        <v/>
      </c>
      <c r="D12573" s="42"/>
      <c r="E12573" s="42"/>
      <c r="F12573" s="48" t="str">
        <f>IFERROR(__xludf.DUMMYFUNCTION("""COMPUTED_VALUE"""),"")</f>
        <v/>
      </c>
      <c r="G12573" s="42" t="str">
        <f>IFERROR(__xludf.DUMMYFUNCTION("""COMPUTED_VALUE"""),"")</f>
        <v/>
      </c>
      <c r="H12573" s="42">
        <f t="shared" si="1"/>
        <v>3345</v>
      </c>
    </row>
    <row r="12574" ht="22.5" customHeight="1">
      <c r="B12574" s="42" t="str">
        <f>IFERROR(__xludf.DUMMYFUNCTION("""COMPUTED_VALUE"""),"")</f>
        <v/>
      </c>
      <c r="C12574" s="42" t="str">
        <f>IFERROR(__xludf.DUMMYFUNCTION("""COMPUTED_VALUE"""),"")</f>
        <v/>
      </c>
      <c r="D12574" s="42"/>
      <c r="E12574" s="42"/>
      <c r="F12574" s="48" t="str">
        <f>IFERROR(__xludf.DUMMYFUNCTION("""COMPUTED_VALUE"""),"")</f>
        <v/>
      </c>
      <c r="G12574" s="42" t="str">
        <f>IFERROR(__xludf.DUMMYFUNCTION("""COMPUTED_VALUE"""),"")</f>
        <v/>
      </c>
      <c r="H12574" s="42">
        <f t="shared" si="1"/>
        <v>3345</v>
      </c>
    </row>
    <row r="12575" ht="22.5" customHeight="1">
      <c r="B12575" s="42" t="str">
        <f>IFERROR(__xludf.DUMMYFUNCTION("""COMPUTED_VALUE"""),"")</f>
        <v/>
      </c>
      <c r="C12575" s="42" t="str">
        <f>IFERROR(__xludf.DUMMYFUNCTION("""COMPUTED_VALUE"""),"")</f>
        <v/>
      </c>
      <c r="D12575" s="42"/>
      <c r="E12575" s="42"/>
      <c r="F12575" s="48" t="str">
        <f>IFERROR(__xludf.DUMMYFUNCTION("""COMPUTED_VALUE"""),"")</f>
        <v/>
      </c>
      <c r="G12575" s="42" t="str">
        <f>IFERROR(__xludf.DUMMYFUNCTION("""COMPUTED_VALUE"""),"")</f>
        <v/>
      </c>
      <c r="H12575" s="42">
        <f t="shared" si="1"/>
        <v>3345</v>
      </c>
    </row>
    <row r="12576" ht="22.5" customHeight="1">
      <c r="B12576" s="42" t="str">
        <f>IFERROR(__xludf.DUMMYFUNCTION("""COMPUTED_VALUE"""),"")</f>
        <v/>
      </c>
      <c r="C12576" s="42" t="str">
        <f>IFERROR(__xludf.DUMMYFUNCTION("""COMPUTED_VALUE"""),"")</f>
        <v/>
      </c>
      <c r="D12576" s="42"/>
      <c r="E12576" s="42"/>
      <c r="F12576" s="48" t="str">
        <f>IFERROR(__xludf.DUMMYFUNCTION("""COMPUTED_VALUE"""),"")</f>
        <v/>
      </c>
      <c r="G12576" s="42" t="str">
        <f>IFERROR(__xludf.DUMMYFUNCTION("""COMPUTED_VALUE"""),"")</f>
        <v/>
      </c>
      <c r="H12576" s="42">
        <f t="shared" si="1"/>
        <v>3345</v>
      </c>
    </row>
    <row r="12577" ht="22.5" customHeight="1">
      <c r="B12577" s="42" t="str">
        <f>IFERROR(__xludf.DUMMYFUNCTION("""COMPUTED_VALUE"""),"")</f>
        <v/>
      </c>
      <c r="C12577" s="42" t="str">
        <f>IFERROR(__xludf.DUMMYFUNCTION("""COMPUTED_VALUE"""),"")</f>
        <v/>
      </c>
      <c r="D12577" s="42"/>
      <c r="E12577" s="42"/>
      <c r="F12577" s="48" t="str">
        <f>IFERROR(__xludf.DUMMYFUNCTION("""COMPUTED_VALUE"""),"")</f>
        <v/>
      </c>
      <c r="G12577" s="42" t="str">
        <f>IFERROR(__xludf.DUMMYFUNCTION("""COMPUTED_VALUE"""),"")</f>
        <v/>
      </c>
      <c r="H12577" s="42">
        <f t="shared" si="1"/>
        <v>3345</v>
      </c>
    </row>
    <row r="12578" ht="22.5" customHeight="1">
      <c r="B12578" s="42" t="str">
        <f>IFERROR(__xludf.DUMMYFUNCTION("""COMPUTED_VALUE"""),"")</f>
        <v/>
      </c>
      <c r="C12578" s="42" t="str">
        <f>IFERROR(__xludf.DUMMYFUNCTION("""COMPUTED_VALUE"""),"")</f>
        <v/>
      </c>
      <c r="D12578" s="42"/>
      <c r="E12578" s="42"/>
      <c r="F12578" s="48" t="str">
        <f>IFERROR(__xludf.DUMMYFUNCTION("""COMPUTED_VALUE"""),"")</f>
        <v/>
      </c>
      <c r="G12578" s="42" t="str">
        <f>IFERROR(__xludf.DUMMYFUNCTION("""COMPUTED_VALUE"""),"")</f>
        <v/>
      </c>
      <c r="H12578" s="42">
        <f t="shared" si="1"/>
        <v>3345</v>
      </c>
    </row>
    <row r="12579" ht="22.5" customHeight="1">
      <c r="B12579" s="42" t="str">
        <f>IFERROR(__xludf.DUMMYFUNCTION("""COMPUTED_VALUE"""),"")</f>
        <v/>
      </c>
      <c r="C12579" s="42" t="str">
        <f>IFERROR(__xludf.DUMMYFUNCTION("""COMPUTED_VALUE"""),"")</f>
        <v/>
      </c>
      <c r="D12579" s="42"/>
      <c r="E12579" s="42"/>
      <c r="F12579" s="48" t="str">
        <f>IFERROR(__xludf.DUMMYFUNCTION("""COMPUTED_VALUE"""),"")</f>
        <v/>
      </c>
      <c r="G12579" s="42" t="str">
        <f>IFERROR(__xludf.DUMMYFUNCTION("""COMPUTED_VALUE"""),"")</f>
        <v/>
      </c>
      <c r="H12579" s="42">
        <f t="shared" si="1"/>
        <v>3345</v>
      </c>
    </row>
    <row r="12580" ht="22.5" customHeight="1">
      <c r="B12580" s="42" t="str">
        <f>IFERROR(__xludf.DUMMYFUNCTION("""COMPUTED_VALUE"""),"")</f>
        <v/>
      </c>
      <c r="C12580" s="42" t="str">
        <f>IFERROR(__xludf.DUMMYFUNCTION("""COMPUTED_VALUE"""),"")</f>
        <v/>
      </c>
      <c r="D12580" s="42"/>
      <c r="E12580" s="42"/>
      <c r="F12580" s="48" t="str">
        <f>IFERROR(__xludf.DUMMYFUNCTION("""COMPUTED_VALUE"""),"")</f>
        <v/>
      </c>
      <c r="G12580" s="42" t="str">
        <f>IFERROR(__xludf.DUMMYFUNCTION("""COMPUTED_VALUE"""),"")</f>
        <v/>
      </c>
      <c r="H12580" s="42">
        <f t="shared" si="1"/>
        <v>3345</v>
      </c>
    </row>
    <row r="12581" ht="22.5" customHeight="1">
      <c r="B12581" s="42" t="str">
        <f>IFERROR(__xludf.DUMMYFUNCTION("""COMPUTED_VALUE"""),"")</f>
        <v/>
      </c>
      <c r="C12581" s="42" t="str">
        <f>IFERROR(__xludf.DUMMYFUNCTION("""COMPUTED_VALUE"""),"")</f>
        <v/>
      </c>
      <c r="D12581" s="42"/>
      <c r="E12581" s="42"/>
      <c r="F12581" s="48" t="str">
        <f>IFERROR(__xludf.DUMMYFUNCTION("""COMPUTED_VALUE"""),"")</f>
        <v/>
      </c>
      <c r="G12581" s="42" t="str">
        <f>IFERROR(__xludf.DUMMYFUNCTION("""COMPUTED_VALUE"""),"")</f>
        <v/>
      </c>
      <c r="H12581" s="42">
        <f t="shared" si="1"/>
        <v>3345</v>
      </c>
    </row>
    <row r="12582" ht="22.5" customHeight="1">
      <c r="B12582" s="42" t="str">
        <f>IFERROR(__xludf.DUMMYFUNCTION("""COMPUTED_VALUE"""),"")</f>
        <v/>
      </c>
      <c r="C12582" s="42" t="str">
        <f>IFERROR(__xludf.DUMMYFUNCTION("""COMPUTED_VALUE"""),"")</f>
        <v/>
      </c>
      <c r="D12582" s="42"/>
      <c r="E12582" s="42"/>
      <c r="F12582" s="48" t="str">
        <f>IFERROR(__xludf.DUMMYFUNCTION("""COMPUTED_VALUE"""),"")</f>
        <v/>
      </c>
      <c r="G12582" s="42" t="str">
        <f>IFERROR(__xludf.DUMMYFUNCTION("""COMPUTED_VALUE"""),"")</f>
        <v/>
      </c>
      <c r="H12582" s="42">
        <f t="shared" si="1"/>
        <v>3345</v>
      </c>
    </row>
    <row r="12583" ht="22.5" customHeight="1">
      <c r="B12583" s="42" t="str">
        <f>IFERROR(__xludf.DUMMYFUNCTION("""COMPUTED_VALUE"""),"")</f>
        <v/>
      </c>
      <c r="C12583" s="42" t="str">
        <f>IFERROR(__xludf.DUMMYFUNCTION("""COMPUTED_VALUE"""),"")</f>
        <v/>
      </c>
      <c r="D12583" s="42"/>
      <c r="E12583" s="42"/>
      <c r="F12583" s="48" t="str">
        <f>IFERROR(__xludf.DUMMYFUNCTION("""COMPUTED_VALUE"""),"")</f>
        <v/>
      </c>
      <c r="G12583" s="42" t="str">
        <f>IFERROR(__xludf.DUMMYFUNCTION("""COMPUTED_VALUE"""),"")</f>
        <v/>
      </c>
      <c r="H12583" s="42">
        <f t="shared" si="1"/>
        <v>3345</v>
      </c>
    </row>
    <row r="12584" ht="22.5" customHeight="1">
      <c r="B12584" s="42" t="str">
        <f>IFERROR(__xludf.DUMMYFUNCTION("""COMPUTED_VALUE"""),"")</f>
        <v/>
      </c>
      <c r="C12584" s="42" t="str">
        <f>IFERROR(__xludf.DUMMYFUNCTION("""COMPUTED_VALUE"""),"")</f>
        <v/>
      </c>
      <c r="D12584" s="42"/>
      <c r="E12584" s="42"/>
      <c r="F12584" s="48" t="str">
        <f>IFERROR(__xludf.DUMMYFUNCTION("""COMPUTED_VALUE"""),"")</f>
        <v/>
      </c>
      <c r="G12584" s="42" t="str">
        <f>IFERROR(__xludf.DUMMYFUNCTION("""COMPUTED_VALUE"""),"")</f>
        <v/>
      </c>
      <c r="H12584" s="42">
        <f t="shared" si="1"/>
        <v>3345</v>
      </c>
    </row>
    <row r="12585" ht="22.5" customHeight="1">
      <c r="B12585" s="42" t="str">
        <f>IFERROR(__xludf.DUMMYFUNCTION("""COMPUTED_VALUE"""),"")</f>
        <v/>
      </c>
      <c r="C12585" s="42" t="str">
        <f>IFERROR(__xludf.DUMMYFUNCTION("""COMPUTED_VALUE"""),"")</f>
        <v/>
      </c>
      <c r="D12585" s="42"/>
      <c r="E12585" s="42"/>
      <c r="F12585" s="48" t="str">
        <f>IFERROR(__xludf.DUMMYFUNCTION("""COMPUTED_VALUE"""),"")</f>
        <v/>
      </c>
      <c r="G12585" s="42" t="str">
        <f>IFERROR(__xludf.DUMMYFUNCTION("""COMPUTED_VALUE"""),"")</f>
        <v/>
      </c>
      <c r="H12585" s="42">
        <f t="shared" si="1"/>
        <v>3345</v>
      </c>
    </row>
    <row r="12586" ht="22.5" customHeight="1">
      <c r="B12586" s="42" t="str">
        <f>IFERROR(__xludf.DUMMYFUNCTION("""COMPUTED_VALUE"""),"")</f>
        <v/>
      </c>
      <c r="C12586" s="42" t="str">
        <f>IFERROR(__xludf.DUMMYFUNCTION("""COMPUTED_VALUE"""),"")</f>
        <v/>
      </c>
      <c r="D12586" s="42"/>
      <c r="E12586" s="42"/>
      <c r="F12586" s="48" t="str">
        <f>IFERROR(__xludf.DUMMYFUNCTION("""COMPUTED_VALUE"""),"")</f>
        <v/>
      </c>
      <c r="G12586" s="42" t="str">
        <f>IFERROR(__xludf.DUMMYFUNCTION("""COMPUTED_VALUE"""),"")</f>
        <v/>
      </c>
      <c r="H12586" s="42">
        <f t="shared" si="1"/>
        <v>3345</v>
      </c>
    </row>
    <row r="12587" ht="22.5" customHeight="1">
      <c r="B12587" s="42" t="str">
        <f>IFERROR(__xludf.DUMMYFUNCTION("""COMPUTED_VALUE"""),"")</f>
        <v/>
      </c>
      <c r="C12587" s="42" t="str">
        <f>IFERROR(__xludf.DUMMYFUNCTION("""COMPUTED_VALUE"""),"")</f>
        <v/>
      </c>
      <c r="D12587" s="42"/>
      <c r="E12587" s="42"/>
      <c r="F12587" s="48" t="str">
        <f>IFERROR(__xludf.DUMMYFUNCTION("""COMPUTED_VALUE"""),"")</f>
        <v/>
      </c>
      <c r="G12587" s="42" t="str">
        <f>IFERROR(__xludf.DUMMYFUNCTION("""COMPUTED_VALUE"""),"")</f>
        <v/>
      </c>
      <c r="H12587" s="42">
        <f t="shared" si="1"/>
        <v>3345</v>
      </c>
    </row>
    <row r="12588" ht="22.5" customHeight="1">
      <c r="B12588" s="42" t="str">
        <f>IFERROR(__xludf.DUMMYFUNCTION("""COMPUTED_VALUE"""),"")</f>
        <v/>
      </c>
      <c r="C12588" s="42" t="str">
        <f>IFERROR(__xludf.DUMMYFUNCTION("""COMPUTED_VALUE"""),"")</f>
        <v/>
      </c>
      <c r="D12588" s="42"/>
      <c r="E12588" s="42"/>
      <c r="F12588" s="48" t="str">
        <f>IFERROR(__xludf.DUMMYFUNCTION("""COMPUTED_VALUE"""),"")</f>
        <v/>
      </c>
      <c r="G12588" s="42" t="str">
        <f>IFERROR(__xludf.DUMMYFUNCTION("""COMPUTED_VALUE"""),"")</f>
        <v/>
      </c>
      <c r="H12588" s="42">
        <f t="shared" si="1"/>
        <v>3345</v>
      </c>
    </row>
    <row r="12589" ht="22.5" customHeight="1">
      <c r="B12589" s="42" t="str">
        <f>IFERROR(__xludf.DUMMYFUNCTION("""COMPUTED_VALUE"""),"")</f>
        <v/>
      </c>
      <c r="C12589" s="42" t="str">
        <f>IFERROR(__xludf.DUMMYFUNCTION("""COMPUTED_VALUE"""),"")</f>
        <v/>
      </c>
      <c r="D12589" s="42"/>
      <c r="E12589" s="42"/>
      <c r="F12589" s="48" t="str">
        <f>IFERROR(__xludf.DUMMYFUNCTION("""COMPUTED_VALUE"""),"")</f>
        <v/>
      </c>
      <c r="G12589" s="42" t="str">
        <f>IFERROR(__xludf.DUMMYFUNCTION("""COMPUTED_VALUE"""),"")</f>
        <v/>
      </c>
      <c r="H12589" s="42">
        <f t="shared" si="1"/>
        <v>3345</v>
      </c>
    </row>
    <row r="12590" ht="22.5" customHeight="1">
      <c r="B12590" s="42" t="str">
        <f>IFERROR(__xludf.DUMMYFUNCTION("""COMPUTED_VALUE"""),"")</f>
        <v/>
      </c>
      <c r="C12590" s="42" t="str">
        <f>IFERROR(__xludf.DUMMYFUNCTION("""COMPUTED_VALUE"""),"")</f>
        <v/>
      </c>
      <c r="D12590" s="42"/>
      <c r="E12590" s="42"/>
      <c r="F12590" s="48" t="str">
        <f>IFERROR(__xludf.DUMMYFUNCTION("""COMPUTED_VALUE"""),"")</f>
        <v/>
      </c>
      <c r="G12590" s="42" t="str">
        <f>IFERROR(__xludf.DUMMYFUNCTION("""COMPUTED_VALUE"""),"")</f>
        <v/>
      </c>
      <c r="H12590" s="42">
        <f t="shared" si="1"/>
        <v>3345</v>
      </c>
    </row>
    <row r="12591" ht="22.5" customHeight="1">
      <c r="B12591" s="42" t="str">
        <f>IFERROR(__xludf.DUMMYFUNCTION("""COMPUTED_VALUE"""),"")</f>
        <v/>
      </c>
      <c r="C12591" s="42" t="str">
        <f>IFERROR(__xludf.DUMMYFUNCTION("""COMPUTED_VALUE"""),"")</f>
        <v/>
      </c>
      <c r="D12591" s="42"/>
      <c r="E12591" s="42"/>
      <c r="F12591" s="48" t="str">
        <f>IFERROR(__xludf.DUMMYFUNCTION("""COMPUTED_VALUE"""),"")</f>
        <v/>
      </c>
      <c r="G12591" s="42" t="str">
        <f>IFERROR(__xludf.DUMMYFUNCTION("""COMPUTED_VALUE"""),"")</f>
        <v/>
      </c>
      <c r="H12591" s="42">
        <f t="shared" si="1"/>
        <v>3345</v>
      </c>
    </row>
    <row r="12592" ht="22.5" customHeight="1">
      <c r="B12592" s="42" t="str">
        <f>IFERROR(__xludf.DUMMYFUNCTION("""COMPUTED_VALUE"""),"")</f>
        <v/>
      </c>
      <c r="C12592" s="42" t="str">
        <f>IFERROR(__xludf.DUMMYFUNCTION("""COMPUTED_VALUE"""),"")</f>
        <v/>
      </c>
      <c r="D12592" s="42"/>
      <c r="E12592" s="42"/>
      <c r="F12592" s="48" t="str">
        <f>IFERROR(__xludf.DUMMYFUNCTION("""COMPUTED_VALUE"""),"")</f>
        <v/>
      </c>
      <c r="G12592" s="42" t="str">
        <f>IFERROR(__xludf.DUMMYFUNCTION("""COMPUTED_VALUE"""),"")</f>
        <v/>
      </c>
      <c r="H12592" s="42">
        <f t="shared" si="1"/>
        <v>3345</v>
      </c>
    </row>
    <row r="12593" ht="22.5" customHeight="1">
      <c r="B12593" s="42" t="str">
        <f>IFERROR(__xludf.DUMMYFUNCTION("""COMPUTED_VALUE"""),"")</f>
        <v/>
      </c>
      <c r="C12593" s="42" t="str">
        <f>IFERROR(__xludf.DUMMYFUNCTION("""COMPUTED_VALUE"""),"")</f>
        <v/>
      </c>
      <c r="D12593" s="42"/>
      <c r="E12593" s="42"/>
      <c r="F12593" s="48" t="str">
        <f>IFERROR(__xludf.DUMMYFUNCTION("""COMPUTED_VALUE"""),"")</f>
        <v/>
      </c>
      <c r="G12593" s="42" t="str">
        <f>IFERROR(__xludf.DUMMYFUNCTION("""COMPUTED_VALUE"""),"")</f>
        <v/>
      </c>
      <c r="H12593" s="42">
        <f t="shared" si="1"/>
        <v>3345</v>
      </c>
    </row>
    <row r="12594" ht="22.5" customHeight="1">
      <c r="B12594" s="42" t="str">
        <f>IFERROR(__xludf.DUMMYFUNCTION("""COMPUTED_VALUE"""),"")</f>
        <v/>
      </c>
      <c r="C12594" s="42" t="str">
        <f>IFERROR(__xludf.DUMMYFUNCTION("""COMPUTED_VALUE"""),"")</f>
        <v/>
      </c>
      <c r="D12594" s="42"/>
      <c r="E12594" s="42"/>
      <c r="F12594" s="48" t="str">
        <f>IFERROR(__xludf.DUMMYFUNCTION("""COMPUTED_VALUE"""),"")</f>
        <v/>
      </c>
      <c r="G12594" s="42" t="str">
        <f>IFERROR(__xludf.DUMMYFUNCTION("""COMPUTED_VALUE"""),"")</f>
        <v/>
      </c>
      <c r="H12594" s="42">
        <f t="shared" si="1"/>
        <v>3345</v>
      </c>
    </row>
    <row r="12595" ht="22.5" customHeight="1">
      <c r="B12595" s="42" t="str">
        <f>IFERROR(__xludf.DUMMYFUNCTION("""COMPUTED_VALUE"""),"")</f>
        <v/>
      </c>
      <c r="C12595" s="42" t="str">
        <f>IFERROR(__xludf.DUMMYFUNCTION("""COMPUTED_VALUE"""),"")</f>
        <v/>
      </c>
      <c r="D12595" s="42"/>
      <c r="E12595" s="42"/>
      <c r="F12595" s="48" t="str">
        <f>IFERROR(__xludf.DUMMYFUNCTION("""COMPUTED_VALUE"""),"")</f>
        <v/>
      </c>
      <c r="G12595" s="42" t="str">
        <f>IFERROR(__xludf.DUMMYFUNCTION("""COMPUTED_VALUE"""),"")</f>
        <v/>
      </c>
      <c r="H12595" s="42">
        <f t="shared" si="1"/>
        <v>3345</v>
      </c>
    </row>
    <row r="12596" ht="22.5" customHeight="1">
      <c r="B12596" s="42" t="str">
        <f>IFERROR(__xludf.DUMMYFUNCTION("""COMPUTED_VALUE"""),"")</f>
        <v/>
      </c>
      <c r="C12596" s="42" t="str">
        <f>IFERROR(__xludf.DUMMYFUNCTION("""COMPUTED_VALUE"""),"")</f>
        <v/>
      </c>
      <c r="D12596" s="42"/>
      <c r="E12596" s="42"/>
      <c r="F12596" s="48" t="str">
        <f>IFERROR(__xludf.DUMMYFUNCTION("""COMPUTED_VALUE"""),"")</f>
        <v/>
      </c>
      <c r="G12596" s="42" t="str">
        <f>IFERROR(__xludf.DUMMYFUNCTION("""COMPUTED_VALUE"""),"")</f>
        <v/>
      </c>
      <c r="H12596" s="42">
        <f t="shared" si="1"/>
        <v>3345</v>
      </c>
    </row>
    <row r="12597" ht="22.5" customHeight="1">
      <c r="B12597" s="42" t="str">
        <f>IFERROR(__xludf.DUMMYFUNCTION("""COMPUTED_VALUE"""),"")</f>
        <v/>
      </c>
      <c r="C12597" s="42" t="str">
        <f>IFERROR(__xludf.DUMMYFUNCTION("""COMPUTED_VALUE"""),"")</f>
        <v/>
      </c>
      <c r="D12597" s="42"/>
      <c r="E12597" s="42"/>
      <c r="F12597" s="48" t="str">
        <f>IFERROR(__xludf.DUMMYFUNCTION("""COMPUTED_VALUE"""),"")</f>
        <v/>
      </c>
      <c r="G12597" s="42" t="str">
        <f>IFERROR(__xludf.DUMMYFUNCTION("""COMPUTED_VALUE"""),"")</f>
        <v/>
      </c>
      <c r="H12597" s="42">
        <f t="shared" si="1"/>
        <v>3345</v>
      </c>
    </row>
    <row r="12598" ht="22.5" customHeight="1">
      <c r="B12598" s="42" t="str">
        <f>IFERROR(__xludf.DUMMYFUNCTION("""COMPUTED_VALUE"""),"")</f>
        <v/>
      </c>
      <c r="C12598" s="42" t="str">
        <f>IFERROR(__xludf.DUMMYFUNCTION("""COMPUTED_VALUE"""),"")</f>
        <v/>
      </c>
      <c r="D12598" s="42"/>
      <c r="E12598" s="42"/>
      <c r="F12598" s="48" t="str">
        <f>IFERROR(__xludf.DUMMYFUNCTION("""COMPUTED_VALUE"""),"")</f>
        <v/>
      </c>
      <c r="G12598" s="42" t="str">
        <f>IFERROR(__xludf.DUMMYFUNCTION("""COMPUTED_VALUE"""),"")</f>
        <v/>
      </c>
      <c r="H12598" s="42">
        <f t="shared" si="1"/>
        <v>3345</v>
      </c>
    </row>
    <row r="12599" ht="22.5" customHeight="1">
      <c r="B12599" s="42" t="str">
        <f>IFERROR(__xludf.DUMMYFUNCTION("""COMPUTED_VALUE"""),"")</f>
        <v/>
      </c>
      <c r="C12599" s="42" t="str">
        <f>IFERROR(__xludf.DUMMYFUNCTION("""COMPUTED_VALUE"""),"")</f>
        <v/>
      </c>
      <c r="D12599" s="42"/>
      <c r="E12599" s="42"/>
      <c r="F12599" s="48" t="str">
        <f>IFERROR(__xludf.DUMMYFUNCTION("""COMPUTED_VALUE"""),"")</f>
        <v/>
      </c>
      <c r="G12599" s="42" t="str">
        <f>IFERROR(__xludf.DUMMYFUNCTION("""COMPUTED_VALUE"""),"")</f>
        <v/>
      </c>
      <c r="H12599" s="42">
        <f t="shared" si="1"/>
        <v>3345</v>
      </c>
    </row>
    <row r="12600" ht="22.5" customHeight="1">
      <c r="B12600" s="42" t="str">
        <f>IFERROR(__xludf.DUMMYFUNCTION("""COMPUTED_VALUE"""),"")</f>
        <v/>
      </c>
      <c r="C12600" s="42" t="str">
        <f>IFERROR(__xludf.DUMMYFUNCTION("""COMPUTED_VALUE"""),"")</f>
        <v/>
      </c>
      <c r="D12600" s="42"/>
      <c r="E12600" s="42"/>
      <c r="F12600" s="48" t="str">
        <f>IFERROR(__xludf.DUMMYFUNCTION("""COMPUTED_VALUE"""),"")</f>
        <v/>
      </c>
      <c r="G12600" s="42" t="str">
        <f>IFERROR(__xludf.DUMMYFUNCTION("""COMPUTED_VALUE"""),"")</f>
        <v/>
      </c>
      <c r="H12600" s="42">
        <f t="shared" si="1"/>
        <v>3345</v>
      </c>
    </row>
    <row r="12601" ht="22.5" customHeight="1">
      <c r="B12601" s="42" t="str">
        <f>IFERROR(__xludf.DUMMYFUNCTION("""COMPUTED_VALUE"""),"")</f>
        <v/>
      </c>
      <c r="C12601" s="42" t="str">
        <f>IFERROR(__xludf.DUMMYFUNCTION("""COMPUTED_VALUE"""),"")</f>
        <v/>
      </c>
      <c r="D12601" s="42"/>
      <c r="E12601" s="42"/>
      <c r="F12601" s="48" t="str">
        <f>IFERROR(__xludf.DUMMYFUNCTION("""COMPUTED_VALUE"""),"")</f>
        <v/>
      </c>
      <c r="G12601" s="42" t="str">
        <f>IFERROR(__xludf.DUMMYFUNCTION("""COMPUTED_VALUE"""),"")</f>
        <v/>
      </c>
      <c r="H12601" s="42">
        <f t="shared" si="1"/>
        <v>3345</v>
      </c>
    </row>
    <row r="12602" ht="22.5" customHeight="1">
      <c r="B12602" s="42" t="str">
        <f>IFERROR(__xludf.DUMMYFUNCTION("""COMPUTED_VALUE"""),"")</f>
        <v/>
      </c>
      <c r="C12602" s="42" t="str">
        <f>IFERROR(__xludf.DUMMYFUNCTION("""COMPUTED_VALUE"""),"")</f>
        <v/>
      </c>
      <c r="D12602" s="42"/>
      <c r="E12602" s="42"/>
      <c r="F12602" s="48" t="str">
        <f>IFERROR(__xludf.DUMMYFUNCTION("""COMPUTED_VALUE"""),"")</f>
        <v/>
      </c>
      <c r="G12602" s="42" t="str">
        <f>IFERROR(__xludf.DUMMYFUNCTION("""COMPUTED_VALUE"""),"")</f>
        <v/>
      </c>
      <c r="H12602" s="42">
        <f t="shared" si="1"/>
        <v>3345</v>
      </c>
    </row>
    <row r="12603" ht="22.5" customHeight="1">
      <c r="B12603" s="42" t="str">
        <f>IFERROR(__xludf.DUMMYFUNCTION("""COMPUTED_VALUE"""),"")</f>
        <v/>
      </c>
      <c r="C12603" s="42" t="str">
        <f>IFERROR(__xludf.DUMMYFUNCTION("""COMPUTED_VALUE"""),"")</f>
        <v/>
      </c>
      <c r="D12603" s="42"/>
      <c r="E12603" s="42"/>
      <c r="F12603" s="48" t="str">
        <f>IFERROR(__xludf.DUMMYFUNCTION("""COMPUTED_VALUE"""),"")</f>
        <v/>
      </c>
      <c r="G12603" s="42" t="str">
        <f>IFERROR(__xludf.DUMMYFUNCTION("""COMPUTED_VALUE"""),"")</f>
        <v/>
      </c>
      <c r="H12603" s="42">
        <f t="shared" si="1"/>
        <v>3345</v>
      </c>
    </row>
    <row r="12604" ht="22.5" customHeight="1">
      <c r="B12604" s="42" t="str">
        <f>IFERROR(__xludf.DUMMYFUNCTION("""COMPUTED_VALUE"""),"")</f>
        <v/>
      </c>
      <c r="C12604" s="42" t="str">
        <f>IFERROR(__xludf.DUMMYFUNCTION("""COMPUTED_VALUE"""),"")</f>
        <v/>
      </c>
      <c r="D12604" s="42"/>
      <c r="E12604" s="42"/>
      <c r="F12604" s="48" t="str">
        <f>IFERROR(__xludf.DUMMYFUNCTION("""COMPUTED_VALUE"""),"")</f>
        <v/>
      </c>
      <c r="G12604" s="42" t="str">
        <f>IFERROR(__xludf.DUMMYFUNCTION("""COMPUTED_VALUE"""),"")</f>
        <v/>
      </c>
      <c r="H12604" s="42">
        <f t="shared" si="1"/>
        <v>3345</v>
      </c>
    </row>
    <row r="12605" ht="22.5" customHeight="1">
      <c r="B12605" s="42" t="str">
        <f>IFERROR(__xludf.DUMMYFUNCTION("""COMPUTED_VALUE"""),"")</f>
        <v/>
      </c>
      <c r="C12605" s="42" t="str">
        <f>IFERROR(__xludf.DUMMYFUNCTION("""COMPUTED_VALUE"""),"")</f>
        <v/>
      </c>
      <c r="D12605" s="42"/>
      <c r="E12605" s="42"/>
      <c r="F12605" s="48" t="str">
        <f>IFERROR(__xludf.DUMMYFUNCTION("""COMPUTED_VALUE"""),"")</f>
        <v/>
      </c>
      <c r="G12605" s="42" t="str">
        <f>IFERROR(__xludf.DUMMYFUNCTION("""COMPUTED_VALUE"""),"")</f>
        <v/>
      </c>
      <c r="H12605" s="42">
        <f t="shared" si="1"/>
        <v>3345</v>
      </c>
    </row>
    <row r="12606" ht="22.5" customHeight="1">
      <c r="B12606" s="42" t="str">
        <f>IFERROR(__xludf.DUMMYFUNCTION("""COMPUTED_VALUE"""),"")</f>
        <v/>
      </c>
      <c r="C12606" s="42" t="str">
        <f>IFERROR(__xludf.DUMMYFUNCTION("""COMPUTED_VALUE"""),"")</f>
        <v/>
      </c>
      <c r="D12606" s="42"/>
      <c r="E12606" s="42"/>
      <c r="F12606" s="48" t="str">
        <f>IFERROR(__xludf.DUMMYFUNCTION("""COMPUTED_VALUE"""),"")</f>
        <v/>
      </c>
      <c r="G12606" s="42" t="str">
        <f>IFERROR(__xludf.DUMMYFUNCTION("""COMPUTED_VALUE"""),"")</f>
        <v/>
      </c>
      <c r="H12606" s="42">
        <f t="shared" si="1"/>
        <v>3345</v>
      </c>
    </row>
    <row r="12607" ht="22.5" customHeight="1">
      <c r="B12607" s="42" t="str">
        <f>IFERROR(__xludf.DUMMYFUNCTION("""COMPUTED_VALUE"""),"")</f>
        <v/>
      </c>
      <c r="C12607" s="42" t="str">
        <f>IFERROR(__xludf.DUMMYFUNCTION("""COMPUTED_VALUE"""),"")</f>
        <v/>
      </c>
      <c r="D12607" s="42"/>
      <c r="E12607" s="42"/>
      <c r="F12607" s="48" t="str">
        <f>IFERROR(__xludf.DUMMYFUNCTION("""COMPUTED_VALUE"""),"")</f>
        <v/>
      </c>
      <c r="G12607" s="42" t="str">
        <f>IFERROR(__xludf.DUMMYFUNCTION("""COMPUTED_VALUE"""),"")</f>
        <v/>
      </c>
      <c r="H12607" s="42">
        <f t="shared" si="1"/>
        <v>3345</v>
      </c>
    </row>
    <row r="12608" ht="22.5" customHeight="1">
      <c r="B12608" s="42" t="str">
        <f>IFERROR(__xludf.DUMMYFUNCTION("""COMPUTED_VALUE"""),"")</f>
        <v/>
      </c>
      <c r="C12608" s="42" t="str">
        <f>IFERROR(__xludf.DUMMYFUNCTION("""COMPUTED_VALUE"""),"")</f>
        <v/>
      </c>
      <c r="D12608" s="42"/>
      <c r="E12608" s="42"/>
      <c r="F12608" s="48" t="str">
        <f>IFERROR(__xludf.DUMMYFUNCTION("""COMPUTED_VALUE"""),"")</f>
        <v/>
      </c>
      <c r="G12608" s="42" t="str">
        <f>IFERROR(__xludf.DUMMYFUNCTION("""COMPUTED_VALUE"""),"")</f>
        <v/>
      </c>
      <c r="H12608" s="42">
        <f t="shared" si="1"/>
        <v>3345</v>
      </c>
    </row>
    <row r="12609" ht="22.5" customHeight="1">
      <c r="B12609" s="42" t="str">
        <f>IFERROR(__xludf.DUMMYFUNCTION("""COMPUTED_VALUE"""),"")</f>
        <v/>
      </c>
      <c r="C12609" s="42" t="str">
        <f>IFERROR(__xludf.DUMMYFUNCTION("""COMPUTED_VALUE"""),"")</f>
        <v/>
      </c>
      <c r="D12609" s="42"/>
      <c r="E12609" s="42"/>
      <c r="F12609" s="48" t="str">
        <f>IFERROR(__xludf.DUMMYFUNCTION("""COMPUTED_VALUE"""),"")</f>
        <v/>
      </c>
      <c r="G12609" s="42" t="str">
        <f>IFERROR(__xludf.DUMMYFUNCTION("""COMPUTED_VALUE"""),"")</f>
        <v/>
      </c>
      <c r="H12609" s="42">
        <f t="shared" si="1"/>
        <v>3345</v>
      </c>
    </row>
    <row r="12610" ht="22.5" customHeight="1">
      <c r="B12610" s="42" t="str">
        <f>IFERROR(__xludf.DUMMYFUNCTION("""COMPUTED_VALUE"""),"")</f>
        <v/>
      </c>
      <c r="C12610" s="42" t="str">
        <f>IFERROR(__xludf.DUMMYFUNCTION("""COMPUTED_VALUE"""),"")</f>
        <v/>
      </c>
      <c r="D12610" s="42"/>
      <c r="E12610" s="42"/>
      <c r="F12610" s="48" t="str">
        <f>IFERROR(__xludf.DUMMYFUNCTION("""COMPUTED_VALUE"""),"")</f>
        <v/>
      </c>
      <c r="G12610" s="42" t="str">
        <f>IFERROR(__xludf.DUMMYFUNCTION("""COMPUTED_VALUE"""),"")</f>
        <v/>
      </c>
      <c r="H12610" s="42">
        <f t="shared" si="1"/>
        <v>3345</v>
      </c>
    </row>
    <row r="12611" ht="22.5" customHeight="1">
      <c r="B12611" s="42" t="str">
        <f>IFERROR(__xludf.DUMMYFUNCTION("""COMPUTED_VALUE"""),"")</f>
        <v/>
      </c>
      <c r="C12611" s="42" t="str">
        <f>IFERROR(__xludf.DUMMYFUNCTION("""COMPUTED_VALUE"""),"")</f>
        <v/>
      </c>
      <c r="D12611" s="42"/>
      <c r="E12611" s="42"/>
      <c r="F12611" s="48" t="str">
        <f>IFERROR(__xludf.DUMMYFUNCTION("""COMPUTED_VALUE"""),"")</f>
        <v/>
      </c>
      <c r="G12611" s="42" t="str">
        <f>IFERROR(__xludf.DUMMYFUNCTION("""COMPUTED_VALUE"""),"")</f>
        <v/>
      </c>
      <c r="H12611" s="42">
        <f t="shared" si="1"/>
        <v>3345</v>
      </c>
    </row>
    <row r="12612" ht="22.5" customHeight="1">
      <c r="B12612" s="42" t="str">
        <f>IFERROR(__xludf.DUMMYFUNCTION("""COMPUTED_VALUE"""),"")</f>
        <v/>
      </c>
      <c r="C12612" s="42" t="str">
        <f>IFERROR(__xludf.DUMMYFUNCTION("""COMPUTED_VALUE"""),"")</f>
        <v/>
      </c>
      <c r="D12612" s="42"/>
      <c r="E12612" s="42"/>
      <c r="F12612" s="48" t="str">
        <f>IFERROR(__xludf.DUMMYFUNCTION("""COMPUTED_VALUE"""),"")</f>
        <v/>
      </c>
      <c r="G12612" s="42" t="str">
        <f>IFERROR(__xludf.DUMMYFUNCTION("""COMPUTED_VALUE"""),"")</f>
        <v/>
      </c>
      <c r="H12612" s="42">
        <f t="shared" si="1"/>
        <v>3345</v>
      </c>
    </row>
    <row r="12613" ht="22.5" customHeight="1">
      <c r="B12613" s="42" t="str">
        <f>IFERROR(__xludf.DUMMYFUNCTION("""COMPUTED_VALUE"""),"")</f>
        <v/>
      </c>
      <c r="C12613" s="42" t="str">
        <f>IFERROR(__xludf.DUMMYFUNCTION("""COMPUTED_VALUE"""),"")</f>
        <v/>
      </c>
      <c r="D12613" s="42"/>
      <c r="E12613" s="42"/>
      <c r="F12613" s="48" t="str">
        <f>IFERROR(__xludf.DUMMYFUNCTION("""COMPUTED_VALUE"""),"")</f>
        <v/>
      </c>
      <c r="G12613" s="42" t="str">
        <f>IFERROR(__xludf.DUMMYFUNCTION("""COMPUTED_VALUE"""),"")</f>
        <v/>
      </c>
      <c r="H12613" s="42">
        <f t="shared" si="1"/>
        <v>3345</v>
      </c>
    </row>
    <row r="12614" ht="22.5" customHeight="1">
      <c r="B12614" s="42" t="str">
        <f>IFERROR(__xludf.DUMMYFUNCTION("""COMPUTED_VALUE"""),"")</f>
        <v/>
      </c>
      <c r="C12614" s="42" t="str">
        <f>IFERROR(__xludf.DUMMYFUNCTION("""COMPUTED_VALUE"""),"")</f>
        <v/>
      </c>
      <c r="D12614" s="42"/>
      <c r="E12614" s="42"/>
      <c r="F12614" s="48" t="str">
        <f>IFERROR(__xludf.DUMMYFUNCTION("""COMPUTED_VALUE"""),"")</f>
        <v/>
      </c>
      <c r="G12614" s="42" t="str">
        <f>IFERROR(__xludf.DUMMYFUNCTION("""COMPUTED_VALUE"""),"")</f>
        <v/>
      </c>
      <c r="H12614" s="42">
        <f t="shared" si="1"/>
        <v>3345</v>
      </c>
    </row>
    <row r="12615" ht="22.5" customHeight="1">
      <c r="B12615" s="42" t="str">
        <f>IFERROR(__xludf.DUMMYFUNCTION("""COMPUTED_VALUE"""),"")</f>
        <v/>
      </c>
      <c r="C12615" s="42" t="str">
        <f>IFERROR(__xludf.DUMMYFUNCTION("""COMPUTED_VALUE"""),"")</f>
        <v/>
      </c>
      <c r="D12615" s="42"/>
      <c r="E12615" s="42"/>
      <c r="F12615" s="48" t="str">
        <f>IFERROR(__xludf.DUMMYFUNCTION("""COMPUTED_VALUE"""),"")</f>
        <v/>
      </c>
      <c r="G12615" s="42" t="str">
        <f>IFERROR(__xludf.DUMMYFUNCTION("""COMPUTED_VALUE"""),"")</f>
        <v/>
      </c>
      <c r="H12615" s="42">
        <f t="shared" si="1"/>
        <v>3345</v>
      </c>
    </row>
    <row r="12616" ht="22.5" customHeight="1">
      <c r="B12616" s="42" t="str">
        <f>IFERROR(__xludf.DUMMYFUNCTION("""COMPUTED_VALUE"""),"")</f>
        <v/>
      </c>
      <c r="C12616" s="42" t="str">
        <f>IFERROR(__xludf.DUMMYFUNCTION("""COMPUTED_VALUE"""),"")</f>
        <v/>
      </c>
      <c r="D12616" s="42"/>
      <c r="E12616" s="42"/>
      <c r="F12616" s="48" t="str">
        <f>IFERROR(__xludf.DUMMYFUNCTION("""COMPUTED_VALUE"""),"")</f>
        <v/>
      </c>
      <c r="G12616" s="42" t="str">
        <f>IFERROR(__xludf.DUMMYFUNCTION("""COMPUTED_VALUE"""),"")</f>
        <v/>
      </c>
      <c r="H12616" s="42">
        <f t="shared" si="1"/>
        <v>3345</v>
      </c>
    </row>
    <row r="12617" ht="22.5" customHeight="1">
      <c r="B12617" s="42" t="str">
        <f>IFERROR(__xludf.DUMMYFUNCTION("""COMPUTED_VALUE"""),"")</f>
        <v/>
      </c>
      <c r="C12617" s="42" t="str">
        <f>IFERROR(__xludf.DUMMYFUNCTION("""COMPUTED_VALUE"""),"")</f>
        <v/>
      </c>
      <c r="D12617" s="42"/>
      <c r="E12617" s="42"/>
      <c r="F12617" s="48" t="str">
        <f>IFERROR(__xludf.DUMMYFUNCTION("""COMPUTED_VALUE"""),"")</f>
        <v/>
      </c>
      <c r="G12617" s="42" t="str">
        <f>IFERROR(__xludf.DUMMYFUNCTION("""COMPUTED_VALUE"""),"")</f>
        <v/>
      </c>
      <c r="H12617" s="42">
        <f t="shared" si="1"/>
        <v>3345</v>
      </c>
    </row>
    <row r="12618" ht="22.5" customHeight="1">
      <c r="B12618" s="42" t="str">
        <f>IFERROR(__xludf.DUMMYFUNCTION("""COMPUTED_VALUE"""),"")</f>
        <v/>
      </c>
      <c r="C12618" s="42" t="str">
        <f>IFERROR(__xludf.DUMMYFUNCTION("""COMPUTED_VALUE"""),"")</f>
        <v/>
      </c>
      <c r="D12618" s="42"/>
      <c r="E12618" s="42"/>
      <c r="F12618" s="48" t="str">
        <f>IFERROR(__xludf.DUMMYFUNCTION("""COMPUTED_VALUE"""),"")</f>
        <v/>
      </c>
      <c r="G12618" s="42" t="str">
        <f>IFERROR(__xludf.DUMMYFUNCTION("""COMPUTED_VALUE"""),"")</f>
        <v/>
      </c>
      <c r="H12618" s="42">
        <f t="shared" si="1"/>
        <v>3345</v>
      </c>
    </row>
    <row r="12619" ht="22.5" customHeight="1">
      <c r="B12619" s="42" t="str">
        <f>IFERROR(__xludf.DUMMYFUNCTION("""COMPUTED_VALUE"""),"")</f>
        <v/>
      </c>
      <c r="C12619" s="42" t="str">
        <f>IFERROR(__xludf.DUMMYFUNCTION("""COMPUTED_VALUE"""),"")</f>
        <v/>
      </c>
      <c r="D12619" s="42"/>
      <c r="E12619" s="42"/>
      <c r="F12619" s="48" t="str">
        <f>IFERROR(__xludf.DUMMYFUNCTION("""COMPUTED_VALUE"""),"")</f>
        <v/>
      </c>
      <c r="G12619" s="42" t="str">
        <f>IFERROR(__xludf.DUMMYFUNCTION("""COMPUTED_VALUE"""),"")</f>
        <v/>
      </c>
      <c r="H12619" s="42">
        <f t="shared" si="1"/>
        <v>3345</v>
      </c>
    </row>
    <row r="12620" ht="22.5" customHeight="1">
      <c r="B12620" s="42" t="str">
        <f>IFERROR(__xludf.DUMMYFUNCTION("""COMPUTED_VALUE"""),"")</f>
        <v/>
      </c>
      <c r="C12620" s="42" t="str">
        <f>IFERROR(__xludf.DUMMYFUNCTION("""COMPUTED_VALUE"""),"")</f>
        <v/>
      </c>
      <c r="D12620" s="42"/>
      <c r="E12620" s="42"/>
      <c r="F12620" s="48" t="str">
        <f>IFERROR(__xludf.DUMMYFUNCTION("""COMPUTED_VALUE"""),"")</f>
        <v/>
      </c>
      <c r="G12620" s="42" t="str">
        <f>IFERROR(__xludf.DUMMYFUNCTION("""COMPUTED_VALUE"""),"")</f>
        <v/>
      </c>
      <c r="H12620" s="42">
        <f t="shared" si="1"/>
        <v>3345</v>
      </c>
    </row>
    <row r="12621" ht="22.5" customHeight="1">
      <c r="B12621" s="42" t="str">
        <f>IFERROR(__xludf.DUMMYFUNCTION("""COMPUTED_VALUE"""),"")</f>
        <v/>
      </c>
      <c r="C12621" s="42" t="str">
        <f>IFERROR(__xludf.DUMMYFUNCTION("""COMPUTED_VALUE"""),"")</f>
        <v/>
      </c>
      <c r="D12621" s="42"/>
      <c r="E12621" s="42"/>
      <c r="F12621" s="48" t="str">
        <f>IFERROR(__xludf.DUMMYFUNCTION("""COMPUTED_VALUE"""),"")</f>
        <v/>
      </c>
      <c r="G12621" s="42" t="str">
        <f>IFERROR(__xludf.DUMMYFUNCTION("""COMPUTED_VALUE"""),"")</f>
        <v/>
      </c>
      <c r="H12621" s="42">
        <f t="shared" si="1"/>
        <v>3345</v>
      </c>
    </row>
    <row r="12622" ht="22.5" customHeight="1">
      <c r="B12622" s="42" t="str">
        <f>IFERROR(__xludf.DUMMYFUNCTION("""COMPUTED_VALUE"""),"")</f>
        <v/>
      </c>
      <c r="C12622" s="42" t="str">
        <f>IFERROR(__xludf.DUMMYFUNCTION("""COMPUTED_VALUE"""),"")</f>
        <v/>
      </c>
      <c r="D12622" s="42"/>
      <c r="E12622" s="42"/>
      <c r="F12622" s="48" t="str">
        <f>IFERROR(__xludf.DUMMYFUNCTION("""COMPUTED_VALUE"""),"")</f>
        <v/>
      </c>
      <c r="G12622" s="42" t="str">
        <f>IFERROR(__xludf.DUMMYFUNCTION("""COMPUTED_VALUE"""),"")</f>
        <v/>
      </c>
      <c r="H12622" s="42">
        <f t="shared" si="1"/>
        <v>3345</v>
      </c>
    </row>
    <row r="12623" ht="22.5" customHeight="1">
      <c r="B12623" s="42" t="str">
        <f>IFERROR(__xludf.DUMMYFUNCTION("""COMPUTED_VALUE"""),"")</f>
        <v/>
      </c>
      <c r="C12623" s="42" t="str">
        <f>IFERROR(__xludf.DUMMYFUNCTION("""COMPUTED_VALUE"""),"")</f>
        <v/>
      </c>
      <c r="D12623" s="42"/>
      <c r="E12623" s="42"/>
      <c r="F12623" s="48" t="str">
        <f>IFERROR(__xludf.DUMMYFUNCTION("""COMPUTED_VALUE"""),"")</f>
        <v/>
      </c>
      <c r="G12623" s="42" t="str">
        <f>IFERROR(__xludf.DUMMYFUNCTION("""COMPUTED_VALUE"""),"")</f>
        <v/>
      </c>
      <c r="H12623" s="42">
        <f t="shared" si="1"/>
        <v>3345</v>
      </c>
    </row>
    <row r="12624" ht="22.5" customHeight="1">
      <c r="B12624" s="42" t="str">
        <f>IFERROR(__xludf.DUMMYFUNCTION("""COMPUTED_VALUE"""),"")</f>
        <v/>
      </c>
      <c r="C12624" s="42" t="str">
        <f>IFERROR(__xludf.DUMMYFUNCTION("""COMPUTED_VALUE"""),"")</f>
        <v/>
      </c>
      <c r="D12624" s="42"/>
      <c r="E12624" s="42"/>
      <c r="F12624" s="48" t="str">
        <f>IFERROR(__xludf.DUMMYFUNCTION("""COMPUTED_VALUE"""),"")</f>
        <v/>
      </c>
      <c r="G12624" s="42" t="str">
        <f>IFERROR(__xludf.DUMMYFUNCTION("""COMPUTED_VALUE"""),"")</f>
        <v/>
      </c>
      <c r="H12624" s="42">
        <f t="shared" si="1"/>
        <v>3345</v>
      </c>
    </row>
    <row r="12625" ht="22.5" customHeight="1">
      <c r="B12625" s="42" t="str">
        <f>IFERROR(__xludf.DUMMYFUNCTION("""COMPUTED_VALUE"""),"")</f>
        <v/>
      </c>
      <c r="C12625" s="42" t="str">
        <f>IFERROR(__xludf.DUMMYFUNCTION("""COMPUTED_VALUE"""),"")</f>
        <v/>
      </c>
      <c r="D12625" s="42"/>
      <c r="E12625" s="42"/>
      <c r="F12625" s="48" t="str">
        <f>IFERROR(__xludf.DUMMYFUNCTION("""COMPUTED_VALUE"""),"")</f>
        <v/>
      </c>
      <c r="G12625" s="42" t="str">
        <f>IFERROR(__xludf.DUMMYFUNCTION("""COMPUTED_VALUE"""),"")</f>
        <v/>
      </c>
      <c r="H12625" s="42">
        <f t="shared" si="1"/>
        <v>3345</v>
      </c>
    </row>
    <row r="12626" ht="22.5" customHeight="1">
      <c r="B12626" s="42" t="str">
        <f>IFERROR(__xludf.DUMMYFUNCTION("""COMPUTED_VALUE"""),"")</f>
        <v/>
      </c>
      <c r="C12626" s="42" t="str">
        <f>IFERROR(__xludf.DUMMYFUNCTION("""COMPUTED_VALUE"""),"")</f>
        <v/>
      </c>
      <c r="D12626" s="42"/>
      <c r="E12626" s="42"/>
      <c r="F12626" s="48" t="str">
        <f>IFERROR(__xludf.DUMMYFUNCTION("""COMPUTED_VALUE"""),"")</f>
        <v/>
      </c>
      <c r="G12626" s="42" t="str">
        <f>IFERROR(__xludf.DUMMYFUNCTION("""COMPUTED_VALUE"""),"")</f>
        <v/>
      </c>
      <c r="H12626" s="42">
        <f t="shared" si="1"/>
        <v>3345</v>
      </c>
    </row>
    <row r="12627" ht="22.5" customHeight="1">
      <c r="B12627" s="42" t="str">
        <f>IFERROR(__xludf.DUMMYFUNCTION("""COMPUTED_VALUE"""),"")</f>
        <v/>
      </c>
      <c r="C12627" s="42" t="str">
        <f>IFERROR(__xludf.DUMMYFUNCTION("""COMPUTED_VALUE"""),"")</f>
        <v/>
      </c>
      <c r="D12627" s="42"/>
      <c r="E12627" s="42"/>
      <c r="F12627" s="48" t="str">
        <f>IFERROR(__xludf.DUMMYFUNCTION("""COMPUTED_VALUE"""),"")</f>
        <v/>
      </c>
      <c r="G12627" s="42" t="str">
        <f>IFERROR(__xludf.DUMMYFUNCTION("""COMPUTED_VALUE"""),"")</f>
        <v/>
      </c>
      <c r="H12627" s="42">
        <f t="shared" si="1"/>
        <v>3345</v>
      </c>
    </row>
    <row r="12628" ht="22.5" customHeight="1">
      <c r="B12628" s="42" t="str">
        <f>IFERROR(__xludf.DUMMYFUNCTION("""COMPUTED_VALUE"""),"")</f>
        <v/>
      </c>
      <c r="C12628" s="42" t="str">
        <f>IFERROR(__xludf.DUMMYFUNCTION("""COMPUTED_VALUE"""),"")</f>
        <v/>
      </c>
      <c r="D12628" s="42"/>
      <c r="E12628" s="42"/>
      <c r="F12628" s="48" t="str">
        <f>IFERROR(__xludf.DUMMYFUNCTION("""COMPUTED_VALUE"""),"")</f>
        <v/>
      </c>
      <c r="G12628" s="42" t="str">
        <f>IFERROR(__xludf.DUMMYFUNCTION("""COMPUTED_VALUE"""),"")</f>
        <v/>
      </c>
      <c r="H12628" s="42">
        <f t="shared" si="1"/>
        <v>3345</v>
      </c>
    </row>
    <row r="12629" ht="22.5" customHeight="1">
      <c r="B12629" s="42" t="str">
        <f>IFERROR(__xludf.DUMMYFUNCTION("""COMPUTED_VALUE"""),"")</f>
        <v/>
      </c>
      <c r="C12629" s="42" t="str">
        <f>IFERROR(__xludf.DUMMYFUNCTION("""COMPUTED_VALUE"""),"")</f>
        <v/>
      </c>
      <c r="D12629" s="42"/>
      <c r="E12629" s="42"/>
      <c r="F12629" s="48" t="str">
        <f>IFERROR(__xludf.DUMMYFUNCTION("""COMPUTED_VALUE"""),"")</f>
        <v/>
      </c>
      <c r="G12629" s="42" t="str">
        <f>IFERROR(__xludf.DUMMYFUNCTION("""COMPUTED_VALUE"""),"")</f>
        <v/>
      </c>
      <c r="H12629" s="42">
        <f t="shared" si="1"/>
        <v>3345</v>
      </c>
    </row>
    <row r="12630" ht="22.5" customHeight="1">
      <c r="B12630" s="42" t="str">
        <f>IFERROR(__xludf.DUMMYFUNCTION("""COMPUTED_VALUE"""),"")</f>
        <v/>
      </c>
      <c r="C12630" s="42" t="str">
        <f>IFERROR(__xludf.DUMMYFUNCTION("""COMPUTED_VALUE"""),"")</f>
        <v/>
      </c>
      <c r="D12630" s="42"/>
      <c r="E12630" s="42"/>
      <c r="F12630" s="48" t="str">
        <f>IFERROR(__xludf.DUMMYFUNCTION("""COMPUTED_VALUE"""),"")</f>
        <v/>
      </c>
      <c r="G12630" s="42" t="str">
        <f>IFERROR(__xludf.DUMMYFUNCTION("""COMPUTED_VALUE"""),"")</f>
        <v/>
      </c>
      <c r="H12630" s="42">
        <f t="shared" si="1"/>
        <v>3345</v>
      </c>
    </row>
    <row r="12631" ht="22.5" customHeight="1">
      <c r="B12631" s="42" t="str">
        <f>IFERROR(__xludf.DUMMYFUNCTION("""COMPUTED_VALUE"""),"")</f>
        <v/>
      </c>
      <c r="C12631" s="42" t="str">
        <f>IFERROR(__xludf.DUMMYFUNCTION("""COMPUTED_VALUE"""),"")</f>
        <v/>
      </c>
      <c r="D12631" s="42"/>
      <c r="E12631" s="42"/>
      <c r="F12631" s="48" t="str">
        <f>IFERROR(__xludf.DUMMYFUNCTION("""COMPUTED_VALUE"""),"")</f>
        <v/>
      </c>
      <c r="G12631" s="42" t="str">
        <f>IFERROR(__xludf.DUMMYFUNCTION("""COMPUTED_VALUE"""),"")</f>
        <v/>
      </c>
      <c r="H12631" s="42">
        <f t="shared" si="1"/>
        <v>3345</v>
      </c>
    </row>
    <row r="12632" ht="22.5" customHeight="1">
      <c r="B12632" s="42" t="str">
        <f>IFERROR(__xludf.DUMMYFUNCTION("""COMPUTED_VALUE"""),"")</f>
        <v/>
      </c>
      <c r="C12632" s="42" t="str">
        <f>IFERROR(__xludf.DUMMYFUNCTION("""COMPUTED_VALUE"""),"")</f>
        <v/>
      </c>
      <c r="D12632" s="42"/>
      <c r="E12632" s="42"/>
      <c r="F12632" s="48" t="str">
        <f>IFERROR(__xludf.DUMMYFUNCTION("""COMPUTED_VALUE"""),"")</f>
        <v/>
      </c>
      <c r="G12632" s="42" t="str">
        <f>IFERROR(__xludf.DUMMYFUNCTION("""COMPUTED_VALUE"""),"")</f>
        <v/>
      </c>
      <c r="H12632" s="42">
        <f t="shared" si="1"/>
        <v>3345</v>
      </c>
    </row>
    <row r="12633" ht="22.5" customHeight="1">
      <c r="B12633" s="42" t="str">
        <f>IFERROR(__xludf.DUMMYFUNCTION("""COMPUTED_VALUE"""),"")</f>
        <v/>
      </c>
      <c r="C12633" s="42" t="str">
        <f>IFERROR(__xludf.DUMMYFUNCTION("""COMPUTED_VALUE"""),"")</f>
        <v/>
      </c>
      <c r="D12633" s="42"/>
      <c r="E12633" s="42"/>
      <c r="F12633" s="48" t="str">
        <f>IFERROR(__xludf.DUMMYFUNCTION("""COMPUTED_VALUE"""),"")</f>
        <v/>
      </c>
      <c r="G12633" s="42" t="str">
        <f>IFERROR(__xludf.DUMMYFUNCTION("""COMPUTED_VALUE"""),"")</f>
        <v/>
      </c>
      <c r="H12633" s="42">
        <f t="shared" si="1"/>
        <v>3345</v>
      </c>
    </row>
    <row r="12634" ht="22.5" customHeight="1">
      <c r="B12634" s="42" t="str">
        <f>IFERROR(__xludf.DUMMYFUNCTION("""COMPUTED_VALUE"""),"")</f>
        <v/>
      </c>
      <c r="C12634" s="42" t="str">
        <f>IFERROR(__xludf.DUMMYFUNCTION("""COMPUTED_VALUE"""),"")</f>
        <v/>
      </c>
      <c r="D12634" s="42"/>
      <c r="E12634" s="42"/>
      <c r="F12634" s="48" t="str">
        <f>IFERROR(__xludf.DUMMYFUNCTION("""COMPUTED_VALUE"""),"")</f>
        <v/>
      </c>
      <c r="G12634" s="42" t="str">
        <f>IFERROR(__xludf.DUMMYFUNCTION("""COMPUTED_VALUE"""),"")</f>
        <v/>
      </c>
      <c r="H12634" s="42">
        <f t="shared" si="1"/>
        <v>3345</v>
      </c>
    </row>
    <row r="12635" ht="22.5" customHeight="1">
      <c r="B12635" s="42" t="str">
        <f>IFERROR(__xludf.DUMMYFUNCTION("""COMPUTED_VALUE"""),"")</f>
        <v/>
      </c>
      <c r="C12635" s="42" t="str">
        <f>IFERROR(__xludf.DUMMYFUNCTION("""COMPUTED_VALUE"""),"")</f>
        <v/>
      </c>
      <c r="D12635" s="42"/>
      <c r="E12635" s="42"/>
      <c r="F12635" s="48" t="str">
        <f>IFERROR(__xludf.DUMMYFUNCTION("""COMPUTED_VALUE"""),"")</f>
        <v/>
      </c>
      <c r="G12635" s="42" t="str">
        <f>IFERROR(__xludf.DUMMYFUNCTION("""COMPUTED_VALUE"""),"")</f>
        <v/>
      </c>
      <c r="H12635" s="42">
        <f t="shared" si="1"/>
        <v>3345</v>
      </c>
    </row>
    <row r="12636" ht="22.5" customHeight="1">
      <c r="B12636" s="42" t="str">
        <f>IFERROR(__xludf.DUMMYFUNCTION("""COMPUTED_VALUE"""),"")</f>
        <v/>
      </c>
      <c r="C12636" s="42" t="str">
        <f>IFERROR(__xludf.DUMMYFUNCTION("""COMPUTED_VALUE"""),"")</f>
        <v/>
      </c>
      <c r="D12636" s="42"/>
      <c r="E12636" s="42"/>
      <c r="F12636" s="48" t="str">
        <f>IFERROR(__xludf.DUMMYFUNCTION("""COMPUTED_VALUE"""),"")</f>
        <v/>
      </c>
      <c r="G12636" s="42" t="str">
        <f>IFERROR(__xludf.DUMMYFUNCTION("""COMPUTED_VALUE"""),"")</f>
        <v/>
      </c>
      <c r="H12636" s="42">
        <f t="shared" si="1"/>
        <v>3345</v>
      </c>
    </row>
    <row r="12637" ht="22.5" customHeight="1">
      <c r="B12637" s="42" t="str">
        <f>IFERROR(__xludf.DUMMYFUNCTION("""COMPUTED_VALUE"""),"")</f>
        <v/>
      </c>
      <c r="C12637" s="42" t="str">
        <f>IFERROR(__xludf.DUMMYFUNCTION("""COMPUTED_VALUE"""),"")</f>
        <v/>
      </c>
      <c r="D12637" s="42"/>
      <c r="E12637" s="42"/>
      <c r="F12637" s="48" t="str">
        <f>IFERROR(__xludf.DUMMYFUNCTION("""COMPUTED_VALUE"""),"")</f>
        <v/>
      </c>
      <c r="G12637" s="42" t="str">
        <f>IFERROR(__xludf.DUMMYFUNCTION("""COMPUTED_VALUE"""),"")</f>
        <v/>
      </c>
      <c r="H12637" s="42">
        <f t="shared" si="1"/>
        <v>3345</v>
      </c>
    </row>
    <row r="12638" ht="22.5" customHeight="1">
      <c r="B12638" s="42" t="str">
        <f>IFERROR(__xludf.DUMMYFUNCTION("""COMPUTED_VALUE"""),"")</f>
        <v/>
      </c>
      <c r="C12638" s="42" t="str">
        <f>IFERROR(__xludf.DUMMYFUNCTION("""COMPUTED_VALUE"""),"")</f>
        <v/>
      </c>
      <c r="D12638" s="42"/>
      <c r="E12638" s="42"/>
      <c r="F12638" s="48" t="str">
        <f>IFERROR(__xludf.DUMMYFUNCTION("""COMPUTED_VALUE"""),"")</f>
        <v/>
      </c>
      <c r="G12638" s="42" t="str">
        <f>IFERROR(__xludf.DUMMYFUNCTION("""COMPUTED_VALUE"""),"")</f>
        <v/>
      </c>
      <c r="H12638" s="42">
        <f t="shared" si="1"/>
        <v>3345</v>
      </c>
    </row>
    <row r="12639" ht="22.5" customHeight="1">
      <c r="B12639" s="42" t="str">
        <f>IFERROR(__xludf.DUMMYFUNCTION("""COMPUTED_VALUE"""),"")</f>
        <v/>
      </c>
      <c r="C12639" s="42" t="str">
        <f>IFERROR(__xludf.DUMMYFUNCTION("""COMPUTED_VALUE"""),"")</f>
        <v/>
      </c>
      <c r="D12639" s="42"/>
      <c r="E12639" s="42"/>
      <c r="F12639" s="48" t="str">
        <f>IFERROR(__xludf.DUMMYFUNCTION("""COMPUTED_VALUE"""),"")</f>
        <v/>
      </c>
      <c r="G12639" s="42" t="str">
        <f>IFERROR(__xludf.DUMMYFUNCTION("""COMPUTED_VALUE"""),"")</f>
        <v/>
      </c>
      <c r="H12639" s="42">
        <f t="shared" si="1"/>
        <v>3345</v>
      </c>
    </row>
    <row r="12640" ht="22.5" customHeight="1">
      <c r="B12640" s="42" t="str">
        <f>IFERROR(__xludf.DUMMYFUNCTION("""COMPUTED_VALUE"""),"")</f>
        <v/>
      </c>
      <c r="C12640" s="42" t="str">
        <f>IFERROR(__xludf.DUMMYFUNCTION("""COMPUTED_VALUE"""),"")</f>
        <v/>
      </c>
      <c r="D12640" s="42"/>
      <c r="E12640" s="42"/>
      <c r="F12640" s="48" t="str">
        <f>IFERROR(__xludf.DUMMYFUNCTION("""COMPUTED_VALUE"""),"")</f>
        <v/>
      </c>
      <c r="G12640" s="42" t="str">
        <f>IFERROR(__xludf.DUMMYFUNCTION("""COMPUTED_VALUE"""),"")</f>
        <v/>
      </c>
      <c r="H12640" s="42">
        <f t="shared" si="1"/>
        <v>3345</v>
      </c>
    </row>
    <row r="12641" ht="22.5" customHeight="1">
      <c r="B12641" s="42" t="str">
        <f>IFERROR(__xludf.DUMMYFUNCTION("""COMPUTED_VALUE"""),"")</f>
        <v/>
      </c>
      <c r="C12641" s="42" t="str">
        <f>IFERROR(__xludf.DUMMYFUNCTION("""COMPUTED_VALUE"""),"")</f>
        <v/>
      </c>
      <c r="D12641" s="42"/>
      <c r="E12641" s="42"/>
      <c r="F12641" s="48" t="str">
        <f>IFERROR(__xludf.DUMMYFUNCTION("""COMPUTED_VALUE"""),"")</f>
        <v/>
      </c>
      <c r="G12641" s="42" t="str">
        <f>IFERROR(__xludf.DUMMYFUNCTION("""COMPUTED_VALUE"""),"")</f>
        <v/>
      </c>
      <c r="H12641" s="42">
        <f t="shared" si="1"/>
        <v>3345</v>
      </c>
    </row>
    <row r="12642" ht="22.5" customHeight="1">
      <c r="B12642" s="42" t="str">
        <f>IFERROR(__xludf.DUMMYFUNCTION("""COMPUTED_VALUE"""),"")</f>
        <v/>
      </c>
      <c r="C12642" s="42" t="str">
        <f>IFERROR(__xludf.DUMMYFUNCTION("""COMPUTED_VALUE"""),"")</f>
        <v/>
      </c>
      <c r="D12642" s="42"/>
      <c r="E12642" s="42"/>
      <c r="F12642" s="48" t="str">
        <f>IFERROR(__xludf.DUMMYFUNCTION("""COMPUTED_VALUE"""),"")</f>
        <v/>
      </c>
      <c r="G12642" s="42" t="str">
        <f>IFERROR(__xludf.DUMMYFUNCTION("""COMPUTED_VALUE"""),"")</f>
        <v/>
      </c>
      <c r="H12642" s="42">
        <f t="shared" si="1"/>
        <v>3345</v>
      </c>
    </row>
    <row r="12643" ht="22.5" customHeight="1">
      <c r="B12643" s="42" t="str">
        <f>IFERROR(__xludf.DUMMYFUNCTION("""COMPUTED_VALUE"""),"")</f>
        <v/>
      </c>
      <c r="C12643" s="42" t="str">
        <f>IFERROR(__xludf.DUMMYFUNCTION("""COMPUTED_VALUE"""),"")</f>
        <v/>
      </c>
      <c r="D12643" s="42"/>
      <c r="E12643" s="42"/>
      <c r="F12643" s="48" t="str">
        <f>IFERROR(__xludf.DUMMYFUNCTION("""COMPUTED_VALUE"""),"")</f>
        <v/>
      </c>
      <c r="G12643" s="42" t="str">
        <f>IFERROR(__xludf.DUMMYFUNCTION("""COMPUTED_VALUE"""),"")</f>
        <v/>
      </c>
      <c r="H12643" s="42">
        <f t="shared" si="1"/>
        <v>3345</v>
      </c>
    </row>
    <row r="12644" ht="22.5" customHeight="1">
      <c r="B12644" s="42" t="str">
        <f>IFERROR(__xludf.DUMMYFUNCTION("""COMPUTED_VALUE"""),"")</f>
        <v/>
      </c>
      <c r="C12644" s="42" t="str">
        <f>IFERROR(__xludf.DUMMYFUNCTION("""COMPUTED_VALUE"""),"")</f>
        <v/>
      </c>
      <c r="D12644" s="42"/>
      <c r="E12644" s="42"/>
      <c r="F12644" s="48" t="str">
        <f>IFERROR(__xludf.DUMMYFUNCTION("""COMPUTED_VALUE"""),"")</f>
        <v/>
      </c>
      <c r="G12644" s="42" t="str">
        <f>IFERROR(__xludf.DUMMYFUNCTION("""COMPUTED_VALUE"""),"")</f>
        <v/>
      </c>
      <c r="H12644" s="42">
        <f t="shared" si="1"/>
        <v>3345</v>
      </c>
    </row>
    <row r="12645" ht="22.5" customHeight="1">
      <c r="B12645" s="42" t="str">
        <f>IFERROR(__xludf.DUMMYFUNCTION("""COMPUTED_VALUE"""),"")</f>
        <v/>
      </c>
      <c r="C12645" s="42" t="str">
        <f>IFERROR(__xludf.DUMMYFUNCTION("""COMPUTED_VALUE"""),"")</f>
        <v/>
      </c>
      <c r="D12645" s="42"/>
      <c r="E12645" s="42"/>
      <c r="F12645" s="48" t="str">
        <f>IFERROR(__xludf.DUMMYFUNCTION("""COMPUTED_VALUE"""),"")</f>
        <v/>
      </c>
      <c r="G12645" s="42" t="str">
        <f>IFERROR(__xludf.DUMMYFUNCTION("""COMPUTED_VALUE"""),"")</f>
        <v/>
      </c>
      <c r="H12645" s="42">
        <f t="shared" si="1"/>
        <v>3345</v>
      </c>
    </row>
    <row r="12646" ht="22.5" customHeight="1">
      <c r="B12646" s="42" t="str">
        <f>IFERROR(__xludf.DUMMYFUNCTION("""COMPUTED_VALUE"""),"")</f>
        <v/>
      </c>
      <c r="C12646" s="42" t="str">
        <f>IFERROR(__xludf.DUMMYFUNCTION("""COMPUTED_VALUE"""),"")</f>
        <v/>
      </c>
      <c r="D12646" s="42"/>
      <c r="E12646" s="42"/>
      <c r="F12646" s="48" t="str">
        <f>IFERROR(__xludf.DUMMYFUNCTION("""COMPUTED_VALUE"""),"")</f>
        <v/>
      </c>
      <c r="G12646" s="42" t="str">
        <f>IFERROR(__xludf.DUMMYFUNCTION("""COMPUTED_VALUE"""),"")</f>
        <v/>
      </c>
      <c r="H12646" s="42">
        <f t="shared" si="1"/>
        <v>3345</v>
      </c>
    </row>
    <row r="12647" ht="22.5" customHeight="1">
      <c r="B12647" s="42" t="str">
        <f>IFERROR(__xludf.DUMMYFUNCTION("""COMPUTED_VALUE"""),"")</f>
        <v/>
      </c>
      <c r="C12647" s="42" t="str">
        <f>IFERROR(__xludf.DUMMYFUNCTION("""COMPUTED_VALUE"""),"")</f>
        <v/>
      </c>
      <c r="D12647" s="42"/>
      <c r="E12647" s="42"/>
      <c r="F12647" s="48" t="str">
        <f>IFERROR(__xludf.DUMMYFUNCTION("""COMPUTED_VALUE"""),"")</f>
        <v/>
      </c>
      <c r="G12647" s="42" t="str">
        <f>IFERROR(__xludf.DUMMYFUNCTION("""COMPUTED_VALUE"""),"")</f>
        <v/>
      </c>
      <c r="H12647" s="42">
        <f t="shared" si="1"/>
        <v>3345</v>
      </c>
    </row>
    <row r="12648" ht="22.5" customHeight="1">
      <c r="B12648" s="42" t="str">
        <f>IFERROR(__xludf.DUMMYFUNCTION("""COMPUTED_VALUE"""),"")</f>
        <v/>
      </c>
      <c r="C12648" s="42" t="str">
        <f>IFERROR(__xludf.DUMMYFUNCTION("""COMPUTED_VALUE"""),"")</f>
        <v/>
      </c>
      <c r="D12648" s="42"/>
      <c r="E12648" s="42"/>
      <c r="F12648" s="48" t="str">
        <f>IFERROR(__xludf.DUMMYFUNCTION("""COMPUTED_VALUE"""),"")</f>
        <v/>
      </c>
      <c r="G12648" s="42" t="str">
        <f>IFERROR(__xludf.DUMMYFUNCTION("""COMPUTED_VALUE"""),"")</f>
        <v/>
      </c>
      <c r="H12648" s="42">
        <f t="shared" si="1"/>
        <v>3345</v>
      </c>
    </row>
    <row r="12649" ht="22.5" customHeight="1">
      <c r="B12649" s="42" t="str">
        <f>IFERROR(__xludf.DUMMYFUNCTION("""COMPUTED_VALUE"""),"")</f>
        <v/>
      </c>
      <c r="C12649" s="42" t="str">
        <f>IFERROR(__xludf.DUMMYFUNCTION("""COMPUTED_VALUE"""),"")</f>
        <v/>
      </c>
      <c r="D12649" s="42"/>
      <c r="E12649" s="42"/>
      <c r="F12649" s="48" t="str">
        <f>IFERROR(__xludf.DUMMYFUNCTION("""COMPUTED_VALUE"""),"")</f>
        <v/>
      </c>
      <c r="G12649" s="42" t="str">
        <f>IFERROR(__xludf.DUMMYFUNCTION("""COMPUTED_VALUE"""),"")</f>
        <v/>
      </c>
      <c r="H12649" s="42">
        <f t="shared" si="1"/>
        <v>3345</v>
      </c>
    </row>
    <row r="12650" ht="22.5" customHeight="1">
      <c r="B12650" s="42" t="str">
        <f>IFERROR(__xludf.DUMMYFUNCTION("""COMPUTED_VALUE"""),"")</f>
        <v/>
      </c>
      <c r="C12650" s="42" t="str">
        <f>IFERROR(__xludf.DUMMYFUNCTION("""COMPUTED_VALUE"""),"")</f>
        <v/>
      </c>
      <c r="D12650" s="42"/>
      <c r="E12650" s="42"/>
      <c r="F12650" s="48" t="str">
        <f>IFERROR(__xludf.DUMMYFUNCTION("""COMPUTED_VALUE"""),"")</f>
        <v/>
      </c>
      <c r="G12650" s="42" t="str">
        <f>IFERROR(__xludf.DUMMYFUNCTION("""COMPUTED_VALUE"""),"")</f>
        <v/>
      </c>
      <c r="H12650" s="42">
        <f t="shared" si="1"/>
        <v>3345</v>
      </c>
    </row>
    <row r="12651" ht="22.5" customHeight="1">
      <c r="B12651" s="42" t="str">
        <f>IFERROR(__xludf.DUMMYFUNCTION("""COMPUTED_VALUE"""),"")</f>
        <v/>
      </c>
      <c r="C12651" s="42" t="str">
        <f>IFERROR(__xludf.DUMMYFUNCTION("""COMPUTED_VALUE"""),"")</f>
        <v/>
      </c>
      <c r="D12651" s="42"/>
      <c r="E12651" s="42"/>
      <c r="F12651" s="48" t="str">
        <f>IFERROR(__xludf.DUMMYFUNCTION("""COMPUTED_VALUE"""),"")</f>
        <v/>
      </c>
      <c r="G12651" s="42" t="str">
        <f>IFERROR(__xludf.DUMMYFUNCTION("""COMPUTED_VALUE"""),"")</f>
        <v/>
      </c>
      <c r="H12651" s="42">
        <f t="shared" si="1"/>
        <v>3345</v>
      </c>
    </row>
    <row r="12652" ht="22.5" customHeight="1">
      <c r="B12652" s="42" t="str">
        <f>IFERROR(__xludf.DUMMYFUNCTION("""COMPUTED_VALUE"""),"")</f>
        <v/>
      </c>
      <c r="C12652" s="42" t="str">
        <f>IFERROR(__xludf.DUMMYFUNCTION("""COMPUTED_VALUE"""),"")</f>
        <v/>
      </c>
      <c r="D12652" s="42"/>
      <c r="E12652" s="42"/>
      <c r="F12652" s="48" t="str">
        <f>IFERROR(__xludf.DUMMYFUNCTION("""COMPUTED_VALUE"""),"")</f>
        <v/>
      </c>
      <c r="G12652" s="42" t="str">
        <f>IFERROR(__xludf.DUMMYFUNCTION("""COMPUTED_VALUE"""),"")</f>
        <v/>
      </c>
      <c r="H12652" s="42">
        <f t="shared" si="1"/>
        <v>3345</v>
      </c>
    </row>
    <row r="12653" ht="22.5" customHeight="1">
      <c r="B12653" s="42" t="str">
        <f>IFERROR(__xludf.DUMMYFUNCTION("""COMPUTED_VALUE"""),"")</f>
        <v/>
      </c>
      <c r="C12653" s="42" t="str">
        <f>IFERROR(__xludf.DUMMYFUNCTION("""COMPUTED_VALUE"""),"")</f>
        <v/>
      </c>
      <c r="D12653" s="42"/>
      <c r="E12653" s="42"/>
      <c r="F12653" s="48" t="str">
        <f>IFERROR(__xludf.DUMMYFUNCTION("""COMPUTED_VALUE"""),"")</f>
        <v/>
      </c>
      <c r="G12653" s="42" t="str">
        <f>IFERROR(__xludf.DUMMYFUNCTION("""COMPUTED_VALUE"""),"")</f>
        <v/>
      </c>
      <c r="H12653" s="42">
        <f t="shared" si="1"/>
        <v>3345</v>
      </c>
    </row>
    <row r="12654" ht="22.5" customHeight="1">
      <c r="B12654" s="42" t="str">
        <f>IFERROR(__xludf.DUMMYFUNCTION("""COMPUTED_VALUE"""),"")</f>
        <v/>
      </c>
      <c r="C12654" s="42" t="str">
        <f>IFERROR(__xludf.DUMMYFUNCTION("""COMPUTED_VALUE"""),"")</f>
        <v/>
      </c>
      <c r="D12654" s="42"/>
      <c r="E12654" s="42"/>
      <c r="F12654" s="48" t="str">
        <f>IFERROR(__xludf.DUMMYFUNCTION("""COMPUTED_VALUE"""),"")</f>
        <v/>
      </c>
      <c r="G12654" s="42" t="str">
        <f>IFERROR(__xludf.DUMMYFUNCTION("""COMPUTED_VALUE"""),"")</f>
        <v/>
      </c>
      <c r="H12654" s="42">
        <f t="shared" si="1"/>
        <v>3345</v>
      </c>
    </row>
    <row r="12655" ht="22.5" customHeight="1">
      <c r="B12655" s="42" t="str">
        <f>IFERROR(__xludf.DUMMYFUNCTION("""COMPUTED_VALUE"""),"")</f>
        <v/>
      </c>
      <c r="C12655" s="42" t="str">
        <f>IFERROR(__xludf.DUMMYFUNCTION("""COMPUTED_VALUE"""),"")</f>
        <v/>
      </c>
      <c r="D12655" s="42"/>
      <c r="E12655" s="42"/>
      <c r="F12655" s="48" t="str">
        <f>IFERROR(__xludf.DUMMYFUNCTION("""COMPUTED_VALUE"""),"")</f>
        <v/>
      </c>
      <c r="G12655" s="42" t="str">
        <f>IFERROR(__xludf.DUMMYFUNCTION("""COMPUTED_VALUE"""),"")</f>
        <v/>
      </c>
      <c r="H12655" s="42">
        <f t="shared" si="1"/>
        <v>3345</v>
      </c>
    </row>
    <row r="12656" ht="22.5" customHeight="1">
      <c r="B12656" s="42" t="str">
        <f>IFERROR(__xludf.DUMMYFUNCTION("""COMPUTED_VALUE"""),"")</f>
        <v/>
      </c>
      <c r="C12656" s="42" t="str">
        <f>IFERROR(__xludf.DUMMYFUNCTION("""COMPUTED_VALUE"""),"")</f>
        <v/>
      </c>
      <c r="D12656" s="42"/>
      <c r="E12656" s="42"/>
      <c r="F12656" s="48" t="str">
        <f>IFERROR(__xludf.DUMMYFUNCTION("""COMPUTED_VALUE"""),"")</f>
        <v/>
      </c>
      <c r="G12656" s="42" t="str">
        <f>IFERROR(__xludf.DUMMYFUNCTION("""COMPUTED_VALUE"""),"")</f>
        <v/>
      </c>
      <c r="H12656" s="42">
        <f t="shared" si="1"/>
        <v>3345</v>
      </c>
    </row>
    <row r="12657" ht="22.5" customHeight="1">
      <c r="B12657" s="42" t="str">
        <f>IFERROR(__xludf.DUMMYFUNCTION("""COMPUTED_VALUE"""),"")</f>
        <v/>
      </c>
      <c r="C12657" s="42" t="str">
        <f>IFERROR(__xludf.DUMMYFUNCTION("""COMPUTED_VALUE"""),"")</f>
        <v/>
      </c>
      <c r="D12657" s="42"/>
      <c r="E12657" s="42"/>
      <c r="F12657" s="48" t="str">
        <f>IFERROR(__xludf.DUMMYFUNCTION("""COMPUTED_VALUE"""),"")</f>
        <v/>
      </c>
      <c r="G12657" s="42" t="str">
        <f>IFERROR(__xludf.DUMMYFUNCTION("""COMPUTED_VALUE"""),"")</f>
        <v/>
      </c>
      <c r="H12657" s="42">
        <f t="shared" si="1"/>
        <v>3345</v>
      </c>
    </row>
    <row r="12658" ht="22.5" customHeight="1">
      <c r="B12658" s="42" t="str">
        <f>IFERROR(__xludf.DUMMYFUNCTION("""COMPUTED_VALUE"""),"")</f>
        <v/>
      </c>
      <c r="C12658" s="42" t="str">
        <f>IFERROR(__xludf.DUMMYFUNCTION("""COMPUTED_VALUE"""),"")</f>
        <v/>
      </c>
      <c r="D12658" s="42"/>
      <c r="E12658" s="42"/>
      <c r="F12658" s="48" t="str">
        <f>IFERROR(__xludf.DUMMYFUNCTION("""COMPUTED_VALUE"""),"")</f>
        <v/>
      </c>
      <c r="G12658" s="42" t="str">
        <f>IFERROR(__xludf.DUMMYFUNCTION("""COMPUTED_VALUE"""),"")</f>
        <v/>
      </c>
      <c r="H12658" s="42">
        <f t="shared" si="1"/>
        <v>3345</v>
      </c>
    </row>
    <row r="12659" ht="22.5" customHeight="1">
      <c r="B12659" s="42" t="str">
        <f>IFERROR(__xludf.DUMMYFUNCTION("""COMPUTED_VALUE"""),"")</f>
        <v/>
      </c>
      <c r="C12659" s="42" t="str">
        <f>IFERROR(__xludf.DUMMYFUNCTION("""COMPUTED_VALUE"""),"")</f>
        <v/>
      </c>
      <c r="D12659" s="42"/>
      <c r="E12659" s="42"/>
      <c r="F12659" s="48" t="str">
        <f>IFERROR(__xludf.DUMMYFUNCTION("""COMPUTED_VALUE"""),"")</f>
        <v/>
      </c>
      <c r="G12659" s="42" t="str">
        <f>IFERROR(__xludf.DUMMYFUNCTION("""COMPUTED_VALUE"""),"")</f>
        <v/>
      </c>
      <c r="H12659" s="42">
        <f t="shared" si="1"/>
        <v>3345</v>
      </c>
    </row>
    <row r="12660" ht="22.5" customHeight="1">
      <c r="B12660" s="42" t="str">
        <f>IFERROR(__xludf.DUMMYFUNCTION("""COMPUTED_VALUE"""),"")</f>
        <v/>
      </c>
      <c r="C12660" s="42" t="str">
        <f>IFERROR(__xludf.DUMMYFUNCTION("""COMPUTED_VALUE"""),"")</f>
        <v/>
      </c>
      <c r="D12660" s="42"/>
      <c r="E12660" s="42"/>
      <c r="F12660" s="48" t="str">
        <f>IFERROR(__xludf.DUMMYFUNCTION("""COMPUTED_VALUE"""),"")</f>
        <v/>
      </c>
      <c r="G12660" s="42" t="str">
        <f>IFERROR(__xludf.DUMMYFUNCTION("""COMPUTED_VALUE"""),"")</f>
        <v/>
      </c>
      <c r="H12660" s="42">
        <f t="shared" si="1"/>
        <v>3345</v>
      </c>
    </row>
    <row r="12661" ht="22.5" customHeight="1">
      <c r="B12661" s="42" t="str">
        <f>IFERROR(__xludf.DUMMYFUNCTION("""COMPUTED_VALUE"""),"")</f>
        <v/>
      </c>
      <c r="C12661" s="42" t="str">
        <f>IFERROR(__xludf.DUMMYFUNCTION("""COMPUTED_VALUE"""),"")</f>
        <v/>
      </c>
      <c r="D12661" s="42"/>
      <c r="E12661" s="42"/>
      <c r="F12661" s="48" t="str">
        <f>IFERROR(__xludf.DUMMYFUNCTION("""COMPUTED_VALUE"""),"")</f>
        <v/>
      </c>
      <c r="G12661" s="42" t="str">
        <f>IFERROR(__xludf.DUMMYFUNCTION("""COMPUTED_VALUE"""),"")</f>
        <v/>
      </c>
      <c r="H12661" s="42">
        <f t="shared" si="1"/>
        <v>3345</v>
      </c>
    </row>
    <row r="12662" ht="22.5" customHeight="1">
      <c r="B12662" s="42" t="str">
        <f>IFERROR(__xludf.DUMMYFUNCTION("""COMPUTED_VALUE"""),"")</f>
        <v/>
      </c>
      <c r="C12662" s="42" t="str">
        <f>IFERROR(__xludf.DUMMYFUNCTION("""COMPUTED_VALUE"""),"")</f>
        <v/>
      </c>
      <c r="D12662" s="42"/>
      <c r="E12662" s="42"/>
      <c r="F12662" s="48" t="str">
        <f>IFERROR(__xludf.DUMMYFUNCTION("""COMPUTED_VALUE"""),"")</f>
        <v/>
      </c>
      <c r="G12662" s="42" t="str">
        <f>IFERROR(__xludf.DUMMYFUNCTION("""COMPUTED_VALUE"""),"")</f>
        <v/>
      </c>
      <c r="H12662" s="42">
        <f t="shared" si="1"/>
        <v>3345</v>
      </c>
    </row>
    <row r="12663" ht="22.5" customHeight="1">
      <c r="B12663" s="42" t="str">
        <f>IFERROR(__xludf.DUMMYFUNCTION("""COMPUTED_VALUE"""),"")</f>
        <v/>
      </c>
      <c r="C12663" s="42" t="str">
        <f>IFERROR(__xludf.DUMMYFUNCTION("""COMPUTED_VALUE"""),"")</f>
        <v/>
      </c>
      <c r="D12663" s="42"/>
      <c r="E12663" s="42"/>
      <c r="F12663" s="48" t="str">
        <f>IFERROR(__xludf.DUMMYFUNCTION("""COMPUTED_VALUE"""),"")</f>
        <v/>
      </c>
      <c r="G12663" s="42" t="str">
        <f>IFERROR(__xludf.DUMMYFUNCTION("""COMPUTED_VALUE"""),"")</f>
        <v/>
      </c>
      <c r="H12663" s="42">
        <f t="shared" si="1"/>
        <v>3345</v>
      </c>
    </row>
    <row r="12664" ht="22.5" customHeight="1">
      <c r="B12664" s="42" t="str">
        <f>IFERROR(__xludf.DUMMYFUNCTION("""COMPUTED_VALUE"""),"")</f>
        <v/>
      </c>
      <c r="C12664" s="42" t="str">
        <f>IFERROR(__xludf.DUMMYFUNCTION("""COMPUTED_VALUE"""),"")</f>
        <v/>
      </c>
      <c r="D12664" s="42"/>
      <c r="E12664" s="42"/>
      <c r="F12664" s="48" t="str">
        <f>IFERROR(__xludf.DUMMYFUNCTION("""COMPUTED_VALUE"""),"")</f>
        <v/>
      </c>
      <c r="G12664" s="42" t="str">
        <f>IFERROR(__xludf.DUMMYFUNCTION("""COMPUTED_VALUE"""),"")</f>
        <v/>
      </c>
      <c r="H12664" s="42">
        <f t="shared" si="1"/>
        <v>3345</v>
      </c>
    </row>
    <row r="12665" ht="22.5" customHeight="1">
      <c r="B12665" s="42" t="str">
        <f>IFERROR(__xludf.DUMMYFUNCTION("""COMPUTED_VALUE"""),"")</f>
        <v/>
      </c>
      <c r="C12665" s="42" t="str">
        <f>IFERROR(__xludf.DUMMYFUNCTION("""COMPUTED_VALUE"""),"")</f>
        <v/>
      </c>
      <c r="D12665" s="42"/>
      <c r="E12665" s="42"/>
      <c r="F12665" s="48" t="str">
        <f>IFERROR(__xludf.DUMMYFUNCTION("""COMPUTED_VALUE"""),"")</f>
        <v/>
      </c>
      <c r="G12665" s="42" t="str">
        <f>IFERROR(__xludf.DUMMYFUNCTION("""COMPUTED_VALUE"""),"")</f>
        <v/>
      </c>
      <c r="H12665" s="42">
        <f t="shared" si="1"/>
        <v>3345</v>
      </c>
    </row>
    <row r="12666" ht="22.5" customHeight="1">
      <c r="B12666" s="42" t="str">
        <f>IFERROR(__xludf.DUMMYFUNCTION("""COMPUTED_VALUE"""),"")</f>
        <v/>
      </c>
      <c r="C12666" s="42" t="str">
        <f>IFERROR(__xludf.DUMMYFUNCTION("""COMPUTED_VALUE"""),"")</f>
        <v/>
      </c>
      <c r="D12666" s="42"/>
      <c r="E12666" s="42"/>
      <c r="F12666" s="48" t="str">
        <f>IFERROR(__xludf.DUMMYFUNCTION("""COMPUTED_VALUE"""),"")</f>
        <v/>
      </c>
      <c r="G12666" s="42" t="str">
        <f>IFERROR(__xludf.DUMMYFUNCTION("""COMPUTED_VALUE"""),"")</f>
        <v/>
      </c>
      <c r="H12666" s="42">
        <f t="shared" si="1"/>
        <v>3345</v>
      </c>
    </row>
    <row r="12667" ht="22.5" customHeight="1">
      <c r="B12667" s="42" t="str">
        <f>IFERROR(__xludf.DUMMYFUNCTION("""COMPUTED_VALUE"""),"")</f>
        <v/>
      </c>
      <c r="C12667" s="42" t="str">
        <f>IFERROR(__xludf.DUMMYFUNCTION("""COMPUTED_VALUE"""),"")</f>
        <v/>
      </c>
      <c r="D12667" s="42"/>
      <c r="E12667" s="42"/>
      <c r="F12667" s="48" t="str">
        <f>IFERROR(__xludf.DUMMYFUNCTION("""COMPUTED_VALUE"""),"")</f>
        <v/>
      </c>
      <c r="G12667" s="42" t="str">
        <f>IFERROR(__xludf.DUMMYFUNCTION("""COMPUTED_VALUE"""),"")</f>
        <v/>
      </c>
      <c r="H12667" s="42">
        <f t="shared" si="1"/>
        <v>3345</v>
      </c>
    </row>
    <row r="12668" ht="22.5" customHeight="1">
      <c r="B12668" s="42" t="str">
        <f>IFERROR(__xludf.DUMMYFUNCTION("""COMPUTED_VALUE"""),"")</f>
        <v/>
      </c>
      <c r="C12668" s="42" t="str">
        <f>IFERROR(__xludf.DUMMYFUNCTION("""COMPUTED_VALUE"""),"")</f>
        <v/>
      </c>
      <c r="D12668" s="42"/>
      <c r="E12668" s="42"/>
      <c r="F12668" s="48" t="str">
        <f>IFERROR(__xludf.DUMMYFUNCTION("""COMPUTED_VALUE"""),"")</f>
        <v/>
      </c>
      <c r="G12668" s="42" t="str">
        <f>IFERROR(__xludf.DUMMYFUNCTION("""COMPUTED_VALUE"""),"")</f>
        <v/>
      </c>
      <c r="H12668" s="42">
        <f t="shared" si="1"/>
        <v>3345</v>
      </c>
    </row>
    <row r="12669" ht="22.5" customHeight="1">
      <c r="B12669" s="42" t="str">
        <f>IFERROR(__xludf.DUMMYFUNCTION("""COMPUTED_VALUE"""),"")</f>
        <v/>
      </c>
      <c r="C12669" s="42" t="str">
        <f>IFERROR(__xludf.DUMMYFUNCTION("""COMPUTED_VALUE"""),"")</f>
        <v/>
      </c>
      <c r="D12669" s="42"/>
      <c r="E12669" s="42"/>
      <c r="F12669" s="48" t="str">
        <f>IFERROR(__xludf.DUMMYFUNCTION("""COMPUTED_VALUE"""),"")</f>
        <v/>
      </c>
      <c r="G12669" s="42" t="str">
        <f>IFERROR(__xludf.DUMMYFUNCTION("""COMPUTED_VALUE"""),"")</f>
        <v/>
      </c>
      <c r="H12669" s="42">
        <f t="shared" si="1"/>
        <v>3345</v>
      </c>
    </row>
    <row r="12670" ht="22.5" customHeight="1">
      <c r="B12670" s="42" t="str">
        <f>IFERROR(__xludf.DUMMYFUNCTION("""COMPUTED_VALUE"""),"")</f>
        <v/>
      </c>
      <c r="C12670" s="42" t="str">
        <f>IFERROR(__xludf.DUMMYFUNCTION("""COMPUTED_VALUE"""),"")</f>
        <v/>
      </c>
      <c r="D12670" s="42"/>
      <c r="E12670" s="42"/>
      <c r="F12670" s="48" t="str">
        <f>IFERROR(__xludf.DUMMYFUNCTION("""COMPUTED_VALUE"""),"")</f>
        <v/>
      </c>
      <c r="G12670" s="42" t="str">
        <f>IFERROR(__xludf.DUMMYFUNCTION("""COMPUTED_VALUE"""),"")</f>
        <v/>
      </c>
      <c r="H12670" s="42">
        <f t="shared" si="1"/>
        <v>3345</v>
      </c>
    </row>
    <row r="12671" ht="22.5" customHeight="1">
      <c r="B12671" s="42" t="str">
        <f>IFERROR(__xludf.DUMMYFUNCTION("""COMPUTED_VALUE"""),"")</f>
        <v/>
      </c>
      <c r="C12671" s="42" t="str">
        <f>IFERROR(__xludf.DUMMYFUNCTION("""COMPUTED_VALUE"""),"")</f>
        <v/>
      </c>
      <c r="D12671" s="42"/>
      <c r="E12671" s="42"/>
      <c r="F12671" s="48" t="str">
        <f>IFERROR(__xludf.DUMMYFUNCTION("""COMPUTED_VALUE"""),"")</f>
        <v/>
      </c>
      <c r="G12671" s="42" t="str">
        <f>IFERROR(__xludf.DUMMYFUNCTION("""COMPUTED_VALUE"""),"")</f>
        <v/>
      </c>
      <c r="H12671" s="42">
        <f t="shared" si="1"/>
        <v>3345</v>
      </c>
    </row>
    <row r="12672" ht="22.5" customHeight="1">
      <c r="B12672" s="42" t="str">
        <f>IFERROR(__xludf.DUMMYFUNCTION("""COMPUTED_VALUE"""),"")</f>
        <v/>
      </c>
      <c r="C12672" s="42" t="str">
        <f>IFERROR(__xludf.DUMMYFUNCTION("""COMPUTED_VALUE"""),"")</f>
        <v/>
      </c>
      <c r="D12672" s="42"/>
      <c r="E12672" s="42"/>
      <c r="F12672" s="48" t="str">
        <f>IFERROR(__xludf.DUMMYFUNCTION("""COMPUTED_VALUE"""),"")</f>
        <v/>
      </c>
      <c r="G12672" s="42" t="str">
        <f>IFERROR(__xludf.DUMMYFUNCTION("""COMPUTED_VALUE"""),"")</f>
        <v/>
      </c>
      <c r="H12672" s="42">
        <f t="shared" si="1"/>
        <v>3345</v>
      </c>
    </row>
    <row r="12673" ht="22.5" customHeight="1">
      <c r="B12673" s="42" t="str">
        <f>IFERROR(__xludf.DUMMYFUNCTION("""COMPUTED_VALUE"""),"")</f>
        <v/>
      </c>
      <c r="C12673" s="42" t="str">
        <f>IFERROR(__xludf.DUMMYFUNCTION("""COMPUTED_VALUE"""),"")</f>
        <v/>
      </c>
      <c r="D12673" s="42"/>
      <c r="E12673" s="42"/>
      <c r="F12673" s="48" t="str">
        <f>IFERROR(__xludf.DUMMYFUNCTION("""COMPUTED_VALUE"""),"")</f>
        <v/>
      </c>
      <c r="G12673" s="42" t="str">
        <f>IFERROR(__xludf.DUMMYFUNCTION("""COMPUTED_VALUE"""),"")</f>
        <v/>
      </c>
      <c r="H12673" s="42">
        <f t="shared" si="1"/>
        <v>3345</v>
      </c>
    </row>
    <row r="12674" ht="22.5" customHeight="1">
      <c r="B12674" s="42" t="str">
        <f>IFERROR(__xludf.DUMMYFUNCTION("""COMPUTED_VALUE"""),"")</f>
        <v/>
      </c>
      <c r="C12674" s="42" t="str">
        <f>IFERROR(__xludf.DUMMYFUNCTION("""COMPUTED_VALUE"""),"")</f>
        <v/>
      </c>
      <c r="D12674" s="42"/>
      <c r="E12674" s="42"/>
      <c r="F12674" s="48" t="str">
        <f>IFERROR(__xludf.DUMMYFUNCTION("""COMPUTED_VALUE"""),"")</f>
        <v/>
      </c>
      <c r="G12674" s="42" t="str">
        <f>IFERROR(__xludf.DUMMYFUNCTION("""COMPUTED_VALUE"""),"")</f>
        <v/>
      </c>
      <c r="H12674" s="42">
        <f t="shared" si="1"/>
        <v>3345</v>
      </c>
    </row>
    <row r="12675" ht="22.5" customHeight="1">
      <c r="B12675" s="42" t="str">
        <f>IFERROR(__xludf.DUMMYFUNCTION("""COMPUTED_VALUE"""),"")</f>
        <v/>
      </c>
      <c r="C12675" s="42" t="str">
        <f>IFERROR(__xludf.DUMMYFUNCTION("""COMPUTED_VALUE"""),"")</f>
        <v/>
      </c>
      <c r="D12675" s="42"/>
      <c r="E12675" s="42"/>
      <c r="F12675" s="48" t="str">
        <f>IFERROR(__xludf.DUMMYFUNCTION("""COMPUTED_VALUE"""),"")</f>
        <v/>
      </c>
      <c r="G12675" s="42" t="str">
        <f>IFERROR(__xludf.DUMMYFUNCTION("""COMPUTED_VALUE"""),"")</f>
        <v/>
      </c>
      <c r="H12675" s="42">
        <f t="shared" si="1"/>
        <v>3345</v>
      </c>
    </row>
    <row r="12676" ht="22.5" customHeight="1">
      <c r="B12676" s="42" t="str">
        <f>IFERROR(__xludf.DUMMYFUNCTION("""COMPUTED_VALUE"""),"")</f>
        <v/>
      </c>
      <c r="C12676" s="42" t="str">
        <f>IFERROR(__xludf.DUMMYFUNCTION("""COMPUTED_VALUE"""),"")</f>
        <v/>
      </c>
      <c r="D12676" s="42"/>
      <c r="E12676" s="42"/>
      <c r="F12676" s="48" t="str">
        <f>IFERROR(__xludf.DUMMYFUNCTION("""COMPUTED_VALUE"""),"")</f>
        <v/>
      </c>
      <c r="G12676" s="42" t="str">
        <f>IFERROR(__xludf.DUMMYFUNCTION("""COMPUTED_VALUE"""),"")</f>
        <v/>
      </c>
      <c r="H12676" s="42">
        <f t="shared" si="1"/>
        <v>3345</v>
      </c>
    </row>
    <row r="12677" ht="22.5" customHeight="1">
      <c r="B12677" s="42" t="str">
        <f>IFERROR(__xludf.DUMMYFUNCTION("""COMPUTED_VALUE"""),"")</f>
        <v/>
      </c>
      <c r="C12677" s="42" t="str">
        <f>IFERROR(__xludf.DUMMYFUNCTION("""COMPUTED_VALUE"""),"")</f>
        <v/>
      </c>
      <c r="D12677" s="42"/>
      <c r="E12677" s="42"/>
      <c r="F12677" s="48" t="str">
        <f>IFERROR(__xludf.DUMMYFUNCTION("""COMPUTED_VALUE"""),"")</f>
        <v/>
      </c>
      <c r="G12677" s="42" t="str">
        <f>IFERROR(__xludf.DUMMYFUNCTION("""COMPUTED_VALUE"""),"")</f>
        <v/>
      </c>
      <c r="H12677" s="42">
        <f t="shared" si="1"/>
        <v>3345</v>
      </c>
    </row>
    <row r="12678" ht="22.5" customHeight="1">
      <c r="B12678" s="42" t="str">
        <f>IFERROR(__xludf.DUMMYFUNCTION("""COMPUTED_VALUE"""),"")</f>
        <v/>
      </c>
      <c r="C12678" s="42" t="str">
        <f>IFERROR(__xludf.DUMMYFUNCTION("""COMPUTED_VALUE"""),"")</f>
        <v/>
      </c>
      <c r="D12678" s="42"/>
      <c r="E12678" s="42"/>
      <c r="F12678" s="48" t="str">
        <f>IFERROR(__xludf.DUMMYFUNCTION("""COMPUTED_VALUE"""),"")</f>
        <v/>
      </c>
      <c r="G12678" s="42" t="str">
        <f>IFERROR(__xludf.DUMMYFUNCTION("""COMPUTED_VALUE"""),"")</f>
        <v/>
      </c>
      <c r="H12678" s="42">
        <f t="shared" si="1"/>
        <v>3345</v>
      </c>
    </row>
    <row r="12679" ht="22.5" customHeight="1">
      <c r="B12679" s="42" t="str">
        <f>IFERROR(__xludf.DUMMYFUNCTION("""COMPUTED_VALUE"""),"")</f>
        <v/>
      </c>
      <c r="C12679" s="42" t="str">
        <f>IFERROR(__xludf.DUMMYFUNCTION("""COMPUTED_VALUE"""),"")</f>
        <v/>
      </c>
      <c r="D12679" s="42"/>
      <c r="E12679" s="42"/>
      <c r="F12679" s="48" t="str">
        <f>IFERROR(__xludf.DUMMYFUNCTION("""COMPUTED_VALUE"""),"")</f>
        <v/>
      </c>
      <c r="G12679" s="42" t="str">
        <f>IFERROR(__xludf.DUMMYFUNCTION("""COMPUTED_VALUE"""),"")</f>
        <v/>
      </c>
      <c r="H12679" s="42">
        <f t="shared" si="1"/>
        <v>3345</v>
      </c>
    </row>
    <row r="12680" ht="22.5" customHeight="1">
      <c r="B12680" s="42" t="str">
        <f>IFERROR(__xludf.DUMMYFUNCTION("""COMPUTED_VALUE"""),"")</f>
        <v/>
      </c>
      <c r="C12680" s="42" t="str">
        <f>IFERROR(__xludf.DUMMYFUNCTION("""COMPUTED_VALUE"""),"")</f>
        <v/>
      </c>
      <c r="D12680" s="42"/>
      <c r="E12680" s="42"/>
      <c r="F12680" s="48" t="str">
        <f>IFERROR(__xludf.DUMMYFUNCTION("""COMPUTED_VALUE"""),"")</f>
        <v/>
      </c>
      <c r="G12680" s="42" t="str">
        <f>IFERROR(__xludf.DUMMYFUNCTION("""COMPUTED_VALUE"""),"")</f>
        <v/>
      </c>
      <c r="H12680" s="42">
        <f t="shared" si="1"/>
        <v>3345</v>
      </c>
    </row>
    <row r="12681" ht="22.5" customHeight="1">
      <c r="B12681" s="42" t="str">
        <f>IFERROR(__xludf.DUMMYFUNCTION("""COMPUTED_VALUE"""),"")</f>
        <v/>
      </c>
      <c r="C12681" s="42" t="str">
        <f>IFERROR(__xludf.DUMMYFUNCTION("""COMPUTED_VALUE"""),"")</f>
        <v/>
      </c>
      <c r="D12681" s="42"/>
      <c r="E12681" s="42"/>
      <c r="F12681" s="48" t="str">
        <f>IFERROR(__xludf.DUMMYFUNCTION("""COMPUTED_VALUE"""),"")</f>
        <v/>
      </c>
      <c r="G12681" s="42" t="str">
        <f>IFERROR(__xludf.DUMMYFUNCTION("""COMPUTED_VALUE"""),"")</f>
        <v/>
      </c>
      <c r="H12681" s="42">
        <f t="shared" si="1"/>
        <v>3345</v>
      </c>
    </row>
    <row r="12682" ht="22.5" customHeight="1">
      <c r="B12682" s="42" t="str">
        <f>IFERROR(__xludf.DUMMYFUNCTION("""COMPUTED_VALUE"""),"")</f>
        <v/>
      </c>
      <c r="C12682" s="42" t="str">
        <f>IFERROR(__xludf.DUMMYFUNCTION("""COMPUTED_VALUE"""),"")</f>
        <v/>
      </c>
      <c r="D12682" s="42"/>
      <c r="E12682" s="42"/>
      <c r="F12682" s="48" t="str">
        <f>IFERROR(__xludf.DUMMYFUNCTION("""COMPUTED_VALUE"""),"")</f>
        <v/>
      </c>
      <c r="G12682" s="42" t="str">
        <f>IFERROR(__xludf.DUMMYFUNCTION("""COMPUTED_VALUE"""),"")</f>
        <v/>
      </c>
      <c r="H12682" s="42">
        <f t="shared" si="1"/>
        <v>3345</v>
      </c>
    </row>
    <row r="12683" ht="22.5" customHeight="1">
      <c r="B12683" s="42" t="str">
        <f>IFERROR(__xludf.DUMMYFUNCTION("""COMPUTED_VALUE"""),"")</f>
        <v/>
      </c>
      <c r="C12683" s="42" t="str">
        <f>IFERROR(__xludf.DUMMYFUNCTION("""COMPUTED_VALUE"""),"")</f>
        <v/>
      </c>
      <c r="D12683" s="42"/>
      <c r="E12683" s="42"/>
      <c r="F12683" s="48" t="str">
        <f>IFERROR(__xludf.DUMMYFUNCTION("""COMPUTED_VALUE"""),"")</f>
        <v/>
      </c>
      <c r="G12683" s="42" t="str">
        <f>IFERROR(__xludf.DUMMYFUNCTION("""COMPUTED_VALUE"""),"")</f>
        <v/>
      </c>
      <c r="H12683" s="42">
        <f t="shared" si="1"/>
        <v>3345</v>
      </c>
    </row>
    <row r="12684" ht="22.5" customHeight="1">
      <c r="B12684" s="42" t="str">
        <f>IFERROR(__xludf.DUMMYFUNCTION("""COMPUTED_VALUE"""),"")</f>
        <v/>
      </c>
      <c r="C12684" s="42" t="str">
        <f>IFERROR(__xludf.DUMMYFUNCTION("""COMPUTED_VALUE"""),"")</f>
        <v/>
      </c>
      <c r="D12684" s="42"/>
      <c r="E12684" s="42"/>
      <c r="F12684" s="48" t="str">
        <f>IFERROR(__xludf.DUMMYFUNCTION("""COMPUTED_VALUE"""),"")</f>
        <v/>
      </c>
      <c r="G12684" s="42" t="str">
        <f>IFERROR(__xludf.DUMMYFUNCTION("""COMPUTED_VALUE"""),"")</f>
        <v/>
      </c>
      <c r="H12684" s="42">
        <f t="shared" si="1"/>
        <v>3345</v>
      </c>
    </row>
    <row r="12685" ht="22.5" customHeight="1">
      <c r="B12685" s="42" t="str">
        <f>IFERROR(__xludf.DUMMYFUNCTION("""COMPUTED_VALUE"""),"")</f>
        <v/>
      </c>
      <c r="C12685" s="42" t="str">
        <f>IFERROR(__xludf.DUMMYFUNCTION("""COMPUTED_VALUE"""),"")</f>
        <v/>
      </c>
      <c r="D12685" s="42"/>
      <c r="E12685" s="42"/>
      <c r="F12685" s="48" t="str">
        <f>IFERROR(__xludf.DUMMYFUNCTION("""COMPUTED_VALUE"""),"")</f>
        <v/>
      </c>
      <c r="G12685" s="42" t="str">
        <f>IFERROR(__xludf.DUMMYFUNCTION("""COMPUTED_VALUE"""),"")</f>
        <v/>
      </c>
      <c r="H12685" s="42">
        <f t="shared" si="1"/>
        <v>3345</v>
      </c>
    </row>
    <row r="12686" ht="22.5" customHeight="1">
      <c r="B12686" s="42" t="str">
        <f>IFERROR(__xludf.DUMMYFUNCTION("""COMPUTED_VALUE"""),"")</f>
        <v/>
      </c>
      <c r="C12686" s="42" t="str">
        <f>IFERROR(__xludf.DUMMYFUNCTION("""COMPUTED_VALUE"""),"")</f>
        <v/>
      </c>
      <c r="D12686" s="42"/>
      <c r="E12686" s="42"/>
      <c r="F12686" s="48" t="str">
        <f>IFERROR(__xludf.DUMMYFUNCTION("""COMPUTED_VALUE"""),"")</f>
        <v/>
      </c>
      <c r="G12686" s="42" t="str">
        <f>IFERROR(__xludf.DUMMYFUNCTION("""COMPUTED_VALUE"""),"")</f>
        <v/>
      </c>
      <c r="H12686" s="42">
        <f t="shared" si="1"/>
        <v>3345</v>
      </c>
    </row>
    <row r="12687" ht="22.5" customHeight="1">
      <c r="B12687" s="42" t="str">
        <f>IFERROR(__xludf.DUMMYFUNCTION("""COMPUTED_VALUE"""),"")</f>
        <v/>
      </c>
      <c r="C12687" s="42" t="str">
        <f>IFERROR(__xludf.DUMMYFUNCTION("""COMPUTED_VALUE"""),"")</f>
        <v/>
      </c>
      <c r="D12687" s="42"/>
      <c r="E12687" s="42"/>
      <c r="F12687" s="48" t="str">
        <f>IFERROR(__xludf.DUMMYFUNCTION("""COMPUTED_VALUE"""),"")</f>
        <v/>
      </c>
      <c r="G12687" s="42" t="str">
        <f>IFERROR(__xludf.DUMMYFUNCTION("""COMPUTED_VALUE"""),"")</f>
        <v/>
      </c>
      <c r="H12687" s="42">
        <f t="shared" si="1"/>
        <v>3345</v>
      </c>
    </row>
    <row r="12688" ht="22.5" customHeight="1">
      <c r="B12688" s="42" t="str">
        <f>IFERROR(__xludf.DUMMYFUNCTION("""COMPUTED_VALUE"""),"")</f>
        <v/>
      </c>
      <c r="C12688" s="42" t="str">
        <f>IFERROR(__xludf.DUMMYFUNCTION("""COMPUTED_VALUE"""),"")</f>
        <v/>
      </c>
      <c r="D12688" s="42"/>
      <c r="E12688" s="42"/>
      <c r="F12688" s="48" t="str">
        <f>IFERROR(__xludf.DUMMYFUNCTION("""COMPUTED_VALUE"""),"")</f>
        <v/>
      </c>
      <c r="G12688" s="42" t="str">
        <f>IFERROR(__xludf.DUMMYFUNCTION("""COMPUTED_VALUE"""),"")</f>
        <v/>
      </c>
      <c r="H12688" s="42">
        <f t="shared" si="1"/>
        <v>3345</v>
      </c>
    </row>
    <row r="12689" ht="22.5" customHeight="1">
      <c r="B12689" s="42" t="str">
        <f>IFERROR(__xludf.DUMMYFUNCTION("""COMPUTED_VALUE"""),"")</f>
        <v/>
      </c>
      <c r="C12689" s="42" t="str">
        <f>IFERROR(__xludf.DUMMYFUNCTION("""COMPUTED_VALUE"""),"")</f>
        <v/>
      </c>
      <c r="D12689" s="42"/>
      <c r="E12689" s="42"/>
      <c r="F12689" s="48" t="str">
        <f>IFERROR(__xludf.DUMMYFUNCTION("""COMPUTED_VALUE"""),"")</f>
        <v/>
      </c>
      <c r="G12689" s="42" t="str">
        <f>IFERROR(__xludf.DUMMYFUNCTION("""COMPUTED_VALUE"""),"")</f>
        <v/>
      </c>
      <c r="H12689" s="42">
        <f t="shared" si="1"/>
        <v>3345</v>
      </c>
    </row>
    <row r="12690" ht="22.5" customHeight="1">
      <c r="B12690" s="42" t="str">
        <f>IFERROR(__xludf.DUMMYFUNCTION("""COMPUTED_VALUE"""),"")</f>
        <v/>
      </c>
      <c r="C12690" s="42" t="str">
        <f>IFERROR(__xludf.DUMMYFUNCTION("""COMPUTED_VALUE"""),"")</f>
        <v/>
      </c>
      <c r="D12690" s="42"/>
      <c r="E12690" s="42"/>
      <c r="F12690" s="48" t="str">
        <f>IFERROR(__xludf.DUMMYFUNCTION("""COMPUTED_VALUE"""),"")</f>
        <v/>
      </c>
      <c r="G12690" s="42" t="str">
        <f>IFERROR(__xludf.DUMMYFUNCTION("""COMPUTED_VALUE"""),"")</f>
        <v/>
      </c>
      <c r="H12690" s="42">
        <f t="shared" si="1"/>
        <v>3345</v>
      </c>
    </row>
    <row r="12691" ht="22.5" customHeight="1">
      <c r="B12691" s="42" t="str">
        <f>IFERROR(__xludf.DUMMYFUNCTION("""COMPUTED_VALUE"""),"")</f>
        <v/>
      </c>
      <c r="C12691" s="42" t="str">
        <f>IFERROR(__xludf.DUMMYFUNCTION("""COMPUTED_VALUE"""),"")</f>
        <v/>
      </c>
      <c r="D12691" s="42"/>
      <c r="E12691" s="42"/>
      <c r="F12691" s="48" t="str">
        <f>IFERROR(__xludf.DUMMYFUNCTION("""COMPUTED_VALUE"""),"")</f>
        <v/>
      </c>
      <c r="G12691" s="42" t="str">
        <f>IFERROR(__xludf.DUMMYFUNCTION("""COMPUTED_VALUE"""),"")</f>
        <v/>
      </c>
      <c r="H12691" s="42">
        <f t="shared" si="1"/>
        <v>3345</v>
      </c>
    </row>
    <row r="12692" ht="22.5" customHeight="1">
      <c r="B12692" s="42" t="str">
        <f>IFERROR(__xludf.DUMMYFUNCTION("""COMPUTED_VALUE"""),"")</f>
        <v/>
      </c>
      <c r="C12692" s="42" t="str">
        <f>IFERROR(__xludf.DUMMYFUNCTION("""COMPUTED_VALUE"""),"")</f>
        <v/>
      </c>
      <c r="D12692" s="42"/>
      <c r="E12692" s="42"/>
      <c r="F12692" s="48" t="str">
        <f>IFERROR(__xludf.DUMMYFUNCTION("""COMPUTED_VALUE"""),"")</f>
        <v/>
      </c>
      <c r="G12692" s="42" t="str">
        <f>IFERROR(__xludf.DUMMYFUNCTION("""COMPUTED_VALUE"""),"")</f>
        <v/>
      </c>
      <c r="H12692" s="42">
        <f t="shared" si="1"/>
        <v>3345</v>
      </c>
    </row>
    <row r="12693" ht="22.5" customHeight="1">
      <c r="B12693" s="42" t="str">
        <f>IFERROR(__xludf.DUMMYFUNCTION("""COMPUTED_VALUE"""),"")</f>
        <v/>
      </c>
      <c r="C12693" s="42" t="str">
        <f>IFERROR(__xludf.DUMMYFUNCTION("""COMPUTED_VALUE"""),"")</f>
        <v/>
      </c>
      <c r="D12693" s="42"/>
      <c r="E12693" s="42"/>
      <c r="F12693" s="48" t="str">
        <f>IFERROR(__xludf.DUMMYFUNCTION("""COMPUTED_VALUE"""),"")</f>
        <v/>
      </c>
      <c r="G12693" s="42" t="str">
        <f>IFERROR(__xludf.DUMMYFUNCTION("""COMPUTED_VALUE"""),"")</f>
        <v/>
      </c>
      <c r="H12693" s="42">
        <f t="shared" si="1"/>
        <v>3345</v>
      </c>
    </row>
    <row r="12694" ht="22.5" customHeight="1">
      <c r="B12694" s="42" t="str">
        <f>IFERROR(__xludf.DUMMYFUNCTION("""COMPUTED_VALUE"""),"")</f>
        <v/>
      </c>
      <c r="C12694" s="42" t="str">
        <f>IFERROR(__xludf.DUMMYFUNCTION("""COMPUTED_VALUE"""),"")</f>
        <v/>
      </c>
      <c r="D12694" s="42"/>
      <c r="E12694" s="42"/>
      <c r="F12694" s="48" t="str">
        <f>IFERROR(__xludf.DUMMYFUNCTION("""COMPUTED_VALUE"""),"")</f>
        <v/>
      </c>
      <c r="G12694" s="42" t="str">
        <f>IFERROR(__xludf.DUMMYFUNCTION("""COMPUTED_VALUE"""),"")</f>
        <v/>
      </c>
      <c r="H12694" s="42">
        <f t="shared" si="1"/>
        <v>3345</v>
      </c>
    </row>
    <row r="12695" ht="22.5" customHeight="1">
      <c r="B12695" s="42" t="str">
        <f>IFERROR(__xludf.DUMMYFUNCTION("""COMPUTED_VALUE"""),"")</f>
        <v/>
      </c>
      <c r="C12695" s="42" t="str">
        <f>IFERROR(__xludf.DUMMYFUNCTION("""COMPUTED_VALUE"""),"")</f>
        <v/>
      </c>
      <c r="D12695" s="42"/>
      <c r="E12695" s="42"/>
      <c r="F12695" s="48" t="str">
        <f>IFERROR(__xludf.DUMMYFUNCTION("""COMPUTED_VALUE"""),"")</f>
        <v/>
      </c>
      <c r="G12695" s="42" t="str">
        <f>IFERROR(__xludf.DUMMYFUNCTION("""COMPUTED_VALUE"""),"")</f>
        <v/>
      </c>
      <c r="H12695" s="42">
        <f t="shared" si="1"/>
        <v>3345</v>
      </c>
    </row>
    <row r="12696" ht="22.5" customHeight="1">
      <c r="B12696" s="42" t="str">
        <f>IFERROR(__xludf.DUMMYFUNCTION("""COMPUTED_VALUE"""),"")</f>
        <v/>
      </c>
      <c r="C12696" s="42" t="str">
        <f>IFERROR(__xludf.DUMMYFUNCTION("""COMPUTED_VALUE"""),"")</f>
        <v/>
      </c>
      <c r="D12696" s="42"/>
      <c r="E12696" s="42"/>
      <c r="F12696" s="48" t="str">
        <f>IFERROR(__xludf.DUMMYFUNCTION("""COMPUTED_VALUE"""),"")</f>
        <v/>
      </c>
      <c r="G12696" s="42" t="str">
        <f>IFERROR(__xludf.DUMMYFUNCTION("""COMPUTED_VALUE"""),"")</f>
        <v/>
      </c>
      <c r="H12696" s="42">
        <f t="shared" si="1"/>
        <v>3345</v>
      </c>
    </row>
    <row r="12697" ht="22.5" customHeight="1">
      <c r="B12697" s="42" t="str">
        <f>IFERROR(__xludf.DUMMYFUNCTION("""COMPUTED_VALUE"""),"")</f>
        <v/>
      </c>
      <c r="C12697" s="42" t="str">
        <f>IFERROR(__xludf.DUMMYFUNCTION("""COMPUTED_VALUE"""),"")</f>
        <v/>
      </c>
      <c r="D12697" s="42"/>
      <c r="E12697" s="42"/>
      <c r="F12697" s="48" t="str">
        <f>IFERROR(__xludf.DUMMYFUNCTION("""COMPUTED_VALUE"""),"")</f>
        <v/>
      </c>
      <c r="G12697" s="42" t="str">
        <f>IFERROR(__xludf.DUMMYFUNCTION("""COMPUTED_VALUE"""),"")</f>
        <v/>
      </c>
      <c r="H12697" s="42">
        <f t="shared" si="1"/>
        <v>3345</v>
      </c>
    </row>
    <row r="12698" ht="22.5" customHeight="1">
      <c r="B12698" s="42" t="str">
        <f>IFERROR(__xludf.DUMMYFUNCTION("""COMPUTED_VALUE"""),"")</f>
        <v/>
      </c>
      <c r="C12698" s="42" t="str">
        <f>IFERROR(__xludf.DUMMYFUNCTION("""COMPUTED_VALUE"""),"")</f>
        <v/>
      </c>
      <c r="D12698" s="42"/>
      <c r="E12698" s="42"/>
      <c r="F12698" s="48" t="str">
        <f>IFERROR(__xludf.DUMMYFUNCTION("""COMPUTED_VALUE"""),"")</f>
        <v/>
      </c>
      <c r="G12698" s="42" t="str">
        <f>IFERROR(__xludf.DUMMYFUNCTION("""COMPUTED_VALUE"""),"")</f>
        <v/>
      </c>
      <c r="H12698" s="42">
        <f t="shared" si="1"/>
        <v>3345</v>
      </c>
    </row>
    <row r="12699" ht="22.5" customHeight="1">
      <c r="B12699" s="42" t="str">
        <f>IFERROR(__xludf.DUMMYFUNCTION("""COMPUTED_VALUE"""),"")</f>
        <v/>
      </c>
      <c r="C12699" s="42" t="str">
        <f>IFERROR(__xludf.DUMMYFUNCTION("""COMPUTED_VALUE"""),"")</f>
        <v/>
      </c>
      <c r="D12699" s="42"/>
      <c r="E12699" s="42"/>
      <c r="F12699" s="48" t="str">
        <f>IFERROR(__xludf.DUMMYFUNCTION("""COMPUTED_VALUE"""),"")</f>
        <v/>
      </c>
      <c r="G12699" s="42" t="str">
        <f>IFERROR(__xludf.DUMMYFUNCTION("""COMPUTED_VALUE"""),"")</f>
        <v/>
      </c>
      <c r="H12699" s="42">
        <f t="shared" si="1"/>
        <v>3345</v>
      </c>
    </row>
    <row r="12700" ht="22.5" customHeight="1">
      <c r="B12700" s="42" t="str">
        <f>IFERROR(__xludf.DUMMYFUNCTION("""COMPUTED_VALUE"""),"")</f>
        <v/>
      </c>
      <c r="C12700" s="42" t="str">
        <f>IFERROR(__xludf.DUMMYFUNCTION("""COMPUTED_VALUE"""),"")</f>
        <v/>
      </c>
      <c r="D12700" s="42"/>
      <c r="E12700" s="42"/>
      <c r="F12700" s="48" t="str">
        <f>IFERROR(__xludf.DUMMYFUNCTION("""COMPUTED_VALUE"""),"")</f>
        <v/>
      </c>
      <c r="G12700" s="42" t="str">
        <f>IFERROR(__xludf.DUMMYFUNCTION("""COMPUTED_VALUE"""),"")</f>
        <v/>
      </c>
      <c r="H12700" s="42">
        <f t="shared" si="1"/>
        <v>3345</v>
      </c>
    </row>
    <row r="12701" ht="22.5" customHeight="1">
      <c r="B12701" s="42" t="str">
        <f>IFERROR(__xludf.DUMMYFUNCTION("""COMPUTED_VALUE"""),"")</f>
        <v/>
      </c>
      <c r="C12701" s="42" t="str">
        <f>IFERROR(__xludf.DUMMYFUNCTION("""COMPUTED_VALUE"""),"")</f>
        <v/>
      </c>
      <c r="D12701" s="42"/>
      <c r="E12701" s="42"/>
      <c r="F12701" s="48" t="str">
        <f>IFERROR(__xludf.DUMMYFUNCTION("""COMPUTED_VALUE"""),"")</f>
        <v/>
      </c>
      <c r="G12701" s="42" t="str">
        <f>IFERROR(__xludf.DUMMYFUNCTION("""COMPUTED_VALUE"""),"")</f>
        <v/>
      </c>
      <c r="H12701" s="42">
        <f t="shared" si="1"/>
        <v>3345</v>
      </c>
    </row>
    <row r="12702" ht="22.5" customHeight="1">
      <c r="B12702" s="42" t="str">
        <f>IFERROR(__xludf.DUMMYFUNCTION("""COMPUTED_VALUE"""),"")</f>
        <v/>
      </c>
      <c r="C12702" s="42" t="str">
        <f>IFERROR(__xludf.DUMMYFUNCTION("""COMPUTED_VALUE"""),"")</f>
        <v/>
      </c>
      <c r="D12702" s="42"/>
      <c r="E12702" s="42"/>
      <c r="F12702" s="48" t="str">
        <f>IFERROR(__xludf.DUMMYFUNCTION("""COMPUTED_VALUE"""),"")</f>
        <v/>
      </c>
      <c r="G12702" s="42" t="str">
        <f>IFERROR(__xludf.DUMMYFUNCTION("""COMPUTED_VALUE"""),"")</f>
        <v/>
      </c>
      <c r="H12702" s="42">
        <f t="shared" si="1"/>
        <v>3345</v>
      </c>
    </row>
    <row r="12703" ht="22.5" customHeight="1">
      <c r="B12703" s="42" t="str">
        <f>IFERROR(__xludf.DUMMYFUNCTION("""COMPUTED_VALUE"""),"")</f>
        <v/>
      </c>
      <c r="C12703" s="42" t="str">
        <f>IFERROR(__xludf.DUMMYFUNCTION("""COMPUTED_VALUE"""),"")</f>
        <v/>
      </c>
      <c r="D12703" s="42"/>
      <c r="E12703" s="42"/>
      <c r="F12703" s="48" t="str">
        <f>IFERROR(__xludf.DUMMYFUNCTION("""COMPUTED_VALUE"""),"")</f>
        <v/>
      </c>
      <c r="G12703" s="42" t="str">
        <f>IFERROR(__xludf.DUMMYFUNCTION("""COMPUTED_VALUE"""),"")</f>
        <v/>
      </c>
      <c r="H12703" s="42">
        <f t="shared" si="1"/>
        <v>3345</v>
      </c>
    </row>
    <row r="12704" ht="22.5" customHeight="1">
      <c r="B12704" s="42" t="str">
        <f>IFERROR(__xludf.DUMMYFUNCTION("""COMPUTED_VALUE"""),"")</f>
        <v/>
      </c>
      <c r="C12704" s="42" t="str">
        <f>IFERROR(__xludf.DUMMYFUNCTION("""COMPUTED_VALUE"""),"")</f>
        <v/>
      </c>
      <c r="D12704" s="42"/>
      <c r="E12704" s="42"/>
      <c r="F12704" s="48" t="str">
        <f>IFERROR(__xludf.DUMMYFUNCTION("""COMPUTED_VALUE"""),"")</f>
        <v/>
      </c>
      <c r="G12704" s="42" t="str">
        <f>IFERROR(__xludf.DUMMYFUNCTION("""COMPUTED_VALUE"""),"")</f>
        <v/>
      </c>
      <c r="H12704" s="42">
        <f t="shared" si="1"/>
        <v>3345</v>
      </c>
    </row>
    <row r="12705" ht="22.5" customHeight="1">
      <c r="B12705" s="42" t="str">
        <f>IFERROR(__xludf.DUMMYFUNCTION("""COMPUTED_VALUE"""),"")</f>
        <v/>
      </c>
      <c r="C12705" s="42" t="str">
        <f>IFERROR(__xludf.DUMMYFUNCTION("""COMPUTED_VALUE"""),"")</f>
        <v/>
      </c>
      <c r="D12705" s="42"/>
      <c r="E12705" s="42"/>
      <c r="F12705" s="48" t="str">
        <f>IFERROR(__xludf.DUMMYFUNCTION("""COMPUTED_VALUE"""),"")</f>
        <v/>
      </c>
      <c r="G12705" s="42" t="str">
        <f>IFERROR(__xludf.DUMMYFUNCTION("""COMPUTED_VALUE"""),"")</f>
        <v/>
      </c>
      <c r="H12705" s="42">
        <f t="shared" si="1"/>
        <v>3345</v>
      </c>
    </row>
    <row r="12706" ht="22.5" customHeight="1">
      <c r="B12706" s="42" t="str">
        <f>IFERROR(__xludf.DUMMYFUNCTION("""COMPUTED_VALUE"""),"")</f>
        <v/>
      </c>
      <c r="C12706" s="42" t="str">
        <f>IFERROR(__xludf.DUMMYFUNCTION("""COMPUTED_VALUE"""),"")</f>
        <v/>
      </c>
      <c r="D12706" s="42"/>
      <c r="E12706" s="42"/>
      <c r="F12706" s="48" t="str">
        <f>IFERROR(__xludf.DUMMYFUNCTION("""COMPUTED_VALUE"""),"")</f>
        <v/>
      </c>
      <c r="G12706" s="42" t="str">
        <f>IFERROR(__xludf.DUMMYFUNCTION("""COMPUTED_VALUE"""),"")</f>
        <v/>
      </c>
      <c r="H12706" s="42">
        <f t="shared" si="1"/>
        <v>3345</v>
      </c>
    </row>
    <row r="12707" ht="22.5" customHeight="1">
      <c r="B12707" s="42" t="str">
        <f>IFERROR(__xludf.DUMMYFUNCTION("""COMPUTED_VALUE"""),"")</f>
        <v/>
      </c>
      <c r="C12707" s="42" t="str">
        <f>IFERROR(__xludf.DUMMYFUNCTION("""COMPUTED_VALUE"""),"")</f>
        <v/>
      </c>
      <c r="D12707" s="42"/>
      <c r="E12707" s="42"/>
      <c r="F12707" s="48" t="str">
        <f>IFERROR(__xludf.DUMMYFUNCTION("""COMPUTED_VALUE"""),"")</f>
        <v/>
      </c>
      <c r="G12707" s="42" t="str">
        <f>IFERROR(__xludf.DUMMYFUNCTION("""COMPUTED_VALUE"""),"")</f>
        <v/>
      </c>
      <c r="H12707" s="42">
        <f t="shared" si="1"/>
        <v>3345</v>
      </c>
    </row>
    <row r="12708" ht="22.5" customHeight="1">
      <c r="B12708" s="42" t="str">
        <f>IFERROR(__xludf.DUMMYFUNCTION("""COMPUTED_VALUE"""),"")</f>
        <v/>
      </c>
      <c r="C12708" s="42" t="str">
        <f>IFERROR(__xludf.DUMMYFUNCTION("""COMPUTED_VALUE"""),"")</f>
        <v/>
      </c>
      <c r="D12708" s="42"/>
      <c r="E12708" s="42"/>
      <c r="F12708" s="48" t="str">
        <f>IFERROR(__xludf.DUMMYFUNCTION("""COMPUTED_VALUE"""),"")</f>
        <v/>
      </c>
      <c r="G12708" s="42" t="str">
        <f>IFERROR(__xludf.DUMMYFUNCTION("""COMPUTED_VALUE"""),"")</f>
        <v/>
      </c>
      <c r="H12708" s="42">
        <f t="shared" si="1"/>
        <v>3345</v>
      </c>
    </row>
    <row r="12709" ht="22.5" customHeight="1">
      <c r="B12709" s="42" t="str">
        <f>IFERROR(__xludf.DUMMYFUNCTION("""COMPUTED_VALUE"""),"")</f>
        <v/>
      </c>
      <c r="C12709" s="42" t="str">
        <f>IFERROR(__xludf.DUMMYFUNCTION("""COMPUTED_VALUE"""),"")</f>
        <v/>
      </c>
      <c r="D12709" s="42"/>
      <c r="E12709" s="42"/>
      <c r="F12709" s="48" t="str">
        <f>IFERROR(__xludf.DUMMYFUNCTION("""COMPUTED_VALUE"""),"")</f>
        <v/>
      </c>
      <c r="G12709" s="42" t="str">
        <f>IFERROR(__xludf.DUMMYFUNCTION("""COMPUTED_VALUE"""),"")</f>
        <v/>
      </c>
      <c r="H12709" s="42">
        <f t="shared" si="1"/>
        <v>3345</v>
      </c>
    </row>
    <row r="12710" ht="22.5" customHeight="1">
      <c r="B12710" s="42" t="str">
        <f>IFERROR(__xludf.DUMMYFUNCTION("""COMPUTED_VALUE"""),"")</f>
        <v/>
      </c>
      <c r="C12710" s="42" t="str">
        <f>IFERROR(__xludf.DUMMYFUNCTION("""COMPUTED_VALUE"""),"")</f>
        <v/>
      </c>
      <c r="D12710" s="42"/>
      <c r="E12710" s="42"/>
      <c r="F12710" s="48" t="str">
        <f>IFERROR(__xludf.DUMMYFUNCTION("""COMPUTED_VALUE"""),"")</f>
        <v/>
      </c>
      <c r="G12710" s="42" t="str">
        <f>IFERROR(__xludf.DUMMYFUNCTION("""COMPUTED_VALUE"""),"")</f>
        <v/>
      </c>
      <c r="H12710" s="42">
        <f t="shared" si="1"/>
        <v>3345</v>
      </c>
    </row>
    <row r="12711" ht="22.5" customHeight="1">
      <c r="B12711" s="42" t="str">
        <f>IFERROR(__xludf.DUMMYFUNCTION("""COMPUTED_VALUE"""),"")</f>
        <v/>
      </c>
      <c r="C12711" s="42" t="str">
        <f>IFERROR(__xludf.DUMMYFUNCTION("""COMPUTED_VALUE"""),"")</f>
        <v/>
      </c>
      <c r="D12711" s="42"/>
      <c r="E12711" s="42"/>
      <c r="F12711" s="48" t="str">
        <f>IFERROR(__xludf.DUMMYFUNCTION("""COMPUTED_VALUE"""),"")</f>
        <v/>
      </c>
      <c r="G12711" s="42" t="str">
        <f>IFERROR(__xludf.DUMMYFUNCTION("""COMPUTED_VALUE"""),"")</f>
        <v/>
      </c>
      <c r="H12711" s="42">
        <f t="shared" si="1"/>
        <v>3345</v>
      </c>
    </row>
    <row r="12712" ht="22.5" customHeight="1">
      <c r="B12712" s="42" t="str">
        <f>IFERROR(__xludf.DUMMYFUNCTION("""COMPUTED_VALUE"""),"")</f>
        <v/>
      </c>
      <c r="C12712" s="42" t="str">
        <f>IFERROR(__xludf.DUMMYFUNCTION("""COMPUTED_VALUE"""),"")</f>
        <v/>
      </c>
      <c r="D12712" s="42"/>
      <c r="E12712" s="42"/>
      <c r="F12712" s="48" t="str">
        <f>IFERROR(__xludf.DUMMYFUNCTION("""COMPUTED_VALUE"""),"")</f>
        <v/>
      </c>
      <c r="G12712" s="42" t="str">
        <f>IFERROR(__xludf.DUMMYFUNCTION("""COMPUTED_VALUE"""),"")</f>
        <v/>
      </c>
      <c r="H12712" s="42">
        <f t="shared" si="1"/>
        <v>3345</v>
      </c>
    </row>
    <row r="12713" ht="22.5" customHeight="1">
      <c r="B12713" s="42" t="str">
        <f>IFERROR(__xludf.DUMMYFUNCTION("""COMPUTED_VALUE"""),"")</f>
        <v/>
      </c>
      <c r="C12713" s="42" t="str">
        <f>IFERROR(__xludf.DUMMYFUNCTION("""COMPUTED_VALUE"""),"")</f>
        <v/>
      </c>
      <c r="D12713" s="42"/>
      <c r="E12713" s="42"/>
      <c r="F12713" s="48" t="str">
        <f>IFERROR(__xludf.DUMMYFUNCTION("""COMPUTED_VALUE"""),"")</f>
        <v/>
      </c>
      <c r="G12713" s="42" t="str">
        <f>IFERROR(__xludf.DUMMYFUNCTION("""COMPUTED_VALUE"""),"")</f>
        <v/>
      </c>
      <c r="H12713" s="42">
        <f t="shared" si="1"/>
        <v>3345</v>
      </c>
    </row>
    <row r="12714" ht="22.5" customHeight="1">
      <c r="B12714" s="42" t="str">
        <f>IFERROR(__xludf.DUMMYFUNCTION("""COMPUTED_VALUE"""),"")</f>
        <v/>
      </c>
      <c r="C12714" s="42" t="str">
        <f>IFERROR(__xludf.DUMMYFUNCTION("""COMPUTED_VALUE"""),"")</f>
        <v/>
      </c>
      <c r="D12714" s="42"/>
      <c r="E12714" s="42"/>
      <c r="F12714" s="48" t="str">
        <f>IFERROR(__xludf.DUMMYFUNCTION("""COMPUTED_VALUE"""),"")</f>
        <v/>
      </c>
      <c r="G12714" s="42" t="str">
        <f>IFERROR(__xludf.DUMMYFUNCTION("""COMPUTED_VALUE"""),"")</f>
        <v/>
      </c>
      <c r="H12714" s="42">
        <f t="shared" si="1"/>
        <v>3345</v>
      </c>
    </row>
    <row r="12715" ht="22.5" customHeight="1">
      <c r="B12715" s="42" t="str">
        <f>IFERROR(__xludf.DUMMYFUNCTION("""COMPUTED_VALUE"""),"")</f>
        <v/>
      </c>
      <c r="C12715" s="42" t="str">
        <f>IFERROR(__xludf.DUMMYFUNCTION("""COMPUTED_VALUE"""),"")</f>
        <v/>
      </c>
      <c r="D12715" s="42"/>
      <c r="E12715" s="42"/>
      <c r="F12715" s="48" t="str">
        <f>IFERROR(__xludf.DUMMYFUNCTION("""COMPUTED_VALUE"""),"")</f>
        <v/>
      </c>
      <c r="G12715" s="42" t="str">
        <f>IFERROR(__xludf.DUMMYFUNCTION("""COMPUTED_VALUE"""),"")</f>
        <v/>
      </c>
      <c r="H12715" s="42">
        <f t="shared" si="1"/>
        <v>3345</v>
      </c>
    </row>
    <row r="12716" ht="22.5" customHeight="1">
      <c r="B12716" s="42" t="str">
        <f>IFERROR(__xludf.DUMMYFUNCTION("""COMPUTED_VALUE"""),"")</f>
        <v/>
      </c>
      <c r="C12716" s="42" t="str">
        <f>IFERROR(__xludf.DUMMYFUNCTION("""COMPUTED_VALUE"""),"")</f>
        <v/>
      </c>
      <c r="D12716" s="42"/>
      <c r="E12716" s="42"/>
      <c r="F12716" s="48" t="str">
        <f>IFERROR(__xludf.DUMMYFUNCTION("""COMPUTED_VALUE"""),"")</f>
        <v/>
      </c>
      <c r="G12716" s="42" t="str">
        <f>IFERROR(__xludf.DUMMYFUNCTION("""COMPUTED_VALUE"""),"")</f>
        <v/>
      </c>
      <c r="H12716" s="42">
        <f t="shared" si="1"/>
        <v>3345</v>
      </c>
    </row>
    <row r="12717" ht="22.5" customHeight="1">
      <c r="B12717" s="42" t="str">
        <f>IFERROR(__xludf.DUMMYFUNCTION("""COMPUTED_VALUE"""),"")</f>
        <v/>
      </c>
      <c r="C12717" s="42" t="str">
        <f>IFERROR(__xludf.DUMMYFUNCTION("""COMPUTED_VALUE"""),"")</f>
        <v/>
      </c>
      <c r="D12717" s="42"/>
      <c r="E12717" s="42"/>
      <c r="F12717" s="48" t="str">
        <f>IFERROR(__xludf.DUMMYFUNCTION("""COMPUTED_VALUE"""),"")</f>
        <v/>
      </c>
      <c r="G12717" s="42" t="str">
        <f>IFERROR(__xludf.DUMMYFUNCTION("""COMPUTED_VALUE"""),"")</f>
        <v/>
      </c>
      <c r="H12717" s="42">
        <f t="shared" si="1"/>
        <v>3345</v>
      </c>
    </row>
    <row r="12718" ht="22.5" customHeight="1">
      <c r="B12718" s="42" t="str">
        <f>IFERROR(__xludf.DUMMYFUNCTION("""COMPUTED_VALUE"""),"")</f>
        <v/>
      </c>
      <c r="C12718" s="42" t="str">
        <f>IFERROR(__xludf.DUMMYFUNCTION("""COMPUTED_VALUE"""),"")</f>
        <v/>
      </c>
      <c r="D12718" s="42"/>
      <c r="E12718" s="42"/>
      <c r="F12718" s="48" t="str">
        <f>IFERROR(__xludf.DUMMYFUNCTION("""COMPUTED_VALUE"""),"")</f>
        <v/>
      </c>
      <c r="G12718" s="42" t="str">
        <f>IFERROR(__xludf.DUMMYFUNCTION("""COMPUTED_VALUE"""),"")</f>
        <v/>
      </c>
      <c r="H12718" s="42">
        <f t="shared" si="1"/>
        <v>3345</v>
      </c>
    </row>
    <row r="12719" ht="22.5" customHeight="1">
      <c r="B12719" s="42" t="str">
        <f>IFERROR(__xludf.DUMMYFUNCTION("""COMPUTED_VALUE"""),"")</f>
        <v/>
      </c>
      <c r="C12719" s="42" t="str">
        <f>IFERROR(__xludf.DUMMYFUNCTION("""COMPUTED_VALUE"""),"")</f>
        <v/>
      </c>
      <c r="D12719" s="42"/>
      <c r="E12719" s="42"/>
      <c r="F12719" s="48" t="str">
        <f>IFERROR(__xludf.DUMMYFUNCTION("""COMPUTED_VALUE"""),"")</f>
        <v/>
      </c>
      <c r="G12719" s="42" t="str">
        <f>IFERROR(__xludf.DUMMYFUNCTION("""COMPUTED_VALUE"""),"")</f>
        <v/>
      </c>
      <c r="H12719" s="42">
        <f t="shared" si="1"/>
        <v>3345</v>
      </c>
    </row>
    <row r="12720" ht="22.5" customHeight="1">
      <c r="B12720" s="42" t="str">
        <f>IFERROR(__xludf.DUMMYFUNCTION("""COMPUTED_VALUE"""),"")</f>
        <v/>
      </c>
      <c r="C12720" s="42" t="str">
        <f>IFERROR(__xludf.DUMMYFUNCTION("""COMPUTED_VALUE"""),"")</f>
        <v/>
      </c>
      <c r="D12720" s="42"/>
      <c r="E12720" s="42"/>
      <c r="F12720" s="48" t="str">
        <f>IFERROR(__xludf.DUMMYFUNCTION("""COMPUTED_VALUE"""),"")</f>
        <v/>
      </c>
      <c r="G12720" s="42" t="str">
        <f>IFERROR(__xludf.DUMMYFUNCTION("""COMPUTED_VALUE"""),"")</f>
        <v/>
      </c>
      <c r="H12720" s="42">
        <f t="shared" si="1"/>
        <v>3345</v>
      </c>
    </row>
    <row r="12721" ht="22.5" customHeight="1">
      <c r="B12721" s="42" t="str">
        <f>IFERROR(__xludf.DUMMYFUNCTION("""COMPUTED_VALUE"""),"")</f>
        <v/>
      </c>
      <c r="C12721" s="42" t="str">
        <f>IFERROR(__xludf.DUMMYFUNCTION("""COMPUTED_VALUE"""),"")</f>
        <v/>
      </c>
      <c r="D12721" s="42"/>
      <c r="E12721" s="42"/>
      <c r="F12721" s="48" t="str">
        <f>IFERROR(__xludf.DUMMYFUNCTION("""COMPUTED_VALUE"""),"")</f>
        <v/>
      </c>
      <c r="G12721" s="42" t="str">
        <f>IFERROR(__xludf.DUMMYFUNCTION("""COMPUTED_VALUE"""),"")</f>
        <v/>
      </c>
      <c r="H12721" s="42">
        <f t="shared" si="1"/>
        <v>3345</v>
      </c>
    </row>
    <row r="12722" ht="22.5" customHeight="1">
      <c r="B12722" s="42" t="str">
        <f>IFERROR(__xludf.DUMMYFUNCTION("""COMPUTED_VALUE"""),"")</f>
        <v/>
      </c>
      <c r="C12722" s="42" t="str">
        <f>IFERROR(__xludf.DUMMYFUNCTION("""COMPUTED_VALUE"""),"")</f>
        <v/>
      </c>
      <c r="D12722" s="42"/>
      <c r="E12722" s="42"/>
      <c r="F12722" s="48" t="str">
        <f>IFERROR(__xludf.DUMMYFUNCTION("""COMPUTED_VALUE"""),"")</f>
        <v/>
      </c>
      <c r="G12722" s="42" t="str">
        <f>IFERROR(__xludf.DUMMYFUNCTION("""COMPUTED_VALUE"""),"")</f>
        <v/>
      </c>
      <c r="H12722" s="42">
        <f t="shared" si="1"/>
        <v>3345</v>
      </c>
    </row>
    <row r="12723" ht="22.5" customHeight="1">
      <c r="B12723" s="42" t="str">
        <f>IFERROR(__xludf.DUMMYFUNCTION("""COMPUTED_VALUE"""),"")</f>
        <v/>
      </c>
      <c r="C12723" s="42" t="str">
        <f>IFERROR(__xludf.DUMMYFUNCTION("""COMPUTED_VALUE"""),"")</f>
        <v/>
      </c>
      <c r="D12723" s="42"/>
      <c r="E12723" s="42"/>
      <c r="F12723" s="48" t="str">
        <f>IFERROR(__xludf.DUMMYFUNCTION("""COMPUTED_VALUE"""),"")</f>
        <v/>
      </c>
      <c r="G12723" s="42" t="str">
        <f>IFERROR(__xludf.DUMMYFUNCTION("""COMPUTED_VALUE"""),"")</f>
        <v/>
      </c>
      <c r="H12723" s="42">
        <f t="shared" si="1"/>
        <v>3345</v>
      </c>
    </row>
    <row r="12724" ht="22.5" customHeight="1">
      <c r="B12724" s="42" t="str">
        <f>IFERROR(__xludf.DUMMYFUNCTION("""COMPUTED_VALUE"""),"")</f>
        <v/>
      </c>
      <c r="C12724" s="42" t="str">
        <f>IFERROR(__xludf.DUMMYFUNCTION("""COMPUTED_VALUE"""),"")</f>
        <v/>
      </c>
      <c r="D12724" s="42"/>
      <c r="E12724" s="42"/>
      <c r="F12724" s="48" t="str">
        <f>IFERROR(__xludf.DUMMYFUNCTION("""COMPUTED_VALUE"""),"")</f>
        <v/>
      </c>
      <c r="G12724" s="42" t="str">
        <f>IFERROR(__xludf.DUMMYFUNCTION("""COMPUTED_VALUE"""),"")</f>
        <v/>
      </c>
      <c r="H12724" s="42">
        <f t="shared" si="1"/>
        <v>3345</v>
      </c>
    </row>
    <row r="12725" ht="22.5" customHeight="1">
      <c r="B12725" s="42" t="str">
        <f>IFERROR(__xludf.DUMMYFUNCTION("""COMPUTED_VALUE"""),"")</f>
        <v/>
      </c>
      <c r="C12725" s="42" t="str">
        <f>IFERROR(__xludf.DUMMYFUNCTION("""COMPUTED_VALUE"""),"")</f>
        <v/>
      </c>
      <c r="D12725" s="42"/>
      <c r="E12725" s="42"/>
      <c r="F12725" s="48" t="str">
        <f>IFERROR(__xludf.DUMMYFUNCTION("""COMPUTED_VALUE"""),"")</f>
        <v/>
      </c>
      <c r="G12725" s="42" t="str">
        <f>IFERROR(__xludf.DUMMYFUNCTION("""COMPUTED_VALUE"""),"")</f>
        <v/>
      </c>
      <c r="H12725" s="42">
        <f t="shared" si="1"/>
        <v>3345</v>
      </c>
    </row>
    <row r="12726" ht="22.5" customHeight="1">
      <c r="B12726" s="42" t="str">
        <f>IFERROR(__xludf.DUMMYFUNCTION("""COMPUTED_VALUE"""),"")</f>
        <v/>
      </c>
      <c r="C12726" s="42" t="str">
        <f>IFERROR(__xludf.DUMMYFUNCTION("""COMPUTED_VALUE"""),"")</f>
        <v/>
      </c>
      <c r="D12726" s="42"/>
      <c r="E12726" s="42"/>
      <c r="F12726" s="48" t="str">
        <f>IFERROR(__xludf.DUMMYFUNCTION("""COMPUTED_VALUE"""),"")</f>
        <v/>
      </c>
      <c r="G12726" s="42" t="str">
        <f>IFERROR(__xludf.DUMMYFUNCTION("""COMPUTED_VALUE"""),"")</f>
        <v/>
      </c>
      <c r="H12726" s="42">
        <f t="shared" si="1"/>
        <v>3345</v>
      </c>
    </row>
    <row r="12727" ht="22.5" customHeight="1">
      <c r="B12727" s="42" t="str">
        <f>IFERROR(__xludf.DUMMYFUNCTION("""COMPUTED_VALUE"""),"")</f>
        <v/>
      </c>
      <c r="C12727" s="42" t="str">
        <f>IFERROR(__xludf.DUMMYFUNCTION("""COMPUTED_VALUE"""),"")</f>
        <v/>
      </c>
      <c r="D12727" s="42"/>
      <c r="E12727" s="42"/>
      <c r="F12727" s="48" t="str">
        <f>IFERROR(__xludf.DUMMYFUNCTION("""COMPUTED_VALUE"""),"")</f>
        <v/>
      </c>
      <c r="G12727" s="42" t="str">
        <f>IFERROR(__xludf.DUMMYFUNCTION("""COMPUTED_VALUE"""),"")</f>
        <v/>
      </c>
      <c r="H12727" s="42">
        <f t="shared" si="1"/>
        <v>3345</v>
      </c>
    </row>
    <row r="12728" ht="22.5" customHeight="1">
      <c r="B12728" s="42" t="str">
        <f>IFERROR(__xludf.DUMMYFUNCTION("""COMPUTED_VALUE"""),"")</f>
        <v/>
      </c>
      <c r="C12728" s="42" t="str">
        <f>IFERROR(__xludf.DUMMYFUNCTION("""COMPUTED_VALUE"""),"")</f>
        <v/>
      </c>
      <c r="D12728" s="42"/>
      <c r="E12728" s="42"/>
      <c r="F12728" s="48" t="str">
        <f>IFERROR(__xludf.DUMMYFUNCTION("""COMPUTED_VALUE"""),"")</f>
        <v/>
      </c>
      <c r="G12728" s="42" t="str">
        <f>IFERROR(__xludf.DUMMYFUNCTION("""COMPUTED_VALUE"""),"")</f>
        <v/>
      </c>
      <c r="H12728" s="42">
        <f t="shared" si="1"/>
        <v>3345</v>
      </c>
    </row>
    <row r="12729" ht="22.5" customHeight="1">
      <c r="B12729" s="42" t="str">
        <f>IFERROR(__xludf.DUMMYFUNCTION("""COMPUTED_VALUE"""),"")</f>
        <v/>
      </c>
      <c r="C12729" s="42" t="str">
        <f>IFERROR(__xludf.DUMMYFUNCTION("""COMPUTED_VALUE"""),"")</f>
        <v/>
      </c>
      <c r="D12729" s="42"/>
      <c r="E12729" s="42"/>
      <c r="F12729" s="48" t="str">
        <f>IFERROR(__xludf.DUMMYFUNCTION("""COMPUTED_VALUE"""),"")</f>
        <v/>
      </c>
      <c r="G12729" s="42" t="str">
        <f>IFERROR(__xludf.DUMMYFUNCTION("""COMPUTED_VALUE"""),"")</f>
        <v/>
      </c>
      <c r="H12729" s="42">
        <f t="shared" si="1"/>
        <v>3345</v>
      </c>
    </row>
    <row r="12730" ht="22.5" customHeight="1">
      <c r="B12730" s="42" t="str">
        <f>IFERROR(__xludf.DUMMYFUNCTION("""COMPUTED_VALUE"""),"")</f>
        <v/>
      </c>
      <c r="C12730" s="42" t="str">
        <f>IFERROR(__xludf.DUMMYFUNCTION("""COMPUTED_VALUE"""),"")</f>
        <v/>
      </c>
      <c r="D12730" s="42"/>
      <c r="E12730" s="42"/>
      <c r="F12730" s="48" t="str">
        <f>IFERROR(__xludf.DUMMYFUNCTION("""COMPUTED_VALUE"""),"")</f>
        <v/>
      </c>
      <c r="G12730" s="42" t="str">
        <f>IFERROR(__xludf.DUMMYFUNCTION("""COMPUTED_VALUE"""),"")</f>
        <v/>
      </c>
      <c r="H12730" s="42">
        <f t="shared" si="1"/>
        <v>3345</v>
      </c>
    </row>
    <row r="12731" ht="22.5" customHeight="1">
      <c r="B12731" s="42" t="str">
        <f>IFERROR(__xludf.DUMMYFUNCTION("""COMPUTED_VALUE"""),"")</f>
        <v/>
      </c>
      <c r="C12731" s="42" t="str">
        <f>IFERROR(__xludf.DUMMYFUNCTION("""COMPUTED_VALUE"""),"")</f>
        <v/>
      </c>
      <c r="D12731" s="42"/>
      <c r="E12731" s="42"/>
      <c r="F12731" s="48" t="str">
        <f>IFERROR(__xludf.DUMMYFUNCTION("""COMPUTED_VALUE"""),"")</f>
        <v/>
      </c>
      <c r="G12731" s="42" t="str">
        <f>IFERROR(__xludf.DUMMYFUNCTION("""COMPUTED_VALUE"""),"")</f>
        <v/>
      </c>
      <c r="H12731" s="42">
        <f t="shared" si="1"/>
        <v>3345</v>
      </c>
    </row>
    <row r="12732" ht="22.5" customHeight="1">
      <c r="B12732" s="42" t="str">
        <f>IFERROR(__xludf.DUMMYFUNCTION("""COMPUTED_VALUE"""),"")</f>
        <v/>
      </c>
      <c r="C12732" s="42" t="str">
        <f>IFERROR(__xludf.DUMMYFUNCTION("""COMPUTED_VALUE"""),"")</f>
        <v/>
      </c>
      <c r="D12732" s="42"/>
      <c r="E12732" s="42"/>
      <c r="F12732" s="48" t="str">
        <f>IFERROR(__xludf.DUMMYFUNCTION("""COMPUTED_VALUE"""),"")</f>
        <v/>
      </c>
      <c r="G12732" s="42" t="str">
        <f>IFERROR(__xludf.DUMMYFUNCTION("""COMPUTED_VALUE"""),"")</f>
        <v/>
      </c>
      <c r="H12732" s="42">
        <f t="shared" si="1"/>
        <v>3345</v>
      </c>
    </row>
    <row r="12733" ht="22.5" customHeight="1">
      <c r="B12733" s="42" t="str">
        <f>IFERROR(__xludf.DUMMYFUNCTION("""COMPUTED_VALUE"""),"")</f>
        <v/>
      </c>
      <c r="C12733" s="42" t="str">
        <f>IFERROR(__xludf.DUMMYFUNCTION("""COMPUTED_VALUE"""),"")</f>
        <v/>
      </c>
      <c r="D12733" s="42"/>
      <c r="E12733" s="42"/>
      <c r="F12733" s="48" t="str">
        <f>IFERROR(__xludf.DUMMYFUNCTION("""COMPUTED_VALUE"""),"")</f>
        <v/>
      </c>
      <c r="G12733" s="42" t="str">
        <f>IFERROR(__xludf.DUMMYFUNCTION("""COMPUTED_VALUE"""),"")</f>
        <v/>
      </c>
      <c r="H12733" s="42">
        <f t="shared" si="1"/>
        <v>3345</v>
      </c>
    </row>
    <row r="12734" ht="22.5" customHeight="1">
      <c r="B12734" s="42" t="str">
        <f>IFERROR(__xludf.DUMMYFUNCTION("""COMPUTED_VALUE"""),"")</f>
        <v/>
      </c>
      <c r="C12734" s="42" t="str">
        <f>IFERROR(__xludf.DUMMYFUNCTION("""COMPUTED_VALUE"""),"")</f>
        <v/>
      </c>
      <c r="D12734" s="42"/>
      <c r="E12734" s="42"/>
      <c r="F12734" s="48" t="str">
        <f>IFERROR(__xludf.DUMMYFUNCTION("""COMPUTED_VALUE"""),"")</f>
        <v/>
      </c>
      <c r="G12734" s="42" t="str">
        <f>IFERROR(__xludf.DUMMYFUNCTION("""COMPUTED_VALUE"""),"")</f>
        <v/>
      </c>
      <c r="H12734" s="42">
        <f t="shared" si="1"/>
        <v>3345</v>
      </c>
    </row>
    <row r="12735" ht="22.5" customHeight="1">
      <c r="B12735" s="42" t="str">
        <f>IFERROR(__xludf.DUMMYFUNCTION("""COMPUTED_VALUE"""),"")</f>
        <v/>
      </c>
      <c r="C12735" s="42" t="str">
        <f>IFERROR(__xludf.DUMMYFUNCTION("""COMPUTED_VALUE"""),"")</f>
        <v/>
      </c>
      <c r="D12735" s="42"/>
      <c r="E12735" s="42"/>
      <c r="F12735" s="48" t="str">
        <f>IFERROR(__xludf.DUMMYFUNCTION("""COMPUTED_VALUE"""),"")</f>
        <v/>
      </c>
      <c r="G12735" s="42" t="str">
        <f>IFERROR(__xludf.DUMMYFUNCTION("""COMPUTED_VALUE"""),"")</f>
        <v/>
      </c>
      <c r="H12735" s="42">
        <f t="shared" si="1"/>
        <v>3345</v>
      </c>
    </row>
    <row r="12736" ht="22.5" customHeight="1">
      <c r="B12736" s="42" t="str">
        <f>IFERROR(__xludf.DUMMYFUNCTION("""COMPUTED_VALUE"""),"")</f>
        <v/>
      </c>
      <c r="C12736" s="42" t="str">
        <f>IFERROR(__xludf.DUMMYFUNCTION("""COMPUTED_VALUE"""),"")</f>
        <v/>
      </c>
      <c r="D12736" s="42"/>
      <c r="E12736" s="42"/>
      <c r="F12736" s="48" t="str">
        <f>IFERROR(__xludf.DUMMYFUNCTION("""COMPUTED_VALUE"""),"")</f>
        <v/>
      </c>
      <c r="G12736" s="42" t="str">
        <f>IFERROR(__xludf.DUMMYFUNCTION("""COMPUTED_VALUE"""),"")</f>
        <v/>
      </c>
      <c r="H12736" s="42">
        <f t="shared" si="1"/>
        <v>3345</v>
      </c>
    </row>
    <row r="12737" ht="22.5" customHeight="1">
      <c r="B12737" s="42" t="str">
        <f>IFERROR(__xludf.DUMMYFUNCTION("""COMPUTED_VALUE"""),"")</f>
        <v/>
      </c>
      <c r="C12737" s="42" t="str">
        <f>IFERROR(__xludf.DUMMYFUNCTION("""COMPUTED_VALUE"""),"")</f>
        <v/>
      </c>
      <c r="D12737" s="42"/>
      <c r="E12737" s="42"/>
      <c r="F12737" s="48" t="str">
        <f>IFERROR(__xludf.DUMMYFUNCTION("""COMPUTED_VALUE"""),"")</f>
        <v/>
      </c>
      <c r="G12737" s="42" t="str">
        <f>IFERROR(__xludf.DUMMYFUNCTION("""COMPUTED_VALUE"""),"")</f>
        <v/>
      </c>
      <c r="H12737" s="42">
        <f t="shared" si="1"/>
        <v>3345</v>
      </c>
    </row>
    <row r="12738" ht="22.5" customHeight="1">
      <c r="B12738" s="42" t="str">
        <f>IFERROR(__xludf.DUMMYFUNCTION("""COMPUTED_VALUE"""),"")</f>
        <v/>
      </c>
      <c r="C12738" s="42" t="str">
        <f>IFERROR(__xludf.DUMMYFUNCTION("""COMPUTED_VALUE"""),"")</f>
        <v/>
      </c>
      <c r="D12738" s="42"/>
      <c r="E12738" s="42"/>
      <c r="F12738" s="48" t="str">
        <f>IFERROR(__xludf.DUMMYFUNCTION("""COMPUTED_VALUE"""),"")</f>
        <v/>
      </c>
      <c r="G12738" s="42" t="str">
        <f>IFERROR(__xludf.DUMMYFUNCTION("""COMPUTED_VALUE"""),"")</f>
        <v/>
      </c>
      <c r="H12738" s="42">
        <f t="shared" si="1"/>
        <v>3345</v>
      </c>
    </row>
    <row r="12739" ht="22.5" customHeight="1">
      <c r="B12739" s="42" t="str">
        <f>IFERROR(__xludf.DUMMYFUNCTION("""COMPUTED_VALUE"""),"")</f>
        <v/>
      </c>
      <c r="C12739" s="42" t="str">
        <f>IFERROR(__xludf.DUMMYFUNCTION("""COMPUTED_VALUE"""),"")</f>
        <v/>
      </c>
      <c r="D12739" s="42"/>
      <c r="E12739" s="42"/>
      <c r="F12739" s="48" t="str">
        <f>IFERROR(__xludf.DUMMYFUNCTION("""COMPUTED_VALUE"""),"")</f>
        <v/>
      </c>
      <c r="G12739" s="42" t="str">
        <f>IFERROR(__xludf.DUMMYFUNCTION("""COMPUTED_VALUE"""),"")</f>
        <v/>
      </c>
      <c r="H12739" s="42">
        <f t="shared" si="1"/>
        <v>3345</v>
      </c>
    </row>
    <row r="12740" ht="22.5" customHeight="1">
      <c r="B12740" s="42" t="str">
        <f>IFERROR(__xludf.DUMMYFUNCTION("""COMPUTED_VALUE"""),"")</f>
        <v/>
      </c>
      <c r="C12740" s="42" t="str">
        <f>IFERROR(__xludf.DUMMYFUNCTION("""COMPUTED_VALUE"""),"")</f>
        <v/>
      </c>
      <c r="D12740" s="42"/>
      <c r="E12740" s="42"/>
      <c r="F12740" s="48" t="str">
        <f>IFERROR(__xludf.DUMMYFUNCTION("""COMPUTED_VALUE"""),"")</f>
        <v/>
      </c>
      <c r="G12740" s="42" t="str">
        <f>IFERROR(__xludf.DUMMYFUNCTION("""COMPUTED_VALUE"""),"")</f>
        <v/>
      </c>
      <c r="H12740" s="42">
        <f t="shared" si="1"/>
        <v>3345</v>
      </c>
    </row>
    <row r="12741" ht="22.5" customHeight="1">
      <c r="B12741" s="42" t="str">
        <f>IFERROR(__xludf.DUMMYFUNCTION("""COMPUTED_VALUE"""),"")</f>
        <v/>
      </c>
      <c r="C12741" s="42" t="str">
        <f>IFERROR(__xludf.DUMMYFUNCTION("""COMPUTED_VALUE"""),"")</f>
        <v/>
      </c>
      <c r="D12741" s="42"/>
      <c r="E12741" s="42"/>
      <c r="F12741" s="48" t="str">
        <f>IFERROR(__xludf.DUMMYFUNCTION("""COMPUTED_VALUE"""),"")</f>
        <v/>
      </c>
      <c r="G12741" s="42" t="str">
        <f>IFERROR(__xludf.DUMMYFUNCTION("""COMPUTED_VALUE"""),"")</f>
        <v/>
      </c>
      <c r="H12741" s="42">
        <f t="shared" si="1"/>
        <v>3345</v>
      </c>
    </row>
    <row r="12742" ht="22.5" customHeight="1">
      <c r="B12742" s="42" t="str">
        <f>IFERROR(__xludf.DUMMYFUNCTION("""COMPUTED_VALUE"""),"")</f>
        <v/>
      </c>
      <c r="C12742" s="42" t="str">
        <f>IFERROR(__xludf.DUMMYFUNCTION("""COMPUTED_VALUE"""),"")</f>
        <v/>
      </c>
      <c r="D12742" s="42"/>
      <c r="E12742" s="42"/>
      <c r="F12742" s="48" t="str">
        <f>IFERROR(__xludf.DUMMYFUNCTION("""COMPUTED_VALUE"""),"")</f>
        <v/>
      </c>
      <c r="G12742" s="42" t="str">
        <f>IFERROR(__xludf.DUMMYFUNCTION("""COMPUTED_VALUE"""),"")</f>
        <v/>
      </c>
      <c r="H12742" s="42">
        <f t="shared" si="1"/>
        <v>3345</v>
      </c>
    </row>
    <row r="12743" ht="22.5" customHeight="1">
      <c r="B12743" s="42" t="str">
        <f>IFERROR(__xludf.DUMMYFUNCTION("""COMPUTED_VALUE"""),"")</f>
        <v/>
      </c>
      <c r="C12743" s="42" t="str">
        <f>IFERROR(__xludf.DUMMYFUNCTION("""COMPUTED_VALUE"""),"")</f>
        <v/>
      </c>
      <c r="D12743" s="42"/>
      <c r="E12743" s="42"/>
      <c r="F12743" s="48" t="str">
        <f>IFERROR(__xludf.DUMMYFUNCTION("""COMPUTED_VALUE"""),"")</f>
        <v/>
      </c>
      <c r="G12743" s="42" t="str">
        <f>IFERROR(__xludf.DUMMYFUNCTION("""COMPUTED_VALUE"""),"")</f>
        <v/>
      </c>
      <c r="H12743" s="42">
        <f t="shared" si="1"/>
        <v>3345</v>
      </c>
    </row>
    <row r="12744" ht="22.5" customHeight="1">
      <c r="B12744" s="42" t="str">
        <f>IFERROR(__xludf.DUMMYFUNCTION("""COMPUTED_VALUE"""),"")</f>
        <v/>
      </c>
      <c r="C12744" s="42" t="str">
        <f>IFERROR(__xludf.DUMMYFUNCTION("""COMPUTED_VALUE"""),"")</f>
        <v/>
      </c>
      <c r="D12744" s="42"/>
      <c r="E12744" s="42"/>
      <c r="F12744" s="48" t="str">
        <f>IFERROR(__xludf.DUMMYFUNCTION("""COMPUTED_VALUE"""),"")</f>
        <v/>
      </c>
      <c r="G12744" s="42" t="str">
        <f>IFERROR(__xludf.DUMMYFUNCTION("""COMPUTED_VALUE"""),"")</f>
        <v/>
      </c>
      <c r="H12744" s="42">
        <f t="shared" si="1"/>
        <v>3345</v>
      </c>
    </row>
    <row r="12745" ht="22.5" customHeight="1">
      <c r="B12745" s="42" t="str">
        <f>IFERROR(__xludf.DUMMYFUNCTION("""COMPUTED_VALUE"""),"")</f>
        <v/>
      </c>
      <c r="C12745" s="42" t="str">
        <f>IFERROR(__xludf.DUMMYFUNCTION("""COMPUTED_VALUE"""),"")</f>
        <v/>
      </c>
      <c r="D12745" s="42"/>
      <c r="E12745" s="42"/>
      <c r="F12745" s="48" t="str">
        <f>IFERROR(__xludf.DUMMYFUNCTION("""COMPUTED_VALUE"""),"")</f>
        <v/>
      </c>
      <c r="G12745" s="42" t="str">
        <f>IFERROR(__xludf.DUMMYFUNCTION("""COMPUTED_VALUE"""),"")</f>
        <v/>
      </c>
      <c r="H12745" s="42">
        <f t="shared" si="1"/>
        <v>3345</v>
      </c>
    </row>
    <row r="12746" ht="22.5" customHeight="1">
      <c r="B12746" s="42" t="str">
        <f>IFERROR(__xludf.DUMMYFUNCTION("""COMPUTED_VALUE"""),"")</f>
        <v/>
      </c>
      <c r="C12746" s="42" t="str">
        <f>IFERROR(__xludf.DUMMYFUNCTION("""COMPUTED_VALUE"""),"")</f>
        <v/>
      </c>
      <c r="D12746" s="42"/>
      <c r="E12746" s="42"/>
      <c r="F12746" s="48" t="str">
        <f>IFERROR(__xludf.DUMMYFUNCTION("""COMPUTED_VALUE"""),"")</f>
        <v/>
      </c>
      <c r="G12746" s="42" t="str">
        <f>IFERROR(__xludf.DUMMYFUNCTION("""COMPUTED_VALUE"""),"")</f>
        <v/>
      </c>
      <c r="H12746" s="42">
        <f t="shared" si="1"/>
        <v>3345</v>
      </c>
    </row>
    <row r="12747" ht="22.5" customHeight="1">
      <c r="B12747" s="42" t="str">
        <f>IFERROR(__xludf.DUMMYFUNCTION("""COMPUTED_VALUE"""),"")</f>
        <v/>
      </c>
      <c r="C12747" s="42" t="str">
        <f>IFERROR(__xludf.DUMMYFUNCTION("""COMPUTED_VALUE"""),"")</f>
        <v/>
      </c>
      <c r="D12747" s="42"/>
      <c r="E12747" s="42"/>
      <c r="F12747" s="48" t="str">
        <f>IFERROR(__xludf.DUMMYFUNCTION("""COMPUTED_VALUE"""),"")</f>
        <v/>
      </c>
      <c r="G12747" s="42" t="str">
        <f>IFERROR(__xludf.DUMMYFUNCTION("""COMPUTED_VALUE"""),"")</f>
        <v/>
      </c>
      <c r="H12747" s="42">
        <f t="shared" si="1"/>
        <v>3345</v>
      </c>
    </row>
    <row r="12748" ht="22.5" customHeight="1">
      <c r="B12748" s="42" t="str">
        <f>IFERROR(__xludf.DUMMYFUNCTION("""COMPUTED_VALUE"""),"")</f>
        <v/>
      </c>
      <c r="C12748" s="42" t="str">
        <f>IFERROR(__xludf.DUMMYFUNCTION("""COMPUTED_VALUE"""),"")</f>
        <v/>
      </c>
      <c r="D12748" s="42"/>
      <c r="E12748" s="42"/>
      <c r="F12748" s="48" t="str">
        <f>IFERROR(__xludf.DUMMYFUNCTION("""COMPUTED_VALUE"""),"")</f>
        <v/>
      </c>
      <c r="G12748" s="42" t="str">
        <f>IFERROR(__xludf.DUMMYFUNCTION("""COMPUTED_VALUE"""),"")</f>
        <v/>
      </c>
      <c r="H12748" s="42">
        <f t="shared" si="1"/>
        <v>3345</v>
      </c>
    </row>
    <row r="12749" ht="22.5" customHeight="1">
      <c r="B12749" s="42" t="str">
        <f>IFERROR(__xludf.DUMMYFUNCTION("""COMPUTED_VALUE"""),"")</f>
        <v/>
      </c>
      <c r="C12749" s="42" t="str">
        <f>IFERROR(__xludf.DUMMYFUNCTION("""COMPUTED_VALUE"""),"")</f>
        <v/>
      </c>
      <c r="D12749" s="42"/>
      <c r="E12749" s="42"/>
      <c r="F12749" s="48" t="str">
        <f>IFERROR(__xludf.DUMMYFUNCTION("""COMPUTED_VALUE"""),"")</f>
        <v/>
      </c>
      <c r="G12749" s="42" t="str">
        <f>IFERROR(__xludf.DUMMYFUNCTION("""COMPUTED_VALUE"""),"")</f>
        <v/>
      </c>
      <c r="H12749" s="42">
        <f t="shared" si="1"/>
        <v>3345</v>
      </c>
    </row>
    <row r="12750" ht="22.5" customHeight="1">
      <c r="B12750" s="42" t="str">
        <f>IFERROR(__xludf.DUMMYFUNCTION("""COMPUTED_VALUE"""),"")</f>
        <v/>
      </c>
      <c r="C12750" s="42" t="str">
        <f>IFERROR(__xludf.DUMMYFUNCTION("""COMPUTED_VALUE"""),"")</f>
        <v/>
      </c>
      <c r="D12750" s="42"/>
      <c r="E12750" s="42"/>
      <c r="F12750" s="48" t="str">
        <f>IFERROR(__xludf.DUMMYFUNCTION("""COMPUTED_VALUE"""),"")</f>
        <v/>
      </c>
      <c r="G12750" s="42" t="str">
        <f>IFERROR(__xludf.DUMMYFUNCTION("""COMPUTED_VALUE"""),"")</f>
        <v/>
      </c>
      <c r="H12750" s="42">
        <f t="shared" si="1"/>
        <v>3345</v>
      </c>
    </row>
    <row r="12751" ht="22.5" customHeight="1">
      <c r="B12751" s="42" t="str">
        <f>IFERROR(__xludf.DUMMYFUNCTION("""COMPUTED_VALUE"""),"")</f>
        <v/>
      </c>
      <c r="C12751" s="42" t="str">
        <f>IFERROR(__xludf.DUMMYFUNCTION("""COMPUTED_VALUE"""),"")</f>
        <v/>
      </c>
      <c r="D12751" s="42"/>
      <c r="E12751" s="42"/>
      <c r="F12751" s="48" t="str">
        <f>IFERROR(__xludf.DUMMYFUNCTION("""COMPUTED_VALUE"""),"")</f>
        <v/>
      </c>
      <c r="G12751" s="42" t="str">
        <f>IFERROR(__xludf.DUMMYFUNCTION("""COMPUTED_VALUE"""),"")</f>
        <v/>
      </c>
      <c r="H12751" s="42">
        <f t="shared" si="1"/>
        <v>3345</v>
      </c>
    </row>
    <row r="12752" ht="22.5" customHeight="1">
      <c r="B12752" s="42" t="str">
        <f>IFERROR(__xludf.DUMMYFUNCTION("""COMPUTED_VALUE"""),"")</f>
        <v/>
      </c>
      <c r="C12752" s="42" t="str">
        <f>IFERROR(__xludf.DUMMYFUNCTION("""COMPUTED_VALUE"""),"")</f>
        <v/>
      </c>
      <c r="D12752" s="42"/>
      <c r="E12752" s="42"/>
      <c r="F12752" s="48" t="str">
        <f>IFERROR(__xludf.DUMMYFUNCTION("""COMPUTED_VALUE"""),"")</f>
        <v/>
      </c>
      <c r="G12752" s="42" t="str">
        <f>IFERROR(__xludf.DUMMYFUNCTION("""COMPUTED_VALUE"""),"")</f>
        <v/>
      </c>
      <c r="H12752" s="42">
        <f t="shared" si="1"/>
        <v>3345</v>
      </c>
    </row>
    <row r="12753" ht="22.5" customHeight="1">
      <c r="B12753" s="42" t="str">
        <f>IFERROR(__xludf.DUMMYFUNCTION("""COMPUTED_VALUE"""),"")</f>
        <v/>
      </c>
      <c r="C12753" s="42" t="str">
        <f>IFERROR(__xludf.DUMMYFUNCTION("""COMPUTED_VALUE"""),"")</f>
        <v/>
      </c>
      <c r="D12753" s="42"/>
      <c r="E12753" s="42"/>
      <c r="F12753" s="48" t="str">
        <f>IFERROR(__xludf.DUMMYFUNCTION("""COMPUTED_VALUE"""),"")</f>
        <v/>
      </c>
      <c r="G12753" s="42" t="str">
        <f>IFERROR(__xludf.DUMMYFUNCTION("""COMPUTED_VALUE"""),"")</f>
        <v/>
      </c>
      <c r="H12753" s="42">
        <f t="shared" si="1"/>
        <v>3345</v>
      </c>
    </row>
    <row r="12754" ht="22.5" customHeight="1">
      <c r="B12754" s="42" t="str">
        <f>IFERROR(__xludf.DUMMYFUNCTION("""COMPUTED_VALUE"""),"")</f>
        <v/>
      </c>
      <c r="C12754" s="42" t="str">
        <f>IFERROR(__xludf.DUMMYFUNCTION("""COMPUTED_VALUE"""),"")</f>
        <v/>
      </c>
      <c r="D12754" s="42"/>
      <c r="E12754" s="42"/>
      <c r="F12754" s="48" t="str">
        <f>IFERROR(__xludf.DUMMYFUNCTION("""COMPUTED_VALUE"""),"")</f>
        <v/>
      </c>
      <c r="G12754" s="42" t="str">
        <f>IFERROR(__xludf.DUMMYFUNCTION("""COMPUTED_VALUE"""),"")</f>
        <v/>
      </c>
      <c r="H12754" s="42">
        <f t="shared" si="1"/>
        <v>3345</v>
      </c>
    </row>
    <row r="12755" ht="22.5" customHeight="1">
      <c r="B12755" s="42" t="str">
        <f>IFERROR(__xludf.DUMMYFUNCTION("""COMPUTED_VALUE"""),"")</f>
        <v/>
      </c>
      <c r="C12755" s="42" t="str">
        <f>IFERROR(__xludf.DUMMYFUNCTION("""COMPUTED_VALUE"""),"")</f>
        <v/>
      </c>
      <c r="D12755" s="42"/>
      <c r="E12755" s="42"/>
      <c r="F12755" s="48" t="str">
        <f>IFERROR(__xludf.DUMMYFUNCTION("""COMPUTED_VALUE"""),"")</f>
        <v/>
      </c>
      <c r="G12755" s="42" t="str">
        <f>IFERROR(__xludf.DUMMYFUNCTION("""COMPUTED_VALUE"""),"")</f>
        <v/>
      </c>
      <c r="H12755" s="42">
        <f t="shared" si="1"/>
        <v>3345</v>
      </c>
    </row>
    <row r="12756" ht="22.5" customHeight="1">
      <c r="B12756" s="42" t="str">
        <f>IFERROR(__xludf.DUMMYFUNCTION("""COMPUTED_VALUE"""),"")</f>
        <v/>
      </c>
      <c r="C12756" s="42" t="str">
        <f>IFERROR(__xludf.DUMMYFUNCTION("""COMPUTED_VALUE"""),"")</f>
        <v/>
      </c>
      <c r="D12756" s="42"/>
      <c r="E12756" s="42"/>
      <c r="F12756" s="48" t="str">
        <f>IFERROR(__xludf.DUMMYFUNCTION("""COMPUTED_VALUE"""),"")</f>
        <v/>
      </c>
      <c r="G12756" s="42" t="str">
        <f>IFERROR(__xludf.DUMMYFUNCTION("""COMPUTED_VALUE"""),"")</f>
        <v/>
      </c>
      <c r="H12756" s="42">
        <f t="shared" si="1"/>
        <v>3345</v>
      </c>
    </row>
    <row r="12757" ht="22.5" customHeight="1">
      <c r="B12757" s="42" t="str">
        <f>IFERROR(__xludf.DUMMYFUNCTION("""COMPUTED_VALUE"""),"")</f>
        <v/>
      </c>
      <c r="C12757" s="42" t="str">
        <f>IFERROR(__xludf.DUMMYFUNCTION("""COMPUTED_VALUE"""),"")</f>
        <v/>
      </c>
      <c r="D12757" s="42"/>
      <c r="E12757" s="42"/>
      <c r="F12757" s="48" t="str">
        <f>IFERROR(__xludf.DUMMYFUNCTION("""COMPUTED_VALUE"""),"")</f>
        <v/>
      </c>
      <c r="G12757" s="42" t="str">
        <f>IFERROR(__xludf.DUMMYFUNCTION("""COMPUTED_VALUE"""),"")</f>
        <v/>
      </c>
      <c r="H12757" s="42">
        <f t="shared" si="1"/>
        <v>3345</v>
      </c>
    </row>
    <row r="12758" ht="22.5" customHeight="1">
      <c r="B12758" s="42" t="str">
        <f>IFERROR(__xludf.DUMMYFUNCTION("""COMPUTED_VALUE"""),"")</f>
        <v/>
      </c>
      <c r="C12758" s="42" t="str">
        <f>IFERROR(__xludf.DUMMYFUNCTION("""COMPUTED_VALUE"""),"")</f>
        <v/>
      </c>
      <c r="D12758" s="42"/>
      <c r="E12758" s="42"/>
      <c r="F12758" s="48" t="str">
        <f>IFERROR(__xludf.DUMMYFUNCTION("""COMPUTED_VALUE"""),"")</f>
        <v/>
      </c>
      <c r="G12758" s="42" t="str">
        <f>IFERROR(__xludf.DUMMYFUNCTION("""COMPUTED_VALUE"""),"")</f>
        <v/>
      </c>
      <c r="H12758" s="42">
        <f t="shared" si="1"/>
        <v>3345</v>
      </c>
    </row>
    <row r="12759" ht="22.5" customHeight="1">
      <c r="B12759" s="42" t="str">
        <f>IFERROR(__xludf.DUMMYFUNCTION("""COMPUTED_VALUE"""),"")</f>
        <v/>
      </c>
      <c r="C12759" s="42" t="str">
        <f>IFERROR(__xludf.DUMMYFUNCTION("""COMPUTED_VALUE"""),"")</f>
        <v/>
      </c>
      <c r="D12759" s="42"/>
      <c r="E12759" s="42"/>
      <c r="F12759" s="48" t="str">
        <f>IFERROR(__xludf.DUMMYFUNCTION("""COMPUTED_VALUE"""),"")</f>
        <v/>
      </c>
      <c r="G12759" s="42" t="str">
        <f>IFERROR(__xludf.DUMMYFUNCTION("""COMPUTED_VALUE"""),"")</f>
        <v/>
      </c>
      <c r="H12759" s="42">
        <f t="shared" si="1"/>
        <v>3345</v>
      </c>
    </row>
    <row r="12760" ht="22.5" customHeight="1">
      <c r="B12760" s="42" t="str">
        <f>IFERROR(__xludf.DUMMYFUNCTION("""COMPUTED_VALUE"""),"")</f>
        <v/>
      </c>
      <c r="C12760" s="42" t="str">
        <f>IFERROR(__xludf.DUMMYFUNCTION("""COMPUTED_VALUE"""),"")</f>
        <v/>
      </c>
      <c r="D12760" s="42"/>
      <c r="E12760" s="42"/>
      <c r="F12760" s="48" t="str">
        <f>IFERROR(__xludf.DUMMYFUNCTION("""COMPUTED_VALUE"""),"")</f>
        <v/>
      </c>
      <c r="G12760" s="42" t="str">
        <f>IFERROR(__xludf.DUMMYFUNCTION("""COMPUTED_VALUE"""),"")</f>
        <v/>
      </c>
      <c r="H12760" s="42">
        <f t="shared" si="1"/>
        <v>3345</v>
      </c>
    </row>
    <row r="12761" ht="22.5" customHeight="1">
      <c r="B12761" s="42" t="str">
        <f>IFERROR(__xludf.DUMMYFUNCTION("""COMPUTED_VALUE"""),"")</f>
        <v/>
      </c>
      <c r="C12761" s="42" t="str">
        <f>IFERROR(__xludf.DUMMYFUNCTION("""COMPUTED_VALUE"""),"")</f>
        <v/>
      </c>
      <c r="D12761" s="42"/>
      <c r="E12761" s="42"/>
      <c r="F12761" s="48" t="str">
        <f>IFERROR(__xludf.DUMMYFUNCTION("""COMPUTED_VALUE"""),"")</f>
        <v/>
      </c>
      <c r="G12761" s="42" t="str">
        <f>IFERROR(__xludf.DUMMYFUNCTION("""COMPUTED_VALUE"""),"")</f>
        <v/>
      </c>
      <c r="H12761" s="42">
        <f t="shared" si="1"/>
        <v>3345</v>
      </c>
    </row>
    <row r="12762" ht="22.5" customHeight="1">
      <c r="B12762" s="42" t="str">
        <f>IFERROR(__xludf.DUMMYFUNCTION("""COMPUTED_VALUE"""),"")</f>
        <v/>
      </c>
      <c r="C12762" s="42" t="str">
        <f>IFERROR(__xludf.DUMMYFUNCTION("""COMPUTED_VALUE"""),"")</f>
        <v/>
      </c>
      <c r="D12762" s="42"/>
      <c r="E12762" s="42"/>
      <c r="F12762" s="48" t="str">
        <f>IFERROR(__xludf.DUMMYFUNCTION("""COMPUTED_VALUE"""),"")</f>
        <v/>
      </c>
      <c r="G12762" s="42" t="str">
        <f>IFERROR(__xludf.DUMMYFUNCTION("""COMPUTED_VALUE"""),"")</f>
        <v/>
      </c>
      <c r="H12762" s="42">
        <f t="shared" si="1"/>
        <v>3345</v>
      </c>
    </row>
    <row r="12763" ht="22.5" customHeight="1">
      <c r="B12763" s="42" t="str">
        <f>IFERROR(__xludf.DUMMYFUNCTION("""COMPUTED_VALUE"""),"")</f>
        <v/>
      </c>
      <c r="C12763" s="42" t="str">
        <f>IFERROR(__xludf.DUMMYFUNCTION("""COMPUTED_VALUE"""),"")</f>
        <v/>
      </c>
      <c r="D12763" s="42"/>
      <c r="E12763" s="42"/>
      <c r="F12763" s="48" t="str">
        <f>IFERROR(__xludf.DUMMYFUNCTION("""COMPUTED_VALUE"""),"")</f>
        <v/>
      </c>
      <c r="G12763" s="42" t="str">
        <f>IFERROR(__xludf.DUMMYFUNCTION("""COMPUTED_VALUE"""),"")</f>
        <v/>
      </c>
      <c r="H12763" s="42">
        <f t="shared" si="1"/>
        <v>3345</v>
      </c>
    </row>
    <row r="12764" ht="22.5" customHeight="1">
      <c r="B12764" s="42" t="str">
        <f>IFERROR(__xludf.DUMMYFUNCTION("""COMPUTED_VALUE"""),"")</f>
        <v/>
      </c>
      <c r="C12764" s="42" t="str">
        <f>IFERROR(__xludf.DUMMYFUNCTION("""COMPUTED_VALUE"""),"")</f>
        <v/>
      </c>
      <c r="D12764" s="42"/>
      <c r="E12764" s="42"/>
      <c r="F12764" s="48" t="str">
        <f>IFERROR(__xludf.DUMMYFUNCTION("""COMPUTED_VALUE"""),"")</f>
        <v/>
      </c>
      <c r="G12764" s="42" t="str">
        <f>IFERROR(__xludf.DUMMYFUNCTION("""COMPUTED_VALUE"""),"")</f>
        <v/>
      </c>
      <c r="H12764" s="42">
        <f t="shared" si="1"/>
        <v>3345</v>
      </c>
    </row>
    <row r="12765" ht="22.5" customHeight="1">
      <c r="B12765" s="42" t="str">
        <f>IFERROR(__xludf.DUMMYFUNCTION("""COMPUTED_VALUE"""),"")</f>
        <v/>
      </c>
      <c r="C12765" s="42" t="str">
        <f>IFERROR(__xludf.DUMMYFUNCTION("""COMPUTED_VALUE"""),"")</f>
        <v/>
      </c>
      <c r="D12765" s="42"/>
      <c r="E12765" s="42"/>
      <c r="F12765" s="48" t="str">
        <f>IFERROR(__xludf.DUMMYFUNCTION("""COMPUTED_VALUE"""),"")</f>
        <v/>
      </c>
      <c r="G12765" s="42" t="str">
        <f>IFERROR(__xludf.DUMMYFUNCTION("""COMPUTED_VALUE"""),"")</f>
        <v/>
      </c>
      <c r="H12765" s="42">
        <f t="shared" si="1"/>
        <v>3345</v>
      </c>
    </row>
    <row r="12766" ht="22.5" customHeight="1">
      <c r="B12766" s="42" t="str">
        <f>IFERROR(__xludf.DUMMYFUNCTION("""COMPUTED_VALUE"""),"")</f>
        <v/>
      </c>
      <c r="C12766" s="42" t="str">
        <f>IFERROR(__xludf.DUMMYFUNCTION("""COMPUTED_VALUE"""),"")</f>
        <v/>
      </c>
      <c r="D12766" s="42"/>
      <c r="E12766" s="42"/>
      <c r="F12766" s="48" t="str">
        <f>IFERROR(__xludf.DUMMYFUNCTION("""COMPUTED_VALUE"""),"")</f>
        <v/>
      </c>
      <c r="G12766" s="42" t="str">
        <f>IFERROR(__xludf.DUMMYFUNCTION("""COMPUTED_VALUE"""),"")</f>
        <v/>
      </c>
      <c r="H12766" s="42">
        <f t="shared" si="1"/>
        <v>3345</v>
      </c>
    </row>
    <row r="12767" ht="22.5" customHeight="1">
      <c r="B12767" s="42" t="str">
        <f>IFERROR(__xludf.DUMMYFUNCTION("""COMPUTED_VALUE"""),"")</f>
        <v/>
      </c>
      <c r="C12767" s="42" t="str">
        <f>IFERROR(__xludf.DUMMYFUNCTION("""COMPUTED_VALUE"""),"")</f>
        <v/>
      </c>
      <c r="D12767" s="42"/>
      <c r="E12767" s="42"/>
      <c r="F12767" s="48" t="str">
        <f>IFERROR(__xludf.DUMMYFUNCTION("""COMPUTED_VALUE"""),"")</f>
        <v/>
      </c>
      <c r="G12767" s="42" t="str">
        <f>IFERROR(__xludf.DUMMYFUNCTION("""COMPUTED_VALUE"""),"")</f>
        <v/>
      </c>
      <c r="H12767" s="42">
        <f t="shared" si="1"/>
        <v>3345</v>
      </c>
    </row>
    <row r="12768" ht="22.5" customHeight="1">
      <c r="B12768" s="42" t="str">
        <f>IFERROR(__xludf.DUMMYFUNCTION("""COMPUTED_VALUE"""),"")</f>
        <v/>
      </c>
      <c r="C12768" s="42" t="str">
        <f>IFERROR(__xludf.DUMMYFUNCTION("""COMPUTED_VALUE"""),"")</f>
        <v/>
      </c>
      <c r="D12768" s="42"/>
      <c r="E12768" s="42"/>
      <c r="F12768" s="48" t="str">
        <f>IFERROR(__xludf.DUMMYFUNCTION("""COMPUTED_VALUE"""),"")</f>
        <v/>
      </c>
      <c r="G12768" s="42" t="str">
        <f>IFERROR(__xludf.DUMMYFUNCTION("""COMPUTED_VALUE"""),"")</f>
        <v/>
      </c>
      <c r="H12768" s="42">
        <f t="shared" si="1"/>
        <v>3345</v>
      </c>
    </row>
    <row r="12769" ht="22.5" customHeight="1">
      <c r="B12769" s="42" t="str">
        <f>IFERROR(__xludf.DUMMYFUNCTION("""COMPUTED_VALUE"""),"")</f>
        <v/>
      </c>
      <c r="C12769" s="42" t="str">
        <f>IFERROR(__xludf.DUMMYFUNCTION("""COMPUTED_VALUE"""),"")</f>
        <v/>
      </c>
      <c r="D12769" s="42"/>
      <c r="E12769" s="42"/>
      <c r="F12769" s="48" t="str">
        <f>IFERROR(__xludf.DUMMYFUNCTION("""COMPUTED_VALUE"""),"")</f>
        <v/>
      </c>
      <c r="G12769" s="42" t="str">
        <f>IFERROR(__xludf.DUMMYFUNCTION("""COMPUTED_VALUE"""),"")</f>
        <v/>
      </c>
      <c r="H12769" s="42">
        <f t="shared" si="1"/>
        <v>3345</v>
      </c>
    </row>
    <row r="12770" ht="22.5" customHeight="1">
      <c r="B12770" s="42" t="str">
        <f>IFERROR(__xludf.DUMMYFUNCTION("""COMPUTED_VALUE"""),"")</f>
        <v/>
      </c>
      <c r="C12770" s="42" t="str">
        <f>IFERROR(__xludf.DUMMYFUNCTION("""COMPUTED_VALUE"""),"")</f>
        <v/>
      </c>
      <c r="D12770" s="42"/>
      <c r="E12770" s="42"/>
      <c r="F12770" s="48" t="str">
        <f>IFERROR(__xludf.DUMMYFUNCTION("""COMPUTED_VALUE"""),"")</f>
        <v/>
      </c>
      <c r="G12770" s="42" t="str">
        <f>IFERROR(__xludf.DUMMYFUNCTION("""COMPUTED_VALUE"""),"")</f>
        <v/>
      </c>
      <c r="H12770" s="42">
        <f t="shared" si="1"/>
        <v>3345</v>
      </c>
    </row>
    <row r="12771" ht="22.5" customHeight="1">
      <c r="B12771" s="42" t="str">
        <f>IFERROR(__xludf.DUMMYFUNCTION("""COMPUTED_VALUE"""),"")</f>
        <v/>
      </c>
      <c r="C12771" s="42" t="str">
        <f>IFERROR(__xludf.DUMMYFUNCTION("""COMPUTED_VALUE"""),"")</f>
        <v/>
      </c>
      <c r="D12771" s="42"/>
      <c r="E12771" s="42"/>
      <c r="F12771" s="48" t="str">
        <f>IFERROR(__xludf.DUMMYFUNCTION("""COMPUTED_VALUE"""),"")</f>
        <v/>
      </c>
      <c r="G12771" s="42" t="str">
        <f>IFERROR(__xludf.DUMMYFUNCTION("""COMPUTED_VALUE"""),"")</f>
        <v/>
      </c>
      <c r="H12771" s="42">
        <f t="shared" si="1"/>
        <v>3345</v>
      </c>
    </row>
    <row r="12772" ht="22.5" customHeight="1">
      <c r="B12772" s="42" t="str">
        <f>IFERROR(__xludf.DUMMYFUNCTION("""COMPUTED_VALUE"""),"")</f>
        <v/>
      </c>
      <c r="C12772" s="42" t="str">
        <f>IFERROR(__xludf.DUMMYFUNCTION("""COMPUTED_VALUE"""),"")</f>
        <v/>
      </c>
      <c r="D12772" s="42"/>
      <c r="E12772" s="42"/>
      <c r="F12772" s="48" t="str">
        <f>IFERROR(__xludf.DUMMYFUNCTION("""COMPUTED_VALUE"""),"")</f>
        <v/>
      </c>
      <c r="G12772" s="42" t="str">
        <f>IFERROR(__xludf.DUMMYFUNCTION("""COMPUTED_VALUE"""),"")</f>
        <v/>
      </c>
      <c r="H12772" s="42">
        <f t="shared" si="1"/>
        <v>3345</v>
      </c>
    </row>
    <row r="12773" ht="22.5" customHeight="1">
      <c r="B12773" s="42" t="str">
        <f>IFERROR(__xludf.DUMMYFUNCTION("""COMPUTED_VALUE"""),"")</f>
        <v/>
      </c>
      <c r="C12773" s="42" t="str">
        <f>IFERROR(__xludf.DUMMYFUNCTION("""COMPUTED_VALUE"""),"")</f>
        <v/>
      </c>
      <c r="D12773" s="42"/>
      <c r="E12773" s="42"/>
      <c r="F12773" s="48" t="str">
        <f>IFERROR(__xludf.DUMMYFUNCTION("""COMPUTED_VALUE"""),"")</f>
        <v/>
      </c>
      <c r="G12773" s="42" t="str">
        <f>IFERROR(__xludf.DUMMYFUNCTION("""COMPUTED_VALUE"""),"")</f>
        <v/>
      </c>
      <c r="H12773" s="42">
        <f t="shared" si="1"/>
        <v>3345</v>
      </c>
    </row>
    <row r="12774" ht="22.5" customHeight="1">
      <c r="B12774" s="42" t="str">
        <f>IFERROR(__xludf.DUMMYFUNCTION("""COMPUTED_VALUE"""),"")</f>
        <v/>
      </c>
      <c r="C12774" s="42" t="str">
        <f>IFERROR(__xludf.DUMMYFUNCTION("""COMPUTED_VALUE"""),"")</f>
        <v/>
      </c>
      <c r="D12774" s="42"/>
      <c r="E12774" s="42"/>
      <c r="F12774" s="48" t="str">
        <f>IFERROR(__xludf.DUMMYFUNCTION("""COMPUTED_VALUE"""),"")</f>
        <v/>
      </c>
      <c r="G12774" s="42" t="str">
        <f>IFERROR(__xludf.DUMMYFUNCTION("""COMPUTED_VALUE"""),"")</f>
        <v/>
      </c>
      <c r="H12774" s="42">
        <f t="shared" si="1"/>
        <v>3345</v>
      </c>
    </row>
    <row r="12775" ht="22.5" customHeight="1">
      <c r="B12775" s="42" t="str">
        <f>IFERROR(__xludf.DUMMYFUNCTION("""COMPUTED_VALUE"""),"")</f>
        <v/>
      </c>
      <c r="C12775" s="42" t="str">
        <f>IFERROR(__xludf.DUMMYFUNCTION("""COMPUTED_VALUE"""),"")</f>
        <v/>
      </c>
      <c r="D12775" s="42"/>
      <c r="E12775" s="42"/>
      <c r="F12775" s="48" t="str">
        <f>IFERROR(__xludf.DUMMYFUNCTION("""COMPUTED_VALUE"""),"")</f>
        <v/>
      </c>
      <c r="G12775" s="42" t="str">
        <f>IFERROR(__xludf.DUMMYFUNCTION("""COMPUTED_VALUE"""),"")</f>
        <v/>
      </c>
      <c r="H12775" s="42">
        <f t="shared" si="1"/>
        <v>3345</v>
      </c>
    </row>
    <row r="12776" ht="22.5" customHeight="1">
      <c r="B12776" s="42" t="str">
        <f>IFERROR(__xludf.DUMMYFUNCTION("""COMPUTED_VALUE"""),"")</f>
        <v/>
      </c>
      <c r="C12776" s="42" t="str">
        <f>IFERROR(__xludf.DUMMYFUNCTION("""COMPUTED_VALUE"""),"")</f>
        <v/>
      </c>
      <c r="D12776" s="42"/>
      <c r="E12776" s="42"/>
      <c r="F12776" s="48" t="str">
        <f>IFERROR(__xludf.DUMMYFUNCTION("""COMPUTED_VALUE"""),"")</f>
        <v/>
      </c>
      <c r="G12776" s="42" t="str">
        <f>IFERROR(__xludf.DUMMYFUNCTION("""COMPUTED_VALUE"""),"")</f>
        <v/>
      </c>
      <c r="H12776" s="42">
        <f t="shared" si="1"/>
        <v>3345</v>
      </c>
    </row>
    <row r="12777" ht="22.5" customHeight="1">
      <c r="B12777" s="42" t="str">
        <f>IFERROR(__xludf.DUMMYFUNCTION("""COMPUTED_VALUE"""),"")</f>
        <v/>
      </c>
      <c r="C12777" s="42" t="str">
        <f>IFERROR(__xludf.DUMMYFUNCTION("""COMPUTED_VALUE"""),"")</f>
        <v/>
      </c>
      <c r="D12777" s="42"/>
      <c r="E12777" s="42"/>
      <c r="F12777" s="48" t="str">
        <f>IFERROR(__xludf.DUMMYFUNCTION("""COMPUTED_VALUE"""),"")</f>
        <v/>
      </c>
      <c r="G12777" s="42" t="str">
        <f>IFERROR(__xludf.DUMMYFUNCTION("""COMPUTED_VALUE"""),"")</f>
        <v/>
      </c>
      <c r="H12777" s="42">
        <f t="shared" si="1"/>
        <v>3345</v>
      </c>
    </row>
    <row r="12778" ht="22.5" customHeight="1">
      <c r="B12778" s="42" t="str">
        <f>IFERROR(__xludf.DUMMYFUNCTION("""COMPUTED_VALUE"""),"")</f>
        <v/>
      </c>
      <c r="C12778" s="42" t="str">
        <f>IFERROR(__xludf.DUMMYFUNCTION("""COMPUTED_VALUE"""),"")</f>
        <v/>
      </c>
      <c r="D12778" s="42"/>
      <c r="E12778" s="42"/>
      <c r="F12778" s="48" t="str">
        <f>IFERROR(__xludf.DUMMYFUNCTION("""COMPUTED_VALUE"""),"")</f>
        <v/>
      </c>
      <c r="G12778" s="42" t="str">
        <f>IFERROR(__xludf.DUMMYFUNCTION("""COMPUTED_VALUE"""),"")</f>
        <v/>
      </c>
      <c r="H12778" s="42">
        <f t="shared" si="1"/>
        <v>3345</v>
      </c>
    </row>
    <row r="12779" ht="22.5" customHeight="1">
      <c r="B12779" s="42" t="str">
        <f>IFERROR(__xludf.DUMMYFUNCTION("""COMPUTED_VALUE"""),"")</f>
        <v/>
      </c>
      <c r="C12779" s="42" t="str">
        <f>IFERROR(__xludf.DUMMYFUNCTION("""COMPUTED_VALUE"""),"")</f>
        <v/>
      </c>
      <c r="D12779" s="42"/>
      <c r="E12779" s="42"/>
      <c r="F12779" s="48" t="str">
        <f>IFERROR(__xludf.DUMMYFUNCTION("""COMPUTED_VALUE"""),"")</f>
        <v/>
      </c>
      <c r="G12779" s="42" t="str">
        <f>IFERROR(__xludf.DUMMYFUNCTION("""COMPUTED_VALUE"""),"")</f>
        <v/>
      </c>
      <c r="H12779" s="42">
        <f t="shared" si="1"/>
        <v>3345</v>
      </c>
    </row>
    <row r="12780" ht="22.5" customHeight="1">
      <c r="B12780" s="42" t="str">
        <f>IFERROR(__xludf.DUMMYFUNCTION("""COMPUTED_VALUE"""),"")</f>
        <v/>
      </c>
      <c r="C12780" s="42" t="str">
        <f>IFERROR(__xludf.DUMMYFUNCTION("""COMPUTED_VALUE"""),"")</f>
        <v/>
      </c>
      <c r="D12780" s="42"/>
      <c r="E12780" s="42"/>
      <c r="F12780" s="48" t="str">
        <f>IFERROR(__xludf.DUMMYFUNCTION("""COMPUTED_VALUE"""),"")</f>
        <v/>
      </c>
      <c r="G12780" s="42" t="str">
        <f>IFERROR(__xludf.DUMMYFUNCTION("""COMPUTED_VALUE"""),"")</f>
        <v/>
      </c>
      <c r="H12780" s="42">
        <f t="shared" si="1"/>
        <v>3345</v>
      </c>
    </row>
    <row r="12781" ht="22.5" customHeight="1">
      <c r="B12781" s="42" t="str">
        <f>IFERROR(__xludf.DUMMYFUNCTION("""COMPUTED_VALUE"""),"")</f>
        <v/>
      </c>
      <c r="C12781" s="42" t="str">
        <f>IFERROR(__xludf.DUMMYFUNCTION("""COMPUTED_VALUE"""),"")</f>
        <v/>
      </c>
      <c r="D12781" s="42"/>
      <c r="E12781" s="42"/>
      <c r="F12781" s="48" t="str">
        <f>IFERROR(__xludf.DUMMYFUNCTION("""COMPUTED_VALUE"""),"")</f>
        <v/>
      </c>
      <c r="G12781" s="42" t="str">
        <f>IFERROR(__xludf.DUMMYFUNCTION("""COMPUTED_VALUE"""),"")</f>
        <v/>
      </c>
      <c r="H12781" s="42">
        <f t="shared" si="1"/>
        <v>3345</v>
      </c>
    </row>
    <row r="12782" ht="22.5" customHeight="1">
      <c r="B12782" s="42" t="str">
        <f>IFERROR(__xludf.DUMMYFUNCTION("""COMPUTED_VALUE"""),"")</f>
        <v/>
      </c>
      <c r="C12782" s="42" t="str">
        <f>IFERROR(__xludf.DUMMYFUNCTION("""COMPUTED_VALUE"""),"")</f>
        <v/>
      </c>
      <c r="D12782" s="42"/>
      <c r="E12782" s="42"/>
      <c r="F12782" s="48" t="str">
        <f>IFERROR(__xludf.DUMMYFUNCTION("""COMPUTED_VALUE"""),"")</f>
        <v/>
      </c>
      <c r="G12782" s="42" t="str">
        <f>IFERROR(__xludf.DUMMYFUNCTION("""COMPUTED_VALUE"""),"")</f>
        <v/>
      </c>
      <c r="H12782" s="42">
        <f t="shared" si="1"/>
        <v>3345</v>
      </c>
    </row>
    <row r="12783" ht="22.5" customHeight="1">
      <c r="B12783" s="42" t="str">
        <f>IFERROR(__xludf.DUMMYFUNCTION("""COMPUTED_VALUE"""),"")</f>
        <v/>
      </c>
      <c r="C12783" s="42" t="str">
        <f>IFERROR(__xludf.DUMMYFUNCTION("""COMPUTED_VALUE"""),"")</f>
        <v/>
      </c>
      <c r="D12783" s="42"/>
      <c r="E12783" s="42"/>
      <c r="F12783" s="48" t="str">
        <f>IFERROR(__xludf.DUMMYFUNCTION("""COMPUTED_VALUE"""),"")</f>
        <v/>
      </c>
      <c r="G12783" s="42" t="str">
        <f>IFERROR(__xludf.DUMMYFUNCTION("""COMPUTED_VALUE"""),"")</f>
        <v/>
      </c>
      <c r="H12783" s="42">
        <f t="shared" si="1"/>
        <v>3345</v>
      </c>
    </row>
    <row r="12784" ht="22.5" customHeight="1">
      <c r="B12784" s="42" t="str">
        <f>IFERROR(__xludf.DUMMYFUNCTION("""COMPUTED_VALUE"""),"")</f>
        <v/>
      </c>
      <c r="C12784" s="42" t="str">
        <f>IFERROR(__xludf.DUMMYFUNCTION("""COMPUTED_VALUE"""),"")</f>
        <v/>
      </c>
      <c r="D12784" s="42"/>
      <c r="E12784" s="42"/>
      <c r="F12784" s="48" t="str">
        <f>IFERROR(__xludf.DUMMYFUNCTION("""COMPUTED_VALUE"""),"")</f>
        <v/>
      </c>
      <c r="G12784" s="42" t="str">
        <f>IFERROR(__xludf.DUMMYFUNCTION("""COMPUTED_VALUE"""),"")</f>
        <v/>
      </c>
      <c r="H12784" s="42">
        <f t="shared" si="1"/>
        <v>3345</v>
      </c>
    </row>
    <row r="12785" ht="22.5" customHeight="1">
      <c r="B12785" s="42" t="str">
        <f>IFERROR(__xludf.DUMMYFUNCTION("""COMPUTED_VALUE"""),"")</f>
        <v/>
      </c>
      <c r="C12785" s="42" t="str">
        <f>IFERROR(__xludf.DUMMYFUNCTION("""COMPUTED_VALUE"""),"")</f>
        <v/>
      </c>
      <c r="D12785" s="42"/>
      <c r="E12785" s="42"/>
      <c r="F12785" s="48" t="str">
        <f>IFERROR(__xludf.DUMMYFUNCTION("""COMPUTED_VALUE"""),"")</f>
        <v/>
      </c>
      <c r="G12785" s="42" t="str">
        <f>IFERROR(__xludf.DUMMYFUNCTION("""COMPUTED_VALUE"""),"")</f>
        <v/>
      </c>
      <c r="H12785" s="42">
        <f t="shared" si="1"/>
        <v>3345</v>
      </c>
    </row>
    <row r="12786" ht="22.5" customHeight="1">
      <c r="B12786" s="42" t="str">
        <f>IFERROR(__xludf.DUMMYFUNCTION("""COMPUTED_VALUE"""),"")</f>
        <v/>
      </c>
      <c r="C12786" s="42" t="str">
        <f>IFERROR(__xludf.DUMMYFUNCTION("""COMPUTED_VALUE"""),"")</f>
        <v/>
      </c>
      <c r="D12786" s="42"/>
      <c r="E12786" s="42"/>
      <c r="F12786" s="48" t="str">
        <f>IFERROR(__xludf.DUMMYFUNCTION("""COMPUTED_VALUE"""),"")</f>
        <v/>
      </c>
      <c r="G12786" s="42" t="str">
        <f>IFERROR(__xludf.DUMMYFUNCTION("""COMPUTED_VALUE"""),"")</f>
        <v/>
      </c>
      <c r="H12786" s="42">
        <f t="shared" si="1"/>
        <v>3345</v>
      </c>
    </row>
    <row r="12787" ht="22.5" customHeight="1">
      <c r="B12787" s="42" t="str">
        <f>IFERROR(__xludf.DUMMYFUNCTION("""COMPUTED_VALUE"""),"")</f>
        <v/>
      </c>
      <c r="C12787" s="42" t="str">
        <f>IFERROR(__xludf.DUMMYFUNCTION("""COMPUTED_VALUE"""),"")</f>
        <v/>
      </c>
      <c r="D12787" s="42"/>
      <c r="E12787" s="42"/>
      <c r="F12787" s="48" t="str">
        <f>IFERROR(__xludf.DUMMYFUNCTION("""COMPUTED_VALUE"""),"")</f>
        <v/>
      </c>
      <c r="G12787" s="42" t="str">
        <f>IFERROR(__xludf.DUMMYFUNCTION("""COMPUTED_VALUE"""),"")</f>
        <v/>
      </c>
      <c r="H12787" s="42">
        <f t="shared" si="1"/>
        <v>3345</v>
      </c>
    </row>
    <row r="12788" ht="22.5" customHeight="1">
      <c r="B12788" s="42" t="str">
        <f>IFERROR(__xludf.DUMMYFUNCTION("""COMPUTED_VALUE"""),"")</f>
        <v/>
      </c>
      <c r="C12788" s="42" t="str">
        <f>IFERROR(__xludf.DUMMYFUNCTION("""COMPUTED_VALUE"""),"")</f>
        <v/>
      </c>
      <c r="D12788" s="42"/>
      <c r="E12788" s="42"/>
      <c r="F12788" s="48" t="str">
        <f>IFERROR(__xludf.DUMMYFUNCTION("""COMPUTED_VALUE"""),"")</f>
        <v/>
      </c>
      <c r="G12788" s="42" t="str">
        <f>IFERROR(__xludf.DUMMYFUNCTION("""COMPUTED_VALUE"""),"")</f>
        <v/>
      </c>
      <c r="H12788" s="42">
        <f t="shared" si="1"/>
        <v>3345</v>
      </c>
    </row>
    <row r="12789" ht="22.5" customHeight="1">
      <c r="B12789" s="42" t="str">
        <f>IFERROR(__xludf.DUMMYFUNCTION("""COMPUTED_VALUE"""),"")</f>
        <v/>
      </c>
      <c r="C12789" s="42" t="str">
        <f>IFERROR(__xludf.DUMMYFUNCTION("""COMPUTED_VALUE"""),"")</f>
        <v/>
      </c>
      <c r="D12789" s="42"/>
      <c r="E12789" s="42"/>
      <c r="F12789" s="48" t="str">
        <f>IFERROR(__xludf.DUMMYFUNCTION("""COMPUTED_VALUE"""),"")</f>
        <v/>
      </c>
      <c r="G12789" s="42" t="str">
        <f>IFERROR(__xludf.DUMMYFUNCTION("""COMPUTED_VALUE"""),"")</f>
        <v/>
      </c>
      <c r="H12789" s="42">
        <f t="shared" si="1"/>
        <v>3345</v>
      </c>
    </row>
    <row r="12790" ht="22.5" customHeight="1">
      <c r="B12790" s="42" t="str">
        <f>IFERROR(__xludf.DUMMYFUNCTION("""COMPUTED_VALUE"""),"")</f>
        <v/>
      </c>
      <c r="C12790" s="42" t="str">
        <f>IFERROR(__xludf.DUMMYFUNCTION("""COMPUTED_VALUE"""),"")</f>
        <v/>
      </c>
      <c r="D12790" s="42"/>
      <c r="E12790" s="42"/>
      <c r="F12790" s="48" t="str">
        <f>IFERROR(__xludf.DUMMYFUNCTION("""COMPUTED_VALUE"""),"")</f>
        <v/>
      </c>
      <c r="G12790" s="42" t="str">
        <f>IFERROR(__xludf.DUMMYFUNCTION("""COMPUTED_VALUE"""),"")</f>
        <v/>
      </c>
      <c r="H12790" s="42">
        <f t="shared" si="1"/>
        <v>3345</v>
      </c>
    </row>
    <row r="12791" ht="22.5" customHeight="1">
      <c r="B12791" s="42" t="str">
        <f>IFERROR(__xludf.DUMMYFUNCTION("""COMPUTED_VALUE"""),"")</f>
        <v/>
      </c>
      <c r="C12791" s="42" t="str">
        <f>IFERROR(__xludf.DUMMYFUNCTION("""COMPUTED_VALUE"""),"")</f>
        <v/>
      </c>
      <c r="D12791" s="42"/>
      <c r="E12791" s="42"/>
      <c r="F12791" s="48" t="str">
        <f>IFERROR(__xludf.DUMMYFUNCTION("""COMPUTED_VALUE"""),"")</f>
        <v/>
      </c>
      <c r="G12791" s="42" t="str">
        <f>IFERROR(__xludf.DUMMYFUNCTION("""COMPUTED_VALUE"""),"")</f>
        <v/>
      </c>
      <c r="H12791" s="42">
        <f t="shared" si="1"/>
        <v>3345</v>
      </c>
    </row>
    <row r="12792" ht="22.5" customHeight="1">
      <c r="B12792" s="42" t="str">
        <f>IFERROR(__xludf.DUMMYFUNCTION("""COMPUTED_VALUE"""),"")</f>
        <v/>
      </c>
      <c r="C12792" s="42" t="str">
        <f>IFERROR(__xludf.DUMMYFUNCTION("""COMPUTED_VALUE"""),"")</f>
        <v/>
      </c>
      <c r="D12792" s="42"/>
      <c r="E12792" s="42"/>
      <c r="F12792" s="48" t="str">
        <f>IFERROR(__xludf.DUMMYFUNCTION("""COMPUTED_VALUE"""),"")</f>
        <v/>
      </c>
      <c r="G12792" s="42" t="str">
        <f>IFERROR(__xludf.DUMMYFUNCTION("""COMPUTED_VALUE"""),"")</f>
        <v/>
      </c>
      <c r="H12792" s="42">
        <f t="shared" si="1"/>
        <v>3345</v>
      </c>
    </row>
    <row r="12793" ht="22.5" customHeight="1">
      <c r="B12793" s="42" t="str">
        <f>IFERROR(__xludf.DUMMYFUNCTION("""COMPUTED_VALUE"""),"")</f>
        <v/>
      </c>
      <c r="C12793" s="42" t="str">
        <f>IFERROR(__xludf.DUMMYFUNCTION("""COMPUTED_VALUE"""),"")</f>
        <v/>
      </c>
      <c r="D12793" s="42"/>
      <c r="E12793" s="42"/>
      <c r="F12793" s="48" t="str">
        <f>IFERROR(__xludf.DUMMYFUNCTION("""COMPUTED_VALUE"""),"")</f>
        <v/>
      </c>
      <c r="G12793" s="42" t="str">
        <f>IFERROR(__xludf.DUMMYFUNCTION("""COMPUTED_VALUE"""),"")</f>
        <v/>
      </c>
      <c r="H12793" s="42">
        <f t="shared" si="1"/>
        <v>3345</v>
      </c>
    </row>
    <row r="12794" ht="22.5" customHeight="1">
      <c r="B12794" s="42" t="str">
        <f>IFERROR(__xludf.DUMMYFUNCTION("""COMPUTED_VALUE"""),"")</f>
        <v/>
      </c>
      <c r="C12794" s="42" t="str">
        <f>IFERROR(__xludf.DUMMYFUNCTION("""COMPUTED_VALUE"""),"")</f>
        <v/>
      </c>
      <c r="D12794" s="42"/>
      <c r="E12794" s="42"/>
      <c r="F12794" s="48" t="str">
        <f>IFERROR(__xludf.DUMMYFUNCTION("""COMPUTED_VALUE"""),"")</f>
        <v/>
      </c>
      <c r="G12794" s="42" t="str">
        <f>IFERROR(__xludf.DUMMYFUNCTION("""COMPUTED_VALUE"""),"")</f>
        <v/>
      </c>
      <c r="H12794" s="42">
        <f t="shared" si="1"/>
        <v>3345</v>
      </c>
    </row>
    <row r="12795" ht="22.5" customHeight="1">
      <c r="B12795" s="42" t="str">
        <f>IFERROR(__xludf.DUMMYFUNCTION("""COMPUTED_VALUE"""),"")</f>
        <v/>
      </c>
      <c r="C12795" s="42" t="str">
        <f>IFERROR(__xludf.DUMMYFUNCTION("""COMPUTED_VALUE"""),"")</f>
        <v/>
      </c>
      <c r="D12795" s="42"/>
      <c r="E12795" s="42"/>
      <c r="F12795" s="48" t="str">
        <f>IFERROR(__xludf.DUMMYFUNCTION("""COMPUTED_VALUE"""),"")</f>
        <v/>
      </c>
      <c r="G12795" s="42" t="str">
        <f>IFERROR(__xludf.DUMMYFUNCTION("""COMPUTED_VALUE"""),"")</f>
        <v/>
      </c>
      <c r="H12795" s="42">
        <f t="shared" si="1"/>
        <v>3345</v>
      </c>
    </row>
    <row r="12796" ht="22.5" customHeight="1">
      <c r="B12796" s="42" t="str">
        <f>IFERROR(__xludf.DUMMYFUNCTION("""COMPUTED_VALUE"""),"")</f>
        <v/>
      </c>
      <c r="C12796" s="42" t="str">
        <f>IFERROR(__xludf.DUMMYFUNCTION("""COMPUTED_VALUE"""),"")</f>
        <v/>
      </c>
      <c r="D12796" s="42"/>
      <c r="E12796" s="42"/>
      <c r="F12796" s="48" t="str">
        <f>IFERROR(__xludf.DUMMYFUNCTION("""COMPUTED_VALUE"""),"")</f>
        <v/>
      </c>
      <c r="G12796" s="42" t="str">
        <f>IFERROR(__xludf.DUMMYFUNCTION("""COMPUTED_VALUE"""),"")</f>
        <v/>
      </c>
      <c r="H12796" s="42">
        <f t="shared" si="1"/>
        <v>3345</v>
      </c>
    </row>
    <row r="12797" ht="22.5" customHeight="1">
      <c r="B12797" s="42" t="str">
        <f>IFERROR(__xludf.DUMMYFUNCTION("""COMPUTED_VALUE"""),"")</f>
        <v/>
      </c>
      <c r="C12797" s="42" t="str">
        <f>IFERROR(__xludf.DUMMYFUNCTION("""COMPUTED_VALUE"""),"")</f>
        <v/>
      </c>
      <c r="D12797" s="42"/>
      <c r="E12797" s="42"/>
      <c r="F12797" s="48" t="str">
        <f>IFERROR(__xludf.DUMMYFUNCTION("""COMPUTED_VALUE"""),"")</f>
        <v/>
      </c>
      <c r="G12797" s="42" t="str">
        <f>IFERROR(__xludf.DUMMYFUNCTION("""COMPUTED_VALUE"""),"")</f>
        <v/>
      </c>
      <c r="H12797" s="42">
        <f t="shared" si="1"/>
        <v>3345</v>
      </c>
    </row>
    <row r="12798" ht="22.5" customHeight="1">
      <c r="B12798" s="42" t="str">
        <f>IFERROR(__xludf.DUMMYFUNCTION("""COMPUTED_VALUE"""),"")</f>
        <v/>
      </c>
      <c r="C12798" s="42" t="str">
        <f>IFERROR(__xludf.DUMMYFUNCTION("""COMPUTED_VALUE"""),"")</f>
        <v/>
      </c>
      <c r="D12798" s="42"/>
      <c r="E12798" s="42"/>
      <c r="F12798" s="48" t="str">
        <f>IFERROR(__xludf.DUMMYFUNCTION("""COMPUTED_VALUE"""),"")</f>
        <v/>
      </c>
      <c r="G12798" s="42" t="str">
        <f>IFERROR(__xludf.DUMMYFUNCTION("""COMPUTED_VALUE"""),"")</f>
        <v/>
      </c>
      <c r="H12798" s="42">
        <f t="shared" si="1"/>
        <v>3345</v>
      </c>
    </row>
    <row r="12799" ht="22.5" customHeight="1">
      <c r="B12799" s="42" t="str">
        <f>IFERROR(__xludf.DUMMYFUNCTION("""COMPUTED_VALUE"""),"")</f>
        <v/>
      </c>
      <c r="C12799" s="42" t="str">
        <f>IFERROR(__xludf.DUMMYFUNCTION("""COMPUTED_VALUE"""),"")</f>
        <v/>
      </c>
      <c r="D12799" s="42"/>
      <c r="E12799" s="42"/>
      <c r="F12799" s="48" t="str">
        <f>IFERROR(__xludf.DUMMYFUNCTION("""COMPUTED_VALUE"""),"")</f>
        <v/>
      </c>
      <c r="G12799" s="42" t="str">
        <f>IFERROR(__xludf.DUMMYFUNCTION("""COMPUTED_VALUE"""),"")</f>
        <v/>
      </c>
      <c r="H12799" s="42">
        <f t="shared" si="1"/>
        <v>3345</v>
      </c>
    </row>
    <row r="12800" ht="22.5" customHeight="1">
      <c r="B12800" s="42" t="str">
        <f>IFERROR(__xludf.DUMMYFUNCTION("""COMPUTED_VALUE"""),"")</f>
        <v/>
      </c>
      <c r="C12800" s="42" t="str">
        <f>IFERROR(__xludf.DUMMYFUNCTION("""COMPUTED_VALUE"""),"")</f>
        <v/>
      </c>
      <c r="D12800" s="42"/>
      <c r="E12800" s="42"/>
      <c r="F12800" s="48" t="str">
        <f>IFERROR(__xludf.DUMMYFUNCTION("""COMPUTED_VALUE"""),"")</f>
        <v/>
      </c>
      <c r="G12800" s="42" t="str">
        <f>IFERROR(__xludf.DUMMYFUNCTION("""COMPUTED_VALUE"""),"")</f>
        <v/>
      </c>
      <c r="H12800" s="42">
        <f t="shared" si="1"/>
        <v>3345</v>
      </c>
    </row>
    <row r="12801" ht="22.5" customHeight="1">
      <c r="B12801" s="42" t="str">
        <f>IFERROR(__xludf.DUMMYFUNCTION("""COMPUTED_VALUE"""),"")</f>
        <v/>
      </c>
      <c r="C12801" s="42" t="str">
        <f>IFERROR(__xludf.DUMMYFUNCTION("""COMPUTED_VALUE"""),"")</f>
        <v/>
      </c>
      <c r="D12801" s="42"/>
      <c r="E12801" s="42"/>
      <c r="F12801" s="48" t="str">
        <f>IFERROR(__xludf.DUMMYFUNCTION("""COMPUTED_VALUE"""),"")</f>
        <v/>
      </c>
      <c r="G12801" s="42" t="str">
        <f>IFERROR(__xludf.DUMMYFUNCTION("""COMPUTED_VALUE"""),"")</f>
        <v/>
      </c>
      <c r="H12801" s="42">
        <f t="shared" si="1"/>
        <v>3345</v>
      </c>
    </row>
    <row r="12802" ht="22.5" customHeight="1">
      <c r="B12802" s="42" t="str">
        <f>IFERROR(__xludf.DUMMYFUNCTION("""COMPUTED_VALUE"""),"")</f>
        <v/>
      </c>
      <c r="C12802" s="42" t="str">
        <f>IFERROR(__xludf.DUMMYFUNCTION("""COMPUTED_VALUE"""),"")</f>
        <v/>
      </c>
      <c r="D12802" s="42"/>
      <c r="E12802" s="42"/>
      <c r="F12802" s="48" t="str">
        <f>IFERROR(__xludf.DUMMYFUNCTION("""COMPUTED_VALUE"""),"")</f>
        <v/>
      </c>
      <c r="G12802" s="42" t="str">
        <f>IFERROR(__xludf.DUMMYFUNCTION("""COMPUTED_VALUE"""),"")</f>
        <v/>
      </c>
      <c r="H12802" s="42">
        <f t="shared" si="1"/>
        <v>3345</v>
      </c>
    </row>
    <row r="12803" ht="22.5" customHeight="1">
      <c r="B12803" s="42" t="str">
        <f>IFERROR(__xludf.DUMMYFUNCTION("""COMPUTED_VALUE"""),"")</f>
        <v/>
      </c>
      <c r="C12803" s="42" t="str">
        <f>IFERROR(__xludf.DUMMYFUNCTION("""COMPUTED_VALUE"""),"")</f>
        <v/>
      </c>
      <c r="D12803" s="42"/>
      <c r="E12803" s="42"/>
      <c r="F12803" s="48" t="str">
        <f>IFERROR(__xludf.DUMMYFUNCTION("""COMPUTED_VALUE"""),"")</f>
        <v/>
      </c>
      <c r="G12803" s="42" t="str">
        <f>IFERROR(__xludf.DUMMYFUNCTION("""COMPUTED_VALUE"""),"")</f>
        <v/>
      </c>
      <c r="H12803" s="42">
        <f t="shared" si="1"/>
        <v>3345</v>
      </c>
    </row>
    <row r="12804" ht="22.5" customHeight="1">
      <c r="B12804" s="42" t="str">
        <f>IFERROR(__xludf.DUMMYFUNCTION("""COMPUTED_VALUE"""),"")</f>
        <v/>
      </c>
      <c r="C12804" s="42" t="str">
        <f>IFERROR(__xludf.DUMMYFUNCTION("""COMPUTED_VALUE"""),"")</f>
        <v/>
      </c>
      <c r="D12804" s="42"/>
      <c r="E12804" s="42"/>
      <c r="F12804" s="48" t="str">
        <f>IFERROR(__xludf.DUMMYFUNCTION("""COMPUTED_VALUE"""),"")</f>
        <v/>
      </c>
      <c r="G12804" s="42" t="str">
        <f>IFERROR(__xludf.DUMMYFUNCTION("""COMPUTED_VALUE"""),"")</f>
        <v/>
      </c>
      <c r="H12804" s="42">
        <f t="shared" si="1"/>
        <v>3345</v>
      </c>
    </row>
    <row r="12805" ht="22.5" customHeight="1">
      <c r="B12805" s="42" t="str">
        <f>IFERROR(__xludf.DUMMYFUNCTION("""COMPUTED_VALUE"""),"")</f>
        <v/>
      </c>
      <c r="C12805" s="42" t="str">
        <f>IFERROR(__xludf.DUMMYFUNCTION("""COMPUTED_VALUE"""),"")</f>
        <v/>
      </c>
      <c r="D12805" s="42"/>
      <c r="E12805" s="42"/>
      <c r="F12805" s="48" t="str">
        <f>IFERROR(__xludf.DUMMYFUNCTION("""COMPUTED_VALUE"""),"")</f>
        <v/>
      </c>
      <c r="G12805" s="42" t="str">
        <f>IFERROR(__xludf.DUMMYFUNCTION("""COMPUTED_VALUE"""),"")</f>
        <v/>
      </c>
      <c r="H12805" s="42">
        <f t="shared" si="1"/>
        <v>3345</v>
      </c>
    </row>
    <row r="12806" ht="22.5" customHeight="1">
      <c r="B12806" s="42" t="str">
        <f>IFERROR(__xludf.DUMMYFUNCTION("""COMPUTED_VALUE"""),"")</f>
        <v/>
      </c>
      <c r="C12806" s="42" t="str">
        <f>IFERROR(__xludf.DUMMYFUNCTION("""COMPUTED_VALUE"""),"")</f>
        <v/>
      </c>
      <c r="D12806" s="42"/>
      <c r="E12806" s="42"/>
      <c r="F12806" s="48" t="str">
        <f>IFERROR(__xludf.DUMMYFUNCTION("""COMPUTED_VALUE"""),"")</f>
        <v/>
      </c>
      <c r="G12806" s="42" t="str">
        <f>IFERROR(__xludf.DUMMYFUNCTION("""COMPUTED_VALUE"""),"")</f>
        <v/>
      </c>
      <c r="H12806" s="42">
        <f t="shared" si="1"/>
        <v>3345</v>
      </c>
    </row>
    <row r="12807" ht="22.5" customHeight="1">
      <c r="B12807" s="42" t="str">
        <f>IFERROR(__xludf.DUMMYFUNCTION("""COMPUTED_VALUE"""),"")</f>
        <v/>
      </c>
      <c r="C12807" s="42" t="str">
        <f>IFERROR(__xludf.DUMMYFUNCTION("""COMPUTED_VALUE"""),"")</f>
        <v/>
      </c>
      <c r="D12807" s="42"/>
      <c r="E12807" s="42"/>
      <c r="F12807" s="48" t="str">
        <f>IFERROR(__xludf.DUMMYFUNCTION("""COMPUTED_VALUE"""),"")</f>
        <v/>
      </c>
      <c r="G12807" s="42" t="str">
        <f>IFERROR(__xludf.DUMMYFUNCTION("""COMPUTED_VALUE"""),"")</f>
        <v/>
      </c>
      <c r="H12807" s="42">
        <f t="shared" si="1"/>
        <v>3345</v>
      </c>
    </row>
    <row r="12808" ht="22.5" customHeight="1">
      <c r="B12808" s="42" t="str">
        <f>IFERROR(__xludf.DUMMYFUNCTION("""COMPUTED_VALUE"""),"")</f>
        <v/>
      </c>
      <c r="C12808" s="42" t="str">
        <f>IFERROR(__xludf.DUMMYFUNCTION("""COMPUTED_VALUE"""),"")</f>
        <v/>
      </c>
      <c r="D12808" s="42"/>
      <c r="E12808" s="42"/>
      <c r="F12808" s="48" t="str">
        <f>IFERROR(__xludf.DUMMYFUNCTION("""COMPUTED_VALUE"""),"")</f>
        <v/>
      </c>
      <c r="G12808" s="42" t="str">
        <f>IFERROR(__xludf.DUMMYFUNCTION("""COMPUTED_VALUE"""),"")</f>
        <v/>
      </c>
      <c r="H12808" s="42">
        <f t="shared" si="1"/>
        <v>3345</v>
      </c>
    </row>
    <row r="12809" ht="22.5" customHeight="1">
      <c r="B12809" s="42" t="str">
        <f>IFERROR(__xludf.DUMMYFUNCTION("""COMPUTED_VALUE"""),"")</f>
        <v/>
      </c>
      <c r="C12809" s="42" t="str">
        <f>IFERROR(__xludf.DUMMYFUNCTION("""COMPUTED_VALUE"""),"")</f>
        <v/>
      </c>
      <c r="D12809" s="42"/>
      <c r="E12809" s="42"/>
      <c r="F12809" s="48" t="str">
        <f>IFERROR(__xludf.DUMMYFUNCTION("""COMPUTED_VALUE"""),"")</f>
        <v/>
      </c>
      <c r="G12809" s="42" t="str">
        <f>IFERROR(__xludf.DUMMYFUNCTION("""COMPUTED_VALUE"""),"")</f>
        <v/>
      </c>
      <c r="H12809" s="42">
        <f t="shared" si="1"/>
        <v>3345</v>
      </c>
    </row>
    <row r="12810" ht="22.5" customHeight="1">
      <c r="B12810" s="42" t="str">
        <f>IFERROR(__xludf.DUMMYFUNCTION("""COMPUTED_VALUE"""),"")</f>
        <v/>
      </c>
      <c r="C12810" s="42" t="str">
        <f>IFERROR(__xludf.DUMMYFUNCTION("""COMPUTED_VALUE"""),"")</f>
        <v/>
      </c>
      <c r="D12810" s="42"/>
      <c r="E12810" s="42"/>
      <c r="F12810" s="48" t="str">
        <f>IFERROR(__xludf.DUMMYFUNCTION("""COMPUTED_VALUE"""),"")</f>
        <v/>
      </c>
      <c r="G12810" s="42" t="str">
        <f>IFERROR(__xludf.DUMMYFUNCTION("""COMPUTED_VALUE"""),"")</f>
        <v/>
      </c>
      <c r="H12810" s="42">
        <f t="shared" si="1"/>
        <v>3345</v>
      </c>
    </row>
    <row r="12811" ht="22.5" customHeight="1">
      <c r="B12811" s="42" t="str">
        <f>IFERROR(__xludf.DUMMYFUNCTION("""COMPUTED_VALUE"""),"")</f>
        <v/>
      </c>
      <c r="C12811" s="42" t="str">
        <f>IFERROR(__xludf.DUMMYFUNCTION("""COMPUTED_VALUE"""),"")</f>
        <v/>
      </c>
      <c r="D12811" s="42"/>
      <c r="E12811" s="42"/>
      <c r="F12811" s="48" t="str">
        <f>IFERROR(__xludf.DUMMYFUNCTION("""COMPUTED_VALUE"""),"")</f>
        <v/>
      </c>
      <c r="G12811" s="42" t="str">
        <f>IFERROR(__xludf.DUMMYFUNCTION("""COMPUTED_VALUE"""),"")</f>
        <v/>
      </c>
      <c r="H12811" s="42">
        <f t="shared" si="1"/>
        <v>3345</v>
      </c>
    </row>
    <row r="12812" ht="22.5" customHeight="1">
      <c r="B12812" s="42" t="str">
        <f>IFERROR(__xludf.DUMMYFUNCTION("""COMPUTED_VALUE"""),"")</f>
        <v/>
      </c>
      <c r="C12812" s="42" t="str">
        <f>IFERROR(__xludf.DUMMYFUNCTION("""COMPUTED_VALUE"""),"")</f>
        <v/>
      </c>
      <c r="D12812" s="42"/>
      <c r="E12812" s="42"/>
      <c r="F12812" s="48" t="str">
        <f>IFERROR(__xludf.DUMMYFUNCTION("""COMPUTED_VALUE"""),"")</f>
        <v/>
      </c>
      <c r="G12812" s="42" t="str">
        <f>IFERROR(__xludf.DUMMYFUNCTION("""COMPUTED_VALUE"""),"")</f>
        <v/>
      </c>
      <c r="H12812" s="42">
        <f t="shared" si="1"/>
        <v>3345</v>
      </c>
    </row>
    <row r="12813" ht="22.5" customHeight="1">
      <c r="B12813" s="42" t="str">
        <f>IFERROR(__xludf.DUMMYFUNCTION("""COMPUTED_VALUE"""),"")</f>
        <v/>
      </c>
      <c r="C12813" s="42" t="str">
        <f>IFERROR(__xludf.DUMMYFUNCTION("""COMPUTED_VALUE"""),"")</f>
        <v/>
      </c>
      <c r="D12813" s="42"/>
      <c r="E12813" s="42"/>
      <c r="F12813" s="48" t="str">
        <f>IFERROR(__xludf.DUMMYFUNCTION("""COMPUTED_VALUE"""),"")</f>
        <v/>
      </c>
      <c r="G12813" s="42" t="str">
        <f>IFERROR(__xludf.DUMMYFUNCTION("""COMPUTED_VALUE"""),"")</f>
        <v/>
      </c>
      <c r="H12813" s="42">
        <f t="shared" si="1"/>
        <v>3345</v>
      </c>
    </row>
    <row r="12814" ht="22.5" customHeight="1">
      <c r="B12814" s="42" t="str">
        <f>IFERROR(__xludf.DUMMYFUNCTION("""COMPUTED_VALUE"""),"")</f>
        <v/>
      </c>
      <c r="C12814" s="42" t="str">
        <f>IFERROR(__xludf.DUMMYFUNCTION("""COMPUTED_VALUE"""),"")</f>
        <v/>
      </c>
      <c r="D12814" s="42"/>
      <c r="E12814" s="42"/>
      <c r="F12814" s="48" t="str">
        <f>IFERROR(__xludf.DUMMYFUNCTION("""COMPUTED_VALUE"""),"")</f>
        <v/>
      </c>
      <c r="G12814" s="42" t="str">
        <f>IFERROR(__xludf.DUMMYFUNCTION("""COMPUTED_VALUE"""),"")</f>
        <v/>
      </c>
      <c r="H12814" s="42">
        <f t="shared" si="1"/>
        <v>3345</v>
      </c>
    </row>
    <row r="12815" ht="22.5" customHeight="1">
      <c r="B12815" s="42" t="str">
        <f>IFERROR(__xludf.DUMMYFUNCTION("""COMPUTED_VALUE"""),"")</f>
        <v/>
      </c>
      <c r="C12815" s="42" t="str">
        <f>IFERROR(__xludf.DUMMYFUNCTION("""COMPUTED_VALUE"""),"")</f>
        <v/>
      </c>
      <c r="D12815" s="42"/>
      <c r="E12815" s="42"/>
      <c r="F12815" s="48" t="str">
        <f>IFERROR(__xludf.DUMMYFUNCTION("""COMPUTED_VALUE"""),"")</f>
        <v/>
      </c>
      <c r="G12815" s="42" t="str">
        <f>IFERROR(__xludf.DUMMYFUNCTION("""COMPUTED_VALUE"""),"")</f>
        <v/>
      </c>
      <c r="H12815" s="42">
        <f t="shared" si="1"/>
        <v>3345</v>
      </c>
    </row>
    <row r="12816" ht="22.5" customHeight="1">
      <c r="B12816" s="42" t="str">
        <f>IFERROR(__xludf.DUMMYFUNCTION("""COMPUTED_VALUE"""),"")</f>
        <v/>
      </c>
      <c r="C12816" s="42" t="str">
        <f>IFERROR(__xludf.DUMMYFUNCTION("""COMPUTED_VALUE"""),"")</f>
        <v/>
      </c>
      <c r="D12816" s="42"/>
      <c r="E12816" s="42"/>
      <c r="F12816" s="48" t="str">
        <f>IFERROR(__xludf.DUMMYFUNCTION("""COMPUTED_VALUE"""),"")</f>
        <v/>
      </c>
      <c r="G12816" s="42" t="str">
        <f>IFERROR(__xludf.DUMMYFUNCTION("""COMPUTED_VALUE"""),"")</f>
        <v/>
      </c>
      <c r="H12816" s="42">
        <f t="shared" si="1"/>
        <v>3345</v>
      </c>
    </row>
    <row r="12817" ht="22.5" customHeight="1">
      <c r="B12817" s="42" t="str">
        <f>IFERROR(__xludf.DUMMYFUNCTION("""COMPUTED_VALUE"""),"")</f>
        <v/>
      </c>
      <c r="C12817" s="42" t="str">
        <f>IFERROR(__xludf.DUMMYFUNCTION("""COMPUTED_VALUE"""),"")</f>
        <v/>
      </c>
      <c r="D12817" s="42"/>
      <c r="E12817" s="42"/>
      <c r="F12817" s="48" t="str">
        <f>IFERROR(__xludf.DUMMYFUNCTION("""COMPUTED_VALUE"""),"")</f>
        <v/>
      </c>
      <c r="G12817" s="42" t="str">
        <f>IFERROR(__xludf.DUMMYFUNCTION("""COMPUTED_VALUE"""),"")</f>
        <v/>
      </c>
      <c r="H12817" s="42">
        <f t="shared" si="1"/>
        <v>3345</v>
      </c>
    </row>
    <row r="12818" ht="22.5" customHeight="1">
      <c r="B12818" s="42" t="str">
        <f>IFERROR(__xludf.DUMMYFUNCTION("""COMPUTED_VALUE"""),"")</f>
        <v/>
      </c>
      <c r="C12818" s="42" t="str">
        <f>IFERROR(__xludf.DUMMYFUNCTION("""COMPUTED_VALUE"""),"")</f>
        <v/>
      </c>
      <c r="D12818" s="42"/>
      <c r="E12818" s="42"/>
      <c r="F12818" s="48" t="str">
        <f>IFERROR(__xludf.DUMMYFUNCTION("""COMPUTED_VALUE"""),"")</f>
        <v/>
      </c>
      <c r="G12818" s="42" t="str">
        <f>IFERROR(__xludf.DUMMYFUNCTION("""COMPUTED_VALUE"""),"")</f>
        <v/>
      </c>
      <c r="H12818" s="42">
        <f t="shared" si="1"/>
        <v>3345</v>
      </c>
    </row>
    <row r="12819" ht="22.5" customHeight="1">
      <c r="B12819" s="42" t="str">
        <f>IFERROR(__xludf.DUMMYFUNCTION("""COMPUTED_VALUE"""),"")</f>
        <v/>
      </c>
      <c r="C12819" s="42" t="str">
        <f>IFERROR(__xludf.DUMMYFUNCTION("""COMPUTED_VALUE"""),"")</f>
        <v/>
      </c>
      <c r="D12819" s="42"/>
      <c r="E12819" s="42"/>
      <c r="F12819" s="48" t="str">
        <f>IFERROR(__xludf.DUMMYFUNCTION("""COMPUTED_VALUE"""),"")</f>
        <v/>
      </c>
      <c r="G12819" s="42" t="str">
        <f>IFERROR(__xludf.DUMMYFUNCTION("""COMPUTED_VALUE"""),"")</f>
        <v/>
      </c>
      <c r="H12819" s="42">
        <f t="shared" si="1"/>
        <v>3345</v>
      </c>
    </row>
    <row r="12820" ht="22.5" customHeight="1">
      <c r="B12820" s="42" t="str">
        <f>IFERROR(__xludf.DUMMYFUNCTION("""COMPUTED_VALUE"""),"")</f>
        <v/>
      </c>
      <c r="C12820" s="42" t="str">
        <f>IFERROR(__xludf.DUMMYFUNCTION("""COMPUTED_VALUE"""),"")</f>
        <v/>
      </c>
      <c r="D12820" s="42"/>
      <c r="E12820" s="42"/>
      <c r="F12820" s="48" t="str">
        <f>IFERROR(__xludf.DUMMYFUNCTION("""COMPUTED_VALUE"""),"")</f>
        <v/>
      </c>
      <c r="G12820" s="42" t="str">
        <f>IFERROR(__xludf.DUMMYFUNCTION("""COMPUTED_VALUE"""),"")</f>
        <v/>
      </c>
      <c r="H12820" s="42">
        <f t="shared" si="1"/>
        <v>3345</v>
      </c>
    </row>
    <row r="12821" ht="22.5" customHeight="1">
      <c r="B12821" s="42" t="str">
        <f>IFERROR(__xludf.DUMMYFUNCTION("""COMPUTED_VALUE"""),"")</f>
        <v/>
      </c>
      <c r="C12821" s="42" t="str">
        <f>IFERROR(__xludf.DUMMYFUNCTION("""COMPUTED_VALUE"""),"")</f>
        <v/>
      </c>
      <c r="D12821" s="42"/>
      <c r="E12821" s="42"/>
      <c r="F12821" s="48" t="str">
        <f>IFERROR(__xludf.DUMMYFUNCTION("""COMPUTED_VALUE"""),"")</f>
        <v/>
      </c>
      <c r="G12821" s="42" t="str">
        <f>IFERROR(__xludf.DUMMYFUNCTION("""COMPUTED_VALUE"""),"")</f>
        <v/>
      </c>
      <c r="H12821" s="42">
        <f t="shared" si="1"/>
        <v>3345</v>
      </c>
    </row>
    <row r="12822" ht="22.5" customHeight="1">
      <c r="B12822" s="42" t="str">
        <f>IFERROR(__xludf.DUMMYFUNCTION("""COMPUTED_VALUE"""),"")</f>
        <v/>
      </c>
      <c r="C12822" s="42" t="str">
        <f>IFERROR(__xludf.DUMMYFUNCTION("""COMPUTED_VALUE"""),"")</f>
        <v/>
      </c>
      <c r="D12822" s="42"/>
      <c r="E12822" s="42"/>
      <c r="F12822" s="48" t="str">
        <f>IFERROR(__xludf.DUMMYFUNCTION("""COMPUTED_VALUE"""),"")</f>
        <v/>
      </c>
      <c r="G12822" s="42" t="str">
        <f>IFERROR(__xludf.DUMMYFUNCTION("""COMPUTED_VALUE"""),"")</f>
        <v/>
      </c>
      <c r="H12822" s="42">
        <f t="shared" si="1"/>
        <v>3345</v>
      </c>
    </row>
    <row r="12823" ht="22.5" customHeight="1">
      <c r="B12823" s="42" t="str">
        <f>IFERROR(__xludf.DUMMYFUNCTION("""COMPUTED_VALUE"""),"")</f>
        <v/>
      </c>
      <c r="C12823" s="42" t="str">
        <f>IFERROR(__xludf.DUMMYFUNCTION("""COMPUTED_VALUE"""),"")</f>
        <v/>
      </c>
      <c r="D12823" s="42"/>
      <c r="E12823" s="42"/>
      <c r="F12823" s="48" t="str">
        <f>IFERROR(__xludf.DUMMYFUNCTION("""COMPUTED_VALUE"""),"")</f>
        <v/>
      </c>
      <c r="G12823" s="42" t="str">
        <f>IFERROR(__xludf.DUMMYFUNCTION("""COMPUTED_VALUE"""),"")</f>
        <v/>
      </c>
      <c r="H12823" s="42">
        <f t="shared" si="1"/>
        <v>3345</v>
      </c>
    </row>
    <row r="12824" ht="22.5" customHeight="1">
      <c r="B12824" s="42" t="str">
        <f>IFERROR(__xludf.DUMMYFUNCTION("""COMPUTED_VALUE"""),"")</f>
        <v/>
      </c>
      <c r="C12824" s="42" t="str">
        <f>IFERROR(__xludf.DUMMYFUNCTION("""COMPUTED_VALUE"""),"")</f>
        <v/>
      </c>
      <c r="D12824" s="42"/>
      <c r="E12824" s="42"/>
      <c r="F12824" s="48" t="str">
        <f>IFERROR(__xludf.DUMMYFUNCTION("""COMPUTED_VALUE"""),"")</f>
        <v/>
      </c>
      <c r="G12824" s="42" t="str">
        <f>IFERROR(__xludf.DUMMYFUNCTION("""COMPUTED_VALUE"""),"")</f>
        <v/>
      </c>
      <c r="H12824" s="42">
        <f t="shared" si="1"/>
        <v>3345</v>
      </c>
    </row>
    <row r="12825" ht="22.5" customHeight="1">
      <c r="B12825" s="42" t="str">
        <f>IFERROR(__xludf.DUMMYFUNCTION("""COMPUTED_VALUE"""),"")</f>
        <v/>
      </c>
      <c r="C12825" s="42" t="str">
        <f>IFERROR(__xludf.DUMMYFUNCTION("""COMPUTED_VALUE"""),"")</f>
        <v/>
      </c>
      <c r="D12825" s="42"/>
      <c r="E12825" s="42"/>
      <c r="F12825" s="48" t="str">
        <f>IFERROR(__xludf.DUMMYFUNCTION("""COMPUTED_VALUE"""),"")</f>
        <v/>
      </c>
      <c r="G12825" s="42" t="str">
        <f>IFERROR(__xludf.DUMMYFUNCTION("""COMPUTED_VALUE"""),"")</f>
        <v/>
      </c>
      <c r="H12825" s="42">
        <f t="shared" si="1"/>
        <v>3345</v>
      </c>
    </row>
    <row r="12826" ht="22.5" customHeight="1">
      <c r="B12826" s="42" t="str">
        <f>IFERROR(__xludf.DUMMYFUNCTION("""COMPUTED_VALUE"""),"")</f>
        <v/>
      </c>
      <c r="C12826" s="42" t="str">
        <f>IFERROR(__xludf.DUMMYFUNCTION("""COMPUTED_VALUE"""),"")</f>
        <v/>
      </c>
      <c r="D12826" s="42"/>
      <c r="E12826" s="42"/>
      <c r="F12826" s="48" t="str">
        <f>IFERROR(__xludf.DUMMYFUNCTION("""COMPUTED_VALUE"""),"")</f>
        <v/>
      </c>
      <c r="G12826" s="42" t="str">
        <f>IFERROR(__xludf.DUMMYFUNCTION("""COMPUTED_VALUE"""),"")</f>
        <v/>
      </c>
      <c r="H12826" s="42">
        <f t="shared" si="1"/>
        <v>3345</v>
      </c>
    </row>
    <row r="12827" ht="22.5" customHeight="1">
      <c r="B12827" s="42" t="str">
        <f>IFERROR(__xludf.DUMMYFUNCTION("""COMPUTED_VALUE"""),"")</f>
        <v/>
      </c>
      <c r="C12827" s="42" t="str">
        <f>IFERROR(__xludf.DUMMYFUNCTION("""COMPUTED_VALUE"""),"")</f>
        <v/>
      </c>
      <c r="D12827" s="42"/>
      <c r="E12827" s="42"/>
      <c r="F12827" s="48" t="str">
        <f>IFERROR(__xludf.DUMMYFUNCTION("""COMPUTED_VALUE"""),"")</f>
        <v/>
      </c>
      <c r="G12827" s="42" t="str">
        <f>IFERROR(__xludf.DUMMYFUNCTION("""COMPUTED_VALUE"""),"")</f>
        <v/>
      </c>
      <c r="H12827" s="42">
        <f t="shared" si="1"/>
        <v>3345</v>
      </c>
    </row>
    <row r="12828" ht="22.5" customHeight="1">
      <c r="B12828" s="42" t="str">
        <f>IFERROR(__xludf.DUMMYFUNCTION("""COMPUTED_VALUE"""),"")</f>
        <v/>
      </c>
      <c r="C12828" s="42" t="str">
        <f>IFERROR(__xludf.DUMMYFUNCTION("""COMPUTED_VALUE"""),"")</f>
        <v/>
      </c>
      <c r="D12828" s="42"/>
      <c r="E12828" s="42"/>
      <c r="F12828" s="48" t="str">
        <f>IFERROR(__xludf.DUMMYFUNCTION("""COMPUTED_VALUE"""),"")</f>
        <v/>
      </c>
      <c r="G12828" s="42" t="str">
        <f>IFERROR(__xludf.DUMMYFUNCTION("""COMPUTED_VALUE"""),"")</f>
        <v/>
      </c>
      <c r="H12828" s="42">
        <f t="shared" si="1"/>
        <v>3345</v>
      </c>
    </row>
    <row r="12829" ht="22.5" customHeight="1">
      <c r="B12829" s="42" t="str">
        <f>IFERROR(__xludf.DUMMYFUNCTION("""COMPUTED_VALUE"""),"")</f>
        <v/>
      </c>
      <c r="C12829" s="42" t="str">
        <f>IFERROR(__xludf.DUMMYFUNCTION("""COMPUTED_VALUE"""),"")</f>
        <v/>
      </c>
      <c r="D12829" s="42"/>
      <c r="E12829" s="42"/>
      <c r="F12829" s="48" t="str">
        <f>IFERROR(__xludf.DUMMYFUNCTION("""COMPUTED_VALUE"""),"")</f>
        <v/>
      </c>
      <c r="G12829" s="42" t="str">
        <f>IFERROR(__xludf.DUMMYFUNCTION("""COMPUTED_VALUE"""),"")</f>
        <v/>
      </c>
      <c r="H12829" s="42">
        <f t="shared" si="1"/>
        <v>3345</v>
      </c>
    </row>
    <row r="12830" ht="22.5" customHeight="1">
      <c r="B12830" s="42" t="str">
        <f>IFERROR(__xludf.DUMMYFUNCTION("""COMPUTED_VALUE"""),"")</f>
        <v/>
      </c>
      <c r="C12830" s="42" t="str">
        <f>IFERROR(__xludf.DUMMYFUNCTION("""COMPUTED_VALUE"""),"")</f>
        <v/>
      </c>
      <c r="D12830" s="42"/>
      <c r="E12830" s="42"/>
      <c r="F12830" s="48" t="str">
        <f>IFERROR(__xludf.DUMMYFUNCTION("""COMPUTED_VALUE"""),"")</f>
        <v/>
      </c>
      <c r="G12830" s="42" t="str">
        <f>IFERROR(__xludf.DUMMYFUNCTION("""COMPUTED_VALUE"""),"")</f>
        <v/>
      </c>
      <c r="H12830" s="42">
        <f t="shared" si="1"/>
        <v>3345</v>
      </c>
    </row>
    <row r="12831" ht="22.5" customHeight="1">
      <c r="B12831" s="42" t="str">
        <f>IFERROR(__xludf.DUMMYFUNCTION("""COMPUTED_VALUE"""),"")</f>
        <v/>
      </c>
      <c r="C12831" s="42" t="str">
        <f>IFERROR(__xludf.DUMMYFUNCTION("""COMPUTED_VALUE"""),"")</f>
        <v/>
      </c>
      <c r="D12831" s="42"/>
      <c r="E12831" s="42"/>
      <c r="F12831" s="48" t="str">
        <f>IFERROR(__xludf.DUMMYFUNCTION("""COMPUTED_VALUE"""),"")</f>
        <v/>
      </c>
      <c r="G12831" s="42" t="str">
        <f>IFERROR(__xludf.DUMMYFUNCTION("""COMPUTED_VALUE"""),"")</f>
        <v/>
      </c>
      <c r="H12831" s="42">
        <f t="shared" si="1"/>
        <v>3345</v>
      </c>
    </row>
    <row r="12832" ht="22.5" customHeight="1">
      <c r="B12832" s="42" t="str">
        <f>IFERROR(__xludf.DUMMYFUNCTION("""COMPUTED_VALUE"""),"")</f>
        <v/>
      </c>
      <c r="C12832" s="42" t="str">
        <f>IFERROR(__xludf.DUMMYFUNCTION("""COMPUTED_VALUE"""),"")</f>
        <v/>
      </c>
      <c r="D12832" s="42"/>
      <c r="E12832" s="42"/>
      <c r="F12832" s="48" t="str">
        <f>IFERROR(__xludf.DUMMYFUNCTION("""COMPUTED_VALUE"""),"")</f>
        <v/>
      </c>
      <c r="G12832" s="42" t="str">
        <f>IFERROR(__xludf.DUMMYFUNCTION("""COMPUTED_VALUE"""),"")</f>
        <v/>
      </c>
      <c r="H12832" s="42">
        <f t="shared" si="1"/>
        <v>3345</v>
      </c>
    </row>
    <row r="12833" ht="22.5" customHeight="1">
      <c r="B12833" s="42" t="str">
        <f>IFERROR(__xludf.DUMMYFUNCTION("""COMPUTED_VALUE"""),"")</f>
        <v/>
      </c>
      <c r="C12833" s="42" t="str">
        <f>IFERROR(__xludf.DUMMYFUNCTION("""COMPUTED_VALUE"""),"")</f>
        <v/>
      </c>
      <c r="D12833" s="42"/>
      <c r="E12833" s="42"/>
      <c r="F12833" s="48" t="str">
        <f>IFERROR(__xludf.DUMMYFUNCTION("""COMPUTED_VALUE"""),"")</f>
        <v/>
      </c>
      <c r="G12833" s="42" t="str">
        <f>IFERROR(__xludf.DUMMYFUNCTION("""COMPUTED_VALUE"""),"")</f>
        <v/>
      </c>
      <c r="H12833" s="42">
        <f t="shared" si="1"/>
        <v>3345</v>
      </c>
    </row>
    <row r="12834" ht="22.5" customHeight="1">
      <c r="B12834" s="42" t="str">
        <f>IFERROR(__xludf.DUMMYFUNCTION("""COMPUTED_VALUE"""),"")</f>
        <v/>
      </c>
      <c r="C12834" s="42" t="str">
        <f>IFERROR(__xludf.DUMMYFUNCTION("""COMPUTED_VALUE"""),"")</f>
        <v/>
      </c>
      <c r="D12834" s="42"/>
      <c r="E12834" s="42"/>
      <c r="F12834" s="48" t="str">
        <f>IFERROR(__xludf.DUMMYFUNCTION("""COMPUTED_VALUE"""),"")</f>
        <v/>
      </c>
      <c r="G12834" s="42" t="str">
        <f>IFERROR(__xludf.DUMMYFUNCTION("""COMPUTED_VALUE"""),"")</f>
        <v/>
      </c>
      <c r="H12834" s="42">
        <f t="shared" si="1"/>
        <v>3345</v>
      </c>
    </row>
    <row r="12835" ht="22.5" customHeight="1">
      <c r="B12835" s="42" t="str">
        <f>IFERROR(__xludf.DUMMYFUNCTION("""COMPUTED_VALUE"""),"")</f>
        <v/>
      </c>
      <c r="C12835" s="42" t="str">
        <f>IFERROR(__xludf.DUMMYFUNCTION("""COMPUTED_VALUE"""),"")</f>
        <v/>
      </c>
      <c r="D12835" s="42"/>
      <c r="E12835" s="42"/>
      <c r="F12835" s="48" t="str">
        <f>IFERROR(__xludf.DUMMYFUNCTION("""COMPUTED_VALUE"""),"")</f>
        <v/>
      </c>
      <c r="G12835" s="42" t="str">
        <f>IFERROR(__xludf.DUMMYFUNCTION("""COMPUTED_VALUE"""),"")</f>
        <v/>
      </c>
      <c r="H12835" s="42">
        <f t="shared" si="1"/>
        <v>3345</v>
      </c>
    </row>
    <row r="12836" ht="22.5" customHeight="1">
      <c r="B12836" s="42" t="str">
        <f>IFERROR(__xludf.DUMMYFUNCTION("""COMPUTED_VALUE"""),"")</f>
        <v/>
      </c>
      <c r="C12836" s="42" t="str">
        <f>IFERROR(__xludf.DUMMYFUNCTION("""COMPUTED_VALUE"""),"")</f>
        <v/>
      </c>
      <c r="D12836" s="42"/>
      <c r="E12836" s="42"/>
      <c r="F12836" s="48" t="str">
        <f>IFERROR(__xludf.DUMMYFUNCTION("""COMPUTED_VALUE"""),"")</f>
        <v/>
      </c>
      <c r="G12836" s="42" t="str">
        <f>IFERROR(__xludf.DUMMYFUNCTION("""COMPUTED_VALUE"""),"")</f>
        <v/>
      </c>
      <c r="H12836" s="42">
        <f t="shared" si="1"/>
        <v>3345</v>
      </c>
    </row>
    <row r="12837" ht="22.5" customHeight="1">
      <c r="B12837" s="42" t="str">
        <f>IFERROR(__xludf.DUMMYFUNCTION("""COMPUTED_VALUE"""),"")</f>
        <v/>
      </c>
      <c r="C12837" s="42" t="str">
        <f>IFERROR(__xludf.DUMMYFUNCTION("""COMPUTED_VALUE"""),"")</f>
        <v/>
      </c>
      <c r="D12837" s="42"/>
      <c r="E12837" s="42"/>
      <c r="F12837" s="48" t="str">
        <f>IFERROR(__xludf.DUMMYFUNCTION("""COMPUTED_VALUE"""),"")</f>
        <v/>
      </c>
      <c r="G12837" s="42" t="str">
        <f>IFERROR(__xludf.DUMMYFUNCTION("""COMPUTED_VALUE"""),"")</f>
        <v/>
      </c>
      <c r="H12837" s="42">
        <f t="shared" si="1"/>
        <v>3345</v>
      </c>
    </row>
    <row r="12838" ht="22.5" customHeight="1">
      <c r="B12838" s="42" t="str">
        <f>IFERROR(__xludf.DUMMYFUNCTION("""COMPUTED_VALUE"""),"")</f>
        <v/>
      </c>
      <c r="C12838" s="42" t="str">
        <f>IFERROR(__xludf.DUMMYFUNCTION("""COMPUTED_VALUE"""),"")</f>
        <v/>
      </c>
      <c r="D12838" s="42"/>
      <c r="E12838" s="42"/>
      <c r="F12838" s="48" t="str">
        <f>IFERROR(__xludf.DUMMYFUNCTION("""COMPUTED_VALUE"""),"")</f>
        <v/>
      </c>
      <c r="G12838" s="42" t="str">
        <f>IFERROR(__xludf.DUMMYFUNCTION("""COMPUTED_VALUE"""),"")</f>
        <v/>
      </c>
      <c r="H12838" s="42">
        <f t="shared" si="1"/>
        <v>3345</v>
      </c>
    </row>
    <row r="12839" ht="22.5" customHeight="1">
      <c r="B12839" s="42" t="str">
        <f>IFERROR(__xludf.DUMMYFUNCTION("""COMPUTED_VALUE"""),"")</f>
        <v/>
      </c>
      <c r="C12839" s="42" t="str">
        <f>IFERROR(__xludf.DUMMYFUNCTION("""COMPUTED_VALUE"""),"")</f>
        <v/>
      </c>
      <c r="D12839" s="42"/>
      <c r="E12839" s="42"/>
      <c r="F12839" s="48" t="str">
        <f>IFERROR(__xludf.DUMMYFUNCTION("""COMPUTED_VALUE"""),"")</f>
        <v/>
      </c>
      <c r="G12839" s="42" t="str">
        <f>IFERROR(__xludf.DUMMYFUNCTION("""COMPUTED_VALUE"""),"")</f>
        <v/>
      </c>
      <c r="H12839" s="42">
        <f t="shared" si="1"/>
        <v>3345</v>
      </c>
    </row>
    <row r="12840" ht="22.5" customHeight="1">
      <c r="B12840" s="42" t="str">
        <f>IFERROR(__xludf.DUMMYFUNCTION("""COMPUTED_VALUE"""),"")</f>
        <v/>
      </c>
      <c r="C12840" s="42" t="str">
        <f>IFERROR(__xludf.DUMMYFUNCTION("""COMPUTED_VALUE"""),"")</f>
        <v/>
      </c>
      <c r="D12840" s="42"/>
      <c r="E12840" s="42"/>
      <c r="F12840" s="48" t="str">
        <f>IFERROR(__xludf.DUMMYFUNCTION("""COMPUTED_VALUE"""),"")</f>
        <v/>
      </c>
      <c r="G12840" s="42" t="str">
        <f>IFERROR(__xludf.DUMMYFUNCTION("""COMPUTED_VALUE"""),"")</f>
        <v/>
      </c>
      <c r="H12840" s="42">
        <f t="shared" si="1"/>
        <v>3345</v>
      </c>
    </row>
    <row r="12841" ht="22.5" customHeight="1">
      <c r="B12841" s="42" t="str">
        <f>IFERROR(__xludf.DUMMYFUNCTION("""COMPUTED_VALUE"""),"")</f>
        <v/>
      </c>
      <c r="C12841" s="42" t="str">
        <f>IFERROR(__xludf.DUMMYFUNCTION("""COMPUTED_VALUE"""),"")</f>
        <v/>
      </c>
      <c r="D12841" s="42"/>
      <c r="E12841" s="42"/>
      <c r="F12841" s="48" t="str">
        <f>IFERROR(__xludf.DUMMYFUNCTION("""COMPUTED_VALUE"""),"")</f>
        <v/>
      </c>
      <c r="G12841" s="42" t="str">
        <f>IFERROR(__xludf.DUMMYFUNCTION("""COMPUTED_VALUE"""),"")</f>
        <v/>
      </c>
      <c r="H12841" s="42">
        <f t="shared" si="1"/>
        <v>3345</v>
      </c>
    </row>
    <row r="12842" ht="22.5" customHeight="1">
      <c r="B12842" s="42" t="str">
        <f>IFERROR(__xludf.DUMMYFUNCTION("""COMPUTED_VALUE"""),"")</f>
        <v/>
      </c>
      <c r="C12842" s="42" t="str">
        <f>IFERROR(__xludf.DUMMYFUNCTION("""COMPUTED_VALUE"""),"")</f>
        <v/>
      </c>
      <c r="D12842" s="42"/>
      <c r="E12842" s="42"/>
      <c r="F12842" s="48" t="str">
        <f>IFERROR(__xludf.DUMMYFUNCTION("""COMPUTED_VALUE"""),"")</f>
        <v/>
      </c>
      <c r="G12842" s="42" t="str">
        <f>IFERROR(__xludf.DUMMYFUNCTION("""COMPUTED_VALUE"""),"")</f>
        <v/>
      </c>
      <c r="H12842" s="42">
        <f t="shared" si="1"/>
        <v>3345</v>
      </c>
    </row>
    <row r="12843" ht="22.5" customHeight="1">
      <c r="B12843" s="42" t="str">
        <f>IFERROR(__xludf.DUMMYFUNCTION("""COMPUTED_VALUE"""),"")</f>
        <v/>
      </c>
      <c r="C12843" s="42" t="str">
        <f>IFERROR(__xludf.DUMMYFUNCTION("""COMPUTED_VALUE"""),"")</f>
        <v/>
      </c>
      <c r="D12843" s="42"/>
      <c r="E12843" s="42"/>
      <c r="F12843" s="48" t="str">
        <f>IFERROR(__xludf.DUMMYFUNCTION("""COMPUTED_VALUE"""),"")</f>
        <v/>
      </c>
      <c r="G12843" s="42" t="str">
        <f>IFERROR(__xludf.DUMMYFUNCTION("""COMPUTED_VALUE"""),"")</f>
        <v/>
      </c>
      <c r="H12843" s="42">
        <f t="shared" si="1"/>
        <v>3345</v>
      </c>
    </row>
    <row r="12844" ht="22.5" customHeight="1">
      <c r="B12844" s="42" t="str">
        <f>IFERROR(__xludf.DUMMYFUNCTION("""COMPUTED_VALUE"""),"")</f>
        <v/>
      </c>
      <c r="C12844" s="42" t="str">
        <f>IFERROR(__xludf.DUMMYFUNCTION("""COMPUTED_VALUE"""),"")</f>
        <v/>
      </c>
      <c r="D12844" s="42"/>
      <c r="E12844" s="42"/>
      <c r="F12844" s="48" t="str">
        <f>IFERROR(__xludf.DUMMYFUNCTION("""COMPUTED_VALUE"""),"")</f>
        <v/>
      </c>
      <c r="G12844" s="42" t="str">
        <f>IFERROR(__xludf.DUMMYFUNCTION("""COMPUTED_VALUE"""),"")</f>
        <v/>
      </c>
      <c r="H12844" s="42">
        <f t="shared" si="1"/>
        <v>3345</v>
      </c>
    </row>
    <row r="12845" ht="22.5" customHeight="1">
      <c r="B12845" s="42" t="str">
        <f>IFERROR(__xludf.DUMMYFUNCTION("""COMPUTED_VALUE"""),"")</f>
        <v/>
      </c>
      <c r="C12845" s="42" t="str">
        <f>IFERROR(__xludf.DUMMYFUNCTION("""COMPUTED_VALUE"""),"")</f>
        <v/>
      </c>
      <c r="D12845" s="42"/>
      <c r="E12845" s="42"/>
      <c r="F12845" s="48" t="str">
        <f>IFERROR(__xludf.DUMMYFUNCTION("""COMPUTED_VALUE"""),"")</f>
        <v/>
      </c>
      <c r="G12845" s="42" t="str">
        <f>IFERROR(__xludf.DUMMYFUNCTION("""COMPUTED_VALUE"""),"")</f>
        <v/>
      </c>
      <c r="H12845" s="42">
        <f t="shared" si="1"/>
        <v>3345</v>
      </c>
    </row>
    <row r="12846" ht="22.5" customHeight="1">
      <c r="B12846" s="42" t="str">
        <f>IFERROR(__xludf.DUMMYFUNCTION("""COMPUTED_VALUE"""),"")</f>
        <v/>
      </c>
      <c r="C12846" s="42" t="str">
        <f>IFERROR(__xludf.DUMMYFUNCTION("""COMPUTED_VALUE"""),"")</f>
        <v/>
      </c>
      <c r="D12846" s="42"/>
      <c r="E12846" s="42"/>
      <c r="F12846" s="48" t="str">
        <f>IFERROR(__xludf.DUMMYFUNCTION("""COMPUTED_VALUE"""),"")</f>
        <v/>
      </c>
      <c r="G12846" s="42" t="str">
        <f>IFERROR(__xludf.DUMMYFUNCTION("""COMPUTED_VALUE"""),"")</f>
        <v/>
      </c>
      <c r="H12846" s="42">
        <f t="shared" si="1"/>
        <v>3345</v>
      </c>
    </row>
    <row r="12847" ht="22.5" customHeight="1">
      <c r="B12847" s="42" t="str">
        <f>IFERROR(__xludf.DUMMYFUNCTION("""COMPUTED_VALUE"""),"")</f>
        <v/>
      </c>
      <c r="C12847" s="42" t="str">
        <f>IFERROR(__xludf.DUMMYFUNCTION("""COMPUTED_VALUE"""),"")</f>
        <v/>
      </c>
      <c r="D12847" s="42"/>
      <c r="E12847" s="42"/>
      <c r="F12847" s="48" t="str">
        <f>IFERROR(__xludf.DUMMYFUNCTION("""COMPUTED_VALUE"""),"")</f>
        <v/>
      </c>
      <c r="G12847" s="42" t="str">
        <f>IFERROR(__xludf.DUMMYFUNCTION("""COMPUTED_VALUE"""),"")</f>
        <v/>
      </c>
      <c r="H12847" s="42">
        <f t="shared" si="1"/>
        <v>3345</v>
      </c>
    </row>
    <row r="12848" ht="22.5" customHeight="1">
      <c r="B12848" s="42" t="str">
        <f>IFERROR(__xludf.DUMMYFUNCTION("""COMPUTED_VALUE"""),"")</f>
        <v/>
      </c>
      <c r="C12848" s="42" t="str">
        <f>IFERROR(__xludf.DUMMYFUNCTION("""COMPUTED_VALUE"""),"")</f>
        <v/>
      </c>
      <c r="D12848" s="42"/>
      <c r="E12848" s="42"/>
      <c r="F12848" s="48" t="str">
        <f>IFERROR(__xludf.DUMMYFUNCTION("""COMPUTED_VALUE"""),"")</f>
        <v/>
      </c>
      <c r="G12848" s="42" t="str">
        <f>IFERROR(__xludf.DUMMYFUNCTION("""COMPUTED_VALUE"""),"")</f>
        <v/>
      </c>
      <c r="H12848" s="42">
        <f t="shared" si="1"/>
        <v>3345</v>
      </c>
    </row>
    <row r="12849" ht="22.5" customHeight="1">
      <c r="B12849" s="42" t="str">
        <f>IFERROR(__xludf.DUMMYFUNCTION("""COMPUTED_VALUE"""),"")</f>
        <v/>
      </c>
      <c r="C12849" s="42" t="str">
        <f>IFERROR(__xludf.DUMMYFUNCTION("""COMPUTED_VALUE"""),"")</f>
        <v/>
      </c>
      <c r="D12849" s="42"/>
      <c r="E12849" s="42"/>
      <c r="F12849" s="48" t="str">
        <f>IFERROR(__xludf.DUMMYFUNCTION("""COMPUTED_VALUE"""),"")</f>
        <v/>
      </c>
      <c r="G12849" s="42" t="str">
        <f>IFERROR(__xludf.DUMMYFUNCTION("""COMPUTED_VALUE"""),"")</f>
        <v/>
      </c>
      <c r="H12849" s="42">
        <f t="shared" si="1"/>
        <v>3345</v>
      </c>
    </row>
    <row r="12850" ht="22.5" customHeight="1">
      <c r="B12850" s="42" t="str">
        <f>IFERROR(__xludf.DUMMYFUNCTION("""COMPUTED_VALUE"""),"")</f>
        <v/>
      </c>
      <c r="C12850" s="42" t="str">
        <f>IFERROR(__xludf.DUMMYFUNCTION("""COMPUTED_VALUE"""),"")</f>
        <v/>
      </c>
      <c r="D12850" s="42"/>
      <c r="E12850" s="42"/>
      <c r="F12850" s="48" t="str">
        <f>IFERROR(__xludf.DUMMYFUNCTION("""COMPUTED_VALUE"""),"")</f>
        <v/>
      </c>
      <c r="G12850" s="42" t="str">
        <f>IFERROR(__xludf.DUMMYFUNCTION("""COMPUTED_VALUE"""),"")</f>
        <v/>
      </c>
      <c r="H12850" s="42">
        <f t="shared" si="1"/>
        <v>3345</v>
      </c>
    </row>
    <row r="12851" ht="22.5" customHeight="1">
      <c r="B12851" s="42" t="str">
        <f>IFERROR(__xludf.DUMMYFUNCTION("""COMPUTED_VALUE"""),"")</f>
        <v/>
      </c>
      <c r="C12851" s="42" t="str">
        <f>IFERROR(__xludf.DUMMYFUNCTION("""COMPUTED_VALUE"""),"")</f>
        <v/>
      </c>
      <c r="D12851" s="42"/>
      <c r="E12851" s="42"/>
      <c r="F12851" s="48" t="str">
        <f>IFERROR(__xludf.DUMMYFUNCTION("""COMPUTED_VALUE"""),"")</f>
        <v/>
      </c>
      <c r="G12851" s="42" t="str">
        <f>IFERROR(__xludf.DUMMYFUNCTION("""COMPUTED_VALUE"""),"")</f>
        <v/>
      </c>
      <c r="H12851" s="42">
        <f t="shared" si="1"/>
        <v>3345</v>
      </c>
    </row>
    <row r="12852" ht="22.5" customHeight="1">
      <c r="B12852" s="42" t="str">
        <f>IFERROR(__xludf.DUMMYFUNCTION("""COMPUTED_VALUE"""),"")</f>
        <v/>
      </c>
      <c r="C12852" s="42" t="str">
        <f>IFERROR(__xludf.DUMMYFUNCTION("""COMPUTED_VALUE"""),"")</f>
        <v/>
      </c>
      <c r="D12852" s="42"/>
      <c r="E12852" s="42"/>
      <c r="F12852" s="48" t="str">
        <f>IFERROR(__xludf.DUMMYFUNCTION("""COMPUTED_VALUE"""),"")</f>
        <v/>
      </c>
      <c r="G12852" s="42" t="str">
        <f>IFERROR(__xludf.DUMMYFUNCTION("""COMPUTED_VALUE"""),"")</f>
        <v/>
      </c>
      <c r="H12852" s="42">
        <f t="shared" si="1"/>
        <v>3345</v>
      </c>
    </row>
    <row r="12853" ht="22.5" customHeight="1">
      <c r="B12853" s="42" t="str">
        <f>IFERROR(__xludf.DUMMYFUNCTION("""COMPUTED_VALUE"""),"")</f>
        <v/>
      </c>
      <c r="C12853" s="42" t="str">
        <f>IFERROR(__xludf.DUMMYFUNCTION("""COMPUTED_VALUE"""),"")</f>
        <v/>
      </c>
      <c r="D12853" s="42"/>
      <c r="E12853" s="42"/>
      <c r="F12853" s="48" t="str">
        <f>IFERROR(__xludf.DUMMYFUNCTION("""COMPUTED_VALUE"""),"")</f>
        <v/>
      </c>
      <c r="G12853" s="42" t="str">
        <f>IFERROR(__xludf.DUMMYFUNCTION("""COMPUTED_VALUE"""),"")</f>
        <v/>
      </c>
      <c r="H12853" s="42">
        <f t="shared" si="1"/>
        <v>3345</v>
      </c>
    </row>
    <row r="12854" ht="22.5" customHeight="1">
      <c r="B12854" s="42" t="str">
        <f>IFERROR(__xludf.DUMMYFUNCTION("""COMPUTED_VALUE"""),"")</f>
        <v/>
      </c>
      <c r="C12854" s="42" t="str">
        <f>IFERROR(__xludf.DUMMYFUNCTION("""COMPUTED_VALUE"""),"")</f>
        <v/>
      </c>
      <c r="D12854" s="42"/>
      <c r="E12854" s="42"/>
      <c r="F12854" s="48" t="str">
        <f>IFERROR(__xludf.DUMMYFUNCTION("""COMPUTED_VALUE"""),"")</f>
        <v/>
      </c>
      <c r="G12854" s="42" t="str">
        <f>IFERROR(__xludf.DUMMYFUNCTION("""COMPUTED_VALUE"""),"")</f>
        <v/>
      </c>
      <c r="H12854" s="42">
        <f t="shared" si="1"/>
        <v>3345</v>
      </c>
    </row>
    <row r="12855" ht="22.5" customHeight="1">
      <c r="B12855" s="42" t="str">
        <f>IFERROR(__xludf.DUMMYFUNCTION("""COMPUTED_VALUE"""),"")</f>
        <v/>
      </c>
      <c r="C12855" s="42" t="str">
        <f>IFERROR(__xludf.DUMMYFUNCTION("""COMPUTED_VALUE"""),"")</f>
        <v/>
      </c>
      <c r="D12855" s="42"/>
      <c r="E12855" s="42"/>
      <c r="F12855" s="48" t="str">
        <f>IFERROR(__xludf.DUMMYFUNCTION("""COMPUTED_VALUE"""),"")</f>
        <v/>
      </c>
      <c r="G12855" s="42" t="str">
        <f>IFERROR(__xludf.DUMMYFUNCTION("""COMPUTED_VALUE"""),"")</f>
        <v/>
      </c>
      <c r="H12855" s="42">
        <f t="shared" si="1"/>
        <v>3345</v>
      </c>
    </row>
    <row r="12856" ht="22.5" customHeight="1">
      <c r="B12856" s="42" t="str">
        <f>IFERROR(__xludf.DUMMYFUNCTION("""COMPUTED_VALUE"""),"")</f>
        <v/>
      </c>
      <c r="C12856" s="42" t="str">
        <f>IFERROR(__xludf.DUMMYFUNCTION("""COMPUTED_VALUE"""),"")</f>
        <v/>
      </c>
      <c r="D12856" s="42"/>
      <c r="E12856" s="42"/>
      <c r="F12856" s="48" t="str">
        <f>IFERROR(__xludf.DUMMYFUNCTION("""COMPUTED_VALUE"""),"")</f>
        <v/>
      </c>
      <c r="G12856" s="42" t="str">
        <f>IFERROR(__xludf.DUMMYFUNCTION("""COMPUTED_VALUE"""),"")</f>
        <v/>
      </c>
      <c r="H12856" s="42">
        <f t="shared" si="1"/>
        <v>3345</v>
      </c>
    </row>
    <row r="12857" ht="22.5" customHeight="1">
      <c r="B12857" s="42" t="str">
        <f>IFERROR(__xludf.DUMMYFUNCTION("""COMPUTED_VALUE"""),"")</f>
        <v/>
      </c>
      <c r="C12857" s="42" t="str">
        <f>IFERROR(__xludf.DUMMYFUNCTION("""COMPUTED_VALUE"""),"")</f>
        <v/>
      </c>
      <c r="D12857" s="42"/>
      <c r="E12857" s="42"/>
      <c r="F12857" s="48" t="str">
        <f>IFERROR(__xludf.DUMMYFUNCTION("""COMPUTED_VALUE"""),"")</f>
        <v/>
      </c>
      <c r="G12857" s="42" t="str">
        <f>IFERROR(__xludf.DUMMYFUNCTION("""COMPUTED_VALUE"""),"")</f>
        <v/>
      </c>
      <c r="H12857" s="42">
        <f t="shared" si="1"/>
        <v>3345</v>
      </c>
    </row>
    <row r="12858" ht="22.5" customHeight="1">
      <c r="B12858" s="42" t="str">
        <f>IFERROR(__xludf.DUMMYFUNCTION("""COMPUTED_VALUE"""),"")</f>
        <v/>
      </c>
      <c r="C12858" s="42" t="str">
        <f>IFERROR(__xludf.DUMMYFUNCTION("""COMPUTED_VALUE"""),"")</f>
        <v/>
      </c>
      <c r="D12858" s="42"/>
      <c r="E12858" s="42"/>
      <c r="F12858" s="48" t="str">
        <f>IFERROR(__xludf.DUMMYFUNCTION("""COMPUTED_VALUE"""),"")</f>
        <v/>
      </c>
      <c r="G12858" s="42" t="str">
        <f>IFERROR(__xludf.DUMMYFUNCTION("""COMPUTED_VALUE"""),"")</f>
        <v/>
      </c>
      <c r="H12858" s="42">
        <f t="shared" si="1"/>
        <v>3345</v>
      </c>
    </row>
    <row r="12859" ht="22.5" customHeight="1">
      <c r="B12859" s="42" t="str">
        <f>IFERROR(__xludf.DUMMYFUNCTION("""COMPUTED_VALUE"""),"")</f>
        <v/>
      </c>
      <c r="C12859" s="42" t="str">
        <f>IFERROR(__xludf.DUMMYFUNCTION("""COMPUTED_VALUE"""),"")</f>
        <v/>
      </c>
      <c r="D12859" s="42"/>
      <c r="E12859" s="42"/>
      <c r="F12859" s="48" t="str">
        <f>IFERROR(__xludf.DUMMYFUNCTION("""COMPUTED_VALUE"""),"")</f>
        <v/>
      </c>
      <c r="G12859" s="42" t="str">
        <f>IFERROR(__xludf.DUMMYFUNCTION("""COMPUTED_VALUE"""),"")</f>
        <v/>
      </c>
      <c r="H12859" s="42">
        <f t="shared" si="1"/>
        <v>3345</v>
      </c>
    </row>
    <row r="12860" ht="22.5" customHeight="1">
      <c r="B12860" s="42" t="str">
        <f>IFERROR(__xludf.DUMMYFUNCTION("""COMPUTED_VALUE"""),"")</f>
        <v/>
      </c>
      <c r="C12860" s="42" t="str">
        <f>IFERROR(__xludf.DUMMYFUNCTION("""COMPUTED_VALUE"""),"")</f>
        <v/>
      </c>
      <c r="D12860" s="42"/>
      <c r="E12860" s="42"/>
      <c r="F12860" s="48" t="str">
        <f>IFERROR(__xludf.DUMMYFUNCTION("""COMPUTED_VALUE"""),"")</f>
        <v/>
      </c>
      <c r="G12860" s="42" t="str">
        <f>IFERROR(__xludf.DUMMYFUNCTION("""COMPUTED_VALUE"""),"")</f>
        <v/>
      </c>
      <c r="H12860" s="42">
        <f t="shared" si="1"/>
        <v>3345</v>
      </c>
    </row>
    <row r="12861" ht="22.5" customHeight="1">
      <c r="B12861" s="42" t="str">
        <f>IFERROR(__xludf.DUMMYFUNCTION("""COMPUTED_VALUE"""),"")</f>
        <v/>
      </c>
      <c r="C12861" s="42" t="str">
        <f>IFERROR(__xludf.DUMMYFUNCTION("""COMPUTED_VALUE"""),"")</f>
        <v/>
      </c>
      <c r="D12861" s="42"/>
      <c r="E12861" s="42"/>
      <c r="F12861" s="48" t="str">
        <f>IFERROR(__xludf.DUMMYFUNCTION("""COMPUTED_VALUE"""),"")</f>
        <v/>
      </c>
      <c r="G12861" s="42" t="str">
        <f>IFERROR(__xludf.DUMMYFUNCTION("""COMPUTED_VALUE"""),"")</f>
        <v/>
      </c>
      <c r="H12861" s="42">
        <f t="shared" si="1"/>
        <v>3345</v>
      </c>
    </row>
    <row r="12862" ht="22.5" customHeight="1">
      <c r="B12862" s="42" t="str">
        <f>IFERROR(__xludf.DUMMYFUNCTION("""COMPUTED_VALUE"""),"")</f>
        <v/>
      </c>
      <c r="C12862" s="42" t="str">
        <f>IFERROR(__xludf.DUMMYFUNCTION("""COMPUTED_VALUE"""),"")</f>
        <v/>
      </c>
      <c r="D12862" s="42"/>
      <c r="E12862" s="42"/>
      <c r="F12862" s="48" t="str">
        <f>IFERROR(__xludf.DUMMYFUNCTION("""COMPUTED_VALUE"""),"")</f>
        <v/>
      </c>
      <c r="G12862" s="42" t="str">
        <f>IFERROR(__xludf.DUMMYFUNCTION("""COMPUTED_VALUE"""),"")</f>
        <v/>
      </c>
      <c r="H12862" s="42">
        <f t="shared" si="1"/>
        <v>3345</v>
      </c>
    </row>
    <row r="12863" ht="22.5" customHeight="1">
      <c r="B12863" s="42" t="str">
        <f>IFERROR(__xludf.DUMMYFUNCTION("""COMPUTED_VALUE"""),"")</f>
        <v/>
      </c>
      <c r="C12863" s="42" t="str">
        <f>IFERROR(__xludf.DUMMYFUNCTION("""COMPUTED_VALUE"""),"")</f>
        <v/>
      </c>
      <c r="D12863" s="42"/>
      <c r="E12863" s="42"/>
      <c r="F12863" s="48" t="str">
        <f>IFERROR(__xludf.DUMMYFUNCTION("""COMPUTED_VALUE"""),"")</f>
        <v/>
      </c>
      <c r="G12863" s="42" t="str">
        <f>IFERROR(__xludf.DUMMYFUNCTION("""COMPUTED_VALUE"""),"")</f>
        <v/>
      </c>
      <c r="H12863" s="42">
        <f t="shared" si="1"/>
        <v>3345</v>
      </c>
    </row>
    <row r="12864" ht="22.5" customHeight="1">
      <c r="B12864" s="42" t="str">
        <f>IFERROR(__xludf.DUMMYFUNCTION("""COMPUTED_VALUE"""),"")</f>
        <v/>
      </c>
      <c r="C12864" s="42" t="str">
        <f>IFERROR(__xludf.DUMMYFUNCTION("""COMPUTED_VALUE"""),"")</f>
        <v/>
      </c>
      <c r="D12864" s="42"/>
      <c r="E12864" s="42"/>
      <c r="F12864" s="48" t="str">
        <f>IFERROR(__xludf.DUMMYFUNCTION("""COMPUTED_VALUE"""),"")</f>
        <v/>
      </c>
      <c r="G12864" s="42" t="str">
        <f>IFERROR(__xludf.DUMMYFUNCTION("""COMPUTED_VALUE"""),"")</f>
        <v/>
      </c>
      <c r="H12864" s="42">
        <f t="shared" si="1"/>
        <v>3345</v>
      </c>
    </row>
    <row r="12865" ht="22.5" customHeight="1">
      <c r="B12865" s="42" t="str">
        <f>IFERROR(__xludf.DUMMYFUNCTION("""COMPUTED_VALUE"""),"")</f>
        <v/>
      </c>
      <c r="C12865" s="42" t="str">
        <f>IFERROR(__xludf.DUMMYFUNCTION("""COMPUTED_VALUE"""),"")</f>
        <v/>
      </c>
      <c r="D12865" s="42"/>
      <c r="E12865" s="42"/>
      <c r="F12865" s="48" t="str">
        <f>IFERROR(__xludf.DUMMYFUNCTION("""COMPUTED_VALUE"""),"")</f>
        <v/>
      </c>
      <c r="G12865" s="42" t="str">
        <f>IFERROR(__xludf.DUMMYFUNCTION("""COMPUTED_VALUE"""),"")</f>
        <v/>
      </c>
      <c r="H12865" s="42">
        <f t="shared" si="1"/>
        <v>3345</v>
      </c>
    </row>
    <row r="12866" ht="22.5" customHeight="1">
      <c r="B12866" s="42" t="str">
        <f>IFERROR(__xludf.DUMMYFUNCTION("""COMPUTED_VALUE"""),"")</f>
        <v/>
      </c>
      <c r="C12866" s="42" t="str">
        <f>IFERROR(__xludf.DUMMYFUNCTION("""COMPUTED_VALUE"""),"")</f>
        <v/>
      </c>
      <c r="D12866" s="42"/>
      <c r="E12866" s="42"/>
      <c r="F12866" s="48" t="str">
        <f>IFERROR(__xludf.DUMMYFUNCTION("""COMPUTED_VALUE"""),"")</f>
        <v/>
      </c>
      <c r="G12866" s="42" t="str">
        <f>IFERROR(__xludf.DUMMYFUNCTION("""COMPUTED_VALUE"""),"")</f>
        <v/>
      </c>
      <c r="H12866" s="42">
        <f t="shared" si="1"/>
        <v>3345</v>
      </c>
    </row>
    <row r="12867" ht="22.5" customHeight="1">
      <c r="B12867" s="42" t="str">
        <f>IFERROR(__xludf.DUMMYFUNCTION("""COMPUTED_VALUE"""),"")</f>
        <v/>
      </c>
      <c r="C12867" s="42" t="str">
        <f>IFERROR(__xludf.DUMMYFUNCTION("""COMPUTED_VALUE"""),"")</f>
        <v/>
      </c>
      <c r="D12867" s="42"/>
      <c r="E12867" s="42"/>
      <c r="F12867" s="48" t="str">
        <f>IFERROR(__xludf.DUMMYFUNCTION("""COMPUTED_VALUE"""),"")</f>
        <v/>
      </c>
      <c r="G12867" s="42" t="str">
        <f>IFERROR(__xludf.DUMMYFUNCTION("""COMPUTED_VALUE"""),"")</f>
        <v/>
      </c>
      <c r="H12867" s="42">
        <f t="shared" si="1"/>
        <v>3345</v>
      </c>
    </row>
    <row r="12868" ht="22.5" customHeight="1">
      <c r="B12868" s="42" t="str">
        <f>IFERROR(__xludf.DUMMYFUNCTION("""COMPUTED_VALUE"""),"")</f>
        <v/>
      </c>
      <c r="C12868" s="42" t="str">
        <f>IFERROR(__xludf.DUMMYFUNCTION("""COMPUTED_VALUE"""),"")</f>
        <v/>
      </c>
      <c r="D12868" s="42"/>
      <c r="E12868" s="42"/>
      <c r="F12868" s="48" t="str">
        <f>IFERROR(__xludf.DUMMYFUNCTION("""COMPUTED_VALUE"""),"")</f>
        <v/>
      </c>
      <c r="G12868" s="42" t="str">
        <f>IFERROR(__xludf.DUMMYFUNCTION("""COMPUTED_VALUE"""),"")</f>
        <v/>
      </c>
      <c r="H12868" s="42">
        <f t="shared" si="1"/>
        <v>3345</v>
      </c>
    </row>
    <row r="12869" ht="22.5" customHeight="1">
      <c r="B12869" s="42" t="str">
        <f>IFERROR(__xludf.DUMMYFUNCTION("""COMPUTED_VALUE"""),"")</f>
        <v/>
      </c>
      <c r="C12869" s="42" t="str">
        <f>IFERROR(__xludf.DUMMYFUNCTION("""COMPUTED_VALUE"""),"")</f>
        <v/>
      </c>
      <c r="D12869" s="42"/>
      <c r="E12869" s="42"/>
      <c r="F12869" s="48" t="str">
        <f>IFERROR(__xludf.DUMMYFUNCTION("""COMPUTED_VALUE"""),"")</f>
        <v/>
      </c>
      <c r="G12869" s="42" t="str">
        <f>IFERROR(__xludf.DUMMYFUNCTION("""COMPUTED_VALUE"""),"")</f>
        <v/>
      </c>
      <c r="H12869" s="42">
        <f t="shared" si="1"/>
        <v>3345</v>
      </c>
    </row>
    <row r="12870" ht="22.5" customHeight="1">
      <c r="B12870" s="42" t="str">
        <f>IFERROR(__xludf.DUMMYFUNCTION("""COMPUTED_VALUE"""),"")</f>
        <v/>
      </c>
      <c r="C12870" s="42" t="str">
        <f>IFERROR(__xludf.DUMMYFUNCTION("""COMPUTED_VALUE"""),"")</f>
        <v/>
      </c>
      <c r="D12870" s="42"/>
      <c r="E12870" s="42"/>
      <c r="F12870" s="48" t="str">
        <f>IFERROR(__xludf.DUMMYFUNCTION("""COMPUTED_VALUE"""),"")</f>
        <v/>
      </c>
      <c r="G12870" s="42" t="str">
        <f>IFERROR(__xludf.DUMMYFUNCTION("""COMPUTED_VALUE"""),"")</f>
        <v/>
      </c>
      <c r="H12870" s="42">
        <f t="shared" si="1"/>
        <v>3345</v>
      </c>
    </row>
    <row r="12871" ht="22.5" customHeight="1">
      <c r="B12871" s="42" t="str">
        <f>IFERROR(__xludf.DUMMYFUNCTION("""COMPUTED_VALUE"""),"")</f>
        <v/>
      </c>
      <c r="C12871" s="42" t="str">
        <f>IFERROR(__xludf.DUMMYFUNCTION("""COMPUTED_VALUE"""),"")</f>
        <v/>
      </c>
      <c r="D12871" s="42"/>
      <c r="E12871" s="42"/>
      <c r="F12871" s="48" t="str">
        <f>IFERROR(__xludf.DUMMYFUNCTION("""COMPUTED_VALUE"""),"")</f>
        <v/>
      </c>
      <c r="G12871" s="42" t="str">
        <f>IFERROR(__xludf.DUMMYFUNCTION("""COMPUTED_VALUE"""),"")</f>
        <v/>
      </c>
      <c r="H12871" s="42">
        <f t="shared" si="1"/>
        <v>3345</v>
      </c>
    </row>
    <row r="12872" ht="22.5" customHeight="1">
      <c r="B12872" s="42" t="str">
        <f>IFERROR(__xludf.DUMMYFUNCTION("""COMPUTED_VALUE"""),"")</f>
        <v/>
      </c>
      <c r="C12872" s="42" t="str">
        <f>IFERROR(__xludf.DUMMYFUNCTION("""COMPUTED_VALUE"""),"")</f>
        <v/>
      </c>
      <c r="D12872" s="42"/>
      <c r="E12872" s="42"/>
      <c r="F12872" s="48" t="str">
        <f>IFERROR(__xludf.DUMMYFUNCTION("""COMPUTED_VALUE"""),"")</f>
        <v/>
      </c>
      <c r="G12872" s="42" t="str">
        <f>IFERROR(__xludf.DUMMYFUNCTION("""COMPUTED_VALUE"""),"")</f>
        <v/>
      </c>
      <c r="H12872" s="42">
        <f t="shared" si="1"/>
        <v>3345</v>
      </c>
    </row>
    <row r="12873" ht="22.5" customHeight="1">
      <c r="B12873" s="42" t="str">
        <f>IFERROR(__xludf.DUMMYFUNCTION("""COMPUTED_VALUE"""),"")</f>
        <v/>
      </c>
      <c r="C12873" s="42" t="str">
        <f>IFERROR(__xludf.DUMMYFUNCTION("""COMPUTED_VALUE"""),"")</f>
        <v/>
      </c>
      <c r="D12873" s="42"/>
      <c r="E12873" s="42"/>
      <c r="F12873" s="48" t="str">
        <f>IFERROR(__xludf.DUMMYFUNCTION("""COMPUTED_VALUE"""),"")</f>
        <v/>
      </c>
      <c r="G12873" s="42" t="str">
        <f>IFERROR(__xludf.DUMMYFUNCTION("""COMPUTED_VALUE"""),"")</f>
        <v/>
      </c>
      <c r="H12873" s="42">
        <f t="shared" si="1"/>
        <v>3345</v>
      </c>
    </row>
    <row r="12874" ht="22.5" customHeight="1">
      <c r="B12874" s="42" t="str">
        <f>IFERROR(__xludf.DUMMYFUNCTION("""COMPUTED_VALUE"""),"")</f>
        <v/>
      </c>
      <c r="C12874" s="42" t="str">
        <f>IFERROR(__xludf.DUMMYFUNCTION("""COMPUTED_VALUE"""),"")</f>
        <v/>
      </c>
      <c r="D12874" s="42"/>
      <c r="E12874" s="42"/>
      <c r="F12874" s="48" t="str">
        <f>IFERROR(__xludf.DUMMYFUNCTION("""COMPUTED_VALUE"""),"")</f>
        <v/>
      </c>
      <c r="G12874" s="42" t="str">
        <f>IFERROR(__xludf.DUMMYFUNCTION("""COMPUTED_VALUE"""),"")</f>
        <v/>
      </c>
      <c r="H12874" s="42">
        <f t="shared" si="1"/>
        <v>3345</v>
      </c>
    </row>
    <row r="12875" ht="22.5" customHeight="1">
      <c r="B12875" s="42" t="str">
        <f>IFERROR(__xludf.DUMMYFUNCTION("""COMPUTED_VALUE"""),"")</f>
        <v/>
      </c>
      <c r="C12875" s="42" t="str">
        <f>IFERROR(__xludf.DUMMYFUNCTION("""COMPUTED_VALUE"""),"")</f>
        <v/>
      </c>
      <c r="D12875" s="42"/>
      <c r="E12875" s="42"/>
      <c r="F12875" s="48" t="str">
        <f>IFERROR(__xludf.DUMMYFUNCTION("""COMPUTED_VALUE"""),"")</f>
        <v/>
      </c>
      <c r="G12875" s="42" t="str">
        <f>IFERROR(__xludf.DUMMYFUNCTION("""COMPUTED_VALUE"""),"")</f>
        <v/>
      </c>
      <c r="H12875" s="42">
        <f t="shared" si="1"/>
        <v>3345</v>
      </c>
    </row>
    <row r="12876" ht="22.5" customHeight="1">
      <c r="B12876" s="42" t="str">
        <f>IFERROR(__xludf.DUMMYFUNCTION("""COMPUTED_VALUE"""),"")</f>
        <v/>
      </c>
      <c r="C12876" s="42" t="str">
        <f>IFERROR(__xludf.DUMMYFUNCTION("""COMPUTED_VALUE"""),"")</f>
        <v/>
      </c>
      <c r="D12876" s="42"/>
      <c r="E12876" s="42"/>
      <c r="F12876" s="48" t="str">
        <f>IFERROR(__xludf.DUMMYFUNCTION("""COMPUTED_VALUE"""),"")</f>
        <v/>
      </c>
      <c r="G12876" s="42" t="str">
        <f>IFERROR(__xludf.DUMMYFUNCTION("""COMPUTED_VALUE"""),"")</f>
        <v/>
      </c>
      <c r="H12876" s="42">
        <f t="shared" si="1"/>
        <v>3345</v>
      </c>
    </row>
    <row r="12877" ht="22.5" customHeight="1">
      <c r="B12877" s="42" t="str">
        <f>IFERROR(__xludf.DUMMYFUNCTION("""COMPUTED_VALUE"""),"")</f>
        <v/>
      </c>
      <c r="C12877" s="42" t="str">
        <f>IFERROR(__xludf.DUMMYFUNCTION("""COMPUTED_VALUE"""),"")</f>
        <v/>
      </c>
      <c r="D12877" s="42"/>
      <c r="E12877" s="42"/>
      <c r="F12877" s="48" t="str">
        <f>IFERROR(__xludf.DUMMYFUNCTION("""COMPUTED_VALUE"""),"")</f>
        <v/>
      </c>
      <c r="G12877" s="42" t="str">
        <f>IFERROR(__xludf.DUMMYFUNCTION("""COMPUTED_VALUE"""),"")</f>
        <v/>
      </c>
      <c r="H12877" s="42">
        <f t="shared" si="1"/>
        <v>3345</v>
      </c>
    </row>
    <row r="12878" ht="22.5" customHeight="1">
      <c r="B12878" s="42" t="str">
        <f>IFERROR(__xludf.DUMMYFUNCTION("""COMPUTED_VALUE"""),"")</f>
        <v/>
      </c>
      <c r="C12878" s="42" t="str">
        <f>IFERROR(__xludf.DUMMYFUNCTION("""COMPUTED_VALUE"""),"")</f>
        <v/>
      </c>
      <c r="D12878" s="42"/>
      <c r="E12878" s="42"/>
      <c r="F12878" s="48" t="str">
        <f>IFERROR(__xludf.DUMMYFUNCTION("""COMPUTED_VALUE"""),"")</f>
        <v/>
      </c>
      <c r="G12878" s="42" t="str">
        <f>IFERROR(__xludf.DUMMYFUNCTION("""COMPUTED_VALUE"""),"")</f>
        <v/>
      </c>
      <c r="H12878" s="42">
        <f t="shared" si="1"/>
        <v>3345</v>
      </c>
    </row>
    <row r="12879" ht="22.5" customHeight="1">
      <c r="B12879" s="42" t="str">
        <f>IFERROR(__xludf.DUMMYFUNCTION("""COMPUTED_VALUE"""),"")</f>
        <v/>
      </c>
      <c r="C12879" s="42" t="str">
        <f>IFERROR(__xludf.DUMMYFUNCTION("""COMPUTED_VALUE"""),"")</f>
        <v/>
      </c>
      <c r="D12879" s="42"/>
      <c r="E12879" s="42"/>
      <c r="F12879" s="48" t="str">
        <f>IFERROR(__xludf.DUMMYFUNCTION("""COMPUTED_VALUE"""),"")</f>
        <v/>
      </c>
      <c r="G12879" s="42" t="str">
        <f>IFERROR(__xludf.DUMMYFUNCTION("""COMPUTED_VALUE"""),"")</f>
        <v/>
      </c>
      <c r="H12879" s="42">
        <f t="shared" si="1"/>
        <v>3345</v>
      </c>
    </row>
    <row r="12880" ht="22.5" customHeight="1">
      <c r="B12880" s="42" t="str">
        <f>IFERROR(__xludf.DUMMYFUNCTION("""COMPUTED_VALUE"""),"")</f>
        <v/>
      </c>
      <c r="C12880" s="42" t="str">
        <f>IFERROR(__xludf.DUMMYFUNCTION("""COMPUTED_VALUE"""),"")</f>
        <v/>
      </c>
      <c r="D12880" s="42"/>
      <c r="E12880" s="42"/>
      <c r="F12880" s="48" t="str">
        <f>IFERROR(__xludf.DUMMYFUNCTION("""COMPUTED_VALUE"""),"")</f>
        <v/>
      </c>
      <c r="G12880" s="42" t="str">
        <f>IFERROR(__xludf.DUMMYFUNCTION("""COMPUTED_VALUE"""),"")</f>
        <v/>
      </c>
      <c r="H12880" s="42">
        <f t="shared" si="1"/>
        <v>3345</v>
      </c>
    </row>
    <row r="12881" ht="22.5" customHeight="1">
      <c r="B12881" s="42" t="str">
        <f>IFERROR(__xludf.DUMMYFUNCTION("""COMPUTED_VALUE"""),"")</f>
        <v/>
      </c>
      <c r="C12881" s="42" t="str">
        <f>IFERROR(__xludf.DUMMYFUNCTION("""COMPUTED_VALUE"""),"")</f>
        <v/>
      </c>
      <c r="D12881" s="42"/>
      <c r="E12881" s="42"/>
      <c r="F12881" s="48" t="str">
        <f>IFERROR(__xludf.DUMMYFUNCTION("""COMPUTED_VALUE"""),"")</f>
        <v/>
      </c>
      <c r="G12881" s="42" t="str">
        <f>IFERROR(__xludf.DUMMYFUNCTION("""COMPUTED_VALUE"""),"")</f>
        <v/>
      </c>
      <c r="H12881" s="42">
        <f t="shared" si="1"/>
        <v>3345</v>
      </c>
    </row>
    <row r="12882" ht="22.5" customHeight="1">
      <c r="B12882" s="42" t="str">
        <f>IFERROR(__xludf.DUMMYFUNCTION("""COMPUTED_VALUE"""),"")</f>
        <v/>
      </c>
      <c r="C12882" s="42" t="str">
        <f>IFERROR(__xludf.DUMMYFUNCTION("""COMPUTED_VALUE"""),"")</f>
        <v/>
      </c>
      <c r="D12882" s="42"/>
      <c r="E12882" s="42"/>
      <c r="F12882" s="48" t="str">
        <f>IFERROR(__xludf.DUMMYFUNCTION("""COMPUTED_VALUE"""),"")</f>
        <v/>
      </c>
      <c r="G12882" s="42" t="str">
        <f>IFERROR(__xludf.DUMMYFUNCTION("""COMPUTED_VALUE"""),"")</f>
        <v/>
      </c>
      <c r="H12882" s="42">
        <f t="shared" si="1"/>
        <v>3345</v>
      </c>
    </row>
    <row r="12883" ht="22.5" customHeight="1">
      <c r="B12883" s="42" t="str">
        <f>IFERROR(__xludf.DUMMYFUNCTION("""COMPUTED_VALUE"""),"")</f>
        <v/>
      </c>
      <c r="C12883" s="42" t="str">
        <f>IFERROR(__xludf.DUMMYFUNCTION("""COMPUTED_VALUE"""),"")</f>
        <v/>
      </c>
      <c r="D12883" s="42"/>
      <c r="E12883" s="42"/>
      <c r="F12883" s="48" t="str">
        <f>IFERROR(__xludf.DUMMYFUNCTION("""COMPUTED_VALUE"""),"")</f>
        <v/>
      </c>
      <c r="G12883" s="42" t="str">
        <f>IFERROR(__xludf.DUMMYFUNCTION("""COMPUTED_VALUE"""),"")</f>
        <v/>
      </c>
      <c r="H12883" s="42">
        <f t="shared" si="1"/>
        <v>3345</v>
      </c>
    </row>
    <row r="12884" ht="22.5" customHeight="1">
      <c r="B12884" s="42" t="str">
        <f>IFERROR(__xludf.DUMMYFUNCTION("""COMPUTED_VALUE"""),"")</f>
        <v/>
      </c>
      <c r="C12884" s="42" t="str">
        <f>IFERROR(__xludf.DUMMYFUNCTION("""COMPUTED_VALUE"""),"")</f>
        <v/>
      </c>
      <c r="D12884" s="42"/>
      <c r="E12884" s="42"/>
      <c r="F12884" s="48" t="str">
        <f>IFERROR(__xludf.DUMMYFUNCTION("""COMPUTED_VALUE"""),"")</f>
        <v/>
      </c>
      <c r="G12884" s="42" t="str">
        <f>IFERROR(__xludf.DUMMYFUNCTION("""COMPUTED_VALUE"""),"")</f>
        <v/>
      </c>
      <c r="H12884" s="42">
        <f t="shared" si="1"/>
        <v>3345</v>
      </c>
    </row>
    <row r="12885" ht="22.5" customHeight="1">
      <c r="B12885" s="42" t="str">
        <f>IFERROR(__xludf.DUMMYFUNCTION("""COMPUTED_VALUE"""),"")</f>
        <v/>
      </c>
      <c r="C12885" s="42" t="str">
        <f>IFERROR(__xludf.DUMMYFUNCTION("""COMPUTED_VALUE"""),"")</f>
        <v/>
      </c>
      <c r="D12885" s="42"/>
      <c r="E12885" s="42"/>
      <c r="F12885" s="48" t="str">
        <f>IFERROR(__xludf.DUMMYFUNCTION("""COMPUTED_VALUE"""),"")</f>
        <v/>
      </c>
      <c r="G12885" s="42" t="str">
        <f>IFERROR(__xludf.DUMMYFUNCTION("""COMPUTED_VALUE"""),"")</f>
        <v/>
      </c>
      <c r="H12885" s="42">
        <f t="shared" si="1"/>
        <v>3345</v>
      </c>
    </row>
    <row r="12886" ht="22.5" customHeight="1">
      <c r="B12886" s="42" t="str">
        <f>IFERROR(__xludf.DUMMYFUNCTION("""COMPUTED_VALUE"""),"")</f>
        <v/>
      </c>
      <c r="C12886" s="42" t="str">
        <f>IFERROR(__xludf.DUMMYFUNCTION("""COMPUTED_VALUE"""),"")</f>
        <v/>
      </c>
      <c r="D12886" s="42"/>
      <c r="E12886" s="42"/>
      <c r="F12886" s="48" t="str">
        <f>IFERROR(__xludf.DUMMYFUNCTION("""COMPUTED_VALUE"""),"")</f>
        <v/>
      </c>
      <c r="G12886" s="42" t="str">
        <f>IFERROR(__xludf.DUMMYFUNCTION("""COMPUTED_VALUE"""),"")</f>
        <v/>
      </c>
      <c r="H12886" s="42">
        <f t="shared" si="1"/>
        <v>3345</v>
      </c>
    </row>
    <row r="12887" ht="22.5" customHeight="1">
      <c r="B12887" s="42" t="str">
        <f>IFERROR(__xludf.DUMMYFUNCTION("""COMPUTED_VALUE"""),"")</f>
        <v/>
      </c>
      <c r="C12887" s="42" t="str">
        <f>IFERROR(__xludf.DUMMYFUNCTION("""COMPUTED_VALUE"""),"")</f>
        <v/>
      </c>
      <c r="D12887" s="42"/>
      <c r="E12887" s="42"/>
      <c r="F12887" s="48" t="str">
        <f>IFERROR(__xludf.DUMMYFUNCTION("""COMPUTED_VALUE"""),"")</f>
        <v/>
      </c>
      <c r="G12887" s="42" t="str">
        <f>IFERROR(__xludf.DUMMYFUNCTION("""COMPUTED_VALUE"""),"")</f>
        <v/>
      </c>
      <c r="H12887" s="42">
        <f t="shared" si="1"/>
        <v>3345</v>
      </c>
    </row>
    <row r="12888" ht="22.5" customHeight="1">
      <c r="B12888" s="42" t="str">
        <f>IFERROR(__xludf.DUMMYFUNCTION("""COMPUTED_VALUE"""),"")</f>
        <v/>
      </c>
      <c r="C12888" s="42" t="str">
        <f>IFERROR(__xludf.DUMMYFUNCTION("""COMPUTED_VALUE"""),"")</f>
        <v/>
      </c>
      <c r="D12888" s="42"/>
      <c r="E12888" s="42"/>
      <c r="F12888" s="48" t="str">
        <f>IFERROR(__xludf.DUMMYFUNCTION("""COMPUTED_VALUE"""),"")</f>
        <v/>
      </c>
      <c r="G12888" s="42" t="str">
        <f>IFERROR(__xludf.DUMMYFUNCTION("""COMPUTED_VALUE"""),"")</f>
        <v/>
      </c>
      <c r="H12888" s="42">
        <f t="shared" si="1"/>
        <v>3345</v>
      </c>
    </row>
    <row r="12889" ht="22.5" customHeight="1">
      <c r="B12889" s="42" t="str">
        <f>IFERROR(__xludf.DUMMYFUNCTION("""COMPUTED_VALUE"""),"")</f>
        <v/>
      </c>
      <c r="C12889" s="42" t="str">
        <f>IFERROR(__xludf.DUMMYFUNCTION("""COMPUTED_VALUE"""),"")</f>
        <v/>
      </c>
      <c r="D12889" s="42"/>
      <c r="E12889" s="42"/>
      <c r="F12889" s="48" t="str">
        <f>IFERROR(__xludf.DUMMYFUNCTION("""COMPUTED_VALUE"""),"")</f>
        <v/>
      </c>
      <c r="G12889" s="42" t="str">
        <f>IFERROR(__xludf.DUMMYFUNCTION("""COMPUTED_VALUE"""),"")</f>
        <v/>
      </c>
      <c r="H12889" s="42">
        <f t="shared" si="1"/>
        <v>3345</v>
      </c>
    </row>
    <row r="12890" ht="22.5" customHeight="1">
      <c r="B12890" s="42" t="str">
        <f>IFERROR(__xludf.DUMMYFUNCTION("""COMPUTED_VALUE"""),"")</f>
        <v/>
      </c>
      <c r="C12890" s="42" t="str">
        <f>IFERROR(__xludf.DUMMYFUNCTION("""COMPUTED_VALUE"""),"")</f>
        <v/>
      </c>
      <c r="D12890" s="42"/>
      <c r="E12890" s="42"/>
      <c r="F12890" s="48" t="str">
        <f>IFERROR(__xludf.DUMMYFUNCTION("""COMPUTED_VALUE"""),"")</f>
        <v/>
      </c>
      <c r="G12890" s="42" t="str">
        <f>IFERROR(__xludf.DUMMYFUNCTION("""COMPUTED_VALUE"""),"")</f>
        <v/>
      </c>
      <c r="H12890" s="42">
        <f t="shared" si="1"/>
        <v>3345</v>
      </c>
    </row>
    <row r="12891" ht="22.5" customHeight="1">
      <c r="B12891" s="42" t="str">
        <f>IFERROR(__xludf.DUMMYFUNCTION("""COMPUTED_VALUE"""),"")</f>
        <v/>
      </c>
      <c r="C12891" s="42" t="str">
        <f>IFERROR(__xludf.DUMMYFUNCTION("""COMPUTED_VALUE"""),"")</f>
        <v/>
      </c>
      <c r="D12891" s="42"/>
      <c r="E12891" s="42"/>
      <c r="F12891" s="48" t="str">
        <f>IFERROR(__xludf.DUMMYFUNCTION("""COMPUTED_VALUE"""),"")</f>
        <v/>
      </c>
      <c r="G12891" s="42" t="str">
        <f>IFERROR(__xludf.DUMMYFUNCTION("""COMPUTED_VALUE"""),"")</f>
        <v/>
      </c>
      <c r="H12891" s="42">
        <f t="shared" si="1"/>
        <v>3345</v>
      </c>
    </row>
    <row r="12892" ht="22.5" customHeight="1">
      <c r="B12892" s="42" t="str">
        <f>IFERROR(__xludf.DUMMYFUNCTION("""COMPUTED_VALUE"""),"")</f>
        <v/>
      </c>
      <c r="C12892" s="42" t="str">
        <f>IFERROR(__xludf.DUMMYFUNCTION("""COMPUTED_VALUE"""),"")</f>
        <v/>
      </c>
      <c r="D12892" s="42"/>
      <c r="E12892" s="42"/>
      <c r="F12892" s="48" t="str">
        <f>IFERROR(__xludf.DUMMYFUNCTION("""COMPUTED_VALUE"""),"")</f>
        <v/>
      </c>
      <c r="G12892" s="42" t="str">
        <f>IFERROR(__xludf.DUMMYFUNCTION("""COMPUTED_VALUE"""),"")</f>
        <v/>
      </c>
      <c r="H12892" s="42">
        <f t="shared" si="1"/>
        <v>3345</v>
      </c>
    </row>
    <row r="12893" ht="22.5" customHeight="1">
      <c r="B12893" s="42" t="str">
        <f>IFERROR(__xludf.DUMMYFUNCTION("""COMPUTED_VALUE"""),"")</f>
        <v/>
      </c>
      <c r="C12893" s="42" t="str">
        <f>IFERROR(__xludf.DUMMYFUNCTION("""COMPUTED_VALUE"""),"")</f>
        <v/>
      </c>
      <c r="D12893" s="42"/>
      <c r="E12893" s="42"/>
      <c r="F12893" s="48" t="str">
        <f>IFERROR(__xludf.DUMMYFUNCTION("""COMPUTED_VALUE"""),"")</f>
        <v/>
      </c>
      <c r="G12893" s="42" t="str">
        <f>IFERROR(__xludf.DUMMYFUNCTION("""COMPUTED_VALUE"""),"")</f>
        <v/>
      </c>
      <c r="H12893" s="42">
        <f t="shared" si="1"/>
        <v>3345</v>
      </c>
    </row>
    <row r="12894" ht="22.5" customHeight="1">
      <c r="B12894" s="42" t="str">
        <f>IFERROR(__xludf.DUMMYFUNCTION("""COMPUTED_VALUE"""),"")</f>
        <v/>
      </c>
      <c r="C12894" s="42" t="str">
        <f>IFERROR(__xludf.DUMMYFUNCTION("""COMPUTED_VALUE"""),"")</f>
        <v/>
      </c>
      <c r="D12894" s="42"/>
      <c r="E12894" s="42"/>
      <c r="F12894" s="48" t="str">
        <f>IFERROR(__xludf.DUMMYFUNCTION("""COMPUTED_VALUE"""),"")</f>
        <v/>
      </c>
      <c r="G12894" s="42" t="str">
        <f>IFERROR(__xludf.DUMMYFUNCTION("""COMPUTED_VALUE"""),"")</f>
        <v/>
      </c>
      <c r="H12894" s="42">
        <f t="shared" si="1"/>
        <v>3345</v>
      </c>
    </row>
    <row r="12895" ht="22.5" customHeight="1">
      <c r="B12895" s="42" t="str">
        <f>IFERROR(__xludf.DUMMYFUNCTION("""COMPUTED_VALUE"""),"")</f>
        <v/>
      </c>
      <c r="C12895" s="42" t="str">
        <f>IFERROR(__xludf.DUMMYFUNCTION("""COMPUTED_VALUE"""),"")</f>
        <v/>
      </c>
      <c r="D12895" s="42"/>
      <c r="E12895" s="42"/>
      <c r="F12895" s="48" t="str">
        <f>IFERROR(__xludf.DUMMYFUNCTION("""COMPUTED_VALUE"""),"")</f>
        <v/>
      </c>
      <c r="G12895" s="42" t="str">
        <f>IFERROR(__xludf.DUMMYFUNCTION("""COMPUTED_VALUE"""),"")</f>
        <v/>
      </c>
      <c r="H12895" s="42">
        <f t="shared" si="1"/>
        <v>3345</v>
      </c>
    </row>
    <row r="12896" ht="22.5" customHeight="1">
      <c r="B12896" s="42" t="str">
        <f>IFERROR(__xludf.DUMMYFUNCTION("""COMPUTED_VALUE"""),"")</f>
        <v/>
      </c>
      <c r="C12896" s="42" t="str">
        <f>IFERROR(__xludf.DUMMYFUNCTION("""COMPUTED_VALUE"""),"")</f>
        <v/>
      </c>
      <c r="D12896" s="42"/>
      <c r="E12896" s="42"/>
      <c r="F12896" s="48" t="str">
        <f>IFERROR(__xludf.DUMMYFUNCTION("""COMPUTED_VALUE"""),"")</f>
        <v/>
      </c>
      <c r="G12896" s="42" t="str">
        <f>IFERROR(__xludf.DUMMYFUNCTION("""COMPUTED_VALUE"""),"")</f>
        <v/>
      </c>
      <c r="H12896" s="42">
        <f t="shared" si="1"/>
        <v>3345</v>
      </c>
    </row>
    <row r="12897" ht="22.5" customHeight="1">
      <c r="B12897" s="42" t="str">
        <f>IFERROR(__xludf.DUMMYFUNCTION("""COMPUTED_VALUE"""),"")</f>
        <v/>
      </c>
      <c r="C12897" s="42" t="str">
        <f>IFERROR(__xludf.DUMMYFUNCTION("""COMPUTED_VALUE"""),"")</f>
        <v/>
      </c>
      <c r="D12897" s="42"/>
      <c r="E12897" s="42"/>
      <c r="F12897" s="48" t="str">
        <f>IFERROR(__xludf.DUMMYFUNCTION("""COMPUTED_VALUE"""),"")</f>
        <v/>
      </c>
      <c r="G12897" s="42" t="str">
        <f>IFERROR(__xludf.DUMMYFUNCTION("""COMPUTED_VALUE"""),"")</f>
        <v/>
      </c>
      <c r="H12897" s="42">
        <f t="shared" si="1"/>
        <v>3345</v>
      </c>
    </row>
    <row r="12898" ht="22.5" customHeight="1">
      <c r="B12898" s="42" t="str">
        <f>IFERROR(__xludf.DUMMYFUNCTION("""COMPUTED_VALUE"""),"")</f>
        <v/>
      </c>
      <c r="C12898" s="42" t="str">
        <f>IFERROR(__xludf.DUMMYFUNCTION("""COMPUTED_VALUE"""),"")</f>
        <v/>
      </c>
      <c r="D12898" s="42"/>
      <c r="E12898" s="42"/>
      <c r="F12898" s="48" t="str">
        <f>IFERROR(__xludf.DUMMYFUNCTION("""COMPUTED_VALUE"""),"")</f>
        <v/>
      </c>
      <c r="G12898" s="42" t="str">
        <f>IFERROR(__xludf.DUMMYFUNCTION("""COMPUTED_VALUE"""),"")</f>
        <v/>
      </c>
      <c r="H12898" s="42">
        <f t="shared" si="1"/>
        <v>3345</v>
      </c>
    </row>
    <row r="12899" ht="22.5" customHeight="1">
      <c r="B12899" s="42" t="str">
        <f>IFERROR(__xludf.DUMMYFUNCTION("""COMPUTED_VALUE"""),"")</f>
        <v/>
      </c>
      <c r="C12899" s="42" t="str">
        <f>IFERROR(__xludf.DUMMYFUNCTION("""COMPUTED_VALUE"""),"")</f>
        <v/>
      </c>
      <c r="D12899" s="42"/>
      <c r="E12899" s="42"/>
      <c r="F12899" s="48" t="str">
        <f>IFERROR(__xludf.DUMMYFUNCTION("""COMPUTED_VALUE"""),"")</f>
        <v/>
      </c>
      <c r="G12899" s="42" t="str">
        <f>IFERROR(__xludf.DUMMYFUNCTION("""COMPUTED_VALUE"""),"")</f>
        <v/>
      </c>
      <c r="H12899" s="42">
        <f t="shared" si="1"/>
        <v>3345</v>
      </c>
    </row>
    <row r="12900" ht="22.5" customHeight="1">
      <c r="B12900" s="42" t="str">
        <f>IFERROR(__xludf.DUMMYFUNCTION("""COMPUTED_VALUE"""),"")</f>
        <v/>
      </c>
      <c r="C12900" s="42" t="str">
        <f>IFERROR(__xludf.DUMMYFUNCTION("""COMPUTED_VALUE"""),"")</f>
        <v/>
      </c>
      <c r="D12900" s="42"/>
      <c r="E12900" s="42"/>
      <c r="F12900" s="48" t="str">
        <f>IFERROR(__xludf.DUMMYFUNCTION("""COMPUTED_VALUE"""),"")</f>
        <v/>
      </c>
      <c r="G12900" s="42" t="str">
        <f>IFERROR(__xludf.DUMMYFUNCTION("""COMPUTED_VALUE"""),"")</f>
        <v/>
      </c>
      <c r="H12900" s="42">
        <f t="shared" si="1"/>
        <v>3345</v>
      </c>
    </row>
    <row r="12901" ht="22.5" customHeight="1">
      <c r="B12901" s="42" t="str">
        <f>IFERROR(__xludf.DUMMYFUNCTION("""COMPUTED_VALUE"""),"")</f>
        <v/>
      </c>
      <c r="C12901" s="42" t="str">
        <f>IFERROR(__xludf.DUMMYFUNCTION("""COMPUTED_VALUE"""),"")</f>
        <v/>
      </c>
      <c r="D12901" s="42"/>
      <c r="E12901" s="42"/>
      <c r="F12901" s="48" t="str">
        <f>IFERROR(__xludf.DUMMYFUNCTION("""COMPUTED_VALUE"""),"")</f>
        <v/>
      </c>
      <c r="G12901" s="42" t="str">
        <f>IFERROR(__xludf.DUMMYFUNCTION("""COMPUTED_VALUE"""),"")</f>
        <v/>
      </c>
      <c r="H12901" s="42">
        <f t="shared" si="1"/>
        <v>3345</v>
      </c>
    </row>
    <row r="12902" ht="22.5" customHeight="1">
      <c r="B12902" s="42" t="str">
        <f>IFERROR(__xludf.DUMMYFUNCTION("""COMPUTED_VALUE"""),"")</f>
        <v/>
      </c>
      <c r="C12902" s="42" t="str">
        <f>IFERROR(__xludf.DUMMYFUNCTION("""COMPUTED_VALUE"""),"")</f>
        <v/>
      </c>
      <c r="D12902" s="42"/>
      <c r="E12902" s="42"/>
      <c r="F12902" s="48" t="str">
        <f>IFERROR(__xludf.DUMMYFUNCTION("""COMPUTED_VALUE"""),"")</f>
        <v/>
      </c>
      <c r="G12902" s="42" t="str">
        <f>IFERROR(__xludf.DUMMYFUNCTION("""COMPUTED_VALUE"""),"")</f>
        <v/>
      </c>
      <c r="H12902" s="42">
        <f t="shared" si="1"/>
        <v>3345</v>
      </c>
    </row>
    <row r="12903" ht="22.5" customHeight="1">
      <c r="B12903" s="42" t="str">
        <f>IFERROR(__xludf.DUMMYFUNCTION("""COMPUTED_VALUE"""),"")</f>
        <v/>
      </c>
      <c r="C12903" s="42" t="str">
        <f>IFERROR(__xludf.DUMMYFUNCTION("""COMPUTED_VALUE"""),"")</f>
        <v/>
      </c>
      <c r="D12903" s="42"/>
      <c r="E12903" s="42"/>
      <c r="F12903" s="48" t="str">
        <f>IFERROR(__xludf.DUMMYFUNCTION("""COMPUTED_VALUE"""),"")</f>
        <v/>
      </c>
      <c r="G12903" s="42" t="str">
        <f>IFERROR(__xludf.DUMMYFUNCTION("""COMPUTED_VALUE"""),"")</f>
        <v/>
      </c>
      <c r="H12903" s="42">
        <f t="shared" si="1"/>
        <v>3345</v>
      </c>
    </row>
    <row r="12904" ht="22.5" customHeight="1">
      <c r="B12904" s="42" t="str">
        <f>IFERROR(__xludf.DUMMYFUNCTION("""COMPUTED_VALUE"""),"")</f>
        <v/>
      </c>
      <c r="C12904" s="42" t="str">
        <f>IFERROR(__xludf.DUMMYFUNCTION("""COMPUTED_VALUE"""),"")</f>
        <v/>
      </c>
      <c r="D12904" s="42"/>
      <c r="E12904" s="42"/>
      <c r="F12904" s="48" t="str">
        <f>IFERROR(__xludf.DUMMYFUNCTION("""COMPUTED_VALUE"""),"")</f>
        <v/>
      </c>
      <c r="G12904" s="42" t="str">
        <f>IFERROR(__xludf.DUMMYFUNCTION("""COMPUTED_VALUE"""),"")</f>
        <v/>
      </c>
      <c r="H12904" s="42">
        <f t="shared" si="1"/>
        <v>3345</v>
      </c>
    </row>
    <row r="12905" ht="22.5" customHeight="1">
      <c r="B12905" s="42" t="str">
        <f>IFERROR(__xludf.DUMMYFUNCTION("""COMPUTED_VALUE"""),"")</f>
        <v/>
      </c>
      <c r="C12905" s="42" t="str">
        <f>IFERROR(__xludf.DUMMYFUNCTION("""COMPUTED_VALUE"""),"")</f>
        <v/>
      </c>
      <c r="D12905" s="42"/>
      <c r="E12905" s="42"/>
      <c r="F12905" s="48" t="str">
        <f>IFERROR(__xludf.DUMMYFUNCTION("""COMPUTED_VALUE"""),"")</f>
        <v/>
      </c>
      <c r="G12905" s="42" t="str">
        <f>IFERROR(__xludf.DUMMYFUNCTION("""COMPUTED_VALUE"""),"")</f>
        <v/>
      </c>
      <c r="H12905" s="42">
        <f t="shared" si="1"/>
        <v>3345</v>
      </c>
    </row>
    <row r="12906" ht="22.5" customHeight="1">
      <c r="B12906" s="42" t="str">
        <f>IFERROR(__xludf.DUMMYFUNCTION("""COMPUTED_VALUE"""),"")</f>
        <v/>
      </c>
      <c r="C12906" s="42" t="str">
        <f>IFERROR(__xludf.DUMMYFUNCTION("""COMPUTED_VALUE"""),"")</f>
        <v/>
      </c>
      <c r="D12906" s="42"/>
      <c r="E12906" s="42"/>
      <c r="F12906" s="48" t="str">
        <f>IFERROR(__xludf.DUMMYFUNCTION("""COMPUTED_VALUE"""),"")</f>
        <v/>
      </c>
      <c r="G12906" s="42" t="str">
        <f>IFERROR(__xludf.DUMMYFUNCTION("""COMPUTED_VALUE"""),"")</f>
        <v/>
      </c>
      <c r="H12906" s="42">
        <f t="shared" si="1"/>
        <v>3345</v>
      </c>
    </row>
    <row r="12907" ht="22.5" customHeight="1">
      <c r="B12907" s="42" t="str">
        <f>IFERROR(__xludf.DUMMYFUNCTION("""COMPUTED_VALUE"""),"")</f>
        <v/>
      </c>
      <c r="C12907" s="42" t="str">
        <f>IFERROR(__xludf.DUMMYFUNCTION("""COMPUTED_VALUE"""),"")</f>
        <v/>
      </c>
      <c r="D12907" s="42"/>
      <c r="E12907" s="42"/>
      <c r="F12907" s="48" t="str">
        <f>IFERROR(__xludf.DUMMYFUNCTION("""COMPUTED_VALUE"""),"")</f>
        <v/>
      </c>
      <c r="G12907" s="42" t="str">
        <f>IFERROR(__xludf.DUMMYFUNCTION("""COMPUTED_VALUE"""),"")</f>
        <v/>
      </c>
      <c r="H12907" s="42">
        <f t="shared" si="1"/>
        <v>3345</v>
      </c>
    </row>
    <row r="12908" ht="22.5" customHeight="1">
      <c r="B12908" s="42" t="str">
        <f>IFERROR(__xludf.DUMMYFUNCTION("""COMPUTED_VALUE"""),"")</f>
        <v/>
      </c>
      <c r="C12908" s="42" t="str">
        <f>IFERROR(__xludf.DUMMYFUNCTION("""COMPUTED_VALUE"""),"")</f>
        <v/>
      </c>
      <c r="D12908" s="42"/>
      <c r="E12908" s="42"/>
      <c r="F12908" s="48" t="str">
        <f>IFERROR(__xludf.DUMMYFUNCTION("""COMPUTED_VALUE"""),"")</f>
        <v/>
      </c>
      <c r="G12908" s="42" t="str">
        <f>IFERROR(__xludf.DUMMYFUNCTION("""COMPUTED_VALUE"""),"")</f>
        <v/>
      </c>
      <c r="H12908" s="42">
        <f t="shared" si="1"/>
        <v>3345</v>
      </c>
    </row>
    <row r="12909" ht="22.5" customHeight="1">
      <c r="B12909" s="42" t="str">
        <f>IFERROR(__xludf.DUMMYFUNCTION("""COMPUTED_VALUE"""),"")</f>
        <v/>
      </c>
      <c r="C12909" s="42" t="str">
        <f>IFERROR(__xludf.DUMMYFUNCTION("""COMPUTED_VALUE"""),"")</f>
        <v/>
      </c>
      <c r="D12909" s="42"/>
      <c r="E12909" s="42"/>
      <c r="F12909" s="48" t="str">
        <f>IFERROR(__xludf.DUMMYFUNCTION("""COMPUTED_VALUE"""),"")</f>
        <v/>
      </c>
      <c r="G12909" s="42" t="str">
        <f>IFERROR(__xludf.DUMMYFUNCTION("""COMPUTED_VALUE"""),"")</f>
        <v/>
      </c>
      <c r="H12909" s="42">
        <f t="shared" si="1"/>
        <v>3345</v>
      </c>
    </row>
    <row r="12910" ht="22.5" customHeight="1">
      <c r="B12910" s="42" t="str">
        <f>IFERROR(__xludf.DUMMYFUNCTION("""COMPUTED_VALUE"""),"")</f>
        <v/>
      </c>
      <c r="C12910" s="42" t="str">
        <f>IFERROR(__xludf.DUMMYFUNCTION("""COMPUTED_VALUE"""),"")</f>
        <v/>
      </c>
      <c r="D12910" s="42"/>
      <c r="E12910" s="42"/>
      <c r="F12910" s="48" t="str">
        <f>IFERROR(__xludf.DUMMYFUNCTION("""COMPUTED_VALUE"""),"")</f>
        <v/>
      </c>
      <c r="G12910" s="42" t="str">
        <f>IFERROR(__xludf.DUMMYFUNCTION("""COMPUTED_VALUE"""),"")</f>
        <v/>
      </c>
      <c r="H12910" s="42">
        <f t="shared" si="1"/>
        <v>3345</v>
      </c>
    </row>
    <row r="12911" ht="22.5" customHeight="1">
      <c r="B12911" s="42" t="str">
        <f>IFERROR(__xludf.DUMMYFUNCTION("""COMPUTED_VALUE"""),"")</f>
        <v/>
      </c>
      <c r="C12911" s="42" t="str">
        <f>IFERROR(__xludf.DUMMYFUNCTION("""COMPUTED_VALUE"""),"")</f>
        <v/>
      </c>
      <c r="D12911" s="42"/>
      <c r="E12911" s="42"/>
      <c r="F12911" s="48" t="str">
        <f>IFERROR(__xludf.DUMMYFUNCTION("""COMPUTED_VALUE"""),"")</f>
        <v/>
      </c>
      <c r="G12911" s="42" t="str">
        <f>IFERROR(__xludf.DUMMYFUNCTION("""COMPUTED_VALUE"""),"")</f>
        <v/>
      </c>
      <c r="H12911" s="42">
        <f t="shared" si="1"/>
        <v>3345</v>
      </c>
    </row>
    <row r="12912" ht="22.5" customHeight="1">
      <c r="B12912" s="42" t="str">
        <f>IFERROR(__xludf.DUMMYFUNCTION("""COMPUTED_VALUE"""),"")</f>
        <v/>
      </c>
      <c r="C12912" s="42" t="str">
        <f>IFERROR(__xludf.DUMMYFUNCTION("""COMPUTED_VALUE"""),"")</f>
        <v/>
      </c>
      <c r="D12912" s="42"/>
      <c r="E12912" s="42"/>
      <c r="F12912" s="48" t="str">
        <f>IFERROR(__xludf.DUMMYFUNCTION("""COMPUTED_VALUE"""),"")</f>
        <v/>
      </c>
      <c r="G12912" s="42" t="str">
        <f>IFERROR(__xludf.DUMMYFUNCTION("""COMPUTED_VALUE"""),"")</f>
        <v/>
      </c>
      <c r="H12912" s="42">
        <f t="shared" si="1"/>
        <v>3345</v>
      </c>
    </row>
    <row r="12913" ht="22.5" customHeight="1">
      <c r="B12913" s="42" t="str">
        <f>IFERROR(__xludf.DUMMYFUNCTION("""COMPUTED_VALUE"""),"")</f>
        <v/>
      </c>
      <c r="C12913" s="42" t="str">
        <f>IFERROR(__xludf.DUMMYFUNCTION("""COMPUTED_VALUE"""),"")</f>
        <v/>
      </c>
      <c r="D12913" s="42"/>
      <c r="E12913" s="42"/>
      <c r="F12913" s="48" t="str">
        <f>IFERROR(__xludf.DUMMYFUNCTION("""COMPUTED_VALUE"""),"")</f>
        <v/>
      </c>
      <c r="G12913" s="42" t="str">
        <f>IFERROR(__xludf.DUMMYFUNCTION("""COMPUTED_VALUE"""),"")</f>
        <v/>
      </c>
      <c r="H12913" s="42">
        <f t="shared" si="1"/>
        <v>3345</v>
      </c>
    </row>
    <row r="12914" ht="22.5" customHeight="1">
      <c r="B12914" s="42" t="str">
        <f>IFERROR(__xludf.DUMMYFUNCTION("""COMPUTED_VALUE"""),"")</f>
        <v/>
      </c>
      <c r="C12914" s="42" t="str">
        <f>IFERROR(__xludf.DUMMYFUNCTION("""COMPUTED_VALUE"""),"")</f>
        <v/>
      </c>
      <c r="D12914" s="42"/>
      <c r="E12914" s="42"/>
      <c r="F12914" s="48" t="str">
        <f>IFERROR(__xludf.DUMMYFUNCTION("""COMPUTED_VALUE"""),"")</f>
        <v/>
      </c>
      <c r="G12914" s="42" t="str">
        <f>IFERROR(__xludf.DUMMYFUNCTION("""COMPUTED_VALUE"""),"")</f>
        <v/>
      </c>
      <c r="H12914" s="42">
        <f t="shared" si="1"/>
        <v>3345</v>
      </c>
    </row>
    <row r="12915" ht="22.5" customHeight="1">
      <c r="B12915" s="42" t="str">
        <f>IFERROR(__xludf.DUMMYFUNCTION("""COMPUTED_VALUE"""),"")</f>
        <v/>
      </c>
      <c r="C12915" s="42" t="str">
        <f>IFERROR(__xludf.DUMMYFUNCTION("""COMPUTED_VALUE"""),"")</f>
        <v/>
      </c>
      <c r="D12915" s="42"/>
      <c r="E12915" s="42"/>
      <c r="F12915" s="48" t="str">
        <f>IFERROR(__xludf.DUMMYFUNCTION("""COMPUTED_VALUE"""),"")</f>
        <v/>
      </c>
      <c r="G12915" s="42" t="str">
        <f>IFERROR(__xludf.DUMMYFUNCTION("""COMPUTED_VALUE"""),"")</f>
        <v/>
      </c>
      <c r="H12915" s="42">
        <f t="shared" si="1"/>
        <v>3345</v>
      </c>
    </row>
    <row r="12916" ht="22.5" customHeight="1">
      <c r="B12916" s="42" t="str">
        <f>IFERROR(__xludf.DUMMYFUNCTION("""COMPUTED_VALUE"""),"")</f>
        <v/>
      </c>
      <c r="C12916" s="42" t="str">
        <f>IFERROR(__xludf.DUMMYFUNCTION("""COMPUTED_VALUE"""),"")</f>
        <v/>
      </c>
      <c r="D12916" s="42"/>
      <c r="E12916" s="42"/>
      <c r="F12916" s="48" t="str">
        <f>IFERROR(__xludf.DUMMYFUNCTION("""COMPUTED_VALUE"""),"")</f>
        <v/>
      </c>
      <c r="G12916" s="42" t="str">
        <f>IFERROR(__xludf.DUMMYFUNCTION("""COMPUTED_VALUE"""),"")</f>
        <v/>
      </c>
      <c r="H12916" s="42">
        <f t="shared" si="1"/>
        <v>3345</v>
      </c>
    </row>
    <row r="12917" ht="22.5" customHeight="1">
      <c r="B12917" s="42" t="str">
        <f>IFERROR(__xludf.DUMMYFUNCTION("""COMPUTED_VALUE"""),"")</f>
        <v/>
      </c>
      <c r="C12917" s="42" t="str">
        <f>IFERROR(__xludf.DUMMYFUNCTION("""COMPUTED_VALUE"""),"")</f>
        <v/>
      </c>
      <c r="D12917" s="42"/>
      <c r="E12917" s="42"/>
      <c r="F12917" s="48" t="str">
        <f>IFERROR(__xludf.DUMMYFUNCTION("""COMPUTED_VALUE"""),"")</f>
        <v/>
      </c>
      <c r="G12917" s="42" t="str">
        <f>IFERROR(__xludf.DUMMYFUNCTION("""COMPUTED_VALUE"""),"")</f>
        <v/>
      </c>
      <c r="H12917" s="42">
        <f t="shared" si="1"/>
        <v>3345</v>
      </c>
    </row>
    <row r="12918" ht="22.5" customHeight="1">
      <c r="B12918" s="42" t="str">
        <f>IFERROR(__xludf.DUMMYFUNCTION("""COMPUTED_VALUE"""),"")</f>
        <v/>
      </c>
      <c r="C12918" s="42" t="str">
        <f>IFERROR(__xludf.DUMMYFUNCTION("""COMPUTED_VALUE"""),"")</f>
        <v/>
      </c>
      <c r="D12918" s="42"/>
      <c r="E12918" s="42"/>
      <c r="F12918" s="48" t="str">
        <f>IFERROR(__xludf.DUMMYFUNCTION("""COMPUTED_VALUE"""),"")</f>
        <v/>
      </c>
      <c r="G12918" s="42" t="str">
        <f>IFERROR(__xludf.DUMMYFUNCTION("""COMPUTED_VALUE"""),"")</f>
        <v/>
      </c>
      <c r="H12918" s="42">
        <f t="shared" si="1"/>
        <v>3345</v>
      </c>
    </row>
    <row r="12919" ht="22.5" customHeight="1">
      <c r="B12919" s="42" t="str">
        <f>IFERROR(__xludf.DUMMYFUNCTION("""COMPUTED_VALUE"""),"")</f>
        <v/>
      </c>
      <c r="C12919" s="42" t="str">
        <f>IFERROR(__xludf.DUMMYFUNCTION("""COMPUTED_VALUE"""),"")</f>
        <v/>
      </c>
      <c r="D12919" s="42"/>
      <c r="E12919" s="42"/>
      <c r="F12919" s="48" t="str">
        <f>IFERROR(__xludf.DUMMYFUNCTION("""COMPUTED_VALUE"""),"")</f>
        <v/>
      </c>
      <c r="G12919" s="42" t="str">
        <f>IFERROR(__xludf.DUMMYFUNCTION("""COMPUTED_VALUE"""),"")</f>
        <v/>
      </c>
      <c r="H12919" s="42">
        <f t="shared" si="1"/>
        <v>3345</v>
      </c>
    </row>
    <row r="12920" ht="22.5" customHeight="1">
      <c r="B12920" s="42" t="str">
        <f>IFERROR(__xludf.DUMMYFUNCTION("""COMPUTED_VALUE"""),"")</f>
        <v/>
      </c>
      <c r="C12920" s="42" t="str">
        <f>IFERROR(__xludf.DUMMYFUNCTION("""COMPUTED_VALUE"""),"")</f>
        <v/>
      </c>
      <c r="D12920" s="42"/>
      <c r="E12920" s="42"/>
      <c r="F12920" s="48" t="str">
        <f>IFERROR(__xludf.DUMMYFUNCTION("""COMPUTED_VALUE"""),"")</f>
        <v/>
      </c>
      <c r="G12920" s="42" t="str">
        <f>IFERROR(__xludf.DUMMYFUNCTION("""COMPUTED_VALUE"""),"")</f>
        <v/>
      </c>
      <c r="H12920" s="42">
        <f t="shared" si="1"/>
        <v>3345</v>
      </c>
    </row>
    <row r="12921" ht="22.5" customHeight="1">
      <c r="B12921" s="42" t="str">
        <f>IFERROR(__xludf.DUMMYFUNCTION("""COMPUTED_VALUE"""),"")</f>
        <v/>
      </c>
      <c r="C12921" s="42" t="str">
        <f>IFERROR(__xludf.DUMMYFUNCTION("""COMPUTED_VALUE"""),"")</f>
        <v/>
      </c>
      <c r="D12921" s="42"/>
      <c r="E12921" s="42"/>
      <c r="F12921" s="48" t="str">
        <f>IFERROR(__xludf.DUMMYFUNCTION("""COMPUTED_VALUE"""),"")</f>
        <v/>
      </c>
      <c r="G12921" s="42" t="str">
        <f>IFERROR(__xludf.DUMMYFUNCTION("""COMPUTED_VALUE"""),"")</f>
        <v/>
      </c>
      <c r="H12921" s="42">
        <f t="shared" si="1"/>
        <v>3345</v>
      </c>
    </row>
    <row r="12922" ht="22.5" customHeight="1">
      <c r="B12922" s="42" t="str">
        <f>IFERROR(__xludf.DUMMYFUNCTION("""COMPUTED_VALUE"""),"")</f>
        <v/>
      </c>
      <c r="C12922" s="42" t="str">
        <f>IFERROR(__xludf.DUMMYFUNCTION("""COMPUTED_VALUE"""),"")</f>
        <v/>
      </c>
      <c r="D12922" s="42"/>
      <c r="E12922" s="42"/>
      <c r="F12922" s="48" t="str">
        <f>IFERROR(__xludf.DUMMYFUNCTION("""COMPUTED_VALUE"""),"")</f>
        <v/>
      </c>
      <c r="G12922" s="42" t="str">
        <f>IFERROR(__xludf.DUMMYFUNCTION("""COMPUTED_VALUE"""),"")</f>
        <v/>
      </c>
      <c r="H12922" s="42">
        <f t="shared" si="1"/>
        <v>3345</v>
      </c>
    </row>
    <row r="12923" ht="22.5" customHeight="1">
      <c r="B12923" s="42" t="str">
        <f>IFERROR(__xludf.DUMMYFUNCTION("""COMPUTED_VALUE"""),"")</f>
        <v/>
      </c>
      <c r="C12923" s="42" t="str">
        <f>IFERROR(__xludf.DUMMYFUNCTION("""COMPUTED_VALUE"""),"")</f>
        <v/>
      </c>
      <c r="D12923" s="42"/>
      <c r="E12923" s="42"/>
      <c r="F12923" s="48" t="str">
        <f>IFERROR(__xludf.DUMMYFUNCTION("""COMPUTED_VALUE"""),"")</f>
        <v/>
      </c>
      <c r="G12923" s="42" t="str">
        <f>IFERROR(__xludf.DUMMYFUNCTION("""COMPUTED_VALUE"""),"")</f>
        <v/>
      </c>
      <c r="H12923" s="42">
        <f t="shared" si="1"/>
        <v>3345</v>
      </c>
    </row>
    <row r="12924" ht="22.5" customHeight="1">
      <c r="B12924" s="42" t="str">
        <f>IFERROR(__xludf.DUMMYFUNCTION("""COMPUTED_VALUE"""),"")</f>
        <v/>
      </c>
      <c r="C12924" s="42" t="str">
        <f>IFERROR(__xludf.DUMMYFUNCTION("""COMPUTED_VALUE"""),"")</f>
        <v/>
      </c>
      <c r="D12924" s="42"/>
      <c r="E12924" s="42"/>
      <c r="F12924" s="48" t="str">
        <f>IFERROR(__xludf.DUMMYFUNCTION("""COMPUTED_VALUE"""),"")</f>
        <v/>
      </c>
      <c r="G12924" s="42" t="str">
        <f>IFERROR(__xludf.DUMMYFUNCTION("""COMPUTED_VALUE"""),"")</f>
        <v/>
      </c>
      <c r="H12924" s="42">
        <f t="shared" si="1"/>
        <v>3345</v>
      </c>
    </row>
    <row r="12925" ht="22.5" customHeight="1">
      <c r="B12925" s="42" t="str">
        <f>IFERROR(__xludf.DUMMYFUNCTION("""COMPUTED_VALUE"""),"")</f>
        <v/>
      </c>
      <c r="C12925" s="42" t="str">
        <f>IFERROR(__xludf.DUMMYFUNCTION("""COMPUTED_VALUE"""),"")</f>
        <v/>
      </c>
      <c r="D12925" s="42"/>
      <c r="E12925" s="42"/>
      <c r="F12925" s="48" t="str">
        <f>IFERROR(__xludf.DUMMYFUNCTION("""COMPUTED_VALUE"""),"")</f>
        <v/>
      </c>
      <c r="G12925" s="42" t="str">
        <f>IFERROR(__xludf.DUMMYFUNCTION("""COMPUTED_VALUE"""),"")</f>
        <v/>
      </c>
      <c r="H12925" s="42">
        <f t="shared" si="1"/>
        <v>3345</v>
      </c>
    </row>
    <row r="12926" ht="22.5" customHeight="1">
      <c r="B12926" s="42" t="str">
        <f>IFERROR(__xludf.DUMMYFUNCTION("""COMPUTED_VALUE"""),"")</f>
        <v/>
      </c>
      <c r="C12926" s="42" t="str">
        <f>IFERROR(__xludf.DUMMYFUNCTION("""COMPUTED_VALUE"""),"")</f>
        <v/>
      </c>
      <c r="D12926" s="42"/>
      <c r="E12926" s="42"/>
      <c r="F12926" s="48" t="str">
        <f>IFERROR(__xludf.DUMMYFUNCTION("""COMPUTED_VALUE"""),"")</f>
        <v/>
      </c>
      <c r="G12926" s="42" t="str">
        <f>IFERROR(__xludf.DUMMYFUNCTION("""COMPUTED_VALUE"""),"")</f>
        <v/>
      </c>
      <c r="H12926" s="42">
        <f t="shared" si="1"/>
        <v>3345</v>
      </c>
    </row>
    <row r="12927" ht="22.5" customHeight="1">
      <c r="B12927" s="42" t="str">
        <f>IFERROR(__xludf.DUMMYFUNCTION("""COMPUTED_VALUE"""),"")</f>
        <v/>
      </c>
      <c r="C12927" s="42" t="str">
        <f>IFERROR(__xludf.DUMMYFUNCTION("""COMPUTED_VALUE"""),"")</f>
        <v/>
      </c>
      <c r="D12927" s="42"/>
      <c r="E12927" s="42"/>
      <c r="F12927" s="48" t="str">
        <f>IFERROR(__xludf.DUMMYFUNCTION("""COMPUTED_VALUE"""),"")</f>
        <v/>
      </c>
      <c r="G12927" s="42" t="str">
        <f>IFERROR(__xludf.DUMMYFUNCTION("""COMPUTED_VALUE"""),"")</f>
        <v/>
      </c>
      <c r="H12927" s="42">
        <f t="shared" si="1"/>
        <v>3345</v>
      </c>
    </row>
    <row r="12928" ht="22.5" customHeight="1">
      <c r="B12928" s="42" t="str">
        <f>IFERROR(__xludf.DUMMYFUNCTION("""COMPUTED_VALUE"""),"")</f>
        <v/>
      </c>
      <c r="C12928" s="42" t="str">
        <f>IFERROR(__xludf.DUMMYFUNCTION("""COMPUTED_VALUE"""),"")</f>
        <v/>
      </c>
      <c r="D12928" s="42"/>
      <c r="E12928" s="42"/>
      <c r="F12928" s="48" t="str">
        <f>IFERROR(__xludf.DUMMYFUNCTION("""COMPUTED_VALUE"""),"")</f>
        <v/>
      </c>
      <c r="G12928" s="42" t="str">
        <f>IFERROR(__xludf.DUMMYFUNCTION("""COMPUTED_VALUE"""),"")</f>
        <v/>
      </c>
      <c r="H12928" s="42">
        <f t="shared" si="1"/>
        <v>3345</v>
      </c>
    </row>
    <row r="12929" ht="22.5" customHeight="1">
      <c r="B12929" s="42" t="str">
        <f>IFERROR(__xludf.DUMMYFUNCTION("""COMPUTED_VALUE"""),"")</f>
        <v/>
      </c>
      <c r="C12929" s="42" t="str">
        <f>IFERROR(__xludf.DUMMYFUNCTION("""COMPUTED_VALUE"""),"")</f>
        <v/>
      </c>
      <c r="D12929" s="42"/>
      <c r="E12929" s="42"/>
      <c r="F12929" s="48" t="str">
        <f>IFERROR(__xludf.DUMMYFUNCTION("""COMPUTED_VALUE"""),"")</f>
        <v/>
      </c>
      <c r="G12929" s="42" t="str">
        <f>IFERROR(__xludf.DUMMYFUNCTION("""COMPUTED_VALUE"""),"")</f>
        <v/>
      </c>
      <c r="H12929" s="42">
        <f t="shared" si="1"/>
        <v>3345</v>
      </c>
    </row>
    <row r="12930" ht="22.5" customHeight="1">
      <c r="B12930" s="42" t="str">
        <f>IFERROR(__xludf.DUMMYFUNCTION("""COMPUTED_VALUE"""),"")</f>
        <v/>
      </c>
      <c r="C12930" s="42" t="str">
        <f>IFERROR(__xludf.DUMMYFUNCTION("""COMPUTED_VALUE"""),"")</f>
        <v/>
      </c>
      <c r="D12930" s="42"/>
      <c r="E12930" s="42"/>
      <c r="F12930" s="48" t="str">
        <f>IFERROR(__xludf.DUMMYFUNCTION("""COMPUTED_VALUE"""),"")</f>
        <v/>
      </c>
      <c r="G12930" s="42" t="str">
        <f>IFERROR(__xludf.DUMMYFUNCTION("""COMPUTED_VALUE"""),"")</f>
        <v/>
      </c>
      <c r="H12930" s="42">
        <f t="shared" si="1"/>
        <v>3345</v>
      </c>
    </row>
    <row r="12931" ht="22.5" customHeight="1">
      <c r="B12931" s="42" t="str">
        <f>IFERROR(__xludf.DUMMYFUNCTION("""COMPUTED_VALUE"""),"")</f>
        <v/>
      </c>
      <c r="C12931" s="42" t="str">
        <f>IFERROR(__xludf.DUMMYFUNCTION("""COMPUTED_VALUE"""),"")</f>
        <v/>
      </c>
      <c r="D12931" s="42"/>
      <c r="E12931" s="42"/>
      <c r="F12931" s="48" t="str">
        <f>IFERROR(__xludf.DUMMYFUNCTION("""COMPUTED_VALUE"""),"")</f>
        <v/>
      </c>
      <c r="G12931" s="42" t="str">
        <f>IFERROR(__xludf.DUMMYFUNCTION("""COMPUTED_VALUE"""),"")</f>
        <v/>
      </c>
      <c r="H12931" s="42">
        <f t="shared" si="1"/>
        <v>3345</v>
      </c>
    </row>
    <row r="12932" ht="22.5" customHeight="1">
      <c r="B12932" s="42" t="str">
        <f>IFERROR(__xludf.DUMMYFUNCTION("""COMPUTED_VALUE"""),"")</f>
        <v/>
      </c>
      <c r="C12932" s="42" t="str">
        <f>IFERROR(__xludf.DUMMYFUNCTION("""COMPUTED_VALUE"""),"")</f>
        <v/>
      </c>
      <c r="D12932" s="42"/>
      <c r="E12932" s="42"/>
      <c r="F12932" s="48" t="str">
        <f>IFERROR(__xludf.DUMMYFUNCTION("""COMPUTED_VALUE"""),"")</f>
        <v/>
      </c>
      <c r="G12932" s="42" t="str">
        <f>IFERROR(__xludf.DUMMYFUNCTION("""COMPUTED_VALUE"""),"")</f>
        <v/>
      </c>
      <c r="H12932" s="42">
        <f t="shared" si="1"/>
        <v>3345</v>
      </c>
    </row>
    <row r="12933" ht="22.5" customHeight="1">
      <c r="B12933" s="42" t="str">
        <f>IFERROR(__xludf.DUMMYFUNCTION("""COMPUTED_VALUE"""),"")</f>
        <v/>
      </c>
      <c r="C12933" s="42" t="str">
        <f>IFERROR(__xludf.DUMMYFUNCTION("""COMPUTED_VALUE"""),"")</f>
        <v/>
      </c>
      <c r="D12933" s="42"/>
      <c r="E12933" s="42"/>
      <c r="F12933" s="48" t="str">
        <f>IFERROR(__xludf.DUMMYFUNCTION("""COMPUTED_VALUE"""),"")</f>
        <v/>
      </c>
      <c r="G12933" s="42" t="str">
        <f>IFERROR(__xludf.DUMMYFUNCTION("""COMPUTED_VALUE"""),"")</f>
        <v/>
      </c>
      <c r="H12933" s="42">
        <f t="shared" si="1"/>
        <v>3345</v>
      </c>
    </row>
    <row r="12934" ht="22.5" customHeight="1">
      <c r="B12934" s="42" t="str">
        <f>IFERROR(__xludf.DUMMYFUNCTION("""COMPUTED_VALUE"""),"")</f>
        <v/>
      </c>
      <c r="C12934" s="42" t="str">
        <f>IFERROR(__xludf.DUMMYFUNCTION("""COMPUTED_VALUE"""),"")</f>
        <v/>
      </c>
      <c r="D12934" s="42"/>
      <c r="E12934" s="42"/>
      <c r="F12934" s="48" t="str">
        <f>IFERROR(__xludf.DUMMYFUNCTION("""COMPUTED_VALUE"""),"")</f>
        <v/>
      </c>
      <c r="G12934" s="42" t="str">
        <f>IFERROR(__xludf.DUMMYFUNCTION("""COMPUTED_VALUE"""),"")</f>
        <v/>
      </c>
      <c r="H12934" s="42">
        <f t="shared" si="1"/>
        <v>3345</v>
      </c>
    </row>
    <row r="12935" ht="22.5" customHeight="1">
      <c r="B12935" s="42" t="str">
        <f>IFERROR(__xludf.DUMMYFUNCTION("""COMPUTED_VALUE"""),"")</f>
        <v/>
      </c>
      <c r="C12935" s="42" t="str">
        <f>IFERROR(__xludf.DUMMYFUNCTION("""COMPUTED_VALUE"""),"")</f>
        <v/>
      </c>
      <c r="D12935" s="42"/>
      <c r="E12935" s="42"/>
      <c r="F12935" s="48" t="str">
        <f>IFERROR(__xludf.DUMMYFUNCTION("""COMPUTED_VALUE"""),"")</f>
        <v/>
      </c>
      <c r="G12935" s="42" t="str">
        <f>IFERROR(__xludf.DUMMYFUNCTION("""COMPUTED_VALUE"""),"")</f>
        <v/>
      </c>
      <c r="H12935" s="42">
        <f t="shared" si="1"/>
        <v>3345</v>
      </c>
    </row>
    <row r="12936" ht="22.5" customHeight="1">
      <c r="B12936" s="42" t="str">
        <f>IFERROR(__xludf.DUMMYFUNCTION("""COMPUTED_VALUE"""),"")</f>
        <v/>
      </c>
      <c r="C12936" s="42" t="str">
        <f>IFERROR(__xludf.DUMMYFUNCTION("""COMPUTED_VALUE"""),"")</f>
        <v/>
      </c>
      <c r="D12936" s="42"/>
      <c r="E12936" s="42"/>
      <c r="F12936" s="48" t="str">
        <f>IFERROR(__xludf.DUMMYFUNCTION("""COMPUTED_VALUE"""),"")</f>
        <v/>
      </c>
      <c r="G12936" s="42" t="str">
        <f>IFERROR(__xludf.DUMMYFUNCTION("""COMPUTED_VALUE"""),"")</f>
        <v/>
      </c>
      <c r="H12936" s="42">
        <f t="shared" si="1"/>
        <v>3345</v>
      </c>
    </row>
    <row r="12937" ht="22.5" customHeight="1">
      <c r="B12937" s="42" t="str">
        <f>IFERROR(__xludf.DUMMYFUNCTION("""COMPUTED_VALUE"""),"")</f>
        <v/>
      </c>
      <c r="C12937" s="42" t="str">
        <f>IFERROR(__xludf.DUMMYFUNCTION("""COMPUTED_VALUE"""),"")</f>
        <v/>
      </c>
      <c r="D12937" s="42"/>
      <c r="E12937" s="42"/>
      <c r="F12937" s="48" t="str">
        <f>IFERROR(__xludf.DUMMYFUNCTION("""COMPUTED_VALUE"""),"")</f>
        <v/>
      </c>
      <c r="G12937" s="42" t="str">
        <f>IFERROR(__xludf.DUMMYFUNCTION("""COMPUTED_VALUE"""),"")</f>
        <v/>
      </c>
      <c r="H12937" s="42">
        <f t="shared" si="1"/>
        <v>3345</v>
      </c>
    </row>
    <row r="12938" ht="22.5" customHeight="1">
      <c r="B12938" s="42" t="str">
        <f>IFERROR(__xludf.DUMMYFUNCTION("""COMPUTED_VALUE"""),"")</f>
        <v/>
      </c>
      <c r="C12938" s="42" t="str">
        <f>IFERROR(__xludf.DUMMYFUNCTION("""COMPUTED_VALUE"""),"")</f>
        <v/>
      </c>
      <c r="D12938" s="42"/>
      <c r="E12938" s="42"/>
      <c r="F12938" s="48" t="str">
        <f>IFERROR(__xludf.DUMMYFUNCTION("""COMPUTED_VALUE"""),"")</f>
        <v/>
      </c>
      <c r="G12938" s="42" t="str">
        <f>IFERROR(__xludf.DUMMYFUNCTION("""COMPUTED_VALUE"""),"")</f>
        <v/>
      </c>
      <c r="H12938" s="42">
        <f t="shared" si="1"/>
        <v>3345</v>
      </c>
    </row>
    <row r="12939" ht="22.5" customHeight="1">
      <c r="B12939" s="42" t="str">
        <f>IFERROR(__xludf.DUMMYFUNCTION("""COMPUTED_VALUE"""),"")</f>
        <v/>
      </c>
      <c r="C12939" s="42" t="str">
        <f>IFERROR(__xludf.DUMMYFUNCTION("""COMPUTED_VALUE"""),"")</f>
        <v/>
      </c>
      <c r="D12939" s="42"/>
      <c r="E12939" s="42"/>
      <c r="F12939" s="48" t="str">
        <f>IFERROR(__xludf.DUMMYFUNCTION("""COMPUTED_VALUE"""),"")</f>
        <v/>
      </c>
      <c r="G12939" s="42" t="str">
        <f>IFERROR(__xludf.DUMMYFUNCTION("""COMPUTED_VALUE"""),"")</f>
        <v/>
      </c>
      <c r="H12939" s="42">
        <f t="shared" si="1"/>
        <v>3345</v>
      </c>
    </row>
    <row r="12940" ht="22.5" customHeight="1">
      <c r="B12940" s="42" t="str">
        <f>IFERROR(__xludf.DUMMYFUNCTION("""COMPUTED_VALUE"""),"")</f>
        <v/>
      </c>
      <c r="C12940" s="42" t="str">
        <f>IFERROR(__xludf.DUMMYFUNCTION("""COMPUTED_VALUE"""),"")</f>
        <v/>
      </c>
      <c r="D12940" s="42"/>
      <c r="E12940" s="42"/>
      <c r="F12940" s="48" t="str">
        <f>IFERROR(__xludf.DUMMYFUNCTION("""COMPUTED_VALUE"""),"")</f>
        <v/>
      </c>
      <c r="G12940" s="42" t="str">
        <f>IFERROR(__xludf.DUMMYFUNCTION("""COMPUTED_VALUE"""),"")</f>
        <v/>
      </c>
      <c r="H12940" s="42">
        <f t="shared" si="1"/>
        <v>3345</v>
      </c>
    </row>
    <row r="12941" ht="22.5" customHeight="1">
      <c r="B12941" s="42" t="str">
        <f>IFERROR(__xludf.DUMMYFUNCTION("""COMPUTED_VALUE"""),"")</f>
        <v/>
      </c>
      <c r="C12941" s="42" t="str">
        <f>IFERROR(__xludf.DUMMYFUNCTION("""COMPUTED_VALUE"""),"")</f>
        <v/>
      </c>
      <c r="D12941" s="42"/>
      <c r="E12941" s="42"/>
      <c r="F12941" s="48" t="str">
        <f>IFERROR(__xludf.DUMMYFUNCTION("""COMPUTED_VALUE"""),"")</f>
        <v/>
      </c>
      <c r="G12941" s="42" t="str">
        <f>IFERROR(__xludf.DUMMYFUNCTION("""COMPUTED_VALUE"""),"")</f>
        <v/>
      </c>
      <c r="H12941" s="42">
        <f t="shared" si="1"/>
        <v>3345</v>
      </c>
    </row>
    <row r="12942" ht="22.5" customHeight="1">
      <c r="B12942" s="42" t="str">
        <f>IFERROR(__xludf.DUMMYFUNCTION("""COMPUTED_VALUE"""),"")</f>
        <v/>
      </c>
      <c r="C12942" s="42" t="str">
        <f>IFERROR(__xludf.DUMMYFUNCTION("""COMPUTED_VALUE"""),"")</f>
        <v/>
      </c>
      <c r="D12942" s="42"/>
      <c r="E12942" s="42"/>
      <c r="F12942" s="48" t="str">
        <f>IFERROR(__xludf.DUMMYFUNCTION("""COMPUTED_VALUE"""),"")</f>
        <v/>
      </c>
      <c r="G12942" s="42" t="str">
        <f>IFERROR(__xludf.DUMMYFUNCTION("""COMPUTED_VALUE"""),"")</f>
        <v/>
      </c>
      <c r="H12942" s="42">
        <f t="shared" si="1"/>
        <v>3345</v>
      </c>
    </row>
    <row r="12943" ht="22.5" customHeight="1">
      <c r="B12943" s="42" t="str">
        <f>IFERROR(__xludf.DUMMYFUNCTION("""COMPUTED_VALUE"""),"")</f>
        <v/>
      </c>
      <c r="C12943" s="42" t="str">
        <f>IFERROR(__xludf.DUMMYFUNCTION("""COMPUTED_VALUE"""),"")</f>
        <v/>
      </c>
      <c r="D12943" s="42"/>
      <c r="E12943" s="42"/>
      <c r="F12943" s="48" t="str">
        <f>IFERROR(__xludf.DUMMYFUNCTION("""COMPUTED_VALUE"""),"")</f>
        <v/>
      </c>
      <c r="G12943" s="42" t="str">
        <f>IFERROR(__xludf.DUMMYFUNCTION("""COMPUTED_VALUE"""),"")</f>
        <v/>
      </c>
      <c r="H12943" s="42">
        <f t="shared" si="1"/>
        <v>3345</v>
      </c>
    </row>
    <row r="12944" ht="22.5" customHeight="1">
      <c r="B12944" s="42" t="str">
        <f>IFERROR(__xludf.DUMMYFUNCTION("""COMPUTED_VALUE"""),"")</f>
        <v/>
      </c>
      <c r="C12944" s="42" t="str">
        <f>IFERROR(__xludf.DUMMYFUNCTION("""COMPUTED_VALUE"""),"")</f>
        <v/>
      </c>
      <c r="D12944" s="42"/>
      <c r="E12944" s="42"/>
      <c r="F12944" s="48" t="str">
        <f>IFERROR(__xludf.DUMMYFUNCTION("""COMPUTED_VALUE"""),"")</f>
        <v/>
      </c>
      <c r="G12944" s="42" t="str">
        <f>IFERROR(__xludf.DUMMYFUNCTION("""COMPUTED_VALUE"""),"")</f>
        <v/>
      </c>
      <c r="H12944" s="42">
        <f t="shared" si="1"/>
        <v>3345</v>
      </c>
    </row>
    <row r="12945" ht="22.5" customHeight="1">
      <c r="B12945" s="42" t="str">
        <f>IFERROR(__xludf.DUMMYFUNCTION("""COMPUTED_VALUE"""),"")</f>
        <v/>
      </c>
      <c r="C12945" s="42" t="str">
        <f>IFERROR(__xludf.DUMMYFUNCTION("""COMPUTED_VALUE"""),"")</f>
        <v/>
      </c>
      <c r="D12945" s="42"/>
      <c r="E12945" s="42"/>
      <c r="F12945" s="48" t="str">
        <f>IFERROR(__xludf.DUMMYFUNCTION("""COMPUTED_VALUE"""),"")</f>
        <v/>
      </c>
      <c r="G12945" s="42" t="str">
        <f>IFERROR(__xludf.DUMMYFUNCTION("""COMPUTED_VALUE"""),"")</f>
        <v/>
      </c>
      <c r="H12945" s="42">
        <f t="shared" si="1"/>
        <v>3345</v>
      </c>
    </row>
    <row r="12946" ht="22.5" customHeight="1">
      <c r="B12946" s="42" t="str">
        <f>IFERROR(__xludf.DUMMYFUNCTION("""COMPUTED_VALUE"""),"")</f>
        <v/>
      </c>
      <c r="C12946" s="42" t="str">
        <f>IFERROR(__xludf.DUMMYFUNCTION("""COMPUTED_VALUE"""),"")</f>
        <v/>
      </c>
      <c r="D12946" s="42"/>
      <c r="E12946" s="42"/>
      <c r="F12946" s="48" t="str">
        <f>IFERROR(__xludf.DUMMYFUNCTION("""COMPUTED_VALUE"""),"")</f>
        <v/>
      </c>
      <c r="G12946" s="42" t="str">
        <f>IFERROR(__xludf.DUMMYFUNCTION("""COMPUTED_VALUE"""),"")</f>
        <v/>
      </c>
      <c r="H12946" s="42">
        <f t="shared" si="1"/>
        <v>3345</v>
      </c>
    </row>
    <row r="12947" ht="22.5" customHeight="1">
      <c r="B12947" s="42" t="str">
        <f>IFERROR(__xludf.DUMMYFUNCTION("""COMPUTED_VALUE"""),"")</f>
        <v/>
      </c>
      <c r="C12947" s="42" t="str">
        <f>IFERROR(__xludf.DUMMYFUNCTION("""COMPUTED_VALUE"""),"")</f>
        <v/>
      </c>
      <c r="D12947" s="42"/>
      <c r="E12947" s="42"/>
      <c r="F12947" s="48" t="str">
        <f>IFERROR(__xludf.DUMMYFUNCTION("""COMPUTED_VALUE"""),"")</f>
        <v/>
      </c>
      <c r="G12947" s="42" t="str">
        <f>IFERROR(__xludf.DUMMYFUNCTION("""COMPUTED_VALUE"""),"")</f>
        <v/>
      </c>
      <c r="H12947" s="42">
        <f t="shared" si="1"/>
        <v>3345</v>
      </c>
    </row>
    <row r="12948" ht="22.5" customHeight="1">
      <c r="B12948" s="42" t="str">
        <f>IFERROR(__xludf.DUMMYFUNCTION("""COMPUTED_VALUE"""),"")</f>
        <v/>
      </c>
      <c r="C12948" s="42" t="str">
        <f>IFERROR(__xludf.DUMMYFUNCTION("""COMPUTED_VALUE"""),"")</f>
        <v/>
      </c>
      <c r="D12948" s="42"/>
      <c r="E12948" s="42"/>
      <c r="F12948" s="48" t="str">
        <f>IFERROR(__xludf.DUMMYFUNCTION("""COMPUTED_VALUE"""),"")</f>
        <v/>
      </c>
      <c r="G12948" s="42" t="str">
        <f>IFERROR(__xludf.DUMMYFUNCTION("""COMPUTED_VALUE"""),"")</f>
        <v/>
      </c>
      <c r="H12948" s="42">
        <f t="shared" si="1"/>
        <v>3345</v>
      </c>
    </row>
    <row r="12949" ht="22.5" customHeight="1">
      <c r="B12949" s="42" t="str">
        <f>IFERROR(__xludf.DUMMYFUNCTION("""COMPUTED_VALUE"""),"")</f>
        <v/>
      </c>
      <c r="C12949" s="42" t="str">
        <f>IFERROR(__xludf.DUMMYFUNCTION("""COMPUTED_VALUE"""),"")</f>
        <v/>
      </c>
      <c r="D12949" s="42"/>
      <c r="E12949" s="42"/>
      <c r="F12949" s="48" t="str">
        <f>IFERROR(__xludf.DUMMYFUNCTION("""COMPUTED_VALUE"""),"")</f>
        <v/>
      </c>
      <c r="G12949" s="42" t="str">
        <f>IFERROR(__xludf.DUMMYFUNCTION("""COMPUTED_VALUE"""),"")</f>
        <v/>
      </c>
      <c r="H12949" s="42">
        <f t="shared" si="1"/>
        <v>3345</v>
      </c>
    </row>
    <row r="12950" ht="22.5" customHeight="1">
      <c r="B12950" s="42" t="str">
        <f>IFERROR(__xludf.DUMMYFUNCTION("""COMPUTED_VALUE"""),"")</f>
        <v/>
      </c>
      <c r="C12950" s="42" t="str">
        <f>IFERROR(__xludf.DUMMYFUNCTION("""COMPUTED_VALUE"""),"")</f>
        <v/>
      </c>
      <c r="D12950" s="42"/>
      <c r="E12950" s="42"/>
      <c r="F12950" s="48" t="str">
        <f>IFERROR(__xludf.DUMMYFUNCTION("""COMPUTED_VALUE"""),"")</f>
        <v/>
      </c>
      <c r="G12950" s="42" t="str">
        <f>IFERROR(__xludf.DUMMYFUNCTION("""COMPUTED_VALUE"""),"")</f>
        <v/>
      </c>
      <c r="H12950" s="42">
        <f t="shared" si="1"/>
        <v>3345</v>
      </c>
    </row>
    <row r="12951" ht="22.5" customHeight="1">
      <c r="B12951" s="42" t="str">
        <f>IFERROR(__xludf.DUMMYFUNCTION("""COMPUTED_VALUE"""),"")</f>
        <v/>
      </c>
      <c r="C12951" s="42" t="str">
        <f>IFERROR(__xludf.DUMMYFUNCTION("""COMPUTED_VALUE"""),"")</f>
        <v/>
      </c>
      <c r="D12951" s="42"/>
      <c r="E12951" s="42"/>
      <c r="F12951" s="48" t="str">
        <f>IFERROR(__xludf.DUMMYFUNCTION("""COMPUTED_VALUE"""),"")</f>
        <v/>
      </c>
      <c r="G12951" s="42" t="str">
        <f>IFERROR(__xludf.DUMMYFUNCTION("""COMPUTED_VALUE"""),"")</f>
        <v/>
      </c>
      <c r="H12951" s="42">
        <f t="shared" si="1"/>
        <v>3345</v>
      </c>
    </row>
    <row r="12952" ht="22.5" customHeight="1">
      <c r="B12952" s="42" t="str">
        <f>IFERROR(__xludf.DUMMYFUNCTION("""COMPUTED_VALUE"""),"")</f>
        <v/>
      </c>
      <c r="C12952" s="42" t="str">
        <f>IFERROR(__xludf.DUMMYFUNCTION("""COMPUTED_VALUE"""),"")</f>
        <v/>
      </c>
      <c r="D12952" s="42"/>
      <c r="E12952" s="42"/>
      <c r="F12952" s="48" t="str">
        <f>IFERROR(__xludf.DUMMYFUNCTION("""COMPUTED_VALUE"""),"")</f>
        <v/>
      </c>
      <c r="G12952" s="42" t="str">
        <f>IFERROR(__xludf.DUMMYFUNCTION("""COMPUTED_VALUE"""),"")</f>
        <v/>
      </c>
      <c r="H12952" s="42">
        <f t="shared" si="1"/>
        <v>3345</v>
      </c>
    </row>
    <row r="12953" ht="22.5" customHeight="1">
      <c r="B12953" s="42" t="str">
        <f>IFERROR(__xludf.DUMMYFUNCTION("""COMPUTED_VALUE"""),"")</f>
        <v/>
      </c>
      <c r="C12953" s="42" t="str">
        <f>IFERROR(__xludf.DUMMYFUNCTION("""COMPUTED_VALUE"""),"")</f>
        <v/>
      </c>
      <c r="D12953" s="42"/>
      <c r="E12953" s="42"/>
      <c r="F12953" s="48" t="str">
        <f>IFERROR(__xludf.DUMMYFUNCTION("""COMPUTED_VALUE"""),"")</f>
        <v/>
      </c>
      <c r="G12953" s="42" t="str">
        <f>IFERROR(__xludf.DUMMYFUNCTION("""COMPUTED_VALUE"""),"")</f>
        <v/>
      </c>
      <c r="H12953" s="42">
        <f t="shared" si="1"/>
        <v>3345</v>
      </c>
    </row>
    <row r="12954" ht="22.5" customHeight="1">
      <c r="B12954" s="42" t="str">
        <f>IFERROR(__xludf.DUMMYFUNCTION("""COMPUTED_VALUE"""),"")</f>
        <v/>
      </c>
      <c r="C12954" s="42" t="str">
        <f>IFERROR(__xludf.DUMMYFUNCTION("""COMPUTED_VALUE"""),"")</f>
        <v/>
      </c>
      <c r="D12954" s="42"/>
      <c r="E12954" s="42"/>
      <c r="F12954" s="48" t="str">
        <f>IFERROR(__xludf.DUMMYFUNCTION("""COMPUTED_VALUE"""),"")</f>
        <v/>
      </c>
      <c r="G12954" s="42" t="str">
        <f>IFERROR(__xludf.DUMMYFUNCTION("""COMPUTED_VALUE"""),"")</f>
        <v/>
      </c>
      <c r="H12954" s="42">
        <f t="shared" si="1"/>
        <v>3345</v>
      </c>
    </row>
    <row r="12955" ht="22.5" customHeight="1">
      <c r="B12955" s="42" t="str">
        <f>IFERROR(__xludf.DUMMYFUNCTION("""COMPUTED_VALUE"""),"")</f>
        <v/>
      </c>
      <c r="C12955" s="42" t="str">
        <f>IFERROR(__xludf.DUMMYFUNCTION("""COMPUTED_VALUE"""),"")</f>
        <v/>
      </c>
      <c r="D12955" s="42"/>
      <c r="E12955" s="42"/>
      <c r="F12955" s="48" t="str">
        <f>IFERROR(__xludf.DUMMYFUNCTION("""COMPUTED_VALUE"""),"")</f>
        <v/>
      </c>
      <c r="G12955" s="42" t="str">
        <f>IFERROR(__xludf.DUMMYFUNCTION("""COMPUTED_VALUE"""),"")</f>
        <v/>
      </c>
      <c r="H12955" s="42">
        <f t="shared" si="1"/>
        <v>3345</v>
      </c>
    </row>
    <row r="12956" ht="22.5" customHeight="1">
      <c r="B12956" s="42" t="str">
        <f>IFERROR(__xludf.DUMMYFUNCTION("""COMPUTED_VALUE"""),"")</f>
        <v/>
      </c>
      <c r="C12956" s="42" t="str">
        <f>IFERROR(__xludf.DUMMYFUNCTION("""COMPUTED_VALUE"""),"")</f>
        <v/>
      </c>
      <c r="D12956" s="42"/>
      <c r="E12956" s="42"/>
      <c r="F12956" s="48" t="str">
        <f>IFERROR(__xludf.DUMMYFUNCTION("""COMPUTED_VALUE"""),"")</f>
        <v/>
      </c>
      <c r="G12956" s="42" t="str">
        <f>IFERROR(__xludf.DUMMYFUNCTION("""COMPUTED_VALUE"""),"")</f>
        <v/>
      </c>
      <c r="H12956" s="42">
        <f t="shared" si="1"/>
        <v>3345</v>
      </c>
    </row>
    <row r="12957" ht="22.5" customHeight="1">
      <c r="B12957" s="42" t="str">
        <f>IFERROR(__xludf.DUMMYFUNCTION("""COMPUTED_VALUE"""),"")</f>
        <v/>
      </c>
      <c r="C12957" s="42" t="str">
        <f>IFERROR(__xludf.DUMMYFUNCTION("""COMPUTED_VALUE"""),"")</f>
        <v/>
      </c>
      <c r="D12957" s="42"/>
      <c r="E12957" s="42"/>
      <c r="F12957" s="48" t="str">
        <f>IFERROR(__xludf.DUMMYFUNCTION("""COMPUTED_VALUE"""),"")</f>
        <v/>
      </c>
      <c r="G12957" s="42" t="str">
        <f>IFERROR(__xludf.DUMMYFUNCTION("""COMPUTED_VALUE"""),"")</f>
        <v/>
      </c>
      <c r="H12957" s="42">
        <f t="shared" si="1"/>
        <v>3345</v>
      </c>
    </row>
    <row r="12958" ht="22.5" customHeight="1">
      <c r="B12958" s="42" t="str">
        <f>IFERROR(__xludf.DUMMYFUNCTION("""COMPUTED_VALUE"""),"")</f>
        <v/>
      </c>
      <c r="C12958" s="42" t="str">
        <f>IFERROR(__xludf.DUMMYFUNCTION("""COMPUTED_VALUE"""),"")</f>
        <v/>
      </c>
      <c r="D12958" s="42"/>
      <c r="E12958" s="42"/>
      <c r="F12958" s="48" t="str">
        <f>IFERROR(__xludf.DUMMYFUNCTION("""COMPUTED_VALUE"""),"")</f>
        <v/>
      </c>
      <c r="G12958" s="42" t="str">
        <f>IFERROR(__xludf.DUMMYFUNCTION("""COMPUTED_VALUE"""),"")</f>
        <v/>
      </c>
      <c r="H12958" s="42">
        <f t="shared" si="1"/>
        <v>3345</v>
      </c>
    </row>
    <row r="12959" ht="22.5" customHeight="1">
      <c r="B12959" s="42" t="str">
        <f>IFERROR(__xludf.DUMMYFUNCTION("""COMPUTED_VALUE"""),"")</f>
        <v/>
      </c>
      <c r="C12959" s="42" t="str">
        <f>IFERROR(__xludf.DUMMYFUNCTION("""COMPUTED_VALUE"""),"")</f>
        <v/>
      </c>
      <c r="D12959" s="42"/>
      <c r="E12959" s="42"/>
      <c r="F12959" s="48" t="str">
        <f>IFERROR(__xludf.DUMMYFUNCTION("""COMPUTED_VALUE"""),"")</f>
        <v/>
      </c>
      <c r="G12959" s="42" t="str">
        <f>IFERROR(__xludf.DUMMYFUNCTION("""COMPUTED_VALUE"""),"")</f>
        <v/>
      </c>
      <c r="H12959" s="42">
        <f t="shared" si="1"/>
        <v>3345</v>
      </c>
    </row>
    <row r="12960" ht="22.5" customHeight="1">
      <c r="B12960" s="42" t="str">
        <f>IFERROR(__xludf.DUMMYFUNCTION("""COMPUTED_VALUE"""),"")</f>
        <v/>
      </c>
      <c r="C12960" s="42" t="str">
        <f>IFERROR(__xludf.DUMMYFUNCTION("""COMPUTED_VALUE"""),"")</f>
        <v/>
      </c>
      <c r="D12960" s="42"/>
      <c r="E12960" s="42"/>
      <c r="F12960" s="48" t="str">
        <f>IFERROR(__xludf.DUMMYFUNCTION("""COMPUTED_VALUE"""),"")</f>
        <v/>
      </c>
      <c r="G12960" s="42" t="str">
        <f>IFERROR(__xludf.DUMMYFUNCTION("""COMPUTED_VALUE"""),"")</f>
        <v/>
      </c>
      <c r="H12960" s="42">
        <f t="shared" si="1"/>
        <v>3345</v>
      </c>
    </row>
    <row r="12961" ht="22.5" customHeight="1">
      <c r="B12961" s="42" t="str">
        <f>IFERROR(__xludf.DUMMYFUNCTION("""COMPUTED_VALUE"""),"")</f>
        <v/>
      </c>
      <c r="C12961" s="42" t="str">
        <f>IFERROR(__xludf.DUMMYFUNCTION("""COMPUTED_VALUE"""),"")</f>
        <v/>
      </c>
      <c r="D12961" s="42"/>
      <c r="E12961" s="42"/>
      <c r="F12961" s="48" t="str">
        <f>IFERROR(__xludf.DUMMYFUNCTION("""COMPUTED_VALUE"""),"")</f>
        <v/>
      </c>
      <c r="G12961" s="42" t="str">
        <f>IFERROR(__xludf.DUMMYFUNCTION("""COMPUTED_VALUE"""),"")</f>
        <v/>
      </c>
      <c r="H12961" s="42">
        <f t="shared" si="1"/>
        <v>3345</v>
      </c>
    </row>
    <row r="12962" ht="22.5" customHeight="1">
      <c r="B12962" s="42" t="str">
        <f>IFERROR(__xludf.DUMMYFUNCTION("""COMPUTED_VALUE"""),"")</f>
        <v/>
      </c>
      <c r="C12962" s="42" t="str">
        <f>IFERROR(__xludf.DUMMYFUNCTION("""COMPUTED_VALUE"""),"")</f>
        <v/>
      </c>
      <c r="D12962" s="42"/>
      <c r="E12962" s="42"/>
      <c r="F12962" s="48" t="str">
        <f>IFERROR(__xludf.DUMMYFUNCTION("""COMPUTED_VALUE"""),"")</f>
        <v/>
      </c>
      <c r="G12962" s="42" t="str">
        <f>IFERROR(__xludf.DUMMYFUNCTION("""COMPUTED_VALUE"""),"")</f>
        <v/>
      </c>
      <c r="H12962" s="42">
        <f t="shared" si="1"/>
        <v>3345</v>
      </c>
    </row>
    <row r="12963" ht="22.5" customHeight="1">
      <c r="B12963" s="42" t="str">
        <f>IFERROR(__xludf.DUMMYFUNCTION("""COMPUTED_VALUE"""),"")</f>
        <v/>
      </c>
      <c r="C12963" s="42" t="str">
        <f>IFERROR(__xludf.DUMMYFUNCTION("""COMPUTED_VALUE"""),"")</f>
        <v/>
      </c>
      <c r="D12963" s="42"/>
      <c r="E12963" s="42"/>
      <c r="F12963" s="48" t="str">
        <f>IFERROR(__xludf.DUMMYFUNCTION("""COMPUTED_VALUE"""),"")</f>
        <v/>
      </c>
      <c r="G12963" s="42" t="str">
        <f>IFERROR(__xludf.DUMMYFUNCTION("""COMPUTED_VALUE"""),"")</f>
        <v/>
      </c>
      <c r="H12963" s="42">
        <f t="shared" si="1"/>
        <v>3345</v>
      </c>
    </row>
    <row r="12964" ht="22.5" customHeight="1">
      <c r="B12964" s="42" t="str">
        <f>IFERROR(__xludf.DUMMYFUNCTION("""COMPUTED_VALUE"""),"")</f>
        <v/>
      </c>
      <c r="C12964" s="42" t="str">
        <f>IFERROR(__xludf.DUMMYFUNCTION("""COMPUTED_VALUE"""),"")</f>
        <v/>
      </c>
      <c r="D12964" s="42"/>
      <c r="E12964" s="42"/>
      <c r="F12964" s="48" t="str">
        <f>IFERROR(__xludf.DUMMYFUNCTION("""COMPUTED_VALUE"""),"")</f>
        <v/>
      </c>
      <c r="G12964" s="42" t="str">
        <f>IFERROR(__xludf.DUMMYFUNCTION("""COMPUTED_VALUE"""),"")</f>
        <v/>
      </c>
      <c r="H12964" s="42">
        <f t="shared" si="1"/>
        <v>3345</v>
      </c>
    </row>
    <row r="12965" ht="22.5" customHeight="1">
      <c r="B12965" s="42" t="str">
        <f>IFERROR(__xludf.DUMMYFUNCTION("""COMPUTED_VALUE"""),"")</f>
        <v/>
      </c>
      <c r="C12965" s="42" t="str">
        <f>IFERROR(__xludf.DUMMYFUNCTION("""COMPUTED_VALUE"""),"")</f>
        <v/>
      </c>
      <c r="D12965" s="42"/>
      <c r="E12965" s="42"/>
      <c r="F12965" s="48" t="str">
        <f>IFERROR(__xludf.DUMMYFUNCTION("""COMPUTED_VALUE"""),"")</f>
        <v/>
      </c>
      <c r="G12965" s="42" t="str">
        <f>IFERROR(__xludf.DUMMYFUNCTION("""COMPUTED_VALUE"""),"")</f>
        <v/>
      </c>
      <c r="H12965" s="42">
        <f t="shared" si="1"/>
        <v>3345</v>
      </c>
    </row>
    <row r="12966" ht="22.5" customHeight="1">
      <c r="B12966" s="42" t="str">
        <f>IFERROR(__xludf.DUMMYFUNCTION("""COMPUTED_VALUE"""),"")</f>
        <v/>
      </c>
      <c r="C12966" s="42" t="str">
        <f>IFERROR(__xludf.DUMMYFUNCTION("""COMPUTED_VALUE"""),"")</f>
        <v/>
      </c>
      <c r="D12966" s="42"/>
      <c r="E12966" s="42"/>
      <c r="F12966" s="48" t="str">
        <f>IFERROR(__xludf.DUMMYFUNCTION("""COMPUTED_VALUE"""),"")</f>
        <v/>
      </c>
      <c r="G12966" s="42" t="str">
        <f>IFERROR(__xludf.DUMMYFUNCTION("""COMPUTED_VALUE"""),"")</f>
        <v/>
      </c>
      <c r="H12966" s="42">
        <f t="shared" si="1"/>
        <v>3345</v>
      </c>
    </row>
    <row r="12967" ht="22.5" customHeight="1">
      <c r="B12967" s="42" t="str">
        <f>IFERROR(__xludf.DUMMYFUNCTION("""COMPUTED_VALUE"""),"")</f>
        <v/>
      </c>
      <c r="C12967" s="42" t="str">
        <f>IFERROR(__xludf.DUMMYFUNCTION("""COMPUTED_VALUE"""),"")</f>
        <v/>
      </c>
      <c r="D12967" s="42"/>
      <c r="E12967" s="42"/>
      <c r="F12967" s="48" t="str">
        <f>IFERROR(__xludf.DUMMYFUNCTION("""COMPUTED_VALUE"""),"")</f>
        <v/>
      </c>
      <c r="G12967" s="42" t="str">
        <f>IFERROR(__xludf.DUMMYFUNCTION("""COMPUTED_VALUE"""),"")</f>
        <v/>
      </c>
      <c r="H12967" s="42">
        <f t="shared" si="1"/>
        <v>3345</v>
      </c>
    </row>
    <row r="12968" ht="22.5" customHeight="1">
      <c r="B12968" s="42" t="str">
        <f>IFERROR(__xludf.DUMMYFUNCTION("""COMPUTED_VALUE"""),"")</f>
        <v/>
      </c>
      <c r="C12968" s="42" t="str">
        <f>IFERROR(__xludf.DUMMYFUNCTION("""COMPUTED_VALUE"""),"")</f>
        <v/>
      </c>
      <c r="D12968" s="42"/>
      <c r="E12968" s="42"/>
      <c r="F12968" s="48" t="str">
        <f>IFERROR(__xludf.DUMMYFUNCTION("""COMPUTED_VALUE"""),"")</f>
        <v/>
      </c>
      <c r="G12968" s="42" t="str">
        <f>IFERROR(__xludf.DUMMYFUNCTION("""COMPUTED_VALUE"""),"")</f>
        <v/>
      </c>
      <c r="H12968" s="42">
        <f t="shared" si="1"/>
        <v>3345</v>
      </c>
    </row>
    <row r="12969" ht="22.5" customHeight="1">
      <c r="B12969" s="42" t="str">
        <f>IFERROR(__xludf.DUMMYFUNCTION("""COMPUTED_VALUE"""),"")</f>
        <v/>
      </c>
      <c r="C12969" s="42" t="str">
        <f>IFERROR(__xludf.DUMMYFUNCTION("""COMPUTED_VALUE"""),"")</f>
        <v/>
      </c>
      <c r="D12969" s="42"/>
      <c r="E12969" s="42"/>
      <c r="F12969" s="48" t="str">
        <f>IFERROR(__xludf.DUMMYFUNCTION("""COMPUTED_VALUE"""),"")</f>
        <v/>
      </c>
      <c r="G12969" s="42" t="str">
        <f>IFERROR(__xludf.DUMMYFUNCTION("""COMPUTED_VALUE"""),"")</f>
        <v/>
      </c>
      <c r="H12969" s="42">
        <f t="shared" si="1"/>
        <v>3345</v>
      </c>
    </row>
    <row r="12970" ht="22.5" customHeight="1">
      <c r="B12970" s="42" t="str">
        <f>IFERROR(__xludf.DUMMYFUNCTION("""COMPUTED_VALUE"""),"")</f>
        <v/>
      </c>
      <c r="C12970" s="42" t="str">
        <f>IFERROR(__xludf.DUMMYFUNCTION("""COMPUTED_VALUE"""),"")</f>
        <v/>
      </c>
      <c r="D12970" s="42"/>
      <c r="E12970" s="42"/>
      <c r="F12970" s="48" t="str">
        <f>IFERROR(__xludf.DUMMYFUNCTION("""COMPUTED_VALUE"""),"")</f>
        <v/>
      </c>
      <c r="G12970" s="42" t="str">
        <f>IFERROR(__xludf.DUMMYFUNCTION("""COMPUTED_VALUE"""),"")</f>
        <v/>
      </c>
      <c r="H12970" s="42">
        <f t="shared" si="1"/>
        <v>3345</v>
      </c>
    </row>
    <row r="12971" ht="22.5" customHeight="1">
      <c r="B12971" s="42" t="str">
        <f>IFERROR(__xludf.DUMMYFUNCTION("""COMPUTED_VALUE"""),"")</f>
        <v/>
      </c>
      <c r="C12971" s="42" t="str">
        <f>IFERROR(__xludf.DUMMYFUNCTION("""COMPUTED_VALUE"""),"")</f>
        <v/>
      </c>
      <c r="D12971" s="42"/>
      <c r="E12971" s="42"/>
      <c r="F12971" s="48" t="str">
        <f>IFERROR(__xludf.DUMMYFUNCTION("""COMPUTED_VALUE"""),"")</f>
        <v/>
      </c>
      <c r="G12971" s="42" t="str">
        <f>IFERROR(__xludf.DUMMYFUNCTION("""COMPUTED_VALUE"""),"")</f>
        <v/>
      </c>
      <c r="H12971" s="42">
        <f t="shared" si="1"/>
        <v>3345</v>
      </c>
    </row>
    <row r="12972" ht="22.5" customHeight="1">
      <c r="B12972" s="42" t="str">
        <f>IFERROR(__xludf.DUMMYFUNCTION("""COMPUTED_VALUE"""),"")</f>
        <v/>
      </c>
      <c r="C12972" s="42" t="str">
        <f>IFERROR(__xludf.DUMMYFUNCTION("""COMPUTED_VALUE"""),"")</f>
        <v/>
      </c>
      <c r="D12972" s="42"/>
      <c r="E12972" s="42"/>
      <c r="F12972" s="48" t="str">
        <f>IFERROR(__xludf.DUMMYFUNCTION("""COMPUTED_VALUE"""),"")</f>
        <v/>
      </c>
      <c r="G12972" s="42" t="str">
        <f>IFERROR(__xludf.DUMMYFUNCTION("""COMPUTED_VALUE"""),"")</f>
        <v/>
      </c>
      <c r="H12972" s="42">
        <f t="shared" si="1"/>
        <v>3345</v>
      </c>
    </row>
    <row r="12973" ht="22.5" customHeight="1">
      <c r="B12973" s="42" t="str">
        <f>IFERROR(__xludf.DUMMYFUNCTION("""COMPUTED_VALUE"""),"")</f>
        <v/>
      </c>
      <c r="C12973" s="42" t="str">
        <f>IFERROR(__xludf.DUMMYFUNCTION("""COMPUTED_VALUE"""),"")</f>
        <v/>
      </c>
      <c r="D12973" s="42"/>
      <c r="E12973" s="42"/>
      <c r="F12973" s="48" t="str">
        <f>IFERROR(__xludf.DUMMYFUNCTION("""COMPUTED_VALUE"""),"")</f>
        <v/>
      </c>
      <c r="G12973" s="42" t="str">
        <f>IFERROR(__xludf.DUMMYFUNCTION("""COMPUTED_VALUE"""),"")</f>
        <v/>
      </c>
      <c r="H12973" s="42">
        <f t="shared" si="1"/>
        <v>3345</v>
      </c>
    </row>
    <row r="12974" ht="22.5" customHeight="1">
      <c r="B12974" s="42" t="str">
        <f>IFERROR(__xludf.DUMMYFUNCTION("""COMPUTED_VALUE"""),"")</f>
        <v/>
      </c>
      <c r="C12974" s="42" t="str">
        <f>IFERROR(__xludf.DUMMYFUNCTION("""COMPUTED_VALUE"""),"")</f>
        <v/>
      </c>
      <c r="D12974" s="42"/>
      <c r="E12974" s="42"/>
      <c r="F12974" s="48" t="str">
        <f>IFERROR(__xludf.DUMMYFUNCTION("""COMPUTED_VALUE"""),"")</f>
        <v/>
      </c>
      <c r="G12974" s="42" t="str">
        <f>IFERROR(__xludf.DUMMYFUNCTION("""COMPUTED_VALUE"""),"")</f>
        <v/>
      </c>
      <c r="H12974" s="42">
        <f t="shared" si="1"/>
        <v>3345</v>
      </c>
    </row>
    <row r="12975" ht="22.5" customHeight="1">
      <c r="B12975" s="42" t="str">
        <f>IFERROR(__xludf.DUMMYFUNCTION("""COMPUTED_VALUE"""),"")</f>
        <v/>
      </c>
      <c r="C12975" s="42" t="str">
        <f>IFERROR(__xludf.DUMMYFUNCTION("""COMPUTED_VALUE"""),"")</f>
        <v/>
      </c>
      <c r="D12975" s="42"/>
      <c r="E12975" s="42"/>
      <c r="F12975" s="48" t="str">
        <f>IFERROR(__xludf.DUMMYFUNCTION("""COMPUTED_VALUE"""),"")</f>
        <v/>
      </c>
      <c r="G12975" s="42" t="str">
        <f>IFERROR(__xludf.DUMMYFUNCTION("""COMPUTED_VALUE"""),"")</f>
        <v/>
      </c>
      <c r="H12975" s="42">
        <f t="shared" si="1"/>
        <v>3345</v>
      </c>
    </row>
    <row r="12976" ht="22.5" customHeight="1">
      <c r="B12976" s="42" t="str">
        <f>IFERROR(__xludf.DUMMYFUNCTION("""COMPUTED_VALUE"""),"")</f>
        <v/>
      </c>
      <c r="C12976" s="42" t="str">
        <f>IFERROR(__xludf.DUMMYFUNCTION("""COMPUTED_VALUE"""),"")</f>
        <v/>
      </c>
      <c r="D12976" s="42"/>
      <c r="E12976" s="42"/>
      <c r="F12976" s="48" t="str">
        <f>IFERROR(__xludf.DUMMYFUNCTION("""COMPUTED_VALUE"""),"")</f>
        <v/>
      </c>
      <c r="G12976" s="42" t="str">
        <f>IFERROR(__xludf.DUMMYFUNCTION("""COMPUTED_VALUE"""),"")</f>
        <v/>
      </c>
      <c r="H12976" s="42">
        <f t="shared" si="1"/>
        <v>3345</v>
      </c>
    </row>
    <row r="12977" ht="22.5" customHeight="1">
      <c r="B12977" s="42" t="str">
        <f>IFERROR(__xludf.DUMMYFUNCTION("""COMPUTED_VALUE"""),"")</f>
        <v/>
      </c>
      <c r="C12977" s="42" t="str">
        <f>IFERROR(__xludf.DUMMYFUNCTION("""COMPUTED_VALUE"""),"")</f>
        <v/>
      </c>
      <c r="D12977" s="42"/>
      <c r="E12977" s="42"/>
      <c r="F12977" s="48" t="str">
        <f>IFERROR(__xludf.DUMMYFUNCTION("""COMPUTED_VALUE"""),"")</f>
        <v/>
      </c>
      <c r="G12977" s="42" t="str">
        <f>IFERROR(__xludf.DUMMYFUNCTION("""COMPUTED_VALUE"""),"")</f>
        <v/>
      </c>
      <c r="H12977" s="42">
        <f t="shared" si="1"/>
        <v>3345</v>
      </c>
    </row>
    <row r="12978" ht="22.5" customHeight="1">
      <c r="B12978" s="42" t="str">
        <f>IFERROR(__xludf.DUMMYFUNCTION("""COMPUTED_VALUE"""),"")</f>
        <v/>
      </c>
      <c r="C12978" s="42" t="str">
        <f>IFERROR(__xludf.DUMMYFUNCTION("""COMPUTED_VALUE"""),"")</f>
        <v/>
      </c>
      <c r="D12978" s="42"/>
      <c r="E12978" s="42"/>
      <c r="F12978" s="48" t="str">
        <f>IFERROR(__xludf.DUMMYFUNCTION("""COMPUTED_VALUE"""),"")</f>
        <v/>
      </c>
      <c r="G12978" s="42" t="str">
        <f>IFERROR(__xludf.DUMMYFUNCTION("""COMPUTED_VALUE"""),"")</f>
        <v/>
      </c>
      <c r="H12978" s="42">
        <f t="shared" si="1"/>
        <v>3345</v>
      </c>
    </row>
    <row r="12979" ht="22.5" customHeight="1">
      <c r="B12979" s="42" t="str">
        <f>IFERROR(__xludf.DUMMYFUNCTION("""COMPUTED_VALUE"""),"")</f>
        <v/>
      </c>
      <c r="C12979" s="42" t="str">
        <f>IFERROR(__xludf.DUMMYFUNCTION("""COMPUTED_VALUE"""),"")</f>
        <v/>
      </c>
      <c r="D12979" s="42"/>
      <c r="E12979" s="42"/>
      <c r="F12979" s="48" t="str">
        <f>IFERROR(__xludf.DUMMYFUNCTION("""COMPUTED_VALUE"""),"")</f>
        <v/>
      </c>
      <c r="G12979" s="42" t="str">
        <f>IFERROR(__xludf.DUMMYFUNCTION("""COMPUTED_VALUE"""),"")</f>
        <v/>
      </c>
      <c r="H12979" s="42">
        <f t="shared" si="1"/>
        <v>3345</v>
      </c>
    </row>
    <row r="12980" ht="22.5" customHeight="1">
      <c r="B12980" s="42" t="str">
        <f>IFERROR(__xludf.DUMMYFUNCTION("""COMPUTED_VALUE"""),"")</f>
        <v/>
      </c>
      <c r="C12980" s="42" t="str">
        <f>IFERROR(__xludf.DUMMYFUNCTION("""COMPUTED_VALUE"""),"")</f>
        <v/>
      </c>
      <c r="D12980" s="42"/>
      <c r="E12980" s="42"/>
      <c r="F12980" s="48" t="str">
        <f>IFERROR(__xludf.DUMMYFUNCTION("""COMPUTED_VALUE"""),"")</f>
        <v/>
      </c>
      <c r="G12980" s="42" t="str">
        <f>IFERROR(__xludf.DUMMYFUNCTION("""COMPUTED_VALUE"""),"")</f>
        <v/>
      </c>
      <c r="H12980" s="42">
        <f t="shared" si="1"/>
        <v>3345</v>
      </c>
    </row>
    <row r="12981" ht="22.5" customHeight="1">
      <c r="B12981" s="42" t="str">
        <f>IFERROR(__xludf.DUMMYFUNCTION("""COMPUTED_VALUE"""),"")</f>
        <v/>
      </c>
      <c r="C12981" s="42" t="str">
        <f>IFERROR(__xludf.DUMMYFUNCTION("""COMPUTED_VALUE"""),"")</f>
        <v/>
      </c>
      <c r="D12981" s="42"/>
      <c r="E12981" s="42"/>
      <c r="F12981" s="48" t="str">
        <f>IFERROR(__xludf.DUMMYFUNCTION("""COMPUTED_VALUE"""),"")</f>
        <v/>
      </c>
      <c r="G12981" s="42" t="str">
        <f>IFERROR(__xludf.DUMMYFUNCTION("""COMPUTED_VALUE"""),"")</f>
        <v/>
      </c>
      <c r="H12981" s="42">
        <f t="shared" si="1"/>
        <v>3345</v>
      </c>
    </row>
    <row r="12982" ht="22.5" customHeight="1">
      <c r="B12982" s="42" t="str">
        <f>IFERROR(__xludf.DUMMYFUNCTION("""COMPUTED_VALUE"""),"")</f>
        <v/>
      </c>
      <c r="C12982" s="42" t="str">
        <f>IFERROR(__xludf.DUMMYFUNCTION("""COMPUTED_VALUE"""),"")</f>
        <v/>
      </c>
      <c r="D12982" s="42"/>
      <c r="E12982" s="42"/>
      <c r="F12982" s="48" t="str">
        <f>IFERROR(__xludf.DUMMYFUNCTION("""COMPUTED_VALUE"""),"")</f>
        <v/>
      </c>
      <c r="G12982" s="42" t="str">
        <f>IFERROR(__xludf.DUMMYFUNCTION("""COMPUTED_VALUE"""),"")</f>
        <v/>
      </c>
      <c r="H12982" s="42">
        <f t="shared" si="1"/>
        <v>3345</v>
      </c>
    </row>
    <row r="12983" ht="22.5" customHeight="1">
      <c r="B12983" s="42" t="str">
        <f>IFERROR(__xludf.DUMMYFUNCTION("""COMPUTED_VALUE"""),"")</f>
        <v/>
      </c>
      <c r="C12983" s="42" t="str">
        <f>IFERROR(__xludf.DUMMYFUNCTION("""COMPUTED_VALUE"""),"")</f>
        <v/>
      </c>
      <c r="D12983" s="42"/>
      <c r="E12983" s="42"/>
      <c r="F12983" s="48" t="str">
        <f>IFERROR(__xludf.DUMMYFUNCTION("""COMPUTED_VALUE"""),"")</f>
        <v/>
      </c>
      <c r="G12983" s="42" t="str">
        <f>IFERROR(__xludf.DUMMYFUNCTION("""COMPUTED_VALUE"""),"")</f>
        <v/>
      </c>
      <c r="H12983" s="42">
        <f t="shared" si="1"/>
        <v>3345</v>
      </c>
    </row>
    <row r="12984" ht="22.5" customHeight="1">
      <c r="B12984" s="42" t="str">
        <f>IFERROR(__xludf.DUMMYFUNCTION("""COMPUTED_VALUE"""),"")</f>
        <v/>
      </c>
      <c r="C12984" s="42" t="str">
        <f>IFERROR(__xludf.DUMMYFUNCTION("""COMPUTED_VALUE"""),"")</f>
        <v/>
      </c>
      <c r="D12984" s="42"/>
      <c r="E12984" s="42"/>
      <c r="F12984" s="48" t="str">
        <f>IFERROR(__xludf.DUMMYFUNCTION("""COMPUTED_VALUE"""),"")</f>
        <v/>
      </c>
      <c r="G12984" s="42" t="str">
        <f>IFERROR(__xludf.DUMMYFUNCTION("""COMPUTED_VALUE"""),"")</f>
        <v/>
      </c>
      <c r="H12984" s="42">
        <f t="shared" si="1"/>
        <v>3345</v>
      </c>
    </row>
    <row r="12985" ht="22.5" customHeight="1">
      <c r="B12985" s="42" t="str">
        <f>IFERROR(__xludf.DUMMYFUNCTION("""COMPUTED_VALUE"""),"")</f>
        <v/>
      </c>
      <c r="C12985" s="42" t="str">
        <f>IFERROR(__xludf.DUMMYFUNCTION("""COMPUTED_VALUE"""),"")</f>
        <v/>
      </c>
      <c r="D12985" s="42"/>
      <c r="E12985" s="42"/>
      <c r="F12985" s="48" t="str">
        <f>IFERROR(__xludf.DUMMYFUNCTION("""COMPUTED_VALUE"""),"")</f>
        <v/>
      </c>
      <c r="G12985" s="42" t="str">
        <f>IFERROR(__xludf.DUMMYFUNCTION("""COMPUTED_VALUE"""),"")</f>
        <v/>
      </c>
      <c r="H12985" s="42">
        <f t="shared" si="1"/>
        <v>3345</v>
      </c>
    </row>
    <row r="12986" ht="22.5" customHeight="1">
      <c r="B12986" s="42" t="str">
        <f>IFERROR(__xludf.DUMMYFUNCTION("""COMPUTED_VALUE"""),"")</f>
        <v/>
      </c>
      <c r="C12986" s="42" t="str">
        <f>IFERROR(__xludf.DUMMYFUNCTION("""COMPUTED_VALUE"""),"")</f>
        <v/>
      </c>
      <c r="D12986" s="42"/>
      <c r="E12986" s="42"/>
      <c r="F12986" s="48" t="str">
        <f>IFERROR(__xludf.DUMMYFUNCTION("""COMPUTED_VALUE"""),"")</f>
        <v/>
      </c>
      <c r="G12986" s="42" t="str">
        <f>IFERROR(__xludf.DUMMYFUNCTION("""COMPUTED_VALUE"""),"")</f>
        <v/>
      </c>
      <c r="H12986" s="42">
        <f t="shared" si="1"/>
        <v>3345</v>
      </c>
    </row>
    <row r="12987" ht="22.5" customHeight="1">
      <c r="B12987" s="42" t="str">
        <f>IFERROR(__xludf.DUMMYFUNCTION("""COMPUTED_VALUE"""),"")</f>
        <v/>
      </c>
      <c r="C12987" s="42" t="str">
        <f>IFERROR(__xludf.DUMMYFUNCTION("""COMPUTED_VALUE"""),"")</f>
        <v/>
      </c>
      <c r="D12987" s="42"/>
      <c r="E12987" s="42"/>
      <c r="F12987" s="48" t="str">
        <f>IFERROR(__xludf.DUMMYFUNCTION("""COMPUTED_VALUE"""),"")</f>
        <v/>
      </c>
      <c r="G12987" s="42" t="str">
        <f>IFERROR(__xludf.DUMMYFUNCTION("""COMPUTED_VALUE"""),"")</f>
        <v/>
      </c>
      <c r="H12987" s="42">
        <f t="shared" si="1"/>
        <v>3345</v>
      </c>
    </row>
    <row r="12988" ht="22.5" customHeight="1">
      <c r="B12988" s="42" t="str">
        <f>IFERROR(__xludf.DUMMYFUNCTION("""COMPUTED_VALUE"""),"")</f>
        <v/>
      </c>
      <c r="C12988" s="42" t="str">
        <f>IFERROR(__xludf.DUMMYFUNCTION("""COMPUTED_VALUE"""),"")</f>
        <v/>
      </c>
      <c r="D12988" s="42"/>
      <c r="E12988" s="42"/>
      <c r="F12988" s="48" t="str">
        <f>IFERROR(__xludf.DUMMYFUNCTION("""COMPUTED_VALUE"""),"")</f>
        <v/>
      </c>
      <c r="G12988" s="42" t="str">
        <f>IFERROR(__xludf.DUMMYFUNCTION("""COMPUTED_VALUE"""),"")</f>
        <v/>
      </c>
      <c r="H12988" s="42">
        <f t="shared" si="1"/>
        <v>3345</v>
      </c>
    </row>
    <row r="12989" ht="22.5" customHeight="1">
      <c r="B12989" s="42" t="str">
        <f>IFERROR(__xludf.DUMMYFUNCTION("""COMPUTED_VALUE"""),"")</f>
        <v/>
      </c>
      <c r="C12989" s="42" t="str">
        <f>IFERROR(__xludf.DUMMYFUNCTION("""COMPUTED_VALUE"""),"")</f>
        <v/>
      </c>
      <c r="D12989" s="42"/>
      <c r="E12989" s="42"/>
      <c r="F12989" s="48" t="str">
        <f>IFERROR(__xludf.DUMMYFUNCTION("""COMPUTED_VALUE"""),"")</f>
        <v/>
      </c>
      <c r="G12989" s="42" t="str">
        <f>IFERROR(__xludf.DUMMYFUNCTION("""COMPUTED_VALUE"""),"")</f>
        <v/>
      </c>
      <c r="H12989" s="42">
        <f t="shared" si="1"/>
        <v>3345</v>
      </c>
    </row>
    <row r="12990" ht="22.5" customHeight="1">
      <c r="B12990" s="42" t="str">
        <f>IFERROR(__xludf.DUMMYFUNCTION("""COMPUTED_VALUE"""),"")</f>
        <v/>
      </c>
      <c r="C12990" s="42" t="str">
        <f>IFERROR(__xludf.DUMMYFUNCTION("""COMPUTED_VALUE"""),"")</f>
        <v/>
      </c>
      <c r="D12990" s="42"/>
      <c r="E12990" s="42"/>
      <c r="F12990" s="48" t="str">
        <f>IFERROR(__xludf.DUMMYFUNCTION("""COMPUTED_VALUE"""),"")</f>
        <v/>
      </c>
      <c r="G12990" s="42" t="str">
        <f>IFERROR(__xludf.DUMMYFUNCTION("""COMPUTED_VALUE"""),"")</f>
        <v/>
      </c>
      <c r="H12990" s="42">
        <f t="shared" si="1"/>
        <v>3345</v>
      </c>
    </row>
    <row r="12991" ht="22.5" customHeight="1">
      <c r="B12991" s="42" t="str">
        <f>IFERROR(__xludf.DUMMYFUNCTION("""COMPUTED_VALUE"""),"")</f>
        <v/>
      </c>
      <c r="C12991" s="42" t="str">
        <f>IFERROR(__xludf.DUMMYFUNCTION("""COMPUTED_VALUE"""),"")</f>
        <v/>
      </c>
      <c r="D12991" s="42"/>
      <c r="E12991" s="42"/>
      <c r="F12991" s="48" t="str">
        <f>IFERROR(__xludf.DUMMYFUNCTION("""COMPUTED_VALUE"""),"")</f>
        <v/>
      </c>
      <c r="G12991" s="42" t="str">
        <f>IFERROR(__xludf.DUMMYFUNCTION("""COMPUTED_VALUE"""),"")</f>
        <v/>
      </c>
      <c r="H12991" s="42">
        <f t="shared" si="1"/>
        <v>3345</v>
      </c>
    </row>
    <row r="12992" ht="22.5" customHeight="1">
      <c r="B12992" s="42" t="str">
        <f>IFERROR(__xludf.DUMMYFUNCTION("""COMPUTED_VALUE"""),"")</f>
        <v/>
      </c>
      <c r="C12992" s="42" t="str">
        <f>IFERROR(__xludf.DUMMYFUNCTION("""COMPUTED_VALUE"""),"")</f>
        <v/>
      </c>
      <c r="D12992" s="42"/>
      <c r="E12992" s="42"/>
      <c r="F12992" s="48" t="str">
        <f>IFERROR(__xludf.DUMMYFUNCTION("""COMPUTED_VALUE"""),"")</f>
        <v/>
      </c>
      <c r="G12992" s="42" t="str">
        <f>IFERROR(__xludf.DUMMYFUNCTION("""COMPUTED_VALUE"""),"")</f>
        <v/>
      </c>
      <c r="H12992" s="42">
        <f t="shared" si="1"/>
        <v>3345</v>
      </c>
    </row>
    <row r="12993" ht="22.5" customHeight="1">
      <c r="B12993" s="42" t="str">
        <f>IFERROR(__xludf.DUMMYFUNCTION("""COMPUTED_VALUE"""),"")</f>
        <v/>
      </c>
      <c r="C12993" s="42" t="str">
        <f>IFERROR(__xludf.DUMMYFUNCTION("""COMPUTED_VALUE"""),"")</f>
        <v/>
      </c>
      <c r="D12993" s="42"/>
      <c r="E12993" s="42"/>
      <c r="F12993" s="48" t="str">
        <f>IFERROR(__xludf.DUMMYFUNCTION("""COMPUTED_VALUE"""),"")</f>
        <v/>
      </c>
      <c r="G12993" s="42" t="str">
        <f>IFERROR(__xludf.DUMMYFUNCTION("""COMPUTED_VALUE"""),"")</f>
        <v/>
      </c>
      <c r="H12993" s="42">
        <f t="shared" si="1"/>
        <v>3345</v>
      </c>
    </row>
    <row r="12994" ht="22.5" customHeight="1">
      <c r="B12994" s="42" t="str">
        <f>IFERROR(__xludf.DUMMYFUNCTION("""COMPUTED_VALUE"""),"")</f>
        <v/>
      </c>
      <c r="C12994" s="42" t="str">
        <f>IFERROR(__xludf.DUMMYFUNCTION("""COMPUTED_VALUE"""),"")</f>
        <v/>
      </c>
      <c r="D12994" s="42"/>
      <c r="E12994" s="42"/>
      <c r="F12994" s="48" t="str">
        <f>IFERROR(__xludf.DUMMYFUNCTION("""COMPUTED_VALUE"""),"")</f>
        <v/>
      </c>
      <c r="G12994" s="42" t="str">
        <f>IFERROR(__xludf.DUMMYFUNCTION("""COMPUTED_VALUE"""),"")</f>
        <v/>
      </c>
      <c r="H12994" s="42">
        <f t="shared" si="1"/>
        <v>3345</v>
      </c>
    </row>
    <row r="12995" ht="22.5" customHeight="1">
      <c r="B12995" s="42" t="str">
        <f>IFERROR(__xludf.DUMMYFUNCTION("""COMPUTED_VALUE"""),"")</f>
        <v/>
      </c>
      <c r="C12995" s="42" t="str">
        <f>IFERROR(__xludf.DUMMYFUNCTION("""COMPUTED_VALUE"""),"")</f>
        <v/>
      </c>
      <c r="D12995" s="42"/>
      <c r="E12995" s="42"/>
      <c r="F12995" s="48" t="str">
        <f>IFERROR(__xludf.DUMMYFUNCTION("""COMPUTED_VALUE"""),"")</f>
        <v/>
      </c>
      <c r="G12995" s="42" t="str">
        <f>IFERROR(__xludf.DUMMYFUNCTION("""COMPUTED_VALUE"""),"")</f>
        <v/>
      </c>
      <c r="H12995" s="42">
        <f t="shared" si="1"/>
        <v>3345</v>
      </c>
    </row>
    <row r="12996" ht="22.5" customHeight="1">
      <c r="B12996" s="42" t="str">
        <f>IFERROR(__xludf.DUMMYFUNCTION("""COMPUTED_VALUE"""),"")</f>
        <v/>
      </c>
      <c r="C12996" s="42" t="str">
        <f>IFERROR(__xludf.DUMMYFUNCTION("""COMPUTED_VALUE"""),"")</f>
        <v/>
      </c>
      <c r="D12996" s="42"/>
      <c r="E12996" s="42"/>
      <c r="F12996" s="48" t="str">
        <f>IFERROR(__xludf.DUMMYFUNCTION("""COMPUTED_VALUE"""),"")</f>
        <v/>
      </c>
      <c r="G12996" s="42" t="str">
        <f>IFERROR(__xludf.DUMMYFUNCTION("""COMPUTED_VALUE"""),"")</f>
        <v/>
      </c>
      <c r="H12996" s="42">
        <f t="shared" si="1"/>
        <v>3345</v>
      </c>
    </row>
    <row r="12997" ht="22.5" customHeight="1">
      <c r="B12997" s="42" t="str">
        <f>IFERROR(__xludf.DUMMYFUNCTION("""COMPUTED_VALUE"""),"")</f>
        <v/>
      </c>
      <c r="C12997" s="42" t="str">
        <f>IFERROR(__xludf.DUMMYFUNCTION("""COMPUTED_VALUE"""),"")</f>
        <v/>
      </c>
      <c r="D12997" s="42"/>
      <c r="E12997" s="42"/>
      <c r="F12997" s="48" t="str">
        <f>IFERROR(__xludf.DUMMYFUNCTION("""COMPUTED_VALUE"""),"")</f>
        <v/>
      </c>
      <c r="G12997" s="42" t="str">
        <f>IFERROR(__xludf.DUMMYFUNCTION("""COMPUTED_VALUE"""),"")</f>
        <v/>
      </c>
      <c r="H12997" s="42">
        <f t="shared" si="1"/>
        <v>3345</v>
      </c>
    </row>
    <row r="12998" ht="22.5" customHeight="1">
      <c r="B12998" s="42" t="str">
        <f>IFERROR(__xludf.DUMMYFUNCTION("""COMPUTED_VALUE"""),"")</f>
        <v/>
      </c>
      <c r="C12998" s="42" t="str">
        <f>IFERROR(__xludf.DUMMYFUNCTION("""COMPUTED_VALUE"""),"")</f>
        <v/>
      </c>
      <c r="D12998" s="42"/>
      <c r="E12998" s="42"/>
      <c r="F12998" s="48" t="str">
        <f>IFERROR(__xludf.DUMMYFUNCTION("""COMPUTED_VALUE"""),"")</f>
        <v/>
      </c>
      <c r="G12998" s="42" t="str">
        <f>IFERROR(__xludf.DUMMYFUNCTION("""COMPUTED_VALUE"""),"")</f>
        <v/>
      </c>
      <c r="H12998" s="42">
        <f t="shared" si="1"/>
        <v>3345</v>
      </c>
    </row>
    <row r="12999" ht="22.5" customHeight="1">
      <c r="B12999" s="42" t="str">
        <f>IFERROR(__xludf.DUMMYFUNCTION("""COMPUTED_VALUE"""),"")</f>
        <v/>
      </c>
      <c r="C12999" s="42" t="str">
        <f>IFERROR(__xludf.DUMMYFUNCTION("""COMPUTED_VALUE"""),"")</f>
        <v/>
      </c>
      <c r="D12999" s="42"/>
      <c r="E12999" s="42"/>
      <c r="F12999" s="48" t="str">
        <f>IFERROR(__xludf.DUMMYFUNCTION("""COMPUTED_VALUE"""),"")</f>
        <v/>
      </c>
      <c r="G12999" s="42" t="str">
        <f>IFERROR(__xludf.DUMMYFUNCTION("""COMPUTED_VALUE"""),"")</f>
        <v/>
      </c>
      <c r="H12999" s="42">
        <f t="shared" si="1"/>
        <v>3345</v>
      </c>
    </row>
    <row r="13000" ht="22.5" customHeight="1">
      <c r="B13000" s="42" t="str">
        <f>IFERROR(__xludf.DUMMYFUNCTION("""COMPUTED_VALUE"""),"")</f>
        <v/>
      </c>
      <c r="C13000" s="42" t="str">
        <f>IFERROR(__xludf.DUMMYFUNCTION("""COMPUTED_VALUE"""),"")</f>
        <v/>
      </c>
      <c r="D13000" s="42"/>
      <c r="E13000" s="42"/>
      <c r="F13000" s="48" t="str">
        <f>IFERROR(__xludf.DUMMYFUNCTION("""COMPUTED_VALUE"""),"")</f>
        <v/>
      </c>
      <c r="G13000" s="42" t="str">
        <f>IFERROR(__xludf.DUMMYFUNCTION("""COMPUTED_VALUE"""),"")</f>
        <v/>
      </c>
      <c r="H13000" s="42">
        <f t="shared" si="1"/>
        <v>3345</v>
      </c>
    </row>
    <row r="13001" ht="22.5" customHeight="1">
      <c r="B13001" s="42" t="str">
        <f>IFERROR(__xludf.DUMMYFUNCTION("""COMPUTED_VALUE"""),"")</f>
        <v/>
      </c>
      <c r="C13001" s="42" t="str">
        <f>IFERROR(__xludf.DUMMYFUNCTION("""COMPUTED_VALUE"""),"")</f>
        <v/>
      </c>
      <c r="D13001" s="42"/>
      <c r="E13001" s="42"/>
      <c r="F13001" s="48" t="str">
        <f>IFERROR(__xludf.DUMMYFUNCTION("""COMPUTED_VALUE"""),"")</f>
        <v/>
      </c>
      <c r="G13001" s="42" t="str">
        <f>IFERROR(__xludf.DUMMYFUNCTION("""COMPUTED_VALUE"""),"")</f>
        <v/>
      </c>
      <c r="H13001" s="42">
        <f t="shared" si="1"/>
        <v>3345</v>
      </c>
    </row>
    <row r="13002" ht="22.5" customHeight="1">
      <c r="B13002" s="42" t="str">
        <f>IFERROR(__xludf.DUMMYFUNCTION("""COMPUTED_VALUE"""),"")</f>
        <v/>
      </c>
      <c r="C13002" s="42" t="str">
        <f>IFERROR(__xludf.DUMMYFUNCTION("""COMPUTED_VALUE"""),"")</f>
        <v/>
      </c>
      <c r="D13002" s="42"/>
      <c r="E13002" s="42"/>
      <c r="F13002" s="48" t="str">
        <f>IFERROR(__xludf.DUMMYFUNCTION("""COMPUTED_VALUE"""),"")</f>
        <v/>
      </c>
      <c r="G13002" s="42" t="str">
        <f>IFERROR(__xludf.DUMMYFUNCTION("""COMPUTED_VALUE"""),"")</f>
        <v/>
      </c>
      <c r="H13002" s="42">
        <f t="shared" si="1"/>
        <v>3345</v>
      </c>
    </row>
    <row r="13003" ht="22.5" customHeight="1">
      <c r="B13003" s="42" t="str">
        <f>IFERROR(__xludf.DUMMYFUNCTION("""COMPUTED_VALUE"""),"")</f>
        <v/>
      </c>
      <c r="C13003" s="42" t="str">
        <f>IFERROR(__xludf.DUMMYFUNCTION("""COMPUTED_VALUE"""),"")</f>
        <v/>
      </c>
      <c r="D13003" s="42"/>
      <c r="E13003" s="42"/>
      <c r="F13003" s="48" t="str">
        <f>IFERROR(__xludf.DUMMYFUNCTION("""COMPUTED_VALUE"""),"")</f>
        <v/>
      </c>
      <c r="G13003" s="42" t="str">
        <f>IFERROR(__xludf.DUMMYFUNCTION("""COMPUTED_VALUE"""),"")</f>
        <v/>
      </c>
      <c r="H13003" s="42">
        <f t="shared" si="1"/>
        <v>3345</v>
      </c>
    </row>
    <row r="13004" ht="22.5" customHeight="1">
      <c r="B13004" s="42" t="str">
        <f>IFERROR(__xludf.DUMMYFUNCTION("""COMPUTED_VALUE"""),"")</f>
        <v/>
      </c>
      <c r="C13004" s="42" t="str">
        <f>IFERROR(__xludf.DUMMYFUNCTION("""COMPUTED_VALUE"""),"")</f>
        <v/>
      </c>
      <c r="D13004" s="42"/>
      <c r="E13004" s="42"/>
      <c r="F13004" s="48" t="str">
        <f>IFERROR(__xludf.DUMMYFUNCTION("""COMPUTED_VALUE"""),"")</f>
        <v/>
      </c>
      <c r="G13004" s="42" t="str">
        <f>IFERROR(__xludf.DUMMYFUNCTION("""COMPUTED_VALUE"""),"")</f>
        <v/>
      </c>
      <c r="H13004" s="42">
        <f t="shared" si="1"/>
        <v>3345</v>
      </c>
    </row>
    <row r="13005" ht="22.5" customHeight="1">
      <c r="B13005" s="42" t="str">
        <f>IFERROR(__xludf.DUMMYFUNCTION("""COMPUTED_VALUE"""),"")</f>
        <v/>
      </c>
      <c r="C13005" s="42" t="str">
        <f>IFERROR(__xludf.DUMMYFUNCTION("""COMPUTED_VALUE"""),"")</f>
        <v/>
      </c>
      <c r="D13005" s="42"/>
      <c r="E13005" s="42"/>
      <c r="F13005" s="48" t="str">
        <f>IFERROR(__xludf.DUMMYFUNCTION("""COMPUTED_VALUE"""),"")</f>
        <v/>
      </c>
      <c r="G13005" s="42" t="str">
        <f>IFERROR(__xludf.DUMMYFUNCTION("""COMPUTED_VALUE"""),"")</f>
        <v/>
      </c>
      <c r="H13005" s="42">
        <f t="shared" si="1"/>
        <v>3345</v>
      </c>
    </row>
    <row r="13006" ht="22.5" customHeight="1">
      <c r="B13006" s="42" t="str">
        <f>IFERROR(__xludf.DUMMYFUNCTION("""COMPUTED_VALUE"""),"")</f>
        <v/>
      </c>
      <c r="C13006" s="42" t="str">
        <f>IFERROR(__xludf.DUMMYFUNCTION("""COMPUTED_VALUE"""),"")</f>
        <v/>
      </c>
      <c r="D13006" s="42"/>
      <c r="E13006" s="42"/>
      <c r="F13006" s="48" t="str">
        <f>IFERROR(__xludf.DUMMYFUNCTION("""COMPUTED_VALUE"""),"")</f>
        <v/>
      </c>
      <c r="G13006" s="42" t="str">
        <f>IFERROR(__xludf.DUMMYFUNCTION("""COMPUTED_VALUE"""),"")</f>
        <v/>
      </c>
      <c r="H13006" s="42">
        <f t="shared" si="1"/>
        <v>3345</v>
      </c>
    </row>
    <row r="13007" ht="22.5" customHeight="1">
      <c r="B13007" s="42" t="str">
        <f>IFERROR(__xludf.DUMMYFUNCTION("""COMPUTED_VALUE"""),"")</f>
        <v/>
      </c>
      <c r="C13007" s="42" t="str">
        <f>IFERROR(__xludf.DUMMYFUNCTION("""COMPUTED_VALUE"""),"")</f>
        <v/>
      </c>
      <c r="D13007" s="42"/>
      <c r="E13007" s="42"/>
      <c r="F13007" s="48" t="str">
        <f>IFERROR(__xludf.DUMMYFUNCTION("""COMPUTED_VALUE"""),"")</f>
        <v/>
      </c>
      <c r="G13007" s="42" t="str">
        <f>IFERROR(__xludf.DUMMYFUNCTION("""COMPUTED_VALUE"""),"")</f>
        <v/>
      </c>
      <c r="H13007" s="42">
        <f t="shared" si="1"/>
        <v>3345</v>
      </c>
    </row>
    <row r="13008" ht="22.5" customHeight="1">
      <c r="B13008" s="42" t="str">
        <f>IFERROR(__xludf.DUMMYFUNCTION("""COMPUTED_VALUE"""),"")</f>
        <v/>
      </c>
      <c r="C13008" s="42" t="str">
        <f>IFERROR(__xludf.DUMMYFUNCTION("""COMPUTED_VALUE"""),"")</f>
        <v/>
      </c>
      <c r="D13008" s="42"/>
      <c r="E13008" s="42"/>
      <c r="F13008" s="48" t="str">
        <f>IFERROR(__xludf.DUMMYFUNCTION("""COMPUTED_VALUE"""),"")</f>
        <v/>
      </c>
      <c r="G13008" s="42" t="str">
        <f>IFERROR(__xludf.DUMMYFUNCTION("""COMPUTED_VALUE"""),"")</f>
        <v/>
      </c>
      <c r="H13008" s="42">
        <f t="shared" si="1"/>
        <v>3345</v>
      </c>
    </row>
    <row r="13009" ht="22.5" customHeight="1">
      <c r="B13009" s="42" t="str">
        <f>IFERROR(__xludf.DUMMYFUNCTION("""COMPUTED_VALUE"""),"")</f>
        <v/>
      </c>
      <c r="C13009" s="42" t="str">
        <f>IFERROR(__xludf.DUMMYFUNCTION("""COMPUTED_VALUE"""),"")</f>
        <v/>
      </c>
      <c r="D13009" s="42"/>
      <c r="E13009" s="42"/>
      <c r="F13009" s="48" t="str">
        <f>IFERROR(__xludf.DUMMYFUNCTION("""COMPUTED_VALUE"""),"")</f>
        <v/>
      </c>
      <c r="G13009" s="42" t="str">
        <f>IFERROR(__xludf.DUMMYFUNCTION("""COMPUTED_VALUE"""),"")</f>
        <v/>
      </c>
      <c r="H13009" s="42">
        <f t="shared" si="1"/>
        <v>3345</v>
      </c>
    </row>
    <row r="13010" ht="22.5" customHeight="1">
      <c r="B13010" s="42" t="str">
        <f>IFERROR(__xludf.DUMMYFUNCTION("""COMPUTED_VALUE"""),"")</f>
        <v/>
      </c>
      <c r="C13010" s="42" t="str">
        <f>IFERROR(__xludf.DUMMYFUNCTION("""COMPUTED_VALUE"""),"")</f>
        <v/>
      </c>
      <c r="D13010" s="42"/>
      <c r="E13010" s="42"/>
      <c r="F13010" s="48" t="str">
        <f>IFERROR(__xludf.DUMMYFUNCTION("""COMPUTED_VALUE"""),"")</f>
        <v/>
      </c>
      <c r="G13010" s="42" t="str">
        <f>IFERROR(__xludf.DUMMYFUNCTION("""COMPUTED_VALUE"""),"")</f>
        <v/>
      </c>
      <c r="H13010" s="42">
        <f t="shared" si="1"/>
        <v>3345</v>
      </c>
    </row>
    <row r="13011" ht="22.5" customHeight="1">
      <c r="B13011" s="42" t="str">
        <f>IFERROR(__xludf.DUMMYFUNCTION("""COMPUTED_VALUE"""),"")</f>
        <v/>
      </c>
      <c r="C13011" s="42" t="str">
        <f>IFERROR(__xludf.DUMMYFUNCTION("""COMPUTED_VALUE"""),"")</f>
        <v/>
      </c>
      <c r="D13011" s="42"/>
      <c r="E13011" s="42"/>
      <c r="F13011" s="48" t="str">
        <f>IFERROR(__xludf.DUMMYFUNCTION("""COMPUTED_VALUE"""),"")</f>
        <v/>
      </c>
      <c r="G13011" s="42" t="str">
        <f>IFERROR(__xludf.DUMMYFUNCTION("""COMPUTED_VALUE"""),"")</f>
        <v/>
      </c>
      <c r="H13011" s="42">
        <f t="shared" si="1"/>
        <v>3345</v>
      </c>
    </row>
    <row r="13012" ht="22.5" customHeight="1">
      <c r="B13012" s="42" t="str">
        <f>IFERROR(__xludf.DUMMYFUNCTION("""COMPUTED_VALUE"""),"")</f>
        <v/>
      </c>
      <c r="C13012" s="42" t="str">
        <f>IFERROR(__xludf.DUMMYFUNCTION("""COMPUTED_VALUE"""),"")</f>
        <v/>
      </c>
      <c r="D13012" s="42"/>
      <c r="E13012" s="42"/>
      <c r="F13012" s="48" t="str">
        <f>IFERROR(__xludf.DUMMYFUNCTION("""COMPUTED_VALUE"""),"")</f>
        <v/>
      </c>
      <c r="G13012" s="42" t="str">
        <f>IFERROR(__xludf.DUMMYFUNCTION("""COMPUTED_VALUE"""),"")</f>
        <v/>
      </c>
      <c r="H13012" s="42">
        <f t="shared" si="1"/>
        <v>3345</v>
      </c>
    </row>
    <row r="13013" ht="22.5" customHeight="1">
      <c r="B13013" s="42" t="str">
        <f>IFERROR(__xludf.DUMMYFUNCTION("""COMPUTED_VALUE"""),"")</f>
        <v/>
      </c>
      <c r="C13013" s="42" t="str">
        <f>IFERROR(__xludf.DUMMYFUNCTION("""COMPUTED_VALUE"""),"")</f>
        <v/>
      </c>
      <c r="D13013" s="42"/>
      <c r="E13013" s="42"/>
      <c r="F13013" s="48" t="str">
        <f>IFERROR(__xludf.DUMMYFUNCTION("""COMPUTED_VALUE"""),"")</f>
        <v/>
      </c>
      <c r="G13013" s="42" t="str">
        <f>IFERROR(__xludf.DUMMYFUNCTION("""COMPUTED_VALUE"""),"")</f>
        <v/>
      </c>
      <c r="H13013" s="42">
        <f t="shared" si="1"/>
        <v>3345</v>
      </c>
    </row>
    <row r="13014" ht="22.5" customHeight="1">
      <c r="B13014" s="42" t="str">
        <f>IFERROR(__xludf.DUMMYFUNCTION("""COMPUTED_VALUE"""),"")</f>
        <v/>
      </c>
      <c r="C13014" s="42" t="str">
        <f>IFERROR(__xludf.DUMMYFUNCTION("""COMPUTED_VALUE"""),"")</f>
        <v/>
      </c>
      <c r="D13014" s="42"/>
      <c r="E13014" s="42"/>
      <c r="F13014" s="48" t="str">
        <f>IFERROR(__xludf.DUMMYFUNCTION("""COMPUTED_VALUE"""),"")</f>
        <v/>
      </c>
      <c r="G13014" s="42" t="str">
        <f>IFERROR(__xludf.DUMMYFUNCTION("""COMPUTED_VALUE"""),"")</f>
        <v/>
      </c>
      <c r="H13014" s="42">
        <f t="shared" si="1"/>
        <v>3345</v>
      </c>
    </row>
    <row r="13015" ht="22.5" customHeight="1">
      <c r="B13015" s="42" t="str">
        <f>IFERROR(__xludf.DUMMYFUNCTION("""COMPUTED_VALUE"""),"")</f>
        <v/>
      </c>
      <c r="C13015" s="42" t="str">
        <f>IFERROR(__xludf.DUMMYFUNCTION("""COMPUTED_VALUE"""),"")</f>
        <v/>
      </c>
      <c r="D13015" s="42"/>
      <c r="E13015" s="42"/>
      <c r="F13015" s="48" t="str">
        <f>IFERROR(__xludf.DUMMYFUNCTION("""COMPUTED_VALUE"""),"")</f>
        <v/>
      </c>
      <c r="G13015" s="42" t="str">
        <f>IFERROR(__xludf.DUMMYFUNCTION("""COMPUTED_VALUE"""),"")</f>
        <v/>
      </c>
      <c r="H13015" s="42">
        <f t="shared" si="1"/>
        <v>3345</v>
      </c>
    </row>
    <row r="13016" ht="22.5" customHeight="1">
      <c r="B13016" s="42" t="str">
        <f>IFERROR(__xludf.DUMMYFUNCTION("""COMPUTED_VALUE"""),"")</f>
        <v/>
      </c>
      <c r="C13016" s="42" t="str">
        <f>IFERROR(__xludf.DUMMYFUNCTION("""COMPUTED_VALUE"""),"")</f>
        <v/>
      </c>
      <c r="D13016" s="42"/>
      <c r="E13016" s="42"/>
      <c r="F13016" s="48" t="str">
        <f>IFERROR(__xludf.DUMMYFUNCTION("""COMPUTED_VALUE"""),"")</f>
        <v/>
      </c>
      <c r="G13016" s="42" t="str">
        <f>IFERROR(__xludf.DUMMYFUNCTION("""COMPUTED_VALUE"""),"")</f>
        <v/>
      </c>
      <c r="H13016" s="42">
        <f t="shared" si="1"/>
        <v>3345</v>
      </c>
    </row>
    <row r="13017" ht="22.5" customHeight="1">
      <c r="B13017" s="42" t="str">
        <f>IFERROR(__xludf.DUMMYFUNCTION("""COMPUTED_VALUE"""),"")</f>
        <v/>
      </c>
      <c r="C13017" s="42" t="str">
        <f>IFERROR(__xludf.DUMMYFUNCTION("""COMPUTED_VALUE"""),"")</f>
        <v/>
      </c>
      <c r="D13017" s="42"/>
      <c r="E13017" s="42"/>
      <c r="F13017" s="48" t="str">
        <f>IFERROR(__xludf.DUMMYFUNCTION("""COMPUTED_VALUE"""),"")</f>
        <v/>
      </c>
      <c r="G13017" s="42" t="str">
        <f>IFERROR(__xludf.DUMMYFUNCTION("""COMPUTED_VALUE"""),"")</f>
        <v/>
      </c>
      <c r="H13017" s="42">
        <f t="shared" si="1"/>
        <v>3345</v>
      </c>
    </row>
    <row r="13018" ht="22.5" customHeight="1">
      <c r="B13018" s="42" t="str">
        <f>IFERROR(__xludf.DUMMYFUNCTION("""COMPUTED_VALUE"""),"")</f>
        <v/>
      </c>
      <c r="C13018" s="42" t="str">
        <f>IFERROR(__xludf.DUMMYFUNCTION("""COMPUTED_VALUE"""),"")</f>
        <v/>
      </c>
      <c r="D13018" s="42"/>
      <c r="E13018" s="42"/>
      <c r="F13018" s="48" t="str">
        <f>IFERROR(__xludf.DUMMYFUNCTION("""COMPUTED_VALUE"""),"")</f>
        <v/>
      </c>
      <c r="G13018" s="42" t="str">
        <f>IFERROR(__xludf.DUMMYFUNCTION("""COMPUTED_VALUE"""),"")</f>
        <v/>
      </c>
      <c r="H13018" s="42">
        <f t="shared" si="1"/>
        <v>3345</v>
      </c>
    </row>
    <row r="13019" ht="22.5" customHeight="1">
      <c r="B13019" s="42" t="str">
        <f>IFERROR(__xludf.DUMMYFUNCTION("""COMPUTED_VALUE"""),"")</f>
        <v/>
      </c>
      <c r="C13019" s="42" t="str">
        <f>IFERROR(__xludf.DUMMYFUNCTION("""COMPUTED_VALUE"""),"")</f>
        <v/>
      </c>
      <c r="D13019" s="42"/>
      <c r="E13019" s="42"/>
      <c r="F13019" s="48" t="str">
        <f>IFERROR(__xludf.DUMMYFUNCTION("""COMPUTED_VALUE"""),"")</f>
        <v/>
      </c>
      <c r="G13019" s="42" t="str">
        <f>IFERROR(__xludf.DUMMYFUNCTION("""COMPUTED_VALUE"""),"")</f>
        <v/>
      </c>
      <c r="H13019" s="42">
        <f t="shared" si="1"/>
        <v>3345</v>
      </c>
    </row>
    <row r="13020" ht="22.5" customHeight="1">
      <c r="B13020" s="42" t="str">
        <f>IFERROR(__xludf.DUMMYFUNCTION("""COMPUTED_VALUE"""),"")</f>
        <v/>
      </c>
      <c r="C13020" s="42" t="str">
        <f>IFERROR(__xludf.DUMMYFUNCTION("""COMPUTED_VALUE"""),"")</f>
        <v/>
      </c>
      <c r="D13020" s="42"/>
      <c r="E13020" s="42"/>
      <c r="F13020" s="48" t="str">
        <f>IFERROR(__xludf.DUMMYFUNCTION("""COMPUTED_VALUE"""),"")</f>
        <v/>
      </c>
      <c r="G13020" s="42" t="str">
        <f>IFERROR(__xludf.DUMMYFUNCTION("""COMPUTED_VALUE"""),"")</f>
        <v/>
      </c>
      <c r="H13020" s="42">
        <f t="shared" si="1"/>
        <v>3345</v>
      </c>
    </row>
    <row r="13021" ht="22.5" customHeight="1">
      <c r="B13021" s="42" t="str">
        <f>IFERROR(__xludf.DUMMYFUNCTION("""COMPUTED_VALUE"""),"")</f>
        <v/>
      </c>
      <c r="C13021" s="42" t="str">
        <f>IFERROR(__xludf.DUMMYFUNCTION("""COMPUTED_VALUE"""),"")</f>
        <v/>
      </c>
      <c r="D13021" s="42"/>
      <c r="E13021" s="42"/>
      <c r="F13021" s="48" t="str">
        <f>IFERROR(__xludf.DUMMYFUNCTION("""COMPUTED_VALUE"""),"")</f>
        <v/>
      </c>
      <c r="G13021" s="42" t="str">
        <f>IFERROR(__xludf.DUMMYFUNCTION("""COMPUTED_VALUE"""),"")</f>
        <v/>
      </c>
      <c r="H13021" s="42">
        <f t="shared" si="1"/>
        <v>3345</v>
      </c>
    </row>
    <row r="13022" ht="22.5" customHeight="1">
      <c r="B13022" s="42" t="str">
        <f>IFERROR(__xludf.DUMMYFUNCTION("""COMPUTED_VALUE"""),"")</f>
        <v/>
      </c>
      <c r="C13022" s="42" t="str">
        <f>IFERROR(__xludf.DUMMYFUNCTION("""COMPUTED_VALUE"""),"")</f>
        <v/>
      </c>
      <c r="D13022" s="42"/>
      <c r="E13022" s="42"/>
      <c r="F13022" s="48" t="str">
        <f>IFERROR(__xludf.DUMMYFUNCTION("""COMPUTED_VALUE"""),"")</f>
        <v/>
      </c>
      <c r="G13022" s="42" t="str">
        <f>IFERROR(__xludf.DUMMYFUNCTION("""COMPUTED_VALUE"""),"")</f>
        <v/>
      </c>
      <c r="H13022" s="42">
        <f t="shared" si="1"/>
        <v>3345</v>
      </c>
    </row>
    <row r="13023" ht="22.5" customHeight="1">
      <c r="B13023" s="42" t="str">
        <f>IFERROR(__xludf.DUMMYFUNCTION("""COMPUTED_VALUE"""),"")</f>
        <v/>
      </c>
      <c r="C13023" s="42" t="str">
        <f>IFERROR(__xludf.DUMMYFUNCTION("""COMPUTED_VALUE"""),"")</f>
        <v/>
      </c>
      <c r="D13023" s="42"/>
      <c r="E13023" s="42"/>
      <c r="F13023" s="48" t="str">
        <f>IFERROR(__xludf.DUMMYFUNCTION("""COMPUTED_VALUE"""),"")</f>
        <v/>
      </c>
      <c r="G13023" s="42" t="str">
        <f>IFERROR(__xludf.DUMMYFUNCTION("""COMPUTED_VALUE"""),"")</f>
        <v/>
      </c>
      <c r="H13023" s="42">
        <f t="shared" si="1"/>
        <v>3345</v>
      </c>
    </row>
    <row r="13024" ht="22.5" customHeight="1">
      <c r="B13024" s="42" t="str">
        <f>IFERROR(__xludf.DUMMYFUNCTION("""COMPUTED_VALUE"""),"")</f>
        <v/>
      </c>
      <c r="C13024" s="42" t="str">
        <f>IFERROR(__xludf.DUMMYFUNCTION("""COMPUTED_VALUE"""),"")</f>
        <v/>
      </c>
      <c r="D13024" s="42"/>
      <c r="E13024" s="42"/>
      <c r="F13024" s="48" t="str">
        <f>IFERROR(__xludf.DUMMYFUNCTION("""COMPUTED_VALUE"""),"")</f>
        <v/>
      </c>
      <c r="G13024" s="42" t="str">
        <f>IFERROR(__xludf.DUMMYFUNCTION("""COMPUTED_VALUE"""),"")</f>
        <v/>
      </c>
      <c r="H13024" s="42">
        <f t="shared" si="1"/>
        <v>3345</v>
      </c>
    </row>
    <row r="13025" ht="22.5" customHeight="1">
      <c r="B13025" s="42" t="str">
        <f>IFERROR(__xludf.DUMMYFUNCTION("""COMPUTED_VALUE"""),"")</f>
        <v/>
      </c>
      <c r="C13025" s="42" t="str">
        <f>IFERROR(__xludf.DUMMYFUNCTION("""COMPUTED_VALUE"""),"")</f>
        <v/>
      </c>
      <c r="D13025" s="42"/>
      <c r="E13025" s="42"/>
      <c r="F13025" s="48" t="str">
        <f>IFERROR(__xludf.DUMMYFUNCTION("""COMPUTED_VALUE"""),"")</f>
        <v/>
      </c>
      <c r="G13025" s="42" t="str">
        <f>IFERROR(__xludf.DUMMYFUNCTION("""COMPUTED_VALUE"""),"")</f>
        <v/>
      </c>
      <c r="H13025" s="42">
        <f t="shared" si="1"/>
        <v>3345</v>
      </c>
    </row>
    <row r="13026" ht="22.5" customHeight="1">
      <c r="B13026" s="42" t="str">
        <f>IFERROR(__xludf.DUMMYFUNCTION("""COMPUTED_VALUE"""),"")</f>
        <v/>
      </c>
      <c r="C13026" s="42" t="str">
        <f>IFERROR(__xludf.DUMMYFUNCTION("""COMPUTED_VALUE"""),"")</f>
        <v/>
      </c>
      <c r="D13026" s="42"/>
      <c r="E13026" s="42"/>
      <c r="F13026" s="48" t="str">
        <f>IFERROR(__xludf.DUMMYFUNCTION("""COMPUTED_VALUE"""),"")</f>
        <v/>
      </c>
      <c r="G13026" s="42" t="str">
        <f>IFERROR(__xludf.DUMMYFUNCTION("""COMPUTED_VALUE"""),"")</f>
        <v/>
      </c>
      <c r="H13026" s="42">
        <f t="shared" si="1"/>
        <v>3345</v>
      </c>
    </row>
    <row r="13027" ht="22.5" customHeight="1">
      <c r="B13027" s="42" t="str">
        <f>IFERROR(__xludf.DUMMYFUNCTION("""COMPUTED_VALUE"""),"")</f>
        <v/>
      </c>
      <c r="C13027" s="42" t="str">
        <f>IFERROR(__xludf.DUMMYFUNCTION("""COMPUTED_VALUE"""),"")</f>
        <v/>
      </c>
      <c r="D13027" s="42"/>
      <c r="E13027" s="42"/>
      <c r="F13027" s="48" t="str">
        <f>IFERROR(__xludf.DUMMYFUNCTION("""COMPUTED_VALUE"""),"")</f>
        <v/>
      </c>
      <c r="G13027" s="42" t="str">
        <f>IFERROR(__xludf.DUMMYFUNCTION("""COMPUTED_VALUE"""),"")</f>
        <v/>
      </c>
      <c r="H13027" s="42">
        <f t="shared" si="1"/>
        <v>3345</v>
      </c>
    </row>
    <row r="13028" ht="22.5" customHeight="1">
      <c r="B13028" s="42" t="str">
        <f>IFERROR(__xludf.DUMMYFUNCTION("""COMPUTED_VALUE"""),"")</f>
        <v/>
      </c>
      <c r="C13028" s="42" t="str">
        <f>IFERROR(__xludf.DUMMYFUNCTION("""COMPUTED_VALUE"""),"")</f>
        <v/>
      </c>
      <c r="D13028" s="42"/>
      <c r="E13028" s="42"/>
      <c r="F13028" s="48" t="str">
        <f>IFERROR(__xludf.DUMMYFUNCTION("""COMPUTED_VALUE"""),"")</f>
        <v/>
      </c>
      <c r="G13028" s="42" t="str">
        <f>IFERROR(__xludf.DUMMYFUNCTION("""COMPUTED_VALUE"""),"")</f>
        <v/>
      </c>
      <c r="H13028" s="42">
        <f t="shared" si="1"/>
        <v>3345</v>
      </c>
    </row>
    <row r="13029" ht="22.5" customHeight="1">
      <c r="B13029" s="42" t="str">
        <f>IFERROR(__xludf.DUMMYFUNCTION("""COMPUTED_VALUE"""),"")</f>
        <v/>
      </c>
      <c r="C13029" s="42" t="str">
        <f>IFERROR(__xludf.DUMMYFUNCTION("""COMPUTED_VALUE"""),"")</f>
        <v/>
      </c>
      <c r="D13029" s="42"/>
      <c r="E13029" s="42"/>
      <c r="F13029" s="48" t="str">
        <f>IFERROR(__xludf.DUMMYFUNCTION("""COMPUTED_VALUE"""),"")</f>
        <v/>
      </c>
      <c r="G13029" s="42" t="str">
        <f>IFERROR(__xludf.DUMMYFUNCTION("""COMPUTED_VALUE"""),"")</f>
        <v/>
      </c>
      <c r="H13029" s="42">
        <f t="shared" si="1"/>
        <v>3345</v>
      </c>
    </row>
    <row r="13030" ht="22.5" customHeight="1">
      <c r="B13030" s="42" t="str">
        <f>IFERROR(__xludf.DUMMYFUNCTION("""COMPUTED_VALUE"""),"")</f>
        <v/>
      </c>
      <c r="C13030" s="42" t="str">
        <f>IFERROR(__xludf.DUMMYFUNCTION("""COMPUTED_VALUE"""),"")</f>
        <v/>
      </c>
      <c r="D13030" s="42"/>
      <c r="E13030" s="42"/>
      <c r="F13030" s="48" t="str">
        <f>IFERROR(__xludf.DUMMYFUNCTION("""COMPUTED_VALUE"""),"")</f>
        <v/>
      </c>
      <c r="G13030" s="42" t="str">
        <f>IFERROR(__xludf.DUMMYFUNCTION("""COMPUTED_VALUE"""),"")</f>
        <v/>
      </c>
      <c r="H13030" s="42">
        <f t="shared" si="1"/>
        <v>3345</v>
      </c>
    </row>
    <row r="13031" ht="22.5" customHeight="1">
      <c r="B13031" s="42" t="str">
        <f>IFERROR(__xludf.DUMMYFUNCTION("""COMPUTED_VALUE"""),"")</f>
        <v/>
      </c>
      <c r="C13031" s="42" t="str">
        <f>IFERROR(__xludf.DUMMYFUNCTION("""COMPUTED_VALUE"""),"")</f>
        <v/>
      </c>
      <c r="D13031" s="42"/>
      <c r="E13031" s="42"/>
      <c r="F13031" s="48" t="str">
        <f>IFERROR(__xludf.DUMMYFUNCTION("""COMPUTED_VALUE"""),"")</f>
        <v/>
      </c>
      <c r="G13031" s="42" t="str">
        <f>IFERROR(__xludf.DUMMYFUNCTION("""COMPUTED_VALUE"""),"")</f>
        <v/>
      </c>
      <c r="H13031" s="42">
        <f t="shared" si="1"/>
        <v>3345</v>
      </c>
    </row>
    <row r="13032" ht="22.5" customHeight="1">
      <c r="B13032" s="42" t="str">
        <f>IFERROR(__xludf.DUMMYFUNCTION("""COMPUTED_VALUE"""),"")</f>
        <v/>
      </c>
      <c r="C13032" s="42" t="str">
        <f>IFERROR(__xludf.DUMMYFUNCTION("""COMPUTED_VALUE"""),"")</f>
        <v/>
      </c>
      <c r="D13032" s="42"/>
      <c r="E13032" s="42"/>
      <c r="F13032" s="48" t="str">
        <f>IFERROR(__xludf.DUMMYFUNCTION("""COMPUTED_VALUE"""),"")</f>
        <v/>
      </c>
      <c r="G13032" s="42" t="str">
        <f>IFERROR(__xludf.DUMMYFUNCTION("""COMPUTED_VALUE"""),"")</f>
        <v/>
      </c>
      <c r="H13032" s="42">
        <f t="shared" si="1"/>
        <v>3345</v>
      </c>
    </row>
    <row r="13033" ht="22.5" customHeight="1">
      <c r="B13033" s="42" t="str">
        <f>IFERROR(__xludf.DUMMYFUNCTION("""COMPUTED_VALUE"""),"")</f>
        <v/>
      </c>
      <c r="C13033" s="42" t="str">
        <f>IFERROR(__xludf.DUMMYFUNCTION("""COMPUTED_VALUE"""),"")</f>
        <v/>
      </c>
      <c r="D13033" s="42"/>
      <c r="E13033" s="42"/>
      <c r="F13033" s="48" t="str">
        <f>IFERROR(__xludf.DUMMYFUNCTION("""COMPUTED_VALUE"""),"")</f>
        <v/>
      </c>
      <c r="G13033" s="42" t="str">
        <f>IFERROR(__xludf.DUMMYFUNCTION("""COMPUTED_VALUE"""),"")</f>
        <v/>
      </c>
      <c r="H13033" s="42">
        <f t="shared" si="1"/>
        <v>3345</v>
      </c>
    </row>
    <row r="13034" ht="22.5" customHeight="1">
      <c r="B13034" s="42" t="str">
        <f>IFERROR(__xludf.DUMMYFUNCTION("""COMPUTED_VALUE"""),"")</f>
        <v/>
      </c>
      <c r="C13034" s="42" t="str">
        <f>IFERROR(__xludf.DUMMYFUNCTION("""COMPUTED_VALUE"""),"")</f>
        <v/>
      </c>
      <c r="D13034" s="42"/>
      <c r="E13034" s="42"/>
      <c r="F13034" s="48" t="str">
        <f>IFERROR(__xludf.DUMMYFUNCTION("""COMPUTED_VALUE"""),"")</f>
        <v/>
      </c>
      <c r="G13034" s="42" t="str">
        <f>IFERROR(__xludf.DUMMYFUNCTION("""COMPUTED_VALUE"""),"")</f>
        <v/>
      </c>
      <c r="H13034" s="42">
        <f t="shared" si="1"/>
        <v>3345</v>
      </c>
    </row>
    <row r="13035" ht="22.5" customHeight="1">
      <c r="B13035" s="42" t="str">
        <f>IFERROR(__xludf.DUMMYFUNCTION("""COMPUTED_VALUE"""),"")</f>
        <v/>
      </c>
      <c r="C13035" s="42" t="str">
        <f>IFERROR(__xludf.DUMMYFUNCTION("""COMPUTED_VALUE"""),"")</f>
        <v/>
      </c>
      <c r="D13035" s="42"/>
      <c r="E13035" s="42"/>
      <c r="F13035" s="48" t="str">
        <f>IFERROR(__xludf.DUMMYFUNCTION("""COMPUTED_VALUE"""),"")</f>
        <v/>
      </c>
      <c r="G13035" s="42" t="str">
        <f>IFERROR(__xludf.DUMMYFUNCTION("""COMPUTED_VALUE"""),"")</f>
        <v/>
      </c>
      <c r="H13035" s="42">
        <f t="shared" si="1"/>
        <v>3345</v>
      </c>
    </row>
    <row r="13036" ht="22.5" customHeight="1">
      <c r="B13036" s="42" t="str">
        <f>IFERROR(__xludf.DUMMYFUNCTION("""COMPUTED_VALUE"""),"")</f>
        <v/>
      </c>
      <c r="C13036" s="42" t="str">
        <f>IFERROR(__xludf.DUMMYFUNCTION("""COMPUTED_VALUE"""),"")</f>
        <v/>
      </c>
      <c r="D13036" s="42"/>
      <c r="E13036" s="42"/>
      <c r="F13036" s="48" t="str">
        <f>IFERROR(__xludf.DUMMYFUNCTION("""COMPUTED_VALUE"""),"")</f>
        <v/>
      </c>
      <c r="G13036" s="42" t="str">
        <f>IFERROR(__xludf.DUMMYFUNCTION("""COMPUTED_VALUE"""),"")</f>
        <v/>
      </c>
      <c r="H13036" s="42">
        <f t="shared" si="1"/>
        <v>3345</v>
      </c>
    </row>
    <row r="13037" ht="22.5" customHeight="1">
      <c r="B13037" s="42" t="str">
        <f>IFERROR(__xludf.DUMMYFUNCTION("""COMPUTED_VALUE"""),"")</f>
        <v/>
      </c>
      <c r="C13037" s="42" t="str">
        <f>IFERROR(__xludf.DUMMYFUNCTION("""COMPUTED_VALUE"""),"")</f>
        <v/>
      </c>
      <c r="D13037" s="42"/>
      <c r="E13037" s="42"/>
      <c r="F13037" s="48" t="str">
        <f>IFERROR(__xludf.DUMMYFUNCTION("""COMPUTED_VALUE"""),"")</f>
        <v/>
      </c>
      <c r="G13037" s="42" t="str">
        <f>IFERROR(__xludf.DUMMYFUNCTION("""COMPUTED_VALUE"""),"")</f>
        <v/>
      </c>
      <c r="H13037" s="42">
        <f t="shared" si="1"/>
        <v>3345</v>
      </c>
    </row>
    <row r="13038" ht="22.5" customHeight="1">
      <c r="B13038" s="42" t="str">
        <f>IFERROR(__xludf.DUMMYFUNCTION("""COMPUTED_VALUE"""),"")</f>
        <v/>
      </c>
      <c r="C13038" s="42" t="str">
        <f>IFERROR(__xludf.DUMMYFUNCTION("""COMPUTED_VALUE"""),"")</f>
        <v/>
      </c>
      <c r="D13038" s="42"/>
      <c r="E13038" s="42"/>
      <c r="F13038" s="48" t="str">
        <f>IFERROR(__xludf.DUMMYFUNCTION("""COMPUTED_VALUE"""),"")</f>
        <v/>
      </c>
      <c r="G13038" s="42" t="str">
        <f>IFERROR(__xludf.DUMMYFUNCTION("""COMPUTED_VALUE"""),"")</f>
        <v/>
      </c>
      <c r="H13038" s="42">
        <f t="shared" si="1"/>
        <v>3345</v>
      </c>
    </row>
    <row r="13039" ht="22.5" customHeight="1">
      <c r="B13039" s="42" t="str">
        <f>IFERROR(__xludf.DUMMYFUNCTION("""COMPUTED_VALUE"""),"")</f>
        <v/>
      </c>
      <c r="C13039" s="42" t="str">
        <f>IFERROR(__xludf.DUMMYFUNCTION("""COMPUTED_VALUE"""),"")</f>
        <v/>
      </c>
      <c r="D13039" s="42"/>
      <c r="E13039" s="42"/>
      <c r="F13039" s="48" t="str">
        <f>IFERROR(__xludf.DUMMYFUNCTION("""COMPUTED_VALUE"""),"")</f>
        <v/>
      </c>
      <c r="G13039" s="42" t="str">
        <f>IFERROR(__xludf.DUMMYFUNCTION("""COMPUTED_VALUE"""),"")</f>
        <v/>
      </c>
      <c r="H13039" s="42">
        <f t="shared" si="1"/>
        <v>3345</v>
      </c>
    </row>
    <row r="13040" ht="22.5" customHeight="1">
      <c r="B13040" s="42" t="str">
        <f>IFERROR(__xludf.DUMMYFUNCTION("""COMPUTED_VALUE"""),"")</f>
        <v/>
      </c>
      <c r="C13040" s="42" t="str">
        <f>IFERROR(__xludf.DUMMYFUNCTION("""COMPUTED_VALUE"""),"")</f>
        <v/>
      </c>
      <c r="D13040" s="42"/>
      <c r="E13040" s="42"/>
      <c r="F13040" s="48" t="str">
        <f>IFERROR(__xludf.DUMMYFUNCTION("""COMPUTED_VALUE"""),"")</f>
        <v/>
      </c>
      <c r="G13040" s="42" t="str">
        <f>IFERROR(__xludf.DUMMYFUNCTION("""COMPUTED_VALUE"""),"")</f>
        <v/>
      </c>
      <c r="H13040" s="42">
        <f t="shared" si="1"/>
        <v>3345</v>
      </c>
    </row>
    <row r="13041" ht="22.5" customHeight="1">
      <c r="B13041" s="42" t="str">
        <f>IFERROR(__xludf.DUMMYFUNCTION("""COMPUTED_VALUE"""),"")</f>
        <v/>
      </c>
      <c r="C13041" s="42" t="str">
        <f>IFERROR(__xludf.DUMMYFUNCTION("""COMPUTED_VALUE"""),"")</f>
        <v/>
      </c>
      <c r="D13041" s="42"/>
      <c r="E13041" s="42"/>
      <c r="F13041" s="48" t="str">
        <f>IFERROR(__xludf.DUMMYFUNCTION("""COMPUTED_VALUE"""),"")</f>
        <v/>
      </c>
      <c r="G13041" s="42" t="str">
        <f>IFERROR(__xludf.DUMMYFUNCTION("""COMPUTED_VALUE"""),"")</f>
        <v/>
      </c>
      <c r="H13041" s="42">
        <f t="shared" si="1"/>
        <v>3345</v>
      </c>
    </row>
    <row r="13042" ht="22.5" customHeight="1">
      <c r="B13042" s="42" t="str">
        <f>IFERROR(__xludf.DUMMYFUNCTION("""COMPUTED_VALUE"""),"")</f>
        <v/>
      </c>
      <c r="C13042" s="42" t="str">
        <f>IFERROR(__xludf.DUMMYFUNCTION("""COMPUTED_VALUE"""),"")</f>
        <v/>
      </c>
      <c r="D13042" s="42"/>
      <c r="E13042" s="42"/>
      <c r="F13042" s="48" t="str">
        <f>IFERROR(__xludf.DUMMYFUNCTION("""COMPUTED_VALUE"""),"")</f>
        <v/>
      </c>
      <c r="G13042" s="42" t="str">
        <f>IFERROR(__xludf.DUMMYFUNCTION("""COMPUTED_VALUE"""),"")</f>
        <v/>
      </c>
      <c r="H13042" s="42">
        <f t="shared" si="1"/>
        <v>3345</v>
      </c>
    </row>
    <row r="13043" ht="22.5" customHeight="1">
      <c r="B13043" s="42" t="str">
        <f>IFERROR(__xludf.DUMMYFUNCTION("""COMPUTED_VALUE"""),"")</f>
        <v/>
      </c>
      <c r="C13043" s="42" t="str">
        <f>IFERROR(__xludf.DUMMYFUNCTION("""COMPUTED_VALUE"""),"")</f>
        <v/>
      </c>
      <c r="D13043" s="42"/>
      <c r="E13043" s="42"/>
      <c r="F13043" s="48" t="str">
        <f>IFERROR(__xludf.DUMMYFUNCTION("""COMPUTED_VALUE"""),"")</f>
        <v/>
      </c>
      <c r="G13043" s="42" t="str">
        <f>IFERROR(__xludf.DUMMYFUNCTION("""COMPUTED_VALUE"""),"")</f>
        <v/>
      </c>
      <c r="H13043" s="42">
        <f t="shared" si="1"/>
        <v>3345</v>
      </c>
    </row>
    <row r="13044" ht="22.5" customHeight="1">
      <c r="B13044" s="42" t="str">
        <f>IFERROR(__xludf.DUMMYFUNCTION("""COMPUTED_VALUE"""),"")</f>
        <v/>
      </c>
      <c r="C13044" s="42" t="str">
        <f>IFERROR(__xludf.DUMMYFUNCTION("""COMPUTED_VALUE"""),"")</f>
        <v/>
      </c>
      <c r="D13044" s="42"/>
      <c r="E13044" s="42"/>
      <c r="F13044" s="48" t="str">
        <f>IFERROR(__xludf.DUMMYFUNCTION("""COMPUTED_VALUE"""),"")</f>
        <v/>
      </c>
      <c r="G13044" s="42" t="str">
        <f>IFERROR(__xludf.DUMMYFUNCTION("""COMPUTED_VALUE"""),"")</f>
        <v/>
      </c>
      <c r="H13044" s="42">
        <f t="shared" si="1"/>
        <v>3345</v>
      </c>
    </row>
    <row r="13045" ht="22.5" customHeight="1">
      <c r="B13045" s="42" t="str">
        <f>IFERROR(__xludf.DUMMYFUNCTION("""COMPUTED_VALUE"""),"")</f>
        <v/>
      </c>
      <c r="C13045" s="42" t="str">
        <f>IFERROR(__xludf.DUMMYFUNCTION("""COMPUTED_VALUE"""),"")</f>
        <v/>
      </c>
      <c r="D13045" s="42"/>
      <c r="E13045" s="42"/>
      <c r="F13045" s="48" t="str">
        <f>IFERROR(__xludf.DUMMYFUNCTION("""COMPUTED_VALUE"""),"")</f>
        <v/>
      </c>
      <c r="G13045" s="42" t="str">
        <f>IFERROR(__xludf.DUMMYFUNCTION("""COMPUTED_VALUE"""),"")</f>
        <v/>
      </c>
      <c r="H13045" s="42">
        <f t="shared" si="1"/>
        <v>3345</v>
      </c>
    </row>
    <row r="13046" ht="22.5" customHeight="1">
      <c r="B13046" s="42" t="str">
        <f>IFERROR(__xludf.DUMMYFUNCTION("""COMPUTED_VALUE"""),"")</f>
        <v/>
      </c>
      <c r="C13046" s="42" t="str">
        <f>IFERROR(__xludf.DUMMYFUNCTION("""COMPUTED_VALUE"""),"")</f>
        <v/>
      </c>
      <c r="D13046" s="42"/>
      <c r="E13046" s="42"/>
      <c r="F13046" s="48" t="str">
        <f>IFERROR(__xludf.DUMMYFUNCTION("""COMPUTED_VALUE"""),"")</f>
        <v/>
      </c>
      <c r="G13046" s="42" t="str">
        <f>IFERROR(__xludf.DUMMYFUNCTION("""COMPUTED_VALUE"""),"")</f>
        <v/>
      </c>
      <c r="H13046" s="42">
        <f t="shared" si="1"/>
        <v>3345</v>
      </c>
    </row>
    <row r="13047" ht="22.5" customHeight="1">
      <c r="B13047" s="42" t="str">
        <f>IFERROR(__xludf.DUMMYFUNCTION("""COMPUTED_VALUE"""),"")</f>
        <v/>
      </c>
      <c r="C13047" s="42" t="str">
        <f>IFERROR(__xludf.DUMMYFUNCTION("""COMPUTED_VALUE"""),"")</f>
        <v/>
      </c>
      <c r="D13047" s="42"/>
      <c r="E13047" s="42"/>
      <c r="F13047" s="48" t="str">
        <f>IFERROR(__xludf.DUMMYFUNCTION("""COMPUTED_VALUE"""),"")</f>
        <v/>
      </c>
      <c r="G13047" s="42" t="str">
        <f>IFERROR(__xludf.DUMMYFUNCTION("""COMPUTED_VALUE"""),"")</f>
        <v/>
      </c>
      <c r="H13047" s="42">
        <f t="shared" si="1"/>
        <v>3345</v>
      </c>
    </row>
    <row r="13048" ht="22.5" customHeight="1">
      <c r="B13048" s="42" t="str">
        <f>IFERROR(__xludf.DUMMYFUNCTION("""COMPUTED_VALUE"""),"")</f>
        <v/>
      </c>
      <c r="C13048" s="42" t="str">
        <f>IFERROR(__xludf.DUMMYFUNCTION("""COMPUTED_VALUE"""),"")</f>
        <v/>
      </c>
      <c r="D13048" s="42"/>
      <c r="E13048" s="42"/>
      <c r="F13048" s="48" t="str">
        <f>IFERROR(__xludf.DUMMYFUNCTION("""COMPUTED_VALUE"""),"")</f>
        <v/>
      </c>
      <c r="G13048" s="42" t="str">
        <f>IFERROR(__xludf.DUMMYFUNCTION("""COMPUTED_VALUE"""),"")</f>
        <v/>
      </c>
      <c r="H13048" s="42">
        <f t="shared" si="1"/>
        <v>3345</v>
      </c>
    </row>
    <row r="13049" ht="22.5" customHeight="1">
      <c r="B13049" s="42" t="str">
        <f>IFERROR(__xludf.DUMMYFUNCTION("""COMPUTED_VALUE"""),"")</f>
        <v/>
      </c>
      <c r="C13049" s="42" t="str">
        <f>IFERROR(__xludf.DUMMYFUNCTION("""COMPUTED_VALUE"""),"")</f>
        <v/>
      </c>
      <c r="D13049" s="42"/>
      <c r="E13049" s="42"/>
      <c r="F13049" s="48" t="str">
        <f>IFERROR(__xludf.DUMMYFUNCTION("""COMPUTED_VALUE"""),"")</f>
        <v/>
      </c>
      <c r="G13049" s="42" t="str">
        <f>IFERROR(__xludf.DUMMYFUNCTION("""COMPUTED_VALUE"""),"")</f>
        <v/>
      </c>
      <c r="H13049" s="42">
        <f t="shared" si="1"/>
        <v>3345</v>
      </c>
    </row>
    <row r="13050" ht="22.5" customHeight="1">
      <c r="B13050" s="42" t="str">
        <f>IFERROR(__xludf.DUMMYFUNCTION("""COMPUTED_VALUE"""),"")</f>
        <v/>
      </c>
      <c r="C13050" s="42" t="str">
        <f>IFERROR(__xludf.DUMMYFUNCTION("""COMPUTED_VALUE"""),"")</f>
        <v/>
      </c>
      <c r="D13050" s="42"/>
      <c r="E13050" s="42"/>
      <c r="F13050" s="48" t="str">
        <f>IFERROR(__xludf.DUMMYFUNCTION("""COMPUTED_VALUE"""),"")</f>
        <v/>
      </c>
      <c r="G13050" s="42" t="str">
        <f>IFERROR(__xludf.DUMMYFUNCTION("""COMPUTED_VALUE"""),"")</f>
        <v/>
      </c>
      <c r="H13050" s="42">
        <f t="shared" si="1"/>
        <v>3345</v>
      </c>
    </row>
    <row r="13051" ht="22.5" customHeight="1">
      <c r="B13051" s="42" t="str">
        <f>IFERROR(__xludf.DUMMYFUNCTION("""COMPUTED_VALUE"""),"")</f>
        <v/>
      </c>
      <c r="C13051" s="42" t="str">
        <f>IFERROR(__xludf.DUMMYFUNCTION("""COMPUTED_VALUE"""),"")</f>
        <v/>
      </c>
      <c r="D13051" s="42"/>
      <c r="E13051" s="42"/>
      <c r="F13051" s="48" t="str">
        <f>IFERROR(__xludf.DUMMYFUNCTION("""COMPUTED_VALUE"""),"")</f>
        <v/>
      </c>
      <c r="G13051" s="42" t="str">
        <f>IFERROR(__xludf.DUMMYFUNCTION("""COMPUTED_VALUE"""),"")</f>
        <v/>
      </c>
      <c r="H13051" s="42">
        <f t="shared" si="1"/>
        <v>3345</v>
      </c>
    </row>
    <row r="13052" ht="22.5" customHeight="1">
      <c r="B13052" s="42" t="str">
        <f>IFERROR(__xludf.DUMMYFUNCTION("""COMPUTED_VALUE"""),"")</f>
        <v/>
      </c>
      <c r="C13052" s="42" t="str">
        <f>IFERROR(__xludf.DUMMYFUNCTION("""COMPUTED_VALUE"""),"")</f>
        <v/>
      </c>
      <c r="D13052" s="42"/>
      <c r="E13052" s="42"/>
      <c r="F13052" s="48" t="str">
        <f>IFERROR(__xludf.DUMMYFUNCTION("""COMPUTED_VALUE"""),"")</f>
        <v/>
      </c>
      <c r="G13052" s="42" t="str">
        <f>IFERROR(__xludf.DUMMYFUNCTION("""COMPUTED_VALUE"""),"")</f>
        <v/>
      </c>
      <c r="H13052" s="42">
        <f t="shared" si="1"/>
        <v>3345</v>
      </c>
    </row>
    <row r="13053" ht="22.5" customHeight="1">
      <c r="B13053" s="42" t="str">
        <f>IFERROR(__xludf.DUMMYFUNCTION("""COMPUTED_VALUE"""),"")</f>
        <v/>
      </c>
      <c r="C13053" s="42" t="str">
        <f>IFERROR(__xludf.DUMMYFUNCTION("""COMPUTED_VALUE"""),"")</f>
        <v/>
      </c>
      <c r="D13053" s="42"/>
      <c r="E13053" s="42"/>
      <c r="F13053" s="48" t="str">
        <f>IFERROR(__xludf.DUMMYFUNCTION("""COMPUTED_VALUE"""),"")</f>
        <v/>
      </c>
      <c r="G13053" s="42" t="str">
        <f>IFERROR(__xludf.DUMMYFUNCTION("""COMPUTED_VALUE"""),"")</f>
        <v/>
      </c>
      <c r="H13053" s="42">
        <f t="shared" si="1"/>
        <v>3345</v>
      </c>
    </row>
    <row r="13054" ht="22.5" customHeight="1">
      <c r="B13054" s="42" t="str">
        <f>IFERROR(__xludf.DUMMYFUNCTION("""COMPUTED_VALUE"""),"")</f>
        <v/>
      </c>
      <c r="C13054" s="42" t="str">
        <f>IFERROR(__xludf.DUMMYFUNCTION("""COMPUTED_VALUE"""),"")</f>
        <v/>
      </c>
      <c r="D13054" s="42"/>
      <c r="E13054" s="42"/>
      <c r="F13054" s="48" t="str">
        <f>IFERROR(__xludf.DUMMYFUNCTION("""COMPUTED_VALUE"""),"")</f>
        <v/>
      </c>
      <c r="G13054" s="42" t="str">
        <f>IFERROR(__xludf.DUMMYFUNCTION("""COMPUTED_VALUE"""),"")</f>
        <v/>
      </c>
      <c r="H13054" s="42">
        <f t="shared" si="1"/>
        <v>3345</v>
      </c>
    </row>
    <row r="13055" ht="22.5" customHeight="1">
      <c r="B13055" s="42" t="str">
        <f>IFERROR(__xludf.DUMMYFUNCTION("""COMPUTED_VALUE"""),"")</f>
        <v/>
      </c>
      <c r="C13055" s="42" t="str">
        <f>IFERROR(__xludf.DUMMYFUNCTION("""COMPUTED_VALUE"""),"")</f>
        <v/>
      </c>
      <c r="D13055" s="42"/>
      <c r="E13055" s="42"/>
      <c r="F13055" s="48" t="str">
        <f>IFERROR(__xludf.DUMMYFUNCTION("""COMPUTED_VALUE"""),"")</f>
        <v/>
      </c>
      <c r="G13055" s="42" t="str">
        <f>IFERROR(__xludf.DUMMYFUNCTION("""COMPUTED_VALUE"""),"")</f>
        <v/>
      </c>
      <c r="H13055" s="42">
        <f t="shared" si="1"/>
        <v>3345</v>
      </c>
    </row>
    <row r="13056" ht="22.5" customHeight="1">
      <c r="B13056" s="42" t="str">
        <f>IFERROR(__xludf.DUMMYFUNCTION("""COMPUTED_VALUE"""),"")</f>
        <v/>
      </c>
      <c r="C13056" s="42" t="str">
        <f>IFERROR(__xludf.DUMMYFUNCTION("""COMPUTED_VALUE"""),"")</f>
        <v/>
      </c>
      <c r="D13056" s="42"/>
      <c r="E13056" s="42"/>
      <c r="F13056" s="48" t="str">
        <f>IFERROR(__xludf.DUMMYFUNCTION("""COMPUTED_VALUE"""),"")</f>
        <v/>
      </c>
      <c r="G13056" s="42" t="str">
        <f>IFERROR(__xludf.DUMMYFUNCTION("""COMPUTED_VALUE"""),"")</f>
        <v/>
      </c>
      <c r="H13056" s="42">
        <f t="shared" si="1"/>
        <v>3345</v>
      </c>
    </row>
    <row r="13057" ht="22.5" customHeight="1">
      <c r="B13057" s="42" t="str">
        <f>IFERROR(__xludf.DUMMYFUNCTION("""COMPUTED_VALUE"""),"")</f>
        <v/>
      </c>
      <c r="C13057" s="42" t="str">
        <f>IFERROR(__xludf.DUMMYFUNCTION("""COMPUTED_VALUE"""),"")</f>
        <v/>
      </c>
      <c r="D13057" s="42"/>
      <c r="E13057" s="42"/>
      <c r="F13057" s="48" t="str">
        <f>IFERROR(__xludf.DUMMYFUNCTION("""COMPUTED_VALUE"""),"")</f>
        <v/>
      </c>
      <c r="G13057" s="42" t="str">
        <f>IFERROR(__xludf.DUMMYFUNCTION("""COMPUTED_VALUE"""),"")</f>
        <v/>
      </c>
      <c r="H13057" s="42">
        <f t="shared" si="1"/>
        <v>3345</v>
      </c>
    </row>
    <row r="13058" ht="22.5" customHeight="1">
      <c r="B13058" s="42" t="str">
        <f>IFERROR(__xludf.DUMMYFUNCTION("""COMPUTED_VALUE"""),"")</f>
        <v/>
      </c>
      <c r="C13058" s="42" t="str">
        <f>IFERROR(__xludf.DUMMYFUNCTION("""COMPUTED_VALUE"""),"")</f>
        <v/>
      </c>
      <c r="D13058" s="42"/>
      <c r="E13058" s="42"/>
      <c r="F13058" s="48" t="str">
        <f>IFERROR(__xludf.DUMMYFUNCTION("""COMPUTED_VALUE"""),"")</f>
        <v/>
      </c>
      <c r="G13058" s="42" t="str">
        <f>IFERROR(__xludf.DUMMYFUNCTION("""COMPUTED_VALUE"""),"")</f>
        <v/>
      </c>
      <c r="H13058" s="42">
        <f t="shared" si="1"/>
        <v>3345</v>
      </c>
    </row>
    <row r="13059" ht="22.5" customHeight="1">
      <c r="B13059" s="42" t="str">
        <f>IFERROR(__xludf.DUMMYFUNCTION("""COMPUTED_VALUE"""),"")</f>
        <v/>
      </c>
      <c r="C13059" s="42" t="str">
        <f>IFERROR(__xludf.DUMMYFUNCTION("""COMPUTED_VALUE"""),"")</f>
        <v/>
      </c>
      <c r="D13059" s="42"/>
      <c r="E13059" s="42"/>
      <c r="F13059" s="48" t="str">
        <f>IFERROR(__xludf.DUMMYFUNCTION("""COMPUTED_VALUE"""),"")</f>
        <v/>
      </c>
      <c r="G13059" s="42" t="str">
        <f>IFERROR(__xludf.DUMMYFUNCTION("""COMPUTED_VALUE"""),"")</f>
        <v/>
      </c>
      <c r="H13059" s="42">
        <f t="shared" si="1"/>
        <v>3345</v>
      </c>
    </row>
    <row r="13060" ht="22.5" customHeight="1">
      <c r="B13060" s="42" t="str">
        <f>IFERROR(__xludf.DUMMYFUNCTION("""COMPUTED_VALUE"""),"")</f>
        <v/>
      </c>
      <c r="C13060" s="42" t="str">
        <f>IFERROR(__xludf.DUMMYFUNCTION("""COMPUTED_VALUE"""),"")</f>
        <v/>
      </c>
      <c r="D13060" s="42"/>
      <c r="E13060" s="42"/>
      <c r="F13060" s="48" t="str">
        <f>IFERROR(__xludf.DUMMYFUNCTION("""COMPUTED_VALUE"""),"")</f>
        <v/>
      </c>
      <c r="G13060" s="42" t="str">
        <f>IFERROR(__xludf.DUMMYFUNCTION("""COMPUTED_VALUE"""),"")</f>
        <v/>
      </c>
      <c r="H13060" s="42">
        <f t="shared" si="1"/>
        <v>3345</v>
      </c>
    </row>
    <row r="13061" ht="22.5" customHeight="1">
      <c r="B13061" s="42" t="str">
        <f>IFERROR(__xludf.DUMMYFUNCTION("""COMPUTED_VALUE"""),"")</f>
        <v/>
      </c>
      <c r="C13061" s="42" t="str">
        <f>IFERROR(__xludf.DUMMYFUNCTION("""COMPUTED_VALUE"""),"")</f>
        <v/>
      </c>
      <c r="D13061" s="42"/>
      <c r="E13061" s="42"/>
      <c r="F13061" s="48" t="str">
        <f>IFERROR(__xludf.DUMMYFUNCTION("""COMPUTED_VALUE"""),"")</f>
        <v/>
      </c>
      <c r="G13061" s="42" t="str">
        <f>IFERROR(__xludf.DUMMYFUNCTION("""COMPUTED_VALUE"""),"")</f>
        <v/>
      </c>
      <c r="H13061" s="42">
        <f t="shared" si="1"/>
        <v>3345</v>
      </c>
    </row>
    <row r="13062" ht="22.5" customHeight="1">
      <c r="B13062" s="42" t="str">
        <f>IFERROR(__xludf.DUMMYFUNCTION("""COMPUTED_VALUE"""),"")</f>
        <v/>
      </c>
      <c r="C13062" s="42" t="str">
        <f>IFERROR(__xludf.DUMMYFUNCTION("""COMPUTED_VALUE"""),"")</f>
        <v/>
      </c>
      <c r="D13062" s="42"/>
      <c r="E13062" s="42"/>
      <c r="F13062" s="48" t="str">
        <f>IFERROR(__xludf.DUMMYFUNCTION("""COMPUTED_VALUE"""),"")</f>
        <v/>
      </c>
      <c r="G13062" s="42" t="str">
        <f>IFERROR(__xludf.DUMMYFUNCTION("""COMPUTED_VALUE"""),"")</f>
        <v/>
      </c>
      <c r="H13062" s="42">
        <f t="shared" si="1"/>
        <v>3345</v>
      </c>
    </row>
    <row r="13063" ht="22.5" customHeight="1">
      <c r="B13063" s="42" t="str">
        <f>IFERROR(__xludf.DUMMYFUNCTION("""COMPUTED_VALUE"""),"")</f>
        <v/>
      </c>
      <c r="C13063" s="42" t="str">
        <f>IFERROR(__xludf.DUMMYFUNCTION("""COMPUTED_VALUE"""),"")</f>
        <v/>
      </c>
      <c r="D13063" s="42"/>
      <c r="E13063" s="42"/>
      <c r="F13063" s="48" t="str">
        <f>IFERROR(__xludf.DUMMYFUNCTION("""COMPUTED_VALUE"""),"")</f>
        <v/>
      </c>
      <c r="G13063" s="42" t="str">
        <f>IFERROR(__xludf.DUMMYFUNCTION("""COMPUTED_VALUE"""),"")</f>
        <v/>
      </c>
      <c r="H13063" s="42">
        <f t="shared" si="1"/>
        <v>3345</v>
      </c>
    </row>
    <row r="13064" ht="22.5" customHeight="1">
      <c r="B13064" s="42" t="str">
        <f>IFERROR(__xludf.DUMMYFUNCTION("""COMPUTED_VALUE"""),"")</f>
        <v/>
      </c>
      <c r="C13064" s="42" t="str">
        <f>IFERROR(__xludf.DUMMYFUNCTION("""COMPUTED_VALUE"""),"")</f>
        <v/>
      </c>
      <c r="D13064" s="42"/>
      <c r="E13064" s="42"/>
      <c r="F13064" s="48" t="str">
        <f>IFERROR(__xludf.DUMMYFUNCTION("""COMPUTED_VALUE"""),"")</f>
        <v/>
      </c>
      <c r="G13064" s="42" t="str">
        <f>IFERROR(__xludf.DUMMYFUNCTION("""COMPUTED_VALUE"""),"")</f>
        <v/>
      </c>
      <c r="H13064" s="42">
        <f t="shared" si="1"/>
        <v>3345</v>
      </c>
    </row>
    <row r="13065" ht="22.5" customHeight="1">
      <c r="B13065" s="42" t="str">
        <f>IFERROR(__xludf.DUMMYFUNCTION("""COMPUTED_VALUE"""),"")</f>
        <v/>
      </c>
      <c r="C13065" s="42" t="str">
        <f>IFERROR(__xludf.DUMMYFUNCTION("""COMPUTED_VALUE"""),"")</f>
        <v/>
      </c>
      <c r="D13065" s="42"/>
      <c r="E13065" s="42"/>
      <c r="F13065" s="48" t="str">
        <f>IFERROR(__xludf.DUMMYFUNCTION("""COMPUTED_VALUE"""),"")</f>
        <v/>
      </c>
      <c r="G13065" s="42" t="str">
        <f>IFERROR(__xludf.DUMMYFUNCTION("""COMPUTED_VALUE"""),"")</f>
        <v/>
      </c>
      <c r="H13065" s="42">
        <f t="shared" si="1"/>
        <v>3345</v>
      </c>
    </row>
    <row r="13066" ht="22.5" customHeight="1">
      <c r="B13066" s="42" t="str">
        <f>IFERROR(__xludf.DUMMYFUNCTION("""COMPUTED_VALUE"""),"")</f>
        <v/>
      </c>
      <c r="C13066" s="42" t="str">
        <f>IFERROR(__xludf.DUMMYFUNCTION("""COMPUTED_VALUE"""),"")</f>
        <v/>
      </c>
      <c r="D13066" s="42"/>
      <c r="E13066" s="42"/>
      <c r="F13066" s="48" t="str">
        <f>IFERROR(__xludf.DUMMYFUNCTION("""COMPUTED_VALUE"""),"")</f>
        <v/>
      </c>
      <c r="G13066" s="42" t="str">
        <f>IFERROR(__xludf.DUMMYFUNCTION("""COMPUTED_VALUE"""),"")</f>
        <v/>
      </c>
      <c r="H13066" s="42">
        <f t="shared" si="1"/>
        <v>3345</v>
      </c>
    </row>
    <row r="13067" ht="22.5" customHeight="1">
      <c r="B13067" s="42" t="str">
        <f>IFERROR(__xludf.DUMMYFUNCTION("""COMPUTED_VALUE"""),"")</f>
        <v/>
      </c>
      <c r="C13067" s="42" t="str">
        <f>IFERROR(__xludf.DUMMYFUNCTION("""COMPUTED_VALUE"""),"")</f>
        <v/>
      </c>
      <c r="D13067" s="42"/>
      <c r="E13067" s="42"/>
      <c r="F13067" s="48" t="str">
        <f>IFERROR(__xludf.DUMMYFUNCTION("""COMPUTED_VALUE"""),"")</f>
        <v/>
      </c>
      <c r="G13067" s="42" t="str">
        <f>IFERROR(__xludf.DUMMYFUNCTION("""COMPUTED_VALUE"""),"")</f>
        <v/>
      </c>
      <c r="H13067" s="42">
        <f t="shared" si="1"/>
        <v>3345</v>
      </c>
    </row>
    <row r="13068" ht="22.5" customHeight="1">
      <c r="B13068" s="42" t="str">
        <f>IFERROR(__xludf.DUMMYFUNCTION("""COMPUTED_VALUE"""),"")</f>
        <v/>
      </c>
      <c r="C13068" s="42" t="str">
        <f>IFERROR(__xludf.DUMMYFUNCTION("""COMPUTED_VALUE"""),"")</f>
        <v/>
      </c>
      <c r="D13068" s="42"/>
      <c r="E13068" s="42"/>
      <c r="F13068" s="48" t="str">
        <f>IFERROR(__xludf.DUMMYFUNCTION("""COMPUTED_VALUE"""),"")</f>
        <v/>
      </c>
      <c r="G13068" s="42" t="str">
        <f>IFERROR(__xludf.DUMMYFUNCTION("""COMPUTED_VALUE"""),"")</f>
        <v/>
      </c>
      <c r="H13068" s="42">
        <f t="shared" si="1"/>
        <v>3345</v>
      </c>
    </row>
    <row r="13069" ht="22.5" customHeight="1">
      <c r="B13069" s="42" t="str">
        <f>IFERROR(__xludf.DUMMYFUNCTION("""COMPUTED_VALUE"""),"")</f>
        <v/>
      </c>
      <c r="C13069" s="42" t="str">
        <f>IFERROR(__xludf.DUMMYFUNCTION("""COMPUTED_VALUE"""),"")</f>
        <v/>
      </c>
      <c r="D13069" s="42"/>
      <c r="E13069" s="42"/>
      <c r="F13069" s="48" t="str">
        <f>IFERROR(__xludf.DUMMYFUNCTION("""COMPUTED_VALUE"""),"")</f>
        <v/>
      </c>
      <c r="G13069" s="42" t="str">
        <f>IFERROR(__xludf.DUMMYFUNCTION("""COMPUTED_VALUE"""),"")</f>
        <v/>
      </c>
      <c r="H13069" s="42">
        <f t="shared" si="1"/>
        <v>3345</v>
      </c>
    </row>
    <row r="13070" ht="22.5" customHeight="1">
      <c r="B13070" s="42" t="str">
        <f>IFERROR(__xludf.DUMMYFUNCTION("""COMPUTED_VALUE"""),"")</f>
        <v/>
      </c>
      <c r="C13070" s="42" t="str">
        <f>IFERROR(__xludf.DUMMYFUNCTION("""COMPUTED_VALUE"""),"")</f>
        <v/>
      </c>
      <c r="D13070" s="42"/>
      <c r="E13070" s="42"/>
      <c r="F13070" s="48" t="str">
        <f>IFERROR(__xludf.DUMMYFUNCTION("""COMPUTED_VALUE"""),"")</f>
        <v/>
      </c>
      <c r="G13070" s="42" t="str">
        <f>IFERROR(__xludf.DUMMYFUNCTION("""COMPUTED_VALUE"""),"")</f>
        <v/>
      </c>
      <c r="H13070" s="42">
        <f t="shared" si="1"/>
        <v>3345</v>
      </c>
    </row>
    <row r="13071" ht="22.5" customHeight="1">
      <c r="B13071" s="42" t="str">
        <f>IFERROR(__xludf.DUMMYFUNCTION("""COMPUTED_VALUE"""),"")</f>
        <v/>
      </c>
      <c r="C13071" s="42" t="str">
        <f>IFERROR(__xludf.DUMMYFUNCTION("""COMPUTED_VALUE"""),"")</f>
        <v/>
      </c>
      <c r="D13071" s="42"/>
      <c r="E13071" s="42"/>
      <c r="F13071" s="48" t="str">
        <f>IFERROR(__xludf.DUMMYFUNCTION("""COMPUTED_VALUE"""),"")</f>
        <v/>
      </c>
      <c r="G13071" s="42" t="str">
        <f>IFERROR(__xludf.DUMMYFUNCTION("""COMPUTED_VALUE"""),"")</f>
        <v/>
      </c>
      <c r="H13071" s="42">
        <f t="shared" si="1"/>
        <v>3345</v>
      </c>
    </row>
    <row r="13072" ht="22.5" customHeight="1">
      <c r="B13072" s="42" t="str">
        <f>IFERROR(__xludf.DUMMYFUNCTION("""COMPUTED_VALUE"""),"")</f>
        <v/>
      </c>
      <c r="C13072" s="42" t="str">
        <f>IFERROR(__xludf.DUMMYFUNCTION("""COMPUTED_VALUE"""),"")</f>
        <v/>
      </c>
      <c r="D13072" s="42"/>
      <c r="E13072" s="42"/>
      <c r="F13072" s="48" t="str">
        <f>IFERROR(__xludf.DUMMYFUNCTION("""COMPUTED_VALUE"""),"")</f>
        <v/>
      </c>
      <c r="G13072" s="42" t="str">
        <f>IFERROR(__xludf.DUMMYFUNCTION("""COMPUTED_VALUE"""),"")</f>
        <v/>
      </c>
      <c r="H13072" s="42">
        <f t="shared" si="1"/>
        <v>3345</v>
      </c>
    </row>
    <row r="13073" ht="22.5" customHeight="1">
      <c r="B13073" s="42" t="str">
        <f>IFERROR(__xludf.DUMMYFUNCTION("""COMPUTED_VALUE"""),"")</f>
        <v/>
      </c>
      <c r="C13073" s="42" t="str">
        <f>IFERROR(__xludf.DUMMYFUNCTION("""COMPUTED_VALUE"""),"")</f>
        <v/>
      </c>
      <c r="D13073" s="42"/>
      <c r="E13073" s="42"/>
      <c r="F13073" s="48" t="str">
        <f>IFERROR(__xludf.DUMMYFUNCTION("""COMPUTED_VALUE"""),"")</f>
        <v/>
      </c>
      <c r="G13073" s="42" t="str">
        <f>IFERROR(__xludf.DUMMYFUNCTION("""COMPUTED_VALUE"""),"")</f>
        <v/>
      </c>
      <c r="H13073" s="42">
        <f t="shared" si="1"/>
        <v>3345</v>
      </c>
    </row>
    <row r="13074" ht="22.5" customHeight="1">
      <c r="B13074" s="42" t="str">
        <f>IFERROR(__xludf.DUMMYFUNCTION("""COMPUTED_VALUE"""),"")</f>
        <v/>
      </c>
      <c r="C13074" s="42" t="str">
        <f>IFERROR(__xludf.DUMMYFUNCTION("""COMPUTED_VALUE"""),"")</f>
        <v/>
      </c>
      <c r="D13074" s="42"/>
      <c r="E13074" s="42"/>
      <c r="F13074" s="48" t="str">
        <f>IFERROR(__xludf.DUMMYFUNCTION("""COMPUTED_VALUE"""),"")</f>
        <v/>
      </c>
      <c r="G13074" s="42" t="str">
        <f>IFERROR(__xludf.DUMMYFUNCTION("""COMPUTED_VALUE"""),"")</f>
        <v/>
      </c>
      <c r="H13074" s="42">
        <f t="shared" si="1"/>
        <v>3345</v>
      </c>
    </row>
    <row r="13075" ht="22.5" customHeight="1">
      <c r="B13075" s="42" t="str">
        <f>IFERROR(__xludf.DUMMYFUNCTION("""COMPUTED_VALUE"""),"")</f>
        <v/>
      </c>
      <c r="C13075" s="42" t="str">
        <f>IFERROR(__xludf.DUMMYFUNCTION("""COMPUTED_VALUE"""),"")</f>
        <v/>
      </c>
      <c r="D13075" s="42"/>
      <c r="E13075" s="42"/>
      <c r="F13075" s="48" t="str">
        <f>IFERROR(__xludf.DUMMYFUNCTION("""COMPUTED_VALUE"""),"")</f>
        <v/>
      </c>
      <c r="G13075" s="42" t="str">
        <f>IFERROR(__xludf.DUMMYFUNCTION("""COMPUTED_VALUE"""),"")</f>
        <v/>
      </c>
      <c r="H13075" s="42">
        <f t="shared" si="1"/>
        <v>3345</v>
      </c>
    </row>
    <row r="13076" ht="22.5" customHeight="1">
      <c r="B13076" s="42" t="str">
        <f>IFERROR(__xludf.DUMMYFUNCTION("""COMPUTED_VALUE"""),"")</f>
        <v/>
      </c>
      <c r="C13076" s="42" t="str">
        <f>IFERROR(__xludf.DUMMYFUNCTION("""COMPUTED_VALUE"""),"")</f>
        <v/>
      </c>
      <c r="D13076" s="42"/>
      <c r="E13076" s="42"/>
      <c r="F13076" s="48" t="str">
        <f>IFERROR(__xludf.DUMMYFUNCTION("""COMPUTED_VALUE"""),"")</f>
        <v/>
      </c>
      <c r="G13076" s="42" t="str">
        <f>IFERROR(__xludf.DUMMYFUNCTION("""COMPUTED_VALUE"""),"")</f>
        <v/>
      </c>
      <c r="H13076" s="42">
        <f t="shared" si="1"/>
        <v>3345</v>
      </c>
    </row>
    <row r="13077" ht="22.5" customHeight="1">
      <c r="B13077" s="42" t="str">
        <f>IFERROR(__xludf.DUMMYFUNCTION("""COMPUTED_VALUE"""),"")</f>
        <v/>
      </c>
      <c r="C13077" s="42" t="str">
        <f>IFERROR(__xludf.DUMMYFUNCTION("""COMPUTED_VALUE"""),"")</f>
        <v/>
      </c>
      <c r="D13077" s="42"/>
      <c r="E13077" s="42"/>
      <c r="F13077" s="48" t="str">
        <f>IFERROR(__xludf.DUMMYFUNCTION("""COMPUTED_VALUE"""),"")</f>
        <v/>
      </c>
      <c r="G13077" s="42" t="str">
        <f>IFERROR(__xludf.DUMMYFUNCTION("""COMPUTED_VALUE"""),"")</f>
        <v/>
      </c>
      <c r="H13077" s="42">
        <f t="shared" si="1"/>
        <v>3345</v>
      </c>
    </row>
    <row r="13078" ht="22.5" customHeight="1">
      <c r="B13078" s="42" t="str">
        <f>IFERROR(__xludf.DUMMYFUNCTION("""COMPUTED_VALUE"""),"")</f>
        <v/>
      </c>
      <c r="C13078" s="42" t="str">
        <f>IFERROR(__xludf.DUMMYFUNCTION("""COMPUTED_VALUE"""),"")</f>
        <v/>
      </c>
      <c r="D13078" s="42"/>
      <c r="E13078" s="42"/>
      <c r="F13078" s="48" t="str">
        <f>IFERROR(__xludf.DUMMYFUNCTION("""COMPUTED_VALUE"""),"")</f>
        <v/>
      </c>
      <c r="G13078" s="42" t="str">
        <f>IFERROR(__xludf.DUMMYFUNCTION("""COMPUTED_VALUE"""),"")</f>
        <v/>
      </c>
      <c r="H13078" s="42">
        <f t="shared" si="1"/>
        <v>3345</v>
      </c>
    </row>
    <row r="13079" ht="22.5" customHeight="1">
      <c r="B13079" s="42" t="str">
        <f>IFERROR(__xludf.DUMMYFUNCTION("""COMPUTED_VALUE"""),"")</f>
        <v/>
      </c>
      <c r="C13079" s="42" t="str">
        <f>IFERROR(__xludf.DUMMYFUNCTION("""COMPUTED_VALUE"""),"")</f>
        <v/>
      </c>
      <c r="D13079" s="42"/>
      <c r="E13079" s="42"/>
      <c r="F13079" s="48" t="str">
        <f>IFERROR(__xludf.DUMMYFUNCTION("""COMPUTED_VALUE"""),"")</f>
        <v/>
      </c>
      <c r="G13079" s="42" t="str">
        <f>IFERROR(__xludf.DUMMYFUNCTION("""COMPUTED_VALUE"""),"")</f>
        <v/>
      </c>
      <c r="H13079" s="42">
        <f t="shared" si="1"/>
        <v>3345</v>
      </c>
    </row>
    <row r="13080" ht="22.5" customHeight="1">
      <c r="B13080" s="42" t="str">
        <f>IFERROR(__xludf.DUMMYFUNCTION("""COMPUTED_VALUE"""),"")</f>
        <v/>
      </c>
      <c r="C13080" s="42" t="str">
        <f>IFERROR(__xludf.DUMMYFUNCTION("""COMPUTED_VALUE"""),"")</f>
        <v/>
      </c>
      <c r="D13080" s="42"/>
      <c r="E13080" s="42"/>
      <c r="F13080" s="48" t="str">
        <f>IFERROR(__xludf.DUMMYFUNCTION("""COMPUTED_VALUE"""),"")</f>
        <v/>
      </c>
      <c r="G13080" s="42" t="str">
        <f>IFERROR(__xludf.DUMMYFUNCTION("""COMPUTED_VALUE"""),"")</f>
        <v/>
      </c>
      <c r="H13080" s="42">
        <f t="shared" si="1"/>
        <v>3345</v>
      </c>
    </row>
    <row r="13081" ht="22.5" customHeight="1">
      <c r="B13081" s="42" t="str">
        <f>IFERROR(__xludf.DUMMYFUNCTION("""COMPUTED_VALUE"""),"")</f>
        <v/>
      </c>
      <c r="C13081" s="42" t="str">
        <f>IFERROR(__xludf.DUMMYFUNCTION("""COMPUTED_VALUE"""),"")</f>
        <v/>
      </c>
      <c r="D13081" s="42"/>
      <c r="E13081" s="42"/>
      <c r="F13081" s="48" t="str">
        <f>IFERROR(__xludf.DUMMYFUNCTION("""COMPUTED_VALUE"""),"")</f>
        <v/>
      </c>
      <c r="G13081" s="42" t="str">
        <f>IFERROR(__xludf.DUMMYFUNCTION("""COMPUTED_VALUE"""),"")</f>
        <v/>
      </c>
      <c r="H13081" s="42">
        <f t="shared" si="1"/>
        <v>3345</v>
      </c>
    </row>
    <row r="13082" ht="22.5" customHeight="1">
      <c r="B13082" s="42" t="str">
        <f>IFERROR(__xludf.DUMMYFUNCTION("""COMPUTED_VALUE"""),"")</f>
        <v/>
      </c>
      <c r="C13082" s="42" t="str">
        <f>IFERROR(__xludf.DUMMYFUNCTION("""COMPUTED_VALUE"""),"")</f>
        <v/>
      </c>
      <c r="D13082" s="42"/>
      <c r="E13082" s="42"/>
      <c r="F13082" s="48" t="str">
        <f>IFERROR(__xludf.DUMMYFUNCTION("""COMPUTED_VALUE"""),"")</f>
        <v/>
      </c>
      <c r="G13082" s="42" t="str">
        <f>IFERROR(__xludf.DUMMYFUNCTION("""COMPUTED_VALUE"""),"")</f>
        <v/>
      </c>
      <c r="H13082" s="42">
        <f t="shared" si="1"/>
        <v>3345</v>
      </c>
    </row>
    <row r="13083" ht="22.5" customHeight="1">
      <c r="B13083" s="42" t="str">
        <f>IFERROR(__xludf.DUMMYFUNCTION("""COMPUTED_VALUE"""),"")</f>
        <v/>
      </c>
      <c r="C13083" s="42" t="str">
        <f>IFERROR(__xludf.DUMMYFUNCTION("""COMPUTED_VALUE"""),"")</f>
        <v/>
      </c>
      <c r="D13083" s="42"/>
      <c r="E13083" s="42"/>
      <c r="F13083" s="48" t="str">
        <f>IFERROR(__xludf.DUMMYFUNCTION("""COMPUTED_VALUE"""),"")</f>
        <v/>
      </c>
      <c r="G13083" s="42" t="str">
        <f>IFERROR(__xludf.DUMMYFUNCTION("""COMPUTED_VALUE"""),"")</f>
        <v/>
      </c>
      <c r="H13083" s="42">
        <f t="shared" si="1"/>
        <v>3345</v>
      </c>
    </row>
    <row r="13084" ht="22.5" customHeight="1">
      <c r="B13084" s="42" t="str">
        <f>IFERROR(__xludf.DUMMYFUNCTION("""COMPUTED_VALUE"""),"")</f>
        <v/>
      </c>
      <c r="C13084" s="42" t="str">
        <f>IFERROR(__xludf.DUMMYFUNCTION("""COMPUTED_VALUE"""),"")</f>
        <v/>
      </c>
      <c r="D13084" s="42"/>
      <c r="E13084" s="42"/>
      <c r="F13084" s="48" t="str">
        <f>IFERROR(__xludf.DUMMYFUNCTION("""COMPUTED_VALUE"""),"")</f>
        <v/>
      </c>
      <c r="G13084" s="42" t="str">
        <f>IFERROR(__xludf.DUMMYFUNCTION("""COMPUTED_VALUE"""),"")</f>
        <v/>
      </c>
      <c r="H13084" s="42">
        <f t="shared" si="1"/>
        <v>3345</v>
      </c>
    </row>
    <row r="13085" ht="22.5" customHeight="1">
      <c r="B13085" s="42" t="str">
        <f>IFERROR(__xludf.DUMMYFUNCTION("""COMPUTED_VALUE"""),"")</f>
        <v/>
      </c>
      <c r="C13085" s="42" t="str">
        <f>IFERROR(__xludf.DUMMYFUNCTION("""COMPUTED_VALUE"""),"")</f>
        <v/>
      </c>
      <c r="D13085" s="42"/>
      <c r="E13085" s="42"/>
      <c r="F13085" s="48" t="str">
        <f>IFERROR(__xludf.DUMMYFUNCTION("""COMPUTED_VALUE"""),"")</f>
        <v/>
      </c>
      <c r="G13085" s="42" t="str">
        <f>IFERROR(__xludf.DUMMYFUNCTION("""COMPUTED_VALUE"""),"")</f>
        <v/>
      </c>
      <c r="H13085" s="42">
        <f t="shared" si="1"/>
        <v>3345</v>
      </c>
    </row>
    <row r="13086" ht="22.5" customHeight="1">
      <c r="B13086" s="42" t="str">
        <f>IFERROR(__xludf.DUMMYFUNCTION("""COMPUTED_VALUE"""),"")</f>
        <v/>
      </c>
      <c r="C13086" s="42" t="str">
        <f>IFERROR(__xludf.DUMMYFUNCTION("""COMPUTED_VALUE"""),"")</f>
        <v/>
      </c>
      <c r="D13086" s="42"/>
      <c r="E13086" s="42"/>
      <c r="F13086" s="48" t="str">
        <f>IFERROR(__xludf.DUMMYFUNCTION("""COMPUTED_VALUE"""),"")</f>
        <v/>
      </c>
      <c r="G13086" s="42" t="str">
        <f>IFERROR(__xludf.DUMMYFUNCTION("""COMPUTED_VALUE"""),"")</f>
        <v/>
      </c>
      <c r="H13086" s="42">
        <f t="shared" si="1"/>
        <v>3345</v>
      </c>
    </row>
    <row r="13087" ht="22.5" customHeight="1">
      <c r="B13087" s="42" t="str">
        <f>IFERROR(__xludf.DUMMYFUNCTION("""COMPUTED_VALUE"""),"")</f>
        <v/>
      </c>
      <c r="C13087" s="42" t="str">
        <f>IFERROR(__xludf.DUMMYFUNCTION("""COMPUTED_VALUE"""),"")</f>
        <v/>
      </c>
      <c r="D13087" s="42"/>
      <c r="E13087" s="42"/>
      <c r="F13087" s="48" t="str">
        <f>IFERROR(__xludf.DUMMYFUNCTION("""COMPUTED_VALUE"""),"")</f>
        <v/>
      </c>
      <c r="G13087" s="42" t="str">
        <f>IFERROR(__xludf.DUMMYFUNCTION("""COMPUTED_VALUE"""),"")</f>
        <v/>
      </c>
      <c r="H13087" s="42">
        <f t="shared" si="1"/>
        <v>3345</v>
      </c>
    </row>
    <row r="13088" ht="22.5" customHeight="1">
      <c r="B13088" s="42" t="str">
        <f>IFERROR(__xludf.DUMMYFUNCTION("""COMPUTED_VALUE"""),"")</f>
        <v/>
      </c>
      <c r="C13088" s="42" t="str">
        <f>IFERROR(__xludf.DUMMYFUNCTION("""COMPUTED_VALUE"""),"")</f>
        <v/>
      </c>
      <c r="D13088" s="42"/>
      <c r="E13088" s="42"/>
      <c r="F13088" s="48" t="str">
        <f>IFERROR(__xludf.DUMMYFUNCTION("""COMPUTED_VALUE"""),"")</f>
        <v/>
      </c>
      <c r="G13088" s="42" t="str">
        <f>IFERROR(__xludf.DUMMYFUNCTION("""COMPUTED_VALUE"""),"")</f>
        <v/>
      </c>
      <c r="H13088" s="42">
        <f t="shared" si="1"/>
        <v>3345</v>
      </c>
    </row>
    <row r="13089" ht="22.5" customHeight="1">
      <c r="B13089" s="42" t="str">
        <f>IFERROR(__xludf.DUMMYFUNCTION("""COMPUTED_VALUE"""),"")</f>
        <v/>
      </c>
      <c r="C13089" s="42" t="str">
        <f>IFERROR(__xludf.DUMMYFUNCTION("""COMPUTED_VALUE"""),"")</f>
        <v/>
      </c>
      <c r="D13089" s="42"/>
      <c r="E13089" s="42"/>
      <c r="F13089" s="48" t="str">
        <f>IFERROR(__xludf.DUMMYFUNCTION("""COMPUTED_VALUE"""),"")</f>
        <v/>
      </c>
      <c r="G13089" s="42" t="str">
        <f>IFERROR(__xludf.DUMMYFUNCTION("""COMPUTED_VALUE"""),"")</f>
        <v/>
      </c>
      <c r="H13089" s="42">
        <f t="shared" si="1"/>
        <v>3345</v>
      </c>
    </row>
    <row r="13090" ht="22.5" customHeight="1">
      <c r="B13090" s="42" t="str">
        <f>IFERROR(__xludf.DUMMYFUNCTION("""COMPUTED_VALUE"""),"")</f>
        <v/>
      </c>
      <c r="C13090" s="42" t="str">
        <f>IFERROR(__xludf.DUMMYFUNCTION("""COMPUTED_VALUE"""),"")</f>
        <v/>
      </c>
      <c r="D13090" s="42"/>
      <c r="E13090" s="42"/>
      <c r="F13090" s="48" t="str">
        <f>IFERROR(__xludf.DUMMYFUNCTION("""COMPUTED_VALUE"""),"")</f>
        <v/>
      </c>
      <c r="G13090" s="42" t="str">
        <f>IFERROR(__xludf.DUMMYFUNCTION("""COMPUTED_VALUE"""),"")</f>
        <v/>
      </c>
      <c r="H13090" s="42">
        <f t="shared" si="1"/>
        <v>3345</v>
      </c>
    </row>
    <row r="13091" ht="22.5" customHeight="1">
      <c r="B13091" s="42" t="str">
        <f>IFERROR(__xludf.DUMMYFUNCTION("""COMPUTED_VALUE"""),"")</f>
        <v/>
      </c>
      <c r="C13091" s="42" t="str">
        <f>IFERROR(__xludf.DUMMYFUNCTION("""COMPUTED_VALUE"""),"")</f>
        <v/>
      </c>
      <c r="D13091" s="42"/>
      <c r="E13091" s="42"/>
      <c r="F13091" s="48" t="str">
        <f>IFERROR(__xludf.DUMMYFUNCTION("""COMPUTED_VALUE"""),"")</f>
        <v/>
      </c>
      <c r="G13091" s="42" t="str">
        <f>IFERROR(__xludf.DUMMYFUNCTION("""COMPUTED_VALUE"""),"")</f>
        <v/>
      </c>
      <c r="H13091" s="42">
        <f t="shared" si="1"/>
        <v>3345</v>
      </c>
    </row>
    <row r="13092" ht="22.5" customHeight="1">
      <c r="B13092" s="42" t="str">
        <f>IFERROR(__xludf.DUMMYFUNCTION("""COMPUTED_VALUE"""),"")</f>
        <v/>
      </c>
      <c r="C13092" s="42" t="str">
        <f>IFERROR(__xludf.DUMMYFUNCTION("""COMPUTED_VALUE"""),"")</f>
        <v/>
      </c>
      <c r="D13092" s="42"/>
      <c r="E13092" s="42"/>
      <c r="F13092" s="48" t="str">
        <f>IFERROR(__xludf.DUMMYFUNCTION("""COMPUTED_VALUE"""),"")</f>
        <v/>
      </c>
      <c r="G13092" s="42" t="str">
        <f>IFERROR(__xludf.DUMMYFUNCTION("""COMPUTED_VALUE"""),"")</f>
        <v/>
      </c>
      <c r="H13092" s="42">
        <f t="shared" si="1"/>
        <v>3345</v>
      </c>
    </row>
    <row r="13093" ht="22.5" customHeight="1">
      <c r="B13093" s="42" t="str">
        <f>IFERROR(__xludf.DUMMYFUNCTION("""COMPUTED_VALUE"""),"")</f>
        <v/>
      </c>
      <c r="C13093" s="42" t="str">
        <f>IFERROR(__xludf.DUMMYFUNCTION("""COMPUTED_VALUE"""),"")</f>
        <v/>
      </c>
      <c r="D13093" s="42"/>
      <c r="E13093" s="42"/>
      <c r="F13093" s="48" t="str">
        <f>IFERROR(__xludf.DUMMYFUNCTION("""COMPUTED_VALUE"""),"")</f>
        <v/>
      </c>
      <c r="G13093" s="42" t="str">
        <f>IFERROR(__xludf.DUMMYFUNCTION("""COMPUTED_VALUE"""),"")</f>
        <v/>
      </c>
      <c r="H13093" s="42">
        <f t="shared" si="1"/>
        <v>3345</v>
      </c>
    </row>
    <row r="13094" ht="22.5" customHeight="1">
      <c r="B13094" s="42" t="str">
        <f>IFERROR(__xludf.DUMMYFUNCTION("""COMPUTED_VALUE"""),"")</f>
        <v/>
      </c>
      <c r="C13094" s="42" t="str">
        <f>IFERROR(__xludf.DUMMYFUNCTION("""COMPUTED_VALUE"""),"")</f>
        <v/>
      </c>
      <c r="D13094" s="42"/>
      <c r="E13094" s="42"/>
      <c r="F13094" s="48" t="str">
        <f>IFERROR(__xludf.DUMMYFUNCTION("""COMPUTED_VALUE"""),"")</f>
        <v/>
      </c>
      <c r="G13094" s="42" t="str">
        <f>IFERROR(__xludf.DUMMYFUNCTION("""COMPUTED_VALUE"""),"")</f>
        <v/>
      </c>
      <c r="H13094" s="42">
        <f t="shared" si="1"/>
        <v>3345</v>
      </c>
    </row>
    <row r="13095" ht="22.5" customHeight="1">
      <c r="B13095" s="42" t="str">
        <f>IFERROR(__xludf.DUMMYFUNCTION("""COMPUTED_VALUE"""),"")</f>
        <v/>
      </c>
      <c r="C13095" s="42" t="str">
        <f>IFERROR(__xludf.DUMMYFUNCTION("""COMPUTED_VALUE"""),"")</f>
        <v/>
      </c>
      <c r="D13095" s="42"/>
      <c r="E13095" s="42"/>
      <c r="F13095" s="48" t="str">
        <f>IFERROR(__xludf.DUMMYFUNCTION("""COMPUTED_VALUE"""),"")</f>
        <v/>
      </c>
      <c r="G13095" s="42" t="str">
        <f>IFERROR(__xludf.DUMMYFUNCTION("""COMPUTED_VALUE"""),"")</f>
        <v/>
      </c>
      <c r="H13095" s="42">
        <f t="shared" si="1"/>
        <v>3345</v>
      </c>
    </row>
    <row r="13096" ht="22.5" customHeight="1">
      <c r="B13096" s="42" t="str">
        <f>IFERROR(__xludf.DUMMYFUNCTION("""COMPUTED_VALUE"""),"")</f>
        <v/>
      </c>
      <c r="C13096" s="42" t="str">
        <f>IFERROR(__xludf.DUMMYFUNCTION("""COMPUTED_VALUE"""),"")</f>
        <v/>
      </c>
      <c r="D13096" s="42"/>
      <c r="E13096" s="42"/>
      <c r="F13096" s="48" t="str">
        <f>IFERROR(__xludf.DUMMYFUNCTION("""COMPUTED_VALUE"""),"")</f>
        <v/>
      </c>
      <c r="G13096" s="42" t="str">
        <f>IFERROR(__xludf.DUMMYFUNCTION("""COMPUTED_VALUE"""),"")</f>
        <v/>
      </c>
      <c r="H13096" s="42">
        <f t="shared" si="1"/>
        <v>3345</v>
      </c>
    </row>
    <row r="13097" ht="22.5" customHeight="1">
      <c r="B13097" s="42" t="str">
        <f>IFERROR(__xludf.DUMMYFUNCTION("""COMPUTED_VALUE"""),"")</f>
        <v/>
      </c>
      <c r="C13097" s="42" t="str">
        <f>IFERROR(__xludf.DUMMYFUNCTION("""COMPUTED_VALUE"""),"")</f>
        <v/>
      </c>
      <c r="D13097" s="42"/>
      <c r="E13097" s="42"/>
      <c r="F13097" s="48" t="str">
        <f>IFERROR(__xludf.DUMMYFUNCTION("""COMPUTED_VALUE"""),"")</f>
        <v/>
      </c>
      <c r="G13097" s="42" t="str">
        <f>IFERROR(__xludf.DUMMYFUNCTION("""COMPUTED_VALUE"""),"")</f>
        <v/>
      </c>
      <c r="H13097" s="42">
        <f t="shared" si="1"/>
        <v>3345</v>
      </c>
    </row>
    <row r="13098" ht="22.5" customHeight="1">
      <c r="B13098" s="42" t="str">
        <f>IFERROR(__xludf.DUMMYFUNCTION("""COMPUTED_VALUE"""),"")</f>
        <v/>
      </c>
      <c r="C13098" s="42" t="str">
        <f>IFERROR(__xludf.DUMMYFUNCTION("""COMPUTED_VALUE"""),"")</f>
        <v/>
      </c>
      <c r="D13098" s="42"/>
      <c r="E13098" s="42"/>
      <c r="F13098" s="48" t="str">
        <f>IFERROR(__xludf.DUMMYFUNCTION("""COMPUTED_VALUE"""),"")</f>
        <v/>
      </c>
      <c r="G13098" s="42" t="str">
        <f>IFERROR(__xludf.DUMMYFUNCTION("""COMPUTED_VALUE"""),"")</f>
        <v/>
      </c>
      <c r="H13098" s="42">
        <f t="shared" si="1"/>
        <v>3345</v>
      </c>
    </row>
    <row r="13099" ht="22.5" customHeight="1">
      <c r="B13099" s="42" t="str">
        <f>IFERROR(__xludf.DUMMYFUNCTION("""COMPUTED_VALUE"""),"")</f>
        <v/>
      </c>
      <c r="C13099" s="42" t="str">
        <f>IFERROR(__xludf.DUMMYFUNCTION("""COMPUTED_VALUE"""),"")</f>
        <v/>
      </c>
      <c r="D13099" s="42"/>
      <c r="E13099" s="42"/>
      <c r="F13099" s="48" t="str">
        <f>IFERROR(__xludf.DUMMYFUNCTION("""COMPUTED_VALUE"""),"")</f>
        <v/>
      </c>
      <c r="G13099" s="42" t="str">
        <f>IFERROR(__xludf.DUMMYFUNCTION("""COMPUTED_VALUE"""),"")</f>
        <v/>
      </c>
      <c r="H13099" s="42">
        <f t="shared" si="1"/>
        <v>3345</v>
      </c>
    </row>
    <row r="13100" ht="22.5" customHeight="1">
      <c r="B13100" s="42" t="str">
        <f>IFERROR(__xludf.DUMMYFUNCTION("""COMPUTED_VALUE"""),"")</f>
        <v/>
      </c>
      <c r="C13100" s="42" t="str">
        <f>IFERROR(__xludf.DUMMYFUNCTION("""COMPUTED_VALUE"""),"")</f>
        <v/>
      </c>
      <c r="D13100" s="42"/>
      <c r="E13100" s="42"/>
      <c r="F13100" s="48" t="str">
        <f>IFERROR(__xludf.DUMMYFUNCTION("""COMPUTED_VALUE"""),"")</f>
        <v/>
      </c>
      <c r="G13100" s="42" t="str">
        <f>IFERROR(__xludf.DUMMYFUNCTION("""COMPUTED_VALUE"""),"")</f>
        <v/>
      </c>
      <c r="H13100" s="42">
        <f t="shared" si="1"/>
        <v>3345</v>
      </c>
    </row>
    <row r="13101" ht="22.5" customHeight="1">
      <c r="B13101" s="42" t="str">
        <f>IFERROR(__xludf.DUMMYFUNCTION("""COMPUTED_VALUE"""),"")</f>
        <v/>
      </c>
      <c r="C13101" s="42" t="str">
        <f>IFERROR(__xludf.DUMMYFUNCTION("""COMPUTED_VALUE"""),"")</f>
        <v/>
      </c>
      <c r="D13101" s="42"/>
      <c r="E13101" s="42"/>
      <c r="F13101" s="48" t="str">
        <f>IFERROR(__xludf.DUMMYFUNCTION("""COMPUTED_VALUE"""),"")</f>
        <v/>
      </c>
      <c r="G13101" s="42" t="str">
        <f>IFERROR(__xludf.DUMMYFUNCTION("""COMPUTED_VALUE"""),"")</f>
        <v/>
      </c>
      <c r="H13101" s="42">
        <f t="shared" si="1"/>
        <v>3345</v>
      </c>
    </row>
    <row r="13102" ht="22.5" customHeight="1">
      <c r="B13102" s="42" t="str">
        <f>IFERROR(__xludf.DUMMYFUNCTION("""COMPUTED_VALUE"""),"")</f>
        <v/>
      </c>
      <c r="C13102" s="42" t="str">
        <f>IFERROR(__xludf.DUMMYFUNCTION("""COMPUTED_VALUE"""),"")</f>
        <v/>
      </c>
      <c r="D13102" s="42"/>
      <c r="E13102" s="42"/>
      <c r="F13102" s="48" t="str">
        <f>IFERROR(__xludf.DUMMYFUNCTION("""COMPUTED_VALUE"""),"")</f>
        <v/>
      </c>
      <c r="G13102" s="42" t="str">
        <f>IFERROR(__xludf.DUMMYFUNCTION("""COMPUTED_VALUE"""),"")</f>
        <v/>
      </c>
      <c r="H13102" s="42">
        <f t="shared" si="1"/>
        <v>3345</v>
      </c>
    </row>
    <row r="13103" ht="22.5" customHeight="1">
      <c r="B13103" s="42" t="str">
        <f>IFERROR(__xludf.DUMMYFUNCTION("""COMPUTED_VALUE"""),"")</f>
        <v/>
      </c>
      <c r="C13103" s="42" t="str">
        <f>IFERROR(__xludf.DUMMYFUNCTION("""COMPUTED_VALUE"""),"")</f>
        <v/>
      </c>
      <c r="D13103" s="42"/>
      <c r="E13103" s="42"/>
      <c r="F13103" s="48" t="str">
        <f>IFERROR(__xludf.DUMMYFUNCTION("""COMPUTED_VALUE"""),"")</f>
        <v/>
      </c>
      <c r="G13103" s="42" t="str">
        <f>IFERROR(__xludf.DUMMYFUNCTION("""COMPUTED_VALUE"""),"")</f>
        <v/>
      </c>
      <c r="H13103" s="42">
        <f t="shared" si="1"/>
        <v>3345</v>
      </c>
    </row>
    <row r="13104" ht="22.5" customHeight="1">
      <c r="B13104" s="42" t="str">
        <f>IFERROR(__xludf.DUMMYFUNCTION("""COMPUTED_VALUE"""),"")</f>
        <v/>
      </c>
      <c r="C13104" s="42" t="str">
        <f>IFERROR(__xludf.DUMMYFUNCTION("""COMPUTED_VALUE"""),"")</f>
        <v/>
      </c>
      <c r="D13104" s="42"/>
      <c r="E13104" s="42"/>
      <c r="F13104" s="48" t="str">
        <f>IFERROR(__xludf.DUMMYFUNCTION("""COMPUTED_VALUE"""),"")</f>
        <v/>
      </c>
      <c r="G13104" s="42" t="str">
        <f>IFERROR(__xludf.DUMMYFUNCTION("""COMPUTED_VALUE"""),"")</f>
        <v/>
      </c>
      <c r="H13104" s="42">
        <f t="shared" si="1"/>
        <v>3345</v>
      </c>
    </row>
    <row r="13105" ht="22.5" customHeight="1">
      <c r="B13105" s="42" t="str">
        <f>IFERROR(__xludf.DUMMYFUNCTION("""COMPUTED_VALUE"""),"")</f>
        <v/>
      </c>
      <c r="C13105" s="42" t="str">
        <f>IFERROR(__xludf.DUMMYFUNCTION("""COMPUTED_VALUE"""),"")</f>
        <v/>
      </c>
      <c r="D13105" s="42"/>
      <c r="E13105" s="42"/>
      <c r="F13105" s="48" t="str">
        <f>IFERROR(__xludf.DUMMYFUNCTION("""COMPUTED_VALUE"""),"")</f>
        <v/>
      </c>
      <c r="G13105" s="42" t="str">
        <f>IFERROR(__xludf.DUMMYFUNCTION("""COMPUTED_VALUE"""),"")</f>
        <v/>
      </c>
      <c r="H13105" s="42">
        <f t="shared" si="1"/>
        <v>3345</v>
      </c>
    </row>
    <row r="13106" ht="22.5" customHeight="1">
      <c r="B13106" s="42" t="str">
        <f>IFERROR(__xludf.DUMMYFUNCTION("""COMPUTED_VALUE"""),"")</f>
        <v/>
      </c>
      <c r="C13106" s="42" t="str">
        <f>IFERROR(__xludf.DUMMYFUNCTION("""COMPUTED_VALUE"""),"")</f>
        <v/>
      </c>
      <c r="D13106" s="42"/>
      <c r="E13106" s="42"/>
      <c r="F13106" s="48" t="str">
        <f>IFERROR(__xludf.DUMMYFUNCTION("""COMPUTED_VALUE"""),"")</f>
        <v/>
      </c>
      <c r="G13106" s="42" t="str">
        <f>IFERROR(__xludf.DUMMYFUNCTION("""COMPUTED_VALUE"""),"")</f>
        <v/>
      </c>
      <c r="H13106" s="42">
        <f t="shared" si="1"/>
        <v>3345</v>
      </c>
    </row>
    <row r="13107" ht="22.5" customHeight="1">
      <c r="B13107" s="42" t="str">
        <f>IFERROR(__xludf.DUMMYFUNCTION("""COMPUTED_VALUE"""),"")</f>
        <v/>
      </c>
      <c r="C13107" s="42" t="str">
        <f>IFERROR(__xludf.DUMMYFUNCTION("""COMPUTED_VALUE"""),"")</f>
        <v/>
      </c>
      <c r="D13107" s="42"/>
      <c r="E13107" s="42"/>
      <c r="F13107" s="48" t="str">
        <f>IFERROR(__xludf.DUMMYFUNCTION("""COMPUTED_VALUE"""),"")</f>
        <v/>
      </c>
      <c r="G13107" s="42" t="str">
        <f>IFERROR(__xludf.DUMMYFUNCTION("""COMPUTED_VALUE"""),"")</f>
        <v/>
      </c>
      <c r="H13107" s="42">
        <f t="shared" si="1"/>
        <v>3345</v>
      </c>
    </row>
    <row r="13108" ht="22.5" customHeight="1">
      <c r="B13108" s="42" t="str">
        <f>IFERROR(__xludf.DUMMYFUNCTION("""COMPUTED_VALUE"""),"")</f>
        <v/>
      </c>
      <c r="C13108" s="42" t="str">
        <f>IFERROR(__xludf.DUMMYFUNCTION("""COMPUTED_VALUE"""),"")</f>
        <v/>
      </c>
      <c r="D13108" s="42"/>
      <c r="E13108" s="42"/>
      <c r="F13108" s="48" t="str">
        <f>IFERROR(__xludf.DUMMYFUNCTION("""COMPUTED_VALUE"""),"")</f>
        <v/>
      </c>
      <c r="G13108" s="42" t="str">
        <f>IFERROR(__xludf.DUMMYFUNCTION("""COMPUTED_VALUE"""),"")</f>
        <v/>
      </c>
      <c r="H13108" s="42">
        <f t="shared" si="1"/>
        <v>3345</v>
      </c>
    </row>
    <row r="13109" ht="22.5" customHeight="1">
      <c r="B13109" s="42" t="str">
        <f>IFERROR(__xludf.DUMMYFUNCTION("""COMPUTED_VALUE"""),"")</f>
        <v/>
      </c>
      <c r="C13109" s="42" t="str">
        <f>IFERROR(__xludf.DUMMYFUNCTION("""COMPUTED_VALUE"""),"")</f>
        <v/>
      </c>
      <c r="D13109" s="42"/>
      <c r="E13109" s="42"/>
      <c r="F13109" s="48" t="str">
        <f>IFERROR(__xludf.DUMMYFUNCTION("""COMPUTED_VALUE"""),"")</f>
        <v/>
      </c>
      <c r="G13109" s="42" t="str">
        <f>IFERROR(__xludf.DUMMYFUNCTION("""COMPUTED_VALUE"""),"")</f>
        <v/>
      </c>
      <c r="H13109" s="42">
        <f t="shared" si="1"/>
        <v>3345</v>
      </c>
    </row>
    <row r="13110" ht="22.5" customHeight="1">
      <c r="B13110" s="42" t="str">
        <f>IFERROR(__xludf.DUMMYFUNCTION("""COMPUTED_VALUE"""),"")</f>
        <v/>
      </c>
      <c r="C13110" s="42" t="str">
        <f>IFERROR(__xludf.DUMMYFUNCTION("""COMPUTED_VALUE"""),"")</f>
        <v/>
      </c>
      <c r="D13110" s="42"/>
      <c r="E13110" s="42"/>
      <c r="F13110" s="48" t="str">
        <f>IFERROR(__xludf.DUMMYFUNCTION("""COMPUTED_VALUE"""),"")</f>
        <v/>
      </c>
      <c r="G13110" s="42" t="str">
        <f>IFERROR(__xludf.DUMMYFUNCTION("""COMPUTED_VALUE"""),"")</f>
        <v/>
      </c>
      <c r="H13110" s="42">
        <f t="shared" si="1"/>
        <v>3345</v>
      </c>
    </row>
    <row r="13111" ht="22.5" customHeight="1">
      <c r="B13111" s="42" t="str">
        <f>IFERROR(__xludf.DUMMYFUNCTION("""COMPUTED_VALUE"""),"")</f>
        <v/>
      </c>
      <c r="C13111" s="42" t="str">
        <f>IFERROR(__xludf.DUMMYFUNCTION("""COMPUTED_VALUE"""),"")</f>
        <v/>
      </c>
      <c r="D13111" s="42"/>
      <c r="E13111" s="42"/>
      <c r="F13111" s="48" t="str">
        <f>IFERROR(__xludf.DUMMYFUNCTION("""COMPUTED_VALUE"""),"")</f>
        <v/>
      </c>
      <c r="G13111" s="42" t="str">
        <f>IFERROR(__xludf.DUMMYFUNCTION("""COMPUTED_VALUE"""),"")</f>
        <v/>
      </c>
      <c r="H13111" s="42">
        <f t="shared" si="1"/>
        <v>3345</v>
      </c>
    </row>
    <row r="13112" ht="22.5" customHeight="1">
      <c r="B13112" s="42" t="str">
        <f>IFERROR(__xludf.DUMMYFUNCTION("""COMPUTED_VALUE"""),"")</f>
        <v/>
      </c>
      <c r="C13112" s="42" t="str">
        <f>IFERROR(__xludf.DUMMYFUNCTION("""COMPUTED_VALUE"""),"")</f>
        <v/>
      </c>
      <c r="D13112" s="42"/>
      <c r="E13112" s="42"/>
      <c r="F13112" s="48" t="str">
        <f>IFERROR(__xludf.DUMMYFUNCTION("""COMPUTED_VALUE"""),"")</f>
        <v/>
      </c>
      <c r="G13112" s="42" t="str">
        <f>IFERROR(__xludf.DUMMYFUNCTION("""COMPUTED_VALUE"""),"")</f>
        <v/>
      </c>
      <c r="H13112" s="42">
        <f t="shared" si="1"/>
        <v>3345</v>
      </c>
    </row>
    <row r="13113" ht="22.5" customHeight="1">
      <c r="B13113" s="42" t="str">
        <f>IFERROR(__xludf.DUMMYFUNCTION("""COMPUTED_VALUE"""),"")</f>
        <v/>
      </c>
      <c r="C13113" s="42" t="str">
        <f>IFERROR(__xludf.DUMMYFUNCTION("""COMPUTED_VALUE"""),"")</f>
        <v/>
      </c>
      <c r="D13113" s="42"/>
      <c r="E13113" s="42"/>
      <c r="F13113" s="48" t="str">
        <f>IFERROR(__xludf.DUMMYFUNCTION("""COMPUTED_VALUE"""),"")</f>
        <v/>
      </c>
      <c r="G13113" s="42" t="str">
        <f>IFERROR(__xludf.DUMMYFUNCTION("""COMPUTED_VALUE"""),"")</f>
        <v/>
      </c>
      <c r="H13113" s="42">
        <f t="shared" si="1"/>
        <v>3345</v>
      </c>
    </row>
    <row r="13114" ht="22.5" customHeight="1">
      <c r="B13114" s="42" t="str">
        <f>IFERROR(__xludf.DUMMYFUNCTION("""COMPUTED_VALUE"""),"")</f>
        <v/>
      </c>
      <c r="C13114" s="42" t="str">
        <f>IFERROR(__xludf.DUMMYFUNCTION("""COMPUTED_VALUE"""),"")</f>
        <v/>
      </c>
      <c r="D13114" s="42"/>
      <c r="E13114" s="42"/>
      <c r="F13114" s="48" t="str">
        <f>IFERROR(__xludf.DUMMYFUNCTION("""COMPUTED_VALUE"""),"")</f>
        <v/>
      </c>
      <c r="G13114" s="42" t="str">
        <f>IFERROR(__xludf.DUMMYFUNCTION("""COMPUTED_VALUE"""),"")</f>
        <v/>
      </c>
      <c r="H13114" s="42">
        <f t="shared" si="1"/>
        <v>3345</v>
      </c>
    </row>
    <row r="13115" ht="22.5" customHeight="1">
      <c r="B13115" s="42" t="str">
        <f>IFERROR(__xludf.DUMMYFUNCTION("""COMPUTED_VALUE"""),"")</f>
        <v/>
      </c>
      <c r="C13115" s="42" t="str">
        <f>IFERROR(__xludf.DUMMYFUNCTION("""COMPUTED_VALUE"""),"")</f>
        <v/>
      </c>
      <c r="D13115" s="42"/>
      <c r="E13115" s="42"/>
      <c r="F13115" s="48" t="str">
        <f>IFERROR(__xludf.DUMMYFUNCTION("""COMPUTED_VALUE"""),"")</f>
        <v/>
      </c>
      <c r="G13115" s="42" t="str">
        <f>IFERROR(__xludf.DUMMYFUNCTION("""COMPUTED_VALUE"""),"")</f>
        <v/>
      </c>
      <c r="H13115" s="42">
        <f t="shared" si="1"/>
        <v>3345</v>
      </c>
    </row>
    <row r="13116" ht="22.5" customHeight="1">
      <c r="B13116" s="42" t="str">
        <f>IFERROR(__xludf.DUMMYFUNCTION("""COMPUTED_VALUE"""),"")</f>
        <v/>
      </c>
      <c r="C13116" s="42" t="str">
        <f>IFERROR(__xludf.DUMMYFUNCTION("""COMPUTED_VALUE"""),"")</f>
        <v/>
      </c>
      <c r="D13116" s="42"/>
      <c r="E13116" s="42"/>
      <c r="F13116" s="48" t="str">
        <f>IFERROR(__xludf.DUMMYFUNCTION("""COMPUTED_VALUE"""),"")</f>
        <v/>
      </c>
      <c r="G13116" s="42" t="str">
        <f>IFERROR(__xludf.DUMMYFUNCTION("""COMPUTED_VALUE"""),"")</f>
        <v/>
      </c>
      <c r="H13116" s="42">
        <f t="shared" si="1"/>
        <v>3345</v>
      </c>
    </row>
    <row r="13117" ht="22.5" customHeight="1">
      <c r="B13117" s="42" t="str">
        <f>IFERROR(__xludf.DUMMYFUNCTION("""COMPUTED_VALUE"""),"")</f>
        <v/>
      </c>
      <c r="C13117" s="42" t="str">
        <f>IFERROR(__xludf.DUMMYFUNCTION("""COMPUTED_VALUE"""),"")</f>
        <v/>
      </c>
      <c r="D13117" s="42"/>
      <c r="E13117" s="42"/>
      <c r="F13117" s="48" t="str">
        <f>IFERROR(__xludf.DUMMYFUNCTION("""COMPUTED_VALUE"""),"")</f>
        <v/>
      </c>
      <c r="G13117" s="42" t="str">
        <f>IFERROR(__xludf.DUMMYFUNCTION("""COMPUTED_VALUE"""),"")</f>
        <v/>
      </c>
      <c r="H13117" s="42">
        <f t="shared" si="1"/>
        <v>3345</v>
      </c>
    </row>
    <row r="13118" ht="22.5" customHeight="1">
      <c r="B13118" s="42" t="str">
        <f>IFERROR(__xludf.DUMMYFUNCTION("""COMPUTED_VALUE"""),"")</f>
        <v/>
      </c>
      <c r="C13118" s="42" t="str">
        <f>IFERROR(__xludf.DUMMYFUNCTION("""COMPUTED_VALUE"""),"")</f>
        <v/>
      </c>
      <c r="D13118" s="42"/>
      <c r="E13118" s="42"/>
      <c r="F13118" s="48" t="str">
        <f>IFERROR(__xludf.DUMMYFUNCTION("""COMPUTED_VALUE"""),"")</f>
        <v/>
      </c>
      <c r="G13118" s="42" t="str">
        <f>IFERROR(__xludf.DUMMYFUNCTION("""COMPUTED_VALUE"""),"")</f>
        <v/>
      </c>
      <c r="H13118" s="42">
        <f t="shared" si="1"/>
        <v>3345</v>
      </c>
    </row>
    <row r="13119" ht="22.5" customHeight="1">
      <c r="B13119" s="42" t="str">
        <f>IFERROR(__xludf.DUMMYFUNCTION("""COMPUTED_VALUE"""),"")</f>
        <v/>
      </c>
      <c r="C13119" s="42" t="str">
        <f>IFERROR(__xludf.DUMMYFUNCTION("""COMPUTED_VALUE"""),"")</f>
        <v/>
      </c>
      <c r="D13119" s="42"/>
      <c r="E13119" s="42"/>
      <c r="F13119" s="48" t="str">
        <f>IFERROR(__xludf.DUMMYFUNCTION("""COMPUTED_VALUE"""),"")</f>
        <v/>
      </c>
      <c r="G13119" s="42" t="str">
        <f>IFERROR(__xludf.DUMMYFUNCTION("""COMPUTED_VALUE"""),"")</f>
        <v/>
      </c>
      <c r="H13119" s="42">
        <f t="shared" si="1"/>
        <v>3345</v>
      </c>
    </row>
    <row r="13120" ht="22.5" customHeight="1">
      <c r="B13120" s="42" t="str">
        <f>IFERROR(__xludf.DUMMYFUNCTION("""COMPUTED_VALUE"""),"")</f>
        <v/>
      </c>
      <c r="C13120" s="42" t="str">
        <f>IFERROR(__xludf.DUMMYFUNCTION("""COMPUTED_VALUE"""),"")</f>
        <v/>
      </c>
      <c r="D13120" s="42"/>
      <c r="E13120" s="42"/>
      <c r="F13120" s="48" t="str">
        <f>IFERROR(__xludf.DUMMYFUNCTION("""COMPUTED_VALUE"""),"")</f>
        <v/>
      </c>
      <c r="G13120" s="42" t="str">
        <f>IFERROR(__xludf.DUMMYFUNCTION("""COMPUTED_VALUE"""),"")</f>
        <v/>
      </c>
      <c r="H13120" s="42">
        <f t="shared" si="1"/>
        <v>3345</v>
      </c>
    </row>
    <row r="13121" ht="22.5" customHeight="1">
      <c r="B13121" s="42" t="str">
        <f>IFERROR(__xludf.DUMMYFUNCTION("""COMPUTED_VALUE"""),"")</f>
        <v/>
      </c>
      <c r="C13121" s="42" t="str">
        <f>IFERROR(__xludf.DUMMYFUNCTION("""COMPUTED_VALUE"""),"")</f>
        <v/>
      </c>
      <c r="D13121" s="42"/>
      <c r="E13121" s="42"/>
      <c r="F13121" s="48" t="str">
        <f>IFERROR(__xludf.DUMMYFUNCTION("""COMPUTED_VALUE"""),"")</f>
        <v/>
      </c>
      <c r="G13121" s="42" t="str">
        <f>IFERROR(__xludf.DUMMYFUNCTION("""COMPUTED_VALUE"""),"")</f>
        <v/>
      </c>
      <c r="H13121" s="42">
        <f t="shared" si="1"/>
        <v>3345</v>
      </c>
    </row>
    <row r="13122" ht="22.5" customHeight="1">
      <c r="B13122" s="42" t="str">
        <f>IFERROR(__xludf.DUMMYFUNCTION("""COMPUTED_VALUE"""),"")</f>
        <v/>
      </c>
      <c r="C13122" s="42" t="str">
        <f>IFERROR(__xludf.DUMMYFUNCTION("""COMPUTED_VALUE"""),"")</f>
        <v/>
      </c>
      <c r="D13122" s="42"/>
      <c r="E13122" s="42"/>
      <c r="F13122" s="48" t="str">
        <f>IFERROR(__xludf.DUMMYFUNCTION("""COMPUTED_VALUE"""),"")</f>
        <v/>
      </c>
      <c r="G13122" s="42" t="str">
        <f>IFERROR(__xludf.DUMMYFUNCTION("""COMPUTED_VALUE"""),"")</f>
        <v/>
      </c>
      <c r="H13122" s="42">
        <f t="shared" si="1"/>
        <v>3345</v>
      </c>
    </row>
    <row r="13123" ht="22.5" customHeight="1">
      <c r="B13123" s="42" t="str">
        <f>IFERROR(__xludf.DUMMYFUNCTION("""COMPUTED_VALUE"""),"")</f>
        <v/>
      </c>
      <c r="C13123" s="42" t="str">
        <f>IFERROR(__xludf.DUMMYFUNCTION("""COMPUTED_VALUE"""),"")</f>
        <v/>
      </c>
      <c r="D13123" s="42"/>
      <c r="E13123" s="42"/>
      <c r="F13123" s="48" t="str">
        <f>IFERROR(__xludf.DUMMYFUNCTION("""COMPUTED_VALUE"""),"")</f>
        <v/>
      </c>
      <c r="G13123" s="42" t="str">
        <f>IFERROR(__xludf.DUMMYFUNCTION("""COMPUTED_VALUE"""),"")</f>
        <v/>
      </c>
      <c r="H13123" s="42">
        <f t="shared" si="1"/>
        <v>3345</v>
      </c>
    </row>
    <row r="13124" ht="22.5" customHeight="1">
      <c r="B13124" s="42" t="str">
        <f>IFERROR(__xludf.DUMMYFUNCTION("""COMPUTED_VALUE"""),"")</f>
        <v/>
      </c>
      <c r="C13124" s="42" t="str">
        <f>IFERROR(__xludf.DUMMYFUNCTION("""COMPUTED_VALUE"""),"")</f>
        <v/>
      </c>
      <c r="D13124" s="42"/>
      <c r="E13124" s="42"/>
      <c r="F13124" s="48" t="str">
        <f>IFERROR(__xludf.DUMMYFUNCTION("""COMPUTED_VALUE"""),"")</f>
        <v/>
      </c>
      <c r="G13124" s="42" t="str">
        <f>IFERROR(__xludf.DUMMYFUNCTION("""COMPUTED_VALUE"""),"")</f>
        <v/>
      </c>
      <c r="H13124" s="42">
        <f t="shared" si="1"/>
        <v>3345</v>
      </c>
    </row>
    <row r="13125" ht="22.5" customHeight="1">
      <c r="B13125" s="42" t="str">
        <f>IFERROR(__xludf.DUMMYFUNCTION("""COMPUTED_VALUE"""),"")</f>
        <v/>
      </c>
      <c r="C13125" s="42" t="str">
        <f>IFERROR(__xludf.DUMMYFUNCTION("""COMPUTED_VALUE"""),"")</f>
        <v/>
      </c>
      <c r="D13125" s="42"/>
      <c r="E13125" s="42"/>
      <c r="F13125" s="48" t="str">
        <f>IFERROR(__xludf.DUMMYFUNCTION("""COMPUTED_VALUE"""),"")</f>
        <v/>
      </c>
      <c r="G13125" s="42" t="str">
        <f>IFERROR(__xludf.DUMMYFUNCTION("""COMPUTED_VALUE"""),"")</f>
        <v/>
      </c>
      <c r="H13125" s="42">
        <f t="shared" si="1"/>
        <v>3345</v>
      </c>
    </row>
    <row r="13126" ht="22.5" customHeight="1">
      <c r="B13126" s="42" t="str">
        <f>IFERROR(__xludf.DUMMYFUNCTION("""COMPUTED_VALUE"""),"")</f>
        <v/>
      </c>
      <c r="C13126" s="42" t="str">
        <f>IFERROR(__xludf.DUMMYFUNCTION("""COMPUTED_VALUE"""),"")</f>
        <v/>
      </c>
      <c r="D13126" s="42"/>
      <c r="E13126" s="42"/>
      <c r="F13126" s="48" t="str">
        <f>IFERROR(__xludf.DUMMYFUNCTION("""COMPUTED_VALUE"""),"")</f>
        <v/>
      </c>
      <c r="G13126" s="42" t="str">
        <f>IFERROR(__xludf.DUMMYFUNCTION("""COMPUTED_VALUE"""),"")</f>
        <v/>
      </c>
      <c r="H13126" s="42">
        <f t="shared" si="1"/>
        <v>3345</v>
      </c>
    </row>
    <row r="13127" ht="22.5" customHeight="1">
      <c r="B13127" s="42" t="str">
        <f>IFERROR(__xludf.DUMMYFUNCTION("""COMPUTED_VALUE"""),"")</f>
        <v/>
      </c>
      <c r="C13127" s="42" t="str">
        <f>IFERROR(__xludf.DUMMYFUNCTION("""COMPUTED_VALUE"""),"")</f>
        <v/>
      </c>
      <c r="D13127" s="42"/>
      <c r="E13127" s="42"/>
      <c r="F13127" s="48" t="str">
        <f>IFERROR(__xludf.DUMMYFUNCTION("""COMPUTED_VALUE"""),"")</f>
        <v/>
      </c>
      <c r="G13127" s="42" t="str">
        <f>IFERROR(__xludf.DUMMYFUNCTION("""COMPUTED_VALUE"""),"")</f>
        <v/>
      </c>
      <c r="H13127" s="42">
        <f t="shared" si="1"/>
        <v>3345</v>
      </c>
    </row>
    <row r="13128" ht="22.5" customHeight="1">
      <c r="B13128" s="42" t="str">
        <f>IFERROR(__xludf.DUMMYFUNCTION("""COMPUTED_VALUE"""),"")</f>
        <v/>
      </c>
      <c r="C13128" s="42" t="str">
        <f>IFERROR(__xludf.DUMMYFUNCTION("""COMPUTED_VALUE"""),"")</f>
        <v/>
      </c>
      <c r="D13128" s="42"/>
      <c r="E13128" s="42"/>
      <c r="F13128" s="48" t="str">
        <f>IFERROR(__xludf.DUMMYFUNCTION("""COMPUTED_VALUE"""),"")</f>
        <v/>
      </c>
      <c r="G13128" s="42" t="str">
        <f>IFERROR(__xludf.DUMMYFUNCTION("""COMPUTED_VALUE"""),"")</f>
        <v/>
      </c>
      <c r="H13128" s="42">
        <f t="shared" si="1"/>
        <v>3345</v>
      </c>
    </row>
    <row r="13129" ht="22.5" customHeight="1">
      <c r="B13129" s="42" t="str">
        <f>IFERROR(__xludf.DUMMYFUNCTION("""COMPUTED_VALUE"""),"")</f>
        <v/>
      </c>
      <c r="C13129" s="42" t="str">
        <f>IFERROR(__xludf.DUMMYFUNCTION("""COMPUTED_VALUE"""),"")</f>
        <v/>
      </c>
      <c r="D13129" s="42"/>
      <c r="E13129" s="42"/>
      <c r="F13129" s="48" t="str">
        <f>IFERROR(__xludf.DUMMYFUNCTION("""COMPUTED_VALUE"""),"")</f>
        <v/>
      </c>
      <c r="G13129" s="42" t="str">
        <f>IFERROR(__xludf.DUMMYFUNCTION("""COMPUTED_VALUE"""),"")</f>
        <v/>
      </c>
      <c r="H13129" s="42">
        <f t="shared" si="1"/>
        <v>3345</v>
      </c>
    </row>
    <row r="13130" ht="22.5" customHeight="1">
      <c r="B13130" s="42" t="str">
        <f>IFERROR(__xludf.DUMMYFUNCTION("""COMPUTED_VALUE"""),"")</f>
        <v/>
      </c>
      <c r="C13130" s="42" t="str">
        <f>IFERROR(__xludf.DUMMYFUNCTION("""COMPUTED_VALUE"""),"")</f>
        <v/>
      </c>
      <c r="D13130" s="42"/>
      <c r="E13130" s="42"/>
      <c r="F13130" s="48" t="str">
        <f>IFERROR(__xludf.DUMMYFUNCTION("""COMPUTED_VALUE"""),"")</f>
        <v/>
      </c>
      <c r="G13130" s="42" t="str">
        <f>IFERROR(__xludf.DUMMYFUNCTION("""COMPUTED_VALUE"""),"")</f>
        <v/>
      </c>
      <c r="H13130" s="42">
        <f t="shared" si="1"/>
        <v>3345</v>
      </c>
    </row>
    <row r="13131" ht="22.5" customHeight="1">
      <c r="B13131" s="42" t="str">
        <f>IFERROR(__xludf.DUMMYFUNCTION("""COMPUTED_VALUE"""),"")</f>
        <v/>
      </c>
      <c r="C13131" s="42" t="str">
        <f>IFERROR(__xludf.DUMMYFUNCTION("""COMPUTED_VALUE"""),"")</f>
        <v/>
      </c>
      <c r="D13131" s="42"/>
      <c r="E13131" s="42"/>
      <c r="F13131" s="48" t="str">
        <f>IFERROR(__xludf.DUMMYFUNCTION("""COMPUTED_VALUE"""),"")</f>
        <v/>
      </c>
      <c r="G13131" s="42" t="str">
        <f>IFERROR(__xludf.DUMMYFUNCTION("""COMPUTED_VALUE"""),"")</f>
        <v/>
      </c>
      <c r="H13131" s="42">
        <f t="shared" si="1"/>
        <v>3345</v>
      </c>
    </row>
    <row r="13132" ht="22.5" customHeight="1">
      <c r="B13132" s="42" t="str">
        <f>IFERROR(__xludf.DUMMYFUNCTION("""COMPUTED_VALUE"""),"")</f>
        <v/>
      </c>
      <c r="C13132" s="42" t="str">
        <f>IFERROR(__xludf.DUMMYFUNCTION("""COMPUTED_VALUE"""),"")</f>
        <v/>
      </c>
      <c r="D13132" s="42"/>
      <c r="E13132" s="42"/>
      <c r="F13132" s="48" t="str">
        <f>IFERROR(__xludf.DUMMYFUNCTION("""COMPUTED_VALUE"""),"")</f>
        <v/>
      </c>
      <c r="G13132" s="42" t="str">
        <f>IFERROR(__xludf.DUMMYFUNCTION("""COMPUTED_VALUE"""),"")</f>
        <v/>
      </c>
      <c r="H13132" s="42">
        <f t="shared" si="1"/>
        <v>3345</v>
      </c>
    </row>
    <row r="13133" ht="22.5" customHeight="1">
      <c r="B13133" s="42" t="str">
        <f>IFERROR(__xludf.DUMMYFUNCTION("""COMPUTED_VALUE"""),"")</f>
        <v/>
      </c>
      <c r="C13133" s="42" t="str">
        <f>IFERROR(__xludf.DUMMYFUNCTION("""COMPUTED_VALUE"""),"")</f>
        <v/>
      </c>
      <c r="D13133" s="42"/>
      <c r="E13133" s="42"/>
      <c r="F13133" s="48" t="str">
        <f>IFERROR(__xludf.DUMMYFUNCTION("""COMPUTED_VALUE"""),"")</f>
        <v/>
      </c>
      <c r="G13133" s="42" t="str">
        <f>IFERROR(__xludf.DUMMYFUNCTION("""COMPUTED_VALUE"""),"")</f>
        <v/>
      </c>
      <c r="H13133" s="42">
        <f t="shared" si="1"/>
        <v>3345</v>
      </c>
    </row>
    <row r="13134" ht="22.5" customHeight="1">
      <c r="B13134" s="42" t="str">
        <f>IFERROR(__xludf.DUMMYFUNCTION("""COMPUTED_VALUE"""),"")</f>
        <v/>
      </c>
      <c r="C13134" s="42" t="str">
        <f>IFERROR(__xludf.DUMMYFUNCTION("""COMPUTED_VALUE"""),"")</f>
        <v/>
      </c>
      <c r="D13134" s="42"/>
      <c r="E13134" s="42"/>
      <c r="F13134" s="48" t="str">
        <f>IFERROR(__xludf.DUMMYFUNCTION("""COMPUTED_VALUE"""),"")</f>
        <v/>
      </c>
      <c r="G13134" s="42" t="str">
        <f>IFERROR(__xludf.DUMMYFUNCTION("""COMPUTED_VALUE"""),"")</f>
        <v/>
      </c>
      <c r="H13134" s="42">
        <f t="shared" si="1"/>
        <v>3345</v>
      </c>
    </row>
    <row r="13135" ht="22.5" customHeight="1">
      <c r="B13135" s="42" t="str">
        <f>IFERROR(__xludf.DUMMYFUNCTION("""COMPUTED_VALUE"""),"")</f>
        <v/>
      </c>
      <c r="C13135" s="42" t="str">
        <f>IFERROR(__xludf.DUMMYFUNCTION("""COMPUTED_VALUE"""),"")</f>
        <v/>
      </c>
      <c r="D13135" s="42"/>
      <c r="E13135" s="42"/>
      <c r="F13135" s="48" t="str">
        <f>IFERROR(__xludf.DUMMYFUNCTION("""COMPUTED_VALUE"""),"")</f>
        <v/>
      </c>
      <c r="G13135" s="42" t="str">
        <f>IFERROR(__xludf.DUMMYFUNCTION("""COMPUTED_VALUE"""),"")</f>
        <v/>
      </c>
      <c r="H13135" s="42">
        <f t="shared" si="1"/>
        <v>3345</v>
      </c>
    </row>
    <row r="13136" ht="22.5" customHeight="1">
      <c r="B13136" s="42" t="str">
        <f>IFERROR(__xludf.DUMMYFUNCTION("""COMPUTED_VALUE"""),"")</f>
        <v/>
      </c>
      <c r="C13136" s="42" t="str">
        <f>IFERROR(__xludf.DUMMYFUNCTION("""COMPUTED_VALUE"""),"")</f>
        <v/>
      </c>
      <c r="D13136" s="42"/>
      <c r="E13136" s="42"/>
      <c r="F13136" s="48" t="str">
        <f>IFERROR(__xludf.DUMMYFUNCTION("""COMPUTED_VALUE"""),"")</f>
        <v/>
      </c>
      <c r="G13136" s="42" t="str">
        <f>IFERROR(__xludf.DUMMYFUNCTION("""COMPUTED_VALUE"""),"")</f>
        <v/>
      </c>
      <c r="H13136" s="42">
        <f t="shared" si="1"/>
        <v>3345</v>
      </c>
    </row>
    <row r="13137" ht="22.5" customHeight="1">
      <c r="B13137" s="42" t="str">
        <f>IFERROR(__xludf.DUMMYFUNCTION("""COMPUTED_VALUE"""),"")</f>
        <v/>
      </c>
      <c r="C13137" s="42" t="str">
        <f>IFERROR(__xludf.DUMMYFUNCTION("""COMPUTED_VALUE"""),"")</f>
        <v/>
      </c>
      <c r="D13137" s="42"/>
      <c r="E13137" s="42"/>
      <c r="F13137" s="48" t="str">
        <f>IFERROR(__xludf.DUMMYFUNCTION("""COMPUTED_VALUE"""),"")</f>
        <v/>
      </c>
      <c r="G13137" s="42" t="str">
        <f>IFERROR(__xludf.DUMMYFUNCTION("""COMPUTED_VALUE"""),"")</f>
        <v/>
      </c>
      <c r="H13137" s="42">
        <f t="shared" si="1"/>
        <v>3345</v>
      </c>
    </row>
    <row r="13138" ht="22.5" customHeight="1">
      <c r="B13138" s="42" t="str">
        <f>IFERROR(__xludf.DUMMYFUNCTION("""COMPUTED_VALUE"""),"")</f>
        <v/>
      </c>
      <c r="C13138" s="42" t="str">
        <f>IFERROR(__xludf.DUMMYFUNCTION("""COMPUTED_VALUE"""),"")</f>
        <v/>
      </c>
      <c r="D13138" s="42"/>
      <c r="E13138" s="42"/>
      <c r="F13138" s="48" t="str">
        <f>IFERROR(__xludf.DUMMYFUNCTION("""COMPUTED_VALUE"""),"")</f>
        <v/>
      </c>
      <c r="G13138" s="42" t="str">
        <f>IFERROR(__xludf.DUMMYFUNCTION("""COMPUTED_VALUE"""),"")</f>
        <v/>
      </c>
      <c r="H13138" s="42">
        <f t="shared" si="1"/>
        <v>3345</v>
      </c>
    </row>
    <row r="13139" ht="22.5" customHeight="1">
      <c r="B13139" s="42" t="str">
        <f>IFERROR(__xludf.DUMMYFUNCTION("""COMPUTED_VALUE"""),"")</f>
        <v/>
      </c>
      <c r="C13139" s="42" t="str">
        <f>IFERROR(__xludf.DUMMYFUNCTION("""COMPUTED_VALUE"""),"")</f>
        <v/>
      </c>
      <c r="D13139" s="42"/>
      <c r="E13139" s="42"/>
      <c r="F13139" s="48" t="str">
        <f>IFERROR(__xludf.DUMMYFUNCTION("""COMPUTED_VALUE"""),"")</f>
        <v/>
      </c>
      <c r="G13139" s="42" t="str">
        <f>IFERROR(__xludf.DUMMYFUNCTION("""COMPUTED_VALUE"""),"")</f>
        <v/>
      </c>
      <c r="H13139" s="42">
        <f t="shared" si="1"/>
        <v>3345</v>
      </c>
    </row>
    <row r="13140" ht="22.5" customHeight="1">
      <c r="B13140" s="42" t="str">
        <f>IFERROR(__xludf.DUMMYFUNCTION("""COMPUTED_VALUE"""),"")</f>
        <v/>
      </c>
      <c r="C13140" s="42" t="str">
        <f>IFERROR(__xludf.DUMMYFUNCTION("""COMPUTED_VALUE"""),"")</f>
        <v/>
      </c>
      <c r="D13140" s="42"/>
      <c r="E13140" s="42"/>
      <c r="F13140" s="48" t="str">
        <f>IFERROR(__xludf.DUMMYFUNCTION("""COMPUTED_VALUE"""),"")</f>
        <v/>
      </c>
      <c r="G13140" s="42" t="str">
        <f>IFERROR(__xludf.DUMMYFUNCTION("""COMPUTED_VALUE"""),"")</f>
        <v/>
      </c>
      <c r="H13140" s="42">
        <f t="shared" si="1"/>
        <v>3345</v>
      </c>
    </row>
    <row r="13141" ht="22.5" customHeight="1">
      <c r="B13141" s="42" t="str">
        <f>IFERROR(__xludf.DUMMYFUNCTION("""COMPUTED_VALUE"""),"")</f>
        <v/>
      </c>
      <c r="C13141" s="42" t="str">
        <f>IFERROR(__xludf.DUMMYFUNCTION("""COMPUTED_VALUE"""),"")</f>
        <v/>
      </c>
      <c r="D13141" s="42"/>
      <c r="E13141" s="42"/>
      <c r="F13141" s="48" t="str">
        <f>IFERROR(__xludf.DUMMYFUNCTION("""COMPUTED_VALUE"""),"")</f>
        <v/>
      </c>
      <c r="G13141" s="42" t="str">
        <f>IFERROR(__xludf.DUMMYFUNCTION("""COMPUTED_VALUE"""),"")</f>
        <v/>
      </c>
      <c r="H13141" s="42">
        <f t="shared" si="1"/>
        <v>3345</v>
      </c>
    </row>
    <row r="13142" ht="22.5" customHeight="1">
      <c r="B13142" s="42" t="str">
        <f>IFERROR(__xludf.DUMMYFUNCTION("""COMPUTED_VALUE"""),"")</f>
        <v/>
      </c>
      <c r="C13142" s="42" t="str">
        <f>IFERROR(__xludf.DUMMYFUNCTION("""COMPUTED_VALUE"""),"")</f>
        <v/>
      </c>
      <c r="D13142" s="42"/>
      <c r="E13142" s="42"/>
      <c r="F13142" s="48" t="str">
        <f>IFERROR(__xludf.DUMMYFUNCTION("""COMPUTED_VALUE"""),"")</f>
        <v/>
      </c>
      <c r="G13142" s="42" t="str">
        <f>IFERROR(__xludf.DUMMYFUNCTION("""COMPUTED_VALUE"""),"")</f>
        <v/>
      </c>
      <c r="H13142" s="42">
        <f t="shared" si="1"/>
        <v>3345</v>
      </c>
    </row>
    <row r="13143" ht="22.5" customHeight="1">
      <c r="B13143" s="42" t="str">
        <f>IFERROR(__xludf.DUMMYFUNCTION("""COMPUTED_VALUE"""),"")</f>
        <v/>
      </c>
      <c r="C13143" s="42" t="str">
        <f>IFERROR(__xludf.DUMMYFUNCTION("""COMPUTED_VALUE"""),"")</f>
        <v/>
      </c>
      <c r="D13143" s="42"/>
      <c r="E13143" s="42"/>
      <c r="F13143" s="48" t="str">
        <f>IFERROR(__xludf.DUMMYFUNCTION("""COMPUTED_VALUE"""),"")</f>
        <v/>
      </c>
      <c r="G13143" s="42" t="str">
        <f>IFERROR(__xludf.DUMMYFUNCTION("""COMPUTED_VALUE"""),"")</f>
        <v/>
      </c>
      <c r="H13143" s="42">
        <f t="shared" si="1"/>
        <v>3345</v>
      </c>
    </row>
    <row r="13144" ht="22.5" customHeight="1">
      <c r="B13144" s="42" t="str">
        <f>IFERROR(__xludf.DUMMYFUNCTION("""COMPUTED_VALUE"""),"")</f>
        <v/>
      </c>
      <c r="C13144" s="42" t="str">
        <f>IFERROR(__xludf.DUMMYFUNCTION("""COMPUTED_VALUE"""),"")</f>
        <v/>
      </c>
      <c r="D13144" s="42"/>
      <c r="E13144" s="42"/>
      <c r="F13144" s="48" t="str">
        <f>IFERROR(__xludf.DUMMYFUNCTION("""COMPUTED_VALUE"""),"")</f>
        <v/>
      </c>
      <c r="G13144" s="42" t="str">
        <f>IFERROR(__xludf.DUMMYFUNCTION("""COMPUTED_VALUE"""),"")</f>
        <v/>
      </c>
      <c r="H13144" s="42">
        <f t="shared" si="1"/>
        <v>3345</v>
      </c>
    </row>
    <row r="13145" ht="22.5" customHeight="1">
      <c r="B13145" s="42" t="str">
        <f>IFERROR(__xludf.DUMMYFUNCTION("""COMPUTED_VALUE"""),"")</f>
        <v/>
      </c>
      <c r="C13145" s="42" t="str">
        <f>IFERROR(__xludf.DUMMYFUNCTION("""COMPUTED_VALUE"""),"")</f>
        <v/>
      </c>
      <c r="D13145" s="42"/>
      <c r="E13145" s="42"/>
      <c r="F13145" s="48" t="str">
        <f>IFERROR(__xludf.DUMMYFUNCTION("""COMPUTED_VALUE"""),"")</f>
        <v/>
      </c>
      <c r="G13145" s="42" t="str">
        <f>IFERROR(__xludf.DUMMYFUNCTION("""COMPUTED_VALUE"""),"")</f>
        <v/>
      </c>
      <c r="H13145" s="42">
        <f t="shared" si="1"/>
        <v>3345</v>
      </c>
    </row>
    <row r="13146" ht="22.5" customHeight="1">
      <c r="B13146" s="42" t="str">
        <f>IFERROR(__xludf.DUMMYFUNCTION("""COMPUTED_VALUE"""),"")</f>
        <v/>
      </c>
      <c r="C13146" s="42" t="str">
        <f>IFERROR(__xludf.DUMMYFUNCTION("""COMPUTED_VALUE"""),"")</f>
        <v/>
      </c>
      <c r="D13146" s="42"/>
      <c r="E13146" s="42"/>
      <c r="F13146" s="48" t="str">
        <f>IFERROR(__xludf.DUMMYFUNCTION("""COMPUTED_VALUE"""),"")</f>
        <v/>
      </c>
      <c r="G13146" s="42" t="str">
        <f>IFERROR(__xludf.DUMMYFUNCTION("""COMPUTED_VALUE"""),"")</f>
        <v/>
      </c>
      <c r="H13146" s="42">
        <f t="shared" si="1"/>
        <v>3345</v>
      </c>
    </row>
    <row r="13147" ht="22.5" customHeight="1">
      <c r="B13147" s="42" t="str">
        <f>IFERROR(__xludf.DUMMYFUNCTION("""COMPUTED_VALUE"""),"")</f>
        <v/>
      </c>
      <c r="C13147" s="42" t="str">
        <f>IFERROR(__xludf.DUMMYFUNCTION("""COMPUTED_VALUE"""),"")</f>
        <v/>
      </c>
      <c r="D13147" s="42"/>
      <c r="E13147" s="42"/>
      <c r="F13147" s="48" t="str">
        <f>IFERROR(__xludf.DUMMYFUNCTION("""COMPUTED_VALUE"""),"")</f>
        <v/>
      </c>
      <c r="G13147" s="42" t="str">
        <f>IFERROR(__xludf.DUMMYFUNCTION("""COMPUTED_VALUE"""),"")</f>
        <v/>
      </c>
      <c r="H13147" s="42">
        <f t="shared" si="1"/>
        <v>3345</v>
      </c>
    </row>
    <row r="13148" ht="22.5" customHeight="1">
      <c r="B13148" s="42" t="str">
        <f>IFERROR(__xludf.DUMMYFUNCTION("""COMPUTED_VALUE"""),"")</f>
        <v/>
      </c>
      <c r="C13148" s="42" t="str">
        <f>IFERROR(__xludf.DUMMYFUNCTION("""COMPUTED_VALUE"""),"")</f>
        <v/>
      </c>
      <c r="D13148" s="42"/>
      <c r="E13148" s="42"/>
      <c r="F13148" s="48" t="str">
        <f>IFERROR(__xludf.DUMMYFUNCTION("""COMPUTED_VALUE"""),"")</f>
        <v/>
      </c>
      <c r="G13148" s="42" t="str">
        <f>IFERROR(__xludf.DUMMYFUNCTION("""COMPUTED_VALUE"""),"")</f>
        <v/>
      </c>
      <c r="H13148" s="42">
        <f t="shared" si="1"/>
        <v>3345</v>
      </c>
    </row>
    <row r="13149" ht="22.5" customHeight="1">
      <c r="B13149" s="42" t="str">
        <f>IFERROR(__xludf.DUMMYFUNCTION("""COMPUTED_VALUE"""),"")</f>
        <v/>
      </c>
      <c r="C13149" s="42" t="str">
        <f>IFERROR(__xludf.DUMMYFUNCTION("""COMPUTED_VALUE"""),"")</f>
        <v/>
      </c>
      <c r="D13149" s="42"/>
      <c r="E13149" s="42"/>
      <c r="F13149" s="48" t="str">
        <f>IFERROR(__xludf.DUMMYFUNCTION("""COMPUTED_VALUE"""),"")</f>
        <v/>
      </c>
      <c r="G13149" s="42" t="str">
        <f>IFERROR(__xludf.DUMMYFUNCTION("""COMPUTED_VALUE"""),"")</f>
        <v/>
      </c>
      <c r="H13149" s="42">
        <f t="shared" si="1"/>
        <v>3345</v>
      </c>
    </row>
    <row r="13150" ht="22.5" customHeight="1">
      <c r="B13150" s="42" t="str">
        <f>IFERROR(__xludf.DUMMYFUNCTION("""COMPUTED_VALUE"""),"")</f>
        <v/>
      </c>
      <c r="C13150" s="42" t="str">
        <f>IFERROR(__xludf.DUMMYFUNCTION("""COMPUTED_VALUE"""),"")</f>
        <v/>
      </c>
      <c r="D13150" s="42"/>
      <c r="E13150" s="42"/>
      <c r="F13150" s="48" t="str">
        <f>IFERROR(__xludf.DUMMYFUNCTION("""COMPUTED_VALUE"""),"")</f>
        <v/>
      </c>
      <c r="G13150" s="42" t="str">
        <f>IFERROR(__xludf.DUMMYFUNCTION("""COMPUTED_VALUE"""),"")</f>
        <v/>
      </c>
      <c r="H13150" s="42">
        <f t="shared" si="1"/>
        <v>3345</v>
      </c>
    </row>
    <row r="13151" ht="22.5" customHeight="1">
      <c r="B13151" s="42" t="str">
        <f>IFERROR(__xludf.DUMMYFUNCTION("""COMPUTED_VALUE"""),"")</f>
        <v/>
      </c>
      <c r="C13151" s="42" t="str">
        <f>IFERROR(__xludf.DUMMYFUNCTION("""COMPUTED_VALUE"""),"")</f>
        <v/>
      </c>
      <c r="D13151" s="42"/>
      <c r="E13151" s="42"/>
      <c r="F13151" s="48" t="str">
        <f>IFERROR(__xludf.DUMMYFUNCTION("""COMPUTED_VALUE"""),"")</f>
        <v/>
      </c>
      <c r="G13151" s="42" t="str">
        <f>IFERROR(__xludf.DUMMYFUNCTION("""COMPUTED_VALUE"""),"")</f>
        <v/>
      </c>
      <c r="H13151" s="42">
        <f t="shared" si="1"/>
        <v>3345</v>
      </c>
    </row>
    <row r="13152" ht="22.5" customHeight="1">
      <c r="B13152" s="42" t="str">
        <f>IFERROR(__xludf.DUMMYFUNCTION("""COMPUTED_VALUE"""),"")</f>
        <v/>
      </c>
      <c r="C13152" s="42" t="str">
        <f>IFERROR(__xludf.DUMMYFUNCTION("""COMPUTED_VALUE"""),"")</f>
        <v/>
      </c>
      <c r="D13152" s="42"/>
      <c r="E13152" s="42"/>
      <c r="F13152" s="48" t="str">
        <f>IFERROR(__xludf.DUMMYFUNCTION("""COMPUTED_VALUE"""),"")</f>
        <v/>
      </c>
      <c r="G13152" s="42" t="str">
        <f>IFERROR(__xludf.DUMMYFUNCTION("""COMPUTED_VALUE"""),"")</f>
        <v/>
      </c>
      <c r="H13152" s="42">
        <f t="shared" si="1"/>
        <v>3345</v>
      </c>
    </row>
    <row r="13153" ht="22.5" customHeight="1">
      <c r="B13153" s="42" t="str">
        <f>IFERROR(__xludf.DUMMYFUNCTION("""COMPUTED_VALUE"""),"")</f>
        <v/>
      </c>
      <c r="C13153" s="42" t="str">
        <f>IFERROR(__xludf.DUMMYFUNCTION("""COMPUTED_VALUE"""),"")</f>
        <v/>
      </c>
      <c r="D13153" s="42"/>
      <c r="E13153" s="42"/>
      <c r="F13153" s="48" t="str">
        <f>IFERROR(__xludf.DUMMYFUNCTION("""COMPUTED_VALUE"""),"")</f>
        <v/>
      </c>
      <c r="G13153" s="42" t="str">
        <f>IFERROR(__xludf.DUMMYFUNCTION("""COMPUTED_VALUE"""),"")</f>
        <v/>
      </c>
      <c r="H13153" s="42">
        <f t="shared" si="1"/>
        <v>3345</v>
      </c>
    </row>
    <row r="13154" ht="22.5" customHeight="1">
      <c r="B13154" s="42" t="str">
        <f>IFERROR(__xludf.DUMMYFUNCTION("""COMPUTED_VALUE"""),"")</f>
        <v/>
      </c>
      <c r="C13154" s="42" t="str">
        <f>IFERROR(__xludf.DUMMYFUNCTION("""COMPUTED_VALUE"""),"")</f>
        <v/>
      </c>
      <c r="D13154" s="42"/>
      <c r="E13154" s="42"/>
      <c r="F13154" s="48" t="str">
        <f>IFERROR(__xludf.DUMMYFUNCTION("""COMPUTED_VALUE"""),"")</f>
        <v/>
      </c>
      <c r="G13154" s="42" t="str">
        <f>IFERROR(__xludf.DUMMYFUNCTION("""COMPUTED_VALUE"""),"")</f>
        <v/>
      </c>
      <c r="H13154" s="42">
        <f t="shared" si="1"/>
        <v>3345</v>
      </c>
    </row>
    <row r="13155" ht="22.5" customHeight="1">
      <c r="B13155" s="42" t="str">
        <f>IFERROR(__xludf.DUMMYFUNCTION("""COMPUTED_VALUE"""),"")</f>
        <v/>
      </c>
      <c r="C13155" s="42" t="str">
        <f>IFERROR(__xludf.DUMMYFUNCTION("""COMPUTED_VALUE"""),"")</f>
        <v/>
      </c>
      <c r="D13155" s="42"/>
      <c r="E13155" s="42"/>
      <c r="F13155" s="48" t="str">
        <f>IFERROR(__xludf.DUMMYFUNCTION("""COMPUTED_VALUE"""),"")</f>
        <v/>
      </c>
      <c r="G13155" s="42" t="str">
        <f>IFERROR(__xludf.DUMMYFUNCTION("""COMPUTED_VALUE"""),"")</f>
        <v/>
      </c>
      <c r="H13155" s="42">
        <f t="shared" si="1"/>
        <v>3345</v>
      </c>
    </row>
    <row r="13156" ht="22.5" customHeight="1">
      <c r="B13156" s="42" t="str">
        <f>IFERROR(__xludf.DUMMYFUNCTION("""COMPUTED_VALUE"""),"")</f>
        <v/>
      </c>
      <c r="C13156" s="42" t="str">
        <f>IFERROR(__xludf.DUMMYFUNCTION("""COMPUTED_VALUE"""),"")</f>
        <v/>
      </c>
      <c r="D13156" s="42"/>
      <c r="E13156" s="42"/>
      <c r="F13156" s="48" t="str">
        <f>IFERROR(__xludf.DUMMYFUNCTION("""COMPUTED_VALUE"""),"")</f>
        <v/>
      </c>
      <c r="G13156" s="42" t="str">
        <f>IFERROR(__xludf.DUMMYFUNCTION("""COMPUTED_VALUE"""),"")</f>
        <v/>
      </c>
      <c r="H13156" s="42">
        <f t="shared" si="1"/>
        <v>3345</v>
      </c>
    </row>
    <row r="13157" ht="22.5" customHeight="1">
      <c r="B13157" s="42" t="str">
        <f>IFERROR(__xludf.DUMMYFUNCTION("""COMPUTED_VALUE"""),"")</f>
        <v/>
      </c>
      <c r="C13157" s="42" t="str">
        <f>IFERROR(__xludf.DUMMYFUNCTION("""COMPUTED_VALUE"""),"")</f>
        <v/>
      </c>
      <c r="D13157" s="42"/>
      <c r="E13157" s="42"/>
      <c r="F13157" s="48" t="str">
        <f>IFERROR(__xludf.DUMMYFUNCTION("""COMPUTED_VALUE"""),"")</f>
        <v/>
      </c>
      <c r="G13157" s="42" t="str">
        <f>IFERROR(__xludf.DUMMYFUNCTION("""COMPUTED_VALUE"""),"")</f>
        <v/>
      </c>
      <c r="H13157" s="42">
        <f t="shared" si="1"/>
        <v>3345</v>
      </c>
    </row>
    <row r="13158" ht="22.5" customHeight="1">
      <c r="B13158" s="42" t="str">
        <f>IFERROR(__xludf.DUMMYFUNCTION("""COMPUTED_VALUE"""),"")</f>
        <v/>
      </c>
      <c r="C13158" s="42" t="str">
        <f>IFERROR(__xludf.DUMMYFUNCTION("""COMPUTED_VALUE"""),"")</f>
        <v/>
      </c>
      <c r="D13158" s="42"/>
      <c r="E13158" s="42"/>
      <c r="F13158" s="48" t="str">
        <f>IFERROR(__xludf.DUMMYFUNCTION("""COMPUTED_VALUE"""),"")</f>
        <v/>
      </c>
      <c r="G13158" s="42" t="str">
        <f>IFERROR(__xludf.DUMMYFUNCTION("""COMPUTED_VALUE"""),"")</f>
        <v/>
      </c>
      <c r="H13158" s="42">
        <f t="shared" si="1"/>
        <v>3345</v>
      </c>
    </row>
    <row r="13159" ht="22.5" customHeight="1">
      <c r="B13159" s="42" t="str">
        <f>IFERROR(__xludf.DUMMYFUNCTION("""COMPUTED_VALUE"""),"")</f>
        <v/>
      </c>
      <c r="C13159" s="42" t="str">
        <f>IFERROR(__xludf.DUMMYFUNCTION("""COMPUTED_VALUE"""),"")</f>
        <v/>
      </c>
      <c r="D13159" s="42"/>
      <c r="E13159" s="42"/>
      <c r="F13159" s="48" t="str">
        <f>IFERROR(__xludf.DUMMYFUNCTION("""COMPUTED_VALUE"""),"")</f>
        <v/>
      </c>
      <c r="G13159" s="42" t="str">
        <f>IFERROR(__xludf.DUMMYFUNCTION("""COMPUTED_VALUE"""),"")</f>
        <v/>
      </c>
      <c r="H13159" s="42">
        <f t="shared" si="1"/>
        <v>3345</v>
      </c>
    </row>
    <row r="13160" ht="22.5" customHeight="1">
      <c r="B13160" s="42" t="str">
        <f>IFERROR(__xludf.DUMMYFUNCTION("""COMPUTED_VALUE"""),"")</f>
        <v/>
      </c>
      <c r="C13160" s="42" t="str">
        <f>IFERROR(__xludf.DUMMYFUNCTION("""COMPUTED_VALUE"""),"")</f>
        <v/>
      </c>
      <c r="D13160" s="42"/>
      <c r="E13160" s="42"/>
      <c r="F13160" s="48" t="str">
        <f>IFERROR(__xludf.DUMMYFUNCTION("""COMPUTED_VALUE"""),"")</f>
        <v/>
      </c>
      <c r="G13160" s="42" t="str">
        <f>IFERROR(__xludf.DUMMYFUNCTION("""COMPUTED_VALUE"""),"")</f>
        <v/>
      </c>
      <c r="H13160" s="42">
        <f t="shared" si="1"/>
        <v>3345</v>
      </c>
    </row>
    <row r="13161" ht="22.5" customHeight="1">
      <c r="B13161" s="42" t="str">
        <f>IFERROR(__xludf.DUMMYFUNCTION("""COMPUTED_VALUE"""),"")</f>
        <v/>
      </c>
      <c r="C13161" s="42" t="str">
        <f>IFERROR(__xludf.DUMMYFUNCTION("""COMPUTED_VALUE"""),"")</f>
        <v/>
      </c>
      <c r="D13161" s="42"/>
      <c r="E13161" s="42"/>
      <c r="F13161" s="48" t="str">
        <f>IFERROR(__xludf.DUMMYFUNCTION("""COMPUTED_VALUE"""),"")</f>
        <v/>
      </c>
      <c r="G13161" s="42" t="str">
        <f>IFERROR(__xludf.DUMMYFUNCTION("""COMPUTED_VALUE"""),"")</f>
        <v/>
      </c>
      <c r="H13161" s="42">
        <f t="shared" si="1"/>
        <v>3345</v>
      </c>
    </row>
    <row r="13162" ht="22.5" customHeight="1">
      <c r="B13162" s="42" t="str">
        <f>IFERROR(__xludf.DUMMYFUNCTION("""COMPUTED_VALUE"""),"")</f>
        <v/>
      </c>
      <c r="C13162" s="42" t="str">
        <f>IFERROR(__xludf.DUMMYFUNCTION("""COMPUTED_VALUE"""),"")</f>
        <v/>
      </c>
      <c r="D13162" s="42"/>
      <c r="E13162" s="42"/>
      <c r="F13162" s="48" t="str">
        <f>IFERROR(__xludf.DUMMYFUNCTION("""COMPUTED_VALUE"""),"")</f>
        <v/>
      </c>
      <c r="G13162" s="42" t="str">
        <f>IFERROR(__xludf.DUMMYFUNCTION("""COMPUTED_VALUE"""),"")</f>
        <v/>
      </c>
      <c r="H13162" s="42">
        <f t="shared" si="1"/>
        <v>3345</v>
      </c>
    </row>
    <row r="13163" ht="22.5" customHeight="1">
      <c r="B13163" s="42" t="str">
        <f>IFERROR(__xludf.DUMMYFUNCTION("""COMPUTED_VALUE"""),"")</f>
        <v/>
      </c>
      <c r="C13163" s="42" t="str">
        <f>IFERROR(__xludf.DUMMYFUNCTION("""COMPUTED_VALUE"""),"")</f>
        <v/>
      </c>
      <c r="D13163" s="42"/>
      <c r="E13163" s="42"/>
      <c r="F13163" s="48" t="str">
        <f>IFERROR(__xludf.DUMMYFUNCTION("""COMPUTED_VALUE"""),"")</f>
        <v/>
      </c>
      <c r="G13163" s="42" t="str">
        <f>IFERROR(__xludf.DUMMYFUNCTION("""COMPUTED_VALUE"""),"")</f>
        <v/>
      </c>
      <c r="H13163" s="42">
        <f t="shared" si="1"/>
        <v>3345</v>
      </c>
    </row>
    <row r="13164" ht="22.5" customHeight="1">
      <c r="B13164" s="42" t="str">
        <f>IFERROR(__xludf.DUMMYFUNCTION("""COMPUTED_VALUE"""),"")</f>
        <v/>
      </c>
      <c r="C13164" s="42" t="str">
        <f>IFERROR(__xludf.DUMMYFUNCTION("""COMPUTED_VALUE"""),"")</f>
        <v/>
      </c>
      <c r="D13164" s="42"/>
      <c r="E13164" s="42"/>
      <c r="F13164" s="48" t="str">
        <f>IFERROR(__xludf.DUMMYFUNCTION("""COMPUTED_VALUE"""),"")</f>
        <v/>
      </c>
      <c r="G13164" s="42" t="str">
        <f>IFERROR(__xludf.DUMMYFUNCTION("""COMPUTED_VALUE"""),"")</f>
        <v/>
      </c>
      <c r="H13164" s="42">
        <f t="shared" si="1"/>
        <v>3345</v>
      </c>
    </row>
    <row r="13165" ht="22.5" customHeight="1">
      <c r="B13165" s="42" t="str">
        <f>IFERROR(__xludf.DUMMYFUNCTION("""COMPUTED_VALUE"""),"")</f>
        <v/>
      </c>
      <c r="C13165" s="42" t="str">
        <f>IFERROR(__xludf.DUMMYFUNCTION("""COMPUTED_VALUE"""),"")</f>
        <v/>
      </c>
      <c r="D13165" s="42"/>
      <c r="E13165" s="42"/>
      <c r="F13165" s="48" t="str">
        <f>IFERROR(__xludf.DUMMYFUNCTION("""COMPUTED_VALUE"""),"")</f>
        <v/>
      </c>
      <c r="G13165" s="42" t="str">
        <f>IFERROR(__xludf.DUMMYFUNCTION("""COMPUTED_VALUE"""),"")</f>
        <v/>
      </c>
      <c r="H13165" s="42">
        <f t="shared" si="1"/>
        <v>3345</v>
      </c>
    </row>
    <row r="13166" ht="22.5" customHeight="1">
      <c r="B13166" s="42" t="str">
        <f>IFERROR(__xludf.DUMMYFUNCTION("""COMPUTED_VALUE"""),"")</f>
        <v/>
      </c>
      <c r="C13166" s="42" t="str">
        <f>IFERROR(__xludf.DUMMYFUNCTION("""COMPUTED_VALUE"""),"")</f>
        <v/>
      </c>
      <c r="D13166" s="42"/>
      <c r="E13166" s="42"/>
      <c r="F13166" s="48" t="str">
        <f>IFERROR(__xludf.DUMMYFUNCTION("""COMPUTED_VALUE"""),"")</f>
        <v/>
      </c>
      <c r="G13166" s="42" t="str">
        <f>IFERROR(__xludf.DUMMYFUNCTION("""COMPUTED_VALUE"""),"")</f>
        <v/>
      </c>
      <c r="H13166" s="42">
        <f t="shared" si="1"/>
        <v>3345</v>
      </c>
    </row>
    <row r="13167" ht="22.5" customHeight="1">
      <c r="B13167" s="42" t="str">
        <f>IFERROR(__xludf.DUMMYFUNCTION("""COMPUTED_VALUE"""),"")</f>
        <v/>
      </c>
      <c r="C13167" s="42" t="str">
        <f>IFERROR(__xludf.DUMMYFUNCTION("""COMPUTED_VALUE"""),"")</f>
        <v/>
      </c>
      <c r="D13167" s="42"/>
      <c r="E13167" s="42"/>
      <c r="F13167" s="48" t="str">
        <f>IFERROR(__xludf.DUMMYFUNCTION("""COMPUTED_VALUE"""),"")</f>
        <v/>
      </c>
      <c r="G13167" s="42" t="str">
        <f>IFERROR(__xludf.DUMMYFUNCTION("""COMPUTED_VALUE"""),"")</f>
        <v/>
      </c>
      <c r="H13167" s="42">
        <f t="shared" si="1"/>
        <v>3345</v>
      </c>
    </row>
    <row r="13168" ht="22.5" customHeight="1">
      <c r="B13168" s="42" t="str">
        <f>IFERROR(__xludf.DUMMYFUNCTION("""COMPUTED_VALUE"""),"")</f>
        <v/>
      </c>
      <c r="C13168" s="42" t="str">
        <f>IFERROR(__xludf.DUMMYFUNCTION("""COMPUTED_VALUE"""),"")</f>
        <v/>
      </c>
      <c r="D13168" s="42"/>
      <c r="E13168" s="42"/>
      <c r="F13168" s="48" t="str">
        <f>IFERROR(__xludf.DUMMYFUNCTION("""COMPUTED_VALUE"""),"")</f>
        <v/>
      </c>
      <c r="G13168" s="42" t="str">
        <f>IFERROR(__xludf.DUMMYFUNCTION("""COMPUTED_VALUE"""),"")</f>
        <v/>
      </c>
      <c r="H13168" s="42">
        <f t="shared" si="1"/>
        <v>3345</v>
      </c>
    </row>
    <row r="13169" ht="22.5" customHeight="1">
      <c r="B13169" s="42" t="str">
        <f>IFERROR(__xludf.DUMMYFUNCTION("""COMPUTED_VALUE"""),"")</f>
        <v/>
      </c>
      <c r="C13169" s="42" t="str">
        <f>IFERROR(__xludf.DUMMYFUNCTION("""COMPUTED_VALUE"""),"")</f>
        <v/>
      </c>
      <c r="D13169" s="42"/>
      <c r="E13169" s="42"/>
      <c r="F13169" s="48" t="str">
        <f>IFERROR(__xludf.DUMMYFUNCTION("""COMPUTED_VALUE"""),"")</f>
        <v/>
      </c>
      <c r="G13169" s="42" t="str">
        <f>IFERROR(__xludf.DUMMYFUNCTION("""COMPUTED_VALUE"""),"")</f>
        <v/>
      </c>
      <c r="H13169" s="42">
        <f t="shared" si="1"/>
        <v>3345</v>
      </c>
    </row>
    <row r="13170" ht="22.5" customHeight="1">
      <c r="B13170" s="42" t="str">
        <f>IFERROR(__xludf.DUMMYFUNCTION("""COMPUTED_VALUE"""),"")</f>
        <v/>
      </c>
      <c r="C13170" s="42" t="str">
        <f>IFERROR(__xludf.DUMMYFUNCTION("""COMPUTED_VALUE"""),"")</f>
        <v/>
      </c>
      <c r="D13170" s="42"/>
      <c r="E13170" s="42"/>
      <c r="F13170" s="48" t="str">
        <f>IFERROR(__xludf.DUMMYFUNCTION("""COMPUTED_VALUE"""),"")</f>
        <v/>
      </c>
      <c r="G13170" s="42" t="str">
        <f>IFERROR(__xludf.DUMMYFUNCTION("""COMPUTED_VALUE"""),"")</f>
        <v/>
      </c>
      <c r="H13170" s="42">
        <f t="shared" si="1"/>
        <v>3345</v>
      </c>
    </row>
    <row r="13171" ht="22.5" customHeight="1">
      <c r="B13171" s="42" t="str">
        <f>IFERROR(__xludf.DUMMYFUNCTION("""COMPUTED_VALUE"""),"")</f>
        <v/>
      </c>
      <c r="C13171" s="42" t="str">
        <f>IFERROR(__xludf.DUMMYFUNCTION("""COMPUTED_VALUE"""),"")</f>
        <v/>
      </c>
      <c r="D13171" s="42"/>
      <c r="E13171" s="42"/>
      <c r="F13171" s="48" t="str">
        <f>IFERROR(__xludf.DUMMYFUNCTION("""COMPUTED_VALUE"""),"")</f>
        <v/>
      </c>
      <c r="G13171" s="42" t="str">
        <f>IFERROR(__xludf.DUMMYFUNCTION("""COMPUTED_VALUE"""),"")</f>
        <v/>
      </c>
      <c r="H13171" s="42">
        <f t="shared" si="1"/>
        <v>3345</v>
      </c>
    </row>
    <row r="13172" ht="22.5" customHeight="1">
      <c r="B13172" s="42" t="str">
        <f>IFERROR(__xludf.DUMMYFUNCTION("""COMPUTED_VALUE"""),"")</f>
        <v/>
      </c>
      <c r="C13172" s="42" t="str">
        <f>IFERROR(__xludf.DUMMYFUNCTION("""COMPUTED_VALUE"""),"")</f>
        <v/>
      </c>
      <c r="D13172" s="42"/>
      <c r="E13172" s="42"/>
      <c r="F13172" s="48" t="str">
        <f>IFERROR(__xludf.DUMMYFUNCTION("""COMPUTED_VALUE"""),"")</f>
        <v/>
      </c>
      <c r="G13172" s="42" t="str">
        <f>IFERROR(__xludf.DUMMYFUNCTION("""COMPUTED_VALUE"""),"")</f>
        <v/>
      </c>
      <c r="H13172" s="42">
        <f t="shared" si="1"/>
        <v>3345</v>
      </c>
    </row>
    <row r="13173" ht="22.5" customHeight="1">
      <c r="B13173" s="42" t="str">
        <f>IFERROR(__xludf.DUMMYFUNCTION("""COMPUTED_VALUE"""),"")</f>
        <v/>
      </c>
      <c r="C13173" s="42" t="str">
        <f>IFERROR(__xludf.DUMMYFUNCTION("""COMPUTED_VALUE"""),"")</f>
        <v/>
      </c>
      <c r="D13173" s="42"/>
      <c r="E13173" s="42"/>
      <c r="F13173" s="48" t="str">
        <f>IFERROR(__xludf.DUMMYFUNCTION("""COMPUTED_VALUE"""),"")</f>
        <v/>
      </c>
      <c r="G13173" s="42" t="str">
        <f>IFERROR(__xludf.DUMMYFUNCTION("""COMPUTED_VALUE"""),"")</f>
        <v/>
      </c>
      <c r="H13173" s="42">
        <f t="shared" si="1"/>
        <v>3345</v>
      </c>
    </row>
    <row r="13174" ht="22.5" customHeight="1">
      <c r="B13174" s="42" t="str">
        <f>IFERROR(__xludf.DUMMYFUNCTION("""COMPUTED_VALUE"""),"")</f>
        <v/>
      </c>
      <c r="C13174" s="42" t="str">
        <f>IFERROR(__xludf.DUMMYFUNCTION("""COMPUTED_VALUE"""),"")</f>
        <v/>
      </c>
      <c r="D13174" s="42"/>
      <c r="E13174" s="42"/>
      <c r="F13174" s="48" t="str">
        <f>IFERROR(__xludf.DUMMYFUNCTION("""COMPUTED_VALUE"""),"")</f>
        <v/>
      </c>
      <c r="G13174" s="42" t="str">
        <f>IFERROR(__xludf.DUMMYFUNCTION("""COMPUTED_VALUE"""),"")</f>
        <v/>
      </c>
      <c r="H13174" s="42">
        <f t="shared" si="1"/>
        <v>3345</v>
      </c>
    </row>
    <row r="13175" ht="22.5" customHeight="1">
      <c r="B13175" s="42" t="str">
        <f>IFERROR(__xludf.DUMMYFUNCTION("""COMPUTED_VALUE"""),"")</f>
        <v/>
      </c>
      <c r="C13175" s="42" t="str">
        <f>IFERROR(__xludf.DUMMYFUNCTION("""COMPUTED_VALUE"""),"")</f>
        <v/>
      </c>
      <c r="D13175" s="42"/>
      <c r="E13175" s="42"/>
      <c r="F13175" s="48" t="str">
        <f>IFERROR(__xludf.DUMMYFUNCTION("""COMPUTED_VALUE"""),"")</f>
        <v/>
      </c>
      <c r="G13175" s="42" t="str">
        <f>IFERROR(__xludf.DUMMYFUNCTION("""COMPUTED_VALUE"""),"")</f>
        <v/>
      </c>
      <c r="H13175" s="42">
        <f t="shared" si="1"/>
        <v>3345</v>
      </c>
    </row>
    <row r="13176" ht="22.5" customHeight="1">
      <c r="B13176" s="42" t="str">
        <f>IFERROR(__xludf.DUMMYFUNCTION("""COMPUTED_VALUE"""),"")</f>
        <v/>
      </c>
      <c r="C13176" s="42" t="str">
        <f>IFERROR(__xludf.DUMMYFUNCTION("""COMPUTED_VALUE"""),"")</f>
        <v/>
      </c>
      <c r="D13176" s="42"/>
      <c r="E13176" s="42"/>
      <c r="F13176" s="48" t="str">
        <f>IFERROR(__xludf.DUMMYFUNCTION("""COMPUTED_VALUE"""),"")</f>
        <v/>
      </c>
      <c r="G13176" s="42" t="str">
        <f>IFERROR(__xludf.DUMMYFUNCTION("""COMPUTED_VALUE"""),"")</f>
        <v/>
      </c>
      <c r="H13176" s="42">
        <f t="shared" si="1"/>
        <v>3345</v>
      </c>
    </row>
    <row r="13177" ht="22.5" customHeight="1">
      <c r="B13177" s="42" t="str">
        <f>IFERROR(__xludf.DUMMYFUNCTION("""COMPUTED_VALUE"""),"")</f>
        <v/>
      </c>
      <c r="C13177" s="42" t="str">
        <f>IFERROR(__xludf.DUMMYFUNCTION("""COMPUTED_VALUE"""),"")</f>
        <v/>
      </c>
      <c r="D13177" s="42"/>
      <c r="E13177" s="42"/>
      <c r="F13177" s="48" t="str">
        <f>IFERROR(__xludf.DUMMYFUNCTION("""COMPUTED_VALUE"""),"")</f>
        <v/>
      </c>
      <c r="G13177" s="42" t="str">
        <f>IFERROR(__xludf.DUMMYFUNCTION("""COMPUTED_VALUE"""),"")</f>
        <v/>
      </c>
      <c r="H13177" s="42">
        <f t="shared" si="1"/>
        <v>3345</v>
      </c>
    </row>
    <row r="13178" ht="22.5" customHeight="1">
      <c r="B13178" s="42" t="str">
        <f>IFERROR(__xludf.DUMMYFUNCTION("""COMPUTED_VALUE"""),"")</f>
        <v/>
      </c>
      <c r="C13178" s="42" t="str">
        <f>IFERROR(__xludf.DUMMYFUNCTION("""COMPUTED_VALUE"""),"")</f>
        <v/>
      </c>
      <c r="D13178" s="42"/>
      <c r="E13178" s="42"/>
      <c r="F13178" s="48" t="str">
        <f>IFERROR(__xludf.DUMMYFUNCTION("""COMPUTED_VALUE"""),"")</f>
        <v/>
      </c>
      <c r="G13178" s="42" t="str">
        <f>IFERROR(__xludf.DUMMYFUNCTION("""COMPUTED_VALUE"""),"")</f>
        <v/>
      </c>
      <c r="H13178" s="42">
        <f t="shared" si="1"/>
        <v>3345</v>
      </c>
    </row>
    <row r="13179" ht="22.5" customHeight="1">
      <c r="B13179" s="42" t="str">
        <f>IFERROR(__xludf.DUMMYFUNCTION("""COMPUTED_VALUE"""),"")</f>
        <v/>
      </c>
      <c r="C13179" s="42" t="str">
        <f>IFERROR(__xludf.DUMMYFUNCTION("""COMPUTED_VALUE"""),"")</f>
        <v/>
      </c>
      <c r="D13179" s="42"/>
      <c r="E13179" s="42"/>
      <c r="F13179" s="48" t="str">
        <f>IFERROR(__xludf.DUMMYFUNCTION("""COMPUTED_VALUE"""),"")</f>
        <v/>
      </c>
      <c r="G13179" s="42" t="str">
        <f>IFERROR(__xludf.DUMMYFUNCTION("""COMPUTED_VALUE"""),"")</f>
        <v/>
      </c>
      <c r="H13179" s="42">
        <f t="shared" si="1"/>
        <v>3345</v>
      </c>
    </row>
    <row r="13180" ht="22.5" customHeight="1">
      <c r="B13180" s="42" t="str">
        <f>IFERROR(__xludf.DUMMYFUNCTION("""COMPUTED_VALUE"""),"")</f>
        <v/>
      </c>
      <c r="C13180" s="42" t="str">
        <f>IFERROR(__xludf.DUMMYFUNCTION("""COMPUTED_VALUE"""),"")</f>
        <v/>
      </c>
      <c r="D13180" s="42"/>
      <c r="E13180" s="42"/>
      <c r="F13180" s="48" t="str">
        <f>IFERROR(__xludf.DUMMYFUNCTION("""COMPUTED_VALUE"""),"")</f>
        <v/>
      </c>
      <c r="G13180" s="42" t="str">
        <f>IFERROR(__xludf.DUMMYFUNCTION("""COMPUTED_VALUE"""),"")</f>
        <v/>
      </c>
      <c r="H13180" s="42">
        <f t="shared" si="1"/>
        <v>3345</v>
      </c>
    </row>
    <row r="13181" ht="22.5" customHeight="1">
      <c r="B13181" s="42" t="str">
        <f>IFERROR(__xludf.DUMMYFUNCTION("""COMPUTED_VALUE"""),"")</f>
        <v/>
      </c>
      <c r="C13181" s="42" t="str">
        <f>IFERROR(__xludf.DUMMYFUNCTION("""COMPUTED_VALUE"""),"")</f>
        <v/>
      </c>
      <c r="D13181" s="42"/>
      <c r="E13181" s="42"/>
      <c r="F13181" s="48" t="str">
        <f>IFERROR(__xludf.DUMMYFUNCTION("""COMPUTED_VALUE"""),"")</f>
        <v/>
      </c>
      <c r="G13181" s="42" t="str">
        <f>IFERROR(__xludf.DUMMYFUNCTION("""COMPUTED_VALUE"""),"")</f>
        <v/>
      </c>
      <c r="H13181" s="42">
        <f t="shared" si="1"/>
        <v>3345</v>
      </c>
    </row>
    <row r="13182" ht="22.5" customHeight="1">
      <c r="B13182" s="42" t="str">
        <f>IFERROR(__xludf.DUMMYFUNCTION("""COMPUTED_VALUE"""),"")</f>
        <v/>
      </c>
      <c r="C13182" s="42" t="str">
        <f>IFERROR(__xludf.DUMMYFUNCTION("""COMPUTED_VALUE"""),"")</f>
        <v/>
      </c>
      <c r="D13182" s="42"/>
      <c r="E13182" s="42"/>
      <c r="F13182" s="48" t="str">
        <f>IFERROR(__xludf.DUMMYFUNCTION("""COMPUTED_VALUE"""),"")</f>
        <v/>
      </c>
      <c r="G13182" s="42" t="str">
        <f>IFERROR(__xludf.DUMMYFUNCTION("""COMPUTED_VALUE"""),"")</f>
        <v/>
      </c>
      <c r="H13182" s="42">
        <f t="shared" si="1"/>
        <v>3345</v>
      </c>
    </row>
    <row r="13183" ht="22.5" customHeight="1">
      <c r="B13183" s="42" t="str">
        <f>IFERROR(__xludf.DUMMYFUNCTION("""COMPUTED_VALUE"""),"")</f>
        <v/>
      </c>
      <c r="C13183" s="42" t="str">
        <f>IFERROR(__xludf.DUMMYFUNCTION("""COMPUTED_VALUE"""),"")</f>
        <v/>
      </c>
      <c r="D13183" s="42"/>
      <c r="E13183" s="42"/>
      <c r="F13183" s="48" t="str">
        <f>IFERROR(__xludf.DUMMYFUNCTION("""COMPUTED_VALUE"""),"")</f>
        <v/>
      </c>
      <c r="G13183" s="42" t="str">
        <f>IFERROR(__xludf.DUMMYFUNCTION("""COMPUTED_VALUE"""),"")</f>
        <v/>
      </c>
      <c r="H13183" s="42">
        <f t="shared" si="1"/>
        <v>3345</v>
      </c>
    </row>
    <row r="13184" ht="22.5" customHeight="1">
      <c r="B13184" s="42" t="str">
        <f>IFERROR(__xludf.DUMMYFUNCTION("""COMPUTED_VALUE"""),"")</f>
        <v/>
      </c>
      <c r="C13184" s="42" t="str">
        <f>IFERROR(__xludf.DUMMYFUNCTION("""COMPUTED_VALUE"""),"")</f>
        <v/>
      </c>
      <c r="D13184" s="42"/>
      <c r="E13184" s="42"/>
      <c r="F13184" s="48" t="str">
        <f>IFERROR(__xludf.DUMMYFUNCTION("""COMPUTED_VALUE"""),"")</f>
        <v/>
      </c>
      <c r="G13184" s="42" t="str">
        <f>IFERROR(__xludf.DUMMYFUNCTION("""COMPUTED_VALUE"""),"")</f>
        <v/>
      </c>
      <c r="H13184" s="42">
        <f t="shared" si="1"/>
        <v>3345</v>
      </c>
    </row>
    <row r="13185" ht="22.5" customHeight="1">
      <c r="B13185" s="42" t="str">
        <f>IFERROR(__xludf.DUMMYFUNCTION("""COMPUTED_VALUE"""),"")</f>
        <v/>
      </c>
      <c r="C13185" s="42" t="str">
        <f>IFERROR(__xludf.DUMMYFUNCTION("""COMPUTED_VALUE"""),"")</f>
        <v/>
      </c>
      <c r="D13185" s="42"/>
      <c r="E13185" s="42"/>
      <c r="F13185" s="48" t="str">
        <f>IFERROR(__xludf.DUMMYFUNCTION("""COMPUTED_VALUE"""),"")</f>
        <v/>
      </c>
      <c r="G13185" s="42" t="str">
        <f>IFERROR(__xludf.DUMMYFUNCTION("""COMPUTED_VALUE"""),"")</f>
        <v/>
      </c>
      <c r="H13185" s="42">
        <f t="shared" si="1"/>
        <v>3345</v>
      </c>
    </row>
    <row r="13186" ht="22.5" customHeight="1">
      <c r="B13186" s="42" t="str">
        <f>IFERROR(__xludf.DUMMYFUNCTION("""COMPUTED_VALUE"""),"")</f>
        <v/>
      </c>
      <c r="C13186" s="42" t="str">
        <f>IFERROR(__xludf.DUMMYFUNCTION("""COMPUTED_VALUE"""),"")</f>
        <v/>
      </c>
      <c r="D13186" s="42"/>
      <c r="E13186" s="42"/>
      <c r="F13186" s="48" t="str">
        <f>IFERROR(__xludf.DUMMYFUNCTION("""COMPUTED_VALUE"""),"")</f>
        <v/>
      </c>
      <c r="G13186" s="42" t="str">
        <f>IFERROR(__xludf.DUMMYFUNCTION("""COMPUTED_VALUE"""),"")</f>
        <v/>
      </c>
      <c r="H13186" s="42">
        <f t="shared" si="1"/>
        <v>3345</v>
      </c>
    </row>
    <row r="13187" ht="22.5" customHeight="1">
      <c r="B13187" s="42" t="str">
        <f>IFERROR(__xludf.DUMMYFUNCTION("""COMPUTED_VALUE"""),"")</f>
        <v/>
      </c>
      <c r="C13187" s="42" t="str">
        <f>IFERROR(__xludf.DUMMYFUNCTION("""COMPUTED_VALUE"""),"")</f>
        <v/>
      </c>
      <c r="D13187" s="42"/>
      <c r="E13187" s="42"/>
      <c r="F13187" s="48" t="str">
        <f>IFERROR(__xludf.DUMMYFUNCTION("""COMPUTED_VALUE"""),"")</f>
        <v/>
      </c>
      <c r="G13187" s="42" t="str">
        <f>IFERROR(__xludf.DUMMYFUNCTION("""COMPUTED_VALUE"""),"")</f>
        <v/>
      </c>
      <c r="H13187" s="42">
        <f t="shared" si="1"/>
        <v>3345</v>
      </c>
    </row>
    <row r="13188" ht="22.5" customHeight="1">
      <c r="B13188" s="42" t="str">
        <f>IFERROR(__xludf.DUMMYFUNCTION("""COMPUTED_VALUE"""),"")</f>
        <v/>
      </c>
      <c r="C13188" s="42" t="str">
        <f>IFERROR(__xludf.DUMMYFUNCTION("""COMPUTED_VALUE"""),"")</f>
        <v/>
      </c>
      <c r="D13188" s="42"/>
      <c r="E13188" s="42"/>
      <c r="F13188" s="48" t="str">
        <f>IFERROR(__xludf.DUMMYFUNCTION("""COMPUTED_VALUE"""),"")</f>
        <v/>
      </c>
      <c r="G13188" s="42" t="str">
        <f>IFERROR(__xludf.DUMMYFUNCTION("""COMPUTED_VALUE"""),"")</f>
        <v/>
      </c>
      <c r="H13188" s="42">
        <f t="shared" si="1"/>
        <v>3345</v>
      </c>
    </row>
    <row r="13189" ht="22.5" customHeight="1">
      <c r="B13189" s="42" t="str">
        <f>IFERROR(__xludf.DUMMYFUNCTION("""COMPUTED_VALUE"""),"")</f>
        <v/>
      </c>
      <c r="C13189" s="42" t="str">
        <f>IFERROR(__xludf.DUMMYFUNCTION("""COMPUTED_VALUE"""),"")</f>
        <v/>
      </c>
      <c r="D13189" s="42"/>
      <c r="E13189" s="42"/>
      <c r="F13189" s="48" t="str">
        <f>IFERROR(__xludf.DUMMYFUNCTION("""COMPUTED_VALUE"""),"")</f>
        <v/>
      </c>
      <c r="G13189" s="42" t="str">
        <f>IFERROR(__xludf.DUMMYFUNCTION("""COMPUTED_VALUE"""),"")</f>
        <v/>
      </c>
      <c r="H13189" s="42">
        <f t="shared" si="1"/>
        <v>3345</v>
      </c>
    </row>
    <row r="13190" ht="22.5" customHeight="1">
      <c r="B13190" s="42" t="str">
        <f>IFERROR(__xludf.DUMMYFUNCTION("""COMPUTED_VALUE"""),"")</f>
        <v/>
      </c>
      <c r="C13190" s="42" t="str">
        <f>IFERROR(__xludf.DUMMYFUNCTION("""COMPUTED_VALUE"""),"")</f>
        <v/>
      </c>
      <c r="D13190" s="42"/>
      <c r="E13190" s="42"/>
      <c r="F13190" s="48" t="str">
        <f>IFERROR(__xludf.DUMMYFUNCTION("""COMPUTED_VALUE"""),"")</f>
        <v/>
      </c>
      <c r="G13190" s="42" t="str">
        <f>IFERROR(__xludf.DUMMYFUNCTION("""COMPUTED_VALUE"""),"")</f>
        <v/>
      </c>
      <c r="H13190" s="42">
        <f t="shared" si="1"/>
        <v>3345</v>
      </c>
    </row>
    <row r="13191" ht="22.5" customHeight="1">
      <c r="B13191" s="42" t="str">
        <f>IFERROR(__xludf.DUMMYFUNCTION("""COMPUTED_VALUE"""),"")</f>
        <v/>
      </c>
      <c r="C13191" s="42" t="str">
        <f>IFERROR(__xludf.DUMMYFUNCTION("""COMPUTED_VALUE"""),"")</f>
        <v/>
      </c>
      <c r="D13191" s="42"/>
      <c r="E13191" s="42"/>
      <c r="F13191" s="48" t="str">
        <f>IFERROR(__xludf.DUMMYFUNCTION("""COMPUTED_VALUE"""),"")</f>
        <v/>
      </c>
      <c r="G13191" s="42" t="str">
        <f>IFERROR(__xludf.DUMMYFUNCTION("""COMPUTED_VALUE"""),"")</f>
        <v/>
      </c>
      <c r="H13191" s="42">
        <f t="shared" si="1"/>
        <v>3345</v>
      </c>
    </row>
    <row r="13192" ht="22.5" customHeight="1">
      <c r="B13192" s="42" t="str">
        <f>IFERROR(__xludf.DUMMYFUNCTION("""COMPUTED_VALUE"""),"")</f>
        <v/>
      </c>
      <c r="C13192" s="42" t="str">
        <f>IFERROR(__xludf.DUMMYFUNCTION("""COMPUTED_VALUE"""),"")</f>
        <v/>
      </c>
      <c r="D13192" s="42"/>
      <c r="E13192" s="42"/>
      <c r="F13192" s="48" t="str">
        <f>IFERROR(__xludf.DUMMYFUNCTION("""COMPUTED_VALUE"""),"")</f>
        <v/>
      </c>
      <c r="G13192" s="42" t="str">
        <f>IFERROR(__xludf.DUMMYFUNCTION("""COMPUTED_VALUE"""),"")</f>
        <v/>
      </c>
      <c r="H13192" s="42">
        <f t="shared" si="1"/>
        <v>3345</v>
      </c>
    </row>
    <row r="13193" ht="22.5" customHeight="1">
      <c r="B13193" s="42" t="str">
        <f>IFERROR(__xludf.DUMMYFUNCTION("""COMPUTED_VALUE"""),"")</f>
        <v/>
      </c>
      <c r="C13193" s="42" t="str">
        <f>IFERROR(__xludf.DUMMYFUNCTION("""COMPUTED_VALUE"""),"")</f>
        <v/>
      </c>
      <c r="D13193" s="42"/>
      <c r="E13193" s="42"/>
      <c r="F13193" s="48" t="str">
        <f>IFERROR(__xludf.DUMMYFUNCTION("""COMPUTED_VALUE"""),"")</f>
        <v/>
      </c>
      <c r="G13193" s="42" t="str">
        <f>IFERROR(__xludf.DUMMYFUNCTION("""COMPUTED_VALUE"""),"")</f>
        <v/>
      </c>
      <c r="H13193" s="42">
        <f t="shared" si="1"/>
        <v>3345</v>
      </c>
    </row>
    <row r="13194" ht="22.5" customHeight="1">
      <c r="B13194" s="42" t="str">
        <f>IFERROR(__xludf.DUMMYFUNCTION("""COMPUTED_VALUE"""),"")</f>
        <v/>
      </c>
      <c r="C13194" s="42" t="str">
        <f>IFERROR(__xludf.DUMMYFUNCTION("""COMPUTED_VALUE"""),"")</f>
        <v/>
      </c>
      <c r="D13194" s="42"/>
      <c r="E13194" s="42"/>
      <c r="F13194" s="48" t="str">
        <f>IFERROR(__xludf.DUMMYFUNCTION("""COMPUTED_VALUE"""),"")</f>
        <v/>
      </c>
      <c r="G13194" s="42" t="str">
        <f>IFERROR(__xludf.DUMMYFUNCTION("""COMPUTED_VALUE"""),"")</f>
        <v/>
      </c>
      <c r="H13194" s="42">
        <f t="shared" si="1"/>
        <v>3345</v>
      </c>
    </row>
    <row r="13195" ht="22.5" customHeight="1">
      <c r="B13195" s="42" t="str">
        <f>IFERROR(__xludf.DUMMYFUNCTION("""COMPUTED_VALUE"""),"")</f>
        <v/>
      </c>
      <c r="C13195" s="42" t="str">
        <f>IFERROR(__xludf.DUMMYFUNCTION("""COMPUTED_VALUE"""),"")</f>
        <v/>
      </c>
      <c r="D13195" s="42"/>
      <c r="E13195" s="42"/>
      <c r="F13195" s="48" t="str">
        <f>IFERROR(__xludf.DUMMYFUNCTION("""COMPUTED_VALUE"""),"")</f>
        <v/>
      </c>
      <c r="G13195" s="42" t="str">
        <f>IFERROR(__xludf.DUMMYFUNCTION("""COMPUTED_VALUE"""),"")</f>
        <v/>
      </c>
      <c r="H13195" s="42">
        <f t="shared" si="1"/>
        <v>3345</v>
      </c>
    </row>
    <row r="13196" ht="22.5" customHeight="1">
      <c r="B13196" s="42" t="str">
        <f>IFERROR(__xludf.DUMMYFUNCTION("""COMPUTED_VALUE"""),"")</f>
        <v/>
      </c>
      <c r="C13196" s="42" t="str">
        <f>IFERROR(__xludf.DUMMYFUNCTION("""COMPUTED_VALUE"""),"")</f>
        <v/>
      </c>
      <c r="D13196" s="42"/>
      <c r="E13196" s="42"/>
      <c r="F13196" s="48" t="str">
        <f>IFERROR(__xludf.DUMMYFUNCTION("""COMPUTED_VALUE"""),"")</f>
        <v/>
      </c>
      <c r="G13196" s="42" t="str">
        <f>IFERROR(__xludf.DUMMYFUNCTION("""COMPUTED_VALUE"""),"")</f>
        <v/>
      </c>
      <c r="H13196" s="42">
        <f t="shared" si="1"/>
        <v>3345</v>
      </c>
    </row>
    <row r="13197" ht="22.5" customHeight="1">
      <c r="B13197" s="42" t="str">
        <f>IFERROR(__xludf.DUMMYFUNCTION("""COMPUTED_VALUE"""),"")</f>
        <v/>
      </c>
      <c r="C13197" s="42" t="str">
        <f>IFERROR(__xludf.DUMMYFUNCTION("""COMPUTED_VALUE"""),"")</f>
        <v/>
      </c>
      <c r="D13197" s="42"/>
      <c r="E13197" s="42"/>
      <c r="F13197" s="48" t="str">
        <f>IFERROR(__xludf.DUMMYFUNCTION("""COMPUTED_VALUE"""),"")</f>
        <v/>
      </c>
      <c r="G13197" s="42" t="str">
        <f>IFERROR(__xludf.DUMMYFUNCTION("""COMPUTED_VALUE"""),"")</f>
        <v/>
      </c>
      <c r="H13197" s="42">
        <f t="shared" si="1"/>
        <v>3345</v>
      </c>
    </row>
    <row r="13198" ht="22.5" customHeight="1">
      <c r="B13198" s="42" t="str">
        <f>IFERROR(__xludf.DUMMYFUNCTION("""COMPUTED_VALUE"""),"")</f>
        <v/>
      </c>
      <c r="C13198" s="42" t="str">
        <f>IFERROR(__xludf.DUMMYFUNCTION("""COMPUTED_VALUE"""),"")</f>
        <v/>
      </c>
      <c r="D13198" s="42"/>
      <c r="E13198" s="42"/>
      <c r="F13198" s="48" t="str">
        <f>IFERROR(__xludf.DUMMYFUNCTION("""COMPUTED_VALUE"""),"")</f>
        <v/>
      </c>
      <c r="G13198" s="42" t="str">
        <f>IFERROR(__xludf.DUMMYFUNCTION("""COMPUTED_VALUE"""),"")</f>
        <v/>
      </c>
      <c r="H13198" s="42">
        <f t="shared" si="1"/>
        <v>3345</v>
      </c>
    </row>
    <row r="13199" ht="22.5" customHeight="1">
      <c r="B13199" s="42" t="str">
        <f>IFERROR(__xludf.DUMMYFUNCTION("""COMPUTED_VALUE"""),"")</f>
        <v/>
      </c>
      <c r="C13199" s="42" t="str">
        <f>IFERROR(__xludf.DUMMYFUNCTION("""COMPUTED_VALUE"""),"")</f>
        <v/>
      </c>
      <c r="D13199" s="42"/>
      <c r="E13199" s="42"/>
      <c r="F13199" s="48" t="str">
        <f>IFERROR(__xludf.DUMMYFUNCTION("""COMPUTED_VALUE"""),"")</f>
        <v/>
      </c>
      <c r="G13199" s="42" t="str">
        <f>IFERROR(__xludf.DUMMYFUNCTION("""COMPUTED_VALUE"""),"")</f>
        <v/>
      </c>
      <c r="H13199" s="42">
        <f t="shared" si="1"/>
        <v>3345</v>
      </c>
    </row>
    <row r="13200" ht="22.5" customHeight="1">
      <c r="B13200" s="42" t="str">
        <f>IFERROR(__xludf.DUMMYFUNCTION("""COMPUTED_VALUE"""),"")</f>
        <v/>
      </c>
      <c r="C13200" s="42" t="str">
        <f>IFERROR(__xludf.DUMMYFUNCTION("""COMPUTED_VALUE"""),"")</f>
        <v/>
      </c>
      <c r="D13200" s="42"/>
      <c r="E13200" s="42"/>
      <c r="F13200" s="48" t="str">
        <f>IFERROR(__xludf.DUMMYFUNCTION("""COMPUTED_VALUE"""),"")</f>
        <v/>
      </c>
      <c r="G13200" s="42" t="str">
        <f>IFERROR(__xludf.DUMMYFUNCTION("""COMPUTED_VALUE"""),"")</f>
        <v/>
      </c>
      <c r="H13200" s="42">
        <f t="shared" si="1"/>
        <v>3345</v>
      </c>
    </row>
    <row r="13201" ht="22.5" customHeight="1">
      <c r="B13201" s="42" t="str">
        <f>IFERROR(__xludf.DUMMYFUNCTION("""COMPUTED_VALUE"""),"")</f>
        <v/>
      </c>
      <c r="C13201" s="42" t="str">
        <f>IFERROR(__xludf.DUMMYFUNCTION("""COMPUTED_VALUE"""),"")</f>
        <v/>
      </c>
      <c r="D13201" s="42"/>
      <c r="E13201" s="42"/>
      <c r="F13201" s="48" t="str">
        <f>IFERROR(__xludf.DUMMYFUNCTION("""COMPUTED_VALUE"""),"")</f>
        <v/>
      </c>
      <c r="G13201" s="42" t="str">
        <f>IFERROR(__xludf.DUMMYFUNCTION("""COMPUTED_VALUE"""),"")</f>
        <v/>
      </c>
      <c r="H13201" s="42">
        <f t="shared" si="1"/>
        <v>3345</v>
      </c>
    </row>
    <row r="13202" ht="22.5" customHeight="1">
      <c r="B13202" s="42" t="str">
        <f>IFERROR(__xludf.DUMMYFUNCTION("""COMPUTED_VALUE"""),"")</f>
        <v/>
      </c>
      <c r="C13202" s="42" t="str">
        <f>IFERROR(__xludf.DUMMYFUNCTION("""COMPUTED_VALUE"""),"")</f>
        <v/>
      </c>
      <c r="D13202" s="42"/>
      <c r="E13202" s="42"/>
      <c r="F13202" s="48" t="str">
        <f>IFERROR(__xludf.DUMMYFUNCTION("""COMPUTED_VALUE"""),"")</f>
        <v/>
      </c>
      <c r="G13202" s="42" t="str">
        <f>IFERROR(__xludf.DUMMYFUNCTION("""COMPUTED_VALUE"""),"")</f>
        <v/>
      </c>
      <c r="H13202" s="42">
        <f t="shared" si="1"/>
        <v>3345</v>
      </c>
    </row>
    <row r="13203" ht="22.5" customHeight="1">
      <c r="B13203" s="42" t="str">
        <f>IFERROR(__xludf.DUMMYFUNCTION("""COMPUTED_VALUE"""),"")</f>
        <v/>
      </c>
      <c r="C13203" s="42" t="str">
        <f>IFERROR(__xludf.DUMMYFUNCTION("""COMPUTED_VALUE"""),"")</f>
        <v/>
      </c>
      <c r="D13203" s="42"/>
      <c r="E13203" s="42"/>
      <c r="F13203" s="48" t="str">
        <f>IFERROR(__xludf.DUMMYFUNCTION("""COMPUTED_VALUE"""),"")</f>
        <v/>
      </c>
      <c r="G13203" s="42" t="str">
        <f>IFERROR(__xludf.DUMMYFUNCTION("""COMPUTED_VALUE"""),"")</f>
        <v/>
      </c>
      <c r="H13203" s="42">
        <f t="shared" si="1"/>
        <v>3345</v>
      </c>
    </row>
    <row r="13204" ht="22.5" customHeight="1">
      <c r="B13204" s="42" t="str">
        <f>IFERROR(__xludf.DUMMYFUNCTION("""COMPUTED_VALUE"""),"")</f>
        <v/>
      </c>
      <c r="C13204" s="42" t="str">
        <f>IFERROR(__xludf.DUMMYFUNCTION("""COMPUTED_VALUE"""),"")</f>
        <v/>
      </c>
      <c r="D13204" s="42"/>
      <c r="E13204" s="42"/>
      <c r="F13204" s="48" t="str">
        <f>IFERROR(__xludf.DUMMYFUNCTION("""COMPUTED_VALUE"""),"")</f>
        <v/>
      </c>
      <c r="G13204" s="42" t="str">
        <f>IFERROR(__xludf.DUMMYFUNCTION("""COMPUTED_VALUE"""),"")</f>
        <v/>
      </c>
      <c r="H13204" s="42">
        <f t="shared" si="1"/>
        <v>3345</v>
      </c>
    </row>
    <row r="13205" ht="22.5" customHeight="1">
      <c r="B13205" s="42" t="str">
        <f>IFERROR(__xludf.DUMMYFUNCTION("""COMPUTED_VALUE"""),"")</f>
        <v/>
      </c>
      <c r="C13205" s="42" t="str">
        <f>IFERROR(__xludf.DUMMYFUNCTION("""COMPUTED_VALUE"""),"")</f>
        <v/>
      </c>
      <c r="D13205" s="42"/>
      <c r="E13205" s="42"/>
      <c r="F13205" s="48" t="str">
        <f>IFERROR(__xludf.DUMMYFUNCTION("""COMPUTED_VALUE"""),"")</f>
        <v/>
      </c>
      <c r="G13205" s="42" t="str">
        <f>IFERROR(__xludf.DUMMYFUNCTION("""COMPUTED_VALUE"""),"")</f>
        <v/>
      </c>
      <c r="H13205" s="42">
        <f t="shared" si="1"/>
        <v>3345</v>
      </c>
    </row>
    <row r="13206" ht="22.5" customHeight="1">
      <c r="B13206" s="42" t="str">
        <f>IFERROR(__xludf.DUMMYFUNCTION("""COMPUTED_VALUE"""),"")</f>
        <v/>
      </c>
      <c r="C13206" s="42" t="str">
        <f>IFERROR(__xludf.DUMMYFUNCTION("""COMPUTED_VALUE"""),"")</f>
        <v/>
      </c>
      <c r="D13206" s="42"/>
      <c r="E13206" s="42"/>
      <c r="F13206" s="48" t="str">
        <f>IFERROR(__xludf.DUMMYFUNCTION("""COMPUTED_VALUE"""),"")</f>
        <v/>
      </c>
      <c r="G13206" s="42" t="str">
        <f>IFERROR(__xludf.DUMMYFUNCTION("""COMPUTED_VALUE"""),"")</f>
        <v/>
      </c>
      <c r="H13206" s="42">
        <f t="shared" si="1"/>
        <v>3345</v>
      </c>
    </row>
    <row r="13207" ht="22.5" customHeight="1">
      <c r="B13207" s="42" t="str">
        <f>IFERROR(__xludf.DUMMYFUNCTION("""COMPUTED_VALUE"""),"")</f>
        <v/>
      </c>
      <c r="C13207" s="42" t="str">
        <f>IFERROR(__xludf.DUMMYFUNCTION("""COMPUTED_VALUE"""),"")</f>
        <v/>
      </c>
      <c r="D13207" s="42"/>
      <c r="E13207" s="42"/>
      <c r="F13207" s="48" t="str">
        <f>IFERROR(__xludf.DUMMYFUNCTION("""COMPUTED_VALUE"""),"")</f>
        <v/>
      </c>
      <c r="G13207" s="42" t="str">
        <f>IFERROR(__xludf.DUMMYFUNCTION("""COMPUTED_VALUE"""),"")</f>
        <v/>
      </c>
      <c r="H13207" s="42">
        <f t="shared" si="1"/>
        <v>3345</v>
      </c>
    </row>
    <row r="13208" ht="22.5" customHeight="1">
      <c r="B13208" s="42" t="str">
        <f>IFERROR(__xludf.DUMMYFUNCTION("""COMPUTED_VALUE"""),"")</f>
        <v/>
      </c>
      <c r="C13208" s="42" t="str">
        <f>IFERROR(__xludf.DUMMYFUNCTION("""COMPUTED_VALUE"""),"")</f>
        <v/>
      </c>
      <c r="D13208" s="42"/>
      <c r="E13208" s="42"/>
      <c r="F13208" s="48" t="str">
        <f>IFERROR(__xludf.DUMMYFUNCTION("""COMPUTED_VALUE"""),"")</f>
        <v/>
      </c>
      <c r="G13208" s="42" t="str">
        <f>IFERROR(__xludf.DUMMYFUNCTION("""COMPUTED_VALUE"""),"")</f>
        <v/>
      </c>
      <c r="H13208" s="42">
        <f t="shared" si="1"/>
        <v>3345</v>
      </c>
    </row>
    <row r="13209" ht="22.5" customHeight="1">
      <c r="B13209" s="42" t="str">
        <f>IFERROR(__xludf.DUMMYFUNCTION("""COMPUTED_VALUE"""),"")</f>
        <v/>
      </c>
      <c r="C13209" s="42" t="str">
        <f>IFERROR(__xludf.DUMMYFUNCTION("""COMPUTED_VALUE"""),"")</f>
        <v/>
      </c>
      <c r="D13209" s="42"/>
      <c r="E13209" s="42"/>
      <c r="F13209" s="48" t="str">
        <f>IFERROR(__xludf.DUMMYFUNCTION("""COMPUTED_VALUE"""),"")</f>
        <v/>
      </c>
      <c r="G13209" s="42" t="str">
        <f>IFERROR(__xludf.DUMMYFUNCTION("""COMPUTED_VALUE"""),"")</f>
        <v/>
      </c>
      <c r="H13209" s="42">
        <f t="shared" si="1"/>
        <v>3345</v>
      </c>
    </row>
    <row r="13210" ht="22.5" customHeight="1">
      <c r="B13210" s="42" t="str">
        <f>IFERROR(__xludf.DUMMYFUNCTION("""COMPUTED_VALUE"""),"")</f>
        <v/>
      </c>
      <c r="C13210" s="42" t="str">
        <f>IFERROR(__xludf.DUMMYFUNCTION("""COMPUTED_VALUE"""),"")</f>
        <v/>
      </c>
      <c r="D13210" s="42"/>
      <c r="E13210" s="42"/>
      <c r="F13210" s="48" t="str">
        <f>IFERROR(__xludf.DUMMYFUNCTION("""COMPUTED_VALUE"""),"")</f>
        <v/>
      </c>
      <c r="G13210" s="42" t="str">
        <f>IFERROR(__xludf.DUMMYFUNCTION("""COMPUTED_VALUE"""),"")</f>
        <v/>
      </c>
      <c r="H13210" s="42">
        <f t="shared" si="1"/>
        <v>3345</v>
      </c>
    </row>
    <row r="13211" ht="22.5" customHeight="1">
      <c r="B13211" s="42" t="str">
        <f>IFERROR(__xludf.DUMMYFUNCTION("""COMPUTED_VALUE"""),"")</f>
        <v/>
      </c>
      <c r="C13211" s="42" t="str">
        <f>IFERROR(__xludf.DUMMYFUNCTION("""COMPUTED_VALUE"""),"")</f>
        <v/>
      </c>
      <c r="D13211" s="42"/>
      <c r="E13211" s="42"/>
      <c r="F13211" s="48" t="str">
        <f>IFERROR(__xludf.DUMMYFUNCTION("""COMPUTED_VALUE"""),"")</f>
        <v/>
      </c>
      <c r="G13211" s="42" t="str">
        <f>IFERROR(__xludf.DUMMYFUNCTION("""COMPUTED_VALUE"""),"")</f>
        <v/>
      </c>
      <c r="H13211" s="42">
        <f t="shared" si="1"/>
        <v>3345</v>
      </c>
    </row>
    <row r="13212" ht="22.5" customHeight="1">
      <c r="B13212" s="42" t="str">
        <f>IFERROR(__xludf.DUMMYFUNCTION("""COMPUTED_VALUE"""),"")</f>
        <v/>
      </c>
      <c r="C13212" s="42" t="str">
        <f>IFERROR(__xludf.DUMMYFUNCTION("""COMPUTED_VALUE"""),"")</f>
        <v/>
      </c>
      <c r="D13212" s="42"/>
      <c r="E13212" s="42"/>
      <c r="F13212" s="48" t="str">
        <f>IFERROR(__xludf.DUMMYFUNCTION("""COMPUTED_VALUE"""),"")</f>
        <v/>
      </c>
      <c r="G13212" s="42" t="str">
        <f>IFERROR(__xludf.DUMMYFUNCTION("""COMPUTED_VALUE"""),"")</f>
        <v/>
      </c>
      <c r="H13212" s="42">
        <f t="shared" si="1"/>
        <v>3345</v>
      </c>
    </row>
    <row r="13213" ht="22.5" customHeight="1">
      <c r="B13213" s="42" t="str">
        <f>IFERROR(__xludf.DUMMYFUNCTION("""COMPUTED_VALUE"""),"")</f>
        <v/>
      </c>
      <c r="C13213" s="42" t="str">
        <f>IFERROR(__xludf.DUMMYFUNCTION("""COMPUTED_VALUE"""),"")</f>
        <v/>
      </c>
      <c r="D13213" s="42"/>
      <c r="E13213" s="42"/>
      <c r="F13213" s="48" t="str">
        <f>IFERROR(__xludf.DUMMYFUNCTION("""COMPUTED_VALUE"""),"")</f>
        <v/>
      </c>
      <c r="G13213" s="42" t="str">
        <f>IFERROR(__xludf.DUMMYFUNCTION("""COMPUTED_VALUE"""),"")</f>
        <v/>
      </c>
      <c r="H13213" s="42">
        <f t="shared" si="1"/>
        <v>3345</v>
      </c>
    </row>
    <row r="13214" ht="22.5" customHeight="1">
      <c r="B13214" s="42" t="str">
        <f>IFERROR(__xludf.DUMMYFUNCTION("""COMPUTED_VALUE"""),"")</f>
        <v/>
      </c>
      <c r="C13214" s="42" t="str">
        <f>IFERROR(__xludf.DUMMYFUNCTION("""COMPUTED_VALUE"""),"")</f>
        <v/>
      </c>
      <c r="D13214" s="42"/>
      <c r="E13214" s="42"/>
      <c r="F13214" s="48" t="str">
        <f>IFERROR(__xludf.DUMMYFUNCTION("""COMPUTED_VALUE"""),"")</f>
        <v/>
      </c>
      <c r="G13214" s="42" t="str">
        <f>IFERROR(__xludf.DUMMYFUNCTION("""COMPUTED_VALUE"""),"")</f>
        <v/>
      </c>
      <c r="H13214" s="42">
        <f t="shared" si="1"/>
        <v>3345</v>
      </c>
    </row>
    <row r="13215" ht="22.5" customHeight="1">
      <c r="B13215" s="42" t="str">
        <f>IFERROR(__xludf.DUMMYFUNCTION("""COMPUTED_VALUE"""),"")</f>
        <v/>
      </c>
      <c r="C13215" s="42" t="str">
        <f>IFERROR(__xludf.DUMMYFUNCTION("""COMPUTED_VALUE"""),"")</f>
        <v/>
      </c>
      <c r="D13215" s="42"/>
      <c r="E13215" s="42"/>
      <c r="F13215" s="48" t="str">
        <f>IFERROR(__xludf.DUMMYFUNCTION("""COMPUTED_VALUE"""),"")</f>
        <v/>
      </c>
      <c r="G13215" s="42" t="str">
        <f>IFERROR(__xludf.DUMMYFUNCTION("""COMPUTED_VALUE"""),"")</f>
        <v/>
      </c>
      <c r="H13215" s="42">
        <f t="shared" si="1"/>
        <v>3345</v>
      </c>
    </row>
    <row r="13216" ht="22.5" customHeight="1">
      <c r="B13216" s="42" t="str">
        <f>IFERROR(__xludf.DUMMYFUNCTION("""COMPUTED_VALUE"""),"")</f>
        <v/>
      </c>
      <c r="C13216" s="42" t="str">
        <f>IFERROR(__xludf.DUMMYFUNCTION("""COMPUTED_VALUE"""),"")</f>
        <v/>
      </c>
      <c r="D13216" s="42"/>
      <c r="E13216" s="42"/>
      <c r="F13216" s="48" t="str">
        <f>IFERROR(__xludf.DUMMYFUNCTION("""COMPUTED_VALUE"""),"")</f>
        <v/>
      </c>
      <c r="G13216" s="42" t="str">
        <f>IFERROR(__xludf.DUMMYFUNCTION("""COMPUTED_VALUE"""),"")</f>
        <v/>
      </c>
      <c r="H13216" s="42">
        <f t="shared" si="1"/>
        <v>3345</v>
      </c>
    </row>
    <row r="13217" ht="22.5" customHeight="1">
      <c r="B13217" s="42" t="str">
        <f>IFERROR(__xludf.DUMMYFUNCTION("""COMPUTED_VALUE"""),"")</f>
        <v/>
      </c>
      <c r="C13217" s="42" t="str">
        <f>IFERROR(__xludf.DUMMYFUNCTION("""COMPUTED_VALUE"""),"")</f>
        <v/>
      </c>
      <c r="D13217" s="42"/>
      <c r="E13217" s="42"/>
      <c r="F13217" s="48" t="str">
        <f>IFERROR(__xludf.DUMMYFUNCTION("""COMPUTED_VALUE"""),"")</f>
        <v/>
      </c>
      <c r="G13217" s="42" t="str">
        <f>IFERROR(__xludf.DUMMYFUNCTION("""COMPUTED_VALUE"""),"")</f>
        <v/>
      </c>
      <c r="H13217" s="42">
        <f t="shared" si="1"/>
        <v>3345</v>
      </c>
    </row>
    <row r="13218" ht="22.5" customHeight="1">
      <c r="B13218" s="42" t="str">
        <f>IFERROR(__xludf.DUMMYFUNCTION("""COMPUTED_VALUE"""),"")</f>
        <v/>
      </c>
      <c r="C13218" s="42" t="str">
        <f>IFERROR(__xludf.DUMMYFUNCTION("""COMPUTED_VALUE"""),"")</f>
        <v/>
      </c>
      <c r="D13218" s="42"/>
      <c r="E13218" s="42"/>
      <c r="F13218" s="48" t="str">
        <f>IFERROR(__xludf.DUMMYFUNCTION("""COMPUTED_VALUE"""),"")</f>
        <v/>
      </c>
      <c r="G13218" s="42" t="str">
        <f>IFERROR(__xludf.DUMMYFUNCTION("""COMPUTED_VALUE"""),"")</f>
        <v/>
      </c>
      <c r="H13218" s="42">
        <f t="shared" si="1"/>
        <v>3345</v>
      </c>
    </row>
    <row r="13219" ht="22.5" customHeight="1">
      <c r="B13219" s="42" t="str">
        <f>IFERROR(__xludf.DUMMYFUNCTION("""COMPUTED_VALUE"""),"")</f>
        <v/>
      </c>
      <c r="C13219" s="42" t="str">
        <f>IFERROR(__xludf.DUMMYFUNCTION("""COMPUTED_VALUE"""),"")</f>
        <v/>
      </c>
      <c r="D13219" s="42"/>
      <c r="E13219" s="42"/>
      <c r="F13219" s="48" t="str">
        <f>IFERROR(__xludf.DUMMYFUNCTION("""COMPUTED_VALUE"""),"")</f>
        <v/>
      </c>
      <c r="G13219" s="42" t="str">
        <f>IFERROR(__xludf.DUMMYFUNCTION("""COMPUTED_VALUE"""),"")</f>
        <v/>
      </c>
      <c r="H13219" s="42">
        <f t="shared" si="1"/>
        <v>3345</v>
      </c>
    </row>
    <row r="13220" ht="22.5" customHeight="1">
      <c r="B13220" s="42" t="str">
        <f>IFERROR(__xludf.DUMMYFUNCTION("""COMPUTED_VALUE"""),"")</f>
        <v/>
      </c>
      <c r="C13220" s="42" t="str">
        <f>IFERROR(__xludf.DUMMYFUNCTION("""COMPUTED_VALUE"""),"")</f>
        <v/>
      </c>
      <c r="D13220" s="42"/>
      <c r="E13220" s="42"/>
      <c r="F13220" s="48" t="str">
        <f>IFERROR(__xludf.DUMMYFUNCTION("""COMPUTED_VALUE"""),"")</f>
        <v/>
      </c>
      <c r="G13220" s="42" t="str">
        <f>IFERROR(__xludf.DUMMYFUNCTION("""COMPUTED_VALUE"""),"")</f>
        <v/>
      </c>
      <c r="H13220" s="42">
        <f t="shared" si="1"/>
        <v>3345</v>
      </c>
    </row>
    <row r="13221" ht="22.5" customHeight="1">
      <c r="B13221" s="42" t="str">
        <f>IFERROR(__xludf.DUMMYFUNCTION("""COMPUTED_VALUE"""),"")</f>
        <v/>
      </c>
      <c r="C13221" s="42" t="str">
        <f>IFERROR(__xludf.DUMMYFUNCTION("""COMPUTED_VALUE"""),"")</f>
        <v/>
      </c>
      <c r="D13221" s="42"/>
      <c r="E13221" s="42"/>
      <c r="F13221" s="48" t="str">
        <f>IFERROR(__xludf.DUMMYFUNCTION("""COMPUTED_VALUE"""),"")</f>
        <v/>
      </c>
      <c r="G13221" s="42" t="str">
        <f>IFERROR(__xludf.DUMMYFUNCTION("""COMPUTED_VALUE"""),"")</f>
        <v/>
      </c>
      <c r="H13221" s="42">
        <f t="shared" si="1"/>
        <v>3345</v>
      </c>
    </row>
    <row r="13222" ht="22.5" customHeight="1">
      <c r="B13222" s="42" t="str">
        <f>IFERROR(__xludf.DUMMYFUNCTION("""COMPUTED_VALUE"""),"")</f>
        <v/>
      </c>
      <c r="C13222" s="42" t="str">
        <f>IFERROR(__xludf.DUMMYFUNCTION("""COMPUTED_VALUE"""),"")</f>
        <v/>
      </c>
      <c r="D13222" s="42"/>
      <c r="E13222" s="42"/>
      <c r="F13222" s="48" t="str">
        <f>IFERROR(__xludf.DUMMYFUNCTION("""COMPUTED_VALUE"""),"")</f>
        <v/>
      </c>
      <c r="G13222" s="42" t="str">
        <f>IFERROR(__xludf.DUMMYFUNCTION("""COMPUTED_VALUE"""),"")</f>
        <v/>
      </c>
      <c r="H13222" s="42">
        <f t="shared" si="1"/>
        <v>3345</v>
      </c>
    </row>
    <row r="13223" ht="22.5" customHeight="1">
      <c r="B13223" s="42" t="str">
        <f>IFERROR(__xludf.DUMMYFUNCTION("""COMPUTED_VALUE"""),"")</f>
        <v/>
      </c>
      <c r="C13223" s="42" t="str">
        <f>IFERROR(__xludf.DUMMYFUNCTION("""COMPUTED_VALUE"""),"")</f>
        <v/>
      </c>
      <c r="D13223" s="42"/>
      <c r="E13223" s="42"/>
      <c r="F13223" s="48" t="str">
        <f>IFERROR(__xludf.DUMMYFUNCTION("""COMPUTED_VALUE"""),"")</f>
        <v/>
      </c>
      <c r="G13223" s="42" t="str">
        <f>IFERROR(__xludf.DUMMYFUNCTION("""COMPUTED_VALUE"""),"")</f>
        <v/>
      </c>
      <c r="H13223" s="42">
        <f t="shared" si="1"/>
        <v>3345</v>
      </c>
    </row>
    <row r="13224" ht="22.5" customHeight="1">
      <c r="B13224" s="42" t="str">
        <f>IFERROR(__xludf.DUMMYFUNCTION("""COMPUTED_VALUE"""),"")</f>
        <v/>
      </c>
      <c r="C13224" s="42" t="str">
        <f>IFERROR(__xludf.DUMMYFUNCTION("""COMPUTED_VALUE"""),"")</f>
        <v/>
      </c>
      <c r="D13224" s="42"/>
      <c r="E13224" s="42"/>
      <c r="F13224" s="48" t="str">
        <f>IFERROR(__xludf.DUMMYFUNCTION("""COMPUTED_VALUE"""),"")</f>
        <v/>
      </c>
      <c r="G13224" s="42" t="str">
        <f>IFERROR(__xludf.DUMMYFUNCTION("""COMPUTED_VALUE"""),"")</f>
        <v/>
      </c>
      <c r="H13224" s="42">
        <f t="shared" si="1"/>
        <v>3345</v>
      </c>
    </row>
    <row r="13225" ht="22.5" customHeight="1">
      <c r="B13225" s="42" t="str">
        <f>IFERROR(__xludf.DUMMYFUNCTION("""COMPUTED_VALUE"""),"")</f>
        <v/>
      </c>
      <c r="C13225" s="42" t="str">
        <f>IFERROR(__xludf.DUMMYFUNCTION("""COMPUTED_VALUE"""),"")</f>
        <v/>
      </c>
      <c r="D13225" s="42"/>
      <c r="E13225" s="42"/>
      <c r="F13225" s="48" t="str">
        <f>IFERROR(__xludf.DUMMYFUNCTION("""COMPUTED_VALUE"""),"")</f>
        <v/>
      </c>
      <c r="G13225" s="42" t="str">
        <f>IFERROR(__xludf.DUMMYFUNCTION("""COMPUTED_VALUE"""),"")</f>
        <v/>
      </c>
      <c r="H13225" s="42">
        <f t="shared" si="1"/>
        <v>3345</v>
      </c>
    </row>
    <row r="13226" ht="22.5" customHeight="1">
      <c r="B13226" s="42" t="str">
        <f>IFERROR(__xludf.DUMMYFUNCTION("""COMPUTED_VALUE"""),"")</f>
        <v/>
      </c>
      <c r="C13226" s="42" t="str">
        <f>IFERROR(__xludf.DUMMYFUNCTION("""COMPUTED_VALUE"""),"")</f>
        <v/>
      </c>
      <c r="D13226" s="42"/>
      <c r="E13226" s="42"/>
      <c r="F13226" s="48" t="str">
        <f>IFERROR(__xludf.DUMMYFUNCTION("""COMPUTED_VALUE"""),"")</f>
        <v/>
      </c>
      <c r="G13226" s="42" t="str">
        <f>IFERROR(__xludf.DUMMYFUNCTION("""COMPUTED_VALUE"""),"")</f>
        <v/>
      </c>
      <c r="H13226" s="42">
        <f t="shared" si="1"/>
        <v>3345</v>
      </c>
    </row>
    <row r="13227" ht="22.5" customHeight="1">
      <c r="B13227" s="42" t="str">
        <f>IFERROR(__xludf.DUMMYFUNCTION("""COMPUTED_VALUE"""),"")</f>
        <v/>
      </c>
      <c r="C13227" s="42" t="str">
        <f>IFERROR(__xludf.DUMMYFUNCTION("""COMPUTED_VALUE"""),"")</f>
        <v/>
      </c>
      <c r="D13227" s="42"/>
      <c r="E13227" s="42"/>
      <c r="F13227" s="48" t="str">
        <f>IFERROR(__xludf.DUMMYFUNCTION("""COMPUTED_VALUE"""),"")</f>
        <v/>
      </c>
      <c r="G13227" s="42" t="str">
        <f>IFERROR(__xludf.DUMMYFUNCTION("""COMPUTED_VALUE"""),"")</f>
        <v/>
      </c>
      <c r="H13227" s="42">
        <f t="shared" si="1"/>
        <v>3345</v>
      </c>
    </row>
    <row r="13228" ht="22.5" customHeight="1">
      <c r="B13228" s="42" t="str">
        <f>IFERROR(__xludf.DUMMYFUNCTION("""COMPUTED_VALUE"""),"")</f>
        <v/>
      </c>
      <c r="C13228" s="42" t="str">
        <f>IFERROR(__xludf.DUMMYFUNCTION("""COMPUTED_VALUE"""),"")</f>
        <v/>
      </c>
      <c r="D13228" s="42"/>
      <c r="E13228" s="42"/>
      <c r="F13228" s="48" t="str">
        <f>IFERROR(__xludf.DUMMYFUNCTION("""COMPUTED_VALUE"""),"")</f>
        <v/>
      </c>
      <c r="G13228" s="42" t="str">
        <f>IFERROR(__xludf.DUMMYFUNCTION("""COMPUTED_VALUE"""),"")</f>
        <v/>
      </c>
      <c r="H13228" s="42">
        <f t="shared" si="1"/>
        <v>3345</v>
      </c>
    </row>
    <row r="13229" ht="22.5" customHeight="1">
      <c r="B13229" s="42" t="str">
        <f>IFERROR(__xludf.DUMMYFUNCTION("""COMPUTED_VALUE"""),"")</f>
        <v/>
      </c>
      <c r="C13229" s="42" t="str">
        <f>IFERROR(__xludf.DUMMYFUNCTION("""COMPUTED_VALUE"""),"")</f>
        <v/>
      </c>
      <c r="D13229" s="42"/>
      <c r="E13229" s="42"/>
      <c r="F13229" s="48" t="str">
        <f>IFERROR(__xludf.DUMMYFUNCTION("""COMPUTED_VALUE"""),"")</f>
        <v/>
      </c>
      <c r="G13229" s="42" t="str">
        <f>IFERROR(__xludf.DUMMYFUNCTION("""COMPUTED_VALUE"""),"")</f>
        <v/>
      </c>
      <c r="H13229" s="42">
        <f t="shared" si="1"/>
        <v>3345</v>
      </c>
    </row>
    <row r="13230" ht="22.5" customHeight="1">
      <c r="B13230" s="42" t="str">
        <f>IFERROR(__xludf.DUMMYFUNCTION("""COMPUTED_VALUE"""),"")</f>
        <v/>
      </c>
      <c r="C13230" s="42" t="str">
        <f>IFERROR(__xludf.DUMMYFUNCTION("""COMPUTED_VALUE"""),"")</f>
        <v/>
      </c>
      <c r="D13230" s="42"/>
      <c r="E13230" s="42"/>
      <c r="F13230" s="48" t="str">
        <f>IFERROR(__xludf.DUMMYFUNCTION("""COMPUTED_VALUE"""),"")</f>
        <v/>
      </c>
      <c r="G13230" s="42" t="str">
        <f>IFERROR(__xludf.DUMMYFUNCTION("""COMPUTED_VALUE"""),"")</f>
        <v/>
      </c>
      <c r="H13230" s="42">
        <f t="shared" si="1"/>
        <v>3345</v>
      </c>
    </row>
    <row r="13231" ht="22.5" customHeight="1">
      <c r="B13231" s="42" t="str">
        <f>IFERROR(__xludf.DUMMYFUNCTION("""COMPUTED_VALUE"""),"")</f>
        <v/>
      </c>
      <c r="C13231" s="42" t="str">
        <f>IFERROR(__xludf.DUMMYFUNCTION("""COMPUTED_VALUE"""),"")</f>
        <v/>
      </c>
      <c r="D13231" s="42"/>
      <c r="E13231" s="42"/>
      <c r="F13231" s="48" t="str">
        <f>IFERROR(__xludf.DUMMYFUNCTION("""COMPUTED_VALUE"""),"")</f>
        <v/>
      </c>
      <c r="G13231" s="42" t="str">
        <f>IFERROR(__xludf.DUMMYFUNCTION("""COMPUTED_VALUE"""),"")</f>
        <v/>
      </c>
      <c r="H13231" s="42">
        <f t="shared" si="1"/>
        <v>3345</v>
      </c>
    </row>
    <row r="13232" ht="22.5" customHeight="1">
      <c r="B13232" s="42" t="str">
        <f>IFERROR(__xludf.DUMMYFUNCTION("""COMPUTED_VALUE"""),"")</f>
        <v/>
      </c>
      <c r="C13232" s="42" t="str">
        <f>IFERROR(__xludf.DUMMYFUNCTION("""COMPUTED_VALUE"""),"")</f>
        <v/>
      </c>
      <c r="D13232" s="42"/>
      <c r="E13232" s="42"/>
      <c r="F13232" s="48" t="str">
        <f>IFERROR(__xludf.DUMMYFUNCTION("""COMPUTED_VALUE"""),"")</f>
        <v/>
      </c>
      <c r="G13232" s="42" t="str">
        <f>IFERROR(__xludf.DUMMYFUNCTION("""COMPUTED_VALUE"""),"")</f>
        <v/>
      </c>
      <c r="H13232" s="42">
        <f t="shared" si="1"/>
        <v>3345</v>
      </c>
    </row>
    <row r="13233" ht="22.5" customHeight="1">
      <c r="B13233" s="42" t="str">
        <f>IFERROR(__xludf.DUMMYFUNCTION("""COMPUTED_VALUE"""),"")</f>
        <v/>
      </c>
      <c r="C13233" s="42" t="str">
        <f>IFERROR(__xludf.DUMMYFUNCTION("""COMPUTED_VALUE"""),"")</f>
        <v/>
      </c>
      <c r="D13233" s="42"/>
      <c r="E13233" s="42"/>
      <c r="F13233" s="48" t="str">
        <f>IFERROR(__xludf.DUMMYFUNCTION("""COMPUTED_VALUE"""),"")</f>
        <v/>
      </c>
      <c r="G13233" s="42" t="str">
        <f>IFERROR(__xludf.DUMMYFUNCTION("""COMPUTED_VALUE"""),"")</f>
        <v/>
      </c>
      <c r="H13233" s="42">
        <f t="shared" si="1"/>
        <v>3345</v>
      </c>
    </row>
    <row r="13234" ht="22.5" customHeight="1">
      <c r="B13234" s="42" t="str">
        <f>IFERROR(__xludf.DUMMYFUNCTION("""COMPUTED_VALUE"""),"")</f>
        <v/>
      </c>
      <c r="C13234" s="42" t="str">
        <f>IFERROR(__xludf.DUMMYFUNCTION("""COMPUTED_VALUE"""),"")</f>
        <v/>
      </c>
      <c r="D13234" s="42"/>
      <c r="E13234" s="42"/>
      <c r="F13234" s="48" t="str">
        <f>IFERROR(__xludf.DUMMYFUNCTION("""COMPUTED_VALUE"""),"")</f>
        <v/>
      </c>
      <c r="G13234" s="42" t="str">
        <f>IFERROR(__xludf.DUMMYFUNCTION("""COMPUTED_VALUE"""),"")</f>
        <v/>
      </c>
      <c r="H13234" s="42">
        <f t="shared" si="1"/>
        <v>3345</v>
      </c>
    </row>
    <row r="13235" ht="22.5" customHeight="1">
      <c r="B13235" s="42" t="str">
        <f>IFERROR(__xludf.DUMMYFUNCTION("""COMPUTED_VALUE"""),"")</f>
        <v/>
      </c>
      <c r="C13235" s="42" t="str">
        <f>IFERROR(__xludf.DUMMYFUNCTION("""COMPUTED_VALUE"""),"")</f>
        <v/>
      </c>
      <c r="D13235" s="42"/>
      <c r="E13235" s="42"/>
      <c r="F13235" s="48" t="str">
        <f>IFERROR(__xludf.DUMMYFUNCTION("""COMPUTED_VALUE"""),"")</f>
        <v/>
      </c>
      <c r="G13235" s="42" t="str">
        <f>IFERROR(__xludf.DUMMYFUNCTION("""COMPUTED_VALUE"""),"")</f>
        <v/>
      </c>
      <c r="H13235" s="42">
        <f t="shared" si="1"/>
        <v>3345</v>
      </c>
    </row>
    <row r="13236" ht="22.5" customHeight="1">
      <c r="B13236" s="42" t="str">
        <f>IFERROR(__xludf.DUMMYFUNCTION("""COMPUTED_VALUE"""),"")</f>
        <v/>
      </c>
      <c r="C13236" s="42" t="str">
        <f>IFERROR(__xludf.DUMMYFUNCTION("""COMPUTED_VALUE"""),"")</f>
        <v/>
      </c>
      <c r="D13236" s="42"/>
      <c r="E13236" s="42"/>
      <c r="F13236" s="48" t="str">
        <f>IFERROR(__xludf.DUMMYFUNCTION("""COMPUTED_VALUE"""),"")</f>
        <v/>
      </c>
      <c r="G13236" s="42" t="str">
        <f>IFERROR(__xludf.DUMMYFUNCTION("""COMPUTED_VALUE"""),"")</f>
        <v/>
      </c>
      <c r="H13236" s="42">
        <f t="shared" si="1"/>
        <v>3345</v>
      </c>
    </row>
    <row r="13237" ht="22.5" customHeight="1">
      <c r="B13237" s="42" t="str">
        <f>IFERROR(__xludf.DUMMYFUNCTION("""COMPUTED_VALUE"""),"")</f>
        <v/>
      </c>
      <c r="C13237" s="42" t="str">
        <f>IFERROR(__xludf.DUMMYFUNCTION("""COMPUTED_VALUE"""),"")</f>
        <v/>
      </c>
      <c r="D13237" s="42"/>
      <c r="E13237" s="42"/>
      <c r="F13237" s="48" t="str">
        <f>IFERROR(__xludf.DUMMYFUNCTION("""COMPUTED_VALUE"""),"")</f>
        <v/>
      </c>
      <c r="G13237" s="42" t="str">
        <f>IFERROR(__xludf.DUMMYFUNCTION("""COMPUTED_VALUE"""),"")</f>
        <v/>
      </c>
      <c r="H13237" s="42">
        <f t="shared" si="1"/>
        <v>3345</v>
      </c>
    </row>
    <row r="13238" ht="22.5" customHeight="1">
      <c r="B13238" s="42" t="str">
        <f>IFERROR(__xludf.DUMMYFUNCTION("""COMPUTED_VALUE"""),"")</f>
        <v/>
      </c>
      <c r="C13238" s="42" t="str">
        <f>IFERROR(__xludf.DUMMYFUNCTION("""COMPUTED_VALUE"""),"")</f>
        <v/>
      </c>
      <c r="D13238" s="42"/>
      <c r="E13238" s="42"/>
      <c r="F13238" s="48" t="str">
        <f>IFERROR(__xludf.DUMMYFUNCTION("""COMPUTED_VALUE"""),"")</f>
        <v/>
      </c>
      <c r="G13238" s="42" t="str">
        <f>IFERROR(__xludf.DUMMYFUNCTION("""COMPUTED_VALUE"""),"")</f>
        <v/>
      </c>
      <c r="H13238" s="42">
        <f t="shared" si="1"/>
        <v>3345</v>
      </c>
    </row>
    <row r="13239" ht="22.5" customHeight="1">
      <c r="B13239" s="42" t="str">
        <f>IFERROR(__xludf.DUMMYFUNCTION("""COMPUTED_VALUE"""),"")</f>
        <v/>
      </c>
      <c r="C13239" s="42" t="str">
        <f>IFERROR(__xludf.DUMMYFUNCTION("""COMPUTED_VALUE"""),"")</f>
        <v/>
      </c>
      <c r="D13239" s="42"/>
      <c r="E13239" s="42"/>
      <c r="F13239" s="48" t="str">
        <f>IFERROR(__xludf.DUMMYFUNCTION("""COMPUTED_VALUE"""),"")</f>
        <v/>
      </c>
      <c r="G13239" s="42" t="str">
        <f>IFERROR(__xludf.DUMMYFUNCTION("""COMPUTED_VALUE"""),"")</f>
        <v/>
      </c>
      <c r="H13239" s="42">
        <f t="shared" si="1"/>
        <v>3345</v>
      </c>
    </row>
    <row r="13240" ht="22.5" customHeight="1">
      <c r="B13240" s="42" t="str">
        <f>IFERROR(__xludf.DUMMYFUNCTION("""COMPUTED_VALUE"""),"")</f>
        <v/>
      </c>
      <c r="C13240" s="42" t="str">
        <f>IFERROR(__xludf.DUMMYFUNCTION("""COMPUTED_VALUE"""),"")</f>
        <v/>
      </c>
      <c r="D13240" s="42"/>
      <c r="E13240" s="42"/>
      <c r="F13240" s="48" t="str">
        <f>IFERROR(__xludf.DUMMYFUNCTION("""COMPUTED_VALUE"""),"")</f>
        <v/>
      </c>
      <c r="G13240" s="42" t="str">
        <f>IFERROR(__xludf.DUMMYFUNCTION("""COMPUTED_VALUE"""),"")</f>
        <v/>
      </c>
      <c r="H13240" s="42">
        <f t="shared" si="1"/>
        <v>3345</v>
      </c>
    </row>
    <row r="13241" ht="22.5" customHeight="1">
      <c r="B13241" s="42" t="str">
        <f>IFERROR(__xludf.DUMMYFUNCTION("""COMPUTED_VALUE"""),"")</f>
        <v/>
      </c>
      <c r="C13241" s="42" t="str">
        <f>IFERROR(__xludf.DUMMYFUNCTION("""COMPUTED_VALUE"""),"")</f>
        <v/>
      </c>
      <c r="D13241" s="42"/>
      <c r="E13241" s="42"/>
      <c r="F13241" s="48" t="str">
        <f>IFERROR(__xludf.DUMMYFUNCTION("""COMPUTED_VALUE"""),"")</f>
        <v/>
      </c>
      <c r="G13241" s="42" t="str">
        <f>IFERROR(__xludf.DUMMYFUNCTION("""COMPUTED_VALUE"""),"")</f>
        <v/>
      </c>
      <c r="H13241" s="42">
        <f t="shared" si="1"/>
        <v>3345</v>
      </c>
    </row>
    <row r="13242" ht="22.5" customHeight="1">
      <c r="B13242" s="42" t="str">
        <f>IFERROR(__xludf.DUMMYFUNCTION("""COMPUTED_VALUE"""),"")</f>
        <v/>
      </c>
      <c r="C13242" s="42" t="str">
        <f>IFERROR(__xludf.DUMMYFUNCTION("""COMPUTED_VALUE"""),"")</f>
        <v/>
      </c>
      <c r="D13242" s="42"/>
      <c r="E13242" s="42"/>
      <c r="F13242" s="48" t="str">
        <f>IFERROR(__xludf.DUMMYFUNCTION("""COMPUTED_VALUE"""),"")</f>
        <v/>
      </c>
      <c r="G13242" s="42" t="str">
        <f>IFERROR(__xludf.DUMMYFUNCTION("""COMPUTED_VALUE"""),"")</f>
        <v/>
      </c>
      <c r="H13242" s="42">
        <f t="shared" si="1"/>
        <v>3345</v>
      </c>
    </row>
    <row r="13243" ht="22.5" customHeight="1">
      <c r="B13243" s="42" t="str">
        <f>IFERROR(__xludf.DUMMYFUNCTION("""COMPUTED_VALUE"""),"")</f>
        <v/>
      </c>
      <c r="C13243" s="42" t="str">
        <f>IFERROR(__xludf.DUMMYFUNCTION("""COMPUTED_VALUE"""),"")</f>
        <v/>
      </c>
      <c r="D13243" s="42"/>
      <c r="E13243" s="42"/>
      <c r="F13243" s="48" t="str">
        <f>IFERROR(__xludf.DUMMYFUNCTION("""COMPUTED_VALUE"""),"")</f>
        <v/>
      </c>
      <c r="G13243" s="42" t="str">
        <f>IFERROR(__xludf.DUMMYFUNCTION("""COMPUTED_VALUE"""),"")</f>
        <v/>
      </c>
      <c r="H13243" s="42">
        <f t="shared" si="1"/>
        <v>3345</v>
      </c>
    </row>
    <row r="13244" ht="22.5" customHeight="1">
      <c r="B13244" s="42" t="str">
        <f>IFERROR(__xludf.DUMMYFUNCTION("""COMPUTED_VALUE"""),"")</f>
        <v/>
      </c>
      <c r="C13244" s="42" t="str">
        <f>IFERROR(__xludf.DUMMYFUNCTION("""COMPUTED_VALUE"""),"")</f>
        <v/>
      </c>
      <c r="D13244" s="42"/>
      <c r="E13244" s="42"/>
      <c r="F13244" s="48" t="str">
        <f>IFERROR(__xludf.DUMMYFUNCTION("""COMPUTED_VALUE"""),"")</f>
        <v/>
      </c>
      <c r="G13244" s="42" t="str">
        <f>IFERROR(__xludf.DUMMYFUNCTION("""COMPUTED_VALUE"""),"")</f>
        <v/>
      </c>
      <c r="H13244" s="42">
        <f t="shared" si="1"/>
        <v>3345</v>
      </c>
    </row>
    <row r="13245" ht="22.5" customHeight="1">
      <c r="B13245" s="42" t="str">
        <f>IFERROR(__xludf.DUMMYFUNCTION("""COMPUTED_VALUE"""),"")</f>
        <v/>
      </c>
      <c r="C13245" s="42" t="str">
        <f>IFERROR(__xludf.DUMMYFUNCTION("""COMPUTED_VALUE"""),"")</f>
        <v/>
      </c>
      <c r="D13245" s="42"/>
      <c r="E13245" s="42"/>
      <c r="F13245" s="48" t="str">
        <f>IFERROR(__xludf.DUMMYFUNCTION("""COMPUTED_VALUE"""),"")</f>
        <v/>
      </c>
      <c r="G13245" s="42" t="str">
        <f>IFERROR(__xludf.DUMMYFUNCTION("""COMPUTED_VALUE"""),"")</f>
        <v/>
      </c>
      <c r="H13245" s="42">
        <f t="shared" si="1"/>
        <v>3345</v>
      </c>
    </row>
    <row r="13246" ht="22.5" customHeight="1">
      <c r="B13246" s="42" t="str">
        <f>IFERROR(__xludf.DUMMYFUNCTION("""COMPUTED_VALUE"""),"")</f>
        <v/>
      </c>
      <c r="C13246" s="42" t="str">
        <f>IFERROR(__xludf.DUMMYFUNCTION("""COMPUTED_VALUE"""),"")</f>
        <v/>
      </c>
      <c r="D13246" s="42"/>
      <c r="E13246" s="42"/>
      <c r="F13246" s="48" t="str">
        <f>IFERROR(__xludf.DUMMYFUNCTION("""COMPUTED_VALUE"""),"")</f>
        <v/>
      </c>
      <c r="G13246" s="42" t="str">
        <f>IFERROR(__xludf.DUMMYFUNCTION("""COMPUTED_VALUE"""),"")</f>
        <v/>
      </c>
      <c r="H13246" s="42">
        <f t="shared" si="1"/>
        <v>3345</v>
      </c>
    </row>
    <row r="13247" ht="22.5" customHeight="1">
      <c r="B13247" s="42" t="str">
        <f>IFERROR(__xludf.DUMMYFUNCTION("""COMPUTED_VALUE"""),"")</f>
        <v/>
      </c>
      <c r="C13247" s="42" t="str">
        <f>IFERROR(__xludf.DUMMYFUNCTION("""COMPUTED_VALUE"""),"")</f>
        <v/>
      </c>
      <c r="D13247" s="42"/>
      <c r="E13247" s="42"/>
      <c r="F13247" s="48" t="str">
        <f>IFERROR(__xludf.DUMMYFUNCTION("""COMPUTED_VALUE"""),"")</f>
        <v/>
      </c>
      <c r="G13247" s="42" t="str">
        <f>IFERROR(__xludf.DUMMYFUNCTION("""COMPUTED_VALUE"""),"")</f>
        <v/>
      </c>
      <c r="H13247" s="42">
        <f t="shared" si="1"/>
        <v>3345</v>
      </c>
    </row>
    <row r="13248" ht="22.5" customHeight="1">
      <c r="B13248" s="42" t="str">
        <f>IFERROR(__xludf.DUMMYFUNCTION("""COMPUTED_VALUE"""),"")</f>
        <v/>
      </c>
      <c r="C13248" s="42" t="str">
        <f>IFERROR(__xludf.DUMMYFUNCTION("""COMPUTED_VALUE"""),"")</f>
        <v/>
      </c>
      <c r="D13248" s="42"/>
      <c r="E13248" s="42"/>
      <c r="F13248" s="48" t="str">
        <f>IFERROR(__xludf.DUMMYFUNCTION("""COMPUTED_VALUE"""),"")</f>
        <v/>
      </c>
      <c r="G13248" s="42" t="str">
        <f>IFERROR(__xludf.DUMMYFUNCTION("""COMPUTED_VALUE"""),"")</f>
        <v/>
      </c>
      <c r="H13248" s="42">
        <f t="shared" si="1"/>
        <v>3345</v>
      </c>
    </row>
    <row r="13249" ht="22.5" customHeight="1">
      <c r="B13249" s="42" t="str">
        <f>IFERROR(__xludf.DUMMYFUNCTION("""COMPUTED_VALUE"""),"")</f>
        <v/>
      </c>
      <c r="C13249" s="42" t="str">
        <f>IFERROR(__xludf.DUMMYFUNCTION("""COMPUTED_VALUE"""),"")</f>
        <v/>
      </c>
      <c r="D13249" s="42"/>
      <c r="E13249" s="42"/>
      <c r="F13249" s="48" t="str">
        <f>IFERROR(__xludf.DUMMYFUNCTION("""COMPUTED_VALUE"""),"")</f>
        <v/>
      </c>
      <c r="G13249" s="42" t="str">
        <f>IFERROR(__xludf.DUMMYFUNCTION("""COMPUTED_VALUE"""),"")</f>
        <v/>
      </c>
      <c r="H13249" s="42">
        <f t="shared" si="1"/>
        <v>3345</v>
      </c>
    </row>
    <row r="13250" ht="22.5" customHeight="1">
      <c r="B13250" s="42" t="str">
        <f>IFERROR(__xludf.DUMMYFUNCTION("""COMPUTED_VALUE"""),"")</f>
        <v/>
      </c>
      <c r="C13250" s="42" t="str">
        <f>IFERROR(__xludf.DUMMYFUNCTION("""COMPUTED_VALUE"""),"")</f>
        <v/>
      </c>
      <c r="D13250" s="42"/>
      <c r="E13250" s="42"/>
      <c r="F13250" s="48" t="str">
        <f>IFERROR(__xludf.DUMMYFUNCTION("""COMPUTED_VALUE"""),"")</f>
        <v/>
      </c>
      <c r="G13250" s="42" t="str">
        <f>IFERROR(__xludf.DUMMYFUNCTION("""COMPUTED_VALUE"""),"")</f>
        <v/>
      </c>
      <c r="H13250" s="42">
        <f t="shared" si="1"/>
        <v>3345</v>
      </c>
    </row>
    <row r="13251" ht="22.5" customHeight="1">
      <c r="B13251" s="42" t="str">
        <f>IFERROR(__xludf.DUMMYFUNCTION("""COMPUTED_VALUE"""),"")</f>
        <v/>
      </c>
      <c r="C13251" s="42" t="str">
        <f>IFERROR(__xludf.DUMMYFUNCTION("""COMPUTED_VALUE"""),"")</f>
        <v/>
      </c>
      <c r="D13251" s="42"/>
      <c r="E13251" s="42"/>
      <c r="F13251" s="48" t="str">
        <f>IFERROR(__xludf.DUMMYFUNCTION("""COMPUTED_VALUE"""),"")</f>
        <v/>
      </c>
      <c r="G13251" s="42" t="str">
        <f>IFERROR(__xludf.DUMMYFUNCTION("""COMPUTED_VALUE"""),"")</f>
        <v/>
      </c>
      <c r="H13251" s="42">
        <f t="shared" si="1"/>
        <v>3345</v>
      </c>
    </row>
    <row r="13252" ht="22.5" customHeight="1">
      <c r="B13252" s="42" t="str">
        <f>IFERROR(__xludf.DUMMYFUNCTION("""COMPUTED_VALUE"""),"")</f>
        <v/>
      </c>
      <c r="C13252" s="42" t="str">
        <f>IFERROR(__xludf.DUMMYFUNCTION("""COMPUTED_VALUE"""),"")</f>
        <v/>
      </c>
      <c r="D13252" s="42"/>
      <c r="E13252" s="42"/>
      <c r="F13252" s="48" t="str">
        <f>IFERROR(__xludf.DUMMYFUNCTION("""COMPUTED_VALUE"""),"")</f>
        <v/>
      </c>
      <c r="G13252" s="42" t="str">
        <f>IFERROR(__xludf.DUMMYFUNCTION("""COMPUTED_VALUE"""),"")</f>
        <v/>
      </c>
      <c r="H13252" s="42">
        <f t="shared" si="1"/>
        <v>3345</v>
      </c>
    </row>
    <row r="13253" ht="22.5" customHeight="1">
      <c r="B13253" s="42" t="str">
        <f>IFERROR(__xludf.DUMMYFUNCTION("""COMPUTED_VALUE"""),"")</f>
        <v/>
      </c>
      <c r="C13253" s="42" t="str">
        <f>IFERROR(__xludf.DUMMYFUNCTION("""COMPUTED_VALUE"""),"")</f>
        <v/>
      </c>
      <c r="D13253" s="42"/>
      <c r="E13253" s="42"/>
      <c r="F13253" s="48" t="str">
        <f>IFERROR(__xludf.DUMMYFUNCTION("""COMPUTED_VALUE"""),"")</f>
        <v/>
      </c>
      <c r="G13253" s="42" t="str">
        <f>IFERROR(__xludf.DUMMYFUNCTION("""COMPUTED_VALUE"""),"")</f>
        <v/>
      </c>
      <c r="H13253" s="42">
        <f t="shared" si="1"/>
        <v>3345</v>
      </c>
    </row>
    <row r="13254" ht="22.5" customHeight="1">
      <c r="B13254" s="42" t="str">
        <f>IFERROR(__xludf.DUMMYFUNCTION("""COMPUTED_VALUE"""),"")</f>
        <v/>
      </c>
      <c r="C13254" s="42" t="str">
        <f>IFERROR(__xludf.DUMMYFUNCTION("""COMPUTED_VALUE"""),"")</f>
        <v/>
      </c>
      <c r="D13254" s="42"/>
      <c r="E13254" s="42"/>
      <c r="F13254" s="48" t="str">
        <f>IFERROR(__xludf.DUMMYFUNCTION("""COMPUTED_VALUE"""),"")</f>
        <v/>
      </c>
      <c r="G13254" s="42" t="str">
        <f>IFERROR(__xludf.DUMMYFUNCTION("""COMPUTED_VALUE"""),"")</f>
        <v/>
      </c>
      <c r="H13254" s="42">
        <f t="shared" si="1"/>
        <v>3345</v>
      </c>
    </row>
    <row r="13255" ht="22.5" customHeight="1">
      <c r="B13255" s="42" t="str">
        <f>IFERROR(__xludf.DUMMYFUNCTION("""COMPUTED_VALUE"""),"")</f>
        <v/>
      </c>
      <c r="C13255" s="42" t="str">
        <f>IFERROR(__xludf.DUMMYFUNCTION("""COMPUTED_VALUE"""),"")</f>
        <v/>
      </c>
      <c r="D13255" s="42"/>
      <c r="E13255" s="42"/>
      <c r="F13255" s="48" t="str">
        <f>IFERROR(__xludf.DUMMYFUNCTION("""COMPUTED_VALUE"""),"")</f>
        <v/>
      </c>
      <c r="G13255" s="42" t="str">
        <f>IFERROR(__xludf.DUMMYFUNCTION("""COMPUTED_VALUE"""),"")</f>
        <v/>
      </c>
      <c r="H13255" s="42">
        <f t="shared" si="1"/>
        <v>3345</v>
      </c>
    </row>
    <row r="13256" ht="22.5" customHeight="1">
      <c r="B13256" s="42" t="str">
        <f>IFERROR(__xludf.DUMMYFUNCTION("""COMPUTED_VALUE"""),"")</f>
        <v/>
      </c>
      <c r="C13256" s="42" t="str">
        <f>IFERROR(__xludf.DUMMYFUNCTION("""COMPUTED_VALUE"""),"")</f>
        <v/>
      </c>
      <c r="D13256" s="42"/>
      <c r="E13256" s="42"/>
      <c r="F13256" s="48" t="str">
        <f>IFERROR(__xludf.DUMMYFUNCTION("""COMPUTED_VALUE"""),"")</f>
        <v/>
      </c>
      <c r="G13256" s="42" t="str">
        <f>IFERROR(__xludf.DUMMYFUNCTION("""COMPUTED_VALUE"""),"")</f>
        <v/>
      </c>
      <c r="H13256" s="42">
        <f t="shared" si="1"/>
        <v>3345</v>
      </c>
    </row>
    <row r="13257" ht="22.5" customHeight="1">
      <c r="B13257" s="42" t="str">
        <f>IFERROR(__xludf.DUMMYFUNCTION("""COMPUTED_VALUE"""),"")</f>
        <v/>
      </c>
      <c r="C13257" s="42" t="str">
        <f>IFERROR(__xludf.DUMMYFUNCTION("""COMPUTED_VALUE"""),"")</f>
        <v/>
      </c>
      <c r="D13257" s="42"/>
      <c r="E13257" s="42"/>
      <c r="F13257" s="48" t="str">
        <f>IFERROR(__xludf.DUMMYFUNCTION("""COMPUTED_VALUE"""),"")</f>
        <v/>
      </c>
      <c r="G13257" s="42" t="str">
        <f>IFERROR(__xludf.DUMMYFUNCTION("""COMPUTED_VALUE"""),"")</f>
        <v/>
      </c>
      <c r="H13257" s="42">
        <f t="shared" si="1"/>
        <v>3345</v>
      </c>
    </row>
    <row r="13258" ht="22.5" customHeight="1">
      <c r="B13258" s="42" t="str">
        <f>IFERROR(__xludf.DUMMYFUNCTION("""COMPUTED_VALUE"""),"")</f>
        <v/>
      </c>
      <c r="C13258" s="42" t="str">
        <f>IFERROR(__xludf.DUMMYFUNCTION("""COMPUTED_VALUE"""),"")</f>
        <v/>
      </c>
      <c r="D13258" s="42"/>
      <c r="E13258" s="42"/>
      <c r="F13258" s="48" t="str">
        <f>IFERROR(__xludf.DUMMYFUNCTION("""COMPUTED_VALUE"""),"")</f>
        <v/>
      </c>
      <c r="G13258" s="42" t="str">
        <f>IFERROR(__xludf.DUMMYFUNCTION("""COMPUTED_VALUE"""),"")</f>
        <v/>
      </c>
      <c r="H13258" s="42">
        <f t="shared" si="1"/>
        <v>3345</v>
      </c>
    </row>
    <row r="13259" ht="22.5" customHeight="1">
      <c r="B13259" s="42" t="str">
        <f>IFERROR(__xludf.DUMMYFUNCTION("""COMPUTED_VALUE"""),"")</f>
        <v/>
      </c>
      <c r="C13259" s="42" t="str">
        <f>IFERROR(__xludf.DUMMYFUNCTION("""COMPUTED_VALUE"""),"")</f>
        <v/>
      </c>
      <c r="D13259" s="42"/>
      <c r="E13259" s="42"/>
      <c r="F13259" s="48" t="str">
        <f>IFERROR(__xludf.DUMMYFUNCTION("""COMPUTED_VALUE"""),"")</f>
        <v/>
      </c>
      <c r="G13259" s="42" t="str">
        <f>IFERROR(__xludf.DUMMYFUNCTION("""COMPUTED_VALUE"""),"")</f>
        <v/>
      </c>
      <c r="H13259" s="42">
        <f t="shared" si="1"/>
        <v>3345</v>
      </c>
    </row>
    <row r="13260" ht="22.5" customHeight="1">
      <c r="B13260" s="42" t="str">
        <f>IFERROR(__xludf.DUMMYFUNCTION("""COMPUTED_VALUE"""),"")</f>
        <v/>
      </c>
      <c r="C13260" s="42" t="str">
        <f>IFERROR(__xludf.DUMMYFUNCTION("""COMPUTED_VALUE"""),"")</f>
        <v/>
      </c>
      <c r="D13260" s="42"/>
      <c r="E13260" s="42"/>
      <c r="F13260" s="48" t="str">
        <f>IFERROR(__xludf.DUMMYFUNCTION("""COMPUTED_VALUE"""),"")</f>
        <v/>
      </c>
      <c r="G13260" s="42" t="str">
        <f>IFERROR(__xludf.DUMMYFUNCTION("""COMPUTED_VALUE"""),"")</f>
        <v/>
      </c>
      <c r="H13260" s="42">
        <f t="shared" si="1"/>
        <v>3345</v>
      </c>
    </row>
    <row r="13261" ht="22.5" customHeight="1">
      <c r="B13261" s="42" t="str">
        <f>IFERROR(__xludf.DUMMYFUNCTION("""COMPUTED_VALUE"""),"")</f>
        <v/>
      </c>
      <c r="C13261" s="42" t="str">
        <f>IFERROR(__xludf.DUMMYFUNCTION("""COMPUTED_VALUE"""),"")</f>
        <v/>
      </c>
      <c r="D13261" s="42"/>
      <c r="E13261" s="42"/>
      <c r="F13261" s="48" t="str">
        <f>IFERROR(__xludf.DUMMYFUNCTION("""COMPUTED_VALUE"""),"")</f>
        <v/>
      </c>
      <c r="G13261" s="42" t="str">
        <f>IFERROR(__xludf.DUMMYFUNCTION("""COMPUTED_VALUE"""),"")</f>
        <v/>
      </c>
      <c r="H13261" s="42">
        <f t="shared" si="1"/>
        <v>3345</v>
      </c>
    </row>
    <row r="13262" ht="22.5" customHeight="1">
      <c r="B13262" s="42" t="str">
        <f>IFERROR(__xludf.DUMMYFUNCTION("""COMPUTED_VALUE"""),"")</f>
        <v/>
      </c>
      <c r="C13262" s="42" t="str">
        <f>IFERROR(__xludf.DUMMYFUNCTION("""COMPUTED_VALUE"""),"")</f>
        <v/>
      </c>
      <c r="D13262" s="42"/>
      <c r="E13262" s="42"/>
      <c r="F13262" s="48" t="str">
        <f>IFERROR(__xludf.DUMMYFUNCTION("""COMPUTED_VALUE"""),"")</f>
        <v/>
      </c>
      <c r="G13262" s="42" t="str">
        <f>IFERROR(__xludf.DUMMYFUNCTION("""COMPUTED_VALUE"""),"")</f>
        <v/>
      </c>
      <c r="H13262" s="42">
        <f t="shared" si="1"/>
        <v>3345</v>
      </c>
    </row>
    <row r="13263" ht="22.5" customHeight="1">
      <c r="B13263" s="42" t="str">
        <f>IFERROR(__xludf.DUMMYFUNCTION("""COMPUTED_VALUE"""),"")</f>
        <v/>
      </c>
      <c r="C13263" s="42" t="str">
        <f>IFERROR(__xludf.DUMMYFUNCTION("""COMPUTED_VALUE"""),"")</f>
        <v/>
      </c>
      <c r="D13263" s="42"/>
      <c r="E13263" s="42"/>
      <c r="F13263" s="48" t="str">
        <f>IFERROR(__xludf.DUMMYFUNCTION("""COMPUTED_VALUE"""),"")</f>
        <v/>
      </c>
      <c r="G13263" s="42" t="str">
        <f>IFERROR(__xludf.DUMMYFUNCTION("""COMPUTED_VALUE"""),"")</f>
        <v/>
      </c>
      <c r="H13263" s="42">
        <f t="shared" si="1"/>
        <v>3345</v>
      </c>
    </row>
    <row r="13264" ht="22.5" customHeight="1">
      <c r="B13264" s="42" t="str">
        <f>IFERROR(__xludf.DUMMYFUNCTION("""COMPUTED_VALUE"""),"")</f>
        <v/>
      </c>
      <c r="C13264" s="42" t="str">
        <f>IFERROR(__xludf.DUMMYFUNCTION("""COMPUTED_VALUE"""),"")</f>
        <v/>
      </c>
      <c r="D13264" s="42"/>
      <c r="E13264" s="42"/>
      <c r="F13264" s="48" t="str">
        <f>IFERROR(__xludf.DUMMYFUNCTION("""COMPUTED_VALUE"""),"")</f>
        <v/>
      </c>
      <c r="G13264" s="42" t="str">
        <f>IFERROR(__xludf.DUMMYFUNCTION("""COMPUTED_VALUE"""),"")</f>
        <v/>
      </c>
      <c r="H13264" s="42">
        <f t="shared" si="1"/>
        <v>3345</v>
      </c>
    </row>
    <row r="13265" ht="22.5" customHeight="1">
      <c r="B13265" s="42" t="str">
        <f>IFERROR(__xludf.DUMMYFUNCTION("""COMPUTED_VALUE"""),"")</f>
        <v/>
      </c>
      <c r="C13265" s="42" t="str">
        <f>IFERROR(__xludf.DUMMYFUNCTION("""COMPUTED_VALUE"""),"")</f>
        <v/>
      </c>
      <c r="D13265" s="42"/>
      <c r="E13265" s="42"/>
      <c r="F13265" s="48" t="str">
        <f>IFERROR(__xludf.DUMMYFUNCTION("""COMPUTED_VALUE"""),"")</f>
        <v/>
      </c>
      <c r="G13265" s="42" t="str">
        <f>IFERROR(__xludf.DUMMYFUNCTION("""COMPUTED_VALUE"""),"")</f>
        <v/>
      </c>
      <c r="H13265" s="42">
        <f t="shared" si="1"/>
        <v>3345</v>
      </c>
    </row>
    <row r="13266" ht="22.5" customHeight="1">
      <c r="B13266" s="42" t="str">
        <f>IFERROR(__xludf.DUMMYFUNCTION("""COMPUTED_VALUE"""),"")</f>
        <v/>
      </c>
      <c r="C13266" s="42" t="str">
        <f>IFERROR(__xludf.DUMMYFUNCTION("""COMPUTED_VALUE"""),"")</f>
        <v/>
      </c>
      <c r="D13266" s="42"/>
      <c r="E13266" s="42"/>
      <c r="F13266" s="48" t="str">
        <f>IFERROR(__xludf.DUMMYFUNCTION("""COMPUTED_VALUE"""),"")</f>
        <v/>
      </c>
      <c r="G13266" s="42" t="str">
        <f>IFERROR(__xludf.DUMMYFUNCTION("""COMPUTED_VALUE"""),"")</f>
        <v/>
      </c>
      <c r="H13266" s="42">
        <f t="shared" si="1"/>
        <v>3345</v>
      </c>
    </row>
    <row r="13267" ht="22.5" customHeight="1">
      <c r="B13267" s="42" t="str">
        <f>IFERROR(__xludf.DUMMYFUNCTION("""COMPUTED_VALUE"""),"")</f>
        <v/>
      </c>
      <c r="C13267" s="42" t="str">
        <f>IFERROR(__xludf.DUMMYFUNCTION("""COMPUTED_VALUE"""),"")</f>
        <v/>
      </c>
      <c r="D13267" s="42"/>
      <c r="E13267" s="42"/>
      <c r="F13267" s="48" t="str">
        <f>IFERROR(__xludf.DUMMYFUNCTION("""COMPUTED_VALUE"""),"")</f>
        <v/>
      </c>
      <c r="G13267" s="42" t="str">
        <f>IFERROR(__xludf.DUMMYFUNCTION("""COMPUTED_VALUE"""),"")</f>
        <v/>
      </c>
      <c r="H13267" s="42">
        <f t="shared" si="1"/>
        <v>3345</v>
      </c>
    </row>
    <row r="13268" ht="22.5" customHeight="1">
      <c r="B13268" s="42" t="str">
        <f>IFERROR(__xludf.DUMMYFUNCTION("""COMPUTED_VALUE"""),"")</f>
        <v/>
      </c>
      <c r="C13268" s="42" t="str">
        <f>IFERROR(__xludf.DUMMYFUNCTION("""COMPUTED_VALUE"""),"")</f>
        <v/>
      </c>
      <c r="D13268" s="42"/>
      <c r="E13268" s="42"/>
      <c r="F13268" s="48" t="str">
        <f>IFERROR(__xludf.DUMMYFUNCTION("""COMPUTED_VALUE"""),"")</f>
        <v/>
      </c>
      <c r="G13268" s="42" t="str">
        <f>IFERROR(__xludf.DUMMYFUNCTION("""COMPUTED_VALUE"""),"")</f>
        <v/>
      </c>
      <c r="H13268" s="42">
        <f t="shared" si="1"/>
        <v>3345</v>
      </c>
    </row>
    <row r="13269" ht="22.5" customHeight="1">
      <c r="B13269" s="42" t="str">
        <f>IFERROR(__xludf.DUMMYFUNCTION("""COMPUTED_VALUE"""),"")</f>
        <v/>
      </c>
      <c r="C13269" s="42" t="str">
        <f>IFERROR(__xludf.DUMMYFUNCTION("""COMPUTED_VALUE"""),"")</f>
        <v/>
      </c>
      <c r="D13269" s="42"/>
      <c r="E13269" s="42"/>
      <c r="F13269" s="48" t="str">
        <f>IFERROR(__xludf.DUMMYFUNCTION("""COMPUTED_VALUE"""),"")</f>
        <v/>
      </c>
      <c r="G13269" s="42" t="str">
        <f>IFERROR(__xludf.DUMMYFUNCTION("""COMPUTED_VALUE"""),"")</f>
        <v/>
      </c>
      <c r="H13269" s="42">
        <f t="shared" si="1"/>
        <v>3345</v>
      </c>
    </row>
    <row r="13270" ht="22.5" customHeight="1">
      <c r="B13270" s="42" t="str">
        <f>IFERROR(__xludf.DUMMYFUNCTION("""COMPUTED_VALUE"""),"")</f>
        <v/>
      </c>
      <c r="C13270" s="42" t="str">
        <f>IFERROR(__xludf.DUMMYFUNCTION("""COMPUTED_VALUE"""),"")</f>
        <v/>
      </c>
      <c r="D13270" s="42"/>
      <c r="E13270" s="42"/>
      <c r="F13270" s="48" t="str">
        <f>IFERROR(__xludf.DUMMYFUNCTION("""COMPUTED_VALUE"""),"")</f>
        <v/>
      </c>
      <c r="G13270" s="42" t="str">
        <f>IFERROR(__xludf.DUMMYFUNCTION("""COMPUTED_VALUE"""),"")</f>
        <v/>
      </c>
      <c r="H13270" s="42">
        <f t="shared" si="1"/>
        <v>3345</v>
      </c>
    </row>
    <row r="13271" ht="22.5" customHeight="1">
      <c r="B13271" s="42" t="str">
        <f>IFERROR(__xludf.DUMMYFUNCTION("""COMPUTED_VALUE"""),"")</f>
        <v/>
      </c>
      <c r="C13271" s="42" t="str">
        <f>IFERROR(__xludf.DUMMYFUNCTION("""COMPUTED_VALUE"""),"")</f>
        <v/>
      </c>
      <c r="D13271" s="42"/>
      <c r="E13271" s="42"/>
      <c r="F13271" s="48" t="str">
        <f>IFERROR(__xludf.DUMMYFUNCTION("""COMPUTED_VALUE"""),"")</f>
        <v/>
      </c>
      <c r="G13271" s="42" t="str">
        <f>IFERROR(__xludf.DUMMYFUNCTION("""COMPUTED_VALUE"""),"")</f>
        <v/>
      </c>
      <c r="H13271" s="42">
        <f t="shared" si="1"/>
        <v>3345</v>
      </c>
    </row>
    <row r="13272" ht="22.5" customHeight="1">
      <c r="B13272" s="42" t="str">
        <f>IFERROR(__xludf.DUMMYFUNCTION("""COMPUTED_VALUE"""),"")</f>
        <v/>
      </c>
      <c r="C13272" s="42" t="str">
        <f>IFERROR(__xludf.DUMMYFUNCTION("""COMPUTED_VALUE"""),"")</f>
        <v/>
      </c>
      <c r="D13272" s="42"/>
      <c r="E13272" s="42"/>
      <c r="F13272" s="48" t="str">
        <f>IFERROR(__xludf.DUMMYFUNCTION("""COMPUTED_VALUE"""),"")</f>
        <v/>
      </c>
      <c r="G13272" s="42" t="str">
        <f>IFERROR(__xludf.DUMMYFUNCTION("""COMPUTED_VALUE"""),"")</f>
        <v/>
      </c>
      <c r="H13272" s="42">
        <f t="shared" si="1"/>
        <v>3345</v>
      </c>
    </row>
    <row r="13273" ht="22.5" customHeight="1">
      <c r="B13273" s="42" t="str">
        <f>IFERROR(__xludf.DUMMYFUNCTION("""COMPUTED_VALUE"""),"")</f>
        <v/>
      </c>
      <c r="C13273" s="42" t="str">
        <f>IFERROR(__xludf.DUMMYFUNCTION("""COMPUTED_VALUE"""),"")</f>
        <v/>
      </c>
      <c r="D13273" s="42"/>
      <c r="E13273" s="42"/>
      <c r="F13273" s="48" t="str">
        <f>IFERROR(__xludf.DUMMYFUNCTION("""COMPUTED_VALUE"""),"")</f>
        <v/>
      </c>
      <c r="G13273" s="42" t="str">
        <f>IFERROR(__xludf.DUMMYFUNCTION("""COMPUTED_VALUE"""),"")</f>
        <v/>
      </c>
      <c r="H13273" s="42">
        <f t="shared" si="1"/>
        <v>3345</v>
      </c>
    </row>
    <row r="13274" ht="22.5" customHeight="1">
      <c r="B13274" s="42" t="str">
        <f>IFERROR(__xludf.DUMMYFUNCTION("""COMPUTED_VALUE"""),"")</f>
        <v/>
      </c>
      <c r="C13274" s="42" t="str">
        <f>IFERROR(__xludf.DUMMYFUNCTION("""COMPUTED_VALUE"""),"")</f>
        <v/>
      </c>
      <c r="D13274" s="42"/>
      <c r="E13274" s="42"/>
      <c r="F13274" s="48" t="str">
        <f>IFERROR(__xludf.DUMMYFUNCTION("""COMPUTED_VALUE"""),"")</f>
        <v/>
      </c>
      <c r="G13274" s="42" t="str">
        <f>IFERROR(__xludf.DUMMYFUNCTION("""COMPUTED_VALUE"""),"")</f>
        <v/>
      </c>
      <c r="H13274" s="42">
        <f t="shared" si="1"/>
        <v>3345</v>
      </c>
    </row>
    <row r="13275" ht="22.5" customHeight="1">
      <c r="B13275" s="42" t="str">
        <f>IFERROR(__xludf.DUMMYFUNCTION("""COMPUTED_VALUE"""),"")</f>
        <v/>
      </c>
      <c r="C13275" s="42" t="str">
        <f>IFERROR(__xludf.DUMMYFUNCTION("""COMPUTED_VALUE"""),"")</f>
        <v/>
      </c>
      <c r="D13275" s="42"/>
      <c r="E13275" s="42"/>
      <c r="F13275" s="48" t="str">
        <f>IFERROR(__xludf.DUMMYFUNCTION("""COMPUTED_VALUE"""),"")</f>
        <v/>
      </c>
      <c r="G13275" s="42" t="str">
        <f>IFERROR(__xludf.DUMMYFUNCTION("""COMPUTED_VALUE"""),"")</f>
        <v/>
      </c>
      <c r="H13275" s="42">
        <f t="shared" si="1"/>
        <v>3345</v>
      </c>
    </row>
    <row r="13276" ht="22.5" customHeight="1">
      <c r="B13276" s="42" t="str">
        <f>IFERROR(__xludf.DUMMYFUNCTION("""COMPUTED_VALUE"""),"")</f>
        <v/>
      </c>
      <c r="C13276" s="42" t="str">
        <f>IFERROR(__xludf.DUMMYFUNCTION("""COMPUTED_VALUE"""),"")</f>
        <v/>
      </c>
      <c r="D13276" s="42"/>
      <c r="E13276" s="42"/>
      <c r="F13276" s="48" t="str">
        <f>IFERROR(__xludf.DUMMYFUNCTION("""COMPUTED_VALUE"""),"")</f>
        <v/>
      </c>
      <c r="G13276" s="42" t="str">
        <f>IFERROR(__xludf.DUMMYFUNCTION("""COMPUTED_VALUE"""),"")</f>
        <v/>
      </c>
      <c r="H13276" s="42">
        <f t="shared" si="1"/>
        <v>3345</v>
      </c>
    </row>
    <row r="13277" ht="22.5" customHeight="1">
      <c r="B13277" s="42" t="str">
        <f>IFERROR(__xludf.DUMMYFUNCTION("""COMPUTED_VALUE"""),"")</f>
        <v/>
      </c>
      <c r="C13277" s="42" t="str">
        <f>IFERROR(__xludf.DUMMYFUNCTION("""COMPUTED_VALUE"""),"")</f>
        <v/>
      </c>
      <c r="D13277" s="42"/>
      <c r="E13277" s="42"/>
      <c r="F13277" s="48" t="str">
        <f>IFERROR(__xludf.DUMMYFUNCTION("""COMPUTED_VALUE"""),"")</f>
        <v/>
      </c>
      <c r="G13277" s="42" t="str">
        <f>IFERROR(__xludf.DUMMYFUNCTION("""COMPUTED_VALUE"""),"")</f>
        <v/>
      </c>
      <c r="H13277" s="42">
        <f t="shared" si="1"/>
        <v>3345</v>
      </c>
    </row>
    <row r="13278" ht="22.5" customHeight="1">
      <c r="B13278" s="42" t="str">
        <f>IFERROR(__xludf.DUMMYFUNCTION("""COMPUTED_VALUE"""),"")</f>
        <v/>
      </c>
      <c r="C13278" s="42" t="str">
        <f>IFERROR(__xludf.DUMMYFUNCTION("""COMPUTED_VALUE"""),"")</f>
        <v/>
      </c>
      <c r="D13278" s="42"/>
      <c r="E13278" s="42"/>
      <c r="F13278" s="48" t="str">
        <f>IFERROR(__xludf.DUMMYFUNCTION("""COMPUTED_VALUE"""),"")</f>
        <v/>
      </c>
      <c r="G13278" s="42" t="str">
        <f>IFERROR(__xludf.DUMMYFUNCTION("""COMPUTED_VALUE"""),"")</f>
        <v/>
      </c>
      <c r="H13278" s="42">
        <f t="shared" si="1"/>
        <v>3345</v>
      </c>
    </row>
    <row r="13279" ht="22.5" customHeight="1">
      <c r="B13279" s="42" t="str">
        <f>IFERROR(__xludf.DUMMYFUNCTION("""COMPUTED_VALUE"""),"")</f>
        <v/>
      </c>
      <c r="C13279" s="42" t="str">
        <f>IFERROR(__xludf.DUMMYFUNCTION("""COMPUTED_VALUE"""),"")</f>
        <v/>
      </c>
      <c r="D13279" s="42"/>
      <c r="E13279" s="42"/>
      <c r="F13279" s="48" t="str">
        <f>IFERROR(__xludf.DUMMYFUNCTION("""COMPUTED_VALUE"""),"")</f>
        <v/>
      </c>
      <c r="G13279" s="42" t="str">
        <f>IFERROR(__xludf.DUMMYFUNCTION("""COMPUTED_VALUE"""),"")</f>
        <v/>
      </c>
      <c r="H13279" s="42">
        <f t="shared" si="1"/>
        <v>3345</v>
      </c>
    </row>
    <row r="13280" ht="22.5" customHeight="1">
      <c r="B13280" s="42" t="str">
        <f>IFERROR(__xludf.DUMMYFUNCTION("""COMPUTED_VALUE"""),"")</f>
        <v/>
      </c>
      <c r="C13280" s="42" t="str">
        <f>IFERROR(__xludf.DUMMYFUNCTION("""COMPUTED_VALUE"""),"")</f>
        <v/>
      </c>
      <c r="D13280" s="42"/>
      <c r="E13280" s="42"/>
      <c r="F13280" s="48" t="str">
        <f>IFERROR(__xludf.DUMMYFUNCTION("""COMPUTED_VALUE"""),"")</f>
        <v/>
      </c>
      <c r="G13280" s="42" t="str">
        <f>IFERROR(__xludf.DUMMYFUNCTION("""COMPUTED_VALUE"""),"")</f>
        <v/>
      </c>
      <c r="H13280" s="42">
        <f t="shared" si="1"/>
        <v>3345</v>
      </c>
    </row>
    <row r="13281" ht="22.5" customHeight="1">
      <c r="B13281" s="42" t="str">
        <f>IFERROR(__xludf.DUMMYFUNCTION("""COMPUTED_VALUE"""),"")</f>
        <v/>
      </c>
      <c r="C13281" s="42" t="str">
        <f>IFERROR(__xludf.DUMMYFUNCTION("""COMPUTED_VALUE"""),"")</f>
        <v/>
      </c>
      <c r="D13281" s="42"/>
      <c r="E13281" s="42"/>
      <c r="F13281" s="48" t="str">
        <f>IFERROR(__xludf.DUMMYFUNCTION("""COMPUTED_VALUE"""),"")</f>
        <v/>
      </c>
      <c r="G13281" s="42" t="str">
        <f>IFERROR(__xludf.DUMMYFUNCTION("""COMPUTED_VALUE"""),"")</f>
        <v/>
      </c>
      <c r="H13281" s="42">
        <f t="shared" si="1"/>
        <v>3345</v>
      </c>
    </row>
    <row r="13282" ht="22.5" customHeight="1">
      <c r="B13282" s="42" t="str">
        <f>IFERROR(__xludf.DUMMYFUNCTION("""COMPUTED_VALUE"""),"")</f>
        <v/>
      </c>
      <c r="C13282" s="42" t="str">
        <f>IFERROR(__xludf.DUMMYFUNCTION("""COMPUTED_VALUE"""),"")</f>
        <v/>
      </c>
      <c r="D13282" s="42"/>
      <c r="E13282" s="42"/>
      <c r="F13282" s="48" t="str">
        <f>IFERROR(__xludf.DUMMYFUNCTION("""COMPUTED_VALUE"""),"")</f>
        <v/>
      </c>
      <c r="G13282" s="42" t="str">
        <f>IFERROR(__xludf.DUMMYFUNCTION("""COMPUTED_VALUE"""),"")</f>
        <v/>
      </c>
      <c r="H13282" s="42">
        <f t="shared" si="1"/>
        <v>3345</v>
      </c>
    </row>
    <row r="13283" ht="22.5" customHeight="1">
      <c r="B13283" s="42" t="str">
        <f>IFERROR(__xludf.DUMMYFUNCTION("""COMPUTED_VALUE"""),"")</f>
        <v/>
      </c>
      <c r="C13283" s="42" t="str">
        <f>IFERROR(__xludf.DUMMYFUNCTION("""COMPUTED_VALUE"""),"")</f>
        <v/>
      </c>
      <c r="D13283" s="42"/>
      <c r="E13283" s="42"/>
      <c r="F13283" s="48" t="str">
        <f>IFERROR(__xludf.DUMMYFUNCTION("""COMPUTED_VALUE"""),"")</f>
        <v/>
      </c>
      <c r="G13283" s="42" t="str">
        <f>IFERROR(__xludf.DUMMYFUNCTION("""COMPUTED_VALUE"""),"")</f>
        <v/>
      </c>
      <c r="H13283" s="42">
        <f t="shared" si="1"/>
        <v>3345</v>
      </c>
    </row>
    <row r="13284" ht="22.5" customHeight="1">
      <c r="B13284" s="42" t="str">
        <f>IFERROR(__xludf.DUMMYFUNCTION("""COMPUTED_VALUE"""),"")</f>
        <v/>
      </c>
      <c r="C13284" s="42" t="str">
        <f>IFERROR(__xludf.DUMMYFUNCTION("""COMPUTED_VALUE"""),"")</f>
        <v/>
      </c>
      <c r="D13284" s="42"/>
      <c r="E13284" s="42"/>
      <c r="F13284" s="48" t="str">
        <f>IFERROR(__xludf.DUMMYFUNCTION("""COMPUTED_VALUE"""),"")</f>
        <v/>
      </c>
      <c r="G13284" s="42" t="str">
        <f>IFERROR(__xludf.DUMMYFUNCTION("""COMPUTED_VALUE"""),"")</f>
        <v/>
      </c>
      <c r="H13284" s="42">
        <f t="shared" si="1"/>
        <v>3345</v>
      </c>
    </row>
    <row r="13285" ht="22.5" customHeight="1">
      <c r="B13285" s="42" t="str">
        <f>IFERROR(__xludf.DUMMYFUNCTION("""COMPUTED_VALUE"""),"")</f>
        <v/>
      </c>
      <c r="C13285" s="42" t="str">
        <f>IFERROR(__xludf.DUMMYFUNCTION("""COMPUTED_VALUE"""),"")</f>
        <v/>
      </c>
      <c r="D13285" s="42"/>
      <c r="E13285" s="42"/>
      <c r="F13285" s="48" t="str">
        <f>IFERROR(__xludf.DUMMYFUNCTION("""COMPUTED_VALUE"""),"")</f>
        <v/>
      </c>
      <c r="G13285" s="42" t="str">
        <f>IFERROR(__xludf.DUMMYFUNCTION("""COMPUTED_VALUE"""),"")</f>
        <v/>
      </c>
      <c r="H13285" s="42">
        <f t="shared" si="1"/>
        <v>3345</v>
      </c>
    </row>
    <row r="13286" ht="22.5" customHeight="1">
      <c r="B13286" s="42" t="str">
        <f>IFERROR(__xludf.DUMMYFUNCTION("""COMPUTED_VALUE"""),"")</f>
        <v/>
      </c>
      <c r="C13286" s="42" t="str">
        <f>IFERROR(__xludf.DUMMYFUNCTION("""COMPUTED_VALUE"""),"")</f>
        <v/>
      </c>
      <c r="D13286" s="42"/>
      <c r="E13286" s="42"/>
      <c r="F13286" s="48" t="str">
        <f>IFERROR(__xludf.DUMMYFUNCTION("""COMPUTED_VALUE"""),"")</f>
        <v/>
      </c>
      <c r="G13286" s="42" t="str">
        <f>IFERROR(__xludf.DUMMYFUNCTION("""COMPUTED_VALUE"""),"")</f>
        <v/>
      </c>
      <c r="H13286" s="42">
        <f t="shared" si="1"/>
        <v>3345</v>
      </c>
    </row>
    <row r="13287" ht="22.5" customHeight="1">
      <c r="B13287" s="42" t="str">
        <f>IFERROR(__xludf.DUMMYFUNCTION("""COMPUTED_VALUE"""),"")</f>
        <v/>
      </c>
      <c r="C13287" s="42" t="str">
        <f>IFERROR(__xludf.DUMMYFUNCTION("""COMPUTED_VALUE"""),"")</f>
        <v/>
      </c>
      <c r="D13287" s="42"/>
      <c r="E13287" s="42"/>
      <c r="F13287" s="48" t="str">
        <f>IFERROR(__xludf.DUMMYFUNCTION("""COMPUTED_VALUE"""),"")</f>
        <v/>
      </c>
      <c r="G13287" s="42" t="str">
        <f>IFERROR(__xludf.DUMMYFUNCTION("""COMPUTED_VALUE"""),"")</f>
        <v/>
      </c>
      <c r="H13287" s="42">
        <f t="shared" si="1"/>
        <v>3345</v>
      </c>
    </row>
    <row r="13288" ht="22.5" customHeight="1">
      <c r="B13288" s="42" t="str">
        <f>IFERROR(__xludf.DUMMYFUNCTION("""COMPUTED_VALUE"""),"")</f>
        <v/>
      </c>
      <c r="C13288" s="42" t="str">
        <f>IFERROR(__xludf.DUMMYFUNCTION("""COMPUTED_VALUE"""),"")</f>
        <v/>
      </c>
      <c r="D13288" s="42"/>
      <c r="E13288" s="42"/>
      <c r="F13288" s="48" t="str">
        <f>IFERROR(__xludf.DUMMYFUNCTION("""COMPUTED_VALUE"""),"")</f>
        <v/>
      </c>
      <c r="G13288" s="42" t="str">
        <f>IFERROR(__xludf.DUMMYFUNCTION("""COMPUTED_VALUE"""),"")</f>
        <v/>
      </c>
      <c r="H13288" s="42">
        <f t="shared" si="1"/>
        <v>3345</v>
      </c>
    </row>
    <row r="13289" ht="22.5" customHeight="1">
      <c r="B13289" s="42" t="str">
        <f>IFERROR(__xludf.DUMMYFUNCTION("""COMPUTED_VALUE"""),"")</f>
        <v/>
      </c>
      <c r="C13289" s="42" t="str">
        <f>IFERROR(__xludf.DUMMYFUNCTION("""COMPUTED_VALUE"""),"")</f>
        <v/>
      </c>
      <c r="D13289" s="42"/>
      <c r="E13289" s="42"/>
      <c r="F13289" s="48" t="str">
        <f>IFERROR(__xludf.DUMMYFUNCTION("""COMPUTED_VALUE"""),"")</f>
        <v/>
      </c>
      <c r="G13289" s="42" t="str">
        <f>IFERROR(__xludf.DUMMYFUNCTION("""COMPUTED_VALUE"""),"")</f>
        <v/>
      </c>
      <c r="H13289" s="42">
        <f t="shared" si="1"/>
        <v>3345</v>
      </c>
    </row>
    <row r="13290" ht="22.5" customHeight="1">
      <c r="B13290" s="42" t="str">
        <f>IFERROR(__xludf.DUMMYFUNCTION("""COMPUTED_VALUE"""),"")</f>
        <v/>
      </c>
      <c r="C13290" s="42" t="str">
        <f>IFERROR(__xludf.DUMMYFUNCTION("""COMPUTED_VALUE"""),"")</f>
        <v/>
      </c>
      <c r="D13290" s="42"/>
      <c r="E13290" s="42"/>
      <c r="F13290" s="48" t="str">
        <f>IFERROR(__xludf.DUMMYFUNCTION("""COMPUTED_VALUE"""),"")</f>
        <v/>
      </c>
      <c r="G13290" s="42" t="str">
        <f>IFERROR(__xludf.DUMMYFUNCTION("""COMPUTED_VALUE"""),"")</f>
        <v/>
      </c>
      <c r="H13290" s="42">
        <f t="shared" si="1"/>
        <v>3345</v>
      </c>
    </row>
    <row r="13291" ht="22.5" customHeight="1">
      <c r="B13291" s="42" t="str">
        <f>IFERROR(__xludf.DUMMYFUNCTION("""COMPUTED_VALUE"""),"")</f>
        <v/>
      </c>
      <c r="C13291" s="42" t="str">
        <f>IFERROR(__xludf.DUMMYFUNCTION("""COMPUTED_VALUE"""),"")</f>
        <v/>
      </c>
      <c r="D13291" s="42"/>
      <c r="E13291" s="42"/>
      <c r="F13291" s="48" t="str">
        <f>IFERROR(__xludf.DUMMYFUNCTION("""COMPUTED_VALUE"""),"")</f>
        <v/>
      </c>
      <c r="G13291" s="42" t="str">
        <f>IFERROR(__xludf.DUMMYFUNCTION("""COMPUTED_VALUE"""),"")</f>
        <v/>
      </c>
      <c r="H13291" s="42">
        <f t="shared" si="1"/>
        <v>3345</v>
      </c>
    </row>
    <row r="13292" ht="22.5" customHeight="1">
      <c r="B13292" s="42" t="str">
        <f>IFERROR(__xludf.DUMMYFUNCTION("""COMPUTED_VALUE"""),"")</f>
        <v/>
      </c>
      <c r="C13292" s="42" t="str">
        <f>IFERROR(__xludf.DUMMYFUNCTION("""COMPUTED_VALUE"""),"")</f>
        <v/>
      </c>
      <c r="D13292" s="42"/>
      <c r="E13292" s="42"/>
      <c r="F13292" s="48" t="str">
        <f>IFERROR(__xludf.DUMMYFUNCTION("""COMPUTED_VALUE"""),"")</f>
        <v/>
      </c>
      <c r="G13292" s="42" t="str">
        <f>IFERROR(__xludf.DUMMYFUNCTION("""COMPUTED_VALUE"""),"")</f>
        <v/>
      </c>
      <c r="H13292" s="42">
        <f t="shared" si="1"/>
        <v>3345</v>
      </c>
    </row>
    <row r="13293" ht="22.5" customHeight="1">
      <c r="B13293" s="42" t="str">
        <f>IFERROR(__xludf.DUMMYFUNCTION("""COMPUTED_VALUE"""),"")</f>
        <v/>
      </c>
      <c r="C13293" s="42" t="str">
        <f>IFERROR(__xludf.DUMMYFUNCTION("""COMPUTED_VALUE"""),"")</f>
        <v/>
      </c>
      <c r="D13293" s="42"/>
      <c r="E13293" s="42"/>
      <c r="F13293" s="48" t="str">
        <f>IFERROR(__xludf.DUMMYFUNCTION("""COMPUTED_VALUE"""),"")</f>
        <v/>
      </c>
      <c r="G13293" s="42" t="str">
        <f>IFERROR(__xludf.DUMMYFUNCTION("""COMPUTED_VALUE"""),"")</f>
        <v/>
      </c>
      <c r="H13293" s="42">
        <f t="shared" si="1"/>
        <v>3345</v>
      </c>
    </row>
    <row r="13294" ht="22.5" customHeight="1">
      <c r="B13294" s="42" t="str">
        <f>IFERROR(__xludf.DUMMYFUNCTION("""COMPUTED_VALUE"""),"")</f>
        <v/>
      </c>
      <c r="C13294" s="42" t="str">
        <f>IFERROR(__xludf.DUMMYFUNCTION("""COMPUTED_VALUE"""),"")</f>
        <v/>
      </c>
      <c r="D13294" s="42"/>
      <c r="E13294" s="42"/>
      <c r="F13294" s="48" t="str">
        <f>IFERROR(__xludf.DUMMYFUNCTION("""COMPUTED_VALUE"""),"")</f>
        <v/>
      </c>
      <c r="G13294" s="42" t="str">
        <f>IFERROR(__xludf.DUMMYFUNCTION("""COMPUTED_VALUE"""),"")</f>
        <v/>
      </c>
      <c r="H13294" s="42">
        <f t="shared" si="1"/>
        <v>3345</v>
      </c>
    </row>
    <row r="13295" ht="22.5" customHeight="1">
      <c r="B13295" s="42" t="str">
        <f>IFERROR(__xludf.DUMMYFUNCTION("""COMPUTED_VALUE"""),"")</f>
        <v/>
      </c>
      <c r="C13295" s="42" t="str">
        <f>IFERROR(__xludf.DUMMYFUNCTION("""COMPUTED_VALUE"""),"")</f>
        <v/>
      </c>
      <c r="D13295" s="42"/>
      <c r="E13295" s="42"/>
      <c r="F13295" s="48" t="str">
        <f>IFERROR(__xludf.DUMMYFUNCTION("""COMPUTED_VALUE"""),"")</f>
        <v/>
      </c>
      <c r="G13295" s="42" t="str">
        <f>IFERROR(__xludf.DUMMYFUNCTION("""COMPUTED_VALUE"""),"")</f>
        <v/>
      </c>
      <c r="H13295" s="42">
        <f t="shared" si="1"/>
        <v>3345</v>
      </c>
    </row>
    <row r="13296" ht="22.5" customHeight="1">
      <c r="B13296" s="42" t="str">
        <f>IFERROR(__xludf.DUMMYFUNCTION("""COMPUTED_VALUE"""),"")</f>
        <v/>
      </c>
      <c r="C13296" s="42" t="str">
        <f>IFERROR(__xludf.DUMMYFUNCTION("""COMPUTED_VALUE"""),"")</f>
        <v/>
      </c>
      <c r="D13296" s="42"/>
      <c r="E13296" s="42"/>
      <c r="F13296" s="48" t="str">
        <f>IFERROR(__xludf.DUMMYFUNCTION("""COMPUTED_VALUE"""),"")</f>
        <v/>
      </c>
      <c r="G13296" s="42" t="str">
        <f>IFERROR(__xludf.DUMMYFUNCTION("""COMPUTED_VALUE"""),"")</f>
        <v/>
      </c>
      <c r="H13296" s="42">
        <f t="shared" si="1"/>
        <v>3345</v>
      </c>
    </row>
    <row r="13297" ht="22.5" customHeight="1">
      <c r="B13297" s="42" t="str">
        <f>IFERROR(__xludf.DUMMYFUNCTION("""COMPUTED_VALUE"""),"")</f>
        <v/>
      </c>
      <c r="C13297" s="42" t="str">
        <f>IFERROR(__xludf.DUMMYFUNCTION("""COMPUTED_VALUE"""),"")</f>
        <v/>
      </c>
      <c r="D13297" s="42"/>
      <c r="E13297" s="42"/>
      <c r="F13297" s="48" t="str">
        <f>IFERROR(__xludf.DUMMYFUNCTION("""COMPUTED_VALUE"""),"")</f>
        <v/>
      </c>
      <c r="G13297" s="42" t="str">
        <f>IFERROR(__xludf.DUMMYFUNCTION("""COMPUTED_VALUE"""),"")</f>
        <v/>
      </c>
      <c r="H13297" s="42">
        <f t="shared" si="1"/>
        <v>3345</v>
      </c>
    </row>
    <row r="13298" ht="22.5" customHeight="1">
      <c r="B13298" s="42" t="str">
        <f>IFERROR(__xludf.DUMMYFUNCTION("""COMPUTED_VALUE"""),"")</f>
        <v/>
      </c>
      <c r="C13298" s="42" t="str">
        <f>IFERROR(__xludf.DUMMYFUNCTION("""COMPUTED_VALUE"""),"")</f>
        <v/>
      </c>
      <c r="D13298" s="42"/>
      <c r="E13298" s="42"/>
      <c r="F13298" s="48" t="str">
        <f>IFERROR(__xludf.DUMMYFUNCTION("""COMPUTED_VALUE"""),"")</f>
        <v/>
      </c>
      <c r="G13298" s="42" t="str">
        <f>IFERROR(__xludf.DUMMYFUNCTION("""COMPUTED_VALUE"""),"")</f>
        <v/>
      </c>
      <c r="H13298" s="42">
        <f t="shared" si="1"/>
        <v>3345</v>
      </c>
    </row>
    <row r="13299" ht="22.5" customHeight="1">
      <c r="B13299" s="42" t="str">
        <f>IFERROR(__xludf.DUMMYFUNCTION("""COMPUTED_VALUE"""),"")</f>
        <v/>
      </c>
      <c r="C13299" s="42" t="str">
        <f>IFERROR(__xludf.DUMMYFUNCTION("""COMPUTED_VALUE"""),"")</f>
        <v/>
      </c>
      <c r="D13299" s="42"/>
      <c r="E13299" s="42"/>
      <c r="F13299" s="48" t="str">
        <f>IFERROR(__xludf.DUMMYFUNCTION("""COMPUTED_VALUE"""),"")</f>
        <v/>
      </c>
      <c r="G13299" s="42" t="str">
        <f>IFERROR(__xludf.DUMMYFUNCTION("""COMPUTED_VALUE"""),"")</f>
        <v/>
      </c>
      <c r="H13299" s="42">
        <f t="shared" si="1"/>
        <v>3345</v>
      </c>
    </row>
    <row r="13300" ht="22.5" customHeight="1">
      <c r="B13300" s="42" t="str">
        <f>IFERROR(__xludf.DUMMYFUNCTION("""COMPUTED_VALUE"""),"")</f>
        <v/>
      </c>
      <c r="C13300" s="42" t="str">
        <f>IFERROR(__xludf.DUMMYFUNCTION("""COMPUTED_VALUE"""),"")</f>
        <v/>
      </c>
      <c r="D13300" s="42"/>
      <c r="E13300" s="42"/>
      <c r="F13300" s="48" t="str">
        <f>IFERROR(__xludf.DUMMYFUNCTION("""COMPUTED_VALUE"""),"")</f>
        <v/>
      </c>
      <c r="G13300" s="42" t="str">
        <f>IFERROR(__xludf.DUMMYFUNCTION("""COMPUTED_VALUE"""),"")</f>
        <v/>
      </c>
      <c r="H13300" s="42">
        <f t="shared" si="1"/>
        <v>3345</v>
      </c>
    </row>
    <row r="13301" ht="22.5" customHeight="1">
      <c r="B13301" s="42" t="str">
        <f>IFERROR(__xludf.DUMMYFUNCTION("""COMPUTED_VALUE"""),"")</f>
        <v/>
      </c>
      <c r="C13301" s="42" t="str">
        <f>IFERROR(__xludf.DUMMYFUNCTION("""COMPUTED_VALUE"""),"")</f>
        <v/>
      </c>
      <c r="D13301" s="42"/>
      <c r="E13301" s="42"/>
      <c r="F13301" s="48" t="str">
        <f>IFERROR(__xludf.DUMMYFUNCTION("""COMPUTED_VALUE"""),"")</f>
        <v/>
      </c>
      <c r="G13301" s="42" t="str">
        <f>IFERROR(__xludf.DUMMYFUNCTION("""COMPUTED_VALUE"""),"")</f>
        <v/>
      </c>
      <c r="H13301" s="42">
        <f t="shared" si="1"/>
        <v>3345</v>
      </c>
    </row>
    <row r="13302" ht="22.5" customHeight="1">
      <c r="B13302" s="42" t="str">
        <f>IFERROR(__xludf.DUMMYFUNCTION("""COMPUTED_VALUE"""),"")</f>
        <v/>
      </c>
      <c r="C13302" s="42" t="str">
        <f>IFERROR(__xludf.DUMMYFUNCTION("""COMPUTED_VALUE"""),"")</f>
        <v/>
      </c>
      <c r="D13302" s="42"/>
      <c r="E13302" s="42"/>
      <c r="F13302" s="48" t="str">
        <f>IFERROR(__xludf.DUMMYFUNCTION("""COMPUTED_VALUE"""),"")</f>
        <v/>
      </c>
      <c r="G13302" s="42" t="str">
        <f>IFERROR(__xludf.DUMMYFUNCTION("""COMPUTED_VALUE"""),"")</f>
        <v/>
      </c>
      <c r="H13302" s="42">
        <f t="shared" si="1"/>
        <v>3345</v>
      </c>
    </row>
    <row r="13303" ht="22.5" customHeight="1">
      <c r="B13303" s="42" t="str">
        <f>IFERROR(__xludf.DUMMYFUNCTION("""COMPUTED_VALUE"""),"")</f>
        <v/>
      </c>
      <c r="C13303" s="42" t="str">
        <f>IFERROR(__xludf.DUMMYFUNCTION("""COMPUTED_VALUE"""),"")</f>
        <v/>
      </c>
      <c r="D13303" s="42"/>
      <c r="E13303" s="42"/>
      <c r="F13303" s="48" t="str">
        <f>IFERROR(__xludf.DUMMYFUNCTION("""COMPUTED_VALUE"""),"")</f>
        <v/>
      </c>
      <c r="G13303" s="42" t="str">
        <f>IFERROR(__xludf.DUMMYFUNCTION("""COMPUTED_VALUE"""),"")</f>
        <v/>
      </c>
      <c r="H13303" s="42">
        <f t="shared" si="1"/>
        <v>3345</v>
      </c>
    </row>
    <row r="13304" ht="22.5" customHeight="1">
      <c r="B13304" s="42" t="str">
        <f>IFERROR(__xludf.DUMMYFUNCTION("""COMPUTED_VALUE"""),"")</f>
        <v/>
      </c>
      <c r="C13304" s="42" t="str">
        <f>IFERROR(__xludf.DUMMYFUNCTION("""COMPUTED_VALUE"""),"")</f>
        <v/>
      </c>
      <c r="D13304" s="42"/>
      <c r="E13304" s="42"/>
      <c r="F13304" s="48" t="str">
        <f>IFERROR(__xludf.DUMMYFUNCTION("""COMPUTED_VALUE"""),"")</f>
        <v/>
      </c>
      <c r="G13304" s="42" t="str">
        <f>IFERROR(__xludf.DUMMYFUNCTION("""COMPUTED_VALUE"""),"")</f>
        <v/>
      </c>
      <c r="H13304" s="42">
        <f t="shared" si="1"/>
        <v>3345</v>
      </c>
    </row>
    <row r="13305" ht="22.5" customHeight="1">
      <c r="B13305" s="42" t="str">
        <f>IFERROR(__xludf.DUMMYFUNCTION("""COMPUTED_VALUE"""),"")</f>
        <v/>
      </c>
      <c r="C13305" s="42" t="str">
        <f>IFERROR(__xludf.DUMMYFUNCTION("""COMPUTED_VALUE"""),"")</f>
        <v/>
      </c>
      <c r="D13305" s="42"/>
      <c r="E13305" s="42"/>
      <c r="F13305" s="48" t="str">
        <f>IFERROR(__xludf.DUMMYFUNCTION("""COMPUTED_VALUE"""),"")</f>
        <v/>
      </c>
      <c r="G13305" s="42" t="str">
        <f>IFERROR(__xludf.DUMMYFUNCTION("""COMPUTED_VALUE"""),"")</f>
        <v/>
      </c>
      <c r="H13305" s="42">
        <f t="shared" si="1"/>
        <v>3345</v>
      </c>
    </row>
    <row r="13306" ht="22.5" customHeight="1">
      <c r="B13306" s="42" t="str">
        <f>IFERROR(__xludf.DUMMYFUNCTION("""COMPUTED_VALUE"""),"")</f>
        <v/>
      </c>
      <c r="C13306" s="42" t="str">
        <f>IFERROR(__xludf.DUMMYFUNCTION("""COMPUTED_VALUE"""),"")</f>
        <v/>
      </c>
      <c r="D13306" s="42"/>
      <c r="E13306" s="42"/>
      <c r="F13306" s="48" t="str">
        <f>IFERROR(__xludf.DUMMYFUNCTION("""COMPUTED_VALUE"""),"")</f>
        <v/>
      </c>
      <c r="G13306" s="42" t="str">
        <f>IFERROR(__xludf.DUMMYFUNCTION("""COMPUTED_VALUE"""),"")</f>
        <v/>
      </c>
      <c r="H13306" s="42">
        <f t="shared" si="1"/>
        <v>3345</v>
      </c>
    </row>
    <row r="13307" ht="22.5" customHeight="1">
      <c r="B13307" s="42" t="str">
        <f>IFERROR(__xludf.DUMMYFUNCTION("""COMPUTED_VALUE"""),"")</f>
        <v/>
      </c>
      <c r="C13307" s="42" t="str">
        <f>IFERROR(__xludf.DUMMYFUNCTION("""COMPUTED_VALUE"""),"")</f>
        <v/>
      </c>
      <c r="D13307" s="42"/>
      <c r="E13307" s="42"/>
      <c r="F13307" s="48" t="str">
        <f>IFERROR(__xludf.DUMMYFUNCTION("""COMPUTED_VALUE"""),"")</f>
        <v/>
      </c>
      <c r="G13307" s="42" t="str">
        <f>IFERROR(__xludf.DUMMYFUNCTION("""COMPUTED_VALUE"""),"")</f>
        <v/>
      </c>
      <c r="H13307" s="42">
        <f t="shared" si="1"/>
        <v>3345</v>
      </c>
    </row>
    <row r="13308" ht="22.5" customHeight="1">
      <c r="B13308" s="42" t="str">
        <f>IFERROR(__xludf.DUMMYFUNCTION("""COMPUTED_VALUE"""),"")</f>
        <v/>
      </c>
      <c r="C13308" s="42" t="str">
        <f>IFERROR(__xludf.DUMMYFUNCTION("""COMPUTED_VALUE"""),"")</f>
        <v/>
      </c>
      <c r="D13308" s="42"/>
      <c r="E13308" s="42"/>
      <c r="F13308" s="48" t="str">
        <f>IFERROR(__xludf.DUMMYFUNCTION("""COMPUTED_VALUE"""),"")</f>
        <v/>
      </c>
      <c r="G13308" s="42" t="str">
        <f>IFERROR(__xludf.DUMMYFUNCTION("""COMPUTED_VALUE"""),"")</f>
        <v/>
      </c>
      <c r="H13308" s="42">
        <f t="shared" si="1"/>
        <v>3345</v>
      </c>
    </row>
    <row r="13309" ht="22.5" customHeight="1">
      <c r="B13309" s="42" t="str">
        <f>IFERROR(__xludf.DUMMYFUNCTION("""COMPUTED_VALUE"""),"")</f>
        <v/>
      </c>
      <c r="C13309" s="42" t="str">
        <f>IFERROR(__xludf.DUMMYFUNCTION("""COMPUTED_VALUE"""),"")</f>
        <v/>
      </c>
      <c r="D13309" s="42"/>
      <c r="E13309" s="42"/>
      <c r="F13309" s="48" t="str">
        <f>IFERROR(__xludf.DUMMYFUNCTION("""COMPUTED_VALUE"""),"")</f>
        <v/>
      </c>
      <c r="G13309" s="42" t="str">
        <f>IFERROR(__xludf.DUMMYFUNCTION("""COMPUTED_VALUE"""),"")</f>
        <v/>
      </c>
      <c r="H13309" s="42">
        <f t="shared" si="1"/>
        <v>3345</v>
      </c>
    </row>
    <row r="13310" ht="22.5" customHeight="1">
      <c r="B13310" s="42" t="str">
        <f>IFERROR(__xludf.DUMMYFUNCTION("""COMPUTED_VALUE"""),"")</f>
        <v/>
      </c>
      <c r="C13310" s="42" t="str">
        <f>IFERROR(__xludf.DUMMYFUNCTION("""COMPUTED_VALUE"""),"")</f>
        <v/>
      </c>
      <c r="D13310" s="42"/>
      <c r="E13310" s="42"/>
      <c r="F13310" s="48" t="str">
        <f>IFERROR(__xludf.DUMMYFUNCTION("""COMPUTED_VALUE"""),"")</f>
        <v/>
      </c>
      <c r="G13310" s="42" t="str">
        <f>IFERROR(__xludf.DUMMYFUNCTION("""COMPUTED_VALUE"""),"")</f>
        <v/>
      </c>
      <c r="H13310" s="42">
        <f t="shared" si="1"/>
        <v>3345</v>
      </c>
    </row>
    <row r="13311" ht="22.5" customHeight="1">
      <c r="B13311" s="42" t="str">
        <f>IFERROR(__xludf.DUMMYFUNCTION("""COMPUTED_VALUE"""),"")</f>
        <v/>
      </c>
      <c r="C13311" s="42" t="str">
        <f>IFERROR(__xludf.DUMMYFUNCTION("""COMPUTED_VALUE"""),"")</f>
        <v/>
      </c>
      <c r="D13311" s="42"/>
      <c r="E13311" s="42"/>
      <c r="F13311" s="48" t="str">
        <f>IFERROR(__xludf.DUMMYFUNCTION("""COMPUTED_VALUE"""),"")</f>
        <v/>
      </c>
      <c r="G13311" s="42" t="str">
        <f>IFERROR(__xludf.DUMMYFUNCTION("""COMPUTED_VALUE"""),"")</f>
        <v/>
      </c>
      <c r="H13311" s="42">
        <f t="shared" si="1"/>
        <v>3345</v>
      </c>
    </row>
    <row r="13312" ht="22.5" customHeight="1">
      <c r="B13312" s="42" t="str">
        <f>IFERROR(__xludf.DUMMYFUNCTION("""COMPUTED_VALUE"""),"")</f>
        <v/>
      </c>
      <c r="C13312" s="42" t="str">
        <f>IFERROR(__xludf.DUMMYFUNCTION("""COMPUTED_VALUE"""),"")</f>
        <v/>
      </c>
      <c r="D13312" s="42"/>
      <c r="E13312" s="42"/>
      <c r="F13312" s="48" t="str">
        <f>IFERROR(__xludf.DUMMYFUNCTION("""COMPUTED_VALUE"""),"")</f>
        <v/>
      </c>
      <c r="G13312" s="42" t="str">
        <f>IFERROR(__xludf.DUMMYFUNCTION("""COMPUTED_VALUE"""),"")</f>
        <v/>
      </c>
      <c r="H13312" s="42">
        <f t="shared" si="1"/>
        <v>3345</v>
      </c>
    </row>
    <row r="13313" ht="22.5" customHeight="1">
      <c r="B13313" s="42" t="str">
        <f>IFERROR(__xludf.DUMMYFUNCTION("""COMPUTED_VALUE"""),"")</f>
        <v/>
      </c>
      <c r="C13313" s="42" t="str">
        <f>IFERROR(__xludf.DUMMYFUNCTION("""COMPUTED_VALUE"""),"")</f>
        <v/>
      </c>
      <c r="D13313" s="42"/>
      <c r="E13313" s="42"/>
      <c r="F13313" s="48" t="str">
        <f>IFERROR(__xludf.DUMMYFUNCTION("""COMPUTED_VALUE"""),"")</f>
        <v/>
      </c>
      <c r="G13313" s="42" t="str">
        <f>IFERROR(__xludf.DUMMYFUNCTION("""COMPUTED_VALUE"""),"")</f>
        <v/>
      </c>
      <c r="H13313" s="42">
        <f t="shared" si="1"/>
        <v>3345</v>
      </c>
    </row>
    <row r="13314" ht="22.5" customHeight="1">
      <c r="B13314" s="42" t="str">
        <f>IFERROR(__xludf.DUMMYFUNCTION("""COMPUTED_VALUE"""),"")</f>
        <v/>
      </c>
      <c r="C13314" s="42" t="str">
        <f>IFERROR(__xludf.DUMMYFUNCTION("""COMPUTED_VALUE"""),"")</f>
        <v/>
      </c>
      <c r="D13314" s="42"/>
      <c r="E13314" s="42"/>
      <c r="F13314" s="48" t="str">
        <f>IFERROR(__xludf.DUMMYFUNCTION("""COMPUTED_VALUE"""),"")</f>
        <v/>
      </c>
      <c r="G13314" s="42" t="str">
        <f>IFERROR(__xludf.DUMMYFUNCTION("""COMPUTED_VALUE"""),"")</f>
        <v/>
      </c>
      <c r="H13314" s="42">
        <f t="shared" si="1"/>
        <v>3345</v>
      </c>
    </row>
    <row r="13315" ht="22.5" customHeight="1">
      <c r="B13315" s="42" t="str">
        <f>IFERROR(__xludf.DUMMYFUNCTION("""COMPUTED_VALUE"""),"")</f>
        <v/>
      </c>
      <c r="C13315" s="42" t="str">
        <f>IFERROR(__xludf.DUMMYFUNCTION("""COMPUTED_VALUE"""),"")</f>
        <v/>
      </c>
      <c r="D13315" s="42"/>
      <c r="E13315" s="42"/>
      <c r="F13315" s="48" t="str">
        <f>IFERROR(__xludf.DUMMYFUNCTION("""COMPUTED_VALUE"""),"")</f>
        <v/>
      </c>
      <c r="G13315" s="42" t="str">
        <f>IFERROR(__xludf.DUMMYFUNCTION("""COMPUTED_VALUE"""),"")</f>
        <v/>
      </c>
      <c r="H13315" s="42">
        <f t="shared" si="1"/>
        <v>3345</v>
      </c>
    </row>
    <row r="13316" ht="22.5" customHeight="1">
      <c r="B13316" s="42" t="str">
        <f>IFERROR(__xludf.DUMMYFUNCTION("""COMPUTED_VALUE"""),"")</f>
        <v/>
      </c>
      <c r="C13316" s="42" t="str">
        <f>IFERROR(__xludf.DUMMYFUNCTION("""COMPUTED_VALUE"""),"")</f>
        <v/>
      </c>
      <c r="D13316" s="42"/>
      <c r="E13316" s="42"/>
      <c r="F13316" s="48" t="str">
        <f>IFERROR(__xludf.DUMMYFUNCTION("""COMPUTED_VALUE"""),"")</f>
        <v/>
      </c>
      <c r="G13316" s="42" t="str">
        <f>IFERROR(__xludf.DUMMYFUNCTION("""COMPUTED_VALUE"""),"")</f>
        <v/>
      </c>
      <c r="H13316" s="42">
        <f t="shared" si="1"/>
        <v>3345</v>
      </c>
    </row>
    <row r="13317" ht="22.5" customHeight="1">
      <c r="B13317" s="42" t="str">
        <f>IFERROR(__xludf.DUMMYFUNCTION("""COMPUTED_VALUE"""),"")</f>
        <v/>
      </c>
      <c r="C13317" s="42" t="str">
        <f>IFERROR(__xludf.DUMMYFUNCTION("""COMPUTED_VALUE"""),"")</f>
        <v/>
      </c>
      <c r="D13317" s="42"/>
      <c r="E13317" s="42"/>
      <c r="F13317" s="48" t="str">
        <f>IFERROR(__xludf.DUMMYFUNCTION("""COMPUTED_VALUE"""),"")</f>
        <v/>
      </c>
      <c r="G13317" s="42" t="str">
        <f>IFERROR(__xludf.DUMMYFUNCTION("""COMPUTED_VALUE"""),"")</f>
        <v/>
      </c>
      <c r="H13317" s="42">
        <f t="shared" si="1"/>
        <v>3345</v>
      </c>
    </row>
    <row r="13318" ht="22.5" customHeight="1">
      <c r="B13318" s="42" t="str">
        <f>IFERROR(__xludf.DUMMYFUNCTION("""COMPUTED_VALUE"""),"")</f>
        <v/>
      </c>
      <c r="C13318" s="42" t="str">
        <f>IFERROR(__xludf.DUMMYFUNCTION("""COMPUTED_VALUE"""),"")</f>
        <v/>
      </c>
      <c r="D13318" s="42"/>
      <c r="E13318" s="42"/>
      <c r="F13318" s="48" t="str">
        <f>IFERROR(__xludf.DUMMYFUNCTION("""COMPUTED_VALUE"""),"")</f>
        <v/>
      </c>
      <c r="G13318" s="42" t="str">
        <f>IFERROR(__xludf.DUMMYFUNCTION("""COMPUTED_VALUE"""),"")</f>
        <v/>
      </c>
      <c r="H13318" s="42">
        <f t="shared" si="1"/>
        <v>3345</v>
      </c>
    </row>
    <row r="13319" ht="22.5" customHeight="1">
      <c r="B13319" s="42" t="str">
        <f>IFERROR(__xludf.DUMMYFUNCTION("""COMPUTED_VALUE"""),"")</f>
        <v/>
      </c>
      <c r="C13319" s="42" t="str">
        <f>IFERROR(__xludf.DUMMYFUNCTION("""COMPUTED_VALUE"""),"")</f>
        <v/>
      </c>
      <c r="D13319" s="42"/>
      <c r="E13319" s="42"/>
      <c r="F13319" s="48" t="str">
        <f>IFERROR(__xludf.DUMMYFUNCTION("""COMPUTED_VALUE"""),"")</f>
        <v/>
      </c>
      <c r="G13319" s="42" t="str">
        <f>IFERROR(__xludf.DUMMYFUNCTION("""COMPUTED_VALUE"""),"")</f>
        <v/>
      </c>
      <c r="H13319" s="42">
        <f t="shared" si="1"/>
        <v>3345</v>
      </c>
    </row>
    <row r="13320" ht="22.5" customHeight="1">
      <c r="B13320" s="42" t="str">
        <f>IFERROR(__xludf.DUMMYFUNCTION("""COMPUTED_VALUE"""),"")</f>
        <v/>
      </c>
      <c r="C13320" s="42" t="str">
        <f>IFERROR(__xludf.DUMMYFUNCTION("""COMPUTED_VALUE"""),"")</f>
        <v/>
      </c>
      <c r="D13320" s="42"/>
      <c r="E13320" s="42"/>
      <c r="F13320" s="48" t="str">
        <f>IFERROR(__xludf.DUMMYFUNCTION("""COMPUTED_VALUE"""),"")</f>
        <v/>
      </c>
      <c r="G13320" s="42" t="str">
        <f>IFERROR(__xludf.DUMMYFUNCTION("""COMPUTED_VALUE"""),"")</f>
        <v/>
      </c>
      <c r="H13320" s="42">
        <f t="shared" si="1"/>
        <v>3345</v>
      </c>
    </row>
    <row r="13321" ht="22.5" customHeight="1">
      <c r="B13321" s="42" t="str">
        <f>IFERROR(__xludf.DUMMYFUNCTION("""COMPUTED_VALUE"""),"")</f>
        <v/>
      </c>
      <c r="C13321" s="42" t="str">
        <f>IFERROR(__xludf.DUMMYFUNCTION("""COMPUTED_VALUE"""),"")</f>
        <v/>
      </c>
      <c r="D13321" s="42"/>
      <c r="E13321" s="42"/>
      <c r="F13321" s="48" t="str">
        <f>IFERROR(__xludf.DUMMYFUNCTION("""COMPUTED_VALUE"""),"")</f>
        <v/>
      </c>
      <c r="G13321" s="42" t="str">
        <f>IFERROR(__xludf.DUMMYFUNCTION("""COMPUTED_VALUE"""),"")</f>
        <v/>
      </c>
      <c r="H13321" s="42">
        <f t="shared" si="1"/>
        <v>3345</v>
      </c>
    </row>
    <row r="13322" ht="22.5" customHeight="1">
      <c r="B13322" s="42" t="str">
        <f>IFERROR(__xludf.DUMMYFUNCTION("""COMPUTED_VALUE"""),"")</f>
        <v/>
      </c>
      <c r="C13322" s="42" t="str">
        <f>IFERROR(__xludf.DUMMYFUNCTION("""COMPUTED_VALUE"""),"")</f>
        <v/>
      </c>
      <c r="D13322" s="42"/>
      <c r="E13322" s="42"/>
      <c r="F13322" s="48" t="str">
        <f>IFERROR(__xludf.DUMMYFUNCTION("""COMPUTED_VALUE"""),"")</f>
        <v/>
      </c>
      <c r="G13322" s="42" t="str">
        <f>IFERROR(__xludf.DUMMYFUNCTION("""COMPUTED_VALUE"""),"")</f>
        <v/>
      </c>
      <c r="H13322" s="42">
        <f t="shared" si="1"/>
        <v>3345</v>
      </c>
    </row>
    <row r="13323" ht="22.5" customHeight="1">
      <c r="B13323" s="42" t="str">
        <f>IFERROR(__xludf.DUMMYFUNCTION("""COMPUTED_VALUE"""),"")</f>
        <v/>
      </c>
      <c r="C13323" s="42" t="str">
        <f>IFERROR(__xludf.DUMMYFUNCTION("""COMPUTED_VALUE"""),"")</f>
        <v/>
      </c>
      <c r="D13323" s="42"/>
      <c r="E13323" s="42"/>
      <c r="F13323" s="48" t="str">
        <f>IFERROR(__xludf.DUMMYFUNCTION("""COMPUTED_VALUE"""),"")</f>
        <v/>
      </c>
      <c r="G13323" s="42" t="str">
        <f>IFERROR(__xludf.DUMMYFUNCTION("""COMPUTED_VALUE"""),"")</f>
        <v/>
      </c>
      <c r="H13323" s="42">
        <f t="shared" si="1"/>
        <v>3345</v>
      </c>
    </row>
    <row r="13324" ht="22.5" customHeight="1">
      <c r="B13324" s="42" t="str">
        <f>IFERROR(__xludf.DUMMYFUNCTION("""COMPUTED_VALUE"""),"")</f>
        <v/>
      </c>
      <c r="C13324" s="42" t="str">
        <f>IFERROR(__xludf.DUMMYFUNCTION("""COMPUTED_VALUE"""),"")</f>
        <v/>
      </c>
      <c r="D13324" s="42"/>
      <c r="E13324" s="42"/>
      <c r="F13324" s="48" t="str">
        <f>IFERROR(__xludf.DUMMYFUNCTION("""COMPUTED_VALUE"""),"")</f>
        <v/>
      </c>
      <c r="G13324" s="42" t="str">
        <f>IFERROR(__xludf.DUMMYFUNCTION("""COMPUTED_VALUE"""),"")</f>
        <v/>
      </c>
      <c r="H13324" s="42">
        <f t="shared" si="1"/>
        <v>3345</v>
      </c>
    </row>
    <row r="13325" ht="22.5" customHeight="1">
      <c r="B13325" s="42" t="str">
        <f>IFERROR(__xludf.DUMMYFUNCTION("""COMPUTED_VALUE"""),"")</f>
        <v/>
      </c>
      <c r="C13325" s="42" t="str">
        <f>IFERROR(__xludf.DUMMYFUNCTION("""COMPUTED_VALUE"""),"")</f>
        <v/>
      </c>
      <c r="D13325" s="42"/>
      <c r="E13325" s="42"/>
      <c r="F13325" s="48" t="str">
        <f>IFERROR(__xludf.DUMMYFUNCTION("""COMPUTED_VALUE"""),"")</f>
        <v/>
      </c>
      <c r="G13325" s="42" t="str">
        <f>IFERROR(__xludf.DUMMYFUNCTION("""COMPUTED_VALUE"""),"")</f>
        <v/>
      </c>
      <c r="H13325" s="42">
        <f t="shared" si="1"/>
        <v>3345</v>
      </c>
    </row>
    <row r="13326" ht="22.5" customHeight="1">
      <c r="B13326" s="42" t="str">
        <f>IFERROR(__xludf.DUMMYFUNCTION("""COMPUTED_VALUE"""),"")</f>
        <v/>
      </c>
      <c r="C13326" s="42" t="str">
        <f>IFERROR(__xludf.DUMMYFUNCTION("""COMPUTED_VALUE"""),"")</f>
        <v/>
      </c>
      <c r="D13326" s="42"/>
      <c r="E13326" s="42"/>
      <c r="F13326" s="48" t="str">
        <f>IFERROR(__xludf.DUMMYFUNCTION("""COMPUTED_VALUE"""),"")</f>
        <v/>
      </c>
      <c r="G13326" s="42" t="str">
        <f>IFERROR(__xludf.DUMMYFUNCTION("""COMPUTED_VALUE"""),"")</f>
        <v/>
      </c>
      <c r="H13326" s="42">
        <f t="shared" si="1"/>
        <v>3345</v>
      </c>
    </row>
    <row r="13327" ht="22.5" customHeight="1">
      <c r="B13327" s="42" t="str">
        <f>IFERROR(__xludf.DUMMYFUNCTION("""COMPUTED_VALUE"""),"")</f>
        <v/>
      </c>
      <c r="C13327" s="42" t="str">
        <f>IFERROR(__xludf.DUMMYFUNCTION("""COMPUTED_VALUE"""),"")</f>
        <v/>
      </c>
      <c r="D13327" s="42"/>
      <c r="E13327" s="42"/>
      <c r="F13327" s="48" t="str">
        <f>IFERROR(__xludf.DUMMYFUNCTION("""COMPUTED_VALUE"""),"")</f>
        <v/>
      </c>
      <c r="G13327" s="42" t="str">
        <f>IFERROR(__xludf.DUMMYFUNCTION("""COMPUTED_VALUE"""),"")</f>
        <v/>
      </c>
      <c r="H13327" s="42">
        <f t="shared" si="1"/>
        <v>3345</v>
      </c>
    </row>
    <row r="13328" ht="22.5" customHeight="1">
      <c r="B13328" s="42" t="str">
        <f>IFERROR(__xludf.DUMMYFUNCTION("""COMPUTED_VALUE"""),"")</f>
        <v/>
      </c>
      <c r="C13328" s="42" t="str">
        <f>IFERROR(__xludf.DUMMYFUNCTION("""COMPUTED_VALUE"""),"")</f>
        <v/>
      </c>
      <c r="D13328" s="42"/>
      <c r="E13328" s="42"/>
      <c r="F13328" s="48" t="str">
        <f>IFERROR(__xludf.DUMMYFUNCTION("""COMPUTED_VALUE"""),"")</f>
        <v/>
      </c>
      <c r="G13328" s="42" t="str">
        <f>IFERROR(__xludf.DUMMYFUNCTION("""COMPUTED_VALUE"""),"")</f>
        <v/>
      </c>
      <c r="H13328" s="42">
        <f t="shared" si="1"/>
        <v>3345</v>
      </c>
    </row>
    <row r="13329" ht="22.5" customHeight="1">
      <c r="B13329" s="42" t="str">
        <f>IFERROR(__xludf.DUMMYFUNCTION("""COMPUTED_VALUE"""),"")</f>
        <v/>
      </c>
      <c r="C13329" s="42" t="str">
        <f>IFERROR(__xludf.DUMMYFUNCTION("""COMPUTED_VALUE"""),"")</f>
        <v/>
      </c>
      <c r="D13329" s="42"/>
      <c r="E13329" s="42"/>
      <c r="F13329" s="48" t="str">
        <f>IFERROR(__xludf.DUMMYFUNCTION("""COMPUTED_VALUE"""),"")</f>
        <v/>
      </c>
      <c r="G13329" s="42" t="str">
        <f>IFERROR(__xludf.DUMMYFUNCTION("""COMPUTED_VALUE"""),"")</f>
        <v/>
      </c>
      <c r="H13329" s="42">
        <f t="shared" si="1"/>
        <v>3345</v>
      </c>
    </row>
    <row r="13330" ht="22.5" customHeight="1">
      <c r="B13330" s="42" t="str">
        <f>IFERROR(__xludf.DUMMYFUNCTION("""COMPUTED_VALUE"""),"")</f>
        <v/>
      </c>
      <c r="C13330" s="42" t="str">
        <f>IFERROR(__xludf.DUMMYFUNCTION("""COMPUTED_VALUE"""),"")</f>
        <v/>
      </c>
      <c r="D13330" s="42"/>
      <c r="E13330" s="42"/>
      <c r="F13330" s="48" t="str">
        <f>IFERROR(__xludf.DUMMYFUNCTION("""COMPUTED_VALUE"""),"")</f>
        <v/>
      </c>
      <c r="G13330" s="42" t="str">
        <f>IFERROR(__xludf.DUMMYFUNCTION("""COMPUTED_VALUE"""),"")</f>
        <v/>
      </c>
      <c r="H13330" s="42">
        <f t="shared" si="1"/>
        <v>3345</v>
      </c>
    </row>
    <row r="13331" ht="22.5" customHeight="1">
      <c r="B13331" s="42" t="str">
        <f>IFERROR(__xludf.DUMMYFUNCTION("""COMPUTED_VALUE"""),"")</f>
        <v/>
      </c>
      <c r="C13331" s="42" t="str">
        <f>IFERROR(__xludf.DUMMYFUNCTION("""COMPUTED_VALUE"""),"")</f>
        <v/>
      </c>
      <c r="D13331" s="42"/>
      <c r="E13331" s="42"/>
      <c r="F13331" s="48" t="str">
        <f>IFERROR(__xludf.DUMMYFUNCTION("""COMPUTED_VALUE"""),"")</f>
        <v/>
      </c>
      <c r="G13331" s="42" t="str">
        <f>IFERROR(__xludf.DUMMYFUNCTION("""COMPUTED_VALUE"""),"")</f>
        <v/>
      </c>
      <c r="H13331" s="42">
        <f t="shared" si="1"/>
        <v>3345</v>
      </c>
    </row>
    <row r="13332" ht="22.5" customHeight="1">
      <c r="B13332" s="42" t="str">
        <f>IFERROR(__xludf.DUMMYFUNCTION("""COMPUTED_VALUE"""),"")</f>
        <v/>
      </c>
      <c r="C13332" s="42" t="str">
        <f>IFERROR(__xludf.DUMMYFUNCTION("""COMPUTED_VALUE"""),"")</f>
        <v/>
      </c>
      <c r="D13332" s="42"/>
      <c r="E13332" s="42"/>
      <c r="F13332" s="48" t="str">
        <f>IFERROR(__xludf.DUMMYFUNCTION("""COMPUTED_VALUE"""),"")</f>
        <v/>
      </c>
      <c r="G13332" s="42" t="str">
        <f>IFERROR(__xludf.DUMMYFUNCTION("""COMPUTED_VALUE"""),"")</f>
        <v/>
      </c>
      <c r="H13332" s="42">
        <f t="shared" si="1"/>
        <v>3345</v>
      </c>
    </row>
    <row r="13333" ht="22.5" customHeight="1">
      <c r="B13333" s="42" t="str">
        <f>IFERROR(__xludf.DUMMYFUNCTION("""COMPUTED_VALUE"""),"")</f>
        <v/>
      </c>
      <c r="C13333" s="42" t="str">
        <f>IFERROR(__xludf.DUMMYFUNCTION("""COMPUTED_VALUE"""),"")</f>
        <v/>
      </c>
      <c r="D13333" s="42"/>
      <c r="E13333" s="42"/>
      <c r="F13333" s="48" t="str">
        <f>IFERROR(__xludf.DUMMYFUNCTION("""COMPUTED_VALUE"""),"")</f>
        <v/>
      </c>
      <c r="G13333" s="42" t="str">
        <f>IFERROR(__xludf.DUMMYFUNCTION("""COMPUTED_VALUE"""),"")</f>
        <v/>
      </c>
      <c r="H13333" s="42">
        <f t="shared" si="1"/>
        <v>3345</v>
      </c>
    </row>
    <row r="13334" ht="22.5" customHeight="1">
      <c r="B13334" s="42" t="str">
        <f>IFERROR(__xludf.DUMMYFUNCTION("""COMPUTED_VALUE"""),"")</f>
        <v/>
      </c>
      <c r="C13334" s="42" t="str">
        <f>IFERROR(__xludf.DUMMYFUNCTION("""COMPUTED_VALUE"""),"")</f>
        <v/>
      </c>
      <c r="D13334" s="42"/>
      <c r="E13334" s="42"/>
      <c r="F13334" s="48" t="str">
        <f>IFERROR(__xludf.DUMMYFUNCTION("""COMPUTED_VALUE"""),"")</f>
        <v/>
      </c>
      <c r="G13334" s="42" t="str">
        <f>IFERROR(__xludf.DUMMYFUNCTION("""COMPUTED_VALUE"""),"")</f>
        <v/>
      </c>
      <c r="H13334" s="42">
        <f t="shared" si="1"/>
        <v>3345</v>
      </c>
    </row>
    <row r="13335" ht="22.5" customHeight="1">
      <c r="B13335" s="42" t="str">
        <f>IFERROR(__xludf.DUMMYFUNCTION("""COMPUTED_VALUE"""),"")</f>
        <v/>
      </c>
      <c r="C13335" s="42" t="str">
        <f>IFERROR(__xludf.DUMMYFUNCTION("""COMPUTED_VALUE"""),"")</f>
        <v/>
      </c>
      <c r="D13335" s="42"/>
      <c r="E13335" s="42"/>
      <c r="F13335" s="48" t="str">
        <f>IFERROR(__xludf.DUMMYFUNCTION("""COMPUTED_VALUE"""),"")</f>
        <v/>
      </c>
      <c r="G13335" s="42" t="str">
        <f>IFERROR(__xludf.DUMMYFUNCTION("""COMPUTED_VALUE"""),"")</f>
        <v/>
      </c>
      <c r="H13335" s="42">
        <f t="shared" si="1"/>
        <v>3345</v>
      </c>
    </row>
    <row r="13336" ht="22.5" customHeight="1">
      <c r="B13336" s="42" t="str">
        <f>IFERROR(__xludf.DUMMYFUNCTION("""COMPUTED_VALUE"""),"")</f>
        <v/>
      </c>
      <c r="C13336" s="42" t="str">
        <f>IFERROR(__xludf.DUMMYFUNCTION("""COMPUTED_VALUE"""),"")</f>
        <v/>
      </c>
      <c r="D13336" s="42"/>
      <c r="E13336" s="42"/>
      <c r="F13336" s="48" t="str">
        <f>IFERROR(__xludf.DUMMYFUNCTION("""COMPUTED_VALUE"""),"")</f>
        <v/>
      </c>
      <c r="G13336" s="42" t="str">
        <f>IFERROR(__xludf.DUMMYFUNCTION("""COMPUTED_VALUE"""),"")</f>
        <v/>
      </c>
      <c r="H13336" s="42">
        <f t="shared" si="1"/>
        <v>3345</v>
      </c>
    </row>
    <row r="13337" ht="22.5" customHeight="1">
      <c r="B13337" s="42" t="str">
        <f>IFERROR(__xludf.DUMMYFUNCTION("""COMPUTED_VALUE"""),"")</f>
        <v/>
      </c>
      <c r="C13337" s="42" t="str">
        <f>IFERROR(__xludf.DUMMYFUNCTION("""COMPUTED_VALUE"""),"")</f>
        <v/>
      </c>
      <c r="D13337" s="42"/>
      <c r="E13337" s="42"/>
      <c r="F13337" s="48" t="str">
        <f>IFERROR(__xludf.DUMMYFUNCTION("""COMPUTED_VALUE"""),"")</f>
        <v/>
      </c>
      <c r="G13337" s="42" t="str">
        <f>IFERROR(__xludf.DUMMYFUNCTION("""COMPUTED_VALUE"""),"")</f>
        <v/>
      </c>
      <c r="H13337" s="42">
        <f t="shared" si="1"/>
        <v>3345</v>
      </c>
    </row>
    <row r="13338" ht="22.5" customHeight="1">
      <c r="B13338" s="42" t="str">
        <f>IFERROR(__xludf.DUMMYFUNCTION("""COMPUTED_VALUE"""),"")</f>
        <v/>
      </c>
      <c r="C13338" s="42" t="str">
        <f>IFERROR(__xludf.DUMMYFUNCTION("""COMPUTED_VALUE"""),"")</f>
        <v/>
      </c>
      <c r="D13338" s="42"/>
      <c r="E13338" s="42"/>
      <c r="F13338" s="48" t="str">
        <f>IFERROR(__xludf.DUMMYFUNCTION("""COMPUTED_VALUE"""),"")</f>
        <v/>
      </c>
      <c r="G13338" s="42" t="str">
        <f>IFERROR(__xludf.DUMMYFUNCTION("""COMPUTED_VALUE"""),"")</f>
        <v/>
      </c>
      <c r="H13338" s="42">
        <f t="shared" si="1"/>
        <v>3345</v>
      </c>
    </row>
    <row r="13339" ht="22.5" customHeight="1">
      <c r="B13339" s="42" t="str">
        <f>IFERROR(__xludf.DUMMYFUNCTION("""COMPUTED_VALUE"""),"")</f>
        <v/>
      </c>
      <c r="C13339" s="42" t="str">
        <f>IFERROR(__xludf.DUMMYFUNCTION("""COMPUTED_VALUE"""),"")</f>
        <v/>
      </c>
      <c r="D13339" s="42"/>
      <c r="E13339" s="42"/>
      <c r="F13339" s="48" t="str">
        <f>IFERROR(__xludf.DUMMYFUNCTION("""COMPUTED_VALUE"""),"")</f>
        <v/>
      </c>
      <c r="G13339" s="42" t="str">
        <f>IFERROR(__xludf.DUMMYFUNCTION("""COMPUTED_VALUE"""),"")</f>
        <v/>
      </c>
      <c r="H13339" s="42">
        <f t="shared" si="1"/>
        <v>3345</v>
      </c>
    </row>
    <row r="13340" ht="22.5" customHeight="1">
      <c r="B13340" s="42" t="str">
        <f>IFERROR(__xludf.DUMMYFUNCTION("""COMPUTED_VALUE"""),"")</f>
        <v/>
      </c>
      <c r="C13340" s="42" t="str">
        <f>IFERROR(__xludf.DUMMYFUNCTION("""COMPUTED_VALUE"""),"")</f>
        <v/>
      </c>
      <c r="D13340" s="42"/>
      <c r="E13340" s="42"/>
      <c r="F13340" s="48" t="str">
        <f>IFERROR(__xludf.DUMMYFUNCTION("""COMPUTED_VALUE"""),"")</f>
        <v/>
      </c>
      <c r="G13340" s="42" t="str">
        <f>IFERROR(__xludf.DUMMYFUNCTION("""COMPUTED_VALUE"""),"")</f>
        <v/>
      </c>
      <c r="H13340" s="42">
        <f t="shared" si="1"/>
        <v>3345</v>
      </c>
    </row>
    <row r="13341" ht="22.5" customHeight="1">
      <c r="B13341" s="42" t="str">
        <f>IFERROR(__xludf.DUMMYFUNCTION("""COMPUTED_VALUE"""),"")</f>
        <v/>
      </c>
      <c r="C13341" s="42" t="str">
        <f>IFERROR(__xludf.DUMMYFUNCTION("""COMPUTED_VALUE"""),"")</f>
        <v/>
      </c>
      <c r="D13341" s="42"/>
      <c r="E13341" s="42"/>
      <c r="F13341" s="48" t="str">
        <f>IFERROR(__xludf.DUMMYFUNCTION("""COMPUTED_VALUE"""),"")</f>
        <v/>
      </c>
      <c r="G13341" s="42" t="str">
        <f>IFERROR(__xludf.DUMMYFUNCTION("""COMPUTED_VALUE"""),"")</f>
        <v/>
      </c>
      <c r="H13341" s="42">
        <f t="shared" si="1"/>
        <v>3345</v>
      </c>
    </row>
    <row r="13342" ht="22.5" customHeight="1">
      <c r="B13342" s="42" t="str">
        <f>IFERROR(__xludf.DUMMYFUNCTION("""COMPUTED_VALUE"""),"")</f>
        <v/>
      </c>
      <c r="C13342" s="42" t="str">
        <f>IFERROR(__xludf.DUMMYFUNCTION("""COMPUTED_VALUE"""),"")</f>
        <v/>
      </c>
      <c r="D13342" s="42"/>
      <c r="E13342" s="42"/>
      <c r="F13342" s="48" t="str">
        <f>IFERROR(__xludf.DUMMYFUNCTION("""COMPUTED_VALUE"""),"")</f>
        <v/>
      </c>
      <c r="G13342" s="42" t="str">
        <f>IFERROR(__xludf.DUMMYFUNCTION("""COMPUTED_VALUE"""),"")</f>
        <v/>
      </c>
      <c r="H13342" s="42">
        <f t="shared" si="1"/>
        <v>3345</v>
      </c>
    </row>
    <row r="13343" ht="22.5" customHeight="1">
      <c r="B13343" s="42" t="str">
        <f>IFERROR(__xludf.DUMMYFUNCTION("""COMPUTED_VALUE"""),"")</f>
        <v/>
      </c>
      <c r="C13343" s="42" t="str">
        <f>IFERROR(__xludf.DUMMYFUNCTION("""COMPUTED_VALUE"""),"")</f>
        <v/>
      </c>
      <c r="D13343" s="42"/>
      <c r="E13343" s="42"/>
      <c r="F13343" s="48" t="str">
        <f>IFERROR(__xludf.DUMMYFUNCTION("""COMPUTED_VALUE"""),"")</f>
        <v/>
      </c>
      <c r="G13343" s="42" t="str">
        <f>IFERROR(__xludf.DUMMYFUNCTION("""COMPUTED_VALUE"""),"")</f>
        <v/>
      </c>
      <c r="H13343" s="42">
        <f t="shared" si="1"/>
        <v>3345</v>
      </c>
    </row>
    <row r="13344" ht="22.5" customHeight="1">
      <c r="B13344" s="42" t="str">
        <f>IFERROR(__xludf.DUMMYFUNCTION("""COMPUTED_VALUE"""),"")</f>
        <v/>
      </c>
      <c r="C13344" s="42" t="str">
        <f>IFERROR(__xludf.DUMMYFUNCTION("""COMPUTED_VALUE"""),"")</f>
        <v/>
      </c>
      <c r="D13344" s="42"/>
      <c r="E13344" s="42"/>
      <c r="F13344" s="48" t="str">
        <f>IFERROR(__xludf.DUMMYFUNCTION("""COMPUTED_VALUE"""),"")</f>
        <v/>
      </c>
      <c r="G13344" s="42" t="str">
        <f>IFERROR(__xludf.DUMMYFUNCTION("""COMPUTED_VALUE"""),"")</f>
        <v/>
      </c>
      <c r="H13344" s="42">
        <f t="shared" si="1"/>
        <v>3345</v>
      </c>
    </row>
    <row r="13345" ht="22.5" customHeight="1">
      <c r="B13345" s="42" t="str">
        <f>IFERROR(__xludf.DUMMYFUNCTION("""COMPUTED_VALUE"""),"")</f>
        <v/>
      </c>
      <c r="C13345" s="42" t="str">
        <f>IFERROR(__xludf.DUMMYFUNCTION("""COMPUTED_VALUE"""),"")</f>
        <v/>
      </c>
      <c r="D13345" s="42"/>
      <c r="E13345" s="42"/>
      <c r="F13345" s="48" t="str">
        <f>IFERROR(__xludf.DUMMYFUNCTION("""COMPUTED_VALUE"""),"")</f>
        <v/>
      </c>
      <c r="G13345" s="42" t="str">
        <f>IFERROR(__xludf.DUMMYFUNCTION("""COMPUTED_VALUE"""),"")</f>
        <v/>
      </c>
      <c r="H13345" s="42">
        <f t="shared" si="1"/>
        <v>3345</v>
      </c>
    </row>
    <row r="13346" ht="22.5" customHeight="1">
      <c r="B13346" s="42" t="str">
        <f>IFERROR(__xludf.DUMMYFUNCTION("""COMPUTED_VALUE"""),"")</f>
        <v/>
      </c>
      <c r="C13346" s="42" t="str">
        <f>IFERROR(__xludf.DUMMYFUNCTION("""COMPUTED_VALUE"""),"")</f>
        <v/>
      </c>
      <c r="D13346" s="42"/>
      <c r="E13346" s="42"/>
      <c r="F13346" s="48" t="str">
        <f>IFERROR(__xludf.DUMMYFUNCTION("""COMPUTED_VALUE"""),"")</f>
        <v/>
      </c>
      <c r="G13346" s="42" t="str">
        <f>IFERROR(__xludf.DUMMYFUNCTION("""COMPUTED_VALUE"""),"")</f>
        <v/>
      </c>
      <c r="H13346" s="42">
        <f t="shared" si="1"/>
        <v>3345</v>
      </c>
    </row>
    <row r="13347" ht="22.5" customHeight="1">
      <c r="B13347" s="42" t="str">
        <f>IFERROR(__xludf.DUMMYFUNCTION("""COMPUTED_VALUE"""),"")</f>
        <v/>
      </c>
      <c r="C13347" s="42" t="str">
        <f>IFERROR(__xludf.DUMMYFUNCTION("""COMPUTED_VALUE"""),"")</f>
        <v/>
      </c>
      <c r="D13347" s="42"/>
      <c r="E13347" s="42"/>
      <c r="F13347" s="48" t="str">
        <f>IFERROR(__xludf.DUMMYFUNCTION("""COMPUTED_VALUE"""),"")</f>
        <v/>
      </c>
      <c r="G13347" s="42" t="str">
        <f>IFERROR(__xludf.DUMMYFUNCTION("""COMPUTED_VALUE"""),"")</f>
        <v/>
      </c>
      <c r="H13347" s="42">
        <f t="shared" si="1"/>
        <v>3345</v>
      </c>
    </row>
    <row r="13348" ht="22.5" customHeight="1">
      <c r="B13348" s="42" t="str">
        <f>IFERROR(__xludf.DUMMYFUNCTION("""COMPUTED_VALUE"""),"")</f>
        <v/>
      </c>
      <c r="C13348" s="42" t="str">
        <f>IFERROR(__xludf.DUMMYFUNCTION("""COMPUTED_VALUE"""),"")</f>
        <v/>
      </c>
      <c r="D13348" s="42"/>
      <c r="E13348" s="42"/>
      <c r="F13348" s="48" t="str">
        <f>IFERROR(__xludf.DUMMYFUNCTION("""COMPUTED_VALUE"""),"")</f>
        <v/>
      </c>
      <c r="G13348" s="42" t="str">
        <f>IFERROR(__xludf.DUMMYFUNCTION("""COMPUTED_VALUE"""),"")</f>
        <v/>
      </c>
      <c r="H13348" s="42">
        <f t="shared" si="1"/>
        <v>3345</v>
      </c>
    </row>
    <row r="13349" ht="22.5" customHeight="1">
      <c r="B13349" s="42" t="str">
        <f>IFERROR(__xludf.DUMMYFUNCTION("""COMPUTED_VALUE"""),"")</f>
        <v/>
      </c>
      <c r="C13349" s="42" t="str">
        <f>IFERROR(__xludf.DUMMYFUNCTION("""COMPUTED_VALUE"""),"")</f>
        <v/>
      </c>
      <c r="D13349" s="42"/>
      <c r="E13349" s="42"/>
      <c r="F13349" s="48" t="str">
        <f>IFERROR(__xludf.DUMMYFUNCTION("""COMPUTED_VALUE"""),"")</f>
        <v/>
      </c>
      <c r="G13349" s="42" t="str">
        <f>IFERROR(__xludf.DUMMYFUNCTION("""COMPUTED_VALUE"""),"")</f>
        <v/>
      </c>
      <c r="H13349" s="42">
        <f t="shared" si="1"/>
        <v>3345</v>
      </c>
    </row>
    <row r="13350" ht="22.5" customHeight="1">
      <c r="B13350" s="42" t="str">
        <f>IFERROR(__xludf.DUMMYFUNCTION("""COMPUTED_VALUE"""),"")</f>
        <v/>
      </c>
      <c r="C13350" s="42" t="str">
        <f>IFERROR(__xludf.DUMMYFUNCTION("""COMPUTED_VALUE"""),"")</f>
        <v/>
      </c>
      <c r="D13350" s="42"/>
      <c r="E13350" s="42"/>
      <c r="F13350" s="48" t="str">
        <f>IFERROR(__xludf.DUMMYFUNCTION("""COMPUTED_VALUE"""),"")</f>
        <v/>
      </c>
      <c r="G13350" s="42" t="str">
        <f>IFERROR(__xludf.DUMMYFUNCTION("""COMPUTED_VALUE"""),"")</f>
        <v/>
      </c>
      <c r="H13350" s="42">
        <f t="shared" si="1"/>
        <v>3345</v>
      </c>
    </row>
    <row r="13351" ht="22.5" customHeight="1">
      <c r="B13351" s="42" t="str">
        <f>IFERROR(__xludf.DUMMYFUNCTION("""COMPUTED_VALUE"""),"")</f>
        <v/>
      </c>
      <c r="C13351" s="42" t="str">
        <f>IFERROR(__xludf.DUMMYFUNCTION("""COMPUTED_VALUE"""),"")</f>
        <v/>
      </c>
      <c r="D13351" s="42"/>
      <c r="E13351" s="42"/>
      <c r="F13351" s="48" t="str">
        <f>IFERROR(__xludf.DUMMYFUNCTION("""COMPUTED_VALUE"""),"")</f>
        <v/>
      </c>
      <c r="G13351" s="42" t="str">
        <f>IFERROR(__xludf.DUMMYFUNCTION("""COMPUTED_VALUE"""),"")</f>
        <v/>
      </c>
      <c r="H13351" s="42">
        <f t="shared" si="1"/>
        <v>3345</v>
      </c>
    </row>
    <row r="13352" ht="22.5" customHeight="1">
      <c r="B13352" s="42" t="str">
        <f>IFERROR(__xludf.DUMMYFUNCTION("""COMPUTED_VALUE"""),"")</f>
        <v/>
      </c>
      <c r="C13352" s="42" t="str">
        <f>IFERROR(__xludf.DUMMYFUNCTION("""COMPUTED_VALUE"""),"")</f>
        <v/>
      </c>
      <c r="D13352" s="42"/>
      <c r="E13352" s="42"/>
      <c r="F13352" s="48" t="str">
        <f>IFERROR(__xludf.DUMMYFUNCTION("""COMPUTED_VALUE"""),"")</f>
        <v/>
      </c>
      <c r="G13352" s="42" t="str">
        <f>IFERROR(__xludf.DUMMYFUNCTION("""COMPUTED_VALUE"""),"")</f>
        <v/>
      </c>
      <c r="H13352" s="42">
        <f t="shared" si="1"/>
        <v>3345</v>
      </c>
    </row>
    <row r="13353" ht="22.5" customHeight="1">
      <c r="B13353" s="42" t="str">
        <f>IFERROR(__xludf.DUMMYFUNCTION("""COMPUTED_VALUE"""),"")</f>
        <v/>
      </c>
      <c r="C13353" s="42" t="str">
        <f>IFERROR(__xludf.DUMMYFUNCTION("""COMPUTED_VALUE"""),"")</f>
        <v/>
      </c>
      <c r="D13353" s="42"/>
      <c r="E13353" s="42"/>
      <c r="F13353" s="48" t="str">
        <f>IFERROR(__xludf.DUMMYFUNCTION("""COMPUTED_VALUE"""),"")</f>
        <v/>
      </c>
      <c r="G13353" s="42" t="str">
        <f>IFERROR(__xludf.DUMMYFUNCTION("""COMPUTED_VALUE"""),"")</f>
        <v/>
      </c>
      <c r="H13353" s="42">
        <f t="shared" si="1"/>
        <v>3345</v>
      </c>
    </row>
    <row r="13354" ht="22.5" customHeight="1">
      <c r="B13354" s="42" t="str">
        <f>IFERROR(__xludf.DUMMYFUNCTION("""COMPUTED_VALUE"""),"")</f>
        <v/>
      </c>
      <c r="C13354" s="42" t="str">
        <f>IFERROR(__xludf.DUMMYFUNCTION("""COMPUTED_VALUE"""),"")</f>
        <v/>
      </c>
      <c r="D13354" s="42"/>
      <c r="E13354" s="42"/>
      <c r="F13354" s="48" t="str">
        <f>IFERROR(__xludf.DUMMYFUNCTION("""COMPUTED_VALUE"""),"")</f>
        <v/>
      </c>
      <c r="G13354" s="42" t="str">
        <f>IFERROR(__xludf.DUMMYFUNCTION("""COMPUTED_VALUE"""),"")</f>
        <v/>
      </c>
      <c r="H13354" s="42">
        <f t="shared" si="1"/>
        <v>3345</v>
      </c>
    </row>
    <row r="13355" ht="22.5" customHeight="1">
      <c r="B13355" s="42" t="str">
        <f>IFERROR(__xludf.DUMMYFUNCTION("""COMPUTED_VALUE"""),"")</f>
        <v/>
      </c>
      <c r="C13355" s="42" t="str">
        <f>IFERROR(__xludf.DUMMYFUNCTION("""COMPUTED_VALUE"""),"")</f>
        <v/>
      </c>
      <c r="D13355" s="42"/>
      <c r="E13355" s="42"/>
      <c r="F13355" s="48" t="str">
        <f>IFERROR(__xludf.DUMMYFUNCTION("""COMPUTED_VALUE"""),"")</f>
        <v/>
      </c>
      <c r="G13355" s="42" t="str">
        <f>IFERROR(__xludf.DUMMYFUNCTION("""COMPUTED_VALUE"""),"")</f>
        <v/>
      </c>
      <c r="H13355" s="42">
        <f t="shared" si="1"/>
        <v>3345</v>
      </c>
    </row>
    <row r="13356" ht="22.5" customHeight="1">
      <c r="B13356" s="42" t="str">
        <f>IFERROR(__xludf.DUMMYFUNCTION("""COMPUTED_VALUE"""),"")</f>
        <v/>
      </c>
      <c r="C13356" s="42" t="str">
        <f>IFERROR(__xludf.DUMMYFUNCTION("""COMPUTED_VALUE"""),"")</f>
        <v/>
      </c>
      <c r="D13356" s="42"/>
      <c r="E13356" s="42"/>
      <c r="F13356" s="48" t="str">
        <f>IFERROR(__xludf.DUMMYFUNCTION("""COMPUTED_VALUE"""),"")</f>
        <v/>
      </c>
      <c r="G13356" s="42" t="str">
        <f>IFERROR(__xludf.DUMMYFUNCTION("""COMPUTED_VALUE"""),"")</f>
        <v/>
      </c>
      <c r="H13356" s="42">
        <f t="shared" si="1"/>
        <v>3345</v>
      </c>
    </row>
    <row r="13357" ht="22.5" customHeight="1">
      <c r="B13357" s="42" t="str">
        <f>IFERROR(__xludf.DUMMYFUNCTION("""COMPUTED_VALUE"""),"")</f>
        <v/>
      </c>
      <c r="C13357" s="42" t="str">
        <f>IFERROR(__xludf.DUMMYFUNCTION("""COMPUTED_VALUE"""),"")</f>
        <v/>
      </c>
      <c r="D13357" s="42"/>
      <c r="E13357" s="42"/>
      <c r="F13357" s="48" t="str">
        <f>IFERROR(__xludf.DUMMYFUNCTION("""COMPUTED_VALUE"""),"")</f>
        <v/>
      </c>
      <c r="G13357" s="42" t="str">
        <f>IFERROR(__xludf.DUMMYFUNCTION("""COMPUTED_VALUE"""),"")</f>
        <v/>
      </c>
      <c r="H13357" s="42">
        <f t="shared" si="1"/>
        <v>3345</v>
      </c>
    </row>
    <row r="13358" ht="22.5" customHeight="1">
      <c r="B13358" s="42" t="str">
        <f>IFERROR(__xludf.DUMMYFUNCTION("""COMPUTED_VALUE"""),"")</f>
        <v/>
      </c>
      <c r="C13358" s="42" t="str">
        <f>IFERROR(__xludf.DUMMYFUNCTION("""COMPUTED_VALUE"""),"")</f>
        <v/>
      </c>
      <c r="D13358" s="42"/>
      <c r="E13358" s="42"/>
      <c r="F13358" s="48" t="str">
        <f>IFERROR(__xludf.DUMMYFUNCTION("""COMPUTED_VALUE"""),"")</f>
        <v/>
      </c>
      <c r="G13358" s="42" t="str">
        <f>IFERROR(__xludf.DUMMYFUNCTION("""COMPUTED_VALUE"""),"")</f>
        <v/>
      </c>
      <c r="H13358" s="42">
        <f t="shared" si="1"/>
        <v>3345</v>
      </c>
    </row>
    <row r="13359" ht="22.5" customHeight="1">
      <c r="B13359" s="42" t="str">
        <f>IFERROR(__xludf.DUMMYFUNCTION("""COMPUTED_VALUE"""),"")</f>
        <v/>
      </c>
      <c r="C13359" s="42" t="str">
        <f>IFERROR(__xludf.DUMMYFUNCTION("""COMPUTED_VALUE"""),"")</f>
        <v/>
      </c>
      <c r="D13359" s="42"/>
      <c r="E13359" s="42"/>
      <c r="F13359" s="48" t="str">
        <f>IFERROR(__xludf.DUMMYFUNCTION("""COMPUTED_VALUE"""),"")</f>
        <v/>
      </c>
      <c r="G13359" s="42" t="str">
        <f>IFERROR(__xludf.DUMMYFUNCTION("""COMPUTED_VALUE"""),"")</f>
        <v/>
      </c>
      <c r="H13359" s="42">
        <f t="shared" si="1"/>
        <v>3345</v>
      </c>
    </row>
    <row r="13360" ht="22.5" customHeight="1">
      <c r="B13360" s="42" t="str">
        <f>IFERROR(__xludf.DUMMYFUNCTION("""COMPUTED_VALUE"""),"")</f>
        <v/>
      </c>
      <c r="C13360" s="42" t="str">
        <f>IFERROR(__xludf.DUMMYFUNCTION("""COMPUTED_VALUE"""),"")</f>
        <v/>
      </c>
      <c r="D13360" s="42"/>
      <c r="E13360" s="42"/>
      <c r="F13360" s="48" t="str">
        <f>IFERROR(__xludf.DUMMYFUNCTION("""COMPUTED_VALUE"""),"")</f>
        <v/>
      </c>
      <c r="G13360" s="42" t="str">
        <f>IFERROR(__xludf.DUMMYFUNCTION("""COMPUTED_VALUE"""),"")</f>
        <v/>
      </c>
      <c r="H13360" s="42">
        <f t="shared" si="1"/>
        <v>3345</v>
      </c>
    </row>
    <row r="13361" ht="22.5" customHeight="1">
      <c r="B13361" s="42" t="str">
        <f>IFERROR(__xludf.DUMMYFUNCTION("""COMPUTED_VALUE"""),"")</f>
        <v/>
      </c>
      <c r="C13361" s="42" t="str">
        <f>IFERROR(__xludf.DUMMYFUNCTION("""COMPUTED_VALUE"""),"")</f>
        <v/>
      </c>
      <c r="D13361" s="42"/>
      <c r="E13361" s="42"/>
      <c r="F13361" s="48" t="str">
        <f>IFERROR(__xludf.DUMMYFUNCTION("""COMPUTED_VALUE"""),"")</f>
        <v/>
      </c>
      <c r="G13361" s="42" t="str">
        <f>IFERROR(__xludf.DUMMYFUNCTION("""COMPUTED_VALUE"""),"")</f>
        <v/>
      </c>
      <c r="H13361" s="42">
        <f t="shared" si="1"/>
        <v>3345</v>
      </c>
    </row>
    <row r="13362" ht="22.5" customHeight="1">
      <c r="B13362" s="42" t="str">
        <f>IFERROR(__xludf.DUMMYFUNCTION("""COMPUTED_VALUE"""),"")</f>
        <v/>
      </c>
      <c r="C13362" s="42" t="str">
        <f>IFERROR(__xludf.DUMMYFUNCTION("""COMPUTED_VALUE"""),"")</f>
        <v/>
      </c>
      <c r="D13362" s="42"/>
      <c r="E13362" s="42"/>
      <c r="F13362" s="48" t="str">
        <f>IFERROR(__xludf.DUMMYFUNCTION("""COMPUTED_VALUE"""),"")</f>
        <v/>
      </c>
      <c r="G13362" s="42" t="str">
        <f>IFERROR(__xludf.DUMMYFUNCTION("""COMPUTED_VALUE"""),"")</f>
        <v/>
      </c>
      <c r="H13362" s="42">
        <f t="shared" si="1"/>
        <v>3345</v>
      </c>
    </row>
    <row r="13363" ht="22.5" customHeight="1">
      <c r="B13363" s="42" t="str">
        <f>IFERROR(__xludf.DUMMYFUNCTION("""COMPUTED_VALUE"""),"")</f>
        <v/>
      </c>
      <c r="C13363" s="42" t="str">
        <f>IFERROR(__xludf.DUMMYFUNCTION("""COMPUTED_VALUE"""),"")</f>
        <v/>
      </c>
      <c r="D13363" s="42"/>
      <c r="E13363" s="42"/>
      <c r="F13363" s="48" t="str">
        <f>IFERROR(__xludf.DUMMYFUNCTION("""COMPUTED_VALUE"""),"")</f>
        <v/>
      </c>
      <c r="G13363" s="42" t="str">
        <f>IFERROR(__xludf.DUMMYFUNCTION("""COMPUTED_VALUE"""),"")</f>
        <v/>
      </c>
      <c r="H13363" s="42">
        <f t="shared" si="1"/>
        <v>3345</v>
      </c>
    </row>
    <row r="13364" ht="22.5" customHeight="1">
      <c r="B13364" s="42" t="str">
        <f>IFERROR(__xludf.DUMMYFUNCTION("""COMPUTED_VALUE"""),"")</f>
        <v/>
      </c>
      <c r="C13364" s="42" t="str">
        <f>IFERROR(__xludf.DUMMYFUNCTION("""COMPUTED_VALUE"""),"")</f>
        <v/>
      </c>
      <c r="D13364" s="42"/>
      <c r="E13364" s="42"/>
      <c r="F13364" s="48" t="str">
        <f>IFERROR(__xludf.DUMMYFUNCTION("""COMPUTED_VALUE"""),"")</f>
        <v/>
      </c>
      <c r="G13364" s="42" t="str">
        <f>IFERROR(__xludf.DUMMYFUNCTION("""COMPUTED_VALUE"""),"")</f>
        <v/>
      </c>
      <c r="H13364" s="42">
        <f t="shared" si="1"/>
        <v>3345</v>
      </c>
    </row>
    <row r="13365" ht="22.5" customHeight="1">
      <c r="B13365" s="42" t="str">
        <f>IFERROR(__xludf.DUMMYFUNCTION("""COMPUTED_VALUE"""),"")</f>
        <v/>
      </c>
      <c r="C13365" s="42" t="str">
        <f>IFERROR(__xludf.DUMMYFUNCTION("""COMPUTED_VALUE"""),"")</f>
        <v/>
      </c>
      <c r="D13365" s="42"/>
      <c r="E13365" s="42"/>
      <c r="F13365" s="48" t="str">
        <f>IFERROR(__xludf.DUMMYFUNCTION("""COMPUTED_VALUE"""),"")</f>
        <v/>
      </c>
      <c r="G13365" s="42" t="str">
        <f>IFERROR(__xludf.DUMMYFUNCTION("""COMPUTED_VALUE"""),"")</f>
        <v/>
      </c>
      <c r="H13365" s="42">
        <f t="shared" si="1"/>
        <v>3345</v>
      </c>
    </row>
    <row r="13366" ht="22.5" customHeight="1">
      <c r="B13366" s="42" t="str">
        <f>IFERROR(__xludf.DUMMYFUNCTION("""COMPUTED_VALUE"""),"")</f>
        <v/>
      </c>
      <c r="C13366" s="42" t="str">
        <f>IFERROR(__xludf.DUMMYFUNCTION("""COMPUTED_VALUE"""),"")</f>
        <v/>
      </c>
      <c r="D13366" s="42"/>
      <c r="E13366" s="42"/>
      <c r="F13366" s="48" t="str">
        <f>IFERROR(__xludf.DUMMYFUNCTION("""COMPUTED_VALUE"""),"")</f>
        <v/>
      </c>
      <c r="G13366" s="42" t="str">
        <f>IFERROR(__xludf.DUMMYFUNCTION("""COMPUTED_VALUE"""),"")</f>
        <v/>
      </c>
      <c r="H13366" s="42">
        <f t="shared" si="1"/>
        <v>3345</v>
      </c>
    </row>
    <row r="13367" ht="22.5" customHeight="1">
      <c r="B13367" s="42" t="str">
        <f>IFERROR(__xludf.DUMMYFUNCTION("""COMPUTED_VALUE"""),"")</f>
        <v/>
      </c>
      <c r="C13367" s="42" t="str">
        <f>IFERROR(__xludf.DUMMYFUNCTION("""COMPUTED_VALUE"""),"")</f>
        <v/>
      </c>
      <c r="D13367" s="42"/>
      <c r="E13367" s="42"/>
      <c r="F13367" s="48" t="str">
        <f>IFERROR(__xludf.DUMMYFUNCTION("""COMPUTED_VALUE"""),"")</f>
        <v/>
      </c>
      <c r="G13367" s="42" t="str">
        <f>IFERROR(__xludf.DUMMYFUNCTION("""COMPUTED_VALUE"""),"")</f>
        <v/>
      </c>
      <c r="H13367" s="42">
        <f t="shared" si="1"/>
        <v>3345</v>
      </c>
    </row>
    <row r="13368" ht="22.5" customHeight="1">
      <c r="B13368" s="42" t="str">
        <f>IFERROR(__xludf.DUMMYFUNCTION("""COMPUTED_VALUE"""),"")</f>
        <v/>
      </c>
      <c r="C13368" s="42" t="str">
        <f>IFERROR(__xludf.DUMMYFUNCTION("""COMPUTED_VALUE"""),"")</f>
        <v/>
      </c>
      <c r="D13368" s="42"/>
      <c r="E13368" s="42"/>
      <c r="F13368" s="48" t="str">
        <f>IFERROR(__xludf.DUMMYFUNCTION("""COMPUTED_VALUE"""),"")</f>
        <v/>
      </c>
      <c r="G13368" s="42" t="str">
        <f>IFERROR(__xludf.DUMMYFUNCTION("""COMPUTED_VALUE"""),"")</f>
        <v/>
      </c>
      <c r="H13368" s="42">
        <f t="shared" si="1"/>
        <v>3345</v>
      </c>
    </row>
    <row r="13369" ht="22.5" customHeight="1">
      <c r="B13369" s="42" t="str">
        <f>IFERROR(__xludf.DUMMYFUNCTION("""COMPUTED_VALUE"""),"")</f>
        <v/>
      </c>
      <c r="C13369" s="42" t="str">
        <f>IFERROR(__xludf.DUMMYFUNCTION("""COMPUTED_VALUE"""),"")</f>
        <v/>
      </c>
      <c r="D13369" s="42"/>
      <c r="E13369" s="42"/>
      <c r="F13369" s="48" t="str">
        <f>IFERROR(__xludf.DUMMYFUNCTION("""COMPUTED_VALUE"""),"")</f>
        <v/>
      </c>
      <c r="G13369" s="42" t="str">
        <f>IFERROR(__xludf.DUMMYFUNCTION("""COMPUTED_VALUE"""),"")</f>
        <v/>
      </c>
      <c r="H13369" s="42">
        <f t="shared" si="1"/>
        <v>3345</v>
      </c>
    </row>
    <row r="13370" ht="22.5" customHeight="1">
      <c r="B13370" s="42" t="str">
        <f>IFERROR(__xludf.DUMMYFUNCTION("""COMPUTED_VALUE"""),"")</f>
        <v/>
      </c>
      <c r="C13370" s="42" t="str">
        <f>IFERROR(__xludf.DUMMYFUNCTION("""COMPUTED_VALUE"""),"")</f>
        <v/>
      </c>
      <c r="D13370" s="42"/>
      <c r="E13370" s="42"/>
      <c r="F13370" s="48" t="str">
        <f>IFERROR(__xludf.DUMMYFUNCTION("""COMPUTED_VALUE"""),"")</f>
        <v/>
      </c>
      <c r="G13370" s="42" t="str">
        <f>IFERROR(__xludf.DUMMYFUNCTION("""COMPUTED_VALUE"""),"")</f>
        <v/>
      </c>
      <c r="H13370" s="42">
        <f t="shared" si="1"/>
        <v>3345</v>
      </c>
    </row>
    <row r="13371" ht="22.5" customHeight="1">
      <c r="B13371" s="42" t="str">
        <f>IFERROR(__xludf.DUMMYFUNCTION("""COMPUTED_VALUE"""),"")</f>
        <v/>
      </c>
      <c r="C13371" s="42" t="str">
        <f>IFERROR(__xludf.DUMMYFUNCTION("""COMPUTED_VALUE"""),"")</f>
        <v/>
      </c>
      <c r="D13371" s="42"/>
      <c r="E13371" s="42"/>
      <c r="F13371" s="48" t="str">
        <f>IFERROR(__xludf.DUMMYFUNCTION("""COMPUTED_VALUE"""),"")</f>
        <v/>
      </c>
      <c r="G13371" s="42" t="str">
        <f>IFERROR(__xludf.DUMMYFUNCTION("""COMPUTED_VALUE"""),"")</f>
        <v/>
      </c>
      <c r="H13371" s="42">
        <f t="shared" si="1"/>
        <v>3345</v>
      </c>
    </row>
    <row r="13372" ht="22.5" customHeight="1">
      <c r="B13372" s="42" t="str">
        <f>IFERROR(__xludf.DUMMYFUNCTION("""COMPUTED_VALUE"""),"")</f>
        <v/>
      </c>
      <c r="C13372" s="42" t="str">
        <f>IFERROR(__xludf.DUMMYFUNCTION("""COMPUTED_VALUE"""),"")</f>
        <v/>
      </c>
      <c r="D13372" s="42"/>
      <c r="E13372" s="42"/>
      <c r="F13372" s="48" t="str">
        <f>IFERROR(__xludf.DUMMYFUNCTION("""COMPUTED_VALUE"""),"")</f>
        <v/>
      </c>
      <c r="G13372" s="42" t="str">
        <f>IFERROR(__xludf.DUMMYFUNCTION("""COMPUTED_VALUE"""),"")</f>
        <v/>
      </c>
      <c r="H13372" s="42">
        <f t="shared" si="1"/>
        <v>3345</v>
      </c>
    </row>
    <row r="13373" ht="22.5" customHeight="1">
      <c r="B13373" s="42" t="str">
        <f>IFERROR(__xludf.DUMMYFUNCTION("""COMPUTED_VALUE"""),"")</f>
        <v/>
      </c>
      <c r="C13373" s="42" t="str">
        <f>IFERROR(__xludf.DUMMYFUNCTION("""COMPUTED_VALUE"""),"")</f>
        <v/>
      </c>
      <c r="D13373" s="42"/>
      <c r="E13373" s="42"/>
      <c r="F13373" s="48" t="str">
        <f>IFERROR(__xludf.DUMMYFUNCTION("""COMPUTED_VALUE"""),"")</f>
        <v/>
      </c>
      <c r="G13373" s="42" t="str">
        <f>IFERROR(__xludf.DUMMYFUNCTION("""COMPUTED_VALUE"""),"")</f>
        <v/>
      </c>
      <c r="H13373" s="42">
        <f t="shared" si="1"/>
        <v>3345</v>
      </c>
    </row>
    <row r="13374" ht="22.5" customHeight="1">
      <c r="B13374" s="42" t="str">
        <f>IFERROR(__xludf.DUMMYFUNCTION("""COMPUTED_VALUE"""),"")</f>
        <v/>
      </c>
      <c r="C13374" s="42" t="str">
        <f>IFERROR(__xludf.DUMMYFUNCTION("""COMPUTED_VALUE"""),"")</f>
        <v/>
      </c>
      <c r="D13374" s="42"/>
      <c r="E13374" s="42"/>
      <c r="F13374" s="48" t="str">
        <f>IFERROR(__xludf.DUMMYFUNCTION("""COMPUTED_VALUE"""),"")</f>
        <v/>
      </c>
      <c r="G13374" s="42" t="str">
        <f>IFERROR(__xludf.DUMMYFUNCTION("""COMPUTED_VALUE"""),"")</f>
        <v/>
      </c>
      <c r="H13374" s="42">
        <f t="shared" si="1"/>
        <v>3345</v>
      </c>
    </row>
    <row r="13375" ht="22.5" customHeight="1">
      <c r="B13375" s="42" t="str">
        <f>IFERROR(__xludf.DUMMYFUNCTION("""COMPUTED_VALUE"""),"")</f>
        <v/>
      </c>
      <c r="C13375" s="42" t="str">
        <f>IFERROR(__xludf.DUMMYFUNCTION("""COMPUTED_VALUE"""),"")</f>
        <v/>
      </c>
      <c r="D13375" s="42"/>
      <c r="E13375" s="42"/>
      <c r="F13375" s="48" t="str">
        <f>IFERROR(__xludf.DUMMYFUNCTION("""COMPUTED_VALUE"""),"")</f>
        <v/>
      </c>
      <c r="G13375" s="42" t="str">
        <f>IFERROR(__xludf.DUMMYFUNCTION("""COMPUTED_VALUE"""),"")</f>
        <v/>
      </c>
      <c r="H13375" s="42">
        <f t="shared" si="1"/>
        <v>3345</v>
      </c>
    </row>
    <row r="13376" ht="22.5" customHeight="1">
      <c r="B13376" s="42" t="str">
        <f>IFERROR(__xludf.DUMMYFUNCTION("""COMPUTED_VALUE"""),"")</f>
        <v/>
      </c>
      <c r="C13376" s="42" t="str">
        <f>IFERROR(__xludf.DUMMYFUNCTION("""COMPUTED_VALUE"""),"")</f>
        <v/>
      </c>
      <c r="D13376" s="42"/>
      <c r="E13376" s="42"/>
      <c r="F13376" s="48" t="str">
        <f>IFERROR(__xludf.DUMMYFUNCTION("""COMPUTED_VALUE"""),"")</f>
        <v/>
      </c>
      <c r="G13376" s="42" t="str">
        <f>IFERROR(__xludf.DUMMYFUNCTION("""COMPUTED_VALUE"""),"")</f>
        <v/>
      </c>
      <c r="H13376" s="42">
        <f t="shared" si="1"/>
        <v>3345</v>
      </c>
    </row>
    <row r="13377" ht="22.5" customHeight="1">
      <c r="B13377" s="42" t="str">
        <f>IFERROR(__xludf.DUMMYFUNCTION("""COMPUTED_VALUE"""),"")</f>
        <v/>
      </c>
      <c r="C13377" s="42" t="str">
        <f>IFERROR(__xludf.DUMMYFUNCTION("""COMPUTED_VALUE"""),"")</f>
        <v/>
      </c>
      <c r="D13377" s="42"/>
      <c r="E13377" s="42"/>
      <c r="F13377" s="48" t="str">
        <f>IFERROR(__xludf.DUMMYFUNCTION("""COMPUTED_VALUE"""),"")</f>
        <v/>
      </c>
      <c r="G13377" s="42" t="str">
        <f>IFERROR(__xludf.DUMMYFUNCTION("""COMPUTED_VALUE"""),"")</f>
        <v/>
      </c>
      <c r="H13377" s="42">
        <f t="shared" si="1"/>
        <v>3345</v>
      </c>
    </row>
    <row r="13378" ht="22.5" customHeight="1">
      <c r="B13378" s="42" t="str">
        <f>IFERROR(__xludf.DUMMYFUNCTION("""COMPUTED_VALUE"""),"")</f>
        <v/>
      </c>
      <c r="C13378" s="42" t="str">
        <f>IFERROR(__xludf.DUMMYFUNCTION("""COMPUTED_VALUE"""),"")</f>
        <v/>
      </c>
      <c r="D13378" s="42"/>
      <c r="E13378" s="42"/>
      <c r="F13378" s="48" t="str">
        <f>IFERROR(__xludf.DUMMYFUNCTION("""COMPUTED_VALUE"""),"")</f>
        <v/>
      </c>
      <c r="G13378" s="42" t="str">
        <f>IFERROR(__xludf.DUMMYFUNCTION("""COMPUTED_VALUE"""),"")</f>
        <v/>
      </c>
      <c r="H13378" s="42">
        <f t="shared" si="1"/>
        <v>3345</v>
      </c>
    </row>
    <row r="13379" ht="22.5" customHeight="1">
      <c r="B13379" s="42" t="str">
        <f>IFERROR(__xludf.DUMMYFUNCTION("""COMPUTED_VALUE"""),"")</f>
        <v/>
      </c>
      <c r="C13379" s="42" t="str">
        <f>IFERROR(__xludf.DUMMYFUNCTION("""COMPUTED_VALUE"""),"")</f>
        <v/>
      </c>
      <c r="D13379" s="42"/>
      <c r="E13379" s="42"/>
      <c r="F13379" s="48" t="str">
        <f>IFERROR(__xludf.DUMMYFUNCTION("""COMPUTED_VALUE"""),"")</f>
        <v/>
      </c>
      <c r="G13379" s="42" t="str">
        <f>IFERROR(__xludf.DUMMYFUNCTION("""COMPUTED_VALUE"""),"")</f>
        <v/>
      </c>
      <c r="H13379" s="42">
        <f t="shared" si="1"/>
        <v>3345</v>
      </c>
    </row>
    <row r="13380" ht="22.5" customHeight="1">
      <c r="B13380" s="42" t="str">
        <f>IFERROR(__xludf.DUMMYFUNCTION("""COMPUTED_VALUE"""),"")</f>
        <v/>
      </c>
      <c r="C13380" s="42" t="str">
        <f>IFERROR(__xludf.DUMMYFUNCTION("""COMPUTED_VALUE"""),"")</f>
        <v/>
      </c>
      <c r="D13380" s="42"/>
      <c r="E13380" s="42"/>
      <c r="F13380" s="48" t="str">
        <f>IFERROR(__xludf.DUMMYFUNCTION("""COMPUTED_VALUE"""),"")</f>
        <v/>
      </c>
      <c r="G13380" s="42" t="str">
        <f>IFERROR(__xludf.DUMMYFUNCTION("""COMPUTED_VALUE"""),"")</f>
        <v/>
      </c>
      <c r="H13380" s="42">
        <f t="shared" si="1"/>
        <v>3345</v>
      </c>
    </row>
    <row r="13381" ht="22.5" customHeight="1">
      <c r="B13381" s="42" t="str">
        <f>IFERROR(__xludf.DUMMYFUNCTION("""COMPUTED_VALUE"""),"")</f>
        <v/>
      </c>
      <c r="C13381" s="42" t="str">
        <f>IFERROR(__xludf.DUMMYFUNCTION("""COMPUTED_VALUE"""),"")</f>
        <v/>
      </c>
      <c r="D13381" s="42"/>
      <c r="E13381" s="42"/>
      <c r="F13381" s="48" t="str">
        <f>IFERROR(__xludf.DUMMYFUNCTION("""COMPUTED_VALUE"""),"")</f>
        <v/>
      </c>
      <c r="G13381" s="42" t="str">
        <f>IFERROR(__xludf.DUMMYFUNCTION("""COMPUTED_VALUE"""),"")</f>
        <v/>
      </c>
      <c r="H13381" s="42">
        <f t="shared" si="1"/>
        <v>3345</v>
      </c>
    </row>
    <row r="13382" ht="22.5" customHeight="1">
      <c r="B13382" s="42" t="str">
        <f>IFERROR(__xludf.DUMMYFUNCTION("""COMPUTED_VALUE"""),"")</f>
        <v/>
      </c>
      <c r="C13382" s="42" t="str">
        <f>IFERROR(__xludf.DUMMYFUNCTION("""COMPUTED_VALUE"""),"")</f>
        <v/>
      </c>
      <c r="D13382" s="42"/>
      <c r="E13382" s="42"/>
      <c r="F13382" s="48" t="str">
        <f>IFERROR(__xludf.DUMMYFUNCTION("""COMPUTED_VALUE"""),"")</f>
        <v/>
      </c>
      <c r="G13382" s="42" t="str">
        <f>IFERROR(__xludf.DUMMYFUNCTION("""COMPUTED_VALUE"""),"")</f>
        <v/>
      </c>
      <c r="H13382" s="42">
        <f t="shared" si="1"/>
        <v>3345</v>
      </c>
    </row>
    <row r="13383" ht="22.5" customHeight="1">
      <c r="B13383" s="42" t="str">
        <f>IFERROR(__xludf.DUMMYFUNCTION("""COMPUTED_VALUE"""),"")</f>
        <v/>
      </c>
      <c r="C13383" s="42" t="str">
        <f>IFERROR(__xludf.DUMMYFUNCTION("""COMPUTED_VALUE"""),"")</f>
        <v/>
      </c>
      <c r="D13383" s="42"/>
      <c r="E13383" s="42"/>
      <c r="F13383" s="48" t="str">
        <f>IFERROR(__xludf.DUMMYFUNCTION("""COMPUTED_VALUE"""),"")</f>
        <v/>
      </c>
      <c r="G13383" s="42" t="str">
        <f>IFERROR(__xludf.DUMMYFUNCTION("""COMPUTED_VALUE"""),"")</f>
        <v/>
      </c>
      <c r="H13383" s="42">
        <f t="shared" si="1"/>
        <v>3345</v>
      </c>
    </row>
    <row r="13384" ht="22.5" customHeight="1">
      <c r="B13384" s="42" t="str">
        <f>IFERROR(__xludf.DUMMYFUNCTION("""COMPUTED_VALUE"""),"")</f>
        <v/>
      </c>
      <c r="C13384" s="42" t="str">
        <f>IFERROR(__xludf.DUMMYFUNCTION("""COMPUTED_VALUE"""),"")</f>
        <v/>
      </c>
      <c r="D13384" s="42"/>
      <c r="E13384" s="42"/>
      <c r="F13384" s="48" t="str">
        <f>IFERROR(__xludf.DUMMYFUNCTION("""COMPUTED_VALUE"""),"")</f>
        <v/>
      </c>
      <c r="G13384" s="42" t="str">
        <f>IFERROR(__xludf.DUMMYFUNCTION("""COMPUTED_VALUE"""),"")</f>
        <v/>
      </c>
      <c r="H13384" s="42">
        <f t="shared" si="1"/>
        <v>3345</v>
      </c>
    </row>
    <row r="13385" ht="22.5" customHeight="1">
      <c r="B13385" s="42" t="str">
        <f>IFERROR(__xludf.DUMMYFUNCTION("""COMPUTED_VALUE"""),"")</f>
        <v/>
      </c>
      <c r="C13385" s="42" t="str">
        <f>IFERROR(__xludf.DUMMYFUNCTION("""COMPUTED_VALUE"""),"")</f>
        <v/>
      </c>
      <c r="D13385" s="42"/>
      <c r="E13385" s="42"/>
      <c r="F13385" s="48" t="str">
        <f>IFERROR(__xludf.DUMMYFUNCTION("""COMPUTED_VALUE"""),"")</f>
        <v/>
      </c>
      <c r="G13385" s="42" t="str">
        <f>IFERROR(__xludf.DUMMYFUNCTION("""COMPUTED_VALUE"""),"")</f>
        <v/>
      </c>
      <c r="H13385" s="42">
        <f t="shared" si="1"/>
        <v>3345</v>
      </c>
    </row>
    <row r="13386" ht="22.5" customHeight="1">
      <c r="B13386" s="42" t="str">
        <f>IFERROR(__xludf.DUMMYFUNCTION("""COMPUTED_VALUE"""),"")</f>
        <v/>
      </c>
      <c r="C13386" s="42" t="str">
        <f>IFERROR(__xludf.DUMMYFUNCTION("""COMPUTED_VALUE"""),"")</f>
        <v/>
      </c>
      <c r="D13386" s="42"/>
      <c r="E13386" s="42"/>
      <c r="F13386" s="48" t="str">
        <f>IFERROR(__xludf.DUMMYFUNCTION("""COMPUTED_VALUE"""),"")</f>
        <v/>
      </c>
      <c r="G13386" s="42" t="str">
        <f>IFERROR(__xludf.DUMMYFUNCTION("""COMPUTED_VALUE"""),"")</f>
        <v/>
      </c>
      <c r="H13386" s="42">
        <f t="shared" si="1"/>
        <v>3345</v>
      </c>
    </row>
    <row r="13387" ht="22.5" customHeight="1">
      <c r="B13387" s="42" t="str">
        <f>IFERROR(__xludf.DUMMYFUNCTION("""COMPUTED_VALUE"""),"")</f>
        <v/>
      </c>
      <c r="C13387" s="42" t="str">
        <f>IFERROR(__xludf.DUMMYFUNCTION("""COMPUTED_VALUE"""),"")</f>
        <v/>
      </c>
      <c r="D13387" s="42"/>
      <c r="E13387" s="42"/>
      <c r="F13387" s="48" t="str">
        <f>IFERROR(__xludf.DUMMYFUNCTION("""COMPUTED_VALUE"""),"")</f>
        <v/>
      </c>
      <c r="G13387" s="42" t="str">
        <f>IFERROR(__xludf.DUMMYFUNCTION("""COMPUTED_VALUE"""),"")</f>
        <v/>
      </c>
      <c r="H13387" s="42">
        <f t="shared" si="1"/>
        <v>3345</v>
      </c>
    </row>
    <row r="13388" ht="22.5" customHeight="1">
      <c r="B13388" s="42" t="str">
        <f>IFERROR(__xludf.DUMMYFUNCTION("""COMPUTED_VALUE"""),"")</f>
        <v/>
      </c>
      <c r="C13388" s="42" t="str">
        <f>IFERROR(__xludf.DUMMYFUNCTION("""COMPUTED_VALUE"""),"")</f>
        <v/>
      </c>
      <c r="D13388" s="42"/>
      <c r="E13388" s="42"/>
      <c r="F13388" s="48" t="str">
        <f>IFERROR(__xludf.DUMMYFUNCTION("""COMPUTED_VALUE"""),"")</f>
        <v/>
      </c>
      <c r="G13388" s="42" t="str">
        <f>IFERROR(__xludf.DUMMYFUNCTION("""COMPUTED_VALUE"""),"")</f>
        <v/>
      </c>
      <c r="H13388" s="42">
        <f t="shared" si="1"/>
        <v>3345</v>
      </c>
    </row>
    <row r="13389" ht="22.5" customHeight="1">
      <c r="B13389" s="42" t="str">
        <f>IFERROR(__xludf.DUMMYFUNCTION("""COMPUTED_VALUE"""),"")</f>
        <v/>
      </c>
      <c r="C13389" s="42" t="str">
        <f>IFERROR(__xludf.DUMMYFUNCTION("""COMPUTED_VALUE"""),"")</f>
        <v/>
      </c>
      <c r="D13389" s="42"/>
      <c r="E13389" s="42"/>
      <c r="F13389" s="48" t="str">
        <f>IFERROR(__xludf.DUMMYFUNCTION("""COMPUTED_VALUE"""),"")</f>
        <v/>
      </c>
      <c r="G13389" s="42" t="str">
        <f>IFERROR(__xludf.DUMMYFUNCTION("""COMPUTED_VALUE"""),"")</f>
        <v/>
      </c>
      <c r="H13389" s="42">
        <f t="shared" si="1"/>
        <v>3345</v>
      </c>
    </row>
    <row r="13390" ht="22.5" customHeight="1">
      <c r="B13390" s="42" t="str">
        <f>IFERROR(__xludf.DUMMYFUNCTION("""COMPUTED_VALUE"""),"")</f>
        <v/>
      </c>
      <c r="C13390" s="42" t="str">
        <f>IFERROR(__xludf.DUMMYFUNCTION("""COMPUTED_VALUE"""),"")</f>
        <v/>
      </c>
      <c r="D13390" s="42"/>
      <c r="E13390" s="42"/>
      <c r="F13390" s="48" t="str">
        <f>IFERROR(__xludf.DUMMYFUNCTION("""COMPUTED_VALUE"""),"")</f>
        <v/>
      </c>
      <c r="G13390" s="42" t="str">
        <f>IFERROR(__xludf.DUMMYFUNCTION("""COMPUTED_VALUE"""),"")</f>
        <v/>
      </c>
      <c r="H13390" s="42">
        <f t="shared" si="1"/>
        <v>3345</v>
      </c>
    </row>
    <row r="13391" ht="22.5" customHeight="1">
      <c r="B13391" s="42" t="str">
        <f>IFERROR(__xludf.DUMMYFUNCTION("""COMPUTED_VALUE"""),"")</f>
        <v/>
      </c>
      <c r="C13391" s="42" t="str">
        <f>IFERROR(__xludf.DUMMYFUNCTION("""COMPUTED_VALUE"""),"")</f>
        <v/>
      </c>
      <c r="D13391" s="42"/>
      <c r="E13391" s="42"/>
      <c r="F13391" s="48" t="str">
        <f>IFERROR(__xludf.DUMMYFUNCTION("""COMPUTED_VALUE"""),"")</f>
        <v/>
      </c>
      <c r="G13391" s="42" t="str">
        <f>IFERROR(__xludf.DUMMYFUNCTION("""COMPUTED_VALUE"""),"")</f>
        <v/>
      </c>
      <c r="H13391" s="42">
        <f t="shared" si="1"/>
        <v>3345</v>
      </c>
    </row>
    <row r="13392" ht="22.5" customHeight="1">
      <c r="B13392" s="42" t="str">
        <f>IFERROR(__xludf.DUMMYFUNCTION("""COMPUTED_VALUE"""),"")</f>
        <v/>
      </c>
      <c r="C13392" s="42" t="str">
        <f>IFERROR(__xludf.DUMMYFUNCTION("""COMPUTED_VALUE"""),"")</f>
        <v/>
      </c>
      <c r="D13392" s="42"/>
      <c r="E13392" s="42"/>
      <c r="F13392" s="48" t="str">
        <f>IFERROR(__xludf.DUMMYFUNCTION("""COMPUTED_VALUE"""),"")</f>
        <v/>
      </c>
      <c r="G13392" s="42" t="str">
        <f>IFERROR(__xludf.DUMMYFUNCTION("""COMPUTED_VALUE"""),"")</f>
        <v/>
      </c>
      <c r="H13392" s="42">
        <f t="shared" si="1"/>
        <v>3345</v>
      </c>
    </row>
    <row r="13393" ht="22.5" customHeight="1">
      <c r="B13393" s="42" t="str">
        <f>IFERROR(__xludf.DUMMYFUNCTION("""COMPUTED_VALUE"""),"")</f>
        <v/>
      </c>
      <c r="C13393" s="42" t="str">
        <f>IFERROR(__xludf.DUMMYFUNCTION("""COMPUTED_VALUE"""),"")</f>
        <v/>
      </c>
      <c r="D13393" s="42"/>
      <c r="E13393" s="42"/>
      <c r="F13393" s="48" t="str">
        <f>IFERROR(__xludf.DUMMYFUNCTION("""COMPUTED_VALUE"""),"")</f>
        <v/>
      </c>
      <c r="G13393" s="42" t="str">
        <f>IFERROR(__xludf.DUMMYFUNCTION("""COMPUTED_VALUE"""),"")</f>
        <v/>
      </c>
      <c r="H13393" s="42">
        <f t="shared" si="1"/>
        <v>3345</v>
      </c>
    </row>
    <row r="13394" ht="22.5" customHeight="1">
      <c r="B13394" s="42" t="str">
        <f>IFERROR(__xludf.DUMMYFUNCTION("""COMPUTED_VALUE"""),"")</f>
        <v/>
      </c>
      <c r="C13394" s="42" t="str">
        <f>IFERROR(__xludf.DUMMYFUNCTION("""COMPUTED_VALUE"""),"")</f>
        <v/>
      </c>
      <c r="D13394" s="42"/>
      <c r="E13394" s="42"/>
      <c r="F13394" s="48" t="str">
        <f>IFERROR(__xludf.DUMMYFUNCTION("""COMPUTED_VALUE"""),"")</f>
        <v/>
      </c>
      <c r="G13394" s="42" t="str">
        <f>IFERROR(__xludf.DUMMYFUNCTION("""COMPUTED_VALUE"""),"")</f>
        <v/>
      </c>
      <c r="H13394" s="42">
        <f t="shared" si="1"/>
        <v>3345</v>
      </c>
    </row>
    <row r="13395" ht="22.5" customHeight="1">
      <c r="B13395" s="42" t="str">
        <f>IFERROR(__xludf.DUMMYFUNCTION("""COMPUTED_VALUE"""),"")</f>
        <v/>
      </c>
      <c r="C13395" s="42" t="str">
        <f>IFERROR(__xludf.DUMMYFUNCTION("""COMPUTED_VALUE"""),"")</f>
        <v/>
      </c>
      <c r="D13395" s="42"/>
      <c r="E13395" s="42"/>
      <c r="F13395" s="48" t="str">
        <f>IFERROR(__xludf.DUMMYFUNCTION("""COMPUTED_VALUE"""),"")</f>
        <v/>
      </c>
      <c r="G13395" s="42" t="str">
        <f>IFERROR(__xludf.DUMMYFUNCTION("""COMPUTED_VALUE"""),"")</f>
        <v/>
      </c>
      <c r="H13395" s="42">
        <f t="shared" si="1"/>
        <v>3345</v>
      </c>
    </row>
    <row r="13396" ht="22.5" customHeight="1">
      <c r="B13396" s="42" t="str">
        <f>IFERROR(__xludf.DUMMYFUNCTION("""COMPUTED_VALUE"""),"")</f>
        <v/>
      </c>
      <c r="C13396" s="42" t="str">
        <f>IFERROR(__xludf.DUMMYFUNCTION("""COMPUTED_VALUE"""),"")</f>
        <v/>
      </c>
      <c r="D13396" s="42"/>
      <c r="E13396" s="42"/>
      <c r="F13396" s="48" t="str">
        <f>IFERROR(__xludf.DUMMYFUNCTION("""COMPUTED_VALUE"""),"")</f>
        <v/>
      </c>
      <c r="G13396" s="42" t="str">
        <f>IFERROR(__xludf.DUMMYFUNCTION("""COMPUTED_VALUE"""),"")</f>
        <v/>
      </c>
      <c r="H13396" s="42">
        <f t="shared" si="1"/>
        <v>3345</v>
      </c>
    </row>
    <row r="13397" ht="22.5" customHeight="1">
      <c r="B13397" s="42" t="str">
        <f>IFERROR(__xludf.DUMMYFUNCTION("""COMPUTED_VALUE"""),"")</f>
        <v/>
      </c>
      <c r="C13397" s="42" t="str">
        <f>IFERROR(__xludf.DUMMYFUNCTION("""COMPUTED_VALUE"""),"")</f>
        <v/>
      </c>
      <c r="D13397" s="42"/>
      <c r="E13397" s="42"/>
      <c r="F13397" s="48" t="str">
        <f>IFERROR(__xludf.DUMMYFUNCTION("""COMPUTED_VALUE"""),"")</f>
        <v/>
      </c>
      <c r="G13397" s="42" t="str">
        <f>IFERROR(__xludf.DUMMYFUNCTION("""COMPUTED_VALUE"""),"")</f>
        <v/>
      </c>
      <c r="H13397" s="42">
        <f t="shared" si="1"/>
        <v>3345</v>
      </c>
    </row>
    <row r="13398" ht="22.5" customHeight="1">
      <c r="B13398" s="42" t="str">
        <f>IFERROR(__xludf.DUMMYFUNCTION("""COMPUTED_VALUE"""),"")</f>
        <v/>
      </c>
      <c r="C13398" s="42" t="str">
        <f>IFERROR(__xludf.DUMMYFUNCTION("""COMPUTED_VALUE"""),"")</f>
        <v/>
      </c>
      <c r="D13398" s="42"/>
      <c r="E13398" s="42"/>
      <c r="F13398" s="48" t="str">
        <f>IFERROR(__xludf.DUMMYFUNCTION("""COMPUTED_VALUE"""),"")</f>
        <v/>
      </c>
      <c r="G13398" s="42" t="str">
        <f>IFERROR(__xludf.DUMMYFUNCTION("""COMPUTED_VALUE"""),"")</f>
        <v/>
      </c>
      <c r="H13398" s="42">
        <f t="shared" si="1"/>
        <v>3345</v>
      </c>
    </row>
    <row r="13399" ht="22.5" customHeight="1">
      <c r="B13399" s="42" t="str">
        <f>IFERROR(__xludf.DUMMYFUNCTION("""COMPUTED_VALUE"""),"")</f>
        <v/>
      </c>
      <c r="C13399" s="42" t="str">
        <f>IFERROR(__xludf.DUMMYFUNCTION("""COMPUTED_VALUE"""),"")</f>
        <v/>
      </c>
      <c r="D13399" s="42"/>
      <c r="E13399" s="42"/>
      <c r="F13399" s="48" t="str">
        <f>IFERROR(__xludf.DUMMYFUNCTION("""COMPUTED_VALUE"""),"")</f>
        <v/>
      </c>
      <c r="G13399" s="42" t="str">
        <f>IFERROR(__xludf.DUMMYFUNCTION("""COMPUTED_VALUE"""),"")</f>
        <v/>
      </c>
      <c r="H13399" s="42">
        <f t="shared" si="1"/>
        <v>3345</v>
      </c>
    </row>
    <row r="13400" ht="22.5" customHeight="1">
      <c r="B13400" s="42" t="str">
        <f>IFERROR(__xludf.DUMMYFUNCTION("""COMPUTED_VALUE"""),"")</f>
        <v/>
      </c>
      <c r="C13400" s="42" t="str">
        <f>IFERROR(__xludf.DUMMYFUNCTION("""COMPUTED_VALUE"""),"")</f>
        <v/>
      </c>
      <c r="D13400" s="42"/>
      <c r="E13400" s="42"/>
      <c r="F13400" s="48" t="str">
        <f>IFERROR(__xludf.DUMMYFUNCTION("""COMPUTED_VALUE"""),"")</f>
        <v/>
      </c>
      <c r="G13400" s="42" t="str">
        <f>IFERROR(__xludf.DUMMYFUNCTION("""COMPUTED_VALUE"""),"")</f>
        <v/>
      </c>
      <c r="H13400" s="42">
        <f t="shared" si="1"/>
        <v>3345</v>
      </c>
    </row>
    <row r="13401" ht="22.5" customHeight="1">
      <c r="B13401" s="42" t="str">
        <f>IFERROR(__xludf.DUMMYFUNCTION("""COMPUTED_VALUE"""),"")</f>
        <v/>
      </c>
      <c r="C13401" s="42" t="str">
        <f>IFERROR(__xludf.DUMMYFUNCTION("""COMPUTED_VALUE"""),"")</f>
        <v/>
      </c>
      <c r="D13401" s="42"/>
      <c r="E13401" s="42"/>
      <c r="F13401" s="48" t="str">
        <f>IFERROR(__xludf.DUMMYFUNCTION("""COMPUTED_VALUE"""),"")</f>
        <v/>
      </c>
      <c r="G13401" s="42" t="str">
        <f>IFERROR(__xludf.DUMMYFUNCTION("""COMPUTED_VALUE"""),"")</f>
        <v/>
      </c>
      <c r="H13401" s="42">
        <f t="shared" si="1"/>
        <v>3345</v>
      </c>
    </row>
    <row r="13402" ht="22.5" customHeight="1">
      <c r="B13402" s="42" t="str">
        <f>IFERROR(__xludf.DUMMYFUNCTION("""COMPUTED_VALUE"""),"")</f>
        <v/>
      </c>
      <c r="C13402" s="42" t="str">
        <f>IFERROR(__xludf.DUMMYFUNCTION("""COMPUTED_VALUE"""),"")</f>
        <v/>
      </c>
      <c r="D13402" s="42"/>
      <c r="E13402" s="42"/>
      <c r="F13402" s="48" t="str">
        <f>IFERROR(__xludf.DUMMYFUNCTION("""COMPUTED_VALUE"""),"")</f>
        <v/>
      </c>
      <c r="G13402" s="42" t="str">
        <f>IFERROR(__xludf.DUMMYFUNCTION("""COMPUTED_VALUE"""),"")</f>
        <v/>
      </c>
      <c r="H13402" s="42">
        <f t="shared" si="1"/>
        <v>3345</v>
      </c>
    </row>
    <row r="13403" ht="22.5" customHeight="1">
      <c r="B13403" s="42" t="str">
        <f>IFERROR(__xludf.DUMMYFUNCTION("""COMPUTED_VALUE"""),"")</f>
        <v/>
      </c>
      <c r="C13403" s="42" t="str">
        <f>IFERROR(__xludf.DUMMYFUNCTION("""COMPUTED_VALUE"""),"")</f>
        <v/>
      </c>
      <c r="D13403" s="42"/>
      <c r="E13403" s="42"/>
      <c r="F13403" s="48" t="str">
        <f>IFERROR(__xludf.DUMMYFUNCTION("""COMPUTED_VALUE"""),"")</f>
        <v/>
      </c>
      <c r="G13403" s="42" t="str">
        <f>IFERROR(__xludf.DUMMYFUNCTION("""COMPUTED_VALUE"""),"")</f>
        <v/>
      </c>
      <c r="H13403" s="42">
        <f t="shared" si="1"/>
        <v>3345</v>
      </c>
    </row>
    <row r="13404" ht="22.5" customHeight="1">
      <c r="B13404" s="42" t="str">
        <f>IFERROR(__xludf.DUMMYFUNCTION("""COMPUTED_VALUE"""),"")</f>
        <v/>
      </c>
      <c r="C13404" s="42" t="str">
        <f>IFERROR(__xludf.DUMMYFUNCTION("""COMPUTED_VALUE"""),"")</f>
        <v/>
      </c>
      <c r="D13404" s="42"/>
      <c r="E13404" s="42"/>
      <c r="F13404" s="48" t="str">
        <f>IFERROR(__xludf.DUMMYFUNCTION("""COMPUTED_VALUE"""),"")</f>
        <v/>
      </c>
      <c r="G13404" s="42" t="str">
        <f>IFERROR(__xludf.DUMMYFUNCTION("""COMPUTED_VALUE"""),"")</f>
        <v/>
      </c>
      <c r="H13404" s="42">
        <f t="shared" si="1"/>
        <v>3345</v>
      </c>
    </row>
    <row r="13405" ht="22.5" customHeight="1">
      <c r="B13405" s="42" t="str">
        <f>IFERROR(__xludf.DUMMYFUNCTION("""COMPUTED_VALUE"""),"")</f>
        <v/>
      </c>
      <c r="C13405" s="42" t="str">
        <f>IFERROR(__xludf.DUMMYFUNCTION("""COMPUTED_VALUE"""),"")</f>
        <v/>
      </c>
      <c r="D13405" s="42"/>
      <c r="E13405" s="42"/>
      <c r="F13405" s="48" t="str">
        <f>IFERROR(__xludf.DUMMYFUNCTION("""COMPUTED_VALUE"""),"")</f>
        <v/>
      </c>
      <c r="G13405" s="42" t="str">
        <f>IFERROR(__xludf.DUMMYFUNCTION("""COMPUTED_VALUE"""),"")</f>
        <v/>
      </c>
      <c r="H13405" s="42">
        <f t="shared" si="1"/>
        <v>3345</v>
      </c>
    </row>
    <row r="13406" ht="22.5" customHeight="1">
      <c r="B13406" s="42" t="str">
        <f>IFERROR(__xludf.DUMMYFUNCTION("""COMPUTED_VALUE"""),"")</f>
        <v/>
      </c>
      <c r="C13406" s="42" t="str">
        <f>IFERROR(__xludf.DUMMYFUNCTION("""COMPUTED_VALUE"""),"")</f>
        <v/>
      </c>
      <c r="D13406" s="42"/>
      <c r="E13406" s="42"/>
      <c r="F13406" s="48" t="str">
        <f>IFERROR(__xludf.DUMMYFUNCTION("""COMPUTED_VALUE"""),"")</f>
        <v/>
      </c>
      <c r="G13406" s="42" t="str">
        <f>IFERROR(__xludf.DUMMYFUNCTION("""COMPUTED_VALUE"""),"")</f>
        <v/>
      </c>
      <c r="H13406" s="42">
        <f t="shared" si="1"/>
        <v>3345</v>
      </c>
    </row>
    <row r="13407" ht="22.5" customHeight="1">
      <c r="B13407" s="42" t="str">
        <f>IFERROR(__xludf.DUMMYFUNCTION("""COMPUTED_VALUE"""),"")</f>
        <v/>
      </c>
      <c r="C13407" s="42" t="str">
        <f>IFERROR(__xludf.DUMMYFUNCTION("""COMPUTED_VALUE"""),"")</f>
        <v/>
      </c>
      <c r="D13407" s="42"/>
      <c r="E13407" s="42"/>
      <c r="F13407" s="48" t="str">
        <f>IFERROR(__xludf.DUMMYFUNCTION("""COMPUTED_VALUE"""),"")</f>
        <v/>
      </c>
      <c r="G13407" s="42" t="str">
        <f>IFERROR(__xludf.DUMMYFUNCTION("""COMPUTED_VALUE"""),"")</f>
        <v/>
      </c>
      <c r="H13407" s="42">
        <f t="shared" si="1"/>
        <v>3345</v>
      </c>
    </row>
    <row r="13408" ht="22.5" customHeight="1">
      <c r="B13408" s="42" t="str">
        <f>IFERROR(__xludf.DUMMYFUNCTION("""COMPUTED_VALUE"""),"")</f>
        <v/>
      </c>
      <c r="C13408" s="42" t="str">
        <f>IFERROR(__xludf.DUMMYFUNCTION("""COMPUTED_VALUE"""),"")</f>
        <v/>
      </c>
      <c r="D13408" s="42"/>
      <c r="E13408" s="42"/>
      <c r="F13408" s="48" t="str">
        <f>IFERROR(__xludf.DUMMYFUNCTION("""COMPUTED_VALUE"""),"")</f>
        <v/>
      </c>
      <c r="G13408" s="42" t="str">
        <f>IFERROR(__xludf.DUMMYFUNCTION("""COMPUTED_VALUE"""),"")</f>
        <v/>
      </c>
      <c r="H13408" s="42">
        <f t="shared" si="1"/>
        <v>3345</v>
      </c>
    </row>
    <row r="13409" ht="22.5" customHeight="1">
      <c r="B13409" s="42" t="str">
        <f>IFERROR(__xludf.DUMMYFUNCTION("""COMPUTED_VALUE"""),"")</f>
        <v/>
      </c>
      <c r="C13409" s="42" t="str">
        <f>IFERROR(__xludf.DUMMYFUNCTION("""COMPUTED_VALUE"""),"")</f>
        <v/>
      </c>
      <c r="D13409" s="42"/>
      <c r="E13409" s="42"/>
      <c r="F13409" s="48" t="str">
        <f>IFERROR(__xludf.DUMMYFUNCTION("""COMPUTED_VALUE"""),"")</f>
        <v/>
      </c>
      <c r="G13409" s="42" t="str">
        <f>IFERROR(__xludf.DUMMYFUNCTION("""COMPUTED_VALUE"""),"")</f>
        <v/>
      </c>
      <c r="H13409" s="42">
        <f t="shared" si="1"/>
        <v>3345</v>
      </c>
    </row>
    <row r="13410" ht="22.5" customHeight="1">
      <c r="B13410" s="42" t="str">
        <f>IFERROR(__xludf.DUMMYFUNCTION("""COMPUTED_VALUE"""),"")</f>
        <v/>
      </c>
      <c r="C13410" s="42" t="str">
        <f>IFERROR(__xludf.DUMMYFUNCTION("""COMPUTED_VALUE"""),"")</f>
        <v/>
      </c>
      <c r="D13410" s="42"/>
      <c r="E13410" s="42"/>
      <c r="F13410" s="48" t="str">
        <f>IFERROR(__xludf.DUMMYFUNCTION("""COMPUTED_VALUE"""),"")</f>
        <v/>
      </c>
      <c r="G13410" s="42" t="str">
        <f>IFERROR(__xludf.DUMMYFUNCTION("""COMPUTED_VALUE"""),"")</f>
        <v/>
      </c>
      <c r="H13410" s="42">
        <f t="shared" si="1"/>
        <v>3345</v>
      </c>
    </row>
    <row r="13411" ht="22.5" customHeight="1">
      <c r="B13411" s="42" t="str">
        <f>IFERROR(__xludf.DUMMYFUNCTION("""COMPUTED_VALUE"""),"")</f>
        <v/>
      </c>
      <c r="C13411" s="42" t="str">
        <f>IFERROR(__xludf.DUMMYFUNCTION("""COMPUTED_VALUE"""),"")</f>
        <v/>
      </c>
      <c r="D13411" s="42"/>
      <c r="E13411" s="42"/>
      <c r="F13411" s="48" t="str">
        <f>IFERROR(__xludf.DUMMYFUNCTION("""COMPUTED_VALUE"""),"")</f>
        <v/>
      </c>
      <c r="G13411" s="42" t="str">
        <f>IFERROR(__xludf.DUMMYFUNCTION("""COMPUTED_VALUE"""),"")</f>
        <v/>
      </c>
      <c r="H13411" s="42">
        <f t="shared" si="1"/>
        <v>3345</v>
      </c>
    </row>
    <row r="13412" ht="22.5" customHeight="1">
      <c r="B13412" s="42" t="str">
        <f>IFERROR(__xludf.DUMMYFUNCTION("""COMPUTED_VALUE"""),"")</f>
        <v/>
      </c>
      <c r="C13412" s="42" t="str">
        <f>IFERROR(__xludf.DUMMYFUNCTION("""COMPUTED_VALUE"""),"")</f>
        <v/>
      </c>
      <c r="D13412" s="42"/>
      <c r="E13412" s="42"/>
      <c r="F13412" s="48" t="str">
        <f>IFERROR(__xludf.DUMMYFUNCTION("""COMPUTED_VALUE"""),"")</f>
        <v/>
      </c>
      <c r="G13412" s="42" t="str">
        <f>IFERROR(__xludf.DUMMYFUNCTION("""COMPUTED_VALUE"""),"")</f>
        <v/>
      </c>
      <c r="H13412" s="42">
        <f t="shared" si="1"/>
        <v>3345</v>
      </c>
    </row>
    <row r="13413" ht="22.5" customHeight="1">
      <c r="B13413" s="42" t="str">
        <f>IFERROR(__xludf.DUMMYFUNCTION("""COMPUTED_VALUE"""),"")</f>
        <v/>
      </c>
      <c r="C13413" s="42" t="str">
        <f>IFERROR(__xludf.DUMMYFUNCTION("""COMPUTED_VALUE"""),"")</f>
        <v/>
      </c>
      <c r="D13413" s="42"/>
      <c r="E13413" s="42"/>
      <c r="F13413" s="48" t="str">
        <f>IFERROR(__xludf.DUMMYFUNCTION("""COMPUTED_VALUE"""),"")</f>
        <v/>
      </c>
      <c r="G13413" s="42" t="str">
        <f>IFERROR(__xludf.DUMMYFUNCTION("""COMPUTED_VALUE"""),"")</f>
        <v/>
      </c>
      <c r="H13413" s="42">
        <f t="shared" si="1"/>
        <v>3345</v>
      </c>
    </row>
    <row r="13414" ht="22.5" customHeight="1">
      <c r="B13414" s="42" t="str">
        <f>IFERROR(__xludf.DUMMYFUNCTION("""COMPUTED_VALUE"""),"")</f>
        <v/>
      </c>
      <c r="C13414" s="42" t="str">
        <f>IFERROR(__xludf.DUMMYFUNCTION("""COMPUTED_VALUE"""),"")</f>
        <v/>
      </c>
      <c r="D13414" s="42"/>
      <c r="E13414" s="42"/>
      <c r="F13414" s="48" t="str">
        <f>IFERROR(__xludf.DUMMYFUNCTION("""COMPUTED_VALUE"""),"")</f>
        <v/>
      </c>
      <c r="G13414" s="42" t="str">
        <f>IFERROR(__xludf.DUMMYFUNCTION("""COMPUTED_VALUE"""),"")</f>
        <v/>
      </c>
      <c r="H13414" s="42">
        <f t="shared" si="1"/>
        <v>3345</v>
      </c>
    </row>
    <row r="13415" ht="22.5" customHeight="1">
      <c r="B13415" s="42" t="str">
        <f>IFERROR(__xludf.DUMMYFUNCTION("""COMPUTED_VALUE"""),"")</f>
        <v/>
      </c>
      <c r="C13415" s="42" t="str">
        <f>IFERROR(__xludf.DUMMYFUNCTION("""COMPUTED_VALUE"""),"")</f>
        <v/>
      </c>
      <c r="D13415" s="42"/>
      <c r="E13415" s="42"/>
      <c r="F13415" s="48" t="str">
        <f>IFERROR(__xludf.DUMMYFUNCTION("""COMPUTED_VALUE"""),"")</f>
        <v/>
      </c>
      <c r="G13415" s="42" t="str">
        <f>IFERROR(__xludf.DUMMYFUNCTION("""COMPUTED_VALUE"""),"")</f>
        <v/>
      </c>
      <c r="H13415" s="42">
        <f t="shared" si="1"/>
        <v>3345</v>
      </c>
    </row>
    <row r="13416" ht="22.5" customHeight="1">
      <c r="B13416" s="42" t="str">
        <f>IFERROR(__xludf.DUMMYFUNCTION("""COMPUTED_VALUE"""),"")</f>
        <v/>
      </c>
      <c r="C13416" s="42" t="str">
        <f>IFERROR(__xludf.DUMMYFUNCTION("""COMPUTED_VALUE"""),"")</f>
        <v/>
      </c>
      <c r="D13416" s="42"/>
      <c r="E13416" s="42"/>
      <c r="F13416" s="48" t="str">
        <f>IFERROR(__xludf.DUMMYFUNCTION("""COMPUTED_VALUE"""),"")</f>
        <v/>
      </c>
      <c r="G13416" s="42" t="str">
        <f>IFERROR(__xludf.DUMMYFUNCTION("""COMPUTED_VALUE"""),"")</f>
        <v/>
      </c>
      <c r="H13416" s="42">
        <f t="shared" si="1"/>
        <v>3345</v>
      </c>
    </row>
    <row r="13417" ht="22.5" customHeight="1">
      <c r="B13417" s="42" t="str">
        <f>IFERROR(__xludf.DUMMYFUNCTION("""COMPUTED_VALUE"""),"")</f>
        <v/>
      </c>
      <c r="C13417" s="42" t="str">
        <f>IFERROR(__xludf.DUMMYFUNCTION("""COMPUTED_VALUE"""),"")</f>
        <v/>
      </c>
      <c r="D13417" s="42"/>
      <c r="E13417" s="42"/>
      <c r="F13417" s="48" t="str">
        <f>IFERROR(__xludf.DUMMYFUNCTION("""COMPUTED_VALUE"""),"")</f>
        <v/>
      </c>
      <c r="G13417" s="42" t="str">
        <f>IFERROR(__xludf.DUMMYFUNCTION("""COMPUTED_VALUE"""),"")</f>
        <v/>
      </c>
      <c r="H13417" s="42">
        <f t="shared" si="1"/>
        <v>3345</v>
      </c>
    </row>
    <row r="13418" ht="22.5" customHeight="1">
      <c r="B13418" s="42" t="str">
        <f>IFERROR(__xludf.DUMMYFUNCTION("""COMPUTED_VALUE"""),"")</f>
        <v/>
      </c>
      <c r="C13418" s="42" t="str">
        <f>IFERROR(__xludf.DUMMYFUNCTION("""COMPUTED_VALUE"""),"")</f>
        <v/>
      </c>
      <c r="D13418" s="42"/>
      <c r="E13418" s="42"/>
      <c r="F13418" s="48" t="str">
        <f>IFERROR(__xludf.DUMMYFUNCTION("""COMPUTED_VALUE"""),"")</f>
        <v/>
      </c>
      <c r="G13418" s="42" t="str">
        <f>IFERROR(__xludf.DUMMYFUNCTION("""COMPUTED_VALUE"""),"")</f>
        <v/>
      </c>
      <c r="H13418" s="42">
        <f t="shared" si="1"/>
        <v>3345</v>
      </c>
    </row>
    <row r="13419" ht="22.5" customHeight="1">
      <c r="B13419" s="42" t="str">
        <f>IFERROR(__xludf.DUMMYFUNCTION("""COMPUTED_VALUE"""),"")</f>
        <v/>
      </c>
      <c r="C13419" s="42" t="str">
        <f>IFERROR(__xludf.DUMMYFUNCTION("""COMPUTED_VALUE"""),"")</f>
        <v/>
      </c>
      <c r="D13419" s="42"/>
      <c r="E13419" s="42"/>
      <c r="F13419" s="48" t="str">
        <f>IFERROR(__xludf.DUMMYFUNCTION("""COMPUTED_VALUE"""),"")</f>
        <v/>
      </c>
      <c r="G13419" s="42" t="str">
        <f>IFERROR(__xludf.DUMMYFUNCTION("""COMPUTED_VALUE"""),"")</f>
        <v/>
      </c>
      <c r="H13419" s="42">
        <f t="shared" si="1"/>
        <v>3345</v>
      </c>
    </row>
    <row r="13420" ht="22.5" customHeight="1">
      <c r="B13420" s="42" t="str">
        <f>IFERROR(__xludf.DUMMYFUNCTION("""COMPUTED_VALUE"""),"")</f>
        <v/>
      </c>
      <c r="C13420" s="42" t="str">
        <f>IFERROR(__xludf.DUMMYFUNCTION("""COMPUTED_VALUE"""),"")</f>
        <v/>
      </c>
      <c r="D13420" s="42"/>
      <c r="E13420" s="42"/>
      <c r="F13420" s="48" t="str">
        <f>IFERROR(__xludf.DUMMYFUNCTION("""COMPUTED_VALUE"""),"")</f>
        <v/>
      </c>
      <c r="G13420" s="42" t="str">
        <f>IFERROR(__xludf.DUMMYFUNCTION("""COMPUTED_VALUE"""),"")</f>
        <v/>
      </c>
      <c r="H13420" s="42">
        <f t="shared" si="1"/>
        <v>3345</v>
      </c>
    </row>
    <row r="13421" ht="22.5" customHeight="1">
      <c r="B13421" s="42" t="str">
        <f>IFERROR(__xludf.DUMMYFUNCTION("""COMPUTED_VALUE"""),"")</f>
        <v/>
      </c>
      <c r="C13421" s="42" t="str">
        <f>IFERROR(__xludf.DUMMYFUNCTION("""COMPUTED_VALUE"""),"")</f>
        <v/>
      </c>
      <c r="D13421" s="42"/>
      <c r="E13421" s="42"/>
      <c r="F13421" s="48" t="str">
        <f>IFERROR(__xludf.DUMMYFUNCTION("""COMPUTED_VALUE"""),"")</f>
        <v/>
      </c>
      <c r="G13421" s="42" t="str">
        <f>IFERROR(__xludf.DUMMYFUNCTION("""COMPUTED_VALUE"""),"")</f>
        <v/>
      </c>
      <c r="H13421" s="42">
        <f t="shared" si="1"/>
        <v>3345</v>
      </c>
    </row>
    <row r="13422" ht="22.5" customHeight="1">
      <c r="B13422" s="42" t="str">
        <f>IFERROR(__xludf.DUMMYFUNCTION("""COMPUTED_VALUE"""),"")</f>
        <v/>
      </c>
      <c r="C13422" s="42" t="str">
        <f>IFERROR(__xludf.DUMMYFUNCTION("""COMPUTED_VALUE"""),"")</f>
        <v/>
      </c>
      <c r="D13422" s="42"/>
      <c r="E13422" s="42"/>
      <c r="F13422" s="48" t="str">
        <f>IFERROR(__xludf.DUMMYFUNCTION("""COMPUTED_VALUE"""),"")</f>
        <v/>
      </c>
      <c r="G13422" s="42" t="str">
        <f>IFERROR(__xludf.DUMMYFUNCTION("""COMPUTED_VALUE"""),"")</f>
        <v/>
      </c>
      <c r="H13422" s="42">
        <f t="shared" si="1"/>
        <v>3345</v>
      </c>
    </row>
    <row r="13423" ht="22.5" customHeight="1">
      <c r="B13423" s="42" t="str">
        <f>IFERROR(__xludf.DUMMYFUNCTION("""COMPUTED_VALUE"""),"")</f>
        <v/>
      </c>
      <c r="C13423" s="42" t="str">
        <f>IFERROR(__xludf.DUMMYFUNCTION("""COMPUTED_VALUE"""),"")</f>
        <v/>
      </c>
      <c r="D13423" s="42"/>
      <c r="E13423" s="42"/>
      <c r="F13423" s="48" t="str">
        <f>IFERROR(__xludf.DUMMYFUNCTION("""COMPUTED_VALUE"""),"")</f>
        <v/>
      </c>
      <c r="G13423" s="42" t="str">
        <f>IFERROR(__xludf.DUMMYFUNCTION("""COMPUTED_VALUE"""),"")</f>
        <v/>
      </c>
      <c r="H13423" s="42">
        <f t="shared" si="1"/>
        <v>3345</v>
      </c>
    </row>
    <row r="13424" ht="22.5" customHeight="1">
      <c r="B13424" s="42" t="str">
        <f>IFERROR(__xludf.DUMMYFUNCTION("""COMPUTED_VALUE"""),"")</f>
        <v/>
      </c>
      <c r="C13424" s="42" t="str">
        <f>IFERROR(__xludf.DUMMYFUNCTION("""COMPUTED_VALUE"""),"")</f>
        <v/>
      </c>
      <c r="D13424" s="42"/>
      <c r="E13424" s="42"/>
      <c r="F13424" s="48" t="str">
        <f>IFERROR(__xludf.DUMMYFUNCTION("""COMPUTED_VALUE"""),"")</f>
        <v/>
      </c>
      <c r="G13424" s="42" t="str">
        <f>IFERROR(__xludf.DUMMYFUNCTION("""COMPUTED_VALUE"""),"")</f>
        <v/>
      </c>
      <c r="H13424" s="42">
        <f t="shared" si="1"/>
        <v>3345</v>
      </c>
    </row>
    <row r="13425" ht="22.5" customHeight="1">
      <c r="B13425" s="42" t="str">
        <f>IFERROR(__xludf.DUMMYFUNCTION("""COMPUTED_VALUE"""),"")</f>
        <v/>
      </c>
      <c r="C13425" s="42" t="str">
        <f>IFERROR(__xludf.DUMMYFUNCTION("""COMPUTED_VALUE"""),"")</f>
        <v/>
      </c>
      <c r="D13425" s="42"/>
      <c r="E13425" s="42"/>
      <c r="F13425" s="48" t="str">
        <f>IFERROR(__xludf.DUMMYFUNCTION("""COMPUTED_VALUE"""),"")</f>
        <v/>
      </c>
      <c r="G13425" s="42" t="str">
        <f>IFERROR(__xludf.DUMMYFUNCTION("""COMPUTED_VALUE"""),"")</f>
        <v/>
      </c>
      <c r="H13425" s="42">
        <f t="shared" si="1"/>
        <v>3345</v>
      </c>
    </row>
    <row r="13426" ht="22.5" customHeight="1">
      <c r="B13426" s="42" t="str">
        <f>IFERROR(__xludf.DUMMYFUNCTION("""COMPUTED_VALUE"""),"")</f>
        <v/>
      </c>
      <c r="C13426" s="42" t="str">
        <f>IFERROR(__xludf.DUMMYFUNCTION("""COMPUTED_VALUE"""),"")</f>
        <v/>
      </c>
      <c r="D13426" s="42"/>
      <c r="E13426" s="42"/>
      <c r="F13426" s="48" t="str">
        <f>IFERROR(__xludf.DUMMYFUNCTION("""COMPUTED_VALUE"""),"")</f>
        <v/>
      </c>
      <c r="G13426" s="42" t="str">
        <f>IFERROR(__xludf.DUMMYFUNCTION("""COMPUTED_VALUE"""),"")</f>
        <v/>
      </c>
      <c r="H13426" s="42">
        <f t="shared" si="1"/>
        <v>3345</v>
      </c>
    </row>
    <row r="13427" ht="22.5" customHeight="1">
      <c r="B13427" s="42" t="str">
        <f>IFERROR(__xludf.DUMMYFUNCTION("""COMPUTED_VALUE"""),"")</f>
        <v/>
      </c>
      <c r="C13427" s="42" t="str">
        <f>IFERROR(__xludf.DUMMYFUNCTION("""COMPUTED_VALUE"""),"")</f>
        <v/>
      </c>
      <c r="D13427" s="42"/>
      <c r="E13427" s="42"/>
      <c r="F13427" s="48" t="str">
        <f>IFERROR(__xludf.DUMMYFUNCTION("""COMPUTED_VALUE"""),"")</f>
        <v/>
      </c>
      <c r="G13427" s="42" t="str">
        <f>IFERROR(__xludf.DUMMYFUNCTION("""COMPUTED_VALUE"""),"")</f>
        <v/>
      </c>
      <c r="H13427" s="42">
        <f t="shared" si="1"/>
        <v>3345</v>
      </c>
    </row>
    <row r="13428" ht="22.5" customHeight="1">
      <c r="B13428" s="42" t="str">
        <f>IFERROR(__xludf.DUMMYFUNCTION("""COMPUTED_VALUE"""),"")</f>
        <v/>
      </c>
      <c r="C13428" s="42" t="str">
        <f>IFERROR(__xludf.DUMMYFUNCTION("""COMPUTED_VALUE"""),"")</f>
        <v/>
      </c>
      <c r="D13428" s="42"/>
      <c r="E13428" s="42"/>
      <c r="F13428" s="48" t="str">
        <f>IFERROR(__xludf.DUMMYFUNCTION("""COMPUTED_VALUE"""),"")</f>
        <v/>
      </c>
      <c r="G13428" s="42" t="str">
        <f>IFERROR(__xludf.DUMMYFUNCTION("""COMPUTED_VALUE"""),"")</f>
        <v/>
      </c>
      <c r="H13428" s="42">
        <f t="shared" si="1"/>
        <v>3345</v>
      </c>
    </row>
    <row r="13429" ht="22.5" customHeight="1">
      <c r="B13429" s="42" t="str">
        <f>IFERROR(__xludf.DUMMYFUNCTION("""COMPUTED_VALUE"""),"")</f>
        <v/>
      </c>
      <c r="C13429" s="42" t="str">
        <f>IFERROR(__xludf.DUMMYFUNCTION("""COMPUTED_VALUE"""),"")</f>
        <v/>
      </c>
      <c r="D13429" s="42"/>
      <c r="E13429" s="42"/>
      <c r="F13429" s="48" t="str">
        <f>IFERROR(__xludf.DUMMYFUNCTION("""COMPUTED_VALUE"""),"")</f>
        <v/>
      </c>
      <c r="G13429" s="42" t="str">
        <f>IFERROR(__xludf.DUMMYFUNCTION("""COMPUTED_VALUE"""),"")</f>
        <v/>
      </c>
      <c r="H13429" s="42">
        <f t="shared" si="1"/>
        <v>3345</v>
      </c>
    </row>
    <row r="13430" ht="22.5" customHeight="1">
      <c r="B13430" s="42" t="str">
        <f>IFERROR(__xludf.DUMMYFUNCTION("""COMPUTED_VALUE"""),"")</f>
        <v/>
      </c>
      <c r="C13430" s="42" t="str">
        <f>IFERROR(__xludf.DUMMYFUNCTION("""COMPUTED_VALUE"""),"")</f>
        <v/>
      </c>
      <c r="D13430" s="42"/>
      <c r="E13430" s="42"/>
      <c r="F13430" s="48" t="str">
        <f>IFERROR(__xludf.DUMMYFUNCTION("""COMPUTED_VALUE"""),"")</f>
        <v/>
      </c>
      <c r="G13430" s="42" t="str">
        <f>IFERROR(__xludf.DUMMYFUNCTION("""COMPUTED_VALUE"""),"")</f>
        <v/>
      </c>
      <c r="H13430" s="42">
        <f t="shared" si="1"/>
        <v>3345</v>
      </c>
    </row>
    <row r="13431" ht="22.5" customHeight="1">
      <c r="B13431" s="42" t="str">
        <f>IFERROR(__xludf.DUMMYFUNCTION("""COMPUTED_VALUE"""),"")</f>
        <v/>
      </c>
      <c r="C13431" s="42" t="str">
        <f>IFERROR(__xludf.DUMMYFUNCTION("""COMPUTED_VALUE"""),"")</f>
        <v/>
      </c>
      <c r="D13431" s="42"/>
      <c r="E13431" s="42"/>
      <c r="F13431" s="48" t="str">
        <f>IFERROR(__xludf.DUMMYFUNCTION("""COMPUTED_VALUE"""),"")</f>
        <v/>
      </c>
      <c r="G13431" s="42" t="str">
        <f>IFERROR(__xludf.DUMMYFUNCTION("""COMPUTED_VALUE"""),"")</f>
        <v/>
      </c>
      <c r="H13431" s="42">
        <f t="shared" si="1"/>
        <v>3345</v>
      </c>
    </row>
    <row r="13432" ht="22.5" customHeight="1">
      <c r="B13432" s="42" t="str">
        <f>IFERROR(__xludf.DUMMYFUNCTION("""COMPUTED_VALUE"""),"")</f>
        <v/>
      </c>
      <c r="C13432" s="42" t="str">
        <f>IFERROR(__xludf.DUMMYFUNCTION("""COMPUTED_VALUE"""),"")</f>
        <v/>
      </c>
      <c r="D13432" s="42"/>
      <c r="E13432" s="42"/>
      <c r="F13432" s="48" t="str">
        <f>IFERROR(__xludf.DUMMYFUNCTION("""COMPUTED_VALUE"""),"")</f>
        <v/>
      </c>
      <c r="G13432" s="42" t="str">
        <f>IFERROR(__xludf.DUMMYFUNCTION("""COMPUTED_VALUE"""),"")</f>
        <v/>
      </c>
      <c r="H13432" s="42">
        <f t="shared" si="1"/>
        <v>3345</v>
      </c>
    </row>
    <row r="13433" ht="22.5" customHeight="1">
      <c r="B13433" s="42" t="str">
        <f>IFERROR(__xludf.DUMMYFUNCTION("""COMPUTED_VALUE"""),"")</f>
        <v/>
      </c>
      <c r="C13433" s="42" t="str">
        <f>IFERROR(__xludf.DUMMYFUNCTION("""COMPUTED_VALUE"""),"")</f>
        <v/>
      </c>
      <c r="D13433" s="42"/>
      <c r="E13433" s="42"/>
      <c r="F13433" s="48" t="str">
        <f>IFERROR(__xludf.DUMMYFUNCTION("""COMPUTED_VALUE"""),"")</f>
        <v/>
      </c>
      <c r="G13433" s="42" t="str">
        <f>IFERROR(__xludf.DUMMYFUNCTION("""COMPUTED_VALUE"""),"")</f>
        <v/>
      </c>
      <c r="H13433" s="42">
        <f t="shared" si="1"/>
        <v>3345</v>
      </c>
    </row>
    <row r="13434" ht="22.5" customHeight="1">
      <c r="B13434" s="42" t="str">
        <f>IFERROR(__xludf.DUMMYFUNCTION("""COMPUTED_VALUE"""),"")</f>
        <v/>
      </c>
      <c r="C13434" s="42" t="str">
        <f>IFERROR(__xludf.DUMMYFUNCTION("""COMPUTED_VALUE"""),"")</f>
        <v/>
      </c>
      <c r="D13434" s="42"/>
      <c r="E13434" s="42"/>
      <c r="F13434" s="48" t="str">
        <f>IFERROR(__xludf.DUMMYFUNCTION("""COMPUTED_VALUE"""),"")</f>
        <v/>
      </c>
      <c r="G13434" s="42" t="str">
        <f>IFERROR(__xludf.DUMMYFUNCTION("""COMPUTED_VALUE"""),"")</f>
        <v/>
      </c>
      <c r="H13434" s="42">
        <f t="shared" si="1"/>
        <v>3345</v>
      </c>
    </row>
    <row r="13435" ht="22.5" customHeight="1">
      <c r="B13435" s="42" t="str">
        <f>IFERROR(__xludf.DUMMYFUNCTION("""COMPUTED_VALUE"""),"")</f>
        <v/>
      </c>
      <c r="C13435" s="42" t="str">
        <f>IFERROR(__xludf.DUMMYFUNCTION("""COMPUTED_VALUE"""),"")</f>
        <v/>
      </c>
      <c r="D13435" s="42"/>
      <c r="E13435" s="42"/>
      <c r="F13435" s="48" t="str">
        <f>IFERROR(__xludf.DUMMYFUNCTION("""COMPUTED_VALUE"""),"")</f>
        <v/>
      </c>
      <c r="G13435" s="42" t="str">
        <f>IFERROR(__xludf.DUMMYFUNCTION("""COMPUTED_VALUE"""),"")</f>
        <v/>
      </c>
      <c r="H13435" s="42">
        <f t="shared" si="1"/>
        <v>3345</v>
      </c>
    </row>
    <row r="13436" ht="22.5" customHeight="1">
      <c r="B13436" s="42" t="str">
        <f>IFERROR(__xludf.DUMMYFUNCTION("""COMPUTED_VALUE"""),"")</f>
        <v/>
      </c>
      <c r="C13436" s="42" t="str">
        <f>IFERROR(__xludf.DUMMYFUNCTION("""COMPUTED_VALUE"""),"")</f>
        <v/>
      </c>
      <c r="D13436" s="42"/>
      <c r="E13436" s="42"/>
      <c r="F13436" s="48" t="str">
        <f>IFERROR(__xludf.DUMMYFUNCTION("""COMPUTED_VALUE"""),"")</f>
        <v/>
      </c>
      <c r="G13436" s="42" t="str">
        <f>IFERROR(__xludf.DUMMYFUNCTION("""COMPUTED_VALUE"""),"")</f>
        <v/>
      </c>
      <c r="H13436" s="42">
        <f t="shared" si="1"/>
        <v>3345</v>
      </c>
    </row>
    <row r="13437" ht="22.5" customHeight="1">
      <c r="B13437" s="42" t="str">
        <f>IFERROR(__xludf.DUMMYFUNCTION("""COMPUTED_VALUE"""),"")</f>
        <v/>
      </c>
      <c r="C13437" s="42" t="str">
        <f>IFERROR(__xludf.DUMMYFUNCTION("""COMPUTED_VALUE"""),"")</f>
        <v/>
      </c>
      <c r="D13437" s="42"/>
      <c r="E13437" s="42"/>
      <c r="F13437" s="48" t="str">
        <f>IFERROR(__xludf.DUMMYFUNCTION("""COMPUTED_VALUE"""),"")</f>
        <v/>
      </c>
      <c r="G13437" s="42" t="str">
        <f>IFERROR(__xludf.DUMMYFUNCTION("""COMPUTED_VALUE"""),"")</f>
        <v/>
      </c>
      <c r="H13437" s="42">
        <f t="shared" si="1"/>
        <v>3345</v>
      </c>
    </row>
    <row r="13438" ht="22.5" customHeight="1">
      <c r="B13438" s="42" t="str">
        <f>IFERROR(__xludf.DUMMYFUNCTION("""COMPUTED_VALUE"""),"")</f>
        <v/>
      </c>
      <c r="C13438" s="42" t="str">
        <f>IFERROR(__xludf.DUMMYFUNCTION("""COMPUTED_VALUE"""),"")</f>
        <v/>
      </c>
      <c r="D13438" s="42"/>
      <c r="E13438" s="42"/>
      <c r="F13438" s="48" t="str">
        <f>IFERROR(__xludf.DUMMYFUNCTION("""COMPUTED_VALUE"""),"")</f>
        <v/>
      </c>
      <c r="G13438" s="42" t="str">
        <f>IFERROR(__xludf.DUMMYFUNCTION("""COMPUTED_VALUE"""),"")</f>
        <v/>
      </c>
      <c r="H13438" s="42">
        <f t="shared" si="1"/>
        <v>3345</v>
      </c>
    </row>
    <row r="13439" ht="22.5" customHeight="1">
      <c r="B13439" s="42" t="str">
        <f>IFERROR(__xludf.DUMMYFUNCTION("""COMPUTED_VALUE"""),"")</f>
        <v/>
      </c>
      <c r="C13439" s="42" t="str">
        <f>IFERROR(__xludf.DUMMYFUNCTION("""COMPUTED_VALUE"""),"")</f>
        <v/>
      </c>
      <c r="D13439" s="42"/>
      <c r="E13439" s="42"/>
      <c r="F13439" s="48" t="str">
        <f>IFERROR(__xludf.DUMMYFUNCTION("""COMPUTED_VALUE"""),"")</f>
        <v/>
      </c>
      <c r="G13439" s="42" t="str">
        <f>IFERROR(__xludf.DUMMYFUNCTION("""COMPUTED_VALUE"""),"")</f>
        <v/>
      </c>
      <c r="H13439" s="42">
        <f t="shared" si="1"/>
        <v>3345</v>
      </c>
    </row>
    <row r="13440" ht="22.5" customHeight="1">
      <c r="B13440" s="42" t="str">
        <f>IFERROR(__xludf.DUMMYFUNCTION("""COMPUTED_VALUE"""),"")</f>
        <v/>
      </c>
      <c r="C13440" s="42" t="str">
        <f>IFERROR(__xludf.DUMMYFUNCTION("""COMPUTED_VALUE"""),"")</f>
        <v/>
      </c>
      <c r="D13440" s="42"/>
      <c r="E13440" s="42"/>
      <c r="F13440" s="48" t="str">
        <f>IFERROR(__xludf.DUMMYFUNCTION("""COMPUTED_VALUE"""),"")</f>
        <v/>
      </c>
      <c r="G13440" s="42" t="str">
        <f>IFERROR(__xludf.DUMMYFUNCTION("""COMPUTED_VALUE"""),"")</f>
        <v/>
      </c>
      <c r="H13440" s="42">
        <f t="shared" si="1"/>
        <v>3345</v>
      </c>
    </row>
    <row r="13441" ht="22.5" customHeight="1">
      <c r="B13441" s="42" t="str">
        <f>IFERROR(__xludf.DUMMYFUNCTION("""COMPUTED_VALUE"""),"")</f>
        <v/>
      </c>
      <c r="C13441" s="42" t="str">
        <f>IFERROR(__xludf.DUMMYFUNCTION("""COMPUTED_VALUE"""),"")</f>
        <v/>
      </c>
      <c r="D13441" s="42"/>
      <c r="E13441" s="42"/>
      <c r="F13441" s="48" t="str">
        <f>IFERROR(__xludf.DUMMYFUNCTION("""COMPUTED_VALUE"""),"")</f>
        <v/>
      </c>
      <c r="G13441" s="42" t="str">
        <f>IFERROR(__xludf.DUMMYFUNCTION("""COMPUTED_VALUE"""),"")</f>
        <v/>
      </c>
      <c r="H13441" s="42">
        <f t="shared" si="1"/>
        <v>3345</v>
      </c>
    </row>
    <row r="13442" ht="22.5" customHeight="1">
      <c r="B13442" s="42" t="str">
        <f>IFERROR(__xludf.DUMMYFUNCTION("""COMPUTED_VALUE"""),"")</f>
        <v/>
      </c>
      <c r="C13442" s="42" t="str">
        <f>IFERROR(__xludf.DUMMYFUNCTION("""COMPUTED_VALUE"""),"")</f>
        <v/>
      </c>
      <c r="D13442" s="42"/>
      <c r="E13442" s="42"/>
      <c r="F13442" s="48" t="str">
        <f>IFERROR(__xludf.DUMMYFUNCTION("""COMPUTED_VALUE"""),"")</f>
        <v/>
      </c>
      <c r="G13442" s="42" t="str">
        <f>IFERROR(__xludf.DUMMYFUNCTION("""COMPUTED_VALUE"""),"")</f>
        <v/>
      </c>
      <c r="H13442" s="42">
        <f t="shared" si="1"/>
        <v>3345</v>
      </c>
    </row>
    <row r="13443" ht="22.5" customHeight="1">
      <c r="B13443" s="42" t="str">
        <f>IFERROR(__xludf.DUMMYFUNCTION("""COMPUTED_VALUE"""),"")</f>
        <v/>
      </c>
      <c r="C13443" s="42" t="str">
        <f>IFERROR(__xludf.DUMMYFUNCTION("""COMPUTED_VALUE"""),"")</f>
        <v/>
      </c>
      <c r="D13443" s="42"/>
      <c r="E13443" s="42"/>
      <c r="F13443" s="48" t="str">
        <f>IFERROR(__xludf.DUMMYFUNCTION("""COMPUTED_VALUE"""),"")</f>
        <v/>
      </c>
      <c r="G13443" s="42" t="str">
        <f>IFERROR(__xludf.DUMMYFUNCTION("""COMPUTED_VALUE"""),"")</f>
        <v/>
      </c>
      <c r="H13443" s="42">
        <f t="shared" si="1"/>
        <v>3345</v>
      </c>
    </row>
    <row r="13444" ht="22.5" customHeight="1">
      <c r="B13444" s="42" t="str">
        <f>IFERROR(__xludf.DUMMYFUNCTION("""COMPUTED_VALUE"""),"")</f>
        <v/>
      </c>
      <c r="C13444" s="42" t="str">
        <f>IFERROR(__xludf.DUMMYFUNCTION("""COMPUTED_VALUE"""),"")</f>
        <v/>
      </c>
      <c r="D13444" s="42"/>
      <c r="E13444" s="42"/>
      <c r="F13444" s="48" t="str">
        <f>IFERROR(__xludf.DUMMYFUNCTION("""COMPUTED_VALUE"""),"")</f>
        <v/>
      </c>
      <c r="G13444" s="42" t="str">
        <f>IFERROR(__xludf.DUMMYFUNCTION("""COMPUTED_VALUE"""),"")</f>
        <v/>
      </c>
      <c r="H13444" s="42">
        <f t="shared" si="1"/>
        <v>3345</v>
      </c>
    </row>
    <row r="13445" ht="22.5" customHeight="1">
      <c r="B13445" s="42" t="str">
        <f>IFERROR(__xludf.DUMMYFUNCTION("""COMPUTED_VALUE"""),"")</f>
        <v/>
      </c>
      <c r="C13445" s="42" t="str">
        <f>IFERROR(__xludf.DUMMYFUNCTION("""COMPUTED_VALUE"""),"")</f>
        <v/>
      </c>
      <c r="D13445" s="42"/>
      <c r="E13445" s="42"/>
      <c r="F13445" s="48" t="str">
        <f>IFERROR(__xludf.DUMMYFUNCTION("""COMPUTED_VALUE"""),"")</f>
        <v/>
      </c>
      <c r="G13445" s="42" t="str">
        <f>IFERROR(__xludf.DUMMYFUNCTION("""COMPUTED_VALUE"""),"")</f>
        <v/>
      </c>
      <c r="H13445" s="42">
        <f t="shared" si="1"/>
        <v>3345</v>
      </c>
    </row>
    <row r="13446" ht="22.5" customHeight="1">
      <c r="B13446" s="42" t="str">
        <f>IFERROR(__xludf.DUMMYFUNCTION("""COMPUTED_VALUE"""),"")</f>
        <v/>
      </c>
      <c r="C13446" s="42" t="str">
        <f>IFERROR(__xludf.DUMMYFUNCTION("""COMPUTED_VALUE"""),"")</f>
        <v/>
      </c>
      <c r="D13446" s="42"/>
      <c r="E13446" s="42"/>
      <c r="F13446" s="48" t="str">
        <f>IFERROR(__xludf.DUMMYFUNCTION("""COMPUTED_VALUE"""),"")</f>
        <v/>
      </c>
      <c r="G13446" s="42" t="str">
        <f>IFERROR(__xludf.DUMMYFUNCTION("""COMPUTED_VALUE"""),"")</f>
        <v/>
      </c>
      <c r="H13446" s="42">
        <f t="shared" si="1"/>
        <v>3345</v>
      </c>
    </row>
    <row r="13447" ht="22.5" customHeight="1">
      <c r="B13447" s="42" t="str">
        <f>IFERROR(__xludf.DUMMYFUNCTION("""COMPUTED_VALUE"""),"")</f>
        <v/>
      </c>
      <c r="C13447" s="42" t="str">
        <f>IFERROR(__xludf.DUMMYFUNCTION("""COMPUTED_VALUE"""),"")</f>
        <v/>
      </c>
      <c r="D13447" s="42"/>
      <c r="E13447" s="42"/>
      <c r="F13447" s="48" t="str">
        <f>IFERROR(__xludf.DUMMYFUNCTION("""COMPUTED_VALUE"""),"")</f>
        <v/>
      </c>
      <c r="G13447" s="42" t="str">
        <f>IFERROR(__xludf.DUMMYFUNCTION("""COMPUTED_VALUE"""),"")</f>
        <v/>
      </c>
      <c r="H13447" s="42">
        <f t="shared" si="1"/>
        <v>3345</v>
      </c>
    </row>
    <row r="13448" ht="22.5" customHeight="1">
      <c r="B13448" s="42" t="str">
        <f>IFERROR(__xludf.DUMMYFUNCTION("""COMPUTED_VALUE"""),"")</f>
        <v/>
      </c>
      <c r="C13448" s="42" t="str">
        <f>IFERROR(__xludf.DUMMYFUNCTION("""COMPUTED_VALUE"""),"")</f>
        <v/>
      </c>
      <c r="D13448" s="42"/>
      <c r="E13448" s="42"/>
      <c r="F13448" s="48" t="str">
        <f>IFERROR(__xludf.DUMMYFUNCTION("""COMPUTED_VALUE"""),"")</f>
        <v/>
      </c>
      <c r="G13448" s="42" t="str">
        <f>IFERROR(__xludf.DUMMYFUNCTION("""COMPUTED_VALUE"""),"")</f>
        <v/>
      </c>
      <c r="H13448" s="42">
        <f t="shared" si="1"/>
        <v>3345</v>
      </c>
    </row>
    <row r="13449" ht="22.5" customHeight="1">
      <c r="B13449" s="42" t="str">
        <f>IFERROR(__xludf.DUMMYFUNCTION("""COMPUTED_VALUE"""),"")</f>
        <v/>
      </c>
      <c r="C13449" s="42" t="str">
        <f>IFERROR(__xludf.DUMMYFUNCTION("""COMPUTED_VALUE"""),"")</f>
        <v/>
      </c>
      <c r="D13449" s="42"/>
      <c r="E13449" s="42"/>
      <c r="F13449" s="48" t="str">
        <f>IFERROR(__xludf.DUMMYFUNCTION("""COMPUTED_VALUE"""),"")</f>
        <v/>
      </c>
      <c r="G13449" s="42" t="str">
        <f>IFERROR(__xludf.DUMMYFUNCTION("""COMPUTED_VALUE"""),"")</f>
        <v/>
      </c>
      <c r="H13449" s="42">
        <f t="shared" si="1"/>
        <v>3345</v>
      </c>
    </row>
    <row r="13450" ht="22.5" customHeight="1">
      <c r="B13450" s="42" t="str">
        <f>IFERROR(__xludf.DUMMYFUNCTION("""COMPUTED_VALUE"""),"")</f>
        <v/>
      </c>
      <c r="C13450" s="42" t="str">
        <f>IFERROR(__xludf.DUMMYFUNCTION("""COMPUTED_VALUE"""),"")</f>
        <v/>
      </c>
      <c r="D13450" s="42"/>
      <c r="E13450" s="42"/>
      <c r="F13450" s="48" t="str">
        <f>IFERROR(__xludf.DUMMYFUNCTION("""COMPUTED_VALUE"""),"")</f>
        <v/>
      </c>
      <c r="G13450" s="42" t="str">
        <f>IFERROR(__xludf.DUMMYFUNCTION("""COMPUTED_VALUE"""),"")</f>
        <v/>
      </c>
      <c r="H13450" s="42">
        <f t="shared" si="1"/>
        <v>3345</v>
      </c>
    </row>
    <row r="13451" ht="22.5" customHeight="1">
      <c r="B13451" s="42" t="str">
        <f>IFERROR(__xludf.DUMMYFUNCTION("""COMPUTED_VALUE"""),"")</f>
        <v/>
      </c>
      <c r="C13451" s="42" t="str">
        <f>IFERROR(__xludf.DUMMYFUNCTION("""COMPUTED_VALUE"""),"")</f>
        <v/>
      </c>
      <c r="D13451" s="42"/>
      <c r="E13451" s="42"/>
      <c r="F13451" s="48" t="str">
        <f>IFERROR(__xludf.DUMMYFUNCTION("""COMPUTED_VALUE"""),"")</f>
        <v/>
      </c>
      <c r="G13451" s="42" t="str">
        <f>IFERROR(__xludf.DUMMYFUNCTION("""COMPUTED_VALUE"""),"")</f>
        <v/>
      </c>
      <c r="H13451" s="42">
        <f t="shared" si="1"/>
        <v>3345</v>
      </c>
    </row>
    <row r="13452" ht="22.5" customHeight="1">
      <c r="B13452" s="42" t="str">
        <f>IFERROR(__xludf.DUMMYFUNCTION("""COMPUTED_VALUE"""),"")</f>
        <v/>
      </c>
      <c r="C13452" s="42" t="str">
        <f>IFERROR(__xludf.DUMMYFUNCTION("""COMPUTED_VALUE"""),"")</f>
        <v/>
      </c>
      <c r="D13452" s="42"/>
      <c r="E13452" s="42"/>
      <c r="F13452" s="48" t="str">
        <f>IFERROR(__xludf.DUMMYFUNCTION("""COMPUTED_VALUE"""),"")</f>
        <v/>
      </c>
      <c r="G13452" s="42" t="str">
        <f>IFERROR(__xludf.DUMMYFUNCTION("""COMPUTED_VALUE"""),"")</f>
        <v/>
      </c>
      <c r="H13452" s="42">
        <f t="shared" si="1"/>
        <v>3345</v>
      </c>
    </row>
    <row r="13453" ht="22.5" customHeight="1">
      <c r="B13453" s="42" t="str">
        <f>IFERROR(__xludf.DUMMYFUNCTION("""COMPUTED_VALUE"""),"")</f>
        <v/>
      </c>
      <c r="C13453" s="42" t="str">
        <f>IFERROR(__xludf.DUMMYFUNCTION("""COMPUTED_VALUE"""),"")</f>
        <v/>
      </c>
      <c r="D13453" s="42"/>
      <c r="E13453" s="42"/>
      <c r="F13453" s="48" t="str">
        <f>IFERROR(__xludf.DUMMYFUNCTION("""COMPUTED_VALUE"""),"")</f>
        <v/>
      </c>
      <c r="G13453" s="42" t="str">
        <f>IFERROR(__xludf.DUMMYFUNCTION("""COMPUTED_VALUE"""),"")</f>
        <v/>
      </c>
      <c r="H13453" s="42">
        <f t="shared" si="1"/>
        <v>3345</v>
      </c>
    </row>
    <row r="13454" ht="22.5" customHeight="1">
      <c r="B13454" s="42" t="str">
        <f>IFERROR(__xludf.DUMMYFUNCTION("""COMPUTED_VALUE"""),"")</f>
        <v/>
      </c>
      <c r="C13454" s="42" t="str">
        <f>IFERROR(__xludf.DUMMYFUNCTION("""COMPUTED_VALUE"""),"")</f>
        <v/>
      </c>
      <c r="D13454" s="42"/>
      <c r="E13454" s="42"/>
      <c r="F13454" s="48" t="str">
        <f>IFERROR(__xludf.DUMMYFUNCTION("""COMPUTED_VALUE"""),"")</f>
        <v/>
      </c>
      <c r="G13454" s="42" t="str">
        <f>IFERROR(__xludf.DUMMYFUNCTION("""COMPUTED_VALUE"""),"")</f>
        <v/>
      </c>
      <c r="H13454" s="42">
        <f t="shared" si="1"/>
        <v>3345</v>
      </c>
    </row>
    <row r="13455" ht="22.5" customHeight="1">
      <c r="B13455" s="42" t="str">
        <f>IFERROR(__xludf.DUMMYFUNCTION("""COMPUTED_VALUE"""),"")</f>
        <v/>
      </c>
      <c r="C13455" s="42" t="str">
        <f>IFERROR(__xludf.DUMMYFUNCTION("""COMPUTED_VALUE"""),"")</f>
        <v/>
      </c>
      <c r="D13455" s="42"/>
      <c r="E13455" s="42"/>
      <c r="F13455" s="48" t="str">
        <f>IFERROR(__xludf.DUMMYFUNCTION("""COMPUTED_VALUE"""),"")</f>
        <v/>
      </c>
      <c r="G13455" s="42" t="str">
        <f>IFERROR(__xludf.DUMMYFUNCTION("""COMPUTED_VALUE"""),"")</f>
        <v/>
      </c>
      <c r="H13455" s="42">
        <f t="shared" si="1"/>
        <v>3345</v>
      </c>
    </row>
    <row r="13456" ht="22.5" customHeight="1">
      <c r="B13456" s="42" t="str">
        <f>IFERROR(__xludf.DUMMYFUNCTION("""COMPUTED_VALUE"""),"")</f>
        <v/>
      </c>
      <c r="C13456" s="42" t="str">
        <f>IFERROR(__xludf.DUMMYFUNCTION("""COMPUTED_VALUE"""),"")</f>
        <v/>
      </c>
      <c r="D13456" s="42"/>
      <c r="E13456" s="42"/>
      <c r="F13456" s="48" t="str">
        <f>IFERROR(__xludf.DUMMYFUNCTION("""COMPUTED_VALUE"""),"")</f>
        <v/>
      </c>
      <c r="G13456" s="42" t="str">
        <f>IFERROR(__xludf.DUMMYFUNCTION("""COMPUTED_VALUE"""),"")</f>
        <v/>
      </c>
      <c r="H13456" s="42">
        <f t="shared" si="1"/>
        <v>3345</v>
      </c>
    </row>
    <row r="13457" ht="22.5" customHeight="1">
      <c r="B13457" s="42" t="str">
        <f>IFERROR(__xludf.DUMMYFUNCTION("""COMPUTED_VALUE"""),"")</f>
        <v/>
      </c>
      <c r="C13457" s="42" t="str">
        <f>IFERROR(__xludf.DUMMYFUNCTION("""COMPUTED_VALUE"""),"")</f>
        <v/>
      </c>
      <c r="D13457" s="42"/>
      <c r="E13457" s="42"/>
      <c r="F13457" s="48" t="str">
        <f>IFERROR(__xludf.DUMMYFUNCTION("""COMPUTED_VALUE"""),"")</f>
        <v/>
      </c>
      <c r="G13457" s="42" t="str">
        <f>IFERROR(__xludf.DUMMYFUNCTION("""COMPUTED_VALUE"""),"")</f>
        <v/>
      </c>
      <c r="H13457" s="42">
        <f t="shared" si="1"/>
        <v>3345</v>
      </c>
    </row>
    <row r="13458" ht="22.5" customHeight="1">
      <c r="B13458" s="42" t="str">
        <f>IFERROR(__xludf.DUMMYFUNCTION("""COMPUTED_VALUE"""),"")</f>
        <v/>
      </c>
      <c r="C13458" s="42" t="str">
        <f>IFERROR(__xludf.DUMMYFUNCTION("""COMPUTED_VALUE"""),"")</f>
        <v/>
      </c>
      <c r="D13458" s="42"/>
      <c r="E13458" s="42"/>
      <c r="F13458" s="48" t="str">
        <f>IFERROR(__xludf.DUMMYFUNCTION("""COMPUTED_VALUE"""),"")</f>
        <v/>
      </c>
      <c r="G13458" s="42" t="str">
        <f>IFERROR(__xludf.DUMMYFUNCTION("""COMPUTED_VALUE"""),"")</f>
        <v/>
      </c>
      <c r="H13458" s="42">
        <f t="shared" si="1"/>
        <v>3345</v>
      </c>
    </row>
    <row r="13459" ht="22.5" customHeight="1">
      <c r="B13459" s="42" t="str">
        <f>IFERROR(__xludf.DUMMYFUNCTION("""COMPUTED_VALUE"""),"")</f>
        <v/>
      </c>
      <c r="C13459" s="42" t="str">
        <f>IFERROR(__xludf.DUMMYFUNCTION("""COMPUTED_VALUE"""),"")</f>
        <v/>
      </c>
      <c r="D13459" s="42"/>
      <c r="E13459" s="42"/>
      <c r="F13459" s="48" t="str">
        <f>IFERROR(__xludf.DUMMYFUNCTION("""COMPUTED_VALUE"""),"")</f>
        <v/>
      </c>
      <c r="G13459" s="42" t="str">
        <f>IFERROR(__xludf.DUMMYFUNCTION("""COMPUTED_VALUE"""),"")</f>
        <v/>
      </c>
      <c r="H13459" s="42">
        <f t="shared" si="1"/>
        <v>3345</v>
      </c>
    </row>
    <row r="13460" ht="22.5" customHeight="1">
      <c r="B13460" s="42" t="str">
        <f>IFERROR(__xludf.DUMMYFUNCTION("""COMPUTED_VALUE"""),"")</f>
        <v/>
      </c>
      <c r="C13460" s="42" t="str">
        <f>IFERROR(__xludf.DUMMYFUNCTION("""COMPUTED_VALUE"""),"")</f>
        <v/>
      </c>
      <c r="D13460" s="42"/>
      <c r="E13460" s="42"/>
      <c r="F13460" s="48" t="str">
        <f>IFERROR(__xludf.DUMMYFUNCTION("""COMPUTED_VALUE"""),"")</f>
        <v/>
      </c>
      <c r="G13460" s="42" t="str">
        <f>IFERROR(__xludf.DUMMYFUNCTION("""COMPUTED_VALUE"""),"")</f>
        <v/>
      </c>
      <c r="H13460" s="42">
        <f t="shared" si="1"/>
        <v>3345</v>
      </c>
    </row>
    <row r="13461" ht="22.5" customHeight="1">
      <c r="B13461" s="42" t="str">
        <f>IFERROR(__xludf.DUMMYFUNCTION("""COMPUTED_VALUE"""),"")</f>
        <v/>
      </c>
      <c r="C13461" s="42" t="str">
        <f>IFERROR(__xludf.DUMMYFUNCTION("""COMPUTED_VALUE"""),"")</f>
        <v/>
      </c>
      <c r="D13461" s="42"/>
      <c r="E13461" s="42"/>
      <c r="F13461" s="48" t="str">
        <f>IFERROR(__xludf.DUMMYFUNCTION("""COMPUTED_VALUE"""),"")</f>
        <v/>
      </c>
      <c r="G13461" s="42" t="str">
        <f>IFERROR(__xludf.DUMMYFUNCTION("""COMPUTED_VALUE"""),"")</f>
        <v/>
      </c>
      <c r="H13461" s="42">
        <f t="shared" si="1"/>
        <v>3345</v>
      </c>
    </row>
    <row r="13462" ht="22.5" customHeight="1">
      <c r="B13462" s="42" t="str">
        <f>IFERROR(__xludf.DUMMYFUNCTION("""COMPUTED_VALUE"""),"")</f>
        <v/>
      </c>
      <c r="C13462" s="42" t="str">
        <f>IFERROR(__xludf.DUMMYFUNCTION("""COMPUTED_VALUE"""),"")</f>
        <v/>
      </c>
      <c r="D13462" s="42"/>
      <c r="E13462" s="42"/>
      <c r="F13462" s="48" t="str">
        <f>IFERROR(__xludf.DUMMYFUNCTION("""COMPUTED_VALUE"""),"")</f>
        <v/>
      </c>
      <c r="G13462" s="42" t="str">
        <f>IFERROR(__xludf.DUMMYFUNCTION("""COMPUTED_VALUE"""),"")</f>
        <v/>
      </c>
      <c r="H13462" s="42">
        <f t="shared" si="1"/>
        <v>3345</v>
      </c>
    </row>
    <row r="13463" ht="22.5" customHeight="1">
      <c r="B13463" s="42" t="str">
        <f>IFERROR(__xludf.DUMMYFUNCTION("""COMPUTED_VALUE"""),"")</f>
        <v/>
      </c>
      <c r="C13463" s="42" t="str">
        <f>IFERROR(__xludf.DUMMYFUNCTION("""COMPUTED_VALUE"""),"")</f>
        <v/>
      </c>
      <c r="D13463" s="42"/>
      <c r="E13463" s="42"/>
      <c r="F13463" s="48" t="str">
        <f>IFERROR(__xludf.DUMMYFUNCTION("""COMPUTED_VALUE"""),"")</f>
        <v/>
      </c>
      <c r="G13463" s="42" t="str">
        <f>IFERROR(__xludf.DUMMYFUNCTION("""COMPUTED_VALUE"""),"")</f>
        <v/>
      </c>
      <c r="H13463" s="42">
        <f t="shared" si="1"/>
        <v>3345</v>
      </c>
    </row>
    <row r="13464" ht="22.5" customHeight="1">
      <c r="B13464" s="42" t="str">
        <f>IFERROR(__xludf.DUMMYFUNCTION("""COMPUTED_VALUE"""),"")</f>
        <v/>
      </c>
      <c r="C13464" s="42" t="str">
        <f>IFERROR(__xludf.DUMMYFUNCTION("""COMPUTED_VALUE"""),"")</f>
        <v/>
      </c>
      <c r="D13464" s="42"/>
      <c r="E13464" s="42"/>
      <c r="F13464" s="48" t="str">
        <f>IFERROR(__xludf.DUMMYFUNCTION("""COMPUTED_VALUE"""),"")</f>
        <v/>
      </c>
      <c r="G13464" s="42" t="str">
        <f>IFERROR(__xludf.DUMMYFUNCTION("""COMPUTED_VALUE"""),"")</f>
        <v/>
      </c>
      <c r="H13464" s="42">
        <f t="shared" si="1"/>
        <v>3345</v>
      </c>
    </row>
    <row r="13465" ht="22.5" customHeight="1">
      <c r="B13465" s="42" t="str">
        <f>IFERROR(__xludf.DUMMYFUNCTION("""COMPUTED_VALUE"""),"")</f>
        <v/>
      </c>
      <c r="C13465" s="42" t="str">
        <f>IFERROR(__xludf.DUMMYFUNCTION("""COMPUTED_VALUE"""),"")</f>
        <v/>
      </c>
      <c r="D13465" s="42"/>
      <c r="E13465" s="42"/>
      <c r="F13465" s="48" t="str">
        <f>IFERROR(__xludf.DUMMYFUNCTION("""COMPUTED_VALUE"""),"")</f>
        <v/>
      </c>
      <c r="G13465" s="42" t="str">
        <f>IFERROR(__xludf.DUMMYFUNCTION("""COMPUTED_VALUE"""),"")</f>
        <v/>
      </c>
      <c r="H13465" s="42">
        <f t="shared" si="1"/>
        <v>3345</v>
      </c>
    </row>
    <row r="13466" ht="22.5" customHeight="1">
      <c r="B13466" s="42" t="str">
        <f>IFERROR(__xludf.DUMMYFUNCTION("""COMPUTED_VALUE"""),"")</f>
        <v/>
      </c>
      <c r="C13466" s="42" t="str">
        <f>IFERROR(__xludf.DUMMYFUNCTION("""COMPUTED_VALUE"""),"")</f>
        <v/>
      </c>
      <c r="D13466" s="42"/>
      <c r="E13466" s="42"/>
      <c r="F13466" s="48" t="str">
        <f>IFERROR(__xludf.DUMMYFUNCTION("""COMPUTED_VALUE"""),"")</f>
        <v/>
      </c>
      <c r="G13466" s="42" t="str">
        <f>IFERROR(__xludf.DUMMYFUNCTION("""COMPUTED_VALUE"""),"")</f>
        <v/>
      </c>
      <c r="H13466" s="42">
        <f t="shared" si="1"/>
        <v>3345</v>
      </c>
    </row>
    <row r="13467" ht="22.5" customHeight="1">
      <c r="B13467" s="42" t="str">
        <f>IFERROR(__xludf.DUMMYFUNCTION("""COMPUTED_VALUE"""),"")</f>
        <v/>
      </c>
      <c r="C13467" s="42" t="str">
        <f>IFERROR(__xludf.DUMMYFUNCTION("""COMPUTED_VALUE"""),"")</f>
        <v/>
      </c>
      <c r="D13467" s="42"/>
      <c r="E13467" s="42"/>
      <c r="F13467" s="48" t="str">
        <f>IFERROR(__xludf.DUMMYFUNCTION("""COMPUTED_VALUE"""),"")</f>
        <v/>
      </c>
      <c r="G13467" s="42" t="str">
        <f>IFERROR(__xludf.DUMMYFUNCTION("""COMPUTED_VALUE"""),"")</f>
        <v/>
      </c>
      <c r="H13467" s="42">
        <f t="shared" si="1"/>
        <v>3345</v>
      </c>
    </row>
    <row r="13468" ht="22.5" customHeight="1">
      <c r="B13468" s="42" t="str">
        <f>IFERROR(__xludf.DUMMYFUNCTION("""COMPUTED_VALUE"""),"")</f>
        <v/>
      </c>
      <c r="C13468" s="42" t="str">
        <f>IFERROR(__xludf.DUMMYFUNCTION("""COMPUTED_VALUE"""),"")</f>
        <v/>
      </c>
      <c r="D13468" s="42"/>
      <c r="E13468" s="42"/>
      <c r="F13468" s="48" t="str">
        <f>IFERROR(__xludf.DUMMYFUNCTION("""COMPUTED_VALUE"""),"")</f>
        <v/>
      </c>
      <c r="G13468" s="42" t="str">
        <f>IFERROR(__xludf.DUMMYFUNCTION("""COMPUTED_VALUE"""),"")</f>
        <v/>
      </c>
      <c r="H13468" s="42">
        <f t="shared" si="1"/>
        <v>3345</v>
      </c>
    </row>
    <row r="13469" ht="22.5" customHeight="1">
      <c r="B13469" s="42" t="str">
        <f>IFERROR(__xludf.DUMMYFUNCTION("""COMPUTED_VALUE"""),"")</f>
        <v/>
      </c>
      <c r="C13469" s="42" t="str">
        <f>IFERROR(__xludf.DUMMYFUNCTION("""COMPUTED_VALUE"""),"")</f>
        <v/>
      </c>
      <c r="D13469" s="42"/>
      <c r="E13469" s="42"/>
      <c r="F13469" s="48" t="str">
        <f>IFERROR(__xludf.DUMMYFUNCTION("""COMPUTED_VALUE"""),"")</f>
        <v/>
      </c>
      <c r="G13469" s="42" t="str">
        <f>IFERROR(__xludf.DUMMYFUNCTION("""COMPUTED_VALUE"""),"")</f>
        <v/>
      </c>
      <c r="H13469" s="42">
        <f t="shared" si="1"/>
        <v>3345</v>
      </c>
    </row>
    <row r="13470" ht="22.5" customHeight="1">
      <c r="B13470" s="42" t="str">
        <f>IFERROR(__xludf.DUMMYFUNCTION("""COMPUTED_VALUE"""),"")</f>
        <v/>
      </c>
      <c r="C13470" s="42" t="str">
        <f>IFERROR(__xludf.DUMMYFUNCTION("""COMPUTED_VALUE"""),"")</f>
        <v/>
      </c>
      <c r="D13470" s="42"/>
      <c r="E13470" s="42"/>
      <c r="F13470" s="48" t="str">
        <f>IFERROR(__xludf.DUMMYFUNCTION("""COMPUTED_VALUE"""),"")</f>
        <v/>
      </c>
      <c r="G13470" s="42" t="str">
        <f>IFERROR(__xludf.DUMMYFUNCTION("""COMPUTED_VALUE"""),"")</f>
        <v/>
      </c>
      <c r="H13470" s="42">
        <f t="shared" si="1"/>
        <v>3345</v>
      </c>
    </row>
    <row r="13471" ht="22.5" customHeight="1">
      <c r="B13471" s="42" t="str">
        <f>IFERROR(__xludf.DUMMYFUNCTION("""COMPUTED_VALUE"""),"")</f>
        <v/>
      </c>
      <c r="C13471" s="42" t="str">
        <f>IFERROR(__xludf.DUMMYFUNCTION("""COMPUTED_VALUE"""),"")</f>
        <v/>
      </c>
      <c r="D13471" s="42"/>
      <c r="E13471" s="42"/>
      <c r="F13471" s="48" t="str">
        <f>IFERROR(__xludf.DUMMYFUNCTION("""COMPUTED_VALUE"""),"")</f>
        <v/>
      </c>
      <c r="G13471" s="42" t="str">
        <f>IFERROR(__xludf.DUMMYFUNCTION("""COMPUTED_VALUE"""),"")</f>
        <v/>
      </c>
      <c r="H13471" s="42">
        <f t="shared" si="1"/>
        <v>3345</v>
      </c>
    </row>
    <row r="13472" ht="22.5" customHeight="1">
      <c r="B13472" s="42" t="str">
        <f>IFERROR(__xludf.DUMMYFUNCTION("""COMPUTED_VALUE"""),"")</f>
        <v/>
      </c>
      <c r="C13472" s="42" t="str">
        <f>IFERROR(__xludf.DUMMYFUNCTION("""COMPUTED_VALUE"""),"")</f>
        <v/>
      </c>
      <c r="D13472" s="42"/>
      <c r="E13472" s="42"/>
      <c r="F13472" s="48" t="str">
        <f>IFERROR(__xludf.DUMMYFUNCTION("""COMPUTED_VALUE"""),"")</f>
        <v/>
      </c>
      <c r="G13472" s="42" t="str">
        <f>IFERROR(__xludf.DUMMYFUNCTION("""COMPUTED_VALUE"""),"")</f>
        <v/>
      </c>
      <c r="H13472" s="42">
        <f t="shared" si="1"/>
        <v>3345</v>
      </c>
    </row>
    <row r="13473" ht="22.5" customHeight="1">
      <c r="B13473" s="42" t="str">
        <f>IFERROR(__xludf.DUMMYFUNCTION("""COMPUTED_VALUE"""),"")</f>
        <v/>
      </c>
      <c r="C13473" s="42" t="str">
        <f>IFERROR(__xludf.DUMMYFUNCTION("""COMPUTED_VALUE"""),"")</f>
        <v/>
      </c>
      <c r="D13473" s="42"/>
      <c r="E13473" s="42"/>
      <c r="F13473" s="48" t="str">
        <f>IFERROR(__xludf.DUMMYFUNCTION("""COMPUTED_VALUE"""),"")</f>
        <v/>
      </c>
      <c r="G13473" s="42" t="str">
        <f>IFERROR(__xludf.DUMMYFUNCTION("""COMPUTED_VALUE"""),"")</f>
        <v/>
      </c>
      <c r="H13473" s="42">
        <f t="shared" si="1"/>
        <v>3345</v>
      </c>
    </row>
    <row r="13474" ht="22.5" customHeight="1">
      <c r="B13474" s="42" t="str">
        <f>IFERROR(__xludf.DUMMYFUNCTION("""COMPUTED_VALUE"""),"")</f>
        <v/>
      </c>
      <c r="C13474" s="42" t="str">
        <f>IFERROR(__xludf.DUMMYFUNCTION("""COMPUTED_VALUE"""),"")</f>
        <v/>
      </c>
      <c r="D13474" s="42"/>
      <c r="E13474" s="42"/>
      <c r="F13474" s="48" t="str">
        <f>IFERROR(__xludf.DUMMYFUNCTION("""COMPUTED_VALUE"""),"")</f>
        <v/>
      </c>
      <c r="G13474" s="42" t="str">
        <f>IFERROR(__xludf.DUMMYFUNCTION("""COMPUTED_VALUE"""),"")</f>
        <v/>
      </c>
      <c r="H13474" s="42">
        <f t="shared" si="1"/>
        <v>3345</v>
      </c>
    </row>
    <row r="13475" ht="22.5" customHeight="1">
      <c r="B13475" s="42" t="str">
        <f>IFERROR(__xludf.DUMMYFUNCTION("""COMPUTED_VALUE"""),"")</f>
        <v/>
      </c>
      <c r="C13475" s="42" t="str">
        <f>IFERROR(__xludf.DUMMYFUNCTION("""COMPUTED_VALUE"""),"")</f>
        <v/>
      </c>
      <c r="D13475" s="42"/>
      <c r="E13475" s="42"/>
      <c r="F13475" s="48" t="str">
        <f>IFERROR(__xludf.DUMMYFUNCTION("""COMPUTED_VALUE"""),"")</f>
        <v/>
      </c>
      <c r="G13475" s="42" t="str">
        <f>IFERROR(__xludf.DUMMYFUNCTION("""COMPUTED_VALUE"""),"")</f>
        <v/>
      </c>
      <c r="H13475" s="42">
        <f t="shared" si="1"/>
        <v>3345</v>
      </c>
    </row>
    <row r="13476" ht="22.5" customHeight="1">
      <c r="B13476" s="42" t="str">
        <f>IFERROR(__xludf.DUMMYFUNCTION("""COMPUTED_VALUE"""),"")</f>
        <v/>
      </c>
      <c r="C13476" s="42" t="str">
        <f>IFERROR(__xludf.DUMMYFUNCTION("""COMPUTED_VALUE"""),"")</f>
        <v/>
      </c>
      <c r="D13476" s="42"/>
      <c r="E13476" s="42"/>
      <c r="F13476" s="48" t="str">
        <f>IFERROR(__xludf.DUMMYFUNCTION("""COMPUTED_VALUE"""),"")</f>
        <v/>
      </c>
      <c r="G13476" s="42" t="str">
        <f>IFERROR(__xludf.DUMMYFUNCTION("""COMPUTED_VALUE"""),"")</f>
        <v/>
      </c>
      <c r="H13476" s="42">
        <f t="shared" si="1"/>
        <v>3345</v>
      </c>
    </row>
    <row r="13477" ht="22.5" customHeight="1">
      <c r="B13477" s="42" t="str">
        <f>IFERROR(__xludf.DUMMYFUNCTION("""COMPUTED_VALUE"""),"")</f>
        <v/>
      </c>
      <c r="C13477" s="42" t="str">
        <f>IFERROR(__xludf.DUMMYFUNCTION("""COMPUTED_VALUE"""),"")</f>
        <v/>
      </c>
      <c r="D13477" s="42"/>
      <c r="E13477" s="42"/>
      <c r="F13477" s="48" t="str">
        <f>IFERROR(__xludf.DUMMYFUNCTION("""COMPUTED_VALUE"""),"")</f>
        <v/>
      </c>
      <c r="G13477" s="42" t="str">
        <f>IFERROR(__xludf.DUMMYFUNCTION("""COMPUTED_VALUE"""),"")</f>
        <v/>
      </c>
      <c r="H13477" s="42">
        <f t="shared" si="1"/>
        <v>3345</v>
      </c>
    </row>
    <row r="13478" ht="22.5" customHeight="1">
      <c r="B13478" s="42" t="str">
        <f>IFERROR(__xludf.DUMMYFUNCTION("""COMPUTED_VALUE"""),"")</f>
        <v/>
      </c>
      <c r="C13478" s="42" t="str">
        <f>IFERROR(__xludf.DUMMYFUNCTION("""COMPUTED_VALUE"""),"")</f>
        <v/>
      </c>
      <c r="D13478" s="42"/>
      <c r="E13478" s="42"/>
      <c r="F13478" s="48" t="str">
        <f>IFERROR(__xludf.DUMMYFUNCTION("""COMPUTED_VALUE"""),"")</f>
        <v/>
      </c>
      <c r="G13478" s="42" t="str">
        <f>IFERROR(__xludf.DUMMYFUNCTION("""COMPUTED_VALUE"""),"")</f>
        <v/>
      </c>
      <c r="H13478" s="42">
        <f t="shared" si="1"/>
        <v>3345</v>
      </c>
    </row>
    <row r="13479" ht="22.5" customHeight="1">
      <c r="B13479" s="42" t="str">
        <f>IFERROR(__xludf.DUMMYFUNCTION("""COMPUTED_VALUE"""),"")</f>
        <v/>
      </c>
      <c r="C13479" s="42" t="str">
        <f>IFERROR(__xludf.DUMMYFUNCTION("""COMPUTED_VALUE"""),"")</f>
        <v/>
      </c>
      <c r="D13479" s="42"/>
      <c r="E13479" s="42"/>
      <c r="F13479" s="48" t="str">
        <f>IFERROR(__xludf.DUMMYFUNCTION("""COMPUTED_VALUE"""),"")</f>
        <v/>
      </c>
      <c r="G13479" s="42" t="str">
        <f>IFERROR(__xludf.DUMMYFUNCTION("""COMPUTED_VALUE"""),"")</f>
        <v/>
      </c>
      <c r="H13479" s="42">
        <f t="shared" si="1"/>
        <v>3345</v>
      </c>
    </row>
    <row r="13480" ht="22.5" customHeight="1">
      <c r="B13480" s="42" t="str">
        <f>IFERROR(__xludf.DUMMYFUNCTION("""COMPUTED_VALUE"""),"")</f>
        <v/>
      </c>
      <c r="C13480" s="42" t="str">
        <f>IFERROR(__xludf.DUMMYFUNCTION("""COMPUTED_VALUE"""),"")</f>
        <v/>
      </c>
      <c r="D13480" s="42"/>
      <c r="E13480" s="42"/>
      <c r="F13480" s="48" t="str">
        <f>IFERROR(__xludf.DUMMYFUNCTION("""COMPUTED_VALUE"""),"")</f>
        <v/>
      </c>
      <c r="G13480" s="42" t="str">
        <f>IFERROR(__xludf.DUMMYFUNCTION("""COMPUTED_VALUE"""),"")</f>
        <v/>
      </c>
      <c r="H13480" s="42">
        <f t="shared" si="1"/>
        <v>3345</v>
      </c>
    </row>
    <row r="13481" ht="22.5" customHeight="1">
      <c r="B13481" s="42" t="str">
        <f>IFERROR(__xludf.DUMMYFUNCTION("""COMPUTED_VALUE"""),"")</f>
        <v/>
      </c>
      <c r="C13481" s="42" t="str">
        <f>IFERROR(__xludf.DUMMYFUNCTION("""COMPUTED_VALUE"""),"")</f>
        <v/>
      </c>
      <c r="D13481" s="42"/>
      <c r="E13481" s="42"/>
      <c r="F13481" s="48" t="str">
        <f>IFERROR(__xludf.DUMMYFUNCTION("""COMPUTED_VALUE"""),"")</f>
        <v/>
      </c>
      <c r="G13481" s="42" t="str">
        <f>IFERROR(__xludf.DUMMYFUNCTION("""COMPUTED_VALUE"""),"")</f>
        <v/>
      </c>
      <c r="H13481" s="42">
        <f t="shared" si="1"/>
        <v>3345</v>
      </c>
    </row>
    <row r="13482" ht="22.5" customHeight="1">
      <c r="B13482" s="42" t="str">
        <f>IFERROR(__xludf.DUMMYFUNCTION("""COMPUTED_VALUE"""),"")</f>
        <v/>
      </c>
      <c r="C13482" s="42" t="str">
        <f>IFERROR(__xludf.DUMMYFUNCTION("""COMPUTED_VALUE"""),"")</f>
        <v/>
      </c>
      <c r="D13482" s="42"/>
      <c r="E13482" s="42"/>
      <c r="F13482" s="48" t="str">
        <f>IFERROR(__xludf.DUMMYFUNCTION("""COMPUTED_VALUE"""),"")</f>
        <v/>
      </c>
      <c r="G13482" s="42" t="str">
        <f>IFERROR(__xludf.DUMMYFUNCTION("""COMPUTED_VALUE"""),"")</f>
        <v/>
      </c>
      <c r="H13482" s="42">
        <f t="shared" si="1"/>
        <v>3345</v>
      </c>
    </row>
    <row r="13483" ht="22.5" customHeight="1">
      <c r="B13483" s="42" t="str">
        <f>IFERROR(__xludf.DUMMYFUNCTION("""COMPUTED_VALUE"""),"")</f>
        <v/>
      </c>
      <c r="C13483" s="42" t="str">
        <f>IFERROR(__xludf.DUMMYFUNCTION("""COMPUTED_VALUE"""),"")</f>
        <v/>
      </c>
      <c r="D13483" s="42"/>
      <c r="E13483" s="42"/>
      <c r="F13483" s="48" t="str">
        <f>IFERROR(__xludf.DUMMYFUNCTION("""COMPUTED_VALUE"""),"")</f>
        <v/>
      </c>
      <c r="G13483" s="42" t="str">
        <f>IFERROR(__xludf.DUMMYFUNCTION("""COMPUTED_VALUE"""),"")</f>
        <v/>
      </c>
      <c r="H13483" s="42">
        <f t="shared" si="1"/>
        <v>3345</v>
      </c>
    </row>
    <row r="13484" ht="22.5" customHeight="1">
      <c r="B13484" s="42" t="str">
        <f>IFERROR(__xludf.DUMMYFUNCTION("""COMPUTED_VALUE"""),"")</f>
        <v/>
      </c>
      <c r="C13484" s="42" t="str">
        <f>IFERROR(__xludf.DUMMYFUNCTION("""COMPUTED_VALUE"""),"")</f>
        <v/>
      </c>
      <c r="D13484" s="42"/>
      <c r="E13484" s="42"/>
      <c r="F13484" s="48" t="str">
        <f>IFERROR(__xludf.DUMMYFUNCTION("""COMPUTED_VALUE"""),"")</f>
        <v/>
      </c>
      <c r="G13484" s="42" t="str">
        <f>IFERROR(__xludf.DUMMYFUNCTION("""COMPUTED_VALUE"""),"")</f>
        <v/>
      </c>
      <c r="H13484" s="42">
        <f t="shared" si="1"/>
        <v>3345</v>
      </c>
    </row>
    <row r="13485" ht="22.5" customHeight="1">
      <c r="B13485" s="42" t="str">
        <f>IFERROR(__xludf.DUMMYFUNCTION("""COMPUTED_VALUE"""),"")</f>
        <v/>
      </c>
      <c r="C13485" s="42" t="str">
        <f>IFERROR(__xludf.DUMMYFUNCTION("""COMPUTED_VALUE"""),"")</f>
        <v/>
      </c>
      <c r="D13485" s="42"/>
      <c r="E13485" s="42"/>
      <c r="F13485" s="48" t="str">
        <f>IFERROR(__xludf.DUMMYFUNCTION("""COMPUTED_VALUE"""),"")</f>
        <v/>
      </c>
      <c r="G13485" s="42" t="str">
        <f>IFERROR(__xludf.DUMMYFUNCTION("""COMPUTED_VALUE"""),"")</f>
        <v/>
      </c>
      <c r="H13485" s="42">
        <f t="shared" si="1"/>
        <v>3345</v>
      </c>
    </row>
    <row r="13486" ht="22.5" customHeight="1">
      <c r="B13486" s="42" t="str">
        <f>IFERROR(__xludf.DUMMYFUNCTION("""COMPUTED_VALUE"""),"")</f>
        <v/>
      </c>
      <c r="C13486" s="42" t="str">
        <f>IFERROR(__xludf.DUMMYFUNCTION("""COMPUTED_VALUE"""),"")</f>
        <v/>
      </c>
      <c r="D13486" s="42"/>
      <c r="E13486" s="42"/>
      <c r="F13486" s="48" t="str">
        <f>IFERROR(__xludf.DUMMYFUNCTION("""COMPUTED_VALUE"""),"")</f>
        <v/>
      </c>
      <c r="G13486" s="42" t="str">
        <f>IFERROR(__xludf.DUMMYFUNCTION("""COMPUTED_VALUE"""),"")</f>
        <v/>
      </c>
      <c r="H13486" s="42">
        <f t="shared" si="1"/>
        <v>3345</v>
      </c>
    </row>
    <row r="13487" ht="22.5" customHeight="1">
      <c r="B13487" s="42" t="str">
        <f>IFERROR(__xludf.DUMMYFUNCTION("""COMPUTED_VALUE"""),"")</f>
        <v/>
      </c>
      <c r="C13487" s="42" t="str">
        <f>IFERROR(__xludf.DUMMYFUNCTION("""COMPUTED_VALUE"""),"")</f>
        <v/>
      </c>
      <c r="D13487" s="42"/>
      <c r="E13487" s="42"/>
      <c r="F13487" s="48" t="str">
        <f>IFERROR(__xludf.DUMMYFUNCTION("""COMPUTED_VALUE"""),"")</f>
        <v/>
      </c>
      <c r="G13487" s="42" t="str">
        <f>IFERROR(__xludf.DUMMYFUNCTION("""COMPUTED_VALUE"""),"")</f>
        <v/>
      </c>
      <c r="H13487" s="42">
        <f t="shared" si="1"/>
        <v>3345</v>
      </c>
    </row>
    <row r="13488" ht="22.5" customHeight="1">
      <c r="B13488" s="42" t="str">
        <f>IFERROR(__xludf.DUMMYFUNCTION("""COMPUTED_VALUE"""),"")</f>
        <v/>
      </c>
      <c r="C13488" s="42" t="str">
        <f>IFERROR(__xludf.DUMMYFUNCTION("""COMPUTED_VALUE"""),"")</f>
        <v/>
      </c>
      <c r="D13488" s="42"/>
      <c r="E13488" s="42"/>
      <c r="F13488" s="48" t="str">
        <f>IFERROR(__xludf.DUMMYFUNCTION("""COMPUTED_VALUE"""),"")</f>
        <v/>
      </c>
      <c r="G13488" s="42" t="str">
        <f>IFERROR(__xludf.DUMMYFUNCTION("""COMPUTED_VALUE"""),"")</f>
        <v/>
      </c>
      <c r="H13488" s="42">
        <f t="shared" si="1"/>
        <v>3345</v>
      </c>
    </row>
    <row r="13489" ht="22.5" customHeight="1">
      <c r="B13489" s="42" t="str">
        <f>IFERROR(__xludf.DUMMYFUNCTION("""COMPUTED_VALUE"""),"")</f>
        <v/>
      </c>
      <c r="C13489" s="42" t="str">
        <f>IFERROR(__xludf.DUMMYFUNCTION("""COMPUTED_VALUE"""),"")</f>
        <v/>
      </c>
      <c r="D13489" s="42"/>
      <c r="E13489" s="42"/>
      <c r="F13489" s="48" t="str">
        <f>IFERROR(__xludf.DUMMYFUNCTION("""COMPUTED_VALUE"""),"")</f>
        <v/>
      </c>
      <c r="G13489" s="42" t="str">
        <f>IFERROR(__xludf.DUMMYFUNCTION("""COMPUTED_VALUE"""),"")</f>
        <v/>
      </c>
      <c r="H13489" s="42">
        <f t="shared" si="1"/>
        <v>3345</v>
      </c>
    </row>
    <row r="13490" ht="22.5" customHeight="1">
      <c r="B13490" s="42" t="str">
        <f>IFERROR(__xludf.DUMMYFUNCTION("""COMPUTED_VALUE"""),"")</f>
        <v/>
      </c>
      <c r="C13490" s="42" t="str">
        <f>IFERROR(__xludf.DUMMYFUNCTION("""COMPUTED_VALUE"""),"")</f>
        <v/>
      </c>
      <c r="D13490" s="42"/>
      <c r="E13490" s="42"/>
      <c r="F13490" s="48" t="str">
        <f>IFERROR(__xludf.DUMMYFUNCTION("""COMPUTED_VALUE"""),"")</f>
        <v/>
      </c>
      <c r="G13490" s="42" t="str">
        <f>IFERROR(__xludf.DUMMYFUNCTION("""COMPUTED_VALUE"""),"")</f>
        <v/>
      </c>
      <c r="H13490" s="42">
        <f t="shared" si="1"/>
        <v>3345</v>
      </c>
    </row>
    <row r="13491" ht="22.5" customHeight="1">
      <c r="B13491" s="42" t="str">
        <f>IFERROR(__xludf.DUMMYFUNCTION("""COMPUTED_VALUE"""),"")</f>
        <v/>
      </c>
      <c r="C13491" s="42" t="str">
        <f>IFERROR(__xludf.DUMMYFUNCTION("""COMPUTED_VALUE"""),"")</f>
        <v/>
      </c>
      <c r="D13491" s="42"/>
      <c r="E13491" s="42"/>
      <c r="F13491" s="48" t="str">
        <f>IFERROR(__xludf.DUMMYFUNCTION("""COMPUTED_VALUE"""),"")</f>
        <v/>
      </c>
      <c r="G13491" s="42" t="str">
        <f>IFERROR(__xludf.DUMMYFUNCTION("""COMPUTED_VALUE"""),"")</f>
        <v/>
      </c>
      <c r="H13491" s="42">
        <f t="shared" si="1"/>
        <v>3345</v>
      </c>
    </row>
    <row r="13492" ht="22.5" customHeight="1">
      <c r="B13492" s="42" t="str">
        <f>IFERROR(__xludf.DUMMYFUNCTION("""COMPUTED_VALUE"""),"")</f>
        <v/>
      </c>
      <c r="C13492" s="42" t="str">
        <f>IFERROR(__xludf.DUMMYFUNCTION("""COMPUTED_VALUE"""),"")</f>
        <v/>
      </c>
      <c r="D13492" s="42"/>
      <c r="E13492" s="42"/>
      <c r="F13492" s="48" t="str">
        <f>IFERROR(__xludf.DUMMYFUNCTION("""COMPUTED_VALUE"""),"")</f>
        <v/>
      </c>
      <c r="G13492" s="42" t="str">
        <f>IFERROR(__xludf.DUMMYFUNCTION("""COMPUTED_VALUE"""),"")</f>
        <v/>
      </c>
      <c r="H13492" s="42">
        <f t="shared" si="1"/>
        <v>3345</v>
      </c>
    </row>
    <row r="13493" ht="22.5" customHeight="1">
      <c r="B13493" s="42" t="str">
        <f>IFERROR(__xludf.DUMMYFUNCTION("""COMPUTED_VALUE"""),"")</f>
        <v/>
      </c>
      <c r="C13493" s="42" t="str">
        <f>IFERROR(__xludf.DUMMYFUNCTION("""COMPUTED_VALUE"""),"")</f>
        <v/>
      </c>
      <c r="D13493" s="42"/>
      <c r="E13493" s="42"/>
      <c r="F13493" s="48" t="str">
        <f>IFERROR(__xludf.DUMMYFUNCTION("""COMPUTED_VALUE"""),"")</f>
        <v/>
      </c>
      <c r="G13493" s="42" t="str">
        <f>IFERROR(__xludf.DUMMYFUNCTION("""COMPUTED_VALUE"""),"")</f>
        <v/>
      </c>
      <c r="H13493" s="42">
        <f t="shared" si="1"/>
        <v>3345</v>
      </c>
    </row>
    <row r="13494" ht="22.5" customHeight="1">
      <c r="B13494" s="42" t="str">
        <f>IFERROR(__xludf.DUMMYFUNCTION("""COMPUTED_VALUE"""),"")</f>
        <v/>
      </c>
      <c r="C13494" s="42" t="str">
        <f>IFERROR(__xludf.DUMMYFUNCTION("""COMPUTED_VALUE"""),"")</f>
        <v/>
      </c>
      <c r="D13494" s="42"/>
      <c r="E13494" s="42"/>
      <c r="F13494" s="48" t="str">
        <f>IFERROR(__xludf.DUMMYFUNCTION("""COMPUTED_VALUE"""),"")</f>
        <v/>
      </c>
      <c r="G13494" s="42" t="str">
        <f>IFERROR(__xludf.DUMMYFUNCTION("""COMPUTED_VALUE"""),"")</f>
        <v/>
      </c>
      <c r="H13494" s="42">
        <f t="shared" si="1"/>
        <v>3345</v>
      </c>
    </row>
    <row r="13495" ht="22.5" customHeight="1">
      <c r="B13495" s="42" t="str">
        <f>IFERROR(__xludf.DUMMYFUNCTION("""COMPUTED_VALUE"""),"")</f>
        <v/>
      </c>
      <c r="C13495" s="42" t="str">
        <f>IFERROR(__xludf.DUMMYFUNCTION("""COMPUTED_VALUE"""),"")</f>
        <v/>
      </c>
      <c r="D13495" s="42"/>
      <c r="E13495" s="42"/>
      <c r="F13495" s="48" t="str">
        <f>IFERROR(__xludf.DUMMYFUNCTION("""COMPUTED_VALUE"""),"")</f>
        <v/>
      </c>
      <c r="G13495" s="42" t="str">
        <f>IFERROR(__xludf.DUMMYFUNCTION("""COMPUTED_VALUE"""),"")</f>
        <v/>
      </c>
      <c r="H13495" s="42">
        <f t="shared" si="1"/>
        <v>3345</v>
      </c>
    </row>
    <row r="13496" ht="22.5" customHeight="1">
      <c r="B13496" s="42" t="str">
        <f>IFERROR(__xludf.DUMMYFUNCTION("""COMPUTED_VALUE"""),"")</f>
        <v/>
      </c>
      <c r="C13496" s="42" t="str">
        <f>IFERROR(__xludf.DUMMYFUNCTION("""COMPUTED_VALUE"""),"")</f>
        <v/>
      </c>
      <c r="D13496" s="42"/>
      <c r="E13496" s="42"/>
      <c r="F13496" s="48" t="str">
        <f>IFERROR(__xludf.DUMMYFUNCTION("""COMPUTED_VALUE"""),"")</f>
        <v/>
      </c>
      <c r="G13496" s="42" t="str">
        <f>IFERROR(__xludf.DUMMYFUNCTION("""COMPUTED_VALUE"""),"")</f>
        <v/>
      </c>
      <c r="H13496" s="42">
        <f t="shared" si="1"/>
        <v>3345</v>
      </c>
    </row>
    <row r="13497" ht="22.5" customHeight="1">
      <c r="B13497" s="42" t="str">
        <f>IFERROR(__xludf.DUMMYFUNCTION("""COMPUTED_VALUE"""),"")</f>
        <v/>
      </c>
      <c r="C13497" s="42" t="str">
        <f>IFERROR(__xludf.DUMMYFUNCTION("""COMPUTED_VALUE"""),"")</f>
        <v/>
      </c>
      <c r="D13497" s="42"/>
      <c r="E13497" s="42"/>
      <c r="F13497" s="48" t="str">
        <f>IFERROR(__xludf.DUMMYFUNCTION("""COMPUTED_VALUE"""),"")</f>
        <v/>
      </c>
      <c r="G13497" s="42" t="str">
        <f>IFERROR(__xludf.DUMMYFUNCTION("""COMPUTED_VALUE"""),"")</f>
        <v/>
      </c>
      <c r="H13497" s="42">
        <f t="shared" si="1"/>
        <v>3345</v>
      </c>
    </row>
    <row r="13498" ht="22.5" customHeight="1">
      <c r="B13498" s="42" t="str">
        <f>IFERROR(__xludf.DUMMYFUNCTION("""COMPUTED_VALUE"""),"")</f>
        <v/>
      </c>
      <c r="C13498" s="42" t="str">
        <f>IFERROR(__xludf.DUMMYFUNCTION("""COMPUTED_VALUE"""),"")</f>
        <v/>
      </c>
      <c r="D13498" s="42"/>
      <c r="E13498" s="42"/>
      <c r="F13498" s="48" t="str">
        <f>IFERROR(__xludf.DUMMYFUNCTION("""COMPUTED_VALUE"""),"")</f>
        <v/>
      </c>
      <c r="G13498" s="42" t="str">
        <f>IFERROR(__xludf.DUMMYFUNCTION("""COMPUTED_VALUE"""),"")</f>
        <v/>
      </c>
      <c r="H13498" s="42">
        <f t="shared" si="1"/>
        <v>3345</v>
      </c>
    </row>
    <row r="13499" ht="22.5" customHeight="1">
      <c r="B13499" s="42" t="str">
        <f>IFERROR(__xludf.DUMMYFUNCTION("""COMPUTED_VALUE"""),"")</f>
        <v/>
      </c>
      <c r="C13499" s="42" t="str">
        <f>IFERROR(__xludf.DUMMYFUNCTION("""COMPUTED_VALUE"""),"")</f>
        <v/>
      </c>
      <c r="D13499" s="42"/>
      <c r="E13499" s="42"/>
      <c r="F13499" s="48" t="str">
        <f>IFERROR(__xludf.DUMMYFUNCTION("""COMPUTED_VALUE"""),"")</f>
        <v/>
      </c>
      <c r="G13499" s="42" t="str">
        <f>IFERROR(__xludf.DUMMYFUNCTION("""COMPUTED_VALUE"""),"")</f>
        <v/>
      </c>
      <c r="H13499" s="42">
        <f t="shared" si="1"/>
        <v>3345</v>
      </c>
    </row>
    <row r="13500" ht="22.5" customHeight="1">
      <c r="B13500" s="42" t="str">
        <f>IFERROR(__xludf.DUMMYFUNCTION("""COMPUTED_VALUE"""),"")</f>
        <v/>
      </c>
      <c r="C13500" s="42" t="str">
        <f>IFERROR(__xludf.DUMMYFUNCTION("""COMPUTED_VALUE"""),"")</f>
        <v/>
      </c>
      <c r="D13500" s="42"/>
      <c r="E13500" s="42"/>
      <c r="F13500" s="48" t="str">
        <f>IFERROR(__xludf.DUMMYFUNCTION("""COMPUTED_VALUE"""),"")</f>
        <v/>
      </c>
      <c r="G13500" s="42" t="str">
        <f>IFERROR(__xludf.DUMMYFUNCTION("""COMPUTED_VALUE"""),"")</f>
        <v/>
      </c>
      <c r="H13500" s="42">
        <f t="shared" si="1"/>
        <v>3345</v>
      </c>
    </row>
    <row r="13501" ht="22.5" customHeight="1">
      <c r="B13501" s="42" t="str">
        <f>IFERROR(__xludf.DUMMYFUNCTION("""COMPUTED_VALUE"""),"")</f>
        <v/>
      </c>
      <c r="C13501" s="42" t="str">
        <f>IFERROR(__xludf.DUMMYFUNCTION("""COMPUTED_VALUE"""),"")</f>
        <v/>
      </c>
      <c r="D13501" s="42"/>
      <c r="E13501" s="42"/>
      <c r="F13501" s="48" t="str">
        <f>IFERROR(__xludf.DUMMYFUNCTION("""COMPUTED_VALUE"""),"")</f>
        <v/>
      </c>
      <c r="G13501" s="42" t="str">
        <f>IFERROR(__xludf.DUMMYFUNCTION("""COMPUTED_VALUE"""),"")</f>
        <v/>
      </c>
      <c r="H13501" s="42">
        <f t="shared" si="1"/>
        <v>3345</v>
      </c>
    </row>
    <row r="13502" ht="22.5" customHeight="1">
      <c r="B13502" s="42" t="str">
        <f>IFERROR(__xludf.DUMMYFUNCTION("""COMPUTED_VALUE"""),"")</f>
        <v/>
      </c>
      <c r="C13502" s="42" t="str">
        <f>IFERROR(__xludf.DUMMYFUNCTION("""COMPUTED_VALUE"""),"")</f>
        <v/>
      </c>
      <c r="D13502" s="42"/>
      <c r="E13502" s="42"/>
      <c r="F13502" s="48" t="str">
        <f>IFERROR(__xludf.DUMMYFUNCTION("""COMPUTED_VALUE"""),"")</f>
        <v/>
      </c>
      <c r="G13502" s="42" t="str">
        <f>IFERROR(__xludf.DUMMYFUNCTION("""COMPUTED_VALUE"""),"")</f>
        <v/>
      </c>
      <c r="H13502" s="42">
        <f t="shared" si="1"/>
        <v>3345</v>
      </c>
    </row>
    <row r="13503" ht="22.5" customHeight="1">
      <c r="B13503" s="42" t="str">
        <f>IFERROR(__xludf.DUMMYFUNCTION("""COMPUTED_VALUE"""),"")</f>
        <v/>
      </c>
      <c r="C13503" s="42" t="str">
        <f>IFERROR(__xludf.DUMMYFUNCTION("""COMPUTED_VALUE"""),"")</f>
        <v/>
      </c>
      <c r="D13503" s="42"/>
      <c r="E13503" s="42"/>
      <c r="F13503" s="48" t="str">
        <f>IFERROR(__xludf.DUMMYFUNCTION("""COMPUTED_VALUE"""),"")</f>
        <v/>
      </c>
      <c r="G13503" s="42" t="str">
        <f>IFERROR(__xludf.DUMMYFUNCTION("""COMPUTED_VALUE"""),"")</f>
        <v/>
      </c>
      <c r="H13503" s="42">
        <f t="shared" si="1"/>
        <v>3345</v>
      </c>
    </row>
    <row r="13504" ht="22.5" customHeight="1">
      <c r="B13504" s="42" t="str">
        <f>IFERROR(__xludf.DUMMYFUNCTION("""COMPUTED_VALUE"""),"")</f>
        <v/>
      </c>
      <c r="C13504" s="42" t="str">
        <f>IFERROR(__xludf.DUMMYFUNCTION("""COMPUTED_VALUE"""),"")</f>
        <v/>
      </c>
      <c r="D13504" s="42"/>
      <c r="E13504" s="42"/>
      <c r="F13504" s="48" t="str">
        <f>IFERROR(__xludf.DUMMYFUNCTION("""COMPUTED_VALUE"""),"")</f>
        <v/>
      </c>
      <c r="G13504" s="42" t="str">
        <f>IFERROR(__xludf.DUMMYFUNCTION("""COMPUTED_VALUE"""),"")</f>
        <v/>
      </c>
      <c r="H13504" s="42">
        <f t="shared" si="1"/>
        <v>3345</v>
      </c>
    </row>
    <row r="13505" ht="22.5" customHeight="1">
      <c r="B13505" s="42" t="str">
        <f>IFERROR(__xludf.DUMMYFUNCTION("""COMPUTED_VALUE"""),"")</f>
        <v/>
      </c>
      <c r="C13505" s="42" t="str">
        <f>IFERROR(__xludf.DUMMYFUNCTION("""COMPUTED_VALUE"""),"")</f>
        <v/>
      </c>
      <c r="D13505" s="42"/>
      <c r="E13505" s="42"/>
      <c r="F13505" s="48" t="str">
        <f>IFERROR(__xludf.DUMMYFUNCTION("""COMPUTED_VALUE"""),"")</f>
        <v/>
      </c>
      <c r="G13505" s="42" t="str">
        <f>IFERROR(__xludf.DUMMYFUNCTION("""COMPUTED_VALUE"""),"")</f>
        <v/>
      </c>
      <c r="H13505" s="42">
        <f t="shared" si="1"/>
        <v>3345</v>
      </c>
    </row>
    <row r="13506" ht="22.5" customHeight="1">
      <c r="B13506" s="42" t="str">
        <f>IFERROR(__xludf.DUMMYFUNCTION("""COMPUTED_VALUE"""),"")</f>
        <v/>
      </c>
      <c r="C13506" s="42" t="str">
        <f>IFERROR(__xludf.DUMMYFUNCTION("""COMPUTED_VALUE"""),"")</f>
        <v/>
      </c>
      <c r="D13506" s="42"/>
      <c r="E13506" s="42"/>
      <c r="F13506" s="48" t="str">
        <f>IFERROR(__xludf.DUMMYFUNCTION("""COMPUTED_VALUE"""),"")</f>
        <v/>
      </c>
      <c r="G13506" s="42" t="str">
        <f>IFERROR(__xludf.DUMMYFUNCTION("""COMPUTED_VALUE"""),"")</f>
        <v/>
      </c>
      <c r="H13506" s="42">
        <f t="shared" si="1"/>
        <v>3345</v>
      </c>
    </row>
    <row r="13507" ht="22.5" customHeight="1">
      <c r="B13507" s="42" t="str">
        <f>IFERROR(__xludf.DUMMYFUNCTION("""COMPUTED_VALUE"""),"")</f>
        <v/>
      </c>
      <c r="C13507" s="42" t="str">
        <f>IFERROR(__xludf.DUMMYFUNCTION("""COMPUTED_VALUE"""),"")</f>
        <v/>
      </c>
      <c r="D13507" s="42"/>
      <c r="E13507" s="42"/>
      <c r="F13507" s="48" t="str">
        <f>IFERROR(__xludf.DUMMYFUNCTION("""COMPUTED_VALUE"""),"")</f>
        <v/>
      </c>
      <c r="G13507" s="42" t="str">
        <f>IFERROR(__xludf.DUMMYFUNCTION("""COMPUTED_VALUE"""),"")</f>
        <v/>
      </c>
      <c r="H13507" s="42">
        <f t="shared" si="1"/>
        <v>3345</v>
      </c>
    </row>
    <row r="13508" ht="22.5" customHeight="1">
      <c r="B13508" s="42" t="str">
        <f>IFERROR(__xludf.DUMMYFUNCTION("""COMPUTED_VALUE"""),"")</f>
        <v/>
      </c>
      <c r="C13508" s="42" t="str">
        <f>IFERROR(__xludf.DUMMYFUNCTION("""COMPUTED_VALUE"""),"")</f>
        <v/>
      </c>
      <c r="D13508" s="42"/>
      <c r="E13508" s="42"/>
      <c r="F13508" s="48" t="str">
        <f>IFERROR(__xludf.DUMMYFUNCTION("""COMPUTED_VALUE"""),"")</f>
        <v/>
      </c>
      <c r="G13508" s="42" t="str">
        <f>IFERROR(__xludf.DUMMYFUNCTION("""COMPUTED_VALUE"""),"")</f>
        <v/>
      </c>
      <c r="H13508" s="42">
        <f t="shared" si="1"/>
        <v>3345</v>
      </c>
    </row>
    <row r="13509" ht="22.5" customHeight="1">
      <c r="B13509" s="42" t="str">
        <f>IFERROR(__xludf.DUMMYFUNCTION("""COMPUTED_VALUE"""),"")</f>
        <v/>
      </c>
      <c r="C13509" s="42" t="str">
        <f>IFERROR(__xludf.DUMMYFUNCTION("""COMPUTED_VALUE"""),"")</f>
        <v/>
      </c>
      <c r="D13509" s="42"/>
      <c r="E13509" s="42"/>
      <c r="F13509" s="48" t="str">
        <f>IFERROR(__xludf.DUMMYFUNCTION("""COMPUTED_VALUE"""),"")</f>
        <v/>
      </c>
      <c r="G13509" s="42" t="str">
        <f>IFERROR(__xludf.DUMMYFUNCTION("""COMPUTED_VALUE"""),"")</f>
        <v/>
      </c>
      <c r="H13509" s="42">
        <f t="shared" si="1"/>
        <v>3345</v>
      </c>
    </row>
    <row r="13510" ht="22.5" customHeight="1">
      <c r="B13510" s="42" t="str">
        <f>IFERROR(__xludf.DUMMYFUNCTION("""COMPUTED_VALUE"""),"")</f>
        <v/>
      </c>
      <c r="C13510" s="42" t="str">
        <f>IFERROR(__xludf.DUMMYFUNCTION("""COMPUTED_VALUE"""),"")</f>
        <v/>
      </c>
      <c r="D13510" s="42"/>
      <c r="E13510" s="42"/>
      <c r="F13510" s="48" t="str">
        <f>IFERROR(__xludf.DUMMYFUNCTION("""COMPUTED_VALUE"""),"")</f>
        <v/>
      </c>
      <c r="G13510" s="42" t="str">
        <f>IFERROR(__xludf.DUMMYFUNCTION("""COMPUTED_VALUE"""),"")</f>
        <v/>
      </c>
      <c r="H13510" s="42">
        <f t="shared" si="1"/>
        <v>3345</v>
      </c>
    </row>
    <row r="13511" ht="22.5" customHeight="1">
      <c r="B13511" s="42" t="str">
        <f>IFERROR(__xludf.DUMMYFUNCTION("""COMPUTED_VALUE"""),"")</f>
        <v/>
      </c>
      <c r="C13511" s="42" t="str">
        <f>IFERROR(__xludf.DUMMYFUNCTION("""COMPUTED_VALUE"""),"")</f>
        <v/>
      </c>
      <c r="D13511" s="42"/>
      <c r="E13511" s="42"/>
      <c r="F13511" s="48" t="str">
        <f>IFERROR(__xludf.DUMMYFUNCTION("""COMPUTED_VALUE"""),"")</f>
        <v/>
      </c>
      <c r="G13511" s="42" t="str">
        <f>IFERROR(__xludf.DUMMYFUNCTION("""COMPUTED_VALUE"""),"")</f>
        <v/>
      </c>
      <c r="H13511" s="42">
        <f t="shared" si="1"/>
        <v>3345</v>
      </c>
    </row>
    <row r="13512" ht="22.5" customHeight="1">
      <c r="B13512" s="42" t="str">
        <f>IFERROR(__xludf.DUMMYFUNCTION("""COMPUTED_VALUE"""),"")</f>
        <v/>
      </c>
      <c r="C13512" s="42" t="str">
        <f>IFERROR(__xludf.DUMMYFUNCTION("""COMPUTED_VALUE"""),"")</f>
        <v/>
      </c>
      <c r="D13512" s="42"/>
      <c r="E13512" s="42"/>
      <c r="F13512" s="48" t="str">
        <f>IFERROR(__xludf.DUMMYFUNCTION("""COMPUTED_VALUE"""),"")</f>
        <v/>
      </c>
      <c r="G13512" s="42" t="str">
        <f>IFERROR(__xludf.DUMMYFUNCTION("""COMPUTED_VALUE"""),"")</f>
        <v/>
      </c>
      <c r="H13512" s="42">
        <f t="shared" si="1"/>
        <v>3345</v>
      </c>
    </row>
    <row r="13513" ht="22.5" customHeight="1">
      <c r="B13513" s="42" t="str">
        <f>IFERROR(__xludf.DUMMYFUNCTION("""COMPUTED_VALUE"""),"")</f>
        <v/>
      </c>
      <c r="C13513" s="42" t="str">
        <f>IFERROR(__xludf.DUMMYFUNCTION("""COMPUTED_VALUE"""),"")</f>
        <v/>
      </c>
      <c r="D13513" s="42"/>
      <c r="E13513" s="42"/>
      <c r="F13513" s="48" t="str">
        <f>IFERROR(__xludf.DUMMYFUNCTION("""COMPUTED_VALUE"""),"")</f>
        <v/>
      </c>
      <c r="G13513" s="42" t="str">
        <f>IFERROR(__xludf.DUMMYFUNCTION("""COMPUTED_VALUE"""),"")</f>
        <v/>
      </c>
      <c r="H13513" s="42">
        <f t="shared" si="1"/>
        <v>3345</v>
      </c>
    </row>
    <row r="13514" ht="22.5" customHeight="1">
      <c r="B13514" s="42" t="str">
        <f>IFERROR(__xludf.DUMMYFUNCTION("""COMPUTED_VALUE"""),"")</f>
        <v/>
      </c>
      <c r="C13514" s="42" t="str">
        <f>IFERROR(__xludf.DUMMYFUNCTION("""COMPUTED_VALUE"""),"")</f>
        <v/>
      </c>
      <c r="D13514" s="42"/>
      <c r="E13514" s="42"/>
      <c r="F13514" s="48" t="str">
        <f>IFERROR(__xludf.DUMMYFUNCTION("""COMPUTED_VALUE"""),"")</f>
        <v/>
      </c>
      <c r="G13514" s="42" t="str">
        <f>IFERROR(__xludf.DUMMYFUNCTION("""COMPUTED_VALUE"""),"")</f>
        <v/>
      </c>
      <c r="H13514" s="42">
        <f t="shared" si="1"/>
        <v>3345</v>
      </c>
    </row>
    <row r="13515" ht="22.5" customHeight="1">
      <c r="B13515" s="42" t="str">
        <f>IFERROR(__xludf.DUMMYFUNCTION("""COMPUTED_VALUE"""),"")</f>
        <v/>
      </c>
      <c r="C13515" s="42" t="str">
        <f>IFERROR(__xludf.DUMMYFUNCTION("""COMPUTED_VALUE"""),"")</f>
        <v/>
      </c>
      <c r="D13515" s="42"/>
      <c r="E13515" s="42"/>
      <c r="F13515" s="48" t="str">
        <f>IFERROR(__xludf.DUMMYFUNCTION("""COMPUTED_VALUE"""),"")</f>
        <v/>
      </c>
      <c r="G13515" s="42" t="str">
        <f>IFERROR(__xludf.DUMMYFUNCTION("""COMPUTED_VALUE"""),"")</f>
        <v/>
      </c>
      <c r="H13515" s="42">
        <f t="shared" si="1"/>
        <v>3345</v>
      </c>
    </row>
    <row r="13516" ht="22.5" customHeight="1">
      <c r="B13516" s="42" t="str">
        <f>IFERROR(__xludf.DUMMYFUNCTION("""COMPUTED_VALUE"""),"")</f>
        <v/>
      </c>
      <c r="C13516" s="42" t="str">
        <f>IFERROR(__xludf.DUMMYFUNCTION("""COMPUTED_VALUE"""),"")</f>
        <v/>
      </c>
      <c r="D13516" s="42"/>
      <c r="E13516" s="42"/>
      <c r="F13516" s="48" t="str">
        <f>IFERROR(__xludf.DUMMYFUNCTION("""COMPUTED_VALUE"""),"")</f>
        <v/>
      </c>
      <c r="G13516" s="42" t="str">
        <f>IFERROR(__xludf.DUMMYFUNCTION("""COMPUTED_VALUE"""),"")</f>
        <v/>
      </c>
      <c r="H13516" s="42">
        <f t="shared" si="1"/>
        <v>3345</v>
      </c>
    </row>
    <row r="13517" ht="22.5" customHeight="1">
      <c r="B13517" s="42" t="str">
        <f>IFERROR(__xludf.DUMMYFUNCTION("""COMPUTED_VALUE"""),"")</f>
        <v/>
      </c>
      <c r="C13517" s="42" t="str">
        <f>IFERROR(__xludf.DUMMYFUNCTION("""COMPUTED_VALUE"""),"")</f>
        <v/>
      </c>
      <c r="D13517" s="42"/>
      <c r="E13517" s="42"/>
      <c r="F13517" s="48" t="str">
        <f>IFERROR(__xludf.DUMMYFUNCTION("""COMPUTED_VALUE"""),"")</f>
        <v/>
      </c>
      <c r="G13517" s="42" t="str">
        <f>IFERROR(__xludf.DUMMYFUNCTION("""COMPUTED_VALUE"""),"")</f>
        <v/>
      </c>
      <c r="H13517" s="42">
        <f t="shared" si="1"/>
        <v>3345</v>
      </c>
    </row>
    <row r="13518" ht="22.5" customHeight="1">
      <c r="B13518" s="42" t="str">
        <f>IFERROR(__xludf.DUMMYFUNCTION("""COMPUTED_VALUE"""),"")</f>
        <v/>
      </c>
      <c r="C13518" s="42" t="str">
        <f>IFERROR(__xludf.DUMMYFUNCTION("""COMPUTED_VALUE"""),"")</f>
        <v/>
      </c>
      <c r="D13518" s="42"/>
      <c r="E13518" s="42"/>
      <c r="F13518" s="48" t="str">
        <f>IFERROR(__xludf.DUMMYFUNCTION("""COMPUTED_VALUE"""),"")</f>
        <v/>
      </c>
      <c r="G13518" s="42" t="str">
        <f>IFERROR(__xludf.DUMMYFUNCTION("""COMPUTED_VALUE"""),"")</f>
        <v/>
      </c>
      <c r="H13518" s="42">
        <f t="shared" si="1"/>
        <v>3345</v>
      </c>
    </row>
    <row r="13519" ht="22.5" customHeight="1">
      <c r="B13519" s="42" t="str">
        <f>IFERROR(__xludf.DUMMYFUNCTION("""COMPUTED_VALUE"""),"")</f>
        <v/>
      </c>
      <c r="C13519" s="42" t="str">
        <f>IFERROR(__xludf.DUMMYFUNCTION("""COMPUTED_VALUE"""),"")</f>
        <v/>
      </c>
      <c r="D13519" s="42"/>
      <c r="E13519" s="42"/>
      <c r="F13519" s="48" t="str">
        <f>IFERROR(__xludf.DUMMYFUNCTION("""COMPUTED_VALUE"""),"")</f>
        <v/>
      </c>
      <c r="G13519" s="42" t="str">
        <f>IFERROR(__xludf.DUMMYFUNCTION("""COMPUTED_VALUE"""),"")</f>
        <v/>
      </c>
      <c r="H13519" s="42">
        <f t="shared" si="1"/>
        <v>3345</v>
      </c>
    </row>
    <row r="13520" ht="22.5" customHeight="1">
      <c r="B13520" s="42" t="str">
        <f>IFERROR(__xludf.DUMMYFUNCTION("""COMPUTED_VALUE"""),"")</f>
        <v/>
      </c>
      <c r="C13520" s="42" t="str">
        <f>IFERROR(__xludf.DUMMYFUNCTION("""COMPUTED_VALUE"""),"")</f>
        <v/>
      </c>
      <c r="D13520" s="42"/>
      <c r="E13520" s="42"/>
      <c r="F13520" s="48" t="str">
        <f>IFERROR(__xludf.DUMMYFUNCTION("""COMPUTED_VALUE"""),"")</f>
        <v/>
      </c>
      <c r="G13520" s="42" t="str">
        <f>IFERROR(__xludf.DUMMYFUNCTION("""COMPUTED_VALUE"""),"")</f>
        <v/>
      </c>
      <c r="H13520" s="42">
        <f t="shared" si="1"/>
        <v>3345</v>
      </c>
    </row>
    <row r="13521" ht="22.5" customHeight="1">
      <c r="B13521" s="42" t="str">
        <f>IFERROR(__xludf.DUMMYFUNCTION("""COMPUTED_VALUE"""),"")</f>
        <v/>
      </c>
      <c r="C13521" s="42" t="str">
        <f>IFERROR(__xludf.DUMMYFUNCTION("""COMPUTED_VALUE"""),"")</f>
        <v/>
      </c>
      <c r="D13521" s="42"/>
      <c r="E13521" s="42"/>
      <c r="F13521" s="48" t="str">
        <f>IFERROR(__xludf.DUMMYFUNCTION("""COMPUTED_VALUE"""),"")</f>
        <v/>
      </c>
      <c r="G13521" s="42" t="str">
        <f>IFERROR(__xludf.DUMMYFUNCTION("""COMPUTED_VALUE"""),"")</f>
        <v/>
      </c>
      <c r="H13521" s="42">
        <f t="shared" si="1"/>
        <v>3345</v>
      </c>
    </row>
    <row r="13522" ht="22.5" customHeight="1">
      <c r="B13522" s="42" t="str">
        <f>IFERROR(__xludf.DUMMYFUNCTION("""COMPUTED_VALUE"""),"")</f>
        <v/>
      </c>
      <c r="C13522" s="42" t="str">
        <f>IFERROR(__xludf.DUMMYFUNCTION("""COMPUTED_VALUE"""),"")</f>
        <v/>
      </c>
      <c r="D13522" s="42"/>
      <c r="E13522" s="42"/>
      <c r="F13522" s="48" t="str">
        <f>IFERROR(__xludf.DUMMYFUNCTION("""COMPUTED_VALUE"""),"")</f>
        <v/>
      </c>
      <c r="G13522" s="42" t="str">
        <f>IFERROR(__xludf.DUMMYFUNCTION("""COMPUTED_VALUE"""),"")</f>
        <v/>
      </c>
      <c r="H13522" s="42">
        <f t="shared" si="1"/>
        <v>3345</v>
      </c>
    </row>
    <row r="13523" ht="22.5" customHeight="1">
      <c r="B13523" s="42" t="str">
        <f>IFERROR(__xludf.DUMMYFUNCTION("""COMPUTED_VALUE"""),"")</f>
        <v/>
      </c>
      <c r="C13523" s="42" t="str">
        <f>IFERROR(__xludf.DUMMYFUNCTION("""COMPUTED_VALUE"""),"")</f>
        <v/>
      </c>
      <c r="D13523" s="42"/>
      <c r="E13523" s="42"/>
      <c r="F13523" s="48" t="str">
        <f>IFERROR(__xludf.DUMMYFUNCTION("""COMPUTED_VALUE"""),"")</f>
        <v/>
      </c>
      <c r="G13523" s="42" t="str">
        <f>IFERROR(__xludf.DUMMYFUNCTION("""COMPUTED_VALUE"""),"")</f>
        <v/>
      </c>
      <c r="H13523" s="42">
        <f t="shared" si="1"/>
        <v>3345</v>
      </c>
    </row>
    <row r="13524" ht="22.5" customHeight="1">
      <c r="B13524" s="42" t="str">
        <f>IFERROR(__xludf.DUMMYFUNCTION("""COMPUTED_VALUE"""),"")</f>
        <v/>
      </c>
      <c r="C13524" s="42" t="str">
        <f>IFERROR(__xludf.DUMMYFUNCTION("""COMPUTED_VALUE"""),"")</f>
        <v/>
      </c>
      <c r="D13524" s="42"/>
      <c r="E13524" s="42"/>
      <c r="F13524" s="48" t="str">
        <f>IFERROR(__xludf.DUMMYFUNCTION("""COMPUTED_VALUE"""),"")</f>
        <v/>
      </c>
      <c r="G13524" s="42" t="str">
        <f>IFERROR(__xludf.DUMMYFUNCTION("""COMPUTED_VALUE"""),"")</f>
        <v/>
      </c>
      <c r="H13524" s="42">
        <f t="shared" si="1"/>
        <v>3345</v>
      </c>
    </row>
    <row r="13525" ht="22.5" customHeight="1">
      <c r="B13525" s="42" t="str">
        <f>IFERROR(__xludf.DUMMYFUNCTION("""COMPUTED_VALUE"""),"")</f>
        <v/>
      </c>
      <c r="C13525" s="42" t="str">
        <f>IFERROR(__xludf.DUMMYFUNCTION("""COMPUTED_VALUE"""),"")</f>
        <v/>
      </c>
      <c r="D13525" s="42"/>
      <c r="E13525" s="42"/>
      <c r="F13525" s="48" t="str">
        <f>IFERROR(__xludf.DUMMYFUNCTION("""COMPUTED_VALUE"""),"")</f>
        <v/>
      </c>
      <c r="G13525" s="42" t="str">
        <f>IFERROR(__xludf.DUMMYFUNCTION("""COMPUTED_VALUE"""),"")</f>
        <v/>
      </c>
      <c r="H13525" s="42">
        <f t="shared" si="1"/>
        <v>3345</v>
      </c>
    </row>
    <row r="13526" ht="22.5" customHeight="1">
      <c r="B13526" s="42" t="str">
        <f>IFERROR(__xludf.DUMMYFUNCTION("""COMPUTED_VALUE"""),"")</f>
        <v/>
      </c>
      <c r="C13526" s="42" t="str">
        <f>IFERROR(__xludf.DUMMYFUNCTION("""COMPUTED_VALUE"""),"")</f>
        <v/>
      </c>
      <c r="D13526" s="42"/>
      <c r="E13526" s="42"/>
      <c r="F13526" s="48" t="str">
        <f>IFERROR(__xludf.DUMMYFUNCTION("""COMPUTED_VALUE"""),"")</f>
        <v/>
      </c>
      <c r="G13526" s="42" t="str">
        <f>IFERROR(__xludf.DUMMYFUNCTION("""COMPUTED_VALUE"""),"")</f>
        <v/>
      </c>
      <c r="H13526" s="42">
        <f t="shared" si="1"/>
        <v>3345</v>
      </c>
    </row>
    <row r="13527" ht="22.5" customHeight="1">
      <c r="B13527" s="42" t="str">
        <f>IFERROR(__xludf.DUMMYFUNCTION("""COMPUTED_VALUE"""),"")</f>
        <v/>
      </c>
      <c r="C13527" s="42" t="str">
        <f>IFERROR(__xludf.DUMMYFUNCTION("""COMPUTED_VALUE"""),"")</f>
        <v/>
      </c>
      <c r="D13527" s="42"/>
      <c r="E13527" s="42"/>
      <c r="F13527" s="48" t="str">
        <f>IFERROR(__xludf.DUMMYFUNCTION("""COMPUTED_VALUE"""),"")</f>
        <v/>
      </c>
      <c r="G13527" s="42" t="str">
        <f>IFERROR(__xludf.DUMMYFUNCTION("""COMPUTED_VALUE"""),"")</f>
        <v/>
      </c>
      <c r="H13527" s="42">
        <f t="shared" si="1"/>
        <v>3345</v>
      </c>
    </row>
    <row r="13528" ht="22.5" customHeight="1">
      <c r="B13528" s="42" t="str">
        <f>IFERROR(__xludf.DUMMYFUNCTION("""COMPUTED_VALUE"""),"")</f>
        <v/>
      </c>
      <c r="C13528" s="42" t="str">
        <f>IFERROR(__xludf.DUMMYFUNCTION("""COMPUTED_VALUE"""),"")</f>
        <v/>
      </c>
      <c r="D13528" s="42"/>
      <c r="E13528" s="42"/>
      <c r="F13528" s="48" t="str">
        <f>IFERROR(__xludf.DUMMYFUNCTION("""COMPUTED_VALUE"""),"")</f>
        <v/>
      </c>
      <c r="G13528" s="42" t="str">
        <f>IFERROR(__xludf.DUMMYFUNCTION("""COMPUTED_VALUE"""),"")</f>
        <v/>
      </c>
      <c r="H13528" s="42">
        <f t="shared" si="1"/>
        <v>3345</v>
      </c>
    </row>
    <row r="13529" ht="22.5" customHeight="1">
      <c r="B13529" s="42" t="str">
        <f>IFERROR(__xludf.DUMMYFUNCTION("""COMPUTED_VALUE"""),"")</f>
        <v/>
      </c>
      <c r="C13529" s="42" t="str">
        <f>IFERROR(__xludf.DUMMYFUNCTION("""COMPUTED_VALUE"""),"")</f>
        <v/>
      </c>
      <c r="D13529" s="42"/>
      <c r="E13529" s="42"/>
      <c r="F13529" s="48" t="str">
        <f>IFERROR(__xludf.DUMMYFUNCTION("""COMPUTED_VALUE"""),"")</f>
        <v/>
      </c>
      <c r="G13529" s="42" t="str">
        <f>IFERROR(__xludf.DUMMYFUNCTION("""COMPUTED_VALUE"""),"")</f>
        <v/>
      </c>
      <c r="H13529" s="42">
        <f t="shared" si="1"/>
        <v>3345</v>
      </c>
    </row>
    <row r="13530" ht="22.5" customHeight="1">
      <c r="B13530" s="42" t="str">
        <f>IFERROR(__xludf.DUMMYFUNCTION("""COMPUTED_VALUE"""),"")</f>
        <v/>
      </c>
      <c r="C13530" s="42" t="str">
        <f>IFERROR(__xludf.DUMMYFUNCTION("""COMPUTED_VALUE"""),"")</f>
        <v/>
      </c>
      <c r="D13530" s="42"/>
      <c r="E13530" s="42"/>
      <c r="F13530" s="48" t="str">
        <f>IFERROR(__xludf.DUMMYFUNCTION("""COMPUTED_VALUE"""),"")</f>
        <v/>
      </c>
      <c r="G13530" s="42" t="str">
        <f>IFERROR(__xludf.DUMMYFUNCTION("""COMPUTED_VALUE"""),"")</f>
        <v/>
      </c>
      <c r="H13530" s="42">
        <f t="shared" si="1"/>
        <v>3345</v>
      </c>
    </row>
    <row r="13531" ht="22.5" customHeight="1">
      <c r="B13531" s="42" t="str">
        <f>IFERROR(__xludf.DUMMYFUNCTION("""COMPUTED_VALUE"""),"")</f>
        <v/>
      </c>
      <c r="C13531" s="42" t="str">
        <f>IFERROR(__xludf.DUMMYFUNCTION("""COMPUTED_VALUE"""),"")</f>
        <v/>
      </c>
      <c r="D13531" s="42"/>
      <c r="E13531" s="42"/>
      <c r="F13531" s="48" t="str">
        <f>IFERROR(__xludf.DUMMYFUNCTION("""COMPUTED_VALUE"""),"")</f>
        <v/>
      </c>
      <c r="G13531" s="42" t="str">
        <f>IFERROR(__xludf.DUMMYFUNCTION("""COMPUTED_VALUE"""),"")</f>
        <v/>
      </c>
      <c r="H13531" s="42">
        <f t="shared" si="1"/>
        <v>3345</v>
      </c>
    </row>
    <row r="13532" ht="22.5" customHeight="1">
      <c r="B13532" s="42" t="str">
        <f>IFERROR(__xludf.DUMMYFUNCTION("""COMPUTED_VALUE"""),"")</f>
        <v/>
      </c>
      <c r="C13532" s="42" t="str">
        <f>IFERROR(__xludf.DUMMYFUNCTION("""COMPUTED_VALUE"""),"")</f>
        <v/>
      </c>
      <c r="D13532" s="42"/>
      <c r="E13532" s="42"/>
      <c r="F13532" s="48" t="str">
        <f>IFERROR(__xludf.DUMMYFUNCTION("""COMPUTED_VALUE"""),"")</f>
        <v/>
      </c>
      <c r="G13532" s="42" t="str">
        <f>IFERROR(__xludf.DUMMYFUNCTION("""COMPUTED_VALUE"""),"")</f>
        <v/>
      </c>
      <c r="H13532" s="42">
        <f t="shared" si="1"/>
        <v>3345</v>
      </c>
    </row>
    <row r="13533" ht="22.5" customHeight="1">
      <c r="B13533" s="42" t="str">
        <f>IFERROR(__xludf.DUMMYFUNCTION("""COMPUTED_VALUE"""),"")</f>
        <v/>
      </c>
      <c r="C13533" s="42" t="str">
        <f>IFERROR(__xludf.DUMMYFUNCTION("""COMPUTED_VALUE"""),"")</f>
        <v/>
      </c>
      <c r="D13533" s="42"/>
      <c r="E13533" s="42"/>
      <c r="F13533" s="48" t="str">
        <f>IFERROR(__xludf.DUMMYFUNCTION("""COMPUTED_VALUE"""),"")</f>
        <v/>
      </c>
      <c r="G13533" s="42" t="str">
        <f>IFERROR(__xludf.DUMMYFUNCTION("""COMPUTED_VALUE"""),"")</f>
        <v/>
      </c>
      <c r="H13533" s="42">
        <f t="shared" si="1"/>
        <v>3345</v>
      </c>
    </row>
    <row r="13534" ht="22.5" customHeight="1">
      <c r="B13534" s="42" t="str">
        <f>IFERROR(__xludf.DUMMYFUNCTION("""COMPUTED_VALUE"""),"")</f>
        <v/>
      </c>
      <c r="C13534" s="42" t="str">
        <f>IFERROR(__xludf.DUMMYFUNCTION("""COMPUTED_VALUE"""),"")</f>
        <v/>
      </c>
      <c r="D13534" s="42"/>
      <c r="E13534" s="42"/>
      <c r="F13534" s="48" t="str">
        <f>IFERROR(__xludf.DUMMYFUNCTION("""COMPUTED_VALUE"""),"")</f>
        <v/>
      </c>
      <c r="G13534" s="42" t="str">
        <f>IFERROR(__xludf.DUMMYFUNCTION("""COMPUTED_VALUE"""),"")</f>
        <v/>
      </c>
      <c r="H13534" s="42">
        <f t="shared" si="1"/>
        <v>3345</v>
      </c>
    </row>
    <row r="13535" ht="22.5" customHeight="1">
      <c r="B13535" s="42" t="str">
        <f>IFERROR(__xludf.DUMMYFUNCTION("""COMPUTED_VALUE"""),"")</f>
        <v/>
      </c>
      <c r="C13535" s="42" t="str">
        <f>IFERROR(__xludf.DUMMYFUNCTION("""COMPUTED_VALUE"""),"")</f>
        <v/>
      </c>
      <c r="D13535" s="42"/>
      <c r="E13535" s="42"/>
      <c r="F13535" s="48" t="str">
        <f>IFERROR(__xludf.DUMMYFUNCTION("""COMPUTED_VALUE"""),"")</f>
        <v/>
      </c>
      <c r="G13535" s="42" t="str">
        <f>IFERROR(__xludf.DUMMYFUNCTION("""COMPUTED_VALUE"""),"")</f>
        <v/>
      </c>
      <c r="H13535" s="42">
        <f t="shared" si="1"/>
        <v>3345</v>
      </c>
    </row>
    <row r="13536" ht="22.5" customHeight="1">
      <c r="B13536" s="42" t="str">
        <f>IFERROR(__xludf.DUMMYFUNCTION("""COMPUTED_VALUE"""),"")</f>
        <v/>
      </c>
      <c r="C13536" s="42" t="str">
        <f>IFERROR(__xludf.DUMMYFUNCTION("""COMPUTED_VALUE"""),"")</f>
        <v/>
      </c>
      <c r="D13536" s="42"/>
      <c r="E13536" s="42"/>
      <c r="F13536" s="48" t="str">
        <f>IFERROR(__xludf.DUMMYFUNCTION("""COMPUTED_VALUE"""),"")</f>
        <v/>
      </c>
      <c r="G13536" s="42" t="str">
        <f>IFERROR(__xludf.DUMMYFUNCTION("""COMPUTED_VALUE"""),"")</f>
        <v/>
      </c>
      <c r="H13536" s="42">
        <f t="shared" si="1"/>
        <v>3345</v>
      </c>
    </row>
    <row r="13537" ht="22.5" customHeight="1">
      <c r="B13537" s="42" t="str">
        <f>IFERROR(__xludf.DUMMYFUNCTION("""COMPUTED_VALUE"""),"")</f>
        <v/>
      </c>
      <c r="C13537" s="42" t="str">
        <f>IFERROR(__xludf.DUMMYFUNCTION("""COMPUTED_VALUE"""),"")</f>
        <v/>
      </c>
      <c r="D13537" s="42"/>
      <c r="E13537" s="42"/>
      <c r="F13537" s="48" t="str">
        <f>IFERROR(__xludf.DUMMYFUNCTION("""COMPUTED_VALUE"""),"")</f>
        <v/>
      </c>
      <c r="G13537" s="42" t="str">
        <f>IFERROR(__xludf.DUMMYFUNCTION("""COMPUTED_VALUE"""),"")</f>
        <v/>
      </c>
      <c r="H13537" s="42">
        <f t="shared" si="1"/>
        <v>3345</v>
      </c>
    </row>
    <row r="13538" ht="22.5" customHeight="1">
      <c r="B13538" s="42" t="str">
        <f>IFERROR(__xludf.DUMMYFUNCTION("""COMPUTED_VALUE"""),"")</f>
        <v/>
      </c>
      <c r="C13538" s="42" t="str">
        <f>IFERROR(__xludf.DUMMYFUNCTION("""COMPUTED_VALUE"""),"")</f>
        <v/>
      </c>
      <c r="D13538" s="42"/>
      <c r="E13538" s="42"/>
      <c r="F13538" s="48" t="str">
        <f>IFERROR(__xludf.DUMMYFUNCTION("""COMPUTED_VALUE"""),"")</f>
        <v/>
      </c>
      <c r="G13538" s="42" t="str">
        <f>IFERROR(__xludf.DUMMYFUNCTION("""COMPUTED_VALUE"""),"")</f>
        <v/>
      </c>
      <c r="H13538" s="42">
        <f t="shared" si="1"/>
        <v>3345</v>
      </c>
    </row>
    <row r="13539" ht="22.5" customHeight="1">
      <c r="B13539" s="42" t="str">
        <f>IFERROR(__xludf.DUMMYFUNCTION("""COMPUTED_VALUE"""),"")</f>
        <v/>
      </c>
      <c r="C13539" s="42" t="str">
        <f>IFERROR(__xludf.DUMMYFUNCTION("""COMPUTED_VALUE"""),"")</f>
        <v/>
      </c>
      <c r="D13539" s="42"/>
      <c r="E13539" s="42"/>
      <c r="F13539" s="48" t="str">
        <f>IFERROR(__xludf.DUMMYFUNCTION("""COMPUTED_VALUE"""),"")</f>
        <v/>
      </c>
      <c r="G13539" s="42" t="str">
        <f>IFERROR(__xludf.DUMMYFUNCTION("""COMPUTED_VALUE"""),"")</f>
        <v/>
      </c>
      <c r="H13539" s="42">
        <f t="shared" si="1"/>
        <v>3345</v>
      </c>
    </row>
    <row r="13540" ht="22.5" customHeight="1">
      <c r="B13540" s="42" t="str">
        <f>IFERROR(__xludf.DUMMYFUNCTION("""COMPUTED_VALUE"""),"")</f>
        <v/>
      </c>
      <c r="C13540" s="42" t="str">
        <f>IFERROR(__xludf.DUMMYFUNCTION("""COMPUTED_VALUE"""),"")</f>
        <v/>
      </c>
      <c r="D13540" s="42"/>
      <c r="E13540" s="42"/>
      <c r="F13540" s="48" t="str">
        <f>IFERROR(__xludf.DUMMYFUNCTION("""COMPUTED_VALUE"""),"")</f>
        <v/>
      </c>
      <c r="G13540" s="42" t="str">
        <f>IFERROR(__xludf.DUMMYFUNCTION("""COMPUTED_VALUE"""),"")</f>
        <v/>
      </c>
      <c r="H13540" s="42">
        <f t="shared" si="1"/>
        <v>3345</v>
      </c>
    </row>
    <row r="13541" ht="22.5" customHeight="1">
      <c r="B13541" s="42" t="str">
        <f>IFERROR(__xludf.DUMMYFUNCTION("""COMPUTED_VALUE"""),"")</f>
        <v/>
      </c>
      <c r="C13541" s="42" t="str">
        <f>IFERROR(__xludf.DUMMYFUNCTION("""COMPUTED_VALUE"""),"")</f>
        <v/>
      </c>
      <c r="D13541" s="42"/>
      <c r="E13541" s="42"/>
      <c r="F13541" s="48" t="str">
        <f>IFERROR(__xludf.DUMMYFUNCTION("""COMPUTED_VALUE"""),"")</f>
        <v/>
      </c>
      <c r="G13541" s="42" t="str">
        <f>IFERROR(__xludf.DUMMYFUNCTION("""COMPUTED_VALUE"""),"")</f>
        <v/>
      </c>
      <c r="H13541" s="42">
        <f t="shared" si="1"/>
        <v>3345</v>
      </c>
    </row>
    <row r="13542" ht="22.5" customHeight="1">
      <c r="B13542" s="42" t="str">
        <f>IFERROR(__xludf.DUMMYFUNCTION("""COMPUTED_VALUE"""),"")</f>
        <v/>
      </c>
      <c r="C13542" s="42" t="str">
        <f>IFERROR(__xludf.DUMMYFUNCTION("""COMPUTED_VALUE"""),"")</f>
        <v/>
      </c>
      <c r="D13542" s="42"/>
      <c r="E13542" s="42"/>
      <c r="F13542" s="48" t="str">
        <f>IFERROR(__xludf.DUMMYFUNCTION("""COMPUTED_VALUE"""),"")</f>
        <v/>
      </c>
      <c r="G13542" s="42" t="str">
        <f>IFERROR(__xludf.DUMMYFUNCTION("""COMPUTED_VALUE"""),"")</f>
        <v/>
      </c>
      <c r="H13542" s="42">
        <f t="shared" si="1"/>
        <v>3345</v>
      </c>
    </row>
    <row r="13543" ht="22.5" customHeight="1">
      <c r="B13543" s="42" t="str">
        <f>IFERROR(__xludf.DUMMYFUNCTION("""COMPUTED_VALUE"""),"")</f>
        <v/>
      </c>
      <c r="C13543" s="42" t="str">
        <f>IFERROR(__xludf.DUMMYFUNCTION("""COMPUTED_VALUE"""),"")</f>
        <v/>
      </c>
      <c r="D13543" s="42"/>
      <c r="E13543" s="42"/>
      <c r="F13543" s="48" t="str">
        <f>IFERROR(__xludf.DUMMYFUNCTION("""COMPUTED_VALUE"""),"")</f>
        <v/>
      </c>
      <c r="G13543" s="42" t="str">
        <f>IFERROR(__xludf.DUMMYFUNCTION("""COMPUTED_VALUE"""),"")</f>
        <v/>
      </c>
      <c r="H13543" s="42">
        <f t="shared" si="1"/>
        <v>3345</v>
      </c>
    </row>
    <row r="13544" ht="22.5" customHeight="1">
      <c r="B13544" s="42" t="str">
        <f>IFERROR(__xludf.DUMMYFUNCTION("""COMPUTED_VALUE"""),"")</f>
        <v/>
      </c>
      <c r="C13544" s="42" t="str">
        <f>IFERROR(__xludf.DUMMYFUNCTION("""COMPUTED_VALUE"""),"")</f>
        <v/>
      </c>
      <c r="D13544" s="42"/>
      <c r="E13544" s="42"/>
      <c r="F13544" s="48" t="str">
        <f>IFERROR(__xludf.DUMMYFUNCTION("""COMPUTED_VALUE"""),"")</f>
        <v/>
      </c>
      <c r="G13544" s="42" t="str">
        <f>IFERROR(__xludf.DUMMYFUNCTION("""COMPUTED_VALUE"""),"")</f>
        <v/>
      </c>
      <c r="H13544" s="42">
        <f t="shared" si="1"/>
        <v>3345</v>
      </c>
    </row>
    <row r="13545" ht="22.5" customHeight="1">
      <c r="B13545" s="42" t="str">
        <f>IFERROR(__xludf.DUMMYFUNCTION("""COMPUTED_VALUE"""),"")</f>
        <v/>
      </c>
      <c r="C13545" s="42" t="str">
        <f>IFERROR(__xludf.DUMMYFUNCTION("""COMPUTED_VALUE"""),"")</f>
        <v/>
      </c>
      <c r="D13545" s="42"/>
      <c r="E13545" s="42"/>
      <c r="F13545" s="48" t="str">
        <f>IFERROR(__xludf.DUMMYFUNCTION("""COMPUTED_VALUE"""),"")</f>
        <v/>
      </c>
      <c r="G13545" s="42" t="str">
        <f>IFERROR(__xludf.DUMMYFUNCTION("""COMPUTED_VALUE"""),"")</f>
        <v/>
      </c>
      <c r="H13545" s="42">
        <f t="shared" si="1"/>
        <v>3345</v>
      </c>
    </row>
    <row r="13546" ht="22.5" customHeight="1">
      <c r="B13546" s="42" t="str">
        <f>IFERROR(__xludf.DUMMYFUNCTION("""COMPUTED_VALUE"""),"")</f>
        <v/>
      </c>
      <c r="C13546" s="42" t="str">
        <f>IFERROR(__xludf.DUMMYFUNCTION("""COMPUTED_VALUE"""),"")</f>
        <v/>
      </c>
      <c r="D13546" s="42"/>
      <c r="E13546" s="42"/>
      <c r="F13546" s="48" t="str">
        <f>IFERROR(__xludf.DUMMYFUNCTION("""COMPUTED_VALUE"""),"")</f>
        <v/>
      </c>
      <c r="G13546" s="42" t="str">
        <f>IFERROR(__xludf.DUMMYFUNCTION("""COMPUTED_VALUE"""),"")</f>
        <v/>
      </c>
      <c r="H13546" s="42">
        <f t="shared" si="1"/>
        <v>3345</v>
      </c>
    </row>
    <row r="13547" ht="22.5" customHeight="1">
      <c r="B13547" s="42" t="str">
        <f>IFERROR(__xludf.DUMMYFUNCTION("""COMPUTED_VALUE"""),"")</f>
        <v/>
      </c>
      <c r="C13547" s="42" t="str">
        <f>IFERROR(__xludf.DUMMYFUNCTION("""COMPUTED_VALUE"""),"")</f>
        <v/>
      </c>
      <c r="D13547" s="42"/>
      <c r="E13547" s="42"/>
      <c r="F13547" s="48" t="str">
        <f>IFERROR(__xludf.DUMMYFUNCTION("""COMPUTED_VALUE"""),"")</f>
        <v/>
      </c>
      <c r="G13547" s="42" t="str">
        <f>IFERROR(__xludf.DUMMYFUNCTION("""COMPUTED_VALUE"""),"")</f>
        <v/>
      </c>
      <c r="H13547" s="42">
        <f t="shared" si="1"/>
        <v>3345</v>
      </c>
    </row>
    <row r="13548" ht="22.5" customHeight="1">
      <c r="B13548" s="42" t="str">
        <f>IFERROR(__xludf.DUMMYFUNCTION("""COMPUTED_VALUE"""),"")</f>
        <v/>
      </c>
      <c r="C13548" s="42" t="str">
        <f>IFERROR(__xludf.DUMMYFUNCTION("""COMPUTED_VALUE"""),"")</f>
        <v/>
      </c>
      <c r="D13548" s="42"/>
      <c r="E13548" s="42"/>
      <c r="F13548" s="48" t="str">
        <f>IFERROR(__xludf.DUMMYFUNCTION("""COMPUTED_VALUE"""),"")</f>
        <v/>
      </c>
      <c r="G13548" s="42" t="str">
        <f>IFERROR(__xludf.DUMMYFUNCTION("""COMPUTED_VALUE"""),"")</f>
        <v/>
      </c>
      <c r="H13548" s="42">
        <f t="shared" si="1"/>
        <v>3345</v>
      </c>
    </row>
    <row r="13549" ht="22.5" customHeight="1">
      <c r="B13549" s="42" t="str">
        <f>IFERROR(__xludf.DUMMYFUNCTION("""COMPUTED_VALUE"""),"")</f>
        <v/>
      </c>
      <c r="C13549" s="42" t="str">
        <f>IFERROR(__xludf.DUMMYFUNCTION("""COMPUTED_VALUE"""),"")</f>
        <v/>
      </c>
      <c r="D13549" s="42"/>
      <c r="E13549" s="42"/>
      <c r="F13549" s="48" t="str">
        <f>IFERROR(__xludf.DUMMYFUNCTION("""COMPUTED_VALUE"""),"")</f>
        <v/>
      </c>
      <c r="G13549" s="42" t="str">
        <f>IFERROR(__xludf.DUMMYFUNCTION("""COMPUTED_VALUE"""),"")</f>
        <v/>
      </c>
      <c r="H13549" s="42">
        <f t="shared" si="1"/>
        <v>3345</v>
      </c>
    </row>
    <row r="13550" ht="22.5" customHeight="1">
      <c r="B13550" s="42" t="str">
        <f>IFERROR(__xludf.DUMMYFUNCTION("""COMPUTED_VALUE"""),"")</f>
        <v/>
      </c>
      <c r="C13550" s="42" t="str">
        <f>IFERROR(__xludf.DUMMYFUNCTION("""COMPUTED_VALUE"""),"")</f>
        <v/>
      </c>
      <c r="D13550" s="42"/>
      <c r="E13550" s="42"/>
      <c r="F13550" s="48" t="str">
        <f>IFERROR(__xludf.DUMMYFUNCTION("""COMPUTED_VALUE"""),"")</f>
        <v/>
      </c>
      <c r="G13550" s="42" t="str">
        <f>IFERROR(__xludf.DUMMYFUNCTION("""COMPUTED_VALUE"""),"")</f>
        <v/>
      </c>
      <c r="H13550" s="42">
        <f t="shared" si="1"/>
        <v>3345</v>
      </c>
    </row>
    <row r="13551" ht="22.5" customHeight="1">
      <c r="B13551" s="42" t="str">
        <f>IFERROR(__xludf.DUMMYFUNCTION("""COMPUTED_VALUE"""),"")</f>
        <v/>
      </c>
      <c r="C13551" s="42" t="str">
        <f>IFERROR(__xludf.DUMMYFUNCTION("""COMPUTED_VALUE"""),"")</f>
        <v/>
      </c>
      <c r="D13551" s="42"/>
      <c r="E13551" s="42"/>
      <c r="F13551" s="48" t="str">
        <f>IFERROR(__xludf.DUMMYFUNCTION("""COMPUTED_VALUE"""),"")</f>
        <v/>
      </c>
      <c r="G13551" s="42" t="str">
        <f>IFERROR(__xludf.DUMMYFUNCTION("""COMPUTED_VALUE"""),"")</f>
        <v/>
      </c>
      <c r="H13551" s="42">
        <f t="shared" si="1"/>
        <v>3345</v>
      </c>
    </row>
    <row r="13552" ht="22.5" customHeight="1">
      <c r="B13552" s="42" t="str">
        <f>IFERROR(__xludf.DUMMYFUNCTION("""COMPUTED_VALUE"""),"")</f>
        <v/>
      </c>
      <c r="C13552" s="42" t="str">
        <f>IFERROR(__xludf.DUMMYFUNCTION("""COMPUTED_VALUE"""),"")</f>
        <v/>
      </c>
      <c r="D13552" s="42"/>
      <c r="E13552" s="42"/>
      <c r="F13552" s="48" t="str">
        <f>IFERROR(__xludf.DUMMYFUNCTION("""COMPUTED_VALUE"""),"")</f>
        <v/>
      </c>
      <c r="G13552" s="42" t="str">
        <f>IFERROR(__xludf.DUMMYFUNCTION("""COMPUTED_VALUE"""),"")</f>
        <v/>
      </c>
      <c r="H13552" s="42">
        <f t="shared" si="1"/>
        <v>3345</v>
      </c>
    </row>
    <row r="13553" ht="22.5" customHeight="1">
      <c r="B13553" s="42" t="str">
        <f>IFERROR(__xludf.DUMMYFUNCTION("""COMPUTED_VALUE"""),"")</f>
        <v/>
      </c>
      <c r="C13553" s="42" t="str">
        <f>IFERROR(__xludf.DUMMYFUNCTION("""COMPUTED_VALUE"""),"")</f>
        <v/>
      </c>
      <c r="D13553" s="42"/>
      <c r="E13553" s="42"/>
      <c r="F13553" s="48" t="str">
        <f>IFERROR(__xludf.DUMMYFUNCTION("""COMPUTED_VALUE"""),"")</f>
        <v/>
      </c>
      <c r="G13553" s="42" t="str">
        <f>IFERROR(__xludf.DUMMYFUNCTION("""COMPUTED_VALUE"""),"")</f>
        <v/>
      </c>
      <c r="H13553" s="42">
        <f t="shared" si="1"/>
        <v>3345</v>
      </c>
    </row>
    <row r="13554" ht="22.5" customHeight="1">
      <c r="B13554" s="42" t="str">
        <f>IFERROR(__xludf.DUMMYFUNCTION("""COMPUTED_VALUE"""),"")</f>
        <v/>
      </c>
      <c r="C13554" s="42" t="str">
        <f>IFERROR(__xludf.DUMMYFUNCTION("""COMPUTED_VALUE"""),"")</f>
        <v/>
      </c>
      <c r="D13554" s="42"/>
      <c r="E13554" s="42"/>
      <c r="F13554" s="48" t="str">
        <f>IFERROR(__xludf.DUMMYFUNCTION("""COMPUTED_VALUE"""),"")</f>
        <v/>
      </c>
      <c r="G13554" s="42" t="str">
        <f>IFERROR(__xludf.DUMMYFUNCTION("""COMPUTED_VALUE"""),"")</f>
        <v/>
      </c>
      <c r="H13554" s="42">
        <f t="shared" si="1"/>
        <v>3345</v>
      </c>
    </row>
    <row r="13555" ht="22.5" customHeight="1">
      <c r="B13555" s="42" t="str">
        <f>IFERROR(__xludf.DUMMYFUNCTION("""COMPUTED_VALUE"""),"")</f>
        <v/>
      </c>
      <c r="C13555" s="42" t="str">
        <f>IFERROR(__xludf.DUMMYFUNCTION("""COMPUTED_VALUE"""),"")</f>
        <v/>
      </c>
      <c r="D13555" s="42"/>
      <c r="E13555" s="42"/>
      <c r="F13555" s="48" t="str">
        <f>IFERROR(__xludf.DUMMYFUNCTION("""COMPUTED_VALUE"""),"")</f>
        <v/>
      </c>
      <c r="G13555" s="42" t="str">
        <f>IFERROR(__xludf.DUMMYFUNCTION("""COMPUTED_VALUE"""),"")</f>
        <v/>
      </c>
      <c r="H13555" s="42">
        <f t="shared" si="1"/>
        <v>3345</v>
      </c>
    </row>
    <row r="13556" ht="22.5" customHeight="1">
      <c r="B13556" s="42" t="str">
        <f>IFERROR(__xludf.DUMMYFUNCTION("""COMPUTED_VALUE"""),"")</f>
        <v/>
      </c>
      <c r="C13556" s="42" t="str">
        <f>IFERROR(__xludf.DUMMYFUNCTION("""COMPUTED_VALUE"""),"")</f>
        <v/>
      </c>
      <c r="D13556" s="42"/>
      <c r="E13556" s="42"/>
      <c r="F13556" s="48" t="str">
        <f>IFERROR(__xludf.DUMMYFUNCTION("""COMPUTED_VALUE"""),"")</f>
        <v/>
      </c>
      <c r="G13556" s="42" t="str">
        <f>IFERROR(__xludf.DUMMYFUNCTION("""COMPUTED_VALUE"""),"")</f>
        <v/>
      </c>
      <c r="H13556" s="42">
        <f t="shared" si="1"/>
        <v>3345</v>
      </c>
    </row>
    <row r="13557" ht="22.5" customHeight="1">
      <c r="B13557" s="42" t="str">
        <f>IFERROR(__xludf.DUMMYFUNCTION("""COMPUTED_VALUE"""),"")</f>
        <v/>
      </c>
      <c r="C13557" s="42" t="str">
        <f>IFERROR(__xludf.DUMMYFUNCTION("""COMPUTED_VALUE"""),"")</f>
        <v/>
      </c>
      <c r="D13557" s="42"/>
      <c r="E13557" s="42"/>
      <c r="F13557" s="48" t="str">
        <f>IFERROR(__xludf.DUMMYFUNCTION("""COMPUTED_VALUE"""),"")</f>
        <v/>
      </c>
      <c r="G13557" s="42" t="str">
        <f>IFERROR(__xludf.DUMMYFUNCTION("""COMPUTED_VALUE"""),"")</f>
        <v/>
      </c>
      <c r="H13557" s="42">
        <f t="shared" si="1"/>
        <v>3345</v>
      </c>
    </row>
    <row r="13558" ht="22.5" customHeight="1">
      <c r="B13558" s="42" t="str">
        <f>IFERROR(__xludf.DUMMYFUNCTION("""COMPUTED_VALUE"""),"")</f>
        <v/>
      </c>
      <c r="C13558" s="42" t="str">
        <f>IFERROR(__xludf.DUMMYFUNCTION("""COMPUTED_VALUE"""),"")</f>
        <v/>
      </c>
      <c r="D13558" s="42"/>
      <c r="E13558" s="42"/>
      <c r="F13558" s="48" t="str">
        <f>IFERROR(__xludf.DUMMYFUNCTION("""COMPUTED_VALUE"""),"")</f>
        <v/>
      </c>
      <c r="G13558" s="42" t="str">
        <f>IFERROR(__xludf.DUMMYFUNCTION("""COMPUTED_VALUE"""),"")</f>
        <v/>
      </c>
      <c r="H13558" s="42">
        <f t="shared" si="1"/>
        <v>3345</v>
      </c>
    </row>
    <row r="13559" ht="22.5" customHeight="1">
      <c r="B13559" s="42" t="str">
        <f>IFERROR(__xludf.DUMMYFUNCTION("""COMPUTED_VALUE"""),"")</f>
        <v/>
      </c>
      <c r="C13559" s="42" t="str">
        <f>IFERROR(__xludf.DUMMYFUNCTION("""COMPUTED_VALUE"""),"")</f>
        <v/>
      </c>
      <c r="D13559" s="42"/>
      <c r="E13559" s="42"/>
      <c r="F13559" s="48" t="str">
        <f>IFERROR(__xludf.DUMMYFUNCTION("""COMPUTED_VALUE"""),"")</f>
        <v/>
      </c>
      <c r="G13559" s="42" t="str">
        <f>IFERROR(__xludf.DUMMYFUNCTION("""COMPUTED_VALUE"""),"")</f>
        <v/>
      </c>
      <c r="H13559" s="42">
        <f t="shared" si="1"/>
        <v>3345</v>
      </c>
    </row>
    <row r="13560" ht="22.5" customHeight="1">
      <c r="B13560" s="42" t="str">
        <f>IFERROR(__xludf.DUMMYFUNCTION("""COMPUTED_VALUE"""),"")</f>
        <v/>
      </c>
      <c r="C13560" s="42" t="str">
        <f>IFERROR(__xludf.DUMMYFUNCTION("""COMPUTED_VALUE"""),"")</f>
        <v/>
      </c>
      <c r="D13560" s="42"/>
      <c r="E13560" s="42"/>
      <c r="F13560" s="48" t="str">
        <f>IFERROR(__xludf.DUMMYFUNCTION("""COMPUTED_VALUE"""),"")</f>
        <v/>
      </c>
      <c r="G13560" s="42" t="str">
        <f>IFERROR(__xludf.DUMMYFUNCTION("""COMPUTED_VALUE"""),"")</f>
        <v/>
      </c>
      <c r="H13560" s="42">
        <f t="shared" si="1"/>
        <v>3345</v>
      </c>
    </row>
    <row r="13561" ht="22.5" customHeight="1">
      <c r="B13561" s="42" t="str">
        <f>IFERROR(__xludf.DUMMYFUNCTION("""COMPUTED_VALUE"""),"")</f>
        <v/>
      </c>
      <c r="C13561" s="42" t="str">
        <f>IFERROR(__xludf.DUMMYFUNCTION("""COMPUTED_VALUE"""),"")</f>
        <v/>
      </c>
      <c r="D13561" s="42"/>
      <c r="E13561" s="42"/>
      <c r="F13561" s="48" t="str">
        <f>IFERROR(__xludf.DUMMYFUNCTION("""COMPUTED_VALUE"""),"")</f>
        <v/>
      </c>
      <c r="G13561" s="42" t="str">
        <f>IFERROR(__xludf.DUMMYFUNCTION("""COMPUTED_VALUE"""),"")</f>
        <v/>
      </c>
      <c r="H13561" s="42">
        <f t="shared" si="1"/>
        <v>3345</v>
      </c>
    </row>
    <row r="13562" ht="22.5" customHeight="1">
      <c r="B13562" s="42" t="str">
        <f>IFERROR(__xludf.DUMMYFUNCTION("""COMPUTED_VALUE"""),"")</f>
        <v/>
      </c>
      <c r="C13562" s="42" t="str">
        <f>IFERROR(__xludf.DUMMYFUNCTION("""COMPUTED_VALUE"""),"")</f>
        <v/>
      </c>
      <c r="D13562" s="42"/>
      <c r="E13562" s="42"/>
      <c r="F13562" s="48" t="str">
        <f>IFERROR(__xludf.DUMMYFUNCTION("""COMPUTED_VALUE"""),"")</f>
        <v/>
      </c>
      <c r="G13562" s="42" t="str">
        <f>IFERROR(__xludf.DUMMYFUNCTION("""COMPUTED_VALUE"""),"")</f>
        <v/>
      </c>
      <c r="H13562" s="42">
        <f t="shared" si="1"/>
        <v>3345</v>
      </c>
    </row>
    <row r="13563" ht="22.5" customHeight="1">
      <c r="B13563" s="42" t="str">
        <f>IFERROR(__xludf.DUMMYFUNCTION("""COMPUTED_VALUE"""),"")</f>
        <v/>
      </c>
      <c r="C13563" s="42" t="str">
        <f>IFERROR(__xludf.DUMMYFUNCTION("""COMPUTED_VALUE"""),"")</f>
        <v/>
      </c>
      <c r="D13563" s="42"/>
      <c r="E13563" s="42"/>
      <c r="F13563" s="48" t="str">
        <f>IFERROR(__xludf.DUMMYFUNCTION("""COMPUTED_VALUE"""),"")</f>
        <v/>
      </c>
      <c r="G13563" s="42" t="str">
        <f>IFERROR(__xludf.DUMMYFUNCTION("""COMPUTED_VALUE"""),"")</f>
        <v/>
      </c>
      <c r="H13563" s="42">
        <f t="shared" si="1"/>
        <v>3345</v>
      </c>
    </row>
    <row r="13564" ht="22.5" customHeight="1">
      <c r="B13564" s="42" t="str">
        <f>IFERROR(__xludf.DUMMYFUNCTION("""COMPUTED_VALUE"""),"")</f>
        <v/>
      </c>
      <c r="C13564" s="42" t="str">
        <f>IFERROR(__xludf.DUMMYFUNCTION("""COMPUTED_VALUE"""),"")</f>
        <v/>
      </c>
      <c r="D13564" s="42"/>
      <c r="E13564" s="42"/>
      <c r="F13564" s="48" t="str">
        <f>IFERROR(__xludf.DUMMYFUNCTION("""COMPUTED_VALUE"""),"")</f>
        <v/>
      </c>
      <c r="G13564" s="42" t="str">
        <f>IFERROR(__xludf.DUMMYFUNCTION("""COMPUTED_VALUE"""),"")</f>
        <v/>
      </c>
      <c r="H13564" s="42">
        <f t="shared" si="1"/>
        <v>3345</v>
      </c>
    </row>
    <row r="13565" ht="22.5" customHeight="1">
      <c r="B13565" s="42" t="str">
        <f>IFERROR(__xludf.DUMMYFUNCTION("""COMPUTED_VALUE"""),"")</f>
        <v/>
      </c>
      <c r="C13565" s="42" t="str">
        <f>IFERROR(__xludf.DUMMYFUNCTION("""COMPUTED_VALUE"""),"")</f>
        <v/>
      </c>
      <c r="D13565" s="42"/>
      <c r="E13565" s="42"/>
      <c r="F13565" s="48" t="str">
        <f>IFERROR(__xludf.DUMMYFUNCTION("""COMPUTED_VALUE"""),"")</f>
        <v/>
      </c>
      <c r="G13565" s="42" t="str">
        <f>IFERROR(__xludf.DUMMYFUNCTION("""COMPUTED_VALUE"""),"")</f>
        <v/>
      </c>
      <c r="H13565" s="42">
        <f t="shared" si="1"/>
        <v>3345</v>
      </c>
    </row>
    <row r="13566" ht="22.5" customHeight="1">
      <c r="B13566" s="42" t="str">
        <f>IFERROR(__xludf.DUMMYFUNCTION("""COMPUTED_VALUE"""),"")</f>
        <v/>
      </c>
      <c r="C13566" s="42" t="str">
        <f>IFERROR(__xludf.DUMMYFUNCTION("""COMPUTED_VALUE"""),"")</f>
        <v/>
      </c>
      <c r="D13566" s="42"/>
      <c r="E13566" s="42"/>
      <c r="F13566" s="48" t="str">
        <f>IFERROR(__xludf.DUMMYFUNCTION("""COMPUTED_VALUE"""),"")</f>
        <v/>
      </c>
      <c r="G13566" s="42" t="str">
        <f>IFERROR(__xludf.DUMMYFUNCTION("""COMPUTED_VALUE"""),"")</f>
        <v/>
      </c>
      <c r="H13566" s="42">
        <f t="shared" si="1"/>
        <v>3345</v>
      </c>
    </row>
    <row r="13567" ht="22.5" customHeight="1">
      <c r="B13567" s="42" t="str">
        <f>IFERROR(__xludf.DUMMYFUNCTION("""COMPUTED_VALUE"""),"")</f>
        <v/>
      </c>
      <c r="C13567" s="42" t="str">
        <f>IFERROR(__xludf.DUMMYFUNCTION("""COMPUTED_VALUE"""),"")</f>
        <v/>
      </c>
      <c r="D13567" s="42"/>
      <c r="E13567" s="42"/>
      <c r="F13567" s="48" t="str">
        <f>IFERROR(__xludf.DUMMYFUNCTION("""COMPUTED_VALUE"""),"")</f>
        <v/>
      </c>
      <c r="G13567" s="42" t="str">
        <f>IFERROR(__xludf.DUMMYFUNCTION("""COMPUTED_VALUE"""),"")</f>
        <v/>
      </c>
      <c r="H13567" s="42">
        <f t="shared" si="1"/>
        <v>3345</v>
      </c>
    </row>
    <row r="13568" ht="22.5" customHeight="1">
      <c r="B13568" s="42" t="str">
        <f>IFERROR(__xludf.DUMMYFUNCTION("""COMPUTED_VALUE"""),"")</f>
        <v/>
      </c>
      <c r="C13568" s="42" t="str">
        <f>IFERROR(__xludf.DUMMYFUNCTION("""COMPUTED_VALUE"""),"")</f>
        <v/>
      </c>
      <c r="D13568" s="42"/>
      <c r="E13568" s="42"/>
      <c r="F13568" s="48" t="str">
        <f>IFERROR(__xludf.DUMMYFUNCTION("""COMPUTED_VALUE"""),"")</f>
        <v/>
      </c>
      <c r="G13568" s="42" t="str">
        <f>IFERROR(__xludf.DUMMYFUNCTION("""COMPUTED_VALUE"""),"")</f>
        <v/>
      </c>
      <c r="H13568" s="42">
        <f t="shared" si="1"/>
        <v>3345</v>
      </c>
    </row>
    <row r="13569" ht="22.5" customHeight="1">
      <c r="B13569" s="42" t="str">
        <f>IFERROR(__xludf.DUMMYFUNCTION("""COMPUTED_VALUE"""),"")</f>
        <v/>
      </c>
      <c r="C13569" s="42" t="str">
        <f>IFERROR(__xludf.DUMMYFUNCTION("""COMPUTED_VALUE"""),"")</f>
        <v/>
      </c>
      <c r="D13569" s="42"/>
      <c r="E13569" s="42"/>
      <c r="F13569" s="48" t="str">
        <f>IFERROR(__xludf.DUMMYFUNCTION("""COMPUTED_VALUE"""),"")</f>
        <v/>
      </c>
      <c r="G13569" s="42" t="str">
        <f>IFERROR(__xludf.DUMMYFUNCTION("""COMPUTED_VALUE"""),"")</f>
        <v/>
      </c>
      <c r="H13569" s="42">
        <f t="shared" si="1"/>
        <v>3345</v>
      </c>
    </row>
    <row r="13570" ht="22.5" customHeight="1">
      <c r="B13570" s="42" t="str">
        <f>IFERROR(__xludf.DUMMYFUNCTION("""COMPUTED_VALUE"""),"")</f>
        <v/>
      </c>
      <c r="C13570" s="42" t="str">
        <f>IFERROR(__xludf.DUMMYFUNCTION("""COMPUTED_VALUE"""),"")</f>
        <v/>
      </c>
      <c r="D13570" s="42"/>
      <c r="E13570" s="42"/>
      <c r="F13570" s="48" t="str">
        <f>IFERROR(__xludf.DUMMYFUNCTION("""COMPUTED_VALUE"""),"")</f>
        <v/>
      </c>
      <c r="G13570" s="42" t="str">
        <f>IFERROR(__xludf.DUMMYFUNCTION("""COMPUTED_VALUE"""),"")</f>
        <v/>
      </c>
      <c r="H13570" s="42">
        <f t="shared" si="1"/>
        <v>3345</v>
      </c>
    </row>
    <row r="13571" ht="22.5" customHeight="1">
      <c r="B13571" s="42" t="str">
        <f>IFERROR(__xludf.DUMMYFUNCTION("""COMPUTED_VALUE"""),"")</f>
        <v/>
      </c>
      <c r="C13571" s="42" t="str">
        <f>IFERROR(__xludf.DUMMYFUNCTION("""COMPUTED_VALUE"""),"")</f>
        <v/>
      </c>
      <c r="D13571" s="42"/>
      <c r="E13571" s="42"/>
      <c r="F13571" s="48" t="str">
        <f>IFERROR(__xludf.DUMMYFUNCTION("""COMPUTED_VALUE"""),"")</f>
        <v/>
      </c>
      <c r="G13571" s="42" t="str">
        <f>IFERROR(__xludf.DUMMYFUNCTION("""COMPUTED_VALUE"""),"")</f>
        <v/>
      </c>
      <c r="H13571" s="42">
        <f t="shared" si="1"/>
        <v>3345</v>
      </c>
    </row>
    <row r="13572" ht="22.5" customHeight="1">
      <c r="B13572" s="42" t="str">
        <f>IFERROR(__xludf.DUMMYFUNCTION("""COMPUTED_VALUE"""),"")</f>
        <v/>
      </c>
      <c r="C13572" s="42" t="str">
        <f>IFERROR(__xludf.DUMMYFUNCTION("""COMPUTED_VALUE"""),"")</f>
        <v/>
      </c>
      <c r="D13572" s="42"/>
      <c r="E13572" s="42"/>
      <c r="F13572" s="48" t="str">
        <f>IFERROR(__xludf.DUMMYFUNCTION("""COMPUTED_VALUE"""),"")</f>
        <v/>
      </c>
      <c r="G13572" s="42" t="str">
        <f>IFERROR(__xludf.DUMMYFUNCTION("""COMPUTED_VALUE"""),"")</f>
        <v/>
      </c>
      <c r="H13572" s="42">
        <f t="shared" si="1"/>
        <v>3345</v>
      </c>
    </row>
    <row r="13573" ht="22.5" customHeight="1">
      <c r="B13573" s="42" t="str">
        <f>IFERROR(__xludf.DUMMYFUNCTION("""COMPUTED_VALUE"""),"")</f>
        <v/>
      </c>
      <c r="C13573" s="42" t="str">
        <f>IFERROR(__xludf.DUMMYFUNCTION("""COMPUTED_VALUE"""),"")</f>
        <v/>
      </c>
      <c r="D13573" s="42"/>
      <c r="E13573" s="42"/>
      <c r="F13573" s="48" t="str">
        <f>IFERROR(__xludf.DUMMYFUNCTION("""COMPUTED_VALUE"""),"")</f>
        <v/>
      </c>
      <c r="G13573" s="42" t="str">
        <f>IFERROR(__xludf.DUMMYFUNCTION("""COMPUTED_VALUE"""),"")</f>
        <v/>
      </c>
      <c r="H13573" s="42">
        <f t="shared" si="1"/>
        <v>3345</v>
      </c>
    </row>
    <row r="13574" ht="22.5" customHeight="1">
      <c r="B13574" s="42" t="str">
        <f>IFERROR(__xludf.DUMMYFUNCTION("""COMPUTED_VALUE"""),"")</f>
        <v/>
      </c>
      <c r="C13574" s="42" t="str">
        <f>IFERROR(__xludf.DUMMYFUNCTION("""COMPUTED_VALUE"""),"")</f>
        <v/>
      </c>
      <c r="D13574" s="42"/>
      <c r="E13574" s="42"/>
      <c r="F13574" s="48" t="str">
        <f>IFERROR(__xludf.DUMMYFUNCTION("""COMPUTED_VALUE"""),"")</f>
        <v/>
      </c>
      <c r="G13574" s="42" t="str">
        <f>IFERROR(__xludf.DUMMYFUNCTION("""COMPUTED_VALUE"""),"")</f>
        <v/>
      </c>
      <c r="H13574" s="42">
        <f t="shared" si="1"/>
        <v>3345</v>
      </c>
    </row>
    <row r="13575" ht="22.5" customHeight="1">
      <c r="B13575" s="42" t="str">
        <f>IFERROR(__xludf.DUMMYFUNCTION("""COMPUTED_VALUE"""),"")</f>
        <v/>
      </c>
      <c r="C13575" s="42" t="str">
        <f>IFERROR(__xludf.DUMMYFUNCTION("""COMPUTED_VALUE"""),"")</f>
        <v/>
      </c>
      <c r="D13575" s="42"/>
      <c r="E13575" s="42"/>
      <c r="F13575" s="48" t="str">
        <f>IFERROR(__xludf.DUMMYFUNCTION("""COMPUTED_VALUE"""),"")</f>
        <v/>
      </c>
      <c r="G13575" s="42" t="str">
        <f>IFERROR(__xludf.DUMMYFUNCTION("""COMPUTED_VALUE"""),"")</f>
        <v/>
      </c>
      <c r="H13575" s="42">
        <f t="shared" si="1"/>
        <v>3345</v>
      </c>
    </row>
    <row r="13576" ht="22.5" customHeight="1">
      <c r="B13576" s="42" t="str">
        <f>IFERROR(__xludf.DUMMYFUNCTION("""COMPUTED_VALUE"""),"")</f>
        <v/>
      </c>
      <c r="C13576" s="42" t="str">
        <f>IFERROR(__xludf.DUMMYFUNCTION("""COMPUTED_VALUE"""),"")</f>
        <v/>
      </c>
      <c r="D13576" s="42"/>
      <c r="E13576" s="42"/>
      <c r="F13576" s="48" t="str">
        <f>IFERROR(__xludf.DUMMYFUNCTION("""COMPUTED_VALUE"""),"")</f>
        <v/>
      </c>
      <c r="G13576" s="42" t="str">
        <f>IFERROR(__xludf.DUMMYFUNCTION("""COMPUTED_VALUE"""),"")</f>
        <v/>
      </c>
      <c r="H13576" s="42">
        <f t="shared" si="1"/>
        <v>3345</v>
      </c>
    </row>
    <row r="13577" ht="22.5" customHeight="1">
      <c r="B13577" s="42" t="str">
        <f>IFERROR(__xludf.DUMMYFUNCTION("""COMPUTED_VALUE"""),"")</f>
        <v/>
      </c>
      <c r="C13577" s="42" t="str">
        <f>IFERROR(__xludf.DUMMYFUNCTION("""COMPUTED_VALUE"""),"")</f>
        <v/>
      </c>
      <c r="D13577" s="42"/>
      <c r="E13577" s="42"/>
      <c r="F13577" s="48" t="str">
        <f>IFERROR(__xludf.DUMMYFUNCTION("""COMPUTED_VALUE"""),"")</f>
        <v/>
      </c>
      <c r="G13577" s="42" t="str">
        <f>IFERROR(__xludf.DUMMYFUNCTION("""COMPUTED_VALUE"""),"")</f>
        <v/>
      </c>
      <c r="H13577" s="42">
        <f t="shared" si="1"/>
        <v>3345</v>
      </c>
    </row>
    <row r="13578" ht="22.5" customHeight="1">
      <c r="B13578" s="42" t="str">
        <f>IFERROR(__xludf.DUMMYFUNCTION("""COMPUTED_VALUE"""),"")</f>
        <v/>
      </c>
      <c r="C13578" s="42" t="str">
        <f>IFERROR(__xludf.DUMMYFUNCTION("""COMPUTED_VALUE"""),"")</f>
        <v/>
      </c>
      <c r="D13578" s="42"/>
      <c r="E13578" s="42"/>
      <c r="F13578" s="48" t="str">
        <f>IFERROR(__xludf.DUMMYFUNCTION("""COMPUTED_VALUE"""),"")</f>
        <v/>
      </c>
      <c r="G13578" s="42" t="str">
        <f>IFERROR(__xludf.DUMMYFUNCTION("""COMPUTED_VALUE"""),"")</f>
        <v/>
      </c>
      <c r="H13578" s="42">
        <f t="shared" si="1"/>
        <v>3345</v>
      </c>
    </row>
    <row r="13579" ht="22.5" customHeight="1">
      <c r="B13579" s="42" t="str">
        <f>IFERROR(__xludf.DUMMYFUNCTION("""COMPUTED_VALUE"""),"")</f>
        <v/>
      </c>
      <c r="C13579" s="42" t="str">
        <f>IFERROR(__xludf.DUMMYFUNCTION("""COMPUTED_VALUE"""),"")</f>
        <v/>
      </c>
      <c r="D13579" s="42"/>
      <c r="E13579" s="42"/>
      <c r="F13579" s="48" t="str">
        <f>IFERROR(__xludf.DUMMYFUNCTION("""COMPUTED_VALUE"""),"")</f>
        <v/>
      </c>
      <c r="G13579" s="42" t="str">
        <f>IFERROR(__xludf.DUMMYFUNCTION("""COMPUTED_VALUE"""),"")</f>
        <v/>
      </c>
      <c r="H13579" s="42">
        <f t="shared" si="1"/>
        <v>3345</v>
      </c>
    </row>
    <row r="13580" ht="22.5" customHeight="1">
      <c r="B13580" s="42" t="str">
        <f>IFERROR(__xludf.DUMMYFUNCTION("""COMPUTED_VALUE"""),"")</f>
        <v/>
      </c>
      <c r="C13580" s="42" t="str">
        <f>IFERROR(__xludf.DUMMYFUNCTION("""COMPUTED_VALUE"""),"")</f>
        <v/>
      </c>
      <c r="D13580" s="42"/>
      <c r="E13580" s="42"/>
      <c r="F13580" s="48" t="str">
        <f>IFERROR(__xludf.DUMMYFUNCTION("""COMPUTED_VALUE"""),"")</f>
        <v/>
      </c>
      <c r="G13580" s="42" t="str">
        <f>IFERROR(__xludf.DUMMYFUNCTION("""COMPUTED_VALUE"""),"")</f>
        <v/>
      </c>
      <c r="H13580" s="42">
        <f t="shared" si="1"/>
        <v>3345</v>
      </c>
    </row>
    <row r="13581" ht="22.5" customHeight="1">
      <c r="B13581" s="42" t="str">
        <f>IFERROR(__xludf.DUMMYFUNCTION("""COMPUTED_VALUE"""),"")</f>
        <v/>
      </c>
      <c r="C13581" s="42" t="str">
        <f>IFERROR(__xludf.DUMMYFUNCTION("""COMPUTED_VALUE"""),"")</f>
        <v/>
      </c>
      <c r="D13581" s="42"/>
      <c r="E13581" s="42"/>
      <c r="F13581" s="48" t="str">
        <f>IFERROR(__xludf.DUMMYFUNCTION("""COMPUTED_VALUE"""),"")</f>
        <v/>
      </c>
      <c r="G13581" s="42" t="str">
        <f>IFERROR(__xludf.DUMMYFUNCTION("""COMPUTED_VALUE"""),"")</f>
        <v/>
      </c>
      <c r="H13581" s="42">
        <f t="shared" si="1"/>
        <v>3345</v>
      </c>
    </row>
    <row r="13582" ht="22.5" customHeight="1">
      <c r="B13582" s="42" t="str">
        <f>IFERROR(__xludf.DUMMYFUNCTION("""COMPUTED_VALUE"""),"")</f>
        <v/>
      </c>
      <c r="C13582" s="42" t="str">
        <f>IFERROR(__xludf.DUMMYFUNCTION("""COMPUTED_VALUE"""),"")</f>
        <v/>
      </c>
      <c r="D13582" s="42"/>
      <c r="E13582" s="42"/>
      <c r="F13582" s="48" t="str">
        <f>IFERROR(__xludf.DUMMYFUNCTION("""COMPUTED_VALUE"""),"")</f>
        <v/>
      </c>
      <c r="G13582" s="42" t="str">
        <f>IFERROR(__xludf.DUMMYFUNCTION("""COMPUTED_VALUE"""),"")</f>
        <v/>
      </c>
      <c r="H13582" s="42">
        <f t="shared" si="1"/>
        <v>3345</v>
      </c>
    </row>
    <row r="13583" ht="22.5" customHeight="1">
      <c r="B13583" s="42" t="str">
        <f>IFERROR(__xludf.DUMMYFUNCTION("""COMPUTED_VALUE"""),"")</f>
        <v/>
      </c>
      <c r="C13583" s="42" t="str">
        <f>IFERROR(__xludf.DUMMYFUNCTION("""COMPUTED_VALUE"""),"")</f>
        <v/>
      </c>
      <c r="D13583" s="42"/>
      <c r="E13583" s="42"/>
      <c r="F13583" s="48" t="str">
        <f>IFERROR(__xludf.DUMMYFUNCTION("""COMPUTED_VALUE"""),"")</f>
        <v/>
      </c>
      <c r="G13583" s="42" t="str">
        <f>IFERROR(__xludf.DUMMYFUNCTION("""COMPUTED_VALUE"""),"")</f>
        <v/>
      </c>
      <c r="H13583" s="42">
        <f t="shared" si="1"/>
        <v>3345</v>
      </c>
    </row>
    <row r="13584" ht="22.5" customHeight="1">
      <c r="B13584" s="42" t="str">
        <f>IFERROR(__xludf.DUMMYFUNCTION("""COMPUTED_VALUE"""),"")</f>
        <v/>
      </c>
      <c r="C13584" s="42" t="str">
        <f>IFERROR(__xludf.DUMMYFUNCTION("""COMPUTED_VALUE"""),"")</f>
        <v/>
      </c>
      <c r="D13584" s="42"/>
      <c r="E13584" s="42"/>
      <c r="F13584" s="48" t="str">
        <f>IFERROR(__xludf.DUMMYFUNCTION("""COMPUTED_VALUE"""),"")</f>
        <v/>
      </c>
      <c r="G13584" s="42" t="str">
        <f>IFERROR(__xludf.DUMMYFUNCTION("""COMPUTED_VALUE"""),"")</f>
        <v/>
      </c>
      <c r="H13584" s="42">
        <f t="shared" si="1"/>
        <v>3345</v>
      </c>
    </row>
    <row r="13585" ht="22.5" customHeight="1">
      <c r="B13585" s="42" t="str">
        <f>IFERROR(__xludf.DUMMYFUNCTION("""COMPUTED_VALUE"""),"")</f>
        <v/>
      </c>
      <c r="C13585" s="42" t="str">
        <f>IFERROR(__xludf.DUMMYFUNCTION("""COMPUTED_VALUE"""),"")</f>
        <v/>
      </c>
      <c r="D13585" s="42"/>
      <c r="E13585" s="42"/>
      <c r="F13585" s="48" t="str">
        <f>IFERROR(__xludf.DUMMYFUNCTION("""COMPUTED_VALUE"""),"")</f>
        <v/>
      </c>
      <c r="G13585" s="42" t="str">
        <f>IFERROR(__xludf.DUMMYFUNCTION("""COMPUTED_VALUE"""),"")</f>
        <v/>
      </c>
      <c r="H13585" s="42">
        <f t="shared" si="1"/>
        <v>3345</v>
      </c>
    </row>
    <row r="13586" ht="22.5" customHeight="1">
      <c r="B13586" s="42" t="str">
        <f>IFERROR(__xludf.DUMMYFUNCTION("""COMPUTED_VALUE"""),"")</f>
        <v/>
      </c>
      <c r="C13586" s="42" t="str">
        <f>IFERROR(__xludf.DUMMYFUNCTION("""COMPUTED_VALUE"""),"")</f>
        <v/>
      </c>
      <c r="D13586" s="42"/>
      <c r="E13586" s="42"/>
      <c r="F13586" s="48" t="str">
        <f>IFERROR(__xludf.DUMMYFUNCTION("""COMPUTED_VALUE"""),"")</f>
        <v/>
      </c>
      <c r="G13586" s="42" t="str">
        <f>IFERROR(__xludf.DUMMYFUNCTION("""COMPUTED_VALUE"""),"")</f>
        <v/>
      </c>
      <c r="H13586" s="42">
        <f t="shared" si="1"/>
        <v>3345</v>
      </c>
    </row>
    <row r="13587" ht="22.5" customHeight="1">
      <c r="B13587" s="42" t="str">
        <f>IFERROR(__xludf.DUMMYFUNCTION("""COMPUTED_VALUE"""),"")</f>
        <v/>
      </c>
      <c r="C13587" s="42" t="str">
        <f>IFERROR(__xludf.DUMMYFUNCTION("""COMPUTED_VALUE"""),"")</f>
        <v/>
      </c>
      <c r="D13587" s="42"/>
      <c r="E13587" s="42"/>
      <c r="F13587" s="48" t="str">
        <f>IFERROR(__xludf.DUMMYFUNCTION("""COMPUTED_VALUE"""),"")</f>
        <v/>
      </c>
      <c r="G13587" s="42" t="str">
        <f>IFERROR(__xludf.DUMMYFUNCTION("""COMPUTED_VALUE"""),"")</f>
        <v/>
      </c>
      <c r="H13587" s="42">
        <f t="shared" si="1"/>
        <v>3345</v>
      </c>
    </row>
    <row r="13588" ht="22.5" customHeight="1">
      <c r="B13588" s="42" t="str">
        <f>IFERROR(__xludf.DUMMYFUNCTION("""COMPUTED_VALUE"""),"")</f>
        <v/>
      </c>
      <c r="C13588" s="42" t="str">
        <f>IFERROR(__xludf.DUMMYFUNCTION("""COMPUTED_VALUE"""),"")</f>
        <v/>
      </c>
      <c r="D13588" s="42"/>
      <c r="E13588" s="42"/>
      <c r="F13588" s="48" t="str">
        <f>IFERROR(__xludf.DUMMYFUNCTION("""COMPUTED_VALUE"""),"")</f>
        <v/>
      </c>
      <c r="G13588" s="42" t="str">
        <f>IFERROR(__xludf.DUMMYFUNCTION("""COMPUTED_VALUE"""),"")</f>
        <v/>
      </c>
      <c r="H13588" s="42">
        <f t="shared" si="1"/>
        <v>3345</v>
      </c>
    </row>
    <row r="13589" ht="22.5" customHeight="1">
      <c r="B13589" s="42" t="str">
        <f>IFERROR(__xludf.DUMMYFUNCTION("""COMPUTED_VALUE"""),"")</f>
        <v/>
      </c>
      <c r="C13589" s="42" t="str">
        <f>IFERROR(__xludf.DUMMYFUNCTION("""COMPUTED_VALUE"""),"")</f>
        <v/>
      </c>
      <c r="D13589" s="42"/>
      <c r="E13589" s="42"/>
      <c r="F13589" s="48" t="str">
        <f>IFERROR(__xludf.DUMMYFUNCTION("""COMPUTED_VALUE"""),"")</f>
        <v/>
      </c>
      <c r="G13589" s="42" t="str">
        <f>IFERROR(__xludf.DUMMYFUNCTION("""COMPUTED_VALUE"""),"")</f>
        <v/>
      </c>
      <c r="H13589" s="42">
        <f t="shared" si="1"/>
        <v>3345</v>
      </c>
    </row>
    <row r="13590" ht="22.5" customHeight="1">
      <c r="B13590" s="42" t="str">
        <f>IFERROR(__xludf.DUMMYFUNCTION("""COMPUTED_VALUE"""),"")</f>
        <v/>
      </c>
      <c r="C13590" s="42" t="str">
        <f>IFERROR(__xludf.DUMMYFUNCTION("""COMPUTED_VALUE"""),"")</f>
        <v/>
      </c>
      <c r="D13590" s="42"/>
      <c r="E13590" s="42"/>
      <c r="F13590" s="48" t="str">
        <f>IFERROR(__xludf.DUMMYFUNCTION("""COMPUTED_VALUE"""),"")</f>
        <v/>
      </c>
      <c r="G13590" s="42" t="str">
        <f>IFERROR(__xludf.DUMMYFUNCTION("""COMPUTED_VALUE"""),"")</f>
        <v/>
      </c>
      <c r="H13590" s="42">
        <f t="shared" si="1"/>
        <v>3345</v>
      </c>
    </row>
    <row r="13591" ht="22.5" customHeight="1">
      <c r="B13591" s="42" t="str">
        <f>IFERROR(__xludf.DUMMYFUNCTION("""COMPUTED_VALUE"""),"")</f>
        <v/>
      </c>
      <c r="C13591" s="42" t="str">
        <f>IFERROR(__xludf.DUMMYFUNCTION("""COMPUTED_VALUE"""),"")</f>
        <v/>
      </c>
      <c r="D13591" s="42"/>
      <c r="E13591" s="42"/>
      <c r="F13591" s="48" t="str">
        <f>IFERROR(__xludf.DUMMYFUNCTION("""COMPUTED_VALUE"""),"")</f>
        <v/>
      </c>
      <c r="G13591" s="42" t="str">
        <f>IFERROR(__xludf.DUMMYFUNCTION("""COMPUTED_VALUE"""),"")</f>
        <v/>
      </c>
      <c r="H13591" s="42">
        <f t="shared" si="1"/>
        <v>3345</v>
      </c>
    </row>
    <row r="13592" ht="22.5" customHeight="1">
      <c r="B13592" s="42" t="str">
        <f>IFERROR(__xludf.DUMMYFUNCTION("""COMPUTED_VALUE"""),"")</f>
        <v/>
      </c>
      <c r="C13592" s="42" t="str">
        <f>IFERROR(__xludf.DUMMYFUNCTION("""COMPUTED_VALUE"""),"")</f>
        <v/>
      </c>
      <c r="D13592" s="42"/>
      <c r="E13592" s="42"/>
      <c r="F13592" s="48" t="str">
        <f>IFERROR(__xludf.DUMMYFUNCTION("""COMPUTED_VALUE"""),"")</f>
        <v/>
      </c>
      <c r="G13592" s="42" t="str">
        <f>IFERROR(__xludf.DUMMYFUNCTION("""COMPUTED_VALUE"""),"")</f>
        <v/>
      </c>
      <c r="H13592" s="42">
        <f t="shared" si="1"/>
        <v>3345</v>
      </c>
    </row>
    <row r="13593" ht="22.5" customHeight="1">
      <c r="B13593" s="42" t="str">
        <f>IFERROR(__xludf.DUMMYFUNCTION("""COMPUTED_VALUE"""),"")</f>
        <v/>
      </c>
      <c r="C13593" s="42" t="str">
        <f>IFERROR(__xludf.DUMMYFUNCTION("""COMPUTED_VALUE"""),"")</f>
        <v/>
      </c>
      <c r="D13593" s="42"/>
      <c r="E13593" s="42"/>
      <c r="F13593" s="48" t="str">
        <f>IFERROR(__xludf.DUMMYFUNCTION("""COMPUTED_VALUE"""),"")</f>
        <v/>
      </c>
      <c r="G13593" s="42" t="str">
        <f>IFERROR(__xludf.DUMMYFUNCTION("""COMPUTED_VALUE"""),"")</f>
        <v/>
      </c>
      <c r="H13593" s="42">
        <f t="shared" si="1"/>
        <v>3345</v>
      </c>
    </row>
    <row r="13594" ht="22.5" customHeight="1">
      <c r="B13594" s="42" t="str">
        <f>IFERROR(__xludf.DUMMYFUNCTION("""COMPUTED_VALUE"""),"")</f>
        <v/>
      </c>
      <c r="C13594" s="42" t="str">
        <f>IFERROR(__xludf.DUMMYFUNCTION("""COMPUTED_VALUE"""),"")</f>
        <v/>
      </c>
      <c r="D13594" s="42"/>
      <c r="E13594" s="42"/>
      <c r="F13594" s="48" t="str">
        <f>IFERROR(__xludf.DUMMYFUNCTION("""COMPUTED_VALUE"""),"")</f>
        <v/>
      </c>
      <c r="G13594" s="42" t="str">
        <f>IFERROR(__xludf.DUMMYFUNCTION("""COMPUTED_VALUE"""),"")</f>
        <v/>
      </c>
      <c r="H13594" s="42">
        <f t="shared" si="1"/>
        <v>3345</v>
      </c>
    </row>
    <row r="13595" ht="22.5" customHeight="1">
      <c r="B13595" s="42" t="str">
        <f>IFERROR(__xludf.DUMMYFUNCTION("""COMPUTED_VALUE"""),"")</f>
        <v/>
      </c>
      <c r="C13595" s="42" t="str">
        <f>IFERROR(__xludf.DUMMYFUNCTION("""COMPUTED_VALUE"""),"")</f>
        <v/>
      </c>
      <c r="D13595" s="42"/>
      <c r="E13595" s="42"/>
      <c r="F13595" s="48" t="str">
        <f>IFERROR(__xludf.DUMMYFUNCTION("""COMPUTED_VALUE"""),"")</f>
        <v/>
      </c>
      <c r="G13595" s="42" t="str">
        <f>IFERROR(__xludf.DUMMYFUNCTION("""COMPUTED_VALUE"""),"")</f>
        <v/>
      </c>
      <c r="H13595" s="42">
        <f t="shared" si="1"/>
        <v>3345</v>
      </c>
    </row>
    <row r="13596" ht="22.5" customHeight="1">
      <c r="B13596" s="42" t="str">
        <f>IFERROR(__xludf.DUMMYFUNCTION("""COMPUTED_VALUE"""),"")</f>
        <v/>
      </c>
      <c r="C13596" s="42" t="str">
        <f>IFERROR(__xludf.DUMMYFUNCTION("""COMPUTED_VALUE"""),"")</f>
        <v/>
      </c>
      <c r="D13596" s="42"/>
      <c r="E13596" s="42"/>
      <c r="F13596" s="48" t="str">
        <f>IFERROR(__xludf.DUMMYFUNCTION("""COMPUTED_VALUE"""),"")</f>
        <v/>
      </c>
      <c r="G13596" s="42" t="str">
        <f>IFERROR(__xludf.DUMMYFUNCTION("""COMPUTED_VALUE"""),"")</f>
        <v/>
      </c>
      <c r="H13596" s="42">
        <f t="shared" si="1"/>
        <v>3345</v>
      </c>
    </row>
    <row r="13597" ht="22.5" customHeight="1">
      <c r="B13597" s="42" t="str">
        <f>IFERROR(__xludf.DUMMYFUNCTION("""COMPUTED_VALUE"""),"")</f>
        <v/>
      </c>
      <c r="C13597" s="42" t="str">
        <f>IFERROR(__xludf.DUMMYFUNCTION("""COMPUTED_VALUE"""),"")</f>
        <v/>
      </c>
      <c r="D13597" s="42"/>
      <c r="E13597" s="42"/>
      <c r="F13597" s="48" t="str">
        <f>IFERROR(__xludf.DUMMYFUNCTION("""COMPUTED_VALUE"""),"")</f>
        <v/>
      </c>
      <c r="G13597" s="42" t="str">
        <f>IFERROR(__xludf.DUMMYFUNCTION("""COMPUTED_VALUE"""),"")</f>
        <v/>
      </c>
      <c r="H13597" s="42">
        <f t="shared" si="1"/>
        <v>3345</v>
      </c>
    </row>
    <row r="13598" ht="22.5" customHeight="1">
      <c r="B13598" s="42" t="str">
        <f>IFERROR(__xludf.DUMMYFUNCTION("""COMPUTED_VALUE"""),"")</f>
        <v/>
      </c>
      <c r="C13598" s="42" t="str">
        <f>IFERROR(__xludf.DUMMYFUNCTION("""COMPUTED_VALUE"""),"")</f>
        <v/>
      </c>
      <c r="D13598" s="42"/>
      <c r="E13598" s="42"/>
      <c r="F13598" s="48" t="str">
        <f>IFERROR(__xludf.DUMMYFUNCTION("""COMPUTED_VALUE"""),"")</f>
        <v/>
      </c>
      <c r="G13598" s="42" t="str">
        <f>IFERROR(__xludf.DUMMYFUNCTION("""COMPUTED_VALUE"""),"")</f>
        <v/>
      </c>
      <c r="H13598" s="42">
        <f t="shared" si="1"/>
        <v>3345</v>
      </c>
    </row>
    <row r="13599" ht="22.5" customHeight="1">
      <c r="B13599" s="42" t="str">
        <f>IFERROR(__xludf.DUMMYFUNCTION("""COMPUTED_VALUE"""),"")</f>
        <v/>
      </c>
      <c r="C13599" s="42" t="str">
        <f>IFERROR(__xludf.DUMMYFUNCTION("""COMPUTED_VALUE"""),"")</f>
        <v/>
      </c>
      <c r="D13599" s="42"/>
      <c r="E13599" s="42"/>
      <c r="F13599" s="48" t="str">
        <f>IFERROR(__xludf.DUMMYFUNCTION("""COMPUTED_VALUE"""),"")</f>
        <v/>
      </c>
      <c r="G13599" s="42" t="str">
        <f>IFERROR(__xludf.DUMMYFUNCTION("""COMPUTED_VALUE"""),"")</f>
        <v/>
      </c>
      <c r="H13599" s="42">
        <f t="shared" si="1"/>
        <v>3345</v>
      </c>
    </row>
    <row r="13600" ht="22.5" customHeight="1">
      <c r="B13600" s="42" t="str">
        <f>IFERROR(__xludf.DUMMYFUNCTION("""COMPUTED_VALUE"""),"")</f>
        <v/>
      </c>
      <c r="C13600" s="42" t="str">
        <f>IFERROR(__xludf.DUMMYFUNCTION("""COMPUTED_VALUE"""),"")</f>
        <v/>
      </c>
      <c r="D13600" s="42"/>
      <c r="E13600" s="42"/>
      <c r="F13600" s="48" t="str">
        <f>IFERROR(__xludf.DUMMYFUNCTION("""COMPUTED_VALUE"""),"")</f>
        <v/>
      </c>
      <c r="G13600" s="42" t="str">
        <f>IFERROR(__xludf.DUMMYFUNCTION("""COMPUTED_VALUE"""),"")</f>
        <v/>
      </c>
      <c r="H13600" s="42">
        <f t="shared" si="1"/>
        <v>3345</v>
      </c>
    </row>
    <row r="13601" ht="22.5" customHeight="1">
      <c r="B13601" s="42" t="str">
        <f>IFERROR(__xludf.DUMMYFUNCTION("""COMPUTED_VALUE"""),"")</f>
        <v/>
      </c>
      <c r="C13601" s="42" t="str">
        <f>IFERROR(__xludf.DUMMYFUNCTION("""COMPUTED_VALUE"""),"")</f>
        <v/>
      </c>
      <c r="D13601" s="42"/>
      <c r="E13601" s="42"/>
      <c r="F13601" s="48" t="str">
        <f>IFERROR(__xludf.DUMMYFUNCTION("""COMPUTED_VALUE"""),"")</f>
        <v/>
      </c>
      <c r="G13601" s="42" t="str">
        <f>IFERROR(__xludf.DUMMYFUNCTION("""COMPUTED_VALUE"""),"")</f>
        <v/>
      </c>
      <c r="H13601" s="42">
        <f t="shared" si="1"/>
        <v>3345</v>
      </c>
    </row>
    <row r="13602" ht="22.5" customHeight="1">
      <c r="B13602" s="42" t="str">
        <f>IFERROR(__xludf.DUMMYFUNCTION("""COMPUTED_VALUE"""),"")</f>
        <v/>
      </c>
      <c r="C13602" s="42" t="str">
        <f>IFERROR(__xludf.DUMMYFUNCTION("""COMPUTED_VALUE"""),"")</f>
        <v/>
      </c>
      <c r="D13602" s="42"/>
      <c r="E13602" s="42"/>
      <c r="F13602" s="48" t="str">
        <f>IFERROR(__xludf.DUMMYFUNCTION("""COMPUTED_VALUE"""),"")</f>
        <v/>
      </c>
      <c r="G13602" s="42" t="str">
        <f>IFERROR(__xludf.DUMMYFUNCTION("""COMPUTED_VALUE"""),"")</f>
        <v/>
      </c>
      <c r="H13602" s="42">
        <f t="shared" si="1"/>
        <v>3345</v>
      </c>
    </row>
    <row r="13603" ht="22.5" customHeight="1">
      <c r="B13603" s="42" t="str">
        <f>IFERROR(__xludf.DUMMYFUNCTION("""COMPUTED_VALUE"""),"")</f>
        <v/>
      </c>
      <c r="C13603" s="42" t="str">
        <f>IFERROR(__xludf.DUMMYFUNCTION("""COMPUTED_VALUE"""),"")</f>
        <v/>
      </c>
      <c r="D13603" s="42"/>
      <c r="E13603" s="42"/>
      <c r="F13603" s="48" t="str">
        <f>IFERROR(__xludf.DUMMYFUNCTION("""COMPUTED_VALUE"""),"")</f>
        <v/>
      </c>
      <c r="G13603" s="42" t="str">
        <f>IFERROR(__xludf.DUMMYFUNCTION("""COMPUTED_VALUE"""),"")</f>
        <v/>
      </c>
      <c r="H13603" s="42">
        <f t="shared" si="1"/>
        <v>3345</v>
      </c>
    </row>
    <row r="13604" ht="22.5" customHeight="1">
      <c r="B13604" s="42" t="str">
        <f>IFERROR(__xludf.DUMMYFUNCTION("""COMPUTED_VALUE"""),"")</f>
        <v/>
      </c>
      <c r="C13604" s="42" t="str">
        <f>IFERROR(__xludf.DUMMYFUNCTION("""COMPUTED_VALUE"""),"")</f>
        <v/>
      </c>
      <c r="D13604" s="42"/>
      <c r="E13604" s="42"/>
      <c r="F13604" s="48" t="str">
        <f>IFERROR(__xludf.DUMMYFUNCTION("""COMPUTED_VALUE"""),"")</f>
        <v/>
      </c>
      <c r="G13604" s="42" t="str">
        <f>IFERROR(__xludf.DUMMYFUNCTION("""COMPUTED_VALUE"""),"")</f>
        <v/>
      </c>
      <c r="H13604" s="42">
        <f t="shared" si="1"/>
        <v>3345</v>
      </c>
    </row>
    <row r="13605" ht="22.5" customHeight="1">
      <c r="B13605" s="42" t="str">
        <f>IFERROR(__xludf.DUMMYFUNCTION("""COMPUTED_VALUE"""),"")</f>
        <v/>
      </c>
      <c r="C13605" s="42" t="str">
        <f>IFERROR(__xludf.DUMMYFUNCTION("""COMPUTED_VALUE"""),"")</f>
        <v/>
      </c>
      <c r="D13605" s="42"/>
      <c r="E13605" s="42"/>
      <c r="F13605" s="48" t="str">
        <f>IFERROR(__xludf.DUMMYFUNCTION("""COMPUTED_VALUE"""),"")</f>
        <v/>
      </c>
      <c r="G13605" s="42" t="str">
        <f>IFERROR(__xludf.DUMMYFUNCTION("""COMPUTED_VALUE"""),"")</f>
        <v/>
      </c>
      <c r="H13605" s="42">
        <f t="shared" si="1"/>
        <v>3345</v>
      </c>
    </row>
    <row r="13606" ht="22.5" customHeight="1">
      <c r="B13606" s="42" t="str">
        <f>IFERROR(__xludf.DUMMYFUNCTION("""COMPUTED_VALUE"""),"")</f>
        <v/>
      </c>
      <c r="C13606" s="42" t="str">
        <f>IFERROR(__xludf.DUMMYFUNCTION("""COMPUTED_VALUE"""),"")</f>
        <v/>
      </c>
      <c r="D13606" s="42"/>
      <c r="E13606" s="42"/>
      <c r="F13606" s="48" t="str">
        <f>IFERROR(__xludf.DUMMYFUNCTION("""COMPUTED_VALUE"""),"")</f>
        <v/>
      </c>
      <c r="G13606" s="42" t="str">
        <f>IFERROR(__xludf.DUMMYFUNCTION("""COMPUTED_VALUE"""),"")</f>
        <v/>
      </c>
      <c r="H13606" s="42">
        <f t="shared" si="1"/>
        <v>3345</v>
      </c>
    </row>
    <row r="13607" ht="22.5" customHeight="1">
      <c r="B13607" s="42" t="str">
        <f>IFERROR(__xludf.DUMMYFUNCTION("""COMPUTED_VALUE"""),"")</f>
        <v/>
      </c>
      <c r="C13607" s="42" t="str">
        <f>IFERROR(__xludf.DUMMYFUNCTION("""COMPUTED_VALUE"""),"")</f>
        <v/>
      </c>
      <c r="D13607" s="42"/>
      <c r="E13607" s="42"/>
      <c r="F13607" s="48" t="str">
        <f>IFERROR(__xludf.DUMMYFUNCTION("""COMPUTED_VALUE"""),"")</f>
        <v/>
      </c>
      <c r="G13607" s="42" t="str">
        <f>IFERROR(__xludf.DUMMYFUNCTION("""COMPUTED_VALUE"""),"")</f>
        <v/>
      </c>
      <c r="H13607" s="42">
        <f t="shared" si="1"/>
        <v>3345</v>
      </c>
    </row>
    <row r="13608" ht="22.5" customHeight="1">
      <c r="B13608" s="42" t="str">
        <f>IFERROR(__xludf.DUMMYFUNCTION("""COMPUTED_VALUE"""),"")</f>
        <v/>
      </c>
      <c r="C13608" s="42" t="str">
        <f>IFERROR(__xludf.DUMMYFUNCTION("""COMPUTED_VALUE"""),"")</f>
        <v/>
      </c>
      <c r="D13608" s="42"/>
      <c r="E13608" s="42"/>
      <c r="F13608" s="48" t="str">
        <f>IFERROR(__xludf.DUMMYFUNCTION("""COMPUTED_VALUE"""),"")</f>
        <v/>
      </c>
      <c r="G13608" s="42" t="str">
        <f>IFERROR(__xludf.DUMMYFUNCTION("""COMPUTED_VALUE"""),"")</f>
        <v/>
      </c>
      <c r="H13608" s="42">
        <f t="shared" si="1"/>
        <v>3345</v>
      </c>
    </row>
    <row r="13609" ht="22.5" customHeight="1">
      <c r="B13609" s="42" t="str">
        <f>IFERROR(__xludf.DUMMYFUNCTION("""COMPUTED_VALUE"""),"")</f>
        <v/>
      </c>
      <c r="C13609" s="42" t="str">
        <f>IFERROR(__xludf.DUMMYFUNCTION("""COMPUTED_VALUE"""),"")</f>
        <v/>
      </c>
      <c r="D13609" s="42"/>
      <c r="E13609" s="42"/>
      <c r="F13609" s="48" t="str">
        <f>IFERROR(__xludf.DUMMYFUNCTION("""COMPUTED_VALUE"""),"")</f>
        <v/>
      </c>
      <c r="G13609" s="42" t="str">
        <f>IFERROR(__xludf.DUMMYFUNCTION("""COMPUTED_VALUE"""),"")</f>
        <v/>
      </c>
      <c r="H13609" s="42">
        <f t="shared" si="1"/>
        <v>3345</v>
      </c>
    </row>
    <row r="13610" ht="22.5" customHeight="1">
      <c r="B13610" s="42" t="str">
        <f>IFERROR(__xludf.DUMMYFUNCTION("""COMPUTED_VALUE"""),"")</f>
        <v/>
      </c>
      <c r="C13610" s="42" t="str">
        <f>IFERROR(__xludf.DUMMYFUNCTION("""COMPUTED_VALUE"""),"")</f>
        <v/>
      </c>
      <c r="D13610" s="42"/>
      <c r="E13610" s="42"/>
      <c r="F13610" s="48" t="str">
        <f>IFERROR(__xludf.DUMMYFUNCTION("""COMPUTED_VALUE"""),"")</f>
        <v/>
      </c>
      <c r="G13610" s="42" t="str">
        <f>IFERROR(__xludf.DUMMYFUNCTION("""COMPUTED_VALUE"""),"")</f>
        <v/>
      </c>
      <c r="H13610" s="42">
        <f t="shared" si="1"/>
        <v>3345</v>
      </c>
    </row>
    <row r="13611" ht="22.5" customHeight="1">
      <c r="B13611" s="42" t="str">
        <f>IFERROR(__xludf.DUMMYFUNCTION("""COMPUTED_VALUE"""),"")</f>
        <v/>
      </c>
      <c r="C13611" s="42" t="str">
        <f>IFERROR(__xludf.DUMMYFUNCTION("""COMPUTED_VALUE"""),"")</f>
        <v/>
      </c>
      <c r="D13611" s="42"/>
      <c r="E13611" s="42"/>
      <c r="F13611" s="48" t="str">
        <f>IFERROR(__xludf.DUMMYFUNCTION("""COMPUTED_VALUE"""),"")</f>
        <v/>
      </c>
      <c r="G13611" s="42" t="str">
        <f>IFERROR(__xludf.DUMMYFUNCTION("""COMPUTED_VALUE"""),"")</f>
        <v/>
      </c>
      <c r="H13611" s="42">
        <f t="shared" si="1"/>
        <v>3345</v>
      </c>
    </row>
    <row r="13612" ht="22.5" customHeight="1">
      <c r="B13612" s="42" t="str">
        <f>IFERROR(__xludf.DUMMYFUNCTION("""COMPUTED_VALUE"""),"")</f>
        <v/>
      </c>
      <c r="C13612" s="42" t="str">
        <f>IFERROR(__xludf.DUMMYFUNCTION("""COMPUTED_VALUE"""),"")</f>
        <v/>
      </c>
      <c r="D13612" s="42"/>
      <c r="E13612" s="42"/>
      <c r="F13612" s="48" t="str">
        <f>IFERROR(__xludf.DUMMYFUNCTION("""COMPUTED_VALUE"""),"")</f>
        <v/>
      </c>
      <c r="G13612" s="42" t="str">
        <f>IFERROR(__xludf.DUMMYFUNCTION("""COMPUTED_VALUE"""),"")</f>
        <v/>
      </c>
      <c r="H13612" s="42">
        <f t="shared" si="1"/>
        <v>3345</v>
      </c>
    </row>
    <row r="13613" ht="22.5" customHeight="1">
      <c r="B13613" s="42" t="str">
        <f>IFERROR(__xludf.DUMMYFUNCTION("""COMPUTED_VALUE"""),"")</f>
        <v/>
      </c>
      <c r="C13613" s="42" t="str">
        <f>IFERROR(__xludf.DUMMYFUNCTION("""COMPUTED_VALUE"""),"")</f>
        <v/>
      </c>
      <c r="D13613" s="42"/>
      <c r="E13613" s="42"/>
      <c r="F13613" s="48" t="str">
        <f>IFERROR(__xludf.DUMMYFUNCTION("""COMPUTED_VALUE"""),"")</f>
        <v/>
      </c>
      <c r="G13613" s="42" t="str">
        <f>IFERROR(__xludf.DUMMYFUNCTION("""COMPUTED_VALUE"""),"")</f>
        <v/>
      </c>
      <c r="H13613" s="42">
        <f t="shared" si="1"/>
        <v>3345</v>
      </c>
    </row>
    <row r="13614" ht="22.5" customHeight="1">
      <c r="B13614" s="42" t="str">
        <f>IFERROR(__xludf.DUMMYFUNCTION("""COMPUTED_VALUE"""),"")</f>
        <v/>
      </c>
      <c r="C13614" s="42" t="str">
        <f>IFERROR(__xludf.DUMMYFUNCTION("""COMPUTED_VALUE"""),"")</f>
        <v/>
      </c>
      <c r="D13614" s="42"/>
      <c r="E13614" s="42"/>
      <c r="F13614" s="48" t="str">
        <f>IFERROR(__xludf.DUMMYFUNCTION("""COMPUTED_VALUE"""),"")</f>
        <v/>
      </c>
      <c r="G13614" s="42" t="str">
        <f>IFERROR(__xludf.DUMMYFUNCTION("""COMPUTED_VALUE"""),"")</f>
        <v/>
      </c>
      <c r="H13614" s="42">
        <f t="shared" si="1"/>
        <v>3345</v>
      </c>
    </row>
    <row r="13615" ht="22.5" customHeight="1">
      <c r="B13615" s="42" t="str">
        <f>IFERROR(__xludf.DUMMYFUNCTION("""COMPUTED_VALUE"""),"")</f>
        <v/>
      </c>
      <c r="C13615" s="42" t="str">
        <f>IFERROR(__xludf.DUMMYFUNCTION("""COMPUTED_VALUE"""),"")</f>
        <v/>
      </c>
      <c r="D13615" s="42"/>
      <c r="E13615" s="42"/>
      <c r="F13615" s="48" t="str">
        <f>IFERROR(__xludf.DUMMYFUNCTION("""COMPUTED_VALUE"""),"")</f>
        <v/>
      </c>
      <c r="G13615" s="42" t="str">
        <f>IFERROR(__xludf.DUMMYFUNCTION("""COMPUTED_VALUE"""),"")</f>
        <v/>
      </c>
      <c r="H13615" s="42">
        <f t="shared" si="1"/>
        <v>3345</v>
      </c>
    </row>
    <row r="13616" ht="22.5" customHeight="1">
      <c r="B13616" s="42" t="str">
        <f>IFERROR(__xludf.DUMMYFUNCTION("""COMPUTED_VALUE"""),"")</f>
        <v/>
      </c>
      <c r="C13616" s="42" t="str">
        <f>IFERROR(__xludf.DUMMYFUNCTION("""COMPUTED_VALUE"""),"")</f>
        <v/>
      </c>
      <c r="D13616" s="42"/>
      <c r="E13616" s="42"/>
      <c r="F13616" s="48" t="str">
        <f>IFERROR(__xludf.DUMMYFUNCTION("""COMPUTED_VALUE"""),"")</f>
        <v/>
      </c>
      <c r="G13616" s="42" t="str">
        <f>IFERROR(__xludf.DUMMYFUNCTION("""COMPUTED_VALUE"""),"")</f>
        <v/>
      </c>
      <c r="H13616" s="42">
        <f t="shared" si="1"/>
        <v>3345</v>
      </c>
    </row>
    <row r="13617" ht="22.5" customHeight="1">
      <c r="B13617" s="42" t="str">
        <f>IFERROR(__xludf.DUMMYFUNCTION("""COMPUTED_VALUE"""),"")</f>
        <v/>
      </c>
      <c r="C13617" s="42" t="str">
        <f>IFERROR(__xludf.DUMMYFUNCTION("""COMPUTED_VALUE"""),"")</f>
        <v/>
      </c>
      <c r="D13617" s="42"/>
      <c r="E13617" s="42"/>
      <c r="F13617" s="48" t="str">
        <f>IFERROR(__xludf.DUMMYFUNCTION("""COMPUTED_VALUE"""),"")</f>
        <v/>
      </c>
      <c r="G13617" s="42" t="str">
        <f>IFERROR(__xludf.DUMMYFUNCTION("""COMPUTED_VALUE"""),"")</f>
        <v/>
      </c>
      <c r="H13617" s="42">
        <f t="shared" si="1"/>
        <v>3345</v>
      </c>
    </row>
    <row r="13618" ht="22.5" customHeight="1">
      <c r="B13618" s="42" t="str">
        <f>IFERROR(__xludf.DUMMYFUNCTION("""COMPUTED_VALUE"""),"")</f>
        <v/>
      </c>
      <c r="C13618" s="42" t="str">
        <f>IFERROR(__xludf.DUMMYFUNCTION("""COMPUTED_VALUE"""),"")</f>
        <v/>
      </c>
      <c r="D13618" s="42"/>
      <c r="E13618" s="42"/>
      <c r="F13618" s="48" t="str">
        <f>IFERROR(__xludf.DUMMYFUNCTION("""COMPUTED_VALUE"""),"")</f>
        <v/>
      </c>
      <c r="G13618" s="42" t="str">
        <f>IFERROR(__xludf.DUMMYFUNCTION("""COMPUTED_VALUE"""),"")</f>
        <v/>
      </c>
      <c r="H13618" s="42">
        <f t="shared" si="1"/>
        <v>3345</v>
      </c>
    </row>
    <row r="13619" ht="22.5" customHeight="1">
      <c r="B13619" s="42" t="str">
        <f>IFERROR(__xludf.DUMMYFUNCTION("""COMPUTED_VALUE"""),"")</f>
        <v/>
      </c>
      <c r="C13619" s="42" t="str">
        <f>IFERROR(__xludf.DUMMYFUNCTION("""COMPUTED_VALUE"""),"")</f>
        <v/>
      </c>
      <c r="D13619" s="42"/>
      <c r="E13619" s="42"/>
      <c r="F13619" s="48" t="str">
        <f>IFERROR(__xludf.DUMMYFUNCTION("""COMPUTED_VALUE"""),"")</f>
        <v/>
      </c>
      <c r="G13619" s="42" t="str">
        <f>IFERROR(__xludf.DUMMYFUNCTION("""COMPUTED_VALUE"""),"")</f>
        <v/>
      </c>
      <c r="H13619" s="42">
        <f t="shared" si="1"/>
        <v>3345</v>
      </c>
    </row>
    <row r="13620" ht="22.5" customHeight="1">
      <c r="B13620" s="42" t="str">
        <f>IFERROR(__xludf.DUMMYFUNCTION("""COMPUTED_VALUE"""),"")</f>
        <v/>
      </c>
      <c r="C13620" s="42" t="str">
        <f>IFERROR(__xludf.DUMMYFUNCTION("""COMPUTED_VALUE"""),"")</f>
        <v/>
      </c>
      <c r="D13620" s="42"/>
      <c r="E13620" s="42"/>
      <c r="F13620" s="48" t="str">
        <f>IFERROR(__xludf.DUMMYFUNCTION("""COMPUTED_VALUE"""),"")</f>
        <v/>
      </c>
      <c r="G13620" s="42" t="str">
        <f>IFERROR(__xludf.DUMMYFUNCTION("""COMPUTED_VALUE"""),"")</f>
        <v/>
      </c>
      <c r="H13620" s="42">
        <f t="shared" si="1"/>
        <v>3345</v>
      </c>
    </row>
    <row r="13621" ht="22.5" customHeight="1">
      <c r="B13621" s="42" t="str">
        <f>IFERROR(__xludf.DUMMYFUNCTION("""COMPUTED_VALUE"""),"")</f>
        <v/>
      </c>
      <c r="C13621" s="42" t="str">
        <f>IFERROR(__xludf.DUMMYFUNCTION("""COMPUTED_VALUE"""),"")</f>
        <v/>
      </c>
      <c r="D13621" s="42"/>
      <c r="E13621" s="42"/>
      <c r="F13621" s="48" t="str">
        <f>IFERROR(__xludf.DUMMYFUNCTION("""COMPUTED_VALUE"""),"")</f>
        <v/>
      </c>
      <c r="G13621" s="42" t="str">
        <f>IFERROR(__xludf.DUMMYFUNCTION("""COMPUTED_VALUE"""),"")</f>
        <v/>
      </c>
      <c r="H13621" s="42">
        <f t="shared" si="1"/>
        <v>3345</v>
      </c>
    </row>
    <row r="13622" ht="22.5" customHeight="1">
      <c r="B13622" s="42" t="str">
        <f>IFERROR(__xludf.DUMMYFUNCTION("""COMPUTED_VALUE"""),"")</f>
        <v/>
      </c>
      <c r="C13622" s="42" t="str">
        <f>IFERROR(__xludf.DUMMYFUNCTION("""COMPUTED_VALUE"""),"")</f>
        <v/>
      </c>
      <c r="D13622" s="42"/>
      <c r="E13622" s="42"/>
      <c r="F13622" s="48" t="str">
        <f>IFERROR(__xludf.DUMMYFUNCTION("""COMPUTED_VALUE"""),"")</f>
        <v/>
      </c>
      <c r="G13622" s="42" t="str">
        <f>IFERROR(__xludf.DUMMYFUNCTION("""COMPUTED_VALUE"""),"")</f>
        <v/>
      </c>
      <c r="H13622" s="42">
        <f t="shared" si="1"/>
        <v>3345</v>
      </c>
    </row>
    <row r="13623" ht="22.5" customHeight="1">
      <c r="B13623" s="42" t="str">
        <f>IFERROR(__xludf.DUMMYFUNCTION("""COMPUTED_VALUE"""),"")</f>
        <v/>
      </c>
      <c r="C13623" s="42" t="str">
        <f>IFERROR(__xludf.DUMMYFUNCTION("""COMPUTED_VALUE"""),"")</f>
        <v/>
      </c>
      <c r="D13623" s="42"/>
      <c r="E13623" s="42"/>
      <c r="F13623" s="48" t="str">
        <f>IFERROR(__xludf.DUMMYFUNCTION("""COMPUTED_VALUE"""),"")</f>
        <v/>
      </c>
      <c r="G13623" s="42" t="str">
        <f>IFERROR(__xludf.DUMMYFUNCTION("""COMPUTED_VALUE"""),"")</f>
        <v/>
      </c>
      <c r="H13623" s="42">
        <f t="shared" si="1"/>
        <v>3345</v>
      </c>
    </row>
    <row r="13624" ht="22.5" customHeight="1">
      <c r="B13624" s="42" t="str">
        <f>IFERROR(__xludf.DUMMYFUNCTION("""COMPUTED_VALUE"""),"")</f>
        <v/>
      </c>
      <c r="C13624" s="42" t="str">
        <f>IFERROR(__xludf.DUMMYFUNCTION("""COMPUTED_VALUE"""),"")</f>
        <v/>
      </c>
      <c r="D13624" s="42"/>
      <c r="E13624" s="42"/>
      <c r="F13624" s="48" t="str">
        <f>IFERROR(__xludf.DUMMYFUNCTION("""COMPUTED_VALUE"""),"")</f>
        <v/>
      </c>
      <c r="G13624" s="42" t="str">
        <f>IFERROR(__xludf.DUMMYFUNCTION("""COMPUTED_VALUE"""),"")</f>
        <v/>
      </c>
      <c r="H13624" s="42">
        <f t="shared" si="1"/>
        <v>3345</v>
      </c>
    </row>
    <row r="13625" ht="22.5" customHeight="1">
      <c r="B13625" s="42" t="str">
        <f>IFERROR(__xludf.DUMMYFUNCTION("""COMPUTED_VALUE"""),"")</f>
        <v/>
      </c>
      <c r="C13625" s="42" t="str">
        <f>IFERROR(__xludf.DUMMYFUNCTION("""COMPUTED_VALUE"""),"")</f>
        <v/>
      </c>
      <c r="D13625" s="42"/>
      <c r="E13625" s="42"/>
      <c r="F13625" s="48" t="str">
        <f>IFERROR(__xludf.DUMMYFUNCTION("""COMPUTED_VALUE"""),"")</f>
        <v/>
      </c>
      <c r="G13625" s="42" t="str">
        <f>IFERROR(__xludf.DUMMYFUNCTION("""COMPUTED_VALUE"""),"")</f>
        <v/>
      </c>
      <c r="H13625" s="42">
        <f t="shared" si="1"/>
        <v>3345</v>
      </c>
    </row>
    <row r="13626" ht="22.5" customHeight="1">
      <c r="B13626" s="42" t="str">
        <f>IFERROR(__xludf.DUMMYFUNCTION("""COMPUTED_VALUE"""),"")</f>
        <v/>
      </c>
      <c r="C13626" s="42" t="str">
        <f>IFERROR(__xludf.DUMMYFUNCTION("""COMPUTED_VALUE"""),"")</f>
        <v/>
      </c>
      <c r="D13626" s="42"/>
      <c r="E13626" s="42"/>
      <c r="F13626" s="48" t="str">
        <f>IFERROR(__xludf.DUMMYFUNCTION("""COMPUTED_VALUE"""),"")</f>
        <v/>
      </c>
      <c r="G13626" s="42" t="str">
        <f>IFERROR(__xludf.DUMMYFUNCTION("""COMPUTED_VALUE"""),"")</f>
        <v/>
      </c>
      <c r="H13626" s="42">
        <f t="shared" si="1"/>
        <v>3345</v>
      </c>
    </row>
    <row r="13627" ht="22.5" customHeight="1">
      <c r="B13627" s="42" t="str">
        <f>IFERROR(__xludf.DUMMYFUNCTION("""COMPUTED_VALUE"""),"")</f>
        <v/>
      </c>
      <c r="C13627" s="42" t="str">
        <f>IFERROR(__xludf.DUMMYFUNCTION("""COMPUTED_VALUE"""),"")</f>
        <v/>
      </c>
      <c r="D13627" s="42"/>
      <c r="E13627" s="42"/>
      <c r="F13627" s="48" t="str">
        <f>IFERROR(__xludf.DUMMYFUNCTION("""COMPUTED_VALUE"""),"")</f>
        <v/>
      </c>
      <c r="G13627" s="42" t="str">
        <f>IFERROR(__xludf.DUMMYFUNCTION("""COMPUTED_VALUE"""),"")</f>
        <v/>
      </c>
      <c r="H13627" s="42">
        <f t="shared" si="1"/>
        <v>3345</v>
      </c>
    </row>
    <row r="13628" ht="22.5" customHeight="1">
      <c r="B13628" s="42" t="str">
        <f>IFERROR(__xludf.DUMMYFUNCTION("""COMPUTED_VALUE"""),"")</f>
        <v/>
      </c>
      <c r="C13628" s="42" t="str">
        <f>IFERROR(__xludf.DUMMYFUNCTION("""COMPUTED_VALUE"""),"")</f>
        <v/>
      </c>
      <c r="D13628" s="42"/>
      <c r="E13628" s="42"/>
      <c r="F13628" s="48" t="str">
        <f>IFERROR(__xludf.DUMMYFUNCTION("""COMPUTED_VALUE"""),"")</f>
        <v/>
      </c>
      <c r="G13628" s="42" t="str">
        <f>IFERROR(__xludf.DUMMYFUNCTION("""COMPUTED_VALUE"""),"")</f>
        <v/>
      </c>
      <c r="H13628" s="42">
        <f t="shared" si="1"/>
        <v>3345</v>
      </c>
    </row>
    <row r="13629" ht="22.5" customHeight="1">
      <c r="B13629" s="42" t="str">
        <f>IFERROR(__xludf.DUMMYFUNCTION("""COMPUTED_VALUE"""),"")</f>
        <v/>
      </c>
      <c r="C13629" s="42" t="str">
        <f>IFERROR(__xludf.DUMMYFUNCTION("""COMPUTED_VALUE"""),"")</f>
        <v/>
      </c>
      <c r="D13629" s="42"/>
      <c r="E13629" s="42"/>
      <c r="F13629" s="48" t="str">
        <f>IFERROR(__xludf.DUMMYFUNCTION("""COMPUTED_VALUE"""),"")</f>
        <v/>
      </c>
      <c r="G13629" s="42" t="str">
        <f>IFERROR(__xludf.DUMMYFUNCTION("""COMPUTED_VALUE"""),"")</f>
        <v/>
      </c>
      <c r="H13629" s="42">
        <f t="shared" si="1"/>
        <v>3345</v>
      </c>
    </row>
    <row r="13630" ht="22.5" customHeight="1">
      <c r="B13630" s="42" t="str">
        <f>IFERROR(__xludf.DUMMYFUNCTION("""COMPUTED_VALUE"""),"")</f>
        <v/>
      </c>
      <c r="C13630" s="42" t="str">
        <f>IFERROR(__xludf.DUMMYFUNCTION("""COMPUTED_VALUE"""),"")</f>
        <v/>
      </c>
      <c r="D13630" s="42"/>
      <c r="E13630" s="42"/>
      <c r="F13630" s="48" t="str">
        <f>IFERROR(__xludf.DUMMYFUNCTION("""COMPUTED_VALUE"""),"")</f>
        <v/>
      </c>
      <c r="G13630" s="42" t="str">
        <f>IFERROR(__xludf.DUMMYFUNCTION("""COMPUTED_VALUE"""),"")</f>
        <v/>
      </c>
      <c r="H13630" s="42">
        <f t="shared" si="1"/>
        <v>3345</v>
      </c>
    </row>
    <row r="13631" ht="22.5" customHeight="1">
      <c r="B13631" s="42" t="str">
        <f>IFERROR(__xludf.DUMMYFUNCTION("""COMPUTED_VALUE"""),"")</f>
        <v/>
      </c>
      <c r="C13631" s="42" t="str">
        <f>IFERROR(__xludf.DUMMYFUNCTION("""COMPUTED_VALUE"""),"")</f>
        <v/>
      </c>
      <c r="D13631" s="42"/>
      <c r="E13631" s="42"/>
      <c r="F13631" s="48" t="str">
        <f>IFERROR(__xludf.DUMMYFUNCTION("""COMPUTED_VALUE"""),"")</f>
        <v/>
      </c>
      <c r="G13631" s="42" t="str">
        <f>IFERROR(__xludf.DUMMYFUNCTION("""COMPUTED_VALUE"""),"")</f>
        <v/>
      </c>
      <c r="H13631" s="42">
        <f t="shared" si="1"/>
        <v>3345</v>
      </c>
    </row>
    <row r="13632" ht="22.5" customHeight="1">
      <c r="B13632" s="42" t="str">
        <f>IFERROR(__xludf.DUMMYFUNCTION("""COMPUTED_VALUE"""),"")</f>
        <v/>
      </c>
      <c r="C13632" s="42" t="str">
        <f>IFERROR(__xludf.DUMMYFUNCTION("""COMPUTED_VALUE"""),"")</f>
        <v/>
      </c>
      <c r="D13632" s="42"/>
      <c r="E13632" s="42"/>
      <c r="F13632" s="48" t="str">
        <f>IFERROR(__xludf.DUMMYFUNCTION("""COMPUTED_VALUE"""),"")</f>
        <v/>
      </c>
      <c r="G13632" s="42" t="str">
        <f>IFERROR(__xludf.DUMMYFUNCTION("""COMPUTED_VALUE"""),"")</f>
        <v/>
      </c>
      <c r="H13632" s="42">
        <f t="shared" si="1"/>
        <v>3345</v>
      </c>
    </row>
    <row r="13633" ht="22.5" customHeight="1">
      <c r="B13633" s="42" t="str">
        <f>IFERROR(__xludf.DUMMYFUNCTION("""COMPUTED_VALUE"""),"")</f>
        <v/>
      </c>
      <c r="C13633" s="42" t="str">
        <f>IFERROR(__xludf.DUMMYFUNCTION("""COMPUTED_VALUE"""),"")</f>
        <v/>
      </c>
      <c r="D13633" s="42"/>
      <c r="E13633" s="42"/>
      <c r="F13633" s="48" t="str">
        <f>IFERROR(__xludf.DUMMYFUNCTION("""COMPUTED_VALUE"""),"")</f>
        <v/>
      </c>
      <c r="G13633" s="42" t="str">
        <f>IFERROR(__xludf.DUMMYFUNCTION("""COMPUTED_VALUE"""),"")</f>
        <v/>
      </c>
      <c r="H13633" s="42">
        <f t="shared" si="1"/>
        <v>3345</v>
      </c>
    </row>
    <row r="13634" ht="22.5" customHeight="1">
      <c r="B13634" s="42" t="str">
        <f>IFERROR(__xludf.DUMMYFUNCTION("""COMPUTED_VALUE"""),"")</f>
        <v/>
      </c>
      <c r="C13634" s="42" t="str">
        <f>IFERROR(__xludf.DUMMYFUNCTION("""COMPUTED_VALUE"""),"")</f>
        <v/>
      </c>
      <c r="D13634" s="42"/>
      <c r="E13634" s="42"/>
      <c r="F13634" s="48" t="str">
        <f>IFERROR(__xludf.DUMMYFUNCTION("""COMPUTED_VALUE"""),"")</f>
        <v/>
      </c>
      <c r="G13634" s="42" t="str">
        <f>IFERROR(__xludf.DUMMYFUNCTION("""COMPUTED_VALUE"""),"")</f>
        <v/>
      </c>
      <c r="H13634" s="42">
        <f t="shared" si="1"/>
        <v>3345</v>
      </c>
    </row>
    <row r="13635" ht="22.5" customHeight="1">
      <c r="B13635" s="42" t="str">
        <f>IFERROR(__xludf.DUMMYFUNCTION("""COMPUTED_VALUE"""),"")</f>
        <v/>
      </c>
      <c r="C13635" s="42" t="str">
        <f>IFERROR(__xludf.DUMMYFUNCTION("""COMPUTED_VALUE"""),"")</f>
        <v/>
      </c>
      <c r="D13635" s="42"/>
      <c r="E13635" s="42"/>
      <c r="F13635" s="48" t="str">
        <f>IFERROR(__xludf.DUMMYFUNCTION("""COMPUTED_VALUE"""),"")</f>
        <v/>
      </c>
      <c r="G13635" s="42" t="str">
        <f>IFERROR(__xludf.DUMMYFUNCTION("""COMPUTED_VALUE"""),"")</f>
        <v/>
      </c>
      <c r="H13635" s="42">
        <f t="shared" si="1"/>
        <v>3345</v>
      </c>
    </row>
    <row r="13636" ht="22.5" customHeight="1">
      <c r="B13636" s="42" t="str">
        <f>IFERROR(__xludf.DUMMYFUNCTION("""COMPUTED_VALUE"""),"")</f>
        <v/>
      </c>
      <c r="C13636" s="42" t="str">
        <f>IFERROR(__xludf.DUMMYFUNCTION("""COMPUTED_VALUE"""),"")</f>
        <v/>
      </c>
      <c r="D13636" s="42"/>
      <c r="E13636" s="42"/>
      <c r="F13636" s="48" t="str">
        <f>IFERROR(__xludf.DUMMYFUNCTION("""COMPUTED_VALUE"""),"")</f>
        <v/>
      </c>
      <c r="G13636" s="42" t="str">
        <f>IFERROR(__xludf.DUMMYFUNCTION("""COMPUTED_VALUE"""),"")</f>
        <v/>
      </c>
      <c r="H13636" s="42">
        <f t="shared" si="1"/>
        <v>3345</v>
      </c>
    </row>
    <row r="13637" ht="22.5" customHeight="1">
      <c r="B13637" s="42" t="str">
        <f>IFERROR(__xludf.DUMMYFUNCTION("""COMPUTED_VALUE"""),"")</f>
        <v/>
      </c>
      <c r="C13637" s="42" t="str">
        <f>IFERROR(__xludf.DUMMYFUNCTION("""COMPUTED_VALUE"""),"")</f>
        <v/>
      </c>
      <c r="D13637" s="42"/>
      <c r="E13637" s="42"/>
      <c r="F13637" s="48" t="str">
        <f>IFERROR(__xludf.DUMMYFUNCTION("""COMPUTED_VALUE"""),"")</f>
        <v/>
      </c>
      <c r="G13637" s="42" t="str">
        <f>IFERROR(__xludf.DUMMYFUNCTION("""COMPUTED_VALUE"""),"")</f>
        <v/>
      </c>
      <c r="H13637" s="42">
        <f t="shared" si="1"/>
        <v>3345</v>
      </c>
    </row>
    <row r="13638" ht="22.5" customHeight="1">
      <c r="B13638" s="42" t="str">
        <f>IFERROR(__xludf.DUMMYFUNCTION("""COMPUTED_VALUE"""),"")</f>
        <v/>
      </c>
      <c r="C13638" s="42" t="str">
        <f>IFERROR(__xludf.DUMMYFUNCTION("""COMPUTED_VALUE"""),"")</f>
        <v/>
      </c>
      <c r="D13638" s="42"/>
      <c r="E13638" s="42"/>
      <c r="F13638" s="48" t="str">
        <f>IFERROR(__xludf.DUMMYFUNCTION("""COMPUTED_VALUE"""),"")</f>
        <v/>
      </c>
      <c r="G13638" s="42" t="str">
        <f>IFERROR(__xludf.DUMMYFUNCTION("""COMPUTED_VALUE"""),"")</f>
        <v/>
      </c>
      <c r="H13638" s="42">
        <f t="shared" si="1"/>
        <v>3345</v>
      </c>
    </row>
    <row r="13639" ht="22.5" customHeight="1">
      <c r="B13639" s="42" t="str">
        <f>IFERROR(__xludf.DUMMYFUNCTION("""COMPUTED_VALUE"""),"")</f>
        <v/>
      </c>
      <c r="C13639" s="42" t="str">
        <f>IFERROR(__xludf.DUMMYFUNCTION("""COMPUTED_VALUE"""),"")</f>
        <v/>
      </c>
      <c r="D13639" s="42"/>
      <c r="E13639" s="42"/>
      <c r="F13639" s="48" t="str">
        <f>IFERROR(__xludf.DUMMYFUNCTION("""COMPUTED_VALUE"""),"")</f>
        <v/>
      </c>
      <c r="G13639" s="42" t="str">
        <f>IFERROR(__xludf.DUMMYFUNCTION("""COMPUTED_VALUE"""),"")</f>
        <v/>
      </c>
      <c r="H13639" s="42">
        <f t="shared" si="1"/>
        <v>3345</v>
      </c>
    </row>
    <row r="13640" ht="22.5" customHeight="1">
      <c r="B13640" s="42" t="str">
        <f>IFERROR(__xludf.DUMMYFUNCTION("""COMPUTED_VALUE"""),"")</f>
        <v/>
      </c>
      <c r="C13640" s="42" t="str">
        <f>IFERROR(__xludf.DUMMYFUNCTION("""COMPUTED_VALUE"""),"")</f>
        <v/>
      </c>
      <c r="D13640" s="42"/>
      <c r="E13640" s="42"/>
      <c r="F13640" s="48" t="str">
        <f>IFERROR(__xludf.DUMMYFUNCTION("""COMPUTED_VALUE"""),"")</f>
        <v/>
      </c>
      <c r="G13640" s="42" t="str">
        <f>IFERROR(__xludf.DUMMYFUNCTION("""COMPUTED_VALUE"""),"")</f>
        <v/>
      </c>
      <c r="H13640" s="42">
        <f t="shared" si="1"/>
        <v>3345</v>
      </c>
    </row>
    <row r="13641" ht="22.5" customHeight="1">
      <c r="B13641" s="42" t="str">
        <f>IFERROR(__xludf.DUMMYFUNCTION("""COMPUTED_VALUE"""),"")</f>
        <v/>
      </c>
      <c r="C13641" s="42" t="str">
        <f>IFERROR(__xludf.DUMMYFUNCTION("""COMPUTED_VALUE"""),"")</f>
        <v/>
      </c>
      <c r="D13641" s="42"/>
      <c r="E13641" s="42"/>
      <c r="F13641" s="48" t="str">
        <f>IFERROR(__xludf.DUMMYFUNCTION("""COMPUTED_VALUE"""),"")</f>
        <v/>
      </c>
      <c r="G13641" s="42" t="str">
        <f>IFERROR(__xludf.DUMMYFUNCTION("""COMPUTED_VALUE"""),"")</f>
        <v/>
      </c>
      <c r="H13641" s="42">
        <f t="shared" si="1"/>
        <v>3345</v>
      </c>
    </row>
    <row r="13642" ht="22.5" customHeight="1">
      <c r="B13642" s="42" t="str">
        <f>IFERROR(__xludf.DUMMYFUNCTION("""COMPUTED_VALUE"""),"")</f>
        <v/>
      </c>
      <c r="C13642" s="42" t="str">
        <f>IFERROR(__xludf.DUMMYFUNCTION("""COMPUTED_VALUE"""),"")</f>
        <v/>
      </c>
      <c r="D13642" s="42"/>
      <c r="E13642" s="42"/>
      <c r="F13642" s="48" t="str">
        <f>IFERROR(__xludf.DUMMYFUNCTION("""COMPUTED_VALUE"""),"")</f>
        <v/>
      </c>
      <c r="G13642" s="42" t="str">
        <f>IFERROR(__xludf.DUMMYFUNCTION("""COMPUTED_VALUE"""),"")</f>
        <v/>
      </c>
      <c r="H13642" s="42">
        <f t="shared" si="1"/>
        <v>3345</v>
      </c>
    </row>
    <row r="13643" ht="22.5" customHeight="1">
      <c r="B13643" s="42" t="str">
        <f>IFERROR(__xludf.DUMMYFUNCTION("""COMPUTED_VALUE"""),"")</f>
        <v/>
      </c>
      <c r="C13643" s="42" t="str">
        <f>IFERROR(__xludf.DUMMYFUNCTION("""COMPUTED_VALUE"""),"")</f>
        <v/>
      </c>
      <c r="D13643" s="42"/>
      <c r="E13643" s="42"/>
      <c r="F13643" s="48" t="str">
        <f>IFERROR(__xludf.DUMMYFUNCTION("""COMPUTED_VALUE"""),"")</f>
        <v/>
      </c>
      <c r="G13643" s="42" t="str">
        <f>IFERROR(__xludf.DUMMYFUNCTION("""COMPUTED_VALUE"""),"")</f>
        <v/>
      </c>
      <c r="H13643" s="42">
        <f t="shared" si="1"/>
        <v>3345</v>
      </c>
    </row>
    <row r="13644" ht="22.5" customHeight="1">
      <c r="B13644" s="42" t="str">
        <f>IFERROR(__xludf.DUMMYFUNCTION("""COMPUTED_VALUE"""),"")</f>
        <v/>
      </c>
      <c r="C13644" s="42" t="str">
        <f>IFERROR(__xludf.DUMMYFUNCTION("""COMPUTED_VALUE"""),"")</f>
        <v/>
      </c>
      <c r="D13644" s="42"/>
      <c r="E13644" s="42"/>
      <c r="F13644" s="48" t="str">
        <f>IFERROR(__xludf.DUMMYFUNCTION("""COMPUTED_VALUE"""),"")</f>
        <v/>
      </c>
      <c r="G13644" s="42" t="str">
        <f>IFERROR(__xludf.DUMMYFUNCTION("""COMPUTED_VALUE"""),"")</f>
        <v/>
      </c>
      <c r="H13644" s="42">
        <f t="shared" si="1"/>
        <v>3345</v>
      </c>
    </row>
    <row r="13645" ht="22.5" customHeight="1">
      <c r="B13645" s="42" t="str">
        <f>IFERROR(__xludf.DUMMYFUNCTION("""COMPUTED_VALUE"""),"")</f>
        <v/>
      </c>
      <c r="C13645" s="42" t="str">
        <f>IFERROR(__xludf.DUMMYFUNCTION("""COMPUTED_VALUE"""),"")</f>
        <v/>
      </c>
      <c r="D13645" s="42"/>
      <c r="E13645" s="42"/>
      <c r="F13645" s="48" t="str">
        <f>IFERROR(__xludf.DUMMYFUNCTION("""COMPUTED_VALUE"""),"")</f>
        <v/>
      </c>
      <c r="G13645" s="42" t="str">
        <f>IFERROR(__xludf.DUMMYFUNCTION("""COMPUTED_VALUE"""),"")</f>
        <v/>
      </c>
      <c r="H13645" s="42">
        <f t="shared" si="1"/>
        <v>3345</v>
      </c>
    </row>
    <row r="13646" ht="22.5" customHeight="1">
      <c r="B13646" s="42" t="str">
        <f>IFERROR(__xludf.DUMMYFUNCTION("""COMPUTED_VALUE"""),"")</f>
        <v/>
      </c>
      <c r="C13646" s="42" t="str">
        <f>IFERROR(__xludf.DUMMYFUNCTION("""COMPUTED_VALUE"""),"")</f>
        <v/>
      </c>
      <c r="D13646" s="42"/>
      <c r="E13646" s="42"/>
      <c r="F13646" s="48" t="str">
        <f>IFERROR(__xludf.DUMMYFUNCTION("""COMPUTED_VALUE"""),"")</f>
        <v/>
      </c>
      <c r="G13646" s="42" t="str">
        <f>IFERROR(__xludf.DUMMYFUNCTION("""COMPUTED_VALUE"""),"")</f>
        <v/>
      </c>
      <c r="H13646" s="42">
        <f t="shared" si="1"/>
        <v>3345</v>
      </c>
    </row>
    <row r="13647" ht="22.5" customHeight="1">
      <c r="B13647" s="42" t="str">
        <f>IFERROR(__xludf.DUMMYFUNCTION("""COMPUTED_VALUE"""),"")</f>
        <v/>
      </c>
      <c r="C13647" s="42" t="str">
        <f>IFERROR(__xludf.DUMMYFUNCTION("""COMPUTED_VALUE"""),"")</f>
        <v/>
      </c>
      <c r="D13647" s="42"/>
      <c r="E13647" s="42"/>
      <c r="F13647" s="48" t="str">
        <f>IFERROR(__xludf.DUMMYFUNCTION("""COMPUTED_VALUE"""),"")</f>
        <v/>
      </c>
      <c r="G13647" s="42" t="str">
        <f>IFERROR(__xludf.DUMMYFUNCTION("""COMPUTED_VALUE"""),"")</f>
        <v/>
      </c>
      <c r="H13647" s="42">
        <f t="shared" si="1"/>
        <v>3345</v>
      </c>
    </row>
    <row r="13648" ht="22.5" customHeight="1">
      <c r="B13648" s="42" t="str">
        <f>IFERROR(__xludf.DUMMYFUNCTION("""COMPUTED_VALUE"""),"")</f>
        <v/>
      </c>
      <c r="C13648" s="42" t="str">
        <f>IFERROR(__xludf.DUMMYFUNCTION("""COMPUTED_VALUE"""),"")</f>
        <v/>
      </c>
      <c r="D13648" s="42"/>
      <c r="E13648" s="42"/>
      <c r="F13648" s="48" t="str">
        <f>IFERROR(__xludf.DUMMYFUNCTION("""COMPUTED_VALUE"""),"")</f>
        <v/>
      </c>
      <c r="G13648" s="42" t="str">
        <f>IFERROR(__xludf.DUMMYFUNCTION("""COMPUTED_VALUE"""),"")</f>
        <v/>
      </c>
      <c r="H13648" s="42">
        <f t="shared" si="1"/>
        <v>3345</v>
      </c>
    </row>
    <row r="13649" ht="22.5" customHeight="1">
      <c r="B13649" s="42" t="str">
        <f>IFERROR(__xludf.DUMMYFUNCTION("""COMPUTED_VALUE"""),"")</f>
        <v/>
      </c>
      <c r="C13649" s="42" t="str">
        <f>IFERROR(__xludf.DUMMYFUNCTION("""COMPUTED_VALUE"""),"")</f>
        <v/>
      </c>
      <c r="D13649" s="42"/>
      <c r="E13649" s="42"/>
      <c r="F13649" s="48" t="str">
        <f>IFERROR(__xludf.DUMMYFUNCTION("""COMPUTED_VALUE"""),"")</f>
        <v/>
      </c>
      <c r="G13649" s="42" t="str">
        <f>IFERROR(__xludf.DUMMYFUNCTION("""COMPUTED_VALUE"""),"")</f>
        <v/>
      </c>
      <c r="H13649" s="42">
        <f t="shared" si="1"/>
        <v>3345</v>
      </c>
    </row>
    <row r="13650" ht="22.5" customHeight="1">
      <c r="B13650" s="42" t="str">
        <f>IFERROR(__xludf.DUMMYFUNCTION("""COMPUTED_VALUE"""),"")</f>
        <v/>
      </c>
      <c r="C13650" s="42" t="str">
        <f>IFERROR(__xludf.DUMMYFUNCTION("""COMPUTED_VALUE"""),"")</f>
        <v/>
      </c>
      <c r="D13650" s="42"/>
      <c r="E13650" s="42"/>
      <c r="F13650" s="48" t="str">
        <f>IFERROR(__xludf.DUMMYFUNCTION("""COMPUTED_VALUE"""),"")</f>
        <v/>
      </c>
      <c r="G13650" s="42" t="str">
        <f>IFERROR(__xludf.DUMMYFUNCTION("""COMPUTED_VALUE"""),"")</f>
        <v/>
      </c>
      <c r="H13650" s="42">
        <f t="shared" si="1"/>
        <v>3345</v>
      </c>
    </row>
    <row r="13651" ht="22.5" customHeight="1">
      <c r="B13651" s="42" t="str">
        <f>IFERROR(__xludf.DUMMYFUNCTION("""COMPUTED_VALUE"""),"")</f>
        <v/>
      </c>
      <c r="C13651" s="42" t="str">
        <f>IFERROR(__xludf.DUMMYFUNCTION("""COMPUTED_VALUE"""),"")</f>
        <v/>
      </c>
      <c r="D13651" s="42"/>
      <c r="E13651" s="42"/>
      <c r="F13651" s="48" t="str">
        <f>IFERROR(__xludf.DUMMYFUNCTION("""COMPUTED_VALUE"""),"")</f>
        <v/>
      </c>
      <c r="G13651" s="42" t="str">
        <f>IFERROR(__xludf.DUMMYFUNCTION("""COMPUTED_VALUE"""),"")</f>
        <v/>
      </c>
      <c r="H13651" s="42">
        <f t="shared" si="1"/>
        <v>3345</v>
      </c>
    </row>
    <row r="13652" ht="22.5" customHeight="1">
      <c r="B13652" s="42" t="str">
        <f>IFERROR(__xludf.DUMMYFUNCTION("""COMPUTED_VALUE"""),"")</f>
        <v/>
      </c>
      <c r="C13652" s="42" t="str">
        <f>IFERROR(__xludf.DUMMYFUNCTION("""COMPUTED_VALUE"""),"")</f>
        <v/>
      </c>
      <c r="D13652" s="42"/>
      <c r="E13652" s="42"/>
      <c r="F13652" s="48" t="str">
        <f>IFERROR(__xludf.DUMMYFUNCTION("""COMPUTED_VALUE"""),"")</f>
        <v/>
      </c>
      <c r="G13652" s="42" t="str">
        <f>IFERROR(__xludf.DUMMYFUNCTION("""COMPUTED_VALUE"""),"")</f>
        <v/>
      </c>
      <c r="H13652" s="42">
        <f t="shared" si="1"/>
        <v>3345</v>
      </c>
    </row>
    <row r="13653" ht="22.5" customHeight="1">
      <c r="B13653" s="42" t="str">
        <f>IFERROR(__xludf.DUMMYFUNCTION("""COMPUTED_VALUE"""),"")</f>
        <v/>
      </c>
      <c r="C13653" s="42" t="str">
        <f>IFERROR(__xludf.DUMMYFUNCTION("""COMPUTED_VALUE"""),"")</f>
        <v/>
      </c>
      <c r="D13653" s="42"/>
      <c r="E13653" s="42"/>
      <c r="F13653" s="48" t="str">
        <f>IFERROR(__xludf.DUMMYFUNCTION("""COMPUTED_VALUE"""),"")</f>
        <v/>
      </c>
      <c r="G13653" s="42" t="str">
        <f>IFERROR(__xludf.DUMMYFUNCTION("""COMPUTED_VALUE"""),"")</f>
        <v/>
      </c>
      <c r="H13653" s="42">
        <f t="shared" si="1"/>
        <v>3345</v>
      </c>
    </row>
    <row r="13654" ht="22.5" customHeight="1">
      <c r="B13654" s="42" t="str">
        <f>IFERROR(__xludf.DUMMYFUNCTION("""COMPUTED_VALUE"""),"")</f>
        <v/>
      </c>
      <c r="C13654" s="42" t="str">
        <f>IFERROR(__xludf.DUMMYFUNCTION("""COMPUTED_VALUE"""),"")</f>
        <v/>
      </c>
      <c r="D13654" s="42"/>
      <c r="E13654" s="42"/>
      <c r="F13654" s="48" t="str">
        <f>IFERROR(__xludf.DUMMYFUNCTION("""COMPUTED_VALUE"""),"")</f>
        <v/>
      </c>
      <c r="G13654" s="42" t="str">
        <f>IFERROR(__xludf.DUMMYFUNCTION("""COMPUTED_VALUE"""),"")</f>
        <v/>
      </c>
      <c r="H13654" s="42">
        <f t="shared" si="1"/>
        <v>3345</v>
      </c>
    </row>
    <row r="13655" ht="22.5" customHeight="1">
      <c r="B13655" s="42" t="str">
        <f>IFERROR(__xludf.DUMMYFUNCTION("""COMPUTED_VALUE"""),"")</f>
        <v/>
      </c>
      <c r="C13655" s="42" t="str">
        <f>IFERROR(__xludf.DUMMYFUNCTION("""COMPUTED_VALUE"""),"")</f>
        <v/>
      </c>
      <c r="D13655" s="42"/>
      <c r="E13655" s="42"/>
      <c r="F13655" s="48" t="str">
        <f>IFERROR(__xludf.DUMMYFUNCTION("""COMPUTED_VALUE"""),"")</f>
        <v/>
      </c>
      <c r="G13655" s="42" t="str">
        <f>IFERROR(__xludf.DUMMYFUNCTION("""COMPUTED_VALUE"""),"")</f>
        <v/>
      </c>
      <c r="H13655" s="42">
        <f t="shared" si="1"/>
        <v>3345</v>
      </c>
    </row>
    <row r="13656" ht="22.5" customHeight="1">
      <c r="B13656" s="42" t="str">
        <f>IFERROR(__xludf.DUMMYFUNCTION("""COMPUTED_VALUE"""),"")</f>
        <v/>
      </c>
      <c r="C13656" s="42" t="str">
        <f>IFERROR(__xludf.DUMMYFUNCTION("""COMPUTED_VALUE"""),"")</f>
        <v/>
      </c>
      <c r="D13656" s="42"/>
      <c r="E13656" s="42"/>
      <c r="F13656" s="48" t="str">
        <f>IFERROR(__xludf.DUMMYFUNCTION("""COMPUTED_VALUE"""),"")</f>
        <v/>
      </c>
      <c r="G13656" s="42" t="str">
        <f>IFERROR(__xludf.DUMMYFUNCTION("""COMPUTED_VALUE"""),"")</f>
        <v/>
      </c>
      <c r="H13656" s="42">
        <f t="shared" si="1"/>
        <v>3345</v>
      </c>
    </row>
    <row r="13657" ht="22.5" customHeight="1">
      <c r="B13657" s="42" t="str">
        <f>IFERROR(__xludf.DUMMYFUNCTION("""COMPUTED_VALUE"""),"")</f>
        <v/>
      </c>
      <c r="C13657" s="42" t="str">
        <f>IFERROR(__xludf.DUMMYFUNCTION("""COMPUTED_VALUE"""),"")</f>
        <v/>
      </c>
      <c r="D13657" s="42"/>
      <c r="E13657" s="42"/>
      <c r="F13657" s="48" t="str">
        <f>IFERROR(__xludf.DUMMYFUNCTION("""COMPUTED_VALUE"""),"")</f>
        <v/>
      </c>
      <c r="G13657" s="42" t="str">
        <f>IFERROR(__xludf.DUMMYFUNCTION("""COMPUTED_VALUE"""),"")</f>
        <v/>
      </c>
      <c r="H13657" s="42">
        <f t="shared" si="1"/>
        <v>3345</v>
      </c>
    </row>
    <row r="13658" ht="22.5" customHeight="1">
      <c r="B13658" s="42" t="str">
        <f>IFERROR(__xludf.DUMMYFUNCTION("""COMPUTED_VALUE"""),"")</f>
        <v/>
      </c>
      <c r="C13658" s="42" t="str">
        <f>IFERROR(__xludf.DUMMYFUNCTION("""COMPUTED_VALUE"""),"")</f>
        <v/>
      </c>
      <c r="D13658" s="42"/>
      <c r="E13658" s="42"/>
      <c r="F13658" s="48" t="str">
        <f>IFERROR(__xludf.DUMMYFUNCTION("""COMPUTED_VALUE"""),"")</f>
        <v/>
      </c>
      <c r="G13658" s="42" t="str">
        <f>IFERROR(__xludf.DUMMYFUNCTION("""COMPUTED_VALUE"""),"")</f>
        <v/>
      </c>
      <c r="H13658" s="42">
        <f t="shared" si="1"/>
        <v>3345</v>
      </c>
    </row>
    <row r="13659" ht="22.5" customHeight="1">
      <c r="B13659" s="42" t="str">
        <f>IFERROR(__xludf.DUMMYFUNCTION("""COMPUTED_VALUE"""),"")</f>
        <v/>
      </c>
      <c r="C13659" s="42" t="str">
        <f>IFERROR(__xludf.DUMMYFUNCTION("""COMPUTED_VALUE"""),"")</f>
        <v/>
      </c>
      <c r="D13659" s="42"/>
      <c r="E13659" s="42"/>
      <c r="F13659" s="48" t="str">
        <f>IFERROR(__xludf.DUMMYFUNCTION("""COMPUTED_VALUE"""),"")</f>
        <v/>
      </c>
      <c r="G13659" s="42" t="str">
        <f>IFERROR(__xludf.DUMMYFUNCTION("""COMPUTED_VALUE"""),"")</f>
        <v/>
      </c>
      <c r="H13659" s="42">
        <f t="shared" si="1"/>
        <v>3345</v>
      </c>
    </row>
    <row r="13660" ht="22.5" customHeight="1">
      <c r="B13660" s="42" t="str">
        <f>IFERROR(__xludf.DUMMYFUNCTION("""COMPUTED_VALUE"""),"")</f>
        <v/>
      </c>
      <c r="C13660" s="42" t="str">
        <f>IFERROR(__xludf.DUMMYFUNCTION("""COMPUTED_VALUE"""),"")</f>
        <v/>
      </c>
      <c r="D13660" s="42"/>
      <c r="E13660" s="42"/>
      <c r="F13660" s="48" t="str">
        <f>IFERROR(__xludf.DUMMYFUNCTION("""COMPUTED_VALUE"""),"")</f>
        <v/>
      </c>
      <c r="G13660" s="42" t="str">
        <f>IFERROR(__xludf.DUMMYFUNCTION("""COMPUTED_VALUE"""),"")</f>
        <v/>
      </c>
      <c r="H13660" s="42">
        <f t="shared" si="1"/>
        <v>3345</v>
      </c>
    </row>
    <row r="13661" ht="22.5" customHeight="1">
      <c r="B13661" s="42" t="str">
        <f>IFERROR(__xludf.DUMMYFUNCTION("""COMPUTED_VALUE"""),"")</f>
        <v/>
      </c>
      <c r="C13661" s="42" t="str">
        <f>IFERROR(__xludf.DUMMYFUNCTION("""COMPUTED_VALUE"""),"")</f>
        <v/>
      </c>
      <c r="D13661" s="42"/>
      <c r="E13661" s="42"/>
      <c r="F13661" s="48" t="str">
        <f>IFERROR(__xludf.DUMMYFUNCTION("""COMPUTED_VALUE"""),"")</f>
        <v/>
      </c>
      <c r="G13661" s="42" t="str">
        <f>IFERROR(__xludf.DUMMYFUNCTION("""COMPUTED_VALUE"""),"")</f>
        <v/>
      </c>
      <c r="H13661" s="42">
        <f t="shared" si="1"/>
        <v>3345</v>
      </c>
    </row>
    <row r="13662" ht="22.5" customHeight="1">
      <c r="B13662" s="42" t="str">
        <f>IFERROR(__xludf.DUMMYFUNCTION("""COMPUTED_VALUE"""),"")</f>
        <v/>
      </c>
      <c r="C13662" s="42" t="str">
        <f>IFERROR(__xludf.DUMMYFUNCTION("""COMPUTED_VALUE"""),"")</f>
        <v/>
      </c>
      <c r="D13662" s="42"/>
      <c r="E13662" s="42"/>
      <c r="F13662" s="48" t="str">
        <f>IFERROR(__xludf.DUMMYFUNCTION("""COMPUTED_VALUE"""),"")</f>
        <v/>
      </c>
      <c r="G13662" s="42" t="str">
        <f>IFERROR(__xludf.DUMMYFUNCTION("""COMPUTED_VALUE"""),"")</f>
        <v/>
      </c>
      <c r="H13662" s="42">
        <f t="shared" si="1"/>
        <v>3345</v>
      </c>
    </row>
    <row r="13663" ht="22.5" customHeight="1">
      <c r="B13663" s="42" t="str">
        <f>IFERROR(__xludf.DUMMYFUNCTION("""COMPUTED_VALUE"""),"")</f>
        <v/>
      </c>
      <c r="C13663" s="42" t="str">
        <f>IFERROR(__xludf.DUMMYFUNCTION("""COMPUTED_VALUE"""),"")</f>
        <v/>
      </c>
      <c r="D13663" s="42"/>
      <c r="E13663" s="42"/>
      <c r="F13663" s="48" t="str">
        <f>IFERROR(__xludf.DUMMYFUNCTION("""COMPUTED_VALUE"""),"")</f>
        <v/>
      </c>
      <c r="G13663" s="42" t="str">
        <f>IFERROR(__xludf.DUMMYFUNCTION("""COMPUTED_VALUE"""),"")</f>
        <v/>
      </c>
      <c r="H13663" s="42">
        <f t="shared" si="1"/>
        <v>3345</v>
      </c>
    </row>
    <row r="13664" ht="22.5" customHeight="1">
      <c r="B13664" s="42" t="str">
        <f>IFERROR(__xludf.DUMMYFUNCTION("""COMPUTED_VALUE"""),"")</f>
        <v/>
      </c>
      <c r="C13664" s="42" t="str">
        <f>IFERROR(__xludf.DUMMYFUNCTION("""COMPUTED_VALUE"""),"")</f>
        <v/>
      </c>
      <c r="D13664" s="42"/>
      <c r="E13664" s="42"/>
      <c r="F13664" s="48" t="str">
        <f>IFERROR(__xludf.DUMMYFUNCTION("""COMPUTED_VALUE"""),"")</f>
        <v/>
      </c>
      <c r="G13664" s="42" t="str">
        <f>IFERROR(__xludf.DUMMYFUNCTION("""COMPUTED_VALUE"""),"")</f>
        <v/>
      </c>
      <c r="H13664" s="42">
        <f t="shared" si="1"/>
        <v>3345</v>
      </c>
    </row>
    <row r="13665" ht="22.5" customHeight="1">
      <c r="B13665" s="42" t="str">
        <f>IFERROR(__xludf.DUMMYFUNCTION("""COMPUTED_VALUE"""),"")</f>
        <v/>
      </c>
      <c r="C13665" s="42" t="str">
        <f>IFERROR(__xludf.DUMMYFUNCTION("""COMPUTED_VALUE"""),"")</f>
        <v/>
      </c>
      <c r="D13665" s="42"/>
      <c r="E13665" s="42"/>
      <c r="F13665" s="48" t="str">
        <f>IFERROR(__xludf.DUMMYFUNCTION("""COMPUTED_VALUE"""),"")</f>
        <v/>
      </c>
      <c r="G13665" s="42" t="str">
        <f>IFERROR(__xludf.DUMMYFUNCTION("""COMPUTED_VALUE"""),"")</f>
        <v/>
      </c>
      <c r="H13665" s="42">
        <f t="shared" si="1"/>
        <v>3345</v>
      </c>
    </row>
    <row r="13666" ht="22.5" customHeight="1">
      <c r="B13666" s="42" t="str">
        <f>IFERROR(__xludf.DUMMYFUNCTION("""COMPUTED_VALUE"""),"")</f>
        <v/>
      </c>
      <c r="C13666" s="42" t="str">
        <f>IFERROR(__xludf.DUMMYFUNCTION("""COMPUTED_VALUE"""),"")</f>
        <v/>
      </c>
      <c r="D13666" s="42"/>
      <c r="E13666" s="42"/>
      <c r="F13666" s="48" t="str">
        <f>IFERROR(__xludf.DUMMYFUNCTION("""COMPUTED_VALUE"""),"")</f>
        <v/>
      </c>
      <c r="G13666" s="42" t="str">
        <f>IFERROR(__xludf.DUMMYFUNCTION("""COMPUTED_VALUE"""),"")</f>
        <v/>
      </c>
      <c r="H13666" s="42">
        <f t="shared" si="1"/>
        <v>3345</v>
      </c>
    </row>
    <row r="13667" ht="22.5" customHeight="1">
      <c r="B13667" s="42" t="str">
        <f>IFERROR(__xludf.DUMMYFUNCTION("""COMPUTED_VALUE"""),"")</f>
        <v/>
      </c>
      <c r="C13667" s="42" t="str">
        <f>IFERROR(__xludf.DUMMYFUNCTION("""COMPUTED_VALUE"""),"")</f>
        <v/>
      </c>
      <c r="D13667" s="42"/>
      <c r="E13667" s="42"/>
      <c r="F13667" s="48" t="str">
        <f>IFERROR(__xludf.DUMMYFUNCTION("""COMPUTED_VALUE"""),"")</f>
        <v/>
      </c>
      <c r="G13667" s="42" t="str">
        <f>IFERROR(__xludf.DUMMYFUNCTION("""COMPUTED_VALUE"""),"")</f>
        <v/>
      </c>
      <c r="H13667" s="42">
        <f t="shared" si="1"/>
        <v>3345</v>
      </c>
    </row>
    <row r="13668" ht="22.5" customHeight="1">
      <c r="B13668" s="42" t="str">
        <f>IFERROR(__xludf.DUMMYFUNCTION("""COMPUTED_VALUE"""),"")</f>
        <v/>
      </c>
      <c r="C13668" s="42" t="str">
        <f>IFERROR(__xludf.DUMMYFUNCTION("""COMPUTED_VALUE"""),"")</f>
        <v/>
      </c>
      <c r="D13668" s="42"/>
      <c r="E13668" s="42"/>
      <c r="F13668" s="48" t="str">
        <f>IFERROR(__xludf.DUMMYFUNCTION("""COMPUTED_VALUE"""),"")</f>
        <v/>
      </c>
      <c r="G13668" s="42" t="str">
        <f>IFERROR(__xludf.DUMMYFUNCTION("""COMPUTED_VALUE"""),"")</f>
        <v/>
      </c>
      <c r="H13668" s="42">
        <f t="shared" si="1"/>
        <v>3345</v>
      </c>
    </row>
    <row r="13669" ht="22.5" customHeight="1">
      <c r="B13669" s="42" t="str">
        <f>IFERROR(__xludf.DUMMYFUNCTION("""COMPUTED_VALUE"""),"")</f>
        <v/>
      </c>
      <c r="C13669" s="42" t="str">
        <f>IFERROR(__xludf.DUMMYFUNCTION("""COMPUTED_VALUE"""),"")</f>
        <v/>
      </c>
      <c r="D13669" s="42"/>
      <c r="E13669" s="42"/>
      <c r="F13669" s="48" t="str">
        <f>IFERROR(__xludf.DUMMYFUNCTION("""COMPUTED_VALUE"""),"")</f>
        <v/>
      </c>
      <c r="G13669" s="42" t="str">
        <f>IFERROR(__xludf.DUMMYFUNCTION("""COMPUTED_VALUE"""),"")</f>
        <v/>
      </c>
      <c r="H13669" s="42">
        <f t="shared" si="1"/>
        <v>3345</v>
      </c>
    </row>
    <row r="13670" ht="22.5" customHeight="1">
      <c r="B13670" s="42" t="str">
        <f>IFERROR(__xludf.DUMMYFUNCTION("""COMPUTED_VALUE"""),"")</f>
        <v/>
      </c>
      <c r="C13670" s="42" t="str">
        <f>IFERROR(__xludf.DUMMYFUNCTION("""COMPUTED_VALUE"""),"")</f>
        <v/>
      </c>
      <c r="D13670" s="42"/>
      <c r="E13670" s="42"/>
      <c r="F13670" s="48" t="str">
        <f>IFERROR(__xludf.DUMMYFUNCTION("""COMPUTED_VALUE"""),"")</f>
        <v/>
      </c>
      <c r="G13670" s="42" t="str">
        <f>IFERROR(__xludf.DUMMYFUNCTION("""COMPUTED_VALUE"""),"")</f>
        <v/>
      </c>
      <c r="H13670" s="42">
        <f t="shared" si="1"/>
        <v>3345</v>
      </c>
    </row>
    <row r="13671" ht="22.5" customHeight="1">
      <c r="B13671" s="42" t="str">
        <f>IFERROR(__xludf.DUMMYFUNCTION("""COMPUTED_VALUE"""),"")</f>
        <v/>
      </c>
      <c r="C13671" s="42" t="str">
        <f>IFERROR(__xludf.DUMMYFUNCTION("""COMPUTED_VALUE"""),"")</f>
        <v/>
      </c>
      <c r="D13671" s="42"/>
      <c r="E13671" s="42"/>
      <c r="F13671" s="48" t="str">
        <f>IFERROR(__xludf.DUMMYFUNCTION("""COMPUTED_VALUE"""),"")</f>
        <v/>
      </c>
      <c r="G13671" s="42" t="str">
        <f>IFERROR(__xludf.DUMMYFUNCTION("""COMPUTED_VALUE"""),"")</f>
        <v/>
      </c>
      <c r="H13671" s="42">
        <f t="shared" si="1"/>
        <v>3345</v>
      </c>
    </row>
    <row r="13672" ht="22.5" customHeight="1">
      <c r="B13672" s="42" t="str">
        <f>IFERROR(__xludf.DUMMYFUNCTION("""COMPUTED_VALUE"""),"")</f>
        <v/>
      </c>
      <c r="C13672" s="42" t="str">
        <f>IFERROR(__xludf.DUMMYFUNCTION("""COMPUTED_VALUE"""),"")</f>
        <v/>
      </c>
      <c r="D13672" s="42"/>
      <c r="E13672" s="42"/>
      <c r="F13672" s="48" t="str">
        <f>IFERROR(__xludf.DUMMYFUNCTION("""COMPUTED_VALUE"""),"")</f>
        <v/>
      </c>
      <c r="G13672" s="42" t="str">
        <f>IFERROR(__xludf.DUMMYFUNCTION("""COMPUTED_VALUE"""),"")</f>
        <v/>
      </c>
      <c r="H13672" s="42">
        <f t="shared" si="1"/>
        <v>3345</v>
      </c>
    </row>
    <row r="13673" ht="22.5" customHeight="1">
      <c r="B13673" s="42" t="str">
        <f>IFERROR(__xludf.DUMMYFUNCTION("""COMPUTED_VALUE"""),"")</f>
        <v/>
      </c>
      <c r="C13673" s="42" t="str">
        <f>IFERROR(__xludf.DUMMYFUNCTION("""COMPUTED_VALUE"""),"")</f>
        <v/>
      </c>
      <c r="D13673" s="42"/>
      <c r="E13673" s="42"/>
      <c r="F13673" s="48" t="str">
        <f>IFERROR(__xludf.DUMMYFUNCTION("""COMPUTED_VALUE"""),"")</f>
        <v/>
      </c>
      <c r="G13673" s="42" t="str">
        <f>IFERROR(__xludf.DUMMYFUNCTION("""COMPUTED_VALUE"""),"")</f>
        <v/>
      </c>
      <c r="H13673" s="42">
        <f t="shared" si="1"/>
        <v>3345</v>
      </c>
    </row>
    <row r="13674" ht="22.5" customHeight="1">
      <c r="B13674" s="42" t="str">
        <f>IFERROR(__xludf.DUMMYFUNCTION("""COMPUTED_VALUE"""),"")</f>
        <v/>
      </c>
      <c r="C13674" s="42" t="str">
        <f>IFERROR(__xludf.DUMMYFUNCTION("""COMPUTED_VALUE"""),"")</f>
        <v/>
      </c>
      <c r="D13674" s="42"/>
      <c r="E13674" s="42"/>
      <c r="F13674" s="48" t="str">
        <f>IFERROR(__xludf.DUMMYFUNCTION("""COMPUTED_VALUE"""),"")</f>
        <v/>
      </c>
      <c r="G13674" s="42" t="str">
        <f>IFERROR(__xludf.DUMMYFUNCTION("""COMPUTED_VALUE"""),"")</f>
        <v/>
      </c>
      <c r="H13674" s="42">
        <f t="shared" si="1"/>
        <v>3345</v>
      </c>
    </row>
    <row r="13675" ht="22.5" customHeight="1">
      <c r="B13675" s="42" t="str">
        <f>IFERROR(__xludf.DUMMYFUNCTION("""COMPUTED_VALUE"""),"")</f>
        <v/>
      </c>
      <c r="C13675" s="42" t="str">
        <f>IFERROR(__xludf.DUMMYFUNCTION("""COMPUTED_VALUE"""),"")</f>
        <v/>
      </c>
      <c r="D13675" s="42"/>
      <c r="E13675" s="42"/>
      <c r="F13675" s="48" t="str">
        <f>IFERROR(__xludf.DUMMYFUNCTION("""COMPUTED_VALUE"""),"")</f>
        <v/>
      </c>
      <c r="G13675" s="42" t="str">
        <f>IFERROR(__xludf.DUMMYFUNCTION("""COMPUTED_VALUE"""),"")</f>
        <v/>
      </c>
      <c r="H13675" s="42">
        <f t="shared" si="1"/>
        <v>3345</v>
      </c>
    </row>
    <row r="13676" ht="22.5" customHeight="1">
      <c r="B13676" s="42" t="str">
        <f>IFERROR(__xludf.DUMMYFUNCTION("""COMPUTED_VALUE"""),"")</f>
        <v/>
      </c>
      <c r="C13676" s="42" t="str">
        <f>IFERROR(__xludf.DUMMYFUNCTION("""COMPUTED_VALUE"""),"")</f>
        <v/>
      </c>
      <c r="D13676" s="42"/>
      <c r="E13676" s="42"/>
      <c r="F13676" s="48" t="str">
        <f>IFERROR(__xludf.DUMMYFUNCTION("""COMPUTED_VALUE"""),"")</f>
        <v/>
      </c>
      <c r="G13676" s="42" t="str">
        <f>IFERROR(__xludf.DUMMYFUNCTION("""COMPUTED_VALUE"""),"")</f>
        <v/>
      </c>
      <c r="H13676" s="42">
        <f t="shared" si="1"/>
        <v>3345</v>
      </c>
    </row>
    <row r="13677" ht="22.5" customHeight="1">
      <c r="B13677" s="42" t="str">
        <f>IFERROR(__xludf.DUMMYFUNCTION("""COMPUTED_VALUE"""),"")</f>
        <v/>
      </c>
      <c r="C13677" s="42" t="str">
        <f>IFERROR(__xludf.DUMMYFUNCTION("""COMPUTED_VALUE"""),"")</f>
        <v/>
      </c>
      <c r="D13677" s="42"/>
      <c r="E13677" s="42"/>
      <c r="F13677" s="48" t="str">
        <f>IFERROR(__xludf.DUMMYFUNCTION("""COMPUTED_VALUE"""),"")</f>
        <v/>
      </c>
      <c r="G13677" s="42" t="str">
        <f>IFERROR(__xludf.DUMMYFUNCTION("""COMPUTED_VALUE"""),"")</f>
        <v/>
      </c>
      <c r="H13677" s="42">
        <f t="shared" si="1"/>
        <v>3345</v>
      </c>
    </row>
    <row r="13678" ht="22.5" customHeight="1">
      <c r="B13678" s="42" t="str">
        <f>IFERROR(__xludf.DUMMYFUNCTION("""COMPUTED_VALUE"""),"")</f>
        <v/>
      </c>
      <c r="C13678" s="42" t="str">
        <f>IFERROR(__xludf.DUMMYFUNCTION("""COMPUTED_VALUE"""),"")</f>
        <v/>
      </c>
      <c r="D13678" s="42"/>
      <c r="E13678" s="42"/>
      <c r="F13678" s="48" t="str">
        <f>IFERROR(__xludf.DUMMYFUNCTION("""COMPUTED_VALUE"""),"")</f>
        <v/>
      </c>
      <c r="G13678" s="42" t="str">
        <f>IFERROR(__xludf.DUMMYFUNCTION("""COMPUTED_VALUE"""),"")</f>
        <v/>
      </c>
      <c r="H13678" s="42">
        <f t="shared" si="1"/>
        <v>3345</v>
      </c>
    </row>
    <row r="13679" ht="22.5" customHeight="1">
      <c r="B13679" s="42" t="str">
        <f>IFERROR(__xludf.DUMMYFUNCTION("""COMPUTED_VALUE"""),"")</f>
        <v/>
      </c>
      <c r="C13679" s="42" t="str">
        <f>IFERROR(__xludf.DUMMYFUNCTION("""COMPUTED_VALUE"""),"")</f>
        <v/>
      </c>
      <c r="D13679" s="42"/>
      <c r="E13679" s="42"/>
      <c r="F13679" s="48" t="str">
        <f>IFERROR(__xludf.DUMMYFUNCTION("""COMPUTED_VALUE"""),"")</f>
        <v/>
      </c>
      <c r="G13679" s="42" t="str">
        <f>IFERROR(__xludf.DUMMYFUNCTION("""COMPUTED_VALUE"""),"")</f>
        <v/>
      </c>
      <c r="H13679" s="42">
        <f t="shared" si="1"/>
        <v>3345</v>
      </c>
    </row>
    <row r="13680" ht="22.5" customHeight="1">
      <c r="B13680" s="42" t="str">
        <f>IFERROR(__xludf.DUMMYFUNCTION("""COMPUTED_VALUE"""),"")</f>
        <v/>
      </c>
      <c r="C13680" s="42" t="str">
        <f>IFERROR(__xludf.DUMMYFUNCTION("""COMPUTED_VALUE"""),"")</f>
        <v/>
      </c>
      <c r="D13680" s="42"/>
      <c r="E13680" s="42"/>
      <c r="F13680" s="48" t="str">
        <f>IFERROR(__xludf.DUMMYFUNCTION("""COMPUTED_VALUE"""),"")</f>
        <v/>
      </c>
      <c r="G13680" s="42" t="str">
        <f>IFERROR(__xludf.DUMMYFUNCTION("""COMPUTED_VALUE"""),"")</f>
        <v/>
      </c>
      <c r="H13680" s="42">
        <f t="shared" si="1"/>
        <v>3345</v>
      </c>
    </row>
    <row r="13681" ht="22.5" customHeight="1">
      <c r="B13681" s="42" t="str">
        <f>IFERROR(__xludf.DUMMYFUNCTION("""COMPUTED_VALUE"""),"")</f>
        <v/>
      </c>
      <c r="C13681" s="42" t="str">
        <f>IFERROR(__xludf.DUMMYFUNCTION("""COMPUTED_VALUE"""),"")</f>
        <v/>
      </c>
      <c r="D13681" s="42"/>
      <c r="E13681" s="42"/>
      <c r="F13681" s="48" t="str">
        <f>IFERROR(__xludf.DUMMYFUNCTION("""COMPUTED_VALUE"""),"")</f>
        <v/>
      </c>
      <c r="G13681" s="42" t="str">
        <f>IFERROR(__xludf.DUMMYFUNCTION("""COMPUTED_VALUE"""),"")</f>
        <v/>
      </c>
      <c r="H13681" s="42">
        <f t="shared" si="1"/>
        <v>3345</v>
      </c>
    </row>
    <row r="13682" ht="22.5" customHeight="1">
      <c r="B13682" s="42" t="str">
        <f>IFERROR(__xludf.DUMMYFUNCTION("""COMPUTED_VALUE"""),"")</f>
        <v/>
      </c>
      <c r="C13682" s="42" t="str">
        <f>IFERROR(__xludf.DUMMYFUNCTION("""COMPUTED_VALUE"""),"")</f>
        <v/>
      </c>
      <c r="D13682" s="42"/>
      <c r="E13682" s="42"/>
      <c r="F13682" s="48" t="str">
        <f>IFERROR(__xludf.DUMMYFUNCTION("""COMPUTED_VALUE"""),"")</f>
        <v/>
      </c>
      <c r="G13682" s="42" t="str">
        <f>IFERROR(__xludf.DUMMYFUNCTION("""COMPUTED_VALUE"""),"")</f>
        <v/>
      </c>
      <c r="H13682" s="42">
        <f t="shared" si="1"/>
        <v>3345</v>
      </c>
    </row>
    <row r="13683" ht="22.5" customHeight="1">
      <c r="B13683" s="42" t="str">
        <f>IFERROR(__xludf.DUMMYFUNCTION("""COMPUTED_VALUE"""),"")</f>
        <v/>
      </c>
      <c r="C13683" s="42" t="str">
        <f>IFERROR(__xludf.DUMMYFUNCTION("""COMPUTED_VALUE"""),"")</f>
        <v/>
      </c>
      <c r="D13683" s="42"/>
      <c r="E13683" s="42"/>
      <c r="F13683" s="48" t="str">
        <f>IFERROR(__xludf.DUMMYFUNCTION("""COMPUTED_VALUE"""),"")</f>
        <v/>
      </c>
      <c r="G13683" s="42" t="str">
        <f>IFERROR(__xludf.DUMMYFUNCTION("""COMPUTED_VALUE"""),"")</f>
        <v/>
      </c>
      <c r="H13683" s="42">
        <f t="shared" si="1"/>
        <v>3345</v>
      </c>
    </row>
    <row r="13684" ht="22.5" customHeight="1">
      <c r="B13684" s="42" t="str">
        <f>IFERROR(__xludf.DUMMYFUNCTION("""COMPUTED_VALUE"""),"")</f>
        <v/>
      </c>
      <c r="C13684" s="42" t="str">
        <f>IFERROR(__xludf.DUMMYFUNCTION("""COMPUTED_VALUE"""),"")</f>
        <v/>
      </c>
      <c r="D13684" s="42"/>
      <c r="E13684" s="42"/>
      <c r="F13684" s="48" t="str">
        <f>IFERROR(__xludf.DUMMYFUNCTION("""COMPUTED_VALUE"""),"")</f>
        <v/>
      </c>
      <c r="G13684" s="42" t="str">
        <f>IFERROR(__xludf.DUMMYFUNCTION("""COMPUTED_VALUE"""),"")</f>
        <v/>
      </c>
      <c r="H13684" s="42">
        <f t="shared" si="1"/>
        <v>3345</v>
      </c>
    </row>
    <row r="13685" ht="22.5" customHeight="1">
      <c r="B13685" s="42" t="str">
        <f>IFERROR(__xludf.DUMMYFUNCTION("""COMPUTED_VALUE"""),"")</f>
        <v/>
      </c>
      <c r="C13685" s="42" t="str">
        <f>IFERROR(__xludf.DUMMYFUNCTION("""COMPUTED_VALUE"""),"")</f>
        <v/>
      </c>
      <c r="D13685" s="42"/>
      <c r="E13685" s="42"/>
      <c r="F13685" s="48" t="str">
        <f>IFERROR(__xludf.DUMMYFUNCTION("""COMPUTED_VALUE"""),"")</f>
        <v/>
      </c>
      <c r="G13685" s="42" t="str">
        <f>IFERROR(__xludf.DUMMYFUNCTION("""COMPUTED_VALUE"""),"")</f>
        <v/>
      </c>
      <c r="H13685" s="42">
        <f t="shared" si="1"/>
        <v>3345</v>
      </c>
    </row>
    <row r="13686" ht="22.5" customHeight="1">
      <c r="B13686" s="42" t="str">
        <f>IFERROR(__xludf.DUMMYFUNCTION("""COMPUTED_VALUE"""),"")</f>
        <v/>
      </c>
      <c r="C13686" s="42" t="str">
        <f>IFERROR(__xludf.DUMMYFUNCTION("""COMPUTED_VALUE"""),"")</f>
        <v/>
      </c>
      <c r="D13686" s="42"/>
      <c r="E13686" s="42"/>
      <c r="F13686" s="48" t="str">
        <f>IFERROR(__xludf.DUMMYFUNCTION("""COMPUTED_VALUE"""),"")</f>
        <v/>
      </c>
      <c r="G13686" s="42" t="str">
        <f>IFERROR(__xludf.DUMMYFUNCTION("""COMPUTED_VALUE"""),"")</f>
        <v/>
      </c>
      <c r="H13686" s="42">
        <f t="shared" si="1"/>
        <v>3345</v>
      </c>
    </row>
    <row r="13687" ht="22.5" customHeight="1">
      <c r="B13687" s="42" t="str">
        <f>IFERROR(__xludf.DUMMYFUNCTION("""COMPUTED_VALUE"""),"")</f>
        <v/>
      </c>
      <c r="C13687" s="42" t="str">
        <f>IFERROR(__xludf.DUMMYFUNCTION("""COMPUTED_VALUE"""),"")</f>
        <v/>
      </c>
      <c r="D13687" s="42"/>
      <c r="E13687" s="42"/>
      <c r="F13687" s="48" t="str">
        <f>IFERROR(__xludf.DUMMYFUNCTION("""COMPUTED_VALUE"""),"")</f>
        <v/>
      </c>
      <c r="G13687" s="42" t="str">
        <f>IFERROR(__xludf.DUMMYFUNCTION("""COMPUTED_VALUE"""),"")</f>
        <v/>
      </c>
      <c r="H13687" s="42">
        <f t="shared" si="1"/>
        <v>3345</v>
      </c>
    </row>
    <row r="13688" ht="22.5" customHeight="1">
      <c r="B13688" s="42" t="str">
        <f>IFERROR(__xludf.DUMMYFUNCTION("""COMPUTED_VALUE"""),"")</f>
        <v/>
      </c>
      <c r="C13688" s="42" t="str">
        <f>IFERROR(__xludf.DUMMYFUNCTION("""COMPUTED_VALUE"""),"")</f>
        <v/>
      </c>
      <c r="D13688" s="42"/>
      <c r="E13688" s="42"/>
      <c r="F13688" s="48" t="str">
        <f>IFERROR(__xludf.DUMMYFUNCTION("""COMPUTED_VALUE"""),"")</f>
        <v/>
      </c>
      <c r="G13688" s="42" t="str">
        <f>IFERROR(__xludf.DUMMYFUNCTION("""COMPUTED_VALUE"""),"")</f>
        <v/>
      </c>
      <c r="H13688" s="42">
        <f t="shared" si="1"/>
        <v>3345</v>
      </c>
    </row>
    <row r="13689" ht="22.5" customHeight="1">
      <c r="B13689" s="42" t="str">
        <f>IFERROR(__xludf.DUMMYFUNCTION("""COMPUTED_VALUE"""),"")</f>
        <v/>
      </c>
      <c r="C13689" s="42" t="str">
        <f>IFERROR(__xludf.DUMMYFUNCTION("""COMPUTED_VALUE"""),"")</f>
        <v/>
      </c>
      <c r="D13689" s="42"/>
      <c r="E13689" s="42"/>
      <c r="F13689" s="48" t="str">
        <f>IFERROR(__xludf.DUMMYFUNCTION("""COMPUTED_VALUE"""),"")</f>
        <v/>
      </c>
      <c r="G13689" s="42" t="str">
        <f>IFERROR(__xludf.DUMMYFUNCTION("""COMPUTED_VALUE"""),"")</f>
        <v/>
      </c>
      <c r="H13689" s="42">
        <f t="shared" si="1"/>
        <v>3345</v>
      </c>
    </row>
    <row r="13690" ht="22.5" customHeight="1">
      <c r="B13690" s="42" t="str">
        <f>IFERROR(__xludf.DUMMYFUNCTION("""COMPUTED_VALUE"""),"")</f>
        <v/>
      </c>
      <c r="C13690" s="42" t="str">
        <f>IFERROR(__xludf.DUMMYFUNCTION("""COMPUTED_VALUE"""),"")</f>
        <v/>
      </c>
      <c r="D13690" s="42"/>
      <c r="E13690" s="42"/>
      <c r="F13690" s="48" t="str">
        <f>IFERROR(__xludf.DUMMYFUNCTION("""COMPUTED_VALUE"""),"")</f>
        <v/>
      </c>
      <c r="G13690" s="42" t="str">
        <f>IFERROR(__xludf.DUMMYFUNCTION("""COMPUTED_VALUE"""),"")</f>
        <v/>
      </c>
      <c r="H13690" s="42">
        <f t="shared" si="1"/>
        <v>3345</v>
      </c>
    </row>
    <row r="13691" ht="22.5" customHeight="1">
      <c r="B13691" s="42" t="str">
        <f>IFERROR(__xludf.DUMMYFUNCTION("""COMPUTED_VALUE"""),"")</f>
        <v/>
      </c>
      <c r="C13691" s="42" t="str">
        <f>IFERROR(__xludf.DUMMYFUNCTION("""COMPUTED_VALUE"""),"")</f>
        <v/>
      </c>
      <c r="D13691" s="42"/>
      <c r="E13691" s="42"/>
      <c r="F13691" s="48" t="str">
        <f>IFERROR(__xludf.DUMMYFUNCTION("""COMPUTED_VALUE"""),"")</f>
        <v/>
      </c>
      <c r="G13691" s="42" t="str">
        <f>IFERROR(__xludf.DUMMYFUNCTION("""COMPUTED_VALUE"""),"")</f>
        <v/>
      </c>
      <c r="H13691" s="42">
        <f t="shared" si="1"/>
        <v>3345</v>
      </c>
    </row>
    <row r="13692" ht="22.5" customHeight="1">
      <c r="B13692" s="42" t="str">
        <f>IFERROR(__xludf.DUMMYFUNCTION("""COMPUTED_VALUE"""),"")</f>
        <v/>
      </c>
      <c r="C13692" s="42" t="str">
        <f>IFERROR(__xludf.DUMMYFUNCTION("""COMPUTED_VALUE"""),"")</f>
        <v/>
      </c>
      <c r="D13692" s="42"/>
      <c r="E13692" s="42"/>
      <c r="F13692" s="48" t="str">
        <f>IFERROR(__xludf.DUMMYFUNCTION("""COMPUTED_VALUE"""),"")</f>
        <v/>
      </c>
      <c r="G13692" s="42" t="str">
        <f>IFERROR(__xludf.DUMMYFUNCTION("""COMPUTED_VALUE"""),"")</f>
        <v/>
      </c>
      <c r="H13692" s="42">
        <f t="shared" si="1"/>
        <v>3345</v>
      </c>
    </row>
    <row r="13693" ht="22.5" customHeight="1">
      <c r="B13693" s="42" t="str">
        <f>IFERROR(__xludf.DUMMYFUNCTION("""COMPUTED_VALUE"""),"")</f>
        <v/>
      </c>
      <c r="C13693" s="42" t="str">
        <f>IFERROR(__xludf.DUMMYFUNCTION("""COMPUTED_VALUE"""),"")</f>
        <v/>
      </c>
      <c r="D13693" s="42"/>
      <c r="E13693" s="42"/>
      <c r="F13693" s="48" t="str">
        <f>IFERROR(__xludf.DUMMYFUNCTION("""COMPUTED_VALUE"""),"")</f>
        <v/>
      </c>
      <c r="G13693" s="42" t="str">
        <f>IFERROR(__xludf.DUMMYFUNCTION("""COMPUTED_VALUE"""),"")</f>
        <v/>
      </c>
      <c r="H13693" s="42">
        <f t="shared" si="1"/>
        <v>3345</v>
      </c>
    </row>
    <row r="13694" ht="22.5" customHeight="1">
      <c r="B13694" s="42" t="str">
        <f>IFERROR(__xludf.DUMMYFUNCTION("""COMPUTED_VALUE"""),"")</f>
        <v/>
      </c>
      <c r="C13694" s="42" t="str">
        <f>IFERROR(__xludf.DUMMYFUNCTION("""COMPUTED_VALUE"""),"")</f>
        <v/>
      </c>
      <c r="D13694" s="42"/>
      <c r="E13694" s="42"/>
      <c r="F13694" s="48" t="str">
        <f>IFERROR(__xludf.DUMMYFUNCTION("""COMPUTED_VALUE"""),"")</f>
        <v/>
      </c>
      <c r="G13694" s="42" t="str">
        <f>IFERROR(__xludf.DUMMYFUNCTION("""COMPUTED_VALUE"""),"")</f>
        <v/>
      </c>
      <c r="H13694" s="42">
        <f t="shared" si="1"/>
        <v>3345</v>
      </c>
    </row>
    <row r="13695" ht="22.5" customHeight="1">
      <c r="B13695" s="42" t="str">
        <f>IFERROR(__xludf.DUMMYFUNCTION("""COMPUTED_VALUE"""),"")</f>
        <v/>
      </c>
      <c r="C13695" s="42" t="str">
        <f>IFERROR(__xludf.DUMMYFUNCTION("""COMPUTED_VALUE"""),"")</f>
        <v/>
      </c>
      <c r="D13695" s="42"/>
      <c r="E13695" s="42"/>
      <c r="F13695" s="48" t="str">
        <f>IFERROR(__xludf.DUMMYFUNCTION("""COMPUTED_VALUE"""),"")</f>
        <v/>
      </c>
      <c r="G13695" s="42" t="str">
        <f>IFERROR(__xludf.DUMMYFUNCTION("""COMPUTED_VALUE"""),"")</f>
        <v/>
      </c>
      <c r="H13695" s="42">
        <f t="shared" si="1"/>
        <v>3345</v>
      </c>
    </row>
    <row r="13696" ht="22.5" customHeight="1">
      <c r="B13696" s="42" t="str">
        <f>IFERROR(__xludf.DUMMYFUNCTION("""COMPUTED_VALUE"""),"")</f>
        <v/>
      </c>
      <c r="C13696" s="42" t="str">
        <f>IFERROR(__xludf.DUMMYFUNCTION("""COMPUTED_VALUE"""),"")</f>
        <v/>
      </c>
      <c r="D13696" s="42"/>
      <c r="E13696" s="42"/>
      <c r="F13696" s="48" t="str">
        <f>IFERROR(__xludf.DUMMYFUNCTION("""COMPUTED_VALUE"""),"")</f>
        <v/>
      </c>
      <c r="G13696" s="42" t="str">
        <f>IFERROR(__xludf.DUMMYFUNCTION("""COMPUTED_VALUE"""),"")</f>
        <v/>
      </c>
      <c r="H13696" s="42">
        <f t="shared" si="1"/>
        <v>3345</v>
      </c>
    </row>
    <row r="13697" ht="22.5" customHeight="1">
      <c r="B13697" s="42" t="str">
        <f>IFERROR(__xludf.DUMMYFUNCTION("""COMPUTED_VALUE"""),"")</f>
        <v/>
      </c>
      <c r="C13697" s="42" t="str">
        <f>IFERROR(__xludf.DUMMYFUNCTION("""COMPUTED_VALUE"""),"")</f>
        <v/>
      </c>
      <c r="D13697" s="42"/>
      <c r="E13697" s="42"/>
      <c r="F13697" s="48" t="str">
        <f>IFERROR(__xludf.DUMMYFUNCTION("""COMPUTED_VALUE"""),"")</f>
        <v/>
      </c>
      <c r="G13697" s="42" t="str">
        <f>IFERROR(__xludf.DUMMYFUNCTION("""COMPUTED_VALUE"""),"")</f>
        <v/>
      </c>
      <c r="H13697" s="42">
        <f t="shared" si="1"/>
        <v>3345</v>
      </c>
    </row>
    <row r="13698" ht="22.5" customHeight="1">
      <c r="B13698" s="42" t="str">
        <f>IFERROR(__xludf.DUMMYFUNCTION("""COMPUTED_VALUE"""),"")</f>
        <v/>
      </c>
      <c r="C13698" s="42" t="str">
        <f>IFERROR(__xludf.DUMMYFUNCTION("""COMPUTED_VALUE"""),"")</f>
        <v/>
      </c>
      <c r="D13698" s="42"/>
      <c r="E13698" s="42"/>
      <c r="F13698" s="48" t="str">
        <f>IFERROR(__xludf.DUMMYFUNCTION("""COMPUTED_VALUE"""),"")</f>
        <v/>
      </c>
      <c r="G13698" s="42" t="str">
        <f>IFERROR(__xludf.DUMMYFUNCTION("""COMPUTED_VALUE"""),"")</f>
        <v/>
      </c>
      <c r="H13698" s="42">
        <f t="shared" si="1"/>
        <v>3345</v>
      </c>
    </row>
    <row r="13699" ht="22.5" customHeight="1">
      <c r="B13699" s="42" t="str">
        <f>IFERROR(__xludf.DUMMYFUNCTION("""COMPUTED_VALUE"""),"")</f>
        <v/>
      </c>
      <c r="C13699" s="42" t="str">
        <f>IFERROR(__xludf.DUMMYFUNCTION("""COMPUTED_VALUE"""),"")</f>
        <v/>
      </c>
      <c r="D13699" s="42"/>
      <c r="E13699" s="42"/>
      <c r="F13699" s="48" t="str">
        <f>IFERROR(__xludf.DUMMYFUNCTION("""COMPUTED_VALUE"""),"")</f>
        <v/>
      </c>
      <c r="G13699" s="42" t="str">
        <f>IFERROR(__xludf.DUMMYFUNCTION("""COMPUTED_VALUE"""),"")</f>
        <v/>
      </c>
      <c r="H13699" s="42">
        <f t="shared" si="1"/>
        <v>3345</v>
      </c>
    </row>
    <row r="13700" ht="22.5" customHeight="1">
      <c r="B13700" s="42" t="str">
        <f>IFERROR(__xludf.DUMMYFUNCTION("""COMPUTED_VALUE"""),"")</f>
        <v/>
      </c>
      <c r="C13700" s="42" t="str">
        <f>IFERROR(__xludf.DUMMYFUNCTION("""COMPUTED_VALUE"""),"")</f>
        <v/>
      </c>
      <c r="D13700" s="42"/>
      <c r="E13700" s="42"/>
      <c r="F13700" s="48" t="str">
        <f>IFERROR(__xludf.DUMMYFUNCTION("""COMPUTED_VALUE"""),"")</f>
        <v/>
      </c>
      <c r="G13700" s="42" t="str">
        <f>IFERROR(__xludf.DUMMYFUNCTION("""COMPUTED_VALUE"""),"")</f>
        <v/>
      </c>
      <c r="H13700" s="42">
        <f t="shared" si="1"/>
        <v>3345</v>
      </c>
    </row>
    <row r="13701" ht="22.5" customHeight="1">
      <c r="B13701" s="42" t="str">
        <f>IFERROR(__xludf.DUMMYFUNCTION("""COMPUTED_VALUE"""),"")</f>
        <v/>
      </c>
      <c r="C13701" s="42" t="str">
        <f>IFERROR(__xludf.DUMMYFUNCTION("""COMPUTED_VALUE"""),"")</f>
        <v/>
      </c>
      <c r="D13701" s="42"/>
      <c r="E13701" s="42"/>
      <c r="F13701" s="48" t="str">
        <f>IFERROR(__xludf.DUMMYFUNCTION("""COMPUTED_VALUE"""),"")</f>
        <v/>
      </c>
      <c r="G13701" s="42" t="str">
        <f>IFERROR(__xludf.DUMMYFUNCTION("""COMPUTED_VALUE"""),"")</f>
        <v/>
      </c>
      <c r="H13701" s="42">
        <f t="shared" si="1"/>
        <v>3345</v>
      </c>
    </row>
    <row r="13702" ht="22.5" customHeight="1">
      <c r="B13702" s="42" t="str">
        <f>IFERROR(__xludf.DUMMYFUNCTION("""COMPUTED_VALUE"""),"")</f>
        <v/>
      </c>
      <c r="C13702" s="42" t="str">
        <f>IFERROR(__xludf.DUMMYFUNCTION("""COMPUTED_VALUE"""),"")</f>
        <v/>
      </c>
      <c r="D13702" s="42"/>
      <c r="E13702" s="42"/>
      <c r="F13702" s="48" t="str">
        <f>IFERROR(__xludf.DUMMYFUNCTION("""COMPUTED_VALUE"""),"")</f>
        <v/>
      </c>
      <c r="G13702" s="42" t="str">
        <f>IFERROR(__xludf.DUMMYFUNCTION("""COMPUTED_VALUE"""),"")</f>
        <v/>
      </c>
      <c r="H13702" s="42">
        <f t="shared" si="1"/>
        <v>3345</v>
      </c>
    </row>
    <row r="13703" ht="22.5" customHeight="1">
      <c r="B13703" s="42" t="str">
        <f>IFERROR(__xludf.DUMMYFUNCTION("""COMPUTED_VALUE"""),"")</f>
        <v/>
      </c>
      <c r="C13703" s="42" t="str">
        <f>IFERROR(__xludf.DUMMYFUNCTION("""COMPUTED_VALUE"""),"")</f>
        <v/>
      </c>
      <c r="D13703" s="42"/>
      <c r="E13703" s="42"/>
      <c r="F13703" s="48" t="str">
        <f>IFERROR(__xludf.DUMMYFUNCTION("""COMPUTED_VALUE"""),"")</f>
        <v/>
      </c>
      <c r="G13703" s="42" t="str">
        <f>IFERROR(__xludf.DUMMYFUNCTION("""COMPUTED_VALUE"""),"")</f>
        <v/>
      </c>
      <c r="H13703" s="42">
        <f t="shared" si="1"/>
        <v>3345</v>
      </c>
    </row>
    <row r="13704" ht="22.5" customHeight="1">
      <c r="B13704" s="42" t="str">
        <f>IFERROR(__xludf.DUMMYFUNCTION("""COMPUTED_VALUE"""),"")</f>
        <v/>
      </c>
      <c r="C13704" s="42" t="str">
        <f>IFERROR(__xludf.DUMMYFUNCTION("""COMPUTED_VALUE"""),"")</f>
        <v/>
      </c>
      <c r="D13704" s="42"/>
      <c r="E13704" s="42"/>
      <c r="F13704" s="48" t="str">
        <f>IFERROR(__xludf.DUMMYFUNCTION("""COMPUTED_VALUE"""),"")</f>
        <v/>
      </c>
      <c r="G13704" s="42" t="str">
        <f>IFERROR(__xludf.DUMMYFUNCTION("""COMPUTED_VALUE"""),"")</f>
        <v/>
      </c>
      <c r="H13704" s="42">
        <f t="shared" si="1"/>
        <v>3345</v>
      </c>
    </row>
    <row r="13705" ht="22.5" customHeight="1">
      <c r="B13705" s="42" t="str">
        <f>IFERROR(__xludf.DUMMYFUNCTION("""COMPUTED_VALUE"""),"")</f>
        <v/>
      </c>
      <c r="C13705" s="42" t="str">
        <f>IFERROR(__xludf.DUMMYFUNCTION("""COMPUTED_VALUE"""),"")</f>
        <v/>
      </c>
      <c r="D13705" s="42"/>
      <c r="E13705" s="42"/>
      <c r="F13705" s="48" t="str">
        <f>IFERROR(__xludf.DUMMYFUNCTION("""COMPUTED_VALUE"""),"")</f>
        <v/>
      </c>
      <c r="G13705" s="42" t="str">
        <f>IFERROR(__xludf.DUMMYFUNCTION("""COMPUTED_VALUE"""),"")</f>
        <v/>
      </c>
      <c r="H13705" s="42">
        <f t="shared" si="1"/>
        <v>3345</v>
      </c>
    </row>
    <row r="13706" ht="22.5" customHeight="1">
      <c r="B13706" s="42" t="str">
        <f>IFERROR(__xludf.DUMMYFUNCTION("""COMPUTED_VALUE"""),"")</f>
        <v/>
      </c>
      <c r="C13706" s="42" t="str">
        <f>IFERROR(__xludf.DUMMYFUNCTION("""COMPUTED_VALUE"""),"")</f>
        <v/>
      </c>
      <c r="D13706" s="42"/>
      <c r="E13706" s="42"/>
      <c r="F13706" s="48" t="str">
        <f>IFERROR(__xludf.DUMMYFUNCTION("""COMPUTED_VALUE"""),"")</f>
        <v/>
      </c>
      <c r="G13706" s="42" t="str">
        <f>IFERROR(__xludf.DUMMYFUNCTION("""COMPUTED_VALUE"""),"")</f>
        <v/>
      </c>
      <c r="H13706" s="42">
        <f t="shared" si="1"/>
        <v>3345</v>
      </c>
    </row>
    <row r="13707" ht="22.5" customHeight="1">
      <c r="B13707" s="42" t="str">
        <f>IFERROR(__xludf.DUMMYFUNCTION("""COMPUTED_VALUE"""),"")</f>
        <v/>
      </c>
      <c r="C13707" s="42" t="str">
        <f>IFERROR(__xludf.DUMMYFUNCTION("""COMPUTED_VALUE"""),"")</f>
        <v/>
      </c>
      <c r="D13707" s="42"/>
      <c r="E13707" s="42"/>
      <c r="F13707" s="48" t="str">
        <f>IFERROR(__xludf.DUMMYFUNCTION("""COMPUTED_VALUE"""),"")</f>
        <v/>
      </c>
      <c r="G13707" s="42" t="str">
        <f>IFERROR(__xludf.DUMMYFUNCTION("""COMPUTED_VALUE"""),"")</f>
        <v/>
      </c>
      <c r="H13707" s="42">
        <f t="shared" si="1"/>
        <v>3345</v>
      </c>
    </row>
    <row r="13708" ht="22.5" customHeight="1">
      <c r="B13708" s="42" t="str">
        <f>IFERROR(__xludf.DUMMYFUNCTION("""COMPUTED_VALUE"""),"")</f>
        <v/>
      </c>
      <c r="C13708" s="42" t="str">
        <f>IFERROR(__xludf.DUMMYFUNCTION("""COMPUTED_VALUE"""),"")</f>
        <v/>
      </c>
      <c r="D13708" s="42"/>
      <c r="E13708" s="42"/>
      <c r="F13708" s="48" t="str">
        <f>IFERROR(__xludf.DUMMYFUNCTION("""COMPUTED_VALUE"""),"")</f>
        <v/>
      </c>
      <c r="G13708" s="42" t="str">
        <f>IFERROR(__xludf.DUMMYFUNCTION("""COMPUTED_VALUE"""),"")</f>
        <v/>
      </c>
      <c r="H13708" s="42">
        <f t="shared" si="1"/>
        <v>3345</v>
      </c>
    </row>
    <row r="13709" ht="22.5" customHeight="1">
      <c r="B13709" s="42" t="str">
        <f>IFERROR(__xludf.DUMMYFUNCTION("""COMPUTED_VALUE"""),"")</f>
        <v/>
      </c>
      <c r="C13709" s="42" t="str">
        <f>IFERROR(__xludf.DUMMYFUNCTION("""COMPUTED_VALUE"""),"")</f>
        <v/>
      </c>
      <c r="D13709" s="42"/>
      <c r="E13709" s="42"/>
      <c r="F13709" s="48" t="str">
        <f>IFERROR(__xludf.DUMMYFUNCTION("""COMPUTED_VALUE"""),"")</f>
        <v/>
      </c>
      <c r="G13709" s="42" t="str">
        <f>IFERROR(__xludf.DUMMYFUNCTION("""COMPUTED_VALUE"""),"")</f>
        <v/>
      </c>
      <c r="H13709" s="42">
        <f t="shared" si="1"/>
        <v>3345</v>
      </c>
    </row>
    <row r="13710" ht="22.5" customHeight="1">
      <c r="B13710" s="42" t="str">
        <f>IFERROR(__xludf.DUMMYFUNCTION("""COMPUTED_VALUE"""),"")</f>
        <v/>
      </c>
      <c r="C13710" s="42" t="str">
        <f>IFERROR(__xludf.DUMMYFUNCTION("""COMPUTED_VALUE"""),"")</f>
        <v/>
      </c>
      <c r="D13710" s="42"/>
      <c r="E13710" s="42"/>
      <c r="F13710" s="48" t="str">
        <f>IFERROR(__xludf.DUMMYFUNCTION("""COMPUTED_VALUE"""),"")</f>
        <v/>
      </c>
      <c r="G13710" s="42" t="str">
        <f>IFERROR(__xludf.DUMMYFUNCTION("""COMPUTED_VALUE"""),"")</f>
        <v/>
      </c>
      <c r="H13710" s="42">
        <f t="shared" si="1"/>
        <v>3345</v>
      </c>
    </row>
    <row r="13711" ht="22.5" customHeight="1">
      <c r="B13711" s="42" t="str">
        <f>IFERROR(__xludf.DUMMYFUNCTION("""COMPUTED_VALUE"""),"")</f>
        <v/>
      </c>
      <c r="C13711" s="42" t="str">
        <f>IFERROR(__xludf.DUMMYFUNCTION("""COMPUTED_VALUE"""),"")</f>
        <v/>
      </c>
      <c r="D13711" s="42"/>
      <c r="E13711" s="42"/>
      <c r="F13711" s="48" t="str">
        <f>IFERROR(__xludf.DUMMYFUNCTION("""COMPUTED_VALUE"""),"")</f>
        <v/>
      </c>
      <c r="G13711" s="42" t="str">
        <f>IFERROR(__xludf.DUMMYFUNCTION("""COMPUTED_VALUE"""),"")</f>
        <v/>
      </c>
      <c r="H13711" s="42">
        <f t="shared" si="1"/>
        <v>3345</v>
      </c>
    </row>
    <row r="13712" ht="22.5" customHeight="1">
      <c r="B13712" s="42" t="str">
        <f>IFERROR(__xludf.DUMMYFUNCTION("""COMPUTED_VALUE"""),"")</f>
        <v/>
      </c>
      <c r="C13712" s="42" t="str">
        <f>IFERROR(__xludf.DUMMYFUNCTION("""COMPUTED_VALUE"""),"")</f>
        <v/>
      </c>
      <c r="D13712" s="42"/>
      <c r="E13712" s="42"/>
      <c r="F13712" s="48" t="str">
        <f>IFERROR(__xludf.DUMMYFUNCTION("""COMPUTED_VALUE"""),"")</f>
        <v/>
      </c>
      <c r="G13712" s="42" t="str">
        <f>IFERROR(__xludf.DUMMYFUNCTION("""COMPUTED_VALUE"""),"")</f>
        <v/>
      </c>
      <c r="H13712" s="42">
        <f t="shared" si="1"/>
        <v>3345</v>
      </c>
    </row>
    <row r="13713" ht="22.5" customHeight="1">
      <c r="B13713" s="42" t="str">
        <f>IFERROR(__xludf.DUMMYFUNCTION("""COMPUTED_VALUE"""),"")</f>
        <v/>
      </c>
      <c r="C13713" s="42" t="str">
        <f>IFERROR(__xludf.DUMMYFUNCTION("""COMPUTED_VALUE"""),"")</f>
        <v/>
      </c>
      <c r="D13713" s="42"/>
      <c r="E13713" s="42"/>
      <c r="F13713" s="48" t="str">
        <f>IFERROR(__xludf.DUMMYFUNCTION("""COMPUTED_VALUE"""),"")</f>
        <v/>
      </c>
      <c r="G13713" s="42" t="str">
        <f>IFERROR(__xludf.DUMMYFUNCTION("""COMPUTED_VALUE"""),"")</f>
        <v/>
      </c>
      <c r="H13713" s="42">
        <f t="shared" si="1"/>
        <v>3345</v>
      </c>
    </row>
    <row r="13714" ht="22.5" customHeight="1">
      <c r="B13714" s="42" t="str">
        <f>IFERROR(__xludf.DUMMYFUNCTION("""COMPUTED_VALUE"""),"")</f>
        <v/>
      </c>
      <c r="C13714" s="42" t="str">
        <f>IFERROR(__xludf.DUMMYFUNCTION("""COMPUTED_VALUE"""),"")</f>
        <v/>
      </c>
      <c r="D13714" s="42"/>
      <c r="E13714" s="42"/>
      <c r="F13714" s="48" t="str">
        <f>IFERROR(__xludf.DUMMYFUNCTION("""COMPUTED_VALUE"""),"")</f>
        <v/>
      </c>
      <c r="G13714" s="42" t="str">
        <f>IFERROR(__xludf.DUMMYFUNCTION("""COMPUTED_VALUE"""),"")</f>
        <v/>
      </c>
      <c r="H13714" s="42">
        <f t="shared" si="1"/>
        <v>3345</v>
      </c>
    </row>
    <row r="13715" ht="22.5" customHeight="1">
      <c r="B13715" s="42" t="str">
        <f>IFERROR(__xludf.DUMMYFUNCTION("""COMPUTED_VALUE"""),"")</f>
        <v/>
      </c>
      <c r="C13715" s="42" t="str">
        <f>IFERROR(__xludf.DUMMYFUNCTION("""COMPUTED_VALUE"""),"")</f>
        <v/>
      </c>
      <c r="D13715" s="42"/>
      <c r="E13715" s="42"/>
      <c r="F13715" s="48" t="str">
        <f>IFERROR(__xludf.DUMMYFUNCTION("""COMPUTED_VALUE"""),"")</f>
        <v/>
      </c>
      <c r="G13715" s="42" t="str">
        <f>IFERROR(__xludf.DUMMYFUNCTION("""COMPUTED_VALUE"""),"")</f>
        <v/>
      </c>
      <c r="H13715" s="42">
        <f t="shared" si="1"/>
        <v>3345</v>
      </c>
    </row>
    <row r="13716" ht="22.5" customHeight="1">
      <c r="B13716" s="42" t="str">
        <f>IFERROR(__xludf.DUMMYFUNCTION("""COMPUTED_VALUE"""),"")</f>
        <v/>
      </c>
      <c r="C13716" s="42" t="str">
        <f>IFERROR(__xludf.DUMMYFUNCTION("""COMPUTED_VALUE"""),"")</f>
        <v/>
      </c>
      <c r="D13716" s="42"/>
      <c r="E13716" s="42"/>
      <c r="F13716" s="48" t="str">
        <f>IFERROR(__xludf.DUMMYFUNCTION("""COMPUTED_VALUE"""),"")</f>
        <v/>
      </c>
      <c r="G13716" s="42" t="str">
        <f>IFERROR(__xludf.DUMMYFUNCTION("""COMPUTED_VALUE"""),"")</f>
        <v/>
      </c>
      <c r="H13716" s="42">
        <f t="shared" si="1"/>
        <v>3345</v>
      </c>
    </row>
    <row r="13717" ht="22.5" customHeight="1">
      <c r="B13717" s="42" t="str">
        <f>IFERROR(__xludf.DUMMYFUNCTION("""COMPUTED_VALUE"""),"")</f>
        <v/>
      </c>
      <c r="C13717" s="42" t="str">
        <f>IFERROR(__xludf.DUMMYFUNCTION("""COMPUTED_VALUE"""),"")</f>
        <v/>
      </c>
      <c r="D13717" s="42"/>
      <c r="E13717" s="42"/>
      <c r="F13717" s="48" t="str">
        <f>IFERROR(__xludf.DUMMYFUNCTION("""COMPUTED_VALUE"""),"")</f>
        <v/>
      </c>
      <c r="G13717" s="42" t="str">
        <f>IFERROR(__xludf.DUMMYFUNCTION("""COMPUTED_VALUE"""),"")</f>
        <v/>
      </c>
      <c r="H13717" s="42">
        <f t="shared" si="1"/>
        <v>3345</v>
      </c>
    </row>
    <row r="13718" ht="22.5" customHeight="1">
      <c r="B13718" s="42" t="str">
        <f>IFERROR(__xludf.DUMMYFUNCTION("""COMPUTED_VALUE"""),"")</f>
        <v/>
      </c>
      <c r="C13718" s="42" t="str">
        <f>IFERROR(__xludf.DUMMYFUNCTION("""COMPUTED_VALUE"""),"")</f>
        <v/>
      </c>
      <c r="D13718" s="42"/>
      <c r="E13718" s="42"/>
      <c r="F13718" s="48" t="str">
        <f>IFERROR(__xludf.DUMMYFUNCTION("""COMPUTED_VALUE"""),"")</f>
        <v/>
      </c>
      <c r="G13718" s="42" t="str">
        <f>IFERROR(__xludf.DUMMYFUNCTION("""COMPUTED_VALUE"""),"")</f>
        <v/>
      </c>
      <c r="H13718" s="42">
        <f t="shared" si="1"/>
        <v>3345</v>
      </c>
    </row>
    <row r="13719" ht="22.5" customHeight="1">
      <c r="B13719" s="42" t="str">
        <f>IFERROR(__xludf.DUMMYFUNCTION("""COMPUTED_VALUE"""),"")</f>
        <v/>
      </c>
      <c r="C13719" s="42" t="str">
        <f>IFERROR(__xludf.DUMMYFUNCTION("""COMPUTED_VALUE"""),"")</f>
        <v/>
      </c>
      <c r="D13719" s="42"/>
      <c r="E13719" s="42"/>
      <c r="F13719" s="48" t="str">
        <f>IFERROR(__xludf.DUMMYFUNCTION("""COMPUTED_VALUE"""),"")</f>
        <v/>
      </c>
      <c r="G13719" s="42" t="str">
        <f>IFERROR(__xludf.DUMMYFUNCTION("""COMPUTED_VALUE"""),"")</f>
        <v/>
      </c>
      <c r="H13719" s="42">
        <f t="shared" si="1"/>
        <v>3345</v>
      </c>
    </row>
    <row r="13720" ht="22.5" customHeight="1">
      <c r="B13720" s="42" t="str">
        <f>IFERROR(__xludf.DUMMYFUNCTION("""COMPUTED_VALUE"""),"")</f>
        <v/>
      </c>
      <c r="C13720" s="42" t="str">
        <f>IFERROR(__xludf.DUMMYFUNCTION("""COMPUTED_VALUE"""),"")</f>
        <v/>
      </c>
      <c r="D13720" s="42"/>
      <c r="E13720" s="42"/>
      <c r="F13720" s="48" t="str">
        <f>IFERROR(__xludf.DUMMYFUNCTION("""COMPUTED_VALUE"""),"")</f>
        <v/>
      </c>
      <c r="G13720" s="42" t="str">
        <f>IFERROR(__xludf.DUMMYFUNCTION("""COMPUTED_VALUE"""),"")</f>
        <v/>
      </c>
      <c r="H13720" s="42">
        <f t="shared" si="1"/>
        <v>3345</v>
      </c>
    </row>
    <row r="13721" ht="22.5" customHeight="1">
      <c r="B13721" s="42" t="str">
        <f>IFERROR(__xludf.DUMMYFUNCTION("""COMPUTED_VALUE"""),"")</f>
        <v/>
      </c>
      <c r="C13721" s="42" t="str">
        <f>IFERROR(__xludf.DUMMYFUNCTION("""COMPUTED_VALUE"""),"")</f>
        <v/>
      </c>
      <c r="D13721" s="42"/>
      <c r="E13721" s="42"/>
      <c r="F13721" s="48" t="str">
        <f>IFERROR(__xludf.DUMMYFUNCTION("""COMPUTED_VALUE"""),"")</f>
        <v/>
      </c>
      <c r="G13721" s="42" t="str">
        <f>IFERROR(__xludf.DUMMYFUNCTION("""COMPUTED_VALUE"""),"")</f>
        <v/>
      </c>
      <c r="H13721" s="42">
        <f t="shared" si="1"/>
        <v>3345</v>
      </c>
    </row>
    <row r="13722" ht="22.5" customHeight="1">
      <c r="B13722" s="42" t="str">
        <f>IFERROR(__xludf.DUMMYFUNCTION("""COMPUTED_VALUE"""),"")</f>
        <v/>
      </c>
      <c r="C13722" s="42" t="str">
        <f>IFERROR(__xludf.DUMMYFUNCTION("""COMPUTED_VALUE"""),"")</f>
        <v/>
      </c>
      <c r="D13722" s="42"/>
      <c r="E13722" s="42"/>
      <c r="F13722" s="48" t="str">
        <f>IFERROR(__xludf.DUMMYFUNCTION("""COMPUTED_VALUE"""),"")</f>
        <v/>
      </c>
      <c r="G13722" s="42" t="str">
        <f>IFERROR(__xludf.DUMMYFUNCTION("""COMPUTED_VALUE"""),"")</f>
        <v/>
      </c>
      <c r="H13722" s="42">
        <f t="shared" si="1"/>
        <v>3345</v>
      </c>
    </row>
    <row r="13723" ht="22.5" customHeight="1">
      <c r="B13723" s="42" t="str">
        <f>IFERROR(__xludf.DUMMYFUNCTION("""COMPUTED_VALUE"""),"")</f>
        <v/>
      </c>
      <c r="C13723" s="42" t="str">
        <f>IFERROR(__xludf.DUMMYFUNCTION("""COMPUTED_VALUE"""),"")</f>
        <v/>
      </c>
      <c r="D13723" s="42"/>
      <c r="E13723" s="42"/>
      <c r="F13723" s="48" t="str">
        <f>IFERROR(__xludf.DUMMYFUNCTION("""COMPUTED_VALUE"""),"")</f>
        <v/>
      </c>
      <c r="G13723" s="42" t="str">
        <f>IFERROR(__xludf.DUMMYFUNCTION("""COMPUTED_VALUE"""),"")</f>
        <v/>
      </c>
      <c r="H13723" s="42">
        <f t="shared" si="1"/>
        <v>3345</v>
      </c>
    </row>
    <row r="13724" ht="22.5" customHeight="1">
      <c r="B13724" s="42" t="str">
        <f>IFERROR(__xludf.DUMMYFUNCTION("""COMPUTED_VALUE"""),"")</f>
        <v/>
      </c>
      <c r="C13724" s="42" t="str">
        <f>IFERROR(__xludf.DUMMYFUNCTION("""COMPUTED_VALUE"""),"")</f>
        <v/>
      </c>
      <c r="D13724" s="42"/>
      <c r="E13724" s="42"/>
      <c r="F13724" s="48" t="str">
        <f>IFERROR(__xludf.DUMMYFUNCTION("""COMPUTED_VALUE"""),"")</f>
        <v/>
      </c>
      <c r="G13724" s="42" t="str">
        <f>IFERROR(__xludf.DUMMYFUNCTION("""COMPUTED_VALUE"""),"")</f>
        <v/>
      </c>
      <c r="H13724" s="42">
        <f t="shared" si="1"/>
        <v>3345</v>
      </c>
    </row>
    <row r="13725" ht="22.5" customHeight="1">
      <c r="B13725" s="42" t="str">
        <f>IFERROR(__xludf.DUMMYFUNCTION("""COMPUTED_VALUE"""),"")</f>
        <v/>
      </c>
      <c r="C13725" s="42" t="str">
        <f>IFERROR(__xludf.DUMMYFUNCTION("""COMPUTED_VALUE"""),"")</f>
        <v/>
      </c>
      <c r="D13725" s="42"/>
      <c r="E13725" s="42"/>
      <c r="F13725" s="48" t="str">
        <f>IFERROR(__xludf.DUMMYFUNCTION("""COMPUTED_VALUE"""),"")</f>
        <v/>
      </c>
      <c r="G13725" s="42" t="str">
        <f>IFERROR(__xludf.DUMMYFUNCTION("""COMPUTED_VALUE"""),"")</f>
        <v/>
      </c>
      <c r="H13725" s="42">
        <f t="shared" si="1"/>
        <v>3345</v>
      </c>
    </row>
    <row r="13726" ht="22.5" customHeight="1">
      <c r="B13726" s="42" t="str">
        <f>IFERROR(__xludf.DUMMYFUNCTION("""COMPUTED_VALUE"""),"")</f>
        <v/>
      </c>
      <c r="C13726" s="42" t="str">
        <f>IFERROR(__xludf.DUMMYFUNCTION("""COMPUTED_VALUE"""),"")</f>
        <v/>
      </c>
      <c r="D13726" s="42"/>
      <c r="E13726" s="42"/>
      <c r="F13726" s="48" t="str">
        <f>IFERROR(__xludf.DUMMYFUNCTION("""COMPUTED_VALUE"""),"")</f>
        <v/>
      </c>
      <c r="G13726" s="42" t="str">
        <f>IFERROR(__xludf.DUMMYFUNCTION("""COMPUTED_VALUE"""),"")</f>
        <v/>
      </c>
      <c r="H13726" s="42">
        <f t="shared" si="1"/>
        <v>3345</v>
      </c>
    </row>
    <row r="13727" ht="22.5" customHeight="1">
      <c r="B13727" s="42" t="str">
        <f>IFERROR(__xludf.DUMMYFUNCTION("""COMPUTED_VALUE"""),"")</f>
        <v/>
      </c>
      <c r="C13727" s="42" t="str">
        <f>IFERROR(__xludf.DUMMYFUNCTION("""COMPUTED_VALUE"""),"")</f>
        <v/>
      </c>
      <c r="D13727" s="42"/>
      <c r="E13727" s="42"/>
      <c r="F13727" s="48" t="str">
        <f>IFERROR(__xludf.DUMMYFUNCTION("""COMPUTED_VALUE"""),"")</f>
        <v/>
      </c>
      <c r="G13727" s="42" t="str">
        <f>IFERROR(__xludf.DUMMYFUNCTION("""COMPUTED_VALUE"""),"")</f>
        <v/>
      </c>
      <c r="H13727" s="42">
        <f t="shared" si="1"/>
        <v>3345</v>
      </c>
    </row>
    <row r="13728" ht="22.5" customHeight="1">
      <c r="B13728" s="42" t="str">
        <f>IFERROR(__xludf.DUMMYFUNCTION("""COMPUTED_VALUE"""),"")</f>
        <v/>
      </c>
      <c r="C13728" s="42" t="str">
        <f>IFERROR(__xludf.DUMMYFUNCTION("""COMPUTED_VALUE"""),"")</f>
        <v/>
      </c>
      <c r="D13728" s="42"/>
      <c r="E13728" s="42"/>
      <c r="F13728" s="48" t="str">
        <f>IFERROR(__xludf.DUMMYFUNCTION("""COMPUTED_VALUE"""),"")</f>
        <v/>
      </c>
      <c r="G13728" s="42" t="str">
        <f>IFERROR(__xludf.DUMMYFUNCTION("""COMPUTED_VALUE"""),"")</f>
        <v/>
      </c>
      <c r="H13728" s="42">
        <f t="shared" si="1"/>
        <v>3345</v>
      </c>
    </row>
    <row r="13729" ht="22.5" customHeight="1">
      <c r="B13729" s="42" t="str">
        <f>IFERROR(__xludf.DUMMYFUNCTION("""COMPUTED_VALUE"""),"")</f>
        <v/>
      </c>
      <c r="C13729" s="42" t="str">
        <f>IFERROR(__xludf.DUMMYFUNCTION("""COMPUTED_VALUE"""),"")</f>
        <v/>
      </c>
      <c r="D13729" s="42"/>
      <c r="E13729" s="42"/>
      <c r="F13729" s="48" t="str">
        <f>IFERROR(__xludf.DUMMYFUNCTION("""COMPUTED_VALUE"""),"")</f>
        <v/>
      </c>
      <c r="G13729" s="42" t="str">
        <f>IFERROR(__xludf.DUMMYFUNCTION("""COMPUTED_VALUE"""),"")</f>
        <v/>
      </c>
      <c r="H13729" s="42">
        <f t="shared" si="1"/>
        <v>3345</v>
      </c>
    </row>
    <row r="13730" ht="22.5" customHeight="1">
      <c r="B13730" s="42" t="str">
        <f>IFERROR(__xludf.DUMMYFUNCTION("""COMPUTED_VALUE"""),"")</f>
        <v/>
      </c>
      <c r="C13730" s="42" t="str">
        <f>IFERROR(__xludf.DUMMYFUNCTION("""COMPUTED_VALUE"""),"")</f>
        <v/>
      </c>
      <c r="D13730" s="42"/>
      <c r="E13730" s="42"/>
      <c r="F13730" s="48" t="str">
        <f>IFERROR(__xludf.DUMMYFUNCTION("""COMPUTED_VALUE"""),"")</f>
        <v/>
      </c>
      <c r="G13730" s="42" t="str">
        <f>IFERROR(__xludf.DUMMYFUNCTION("""COMPUTED_VALUE"""),"")</f>
        <v/>
      </c>
      <c r="H13730" s="42">
        <f t="shared" si="1"/>
        <v>3345</v>
      </c>
    </row>
    <row r="13731" ht="22.5" customHeight="1">
      <c r="B13731" s="42" t="str">
        <f>IFERROR(__xludf.DUMMYFUNCTION("""COMPUTED_VALUE"""),"")</f>
        <v/>
      </c>
      <c r="C13731" s="42" t="str">
        <f>IFERROR(__xludf.DUMMYFUNCTION("""COMPUTED_VALUE"""),"")</f>
        <v/>
      </c>
      <c r="D13731" s="42"/>
      <c r="E13731" s="42"/>
      <c r="F13731" s="48" t="str">
        <f>IFERROR(__xludf.DUMMYFUNCTION("""COMPUTED_VALUE"""),"")</f>
        <v/>
      </c>
      <c r="G13731" s="42" t="str">
        <f>IFERROR(__xludf.DUMMYFUNCTION("""COMPUTED_VALUE"""),"")</f>
        <v/>
      </c>
      <c r="H13731" s="42">
        <f t="shared" si="1"/>
        <v>3345</v>
      </c>
    </row>
    <row r="13732" ht="22.5" customHeight="1">
      <c r="B13732" s="42" t="str">
        <f>IFERROR(__xludf.DUMMYFUNCTION("""COMPUTED_VALUE"""),"")</f>
        <v/>
      </c>
      <c r="C13732" s="42" t="str">
        <f>IFERROR(__xludf.DUMMYFUNCTION("""COMPUTED_VALUE"""),"")</f>
        <v/>
      </c>
      <c r="D13732" s="42"/>
      <c r="E13732" s="42"/>
      <c r="F13732" s="48" t="str">
        <f>IFERROR(__xludf.DUMMYFUNCTION("""COMPUTED_VALUE"""),"")</f>
        <v/>
      </c>
      <c r="G13732" s="42" t="str">
        <f>IFERROR(__xludf.DUMMYFUNCTION("""COMPUTED_VALUE"""),"")</f>
        <v/>
      </c>
      <c r="H13732" s="42">
        <f t="shared" si="1"/>
        <v>3345</v>
      </c>
    </row>
    <row r="13733" ht="22.5" customHeight="1">
      <c r="B13733" s="42" t="str">
        <f>IFERROR(__xludf.DUMMYFUNCTION("""COMPUTED_VALUE"""),"")</f>
        <v/>
      </c>
      <c r="C13733" s="42" t="str">
        <f>IFERROR(__xludf.DUMMYFUNCTION("""COMPUTED_VALUE"""),"")</f>
        <v/>
      </c>
      <c r="D13733" s="42"/>
      <c r="E13733" s="42"/>
      <c r="F13733" s="48" t="str">
        <f>IFERROR(__xludf.DUMMYFUNCTION("""COMPUTED_VALUE"""),"")</f>
        <v/>
      </c>
      <c r="G13733" s="42" t="str">
        <f>IFERROR(__xludf.DUMMYFUNCTION("""COMPUTED_VALUE"""),"")</f>
        <v/>
      </c>
      <c r="H13733" s="42">
        <f t="shared" si="1"/>
        <v>3345</v>
      </c>
    </row>
    <row r="13734" ht="22.5" customHeight="1">
      <c r="B13734" s="42" t="str">
        <f>IFERROR(__xludf.DUMMYFUNCTION("""COMPUTED_VALUE"""),"")</f>
        <v/>
      </c>
      <c r="C13734" s="42" t="str">
        <f>IFERROR(__xludf.DUMMYFUNCTION("""COMPUTED_VALUE"""),"")</f>
        <v/>
      </c>
      <c r="D13734" s="42"/>
      <c r="E13734" s="42"/>
      <c r="F13734" s="48" t="str">
        <f>IFERROR(__xludf.DUMMYFUNCTION("""COMPUTED_VALUE"""),"")</f>
        <v/>
      </c>
      <c r="G13734" s="42" t="str">
        <f>IFERROR(__xludf.DUMMYFUNCTION("""COMPUTED_VALUE"""),"")</f>
        <v/>
      </c>
      <c r="H13734" s="42">
        <f t="shared" si="1"/>
        <v>3345</v>
      </c>
    </row>
    <row r="13735" ht="22.5" customHeight="1">
      <c r="B13735" s="42" t="str">
        <f>IFERROR(__xludf.DUMMYFUNCTION("""COMPUTED_VALUE"""),"")</f>
        <v/>
      </c>
      <c r="C13735" s="42" t="str">
        <f>IFERROR(__xludf.DUMMYFUNCTION("""COMPUTED_VALUE"""),"")</f>
        <v/>
      </c>
      <c r="D13735" s="42"/>
      <c r="E13735" s="42"/>
      <c r="F13735" s="48" t="str">
        <f>IFERROR(__xludf.DUMMYFUNCTION("""COMPUTED_VALUE"""),"")</f>
        <v/>
      </c>
      <c r="G13735" s="42" t="str">
        <f>IFERROR(__xludf.DUMMYFUNCTION("""COMPUTED_VALUE"""),"")</f>
        <v/>
      </c>
      <c r="H13735" s="42">
        <f t="shared" si="1"/>
        <v>3345</v>
      </c>
    </row>
    <row r="13736" ht="22.5" customHeight="1">
      <c r="B13736" s="42" t="str">
        <f>IFERROR(__xludf.DUMMYFUNCTION("""COMPUTED_VALUE"""),"")</f>
        <v/>
      </c>
      <c r="C13736" s="42" t="str">
        <f>IFERROR(__xludf.DUMMYFUNCTION("""COMPUTED_VALUE"""),"")</f>
        <v/>
      </c>
      <c r="D13736" s="42"/>
      <c r="E13736" s="42"/>
      <c r="F13736" s="48" t="str">
        <f>IFERROR(__xludf.DUMMYFUNCTION("""COMPUTED_VALUE"""),"")</f>
        <v/>
      </c>
      <c r="G13736" s="42" t="str">
        <f>IFERROR(__xludf.DUMMYFUNCTION("""COMPUTED_VALUE"""),"")</f>
        <v/>
      </c>
      <c r="H13736" s="42">
        <f t="shared" si="1"/>
        <v>3345</v>
      </c>
    </row>
    <row r="13737" ht="22.5" customHeight="1">
      <c r="B13737" s="42" t="str">
        <f>IFERROR(__xludf.DUMMYFUNCTION("""COMPUTED_VALUE"""),"")</f>
        <v/>
      </c>
      <c r="C13737" s="42" t="str">
        <f>IFERROR(__xludf.DUMMYFUNCTION("""COMPUTED_VALUE"""),"")</f>
        <v/>
      </c>
      <c r="D13737" s="42"/>
      <c r="E13737" s="42"/>
      <c r="F13737" s="48" t="str">
        <f>IFERROR(__xludf.DUMMYFUNCTION("""COMPUTED_VALUE"""),"")</f>
        <v/>
      </c>
      <c r="G13737" s="42" t="str">
        <f>IFERROR(__xludf.DUMMYFUNCTION("""COMPUTED_VALUE"""),"")</f>
        <v/>
      </c>
      <c r="H13737" s="42">
        <f t="shared" si="1"/>
        <v>3345</v>
      </c>
    </row>
    <row r="13738" ht="22.5" customHeight="1">
      <c r="B13738" s="42" t="str">
        <f>IFERROR(__xludf.DUMMYFUNCTION("""COMPUTED_VALUE"""),"")</f>
        <v/>
      </c>
      <c r="C13738" s="42" t="str">
        <f>IFERROR(__xludf.DUMMYFUNCTION("""COMPUTED_VALUE"""),"")</f>
        <v/>
      </c>
      <c r="D13738" s="42"/>
      <c r="E13738" s="42"/>
      <c r="F13738" s="48" t="str">
        <f>IFERROR(__xludf.DUMMYFUNCTION("""COMPUTED_VALUE"""),"")</f>
        <v/>
      </c>
      <c r="G13738" s="42" t="str">
        <f>IFERROR(__xludf.DUMMYFUNCTION("""COMPUTED_VALUE"""),"")</f>
        <v/>
      </c>
      <c r="H13738" s="42">
        <f t="shared" si="1"/>
        <v>3345</v>
      </c>
    </row>
    <row r="13739" ht="22.5" customHeight="1">
      <c r="B13739" s="42" t="str">
        <f>IFERROR(__xludf.DUMMYFUNCTION("""COMPUTED_VALUE"""),"")</f>
        <v/>
      </c>
      <c r="C13739" s="42" t="str">
        <f>IFERROR(__xludf.DUMMYFUNCTION("""COMPUTED_VALUE"""),"")</f>
        <v/>
      </c>
      <c r="D13739" s="42"/>
      <c r="E13739" s="42"/>
      <c r="F13739" s="48" t="str">
        <f>IFERROR(__xludf.DUMMYFUNCTION("""COMPUTED_VALUE"""),"")</f>
        <v/>
      </c>
      <c r="G13739" s="42" t="str">
        <f>IFERROR(__xludf.DUMMYFUNCTION("""COMPUTED_VALUE"""),"")</f>
        <v/>
      </c>
      <c r="H13739" s="42">
        <f t="shared" si="1"/>
        <v>3345</v>
      </c>
    </row>
    <row r="13740" ht="22.5" customHeight="1">
      <c r="B13740" s="42" t="str">
        <f>IFERROR(__xludf.DUMMYFUNCTION("""COMPUTED_VALUE"""),"")</f>
        <v/>
      </c>
      <c r="C13740" s="42" t="str">
        <f>IFERROR(__xludf.DUMMYFUNCTION("""COMPUTED_VALUE"""),"")</f>
        <v/>
      </c>
      <c r="D13740" s="42"/>
      <c r="E13740" s="42"/>
      <c r="F13740" s="48" t="str">
        <f>IFERROR(__xludf.DUMMYFUNCTION("""COMPUTED_VALUE"""),"")</f>
        <v/>
      </c>
      <c r="G13740" s="42" t="str">
        <f>IFERROR(__xludf.DUMMYFUNCTION("""COMPUTED_VALUE"""),"")</f>
        <v/>
      </c>
      <c r="H13740" s="42">
        <f t="shared" si="1"/>
        <v>3345</v>
      </c>
    </row>
    <row r="13741" ht="22.5" customHeight="1">
      <c r="B13741" s="42" t="str">
        <f>IFERROR(__xludf.DUMMYFUNCTION("""COMPUTED_VALUE"""),"")</f>
        <v/>
      </c>
      <c r="C13741" s="42" t="str">
        <f>IFERROR(__xludf.DUMMYFUNCTION("""COMPUTED_VALUE"""),"")</f>
        <v/>
      </c>
      <c r="D13741" s="42"/>
      <c r="E13741" s="42"/>
      <c r="F13741" s="48" t="str">
        <f>IFERROR(__xludf.DUMMYFUNCTION("""COMPUTED_VALUE"""),"")</f>
        <v/>
      </c>
      <c r="G13741" s="42" t="str">
        <f>IFERROR(__xludf.DUMMYFUNCTION("""COMPUTED_VALUE"""),"")</f>
        <v/>
      </c>
      <c r="H13741" s="42">
        <f t="shared" si="1"/>
        <v>3345</v>
      </c>
    </row>
    <row r="13742" ht="22.5" customHeight="1">
      <c r="B13742" s="42" t="str">
        <f>IFERROR(__xludf.DUMMYFUNCTION("""COMPUTED_VALUE"""),"")</f>
        <v/>
      </c>
      <c r="C13742" s="42" t="str">
        <f>IFERROR(__xludf.DUMMYFUNCTION("""COMPUTED_VALUE"""),"")</f>
        <v/>
      </c>
      <c r="D13742" s="42"/>
      <c r="E13742" s="42"/>
      <c r="F13742" s="48" t="str">
        <f>IFERROR(__xludf.DUMMYFUNCTION("""COMPUTED_VALUE"""),"")</f>
        <v/>
      </c>
      <c r="G13742" s="42" t="str">
        <f>IFERROR(__xludf.DUMMYFUNCTION("""COMPUTED_VALUE"""),"")</f>
        <v/>
      </c>
      <c r="H13742" s="42">
        <f t="shared" si="1"/>
        <v>3345</v>
      </c>
    </row>
    <row r="13743" ht="22.5" customHeight="1">
      <c r="B13743" s="42" t="str">
        <f>IFERROR(__xludf.DUMMYFUNCTION("""COMPUTED_VALUE"""),"")</f>
        <v/>
      </c>
      <c r="C13743" s="42" t="str">
        <f>IFERROR(__xludf.DUMMYFUNCTION("""COMPUTED_VALUE"""),"")</f>
        <v/>
      </c>
      <c r="D13743" s="42"/>
      <c r="E13743" s="42"/>
      <c r="F13743" s="48" t="str">
        <f>IFERROR(__xludf.DUMMYFUNCTION("""COMPUTED_VALUE"""),"")</f>
        <v/>
      </c>
      <c r="G13743" s="42" t="str">
        <f>IFERROR(__xludf.DUMMYFUNCTION("""COMPUTED_VALUE"""),"")</f>
        <v/>
      </c>
      <c r="H13743" s="42">
        <f t="shared" si="1"/>
        <v>3345</v>
      </c>
    </row>
    <row r="13744" ht="22.5" customHeight="1">
      <c r="B13744" s="42" t="str">
        <f>IFERROR(__xludf.DUMMYFUNCTION("""COMPUTED_VALUE"""),"")</f>
        <v/>
      </c>
      <c r="C13744" s="42" t="str">
        <f>IFERROR(__xludf.DUMMYFUNCTION("""COMPUTED_VALUE"""),"")</f>
        <v/>
      </c>
      <c r="D13744" s="42"/>
      <c r="E13744" s="42"/>
      <c r="F13744" s="48" t="str">
        <f>IFERROR(__xludf.DUMMYFUNCTION("""COMPUTED_VALUE"""),"")</f>
        <v/>
      </c>
      <c r="G13744" s="42" t="str">
        <f>IFERROR(__xludf.DUMMYFUNCTION("""COMPUTED_VALUE"""),"")</f>
        <v/>
      </c>
      <c r="H13744" s="42">
        <f t="shared" si="1"/>
        <v>3345</v>
      </c>
    </row>
    <row r="13745" ht="22.5" customHeight="1">
      <c r="B13745" s="42" t="str">
        <f>IFERROR(__xludf.DUMMYFUNCTION("""COMPUTED_VALUE"""),"")</f>
        <v/>
      </c>
      <c r="C13745" s="42" t="str">
        <f>IFERROR(__xludf.DUMMYFUNCTION("""COMPUTED_VALUE"""),"")</f>
        <v/>
      </c>
      <c r="D13745" s="42"/>
      <c r="E13745" s="42"/>
      <c r="F13745" s="48" t="str">
        <f>IFERROR(__xludf.DUMMYFUNCTION("""COMPUTED_VALUE"""),"")</f>
        <v/>
      </c>
      <c r="G13745" s="42" t="str">
        <f>IFERROR(__xludf.DUMMYFUNCTION("""COMPUTED_VALUE"""),"")</f>
        <v/>
      </c>
      <c r="H13745" s="42">
        <f t="shared" si="1"/>
        <v>3345</v>
      </c>
    </row>
    <row r="13746" ht="22.5" customHeight="1">
      <c r="B13746" s="42" t="str">
        <f>IFERROR(__xludf.DUMMYFUNCTION("""COMPUTED_VALUE"""),"")</f>
        <v/>
      </c>
      <c r="C13746" s="42" t="str">
        <f>IFERROR(__xludf.DUMMYFUNCTION("""COMPUTED_VALUE"""),"")</f>
        <v/>
      </c>
      <c r="D13746" s="42"/>
      <c r="E13746" s="42"/>
      <c r="F13746" s="48" t="str">
        <f>IFERROR(__xludf.DUMMYFUNCTION("""COMPUTED_VALUE"""),"")</f>
        <v/>
      </c>
      <c r="G13746" s="42" t="str">
        <f>IFERROR(__xludf.DUMMYFUNCTION("""COMPUTED_VALUE"""),"")</f>
        <v/>
      </c>
      <c r="H13746" s="42">
        <f t="shared" si="1"/>
        <v>3345</v>
      </c>
    </row>
    <row r="13747" ht="22.5" customHeight="1">
      <c r="B13747" s="42" t="str">
        <f>IFERROR(__xludf.DUMMYFUNCTION("""COMPUTED_VALUE"""),"")</f>
        <v/>
      </c>
      <c r="C13747" s="42" t="str">
        <f>IFERROR(__xludf.DUMMYFUNCTION("""COMPUTED_VALUE"""),"")</f>
        <v/>
      </c>
      <c r="D13747" s="42"/>
      <c r="E13747" s="42"/>
      <c r="F13747" s="48" t="str">
        <f>IFERROR(__xludf.DUMMYFUNCTION("""COMPUTED_VALUE"""),"")</f>
        <v/>
      </c>
      <c r="G13747" s="42" t="str">
        <f>IFERROR(__xludf.DUMMYFUNCTION("""COMPUTED_VALUE"""),"")</f>
        <v/>
      </c>
      <c r="H13747" s="42">
        <f t="shared" si="1"/>
        <v>3345</v>
      </c>
    </row>
    <row r="13748" ht="22.5" customHeight="1">
      <c r="B13748" s="42" t="str">
        <f>IFERROR(__xludf.DUMMYFUNCTION("""COMPUTED_VALUE"""),"")</f>
        <v/>
      </c>
      <c r="C13748" s="42" t="str">
        <f>IFERROR(__xludf.DUMMYFUNCTION("""COMPUTED_VALUE"""),"")</f>
        <v/>
      </c>
      <c r="D13748" s="42"/>
      <c r="E13748" s="42"/>
      <c r="F13748" s="48" t="str">
        <f>IFERROR(__xludf.DUMMYFUNCTION("""COMPUTED_VALUE"""),"")</f>
        <v/>
      </c>
      <c r="G13748" s="42" t="str">
        <f>IFERROR(__xludf.DUMMYFUNCTION("""COMPUTED_VALUE"""),"")</f>
        <v/>
      </c>
      <c r="H13748" s="42">
        <f t="shared" si="1"/>
        <v>3345</v>
      </c>
    </row>
    <row r="13749" ht="22.5" customHeight="1">
      <c r="B13749" s="42" t="str">
        <f>IFERROR(__xludf.DUMMYFUNCTION("""COMPUTED_VALUE"""),"")</f>
        <v/>
      </c>
      <c r="C13749" s="42" t="str">
        <f>IFERROR(__xludf.DUMMYFUNCTION("""COMPUTED_VALUE"""),"")</f>
        <v/>
      </c>
      <c r="D13749" s="42"/>
      <c r="E13749" s="42"/>
      <c r="F13749" s="48" t="str">
        <f>IFERROR(__xludf.DUMMYFUNCTION("""COMPUTED_VALUE"""),"")</f>
        <v/>
      </c>
      <c r="G13749" s="42" t="str">
        <f>IFERROR(__xludf.DUMMYFUNCTION("""COMPUTED_VALUE"""),"")</f>
        <v/>
      </c>
      <c r="H13749" s="42">
        <f t="shared" si="1"/>
        <v>3345</v>
      </c>
    </row>
    <row r="13750" ht="22.5" customHeight="1">
      <c r="B13750" s="42" t="str">
        <f>IFERROR(__xludf.DUMMYFUNCTION("""COMPUTED_VALUE"""),"")</f>
        <v/>
      </c>
      <c r="C13750" s="42" t="str">
        <f>IFERROR(__xludf.DUMMYFUNCTION("""COMPUTED_VALUE"""),"")</f>
        <v/>
      </c>
      <c r="D13750" s="42"/>
      <c r="E13750" s="42"/>
      <c r="F13750" s="48" t="str">
        <f>IFERROR(__xludf.DUMMYFUNCTION("""COMPUTED_VALUE"""),"")</f>
        <v/>
      </c>
      <c r="G13750" s="42" t="str">
        <f>IFERROR(__xludf.DUMMYFUNCTION("""COMPUTED_VALUE"""),"")</f>
        <v/>
      </c>
      <c r="H13750" s="42">
        <f t="shared" si="1"/>
        <v>3345</v>
      </c>
    </row>
    <row r="13751" ht="22.5" customHeight="1">
      <c r="B13751" s="42" t="str">
        <f>IFERROR(__xludf.DUMMYFUNCTION("""COMPUTED_VALUE"""),"")</f>
        <v/>
      </c>
      <c r="C13751" s="42" t="str">
        <f>IFERROR(__xludf.DUMMYFUNCTION("""COMPUTED_VALUE"""),"")</f>
        <v/>
      </c>
      <c r="D13751" s="42"/>
      <c r="E13751" s="42"/>
      <c r="F13751" s="48" t="str">
        <f>IFERROR(__xludf.DUMMYFUNCTION("""COMPUTED_VALUE"""),"")</f>
        <v/>
      </c>
      <c r="G13751" s="42" t="str">
        <f>IFERROR(__xludf.DUMMYFUNCTION("""COMPUTED_VALUE"""),"")</f>
        <v/>
      </c>
      <c r="H13751" s="42">
        <f t="shared" si="1"/>
        <v>3345</v>
      </c>
    </row>
    <row r="13752" ht="22.5" customHeight="1">
      <c r="B13752" s="42" t="str">
        <f>IFERROR(__xludf.DUMMYFUNCTION("""COMPUTED_VALUE"""),"")</f>
        <v/>
      </c>
      <c r="C13752" s="42" t="str">
        <f>IFERROR(__xludf.DUMMYFUNCTION("""COMPUTED_VALUE"""),"")</f>
        <v/>
      </c>
      <c r="D13752" s="42"/>
      <c r="E13752" s="42"/>
      <c r="F13752" s="48" t="str">
        <f>IFERROR(__xludf.DUMMYFUNCTION("""COMPUTED_VALUE"""),"")</f>
        <v/>
      </c>
      <c r="G13752" s="42" t="str">
        <f>IFERROR(__xludf.DUMMYFUNCTION("""COMPUTED_VALUE"""),"")</f>
        <v/>
      </c>
      <c r="H13752" s="42">
        <f t="shared" si="1"/>
        <v>3345</v>
      </c>
    </row>
    <row r="13753" ht="22.5" customHeight="1">
      <c r="B13753" s="42" t="str">
        <f>IFERROR(__xludf.DUMMYFUNCTION("""COMPUTED_VALUE"""),"")</f>
        <v/>
      </c>
      <c r="C13753" s="42" t="str">
        <f>IFERROR(__xludf.DUMMYFUNCTION("""COMPUTED_VALUE"""),"")</f>
        <v/>
      </c>
      <c r="D13753" s="42"/>
      <c r="E13753" s="42"/>
      <c r="F13753" s="48" t="str">
        <f>IFERROR(__xludf.DUMMYFUNCTION("""COMPUTED_VALUE"""),"")</f>
        <v/>
      </c>
      <c r="G13753" s="42" t="str">
        <f>IFERROR(__xludf.DUMMYFUNCTION("""COMPUTED_VALUE"""),"")</f>
        <v/>
      </c>
      <c r="H13753" s="42">
        <f t="shared" si="1"/>
        <v>3345</v>
      </c>
    </row>
    <row r="13754" ht="22.5" customHeight="1">
      <c r="B13754" s="42" t="str">
        <f>IFERROR(__xludf.DUMMYFUNCTION("""COMPUTED_VALUE"""),"")</f>
        <v/>
      </c>
      <c r="C13754" s="42" t="str">
        <f>IFERROR(__xludf.DUMMYFUNCTION("""COMPUTED_VALUE"""),"")</f>
        <v/>
      </c>
      <c r="D13754" s="42"/>
      <c r="E13754" s="42"/>
      <c r="F13754" s="48" t="str">
        <f>IFERROR(__xludf.DUMMYFUNCTION("""COMPUTED_VALUE"""),"")</f>
        <v/>
      </c>
      <c r="G13754" s="42" t="str">
        <f>IFERROR(__xludf.DUMMYFUNCTION("""COMPUTED_VALUE"""),"")</f>
        <v/>
      </c>
      <c r="H13754" s="42">
        <f t="shared" si="1"/>
        <v>3345</v>
      </c>
    </row>
    <row r="13755" ht="22.5" customHeight="1">
      <c r="B13755" s="42" t="str">
        <f>IFERROR(__xludf.DUMMYFUNCTION("""COMPUTED_VALUE"""),"")</f>
        <v/>
      </c>
      <c r="C13755" s="42" t="str">
        <f>IFERROR(__xludf.DUMMYFUNCTION("""COMPUTED_VALUE"""),"")</f>
        <v/>
      </c>
      <c r="D13755" s="42"/>
      <c r="E13755" s="42"/>
      <c r="F13755" s="48" t="str">
        <f>IFERROR(__xludf.DUMMYFUNCTION("""COMPUTED_VALUE"""),"")</f>
        <v/>
      </c>
      <c r="G13755" s="42" t="str">
        <f>IFERROR(__xludf.DUMMYFUNCTION("""COMPUTED_VALUE"""),"")</f>
        <v/>
      </c>
      <c r="H13755" s="42">
        <f t="shared" si="1"/>
        <v>3345</v>
      </c>
    </row>
    <row r="13756" ht="22.5" customHeight="1">
      <c r="B13756" s="42" t="str">
        <f>IFERROR(__xludf.DUMMYFUNCTION("""COMPUTED_VALUE"""),"")</f>
        <v/>
      </c>
      <c r="C13756" s="42" t="str">
        <f>IFERROR(__xludf.DUMMYFUNCTION("""COMPUTED_VALUE"""),"")</f>
        <v/>
      </c>
      <c r="D13756" s="42"/>
      <c r="E13756" s="42"/>
      <c r="F13756" s="48" t="str">
        <f>IFERROR(__xludf.DUMMYFUNCTION("""COMPUTED_VALUE"""),"")</f>
        <v/>
      </c>
      <c r="G13756" s="42" t="str">
        <f>IFERROR(__xludf.DUMMYFUNCTION("""COMPUTED_VALUE"""),"")</f>
        <v/>
      </c>
      <c r="H13756" s="42">
        <f t="shared" si="1"/>
        <v>3345</v>
      </c>
    </row>
    <row r="13757" ht="22.5" customHeight="1">
      <c r="B13757" s="42" t="str">
        <f>IFERROR(__xludf.DUMMYFUNCTION("""COMPUTED_VALUE"""),"")</f>
        <v/>
      </c>
      <c r="C13757" s="42" t="str">
        <f>IFERROR(__xludf.DUMMYFUNCTION("""COMPUTED_VALUE"""),"")</f>
        <v/>
      </c>
      <c r="D13757" s="42"/>
      <c r="E13757" s="42"/>
      <c r="F13757" s="48" t="str">
        <f>IFERROR(__xludf.DUMMYFUNCTION("""COMPUTED_VALUE"""),"")</f>
        <v/>
      </c>
      <c r="G13757" s="42" t="str">
        <f>IFERROR(__xludf.DUMMYFUNCTION("""COMPUTED_VALUE"""),"")</f>
        <v/>
      </c>
      <c r="H13757" s="42">
        <f t="shared" si="1"/>
        <v>3345</v>
      </c>
    </row>
    <row r="13758" ht="22.5" customHeight="1">
      <c r="B13758" s="42" t="str">
        <f>IFERROR(__xludf.DUMMYFUNCTION("""COMPUTED_VALUE"""),"")</f>
        <v/>
      </c>
      <c r="C13758" s="42" t="str">
        <f>IFERROR(__xludf.DUMMYFUNCTION("""COMPUTED_VALUE"""),"")</f>
        <v/>
      </c>
      <c r="D13758" s="42"/>
      <c r="E13758" s="42"/>
      <c r="F13758" s="48" t="str">
        <f>IFERROR(__xludf.DUMMYFUNCTION("""COMPUTED_VALUE"""),"")</f>
        <v/>
      </c>
      <c r="G13758" s="42" t="str">
        <f>IFERROR(__xludf.DUMMYFUNCTION("""COMPUTED_VALUE"""),"")</f>
        <v/>
      </c>
      <c r="H13758" s="42">
        <f t="shared" si="1"/>
        <v>3345</v>
      </c>
    </row>
    <row r="13759" ht="22.5" customHeight="1">
      <c r="B13759" s="42" t="str">
        <f>IFERROR(__xludf.DUMMYFUNCTION("""COMPUTED_VALUE"""),"")</f>
        <v/>
      </c>
      <c r="C13759" s="42" t="str">
        <f>IFERROR(__xludf.DUMMYFUNCTION("""COMPUTED_VALUE"""),"")</f>
        <v/>
      </c>
      <c r="D13759" s="42"/>
      <c r="E13759" s="42"/>
      <c r="F13759" s="48" t="str">
        <f>IFERROR(__xludf.DUMMYFUNCTION("""COMPUTED_VALUE"""),"")</f>
        <v/>
      </c>
      <c r="G13759" s="42" t="str">
        <f>IFERROR(__xludf.DUMMYFUNCTION("""COMPUTED_VALUE"""),"")</f>
        <v/>
      </c>
      <c r="H13759" s="42">
        <f t="shared" si="1"/>
        <v>3345</v>
      </c>
    </row>
    <row r="13760" ht="22.5" customHeight="1">
      <c r="B13760" s="42" t="str">
        <f>IFERROR(__xludf.DUMMYFUNCTION("""COMPUTED_VALUE"""),"")</f>
        <v/>
      </c>
      <c r="C13760" s="42" t="str">
        <f>IFERROR(__xludf.DUMMYFUNCTION("""COMPUTED_VALUE"""),"")</f>
        <v/>
      </c>
      <c r="D13760" s="42"/>
      <c r="E13760" s="42"/>
      <c r="F13760" s="48" t="str">
        <f>IFERROR(__xludf.DUMMYFUNCTION("""COMPUTED_VALUE"""),"")</f>
        <v/>
      </c>
      <c r="G13760" s="42" t="str">
        <f>IFERROR(__xludf.DUMMYFUNCTION("""COMPUTED_VALUE"""),"")</f>
        <v/>
      </c>
      <c r="H13760" s="42">
        <f t="shared" si="1"/>
        <v>3345</v>
      </c>
    </row>
    <row r="13761" ht="22.5" customHeight="1">
      <c r="B13761" s="42" t="str">
        <f>IFERROR(__xludf.DUMMYFUNCTION("""COMPUTED_VALUE"""),"")</f>
        <v/>
      </c>
      <c r="C13761" s="42" t="str">
        <f>IFERROR(__xludf.DUMMYFUNCTION("""COMPUTED_VALUE"""),"")</f>
        <v/>
      </c>
      <c r="D13761" s="42"/>
      <c r="E13761" s="42"/>
      <c r="F13761" s="48" t="str">
        <f>IFERROR(__xludf.DUMMYFUNCTION("""COMPUTED_VALUE"""),"")</f>
        <v/>
      </c>
      <c r="G13761" s="42" t="str">
        <f>IFERROR(__xludf.DUMMYFUNCTION("""COMPUTED_VALUE"""),"")</f>
        <v/>
      </c>
      <c r="H13761" s="42">
        <f t="shared" si="1"/>
        <v>3345</v>
      </c>
    </row>
    <row r="13762" ht="22.5" customHeight="1">
      <c r="B13762" s="42" t="str">
        <f>IFERROR(__xludf.DUMMYFUNCTION("""COMPUTED_VALUE"""),"")</f>
        <v/>
      </c>
      <c r="C13762" s="42" t="str">
        <f>IFERROR(__xludf.DUMMYFUNCTION("""COMPUTED_VALUE"""),"")</f>
        <v/>
      </c>
      <c r="D13762" s="42"/>
      <c r="E13762" s="42"/>
      <c r="F13762" s="48" t="str">
        <f>IFERROR(__xludf.DUMMYFUNCTION("""COMPUTED_VALUE"""),"")</f>
        <v/>
      </c>
      <c r="G13762" s="42" t="str">
        <f>IFERROR(__xludf.DUMMYFUNCTION("""COMPUTED_VALUE"""),"")</f>
        <v/>
      </c>
      <c r="H13762" s="42">
        <f t="shared" si="1"/>
        <v>3345</v>
      </c>
    </row>
    <row r="13763" ht="22.5" customHeight="1">
      <c r="B13763" s="42" t="str">
        <f>IFERROR(__xludf.DUMMYFUNCTION("""COMPUTED_VALUE"""),"")</f>
        <v/>
      </c>
      <c r="C13763" s="42" t="str">
        <f>IFERROR(__xludf.DUMMYFUNCTION("""COMPUTED_VALUE"""),"")</f>
        <v/>
      </c>
      <c r="D13763" s="42"/>
      <c r="E13763" s="42"/>
      <c r="F13763" s="48" t="str">
        <f>IFERROR(__xludf.DUMMYFUNCTION("""COMPUTED_VALUE"""),"")</f>
        <v/>
      </c>
      <c r="G13763" s="42" t="str">
        <f>IFERROR(__xludf.DUMMYFUNCTION("""COMPUTED_VALUE"""),"")</f>
        <v/>
      </c>
      <c r="H13763" s="42">
        <f t="shared" si="1"/>
        <v>3345</v>
      </c>
    </row>
    <row r="13764" ht="22.5" customHeight="1">
      <c r="B13764" s="42" t="str">
        <f>IFERROR(__xludf.DUMMYFUNCTION("""COMPUTED_VALUE"""),"")</f>
        <v/>
      </c>
      <c r="C13764" s="42" t="str">
        <f>IFERROR(__xludf.DUMMYFUNCTION("""COMPUTED_VALUE"""),"")</f>
        <v/>
      </c>
      <c r="D13764" s="42"/>
      <c r="E13764" s="42"/>
      <c r="F13764" s="48" t="str">
        <f>IFERROR(__xludf.DUMMYFUNCTION("""COMPUTED_VALUE"""),"")</f>
        <v/>
      </c>
      <c r="G13764" s="42" t="str">
        <f>IFERROR(__xludf.DUMMYFUNCTION("""COMPUTED_VALUE"""),"")</f>
        <v/>
      </c>
      <c r="H13764" s="42">
        <f t="shared" si="1"/>
        <v>3345</v>
      </c>
    </row>
    <row r="13765" ht="22.5" customHeight="1">
      <c r="B13765" s="42" t="str">
        <f>IFERROR(__xludf.DUMMYFUNCTION("""COMPUTED_VALUE"""),"")</f>
        <v/>
      </c>
      <c r="C13765" s="42" t="str">
        <f>IFERROR(__xludf.DUMMYFUNCTION("""COMPUTED_VALUE"""),"")</f>
        <v/>
      </c>
      <c r="D13765" s="42"/>
      <c r="E13765" s="42"/>
      <c r="F13765" s="48" t="str">
        <f>IFERROR(__xludf.DUMMYFUNCTION("""COMPUTED_VALUE"""),"")</f>
        <v/>
      </c>
      <c r="G13765" s="42" t="str">
        <f>IFERROR(__xludf.DUMMYFUNCTION("""COMPUTED_VALUE"""),"")</f>
        <v/>
      </c>
      <c r="H13765" s="42">
        <f t="shared" si="1"/>
        <v>3345</v>
      </c>
    </row>
    <row r="13766" ht="22.5" customHeight="1">
      <c r="B13766" s="42" t="str">
        <f>IFERROR(__xludf.DUMMYFUNCTION("""COMPUTED_VALUE"""),"")</f>
        <v/>
      </c>
      <c r="C13766" s="42" t="str">
        <f>IFERROR(__xludf.DUMMYFUNCTION("""COMPUTED_VALUE"""),"")</f>
        <v/>
      </c>
      <c r="D13766" s="42"/>
      <c r="E13766" s="42"/>
      <c r="F13766" s="48" t="str">
        <f>IFERROR(__xludf.DUMMYFUNCTION("""COMPUTED_VALUE"""),"")</f>
        <v/>
      </c>
      <c r="G13766" s="42" t="str">
        <f>IFERROR(__xludf.DUMMYFUNCTION("""COMPUTED_VALUE"""),"")</f>
        <v/>
      </c>
      <c r="H13766" s="42">
        <f t="shared" si="1"/>
        <v>3345</v>
      </c>
    </row>
    <row r="13767" ht="22.5" customHeight="1">
      <c r="B13767" s="42" t="str">
        <f>IFERROR(__xludf.DUMMYFUNCTION("""COMPUTED_VALUE"""),"")</f>
        <v/>
      </c>
      <c r="C13767" s="42" t="str">
        <f>IFERROR(__xludf.DUMMYFUNCTION("""COMPUTED_VALUE"""),"")</f>
        <v/>
      </c>
      <c r="D13767" s="42"/>
      <c r="E13767" s="42"/>
      <c r="F13767" s="48" t="str">
        <f>IFERROR(__xludf.DUMMYFUNCTION("""COMPUTED_VALUE"""),"")</f>
        <v/>
      </c>
      <c r="G13767" s="42" t="str">
        <f>IFERROR(__xludf.DUMMYFUNCTION("""COMPUTED_VALUE"""),"")</f>
        <v/>
      </c>
      <c r="H13767" s="42">
        <f t="shared" si="1"/>
        <v>3345</v>
      </c>
    </row>
    <row r="13768" ht="22.5" customHeight="1">
      <c r="B13768" s="42" t="str">
        <f>IFERROR(__xludf.DUMMYFUNCTION("""COMPUTED_VALUE"""),"")</f>
        <v/>
      </c>
      <c r="C13768" s="42" t="str">
        <f>IFERROR(__xludf.DUMMYFUNCTION("""COMPUTED_VALUE"""),"")</f>
        <v/>
      </c>
      <c r="D13768" s="42"/>
      <c r="E13768" s="42"/>
      <c r="F13768" s="48" t="str">
        <f>IFERROR(__xludf.DUMMYFUNCTION("""COMPUTED_VALUE"""),"")</f>
        <v/>
      </c>
      <c r="G13768" s="42" t="str">
        <f>IFERROR(__xludf.DUMMYFUNCTION("""COMPUTED_VALUE"""),"")</f>
        <v/>
      </c>
      <c r="H13768" s="42">
        <f t="shared" si="1"/>
        <v>3345</v>
      </c>
    </row>
    <row r="13769" ht="22.5" customHeight="1">
      <c r="B13769" s="42" t="str">
        <f>IFERROR(__xludf.DUMMYFUNCTION("""COMPUTED_VALUE"""),"")</f>
        <v/>
      </c>
      <c r="C13769" s="42" t="str">
        <f>IFERROR(__xludf.DUMMYFUNCTION("""COMPUTED_VALUE"""),"")</f>
        <v/>
      </c>
      <c r="D13769" s="42"/>
      <c r="E13769" s="42"/>
      <c r="F13769" s="48" t="str">
        <f>IFERROR(__xludf.DUMMYFUNCTION("""COMPUTED_VALUE"""),"")</f>
        <v/>
      </c>
      <c r="G13769" s="42" t="str">
        <f>IFERROR(__xludf.DUMMYFUNCTION("""COMPUTED_VALUE"""),"")</f>
        <v/>
      </c>
      <c r="H13769" s="42">
        <f t="shared" si="1"/>
        <v>3345</v>
      </c>
    </row>
    <row r="13770" ht="22.5" customHeight="1">
      <c r="B13770" s="42" t="str">
        <f>IFERROR(__xludf.DUMMYFUNCTION("""COMPUTED_VALUE"""),"")</f>
        <v/>
      </c>
      <c r="C13770" s="42" t="str">
        <f>IFERROR(__xludf.DUMMYFUNCTION("""COMPUTED_VALUE"""),"")</f>
        <v/>
      </c>
      <c r="D13770" s="42"/>
      <c r="E13770" s="42"/>
      <c r="F13770" s="48" t="str">
        <f>IFERROR(__xludf.DUMMYFUNCTION("""COMPUTED_VALUE"""),"")</f>
        <v/>
      </c>
      <c r="G13770" s="42" t="str">
        <f>IFERROR(__xludf.DUMMYFUNCTION("""COMPUTED_VALUE"""),"")</f>
        <v/>
      </c>
      <c r="H13770" s="42">
        <f t="shared" si="1"/>
        <v>3345</v>
      </c>
    </row>
    <row r="13771" ht="22.5" customHeight="1">
      <c r="B13771" s="42" t="str">
        <f>IFERROR(__xludf.DUMMYFUNCTION("""COMPUTED_VALUE"""),"")</f>
        <v/>
      </c>
      <c r="C13771" s="42" t="str">
        <f>IFERROR(__xludf.DUMMYFUNCTION("""COMPUTED_VALUE"""),"")</f>
        <v/>
      </c>
      <c r="D13771" s="42"/>
      <c r="E13771" s="42"/>
      <c r="F13771" s="48" t="str">
        <f>IFERROR(__xludf.DUMMYFUNCTION("""COMPUTED_VALUE"""),"")</f>
        <v/>
      </c>
      <c r="G13771" s="42" t="str">
        <f>IFERROR(__xludf.DUMMYFUNCTION("""COMPUTED_VALUE"""),"")</f>
        <v/>
      </c>
      <c r="H13771" s="42">
        <f t="shared" si="1"/>
        <v>3345</v>
      </c>
    </row>
    <row r="13772" ht="22.5" customHeight="1">
      <c r="B13772" s="42" t="str">
        <f>IFERROR(__xludf.DUMMYFUNCTION("""COMPUTED_VALUE"""),"")</f>
        <v/>
      </c>
      <c r="C13772" s="42" t="str">
        <f>IFERROR(__xludf.DUMMYFUNCTION("""COMPUTED_VALUE"""),"")</f>
        <v/>
      </c>
      <c r="D13772" s="42"/>
      <c r="E13772" s="42"/>
      <c r="F13772" s="48" t="str">
        <f>IFERROR(__xludf.DUMMYFUNCTION("""COMPUTED_VALUE"""),"")</f>
        <v/>
      </c>
      <c r="G13772" s="42" t="str">
        <f>IFERROR(__xludf.DUMMYFUNCTION("""COMPUTED_VALUE"""),"")</f>
        <v/>
      </c>
      <c r="H13772" s="42">
        <f t="shared" si="1"/>
        <v>3345</v>
      </c>
    </row>
    <row r="13773" ht="22.5" customHeight="1">
      <c r="B13773" s="42" t="str">
        <f>IFERROR(__xludf.DUMMYFUNCTION("""COMPUTED_VALUE"""),"")</f>
        <v/>
      </c>
      <c r="C13773" s="42" t="str">
        <f>IFERROR(__xludf.DUMMYFUNCTION("""COMPUTED_VALUE"""),"")</f>
        <v/>
      </c>
      <c r="D13773" s="42"/>
      <c r="E13773" s="42"/>
      <c r="F13773" s="48" t="str">
        <f>IFERROR(__xludf.DUMMYFUNCTION("""COMPUTED_VALUE"""),"")</f>
        <v/>
      </c>
      <c r="G13773" s="42" t="str">
        <f>IFERROR(__xludf.DUMMYFUNCTION("""COMPUTED_VALUE"""),"")</f>
        <v/>
      </c>
      <c r="H13773" s="42">
        <f t="shared" si="1"/>
        <v>3345</v>
      </c>
    </row>
    <row r="13774" ht="22.5" customHeight="1">
      <c r="B13774" s="42" t="str">
        <f>IFERROR(__xludf.DUMMYFUNCTION("""COMPUTED_VALUE"""),"")</f>
        <v/>
      </c>
      <c r="C13774" s="42" t="str">
        <f>IFERROR(__xludf.DUMMYFUNCTION("""COMPUTED_VALUE"""),"")</f>
        <v/>
      </c>
      <c r="D13774" s="42"/>
      <c r="E13774" s="42"/>
      <c r="F13774" s="48" t="str">
        <f>IFERROR(__xludf.DUMMYFUNCTION("""COMPUTED_VALUE"""),"")</f>
        <v/>
      </c>
      <c r="G13774" s="42" t="str">
        <f>IFERROR(__xludf.DUMMYFUNCTION("""COMPUTED_VALUE"""),"")</f>
        <v/>
      </c>
      <c r="H13774" s="42">
        <f t="shared" si="1"/>
        <v>3345</v>
      </c>
    </row>
    <row r="13775" ht="22.5" customHeight="1">
      <c r="B13775" s="42" t="str">
        <f>IFERROR(__xludf.DUMMYFUNCTION("""COMPUTED_VALUE"""),"")</f>
        <v/>
      </c>
      <c r="C13775" s="42" t="str">
        <f>IFERROR(__xludf.DUMMYFUNCTION("""COMPUTED_VALUE"""),"")</f>
        <v/>
      </c>
      <c r="D13775" s="42"/>
      <c r="E13775" s="42"/>
      <c r="F13775" s="48" t="str">
        <f>IFERROR(__xludf.DUMMYFUNCTION("""COMPUTED_VALUE"""),"")</f>
        <v/>
      </c>
      <c r="G13775" s="42" t="str">
        <f>IFERROR(__xludf.DUMMYFUNCTION("""COMPUTED_VALUE"""),"")</f>
        <v/>
      </c>
      <c r="H13775" s="42">
        <f t="shared" si="1"/>
        <v>3345</v>
      </c>
    </row>
    <row r="13776" ht="22.5" customHeight="1">
      <c r="B13776" s="42" t="str">
        <f>IFERROR(__xludf.DUMMYFUNCTION("""COMPUTED_VALUE"""),"")</f>
        <v/>
      </c>
      <c r="C13776" s="42" t="str">
        <f>IFERROR(__xludf.DUMMYFUNCTION("""COMPUTED_VALUE"""),"")</f>
        <v/>
      </c>
      <c r="D13776" s="42"/>
      <c r="E13776" s="42"/>
      <c r="F13776" s="48" t="str">
        <f>IFERROR(__xludf.DUMMYFUNCTION("""COMPUTED_VALUE"""),"")</f>
        <v/>
      </c>
      <c r="G13776" s="42" t="str">
        <f>IFERROR(__xludf.DUMMYFUNCTION("""COMPUTED_VALUE"""),"")</f>
        <v/>
      </c>
      <c r="H13776" s="42">
        <f t="shared" si="1"/>
        <v>3345</v>
      </c>
    </row>
    <row r="13777" ht="22.5" customHeight="1">
      <c r="B13777" s="42" t="str">
        <f>IFERROR(__xludf.DUMMYFUNCTION("""COMPUTED_VALUE"""),"")</f>
        <v/>
      </c>
      <c r="C13777" s="42" t="str">
        <f>IFERROR(__xludf.DUMMYFUNCTION("""COMPUTED_VALUE"""),"")</f>
        <v/>
      </c>
      <c r="D13777" s="42"/>
      <c r="E13777" s="42"/>
      <c r="F13777" s="48" t="str">
        <f>IFERROR(__xludf.DUMMYFUNCTION("""COMPUTED_VALUE"""),"")</f>
        <v/>
      </c>
      <c r="G13777" s="42" t="str">
        <f>IFERROR(__xludf.DUMMYFUNCTION("""COMPUTED_VALUE"""),"")</f>
        <v/>
      </c>
      <c r="H13777" s="42">
        <f t="shared" si="1"/>
        <v>3345</v>
      </c>
    </row>
    <row r="13778" ht="22.5" customHeight="1">
      <c r="B13778" s="42" t="str">
        <f>IFERROR(__xludf.DUMMYFUNCTION("""COMPUTED_VALUE"""),"")</f>
        <v/>
      </c>
      <c r="C13778" s="42" t="str">
        <f>IFERROR(__xludf.DUMMYFUNCTION("""COMPUTED_VALUE"""),"")</f>
        <v/>
      </c>
      <c r="D13778" s="42"/>
      <c r="E13778" s="42"/>
      <c r="F13778" s="48" t="str">
        <f>IFERROR(__xludf.DUMMYFUNCTION("""COMPUTED_VALUE"""),"")</f>
        <v/>
      </c>
      <c r="G13778" s="42" t="str">
        <f>IFERROR(__xludf.DUMMYFUNCTION("""COMPUTED_VALUE"""),"")</f>
        <v/>
      </c>
      <c r="H13778" s="42">
        <f t="shared" si="1"/>
        <v>3345</v>
      </c>
    </row>
    <row r="13779" ht="22.5" customHeight="1">
      <c r="B13779" s="42" t="str">
        <f>IFERROR(__xludf.DUMMYFUNCTION("""COMPUTED_VALUE"""),"")</f>
        <v/>
      </c>
      <c r="C13779" s="42" t="str">
        <f>IFERROR(__xludf.DUMMYFUNCTION("""COMPUTED_VALUE"""),"")</f>
        <v/>
      </c>
      <c r="D13779" s="42"/>
      <c r="E13779" s="42"/>
      <c r="F13779" s="48" t="str">
        <f>IFERROR(__xludf.DUMMYFUNCTION("""COMPUTED_VALUE"""),"")</f>
        <v/>
      </c>
      <c r="G13779" s="42" t="str">
        <f>IFERROR(__xludf.DUMMYFUNCTION("""COMPUTED_VALUE"""),"")</f>
        <v/>
      </c>
      <c r="H13779" s="42">
        <f t="shared" si="1"/>
        <v>3345</v>
      </c>
    </row>
    <row r="13780" ht="22.5" customHeight="1">
      <c r="B13780" s="42" t="str">
        <f>IFERROR(__xludf.DUMMYFUNCTION("""COMPUTED_VALUE"""),"")</f>
        <v/>
      </c>
      <c r="C13780" s="42" t="str">
        <f>IFERROR(__xludf.DUMMYFUNCTION("""COMPUTED_VALUE"""),"")</f>
        <v/>
      </c>
      <c r="D13780" s="42"/>
      <c r="E13780" s="42"/>
      <c r="F13780" s="48" t="str">
        <f>IFERROR(__xludf.DUMMYFUNCTION("""COMPUTED_VALUE"""),"")</f>
        <v/>
      </c>
      <c r="G13780" s="42" t="str">
        <f>IFERROR(__xludf.DUMMYFUNCTION("""COMPUTED_VALUE"""),"")</f>
        <v/>
      </c>
      <c r="H13780" s="42">
        <f t="shared" si="1"/>
        <v>3345</v>
      </c>
    </row>
    <row r="13781" ht="22.5" customHeight="1">
      <c r="B13781" s="42" t="str">
        <f>IFERROR(__xludf.DUMMYFUNCTION("""COMPUTED_VALUE"""),"")</f>
        <v/>
      </c>
      <c r="C13781" s="42" t="str">
        <f>IFERROR(__xludf.DUMMYFUNCTION("""COMPUTED_VALUE"""),"")</f>
        <v/>
      </c>
      <c r="D13781" s="42"/>
      <c r="E13781" s="42"/>
      <c r="F13781" s="48" t="str">
        <f>IFERROR(__xludf.DUMMYFUNCTION("""COMPUTED_VALUE"""),"")</f>
        <v/>
      </c>
      <c r="G13781" s="42" t="str">
        <f>IFERROR(__xludf.DUMMYFUNCTION("""COMPUTED_VALUE"""),"")</f>
        <v/>
      </c>
      <c r="H13781" s="42">
        <f t="shared" si="1"/>
        <v>3345</v>
      </c>
    </row>
    <row r="13782" ht="22.5" customHeight="1">
      <c r="B13782" s="42" t="str">
        <f>IFERROR(__xludf.DUMMYFUNCTION("""COMPUTED_VALUE"""),"")</f>
        <v/>
      </c>
      <c r="C13782" s="42" t="str">
        <f>IFERROR(__xludf.DUMMYFUNCTION("""COMPUTED_VALUE"""),"")</f>
        <v/>
      </c>
      <c r="D13782" s="42"/>
      <c r="E13782" s="42"/>
      <c r="F13782" s="48" t="str">
        <f>IFERROR(__xludf.DUMMYFUNCTION("""COMPUTED_VALUE"""),"")</f>
        <v/>
      </c>
      <c r="G13782" s="42" t="str">
        <f>IFERROR(__xludf.DUMMYFUNCTION("""COMPUTED_VALUE"""),"")</f>
        <v/>
      </c>
      <c r="H13782" s="42">
        <f t="shared" si="1"/>
        <v>3345</v>
      </c>
    </row>
    <row r="13783" ht="22.5" customHeight="1">
      <c r="B13783" s="42" t="str">
        <f>IFERROR(__xludf.DUMMYFUNCTION("""COMPUTED_VALUE"""),"")</f>
        <v/>
      </c>
      <c r="C13783" s="42" t="str">
        <f>IFERROR(__xludf.DUMMYFUNCTION("""COMPUTED_VALUE"""),"")</f>
        <v/>
      </c>
      <c r="D13783" s="42"/>
      <c r="E13783" s="42"/>
      <c r="F13783" s="48" t="str">
        <f>IFERROR(__xludf.DUMMYFUNCTION("""COMPUTED_VALUE"""),"")</f>
        <v/>
      </c>
      <c r="G13783" s="42" t="str">
        <f>IFERROR(__xludf.DUMMYFUNCTION("""COMPUTED_VALUE"""),"")</f>
        <v/>
      </c>
      <c r="H13783" s="42">
        <f t="shared" si="1"/>
        <v>3345</v>
      </c>
    </row>
    <row r="13784" ht="22.5" customHeight="1">
      <c r="B13784" s="42" t="str">
        <f>IFERROR(__xludf.DUMMYFUNCTION("""COMPUTED_VALUE"""),"")</f>
        <v/>
      </c>
      <c r="C13784" s="42" t="str">
        <f>IFERROR(__xludf.DUMMYFUNCTION("""COMPUTED_VALUE"""),"")</f>
        <v/>
      </c>
      <c r="D13784" s="42"/>
      <c r="E13784" s="42"/>
      <c r="F13784" s="48" t="str">
        <f>IFERROR(__xludf.DUMMYFUNCTION("""COMPUTED_VALUE"""),"")</f>
        <v/>
      </c>
      <c r="G13784" s="42" t="str">
        <f>IFERROR(__xludf.DUMMYFUNCTION("""COMPUTED_VALUE"""),"")</f>
        <v/>
      </c>
      <c r="H13784" s="42">
        <f t="shared" si="1"/>
        <v>3345</v>
      </c>
    </row>
    <row r="13785" ht="22.5" customHeight="1">
      <c r="B13785" s="42" t="str">
        <f>IFERROR(__xludf.DUMMYFUNCTION("""COMPUTED_VALUE"""),"")</f>
        <v/>
      </c>
      <c r="C13785" s="42" t="str">
        <f>IFERROR(__xludf.DUMMYFUNCTION("""COMPUTED_VALUE"""),"")</f>
        <v/>
      </c>
      <c r="D13785" s="42"/>
      <c r="E13785" s="42"/>
      <c r="F13785" s="48" t="str">
        <f>IFERROR(__xludf.DUMMYFUNCTION("""COMPUTED_VALUE"""),"")</f>
        <v/>
      </c>
      <c r="G13785" s="42" t="str">
        <f>IFERROR(__xludf.DUMMYFUNCTION("""COMPUTED_VALUE"""),"")</f>
        <v/>
      </c>
      <c r="H13785" s="42">
        <f t="shared" si="1"/>
        <v>3345</v>
      </c>
    </row>
    <row r="13786" ht="22.5" customHeight="1">
      <c r="B13786" s="42" t="str">
        <f>IFERROR(__xludf.DUMMYFUNCTION("""COMPUTED_VALUE"""),"")</f>
        <v/>
      </c>
      <c r="C13786" s="42" t="str">
        <f>IFERROR(__xludf.DUMMYFUNCTION("""COMPUTED_VALUE"""),"")</f>
        <v/>
      </c>
      <c r="D13786" s="42"/>
      <c r="E13786" s="42"/>
      <c r="F13786" s="48" t="str">
        <f>IFERROR(__xludf.DUMMYFUNCTION("""COMPUTED_VALUE"""),"")</f>
        <v/>
      </c>
      <c r="G13786" s="42" t="str">
        <f>IFERROR(__xludf.DUMMYFUNCTION("""COMPUTED_VALUE"""),"")</f>
        <v/>
      </c>
      <c r="H13786" s="42">
        <f t="shared" si="1"/>
        <v>3345</v>
      </c>
    </row>
    <row r="13787" ht="22.5" customHeight="1">
      <c r="B13787" s="42" t="str">
        <f>IFERROR(__xludf.DUMMYFUNCTION("""COMPUTED_VALUE"""),"")</f>
        <v/>
      </c>
      <c r="C13787" s="42" t="str">
        <f>IFERROR(__xludf.DUMMYFUNCTION("""COMPUTED_VALUE"""),"")</f>
        <v/>
      </c>
      <c r="D13787" s="42"/>
      <c r="E13787" s="42"/>
      <c r="F13787" s="48" t="str">
        <f>IFERROR(__xludf.DUMMYFUNCTION("""COMPUTED_VALUE"""),"")</f>
        <v/>
      </c>
      <c r="G13787" s="42" t="str">
        <f>IFERROR(__xludf.DUMMYFUNCTION("""COMPUTED_VALUE"""),"")</f>
        <v/>
      </c>
      <c r="H13787" s="42">
        <f t="shared" si="1"/>
        <v>3345</v>
      </c>
    </row>
    <row r="13788" ht="22.5" customHeight="1">
      <c r="B13788" s="42" t="str">
        <f>IFERROR(__xludf.DUMMYFUNCTION("""COMPUTED_VALUE"""),"")</f>
        <v/>
      </c>
      <c r="C13788" s="42" t="str">
        <f>IFERROR(__xludf.DUMMYFUNCTION("""COMPUTED_VALUE"""),"")</f>
        <v/>
      </c>
      <c r="D13788" s="42"/>
      <c r="E13788" s="42"/>
      <c r="F13788" s="48" t="str">
        <f>IFERROR(__xludf.DUMMYFUNCTION("""COMPUTED_VALUE"""),"")</f>
        <v/>
      </c>
      <c r="G13788" s="42" t="str">
        <f>IFERROR(__xludf.DUMMYFUNCTION("""COMPUTED_VALUE"""),"")</f>
        <v/>
      </c>
      <c r="H13788" s="42">
        <f t="shared" si="1"/>
        <v>3345</v>
      </c>
    </row>
    <row r="13789" ht="22.5" customHeight="1">
      <c r="B13789" s="42" t="str">
        <f>IFERROR(__xludf.DUMMYFUNCTION("""COMPUTED_VALUE"""),"")</f>
        <v/>
      </c>
      <c r="C13789" s="42" t="str">
        <f>IFERROR(__xludf.DUMMYFUNCTION("""COMPUTED_VALUE"""),"")</f>
        <v/>
      </c>
      <c r="D13789" s="42"/>
      <c r="E13789" s="42"/>
      <c r="F13789" s="48" t="str">
        <f>IFERROR(__xludf.DUMMYFUNCTION("""COMPUTED_VALUE"""),"")</f>
        <v/>
      </c>
      <c r="G13789" s="42" t="str">
        <f>IFERROR(__xludf.DUMMYFUNCTION("""COMPUTED_VALUE"""),"")</f>
        <v/>
      </c>
      <c r="H13789" s="42">
        <f t="shared" si="1"/>
        <v>3345</v>
      </c>
    </row>
    <row r="13790" ht="22.5" customHeight="1">
      <c r="B13790" s="42" t="str">
        <f>IFERROR(__xludf.DUMMYFUNCTION("""COMPUTED_VALUE"""),"")</f>
        <v/>
      </c>
      <c r="C13790" s="42" t="str">
        <f>IFERROR(__xludf.DUMMYFUNCTION("""COMPUTED_VALUE"""),"")</f>
        <v/>
      </c>
      <c r="D13790" s="42"/>
      <c r="E13790" s="42"/>
      <c r="F13790" s="48" t="str">
        <f>IFERROR(__xludf.DUMMYFUNCTION("""COMPUTED_VALUE"""),"")</f>
        <v/>
      </c>
      <c r="G13790" s="42" t="str">
        <f>IFERROR(__xludf.DUMMYFUNCTION("""COMPUTED_VALUE"""),"")</f>
        <v/>
      </c>
      <c r="H13790" s="42">
        <f t="shared" si="1"/>
        <v>3345</v>
      </c>
    </row>
    <row r="13791" ht="22.5" customHeight="1">
      <c r="B13791" s="42" t="str">
        <f>IFERROR(__xludf.DUMMYFUNCTION("""COMPUTED_VALUE"""),"")</f>
        <v/>
      </c>
      <c r="C13791" s="42" t="str">
        <f>IFERROR(__xludf.DUMMYFUNCTION("""COMPUTED_VALUE"""),"")</f>
        <v/>
      </c>
      <c r="D13791" s="42"/>
      <c r="E13791" s="42"/>
      <c r="F13791" s="48" t="str">
        <f>IFERROR(__xludf.DUMMYFUNCTION("""COMPUTED_VALUE"""),"")</f>
        <v/>
      </c>
      <c r="G13791" s="42" t="str">
        <f>IFERROR(__xludf.DUMMYFUNCTION("""COMPUTED_VALUE"""),"")</f>
        <v/>
      </c>
      <c r="H13791" s="42">
        <f t="shared" si="1"/>
        <v>3345</v>
      </c>
    </row>
    <row r="13792" ht="22.5" customHeight="1">
      <c r="B13792" s="42" t="str">
        <f>IFERROR(__xludf.DUMMYFUNCTION("""COMPUTED_VALUE"""),"")</f>
        <v/>
      </c>
      <c r="C13792" s="42" t="str">
        <f>IFERROR(__xludf.DUMMYFUNCTION("""COMPUTED_VALUE"""),"")</f>
        <v/>
      </c>
      <c r="D13792" s="42"/>
      <c r="E13792" s="42"/>
      <c r="F13792" s="48" t="str">
        <f>IFERROR(__xludf.DUMMYFUNCTION("""COMPUTED_VALUE"""),"")</f>
        <v/>
      </c>
      <c r="G13792" s="42" t="str">
        <f>IFERROR(__xludf.DUMMYFUNCTION("""COMPUTED_VALUE"""),"")</f>
        <v/>
      </c>
      <c r="H13792" s="42">
        <f t="shared" si="1"/>
        <v>3345</v>
      </c>
    </row>
    <row r="13793" ht="22.5" customHeight="1">
      <c r="B13793" s="42" t="str">
        <f>IFERROR(__xludf.DUMMYFUNCTION("""COMPUTED_VALUE"""),"")</f>
        <v/>
      </c>
      <c r="C13793" s="42" t="str">
        <f>IFERROR(__xludf.DUMMYFUNCTION("""COMPUTED_VALUE"""),"")</f>
        <v/>
      </c>
      <c r="D13793" s="42"/>
      <c r="E13793" s="42"/>
      <c r="F13793" s="48" t="str">
        <f>IFERROR(__xludf.DUMMYFUNCTION("""COMPUTED_VALUE"""),"")</f>
        <v/>
      </c>
      <c r="G13793" s="42" t="str">
        <f>IFERROR(__xludf.DUMMYFUNCTION("""COMPUTED_VALUE"""),"")</f>
        <v/>
      </c>
      <c r="H13793" s="42">
        <f t="shared" si="1"/>
        <v>3345</v>
      </c>
    </row>
    <row r="13794" ht="22.5" customHeight="1">
      <c r="B13794" s="42" t="str">
        <f>IFERROR(__xludf.DUMMYFUNCTION("""COMPUTED_VALUE"""),"")</f>
        <v/>
      </c>
      <c r="C13794" s="42" t="str">
        <f>IFERROR(__xludf.DUMMYFUNCTION("""COMPUTED_VALUE"""),"")</f>
        <v/>
      </c>
      <c r="D13794" s="42"/>
      <c r="E13794" s="42"/>
      <c r="F13794" s="48" t="str">
        <f>IFERROR(__xludf.DUMMYFUNCTION("""COMPUTED_VALUE"""),"")</f>
        <v/>
      </c>
      <c r="G13794" s="42" t="str">
        <f>IFERROR(__xludf.DUMMYFUNCTION("""COMPUTED_VALUE"""),"")</f>
        <v/>
      </c>
      <c r="H13794" s="42">
        <f t="shared" si="1"/>
        <v>3345</v>
      </c>
    </row>
    <row r="13795" ht="22.5" customHeight="1">
      <c r="B13795" s="42" t="str">
        <f>IFERROR(__xludf.DUMMYFUNCTION("""COMPUTED_VALUE"""),"")</f>
        <v/>
      </c>
      <c r="C13795" s="42" t="str">
        <f>IFERROR(__xludf.DUMMYFUNCTION("""COMPUTED_VALUE"""),"")</f>
        <v/>
      </c>
      <c r="D13795" s="42"/>
      <c r="E13795" s="42"/>
      <c r="F13795" s="48" t="str">
        <f>IFERROR(__xludf.DUMMYFUNCTION("""COMPUTED_VALUE"""),"")</f>
        <v/>
      </c>
      <c r="G13795" s="42" t="str">
        <f>IFERROR(__xludf.DUMMYFUNCTION("""COMPUTED_VALUE"""),"")</f>
        <v/>
      </c>
      <c r="H13795" s="42">
        <f t="shared" si="1"/>
        <v>3345</v>
      </c>
    </row>
    <row r="13796" ht="22.5" customHeight="1">
      <c r="B13796" s="42" t="str">
        <f>IFERROR(__xludf.DUMMYFUNCTION("""COMPUTED_VALUE"""),"")</f>
        <v/>
      </c>
      <c r="C13796" s="42" t="str">
        <f>IFERROR(__xludf.DUMMYFUNCTION("""COMPUTED_VALUE"""),"")</f>
        <v/>
      </c>
      <c r="D13796" s="42"/>
      <c r="E13796" s="42"/>
      <c r="F13796" s="48" t="str">
        <f>IFERROR(__xludf.DUMMYFUNCTION("""COMPUTED_VALUE"""),"")</f>
        <v/>
      </c>
      <c r="G13796" s="42" t="str">
        <f>IFERROR(__xludf.DUMMYFUNCTION("""COMPUTED_VALUE"""),"")</f>
        <v/>
      </c>
      <c r="H13796" s="42">
        <f t="shared" si="1"/>
        <v>3345</v>
      </c>
    </row>
    <row r="13797" ht="22.5" customHeight="1">
      <c r="B13797" s="42" t="str">
        <f>IFERROR(__xludf.DUMMYFUNCTION("""COMPUTED_VALUE"""),"")</f>
        <v/>
      </c>
      <c r="C13797" s="42" t="str">
        <f>IFERROR(__xludf.DUMMYFUNCTION("""COMPUTED_VALUE"""),"")</f>
        <v/>
      </c>
      <c r="D13797" s="42"/>
      <c r="E13797" s="42"/>
      <c r="F13797" s="48" t="str">
        <f>IFERROR(__xludf.DUMMYFUNCTION("""COMPUTED_VALUE"""),"")</f>
        <v/>
      </c>
      <c r="G13797" s="42" t="str">
        <f>IFERROR(__xludf.DUMMYFUNCTION("""COMPUTED_VALUE"""),"")</f>
        <v/>
      </c>
      <c r="H13797" s="42">
        <f t="shared" si="1"/>
        <v>3345</v>
      </c>
    </row>
    <row r="13798" ht="22.5" customHeight="1">
      <c r="B13798" s="42" t="str">
        <f>IFERROR(__xludf.DUMMYFUNCTION("""COMPUTED_VALUE"""),"")</f>
        <v/>
      </c>
      <c r="C13798" s="42" t="str">
        <f>IFERROR(__xludf.DUMMYFUNCTION("""COMPUTED_VALUE"""),"")</f>
        <v/>
      </c>
      <c r="D13798" s="42"/>
      <c r="E13798" s="42"/>
      <c r="F13798" s="48" t="str">
        <f>IFERROR(__xludf.DUMMYFUNCTION("""COMPUTED_VALUE"""),"")</f>
        <v/>
      </c>
      <c r="G13798" s="42" t="str">
        <f>IFERROR(__xludf.DUMMYFUNCTION("""COMPUTED_VALUE"""),"")</f>
        <v/>
      </c>
      <c r="H13798" s="42">
        <f t="shared" si="1"/>
        <v>3345</v>
      </c>
    </row>
    <row r="13799" ht="22.5" customHeight="1">
      <c r="B13799" s="42" t="str">
        <f>IFERROR(__xludf.DUMMYFUNCTION("""COMPUTED_VALUE"""),"")</f>
        <v/>
      </c>
      <c r="C13799" s="42" t="str">
        <f>IFERROR(__xludf.DUMMYFUNCTION("""COMPUTED_VALUE"""),"")</f>
        <v/>
      </c>
      <c r="D13799" s="42"/>
      <c r="E13799" s="42"/>
      <c r="F13799" s="48" t="str">
        <f>IFERROR(__xludf.DUMMYFUNCTION("""COMPUTED_VALUE"""),"")</f>
        <v/>
      </c>
      <c r="G13799" s="42" t="str">
        <f>IFERROR(__xludf.DUMMYFUNCTION("""COMPUTED_VALUE"""),"")</f>
        <v/>
      </c>
      <c r="H13799" s="42">
        <f t="shared" si="1"/>
        <v>3345</v>
      </c>
    </row>
    <row r="13800" ht="22.5" customHeight="1">
      <c r="B13800" s="42" t="str">
        <f>IFERROR(__xludf.DUMMYFUNCTION("""COMPUTED_VALUE"""),"")</f>
        <v/>
      </c>
      <c r="C13800" s="42" t="str">
        <f>IFERROR(__xludf.DUMMYFUNCTION("""COMPUTED_VALUE"""),"")</f>
        <v/>
      </c>
      <c r="D13800" s="42"/>
      <c r="E13800" s="42"/>
      <c r="F13800" s="48" t="str">
        <f>IFERROR(__xludf.DUMMYFUNCTION("""COMPUTED_VALUE"""),"")</f>
        <v/>
      </c>
      <c r="G13800" s="42" t="str">
        <f>IFERROR(__xludf.DUMMYFUNCTION("""COMPUTED_VALUE"""),"")</f>
        <v/>
      </c>
      <c r="H13800" s="42">
        <f t="shared" si="1"/>
        <v>3345</v>
      </c>
    </row>
    <row r="13801" ht="22.5" customHeight="1">
      <c r="B13801" s="42" t="str">
        <f>IFERROR(__xludf.DUMMYFUNCTION("""COMPUTED_VALUE"""),"")</f>
        <v/>
      </c>
      <c r="C13801" s="42" t="str">
        <f>IFERROR(__xludf.DUMMYFUNCTION("""COMPUTED_VALUE"""),"")</f>
        <v/>
      </c>
      <c r="D13801" s="42"/>
      <c r="E13801" s="42"/>
      <c r="F13801" s="48" t="str">
        <f>IFERROR(__xludf.DUMMYFUNCTION("""COMPUTED_VALUE"""),"")</f>
        <v/>
      </c>
      <c r="G13801" s="42" t="str">
        <f>IFERROR(__xludf.DUMMYFUNCTION("""COMPUTED_VALUE"""),"")</f>
        <v/>
      </c>
      <c r="H13801" s="42">
        <f t="shared" si="1"/>
        <v>3345</v>
      </c>
    </row>
    <row r="13802" ht="22.5" customHeight="1">
      <c r="B13802" s="42" t="str">
        <f>IFERROR(__xludf.DUMMYFUNCTION("""COMPUTED_VALUE"""),"")</f>
        <v/>
      </c>
      <c r="C13802" s="42" t="str">
        <f>IFERROR(__xludf.DUMMYFUNCTION("""COMPUTED_VALUE"""),"")</f>
        <v/>
      </c>
      <c r="D13802" s="42"/>
      <c r="E13802" s="42"/>
      <c r="F13802" s="48" t="str">
        <f>IFERROR(__xludf.DUMMYFUNCTION("""COMPUTED_VALUE"""),"")</f>
        <v/>
      </c>
      <c r="G13802" s="42" t="str">
        <f>IFERROR(__xludf.DUMMYFUNCTION("""COMPUTED_VALUE"""),"")</f>
        <v/>
      </c>
      <c r="H13802" s="42">
        <f t="shared" si="1"/>
        <v>3345</v>
      </c>
    </row>
    <row r="13803" ht="22.5" customHeight="1">
      <c r="B13803" s="42" t="str">
        <f>IFERROR(__xludf.DUMMYFUNCTION("""COMPUTED_VALUE"""),"")</f>
        <v/>
      </c>
      <c r="C13803" s="42" t="str">
        <f>IFERROR(__xludf.DUMMYFUNCTION("""COMPUTED_VALUE"""),"")</f>
        <v/>
      </c>
      <c r="D13803" s="42"/>
      <c r="E13803" s="42"/>
      <c r="F13803" s="48" t="str">
        <f>IFERROR(__xludf.DUMMYFUNCTION("""COMPUTED_VALUE"""),"")</f>
        <v/>
      </c>
      <c r="G13803" s="42" t="str">
        <f>IFERROR(__xludf.DUMMYFUNCTION("""COMPUTED_VALUE"""),"")</f>
        <v/>
      </c>
      <c r="H13803" s="42">
        <f t="shared" si="1"/>
        <v>3345</v>
      </c>
    </row>
    <row r="13804" ht="22.5" customHeight="1">
      <c r="B13804" s="42" t="str">
        <f>IFERROR(__xludf.DUMMYFUNCTION("""COMPUTED_VALUE"""),"")</f>
        <v/>
      </c>
      <c r="C13804" s="42" t="str">
        <f>IFERROR(__xludf.DUMMYFUNCTION("""COMPUTED_VALUE"""),"")</f>
        <v/>
      </c>
      <c r="D13804" s="42"/>
      <c r="E13804" s="42"/>
      <c r="F13804" s="48" t="str">
        <f>IFERROR(__xludf.DUMMYFUNCTION("""COMPUTED_VALUE"""),"")</f>
        <v/>
      </c>
      <c r="G13804" s="42" t="str">
        <f>IFERROR(__xludf.DUMMYFUNCTION("""COMPUTED_VALUE"""),"")</f>
        <v/>
      </c>
      <c r="H13804" s="42">
        <f t="shared" si="1"/>
        <v>3345</v>
      </c>
    </row>
    <row r="13805" ht="22.5" customHeight="1">
      <c r="B13805" s="42" t="str">
        <f>IFERROR(__xludf.DUMMYFUNCTION("""COMPUTED_VALUE"""),"")</f>
        <v/>
      </c>
      <c r="C13805" s="42" t="str">
        <f>IFERROR(__xludf.DUMMYFUNCTION("""COMPUTED_VALUE"""),"")</f>
        <v/>
      </c>
      <c r="D13805" s="42"/>
      <c r="E13805" s="42"/>
      <c r="F13805" s="48" t="str">
        <f>IFERROR(__xludf.DUMMYFUNCTION("""COMPUTED_VALUE"""),"")</f>
        <v/>
      </c>
      <c r="G13805" s="42" t="str">
        <f>IFERROR(__xludf.DUMMYFUNCTION("""COMPUTED_VALUE"""),"")</f>
        <v/>
      </c>
      <c r="H13805" s="42">
        <f t="shared" si="1"/>
        <v>3345</v>
      </c>
    </row>
    <row r="13806" ht="22.5" customHeight="1">
      <c r="B13806" s="42" t="str">
        <f>IFERROR(__xludf.DUMMYFUNCTION("""COMPUTED_VALUE"""),"")</f>
        <v/>
      </c>
      <c r="C13806" s="42" t="str">
        <f>IFERROR(__xludf.DUMMYFUNCTION("""COMPUTED_VALUE"""),"")</f>
        <v/>
      </c>
      <c r="D13806" s="42"/>
      <c r="E13806" s="42"/>
      <c r="F13806" s="48" t="str">
        <f>IFERROR(__xludf.DUMMYFUNCTION("""COMPUTED_VALUE"""),"")</f>
        <v/>
      </c>
      <c r="G13806" s="42" t="str">
        <f>IFERROR(__xludf.DUMMYFUNCTION("""COMPUTED_VALUE"""),"")</f>
        <v/>
      </c>
      <c r="H13806" s="42">
        <f t="shared" si="1"/>
        <v>3345</v>
      </c>
    </row>
    <row r="13807" ht="22.5" customHeight="1">
      <c r="B13807" s="42" t="str">
        <f>IFERROR(__xludf.DUMMYFUNCTION("""COMPUTED_VALUE"""),"")</f>
        <v/>
      </c>
      <c r="C13807" s="42" t="str">
        <f>IFERROR(__xludf.DUMMYFUNCTION("""COMPUTED_VALUE"""),"")</f>
        <v/>
      </c>
      <c r="D13807" s="42"/>
      <c r="E13807" s="42"/>
      <c r="F13807" s="48" t="str">
        <f>IFERROR(__xludf.DUMMYFUNCTION("""COMPUTED_VALUE"""),"")</f>
        <v/>
      </c>
      <c r="G13807" s="42" t="str">
        <f>IFERROR(__xludf.DUMMYFUNCTION("""COMPUTED_VALUE"""),"")</f>
        <v/>
      </c>
      <c r="H13807" s="42">
        <f t="shared" si="1"/>
        <v>3345</v>
      </c>
    </row>
    <row r="13808" ht="22.5" customHeight="1">
      <c r="B13808" s="42" t="str">
        <f>IFERROR(__xludf.DUMMYFUNCTION("""COMPUTED_VALUE"""),"")</f>
        <v/>
      </c>
      <c r="C13808" s="42" t="str">
        <f>IFERROR(__xludf.DUMMYFUNCTION("""COMPUTED_VALUE"""),"")</f>
        <v/>
      </c>
      <c r="D13808" s="42"/>
      <c r="E13808" s="42"/>
      <c r="F13808" s="48" t="str">
        <f>IFERROR(__xludf.DUMMYFUNCTION("""COMPUTED_VALUE"""),"")</f>
        <v/>
      </c>
      <c r="G13808" s="42" t="str">
        <f>IFERROR(__xludf.DUMMYFUNCTION("""COMPUTED_VALUE"""),"")</f>
        <v/>
      </c>
      <c r="H13808" s="42">
        <f t="shared" si="1"/>
        <v>3345</v>
      </c>
    </row>
    <row r="13809" ht="22.5" customHeight="1">
      <c r="B13809" s="42" t="str">
        <f>IFERROR(__xludf.DUMMYFUNCTION("""COMPUTED_VALUE"""),"")</f>
        <v/>
      </c>
      <c r="C13809" s="42" t="str">
        <f>IFERROR(__xludf.DUMMYFUNCTION("""COMPUTED_VALUE"""),"")</f>
        <v/>
      </c>
      <c r="D13809" s="42"/>
      <c r="E13809" s="42"/>
      <c r="F13809" s="48" t="str">
        <f>IFERROR(__xludf.DUMMYFUNCTION("""COMPUTED_VALUE"""),"")</f>
        <v/>
      </c>
      <c r="G13809" s="42" t="str">
        <f>IFERROR(__xludf.DUMMYFUNCTION("""COMPUTED_VALUE"""),"")</f>
        <v/>
      </c>
      <c r="H13809" s="42">
        <f t="shared" si="1"/>
        <v>3345</v>
      </c>
    </row>
    <row r="13810" ht="22.5" customHeight="1">
      <c r="B13810" s="42" t="str">
        <f>IFERROR(__xludf.DUMMYFUNCTION("""COMPUTED_VALUE"""),"")</f>
        <v/>
      </c>
      <c r="C13810" s="42" t="str">
        <f>IFERROR(__xludf.DUMMYFUNCTION("""COMPUTED_VALUE"""),"")</f>
        <v/>
      </c>
      <c r="D13810" s="42"/>
      <c r="E13810" s="42"/>
      <c r="F13810" s="48" t="str">
        <f>IFERROR(__xludf.DUMMYFUNCTION("""COMPUTED_VALUE"""),"")</f>
        <v/>
      </c>
      <c r="G13810" s="42" t="str">
        <f>IFERROR(__xludf.DUMMYFUNCTION("""COMPUTED_VALUE"""),"")</f>
        <v/>
      </c>
      <c r="H13810" s="42">
        <f t="shared" si="1"/>
        <v>3345</v>
      </c>
    </row>
    <row r="13811" ht="22.5" customHeight="1">
      <c r="B13811" s="42" t="str">
        <f>IFERROR(__xludf.DUMMYFUNCTION("""COMPUTED_VALUE"""),"")</f>
        <v/>
      </c>
      <c r="C13811" s="42" t="str">
        <f>IFERROR(__xludf.DUMMYFUNCTION("""COMPUTED_VALUE"""),"")</f>
        <v/>
      </c>
      <c r="D13811" s="42"/>
      <c r="E13811" s="42"/>
      <c r="F13811" s="48" t="str">
        <f>IFERROR(__xludf.DUMMYFUNCTION("""COMPUTED_VALUE"""),"")</f>
        <v/>
      </c>
      <c r="G13811" s="42" t="str">
        <f>IFERROR(__xludf.DUMMYFUNCTION("""COMPUTED_VALUE"""),"")</f>
        <v/>
      </c>
      <c r="H13811" s="42">
        <f t="shared" si="1"/>
        <v>3345</v>
      </c>
    </row>
    <row r="13812" ht="22.5" customHeight="1">
      <c r="B13812" s="42" t="str">
        <f>IFERROR(__xludf.DUMMYFUNCTION("""COMPUTED_VALUE"""),"")</f>
        <v/>
      </c>
      <c r="C13812" s="42" t="str">
        <f>IFERROR(__xludf.DUMMYFUNCTION("""COMPUTED_VALUE"""),"")</f>
        <v/>
      </c>
      <c r="D13812" s="42"/>
      <c r="E13812" s="42"/>
      <c r="F13812" s="48" t="str">
        <f>IFERROR(__xludf.DUMMYFUNCTION("""COMPUTED_VALUE"""),"")</f>
        <v/>
      </c>
      <c r="G13812" s="42" t="str">
        <f>IFERROR(__xludf.DUMMYFUNCTION("""COMPUTED_VALUE"""),"")</f>
        <v/>
      </c>
      <c r="H13812" s="42">
        <f t="shared" si="1"/>
        <v>3345</v>
      </c>
    </row>
    <row r="13813" ht="22.5" customHeight="1">
      <c r="B13813" s="42" t="str">
        <f>IFERROR(__xludf.DUMMYFUNCTION("""COMPUTED_VALUE"""),"")</f>
        <v/>
      </c>
      <c r="C13813" s="42" t="str">
        <f>IFERROR(__xludf.DUMMYFUNCTION("""COMPUTED_VALUE"""),"")</f>
        <v/>
      </c>
      <c r="D13813" s="42"/>
      <c r="E13813" s="42"/>
      <c r="F13813" s="48" t="str">
        <f>IFERROR(__xludf.DUMMYFUNCTION("""COMPUTED_VALUE"""),"")</f>
        <v/>
      </c>
      <c r="G13813" s="42" t="str">
        <f>IFERROR(__xludf.DUMMYFUNCTION("""COMPUTED_VALUE"""),"")</f>
        <v/>
      </c>
      <c r="H13813" s="42">
        <f t="shared" si="1"/>
        <v>3345</v>
      </c>
    </row>
    <row r="13814" ht="22.5" customHeight="1">
      <c r="B13814" s="42" t="str">
        <f>IFERROR(__xludf.DUMMYFUNCTION("""COMPUTED_VALUE"""),"")</f>
        <v/>
      </c>
      <c r="C13814" s="42" t="str">
        <f>IFERROR(__xludf.DUMMYFUNCTION("""COMPUTED_VALUE"""),"")</f>
        <v/>
      </c>
      <c r="D13814" s="42"/>
      <c r="E13814" s="42"/>
      <c r="F13814" s="48" t="str">
        <f>IFERROR(__xludf.DUMMYFUNCTION("""COMPUTED_VALUE"""),"")</f>
        <v/>
      </c>
      <c r="G13814" s="42" t="str">
        <f>IFERROR(__xludf.DUMMYFUNCTION("""COMPUTED_VALUE"""),"")</f>
        <v/>
      </c>
      <c r="H13814" s="42">
        <f t="shared" si="1"/>
        <v>3345</v>
      </c>
    </row>
    <row r="13815" ht="22.5" customHeight="1">
      <c r="B13815" s="42" t="str">
        <f>IFERROR(__xludf.DUMMYFUNCTION("""COMPUTED_VALUE"""),"")</f>
        <v/>
      </c>
      <c r="C13815" s="42" t="str">
        <f>IFERROR(__xludf.DUMMYFUNCTION("""COMPUTED_VALUE"""),"")</f>
        <v/>
      </c>
      <c r="D13815" s="42"/>
      <c r="E13815" s="42"/>
      <c r="F13815" s="48" t="str">
        <f>IFERROR(__xludf.DUMMYFUNCTION("""COMPUTED_VALUE"""),"")</f>
        <v/>
      </c>
      <c r="G13815" s="42" t="str">
        <f>IFERROR(__xludf.DUMMYFUNCTION("""COMPUTED_VALUE"""),"")</f>
        <v/>
      </c>
      <c r="H13815" s="42">
        <f t="shared" si="1"/>
        <v>3345</v>
      </c>
    </row>
    <row r="13816" ht="22.5" customHeight="1">
      <c r="B13816" s="42" t="str">
        <f>IFERROR(__xludf.DUMMYFUNCTION("""COMPUTED_VALUE"""),"")</f>
        <v/>
      </c>
      <c r="C13816" s="42" t="str">
        <f>IFERROR(__xludf.DUMMYFUNCTION("""COMPUTED_VALUE"""),"")</f>
        <v/>
      </c>
      <c r="D13816" s="42"/>
      <c r="E13816" s="42"/>
      <c r="F13816" s="48" t="str">
        <f>IFERROR(__xludf.DUMMYFUNCTION("""COMPUTED_VALUE"""),"")</f>
        <v/>
      </c>
      <c r="G13816" s="42" t="str">
        <f>IFERROR(__xludf.DUMMYFUNCTION("""COMPUTED_VALUE"""),"")</f>
        <v/>
      </c>
      <c r="H13816" s="42">
        <f t="shared" si="1"/>
        <v>3345</v>
      </c>
    </row>
    <row r="13817" ht="22.5" customHeight="1">
      <c r="B13817" s="42" t="str">
        <f>IFERROR(__xludf.DUMMYFUNCTION("""COMPUTED_VALUE"""),"")</f>
        <v/>
      </c>
      <c r="C13817" s="42" t="str">
        <f>IFERROR(__xludf.DUMMYFUNCTION("""COMPUTED_VALUE"""),"")</f>
        <v/>
      </c>
      <c r="D13817" s="42"/>
      <c r="E13817" s="42"/>
      <c r="F13817" s="48" t="str">
        <f>IFERROR(__xludf.DUMMYFUNCTION("""COMPUTED_VALUE"""),"")</f>
        <v/>
      </c>
      <c r="G13817" s="42" t="str">
        <f>IFERROR(__xludf.DUMMYFUNCTION("""COMPUTED_VALUE"""),"")</f>
        <v/>
      </c>
      <c r="H13817" s="42">
        <f t="shared" si="1"/>
        <v>3345</v>
      </c>
    </row>
    <row r="13818" ht="22.5" customHeight="1">
      <c r="B13818" s="42" t="str">
        <f>IFERROR(__xludf.DUMMYFUNCTION("""COMPUTED_VALUE"""),"")</f>
        <v/>
      </c>
      <c r="C13818" s="42" t="str">
        <f>IFERROR(__xludf.DUMMYFUNCTION("""COMPUTED_VALUE"""),"")</f>
        <v/>
      </c>
      <c r="D13818" s="42"/>
      <c r="E13818" s="42"/>
      <c r="F13818" s="48" t="str">
        <f>IFERROR(__xludf.DUMMYFUNCTION("""COMPUTED_VALUE"""),"")</f>
        <v/>
      </c>
      <c r="G13818" s="42" t="str">
        <f>IFERROR(__xludf.DUMMYFUNCTION("""COMPUTED_VALUE"""),"")</f>
        <v/>
      </c>
      <c r="H13818" s="42">
        <f t="shared" si="1"/>
        <v>3345</v>
      </c>
    </row>
    <row r="13819" ht="22.5" customHeight="1">
      <c r="B13819" s="42" t="str">
        <f>IFERROR(__xludf.DUMMYFUNCTION("""COMPUTED_VALUE"""),"")</f>
        <v/>
      </c>
      <c r="C13819" s="42" t="str">
        <f>IFERROR(__xludf.DUMMYFUNCTION("""COMPUTED_VALUE"""),"")</f>
        <v/>
      </c>
      <c r="D13819" s="42"/>
      <c r="E13819" s="42"/>
      <c r="F13819" s="48" t="str">
        <f>IFERROR(__xludf.DUMMYFUNCTION("""COMPUTED_VALUE"""),"")</f>
        <v/>
      </c>
      <c r="G13819" s="42" t="str">
        <f>IFERROR(__xludf.DUMMYFUNCTION("""COMPUTED_VALUE"""),"")</f>
        <v/>
      </c>
      <c r="H13819" s="42">
        <f t="shared" si="1"/>
        <v>3345</v>
      </c>
    </row>
    <row r="13820" ht="22.5" customHeight="1">
      <c r="B13820" s="42" t="str">
        <f>IFERROR(__xludf.DUMMYFUNCTION("""COMPUTED_VALUE"""),"")</f>
        <v/>
      </c>
      <c r="C13820" s="42" t="str">
        <f>IFERROR(__xludf.DUMMYFUNCTION("""COMPUTED_VALUE"""),"")</f>
        <v/>
      </c>
      <c r="D13820" s="42"/>
      <c r="E13820" s="42"/>
      <c r="F13820" s="48" t="str">
        <f>IFERROR(__xludf.DUMMYFUNCTION("""COMPUTED_VALUE"""),"")</f>
        <v/>
      </c>
      <c r="G13820" s="42" t="str">
        <f>IFERROR(__xludf.DUMMYFUNCTION("""COMPUTED_VALUE"""),"")</f>
        <v/>
      </c>
      <c r="H13820" s="42">
        <f t="shared" si="1"/>
        <v>3345</v>
      </c>
    </row>
    <row r="13821" ht="22.5" customHeight="1">
      <c r="B13821" s="42" t="str">
        <f>IFERROR(__xludf.DUMMYFUNCTION("""COMPUTED_VALUE"""),"")</f>
        <v/>
      </c>
      <c r="C13821" s="42" t="str">
        <f>IFERROR(__xludf.DUMMYFUNCTION("""COMPUTED_VALUE"""),"")</f>
        <v/>
      </c>
      <c r="D13821" s="42"/>
      <c r="E13821" s="42"/>
      <c r="F13821" s="48" t="str">
        <f>IFERROR(__xludf.DUMMYFUNCTION("""COMPUTED_VALUE"""),"")</f>
        <v/>
      </c>
      <c r="G13821" s="42" t="str">
        <f>IFERROR(__xludf.DUMMYFUNCTION("""COMPUTED_VALUE"""),"")</f>
        <v/>
      </c>
      <c r="H13821" s="42">
        <f t="shared" si="1"/>
        <v>3345</v>
      </c>
    </row>
    <row r="13822" ht="22.5" customHeight="1">
      <c r="B13822" s="42" t="str">
        <f>IFERROR(__xludf.DUMMYFUNCTION("""COMPUTED_VALUE"""),"")</f>
        <v/>
      </c>
      <c r="C13822" s="42" t="str">
        <f>IFERROR(__xludf.DUMMYFUNCTION("""COMPUTED_VALUE"""),"")</f>
        <v/>
      </c>
      <c r="D13822" s="42"/>
      <c r="E13822" s="42"/>
      <c r="F13822" s="48" t="str">
        <f>IFERROR(__xludf.DUMMYFUNCTION("""COMPUTED_VALUE"""),"")</f>
        <v/>
      </c>
      <c r="G13822" s="42" t="str">
        <f>IFERROR(__xludf.DUMMYFUNCTION("""COMPUTED_VALUE"""),"")</f>
        <v/>
      </c>
      <c r="H13822" s="42">
        <f t="shared" si="1"/>
        <v>3345</v>
      </c>
    </row>
    <row r="13823" ht="22.5" customHeight="1">
      <c r="B13823" s="42" t="str">
        <f>IFERROR(__xludf.DUMMYFUNCTION("""COMPUTED_VALUE"""),"")</f>
        <v/>
      </c>
      <c r="C13823" s="42" t="str">
        <f>IFERROR(__xludf.DUMMYFUNCTION("""COMPUTED_VALUE"""),"")</f>
        <v/>
      </c>
      <c r="D13823" s="42"/>
      <c r="E13823" s="42"/>
      <c r="F13823" s="48" t="str">
        <f>IFERROR(__xludf.DUMMYFUNCTION("""COMPUTED_VALUE"""),"")</f>
        <v/>
      </c>
      <c r="G13823" s="42" t="str">
        <f>IFERROR(__xludf.DUMMYFUNCTION("""COMPUTED_VALUE"""),"")</f>
        <v/>
      </c>
      <c r="H13823" s="42">
        <f t="shared" si="1"/>
        <v>3345</v>
      </c>
    </row>
    <row r="13824" ht="22.5" customHeight="1">
      <c r="B13824" s="42" t="str">
        <f>IFERROR(__xludf.DUMMYFUNCTION("""COMPUTED_VALUE"""),"")</f>
        <v/>
      </c>
      <c r="C13824" s="42" t="str">
        <f>IFERROR(__xludf.DUMMYFUNCTION("""COMPUTED_VALUE"""),"")</f>
        <v/>
      </c>
      <c r="D13824" s="42"/>
      <c r="E13824" s="42"/>
      <c r="F13824" s="48" t="str">
        <f>IFERROR(__xludf.DUMMYFUNCTION("""COMPUTED_VALUE"""),"")</f>
        <v/>
      </c>
      <c r="G13824" s="42" t="str">
        <f>IFERROR(__xludf.DUMMYFUNCTION("""COMPUTED_VALUE"""),"")</f>
        <v/>
      </c>
      <c r="H13824" s="42">
        <f t="shared" si="1"/>
        <v>3345</v>
      </c>
    </row>
    <row r="13825" ht="22.5" customHeight="1">
      <c r="B13825" s="42" t="str">
        <f>IFERROR(__xludf.DUMMYFUNCTION("""COMPUTED_VALUE"""),"")</f>
        <v/>
      </c>
      <c r="C13825" s="42" t="str">
        <f>IFERROR(__xludf.DUMMYFUNCTION("""COMPUTED_VALUE"""),"")</f>
        <v/>
      </c>
      <c r="D13825" s="42"/>
      <c r="E13825" s="42"/>
      <c r="F13825" s="48" t="str">
        <f>IFERROR(__xludf.DUMMYFUNCTION("""COMPUTED_VALUE"""),"")</f>
        <v/>
      </c>
      <c r="G13825" s="42" t="str">
        <f>IFERROR(__xludf.DUMMYFUNCTION("""COMPUTED_VALUE"""),"")</f>
        <v/>
      </c>
      <c r="H13825" s="42">
        <f t="shared" si="1"/>
        <v>3345</v>
      </c>
    </row>
    <row r="13826" ht="22.5" customHeight="1">
      <c r="B13826" s="42" t="str">
        <f>IFERROR(__xludf.DUMMYFUNCTION("""COMPUTED_VALUE"""),"")</f>
        <v/>
      </c>
      <c r="C13826" s="42" t="str">
        <f>IFERROR(__xludf.DUMMYFUNCTION("""COMPUTED_VALUE"""),"")</f>
        <v/>
      </c>
      <c r="D13826" s="42"/>
      <c r="E13826" s="42"/>
      <c r="F13826" s="48" t="str">
        <f>IFERROR(__xludf.DUMMYFUNCTION("""COMPUTED_VALUE"""),"")</f>
        <v/>
      </c>
      <c r="G13826" s="42" t="str">
        <f>IFERROR(__xludf.DUMMYFUNCTION("""COMPUTED_VALUE"""),"")</f>
        <v/>
      </c>
      <c r="H13826" s="42">
        <f t="shared" si="1"/>
        <v>3345</v>
      </c>
    </row>
    <row r="13827" ht="22.5" customHeight="1">
      <c r="B13827" s="42" t="str">
        <f>IFERROR(__xludf.DUMMYFUNCTION("""COMPUTED_VALUE"""),"")</f>
        <v/>
      </c>
      <c r="C13827" s="42" t="str">
        <f>IFERROR(__xludf.DUMMYFUNCTION("""COMPUTED_VALUE"""),"")</f>
        <v/>
      </c>
      <c r="D13827" s="42"/>
      <c r="E13827" s="42"/>
      <c r="F13827" s="48" t="str">
        <f>IFERROR(__xludf.DUMMYFUNCTION("""COMPUTED_VALUE"""),"")</f>
        <v/>
      </c>
      <c r="G13827" s="42" t="str">
        <f>IFERROR(__xludf.DUMMYFUNCTION("""COMPUTED_VALUE"""),"")</f>
        <v/>
      </c>
      <c r="H13827" s="42">
        <f t="shared" si="1"/>
        <v>3345</v>
      </c>
    </row>
    <row r="13828" ht="22.5" customHeight="1">
      <c r="B13828" s="42" t="str">
        <f>IFERROR(__xludf.DUMMYFUNCTION("""COMPUTED_VALUE"""),"")</f>
        <v/>
      </c>
      <c r="C13828" s="42" t="str">
        <f>IFERROR(__xludf.DUMMYFUNCTION("""COMPUTED_VALUE"""),"")</f>
        <v/>
      </c>
      <c r="D13828" s="42"/>
      <c r="E13828" s="42"/>
      <c r="F13828" s="48" t="str">
        <f>IFERROR(__xludf.DUMMYFUNCTION("""COMPUTED_VALUE"""),"")</f>
        <v/>
      </c>
      <c r="G13828" s="42" t="str">
        <f>IFERROR(__xludf.DUMMYFUNCTION("""COMPUTED_VALUE"""),"")</f>
        <v/>
      </c>
      <c r="H13828" s="42">
        <f t="shared" si="1"/>
        <v>3345</v>
      </c>
    </row>
    <row r="13829" ht="22.5" customHeight="1">
      <c r="B13829" s="42" t="str">
        <f>IFERROR(__xludf.DUMMYFUNCTION("""COMPUTED_VALUE"""),"")</f>
        <v/>
      </c>
      <c r="C13829" s="42" t="str">
        <f>IFERROR(__xludf.DUMMYFUNCTION("""COMPUTED_VALUE"""),"")</f>
        <v/>
      </c>
      <c r="D13829" s="42"/>
      <c r="E13829" s="42"/>
      <c r="F13829" s="48" t="str">
        <f>IFERROR(__xludf.DUMMYFUNCTION("""COMPUTED_VALUE"""),"")</f>
        <v/>
      </c>
      <c r="G13829" s="42" t="str">
        <f>IFERROR(__xludf.DUMMYFUNCTION("""COMPUTED_VALUE"""),"")</f>
        <v/>
      </c>
      <c r="H13829" s="42">
        <f t="shared" si="1"/>
        <v>3345</v>
      </c>
    </row>
    <row r="13830" ht="22.5" customHeight="1">
      <c r="B13830" s="42" t="str">
        <f>IFERROR(__xludf.DUMMYFUNCTION("""COMPUTED_VALUE"""),"")</f>
        <v/>
      </c>
      <c r="C13830" s="42" t="str">
        <f>IFERROR(__xludf.DUMMYFUNCTION("""COMPUTED_VALUE"""),"")</f>
        <v/>
      </c>
      <c r="D13830" s="42"/>
      <c r="E13830" s="42"/>
      <c r="F13830" s="48" t="str">
        <f>IFERROR(__xludf.DUMMYFUNCTION("""COMPUTED_VALUE"""),"")</f>
        <v/>
      </c>
      <c r="G13830" s="42" t="str">
        <f>IFERROR(__xludf.DUMMYFUNCTION("""COMPUTED_VALUE"""),"")</f>
        <v/>
      </c>
      <c r="H13830" s="42">
        <f t="shared" si="1"/>
        <v>3345</v>
      </c>
    </row>
    <row r="13831" ht="22.5" customHeight="1">
      <c r="B13831" s="42" t="str">
        <f>IFERROR(__xludf.DUMMYFUNCTION("""COMPUTED_VALUE"""),"")</f>
        <v/>
      </c>
      <c r="C13831" s="42" t="str">
        <f>IFERROR(__xludf.DUMMYFUNCTION("""COMPUTED_VALUE"""),"")</f>
        <v/>
      </c>
      <c r="D13831" s="42"/>
      <c r="E13831" s="42"/>
      <c r="F13831" s="48" t="str">
        <f>IFERROR(__xludf.DUMMYFUNCTION("""COMPUTED_VALUE"""),"")</f>
        <v/>
      </c>
      <c r="G13831" s="42" t="str">
        <f>IFERROR(__xludf.DUMMYFUNCTION("""COMPUTED_VALUE"""),"")</f>
        <v/>
      </c>
      <c r="H13831" s="42">
        <f t="shared" si="1"/>
        <v>3345</v>
      </c>
    </row>
    <row r="13832" ht="22.5" customHeight="1">
      <c r="B13832" s="42" t="str">
        <f>IFERROR(__xludf.DUMMYFUNCTION("""COMPUTED_VALUE"""),"")</f>
        <v/>
      </c>
      <c r="C13832" s="42" t="str">
        <f>IFERROR(__xludf.DUMMYFUNCTION("""COMPUTED_VALUE"""),"")</f>
        <v/>
      </c>
      <c r="D13832" s="42"/>
      <c r="E13832" s="42"/>
      <c r="F13832" s="48" t="str">
        <f>IFERROR(__xludf.DUMMYFUNCTION("""COMPUTED_VALUE"""),"")</f>
        <v/>
      </c>
      <c r="G13832" s="42" t="str">
        <f>IFERROR(__xludf.DUMMYFUNCTION("""COMPUTED_VALUE"""),"")</f>
        <v/>
      </c>
      <c r="H13832" s="42">
        <f t="shared" si="1"/>
        <v>3345</v>
      </c>
    </row>
    <row r="13833" ht="22.5" customHeight="1">
      <c r="B13833" s="42" t="str">
        <f>IFERROR(__xludf.DUMMYFUNCTION("""COMPUTED_VALUE"""),"")</f>
        <v/>
      </c>
      <c r="C13833" s="42" t="str">
        <f>IFERROR(__xludf.DUMMYFUNCTION("""COMPUTED_VALUE"""),"")</f>
        <v/>
      </c>
      <c r="D13833" s="42"/>
      <c r="E13833" s="42"/>
      <c r="F13833" s="48" t="str">
        <f>IFERROR(__xludf.DUMMYFUNCTION("""COMPUTED_VALUE"""),"")</f>
        <v/>
      </c>
      <c r="G13833" s="42" t="str">
        <f>IFERROR(__xludf.DUMMYFUNCTION("""COMPUTED_VALUE"""),"")</f>
        <v/>
      </c>
      <c r="H13833" s="42">
        <f t="shared" si="1"/>
        <v>3345</v>
      </c>
    </row>
    <row r="13834" ht="22.5" customHeight="1">
      <c r="B13834" s="42" t="str">
        <f>IFERROR(__xludf.DUMMYFUNCTION("""COMPUTED_VALUE"""),"")</f>
        <v/>
      </c>
      <c r="C13834" s="42" t="str">
        <f>IFERROR(__xludf.DUMMYFUNCTION("""COMPUTED_VALUE"""),"")</f>
        <v/>
      </c>
      <c r="D13834" s="42"/>
      <c r="E13834" s="42"/>
      <c r="F13834" s="48" t="str">
        <f>IFERROR(__xludf.DUMMYFUNCTION("""COMPUTED_VALUE"""),"")</f>
        <v/>
      </c>
      <c r="G13834" s="42" t="str">
        <f>IFERROR(__xludf.DUMMYFUNCTION("""COMPUTED_VALUE"""),"")</f>
        <v/>
      </c>
      <c r="H13834" s="42">
        <f t="shared" si="1"/>
        <v>3345</v>
      </c>
    </row>
    <row r="13835" ht="22.5" customHeight="1">
      <c r="B13835" s="42" t="str">
        <f>IFERROR(__xludf.DUMMYFUNCTION("""COMPUTED_VALUE"""),"")</f>
        <v/>
      </c>
      <c r="C13835" s="42" t="str">
        <f>IFERROR(__xludf.DUMMYFUNCTION("""COMPUTED_VALUE"""),"")</f>
        <v/>
      </c>
      <c r="D13835" s="42"/>
      <c r="E13835" s="42"/>
      <c r="F13835" s="48" t="str">
        <f>IFERROR(__xludf.DUMMYFUNCTION("""COMPUTED_VALUE"""),"")</f>
        <v/>
      </c>
      <c r="G13835" s="42" t="str">
        <f>IFERROR(__xludf.DUMMYFUNCTION("""COMPUTED_VALUE"""),"")</f>
        <v/>
      </c>
      <c r="H13835" s="42">
        <f t="shared" si="1"/>
        <v>3345</v>
      </c>
    </row>
    <row r="13836" ht="22.5" customHeight="1">
      <c r="B13836" s="42" t="str">
        <f>IFERROR(__xludf.DUMMYFUNCTION("""COMPUTED_VALUE"""),"")</f>
        <v/>
      </c>
      <c r="C13836" s="42" t="str">
        <f>IFERROR(__xludf.DUMMYFUNCTION("""COMPUTED_VALUE"""),"")</f>
        <v/>
      </c>
      <c r="D13836" s="42"/>
      <c r="E13836" s="42"/>
      <c r="F13836" s="48" t="str">
        <f>IFERROR(__xludf.DUMMYFUNCTION("""COMPUTED_VALUE"""),"")</f>
        <v/>
      </c>
      <c r="G13836" s="42" t="str">
        <f>IFERROR(__xludf.DUMMYFUNCTION("""COMPUTED_VALUE"""),"")</f>
        <v/>
      </c>
      <c r="H13836" s="42">
        <f t="shared" si="1"/>
        <v>3345</v>
      </c>
    </row>
    <row r="13837" ht="22.5" customHeight="1">
      <c r="B13837" s="42" t="str">
        <f>IFERROR(__xludf.DUMMYFUNCTION("""COMPUTED_VALUE"""),"")</f>
        <v/>
      </c>
      <c r="C13837" s="42" t="str">
        <f>IFERROR(__xludf.DUMMYFUNCTION("""COMPUTED_VALUE"""),"")</f>
        <v/>
      </c>
      <c r="D13837" s="42"/>
      <c r="E13837" s="42"/>
      <c r="F13837" s="48" t="str">
        <f>IFERROR(__xludf.DUMMYFUNCTION("""COMPUTED_VALUE"""),"")</f>
        <v/>
      </c>
      <c r="G13837" s="42" t="str">
        <f>IFERROR(__xludf.DUMMYFUNCTION("""COMPUTED_VALUE"""),"")</f>
        <v/>
      </c>
      <c r="H13837" s="42">
        <f t="shared" si="1"/>
        <v>3345</v>
      </c>
    </row>
    <row r="13838" ht="22.5" customHeight="1">
      <c r="B13838" s="42" t="str">
        <f>IFERROR(__xludf.DUMMYFUNCTION("""COMPUTED_VALUE"""),"")</f>
        <v/>
      </c>
      <c r="C13838" s="42" t="str">
        <f>IFERROR(__xludf.DUMMYFUNCTION("""COMPUTED_VALUE"""),"")</f>
        <v/>
      </c>
      <c r="D13838" s="42"/>
      <c r="E13838" s="42"/>
      <c r="F13838" s="48" t="str">
        <f>IFERROR(__xludf.DUMMYFUNCTION("""COMPUTED_VALUE"""),"")</f>
        <v/>
      </c>
      <c r="G13838" s="42" t="str">
        <f>IFERROR(__xludf.DUMMYFUNCTION("""COMPUTED_VALUE"""),"")</f>
        <v/>
      </c>
      <c r="H13838" s="42">
        <f t="shared" si="1"/>
        <v>3345</v>
      </c>
    </row>
    <row r="13839" ht="22.5" customHeight="1">
      <c r="B13839" s="42" t="str">
        <f>IFERROR(__xludf.DUMMYFUNCTION("""COMPUTED_VALUE"""),"")</f>
        <v/>
      </c>
      <c r="C13839" s="42" t="str">
        <f>IFERROR(__xludf.DUMMYFUNCTION("""COMPUTED_VALUE"""),"")</f>
        <v/>
      </c>
      <c r="D13839" s="42"/>
      <c r="E13839" s="42"/>
      <c r="F13839" s="48" t="str">
        <f>IFERROR(__xludf.DUMMYFUNCTION("""COMPUTED_VALUE"""),"")</f>
        <v/>
      </c>
      <c r="G13839" s="42" t="str">
        <f>IFERROR(__xludf.DUMMYFUNCTION("""COMPUTED_VALUE"""),"")</f>
        <v/>
      </c>
      <c r="H13839" s="42">
        <f t="shared" si="1"/>
        <v>3345</v>
      </c>
    </row>
    <row r="13840" ht="22.5" customHeight="1">
      <c r="B13840" s="42" t="str">
        <f>IFERROR(__xludf.DUMMYFUNCTION("""COMPUTED_VALUE"""),"")</f>
        <v/>
      </c>
      <c r="C13840" s="42" t="str">
        <f>IFERROR(__xludf.DUMMYFUNCTION("""COMPUTED_VALUE"""),"")</f>
        <v/>
      </c>
      <c r="D13840" s="42"/>
      <c r="E13840" s="42"/>
      <c r="F13840" s="48" t="str">
        <f>IFERROR(__xludf.DUMMYFUNCTION("""COMPUTED_VALUE"""),"")</f>
        <v/>
      </c>
      <c r="G13840" s="42" t="str">
        <f>IFERROR(__xludf.DUMMYFUNCTION("""COMPUTED_VALUE"""),"")</f>
        <v/>
      </c>
      <c r="H13840" s="42">
        <f t="shared" si="1"/>
        <v>3345</v>
      </c>
    </row>
    <row r="13841" ht="22.5" customHeight="1">
      <c r="B13841" s="42" t="str">
        <f>IFERROR(__xludf.DUMMYFUNCTION("""COMPUTED_VALUE"""),"")</f>
        <v/>
      </c>
      <c r="C13841" s="42" t="str">
        <f>IFERROR(__xludf.DUMMYFUNCTION("""COMPUTED_VALUE"""),"")</f>
        <v/>
      </c>
      <c r="D13841" s="42"/>
      <c r="E13841" s="42"/>
      <c r="F13841" s="48" t="str">
        <f>IFERROR(__xludf.DUMMYFUNCTION("""COMPUTED_VALUE"""),"")</f>
        <v/>
      </c>
      <c r="G13841" s="42" t="str">
        <f>IFERROR(__xludf.DUMMYFUNCTION("""COMPUTED_VALUE"""),"")</f>
        <v/>
      </c>
      <c r="H13841" s="42">
        <f t="shared" si="1"/>
        <v>3345</v>
      </c>
    </row>
    <row r="13842" ht="22.5" customHeight="1">
      <c r="B13842" s="42" t="str">
        <f>IFERROR(__xludf.DUMMYFUNCTION("""COMPUTED_VALUE"""),"")</f>
        <v/>
      </c>
      <c r="C13842" s="42" t="str">
        <f>IFERROR(__xludf.DUMMYFUNCTION("""COMPUTED_VALUE"""),"")</f>
        <v/>
      </c>
      <c r="D13842" s="42"/>
      <c r="E13842" s="42"/>
      <c r="F13842" s="48" t="str">
        <f>IFERROR(__xludf.DUMMYFUNCTION("""COMPUTED_VALUE"""),"")</f>
        <v/>
      </c>
      <c r="G13842" s="42" t="str">
        <f>IFERROR(__xludf.DUMMYFUNCTION("""COMPUTED_VALUE"""),"")</f>
        <v/>
      </c>
      <c r="H13842" s="42">
        <f t="shared" si="1"/>
        <v>3345</v>
      </c>
    </row>
    <row r="13843" ht="22.5" customHeight="1">
      <c r="B13843" s="42" t="str">
        <f>IFERROR(__xludf.DUMMYFUNCTION("""COMPUTED_VALUE"""),"")</f>
        <v/>
      </c>
      <c r="C13843" s="42" t="str">
        <f>IFERROR(__xludf.DUMMYFUNCTION("""COMPUTED_VALUE"""),"")</f>
        <v/>
      </c>
      <c r="D13843" s="42"/>
      <c r="E13843" s="42"/>
      <c r="F13843" s="48" t="str">
        <f>IFERROR(__xludf.DUMMYFUNCTION("""COMPUTED_VALUE"""),"")</f>
        <v/>
      </c>
      <c r="G13843" s="42" t="str">
        <f>IFERROR(__xludf.DUMMYFUNCTION("""COMPUTED_VALUE"""),"")</f>
        <v/>
      </c>
      <c r="H13843" s="42">
        <f t="shared" si="1"/>
        <v>3345</v>
      </c>
    </row>
    <row r="13844" ht="22.5" customHeight="1">
      <c r="B13844" s="42" t="str">
        <f>IFERROR(__xludf.DUMMYFUNCTION("""COMPUTED_VALUE"""),"")</f>
        <v/>
      </c>
      <c r="C13844" s="42" t="str">
        <f>IFERROR(__xludf.DUMMYFUNCTION("""COMPUTED_VALUE"""),"")</f>
        <v/>
      </c>
      <c r="D13844" s="42"/>
      <c r="E13844" s="42"/>
      <c r="F13844" s="48" t="str">
        <f>IFERROR(__xludf.DUMMYFUNCTION("""COMPUTED_VALUE"""),"")</f>
        <v/>
      </c>
      <c r="G13844" s="42" t="str">
        <f>IFERROR(__xludf.DUMMYFUNCTION("""COMPUTED_VALUE"""),"")</f>
        <v/>
      </c>
      <c r="H13844" s="42">
        <f t="shared" si="1"/>
        <v>3345</v>
      </c>
    </row>
    <row r="13845" ht="22.5" customHeight="1">
      <c r="B13845" s="42" t="str">
        <f>IFERROR(__xludf.DUMMYFUNCTION("""COMPUTED_VALUE"""),"")</f>
        <v/>
      </c>
      <c r="C13845" s="42" t="str">
        <f>IFERROR(__xludf.DUMMYFUNCTION("""COMPUTED_VALUE"""),"")</f>
        <v/>
      </c>
      <c r="D13845" s="42"/>
      <c r="E13845" s="42"/>
      <c r="F13845" s="48" t="str">
        <f>IFERROR(__xludf.DUMMYFUNCTION("""COMPUTED_VALUE"""),"")</f>
        <v/>
      </c>
      <c r="G13845" s="42" t="str">
        <f>IFERROR(__xludf.DUMMYFUNCTION("""COMPUTED_VALUE"""),"")</f>
        <v/>
      </c>
      <c r="H13845" s="42">
        <f t="shared" si="1"/>
        <v>3345</v>
      </c>
    </row>
    <row r="13846" ht="22.5" customHeight="1">
      <c r="B13846" s="42" t="str">
        <f>IFERROR(__xludf.DUMMYFUNCTION("""COMPUTED_VALUE"""),"")</f>
        <v/>
      </c>
      <c r="C13846" s="42" t="str">
        <f>IFERROR(__xludf.DUMMYFUNCTION("""COMPUTED_VALUE"""),"")</f>
        <v/>
      </c>
      <c r="D13846" s="42"/>
      <c r="E13846" s="42"/>
      <c r="F13846" s="48" t="str">
        <f>IFERROR(__xludf.DUMMYFUNCTION("""COMPUTED_VALUE"""),"")</f>
        <v/>
      </c>
      <c r="G13846" s="42" t="str">
        <f>IFERROR(__xludf.DUMMYFUNCTION("""COMPUTED_VALUE"""),"")</f>
        <v/>
      </c>
      <c r="H13846" s="42">
        <f t="shared" si="1"/>
        <v>3345</v>
      </c>
    </row>
    <row r="13847" ht="22.5" customHeight="1">
      <c r="B13847" s="42" t="str">
        <f>IFERROR(__xludf.DUMMYFUNCTION("""COMPUTED_VALUE"""),"")</f>
        <v/>
      </c>
      <c r="C13847" s="42" t="str">
        <f>IFERROR(__xludf.DUMMYFUNCTION("""COMPUTED_VALUE"""),"")</f>
        <v/>
      </c>
      <c r="D13847" s="42"/>
      <c r="E13847" s="42"/>
      <c r="F13847" s="48" t="str">
        <f>IFERROR(__xludf.DUMMYFUNCTION("""COMPUTED_VALUE"""),"")</f>
        <v/>
      </c>
      <c r="G13847" s="42" t="str">
        <f>IFERROR(__xludf.DUMMYFUNCTION("""COMPUTED_VALUE"""),"")</f>
        <v/>
      </c>
      <c r="H13847" s="42">
        <f t="shared" si="1"/>
        <v>3345</v>
      </c>
    </row>
    <row r="13848" ht="22.5" customHeight="1">
      <c r="B13848" s="42" t="str">
        <f>IFERROR(__xludf.DUMMYFUNCTION("""COMPUTED_VALUE"""),"")</f>
        <v/>
      </c>
      <c r="C13848" s="42" t="str">
        <f>IFERROR(__xludf.DUMMYFUNCTION("""COMPUTED_VALUE"""),"")</f>
        <v/>
      </c>
      <c r="D13848" s="42"/>
      <c r="E13848" s="42"/>
      <c r="F13848" s="48" t="str">
        <f>IFERROR(__xludf.DUMMYFUNCTION("""COMPUTED_VALUE"""),"")</f>
        <v/>
      </c>
      <c r="G13848" s="42" t="str">
        <f>IFERROR(__xludf.DUMMYFUNCTION("""COMPUTED_VALUE"""),"")</f>
        <v/>
      </c>
      <c r="H13848" s="42">
        <f t="shared" si="1"/>
        <v>3345</v>
      </c>
    </row>
    <row r="13849" ht="22.5" customHeight="1">
      <c r="B13849" s="42" t="str">
        <f>IFERROR(__xludf.DUMMYFUNCTION("""COMPUTED_VALUE"""),"")</f>
        <v/>
      </c>
      <c r="C13849" s="42" t="str">
        <f>IFERROR(__xludf.DUMMYFUNCTION("""COMPUTED_VALUE"""),"")</f>
        <v/>
      </c>
      <c r="D13849" s="42"/>
      <c r="E13849" s="42"/>
      <c r="F13849" s="48" t="str">
        <f>IFERROR(__xludf.DUMMYFUNCTION("""COMPUTED_VALUE"""),"")</f>
        <v/>
      </c>
      <c r="G13849" s="42" t="str">
        <f>IFERROR(__xludf.DUMMYFUNCTION("""COMPUTED_VALUE"""),"")</f>
        <v/>
      </c>
      <c r="H13849" s="42">
        <f t="shared" si="1"/>
        <v>3345</v>
      </c>
    </row>
    <row r="13850" ht="22.5" customHeight="1">
      <c r="B13850" s="42" t="str">
        <f>IFERROR(__xludf.DUMMYFUNCTION("""COMPUTED_VALUE"""),"")</f>
        <v/>
      </c>
      <c r="C13850" s="42" t="str">
        <f>IFERROR(__xludf.DUMMYFUNCTION("""COMPUTED_VALUE"""),"")</f>
        <v/>
      </c>
      <c r="D13850" s="42"/>
      <c r="E13850" s="42"/>
      <c r="F13850" s="48" t="str">
        <f>IFERROR(__xludf.DUMMYFUNCTION("""COMPUTED_VALUE"""),"")</f>
        <v/>
      </c>
      <c r="G13850" s="42" t="str">
        <f>IFERROR(__xludf.DUMMYFUNCTION("""COMPUTED_VALUE"""),"")</f>
        <v/>
      </c>
      <c r="H13850" s="42">
        <f t="shared" si="1"/>
        <v>3345</v>
      </c>
    </row>
    <row r="13851" ht="22.5" customHeight="1">
      <c r="B13851" s="42" t="str">
        <f>IFERROR(__xludf.DUMMYFUNCTION("""COMPUTED_VALUE"""),"")</f>
        <v/>
      </c>
      <c r="C13851" s="42" t="str">
        <f>IFERROR(__xludf.DUMMYFUNCTION("""COMPUTED_VALUE"""),"")</f>
        <v/>
      </c>
      <c r="D13851" s="42"/>
      <c r="E13851" s="42"/>
      <c r="F13851" s="48" t="str">
        <f>IFERROR(__xludf.DUMMYFUNCTION("""COMPUTED_VALUE"""),"")</f>
        <v/>
      </c>
      <c r="G13851" s="42" t="str">
        <f>IFERROR(__xludf.DUMMYFUNCTION("""COMPUTED_VALUE"""),"")</f>
        <v/>
      </c>
      <c r="H13851" s="42">
        <f t="shared" si="1"/>
        <v>3345</v>
      </c>
    </row>
    <row r="13852" ht="22.5" customHeight="1">
      <c r="B13852" s="42" t="str">
        <f>IFERROR(__xludf.DUMMYFUNCTION("""COMPUTED_VALUE"""),"")</f>
        <v/>
      </c>
      <c r="C13852" s="42" t="str">
        <f>IFERROR(__xludf.DUMMYFUNCTION("""COMPUTED_VALUE"""),"")</f>
        <v/>
      </c>
      <c r="D13852" s="42"/>
      <c r="E13852" s="42"/>
      <c r="F13852" s="48" t="str">
        <f>IFERROR(__xludf.DUMMYFUNCTION("""COMPUTED_VALUE"""),"")</f>
        <v/>
      </c>
      <c r="G13852" s="42" t="str">
        <f>IFERROR(__xludf.DUMMYFUNCTION("""COMPUTED_VALUE"""),"")</f>
        <v/>
      </c>
      <c r="H13852" s="42">
        <f t="shared" si="1"/>
        <v>3345</v>
      </c>
    </row>
    <row r="13853" ht="22.5" customHeight="1">
      <c r="B13853" s="42" t="str">
        <f>IFERROR(__xludf.DUMMYFUNCTION("""COMPUTED_VALUE"""),"")</f>
        <v/>
      </c>
      <c r="C13853" s="42" t="str">
        <f>IFERROR(__xludf.DUMMYFUNCTION("""COMPUTED_VALUE"""),"")</f>
        <v/>
      </c>
      <c r="D13853" s="42"/>
      <c r="E13853" s="42"/>
      <c r="F13853" s="48" t="str">
        <f>IFERROR(__xludf.DUMMYFUNCTION("""COMPUTED_VALUE"""),"")</f>
        <v/>
      </c>
      <c r="G13853" s="42" t="str">
        <f>IFERROR(__xludf.DUMMYFUNCTION("""COMPUTED_VALUE"""),"")</f>
        <v/>
      </c>
      <c r="H13853" s="42">
        <f t="shared" si="1"/>
        <v>3345</v>
      </c>
    </row>
    <row r="13854" ht="22.5" customHeight="1">
      <c r="B13854" s="42" t="str">
        <f>IFERROR(__xludf.DUMMYFUNCTION("""COMPUTED_VALUE"""),"")</f>
        <v/>
      </c>
      <c r="C13854" s="42" t="str">
        <f>IFERROR(__xludf.DUMMYFUNCTION("""COMPUTED_VALUE"""),"")</f>
        <v/>
      </c>
      <c r="D13854" s="42"/>
      <c r="E13854" s="42"/>
      <c r="F13854" s="48" t="str">
        <f>IFERROR(__xludf.DUMMYFUNCTION("""COMPUTED_VALUE"""),"")</f>
        <v/>
      </c>
      <c r="G13854" s="42" t="str">
        <f>IFERROR(__xludf.DUMMYFUNCTION("""COMPUTED_VALUE"""),"")</f>
        <v/>
      </c>
      <c r="H13854" s="42">
        <f t="shared" si="1"/>
        <v>3345</v>
      </c>
    </row>
    <row r="13855" ht="22.5" customHeight="1">
      <c r="B13855" s="42" t="str">
        <f>IFERROR(__xludf.DUMMYFUNCTION("""COMPUTED_VALUE"""),"")</f>
        <v/>
      </c>
      <c r="C13855" s="42" t="str">
        <f>IFERROR(__xludf.DUMMYFUNCTION("""COMPUTED_VALUE"""),"")</f>
        <v/>
      </c>
      <c r="D13855" s="42"/>
      <c r="E13855" s="42"/>
      <c r="F13855" s="48" t="str">
        <f>IFERROR(__xludf.DUMMYFUNCTION("""COMPUTED_VALUE"""),"")</f>
        <v/>
      </c>
      <c r="G13855" s="42" t="str">
        <f>IFERROR(__xludf.DUMMYFUNCTION("""COMPUTED_VALUE"""),"")</f>
        <v/>
      </c>
      <c r="H13855" s="42">
        <f t="shared" si="1"/>
        <v>3345</v>
      </c>
    </row>
    <row r="13856" ht="22.5" customHeight="1">
      <c r="B13856" s="42" t="str">
        <f>IFERROR(__xludf.DUMMYFUNCTION("""COMPUTED_VALUE"""),"")</f>
        <v/>
      </c>
      <c r="C13856" s="42" t="str">
        <f>IFERROR(__xludf.DUMMYFUNCTION("""COMPUTED_VALUE"""),"")</f>
        <v/>
      </c>
      <c r="D13856" s="42"/>
      <c r="E13856" s="42"/>
      <c r="F13856" s="48" t="str">
        <f>IFERROR(__xludf.DUMMYFUNCTION("""COMPUTED_VALUE"""),"")</f>
        <v/>
      </c>
      <c r="G13856" s="42" t="str">
        <f>IFERROR(__xludf.DUMMYFUNCTION("""COMPUTED_VALUE"""),"")</f>
        <v/>
      </c>
      <c r="H13856" s="42">
        <f t="shared" si="1"/>
        <v>3345</v>
      </c>
    </row>
    <row r="13857" ht="22.5" customHeight="1">
      <c r="B13857" s="42" t="str">
        <f>IFERROR(__xludf.DUMMYFUNCTION("""COMPUTED_VALUE"""),"")</f>
        <v/>
      </c>
      <c r="C13857" s="42" t="str">
        <f>IFERROR(__xludf.DUMMYFUNCTION("""COMPUTED_VALUE"""),"")</f>
        <v/>
      </c>
      <c r="D13857" s="42"/>
      <c r="E13857" s="42"/>
      <c r="F13857" s="48" t="str">
        <f>IFERROR(__xludf.DUMMYFUNCTION("""COMPUTED_VALUE"""),"")</f>
        <v/>
      </c>
      <c r="G13857" s="42" t="str">
        <f>IFERROR(__xludf.DUMMYFUNCTION("""COMPUTED_VALUE"""),"")</f>
        <v/>
      </c>
      <c r="H13857" s="42">
        <f t="shared" si="1"/>
        <v>3345</v>
      </c>
    </row>
    <row r="13858" ht="22.5" customHeight="1">
      <c r="B13858" s="42" t="str">
        <f>IFERROR(__xludf.DUMMYFUNCTION("""COMPUTED_VALUE"""),"")</f>
        <v/>
      </c>
      <c r="C13858" s="42" t="str">
        <f>IFERROR(__xludf.DUMMYFUNCTION("""COMPUTED_VALUE"""),"")</f>
        <v/>
      </c>
      <c r="D13858" s="42"/>
      <c r="E13858" s="42"/>
      <c r="F13858" s="48" t="str">
        <f>IFERROR(__xludf.DUMMYFUNCTION("""COMPUTED_VALUE"""),"")</f>
        <v/>
      </c>
      <c r="G13858" s="42" t="str">
        <f>IFERROR(__xludf.DUMMYFUNCTION("""COMPUTED_VALUE"""),"")</f>
        <v/>
      </c>
      <c r="H13858" s="42">
        <f t="shared" si="1"/>
        <v>3345</v>
      </c>
    </row>
    <row r="13859" ht="22.5" customHeight="1">
      <c r="B13859" s="42" t="str">
        <f>IFERROR(__xludf.DUMMYFUNCTION("""COMPUTED_VALUE"""),"")</f>
        <v/>
      </c>
      <c r="C13859" s="42" t="str">
        <f>IFERROR(__xludf.DUMMYFUNCTION("""COMPUTED_VALUE"""),"")</f>
        <v/>
      </c>
      <c r="D13859" s="42"/>
      <c r="E13859" s="42"/>
      <c r="F13859" s="48" t="str">
        <f>IFERROR(__xludf.DUMMYFUNCTION("""COMPUTED_VALUE"""),"")</f>
        <v/>
      </c>
      <c r="G13859" s="42" t="str">
        <f>IFERROR(__xludf.DUMMYFUNCTION("""COMPUTED_VALUE"""),"")</f>
        <v/>
      </c>
      <c r="H13859" s="42">
        <f t="shared" si="1"/>
        <v>3345</v>
      </c>
    </row>
    <row r="13860" ht="22.5" customHeight="1">
      <c r="B13860" s="42" t="str">
        <f>IFERROR(__xludf.DUMMYFUNCTION("""COMPUTED_VALUE"""),"")</f>
        <v/>
      </c>
      <c r="C13860" s="42" t="str">
        <f>IFERROR(__xludf.DUMMYFUNCTION("""COMPUTED_VALUE"""),"")</f>
        <v/>
      </c>
      <c r="D13860" s="42"/>
      <c r="E13860" s="42"/>
      <c r="F13860" s="48" t="str">
        <f>IFERROR(__xludf.DUMMYFUNCTION("""COMPUTED_VALUE"""),"")</f>
        <v/>
      </c>
      <c r="G13860" s="42" t="str">
        <f>IFERROR(__xludf.DUMMYFUNCTION("""COMPUTED_VALUE"""),"")</f>
        <v/>
      </c>
      <c r="H13860" s="42">
        <f t="shared" si="1"/>
        <v>3345</v>
      </c>
    </row>
    <row r="13861" ht="22.5" customHeight="1">
      <c r="B13861" s="42" t="str">
        <f>IFERROR(__xludf.DUMMYFUNCTION("""COMPUTED_VALUE"""),"")</f>
        <v/>
      </c>
      <c r="C13861" s="42" t="str">
        <f>IFERROR(__xludf.DUMMYFUNCTION("""COMPUTED_VALUE"""),"")</f>
        <v/>
      </c>
      <c r="D13861" s="42"/>
      <c r="E13861" s="42"/>
      <c r="F13861" s="48" t="str">
        <f>IFERROR(__xludf.DUMMYFUNCTION("""COMPUTED_VALUE"""),"")</f>
        <v/>
      </c>
      <c r="G13861" s="42" t="str">
        <f>IFERROR(__xludf.DUMMYFUNCTION("""COMPUTED_VALUE"""),"")</f>
        <v/>
      </c>
      <c r="H13861" s="42">
        <f t="shared" si="1"/>
        <v>3345</v>
      </c>
    </row>
    <row r="13862" ht="22.5" customHeight="1">
      <c r="B13862" s="42" t="str">
        <f>IFERROR(__xludf.DUMMYFUNCTION("""COMPUTED_VALUE"""),"")</f>
        <v/>
      </c>
      <c r="C13862" s="42" t="str">
        <f>IFERROR(__xludf.DUMMYFUNCTION("""COMPUTED_VALUE"""),"")</f>
        <v/>
      </c>
      <c r="D13862" s="42"/>
      <c r="E13862" s="42"/>
      <c r="F13862" s="48" t="str">
        <f>IFERROR(__xludf.DUMMYFUNCTION("""COMPUTED_VALUE"""),"")</f>
        <v/>
      </c>
      <c r="G13862" s="42" t="str">
        <f>IFERROR(__xludf.DUMMYFUNCTION("""COMPUTED_VALUE"""),"")</f>
        <v/>
      </c>
      <c r="H13862" s="42">
        <f t="shared" si="1"/>
        <v>3345</v>
      </c>
    </row>
    <row r="13863" ht="22.5" customHeight="1">
      <c r="B13863" s="42" t="str">
        <f>IFERROR(__xludf.DUMMYFUNCTION("""COMPUTED_VALUE"""),"")</f>
        <v/>
      </c>
      <c r="C13863" s="42" t="str">
        <f>IFERROR(__xludf.DUMMYFUNCTION("""COMPUTED_VALUE"""),"")</f>
        <v/>
      </c>
      <c r="D13863" s="42"/>
      <c r="E13863" s="42"/>
      <c r="F13863" s="48" t="str">
        <f>IFERROR(__xludf.DUMMYFUNCTION("""COMPUTED_VALUE"""),"")</f>
        <v/>
      </c>
      <c r="G13863" s="42" t="str">
        <f>IFERROR(__xludf.DUMMYFUNCTION("""COMPUTED_VALUE"""),"")</f>
        <v/>
      </c>
      <c r="H13863" s="42">
        <f t="shared" si="1"/>
        <v>3345</v>
      </c>
    </row>
    <row r="13864" ht="22.5" customHeight="1">
      <c r="B13864" s="42" t="str">
        <f>IFERROR(__xludf.DUMMYFUNCTION("""COMPUTED_VALUE"""),"")</f>
        <v/>
      </c>
      <c r="C13864" s="42" t="str">
        <f>IFERROR(__xludf.DUMMYFUNCTION("""COMPUTED_VALUE"""),"")</f>
        <v/>
      </c>
      <c r="D13864" s="42"/>
      <c r="E13864" s="42"/>
      <c r="F13864" s="48" t="str">
        <f>IFERROR(__xludf.DUMMYFUNCTION("""COMPUTED_VALUE"""),"")</f>
        <v/>
      </c>
      <c r="G13864" s="42" t="str">
        <f>IFERROR(__xludf.DUMMYFUNCTION("""COMPUTED_VALUE"""),"")</f>
        <v/>
      </c>
      <c r="H13864" s="42">
        <f t="shared" si="1"/>
        <v>3345</v>
      </c>
    </row>
    <row r="13865" ht="22.5" customHeight="1">
      <c r="B13865" s="42" t="str">
        <f>IFERROR(__xludf.DUMMYFUNCTION("""COMPUTED_VALUE"""),"")</f>
        <v/>
      </c>
      <c r="C13865" s="42" t="str">
        <f>IFERROR(__xludf.DUMMYFUNCTION("""COMPUTED_VALUE"""),"")</f>
        <v/>
      </c>
      <c r="D13865" s="42"/>
      <c r="E13865" s="42"/>
      <c r="F13865" s="48" t="str">
        <f>IFERROR(__xludf.DUMMYFUNCTION("""COMPUTED_VALUE"""),"")</f>
        <v/>
      </c>
      <c r="G13865" s="42" t="str">
        <f>IFERROR(__xludf.DUMMYFUNCTION("""COMPUTED_VALUE"""),"")</f>
        <v/>
      </c>
      <c r="H13865" s="42">
        <f t="shared" si="1"/>
        <v>3345</v>
      </c>
    </row>
    <row r="13866" ht="22.5" customHeight="1">
      <c r="B13866" s="42" t="str">
        <f>IFERROR(__xludf.DUMMYFUNCTION("""COMPUTED_VALUE"""),"")</f>
        <v/>
      </c>
      <c r="C13866" s="42" t="str">
        <f>IFERROR(__xludf.DUMMYFUNCTION("""COMPUTED_VALUE"""),"")</f>
        <v/>
      </c>
      <c r="D13866" s="42"/>
      <c r="E13866" s="42"/>
      <c r="F13866" s="48" t="str">
        <f>IFERROR(__xludf.DUMMYFUNCTION("""COMPUTED_VALUE"""),"")</f>
        <v/>
      </c>
      <c r="G13866" s="42" t="str">
        <f>IFERROR(__xludf.DUMMYFUNCTION("""COMPUTED_VALUE"""),"")</f>
        <v/>
      </c>
      <c r="H13866" s="42">
        <f t="shared" si="1"/>
        <v>3345</v>
      </c>
    </row>
    <row r="13867" ht="22.5" customHeight="1">
      <c r="B13867" s="42" t="str">
        <f>IFERROR(__xludf.DUMMYFUNCTION("""COMPUTED_VALUE"""),"")</f>
        <v/>
      </c>
      <c r="C13867" s="42" t="str">
        <f>IFERROR(__xludf.DUMMYFUNCTION("""COMPUTED_VALUE"""),"")</f>
        <v/>
      </c>
      <c r="D13867" s="42"/>
      <c r="E13867" s="42"/>
      <c r="F13867" s="48" t="str">
        <f>IFERROR(__xludf.DUMMYFUNCTION("""COMPUTED_VALUE"""),"")</f>
        <v/>
      </c>
      <c r="G13867" s="42" t="str">
        <f>IFERROR(__xludf.DUMMYFUNCTION("""COMPUTED_VALUE"""),"")</f>
        <v/>
      </c>
      <c r="H13867" s="42">
        <f t="shared" si="1"/>
        <v>3345</v>
      </c>
    </row>
    <row r="13868" ht="22.5" customHeight="1">
      <c r="B13868" s="42" t="str">
        <f>IFERROR(__xludf.DUMMYFUNCTION("""COMPUTED_VALUE"""),"")</f>
        <v/>
      </c>
      <c r="C13868" s="42" t="str">
        <f>IFERROR(__xludf.DUMMYFUNCTION("""COMPUTED_VALUE"""),"")</f>
        <v/>
      </c>
      <c r="D13868" s="42"/>
      <c r="E13868" s="42"/>
      <c r="F13868" s="48" t="str">
        <f>IFERROR(__xludf.DUMMYFUNCTION("""COMPUTED_VALUE"""),"")</f>
        <v/>
      </c>
      <c r="G13868" s="42" t="str">
        <f>IFERROR(__xludf.DUMMYFUNCTION("""COMPUTED_VALUE"""),"")</f>
        <v/>
      </c>
      <c r="H13868" s="42">
        <f t="shared" si="1"/>
        <v>3345</v>
      </c>
    </row>
    <row r="13869" ht="22.5" customHeight="1">
      <c r="B13869" s="42" t="str">
        <f>IFERROR(__xludf.DUMMYFUNCTION("""COMPUTED_VALUE"""),"")</f>
        <v/>
      </c>
      <c r="C13869" s="42" t="str">
        <f>IFERROR(__xludf.DUMMYFUNCTION("""COMPUTED_VALUE"""),"")</f>
        <v/>
      </c>
      <c r="D13869" s="42"/>
      <c r="E13869" s="42"/>
      <c r="F13869" s="48" t="str">
        <f>IFERROR(__xludf.DUMMYFUNCTION("""COMPUTED_VALUE"""),"")</f>
        <v/>
      </c>
      <c r="G13869" s="42" t="str">
        <f>IFERROR(__xludf.DUMMYFUNCTION("""COMPUTED_VALUE"""),"")</f>
        <v/>
      </c>
      <c r="H13869" s="42">
        <f t="shared" si="1"/>
        <v>3345</v>
      </c>
    </row>
    <row r="13870" ht="22.5" customHeight="1">
      <c r="B13870" s="42" t="str">
        <f>IFERROR(__xludf.DUMMYFUNCTION("""COMPUTED_VALUE"""),"")</f>
        <v/>
      </c>
      <c r="C13870" s="42" t="str">
        <f>IFERROR(__xludf.DUMMYFUNCTION("""COMPUTED_VALUE"""),"")</f>
        <v/>
      </c>
      <c r="D13870" s="42"/>
      <c r="E13870" s="42"/>
      <c r="F13870" s="48" t="str">
        <f>IFERROR(__xludf.DUMMYFUNCTION("""COMPUTED_VALUE"""),"")</f>
        <v/>
      </c>
      <c r="G13870" s="42" t="str">
        <f>IFERROR(__xludf.DUMMYFUNCTION("""COMPUTED_VALUE"""),"")</f>
        <v/>
      </c>
      <c r="H13870" s="42">
        <f t="shared" si="1"/>
        <v>3345</v>
      </c>
    </row>
    <row r="13871" ht="22.5" customHeight="1">
      <c r="B13871" s="42" t="str">
        <f>IFERROR(__xludf.DUMMYFUNCTION("""COMPUTED_VALUE"""),"")</f>
        <v/>
      </c>
      <c r="C13871" s="42" t="str">
        <f>IFERROR(__xludf.DUMMYFUNCTION("""COMPUTED_VALUE"""),"")</f>
        <v/>
      </c>
      <c r="D13871" s="42"/>
      <c r="E13871" s="42"/>
      <c r="F13871" s="48" t="str">
        <f>IFERROR(__xludf.DUMMYFUNCTION("""COMPUTED_VALUE"""),"")</f>
        <v/>
      </c>
      <c r="G13871" s="42" t="str">
        <f>IFERROR(__xludf.DUMMYFUNCTION("""COMPUTED_VALUE"""),"")</f>
        <v/>
      </c>
      <c r="H13871" s="42">
        <f t="shared" si="1"/>
        <v>3345</v>
      </c>
    </row>
    <row r="13872" ht="22.5" customHeight="1">
      <c r="B13872" s="42" t="str">
        <f>IFERROR(__xludf.DUMMYFUNCTION("""COMPUTED_VALUE"""),"")</f>
        <v/>
      </c>
      <c r="C13872" s="42" t="str">
        <f>IFERROR(__xludf.DUMMYFUNCTION("""COMPUTED_VALUE"""),"")</f>
        <v/>
      </c>
      <c r="D13872" s="42"/>
      <c r="E13872" s="42"/>
      <c r="F13872" s="48" t="str">
        <f>IFERROR(__xludf.DUMMYFUNCTION("""COMPUTED_VALUE"""),"")</f>
        <v/>
      </c>
      <c r="G13872" s="42" t="str">
        <f>IFERROR(__xludf.DUMMYFUNCTION("""COMPUTED_VALUE"""),"")</f>
        <v/>
      </c>
      <c r="H13872" s="42">
        <f t="shared" si="1"/>
        <v>3345</v>
      </c>
    </row>
    <row r="13873" ht="22.5" customHeight="1">
      <c r="B13873" s="42" t="str">
        <f>IFERROR(__xludf.DUMMYFUNCTION("""COMPUTED_VALUE"""),"")</f>
        <v/>
      </c>
      <c r="C13873" s="42" t="str">
        <f>IFERROR(__xludf.DUMMYFUNCTION("""COMPUTED_VALUE"""),"")</f>
        <v/>
      </c>
      <c r="D13873" s="42"/>
      <c r="E13873" s="42"/>
      <c r="F13873" s="48" t="str">
        <f>IFERROR(__xludf.DUMMYFUNCTION("""COMPUTED_VALUE"""),"")</f>
        <v/>
      </c>
      <c r="G13873" s="42" t="str">
        <f>IFERROR(__xludf.DUMMYFUNCTION("""COMPUTED_VALUE"""),"")</f>
        <v/>
      </c>
      <c r="H13873" s="42">
        <f t="shared" si="1"/>
        <v>3345</v>
      </c>
    </row>
    <row r="13874" ht="22.5" customHeight="1">
      <c r="B13874" s="42" t="str">
        <f>IFERROR(__xludf.DUMMYFUNCTION("""COMPUTED_VALUE"""),"")</f>
        <v/>
      </c>
      <c r="C13874" s="42" t="str">
        <f>IFERROR(__xludf.DUMMYFUNCTION("""COMPUTED_VALUE"""),"")</f>
        <v/>
      </c>
      <c r="D13874" s="42"/>
      <c r="E13874" s="42"/>
      <c r="F13874" s="48" t="str">
        <f>IFERROR(__xludf.DUMMYFUNCTION("""COMPUTED_VALUE"""),"")</f>
        <v/>
      </c>
      <c r="G13874" s="42" t="str">
        <f>IFERROR(__xludf.DUMMYFUNCTION("""COMPUTED_VALUE"""),"")</f>
        <v/>
      </c>
      <c r="H13874" s="42">
        <f t="shared" si="1"/>
        <v>3345</v>
      </c>
    </row>
    <row r="13875" ht="22.5" customHeight="1">
      <c r="B13875" s="42" t="str">
        <f>IFERROR(__xludf.DUMMYFUNCTION("""COMPUTED_VALUE"""),"")</f>
        <v/>
      </c>
      <c r="C13875" s="42" t="str">
        <f>IFERROR(__xludf.DUMMYFUNCTION("""COMPUTED_VALUE"""),"")</f>
        <v/>
      </c>
      <c r="D13875" s="42"/>
      <c r="E13875" s="42"/>
      <c r="F13875" s="48" t="str">
        <f>IFERROR(__xludf.DUMMYFUNCTION("""COMPUTED_VALUE"""),"")</f>
        <v/>
      </c>
      <c r="G13875" s="42" t="str">
        <f>IFERROR(__xludf.DUMMYFUNCTION("""COMPUTED_VALUE"""),"")</f>
        <v/>
      </c>
      <c r="H13875" s="42">
        <f t="shared" si="1"/>
        <v>3345</v>
      </c>
    </row>
    <row r="13876" ht="22.5" customHeight="1">
      <c r="B13876" s="42" t="str">
        <f>IFERROR(__xludf.DUMMYFUNCTION("""COMPUTED_VALUE"""),"")</f>
        <v/>
      </c>
      <c r="C13876" s="42" t="str">
        <f>IFERROR(__xludf.DUMMYFUNCTION("""COMPUTED_VALUE"""),"")</f>
        <v/>
      </c>
      <c r="D13876" s="42"/>
      <c r="E13876" s="42"/>
      <c r="F13876" s="48" t="str">
        <f>IFERROR(__xludf.DUMMYFUNCTION("""COMPUTED_VALUE"""),"")</f>
        <v/>
      </c>
      <c r="G13876" s="42" t="str">
        <f>IFERROR(__xludf.DUMMYFUNCTION("""COMPUTED_VALUE"""),"")</f>
        <v/>
      </c>
      <c r="H13876" s="42">
        <f t="shared" si="1"/>
        <v>3345</v>
      </c>
    </row>
    <row r="13877" ht="22.5" customHeight="1">
      <c r="B13877" s="42" t="str">
        <f>IFERROR(__xludf.DUMMYFUNCTION("""COMPUTED_VALUE"""),"")</f>
        <v/>
      </c>
      <c r="C13877" s="42" t="str">
        <f>IFERROR(__xludf.DUMMYFUNCTION("""COMPUTED_VALUE"""),"")</f>
        <v/>
      </c>
      <c r="D13877" s="42"/>
      <c r="E13877" s="42"/>
      <c r="F13877" s="48" t="str">
        <f>IFERROR(__xludf.DUMMYFUNCTION("""COMPUTED_VALUE"""),"")</f>
        <v/>
      </c>
      <c r="G13877" s="42" t="str">
        <f>IFERROR(__xludf.DUMMYFUNCTION("""COMPUTED_VALUE"""),"")</f>
        <v/>
      </c>
      <c r="H13877" s="42">
        <f t="shared" si="1"/>
        <v>3345</v>
      </c>
    </row>
    <row r="13878" ht="22.5" customHeight="1">
      <c r="B13878" s="42" t="str">
        <f>IFERROR(__xludf.DUMMYFUNCTION("""COMPUTED_VALUE"""),"")</f>
        <v/>
      </c>
      <c r="C13878" s="42" t="str">
        <f>IFERROR(__xludf.DUMMYFUNCTION("""COMPUTED_VALUE"""),"")</f>
        <v/>
      </c>
      <c r="D13878" s="42"/>
      <c r="E13878" s="42"/>
      <c r="F13878" s="48" t="str">
        <f>IFERROR(__xludf.DUMMYFUNCTION("""COMPUTED_VALUE"""),"")</f>
        <v/>
      </c>
      <c r="G13878" s="42" t="str">
        <f>IFERROR(__xludf.DUMMYFUNCTION("""COMPUTED_VALUE"""),"")</f>
        <v/>
      </c>
      <c r="H13878" s="42">
        <f t="shared" si="1"/>
        <v>3345</v>
      </c>
    </row>
    <row r="13879" ht="22.5" customHeight="1">
      <c r="B13879" s="42" t="str">
        <f>IFERROR(__xludf.DUMMYFUNCTION("""COMPUTED_VALUE"""),"")</f>
        <v/>
      </c>
      <c r="C13879" s="42" t="str">
        <f>IFERROR(__xludf.DUMMYFUNCTION("""COMPUTED_VALUE"""),"")</f>
        <v/>
      </c>
      <c r="D13879" s="42"/>
      <c r="E13879" s="42"/>
      <c r="F13879" s="48" t="str">
        <f>IFERROR(__xludf.DUMMYFUNCTION("""COMPUTED_VALUE"""),"")</f>
        <v/>
      </c>
      <c r="G13879" s="42" t="str">
        <f>IFERROR(__xludf.DUMMYFUNCTION("""COMPUTED_VALUE"""),"")</f>
        <v/>
      </c>
      <c r="H13879" s="42">
        <f t="shared" si="1"/>
        <v>3345</v>
      </c>
    </row>
    <row r="13880" ht="22.5" customHeight="1">
      <c r="B13880" s="42" t="str">
        <f>IFERROR(__xludf.DUMMYFUNCTION("""COMPUTED_VALUE"""),"")</f>
        <v/>
      </c>
      <c r="C13880" s="42" t="str">
        <f>IFERROR(__xludf.DUMMYFUNCTION("""COMPUTED_VALUE"""),"")</f>
        <v/>
      </c>
      <c r="D13880" s="42"/>
      <c r="E13880" s="42"/>
      <c r="F13880" s="48" t="str">
        <f>IFERROR(__xludf.DUMMYFUNCTION("""COMPUTED_VALUE"""),"")</f>
        <v/>
      </c>
      <c r="G13880" s="42" t="str">
        <f>IFERROR(__xludf.DUMMYFUNCTION("""COMPUTED_VALUE"""),"")</f>
        <v/>
      </c>
      <c r="H13880" s="42">
        <f t="shared" si="1"/>
        <v>3345</v>
      </c>
    </row>
    <row r="13881" ht="22.5" customHeight="1">
      <c r="B13881" s="42" t="str">
        <f>IFERROR(__xludf.DUMMYFUNCTION("""COMPUTED_VALUE"""),"")</f>
        <v/>
      </c>
      <c r="C13881" s="42" t="str">
        <f>IFERROR(__xludf.DUMMYFUNCTION("""COMPUTED_VALUE"""),"")</f>
        <v/>
      </c>
      <c r="D13881" s="42"/>
      <c r="E13881" s="42"/>
      <c r="F13881" s="48" t="str">
        <f>IFERROR(__xludf.DUMMYFUNCTION("""COMPUTED_VALUE"""),"")</f>
        <v/>
      </c>
      <c r="G13881" s="42" t="str">
        <f>IFERROR(__xludf.DUMMYFUNCTION("""COMPUTED_VALUE"""),"")</f>
        <v/>
      </c>
      <c r="H13881" s="42">
        <f t="shared" si="1"/>
        <v>3345</v>
      </c>
    </row>
    <row r="13882" ht="22.5" customHeight="1">
      <c r="B13882" s="42" t="str">
        <f>IFERROR(__xludf.DUMMYFUNCTION("""COMPUTED_VALUE"""),"")</f>
        <v/>
      </c>
      <c r="C13882" s="42" t="str">
        <f>IFERROR(__xludf.DUMMYFUNCTION("""COMPUTED_VALUE"""),"")</f>
        <v/>
      </c>
      <c r="D13882" s="42"/>
      <c r="E13882" s="42"/>
      <c r="F13882" s="48" t="str">
        <f>IFERROR(__xludf.DUMMYFUNCTION("""COMPUTED_VALUE"""),"")</f>
        <v/>
      </c>
      <c r="G13882" s="42" t="str">
        <f>IFERROR(__xludf.DUMMYFUNCTION("""COMPUTED_VALUE"""),"")</f>
        <v/>
      </c>
      <c r="H13882" s="42">
        <f t="shared" si="1"/>
        <v>3345</v>
      </c>
    </row>
    <row r="13883" ht="22.5" customHeight="1">
      <c r="B13883" s="42" t="str">
        <f>IFERROR(__xludf.DUMMYFUNCTION("""COMPUTED_VALUE"""),"")</f>
        <v/>
      </c>
      <c r="C13883" s="42" t="str">
        <f>IFERROR(__xludf.DUMMYFUNCTION("""COMPUTED_VALUE"""),"")</f>
        <v/>
      </c>
      <c r="D13883" s="42"/>
      <c r="E13883" s="42"/>
      <c r="F13883" s="48" t="str">
        <f>IFERROR(__xludf.DUMMYFUNCTION("""COMPUTED_VALUE"""),"")</f>
        <v/>
      </c>
      <c r="G13883" s="42" t="str">
        <f>IFERROR(__xludf.DUMMYFUNCTION("""COMPUTED_VALUE"""),"")</f>
        <v/>
      </c>
      <c r="H13883" s="42">
        <f t="shared" si="1"/>
        <v>3345</v>
      </c>
    </row>
    <row r="13884" ht="22.5" customHeight="1">
      <c r="B13884" s="42" t="str">
        <f>IFERROR(__xludf.DUMMYFUNCTION("""COMPUTED_VALUE"""),"")</f>
        <v/>
      </c>
      <c r="C13884" s="42" t="str">
        <f>IFERROR(__xludf.DUMMYFUNCTION("""COMPUTED_VALUE"""),"")</f>
        <v/>
      </c>
      <c r="D13884" s="42"/>
      <c r="E13884" s="42"/>
      <c r="F13884" s="48" t="str">
        <f>IFERROR(__xludf.DUMMYFUNCTION("""COMPUTED_VALUE"""),"")</f>
        <v/>
      </c>
      <c r="G13884" s="42" t="str">
        <f>IFERROR(__xludf.DUMMYFUNCTION("""COMPUTED_VALUE"""),"")</f>
        <v/>
      </c>
      <c r="H13884" s="42">
        <f t="shared" si="1"/>
        <v>3345</v>
      </c>
    </row>
    <row r="13885" ht="22.5" customHeight="1">
      <c r="B13885" s="42" t="str">
        <f>IFERROR(__xludf.DUMMYFUNCTION("""COMPUTED_VALUE"""),"")</f>
        <v/>
      </c>
      <c r="C13885" s="42" t="str">
        <f>IFERROR(__xludf.DUMMYFUNCTION("""COMPUTED_VALUE"""),"")</f>
        <v/>
      </c>
      <c r="D13885" s="42"/>
      <c r="E13885" s="42"/>
      <c r="F13885" s="48" t="str">
        <f>IFERROR(__xludf.DUMMYFUNCTION("""COMPUTED_VALUE"""),"")</f>
        <v/>
      </c>
      <c r="G13885" s="42" t="str">
        <f>IFERROR(__xludf.DUMMYFUNCTION("""COMPUTED_VALUE"""),"")</f>
        <v/>
      </c>
      <c r="H13885" s="42">
        <f t="shared" si="1"/>
        <v>3345</v>
      </c>
    </row>
    <row r="13886" ht="22.5" customHeight="1">
      <c r="B13886" s="42" t="str">
        <f>IFERROR(__xludf.DUMMYFUNCTION("""COMPUTED_VALUE"""),"")</f>
        <v/>
      </c>
      <c r="C13886" s="42" t="str">
        <f>IFERROR(__xludf.DUMMYFUNCTION("""COMPUTED_VALUE"""),"")</f>
        <v/>
      </c>
      <c r="D13886" s="42"/>
      <c r="E13886" s="42"/>
      <c r="F13886" s="48" t="str">
        <f>IFERROR(__xludf.DUMMYFUNCTION("""COMPUTED_VALUE"""),"")</f>
        <v/>
      </c>
      <c r="G13886" s="42" t="str">
        <f>IFERROR(__xludf.DUMMYFUNCTION("""COMPUTED_VALUE"""),"")</f>
        <v/>
      </c>
      <c r="H13886" s="42">
        <f t="shared" si="1"/>
        <v>3345</v>
      </c>
    </row>
    <row r="13887" ht="22.5" customHeight="1">
      <c r="B13887" s="42" t="str">
        <f>IFERROR(__xludf.DUMMYFUNCTION("""COMPUTED_VALUE"""),"")</f>
        <v/>
      </c>
      <c r="C13887" s="42" t="str">
        <f>IFERROR(__xludf.DUMMYFUNCTION("""COMPUTED_VALUE"""),"")</f>
        <v/>
      </c>
      <c r="D13887" s="42"/>
      <c r="E13887" s="42"/>
      <c r="F13887" s="48" t="str">
        <f>IFERROR(__xludf.DUMMYFUNCTION("""COMPUTED_VALUE"""),"")</f>
        <v/>
      </c>
      <c r="G13887" s="42" t="str">
        <f>IFERROR(__xludf.DUMMYFUNCTION("""COMPUTED_VALUE"""),"")</f>
        <v/>
      </c>
      <c r="H13887" s="42">
        <f t="shared" si="1"/>
        <v>3345</v>
      </c>
    </row>
    <row r="13888" ht="22.5" customHeight="1">
      <c r="B13888" s="42" t="str">
        <f>IFERROR(__xludf.DUMMYFUNCTION("""COMPUTED_VALUE"""),"")</f>
        <v/>
      </c>
      <c r="C13888" s="42" t="str">
        <f>IFERROR(__xludf.DUMMYFUNCTION("""COMPUTED_VALUE"""),"")</f>
        <v/>
      </c>
      <c r="D13888" s="42"/>
      <c r="E13888" s="42"/>
      <c r="F13888" s="48" t="str">
        <f>IFERROR(__xludf.DUMMYFUNCTION("""COMPUTED_VALUE"""),"")</f>
        <v/>
      </c>
      <c r="G13888" s="42" t="str">
        <f>IFERROR(__xludf.DUMMYFUNCTION("""COMPUTED_VALUE"""),"")</f>
        <v/>
      </c>
      <c r="H13888" s="42">
        <f t="shared" si="1"/>
        <v>3345</v>
      </c>
    </row>
    <row r="13889" ht="22.5" customHeight="1">
      <c r="B13889" s="42" t="str">
        <f>IFERROR(__xludf.DUMMYFUNCTION("""COMPUTED_VALUE"""),"")</f>
        <v/>
      </c>
      <c r="C13889" s="42" t="str">
        <f>IFERROR(__xludf.DUMMYFUNCTION("""COMPUTED_VALUE"""),"")</f>
        <v/>
      </c>
      <c r="D13889" s="42"/>
      <c r="E13889" s="42"/>
      <c r="F13889" s="48" t="str">
        <f>IFERROR(__xludf.DUMMYFUNCTION("""COMPUTED_VALUE"""),"")</f>
        <v/>
      </c>
      <c r="G13889" s="42" t="str">
        <f>IFERROR(__xludf.DUMMYFUNCTION("""COMPUTED_VALUE"""),"")</f>
        <v/>
      </c>
      <c r="H13889" s="42">
        <f t="shared" si="1"/>
        <v>3345</v>
      </c>
    </row>
    <row r="13890" ht="22.5" customHeight="1">
      <c r="B13890" s="42" t="str">
        <f>IFERROR(__xludf.DUMMYFUNCTION("""COMPUTED_VALUE"""),"")</f>
        <v/>
      </c>
      <c r="C13890" s="42" t="str">
        <f>IFERROR(__xludf.DUMMYFUNCTION("""COMPUTED_VALUE"""),"")</f>
        <v/>
      </c>
      <c r="D13890" s="42"/>
      <c r="E13890" s="42"/>
      <c r="F13890" s="48" t="str">
        <f>IFERROR(__xludf.DUMMYFUNCTION("""COMPUTED_VALUE"""),"")</f>
        <v/>
      </c>
      <c r="G13890" s="42" t="str">
        <f>IFERROR(__xludf.DUMMYFUNCTION("""COMPUTED_VALUE"""),"")</f>
        <v/>
      </c>
      <c r="H13890" s="42">
        <f t="shared" si="1"/>
        <v>3345</v>
      </c>
    </row>
    <row r="13891" ht="22.5" customHeight="1">
      <c r="B13891" s="42" t="str">
        <f>IFERROR(__xludf.DUMMYFUNCTION("""COMPUTED_VALUE"""),"")</f>
        <v/>
      </c>
      <c r="C13891" s="42" t="str">
        <f>IFERROR(__xludf.DUMMYFUNCTION("""COMPUTED_VALUE"""),"")</f>
        <v/>
      </c>
      <c r="D13891" s="42"/>
      <c r="E13891" s="42"/>
      <c r="F13891" s="48" t="str">
        <f>IFERROR(__xludf.DUMMYFUNCTION("""COMPUTED_VALUE"""),"")</f>
        <v/>
      </c>
      <c r="G13891" s="42" t="str">
        <f>IFERROR(__xludf.DUMMYFUNCTION("""COMPUTED_VALUE"""),"")</f>
        <v/>
      </c>
      <c r="H13891" s="42">
        <f t="shared" si="1"/>
        <v>3345</v>
      </c>
    </row>
    <row r="13892" ht="22.5" customHeight="1">
      <c r="B13892" s="42" t="str">
        <f>IFERROR(__xludf.DUMMYFUNCTION("""COMPUTED_VALUE"""),"")</f>
        <v/>
      </c>
      <c r="C13892" s="42" t="str">
        <f>IFERROR(__xludf.DUMMYFUNCTION("""COMPUTED_VALUE"""),"")</f>
        <v/>
      </c>
      <c r="D13892" s="42"/>
      <c r="E13892" s="42"/>
      <c r="F13892" s="48" t="str">
        <f>IFERROR(__xludf.DUMMYFUNCTION("""COMPUTED_VALUE"""),"")</f>
        <v/>
      </c>
      <c r="G13892" s="42" t="str">
        <f>IFERROR(__xludf.DUMMYFUNCTION("""COMPUTED_VALUE"""),"")</f>
        <v/>
      </c>
      <c r="H13892" s="42">
        <f t="shared" si="1"/>
        <v>3345</v>
      </c>
    </row>
    <row r="13893" ht="22.5" customHeight="1">
      <c r="B13893" s="42" t="str">
        <f>IFERROR(__xludf.DUMMYFUNCTION("""COMPUTED_VALUE"""),"")</f>
        <v/>
      </c>
      <c r="C13893" s="42" t="str">
        <f>IFERROR(__xludf.DUMMYFUNCTION("""COMPUTED_VALUE"""),"")</f>
        <v/>
      </c>
      <c r="D13893" s="42"/>
      <c r="E13893" s="42"/>
      <c r="F13893" s="48" t="str">
        <f>IFERROR(__xludf.DUMMYFUNCTION("""COMPUTED_VALUE"""),"")</f>
        <v/>
      </c>
      <c r="G13893" s="42" t="str">
        <f>IFERROR(__xludf.DUMMYFUNCTION("""COMPUTED_VALUE"""),"")</f>
        <v/>
      </c>
      <c r="H13893" s="42">
        <f t="shared" si="1"/>
        <v>3345</v>
      </c>
    </row>
    <row r="13894" ht="22.5" customHeight="1">
      <c r="B13894" s="42" t="str">
        <f>IFERROR(__xludf.DUMMYFUNCTION("""COMPUTED_VALUE"""),"")</f>
        <v/>
      </c>
      <c r="C13894" s="42" t="str">
        <f>IFERROR(__xludf.DUMMYFUNCTION("""COMPUTED_VALUE"""),"")</f>
        <v/>
      </c>
      <c r="D13894" s="42"/>
      <c r="E13894" s="42"/>
      <c r="F13894" s="48" t="str">
        <f>IFERROR(__xludf.DUMMYFUNCTION("""COMPUTED_VALUE"""),"")</f>
        <v/>
      </c>
      <c r="G13894" s="42" t="str">
        <f>IFERROR(__xludf.DUMMYFUNCTION("""COMPUTED_VALUE"""),"")</f>
        <v/>
      </c>
      <c r="H13894" s="42">
        <f t="shared" si="1"/>
        <v>3345</v>
      </c>
    </row>
    <row r="13895" ht="22.5" customHeight="1">
      <c r="B13895" s="42" t="str">
        <f>IFERROR(__xludf.DUMMYFUNCTION("""COMPUTED_VALUE"""),"")</f>
        <v/>
      </c>
      <c r="C13895" s="42" t="str">
        <f>IFERROR(__xludf.DUMMYFUNCTION("""COMPUTED_VALUE"""),"")</f>
        <v/>
      </c>
      <c r="D13895" s="42"/>
      <c r="E13895" s="42"/>
      <c r="F13895" s="48" t="str">
        <f>IFERROR(__xludf.DUMMYFUNCTION("""COMPUTED_VALUE"""),"")</f>
        <v/>
      </c>
      <c r="G13895" s="42" t="str">
        <f>IFERROR(__xludf.DUMMYFUNCTION("""COMPUTED_VALUE"""),"")</f>
        <v/>
      </c>
      <c r="H13895" s="42">
        <f t="shared" si="1"/>
        <v>3345</v>
      </c>
    </row>
    <row r="13896" ht="22.5" customHeight="1">
      <c r="B13896" s="42" t="str">
        <f>IFERROR(__xludf.DUMMYFUNCTION("""COMPUTED_VALUE"""),"")</f>
        <v/>
      </c>
      <c r="C13896" s="42" t="str">
        <f>IFERROR(__xludf.DUMMYFUNCTION("""COMPUTED_VALUE"""),"")</f>
        <v/>
      </c>
      <c r="D13896" s="42"/>
      <c r="E13896" s="42"/>
      <c r="F13896" s="48" t="str">
        <f>IFERROR(__xludf.DUMMYFUNCTION("""COMPUTED_VALUE"""),"")</f>
        <v/>
      </c>
      <c r="G13896" s="42" t="str">
        <f>IFERROR(__xludf.DUMMYFUNCTION("""COMPUTED_VALUE"""),"")</f>
        <v/>
      </c>
      <c r="H13896" s="42">
        <f t="shared" si="1"/>
        <v>3345</v>
      </c>
    </row>
    <row r="13897" ht="22.5" customHeight="1">
      <c r="B13897" s="42" t="str">
        <f>IFERROR(__xludf.DUMMYFUNCTION("""COMPUTED_VALUE"""),"")</f>
        <v/>
      </c>
      <c r="C13897" s="42" t="str">
        <f>IFERROR(__xludf.DUMMYFUNCTION("""COMPUTED_VALUE"""),"")</f>
        <v/>
      </c>
      <c r="D13897" s="42"/>
      <c r="E13897" s="42"/>
      <c r="F13897" s="48" t="str">
        <f>IFERROR(__xludf.DUMMYFUNCTION("""COMPUTED_VALUE"""),"")</f>
        <v/>
      </c>
      <c r="G13897" s="42" t="str">
        <f>IFERROR(__xludf.DUMMYFUNCTION("""COMPUTED_VALUE"""),"")</f>
        <v/>
      </c>
      <c r="H13897" s="42">
        <f t="shared" si="1"/>
        <v>3345</v>
      </c>
    </row>
    <row r="13898" ht="22.5" customHeight="1">
      <c r="B13898" s="42" t="str">
        <f>IFERROR(__xludf.DUMMYFUNCTION("""COMPUTED_VALUE"""),"")</f>
        <v/>
      </c>
      <c r="C13898" s="42" t="str">
        <f>IFERROR(__xludf.DUMMYFUNCTION("""COMPUTED_VALUE"""),"")</f>
        <v/>
      </c>
      <c r="D13898" s="42"/>
      <c r="E13898" s="42"/>
      <c r="F13898" s="48" t="str">
        <f>IFERROR(__xludf.DUMMYFUNCTION("""COMPUTED_VALUE"""),"")</f>
        <v/>
      </c>
      <c r="G13898" s="42" t="str">
        <f>IFERROR(__xludf.DUMMYFUNCTION("""COMPUTED_VALUE"""),"")</f>
        <v/>
      </c>
      <c r="H13898" s="42">
        <f t="shared" si="1"/>
        <v>3345</v>
      </c>
    </row>
    <row r="13899" ht="22.5" customHeight="1">
      <c r="B13899" s="42" t="str">
        <f>IFERROR(__xludf.DUMMYFUNCTION("""COMPUTED_VALUE"""),"")</f>
        <v/>
      </c>
      <c r="C13899" s="42" t="str">
        <f>IFERROR(__xludf.DUMMYFUNCTION("""COMPUTED_VALUE"""),"")</f>
        <v/>
      </c>
      <c r="D13899" s="42"/>
      <c r="E13899" s="42"/>
      <c r="F13899" s="48" t="str">
        <f>IFERROR(__xludf.DUMMYFUNCTION("""COMPUTED_VALUE"""),"")</f>
        <v/>
      </c>
      <c r="G13899" s="42" t="str">
        <f>IFERROR(__xludf.DUMMYFUNCTION("""COMPUTED_VALUE"""),"")</f>
        <v/>
      </c>
      <c r="H13899" s="42">
        <f t="shared" si="1"/>
        <v>3345</v>
      </c>
    </row>
    <row r="13900" ht="22.5" customHeight="1">
      <c r="B13900" s="42" t="str">
        <f>IFERROR(__xludf.DUMMYFUNCTION("""COMPUTED_VALUE"""),"")</f>
        <v/>
      </c>
      <c r="C13900" s="42" t="str">
        <f>IFERROR(__xludf.DUMMYFUNCTION("""COMPUTED_VALUE"""),"")</f>
        <v/>
      </c>
      <c r="D13900" s="42"/>
      <c r="E13900" s="42"/>
      <c r="F13900" s="48" t="str">
        <f>IFERROR(__xludf.DUMMYFUNCTION("""COMPUTED_VALUE"""),"")</f>
        <v/>
      </c>
      <c r="G13900" s="42" t="str">
        <f>IFERROR(__xludf.DUMMYFUNCTION("""COMPUTED_VALUE"""),"")</f>
        <v/>
      </c>
      <c r="H13900" s="42">
        <f t="shared" si="1"/>
        <v>3345</v>
      </c>
    </row>
    <row r="13901" ht="22.5" customHeight="1">
      <c r="B13901" s="42" t="str">
        <f>IFERROR(__xludf.DUMMYFUNCTION("""COMPUTED_VALUE"""),"")</f>
        <v/>
      </c>
      <c r="C13901" s="42" t="str">
        <f>IFERROR(__xludf.DUMMYFUNCTION("""COMPUTED_VALUE"""),"")</f>
        <v/>
      </c>
      <c r="D13901" s="42"/>
      <c r="E13901" s="42"/>
      <c r="F13901" s="48" t="str">
        <f>IFERROR(__xludf.DUMMYFUNCTION("""COMPUTED_VALUE"""),"")</f>
        <v/>
      </c>
      <c r="G13901" s="42" t="str">
        <f>IFERROR(__xludf.DUMMYFUNCTION("""COMPUTED_VALUE"""),"")</f>
        <v/>
      </c>
      <c r="H13901" s="42">
        <f t="shared" si="1"/>
        <v>3345</v>
      </c>
    </row>
    <row r="13902" ht="22.5" customHeight="1">
      <c r="B13902" s="42" t="str">
        <f>IFERROR(__xludf.DUMMYFUNCTION("""COMPUTED_VALUE"""),"")</f>
        <v/>
      </c>
      <c r="C13902" s="42" t="str">
        <f>IFERROR(__xludf.DUMMYFUNCTION("""COMPUTED_VALUE"""),"")</f>
        <v/>
      </c>
      <c r="D13902" s="42"/>
      <c r="E13902" s="42"/>
      <c r="F13902" s="48" t="str">
        <f>IFERROR(__xludf.DUMMYFUNCTION("""COMPUTED_VALUE"""),"")</f>
        <v/>
      </c>
      <c r="G13902" s="42" t="str">
        <f>IFERROR(__xludf.DUMMYFUNCTION("""COMPUTED_VALUE"""),"")</f>
        <v/>
      </c>
      <c r="H13902" s="42">
        <f t="shared" si="1"/>
        <v>3345</v>
      </c>
    </row>
    <row r="13903" ht="22.5" customHeight="1">
      <c r="B13903" s="42" t="str">
        <f>IFERROR(__xludf.DUMMYFUNCTION("""COMPUTED_VALUE"""),"")</f>
        <v/>
      </c>
      <c r="C13903" s="42" t="str">
        <f>IFERROR(__xludf.DUMMYFUNCTION("""COMPUTED_VALUE"""),"")</f>
        <v/>
      </c>
      <c r="D13903" s="42"/>
      <c r="E13903" s="42"/>
      <c r="F13903" s="48" t="str">
        <f>IFERROR(__xludf.DUMMYFUNCTION("""COMPUTED_VALUE"""),"")</f>
        <v/>
      </c>
      <c r="G13903" s="42" t="str">
        <f>IFERROR(__xludf.DUMMYFUNCTION("""COMPUTED_VALUE"""),"")</f>
        <v/>
      </c>
      <c r="H13903" s="42">
        <f t="shared" si="1"/>
        <v>3345</v>
      </c>
    </row>
    <row r="13904" ht="22.5" customHeight="1">
      <c r="B13904" s="42" t="str">
        <f>IFERROR(__xludf.DUMMYFUNCTION("""COMPUTED_VALUE"""),"")</f>
        <v/>
      </c>
      <c r="C13904" s="42" t="str">
        <f>IFERROR(__xludf.DUMMYFUNCTION("""COMPUTED_VALUE"""),"")</f>
        <v/>
      </c>
      <c r="D13904" s="42"/>
      <c r="E13904" s="42"/>
      <c r="F13904" s="48" t="str">
        <f>IFERROR(__xludf.DUMMYFUNCTION("""COMPUTED_VALUE"""),"")</f>
        <v/>
      </c>
      <c r="G13904" s="42" t="str">
        <f>IFERROR(__xludf.DUMMYFUNCTION("""COMPUTED_VALUE"""),"")</f>
        <v/>
      </c>
      <c r="H13904" s="42">
        <f t="shared" si="1"/>
        <v>3345</v>
      </c>
    </row>
    <row r="13905" ht="22.5" customHeight="1">
      <c r="B13905" s="42" t="str">
        <f>IFERROR(__xludf.DUMMYFUNCTION("""COMPUTED_VALUE"""),"")</f>
        <v/>
      </c>
      <c r="C13905" s="42" t="str">
        <f>IFERROR(__xludf.DUMMYFUNCTION("""COMPUTED_VALUE"""),"")</f>
        <v/>
      </c>
      <c r="D13905" s="42"/>
      <c r="E13905" s="42"/>
      <c r="F13905" s="48" t="str">
        <f>IFERROR(__xludf.DUMMYFUNCTION("""COMPUTED_VALUE"""),"")</f>
        <v/>
      </c>
      <c r="G13905" s="42" t="str">
        <f>IFERROR(__xludf.DUMMYFUNCTION("""COMPUTED_VALUE"""),"")</f>
        <v/>
      </c>
      <c r="H13905" s="42">
        <f t="shared" si="1"/>
        <v>3345</v>
      </c>
    </row>
    <row r="13906" ht="22.5" customHeight="1">
      <c r="B13906" s="42" t="str">
        <f>IFERROR(__xludf.DUMMYFUNCTION("""COMPUTED_VALUE"""),"")</f>
        <v/>
      </c>
      <c r="C13906" s="42" t="str">
        <f>IFERROR(__xludf.DUMMYFUNCTION("""COMPUTED_VALUE"""),"")</f>
        <v/>
      </c>
      <c r="D13906" s="42"/>
      <c r="E13906" s="42"/>
      <c r="F13906" s="48" t="str">
        <f>IFERROR(__xludf.DUMMYFUNCTION("""COMPUTED_VALUE"""),"")</f>
        <v/>
      </c>
      <c r="G13906" s="42" t="str">
        <f>IFERROR(__xludf.DUMMYFUNCTION("""COMPUTED_VALUE"""),"")</f>
        <v/>
      </c>
      <c r="H13906" s="42">
        <f t="shared" si="1"/>
        <v>3345</v>
      </c>
    </row>
    <row r="13907" ht="22.5" customHeight="1">
      <c r="B13907" s="42" t="str">
        <f>IFERROR(__xludf.DUMMYFUNCTION("""COMPUTED_VALUE"""),"")</f>
        <v/>
      </c>
      <c r="C13907" s="42" t="str">
        <f>IFERROR(__xludf.DUMMYFUNCTION("""COMPUTED_VALUE"""),"")</f>
        <v/>
      </c>
      <c r="D13907" s="42"/>
      <c r="E13907" s="42"/>
      <c r="F13907" s="48" t="str">
        <f>IFERROR(__xludf.DUMMYFUNCTION("""COMPUTED_VALUE"""),"")</f>
        <v/>
      </c>
      <c r="G13907" s="42" t="str">
        <f>IFERROR(__xludf.DUMMYFUNCTION("""COMPUTED_VALUE"""),"")</f>
        <v/>
      </c>
      <c r="H13907" s="42">
        <f t="shared" si="1"/>
        <v>3345</v>
      </c>
    </row>
    <row r="13908" ht="22.5" customHeight="1">
      <c r="B13908" s="42" t="str">
        <f>IFERROR(__xludf.DUMMYFUNCTION("""COMPUTED_VALUE"""),"")</f>
        <v/>
      </c>
      <c r="C13908" s="42" t="str">
        <f>IFERROR(__xludf.DUMMYFUNCTION("""COMPUTED_VALUE"""),"")</f>
        <v/>
      </c>
      <c r="D13908" s="42"/>
      <c r="E13908" s="42"/>
      <c r="F13908" s="48" t="str">
        <f>IFERROR(__xludf.DUMMYFUNCTION("""COMPUTED_VALUE"""),"")</f>
        <v/>
      </c>
      <c r="G13908" s="42" t="str">
        <f>IFERROR(__xludf.DUMMYFUNCTION("""COMPUTED_VALUE"""),"")</f>
        <v/>
      </c>
      <c r="H13908" s="42">
        <f t="shared" si="1"/>
        <v>3345</v>
      </c>
    </row>
    <row r="13909" ht="22.5" customHeight="1">
      <c r="B13909" s="42" t="str">
        <f>IFERROR(__xludf.DUMMYFUNCTION("""COMPUTED_VALUE"""),"")</f>
        <v/>
      </c>
      <c r="C13909" s="42" t="str">
        <f>IFERROR(__xludf.DUMMYFUNCTION("""COMPUTED_VALUE"""),"")</f>
        <v/>
      </c>
      <c r="D13909" s="42"/>
      <c r="E13909" s="42"/>
      <c r="F13909" s="48" t="str">
        <f>IFERROR(__xludf.DUMMYFUNCTION("""COMPUTED_VALUE"""),"")</f>
        <v/>
      </c>
      <c r="G13909" s="42" t="str">
        <f>IFERROR(__xludf.DUMMYFUNCTION("""COMPUTED_VALUE"""),"")</f>
        <v/>
      </c>
      <c r="H13909" s="42">
        <f t="shared" si="1"/>
        <v>3345</v>
      </c>
    </row>
    <row r="13910" ht="22.5" customHeight="1">
      <c r="B13910" s="42" t="str">
        <f>IFERROR(__xludf.DUMMYFUNCTION("""COMPUTED_VALUE"""),"")</f>
        <v/>
      </c>
      <c r="C13910" s="42" t="str">
        <f>IFERROR(__xludf.DUMMYFUNCTION("""COMPUTED_VALUE"""),"")</f>
        <v/>
      </c>
      <c r="D13910" s="42"/>
      <c r="E13910" s="42"/>
      <c r="F13910" s="48" t="str">
        <f>IFERROR(__xludf.DUMMYFUNCTION("""COMPUTED_VALUE"""),"")</f>
        <v/>
      </c>
      <c r="G13910" s="42" t="str">
        <f>IFERROR(__xludf.DUMMYFUNCTION("""COMPUTED_VALUE"""),"")</f>
        <v/>
      </c>
      <c r="H13910" s="42">
        <f t="shared" si="1"/>
        <v>3345</v>
      </c>
    </row>
    <row r="13911" ht="22.5" customHeight="1">
      <c r="B13911" s="42" t="str">
        <f>IFERROR(__xludf.DUMMYFUNCTION("""COMPUTED_VALUE"""),"")</f>
        <v/>
      </c>
      <c r="C13911" s="42" t="str">
        <f>IFERROR(__xludf.DUMMYFUNCTION("""COMPUTED_VALUE"""),"")</f>
        <v/>
      </c>
      <c r="D13911" s="42"/>
      <c r="E13911" s="42"/>
      <c r="F13911" s="48" t="str">
        <f>IFERROR(__xludf.DUMMYFUNCTION("""COMPUTED_VALUE"""),"")</f>
        <v/>
      </c>
      <c r="G13911" s="42" t="str">
        <f>IFERROR(__xludf.DUMMYFUNCTION("""COMPUTED_VALUE"""),"")</f>
        <v/>
      </c>
      <c r="H13911" s="42">
        <f t="shared" si="1"/>
        <v>3345</v>
      </c>
    </row>
    <row r="13912" ht="22.5" customHeight="1">
      <c r="B13912" s="42" t="str">
        <f>IFERROR(__xludf.DUMMYFUNCTION("""COMPUTED_VALUE"""),"")</f>
        <v/>
      </c>
      <c r="C13912" s="42" t="str">
        <f>IFERROR(__xludf.DUMMYFUNCTION("""COMPUTED_VALUE"""),"")</f>
        <v/>
      </c>
      <c r="D13912" s="42"/>
      <c r="E13912" s="42"/>
      <c r="F13912" s="48" t="str">
        <f>IFERROR(__xludf.DUMMYFUNCTION("""COMPUTED_VALUE"""),"")</f>
        <v/>
      </c>
      <c r="G13912" s="42" t="str">
        <f>IFERROR(__xludf.DUMMYFUNCTION("""COMPUTED_VALUE"""),"")</f>
        <v/>
      </c>
      <c r="H13912" s="42">
        <f t="shared" si="1"/>
        <v>3345</v>
      </c>
    </row>
    <row r="13913" ht="22.5" customHeight="1">
      <c r="B13913" s="42" t="str">
        <f>IFERROR(__xludf.DUMMYFUNCTION("""COMPUTED_VALUE"""),"")</f>
        <v/>
      </c>
      <c r="C13913" s="42" t="str">
        <f>IFERROR(__xludf.DUMMYFUNCTION("""COMPUTED_VALUE"""),"")</f>
        <v/>
      </c>
      <c r="D13913" s="42"/>
      <c r="E13913" s="42"/>
      <c r="F13913" s="48" t="str">
        <f>IFERROR(__xludf.DUMMYFUNCTION("""COMPUTED_VALUE"""),"")</f>
        <v/>
      </c>
      <c r="G13913" s="42" t="str">
        <f>IFERROR(__xludf.DUMMYFUNCTION("""COMPUTED_VALUE"""),"")</f>
        <v/>
      </c>
      <c r="H13913" s="42">
        <f t="shared" si="1"/>
        <v>3345</v>
      </c>
    </row>
    <row r="13914" ht="22.5" customHeight="1">
      <c r="B13914" s="42" t="str">
        <f>IFERROR(__xludf.DUMMYFUNCTION("""COMPUTED_VALUE"""),"")</f>
        <v/>
      </c>
      <c r="C13914" s="42" t="str">
        <f>IFERROR(__xludf.DUMMYFUNCTION("""COMPUTED_VALUE"""),"")</f>
        <v/>
      </c>
      <c r="D13914" s="42"/>
      <c r="E13914" s="42"/>
      <c r="F13914" s="48" t="str">
        <f>IFERROR(__xludf.DUMMYFUNCTION("""COMPUTED_VALUE"""),"")</f>
        <v/>
      </c>
      <c r="G13914" s="42" t="str">
        <f>IFERROR(__xludf.DUMMYFUNCTION("""COMPUTED_VALUE"""),"")</f>
        <v/>
      </c>
      <c r="H13914" s="42">
        <f t="shared" si="1"/>
        <v>3345</v>
      </c>
    </row>
    <row r="13915" ht="22.5" customHeight="1">
      <c r="B13915" s="42" t="str">
        <f>IFERROR(__xludf.DUMMYFUNCTION("""COMPUTED_VALUE"""),"")</f>
        <v/>
      </c>
      <c r="C13915" s="42" t="str">
        <f>IFERROR(__xludf.DUMMYFUNCTION("""COMPUTED_VALUE"""),"")</f>
        <v/>
      </c>
      <c r="D13915" s="42"/>
      <c r="E13915" s="42"/>
      <c r="F13915" s="48" t="str">
        <f>IFERROR(__xludf.DUMMYFUNCTION("""COMPUTED_VALUE"""),"")</f>
        <v/>
      </c>
      <c r="G13915" s="42" t="str">
        <f>IFERROR(__xludf.DUMMYFUNCTION("""COMPUTED_VALUE"""),"")</f>
        <v/>
      </c>
      <c r="H13915" s="42">
        <f t="shared" si="1"/>
        <v>3345</v>
      </c>
    </row>
    <row r="13916" ht="22.5" customHeight="1">
      <c r="B13916" s="42" t="str">
        <f>IFERROR(__xludf.DUMMYFUNCTION("""COMPUTED_VALUE"""),"")</f>
        <v/>
      </c>
      <c r="C13916" s="42" t="str">
        <f>IFERROR(__xludf.DUMMYFUNCTION("""COMPUTED_VALUE"""),"")</f>
        <v/>
      </c>
      <c r="D13916" s="42"/>
      <c r="E13916" s="42"/>
      <c r="F13916" s="48" t="str">
        <f>IFERROR(__xludf.DUMMYFUNCTION("""COMPUTED_VALUE"""),"")</f>
        <v/>
      </c>
      <c r="G13916" s="42" t="str">
        <f>IFERROR(__xludf.DUMMYFUNCTION("""COMPUTED_VALUE"""),"")</f>
        <v/>
      </c>
      <c r="H13916" s="42">
        <f t="shared" si="1"/>
        <v>3345</v>
      </c>
    </row>
    <row r="13917" ht="22.5" customHeight="1">
      <c r="B13917" s="42" t="str">
        <f>IFERROR(__xludf.DUMMYFUNCTION("""COMPUTED_VALUE"""),"")</f>
        <v/>
      </c>
      <c r="C13917" s="42" t="str">
        <f>IFERROR(__xludf.DUMMYFUNCTION("""COMPUTED_VALUE"""),"")</f>
        <v/>
      </c>
      <c r="D13917" s="42"/>
      <c r="E13917" s="42"/>
      <c r="F13917" s="48" t="str">
        <f>IFERROR(__xludf.DUMMYFUNCTION("""COMPUTED_VALUE"""),"")</f>
        <v/>
      </c>
      <c r="G13917" s="42" t="str">
        <f>IFERROR(__xludf.DUMMYFUNCTION("""COMPUTED_VALUE"""),"")</f>
        <v/>
      </c>
      <c r="H13917" s="42">
        <f t="shared" si="1"/>
        <v>3345</v>
      </c>
    </row>
    <row r="13918" ht="22.5" customHeight="1">
      <c r="B13918" s="42" t="str">
        <f>IFERROR(__xludf.DUMMYFUNCTION("""COMPUTED_VALUE"""),"")</f>
        <v/>
      </c>
      <c r="C13918" s="42" t="str">
        <f>IFERROR(__xludf.DUMMYFUNCTION("""COMPUTED_VALUE"""),"")</f>
        <v/>
      </c>
      <c r="D13918" s="42"/>
      <c r="E13918" s="42"/>
      <c r="F13918" s="48" t="str">
        <f>IFERROR(__xludf.DUMMYFUNCTION("""COMPUTED_VALUE"""),"")</f>
        <v/>
      </c>
      <c r="G13918" s="42" t="str">
        <f>IFERROR(__xludf.DUMMYFUNCTION("""COMPUTED_VALUE"""),"")</f>
        <v/>
      </c>
      <c r="H13918" s="42">
        <f t="shared" si="1"/>
        <v>3345</v>
      </c>
    </row>
    <row r="13919" ht="22.5" customHeight="1">
      <c r="B13919" s="42" t="str">
        <f>IFERROR(__xludf.DUMMYFUNCTION("""COMPUTED_VALUE"""),"")</f>
        <v/>
      </c>
      <c r="C13919" s="42" t="str">
        <f>IFERROR(__xludf.DUMMYFUNCTION("""COMPUTED_VALUE"""),"")</f>
        <v/>
      </c>
      <c r="D13919" s="42"/>
      <c r="E13919" s="42"/>
      <c r="F13919" s="48" t="str">
        <f>IFERROR(__xludf.DUMMYFUNCTION("""COMPUTED_VALUE"""),"")</f>
        <v/>
      </c>
      <c r="G13919" s="42" t="str">
        <f>IFERROR(__xludf.DUMMYFUNCTION("""COMPUTED_VALUE"""),"")</f>
        <v/>
      </c>
      <c r="H13919" s="42">
        <f t="shared" si="1"/>
        <v>3345</v>
      </c>
    </row>
    <row r="13920" ht="22.5" customHeight="1">
      <c r="B13920" s="42" t="str">
        <f>IFERROR(__xludf.DUMMYFUNCTION("""COMPUTED_VALUE"""),"")</f>
        <v/>
      </c>
      <c r="C13920" s="42" t="str">
        <f>IFERROR(__xludf.DUMMYFUNCTION("""COMPUTED_VALUE"""),"")</f>
        <v/>
      </c>
      <c r="D13920" s="42"/>
      <c r="E13920" s="42"/>
      <c r="F13920" s="48" t="str">
        <f>IFERROR(__xludf.DUMMYFUNCTION("""COMPUTED_VALUE"""),"")</f>
        <v/>
      </c>
      <c r="G13920" s="42" t="str">
        <f>IFERROR(__xludf.DUMMYFUNCTION("""COMPUTED_VALUE"""),"")</f>
        <v/>
      </c>
      <c r="H13920" s="42">
        <f t="shared" si="1"/>
        <v>3345</v>
      </c>
    </row>
    <row r="13921" ht="22.5" customHeight="1">
      <c r="B13921" s="42" t="str">
        <f>IFERROR(__xludf.DUMMYFUNCTION("""COMPUTED_VALUE"""),"")</f>
        <v/>
      </c>
      <c r="C13921" s="42" t="str">
        <f>IFERROR(__xludf.DUMMYFUNCTION("""COMPUTED_VALUE"""),"")</f>
        <v/>
      </c>
      <c r="D13921" s="42"/>
      <c r="E13921" s="42"/>
      <c r="F13921" s="48" t="str">
        <f>IFERROR(__xludf.DUMMYFUNCTION("""COMPUTED_VALUE"""),"")</f>
        <v/>
      </c>
      <c r="G13921" s="42" t="str">
        <f>IFERROR(__xludf.DUMMYFUNCTION("""COMPUTED_VALUE"""),"")</f>
        <v/>
      </c>
      <c r="H13921" s="42">
        <f t="shared" si="1"/>
        <v>3345</v>
      </c>
    </row>
    <row r="13922" ht="22.5" customHeight="1">
      <c r="B13922" s="42" t="str">
        <f>IFERROR(__xludf.DUMMYFUNCTION("""COMPUTED_VALUE"""),"")</f>
        <v/>
      </c>
      <c r="C13922" s="42" t="str">
        <f>IFERROR(__xludf.DUMMYFUNCTION("""COMPUTED_VALUE"""),"")</f>
        <v/>
      </c>
      <c r="D13922" s="42"/>
      <c r="E13922" s="42"/>
      <c r="F13922" s="48" t="str">
        <f>IFERROR(__xludf.DUMMYFUNCTION("""COMPUTED_VALUE"""),"")</f>
        <v/>
      </c>
      <c r="G13922" s="42" t="str">
        <f>IFERROR(__xludf.DUMMYFUNCTION("""COMPUTED_VALUE"""),"")</f>
        <v/>
      </c>
      <c r="H13922" s="42">
        <f t="shared" si="1"/>
        <v>3345</v>
      </c>
    </row>
    <row r="13923" ht="22.5" customHeight="1">
      <c r="B13923" s="42" t="str">
        <f>IFERROR(__xludf.DUMMYFUNCTION("""COMPUTED_VALUE"""),"")</f>
        <v/>
      </c>
      <c r="C13923" s="42" t="str">
        <f>IFERROR(__xludf.DUMMYFUNCTION("""COMPUTED_VALUE"""),"")</f>
        <v/>
      </c>
      <c r="D13923" s="42"/>
      <c r="E13923" s="42"/>
      <c r="F13923" s="48" t="str">
        <f>IFERROR(__xludf.DUMMYFUNCTION("""COMPUTED_VALUE"""),"")</f>
        <v/>
      </c>
      <c r="G13923" s="42" t="str">
        <f>IFERROR(__xludf.DUMMYFUNCTION("""COMPUTED_VALUE"""),"")</f>
        <v/>
      </c>
      <c r="H13923" s="42">
        <f t="shared" si="1"/>
        <v>3345</v>
      </c>
    </row>
    <row r="13924" ht="22.5" customHeight="1">
      <c r="B13924" s="42" t="str">
        <f>IFERROR(__xludf.DUMMYFUNCTION("""COMPUTED_VALUE"""),"")</f>
        <v/>
      </c>
      <c r="C13924" s="42" t="str">
        <f>IFERROR(__xludf.DUMMYFUNCTION("""COMPUTED_VALUE"""),"")</f>
        <v/>
      </c>
      <c r="D13924" s="42"/>
      <c r="E13924" s="42"/>
      <c r="F13924" s="48" t="str">
        <f>IFERROR(__xludf.DUMMYFUNCTION("""COMPUTED_VALUE"""),"")</f>
        <v/>
      </c>
      <c r="G13924" s="42" t="str">
        <f>IFERROR(__xludf.DUMMYFUNCTION("""COMPUTED_VALUE"""),"")</f>
        <v/>
      </c>
      <c r="H13924" s="42">
        <f t="shared" si="1"/>
        <v>3345</v>
      </c>
    </row>
    <row r="13925" ht="22.5" customHeight="1">
      <c r="B13925" s="42" t="str">
        <f>IFERROR(__xludf.DUMMYFUNCTION("""COMPUTED_VALUE"""),"")</f>
        <v/>
      </c>
      <c r="C13925" s="42" t="str">
        <f>IFERROR(__xludf.DUMMYFUNCTION("""COMPUTED_VALUE"""),"")</f>
        <v/>
      </c>
      <c r="D13925" s="42"/>
      <c r="E13925" s="42"/>
      <c r="F13925" s="48" t="str">
        <f>IFERROR(__xludf.DUMMYFUNCTION("""COMPUTED_VALUE"""),"")</f>
        <v/>
      </c>
      <c r="G13925" s="42" t="str">
        <f>IFERROR(__xludf.DUMMYFUNCTION("""COMPUTED_VALUE"""),"")</f>
        <v/>
      </c>
      <c r="H13925" s="42">
        <f t="shared" si="1"/>
        <v>3345</v>
      </c>
    </row>
    <row r="13926" ht="22.5" customHeight="1">
      <c r="B13926" s="42" t="str">
        <f>IFERROR(__xludf.DUMMYFUNCTION("""COMPUTED_VALUE"""),"")</f>
        <v/>
      </c>
      <c r="C13926" s="42" t="str">
        <f>IFERROR(__xludf.DUMMYFUNCTION("""COMPUTED_VALUE"""),"")</f>
        <v/>
      </c>
      <c r="D13926" s="42"/>
      <c r="E13926" s="42"/>
      <c r="F13926" s="48" t="str">
        <f>IFERROR(__xludf.DUMMYFUNCTION("""COMPUTED_VALUE"""),"")</f>
        <v/>
      </c>
      <c r="G13926" s="42" t="str">
        <f>IFERROR(__xludf.DUMMYFUNCTION("""COMPUTED_VALUE"""),"")</f>
        <v/>
      </c>
      <c r="H13926" s="42">
        <f t="shared" si="1"/>
        <v>3345</v>
      </c>
    </row>
    <row r="13927" ht="22.5" customHeight="1">
      <c r="B13927" s="42" t="str">
        <f>IFERROR(__xludf.DUMMYFUNCTION("""COMPUTED_VALUE"""),"")</f>
        <v/>
      </c>
      <c r="C13927" s="42" t="str">
        <f>IFERROR(__xludf.DUMMYFUNCTION("""COMPUTED_VALUE"""),"")</f>
        <v/>
      </c>
      <c r="D13927" s="42"/>
      <c r="E13927" s="42"/>
      <c r="F13927" s="48" t="str">
        <f>IFERROR(__xludf.DUMMYFUNCTION("""COMPUTED_VALUE"""),"")</f>
        <v/>
      </c>
      <c r="G13927" s="42" t="str">
        <f>IFERROR(__xludf.DUMMYFUNCTION("""COMPUTED_VALUE"""),"")</f>
        <v/>
      </c>
      <c r="H13927" s="42">
        <f t="shared" si="1"/>
        <v>3345</v>
      </c>
    </row>
    <row r="13928" ht="22.5" customHeight="1">
      <c r="B13928" s="42" t="str">
        <f>IFERROR(__xludf.DUMMYFUNCTION("""COMPUTED_VALUE"""),"")</f>
        <v/>
      </c>
      <c r="C13928" s="42" t="str">
        <f>IFERROR(__xludf.DUMMYFUNCTION("""COMPUTED_VALUE"""),"")</f>
        <v/>
      </c>
      <c r="D13928" s="42"/>
      <c r="E13928" s="42"/>
      <c r="F13928" s="48" t="str">
        <f>IFERROR(__xludf.DUMMYFUNCTION("""COMPUTED_VALUE"""),"")</f>
        <v/>
      </c>
      <c r="G13928" s="42" t="str">
        <f>IFERROR(__xludf.DUMMYFUNCTION("""COMPUTED_VALUE"""),"")</f>
        <v/>
      </c>
      <c r="H13928" s="42">
        <f t="shared" si="1"/>
        <v>3345</v>
      </c>
    </row>
    <row r="13929" ht="22.5" customHeight="1">
      <c r="B13929" s="42" t="str">
        <f>IFERROR(__xludf.DUMMYFUNCTION("""COMPUTED_VALUE"""),"")</f>
        <v/>
      </c>
      <c r="C13929" s="42" t="str">
        <f>IFERROR(__xludf.DUMMYFUNCTION("""COMPUTED_VALUE"""),"")</f>
        <v/>
      </c>
      <c r="D13929" s="42"/>
      <c r="E13929" s="42"/>
      <c r="F13929" s="48" t="str">
        <f>IFERROR(__xludf.DUMMYFUNCTION("""COMPUTED_VALUE"""),"")</f>
        <v/>
      </c>
      <c r="G13929" s="42" t="str">
        <f>IFERROR(__xludf.DUMMYFUNCTION("""COMPUTED_VALUE"""),"")</f>
        <v/>
      </c>
      <c r="H13929" s="42">
        <f t="shared" si="1"/>
        <v>3345</v>
      </c>
    </row>
    <row r="13930" ht="22.5" customHeight="1">
      <c r="B13930" s="42" t="str">
        <f>IFERROR(__xludf.DUMMYFUNCTION("""COMPUTED_VALUE"""),"")</f>
        <v/>
      </c>
      <c r="C13930" s="42" t="str">
        <f>IFERROR(__xludf.DUMMYFUNCTION("""COMPUTED_VALUE"""),"")</f>
        <v/>
      </c>
      <c r="D13930" s="42"/>
      <c r="E13930" s="42"/>
      <c r="F13930" s="48" t="str">
        <f>IFERROR(__xludf.DUMMYFUNCTION("""COMPUTED_VALUE"""),"")</f>
        <v/>
      </c>
      <c r="G13930" s="42" t="str">
        <f>IFERROR(__xludf.DUMMYFUNCTION("""COMPUTED_VALUE"""),"")</f>
        <v/>
      </c>
      <c r="H13930" s="42">
        <f t="shared" si="1"/>
        <v>3345</v>
      </c>
    </row>
    <row r="13931" ht="22.5" customHeight="1">
      <c r="B13931" s="42" t="str">
        <f>IFERROR(__xludf.DUMMYFUNCTION("""COMPUTED_VALUE"""),"")</f>
        <v/>
      </c>
      <c r="C13931" s="42" t="str">
        <f>IFERROR(__xludf.DUMMYFUNCTION("""COMPUTED_VALUE"""),"")</f>
        <v/>
      </c>
      <c r="D13931" s="42"/>
      <c r="E13931" s="42"/>
      <c r="F13931" s="48" t="str">
        <f>IFERROR(__xludf.DUMMYFUNCTION("""COMPUTED_VALUE"""),"")</f>
        <v/>
      </c>
      <c r="G13931" s="42" t="str">
        <f>IFERROR(__xludf.DUMMYFUNCTION("""COMPUTED_VALUE"""),"")</f>
        <v/>
      </c>
      <c r="H13931" s="42">
        <f t="shared" si="1"/>
        <v>3345</v>
      </c>
    </row>
    <row r="13932" ht="22.5" customHeight="1">
      <c r="B13932" s="42" t="str">
        <f>IFERROR(__xludf.DUMMYFUNCTION("""COMPUTED_VALUE"""),"")</f>
        <v/>
      </c>
      <c r="C13932" s="42" t="str">
        <f>IFERROR(__xludf.DUMMYFUNCTION("""COMPUTED_VALUE"""),"")</f>
        <v/>
      </c>
      <c r="D13932" s="42"/>
      <c r="E13932" s="42"/>
      <c r="F13932" s="48" t="str">
        <f>IFERROR(__xludf.DUMMYFUNCTION("""COMPUTED_VALUE"""),"")</f>
        <v/>
      </c>
      <c r="G13932" s="42" t="str">
        <f>IFERROR(__xludf.DUMMYFUNCTION("""COMPUTED_VALUE"""),"")</f>
        <v/>
      </c>
      <c r="H13932" s="42">
        <f t="shared" si="1"/>
        <v>3345</v>
      </c>
    </row>
    <row r="13933" ht="22.5" customHeight="1">
      <c r="B13933" s="42" t="str">
        <f>IFERROR(__xludf.DUMMYFUNCTION("""COMPUTED_VALUE"""),"")</f>
        <v/>
      </c>
      <c r="C13933" s="42" t="str">
        <f>IFERROR(__xludf.DUMMYFUNCTION("""COMPUTED_VALUE"""),"")</f>
        <v/>
      </c>
      <c r="D13933" s="42"/>
      <c r="E13933" s="42"/>
      <c r="F13933" s="48" t="str">
        <f>IFERROR(__xludf.DUMMYFUNCTION("""COMPUTED_VALUE"""),"")</f>
        <v/>
      </c>
      <c r="G13933" s="42" t="str">
        <f>IFERROR(__xludf.DUMMYFUNCTION("""COMPUTED_VALUE"""),"")</f>
        <v/>
      </c>
      <c r="H13933" s="42">
        <f t="shared" si="1"/>
        <v>3345</v>
      </c>
    </row>
    <row r="13934" ht="22.5" customHeight="1">
      <c r="B13934" s="42" t="str">
        <f>IFERROR(__xludf.DUMMYFUNCTION("""COMPUTED_VALUE"""),"")</f>
        <v/>
      </c>
      <c r="C13934" s="42" t="str">
        <f>IFERROR(__xludf.DUMMYFUNCTION("""COMPUTED_VALUE"""),"")</f>
        <v/>
      </c>
      <c r="D13934" s="42"/>
      <c r="E13934" s="42"/>
      <c r="F13934" s="48" t="str">
        <f>IFERROR(__xludf.DUMMYFUNCTION("""COMPUTED_VALUE"""),"")</f>
        <v/>
      </c>
      <c r="G13934" s="42" t="str">
        <f>IFERROR(__xludf.DUMMYFUNCTION("""COMPUTED_VALUE"""),"")</f>
        <v/>
      </c>
      <c r="H13934" s="42">
        <f t="shared" si="1"/>
        <v>3345</v>
      </c>
    </row>
    <row r="13935" ht="22.5" customHeight="1">
      <c r="B13935" s="42" t="str">
        <f>IFERROR(__xludf.DUMMYFUNCTION("""COMPUTED_VALUE"""),"")</f>
        <v/>
      </c>
      <c r="C13935" s="42" t="str">
        <f>IFERROR(__xludf.DUMMYFUNCTION("""COMPUTED_VALUE"""),"")</f>
        <v/>
      </c>
      <c r="D13935" s="42"/>
      <c r="E13935" s="42"/>
      <c r="F13935" s="48" t="str">
        <f>IFERROR(__xludf.DUMMYFUNCTION("""COMPUTED_VALUE"""),"")</f>
        <v/>
      </c>
      <c r="G13935" s="42" t="str">
        <f>IFERROR(__xludf.DUMMYFUNCTION("""COMPUTED_VALUE"""),"")</f>
        <v/>
      </c>
      <c r="H13935" s="42">
        <f t="shared" si="1"/>
        <v>3345</v>
      </c>
    </row>
    <row r="13936" ht="22.5" customHeight="1">
      <c r="B13936" s="42" t="str">
        <f>IFERROR(__xludf.DUMMYFUNCTION("""COMPUTED_VALUE"""),"")</f>
        <v/>
      </c>
      <c r="C13936" s="42" t="str">
        <f>IFERROR(__xludf.DUMMYFUNCTION("""COMPUTED_VALUE"""),"")</f>
        <v/>
      </c>
      <c r="D13936" s="42"/>
      <c r="E13936" s="42"/>
      <c r="F13936" s="48" t="str">
        <f>IFERROR(__xludf.DUMMYFUNCTION("""COMPUTED_VALUE"""),"")</f>
        <v/>
      </c>
      <c r="G13936" s="42" t="str">
        <f>IFERROR(__xludf.DUMMYFUNCTION("""COMPUTED_VALUE"""),"")</f>
        <v/>
      </c>
      <c r="H13936" s="42">
        <f t="shared" si="1"/>
        <v>3345</v>
      </c>
    </row>
    <row r="13937" ht="22.5" customHeight="1">
      <c r="B13937" s="42" t="str">
        <f>IFERROR(__xludf.DUMMYFUNCTION("""COMPUTED_VALUE"""),"")</f>
        <v/>
      </c>
      <c r="C13937" s="42" t="str">
        <f>IFERROR(__xludf.DUMMYFUNCTION("""COMPUTED_VALUE"""),"")</f>
        <v/>
      </c>
      <c r="D13937" s="42"/>
      <c r="E13937" s="42"/>
      <c r="F13937" s="48" t="str">
        <f>IFERROR(__xludf.DUMMYFUNCTION("""COMPUTED_VALUE"""),"")</f>
        <v/>
      </c>
      <c r="G13937" s="42" t="str">
        <f>IFERROR(__xludf.DUMMYFUNCTION("""COMPUTED_VALUE"""),"")</f>
        <v/>
      </c>
      <c r="H13937" s="42">
        <f t="shared" si="1"/>
        <v>3345</v>
      </c>
    </row>
    <row r="13938" ht="22.5" customHeight="1">
      <c r="B13938" s="42" t="str">
        <f>IFERROR(__xludf.DUMMYFUNCTION("""COMPUTED_VALUE"""),"")</f>
        <v/>
      </c>
      <c r="C13938" s="42" t="str">
        <f>IFERROR(__xludf.DUMMYFUNCTION("""COMPUTED_VALUE"""),"")</f>
        <v/>
      </c>
      <c r="D13938" s="42"/>
      <c r="E13938" s="42"/>
      <c r="F13938" s="48" t="str">
        <f>IFERROR(__xludf.DUMMYFUNCTION("""COMPUTED_VALUE"""),"")</f>
        <v/>
      </c>
      <c r="G13938" s="42" t="str">
        <f>IFERROR(__xludf.DUMMYFUNCTION("""COMPUTED_VALUE"""),"")</f>
        <v/>
      </c>
      <c r="H13938" s="42">
        <f t="shared" si="1"/>
        <v>3345</v>
      </c>
    </row>
    <row r="13939" ht="22.5" customHeight="1">
      <c r="B13939" s="42" t="str">
        <f>IFERROR(__xludf.DUMMYFUNCTION("""COMPUTED_VALUE"""),"")</f>
        <v/>
      </c>
      <c r="C13939" s="42" t="str">
        <f>IFERROR(__xludf.DUMMYFUNCTION("""COMPUTED_VALUE"""),"")</f>
        <v/>
      </c>
      <c r="D13939" s="42"/>
      <c r="E13939" s="42"/>
      <c r="F13939" s="48" t="str">
        <f>IFERROR(__xludf.DUMMYFUNCTION("""COMPUTED_VALUE"""),"")</f>
        <v/>
      </c>
      <c r="G13939" s="42" t="str">
        <f>IFERROR(__xludf.DUMMYFUNCTION("""COMPUTED_VALUE"""),"")</f>
        <v/>
      </c>
      <c r="H13939" s="42">
        <f t="shared" si="1"/>
        <v>3345</v>
      </c>
    </row>
    <row r="13940" ht="22.5" customHeight="1">
      <c r="B13940" s="42" t="str">
        <f>IFERROR(__xludf.DUMMYFUNCTION("""COMPUTED_VALUE"""),"")</f>
        <v/>
      </c>
      <c r="C13940" s="42" t="str">
        <f>IFERROR(__xludf.DUMMYFUNCTION("""COMPUTED_VALUE"""),"")</f>
        <v/>
      </c>
      <c r="D13940" s="42"/>
      <c r="E13940" s="42"/>
      <c r="F13940" s="48" t="str">
        <f>IFERROR(__xludf.DUMMYFUNCTION("""COMPUTED_VALUE"""),"")</f>
        <v/>
      </c>
      <c r="G13940" s="42" t="str">
        <f>IFERROR(__xludf.DUMMYFUNCTION("""COMPUTED_VALUE"""),"")</f>
        <v/>
      </c>
      <c r="H13940" s="42">
        <f t="shared" si="1"/>
        <v>3345</v>
      </c>
    </row>
    <row r="13941" ht="22.5" customHeight="1">
      <c r="B13941" s="42" t="str">
        <f>IFERROR(__xludf.DUMMYFUNCTION("""COMPUTED_VALUE"""),"")</f>
        <v/>
      </c>
      <c r="C13941" s="42" t="str">
        <f>IFERROR(__xludf.DUMMYFUNCTION("""COMPUTED_VALUE"""),"")</f>
        <v/>
      </c>
      <c r="D13941" s="42"/>
      <c r="E13941" s="42"/>
      <c r="F13941" s="48" t="str">
        <f>IFERROR(__xludf.DUMMYFUNCTION("""COMPUTED_VALUE"""),"")</f>
        <v/>
      </c>
      <c r="G13941" s="42" t="str">
        <f>IFERROR(__xludf.DUMMYFUNCTION("""COMPUTED_VALUE"""),"")</f>
        <v/>
      </c>
      <c r="H13941" s="42">
        <f t="shared" si="1"/>
        <v>3345</v>
      </c>
    </row>
    <row r="13942" ht="22.5" customHeight="1">
      <c r="B13942" s="42" t="str">
        <f>IFERROR(__xludf.DUMMYFUNCTION("""COMPUTED_VALUE"""),"")</f>
        <v/>
      </c>
      <c r="C13942" s="42" t="str">
        <f>IFERROR(__xludf.DUMMYFUNCTION("""COMPUTED_VALUE"""),"")</f>
        <v/>
      </c>
      <c r="D13942" s="42"/>
      <c r="E13942" s="42"/>
      <c r="F13942" s="48" t="str">
        <f>IFERROR(__xludf.DUMMYFUNCTION("""COMPUTED_VALUE"""),"")</f>
        <v/>
      </c>
      <c r="G13942" s="42" t="str">
        <f>IFERROR(__xludf.DUMMYFUNCTION("""COMPUTED_VALUE"""),"")</f>
        <v/>
      </c>
      <c r="H13942" s="42">
        <f t="shared" si="1"/>
        <v>3345</v>
      </c>
    </row>
    <row r="13943" ht="22.5" customHeight="1">
      <c r="B13943" s="42" t="str">
        <f>IFERROR(__xludf.DUMMYFUNCTION("""COMPUTED_VALUE"""),"")</f>
        <v/>
      </c>
      <c r="C13943" s="42" t="str">
        <f>IFERROR(__xludf.DUMMYFUNCTION("""COMPUTED_VALUE"""),"")</f>
        <v/>
      </c>
      <c r="D13943" s="42"/>
      <c r="E13943" s="42"/>
      <c r="F13943" s="48" t="str">
        <f>IFERROR(__xludf.DUMMYFUNCTION("""COMPUTED_VALUE"""),"")</f>
        <v/>
      </c>
      <c r="G13943" s="42" t="str">
        <f>IFERROR(__xludf.DUMMYFUNCTION("""COMPUTED_VALUE"""),"")</f>
        <v/>
      </c>
      <c r="H13943" s="42">
        <f t="shared" si="1"/>
        <v>3345</v>
      </c>
    </row>
    <row r="13944" ht="22.5" customHeight="1">
      <c r="B13944" s="42" t="str">
        <f>IFERROR(__xludf.DUMMYFUNCTION("""COMPUTED_VALUE"""),"")</f>
        <v/>
      </c>
      <c r="C13944" s="42" t="str">
        <f>IFERROR(__xludf.DUMMYFUNCTION("""COMPUTED_VALUE"""),"")</f>
        <v/>
      </c>
      <c r="D13944" s="42"/>
      <c r="E13944" s="42"/>
      <c r="F13944" s="48" t="str">
        <f>IFERROR(__xludf.DUMMYFUNCTION("""COMPUTED_VALUE"""),"")</f>
        <v/>
      </c>
      <c r="G13944" s="42" t="str">
        <f>IFERROR(__xludf.DUMMYFUNCTION("""COMPUTED_VALUE"""),"")</f>
        <v/>
      </c>
      <c r="H13944" s="42">
        <f t="shared" si="1"/>
        <v>3345</v>
      </c>
    </row>
    <row r="13945" ht="22.5" customHeight="1">
      <c r="B13945" s="42" t="str">
        <f>IFERROR(__xludf.DUMMYFUNCTION("""COMPUTED_VALUE"""),"")</f>
        <v/>
      </c>
      <c r="C13945" s="42" t="str">
        <f>IFERROR(__xludf.DUMMYFUNCTION("""COMPUTED_VALUE"""),"")</f>
        <v/>
      </c>
      <c r="D13945" s="42"/>
      <c r="E13945" s="42"/>
      <c r="F13945" s="48" t="str">
        <f>IFERROR(__xludf.DUMMYFUNCTION("""COMPUTED_VALUE"""),"")</f>
        <v/>
      </c>
      <c r="G13945" s="42" t="str">
        <f>IFERROR(__xludf.DUMMYFUNCTION("""COMPUTED_VALUE"""),"")</f>
        <v/>
      </c>
      <c r="H13945" s="42">
        <f t="shared" si="1"/>
        <v>3345</v>
      </c>
    </row>
    <row r="13946" ht="22.5" customHeight="1">
      <c r="B13946" s="42" t="str">
        <f>IFERROR(__xludf.DUMMYFUNCTION("""COMPUTED_VALUE"""),"")</f>
        <v/>
      </c>
      <c r="C13946" s="42" t="str">
        <f>IFERROR(__xludf.DUMMYFUNCTION("""COMPUTED_VALUE"""),"")</f>
        <v/>
      </c>
      <c r="D13946" s="42"/>
      <c r="E13946" s="42"/>
      <c r="F13946" s="48" t="str">
        <f>IFERROR(__xludf.DUMMYFUNCTION("""COMPUTED_VALUE"""),"")</f>
        <v/>
      </c>
      <c r="G13946" s="42" t="str">
        <f>IFERROR(__xludf.DUMMYFUNCTION("""COMPUTED_VALUE"""),"")</f>
        <v/>
      </c>
      <c r="H13946" s="42">
        <f t="shared" si="1"/>
        <v>3345</v>
      </c>
    </row>
    <row r="13947" ht="22.5" customHeight="1">
      <c r="B13947" s="42" t="str">
        <f>IFERROR(__xludf.DUMMYFUNCTION("""COMPUTED_VALUE"""),"")</f>
        <v/>
      </c>
      <c r="C13947" s="42" t="str">
        <f>IFERROR(__xludf.DUMMYFUNCTION("""COMPUTED_VALUE"""),"")</f>
        <v/>
      </c>
      <c r="D13947" s="42"/>
      <c r="E13947" s="42"/>
      <c r="F13947" s="48" t="str">
        <f>IFERROR(__xludf.DUMMYFUNCTION("""COMPUTED_VALUE"""),"")</f>
        <v/>
      </c>
      <c r="G13947" s="42" t="str">
        <f>IFERROR(__xludf.DUMMYFUNCTION("""COMPUTED_VALUE"""),"")</f>
        <v/>
      </c>
      <c r="H13947" s="42">
        <f t="shared" si="1"/>
        <v>3345</v>
      </c>
    </row>
    <row r="13948" ht="22.5" customHeight="1">
      <c r="B13948" s="42" t="str">
        <f>IFERROR(__xludf.DUMMYFUNCTION("""COMPUTED_VALUE"""),"")</f>
        <v/>
      </c>
      <c r="C13948" s="42" t="str">
        <f>IFERROR(__xludf.DUMMYFUNCTION("""COMPUTED_VALUE"""),"")</f>
        <v/>
      </c>
      <c r="D13948" s="42"/>
      <c r="E13948" s="42"/>
      <c r="F13948" s="48" t="str">
        <f>IFERROR(__xludf.DUMMYFUNCTION("""COMPUTED_VALUE"""),"")</f>
        <v/>
      </c>
      <c r="G13948" s="42" t="str">
        <f>IFERROR(__xludf.DUMMYFUNCTION("""COMPUTED_VALUE"""),"")</f>
        <v/>
      </c>
      <c r="H13948" s="42">
        <f t="shared" si="1"/>
        <v>3345</v>
      </c>
    </row>
    <row r="13949" ht="22.5" customHeight="1">
      <c r="B13949" s="42" t="str">
        <f>IFERROR(__xludf.DUMMYFUNCTION("""COMPUTED_VALUE"""),"")</f>
        <v/>
      </c>
      <c r="C13949" s="42" t="str">
        <f>IFERROR(__xludf.DUMMYFUNCTION("""COMPUTED_VALUE"""),"")</f>
        <v/>
      </c>
      <c r="D13949" s="42"/>
      <c r="E13949" s="42"/>
      <c r="F13949" s="48" t="str">
        <f>IFERROR(__xludf.DUMMYFUNCTION("""COMPUTED_VALUE"""),"")</f>
        <v/>
      </c>
      <c r="G13949" s="42" t="str">
        <f>IFERROR(__xludf.DUMMYFUNCTION("""COMPUTED_VALUE"""),"")</f>
        <v/>
      </c>
      <c r="H13949" s="42">
        <f t="shared" si="1"/>
        <v>3345</v>
      </c>
    </row>
    <row r="13950" ht="22.5" customHeight="1">
      <c r="B13950" s="42" t="str">
        <f>IFERROR(__xludf.DUMMYFUNCTION("""COMPUTED_VALUE"""),"")</f>
        <v/>
      </c>
      <c r="C13950" s="42" t="str">
        <f>IFERROR(__xludf.DUMMYFUNCTION("""COMPUTED_VALUE"""),"")</f>
        <v/>
      </c>
      <c r="D13950" s="42"/>
      <c r="E13950" s="42"/>
      <c r="F13950" s="48" t="str">
        <f>IFERROR(__xludf.DUMMYFUNCTION("""COMPUTED_VALUE"""),"")</f>
        <v/>
      </c>
      <c r="G13950" s="42" t="str">
        <f>IFERROR(__xludf.DUMMYFUNCTION("""COMPUTED_VALUE"""),"")</f>
        <v/>
      </c>
      <c r="H13950" s="42">
        <f t="shared" si="1"/>
        <v>3345</v>
      </c>
    </row>
    <row r="13951" ht="22.5" customHeight="1">
      <c r="B13951" s="42" t="str">
        <f>IFERROR(__xludf.DUMMYFUNCTION("""COMPUTED_VALUE"""),"")</f>
        <v/>
      </c>
      <c r="C13951" s="42" t="str">
        <f>IFERROR(__xludf.DUMMYFUNCTION("""COMPUTED_VALUE"""),"")</f>
        <v/>
      </c>
      <c r="D13951" s="42"/>
      <c r="E13951" s="42"/>
      <c r="F13951" s="48" t="str">
        <f>IFERROR(__xludf.DUMMYFUNCTION("""COMPUTED_VALUE"""),"")</f>
        <v/>
      </c>
      <c r="G13951" s="42" t="str">
        <f>IFERROR(__xludf.DUMMYFUNCTION("""COMPUTED_VALUE"""),"")</f>
        <v/>
      </c>
      <c r="H13951" s="42">
        <f t="shared" si="1"/>
        <v>3345</v>
      </c>
    </row>
    <row r="13952" ht="22.5" customHeight="1">
      <c r="B13952" s="42" t="str">
        <f>IFERROR(__xludf.DUMMYFUNCTION("""COMPUTED_VALUE"""),"")</f>
        <v/>
      </c>
      <c r="C13952" s="42" t="str">
        <f>IFERROR(__xludf.DUMMYFUNCTION("""COMPUTED_VALUE"""),"")</f>
        <v/>
      </c>
      <c r="D13952" s="42"/>
      <c r="E13952" s="42"/>
      <c r="F13952" s="48" t="str">
        <f>IFERROR(__xludf.DUMMYFUNCTION("""COMPUTED_VALUE"""),"")</f>
        <v/>
      </c>
      <c r="G13952" s="42" t="str">
        <f>IFERROR(__xludf.DUMMYFUNCTION("""COMPUTED_VALUE"""),"")</f>
        <v/>
      </c>
      <c r="H13952" s="42">
        <f t="shared" si="1"/>
        <v>3345</v>
      </c>
    </row>
    <row r="13953" ht="22.5" customHeight="1">
      <c r="B13953" s="42" t="str">
        <f>IFERROR(__xludf.DUMMYFUNCTION("""COMPUTED_VALUE"""),"")</f>
        <v/>
      </c>
      <c r="C13953" s="42" t="str">
        <f>IFERROR(__xludf.DUMMYFUNCTION("""COMPUTED_VALUE"""),"")</f>
        <v/>
      </c>
      <c r="D13953" s="42"/>
      <c r="E13953" s="42"/>
      <c r="F13953" s="48" t="str">
        <f>IFERROR(__xludf.DUMMYFUNCTION("""COMPUTED_VALUE"""),"")</f>
        <v/>
      </c>
      <c r="G13953" s="42" t="str">
        <f>IFERROR(__xludf.DUMMYFUNCTION("""COMPUTED_VALUE"""),"")</f>
        <v/>
      </c>
      <c r="H13953" s="42">
        <f t="shared" si="1"/>
        <v>3345</v>
      </c>
    </row>
    <row r="13954" ht="22.5" customHeight="1">
      <c r="B13954" s="42" t="str">
        <f>IFERROR(__xludf.DUMMYFUNCTION("""COMPUTED_VALUE"""),"")</f>
        <v/>
      </c>
      <c r="C13954" s="42" t="str">
        <f>IFERROR(__xludf.DUMMYFUNCTION("""COMPUTED_VALUE"""),"")</f>
        <v/>
      </c>
      <c r="D13954" s="42"/>
      <c r="E13954" s="42"/>
      <c r="F13954" s="48" t="str">
        <f>IFERROR(__xludf.DUMMYFUNCTION("""COMPUTED_VALUE"""),"")</f>
        <v/>
      </c>
      <c r="G13954" s="42" t="str">
        <f>IFERROR(__xludf.DUMMYFUNCTION("""COMPUTED_VALUE"""),"")</f>
        <v/>
      </c>
      <c r="H13954" s="42">
        <f t="shared" si="1"/>
        <v>3345</v>
      </c>
    </row>
    <row r="13955" ht="22.5" customHeight="1">
      <c r="B13955" s="42" t="str">
        <f>IFERROR(__xludf.DUMMYFUNCTION("""COMPUTED_VALUE"""),"")</f>
        <v/>
      </c>
      <c r="C13955" s="42" t="str">
        <f>IFERROR(__xludf.DUMMYFUNCTION("""COMPUTED_VALUE"""),"")</f>
        <v/>
      </c>
      <c r="D13955" s="42"/>
      <c r="E13955" s="42"/>
      <c r="F13955" s="48" t="str">
        <f>IFERROR(__xludf.DUMMYFUNCTION("""COMPUTED_VALUE"""),"")</f>
        <v/>
      </c>
      <c r="G13955" s="42" t="str">
        <f>IFERROR(__xludf.DUMMYFUNCTION("""COMPUTED_VALUE"""),"")</f>
        <v/>
      </c>
      <c r="H13955" s="42">
        <f t="shared" si="1"/>
        <v>3345</v>
      </c>
    </row>
    <row r="13956" ht="22.5" customHeight="1">
      <c r="B13956" s="42" t="str">
        <f>IFERROR(__xludf.DUMMYFUNCTION("""COMPUTED_VALUE"""),"")</f>
        <v/>
      </c>
      <c r="C13956" s="42" t="str">
        <f>IFERROR(__xludf.DUMMYFUNCTION("""COMPUTED_VALUE"""),"")</f>
        <v/>
      </c>
      <c r="D13956" s="42"/>
      <c r="E13956" s="42"/>
      <c r="F13956" s="48" t="str">
        <f>IFERROR(__xludf.DUMMYFUNCTION("""COMPUTED_VALUE"""),"")</f>
        <v/>
      </c>
      <c r="G13956" s="42" t="str">
        <f>IFERROR(__xludf.DUMMYFUNCTION("""COMPUTED_VALUE"""),"")</f>
        <v/>
      </c>
      <c r="H13956" s="42">
        <f t="shared" si="1"/>
        <v>3345</v>
      </c>
    </row>
    <row r="13957" ht="22.5" customHeight="1">
      <c r="B13957" s="42" t="str">
        <f>IFERROR(__xludf.DUMMYFUNCTION("""COMPUTED_VALUE"""),"")</f>
        <v/>
      </c>
      <c r="C13957" s="42" t="str">
        <f>IFERROR(__xludf.DUMMYFUNCTION("""COMPUTED_VALUE"""),"")</f>
        <v/>
      </c>
      <c r="D13957" s="42"/>
      <c r="E13957" s="42"/>
      <c r="F13957" s="48" t="str">
        <f>IFERROR(__xludf.DUMMYFUNCTION("""COMPUTED_VALUE"""),"")</f>
        <v/>
      </c>
      <c r="G13957" s="42" t="str">
        <f>IFERROR(__xludf.DUMMYFUNCTION("""COMPUTED_VALUE"""),"")</f>
        <v/>
      </c>
      <c r="H13957" s="42">
        <f t="shared" si="1"/>
        <v>3345</v>
      </c>
    </row>
    <row r="13958" ht="22.5" customHeight="1">
      <c r="B13958" s="42" t="str">
        <f>IFERROR(__xludf.DUMMYFUNCTION("""COMPUTED_VALUE"""),"")</f>
        <v/>
      </c>
      <c r="C13958" s="42" t="str">
        <f>IFERROR(__xludf.DUMMYFUNCTION("""COMPUTED_VALUE"""),"")</f>
        <v/>
      </c>
      <c r="D13958" s="42"/>
      <c r="E13958" s="42"/>
      <c r="F13958" s="48" t="str">
        <f>IFERROR(__xludf.DUMMYFUNCTION("""COMPUTED_VALUE"""),"")</f>
        <v/>
      </c>
      <c r="G13958" s="42" t="str">
        <f>IFERROR(__xludf.DUMMYFUNCTION("""COMPUTED_VALUE"""),"")</f>
        <v/>
      </c>
      <c r="H13958" s="42">
        <f t="shared" si="1"/>
        <v>3345</v>
      </c>
    </row>
    <row r="13959" ht="22.5" customHeight="1">
      <c r="B13959" s="42" t="str">
        <f>IFERROR(__xludf.DUMMYFUNCTION("""COMPUTED_VALUE"""),"")</f>
        <v/>
      </c>
      <c r="C13959" s="42" t="str">
        <f>IFERROR(__xludf.DUMMYFUNCTION("""COMPUTED_VALUE"""),"")</f>
        <v/>
      </c>
      <c r="D13959" s="42"/>
      <c r="E13959" s="42"/>
      <c r="F13959" s="48" t="str">
        <f>IFERROR(__xludf.DUMMYFUNCTION("""COMPUTED_VALUE"""),"")</f>
        <v/>
      </c>
      <c r="G13959" s="42" t="str">
        <f>IFERROR(__xludf.DUMMYFUNCTION("""COMPUTED_VALUE"""),"")</f>
        <v/>
      </c>
      <c r="H13959" s="42">
        <f t="shared" si="1"/>
        <v>3345</v>
      </c>
    </row>
    <row r="13960" ht="22.5" customHeight="1">
      <c r="B13960" s="42" t="str">
        <f>IFERROR(__xludf.DUMMYFUNCTION("""COMPUTED_VALUE"""),"")</f>
        <v/>
      </c>
      <c r="C13960" s="42" t="str">
        <f>IFERROR(__xludf.DUMMYFUNCTION("""COMPUTED_VALUE"""),"")</f>
        <v/>
      </c>
      <c r="D13960" s="42"/>
      <c r="E13960" s="42"/>
      <c r="F13960" s="48" t="str">
        <f>IFERROR(__xludf.DUMMYFUNCTION("""COMPUTED_VALUE"""),"")</f>
        <v/>
      </c>
      <c r="G13960" s="42" t="str">
        <f>IFERROR(__xludf.DUMMYFUNCTION("""COMPUTED_VALUE"""),"")</f>
        <v/>
      </c>
      <c r="H13960" s="42">
        <f t="shared" si="1"/>
        <v>3345</v>
      </c>
    </row>
    <row r="13961" ht="22.5" customHeight="1">
      <c r="B13961" s="42" t="str">
        <f>IFERROR(__xludf.DUMMYFUNCTION("""COMPUTED_VALUE"""),"")</f>
        <v/>
      </c>
      <c r="C13961" s="42" t="str">
        <f>IFERROR(__xludf.DUMMYFUNCTION("""COMPUTED_VALUE"""),"")</f>
        <v/>
      </c>
      <c r="D13961" s="42"/>
      <c r="E13961" s="42"/>
      <c r="F13961" s="48" t="str">
        <f>IFERROR(__xludf.DUMMYFUNCTION("""COMPUTED_VALUE"""),"")</f>
        <v/>
      </c>
      <c r="G13961" s="42" t="str">
        <f>IFERROR(__xludf.DUMMYFUNCTION("""COMPUTED_VALUE"""),"")</f>
        <v/>
      </c>
      <c r="H13961" s="42">
        <f t="shared" si="1"/>
        <v>3345</v>
      </c>
    </row>
    <row r="13962" ht="22.5" customHeight="1">
      <c r="B13962" s="42" t="str">
        <f>IFERROR(__xludf.DUMMYFUNCTION("""COMPUTED_VALUE"""),"")</f>
        <v/>
      </c>
      <c r="C13962" s="42" t="str">
        <f>IFERROR(__xludf.DUMMYFUNCTION("""COMPUTED_VALUE"""),"")</f>
        <v/>
      </c>
      <c r="D13962" s="42"/>
      <c r="E13962" s="42"/>
      <c r="F13962" s="48" t="str">
        <f>IFERROR(__xludf.DUMMYFUNCTION("""COMPUTED_VALUE"""),"")</f>
        <v/>
      </c>
      <c r="G13962" s="42" t="str">
        <f>IFERROR(__xludf.DUMMYFUNCTION("""COMPUTED_VALUE"""),"")</f>
        <v/>
      </c>
      <c r="H13962" s="42">
        <f t="shared" si="1"/>
        <v>3345</v>
      </c>
    </row>
    <row r="13963" ht="22.5" customHeight="1">
      <c r="B13963" s="42" t="str">
        <f>IFERROR(__xludf.DUMMYFUNCTION("""COMPUTED_VALUE"""),"")</f>
        <v/>
      </c>
      <c r="C13963" s="42" t="str">
        <f>IFERROR(__xludf.DUMMYFUNCTION("""COMPUTED_VALUE"""),"")</f>
        <v/>
      </c>
      <c r="D13963" s="42"/>
      <c r="E13963" s="42"/>
      <c r="F13963" s="48" t="str">
        <f>IFERROR(__xludf.DUMMYFUNCTION("""COMPUTED_VALUE"""),"")</f>
        <v/>
      </c>
      <c r="G13963" s="42" t="str">
        <f>IFERROR(__xludf.DUMMYFUNCTION("""COMPUTED_VALUE"""),"")</f>
        <v/>
      </c>
      <c r="H13963" s="42">
        <f t="shared" si="1"/>
        <v>3345</v>
      </c>
    </row>
    <row r="13964" ht="22.5" customHeight="1">
      <c r="B13964" s="42" t="str">
        <f>IFERROR(__xludf.DUMMYFUNCTION("""COMPUTED_VALUE"""),"")</f>
        <v/>
      </c>
      <c r="C13964" s="42" t="str">
        <f>IFERROR(__xludf.DUMMYFUNCTION("""COMPUTED_VALUE"""),"")</f>
        <v/>
      </c>
      <c r="D13964" s="42"/>
      <c r="E13964" s="42"/>
      <c r="F13964" s="48" t="str">
        <f>IFERROR(__xludf.DUMMYFUNCTION("""COMPUTED_VALUE"""),"")</f>
        <v/>
      </c>
      <c r="G13964" s="42" t="str">
        <f>IFERROR(__xludf.DUMMYFUNCTION("""COMPUTED_VALUE"""),"")</f>
        <v/>
      </c>
      <c r="H13964" s="42">
        <f t="shared" si="1"/>
        <v>3345</v>
      </c>
    </row>
    <row r="13965" ht="22.5" customHeight="1">
      <c r="B13965" s="42" t="str">
        <f>IFERROR(__xludf.DUMMYFUNCTION("""COMPUTED_VALUE"""),"")</f>
        <v/>
      </c>
      <c r="C13965" s="42" t="str">
        <f>IFERROR(__xludf.DUMMYFUNCTION("""COMPUTED_VALUE"""),"")</f>
        <v/>
      </c>
      <c r="D13965" s="42"/>
      <c r="E13965" s="42"/>
      <c r="F13965" s="48" t="str">
        <f>IFERROR(__xludf.DUMMYFUNCTION("""COMPUTED_VALUE"""),"")</f>
        <v/>
      </c>
      <c r="G13965" s="42" t="str">
        <f>IFERROR(__xludf.DUMMYFUNCTION("""COMPUTED_VALUE"""),"")</f>
        <v/>
      </c>
      <c r="H13965" s="42">
        <f t="shared" si="1"/>
        <v>3345</v>
      </c>
    </row>
    <row r="13966" ht="22.5" customHeight="1">
      <c r="B13966" s="42" t="str">
        <f>IFERROR(__xludf.DUMMYFUNCTION("""COMPUTED_VALUE"""),"")</f>
        <v/>
      </c>
      <c r="C13966" s="42" t="str">
        <f>IFERROR(__xludf.DUMMYFUNCTION("""COMPUTED_VALUE"""),"")</f>
        <v/>
      </c>
      <c r="D13966" s="42"/>
      <c r="E13966" s="42"/>
      <c r="F13966" s="48" t="str">
        <f>IFERROR(__xludf.DUMMYFUNCTION("""COMPUTED_VALUE"""),"")</f>
        <v/>
      </c>
      <c r="G13966" s="42" t="str">
        <f>IFERROR(__xludf.DUMMYFUNCTION("""COMPUTED_VALUE"""),"")</f>
        <v/>
      </c>
      <c r="H13966" s="42">
        <f t="shared" si="1"/>
        <v>3345</v>
      </c>
    </row>
    <row r="13967" ht="22.5" customHeight="1">
      <c r="B13967" s="42" t="str">
        <f>IFERROR(__xludf.DUMMYFUNCTION("""COMPUTED_VALUE"""),"")</f>
        <v/>
      </c>
      <c r="C13967" s="42" t="str">
        <f>IFERROR(__xludf.DUMMYFUNCTION("""COMPUTED_VALUE"""),"")</f>
        <v/>
      </c>
      <c r="D13967" s="42"/>
      <c r="E13967" s="42"/>
      <c r="F13967" s="48" t="str">
        <f>IFERROR(__xludf.DUMMYFUNCTION("""COMPUTED_VALUE"""),"")</f>
        <v/>
      </c>
      <c r="G13967" s="42" t="str">
        <f>IFERROR(__xludf.DUMMYFUNCTION("""COMPUTED_VALUE"""),"")</f>
        <v/>
      </c>
      <c r="H13967" s="42">
        <f t="shared" si="1"/>
        <v>3345</v>
      </c>
    </row>
    <row r="13968" ht="22.5" customHeight="1">
      <c r="B13968" s="42" t="str">
        <f>IFERROR(__xludf.DUMMYFUNCTION("""COMPUTED_VALUE"""),"")</f>
        <v/>
      </c>
      <c r="C13968" s="42" t="str">
        <f>IFERROR(__xludf.DUMMYFUNCTION("""COMPUTED_VALUE"""),"")</f>
        <v/>
      </c>
      <c r="D13968" s="42"/>
      <c r="E13968" s="42"/>
      <c r="F13968" s="48" t="str">
        <f>IFERROR(__xludf.DUMMYFUNCTION("""COMPUTED_VALUE"""),"")</f>
        <v/>
      </c>
      <c r="G13968" s="42" t="str">
        <f>IFERROR(__xludf.DUMMYFUNCTION("""COMPUTED_VALUE"""),"")</f>
        <v/>
      </c>
      <c r="H13968" s="42">
        <f t="shared" si="1"/>
        <v>3345</v>
      </c>
    </row>
    <row r="13969" ht="22.5" customHeight="1">
      <c r="B13969" s="42" t="str">
        <f>IFERROR(__xludf.DUMMYFUNCTION("""COMPUTED_VALUE"""),"")</f>
        <v/>
      </c>
      <c r="C13969" s="42" t="str">
        <f>IFERROR(__xludf.DUMMYFUNCTION("""COMPUTED_VALUE"""),"")</f>
        <v/>
      </c>
      <c r="D13969" s="42"/>
      <c r="E13969" s="42"/>
      <c r="F13969" s="48" t="str">
        <f>IFERROR(__xludf.DUMMYFUNCTION("""COMPUTED_VALUE"""),"")</f>
        <v/>
      </c>
      <c r="G13969" s="42" t="str">
        <f>IFERROR(__xludf.DUMMYFUNCTION("""COMPUTED_VALUE"""),"")</f>
        <v/>
      </c>
      <c r="H13969" s="42">
        <f t="shared" si="1"/>
        <v>3345</v>
      </c>
    </row>
    <row r="13970" ht="22.5" customHeight="1">
      <c r="B13970" s="42" t="str">
        <f>IFERROR(__xludf.DUMMYFUNCTION("""COMPUTED_VALUE"""),"")</f>
        <v/>
      </c>
      <c r="C13970" s="42" t="str">
        <f>IFERROR(__xludf.DUMMYFUNCTION("""COMPUTED_VALUE"""),"")</f>
        <v/>
      </c>
      <c r="D13970" s="42"/>
      <c r="E13970" s="42"/>
      <c r="F13970" s="48" t="str">
        <f>IFERROR(__xludf.DUMMYFUNCTION("""COMPUTED_VALUE"""),"")</f>
        <v/>
      </c>
      <c r="G13970" s="42" t="str">
        <f>IFERROR(__xludf.DUMMYFUNCTION("""COMPUTED_VALUE"""),"")</f>
        <v/>
      </c>
      <c r="H13970" s="42">
        <f t="shared" si="1"/>
        <v>3345</v>
      </c>
    </row>
    <row r="13971" ht="22.5" customHeight="1">
      <c r="B13971" s="42" t="str">
        <f>IFERROR(__xludf.DUMMYFUNCTION("""COMPUTED_VALUE"""),"")</f>
        <v/>
      </c>
      <c r="C13971" s="42" t="str">
        <f>IFERROR(__xludf.DUMMYFUNCTION("""COMPUTED_VALUE"""),"")</f>
        <v/>
      </c>
      <c r="D13971" s="42"/>
      <c r="E13971" s="42"/>
      <c r="F13971" s="48" t="str">
        <f>IFERROR(__xludf.DUMMYFUNCTION("""COMPUTED_VALUE"""),"")</f>
        <v/>
      </c>
      <c r="G13971" s="42" t="str">
        <f>IFERROR(__xludf.DUMMYFUNCTION("""COMPUTED_VALUE"""),"")</f>
        <v/>
      </c>
      <c r="H13971" s="42">
        <f t="shared" si="1"/>
        <v>3345</v>
      </c>
    </row>
    <row r="13972" ht="22.5" customHeight="1">
      <c r="B13972" s="42" t="str">
        <f>IFERROR(__xludf.DUMMYFUNCTION("""COMPUTED_VALUE"""),"")</f>
        <v/>
      </c>
      <c r="C13972" s="42" t="str">
        <f>IFERROR(__xludf.DUMMYFUNCTION("""COMPUTED_VALUE"""),"")</f>
        <v/>
      </c>
      <c r="D13972" s="42"/>
      <c r="E13972" s="42"/>
      <c r="F13972" s="48" t="str">
        <f>IFERROR(__xludf.DUMMYFUNCTION("""COMPUTED_VALUE"""),"")</f>
        <v/>
      </c>
      <c r="G13972" s="42" t="str">
        <f>IFERROR(__xludf.DUMMYFUNCTION("""COMPUTED_VALUE"""),"")</f>
        <v/>
      </c>
      <c r="H13972" s="42">
        <f t="shared" si="1"/>
        <v>3345</v>
      </c>
    </row>
    <row r="13973" ht="22.5" customHeight="1">
      <c r="B13973" s="42" t="str">
        <f>IFERROR(__xludf.DUMMYFUNCTION("""COMPUTED_VALUE"""),"")</f>
        <v/>
      </c>
      <c r="C13973" s="42" t="str">
        <f>IFERROR(__xludf.DUMMYFUNCTION("""COMPUTED_VALUE"""),"")</f>
        <v/>
      </c>
      <c r="D13973" s="42"/>
      <c r="E13973" s="42"/>
      <c r="F13973" s="48" t="str">
        <f>IFERROR(__xludf.DUMMYFUNCTION("""COMPUTED_VALUE"""),"")</f>
        <v/>
      </c>
      <c r="G13973" s="42" t="str">
        <f>IFERROR(__xludf.DUMMYFUNCTION("""COMPUTED_VALUE"""),"")</f>
        <v/>
      </c>
      <c r="H13973" s="42">
        <f t="shared" si="1"/>
        <v>3345</v>
      </c>
    </row>
    <row r="13974" ht="22.5" customHeight="1">
      <c r="B13974" s="42" t="str">
        <f>IFERROR(__xludf.DUMMYFUNCTION("""COMPUTED_VALUE"""),"")</f>
        <v/>
      </c>
      <c r="C13974" s="42" t="str">
        <f>IFERROR(__xludf.DUMMYFUNCTION("""COMPUTED_VALUE"""),"")</f>
        <v/>
      </c>
      <c r="D13974" s="42"/>
      <c r="E13974" s="42"/>
      <c r="F13974" s="48" t="str">
        <f>IFERROR(__xludf.DUMMYFUNCTION("""COMPUTED_VALUE"""),"")</f>
        <v/>
      </c>
      <c r="G13974" s="42" t="str">
        <f>IFERROR(__xludf.DUMMYFUNCTION("""COMPUTED_VALUE"""),"")</f>
        <v/>
      </c>
      <c r="H13974" s="42">
        <f t="shared" si="1"/>
        <v>3345</v>
      </c>
    </row>
    <row r="13975" ht="22.5" customHeight="1">
      <c r="B13975" s="42" t="str">
        <f>IFERROR(__xludf.DUMMYFUNCTION("""COMPUTED_VALUE"""),"")</f>
        <v/>
      </c>
      <c r="C13975" s="42" t="str">
        <f>IFERROR(__xludf.DUMMYFUNCTION("""COMPUTED_VALUE"""),"")</f>
        <v/>
      </c>
      <c r="D13975" s="42"/>
      <c r="E13975" s="42"/>
      <c r="F13975" s="48" t="str">
        <f>IFERROR(__xludf.DUMMYFUNCTION("""COMPUTED_VALUE"""),"")</f>
        <v/>
      </c>
      <c r="G13975" s="42" t="str">
        <f>IFERROR(__xludf.DUMMYFUNCTION("""COMPUTED_VALUE"""),"")</f>
        <v/>
      </c>
      <c r="H13975" s="42">
        <f t="shared" si="1"/>
        <v>3345</v>
      </c>
    </row>
    <row r="13976" ht="22.5" customHeight="1">
      <c r="B13976" s="42" t="str">
        <f>IFERROR(__xludf.DUMMYFUNCTION("""COMPUTED_VALUE"""),"")</f>
        <v/>
      </c>
      <c r="C13976" s="42" t="str">
        <f>IFERROR(__xludf.DUMMYFUNCTION("""COMPUTED_VALUE"""),"")</f>
        <v/>
      </c>
      <c r="D13976" s="42"/>
      <c r="E13976" s="42"/>
      <c r="F13976" s="48" t="str">
        <f>IFERROR(__xludf.DUMMYFUNCTION("""COMPUTED_VALUE"""),"")</f>
        <v/>
      </c>
      <c r="G13976" s="42" t="str">
        <f>IFERROR(__xludf.DUMMYFUNCTION("""COMPUTED_VALUE"""),"")</f>
        <v/>
      </c>
      <c r="H13976" s="42">
        <f t="shared" si="1"/>
        <v>3345</v>
      </c>
    </row>
    <row r="13977" ht="22.5" customHeight="1">
      <c r="B13977" s="42" t="str">
        <f>IFERROR(__xludf.DUMMYFUNCTION("""COMPUTED_VALUE"""),"")</f>
        <v/>
      </c>
      <c r="C13977" s="42" t="str">
        <f>IFERROR(__xludf.DUMMYFUNCTION("""COMPUTED_VALUE"""),"")</f>
        <v/>
      </c>
      <c r="D13977" s="42"/>
      <c r="E13977" s="42"/>
      <c r="F13977" s="48" t="str">
        <f>IFERROR(__xludf.DUMMYFUNCTION("""COMPUTED_VALUE"""),"")</f>
        <v/>
      </c>
      <c r="G13977" s="42" t="str">
        <f>IFERROR(__xludf.DUMMYFUNCTION("""COMPUTED_VALUE"""),"")</f>
        <v/>
      </c>
      <c r="H13977" s="42">
        <f t="shared" si="1"/>
        <v>3345</v>
      </c>
    </row>
    <row r="13978" ht="22.5" customHeight="1">
      <c r="B13978" s="42" t="str">
        <f>IFERROR(__xludf.DUMMYFUNCTION("""COMPUTED_VALUE"""),"")</f>
        <v/>
      </c>
      <c r="C13978" s="42" t="str">
        <f>IFERROR(__xludf.DUMMYFUNCTION("""COMPUTED_VALUE"""),"")</f>
        <v/>
      </c>
      <c r="D13978" s="42"/>
      <c r="E13978" s="42"/>
      <c r="F13978" s="48" t="str">
        <f>IFERROR(__xludf.DUMMYFUNCTION("""COMPUTED_VALUE"""),"")</f>
        <v/>
      </c>
      <c r="G13978" s="42" t="str">
        <f>IFERROR(__xludf.DUMMYFUNCTION("""COMPUTED_VALUE"""),"")</f>
        <v/>
      </c>
      <c r="H13978" s="42">
        <f t="shared" si="1"/>
        <v>3345</v>
      </c>
    </row>
    <row r="13979" ht="22.5" customHeight="1">
      <c r="B13979" s="42" t="str">
        <f>IFERROR(__xludf.DUMMYFUNCTION("""COMPUTED_VALUE"""),"")</f>
        <v/>
      </c>
      <c r="C13979" s="42" t="str">
        <f>IFERROR(__xludf.DUMMYFUNCTION("""COMPUTED_VALUE"""),"")</f>
        <v/>
      </c>
      <c r="D13979" s="42"/>
      <c r="E13979" s="42"/>
      <c r="F13979" s="48" t="str">
        <f>IFERROR(__xludf.DUMMYFUNCTION("""COMPUTED_VALUE"""),"")</f>
        <v/>
      </c>
      <c r="G13979" s="42" t="str">
        <f>IFERROR(__xludf.DUMMYFUNCTION("""COMPUTED_VALUE"""),"")</f>
        <v/>
      </c>
      <c r="H13979" s="42">
        <f t="shared" si="1"/>
        <v>3345</v>
      </c>
    </row>
    <row r="13980" ht="22.5" customHeight="1">
      <c r="B13980" s="42" t="str">
        <f>IFERROR(__xludf.DUMMYFUNCTION("""COMPUTED_VALUE"""),"")</f>
        <v/>
      </c>
      <c r="C13980" s="42" t="str">
        <f>IFERROR(__xludf.DUMMYFUNCTION("""COMPUTED_VALUE"""),"")</f>
        <v/>
      </c>
      <c r="D13980" s="42"/>
      <c r="E13980" s="42"/>
      <c r="F13980" s="48" t="str">
        <f>IFERROR(__xludf.DUMMYFUNCTION("""COMPUTED_VALUE"""),"")</f>
        <v/>
      </c>
      <c r="G13980" s="42" t="str">
        <f>IFERROR(__xludf.DUMMYFUNCTION("""COMPUTED_VALUE"""),"")</f>
        <v/>
      </c>
      <c r="H13980" s="42">
        <f t="shared" si="1"/>
        <v>3345</v>
      </c>
    </row>
    <row r="13981" ht="22.5" customHeight="1">
      <c r="B13981" s="42" t="str">
        <f>IFERROR(__xludf.DUMMYFUNCTION("""COMPUTED_VALUE"""),"")</f>
        <v/>
      </c>
      <c r="C13981" s="42" t="str">
        <f>IFERROR(__xludf.DUMMYFUNCTION("""COMPUTED_VALUE"""),"")</f>
        <v/>
      </c>
      <c r="D13981" s="42"/>
      <c r="E13981" s="42"/>
      <c r="F13981" s="48" t="str">
        <f>IFERROR(__xludf.DUMMYFUNCTION("""COMPUTED_VALUE"""),"")</f>
        <v/>
      </c>
      <c r="G13981" s="42" t="str">
        <f>IFERROR(__xludf.DUMMYFUNCTION("""COMPUTED_VALUE"""),"")</f>
        <v/>
      </c>
      <c r="H13981" s="42">
        <f t="shared" si="1"/>
        <v>3345</v>
      </c>
    </row>
    <row r="13982" ht="22.5" customHeight="1">
      <c r="B13982" s="42" t="str">
        <f>IFERROR(__xludf.DUMMYFUNCTION("""COMPUTED_VALUE"""),"")</f>
        <v/>
      </c>
      <c r="C13982" s="42" t="str">
        <f>IFERROR(__xludf.DUMMYFUNCTION("""COMPUTED_VALUE"""),"")</f>
        <v/>
      </c>
      <c r="D13982" s="42"/>
      <c r="E13982" s="42"/>
      <c r="F13982" s="48" t="str">
        <f>IFERROR(__xludf.DUMMYFUNCTION("""COMPUTED_VALUE"""),"")</f>
        <v/>
      </c>
      <c r="G13982" s="42" t="str">
        <f>IFERROR(__xludf.DUMMYFUNCTION("""COMPUTED_VALUE"""),"")</f>
        <v/>
      </c>
      <c r="H13982" s="42">
        <f t="shared" si="1"/>
        <v>3345</v>
      </c>
    </row>
    <row r="13983" ht="22.5" customHeight="1">
      <c r="B13983" s="42" t="str">
        <f>IFERROR(__xludf.DUMMYFUNCTION("""COMPUTED_VALUE"""),"")</f>
        <v/>
      </c>
      <c r="C13983" s="42" t="str">
        <f>IFERROR(__xludf.DUMMYFUNCTION("""COMPUTED_VALUE"""),"")</f>
        <v/>
      </c>
      <c r="D13983" s="42"/>
      <c r="E13983" s="42"/>
      <c r="F13983" s="48" t="str">
        <f>IFERROR(__xludf.DUMMYFUNCTION("""COMPUTED_VALUE"""),"")</f>
        <v/>
      </c>
      <c r="G13983" s="42" t="str">
        <f>IFERROR(__xludf.DUMMYFUNCTION("""COMPUTED_VALUE"""),"")</f>
        <v/>
      </c>
      <c r="H13983" s="42">
        <f t="shared" si="1"/>
        <v>3345</v>
      </c>
    </row>
    <row r="13984" ht="22.5" customHeight="1">
      <c r="B13984" s="42" t="str">
        <f>IFERROR(__xludf.DUMMYFUNCTION("""COMPUTED_VALUE"""),"")</f>
        <v/>
      </c>
      <c r="C13984" s="42" t="str">
        <f>IFERROR(__xludf.DUMMYFUNCTION("""COMPUTED_VALUE"""),"")</f>
        <v/>
      </c>
      <c r="D13984" s="42"/>
      <c r="E13984" s="42"/>
      <c r="F13984" s="48" t="str">
        <f>IFERROR(__xludf.DUMMYFUNCTION("""COMPUTED_VALUE"""),"")</f>
        <v/>
      </c>
      <c r="G13984" s="42" t="str">
        <f>IFERROR(__xludf.DUMMYFUNCTION("""COMPUTED_VALUE"""),"")</f>
        <v/>
      </c>
      <c r="H13984" s="42">
        <f t="shared" si="1"/>
        <v>3345</v>
      </c>
    </row>
    <row r="13985" ht="22.5" customHeight="1">
      <c r="B13985" s="42" t="str">
        <f>IFERROR(__xludf.DUMMYFUNCTION("""COMPUTED_VALUE"""),"")</f>
        <v/>
      </c>
      <c r="C13985" s="42" t="str">
        <f>IFERROR(__xludf.DUMMYFUNCTION("""COMPUTED_VALUE"""),"")</f>
        <v/>
      </c>
      <c r="D13985" s="42"/>
      <c r="E13985" s="42"/>
      <c r="F13985" s="48" t="str">
        <f>IFERROR(__xludf.DUMMYFUNCTION("""COMPUTED_VALUE"""),"")</f>
        <v/>
      </c>
      <c r="G13985" s="42" t="str">
        <f>IFERROR(__xludf.DUMMYFUNCTION("""COMPUTED_VALUE"""),"")</f>
        <v/>
      </c>
      <c r="H13985" s="42">
        <f t="shared" si="1"/>
        <v>3345</v>
      </c>
    </row>
    <row r="13986" ht="22.5" customHeight="1">
      <c r="B13986" s="42" t="str">
        <f>IFERROR(__xludf.DUMMYFUNCTION("""COMPUTED_VALUE"""),"")</f>
        <v/>
      </c>
      <c r="C13986" s="42" t="str">
        <f>IFERROR(__xludf.DUMMYFUNCTION("""COMPUTED_VALUE"""),"")</f>
        <v/>
      </c>
      <c r="D13986" s="42"/>
      <c r="E13986" s="42"/>
      <c r="F13986" s="48" t="str">
        <f>IFERROR(__xludf.DUMMYFUNCTION("""COMPUTED_VALUE"""),"")</f>
        <v/>
      </c>
      <c r="G13986" s="42" t="str">
        <f>IFERROR(__xludf.DUMMYFUNCTION("""COMPUTED_VALUE"""),"")</f>
        <v/>
      </c>
      <c r="H13986" s="42">
        <f t="shared" si="1"/>
        <v>3345</v>
      </c>
    </row>
    <row r="13987" ht="22.5" customHeight="1">
      <c r="B13987" s="42" t="str">
        <f>IFERROR(__xludf.DUMMYFUNCTION("""COMPUTED_VALUE"""),"")</f>
        <v/>
      </c>
      <c r="C13987" s="42" t="str">
        <f>IFERROR(__xludf.DUMMYFUNCTION("""COMPUTED_VALUE"""),"")</f>
        <v/>
      </c>
      <c r="D13987" s="42"/>
      <c r="E13987" s="42"/>
      <c r="F13987" s="48" t="str">
        <f>IFERROR(__xludf.DUMMYFUNCTION("""COMPUTED_VALUE"""),"")</f>
        <v/>
      </c>
      <c r="G13987" s="42" t="str">
        <f>IFERROR(__xludf.DUMMYFUNCTION("""COMPUTED_VALUE"""),"")</f>
        <v/>
      </c>
      <c r="H13987" s="42">
        <f t="shared" si="1"/>
        <v>3345</v>
      </c>
    </row>
    <row r="13988" ht="22.5" customHeight="1">
      <c r="B13988" s="42" t="str">
        <f>IFERROR(__xludf.DUMMYFUNCTION("""COMPUTED_VALUE"""),"")</f>
        <v/>
      </c>
      <c r="C13988" s="42" t="str">
        <f>IFERROR(__xludf.DUMMYFUNCTION("""COMPUTED_VALUE"""),"")</f>
        <v/>
      </c>
      <c r="D13988" s="42"/>
      <c r="E13988" s="42"/>
      <c r="F13988" s="48" t="str">
        <f>IFERROR(__xludf.DUMMYFUNCTION("""COMPUTED_VALUE"""),"")</f>
        <v/>
      </c>
      <c r="G13988" s="42" t="str">
        <f>IFERROR(__xludf.DUMMYFUNCTION("""COMPUTED_VALUE"""),"")</f>
        <v/>
      </c>
      <c r="H13988" s="42">
        <f t="shared" si="1"/>
        <v>3345</v>
      </c>
    </row>
    <row r="13989" ht="22.5" customHeight="1">
      <c r="B13989" s="42" t="str">
        <f>IFERROR(__xludf.DUMMYFUNCTION("""COMPUTED_VALUE"""),"")</f>
        <v/>
      </c>
      <c r="C13989" s="42" t="str">
        <f>IFERROR(__xludf.DUMMYFUNCTION("""COMPUTED_VALUE"""),"")</f>
        <v/>
      </c>
      <c r="D13989" s="42"/>
      <c r="E13989" s="42"/>
      <c r="F13989" s="48" t="str">
        <f>IFERROR(__xludf.DUMMYFUNCTION("""COMPUTED_VALUE"""),"")</f>
        <v/>
      </c>
      <c r="G13989" s="42" t="str">
        <f>IFERROR(__xludf.DUMMYFUNCTION("""COMPUTED_VALUE"""),"")</f>
        <v/>
      </c>
      <c r="H13989" s="42">
        <f t="shared" si="1"/>
        <v>3345</v>
      </c>
    </row>
    <row r="13990" ht="22.5" customHeight="1">
      <c r="B13990" s="42" t="str">
        <f>IFERROR(__xludf.DUMMYFUNCTION("""COMPUTED_VALUE"""),"")</f>
        <v/>
      </c>
      <c r="C13990" s="42" t="str">
        <f>IFERROR(__xludf.DUMMYFUNCTION("""COMPUTED_VALUE"""),"")</f>
        <v/>
      </c>
      <c r="D13990" s="42"/>
      <c r="E13990" s="42"/>
      <c r="F13990" s="48" t="str">
        <f>IFERROR(__xludf.DUMMYFUNCTION("""COMPUTED_VALUE"""),"")</f>
        <v/>
      </c>
      <c r="G13990" s="42" t="str">
        <f>IFERROR(__xludf.DUMMYFUNCTION("""COMPUTED_VALUE"""),"")</f>
        <v/>
      </c>
      <c r="H13990" s="42">
        <f t="shared" si="1"/>
        <v>3345</v>
      </c>
    </row>
    <row r="13991" ht="22.5" customHeight="1">
      <c r="B13991" s="42" t="str">
        <f>IFERROR(__xludf.DUMMYFUNCTION("""COMPUTED_VALUE"""),"")</f>
        <v/>
      </c>
      <c r="C13991" s="42" t="str">
        <f>IFERROR(__xludf.DUMMYFUNCTION("""COMPUTED_VALUE"""),"")</f>
        <v/>
      </c>
      <c r="D13991" s="42"/>
      <c r="E13991" s="42"/>
      <c r="F13991" s="48" t="str">
        <f>IFERROR(__xludf.DUMMYFUNCTION("""COMPUTED_VALUE"""),"")</f>
        <v/>
      </c>
      <c r="G13991" s="42" t="str">
        <f>IFERROR(__xludf.DUMMYFUNCTION("""COMPUTED_VALUE"""),"")</f>
        <v/>
      </c>
      <c r="H13991" s="42">
        <f t="shared" si="1"/>
        <v>3345</v>
      </c>
    </row>
    <row r="13992" ht="22.5" customHeight="1">
      <c r="B13992" s="42" t="str">
        <f>IFERROR(__xludf.DUMMYFUNCTION("""COMPUTED_VALUE"""),"")</f>
        <v/>
      </c>
      <c r="C13992" s="42" t="str">
        <f>IFERROR(__xludf.DUMMYFUNCTION("""COMPUTED_VALUE"""),"")</f>
        <v/>
      </c>
      <c r="D13992" s="42"/>
      <c r="E13992" s="42"/>
      <c r="F13992" s="48" t="str">
        <f>IFERROR(__xludf.DUMMYFUNCTION("""COMPUTED_VALUE"""),"")</f>
        <v/>
      </c>
      <c r="G13992" s="42" t="str">
        <f>IFERROR(__xludf.DUMMYFUNCTION("""COMPUTED_VALUE"""),"")</f>
        <v/>
      </c>
      <c r="H13992" s="42">
        <f t="shared" si="1"/>
        <v>3345</v>
      </c>
    </row>
    <row r="13993" ht="22.5" customHeight="1">
      <c r="B13993" s="42" t="str">
        <f>IFERROR(__xludf.DUMMYFUNCTION("""COMPUTED_VALUE"""),"")</f>
        <v/>
      </c>
      <c r="C13993" s="42" t="str">
        <f>IFERROR(__xludf.DUMMYFUNCTION("""COMPUTED_VALUE"""),"")</f>
        <v/>
      </c>
      <c r="D13993" s="42"/>
      <c r="E13993" s="42"/>
      <c r="F13993" s="48" t="str">
        <f>IFERROR(__xludf.DUMMYFUNCTION("""COMPUTED_VALUE"""),"")</f>
        <v/>
      </c>
      <c r="G13993" s="42" t="str">
        <f>IFERROR(__xludf.DUMMYFUNCTION("""COMPUTED_VALUE"""),"")</f>
        <v/>
      </c>
      <c r="H13993" s="42">
        <f t="shared" si="1"/>
        <v>3345</v>
      </c>
    </row>
    <row r="13994" ht="22.5" customHeight="1">
      <c r="B13994" s="42" t="str">
        <f>IFERROR(__xludf.DUMMYFUNCTION("""COMPUTED_VALUE"""),"")</f>
        <v/>
      </c>
      <c r="C13994" s="42" t="str">
        <f>IFERROR(__xludf.DUMMYFUNCTION("""COMPUTED_VALUE"""),"")</f>
        <v/>
      </c>
      <c r="D13994" s="42"/>
      <c r="E13994" s="42"/>
      <c r="F13994" s="48" t="str">
        <f>IFERROR(__xludf.DUMMYFUNCTION("""COMPUTED_VALUE"""),"")</f>
        <v/>
      </c>
      <c r="G13994" s="42" t="str">
        <f>IFERROR(__xludf.DUMMYFUNCTION("""COMPUTED_VALUE"""),"")</f>
        <v/>
      </c>
      <c r="H13994" s="42">
        <f t="shared" si="1"/>
        <v>3345</v>
      </c>
    </row>
    <row r="13995" ht="22.5" customHeight="1">
      <c r="B13995" s="42" t="str">
        <f>IFERROR(__xludf.DUMMYFUNCTION("""COMPUTED_VALUE"""),"")</f>
        <v/>
      </c>
      <c r="C13995" s="42" t="str">
        <f>IFERROR(__xludf.DUMMYFUNCTION("""COMPUTED_VALUE"""),"")</f>
        <v/>
      </c>
      <c r="D13995" s="42"/>
      <c r="E13995" s="42"/>
      <c r="F13995" s="48" t="str">
        <f>IFERROR(__xludf.DUMMYFUNCTION("""COMPUTED_VALUE"""),"")</f>
        <v/>
      </c>
      <c r="G13995" s="42" t="str">
        <f>IFERROR(__xludf.DUMMYFUNCTION("""COMPUTED_VALUE"""),"")</f>
        <v/>
      </c>
      <c r="H13995" s="42">
        <f t="shared" si="1"/>
        <v>3345</v>
      </c>
    </row>
    <row r="13996" ht="22.5" customHeight="1">
      <c r="B13996" s="42" t="str">
        <f>IFERROR(__xludf.DUMMYFUNCTION("""COMPUTED_VALUE"""),"")</f>
        <v/>
      </c>
      <c r="C13996" s="42" t="str">
        <f>IFERROR(__xludf.DUMMYFUNCTION("""COMPUTED_VALUE"""),"")</f>
        <v/>
      </c>
      <c r="D13996" s="42"/>
      <c r="E13996" s="42"/>
      <c r="F13996" s="48" t="str">
        <f>IFERROR(__xludf.DUMMYFUNCTION("""COMPUTED_VALUE"""),"")</f>
        <v/>
      </c>
      <c r="G13996" s="42" t="str">
        <f>IFERROR(__xludf.DUMMYFUNCTION("""COMPUTED_VALUE"""),"")</f>
        <v/>
      </c>
      <c r="H13996" s="42">
        <f t="shared" si="1"/>
        <v>3345</v>
      </c>
    </row>
    <row r="13997" ht="22.5" customHeight="1">
      <c r="B13997" s="42" t="str">
        <f>IFERROR(__xludf.DUMMYFUNCTION("""COMPUTED_VALUE"""),"")</f>
        <v/>
      </c>
      <c r="C13997" s="42" t="str">
        <f>IFERROR(__xludf.DUMMYFUNCTION("""COMPUTED_VALUE"""),"")</f>
        <v/>
      </c>
      <c r="D13997" s="42"/>
      <c r="E13997" s="42"/>
      <c r="F13997" s="48" t="str">
        <f>IFERROR(__xludf.DUMMYFUNCTION("""COMPUTED_VALUE"""),"")</f>
        <v/>
      </c>
      <c r="G13997" s="42" t="str">
        <f>IFERROR(__xludf.DUMMYFUNCTION("""COMPUTED_VALUE"""),"")</f>
        <v/>
      </c>
      <c r="H13997" s="42">
        <f t="shared" si="1"/>
        <v>3345</v>
      </c>
    </row>
    <row r="13998" ht="22.5" customHeight="1">
      <c r="B13998" s="42" t="str">
        <f>IFERROR(__xludf.DUMMYFUNCTION("""COMPUTED_VALUE"""),"")</f>
        <v/>
      </c>
      <c r="C13998" s="42" t="str">
        <f>IFERROR(__xludf.DUMMYFUNCTION("""COMPUTED_VALUE"""),"")</f>
        <v/>
      </c>
      <c r="D13998" s="42"/>
      <c r="E13998" s="42"/>
      <c r="F13998" s="48" t="str">
        <f>IFERROR(__xludf.DUMMYFUNCTION("""COMPUTED_VALUE"""),"")</f>
        <v/>
      </c>
      <c r="G13998" s="42" t="str">
        <f>IFERROR(__xludf.DUMMYFUNCTION("""COMPUTED_VALUE"""),"")</f>
        <v/>
      </c>
      <c r="H13998" s="42">
        <f t="shared" si="1"/>
        <v>3345</v>
      </c>
    </row>
    <row r="13999" ht="22.5" customHeight="1">
      <c r="B13999" s="42" t="str">
        <f>IFERROR(__xludf.DUMMYFUNCTION("""COMPUTED_VALUE"""),"")</f>
        <v/>
      </c>
      <c r="C13999" s="42" t="str">
        <f>IFERROR(__xludf.DUMMYFUNCTION("""COMPUTED_VALUE"""),"")</f>
        <v/>
      </c>
      <c r="D13999" s="42"/>
      <c r="E13999" s="42"/>
      <c r="F13999" s="48" t="str">
        <f>IFERROR(__xludf.DUMMYFUNCTION("""COMPUTED_VALUE"""),"")</f>
        <v/>
      </c>
      <c r="G13999" s="42" t="str">
        <f>IFERROR(__xludf.DUMMYFUNCTION("""COMPUTED_VALUE"""),"")</f>
        <v/>
      </c>
      <c r="H13999" s="42">
        <f t="shared" si="1"/>
        <v>3345</v>
      </c>
    </row>
    <row r="14000" ht="22.5" customHeight="1">
      <c r="B14000" s="42" t="str">
        <f>IFERROR(__xludf.DUMMYFUNCTION("""COMPUTED_VALUE"""),"")</f>
        <v/>
      </c>
      <c r="C14000" s="42" t="str">
        <f>IFERROR(__xludf.DUMMYFUNCTION("""COMPUTED_VALUE"""),"")</f>
        <v/>
      </c>
      <c r="D14000" s="42"/>
      <c r="E14000" s="42"/>
      <c r="F14000" s="48" t="str">
        <f>IFERROR(__xludf.DUMMYFUNCTION("""COMPUTED_VALUE"""),"")</f>
        <v/>
      </c>
      <c r="G14000" s="42" t="str">
        <f>IFERROR(__xludf.DUMMYFUNCTION("""COMPUTED_VALUE"""),"")</f>
        <v/>
      </c>
      <c r="H14000" s="42">
        <f t="shared" si="1"/>
        <v>3345</v>
      </c>
    </row>
    <row r="14001" ht="22.5" customHeight="1">
      <c r="B14001" s="42" t="str">
        <f>IFERROR(__xludf.DUMMYFUNCTION("""COMPUTED_VALUE"""),"")</f>
        <v/>
      </c>
      <c r="C14001" s="42" t="str">
        <f>IFERROR(__xludf.DUMMYFUNCTION("""COMPUTED_VALUE"""),"")</f>
        <v/>
      </c>
      <c r="D14001" s="42"/>
      <c r="E14001" s="42"/>
      <c r="F14001" s="48" t="str">
        <f>IFERROR(__xludf.DUMMYFUNCTION("""COMPUTED_VALUE"""),"")</f>
        <v/>
      </c>
      <c r="G14001" s="42" t="str">
        <f>IFERROR(__xludf.DUMMYFUNCTION("""COMPUTED_VALUE"""),"")</f>
        <v/>
      </c>
      <c r="H14001" s="42">
        <f t="shared" si="1"/>
        <v>3345</v>
      </c>
    </row>
    <row r="14002" ht="22.5" customHeight="1">
      <c r="B14002" s="42" t="str">
        <f>IFERROR(__xludf.DUMMYFUNCTION("""COMPUTED_VALUE"""),"")</f>
        <v/>
      </c>
      <c r="C14002" s="42" t="str">
        <f>IFERROR(__xludf.DUMMYFUNCTION("""COMPUTED_VALUE"""),"")</f>
        <v/>
      </c>
      <c r="D14002" s="42"/>
      <c r="E14002" s="42"/>
      <c r="F14002" s="48" t="str">
        <f>IFERROR(__xludf.DUMMYFUNCTION("""COMPUTED_VALUE"""),"")</f>
        <v/>
      </c>
      <c r="G14002" s="42" t="str">
        <f>IFERROR(__xludf.DUMMYFUNCTION("""COMPUTED_VALUE"""),"")</f>
        <v/>
      </c>
      <c r="H14002" s="42">
        <f t="shared" si="1"/>
        <v>3345</v>
      </c>
    </row>
    <row r="14003" ht="22.5" customHeight="1">
      <c r="B14003" s="42" t="str">
        <f>IFERROR(__xludf.DUMMYFUNCTION("""COMPUTED_VALUE"""),"")</f>
        <v/>
      </c>
      <c r="C14003" s="42" t="str">
        <f>IFERROR(__xludf.DUMMYFUNCTION("""COMPUTED_VALUE"""),"")</f>
        <v/>
      </c>
      <c r="D14003" s="42"/>
      <c r="E14003" s="42"/>
      <c r="F14003" s="48" t="str">
        <f>IFERROR(__xludf.DUMMYFUNCTION("""COMPUTED_VALUE"""),"")</f>
        <v/>
      </c>
      <c r="G14003" s="42" t="str">
        <f>IFERROR(__xludf.DUMMYFUNCTION("""COMPUTED_VALUE"""),"")</f>
        <v/>
      </c>
      <c r="H14003" s="42">
        <f t="shared" si="1"/>
        <v>3345</v>
      </c>
    </row>
    <row r="14004" ht="22.5" customHeight="1">
      <c r="B14004" s="42" t="str">
        <f>IFERROR(__xludf.DUMMYFUNCTION("""COMPUTED_VALUE"""),"")</f>
        <v/>
      </c>
      <c r="C14004" s="42" t="str">
        <f>IFERROR(__xludf.DUMMYFUNCTION("""COMPUTED_VALUE"""),"")</f>
        <v/>
      </c>
      <c r="D14004" s="42"/>
      <c r="E14004" s="42"/>
      <c r="F14004" s="48" t="str">
        <f>IFERROR(__xludf.DUMMYFUNCTION("""COMPUTED_VALUE"""),"")</f>
        <v/>
      </c>
      <c r="G14004" s="42" t="str">
        <f>IFERROR(__xludf.DUMMYFUNCTION("""COMPUTED_VALUE"""),"")</f>
        <v/>
      </c>
      <c r="H14004" s="42">
        <f t="shared" si="1"/>
        <v>3345</v>
      </c>
    </row>
    <row r="14005" ht="22.5" customHeight="1">
      <c r="B14005" s="42" t="str">
        <f>IFERROR(__xludf.DUMMYFUNCTION("""COMPUTED_VALUE"""),"")</f>
        <v/>
      </c>
      <c r="C14005" s="42" t="str">
        <f>IFERROR(__xludf.DUMMYFUNCTION("""COMPUTED_VALUE"""),"")</f>
        <v/>
      </c>
      <c r="D14005" s="42"/>
      <c r="E14005" s="42"/>
      <c r="F14005" s="48" t="str">
        <f>IFERROR(__xludf.DUMMYFUNCTION("""COMPUTED_VALUE"""),"")</f>
        <v/>
      </c>
      <c r="G14005" s="42" t="str">
        <f>IFERROR(__xludf.DUMMYFUNCTION("""COMPUTED_VALUE"""),"")</f>
        <v/>
      </c>
      <c r="H14005" s="42">
        <f t="shared" si="1"/>
        <v>3345</v>
      </c>
    </row>
    <row r="14006" ht="22.5" customHeight="1">
      <c r="B14006" s="42" t="str">
        <f>IFERROR(__xludf.DUMMYFUNCTION("""COMPUTED_VALUE"""),"")</f>
        <v/>
      </c>
      <c r="C14006" s="42" t="str">
        <f>IFERROR(__xludf.DUMMYFUNCTION("""COMPUTED_VALUE"""),"")</f>
        <v/>
      </c>
      <c r="D14006" s="42"/>
      <c r="E14006" s="42"/>
      <c r="F14006" s="48" t="str">
        <f>IFERROR(__xludf.DUMMYFUNCTION("""COMPUTED_VALUE"""),"")</f>
        <v/>
      </c>
      <c r="G14006" s="42" t="str">
        <f>IFERROR(__xludf.DUMMYFUNCTION("""COMPUTED_VALUE"""),"")</f>
        <v/>
      </c>
      <c r="H14006" s="42">
        <f t="shared" si="1"/>
        <v>3345</v>
      </c>
    </row>
    <row r="14007" ht="22.5" customHeight="1">
      <c r="B14007" s="42" t="str">
        <f>IFERROR(__xludf.DUMMYFUNCTION("""COMPUTED_VALUE"""),"")</f>
        <v/>
      </c>
      <c r="C14007" s="42" t="str">
        <f>IFERROR(__xludf.DUMMYFUNCTION("""COMPUTED_VALUE"""),"")</f>
        <v/>
      </c>
      <c r="D14007" s="42"/>
      <c r="E14007" s="42"/>
      <c r="F14007" s="48" t="str">
        <f>IFERROR(__xludf.DUMMYFUNCTION("""COMPUTED_VALUE"""),"")</f>
        <v/>
      </c>
      <c r="G14007" s="42" t="str">
        <f>IFERROR(__xludf.DUMMYFUNCTION("""COMPUTED_VALUE"""),"")</f>
        <v/>
      </c>
      <c r="H14007" s="42">
        <f t="shared" si="1"/>
        <v>3345</v>
      </c>
    </row>
    <row r="14008" ht="22.5" customHeight="1">
      <c r="B14008" s="42" t="str">
        <f>IFERROR(__xludf.DUMMYFUNCTION("""COMPUTED_VALUE"""),"")</f>
        <v/>
      </c>
      <c r="C14008" s="42" t="str">
        <f>IFERROR(__xludf.DUMMYFUNCTION("""COMPUTED_VALUE"""),"")</f>
        <v/>
      </c>
      <c r="D14008" s="42"/>
      <c r="E14008" s="42"/>
      <c r="F14008" s="48" t="str">
        <f>IFERROR(__xludf.DUMMYFUNCTION("""COMPUTED_VALUE"""),"")</f>
        <v/>
      </c>
      <c r="G14008" s="42" t="str">
        <f>IFERROR(__xludf.DUMMYFUNCTION("""COMPUTED_VALUE"""),"")</f>
        <v/>
      </c>
      <c r="H14008" s="42">
        <f t="shared" si="1"/>
        <v>3345</v>
      </c>
    </row>
    <row r="14009" ht="22.5" customHeight="1">
      <c r="B14009" s="42" t="str">
        <f>IFERROR(__xludf.DUMMYFUNCTION("""COMPUTED_VALUE"""),"")</f>
        <v/>
      </c>
      <c r="C14009" s="42" t="str">
        <f>IFERROR(__xludf.DUMMYFUNCTION("""COMPUTED_VALUE"""),"")</f>
        <v/>
      </c>
      <c r="D14009" s="42"/>
      <c r="E14009" s="42"/>
      <c r="F14009" s="48" t="str">
        <f>IFERROR(__xludf.DUMMYFUNCTION("""COMPUTED_VALUE"""),"")</f>
        <v/>
      </c>
      <c r="G14009" s="42" t="str">
        <f>IFERROR(__xludf.DUMMYFUNCTION("""COMPUTED_VALUE"""),"")</f>
        <v/>
      </c>
      <c r="H14009" s="42">
        <f t="shared" si="1"/>
        <v>3345</v>
      </c>
    </row>
    <row r="14010" ht="22.5" customHeight="1">
      <c r="B14010" s="42" t="str">
        <f>IFERROR(__xludf.DUMMYFUNCTION("""COMPUTED_VALUE"""),"")</f>
        <v/>
      </c>
      <c r="C14010" s="42" t="str">
        <f>IFERROR(__xludf.DUMMYFUNCTION("""COMPUTED_VALUE"""),"")</f>
        <v/>
      </c>
      <c r="D14010" s="42"/>
      <c r="E14010" s="42"/>
      <c r="F14010" s="48" t="str">
        <f>IFERROR(__xludf.DUMMYFUNCTION("""COMPUTED_VALUE"""),"")</f>
        <v/>
      </c>
      <c r="G14010" s="42" t="str">
        <f>IFERROR(__xludf.DUMMYFUNCTION("""COMPUTED_VALUE"""),"")</f>
        <v/>
      </c>
      <c r="H14010" s="42">
        <f t="shared" si="1"/>
        <v>3345</v>
      </c>
    </row>
    <row r="14011" ht="22.5" customHeight="1">
      <c r="B14011" s="42" t="str">
        <f>IFERROR(__xludf.DUMMYFUNCTION("""COMPUTED_VALUE"""),"")</f>
        <v/>
      </c>
      <c r="C14011" s="42" t="str">
        <f>IFERROR(__xludf.DUMMYFUNCTION("""COMPUTED_VALUE"""),"")</f>
        <v/>
      </c>
      <c r="D14011" s="42"/>
      <c r="E14011" s="42"/>
      <c r="F14011" s="48" t="str">
        <f>IFERROR(__xludf.DUMMYFUNCTION("""COMPUTED_VALUE"""),"")</f>
        <v/>
      </c>
      <c r="G14011" s="42" t="str">
        <f>IFERROR(__xludf.DUMMYFUNCTION("""COMPUTED_VALUE"""),"")</f>
        <v/>
      </c>
      <c r="H14011" s="42">
        <f t="shared" si="1"/>
        <v>3345</v>
      </c>
    </row>
    <row r="14012" ht="22.5" customHeight="1">
      <c r="B14012" s="42" t="str">
        <f>IFERROR(__xludf.DUMMYFUNCTION("""COMPUTED_VALUE"""),"")</f>
        <v/>
      </c>
      <c r="C14012" s="42" t="str">
        <f>IFERROR(__xludf.DUMMYFUNCTION("""COMPUTED_VALUE"""),"")</f>
        <v/>
      </c>
      <c r="D14012" s="42"/>
      <c r="E14012" s="42"/>
      <c r="F14012" s="48" t="str">
        <f>IFERROR(__xludf.DUMMYFUNCTION("""COMPUTED_VALUE"""),"")</f>
        <v/>
      </c>
      <c r="G14012" s="42" t="str">
        <f>IFERROR(__xludf.DUMMYFUNCTION("""COMPUTED_VALUE"""),"")</f>
        <v/>
      </c>
      <c r="H14012" s="42">
        <f t="shared" si="1"/>
        <v>3345</v>
      </c>
    </row>
    <row r="14013" ht="22.5" customHeight="1">
      <c r="B14013" s="42" t="str">
        <f>IFERROR(__xludf.DUMMYFUNCTION("""COMPUTED_VALUE"""),"")</f>
        <v/>
      </c>
      <c r="C14013" s="42" t="str">
        <f>IFERROR(__xludf.DUMMYFUNCTION("""COMPUTED_VALUE"""),"")</f>
        <v/>
      </c>
      <c r="D14013" s="42"/>
      <c r="E14013" s="42"/>
      <c r="F14013" s="48" t="str">
        <f>IFERROR(__xludf.DUMMYFUNCTION("""COMPUTED_VALUE"""),"")</f>
        <v/>
      </c>
      <c r="G14013" s="42" t="str">
        <f>IFERROR(__xludf.DUMMYFUNCTION("""COMPUTED_VALUE"""),"")</f>
        <v/>
      </c>
      <c r="H14013" s="42">
        <f t="shared" si="1"/>
        <v>3345</v>
      </c>
    </row>
    <row r="14014" ht="22.5" customHeight="1">
      <c r="B14014" s="42" t="str">
        <f>IFERROR(__xludf.DUMMYFUNCTION("""COMPUTED_VALUE"""),"")</f>
        <v/>
      </c>
      <c r="C14014" s="42" t="str">
        <f>IFERROR(__xludf.DUMMYFUNCTION("""COMPUTED_VALUE"""),"")</f>
        <v/>
      </c>
      <c r="D14014" s="42"/>
      <c r="E14014" s="42"/>
      <c r="F14014" s="48" t="str">
        <f>IFERROR(__xludf.DUMMYFUNCTION("""COMPUTED_VALUE"""),"")</f>
        <v/>
      </c>
      <c r="G14014" s="42" t="str">
        <f>IFERROR(__xludf.DUMMYFUNCTION("""COMPUTED_VALUE"""),"")</f>
        <v/>
      </c>
      <c r="H14014" s="42">
        <f t="shared" si="1"/>
        <v>3345</v>
      </c>
    </row>
    <row r="14015" ht="22.5" customHeight="1">
      <c r="B14015" s="42" t="str">
        <f>IFERROR(__xludf.DUMMYFUNCTION("""COMPUTED_VALUE"""),"")</f>
        <v/>
      </c>
      <c r="C14015" s="42" t="str">
        <f>IFERROR(__xludf.DUMMYFUNCTION("""COMPUTED_VALUE"""),"")</f>
        <v/>
      </c>
      <c r="D14015" s="42"/>
      <c r="E14015" s="42"/>
      <c r="F14015" s="48" t="str">
        <f>IFERROR(__xludf.DUMMYFUNCTION("""COMPUTED_VALUE"""),"")</f>
        <v/>
      </c>
      <c r="G14015" s="42" t="str">
        <f>IFERROR(__xludf.DUMMYFUNCTION("""COMPUTED_VALUE"""),"")</f>
        <v/>
      </c>
      <c r="H14015" s="42">
        <f t="shared" si="1"/>
        <v>3345</v>
      </c>
    </row>
    <row r="14016" ht="22.5" customHeight="1">
      <c r="B14016" s="42" t="str">
        <f>IFERROR(__xludf.DUMMYFUNCTION("""COMPUTED_VALUE"""),"")</f>
        <v/>
      </c>
      <c r="C14016" s="42" t="str">
        <f>IFERROR(__xludf.DUMMYFUNCTION("""COMPUTED_VALUE"""),"")</f>
        <v/>
      </c>
      <c r="D14016" s="42"/>
      <c r="E14016" s="42"/>
      <c r="F14016" s="48" t="str">
        <f>IFERROR(__xludf.DUMMYFUNCTION("""COMPUTED_VALUE"""),"")</f>
        <v/>
      </c>
      <c r="G14016" s="42" t="str">
        <f>IFERROR(__xludf.DUMMYFUNCTION("""COMPUTED_VALUE"""),"")</f>
        <v/>
      </c>
      <c r="H14016" s="42">
        <f t="shared" si="1"/>
        <v>3345</v>
      </c>
    </row>
    <row r="14017" ht="22.5" customHeight="1">
      <c r="B14017" s="42" t="str">
        <f>IFERROR(__xludf.DUMMYFUNCTION("""COMPUTED_VALUE"""),"")</f>
        <v/>
      </c>
      <c r="C14017" s="42" t="str">
        <f>IFERROR(__xludf.DUMMYFUNCTION("""COMPUTED_VALUE"""),"")</f>
        <v/>
      </c>
      <c r="D14017" s="42"/>
      <c r="E14017" s="42"/>
      <c r="F14017" s="48" t="str">
        <f>IFERROR(__xludf.DUMMYFUNCTION("""COMPUTED_VALUE"""),"")</f>
        <v/>
      </c>
      <c r="G14017" s="42" t="str">
        <f>IFERROR(__xludf.DUMMYFUNCTION("""COMPUTED_VALUE"""),"")</f>
        <v/>
      </c>
      <c r="H14017" s="42">
        <f t="shared" si="1"/>
        <v>3345</v>
      </c>
    </row>
    <row r="14018" ht="22.5" customHeight="1">
      <c r="B14018" s="42" t="str">
        <f>IFERROR(__xludf.DUMMYFUNCTION("""COMPUTED_VALUE"""),"")</f>
        <v/>
      </c>
      <c r="C14018" s="42" t="str">
        <f>IFERROR(__xludf.DUMMYFUNCTION("""COMPUTED_VALUE"""),"")</f>
        <v/>
      </c>
      <c r="D14018" s="42"/>
      <c r="E14018" s="42"/>
      <c r="F14018" s="48" t="str">
        <f>IFERROR(__xludf.DUMMYFUNCTION("""COMPUTED_VALUE"""),"")</f>
        <v/>
      </c>
      <c r="G14018" s="42" t="str">
        <f>IFERROR(__xludf.DUMMYFUNCTION("""COMPUTED_VALUE"""),"")</f>
        <v/>
      </c>
      <c r="H14018" s="42">
        <f t="shared" si="1"/>
        <v>3345</v>
      </c>
    </row>
    <row r="14019" ht="22.5" customHeight="1">
      <c r="B14019" s="42" t="str">
        <f>IFERROR(__xludf.DUMMYFUNCTION("""COMPUTED_VALUE"""),"")</f>
        <v/>
      </c>
      <c r="C14019" s="42" t="str">
        <f>IFERROR(__xludf.DUMMYFUNCTION("""COMPUTED_VALUE"""),"")</f>
        <v/>
      </c>
      <c r="D14019" s="42"/>
      <c r="E14019" s="42"/>
      <c r="F14019" s="48" t="str">
        <f>IFERROR(__xludf.DUMMYFUNCTION("""COMPUTED_VALUE"""),"")</f>
        <v/>
      </c>
      <c r="G14019" s="42" t="str">
        <f>IFERROR(__xludf.DUMMYFUNCTION("""COMPUTED_VALUE"""),"")</f>
        <v/>
      </c>
      <c r="H14019" s="42">
        <f t="shared" si="1"/>
        <v>3345</v>
      </c>
    </row>
    <row r="14020" ht="22.5" customHeight="1">
      <c r="B14020" s="42" t="str">
        <f>IFERROR(__xludf.DUMMYFUNCTION("""COMPUTED_VALUE"""),"")</f>
        <v/>
      </c>
      <c r="C14020" s="42" t="str">
        <f>IFERROR(__xludf.DUMMYFUNCTION("""COMPUTED_VALUE"""),"")</f>
        <v/>
      </c>
      <c r="D14020" s="42"/>
      <c r="E14020" s="42"/>
      <c r="F14020" s="48" t="str">
        <f>IFERROR(__xludf.DUMMYFUNCTION("""COMPUTED_VALUE"""),"")</f>
        <v/>
      </c>
      <c r="G14020" s="42" t="str">
        <f>IFERROR(__xludf.DUMMYFUNCTION("""COMPUTED_VALUE"""),"")</f>
        <v/>
      </c>
      <c r="H14020" s="42">
        <f t="shared" si="1"/>
        <v>3345</v>
      </c>
    </row>
    <row r="14021" ht="22.5" customHeight="1">
      <c r="B14021" s="42" t="str">
        <f>IFERROR(__xludf.DUMMYFUNCTION("""COMPUTED_VALUE"""),"")</f>
        <v/>
      </c>
      <c r="C14021" s="42" t="str">
        <f>IFERROR(__xludf.DUMMYFUNCTION("""COMPUTED_VALUE"""),"")</f>
        <v/>
      </c>
      <c r="D14021" s="42"/>
      <c r="E14021" s="42"/>
      <c r="F14021" s="48" t="str">
        <f>IFERROR(__xludf.DUMMYFUNCTION("""COMPUTED_VALUE"""),"")</f>
        <v/>
      </c>
      <c r="G14021" s="42" t="str">
        <f>IFERROR(__xludf.DUMMYFUNCTION("""COMPUTED_VALUE"""),"")</f>
        <v/>
      </c>
      <c r="H14021" s="42">
        <f t="shared" si="1"/>
        <v>3345</v>
      </c>
    </row>
    <row r="14022" ht="22.5" customHeight="1">
      <c r="B14022" s="42" t="str">
        <f>IFERROR(__xludf.DUMMYFUNCTION("""COMPUTED_VALUE"""),"")</f>
        <v/>
      </c>
      <c r="C14022" s="42" t="str">
        <f>IFERROR(__xludf.DUMMYFUNCTION("""COMPUTED_VALUE"""),"")</f>
        <v/>
      </c>
      <c r="D14022" s="42"/>
      <c r="E14022" s="42"/>
      <c r="F14022" s="48" t="str">
        <f>IFERROR(__xludf.DUMMYFUNCTION("""COMPUTED_VALUE"""),"")</f>
        <v/>
      </c>
      <c r="G14022" s="42" t="str">
        <f>IFERROR(__xludf.DUMMYFUNCTION("""COMPUTED_VALUE"""),"")</f>
        <v/>
      </c>
      <c r="H14022" s="42">
        <f t="shared" si="1"/>
        <v>3345</v>
      </c>
    </row>
    <row r="14023" ht="22.5" customHeight="1">
      <c r="B14023" s="42" t="str">
        <f>IFERROR(__xludf.DUMMYFUNCTION("""COMPUTED_VALUE"""),"")</f>
        <v/>
      </c>
      <c r="C14023" s="42" t="str">
        <f>IFERROR(__xludf.DUMMYFUNCTION("""COMPUTED_VALUE"""),"")</f>
        <v/>
      </c>
      <c r="D14023" s="42"/>
      <c r="E14023" s="42"/>
      <c r="F14023" s="48" t="str">
        <f>IFERROR(__xludf.DUMMYFUNCTION("""COMPUTED_VALUE"""),"")</f>
        <v/>
      </c>
      <c r="G14023" s="42" t="str">
        <f>IFERROR(__xludf.DUMMYFUNCTION("""COMPUTED_VALUE"""),"")</f>
        <v/>
      </c>
      <c r="H14023" s="42">
        <f t="shared" si="1"/>
        <v>3345</v>
      </c>
    </row>
    <row r="14024" ht="22.5" customHeight="1">
      <c r="B14024" s="42" t="str">
        <f>IFERROR(__xludf.DUMMYFUNCTION("""COMPUTED_VALUE"""),"")</f>
        <v/>
      </c>
      <c r="C14024" s="42" t="str">
        <f>IFERROR(__xludf.DUMMYFUNCTION("""COMPUTED_VALUE"""),"")</f>
        <v/>
      </c>
      <c r="D14024" s="42"/>
      <c r="E14024" s="42"/>
      <c r="F14024" s="48" t="str">
        <f>IFERROR(__xludf.DUMMYFUNCTION("""COMPUTED_VALUE"""),"")</f>
        <v/>
      </c>
      <c r="G14024" s="42" t="str">
        <f>IFERROR(__xludf.DUMMYFUNCTION("""COMPUTED_VALUE"""),"")</f>
        <v/>
      </c>
      <c r="H14024" s="42">
        <f t="shared" si="1"/>
        <v>3345</v>
      </c>
    </row>
    <row r="14025" ht="22.5" customHeight="1">
      <c r="B14025" s="42" t="str">
        <f>IFERROR(__xludf.DUMMYFUNCTION("""COMPUTED_VALUE"""),"")</f>
        <v/>
      </c>
      <c r="C14025" s="42" t="str">
        <f>IFERROR(__xludf.DUMMYFUNCTION("""COMPUTED_VALUE"""),"")</f>
        <v/>
      </c>
      <c r="D14025" s="42"/>
      <c r="E14025" s="42"/>
      <c r="F14025" s="48" t="str">
        <f>IFERROR(__xludf.DUMMYFUNCTION("""COMPUTED_VALUE"""),"")</f>
        <v/>
      </c>
      <c r="G14025" s="42" t="str">
        <f>IFERROR(__xludf.DUMMYFUNCTION("""COMPUTED_VALUE"""),"")</f>
        <v/>
      </c>
      <c r="H14025" s="42">
        <f t="shared" si="1"/>
        <v>3345</v>
      </c>
    </row>
    <row r="14026" ht="22.5" customHeight="1">
      <c r="B14026" s="42" t="str">
        <f>IFERROR(__xludf.DUMMYFUNCTION("""COMPUTED_VALUE"""),"")</f>
        <v/>
      </c>
      <c r="C14026" s="42" t="str">
        <f>IFERROR(__xludf.DUMMYFUNCTION("""COMPUTED_VALUE"""),"")</f>
        <v/>
      </c>
      <c r="D14026" s="42"/>
      <c r="E14026" s="42"/>
      <c r="F14026" s="48" t="str">
        <f>IFERROR(__xludf.DUMMYFUNCTION("""COMPUTED_VALUE"""),"")</f>
        <v/>
      </c>
      <c r="G14026" s="42" t="str">
        <f>IFERROR(__xludf.DUMMYFUNCTION("""COMPUTED_VALUE"""),"")</f>
        <v/>
      </c>
      <c r="H14026" s="42">
        <f t="shared" si="1"/>
        <v>3345</v>
      </c>
    </row>
    <row r="14027" ht="22.5" customHeight="1">
      <c r="B14027" s="42" t="str">
        <f>IFERROR(__xludf.DUMMYFUNCTION("""COMPUTED_VALUE"""),"")</f>
        <v/>
      </c>
      <c r="C14027" s="42" t="str">
        <f>IFERROR(__xludf.DUMMYFUNCTION("""COMPUTED_VALUE"""),"")</f>
        <v/>
      </c>
      <c r="D14027" s="42"/>
      <c r="E14027" s="42"/>
      <c r="F14027" s="48" t="str">
        <f>IFERROR(__xludf.DUMMYFUNCTION("""COMPUTED_VALUE"""),"")</f>
        <v/>
      </c>
      <c r="G14027" s="42" t="str">
        <f>IFERROR(__xludf.DUMMYFUNCTION("""COMPUTED_VALUE"""),"")</f>
        <v/>
      </c>
      <c r="H14027" s="42">
        <f t="shared" si="1"/>
        <v>3345</v>
      </c>
    </row>
    <row r="14028" ht="22.5" customHeight="1">
      <c r="B14028" s="42" t="str">
        <f>IFERROR(__xludf.DUMMYFUNCTION("""COMPUTED_VALUE"""),"")</f>
        <v/>
      </c>
      <c r="C14028" s="42" t="str">
        <f>IFERROR(__xludf.DUMMYFUNCTION("""COMPUTED_VALUE"""),"")</f>
        <v/>
      </c>
      <c r="D14028" s="42"/>
      <c r="E14028" s="42"/>
      <c r="F14028" s="48" t="str">
        <f>IFERROR(__xludf.DUMMYFUNCTION("""COMPUTED_VALUE"""),"")</f>
        <v/>
      </c>
      <c r="G14028" s="42" t="str">
        <f>IFERROR(__xludf.DUMMYFUNCTION("""COMPUTED_VALUE"""),"")</f>
        <v/>
      </c>
      <c r="H14028" s="42">
        <f t="shared" si="1"/>
        <v>3345</v>
      </c>
    </row>
    <row r="14029" ht="22.5" customHeight="1">
      <c r="B14029" s="42" t="str">
        <f>IFERROR(__xludf.DUMMYFUNCTION("""COMPUTED_VALUE"""),"")</f>
        <v/>
      </c>
      <c r="C14029" s="42" t="str">
        <f>IFERROR(__xludf.DUMMYFUNCTION("""COMPUTED_VALUE"""),"")</f>
        <v/>
      </c>
      <c r="D14029" s="42"/>
      <c r="E14029" s="42"/>
      <c r="F14029" s="48" t="str">
        <f>IFERROR(__xludf.DUMMYFUNCTION("""COMPUTED_VALUE"""),"")</f>
        <v/>
      </c>
      <c r="G14029" s="42" t="str">
        <f>IFERROR(__xludf.DUMMYFUNCTION("""COMPUTED_VALUE"""),"")</f>
        <v/>
      </c>
      <c r="H14029" s="42">
        <f t="shared" si="1"/>
        <v>3345</v>
      </c>
    </row>
    <row r="14030" ht="22.5" customHeight="1">
      <c r="B14030" s="42" t="str">
        <f>IFERROR(__xludf.DUMMYFUNCTION("""COMPUTED_VALUE"""),"")</f>
        <v/>
      </c>
      <c r="C14030" s="42" t="str">
        <f>IFERROR(__xludf.DUMMYFUNCTION("""COMPUTED_VALUE"""),"")</f>
        <v/>
      </c>
      <c r="D14030" s="42"/>
      <c r="E14030" s="42"/>
      <c r="F14030" s="48" t="str">
        <f>IFERROR(__xludf.DUMMYFUNCTION("""COMPUTED_VALUE"""),"")</f>
        <v/>
      </c>
      <c r="G14030" s="42" t="str">
        <f>IFERROR(__xludf.DUMMYFUNCTION("""COMPUTED_VALUE"""),"")</f>
        <v/>
      </c>
      <c r="H14030" s="42">
        <f t="shared" si="1"/>
        <v>3345</v>
      </c>
    </row>
    <row r="14031" ht="22.5" customHeight="1">
      <c r="B14031" s="42" t="str">
        <f>IFERROR(__xludf.DUMMYFUNCTION("""COMPUTED_VALUE"""),"")</f>
        <v/>
      </c>
      <c r="C14031" s="42" t="str">
        <f>IFERROR(__xludf.DUMMYFUNCTION("""COMPUTED_VALUE"""),"")</f>
        <v/>
      </c>
      <c r="D14031" s="42"/>
      <c r="E14031" s="42"/>
      <c r="F14031" s="48" t="str">
        <f>IFERROR(__xludf.DUMMYFUNCTION("""COMPUTED_VALUE"""),"")</f>
        <v/>
      </c>
      <c r="G14031" s="42" t="str">
        <f>IFERROR(__xludf.DUMMYFUNCTION("""COMPUTED_VALUE"""),"")</f>
        <v/>
      </c>
      <c r="H14031" s="42">
        <f t="shared" si="1"/>
        <v>3345</v>
      </c>
    </row>
    <row r="14032" ht="22.5" customHeight="1">
      <c r="B14032" s="42" t="str">
        <f>IFERROR(__xludf.DUMMYFUNCTION("""COMPUTED_VALUE"""),"")</f>
        <v/>
      </c>
      <c r="C14032" s="42" t="str">
        <f>IFERROR(__xludf.DUMMYFUNCTION("""COMPUTED_VALUE"""),"")</f>
        <v/>
      </c>
      <c r="D14032" s="42"/>
      <c r="E14032" s="42"/>
      <c r="F14032" s="48" t="str">
        <f>IFERROR(__xludf.DUMMYFUNCTION("""COMPUTED_VALUE"""),"")</f>
        <v/>
      </c>
      <c r="G14032" s="42" t="str">
        <f>IFERROR(__xludf.DUMMYFUNCTION("""COMPUTED_VALUE"""),"")</f>
        <v/>
      </c>
      <c r="H14032" s="42">
        <f t="shared" si="1"/>
        <v>3345</v>
      </c>
    </row>
    <row r="14033" ht="22.5" customHeight="1">
      <c r="B14033" s="42" t="str">
        <f>IFERROR(__xludf.DUMMYFUNCTION("""COMPUTED_VALUE"""),"")</f>
        <v/>
      </c>
      <c r="C14033" s="42" t="str">
        <f>IFERROR(__xludf.DUMMYFUNCTION("""COMPUTED_VALUE"""),"")</f>
        <v/>
      </c>
      <c r="D14033" s="42"/>
      <c r="E14033" s="42"/>
      <c r="F14033" s="48" t="str">
        <f>IFERROR(__xludf.DUMMYFUNCTION("""COMPUTED_VALUE"""),"")</f>
        <v/>
      </c>
      <c r="G14033" s="42" t="str">
        <f>IFERROR(__xludf.DUMMYFUNCTION("""COMPUTED_VALUE"""),"")</f>
        <v/>
      </c>
      <c r="H14033" s="42">
        <f t="shared" si="1"/>
        <v>3345</v>
      </c>
    </row>
    <row r="14034" ht="22.5" customHeight="1">
      <c r="B14034" s="42" t="str">
        <f>IFERROR(__xludf.DUMMYFUNCTION("""COMPUTED_VALUE"""),"")</f>
        <v/>
      </c>
      <c r="C14034" s="42" t="str">
        <f>IFERROR(__xludf.DUMMYFUNCTION("""COMPUTED_VALUE"""),"")</f>
        <v/>
      </c>
      <c r="D14034" s="42"/>
      <c r="E14034" s="42"/>
      <c r="F14034" s="48" t="str">
        <f>IFERROR(__xludf.DUMMYFUNCTION("""COMPUTED_VALUE"""),"")</f>
        <v/>
      </c>
      <c r="G14034" s="42" t="str">
        <f>IFERROR(__xludf.DUMMYFUNCTION("""COMPUTED_VALUE"""),"")</f>
        <v/>
      </c>
      <c r="H14034" s="42">
        <f t="shared" si="1"/>
        <v>3345</v>
      </c>
    </row>
    <row r="14035" ht="22.5" customHeight="1">
      <c r="B14035" s="42" t="str">
        <f>IFERROR(__xludf.DUMMYFUNCTION("""COMPUTED_VALUE"""),"")</f>
        <v/>
      </c>
      <c r="C14035" s="42" t="str">
        <f>IFERROR(__xludf.DUMMYFUNCTION("""COMPUTED_VALUE"""),"")</f>
        <v/>
      </c>
      <c r="D14035" s="42"/>
      <c r="E14035" s="42"/>
      <c r="F14035" s="48" t="str">
        <f>IFERROR(__xludf.DUMMYFUNCTION("""COMPUTED_VALUE"""),"")</f>
        <v/>
      </c>
      <c r="G14035" s="42" t="str">
        <f>IFERROR(__xludf.DUMMYFUNCTION("""COMPUTED_VALUE"""),"")</f>
        <v/>
      </c>
      <c r="H14035" s="42">
        <f t="shared" si="1"/>
        <v>3345</v>
      </c>
    </row>
    <row r="14036" ht="22.5" customHeight="1">
      <c r="B14036" s="42" t="str">
        <f>IFERROR(__xludf.DUMMYFUNCTION("""COMPUTED_VALUE"""),"")</f>
        <v/>
      </c>
      <c r="C14036" s="42" t="str">
        <f>IFERROR(__xludf.DUMMYFUNCTION("""COMPUTED_VALUE"""),"")</f>
        <v/>
      </c>
      <c r="D14036" s="42"/>
      <c r="E14036" s="42"/>
      <c r="F14036" s="48" t="str">
        <f>IFERROR(__xludf.DUMMYFUNCTION("""COMPUTED_VALUE"""),"")</f>
        <v/>
      </c>
      <c r="G14036" s="42" t="str">
        <f>IFERROR(__xludf.DUMMYFUNCTION("""COMPUTED_VALUE"""),"")</f>
        <v/>
      </c>
      <c r="H14036" s="42">
        <f t="shared" si="1"/>
        <v>3345</v>
      </c>
    </row>
    <row r="14037" ht="22.5" customHeight="1">
      <c r="B14037" s="42" t="str">
        <f>IFERROR(__xludf.DUMMYFUNCTION("""COMPUTED_VALUE"""),"")</f>
        <v/>
      </c>
      <c r="C14037" s="42" t="str">
        <f>IFERROR(__xludf.DUMMYFUNCTION("""COMPUTED_VALUE"""),"")</f>
        <v/>
      </c>
      <c r="D14037" s="42"/>
      <c r="E14037" s="42"/>
      <c r="F14037" s="48" t="str">
        <f>IFERROR(__xludf.DUMMYFUNCTION("""COMPUTED_VALUE"""),"")</f>
        <v/>
      </c>
      <c r="G14037" s="42" t="str">
        <f>IFERROR(__xludf.DUMMYFUNCTION("""COMPUTED_VALUE"""),"")</f>
        <v/>
      </c>
      <c r="H14037" s="42">
        <f t="shared" si="1"/>
        <v>3345</v>
      </c>
    </row>
    <row r="14038" ht="22.5" customHeight="1">
      <c r="B14038" s="42" t="str">
        <f>IFERROR(__xludf.DUMMYFUNCTION("""COMPUTED_VALUE"""),"")</f>
        <v/>
      </c>
      <c r="C14038" s="42" t="str">
        <f>IFERROR(__xludf.DUMMYFUNCTION("""COMPUTED_VALUE"""),"")</f>
        <v/>
      </c>
      <c r="D14038" s="42"/>
      <c r="E14038" s="42"/>
      <c r="F14038" s="48" t="str">
        <f>IFERROR(__xludf.DUMMYFUNCTION("""COMPUTED_VALUE"""),"")</f>
        <v/>
      </c>
      <c r="G14038" s="42" t="str">
        <f>IFERROR(__xludf.DUMMYFUNCTION("""COMPUTED_VALUE"""),"")</f>
        <v/>
      </c>
      <c r="H14038" s="42">
        <f t="shared" si="1"/>
        <v>3345</v>
      </c>
    </row>
    <row r="14039" ht="22.5" customHeight="1">
      <c r="B14039" s="42" t="str">
        <f>IFERROR(__xludf.DUMMYFUNCTION("""COMPUTED_VALUE"""),"")</f>
        <v/>
      </c>
      <c r="C14039" s="42" t="str">
        <f>IFERROR(__xludf.DUMMYFUNCTION("""COMPUTED_VALUE"""),"")</f>
        <v/>
      </c>
      <c r="D14039" s="42"/>
      <c r="E14039" s="42"/>
      <c r="F14039" s="48" t="str">
        <f>IFERROR(__xludf.DUMMYFUNCTION("""COMPUTED_VALUE"""),"")</f>
        <v/>
      </c>
      <c r="G14039" s="42" t="str">
        <f>IFERROR(__xludf.DUMMYFUNCTION("""COMPUTED_VALUE"""),"")</f>
        <v/>
      </c>
      <c r="H14039" s="42">
        <f t="shared" si="1"/>
        <v>3345</v>
      </c>
    </row>
    <row r="14040" ht="22.5" customHeight="1">
      <c r="B14040" s="42" t="str">
        <f>IFERROR(__xludf.DUMMYFUNCTION("""COMPUTED_VALUE"""),"")</f>
        <v/>
      </c>
      <c r="C14040" s="42" t="str">
        <f>IFERROR(__xludf.DUMMYFUNCTION("""COMPUTED_VALUE"""),"")</f>
        <v/>
      </c>
      <c r="D14040" s="42"/>
      <c r="E14040" s="42"/>
      <c r="F14040" s="48" t="str">
        <f>IFERROR(__xludf.DUMMYFUNCTION("""COMPUTED_VALUE"""),"")</f>
        <v/>
      </c>
      <c r="G14040" s="42" t="str">
        <f>IFERROR(__xludf.DUMMYFUNCTION("""COMPUTED_VALUE"""),"")</f>
        <v/>
      </c>
      <c r="H14040" s="42">
        <f t="shared" si="1"/>
        <v>3345</v>
      </c>
    </row>
    <row r="14041" ht="22.5" customHeight="1">
      <c r="B14041" s="42" t="str">
        <f>IFERROR(__xludf.DUMMYFUNCTION("""COMPUTED_VALUE"""),"")</f>
        <v/>
      </c>
      <c r="C14041" s="42" t="str">
        <f>IFERROR(__xludf.DUMMYFUNCTION("""COMPUTED_VALUE"""),"")</f>
        <v/>
      </c>
      <c r="D14041" s="42"/>
      <c r="E14041" s="42"/>
      <c r="F14041" s="48" t="str">
        <f>IFERROR(__xludf.DUMMYFUNCTION("""COMPUTED_VALUE"""),"")</f>
        <v/>
      </c>
      <c r="G14041" s="42" t="str">
        <f>IFERROR(__xludf.DUMMYFUNCTION("""COMPUTED_VALUE"""),"")</f>
        <v/>
      </c>
      <c r="H14041" s="42">
        <f t="shared" si="1"/>
        <v>3345</v>
      </c>
    </row>
    <row r="14042" ht="22.5" customHeight="1">
      <c r="B14042" s="42" t="str">
        <f>IFERROR(__xludf.DUMMYFUNCTION("""COMPUTED_VALUE"""),"")</f>
        <v/>
      </c>
      <c r="C14042" s="42" t="str">
        <f>IFERROR(__xludf.DUMMYFUNCTION("""COMPUTED_VALUE"""),"")</f>
        <v/>
      </c>
      <c r="D14042" s="42"/>
      <c r="E14042" s="42"/>
      <c r="F14042" s="48" t="str">
        <f>IFERROR(__xludf.DUMMYFUNCTION("""COMPUTED_VALUE"""),"")</f>
        <v/>
      </c>
      <c r="G14042" s="42" t="str">
        <f>IFERROR(__xludf.DUMMYFUNCTION("""COMPUTED_VALUE"""),"")</f>
        <v/>
      </c>
      <c r="H14042" s="42">
        <f t="shared" si="1"/>
        <v>3345</v>
      </c>
    </row>
    <row r="14043" ht="22.5" customHeight="1">
      <c r="B14043" s="42" t="str">
        <f>IFERROR(__xludf.DUMMYFUNCTION("""COMPUTED_VALUE"""),"")</f>
        <v/>
      </c>
      <c r="C14043" s="42" t="str">
        <f>IFERROR(__xludf.DUMMYFUNCTION("""COMPUTED_VALUE"""),"")</f>
        <v/>
      </c>
      <c r="D14043" s="42"/>
      <c r="E14043" s="42"/>
      <c r="F14043" s="48" t="str">
        <f>IFERROR(__xludf.DUMMYFUNCTION("""COMPUTED_VALUE"""),"")</f>
        <v/>
      </c>
      <c r="G14043" s="42" t="str">
        <f>IFERROR(__xludf.DUMMYFUNCTION("""COMPUTED_VALUE"""),"")</f>
        <v/>
      </c>
      <c r="H14043" s="42">
        <f t="shared" si="1"/>
        <v>3345</v>
      </c>
    </row>
    <row r="14044" ht="22.5" customHeight="1">
      <c r="B14044" s="42" t="str">
        <f>IFERROR(__xludf.DUMMYFUNCTION("""COMPUTED_VALUE"""),"")</f>
        <v/>
      </c>
      <c r="C14044" s="42" t="str">
        <f>IFERROR(__xludf.DUMMYFUNCTION("""COMPUTED_VALUE"""),"")</f>
        <v/>
      </c>
      <c r="D14044" s="42"/>
      <c r="E14044" s="42"/>
      <c r="F14044" s="48" t="str">
        <f>IFERROR(__xludf.DUMMYFUNCTION("""COMPUTED_VALUE"""),"")</f>
        <v/>
      </c>
      <c r="G14044" s="42" t="str">
        <f>IFERROR(__xludf.DUMMYFUNCTION("""COMPUTED_VALUE"""),"")</f>
        <v/>
      </c>
      <c r="H14044" s="42">
        <f t="shared" si="1"/>
        <v>3345</v>
      </c>
    </row>
    <row r="14045" ht="22.5" customHeight="1">
      <c r="B14045" s="42" t="str">
        <f>IFERROR(__xludf.DUMMYFUNCTION("""COMPUTED_VALUE"""),"")</f>
        <v/>
      </c>
      <c r="C14045" s="42" t="str">
        <f>IFERROR(__xludf.DUMMYFUNCTION("""COMPUTED_VALUE"""),"")</f>
        <v/>
      </c>
      <c r="D14045" s="42"/>
      <c r="E14045" s="42"/>
      <c r="F14045" s="48" t="str">
        <f>IFERROR(__xludf.DUMMYFUNCTION("""COMPUTED_VALUE"""),"")</f>
        <v/>
      </c>
      <c r="G14045" s="42" t="str">
        <f>IFERROR(__xludf.DUMMYFUNCTION("""COMPUTED_VALUE"""),"")</f>
        <v/>
      </c>
      <c r="H14045" s="42">
        <f t="shared" si="1"/>
        <v>3345</v>
      </c>
    </row>
    <row r="14046" ht="22.5" customHeight="1">
      <c r="B14046" s="42" t="str">
        <f>IFERROR(__xludf.DUMMYFUNCTION("""COMPUTED_VALUE"""),"")</f>
        <v/>
      </c>
      <c r="C14046" s="42" t="str">
        <f>IFERROR(__xludf.DUMMYFUNCTION("""COMPUTED_VALUE"""),"")</f>
        <v/>
      </c>
      <c r="D14046" s="42"/>
      <c r="E14046" s="42"/>
      <c r="F14046" s="48" t="str">
        <f>IFERROR(__xludf.DUMMYFUNCTION("""COMPUTED_VALUE"""),"")</f>
        <v/>
      </c>
      <c r="G14046" s="42" t="str">
        <f>IFERROR(__xludf.DUMMYFUNCTION("""COMPUTED_VALUE"""),"")</f>
        <v/>
      </c>
      <c r="H14046" s="42">
        <f t="shared" si="1"/>
        <v>3345</v>
      </c>
    </row>
    <row r="14047" ht="22.5" customHeight="1">
      <c r="B14047" s="42" t="str">
        <f>IFERROR(__xludf.DUMMYFUNCTION("""COMPUTED_VALUE"""),"")</f>
        <v/>
      </c>
      <c r="C14047" s="42" t="str">
        <f>IFERROR(__xludf.DUMMYFUNCTION("""COMPUTED_VALUE"""),"")</f>
        <v/>
      </c>
      <c r="D14047" s="42"/>
      <c r="E14047" s="42"/>
      <c r="F14047" s="48" t="str">
        <f>IFERROR(__xludf.DUMMYFUNCTION("""COMPUTED_VALUE"""),"")</f>
        <v/>
      </c>
      <c r="G14047" s="42" t="str">
        <f>IFERROR(__xludf.DUMMYFUNCTION("""COMPUTED_VALUE"""),"")</f>
        <v/>
      </c>
      <c r="H14047" s="42">
        <f t="shared" si="1"/>
        <v>3345</v>
      </c>
    </row>
    <row r="14048" ht="22.5" customHeight="1">
      <c r="B14048" s="42" t="str">
        <f>IFERROR(__xludf.DUMMYFUNCTION("""COMPUTED_VALUE"""),"")</f>
        <v/>
      </c>
      <c r="C14048" s="42" t="str">
        <f>IFERROR(__xludf.DUMMYFUNCTION("""COMPUTED_VALUE"""),"")</f>
        <v/>
      </c>
      <c r="D14048" s="42"/>
      <c r="E14048" s="42"/>
      <c r="F14048" s="48" t="str">
        <f>IFERROR(__xludf.DUMMYFUNCTION("""COMPUTED_VALUE"""),"")</f>
        <v/>
      </c>
      <c r="G14048" s="42" t="str">
        <f>IFERROR(__xludf.DUMMYFUNCTION("""COMPUTED_VALUE"""),"")</f>
        <v/>
      </c>
      <c r="H14048" s="42">
        <f t="shared" si="1"/>
        <v>3345</v>
      </c>
    </row>
    <row r="14049" ht="22.5" customHeight="1">
      <c r="B14049" s="42" t="str">
        <f>IFERROR(__xludf.DUMMYFUNCTION("""COMPUTED_VALUE"""),"")</f>
        <v/>
      </c>
      <c r="C14049" s="42" t="str">
        <f>IFERROR(__xludf.DUMMYFUNCTION("""COMPUTED_VALUE"""),"")</f>
        <v/>
      </c>
      <c r="D14049" s="42"/>
      <c r="E14049" s="42"/>
      <c r="F14049" s="48" t="str">
        <f>IFERROR(__xludf.DUMMYFUNCTION("""COMPUTED_VALUE"""),"")</f>
        <v/>
      </c>
      <c r="G14049" s="42" t="str">
        <f>IFERROR(__xludf.DUMMYFUNCTION("""COMPUTED_VALUE"""),"")</f>
        <v/>
      </c>
      <c r="H14049" s="42">
        <f t="shared" si="1"/>
        <v>3345</v>
      </c>
    </row>
    <row r="14050" ht="22.5" customHeight="1">
      <c r="B14050" s="42" t="str">
        <f>IFERROR(__xludf.DUMMYFUNCTION("""COMPUTED_VALUE"""),"")</f>
        <v/>
      </c>
      <c r="C14050" s="42" t="str">
        <f>IFERROR(__xludf.DUMMYFUNCTION("""COMPUTED_VALUE"""),"")</f>
        <v/>
      </c>
      <c r="D14050" s="42"/>
      <c r="E14050" s="42"/>
      <c r="F14050" s="48" t="str">
        <f>IFERROR(__xludf.DUMMYFUNCTION("""COMPUTED_VALUE"""),"")</f>
        <v/>
      </c>
      <c r="G14050" s="42" t="str">
        <f>IFERROR(__xludf.DUMMYFUNCTION("""COMPUTED_VALUE"""),"")</f>
        <v/>
      </c>
      <c r="H14050" s="42">
        <f t="shared" si="1"/>
        <v>3345</v>
      </c>
    </row>
    <row r="14051" ht="22.5" customHeight="1">
      <c r="B14051" s="42" t="str">
        <f>IFERROR(__xludf.DUMMYFUNCTION("""COMPUTED_VALUE"""),"")</f>
        <v/>
      </c>
      <c r="C14051" s="42" t="str">
        <f>IFERROR(__xludf.DUMMYFUNCTION("""COMPUTED_VALUE"""),"")</f>
        <v/>
      </c>
      <c r="D14051" s="42"/>
      <c r="E14051" s="42"/>
      <c r="F14051" s="48" t="str">
        <f>IFERROR(__xludf.DUMMYFUNCTION("""COMPUTED_VALUE"""),"")</f>
        <v/>
      </c>
      <c r="G14051" s="42" t="str">
        <f>IFERROR(__xludf.DUMMYFUNCTION("""COMPUTED_VALUE"""),"")</f>
        <v/>
      </c>
      <c r="H14051" s="42">
        <f t="shared" si="1"/>
        <v>3345</v>
      </c>
    </row>
    <row r="14052" ht="22.5" customHeight="1">
      <c r="B14052" s="42" t="str">
        <f>IFERROR(__xludf.DUMMYFUNCTION("""COMPUTED_VALUE"""),"")</f>
        <v/>
      </c>
      <c r="C14052" s="42" t="str">
        <f>IFERROR(__xludf.DUMMYFUNCTION("""COMPUTED_VALUE"""),"")</f>
        <v/>
      </c>
      <c r="D14052" s="42"/>
      <c r="E14052" s="42"/>
      <c r="F14052" s="48" t="str">
        <f>IFERROR(__xludf.DUMMYFUNCTION("""COMPUTED_VALUE"""),"")</f>
        <v/>
      </c>
      <c r="G14052" s="42" t="str">
        <f>IFERROR(__xludf.DUMMYFUNCTION("""COMPUTED_VALUE"""),"")</f>
        <v/>
      </c>
      <c r="H14052" s="42">
        <f t="shared" si="1"/>
        <v>3345</v>
      </c>
    </row>
    <row r="14053" ht="22.5" customHeight="1">
      <c r="B14053" s="42" t="str">
        <f>IFERROR(__xludf.DUMMYFUNCTION("""COMPUTED_VALUE"""),"")</f>
        <v/>
      </c>
      <c r="C14053" s="42" t="str">
        <f>IFERROR(__xludf.DUMMYFUNCTION("""COMPUTED_VALUE"""),"")</f>
        <v/>
      </c>
      <c r="D14053" s="42"/>
      <c r="E14053" s="42"/>
      <c r="F14053" s="48" t="str">
        <f>IFERROR(__xludf.DUMMYFUNCTION("""COMPUTED_VALUE"""),"")</f>
        <v/>
      </c>
      <c r="G14053" s="42" t="str">
        <f>IFERROR(__xludf.DUMMYFUNCTION("""COMPUTED_VALUE"""),"")</f>
        <v/>
      </c>
      <c r="H14053" s="42">
        <f t="shared" si="1"/>
        <v>3345</v>
      </c>
    </row>
    <row r="14054" ht="22.5" customHeight="1">
      <c r="B14054" s="42" t="str">
        <f>IFERROR(__xludf.DUMMYFUNCTION("""COMPUTED_VALUE"""),"")</f>
        <v/>
      </c>
      <c r="C14054" s="42" t="str">
        <f>IFERROR(__xludf.DUMMYFUNCTION("""COMPUTED_VALUE"""),"")</f>
        <v/>
      </c>
      <c r="D14054" s="42"/>
      <c r="E14054" s="42"/>
      <c r="F14054" s="48" t="str">
        <f>IFERROR(__xludf.DUMMYFUNCTION("""COMPUTED_VALUE"""),"")</f>
        <v/>
      </c>
      <c r="G14054" s="42" t="str">
        <f>IFERROR(__xludf.DUMMYFUNCTION("""COMPUTED_VALUE"""),"")</f>
        <v/>
      </c>
      <c r="H14054" s="42">
        <f t="shared" si="1"/>
        <v>3345</v>
      </c>
    </row>
    <row r="14055" ht="22.5" customHeight="1">
      <c r="B14055" s="42" t="str">
        <f>IFERROR(__xludf.DUMMYFUNCTION("""COMPUTED_VALUE"""),"")</f>
        <v/>
      </c>
      <c r="C14055" s="42" t="str">
        <f>IFERROR(__xludf.DUMMYFUNCTION("""COMPUTED_VALUE"""),"")</f>
        <v/>
      </c>
      <c r="D14055" s="42"/>
      <c r="E14055" s="42"/>
      <c r="F14055" s="48" t="str">
        <f>IFERROR(__xludf.DUMMYFUNCTION("""COMPUTED_VALUE"""),"")</f>
        <v/>
      </c>
      <c r="G14055" s="42" t="str">
        <f>IFERROR(__xludf.DUMMYFUNCTION("""COMPUTED_VALUE"""),"")</f>
        <v/>
      </c>
      <c r="H14055" s="42">
        <f t="shared" si="1"/>
        <v>3345</v>
      </c>
    </row>
    <row r="14056" ht="22.5" customHeight="1">
      <c r="B14056" s="42" t="str">
        <f>IFERROR(__xludf.DUMMYFUNCTION("""COMPUTED_VALUE"""),"")</f>
        <v/>
      </c>
      <c r="C14056" s="42" t="str">
        <f>IFERROR(__xludf.DUMMYFUNCTION("""COMPUTED_VALUE"""),"")</f>
        <v/>
      </c>
      <c r="D14056" s="42"/>
      <c r="E14056" s="42"/>
      <c r="F14056" s="48" t="str">
        <f>IFERROR(__xludf.DUMMYFUNCTION("""COMPUTED_VALUE"""),"")</f>
        <v/>
      </c>
      <c r="G14056" s="42" t="str">
        <f>IFERROR(__xludf.DUMMYFUNCTION("""COMPUTED_VALUE"""),"")</f>
        <v/>
      </c>
      <c r="H14056" s="42">
        <f t="shared" si="1"/>
        <v>3345</v>
      </c>
    </row>
    <row r="14057" ht="22.5" customHeight="1">
      <c r="B14057" s="42" t="str">
        <f>IFERROR(__xludf.DUMMYFUNCTION("""COMPUTED_VALUE"""),"")</f>
        <v/>
      </c>
      <c r="C14057" s="42" t="str">
        <f>IFERROR(__xludf.DUMMYFUNCTION("""COMPUTED_VALUE"""),"")</f>
        <v/>
      </c>
      <c r="D14057" s="42"/>
      <c r="E14057" s="42"/>
      <c r="F14057" s="48" t="str">
        <f>IFERROR(__xludf.DUMMYFUNCTION("""COMPUTED_VALUE"""),"")</f>
        <v/>
      </c>
      <c r="G14057" s="42" t="str">
        <f>IFERROR(__xludf.DUMMYFUNCTION("""COMPUTED_VALUE"""),"")</f>
        <v/>
      </c>
      <c r="H14057" s="42">
        <f t="shared" si="1"/>
        <v>3345</v>
      </c>
    </row>
    <row r="14058" ht="22.5" customHeight="1">
      <c r="B14058" s="42" t="str">
        <f>IFERROR(__xludf.DUMMYFUNCTION("""COMPUTED_VALUE"""),"")</f>
        <v/>
      </c>
      <c r="C14058" s="42" t="str">
        <f>IFERROR(__xludf.DUMMYFUNCTION("""COMPUTED_VALUE"""),"")</f>
        <v/>
      </c>
      <c r="D14058" s="42"/>
      <c r="E14058" s="42"/>
      <c r="F14058" s="48" t="str">
        <f>IFERROR(__xludf.DUMMYFUNCTION("""COMPUTED_VALUE"""),"")</f>
        <v/>
      </c>
      <c r="G14058" s="42" t="str">
        <f>IFERROR(__xludf.DUMMYFUNCTION("""COMPUTED_VALUE"""),"")</f>
        <v/>
      </c>
      <c r="H14058" s="42">
        <f t="shared" si="1"/>
        <v>3345</v>
      </c>
    </row>
    <row r="14059" ht="22.5" customHeight="1">
      <c r="B14059" s="42" t="str">
        <f>IFERROR(__xludf.DUMMYFUNCTION("""COMPUTED_VALUE"""),"")</f>
        <v/>
      </c>
      <c r="C14059" s="42" t="str">
        <f>IFERROR(__xludf.DUMMYFUNCTION("""COMPUTED_VALUE"""),"")</f>
        <v/>
      </c>
      <c r="D14059" s="42"/>
      <c r="E14059" s="42"/>
      <c r="F14059" s="48" t="str">
        <f>IFERROR(__xludf.DUMMYFUNCTION("""COMPUTED_VALUE"""),"")</f>
        <v/>
      </c>
      <c r="G14059" s="42" t="str">
        <f>IFERROR(__xludf.DUMMYFUNCTION("""COMPUTED_VALUE"""),"")</f>
        <v/>
      </c>
      <c r="H14059" s="42">
        <f t="shared" si="1"/>
        <v>3345</v>
      </c>
    </row>
    <row r="14060" ht="22.5" customHeight="1">
      <c r="B14060" s="42" t="str">
        <f>IFERROR(__xludf.DUMMYFUNCTION("""COMPUTED_VALUE"""),"")</f>
        <v/>
      </c>
      <c r="C14060" s="42" t="str">
        <f>IFERROR(__xludf.DUMMYFUNCTION("""COMPUTED_VALUE"""),"")</f>
        <v/>
      </c>
      <c r="D14060" s="42"/>
      <c r="E14060" s="42"/>
      <c r="F14060" s="48" t="str">
        <f>IFERROR(__xludf.DUMMYFUNCTION("""COMPUTED_VALUE"""),"")</f>
        <v/>
      </c>
      <c r="G14060" s="42" t="str">
        <f>IFERROR(__xludf.DUMMYFUNCTION("""COMPUTED_VALUE"""),"")</f>
        <v/>
      </c>
      <c r="H14060" s="42">
        <f t="shared" si="1"/>
        <v>3345</v>
      </c>
    </row>
    <row r="14061" ht="22.5" customHeight="1">
      <c r="B14061" s="42" t="str">
        <f>IFERROR(__xludf.DUMMYFUNCTION("""COMPUTED_VALUE"""),"")</f>
        <v/>
      </c>
      <c r="C14061" s="42" t="str">
        <f>IFERROR(__xludf.DUMMYFUNCTION("""COMPUTED_VALUE"""),"")</f>
        <v/>
      </c>
      <c r="D14061" s="42"/>
      <c r="E14061" s="42"/>
      <c r="F14061" s="48" t="str">
        <f>IFERROR(__xludf.DUMMYFUNCTION("""COMPUTED_VALUE"""),"")</f>
        <v/>
      </c>
      <c r="G14061" s="42" t="str">
        <f>IFERROR(__xludf.DUMMYFUNCTION("""COMPUTED_VALUE"""),"")</f>
        <v/>
      </c>
      <c r="H14061" s="42">
        <f t="shared" si="1"/>
        <v>3345</v>
      </c>
    </row>
    <row r="14062" ht="22.5" customHeight="1">
      <c r="B14062" s="42" t="str">
        <f>IFERROR(__xludf.DUMMYFUNCTION("""COMPUTED_VALUE"""),"")</f>
        <v/>
      </c>
      <c r="C14062" s="42" t="str">
        <f>IFERROR(__xludf.DUMMYFUNCTION("""COMPUTED_VALUE"""),"")</f>
        <v/>
      </c>
      <c r="D14062" s="42"/>
      <c r="E14062" s="42"/>
      <c r="F14062" s="48" t="str">
        <f>IFERROR(__xludf.DUMMYFUNCTION("""COMPUTED_VALUE"""),"")</f>
        <v/>
      </c>
      <c r="G14062" s="42" t="str">
        <f>IFERROR(__xludf.DUMMYFUNCTION("""COMPUTED_VALUE"""),"")</f>
        <v/>
      </c>
      <c r="H14062" s="42">
        <f t="shared" si="1"/>
        <v>3345</v>
      </c>
    </row>
    <row r="14063" ht="22.5" customHeight="1">
      <c r="B14063" s="42" t="str">
        <f>IFERROR(__xludf.DUMMYFUNCTION("""COMPUTED_VALUE"""),"")</f>
        <v/>
      </c>
      <c r="C14063" s="42" t="str">
        <f>IFERROR(__xludf.DUMMYFUNCTION("""COMPUTED_VALUE"""),"")</f>
        <v/>
      </c>
      <c r="D14063" s="42"/>
      <c r="E14063" s="42"/>
      <c r="F14063" s="48" t="str">
        <f>IFERROR(__xludf.DUMMYFUNCTION("""COMPUTED_VALUE"""),"")</f>
        <v/>
      </c>
      <c r="G14063" s="42" t="str">
        <f>IFERROR(__xludf.DUMMYFUNCTION("""COMPUTED_VALUE"""),"")</f>
        <v/>
      </c>
      <c r="H14063" s="42">
        <f t="shared" si="1"/>
        <v>3345</v>
      </c>
    </row>
    <row r="14064" ht="22.5" customHeight="1">
      <c r="B14064" s="42" t="str">
        <f>IFERROR(__xludf.DUMMYFUNCTION("""COMPUTED_VALUE"""),"")</f>
        <v/>
      </c>
      <c r="C14064" s="42" t="str">
        <f>IFERROR(__xludf.DUMMYFUNCTION("""COMPUTED_VALUE"""),"")</f>
        <v/>
      </c>
      <c r="D14064" s="42"/>
      <c r="E14064" s="42"/>
      <c r="F14064" s="48" t="str">
        <f>IFERROR(__xludf.DUMMYFUNCTION("""COMPUTED_VALUE"""),"")</f>
        <v/>
      </c>
      <c r="G14064" s="42" t="str">
        <f>IFERROR(__xludf.DUMMYFUNCTION("""COMPUTED_VALUE"""),"")</f>
        <v/>
      </c>
      <c r="H14064" s="42">
        <f t="shared" si="1"/>
        <v>3345</v>
      </c>
    </row>
    <row r="14065" ht="22.5" customHeight="1">
      <c r="B14065" s="42" t="str">
        <f>IFERROR(__xludf.DUMMYFUNCTION("""COMPUTED_VALUE"""),"")</f>
        <v/>
      </c>
      <c r="C14065" s="42" t="str">
        <f>IFERROR(__xludf.DUMMYFUNCTION("""COMPUTED_VALUE"""),"")</f>
        <v/>
      </c>
      <c r="D14065" s="42"/>
      <c r="E14065" s="42"/>
      <c r="F14065" s="48" t="str">
        <f>IFERROR(__xludf.DUMMYFUNCTION("""COMPUTED_VALUE"""),"")</f>
        <v/>
      </c>
      <c r="G14065" s="42" t="str">
        <f>IFERROR(__xludf.DUMMYFUNCTION("""COMPUTED_VALUE"""),"")</f>
        <v/>
      </c>
      <c r="H14065" s="42">
        <f t="shared" si="1"/>
        <v>3345</v>
      </c>
    </row>
    <row r="14066" ht="22.5" customHeight="1">
      <c r="B14066" s="42" t="str">
        <f>IFERROR(__xludf.DUMMYFUNCTION("""COMPUTED_VALUE"""),"")</f>
        <v/>
      </c>
      <c r="C14066" s="42" t="str">
        <f>IFERROR(__xludf.DUMMYFUNCTION("""COMPUTED_VALUE"""),"")</f>
        <v/>
      </c>
      <c r="D14066" s="42"/>
      <c r="E14066" s="42"/>
      <c r="F14066" s="48" t="str">
        <f>IFERROR(__xludf.DUMMYFUNCTION("""COMPUTED_VALUE"""),"")</f>
        <v/>
      </c>
      <c r="G14066" s="42" t="str">
        <f>IFERROR(__xludf.DUMMYFUNCTION("""COMPUTED_VALUE"""),"")</f>
        <v/>
      </c>
      <c r="H14066" s="42">
        <f t="shared" si="1"/>
        <v>3345</v>
      </c>
    </row>
    <row r="14067" ht="22.5" customHeight="1">
      <c r="B14067" s="42" t="str">
        <f>IFERROR(__xludf.DUMMYFUNCTION("""COMPUTED_VALUE"""),"")</f>
        <v/>
      </c>
      <c r="C14067" s="42" t="str">
        <f>IFERROR(__xludf.DUMMYFUNCTION("""COMPUTED_VALUE"""),"")</f>
        <v/>
      </c>
      <c r="D14067" s="42"/>
      <c r="E14067" s="42"/>
      <c r="F14067" s="48" t="str">
        <f>IFERROR(__xludf.DUMMYFUNCTION("""COMPUTED_VALUE"""),"")</f>
        <v/>
      </c>
      <c r="G14067" s="42" t="str">
        <f>IFERROR(__xludf.DUMMYFUNCTION("""COMPUTED_VALUE"""),"")</f>
        <v/>
      </c>
      <c r="H14067" s="42">
        <f t="shared" si="1"/>
        <v>3345</v>
      </c>
    </row>
    <row r="14068" ht="22.5" customHeight="1">
      <c r="B14068" s="42" t="str">
        <f>IFERROR(__xludf.DUMMYFUNCTION("""COMPUTED_VALUE"""),"")</f>
        <v/>
      </c>
      <c r="C14068" s="42" t="str">
        <f>IFERROR(__xludf.DUMMYFUNCTION("""COMPUTED_VALUE"""),"")</f>
        <v/>
      </c>
      <c r="D14068" s="42"/>
      <c r="E14068" s="42"/>
      <c r="F14068" s="48" t="str">
        <f>IFERROR(__xludf.DUMMYFUNCTION("""COMPUTED_VALUE"""),"")</f>
        <v/>
      </c>
      <c r="G14068" s="42" t="str">
        <f>IFERROR(__xludf.DUMMYFUNCTION("""COMPUTED_VALUE"""),"")</f>
        <v/>
      </c>
      <c r="H14068" s="42">
        <f t="shared" si="1"/>
        <v>3345</v>
      </c>
    </row>
    <row r="14069" ht="22.5" customHeight="1">
      <c r="B14069" s="42" t="str">
        <f>IFERROR(__xludf.DUMMYFUNCTION("""COMPUTED_VALUE"""),"")</f>
        <v/>
      </c>
      <c r="C14069" s="42" t="str">
        <f>IFERROR(__xludf.DUMMYFUNCTION("""COMPUTED_VALUE"""),"")</f>
        <v/>
      </c>
      <c r="D14069" s="42"/>
      <c r="E14069" s="42"/>
      <c r="F14069" s="48" t="str">
        <f>IFERROR(__xludf.DUMMYFUNCTION("""COMPUTED_VALUE"""),"")</f>
        <v/>
      </c>
      <c r="G14069" s="42" t="str">
        <f>IFERROR(__xludf.DUMMYFUNCTION("""COMPUTED_VALUE"""),"")</f>
        <v/>
      </c>
      <c r="H14069" s="42">
        <f t="shared" si="1"/>
        <v>3345</v>
      </c>
    </row>
    <row r="14070" ht="22.5" customHeight="1">
      <c r="B14070" s="42" t="str">
        <f>IFERROR(__xludf.DUMMYFUNCTION("""COMPUTED_VALUE"""),"")</f>
        <v/>
      </c>
      <c r="C14070" s="42" t="str">
        <f>IFERROR(__xludf.DUMMYFUNCTION("""COMPUTED_VALUE"""),"")</f>
        <v/>
      </c>
      <c r="D14070" s="42"/>
      <c r="E14070" s="42"/>
      <c r="F14070" s="48" t="str">
        <f>IFERROR(__xludf.DUMMYFUNCTION("""COMPUTED_VALUE"""),"")</f>
        <v/>
      </c>
      <c r="G14070" s="42" t="str">
        <f>IFERROR(__xludf.DUMMYFUNCTION("""COMPUTED_VALUE"""),"")</f>
        <v/>
      </c>
      <c r="H14070" s="42">
        <f t="shared" si="1"/>
        <v>3345</v>
      </c>
    </row>
    <row r="14071" ht="22.5" customHeight="1">
      <c r="B14071" s="42" t="str">
        <f>IFERROR(__xludf.DUMMYFUNCTION("""COMPUTED_VALUE"""),"")</f>
        <v/>
      </c>
      <c r="C14071" s="42" t="str">
        <f>IFERROR(__xludf.DUMMYFUNCTION("""COMPUTED_VALUE"""),"")</f>
        <v/>
      </c>
      <c r="D14071" s="42"/>
      <c r="E14071" s="42"/>
      <c r="F14071" s="48" t="str">
        <f>IFERROR(__xludf.DUMMYFUNCTION("""COMPUTED_VALUE"""),"")</f>
        <v/>
      </c>
      <c r="G14071" s="42" t="str">
        <f>IFERROR(__xludf.DUMMYFUNCTION("""COMPUTED_VALUE"""),"")</f>
        <v/>
      </c>
      <c r="H14071" s="42">
        <f t="shared" si="1"/>
        <v>3345</v>
      </c>
    </row>
    <row r="14072" ht="22.5" customHeight="1">
      <c r="B14072" s="42" t="str">
        <f>IFERROR(__xludf.DUMMYFUNCTION("""COMPUTED_VALUE"""),"")</f>
        <v/>
      </c>
      <c r="C14072" s="42" t="str">
        <f>IFERROR(__xludf.DUMMYFUNCTION("""COMPUTED_VALUE"""),"")</f>
        <v/>
      </c>
      <c r="D14072" s="42"/>
      <c r="E14072" s="42"/>
      <c r="F14072" s="48" t="str">
        <f>IFERROR(__xludf.DUMMYFUNCTION("""COMPUTED_VALUE"""),"")</f>
        <v/>
      </c>
      <c r="G14072" s="42" t="str">
        <f>IFERROR(__xludf.DUMMYFUNCTION("""COMPUTED_VALUE"""),"")</f>
        <v/>
      </c>
      <c r="H14072" s="42">
        <f t="shared" si="1"/>
        <v>3345</v>
      </c>
    </row>
    <row r="14073" ht="22.5" customHeight="1">
      <c r="B14073" s="42" t="str">
        <f>IFERROR(__xludf.DUMMYFUNCTION("""COMPUTED_VALUE"""),"")</f>
        <v/>
      </c>
      <c r="C14073" s="42" t="str">
        <f>IFERROR(__xludf.DUMMYFUNCTION("""COMPUTED_VALUE"""),"")</f>
        <v/>
      </c>
      <c r="D14073" s="42"/>
      <c r="E14073" s="42"/>
      <c r="F14073" s="48" t="str">
        <f>IFERROR(__xludf.DUMMYFUNCTION("""COMPUTED_VALUE"""),"")</f>
        <v/>
      </c>
      <c r="G14073" s="42" t="str">
        <f>IFERROR(__xludf.DUMMYFUNCTION("""COMPUTED_VALUE"""),"")</f>
        <v/>
      </c>
      <c r="H14073" s="42">
        <f t="shared" si="1"/>
        <v>3345</v>
      </c>
    </row>
    <row r="14074" ht="22.5" customHeight="1">
      <c r="B14074" s="42" t="str">
        <f>IFERROR(__xludf.DUMMYFUNCTION("""COMPUTED_VALUE"""),"")</f>
        <v/>
      </c>
      <c r="C14074" s="42" t="str">
        <f>IFERROR(__xludf.DUMMYFUNCTION("""COMPUTED_VALUE"""),"")</f>
        <v/>
      </c>
      <c r="D14074" s="42"/>
      <c r="E14074" s="42"/>
      <c r="F14074" s="48" t="str">
        <f>IFERROR(__xludf.DUMMYFUNCTION("""COMPUTED_VALUE"""),"")</f>
        <v/>
      </c>
      <c r="G14074" s="42" t="str">
        <f>IFERROR(__xludf.DUMMYFUNCTION("""COMPUTED_VALUE"""),"")</f>
        <v/>
      </c>
      <c r="H14074" s="42">
        <f t="shared" si="1"/>
        <v>3345</v>
      </c>
    </row>
    <row r="14075" ht="22.5" customHeight="1">
      <c r="B14075" s="42" t="str">
        <f>IFERROR(__xludf.DUMMYFUNCTION("""COMPUTED_VALUE"""),"")</f>
        <v/>
      </c>
      <c r="C14075" s="42" t="str">
        <f>IFERROR(__xludf.DUMMYFUNCTION("""COMPUTED_VALUE"""),"")</f>
        <v/>
      </c>
      <c r="D14075" s="42"/>
      <c r="E14075" s="42"/>
      <c r="F14075" s="48" t="str">
        <f>IFERROR(__xludf.DUMMYFUNCTION("""COMPUTED_VALUE"""),"")</f>
        <v/>
      </c>
      <c r="G14075" s="42" t="str">
        <f>IFERROR(__xludf.DUMMYFUNCTION("""COMPUTED_VALUE"""),"")</f>
        <v/>
      </c>
      <c r="H14075" s="42">
        <f t="shared" si="1"/>
        <v>3345</v>
      </c>
    </row>
    <row r="14076" ht="22.5" customHeight="1">
      <c r="B14076" s="42" t="str">
        <f>IFERROR(__xludf.DUMMYFUNCTION("""COMPUTED_VALUE"""),"")</f>
        <v/>
      </c>
      <c r="C14076" s="42" t="str">
        <f>IFERROR(__xludf.DUMMYFUNCTION("""COMPUTED_VALUE"""),"")</f>
        <v/>
      </c>
      <c r="D14076" s="42"/>
      <c r="E14076" s="42"/>
      <c r="F14076" s="48" t="str">
        <f>IFERROR(__xludf.DUMMYFUNCTION("""COMPUTED_VALUE"""),"")</f>
        <v/>
      </c>
      <c r="G14076" s="42" t="str">
        <f>IFERROR(__xludf.DUMMYFUNCTION("""COMPUTED_VALUE"""),"")</f>
        <v/>
      </c>
      <c r="H14076" s="42">
        <f t="shared" si="1"/>
        <v>3345</v>
      </c>
    </row>
    <row r="14077" ht="22.5" customHeight="1">
      <c r="B14077" s="42" t="str">
        <f>IFERROR(__xludf.DUMMYFUNCTION("""COMPUTED_VALUE"""),"")</f>
        <v/>
      </c>
      <c r="C14077" s="42" t="str">
        <f>IFERROR(__xludf.DUMMYFUNCTION("""COMPUTED_VALUE"""),"")</f>
        <v/>
      </c>
      <c r="D14077" s="42"/>
      <c r="E14077" s="42"/>
      <c r="F14077" s="48" t="str">
        <f>IFERROR(__xludf.DUMMYFUNCTION("""COMPUTED_VALUE"""),"")</f>
        <v/>
      </c>
      <c r="G14077" s="42" t="str">
        <f>IFERROR(__xludf.DUMMYFUNCTION("""COMPUTED_VALUE"""),"")</f>
        <v/>
      </c>
      <c r="H14077" s="42">
        <f t="shared" si="1"/>
        <v>3345</v>
      </c>
    </row>
    <row r="14078" ht="22.5" customHeight="1">
      <c r="B14078" s="42" t="str">
        <f>IFERROR(__xludf.DUMMYFUNCTION("""COMPUTED_VALUE"""),"")</f>
        <v/>
      </c>
      <c r="C14078" s="42" t="str">
        <f>IFERROR(__xludf.DUMMYFUNCTION("""COMPUTED_VALUE"""),"")</f>
        <v/>
      </c>
      <c r="D14078" s="42"/>
      <c r="E14078" s="42"/>
      <c r="F14078" s="48" t="str">
        <f>IFERROR(__xludf.DUMMYFUNCTION("""COMPUTED_VALUE"""),"")</f>
        <v/>
      </c>
      <c r="G14078" s="42" t="str">
        <f>IFERROR(__xludf.DUMMYFUNCTION("""COMPUTED_VALUE"""),"")</f>
        <v/>
      </c>
      <c r="H14078" s="42">
        <f t="shared" si="1"/>
        <v>3345</v>
      </c>
    </row>
    <row r="14079" ht="22.5" customHeight="1">
      <c r="B14079" s="42" t="str">
        <f>IFERROR(__xludf.DUMMYFUNCTION("""COMPUTED_VALUE"""),"")</f>
        <v/>
      </c>
      <c r="C14079" s="42" t="str">
        <f>IFERROR(__xludf.DUMMYFUNCTION("""COMPUTED_VALUE"""),"")</f>
        <v/>
      </c>
      <c r="D14079" s="42"/>
      <c r="E14079" s="42"/>
      <c r="F14079" s="48" t="str">
        <f>IFERROR(__xludf.DUMMYFUNCTION("""COMPUTED_VALUE"""),"")</f>
        <v/>
      </c>
      <c r="G14079" s="42" t="str">
        <f>IFERROR(__xludf.DUMMYFUNCTION("""COMPUTED_VALUE"""),"")</f>
        <v/>
      </c>
      <c r="H14079" s="42">
        <f t="shared" si="1"/>
        <v>3345</v>
      </c>
    </row>
    <row r="14080" ht="22.5" customHeight="1">
      <c r="B14080" s="42" t="str">
        <f>IFERROR(__xludf.DUMMYFUNCTION("""COMPUTED_VALUE"""),"")</f>
        <v/>
      </c>
      <c r="C14080" s="42" t="str">
        <f>IFERROR(__xludf.DUMMYFUNCTION("""COMPUTED_VALUE"""),"")</f>
        <v/>
      </c>
      <c r="D14080" s="42"/>
      <c r="E14080" s="42"/>
      <c r="F14080" s="48" t="str">
        <f>IFERROR(__xludf.DUMMYFUNCTION("""COMPUTED_VALUE"""),"")</f>
        <v/>
      </c>
      <c r="G14080" s="42" t="str">
        <f>IFERROR(__xludf.DUMMYFUNCTION("""COMPUTED_VALUE"""),"")</f>
        <v/>
      </c>
      <c r="H14080" s="42">
        <f t="shared" si="1"/>
        <v>3345</v>
      </c>
    </row>
    <row r="14081" ht="22.5" customHeight="1">
      <c r="B14081" s="42" t="str">
        <f>IFERROR(__xludf.DUMMYFUNCTION("""COMPUTED_VALUE"""),"")</f>
        <v/>
      </c>
      <c r="C14081" s="42" t="str">
        <f>IFERROR(__xludf.DUMMYFUNCTION("""COMPUTED_VALUE"""),"")</f>
        <v/>
      </c>
      <c r="D14081" s="42"/>
      <c r="E14081" s="42"/>
      <c r="F14081" s="48" t="str">
        <f>IFERROR(__xludf.DUMMYFUNCTION("""COMPUTED_VALUE"""),"")</f>
        <v/>
      </c>
      <c r="G14081" s="42" t="str">
        <f>IFERROR(__xludf.DUMMYFUNCTION("""COMPUTED_VALUE"""),"")</f>
        <v/>
      </c>
      <c r="H14081" s="42">
        <f t="shared" si="1"/>
        <v>3345</v>
      </c>
    </row>
    <row r="14082" ht="22.5" customHeight="1">
      <c r="B14082" s="42" t="str">
        <f>IFERROR(__xludf.DUMMYFUNCTION("""COMPUTED_VALUE"""),"")</f>
        <v/>
      </c>
      <c r="C14082" s="42" t="str">
        <f>IFERROR(__xludf.DUMMYFUNCTION("""COMPUTED_VALUE"""),"")</f>
        <v/>
      </c>
      <c r="D14082" s="42"/>
      <c r="E14082" s="42"/>
      <c r="F14082" s="48" t="str">
        <f>IFERROR(__xludf.DUMMYFUNCTION("""COMPUTED_VALUE"""),"")</f>
        <v/>
      </c>
      <c r="G14082" s="42" t="str">
        <f>IFERROR(__xludf.DUMMYFUNCTION("""COMPUTED_VALUE"""),"")</f>
        <v/>
      </c>
      <c r="H14082" s="42">
        <f t="shared" si="1"/>
        <v>3345</v>
      </c>
    </row>
    <row r="14083" ht="22.5" customHeight="1">
      <c r="B14083" s="42" t="str">
        <f>IFERROR(__xludf.DUMMYFUNCTION("""COMPUTED_VALUE"""),"")</f>
        <v/>
      </c>
      <c r="C14083" s="42" t="str">
        <f>IFERROR(__xludf.DUMMYFUNCTION("""COMPUTED_VALUE"""),"")</f>
        <v/>
      </c>
      <c r="D14083" s="42"/>
      <c r="E14083" s="42"/>
      <c r="F14083" s="48" t="str">
        <f>IFERROR(__xludf.DUMMYFUNCTION("""COMPUTED_VALUE"""),"")</f>
        <v/>
      </c>
      <c r="G14083" s="42" t="str">
        <f>IFERROR(__xludf.DUMMYFUNCTION("""COMPUTED_VALUE"""),"")</f>
        <v/>
      </c>
      <c r="H14083" s="42">
        <f t="shared" si="1"/>
        <v>3345</v>
      </c>
    </row>
    <row r="14084" ht="22.5" customHeight="1">
      <c r="B14084" s="42" t="str">
        <f>IFERROR(__xludf.DUMMYFUNCTION("""COMPUTED_VALUE"""),"")</f>
        <v/>
      </c>
      <c r="C14084" s="42" t="str">
        <f>IFERROR(__xludf.DUMMYFUNCTION("""COMPUTED_VALUE"""),"")</f>
        <v/>
      </c>
      <c r="D14084" s="42"/>
      <c r="E14084" s="42"/>
      <c r="F14084" s="48" t="str">
        <f>IFERROR(__xludf.DUMMYFUNCTION("""COMPUTED_VALUE"""),"")</f>
        <v/>
      </c>
      <c r="G14084" s="42" t="str">
        <f>IFERROR(__xludf.DUMMYFUNCTION("""COMPUTED_VALUE"""),"")</f>
        <v/>
      </c>
      <c r="H14084" s="42">
        <f t="shared" si="1"/>
        <v>3345</v>
      </c>
    </row>
    <row r="14085" ht="22.5" customHeight="1">
      <c r="B14085" s="42" t="str">
        <f>IFERROR(__xludf.DUMMYFUNCTION("""COMPUTED_VALUE"""),"")</f>
        <v/>
      </c>
      <c r="C14085" s="42" t="str">
        <f>IFERROR(__xludf.DUMMYFUNCTION("""COMPUTED_VALUE"""),"")</f>
        <v/>
      </c>
      <c r="D14085" s="42"/>
      <c r="E14085" s="42"/>
      <c r="F14085" s="48" t="str">
        <f>IFERROR(__xludf.DUMMYFUNCTION("""COMPUTED_VALUE"""),"")</f>
        <v/>
      </c>
      <c r="G14085" s="42" t="str">
        <f>IFERROR(__xludf.DUMMYFUNCTION("""COMPUTED_VALUE"""),"")</f>
        <v/>
      </c>
      <c r="H14085" s="42">
        <f t="shared" si="1"/>
        <v>3345</v>
      </c>
    </row>
    <row r="14086" ht="22.5" customHeight="1">
      <c r="B14086" s="42" t="str">
        <f>IFERROR(__xludf.DUMMYFUNCTION("""COMPUTED_VALUE"""),"")</f>
        <v/>
      </c>
      <c r="C14086" s="42" t="str">
        <f>IFERROR(__xludf.DUMMYFUNCTION("""COMPUTED_VALUE"""),"")</f>
        <v/>
      </c>
      <c r="D14086" s="42"/>
      <c r="E14086" s="42"/>
      <c r="F14086" s="48" t="str">
        <f>IFERROR(__xludf.DUMMYFUNCTION("""COMPUTED_VALUE"""),"")</f>
        <v/>
      </c>
      <c r="G14086" s="42" t="str">
        <f>IFERROR(__xludf.DUMMYFUNCTION("""COMPUTED_VALUE"""),"")</f>
        <v/>
      </c>
      <c r="H14086" s="42">
        <f t="shared" si="1"/>
        <v>3345</v>
      </c>
    </row>
    <row r="14087" ht="22.5" customHeight="1">
      <c r="B14087" s="42" t="str">
        <f>IFERROR(__xludf.DUMMYFUNCTION("""COMPUTED_VALUE"""),"")</f>
        <v/>
      </c>
      <c r="C14087" s="42" t="str">
        <f>IFERROR(__xludf.DUMMYFUNCTION("""COMPUTED_VALUE"""),"")</f>
        <v/>
      </c>
      <c r="D14087" s="42"/>
      <c r="E14087" s="42"/>
      <c r="F14087" s="48" t="str">
        <f>IFERROR(__xludf.DUMMYFUNCTION("""COMPUTED_VALUE"""),"")</f>
        <v/>
      </c>
      <c r="G14087" s="42" t="str">
        <f>IFERROR(__xludf.DUMMYFUNCTION("""COMPUTED_VALUE"""),"")</f>
        <v/>
      </c>
      <c r="H14087" s="42">
        <f t="shared" si="1"/>
        <v>3345</v>
      </c>
    </row>
    <row r="14088" ht="22.5" customHeight="1">
      <c r="B14088" s="42" t="str">
        <f>IFERROR(__xludf.DUMMYFUNCTION("""COMPUTED_VALUE"""),"")</f>
        <v/>
      </c>
      <c r="C14088" s="42" t="str">
        <f>IFERROR(__xludf.DUMMYFUNCTION("""COMPUTED_VALUE"""),"")</f>
        <v/>
      </c>
      <c r="D14088" s="42"/>
      <c r="E14088" s="42"/>
      <c r="F14088" s="48" t="str">
        <f>IFERROR(__xludf.DUMMYFUNCTION("""COMPUTED_VALUE"""),"")</f>
        <v/>
      </c>
      <c r="G14088" s="42" t="str">
        <f>IFERROR(__xludf.DUMMYFUNCTION("""COMPUTED_VALUE"""),"")</f>
        <v/>
      </c>
      <c r="H14088" s="42">
        <f t="shared" si="1"/>
        <v>3345</v>
      </c>
    </row>
    <row r="14089" ht="22.5" customHeight="1">
      <c r="B14089" s="42" t="str">
        <f>IFERROR(__xludf.DUMMYFUNCTION("""COMPUTED_VALUE"""),"")</f>
        <v/>
      </c>
      <c r="C14089" s="42" t="str">
        <f>IFERROR(__xludf.DUMMYFUNCTION("""COMPUTED_VALUE"""),"")</f>
        <v/>
      </c>
      <c r="D14089" s="42"/>
      <c r="E14089" s="42"/>
      <c r="F14089" s="48" t="str">
        <f>IFERROR(__xludf.DUMMYFUNCTION("""COMPUTED_VALUE"""),"")</f>
        <v/>
      </c>
      <c r="G14089" s="42" t="str">
        <f>IFERROR(__xludf.DUMMYFUNCTION("""COMPUTED_VALUE"""),"")</f>
        <v/>
      </c>
      <c r="H14089" s="42">
        <f t="shared" si="1"/>
        <v>3345</v>
      </c>
    </row>
    <row r="14090" ht="22.5" customHeight="1">
      <c r="B14090" s="42" t="str">
        <f>IFERROR(__xludf.DUMMYFUNCTION("""COMPUTED_VALUE"""),"")</f>
        <v/>
      </c>
      <c r="C14090" s="42" t="str">
        <f>IFERROR(__xludf.DUMMYFUNCTION("""COMPUTED_VALUE"""),"")</f>
        <v/>
      </c>
      <c r="D14090" s="42"/>
      <c r="E14090" s="42"/>
      <c r="F14090" s="48" t="str">
        <f>IFERROR(__xludf.DUMMYFUNCTION("""COMPUTED_VALUE"""),"")</f>
        <v/>
      </c>
      <c r="G14090" s="42" t="str">
        <f>IFERROR(__xludf.DUMMYFUNCTION("""COMPUTED_VALUE"""),"")</f>
        <v/>
      </c>
      <c r="H14090" s="42">
        <f t="shared" si="1"/>
        <v>3345</v>
      </c>
    </row>
    <row r="14091" ht="22.5" customHeight="1">
      <c r="B14091" s="42" t="str">
        <f>IFERROR(__xludf.DUMMYFUNCTION("""COMPUTED_VALUE"""),"")</f>
        <v/>
      </c>
      <c r="C14091" s="42" t="str">
        <f>IFERROR(__xludf.DUMMYFUNCTION("""COMPUTED_VALUE"""),"")</f>
        <v/>
      </c>
      <c r="D14091" s="42"/>
      <c r="E14091" s="42"/>
      <c r="F14091" s="48" t="str">
        <f>IFERROR(__xludf.DUMMYFUNCTION("""COMPUTED_VALUE"""),"")</f>
        <v/>
      </c>
      <c r="G14091" s="42" t="str">
        <f>IFERROR(__xludf.DUMMYFUNCTION("""COMPUTED_VALUE"""),"")</f>
        <v/>
      </c>
      <c r="H14091" s="42">
        <f t="shared" si="1"/>
        <v>3345</v>
      </c>
    </row>
    <row r="14092" ht="22.5" customHeight="1">
      <c r="B14092" s="42" t="str">
        <f>IFERROR(__xludf.DUMMYFUNCTION("""COMPUTED_VALUE"""),"")</f>
        <v/>
      </c>
      <c r="C14092" s="42" t="str">
        <f>IFERROR(__xludf.DUMMYFUNCTION("""COMPUTED_VALUE"""),"")</f>
        <v/>
      </c>
      <c r="D14092" s="42"/>
      <c r="E14092" s="42"/>
      <c r="F14092" s="48" t="str">
        <f>IFERROR(__xludf.DUMMYFUNCTION("""COMPUTED_VALUE"""),"")</f>
        <v/>
      </c>
      <c r="G14092" s="42" t="str">
        <f>IFERROR(__xludf.DUMMYFUNCTION("""COMPUTED_VALUE"""),"")</f>
        <v/>
      </c>
      <c r="H14092" s="42">
        <f t="shared" si="1"/>
        <v>3345</v>
      </c>
    </row>
    <row r="14093" ht="22.5" customHeight="1">
      <c r="B14093" s="42" t="str">
        <f>IFERROR(__xludf.DUMMYFUNCTION("""COMPUTED_VALUE"""),"")</f>
        <v/>
      </c>
      <c r="C14093" s="42" t="str">
        <f>IFERROR(__xludf.DUMMYFUNCTION("""COMPUTED_VALUE"""),"")</f>
        <v/>
      </c>
      <c r="D14093" s="42"/>
      <c r="E14093" s="42"/>
      <c r="F14093" s="48" t="str">
        <f>IFERROR(__xludf.DUMMYFUNCTION("""COMPUTED_VALUE"""),"")</f>
        <v/>
      </c>
      <c r="G14093" s="42" t="str">
        <f>IFERROR(__xludf.DUMMYFUNCTION("""COMPUTED_VALUE"""),"")</f>
        <v/>
      </c>
      <c r="H14093" s="42">
        <f t="shared" si="1"/>
        <v>3345</v>
      </c>
    </row>
    <row r="14094" ht="22.5" customHeight="1">
      <c r="B14094" s="42" t="str">
        <f>IFERROR(__xludf.DUMMYFUNCTION("""COMPUTED_VALUE"""),"")</f>
        <v/>
      </c>
      <c r="C14094" s="42" t="str">
        <f>IFERROR(__xludf.DUMMYFUNCTION("""COMPUTED_VALUE"""),"")</f>
        <v/>
      </c>
      <c r="D14094" s="42"/>
      <c r="E14094" s="42"/>
      <c r="F14094" s="48" t="str">
        <f>IFERROR(__xludf.DUMMYFUNCTION("""COMPUTED_VALUE"""),"")</f>
        <v/>
      </c>
      <c r="G14094" s="42" t="str">
        <f>IFERROR(__xludf.DUMMYFUNCTION("""COMPUTED_VALUE"""),"")</f>
        <v/>
      </c>
      <c r="H14094" s="42">
        <f t="shared" si="1"/>
        <v>3345</v>
      </c>
    </row>
    <row r="14095" ht="22.5" customHeight="1">
      <c r="B14095" s="42" t="str">
        <f>IFERROR(__xludf.DUMMYFUNCTION("""COMPUTED_VALUE"""),"")</f>
        <v/>
      </c>
      <c r="C14095" s="42" t="str">
        <f>IFERROR(__xludf.DUMMYFUNCTION("""COMPUTED_VALUE"""),"")</f>
        <v/>
      </c>
      <c r="D14095" s="42"/>
      <c r="E14095" s="42"/>
      <c r="F14095" s="48" t="str">
        <f>IFERROR(__xludf.DUMMYFUNCTION("""COMPUTED_VALUE"""),"")</f>
        <v/>
      </c>
      <c r="G14095" s="42" t="str">
        <f>IFERROR(__xludf.DUMMYFUNCTION("""COMPUTED_VALUE"""),"")</f>
        <v/>
      </c>
      <c r="H14095" s="42">
        <f t="shared" si="1"/>
        <v>3345</v>
      </c>
    </row>
    <row r="14096" ht="22.5" customHeight="1">
      <c r="B14096" s="42" t="str">
        <f>IFERROR(__xludf.DUMMYFUNCTION("""COMPUTED_VALUE"""),"")</f>
        <v/>
      </c>
      <c r="C14096" s="42" t="str">
        <f>IFERROR(__xludf.DUMMYFUNCTION("""COMPUTED_VALUE"""),"")</f>
        <v/>
      </c>
      <c r="D14096" s="42"/>
      <c r="E14096" s="42"/>
      <c r="F14096" s="48" t="str">
        <f>IFERROR(__xludf.DUMMYFUNCTION("""COMPUTED_VALUE"""),"")</f>
        <v/>
      </c>
      <c r="G14096" s="42" t="str">
        <f>IFERROR(__xludf.DUMMYFUNCTION("""COMPUTED_VALUE"""),"")</f>
        <v/>
      </c>
      <c r="H14096" s="42">
        <f t="shared" si="1"/>
        <v>3345</v>
      </c>
    </row>
    <row r="14097" ht="22.5" customHeight="1">
      <c r="B14097" s="42" t="str">
        <f>IFERROR(__xludf.DUMMYFUNCTION("""COMPUTED_VALUE"""),"")</f>
        <v/>
      </c>
      <c r="C14097" s="42" t="str">
        <f>IFERROR(__xludf.DUMMYFUNCTION("""COMPUTED_VALUE"""),"")</f>
        <v/>
      </c>
      <c r="D14097" s="42"/>
      <c r="E14097" s="42"/>
      <c r="F14097" s="48" t="str">
        <f>IFERROR(__xludf.DUMMYFUNCTION("""COMPUTED_VALUE"""),"")</f>
        <v/>
      </c>
      <c r="G14097" s="42" t="str">
        <f>IFERROR(__xludf.DUMMYFUNCTION("""COMPUTED_VALUE"""),"")</f>
        <v/>
      </c>
      <c r="H14097" s="42">
        <f t="shared" si="1"/>
        <v>3345</v>
      </c>
    </row>
    <row r="14098" ht="22.5" customHeight="1">
      <c r="B14098" s="42" t="str">
        <f>IFERROR(__xludf.DUMMYFUNCTION("""COMPUTED_VALUE"""),"")</f>
        <v/>
      </c>
      <c r="C14098" s="42" t="str">
        <f>IFERROR(__xludf.DUMMYFUNCTION("""COMPUTED_VALUE"""),"")</f>
        <v/>
      </c>
      <c r="D14098" s="42"/>
      <c r="E14098" s="42"/>
      <c r="F14098" s="48" t="str">
        <f>IFERROR(__xludf.DUMMYFUNCTION("""COMPUTED_VALUE"""),"")</f>
        <v/>
      </c>
      <c r="G14098" s="42" t="str">
        <f>IFERROR(__xludf.DUMMYFUNCTION("""COMPUTED_VALUE"""),"")</f>
        <v/>
      </c>
      <c r="H14098" s="42">
        <f t="shared" si="1"/>
        <v>3345</v>
      </c>
    </row>
    <row r="14099" ht="22.5" customHeight="1">
      <c r="B14099" s="42" t="str">
        <f>IFERROR(__xludf.DUMMYFUNCTION("""COMPUTED_VALUE"""),"")</f>
        <v/>
      </c>
      <c r="C14099" s="42" t="str">
        <f>IFERROR(__xludf.DUMMYFUNCTION("""COMPUTED_VALUE"""),"")</f>
        <v/>
      </c>
      <c r="D14099" s="42"/>
      <c r="E14099" s="42"/>
      <c r="F14099" s="48" t="str">
        <f>IFERROR(__xludf.DUMMYFUNCTION("""COMPUTED_VALUE"""),"")</f>
        <v/>
      </c>
      <c r="G14099" s="42" t="str">
        <f>IFERROR(__xludf.DUMMYFUNCTION("""COMPUTED_VALUE"""),"")</f>
        <v/>
      </c>
      <c r="H14099" s="42">
        <f t="shared" si="1"/>
        <v>3345</v>
      </c>
    </row>
    <row r="14100" ht="22.5" customHeight="1">
      <c r="B14100" s="42" t="str">
        <f>IFERROR(__xludf.DUMMYFUNCTION("""COMPUTED_VALUE"""),"")</f>
        <v/>
      </c>
      <c r="C14100" s="42" t="str">
        <f>IFERROR(__xludf.DUMMYFUNCTION("""COMPUTED_VALUE"""),"")</f>
        <v/>
      </c>
      <c r="D14100" s="42"/>
      <c r="E14100" s="42"/>
      <c r="F14100" s="48" t="str">
        <f>IFERROR(__xludf.DUMMYFUNCTION("""COMPUTED_VALUE"""),"")</f>
        <v/>
      </c>
      <c r="G14100" s="42" t="str">
        <f>IFERROR(__xludf.DUMMYFUNCTION("""COMPUTED_VALUE"""),"")</f>
        <v/>
      </c>
      <c r="H14100" s="42">
        <f t="shared" si="1"/>
        <v>3345</v>
      </c>
    </row>
    <row r="14101" ht="22.5" customHeight="1">
      <c r="B14101" s="42" t="str">
        <f>IFERROR(__xludf.DUMMYFUNCTION("""COMPUTED_VALUE"""),"")</f>
        <v/>
      </c>
      <c r="C14101" s="42" t="str">
        <f>IFERROR(__xludf.DUMMYFUNCTION("""COMPUTED_VALUE"""),"")</f>
        <v/>
      </c>
      <c r="D14101" s="42"/>
      <c r="E14101" s="42"/>
      <c r="F14101" s="48" t="str">
        <f>IFERROR(__xludf.DUMMYFUNCTION("""COMPUTED_VALUE"""),"")</f>
        <v/>
      </c>
      <c r="G14101" s="42" t="str">
        <f>IFERROR(__xludf.DUMMYFUNCTION("""COMPUTED_VALUE"""),"")</f>
        <v/>
      </c>
      <c r="H14101" s="42">
        <f t="shared" si="1"/>
        <v>3345</v>
      </c>
    </row>
    <row r="14102" ht="22.5" customHeight="1">
      <c r="B14102" s="42" t="str">
        <f>IFERROR(__xludf.DUMMYFUNCTION("""COMPUTED_VALUE"""),"")</f>
        <v/>
      </c>
      <c r="C14102" s="42" t="str">
        <f>IFERROR(__xludf.DUMMYFUNCTION("""COMPUTED_VALUE"""),"")</f>
        <v/>
      </c>
      <c r="D14102" s="42"/>
      <c r="E14102" s="42"/>
      <c r="F14102" s="48" t="str">
        <f>IFERROR(__xludf.DUMMYFUNCTION("""COMPUTED_VALUE"""),"")</f>
        <v/>
      </c>
      <c r="G14102" s="42" t="str">
        <f>IFERROR(__xludf.DUMMYFUNCTION("""COMPUTED_VALUE"""),"")</f>
        <v/>
      </c>
      <c r="H14102" s="42">
        <f t="shared" si="1"/>
        <v>3345</v>
      </c>
    </row>
    <row r="14103" ht="22.5" customHeight="1">
      <c r="B14103" s="42" t="str">
        <f>IFERROR(__xludf.DUMMYFUNCTION("""COMPUTED_VALUE"""),"")</f>
        <v/>
      </c>
      <c r="C14103" s="42" t="str">
        <f>IFERROR(__xludf.DUMMYFUNCTION("""COMPUTED_VALUE"""),"")</f>
        <v/>
      </c>
      <c r="D14103" s="42"/>
      <c r="E14103" s="42"/>
      <c r="F14103" s="48" t="str">
        <f>IFERROR(__xludf.DUMMYFUNCTION("""COMPUTED_VALUE"""),"")</f>
        <v/>
      </c>
      <c r="G14103" s="42" t="str">
        <f>IFERROR(__xludf.DUMMYFUNCTION("""COMPUTED_VALUE"""),"")</f>
        <v/>
      </c>
      <c r="H14103" s="42">
        <f t="shared" si="1"/>
        <v>3345</v>
      </c>
    </row>
    <row r="14104" ht="22.5" customHeight="1">
      <c r="B14104" s="42" t="str">
        <f>IFERROR(__xludf.DUMMYFUNCTION("""COMPUTED_VALUE"""),"")</f>
        <v/>
      </c>
      <c r="C14104" s="42" t="str">
        <f>IFERROR(__xludf.DUMMYFUNCTION("""COMPUTED_VALUE"""),"")</f>
        <v/>
      </c>
      <c r="D14104" s="42"/>
      <c r="E14104" s="42"/>
      <c r="F14104" s="48" t="str">
        <f>IFERROR(__xludf.DUMMYFUNCTION("""COMPUTED_VALUE"""),"")</f>
        <v/>
      </c>
      <c r="G14104" s="42" t="str">
        <f>IFERROR(__xludf.DUMMYFUNCTION("""COMPUTED_VALUE"""),"")</f>
        <v/>
      </c>
      <c r="H14104" s="42">
        <f t="shared" si="1"/>
        <v>3345</v>
      </c>
    </row>
    <row r="14105" ht="22.5" customHeight="1">
      <c r="B14105" s="42" t="str">
        <f>IFERROR(__xludf.DUMMYFUNCTION("""COMPUTED_VALUE"""),"")</f>
        <v/>
      </c>
      <c r="C14105" s="42" t="str">
        <f>IFERROR(__xludf.DUMMYFUNCTION("""COMPUTED_VALUE"""),"")</f>
        <v/>
      </c>
      <c r="D14105" s="42"/>
      <c r="E14105" s="42"/>
      <c r="F14105" s="48" t="str">
        <f>IFERROR(__xludf.DUMMYFUNCTION("""COMPUTED_VALUE"""),"")</f>
        <v/>
      </c>
      <c r="G14105" s="42" t="str">
        <f>IFERROR(__xludf.DUMMYFUNCTION("""COMPUTED_VALUE"""),"")</f>
        <v/>
      </c>
      <c r="H14105" s="42">
        <f t="shared" si="1"/>
        <v>3345</v>
      </c>
    </row>
    <row r="14106" ht="22.5" customHeight="1">
      <c r="B14106" s="42" t="str">
        <f>IFERROR(__xludf.DUMMYFUNCTION("""COMPUTED_VALUE"""),"")</f>
        <v/>
      </c>
      <c r="C14106" s="42" t="str">
        <f>IFERROR(__xludf.DUMMYFUNCTION("""COMPUTED_VALUE"""),"")</f>
        <v/>
      </c>
      <c r="D14106" s="42"/>
      <c r="E14106" s="42"/>
      <c r="F14106" s="48" t="str">
        <f>IFERROR(__xludf.DUMMYFUNCTION("""COMPUTED_VALUE"""),"")</f>
        <v/>
      </c>
      <c r="G14106" s="42" t="str">
        <f>IFERROR(__xludf.DUMMYFUNCTION("""COMPUTED_VALUE"""),"")</f>
        <v/>
      </c>
      <c r="H14106" s="42">
        <f t="shared" si="1"/>
        <v>3345</v>
      </c>
    </row>
    <row r="14107" ht="22.5" customHeight="1">
      <c r="B14107" s="42" t="str">
        <f>IFERROR(__xludf.DUMMYFUNCTION("""COMPUTED_VALUE"""),"")</f>
        <v/>
      </c>
      <c r="C14107" s="42" t="str">
        <f>IFERROR(__xludf.DUMMYFUNCTION("""COMPUTED_VALUE"""),"")</f>
        <v/>
      </c>
      <c r="D14107" s="42"/>
      <c r="E14107" s="42"/>
      <c r="F14107" s="48" t="str">
        <f>IFERROR(__xludf.DUMMYFUNCTION("""COMPUTED_VALUE"""),"")</f>
        <v/>
      </c>
      <c r="G14107" s="42" t="str">
        <f>IFERROR(__xludf.DUMMYFUNCTION("""COMPUTED_VALUE"""),"")</f>
        <v/>
      </c>
      <c r="H14107" s="42">
        <f t="shared" si="1"/>
        <v>3345</v>
      </c>
    </row>
    <row r="14108" ht="22.5" customHeight="1">
      <c r="B14108" s="42" t="str">
        <f>IFERROR(__xludf.DUMMYFUNCTION("""COMPUTED_VALUE"""),"")</f>
        <v/>
      </c>
      <c r="C14108" s="42" t="str">
        <f>IFERROR(__xludf.DUMMYFUNCTION("""COMPUTED_VALUE"""),"")</f>
        <v/>
      </c>
      <c r="D14108" s="42"/>
      <c r="E14108" s="42"/>
      <c r="F14108" s="48" t="str">
        <f>IFERROR(__xludf.DUMMYFUNCTION("""COMPUTED_VALUE"""),"")</f>
        <v/>
      </c>
      <c r="G14108" s="42" t="str">
        <f>IFERROR(__xludf.DUMMYFUNCTION("""COMPUTED_VALUE"""),"")</f>
        <v/>
      </c>
      <c r="H14108" s="42">
        <f t="shared" si="1"/>
        <v>3345</v>
      </c>
    </row>
    <row r="14109" ht="22.5" customHeight="1">
      <c r="B14109" s="42" t="str">
        <f>IFERROR(__xludf.DUMMYFUNCTION("""COMPUTED_VALUE"""),"")</f>
        <v/>
      </c>
      <c r="C14109" s="42" t="str">
        <f>IFERROR(__xludf.DUMMYFUNCTION("""COMPUTED_VALUE"""),"")</f>
        <v/>
      </c>
      <c r="D14109" s="42"/>
      <c r="E14109" s="42"/>
      <c r="F14109" s="48" t="str">
        <f>IFERROR(__xludf.DUMMYFUNCTION("""COMPUTED_VALUE"""),"")</f>
        <v/>
      </c>
      <c r="G14109" s="42" t="str">
        <f>IFERROR(__xludf.DUMMYFUNCTION("""COMPUTED_VALUE"""),"")</f>
        <v/>
      </c>
      <c r="H14109" s="42">
        <f t="shared" si="1"/>
        <v>3345</v>
      </c>
    </row>
    <row r="14110" ht="22.5" customHeight="1">
      <c r="B14110" s="42" t="str">
        <f>IFERROR(__xludf.DUMMYFUNCTION("""COMPUTED_VALUE"""),"")</f>
        <v/>
      </c>
      <c r="C14110" s="42" t="str">
        <f>IFERROR(__xludf.DUMMYFUNCTION("""COMPUTED_VALUE"""),"")</f>
        <v/>
      </c>
      <c r="D14110" s="42"/>
      <c r="E14110" s="42"/>
      <c r="F14110" s="48" t="str">
        <f>IFERROR(__xludf.DUMMYFUNCTION("""COMPUTED_VALUE"""),"")</f>
        <v/>
      </c>
      <c r="G14110" s="42" t="str">
        <f>IFERROR(__xludf.DUMMYFUNCTION("""COMPUTED_VALUE"""),"")</f>
        <v/>
      </c>
      <c r="H14110" s="42">
        <f t="shared" si="1"/>
        <v>3345</v>
      </c>
    </row>
    <row r="14111" ht="22.5" customHeight="1">
      <c r="B14111" s="42" t="str">
        <f>IFERROR(__xludf.DUMMYFUNCTION("""COMPUTED_VALUE"""),"")</f>
        <v/>
      </c>
      <c r="C14111" s="42" t="str">
        <f>IFERROR(__xludf.DUMMYFUNCTION("""COMPUTED_VALUE"""),"")</f>
        <v/>
      </c>
      <c r="D14111" s="42"/>
      <c r="E14111" s="42"/>
      <c r="F14111" s="48" t="str">
        <f>IFERROR(__xludf.DUMMYFUNCTION("""COMPUTED_VALUE"""),"")</f>
        <v/>
      </c>
      <c r="G14111" s="42" t="str">
        <f>IFERROR(__xludf.DUMMYFUNCTION("""COMPUTED_VALUE"""),"")</f>
        <v/>
      </c>
      <c r="H14111" s="42">
        <f t="shared" si="1"/>
        <v>3345</v>
      </c>
    </row>
    <row r="14112" ht="22.5" customHeight="1">
      <c r="B14112" s="42" t="str">
        <f>IFERROR(__xludf.DUMMYFUNCTION("""COMPUTED_VALUE"""),"")</f>
        <v/>
      </c>
      <c r="C14112" s="42" t="str">
        <f>IFERROR(__xludf.DUMMYFUNCTION("""COMPUTED_VALUE"""),"")</f>
        <v/>
      </c>
      <c r="D14112" s="42"/>
      <c r="E14112" s="42"/>
      <c r="F14112" s="48" t="str">
        <f>IFERROR(__xludf.DUMMYFUNCTION("""COMPUTED_VALUE"""),"")</f>
        <v/>
      </c>
      <c r="G14112" s="42" t="str">
        <f>IFERROR(__xludf.DUMMYFUNCTION("""COMPUTED_VALUE"""),"")</f>
        <v/>
      </c>
      <c r="H14112" s="42">
        <f t="shared" si="1"/>
        <v>3345</v>
      </c>
    </row>
    <row r="14113" ht="22.5" customHeight="1">
      <c r="B14113" s="42" t="str">
        <f>IFERROR(__xludf.DUMMYFUNCTION("""COMPUTED_VALUE"""),"")</f>
        <v/>
      </c>
      <c r="C14113" s="42" t="str">
        <f>IFERROR(__xludf.DUMMYFUNCTION("""COMPUTED_VALUE"""),"")</f>
        <v/>
      </c>
      <c r="D14113" s="42"/>
      <c r="E14113" s="42"/>
      <c r="F14113" s="48" t="str">
        <f>IFERROR(__xludf.DUMMYFUNCTION("""COMPUTED_VALUE"""),"")</f>
        <v/>
      </c>
      <c r="G14113" s="42" t="str">
        <f>IFERROR(__xludf.DUMMYFUNCTION("""COMPUTED_VALUE"""),"")</f>
        <v/>
      </c>
      <c r="H14113" s="42">
        <f t="shared" si="1"/>
        <v>3345</v>
      </c>
    </row>
    <row r="14114" ht="22.5" customHeight="1">
      <c r="B14114" s="42" t="str">
        <f>IFERROR(__xludf.DUMMYFUNCTION("""COMPUTED_VALUE"""),"")</f>
        <v/>
      </c>
      <c r="C14114" s="42" t="str">
        <f>IFERROR(__xludf.DUMMYFUNCTION("""COMPUTED_VALUE"""),"")</f>
        <v/>
      </c>
      <c r="D14114" s="42"/>
      <c r="E14114" s="42"/>
      <c r="F14114" s="48" t="str">
        <f>IFERROR(__xludf.DUMMYFUNCTION("""COMPUTED_VALUE"""),"")</f>
        <v/>
      </c>
      <c r="G14114" s="42" t="str">
        <f>IFERROR(__xludf.DUMMYFUNCTION("""COMPUTED_VALUE"""),"")</f>
        <v/>
      </c>
      <c r="H14114" s="42">
        <f t="shared" si="1"/>
        <v>3345</v>
      </c>
    </row>
    <row r="14115" ht="22.5" customHeight="1">
      <c r="B14115" s="42" t="str">
        <f>IFERROR(__xludf.DUMMYFUNCTION("""COMPUTED_VALUE"""),"")</f>
        <v/>
      </c>
      <c r="C14115" s="42" t="str">
        <f>IFERROR(__xludf.DUMMYFUNCTION("""COMPUTED_VALUE"""),"")</f>
        <v/>
      </c>
      <c r="D14115" s="42"/>
      <c r="E14115" s="42"/>
      <c r="F14115" s="48" t="str">
        <f>IFERROR(__xludf.DUMMYFUNCTION("""COMPUTED_VALUE"""),"")</f>
        <v/>
      </c>
      <c r="G14115" s="42" t="str">
        <f>IFERROR(__xludf.DUMMYFUNCTION("""COMPUTED_VALUE"""),"")</f>
        <v/>
      </c>
      <c r="H14115" s="42">
        <f t="shared" si="1"/>
        <v>3345</v>
      </c>
    </row>
    <row r="14116" ht="22.5" customHeight="1">
      <c r="B14116" s="42" t="str">
        <f>IFERROR(__xludf.DUMMYFUNCTION("""COMPUTED_VALUE"""),"")</f>
        <v/>
      </c>
      <c r="C14116" s="42" t="str">
        <f>IFERROR(__xludf.DUMMYFUNCTION("""COMPUTED_VALUE"""),"")</f>
        <v/>
      </c>
      <c r="D14116" s="42"/>
      <c r="E14116" s="42"/>
      <c r="F14116" s="48" t="str">
        <f>IFERROR(__xludf.DUMMYFUNCTION("""COMPUTED_VALUE"""),"")</f>
        <v/>
      </c>
      <c r="G14116" s="42" t="str">
        <f>IFERROR(__xludf.DUMMYFUNCTION("""COMPUTED_VALUE"""),"")</f>
        <v/>
      </c>
      <c r="H14116" s="42">
        <f t="shared" si="1"/>
        <v>3345</v>
      </c>
    </row>
    <row r="14117" ht="22.5" customHeight="1">
      <c r="B14117" s="42" t="str">
        <f>IFERROR(__xludf.DUMMYFUNCTION("""COMPUTED_VALUE"""),"")</f>
        <v/>
      </c>
      <c r="C14117" s="42" t="str">
        <f>IFERROR(__xludf.DUMMYFUNCTION("""COMPUTED_VALUE"""),"")</f>
        <v/>
      </c>
      <c r="D14117" s="42"/>
      <c r="E14117" s="42"/>
      <c r="F14117" s="48" t="str">
        <f>IFERROR(__xludf.DUMMYFUNCTION("""COMPUTED_VALUE"""),"")</f>
        <v/>
      </c>
      <c r="G14117" s="42" t="str">
        <f>IFERROR(__xludf.DUMMYFUNCTION("""COMPUTED_VALUE"""),"")</f>
        <v/>
      </c>
      <c r="H14117" s="42">
        <f t="shared" si="1"/>
        <v>3345</v>
      </c>
    </row>
    <row r="14118" ht="22.5" customHeight="1">
      <c r="B14118" s="42" t="str">
        <f>IFERROR(__xludf.DUMMYFUNCTION("""COMPUTED_VALUE"""),"")</f>
        <v/>
      </c>
      <c r="C14118" s="42" t="str">
        <f>IFERROR(__xludf.DUMMYFUNCTION("""COMPUTED_VALUE"""),"")</f>
        <v/>
      </c>
      <c r="D14118" s="42"/>
      <c r="E14118" s="42"/>
      <c r="F14118" s="48" t="str">
        <f>IFERROR(__xludf.DUMMYFUNCTION("""COMPUTED_VALUE"""),"")</f>
        <v/>
      </c>
      <c r="G14118" s="42" t="str">
        <f>IFERROR(__xludf.DUMMYFUNCTION("""COMPUTED_VALUE"""),"")</f>
        <v/>
      </c>
      <c r="H14118" s="42">
        <f t="shared" si="1"/>
        <v>3345</v>
      </c>
    </row>
    <row r="14119" ht="22.5" customHeight="1">
      <c r="B14119" s="42" t="str">
        <f>IFERROR(__xludf.DUMMYFUNCTION("""COMPUTED_VALUE"""),"")</f>
        <v/>
      </c>
      <c r="C14119" s="42" t="str">
        <f>IFERROR(__xludf.DUMMYFUNCTION("""COMPUTED_VALUE"""),"")</f>
        <v/>
      </c>
      <c r="D14119" s="42"/>
      <c r="E14119" s="42"/>
      <c r="F14119" s="48" t="str">
        <f>IFERROR(__xludf.DUMMYFUNCTION("""COMPUTED_VALUE"""),"")</f>
        <v/>
      </c>
      <c r="G14119" s="42" t="str">
        <f>IFERROR(__xludf.DUMMYFUNCTION("""COMPUTED_VALUE"""),"")</f>
        <v/>
      </c>
      <c r="H14119" s="42">
        <f t="shared" si="1"/>
        <v>3345</v>
      </c>
    </row>
    <row r="14120" ht="22.5" customHeight="1">
      <c r="B14120" s="42" t="str">
        <f>IFERROR(__xludf.DUMMYFUNCTION("""COMPUTED_VALUE"""),"")</f>
        <v/>
      </c>
      <c r="C14120" s="42" t="str">
        <f>IFERROR(__xludf.DUMMYFUNCTION("""COMPUTED_VALUE"""),"")</f>
        <v/>
      </c>
      <c r="D14120" s="42"/>
      <c r="E14120" s="42"/>
      <c r="F14120" s="48" t="str">
        <f>IFERROR(__xludf.DUMMYFUNCTION("""COMPUTED_VALUE"""),"")</f>
        <v/>
      </c>
      <c r="G14120" s="42" t="str">
        <f>IFERROR(__xludf.DUMMYFUNCTION("""COMPUTED_VALUE"""),"")</f>
        <v/>
      </c>
      <c r="H14120" s="42">
        <f t="shared" si="1"/>
        <v>3345</v>
      </c>
    </row>
    <row r="14121" ht="22.5" customHeight="1">
      <c r="B14121" s="42" t="str">
        <f>IFERROR(__xludf.DUMMYFUNCTION("""COMPUTED_VALUE"""),"")</f>
        <v/>
      </c>
      <c r="C14121" s="42" t="str">
        <f>IFERROR(__xludf.DUMMYFUNCTION("""COMPUTED_VALUE"""),"")</f>
        <v/>
      </c>
      <c r="D14121" s="42"/>
      <c r="E14121" s="42"/>
      <c r="F14121" s="48" t="str">
        <f>IFERROR(__xludf.DUMMYFUNCTION("""COMPUTED_VALUE"""),"")</f>
        <v/>
      </c>
      <c r="G14121" s="42" t="str">
        <f>IFERROR(__xludf.DUMMYFUNCTION("""COMPUTED_VALUE"""),"")</f>
        <v/>
      </c>
      <c r="H14121" s="42">
        <f t="shared" si="1"/>
        <v>3345</v>
      </c>
    </row>
    <row r="14122" ht="22.5" customHeight="1">
      <c r="B14122" s="42" t="str">
        <f>IFERROR(__xludf.DUMMYFUNCTION("""COMPUTED_VALUE"""),"")</f>
        <v/>
      </c>
      <c r="C14122" s="42" t="str">
        <f>IFERROR(__xludf.DUMMYFUNCTION("""COMPUTED_VALUE"""),"")</f>
        <v/>
      </c>
      <c r="D14122" s="42"/>
      <c r="E14122" s="42"/>
      <c r="F14122" s="48" t="str">
        <f>IFERROR(__xludf.DUMMYFUNCTION("""COMPUTED_VALUE"""),"")</f>
        <v/>
      </c>
      <c r="G14122" s="42" t="str">
        <f>IFERROR(__xludf.DUMMYFUNCTION("""COMPUTED_VALUE"""),"")</f>
        <v/>
      </c>
      <c r="H14122" s="42">
        <f t="shared" si="1"/>
        <v>3345</v>
      </c>
    </row>
    <row r="14123" ht="22.5" customHeight="1">
      <c r="B14123" s="42" t="str">
        <f>IFERROR(__xludf.DUMMYFUNCTION("""COMPUTED_VALUE"""),"")</f>
        <v/>
      </c>
      <c r="C14123" s="42" t="str">
        <f>IFERROR(__xludf.DUMMYFUNCTION("""COMPUTED_VALUE"""),"")</f>
        <v/>
      </c>
      <c r="D14123" s="42"/>
      <c r="E14123" s="42"/>
      <c r="F14123" s="48" t="str">
        <f>IFERROR(__xludf.DUMMYFUNCTION("""COMPUTED_VALUE"""),"")</f>
        <v/>
      </c>
      <c r="G14123" s="42" t="str">
        <f>IFERROR(__xludf.DUMMYFUNCTION("""COMPUTED_VALUE"""),"")</f>
        <v/>
      </c>
      <c r="H14123" s="42">
        <f t="shared" si="1"/>
        <v>3345</v>
      </c>
    </row>
    <row r="14124" ht="22.5" customHeight="1">
      <c r="B14124" s="42" t="str">
        <f>IFERROR(__xludf.DUMMYFUNCTION("""COMPUTED_VALUE"""),"")</f>
        <v/>
      </c>
      <c r="C14124" s="42" t="str">
        <f>IFERROR(__xludf.DUMMYFUNCTION("""COMPUTED_VALUE"""),"")</f>
        <v/>
      </c>
      <c r="D14124" s="42"/>
      <c r="E14124" s="42"/>
      <c r="F14124" s="48" t="str">
        <f>IFERROR(__xludf.DUMMYFUNCTION("""COMPUTED_VALUE"""),"")</f>
        <v/>
      </c>
      <c r="G14124" s="42" t="str">
        <f>IFERROR(__xludf.DUMMYFUNCTION("""COMPUTED_VALUE"""),"")</f>
        <v/>
      </c>
      <c r="H14124" s="42">
        <f t="shared" si="1"/>
        <v>3345</v>
      </c>
    </row>
    <row r="14125" ht="22.5" customHeight="1">
      <c r="B14125" s="42" t="str">
        <f>IFERROR(__xludf.DUMMYFUNCTION("""COMPUTED_VALUE"""),"")</f>
        <v/>
      </c>
      <c r="C14125" s="42" t="str">
        <f>IFERROR(__xludf.DUMMYFUNCTION("""COMPUTED_VALUE"""),"")</f>
        <v/>
      </c>
      <c r="D14125" s="42"/>
      <c r="E14125" s="42"/>
      <c r="F14125" s="48" t="str">
        <f>IFERROR(__xludf.DUMMYFUNCTION("""COMPUTED_VALUE"""),"")</f>
        <v/>
      </c>
      <c r="G14125" s="42" t="str">
        <f>IFERROR(__xludf.DUMMYFUNCTION("""COMPUTED_VALUE"""),"")</f>
        <v/>
      </c>
      <c r="H14125" s="42">
        <f t="shared" si="1"/>
        <v>3345</v>
      </c>
    </row>
    <row r="14126" ht="22.5" customHeight="1">
      <c r="B14126" s="42" t="str">
        <f>IFERROR(__xludf.DUMMYFUNCTION("""COMPUTED_VALUE"""),"")</f>
        <v/>
      </c>
      <c r="C14126" s="42" t="str">
        <f>IFERROR(__xludf.DUMMYFUNCTION("""COMPUTED_VALUE"""),"")</f>
        <v/>
      </c>
      <c r="D14126" s="42"/>
      <c r="E14126" s="42"/>
      <c r="F14126" s="48" t="str">
        <f>IFERROR(__xludf.DUMMYFUNCTION("""COMPUTED_VALUE"""),"")</f>
        <v/>
      </c>
      <c r="G14126" s="42" t="str">
        <f>IFERROR(__xludf.DUMMYFUNCTION("""COMPUTED_VALUE"""),"")</f>
        <v/>
      </c>
      <c r="H14126" s="42">
        <f t="shared" si="1"/>
        <v>3345</v>
      </c>
    </row>
    <row r="14127" ht="22.5" customHeight="1">
      <c r="B14127" s="42" t="str">
        <f>IFERROR(__xludf.DUMMYFUNCTION("""COMPUTED_VALUE"""),"")</f>
        <v/>
      </c>
      <c r="C14127" s="42" t="str">
        <f>IFERROR(__xludf.DUMMYFUNCTION("""COMPUTED_VALUE"""),"")</f>
        <v/>
      </c>
      <c r="D14127" s="42"/>
      <c r="E14127" s="42"/>
      <c r="F14127" s="48" t="str">
        <f>IFERROR(__xludf.DUMMYFUNCTION("""COMPUTED_VALUE"""),"")</f>
        <v/>
      </c>
      <c r="G14127" s="42" t="str">
        <f>IFERROR(__xludf.DUMMYFUNCTION("""COMPUTED_VALUE"""),"")</f>
        <v/>
      </c>
      <c r="H14127" s="42">
        <f t="shared" si="1"/>
        <v>3345</v>
      </c>
    </row>
    <row r="14128" ht="22.5" customHeight="1">
      <c r="B14128" s="42" t="str">
        <f>IFERROR(__xludf.DUMMYFUNCTION("""COMPUTED_VALUE"""),"")</f>
        <v/>
      </c>
      <c r="C14128" s="42" t="str">
        <f>IFERROR(__xludf.DUMMYFUNCTION("""COMPUTED_VALUE"""),"")</f>
        <v/>
      </c>
      <c r="D14128" s="42"/>
      <c r="E14128" s="42"/>
      <c r="F14128" s="48" t="str">
        <f>IFERROR(__xludf.DUMMYFUNCTION("""COMPUTED_VALUE"""),"")</f>
        <v/>
      </c>
      <c r="G14128" s="42" t="str">
        <f>IFERROR(__xludf.DUMMYFUNCTION("""COMPUTED_VALUE"""),"")</f>
        <v/>
      </c>
      <c r="H14128" s="42">
        <f t="shared" si="1"/>
        <v>3345</v>
      </c>
    </row>
    <row r="14129" ht="22.5" customHeight="1">
      <c r="B14129" s="42" t="str">
        <f>IFERROR(__xludf.DUMMYFUNCTION("""COMPUTED_VALUE"""),"")</f>
        <v/>
      </c>
      <c r="C14129" s="42" t="str">
        <f>IFERROR(__xludf.DUMMYFUNCTION("""COMPUTED_VALUE"""),"")</f>
        <v/>
      </c>
      <c r="D14129" s="42"/>
      <c r="E14129" s="42"/>
      <c r="F14129" s="48" t="str">
        <f>IFERROR(__xludf.DUMMYFUNCTION("""COMPUTED_VALUE"""),"")</f>
        <v/>
      </c>
      <c r="G14129" s="42" t="str">
        <f>IFERROR(__xludf.DUMMYFUNCTION("""COMPUTED_VALUE"""),"")</f>
        <v/>
      </c>
      <c r="H14129" s="42">
        <f t="shared" si="1"/>
        <v>3345</v>
      </c>
    </row>
    <row r="14130" ht="22.5" customHeight="1">
      <c r="B14130" s="42" t="str">
        <f>IFERROR(__xludf.DUMMYFUNCTION("""COMPUTED_VALUE"""),"")</f>
        <v/>
      </c>
      <c r="C14130" s="42" t="str">
        <f>IFERROR(__xludf.DUMMYFUNCTION("""COMPUTED_VALUE"""),"")</f>
        <v/>
      </c>
      <c r="D14130" s="42"/>
      <c r="E14130" s="42"/>
      <c r="F14130" s="48" t="str">
        <f>IFERROR(__xludf.DUMMYFUNCTION("""COMPUTED_VALUE"""),"")</f>
        <v/>
      </c>
      <c r="G14130" s="42" t="str">
        <f>IFERROR(__xludf.DUMMYFUNCTION("""COMPUTED_VALUE"""),"")</f>
        <v/>
      </c>
      <c r="H14130" s="42">
        <f t="shared" si="1"/>
        <v>3345</v>
      </c>
    </row>
    <row r="14131" ht="22.5" customHeight="1">
      <c r="B14131" s="42" t="str">
        <f>IFERROR(__xludf.DUMMYFUNCTION("""COMPUTED_VALUE"""),"")</f>
        <v/>
      </c>
      <c r="C14131" s="42" t="str">
        <f>IFERROR(__xludf.DUMMYFUNCTION("""COMPUTED_VALUE"""),"")</f>
        <v/>
      </c>
      <c r="D14131" s="42"/>
      <c r="E14131" s="42"/>
      <c r="F14131" s="48" t="str">
        <f>IFERROR(__xludf.DUMMYFUNCTION("""COMPUTED_VALUE"""),"")</f>
        <v/>
      </c>
      <c r="G14131" s="42" t="str">
        <f>IFERROR(__xludf.DUMMYFUNCTION("""COMPUTED_VALUE"""),"")</f>
        <v/>
      </c>
      <c r="H14131" s="42">
        <f t="shared" si="1"/>
        <v>3345</v>
      </c>
    </row>
    <row r="14132" ht="22.5" customHeight="1">
      <c r="B14132" s="42" t="str">
        <f>IFERROR(__xludf.DUMMYFUNCTION("""COMPUTED_VALUE"""),"")</f>
        <v/>
      </c>
      <c r="C14132" s="42" t="str">
        <f>IFERROR(__xludf.DUMMYFUNCTION("""COMPUTED_VALUE"""),"")</f>
        <v/>
      </c>
      <c r="D14132" s="42"/>
      <c r="E14132" s="42"/>
      <c r="F14132" s="48" t="str">
        <f>IFERROR(__xludf.DUMMYFUNCTION("""COMPUTED_VALUE"""),"")</f>
        <v/>
      </c>
      <c r="G14132" s="42" t="str">
        <f>IFERROR(__xludf.DUMMYFUNCTION("""COMPUTED_VALUE"""),"")</f>
        <v/>
      </c>
      <c r="H14132" s="42">
        <f t="shared" si="1"/>
        <v>3345</v>
      </c>
    </row>
    <row r="14133" ht="22.5" customHeight="1">
      <c r="B14133" s="42" t="str">
        <f>IFERROR(__xludf.DUMMYFUNCTION("""COMPUTED_VALUE"""),"")</f>
        <v/>
      </c>
      <c r="C14133" s="42" t="str">
        <f>IFERROR(__xludf.DUMMYFUNCTION("""COMPUTED_VALUE"""),"")</f>
        <v/>
      </c>
      <c r="D14133" s="42"/>
      <c r="E14133" s="42"/>
      <c r="F14133" s="48" t="str">
        <f>IFERROR(__xludf.DUMMYFUNCTION("""COMPUTED_VALUE"""),"")</f>
        <v/>
      </c>
      <c r="G14133" s="42" t="str">
        <f>IFERROR(__xludf.DUMMYFUNCTION("""COMPUTED_VALUE"""),"")</f>
        <v/>
      </c>
      <c r="H14133" s="42">
        <f t="shared" si="1"/>
        <v>3345</v>
      </c>
    </row>
    <row r="14134" ht="22.5" customHeight="1">
      <c r="B14134" s="42" t="str">
        <f>IFERROR(__xludf.DUMMYFUNCTION("""COMPUTED_VALUE"""),"")</f>
        <v/>
      </c>
      <c r="C14134" s="42" t="str">
        <f>IFERROR(__xludf.DUMMYFUNCTION("""COMPUTED_VALUE"""),"")</f>
        <v/>
      </c>
      <c r="D14134" s="42"/>
      <c r="E14134" s="42"/>
      <c r="F14134" s="48" t="str">
        <f>IFERROR(__xludf.DUMMYFUNCTION("""COMPUTED_VALUE"""),"")</f>
        <v/>
      </c>
      <c r="G14134" s="42" t="str">
        <f>IFERROR(__xludf.DUMMYFUNCTION("""COMPUTED_VALUE"""),"")</f>
        <v/>
      </c>
      <c r="H14134" s="42">
        <f t="shared" si="1"/>
        <v>3345</v>
      </c>
    </row>
    <row r="14135" ht="22.5" customHeight="1">
      <c r="B14135" s="42" t="str">
        <f>IFERROR(__xludf.DUMMYFUNCTION("""COMPUTED_VALUE"""),"")</f>
        <v/>
      </c>
      <c r="C14135" s="42" t="str">
        <f>IFERROR(__xludf.DUMMYFUNCTION("""COMPUTED_VALUE"""),"")</f>
        <v/>
      </c>
      <c r="D14135" s="42"/>
      <c r="E14135" s="42"/>
      <c r="F14135" s="48" t="str">
        <f>IFERROR(__xludf.DUMMYFUNCTION("""COMPUTED_VALUE"""),"")</f>
        <v/>
      </c>
      <c r="G14135" s="42" t="str">
        <f>IFERROR(__xludf.DUMMYFUNCTION("""COMPUTED_VALUE"""),"")</f>
        <v/>
      </c>
      <c r="H14135" s="42">
        <f t="shared" si="1"/>
        <v>3345</v>
      </c>
    </row>
    <row r="14136" ht="22.5" customHeight="1">
      <c r="B14136" s="42" t="str">
        <f>IFERROR(__xludf.DUMMYFUNCTION("""COMPUTED_VALUE"""),"")</f>
        <v/>
      </c>
      <c r="C14136" s="42" t="str">
        <f>IFERROR(__xludf.DUMMYFUNCTION("""COMPUTED_VALUE"""),"")</f>
        <v/>
      </c>
      <c r="D14136" s="42"/>
      <c r="E14136" s="42"/>
      <c r="F14136" s="48" t="str">
        <f>IFERROR(__xludf.DUMMYFUNCTION("""COMPUTED_VALUE"""),"")</f>
        <v/>
      </c>
      <c r="G14136" s="42" t="str">
        <f>IFERROR(__xludf.DUMMYFUNCTION("""COMPUTED_VALUE"""),"")</f>
        <v/>
      </c>
      <c r="H14136" s="42">
        <f t="shared" si="1"/>
        <v>3345</v>
      </c>
    </row>
    <row r="14137" ht="22.5" customHeight="1">
      <c r="B14137" s="42" t="str">
        <f>IFERROR(__xludf.DUMMYFUNCTION("""COMPUTED_VALUE"""),"")</f>
        <v/>
      </c>
      <c r="C14137" s="42" t="str">
        <f>IFERROR(__xludf.DUMMYFUNCTION("""COMPUTED_VALUE"""),"")</f>
        <v/>
      </c>
      <c r="D14137" s="42"/>
      <c r="E14137" s="42"/>
      <c r="F14137" s="48" t="str">
        <f>IFERROR(__xludf.DUMMYFUNCTION("""COMPUTED_VALUE"""),"")</f>
        <v/>
      </c>
      <c r="G14137" s="42" t="str">
        <f>IFERROR(__xludf.DUMMYFUNCTION("""COMPUTED_VALUE"""),"")</f>
        <v/>
      </c>
      <c r="H14137" s="42">
        <f t="shared" si="1"/>
        <v>3345</v>
      </c>
    </row>
    <row r="14138" ht="22.5" customHeight="1">
      <c r="B14138" s="42" t="str">
        <f>IFERROR(__xludf.DUMMYFUNCTION("""COMPUTED_VALUE"""),"")</f>
        <v/>
      </c>
      <c r="C14138" s="42" t="str">
        <f>IFERROR(__xludf.DUMMYFUNCTION("""COMPUTED_VALUE"""),"")</f>
        <v/>
      </c>
      <c r="D14138" s="42"/>
      <c r="E14138" s="42"/>
      <c r="F14138" s="48" t="str">
        <f>IFERROR(__xludf.DUMMYFUNCTION("""COMPUTED_VALUE"""),"")</f>
        <v/>
      </c>
      <c r="G14138" s="42" t="str">
        <f>IFERROR(__xludf.DUMMYFUNCTION("""COMPUTED_VALUE"""),"")</f>
        <v/>
      </c>
      <c r="H14138" s="42">
        <f t="shared" si="1"/>
        <v>3345</v>
      </c>
    </row>
    <row r="14139" ht="22.5" customHeight="1">
      <c r="B14139" s="42" t="str">
        <f>IFERROR(__xludf.DUMMYFUNCTION("""COMPUTED_VALUE"""),"")</f>
        <v/>
      </c>
      <c r="C14139" s="42" t="str">
        <f>IFERROR(__xludf.DUMMYFUNCTION("""COMPUTED_VALUE"""),"")</f>
        <v/>
      </c>
      <c r="D14139" s="42"/>
      <c r="E14139" s="42"/>
      <c r="F14139" s="48" t="str">
        <f>IFERROR(__xludf.DUMMYFUNCTION("""COMPUTED_VALUE"""),"")</f>
        <v/>
      </c>
      <c r="G14139" s="42" t="str">
        <f>IFERROR(__xludf.DUMMYFUNCTION("""COMPUTED_VALUE"""),"")</f>
        <v/>
      </c>
      <c r="H14139" s="42">
        <f t="shared" si="1"/>
        <v>3345</v>
      </c>
    </row>
    <row r="14140" ht="22.5" customHeight="1">
      <c r="B14140" s="42" t="str">
        <f>IFERROR(__xludf.DUMMYFUNCTION("""COMPUTED_VALUE"""),"")</f>
        <v/>
      </c>
      <c r="C14140" s="42" t="str">
        <f>IFERROR(__xludf.DUMMYFUNCTION("""COMPUTED_VALUE"""),"")</f>
        <v/>
      </c>
      <c r="D14140" s="42"/>
      <c r="E14140" s="42"/>
      <c r="F14140" s="48" t="str">
        <f>IFERROR(__xludf.DUMMYFUNCTION("""COMPUTED_VALUE"""),"")</f>
        <v/>
      </c>
      <c r="G14140" s="42" t="str">
        <f>IFERROR(__xludf.DUMMYFUNCTION("""COMPUTED_VALUE"""),"")</f>
        <v/>
      </c>
      <c r="H14140" s="42">
        <f t="shared" si="1"/>
        <v>3345</v>
      </c>
    </row>
    <row r="14141" ht="22.5" customHeight="1">
      <c r="B14141" s="42" t="str">
        <f>IFERROR(__xludf.DUMMYFUNCTION("""COMPUTED_VALUE"""),"")</f>
        <v/>
      </c>
      <c r="C14141" s="42" t="str">
        <f>IFERROR(__xludf.DUMMYFUNCTION("""COMPUTED_VALUE"""),"")</f>
        <v/>
      </c>
      <c r="D14141" s="42"/>
      <c r="E14141" s="42"/>
      <c r="F14141" s="48" t="str">
        <f>IFERROR(__xludf.DUMMYFUNCTION("""COMPUTED_VALUE"""),"")</f>
        <v/>
      </c>
      <c r="G14141" s="42" t="str">
        <f>IFERROR(__xludf.DUMMYFUNCTION("""COMPUTED_VALUE"""),"")</f>
        <v/>
      </c>
      <c r="H14141" s="42">
        <f t="shared" si="1"/>
        <v>3345</v>
      </c>
    </row>
    <row r="14142" ht="22.5" customHeight="1">
      <c r="B14142" s="42" t="str">
        <f>IFERROR(__xludf.DUMMYFUNCTION("""COMPUTED_VALUE"""),"")</f>
        <v/>
      </c>
      <c r="C14142" s="42" t="str">
        <f>IFERROR(__xludf.DUMMYFUNCTION("""COMPUTED_VALUE"""),"")</f>
        <v/>
      </c>
      <c r="D14142" s="42"/>
      <c r="E14142" s="42"/>
      <c r="F14142" s="48" t="str">
        <f>IFERROR(__xludf.DUMMYFUNCTION("""COMPUTED_VALUE"""),"")</f>
        <v/>
      </c>
      <c r="G14142" s="42" t="str">
        <f>IFERROR(__xludf.DUMMYFUNCTION("""COMPUTED_VALUE"""),"")</f>
        <v/>
      </c>
      <c r="H14142" s="42">
        <f t="shared" si="1"/>
        <v>3345</v>
      </c>
    </row>
    <row r="14143" ht="22.5" customHeight="1">
      <c r="B14143" s="42" t="str">
        <f>IFERROR(__xludf.DUMMYFUNCTION("""COMPUTED_VALUE"""),"")</f>
        <v/>
      </c>
      <c r="C14143" s="42" t="str">
        <f>IFERROR(__xludf.DUMMYFUNCTION("""COMPUTED_VALUE"""),"")</f>
        <v/>
      </c>
      <c r="D14143" s="42"/>
      <c r="E14143" s="42"/>
      <c r="F14143" s="48" t="str">
        <f>IFERROR(__xludf.DUMMYFUNCTION("""COMPUTED_VALUE"""),"")</f>
        <v/>
      </c>
      <c r="G14143" s="42" t="str">
        <f>IFERROR(__xludf.DUMMYFUNCTION("""COMPUTED_VALUE"""),"")</f>
        <v/>
      </c>
      <c r="H14143" s="42">
        <f t="shared" si="1"/>
        <v>3345</v>
      </c>
    </row>
    <row r="14144" ht="22.5" customHeight="1">
      <c r="B14144" s="42" t="str">
        <f>IFERROR(__xludf.DUMMYFUNCTION("""COMPUTED_VALUE"""),"")</f>
        <v/>
      </c>
      <c r="C14144" s="42" t="str">
        <f>IFERROR(__xludf.DUMMYFUNCTION("""COMPUTED_VALUE"""),"")</f>
        <v/>
      </c>
      <c r="D14144" s="42"/>
      <c r="E14144" s="42"/>
      <c r="F14144" s="48" t="str">
        <f>IFERROR(__xludf.DUMMYFUNCTION("""COMPUTED_VALUE"""),"")</f>
        <v/>
      </c>
      <c r="G14144" s="42" t="str">
        <f>IFERROR(__xludf.DUMMYFUNCTION("""COMPUTED_VALUE"""),"")</f>
        <v/>
      </c>
      <c r="H14144" s="42">
        <f t="shared" si="1"/>
        <v>3345</v>
      </c>
    </row>
    <row r="14145" ht="22.5" customHeight="1">
      <c r="B14145" s="42" t="str">
        <f>IFERROR(__xludf.DUMMYFUNCTION("""COMPUTED_VALUE"""),"")</f>
        <v/>
      </c>
      <c r="C14145" s="42" t="str">
        <f>IFERROR(__xludf.DUMMYFUNCTION("""COMPUTED_VALUE"""),"")</f>
        <v/>
      </c>
      <c r="D14145" s="42"/>
      <c r="E14145" s="42"/>
      <c r="F14145" s="48" t="str">
        <f>IFERROR(__xludf.DUMMYFUNCTION("""COMPUTED_VALUE"""),"")</f>
        <v/>
      </c>
      <c r="G14145" s="42" t="str">
        <f>IFERROR(__xludf.DUMMYFUNCTION("""COMPUTED_VALUE"""),"")</f>
        <v/>
      </c>
      <c r="H14145" s="42">
        <f t="shared" si="1"/>
        <v>3345</v>
      </c>
    </row>
    <row r="14146" ht="22.5" customHeight="1">
      <c r="B14146" s="42" t="str">
        <f>IFERROR(__xludf.DUMMYFUNCTION("""COMPUTED_VALUE"""),"")</f>
        <v/>
      </c>
      <c r="C14146" s="42" t="str">
        <f>IFERROR(__xludf.DUMMYFUNCTION("""COMPUTED_VALUE"""),"")</f>
        <v/>
      </c>
      <c r="D14146" s="42"/>
      <c r="E14146" s="42"/>
      <c r="F14146" s="48" t="str">
        <f>IFERROR(__xludf.DUMMYFUNCTION("""COMPUTED_VALUE"""),"")</f>
        <v/>
      </c>
      <c r="G14146" s="42" t="str">
        <f>IFERROR(__xludf.DUMMYFUNCTION("""COMPUTED_VALUE"""),"")</f>
        <v/>
      </c>
      <c r="H14146" s="42">
        <f t="shared" si="1"/>
        <v>3345</v>
      </c>
    </row>
    <row r="14147" ht="22.5" customHeight="1">
      <c r="B14147" s="42" t="str">
        <f>IFERROR(__xludf.DUMMYFUNCTION("""COMPUTED_VALUE"""),"")</f>
        <v/>
      </c>
      <c r="C14147" s="42" t="str">
        <f>IFERROR(__xludf.DUMMYFUNCTION("""COMPUTED_VALUE"""),"")</f>
        <v/>
      </c>
      <c r="D14147" s="42"/>
      <c r="E14147" s="42"/>
      <c r="F14147" s="48" t="str">
        <f>IFERROR(__xludf.DUMMYFUNCTION("""COMPUTED_VALUE"""),"")</f>
        <v/>
      </c>
      <c r="G14147" s="42" t="str">
        <f>IFERROR(__xludf.DUMMYFUNCTION("""COMPUTED_VALUE"""),"")</f>
        <v/>
      </c>
      <c r="H14147" s="42">
        <f t="shared" si="1"/>
        <v>3345</v>
      </c>
    </row>
    <row r="14148" ht="22.5" customHeight="1">
      <c r="B14148" s="42" t="str">
        <f>IFERROR(__xludf.DUMMYFUNCTION("""COMPUTED_VALUE"""),"")</f>
        <v/>
      </c>
      <c r="C14148" s="42" t="str">
        <f>IFERROR(__xludf.DUMMYFUNCTION("""COMPUTED_VALUE"""),"")</f>
        <v/>
      </c>
      <c r="D14148" s="42"/>
      <c r="E14148" s="42"/>
      <c r="F14148" s="48" t="str">
        <f>IFERROR(__xludf.DUMMYFUNCTION("""COMPUTED_VALUE"""),"")</f>
        <v/>
      </c>
      <c r="G14148" s="42" t="str">
        <f>IFERROR(__xludf.DUMMYFUNCTION("""COMPUTED_VALUE"""),"")</f>
        <v/>
      </c>
      <c r="H14148" s="42">
        <f t="shared" si="1"/>
        <v>3345</v>
      </c>
    </row>
    <row r="14149" ht="22.5" customHeight="1">
      <c r="B14149" s="42" t="str">
        <f>IFERROR(__xludf.DUMMYFUNCTION("""COMPUTED_VALUE"""),"")</f>
        <v/>
      </c>
      <c r="C14149" s="42" t="str">
        <f>IFERROR(__xludf.DUMMYFUNCTION("""COMPUTED_VALUE"""),"")</f>
        <v/>
      </c>
      <c r="D14149" s="42"/>
      <c r="E14149" s="42"/>
      <c r="F14149" s="48" t="str">
        <f>IFERROR(__xludf.DUMMYFUNCTION("""COMPUTED_VALUE"""),"")</f>
        <v/>
      </c>
      <c r="G14149" s="42" t="str">
        <f>IFERROR(__xludf.DUMMYFUNCTION("""COMPUTED_VALUE"""),"")</f>
        <v/>
      </c>
      <c r="H14149" s="42">
        <f t="shared" si="1"/>
        <v>3345</v>
      </c>
    </row>
    <row r="14150" ht="22.5" customHeight="1">
      <c r="B14150" s="42" t="str">
        <f>IFERROR(__xludf.DUMMYFUNCTION("""COMPUTED_VALUE"""),"")</f>
        <v/>
      </c>
      <c r="C14150" s="42" t="str">
        <f>IFERROR(__xludf.DUMMYFUNCTION("""COMPUTED_VALUE"""),"")</f>
        <v/>
      </c>
      <c r="D14150" s="42"/>
      <c r="E14150" s="42"/>
      <c r="F14150" s="48" t="str">
        <f>IFERROR(__xludf.DUMMYFUNCTION("""COMPUTED_VALUE"""),"")</f>
        <v/>
      </c>
      <c r="G14150" s="42" t="str">
        <f>IFERROR(__xludf.DUMMYFUNCTION("""COMPUTED_VALUE"""),"")</f>
        <v/>
      </c>
      <c r="H14150" s="42">
        <f t="shared" si="1"/>
        <v>3345</v>
      </c>
    </row>
    <row r="14151" ht="22.5" customHeight="1">
      <c r="B14151" s="42" t="str">
        <f>IFERROR(__xludf.DUMMYFUNCTION("""COMPUTED_VALUE"""),"")</f>
        <v/>
      </c>
      <c r="C14151" s="42" t="str">
        <f>IFERROR(__xludf.DUMMYFUNCTION("""COMPUTED_VALUE"""),"")</f>
        <v/>
      </c>
      <c r="D14151" s="42"/>
      <c r="E14151" s="42"/>
      <c r="F14151" s="48" t="str">
        <f>IFERROR(__xludf.DUMMYFUNCTION("""COMPUTED_VALUE"""),"")</f>
        <v/>
      </c>
      <c r="G14151" s="42" t="str">
        <f>IFERROR(__xludf.DUMMYFUNCTION("""COMPUTED_VALUE"""),"")</f>
        <v/>
      </c>
      <c r="H14151" s="42">
        <f t="shared" si="1"/>
        <v>3345</v>
      </c>
    </row>
    <row r="14152" ht="22.5" customHeight="1">
      <c r="B14152" s="42" t="str">
        <f>IFERROR(__xludf.DUMMYFUNCTION("""COMPUTED_VALUE"""),"")</f>
        <v/>
      </c>
      <c r="C14152" s="42" t="str">
        <f>IFERROR(__xludf.DUMMYFUNCTION("""COMPUTED_VALUE"""),"")</f>
        <v/>
      </c>
      <c r="D14152" s="42"/>
      <c r="E14152" s="42"/>
      <c r="F14152" s="48" t="str">
        <f>IFERROR(__xludf.DUMMYFUNCTION("""COMPUTED_VALUE"""),"")</f>
        <v/>
      </c>
      <c r="G14152" s="42" t="str">
        <f>IFERROR(__xludf.DUMMYFUNCTION("""COMPUTED_VALUE"""),"")</f>
        <v/>
      </c>
      <c r="H14152" s="42">
        <f t="shared" si="1"/>
        <v>3345</v>
      </c>
    </row>
    <row r="14153" ht="22.5" customHeight="1">
      <c r="B14153" s="42" t="str">
        <f>IFERROR(__xludf.DUMMYFUNCTION("""COMPUTED_VALUE"""),"")</f>
        <v/>
      </c>
      <c r="C14153" s="42" t="str">
        <f>IFERROR(__xludf.DUMMYFUNCTION("""COMPUTED_VALUE"""),"")</f>
        <v/>
      </c>
      <c r="D14153" s="42"/>
      <c r="E14153" s="42"/>
      <c r="F14153" s="48" t="str">
        <f>IFERROR(__xludf.DUMMYFUNCTION("""COMPUTED_VALUE"""),"")</f>
        <v/>
      </c>
      <c r="G14153" s="42" t="str">
        <f>IFERROR(__xludf.DUMMYFUNCTION("""COMPUTED_VALUE"""),"")</f>
        <v/>
      </c>
      <c r="H14153" s="42">
        <f t="shared" si="1"/>
        <v>3345</v>
      </c>
    </row>
    <row r="14154" ht="22.5" customHeight="1">
      <c r="B14154" s="42" t="str">
        <f>IFERROR(__xludf.DUMMYFUNCTION("""COMPUTED_VALUE"""),"")</f>
        <v/>
      </c>
      <c r="C14154" s="42" t="str">
        <f>IFERROR(__xludf.DUMMYFUNCTION("""COMPUTED_VALUE"""),"")</f>
        <v/>
      </c>
      <c r="D14154" s="42"/>
      <c r="E14154" s="42"/>
      <c r="F14154" s="48" t="str">
        <f>IFERROR(__xludf.DUMMYFUNCTION("""COMPUTED_VALUE"""),"")</f>
        <v/>
      </c>
      <c r="G14154" s="42" t="str">
        <f>IFERROR(__xludf.DUMMYFUNCTION("""COMPUTED_VALUE"""),"")</f>
        <v/>
      </c>
      <c r="H14154" s="42">
        <f t="shared" si="1"/>
        <v>3345</v>
      </c>
    </row>
    <row r="14155" ht="22.5" customHeight="1">
      <c r="B14155" s="42" t="str">
        <f>IFERROR(__xludf.DUMMYFUNCTION("""COMPUTED_VALUE"""),"")</f>
        <v/>
      </c>
      <c r="C14155" s="42" t="str">
        <f>IFERROR(__xludf.DUMMYFUNCTION("""COMPUTED_VALUE"""),"")</f>
        <v/>
      </c>
      <c r="D14155" s="42"/>
      <c r="E14155" s="42"/>
      <c r="F14155" s="48" t="str">
        <f>IFERROR(__xludf.DUMMYFUNCTION("""COMPUTED_VALUE"""),"")</f>
        <v/>
      </c>
      <c r="G14155" s="42" t="str">
        <f>IFERROR(__xludf.DUMMYFUNCTION("""COMPUTED_VALUE"""),"")</f>
        <v/>
      </c>
      <c r="H14155" s="42">
        <f t="shared" si="1"/>
        <v>3345</v>
      </c>
    </row>
    <row r="14156" ht="22.5" customHeight="1">
      <c r="B14156" s="42" t="str">
        <f>IFERROR(__xludf.DUMMYFUNCTION("""COMPUTED_VALUE"""),"")</f>
        <v/>
      </c>
      <c r="C14156" s="42" t="str">
        <f>IFERROR(__xludf.DUMMYFUNCTION("""COMPUTED_VALUE"""),"")</f>
        <v/>
      </c>
      <c r="D14156" s="42"/>
      <c r="E14156" s="42"/>
      <c r="F14156" s="48" t="str">
        <f>IFERROR(__xludf.DUMMYFUNCTION("""COMPUTED_VALUE"""),"")</f>
        <v/>
      </c>
      <c r="G14156" s="42" t="str">
        <f>IFERROR(__xludf.DUMMYFUNCTION("""COMPUTED_VALUE"""),"")</f>
        <v/>
      </c>
      <c r="H14156" s="42">
        <f t="shared" si="1"/>
        <v>3345</v>
      </c>
    </row>
    <row r="14157" ht="22.5" customHeight="1">
      <c r="B14157" s="42" t="str">
        <f>IFERROR(__xludf.DUMMYFUNCTION("""COMPUTED_VALUE"""),"")</f>
        <v/>
      </c>
      <c r="C14157" s="42" t="str">
        <f>IFERROR(__xludf.DUMMYFUNCTION("""COMPUTED_VALUE"""),"")</f>
        <v/>
      </c>
      <c r="D14157" s="42"/>
      <c r="E14157" s="42"/>
      <c r="F14157" s="48" t="str">
        <f>IFERROR(__xludf.DUMMYFUNCTION("""COMPUTED_VALUE"""),"")</f>
        <v/>
      </c>
      <c r="G14157" s="42" t="str">
        <f>IFERROR(__xludf.DUMMYFUNCTION("""COMPUTED_VALUE"""),"")</f>
        <v/>
      </c>
      <c r="H14157" s="42">
        <f t="shared" si="1"/>
        <v>3345</v>
      </c>
    </row>
    <row r="14158" ht="22.5" customHeight="1">
      <c r="B14158" s="42" t="str">
        <f>IFERROR(__xludf.DUMMYFUNCTION("""COMPUTED_VALUE"""),"")</f>
        <v/>
      </c>
      <c r="C14158" s="42" t="str">
        <f>IFERROR(__xludf.DUMMYFUNCTION("""COMPUTED_VALUE"""),"")</f>
        <v/>
      </c>
      <c r="D14158" s="42"/>
      <c r="E14158" s="42"/>
      <c r="F14158" s="48" t="str">
        <f>IFERROR(__xludf.DUMMYFUNCTION("""COMPUTED_VALUE"""),"")</f>
        <v/>
      </c>
      <c r="G14158" s="42" t="str">
        <f>IFERROR(__xludf.DUMMYFUNCTION("""COMPUTED_VALUE"""),"")</f>
        <v/>
      </c>
      <c r="H14158" s="42">
        <f t="shared" si="1"/>
        <v>3345</v>
      </c>
    </row>
    <row r="14159" ht="22.5" customHeight="1">
      <c r="B14159" s="42" t="str">
        <f>IFERROR(__xludf.DUMMYFUNCTION("""COMPUTED_VALUE"""),"")</f>
        <v/>
      </c>
      <c r="C14159" s="42" t="str">
        <f>IFERROR(__xludf.DUMMYFUNCTION("""COMPUTED_VALUE"""),"")</f>
        <v/>
      </c>
      <c r="D14159" s="42"/>
      <c r="E14159" s="42"/>
      <c r="F14159" s="48" t="str">
        <f>IFERROR(__xludf.DUMMYFUNCTION("""COMPUTED_VALUE"""),"")</f>
        <v/>
      </c>
      <c r="G14159" s="42" t="str">
        <f>IFERROR(__xludf.DUMMYFUNCTION("""COMPUTED_VALUE"""),"")</f>
        <v/>
      </c>
      <c r="H14159" s="42">
        <f t="shared" si="1"/>
        <v>3345</v>
      </c>
    </row>
    <row r="14160" ht="22.5" customHeight="1">
      <c r="B14160" s="42" t="str">
        <f>IFERROR(__xludf.DUMMYFUNCTION("""COMPUTED_VALUE"""),"")</f>
        <v/>
      </c>
      <c r="C14160" s="42" t="str">
        <f>IFERROR(__xludf.DUMMYFUNCTION("""COMPUTED_VALUE"""),"")</f>
        <v/>
      </c>
      <c r="D14160" s="42"/>
      <c r="E14160" s="42"/>
      <c r="F14160" s="48" t="str">
        <f>IFERROR(__xludf.DUMMYFUNCTION("""COMPUTED_VALUE"""),"")</f>
        <v/>
      </c>
      <c r="G14160" s="42" t="str">
        <f>IFERROR(__xludf.DUMMYFUNCTION("""COMPUTED_VALUE"""),"")</f>
        <v/>
      </c>
      <c r="H14160" s="42">
        <f t="shared" si="1"/>
        <v>3345</v>
      </c>
    </row>
    <row r="14161" ht="22.5" customHeight="1">
      <c r="B14161" s="42" t="str">
        <f>IFERROR(__xludf.DUMMYFUNCTION("""COMPUTED_VALUE"""),"")</f>
        <v/>
      </c>
      <c r="C14161" s="42" t="str">
        <f>IFERROR(__xludf.DUMMYFUNCTION("""COMPUTED_VALUE"""),"")</f>
        <v/>
      </c>
      <c r="D14161" s="42"/>
      <c r="E14161" s="42"/>
      <c r="F14161" s="48" t="str">
        <f>IFERROR(__xludf.DUMMYFUNCTION("""COMPUTED_VALUE"""),"")</f>
        <v/>
      </c>
      <c r="G14161" s="42" t="str">
        <f>IFERROR(__xludf.DUMMYFUNCTION("""COMPUTED_VALUE"""),"")</f>
        <v/>
      </c>
      <c r="H14161" s="42">
        <f t="shared" si="1"/>
        <v>3345</v>
      </c>
    </row>
    <row r="14162" ht="22.5" customHeight="1">
      <c r="B14162" s="42" t="str">
        <f>IFERROR(__xludf.DUMMYFUNCTION("""COMPUTED_VALUE"""),"")</f>
        <v/>
      </c>
      <c r="C14162" s="42" t="str">
        <f>IFERROR(__xludf.DUMMYFUNCTION("""COMPUTED_VALUE"""),"")</f>
        <v/>
      </c>
      <c r="D14162" s="42"/>
      <c r="E14162" s="42"/>
      <c r="F14162" s="48" t="str">
        <f>IFERROR(__xludf.DUMMYFUNCTION("""COMPUTED_VALUE"""),"")</f>
        <v/>
      </c>
      <c r="G14162" s="42" t="str">
        <f>IFERROR(__xludf.DUMMYFUNCTION("""COMPUTED_VALUE"""),"")</f>
        <v/>
      </c>
      <c r="H14162" s="42">
        <f t="shared" si="1"/>
        <v>3345</v>
      </c>
    </row>
    <row r="14163" ht="22.5" customHeight="1">
      <c r="B14163" s="42" t="str">
        <f>IFERROR(__xludf.DUMMYFUNCTION("""COMPUTED_VALUE"""),"")</f>
        <v/>
      </c>
      <c r="C14163" s="42" t="str">
        <f>IFERROR(__xludf.DUMMYFUNCTION("""COMPUTED_VALUE"""),"")</f>
        <v/>
      </c>
      <c r="D14163" s="42"/>
      <c r="E14163" s="42"/>
      <c r="F14163" s="48" t="str">
        <f>IFERROR(__xludf.DUMMYFUNCTION("""COMPUTED_VALUE"""),"")</f>
        <v/>
      </c>
      <c r="G14163" s="42" t="str">
        <f>IFERROR(__xludf.DUMMYFUNCTION("""COMPUTED_VALUE"""),"")</f>
        <v/>
      </c>
      <c r="H14163" s="42">
        <f t="shared" si="1"/>
        <v>3345</v>
      </c>
    </row>
    <row r="14164" ht="22.5" customHeight="1">
      <c r="B14164" s="42" t="str">
        <f>IFERROR(__xludf.DUMMYFUNCTION("""COMPUTED_VALUE"""),"")</f>
        <v/>
      </c>
      <c r="C14164" s="42" t="str">
        <f>IFERROR(__xludf.DUMMYFUNCTION("""COMPUTED_VALUE"""),"")</f>
        <v/>
      </c>
      <c r="D14164" s="42"/>
      <c r="E14164" s="42"/>
      <c r="F14164" s="48" t="str">
        <f>IFERROR(__xludf.DUMMYFUNCTION("""COMPUTED_VALUE"""),"")</f>
        <v/>
      </c>
      <c r="G14164" s="42" t="str">
        <f>IFERROR(__xludf.DUMMYFUNCTION("""COMPUTED_VALUE"""),"")</f>
        <v/>
      </c>
      <c r="H14164" s="42">
        <f t="shared" si="1"/>
        <v>3345</v>
      </c>
    </row>
    <row r="14165" ht="22.5" customHeight="1">
      <c r="B14165" s="42" t="str">
        <f>IFERROR(__xludf.DUMMYFUNCTION("""COMPUTED_VALUE"""),"")</f>
        <v/>
      </c>
      <c r="C14165" s="42" t="str">
        <f>IFERROR(__xludf.DUMMYFUNCTION("""COMPUTED_VALUE"""),"")</f>
        <v/>
      </c>
      <c r="D14165" s="42"/>
      <c r="E14165" s="42"/>
      <c r="F14165" s="48" t="str">
        <f>IFERROR(__xludf.DUMMYFUNCTION("""COMPUTED_VALUE"""),"")</f>
        <v/>
      </c>
      <c r="G14165" s="42" t="str">
        <f>IFERROR(__xludf.DUMMYFUNCTION("""COMPUTED_VALUE"""),"")</f>
        <v/>
      </c>
      <c r="H14165" s="42">
        <f t="shared" si="1"/>
        <v>3345</v>
      </c>
    </row>
    <row r="14166" ht="22.5" customHeight="1">
      <c r="B14166" s="42" t="str">
        <f>IFERROR(__xludf.DUMMYFUNCTION("""COMPUTED_VALUE"""),"")</f>
        <v/>
      </c>
      <c r="C14166" s="42" t="str">
        <f>IFERROR(__xludf.DUMMYFUNCTION("""COMPUTED_VALUE"""),"")</f>
        <v/>
      </c>
      <c r="D14166" s="42"/>
      <c r="E14166" s="42"/>
      <c r="F14166" s="48" t="str">
        <f>IFERROR(__xludf.DUMMYFUNCTION("""COMPUTED_VALUE"""),"")</f>
        <v/>
      </c>
      <c r="G14166" s="42" t="str">
        <f>IFERROR(__xludf.DUMMYFUNCTION("""COMPUTED_VALUE"""),"")</f>
        <v/>
      </c>
      <c r="H14166" s="42">
        <f t="shared" si="1"/>
        <v>3345</v>
      </c>
    </row>
    <row r="14167" ht="22.5" customHeight="1">
      <c r="B14167" s="42" t="str">
        <f>IFERROR(__xludf.DUMMYFUNCTION("""COMPUTED_VALUE"""),"")</f>
        <v/>
      </c>
      <c r="C14167" s="42" t="str">
        <f>IFERROR(__xludf.DUMMYFUNCTION("""COMPUTED_VALUE"""),"")</f>
        <v/>
      </c>
      <c r="D14167" s="42"/>
      <c r="E14167" s="42"/>
      <c r="F14167" s="48" t="str">
        <f>IFERROR(__xludf.DUMMYFUNCTION("""COMPUTED_VALUE"""),"")</f>
        <v/>
      </c>
      <c r="G14167" s="42" t="str">
        <f>IFERROR(__xludf.DUMMYFUNCTION("""COMPUTED_VALUE"""),"")</f>
        <v/>
      </c>
      <c r="H14167" s="42">
        <f t="shared" si="1"/>
        <v>3345</v>
      </c>
    </row>
    <row r="14168" ht="22.5" customHeight="1">
      <c r="B14168" s="42" t="str">
        <f>IFERROR(__xludf.DUMMYFUNCTION("""COMPUTED_VALUE"""),"")</f>
        <v/>
      </c>
      <c r="C14168" s="42" t="str">
        <f>IFERROR(__xludf.DUMMYFUNCTION("""COMPUTED_VALUE"""),"")</f>
        <v/>
      </c>
      <c r="D14168" s="42"/>
      <c r="E14168" s="42"/>
      <c r="F14168" s="48" t="str">
        <f>IFERROR(__xludf.DUMMYFUNCTION("""COMPUTED_VALUE"""),"")</f>
        <v/>
      </c>
      <c r="G14168" s="42" t="str">
        <f>IFERROR(__xludf.DUMMYFUNCTION("""COMPUTED_VALUE"""),"")</f>
        <v/>
      </c>
      <c r="H14168" s="42">
        <f t="shared" si="1"/>
        <v>3345</v>
      </c>
    </row>
    <row r="14169" ht="22.5" customHeight="1">
      <c r="B14169" s="42" t="str">
        <f>IFERROR(__xludf.DUMMYFUNCTION("""COMPUTED_VALUE"""),"")</f>
        <v/>
      </c>
      <c r="C14169" s="42" t="str">
        <f>IFERROR(__xludf.DUMMYFUNCTION("""COMPUTED_VALUE"""),"")</f>
        <v/>
      </c>
      <c r="D14169" s="42"/>
      <c r="E14169" s="42"/>
      <c r="F14169" s="48" t="str">
        <f>IFERROR(__xludf.DUMMYFUNCTION("""COMPUTED_VALUE"""),"")</f>
        <v/>
      </c>
      <c r="G14169" s="42" t="str">
        <f>IFERROR(__xludf.DUMMYFUNCTION("""COMPUTED_VALUE"""),"")</f>
        <v/>
      </c>
      <c r="H14169" s="42">
        <f t="shared" si="1"/>
        <v>3345</v>
      </c>
    </row>
    <row r="14170" ht="22.5" customHeight="1">
      <c r="B14170" s="42" t="str">
        <f>IFERROR(__xludf.DUMMYFUNCTION("""COMPUTED_VALUE"""),"")</f>
        <v/>
      </c>
      <c r="C14170" s="42" t="str">
        <f>IFERROR(__xludf.DUMMYFUNCTION("""COMPUTED_VALUE"""),"")</f>
        <v/>
      </c>
      <c r="D14170" s="42"/>
      <c r="E14170" s="42"/>
      <c r="F14170" s="48" t="str">
        <f>IFERROR(__xludf.DUMMYFUNCTION("""COMPUTED_VALUE"""),"")</f>
        <v/>
      </c>
      <c r="G14170" s="42" t="str">
        <f>IFERROR(__xludf.DUMMYFUNCTION("""COMPUTED_VALUE"""),"")</f>
        <v/>
      </c>
      <c r="H14170" s="42">
        <f t="shared" si="1"/>
        <v>3345</v>
      </c>
    </row>
    <row r="14171" ht="22.5" customHeight="1">
      <c r="B14171" s="42" t="str">
        <f>IFERROR(__xludf.DUMMYFUNCTION("""COMPUTED_VALUE"""),"")</f>
        <v/>
      </c>
      <c r="C14171" s="42" t="str">
        <f>IFERROR(__xludf.DUMMYFUNCTION("""COMPUTED_VALUE"""),"")</f>
        <v/>
      </c>
      <c r="D14171" s="42"/>
      <c r="E14171" s="42"/>
      <c r="F14171" s="48" t="str">
        <f>IFERROR(__xludf.DUMMYFUNCTION("""COMPUTED_VALUE"""),"")</f>
        <v/>
      </c>
      <c r="G14171" s="42" t="str">
        <f>IFERROR(__xludf.DUMMYFUNCTION("""COMPUTED_VALUE"""),"")</f>
        <v/>
      </c>
      <c r="H14171" s="42">
        <f t="shared" si="1"/>
        <v>3345</v>
      </c>
    </row>
    <row r="14172" ht="22.5" customHeight="1">
      <c r="B14172" s="42" t="str">
        <f>IFERROR(__xludf.DUMMYFUNCTION("""COMPUTED_VALUE"""),"")</f>
        <v/>
      </c>
      <c r="C14172" s="42" t="str">
        <f>IFERROR(__xludf.DUMMYFUNCTION("""COMPUTED_VALUE"""),"")</f>
        <v/>
      </c>
      <c r="D14172" s="42"/>
      <c r="E14172" s="42"/>
      <c r="F14172" s="48" t="str">
        <f>IFERROR(__xludf.DUMMYFUNCTION("""COMPUTED_VALUE"""),"")</f>
        <v/>
      </c>
      <c r="G14172" s="42" t="str">
        <f>IFERROR(__xludf.DUMMYFUNCTION("""COMPUTED_VALUE"""),"")</f>
        <v/>
      </c>
      <c r="H14172" s="42">
        <f t="shared" si="1"/>
        <v>3345</v>
      </c>
    </row>
    <row r="14173" ht="22.5" customHeight="1">
      <c r="B14173" s="42" t="str">
        <f>IFERROR(__xludf.DUMMYFUNCTION("""COMPUTED_VALUE"""),"")</f>
        <v/>
      </c>
      <c r="C14173" s="42" t="str">
        <f>IFERROR(__xludf.DUMMYFUNCTION("""COMPUTED_VALUE"""),"")</f>
        <v/>
      </c>
      <c r="D14173" s="42"/>
      <c r="E14173" s="42"/>
      <c r="F14173" s="48" t="str">
        <f>IFERROR(__xludf.DUMMYFUNCTION("""COMPUTED_VALUE"""),"")</f>
        <v/>
      </c>
      <c r="G14173" s="42" t="str">
        <f>IFERROR(__xludf.DUMMYFUNCTION("""COMPUTED_VALUE"""),"")</f>
        <v/>
      </c>
      <c r="H14173" s="42">
        <f t="shared" si="1"/>
        <v>3345</v>
      </c>
    </row>
    <row r="14174" ht="22.5" customHeight="1">
      <c r="B14174" s="42" t="str">
        <f>IFERROR(__xludf.DUMMYFUNCTION("""COMPUTED_VALUE"""),"")</f>
        <v/>
      </c>
      <c r="C14174" s="42" t="str">
        <f>IFERROR(__xludf.DUMMYFUNCTION("""COMPUTED_VALUE"""),"")</f>
        <v/>
      </c>
      <c r="D14174" s="42"/>
      <c r="E14174" s="42"/>
      <c r="F14174" s="48" t="str">
        <f>IFERROR(__xludf.DUMMYFUNCTION("""COMPUTED_VALUE"""),"")</f>
        <v/>
      </c>
      <c r="G14174" s="42" t="str">
        <f>IFERROR(__xludf.DUMMYFUNCTION("""COMPUTED_VALUE"""),"")</f>
        <v/>
      </c>
      <c r="H14174" s="42">
        <f t="shared" si="1"/>
        <v>3345</v>
      </c>
    </row>
    <row r="14175" ht="22.5" customHeight="1">
      <c r="B14175" s="42" t="str">
        <f>IFERROR(__xludf.DUMMYFUNCTION("""COMPUTED_VALUE"""),"")</f>
        <v/>
      </c>
      <c r="C14175" s="42" t="str">
        <f>IFERROR(__xludf.DUMMYFUNCTION("""COMPUTED_VALUE"""),"")</f>
        <v/>
      </c>
      <c r="D14175" s="42"/>
      <c r="E14175" s="42"/>
      <c r="F14175" s="48" t="str">
        <f>IFERROR(__xludf.DUMMYFUNCTION("""COMPUTED_VALUE"""),"")</f>
        <v/>
      </c>
      <c r="G14175" s="42" t="str">
        <f>IFERROR(__xludf.DUMMYFUNCTION("""COMPUTED_VALUE"""),"")</f>
        <v/>
      </c>
      <c r="H14175" s="42">
        <f t="shared" si="1"/>
        <v>3345</v>
      </c>
    </row>
    <row r="14176" ht="22.5" customHeight="1">
      <c r="B14176" s="42" t="str">
        <f>IFERROR(__xludf.DUMMYFUNCTION("""COMPUTED_VALUE"""),"")</f>
        <v/>
      </c>
      <c r="C14176" s="42" t="str">
        <f>IFERROR(__xludf.DUMMYFUNCTION("""COMPUTED_VALUE"""),"")</f>
        <v/>
      </c>
      <c r="D14176" s="42"/>
      <c r="E14176" s="42"/>
      <c r="F14176" s="48" t="str">
        <f>IFERROR(__xludf.DUMMYFUNCTION("""COMPUTED_VALUE"""),"")</f>
        <v/>
      </c>
      <c r="G14176" s="42" t="str">
        <f>IFERROR(__xludf.DUMMYFUNCTION("""COMPUTED_VALUE"""),"")</f>
        <v/>
      </c>
      <c r="H14176" s="42">
        <f t="shared" si="1"/>
        <v>3345</v>
      </c>
    </row>
    <row r="14177" ht="22.5" customHeight="1">
      <c r="B14177" s="42" t="str">
        <f>IFERROR(__xludf.DUMMYFUNCTION("""COMPUTED_VALUE"""),"")</f>
        <v/>
      </c>
      <c r="C14177" s="42" t="str">
        <f>IFERROR(__xludf.DUMMYFUNCTION("""COMPUTED_VALUE"""),"")</f>
        <v/>
      </c>
      <c r="D14177" s="42"/>
      <c r="E14177" s="42"/>
      <c r="F14177" s="48" t="str">
        <f>IFERROR(__xludf.DUMMYFUNCTION("""COMPUTED_VALUE"""),"")</f>
        <v/>
      </c>
      <c r="G14177" s="42" t="str">
        <f>IFERROR(__xludf.DUMMYFUNCTION("""COMPUTED_VALUE"""),"")</f>
        <v/>
      </c>
      <c r="H14177" s="42">
        <f t="shared" si="1"/>
        <v>3345</v>
      </c>
    </row>
    <row r="14178" ht="22.5" customHeight="1">
      <c r="B14178" s="42" t="str">
        <f>IFERROR(__xludf.DUMMYFUNCTION("""COMPUTED_VALUE"""),"")</f>
        <v/>
      </c>
      <c r="C14178" s="42" t="str">
        <f>IFERROR(__xludf.DUMMYFUNCTION("""COMPUTED_VALUE"""),"")</f>
        <v/>
      </c>
      <c r="D14178" s="42"/>
      <c r="E14178" s="42"/>
      <c r="F14178" s="48" t="str">
        <f>IFERROR(__xludf.DUMMYFUNCTION("""COMPUTED_VALUE"""),"")</f>
        <v/>
      </c>
      <c r="G14178" s="42" t="str">
        <f>IFERROR(__xludf.DUMMYFUNCTION("""COMPUTED_VALUE"""),"")</f>
        <v/>
      </c>
      <c r="H14178" s="42">
        <f t="shared" si="1"/>
        <v>3345</v>
      </c>
    </row>
    <row r="14179" ht="22.5" customHeight="1">
      <c r="B14179" s="42" t="str">
        <f>IFERROR(__xludf.DUMMYFUNCTION("""COMPUTED_VALUE"""),"")</f>
        <v/>
      </c>
      <c r="C14179" s="42" t="str">
        <f>IFERROR(__xludf.DUMMYFUNCTION("""COMPUTED_VALUE"""),"")</f>
        <v/>
      </c>
      <c r="D14179" s="42"/>
      <c r="E14179" s="42"/>
      <c r="F14179" s="48" t="str">
        <f>IFERROR(__xludf.DUMMYFUNCTION("""COMPUTED_VALUE"""),"")</f>
        <v/>
      </c>
      <c r="G14179" s="42" t="str">
        <f>IFERROR(__xludf.DUMMYFUNCTION("""COMPUTED_VALUE"""),"")</f>
        <v/>
      </c>
      <c r="H14179" s="42">
        <f t="shared" si="1"/>
        <v>3345</v>
      </c>
    </row>
    <row r="14180" ht="22.5" customHeight="1">
      <c r="B14180" s="42" t="str">
        <f>IFERROR(__xludf.DUMMYFUNCTION("""COMPUTED_VALUE"""),"")</f>
        <v/>
      </c>
      <c r="C14180" s="42" t="str">
        <f>IFERROR(__xludf.DUMMYFUNCTION("""COMPUTED_VALUE"""),"")</f>
        <v/>
      </c>
      <c r="D14180" s="42"/>
      <c r="E14180" s="42"/>
      <c r="F14180" s="48" t="str">
        <f>IFERROR(__xludf.DUMMYFUNCTION("""COMPUTED_VALUE"""),"")</f>
        <v/>
      </c>
      <c r="G14180" s="42" t="str">
        <f>IFERROR(__xludf.DUMMYFUNCTION("""COMPUTED_VALUE"""),"")</f>
        <v/>
      </c>
      <c r="H14180" s="42">
        <f t="shared" si="1"/>
        <v>3345</v>
      </c>
    </row>
    <row r="14181" ht="22.5" customHeight="1">
      <c r="B14181" s="42" t="str">
        <f>IFERROR(__xludf.DUMMYFUNCTION("""COMPUTED_VALUE"""),"")</f>
        <v/>
      </c>
      <c r="C14181" s="42" t="str">
        <f>IFERROR(__xludf.DUMMYFUNCTION("""COMPUTED_VALUE"""),"")</f>
        <v/>
      </c>
      <c r="D14181" s="42"/>
      <c r="E14181" s="42"/>
      <c r="F14181" s="48" t="str">
        <f>IFERROR(__xludf.DUMMYFUNCTION("""COMPUTED_VALUE"""),"")</f>
        <v/>
      </c>
      <c r="G14181" s="42" t="str">
        <f>IFERROR(__xludf.DUMMYFUNCTION("""COMPUTED_VALUE"""),"")</f>
        <v/>
      </c>
      <c r="H14181" s="42">
        <f t="shared" si="1"/>
        <v>3345</v>
      </c>
    </row>
    <row r="14182" ht="22.5" customHeight="1">
      <c r="B14182" s="42" t="str">
        <f>IFERROR(__xludf.DUMMYFUNCTION("""COMPUTED_VALUE"""),"")</f>
        <v/>
      </c>
      <c r="C14182" s="42" t="str">
        <f>IFERROR(__xludf.DUMMYFUNCTION("""COMPUTED_VALUE"""),"")</f>
        <v/>
      </c>
      <c r="D14182" s="42"/>
      <c r="E14182" s="42"/>
      <c r="F14182" s="48" t="str">
        <f>IFERROR(__xludf.DUMMYFUNCTION("""COMPUTED_VALUE"""),"")</f>
        <v/>
      </c>
      <c r="G14182" s="42" t="str">
        <f>IFERROR(__xludf.DUMMYFUNCTION("""COMPUTED_VALUE"""),"")</f>
        <v/>
      </c>
      <c r="H14182" s="42">
        <f t="shared" si="1"/>
        <v>3345</v>
      </c>
    </row>
    <row r="14183" ht="22.5" customHeight="1">
      <c r="B14183" s="42" t="str">
        <f>IFERROR(__xludf.DUMMYFUNCTION("""COMPUTED_VALUE"""),"")</f>
        <v/>
      </c>
      <c r="C14183" s="42" t="str">
        <f>IFERROR(__xludf.DUMMYFUNCTION("""COMPUTED_VALUE"""),"")</f>
        <v/>
      </c>
      <c r="D14183" s="42"/>
      <c r="E14183" s="42"/>
      <c r="F14183" s="48" t="str">
        <f>IFERROR(__xludf.DUMMYFUNCTION("""COMPUTED_VALUE"""),"")</f>
        <v/>
      </c>
      <c r="G14183" s="42" t="str">
        <f>IFERROR(__xludf.DUMMYFUNCTION("""COMPUTED_VALUE"""),"")</f>
        <v/>
      </c>
      <c r="H14183" s="42">
        <f t="shared" si="1"/>
        <v>3345</v>
      </c>
    </row>
    <row r="14184" ht="22.5" customHeight="1">
      <c r="B14184" s="42" t="str">
        <f>IFERROR(__xludf.DUMMYFUNCTION("""COMPUTED_VALUE"""),"")</f>
        <v/>
      </c>
      <c r="C14184" s="42" t="str">
        <f>IFERROR(__xludf.DUMMYFUNCTION("""COMPUTED_VALUE"""),"")</f>
        <v/>
      </c>
      <c r="D14184" s="42"/>
      <c r="E14184" s="42"/>
      <c r="F14184" s="48" t="str">
        <f>IFERROR(__xludf.DUMMYFUNCTION("""COMPUTED_VALUE"""),"")</f>
        <v/>
      </c>
      <c r="G14184" s="42" t="str">
        <f>IFERROR(__xludf.DUMMYFUNCTION("""COMPUTED_VALUE"""),"")</f>
        <v/>
      </c>
      <c r="H14184" s="42">
        <f t="shared" si="1"/>
        <v>3345</v>
      </c>
    </row>
    <row r="14185" ht="22.5" customHeight="1">
      <c r="B14185" s="42" t="str">
        <f>IFERROR(__xludf.DUMMYFUNCTION("""COMPUTED_VALUE"""),"")</f>
        <v/>
      </c>
      <c r="C14185" s="42" t="str">
        <f>IFERROR(__xludf.DUMMYFUNCTION("""COMPUTED_VALUE"""),"")</f>
        <v/>
      </c>
      <c r="D14185" s="42"/>
      <c r="E14185" s="42"/>
      <c r="F14185" s="48" t="str">
        <f>IFERROR(__xludf.DUMMYFUNCTION("""COMPUTED_VALUE"""),"")</f>
        <v/>
      </c>
      <c r="G14185" s="42" t="str">
        <f>IFERROR(__xludf.DUMMYFUNCTION("""COMPUTED_VALUE"""),"")</f>
        <v/>
      </c>
      <c r="H14185" s="42">
        <f t="shared" si="1"/>
        <v>3345</v>
      </c>
    </row>
    <row r="14186" ht="22.5" customHeight="1">
      <c r="B14186" s="42" t="str">
        <f>IFERROR(__xludf.DUMMYFUNCTION("""COMPUTED_VALUE"""),"")</f>
        <v/>
      </c>
      <c r="C14186" s="42" t="str">
        <f>IFERROR(__xludf.DUMMYFUNCTION("""COMPUTED_VALUE"""),"")</f>
        <v/>
      </c>
      <c r="D14186" s="42"/>
      <c r="E14186" s="42"/>
      <c r="F14186" s="48" t="str">
        <f>IFERROR(__xludf.DUMMYFUNCTION("""COMPUTED_VALUE"""),"")</f>
        <v/>
      </c>
      <c r="G14186" s="42" t="str">
        <f>IFERROR(__xludf.DUMMYFUNCTION("""COMPUTED_VALUE"""),"")</f>
        <v/>
      </c>
      <c r="H14186" s="42">
        <f t="shared" si="1"/>
        <v>3345</v>
      </c>
    </row>
    <row r="14187" ht="22.5" customHeight="1">
      <c r="B14187" s="42" t="str">
        <f>IFERROR(__xludf.DUMMYFUNCTION("""COMPUTED_VALUE"""),"")</f>
        <v/>
      </c>
      <c r="C14187" s="42" t="str">
        <f>IFERROR(__xludf.DUMMYFUNCTION("""COMPUTED_VALUE"""),"")</f>
        <v/>
      </c>
      <c r="D14187" s="42"/>
      <c r="E14187" s="42"/>
      <c r="F14187" s="48" t="str">
        <f>IFERROR(__xludf.DUMMYFUNCTION("""COMPUTED_VALUE"""),"")</f>
        <v/>
      </c>
      <c r="G14187" s="42" t="str">
        <f>IFERROR(__xludf.DUMMYFUNCTION("""COMPUTED_VALUE"""),"")</f>
        <v/>
      </c>
      <c r="H14187" s="42">
        <f t="shared" si="1"/>
        <v>3345</v>
      </c>
    </row>
    <row r="14188" ht="22.5" customHeight="1">
      <c r="B14188" s="42" t="str">
        <f>IFERROR(__xludf.DUMMYFUNCTION("""COMPUTED_VALUE"""),"")</f>
        <v/>
      </c>
      <c r="C14188" s="42" t="str">
        <f>IFERROR(__xludf.DUMMYFUNCTION("""COMPUTED_VALUE"""),"")</f>
        <v/>
      </c>
      <c r="D14188" s="42"/>
      <c r="E14188" s="42"/>
      <c r="F14188" s="48" t="str">
        <f>IFERROR(__xludf.DUMMYFUNCTION("""COMPUTED_VALUE"""),"")</f>
        <v/>
      </c>
      <c r="G14188" s="42" t="str">
        <f>IFERROR(__xludf.DUMMYFUNCTION("""COMPUTED_VALUE"""),"")</f>
        <v/>
      </c>
      <c r="H14188" s="42">
        <f t="shared" si="1"/>
        <v>3345</v>
      </c>
    </row>
    <row r="14189" ht="22.5" customHeight="1">
      <c r="B14189" s="42" t="str">
        <f>IFERROR(__xludf.DUMMYFUNCTION("""COMPUTED_VALUE"""),"")</f>
        <v/>
      </c>
      <c r="C14189" s="42" t="str">
        <f>IFERROR(__xludf.DUMMYFUNCTION("""COMPUTED_VALUE"""),"")</f>
        <v/>
      </c>
      <c r="D14189" s="42"/>
      <c r="E14189" s="42"/>
      <c r="F14189" s="48" t="str">
        <f>IFERROR(__xludf.DUMMYFUNCTION("""COMPUTED_VALUE"""),"")</f>
        <v/>
      </c>
      <c r="G14189" s="42" t="str">
        <f>IFERROR(__xludf.DUMMYFUNCTION("""COMPUTED_VALUE"""),"")</f>
        <v/>
      </c>
      <c r="H14189" s="42">
        <f t="shared" si="1"/>
        <v>3345</v>
      </c>
    </row>
    <row r="14190" ht="22.5" customHeight="1">
      <c r="B14190" s="42" t="str">
        <f>IFERROR(__xludf.DUMMYFUNCTION("""COMPUTED_VALUE"""),"")</f>
        <v/>
      </c>
      <c r="C14190" s="42" t="str">
        <f>IFERROR(__xludf.DUMMYFUNCTION("""COMPUTED_VALUE"""),"")</f>
        <v/>
      </c>
      <c r="D14190" s="42"/>
      <c r="E14190" s="42"/>
      <c r="F14190" s="48" t="str">
        <f>IFERROR(__xludf.DUMMYFUNCTION("""COMPUTED_VALUE"""),"")</f>
        <v/>
      </c>
      <c r="G14190" s="42" t="str">
        <f>IFERROR(__xludf.DUMMYFUNCTION("""COMPUTED_VALUE"""),"")</f>
        <v/>
      </c>
      <c r="H14190" s="42">
        <f t="shared" si="1"/>
        <v>3345</v>
      </c>
    </row>
    <row r="14191" ht="22.5" customHeight="1">
      <c r="B14191" s="42" t="str">
        <f>IFERROR(__xludf.DUMMYFUNCTION("""COMPUTED_VALUE"""),"")</f>
        <v/>
      </c>
      <c r="C14191" s="42" t="str">
        <f>IFERROR(__xludf.DUMMYFUNCTION("""COMPUTED_VALUE"""),"")</f>
        <v/>
      </c>
      <c r="D14191" s="42"/>
      <c r="E14191" s="42"/>
      <c r="F14191" s="48" t="str">
        <f>IFERROR(__xludf.DUMMYFUNCTION("""COMPUTED_VALUE"""),"")</f>
        <v/>
      </c>
      <c r="G14191" s="42" t="str">
        <f>IFERROR(__xludf.DUMMYFUNCTION("""COMPUTED_VALUE"""),"")</f>
        <v/>
      </c>
      <c r="H14191" s="42">
        <f t="shared" si="1"/>
        <v>3345</v>
      </c>
    </row>
    <row r="14192" ht="22.5" customHeight="1">
      <c r="B14192" s="42" t="str">
        <f>IFERROR(__xludf.DUMMYFUNCTION("""COMPUTED_VALUE"""),"")</f>
        <v/>
      </c>
      <c r="C14192" s="42" t="str">
        <f>IFERROR(__xludf.DUMMYFUNCTION("""COMPUTED_VALUE"""),"")</f>
        <v/>
      </c>
      <c r="D14192" s="42"/>
      <c r="E14192" s="42"/>
      <c r="F14192" s="48" t="str">
        <f>IFERROR(__xludf.DUMMYFUNCTION("""COMPUTED_VALUE"""),"")</f>
        <v/>
      </c>
      <c r="G14192" s="42" t="str">
        <f>IFERROR(__xludf.DUMMYFUNCTION("""COMPUTED_VALUE"""),"")</f>
        <v/>
      </c>
      <c r="H14192" s="42">
        <f t="shared" si="1"/>
        <v>3345</v>
      </c>
    </row>
    <row r="14193" ht="22.5" customHeight="1">
      <c r="B14193" s="42" t="str">
        <f>IFERROR(__xludf.DUMMYFUNCTION("""COMPUTED_VALUE"""),"")</f>
        <v/>
      </c>
      <c r="C14193" s="42" t="str">
        <f>IFERROR(__xludf.DUMMYFUNCTION("""COMPUTED_VALUE"""),"")</f>
        <v/>
      </c>
      <c r="D14193" s="42"/>
      <c r="E14193" s="42"/>
      <c r="F14193" s="48" t="str">
        <f>IFERROR(__xludf.DUMMYFUNCTION("""COMPUTED_VALUE"""),"")</f>
        <v/>
      </c>
      <c r="G14193" s="42" t="str">
        <f>IFERROR(__xludf.DUMMYFUNCTION("""COMPUTED_VALUE"""),"")</f>
        <v/>
      </c>
      <c r="H14193" s="42">
        <f t="shared" si="1"/>
        <v>3345</v>
      </c>
    </row>
    <row r="14194" ht="22.5" customHeight="1">
      <c r="B14194" s="42" t="str">
        <f>IFERROR(__xludf.DUMMYFUNCTION("""COMPUTED_VALUE"""),"")</f>
        <v/>
      </c>
      <c r="C14194" s="42" t="str">
        <f>IFERROR(__xludf.DUMMYFUNCTION("""COMPUTED_VALUE"""),"")</f>
        <v/>
      </c>
      <c r="D14194" s="42"/>
      <c r="E14194" s="42"/>
      <c r="F14194" s="48" t="str">
        <f>IFERROR(__xludf.DUMMYFUNCTION("""COMPUTED_VALUE"""),"")</f>
        <v/>
      </c>
      <c r="G14194" s="42" t="str">
        <f>IFERROR(__xludf.DUMMYFUNCTION("""COMPUTED_VALUE"""),"")</f>
        <v/>
      </c>
      <c r="H14194" s="42">
        <f t="shared" si="1"/>
        <v>3345</v>
      </c>
    </row>
    <row r="14195" ht="22.5" customHeight="1">
      <c r="B14195" s="42" t="str">
        <f>IFERROR(__xludf.DUMMYFUNCTION("""COMPUTED_VALUE"""),"")</f>
        <v/>
      </c>
      <c r="C14195" s="42" t="str">
        <f>IFERROR(__xludf.DUMMYFUNCTION("""COMPUTED_VALUE"""),"")</f>
        <v/>
      </c>
      <c r="D14195" s="42"/>
      <c r="E14195" s="42"/>
      <c r="F14195" s="48" t="str">
        <f>IFERROR(__xludf.DUMMYFUNCTION("""COMPUTED_VALUE"""),"")</f>
        <v/>
      </c>
      <c r="G14195" s="42" t="str">
        <f>IFERROR(__xludf.DUMMYFUNCTION("""COMPUTED_VALUE"""),"")</f>
        <v/>
      </c>
      <c r="H14195" s="42">
        <f t="shared" si="1"/>
        <v>3345</v>
      </c>
    </row>
    <row r="14196" ht="22.5" customHeight="1">
      <c r="B14196" s="42" t="str">
        <f>IFERROR(__xludf.DUMMYFUNCTION("""COMPUTED_VALUE"""),"")</f>
        <v/>
      </c>
      <c r="C14196" s="42" t="str">
        <f>IFERROR(__xludf.DUMMYFUNCTION("""COMPUTED_VALUE"""),"")</f>
        <v/>
      </c>
      <c r="D14196" s="42"/>
      <c r="E14196" s="42"/>
      <c r="F14196" s="48" t="str">
        <f>IFERROR(__xludf.DUMMYFUNCTION("""COMPUTED_VALUE"""),"")</f>
        <v/>
      </c>
      <c r="G14196" s="42" t="str">
        <f>IFERROR(__xludf.DUMMYFUNCTION("""COMPUTED_VALUE"""),"")</f>
        <v/>
      </c>
      <c r="H14196" s="42">
        <f t="shared" si="1"/>
        <v>3345</v>
      </c>
    </row>
    <row r="14197" ht="22.5" customHeight="1">
      <c r="B14197" s="42" t="str">
        <f>IFERROR(__xludf.DUMMYFUNCTION("""COMPUTED_VALUE"""),"")</f>
        <v/>
      </c>
      <c r="C14197" s="42" t="str">
        <f>IFERROR(__xludf.DUMMYFUNCTION("""COMPUTED_VALUE"""),"")</f>
        <v/>
      </c>
      <c r="D14197" s="42"/>
      <c r="E14197" s="42"/>
      <c r="F14197" s="48" t="str">
        <f>IFERROR(__xludf.DUMMYFUNCTION("""COMPUTED_VALUE"""),"")</f>
        <v/>
      </c>
      <c r="G14197" s="42" t="str">
        <f>IFERROR(__xludf.DUMMYFUNCTION("""COMPUTED_VALUE"""),"")</f>
        <v/>
      </c>
      <c r="H14197" s="42">
        <f t="shared" si="1"/>
        <v>3345</v>
      </c>
    </row>
    <row r="14198" ht="22.5" customHeight="1">
      <c r="B14198" s="42" t="str">
        <f>IFERROR(__xludf.DUMMYFUNCTION("""COMPUTED_VALUE"""),"")</f>
        <v/>
      </c>
      <c r="C14198" s="42" t="str">
        <f>IFERROR(__xludf.DUMMYFUNCTION("""COMPUTED_VALUE"""),"")</f>
        <v/>
      </c>
      <c r="D14198" s="42"/>
      <c r="E14198" s="42"/>
      <c r="F14198" s="48" t="str">
        <f>IFERROR(__xludf.DUMMYFUNCTION("""COMPUTED_VALUE"""),"")</f>
        <v/>
      </c>
      <c r="G14198" s="42" t="str">
        <f>IFERROR(__xludf.DUMMYFUNCTION("""COMPUTED_VALUE"""),"")</f>
        <v/>
      </c>
      <c r="H14198" s="42">
        <f t="shared" si="1"/>
        <v>3345</v>
      </c>
    </row>
    <row r="14199" ht="22.5" customHeight="1">
      <c r="B14199" s="42" t="str">
        <f>IFERROR(__xludf.DUMMYFUNCTION("""COMPUTED_VALUE"""),"")</f>
        <v/>
      </c>
      <c r="C14199" s="42" t="str">
        <f>IFERROR(__xludf.DUMMYFUNCTION("""COMPUTED_VALUE"""),"")</f>
        <v/>
      </c>
      <c r="D14199" s="42"/>
      <c r="E14199" s="42"/>
      <c r="F14199" s="48" t="str">
        <f>IFERROR(__xludf.DUMMYFUNCTION("""COMPUTED_VALUE"""),"")</f>
        <v/>
      </c>
      <c r="G14199" s="42" t="str">
        <f>IFERROR(__xludf.DUMMYFUNCTION("""COMPUTED_VALUE"""),"")</f>
        <v/>
      </c>
      <c r="H14199" s="42">
        <f t="shared" si="1"/>
        <v>3345</v>
      </c>
    </row>
    <row r="14200" ht="22.5" customHeight="1">
      <c r="B14200" s="42" t="str">
        <f>IFERROR(__xludf.DUMMYFUNCTION("""COMPUTED_VALUE"""),"")</f>
        <v/>
      </c>
      <c r="C14200" s="42" t="str">
        <f>IFERROR(__xludf.DUMMYFUNCTION("""COMPUTED_VALUE"""),"")</f>
        <v/>
      </c>
      <c r="D14200" s="42"/>
      <c r="E14200" s="42"/>
      <c r="F14200" s="48" t="str">
        <f>IFERROR(__xludf.DUMMYFUNCTION("""COMPUTED_VALUE"""),"")</f>
        <v/>
      </c>
      <c r="G14200" s="42" t="str">
        <f>IFERROR(__xludf.DUMMYFUNCTION("""COMPUTED_VALUE"""),"")</f>
        <v/>
      </c>
      <c r="H14200" s="42">
        <f t="shared" si="1"/>
        <v>3345</v>
      </c>
    </row>
    <row r="14201" ht="22.5" customHeight="1">
      <c r="B14201" s="42" t="str">
        <f>IFERROR(__xludf.DUMMYFUNCTION("""COMPUTED_VALUE"""),"")</f>
        <v/>
      </c>
      <c r="C14201" s="42" t="str">
        <f>IFERROR(__xludf.DUMMYFUNCTION("""COMPUTED_VALUE"""),"")</f>
        <v/>
      </c>
      <c r="D14201" s="42"/>
      <c r="E14201" s="42"/>
      <c r="F14201" s="48" t="str">
        <f>IFERROR(__xludf.DUMMYFUNCTION("""COMPUTED_VALUE"""),"")</f>
        <v/>
      </c>
      <c r="G14201" s="42" t="str">
        <f>IFERROR(__xludf.DUMMYFUNCTION("""COMPUTED_VALUE"""),"")</f>
        <v/>
      </c>
      <c r="H14201" s="42">
        <f t="shared" si="1"/>
        <v>3345</v>
      </c>
    </row>
    <row r="14202" ht="22.5" customHeight="1">
      <c r="B14202" s="42" t="str">
        <f>IFERROR(__xludf.DUMMYFUNCTION("""COMPUTED_VALUE"""),"")</f>
        <v/>
      </c>
      <c r="C14202" s="42" t="str">
        <f>IFERROR(__xludf.DUMMYFUNCTION("""COMPUTED_VALUE"""),"")</f>
        <v/>
      </c>
      <c r="D14202" s="42"/>
      <c r="E14202" s="42"/>
      <c r="F14202" s="48" t="str">
        <f>IFERROR(__xludf.DUMMYFUNCTION("""COMPUTED_VALUE"""),"")</f>
        <v/>
      </c>
      <c r="G14202" s="42" t="str">
        <f>IFERROR(__xludf.DUMMYFUNCTION("""COMPUTED_VALUE"""),"")</f>
        <v/>
      </c>
      <c r="H14202" s="42">
        <f t="shared" si="1"/>
        <v>3345</v>
      </c>
    </row>
    <row r="14203" ht="22.5" customHeight="1">
      <c r="B14203" s="42" t="str">
        <f>IFERROR(__xludf.DUMMYFUNCTION("""COMPUTED_VALUE"""),"")</f>
        <v/>
      </c>
      <c r="C14203" s="42" t="str">
        <f>IFERROR(__xludf.DUMMYFUNCTION("""COMPUTED_VALUE"""),"")</f>
        <v/>
      </c>
      <c r="D14203" s="42"/>
      <c r="E14203" s="42"/>
      <c r="F14203" s="48" t="str">
        <f>IFERROR(__xludf.DUMMYFUNCTION("""COMPUTED_VALUE"""),"")</f>
        <v/>
      </c>
      <c r="G14203" s="42" t="str">
        <f>IFERROR(__xludf.DUMMYFUNCTION("""COMPUTED_VALUE"""),"")</f>
        <v/>
      </c>
      <c r="H14203" s="42">
        <f t="shared" si="1"/>
        <v>3345</v>
      </c>
    </row>
    <row r="14204" ht="22.5" customHeight="1">
      <c r="B14204" s="42" t="str">
        <f>IFERROR(__xludf.DUMMYFUNCTION("""COMPUTED_VALUE"""),"")</f>
        <v/>
      </c>
      <c r="C14204" s="42" t="str">
        <f>IFERROR(__xludf.DUMMYFUNCTION("""COMPUTED_VALUE"""),"")</f>
        <v/>
      </c>
      <c r="D14204" s="42"/>
      <c r="E14204" s="42"/>
      <c r="F14204" s="48" t="str">
        <f>IFERROR(__xludf.DUMMYFUNCTION("""COMPUTED_VALUE"""),"")</f>
        <v/>
      </c>
      <c r="G14204" s="42" t="str">
        <f>IFERROR(__xludf.DUMMYFUNCTION("""COMPUTED_VALUE"""),"")</f>
        <v/>
      </c>
      <c r="H14204" s="42">
        <f t="shared" si="1"/>
        <v>3345</v>
      </c>
    </row>
    <row r="14205" ht="22.5" customHeight="1">
      <c r="B14205" s="42" t="str">
        <f>IFERROR(__xludf.DUMMYFUNCTION("""COMPUTED_VALUE"""),"")</f>
        <v/>
      </c>
      <c r="C14205" s="42" t="str">
        <f>IFERROR(__xludf.DUMMYFUNCTION("""COMPUTED_VALUE"""),"")</f>
        <v/>
      </c>
      <c r="D14205" s="42"/>
      <c r="E14205" s="42"/>
      <c r="F14205" s="48" t="str">
        <f>IFERROR(__xludf.DUMMYFUNCTION("""COMPUTED_VALUE"""),"")</f>
        <v/>
      </c>
      <c r="G14205" s="42" t="str">
        <f>IFERROR(__xludf.DUMMYFUNCTION("""COMPUTED_VALUE"""),"")</f>
        <v/>
      </c>
      <c r="H14205" s="42">
        <f t="shared" si="1"/>
        <v>3345</v>
      </c>
    </row>
    <row r="14206" ht="22.5" customHeight="1">
      <c r="B14206" s="42" t="str">
        <f>IFERROR(__xludf.DUMMYFUNCTION("""COMPUTED_VALUE"""),"")</f>
        <v/>
      </c>
      <c r="C14206" s="42" t="str">
        <f>IFERROR(__xludf.DUMMYFUNCTION("""COMPUTED_VALUE"""),"")</f>
        <v/>
      </c>
      <c r="D14206" s="42"/>
      <c r="E14206" s="42"/>
      <c r="F14206" s="48" t="str">
        <f>IFERROR(__xludf.DUMMYFUNCTION("""COMPUTED_VALUE"""),"")</f>
        <v/>
      </c>
      <c r="G14206" s="42" t="str">
        <f>IFERROR(__xludf.DUMMYFUNCTION("""COMPUTED_VALUE"""),"")</f>
        <v/>
      </c>
      <c r="H14206" s="42">
        <f t="shared" si="1"/>
        <v>3345</v>
      </c>
    </row>
    <row r="14207" ht="22.5" customHeight="1">
      <c r="B14207" s="42" t="str">
        <f>IFERROR(__xludf.DUMMYFUNCTION("""COMPUTED_VALUE"""),"")</f>
        <v/>
      </c>
      <c r="C14207" s="42" t="str">
        <f>IFERROR(__xludf.DUMMYFUNCTION("""COMPUTED_VALUE"""),"")</f>
        <v/>
      </c>
      <c r="D14207" s="42"/>
      <c r="E14207" s="42"/>
      <c r="F14207" s="48" t="str">
        <f>IFERROR(__xludf.DUMMYFUNCTION("""COMPUTED_VALUE"""),"")</f>
        <v/>
      </c>
      <c r="G14207" s="42" t="str">
        <f>IFERROR(__xludf.DUMMYFUNCTION("""COMPUTED_VALUE"""),"")</f>
        <v/>
      </c>
      <c r="H14207" s="42">
        <f t="shared" si="1"/>
        <v>3345</v>
      </c>
    </row>
    <row r="14208" ht="22.5" customHeight="1">
      <c r="B14208" s="42" t="str">
        <f>IFERROR(__xludf.DUMMYFUNCTION("""COMPUTED_VALUE"""),"")</f>
        <v/>
      </c>
      <c r="C14208" s="42" t="str">
        <f>IFERROR(__xludf.DUMMYFUNCTION("""COMPUTED_VALUE"""),"")</f>
        <v/>
      </c>
      <c r="D14208" s="42"/>
      <c r="E14208" s="42"/>
      <c r="F14208" s="48" t="str">
        <f>IFERROR(__xludf.DUMMYFUNCTION("""COMPUTED_VALUE"""),"")</f>
        <v/>
      </c>
      <c r="G14208" s="42" t="str">
        <f>IFERROR(__xludf.DUMMYFUNCTION("""COMPUTED_VALUE"""),"")</f>
        <v/>
      </c>
      <c r="H14208" s="42">
        <f t="shared" si="1"/>
        <v>3345</v>
      </c>
    </row>
    <row r="14209" ht="22.5" customHeight="1">
      <c r="B14209" s="42" t="str">
        <f>IFERROR(__xludf.DUMMYFUNCTION("""COMPUTED_VALUE"""),"")</f>
        <v/>
      </c>
      <c r="C14209" s="42" t="str">
        <f>IFERROR(__xludf.DUMMYFUNCTION("""COMPUTED_VALUE"""),"")</f>
        <v/>
      </c>
      <c r="D14209" s="42"/>
      <c r="E14209" s="42"/>
      <c r="F14209" s="48" t="str">
        <f>IFERROR(__xludf.DUMMYFUNCTION("""COMPUTED_VALUE"""),"")</f>
        <v/>
      </c>
      <c r="G14209" s="42" t="str">
        <f>IFERROR(__xludf.DUMMYFUNCTION("""COMPUTED_VALUE"""),"")</f>
        <v/>
      </c>
      <c r="H14209" s="42">
        <f t="shared" si="1"/>
        <v>3345</v>
      </c>
    </row>
    <row r="14210" ht="22.5" customHeight="1">
      <c r="B14210" s="42" t="str">
        <f>IFERROR(__xludf.DUMMYFUNCTION("""COMPUTED_VALUE"""),"")</f>
        <v/>
      </c>
      <c r="C14210" s="42" t="str">
        <f>IFERROR(__xludf.DUMMYFUNCTION("""COMPUTED_VALUE"""),"")</f>
        <v/>
      </c>
      <c r="D14210" s="42"/>
      <c r="E14210" s="42"/>
      <c r="F14210" s="48" t="str">
        <f>IFERROR(__xludf.DUMMYFUNCTION("""COMPUTED_VALUE"""),"")</f>
        <v/>
      </c>
      <c r="G14210" s="42" t="str">
        <f>IFERROR(__xludf.DUMMYFUNCTION("""COMPUTED_VALUE"""),"")</f>
        <v/>
      </c>
      <c r="H14210" s="42">
        <f t="shared" si="1"/>
        <v>3345</v>
      </c>
    </row>
    <row r="14211" ht="22.5" customHeight="1">
      <c r="B14211" s="42" t="str">
        <f>IFERROR(__xludf.DUMMYFUNCTION("""COMPUTED_VALUE"""),"")</f>
        <v/>
      </c>
      <c r="C14211" s="42" t="str">
        <f>IFERROR(__xludf.DUMMYFUNCTION("""COMPUTED_VALUE"""),"")</f>
        <v/>
      </c>
      <c r="D14211" s="42"/>
      <c r="E14211" s="42"/>
      <c r="F14211" s="48" t="str">
        <f>IFERROR(__xludf.DUMMYFUNCTION("""COMPUTED_VALUE"""),"")</f>
        <v/>
      </c>
      <c r="G14211" s="42" t="str">
        <f>IFERROR(__xludf.DUMMYFUNCTION("""COMPUTED_VALUE"""),"")</f>
        <v/>
      </c>
      <c r="H14211" s="42">
        <f t="shared" si="1"/>
        <v>3345</v>
      </c>
    </row>
    <row r="14212" ht="22.5" customHeight="1">
      <c r="B14212" s="42" t="str">
        <f>IFERROR(__xludf.DUMMYFUNCTION("""COMPUTED_VALUE"""),"")</f>
        <v/>
      </c>
      <c r="C14212" s="42" t="str">
        <f>IFERROR(__xludf.DUMMYFUNCTION("""COMPUTED_VALUE"""),"")</f>
        <v/>
      </c>
      <c r="D14212" s="42"/>
      <c r="E14212" s="42"/>
      <c r="F14212" s="48" t="str">
        <f>IFERROR(__xludf.DUMMYFUNCTION("""COMPUTED_VALUE"""),"")</f>
        <v/>
      </c>
      <c r="G14212" s="42" t="str">
        <f>IFERROR(__xludf.DUMMYFUNCTION("""COMPUTED_VALUE"""),"")</f>
        <v/>
      </c>
      <c r="H14212" s="42">
        <f t="shared" si="1"/>
        <v>3345</v>
      </c>
    </row>
    <row r="14213" ht="22.5" customHeight="1">
      <c r="B14213" s="42" t="str">
        <f>IFERROR(__xludf.DUMMYFUNCTION("""COMPUTED_VALUE"""),"")</f>
        <v/>
      </c>
      <c r="C14213" s="42" t="str">
        <f>IFERROR(__xludf.DUMMYFUNCTION("""COMPUTED_VALUE"""),"")</f>
        <v/>
      </c>
      <c r="D14213" s="42"/>
      <c r="E14213" s="42"/>
      <c r="F14213" s="48" t="str">
        <f>IFERROR(__xludf.DUMMYFUNCTION("""COMPUTED_VALUE"""),"")</f>
        <v/>
      </c>
      <c r="G14213" s="42" t="str">
        <f>IFERROR(__xludf.DUMMYFUNCTION("""COMPUTED_VALUE"""),"")</f>
        <v/>
      </c>
      <c r="H14213" s="42">
        <f t="shared" si="1"/>
        <v>3345</v>
      </c>
    </row>
    <row r="14214" ht="22.5" customHeight="1">
      <c r="B14214" s="42" t="str">
        <f>IFERROR(__xludf.DUMMYFUNCTION("""COMPUTED_VALUE"""),"")</f>
        <v/>
      </c>
      <c r="C14214" s="42" t="str">
        <f>IFERROR(__xludf.DUMMYFUNCTION("""COMPUTED_VALUE"""),"")</f>
        <v/>
      </c>
      <c r="D14214" s="42"/>
      <c r="E14214" s="42"/>
      <c r="F14214" s="48" t="str">
        <f>IFERROR(__xludf.DUMMYFUNCTION("""COMPUTED_VALUE"""),"")</f>
        <v/>
      </c>
      <c r="G14214" s="42" t="str">
        <f>IFERROR(__xludf.DUMMYFUNCTION("""COMPUTED_VALUE"""),"")</f>
        <v/>
      </c>
      <c r="H14214" s="42">
        <f t="shared" si="1"/>
        <v>3345</v>
      </c>
    </row>
    <row r="14215" ht="22.5" customHeight="1">
      <c r="B14215" s="42" t="str">
        <f>IFERROR(__xludf.DUMMYFUNCTION("""COMPUTED_VALUE"""),"")</f>
        <v/>
      </c>
      <c r="C14215" s="42" t="str">
        <f>IFERROR(__xludf.DUMMYFUNCTION("""COMPUTED_VALUE"""),"")</f>
        <v/>
      </c>
      <c r="D14215" s="42"/>
      <c r="E14215" s="42"/>
      <c r="F14215" s="48" t="str">
        <f>IFERROR(__xludf.DUMMYFUNCTION("""COMPUTED_VALUE"""),"")</f>
        <v/>
      </c>
      <c r="G14215" s="42" t="str">
        <f>IFERROR(__xludf.DUMMYFUNCTION("""COMPUTED_VALUE"""),"")</f>
        <v/>
      </c>
      <c r="H14215" s="42">
        <f t="shared" si="1"/>
        <v>3345</v>
      </c>
    </row>
    <row r="14216" ht="22.5" customHeight="1">
      <c r="B14216" s="42" t="str">
        <f>IFERROR(__xludf.DUMMYFUNCTION("""COMPUTED_VALUE"""),"")</f>
        <v/>
      </c>
      <c r="C14216" s="42" t="str">
        <f>IFERROR(__xludf.DUMMYFUNCTION("""COMPUTED_VALUE"""),"")</f>
        <v/>
      </c>
      <c r="D14216" s="42"/>
      <c r="E14216" s="42"/>
      <c r="F14216" s="48" t="str">
        <f>IFERROR(__xludf.DUMMYFUNCTION("""COMPUTED_VALUE"""),"")</f>
        <v/>
      </c>
      <c r="G14216" s="42" t="str">
        <f>IFERROR(__xludf.DUMMYFUNCTION("""COMPUTED_VALUE"""),"")</f>
        <v/>
      </c>
      <c r="H14216" s="42">
        <f t="shared" si="1"/>
        <v>3345</v>
      </c>
    </row>
    <row r="14217" ht="22.5" customHeight="1">
      <c r="B14217" s="42" t="str">
        <f>IFERROR(__xludf.DUMMYFUNCTION("""COMPUTED_VALUE"""),"")</f>
        <v/>
      </c>
      <c r="C14217" s="42" t="str">
        <f>IFERROR(__xludf.DUMMYFUNCTION("""COMPUTED_VALUE"""),"")</f>
        <v/>
      </c>
      <c r="D14217" s="42"/>
      <c r="E14217" s="42"/>
      <c r="F14217" s="48" t="str">
        <f>IFERROR(__xludf.DUMMYFUNCTION("""COMPUTED_VALUE"""),"")</f>
        <v/>
      </c>
      <c r="G14217" s="42" t="str">
        <f>IFERROR(__xludf.DUMMYFUNCTION("""COMPUTED_VALUE"""),"")</f>
        <v/>
      </c>
      <c r="H14217" s="42">
        <f t="shared" si="1"/>
        <v>3345</v>
      </c>
    </row>
    <row r="14218" ht="22.5" customHeight="1">
      <c r="B14218" s="42" t="str">
        <f>IFERROR(__xludf.DUMMYFUNCTION("""COMPUTED_VALUE"""),"")</f>
        <v/>
      </c>
      <c r="C14218" s="42" t="str">
        <f>IFERROR(__xludf.DUMMYFUNCTION("""COMPUTED_VALUE"""),"")</f>
        <v/>
      </c>
      <c r="D14218" s="42"/>
      <c r="E14218" s="42"/>
      <c r="F14218" s="48" t="str">
        <f>IFERROR(__xludf.DUMMYFUNCTION("""COMPUTED_VALUE"""),"")</f>
        <v/>
      </c>
      <c r="G14218" s="42" t="str">
        <f>IFERROR(__xludf.DUMMYFUNCTION("""COMPUTED_VALUE"""),"")</f>
        <v/>
      </c>
      <c r="H14218" s="42">
        <f t="shared" si="1"/>
        <v>3345</v>
      </c>
    </row>
    <row r="14219" ht="22.5" customHeight="1">
      <c r="B14219" s="42" t="str">
        <f>IFERROR(__xludf.DUMMYFUNCTION("""COMPUTED_VALUE"""),"")</f>
        <v/>
      </c>
      <c r="C14219" s="42" t="str">
        <f>IFERROR(__xludf.DUMMYFUNCTION("""COMPUTED_VALUE"""),"")</f>
        <v/>
      </c>
      <c r="D14219" s="42"/>
      <c r="E14219" s="42"/>
      <c r="F14219" s="48" t="str">
        <f>IFERROR(__xludf.DUMMYFUNCTION("""COMPUTED_VALUE"""),"")</f>
        <v/>
      </c>
      <c r="G14219" s="42" t="str">
        <f>IFERROR(__xludf.DUMMYFUNCTION("""COMPUTED_VALUE"""),"")</f>
        <v/>
      </c>
      <c r="H14219" s="42">
        <f t="shared" si="1"/>
        <v>3345</v>
      </c>
    </row>
    <row r="14220" ht="22.5" customHeight="1">
      <c r="B14220" s="42" t="str">
        <f>IFERROR(__xludf.DUMMYFUNCTION("""COMPUTED_VALUE"""),"")</f>
        <v/>
      </c>
      <c r="C14220" s="42" t="str">
        <f>IFERROR(__xludf.DUMMYFUNCTION("""COMPUTED_VALUE"""),"")</f>
        <v/>
      </c>
      <c r="D14220" s="42"/>
      <c r="E14220" s="42"/>
      <c r="F14220" s="48" t="str">
        <f>IFERROR(__xludf.DUMMYFUNCTION("""COMPUTED_VALUE"""),"")</f>
        <v/>
      </c>
      <c r="G14220" s="42" t="str">
        <f>IFERROR(__xludf.DUMMYFUNCTION("""COMPUTED_VALUE"""),"")</f>
        <v/>
      </c>
      <c r="H14220" s="42">
        <f t="shared" si="1"/>
        <v>3345</v>
      </c>
    </row>
    <row r="14221" ht="22.5" customHeight="1">
      <c r="B14221" s="42" t="str">
        <f>IFERROR(__xludf.DUMMYFUNCTION("""COMPUTED_VALUE"""),"")</f>
        <v/>
      </c>
      <c r="C14221" s="42" t="str">
        <f>IFERROR(__xludf.DUMMYFUNCTION("""COMPUTED_VALUE"""),"")</f>
        <v/>
      </c>
      <c r="D14221" s="42"/>
      <c r="E14221" s="42"/>
      <c r="F14221" s="48" t="str">
        <f>IFERROR(__xludf.DUMMYFUNCTION("""COMPUTED_VALUE"""),"")</f>
        <v/>
      </c>
      <c r="G14221" s="42" t="str">
        <f>IFERROR(__xludf.DUMMYFUNCTION("""COMPUTED_VALUE"""),"")</f>
        <v/>
      </c>
      <c r="H14221" s="42">
        <f t="shared" si="1"/>
        <v>3345</v>
      </c>
    </row>
    <row r="14222" ht="22.5" customHeight="1">
      <c r="B14222" s="42" t="str">
        <f>IFERROR(__xludf.DUMMYFUNCTION("""COMPUTED_VALUE"""),"")</f>
        <v/>
      </c>
      <c r="C14222" s="42" t="str">
        <f>IFERROR(__xludf.DUMMYFUNCTION("""COMPUTED_VALUE"""),"")</f>
        <v/>
      </c>
      <c r="D14222" s="42"/>
      <c r="E14222" s="42"/>
      <c r="F14222" s="48" t="str">
        <f>IFERROR(__xludf.DUMMYFUNCTION("""COMPUTED_VALUE"""),"")</f>
        <v/>
      </c>
      <c r="G14222" s="42" t="str">
        <f>IFERROR(__xludf.DUMMYFUNCTION("""COMPUTED_VALUE"""),"")</f>
        <v/>
      </c>
      <c r="H14222" s="42">
        <f t="shared" si="1"/>
        <v>3345</v>
      </c>
    </row>
    <row r="14223" ht="22.5" customHeight="1">
      <c r="B14223" s="42" t="str">
        <f>IFERROR(__xludf.DUMMYFUNCTION("""COMPUTED_VALUE"""),"")</f>
        <v/>
      </c>
      <c r="C14223" s="42" t="str">
        <f>IFERROR(__xludf.DUMMYFUNCTION("""COMPUTED_VALUE"""),"")</f>
        <v/>
      </c>
      <c r="D14223" s="42"/>
      <c r="E14223" s="42"/>
      <c r="F14223" s="48" t="str">
        <f>IFERROR(__xludf.DUMMYFUNCTION("""COMPUTED_VALUE"""),"")</f>
        <v/>
      </c>
      <c r="G14223" s="42" t="str">
        <f>IFERROR(__xludf.DUMMYFUNCTION("""COMPUTED_VALUE"""),"")</f>
        <v/>
      </c>
      <c r="H14223" s="42">
        <f t="shared" si="1"/>
        <v>3345</v>
      </c>
    </row>
    <row r="14224" ht="22.5" customHeight="1">
      <c r="B14224" s="42" t="str">
        <f>IFERROR(__xludf.DUMMYFUNCTION("""COMPUTED_VALUE"""),"")</f>
        <v/>
      </c>
      <c r="C14224" s="42" t="str">
        <f>IFERROR(__xludf.DUMMYFUNCTION("""COMPUTED_VALUE"""),"")</f>
        <v/>
      </c>
      <c r="D14224" s="42"/>
      <c r="E14224" s="42"/>
      <c r="F14224" s="48" t="str">
        <f>IFERROR(__xludf.DUMMYFUNCTION("""COMPUTED_VALUE"""),"")</f>
        <v/>
      </c>
      <c r="G14224" s="42" t="str">
        <f>IFERROR(__xludf.DUMMYFUNCTION("""COMPUTED_VALUE"""),"")</f>
        <v/>
      </c>
      <c r="H14224" s="42">
        <f t="shared" si="1"/>
        <v>3345</v>
      </c>
    </row>
    <row r="14225" ht="22.5" customHeight="1">
      <c r="B14225" s="42" t="str">
        <f>IFERROR(__xludf.DUMMYFUNCTION("""COMPUTED_VALUE"""),"")</f>
        <v/>
      </c>
      <c r="C14225" s="42" t="str">
        <f>IFERROR(__xludf.DUMMYFUNCTION("""COMPUTED_VALUE"""),"")</f>
        <v/>
      </c>
      <c r="D14225" s="42"/>
      <c r="E14225" s="42"/>
      <c r="F14225" s="48" t="str">
        <f>IFERROR(__xludf.DUMMYFUNCTION("""COMPUTED_VALUE"""),"")</f>
        <v/>
      </c>
      <c r="G14225" s="42" t="str">
        <f>IFERROR(__xludf.DUMMYFUNCTION("""COMPUTED_VALUE"""),"")</f>
        <v/>
      </c>
      <c r="H14225" s="42">
        <f t="shared" si="1"/>
        <v>3345</v>
      </c>
    </row>
    <row r="14226" ht="22.5" customHeight="1">
      <c r="B14226" s="42" t="str">
        <f>IFERROR(__xludf.DUMMYFUNCTION("""COMPUTED_VALUE"""),"")</f>
        <v/>
      </c>
      <c r="C14226" s="42" t="str">
        <f>IFERROR(__xludf.DUMMYFUNCTION("""COMPUTED_VALUE"""),"")</f>
        <v/>
      </c>
      <c r="D14226" s="42"/>
      <c r="E14226" s="42"/>
      <c r="F14226" s="48" t="str">
        <f>IFERROR(__xludf.DUMMYFUNCTION("""COMPUTED_VALUE"""),"")</f>
        <v/>
      </c>
      <c r="G14226" s="42" t="str">
        <f>IFERROR(__xludf.DUMMYFUNCTION("""COMPUTED_VALUE"""),"")</f>
        <v/>
      </c>
      <c r="H14226" s="42">
        <f t="shared" si="1"/>
        <v>3345</v>
      </c>
    </row>
    <row r="14227" ht="22.5" customHeight="1">
      <c r="B14227" s="42" t="str">
        <f>IFERROR(__xludf.DUMMYFUNCTION("""COMPUTED_VALUE"""),"")</f>
        <v/>
      </c>
      <c r="C14227" s="42" t="str">
        <f>IFERROR(__xludf.DUMMYFUNCTION("""COMPUTED_VALUE"""),"")</f>
        <v/>
      </c>
      <c r="D14227" s="42"/>
      <c r="E14227" s="42"/>
      <c r="F14227" s="48" t="str">
        <f>IFERROR(__xludf.DUMMYFUNCTION("""COMPUTED_VALUE"""),"")</f>
        <v/>
      </c>
      <c r="G14227" s="42" t="str">
        <f>IFERROR(__xludf.DUMMYFUNCTION("""COMPUTED_VALUE"""),"")</f>
        <v/>
      </c>
      <c r="H14227" s="42">
        <f t="shared" si="1"/>
        <v>3345</v>
      </c>
    </row>
    <row r="14228" ht="22.5" customHeight="1">
      <c r="B14228" s="42" t="str">
        <f>IFERROR(__xludf.DUMMYFUNCTION("""COMPUTED_VALUE"""),"")</f>
        <v/>
      </c>
      <c r="C14228" s="42" t="str">
        <f>IFERROR(__xludf.DUMMYFUNCTION("""COMPUTED_VALUE"""),"")</f>
        <v/>
      </c>
      <c r="D14228" s="42"/>
      <c r="E14228" s="42"/>
      <c r="F14228" s="48" t="str">
        <f>IFERROR(__xludf.DUMMYFUNCTION("""COMPUTED_VALUE"""),"")</f>
        <v/>
      </c>
      <c r="G14228" s="42" t="str">
        <f>IFERROR(__xludf.DUMMYFUNCTION("""COMPUTED_VALUE"""),"")</f>
        <v/>
      </c>
      <c r="H14228" s="42">
        <f t="shared" si="1"/>
        <v>3345</v>
      </c>
    </row>
    <row r="14229" ht="22.5" customHeight="1">
      <c r="B14229" s="42" t="str">
        <f>IFERROR(__xludf.DUMMYFUNCTION("""COMPUTED_VALUE"""),"")</f>
        <v/>
      </c>
      <c r="C14229" s="42" t="str">
        <f>IFERROR(__xludf.DUMMYFUNCTION("""COMPUTED_VALUE"""),"")</f>
        <v/>
      </c>
      <c r="D14229" s="42"/>
      <c r="E14229" s="42"/>
      <c r="F14229" s="48" t="str">
        <f>IFERROR(__xludf.DUMMYFUNCTION("""COMPUTED_VALUE"""),"")</f>
        <v/>
      </c>
      <c r="G14229" s="42" t="str">
        <f>IFERROR(__xludf.DUMMYFUNCTION("""COMPUTED_VALUE"""),"")</f>
        <v/>
      </c>
      <c r="H14229" s="42">
        <f t="shared" si="1"/>
        <v>3345</v>
      </c>
    </row>
    <row r="14230" ht="22.5" customHeight="1">
      <c r="B14230" s="42" t="str">
        <f>IFERROR(__xludf.DUMMYFUNCTION("""COMPUTED_VALUE"""),"")</f>
        <v/>
      </c>
      <c r="C14230" s="42" t="str">
        <f>IFERROR(__xludf.DUMMYFUNCTION("""COMPUTED_VALUE"""),"")</f>
        <v/>
      </c>
      <c r="D14230" s="42"/>
      <c r="E14230" s="42"/>
      <c r="F14230" s="48" t="str">
        <f>IFERROR(__xludf.DUMMYFUNCTION("""COMPUTED_VALUE"""),"")</f>
        <v/>
      </c>
      <c r="G14230" s="42" t="str">
        <f>IFERROR(__xludf.DUMMYFUNCTION("""COMPUTED_VALUE"""),"")</f>
        <v/>
      </c>
      <c r="H14230" s="42">
        <f t="shared" si="1"/>
        <v>3345</v>
      </c>
    </row>
    <row r="14231" ht="22.5" customHeight="1">
      <c r="B14231" s="42" t="str">
        <f>IFERROR(__xludf.DUMMYFUNCTION("""COMPUTED_VALUE"""),"")</f>
        <v/>
      </c>
      <c r="C14231" s="42" t="str">
        <f>IFERROR(__xludf.DUMMYFUNCTION("""COMPUTED_VALUE"""),"")</f>
        <v/>
      </c>
      <c r="D14231" s="42"/>
      <c r="E14231" s="42"/>
      <c r="F14231" s="48" t="str">
        <f>IFERROR(__xludf.DUMMYFUNCTION("""COMPUTED_VALUE"""),"")</f>
        <v/>
      </c>
      <c r="G14231" s="42" t="str">
        <f>IFERROR(__xludf.DUMMYFUNCTION("""COMPUTED_VALUE"""),"")</f>
        <v/>
      </c>
      <c r="H14231" s="42">
        <f t="shared" si="1"/>
        <v>3345</v>
      </c>
    </row>
    <row r="14232" ht="22.5" customHeight="1">
      <c r="B14232" s="42" t="str">
        <f>IFERROR(__xludf.DUMMYFUNCTION("""COMPUTED_VALUE"""),"")</f>
        <v/>
      </c>
      <c r="C14232" s="42" t="str">
        <f>IFERROR(__xludf.DUMMYFUNCTION("""COMPUTED_VALUE"""),"")</f>
        <v/>
      </c>
      <c r="D14232" s="42"/>
      <c r="E14232" s="42"/>
      <c r="F14232" s="48" t="str">
        <f>IFERROR(__xludf.DUMMYFUNCTION("""COMPUTED_VALUE"""),"")</f>
        <v/>
      </c>
      <c r="G14232" s="42" t="str">
        <f>IFERROR(__xludf.DUMMYFUNCTION("""COMPUTED_VALUE"""),"")</f>
        <v/>
      </c>
      <c r="H14232" s="42">
        <f t="shared" si="1"/>
        <v>3345</v>
      </c>
    </row>
    <row r="14233" ht="22.5" customHeight="1">
      <c r="B14233" s="42" t="str">
        <f>IFERROR(__xludf.DUMMYFUNCTION("""COMPUTED_VALUE"""),"")</f>
        <v/>
      </c>
      <c r="C14233" s="42" t="str">
        <f>IFERROR(__xludf.DUMMYFUNCTION("""COMPUTED_VALUE"""),"")</f>
        <v/>
      </c>
      <c r="D14233" s="42"/>
      <c r="E14233" s="42"/>
      <c r="F14233" s="48" t="str">
        <f>IFERROR(__xludf.DUMMYFUNCTION("""COMPUTED_VALUE"""),"")</f>
        <v/>
      </c>
      <c r="G14233" s="42" t="str">
        <f>IFERROR(__xludf.DUMMYFUNCTION("""COMPUTED_VALUE"""),"")</f>
        <v/>
      </c>
      <c r="H14233" s="42">
        <f t="shared" si="1"/>
        <v>3345</v>
      </c>
    </row>
    <row r="14234" ht="22.5" customHeight="1">
      <c r="B14234" s="42" t="str">
        <f>IFERROR(__xludf.DUMMYFUNCTION("""COMPUTED_VALUE"""),"")</f>
        <v/>
      </c>
      <c r="C14234" s="42" t="str">
        <f>IFERROR(__xludf.DUMMYFUNCTION("""COMPUTED_VALUE"""),"")</f>
        <v/>
      </c>
      <c r="D14234" s="42"/>
      <c r="E14234" s="42"/>
      <c r="F14234" s="48" t="str">
        <f>IFERROR(__xludf.DUMMYFUNCTION("""COMPUTED_VALUE"""),"")</f>
        <v/>
      </c>
      <c r="G14234" s="42" t="str">
        <f>IFERROR(__xludf.DUMMYFUNCTION("""COMPUTED_VALUE"""),"")</f>
        <v/>
      </c>
      <c r="H14234" s="42">
        <f t="shared" si="1"/>
        <v>3345</v>
      </c>
    </row>
    <row r="14235" ht="22.5" customHeight="1">
      <c r="B14235" s="42" t="str">
        <f>IFERROR(__xludf.DUMMYFUNCTION("""COMPUTED_VALUE"""),"")</f>
        <v/>
      </c>
      <c r="C14235" s="42" t="str">
        <f>IFERROR(__xludf.DUMMYFUNCTION("""COMPUTED_VALUE"""),"")</f>
        <v/>
      </c>
      <c r="D14235" s="42"/>
      <c r="E14235" s="42"/>
      <c r="F14235" s="48" t="str">
        <f>IFERROR(__xludf.DUMMYFUNCTION("""COMPUTED_VALUE"""),"")</f>
        <v/>
      </c>
      <c r="G14235" s="42" t="str">
        <f>IFERROR(__xludf.DUMMYFUNCTION("""COMPUTED_VALUE"""),"")</f>
        <v/>
      </c>
      <c r="H14235" s="42">
        <f t="shared" si="1"/>
        <v>3345</v>
      </c>
    </row>
    <row r="14236" ht="22.5" customHeight="1">
      <c r="B14236" s="42" t="str">
        <f>IFERROR(__xludf.DUMMYFUNCTION("""COMPUTED_VALUE"""),"")</f>
        <v/>
      </c>
      <c r="C14236" s="42" t="str">
        <f>IFERROR(__xludf.DUMMYFUNCTION("""COMPUTED_VALUE"""),"")</f>
        <v/>
      </c>
      <c r="D14236" s="42"/>
      <c r="E14236" s="42"/>
      <c r="F14236" s="48" t="str">
        <f>IFERROR(__xludf.DUMMYFUNCTION("""COMPUTED_VALUE"""),"")</f>
        <v/>
      </c>
      <c r="G14236" s="42" t="str">
        <f>IFERROR(__xludf.DUMMYFUNCTION("""COMPUTED_VALUE"""),"")</f>
        <v/>
      </c>
      <c r="H14236" s="42">
        <f t="shared" si="1"/>
        <v>3345</v>
      </c>
    </row>
    <row r="14237" ht="22.5" customHeight="1">
      <c r="B14237" s="42" t="str">
        <f>IFERROR(__xludf.DUMMYFUNCTION("""COMPUTED_VALUE"""),"")</f>
        <v/>
      </c>
      <c r="C14237" s="42" t="str">
        <f>IFERROR(__xludf.DUMMYFUNCTION("""COMPUTED_VALUE"""),"")</f>
        <v/>
      </c>
      <c r="D14237" s="42"/>
      <c r="E14237" s="42"/>
      <c r="F14237" s="48" t="str">
        <f>IFERROR(__xludf.DUMMYFUNCTION("""COMPUTED_VALUE"""),"")</f>
        <v/>
      </c>
      <c r="G14237" s="42" t="str">
        <f>IFERROR(__xludf.DUMMYFUNCTION("""COMPUTED_VALUE"""),"")</f>
        <v/>
      </c>
      <c r="H14237" s="42">
        <f t="shared" si="1"/>
        <v>3345</v>
      </c>
    </row>
    <row r="14238" ht="22.5" customHeight="1">
      <c r="B14238" s="42" t="str">
        <f>IFERROR(__xludf.DUMMYFUNCTION("""COMPUTED_VALUE"""),"")</f>
        <v/>
      </c>
      <c r="C14238" s="42" t="str">
        <f>IFERROR(__xludf.DUMMYFUNCTION("""COMPUTED_VALUE"""),"")</f>
        <v/>
      </c>
      <c r="D14238" s="42"/>
      <c r="E14238" s="42"/>
      <c r="F14238" s="48" t="str">
        <f>IFERROR(__xludf.DUMMYFUNCTION("""COMPUTED_VALUE"""),"")</f>
        <v/>
      </c>
      <c r="G14238" s="42" t="str">
        <f>IFERROR(__xludf.DUMMYFUNCTION("""COMPUTED_VALUE"""),"")</f>
        <v/>
      </c>
      <c r="H14238" s="42">
        <f t="shared" si="1"/>
        <v>3345</v>
      </c>
    </row>
    <row r="14239" ht="22.5" customHeight="1">
      <c r="B14239" s="42" t="str">
        <f>IFERROR(__xludf.DUMMYFUNCTION("""COMPUTED_VALUE"""),"")</f>
        <v/>
      </c>
      <c r="C14239" s="42" t="str">
        <f>IFERROR(__xludf.DUMMYFUNCTION("""COMPUTED_VALUE"""),"")</f>
        <v/>
      </c>
      <c r="D14239" s="42"/>
      <c r="E14239" s="42"/>
      <c r="F14239" s="48" t="str">
        <f>IFERROR(__xludf.DUMMYFUNCTION("""COMPUTED_VALUE"""),"")</f>
        <v/>
      </c>
      <c r="G14239" s="42" t="str">
        <f>IFERROR(__xludf.DUMMYFUNCTION("""COMPUTED_VALUE"""),"")</f>
        <v/>
      </c>
      <c r="H14239" s="42">
        <f t="shared" si="1"/>
        <v>3345</v>
      </c>
    </row>
    <row r="14240" ht="22.5" customHeight="1">
      <c r="B14240" s="42" t="str">
        <f>IFERROR(__xludf.DUMMYFUNCTION("""COMPUTED_VALUE"""),"")</f>
        <v/>
      </c>
      <c r="C14240" s="42" t="str">
        <f>IFERROR(__xludf.DUMMYFUNCTION("""COMPUTED_VALUE"""),"")</f>
        <v/>
      </c>
      <c r="D14240" s="42"/>
      <c r="E14240" s="42"/>
      <c r="F14240" s="48" t="str">
        <f>IFERROR(__xludf.DUMMYFUNCTION("""COMPUTED_VALUE"""),"")</f>
        <v/>
      </c>
      <c r="G14240" s="42" t="str">
        <f>IFERROR(__xludf.DUMMYFUNCTION("""COMPUTED_VALUE"""),"")</f>
        <v/>
      </c>
      <c r="H14240" s="42">
        <f t="shared" si="1"/>
        <v>3345</v>
      </c>
    </row>
    <row r="14241" ht="22.5" customHeight="1">
      <c r="B14241" s="42" t="str">
        <f>IFERROR(__xludf.DUMMYFUNCTION("""COMPUTED_VALUE"""),"")</f>
        <v/>
      </c>
      <c r="C14241" s="42" t="str">
        <f>IFERROR(__xludf.DUMMYFUNCTION("""COMPUTED_VALUE"""),"")</f>
        <v/>
      </c>
      <c r="D14241" s="42"/>
      <c r="E14241" s="42"/>
      <c r="F14241" s="48" t="str">
        <f>IFERROR(__xludf.DUMMYFUNCTION("""COMPUTED_VALUE"""),"")</f>
        <v/>
      </c>
      <c r="G14241" s="42" t="str">
        <f>IFERROR(__xludf.DUMMYFUNCTION("""COMPUTED_VALUE"""),"")</f>
        <v/>
      </c>
      <c r="H14241" s="42">
        <f t="shared" si="1"/>
        <v>3345</v>
      </c>
    </row>
    <row r="14242" ht="22.5" customHeight="1">
      <c r="B14242" s="42" t="str">
        <f>IFERROR(__xludf.DUMMYFUNCTION("""COMPUTED_VALUE"""),"")</f>
        <v/>
      </c>
      <c r="C14242" s="42" t="str">
        <f>IFERROR(__xludf.DUMMYFUNCTION("""COMPUTED_VALUE"""),"")</f>
        <v/>
      </c>
      <c r="D14242" s="42"/>
      <c r="E14242" s="42"/>
      <c r="F14242" s="48" t="str">
        <f>IFERROR(__xludf.DUMMYFUNCTION("""COMPUTED_VALUE"""),"")</f>
        <v/>
      </c>
      <c r="G14242" s="42" t="str">
        <f>IFERROR(__xludf.DUMMYFUNCTION("""COMPUTED_VALUE"""),"")</f>
        <v/>
      </c>
      <c r="H14242" s="42">
        <f t="shared" si="1"/>
        <v>3345</v>
      </c>
    </row>
    <row r="14243" ht="22.5" customHeight="1">
      <c r="B14243" s="42" t="str">
        <f>IFERROR(__xludf.DUMMYFUNCTION("""COMPUTED_VALUE"""),"")</f>
        <v/>
      </c>
      <c r="C14243" s="42" t="str">
        <f>IFERROR(__xludf.DUMMYFUNCTION("""COMPUTED_VALUE"""),"")</f>
        <v/>
      </c>
      <c r="D14243" s="42"/>
      <c r="E14243" s="42"/>
      <c r="F14243" s="48" t="str">
        <f>IFERROR(__xludf.DUMMYFUNCTION("""COMPUTED_VALUE"""),"")</f>
        <v/>
      </c>
      <c r="G14243" s="42" t="str">
        <f>IFERROR(__xludf.DUMMYFUNCTION("""COMPUTED_VALUE"""),"")</f>
        <v/>
      </c>
      <c r="H14243" s="42">
        <f t="shared" si="1"/>
        <v>3345</v>
      </c>
    </row>
    <row r="14244" ht="22.5" customHeight="1">
      <c r="B14244" s="42" t="str">
        <f>IFERROR(__xludf.DUMMYFUNCTION("""COMPUTED_VALUE"""),"")</f>
        <v/>
      </c>
      <c r="C14244" s="42" t="str">
        <f>IFERROR(__xludf.DUMMYFUNCTION("""COMPUTED_VALUE"""),"")</f>
        <v/>
      </c>
      <c r="D14244" s="42"/>
      <c r="E14244" s="42"/>
      <c r="F14244" s="48" t="str">
        <f>IFERROR(__xludf.DUMMYFUNCTION("""COMPUTED_VALUE"""),"")</f>
        <v/>
      </c>
      <c r="G14244" s="42" t="str">
        <f>IFERROR(__xludf.DUMMYFUNCTION("""COMPUTED_VALUE"""),"")</f>
        <v/>
      </c>
      <c r="H14244" s="42">
        <f t="shared" si="1"/>
        <v>3345</v>
      </c>
    </row>
    <row r="14245" ht="22.5" customHeight="1">
      <c r="B14245" s="42" t="str">
        <f>IFERROR(__xludf.DUMMYFUNCTION("""COMPUTED_VALUE"""),"")</f>
        <v/>
      </c>
      <c r="C14245" s="42" t="str">
        <f>IFERROR(__xludf.DUMMYFUNCTION("""COMPUTED_VALUE"""),"")</f>
        <v/>
      </c>
      <c r="D14245" s="42"/>
      <c r="E14245" s="42"/>
      <c r="F14245" s="48" t="str">
        <f>IFERROR(__xludf.DUMMYFUNCTION("""COMPUTED_VALUE"""),"")</f>
        <v/>
      </c>
      <c r="G14245" s="42" t="str">
        <f>IFERROR(__xludf.DUMMYFUNCTION("""COMPUTED_VALUE"""),"")</f>
        <v/>
      </c>
      <c r="H14245" s="42">
        <f t="shared" si="1"/>
        <v>3345</v>
      </c>
    </row>
    <row r="14246" ht="22.5" customHeight="1">
      <c r="B14246" s="42" t="str">
        <f>IFERROR(__xludf.DUMMYFUNCTION("""COMPUTED_VALUE"""),"")</f>
        <v/>
      </c>
      <c r="C14246" s="42" t="str">
        <f>IFERROR(__xludf.DUMMYFUNCTION("""COMPUTED_VALUE"""),"")</f>
        <v/>
      </c>
      <c r="D14246" s="42"/>
      <c r="E14246" s="42"/>
      <c r="F14246" s="48" t="str">
        <f>IFERROR(__xludf.DUMMYFUNCTION("""COMPUTED_VALUE"""),"")</f>
        <v/>
      </c>
      <c r="G14246" s="42" t="str">
        <f>IFERROR(__xludf.DUMMYFUNCTION("""COMPUTED_VALUE"""),"")</f>
        <v/>
      </c>
      <c r="H14246" s="42">
        <f t="shared" si="1"/>
        <v>3345</v>
      </c>
    </row>
    <row r="14247" ht="22.5" customHeight="1">
      <c r="B14247" s="42" t="str">
        <f>IFERROR(__xludf.DUMMYFUNCTION("""COMPUTED_VALUE"""),"")</f>
        <v/>
      </c>
      <c r="C14247" s="42" t="str">
        <f>IFERROR(__xludf.DUMMYFUNCTION("""COMPUTED_VALUE"""),"")</f>
        <v/>
      </c>
      <c r="D14247" s="42"/>
      <c r="E14247" s="42"/>
      <c r="F14247" s="48" t="str">
        <f>IFERROR(__xludf.DUMMYFUNCTION("""COMPUTED_VALUE"""),"")</f>
        <v/>
      </c>
      <c r="G14247" s="42" t="str">
        <f>IFERROR(__xludf.DUMMYFUNCTION("""COMPUTED_VALUE"""),"")</f>
        <v/>
      </c>
      <c r="H14247" s="42">
        <f t="shared" si="1"/>
        <v>3345</v>
      </c>
    </row>
    <row r="14248" ht="22.5" customHeight="1">
      <c r="B14248" s="42" t="str">
        <f>IFERROR(__xludf.DUMMYFUNCTION("""COMPUTED_VALUE"""),"")</f>
        <v/>
      </c>
      <c r="C14248" s="42" t="str">
        <f>IFERROR(__xludf.DUMMYFUNCTION("""COMPUTED_VALUE"""),"")</f>
        <v/>
      </c>
      <c r="D14248" s="42"/>
      <c r="E14248" s="42"/>
      <c r="F14248" s="48" t="str">
        <f>IFERROR(__xludf.DUMMYFUNCTION("""COMPUTED_VALUE"""),"")</f>
        <v/>
      </c>
      <c r="G14248" s="42" t="str">
        <f>IFERROR(__xludf.DUMMYFUNCTION("""COMPUTED_VALUE"""),"")</f>
        <v/>
      </c>
      <c r="H14248" s="42">
        <f t="shared" si="1"/>
        <v>3345</v>
      </c>
    </row>
    <row r="14249" ht="22.5" customHeight="1">
      <c r="B14249" s="42" t="str">
        <f>IFERROR(__xludf.DUMMYFUNCTION("""COMPUTED_VALUE"""),"")</f>
        <v/>
      </c>
      <c r="C14249" s="42" t="str">
        <f>IFERROR(__xludf.DUMMYFUNCTION("""COMPUTED_VALUE"""),"")</f>
        <v/>
      </c>
      <c r="D14249" s="42"/>
      <c r="E14249" s="42"/>
      <c r="F14249" s="48" t="str">
        <f>IFERROR(__xludf.DUMMYFUNCTION("""COMPUTED_VALUE"""),"")</f>
        <v/>
      </c>
      <c r="G14249" s="42" t="str">
        <f>IFERROR(__xludf.DUMMYFUNCTION("""COMPUTED_VALUE"""),"")</f>
        <v/>
      </c>
      <c r="H14249" s="42">
        <f t="shared" si="1"/>
        <v>3345</v>
      </c>
    </row>
    <row r="14250" ht="22.5" customHeight="1">
      <c r="B14250" s="42" t="str">
        <f>IFERROR(__xludf.DUMMYFUNCTION("""COMPUTED_VALUE"""),"")</f>
        <v/>
      </c>
      <c r="C14250" s="42" t="str">
        <f>IFERROR(__xludf.DUMMYFUNCTION("""COMPUTED_VALUE"""),"")</f>
        <v/>
      </c>
      <c r="D14250" s="42"/>
      <c r="E14250" s="42"/>
      <c r="F14250" s="48" t="str">
        <f>IFERROR(__xludf.DUMMYFUNCTION("""COMPUTED_VALUE"""),"")</f>
        <v/>
      </c>
      <c r="G14250" s="42" t="str">
        <f>IFERROR(__xludf.DUMMYFUNCTION("""COMPUTED_VALUE"""),"")</f>
        <v/>
      </c>
      <c r="H14250" s="42">
        <f t="shared" si="1"/>
        <v>3345</v>
      </c>
    </row>
    <row r="14251" ht="22.5" customHeight="1">
      <c r="B14251" s="42" t="str">
        <f>IFERROR(__xludf.DUMMYFUNCTION("""COMPUTED_VALUE"""),"")</f>
        <v/>
      </c>
      <c r="C14251" s="42" t="str">
        <f>IFERROR(__xludf.DUMMYFUNCTION("""COMPUTED_VALUE"""),"")</f>
        <v/>
      </c>
      <c r="D14251" s="42"/>
      <c r="E14251" s="42"/>
      <c r="F14251" s="48" t="str">
        <f>IFERROR(__xludf.DUMMYFUNCTION("""COMPUTED_VALUE"""),"")</f>
        <v/>
      </c>
      <c r="G14251" s="42" t="str">
        <f>IFERROR(__xludf.DUMMYFUNCTION("""COMPUTED_VALUE"""),"")</f>
        <v/>
      </c>
      <c r="H14251" s="42">
        <f t="shared" si="1"/>
        <v>3345</v>
      </c>
    </row>
    <row r="14252" ht="22.5" customHeight="1">
      <c r="B14252" s="42" t="str">
        <f>IFERROR(__xludf.DUMMYFUNCTION("""COMPUTED_VALUE"""),"")</f>
        <v/>
      </c>
      <c r="C14252" s="42" t="str">
        <f>IFERROR(__xludf.DUMMYFUNCTION("""COMPUTED_VALUE"""),"")</f>
        <v/>
      </c>
      <c r="D14252" s="42"/>
      <c r="E14252" s="42"/>
      <c r="F14252" s="48" t="str">
        <f>IFERROR(__xludf.DUMMYFUNCTION("""COMPUTED_VALUE"""),"")</f>
        <v/>
      </c>
      <c r="G14252" s="42" t="str">
        <f>IFERROR(__xludf.DUMMYFUNCTION("""COMPUTED_VALUE"""),"")</f>
        <v/>
      </c>
      <c r="H14252" s="42">
        <f t="shared" si="1"/>
        <v>3345</v>
      </c>
    </row>
    <row r="14253" ht="22.5" customHeight="1">
      <c r="B14253" s="42" t="str">
        <f>IFERROR(__xludf.DUMMYFUNCTION("""COMPUTED_VALUE"""),"")</f>
        <v/>
      </c>
      <c r="C14253" s="42" t="str">
        <f>IFERROR(__xludf.DUMMYFUNCTION("""COMPUTED_VALUE"""),"")</f>
        <v/>
      </c>
      <c r="D14253" s="42"/>
      <c r="E14253" s="42"/>
      <c r="F14253" s="48" t="str">
        <f>IFERROR(__xludf.DUMMYFUNCTION("""COMPUTED_VALUE"""),"")</f>
        <v/>
      </c>
      <c r="G14253" s="42" t="str">
        <f>IFERROR(__xludf.DUMMYFUNCTION("""COMPUTED_VALUE"""),"")</f>
        <v/>
      </c>
      <c r="H14253" s="42">
        <f t="shared" si="1"/>
        <v>3345</v>
      </c>
    </row>
    <row r="14254" ht="22.5" customHeight="1">
      <c r="B14254" s="42" t="str">
        <f>IFERROR(__xludf.DUMMYFUNCTION("""COMPUTED_VALUE"""),"")</f>
        <v/>
      </c>
      <c r="C14254" s="42" t="str">
        <f>IFERROR(__xludf.DUMMYFUNCTION("""COMPUTED_VALUE"""),"")</f>
        <v/>
      </c>
      <c r="D14254" s="42"/>
      <c r="E14254" s="42"/>
      <c r="F14254" s="48" t="str">
        <f>IFERROR(__xludf.DUMMYFUNCTION("""COMPUTED_VALUE"""),"")</f>
        <v/>
      </c>
      <c r="G14254" s="42" t="str">
        <f>IFERROR(__xludf.DUMMYFUNCTION("""COMPUTED_VALUE"""),"")</f>
        <v/>
      </c>
      <c r="H14254" s="42">
        <f t="shared" si="1"/>
        <v>3345</v>
      </c>
    </row>
    <row r="14255" ht="22.5" customHeight="1">
      <c r="B14255" s="42" t="str">
        <f>IFERROR(__xludf.DUMMYFUNCTION("""COMPUTED_VALUE"""),"")</f>
        <v/>
      </c>
      <c r="C14255" s="42" t="str">
        <f>IFERROR(__xludf.DUMMYFUNCTION("""COMPUTED_VALUE"""),"")</f>
        <v/>
      </c>
      <c r="D14255" s="42"/>
      <c r="E14255" s="42"/>
      <c r="F14255" s="48" t="str">
        <f>IFERROR(__xludf.DUMMYFUNCTION("""COMPUTED_VALUE"""),"")</f>
        <v/>
      </c>
      <c r="G14255" s="42" t="str">
        <f>IFERROR(__xludf.DUMMYFUNCTION("""COMPUTED_VALUE"""),"")</f>
        <v/>
      </c>
      <c r="H14255" s="42">
        <f t="shared" si="1"/>
        <v>3345</v>
      </c>
    </row>
    <row r="14256" ht="22.5" customHeight="1">
      <c r="B14256" s="42" t="str">
        <f>IFERROR(__xludf.DUMMYFUNCTION("""COMPUTED_VALUE"""),"")</f>
        <v/>
      </c>
      <c r="C14256" s="42" t="str">
        <f>IFERROR(__xludf.DUMMYFUNCTION("""COMPUTED_VALUE"""),"")</f>
        <v/>
      </c>
      <c r="D14256" s="42"/>
      <c r="E14256" s="42"/>
      <c r="F14256" s="48" t="str">
        <f>IFERROR(__xludf.DUMMYFUNCTION("""COMPUTED_VALUE"""),"")</f>
        <v/>
      </c>
      <c r="G14256" s="42" t="str">
        <f>IFERROR(__xludf.DUMMYFUNCTION("""COMPUTED_VALUE"""),"")</f>
        <v/>
      </c>
      <c r="H14256" s="42">
        <f t="shared" si="1"/>
        <v>3345</v>
      </c>
    </row>
    <row r="14257" ht="22.5" customHeight="1">
      <c r="B14257" s="42" t="str">
        <f>IFERROR(__xludf.DUMMYFUNCTION("""COMPUTED_VALUE"""),"")</f>
        <v/>
      </c>
      <c r="C14257" s="42" t="str">
        <f>IFERROR(__xludf.DUMMYFUNCTION("""COMPUTED_VALUE"""),"")</f>
        <v/>
      </c>
      <c r="D14257" s="42"/>
      <c r="E14257" s="42"/>
      <c r="F14257" s="48" t="str">
        <f>IFERROR(__xludf.DUMMYFUNCTION("""COMPUTED_VALUE"""),"")</f>
        <v/>
      </c>
      <c r="G14257" s="42" t="str">
        <f>IFERROR(__xludf.DUMMYFUNCTION("""COMPUTED_VALUE"""),"")</f>
        <v/>
      </c>
      <c r="H14257" s="42">
        <f t="shared" si="1"/>
        <v>3345</v>
      </c>
    </row>
    <row r="14258" ht="22.5" customHeight="1">
      <c r="B14258" s="42" t="str">
        <f>IFERROR(__xludf.DUMMYFUNCTION("""COMPUTED_VALUE"""),"")</f>
        <v/>
      </c>
      <c r="C14258" s="42" t="str">
        <f>IFERROR(__xludf.DUMMYFUNCTION("""COMPUTED_VALUE"""),"")</f>
        <v/>
      </c>
      <c r="D14258" s="42"/>
      <c r="E14258" s="42"/>
      <c r="F14258" s="48" t="str">
        <f>IFERROR(__xludf.DUMMYFUNCTION("""COMPUTED_VALUE"""),"")</f>
        <v/>
      </c>
      <c r="G14258" s="42" t="str">
        <f>IFERROR(__xludf.DUMMYFUNCTION("""COMPUTED_VALUE"""),"")</f>
        <v/>
      </c>
      <c r="H14258" s="42">
        <f t="shared" si="1"/>
        <v>3345</v>
      </c>
    </row>
    <row r="14259" ht="22.5" customHeight="1">
      <c r="B14259" s="42" t="str">
        <f>IFERROR(__xludf.DUMMYFUNCTION("""COMPUTED_VALUE"""),"")</f>
        <v/>
      </c>
      <c r="C14259" s="42" t="str">
        <f>IFERROR(__xludf.DUMMYFUNCTION("""COMPUTED_VALUE"""),"")</f>
        <v/>
      </c>
      <c r="D14259" s="42"/>
      <c r="E14259" s="42"/>
      <c r="F14259" s="48" t="str">
        <f>IFERROR(__xludf.DUMMYFUNCTION("""COMPUTED_VALUE"""),"")</f>
        <v/>
      </c>
      <c r="G14259" s="42" t="str">
        <f>IFERROR(__xludf.DUMMYFUNCTION("""COMPUTED_VALUE"""),"")</f>
        <v/>
      </c>
      <c r="H14259" s="42">
        <f t="shared" si="1"/>
        <v>3345</v>
      </c>
    </row>
    <row r="14260" ht="22.5" customHeight="1">
      <c r="B14260" s="42" t="str">
        <f>IFERROR(__xludf.DUMMYFUNCTION("""COMPUTED_VALUE"""),"")</f>
        <v/>
      </c>
      <c r="C14260" s="42" t="str">
        <f>IFERROR(__xludf.DUMMYFUNCTION("""COMPUTED_VALUE"""),"")</f>
        <v/>
      </c>
      <c r="D14260" s="42"/>
      <c r="E14260" s="42"/>
      <c r="F14260" s="48" t="str">
        <f>IFERROR(__xludf.DUMMYFUNCTION("""COMPUTED_VALUE"""),"")</f>
        <v/>
      </c>
      <c r="G14260" s="42" t="str">
        <f>IFERROR(__xludf.DUMMYFUNCTION("""COMPUTED_VALUE"""),"")</f>
        <v/>
      </c>
      <c r="H14260" s="42">
        <f t="shared" si="1"/>
        <v>3345</v>
      </c>
    </row>
    <row r="14261" ht="22.5" customHeight="1">
      <c r="B14261" s="42" t="str">
        <f>IFERROR(__xludf.DUMMYFUNCTION("""COMPUTED_VALUE"""),"")</f>
        <v/>
      </c>
      <c r="C14261" s="42" t="str">
        <f>IFERROR(__xludf.DUMMYFUNCTION("""COMPUTED_VALUE"""),"")</f>
        <v/>
      </c>
      <c r="D14261" s="42"/>
      <c r="E14261" s="42"/>
      <c r="F14261" s="48" t="str">
        <f>IFERROR(__xludf.DUMMYFUNCTION("""COMPUTED_VALUE"""),"")</f>
        <v/>
      </c>
      <c r="G14261" s="42" t="str">
        <f>IFERROR(__xludf.DUMMYFUNCTION("""COMPUTED_VALUE"""),"")</f>
        <v/>
      </c>
      <c r="H14261" s="42">
        <f t="shared" si="1"/>
        <v>3345</v>
      </c>
    </row>
    <row r="14262" ht="22.5" customHeight="1">
      <c r="B14262" s="42" t="str">
        <f>IFERROR(__xludf.DUMMYFUNCTION("""COMPUTED_VALUE"""),"")</f>
        <v/>
      </c>
      <c r="C14262" s="42" t="str">
        <f>IFERROR(__xludf.DUMMYFUNCTION("""COMPUTED_VALUE"""),"")</f>
        <v/>
      </c>
      <c r="D14262" s="42"/>
      <c r="E14262" s="42"/>
      <c r="F14262" s="48" t="str">
        <f>IFERROR(__xludf.DUMMYFUNCTION("""COMPUTED_VALUE"""),"")</f>
        <v/>
      </c>
      <c r="G14262" s="42" t="str">
        <f>IFERROR(__xludf.DUMMYFUNCTION("""COMPUTED_VALUE"""),"")</f>
        <v/>
      </c>
      <c r="H14262" s="42">
        <f t="shared" si="1"/>
        <v>3345</v>
      </c>
    </row>
    <row r="14263" ht="22.5" customHeight="1">
      <c r="B14263" s="42" t="str">
        <f>IFERROR(__xludf.DUMMYFUNCTION("""COMPUTED_VALUE"""),"")</f>
        <v/>
      </c>
      <c r="C14263" s="42" t="str">
        <f>IFERROR(__xludf.DUMMYFUNCTION("""COMPUTED_VALUE"""),"")</f>
        <v/>
      </c>
      <c r="D14263" s="42"/>
      <c r="E14263" s="42"/>
      <c r="F14263" s="48" t="str">
        <f>IFERROR(__xludf.DUMMYFUNCTION("""COMPUTED_VALUE"""),"")</f>
        <v/>
      </c>
      <c r="G14263" s="42" t="str">
        <f>IFERROR(__xludf.DUMMYFUNCTION("""COMPUTED_VALUE"""),"")</f>
        <v/>
      </c>
      <c r="H14263" s="42">
        <f t="shared" si="1"/>
        <v>3345</v>
      </c>
    </row>
    <row r="14264" ht="22.5" customHeight="1">
      <c r="B14264" s="42" t="str">
        <f>IFERROR(__xludf.DUMMYFUNCTION("""COMPUTED_VALUE"""),"")</f>
        <v/>
      </c>
      <c r="C14264" s="42" t="str">
        <f>IFERROR(__xludf.DUMMYFUNCTION("""COMPUTED_VALUE"""),"")</f>
        <v/>
      </c>
      <c r="D14264" s="42"/>
      <c r="E14264" s="42"/>
      <c r="F14264" s="48" t="str">
        <f>IFERROR(__xludf.DUMMYFUNCTION("""COMPUTED_VALUE"""),"")</f>
        <v/>
      </c>
      <c r="G14264" s="42" t="str">
        <f>IFERROR(__xludf.DUMMYFUNCTION("""COMPUTED_VALUE"""),"")</f>
        <v/>
      </c>
      <c r="H14264" s="42">
        <f t="shared" si="1"/>
        <v>3345</v>
      </c>
    </row>
    <row r="14265" ht="22.5" customHeight="1">
      <c r="B14265" s="42" t="str">
        <f>IFERROR(__xludf.DUMMYFUNCTION("""COMPUTED_VALUE"""),"")</f>
        <v/>
      </c>
      <c r="C14265" s="42" t="str">
        <f>IFERROR(__xludf.DUMMYFUNCTION("""COMPUTED_VALUE"""),"")</f>
        <v/>
      </c>
      <c r="D14265" s="42"/>
      <c r="E14265" s="42"/>
      <c r="F14265" s="48" t="str">
        <f>IFERROR(__xludf.DUMMYFUNCTION("""COMPUTED_VALUE"""),"")</f>
        <v/>
      </c>
      <c r="G14265" s="42" t="str">
        <f>IFERROR(__xludf.DUMMYFUNCTION("""COMPUTED_VALUE"""),"")</f>
        <v/>
      </c>
      <c r="H14265" s="42">
        <f t="shared" si="1"/>
        <v>3345</v>
      </c>
    </row>
    <row r="14266" ht="22.5" customHeight="1">
      <c r="B14266" s="42" t="str">
        <f>IFERROR(__xludf.DUMMYFUNCTION("""COMPUTED_VALUE"""),"")</f>
        <v/>
      </c>
      <c r="C14266" s="42" t="str">
        <f>IFERROR(__xludf.DUMMYFUNCTION("""COMPUTED_VALUE"""),"")</f>
        <v/>
      </c>
      <c r="D14266" s="42"/>
      <c r="E14266" s="42"/>
      <c r="F14266" s="48" t="str">
        <f>IFERROR(__xludf.DUMMYFUNCTION("""COMPUTED_VALUE"""),"")</f>
        <v/>
      </c>
      <c r="G14266" s="42" t="str">
        <f>IFERROR(__xludf.DUMMYFUNCTION("""COMPUTED_VALUE"""),"")</f>
        <v/>
      </c>
      <c r="H14266" s="42">
        <f t="shared" si="1"/>
        <v>3345</v>
      </c>
    </row>
    <row r="14267" ht="22.5" customHeight="1">
      <c r="B14267" s="42" t="str">
        <f>IFERROR(__xludf.DUMMYFUNCTION("""COMPUTED_VALUE"""),"")</f>
        <v/>
      </c>
      <c r="C14267" s="42" t="str">
        <f>IFERROR(__xludf.DUMMYFUNCTION("""COMPUTED_VALUE"""),"")</f>
        <v/>
      </c>
      <c r="D14267" s="42"/>
      <c r="E14267" s="42"/>
      <c r="F14267" s="48" t="str">
        <f>IFERROR(__xludf.DUMMYFUNCTION("""COMPUTED_VALUE"""),"")</f>
        <v/>
      </c>
      <c r="G14267" s="42" t="str">
        <f>IFERROR(__xludf.DUMMYFUNCTION("""COMPUTED_VALUE"""),"")</f>
        <v/>
      </c>
      <c r="H14267" s="42">
        <f t="shared" si="1"/>
        <v>3345</v>
      </c>
    </row>
    <row r="14268" ht="22.5" customHeight="1">
      <c r="B14268" s="42" t="str">
        <f>IFERROR(__xludf.DUMMYFUNCTION("""COMPUTED_VALUE"""),"")</f>
        <v/>
      </c>
      <c r="C14268" s="42" t="str">
        <f>IFERROR(__xludf.DUMMYFUNCTION("""COMPUTED_VALUE"""),"")</f>
        <v/>
      </c>
      <c r="D14268" s="42"/>
      <c r="E14268" s="42"/>
      <c r="F14268" s="48" t="str">
        <f>IFERROR(__xludf.DUMMYFUNCTION("""COMPUTED_VALUE"""),"")</f>
        <v/>
      </c>
      <c r="G14268" s="42" t="str">
        <f>IFERROR(__xludf.DUMMYFUNCTION("""COMPUTED_VALUE"""),"")</f>
        <v/>
      </c>
      <c r="H14268" s="42">
        <f t="shared" si="1"/>
        <v>3345</v>
      </c>
    </row>
    <row r="14269" ht="22.5" customHeight="1">
      <c r="B14269" s="42" t="str">
        <f>IFERROR(__xludf.DUMMYFUNCTION("""COMPUTED_VALUE"""),"")</f>
        <v/>
      </c>
      <c r="C14269" s="42" t="str">
        <f>IFERROR(__xludf.DUMMYFUNCTION("""COMPUTED_VALUE"""),"")</f>
        <v/>
      </c>
      <c r="D14269" s="42"/>
      <c r="E14269" s="42"/>
      <c r="F14269" s="48" t="str">
        <f>IFERROR(__xludf.DUMMYFUNCTION("""COMPUTED_VALUE"""),"")</f>
        <v/>
      </c>
      <c r="G14269" s="42" t="str">
        <f>IFERROR(__xludf.DUMMYFUNCTION("""COMPUTED_VALUE"""),"")</f>
        <v/>
      </c>
      <c r="H14269" s="42">
        <f t="shared" si="1"/>
        <v>3345</v>
      </c>
    </row>
    <row r="14270" ht="22.5" customHeight="1">
      <c r="B14270" s="42" t="str">
        <f>IFERROR(__xludf.DUMMYFUNCTION("""COMPUTED_VALUE"""),"")</f>
        <v/>
      </c>
      <c r="C14270" s="42" t="str">
        <f>IFERROR(__xludf.DUMMYFUNCTION("""COMPUTED_VALUE"""),"")</f>
        <v/>
      </c>
      <c r="D14270" s="42"/>
      <c r="E14270" s="42"/>
      <c r="F14270" s="48" t="str">
        <f>IFERROR(__xludf.DUMMYFUNCTION("""COMPUTED_VALUE"""),"")</f>
        <v/>
      </c>
      <c r="G14270" s="42" t="str">
        <f>IFERROR(__xludf.DUMMYFUNCTION("""COMPUTED_VALUE"""),"")</f>
        <v/>
      </c>
      <c r="H14270" s="42">
        <f t="shared" si="1"/>
        <v>3345</v>
      </c>
    </row>
    <row r="14271" ht="22.5" customHeight="1">
      <c r="B14271" s="42" t="str">
        <f>IFERROR(__xludf.DUMMYFUNCTION("""COMPUTED_VALUE"""),"")</f>
        <v/>
      </c>
      <c r="C14271" s="42" t="str">
        <f>IFERROR(__xludf.DUMMYFUNCTION("""COMPUTED_VALUE"""),"")</f>
        <v/>
      </c>
      <c r="D14271" s="42"/>
      <c r="E14271" s="42"/>
      <c r="F14271" s="48" t="str">
        <f>IFERROR(__xludf.DUMMYFUNCTION("""COMPUTED_VALUE"""),"")</f>
        <v/>
      </c>
      <c r="G14271" s="42" t="str">
        <f>IFERROR(__xludf.DUMMYFUNCTION("""COMPUTED_VALUE"""),"")</f>
        <v/>
      </c>
      <c r="H14271" s="42">
        <f t="shared" si="1"/>
        <v>3345</v>
      </c>
    </row>
    <row r="14272" ht="22.5" customHeight="1">
      <c r="B14272" s="42" t="str">
        <f>IFERROR(__xludf.DUMMYFUNCTION("""COMPUTED_VALUE"""),"")</f>
        <v/>
      </c>
      <c r="C14272" s="42" t="str">
        <f>IFERROR(__xludf.DUMMYFUNCTION("""COMPUTED_VALUE"""),"")</f>
        <v/>
      </c>
      <c r="D14272" s="42"/>
      <c r="E14272" s="42"/>
      <c r="F14272" s="48" t="str">
        <f>IFERROR(__xludf.DUMMYFUNCTION("""COMPUTED_VALUE"""),"")</f>
        <v/>
      </c>
      <c r="G14272" s="42" t="str">
        <f>IFERROR(__xludf.DUMMYFUNCTION("""COMPUTED_VALUE"""),"")</f>
        <v/>
      </c>
      <c r="H14272" s="42">
        <f t="shared" si="1"/>
        <v>3345</v>
      </c>
    </row>
    <row r="14273" ht="22.5" customHeight="1">
      <c r="B14273" s="42" t="str">
        <f>IFERROR(__xludf.DUMMYFUNCTION("""COMPUTED_VALUE"""),"")</f>
        <v/>
      </c>
      <c r="C14273" s="42" t="str">
        <f>IFERROR(__xludf.DUMMYFUNCTION("""COMPUTED_VALUE"""),"")</f>
        <v/>
      </c>
      <c r="D14273" s="42"/>
      <c r="E14273" s="42"/>
      <c r="F14273" s="48" t="str">
        <f>IFERROR(__xludf.DUMMYFUNCTION("""COMPUTED_VALUE"""),"")</f>
        <v/>
      </c>
      <c r="G14273" s="42" t="str">
        <f>IFERROR(__xludf.DUMMYFUNCTION("""COMPUTED_VALUE"""),"")</f>
        <v/>
      </c>
      <c r="H14273" s="42">
        <f t="shared" si="1"/>
        <v>3345</v>
      </c>
    </row>
    <row r="14274" ht="22.5" customHeight="1">
      <c r="B14274" s="42" t="str">
        <f>IFERROR(__xludf.DUMMYFUNCTION("""COMPUTED_VALUE"""),"")</f>
        <v/>
      </c>
      <c r="C14274" s="42" t="str">
        <f>IFERROR(__xludf.DUMMYFUNCTION("""COMPUTED_VALUE"""),"")</f>
        <v/>
      </c>
      <c r="D14274" s="42"/>
      <c r="E14274" s="42"/>
      <c r="F14274" s="48" t="str">
        <f>IFERROR(__xludf.DUMMYFUNCTION("""COMPUTED_VALUE"""),"")</f>
        <v/>
      </c>
      <c r="G14274" s="42" t="str">
        <f>IFERROR(__xludf.DUMMYFUNCTION("""COMPUTED_VALUE"""),"")</f>
        <v/>
      </c>
      <c r="H14274" s="42">
        <f t="shared" si="1"/>
        <v>3345</v>
      </c>
    </row>
    <row r="14275" ht="22.5" customHeight="1">
      <c r="B14275" s="42" t="str">
        <f>IFERROR(__xludf.DUMMYFUNCTION("""COMPUTED_VALUE"""),"")</f>
        <v/>
      </c>
      <c r="C14275" s="42" t="str">
        <f>IFERROR(__xludf.DUMMYFUNCTION("""COMPUTED_VALUE"""),"")</f>
        <v/>
      </c>
      <c r="D14275" s="42"/>
      <c r="E14275" s="42"/>
      <c r="F14275" s="48" t="str">
        <f>IFERROR(__xludf.DUMMYFUNCTION("""COMPUTED_VALUE"""),"")</f>
        <v/>
      </c>
      <c r="G14275" s="42" t="str">
        <f>IFERROR(__xludf.DUMMYFUNCTION("""COMPUTED_VALUE"""),"")</f>
        <v/>
      </c>
      <c r="H14275" s="42">
        <f t="shared" si="1"/>
        <v>3345</v>
      </c>
    </row>
    <row r="14276" ht="22.5" customHeight="1">
      <c r="B14276" s="42" t="str">
        <f>IFERROR(__xludf.DUMMYFUNCTION("""COMPUTED_VALUE"""),"")</f>
        <v/>
      </c>
      <c r="C14276" s="42" t="str">
        <f>IFERROR(__xludf.DUMMYFUNCTION("""COMPUTED_VALUE"""),"")</f>
        <v/>
      </c>
      <c r="D14276" s="42"/>
      <c r="E14276" s="42"/>
      <c r="F14276" s="48" t="str">
        <f>IFERROR(__xludf.DUMMYFUNCTION("""COMPUTED_VALUE"""),"")</f>
        <v/>
      </c>
      <c r="G14276" s="42" t="str">
        <f>IFERROR(__xludf.DUMMYFUNCTION("""COMPUTED_VALUE"""),"")</f>
        <v/>
      </c>
      <c r="H14276" s="42">
        <f t="shared" si="1"/>
        <v>3345</v>
      </c>
    </row>
    <row r="14277" ht="22.5" customHeight="1">
      <c r="B14277" s="42" t="str">
        <f>IFERROR(__xludf.DUMMYFUNCTION("""COMPUTED_VALUE"""),"")</f>
        <v/>
      </c>
      <c r="C14277" s="42" t="str">
        <f>IFERROR(__xludf.DUMMYFUNCTION("""COMPUTED_VALUE"""),"")</f>
        <v/>
      </c>
      <c r="D14277" s="42"/>
      <c r="E14277" s="42"/>
      <c r="F14277" s="48" t="str">
        <f>IFERROR(__xludf.DUMMYFUNCTION("""COMPUTED_VALUE"""),"")</f>
        <v/>
      </c>
      <c r="G14277" s="42" t="str">
        <f>IFERROR(__xludf.DUMMYFUNCTION("""COMPUTED_VALUE"""),"")</f>
        <v/>
      </c>
      <c r="H14277" s="42">
        <f t="shared" si="1"/>
        <v>3345</v>
      </c>
    </row>
    <row r="14278" ht="22.5" customHeight="1">
      <c r="B14278" s="42" t="str">
        <f>IFERROR(__xludf.DUMMYFUNCTION("""COMPUTED_VALUE"""),"")</f>
        <v/>
      </c>
      <c r="C14278" s="42" t="str">
        <f>IFERROR(__xludf.DUMMYFUNCTION("""COMPUTED_VALUE"""),"")</f>
        <v/>
      </c>
      <c r="D14278" s="42"/>
      <c r="E14278" s="42"/>
      <c r="F14278" s="48" t="str">
        <f>IFERROR(__xludf.DUMMYFUNCTION("""COMPUTED_VALUE"""),"")</f>
        <v/>
      </c>
      <c r="G14278" s="42" t="str">
        <f>IFERROR(__xludf.DUMMYFUNCTION("""COMPUTED_VALUE"""),"")</f>
        <v/>
      </c>
      <c r="H14278" s="42">
        <f t="shared" si="1"/>
        <v>3345</v>
      </c>
    </row>
    <row r="14279" ht="22.5" customHeight="1">
      <c r="B14279" s="42" t="str">
        <f>IFERROR(__xludf.DUMMYFUNCTION("""COMPUTED_VALUE"""),"")</f>
        <v/>
      </c>
      <c r="C14279" s="42" t="str">
        <f>IFERROR(__xludf.DUMMYFUNCTION("""COMPUTED_VALUE"""),"")</f>
        <v/>
      </c>
      <c r="D14279" s="42"/>
      <c r="E14279" s="42"/>
      <c r="F14279" s="48" t="str">
        <f>IFERROR(__xludf.DUMMYFUNCTION("""COMPUTED_VALUE"""),"")</f>
        <v/>
      </c>
      <c r="G14279" s="42" t="str">
        <f>IFERROR(__xludf.DUMMYFUNCTION("""COMPUTED_VALUE"""),"")</f>
        <v/>
      </c>
      <c r="H14279" s="42">
        <f t="shared" si="1"/>
        <v>3345</v>
      </c>
    </row>
    <row r="14280" ht="22.5" customHeight="1">
      <c r="B14280" s="42" t="str">
        <f>IFERROR(__xludf.DUMMYFUNCTION("""COMPUTED_VALUE"""),"")</f>
        <v/>
      </c>
      <c r="C14280" s="42" t="str">
        <f>IFERROR(__xludf.DUMMYFUNCTION("""COMPUTED_VALUE"""),"")</f>
        <v/>
      </c>
      <c r="D14280" s="42"/>
      <c r="E14280" s="42"/>
      <c r="F14280" s="48" t="str">
        <f>IFERROR(__xludf.DUMMYFUNCTION("""COMPUTED_VALUE"""),"")</f>
        <v/>
      </c>
      <c r="G14280" s="42" t="str">
        <f>IFERROR(__xludf.DUMMYFUNCTION("""COMPUTED_VALUE"""),"")</f>
        <v/>
      </c>
      <c r="H14280" s="42">
        <f t="shared" si="1"/>
        <v>3345</v>
      </c>
    </row>
    <row r="14281" ht="22.5" customHeight="1">
      <c r="B14281" s="42" t="str">
        <f>IFERROR(__xludf.DUMMYFUNCTION("""COMPUTED_VALUE"""),"")</f>
        <v/>
      </c>
      <c r="C14281" s="42" t="str">
        <f>IFERROR(__xludf.DUMMYFUNCTION("""COMPUTED_VALUE"""),"")</f>
        <v/>
      </c>
      <c r="D14281" s="42"/>
      <c r="E14281" s="42"/>
      <c r="F14281" s="48" t="str">
        <f>IFERROR(__xludf.DUMMYFUNCTION("""COMPUTED_VALUE"""),"")</f>
        <v/>
      </c>
      <c r="G14281" s="42" t="str">
        <f>IFERROR(__xludf.DUMMYFUNCTION("""COMPUTED_VALUE"""),"")</f>
        <v/>
      </c>
      <c r="H14281" s="42">
        <f t="shared" si="1"/>
        <v>3345</v>
      </c>
    </row>
    <row r="14282" ht="22.5" customHeight="1">
      <c r="B14282" s="42" t="str">
        <f>IFERROR(__xludf.DUMMYFUNCTION("""COMPUTED_VALUE"""),"")</f>
        <v/>
      </c>
      <c r="C14282" s="42" t="str">
        <f>IFERROR(__xludf.DUMMYFUNCTION("""COMPUTED_VALUE"""),"")</f>
        <v/>
      </c>
      <c r="D14282" s="42"/>
      <c r="E14282" s="42"/>
      <c r="F14282" s="48" t="str">
        <f>IFERROR(__xludf.DUMMYFUNCTION("""COMPUTED_VALUE"""),"")</f>
        <v/>
      </c>
      <c r="G14282" s="42" t="str">
        <f>IFERROR(__xludf.DUMMYFUNCTION("""COMPUTED_VALUE"""),"")</f>
        <v/>
      </c>
      <c r="H14282" s="42">
        <f t="shared" si="1"/>
        <v>3345</v>
      </c>
    </row>
    <row r="14283" ht="22.5" customHeight="1">
      <c r="B14283" s="42" t="str">
        <f>IFERROR(__xludf.DUMMYFUNCTION("""COMPUTED_VALUE"""),"")</f>
        <v/>
      </c>
      <c r="C14283" s="42" t="str">
        <f>IFERROR(__xludf.DUMMYFUNCTION("""COMPUTED_VALUE"""),"")</f>
        <v/>
      </c>
      <c r="D14283" s="42"/>
      <c r="E14283" s="42"/>
      <c r="F14283" s="48" t="str">
        <f>IFERROR(__xludf.DUMMYFUNCTION("""COMPUTED_VALUE"""),"")</f>
        <v/>
      </c>
      <c r="G14283" s="42" t="str">
        <f>IFERROR(__xludf.DUMMYFUNCTION("""COMPUTED_VALUE"""),"")</f>
        <v/>
      </c>
      <c r="H14283" s="42">
        <f t="shared" si="1"/>
        <v>3345</v>
      </c>
    </row>
    <row r="14284" ht="22.5" customHeight="1">
      <c r="B14284" s="42" t="str">
        <f>IFERROR(__xludf.DUMMYFUNCTION("""COMPUTED_VALUE"""),"")</f>
        <v/>
      </c>
      <c r="C14284" s="42" t="str">
        <f>IFERROR(__xludf.DUMMYFUNCTION("""COMPUTED_VALUE"""),"")</f>
        <v/>
      </c>
      <c r="D14284" s="42"/>
      <c r="E14284" s="42"/>
      <c r="F14284" s="48" t="str">
        <f>IFERROR(__xludf.DUMMYFUNCTION("""COMPUTED_VALUE"""),"")</f>
        <v/>
      </c>
      <c r="G14284" s="42" t="str">
        <f>IFERROR(__xludf.DUMMYFUNCTION("""COMPUTED_VALUE"""),"")</f>
        <v/>
      </c>
      <c r="H14284" s="42">
        <f t="shared" si="1"/>
        <v>3345</v>
      </c>
    </row>
    <row r="14285" ht="22.5" customHeight="1">
      <c r="B14285" s="42" t="str">
        <f>IFERROR(__xludf.DUMMYFUNCTION("""COMPUTED_VALUE"""),"")</f>
        <v/>
      </c>
      <c r="C14285" s="42" t="str">
        <f>IFERROR(__xludf.DUMMYFUNCTION("""COMPUTED_VALUE"""),"")</f>
        <v/>
      </c>
      <c r="D14285" s="42"/>
      <c r="E14285" s="42"/>
      <c r="F14285" s="48" t="str">
        <f>IFERROR(__xludf.DUMMYFUNCTION("""COMPUTED_VALUE"""),"")</f>
        <v/>
      </c>
      <c r="G14285" s="42" t="str">
        <f>IFERROR(__xludf.DUMMYFUNCTION("""COMPUTED_VALUE"""),"")</f>
        <v/>
      </c>
      <c r="H14285" s="42">
        <f t="shared" si="1"/>
        <v>3345</v>
      </c>
    </row>
    <row r="14286" ht="22.5" customHeight="1">
      <c r="B14286" s="42" t="str">
        <f>IFERROR(__xludf.DUMMYFUNCTION("""COMPUTED_VALUE"""),"")</f>
        <v/>
      </c>
      <c r="C14286" s="42" t="str">
        <f>IFERROR(__xludf.DUMMYFUNCTION("""COMPUTED_VALUE"""),"")</f>
        <v/>
      </c>
      <c r="D14286" s="42"/>
      <c r="E14286" s="42"/>
      <c r="F14286" s="48" t="str">
        <f>IFERROR(__xludf.DUMMYFUNCTION("""COMPUTED_VALUE"""),"")</f>
        <v/>
      </c>
      <c r="G14286" s="42" t="str">
        <f>IFERROR(__xludf.DUMMYFUNCTION("""COMPUTED_VALUE"""),"")</f>
        <v/>
      </c>
      <c r="H14286" s="42">
        <f t="shared" si="1"/>
        <v>3345</v>
      </c>
    </row>
    <row r="14287" ht="22.5" customHeight="1">
      <c r="B14287" s="42" t="str">
        <f>IFERROR(__xludf.DUMMYFUNCTION("""COMPUTED_VALUE"""),"")</f>
        <v/>
      </c>
      <c r="C14287" s="42" t="str">
        <f>IFERROR(__xludf.DUMMYFUNCTION("""COMPUTED_VALUE"""),"")</f>
        <v/>
      </c>
      <c r="D14287" s="42"/>
      <c r="E14287" s="42"/>
      <c r="F14287" s="48" t="str">
        <f>IFERROR(__xludf.DUMMYFUNCTION("""COMPUTED_VALUE"""),"")</f>
        <v/>
      </c>
      <c r="G14287" s="42" t="str">
        <f>IFERROR(__xludf.DUMMYFUNCTION("""COMPUTED_VALUE"""),"")</f>
        <v/>
      </c>
      <c r="H14287" s="42">
        <f t="shared" si="1"/>
        <v>3345</v>
      </c>
    </row>
    <row r="14288" ht="22.5" customHeight="1">
      <c r="B14288" s="42" t="str">
        <f>IFERROR(__xludf.DUMMYFUNCTION("""COMPUTED_VALUE"""),"")</f>
        <v/>
      </c>
      <c r="C14288" s="42" t="str">
        <f>IFERROR(__xludf.DUMMYFUNCTION("""COMPUTED_VALUE"""),"")</f>
        <v/>
      </c>
      <c r="D14288" s="42"/>
      <c r="E14288" s="42"/>
      <c r="F14288" s="48" t="str">
        <f>IFERROR(__xludf.DUMMYFUNCTION("""COMPUTED_VALUE"""),"")</f>
        <v/>
      </c>
      <c r="G14288" s="42" t="str">
        <f>IFERROR(__xludf.DUMMYFUNCTION("""COMPUTED_VALUE"""),"")</f>
        <v/>
      </c>
      <c r="H14288" s="42">
        <f t="shared" si="1"/>
        <v>3345</v>
      </c>
    </row>
    <row r="14289" ht="22.5" customHeight="1">
      <c r="B14289" s="42" t="str">
        <f>IFERROR(__xludf.DUMMYFUNCTION("""COMPUTED_VALUE"""),"")</f>
        <v/>
      </c>
      <c r="C14289" s="42" t="str">
        <f>IFERROR(__xludf.DUMMYFUNCTION("""COMPUTED_VALUE"""),"")</f>
        <v/>
      </c>
      <c r="D14289" s="42"/>
      <c r="E14289" s="42"/>
      <c r="F14289" s="48" t="str">
        <f>IFERROR(__xludf.DUMMYFUNCTION("""COMPUTED_VALUE"""),"")</f>
        <v/>
      </c>
      <c r="G14289" s="42" t="str">
        <f>IFERROR(__xludf.DUMMYFUNCTION("""COMPUTED_VALUE"""),"")</f>
        <v/>
      </c>
      <c r="H14289" s="42">
        <f t="shared" si="1"/>
        <v>3345</v>
      </c>
    </row>
    <row r="14290" ht="22.5" customHeight="1">
      <c r="B14290" s="42" t="str">
        <f>IFERROR(__xludf.DUMMYFUNCTION("""COMPUTED_VALUE"""),"")</f>
        <v/>
      </c>
      <c r="C14290" s="42" t="str">
        <f>IFERROR(__xludf.DUMMYFUNCTION("""COMPUTED_VALUE"""),"")</f>
        <v/>
      </c>
      <c r="D14290" s="42"/>
      <c r="E14290" s="42"/>
      <c r="F14290" s="48" t="str">
        <f>IFERROR(__xludf.DUMMYFUNCTION("""COMPUTED_VALUE"""),"")</f>
        <v/>
      </c>
      <c r="G14290" s="42" t="str">
        <f>IFERROR(__xludf.DUMMYFUNCTION("""COMPUTED_VALUE"""),"")</f>
        <v/>
      </c>
      <c r="H14290" s="42">
        <f t="shared" si="1"/>
        <v>3345</v>
      </c>
    </row>
    <row r="14291" ht="22.5" customHeight="1">
      <c r="B14291" s="42" t="str">
        <f>IFERROR(__xludf.DUMMYFUNCTION("""COMPUTED_VALUE"""),"")</f>
        <v/>
      </c>
      <c r="C14291" s="42" t="str">
        <f>IFERROR(__xludf.DUMMYFUNCTION("""COMPUTED_VALUE"""),"")</f>
        <v/>
      </c>
      <c r="D14291" s="42"/>
      <c r="E14291" s="42"/>
      <c r="F14291" s="48" t="str">
        <f>IFERROR(__xludf.DUMMYFUNCTION("""COMPUTED_VALUE"""),"")</f>
        <v/>
      </c>
      <c r="G14291" s="42" t="str">
        <f>IFERROR(__xludf.DUMMYFUNCTION("""COMPUTED_VALUE"""),"")</f>
        <v/>
      </c>
      <c r="H14291" s="42">
        <f t="shared" si="1"/>
        <v>3345</v>
      </c>
    </row>
    <row r="14292" ht="22.5" customHeight="1">
      <c r="B14292" s="42" t="str">
        <f>IFERROR(__xludf.DUMMYFUNCTION("""COMPUTED_VALUE"""),"")</f>
        <v/>
      </c>
      <c r="C14292" s="42" t="str">
        <f>IFERROR(__xludf.DUMMYFUNCTION("""COMPUTED_VALUE"""),"")</f>
        <v/>
      </c>
      <c r="D14292" s="42"/>
      <c r="E14292" s="42"/>
      <c r="F14292" s="48" t="str">
        <f>IFERROR(__xludf.DUMMYFUNCTION("""COMPUTED_VALUE"""),"")</f>
        <v/>
      </c>
      <c r="G14292" s="42" t="str">
        <f>IFERROR(__xludf.DUMMYFUNCTION("""COMPUTED_VALUE"""),"")</f>
        <v/>
      </c>
      <c r="H14292" s="42">
        <f t="shared" si="1"/>
        <v>3345</v>
      </c>
    </row>
    <row r="14293" ht="22.5" customHeight="1">
      <c r="B14293" s="42" t="str">
        <f>IFERROR(__xludf.DUMMYFUNCTION("""COMPUTED_VALUE"""),"")</f>
        <v/>
      </c>
      <c r="C14293" s="42" t="str">
        <f>IFERROR(__xludf.DUMMYFUNCTION("""COMPUTED_VALUE"""),"")</f>
        <v/>
      </c>
      <c r="D14293" s="42"/>
      <c r="E14293" s="42"/>
      <c r="F14293" s="48" t="str">
        <f>IFERROR(__xludf.DUMMYFUNCTION("""COMPUTED_VALUE"""),"")</f>
        <v/>
      </c>
      <c r="G14293" s="42" t="str">
        <f>IFERROR(__xludf.DUMMYFUNCTION("""COMPUTED_VALUE"""),"")</f>
        <v/>
      </c>
      <c r="H14293" s="42">
        <f t="shared" si="1"/>
        <v>3345</v>
      </c>
    </row>
    <row r="14294" ht="22.5" customHeight="1">
      <c r="B14294" s="42" t="str">
        <f>IFERROR(__xludf.DUMMYFUNCTION("""COMPUTED_VALUE"""),"")</f>
        <v/>
      </c>
      <c r="C14294" s="42" t="str">
        <f>IFERROR(__xludf.DUMMYFUNCTION("""COMPUTED_VALUE"""),"")</f>
        <v/>
      </c>
      <c r="D14294" s="42"/>
      <c r="E14294" s="42"/>
      <c r="F14294" s="48" t="str">
        <f>IFERROR(__xludf.DUMMYFUNCTION("""COMPUTED_VALUE"""),"")</f>
        <v/>
      </c>
      <c r="G14294" s="42" t="str">
        <f>IFERROR(__xludf.DUMMYFUNCTION("""COMPUTED_VALUE"""),"")</f>
        <v/>
      </c>
      <c r="H14294" s="42">
        <f t="shared" si="1"/>
        <v>3345</v>
      </c>
    </row>
    <row r="14295" ht="22.5" customHeight="1">
      <c r="B14295" s="42" t="str">
        <f>IFERROR(__xludf.DUMMYFUNCTION("""COMPUTED_VALUE"""),"")</f>
        <v/>
      </c>
      <c r="C14295" s="42" t="str">
        <f>IFERROR(__xludf.DUMMYFUNCTION("""COMPUTED_VALUE"""),"")</f>
        <v/>
      </c>
      <c r="D14295" s="42"/>
      <c r="E14295" s="42"/>
      <c r="F14295" s="48" t="str">
        <f>IFERROR(__xludf.DUMMYFUNCTION("""COMPUTED_VALUE"""),"")</f>
        <v/>
      </c>
      <c r="G14295" s="42" t="str">
        <f>IFERROR(__xludf.DUMMYFUNCTION("""COMPUTED_VALUE"""),"")</f>
        <v/>
      </c>
      <c r="H14295" s="42">
        <f t="shared" si="1"/>
        <v>3345</v>
      </c>
    </row>
    <row r="14296" ht="22.5" customHeight="1">
      <c r="B14296" s="42" t="str">
        <f>IFERROR(__xludf.DUMMYFUNCTION("""COMPUTED_VALUE"""),"")</f>
        <v/>
      </c>
      <c r="C14296" s="42" t="str">
        <f>IFERROR(__xludf.DUMMYFUNCTION("""COMPUTED_VALUE"""),"")</f>
        <v/>
      </c>
      <c r="D14296" s="42"/>
      <c r="E14296" s="42"/>
      <c r="F14296" s="48" t="str">
        <f>IFERROR(__xludf.DUMMYFUNCTION("""COMPUTED_VALUE"""),"")</f>
        <v/>
      </c>
      <c r="G14296" s="42" t="str">
        <f>IFERROR(__xludf.DUMMYFUNCTION("""COMPUTED_VALUE"""),"")</f>
        <v/>
      </c>
      <c r="H14296" s="42">
        <f t="shared" si="1"/>
        <v>3345</v>
      </c>
    </row>
    <row r="14297" ht="22.5" customHeight="1">
      <c r="B14297" s="42" t="str">
        <f>IFERROR(__xludf.DUMMYFUNCTION("""COMPUTED_VALUE"""),"")</f>
        <v/>
      </c>
      <c r="C14297" s="42" t="str">
        <f>IFERROR(__xludf.DUMMYFUNCTION("""COMPUTED_VALUE"""),"")</f>
        <v/>
      </c>
      <c r="D14297" s="42"/>
      <c r="E14297" s="42"/>
      <c r="F14297" s="48" t="str">
        <f>IFERROR(__xludf.DUMMYFUNCTION("""COMPUTED_VALUE"""),"")</f>
        <v/>
      </c>
      <c r="G14297" s="42" t="str">
        <f>IFERROR(__xludf.DUMMYFUNCTION("""COMPUTED_VALUE"""),"")</f>
        <v/>
      </c>
      <c r="H14297" s="42">
        <f t="shared" si="1"/>
        <v>3345</v>
      </c>
    </row>
    <row r="14298" ht="22.5" customHeight="1">
      <c r="B14298" s="42" t="str">
        <f>IFERROR(__xludf.DUMMYFUNCTION("""COMPUTED_VALUE"""),"")</f>
        <v/>
      </c>
      <c r="C14298" s="42" t="str">
        <f>IFERROR(__xludf.DUMMYFUNCTION("""COMPUTED_VALUE"""),"")</f>
        <v/>
      </c>
      <c r="D14298" s="42"/>
      <c r="E14298" s="42"/>
      <c r="F14298" s="48" t="str">
        <f>IFERROR(__xludf.DUMMYFUNCTION("""COMPUTED_VALUE"""),"")</f>
        <v/>
      </c>
      <c r="G14298" s="42" t="str">
        <f>IFERROR(__xludf.DUMMYFUNCTION("""COMPUTED_VALUE"""),"")</f>
        <v/>
      </c>
      <c r="H14298" s="42">
        <f t="shared" si="1"/>
        <v>3345</v>
      </c>
    </row>
    <row r="14299" ht="22.5" customHeight="1">
      <c r="B14299" s="42" t="str">
        <f>IFERROR(__xludf.DUMMYFUNCTION("""COMPUTED_VALUE"""),"")</f>
        <v/>
      </c>
      <c r="C14299" s="42" t="str">
        <f>IFERROR(__xludf.DUMMYFUNCTION("""COMPUTED_VALUE"""),"")</f>
        <v/>
      </c>
      <c r="D14299" s="42"/>
      <c r="E14299" s="42"/>
      <c r="F14299" s="48" t="str">
        <f>IFERROR(__xludf.DUMMYFUNCTION("""COMPUTED_VALUE"""),"")</f>
        <v/>
      </c>
      <c r="G14299" s="42" t="str">
        <f>IFERROR(__xludf.DUMMYFUNCTION("""COMPUTED_VALUE"""),"")</f>
        <v/>
      </c>
      <c r="H14299" s="42">
        <f t="shared" si="1"/>
        <v>3345</v>
      </c>
    </row>
    <row r="14300" ht="22.5" customHeight="1">
      <c r="B14300" s="42" t="str">
        <f>IFERROR(__xludf.DUMMYFUNCTION("""COMPUTED_VALUE"""),"")</f>
        <v/>
      </c>
      <c r="C14300" s="42" t="str">
        <f>IFERROR(__xludf.DUMMYFUNCTION("""COMPUTED_VALUE"""),"")</f>
        <v/>
      </c>
      <c r="D14300" s="42"/>
      <c r="E14300" s="42"/>
      <c r="F14300" s="48" t="str">
        <f>IFERROR(__xludf.DUMMYFUNCTION("""COMPUTED_VALUE"""),"")</f>
        <v/>
      </c>
      <c r="G14300" s="42" t="str">
        <f>IFERROR(__xludf.DUMMYFUNCTION("""COMPUTED_VALUE"""),"")</f>
        <v/>
      </c>
      <c r="H14300" s="42">
        <f t="shared" si="1"/>
        <v>3345</v>
      </c>
    </row>
    <row r="14301" ht="22.5" customHeight="1">
      <c r="B14301" s="42" t="str">
        <f>IFERROR(__xludf.DUMMYFUNCTION("""COMPUTED_VALUE"""),"")</f>
        <v/>
      </c>
      <c r="C14301" s="42" t="str">
        <f>IFERROR(__xludf.DUMMYFUNCTION("""COMPUTED_VALUE"""),"")</f>
        <v/>
      </c>
      <c r="D14301" s="42"/>
      <c r="E14301" s="42"/>
      <c r="F14301" s="48" t="str">
        <f>IFERROR(__xludf.DUMMYFUNCTION("""COMPUTED_VALUE"""),"")</f>
        <v/>
      </c>
      <c r="G14301" s="42" t="str">
        <f>IFERROR(__xludf.DUMMYFUNCTION("""COMPUTED_VALUE"""),"")</f>
        <v/>
      </c>
      <c r="H14301" s="42">
        <f t="shared" si="1"/>
        <v>3345</v>
      </c>
    </row>
    <row r="14302" ht="22.5" customHeight="1">
      <c r="B14302" s="42" t="str">
        <f>IFERROR(__xludf.DUMMYFUNCTION("""COMPUTED_VALUE"""),"")</f>
        <v/>
      </c>
      <c r="C14302" s="42" t="str">
        <f>IFERROR(__xludf.DUMMYFUNCTION("""COMPUTED_VALUE"""),"")</f>
        <v/>
      </c>
      <c r="D14302" s="42"/>
      <c r="E14302" s="42"/>
      <c r="F14302" s="48" t="str">
        <f>IFERROR(__xludf.DUMMYFUNCTION("""COMPUTED_VALUE"""),"")</f>
        <v/>
      </c>
      <c r="G14302" s="42" t="str">
        <f>IFERROR(__xludf.DUMMYFUNCTION("""COMPUTED_VALUE"""),"")</f>
        <v/>
      </c>
      <c r="H14302" s="42">
        <f t="shared" si="1"/>
        <v>3345</v>
      </c>
    </row>
    <row r="14303" ht="22.5" customHeight="1">
      <c r="B14303" s="42" t="str">
        <f>IFERROR(__xludf.DUMMYFUNCTION("""COMPUTED_VALUE"""),"")</f>
        <v/>
      </c>
      <c r="C14303" s="42" t="str">
        <f>IFERROR(__xludf.DUMMYFUNCTION("""COMPUTED_VALUE"""),"")</f>
        <v/>
      </c>
      <c r="D14303" s="42"/>
      <c r="E14303" s="42"/>
      <c r="F14303" s="48" t="str">
        <f>IFERROR(__xludf.DUMMYFUNCTION("""COMPUTED_VALUE"""),"")</f>
        <v/>
      </c>
      <c r="G14303" s="42" t="str">
        <f>IFERROR(__xludf.DUMMYFUNCTION("""COMPUTED_VALUE"""),"")</f>
        <v/>
      </c>
      <c r="H14303" s="42">
        <f t="shared" si="1"/>
        <v>3345</v>
      </c>
    </row>
    <row r="14304" ht="22.5" customHeight="1">
      <c r="B14304" s="42" t="str">
        <f>IFERROR(__xludf.DUMMYFUNCTION("""COMPUTED_VALUE"""),"")</f>
        <v/>
      </c>
      <c r="C14304" s="42" t="str">
        <f>IFERROR(__xludf.DUMMYFUNCTION("""COMPUTED_VALUE"""),"")</f>
        <v/>
      </c>
      <c r="D14304" s="42"/>
      <c r="E14304" s="42"/>
      <c r="F14304" s="48" t="str">
        <f>IFERROR(__xludf.DUMMYFUNCTION("""COMPUTED_VALUE"""),"")</f>
        <v/>
      </c>
      <c r="G14304" s="42" t="str">
        <f>IFERROR(__xludf.DUMMYFUNCTION("""COMPUTED_VALUE"""),"")</f>
        <v/>
      </c>
      <c r="H14304" s="42">
        <f t="shared" si="1"/>
        <v>3345</v>
      </c>
    </row>
    <row r="14305" ht="22.5" customHeight="1">
      <c r="B14305" s="42" t="str">
        <f>IFERROR(__xludf.DUMMYFUNCTION("""COMPUTED_VALUE"""),"")</f>
        <v/>
      </c>
      <c r="C14305" s="42" t="str">
        <f>IFERROR(__xludf.DUMMYFUNCTION("""COMPUTED_VALUE"""),"")</f>
        <v/>
      </c>
      <c r="D14305" s="42"/>
      <c r="E14305" s="42"/>
      <c r="F14305" s="48" t="str">
        <f>IFERROR(__xludf.DUMMYFUNCTION("""COMPUTED_VALUE"""),"")</f>
        <v/>
      </c>
      <c r="G14305" s="42" t="str">
        <f>IFERROR(__xludf.DUMMYFUNCTION("""COMPUTED_VALUE"""),"")</f>
        <v/>
      </c>
      <c r="H14305" s="42">
        <f t="shared" si="1"/>
        <v>3345</v>
      </c>
    </row>
    <row r="14306" ht="22.5" customHeight="1">
      <c r="B14306" s="42" t="str">
        <f>IFERROR(__xludf.DUMMYFUNCTION("""COMPUTED_VALUE"""),"")</f>
        <v/>
      </c>
      <c r="C14306" s="42" t="str">
        <f>IFERROR(__xludf.DUMMYFUNCTION("""COMPUTED_VALUE"""),"")</f>
        <v/>
      </c>
      <c r="D14306" s="42"/>
      <c r="E14306" s="42"/>
      <c r="F14306" s="48" t="str">
        <f>IFERROR(__xludf.DUMMYFUNCTION("""COMPUTED_VALUE"""),"")</f>
        <v/>
      </c>
      <c r="G14306" s="42" t="str">
        <f>IFERROR(__xludf.DUMMYFUNCTION("""COMPUTED_VALUE"""),"")</f>
        <v/>
      </c>
      <c r="H14306" s="42">
        <f t="shared" si="1"/>
        <v>3345</v>
      </c>
    </row>
    <row r="14307" ht="22.5" customHeight="1">
      <c r="B14307" s="42" t="str">
        <f>IFERROR(__xludf.DUMMYFUNCTION("""COMPUTED_VALUE"""),"")</f>
        <v/>
      </c>
      <c r="C14307" s="42" t="str">
        <f>IFERROR(__xludf.DUMMYFUNCTION("""COMPUTED_VALUE"""),"")</f>
        <v/>
      </c>
      <c r="D14307" s="42"/>
      <c r="E14307" s="42"/>
      <c r="F14307" s="48" t="str">
        <f>IFERROR(__xludf.DUMMYFUNCTION("""COMPUTED_VALUE"""),"")</f>
        <v/>
      </c>
      <c r="G14307" s="42" t="str">
        <f>IFERROR(__xludf.DUMMYFUNCTION("""COMPUTED_VALUE"""),"")</f>
        <v/>
      </c>
      <c r="H14307" s="42">
        <f t="shared" si="1"/>
        <v>3345</v>
      </c>
    </row>
    <row r="14308" ht="22.5" customHeight="1">
      <c r="B14308" s="42" t="str">
        <f>IFERROR(__xludf.DUMMYFUNCTION("""COMPUTED_VALUE"""),"")</f>
        <v/>
      </c>
      <c r="C14308" s="42" t="str">
        <f>IFERROR(__xludf.DUMMYFUNCTION("""COMPUTED_VALUE"""),"")</f>
        <v/>
      </c>
      <c r="D14308" s="42"/>
      <c r="E14308" s="42"/>
      <c r="F14308" s="48" t="str">
        <f>IFERROR(__xludf.DUMMYFUNCTION("""COMPUTED_VALUE"""),"")</f>
        <v/>
      </c>
      <c r="G14308" s="42" t="str">
        <f>IFERROR(__xludf.DUMMYFUNCTION("""COMPUTED_VALUE"""),"")</f>
        <v/>
      </c>
      <c r="H14308" s="42">
        <f t="shared" si="1"/>
        <v>3345</v>
      </c>
    </row>
    <row r="14309" ht="22.5" customHeight="1">
      <c r="B14309" s="42" t="str">
        <f>IFERROR(__xludf.DUMMYFUNCTION("""COMPUTED_VALUE"""),"")</f>
        <v/>
      </c>
      <c r="C14309" s="42" t="str">
        <f>IFERROR(__xludf.DUMMYFUNCTION("""COMPUTED_VALUE"""),"")</f>
        <v/>
      </c>
      <c r="D14309" s="42"/>
      <c r="E14309" s="42"/>
      <c r="F14309" s="48" t="str">
        <f>IFERROR(__xludf.DUMMYFUNCTION("""COMPUTED_VALUE"""),"")</f>
        <v/>
      </c>
      <c r="G14309" s="42" t="str">
        <f>IFERROR(__xludf.DUMMYFUNCTION("""COMPUTED_VALUE"""),"")</f>
        <v/>
      </c>
      <c r="H14309" s="42">
        <f t="shared" si="1"/>
        <v>3345</v>
      </c>
    </row>
    <row r="14310" ht="22.5" customHeight="1">
      <c r="B14310" s="42" t="str">
        <f>IFERROR(__xludf.DUMMYFUNCTION("""COMPUTED_VALUE"""),"")</f>
        <v/>
      </c>
      <c r="C14310" s="42" t="str">
        <f>IFERROR(__xludf.DUMMYFUNCTION("""COMPUTED_VALUE"""),"")</f>
        <v/>
      </c>
      <c r="D14310" s="42"/>
      <c r="E14310" s="42"/>
      <c r="F14310" s="48" t="str">
        <f>IFERROR(__xludf.DUMMYFUNCTION("""COMPUTED_VALUE"""),"")</f>
        <v/>
      </c>
      <c r="G14310" s="42" t="str">
        <f>IFERROR(__xludf.DUMMYFUNCTION("""COMPUTED_VALUE"""),"")</f>
        <v/>
      </c>
      <c r="H14310" s="42">
        <f t="shared" si="1"/>
        <v>3345</v>
      </c>
    </row>
    <row r="14311" ht="22.5" customHeight="1">
      <c r="B14311" s="42" t="str">
        <f>IFERROR(__xludf.DUMMYFUNCTION("""COMPUTED_VALUE"""),"")</f>
        <v/>
      </c>
      <c r="C14311" s="42" t="str">
        <f>IFERROR(__xludf.DUMMYFUNCTION("""COMPUTED_VALUE"""),"")</f>
        <v/>
      </c>
      <c r="D14311" s="42"/>
      <c r="E14311" s="42"/>
      <c r="F14311" s="48" t="str">
        <f>IFERROR(__xludf.DUMMYFUNCTION("""COMPUTED_VALUE"""),"")</f>
        <v/>
      </c>
      <c r="G14311" s="42" t="str">
        <f>IFERROR(__xludf.DUMMYFUNCTION("""COMPUTED_VALUE"""),"")</f>
        <v/>
      </c>
      <c r="H14311" s="42">
        <f t="shared" si="1"/>
        <v>3345</v>
      </c>
    </row>
    <row r="14312" ht="22.5" customHeight="1">
      <c r="B14312" s="42" t="str">
        <f>IFERROR(__xludf.DUMMYFUNCTION("""COMPUTED_VALUE"""),"")</f>
        <v/>
      </c>
      <c r="C14312" s="42" t="str">
        <f>IFERROR(__xludf.DUMMYFUNCTION("""COMPUTED_VALUE"""),"")</f>
        <v/>
      </c>
      <c r="D14312" s="42"/>
      <c r="E14312" s="42"/>
      <c r="F14312" s="48" t="str">
        <f>IFERROR(__xludf.DUMMYFUNCTION("""COMPUTED_VALUE"""),"")</f>
        <v/>
      </c>
      <c r="G14312" s="42" t="str">
        <f>IFERROR(__xludf.DUMMYFUNCTION("""COMPUTED_VALUE"""),"")</f>
        <v/>
      </c>
      <c r="H14312" s="42">
        <f t="shared" si="1"/>
        <v>3345</v>
      </c>
    </row>
    <row r="14313" ht="22.5" customHeight="1">
      <c r="B14313" s="42" t="str">
        <f>IFERROR(__xludf.DUMMYFUNCTION("""COMPUTED_VALUE"""),"")</f>
        <v/>
      </c>
      <c r="C14313" s="42" t="str">
        <f>IFERROR(__xludf.DUMMYFUNCTION("""COMPUTED_VALUE"""),"")</f>
        <v/>
      </c>
      <c r="D14313" s="42"/>
      <c r="E14313" s="42"/>
      <c r="F14313" s="48" t="str">
        <f>IFERROR(__xludf.DUMMYFUNCTION("""COMPUTED_VALUE"""),"")</f>
        <v/>
      </c>
      <c r="G14313" s="42" t="str">
        <f>IFERROR(__xludf.DUMMYFUNCTION("""COMPUTED_VALUE"""),"")</f>
        <v/>
      </c>
      <c r="H14313" s="42">
        <f t="shared" si="1"/>
        <v>3345</v>
      </c>
    </row>
    <row r="14314" ht="22.5" customHeight="1">
      <c r="B14314" s="42" t="str">
        <f>IFERROR(__xludf.DUMMYFUNCTION("""COMPUTED_VALUE"""),"")</f>
        <v/>
      </c>
      <c r="C14314" s="42" t="str">
        <f>IFERROR(__xludf.DUMMYFUNCTION("""COMPUTED_VALUE"""),"")</f>
        <v/>
      </c>
      <c r="D14314" s="42"/>
      <c r="E14314" s="42"/>
      <c r="F14314" s="48" t="str">
        <f>IFERROR(__xludf.DUMMYFUNCTION("""COMPUTED_VALUE"""),"")</f>
        <v/>
      </c>
      <c r="G14314" s="42" t="str">
        <f>IFERROR(__xludf.DUMMYFUNCTION("""COMPUTED_VALUE"""),"")</f>
        <v/>
      </c>
      <c r="H14314" s="42">
        <f t="shared" si="1"/>
        <v>3345</v>
      </c>
    </row>
    <row r="14315" ht="22.5" customHeight="1">
      <c r="B14315" s="42" t="str">
        <f>IFERROR(__xludf.DUMMYFUNCTION("""COMPUTED_VALUE"""),"")</f>
        <v/>
      </c>
      <c r="C14315" s="42" t="str">
        <f>IFERROR(__xludf.DUMMYFUNCTION("""COMPUTED_VALUE"""),"")</f>
        <v/>
      </c>
      <c r="D14315" s="42"/>
      <c r="E14315" s="42"/>
      <c r="F14315" s="48" t="str">
        <f>IFERROR(__xludf.DUMMYFUNCTION("""COMPUTED_VALUE"""),"")</f>
        <v/>
      </c>
      <c r="G14315" s="42" t="str">
        <f>IFERROR(__xludf.DUMMYFUNCTION("""COMPUTED_VALUE"""),"")</f>
        <v/>
      </c>
      <c r="H14315" s="42">
        <f t="shared" si="1"/>
        <v>3345</v>
      </c>
    </row>
    <row r="14316" ht="22.5" customHeight="1">
      <c r="B14316" s="42" t="str">
        <f>IFERROR(__xludf.DUMMYFUNCTION("""COMPUTED_VALUE"""),"")</f>
        <v/>
      </c>
      <c r="C14316" s="42" t="str">
        <f>IFERROR(__xludf.DUMMYFUNCTION("""COMPUTED_VALUE"""),"")</f>
        <v/>
      </c>
      <c r="D14316" s="42"/>
      <c r="E14316" s="42"/>
      <c r="F14316" s="48" t="str">
        <f>IFERROR(__xludf.DUMMYFUNCTION("""COMPUTED_VALUE"""),"")</f>
        <v/>
      </c>
      <c r="G14316" s="42" t="str">
        <f>IFERROR(__xludf.DUMMYFUNCTION("""COMPUTED_VALUE"""),"")</f>
        <v/>
      </c>
      <c r="H14316" s="42">
        <f t="shared" si="1"/>
        <v>3345</v>
      </c>
    </row>
    <row r="14317" ht="22.5" customHeight="1">
      <c r="B14317" s="42" t="str">
        <f>IFERROR(__xludf.DUMMYFUNCTION("""COMPUTED_VALUE"""),"")</f>
        <v/>
      </c>
      <c r="C14317" s="42" t="str">
        <f>IFERROR(__xludf.DUMMYFUNCTION("""COMPUTED_VALUE"""),"")</f>
        <v/>
      </c>
      <c r="D14317" s="42"/>
      <c r="E14317" s="42"/>
      <c r="F14317" s="48" t="str">
        <f>IFERROR(__xludf.DUMMYFUNCTION("""COMPUTED_VALUE"""),"")</f>
        <v/>
      </c>
      <c r="G14317" s="42" t="str">
        <f>IFERROR(__xludf.DUMMYFUNCTION("""COMPUTED_VALUE"""),"")</f>
        <v/>
      </c>
      <c r="H14317" s="42">
        <f t="shared" si="1"/>
        <v>3345</v>
      </c>
    </row>
    <row r="14318" ht="22.5" customHeight="1">
      <c r="B14318" s="42" t="str">
        <f>IFERROR(__xludf.DUMMYFUNCTION("""COMPUTED_VALUE"""),"")</f>
        <v/>
      </c>
      <c r="C14318" s="42" t="str">
        <f>IFERROR(__xludf.DUMMYFUNCTION("""COMPUTED_VALUE"""),"")</f>
        <v/>
      </c>
      <c r="D14318" s="42"/>
      <c r="E14318" s="42"/>
      <c r="F14318" s="48" t="str">
        <f>IFERROR(__xludf.DUMMYFUNCTION("""COMPUTED_VALUE"""),"")</f>
        <v/>
      </c>
      <c r="G14318" s="42" t="str">
        <f>IFERROR(__xludf.DUMMYFUNCTION("""COMPUTED_VALUE"""),"")</f>
        <v/>
      </c>
      <c r="H14318" s="42">
        <f t="shared" si="1"/>
        <v>3345</v>
      </c>
    </row>
    <row r="14319" ht="22.5" customHeight="1">
      <c r="B14319" s="42" t="str">
        <f>IFERROR(__xludf.DUMMYFUNCTION("""COMPUTED_VALUE"""),"")</f>
        <v/>
      </c>
      <c r="C14319" s="42" t="str">
        <f>IFERROR(__xludf.DUMMYFUNCTION("""COMPUTED_VALUE"""),"")</f>
        <v/>
      </c>
      <c r="D14319" s="42"/>
      <c r="E14319" s="42"/>
      <c r="F14319" s="48" t="str">
        <f>IFERROR(__xludf.DUMMYFUNCTION("""COMPUTED_VALUE"""),"")</f>
        <v/>
      </c>
      <c r="G14319" s="42" t="str">
        <f>IFERROR(__xludf.DUMMYFUNCTION("""COMPUTED_VALUE"""),"")</f>
        <v/>
      </c>
      <c r="H14319" s="42">
        <f t="shared" si="1"/>
        <v>3345</v>
      </c>
    </row>
    <row r="14320" ht="22.5" customHeight="1">
      <c r="B14320" s="42" t="str">
        <f>IFERROR(__xludf.DUMMYFUNCTION("""COMPUTED_VALUE"""),"")</f>
        <v/>
      </c>
      <c r="C14320" s="42" t="str">
        <f>IFERROR(__xludf.DUMMYFUNCTION("""COMPUTED_VALUE"""),"")</f>
        <v/>
      </c>
      <c r="D14320" s="42"/>
      <c r="E14320" s="42"/>
      <c r="F14320" s="48" t="str">
        <f>IFERROR(__xludf.DUMMYFUNCTION("""COMPUTED_VALUE"""),"")</f>
        <v/>
      </c>
      <c r="G14320" s="42" t="str">
        <f>IFERROR(__xludf.DUMMYFUNCTION("""COMPUTED_VALUE"""),"")</f>
        <v/>
      </c>
      <c r="H14320" s="42">
        <f t="shared" si="1"/>
        <v>3345</v>
      </c>
    </row>
    <row r="14321" ht="22.5" customHeight="1">
      <c r="B14321" s="42" t="str">
        <f>IFERROR(__xludf.DUMMYFUNCTION("""COMPUTED_VALUE"""),"")</f>
        <v/>
      </c>
      <c r="C14321" s="42" t="str">
        <f>IFERROR(__xludf.DUMMYFUNCTION("""COMPUTED_VALUE"""),"")</f>
        <v/>
      </c>
      <c r="D14321" s="42"/>
      <c r="E14321" s="42"/>
      <c r="F14321" s="48" t="str">
        <f>IFERROR(__xludf.DUMMYFUNCTION("""COMPUTED_VALUE"""),"")</f>
        <v/>
      </c>
      <c r="G14321" s="42" t="str">
        <f>IFERROR(__xludf.DUMMYFUNCTION("""COMPUTED_VALUE"""),"")</f>
        <v/>
      </c>
      <c r="H14321" s="42">
        <f t="shared" si="1"/>
        <v>3345</v>
      </c>
    </row>
    <row r="14322" ht="22.5" customHeight="1">
      <c r="B14322" s="42" t="str">
        <f>IFERROR(__xludf.DUMMYFUNCTION("""COMPUTED_VALUE"""),"")</f>
        <v/>
      </c>
      <c r="C14322" s="42" t="str">
        <f>IFERROR(__xludf.DUMMYFUNCTION("""COMPUTED_VALUE"""),"")</f>
        <v/>
      </c>
      <c r="D14322" s="42"/>
      <c r="E14322" s="42"/>
      <c r="F14322" s="48" t="str">
        <f>IFERROR(__xludf.DUMMYFUNCTION("""COMPUTED_VALUE"""),"")</f>
        <v/>
      </c>
      <c r="G14322" s="42" t="str">
        <f>IFERROR(__xludf.DUMMYFUNCTION("""COMPUTED_VALUE"""),"")</f>
        <v/>
      </c>
      <c r="H14322" s="42">
        <f t="shared" si="1"/>
        <v>3345</v>
      </c>
    </row>
    <row r="14323" ht="22.5" customHeight="1">
      <c r="B14323" s="42" t="str">
        <f>IFERROR(__xludf.DUMMYFUNCTION("""COMPUTED_VALUE"""),"")</f>
        <v/>
      </c>
      <c r="C14323" s="42" t="str">
        <f>IFERROR(__xludf.DUMMYFUNCTION("""COMPUTED_VALUE"""),"")</f>
        <v/>
      </c>
      <c r="D14323" s="42"/>
      <c r="E14323" s="42"/>
      <c r="F14323" s="48" t="str">
        <f>IFERROR(__xludf.DUMMYFUNCTION("""COMPUTED_VALUE"""),"")</f>
        <v/>
      </c>
      <c r="G14323" s="42" t="str">
        <f>IFERROR(__xludf.DUMMYFUNCTION("""COMPUTED_VALUE"""),"")</f>
        <v/>
      </c>
      <c r="H14323" s="42">
        <f t="shared" si="1"/>
        <v>3345</v>
      </c>
    </row>
    <row r="14324" ht="22.5" customHeight="1">
      <c r="B14324" s="42" t="str">
        <f>IFERROR(__xludf.DUMMYFUNCTION("""COMPUTED_VALUE"""),"")</f>
        <v/>
      </c>
      <c r="C14324" s="42" t="str">
        <f>IFERROR(__xludf.DUMMYFUNCTION("""COMPUTED_VALUE"""),"")</f>
        <v/>
      </c>
      <c r="D14324" s="42"/>
      <c r="E14324" s="42"/>
      <c r="F14324" s="48" t="str">
        <f>IFERROR(__xludf.DUMMYFUNCTION("""COMPUTED_VALUE"""),"")</f>
        <v/>
      </c>
      <c r="G14324" s="42" t="str">
        <f>IFERROR(__xludf.DUMMYFUNCTION("""COMPUTED_VALUE"""),"")</f>
        <v/>
      </c>
      <c r="H14324" s="42">
        <f t="shared" si="1"/>
        <v>3345</v>
      </c>
    </row>
    <row r="14325" ht="22.5" customHeight="1">
      <c r="B14325" s="42" t="str">
        <f>IFERROR(__xludf.DUMMYFUNCTION("""COMPUTED_VALUE"""),"")</f>
        <v/>
      </c>
      <c r="C14325" s="42" t="str">
        <f>IFERROR(__xludf.DUMMYFUNCTION("""COMPUTED_VALUE"""),"")</f>
        <v/>
      </c>
      <c r="D14325" s="42"/>
      <c r="E14325" s="42"/>
      <c r="F14325" s="48" t="str">
        <f>IFERROR(__xludf.DUMMYFUNCTION("""COMPUTED_VALUE"""),"")</f>
        <v/>
      </c>
      <c r="G14325" s="42" t="str">
        <f>IFERROR(__xludf.DUMMYFUNCTION("""COMPUTED_VALUE"""),"")</f>
        <v/>
      </c>
      <c r="H14325" s="42">
        <f t="shared" si="1"/>
        <v>3345</v>
      </c>
    </row>
    <row r="14326" ht="22.5" customHeight="1">
      <c r="B14326" s="42" t="str">
        <f>IFERROR(__xludf.DUMMYFUNCTION("""COMPUTED_VALUE"""),"")</f>
        <v/>
      </c>
      <c r="C14326" s="42" t="str">
        <f>IFERROR(__xludf.DUMMYFUNCTION("""COMPUTED_VALUE"""),"")</f>
        <v/>
      </c>
      <c r="D14326" s="42"/>
      <c r="E14326" s="42"/>
      <c r="F14326" s="48" t="str">
        <f>IFERROR(__xludf.DUMMYFUNCTION("""COMPUTED_VALUE"""),"")</f>
        <v/>
      </c>
      <c r="G14326" s="42" t="str">
        <f>IFERROR(__xludf.DUMMYFUNCTION("""COMPUTED_VALUE"""),"")</f>
        <v/>
      </c>
      <c r="H14326" s="42">
        <f t="shared" si="1"/>
        <v>3345</v>
      </c>
    </row>
    <row r="14327" ht="22.5" customHeight="1">
      <c r="B14327" s="42" t="str">
        <f>IFERROR(__xludf.DUMMYFUNCTION("""COMPUTED_VALUE"""),"")</f>
        <v/>
      </c>
      <c r="C14327" s="42" t="str">
        <f>IFERROR(__xludf.DUMMYFUNCTION("""COMPUTED_VALUE"""),"")</f>
        <v/>
      </c>
      <c r="D14327" s="42"/>
      <c r="E14327" s="42"/>
      <c r="F14327" s="48" t="str">
        <f>IFERROR(__xludf.DUMMYFUNCTION("""COMPUTED_VALUE"""),"")</f>
        <v/>
      </c>
      <c r="G14327" s="42" t="str">
        <f>IFERROR(__xludf.DUMMYFUNCTION("""COMPUTED_VALUE"""),"")</f>
        <v/>
      </c>
      <c r="H14327" s="42">
        <f t="shared" si="1"/>
        <v>3345</v>
      </c>
    </row>
    <row r="14328" ht="22.5" customHeight="1">
      <c r="B14328" s="42" t="str">
        <f>IFERROR(__xludf.DUMMYFUNCTION("""COMPUTED_VALUE"""),"")</f>
        <v/>
      </c>
      <c r="C14328" s="42" t="str">
        <f>IFERROR(__xludf.DUMMYFUNCTION("""COMPUTED_VALUE"""),"")</f>
        <v/>
      </c>
      <c r="D14328" s="42"/>
      <c r="E14328" s="42"/>
      <c r="F14328" s="48" t="str">
        <f>IFERROR(__xludf.DUMMYFUNCTION("""COMPUTED_VALUE"""),"")</f>
        <v/>
      </c>
      <c r="G14328" s="42" t="str">
        <f>IFERROR(__xludf.DUMMYFUNCTION("""COMPUTED_VALUE"""),"")</f>
        <v/>
      </c>
      <c r="H14328" s="42">
        <f t="shared" si="1"/>
        <v>3345</v>
      </c>
    </row>
    <row r="14329" ht="22.5" customHeight="1">
      <c r="B14329" s="42" t="str">
        <f>IFERROR(__xludf.DUMMYFUNCTION("""COMPUTED_VALUE"""),"")</f>
        <v/>
      </c>
      <c r="C14329" s="42" t="str">
        <f>IFERROR(__xludf.DUMMYFUNCTION("""COMPUTED_VALUE"""),"")</f>
        <v/>
      </c>
      <c r="D14329" s="42"/>
      <c r="E14329" s="42"/>
      <c r="F14329" s="48" t="str">
        <f>IFERROR(__xludf.DUMMYFUNCTION("""COMPUTED_VALUE"""),"")</f>
        <v/>
      </c>
      <c r="G14329" s="42" t="str">
        <f>IFERROR(__xludf.DUMMYFUNCTION("""COMPUTED_VALUE"""),"")</f>
        <v/>
      </c>
      <c r="H14329" s="42">
        <f t="shared" si="1"/>
        <v>3345</v>
      </c>
    </row>
    <row r="14330" ht="22.5" customHeight="1">
      <c r="B14330" s="42" t="str">
        <f>IFERROR(__xludf.DUMMYFUNCTION("""COMPUTED_VALUE"""),"")</f>
        <v/>
      </c>
      <c r="C14330" s="42" t="str">
        <f>IFERROR(__xludf.DUMMYFUNCTION("""COMPUTED_VALUE"""),"")</f>
        <v/>
      </c>
      <c r="D14330" s="42"/>
      <c r="E14330" s="42"/>
      <c r="F14330" s="48" t="str">
        <f>IFERROR(__xludf.DUMMYFUNCTION("""COMPUTED_VALUE"""),"")</f>
        <v/>
      </c>
      <c r="G14330" s="42" t="str">
        <f>IFERROR(__xludf.DUMMYFUNCTION("""COMPUTED_VALUE"""),"")</f>
        <v/>
      </c>
      <c r="H14330" s="42">
        <f t="shared" si="1"/>
        <v>3345</v>
      </c>
    </row>
    <row r="14331" ht="22.5" customHeight="1">
      <c r="B14331" s="42" t="str">
        <f>IFERROR(__xludf.DUMMYFUNCTION("""COMPUTED_VALUE"""),"")</f>
        <v/>
      </c>
      <c r="C14331" s="42" t="str">
        <f>IFERROR(__xludf.DUMMYFUNCTION("""COMPUTED_VALUE"""),"")</f>
        <v/>
      </c>
      <c r="D14331" s="42"/>
      <c r="E14331" s="42"/>
      <c r="F14331" s="48" t="str">
        <f>IFERROR(__xludf.DUMMYFUNCTION("""COMPUTED_VALUE"""),"")</f>
        <v/>
      </c>
      <c r="G14331" s="42" t="str">
        <f>IFERROR(__xludf.DUMMYFUNCTION("""COMPUTED_VALUE"""),"")</f>
        <v/>
      </c>
      <c r="H14331" s="42">
        <f t="shared" si="1"/>
        <v>3345</v>
      </c>
    </row>
    <row r="14332" ht="22.5" customHeight="1">
      <c r="B14332" s="42" t="str">
        <f>IFERROR(__xludf.DUMMYFUNCTION("""COMPUTED_VALUE"""),"")</f>
        <v/>
      </c>
      <c r="C14332" s="42" t="str">
        <f>IFERROR(__xludf.DUMMYFUNCTION("""COMPUTED_VALUE"""),"")</f>
        <v/>
      </c>
      <c r="D14332" s="42"/>
      <c r="E14332" s="42"/>
      <c r="F14332" s="48" t="str">
        <f>IFERROR(__xludf.DUMMYFUNCTION("""COMPUTED_VALUE"""),"")</f>
        <v/>
      </c>
      <c r="G14332" s="42" t="str">
        <f>IFERROR(__xludf.DUMMYFUNCTION("""COMPUTED_VALUE"""),"")</f>
        <v/>
      </c>
      <c r="H14332" s="42">
        <f t="shared" si="1"/>
        <v>3345</v>
      </c>
    </row>
    <row r="14333" ht="22.5" customHeight="1">
      <c r="B14333" s="42" t="str">
        <f>IFERROR(__xludf.DUMMYFUNCTION("""COMPUTED_VALUE"""),"")</f>
        <v/>
      </c>
      <c r="C14333" s="42" t="str">
        <f>IFERROR(__xludf.DUMMYFUNCTION("""COMPUTED_VALUE"""),"")</f>
        <v/>
      </c>
      <c r="D14333" s="42"/>
      <c r="E14333" s="42"/>
      <c r="F14333" s="48" t="str">
        <f>IFERROR(__xludf.DUMMYFUNCTION("""COMPUTED_VALUE"""),"")</f>
        <v/>
      </c>
      <c r="G14333" s="42" t="str">
        <f>IFERROR(__xludf.DUMMYFUNCTION("""COMPUTED_VALUE"""),"")</f>
        <v/>
      </c>
      <c r="H14333" s="42">
        <f t="shared" si="1"/>
        <v>3345</v>
      </c>
    </row>
    <row r="14334" ht="22.5" customHeight="1">
      <c r="B14334" s="42" t="str">
        <f>IFERROR(__xludf.DUMMYFUNCTION("""COMPUTED_VALUE"""),"")</f>
        <v/>
      </c>
      <c r="C14334" s="42" t="str">
        <f>IFERROR(__xludf.DUMMYFUNCTION("""COMPUTED_VALUE"""),"")</f>
        <v/>
      </c>
      <c r="D14334" s="42"/>
      <c r="E14334" s="42"/>
      <c r="F14334" s="48" t="str">
        <f>IFERROR(__xludf.DUMMYFUNCTION("""COMPUTED_VALUE"""),"")</f>
        <v/>
      </c>
      <c r="G14334" s="42" t="str">
        <f>IFERROR(__xludf.DUMMYFUNCTION("""COMPUTED_VALUE"""),"")</f>
        <v/>
      </c>
      <c r="H14334" s="42">
        <f t="shared" si="1"/>
        <v>3345</v>
      </c>
    </row>
    <row r="14335" ht="22.5" customHeight="1">
      <c r="B14335" s="42" t="str">
        <f>IFERROR(__xludf.DUMMYFUNCTION("""COMPUTED_VALUE"""),"")</f>
        <v/>
      </c>
      <c r="C14335" s="42" t="str">
        <f>IFERROR(__xludf.DUMMYFUNCTION("""COMPUTED_VALUE"""),"")</f>
        <v/>
      </c>
      <c r="D14335" s="42"/>
      <c r="E14335" s="42"/>
      <c r="F14335" s="48" t="str">
        <f>IFERROR(__xludf.DUMMYFUNCTION("""COMPUTED_VALUE"""),"")</f>
        <v/>
      </c>
      <c r="G14335" s="42" t="str">
        <f>IFERROR(__xludf.DUMMYFUNCTION("""COMPUTED_VALUE"""),"")</f>
        <v/>
      </c>
      <c r="H14335" s="42">
        <f t="shared" si="1"/>
        <v>3345</v>
      </c>
    </row>
    <row r="14336" ht="22.5" customHeight="1">
      <c r="B14336" s="42" t="str">
        <f>IFERROR(__xludf.DUMMYFUNCTION("""COMPUTED_VALUE"""),"")</f>
        <v/>
      </c>
      <c r="C14336" s="42" t="str">
        <f>IFERROR(__xludf.DUMMYFUNCTION("""COMPUTED_VALUE"""),"")</f>
        <v/>
      </c>
      <c r="D14336" s="42"/>
      <c r="E14336" s="42"/>
      <c r="F14336" s="48" t="str">
        <f>IFERROR(__xludf.DUMMYFUNCTION("""COMPUTED_VALUE"""),"")</f>
        <v/>
      </c>
      <c r="G14336" s="42" t="str">
        <f>IFERROR(__xludf.DUMMYFUNCTION("""COMPUTED_VALUE"""),"")</f>
        <v/>
      </c>
      <c r="H14336" s="42">
        <f t="shared" si="1"/>
        <v>3345</v>
      </c>
    </row>
    <row r="14337" ht="22.5" customHeight="1">
      <c r="B14337" s="42" t="str">
        <f>IFERROR(__xludf.DUMMYFUNCTION("""COMPUTED_VALUE"""),"")</f>
        <v/>
      </c>
      <c r="C14337" s="42" t="str">
        <f>IFERROR(__xludf.DUMMYFUNCTION("""COMPUTED_VALUE"""),"")</f>
        <v/>
      </c>
      <c r="D14337" s="42"/>
      <c r="E14337" s="42"/>
      <c r="F14337" s="48" t="str">
        <f>IFERROR(__xludf.DUMMYFUNCTION("""COMPUTED_VALUE"""),"")</f>
        <v/>
      </c>
      <c r="G14337" s="42" t="str">
        <f>IFERROR(__xludf.DUMMYFUNCTION("""COMPUTED_VALUE"""),"")</f>
        <v/>
      </c>
      <c r="H14337" s="42">
        <f t="shared" si="1"/>
        <v>3345</v>
      </c>
    </row>
    <row r="14338" ht="22.5" customHeight="1">
      <c r="B14338" s="42" t="str">
        <f>IFERROR(__xludf.DUMMYFUNCTION("""COMPUTED_VALUE"""),"")</f>
        <v/>
      </c>
      <c r="C14338" s="42" t="str">
        <f>IFERROR(__xludf.DUMMYFUNCTION("""COMPUTED_VALUE"""),"")</f>
        <v/>
      </c>
      <c r="D14338" s="42"/>
      <c r="E14338" s="42"/>
      <c r="F14338" s="48" t="str">
        <f>IFERROR(__xludf.DUMMYFUNCTION("""COMPUTED_VALUE"""),"")</f>
        <v/>
      </c>
      <c r="G14338" s="42" t="str">
        <f>IFERROR(__xludf.DUMMYFUNCTION("""COMPUTED_VALUE"""),"")</f>
        <v/>
      </c>
      <c r="H14338" s="42">
        <f t="shared" si="1"/>
        <v>3345</v>
      </c>
    </row>
    <row r="14339" ht="22.5" customHeight="1">
      <c r="B14339" s="42" t="str">
        <f>IFERROR(__xludf.DUMMYFUNCTION("""COMPUTED_VALUE"""),"")</f>
        <v/>
      </c>
      <c r="C14339" s="42" t="str">
        <f>IFERROR(__xludf.DUMMYFUNCTION("""COMPUTED_VALUE"""),"")</f>
        <v/>
      </c>
      <c r="D14339" s="42"/>
      <c r="E14339" s="42"/>
      <c r="F14339" s="48" t="str">
        <f>IFERROR(__xludf.DUMMYFUNCTION("""COMPUTED_VALUE"""),"")</f>
        <v/>
      </c>
      <c r="G14339" s="42" t="str">
        <f>IFERROR(__xludf.DUMMYFUNCTION("""COMPUTED_VALUE"""),"")</f>
        <v/>
      </c>
      <c r="H14339" s="42">
        <f t="shared" si="1"/>
        <v>3345</v>
      </c>
    </row>
    <row r="14340" ht="22.5" customHeight="1">
      <c r="B14340" s="42" t="str">
        <f>IFERROR(__xludf.DUMMYFUNCTION("""COMPUTED_VALUE"""),"")</f>
        <v/>
      </c>
      <c r="C14340" s="42" t="str">
        <f>IFERROR(__xludf.DUMMYFUNCTION("""COMPUTED_VALUE"""),"")</f>
        <v/>
      </c>
      <c r="D14340" s="42"/>
      <c r="E14340" s="42"/>
      <c r="F14340" s="48" t="str">
        <f>IFERROR(__xludf.DUMMYFUNCTION("""COMPUTED_VALUE"""),"")</f>
        <v/>
      </c>
      <c r="G14340" s="42" t="str">
        <f>IFERROR(__xludf.DUMMYFUNCTION("""COMPUTED_VALUE"""),"")</f>
        <v/>
      </c>
      <c r="H14340" s="42">
        <f t="shared" si="1"/>
        <v>3345</v>
      </c>
    </row>
    <row r="14341" ht="22.5" customHeight="1">
      <c r="B14341" s="42" t="str">
        <f>IFERROR(__xludf.DUMMYFUNCTION("""COMPUTED_VALUE"""),"")</f>
        <v/>
      </c>
      <c r="C14341" s="42" t="str">
        <f>IFERROR(__xludf.DUMMYFUNCTION("""COMPUTED_VALUE"""),"")</f>
        <v/>
      </c>
      <c r="D14341" s="42"/>
      <c r="E14341" s="42"/>
      <c r="F14341" s="48" t="str">
        <f>IFERROR(__xludf.DUMMYFUNCTION("""COMPUTED_VALUE"""),"")</f>
        <v/>
      </c>
      <c r="G14341" s="42" t="str">
        <f>IFERROR(__xludf.DUMMYFUNCTION("""COMPUTED_VALUE"""),"")</f>
        <v/>
      </c>
      <c r="H14341" s="42">
        <f t="shared" si="1"/>
        <v>3345</v>
      </c>
    </row>
    <row r="14342" ht="22.5" customHeight="1">
      <c r="B14342" s="42" t="str">
        <f>IFERROR(__xludf.DUMMYFUNCTION("""COMPUTED_VALUE"""),"")</f>
        <v/>
      </c>
      <c r="C14342" s="42" t="str">
        <f>IFERROR(__xludf.DUMMYFUNCTION("""COMPUTED_VALUE"""),"")</f>
        <v/>
      </c>
      <c r="D14342" s="42"/>
      <c r="E14342" s="42"/>
      <c r="F14342" s="48" t="str">
        <f>IFERROR(__xludf.DUMMYFUNCTION("""COMPUTED_VALUE"""),"")</f>
        <v/>
      </c>
      <c r="G14342" s="42" t="str">
        <f>IFERROR(__xludf.DUMMYFUNCTION("""COMPUTED_VALUE"""),"")</f>
        <v/>
      </c>
      <c r="H14342" s="42">
        <f t="shared" si="1"/>
        <v>3345</v>
      </c>
    </row>
    <row r="14343" ht="22.5" customHeight="1">
      <c r="B14343" s="42" t="str">
        <f>IFERROR(__xludf.DUMMYFUNCTION("""COMPUTED_VALUE"""),"")</f>
        <v/>
      </c>
      <c r="C14343" s="42" t="str">
        <f>IFERROR(__xludf.DUMMYFUNCTION("""COMPUTED_VALUE"""),"")</f>
        <v/>
      </c>
      <c r="D14343" s="42"/>
      <c r="E14343" s="42"/>
      <c r="F14343" s="48" t="str">
        <f>IFERROR(__xludf.DUMMYFUNCTION("""COMPUTED_VALUE"""),"")</f>
        <v/>
      </c>
      <c r="G14343" s="42" t="str">
        <f>IFERROR(__xludf.DUMMYFUNCTION("""COMPUTED_VALUE"""),"")</f>
        <v/>
      </c>
      <c r="H14343" s="42">
        <f t="shared" si="1"/>
        <v>3345</v>
      </c>
    </row>
    <row r="14344" ht="22.5" customHeight="1">
      <c r="B14344" s="42" t="str">
        <f>IFERROR(__xludf.DUMMYFUNCTION("""COMPUTED_VALUE"""),"")</f>
        <v/>
      </c>
      <c r="C14344" s="42" t="str">
        <f>IFERROR(__xludf.DUMMYFUNCTION("""COMPUTED_VALUE"""),"")</f>
        <v/>
      </c>
      <c r="D14344" s="42"/>
      <c r="E14344" s="42"/>
      <c r="F14344" s="48" t="str">
        <f>IFERROR(__xludf.DUMMYFUNCTION("""COMPUTED_VALUE"""),"")</f>
        <v/>
      </c>
      <c r="G14344" s="42" t="str">
        <f>IFERROR(__xludf.DUMMYFUNCTION("""COMPUTED_VALUE"""),"")</f>
        <v/>
      </c>
      <c r="H14344" s="42">
        <f t="shared" si="1"/>
        <v>3345</v>
      </c>
    </row>
    <row r="14345" ht="22.5" customHeight="1">
      <c r="B14345" s="42" t="str">
        <f>IFERROR(__xludf.DUMMYFUNCTION("""COMPUTED_VALUE"""),"")</f>
        <v/>
      </c>
      <c r="C14345" s="42" t="str">
        <f>IFERROR(__xludf.DUMMYFUNCTION("""COMPUTED_VALUE"""),"")</f>
        <v/>
      </c>
      <c r="D14345" s="42"/>
      <c r="E14345" s="42"/>
      <c r="F14345" s="48" t="str">
        <f>IFERROR(__xludf.DUMMYFUNCTION("""COMPUTED_VALUE"""),"")</f>
        <v/>
      </c>
      <c r="G14345" s="42" t="str">
        <f>IFERROR(__xludf.DUMMYFUNCTION("""COMPUTED_VALUE"""),"")</f>
        <v/>
      </c>
      <c r="H14345" s="42">
        <f t="shared" si="1"/>
        <v>3345</v>
      </c>
    </row>
    <row r="14346" ht="22.5" customHeight="1">
      <c r="B14346" s="42" t="str">
        <f>IFERROR(__xludf.DUMMYFUNCTION("""COMPUTED_VALUE"""),"")</f>
        <v/>
      </c>
      <c r="C14346" s="42" t="str">
        <f>IFERROR(__xludf.DUMMYFUNCTION("""COMPUTED_VALUE"""),"")</f>
        <v/>
      </c>
      <c r="D14346" s="42"/>
      <c r="E14346" s="42"/>
      <c r="F14346" s="48" t="str">
        <f>IFERROR(__xludf.DUMMYFUNCTION("""COMPUTED_VALUE"""),"")</f>
        <v/>
      </c>
      <c r="G14346" s="42" t="str">
        <f>IFERROR(__xludf.DUMMYFUNCTION("""COMPUTED_VALUE"""),"")</f>
        <v/>
      </c>
      <c r="H14346" s="42">
        <f t="shared" si="1"/>
        <v>3345</v>
      </c>
    </row>
    <row r="14347" ht="22.5" customHeight="1">
      <c r="B14347" s="42" t="str">
        <f>IFERROR(__xludf.DUMMYFUNCTION("""COMPUTED_VALUE"""),"")</f>
        <v/>
      </c>
      <c r="C14347" s="42" t="str">
        <f>IFERROR(__xludf.DUMMYFUNCTION("""COMPUTED_VALUE"""),"")</f>
        <v/>
      </c>
      <c r="D14347" s="42"/>
      <c r="E14347" s="42"/>
      <c r="F14347" s="48" t="str">
        <f>IFERROR(__xludf.DUMMYFUNCTION("""COMPUTED_VALUE"""),"")</f>
        <v/>
      </c>
      <c r="G14347" s="42" t="str">
        <f>IFERROR(__xludf.DUMMYFUNCTION("""COMPUTED_VALUE"""),"")</f>
        <v/>
      </c>
      <c r="H14347" s="42">
        <f t="shared" si="1"/>
        <v>3345</v>
      </c>
    </row>
    <row r="14348" ht="22.5" customHeight="1">
      <c r="B14348" s="42" t="str">
        <f>IFERROR(__xludf.DUMMYFUNCTION("""COMPUTED_VALUE"""),"")</f>
        <v/>
      </c>
      <c r="C14348" s="42" t="str">
        <f>IFERROR(__xludf.DUMMYFUNCTION("""COMPUTED_VALUE"""),"")</f>
        <v/>
      </c>
      <c r="D14348" s="42"/>
      <c r="E14348" s="42"/>
      <c r="F14348" s="48" t="str">
        <f>IFERROR(__xludf.DUMMYFUNCTION("""COMPUTED_VALUE"""),"")</f>
        <v/>
      </c>
      <c r="G14348" s="42" t="str">
        <f>IFERROR(__xludf.DUMMYFUNCTION("""COMPUTED_VALUE"""),"")</f>
        <v/>
      </c>
      <c r="H14348" s="42">
        <f t="shared" si="1"/>
        <v>3345</v>
      </c>
    </row>
    <row r="14349" ht="22.5" customHeight="1">
      <c r="B14349" s="42" t="str">
        <f>IFERROR(__xludf.DUMMYFUNCTION("""COMPUTED_VALUE"""),"")</f>
        <v/>
      </c>
      <c r="C14349" s="42" t="str">
        <f>IFERROR(__xludf.DUMMYFUNCTION("""COMPUTED_VALUE"""),"")</f>
        <v/>
      </c>
      <c r="D14349" s="42"/>
      <c r="E14349" s="42"/>
      <c r="F14349" s="48" t="str">
        <f>IFERROR(__xludf.DUMMYFUNCTION("""COMPUTED_VALUE"""),"")</f>
        <v/>
      </c>
      <c r="G14349" s="42" t="str">
        <f>IFERROR(__xludf.DUMMYFUNCTION("""COMPUTED_VALUE"""),"")</f>
        <v/>
      </c>
      <c r="H14349" s="42">
        <f t="shared" si="1"/>
        <v>3345</v>
      </c>
    </row>
    <row r="14350" ht="22.5" customHeight="1">
      <c r="B14350" s="42" t="str">
        <f>IFERROR(__xludf.DUMMYFUNCTION("""COMPUTED_VALUE"""),"")</f>
        <v/>
      </c>
      <c r="C14350" s="42" t="str">
        <f>IFERROR(__xludf.DUMMYFUNCTION("""COMPUTED_VALUE"""),"")</f>
        <v/>
      </c>
      <c r="D14350" s="42"/>
      <c r="E14350" s="42"/>
      <c r="F14350" s="48" t="str">
        <f>IFERROR(__xludf.DUMMYFUNCTION("""COMPUTED_VALUE"""),"")</f>
        <v/>
      </c>
      <c r="G14350" s="42" t="str">
        <f>IFERROR(__xludf.DUMMYFUNCTION("""COMPUTED_VALUE"""),"")</f>
        <v/>
      </c>
      <c r="H14350" s="42">
        <f t="shared" si="1"/>
        <v>3345</v>
      </c>
    </row>
    <row r="14351" ht="22.5" customHeight="1">
      <c r="B14351" s="42" t="str">
        <f>IFERROR(__xludf.DUMMYFUNCTION("""COMPUTED_VALUE"""),"")</f>
        <v/>
      </c>
      <c r="C14351" s="42" t="str">
        <f>IFERROR(__xludf.DUMMYFUNCTION("""COMPUTED_VALUE"""),"")</f>
        <v/>
      </c>
      <c r="D14351" s="42"/>
      <c r="E14351" s="42"/>
      <c r="F14351" s="48" t="str">
        <f>IFERROR(__xludf.DUMMYFUNCTION("""COMPUTED_VALUE"""),"")</f>
        <v/>
      </c>
      <c r="G14351" s="42" t="str">
        <f>IFERROR(__xludf.DUMMYFUNCTION("""COMPUTED_VALUE"""),"")</f>
        <v/>
      </c>
      <c r="H14351" s="42">
        <f t="shared" si="1"/>
        <v>3345</v>
      </c>
    </row>
    <row r="14352" ht="22.5" customHeight="1">
      <c r="B14352" s="42" t="str">
        <f>IFERROR(__xludf.DUMMYFUNCTION("""COMPUTED_VALUE"""),"")</f>
        <v/>
      </c>
      <c r="C14352" s="42" t="str">
        <f>IFERROR(__xludf.DUMMYFUNCTION("""COMPUTED_VALUE"""),"")</f>
        <v/>
      </c>
      <c r="D14352" s="42"/>
      <c r="E14352" s="42"/>
      <c r="F14352" s="48" t="str">
        <f>IFERROR(__xludf.DUMMYFUNCTION("""COMPUTED_VALUE"""),"")</f>
        <v/>
      </c>
      <c r="G14352" s="42" t="str">
        <f>IFERROR(__xludf.DUMMYFUNCTION("""COMPUTED_VALUE"""),"")</f>
        <v/>
      </c>
      <c r="H14352" s="42">
        <f t="shared" si="1"/>
        <v>3345</v>
      </c>
    </row>
    <row r="14353" ht="22.5" customHeight="1">
      <c r="B14353" s="42" t="str">
        <f>IFERROR(__xludf.DUMMYFUNCTION("""COMPUTED_VALUE"""),"")</f>
        <v/>
      </c>
      <c r="C14353" s="42" t="str">
        <f>IFERROR(__xludf.DUMMYFUNCTION("""COMPUTED_VALUE"""),"")</f>
        <v/>
      </c>
      <c r="D14353" s="42"/>
      <c r="E14353" s="42"/>
      <c r="F14353" s="48" t="str">
        <f>IFERROR(__xludf.DUMMYFUNCTION("""COMPUTED_VALUE"""),"")</f>
        <v/>
      </c>
      <c r="G14353" s="42" t="str">
        <f>IFERROR(__xludf.DUMMYFUNCTION("""COMPUTED_VALUE"""),"")</f>
        <v/>
      </c>
      <c r="H14353" s="42">
        <f t="shared" si="1"/>
        <v>3345</v>
      </c>
    </row>
    <row r="14354" ht="22.5" customHeight="1">
      <c r="B14354" s="42" t="str">
        <f>IFERROR(__xludf.DUMMYFUNCTION("""COMPUTED_VALUE"""),"")</f>
        <v/>
      </c>
      <c r="C14354" s="42" t="str">
        <f>IFERROR(__xludf.DUMMYFUNCTION("""COMPUTED_VALUE"""),"")</f>
        <v/>
      </c>
      <c r="D14354" s="42"/>
      <c r="E14354" s="42"/>
      <c r="F14354" s="48" t="str">
        <f>IFERROR(__xludf.DUMMYFUNCTION("""COMPUTED_VALUE"""),"")</f>
        <v/>
      </c>
      <c r="G14354" s="42" t="str">
        <f>IFERROR(__xludf.DUMMYFUNCTION("""COMPUTED_VALUE"""),"")</f>
        <v/>
      </c>
      <c r="H14354" s="42">
        <f t="shared" si="1"/>
        <v>3345</v>
      </c>
    </row>
    <row r="14355" ht="22.5" customHeight="1">
      <c r="B14355" s="42" t="str">
        <f>IFERROR(__xludf.DUMMYFUNCTION("""COMPUTED_VALUE"""),"")</f>
        <v/>
      </c>
      <c r="C14355" s="42" t="str">
        <f>IFERROR(__xludf.DUMMYFUNCTION("""COMPUTED_VALUE"""),"")</f>
        <v/>
      </c>
      <c r="D14355" s="42"/>
      <c r="E14355" s="42"/>
      <c r="F14355" s="48" t="str">
        <f>IFERROR(__xludf.DUMMYFUNCTION("""COMPUTED_VALUE"""),"")</f>
        <v/>
      </c>
      <c r="G14355" s="42" t="str">
        <f>IFERROR(__xludf.DUMMYFUNCTION("""COMPUTED_VALUE"""),"")</f>
        <v/>
      </c>
      <c r="H14355" s="42">
        <f t="shared" si="1"/>
        <v>3345</v>
      </c>
    </row>
    <row r="14356" ht="22.5" customHeight="1">
      <c r="B14356" s="42" t="str">
        <f>IFERROR(__xludf.DUMMYFUNCTION("""COMPUTED_VALUE"""),"")</f>
        <v/>
      </c>
      <c r="C14356" s="42" t="str">
        <f>IFERROR(__xludf.DUMMYFUNCTION("""COMPUTED_VALUE"""),"")</f>
        <v/>
      </c>
      <c r="D14356" s="42"/>
      <c r="E14356" s="42"/>
      <c r="F14356" s="48" t="str">
        <f>IFERROR(__xludf.DUMMYFUNCTION("""COMPUTED_VALUE"""),"")</f>
        <v/>
      </c>
      <c r="G14356" s="42" t="str">
        <f>IFERROR(__xludf.DUMMYFUNCTION("""COMPUTED_VALUE"""),"")</f>
        <v/>
      </c>
      <c r="H14356" s="42">
        <f t="shared" si="1"/>
        <v>3345</v>
      </c>
    </row>
    <row r="14357" ht="22.5" customHeight="1">
      <c r="B14357" s="42" t="str">
        <f>IFERROR(__xludf.DUMMYFUNCTION("""COMPUTED_VALUE"""),"")</f>
        <v/>
      </c>
      <c r="C14357" s="42" t="str">
        <f>IFERROR(__xludf.DUMMYFUNCTION("""COMPUTED_VALUE"""),"")</f>
        <v/>
      </c>
      <c r="D14357" s="42"/>
      <c r="E14357" s="42"/>
      <c r="F14357" s="48" t="str">
        <f>IFERROR(__xludf.DUMMYFUNCTION("""COMPUTED_VALUE"""),"")</f>
        <v/>
      </c>
      <c r="G14357" s="42" t="str">
        <f>IFERROR(__xludf.DUMMYFUNCTION("""COMPUTED_VALUE"""),"")</f>
        <v/>
      </c>
      <c r="H14357" s="42">
        <f t="shared" si="1"/>
        <v>3345</v>
      </c>
    </row>
    <row r="14358" ht="22.5" customHeight="1">
      <c r="B14358" s="42" t="str">
        <f>IFERROR(__xludf.DUMMYFUNCTION("""COMPUTED_VALUE"""),"")</f>
        <v/>
      </c>
      <c r="C14358" s="42" t="str">
        <f>IFERROR(__xludf.DUMMYFUNCTION("""COMPUTED_VALUE"""),"")</f>
        <v/>
      </c>
      <c r="D14358" s="42"/>
      <c r="E14358" s="42"/>
      <c r="F14358" s="48" t="str">
        <f>IFERROR(__xludf.DUMMYFUNCTION("""COMPUTED_VALUE"""),"")</f>
        <v/>
      </c>
      <c r="G14358" s="42" t="str">
        <f>IFERROR(__xludf.DUMMYFUNCTION("""COMPUTED_VALUE"""),"")</f>
        <v/>
      </c>
      <c r="H14358" s="42">
        <f t="shared" si="1"/>
        <v>3345</v>
      </c>
    </row>
    <row r="14359" ht="22.5" customHeight="1">
      <c r="B14359" s="42" t="str">
        <f>IFERROR(__xludf.DUMMYFUNCTION("""COMPUTED_VALUE"""),"")</f>
        <v/>
      </c>
      <c r="C14359" s="42" t="str">
        <f>IFERROR(__xludf.DUMMYFUNCTION("""COMPUTED_VALUE"""),"")</f>
        <v/>
      </c>
      <c r="D14359" s="42"/>
      <c r="E14359" s="42"/>
      <c r="F14359" s="48" t="str">
        <f>IFERROR(__xludf.DUMMYFUNCTION("""COMPUTED_VALUE"""),"")</f>
        <v/>
      </c>
      <c r="G14359" s="42" t="str">
        <f>IFERROR(__xludf.DUMMYFUNCTION("""COMPUTED_VALUE"""),"")</f>
        <v/>
      </c>
      <c r="H14359" s="42">
        <f t="shared" si="1"/>
        <v>3345</v>
      </c>
    </row>
    <row r="14360" ht="22.5" customHeight="1">
      <c r="B14360" s="42" t="str">
        <f>IFERROR(__xludf.DUMMYFUNCTION("""COMPUTED_VALUE"""),"")</f>
        <v/>
      </c>
      <c r="C14360" s="42" t="str">
        <f>IFERROR(__xludf.DUMMYFUNCTION("""COMPUTED_VALUE"""),"")</f>
        <v/>
      </c>
      <c r="D14360" s="42"/>
      <c r="E14360" s="42"/>
      <c r="F14360" s="48" t="str">
        <f>IFERROR(__xludf.DUMMYFUNCTION("""COMPUTED_VALUE"""),"")</f>
        <v/>
      </c>
      <c r="G14360" s="42" t="str">
        <f>IFERROR(__xludf.DUMMYFUNCTION("""COMPUTED_VALUE"""),"")</f>
        <v/>
      </c>
      <c r="H14360" s="42">
        <f t="shared" si="1"/>
        <v>3345</v>
      </c>
    </row>
    <row r="14361" ht="22.5" customHeight="1">
      <c r="B14361" s="42" t="str">
        <f>IFERROR(__xludf.DUMMYFUNCTION("""COMPUTED_VALUE"""),"")</f>
        <v/>
      </c>
      <c r="C14361" s="42" t="str">
        <f>IFERROR(__xludf.DUMMYFUNCTION("""COMPUTED_VALUE"""),"")</f>
        <v/>
      </c>
      <c r="D14361" s="42"/>
      <c r="E14361" s="42"/>
      <c r="F14361" s="48" t="str">
        <f>IFERROR(__xludf.DUMMYFUNCTION("""COMPUTED_VALUE"""),"")</f>
        <v/>
      </c>
      <c r="G14361" s="42" t="str">
        <f>IFERROR(__xludf.DUMMYFUNCTION("""COMPUTED_VALUE"""),"")</f>
        <v/>
      </c>
      <c r="H14361" s="42">
        <f t="shared" si="1"/>
        <v>3345</v>
      </c>
    </row>
    <row r="14362" ht="22.5" customHeight="1">
      <c r="B14362" s="42" t="str">
        <f>IFERROR(__xludf.DUMMYFUNCTION("""COMPUTED_VALUE"""),"")</f>
        <v/>
      </c>
      <c r="C14362" s="42" t="str">
        <f>IFERROR(__xludf.DUMMYFUNCTION("""COMPUTED_VALUE"""),"")</f>
        <v/>
      </c>
      <c r="D14362" s="42"/>
      <c r="E14362" s="42"/>
      <c r="F14362" s="48" t="str">
        <f>IFERROR(__xludf.DUMMYFUNCTION("""COMPUTED_VALUE"""),"")</f>
        <v/>
      </c>
      <c r="G14362" s="42" t="str">
        <f>IFERROR(__xludf.DUMMYFUNCTION("""COMPUTED_VALUE"""),"")</f>
        <v/>
      </c>
      <c r="H14362" s="42">
        <f t="shared" si="1"/>
        <v>3345</v>
      </c>
    </row>
    <row r="14363" ht="22.5" customHeight="1">
      <c r="B14363" s="42" t="str">
        <f>IFERROR(__xludf.DUMMYFUNCTION("""COMPUTED_VALUE"""),"")</f>
        <v/>
      </c>
      <c r="C14363" s="42" t="str">
        <f>IFERROR(__xludf.DUMMYFUNCTION("""COMPUTED_VALUE"""),"")</f>
        <v/>
      </c>
      <c r="D14363" s="42"/>
      <c r="E14363" s="42"/>
      <c r="F14363" s="48" t="str">
        <f>IFERROR(__xludf.DUMMYFUNCTION("""COMPUTED_VALUE"""),"")</f>
        <v/>
      </c>
      <c r="G14363" s="42" t="str">
        <f>IFERROR(__xludf.DUMMYFUNCTION("""COMPUTED_VALUE"""),"")</f>
        <v/>
      </c>
      <c r="H14363" s="42">
        <f t="shared" si="1"/>
        <v>3345</v>
      </c>
    </row>
    <row r="14364" ht="22.5" customHeight="1">
      <c r="B14364" s="42" t="str">
        <f>IFERROR(__xludf.DUMMYFUNCTION("""COMPUTED_VALUE"""),"")</f>
        <v/>
      </c>
      <c r="C14364" s="42" t="str">
        <f>IFERROR(__xludf.DUMMYFUNCTION("""COMPUTED_VALUE"""),"")</f>
        <v/>
      </c>
      <c r="D14364" s="42"/>
      <c r="E14364" s="42"/>
      <c r="F14364" s="48" t="str">
        <f>IFERROR(__xludf.DUMMYFUNCTION("""COMPUTED_VALUE"""),"")</f>
        <v/>
      </c>
      <c r="G14364" s="42" t="str">
        <f>IFERROR(__xludf.DUMMYFUNCTION("""COMPUTED_VALUE"""),"")</f>
        <v/>
      </c>
      <c r="H14364" s="42">
        <f t="shared" si="1"/>
        <v>3345</v>
      </c>
    </row>
    <row r="14365" ht="22.5" customHeight="1">
      <c r="B14365" s="42" t="str">
        <f>IFERROR(__xludf.DUMMYFUNCTION("""COMPUTED_VALUE"""),"")</f>
        <v/>
      </c>
      <c r="C14365" s="42" t="str">
        <f>IFERROR(__xludf.DUMMYFUNCTION("""COMPUTED_VALUE"""),"")</f>
        <v/>
      </c>
      <c r="D14365" s="42"/>
      <c r="E14365" s="42"/>
      <c r="F14365" s="48" t="str">
        <f>IFERROR(__xludf.DUMMYFUNCTION("""COMPUTED_VALUE"""),"")</f>
        <v/>
      </c>
      <c r="G14365" s="42" t="str">
        <f>IFERROR(__xludf.DUMMYFUNCTION("""COMPUTED_VALUE"""),"")</f>
        <v/>
      </c>
      <c r="H14365" s="42">
        <f t="shared" si="1"/>
        <v>3345</v>
      </c>
    </row>
    <row r="14366" ht="22.5" customHeight="1">
      <c r="B14366" s="42" t="str">
        <f>IFERROR(__xludf.DUMMYFUNCTION("""COMPUTED_VALUE"""),"")</f>
        <v/>
      </c>
      <c r="C14366" s="42" t="str">
        <f>IFERROR(__xludf.DUMMYFUNCTION("""COMPUTED_VALUE"""),"")</f>
        <v/>
      </c>
      <c r="D14366" s="42"/>
      <c r="E14366" s="42"/>
      <c r="F14366" s="48" t="str">
        <f>IFERROR(__xludf.DUMMYFUNCTION("""COMPUTED_VALUE"""),"")</f>
        <v/>
      </c>
      <c r="G14366" s="42" t="str">
        <f>IFERROR(__xludf.DUMMYFUNCTION("""COMPUTED_VALUE"""),"")</f>
        <v/>
      </c>
      <c r="H14366" s="42">
        <f t="shared" si="1"/>
        <v>3345</v>
      </c>
    </row>
    <row r="14367" ht="22.5" customHeight="1">
      <c r="B14367" s="42" t="str">
        <f>IFERROR(__xludf.DUMMYFUNCTION("""COMPUTED_VALUE"""),"")</f>
        <v/>
      </c>
      <c r="C14367" s="42" t="str">
        <f>IFERROR(__xludf.DUMMYFUNCTION("""COMPUTED_VALUE"""),"")</f>
        <v/>
      </c>
      <c r="D14367" s="42"/>
      <c r="E14367" s="42"/>
      <c r="F14367" s="48" t="str">
        <f>IFERROR(__xludf.DUMMYFUNCTION("""COMPUTED_VALUE"""),"")</f>
        <v/>
      </c>
      <c r="G14367" s="42" t="str">
        <f>IFERROR(__xludf.DUMMYFUNCTION("""COMPUTED_VALUE"""),"")</f>
        <v/>
      </c>
      <c r="H14367" s="42">
        <f t="shared" si="1"/>
        <v>3345</v>
      </c>
    </row>
    <row r="14368" ht="22.5" customHeight="1">
      <c r="B14368" s="42" t="str">
        <f>IFERROR(__xludf.DUMMYFUNCTION("""COMPUTED_VALUE"""),"")</f>
        <v/>
      </c>
      <c r="C14368" s="42" t="str">
        <f>IFERROR(__xludf.DUMMYFUNCTION("""COMPUTED_VALUE"""),"")</f>
        <v/>
      </c>
      <c r="D14368" s="42"/>
      <c r="E14368" s="42"/>
      <c r="F14368" s="48" t="str">
        <f>IFERROR(__xludf.DUMMYFUNCTION("""COMPUTED_VALUE"""),"")</f>
        <v/>
      </c>
      <c r="G14368" s="42" t="str">
        <f>IFERROR(__xludf.DUMMYFUNCTION("""COMPUTED_VALUE"""),"")</f>
        <v/>
      </c>
      <c r="H14368" s="42">
        <f t="shared" si="1"/>
        <v>3345</v>
      </c>
    </row>
    <row r="14369" ht="22.5" customHeight="1">
      <c r="B14369" s="42" t="str">
        <f>IFERROR(__xludf.DUMMYFUNCTION("""COMPUTED_VALUE"""),"")</f>
        <v/>
      </c>
      <c r="C14369" s="42" t="str">
        <f>IFERROR(__xludf.DUMMYFUNCTION("""COMPUTED_VALUE"""),"")</f>
        <v/>
      </c>
      <c r="D14369" s="42"/>
      <c r="E14369" s="42"/>
      <c r="F14369" s="48" t="str">
        <f>IFERROR(__xludf.DUMMYFUNCTION("""COMPUTED_VALUE"""),"")</f>
        <v/>
      </c>
      <c r="G14369" s="42" t="str">
        <f>IFERROR(__xludf.DUMMYFUNCTION("""COMPUTED_VALUE"""),"")</f>
        <v/>
      </c>
      <c r="H14369" s="42">
        <f t="shared" si="1"/>
        <v>3345</v>
      </c>
    </row>
    <row r="14370" ht="22.5" customHeight="1">
      <c r="B14370" s="42" t="str">
        <f>IFERROR(__xludf.DUMMYFUNCTION("""COMPUTED_VALUE"""),"")</f>
        <v/>
      </c>
      <c r="C14370" s="42" t="str">
        <f>IFERROR(__xludf.DUMMYFUNCTION("""COMPUTED_VALUE"""),"")</f>
        <v/>
      </c>
      <c r="D14370" s="42"/>
      <c r="E14370" s="42"/>
      <c r="F14370" s="48" t="str">
        <f>IFERROR(__xludf.DUMMYFUNCTION("""COMPUTED_VALUE"""),"")</f>
        <v/>
      </c>
      <c r="G14370" s="42" t="str">
        <f>IFERROR(__xludf.DUMMYFUNCTION("""COMPUTED_VALUE"""),"")</f>
        <v/>
      </c>
      <c r="H14370" s="42">
        <f t="shared" si="1"/>
        <v>3345</v>
      </c>
    </row>
    <row r="14371" ht="22.5" customHeight="1">
      <c r="B14371" s="42" t="str">
        <f>IFERROR(__xludf.DUMMYFUNCTION("""COMPUTED_VALUE"""),"")</f>
        <v/>
      </c>
      <c r="C14371" s="42" t="str">
        <f>IFERROR(__xludf.DUMMYFUNCTION("""COMPUTED_VALUE"""),"")</f>
        <v/>
      </c>
      <c r="D14371" s="42"/>
      <c r="E14371" s="42"/>
      <c r="F14371" s="48" t="str">
        <f>IFERROR(__xludf.DUMMYFUNCTION("""COMPUTED_VALUE"""),"")</f>
        <v/>
      </c>
      <c r="G14371" s="42" t="str">
        <f>IFERROR(__xludf.DUMMYFUNCTION("""COMPUTED_VALUE"""),"")</f>
        <v/>
      </c>
      <c r="H14371" s="42">
        <f t="shared" si="1"/>
        <v>3345</v>
      </c>
    </row>
    <row r="14372" ht="22.5" customHeight="1">
      <c r="B14372" s="42" t="str">
        <f>IFERROR(__xludf.DUMMYFUNCTION("""COMPUTED_VALUE"""),"")</f>
        <v/>
      </c>
      <c r="C14372" s="42" t="str">
        <f>IFERROR(__xludf.DUMMYFUNCTION("""COMPUTED_VALUE"""),"")</f>
        <v/>
      </c>
      <c r="D14372" s="42"/>
      <c r="E14372" s="42"/>
      <c r="F14372" s="48" t="str">
        <f>IFERROR(__xludf.DUMMYFUNCTION("""COMPUTED_VALUE"""),"")</f>
        <v/>
      </c>
      <c r="G14372" s="42" t="str">
        <f>IFERROR(__xludf.DUMMYFUNCTION("""COMPUTED_VALUE"""),"")</f>
        <v/>
      </c>
      <c r="H14372" s="42">
        <f t="shared" si="1"/>
        <v>3345</v>
      </c>
    </row>
    <row r="14373" ht="22.5" customHeight="1">
      <c r="B14373" s="42" t="str">
        <f>IFERROR(__xludf.DUMMYFUNCTION("""COMPUTED_VALUE"""),"")</f>
        <v/>
      </c>
      <c r="C14373" s="42" t="str">
        <f>IFERROR(__xludf.DUMMYFUNCTION("""COMPUTED_VALUE"""),"")</f>
        <v/>
      </c>
      <c r="D14373" s="42"/>
      <c r="E14373" s="42"/>
      <c r="F14373" s="48" t="str">
        <f>IFERROR(__xludf.DUMMYFUNCTION("""COMPUTED_VALUE"""),"")</f>
        <v/>
      </c>
      <c r="G14373" s="42" t="str">
        <f>IFERROR(__xludf.DUMMYFUNCTION("""COMPUTED_VALUE"""),"")</f>
        <v/>
      </c>
      <c r="H14373" s="42">
        <f t="shared" si="1"/>
        <v>3345</v>
      </c>
    </row>
    <row r="14374" ht="22.5" customHeight="1">
      <c r="B14374" s="42" t="str">
        <f>IFERROR(__xludf.DUMMYFUNCTION("""COMPUTED_VALUE"""),"")</f>
        <v/>
      </c>
      <c r="C14374" s="42" t="str">
        <f>IFERROR(__xludf.DUMMYFUNCTION("""COMPUTED_VALUE"""),"")</f>
        <v/>
      </c>
      <c r="D14374" s="42"/>
      <c r="E14374" s="42"/>
      <c r="F14374" s="48" t="str">
        <f>IFERROR(__xludf.DUMMYFUNCTION("""COMPUTED_VALUE"""),"")</f>
        <v/>
      </c>
      <c r="G14374" s="42" t="str">
        <f>IFERROR(__xludf.DUMMYFUNCTION("""COMPUTED_VALUE"""),"")</f>
        <v/>
      </c>
      <c r="H14374" s="42">
        <f t="shared" si="1"/>
        <v>3345</v>
      </c>
    </row>
    <row r="14375" ht="22.5" customHeight="1">
      <c r="B14375" s="42" t="str">
        <f>IFERROR(__xludf.DUMMYFUNCTION("""COMPUTED_VALUE"""),"")</f>
        <v/>
      </c>
      <c r="C14375" s="42" t="str">
        <f>IFERROR(__xludf.DUMMYFUNCTION("""COMPUTED_VALUE"""),"")</f>
        <v/>
      </c>
      <c r="D14375" s="42"/>
      <c r="E14375" s="42"/>
      <c r="F14375" s="48" t="str">
        <f>IFERROR(__xludf.DUMMYFUNCTION("""COMPUTED_VALUE"""),"")</f>
        <v/>
      </c>
      <c r="G14375" s="42" t="str">
        <f>IFERROR(__xludf.DUMMYFUNCTION("""COMPUTED_VALUE"""),"")</f>
        <v/>
      </c>
      <c r="H14375" s="42">
        <f t="shared" si="1"/>
        <v>3345</v>
      </c>
    </row>
    <row r="14376" ht="22.5" customHeight="1">
      <c r="B14376" s="42" t="str">
        <f>IFERROR(__xludf.DUMMYFUNCTION("""COMPUTED_VALUE"""),"")</f>
        <v/>
      </c>
      <c r="C14376" s="42" t="str">
        <f>IFERROR(__xludf.DUMMYFUNCTION("""COMPUTED_VALUE"""),"")</f>
        <v/>
      </c>
      <c r="D14376" s="42"/>
      <c r="E14376" s="42"/>
      <c r="F14376" s="48" t="str">
        <f>IFERROR(__xludf.DUMMYFUNCTION("""COMPUTED_VALUE"""),"")</f>
        <v/>
      </c>
      <c r="G14376" s="42" t="str">
        <f>IFERROR(__xludf.DUMMYFUNCTION("""COMPUTED_VALUE"""),"")</f>
        <v/>
      </c>
      <c r="H14376" s="42">
        <f t="shared" si="1"/>
        <v>3345</v>
      </c>
    </row>
    <row r="14377" ht="22.5" customHeight="1">
      <c r="B14377" s="42" t="str">
        <f>IFERROR(__xludf.DUMMYFUNCTION("""COMPUTED_VALUE"""),"")</f>
        <v/>
      </c>
      <c r="C14377" s="42" t="str">
        <f>IFERROR(__xludf.DUMMYFUNCTION("""COMPUTED_VALUE"""),"")</f>
        <v/>
      </c>
      <c r="D14377" s="42"/>
      <c r="E14377" s="42"/>
      <c r="F14377" s="48" t="str">
        <f>IFERROR(__xludf.DUMMYFUNCTION("""COMPUTED_VALUE"""),"")</f>
        <v/>
      </c>
      <c r="G14377" s="42" t="str">
        <f>IFERROR(__xludf.DUMMYFUNCTION("""COMPUTED_VALUE"""),"")</f>
        <v/>
      </c>
      <c r="H14377" s="42">
        <f t="shared" si="1"/>
        <v>3345</v>
      </c>
    </row>
    <row r="14378" ht="22.5" customHeight="1">
      <c r="B14378" s="42" t="str">
        <f>IFERROR(__xludf.DUMMYFUNCTION("""COMPUTED_VALUE"""),"")</f>
        <v/>
      </c>
      <c r="C14378" s="42" t="str">
        <f>IFERROR(__xludf.DUMMYFUNCTION("""COMPUTED_VALUE"""),"")</f>
        <v/>
      </c>
      <c r="D14378" s="42"/>
      <c r="E14378" s="42"/>
      <c r="F14378" s="48" t="str">
        <f>IFERROR(__xludf.DUMMYFUNCTION("""COMPUTED_VALUE"""),"")</f>
        <v/>
      </c>
      <c r="G14378" s="42" t="str">
        <f>IFERROR(__xludf.DUMMYFUNCTION("""COMPUTED_VALUE"""),"")</f>
        <v/>
      </c>
      <c r="H14378" s="42">
        <f t="shared" si="1"/>
        <v>3345</v>
      </c>
    </row>
    <row r="14379" ht="22.5" customHeight="1">
      <c r="B14379" s="42" t="str">
        <f>IFERROR(__xludf.DUMMYFUNCTION("""COMPUTED_VALUE"""),"")</f>
        <v/>
      </c>
      <c r="C14379" s="42" t="str">
        <f>IFERROR(__xludf.DUMMYFUNCTION("""COMPUTED_VALUE"""),"")</f>
        <v/>
      </c>
      <c r="D14379" s="42"/>
      <c r="E14379" s="42"/>
      <c r="F14379" s="48" t="str">
        <f>IFERROR(__xludf.DUMMYFUNCTION("""COMPUTED_VALUE"""),"")</f>
        <v/>
      </c>
      <c r="G14379" s="42" t="str">
        <f>IFERROR(__xludf.DUMMYFUNCTION("""COMPUTED_VALUE"""),"")</f>
        <v/>
      </c>
      <c r="H14379" s="42">
        <f t="shared" si="1"/>
        <v>3345</v>
      </c>
    </row>
    <row r="14380" ht="22.5" customHeight="1">
      <c r="B14380" s="42" t="str">
        <f>IFERROR(__xludf.DUMMYFUNCTION("""COMPUTED_VALUE"""),"")</f>
        <v/>
      </c>
      <c r="C14380" s="42" t="str">
        <f>IFERROR(__xludf.DUMMYFUNCTION("""COMPUTED_VALUE"""),"")</f>
        <v/>
      </c>
      <c r="D14380" s="42"/>
      <c r="E14380" s="42"/>
      <c r="F14380" s="48" t="str">
        <f>IFERROR(__xludf.DUMMYFUNCTION("""COMPUTED_VALUE"""),"")</f>
        <v/>
      </c>
      <c r="G14380" s="42" t="str">
        <f>IFERROR(__xludf.DUMMYFUNCTION("""COMPUTED_VALUE"""),"")</f>
        <v/>
      </c>
      <c r="H14380" s="42">
        <f t="shared" si="1"/>
        <v>3345</v>
      </c>
    </row>
    <row r="14381" ht="22.5" customHeight="1">
      <c r="B14381" s="42" t="str">
        <f>IFERROR(__xludf.DUMMYFUNCTION("""COMPUTED_VALUE"""),"")</f>
        <v/>
      </c>
      <c r="C14381" s="42" t="str">
        <f>IFERROR(__xludf.DUMMYFUNCTION("""COMPUTED_VALUE"""),"")</f>
        <v/>
      </c>
      <c r="D14381" s="42"/>
      <c r="E14381" s="42"/>
      <c r="F14381" s="48" t="str">
        <f>IFERROR(__xludf.DUMMYFUNCTION("""COMPUTED_VALUE"""),"")</f>
        <v/>
      </c>
      <c r="G14381" s="42" t="str">
        <f>IFERROR(__xludf.DUMMYFUNCTION("""COMPUTED_VALUE"""),"")</f>
        <v/>
      </c>
      <c r="H14381" s="42">
        <f t="shared" si="1"/>
        <v>3345</v>
      </c>
    </row>
    <row r="14382" ht="22.5" customHeight="1">
      <c r="B14382" s="42" t="str">
        <f>IFERROR(__xludf.DUMMYFUNCTION("""COMPUTED_VALUE"""),"")</f>
        <v/>
      </c>
      <c r="C14382" s="42" t="str">
        <f>IFERROR(__xludf.DUMMYFUNCTION("""COMPUTED_VALUE"""),"")</f>
        <v/>
      </c>
      <c r="D14382" s="42"/>
      <c r="E14382" s="42"/>
      <c r="F14382" s="48" t="str">
        <f>IFERROR(__xludf.DUMMYFUNCTION("""COMPUTED_VALUE"""),"")</f>
        <v/>
      </c>
      <c r="G14382" s="42" t="str">
        <f>IFERROR(__xludf.DUMMYFUNCTION("""COMPUTED_VALUE"""),"")</f>
        <v/>
      </c>
      <c r="H14382" s="42">
        <f t="shared" si="1"/>
        <v>3345</v>
      </c>
    </row>
    <row r="14383" ht="22.5" customHeight="1">
      <c r="B14383" s="42" t="str">
        <f>IFERROR(__xludf.DUMMYFUNCTION("""COMPUTED_VALUE"""),"")</f>
        <v/>
      </c>
      <c r="C14383" s="42" t="str">
        <f>IFERROR(__xludf.DUMMYFUNCTION("""COMPUTED_VALUE"""),"")</f>
        <v/>
      </c>
      <c r="D14383" s="42"/>
      <c r="E14383" s="42"/>
      <c r="F14383" s="48" t="str">
        <f>IFERROR(__xludf.DUMMYFUNCTION("""COMPUTED_VALUE"""),"")</f>
        <v/>
      </c>
      <c r="G14383" s="42" t="str">
        <f>IFERROR(__xludf.DUMMYFUNCTION("""COMPUTED_VALUE"""),"")</f>
        <v/>
      </c>
      <c r="H14383" s="42">
        <f t="shared" si="1"/>
        <v>3345</v>
      </c>
    </row>
    <row r="14384" ht="22.5" customHeight="1">
      <c r="B14384" s="42" t="str">
        <f>IFERROR(__xludf.DUMMYFUNCTION("""COMPUTED_VALUE"""),"")</f>
        <v/>
      </c>
      <c r="C14384" s="42" t="str">
        <f>IFERROR(__xludf.DUMMYFUNCTION("""COMPUTED_VALUE"""),"")</f>
        <v/>
      </c>
      <c r="D14384" s="42"/>
      <c r="E14384" s="42"/>
      <c r="F14384" s="48" t="str">
        <f>IFERROR(__xludf.DUMMYFUNCTION("""COMPUTED_VALUE"""),"")</f>
        <v/>
      </c>
      <c r="G14384" s="42" t="str">
        <f>IFERROR(__xludf.DUMMYFUNCTION("""COMPUTED_VALUE"""),"")</f>
        <v/>
      </c>
      <c r="H14384" s="42">
        <f t="shared" si="1"/>
        <v>3345</v>
      </c>
    </row>
    <row r="14385" ht="22.5" customHeight="1">
      <c r="B14385" s="42" t="str">
        <f>IFERROR(__xludf.DUMMYFUNCTION("""COMPUTED_VALUE"""),"")</f>
        <v/>
      </c>
      <c r="C14385" s="42" t="str">
        <f>IFERROR(__xludf.DUMMYFUNCTION("""COMPUTED_VALUE"""),"")</f>
        <v/>
      </c>
      <c r="D14385" s="42"/>
      <c r="E14385" s="42"/>
      <c r="F14385" s="48" t="str">
        <f>IFERROR(__xludf.DUMMYFUNCTION("""COMPUTED_VALUE"""),"")</f>
        <v/>
      </c>
      <c r="G14385" s="42" t="str">
        <f>IFERROR(__xludf.DUMMYFUNCTION("""COMPUTED_VALUE"""),"")</f>
        <v/>
      </c>
      <c r="H14385" s="42">
        <f t="shared" si="1"/>
        <v>3345</v>
      </c>
    </row>
    <row r="14386" ht="22.5" customHeight="1">
      <c r="B14386" s="42" t="str">
        <f>IFERROR(__xludf.DUMMYFUNCTION("""COMPUTED_VALUE"""),"")</f>
        <v/>
      </c>
      <c r="C14386" s="42" t="str">
        <f>IFERROR(__xludf.DUMMYFUNCTION("""COMPUTED_VALUE"""),"")</f>
        <v/>
      </c>
      <c r="D14386" s="42"/>
      <c r="E14386" s="42"/>
      <c r="F14386" s="48" t="str">
        <f>IFERROR(__xludf.DUMMYFUNCTION("""COMPUTED_VALUE"""),"")</f>
        <v/>
      </c>
      <c r="G14386" s="42" t="str">
        <f>IFERROR(__xludf.DUMMYFUNCTION("""COMPUTED_VALUE"""),"")</f>
        <v/>
      </c>
      <c r="H14386" s="42">
        <f t="shared" si="1"/>
        <v>3345</v>
      </c>
    </row>
    <row r="14387" ht="22.5" customHeight="1">
      <c r="B14387" s="42" t="str">
        <f>IFERROR(__xludf.DUMMYFUNCTION("""COMPUTED_VALUE"""),"")</f>
        <v/>
      </c>
      <c r="C14387" s="42" t="str">
        <f>IFERROR(__xludf.DUMMYFUNCTION("""COMPUTED_VALUE"""),"")</f>
        <v/>
      </c>
      <c r="D14387" s="42"/>
      <c r="E14387" s="42"/>
      <c r="F14387" s="48" t="str">
        <f>IFERROR(__xludf.DUMMYFUNCTION("""COMPUTED_VALUE"""),"")</f>
        <v/>
      </c>
      <c r="G14387" s="42" t="str">
        <f>IFERROR(__xludf.DUMMYFUNCTION("""COMPUTED_VALUE"""),"")</f>
        <v/>
      </c>
      <c r="H14387" s="42">
        <f t="shared" si="1"/>
        <v>3345</v>
      </c>
    </row>
    <row r="14388" ht="22.5" customHeight="1">
      <c r="B14388" s="42" t="str">
        <f>IFERROR(__xludf.DUMMYFUNCTION("""COMPUTED_VALUE"""),"")</f>
        <v/>
      </c>
      <c r="C14388" s="42" t="str">
        <f>IFERROR(__xludf.DUMMYFUNCTION("""COMPUTED_VALUE"""),"")</f>
        <v/>
      </c>
      <c r="D14388" s="42"/>
      <c r="E14388" s="42"/>
      <c r="F14388" s="48" t="str">
        <f>IFERROR(__xludf.DUMMYFUNCTION("""COMPUTED_VALUE"""),"")</f>
        <v/>
      </c>
      <c r="G14388" s="42" t="str">
        <f>IFERROR(__xludf.DUMMYFUNCTION("""COMPUTED_VALUE"""),"")</f>
        <v/>
      </c>
      <c r="H14388" s="42">
        <f t="shared" si="1"/>
        <v>3345</v>
      </c>
    </row>
    <row r="14389" ht="22.5" customHeight="1">
      <c r="B14389" s="42" t="str">
        <f>IFERROR(__xludf.DUMMYFUNCTION("""COMPUTED_VALUE"""),"")</f>
        <v/>
      </c>
      <c r="C14389" s="42" t="str">
        <f>IFERROR(__xludf.DUMMYFUNCTION("""COMPUTED_VALUE"""),"")</f>
        <v/>
      </c>
      <c r="D14389" s="42"/>
      <c r="E14389" s="42"/>
      <c r="F14389" s="48" t="str">
        <f>IFERROR(__xludf.DUMMYFUNCTION("""COMPUTED_VALUE"""),"")</f>
        <v/>
      </c>
      <c r="G14389" s="42" t="str">
        <f>IFERROR(__xludf.DUMMYFUNCTION("""COMPUTED_VALUE"""),"")</f>
        <v/>
      </c>
      <c r="H14389" s="42">
        <f t="shared" si="1"/>
        <v>3345</v>
      </c>
    </row>
    <row r="14390" ht="22.5" customHeight="1">
      <c r="B14390" s="42" t="str">
        <f>IFERROR(__xludf.DUMMYFUNCTION("""COMPUTED_VALUE"""),"")</f>
        <v/>
      </c>
      <c r="C14390" s="42" t="str">
        <f>IFERROR(__xludf.DUMMYFUNCTION("""COMPUTED_VALUE"""),"")</f>
        <v/>
      </c>
      <c r="D14390" s="42"/>
      <c r="E14390" s="42"/>
      <c r="F14390" s="48" t="str">
        <f>IFERROR(__xludf.DUMMYFUNCTION("""COMPUTED_VALUE"""),"")</f>
        <v/>
      </c>
      <c r="G14390" s="42" t="str">
        <f>IFERROR(__xludf.DUMMYFUNCTION("""COMPUTED_VALUE"""),"")</f>
        <v/>
      </c>
      <c r="H14390" s="42">
        <f t="shared" si="1"/>
        <v>3345</v>
      </c>
    </row>
    <row r="14391" ht="22.5" customHeight="1">
      <c r="B14391" s="42" t="str">
        <f>IFERROR(__xludf.DUMMYFUNCTION("""COMPUTED_VALUE"""),"")</f>
        <v/>
      </c>
      <c r="C14391" s="42" t="str">
        <f>IFERROR(__xludf.DUMMYFUNCTION("""COMPUTED_VALUE"""),"")</f>
        <v/>
      </c>
      <c r="D14391" s="42"/>
      <c r="E14391" s="42"/>
      <c r="F14391" s="48" t="str">
        <f>IFERROR(__xludf.DUMMYFUNCTION("""COMPUTED_VALUE"""),"")</f>
        <v/>
      </c>
      <c r="G14391" s="42" t="str">
        <f>IFERROR(__xludf.DUMMYFUNCTION("""COMPUTED_VALUE"""),"")</f>
        <v/>
      </c>
      <c r="H14391" s="42">
        <f t="shared" si="1"/>
        <v>3345</v>
      </c>
    </row>
    <row r="14392" ht="22.5" customHeight="1">
      <c r="B14392" s="42" t="str">
        <f>IFERROR(__xludf.DUMMYFUNCTION("""COMPUTED_VALUE"""),"")</f>
        <v/>
      </c>
      <c r="C14392" s="42" t="str">
        <f>IFERROR(__xludf.DUMMYFUNCTION("""COMPUTED_VALUE"""),"")</f>
        <v/>
      </c>
      <c r="D14392" s="42"/>
      <c r="E14392" s="42"/>
      <c r="F14392" s="48" t="str">
        <f>IFERROR(__xludf.DUMMYFUNCTION("""COMPUTED_VALUE"""),"")</f>
        <v/>
      </c>
      <c r="G14392" s="42" t="str">
        <f>IFERROR(__xludf.DUMMYFUNCTION("""COMPUTED_VALUE"""),"")</f>
        <v/>
      </c>
      <c r="H14392" s="42">
        <f t="shared" si="1"/>
        <v>3345</v>
      </c>
    </row>
    <row r="14393" ht="22.5" customHeight="1">
      <c r="B14393" s="42" t="str">
        <f>IFERROR(__xludf.DUMMYFUNCTION("""COMPUTED_VALUE"""),"")</f>
        <v/>
      </c>
      <c r="C14393" s="42" t="str">
        <f>IFERROR(__xludf.DUMMYFUNCTION("""COMPUTED_VALUE"""),"")</f>
        <v/>
      </c>
      <c r="D14393" s="42"/>
      <c r="E14393" s="42"/>
      <c r="F14393" s="48" t="str">
        <f>IFERROR(__xludf.DUMMYFUNCTION("""COMPUTED_VALUE"""),"")</f>
        <v/>
      </c>
      <c r="G14393" s="42" t="str">
        <f>IFERROR(__xludf.DUMMYFUNCTION("""COMPUTED_VALUE"""),"")</f>
        <v/>
      </c>
      <c r="H14393" s="42">
        <f t="shared" si="1"/>
        <v>3345</v>
      </c>
    </row>
    <row r="14394" ht="22.5" customHeight="1">
      <c r="B14394" s="42" t="str">
        <f>IFERROR(__xludf.DUMMYFUNCTION("""COMPUTED_VALUE"""),"")</f>
        <v/>
      </c>
      <c r="C14394" s="42" t="str">
        <f>IFERROR(__xludf.DUMMYFUNCTION("""COMPUTED_VALUE"""),"")</f>
        <v/>
      </c>
      <c r="D14394" s="42"/>
      <c r="E14394" s="42"/>
      <c r="F14394" s="48" t="str">
        <f>IFERROR(__xludf.DUMMYFUNCTION("""COMPUTED_VALUE"""),"")</f>
        <v/>
      </c>
      <c r="G14394" s="42" t="str">
        <f>IFERROR(__xludf.DUMMYFUNCTION("""COMPUTED_VALUE"""),"")</f>
        <v/>
      </c>
      <c r="H14394" s="42">
        <f t="shared" si="1"/>
        <v>3345</v>
      </c>
    </row>
    <row r="14395" ht="22.5" customHeight="1">
      <c r="B14395" s="42" t="str">
        <f>IFERROR(__xludf.DUMMYFUNCTION("""COMPUTED_VALUE"""),"")</f>
        <v/>
      </c>
      <c r="C14395" s="42" t="str">
        <f>IFERROR(__xludf.DUMMYFUNCTION("""COMPUTED_VALUE"""),"")</f>
        <v/>
      </c>
      <c r="D14395" s="42"/>
      <c r="E14395" s="42"/>
      <c r="F14395" s="48" t="str">
        <f>IFERROR(__xludf.DUMMYFUNCTION("""COMPUTED_VALUE"""),"")</f>
        <v/>
      </c>
      <c r="G14395" s="42" t="str">
        <f>IFERROR(__xludf.DUMMYFUNCTION("""COMPUTED_VALUE"""),"")</f>
        <v/>
      </c>
      <c r="H14395" s="42">
        <f t="shared" si="1"/>
        <v>3345</v>
      </c>
    </row>
    <row r="14396" ht="22.5" customHeight="1">
      <c r="B14396" s="42" t="str">
        <f>IFERROR(__xludf.DUMMYFUNCTION("""COMPUTED_VALUE"""),"")</f>
        <v/>
      </c>
      <c r="C14396" s="42" t="str">
        <f>IFERROR(__xludf.DUMMYFUNCTION("""COMPUTED_VALUE"""),"")</f>
        <v/>
      </c>
      <c r="D14396" s="42"/>
      <c r="E14396" s="42"/>
      <c r="F14396" s="48" t="str">
        <f>IFERROR(__xludf.DUMMYFUNCTION("""COMPUTED_VALUE"""),"")</f>
        <v/>
      </c>
      <c r="G14396" s="42" t="str">
        <f>IFERROR(__xludf.DUMMYFUNCTION("""COMPUTED_VALUE"""),"")</f>
        <v/>
      </c>
      <c r="H14396" s="42">
        <f t="shared" si="1"/>
        <v>3345</v>
      </c>
    </row>
    <row r="14397" ht="22.5" customHeight="1">
      <c r="B14397" s="42" t="str">
        <f>IFERROR(__xludf.DUMMYFUNCTION("""COMPUTED_VALUE"""),"")</f>
        <v/>
      </c>
      <c r="C14397" s="42" t="str">
        <f>IFERROR(__xludf.DUMMYFUNCTION("""COMPUTED_VALUE"""),"")</f>
        <v/>
      </c>
      <c r="D14397" s="42"/>
      <c r="E14397" s="42"/>
      <c r="F14397" s="48" t="str">
        <f>IFERROR(__xludf.DUMMYFUNCTION("""COMPUTED_VALUE"""),"")</f>
        <v/>
      </c>
      <c r="G14397" s="42" t="str">
        <f>IFERROR(__xludf.DUMMYFUNCTION("""COMPUTED_VALUE"""),"")</f>
        <v/>
      </c>
      <c r="H14397" s="42">
        <f t="shared" si="1"/>
        <v>3345</v>
      </c>
    </row>
    <row r="14398" ht="22.5" customHeight="1">
      <c r="B14398" s="42" t="str">
        <f>IFERROR(__xludf.DUMMYFUNCTION("""COMPUTED_VALUE"""),"")</f>
        <v/>
      </c>
      <c r="C14398" s="42" t="str">
        <f>IFERROR(__xludf.DUMMYFUNCTION("""COMPUTED_VALUE"""),"")</f>
        <v/>
      </c>
      <c r="D14398" s="42"/>
      <c r="E14398" s="42"/>
      <c r="F14398" s="48" t="str">
        <f>IFERROR(__xludf.DUMMYFUNCTION("""COMPUTED_VALUE"""),"")</f>
        <v/>
      </c>
      <c r="G14398" s="42" t="str">
        <f>IFERROR(__xludf.DUMMYFUNCTION("""COMPUTED_VALUE"""),"")</f>
        <v/>
      </c>
      <c r="H14398" s="42">
        <f t="shared" si="1"/>
        <v>3345</v>
      </c>
    </row>
    <row r="14399" ht="22.5" customHeight="1">
      <c r="B14399" s="42" t="str">
        <f>IFERROR(__xludf.DUMMYFUNCTION("""COMPUTED_VALUE"""),"")</f>
        <v/>
      </c>
      <c r="C14399" s="42" t="str">
        <f>IFERROR(__xludf.DUMMYFUNCTION("""COMPUTED_VALUE"""),"")</f>
        <v/>
      </c>
      <c r="D14399" s="42"/>
      <c r="E14399" s="42"/>
      <c r="F14399" s="48" t="str">
        <f>IFERROR(__xludf.DUMMYFUNCTION("""COMPUTED_VALUE"""),"")</f>
        <v/>
      </c>
      <c r="G14399" s="42" t="str">
        <f>IFERROR(__xludf.DUMMYFUNCTION("""COMPUTED_VALUE"""),"")</f>
        <v/>
      </c>
      <c r="H14399" s="42">
        <f t="shared" si="1"/>
        <v>3345</v>
      </c>
    </row>
    <row r="14400" ht="22.5" customHeight="1">
      <c r="B14400" s="42" t="str">
        <f>IFERROR(__xludf.DUMMYFUNCTION("""COMPUTED_VALUE"""),"")</f>
        <v/>
      </c>
      <c r="C14400" s="42" t="str">
        <f>IFERROR(__xludf.DUMMYFUNCTION("""COMPUTED_VALUE"""),"")</f>
        <v/>
      </c>
      <c r="D14400" s="42"/>
      <c r="E14400" s="42"/>
      <c r="F14400" s="48" t="str">
        <f>IFERROR(__xludf.DUMMYFUNCTION("""COMPUTED_VALUE"""),"")</f>
        <v/>
      </c>
      <c r="G14400" s="42" t="str">
        <f>IFERROR(__xludf.DUMMYFUNCTION("""COMPUTED_VALUE"""),"")</f>
        <v/>
      </c>
      <c r="H14400" s="42">
        <f t="shared" si="1"/>
        <v>3345</v>
      </c>
    </row>
    <row r="14401" ht="22.5" customHeight="1">
      <c r="B14401" s="42" t="str">
        <f>IFERROR(__xludf.DUMMYFUNCTION("""COMPUTED_VALUE"""),"")</f>
        <v/>
      </c>
      <c r="C14401" s="42" t="str">
        <f>IFERROR(__xludf.DUMMYFUNCTION("""COMPUTED_VALUE"""),"")</f>
        <v/>
      </c>
      <c r="D14401" s="42"/>
      <c r="E14401" s="42"/>
      <c r="F14401" s="48" t="str">
        <f>IFERROR(__xludf.DUMMYFUNCTION("""COMPUTED_VALUE"""),"")</f>
        <v/>
      </c>
      <c r="G14401" s="42" t="str">
        <f>IFERROR(__xludf.DUMMYFUNCTION("""COMPUTED_VALUE"""),"")</f>
        <v/>
      </c>
      <c r="H14401" s="42">
        <f t="shared" si="1"/>
        <v>3345</v>
      </c>
    </row>
    <row r="14402" ht="22.5" customHeight="1">
      <c r="B14402" s="42" t="str">
        <f>IFERROR(__xludf.DUMMYFUNCTION("""COMPUTED_VALUE"""),"")</f>
        <v/>
      </c>
      <c r="C14402" s="42" t="str">
        <f>IFERROR(__xludf.DUMMYFUNCTION("""COMPUTED_VALUE"""),"")</f>
        <v/>
      </c>
      <c r="D14402" s="42"/>
      <c r="E14402" s="42"/>
      <c r="F14402" s="48" t="str">
        <f>IFERROR(__xludf.DUMMYFUNCTION("""COMPUTED_VALUE"""),"")</f>
        <v/>
      </c>
      <c r="G14402" s="42" t="str">
        <f>IFERROR(__xludf.DUMMYFUNCTION("""COMPUTED_VALUE"""),"")</f>
        <v/>
      </c>
      <c r="H14402" s="42">
        <f t="shared" si="1"/>
        <v>3345</v>
      </c>
    </row>
    <row r="14403" ht="22.5" customHeight="1">
      <c r="B14403" s="42" t="str">
        <f>IFERROR(__xludf.DUMMYFUNCTION("""COMPUTED_VALUE"""),"")</f>
        <v/>
      </c>
      <c r="C14403" s="42" t="str">
        <f>IFERROR(__xludf.DUMMYFUNCTION("""COMPUTED_VALUE"""),"")</f>
        <v/>
      </c>
      <c r="D14403" s="42"/>
      <c r="E14403" s="42"/>
      <c r="F14403" s="48" t="str">
        <f>IFERROR(__xludf.DUMMYFUNCTION("""COMPUTED_VALUE"""),"")</f>
        <v/>
      </c>
      <c r="G14403" s="42" t="str">
        <f>IFERROR(__xludf.DUMMYFUNCTION("""COMPUTED_VALUE"""),"")</f>
        <v/>
      </c>
      <c r="H14403" s="42">
        <f t="shared" si="1"/>
        <v>3345</v>
      </c>
    </row>
    <row r="14404" ht="22.5" customHeight="1">
      <c r="B14404" s="42" t="str">
        <f>IFERROR(__xludf.DUMMYFUNCTION("""COMPUTED_VALUE"""),"")</f>
        <v/>
      </c>
      <c r="C14404" s="42" t="str">
        <f>IFERROR(__xludf.DUMMYFUNCTION("""COMPUTED_VALUE"""),"")</f>
        <v/>
      </c>
      <c r="D14404" s="42"/>
      <c r="E14404" s="42"/>
      <c r="F14404" s="48" t="str">
        <f>IFERROR(__xludf.DUMMYFUNCTION("""COMPUTED_VALUE"""),"")</f>
        <v/>
      </c>
      <c r="G14404" s="42" t="str">
        <f>IFERROR(__xludf.DUMMYFUNCTION("""COMPUTED_VALUE"""),"")</f>
        <v/>
      </c>
      <c r="H14404" s="42">
        <f t="shared" si="1"/>
        <v>3345</v>
      </c>
    </row>
    <row r="14405" ht="22.5" customHeight="1">
      <c r="B14405" s="42" t="str">
        <f>IFERROR(__xludf.DUMMYFUNCTION("""COMPUTED_VALUE"""),"")</f>
        <v/>
      </c>
      <c r="C14405" s="42" t="str">
        <f>IFERROR(__xludf.DUMMYFUNCTION("""COMPUTED_VALUE"""),"")</f>
        <v/>
      </c>
      <c r="D14405" s="42"/>
      <c r="E14405" s="42"/>
      <c r="F14405" s="48" t="str">
        <f>IFERROR(__xludf.DUMMYFUNCTION("""COMPUTED_VALUE"""),"")</f>
        <v/>
      </c>
      <c r="G14405" s="42" t="str">
        <f>IFERROR(__xludf.DUMMYFUNCTION("""COMPUTED_VALUE"""),"")</f>
        <v/>
      </c>
      <c r="H14405" s="42">
        <f t="shared" si="1"/>
        <v>3345</v>
      </c>
    </row>
    <row r="14406" ht="22.5" customHeight="1">
      <c r="B14406" s="42" t="str">
        <f>IFERROR(__xludf.DUMMYFUNCTION("""COMPUTED_VALUE"""),"")</f>
        <v/>
      </c>
      <c r="C14406" s="42" t="str">
        <f>IFERROR(__xludf.DUMMYFUNCTION("""COMPUTED_VALUE"""),"")</f>
        <v/>
      </c>
      <c r="D14406" s="42"/>
      <c r="E14406" s="42"/>
      <c r="F14406" s="48" t="str">
        <f>IFERROR(__xludf.DUMMYFUNCTION("""COMPUTED_VALUE"""),"")</f>
        <v/>
      </c>
      <c r="G14406" s="42" t="str">
        <f>IFERROR(__xludf.DUMMYFUNCTION("""COMPUTED_VALUE"""),"")</f>
        <v/>
      </c>
      <c r="H14406" s="42">
        <f t="shared" si="1"/>
        <v>3345</v>
      </c>
    </row>
    <row r="14407" ht="22.5" customHeight="1">
      <c r="B14407" s="42" t="str">
        <f>IFERROR(__xludf.DUMMYFUNCTION("""COMPUTED_VALUE"""),"")</f>
        <v/>
      </c>
      <c r="C14407" s="42" t="str">
        <f>IFERROR(__xludf.DUMMYFUNCTION("""COMPUTED_VALUE"""),"")</f>
        <v/>
      </c>
      <c r="D14407" s="42"/>
      <c r="E14407" s="42"/>
      <c r="F14407" s="48" t="str">
        <f>IFERROR(__xludf.DUMMYFUNCTION("""COMPUTED_VALUE"""),"")</f>
        <v/>
      </c>
      <c r="G14407" s="42" t="str">
        <f>IFERROR(__xludf.DUMMYFUNCTION("""COMPUTED_VALUE"""),"")</f>
        <v/>
      </c>
      <c r="H14407" s="42">
        <f t="shared" si="1"/>
        <v>3345</v>
      </c>
    </row>
    <row r="14408" ht="22.5" customHeight="1">
      <c r="B14408" s="42" t="str">
        <f>IFERROR(__xludf.DUMMYFUNCTION("""COMPUTED_VALUE"""),"")</f>
        <v/>
      </c>
      <c r="C14408" s="42" t="str">
        <f>IFERROR(__xludf.DUMMYFUNCTION("""COMPUTED_VALUE"""),"")</f>
        <v/>
      </c>
      <c r="D14408" s="42"/>
      <c r="E14408" s="42"/>
      <c r="F14408" s="48" t="str">
        <f>IFERROR(__xludf.DUMMYFUNCTION("""COMPUTED_VALUE"""),"")</f>
        <v/>
      </c>
      <c r="G14408" s="42" t="str">
        <f>IFERROR(__xludf.DUMMYFUNCTION("""COMPUTED_VALUE"""),"")</f>
        <v/>
      </c>
      <c r="H14408" s="42">
        <f t="shared" si="1"/>
        <v>3345</v>
      </c>
    </row>
    <row r="14409" ht="22.5" customHeight="1">
      <c r="B14409" s="42" t="str">
        <f>IFERROR(__xludf.DUMMYFUNCTION("""COMPUTED_VALUE"""),"")</f>
        <v/>
      </c>
      <c r="C14409" s="42" t="str">
        <f>IFERROR(__xludf.DUMMYFUNCTION("""COMPUTED_VALUE"""),"")</f>
        <v/>
      </c>
      <c r="D14409" s="42"/>
      <c r="E14409" s="42"/>
      <c r="F14409" s="48" t="str">
        <f>IFERROR(__xludf.DUMMYFUNCTION("""COMPUTED_VALUE"""),"")</f>
        <v/>
      </c>
      <c r="G14409" s="42" t="str">
        <f>IFERROR(__xludf.DUMMYFUNCTION("""COMPUTED_VALUE"""),"")</f>
        <v/>
      </c>
      <c r="H14409" s="42">
        <f t="shared" si="1"/>
        <v>3345</v>
      </c>
    </row>
    <row r="14410" ht="22.5" customHeight="1">
      <c r="B14410" s="42" t="str">
        <f>IFERROR(__xludf.DUMMYFUNCTION("""COMPUTED_VALUE"""),"")</f>
        <v/>
      </c>
      <c r="C14410" s="42" t="str">
        <f>IFERROR(__xludf.DUMMYFUNCTION("""COMPUTED_VALUE"""),"")</f>
        <v/>
      </c>
      <c r="D14410" s="42"/>
      <c r="E14410" s="42"/>
      <c r="F14410" s="48" t="str">
        <f>IFERROR(__xludf.DUMMYFUNCTION("""COMPUTED_VALUE"""),"")</f>
        <v/>
      </c>
      <c r="G14410" s="42" t="str">
        <f>IFERROR(__xludf.DUMMYFUNCTION("""COMPUTED_VALUE"""),"")</f>
        <v/>
      </c>
      <c r="H14410" s="42">
        <f t="shared" si="1"/>
        <v>3345</v>
      </c>
    </row>
    <row r="14411" ht="22.5" customHeight="1">
      <c r="B14411" s="42" t="str">
        <f>IFERROR(__xludf.DUMMYFUNCTION("""COMPUTED_VALUE"""),"")</f>
        <v/>
      </c>
      <c r="C14411" s="42" t="str">
        <f>IFERROR(__xludf.DUMMYFUNCTION("""COMPUTED_VALUE"""),"")</f>
        <v/>
      </c>
      <c r="D14411" s="42"/>
      <c r="E14411" s="42"/>
      <c r="F14411" s="48" t="str">
        <f>IFERROR(__xludf.DUMMYFUNCTION("""COMPUTED_VALUE"""),"")</f>
        <v/>
      </c>
      <c r="G14411" s="42" t="str">
        <f>IFERROR(__xludf.DUMMYFUNCTION("""COMPUTED_VALUE"""),"")</f>
        <v/>
      </c>
      <c r="H14411" s="42">
        <f t="shared" si="1"/>
        <v>3345</v>
      </c>
    </row>
    <row r="14412" ht="22.5" customHeight="1">
      <c r="B14412" s="42" t="str">
        <f>IFERROR(__xludf.DUMMYFUNCTION("""COMPUTED_VALUE"""),"")</f>
        <v/>
      </c>
      <c r="C14412" s="42" t="str">
        <f>IFERROR(__xludf.DUMMYFUNCTION("""COMPUTED_VALUE"""),"")</f>
        <v/>
      </c>
      <c r="D14412" s="42"/>
      <c r="E14412" s="42"/>
      <c r="F14412" s="48" t="str">
        <f>IFERROR(__xludf.DUMMYFUNCTION("""COMPUTED_VALUE"""),"")</f>
        <v/>
      </c>
      <c r="G14412" s="42" t="str">
        <f>IFERROR(__xludf.DUMMYFUNCTION("""COMPUTED_VALUE"""),"")</f>
        <v/>
      </c>
      <c r="H14412" s="42">
        <f t="shared" si="1"/>
        <v>3345</v>
      </c>
    </row>
    <row r="14413" ht="22.5" customHeight="1">
      <c r="B14413" s="42" t="str">
        <f>IFERROR(__xludf.DUMMYFUNCTION("""COMPUTED_VALUE"""),"")</f>
        <v/>
      </c>
      <c r="C14413" s="42" t="str">
        <f>IFERROR(__xludf.DUMMYFUNCTION("""COMPUTED_VALUE"""),"")</f>
        <v/>
      </c>
      <c r="D14413" s="42"/>
      <c r="E14413" s="42"/>
      <c r="F14413" s="48" t="str">
        <f>IFERROR(__xludf.DUMMYFUNCTION("""COMPUTED_VALUE"""),"")</f>
        <v/>
      </c>
      <c r="G14413" s="42" t="str">
        <f>IFERROR(__xludf.DUMMYFUNCTION("""COMPUTED_VALUE"""),"")</f>
        <v/>
      </c>
      <c r="H14413" s="42">
        <f t="shared" si="1"/>
        <v>3345</v>
      </c>
    </row>
    <row r="14414" ht="22.5" customHeight="1">
      <c r="B14414" s="42" t="str">
        <f>IFERROR(__xludf.DUMMYFUNCTION("""COMPUTED_VALUE"""),"")</f>
        <v/>
      </c>
      <c r="C14414" s="42" t="str">
        <f>IFERROR(__xludf.DUMMYFUNCTION("""COMPUTED_VALUE"""),"")</f>
        <v/>
      </c>
      <c r="D14414" s="42"/>
      <c r="E14414" s="42"/>
      <c r="F14414" s="48" t="str">
        <f>IFERROR(__xludf.DUMMYFUNCTION("""COMPUTED_VALUE"""),"")</f>
        <v/>
      </c>
      <c r="G14414" s="42" t="str">
        <f>IFERROR(__xludf.DUMMYFUNCTION("""COMPUTED_VALUE"""),"")</f>
        <v/>
      </c>
      <c r="H14414" s="42">
        <f t="shared" si="1"/>
        <v>3345</v>
      </c>
    </row>
    <row r="14415" ht="22.5" customHeight="1">
      <c r="B14415" s="42" t="str">
        <f>IFERROR(__xludf.DUMMYFUNCTION("""COMPUTED_VALUE"""),"")</f>
        <v/>
      </c>
      <c r="C14415" s="42" t="str">
        <f>IFERROR(__xludf.DUMMYFUNCTION("""COMPUTED_VALUE"""),"")</f>
        <v/>
      </c>
      <c r="D14415" s="42"/>
      <c r="E14415" s="42"/>
      <c r="F14415" s="48" t="str">
        <f>IFERROR(__xludf.DUMMYFUNCTION("""COMPUTED_VALUE"""),"")</f>
        <v/>
      </c>
      <c r="G14415" s="42" t="str">
        <f>IFERROR(__xludf.DUMMYFUNCTION("""COMPUTED_VALUE"""),"")</f>
        <v/>
      </c>
      <c r="H14415" s="42">
        <f t="shared" si="1"/>
        <v>3345</v>
      </c>
    </row>
    <row r="14416" ht="22.5" customHeight="1">
      <c r="B14416" s="42" t="str">
        <f>IFERROR(__xludf.DUMMYFUNCTION("""COMPUTED_VALUE"""),"")</f>
        <v/>
      </c>
      <c r="C14416" s="42" t="str">
        <f>IFERROR(__xludf.DUMMYFUNCTION("""COMPUTED_VALUE"""),"")</f>
        <v/>
      </c>
      <c r="D14416" s="42"/>
      <c r="E14416" s="42"/>
      <c r="F14416" s="48" t="str">
        <f>IFERROR(__xludf.DUMMYFUNCTION("""COMPUTED_VALUE"""),"")</f>
        <v/>
      </c>
      <c r="G14416" s="42" t="str">
        <f>IFERROR(__xludf.DUMMYFUNCTION("""COMPUTED_VALUE"""),"")</f>
        <v/>
      </c>
      <c r="H14416" s="42">
        <f t="shared" si="1"/>
        <v>3345</v>
      </c>
    </row>
    <row r="14417" ht="22.5" customHeight="1">
      <c r="B14417" s="42" t="str">
        <f>IFERROR(__xludf.DUMMYFUNCTION("""COMPUTED_VALUE"""),"")</f>
        <v/>
      </c>
      <c r="C14417" s="42" t="str">
        <f>IFERROR(__xludf.DUMMYFUNCTION("""COMPUTED_VALUE"""),"")</f>
        <v/>
      </c>
      <c r="D14417" s="42"/>
      <c r="E14417" s="42"/>
      <c r="F14417" s="48" t="str">
        <f>IFERROR(__xludf.DUMMYFUNCTION("""COMPUTED_VALUE"""),"")</f>
        <v/>
      </c>
      <c r="G14417" s="42" t="str">
        <f>IFERROR(__xludf.DUMMYFUNCTION("""COMPUTED_VALUE"""),"")</f>
        <v/>
      </c>
      <c r="H14417" s="42">
        <f t="shared" si="1"/>
        <v>3345</v>
      </c>
    </row>
    <row r="14418" ht="22.5" customHeight="1">
      <c r="B14418" s="42" t="str">
        <f>IFERROR(__xludf.DUMMYFUNCTION("""COMPUTED_VALUE"""),"")</f>
        <v/>
      </c>
      <c r="C14418" s="42" t="str">
        <f>IFERROR(__xludf.DUMMYFUNCTION("""COMPUTED_VALUE"""),"")</f>
        <v/>
      </c>
      <c r="D14418" s="42"/>
      <c r="E14418" s="42"/>
      <c r="F14418" s="48" t="str">
        <f>IFERROR(__xludf.DUMMYFUNCTION("""COMPUTED_VALUE"""),"")</f>
        <v/>
      </c>
      <c r="G14418" s="42" t="str">
        <f>IFERROR(__xludf.DUMMYFUNCTION("""COMPUTED_VALUE"""),"")</f>
        <v/>
      </c>
      <c r="H14418" s="42">
        <f t="shared" si="1"/>
        <v>3345</v>
      </c>
    </row>
    <row r="14419" ht="22.5" customHeight="1">
      <c r="B14419" s="42" t="str">
        <f>IFERROR(__xludf.DUMMYFUNCTION("""COMPUTED_VALUE"""),"")</f>
        <v/>
      </c>
      <c r="C14419" s="42" t="str">
        <f>IFERROR(__xludf.DUMMYFUNCTION("""COMPUTED_VALUE"""),"")</f>
        <v/>
      </c>
      <c r="D14419" s="42"/>
      <c r="E14419" s="42"/>
      <c r="F14419" s="48" t="str">
        <f>IFERROR(__xludf.DUMMYFUNCTION("""COMPUTED_VALUE"""),"")</f>
        <v/>
      </c>
      <c r="G14419" s="42" t="str">
        <f>IFERROR(__xludf.DUMMYFUNCTION("""COMPUTED_VALUE"""),"")</f>
        <v/>
      </c>
      <c r="H14419" s="42">
        <f t="shared" si="1"/>
        <v>3345</v>
      </c>
    </row>
    <row r="14420" ht="22.5" customHeight="1">
      <c r="B14420" s="42" t="str">
        <f>IFERROR(__xludf.DUMMYFUNCTION("""COMPUTED_VALUE"""),"")</f>
        <v/>
      </c>
      <c r="C14420" s="42" t="str">
        <f>IFERROR(__xludf.DUMMYFUNCTION("""COMPUTED_VALUE"""),"")</f>
        <v/>
      </c>
      <c r="D14420" s="42"/>
      <c r="E14420" s="42"/>
      <c r="F14420" s="48" t="str">
        <f>IFERROR(__xludf.DUMMYFUNCTION("""COMPUTED_VALUE"""),"")</f>
        <v/>
      </c>
      <c r="G14420" s="42" t="str">
        <f>IFERROR(__xludf.DUMMYFUNCTION("""COMPUTED_VALUE"""),"")</f>
        <v/>
      </c>
      <c r="H14420" s="42">
        <f t="shared" si="1"/>
        <v>3345</v>
      </c>
    </row>
    <row r="14421" ht="22.5" customHeight="1">
      <c r="B14421" s="42" t="str">
        <f>IFERROR(__xludf.DUMMYFUNCTION("""COMPUTED_VALUE"""),"")</f>
        <v/>
      </c>
      <c r="C14421" s="42" t="str">
        <f>IFERROR(__xludf.DUMMYFUNCTION("""COMPUTED_VALUE"""),"")</f>
        <v/>
      </c>
      <c r="D14421" s="42"/>
      <c r="E14421" s="42"/>
      <c r="F14421" s="48" t="str">
        <f>IFERROR(__xludf.DUMMYFUNCTION("""COMPUTED_VALUE"""),"")</f>
        <v/>
      </c>
      <c r="G14421" s="42" t="str">
        <f>IFERROR(__xludf.DUMMYFUNCTION("""COMPUTED_VALUE"""),"")</f>
        <v/>
      </c>
      <c r="H14421" s="42">
        <f t="shared" si="1"/>
        <v>3345</v>
      </c>
    </row>
    <row r="14422" ht="22.5" customHeight="1">
      <c r="B14422" s="42" t="str">
        <f>IFERROR(__xludf.DUMMYFUNCTION("""COMPUTED_VALUE"""),"")</f>
        <v/>
      </c>
      <c r="C14422" s="42" t="str">
        <f>IFERROR(__xludf.DUMMYFUNCTION("""COMPUTED_VALUE"""),"")</f>
        <v/>
      </c>
      <c r="D14422" s="42"/>
      <c r="E14422" s="42"/>
      <c r="F14422" s="48" t="str">
        <f>IFERROR(__xludf.DUMMYFUNCTION("""COMPUTED_VALUE"""),"")</f>
        <v/>
      </c>
      <c r="G14422" s="42" t="str">
        <f>IFERROR(__xludf.DUMMYFUNCTION("""COMPUTED_VALUE"""),"")</f>
        <v/>
      </c>
      <c r="H14422" s="42">
        <f t="shared" si="1"/>
        <v>3345</v>
      </c>
    </row>
    <row r="14423" ht="22.5" customHeight="1">
      <c r="B14423" s="42" t="str">
        <f>IFERROR(__xludf.DUMMYFUNCTION("""COMPUTED_VALUE"""),"")</f>
        <v/>
      </c>
      <c r="C14423" s="42" t="str">
        <f>IFERROR(__xludf.DUMMYFUNCTION("""COMPUTED_VALUE"""),"")</f>
        <v/>
      </c>
      <c r="D14423" s="42"/>
      <c r="E14423" s="42"/>
      <c r="F14423" s="48" t="str">
        <f>IFERROR(__xludf.DUMMYFUNCTION("""COMPUTED_VALUE"""),"")</f>
        <v/>
      </c>
      <c r="G14423" s="42" t="str">
        <f>IFERROR(__xludf.DUMMYFUNCTION("""COMPUTED_VALUE"""),"")</f>
        <v/>
      </c>
      <c r="H14423" s="42">
        <f t="shared" si="1"/>
        <v>3345</v>
      </c>
    </row>
    <row r="14424" ht="22.5" customHeight="1">
      <c r="B14424" s="42" t="str">
        <f>IFERROR(__xludf.DUMMYFUNCTION("""COMPUTED_VALUE"""),"")</f>
        <v/>
      </c>
      <c r="C14424" s="42" t="str">
        <f>IFERROR(__xludf.DUMMYFUNCTION("""COMPUTED_VALUE"""),"")</f>
        <v/>
      </c>
      <c r="D14424" s="42"/>
      <c r="E14424" s="42"/>
      <c r="F14424" s="48" t="str">
        <f>IFERROR(__xludf.DUMMYFUNCTION("""COMPUTED_VALUE"""),"")</f>
        <v/>
      </c>
      <c r="G14424" s="42" t="str">
        <f>IFERROR(__xludf.DUMMYFUNCTION("""COMPUTED_VALUE"""),"")</f>
        <v/>
      </c>
      <c r="H14424" s="42">
        <f t="shared" si="1"/>
        <v>3345</v>
      </c>
    </row>
    <row r="14425" ht="22.5" customHeight="1">
      <c r="B14425" s="42" t="str">
        <f>IFERROR(__xludf.DUMMYFUNCTION("""COMPUTED_VALUE"""),"")</f>
        <v/>
      </c>
      <c r="C14425" s="42" t="str">
        <f>IFERROR(__xludf.DUMMYFUNCTION("""COMPUTED_VALUE"""),"")</f>
        <v/>
      </c>
      <c r="D14425" s="42"/>
      <c r="E14425" s="42"/>
      <c r="F14425" s="48" t="str">
        <f>IFERROR(__xludf.DUMMYFUNCTION("""COMPUTED_VALUE"""),"")</f>
        <v/>
      </c>
      <c r="G14425" s="42" t="str">
        <f>IFERROR(__xludf.DUMMYFUNCTION("""COMPUTED_VALUE"""),"")</f>
        <v/>
      </c>
      <c r="H14425" s="42">
        <f t="shared" si="1"/>
        <v>3345</v>
      </c>
    </row>
    <row r="14426" ht="22.5" customHeight="1">
      <c r="B14426" s="42" t="str">
        <f>IFERROR(__xludf.DUMMYFUNCTION("""COMPUTED_VALUE"""),"")</f>
        <v/>
      </c>
      <c r="C14426" s="42" t="str">
        <f>IFERROR(__xludf.DUMMYFUNCTION("""COMPUTED_VALUE"""),"")</f>
        <v/>
      </c>
      <c r="D14426" s="42"/>
      <c r="E14426" s="42"/>
      <c r="F14426" s="48" t="str">
        <f>IFERROR(__xludf.DUMMYFUNCTION("""COMPUTED_VALUE"""),"")</f>
        <v/>
      </c>
      <c r="G14426" s="42" t="str">
        <f>IFERROR(__xludf.DUMMYFUNCTION("""COMPUTED_VALUE"""),"")</f>
        <v/>
      </c>
      <c r="H14426" s="42">
        <f t="shared" si="1"/>
        <v>3345</v>
      </c>
    </row>
    <row r="14427" ht="22.5" customHeight="1">
      <c r="B14427" s="42" t="str">
        <f>IFERROR(__xludf.DUMMYFUNCTION("""COMPUTED_VALUE"""),"")</f>
        <v/>
      </c>
      <c r="C14427" s="42" t="str">
        <f>IFERROR(__xludf.DUMMYFUNCTION("""COMPUTED_VALUE"""),"")</f>
        <v/>
      </c>
      <c r="D14427" s="42"/>
      <c r="E14427" s="42"/>
      <c r="F14427" s="48" t="str">
        <f>IFERROR(__xludf.DUMMYFUNCTION("""COMPUTED_VALUE"""),"")</f>
        <v/>
      </c>
      <c r="G14427" s="42" t="str">
        <f>IFERROR(__xludf.DUMMYFUNCTION("""COMPUTED_VALUE"""),"")</f>
        <v/>
      </c>
      <c r="H14427" s="42">
        <f t="shared" si="1"/>
        <v>3345</v>
      </c>
    </row>
    <row r="14428" ht="22.5" customHeight="1">
      <c r="B14428" s="42" t="str">
        <f>IFERROR(__xludf.DUMMYFUNCTION("""COMPUTED_VALUE"""),"")</f>
        <v/>
      </c>
      <c r="C14428" s="42" t="str">
        <f>IFERROR(__xludf.DUMMYFUNCTION("""COMPUTED_VALUE"""),"")</f>
        <v/>
      </c>
      <c r="D14428" s="42"/>
      <c r="E14428" s="42"/>
      <c r="F14428" s="48" t="str">
        <f>IFERROR(__xludf.DUMMYFUNCTION("""COMPUTED_VALUE"""),"")</f>
        <v/>
      </c>
      <c r="G14428" s="42" t="str">
        <f>IFERROR(__xludf.DUMMYFUNCTION("""COMPUTED_VALUE"""),"")</f>
        <v/>
      </c>
      <c r="H14428" s="42">
        <f t="shared" si="1"/>
        <v>3345</v>
      </c>
    </row>
    <row r="14429" ht="22.5" customHeight="1">
      <c r="B14429" s="42" t="str">
        <f>IFERROR(__xludf.DUMMYFUNCTION("""COMPUTED_VALUE"""),"")</f>
        <v/>
      </c>
      <c r="C14429" s="42" t="str">
        <f>IFERROR(__xludf.DUMMYFUNCTION("""COMPUTED_VALUE"""),"")</f>
        <v/>
      </c>
      <c r="D14429" s="42"/>
      <c r="E14429" s="42"/>
      <c r="F14429" s="48" t="str">
        <f>IFERROR(__xludf.DUMMYFUNCTION("""COMPUTED_VALUE"""),"")</f>
        <v/>
      </c>
      <c r="G14429" s="42" t="str">
        <f>IFERROR(__xludf.DUMMYFUNCTION("""COMPUTED_VALUE"""),"")</f>
        <v/>
      </c>
      <c r="H14429" s="42">
        <f t="shared" si="1"/>
        <v>3345</v>
      </c>
    </row>
    <row r="14430" ht="22.5" customHeight="1">
      <c r="B14430" s="42" t="str">
        <f>IFERROR(__xludf.DUMMYFUNCTION("""COMPUTED_VALUE"""),"")</f>
        <v/>
      </c>
      <c r="C14430" s="42" t="str">
        <f>IFERROR(__xludf.DUMMYFUNCTION("""COMPUTED_VALUE"""),"")</f>
        <v/>
      </c>
      <c r="D14430" s="42"/>
      <c r="E14430" s="42"/>
      <c r="F14430" s="48" t="str">
        <f>IFERROR(__xludf.DUMMYFUNCTION("""COMPUTED_VALUE"""),"")</f>
        <v/>
      </c>
      <c r="G14430" s="42" t="str">
        <f>IFERROR(__xludf.DUMMYFUNCTION("""COMPUTED_VALUE"""),"")</f>
        <v/>
      </c>
      <c r="H14430" s="42">
        <f t="shared" si="1"/>
        <v>3345</v>
      </c>
    </row>
    <row r="14431" ht="22.5" customHeight="1">
      <c r="B14431" s="42" t="str">
        <f>IFERROR(__xludf.DUMMYFUNCTION("""COMPUTED_VALUE"""),"")</f>
        <v/>
      </c>
      <c r="C14431" s="42" t="str">
        <f>IFERROR(__xludf.DUMMYFUNCTION("""COMPUTED_VALUE"""),"")</f>
        <v/>
      </c>
      <c r="D14431" s="42"/>
      <c r="E14431" s="42"/>
      <c r="F14431" s="48" t="str">
        <f>IFERROR(__xludf.DUMMYFUNCTION("""COMPUTED_VALUE"""),"")</f>
        <v/>
      </c>
      <c r="G14431" s="42" t="str">
        <f>IFERROR(__xludf.DUMMYFUNCTION("""COMPUTED_VALUE"""),"")</f>
        <v/>
      </c>
      <c r="H14431" s="42">
        <f t="shared" si="1"/>
        <v>3345</v>
      </c>
    </row>
    <row r="14432" ht="22.5" customHeight="1">
      <c r="B14432" s="42" t="str">
        <f>IFERROR(__xludf.DUMMYFUNCTION("""COMPUTED_VALUE"""),"")</f>
        <v/>
      </c>
      <c r="C14432" s="42" t="str">
        <f>IFERROR(__xludf.DUMMYFUNCTION("""COMPUTED_VALUE"""),"")</f>
        <v/>
      </c>
      <c r="D14432" s="42"/>
      <c r="E14432" s="42"/>
      <c r="F14432" s="48" t="str">
        <f>IFERROR(__xludf.DUMMYFUNCTION("""COMPUTED_VALUE"""),"")</f>
        <v/>
      </c>
      <c r="G14432" s="42" t="str">
        <f>IFERROR(__xludf.DUMMYFUNCTION("""COMPUTED_VALUE"""),"")</f>
        <v/>
      </c>
      <c r="H14432" s="42">
        <f t="shared" si="1"/>
        <v>3345</v>
      </c>
    </row>
    <row r="14433" ht="22.5" customHeight="1">
      <c r="B14433" s="42" t="str">
        <f>IFERROR(__xludf.DUMMYFUNCTION("""COMPUTED_VALUE"""),"")</f>
        <v/>
      </c>
      <c r="C14433" s="42" t="str">
        <f>IFERROR(__xludf.DUMMYFUNCTION("""COMPUTED_VALUE"""),"")</f>
        <v/>
      </c>
      <c r="D14433" s="42"/>
      <c r="E14433" s="42"/>
      <c r="F14433" s="48" t="str">
        <f>IFERROR(__xludf.DUMMYFUNCTION("""COMPUTED_VALUE"""),"")</f>
        <v/>
      </c>
      <c r="G14433" s="42" t="str">
        <f>IFERROR(__xludf.DUMMYFUNCTION("""COMPUTED_VALUE"""),"")</f>
        <v/>
      </c>
      <c r="H14433" s="42">
        <f t="shared" si="1"/>
        <v>3345</v>
      </c>
    </row>
    <row r="14434" ht="22.5" customHeight="1">
      <c r="B14434" s="42" t="str">
        <f>IFERROR(__xludf.DUMMYFUNCTION("""COMPUTED_VALUE"""),"")</f>
        <v/>
      </c>
      <c r="C14434" s="42" t="str">
        <f>IFERROR(__xludf.DUMMYFUNCTION("""COMPUTED_VALUE"""),"")</f>
        <v/>
      </c>
      <c r="D14434" s="42"/>
      <c r="E14434" s="42"/>
      <c r="F14434" s="48" t="str">
        <f>IFERROR(__xludf.DUMMYFUNCTION("""COMPUTED_VALUE"""),"")</f>
        <v/>
      </c>
      <c r="G14434" s="42" t="str">
        <f>IFERROR(__xludf.DUMMYFUNCTION("""COMPUTED_VALUE"""),"")</f>
        <v/>
      </c>
      <c r="H14434" s="42">
        <f t="shared" si="1"/>
        <v>3345</v>
      </c>
    </row>
    <row r="14435" ht="22.5" customHeight="1">
      <c r="B14435" s="42" t="str">
        <f>IFERROR(__xludf.DUMMYFUNCTION("""COMPUTED_VALUE"""),"")</f>
        <v/>
      </c>
      <c r="C14435" s="42" t="str">
        <f>IFERROR(__xludf.DUMMYFUNCTION("""COMPUTED_VALUE"""),"")</f>
        <v/>
      </c>
      <c r="D14435" s="42"/>
      <c r="E14435" s="42"/>
      <c r="F14435" s="48" t="str">
        <f>IFERROR(__xludf.DUMMYFUNCTION("""COMPUTED_VALUE"""),"")</f>
        <v/>
      </c>
      <c r="G14435" s="42" t="str">
        <f>IFERROR(__xludf.DUMMYFUNCTION("""COMPUTED_VALUE"""),"")</f>
        <v/>
      </c>
      <c r="H14435" s="42">
        <f t="shared" si="1"/>
        <v>3345</v>
      </c>
    </row>
    <row r="14436" ht="22.5" customHeight="1">
      <c r="B14436" s="42" t="str">
        <f>IFERROR(__xludf.DUMMYFUNCTION("""COMPUTED_VALUE"""),"")</f>
        <v/>
      </c>
      <c r="C14436" s="42" t="str">
        <f>IFERROR(__xludf.DUMMYFUNCTION("""COMPUTED_VALUE"""),"")</f>
        <v/>
      </c>
      <c r="D14436" s="42"/>
      <c r="E14436" s="42"/>
      <c r="F14436" s="48" t="str">
        <f>IFERROR(__xludf.DUMMYFUNCTION("""COMPUTED_VALUE"""),"")</f>
        <v/>
      </c>
      <c r="G14436" s="42" t="str">
        <f>IFERROR(__xludf.DUMMYFUNCTION("""COMPUTED_VALUE"""),"")</f>
        <v/>
      </c>
      <c r="H14436" s="42">
        <f t="shared" si="1"/>
        <v>3345</v>
      </c>
    </row>
    <row r="14437" ht="22.5" customHeight="1">
      <c r="B14437" s="42" t="str">
        <f>IFERROR(__xludf.DUMMYFUNCTION("""COMPUTED_VALUE"""),"")</f>
        <v/>
      </c>
      <c r="C14437" s="42" t="str">
        <f>IFERROR(__xludf.DUMMYFUNCTION("""COMPUTED_VALUE"""),"")</f>
        <v/>
      </c>
      <c r="D14437" s="42"/>
      <c r="E14437" s="42"/>
      <c r="F14437" s="48" t="str">
        <f>IFERROR(__xludf.DUMMYFUNCTION("""COMPUTED_VALUE"""),"")</f>
        <v/>
      </c>
      <c r="G14437" s="42" t="str">
        <f>IFERROR(__xludf.DUMMYFUNCTION("""COMPUTED_VALUE"""),"")</f>
        <v/>
      </c>
      <c r="H14437" s="42">
        <f t="shared" si="1"/>
        <v>3345</v>
      </c>
    </row>
    <row r="14438" ht="22.5" customHeight="1">
      <c r="B14438" s="42" t="str">
        <f>IFERROR(__xludf.DUMMYFUNCTION("""COMPUTED_VALUE"""),"")</f>
        <v/>
      </c>
      <c r="C14438" s="42" t="str">
        <f>IFERROR(__xludf.DUMMYFUNCTION("""COMPUTED_VALUE"""),"")</f>
        <v/>
      </c>
      <c r="D14438" s="42"/>
      <c r="E14438" s="42"/>
      <c r="F14438" s="48" t="str">
        <f>IFERROR(__xludf.DUMMYFUNCTION("""COMPUTED_VALUE"""),"")</f>
        <v/>
      </c>
      <c r="G14438" s="42" t="str">
        <f>IFERROR(__xludf.DUMMYFUNCTION("""COMPUTED_VALUE"""),"")</f>
        <v/>
      </c>
      <c r="H14438" s="42">
        <f t="shared" si="1"/>
        <v>3345</v>
      </c>
    </row>
    <row r="14439" ht="22.5" customHeight="1">
      <c r="B14439" s="42" t="str">
        <f>IFERROR(__xludf.DUMMYFUNCTION("""COMPUTED_VALUE"""),"")</f>
        <v/>
      </c>
      <c r="C14439" s="42" t="str">
        <f>IFERROR(__xludf.DUMMYFUNCTION("""COMPUTED_VALUE"""),"")</f>
        <v/>
      </c>
      <c r="D14439" s="42"/>
      <c r="E14439" s="42"/>
      <c r="F14439" s="48" t="str">
        <f>IFERROR(__xludf.DUMMYFUNCTION("""COMPUTED_VALUE"""),"")</f>
        <v/>
      </c>
      <c r="G14439" s="42" t="str">
        <f>IFERROR(__xludf.DUMMYFUNCTION("""COMPUTED_VALUE"""),"")</f>
        <v/>
      </c>
      <c r="H14439" s="42">
        <f t="shared" si="1"/>
        <v>3345</v>
      </c>
    </row>
    <row r="14440" ht="22.5" customHeight="1">
      <c r="B14440" s="42" t="str">
        <f>IFERROR(__xludf.DUMMYFUNCTION("""COMPUTED_VALUE"""),"")</f>
        <v/>
      </c>
      <c r="C14440" s="42" t="str">
        <f>IFERROR(__xludf.DUMMYFUNCTION("""COMPUTED_VALUE"""),"")</f>
        <v/>
      </c>
      <c r="D14440" s="42"/>
      <c r="E14440" s="42"/>
      <c r="F14440" s="48" t="str">
        <f>IFERROR(__xludf.DUMMYFUNCTION("""COMPUTED_VALUE"""),"")</f>
        <v/>
      </c>
      <c r="G14440" s="42" t="str">
        <f>IFERROR(__xludf.DUMMYFUNCTION("""COMPUTED_VALUE"""),"")</f>
        <v/>
      </c>
      <c r="H14440" s="42">
        <f t="shared" si="1"/>
        <v>3345</v>
      </c>
    </row>
    <row r="14441" ht="22.5" customHeight="1">
      <c r="B14441" s="42" t="str">
        <f>IFERROR(__xludf.DUMMYFUNCTION("""COMPUTED_VALUE"""),"")</f>
        <v/>
      </c>
      <c r="C14441" s="42" t="str">
        <f>IFERROR(__xludf.DUMMYFUNCTION("""COMPUTED_VALUE"""),"")</f>
        <v/>
      </c>
      <c r="D14441" s="42"/>
      <c r="E14441" s="42"/>
      <c r="F14441" s="48" t="str">
        <f>IFERROR(__xludf.DUMMYFUNCTION("""COMPUTED_VALUE"""),"")</f>
        <v/>
      </c>
      <c r="G14441" s="42" t="str">
        <f>IFERROR(__xludf.DUMMYFUNCTION("""COMPUTED_VALUE"""),"")</f>
        <v/>
      </c>
      <c r="H14441" s="42">
        <f t="shared" si="1"/>
        <v>3345</v>
      </c>
    </row>
    <row r="14442" ht="22.5" customHeight="1">
      <c r="B14442" s="42" t="str">
        <f>IFERROR(__xludf.DUMMYFUNCTION("""COMPUTED_VALUE"""),"")</f>
        <v/>
      </c>
      <c r="C14442" s="42" t="str">
        <f>IFERROR(__xludf.DUMMYFUNCTION("""COMPUTED_VALUE"""),"")</f>
        <v/>
      </c>
      <c r="D14442" s="42"/>
      <c r="E14442" s="42"/>
      <c r="F14442" s="48" t="str">
        <f>IFERROR(__xludf.DUMMYFUNCTION("""COMPUTED_VALUE"""),"")</f>
        <v/>
      </c>
      <c r="G14442" s="42" t="str">
        <f>IFERROR(__xludf.DUMMYFUNCTION("""COMPUTED_VALUE"""),"")</f>
        <v/>
      </c>
      <c r="H14442" s="42">
        <f t="shared" si="1"/>
        <v>3345</v>
      </c>
    </row>
    <row r="14443" ht="22.5" customHeight="1">
      <c r="B14443" s="42" t="str">
        <f>IFERROR(__xludf.DUMMYFUNCTION("""COMPUTED_VALUE"""),"")</f>
        <v/>
      </c>
      <c r="C14443" s="42" t="str">
        <f>IFERROR(__xludf.DUMMYFUNCTION("""COMPUTED_VALUE"""),"")</f>
        <v/>
      </c>
      <c r="D14443" s="42"/>
      <c r="E14443" s="42"/>
      <c r="F14443" s="48" t="str">
        <f>IFERROR(__xludf.DUMMYFUNCTION("""COMPUTED_VALUE"""),"")</f>
        <v/>
      </c>
      <c r="G14443" s="42" t="str">
        <f>IFERROR(__xludf.DUMMYFUNCTION("""COMPUTED_VALUE"""),"")</f>
        <v/>
      </c>
      <c r="H14443" s="42">
        <f t="shared" si="1"/>
        <v>3345</v>
      </c>
    </row>
    <row r="14444" ht="22.5" customHeight="1">
      <c r="B14444" s="42" t="str">
        <f>IFERROR(__xludf.DUMMYFUNCTION("""COMPUTED_VALUE"""),"")</f>
        <v/>
      </c>
      <c r="C14444" s="42" t="str">
        <f>IFERROR(__xludf.DUMMYFUNCTION("""COMPUTED_VALUE"""),"")</f>
        <v/>
      </c>
      <c r="D14444" s="42"/>
      <c r="E14444" s="42"/>
      <c r="F14444" s="48" t="str">
        <f>IFERROR(__xludf.DUMMYFUNCTION("""COMPUTED_VALUE"""),"")</f>
        <v/>
      </c>
      <c r="G14444" s="42" t="str">
        <f>IFERROR(__xludf.DUMMYFUNCTION("""COMPUTED_VALUE"""),"")</f>
        <v/>
      </c>
      <c r="H14444" s="42">
        <f t="shared" si="1"/>
        <v>3345</v>
      </c>
    </row>
    <row r="14445" ht="22.5" customHeight="1">
      <c r="B14445" s="42" t="str">
        <f>IFERROR(__xludf.DUMMYFUNCTION("""COMPUTED_VALUE"""),"")</f>
        <v/>
      </c>
      <c r="C14445" s="42" t="str">
        <f>IFERROR(__xludf.DUMMYFUNCTION("""COMPUTED_VALUE"""),"")</f>
        <v/>
      </c>
      <c r="D14445" s="42"/>
      <c r="E14445" s="42"/>
      <c r="F14445" s="48" t="str">
        <f>IFERROR(__xludf.DUMMYFUNCTION("""COMPUTED_VALUE"""),"")</f>
        <v/>
      </c>
      <c r="G14445" s="42" t="str">
        <f>IFERROR(__xludf.DUMMYFUNCTION("""COMPUTED_VALUE"""),"")</f>
        <v/>
      </c>
      <c r="H14445" s="42">
        <f t="shared" si="1"/>
        <v>3345</v>
      </c>
    </row>
    <row r="14446" ht="22.5" customHeight="1">
      <c r="B14446" s="42" t="str">
        <f>IFERROR(__xludf.DUMMYFUNCTION("""COMPUTED_VALUE"""),"")</f>
        <v/>
      </c>
      <c r="C14446" s="42" t="str">
        <f>IFERROR(__xludf.DUMMYFUNCTION("""COMPUTED_VALUE"""),"")</f>
        <v/>
      </c>
      <c r="D14446" s="42"/>
      <c r="E14446" s="42"/>
      <c r="F14446" s="48" t="str">
        <f>IFERROR(__xludf.DUMMYFUNCTION("""COMPUTED_VALUE"""),"")</f>
        <v/>
      </c>
      <c r="G14446" s="42" t="str">
        <f>IFERROR(__xludf.DUMMYFUNCTION("""COMPUTED_VALUE"""),"")</f>
        <v/>
      </c>
      <c r="H14446" s="42">
        <f t="shared" si="1"/>
        <v>3345</v>
      </c>
    </row>
    <row r="14447" ht="22.5" customHeight="1">
      <c r="B14447" s="42" t="str">
        <f>IFERROR(__xludf.DUMMYFUNCTION("""COMPUTED_VALUE"""),"")</f>
        <v/>
      </c>
      <c r="C14447" s="42" t="str">
        <f>IFERROR(__xludf.DUMMYFUNCTION("""COMPUTED_VALUE"""),"")</f>
        <v/>
      </c>
      <c r="D14447" s="42"/>
      <c r="E14447" s="42"/>
      <c r="F14447" s="48" t="str">
        <f>IFERROR(__xludf.DUMMYFUNCTION("""COMPUTED_VALUE"""),"")</f>
        <v/>
      </c>
      <c r="G14447" s="42" t="str">
        <f>IFERROR(__xludf.DUMMYFUNCTION("""COMPUTED_VALUE"""),"")</f>
        <v/>
      </c>
      <c r="H14447" s="42">
        <f t="shared" si="1"/>
        <v>3345</v>
      </c>
    </row>
    <row r="14448" ht="22.5" customHeight="1">
      <c r="B14448" s="42" t="str">
        <f>IFERROR(__xludf.DUMMYFUNCTION("""COMPUTED_VALUE"""),"")</f>
        <v/>
      </c>
      <c r="C14448" s="42" t="str">
        <f>IFERROR(__xludf.DUMMYFUNCTION("""COMPUTED_VALUE"""),"")</f>
        <v/>
      </c>
      <c r="D14448" s="42"/>
      <c r="E14448" s="42"/>
      <c r="F14448" s="48" t="str">
        <f>IFERROR(__xludf.DUMMYFUNCTION("""COMPUTED_VALUE"""),"")</f>
        <v/>
      </c>
      <c r="G14448" s="42" t="str">
        <f>IFERROR(__xludf.DUMMYFUNCTION("""COMPUTED_VALUE"""),"")</f>
        <v/>
      </c>
      <c r="H14448" s="42">
        <f t="shared" si="1"/>
        <v>3345</v>
      </c>
    </row>
    <row r="14449" ht="22.5" customHeight="1">
      <c r="B14449" s="42" t="str">
        <f>IFERROR(__xludf.DUMMYFUNCTION("""COMPUTED_VALUE"""),"")</f>
        <v/>
      </c>
      <c r="C14449" s="42" t="str">
        <f>IFERROR(__xludf.DUMMYFUNCTION("""COMPUTED_VALUE"""),"")</f>
        <v/>
      </c>
      <c r="D14449" s="42"/>
      <c r="E14449" s="42"/>
      <c r="F14449" s="48" t="str">
        <f>IFERROR(__xludf.DUMMYFUNCTION("""COMPUTED_VALUE"""),"")</f>
        <v/>
      </c>
      <c r="G14449" s="42" t="str">
        <f>IFERROR(__xludf.DUMMYFUNCTION("""COMPUTED_VALUE"""),"")</f>
        <v/>
      </c>
      <c r="H14449" s="42">
        <f t="shared" si="1"/>
        <v>3345</v>
      </c>
    </row>
    <row r="14450" ht="22.5" customHeight="1">
      <c r="B14450" s="42" t="str">
        <f>IFERROR(__xludf.DUMMYFUNCTION("""COMPUTED_VALUE"""),"")</f>
        <v/>
      </c>
      <c r="C14450" s="42" t="str">
        <f>IFERROR(__xludf.DUMMYFUNCTION("""COMPUTED_VALUE"""),"")</f>
        <v/>
      </c>
      <c r="D14450" s="42"/>
      <c r="E14450" s="42"/>
      <c r="F14450" s="48" t="str">
        <f>IFERROR(__xludf.DUMMYFUNCTION("""COMPUTED_VALUE"""),"")</f>
        <v/>
      </c>
      <c r="G14450" s="42" t="str">
        <f>IFERROR(__xludf.DUMMYFUNCTION("""COMPUTED_VALUE"""),"")</f>
        <v/>
      </c>
      <c r="H14450" s="42">
        <f t="shared" si="1"/>
        <v>3345</v>
      </c>
    </row>
    <row r="14451" ht="22.5" customHeight="1">
      <c r="B14451" s="42" t="str">
        <f>IFERROR(__xludf.DUMMYFUNCTION("""COMPUTED_VALUE"""),"")</f>
        <v/>
      </c>
      <c r="C14451" s="42" t="str">
        <f>IFERROR(__xludf.DUMMYFUNCTION("""COMPUTED_VALUE"""),"")</f>
        <v/>
      </c>
      <c r="D14451" s="42"/>
      <c r="E14451" s="42"/>
      <c r="F14451" s="48" t="str">
        <f>IFERROR(__xludf.DUMMYFUNCTION("""COMPUTED_VALUE"""),"")</f>
        <v/>
      </c>
      <c r="G14451" s="42" t="str">
        <f>IFERROR(__xludf.DUMMYFUNCTION("""COMPUTED_VALUE"""),"")</f>
        <v/>
      </c>
      <c r="H14451" s="42">
        <f t="shared" si="1"/>
        <v>3345</v>
      </c>
    </row>
    <row r="14452" ht="22.5" customHeight="1">
      <c r="B14452" s="42" t="str">
        <f>IFERROR(__xludf.DUMMYFUNCTION("""COMPUTED_VALUE"""),"")</f>
        <v/>
      </c>
      <c r="C14452" s="42" t="str">
        <f>IFERROR(__xludf.DUMMYFUNCTION("""COMPUTED_VALUE"""),"")</f>
        <v/>
      </c>
      <c r="D14452" s="42"/>
      <c r="E14452" s="42"/>
      <c r="F14452" s="48" t="str">
        <f>IFERROR(__xludf.DUMMYFUNCTION("""COMPUTED_VALUE"""),"")</f>
        <v/>
      </c>
      <c r="G14452" s="42" t="str">
        <f>IFERROR(__xludf.DUMMYFUNCTION("""COMPUTED_VALUE"""),"")</f>
        <v/>
      </c>
      <c r="H14452" s="42">
        <f t="shared" si="1"/>
        <v>3345</v>
      </c>
    </row>
    <row r="14453" ht="22.5" customHeight="1">
      <c r="B14453" s="42" t="str">
        <f>IFERROR(__xludf.DUMMYFUNCTION("""COMPUTED_VALUE"""),"")</f>
        <v/>
      </c>
      <c r="C14453" s="42" t="str">
        <f>IFERROR(__xludf.DUMMYFUNCTION("""COMPUTED_VALUE"""),"")</f>
        <v/>
      </c>
      <c r="D14453" s="42"/>
      <c r="E14453" s="42"/>
      <c r="F14453" s="48" t="str">
        <f>IFERROR(__xludf.DUMMYFUNCTION("""COMPUTED_VALUE"""),"")</f>
        <v/>
      </c>
      <c r="G14453" s="42" t="str">
        <f>IFERROR(__xludf.DUMMYFUNCTION("""COMPUTED_VALUE"""),"")</f>
        <v/>
      </c>
      <c r="H14453" s="42">
        <f t="shared" si="1"/>
        <v>3345</v>
      </c>
    </row>
    <row r="14454" ht="22.5" customHeight="1">
      <c r="B14454" s="42" t="str">
        <f>IFERROR(__xludf.DUMMYFUNCTION("""COMPUTED_VALUE"""),"")</f>
        <v/>
      </c>
      <c r="C14454" s="42" t="str">
        <f>IFERROR(__xludf.DUMMYFUNCTION("""COMPUTED_VALUE"""),"")</f>
        <v/>
      </c>
      <c r="D14454" s="42"/>
      <c r="E14454" s="42"/>
      <c r="F14454" s="48" t="str">
        <f>IFERROR(__xludf.DUMMYFUNCTION("""COMPUTED_VALUE"""),"")</f>
        <v/>
      </c>
      <c r="G14454" s="42" t="str">
        <f>IFERROR(__xludf.DUMMYFUNCTION("""COMPUTED_VALUE"""),"")</f>
        <v/>
      </c>
      <c r="H14454" s="42">
        <f t="shared" si="1"/>
        <v>3345</v>
      </c>
    </row>
    <row r="14455" ht="22.5" customHeight="1">
      <c r="B14455" s="42" t="str">
        <f>IFERROR(__xludf.DUMMYFUNCTION("""COMPUTED_VALUE"""),"")</f>
        <v/>
      </c>
      <c r="C14455" s="42" t="str">
        <f>IFERROR(__xludf.DUMMYFUNCTION("""COMPUTED_VALUE"""),"")</f>
        <v/>
      </c>
      <c r="D14455" s="42"/>
      <c r="E14455" s="42"/>
      <c r="F14455" s="48" t="str">
        <f>IFERROR(__xludf.DUMMYFUNCTION("""COMPUTED_VALUE"""),"")</f>
        <v/>
      </c>
      <c r="G14455" s="42" t="str">
        <f>IFERROR(__xludf.DUMMYFUNCTION("""COMPUTED_VALUE"""),"")</f>
        <v/>
      </c>
      <c r="H14455" s="42">
        <f t="shared" si="1"/>
        <v>3345</v>
      </c>
    </row>
    <row r="14456" ht="22.5" customHeight="1">
      <c r="B14456" s="42" t="str">
        <f>IFERROR(__xludf.DUMMYFUNCTION("""COMPUTED_VALUE"""),"")</f>
        <v/>
      </c>
      <c r="C14456" s="42" t="str">
        <f>IFERROR(__xludf.DUMMYFUNCTION("""COMPUTED_VALUE"""),"")</f>
        <v/>
      </c>
      <c r="D14456" s="42"/>
      <c r="E14456" s="42"/>
      <c r="F14456" s="48" t="str">
        <f>IFERROR(__xludf.DUMMYFUNCTION("""COMPUTED_VALUE"""),"")</f>
        <v/>
      </c>
      <c r="G14456" s="42" t="str">
        <f>IFERROR(__xludf.DUMMYFUNCTION("""COMPUTED_VALUE"""),"")</f>
        <v/>
      </c>
      <c r="H14456" s="42">
        <f t="shared" si="1"/>
        <v>3345</v>
      </c>
    </row>
    <row r="14457" ht="22.5" customHeight="1">
      <c r="B14457" s="42" t="str">
        <f>IFERROR(__xludf.DUMMYFUNCTION("""COMPUTED_VALUE"""),"")</f>
        <v/>
      </c>
      <c r="C14457" s="42" t="str">
        <f>IFERROR(__xludf.DUMMYFUNCTION("""COMPUTED_VALUE"""),"")</f>
        <v/>
      </c>
      <c r="D14457" s="42"/>
      <c r="E14457" s="42"/>
      <c r="F14457" s="48" t="str">
        <f>IFERROR(__xludf.DUMMYFUNCTION("""COMPUTED_VALUE"""),"")</f>
        <v/>
      </c>
      <c r="G14457" s="42" t="str">
        <f>IFERROR(__xludf.DUMMYFUNCTION("""COMPUTED_VALUE"""),"")</f>
        <v/>
      </c>
      <c r="H14457" s="42">
        <f t="shared" si="1"/>
        <v>3345</v>
      </c>
    </row>
    <row r="14458" ht="22.5" customHeight="1">
      <c r="B14458" s="42" t="str">
        <f>IFERROR(__xludf.DUMMYFUNCTION("""COMPUTED_VALUE"""),"")</f>
        <v/>
      </c>
      <c r="C14458" s="42" t="str">
        <f>IFERROR(__xludf.DUMMYFUNCTION("""COMPUTED_VALUE"""),"")</f>
        <v/>
      </c>
      <c r="D14458" s="42"/>
      <c r="E14458" s="42"/>
      <c r="F14458" s="48" t="str">
        <f>IFERROR(__xludf.DUMMYFUNCTION("""COMPUTED_VALUE"""),"")</f>
        <v/>
      </c>
      <c r="G14458" s="42" t="str">
        <f>IFERROR(__xludf.DUMMYFUNCTION("""COMPUTED_VALUE"""),"")</f>
        <v/>
      </c>
      <c r="H14458" s="42">
        <f t="shared" si="1"/>
        <v>3345</v>
      </c>
    </row>
    <row r="14459" ht="22.5" customHeight="1">
      <c r="B14459" s="42" t="str">
        <f>IFERROR(__xludf.DUMMYFUNCTION("""COMPUTED_VALUE"""),"")</f>
        <v/>
      </c>
      <c r="C14459" s="42" t="str">
        <f>IFERROR(__xludf.DUMMYFUNCTION("""COMPUTED_VALUE"""),"")</f>
        <v/>
      </c>
      <c r="D14459" s="42"/>
      <c r="E14459" s="42"/>
      <c r="F14459" s="48" t="str">
        <f>IFERROR(__xludf.DUMMYFUNCTION("""COMPUTED_VALUE"""),"")</f>
        <v/>
      </c>
      <c r="G14459" s="42" t="str">
        <f>IFERROR(__xludf.DUMMYFUNCTION("""COMPUTED_VALUE"""),"")</f>
        <v/>
      </c>
      <c r="H14459" s="42">
        <f t="shared" si="1"/>
        <v>3345</v>
      </c>
    </row>
    <row r="14460" ht="22.5" customHeight="1">
      <c r="B14460" s="42" t="str">
        <f>IFERROR(__xludf.DUMMYFUNCTION("""COMPUTED_VALUE"""),"")</f>
        <v/>
      </c>
      <c r="C14460" s="42" t="str">
        <f>IFERROR(__xludf.DUMMYFUNCTION("""COMPUTED_VALUE"""),"")</f>
        <v/>
      </c>
      <c r="D14460" s="42"/>
      <c r="E14460" s="42"/>
      <c r="F14460" s="48" t="str">
        <f>IFERROR(__xludf.DUMMYFUNCTION("""COMPUTED_VALUE"""),"")</f>
        <v/>
      </c>
      <c r="G14460" s="42" t="str">
        <f>IFERROR(__xludf.DUMMYFUNCTION("""COMPUTED_VALUE"""),"")</f>
        <v/>
      </c>
      <c r="H14460" s="42">
        <f t="shared" si="1"/>
        <v>3345</v>
      </c>
    </row>
    <row r="14461" ht="22.5" customHeight="1">
      <c r="B14461" s="42" t="str">
        <f>IFERROR(__xludf.DUMMYFUNCTION("""COMPUTED_VALUE"""),"")</f>
        <v/>
      </c>
      <c r="C14461" s="42" t="str">
        <f>IFERROR(__xludf.DUMMYFUNCTION("""COMPUTED_VALUE"""),"")</f>
        <v/>
      </c>
      <c r="D14461" s="42"/>
      <c r="E14461" s="42"/>
      <c r="F14461" s="48" t="str">
        <f>IFERROR(__xludf.DUMMYFUNCTION("""COMPUTED_VALUE"""),"")</f>
        <v/>
      </c>
      <c r="G14461" s="42" t="str">
        <f>IFERROR(__xludf.DUMMYFUNCTION("""COMPUTED_VALUE"""),"")</f>
        <v/>
      </c>
      <c r="H14461" s="42">
        <f t="shared" si="1"/>
        <v>3345</v>
      </c>
    </row>
    <row r="14462" ht="22.5" customHeight="1">
      <c r="B14462" s="42" t="str">
        <f>IFERROR(__xludf.DUMMYFUNCTION("""COMPUTED_VALUE"""),"")</f>
        <v/>
      </c>
      <c r="C14462" s="42" t="str">
        <f>IFERROR(__xludf.DUMMYFUNCTION("""COMPUTED_VALUE"""),"")</f>
        <v/>
      </c>
      <c r="D14462" s="42"/>
      <c r="E14462" s="42"/>
      <c r="F14462" s="48" t="str">
        <f>IFERROR(__xludf.DUMMYFUNCTION("""COMPUTED_VALUE"""),"")</f>
        <v/>
      </c>
      <c r="G14462" s="42" t="str">
        <f>IFERROR(__xludf.DUMMYFUNCTION("""COMPUTED_VALUE"""),"")</f>
        <v/>
      </c>
      <c r="H14462" s="42">
        <f t="shared" si="1"/>
        <v>3345</v>
      </c>
    </row>
    <row r="14463" ht="22.5" customHeight="1">
      <c r="B14463" s="42" t="str">
        <f>IFERROR(__xludf.DUMMYFUNCTION("""COMPUTED_VALUE"""),"")</f>
        <v/>
      </c>
      <c r="C14463" s="42" t="str">
        <f>IFERROR(__xludf.DUMMYFUNCTION("""COMPUTED_VALUE"""),"")</f>
        <v/>
      </c>
      <c r="D14463" s="42"/>
      <c r="E14463" s="42"/>
      <c r="F14463" s="48" t="str">
        <f>IFERROR(__xludf.DUMMYFUNCTION("""COMPUTED_VALUE"""),"")</f>
        <v/>
      </c>
      <c r="G14463" s="42" t="str">
        <f>IFERROR(__xludf.DUMMYFUNCTION("""COMPUTED_VALUE"""),"")</f>
        <v/>
      </c>
      <c r="H14463" s="42">
        <f t="shared" si="1"/>
        <v>3345</v>
      </c>
    </row>
    <row r="14464" ht="22.5" customHeight="1">
      <c r="B14464" s="42" t="str">
        <f>IFERROR(__xludf.DUMMYFUNCTION("""COMPUTED_VALUE"""),"")</f>
        <v/>
      </c>
      <c r="C14464" s="42" t="str">
        <f>IFERROR(__xludf.DUMMYFUNCTION("""COMPUTED_VALUE"""),"")</f>
        <v/>
      </c>
      <c r="D14464" s="42"/>
      <c r="E14464" s="42"/>
      <c r="F14464" s="48" t="str">
        <f>IFERROR(__xludf.DUMMYFUNCTION("""COMPUTED_VALUE"""),"")</f>
        <v/>
      </c>
      <c r="G14464" s="42" t="str">
        <f>IFERROR(__xludf.DUMMYFUNCTION("""COMPUTED_VALUE"""),"")</f>
        <v/>
      </c>
      <c r="H14464" s="42">
        <f t="shared" si="1"/>
        <v>3345</v>
      </c>
    </row>
    <row r="14465" ht="22.5" customHeight="1">
      <c r="B14465" s="42" t="str">
        <f>IFERROR(__xludf.DUMMYFUNCTION("""COMPUTED_VALUE"""),"")</f>
        <v/>
      </c>
      <c r="C14465" s="42" t="str">
        <f>IFERROR(__xludf.DUMMYFUNCTION("""COMPUTED_VALUE"""),"")</f>
        <v/>
      </c>
      <c r="D14465" s="42"/>
      <c r="E14465" s="42"/>
      <c r="F14465" s="48" t="str">
        <f>IFERROR(__xludf.DUMMYFUNCTION("""COMPUTED_VALUE"""),"")</f>
        <v/>
      </c>
      <c r="G14465" s="42" t="str">
        <f>IFERROR(__xludf.DUMMYFUNCTION("""COMPUTED_VALUE"""),"")</f>
        <v/>
      </c>
      <c r="H14465" s="42">
        <f t="shared" si="1"/>
        <v>3345</v>
      </c>
    </row>
    <row r="14466" ht="22.5" customHeight="1">
      <c r="B14466" s="42" t="str">
        <f>IFERROR(__xludf.DUMMYFUNCTION("""COMPUTED_VALUE"""),"")</f>
        <v/>
      </c>
      <c r="C14466" s="42" t="str">
        <f>IFERROR(__xludf.DUMMYFUNCTION("""COMPUTED_VALUE"""),"")</f>
        <v/>
      </c>
      <c r="D14466" s="42"/>
      <c r="E14466" s="42"/>
      <c r="F14466" s="48" t="str">
        <f>IFERROR(__xludf.DUMMYFUNCTION("""COMPUTED_VALUE"""),"")</f>
        <v/>
      </c>
      <c r="G14466" s="42" t="str">
        <f>IFERROR(__xludf.DUMMYFUNCTION("""COMPUTED_VALUE"""),"")</f>
        <v/>
      </c>
      <c r="H14466" s="42">
        <f t="shared" si="1"/>
        <v>3345</v>
      </c>
    </row>
    <row r="14467" ht="22.5" customHeight="1">
      <c r="B14467" s="42" t="str">
        <f>IFERROR(__xludf.DUMMYFUNCTION("""COMPUTED_VALUE"""),"")</f>
        <v/>
      </c>
      <c r="C14467" s="42" t="str">
        <f>IFERROR(__xludf.DUMMYFUNCTION("""COMPUTED_VALUE"""),"")</f>
        <v/>
      </c>
      <c r="D14467" s="42"/>
      <c r="E14467" s="42"/>
      <c r="F14467" s="48" t="str">
        <f>IFERROR(__xludf.DUMMYFUNCTION("""COMPUTED_VALUE"""),"")</f>
        <v/>
      </c>
      <c r="G14467" s="42" t="str">
        <f>IFERROR(__xludf.DUMMYFUNCTION("""COMPUTED_VALUE"""),"")</f>
        <v/>
      </c>
      <c r="H14467" s="42">
        <f t="shared" si="1"/>
        <v>3345</v>
      </c>
    </row>
    <row r="14468" ht="22.5" customHeight="1">
      <c r="B14468" s="42" t="str">
        <f>IFERROR(__xludf.DUMMYFUNCTION("""COMPUTED_VALUE"""),"")</f>
        <v/>
      </c>
      <c r="C14468" s="42" t="str">
        <f>IFERROR(__xludf.DUMMYFUNCTION("""COMPUTED_VALUE"""),"")</f>
        <v/>
      </c>
      <c r="D14468" s="42"/>
      <c r="E14468" s="42"/>
      <c r="F14468" s="48" t="str">
        <f>IFERROR(__xludf.DUMMYFUNCTION("""COMPUTED_VALUE"""),"")</f>
        <v/>
      </c>
      <c r="G14468" s="42" t="str">
        <f>IFERROR(__xludf.DUMMYFUNCTION("""COMPUTED_VALUE"""),"")</f>
        <v/>
      </c>
      <c r="H14468" s="42">
        <f t="shared" si="1"/>
        <v>3345</v>
      </c>
    </row>
    <row r="14469" ht="22.5" customHeight="1">
      <c r="B14469" s="42" t="str">
        <f>IFERROR(__xludf.DUMMYFUNCTION("""COMPUTED_VALUE"""),"")</f>
        <v/>
      </c>
      <c r="C14469" s="42" t="str">
        <f>IFERROR(__xludf.DUMMYFUNCTION("""COMPUTED_VALUE"""),"")</f>
        <v/>
      </c>
      <c r="D14469" s="42"/>
      <c r="E14469" s="42"/>
      <c r="F14469" s="48" t="str">
        <f>IFERROR(__xludf.DUMMYFUNCTION("""COMPUTED_VALUE"""),"")</f>
        <v/>
      </c>
      <c r="G14469" s="42" t="str">
        <f>IFERROR(__xludf.DUMMYFUNCTION("""COMPUTED_VALUE"""),"")</f>
        <v/>
      </c>
      <c r="H14469" s="42">
        <f t="shared" si="1"/>
        <v>3345</v>
      </c>
    </row>
    <row r="14470" ht="22.5" customHeight="1">
      <c r="B14470" s="42" t="str">
        <f>IFERROR(__xludf.DUMMYFUNCTION("""COMPUTED_VALUE"""),"")</f>
        <v/>
      </c>
      <c r="C14470" s="42" t="str">
        <f>IFERROR(__xludf.DUMMYFUNCTION("""COMPUTED_VALUE"""),"")</f>
        <v/>
      </c>
      <c r="D14470" s="42"/>
      <c r="E14470" s="42"/>
      <c r="F14470" s="48" t="str">
        <f>IFERROR(__xludf.DUMMYFUNCTION("""COMPUTED_VALUE"""),"")</f>
        <v/>
      </c>
      <c r="G14470" s="42" t="str">
        <f>IFERROR(__xludf.DUMMYFUNCTION("""COMPUTED_VALUE"""),"")</f>
        <v/>
      </c>
      <c r="H14470" s="42">
        <f t="shared" si="1"/>
        <v>3345</v>
      </c>
    </row>
    <row r="14471" ht="22.5" customHeight="1">
      <c r="B14471" s="42" t="str">
        <f>IFERROR(__xludf.DUMMYFUNCTION("""COMPUTED_VALUE"""),"")</f>
        <v/>
      </c>
      <c r="C14471" s="42" t="str">
        <f>IFERROR(__xludf.DUMMYFUNCTION("""COMPUTED_VALUE"""),"")</f>
        <v/>
      </c>
      <c r="D14471" s="42"/>
      <c r="E14471" s="42"/>
      <c r="F14471" s="48" t="str">
        <f>IFERROR(__xludf.DUMMYFUNCTION("""COMPUTED_VALUE"""),"")</f>
        <v/>
      </c>
      <c r="G14471" s="42" t="str">
        <f>IFERROR(__xludf.DUMMYFUNCTION("""COMPUTED_VALUE"""),"")</f>
        <v/>
      </c>
      <c r="H14471" s="42">
        <f t="shared" si="1"/>
        <v>3345</v>
      </c>
    </row>
    <row r="14472" ht="22.5" customHeight="1">
      <c r="B14472" s="42" t="str">
        <f>IFERROR(__xludf.DUMMYFUNCTION("""COMPUTED_VALUE"""),"")</f>
        <v/>
      </c>
      <c r="C14472" s="42" t="str">
        <f>IFERROR(__xludf.DUMMYFUNCTION("""COMPUTED_VALUE"""),"")</f>
        <v/>
      </c>
      <c r="D14472" s="42"/>
      <c r="E14472" s="42"/>
      <c r="F14472" s="48" t="str">
        <f>IFERROR(__xludf.DUMMYFUNCTION("""COMPUTED_VALUE"""),"")</f>
        <v/>
      </c>
      <c r="G14472" s="42" t="str">
        <f>IFERROR(__xludf.DUMMYFUNCTION("""COMPUTED_VALUE"""),"")</f>
        <v/>
      </c>
      <c r="H14472" s="42">
        <f t="shared" si="1"/>
        <v>3345</v>
      </c>
    </row>
    <row r="14473" ht="22.5" customHeight="1">
      <c r="B14473" s="42" t="str">
        <f>IFERROR(__xludf.DUMMYFUNCTION("""COMPUTED_VALUE"""),"")</f>
        <v/>
      </c>
      <c r="C14473" s="42" t="str">
        <f>IFERROR(__xludf.DUMMYFUNCTION("""COMPUTED_VALUE"""),"")</f>
        <v/>
      </c>
      <c r="D14473" s="42"/>
      <c r="E14473" s="42"/>
      <c r="F14473" s="48" t="str">
        <f>IFERROR(__xludf.DUMMYFUNCTION("""COMPUTED_VALUE"""),"")</f>
        <v/>
      </c>
      <c r="G14473" s="42" t="str">
        <f>IFERROR(__xludf.DUMMYFUNCTION("""COMPUTED_VALUE"""),"")</f>
        <v/>
      </c>
      <c r="H14473" s="42">
        <f t="shared" si="1"/>
        <v>3345</v>
      </c>
    </row>
    <row r="14474" ht="22.5" customHeight="1">
      <c r="B14474" s="42" t="str">
        <f>IFERROR(__xludf.DUMMYFUNCTION("""COMPUTED_VALUE"""),"")</f>
        <v/>
      </c>
      <c r="C14474" s="42" t="str">
        <f>IFERROR(__xludf.DUMMYFUNCTION("""COMPUTED_VALUE"""),"")</f>
        <v/>
      </c>
      <c r="D14474" s="42"/>
      <c r="E14474" s="42"/>
      <c r="F14474" s="48" t="str">
        <f>IFERROR(__xludf.DUMMYFUNCTION("""COMPUTED_VALUE"""),"")</f>
        <v/>
      </c>
      <c r="G14474" s="42" t="str">
        <f>IFERROR(__xludf.DUMMYFUNCTION("""COMPUTED_VALUE"""),"")</f>
        <v/>
      </c>
      <c r="H14474" s="42">
        <f t="shared" si="1"/>
        <v>3345</v>
      </c>
    </row>
    <row r="14475" ht="22.5" customHeight="1">
      <c r="B14475" s="42" t="str">
        <f>IFERROR(__xludf.DUMMYFUNCTION("""COMPUTED_VALUE"""),"")</f>
        <v/>
      </c>
      <c r="C14475" s="42" t="str">
        <f>IFERROR(__xludf.DUMMYFUNCTION("""COMPUTED_VALUE"""),"")</f>
        <v/>
      </c>
      <c r="D14475" s="42"/>
      <c r="E14475" s="42"/>
      <c r="F14475" s="48" t="str">
        <f>IFERROR(__xludf.DUMMYFUNCTION("""COMPUTED_VALUE"""),"")</f>
        <v/>
      </c>
      <c r="G14475" s="42" t="str">
        <f>IFERROR(__xludf.DUMMYFUNCTION("""COMPUTED_VALUE"""),"")</f>
        <v/>
      </c>
      <c r="H14475" s="42">
        <f t="shared" si="1"/>
        <v>3345</v>
      </c>
    </row>
    <row r="14476" ht="22.5" customHeight="1">
      <c r="B14476" s="42" t="str">
        <f>IFERROR(__xludf.DUMMYFUNCTION("""COMPUTED_VALUE"""),"")</f>
        <v/>
      </c>
      <c r="C14476" s="42" t="str">
        <f>IFERROR(__xludf.DUMMYFUNCTION("""COMPUTED_VALUE"""),"")</f>
        <v/>
      </c>
      <c r="D14476" s="42"/>
      <c r="E14476" s="42"/>
      <c r="F14476" s="48" t="str">
        <f>IFERROR(__xludf.DUMMYFUNCTION("""COMPUTED_VALUE"""),"")</f>
        <v/>
      </c>
      <c r="G14476" s="42" t="str">
        <f>IFERROR(__xludf.DUMMYFUNCTION("""COMPUTED_VALUE"""),"")</f>
        <v/>
      </c>
      <c r="H14476" s="42">
        <f t="shared" si="1"/>
        <v>3345</v>
      </c>
    </row>
    <row r="14477" ht="22.5" customHeight="1">
      <c r="B14477" s="42" t="str">
        <f>IFERROR(__xludf.DUMMYFUNCTION("""COMPUTED_VALUE"""),"")</f>
        <v/>
      </c>
      <c r="C14477" s="42" t="str">
        <f>IFERROR(__xludf.DUMMYFUNCTION("""COMPUTED_VALUE"""),"")</f>
        <v/>
      </c>
      <c r="D14477" s="42"/>
      <c r="E14477" s="42"/>
      <c r="F14477" s="48" t="str">
        <f>IFERROR(__xludf.DUMMYFUNCTION("""COMPUTED_VALUE"""),"")</f>
        <v/>
      </c>
      <c r="G14477" s="42" t="str">
        <f>IFERROR(__xludf.DUMMYFUNCTION("""COMPUTED_VALUE"""),"")</f>
        <v/>
      </c>
      <c r="H14477" s="42">
        <f t="shared" si="1"/>
        <v>3345</v>
      </c>
    </row>
    <row r="14478" ht="22.5" customHeight="1">
      <c r="B14478" s="42" t="str">
        <f>IFERROR(__xludf.DUMMYFUNCTION("""COMPUTED_VALUE"""),"")</f>
        <v/>
      </c>
      <c r="C14478" s="42" t="str">
        <f>IFERROR(__xludf.DUMMYFUNCTION("""COMPUTED_VALUE"""),"")</f>
        <v/>
      </c>
      <c r="D14478" s="42"/>
      <c r="E14478" s="42"/>
      <c r="F14478" s="48" t="str">
        <f>IFERROR(__xludf.DUMMYFUNCTION("""COMPUTED_VALUE"""),"")</f>
        <v/>
      </c>
      <c r="G14478" s="42" t="str">
        <f>IFERROR(__xludf.DUMMYFUNCTION("""COMPUTED_VALUE"""),"")</f>
        <v/>
      </c>
      <c r="H14478" s="42">
        <f t="shared" si="1"/>
        <v>3345</v>
      </c>
    </row>
    <row r="14479" ht="22.5" customHeight="1">
      <c r="B14479" s="42" t="str">
        <f>IFERROR(__xludf.DUMMYFUNCTION("""COMPUTED_VALUE"""),"")</f>
        <v/>
      </c>
      <c r="C14479" s="42" t="str">
        <f>IFERROR(__xludf.DUMMYFUNCTION("""COMPUTED_VALUE"""),"")</f>
        <v/>
      </c>
      <c r="D14479" s="42"/>
      <c r="E14479" s="42"/>
      <c r="F14479" s="48" t="str">
        <f>IFERROR(__xludf.DUMMYFUNCTION("""COMPUTED_VALUE"""),"")</f>
        <v/>
      </c>
      <c r="G14479" s="42" t="str">
        <f>IFERROR(__xludf.DUMMYFUNCTION("""COMPUTED_VALUE"""),"")</f>
        <v/>
      </c>
      <c r="H14479" s="42">
        <f t="shared" si="1"/>
        <v>3345</v>
      </c>
    </row>
    <row r="14480" ht="22.5" customHeight="1">
      <c r="B14480" s="42" t="str">
        <f>IFERROR(__xludf.DUMMYFUNCTION("""COMPUTED_VALUE"""),"")</f>
        <v/>
      </c>
      <c r="C14480" s="42" t="str">
        <f>IFERROR(__xludf.DUMMYFUNCTION("""COMPUTED_VALUE"""),"")</f>
        <v/>
      </c>
      <c r="D14480" s="42"/>
      <c r="E14480" s="42"/>
      <c r="F14480" s="48" t="str">
        <f>IFERROR(__xludf.DUMMYFUNCTION("""COMPUTED_VALUE"""),"")</f>
        <v/>
      </c>
      <c r="G14480" s="42" t="str">
        <f>IFERROR(__xludf.DUMMYFUNCTION("""COMPUTED_VALUE"""),"")</f>
        <v/>
      </c>
      <c r="H14480" s="42">
        <f t="shared" si="1"/>
        <v>3345</v>
      </c>
    </row>
    <row r="14481" ht="22.5" customHeight="1">
      <c r="B14481" s="42" t="str">
        <f>IFERROR(__xludf.DUMMYFUNCTION("""COMPUTED_VALUE"""),"")</f>
        <v/>
      </c>
      <c r="C14481" s="42" t="str">
        <f>IFERROR(__xludf.DUMMYFUNCTION("""COMPUTED_VALUE"""),"")</f>
        <v/>
      </c>
      <c r="D14481" s="42"/>
      <c r="E14481" s="42"/>
      <c r="F14481" s="48" t="str">
        <f>IFERROR(__xludf.DUMMYFUNCTION("""COMPUTED_VALUE"""),"")</f>
        <v/>
      </c>
      <c r="G14481" s="42" t="str">
        <f>IFERROR(__xludf.DUMMYFUNCTION("""COMPUTED_VALUE"""),"")</f>
        <v/>
      </c>
      <c r="H14481" s="42">
        <f t="shared" si="1"/>
        <v>3345</v>
      </c>
    </row>
    <row r="14482" ht="22.5" customHeight="1">
      <c r="B14482" s="42" t="str">
        <f>IFERROR(__xludf.DUMMYFUNCTION("""COMPUTED_VALUE"""),"")</f>
        <v/>
      </c>
      <c r="C14482" s="42" t="str">
        <f>IFERROR(__xludf.DUMMYFUNCTION("""COMPUTED_VALUE"""),"")</f>
        <v/>
      </c>
      <c r="D14482" s="42"/>
      <c r="E14482" s="42"/>
      <c r="F14482" s="48" t="str">
        <f>IFERROR(__xludf.DUMMYFUNCTION("""COMPUTED_VALUE"""),"")</f>
        <v/>
      </c>
      <c r="G14482" s="42" t="str">
        <f>IFERROR(__xludf.DUMMYFUNCTION("""COMPUTED_VALUE"""),"")</f>
        <v/>
      </c>
      <c r="H14482" s="42">
        <f t="shared" si="1"/>
        <v>3345</v>
      </c>
    </row>
    <row r="14483" ht="22.5" customHeight="1">
      <c r="B14483" s="42" t="str">
        <f>IFERROR(__xludf.DUMMYFUNCTION("""COMPUTED_VALUE"""),"")</f>
        <v/>
      </c>
      <c r="C14483" s="42" t="str">
        <f>IFERROR(__xludf.DUMMYFUNCTION("""COMPUTED_VALUE"""),"")</f>
        <v/>
      </c>
      <c r="D14483" s="42"/>
      <c r="E14483" s="42"/>
      <c r="F14483" s="48" t="str">
        <f>IFERROR(__xludf.DUMMYFUNCTION("""COMPUTED_VALUE"""),"")</f>
        <v/>
      </c>
      <c r="G14483" s="42" t="str">
        <f>IFERROR(__xludf.DUMMYFUNCTION("""COMPUTED_VALUE"""),"")</f>
        <v/>
      </c>
      <c r="H14483" s="42">
        <f t="shared" si="1"/>
        <v>3345</v>
      </c>
    </row>
    <row r="14484" ht="22.5" customHeight="1">
      <c r="B14484" s="42" t="str">
        <f>IFERROR(__xludf.DUMMYFUNCTION("""COMPUTED_VALUE"""),"")</f>
        <v/>
      </c>
      <c r="C14484" s="42" t="str">
        <f>IFERROR(__xludf.DUMMYFUNCTION("""COMPUTED_VALUE"""),"")</f>
        <v/>
      </c>
      <c r="D14484" s="42"/>
      <c r="E14484" s="42"/>
      <c r="F14484" s="48" t="str">
        <f>IFERROR(__xludf.DUMMYFUNCTION("""COMPUTED_VALUE"""),"")</f>
        <v/>
      </c>
      <c r="G14484" s="42" t="str">
        <f>IFERROR(__xludf.DUMMYFUNCTION("""COMPUTED_VALUE"""),"")</f>
        <v/>
      </c>
      <c r="H14484" s="42">
        <f t="shared" si="1"/>
        <v>3345</v>
      </c>
    </row>
    <row r="14485" ht="22.5" customHeight="1">
      <c r="B14485" s="42" t="str">
        <f>IFERROR(__xludf.DUMMYFUNCTION("""COMPUTED_VALUE"""),"")</f>
        <v/>
      </c>
      <c r="C14485" s="42" t="str">
        <f>IFERROR(__xludf.DUMMYFUNCTION("""COMPUTED_VALUE"""),"")</f>
        <v/>
      </c>
      <c r="D14485" s="42"/>
      <c r="E14485" s="42"/>
      <c r="F14485" s="48" t="str">
        <f>IFERROR(__xludf.DUMMYFUNCTION("""COMPUTED_VALUE"""),"")</f>
        <v/>
      </c>
      <c r="G14485" s="42" t="str">
        <f>IFERROR(__xludf.DUMMYFUNCTION("""COMPUTED_VALUE"""),"")</f>
        <v/>
      </c>
      <c r="H14485" s="42">
        <f t="shared" si="1"/>
        <v>3345</v>
      </c>
    </row>
    <row r="14486" ht="22.5" customHeight="1">
      <c r="B14486" s="42" t="str">
        <f>IFERROR(__xludf.DUMMYFUNCTION("""COMPUTED_VALUE"""),"")</f>
        <v/>
      </c>
      <c r="C14486" s="42" t="str">
        <f>IFERROR(__xludf.DUMMYFUNCTION("""COMPUTED_VALUE"""),"")</f>
        <v/>
      </c>
      <c r="D14486" s="42"/>
      <c r="E14486" s="42"/>
      <c r="F14486" s="48" t="str">
        <f>IFERROR(__xludf.DUMMYFUNCTION("""COMPUTED_VALUE"""),"")</f>
        <v/>
      </c>
      <c r="G14486" s="42" t="str">
        <f>IFERROR(__xludf.DUMMYFUNCTION("""COMPUTED_VALUE"""),"")</f>
        <v/>
      </c>
      <c r="H14486" s="42">
        <f t="shared" si="1"/>
        <v>3345</v>
      </c>
    </row>
    <row r="14487" ht="22.5" customHeight="1">
      <c r="B14487" s="42" t="str">
        <f>IFERROR(__xludf.DUMMYFUNCTION("""COMPUTED_VALUE"""),"")</f>
        <v/>
      </c>
      <c r="C14487" s="42" t="str">
        <f>IFERROR(__xludf.DUMMYFUNCTION("""COMPUTED_VALUE"""),"")</f>
        <v/>
      </c>
      <c r="D14487" s="42"/>
      <c r="E14487" s="42"/>
      <c r="F14487" s="48" t="str">
        <f>IFERROR(__xludf.DUMMYFUNCTION("""COMPUTED_VALUE"""),"")</f>
        <v/>
      </c>
      <c r="G14487" s="42" t="str">
        <f>IFERROR(__xludf.DUMMYFUNCTION("""COMPUTED_VALUE"""),"")</f>
        <v/>
      </c>
      <c r="H14487" s="42">
        <f t="shared" si="1"/>
        <v>3345</v>
      </c>
    </row>
    <row r="14488" ht="22.5" customHeight="1">
      <c r="B14488" s="42" t="str">
        <f>IFERROR(__xludf.DUMMYFUNCTION("""COMPUTED_VALUE"""),"")</f>
        <v/>
      </c>
      <c r="C14488" s="42" t="str">
        <f>IFERROR(__xludf.DUMMYFUNCTION("""COMPUTED_VALUE"""),"")</f>
        <v/>
      </c>
      <c r="D14488" s="42"/>
      <c r="E14488" s="42"/>
      <c r="F14488" s="48" t="str">
        <f>IFERROR(__xludf.DUMMYFUNCTION("""COMPUTED_VALUE"""),"")</f>
        <v/>
      </c>
      <c r="G14488" s="42" t="str">
        <f>IFERROR(__xludf.DUMMYFUNCTION("""COMPUTED_VALUE"""),"")</f>
        <v/>
      </c>
      <c r="H14488" s="42">
        <f t="shared" si="1"/>
        <v>3345</v>
      </c>
    </row>
    <row r="14489" ht="22.5" customHeight="1">
      <c r="B14489" s="42" t="str">
        <f>IFERROR(__xludf.DUMMYFUNCTION("""COMPUTED_VALUE"""),"")</f>
        <v/>
      </c>
      <c r="C14489" s="42" t="str">
        <f>IFERROR(__xludf.DUMMYFUNCTION("""COMPUTED_VALUE"""),"")</f>
        <v/>
      </c>
      <c r="D14489" s="42"/>
      <c r="E14489" s="42"/>
      <c r="F14489" s="48" t="str">
        <f>IFERROR(__xludf.DUMMYFUNCTION("""COMPUTED_VALUE"""),"")</f>
        <v/>
      </c>
      <c r="G14489" s="42" t="str">
        <f>IFERROR(__xludf.DUMMYFUNCTION("""COMPUTED_VALUE"""),"")</f>
        <v/>
      </c>
      <c r="H14489" s="42">
        <f t="shared" si="1"/>
        <v>3345</v>
      </c>
    </row>
    <row r="14490" ht="22.5" customHeight="1">
      <c r="B14490" s="42" t="str">
        <f>IFERROR(__xludf.DUMMYFUNCTION("""COMPUTED_VALUE"""),"")</f>
        <v/>
      </c>
      <c r="C14490" s="42" t="str">
        <f>IFERROR(__xludf.DUMMYFUNCTION("""COMPUTED_VALUE"""),"")</f>
        <v/>
      </c>
      <c r="D14490" s="42"/>
      <c r="E14490" s="42"/>
      <c r="F14490" s="48" t="str">
        <f>IFERROR(__xludf.DUMMYFUNCTION("""COMPUTED_VALUE"""),"")</f>
        <v/>
      </c>
      <c r="G14490" s="42" t="str">
        <f>IFERROR(__xludf.DUMMYFUNCTION("""COMPUTED_VALUE"""),"")</f>
        <v/>
      </c>
      <c r="H14490" s="42">
        <f t="shared" si="1"/>
        <v>3345</v>
      </c>
    </row>
    <row r="14491" ht="22.5" customHeight="1">
      <c r="B14491" s="42" t="str">
        <f>IFERROR(__xludf.DUMMYFUNCTION("""COMPUTED_VALUE"""),"")</f>
        <v/>
      </c>
      <c r="C14491" s="42" t="str">
        <f>IFERROR(__xludf.DUMMYFUNCTION("""COMPUTED_VALUE"""),"")</f>
        <v/>
      </c>
      <c r="D14491" s="42"/>
      <c r="E14491" s="42"/>
      <c r="F14491" s="48" t="str">
        <f>IFERROR(__xludf.DUMMYFUNCTION("""COMPUTED_VALUE"""),"")</f>
        <v/>
      </c>
      <c r="G14491" s="42" t="str">
        <f>IFERROR(__xludf.DUMMYFUNCTION("""COMPUTED_VALUE"""),"")</f>
        <v/>
      </c>
      <c r="H14491" s="42">
        <f t="shared" si="1"/>
        <v>3345</v>
      </c>
    </row>
    <row r="14492" ht="22.5" customHeight="1">
      <c r="B14492" s="42" t="str">
        <f>IFERROR(__xludf.DUMMYFUNCTION("""COMPUTED_VALUE"""),"")</f>
        <v/>
      </c>
      <c r="C14492" s="42" t="str">
        <f>IFERROR(__xludf.DUMMYFUNCTION("""COMPUTED_VALUE"""),"")</f>
        <v/>
      </c>
      <c r="D14492" s="42"/>
      <c r="E14492" s="42"/>
      <c r="F14492" s="48" t="str">
        <f>IFERROR(__xludf.DUMMYFUNCTION("""COMPUTED_VALUE"""),"")</f>
        <v/>
      </c>
      <c r="G14492" s="42" t="str">
        <f>IFERROR(__xludf.DUMMYFUNCTION("""COMPUTED_VALUE"""),"")</f>
        <v/>
      </c>
      <c r="H14492" s="42">
        <f t="shared" si="1"/>
        <v>3345</v>
      </c>
    </row>
    <row r="14493" ht="22.5" customHeight="1">
      <c r="B14493" s="42" t="str">
        <f>IFERROR(__xludf.DUMMYFUNCTION("""COMPUTED_VALUE"""),"")</f>
        <v/>
      </c>
      <c r="C14493" s="42" t="str">
        <f>IFERROR(__xludf.DUMMYFUNCTION("""COMPUTED_VALUE"""),"")</f>
        <v/>
      </c>
      <c r="D14493" s="42"/>
      <c r="E14493" s="42"/>
      <c r="F14493" s="48" t="str">
        <f>IFERROR(__xludf.DUMMYFUNCTION("""COMPUTED_VALUE"""),"")</f>
        <v/>
      </c>
      <c r="G14493" s="42" t="str">
        <f>IFERROR(__xludf.DUMMYFUNCTION("""COMPUTED_VALUE"""),"")</f>
        <v/>
      </c>
      <c r="H14493" s="42">
        <f t="shared" si="1"/>
        <v>3345</v>
      </c>
    </row>
    <row r="14494" ht="22.5" customHeight="1">
      <c r="B14494" s="42" t="str">
        <f>IFERROR(__xludf.DUMMYFUNCTION("""COMPUTED_VALUE"""),"")</f>
        <v/>
      </c>
      <c r="C14494" s="42" t="str">
        <f>IFERROR(__xludf.DUMMYFUNCTION("""COMPUTED_VALUE"""),"")</f>
        <v/>
      </c>
      <c r="D14494" s="42"/>
      <c r="E14494" s="42"/>
      <c r="F14494" s="48" t="str">
        <f>IFERROR(__xludf.DUMMYFUNCTION("""COMPUTED_VALUE"""),"")</f>
        <v/>
      </c>
      <c r="G14494" s="42" t="str">
        <f>IFERROR(__xludf.DUMMYFUNCTION("""COMPUTED_VALUE"""),"")</f>
        <v/>
      </c>
      <c r="H14494" s="42">
        <f t="shared" si="1"/>
        <v>3345</v>
      </c>
    </row>
    <row r="14495" ht="22.5" customHeight="1">
      <c r="B14495" s="42" t="str">
        <f>IFERROR(__xludf.DUMMYFUNCTION("""COMPUTED_VALUE"""),"")</f>
        <v/>
      </c>
      <c r="C14495" s="42" t="str">
        <f>IFERROR(__xludf.DUMMYFUNCTION("""COMPUTED_VALUE"""),"")</f>
        <v/>
      </c>
      <c r="D14495" s="42"/>
      <c r="E14495" s="42"/>
      <c r="F14495" s="48" t="str">
        <f>IFERROR(__xludf.DUMMYFUNCTION("""COMPUTED_VALUE"""),"")</f>
        <v/>
      </c>
      <c r="G14495" s="42" t="str">
        <f>IFERROR(__xludf.DUMMYFUNCTION("""COMPUTED_VALUE"""),"")</f>
        <v/>
      </c>
      <c r="H14495" s="42">
        <f t="shared" si="1"/>
        <v>3345</v>
      </c>
    </row>
    <row r="14496" ht="22.5" customHeight="1">
      <c r="B14496" s="42" t="str">
        <f>IFERROR(__xludf.DUMMYFUNCTION("""COMPUTED_VALUE"""),"")</f>
        <v/>
      </c>
      <c r="C14496" s="42" t="str">
        <f>IFERROR(__xludf.DUMMYFUNCTION("""COMPUTED_VALUE"""),"")</f>
        <v/>
      </c>
      <c r="D14496" s="42"/>
      <c r="E14496" s="42"/>
      <c r="F14496" s="48" t="str">
        <f>IFERROR(__xludf.DUMMYFUNCTION("""COMPUTED_VALUE"""),"")</f>
        <v/>
      </c>
      <c r="G14496" s="42" t="str">
        <f>IFERROR(__xludf.DUMMYFUNCTION("""COMPUTED_VALUE"""),"")</f>
        <v/>
      </c>
      <c r="H14496" s="42">
        <f t="shared" si="1"/>
        <v>3345</v>
      </c>
    </row>
    <row r="14497" ht="22.5" customHeight="1">
      <c r="B14497" s="42" t="str">
        <f>IFERROR(__xludf.DUMMYFUNCTION("""COMPUTED_VALUE"""),"")</f>
        <v/>
      </c>
      <c r="C14497" s="42" t="str">
        <f>IFERROR(__xludf.DUMMYFUNCTION("""COMPUTED_VALUE"""),"")</f>
        <v/>
      </c>
      <c r="D14497" s="42"/>
      <c r="E14497" s="42"/>
      <c r="F14497" s="48" t="str">
        <f>IFERROR(__xludf.DUMMYFUNCTION("""COMPUTED_VALUE"""),"")</f>
        <v/>
      </c>
      <c r="G14497" s="42" t="str">
        <f>IFERROR(__xludf.DUMMYFUNCTION("""COMPUTED_VALUE"""),"")</f>
        <v/>
      </c>
      <c r="H14497" s="42">
        <f t="shared" si="1"/>
        <v>3345</v>
      </c>
    </row>
    <row r="14498" ht="22.5" customHeight="1">
      <c r="B14498" s="42" t="str">
        <f>IFERROR(__xludf.DUMMYFUNCTION("""COMPUTED_VALUE"""),"")</f>
        <v/>
      </c>
      <c r="C14498" s="42" t="str">
        <f>IFERROR(__xludf.DUMMYFUNCTION("""COMPUTED_VALUE"""),"")</f>
        <v/>
      </c>
      <c r="D14498" s="42"/>
      <c r="E14498" s="42"/>
      <c r="F14498" s="48" t="str">
        <f>IFERROR(__xludf.DUMMYFUNCTION("""COMPUTED_VALUE"""),"")</f>
        <v/>
      </c>
      <c r="G14498" s="42" t="str">
        <f>IFERROR(__xludf.DUMMYFUNCTION("""COMPUTED_VALUE"""),"")</f>
        <v/>
      </c>
      <c r="H14498" s="42">
        <f t="shared" si="1"/>
        <v>3345</v>
      </c>
    </row>
    <row r="14499" ht="22.5" customHeight="1">
      <c r="B14499" s="42" t="str">
        <f>IFERROR(__xludf.DUMMYFUNCTION("""COMPUTED_VALUE"""),"")</f>
        <v/>
      </c>
      <c r="C14499" s="42" t="str">
        <f>IFERROR(__xludf.DUMMYFUNCTION("""COMPUTED_VALUE"""),"")</f>
        <v/>
      </c>
      <c r="D14499" s="42"/>
      <c r="E14499" s="42"/>
      <c r="F14499" s="48" t="str">
        <f>IFERROR(__xludf.DUMMYFUNCTION("""COMPUTED_VALUE"""),"")</f>
        <v/>
      </c>
      <c r="G14499" s="42" t="str">
        <f>IFERROR(__xludf.DUMMYFUNCTION("""COMPUTED_VALUE"""),"")</f>
        <v/>
      </c>
      <c r="H14499" s="42">
        <f t="shared" si="1"/>
        <v>3345</v>
      </c>
    </row>
    <row r="14500" ht="22.5" customHeight="1">
      <c r="B14500" s="42" t="str">
        <f>IFERROR(__xludf.DUMMYFUNCTION("""COMPUTED_VALUE"""),"")</f>
        <v/>
      </c>
      <c r="C14500" s="42" t="str">
        <f>IFERROR(__xludf.DUMMYFUNCTION("""COMPUTED_VALUE"""),"")</f>
        <v/>
      </c>
      <c r="D14500" s="42"/>
      <c r="E14500" s="42"/>
      <c r="F14500" s="48" t="str">
        <f>IFERROR(__xludf.DUMMYFUNCTION("""COMPUTED_VALUE"""),"")</f>
        <v/>
      </c>
      <c r="G14500" s="42" t="str">
        <f>IFERROR(__xludf.DUMMYFUNCTION("""COMPUTED_VALUE"""),"")</f>
        <v/>
      </c>
      <c r="H14500" s="42">
        <f t="shared" si="1"/>
        <v>3345</v>
      </c>
    </row>
    <row r="14501" ht="22.5" customHeight="1">
      <c r="B14501" s="42" t="str">
        <f>IFERROR(__xludf.DUMMYFUNCTION("""COMPUTED_VALUE"""),"")</f>
        <v/>
      </c>
      <c r="C14501" s="42" t="str">
        <f>IFERROR(__xludf.DUMMYFUNCTION("""COMPUTED_VALUE"""),"")</f>
        <v/>
      </c>
      <c r="D14501" s="42"/>
      <c r="E14501" s="42"/>
      <c r="F14501" s="48" t="str">
        <f>IFERROR(__xludf.DUMMYFUNCTION("""COMPUTED_VALUE"""),"")</f>
        <v/>
      </c>
      <c r="G14501" s="42" t="str">
        <f>IFERROR(__xludf.DUMMYFUNCTION("""COMPUTED_VALUE"""),"")</f>
        <v/>
      </c>
      <c r="H14501" s="42">
        <f t="shared" si="1"/>
        <v>3345</v>
      </c>
    </row>
    <row r="14502" ht="22.5" customHeight="1">
      <c r="B14502" s="42" t="str">
        <f>IFERROR(__xludf.DUMMYFUNCTION("""COMPUTED_VALUE"""),"")</f>
        <v/>
      </c>
      <c r="C14502" s="42" t="str">
        <f>IFERROR(__xludf.DUMMYFUNCTION("""COMPUTED_VALUE"""),"")</f>
        <v/>
      </c>
      <c r="D14502" s="42"/>
      <c r="E14502" s="42"/>
      <c r="F14502" s="48" t="str">
        <f>IFERROR(__xludf.DUMMYFUNCTION("""COMPUTED_VALUE"""),"")</f>
        <v/>
      </c>
      <c r="G14502" s="42" t="str">
        <f>IFERROR(__xludf.DUMMYFUNCTION("""COMPUTED_VALUE"""),"")</f>
        <v/>
      </c>
      <c r="H14502" s="42">
        <f t="shared" si="1"/>
        <v>3345</v>
      </c>
    </row>
    <row r="14503" ht="22.5" customHeight="1">
      <c r="B14503" s="42" t="str">
        <f>IFERROR(__xludf.DUMMYFUNCTION("""COMPUTED_VALUE"""),"")</f>
        <v/>
      </c>
      <c r="C14503" s="42" t="str">
        <f>IFERROR(__xludf.DUMMYFUNCTION("""COMPUTED_VALUE"""),"")</f>
        <v/>
      </c>
      <c r="D14503" s="42"/>
      <c r="E14503" s="42"/>
      <c r="F14503" s="48" t="str">
        <f>IFERROR(__xludf.DUMMYFUNCTION("""COMPUTED_VALUE"""),"")</f>
        <v/>
      </c>
      <c r="G14503" s="42" t="str">
        <f>IFERROR(__xludf.DUMMYFUNCTION("""COMPUTED_VALUE"""),"")</f>
        <v/>
      </c>
      <c r="H14503" s="42">
        <f t="shared" si="1"/>
        <v>3345</v>
      </c>
    </row>
    <row r="14504" ht="22.5" customHeight="1">
      <c r="B14504" s="42" t="str">
        <f>IFERROR(__xludf.DUMMYFUNCTION("""COMPUTED_VALUE"""),"")</f>
        <v/>
      </c>
      <c r="C14504" s="42" t="str">
        <f>IFERROR(__xludf.DUMMYFUNCTION("""COMPUTED_VALUE"""),"")</f>
        <v/>
      </c>
      <c r="D14504" s="42"/>
      <c r="E14504" s="42"/>
      <c r="F14504" s="48" t="str">
        <f>IFERROR(__xludf.DUMMYFUNCTION("""COMPUTED_VALUE"""),"")</f>
        <v/>
      </c>
      <c r="G14504" s="42" t="str">
        <f>IFERROR(__xludf.DUMMYFUNCTION("""COMPUTED_VALUE"""),"")</f>
        <v/>
      </c>
      <c r="H14504" s="42">
        <f t="shared" si="1"/>
        <v>3345</v>
      </c>
    </row>
    <row r="14505" ht="22.5" customHeight="1">
      <c r="B14505" s="42" t="str">
        <f>IFERROR(__xludf.DUMMYFUNCTION("""COMPUTED_VALUE"""),"")</f>
        <v/>
      </c>
      <c r="C14505" s="42" t="str">
        <f>IFERROR(__xludf.DUMMYFUNCTION("""COMPUTED_VALUE"""),"")</f>
        <v/>
      </c>
      <c r="D14505" s="42"/>
      <c r="E14505" s="42"/>
      <c r="F14505" s="48" t="str">
        <f>IFERROR(__xludf.DUMMYFUNCTION("""COMPUTED_VALUE"""),"")</f>
        <v/>
      </c>
      <c r="G14505" s="42" t="str">
        <f>IFERROR(__xludf.DUMMYFUNCTION("""COMPUTED_VALUE"""),"")</f>
        <v/>
      </c>
      <c r="H14505" s="42">
        <f t="shared" si="1"/>
        <v>3345</v>
      </c>
    </row>
    <row r="14506" ht="22.5" customHeight="1">
      <c r="B14506" s="42" t="str">
        <f>IFERROR(__xludf.DUMMYFUNCTION("""COMPUTED_VALUE"""),"")</f>
        <v/>
      </c>
      <c r="C14506" s="42" t="str">
        <f>IFERROR(__xludf.DUMMYFUNCTION("""COMPUTED_VALUE"""),"")</f>
        <v/>
      </c>
      <c r="D14506" s="42"/>
      <c r="E14506" s="42"/>
      <c r="F14506" s="48" t="str">
        <f>IFERROR(__xludf.DUMMYFUNCTION("""COMPUTED_VALUE"""),"")</f>
        <v/>
      </c>
      <c r="G14506" s="42" t="str">
        <f>IFERROR(__xludf.DUMMYFUNCTION("""COMPUTED_VALUE"""),"")</f>
        <v/>
      </c>
      <c r="H14506" s="42">
        <f t="shared" si="1"/>
        <v>3345</v>
      </c>
    </row>
    <row r="14507" ht="22.5" customHeight="1">
      <c r="B14507" s="42" t="str">
        <f>IFERROR(__xludf.DUMMYFUNCTION("""COMPUTED_VALUE"""),"")</f>
        <v/>
      </c>
      <c r="C14507" s="42" t="str">
        <f>IFERROR(__xludf.DUMMYFUNCTION("""COMPUTED_VALUE"""),"")</f>
        <v/>
      </c>
      <c r="D14507" s="42"/>
      <c r="E14507" s="42"/>
      <c r="F14507" s="48" t="str">
        <f>IFERROR(__xludf.DUMMYFUNCTION("""COMPUTED_VALUE"""),"")</f>
        <v/>
      </c>
      <c r="G14507" s="42" t="str">
        <f>IFERROR(__xludf.DUMMYFUNCTION("""COMPUTED_VALUE"""),"")</f>
        <v/>
      </c>
      <c r="H14507" s="42">
        <f t="shared" si="1"/>
        <v>3345</v>
      </c>
    </row>
    <row r="14508" ht="22.5" customHeight="1">
      <c r="B14508" s="42" t="str">
        <f>IFERROR(__xludf.DUMMYFUNCTION("""COMPUTED_VALUE"""),"")</f>
        <v/>
      </c>
      <c r="C14508" s="42" t="str">
        <f>IFERROR(__xludf.DUMMYFUNCTION("""COMPUTED_VALUE"""),"")</f>
        <v/>
      </c>
      <c r="D14508" s="42"/>
      <c r="E14508" s="42"/>
      <c r="F14508" s="48" t="str">
        <f>IFERROR(__xludf.DUMMYFUNCTION("""COMPUTED_VALUE"""),"")</f>
        <v/>
      </c>
      <c r="G14508" s="42" t="str">
        <f>IFERROR(__xludf.DUMMYFUNCTION("""COMPUTED_VALUE"""),"")</f>
        <v/>
      </c>
      <c r="H14508" s="42">
        <f t="shared" si="1"/>
        <v>3345</v>
      </c>
    </row>
    <row r="14509" ht="22.5" customHeight="1">
      <c r="B14509" s="42" t="str">
        <f>IFERROR(__xludf.DUMMYFUNCTION("""COMPUTED_VALUE"""),"")</f>
        <v/>
      </c>
      <c r="C14509" s="42" t="str">
        <f>IFERROR(__xludf.DUMMYFUNCTION("""COMPUTED_VALUE"""),"")</f>
        <v/>
      </c>
      <c r="D14509" s="42"/>
      <c r="E14509" s="42"/>
      <c r="F14509" s="48" t="str">
        <f>IFERROR(__xludf.DUMMYFUNCTION("""COMPUTED_VALUE"""),"")</f>
        <v/>
      </c>
      <c r="G14509" s="42" t="str">
        <f>IFERROR(__xludf.DUMMYFUNCTION("""COMPUTED_VALUE"""),"")</f>
        <v/>
      </c>
      <c r="H14509" s="42">
        <f t="shared" si="1"/>
        <v>3345</v>
      </c>
    </row>
    <row r="14510" ht="22.5" customHeight="1">
      <c r="B14510" s="42" t="str">
        <f>IFERROR(__xludf.DUMMYFUNCTION("""COMPUTED_VALUE"""),"")</f>
        <v/>
      </c>
      <c r="C14510" s="42" t="str">
        <f>IFERROR(__xludf.DUMMYFUNCTION("""COMPUTED_VALUE"""),"")</f>
        <v/>
      </c>
      <c r="D14510" s="42"/>
      <c r="E14510" s="42"/>
      <c r="F14510" s="48" t="str">
        <f>IFERROR(__xludf.DUMMYFUNCTION("""COMPUTED_VALUE"""),"")</f>
        <v/>
      </c>
      <c r="G14510" s="42" t="str">
        <f>IFERROR(__xludf.DUMMYFUNCTION("""COMPUTED_VALUE"""),"")</f>
        <v/>
      </c>
      <c r="H14510" s="42">
        <f t="shared" si="1"/>
        <v>3345</v>
      </c>
    </row>
    <row r="14511" ht="22.5" customHeight="1">
      <c r="B14511" s="42" t="str">
        <f>IFERROR(__xludf.DUMMYFUNCTION("""COMPUTED_VALUE"""),"")</f>
        <v/>
      </c>
      <c r="C14511" s="42" t="str">
        <f>IFERROR(__xludf.DUMMYFUNCTION("""COMPUTED_VALUE"""),"")</f>
        <v/>
      </c>
      <c r="D14511" s="42"/>
      <c r="E14511" s="42"/>
      <c r="F14511" s="48" t="str">
        <f>IFERROR(__xludf.DUMMYFUNCTION("""COMPUTED_VALUE"""),"")</f>
        <v/>
      </c>
      <c r="G14511" s="42" t="str">
        <f>IFERROR(__xludf.DUMMYFUNCTION("""COMPUTED_VALUE"""),"")</f>
        <v/>
      </c>
      <c r="H14511" s="42">
        <f t="shared" si="1"/>
        <v>3345</v>
      </c>
    </row>
    <row r="14512" ht="22.5" customHeight="1">
      <c r="B14512" s="42" t="str">
        <f>IFERROR(__xludf.DUMMYFUNCTION("""COMPUTED_VALUE"""),"")</f>
        <v/>
      </c>
      <c r="C14512" s="42" t="str">
        <f>IFERROR(__xludf.DUMMYFUNCTION("""COMPUTED_VALUE"""),"")</f>
        <v/>
      </c>
      <c r="D14512" s="42"/>
      <c r="E14512" s="42"/>
      <c r="F14512" s="48" t="str">
        <f>IFERROR(__xludf.DUMMYFUNCTION("""COMPUTED_VALUE"""),"")</f>
        <v/>
      </c>
      <c r="G14512" s="42" t="str">
        <f>IFERROR(__xludf.DUMMYFUNCTION("""COMPUTED_VALUE"""),"")</f>
        <v/>
      </c>
      <c r="H14512" s="42">
        <f t="shared" si="1"/>
        <v>3345</v>
      </c>
    </row>
    <row r="14513" ht="22.5" customHeight="1">
      <c r="B14513" s="42" t="str">
        <f>IFERROR(__xludf.DUMMYFUNCTION("""COMPUTED_VALUE"""),"")</f>
        <v/>
      </c>
      <c r="C14513" s="42" t="str">
        <f>IFERROR(__xludf.DUMMYFUNCTION("""COMPUTED_VALUE"""),"")</f>
        <v/>
      </c>
      <c r="D14513" s="42"/>
      <c r="E14513" s="42"/>
      <c r="F14513" s="48" t="str">
        <f>IFERROR(__xludf.DUMMYFUNCTION("""COMPUTED_VALUE"""),"")</f>
        <v/>
      </c>
      <c r="G14513" s="42" t="str">
        <f>IFERROR(__xludf.DUMMYFUNCTION("""COMPUTED_VALUE"""),"")</f>
        <v/>
      </c>
      <c r="H14513" s="42">
        <f t="shared" si="1"/>
        <v>3345</v>
      </c>
    </row>
    <row r="14514" ht="22.5" customHeight="1">
      <c r="B14514" s="42" t="str">
        <f>IFERROR(__xludf.DUMMYFUNCTION("""COMPUTED_VALUE"""),"")</f>
        <v/>
      </c>
      <c r="C14514" s="42" t="str">
        <f>IFERROR(__xludf.DUMMYFUNCTION("""COMPUTED_VALUE"""),"")</f>
        <v/>
      </c>
      <c r="D14514" s="42"/>
      <c r="E14514" s="42"/>
      <c r="F14514" s="48" t="str">
        <f>IFERROR(__xludf.DUMMYFUNCTION("""COMPUTED_VALUE"""),"")</f>
        <v/>
      </c>
      <c r="G14514" s="42" t="str">
        <f>IFERROR(__xludf.DUMMYFUNCTION("""COMPUTED_VALUE"""),"")</f>
        <v/>
      </c>
      <c r="H14514" s="42">
        <f t="shared" si="1"/>
        <v>3345</v>
      </c>
    </row>
    <row r="14515" ht="22.5" customHeight="1">
      <c r="B14515" s="42" t="str">
        <f>IFERROR(__xludf.DUMMYFUNCTION("""COMPUTED_VALUE"""),"")</f>
        <v/>
      </c>
      <c r="C14515" s="42" t="str">
        <f>IFERROR(__xludf.DUMMYFUNCTION("""COMPUTED_VALUE"""),"")</f>
        <v/>
      </c>
      <c r="D14515" s="42"/>
      <c r="E14515" s="42"/>
      <c r="F14515" s="48" t="str">
        <f>IFERROR(__xludf.DUMMYFUNCTION("""COMPUTED_VALUE"""),"")</f>
        <v/>
      </c>
      <c r="G14515" s="42" t="str">
        <f>IFERROR(__xludf.DUMMYFUNCTION("""COMPUTED_VALUE"""),"")</f>
        <v/>
      </c>
      <c r="H14515" s="42">
        <f t="shared" si="1"/>
        <v>3345</v>
      </c>
    </row>
    <row r="14516" ht="22.5" customHeight="1">
      <c r="B14516" s="42" t="str">
        <f>IFERROR(__xludf.DUMMYFUNCTION("""COMPUTED_VALUE"""),"")</f>
        <v/>
      </c>
      <c r="C14516" s="42" t="str">
        <f>IFERROR(__xludf.DUMMYFUNCTION("""COMPUTED_VALUE"""),"")</f>
        <v/>
      </c>
      <c r="D14516" s="42"/>
      <c r="E14516" s="42"/>
      <c r="F14516" s="48" t="str">
        <f>IFERROR(__xludf.DUMMYFUNCTION("""COMPUTED_VALUE"""),"")</f>
        <v/>
      </c>
      <c r="G14516" s="42" t="str">
        <f>IFERROR(__xludf.DUMMYFUNCTION("""COMPUTED_VALUE"""),"")</f>
        <v/>
      </c>
      <c r="H14516" s="42">
        <f t="shared" si="1"/>
        <v>3345</v>
      </c>
    </row>
    <row r="14517" ht="22.5" customHeight="1">
      <c r="B14517" s="42" t="str">
        <f>IFERROR(__xludf.DUMMYFUNCTION("""COMPUTED_VALUE"""),"")</f>
        <v/>
      </c>
      <c r="C14517" s="42" t="str">
        <f>IFERROR(__xludf.DUMMYFUNCTION("""COMPUTED_VALUE"""),"")</f>
        <v/>
      </c>
      <c r="D14517" s="42"/>
      <c r="E14517" s="42"/>
      <c r="F14517" s="48" t="str">
        <f>IFERROR(__xludf.DUMMYFUNCTION("""COMPUTED_VALUE"""),"")</f>
        <v/>
      </c>
      <c r="G14517" s="42" t="str">
        <f>IFERROR(__xludf.DUMMYFUNCTION("""COMPUTED_VALUE"""),"")</f>
        <v/>
      </c>
      <c r="H14517" s="42">
        <f t="shared" si="1"/>
        <v>3345</v>
      </c>
    </row>
    <row r="14518" ht="22.5" customHeight="1">
      <c r="B14518" s="42" t="str">
        <f>IFERROR(__xludf.DUMMYFUNCTION("""COMPUTED_VALUE"""),"")</f>
        <v/>
      </c>
      <c r="C14518" s="42" t="str">
        <f>IFERROR(__xludf.DUMMYFUNCTION("""COMPUTED_VALUE"""),"")</f>
        <v/>
      </c>
      <c r="D14518" s="42"/>
      <c r="E14518" s="42"/>
      <c r="F14518" s="48" t="str">
        <f>IFERROR(__xludf.DUMMYFUNCTION("""COMPUTED_VALUE"""),"")</f>
        <v/>
      </c>
      <c r="G14518" s="42" t="str">
        <f>IFERROR(__xludf.DUMMYFUNCTION("""COMPUTED_VALUE"""),"")</f>
        <v/>
      </c>
      <c r="H14518" s="42">
        <f t="shared" si="1"/>
        <v>3345</v>
      </c>
    </row>
    <row r="14519" ht="22.5" customHeight="1">
      <c r="B14519" s="42" t="str">
        <f>IFERROR(__xludf.DUMMYFUNCTION("""COMPUTED_VALUE"""),"")</f>
        <v/>
      </c>
      <c r="C14519" s="42" t="str">
        <f>IFERROR(__xludf.DUMMYFUNCTION("""COMPUTED_VALUE"""),"")</f>
        <v/>
      </c>
      <c r="D14519" s="42"/>
      <c r="E14519" s="42"/>
      <c r="F14519" s="48" t="str">
        <f>IFERROR(__xludf.DUMMYFUNCTION("""COMPUTED_VALUE"""),"")</f>
        <v/>
      </c>
      <c r="G14519" s="42" t="str">
        <f>IFERROR(__xludf.DUMMYFUNCTION("""COMPUTED_VALUE"""),"")</f>
        <v/>
      </c>
      <c r="H14519" s="42">
        <f t="shared" si="1"/>
        <v>3345</v>
      </c>
    </row>
    <row r="14520" ht="22.5" customHeight="1">
      <c r="B14520" s="42" t="str">
        <f>IFERROR(__xludf.DUMMYFUNCTION("""COMPUTED_VALUE"""),"")</f>
        <v/>
      </c>
      <c r="C14520" s="42" t="str">
        <f>IFERROR(__xludf.DUMMYFUNCTION("""COMPUTED_VALUE"""),"")</f>
        <v/>
      </c>
      <c r="D14520" s="42"/>
      <c r="E14520" s="42"/>
      <c r="F14520" s="48" t="str">
        <f>IFERROR(__xludf.DUMMYFUNCTION("""COMPUTED_VALUE"""),"")</f>
        <v/>
      </c>
      <c r="G14520" s="42" t="str">
        <f>IFERROR(__xludf.DUMMYFUNCTION("""COMPUTED_VALUE"""),"")</f>
        <v/>
      </c>
      <c r="H14520" s="42">
        <f t="shared" si="1"/>
        <v>3345</v>
      </c>
    </row>
    <row r="14521" ht="22.5" customHeight="1">
      <c r="B14521" s="42" t="str">
        <f>IFERROR(__xludf.DUMMYFUNCTION("""COMPUTED_VALUE"""),"")</f>
        <v/>
      </c>
      <c r="C14521" s="42" t="str">
        <f>IFERROR(__xludf.DUMMYFUNCTION("""COMPUTED_VALUE"""),"")</f>
        <v/>
      </c>
      <c r="D14521" s="42"/>
      <c r="E14521" s="42"/>
      <c r="F14521" s="48" t="str">
        <f>IFERROR(__xludf.DUMMYFUNCTION("""COMPUTED_VALUE"""),"")</f>
        <v/>
      </c>
      <c r="G14521" s="42" t="str">
        <f>IFERROR(__xludf.DUMMYFUNCTION("""COMPUTED_VALUE"""),"")</f>
        <v/>
      </c>
      <c r="H14521" s="42">
        <f t="shared" si="1"/>
        <v>3345</v>
      </c>
    </row>
    <row r="14522" ht="22.5" customHeight="1">
      <c r="B14522" s="42" t="str">
        <f>IFERROR(__xludf.DUMMYFUNCTION("""COMPUTED_VALUE"""),"")</f>
        <v/>
      </c>
      <c r="C14522" s="42" t="str">
        <f>IFERROR(__xludf.DUMMYFUNCTION("""COMPUTED_VALUE"""),"")</f>
        <v/>
      </c>
      <c r="D14522" s="42"/>
      <c r="E14522" s="42"/>
      <c r="F14522" s="48" t="str">
        <f>IFERROR(__xludf.DUMMYFUNCTION("""COMPUTED_VALUE"""),"")</f>
        <v/>
      </c>
      <c r="G14522" s="42" t="str">
        <f>IFERROR(__xludf.DUMMYFUNCTION("""COMPUTED_VALUE"""),"")</f>
        <v/>
      </c>
      <c r="H14522" s="42">
        <f t="shared" si="1"/>
        <v>3345</v>
      </c>
    </row>
    <row r="14523" ht="22.5" customHeight="1">
      <c r="B14523" s="42" t="str">
        <f>IFERROR(__xludf.DUMMYFUNCTION("""COMPUTED_VALUE"""),"")</f>
        <v/>
      </c>
      <c r="C14523" s="42" t="str">
        <f>IFERROR(__xludf.DUMMYFUNCTION("""COMPUTED_VALUE"""),"")</f>
        <v/>
      </c>
      <c r="D14523" s="42"/>
      <c r="E14523" s="42"/>
      <c r="F14523" s="48" t="str">
        <f>IFERROR(__xludf.DUMMYFUNCTION("""COMPUTED_VALUE"""),"")</f>
        <v/>
      </c>
      <c r="G14523" s="42" t="str">
        <f>IFERROR(__xludf.DUMMYFUNCTION("""COMPUTED_VALUE"""),"")</f>
        <v/>
      </c>
      <c r="H14523" s="42">
        <f t="shared" si="1"/>
        <v>3345</v>
      </c>
    </row>
    <row r="14524" ht="22.5" customHeight="1">
      <c r="B14524" s="42" t="str">
        <f>IFERROR(__xludf.DUMMYFUNCTION("""COMPUTED_VALUE"""),"")</f>
        <v/>
      </c>
      <c r="C14524" s="42" t="str">
        <f>IFERROR(__xludf.DUMMYFUNCTION("""COMPUTED_VALUE"""),"")</f>
        <v/>
      </c>
      <c r="D14524" s="42"/>
      <c r="E14524" s="42"/>
      <c r="F14524" s="48" t="str">
        <f>IFERROR(__xludf.DUMMYFUNCTION("""COMPUTED_VALUE"""),"")</f>
        <v/>
      </c>
      <c r="G14524" s="42" t="str">
        <f>IFERROR(__xludf.DUMMYFUNCTION("""COMPUTED_VALUE"""),"")</f>
        <v/>
      </c>
      <c r="H14524" s="42">
        <f t="shared" si="1"/>
        <v>3345</v>
      </c>
    </row>
    <row r="14525" ht="22.5" customHeight="1">
      <c r="B14525" s="42" t="str">
        <f>IFERROR(__xludf.DUMMYFUNCTION("""COMPUTED_VALUE"""),"")</f>
        <v/>
      </c>
      <c r="C14525" s="42" t="str">
        <f>IFERROR(__xludf.DUMMYFUNCTION("""COMPUTED_VALUE"""),"")</f>
        <v/>
      </c>
      <c r="D14525" s="42"/>
      <c r="E14525" s="42"/>
      <c r="F14525" s="48" t="str">
        <f>IFERROR(__xludf.DUMMYFUNCTION("""COMPUTED_VALUE"""),"")</f>
        <v/>
      </c>
      <c r="G14525" s="42" t="str">
        <f>IFERROR(__xludf.DUMMYFUNCTION("""COMPUTED_VALUE"""),"")</f>
        <v/>
      </c>
      <c r="H14525" s="42">
        <f t="shared" si="1"/>
        <v>3345</v>
      </c>
    </row>
    <row r="14526" ht="22.5" customHeight="1">
      <c r="B14526" s="42" t="str">
        <f>IFERROR(__xludf.DUMMYFUNCTION("""COMPUTED_VALUE"""),"")</f>
        <v/>
      </c>
      <c r="C14526" s="42" t="str">
        <f>IFERROR(__xludf.DUMMYFUNCTION("""COMPUTED_VALUE"""),"")</f>
        <v/>
      </c>
      <c r="D14526" s="42"/>
      <c r="E14526" s="42"/>
      <c r="F14526" s="48" t="str">
        <f>IFERROR(__xludf.DUMMYFUNCTION("""COMPUTED_VALUE"""),"")</f>
        <v/>
      </c>
      <c r="G14526" s="42" t="str">
        <f>IFERROR(__xludf.DUMMYFUNCTION("""COMPUTED_VALUE"""),"")</f>
        <v/>
      </c>
      <c r="H14526" s="42">
        <f t="shared" si="1"/>
        <v>3345</v>
      </c>
    </row>
    <row r="14527" ht="22.5" customHeight="1">
      <c r="B14527" s="42" t="str">
        <f>IFERROR(__xludf.DUMMYFUNCTION("""COMPUTED_VALUE"""),"")</f>
        <v/>
      </c>
      <c r="C14527" s="42" t="str">
        <f>IFERROR(__xludf.DUMMYFUNCTION("""COMPUTED_VALUE"""),"")</f>
        <v/>
      </c>
      <c r="D14527" s="42"/>
      <c r="E14527" s="42"/>
      <c r="F14527" s="48" t="str">
        <f>IFERROR(__xludf.DUMMYFUNCTION("""COMPUTED_VALUE"""),"")</f>
        <v/>
      </c>
      <c r="G14527" s="42" t="str">
        <f>IFERROR(__xludf.DUMMYFUNCTION("""COMPUTED_VALUE"""),"")</f>
        <v/>
      </c>
      <c r="H14527" s="42">
        <f t="shared" si="1"/>
        <v>3345</v>
      </c>
    </row>
    <row r="14528" ht="22.5" customHeight="1">
      <c r="B14528" s="42" t="str">
        <f>IFERROR(__xludf.DUMMYFUNCTION("""COMPUTED_VALUE"""),"")</f>
        <v/>
      </c>
      <c r="C14528" s="42" t="str">
        <f>IFERROR(__xludf.DUMMYFUNCTION("""COMPUTED_VALUE"""),"")</f>
        <v/>
      </c>
      <c r="D14528" s="42"/>
      <c r="E14528" s="42"/>
      <c r="F14528" s="48" t="str">
        <f>IFERROR(__xludf.DUMMYFUNCTION("""COMPUTED_VALUE"""),"")</f>
        <v/>
      </c>
      <c r="G14528" s="42" t="str">
        <f>IFERROR(__xludf.DUMMYFUNCTION("""COMPUTED_VALUE"""),"")</f>
        <v/>
      </c>
      <c r="H14528" s="42">
        <f t="shared" si="1"/>
        <v>3345</v>
      </c>
    </row>
    <row r="14529" ht="22.5" customHeight="1">
      <c r="B14529" s="42" t="str">
        <f>IFERROR(__xludf.DUMMYFUNCTION("""COMPUTED_VALUE"""),"")</f>
        <v/>
      </c>
      <c r="C14529" s="42" t="str">
        <f>IFERROR(__xludf.DUMMYFUNCTION("""COMPUTED_VALUE"""),"")</f>
        <v/>
      </c>
      <c r="D14529" s="42"/>
      <c r="E14529" s="42"/>
      <c r="F14529" s="48" t="str">
        <f>IFERROR(__xludf.DUMMYFUNCTION("""COMPUTED_VALUE"""),"")</f>
        <v/>
      </c>
      <c r="G14529" s="42" t="str">
        <f>IFERROR(__xludf.DUMMYFUNCTION("""COMPUTED_VALUE"""),"")</f>
        <v/>
      </c>
      <c r="H14529" s="42">
        <f t="shared" si="1"/>
        <v>3345</v>
      </c>
    </row>
    <row r="14530" ht="22.5" customHeight="1">
      <c r="B14530" s="42" t="str">
        <f>IFERROR(__xludf.DUMMYFUNCTION("""COMPUTED_VALUE"""),"")</f>
        <v/>
      </c>
      <c r="C14530" s="42" t="str">
        <f>IFERROR(__xludf.DUMMYFUNCTION("""COMPUTED_VALUE"""),"")</f>
        <v/>
      </c>
      <c r="D14530" s="42"/>
      <c r="E14530" s="42"/>
      <c r="F14530" s="48" t="str">
        <f>IFERROR(__xludf.DUMMYFUNCTION("""COMPUTED_VALUE"""),"")</f>
        <v/>
      </c>
      <c r="G14530" s="42" t="str">
        <f>IFERROR(__xludf.DUMMYFUNCTION("""COMPUTED_VALUE"""),"")</f>
        <v/>
      </c>
      <c r="H14530" s="42">
        <f t="shared" si="1"/>
        <v>3345</v>
      </c>
    </row>
    <row r="14531" ht="22.5" customHeight="1">
      <c r="B14531" s="42" t="str">
        <f>IFERROR(__xludf.DUMMYFUNCTION("""COMPUTED_VALUE"""),"")</f>
        <v/>
      </c>
      <c r="C14531" s="42" t="str">
        <f>IFERROR(__xludf.DUMMYFUNCTION("""COMPUTED_VALUE"""),"")</f>
        <v/>
      </c>
      <c r="D14531" s="42"/>
      <c r="E14531" s="42"/>
      <c r="F14531" s="48" t="str">
        <f>IFERROR(__xludf.DUMMYFUNCTION("""COMPUTED_VALUE"""),"")</f>
        <v/>
      </c>
      <c r="G14531" s="42" t="str">
        <f>IFERROR(__xludf.DUMMYFUNCTION("""COMPUTED_VALUE"""),"")</f>
        <v/>
      </c>
      <c r="H14531" s="42">
        <f t="shared" si="1"/>
        <v>3345</v>
      </c>
    </row>
    <row r="14532" ht="22.5" customHeight="1">
      <c r="B14532" s="42" t="str">
        <f>IFERROR(__xludf.DUMMYFUNCTION("""COMPUTED_VALUE"""),"")</f>
        <v/>
      </c>
      <c r="C14532" s="42" t="str">
        <f>IFERROR(__xludf.DUMMYFUNCTION("""COMPUTED_VALUE"""),"")</f>
        <v/>
      </c>
      <c r="D14532" s="42"/>
      <c r="E14532" s="42"/>
      <c r="F14532" s="48" t="str">
        <f>IFERROR(__xludf.DUMMYFUNCTION("""COMPUTED_VALUE"""),"")</f>
        <v/>
      </c>
      <c r="G14532" s="42" t="str">
        <f>IFERROR(__xludf.DUMMYFUNCTION("""COMPUTED_VALUE"""),"")</f>
        <v/>
      </c>
      <c r="H14532" s="42">
        <f t="shared" si="1"/>
        <v>3345</v>
      </c>
    </row>
    <row r="14533" ht="22.5" customHeight="1">
      <c r="B14533" s="42" t="str">
        <f>IFERROR(__xludf.DUMMYFUNCTION("""COMPUTED_VALUE"""),"")</f>
        <v/>
      </c>
      <c r="C14533" s="42" t="str">
        <f>IFERROR(__xludf.DUMMYFUNCTION("""COMPUTED_VALUE"""),"")</f>
        <v/>
      </c>
      <c r="D14533" s="42"/>
      <c r="E14533" s="42"/>
      <c r="F14533" s="48" t="str">
        <f>IFERROR(__xludf.DUMMYFUNCTION("""COMPUTED_VALUE"""),"")</f>
        <v/>
      </c>
      <c r="G14533" s="42" t="str">
        <f>IFERROR(__xludf.DUMMYFUNCTION("""COMPUTED_VALUE"""),"")</f>
        <v/>
      </c>
      <c r="H14533" s="42">
        <f t="shared" si="1"/>
        <v>3345</v>
      </c>
    </row>
    <row r="14534" ht="22.5" customHeight="1">
      <c r="B14534" s="42" t="str">
        <f>IFERROR(__xludf.DUMMYFUNCTION("""COMPUTED_VALUE"""),"")</f>
        <v/>
      </c>
      <c r="C14534" s="42" t="str">
        <f>IFERROR(__xludf.DUMMYFUNCTION("""COMPUTED_VALUE"""),"")</f>
        <v/>
      </c>
      <c r="D14534" s="42"/>
      <c r="E14534" s="42"/>
      <c r="F14534" s="48" t="str">
        <f>IFERROR(__xludf.DUMMYFUNCTION("""COMPUTED_VALUE"""),"")</f>
        <v/>
      </c>
      <c r="G14534" s="42" t="str">
        <f>IFERROR(__xludf.DUMMYFUNCTION("""COMPUTED_VALUE"""),"")</f>
        <v/>
      </c>
      <c r="H14534" s="42">
        <f t="shared" si="1"/>
        <v>3345</v>
      </c>
    </row>
    <row r="14535" ht="22.5" customHeight="1">
      <c r="B14535" s="42" t="str">
        <f>IFERROR(__xludf.DUMMYFUNCTION("""COMPUTED_VALUE"""),"")</f>
        <v/>
      </c>
      <c r="C14535" s="42" t="str">
        <f>IFERROR(__xludf.DUMMYFUNCTION("""COMPUTED_VALUE"""),"")</f>
        <v/>
      </c>
      <c r="D14535" s="42"/>
      <c r="E14535" s="42"/>
      <c r="F14535" s="48" t="str">
        <f>IFERROR(__xludf.DUMMYFUNCTION("""COMPUTED_VALUE"""),"")</f>
        <v/>
      </c>
      <c r="G14535" s="42" t="str">
        <f>IFERROR(__xludf.DUMMYFUNCTION("""COMPUTED_VALUE"""),"")</f>
        <v/>
      </c>
      <c r="H14535" s="42">
        <f t="shared" si="1"/>
        <v>3345</v>
      </c>
    </row>
    <row r="14536" ht="22.5" customHeight="1">
      <c r="B14536" s="42" t="str">
        <f>IFERROR(__xludf.DUMMYFUNCTION("""COMPUTED_VALUE"""),"")</f>
        <v/>
      </c>
      <c r="C14536" s="42" t="str">
        <f>IFERROR(__xludf.DUMMYFUNCTION("""COMPUTED_VALUE"""),"")</f>
        <v/>
      </c>
      <c r="D14536" s="42"/>
      <c r="E14536" s="42"/>
      <c r="F14536" s="48" t="str">
        <f>IFERROR(__xludf.DUMMYFUNCTION("""COMPUTED_VALUE"""),"")</f>
        <v/>
      </c>
      <c r="G14536" s="42" t="str">
        <f>IFERROR(__xludf.DUMMYFUNCTION("""COMPUTED_VALUE"""),"")</f>
        <v/>
      </c>
      <c r="H14536" s="42">
        <f t="shared" si="1"/>
        <v>3345</v>
      </c>
    </row>
    <row r="14537" ht="22.5" customHeight="1">
      <c r="B14537" s="42" t="str">
        <f>IFERROR(__xludf.DUMMYFUNCTION("""COMPUTED_VALUE"""),"")</f>
        <v/>
      </c>
      <c r="C14537" s="42" t="str">
        <f>IFERROR(__xludf.DUMMYFUNCTION("""COMPUTED_VALUE"""),"")</f>
        <v/>
      </c>
      <c r="D14537" s="42"/>
      <c r="E14537" s="42"/>
      <c r="F14537" s="48" t="str">
        <f>IFERROR(__xludf.DUMMYFUNCTION("""COMPUTED_VALUE"""),"")</f>
        <v/>
      </c>
      <c r="G14537" s="42" t="str">
        <f>IFERROR(__xludf.DUMMYFUNCTION("""COMPUTED_VALUE"""),"")</f>
        <v/>
      </c>
      <c r="H14537" s="42">
        <f t="shared" si="1"/>
        <v>3345</v>
      </c>
    </row>
    <row r="14538" ht="22.5" customHeight="1">
      <c r="B14538" s="42" t="str">
        <f>IFERROR(__xludf.DUMMYFUNCTION("""COMPUTED_VALUE"""),"")</f>
        <v/>
      </c>
      <c r="C14538" s="42" t="str">
        <f>IFERROR(__xludf.DUMMYFUNCTION("""COMPUTED_VALUE"""),"")</f>
        <v/>
      </c>
      <c r="D14538" s="42"/>
      <c r="E14538" s="42"/>
      <c r="F14538" s="48" t="str">
        <f>IFERROR(__xludf.DUMMYFUNCTION("""COMPUTED_VALUE"""),"")</f>
        <v/>
      </c>
      <c r="G14538" s="42" t="str">
        <f>IFERROR(__xludf.DUMMYFUNCTION("""COMPUTED_VALUE"""),"")</f>
        <v/>
      </c>
      <c r="H14538" s="42">
        <f t="shared" si="1"/>
        <v>3345</v>
      </c>
    </row>
    <row r="14539" ht="22.5" customHeight="1">
      <c r="B14539" s="42" t="str">
        <f>IFERROR(__xludf.DUMMYFUNCTION("""COMPUTED_VALUE"""),"")</f>
        <v/>
      </c>
      <c r="C14539" s="42" t="str">
        <f>IFERROR(__xludf.DUMMYFUNCTION("""COMPUTED_VALUE"""),"")</f>
        <v/>
      </c>
      <c r="D14539" s="42"/>
      <c r="E14539" s="42"/>
      <c r="F14539" s="48" t="str">
        <f>IFERROR(__xludf.DUMMYFUNCTION("""COMPUTED_VALUE"""),"")</f>
        <v/>
      </c>
      <c r="G14539" s="42" t="str">
        <f>IFERROR(__xludf.DUMMYFUNCTION("""COMPUTED_VALUE"""),"")</f>
        <v/>
      </c>
      <c r="H14539" s="42">
        <f t="shared" si="1"/>
        <v>3345</v>
      </c>
    </row>
    <row r="14540" ht="22.5" customHeight="1">
      <c r="B14540" s="42" t="str">
        <f>IFERROR(__xludf.DUMMYFUNCTION("""COMPUTED_VALUE"""),"")</f>
        <v/>
      </c>
      <c r="C14540" s="42" t="str">
        <f>IFERROR(__xludf.DUMMYFUNCTION("""COMPUTED_VALUE"""),"")</f>
        <v/>
      </c>
      <c r="D14540" s="42"/>
      <c r="E14540" s="42"/>
      <c r="F14540" s="48" t="str">
        <f>IFERROR(__xludf.DUMMYFUNCTION("""COMPUTED_VALUE"""),"")</f>
        <v/>
      </c>
      <c r="G14540" s="42" t="str">
        <f>IFERROR(__xludf.DUMMYFUNCTION("""COMPUTED_VALUE"""),"")</f>
        <v/>
      </c>
      <c r="H14540" s="42">
        <f t="shared" si="1"/>
        <v>3345</v>
      </c>
    </row>
    <row r="14541" ht="22.5" customHeight="1">
      <c r="B14541" s="42" t="str">
        <f>IFERROR(__xludf.DUMMYFUNCTION("""COMPUTED_VALUE"""),"")</f>
        <v/>
      </c>
      <c r="C14541" s="42" t="str">
        <f>IFERROR(__xludf.DUMMYFUNCTION("""COMPUTED_VALUE"""),"")</f>
        <v/>
      </c>
      <c r="D14541" s="42"/>
      <c r="E14541" s="42"/>
      <c r="F14541" s="48" t="str">
        <f>IFERROR(__xludf.DUMMYFUNCTION("""COMPUTED_VALUE"""),"")</f>
        <v/>
      </c>
      <c r="G14541" s="42" t="str">
        <f>IFERROR(__xludf.DUMMYFUNCTION("""COMPUTED_VALUE"""),"")</f>
        <v/>
      </c>
      <c r="H14541" s="42">
        <f t="shared" si="1"/>
        <v>3345</v>
      </c>
    </row>
    <row r="14542" ht="22.5" customHeight="1">
      <c r="B14542" s="42" t="str">
        <f>IFERROR(__xludf.DUMMYFUNCTION("""COMPUTED_VALUE"""),"")</f>
        <v/>
      </c>
      <c r="C14542" s="42" t="str">
        <f>IFERROR(__xludf.DUMMYFUNCTION("""COMPUTED_VALUE"""),"")</f>
        <v/>
      </c>
      <c r="D14542" s="42"/>
      <c r="E14542" s="42"/>
      <c r="F14542" s="48" t="str">
        <f>IFERROR(__xludf.DUMMYFUNCTION("""COMPUTED_VALUE"""),"")</f>
        <v/>
      </c>
      <c r="G14542" s="42" t="str">
        <f>IFERROR(__xludf.DUMMYFUNCTION("""COMPUTED_VALUE"""),"")</f>
        <v/>
      </c>
      <c r="H14542" s="42">
        <f t="shared" si="1"/>
        <v>3345</v>
      </c>
    </row>
    <row r="14543" ht="22.5" customHeight="1">
      <c r="B14543" s="42" t="str">
        <f>IFERROR(__xludf.DUMMYFUNCTION("""COMPUTED_VALUE"""),"")</f>
        <v/>
      </c>
      <c r="C14543" s="42" t="str">
        <f>IFERROR(__xludf.DUMMYFUNCTION("""COMPUTED_VALUE"""),"")</f>
        <v/>
      </c>
      <c r="D14543" s="42"/>
      <c r="E14543" s="42"/>
      <c r="F14543" s="48" t="str">
        <f>IFERROR(__xludf.DUMMYFUNCTION("""COMPUTED_VALUE"""),"")</f>
        <v/>
      </c>
      <c r="G14543" s="42" t="str">
        <f>IFERROR(__xludf.DUMMYFUNCTION("""COMPUTED_VALUE"""),"")</f>
        <v/>
      </c>
      <c r="H14543" s="42">
        <f t="shared" si="1"/>
        <v>3345</v>
      </c>
    </row>
    <row r="14544" ht="22.5" customHeight="1">
      <c r="B14544" s="42" t="str">
        <f>IFERROR(__xludf.DUMMYFUNCTION("""COMPUTED_VALUE"""),"")</f>
        <v/>
      </c>
      <c r="C14544" s="42" t="str">
        <f>IFERROR(__xludf.DUMMYFUNCTION("""COMPUTED_VALUE"""),"")</f>
        <v/>
      </c>
      <c r="D14544" s="42"/>
      <c r="E14544" s="42"/>
      <c r="F14544" s="48" t="str">
        <f>IFERROR(__xludf.DUMMYFUNCTION("""COMPUTED_VALUE"""),"")</f>
        <v/>
      </c>
      <c r="G14544" s="42" t="str">
        <f>IFERROR(__xludf.DUMMYFUNCTION("""COMPUTED_VALUE"""),"")</f>
        <v/>
      </c>
      <c r="H14544" s="42">
        <f t="shared" si="1"/>
        <v>3345</v>
      </c>
    </row>
    <row r="14545" ht="22.5" customHeight="1">
      <c r="B14545" s="42" t="str">
        <f>IFERROR(__xludf.DUMMYFUNCTION("""COMPUTED_VALUE"""),"")</f>
        <v/>
      </c>
      <c r="C14545" s="42" t="str">
        <f>IFERROR(__xludf.DUMMYFUNCTION("""COMPUTED_VALUE"""),"")</f>
        <v/>
      </c>
      <c r="D14545" s="42"/>
      <c r="E14545" s="42"/>
      <c r="F14545" s="48" t="str">
        <f>IFERROR(__xludf.DUMMYFUNCTION("""COMPUTED_VALUE"""),"")</f>
        <v/>
      </c>
      <c r="G14545" s="42" t="str">
        <f>IFERROR(__xludf.DUMMYFUNCTION("""COMPUTED_VALUE"""),"")</f>
        <v/>
      </c>
      <c r="H14545" s="42">
        <f t="shared" si="1"/>
        <v>3345</v>
      </c>
    </row>
    <row r="14546" ht="22.5" customHeight="1">
      <c r="B14546" s="42" t="str">
        <f>IFERROR(__xludf.DUMMYFUNCTION("""COMPUTED_VALUE"""),"")</f>
        <v/>
      </c>
      <c r="C14546" s="42" t="str">
        <f>IFERROR(__xludf.DUMMYFUNCTION("""COMPUTED_VALUE"""),"")</f>
        <v/>
      </c>
      <c r="D14546" s="42"/>
      <c r="E14546" s="42"/>
      <c r="F14546" s="48" t="str">
        <f>IFERROR(__xludf.DUMMYFUNCTION("""COMPUTED_VALUE"""),"")</f>
        <v/>
      </c>
      <c r="G14546" s="42" t="str">
        <f>IFERROR(__xludf.DUMMYFUNCTION("""COMPUTED_VALUE"""),"")</f>
        <v/>
      </c>
      <c r="H14546" s="42">
        <f t="shared" si="1"/>
        <v>3345</v>
      </c>
    </row>
    <row r="14547" ht="22.5" customHeight="1">
      <c r="B14547" s="42" t="str">
        <f>IFERROR(__xludf.DUMMYFUNCTION("""COMPUTED_VALUE"""),"")</f>
        <v/>
      </c>
      <c r="C14547" s="42" t="str">
        <f>IFERROR(__xludf.DUMMYFUNCTION("""COMPUTED_VALUE"""),"")</f>
        <v/>
      </c>
      <c r="D14547" s="42"/>
      <c r="E14547" s="42"/>
      <c r="F14547" s="48" t="str">
        <f>IFERROR(__xludf.DUMMYFUNCTION("""COMPUTED_VALUE"""),"")</f>
        <v/>
      </c>
      <c r="G14547" s="42" t="str">
        <f>IFERROR(__xludf.DUMMYFUNCTION("""COMPUTED_VALUE"""),"")</f>
        <v/>
      </c>
      <c r="H14547" s="42">
        <f t="shared" si="1"/>
        <v>3345</v>
      </c>
    </row>
    <row r="14548" ht="22.5" customHeight="1">
      <c r="B14548" s="42" t="str">
        <f>IFERROR(__xludf.DUMMYFUNCTION("""COMPUTED_VALUE"""),"")</f>
        <v/>
      </c>
      <c r="C14548" s="42" t="str">
        <f>IFERROR(__xludf.DUMMYFUNCTION("""COMPUTED_VALUE"""),"")</f>
        <v/>
      </c>
      <c r="D14548" s="42"/>
      <c r="E14548" s="42"/>
      <c r="F14548" s="48" t="str">
        <f>IFERROR(__xludf.DUMMYFUNCTION("""COMPUTED_VALUE"""),"")</f>
        <v/>
      </c>
      <c r="G14548" s="42" t="str">
        <f>IFERROR(__xludf.DUMMYFUNCTION("""COMPUTED_VALUE"""),"")</f>
        <v/>
      </c>
      <c r="H14548" s="42">
        <f t="shared" si="1"/>
        <v>3345</v>
      </c>
    </row>
    <row r="14549" ht="22.5" customHeight="1">
      <c r="B14549" s="42" t="str">
        <f>IFERROR(__xludf.DUMMYFUNCTION("""COMPUTED_VALUE"""),"")</f>
        <v/>
      </c>
      <c r="C14549" s="42" t="str">
        <f>IFERROR(__xludf.DUMMYFUNCTION("""COMPUTED_VALUE"""),"")</f>
        <v/>
      </c>
      <c r="D14549" s="42"/>
      <c r="E14549" s="42"/>
      <c r="F14549" s="48" t="str">
        <f>IFERROR(__xludf.DUMMYFUNCTION("""COMPUTED_VALUE"""),"")</f>
        <v/>
      </c>
      <c r="G14549" s="42" t="str">
        <f>IFERROR(__xludf.DUMMYFUNCTION("""COMPUTED_VALUE"""),"")</f>
        <v/>
      </c>
      <c r="H14549" s="42">
        <f t="shared" si="1"/>
        <v>3345</v>
      </c>
    </row>
    <row r="14550" ht="22.5" customHeight="1">
      <c r="B14550" s="42" t="str">
        <f>IFERROR(__xludf.DUMMYFUNCTION("""COMPUTED_VALUE"""),"")</f>
        <v/>
      </c>
      <c r="C14550" s="42" t="str">
        <f>IFERROR(__xludf.DUMMYFUNCTION("""COMPUTED_VALUE"""),"")</f>
        <v/>
      </c>
      <c r="D14550" s="42"/>
      <c r="E14550" s="42"/>
      <c r="F14550" s="48" t="str">
        <f>IFERROR(__xludf.DUMMYFUNCTION("""COMPUTED_VALUE"""),"")</f>
        <v/>
      </c>
      <c r="G14550" s="42" t="str">
        <f>IFERROR(__xludf.DUMMYFUNCTION("""COMPUTED_VALUE"""),"")</f>
        <v/>
      </c>
      <c r="H14550" s="42">
        <f t="shared" si="1"/>
        <v>3345</v>
      </c>
    </row>
    <row r="14551" ht="22.5" customHeight="1">
      <c r="B14551" s="42" t="str">
        <f>IFERROR(__xludf.DUMMYFUNCTION("""COMPUTED_VALUE"""),"")</f>
        <v/>
      </c>
      <c r="C14551" s="42" t="str">
        <f>IFERROR(__xludf.DUMMYFUNCTION("""COMPUTED_VALUE"""),"")</f>
        <v/>
      </c>
      <c r="D14551" s="42"/>
      <c r="E14551" s="42"/>
      <c r="F14551" s="48" t="str">
        <f>IFERROR(__xludf.DUMMYFUNCTION("""COMPUTED_VALUE"""),"")</f>
        <v/>
      </c>
      <c r="G14551" s="42" t="str">
        <f>IFERROR(__xludf.DUMMYFUNCTION("""COMPUTED_VALUE"""),"")</f>
        <v/>
      </c>
      <c r="H14551" s="42">
        <f t="shared" si="1"/>
        <v>3345</v>
      </c>
    </row>
    <row r="14552" ht="22.5" customHeight="1">
      <c r="B14552" s="42" t="str">
        <f>IFERROR(__xludf.DUMMYFUNCTION("""COMPUTED_VALUE"""),"")</f>
        <v/>
      </c>
      <c r="C14552" s="42" t="str">
        <f>IFERROR(__xludf.DUMMYFUNCTION("""COMPUTED_VALUE"""),"")</f>
        <v/>
      </c>
      <c r="D14552" s="42"/>
      <c r="E14552" s="42"/>
      <c r="F14552" s="48" t="str">
        <f>IFERROR(__xludf.DUMMYFUNCTION("""COMPUTED_VALUE"""),"")</f>
        <v/>
      </c>
      <c r="G14552" s="42" t="str">
        <f>IFERROR(__xludf.DUMMYFUNCTION("""COMPUTED_VALUE"""),"")</f>
        <v/>
      </c>
      <c r="H14552" s="42">
        <f t="shared" si="1"/>
        <v>3345</v>
      </c>
    </row>
    <row r="14553" ht="22.5" customHeight="1">
      <c r="B14553" s="42" t="str">
        <f>IFERROR(__xludf.DUMMYFUNCTION("""COMPUTED_VALUE"""),"")</f>
        <v/>
      </c>
      <c r="C14553" s="42" t="str">
        <f>IFERROR(__xludf.DUMMYFUNCTION("""COMPUTED_VALUE"""),"")</f>
        <v/>
      </c>
      <c r="D14553" s="42"/>
      <c r="E14553" s="42"/>
      <c r="F14553" s="48" t="str">
        <f>IFERROR(__xludf.DUMMYFUNCTION("""COMPUTED_VALUE"""),"")</f>
        <v/>
      </c>
      <c r="G14553" s="42" t="str">
        <f>IFERROR(__xludf.DUMMYFUNCTION("""COMPUTED_VALUE"""),"")</f>
        <v/>
      </c>
      <c r="H14553" s="42">
        <f t="shared" si="1"/>
        <v>3345</v>
      </c>
    </row>
    <row r="14554" ht="22.5" customHeight="1">
      <c r="B14554" s="42" t="str">
        <f>IFERROR(__xludf.DUMMYFUNCTION("""COMPUTED_VALUE"""),"")</f>
        <v/>
      </c>
      <c r="C14554" s="42" t="str">
        <f>IFERROR(__xludf.DUMMYFUNCTION("""COMPUTED_VALUE"""),"")</f>
        <v/>
      </c>
      <c r="D14554" s="42"/>
      <c r="E14554" s="42"/>
      <c r="F14554" s="48" t="str">
        <f>IFERROR(__xludf.DUMMYFUNCTION("""COMPUTED_VALUE"""),"")</f>
        <v/>
      </c>
      <c r="G14554" s="42" t="str">
        <f>IFERROR(__xludf.DUMMYFUNCTION("""COMPUTED_VALUE"""),"")</f>
        <v/>
      </c>
      <c r="H14554" s="42">
        <f t="shared" si="1"/>
        <v>3345</v>
      </c>
    </row>
    <row r="14555" ht="22.5" customHeight="1">
      <c r="B14555" s="42" t="str">
        <f>IFERROR(__xludf.DUMMYFUNCTION("""COMPUTED_VALUE"""),"")</f>
        <v/>
      </c>
      <c r="C14555" s="42" t="str">
        <f>IFERROR(__xludf.DUMMYFUNCTION("""COMPUTED_VALUE"""),"")</f>
        <v/>
      </c>
      <c r="D14555" s="42"/>
      <c r="E14555" s="42"/>
      <c r="F14555" s="48" t="str">
        <f>IFERROR(__xludf.DUMMYFUNCTION("""COMPUTED_VALUE"""),"")</f>
        <v/>
      </c>
      <c r="G14555" s="42" t="str">
        <f>IFERROR(__xludf.DUMMYFUNCTION("""COMPUTED_VALUE"""),"")</f>
        <v/>
      </c>
      <c r="H14555" s="42">
        <f t="shared" si="1"/>
        <v>3345</v>
      </c>
    </row>
    <row r="14556" ht="22.5" customHeight="1">
      <c r="B14556" s="42" t="str">
        <f>IFERROR(__xludf.DUMMYFUNCTION("""COMPUTED_VALUE"""),"")</f>
        <v/>
      </c>
      <c r="C14556" s="42" t="str">
        <f>IFERROR(__xludf.DUMMYFUNCTION("""COMPUTED_VALUE"""),"")</f>
        <v/>
      </c>
      <c r="D14556" s="42"/>
      <c r="E14556" s="42"/>
      <c r="F14556" s="48" t="str">
        <f>IFERROR(__xludf.DUMMYFUNCTION("""COMPUTED_VALUE"""),"")</f>
        <v/>
      </c>
      <c r="G14556" s="42" t="str">
        <f>IFERROR(__xludf.DUMMYFUNCTION("""COMPUTED_VALUE"""),"")</f>
        <v/>
      </c>
      <c r="H14556" s="42">
        <f t="shared" si="1"/>
        <v>3345</v>
      </c>
    </row>
    <row r="14557" ht="22.5" customHeight="1">
      <c r="B14557" s="42" t="str">
        <f>IFERROR(__xludf.DUMMYFUNCTION("""COMPUTED_VALUE"""),"")</f>
        <v/>
      </c>
      <c r="C14557" s="42" t="str">
        <f>IFERROR(__xludf.DUMMYFUNCTION("""COMPUTED_VALUE"""),"")</f>
        <v/>
      </c>
      <c r="D14557" s="42"/>
      <c r="E14557" s="42"/>
      <c r="F14557" s="48" t="str">
        <f>IFERROR(__xludf.DUMMYFUNCTION("""COMPUTED_VALUE"""),"")</f>
        <v/>
      </c>
      <c r="G14557" s="42" t="str">
        <f>IFERROR(__xludf.DUMMYFUNCTION("""COMPUTED_VALUE"""),"")</f>
        <v/>
      </c>
      <c r="H14557" s="42">
        <f t="shared" si="1"/>
        <v>3345</v>
      </c>
    </row>
    <row r="14558" ht="22.5" customHeight="1">
      <c r="B14558" s="42" t="str">
        <f>IFERROR(__xludf.DUMMYFUNCTION("""COMPUTED_VALUE"""),"")</f>
        <v/>
      </c>
      <c r="C14558" s="42" t="str">
        <f>IFERROR(__xludf.DUMMYFUNCTION("""COMPUTED_VALUE"""),"")</f>
        <v/>
      </c>
      <c r="D14558" s="42"/>
      <c r="E14558" s="42"/>
      <c r="F14558" s="48" t="str">
        <f>IFERROR(__xludf.DUMMYFUNCTION("""COMPUTED_VALUE"""),"")</f>
        <v/>
      </c>
      <c r="G14558" s="42" t="str">
        <f>IFERROR(__xludf.DUMMYFUNCTION("""COMPUTED_VALUE"""),"")</f>
        <v/>
      </c>
      <c r="H14558" s="42">
        <f t="shared" si="1"/>
        <v>3345</v>
      </c>
    </row>
    <row r="14559" ht="22.5" customHeight="1">
      <c r="B14559" s="42" t="str">
        <f>IFERROR(__xludf.DUMMYFUNCTION("""COMPUTED_VALUE"""),"")</f>
        <v/>
      </c>
      <c r="C14559" s="42" t="str">
        <f>IFERROR(__xludf.DUMMYFUNCTION("""COMPUTED_VALUE"""),"")</f>
        <v/>
      </c>
      <c r="D14559" s="42"/>
      <c r="E14559" s="42"/>
      <c r="F14559" s="48" t="str">
        <f>IFERROR(__xludf.DUMMYFUNCTION("""COMPUTED_VALUE"""),"")</f>
        <v/>
      </c>
      <c r="G14559" s="42" t="str">
        <f>IFERROR(__xludf.DUMMYFUNCTION("""COMPUTED_VALUE"""),"")</f>
        <v/>
      </c>
      <c r="H14559" s="42">
        <f t="shared" si="1"/>
        <v>3345</v>
      </c>
    </row>
    <row r="14560" ht="22.5" customHeight="1">
      <c r="B14560" s="42" t="str">
        <f>IFERROR(__xludf.DUMMYFUNCTION("""COMPUTED_VALUE"""),"")</f>
        <v/>
      </c>
      <c r="C14560" s="42" t="str">
        <f>IFERROR(__xludf.DUMMYFUNCTION("""COMPUTED_VALUE"""),"")</f>
        <v/>
      </c>
      <c r="D14560" s="42"/>
      <c r="E14560" s="42"/>
      <c r="F14560" s="48" t="str">
        <f>IFERROR(__xludf.DUMMYFUNCTION("""COMPUTED_VALUE"""),"")</f>
        <v/>
      </c>
      <c r="G14560" s="42" t="str">
        <f>IFERROR(__xludf.DUMMYFUNCTION("""COMPUTED_VALUE"""),"")</f>
        <v/>
      </c>
      <c r="H14560" s="42">
        <f t="shared" si="1"/>
        <v>3345</v>
      </c>
    </row>
    <row r="14561" ht="22.5" customHeight="1">
      <c r="B14561" s="42" t="str">
        <f>IFERROR(__xludf.DUMMYFUNCTION("""COMPUTED_VALUE"""),"")</f>
        <v/>
      </c>
      <c r="C14561" s="42" t="str">
        <f>IFERROR(__xludf.DUMMYFUNCTION("""COMPUTED_VALUE"""),"")</f>
        <v/>
      </c>
      <c r="D14561" s="42"/>
      <c r="E14561" s="42"/>
      <c r="F14561" s="48" t="str">
        <f>IFERROR(__xludf.DUMMYFUNCTION("""COMPUTED_VALUE"""),"")</f>
        <v/>
      </c>
      <c r="G14561" s="42" t="str">
        <f>IFERROR(__xludf.DUMMYFUNCTION("""COMPUTED_VALUE"""),"")</f>
        <v/>
      </c>
      <c r="H14561" s="42">
        <f t="shared" si="1"/>
        <v>3345</v>
      </c>
    </row>
    <row r="14562" ht="22.5" customHeight="1">
      <c r="B14562" s="42" t="str">
        <f>IFERROR(__xludf.DUMMYFUNCTION("""COMPUTED_VALUE"""),"")</f>
        <v/>
      </c>
      <c r="C14562" s="42" t="str">
        <f>IFERROR(__xludf.DUMMYFUNCTION("""COMPUTED_VALUE"""),"")</f>
        <v/>
      </c>
      <c r="D14562" s="42"/>
      <c r="E14562" s="42"/>
      <c r="F14562" s="48" t="str">
        <f>IFERROR(__xludf.DUMMYFUNCTION("""COMPUTED_VALUE"""),"")</f>
        <v/>
      </c>
      <c r="G14562" s="42" t="str">
        <f>IFERROR(__xludf.DUMMYFUNCTION("""COMPUTED_VALUE"""),"")</f>
        <v/>
      </c>
      <c r="H14562" s="42">
        <f t="shared" si="1"/>
        <v>3345</v>
      </c>
    </row>
    <row r="14563" ht="22.5" customHeight="1">
      <c r="B14563" s="42" t="str">
        <f>IFERROR(__xludf.DUMMYFUNCTION("""COMPUTED_VALUE"""),"")</f>
        <v/>
      </c>
      <c r="C14563" s="42" t="str">
        <f>IFERROR(__xludf.DUMMYFUNCTION("""COMPUTED_VALUE"""),"")</f>
        <v/>
      </c>
      <c r="D14563" s="42"/>
      <c r="E14563" s="42"/>
      <c r="F14563" s="48" t="str">
        <f>IFERROR(__xludf.DUMMYFUNCTION("""COMPUTED_VALUE"""),"")</f>
        <v/>
      </c>
      <c r="G14563" s="42" t="str">
        <f>IFERROR(__xludf.DUMMYFUNCTION("""COMPUTED_VALUE"""),"")</f>
        <v/>
      </c>
      <c r="H14563" s="42">
        <f t="shared" si="1"/>
        <v>3345</v>
      </c>
    </row>
    <row r="14564" ht="22.5" customHeight="1">
      <c r="B14564" s="42" t="str">
        <f>IFERROR(__xludf.DUMMYFUNCTION("""COMPUTED_VALUE"""),"")</f>
        <v/>
      </c>
      <c r="C14564" s="42" t="str">
        <f>IFERROR(__xludf.DUMMYFUNCTION("""COMPUTED_VALUE"""),"")</f>
        <v/>
      </c>
      <c r="D14564" s="42"/>
      <c r="E14564" s="42"/>
      <c r="F14564" s="48" t="str">
        <f>IFERROR(__xludf.DUMMYFUNCTION("""COMPUTED_VALUE"""),"")</f>
        <v/>
      </c>
      <c r="G14564" s="42" t="str">
        <f>IFERROR(__xludf.DUMMYFUNCTION("""COMPUTED_VALUE"""),"")</f>
        <v/>
      </c>
      <c r="H14564" s="42">
        <f t="shared" si="1"/>
        <v>3345</v>
      </c>
    </row>
    <row r="14565" ht="22.5" customHeight="1">
      <c r="B14565" s="42" t="str">
        <f>IFERROR(__xludf.DUMMYFUNCTION("""COMPUTED_VALUE"""),"")</f>
        <v/>
      </c>
      <c r="C14565" s="42" t="str">
        <f>IFERROR(__xludf.DUMMYFUNCTION("""COMPUTED_VALUE"""),"")</f>
        <v/>
      </c>
      <c r="D14565" s="42"/>
      <c r="E14565" s="42"/>
      <c r="F14565" s="48" t="str">
        <f>IFERROR(__xludf.DUMMYFUNCTION("""COMPUTED_VALUE"""),"")</f>
        <v/>
      </c>
      <c r="G14565" s="42" t="str">
        <f>IFERROR(__xludf.DUMMYFUNCTION("""COMPUTED_VALUE"""),"")</f>
        <v/>
      </c>
      <c r="H14565" s="42">
        <f t="shared" si="1"/>
        <v>3345</v>
      </c>
    </row>
    <row r="14566" ht="22.5" customHeight="1">
      <c r="B14566" s="42" t="str">
        <f>IFERROR(__xludf.DUMMYFUNCTION("""COMPUTED_VALUE"""),"")</f>
        <v/>
      </c>
      <c r="C14566" s="42" t="str">
        <f>IFERROR(__xludf.DUMMYFUNCTION("""COMPUTED_VALUE"""),"")</f>
        <v/>
      </c>
      <c r="D14566" s="42"/>
      <c r="E14566" s="42"/>
      <c r="F14566" s="48" t="str">
        <f>IFERROR(__xludf.DUMMYFUNCTION("""COMPUTED_VALUE"""),"")</f>
        <v/>
      </c>
      <c r="G14566" s="42" t="str">
        <f>IFERROR(__xludf.DUMMYFUNCTION("""COMPUTED_VALUE"""),"")</f>
        <v/>
      </c>
      <c r="H14566" s="42">
        <f t="shared" si="1"/>
        <v>3345</v>
      </c>
    </row>
    <row r="14567" ht="22.5" customHeight="1">
      <c r="B14567" s="42" t="str">
        <f>IFERROR(__xludf.DUMMYFUNCTION("""COMPUTED_VALUE"""),"")</f>
        <v/>
      </c>
      <c r="C14567" s="42" t="str">
        <f>IFERROR(__xludf.DUMMYFUNCTION("""COMPUTED_VALUE"""),"")</f>
        <v/>
      </c>
      <c r="D14567" s="42"/>
      <c r="E14567" s="42"/>
      <c r="F14567" s="48" t="str">
        <f>IFERROR(__xludf.DUMMYFUNCTION("""COMPUTED_VALUE"""),"")</f>
        <v/>
      </c>
      <c r="G14567" s="42" t="str">
        <f>IFERROR(__xludf.DUMMYFUNCTION("""COMPUTED_VALUE"""),"")</f>
        <v/>
      </c>
      <c r="H14567" s="42">
        <f t="shared" si="1"/>
        <v>3345</v>
      </c>
    </row>
    <row r="14568" ht="22.5" customHeight="1">
      <c r="B14568" s="42" t="str">
        <f>IFERROR(__xludf.DUMMYFUNCTION("""COMPUTED_VALUE"""),"")</f>
        <v/>
      </c>
      <c r="C14568" s="42" t="str">
        <f>IFERROR(__xludf.DUMMYFUNCTION("""COMPUTED_VALUE"""),"")</f>
        <v/>
      </c>
      <c r="D14568" s="42"/>
      <c r="E14568" s="42"/>
      <c r="F14568" s="48" t="str">
        <f>IFERROR(__xludf.DUMMYFUNCTION("""COMPUTED_VALUE"""),"")</f>
        <v/>
      </c>
      <c r="G14568" s="42" t="str">
        <f>IFERROR(__xludf.DUMMYFUNCTION("""COMPUTED_VALUE"""),"")</f>
        <v/>
      </c>
      <c r="H14568" s="42">
        <f t="shared" si="1"/>
        <v>3345</v>
      </c>
    </row>
    <row r="14569" ht="22.5" customHeight="1">
      <c r="B14569" s="42" t="str">
        <f>IFERROR(__xludf.DUMMYFUNCTION("""COMPUTED_VALUE"""),"")</f>
        <v/>
      </c>
      <c r="C14569" s="42" t="str">
        <f>IFERROR(__xludf.DUMMYFUNCTION("""COMPUTED_VALUE"""),"")</f>
        <v/>
      </c>
      <c r="D14569" s="42"/>
      <c r="E14569" s="42"/>
      <c r="F14569" s="48" t="str">
        <f>IFERROR(__xludf.DUMMYFUNCTION("""COMPUTED_VALUE"""),"")</f>
        <v/>
      </c>
      <c r="G14569" s="42" t="str">
        <f>IFERROR(__xludf.DUMMYFUNCTION("""COMPUTED_VALUE"""),"")</f>
        <v/>
      </c>
      <c r="H14569" s="42">
        <f t="shared" si="1"/>
        <v>3345</v>
      </c>
    </row>
    <row r="14570" ht="22.5" customHeight="1">
      <c r="B14570" s="42" t="str">
        <f>IFERROR(__xludf.DUMMYFUNCTION("""COMPUTED_VALUE"""),"")</f>
        <v/>
      </c>
      <c r="C14570" s="42" t="str">
        <f>IFERROR(__xludf.DUMMYFUNCTION("""COMPUTED_VALUE"""),"")</f>
        <v/>
      </c>
      <c r="D14570" s="42"/>
      <c r="E14570" s="42"/>
      <c r="F14570" s="48" t="str">
        <f>IFERROR(__xludf.DUMMYFUNCTION("""COMPUTED_VALUE"""),"")</f>
        <v/>
      </c>
      <c r="G14570" s="42" t="str">
        <f>IFERROR(__xludf.DUMMYFUNCTION("""COMPUTED_VALUE"""),"")</f>
        <v/>
      </c>
      <c r="H14570" s="42">
        <f t="shared" si="1"/>
        <v>3345</v>
      </c>
    </row>
    <row r="14571" ht="22.5" customHeight="1">
      <c r="B14571" s="42" t="str">
        <f>IFERROR(__xludf.DUMMYFUNCTION("""COMPUTED_VALUE"""),"")</f>
        <v/>
      </c>
      <c r="C14571" s="42" t="str">
        <f>IFERROR(__xludf.DUMMYFUNCTION("""COMPUTED_VALUE"""),"")</f>
        <v/>
      </c>
      <c r="D14571" s="42"/>
      <c r="E14571" s="42"/>
      <c r="F14571" s="48" t="str">
        <f>IFERROR(__xludf.DUMMYFUNCTION("""COMPUTED_VALUE"""),"")</f>
        <v/>
      </c>
      <c r="G14571" s="42" t="str">
        <f>IFERROR(__xludf.DUMMYFUNCTION("""COMPUTED_VALUE"""),"")</f>
        <v/>
      </c>
      <c r="H14571" s="42">
        <f t="shared" si="1"/>
        <v>3345</v>
      </c>
    </row>
    <row r="14572" ht="22.5" customHeight="1">
      <c r="B14572" s="42" t="str">
        <f>IFERROR(__xludf.DUMMYFUNCTION("""COMPUTED_VALUE"""),"")</f>
        <v/>
      </c>
      <c r="C14572" s="42" t="str">
        <f>IFERROR(__xludf.DUMMYFUNCTION("""COMPUTED_VALUE"""),"")</f>
        <v/>
      </c>
      <c r="D14572" s="42"/>
      <c r="E14572" s="42"/>
      <c r="F14572" s="48" t="str">
        <f>IFERROR(__xludf.DUMMYFUNCTION("""COMPUTED_VALUE"""),"")</f>
        <v/>
      </c>
      <c r="G14572" s="42" t="str">
        <f>IFERROR(__xludf.DUMMYFUNCTION("""COMPUTED_VALUE"""),"")</f>
        <v/>
      </c>
      <c r="H14572" s="42">
        <f t="shared" si="1"/>
        <v>3345</v>
      </c>
    </row>
    <row r="14573" ht="22.5" customHeight="1">
      <c r="B14573" s="42" t="str">
        <f>IFERROR(__xludf.DUMMYFUNCTION("""COMPUTED_VALUE"""),"")</f>
        <v/>
      </c>
      <c r="C14573" s="42" t="str">
        <f>IFERROR(__xludf.DUMMYFUNCTION("""COMPUTED_VALUE"""),"")</f>
        <v/>
      </c>
      <c r="D14573" s="42"/>
      <c r="E14573" s="42"/>
      <c r="F14573" s="48" t="str">
        <f>IFERROR(__xludf.DUMMYFUNCTION("""COMPUTED_VALUE"""),"")</f>
        <v/>
      </c>
      <c r="G14573" s="42" t="str">
        <f>IFERROR(__xludf.DUMMYFUNCTION("""COMPUTED_VALUE"""),"")</f>
        <v/>
      </c>
      <c r="H14573" s="42">
        <f t="shared" si="1"/>
        <v>3345</v>
      </c>
    </row>
    <row r="14574" ht="22.5" customHeight="1">
      <c r="B14574" s="42" t="str">
        <f>IFERROR(__xludf.DUMMYFUNCTION("""COMPUTED_VALUE"""),"")</f>
        <v/>
      </c>
      <c r="C14574" s="42" t="str">
        <f>IFERROR(__xludf.DUMMYFUNCTION("""COMPUTED_VALUE"""),"")</f>
        <v/>
      </c>
      <c r="D14574" s="42"/>
      <c r="E14574" s="42"/>
      <c r="F14574" s="48" t="str">
        <f>IFERROR(__xludf.DUMMYFUNCTION("""COMPUTED_VALUE"""),"")</f>
        <v/>
      </c>
      <c r="G14574" s="42" t="str">
        <f>IFERROR(__xludf.DUMMYFUNCTION("""COMPUTED_VALUE"""),"")</f>
        <v/>
      </c>
      <c r="H14574" s="42">
        <f t="shared" si="1"/>
        <v>3345</v>
      </c>
    </row>
    <row r="14575" ht="22.5" customHeight="1">
      <c r="B14575" s="42" t="str">
        <f>IFERROR(__xludf.DUMMYFUNCTION("""COMPUTED_VALUE"""),"")</f>
        <v/>
      </c>
      <c r="C14575" s="42" t="str">
        <f>IFERROR(__xludf.DUMMYFUNCTION("""COMPUTED_VALUE"""),"")</f>
        <v/>
      </c>
      <c r="D14575" s="42"/>
      <c r="E14575" s="42"/>
      <c r="F14575" s="48" t="str">
        <f>IFERROR(__xludf.DUMMYFUNCTION("""COMPUTED_VALUE"""),"")</f>
        <v/>
      </c>
      <c r="G14575" s="42" t="str">
        <f>IFERROR(__xludf.DUMMYFUNCTION("""COMPUTED_VALUE"""),"")</f>
        <v/>
      </c>
      <c r="H14575" s="42">
        <f t="shared" si="1"/>
        <v>3345</v>
      </c>
    </row>
    <row r="14576" ht="22.5" customHeight="1">
      <c r="B14576" s="42" t="str">
        <f>IFERROR(__xludf.DUMMYFUNCTION("""COMPUTED_VALUE"""),"")</f>
        <v/>
      </c>
      <c r="C14576" s="42" t="str">
        <f>IFERROR(__xludf.DUMMYFUNCTION("""COMPUTED_VALUE"""),"")</f>
        <v/>
      </c>
      <c r="D14576" s="42"/>
      <c r="E14576" s="42"/>
      <c r="F14576" s="48" t="str">
        <f>IFERROR(__xludf.DUMMYFUNCTION("""COMPUTED_VALUE"""),"")</f>
        <v/>
      </c>
      <c r="G14576" s="42" t="str">
        <f>IFERROR(__xludf.DUMMYFUNCTION("""COMPUTED_VALUE"""),"")</f>
        <v/>
      </c>
      <c r="H14576" s="42">
        <f t="shared" si="1"/>
        <v>3345</v>
      </c>
    </row>
    <row r="14577" ht="22.5" customHeight="1">
      <c r="B14577" s="42" t="str">
        <f>IFERROR(__xludf.DUMMYFUNCTION("""COMPUTED_VALUE"""),"")</f>
        <v/>
      </c>
      <c r="C14577" s="42" t="str">
        <f>IFERROR(__xludf.DUMMYFUNCTION("""COMPUTED_VALUE"""),"")</f>
        <v/>
      </c>
      <c r="D14577" s="42"/>
      <c r="E14577" s="42"/>
      <c r="F14577" s="48" t="str">
        <f>IFERROR(__xludf.DUMMYFUNCTION("""COMPUTED_VALUE"""),"")</f>
        <v/>
      </c>
      <c r="G14577" s="42" t="str">
        <f>IFERROR(__xludf.DUMMYFUNCTION("""COMPUTED_VALUE"""),"")</f>
        <v/>
      </c>
      <c r="H14577" s="42">
        <f t="shared" si="1"/>
        <v>3345</v>
      </c>
    </row>
    <row r="14578" ht="22.5" customHeight="1">
      <c r="B14578" s="42" t="str">
        <f>IFERROR(__xludf.DUMMYFUNCTION("""COMPUTED_VALUE"""),"")</f>
        <v/>
      </c>
      <c r="C14578" s="42" t="str">
        <f>IFERROR(__xludf.DUMMYFUNCTION("""COMPUTED_VALUE"""),"")</f>
        <v/>
      </c>
      <c r="D14578" s="42"/>
      <c r="E14578" s="42"/>
      <c r="F14578" s="48" t="str">
        <f>IFERROR(__xludf.DUMMYFUNCTION("""COMPUTED_VALUE"""),"")</f>
        <v/>
      </c>
      <c r="G14578" s="42" t="str">
        <f>IFERROR(__xludf.DUMMYFUNCTION("""COMPUTED_VALUE"""),"")</f>
        <v/>
      </c>
      <c r="H14578" s="42">
        <f t="shared" si="1"/>
        <v>3345</v>
      </c>
    </row>
    <row r="14579" ht="22.5" customHeight="1">
      <c r="B14579" s="42" t="str">
        <f>IFERROR(__xludf.DUMMYFUNCTION("""COMPUTED_VALUE"""),"")</f>
        <v/>
      </c>
      <c r="C14579" s="42" t="str">
        <f>IFERROR(__xludf.DUMMYFUNCTION("""COMPUTED_VALUE"""),"")</f>
        <v/>
      </c>
      <c r="D14579" s="42"/>
      <c r="E14579" s="42"/>
      <c r="F14579" s="48" t="str">
        <f>IFERROR(__xludf.DUMMYFUNCTION("""COMPUTED_VALUE"""),"")</f>
        <v/>
      </c>
      <c r="G14579" s="42" t="str">
        <f>IFERROR(__xludf.DUMMYFUNCTION("""COMPUTED_VALUE"""),"")</f>
        <v/>
      </c>
      <c r="H14579" s="42">
        <f t="shared" si="1"/>
        <v>3345</v>
      </c>
    </row>
    <row r="14580" ht="22.5" customHeight="1">
      <c r="B14580" s="42" t="str">
        <f>IFERROR(__xludf.DUMMYFUNCTION("""COMPUTED_VALUE"""),"")</f>
        <v/>
      </c>
      <c r="C14580" s="42" t="str">
        <f>IFERROR(__xludf.DUMMYFUNCTION("""COMPUTED_VALUE"""),"")</f>
        <v/>
      </c>
      <c r="D14580" s="42"/>
      <c r="E14580" s="42"/>
      <c r="F14580" s="48" t="str">
        <f>IFERROR(__xludf.DUMMYFUNCTION("""COMPUTED_VALUE"""),"")</f>
        <v/>
      </c>
      <c r="G14580" s="42" t="str">
        <f>IFERROR(__xludf.DUMMYFUNCTION("""COMPUTED_VALUE"""),"")</f>
        <v/>
      </c>
      <c r="H14580" s="42">
        <f t="shared" si="1"/>
        <v>3345</v>
      </c>
    </row>
    <row r="14581" ht="22.5" customHeight="1">
      <c r="B14581" s="42" t="str">
        <f>IFERROR(__xludf.DUMMYFUNCTION("""COMPUTED_VALUE"""),"")</f>
        <v/>
      </c>
      <c r="C14581" s="42" t="str">
        <f>IFERROR(__xludf.DUMMYFUNCTION("""COMPUTED_VALUE"""),"")</f>
        <v/>
      </c>
      <c r="D14581" s="42"/>
      <c r="E14581" s="42"/>
      <c r="F14581" s="48" t="str">
        <f>IFERROR(__xludf.DUMMYFUNCTION("""COMPUTED_VALUE"""),"")</f>
        <v/>
      </c>
      <c r="G14581" s="42" t="str">
        <f>IFERROR(__xludf.DUMMYFUNCTION("""COMPUTED_VALUE"""),"")</f>
        <v/>
      </c>
      <c r="H14581" s="42">
        <f t="shared" si="1"/>
        <v>3345</v>
      </c>
    </row>
    <row r="14582" ht="22.5" customHeight="1">
      <c r="B14582" s="42" t="str">
        <f>IFERROR(__xludf.DUMMYFUNCTION("""COMPUTED_VALUE"""),"")</f>
        <v/>
      </c>
      <c r="C14582" s="42" t="str">
        <f>IFERROR(__xludf.DUMMYFUNCTION("""COMPUTED_VALUE"""),"")</f>
        <v/>
      </c>
      <c r="D14582" s="42"/>
      <c r="E14582" s="42"/>
      <c r="F14582" s="48" t="str">
        <f>IFERROR(__xludf.DUMMYFUNCTION("""COMPUTED_VALUE"""),"")</f>
        <v/>
      </c>
      <c r="G14582" s="42" t="str">
        <f>IFERROR(__xludf.DUMMYFUNCTION("""COMPUTED_VALUE"""),"")</f>
        <v/>
      </c>
      <c r="H14582" s="42">
        <f t="shared" si="1"/>
        <v>3345</v>
      </c>
    </row>
    <row r="14583" ht="22.5" customHeight="1">
      <c r="B14583" s="42" t="str">
        <f>IFERROR(__xludf.DUMMYFUNCTION("""COMPUTED_VALUE"""),"")</f>
        <v/>
      </c>
      <c r="C14583" s="42" t="str">
        <f>IFERROR(__xludf.DUMMYFUNCTION("""COMPUTED_VALUE"""),"")</f>
        <v/>
      </c>
      <c r="D14583" s="42"/>
      <c r="E14583" s="42"/>
      <c r="F14583" s="48" t="str">
        <f>IFERROR(__xludf.DUMMYFUNCTION("""COMPUTED_VALUE"""),"")</f>
        <v/>
      </c>
      <c r="G14583" s="42" t="str">
        <f>IFERROR(__xludf.DUMMYFUNCTION("""COMPUTED_VALUE"""),"")</f>
        <v/>
      </c>
      <c r="H14583" s="42">
        <f t="shared" si="1"/>
        <v>3345</v>
      </c>
    </row>
    <row r="14584" ht="22.5" customHeight="1">
      <c r="B14584" s="42" t="str">
        <f>IFERROR(__xludf.DUMMYFUNCTION("""COMPUTED_VALUE"""),"")</f>
        <v/>
      </c>
      <c r="C14584" s="42" t="str">
        <f>IFERROR(__xludf.DUMMYFUNCTION("""COMPUTED_VALUE"""),"")</f>
        <v/>
      </c>
      <c r="D14584" s="42"/>
      <c r="E14584" s="42"/>
      <c r="F14584" s="48" t="str">
        <f>IFERROR(__xludf.DUMMYFUNCTION("""COMPUTED_VALUE"""),"")</f>
        <v/>
      </c>
      <c r="G14584" s="42" t="str">
        <f>IFERROR(__xludf.DUMMYFUNCTION("""COMPUTED_VALUE"""),"")</f>
        <v/>
      </c>
      <c r="H14584" s="42">
        <f t="shared" si="1"/>
        <v>3345</v>
      </c>
    </row>
    <row r="14585" ht="22.5" customHeight="1">
      <c r="B14585" s="42" t="str">
        <f>IFERROR(__xludf.DUMMYFUNCTION("""COMPUTED_VALUE"""),"")</f>
        <v/>
      </c>
      <c r="C14585" s="42" t="str">
        <f>IFERROR(__xludf.DUMMYFUNCTION("""COMPUTED_VALUE"""),"")</f>
        <v/>
      </c>
      <c r="D14585" s="42"/>
      <c r="E14585" s="42"/>
      <c r="F14585" s="48" t="str">
        <f>IFERROR(__xludf.DUMMYFUNCTION("""COMPUTED_VALUE"""),"")</f>
        <v/>
      </c>
      <c r="G14585" s="42" t="str">
        <f>IFERROR(__xludf.DUMMYFUNCTION("""COMPUTED_VALUE"""),"")</f>
        <v/>
      </c>
      <c r="H14585" s="42">
        <f t="shared" si="1"/>
        <v>3345</v>
      </c>
    </row>
    <row r="14586" ht="22.5" customHeight="1">
      <c r="B14586" s="42" t="str">
        <f>IFERROR(__xludf.DUMMYFUNCTION("""COMPUTED_VALUE"""),"")</f>
        <v/>
      </c>
      <c r="C14586" s="42" t="str">
        <f>IFERROR(__xludf.DUMMYFUNCTION("""COMPUTED_VALUE"""),"")</f>
        <v/>
      </c>
      <c r="D14586" s="42"/>
      <c r="E14586" s="42"/>
      <c r="F14586" s="48" t="str">
        <f>IFERROR(__xludf.DUMMYFUNCTION("""COMPUTED_VALUE"""),"")</f>
        <v/>
      </c>
      <c r="G14586" s="42" t="str">
        <f>IFERROR(__xludf.DUMMYFUNCTION("""COMPUTED_VALUE"""),"")</f>
        <v/>
      </c>
      <c r="H14586" s="42">
        <f t="shared" si="1"/>
        <v>3345</v>
      </c>
    </row>
    <row r="14587" ht="22.5" customHeight="1">
      <c r="B14587" s="42" t="str">
        <f>IFERROR(__xludf.DUMMYFUNCTION("""COMPUTED_VALUE"""),"")</f>
        <v/>
      </c>
      <c r="C14587" s="42" t="str">
        <f>IFERROR(__xludf.DUMMYFUNCTION("""COMPUTED_VALUE"""),"")</f>
        <v/>
      </c>
      <c r="D14587" s="42"/>
      <c r="E14587" s="42"/>
      <c r="F14587" s="48" t="str">
        <f>IFERROR(__xludf.DUMMYFUNCTION("""COMPUTED_VALUE"""),"")</f>
        <v/>
      </c>
      <c r="G14587" s="42" t="str">
        <f>IFERROR(__xludf.DUMMYFUNCTION("""COMPUTED_VALUE"""),"")</f>
        <v/>
      </c>
      <c r="H14587" s="42">
        <f t="shared" si="1"/>
        <v>3345</v>
      </c>
    </row>
    <row r="14588" ht="22.5" customHeight="1">
      <c r="B14588" s="42" t="str">
        <f>IFERROR(__xludf.DUMMYFUNCTION("""COMPUTED_VALUE"""),"")</f>
        <v/>
      </c>
      <c r="C14588" s="42" t="str">
        <f>IFERROR(__xludf.DUMMYFUNCTION("""COMPUTED_VALUE"""),"")</f>
        <v/>
      </c>
      <c r="D14588" s="42"/>
      <c r="E14588" s="42"/>
      <c r="F14588" s="48" t="str">
        <f>IFERROR(__xludf.DUMMYFUNCTION("""COMPUTED_VALUE"""),"")</f>
        <v/>
      </c>
      <c r="G14588" s="42" t="str">
        <f>IFERROR(__xludf.DUMMYFUNCTION("""COMPUTED_VALUE"""),"")</f>
        <v/>
      </c>
      <c r="H14588" s="42">
        <f t="shared" si="1"/>
        <v>3345</v>
      </c>
    </row>
    <row r="14589" ht="22.5" customHeight="1">
      <c r="B14589" s="42" t="str">
        <f>IFERROR(__xludf.DUMMYFUNCTION("""COMPUTED_VALUE"""),"")</f>
        <v/>
      </c>
      <c r="C14589" s="42" t="str">
        <f>IFERROR(__xludf.DUMMYFUNCTION("""COMPUTED_VALUE"""),"")</f>
        <v/>
      </c>
      <c r="D14589" s="42"/>
      <c r="E14589" s="42"/>
      <c r="F14589" s="48" t="str">
        <f>IFERROR(__xludf.DUMMYFUNCTION("""COMPUTED_VALUE"""),"")</f>
        <v/>
      </c>
      <c r="G14589" s="42" t="str">
        <f>IFERROR(__xludf.DUMMYFUNCTION("""COMPUTED_VALUE"""),"")</f>
        <v/>
      </c>
      <c r="H14589" s="42">
        <f t="shared" si="1"/>
        <v>3345</v>
      </c>
    </row>
    <row r="14590" ht="22.5" customHeight="1">
      <c r="B14590" s="42" t="str">
        <f>IFERROR(__xludf.DUMMYFUNCTION("""COMPUTED_VALUE"""),"")</f>
        <v/>
      </c>
      <c r="C14590" s="42" t="str">
        <f>IFERROR(__xludf.DUMMYFUNCTION("""COMPUTED_VALUE"""),"")</f>
        <v/>
      </c>
      <c r="D14590" s="42"/>
      <c r="E14590" s="42"/>
      <c r="F14590" s="48" t="str">
        <f>IFERROR(__xludf.DUMMYFUNCTION("""COMPUTED_VALUE"""),"")</f>
        <v/>
      </c>
      <c r="G14590" s="42" t="str">
        <f>IFERROR(__xludf.DUMMYFUNCTION("""COMPUTED_VALUE"""),"")</f>
        <v/>
      </c>
      <c r="H14590" s="42">
        <f t="shared" si="1"/>
        <v>3345</v>
      </c>
    </row>
    <row r="14591" ht="22.5" customHeight="1">
      <c r="B14591" s="42" t="str">
        <f>IFERROR(__xludf.DUMMYFUNCTION("""COMPUTED_VALUE"""),"")</f>
        <v/>
      </c>
      <c r="C14591" s="42" t="str">
        <f>IFERROR(__xludf.DUMMYFUNCTION("""COMPUTED_VALUE"""),"")</f>
        <v/>
      </c>
      <c r="D14591" s="42"/>
      <c r="E14591" s="42"/>
      <c r="F14591" s="48" t="str">
        <f>IFERROR(__xludf.DUMMYFUNCTION("""COMPUTED_VALUE"""),"")</f>
        <v/>
      </c>
      <c r="G14591" s="42" t="str">
        <f>IFERROR(__xludf.DUMMYFUNCTION("""COMPUTED_VALUE"""),"")</f>
        <v/>
      </c>
      <c r="H14591" s="42">
        <f t="shared" si="1"/>
        <v>3345</v>
      </c>
    </row>
    <row r="14592" ht="22.5" customHeight="1">
      <c r="B14592" s="42" t="str">
        <f>IFERROR(__xludf.DUMMYFUNCTION("""COMPUTED_VALUE"""),"")</f>
        <v/>
      </c>
      <c r="C14592" s="42" t="str">
        <f>IFERROR(__xludf.DUMMYFUNCTION("""COMPUTED_VALUE"""),"")</f>
        <v/>
      </c>
      <c r="D14592" s="42"/>
      <c r="E14592" s="42"/>
      <c r="F14592" s="48" t="str">
        <f>IFERROR(__xludf.DUMMYFUNCTION("""COMPUTED_VALUE"""),"")</f>
        <v/>
      </c>
      <c r="G14592" s="42" t="str">
        <f>IFERROR(__xludf.DUMMYFUNCTION("""COMPUTED_VALUE"""),"")</f>
        <v/>
      </c>
      <c r="H14592" s="42">
        <f t="shared" si="1"/>
        <v>3345</v>
      </c>
    </row>
    <row r="14593" ht="22.5" customHeight="1">
      <c r="B14593" s="42" t="str">
        <f>IFERROR(__xludf.DUMMYFUNCTION("""COMPUTED_VALUE"""),"")</f>
        <v/>
      </c>
      <c r="C14593" s="42" t="str">
        <f>IFERROR(__xludf.DUMMYFUNCTION("""COMPUTED_VALUE"""),"")</f>
        <v/>
      </c>
      <c r="D14593" s="42"/>
      <c r="E14593" s="42"/>
      <c r="F14593" s="48" t="str">
        <f>IFERROR(__xludf.DUMMYFUNCTION("""COMPUTED_VALUE"""),"")</f>
        <v/>
      </c>
      <c r="G14593" s="42" t="str">
        <f>IFERROR(__xludf.DUMMYFUNCTION("""COMPUTED_VALUE"""),"")</f>
        <v/>
      </c>
      <c r="H14593" s="42">
        <f t="shared" si="1"/>
        <v>3345</v>
      </c>
    </row>
    <row r="14594" ht="22.5" customHeight="1">
      <c r="B14594" s="42" t="str">
        <f>IFERROR(__xludf.DUMMYFUNCTION("""COMPUTED_VALUE"""),"")</f>
        <v/>
      </c>
      <c r="C14594" s="42" t="str">
        <f>IFERROR(__xludf.DUMMYFUNCTION("""COMPUTED_VALUE"""),"")</f>
        <v/>
      </c>
      <c r="D14594" s="42"/>
      <c r="E14594" s="42"/>
      <c r="F14594" s="48" t="str">
        <f>IFERROR(__xludf.DUMMYFUNCTION("""COMPUTED_VALUE"""),"")</f>
        <v/>
      </c>
      <c r="G14594" s="42" t="str">
        <f>IFERROR(__xludf.DUMMYFUNCTION("""COMPUTED_VALUE"""),"")</f>
        <v/>
      </c>
      <c r="H14594" s="42">
        <f t="shared" si="1"/>
        <v>3345</v>
      </c>
    </row>
    <row r="14595" ht="22.5" customHeight="1">
      <c r="B14595" s="42" t="str">
        <f>IFERROR(__xludf.DUMMYFUNCTION("""COMPUTED_VALUE"""),"")</f>
        <v/>
      </c>
      <c r="C14595" s="42" t="str">
        <f>IFERROR(__xludf.DUMMYFUNCTION("""COMPUTED_VALUE"""),"")</f>
        <v/>
      </c>
      <c r="D14595" s="42"/>
      <c r="E14595" s="42"/>
      <c r="F14595" s="48" t="str">
        <f>IFERROR(__xludf.DUMMYFUNCTION("""COMPUTED_VALUE"""),"")</f>
        <v/>
      </c>
      <c r="G14595" s="42" t="str">
        <f>IFERROR(__xludf.DUMMYFUNCTION("""COMPUTED_VALUE"""),"")</f>
        <v/>
      </c>
      <c r="H14595" s="42">
        <f t="shared" si="1"/>
        <v>3345</v>
      </c>
    </row>
    <row r="14596" ht="22.5" customHeight="1">
      <c r="B14596" s="42" t="str">
        <f>IFERROR(__xludf.DUMMYFUNCTION("""COMPUTED_VALUE"""),"")</f>
        <v/>
      </c>
      <c r="C14596" s="42" t="str">
        <f>IFERROR(__xludf.DUMMYFUNCTION("""COMPUTED_VALUE"""),"")</f>
        <v/>
      </c>
      <c r="D14596" s="42"/>
      <c r="E14596" s="42"/>
      <c r="F14596" s="48" t="str">
        <f>IFERROR(__xludf.DUMMYFUNCTION("""COMPUTED_VALUE"""),"")</f>
        <v/>
      </c>
      <c r="G14596" s="42" t="str">
        <f>IFERROR(__xludf.DUMMYFUNCTION("""COMPUTED_VALUE"""),"")</f>
        <v/>
      </c>
      <c r="H14596" s="42">
        <f t="shared" si="1"/>
        <v>3345</v>
      </c>
    </row>
    <row r="14597" ht="22.5" customHeight="1">
      <c r="B14597" s="42" t="str">
        <f>IFERROR(__xludf.DUMMYFUNCTION("""COMPUTED_VALUE"""),"")</f>
        <v/>
      </c>
      <c r="C14597" s="42" t="str">
        <f>IFERROR(__xludf.DUMMYFUNCTION("""COMPUTED_VALUE"""),"")</f>
        <v/>
      </c>
      <c r="D14597" s="42"/>
      <c r="E14597" s="42"/>
      <c r="F14597" s="48" t="str">
        <f>IFERROR(__xludf.DUMMYFUNCTION("""COMPUTED_VALUE"""),"")</f>
        <v/>
      </c>
      <c r="G14597" s="42" t="str">
        <f>IFERROR(__xludf.DUMMYFUNCTION("""COMPUTED_VALUE"""),"")</f>
        <v/>
      </c>
      <c r="H14597" s="42">
        <f t="shared" si="1"/>
        <v>3345</v>
      </c>
    </row>
    <row r="14598" ht="22.5" customHeight="1">
      <c r="B14598" s="42" t="str">
        <f>IFERROR(__xludf.DUMMYFUNCTION("""COMPUTED_VALUE"""),"")</f>
        <v/>
      </c>
      <c r="C14598" s="42" t="str">
        <f>IFERROR(__xludf.DUMMYFUNCTION("""COMPUTED_VALUE"""),"")</f>
        <v/>
      </c>
      <c r="D14598" s="42"/>
      <c r="E14598" s="42"/>
      <c r="F14598" s="48" t="str">
        <f>IFERROR(__xludf.DUMMYFUNCTION("""COMPUTED_VALUE"""),"")</f>
        <v/>
      </c>
      <c r="G14598" s="42" t="str">
        <f>IFERROR(__xludf.DUMMYFUNCTION("""COMPUTED_VALUE"""),"")</f>
        <v/>
      </c>
      <c r="H14598" s="42">
        <f t="shared" si="1"/>
        <v>3345</v>
      </c>
    </row>
    <row r="14599" ht="22.5" customHeight="1">
      <c r="B14599" s="42" t="str">
        <f>IFERROR(__xludf.DUMMYFUNCTION("""COMPUTED_VALUE"""),"")</f>
        <v/>
      </c>
      <c r="C14599" s="42" t="str">
        <f>IFERROR(__xludf.DUMMYFUNCTION("""COMPUTED_VALUE"""),"")</f>
        <v/>
      </c>
      <c r="D14599" s="42"/>
      <c r="E14599" s="42"/>
      <c r="F14599" s="48" t="str">
        <f>IFERROR(__xludf.DUMMYFUNCTION("""COMPUTED_VALUE"""),"")</f>
        <v/>
      </c>
      <c r="G14599" s="42" t="str">
        <f>IFERROR(__xludf.DUMMYFUNCTION("""COMPUTED_VALUE"""),"")</f>
        <v/>
      </c>
      <c r="H14599" s="42">
        <f t="shared" si="1"/>
        <v>3345</v>
      </c>
    </row>
    <row r="14600" ht="22.5" customHeight="1">
      <c r="B14600" s="42" t="str">
        <f>IFERROR(__xludf.DUMMYFUNCTION("""COMPUTED_VALUE"""),"")</f>
        <v/>
      </c>
      <c r="C14600" s="42" t="str">
        <f>IFERROR(__xludf.DUMMYFUNCTION("""COMPUTED_VALUE"""),"")</f>
        <v/>
      </c>
      <c r="D14600" s="42"/>
      <c r="E14600" s="42"/>
      <c r="F14600" s="48" t="str">
        <f>IFERROR(__xludf.DUMMYFUNCTION("""COMPUTED_VALUE"""),"")</f>
        <v/>
      </c>
      <c r="G14600" s="42" t="str">
        <f>IFERROR(__xludf.DUMMYFUNCTION("""COMPUTED_VALUE"""),"")</f>
        <v/>
      </c>
      <c r="H14600" s="42">
        <f t="shared" si="1"/>
        <v>3345</v>
      </c>
    </row>
    <row r="14601" ht="22.5" customHeight="1">
      <c r="B14601" s="42" t="str">
        <f>IFERROR(__xludf.DUMMYFUNCTION("""COMPUTED_VALUE"""),"")</f>
        <v/>
      </c>
      <c r="C14601" s="42" t="str">
        <f>IFERROR(__xludf.DUMMYFUNCTION("""COMPUTED_VALUE"""),"")</f>
        <v/>
      </c>
      <c r="D14601" s="42"/>
      <c r="E14601" s="42"/>
      <c r="F14601" s="48" t="str">
        <f>IFERROR(__xludf.DUMMYFUNCTION("""COMPUTED_VALUE"""),"")</f>
        <v/>
      </c>
      <c r="G14601" s="42" t="str">
        <f>IFERROR(__xludf.DUMMYFUNCTION("""COMPUTED_VALUE"""),"")</f>
        <v/>
      </c>
      <c r="H14601" s="42">
        <f t="shared" si="1"/>
        <v>3345</v>
      </c>
    </row>
    <row r="14602" ht="22.5" customHeight="1">
      <c r="B14602" s="42" t="str">
        <f>IFERROR(__xludf.DUMMYFUNCTION("""COMPUTED_VALUE"""),"")</f>
        <v/>
      </c>
      <c r="C14602" s="42" t="str">
        <f>IFERROR(__xludf.DUMMYFUNCTION("""COMPUTED_VALUE"""),"")</f>
        <v/>
      </c>
      <c r="D14602" s="42"/>
      <c r="E14602" s="42"/>
      <c r="F14602" s="48" t="str">
        <f>IFERROR(__xludf.DUMMYFUNCTION("""COMPUTED_VALUE"""),"")</f>
        <v/>
      </c>
      <c r="G14602" s="42" t="str">
        <f>IFERROR(__xludf.DUMMYFUNCTION("""COMPUTED_VALUE"""),"")</f>
        <v/>
      </c>
      <c r="H14602" s="42">
        <f t="shared" si="1"/>
        <v>3345</v>
      </c>
    </row>
    <row r="14603" ht="22.5" customHeight="1">
      <c r="B14603" s="42" t="str">
        <f>IFERROR(__xludf.DUMMYFUNCTION("""COMPUTED_VALUE"""),"")</f>
        <v/>
      </c>
      <c r="C14603" s="42" t="str">
        <f>IFERROR(__xludf.DUMMYFUNCTION("""COMPUTED_VALUE"""),"")</f>
        <v/>
      </c>
      <c r="D14603" s="42"/>
      <c r="E14603" s="42"/>
      <c r="F14603" s="48" t="str">
        <f>IFERROR(__xludf.DUMMYFUNCTION("""COMPUTED_VALUE"""),"")</f>
        <v/>
      </c>
      <c r="G14603" s="42" t="str">
        <f>IFERROR(__xludf.DUMMYFUNCTION("""COMPUTED_VALUE"""),"")</f>
        <v/>
      </c>
      <c r="H14603" s="42">
        <f t="shared" si="1"/>
        <v>3345</v>
      </c>
    </row>
    <row r="14604" ht="22.5" customHeight="1">
      <c r="B14604" s="42" t="str">
        <f>IFERROR(__xludf.DUMMYFUNCTION("""COMPUTED_VALUE"""),"")</f>
        <v/>
      </c>
      <c r="C14604" s="42" t="str">
        <f>IFERROR(__xludf.DUMMYFUNCTION("""COMPUTED_VALUE"""),"")</f>
        <v/>
      </c>
      <c r="D14604" s="42"/>
      <c r="E14604" s="42"/>
      <c r="F14604" s="48" t="str">
        <f>IFERROR(__xludf.DUMMYFUNCTION("""COMPUTED_VALUE"""),"")</f>
        <v/>
      </c>
      <c r="G14604" s="42" t="str">
        <f>IFERROR(__xludf.DUMMYFUNCTION("""COMPUTED_VALUE"""),"")</f>
        <v/>
      </c>
      <c r="H14604" s="42">
        <f t="shared" si="1"/>
        <v>3345</v>
      </c>
    </row>
    <row r="14605" ht="22.5" customHeight="1">
      <c r="B14605" s="42" t="str">
        <f>IFERROR(__xludf.DUMMYFUNCTION("""COMPUTED_VALUE"""),"")</f>
        <v/>
      </c>
      <c r="C14605" s="42" t="str">
        <f>IFERROR(__xludf.DUMMYFUNCTION("""COMPUTED_VALUE"""),"")</f>
        <v/>
      </c>
      <c r="D14605" s="42"/>
      <c r="E14605" s="42"/>
      <c r="F14605" s="48" t="str">
        <f>IFERROR(__xludf.DUMMYFUNCTION("""COMPUTED_VALUE"""),"")</f>
        <v/>
      </c>
      <c r="G14605" s="42" t="str">
        <f>IFERROR(__xludf.DUMMYFUNCTION("""COMPUTED_VALUE"""),"")</f>
        <v/>
      </c>
      <c r="H14605" s="42">
        <f t="shared" si="1"/>
        <v>3345</v>
      </c>
    </row>
    <row r="14606" ht="22.5" customHeight="1">
      <c r="B14606" s="42" t="str">
        <f>IFERROR(__xludf.DUMMYFUNCTION("""COMPUTED_VALUE"""),"")</f>
        <v/>
      </c>
      <c r="C14606" s="42" t="str">
        <f>IFERROR(__xludf.DUMMYFUNCTION("""COMPUTED_VALUE"""),"")</f>
        <v/>
      </c>
      <c r="D14606" s="42"/>
      <c r="E14606" s="42"/>
      <c r="F14606" s="48" t="str">
        <f>IFERROR(__xludf.DUMMYFUNCTION("""COMPUTED_VALUE"""),"")</f>
        <v/>
      </c>
      <c r="G14606" s="42" t="str">
        <f>IFERROR(__xludf.DUMMYFUNCTION("""COMPUTED_VALUE"""),"")</f>
        <v/>
      </c>
      <c r="H14606" s="42">
        <f t="shared" si="1"/>
        <v>3345</v>
      </c>
    </row>
    <row r="14607" ht="22.5" customHeight="1">
      <c r="B14607" s="42" t="str">
        <f>IFERROR(__xludf.DUMMYFUNCTION("""COMPUTED_VALUE"""),"")</f>
        <v/>
      </c>
      <c r="C14607" s="42" t="str">
        <f>IFERROR(__xludf.DUMMYFUNCTION("""COMPUTED_VALUE"""),"")</f>
        <v/>
      </c>
      <c r="D14607" s="42"/>
      <c r="E14607" s="42"/>
      <c r="F14607" s="48" t="str">
        <f>IFERROR(__xludf.DUMMYFUNCTION("""COMPUTED_VALUE"""),"")</f>
        <v/>
      </c>
      <c r="G14607" s="42" t="str">
        <f>IFERROR(__xludf.DUMMYFUNCTION("""COMPUTED_VALUE"""),"")</f>
        <v/>
      </c>
      <c r="H14607" s="42">
        <f t="shared" si="1"/>
        <v>3345</v>
      </c>
    </row>
    <row r="14608" ht="22.5" customHeight="1">
      <c r="B14608" s="42" t="str">
        <f>IFERROR(__xludf.DUMMYFUNCTION("""COMPUTED_VALUE"""),"")</f>
        <v/>
      </c>
      <c r="C14608" s="42" t="str">
        <f>IFERROR(__xludf.DUMMYFUNCTION("""COMPUTED_VALUE"""),"")</f>
        <v/>
      </c>
      <c r="D14608" s="42"/>
      <c r="E14608" s="42"/>
      <c r="F14608" s="48" t="str">
        <f>IFERROR(__xludf.DUMMYFUNCTION("""COMPUTED_VALUE"""),"")</f>
        <v/>
      </c>
      <c r="G14608" s="42" t="str">
        <f>IFERROR(__xludf.DUMMYFUNCTION("""COMPUTED_VALUE"""),"")</f>
        <v/>
      </c>
      <c r="H14608" s="42">
        <f t="shared" si="1"/>
        <v>3345</v>
      </c>
    </row>
    <row r="14609" ht="22.5" customHeight="1">
      <c r="B14609" s="42" t="str">
        <f>IFERROR(__xludf.DUMMYFUNCTION("""COMPUTED_VALUE"""),"")</f>
        <v/>
      </c>
      <c r="C14609" s="42" t="str">
        <f>IFERROR(__xludf.DUMMYFUNCTION("""COMPUTED_VALUE"""),"")</f>
        <v/>
      </c>
      <c r="D14609" s="42"/>
      <c r="E14609" s="42"/>
      <c r="F14609" s="48" t="str">
        <f>IFERROR(__xludf.DUMMYFUNCTION("""COMPUTED_VALUE"""),"")</f>
        <v/>
      </c>
      <c r="G14609" s="42" t="str">
        <f>IFERROR(__xludf.DUMMYFUNCTION("""COMPUTED_VALUE"""),"")</f>
        <v/>
      </c>
      <c r="H14609" s="42">
        <f t="shared" si="1"/>
        <v>3345</v>
      </c>
    </row>
    <row r="14610" ht="22.5" customHeight="1">
      <c r="B14610" s="42" t="str">
        <f>IFERROR(__xludf.DUMMYFUNCTION("""COMPUTED_VALUE"""),"")</f>
        <v/>
      </c>
      <c r="C14610" s="42" t="str">
        <f>IFERROR(__xludf.DUMMYFUNCTION("""COMPUTED_VALUE"""),"")</f>
        <v/>
      </c>
      <c r="D14610" s="42"/>
      <c r="E14610" s="42"/>
      <c r="F14610" s="48" t="str">
        <f>IFERROR(__xludf.DUMMYFUNCTION("""COMPUTED_VALUE"""),"")</f>
        <v/>
      </c>
      <c r="G14610" s="42" t="str">
        <f>IFERROR(__xludf.DUMMYFUNCTION("""COMPUTED_VALUE"""),"")</f>
        <v/>
      </c>
      <c r="H14610" s="42">
        <f t="shared" si="1"/>
        <v>3345</v>
      </c>
    </row>
    <row r="14611" ht="22.5" customHeight="1">
      <c r="B14611" s="42" t="str">
        <f>IFERROR(__xludf.DUMMYFUNCTION("""COMPUTED_VALUE"""),"")</f>
        <v/>
      </c>
      <c r="C14611" s="42" t="str">
        <f>IFERROR(__xludf.DUMMYFUNCTION("""COMPUTED_VALUE"""),"")</f>
        <v/>
      </c>
      <c r="D14611" s="42"/>
      <c r="E14611" s="42"/>
      <c r="F14611" s="48" t="str">
        <f>IFERROR(__xludf.DUMMYFUNCTION("""COMPUTED_VALUE"""),"")</f>
        <v/>
      </c>
      <c r="G14611" s="42" t="str">
        <f>IFERROR(__xludf.DUMMYFUNCTION("""COMPUTED_VALUE"""),"")</f>
        <v/>
      </c>
      <c r="H14611" s="42">
        <f t="shared" si="1"/>
        <v>3345</v>
      </c>
    </row>
    <row r="14612" ht="22.5" customHeight="1">
      <c r="B14612" s="42" t="str">
        <f>IFERROR(__xludf.DUMMYFUNCTION("""COMPUTED_VALUE"""),"")</f>
        <v/>
      </c>
      <c r="C14612" s="42" t="str">
        <f>IFERROR(__xludf.DUMMYFUNCTION("""COMPUTED_VALUE"""),"")</f>
        <v/>
      </c>
      <c r="D14612" s="42"/>
      <c r="E14612" s="42"/>
      <c r="F14612" s="48" t="str">
        <f>IFERROR(__xludf.DUMMYFUNCTION("""COMPUTED_VALUE"""),"")</f>
        <v/>
      </c>
      <c r="G14612" s="42" t="str">
        <f>IFERROR(__xludf.DUMMYFUNCTION("""COMPUTED_VALUE"""),"")</f>
        <v/>
      </c>
      <c r="H14612" s="42">
        <f t="shared" si="1"/>
        <v>3345</v>
      </c>
    </row>
    <row r="14613" ht="22.5" customHeight="1">
      <c r="B14613" s="42" t="str">
        <f>IFERROR(__xludf.DUMMYFUNCTION("""COMPUTED_VALUE"""),"")</f>
        <v/>
      </c>
      <c r="C14613" s="42" t="str">
        <f>IFERROR(__xludf.DUMMYFUNCTION("""COMPUTED_VALUE"""),"")</f>
        <v/>
      </c>
      <c r="D14613" s="42"/>
      <c r="E14613" s="42"/>
      <c r="F14613" s="48" t="str">
        <f>IFERROR(__xludf.DUMMYFUNCTION("""COMPUTED_VALUE"""),"")</f>
        <v/>
      </c>
      <c r="G14613" s="42" t="str">
        <f>IFERROR(__xludf.DUMMYFUNCTION("""COMPUTED_VALUE"""),"")</f>
        <v/>
      </c>
      <c r="H14613" s="42">
        <f t="shared" si="1"/>
        <v>3345</v>
      </c>
    </row>
    <row r="14614" ht="22.5" customHeight="1">
      <c r="B14614" s="42" t="str">
        <f>IFERROR(__xludf.DUMMYFUNCTION("""COMPUTED_VALUE"""),"")</f>
        <v/>
      </c>
      <c r="C14614" s="42" t="str">
        <f>IFERROR(__xludf.DUMMYFUNCTION("""COMPUTED_VALUE"""),"")</f>
        <v/>
      </c>
      <c r="D14614" s="42"/>
      <c r="E14614" s="42"/>
      <c r="F14614" s="48" t="str">
        <f>IFERROR(__xludf.DUMMYFUNCTION("""COMPUTED_VALUE"""),"")</f>
        <v/>
      </c>
      <c r="G14614" s="42" t="str">
        <f>IFERROR(__xludf.DUMMYFUNCTION("""COMPUTED_VALUE"""),"")</f>
        <v/>
      </c>
      <c r="H14614" s="42">
        <f t="shared" si="1"/>
        <v>3345</v>
      </c>
    </row>
    <row r="14615" ht="22.5" customHeight="1">
      <c r="B14615" s="42" t="str">
        <f>IFERROR(__xludf.DUMMYFUNCTION("""COMPUTED_VALUE"""),"")</f>
        <v/>
      </c>
      <c r="C14615" s="42" t="str">
        <f>IFERROR(__xludf.DUMMYFUNCTION("""COMPUTED_VALUE"""),"")</f>
        <v/>
      </c>
      <c r="D14615" s="42"/>
      <c r="E14615" s="42"/>
      <c r="F14615" s="48" t="str">
        <f>IFERROR(__xludf.DUMMYFUNCTION("""COMPUTED_VALUE"""),"")</f>
        <v/>
      </c>
      <c r="G14615" s="42" t="str">
        <f>IFERROR(__xludf.DUMMYFUNCTION("""COMPUTED_VALUE"""),"")</f>
        <v/>
      </c>
      <c r="H14615" s="42">
        <f t="shared" si="1"/>
        <v>3345</v>
      </c>
    </row>
    <row r="14616" ht="22.5" customHeight="1">
      <c r="B14616" s="42" t="str">
        <f>IFERROR(__xludf.DUMMYFUNCTION("""COMPUTED_VALUE"""),"")</f>
        <v/>
      </c>
      <c r="C14616" s="42" t="str">
        <f>IFERROR(__xludf.DUMMYFUNCTION("""COMPUTED_VALUE"""),"")</f>
        <v/>
      </c>
      <c r="D14616" s="42"/>
      <c r="E14616" s="42"/>
      <c r="F14616" s="48" t="str">
        <f>IFERROR(__xludf.DUMMYFUNCTION("""COMPUTED_VALUE"""),"")</f>
        <v/>
      </c>
      <c r="G14616" s="42" t="str">
        <f>IFERROR(__xludf.DUMMYFUNCTION("""COMPUTED_VALUE"""),"")</f>
        <v/>
      </c>
      <c r="H14616" s="42">
        <f t="shared" si="1"/>
        <v>3345</v>
      </c>
    </row>
    <row r="14617" ht="22.5" customHeight="1">
      <c r="B14617" s="42" t="str">
        <f>IFERROR(__xludf.DUMMYFUNCTION("""COMPUTED_VALUE"""),"")</f>
        <v/>
      </c>
      <c r="C14617" s="42" t="str">
        <f>IFERROR(__xludf.DUMMYFUNCTION("""COMPUTED_VALUE"""),"")</f>
        <v/>
      </c>
      <c r="D14617" s="42"/>
      <c r="E14617" s="42"/>
      <c r="F14617" s="48" t="str">
        <f>IFERROR(__xludf.DUMMYFUNCTION("""COMPUTED_VALUE"""),"")</f>
        <v/>
      </c>
      <c r="G14617" s="42" t="str">
        <f>IFERROR(__xludf.DUMMYFUNCTION("""COMPUTED_VALUE"""),"")</f>
        <v/>
      </c>
      <c r="H14617" s="42">
        <f t="shared" si="1"/>
        <v>3345</v>
      </c>
    </row>
    <row r="14618" ht="22.5" customHeight="1">
      <c r="B14618" s="42" t="str">
        <f>IFERROR(__xludf.DUMMYFUNCTION("""COMPUTED_VALUE"""),"")</f>
        <v/>
      </c>
      <c r="C14618" s="42" t="str">
        <f>IFERROR(__xludf.DUMMYFUNCTION("""COMPUTED_VALUE"""),"")</f>
        <v/>
      </c>
      <c r="D14618" s="42"/>
      <c r="E14618" s="42"/>
      <c r="F14618" s="48" t="str">
        <f>IFERROR(__xludf.DUMMYFUNCTION("""COMPUTED_VALUE"""),"")</f>
        <v/>
      </c>
      <c r="G14618" s="42" t="str">
        <f>IFERROR(__xludf.DUMMYFUNCTION("""COMPUTED_VALUE"""),"")</f>
        <v/>
      </c>
      <c r="H14618" s="42">
        <f t="shared" si="1"/>
        <v>3345</v>
      </c>
    </row>
    <row r="14619" ht="22.5" customHeight="1">
      <c r="B14619" s="42" t="str">
        <f>IFERROR(__xludf.DUMMYFUNCTION("""COMPUTED_VALUE"""),"")</f>
        <v/>
      </c>
      <c r="C14619" s="42" t="str">
        <f>IFERROR(__xludf.DUMMYFUNCTION("""COMPUTED_VALUE"""),"")</f>
        <v/>
      </c>
      <c r="D14619" s="42"/>
      <c r="E14619" s="42"/>
      <c r="F14619" s="48" t="str">
        <f>IFERROR(__xludf.DUMMYFUNCTION("""COMPUTED_VALUE"""),"")</f>
        <v/>
      </c>
      <c r="G14619" s="42" t="str">
        <f>IFERROR(__xludf.DUMMYFUNCTION("""COMPUTED_VALUE"""),"")</f>
        <v/>
      </c>
      <c r="H14619" s="42">
        <f t="shared" si="1"/>
        <v>3345</v>
      </c>
    </row>
    <row r="14620" ht="22.5" customHeight="1">
      <c r="B14620" s="42" t="str">
        <f>IFERROR(__xludf.DUMMYFUNCTION("""COMPUTED_VALUE"""),"")</f>
        <v/>
      </c>
      <c r="C14620" s="42" t="str">
        <f>IFERROR(__xludf.DUMMYFUNCTION("""COMPUTED_VALUE"""),"")</f>
        <v/>
      </c>
      <c r="D14620" s="42"/>
      <c r="E14620" s="42"/>
      <c r="F14620" s="48" t="str">
        <f>IFERROR(__xludf.DUMMYFUNCTION("""COMPUTED_VALUE"""),"")</f>
        <v/>
      </c>
      <c r="G14620" s="42" t="str">
        <f>IFERROR(__xludf.DUMMYFUNCTION("""COMPUTED_VALUE"""),"")</f>
        <v/>
      </c>
      <c r="H14620" s="42">
        <f t="shared" si="1"/>
        <v>3345</v>
      </c>
    </row>
    <row r="14621" ht="22.5" customHeight="1">
      <c r="B14621" s="42" t="str">
        <f>IFERROR(__xludf.DUMMYFUNCTION("""COMPUTED_VALUE"""),"")</f>
        <v/>
      </c>
      <c r="C14621" s="42" t="str">
        <f>IFERROR(__xludf.DUMMYFUNCTION("""COMPUTED_VALUE"""),"")</f>
        <v/>
      </c>
      <c r="D14621" s="42"/>
      <c r="E14621" s="42"/>
      <c r="F14621" s="48" t="str">
        <f>IFERROR(__xludf.DUMMYFUNCTION("""COMPUTED_VALUE"""),"")</f>
        <v/>
      </c>
      <c r="G14621" s="42" t="str">
        <f>IFERROR(__xludf.DUMMYFUNCTION("""COMPUTED_VALUE"""),"")</f>
        <v/>
      </c>
      <c r="H14621" s="42">
        <f t="shared" si="1"/>
        <v>3345</v>
      </c>
    </row>
    <row r="14622" ht="22.5" customHeight="1">
      <c r="B14622" s="42" t="str">
        <f>IFERROR(__xludf.DUMMYFUNCTION("""COMPUTED_VALUE"""),"")</f>
        <v/>
      </c>
      <c r="C14622" s="42" t="str">
        <f>IFERROR(__xludf.DUMMYFUNCTION("""COMPUTED_VALUE"""),"")</f>
        <v/>
      </c>
      <c r="D14622" s="42"/>
      <c r="E14622" s="42"/>
      <c r="F14622" s="48" t="str">
        <f>IFERROR(__xludf.DUMMYFUNCTION("""COMPUTED_VALUE"""),"")</f>
        <v/>
      </c>
      <c r="G14622" s="42" t="str">
        <f>IFERROR(__xludf.DUMMYFUNCTION("""COMPUTED_VALUE"""),"")</f>
        <v/>
      </c>
      <c r="H14622" s="42">
        <f t="shared" si="1"/>
        <v>3345</v>
      </c>
    </row>
    <row r="14623" ht="22.5" customHeight="1">
      <c r="B14623" s="42" t="str">
        <f>IFERROR(__xludf.DUMMYFUNCTION("""COMPUTED_VALUE"""),"")</f>
        <v/>
      </c>
      <c r="C14623" s="42" t="str">
        <f>IFERROR(__xludf.DUMMYFUNCTION("""COMPUTED_VALUE"""),"")</f>
        <v/>
      </c>
      <c r="D14623" s="42"/>
      <c r="E14623" s="42"/>
      <c r="F14623" s="48" t="str">
        <f>IFERROR(__xludf.DUMMYFUNCTION("""COMPUTED_VALUE"""),"")</f>
        <v/>
      </c>
      <c r="G14623" s="42" t="str">
        <f>IFERROR(__xludf.DUMMYFUNCTION("""COMPUTED_VALUE"""),"")</f>
        <v/>
      </c>
      <c r="H14623" s="42">
        <f t="shared" si="1"/>
        <v>3345</v>
      </c>
    </row>
    <row r="14624" ht="22.5" customHeight="1">
      <c r="B14624" s="42" t="str">
        <f>IFERROR(__xludf.DUMMYFUNCTION("""COMPUTED_VALUE"""),"")</f>
        <v/>
      </c>
      <c r="C14624" s="42" t="str">
        <f>IFERROR(__xludf.DUMMYFUNCTION("""COMPUTED_VALUE"""),"")</f>
        <v/>
      </c>
      <c r="D14624" s="42"/>
      <c r="E14624" s="42"/>
      <c r="F14624" s="48" t="str">
        <f>IFERROR(__xludf.DUMMYFUNCTION("""COMPUTED_VALUE"""),"")</f>
        <v/>
      </c>
      <c r="G14624" s="42" t="str">
        <f>IFERROR(__xludf.DUMMYFUNCTION("""COMPUTED_VALUE"""),"")</f>
        <v/>
      </c>
      <c r="H14624" s="42">
        <f t="shared" si="1"/>
        <v>3345</v>
      </c>
    </row>
    <row r="14625" ht="22.5" customHeight="1">
      <c r="B14625" s="42" t="str">
        <f>IFERROR(__xludf.DUMMYFUNCTION("""COMPUTED_VALUE"""),"")</f>
        <v/>
      </c>
      <c r="C14625" s="42" t="str">
        <f>IFERROR(__xludf.DUMMYFUNCTION("""COMPUTED_VALUE"""),"")</f>
        <v/>
      </c>
      <c r="D14625" s="42"/>
      <c r="E14625" s="42"/>
      <c r="F14625" s="48" t="str">
        <f>IFERROR(__xludf.DUMMYFUNCTION("""COMPUTED_VALUE"""),"")</f>
        <v/>
      </c>
      <c r="G14625" s="42" t="str">
        <f>IFERROR(__xludf.DUMMYFUNCTION("""COMPUTED_VALUE"""),"")</f>
        <v/>
      </c>
      <c r="H14625" s="42">
        <f t="shared" si="1"/>
        <v>3345</v>
      </c>
    </row>
    <row r="14626" ht="22.5" customHeight="1">
      <c r="B14626" s="42" t="str">
        <f>IFERROR(__xludf.DUMMYFUNCTION("""COMPUTED_VALUE"""),"")</f>
        <v/>
      </c>
      <c r="C14626" s="42" t="str">
        <f>IFERROR(__xludf.DUMMYFUNCTION("""COMPUTED_VALUE"""),"")</f>
        <v/>
      </c>
      <c r="D14626" s="42"/>
      <c r="E14626" s="42"/>
      <c r="F14626" s="48" t="str">
        <f>IFERROR(__xludf.DUMMYFUNCTION("""COMPUTED_VALUE"""),"")</f>
        <v/>
      </c>
      <c r="G14626" s="42" t="str">
        <f>IFERROR(__xludf.DUMMYFUNCTION("""COMPUTED_VALUE"""),"")</f>
        <v/>
      </c>
      <c r="H14626" s="42">
        <f t="shared" si="1"/>
        <v>3345</v>
      </c>
    </row>
    <row r="14627" ht="22.5" customHeight="1">
      <c r="B14627" s="42" t="str">
        <f>IFERROR(__xludf.DUMMYFUNCTION("""COMPUTED_VALUE"""),"")</f>
        <v/>
      </c>
      <c r="C14627" s="42" t="str">
        <f>IFERROR(__xludf.DUMMYFUNCTION("""COMPUTED_VALUE"""),"")</f>
        <v/>
      </c>
      <c r="D14627" s="42"/>
      <c r="E14627" s="42"/>
      <c r="F14627" s="48" t="str">
        <f>IFERROR(__xludf.DUMMYFUNCTION("""COMPUTED_VALUE"""),"")</f>
        <v/>
      </c>
      <c r="G14627" s="42" t="str">
        <f>IFERROR(__xludf.DUMMYFUNCTION("""COMPUTED_VALUE"""),"")</f>
        <v/>
      </c>
      <c r="H14627" s="42">
        <f t="shared" si="1"/>
        <v>3345</v>
      </c>
    </row>
    <row r="14628" ht="22.5" customHeight="1">
      <c r="B14628" s="42" t="str">
        <f>IFERROR(__xludf.DUMMYFUNCTION("""COMPUTED_VALUE"""),"")</f>
        <v/>
      </c>
      <c r="C14628" s="42" t="str">
        <f>IFERROR(__xludf.DUMMYFUNCTION("""COMPUTED_VALUE"""),"")</f>
        <v/>
      </c>
      <c r="D14628" s="42"/>
      <c r="E14628" s="42"/>
      <c r="F14628" s="48" t="str">
        <f>IFERROR(__xludf.DUMMYFUNCTION("""COMPUTED_VALUE"""),"")</f>
        <v/>
      </c>
      <c r="G14628" s="42" t="str">
        <f>IFERROR(__xludf.DUMMYFUNCTION("""COMPUTED_VALUE"""),"")</f>
        <v/>
      </c>
      <c r="H14628" s="42">
        <f t="shared" si="1"/>
        <v>3345</v>
      </c>
    </row>
    <row r="14629" ht="22.5" customHeight="1">
      <c r="B14629" s="42" t="str">
        <f>IFERROR(__xludf.DUMMYFUNCTION("""COMPUTED_VALUE"""),"")</f>
        <v/>
      </c>
      <c r="C14629" s="42" t="str">
        <f>IFERROR(__xludf.DUMMYFUNCTION("""COMPUTED_VALUE"""),"")</f>
        <v/>
      </c>
      <c r="D14629" s="42"/>
      <c r="E14629" s="42"/>
      <c r="F14629" s="48" t="str">
        <f>IFERROR(__xludf.DUMMYFUNCTION("""COMPUTED_VALUE"""),"")</f>
        <v/>
      </c>
      <c r="G14629" s="42" t="str">
        <f>IFERROR(__xludf.DUMMYFUNCTION("""COMPUTED_VALUE"""),"")</f>
        <v/>
      </c>
      <c r="H14629" s="42">
        <f t="shared" si="1"/>
        <v>3345</v>
      </c>
    </row>
    <row r="14630" ht="22.5" customHeight="1">
      <c r="B14630" s="42" t="str">
        <f>IFERROR(__xludf.DUMMYFUNCTION("""COMPUTED_VALUE"""),"")</f>
        <v/>
      </c>
      <c r="C14630" s="42" t="str">
        <f>IFERROR(__xludf.DUMMYFUNCTION("""COMPUTED_VALUE"""),"")</f>
        <v/>
      </c>
      <c r="D14630" s="42"/>
      <c r="E14630" s="42"/>
      <c r="F14630" s="48" t="str">
        <f>IFERROR(__xludf.DUMMYFUNCTION("""COMPUTED_VALUE"""),"")</f>
        <v/>
      </c>
      <c r="G14630" s="42" t="str">
        <f>IFERROR(__xludf.DUMMYFUNCTION("""COMPUTED_VALUE"""),"")</f>
        <v/>
      </c>
      <c r="H14630" s="42">
        <f t="shared" si="1"/>
        <v>3345</v>
      </c>
    </row>
    <row r="14631" ht="22.5" customHeight="1">
      <c r="B14631" s="42" t="str">
        <f>IFERROR(__xludf.DUMMYFUNCTION("""COMPUTED_VALUE"""),"")</f>
        <v/>
      </c>
      <c r="C14631" s="42" t="str">
        <f>IFERROR(__xludf.DUMMYFUNCTION("""COMPUTED_VALUE"""),"")</f>
        <v/>
      </c>
      <c r="D14631" s="42"/>
      <c r="E14631" s="42"/>
      <c r="F14631" s="48" t="str">
        <f>IFERROR(__xludf.DUMMYFUNCTION("""COMPUTED_VALUE"""),"")</f>
        <v/>
      </c>
      <c r="G14631" s="42" t="str">
        <f>IFERROR(__xludf.DUMMYFUNCTION("""COMPUTED_VALUE"""),"")</f>
        <v/>
      </c>
      <c r="H14631" s="42">
        <f t="shared" si="1"/>
        <v>3345</v>
      </c>
    </row>
    <row r="14632" ht="22.5" customHeight="1">
      <c r="B14632" s="42" t="str">
        <f>IFERROR(__xludf.DUMMYFUNCTION("""COMPUTED_VALUE"""),"")</f>
        <v/>
      </c>
      <c r="C14632" s="42" t="str">
        <f>IFERROR(__xludf.DUMMYFUNCTION("""COMPUTED_VALUE"""),"")</f>
        <v/>
      </c>
      <c r="D14632" s="42"/>
      <c r="E14632" s="42"/>
      <c r="F14632" s="48" t="str">
        <f>IFERROR(__xludf.DUMMYFUNCTION("""COMPUTED_VALUE"""),"")</f>
        <v/>
      </c>
      <c r="G14632" s="42" t="str">
        <f>IFERROR(__xludf.DUMMYFUNCTION("""COMPUTED_VALUE"""),"")</f>
        <v/>
      </c>
      <c r="H14632" s="42">
        <f t="shared" si="1"/>
        <v>3345</v>
      </c>
    </row>
    <row r="14633" ht="22.5" customHeight="1">
      <c r="B14633" s="42" t="str">
        <f>IFERROR(__xludf.DUMMYFUNCTION("""COMPUTED_VALUE"""),"")</f>
        <v/>
      </c>
      <c r="C14633" s="42" t="str">
        <f>IFERROR(__xludf.DUMMYFUNCTION("""COMPUTED_VALUE"""),"")</f>
        <v/>
      </c>
      <c r="D14633" s="42"/>
      <c r="E14633" s="42"/>
      <c r="F14633" s="48" t="str">
        <f>IFERROR(__xludf.DUMMYFUNCTION("""COMPUTED_VALUE"""),"")</f>
        <v/>
      </c>
      <c r="G14633" s="42" t="str">
        <f>IFERROR(__xludf.DUMMYFUNCTION("""COMPUTED_VALUE"""),"")</f>
        <v/>
      </c>
      <c r="H14633" s="42">
        <f t="shared" si="1"/>
        <v>3345</v>
      </c>
    </row>
    <row r="14634" ht="22.5" customHeight="1">
      <c r="B14634" s="42" t="str">
        <f>IFERROR(__xludf.DUMMYFUNCTION("""COMPUTED_VALUE"""),"")</f>
        <v/>
      </c>
      <c r="C14634" s="42" t="str">
        <f>IFERROR(__xludf.DUMMYFUNCTION("""COMPUTED_VALUE"""),"")</f>
        <v/>
      </c>
      <c r="D14634" s="42"/>
      <c r="E14634" s="42"/>
      <c r="F14634" s="48" t="str">
        <f>IFERROR(__xludf.DUMMYFUNCTION("""COMPUTED_VALUE"""),"")</f>
        <v/>
      </c>
      <c r="G14634" s="42" t="str">
        <f>IFERROR(__xludf.DUMMYFUNCTION("""COMPUTED_VALUE"""),"")</f>
        <v/>
      </c>
      <c r="H14634" s="42">
        <f t="shared" si="1"/>
        <v>3345</v>
      </c>
    </row>
    <row r="14635" ht="22.5" customHeight="1">
      <c r="B14635" s="42" t="str">
        <f>IFERROR(__xludf.DUMMYFUNCTION("""COMPUTED_VALUE"""),"")</f>
        <v/>
      </c>
      <c r="C14635" s="42" t="str">
        <f>IFERROR(__xludf.DUMMYFUNCTION("""COMPUTED_VALUE"""),"")</f>
        <v/>
      </c>
      <c r="D14635" s="42"/>
      <c r="E14635" s="42"/>
      <c r="F14635" s="48" t="str">
        <f>IFERROR(__xludf.DUMMYFUNCTION("""COMPUTED_VALUE"""),"")</f>
        <v/>
      </c>
      <c r="G14635" s="42" t="str">
        <f>IFERROR(__xludf.DUMMYFUNCTION("""COMPUTED_VALUE"""),"")</f>
        <v/>
      </c>
      <c r="H14635" s="42">
        <f t="shared" si="1"/>
        <v>3345</v>
      </c>
    </row>
    <row r="14636" ht="22.5" customHeight="1">
      <c r="B14636" s="42" t="str">
        <f>IFERROR(__xludf.DUMMYFUNCTION("""COMPUTED_VALUE"""),"")</f>
        <v/>
      </c>
      <c r="C14636" s="42" t="str">
        <f>IFERROR(__xludf.DUMMYFUNCTION("""COMPUTED_VALUE"""),"")</f>
        <v/>
      </c>
      <c r="D14636" s="42"/>
      <c r="E14636" s="42"/>
      <c r="F14636" s="48" t="str">
        <f>IFERROR(__xludf.DUMMYFUNCTION("""COMPUTED_VALUE"""),"")</f>
        <v/>
      </c>
      <c r="G14636" s="42" t="str">
        <f>IFERROR(__xludf.DUMMYFUNCTION("""COMPUTED_VALUE"""),"")</f>
        <v/>
      </c>
      <c r="H14636" s="42">
        <f t="shared" si="1"/>
        <v>3345</v>
      </c>
    </row>
    <row r="14637" ht="22.5" customHeight="1">
      <c r="B14637" s="42" t="str">
        <f>IFERROR(__xludf.DUMMYFUNCTION("""COMPUTED_VALUE"""),"")</f>
        <v/>
      </c>
      <c r="C14637" s="42" t="str">
        <f>IFERROR(__xludf.DUMMYFUNCTION("""COMPUTED_VALUE"""),"")</f>
        <v/>
      </c>
      <c r="D14637" s="42"/>
      <c r="E14637" s="42"/>
      <c r="F14637" s="48" t="str">
        <f>IFERROR(__xludf.DUMMYFUNCTION("""COMPUTED_VALUE"""),"")</f>
        <v/>
      </c>
      <c r="G14637" s="42" t="str">
        <f>IFERROR(__xludf.DUMMYFUNCTION("""COMPUTED_VALUE"""),"")</f>
        <v/>
      </c>
      <c r="H14637" s="42">
        <f t="shared" si="1"/>
        <v>3345</v>
      </c>
    </row>
    <row r="14638" ht="22.5" customHeight="1">
      <c r="B14638" s="42" t="str">
        <f>IFERROR(__xludf.DUMMYFUNCTION("""COMPUTED_VALUE"""),"")</f>
        <v/>
      </c>
      <c r="C14638" s="42" t="str">
        <f>IFERROR(__xludf.DUMMYFUNCTION("""COMPUTED_VALUE"""),"")</f>
        <v/>
      </c>
      <c r="D14638" s="42"/>
      <c r="E14638" s="42"/>
      <c r="F14638" s="48" t="str">
        <f>IFERROR(__xludf.DUMMYFUNCTION("""COMPUTED_VALUE"""),"")</f>
        <v/>
      </c>
      <c r="G14638" s="42" t="str">
        <f>IFERROR(__xludf.DUMMYFUNCTION("""COMPUTED_VALUE"""),"")</f>
        <v/>
      </c>
      <c r="H14638" s="42">
        <f t="shared" si="1"/>
        <v>3345</v>
      </c>
    </row>
    <row r="14639" ht="22.5" customHeight="1">
      <c r="B14639" s="42" t="str">
        <f>IFERROR(__xludf.DUMMYFUNCTION("""COMPUTED_VALUE"""),"")</f>
        <v/>
      </c>
      <c r="C14639" s="42" t="str">
        <f>IFERROR(__xludf.DUMMYFUNCTION("""COMPUTED_VALUE"""),"")</f>
        <v/>
      </c>
      <c r="D14639" s="42"/>
      <c r="E14639" s="42"/>
      <c r="F14639" s="48" t="str">
        <f>IFERROR(__xludf.DUMMYFUNCTION("""COMPUTED_VALUE"""),"")</f>
        <v/>
      </c>
      <c r="G14639" s="42" t="str">
        <f>IFERROR(__xludf.DUMMYFUNCTION("""COMPUTED_VALUE"""),"")</f>
        <v/>
      </c>
      <c r="H14639" s="42">
        <f t="shared" si="1"/>
        <v>3345</v>
      </c>
    </row>
    <row r="14640" ht="22.5" customHeight="1">
      <c r="B14640" s="42" t="str">
        <f>IFERROR(__xludf.DUMMYFUNCTION("""COMPUTED_VALUE"""),"")</f>
        <v/>
      </c>
      <c r="C14640" s="42" t="str">
        <f>IFERROR(__xludf.DUMMYFUNCTION("""COMPUTED_VALUE"""),"")</f>
        <v/>
      </c>
      <c r="D14640" s="42"/>
      <c r="E14640" s="42"/>
      <c r="F14640" s="48" t="str">
        <f>IFERROR(__xludf.DUMMYFUNCTION("""COMPUTED_VALUE"""),"")</f>
        <v/>
      </c>
      <c r="G14640" s="42" t="str">
        <f>IFERROR(__xludf.DUMMYFUNCTION("""COMPUTED_VALUE"""),"")</f>
        <v/>
      </c>
      <c r="H14640" s="42">
        <f t="shared" si="1"/>
        <v>3345</v>
      </c>
    </row>
    <row r="14641" ht="22.5" customHeight="1">
      <c r="B14641" s="42" t="str">
        <f>IFERROR(__xludf.DUMMYFUNCTION("""COMPUTED_VALUE"""),"")</f>
        <v/>
      </c>
      <c r="C14641" s="42" t="str">
        <f>IFERROR(__xludf.DUMMYFUNCTION("""COMPUTED_VALUE"""),"")</f>
        <v/>
      </c>
      <c r="D14641" s="42"/>
      <c r="E14641" s="42"/>
      <c r="F14641" s="48" t="str">
        <f>IFERROR(__xludf.DUMMYFUNCTION("""COMPUTED_VALUE"""),"")</f>
        <v/>
      </c>
      <c r="G14641" s="42" t="str">
        <f>IFERROR(__xludf.DUMMYFUNCTION("""COMPUTED_VALUE"""),"")</f>
        <v/>
      </c>
      <c r="H14641" s="42">
        <f t="shared" si="1"/>
        <v>3345</v>
      </c>
    </row>
    <row r="14642" ht="22.5" customHeight="1">
      <c r="B14642" s="42" t="str">
        <f>IFERROR(__xludf.DUMMYFUNCTION("""COMPUTED_VALUE"""),"")</f>
        <v/>
      </c>
      <c r="C14642" s="42" t="str">
        <f>IFERROR(__xludf.DUMMYFUNCTION("""COMPUTED_VALUE"""),"")</f>
        <v/>
      </c>
      <c r="D14642" s="42"/>
      <c r="E14642" s="42"/>
      <c r="F14642" s="48" t="str">
        <f>IFERROR(__xludf.DUMMYFUNCTION("""COMPUTED_VALUE"""),"")</f>
        <v/>
      </c>
      <c r="G14642" s="42" t="str">
        <f>IFERROR(__xludf.DUMMYFUNCTION("""COMPUTED_VALUE"""),"")</f>
        <v/>
      </c>
      <c r="H14642" s="42">
        <f t="shared" si="1"/>
        <v>3345</v>
      </c>
    </row>
    <row r="14643" ht="22.5" customHeight="1">
      <c r="B14643" s="42" t="str">
        <f>IFERROR(__xludf.DUMMYFUNCTION("""COMPUTED_VALUE"""),"")</f>
        <v/>
      </c>
      <c r="C14643" s="42" t="str">
        <f>IFERROR(__xludf.DUMMYFUNCTION("""COMPUTED_VALUE"""),"")</f>
        <v/>
      </c>
      <c r="D14643" s="42"/>
      <c r="E14643" s="42"/>
      <c r="F14643" s="48" t="str">
        <f>IFERROR(__xludf.DUMMYFUNCTION("""COMPUTED_VALUE"""),"")</f>
        <v/>
      </c>
      <c r="G14643" s="42" t="str">
        <f>IFERROR(__xludf.DUMMYFUNCTION("""COMPUTED_VALUE"""),"")</f>
        <v/>
      </c>
      <c r="H14643" s="42">
        <f t="shared" si="1"/>
        <v>3345</v>
      </c>
    </row>
    <row r="14644" ht="22.5" customHeight="1">
      <c r="B14644" s="42" t="str">
        <f>IFERROR(__xludf.DUMMYFUNCTION("""COMPUTED_VALUE"""),"")</f>
        <v/>
      </c>
      <c r="C14644" s="42" t="str">
        <f>IFERROR(__xludf.DUMMYFUNCTION("""COMPUTED_VALUE"""),"")</f>
        <v/>
      </c>
      <c r="D14644" s="42"/>
      <c r="E14644" s="42"/>
      <c r="F14644" s="48" t="str">
        <f>IFERROR(__xludf.DUMMYFUNCTION("""COMPUTED_VALUE"""),"")</f>
        <v/>
      </c>
      <c r="G14644" s="42" t="str">
        <f>IFERROR(__xludf.DUMMYFUNCTION("""COMPUTED_VALUE"""),"")</f>
        <v/>
      </c>
      <c r="H14644" s="42">
        <f t="shared" si="1"/>
        <v>3345</v>
      </c>
    </row>
    <row r="14645" ht="22.5" customHeight="1">
      <c r="B14645" s="42" t="str">
        <f>IFERROR(__xludf.DUMMYFUNCTION("""COMPUTED_VALUE"""),"")</f>
        <v/>
      </c>
      <c r="C14645" s="42" t="str">
        <f>IFERROR(__xludf.DUMMYFUNCTION("""COMPUTED_VALUE"""),"")</f>
        <v/>
      </c>
      <c r="D14645" s="42"/>
      <c r="E14645" s="42"/>
      <c r="F14645" s="48" t="str">
        <f>IFERROR(__xludf.DUMMYFUNCTION("""COMPUTED_VALUE"""),"")</f>
        <v/>
      </c>
      <c r="G14645" s="42" t="str">
        <f>IFERROR(__xludf.DUMMYFUNCTION("""COMPUTED_VALUE"""),"")</f>
        <v/>
      </c>
      <c r="H14645" s="42">
        <f t="shared" si="1"/>
        <v>3345</v>
      </c>
    </row>
    <row r="14646" ht="22.5" customHeight="1">
      <c r="B14646" s="42" t="str">
        <f>IFERROR(__xludf.DUMMYFUNCTION("""COMPUTED_VALUE"""),"")</f>
        <v/>
      </c>
      <c r="C14646" s="42" t="str">
        <f>IFERROR(__xludf.DUMMYFUNCTION("""COMPUTED_VALUE"""),"")</f>
        <v/>
      </c>
      <c r="D14646" s="42"/>
      <c r="E14646" s="42"/>
      <c r="F14646" s="48" t="str">
        <f>IFERROR(__xludf.DUMMYFUNCTION("""COMPUTED_VALUE"""),"")</f>
        <v/>
      </c>
      <c r="G14646" s="42" t="str">
        <f>IFERROR(__xludf.DUMMYFUNCTION("""COMPUTED_VALUE"""),"")</f>
        <v/>
      </c>
      <c r="H14646" s="42">
        <f t="shared" si="1"/>
        <v>3345</v>
      </c>
    </row>
    <row r="14647" ht="22.5" customHeight="1">
      <c r="B14647" s="42" t="str">
        <f>IFERROR(__xludf.DUMMYFUNCTION("""COMPUTED_VALUE"""),"")</f>
        <v/>
      </c>
      <c r="C14647" s="42" t="str">
        <f>IFERROR(__xludf.DUMMYFUNCTION("""COMPUTED_VALUE"""),"")</f>
        <v/>
      </c>
      <c r="D14647" s="42"/>
      <c r="E14647" s="42"/>
      <c r="F14647" s="48" t="str">
        <f>IFERROR(__xludf.DUMMYFUNCTION("""COMPUTED_VALUE"""),"")</f>
        <v/>
      </c>
      <c r="G14647" s="42" t="str">
        <f>IFERROR(__xludf.DUMMYFUNCTION("""COMPUTED_VALUE"""),"")</f>
        <v/>
      </c>
      <c r="H14647" s="42">
        <f t="shared" si="1"/>
        <v>3345</v>
      </c>
    </row>
    <row r="14648" ht="22.5" customHeight="1">
      <c r="B14648" s="42" t="str">
        <f>IFERROR(__xludf.DUMMYFUNCTION("""COMPUTED_VALUE"""),"")</f>
        <v/>
      </c>
      <c r="C14648" s="42" t="str">
        <f>IFERROR(__xludf.DUMMYFUNCTION("""COMPUTED_VALUE"""),"")</f>
        <v/>
      </c>
      <c r="D14648" s="42"/>
      <c r="E14648" s="42"/>
      <c r="F14648" s="48" t="str">
        <f>IFERROR(__xludf.DUMMYFUNCTION("""COMPUTED_VALUE"""),"")</f>
        <v/>
      </c>
      <c r="G14648" s="42" t="str">
        <f>IFERROR(__xludf.DUMMYFUNCTION("""COMPUTED_VALUE"""),"")</f>
        <v/>
      </c>
      <c r="H14648" s="42">
        <f t="shared" si="1"/>
        <v>3345</v>
      </c>
    </row>
    <row r="14649" ht="22.5" customHeight="1">
      <c r="B14649" s="42" t="str">
        <f>IFERROR(__xludf.DUMMYFUNCTION("""COMPUTED_VALUE"""),"")</f>
        <v/>
      </c>
      <c r="C14649" s="42" t="str">
        <f>IFERROR(__xludf.DUMMYFUNCTION("""COMPUTED_VALUE"""),"")</f>
        <v/>
      </c>
      <c r="D14649" s="42"/>
      <c r="E14649" s="42"/>
      <c r="F14649" s="48" t="str">
        <f>IFERROR(__xludf.DUMMYFUNCTION("""COMPUTED_VALUE"""),"")</f>
        <v/>
      </c>
      <c r="G14649" s="42" t="str">
        <f>IFERROR(__xludf.DUMMYFUNCTION("""COMPUTED_VALUE"""),"")</f>
        <v/>
      </c>
      <c r="H14649" s="42">
        <f t="shared" si="1"/>
        <v>3345</v>
      </c>
    </row>
    <row r="14650" ht="22.5" customHeight="1">
      <c r="B14650" s="42" t="str">
        <f>IFERROR(__xludf.DUMMYFUNCTION("""COMPUTED_VALUE"""),"")</f>
        <v/>
      </c>
      <c r="C14650" s="42" t="str">
        <f>IFERROR(__xludf.DUMMYFUNCTION("""COMPUTED_VALUE"""),"")</f>
        <v/>
      </c>
      <c r="D14650" s="42"/>
      <c r="E14650" s="42"/>
      <c r="F14650" s="48" t="str">
        <f>IFERROR(__xludf.DUMMYFUNCTION("""COMPUTED_VALUE"""),"")</f>
        <v/>
      </c>
      <c r="G14650" s="42" t="str">
        <f>IFERROR(__xludf.DUMMYFUNCTION("""COMPUTED_VALUE"""),"")</f>
        <v/>
      </c>
      <c r="H14650" s="42">
        <f t="shared" si="1"/>
        <v>3345</v>
      </c>
    </row>
    <row r="14651" ht="22.5" customHeight="1">
      <c r="B14651" s="42" t="str">
        <f>IFERROR(__xludf.DUMMYFUNCTION("""COMPUTED_VALUE"""),"")</f>
        <v/>
      </c>
      <c r="C14651" s="42" t="str">
        <f>IFERROR(__xludf.DUMMYFUNCTION("""COMPUTED_VALUE"""),"")</f>
        <v/>
      </c>
      <c r="D14651" s="42"/>
      <c r="E14651" s="42"/>
      <c r="F14651" s="48" t="str">
        <f>IFERROR(__xludf.DUMMYFUNCTION("""COMPUTED_VALUE"""),"")</f>
        <v/>
      </c>
      <c r="G14651" s="42" t="str">
        <f>IFERROR(__xludf.DUMMYFUNCTION("""COMPUTED_VALUE"""),"")</f>
        <v/>
      </c>
      <c r="H14651" s="42">
        <f t="shared" si="1"/>
        <v>3345</v>
      </c>
    </row>
    <row r="14652" ht="22.5" customHeight="1">
      <c r="B14652" s="42" t="str">
        <f>IFERROR(__xludf.DUMMYFUNCTION("""COMPUTED_VALUE"""),"")</f>
        <v/>
      </c>
      <c r="C14652" s="42" t="str">
        <f>IFERROR(__xludf.DUMMYFUNCTION("""COMPUTED_VALUE"""),"")</f>
        <v/>
      </c>
      <c r="D14652" s="42"/>
      <c r="E14652" s="42"/>
      <c r="F14652" s="48" t="str">
        <f>IFERROR(__xludf.DUMMYFUNCTION("""COMPUTED_VALUE"""),"")</f>
        <v/>
      </c>
      <c r="G14652" s="42" t="str">
        <f>IFERROR(__xludf.DUMMYFUNCTION("""COMPUTED_VALUE"""),"")</f>
        <v/>
      </c>
      <c r="H14652" s="42">
        <f t="shared" si="1"/>
        <v>3345</v>
      </c>
    </row>
    <row r="14653" ht="22.5" customHeight="1">
      <c r="B14653" s="42" t="str">
        <f>IFERROR(__xludf.DUMMYFUNCTION("""COMPUTED_VALUE"""),"")</f>
        <v/>
      </c>
      <c r="C14653" s="42" t="str">
        <f>IFERROR(__xludf.DUMMYFUNCTION("""COMPUTED_VALUE"""),"")</f>
        <v/>
      </c>
      <c r="D14653" s="42"/>
      <c r="E14653" s="42"/>
      <c r="F14653" s="48" t="str">
        <f>IFERROR(__xludf.DUMMYFUNCTION("""COMPUTED_VALUE"""),"")</f>
        <v/>
      </c>
      <c r="G14653" s="42" t="str">
        <f>IFERROR(__xludf.DUMMYFUNCTION("""COMPUTED_VALUE"""),"")</f>
        <v/>
      </c>
      <c r="H14653" s="42">
        <f t="shared" si="1"/>
        <v>3345</v>
      </c>
    </row>
    <row r="14654" ht="22.5" customHeight="1">
      <c r="B14654" s="42" t="str">
        <f>IFERROR(__xludf.DUMMYFUNCTION("""COMPUTED_VALUE"""),"")</f>
        <v/>
      </c>
      <c r="C14654" s="42" t="str">
        <f>IFERROR(__xludf.DUMMYFUNCTION("""COMPUTED_VALUE"""),"")</f>
        <v/>
      </c>
      <c r="D14654" s="42"/>
      <c r="E14654" s="42"/>
      <c r="F14654" s="48" t="str">
        <f>IFERROR(__xludf.DUMMYFUNCTION("""COMPUTED_VALUE"""),"")</f>
        <v/>
      </c>
      <c r="G14654" s="42" t="str">
        <f>IFERROR(__xludf.DUMMYFUNCTION("""COMPUTED_VALUE"""),"")</f>
        <v/>
      </c>
      <c r="H14654" s="42">
        <f t="shared" si="1"/>
        <v>3345</v>
      </c>
    </row>
    <row r="14655" ht="22.5" customHeight="1">
      <c r="B14655" s="42" t="str">
        <f>IFERROR(__xludf.DUMMYFUNCTION("""COMPUTED_VALUE"""),"")</f>
        <v/>
      </c>
      <c r="C14655" s="42" t="str">
        <f>IFERROR(__xludf.DUMMYFUNCTION("""COMPUTED_VALUE"""),"")</f>
        <v/>
      </c>
      <c r="D14655" s="42"/>
      <c r="E14655" s="42"/>
      <c r="F14655" s="48" t="str">
        <f>IFERROR(__xludf.DUMMYFUNCTION("""COMPUTED_VALUE"""),"")</f>
        <v/>
      </c>
      <c r="G14655" s="42" t="str">
        <f>IFERROR(__xludf.DUMMYFUNCTION("""COMPUTED_VALUE"""),"")</f>
        <v/>
      </c>
      <c r="H14655" s="42">
        <f t="shared" si="1"/>
        <v>3345</v>
      </c>
    </row>
    <row r="14656" ht="22.5" customHeight="1">
      <c r="B14656" s="42" t="str">
        <f>IFERROR(__xludf.DUMMYFUNCTION("""COMPUTED_VALUE"""),"")</f>
        <v/>
      </c>
      <c r="C14656" s="42" t="str">
        <f>IFERROR(__xludf.DUMMYFUNCTION("""COMPUTED_VALUE"""),"")</f>
        <v/>
      </c>
      <c r="D14656" s="42"/>
      <c r="E14656" s="42"/>
      <c r="F14656" s="48" t="str">
        <f>IFERROR(__xludf.DUMMYFUNCTION("""COMPUTED_VALUE"""),"")</f>
        <v/>
      </c>
      <c r="G14656" s="42" t="str">
        <f>IFERROR(__xludf.DUMMYFUNCTION("""COMPUTED_VALUE"""),"")</f>
        <v/>
      </c>
      <c r="H14656" s="42">
        <f t="shared" si="1"/>
        <v>3345</v>
      </c>
    </row>
    <row r="14657" ht="22.5" customHeight="1">
      <c r="B14657" s="42" t="str">
        <f>IFERROR(__xludf.DUMMYFUNCTION("""COMPUTED_VALUE"""),"")</f>
        <v/>
      </c>
      <c r="C14657" s="42" t="str">
        <f>IFERROR(__xludf.DUMMYFUNCTION("""COMPUTED_VALUE"""),"")</f>
        <v/>
      </c>
      <c r="D14657" s="42"/>
      <c r="E14657" s="42"/>
      <c r="F14657" s="48" t="str">
        <f>IFERROR(__xludf.DUMMYFUNCTION("""COMPUTED_VALUE"""),"")</f>
        <v/>
      </c>
      <c r="G14657" s="42" t="str">
        <f>IFERROR(__xludf.DUMMYFUNCTION("""COMPUTED_VALUE"""),"")</f>
        <v/>
      </c>
      <c r="H14657" s="42">
        <f t="shared" si="1"/>
        <v>3345</v>
      </c>
    </row>
    <row r="14658" ht="22.5" customHeight="1">
      <c r="B14658" s="42" t="str">
        <f>IFERROR(__xludf.DUMMYFUNCTION("""COMPUTED_VALUE"""),"")</f>
        <v/>
      </c>
      <c r="C14658" s="42" t="str">
        <f>IFERROR(__xludf.DUMMYFUNCTION("""COMPUTED_VALUE"""),"")</f>
        <v/>
      </c>
      <c r="D14658" s="42"/>
      <c r="E14658" s="42"/>
      <c r="F14658" s="48" t="str">
        <f>IFERROR(__xludf.DUMMYFUNCTION("""COMPUTED_VALUE"""),"")</f>
        <v/>
      </c>
      <c r="G14658" s="42" t="str">
        <f>IFERROR(__xludf.DUMMYFUNCTION("""COMPUTED_VALUE"""),"")</f>
        <v/>
      </c>
      <c r="H14658" s="42">
        <f t="shared" si="1"/>
        <v>3345</v>
      </c>
    </row>
    <row r="14659" ht="22.5" customHeight="1">
      <c r="B14659" s="42" t="str">
        <f>IFERROR(__xludf.DUMMYFUNCTION("""COMPUTED_VALUE"""),"")</f>
        <v/>
      </c>
      <c r="C14659" s="42" t="str">
        <f>IFERROR(__xludf.DUMMYFUNCTION("""COMPUTED_VALUE"""),"")</f>
        <v/>
      </c>
      <c r="D14659" s="42"/>
      <c r="E14659" s="42"/>
      <c r="F14659" s="48" t="str">
        <f>IFERROR(__xludf.DUMMYFUNCTION("""COMPUTED_VALUE"""),"")</f>
        <v/>
      </c>
      <c r="G14659" s="42" t="str">
        <f>IFERROR(__xludf.DUMMYFUNCTION("""COMPUTED_VALUE"""),"")</f>
        <v/>
      </c>
      <c r="H14659" s="42">
        <f t="shared" si="1"/>
        <v>3345</v>
      </c>
    </row>
    <row r="14660" ht="22.5" customHeight="1">
      <c r="B14660" s="42" t="str">
        <f>IFERROR(__xludf.DUMMYFUNCTION("""COMPUTED_VALUE"""),"")</f>
        <v/>
      </c>
      <c r="C14660" s="42" t="str">
        <f>IFERROR(__xludf.DUMMYFUNCTION("""COMPUTED_VALUE"""),"")</f>
        <v/>
      </c>
      <c r="D14660" s="42"/>
      <c r="E14660" s="42"/>
      <c r="F14660" s="48" t="str">
        <f>IFERROR(__xludf.DUMMYFUNCTION("""COMPUTED_VALUE"""),"")</f>
        <v/>
      </c>
      <c r="G14660" s="42" t="str">
        <f>IFERROR(__xludf.DUMMYFUNCTION("""COMPUTED_VALUE"""),"")</f>
        <v/>
      </c>
      <c r="H14660" s="42">
        <f t="shared" si="1"/>
        <v>3345</v>
      </c>
    </row>
    <row r="14661" ht="22.5" customHeight="1">
      <c r="B14661" s="42" t="str">
        <f>IFERROR(__xludf.DUMMYFUNCTION("""COMPUTED_VALUE"""),"")</f>
        <v/>
      </c>
      <c r="C14661" s="42" t="str">
        <f>IFERROR(__xludf.DUMMYFUNCTION("""COMPUTED_VALUE"""),"")</f>
        <v/>
      </c>
      <c r="D14661" s="42"/>
      <c r="E14661" s="42"/>
      <c r="F14661" s="48" t="str">
        <f>IFERROR(__xludf.DUMMYFUNCTION("""COMPUTED_VALUE"""),"")</f>
        <v/>
      </c>
      <c r="G14661" s="42" t="str">
        <f>IFERROR(__xludf.DUMMYFUNCTION("""COMPUTED_VALUE"""),"")</f>
        <v/>
      </c>
      <c r="H14661" s="42">
        <f t="shared" si="1"/>
        <v>3345</v>
      </c>
    </row>
    <row r="14662" ht="22.5" customHeight="1">
      <c r="B14662" s="42" t="str">
        <f>IFERROR(__xludf.DUMMYFUNCTION("""COMPUTED_VALUE"""),"")</f>
        <v/>
      </c>
      <c r="C14662" s="42" t="str">
        <f>IFERROR(__xludf.DUMMYFUNCTION("""COMPUTED_VALUE"""),"")</f>
        <v/>
      </c>
      <c r="D14662" s="42"/>
      <c r="E14662" s="42"/>
      <c r="F14662" s="48" t="str">
        <f>IFERROR(__xludf.DUMMYFUNCTION("""COMPUTED_VALUE"""),"")</f>
        <v/>
      </c>
      <c r="G14662" s="42" t="str">
        <f>IFERROR(__xludf.DUMMYFUNCTION("""COMPUTED_VALUE"""),"")</f>
        <v/>
      </c>
      <c r="H14662" s="42">
        <f t="shared" si="1"/>
        <v>3345</v>
      </c>
    </row>
    <row r="14663" ht="22.5" customHeight="1">
      <c r="B14663" s="42" t="str">
        <f>IFERROR(__xludf.DUMMYFUNCTION("""COMPUTED_VALUE"""),"")</f>
        <v/>
      </c>
      <c r="C14663" s="42" t="str">
        <f>IFERROR(__xludf.DUMMYFUNCTION("""COMPUTED_VALUE"""),"")</f>
        <v/>
      </c>
      <c r="D14663" s="42"/>
      <c r="E14663" s="42"/>
      <c r="F14663" s="48" t="str">
        <f>IFERROR(__xludf.DUMMYFUNCTION("""COMPUTED_VALUE"""),"")</f>
        <v/>
      </c>
      <c r="G14663" s="42" t="str">
        <f>IFERROR(__xludf.DUMMYFUNCTION("""COMPUTED_VALUE"""),"")</f>
        <v/>
      </c>
      <c r="H14663" s="42">
        <f t="shared" si="1"/>
        <v>3345</v>
      </c>
    </row>
    <row r="14664" ht="22.5" customHeight="1">
      <c r="B14664" s="42" t="str">
        <f>IFERROR(__xludf.DUMMYFUNCTION("""COMPUTED_VALUE"""),"")</f>
        <v/>
      </c>
      <c r="C14664" s="42" t="str">
        <f>IFERROR(__xludf.DUMMYFUNCTION("""COMPUTED_VALUE"""),"")</f>
        <v/>
      </c>
      <c r="D14664" s="42"/>
      <c r="E14664" s="42"/>
      <c r="F14664" s="48" t="str">
        <f>IFERROR(__xludf.DUMMYFUNCTION("""COMPUTED_VALUE"""),"")</f>
        <v/>
      </c>
      <c r="G14664" s="42" t="str">
        <f>IFERROR(__xludf.DUMMYFUNCTION("""COMPUTED_VALUE"""),"")</f>
        <v/>
      </c>
      <c r="H14664" s="42">
        <f t="shared" si="1"/>
        <v>3345</v>
      </c>
    </row>
    <row r="14665" ht="22.5" customHeight="1">
      <c r="B14665" s="42" t="str">
        <f>IFERROR(__xludf.DUMMYFUNCTION("""COMPUTED_VALUE"""),"")</f>
        <v/>
      </c>
      <c r="C14665" s="42" t="str">
        <f>IFERROR(__xludf.DUMMYFUNCTION("""COMPUTED_VALUE"""),"")</f>
        <v/>
      </c>
      <c r="D14665" s="42"/>
      <c r="E14665" s="42"/>
      <c r="F14665" s="48" t="str">
        <f>IFERROR(__xludf.DUMMYFUNCTION("""COMPUTED_VALUE"""),"")</f>
        <v/>
      </c>
      <c r="G14665" s="42" t="str">
        <f>IFERROR(__xludf.DUMMYFUNCTION("""COMPUTED_VALUE"""),"")</f>
        <v/>
      </c>
      <c r="H14665" s="42">
        <f t="shared" si="1"/>
        <v>3345</v>
      </c>
    </row>
    <row r="14666" ht="22.5" customHeight="1">
      <c r="B14666" s="42" t="str">
        <f>IFERROR(__xludf.DUMMYFUNCTION("""COMPUTED_VALUE"""),"")</f>
        <v/>
      </c>
      <c r="C14666" s="42" t="str">
        <f>IFERROR(__xludf.DUMMYFUNCTION("""COMPUTED_VALUE"""),"")</f>
        <v/>
      </c>
      <c r="D14666" s="42"/>
      <c r="E14666" s="42"/>
      <c r="F14666" s="48" t="str">
        <f>IFERROR(__xludf.DUMMYFUNCTION("""COMPUTED_VALUE"""),"")</f>
        <v/>
      </c>
      <c r="G14666" s="42" t="str">
        <f>IFERROR(__xludf.DUMMYFUNCTION("""COMPUTED_VALUE"""),"")</f>
        <v/>
      </c>
      <c r="H14666" s="42">
        <f t="shared" si="1"/>
        <v>3345</v>
      </c>
    </row>
    <row r="14667" ht="22.5" customHeight="1">
      <c r="B14667" s="42" t="str">
        <f>IFERROR(__xludf.DUMMYFUNCTION("""COMPUTED_VALUE"""),"")</f>
        <v/>
      </c>
      <c r="C14667" s="42" t="str">
        <f>IFERROR(__xludf.DUMMYFUNCTION("""COMPUTED_VALUE"""),"")</f>
        <v/>
      </c>
      <c r="D14667" s="42"/>
      <c r="E14667" s="42"/>
      <c r="F14667" s="48" t="str">
        <f>IFERROR(__xludf.DUMMYFUNCTION("""COMPUTED_VALUE"""),"")</f>
        <v/>
      </c>
      <c r="G14667" s="42" t="str">
        <f>IFERROR(__xludf.DUMMYFUNCTION("""COMPUTED_VALUE"""),"")</f>
        <v/>
      </c>
      <c r="H14667" s="42">
        <f t="shared" si="1"/>
        <v>3345</v>
      </c>
    </row>
    <row r="14668" ht="22.5" customHeight="1">
      <c r="B14668" s="42" t="str">
        <f>IFERROR(__xludf.DUMMYFUNCTION("""COMPUTED_VALUE"""),"")</f>
        <v/>
      </c>
      <c r="C14668" s="42" t="str">
        <f>IFERROR(__xludf.DUMMYFUNCTION("""COMPUTED_VALUE"""),"")</f>
        <v/>
      </c>
      <c r="D14668" s="42"/>
      <c r="E14668" s="42"/>
      <c r="F14668" s="48" t="str">
        <f>IFERROR(__xludf.DUMMYFUNCTION("""COMPUTED_VALUE"""),"")</f>
        <v/>
      </c>
      <c r="G14668" s="42" t="str">
        <f>IFERROR(__xludf.DUMMYFUNCTION("""COMPUTED_VALUE"""),"")</f>
        <v/>
      </c>
      <c r="H14668" s="42">
        <f t="shared" si="1"/>
        <v>3345</v>
      </c>
    </row>
    <row r="14669" ht="22.5" customHeight="1">
      <c r="B14669" s="42" t="str">
        <f>IFERROR(__xludf.DUMMYFUNCTION("""COMPUTED_VALUE"""),"")</f>
        <v/>
      </c>
      <c r="C14669" s="42" t="str">
        <f>IFERROR(__xludf.DUMMYFUNCTION("""COMPUTED_VALUE"""),"")</f>
        <v/>
      </c>
      <c r="D14669" s="42"/>
      <c r="E14669" s="42"/>
      <c r="F14669" s="48" t="str">
        <f>IFERROR(__xludf.DUMMYFUNCTION("""COMPUTED_VALUE"""),"")</f>
        <v/>
      </c>
      <c r="G14669" s="42" t="str">
        <f>IFERROR(__xludf.DUMMYFUNCTION("""COMPUTED_VALUE"""),"")</f>
        <v/>
      </c>
      <c r="H14669" s="42">
        <f t="shared" si="1"/>
        <v>3345</v>
      </c>
    </row>
    <row r="14670" ht="22.5" customHeight="1">
      <c r="B14670" s="42" t="str">
        <f>IFERROR(__xludf.DUMMYFUNCTION("""COMPUTED_VALUE"""),"")</f>
        <v/>
      </c>
      <c r="C14670" s="42" t="str">
        <f>IFERROR(__xludf.DUMMYFUNCTION("""COMPUTED_VALUE"""),"")</f>
        <v/>
      </c>
      <c r="D14670" s="42"/>
      <c r="E14670" s="42"/>
      <c r="F14670" s="48" t="str">
        <f>IFERROR(__xludf.DUMMYFUNCTION("""COMPUTED_VALUE"""),"")</f>
        <v/>
      </c>
      <c r="G14670" s="42" t="str">
        <f>IFERROR(__xludf.DUMMYFUNCTION("""COMPUTED_VALUE"""),"")</f>
        <v/>
      </c>
      <c r="H14670" s="42">
        <f t="shared" si="1"/>
        <v>3345</v>
      </c>
    </row>
    <row r="14671" ht="22.5" customHeight="1">
      <c r="B14671" s="42" t="str">
        <f>IFERROR(__xludf.DUMMYFUNCTION("""COMPUTED_VALUE"""),"")</f>
        <v/>
      </c>
      <c r="C14671" s="42" t="str">
        <f>IFERROR(__xludf.DUMMYFUNCTION("""COMPUTED_VALUE"""),"")</f>
        <v/>
      </c>
      <c r="D14671" s="42"/>
      <c r="E14671" s="42"/>
      <c r="F14671" s="48" t="str">
        <f>IFERROR(__xludf.DUMMYFUNCTION("""COMPUTED_VALUE"""),"")</f>
        <v/>
      </c>
      <c r="G14671" s="42" t="str">
        <f>IFERROR(__xludf.DUMMYFUNCTION("""COMPUTED_VALUE"""),"")</f>
        <v/>
      </c>
      <c r="H14671" s="42">
        <f t="shared" si="1"/>
        <v>3345</v>
      </c>
    </row>
    <row r="14672" ht="22.5" customHeight="1">
      <c r="B14672" s="42" t="str">
        <f>IFERROR(__xludf.DUMMYFUNCTION("""COMPUTED_VALUE"""),"")</f>
        <v/>
      </c>
      <c r="C14672" s="42" t="str">
        <f>IFERROR(__xludf.DUMMYFUNCTION("""COMPUTED_VALUE"""),"")</f>
        <v/>
      </c>
      <c r="D14672" s="42"/>
      <c r="E14672" s="42"/>
      <c r="F14672" s="48" t="str">
        <f>IFERROR(__xludf.DUMMYFUNCTION("""COMPUTED_VALUE"""),"")</f>
        <v/>
      </c>
      <c r="G14672" s="42" t="str">
        <f>IFERROR(__xludf.DUMMYFUNCTION("""COMPUTED_VALUE"""),"")</f>
        <v/>
      </c>
      <c r="H14672" s="42">
        <f t="shared" si="1"/>
        <v>3345</v>
      </c>
    </row>
    <row r="14673" ht="22.5" customHeight="1">
      <c r="B14673" s="42" t="str">
        <f>IFERROR(__xludf.DUMMYFUNCTION("""COMPUTED_VALUE"""),"")</f>
        <v/>
      </c>
      <c r="C14673" s="42" t="str">
        <f>IFERROR(__xludf.DUMMYFUNCTION("""COMPUTED_VALUE"""),"")</f>
        <v/>
      </c>
      <c r="D14673" s="42"/>
      <c r="E14673" s="42"/>
      <c r="F14673" s="48" t="str">
        <f>IFERROR(__xludf.DUMMYFUNCTION("""COMPUTED_VALUE"""),"")</f>
        <v/>
      </c>
      <c r="G14673" s="42" t="str">
        <f>IFERROR(__xludf.DUMMYFUNCTION("""COMPUTED_VALUE"""),"")</f>
        <v/>
      </c>
      <c r="H14673" s="42">
        <f t="shared" si="1"/>
        <v>3345</v>
      </c>
    </row>
    <row r="14674" ht="22.5" customHeight="1">
      <c r="B14674" s="42" t="str">
        <f>IFERROR(__xludf.DUMMYFUNCTION("""COMPUTED_VALUE"""),"")</f>
        <v/>
      </c>
      <c r="C14674" s="42" t="str">
        <f>IFERROR(__xludf.DUMMYFUNCTION("""COMPUTED_VALUE"""),"")</f>
        <v/>
      </c>
      <c r="D14674" s="42"/>
      <c r="E14674" s="42"/>
      <c r="F14674" s="48" t="str">
        <f>IFERROR(__xludf.DUMMYFUNCTION("""COMPUTED_VALUE"""),"")</f>
        <v/>
      </c>
      <c r="G14674" s="42" t="str">
        <f>IFERROR(__xludf.DUMMYFUNCTION("""COMPUTED_VALUE"""),"")</f>
        <v/>
      </c>
      <c r="H14674" s="42">
        <f t="shared" si="1"/>
        <v>3345</v>
      </c>
    </row>
    <row r="14675" ht="22.5" customHeight="1">
      <c r="B14675" s="42" t="str">
        <f>IFERROR(__xludf.DUMMYFUNCTION("""COMPUTED_VALUE"""),"")</f>
        <v/>
      </c>
      <c r="C14675" s="42" t="str">
        <f>IFERROR(__xludf.DUMMYFUNCTION("""COMPUTED_VALUE"""),"")</f>
        <v/>
      </c>
      <c r="D14675" s="42"/>
      <c r="E14675" s="42"/>
      <c r="F14675" s="48" t="str">
        <f>IFERROR(__xludf.DUMMYFUNCTION("""COMPUTED_VALUE"""),"")</f>
        <v/>
      </c>
      <c r="G14675" s="42" t="str">
        <f>IFERROR(__xludf.DUMMYFUNCTION("""COMPUTED_VALUE"""),"")</f>
        <v/>
      </c>
      <c r="H14675" s="42">
        <f t="shared" si="1"/>
        <v>3345</v>
      </c>
    </row>
    <row r="14676" ht="22.5" customHeight="1">
      <c r="B14676" s="42" t="str">
        <f>IFERROR(__xludf.DUMMYFUNCTION("""COMPUTED_VALUE"""),"")</f>
        <v/>
      </c>
      <c r="C14676" s="42" t="str">
        <f>IFERROR(__xludf.DUMMYFUNCTION("""COMPUTED_VALUE"""),"")</f>
        <v/>
      </c>
      <c r="D14676" s="42"/>
      <c r="E14676" s="42"/>
      <c r="F14676" s="48" t="str">
        <f>IFERROR(__xludf.DUMMYFUNCTION("""COMPUTED_VALUE"""),"")</f>
        <v/>
      </c>
      <c r="G14676" s="42" t="str">
        <f>IFERROR(__xludf.DUMMYFUNCTION("""COMPUTED_VALUE"""),"")</f>
        <v/>
      </c>
      <c r="H14676" s="42">
        <f t="shared" si="1"/>
        <v>3345</v>
      </c>
    </row>
    <row r="14677" ht="22.5" customHeight="1">
      <c r="B14677" s="42" t="str">
        <f>IFERROR(__xludf.DUMMYFUNCTION("""COMPUTED_VALUE"""),"")</f>
        <v/>
      </c>
      <c r="C14677" s="42" t="str">
        <f>IFERROR(__xludf.DUMMYFUNCTION("""COMPUTED_VALUE"""),"")</f>
        <v/>
      </c>
      <c r="D14677" s="42"/>
      <c r="E14677" s="42"/>
      <c r="F14677" s="48" t="str">
        <f>IFERROR(__xludf.DUMMYFUNCTION("""COMPUTED_VALUE"""),"")</f>
        <v/>
      </c>
      <c r="G14677" s="42" t="str">
        <f>IFERROR(__xludf.DUMMYFUNCTION("""COMPUTED_VALUE"""),"")</f>
        <v/>
      </c>
      <c r="H14677" s="42">
        <f t="shared" si="1"/>
        <v>3345</v>
      </c>
    </row>
    <row r="14678" ht="22.5" customHeight="1">
      <c r="B14678" s="42" t="str">
        <f>IFERROR(__xludf.DUMMYFUNCTION("""COMPUTED_VALUE"""),"")</f>
        <v/>
      </c>
      <c r="C14678" s="42" t="str">
        <f>IFERROR(__xludf.DUMMYFUNCTION("""COMPUTED_VALUE"""),"")</f>
        <v/>
      </c>
      <c r="D14678" s="42"/>
      <c r="E14678" s="42"/>
      <c r="F14678" s="48" t="str">
        <f>IFERROR(__xludf.DUMMYFUNCTION("""COMPUTED_VALUE"""),"")</f>
        <v/>
      </c>
      <c r="G14678" s="42" t="str">
        <f>IFERROR(__xludf.DUMMYFUNCTION("""COMPUTED_VALUE"""),"")</f>
        <v/>
      </c>
      <c r="H14678" s="42">
        <f t="shared" si="1"/>
        <v>3345</v>
      </c>
    </row>
    <row r="14679" ht="22.5" customHeight="1">
      <c r="B14679" s="42" t="str">
        <f>IFERROR(__xludf.DUMMYFUNCTION("""COMPUTED_VALUE"""),"")</f>
        <v/>
      </c>
      <c r="C14679" s="42" t="str">
        <f>IFERROR(__xludf.DUMMYFUNCTION("""COMPUTED_VALUE"""),"")</f>
        <v/>
      </c>
      <c r="D14679" s="42"/>
      <c r="E14679" s="42"/>
      <c r="F14679" s="48" t="str">
        <f>IFERROR(__xludf.DUMMYFUNCTION("""COMPUTED_VALUE"""),"")</f>
        <v/>
      </c>
      <c r="G14679" s="42" t="str">
        <f>IFERROR(__xludf.DUMMYFUNCTION("""COMPUTED_VALUE"""),"")</f>
        <v/>
      </c>
      <c r="H14679" s="42">
        <f t="shared" si="1"/>
        <v>3345</v>
      </c>
    </row>
    <row r="14680" ht="22.5" customHeight="1">
      <c r="B14680" s="42" t="str">
        <f>IFERROR(__xludf.DUMMYFUNCTION("""COMPUTED_VALUE"""),"")</f>
        <v/>
      </c>
      <c r="C14680" s="42" t="str">
        <f>IFERROR(__xludf.DUMMYFUNCTION("""COMPUTED_VALUE"""),"")</f>
        <v/>
      </c>
      <c r="D14680" s="42"/>
      <c r="E14680" s="42"/>
      <c r="F14680" s="48" t="str">
        <f>IFERROR(__xludf.DUMMYFUNCTION("""COMPUTED_VALUE"""),"")</f>
        <v/>
      </c>
      <c r="G14680" s="42" t="str">
        <f>IFERROR(__xludf.DUMMYFUNCTION("""COMPUTED_VALUE"""),"")</f>
        <v/>
      </c>
      <c r="H14680" s="42">
        <f t="shared" si="1"/>
        <v>3345</v>
      </c>
    </row>
    <row r="14681" ht="22.5" customHeight="1">
      <c r="B14681" s="42" t="str">
        <f>IFERROR(__xludf.DUMMYFUNCTION("""COMPUTED_VALUE"""),"")</f>
        <v/>
      </c>
      <c r="C14681" s="42" t="str">
        <f>IFERROR(__xludf.DUMMYFUNCTION("""COMPUTED_VALUE"""),"")</f>
        <v/>
      </c>
      <c r="D14681" s="42"/>
      <c r="E14681" s="42"/>
      <c r="F14681" s="48" t="str">
        <f>IFERROR(__xludf.DUMMYFUNCTION("""COMPUTED_VALUE"""),"")</f>
        <v/>
      </c>
      <c r="G14681" s="42" t="str">
        <f>IFERROR(__xludf.DUMMYFUNCTION("""COMPUTED_VALUE"""),"")</f>
        <v/>
      </c>
      <c r="H14681" s="42">
        <f t="shared" si="1"/>
        <v>3345</v>
      </c>
    </row>
    <row r="14682" ht="22.5" customHeight="1">
      <c r="B14682" s="42" t="str">
        <f>IFERROR(__xludf.DUMMYFUNCTION("""COMPUTED_VALUE"""),"")</f>
        <v/>
      </c>
      <c r="C14682" s="42" t="str">
        <f>IFERROR(__xludf.DUMMYFUNCTION("""COMPUTED_VALUE"""),"")</f>
        <v/>
      </c>
      <c r="D14682" s="42"/>
      <c r="E14682" s="42"/>
      <c r="F14682" s="48" t="str">
        <f>IFERROR(__xludf.DUMMYFUNCTION("""COMPUTED_VALUE"""),"")</f>
        <v/>
      </c>
      <c r="G14682" s="42" t="str">
        <f>IFERROR(__xludf.DUMMYFUNCTION("""COMPUTED_VALUE"""),"")</f>
        <v/>
      </c>
      <c r="H14682" s="42">
        <f t="shared" si="1"/>
        <v>3345</v>
      </c>
    </row>
    <row r="14683" ht="22.5" customHeight="1">
      <c r="B14683" s="42" t="str">
        <f>IFERROR(__xludf.DUMMYFUNCTION("""COMPUTED_VALUE"""),"")</f>
        <v/>
      </c>
      <c r="C14683" s="42" t="str">
        <f>IFERROR(__xludf.DUMMYFUNCTION("""COMPUTED_VALUE"""),"")</f>
        <v/>
      </c>
      <c r="D14683" s="42"/>
      <c r="E14683" s="42"/>
      <c r="F14683" s="48" t="str">
        <f>IFERROR(__xludf.DUMMYFUNCTION("""COMPUTED_VALUE"""),"")</f>
        <v/>
      </c>
      <c r="G14683" s="42" t="str">
        <f>IFERROR(__xludf.DUMMYFUNCTION("""COMPUTED_VALUE"""),"")</f>
        <v/>
      </c>
      <c r="H14683" s="42">
        <f t="shared" si="1"/>
        <v>3345</v>
      </c>
    </row>
    <row r="14684" ht="22.5" customHeight="1">
      <c r="B14684" s="42" t="str">
        <f>IFERROR(__xludf.DUMMYFUNCTION("""COMPUTED_VALUE"""),"")</f>
        <v/>
      </c>
      <c r="C14684" s="42" t="str">
        <f>IFERROR(__xludf.DUMMYFUNCTION("""COMPUTED_VALUE"""),"")</f>
        <v/>
      </c>
      <c r="D14684" s="42"/>
      <c r="E14684" s="42"/>
      <c r="F14684" s="48" t="str">
        <f>IFERROR(__xludf.DUMMYFUNCTION("""COMPUTED_VALUE"""),"")</f>
        <v/>
      </c>
      <c r="G14684" s="42" t="str">
        <f>IFERROR(__xludf.DUMMYFUNCTION("""COMPUTED_VALUE"""),"")</f>
        <v/>
      </c>
      <c r="H14684" s="42">
        <f t="shared" si="1"/>
        <v>3345</v>
      </c>
    </row>
    <row r="14685" ht="22.5" customHeight="1">
      <c r="B14685" s="42" t="str">
        <f>IFERROR(__xludf.DUMMYFUNCTION("""COMPUTED_VALUE"""),"")</f>
        <v/>
      </c>
      <c r="C14685" s="42" t="str">
        <f>IFERROR(__xludf.DUMMYFUNCTION("""COMPUTED_VALUE"""),"")</f>
        <v/>
      </c>
      <c r="D14685" s="42"/>
      <c r="E14685" s="42"/>
      <c r="F14685" s="48" t="str">
        <f>IFERROR(__xludf.DUMMYFUNCTION("""COMPUTED_VALUE"""),"")</f>
        <v/>
      </c>
      <c r="G14685" s="42" t="str">
        <f>IFERROR(__xludf.DUMMYFUNCTION("""COMPUTED_VALUE"""),"")</f>
        <v/>
      </c>
      <c r="H14685" s="42">
        <f t="shared" si="1"/>
        <v>3345</v>
      </c>
    </row>
    <row r="14686" ht="22.5" customHeight="1">
      <c r="B14686" s="42" t="str">
        <f>IFERROR(__xludf.DUMMYFUNCTION("""COMPUTED_VALUE"""),"")</f>
        <v/>
      </c>
      <c r="C14686" s="42" t="str">
        <f>IFERROR(__xludf.DUMMYFUNCTION("""COMPUTED_VALUE"""),"")</f>
        <v/>
      </c>
      <c r="D14686" s="42"/>
      <c r="E14686" s="42"/>
      <c r="F14686" s="48" t="str">
        <f>IFERROR(__xludf.DUMMYFUNCTION("""COMPUTED_VALUE"""),"")</f>
        <v/>
      </c>
      <c r="G14686" s="42" t="str">
        <f>IFERROR(__xludf.DUMMYFUNCTION("""COMPUTED_VALUE"""),"")</f>
        <v/>
      </c>
      <c r="H14686" s="42">
        <f t="shared" si="1"/>
        <v>3345</v>
      </c>
    </row>
    <row r="14687" ht="22.5" customHeight="1">
      <c r="B14687" s="42" t="str">
        <f>IFERROR(__xludf.DUMMYFUNCTION("""COMPUTED_VALUE"""),"")</f>
        <v/>
      </c>
      <c r="C14687" s="42" t="str">
        <f>IFERROR(__xludf.DUMMYFUNCTION("""COMPUTED_VALUE"""),"")</f>
        <v/>
      </c>
      <c r="D14687" s="42"/>
      <c r="E14687" s="42"/>
      <c r="F14687" s="48" t="str">
        <f>IFERROR(__xludf.DUMMYFUNCTION("""COMPUTED_VALUE"""),"")</f>
        <v/>
      </c>
      <c r="G14687" s="42" t="str">
        <f>IFERROR(__xludf.DUMMYFUNCTION("""COMPUTED_VALUE"""),"")</f>
        <v/>
      </c>
      <c r="H14687" s="42">
        <f t="shared" si="1"/>
        <v>3345</v>
      </c>
    </row>
    <row r="14688" ht="22.5" customHeight="1">
      <c r="B14688" s="42" t="str">
        <f>IFERROR(__xludf.DUMMYFUNCTION("""COMPUTED_VALUE"""),"")</f>
        <v/>
      </c>
      <c r="C14688" s="42" t="str">
        <f>IFERROR(__xludf.DUMMYFUNCTION("""COMPUTED_VALUE"""),"")</f>
        <v/>
      </c>
      <c r="D14688" s="42"/>
      <c r="E14688" s="42"/>
      <c r="F14688" s="48" t="str">
        <f>IFERROR(__xludf.DUMMYFUNCTION("""COMPUTED_VALUE"""),"")</f>
        <v/>
      </c>
      <c r="G14688" s="42" t="str">
        <f>IFERROR(__xludf.DUMMYFUNCTION("""COMPUTED_VALUE"""),"")</f>
        <v/>
      </c>
      <c r="H14688" s="42">
        <f t="shared" si="1"/>
        <v>3345</v>
      </c>
    </row>
    <row r="14689" ht="22.5" customHeight="1">
      <c r="B14689" s="42" t="str">
        <f>IFERROR(__xludf.DUMMYFUNCTION("""COMPUTED_VALUE"""),"")</f>
        <v/>
      </c>
      <c r="C14689" s="42" t="str">
        <f>IFERROR(__xludf.DUMMYFUNCTION("""COMPUTED_VALUE"""),"")</f>
        <v/>
      </c>
      <c r="D14689" s="42"/>
      <c r="E14689" s="42"/>
      <c r="F14689" s="48" t="str">
        <f>IFERROR(__xludf.DUMMYFUNCTION("""COMPUTED_VALUE"""),"")</f>
        <v/>
      </c>
      <c r="G14689" s="42" t="str">
        <f>IFERROR(__xludf.DUMMYFUNCTION("""COMPUTED_VALUE"""),"")</f>
        <v/>
      </c>
      <c r="H14689" s="42">
        <f t="shared" si="1"/>
        <v>3345</v>
      </c>
    </row>
    <row r="14690" ht="22.5" customHeight="1">
      <c r="B14690" s="42" t="str">
        <f>IFERROR(__xludf.DUMMYFUNCTION("""COMPUTED_VALUE"""),"")</f>
        <v/>
      </c>
      <c r="C14690" s="42" t="str">
        <f>IFERROR(__xludf.DUMMYFUNCTION("""COMPUTED_VALUE"""),"")</f>
        <v/>
      </c>
      <c r="D14690" s="42"/>
      <c r="E14690" s="42"/>
      <c r="F14690" s="48" t="str">
        <f>IFERROR(__xludf.DUMMYFUNCTION("""COMPUTED_VALUE"""),"")</f>
        <v/>
      </c>
      <c r="G14690" s="42" t="str">
        <f>IFERROR(__xludf.DUMMYFUNCTION("""COMPUTED_VALUE"""),"")</f>
        <v/>
      </c>
      <c r="H14690" s="42">
        <f t="shared" si="1"/>
        <v>3345</v>
      </c>
    </row>
    <row r="14691" ht="22.5" customHeight="1">
      <c r="B14691" s="42" t="str">
        <f>IFERROR(__xludf.DUMMYFUNCTION("""COMPUTED_VALUE"""),"")</f>
        <v/>
      </c>
      <c r="C14691" s="42" t="str">
        <f>IFERROR(__xludf.DUMMYFUNCTION("""COMPUTED_VALUE"""),"")</f>
        <v/>
      </c>
      <c r="D14691" s="42"/>
      <c r="E14691" s="42"/>
      <c r="F14691" s="48" t="str">
        <f>IFERROR(__xludf.DUMMYFUNCTION("""COMPUTED_VALUE"""),"")</f>
        <v/>
      </c>
      <c r="G14691" s="42" t="str">
        <f>IFERROR(__xludf.DUMMYFUNCTION("""COMPUTED_VALUE"""),"")</f>
        <v/>
      </c>
      <c r="H14691" s="42">
        <f t="shared" si="1"/>
        <v>3345</v>
      </c>
    </row>
    <row r="14692" ht="22.5" customHeight="1">
      <c r="B14692" s="42" t="str">
        <f>IFERROR(__xludf.DUMMYFUNCTION("""COMPUTED_VALUE"""),"")</f>
        <v/>
      </c>
      <c r="C14692" s="42" t="str">
        <f>IFERROR(__xludf.DUMMYFUNCTION("""COMPUTED_VALUE"""),"")</f>
        <v/>
      </c>
      <c r="D14692" s="42"/>
      <c r="E14692" s="42"/>
      <c r="F14692" s="48" t="str">
        <f>IFERROR(__xludf.DUMMYFUNCTION("""COMPUTED_VALUE"""),"")</f>
        <v/>
      </c>
      <c r="G14692" s="42" t="str">
        <f>IFERROR(__xludf.DUMMYFUNCTION("""COMPUTED_VALUE"""),"")</f>
        <v/>
      </c>
      <c r="H14692" s="42">
        <f t="shared" si="1"/>
        <v>3345</v>
      </c>
    </row>
    <row r="14693" ht="22.5" customHeight="1">
      <c r="B14693" s="42" t="str">
        <f>IFERROR(__xludf.DUMMYFUNCTION("""COMPUTED_VALUE"""),"")</f>
        <v/>
      </c>
      <c r="C14693" s="42" t="str">
        <f>IFERROR(__xludf.DUMMYFUNCTION("""COMPUTED_VALUE"""),"")</f>
        <v/>
      </c>
      <c r="D14693" s="42"/>
      <c r="E14693" s="42"/>
      <c r="F14693" s="48" t="str">
        <f>IFERROR(__xludf.DUMMYFUNCTION("""COMPUTED_VALUE"""),"")</f>
        <v/>
      </c>
      <c r="G14693" s="42" t="str">
        <f>IFERROR(__xludf.DUMMYFUNCTION("""COMPUTED_VALUE"""),"")</f>
        <v/>
      </c>
      <c r="H14693" s="42">
        <f t="shared" si="1"/>
        <v>3345</v>
      </c>
    </row>
    <row r="14694" ht="22.5" customHeight="1">
      <c r="B14694" s="42" t="str">
        <f>IFERROR(__xludf.DUMMYFUNCTION("""COMPUTED_VALUE"""),"")</f>
        <v/>
      </c>
      <c r="C14694" s="42" t="str">
        <f>IFERROR(__xludf.DUMMYFUNCTION("""COMPUTED_VALUE"""),"")</f>
        <v/>
      </c>
      <c r="D14694" s="42"/>
      <c r="E14694" s="42"/>
      <c r="F14694" s="48" t="str">
        <f>IFERROR(__xludf.DUMMYFUNCTION("""COMPUTED_VALUE"""),"")</f>
        <v/>
      </c>
      <c r="G14694" s="42" t="str">
        <f>IFERROR(__xludf.DUMMYFUNCTION("""COMPUTED_VALUE"""),"")</f>
        <v/>
      </c>
      <c r="H14694" s="42">
        <f t="shared" si="1"/>
        <v>3345</v>
      </c>
    </row>
    <row r="14695" ht="22.5" customHeight="1">
      <c r="B14695" s="42" t="str">
        <f>IFERROR(__xludf.DUMMYFUNCTION("""COMPUTED_VALUE"""),"")</f>
        <v/>
      </c>
      <c r="C14695" s="42" t="str">
        <f>IFERROR(__xludf.DUMMYFUNCTION("""COMPUTED_VALUE"""),"")</f>
        <v/>
      </c>
      <c r="D14695" s="42"/>
      <c r="E14695" s="42"/>
      <c r="F14695" s="48" t="str">
        <f>IFERROR(__xludf.DUMMYFUNCTION("""COMPUTED_VALUE"""),"")</f>
        <v/>
      </c>
      <c r="G14695" s="42" t="str">
        <f>IFERROR(__xludf.DUMMYFUNCTION("""COMPUTED_VALUE"""),"")</f>
        <v/>
      </c>
      <c r="H14695" s="42">
        <f t="shared" si="1"/>
        <v>3345</v>
      </c>
    </row>
    <row r="14696" ht="22.5" customHeight="1">
      <c r="B14696" s="42" t="str">
        <f>IFERROR(__xludf.DUMMYFUNCTION("""COMPUTED_VALUE"""),"")</f>
        <v/>
      </c>
      <c r="C14696" s="42" t="str">
        <f>IFERROR(__xludf.DUMMYFUNCTION("""COMPUTED_VALUE"""),"")</f>
        <v/>
      </c>
      <c r="D14696" s="42"/>
      <c r="E14696" s="42"/>
      <c r="F14696" s="48" t="str">
        <f>IFERROR(__xludf.DUMMYFUNCTION("""COMPUTED_VALUE"""),"")</f>
        <v/>
      </c>
      <c r="G14696" s="42" t="str">
        <f>IFERROR(__xludf.DUMMYFUNCTION("""COMPUTED_VALUE"""),"")</f>
        <v/>
      </c>
      <c r="H14696" s="42">
        <f t="shared" si="1"/>
        <v>3345</v>
      </c>
    </row>
    <row r="14697" ht="22.5" customHeight="1">
      <c r="B14697" s="42" t="str">
        <f>IFERROR(__xludf.DUMMYFUNCTION("""COMPUTED_VALUE"""),"")</f>
        <v/>
      </c>
      <c r="C14697" s="42" t="str">
        <f>IFERROR(__xludf.DUMMYFUNCTION("""COMPUTED_VALUE"""),"")</f>
        <v/>
      </c>
      <c r="D14697" s="42"/>
      <c r="E14697" s="42"/>
      <c r="F14697" s="48" t="str">
        <f>IFERROR(__xludf.DUMMYFUNCTION("""COMPUTED_VALUE"""),"")</f>
        <v/>
      </c>
      <c r="G14697" s="42" t="str">
        <f>IFERROR(__xludf.DUMMYFUNCTION("""COMPUTED_VALUE"""),"")</f>
        <v/>
      </c>
      <c r="H14697" s="42">
        <f t="shared" si="1"/>
        <v>3345</v>
      </c>
    </row>
    <row r="14698" ht="22.5" customHeight="1">
      <c r="B14698" s="42" t="str">
        <f>IFERROR(__xludf.DUMMYFUNCTION("""COMPUTED_VALUE"""),"")</f>
        <v/>
      </c>
      <c r="C14698" s="42" t="str">
        <f>IFERROR(__xludf.DUMMYFUNCTION("""COMPUTED_VALUE"""),"")</f>
        <v/>
      </c>
      <c r="D14698" s="42"/>
      <c r="E14698" s="42"/>
      <c r="F14698" s="48" t="str">
        <f>IFERROR(__xludf.DUMMYFUNCTION("""COMPUTED_VALUE"""),"")</f>
        <v/>
      </c>
      <c r="G14698" s="42" t="str">
        <f>IFERROR(__xludf.DUMMYFUNCTION("""COMPUTED_VALUE"""),"")</f>
        <v/>
      </c>
      <c r="H14698" s="42">
        <f t="shared" si="1"/>
        <v>3345</v>
      </c>
    </row>
    <row r="14699" ht="22.5" customHeight="1">
      <c r="B14699" s="42" t="str">
        <f>IFERROR(__xludf.DUMMYFUNCTION("""COMPUTED_VALUE"""),"")</f>
        <v/>
      </c>
      <c r="C14699" s="42" t="str">
        <f>IFERROR(__xludf.DUMMYFUNCTION("""COMPUTED_VALUE"""),"")</f>
        <v/>
      </c>
      <c r="D14699" s="42"/>
      <c r="E14699" s="42"/>
      <c r="F14699" s="48" t="str">
        <f>IFERROR(__xludf.DUMMYFUNCTION("""COMPUTED_VALUE"""),"")</f>
        <v/>
      </c>
      <c r="G14699" s="42" t="str">
        <f>IFERROR(__xludf.DUMMYFUNCTION("""COMPUTED_VALUE"""),"")</f>
        <v/>
      </c>
      <c r="H14699" s="42">
        <f t="shared" si="1"/>
        <v>3345</v>
      </c>
    </row>
    <row r="14700" ht="22.5" customHeight="1">
      <c r="B14700" s="42" t="str">
        <f>IFERROR(__xludf.DUMMYFUNCTION("""COMPUTED_VALUE"""),"")</f>
        <v/>
      </c>
      <c r="C14700" s="42" t="str">
        <f>IFERROR(__xludf.DUMMYFUNCTION("""COMPUTED_VALUE"""),"")</f>
        <v/>
      </c>
      <c r="D14700" s="42"/>
      <c r="E14700" s="42"/>
      <c r="F14700" s="48" t="str">
        <f>IFERROR(__xludf.DUMMYFUNCTION("""COMPUTED_VALUE"""),"")</f>
        <v/>
      </c>
      <c r="G14700" s="42" t="str">
        <f>IFERROR(__xludf.DUMMYFUNCTION("""COMPUTED_VALUE"""),"")</f>
        <v/>
      </c>
      <c r="H14700" s="42">
        <f t="shared" si="1"/>
        <v>3345</v>
      </c>
    </row>
    <row r="14701" ht="22.5" customHeight="1">
      <c r="B14701" s="42" t="str">
        <f>IFERROR(__xludf.DUMMYFUNCTION("""COMPUTED_VALUE"""),"")</f>
        <v/>
      </c>
      <c r="C14701" s="42" t="str">
        <f>IFERROR(__xludf.DUMMYFUNCTION("""COMPUTED_VALUE"""),"")</f>
        <v/>
      </c>
      <c r="D14701" s="42"/>
      <c r="E14701" s="42"/>
      <c r="F14701" s="48" t="str">
        <f>IFERROR(__xludf.DUMMYFUNCTION("""COMPUTED_VALUE"""),"")</f>
        <v/>
      </c>
      <c r="G14701" s="42" t="str">
        <f>IFERROR(__xludf.DUMMYFUNCTION("""COMPUTED_VALUE"""),"")</f>
        <v/>
      </c>
      <c r="H14701" s="42">
        <f t="shared" si="1"/>
        <v>3345</v>
      </c>
    </row>
    <row r="14702" ht="22.5" customHeight="1">
      <c r="B14702" s="42" t="str">
        <f>IFERROR(__xludf.DUMMYFUNCTION("""COMPUTED_VALUE"""),"")</f>
        <v/>
      </c>
      <c r="C14702" s="42" t="str">
        <f>IFERROR(__xludf.DUMMYFUNCTION("""COMPUTED_VALUE"""),"")</f>
        <v/>
      </c>
      <c r="D14702" s="42"/>
      <c r="E14702" s="42"/>
      <c r="F14702" s="48" t="str">
        <f>IFERROR(__xludf.DUMMYFUNCTION("""COMPUTED_VALUE"""),"")</f>
        <v/>
      </c>
      <c r="G14702" s="42" t="str">
        <f>IFERROR(__xludf.DUMMYFUNCTION("""COMPUTED_VALUE"""),"")</f>
        <v/>
      </c>
      <c r="H14702" s="42">
        <f t="shared" si="1"/>
        <v>3345</v>
      </c>
    </row>
    <row r="14703" ht="22.5" customHeight="1">
      <c r="B14703" s="42" t="str">
        <f>IFERROR(__xludf.DUMMYFUNCTION("""COMPUTED_VALUE"""),"")</f>
        <v/>
      </c>
      <c r="C14703" s="42" t="str">
        <f>IFERROR(__xludf.DUMMYFUNCTION("""COMPUTED_VALUE"""),"")</f>
        <v/>
      </c>
      <c r="D14703" s="42"/>
      <c r="E14703" s="42"/>
      <c r="F14703" s="48" t="str">
        <f>IFERROR(__xludf.DUMMYFUNCTION("""COMPUTED_VALUE"""),"")</f>
        <v/>
      </c>
      <c r="G14703" s="42" t="str">
        <f>IFERROR(__xludf.DUMMYFUNCTION("""COMPUTED_VALUE"""),"")</f>
        <v/>
      </c>
      <c r="H14703" s="42">
        <f t="shared" si="1"/>
        <v>3345</v>
      </c>
    </row>
    <row r="14704" ht="22.5" customHeight="1">
      <c r="B14704" s="42" t="str">
        <f>IFERROR(__xludf.DUMMYFUNCTION("""COMPUTED_VALUE"""),"")</f>
        <v/>
      </c>
      <c r="C14704" s="42" t="str">
        <f>IFERROR(__xludf.DUMMYFUNCTION("""COMPUTED_VALUE"""),"")</f>
        <v/>
      </c>
      <c r="D14704" s="42"/>
      <c r="E14704" s="42"/>
      <c r="F14704" s="48" t="str">
        <f>IFERROR(__xludf.DUMMYFUNCTION("""COMPUTED_VALUE"""),"")</f>
        <v/>
      </c>
      <c r="G14704" s="42" t="str">
        <f>IFERROR(__xludf.DUMMYFUNCTION("""COMPUTED_VALUE"""),"")</f>
        <v/>
      </c>
      <c r="H14704" s="42">
        <f t="shared" si="1"/>
        <v>3345</v>
      </c>
    </row>
    <row r="14705" ht="22.5" customHeight="1">
      <c r="B14705" s="42" t="str">
        <f>IFERROR(__xludf.DUMMYFUNCTION("""COMPUTED_VALUE"""),"")</f>
        <v/>
      </c>
      <c r="C14705" s="42" t="str">
        <f>IFERROR(__xludf.DUMMYFUNCTION("""COMPUTED_VALUE"""),"")</f>
        <v/>
      </c>
      <c r="D14705" s="42"/>
      <c r="E14705" s="42"/>
      <c r="F14705" s="48" t="str">
        <f>IFERROR(__xludf.DUMMYFUNCTION("""COMPUTED_VALUE"""),"")</f>
        <v/>
      </c>
      <c r="G14705" s="42" t="str">
        <f>IFERROR(__xludf.DUMMYFUNCTION("""COMPUTED_VALUE"""),"")</f>
        <v/>
      </c>
      <c r="H14705" s="42">
        <f t="shared" si="1"/>
        <v>3345</v>
      </c>
    </row>
    <row r="14706" ht="22.5" customHeight="1">
      <c r="B14706" s="42" t="str">
        <f>IFERROR(__xludf.DUMMYFUNCTION("""COMPUTED_VALUE"""),"")</f>
        <v/>
      </c>
      <c r="C14706" s="42" t="str">
        <f>IFERROR(__xludf.DUMMYFUNCTION("""COMPUTED_VALUE"""),"")</f>
        <v/>
      </c>
      <c r="D14706" s="42"/>
      <c r="E14706" s="42"/>
      <c r="F14706" s="48" t="str">
        <f>IFERROR(__xludf.DUMMYFUNCTION("""COMPUTED_VALUE"""),"")</f>
        <v/>
      </c>
      <c r="G14706" s="42" t="str">
        <f>IFERROR(__xludf.DUMMYFUNCTION("""COMPUTED_VALUE"""),"")</f>
        <v/>
      </c>
      <c r="H14706" s="42">
        <f t="shared" si="1"/>
        <v>3345</v>
      </c>
    </row>
    <row r="14707" ht="22.5" customHeight="1">
      <c r="B14707" s="42" t="str">
        <f>IFERROR(__xludf.DUMMYFUNCTION("""COMPUTED_VALUE"""),"")</f>
        <v/>
      </c>
      <c r="C14707" s="42" t="str">
        <f>IFERROR(__xludf.DUMMYFUNCTION("""COMPUTED_VALUE"""),"")</f>
        <v/>
      </c>
      <c r="D14707" s="42"/>
      <c r="E14707" s="42"/>
      <c r="F14707" s="48" t="str">
        <f>IFERROR(__xludf.DUMMYFUNCTION("""COMPUTED_VALUE"""),"")</f>
        <v/>
      </c>
      <c r="G14707" s="42" t="str">
        <f>IFERROR(__xludf.DUMMYFUNCTION("""COMPUTED_VALUE"""),"")</f>
        <v/>
      </c>
      <c r="H14707" s="42">
        <f t="shared" si="1"/>
        <v>3345</v>
      </c>
    </row>
    <row r="14708" ht="22.5" customHeight="1">
      <c r="B14708" s="42" t="str">
        <f>IFERROR(__xludf.DUMMYFUNCTION("""COMPUTED_VALUE"""),"")</f>
        <v/>
      </c>
      <c r="C14708" s="42" t="str">
        <f>IFERROR(__xludf.DUMMYFUNCTION("""COMPUTED_VALUE"""),"")</f>
        <v/>
      </c>
      <c r="D14708" s="42"/>
      <c r="E14708" s="42"/>
      <c r="F14708" s="48" t="str">
        <f>IFERROR(__xludf.DUMMYFUNCTION("""COMPUTED_VALUE"""),"")</f>
        <v/>
      </c>
      <c r="G14708" s="42" t="str">
        <f>IFERROR(__xludf.DUMMYFUNCTION("""COMPUTED_VALUE"""),"")</f>
        <v/>
      </c>
      <c r="H14708" s="42">
        <f t="shared" si="1"/>
        <v>3345</v>
      </c>
    </row>
    <row r="14709" ht="22.5" customHeight="1">
      <c r="B14709" s="42" t="str">
        <f>IFERROR(__xludf.DUMMYFUNCTION("""COMPUTED_VALUE"""),"")</f>
        <v/>
      </c>
      <c r="C14709" s="42" t="str">
        <f>IFERROR(__xludf.DUMMYFUNCTION("""COMPUTED_VALUE"""),"")</f>
        <v/>
      </c>
      <c r="D14709" s="42"/>
      <c r="E14709" s="42"/>
      <c r="F14709" s="48" t="str">
        <f>IFERROR(__xludf.DUMMYFUNCTION("""COMPUTED_VALUE"""),"")</f>
        <v/>
      </c>
      <c r="G14709" s="42" t="str">
        <f>IFERROR(__xludf.DUMMYFUNCTION("""COMPUTED_VALUE"""),"")</f>
        <v/>
      </c>
      <c r="H14709" s="42">
        <f t="shared" si="1"/>
        <v>3345</v>
      </c>
    </row>
    <row r="14710" ht="22.5" customHeight="1">
      <c r="B14710" s="42" t="str">
        <f>IFERROR(__xludf.DUMMYFUNCTION("""COMPUTED_VALUE"""),"")</f>
        <v/>
      </c>
      <c r="C14710" s="42" t="str">
        <f>IFERROR(__xludf.DUMMYFUNCTION("""COMPUTED_VALUE"""),"")</f>
        <v/>
      </c>
      <c r="D14710" s="42"/>
      <c r="E14710" s="42"/>
      <c r="F14710" s="48" t="str">
        <f>IFERROR(__xludf.DUMMYFUNCTION("""COMPUTED_VALUE"""),"")</f>
        <v/>
      </c>
      <c r="G14710" s="42" t="str">
        <f>IFERROR(__xludf.DUMMYFUNCTION("""COMPUTED_VALUE"""),"")</f>
        <v/>
      </c>
      <c r="H14710" s="42">
        <f t="shared" si="1"/>
        <v>3345</v>
      </c>
    </row>
    <row r="14711" ht="22.5" customHeight="1">
      <c r="B14711" s="42" t="str">
        <f>IFERROR(__xludf.DUMMYFUNCTION("""COMPUTED_VALUE"""),"")</f>
        <v/>
      </c>
      <c r="C14711" s="42" t="str">
        <f>IFERROR(__xludf.DUMMYFUNCTION("""COMPUTED_VALUE"""),"")</f>
        <v/>
      </c>
      <c r="D14711" s="42"/>
      <c r="E14711" s="42"/>
      <c r="F14711" s="48" t="str">
        <f>IFERROR(__xludf.DUMMYFUNCTION("""COMPUTED_VALUE"""),"")</f>
        <v/>
      </c>
      <c r="G14711" s="42" t="str">
        <f>IFERROR(__xludf.DUMMYFUNCTION("""COMPUTED_VALUE"""),"")</f>
        <v/>
      </c>
      <c r="H14711" s="42">
        <f t="shared" si="1"/>
        <v>3345</v>
      </c>
    </row>
    <row r="14712" ht="22.5" customHeight="1">
      <c r="B14712" s="42" t="str">
        <f>IFERROR(__xludf.DUMMYFUNCTION("""COMPUTED_VALUE"""),"")</f>
        <v/>
      </c>
      <c r="C14712" s="42" t="str">
        <f>IFERROR(__xludf.DUMMYFUNCTION("""COMPUTED_VALUE"""),"")</f>
        <v/>
      </c>
      <c r="D14712" s="42"/>
      <c r="E14712" s="42"/>
      <c r="F14712" s="48" t="str">
        <f>IFERROR(__xludf.DUMMYFUNCTION("""COMPUTED_VALUE"""),"")</f>
        <v/>
      </c>
      <c r="G14712" s="42" t="str">
        <f>IFERROR(__xludf.DUMMYFUNCTION("""COMPUTED_VALUE"""),"")</f>
        <v/>
      </c>
      <c r="H14712" s="42">
        <f t="shared" si="1"/>
        <v>3345</v>
      </c>
    </row>
    <row r="14713" ht="22.5" customHeight="1">
      <c r="B14713" s="42" t="str">
        <f>IFERROR(__xludf.DUMMYFUNCTION("""COMPUTED_VALUE"""),"")</f>
        <v/>
      </c>
      <c r="C14713" s="42" t="str">
        <f>IFERROR(__xludf.DUMMYFUNCTION("""COMPUTED_VALUE"""),"")</f>
        <v/>
      </c>
      <c r="D14713" s="42"/>
      <c r="E14713" s="42"/>
      <c r="F14713" s="48" t="str">
        <f>IFERROR(__xludf.DUMMYFUNCTION("""COMPUTED_VALUE"""),"")</f>
        <v/>
      </c>
      <c r="G14713" s="42" t="str">
        <f>IFERROR(__xludf.DUMMYFUNCTION("""COMPUTED_VALUE"""),"")</f>
        <v/>
      </c>
      <c r="H14713" s="42">
        <f t="shared" si="1"/>
        <v>3345</v>
      </c>
    </row>
    <row r="14714" ht="22.5" customHeight="1">
      <c r="B14714" s="42" t="str">
        <f>IFERROR(__xludf.DUMMYFUNCTION("""COMPUTED_VALUE"""),"")</f>
        <v/>
      </c>
      <c r="C14714" s="42" t="str">
        <f>IFERROR(__xludf.DUMMYFUNCTION("""COMPUTED_VALUE"""),"")</f>
        <v/>
      </c>
      <c r="D14714" s="42"/>
      <c r="E14714" s="42"/>
      <c r="F14714" s="48" t="str">
        <f>IFERROR(__xludf.DUMMYFUNCTION("""COMPUTED_VALUE"""),"")</f>
        <v/>
      </c>
      <c r="G14714" s="42" t="str">
        <f>IFERROR(__xludf.DUMMYFUNCTION("""COMPUTED_VALUE"""),"")</f>
        <v/>
      </c>
      <c r="H14714" s="42">
        <f t="shared" si="1"/>
        <v>3345</v>
      </c>
    </row>
    <row r="14715" ht="22.5" customHeight="1">
      <c r="B14715" s="42" t="str">
        <f>IFERROR(__xludf.DUMMYFUNCTION("""COMPUTED_VALUE"""),"")</f>
        <v/>
      </c>
      <c r="C14715" s="42" t="str">
        <f>IFERROR(__xludf.DUMMYFUNCTION("""COMPUTED_VALUE"""),"")</f>
        <v/>
      </c>
      <c r="D14715" s="42"/>
      <c r="E14715" s="42"/>
      <c r="F14715" s="48" t="str">
        <f>IFERROR(__xludf.DUMMYFUNCTION("""COMPUTED_VALUE"""),"")</f>
        <v/>
      </c>
      <c r="G14715" s="42" t="str">
        <f>IFERROR(__xludf.DUMMYFUNCTION("""COMPUTED_VALUE"""),"")</f>
        <v/>
      </c>
      <c r="H14715" s="42">
        <f t="shared" si="1"/>
        <v>3345</v>
      </c>
    </row>
    <row r="14716" ht="22.5" customHeight="1">
      <c r="B14716" s="42" t="str">
        <f>IFERROR(__xludf.DUMMYFUNCTION("""COMPUTED_VALUE"""),"")</f>
        <v/>
      </c>
      <c r="C14716" s="42" t="str">
        <f>IFERROR(__xludf.DUMMYFUNCTION("""COMPUTED_VALUE"""),"")</f>
        <v/>
      </c>
      <c r="D14716" s="42"/>
      <c r="E14716" s="42"/>
      <c r="F14716" s="48" t="str">
        <f>IFERROR(__xludf.DUMMYFUNCTION("""COMPUTED_VALUE"""),"")</f>
        <v/>
      </c>
      <c r="G14716" s="42" t="str">
        <f>IFERROR(__xludf.DUMMYFUNCTION("""COMPUTED_VALUE"""),"")</f>
        <v/>
      </c>
      <c r="H14716" s="42">
        <f t="shared" si="1"/>
        <v>3345</v>
      </c>
    </row>
    <row r="14717" ht="22.5" customHeight="1">
      <c r="B14717" s="42" t="str">
        <f>IFERROR(__xludf.DUMMYFUNCTION("""COMPUTED_VALUE"""),"")</f>
        <v/>
      </c>
      <c r="C14717" s="42" t="str">
        <f>IFERROR(__xludf.DUMMYFUNCTION("""COMPUTED_VALUE"""),"")</f>
        <v/>
      </c>
      <c r="D14717" s="42"/>
      <c r="E14717" s="42"/>
      <c r="F14717" s="48" t="str">
        <f>IFERROR(__xludf.DUMMYFUNCTION("""COMPUTED_VALUE"""),"")</f>
        <v/>
      </c>
      <c r="G14717" s="42" t="str">
        <f>IFERROR(__xludf.DUMMYFUNCTION("""COMPUTED_VALUE"""),"")</f>
        <v/>
      </c>
      <c r="H14717" s="42">
        <f t="shared" si="1"/>
        <v>3345</v>
      </c>
    </row>
    <row r="14718" ht="22.5" customHeight="1">
      <c r="B14718" s="42" t="str">
        <f>IFERROR(__xludf.DUMMYFUNCTION("""COMPUTED_VALUE"""),"")</f>
        <v/>
      </c>
      <c r="C14718" s="42" t="str">
        <f>IFERROR(__xludf.DUMMYFUNCTION("""COMPUTED_VALUE"""),"")</f>
        <v/>
      </c>
      <c r="D14718" s="42"/>
      <c r="E14718" s="42"/>
      <c r="F14718" s="48" t="str">
        <f>IFERROR(__xludf.DUMMYFUNCTION("""COMPUTED_VALUE"""),"")</f>
        <v/>
      </c>
      <c r="G14718" s="42" t="str">
        <f>IFERROR(__xludf.DUMMYFUNCTION("""COMPUTED_VALUE"""),"")</f>
        <v/>
      </c>
      <c r="H14718" s="42">
        <f t="shared" si="1"/>
        <v>3345</v>
      </c>
    </row>
    <row r="14719" ht="22.5" customHeight="1">
      <c r="B14719" s="42" t="str">
        <f>IFERROR(__xludf.DUMMYFUNCTION("""COMPUTED_VALUE"""),"")</f>
        <v/>
      </c>
      <c r="C14719" s="42" t="str">
        <f>IFERROR(__xludf.DUMMYFUNCTION("""COMPUTED_VALUE"""),"")</f>
        <v/>
      </c>
      <c r="D14719" s="42"/>
      <c r="E14719" s="42"/>
      <c r="F14719" s="48" t="str">
        <f>IFERROR(__xludf.DUMMYFUNCTION("""COMPUTED_VALUE"""),"")</f>
        <v/>
      </c>
      <c r="G14719" s="42" t="str">
        <f>IFERROR(__xludf.DUMMYFUNCTION("""COMPUTED_VALUE"""),"")</f>
        <v/>
      </c>
      <c r="H14719" s="42">
        <f t="shared" si="1"/>
        <v>3345</v>
      </c>
    </row>
    <row r="14720" ht="22.5" customHeight="1">
      <c r="B14720" s="42" t="str">
        <f>IFERROR(__xludf.DUMMYFUNCTION("""COMPUTED_VALUE"""),"")</f>
        <v/>
      </c>
      <c r="C14720" s="42" t="str">
        <f>IFERROR(__xludf.DUMMYFUNCTION("""COMPUTED_VALUE"""),"")</f>
        <v/>
      </c>
      <c r="D14720" s="42"/>
      <c r="E14720" s="42"/>
      <c r="F14720" s="48" t="str">
        <f>IFERROR(__xludf.DUMMYFUNCTION("""COMPUTED_VALUE"""),"")</f>
        <v/>
      </c>
      <c r="G14720" s="42" t="str">
        <f>IFERROR(__xludf.DUMMYFUNCTION("""COMPUTED_VALUE"""),"")</f>
        <v/>
      </c>
      <c r="H14720" s="42">
        <f t="shared" si="1"/>
        <v>3345</v>
      </c>
    </row>
    <row r="14721" ht="22.5" customHeight="1">
      <c r="B14721" s="42" t="str">
        <f>IFERROR(__xludf.DUMMYFUNCTION("""COMPUTED_VALUE"""),"")</f>
        <v/>
      </c>
      <c r="C14721" s="42" t="str">
        <f>IFERROR(__xludf.DUMMYFUNCTION("""COMPUTED_VALUE"""),"")</f>
        <v/>
      </c>
      <c r="D14721" s="42"/>
      <c r="E14721" s="42"/>
      <c r="F14721" s="48" t="str">
        <f>IFERROR(__xludf.DUMMYFUNCTION("""COMPUTED_VALUE"""),"")</f>
        <v/>
      </c>
      <c r="G14721" s="42" t="str">
        <f>IFERROR(__xludf.DUMMYFUNCTION("""COMPUTED_VALUE"""),"")</f>
        <v/>
      </c>
      <c r="H14721" s="42">
        <f t="shared" si="1"/>
        <v>3345</v>
      </c>
    </row>
    <row r="14722" ht="22.5" customHeight="1">
      <c r="B14722" s="42" t="str">
        <f>IFERROR(__xludf.DUMMYFUNCTION("""COMPUTED_VALUE"""),"")</f>
        <v/>
      </c>
      <c r="C14722" s="42" t="str">
        <f>IFERROR(__xludf.DUMMYFUNCTION("""COMPUTED_VALUE"""),"")</f>
        <v/>
      </c>
      <c r="D14722" s="42"/>
      <c r="E14722" s="42"/>
      <c r="F14722" s="48" t="str">
        <f>IFERROR(__xludf.DUMMYFUNCTION("""COMPUTED_VALUE"""),"")</f>
        <v/>
      </c>
      <c r="G14722" s="42" t="str">
        <f>IFERROR(__xludf.DUMMYFUNCTION("""COMPUTED_VALUE"""),"")</f>
        <v/>
      </c>
      <c r="H14722" s="42">
        <f t="shared" si="1"/>
        <v>3345</v>
      </c>
    </row>
    <row r="14723" ht="22.5" customHeight="1">
      <c r="B14723" s="42" t="str">
        <f>IFERROR(__xludf.DUMMYFUNCTION("""COMPUTED_VALUE"""),"")</f>
        <v/>
      </c>
      <c r="C14723" s="42" t="str">
        <f>IFERROR(__xludf.DUMMYFUNCTION("""COMPUTED_VALUE"""),"")</f>
        <v/>
      </c>
      <c r="D14723" s="42"/>
      <c r="E14723" s="42"/>
      <c r="F14723" s="48" t="str">
        <f>IFERROR(__xludf.DUMMYFUNCTION("""COMPUTED_VALUE"""),"")</f>
        <v/>
      </c>
      <c r="G14723" s="42" t="str">
        <f>IFERROR(__xludf.DUMMYFUNCTION("""COMPUTED_VALUE"""),"")</f>
        <v/>
      </c>
      <c r="H14723" s="42">
        <f t="shared" si="1"/>
        <v>3345</v>
      </c>
    </row>
    <row r="14724" ht="22.5" customHeight="1">
      <c r="B14724" s="42" t="str">
        <f>IFERROR(__xludf.DUMMYFUNCTION("""COMPUTED_VALUE"""),"")</f>
        <v/>
      </c>
      <c r="C14724" s="42" t="str">
        <f>IFERROR(__xludf.DUMMYFUNCTION("""COMPUTED_VALUE"""),"")</f>
        <v/>
      </c>
      <c r="D14724" s="42"/>
      <c r="E14724" s="42"/>
      <c r="F14724" s="48" t="str">
        <f>IFERROR(__xludf.DUMMYFUNCTION("""COMPUTED_VALUE"""),"")</f>
        <v/>
      </c>
      <c r="G14724" s="42" t="str">
        <f>IFERROR(__xludf.DUMMYFUNCTION("""COMPUTED_VALUE"""),"")</f>
        <v/>
      </c>
      <c r="H14724" s="42">
        <f t="shared" si="1"/>
        <v>3345</v>
      </c>
    </row>
    <row r="14725" ht="22.5" customHeight="1">
      <c r="B14725" s="42" t="str">
        <f>IFERROR(__xludf.DUMMYFUNCTION("""COMPUTED_VALUE"""),"")</f>
        <v/>
      </c>
      <c r="C14725" s="42" t="str">
        <f>IFERROR(__xludf.DUMMYFUNCTION("""COMPUTED_VALUE"""),"")</f>
        <v/>
      </c>
      <c r="D14725" s="42"/>
      <c r="E14725" s="42"/>
      <c r="F14725" s="48" t="str">
        <f>IFERROR(__xludf.DUMMYFUNCTION("""COMPUTED_VALUE"""),"")</f>
        <v/>
      </c>
      <c r="G14725" s="42" t="str">
        <f>IFERROR(__xludf.DUMMYFUNCTION("""COMPUTED_VALUE"""),"")</f>
        <v/>
      </c>
      <c r="H14725" s="42">
        <f t="shared" si="1"/>
        <v>3345</v>
      </c>
    </row>
    <row r="14726" ht="22.5" customHeight="1">
      <c r="B14726" s="42" t="str">
        <f>IFERROR(__xludf.DUMMYFUNCTION("""COMPUTED_VALUE"""),"")</f>
        <v/>
      </c>
      <c r="C14726" s="42" t="str">
        <f>IFERROR(__xludf.DUMMYFUNCTION("""COMPUTED_VALUE"""),"")</f>
        <v/>
      </c>
      <c r="D14726" s="42"/>
      <c r="E14726" s="42"/>
      <c r="F14726" s="48" t="str">
        <f>IFERROR(__xludf.DUMMYFUNCTION("""COMPUTED_VALUE"""),"")</f>
        <v/>
      </c>
      <c r="G14726" s="42" t="str">
        <f>IFERROR(__xludf.DUMMYFUNCTION("""COMPUTED_VALUE"""),"")</f>
        <v/>
      </c>
      <c r="H14726" s="42">
        <f t="shared" si="1"/>
        <v>3345</v>
      </c>
    </row>
    <row r="14727" ht="22.5" customHeight="1">
      <c r="B14727" s="42" t="str">
        <f>IFERROR(__xludf.DUMMYFUNCTION("""COMPUTED_VALUE"""),"")</f>
        <v/>
      </c>
      <c r="C14727" s="42" t="str">
        <f>IFERROR(__xludf.DUMMYFUNCTION("""COMPUTED_VALUE"""),"")</f>
        <v/>
      </c>
      <c r="D14727" s="42"/>
      <c r="E14727" s="42"/>
      <c r="F14727" s="48" t="str">
        <f>IFERROR(__xludf.DUMMYFUNCTION("""COMPUTED_VALUE"""),"")</f>
        <v/>
      </c>
      <c r="G14727" s="42" t="str">
        <f>IFERROR(__xludf.DUMMYFUNCTION("""COMPUTED_VALUE"""),"")</f>
        <v/>
      </c>
      <c r="H14727" s="42">
        <f t="shared" si="1"/>
        <v>3345</v>
      </c>
    </row>
    <row r="14728" ht="22.5" customHeight="1">
      <c r="B14728" s="42" t="str">
        <f>IFERROR(__xludf.DUMMYFUNCTION("""COMPUTED_VALUE"""),"")</f>
        <v/>
      </c>
      <c r="C14728" s="42" t="str">
        <f>IFERROR(__xludf.DUMMYFUNCTION("""COMPUTED_VALUE"""),"")</f>
        <v/>
      </c>
      <c r="D14728" s="42"/>
      <c r="E14728" s="42"/>
      <c r="F14728" s="48" t="str">
        <f>IFERROR(__xludf.DUMMYFUNCTION("""COMPUTED_VALUE"""),"")</f>
        <v/>
      </c>
      <c r="G14728" s="42" t="str">
        <f>IFERROR(__xludf.DUMMYFUNCTION("""COMPUTED_VALUE"""),"")</f>
        <v/>
      </c>
      <c r="H14728" s="42">
        <f t="shared" si="1"/>
        <v>3345</v>
      </c>
    </row>
    <row r="14729" ht="22.5" customHeight="1">
      <c r="B14729" s="42" t="str">
        <f>IFERROR(__xludf.DUMMYFUNCTION("""COMPUTED_VALUE"""),"")</f>
        <v/>
      </c>
      <c r="C14729" s="42" t="str">
        <f>IFERROR(__xludf.DUMMYFUNCTION("""COMPUTED_VALUE"""),"")</f>
        <v/>
      </c>
      <c r="D14729" s="42"/>
      <c r="E14729" s="42"/>
      <c r="F14729" s="48" t="str">
        <f>IFERROR(__xludf.DUMMYFUNCTION("""COMPUTED_VALUE"""),"")</f>
        <v/>
      </c>
      <c r="G14729" s="42" t="str">
        <f>IFERROR(__xludf.DUMMYFUNCTION("""COMPUTED_VALUE"""),"")</f>
        <v/>
      </c>
      <c r="H14729" s="42">
        <f t="shared" si="1"/>
        <v>3345</v>
      </c>
    </row>
    <row r="14730" ht="22.5" customHeight="1">
      <c r="B14730" s="42" t="str">
        <f>IFERROR(__xludf.DUMMYFUNCTION("""COMPUTED_VALUE"""),"")</f>
        <v/>
      </c>
      <c r="C14730" s="42" t="str">
        <f>IFERROR(__xludf.DUMMYFUNCTION("""COMPUTED_VALUE"""),"")</f>
        <v/>
      </c>
      <c r="D14730" s="42"/>
      <c r="E14730" s="42"/>
      <c r="F14730" s="48" t="str">
        <f>IFERROR(__xludf.DUMMYFUNCTION("""COMPUTED_VALUE"""),"")</f>
        <v/>
      </c>
      <c r="G14730" s="42" t="str">
        <f>IFERROR(__xludf.DUMMYFUNCTION("""COMPUTED_VALUE"""),"")</f>
        <v/>
      </c>
      <c r="H14730" s="42">
        <f t="shared" si="1"/>
        <v>3345</v>
      </c>
    </row>
    <row r="14731" ht="22.5" customHeight="1">
      <c r="B14731" s="42" t="str">
        <f>IFERROR(__xludf.DUMMYFUNCTION("""COMPUTED_VALUE"""),"")</f>
        <v/>
      </c>
      <c r="C14731" s="42" t="str">
        <f>IFERROR(__xludf.DUMMYFUNCTION("""COMPUTED_VALUE"""),"")</f>
        <v/>
      </c>
      <c r="D14731" s="42"/>
      <c r="E14731" s="42"/>
      <c r="F14731" s="48" t="str">
        <f>IFERROR(__xludf.DUMMYFUNCTION("""COMPUTED_VALUE"""),"")</f>
        <v/>
      </c>
      <c r="G14731" s="42" t="str">
        <f>IFERROR(__xludf.DUMMYFUNCTION("""COMPUTED_VALUE"""),"")</f>
        <v/>
      </c>
      <c r="H14731" s="42">
        <f t="shared" si="1"/>
        <v>3345</v>
      </c>
    </row>
    <row r="14732" ht="22.5" customHeight="1">
      <c r="B14732" s="42" t="str">
        <f>IFERROR(__xludf.DUMMYFUNCTION("""COMPUTED_VALUE"""),"")</f>
        <v/>
      </c>
      <c r="C14732" s="42" t="str">
        <f>IFERROR(__xludf.DUMMYFUNCTION("""COMPUTED_VALUE"""),"")</f>
        <v/>
      </c>
      <c r="D14732" s="42"/>
      <c r="E14732" s="42"/>
      <c r="F14732" s="48" t="str">
        <f>IFERROR(__xludf.DUMMYFUNCTION("""COMPUTED_VALUE"""),"")</f>
        <v/>
      </c>
      <c r="G14732" s="42" t="str">
        <f>IFERROR(__xludf.DUMMYFUNCTION("""COMPUTED_VALUE"""),"")</f>
        <v/>
      </c>
      <c r="H14732" s="42">
        <f t="shared" si="1"/>
        <v>3345</v>
      </c>
    </row>
    <row r="14733" ht="22.5" customHeight="1">
      <c r="B14733" s="42" t="str">
        <f>IFERROR(__xludf.DUMMYFUNCTION("""COMPUTED_VALUE"""),"")</f>
        <v/>
      </c>
      <c r="C14733" s="42" t="str">
        <f>IFERROR(__xludf.DUMMYFUNCTION("""COMPUTED_VALUE"""),"")</f>
        <v/>
      </c>
      <c r="D14733" s="42"/>
      <c r="E14733" s="42"/>
      <c r="F14733" s="48" t="str">
        <f>IFERROR(__xludf.DUMMYFUNCTION("""COMPUTED_VALUE"""),"")</f>
        <v/>
      </c>
      <c r="G14733" s="42" t="str">
        <f>IFERROR(__xludf.DUMMYFUNCTION("""COMPUTED_VALUE"""),"")</f>
        <v/>
      </c>
      <c r="H14733" s="42">
        <f t="shared" si="1"/>
        <v>3345</v>
      </c>
    </row>
    <row r="14734" ht="22.5" customHeight="1">
      <c r="B14734" s="42" t="str">
        <f>IFERROR(__xludf.DUMMYFUNCTION("""COMPUTED_VALUE"""),"")</f>
        <v/>
      </c>
      <c r="C14734" s="42" t="str">
        <f>IFERROR(__xludf.DUMMYFUNCTION("""COMPUTED_VALUE"""),"")</f>
        <v/>
      </c>
      <c r="D14734" s="42"/>
      <c r="E14734" s="42"/>
      <c r="F14734" s="48" t="str">
        <f>IFERROR(__xludf.DUMMYFUNCTION("""COMPUTED_VALUE"""),"")</f>
        <v/>
      </c>
      <c r="G14734" s="42" t="str">
        <f>IFERROR(__xludf.DUMMYFUNCTION("""COMPUTED_VALUE"""),"")</f>
        <v/>
      </c>
      <c r="H14734" s="42">
        <f t="shared" si="1"/>
        <v>3345</v>
      </c>
    </row>
    <row r="14735" ht="22.5" customHeight="1">
      <c r="B14735" s="42" t="str">
        <f>IFERROR(__xludf.DUMMYFUNCTION("""COMPUTED_VALUE"""),"")</f>
        <v/>
      </c>
      <c r="C14735" s="42" t="str">
        <f>IFERROR(__xludf.DUMMYFUNCTION("""COMPUTED_VALUE"""),"")</f>
        <v/>
      </c>
      <c r="D14735" s="42"/>
      <c r="E14735" s="42"/>
      <c r="F14735" s="48" t="str">
        <f>IFERROR(__xludf.DUMMYFUNCTION("""COMPUTED_VALUE"""),"")</f>
        <v/>
      </c>
      <c r="G14735" s="42" t="str">
        <f>IFERROR(__xludf.DUMMYFUNCTION("""COMPUTED_VALUE"""),"")</f>
        <v/>
      </c>
      <c r="H14735" s="42">
        <f t="shared" si="1"/>
        <v>3345</v>
      </c>
    </row>
    <row r="14736" ht="22.5" customHeight="1">
      <c r="B14736" s="42" t="str">
        <f>IFERROR(__xludf.DUMMYFUNCTION("""COMPUTED_VALUE"""),"")</f>
        <v/>
      </c>
      <c r="C14736" s="42" t="str">
        <f>IFERROR(__xludf.DUMMYFUNCTION("""COMPUTED_VALUE"""),"")</f>
        <v/>
      </c>
      <c r="D14736" s="42"/>
      <c r="E14736" s="42"/>
      <c r="F14736" s="48" t="str">
        <f>IFERROR(__xludf.DUMMYFUNCTION("""COMPUTED_VALUE"""),"")</f>
        <v/>
      </c>
      <c r="G14736" s="42" t="str">
        <f>IFERROR(__xludf.DUMMYFUNCTION("""COMPUTED_VALUE"""),"")</f>
        <v/>
      </c>
      <c r="H14736" s="42">
        <f t="shared" si="1"/>
        <v>3345</v>
      </c>
    </row>
    <row r="14737" ht="22.5" customHeight="1">
      <c r="B14737" s="42" t="str">
        <f>IFERROR(__xludf.DUMMYFUNCTION("""COMPUTED_VALUE"""),"")</f>
        <v/>
      </c>
      <c r="C14737" s="42" t="str">
        <f>IFERROR(__xludf.DUMMYFUNCTION("""COMPUTED_VALUE"""),"")</f>
        <v/>
      </c>
      <c r="D14737" s="42"/>
      <c r="E14737" s="42"/>
      <c r="F14737" s="48" t="str">
        <f>IFERROR(__xludf.DUMMYFUNCTION("""COMPUTED_VALUE"""),"")</f>
        <v/>
      </c>
      <c r="G14737" s="42" t="str">
        <f>IFERROR(__xludf.DUMMYFUNCTION("""COMPUTED_VALUE"""),"")</f>
        <v/>
      </c>
      <c r="H14737" s="42">
        <f t="shared" si="1"/>
        <v>3345</v>
      </c>
    </row>
    <row r="14738" ht="22.5" customHeight="1">
      <c r="B14738" s="42" t="str">
        <f>IFERROR(__xludf.DUMMYFUNCTION("""COMPUTED_VALUE"""),"")</f>
        <v/>
      </c>
      <c r="C14738" s="42" t="str">
        <f>IFERROR(__xludf.DUMMYFUNCTION("""COMPUTED_VALUE"""),"")</f>
        <v/>
      </c>
      <c r="D14738" s="42"/>
      <c r="E14738" s="42"/>
      <c r="F14738" s="48" t="str">
        <f>IFERROR(__xludf.DUMMYFUNCTION("""COMPUTED_VALUE"""),"")</f>
        <v/>
      </c>
      <c r="G14738" s="42" t="str">
        <f>IFERROR(__xludf.DUMMYFUNCTION("""COMPUTED_VALUE"""),"")</f>
        <v/>
      </c>
      <c r="H14738" s="42">
        <f t="shared" si="1"/>
        <v>3345</v>
      </c>
    </row>
    <row r="14739" ht="22.5" customHeight="1">
      <c r="B14739" s="42" t="str">
        <f>IFERROR(__xludf.DUMMYFUNCTION("""COMPUTED_VALUE"""),"")</f>
        <v/>
      </c>
      <c r="C14739" s="42" t="str">
        <f>IFERROR(__xludf.DUMMYFUNCTION("""COMPUTED_VALUE"""),"")</f>
        <v/>
      </c>
      <c r="D14739" s="42"/>
      <c r="E14739" s="42"/>
      <c r="F14739" s="48" t="str">
        <f>IFERROR(__xludf.DUMMYFUNCTION("""COMPUTED_VALUE"""),"")</f>
        <v/>
      </c>
      <c r="G14739" s="42" t="str">
        <f>IFERROR(__xludf.DUMMYFUNCTION("""COMPUTED_VALUE"""),"")</f>
        <v/>
      </c>
      <c r="H14739" s="42">
        <f t="shared" si="1"/>
        <v>3345</v>
      </c>
    </row>
    <row r="14740" ht="22.5" customHeight="1">
      <c r="B14740" s="42" t="str">
        <f>IFERROR(__xludf.DUMMYFUNCTION("""COMPUTED_VALUE"""),"")</f>
        <v/>
      </c>
      <c r="C14740" s="42" t="str">
        <f>IFERROR(__xludf.DUMMYFUNCTION("""COMPUTED_VALUE"""),"")</f>
        <v/>
      </c>
      <c r="D14740" s="42"/>
      <c r="E14740" s="42"/>
      <c r="F14740" s="48" t="str">
        <f>IFERROR(__xludf.DUMMYFUNCTION("""COMPUTED_VALUE"""),"")</f>
        <v/>
      </c>
      <c r="G14740" s="42" t="str">
        <f>IFERROR(__xludf.DUMMYFUNCTION("""COMPUTED_VALUE"""),"")</f>
        <v/>
      </c>
      <c r="H14740" s="42">
        <f t="shared" si="1"/>
        <v>3345</v>
      </c>
    </row>
    <row r="14741" ht="22.5" customHeight="1">
      <c r="B14741" s="42" t="str">
        <f>IFERROR(__xludf.DUMMYFUNCTION("""COMPUTED_VALUE"""),"")</f>
        <v/>
      </c>
      <c r="C14741" s="42" t="str">
        <f>IFERROR(__xludf.DUMMYFUNCTION("""COMPUTED_VALUE"""),"")</f>
        <v/>
      </c>
      <c r="D14741" s="42"/>
      <c r="E14741" s="42"/>
      <c r="F14741" s="48" t="str">
        <f>IFERROR(__xludf.DUMMYFUNCTION("""COMPUTED_VALUE"""),"")</f>
        <v/>
      </c>
      <c r="G14741" s="42" t="str">
        <f>IFERROR(__xludf.DUMMYFUNCTION("""COMPUTED_VALUE"""),"")</f>
        <v/>
      </c>
      <c r="H14741" s="42">
        <f t="shared" si="1"/>
        <v>3345</v>
      </c>
    </row>
    <row r="14742" ht="22.5" customHeight="1">
      <c r="B14742" s="42" t="str">
        <f>IFERROR(__xludf.DUMMYFUNCTION("""COMPUTED_VALUE"""),"")</f>
        <v/>
      </c>
      <c r="C14742" s="42" t="str">
        <f>IFERROR(__xludf.DUMMYFUNCTION("""COMPUTED_VALUE"""),"")</f>
        <v/>
      </c>
      <c r="D14742" s="42"/>
      <c r="E14742" s="42"/>
      <c r="F14742" s="48" t="str">
        <f>IFERROR(__xludf.DUMMYFUNCTION("""COMPUTED_VALUE"""),"")</f>
        <v/>
      </c>
      <c r="G14742" s="42" t="str">
        <f>IFERROR(__xludf.DUMMYFUNCTION("""COMPUTED_VALUE"""),"")</f>
        <v/>
      </c>
      <c r="H14742" s="42">
        <f t="shared" si="1"/>
        <v>3345</v>
      </c>
    </row>
    <row r="14743" ht="22.5" customHeight="1">
      <c r="B14743" s="42" t="str">
        <f>IFERROR(__xludf.DUMMYFUNCTION("""COMPUTED_VALUE"""),"")</f>
        <v/>
      </c>
      <c r="C14743" s="42" t="str">
        <f>IFERROR(__xludf.DUMMYFUNCTION("""COMPUTED_VALUE"""),"")</f>
        <v/>
      </c>
      <c r="D14743" s="42"/>
      <c r="E14743" s="42"/>
      <c r="F14743" s="48" t="str">
        <f>IFERROR(__xludf.DUMMYFUNCTION("""COMPUTED_VALUE"""),"")</f>
        <v/>
      </c>
      <c r="G14743" s="42" t="str">
        <f>IFERROR(__xludf.DUMMYFUNCTION("""COMPUTED_VALUE"""),"")</f>
        <v/>
      </c>
      <c r="H14743" s="42">
        <f t="shared" si="1"/>
        <v>3345</v>
      </c>
    </row>
    <row r="14744" ht="22.5" customHeight="1">
      <c r="B14744" s="42" t="str">
        <f>IFERROR(__xludf.DUMMYFUNCTION("""COMPUTED_VALUE"""),"")</f>
        <v/>
      </c>
      <c r="C14744" s="42" t="str">
        <f>IFERROR(__xludf.DUMMYFUNCTION("""COMPUTED_VALUE"""),"")</f>
        <v/>
      </c>
      <c r="D14744" s="42"/>
      <c r="E14744" s="42"/>
      <c r="F14744" s="48" t="str">
        <f>IFERROR(__xludf.DUMMYFUNCTION("""COMPUTED_VALUE"""),"")</f>
        <v/>
      </c>
      <c r="G14744" s="42" t="str">
        <f>IFERROR(__xludf.DUMMYFUNCTION("""COMPUTED_VALUE"""),"")</f>
        <v/>
      </c>
      <c r="H14744" s="42">
        <f t="shared" si="1"/>
        <v>3345</v>
      </c>
    </row>
    <row r="14745" ht="22.5" customHeight="1">
      <c r="B14745" s="42" t="str">
        <f>IFERROR(__xludf.DUMMYFUNCTION("""COMPUTED_VALUE"""),"")</f>
        <v/>
      </c>
      <c r="C14745" s="42" t="str">
        <f>IFERROR(__xludf.DUMMYFUNCTION("""COMPUTED_VALUE"""),"")</f>
        <v/>
      </c>
      <c r="D14745" s="42"/>
      <c r="E14745" s="42"/>
      <c r="F14745" s="48" t="str">
        <f>IFERROR(__xludf.DUMMYFUNCTION("""COMPUTED_VALUE"""),"")</f>
        <v/>
      </c>
      <c r="G14745" s="42" t="str">
        <f>IFERROR(__xludf.DUMMYFUNCTION("""COMPUTED_VALUE"""),"")</f>
        <v/>
      </c>
      <c r="H14745" s="42">
        <f t="shared" si="1"/>
        <v>3345</v>
      </c>
    </row>
    <row r="14746" ht="22.5" customHeight="1">
      <c r="B14746" s="42" t="str">
        <f>IFERROR(__xludf.DUMMYFUNCTION("""COMPUTED_VALUE"""),"")</f>
        <v/>
      </c>
      <c r="C14746" s="42" t="str">
        <f>IFERROR(__xludf.DUMMYFUNCTION("""COMPUTED_VALUE"""),"")</f>
        <v/>
      </c>
      <c r="D14746" s="42"/>
      <c r="E14746" s="42"/>
      <c r="F14746" s="48" t="str">
        <f>IFERROR(__xludf.DUMMYFUNCTION("""COMPUTED_VALUE"""),"")</f>
        <v/>
      </c>
      <c r="G14746" s="42" t="str">
        <f>IFERROR(__xludf.DUMMYFUNCTION("""COMPUTED_VALUE"""),"")</f>
        <v/>
      </c>
      <c r="H14746" s="42">
        <f t="shared" si="1"/>
        <v>3345</v>
      </c>
    </row>
    <row r="14747" ht="22.5" customHeight="1">
      <c r="B14747" s="42" t="str">
        <f>IFERROR(__xludf.DUMMYFUNCTION("""COMPUTED_VALUE"""),"")</f>
        <v/>
      </c>
      <c r="C14747" s="42" t="str">
        <f>IFERROR(__xludf.DUMMYFUNCTION("""COMPUTED_VALUE"""),"")</f>
        <v/>
      </c>
      <c r="D14747" s="42"/>
      <c r="E14747" s="42"/>
      <c r="F14747" s="48" t="str">
        <f>IFERROR(__xludf.DUMMYFUNCTION("""COMPUTED_VALUE"""),"")</f>
        <v/>
      </c>
      <c r="G14747" s="42" t="str">
        <f>IFERROR(__xludf.DUMMYFUNCTION("""COMPUTED_VALUE"""),"")</f>
        <v/>
      </c>
      <c r="H14747" s="42">
        <f t="shared" si="1"/>
        <v>3345</v>
      </c>
    </row>
    <row r="14748" ht="22.5" customHeight="1">
      <c r="B14748" s="42" t="str">
        <f>IFERROR(__xludf.DUMMYFUNCTION("""COMPUTED_VALUE"""),"")</f>
        <v/>
      </c>
      <c r="C14748" s="42" t="str">
        <f>IFERROR(__xludf.DUMMYFUNCTION("""COMPUTED_VALUE"""),"")</f>
        <v/>
      </c>
      <c r="D14748" s="42"/>
      <c r="E14748" s="42"/>
      <c r="F14748" s="48" t="str">
        <f>IFERROR(__xludf.DUMMYFUNCTION("""COMPUTED_VALUE"""),"")</f>
        <v/>
      </c>
      <c r="G14748" s="42" t="str">
        <f>IFERROR(__xludf.DUMMYFUNCTION("""COMPUTED_VALUE"""),"")</f>
        <v/>
      </c>
      <c r="H14748" s="42">
        <f t="shared" si="1"/>
        <v>3345</v>
      </c>
    </row>
    <row r="14749" ht="22.5" customHeight="1">
      <c r="B14749" s="42" t="str">
        <f>IFERROR(__xludf.DUMMYFUNCTION("""COMPUTED_VALUE"""),"")</f>
        <v/>
      </c>
      <c r="C14749" s="42" t="str">
        <f>IFERROR(__xludf.DUMMYFUNCTION("""COMPUTED_VALUE"""),"")</f>
        <v/>
      </c>
      <c r="D14749" s="42"/>
      <c r="E14749" s="42"/>
      <c r="F14749" s="48" t="str">
        <f>IFERROR(__xludf.DUMMYFUNCTION("""COMPUTED_VALUE"""),"")</f>
        <v/>
      </c>
      <c r="G14749" s="42" t="str">
        <f>IFERROR(__xludf.DUMMYFUNCTION("""COMPUTED_VALUE"""),"")</f>
        <v/>
      </c>
      <c r="H14749" s="42">
        <f t="shared" si="1"/>
        <v>3345</v>
      </c>
    </row>
    <row r="14750" ht="22.5" customHeight="1">
      <c r="B14750" s="42" t="str">
        <f>IFERROR(__xludf.DUMMYFUNCTION("""COMPUTED_VALUE"""),"")</f>
        <v/>
      </c>
      <c r="C14750" s="42" t="str">
        <f>IFERROR(__xludf.DUMMYFUNCTION("""COMPUTED_VALUE"""),"")</f>
        <v/>
      </c>
      <c r="D14750" s="42"/>
      <c r="E14750" s="42"/>
      <c r="F14750" s="48" t="str">
        <f>IFERROR(__xludf.DUMMYFUNCTION("""COMPUTED_VALUE"""),"")</f>
        <v/>
      </c>
      <c r="G14750" s="42" t="str">
        <f>IFERROR(__xludf.DUMMYFUNCTION("""COMPUTED_VALUE"""),"")</f>
        <v/>
      </c>
      <c r="H14750" s="42">
        <f t="shared" si="1"/>
        <v>3345</v>
      </c>
    </row>
    <row r="14751" ht="22.5" customHeight="1">
      <c r="B14751" s="42" t="str">
        <f>IFERROR(__xludf.DUMMYFUNCTION("""COMPUTED_VALUE"""),"")</f>
        <v/>
      </c>
      <c r="C14751" s="42" t="str">
        <f>IFERROR(__xludf.DUMMYFUNCTION("""COMPUTED_VALUE"""),"")</f>
        <v/>
      </c>
      <c r="D14751" s="42"/>
      <c r="E14751" s="42"/>
      <c r="F14751" s="48" t="str">
        <f>IFERROR(__xludf.DUMMYFUNCTION("""COMPUTED_VALUE"""),"")</f>
        <v/>
      </c>
      <c r="G14751" s="42" t="str">
        <f>IFERROR(__xludf.DUMMYFUNCTION("""COMPUTED_VALUE"""),"")</f>
        <v/>
      </c>
      <c r="H14751" s="42">
        <f t="shared" si="1"/>
        <v>3345</v>
      </c>
    </row>
    <row r="14752" ht="22.5" customHeight="1">
      <c r="B14752" s="42" t="str">
        <f>IFERROR(__xludf.DUMMYFUNCTION("""COMPUTED_VALUE"""),"")</f>
        <v/>
      </c>
      <c r="C14752" s="42" t="str">
        <f>IFERROR(__xludf.DUMMYFUNCTION("""COMPUTED_VALUE"""),"")</f>
        <v/>
      </c>
      <c r="D14752" s="42"/>
      <c r="E14752" s="42"/>
      <c r="F14752" s="48" t="str">
        <f>IFERROR(__xludf.DUMMYFUNCTION("""COMPUTED_VALUE"""),"")</f>
        <v/>
      </c>
      <c r="G14752" s="42" t="str">
        <f>IFERROR(__xludf.DUMMYFUNCTION("""COMPUTED_VALUE"""),"")</f>
        <v/>
      </c>
      <c r="H14752" s="42">
        <f t="shared" si="1"/>
        <v>3345</v>
      </c>
    </row>
    <row r="14753" ht="22.5" customHeight="1">
      <c r="B14753" s="42" t="str">
        <f>IFERROR(__xludf.DUMMYFUNCTION("""COMPUTED_VALUE"""),"")</f>
        <v/>
      </c>
      <c r="C14753" s="42" t="str">
        <f>IFERROR(__xludf.DUMMYFUNCTION("""COMPUTED_VALUE"""),"")</f>
        <v/>
      </c>
      <c r="D14753" s="42"/>
      <c r="E14753" s="42"/>
      <c r="F14753" s="48" t="str">
        <f>IFERROR(__xludf.DUMMYFUNCTION("""COMPUTED_VALUE"""),"")</f>
        <v/>
      </c>
      <c r="G14753" s="42" t="str">
        <f>IFERROR(__xludf.DUMMYFUNCTION("""COMPUTED_VALUE"""),"")</f>
        <v/>
      </c>
      <c r="H14753" s="42">
        <f t="shared" si="1"/>
        <v>3345</v>
      </c>
    </row>
    <row r="14754" ht="22.5" customHeight="1">
      <c r="B14754" s="42" t="str">
        <f>IFERROR(__xludf.DUMMYFUNCTION("""COMPUTED_VALUE"""),"")</f>
        <v/>
      </c>
      <c r="C14754" s="42" t="str">
        <f>IFERROR(__xludf.DUMMYFUNCTION("""COMPUTED_VALUE"""),"")</f>
        <v/>
      </c>
      <c r="D14754" s="42"/>
      <c r="E14754" s="42"/>
      <c r="F14754" s="48" t="str">
        <f>IFERROR(__xludf.DUMMYFUNCTION("""COMPUTED_VALUE"""),"")</f>
        <v/>
      </c>
      <c r="G14754" s="42" t="str">
        <f>IFERROR(__xludf.DUMMYFUNCTION("""COMPUTED_VALUE"""),"")</f>
        <v/>
      </c>
      <c r="H14754" s="42">
        <f t="shared" si="1"/>
        <v>3345</v>
      </c>
    </row>
    <row r="14755" ht="22.5" customHeight="1">
      <c r="B14755" s="42" t="str">
        <f>IFERROR(__xludf.DUMMYFUNCTION("""COMPUTED_VALUE"""),"")</f>
        <v/>
      </c>
      <c r="C14755" s="42" t="str">
        <f>IFERROR(__xludf.DUMMYFUNCTION("""COMPUTED_VALUE"""),"")</f>
        <v/>
      </c>
      <c r="D14755" s="42"/>
      <c r="E14755" s="42"/>
      <c r="F14755" s="48" t="str">
        <f>IFERROR(__xludf.DUMMYFUNCTION("""COMPUTED_VALUE"""),"")</f>
        <v/>
      </c>
      <c r="G14755" s="42" t="str">
        <f>IFERROR(__xludf.DUMMYFUNCTION("""COMPUTED_VALUE"""),"")</f>
        <v/>
      </c>
      <c r="H14755" s="42">
        <f t="shared" si="1"/>
        <v>3345</v>
      </c>
    </row>
    <row r="14756" ht="22.5" customHeight="1">
      <c r="B14756" s="42" t="str">
        <f>IFERROR(__xludf.DUMMYFUNCTION("""COMPUTED_VALUE"""),"")</f>
        <v/>
      </c>
      <c r="C14756" s="42" t="str">
        <f>IFERROR(__xludf.DUMMYFUNCTION("""COMPUTED_VALUE"""),"")</f>
        <v/>
      </c>
      <c r="D14756" s="42"/>
      <c r="E14756" s="42"/>
      <c r="F14756" s="48" t="str">
        <f>IFERROR(__xludf.DUMMYFUNCTION("""COMPUTED_VALUE"""),"")</f>
        <v/>
      </c>
      <c r="G14756" s="42" t="str">
        <f>IFERROR(__xludf.DUMMYFUNCTION("""COMPUTED_VALUE"""),"")</f>
        <v/>
      </c>
      <c r="H14756" s="42">
        <f t="shared" si="1"/>
        <v>3345</v>
      </c>
    </row>
    <row r="14757" ht="22.5" customHeight="1">
      <c r="B14757" s="42" t="str">
        <f>IFERROR(__xludf.DUMMYFUNCTION("""COMPUTED_VALUE"""),"")</f>
        <v/>
      </c>
      <c r="C14757" s="42" t="str">
        <f>IFERROR(__xludf.DUMMYFUNCTION("""COMPUTED_VALUE"""),"")</f>
        <v/>
      </c>
      <c r="D14757" s="42"/>
      <c r="E14757" s="42"/>
      <c r="F14757" s="48" t="str">
        <f>IFERROR(__xludf.DUMMYFUNCTION("""COMPUTED_VALUE"""),"")</f>
        <v/>
      </c>
      <c r="G14757" s="42" t="str">
        <f>IFERROR(__xludf.DUMMYFUNCTION("""COMPUTED_VALUE"""),"")</f>
        <v/>
      </c>
      <c r="H14757" s="42">
        <f t="shared" si="1"/>
        <v>3345</v>
      </c>
    </row>
    <row r="14758" ht="22.5" customHeight="1">
      <c r="B14758" s="42" t="str">
        <f>IFERROR(__xludf.DUMMYFUNCTION("""COMPUTED_VALUE"""),"")</f>
        <v/>
      </c>
      <c r="C14758" s="42" t="str">
        <f>IFERROR(__xludf.DUMMYFUNCTION("""COMPUTED_VALUE"""),"")</f>
        <v/>
      </c>
      <c r="D14758" s="42"/>
      <c r="E14758" s="42"/>
      <c r="F14758" s="48" t="str">
        <f>IFERROR(__xludf.DUMMYFUNCTION("""COMPUTED_VALUE"""),"")</f>
        <v/>
      </c>
      <c r="G14758" s="42" t="str">
        <f>IFERROR(__xludf.DUMMYFUNCTION("""COMPUTED_VALUE"""),"")</f>
        <v/>
      </c>
      <c r="H14758" s="42">
        <f t="shared" si="1"/>
        <v>3345</v>
      </c>
    </row>
    <row r="14759" ht="22.5" customHeight="1">
      <c r="B14759" s="42" t="str">
        <f>IFERROR(__xludf.DUMMYFUNCTION("""COMPUTED_VALUE"""),"")</f>
        <v/>
      </c>
      <c r="C14759" s="42" t="str">
        <f>IFERROR(__xludf.DUMMYFUNCTION("""COMPUTED_VALUE"""),"")</f>
        <v/>
      </c>
      <c r="D14759" s="42"/>
      <c r="E14759" s="42"/>
      <c r="F14759" s="48" t="str">
        <f>IFERROR(__xludf.DUMMYFUNCTION("""COMPUTED_VALUE"""),"")</f>
        <v/>
      </c>
      <c r="G14759" s="42" t="str">
        <f>IFERROR(__xludf.DUMMYFUNCTION("""COMPUTED_VALUE"""),"")</f>
        <v/>
      </c>
      <c r="H14759" s="42">
        <f t="shared" si="1"/>
        <v>3345</v>
      </c>
    </row>
    <row r="14760" ht="22.5" customHeight="1">
      <c r="B14760" s="42" t="str">
        <f>IFERROR(__xludf.DUMMYFUNCTION("""COMPUTED_VALUE"""),"")</f>
        <v/>
      </c>
      <c r="C14760" s="42" t="str">
        <f>IFERROR(__xludf.DUMMYFUNCTION("""COMPUTED_VALUE"""),"")</f>
        <v/>
      </c>
      <c r="D14760" s="42"/>
      <c r="E14760" s="42"/>
      <c r="F14760" s="48" t="str">
        <f>IFERROR(__xludf.DUMMYFUNCTION("""COMPUTED_VALUE"""),"")</f>
        <v/>
      </c>
      <c r="G14760" s="42" t="str">
        <f>IFERROR(__xludf.DUMMYFUNCTION("""COMPUTED_VALUE"""),"")</f>
        <v/>
      </c>
      <c r="H14760" s="42">
        <f t="shared" si="1"/>
        <v>3345</v>
      </c>
    </row>
    <row r="14761" ht="22.5" customHeight="1">
      <c r="B14761" s="42" t="str">
        <f>IFERROR(__xludf.DUMMYFUNCTION("""COMPUTED_VALUE"""),"")</f>
        <v/>
      </c>
      <c r="C14761" s="42" t="str">
        <f>IFERROR(__xludf.DUMMYFUNCTION("""COMPUTED_VALUE"""),"")</f>
        <v/>
      </c>
      <c r="D14761" s="42"/>
      <c r="E14761" s="42"/>
      <c r="F14761" s="48" t="str">
        <f>IFERROR(__xludf.DUMMYFUNCTION("""COMPUTED_VALUE"""),"")</f>
        <v/>
      </c>
      <c r="G14761" s="42" t="str">
        <f>IFERROR(__xludf.DUMMYFUNCTION("""COMPUTED_VALUE"""),"")</f>
        <v/>
      </c>
      <c r="H14761" s="42">
        <f t="shared" si="1"/>
        <v>3345</v>
      </c>
    </row>
    <row r="14762" ht="22.5" customHeight="1">
      <c r="B14762" s="42" t="str">
        <f>IFERROR(__xludf.DUMMYFUNCTION("""COMPUTED_VALUE"""),"")</f>
        <v/>
      </c>
      <c r="C14762" s="42" t="str">
        <f>IFERROR(__xludf.DUMMYFUNCTION("""COMPUTED_VALUE"""),"")</f>
        <v/>
      </c>
      <c r="D14762" s="42"/>
      <c r="E14762" s="42"/>
      <c r="F14762" s="48" t="str">
        <f>IFERROR(__xludf.DUMMYFUNCTION("""COMPUTED_VALUE"""),"")</f>
        <v/>
      </c>
      <c r="G14762" s="42" t="str">
        <f>IFERROR(__xludf.DUMMYFUNCTION("""COMPUTED_VALUE"""),"")</f>
        <v/>
      </c>
      <c r="H14762" s="42">
        <f t="shared" si="1"/>
        <v>3345</v>
      </c>
    </row>
    <row r="14763" ht="22.5" customHeight="1">
      <c r="B14763" s="42" t="str">
        <f>IFERROR(__xludf.DUMMYFUNCTION("""COMPUTED_VALUE"""),"")</f>
        <v/>
      </c>
      <c r="C14763" s="42" t="str">
        <f>IFERROR(__xludf.DUMMYFUNCTION("""COMPUTED_VALUE"""),"")</f>
        <v/>
      </c>
      <c r="D14763" s="42"/>
      <c r="E14763" s="42"/>
      <c r="F14763" s="48" t="str">
        <f>IFERROR(__xludf.DUMMYFUNCTION("""COMPUTED_VALUE"""),"")</f>
        <v/>
      </c>
      <c r="G14763" s="42" t="str">
        <f>IFERROR(__xludf.DUMMYFUNCTION("""COMPUTED_VALUE"""),"")</f>
        <v/>
      </c>
      <c r="H14763" s="42">
        <f t="shared" si="1"/>
        <v>3345</v>
      </c>
    </row>
    <row r="14764" ht="22.5" customHeight="1">
      <c r="B14764" s="42" t="str">
        <f>IFERROR(__xludf.DUMMYFUNCTION("""COMPUTED_VALUE"""),"")</f>
        <v/>
      </c>
      <c r="C14764" s="42" t="str">
        <f>IFERROR(__xludf.DUMMYFUNCTION("""COMPUTED_VALUE"""),"")</f>
        <v/>
      </c>
      <c r="D14764" s="42"/>
      <c r="E14764" s="42"/>
      <c r="F14764" s="48" t="str">
        <f>IFERROR(__xludf.DUMMYFUNCTION("""COMPUTED_VALUE"""),"")</f>
        <v/>
      </c>
      <c r="G14764" s="42" t="str">
        <f>IFERROR(__xludf.DUMMYFUNCTION("""COMPUTED_VALUE"""),"")</f>
        <v/>
      </c>
      <c r="H14764" s="42">
        <f t="shared" si="1"/>
        <v>3345</v>
      </c>
    </row>
    <row r="14765" ht="22.5" customHeight="1">
      <c r="B14765" s="42" t="str">
        <f>IFERROR(__xludf.DUMMYFUNCTION("""COMPUTED_VALUE"""),"")</f>
        <v/>
      </c>
      <c r="C14765" s="42" t="str">
        <f>IFERROR(__xludf.DUMMYFUNCTION("""COMPUTED_VALUE"""),"")</f>
        <v/>
      </c>
      <c r="D14765" s="42"/>
      <c r="E14765" s="42"/>
      <c r="F14765" s="48" t="str">
        <f>IFERROR(__xludf.DUMMYFUNCTION("""COMPUTED_VALUE"""),"")</f>
        <v/>
      </c>
      <c r="G14765" s="42" t="str">
        <f>IFERROR(__xludf.DUMMYFUNCTION("""COMPUTED_VALUE"""),"")</f>
        <v/>
      </c>
      <c r="H14765" s="42">
        <f t="shared" si="1"/>
        <v>3345</v>
      </c>
    </row>
    <row r="14766" ht="22.5" customHeight="1">
      <c r="B14766" s="42" t="str">
        <f>IFERROR(__xludf.DUMMYFUNCTION("""COMPUTED_VALUE"""),"")</f>
        <v/>
      </c>
      <c r="C14766" s="42" t="str">
        <f>IFERROR(__xludf.DUMMYFUNCTION("""COMPUTED_VALUE"""),"")</f>
        <v/>
      </c>
      <c r="D14766" s="42"/>
      <c r="E14766" s="42"/>
      <c r="F14766" s="48" t="str">
        <f>IFERROR(__xludf.DUMMYFUNCTION("""COMPUTED_VALUE"""),"")</f>
        <v/>
      </c>
      <c r="G14766" s="42" t="str">
        <f>IFERROR(__xludf.DUMMYFUNCTION("""COMPUTED_VALUE"""),"")</f>
        <v/>
      </c>
      <c r="H14766" s="42">
        <f t="shared" si="1"/>
        <v>3345</v>
      </c>
    </row>
    <row r="14767" ht="22.5" customHeight="1">
      <c r="B14767" s="42" t="str">
        <f>IFERROR(__xludf.DUMMYFUNCTION("""COMPUTED_VALUE"""),"")</f>
        <v/>
      </c>
      <c r="C14767" s="42" t="str">
        <f>IFERROR(__xludf.DUMMYFUNCTION("""COMPUTED_VALUE"""),"")</f>
        <v/>
      </c>
      <c r="D14767" s="42"/>
      <c r="E14767" s="42"/>
      <c r="F14767" s="48" t="str">
        <f>IFERROR(__xludf.DUMMYFUNCTION("""COMPUTED_VALUE"""),"")</f>
        <v/>
      </c>
      <c r="G14767" s="42" t="str">
        <f>IFERROR(__xludf.DUMMYFUNCTION("""COMPUTED_VALUE"""),"")</f>
        <v/>
      </c>
      <c r="H14767" s="42">
        <f t="shared" si="1"/>
        <v>3345</v>
      </c>
    </row>
    <row r="14768" ht="22.5" customHeight="1">
      <c r="B14768" s="42" t="str">
        <f>IFERROR(__xludf.DUMMYFUNCTION("""COMPUTED_VALUE"""),"")</f>
        <v/>
      </c>
      <c r="C14768" s="42" t="str">
        <f>IFERROR(__xludf.DUMMYFUNCTION("""COMPUTED_VALUE"""),"")</f>
        <v/>
      </c>
      <c r="D14768" s="42"/>
      <c r="E14768" s="42"/>
      <c r="F14768" s="48" t="str">
        <f>IFERROR(__xludf.DUMMYFUNCTION("""COMPUTED_VALUE"""),"")</f>
        <v/>
      </c>
      <c r="G14768" s="42" t="str">
        <f>IFERROR(__xludf.DUMMYFUNCTION("""COMPUTED_VALUE"""),"")</f>
        <v/>
      </c>
      <c r="H14768" s="42">
        <f t="shared" si="1"/>
        <v>3345</v>
      </c>
    </row>
    <row r="14769" ht="22.5" customHeight="1">
      <c r="B14769" s="42" t="str">
        <f>IFERROR(__xludf.DUMMYFUNCTION("""COMPUTED_VALUE"""),"")</f>
        <v/>
      </c>
      <c r="C14769" s="42" t="str">
        <f>IFERROR(__xludf.DUMMYFUNCTION("""COMPUTED_VALUE"""),"")</f>
        <v/>
      </c>
      <c r="D14769" s="42"/>
      <c r="E14769" s="42"/>
      <c r="F14769" s="48" t="str">
        <f>IFERROR(__xludf.DUMMYFUNCTION("""COMPUTED_VALUE"""),"")</f>
        <v/>
      </c>
      <c r="G14769" s="42" t="str">
        <f>IFERROR(__xludf.DUMMYFUNCTION("""COMPUTED_VALUE"""),"")</f>
        <v/>
      </c>
      <c r="H14769" s="42">
        <f t="shared" si="1"/>
        <v>3345</v>
      </c>
    </row>
    <row r="14770" ht="22.5" customHeight="1">
      <c r="B14770" s="42" t="str">
        <f>IFERROR(__xludf.DUMMYFUNCTION("""COMPUTED_VALUE"""),"")</f>
        <v/>
      </c>
      <c r="C14770" s="42" t="str">
        <f>IFERROR(__xludf.DUMMYFUNCTION("""COMPUTED_VALUE"""),"")</f>
        <v/>
      </c>
      <c r="D14770" s="42"/>
      <c r="E14770" s="42"/>
      <c r="F14770" s="48" t="str">
        <f>IFERROR(__xludf.DUMMYFUNCTION("""COMPUTED_VALUE"""),"")</f>
        <v/>
      </c>
      <c r="G14770" s="42" t="str">
        <f>IFERROR(__xludf.DUMMYFUNCTION("""COMPUTED_VALUE"""),"")</f>
        <v/>
      </c>
      <c r="H14770" s="42">
        <f t="shared" si="1"/>
        <v>3345</v>
      </c>
    </row>
    <row r="14771" ht="22.5" customHeight="1">
      <c r="B14771" s="42" t="str">
        <f>IFERROR(__xludf.DUMMYFUNCTION("""COMPUTED_VALUE"""),"")</f>
        <v/>
      </c>
      <c r="C14771" s="42" t="str">
        <f>IFERROR(__xludf.DUMMYFUNCTION("""COMPUTED_VALUE"""),"")</f>
        <v/>
      </c>
      <c r="D14771" s="42"/>
      <c r="E14771" s="42"/>
      <c r="F14771" s="48" t="str">
        <f>IFERROR(__xludf.DUMMYFUNCTION("""COMPUTED_VALUE"""),"")</f>
        <v/>
      </c>
      <c r="G14771" s="42" t="str">
        <f>IFERROR(__xludf.DUMMYFUNCTION("""COMPUTED_VALUE"""),"")</f>
        <v/>
      </c>
      <c r="H14771" s="42">
        <f t="shared" si="1"/>
        <v>3345</v>
      </c>
    </row>
    <row r="14772" ht="22.5" customHeight="1">
      <c r="B14772" s="42" t="str">
        <f>IFERROR(__xludf.DUMMYFUNCTION("""COMPUTED_VALUE"""),"")</f>
        <v/>
      </c>
      <c r="C14772" s="42" t="str">
        <f>IFERROR(__xludf.DUMMYFUNCTION("""COMPUTED_VALUE"""),"")</f>
        <v/>
      </c>
      <c r="D14772" s="42"/>
      <c r="E14772" s="42"/>
      <c r="F14772" s="48" t="str">
        <f>IFERROR(__xludf.DUMMYFUNCTION("""COMPUTED_VALUE"""),"")</f>
        <v/>
      </c>
      <c r="G14772" s="42" t="str">
        <f>IFERROR(__xludf.DUMMYFUNCTION("""COMPUTED_VALUE"""),"")</f>
        <v/>
      </c>
      <c r="H14772" s="42">
        <f t="shared" si="1"/>
        <v>3345</v>
      </c>
    </row>
    <row r="14773" ht="22.5" customHeight="1">
      <c r="B14773" s="42" t="str">
        <f>IFERROR(__xludf.DUMMYFUNCTION("""COMPUTED_VALUE"""),"")</f>
        <v/>
      </c>
      <c r="C14773" s="42" t="str">
        <f>IFERROR(__xludf.DUMMYFUNCTION("""COMPUTED_VALUE"""),"")</f>
        <v/>
      </c>
      <c r="D14773" s="42"/>
      <c r="E14773" s="42"/>
      <c r="F14773" s="48" t="str">
        <f>IFERROR(__xludf.DUMMYFUNCTION("""COMPUTED_VALUE"""),"")</f>
        <v/>
      </c>
      <c r="G14773" s="42" t="str">
        <f>IFERROR(__xludf.DUMMYFUNCTION("""COMPUTED_VALUE"""),"")</f>
        <v/>
      </c>
      <c r="H14773" s="42">
        <f t="shared" si="1"/>
        <v>3345</v>
      </c>
    </row>
    <row r="14774" ht="22.5" customHeight="1">
      <c r="B14774" s="42" t="str">
        <f>IFERROR(__xludf.DUMMYFUNCTION("""COMPUTED_VALUE"""),"")</f>
        <v/>
      </c>
      <c r="C14774" s="42" t="str">
        <f>IFERROR(__xludf.DUMMYFUNCTION("""COMPUTED_VALUE"""),"")</f>
        <v/>
      </c>
      <c r="D14774" s="42"/>
      <c r="E14774" s="42"/>
      <c r="F14774" s="48" t="str">
        <f>IFERROR(__xludf.DUMMYFUNCTION("""COMPUTED_VALUE"""),"")</f>
        <v/>
      </c>
      <c r="G14774" s="42" t="str">
        <f>IFERROR(__xludf.DUMMYFUNCTION("""COMPUTED_VALUE"""),"")</f>
        <v/>
      </c>
      <c r="H14774" s="42">
        <f t="shared" si="1"/>
        <v>3345</v>
      </c>
    </row>
    <row r="14775" ht="22.5" customHeight="1">
      <c r="B14775" s="42" t="str">
        <f>IFERROR(__xludf.DUMMYFUNCTION("""COMPUTED_VALUE"""),"")</f>
        <v/>
      </c>
      <c r="C14775" s="42" t="str">
        <f>IFERROR(__xludf.DUMMYFUNCTION("""COMPUTED_VALUE"""),"")</f>
        <v/>
      </c>
      <c r="D14775" s="42"/>
      <c r="E14775" s="42"/>
      <c r="F14775" s="48" t="str">
        <f>IFERROR(__xludf.DUMMYFUNCTION("""COMPUTED_VALUE"""),"")</f>
        <v/>
      </c>
      <c r="G14775" s="42" t="str">
        <f>IFERROR(__xludf.DUMMYFUNCTION("""COMPUTED_VALUE"""),"")</f>
        <v/>
      </c>
      <c r="H14775" s="42">
        <f t="shared" si="1"/>
        <v>3345</v>
      </c>
    </row>
    <row r="14776" ht="22.5" customHeight="1">
      <c r="B14776" s="42" t="str">
        <f>IFERROR(__xludf.DUMMYFUNCTION("""COMPUTED_VALUE"""),"")</f>
        <v/>
      </c>
      <c r="C14776" s="42" t="str">
        <f>IFERROR(__xludf.DUMMYFUNCTION("""COMPUTED_VALUE"""),"")</f>
        <v/>
      </c>
      <c r="D14776" s="42"/>
      <c r="E14776" s="42"/>
      <c r="F14776" s="48" t="str">
        <f>IFERROR(__xludf.DUMMYFUNCTION("""COMPUTED_VALUE"""),"")</f>
        <v/>
      </c>
      <c r="G14776" s="42" t="str">
        <f>IFERROR(__xludf.DUMMYFUNCTION("""COMPUTED_VALUE"""),"")</f>
        <v/>
      </c>
      <c r="H14776" s="42">
        <f t="shared" si="1"/>
        <v>3345</v>
      </c>
    </row>
    <row r="14777" ht="22.5" customHeight="1">
      <c r="B14777" s="42" t="str">
        <f>IFERROR(__xludf.DUMMYFUNCTION("""COMPUTED_VALUE"""),"")</f>
        <v/>
      </c>
      <c r="C14777" s="42" t="str">
        <f>IFERROR(__xludf.DUMMYFUNCTION("""COMPUTED_VALUE"""),"")</f>
        <v/>
      </c>
      <c r="D14777" s="42"/>
      <c r="E14777" s="42"/>
      <c r="F14777" s="48" t="str">
        <f>IFERROR(__xludf.DUMMYFUNCTION("""COMPUTED_VALUE"""),"")</f>
        <v/>
      </c>
      <c r="G14777" s="42" t="str">
        <f>IFERROR(__xludf.DUMMYFUNCTION("""COMPUTED_VALUE"""),"")</f>
        <v/>
      </c>
      <c r="H14777" s="42">
        <f t="shared" si="1"/>
        <v>3345</v>
      </c>
    </row>
    <row r="14778" ht="22.5" customHeight="1">
      <c r="B14778" s="42" t="str">
        <f>IFERROR(__xludf.DUMMYFUNCTION("""COMPUTED_VALUE"""),"")</f>
        <v/>
      </c>
      <c r="C14778" s="42" t="str">
        <f>IFERROR(__xludf.DUMMYFUNCTION("""COMPUTED_VALUE"""),"")</f>
        <v/>
      </c>
      <c r="D14778" s="42"/>
      <c r="E14778" s="42"/>
      <c r="F14778" s="48" t="str">
        <f>IFERROR(__xludf.DUMMYFUNCTION("""COMPUTED_VALUE"""),"")</f>
        <v/>
      </c>
      <c r="G14778" s="42" t="str">
        <f>IFERROR(__xludf.DUMMYFUNCTION("""COMPUTED_VALUE"""),"")</f>
        <v/>
      </c>
      <c r="H14778" s="42">
        <f t="shared" si="1"/>
        <v>3345</v>
      </c>
    </row>
    <row r="14779" ht="22.5" customHeight="1">
      <c r="B14779" s="42" t="str">
        <f>IFERROR(__xludf.DUMMYFUNCTION("""COMPUTED_VALUE"""),"")</f>
        <v/>
      </c>
      <c r="C14779" s="42" t="str">
        <f>IFERROR(__xludf.DUMMYFUNCTION("""COMPUTED_VALUE"""),"")</f>
        <v/>
      </c>
      <c r="D14779" s="42"/>
      <c r="E14779" s="42"/>
      <c r="F14779" s="48" t="str">
        <f>IFERROR(__xludf.DUMMYFUNCTION("""COMPUTED_VALUE"""),"")</f>
        <v/>
      </c>
      <c r="G14779" s="42" t="str">
        <f>IFERROR(__xludf.DUMMYFUNCTION("""COMPUTED_VALUE"""),"")</f>
        <v/>
      </c>
      <c r="H14779" s="42">
        <f t="shared" si="1"/>
        <v>3345</v>
      </c>
    </row>
    <row r="14780" ht="22.5" customHeight="1">
      <c r="B14780" s="42" t="str">
        <f>IFERROR(__xludf.DUMMYFUNCTION("""COMPUTED_VALUE"""),"")</f>
        <v/>
      </c>
      <c r="C14780" s="42" t="str">
        <f>IFERROR(__xludf.DUMMYFUNCTION("""COMPUTED_VALUE"""),"")</f>
        <v/>
      </c>
      <c r="D14780" s="42"/>
      <c r="E14780" s="42"/>
      <c r="F14780" s="48" t="str">
        <f>IFERROR(__xludf.DUMMYFUNCTION("""COMPUTED_VALUE"""),"")</f>
        <v/>
      </c>
      <c r="G14780" s="42" t="str">
        <f>IFERROR(__xludf.DUMMYFUNCTION("""COMPUTED_VALUE"""),"")</f>
        <v/>
      </c>
      <c r="H14780" s="42">
        <f t="shared" si="1"/>
        <v>3345</v>
      </c>
    </row>
    <row r="14781" ht="22.5" customHeight="1">
      <c r="B14781" s="42" t="str">
        <f>IFERROR(__xludf.DUMMYFUNCTION("""COMPUTED_VALUE"""),"")</f>
        <v/>
      </c>
      <c r="C14781" s="42" t="str">
        <f>IFERROR(__xludf.DUMMYFUNCTION("""COMPUTED_VALUE"""),"")</f>
        <v/>
      </c>
      <c r="D14781" s="42"/>
      <c r="E14781" s="42"/>
      <c r="F14781" s="48" t="str">
        <f>IFERROR(__xludf.DUMMYFUNCTION("""COMPUTED_VALUE"""),"")</f>
        <v/>
      </c>
      <c r="G14781" s="42" t="str">
        <f>IFERROR(__xludf.DUMMYFUNCTION("""COMPUTED_VALUE"""),"")</f>
        <v/>
      </c>
      <c r="H14781" s="42">
        <f t="shared" si="1"/>
        <v>3345</v>
      </c>
    </row>
    <row r="14782" ht="22.5" customHeight="1">
      <c r="B14782" s="42" t="str">
        <f>IFERROR(__xludf.DUMMYFUNCTION("""COMPUTED_VALUE"""),"")</f>
        <v/>
      </c>
      <c r="C14782" s="42" t="str">
        <f>IFERROR(__xludf.DUMMYFUNCTION("""COMPUTED_VALUE"""),"")</f>
        <v/>
      </c>
      <c r="D14782" s="42"/>
      <c r="E14782" s="42"/>
      <c r="F14782" s="48" t="str">
        <f>IFERROR(__xludf.DUMMYFUNCTION("""COMPUTED_VALUE"""),"")</f>
        <v/>
      </c>
      <c r="G14782" s="42" t="str">
        <f>IFERROR(__xludf.DUMMYFUNCTION("""COMPUTED_VALUE"""),"")</f>
        <v/>
      </c>
      <c r="H14782" s="42">
        <f t="shared" si="1"/>
        <v>3345</v>
      </c>
    </row>
    <row r="14783" ht="22.5" customHeight="1">
      <c r="B14783" s="42" t="str">
        <f>IFERROR(__xludf.DUMMYFUNCTION("""COMPUTED_VALUE"""),"")</f>
        <v/>
      </c>
      <c r="C14783" s="42" t="str">
        <f>IFERROR(__xludf.DUMMYFUNCTION("""COMPUTED_VALUE"""),"")</f>
        <v/>
      </c>
      <c r="D14783" s="42"/>
      <c r="E14783" s="42"/>
      <c r="F14783" s="48" t="str">
        <f>IFERROR(__xludf.DUMMYFUNCTION("""COMPUTED_VALUE"""),"")</f>
        <v/>
      </c>
      <c r="G14783" s="42" t="str">
        <f>IFERROR(__xludf.DUMMYFUNCTION("""COMPUTED_VALUE"""),"")</f>
        <v/>
      </c>
      <c r="H14783" s="42">
        <f t="shared" si="1"/>
        <v>3345</v>
      </c>
    </row>
    <row r="14784" ht="22.5" customHeight="1">
      <c r="B14784" s="42" t="str">
        <f>IFERROR(__xludf.DUMMYFUNCTION("""COMPUTED_VALUE"""),"")</f>
        <v/>
      </c>
      <c r="C14784" s="42" t="str">
        <f>IFERROR(__xludf.DUMMYFUNCTION("""COMPUTED_VALUE"""),"")</f>
        <v/>
      </c>
      <c r="D14784" s="42"/>
      <c r="E14784" s="42"/>
      <c r="F14784" s="48" t="str">
        <f>IFERROR(__xludf.DUMMYFUNCTION("""COMPUTED_VALUE"""),"")</f>
        <v/>
      </c>
      <c r="G14784" s="42" t="str">
        <f>IFERROR(__xludf.DUMMYFUNCTION("""COMPUTED_VALUE"""),"")</f>
        <v/>
      </c>
      <c r="H14784" s="42">
        <f t="shared" si="1"/>
        <v>3345</v>
      </c>
    </row>
    <row r="14785" ht="22.5" customHeight="1">
      <c r="B14785" s="42" t="str">
        <f>IFERROR(__xludf.DUMMYFUNCTION("""COMPUTED_VALUE"""),"")</f>
        <v/>
      </c>
      <c r="C14785" s="42" t="str">
        <f>IFERROR(__xludf.DUMMYFUNCTION("""COMPUTED_VALUE"""),"")</f>
        <v/>
      </c>
      <c r="D14785" s="42"/>
      <c r="E14785" s="42"/>
      <c r="F14785" s="48" t="str">
        <f>IFERROR(__xludf.DUMMYFUNCTION("""COMPUTED_VALUE"""),"")</f>
        <v/>
      </c>
      <c r="G14785" s="42" t="str">
        <f>IFERROR(__xludf.DUMMYFUNCTION("""COMPUTED_VALUE"""),"")</f>
        <v/>
      </c>
      <c r="H14785" s="42">
        <f t="shared" si="1"/>
        <v>3345</v>
      </c>
    </row>
    <row r="14786" ht="22.5" customHeight="1">
      <c r="B14786" s="42" t="str">
        <f>IFERROR(__xludf.DUMMYFUNCTION("""COMPUTED_VALUE"""),"")</f>
        <v/>
      </c>
      <c r="C14786" s="42" t="str">
        <f>IFERROR(__xludf.DUMMYFUNCTION("""COMPUTED_VALUE"""),"")</f>
        <v/>
      </c>
      <c r="D14786" s="42"/>
      <c r="E14786" s="42"/>
      <c r="F14786" s="48" t="str">
        <f>IFERROR(__xludf.DUMMYFUNCTION("""COMPUTED_VALUE"""),"")</f>
        <v/>
      </c>
      <c r="G14786" s="42" t="str">
        <f>IFERROR(__xludf.DUMMYFUNCTION("""COMPUTED_VALUE"""),"")</f>
        <v/>
      </c>
      <c r="H14786" s="42">
        <f t="shared" si="1"/>
        <v>3345</v>
      </c>
    </row>
    <row r="14787" ht="22.5" customHeight="1">
      <c r="B14787" s="42" t="str">
        <f>IFERROR(__xludf.DUMMYFUNCTION("""COMPUTED_VALUE"""),"")</f>
        <v/>
      </c>
      <c r="C14787" s="42" t="str">
        <f>IFERROR(__xludf.DUMMYFUNCTION("""COMPUTED_VALUE"""),"")</f>
        <v/>
      </c>
      <c r="D14787" s="42"/>
      <c r="E14787" s="42"/>
      <c r="F14787" s="48" t="str">
        <f>IFERROR(__xludf.DUMMYFUNCTION("""COMPUTED_VALUE"""),"")</f>
        <v/>
      </c>
      <c r="G14787" s="42" t="str">
        <f>IFERROR(__xludf.DUMMYFUNCTION("""COMPUTED_VALUE"""),"")</f>
        <v/>
      </c>
      <c r="H14787" s="42">
        <f t="shared" si="1"/>
        <v>3345</v>
      </c>
    </row>
    <row r="14788" ht="22.5" customHeight="1">
      <c r="B14788" s="42" t="str">
        <f>IFERROR(__xludf.DUMMYFUNCTION("""COMPUTED_VALUE"""),"")</f>
        <v/>
      </c>
      <c r="C14788" s="42" t="str">
        <f>IFERROR(__xludf.DUMMYFUNCTION("""COMPUTED_VALUE"""),"")</f>
        <v/>
      </c>
      <c r="D14788" s="42"/>
      <c r="E14788" s="42"/>
      <c r="F14788" s="48" t="str">
        <f>IFERROR(__xludf.DUMMYFUNCTION("""COMPUTED_VALUE"""),"")</f>
        <v/>
      </c>
      <c r="G14788" s="42" t="str">
        <f>IFERROR(__xludf.DUMMYFUNCTION("""COMPUTED_VALUE"""),"")</f>
        <v/>
      </c>
      <c r="H14788" s="42">
        <f t="shared" si="1"/>
        <v>3345</v>
      </c>
    </row>
    <row r="14789" ht="22.5" customHeight="1">
      <c r="B14789" s="42" t="str">
        <f>IFERROR(__xludf.DUMMYFUNCTION("""COMPUTED_VALUE"""),"")</f>
        <v/>
      </c>
      <c r="C14789" s="42" t="str">
        <f>IFERROR(__xludf.DUMMYFUNCTION("""COMPUTED_VALUE"""),"")</f>
        <v/>
      </c>
      <c r="D14789" s="42"/>
      <c r="E14789" s="42"/>
      <c r="F14789" s="48" t="str">
        <f>IFERROR(__xludf.DUMMYFUNCTION("""COMPUTED_VALUE"""),"")</f>
        <v/>
      </c>
      <c r="G14789" s="42" t="str">
        <f>IFERROR(__xludf.DUMMYFUNCTION("""COMPUTED_VALUE"""),"")</f>
        <v/>
      </c>
      <c r="H14789" s="42">
        <f t="shared" si="1"/>
        <v>3345</v>
      </c>
    </row>
    <row r="14790" ht="22.5" customHeight="1">
      <c r="B14790" s="42" t="str">
        <f>IFERROR(__xludf.DUMMYFUNCTION("""COMPUTED_VALUE"""),"")</f>
        <v/>
      </c>
      <c r="C14790" s="42" t="str">
        <f>IFERROR(__xludf.DUMMYFUNCTION("""COMPUTED_VALUE"""),"")</f>
        <v/>
      </c>
      <c r="D14790" s="42"/>
      <c r="E14790" s="42"/>
      <c r="F14790" s="48" t="str">
        <f>IFERROR(__xludf.DUMMYFUNCTION("""COMPUTED_VALUE"""),"")</f>
        <v/>
      </c>
      <c r="G14790" s="42" t="str">
        <f>IFERROR(__xludf.DUMMYFUNCTION("""COMPUTED_VALUE"""),"")</f>
        <v/>
      </c>
      <c r="H14790" s="42">
        <f t="shared" si="1"/>
        <v>3345</v>
      </c>
    </row>
    <row r="14791" ht="22.5" customHeight="1">
      <c r="B14791" s="42" t="str">
        <f>IFERROR(__xludf.DUMMYFUNCTION("""COMPUTED_VALUE"""),"")</f>
        <v/>
      </c>
      <c r="C14791" s="42" t="str">
        <f>IFERROR(__xludf.DUMMYFUNCTION("""COMPUTED_VALUE"""),"")</f>
        <v/>
      </c>
      <c r="D14791" s="42"/>
      <c r="E14791" s="42"/>
      <c r="F14791" s="48" t="str">
        <f>IFERROR(__xludf.DUMMYFUNCTION("""COMPUTED_VALUE"""),"")</f>
        <v/>
      </c>
      <c r="G14791" s="42" t="str">
        <f>IFERROR(__xludf.DUMMYFUNCTION("""COMPUTED_VALUE"""),"")</f>
        <v/>
      </c>
      <c r="H14791" s="42">
        <f t="shared" si="1"/>
        <v>3345</v>
      </c>
    </row>
    <row r="14792" ht="22.5" customHeight="1">
      <c r="B14792" s="42" t="str">
        <f>IFERROR(__xludf.DUMMYFUNCTION("""COMPUTED_VALUE"""),"")</f>
        <v/>
      </c>
      <c r="C14792" s="42" t="str">
        <f>IFERROR(__xludf.DUMMYFUNCTION("""COMPUTED_VALUE"""),"")</f>
        <v/>
      </c>
      <c r="D14792" s="42"/>
      <c r="E14792" s="42"/>
      <c r="F14792" s="48" t="str">
        <f>IFERROR(__xludf.DUMMYFUNCTION("""COMPUTED_VALUE"""),"")</f>
        <v/>
      </c>
      <c r="G14792" s="42" t="str">
        <f>IFERROR(__xludf.DUMMYFUNCTION("""COMPUTED_VALUE"""),"")</f>
        <v/>
      </c>
      <c r="H14792" s="42">
        <f t="shared" si="1"/>
        <v>3345</v>
      </c>
    </row>
    <row r="14793" ht="22.5" customHeight="1">
      <c r="B14793" s="42" t="str">
        <f>IFERROR(__xludf.DUMMYFUNCTION("""COMPUTED_VALUE"""),"")</f>
        <v/>
      </c>
      <c r="C14793" s="42" t="str">
        <f>IFERROR(__xludf.DUMMYFUNCTION("""COMPUTED_VALUE"""),"")</f>
        <v/>
      </c>
      <c r="D14793" s="42"/>
      <c r="E14793" s="42"/>
      <c r="F14793" s="48" t="str">
        <f>IFERROR(__xludf.DUMMYFUNCTION("""COMPUTED_VALUE"""),"")</f>
        <v/>
      </c>
      <c r="G14793" s="42" t="str">
        <f>IFERROR(__xludf.DUMMYFUNCTION("""COMPUTED_VALUE"""),"")</f>
        <v/>
      </c>
      <c r="H14793" s="42">
        <f t="shared" si="1"/>
        <v>3345</v>
      </c>
    </row>
    <row r="14794" ht="22.5" customHeight="1">
      <c r="B14794" s="42" t="str">
        <f>IFERROR(__xludf.DUMMYFUNCTION("""COMPUTED_VALUE"""),"")</f>
        <v/>
      </c>
      <c r="C14794" s="42" t="str">
        <f>IFERROR(__xludf.DUMMYFUNCTION("""COMPUTED_VALUE"""),"")</f>
        <v/>
      </c>
      <c r="D14794" s="42"/>
      <c r="E14794" s="42"/>
      <c r="F14794" s="48" t="str">
        <f>IFERROR(__xludf.DUMMYFUNCTION("""COMPUTED_VALUE"""),"")</f>
        <v/>
      </c>
      <c r="G14794" s="42" t="str">
        <f>IFERROR(__xludf.DUMMYFUNCTION("""COMPUTED_VALUE"""),"")</f>
        <v/>
      </c>
      <c r="H14794" s="42">
        <f t="shared" si="1"/>
        <v>3345</v>
      </c>
    </row>
    <row r="14795" ht="22.5" customHeight="1">
      <c r="B14795" s="42" t="str">
        <f>IFERROR(__xludf.DUMMYFUNCTION("""COMPUTED_VALUE"""),"")</f>
        <v/>
      </c>
      <c r="C14795" s="42" t="str">
        <f>IFERROR(__xludf.DUMMYFUNCTION("""COMPUTED_VALUE"""),"")</f>
        <v/>
      </c>
      <c r="D14795" s="42"/>
      <c r="E14795" s="42"/>
      <c r="F14795" s="48" t="str">
        <f>IFERROR(__xludf.DUMMYFUNCTION("""COMPUTED_VALUE"""),"")</f>
        <v/>
      </c>
      <c r="G14795" s="42" t="str">
        <f>IFERROR(__xludf.DUMMYFUNCTION("""COMPUTED_VALUE"""),"")</f>
        <v/>
      </c>
      <c r="H14795" s="42">
        <f t="shared" si="1"/>
        <v>3345</v>
      </c>
    </row>
    <row r="14796" ht="22.5" customHeight="1">
      <c r="B14796" s="42" t="str">
        <f>IFERROR(__xludf.DUMMYFUNCTION("""COMPUTED_VALUE"""),"")</f>
        <v/>
      </c>
      <c r="C14796" s="42" t="str">
        <f>IFERROR(__xludf.DUMMYFUNCTION("""COMPUTED_VALUE"""),"")</f>
        <v/>
      </c>
      <c r="D14796" s="42"/>
      <c r="E14796" s="42"/>
      <c r="F14796" s="48" t="str">
        <f>IFERROR(__xludf.DUMMYFUNCTION("""COMPUTED_VALUE"""),"")</f>
        <v/>
      </c>
      <c r="G14796" s="42" t="str">
        <f>IFERROR(__xludf.DUMMYFUNCTION("""COMPUTED_VALUE"""),"")</f>
        <v/>
      </c>
      <c r="H14796" s="42">
        <f t="shared" si="1"/>
        <v>3345</v>
      </c>
    </row>
    <row r="14797" ht="22.5" customHeight="1">
      <c r="B14797" s="42" t="str">
        <f>IFERROR(__xludf.DUMMYFUNCTION("""COMPUTED_VALUE"""),"")</f>
        <v/>
      </c>
      <c r="C14797" s="42" t="str">
        <f>IFERROR(__xludf.DUMMYFUNCTION("""COMPUTED_VALUE"""),"")</f>
        <v/>
      </c>
      <c r="D14797" s="42"/>
      <c r="E14797" s="42"/>
      <c r="F14797" s="48" t="str">
        <f>IFERROR(__xludf.DUMMYFUNCTION("""COMPUTED_VALUE"""),"")</f>
        <v/>
      </c>
      <c r="G14797" s="42" t="str">
        <f>IFERROR(__xludf.DUMMYFUNCTION("""COMPUTED_VALUE"""),"")</f>
        <v/>
      </c>
      <c r="H14797" s="42">
        <f t="shared" si="1"/>
        <v>3345</v>
      </c>
    </row>
    <row r="14798" ht="22.5" customHeight="1">
      <c r="B14798" s="42" t="str">
        <f>IFERROR(__xludf.DUMMYFUNCTION("""COMPUTED_VALUE"""),"")</f>
        <v/>
      </c>
      <c r="C14798" s="42" t="str">
        <f>IFERROR(__xludf.DUMMYFUNCTION("""COMPUTED_VALUE"""),"")</f>
        <v/>
      </c>
      <c r="D14798" s="42"/>
      <c r="E14798" s="42"/>
      <c r="F14798" s="48" t="str">
        <f>IFERROR(__xludf.DUMMYFUNCTION("""COMPUTED_VALUE"""),"")</f>
        <v/>
      </c>
      <c r="G14798" s="42" t="str">
        <f>IFERROR(__xludf.DUMMYFUNCTION("""COMPUTED_VALUE"""),"")</f>
        <v/>
      </c>
      <c r="H14798" s="42">
        <f t="shared" si="1"/>
        <v>3345</v>
      </c>
    </row>
    <row r="14799" ht="22.5" customHeight="1">
      <c r="B14799" s="42" t="str">
        <f>IFERROR(__xludf.DUMMYFUNCTION("""COMPUTED_VALUE"""),"")</f>
        <v/>
      </c>
      <c r="C14799" s="42" t="str">
        <f>IFERROR(__xludf.DUMMYFUNCTION("""COMPUTED_VALUE"""),"")</f>
        <v/>
      </c>
      <c r="D14799" s="42"/>
      <c r="E14799" s="42"/>
      <c r="F14799" s="48" t="str">
        <f>IFERROR(__xludf.DUMMYFUNCTION("""COMPUTED_VALUE"""),"")</f>
        <v/>
      </c>
      <c r="G14799" s="42" t="str">
        <f>IFERROR(__xludf.DUMMYFUNCTION("""COMPUTED_VALUE"""),"")</f>
        <v/>
      </c>
      <c r="H14799" s="42">
        <f t="shared" si="1"/>
        <v>3345</v>
      </c>
    </row>
    <row r="14800" ht="22.5" customHeight="1">
      <c r="B14800" s="42" t="str">
        <f>IFERROR(__xludf.DUMMYFUNCTION("""COMPUTED_VALUE"""),"")</f>
        <v/>
      </c>
      <c r="C14800" s="42" t="str">
        <f>IFERROR(__xludf.DUMMYFUNCTION("""COMPUTED_VALUE"""),"")</f>
        <v/>
      </c>
      <c r="D14800" s="42"/>
      <c r="E14800" s="42"/>
      <c r="F14800" s="48" t="str">
        <f>IFERROR(__xludf.DUMMYFUNCTION("""COMPUTED_VALUE"""),"")</f>
        <v/>
      </c>
      <c r="G14800" s="42" t="str">
        <f>IFERROR(__xludf.DUMMYFUNCTION("""COMPUTED_VALUE"""),"")</f>
        <v/>
      </c>
      <c r="H14800" s="42">
        <f t="shared" si="1"/>
        <v>3345</v>
      </c>
    </row>
    <row r="14801" ht="22.5" customHeight="1">
      <c r="B14801" s="42" t="str">
        <f>IFERROR(__xludf.DUMMYFUNCTION("""COMPUTED_VALUE"""),"")</f>
        <v/>
      </c>
      <c r="C14801" s="42" t="str">
        <f>IFERROR(__xludf.DUMMYFUNCTION("""COMPUTED_VALUE"""),"")</f>
        <v/>
      </c>
      <c r="D14801" s="42"/>
      <c r="E14801" s="42"/>
      <c r="F14801" s="48" t="str">
        <f>IFERROR(__xludf.DUMMYFUNCTION("""COMPUTED_VALUE"""),"")</f>
        <v/>
      </c>
      <c r="G14801" s="42" t="str">
        <f>IFERROR(__xludf.DUMMYFUNCTION("""COMPUTED_VALUE"""),"")</f>
        <v/>
      </c>
      <c r="H14801" s="42">
        <f t="shared" si="1"/>
        <v>3345</v>
      </c>
    </row>
    <row r="14802" ht="22.5" customHeight="1">
      <c r="B14802" s="42" t="str">
        <f>IFERROR(__xludf.DUMMYFUNCTION("""COMPUTED_VALUE"""),"")</f>
        <v/>
      </c>
      <c r="C14802" s="42" t="str">
        <f>IFERROR(__xludf.DUMMYFUNCTION("""COMPUTED_VALUE"""),"")</f>
        <v/>
      </c>
      <c r="D14802" s="42"/>
      <c r="E14802" s="42"/>
      <c r="F14802" s="48" t="str">
        <f>IFERROR(__xludf.DUMMYFUNCTION("""COMPUTED_VALUE"""),"")</f>
        <v/>
      </c>
      <c r="G14802" s="42" t="str">
        <f>IFERROR(__xludf.DUMMYFUNCTION("""COMPUTED_VALUE"""),"")</f>
        <v/>
      </c>
      <c r="H14802" s="42">
        <f t="shared" si="1"/>
        <v>3345</v>
      </c>
    </row>
    <row r="14803" ht="22.5" customHeight="1">
      <c r="B14803" s="42" t="str">
        <f>IFERROR(__xludf.DUMMYFUNCTION("""COMPUTED_VALUE"""),"")</f>
        <v/>
      </c>
      <c r="C14803" s="42" t="str">
        <f>IFERROR(__xludf.DUMMYFUNCTION("""COMPUTED_VALUE"""),"")</f>
        <v/>
      </c>
      <c r="D14803" s="42"/>
      <c r="E14803" s="42"/>
      <c r="F14803" s="48" t="str">
        <f>IFERROR(__xludf.DUMMYFUNCTION("""COMPUTED_VALUE"""),"")</f>
        <v/>
      </c>
      <c r="G14803" s="42" t="str">
        <f>IFERROR(__xludf.DUMMYFUNCTION("""COMPUTED_VALUE"""),"")</f>
        <v/>
      </c>
      <c r="H14803" s="42">
        <f t="shared" si="1"/>
        <v>3345</v>
      </c>
    </row>
    <row r="14804" ht="22.5" customHeight="1">
      <c r="B14804" s="42" t="str">
        <f>IFERROR(__xludf.DUMMYFUNCTION("""COMPUTED_VALUE"""),"")</f>
        <v/>
      </c>
      <c r="C14804" s="42" t="str">
        <f>IFERROR(__xludf.DUMMYFUNCTION("""COMPUTED_VALUE"""),"")</f>
        <v/>
      </c>
      <c r="D14804" s="42"/>
      <c r="E14804" s="42"/>
      <c r="F14804" s="48" t="str">
        <f>IFERROR(__xludf.DUMMYFUNCTION("""COMPUTED_VALUE"""),"")</f>
        <v/>
      </c>
      <c r="G14804" s="42" t="str">
        <f>IFERROR(__xludf.DUMMYFUNCTION("""COMPUTED_VALUE"""),"")</f>
        <v/>
      </c>
      <c r="H14804" s="42">
        <f t="shared" si="1"/>
        <v>3345</v>
      </c>
    </row>
    <row r="14805" ht="22.5" customHeight="1">
      <c r="B14805" s="42" t="str">
        <f>IFERROR(__xludf.DUMMYFUNCTION("""COMPUTED_VALUE"""),"")</f>
        <v/>
      </c>
      <c r="C14805" s="42" t="str">
        <f>IFERROR(__xludf.DUMMYFUNCTION("""COMPUTED_VALUE"""),"")</f>
        <v/>
      </c>
      <c r="D14805" s="42"/>
      <c r="E14805" s="42"/>
      <c r="F14805" s="48" t="str">
        <f>IFERROR(__xludf.DUMMYFUNCTION("""COMPUTED_VALUE"""),"")</f>
        <v/>
      </c>
      <c r="G14805" s="42" t="str">
        <f>IFERROR(__xludf.DUMMYFUNCTION("""COMPUTED_VALUE"""),"")</f>
        <v/>
      </c>
      <c r="H14805" s="42">
        <f t="shared" si="1"/>
        <v>3345</v>
      </c>
    </row>
    <row r="14806" ht="22.5" customHeight="1">
      <c r="B14806" s="42" t="str">
        <f>IFERROR(__xludf.DUMMYFUNCTION("""COMPUTED_VALUE"""),"")</f>
        <v/>
      </c>
      <c r="C14806" s="42" t="str">
        <f>IFERROR(__xludf.DUMMYFUNCTION("""COMPUTED_VALUE"""),"")</f>
        <v/>
      </c>
      <c r="D14806" s="42"/>
      <c r="E14806" s="42"/>
      <c r="F14806" s="48" t="str">
        <f>IFERROR(__xludf.DUMMYFUNCTION("""COMPUTED_VALUE"""),"")</f>
        <v/>
      </c>
      <c r="G14806" s="42" t="str">
        <f>IFERROR(__xludf.DUMMYFUNCTION("""COMPUTED_VALUE"""),"")</f>
        <v/>
      </c>
      <c r="H14806" s="42">
        <f t="shared" si="1"/>
        <v>3345</v>
      </c>
    </row>
    <row r="14807" ht="22.5" customHeight="1">
      <c r="B14807" s="42" t="str">
        <f>IFERROR(__xludf.DUMMYFUNCTION("""COMPUTED_VALUE"""),"")</f>
        <v/>
      </c>
      <c r="C14807" s="42" t="str">
        <f>IFERROR(__xludf.DUMMYFUNCTION("""COMPUTED_VALUE"""),"")</f>
        <v/>
      </c>
      <c r="D14807" s="42"/>
      <c r="E14807" s="42"/>
      <c r="F14807" s="48" t="str">
        <f>IFERROR(__xludf.DUMMYFUNCTION("""COMPUTED_VALUE"""),"")</f>
        <v/>
      </c>
      <c r="G14807" s="42" t="str">
        <f>IFERROR(__xludf.DUMMYFUNCTION("""COMPUTED_VALUE"""),"")</f>
        <v/>
      </c>
      <c r="H14807" s="42">
        <f t="shared" si="1"/>
        <v>3345</v>
      </c>
    </row>
    <row r="14808" ht="22.5" customHeight="1">
      <c r="B14808" s="42" t="str">
        <f>IFERROR(__xludf.DUMMYFUNCTION("""COMPUTED_VALUE"""),"")</f>
        <v/>
      </c>
      <c r="C14808" s="42" t="str">
        <f>IFERROR(__xludf.DUMMYFUNCTION("""COMPUTED_VALUE"""),"")</f>
        <v/>
      </c>
      <c r="D14808" s="42"/>
      <c r="E14808" s="42"/>
      <c r="F14808" s="48" t="str">
        <f>IFERROR(__xludf.DUMMYFUNCTION("""COMPUTED_VALUE"""),"")</f>
        <v/>
      </c>
      <c r="G14808" s="42" t="str">
        <f>IFERROR(__xludf.DUMMYFUNCTION("""COMPUTED_VALUE"""),"")</f>
        <v/>
      </c>
      <c r="H14808" s="42">
        <f t="shared" si="1"/>
        <v>3345</v>
      </c>
    </row>
    <row r="14809" ht="22.5" customHeight="1">
      <c r="B14809" s="42" t="str">
        <f>IFERROR(__xludf.DUMMYFUNCTION("""COMPUTED_VALUE"""),"")</f>
        <v/>
      </c>
      <c r="C14809" s="42" t="str">
        <f>IFERROR(__xludf.DUMMYFUNCTION("""COMPUTED_VALUE"""),"")</f>
        <v/>
      </c>
      <c r="D14809" s="42"/>
      <c r="E14809" s="42"/>
      <c r="F14809" s="48" t="str">
        <f>IFERROR(__xludf.DUMMYFUNCTION("""COMPUTED_VALUE"""),"")</f>
        <v/>
      </c>
      <c r="G14809" s="42" t="str">
        <f>IFERROR(__xludf.DUMMYFUNCTION("""COMPUTED_VALUE"""),"")</f>
        <v/>
      </c>
      <c r="H14809" s="42">
        <f t="shared" si="1"/>
        <v>3345</v>
      </c>
    </row>
    <row r="14810" ht="22.5" customHeight="1">
      <c r="B14810" s="42" t="str">
        <f>IFERROR(__xludf.DUMMYFUNCTION("""COMPUTED_VALUE"""),"")</f>
        <v/>
      </c>
      <c r="C14810" s="42" t="str">
        <f>IFERROR(__xludf.DUMMYFUNCTION("""COMPUTED_VALUE"""),"")</f>
        <v/>
      </c>
      <c r="D14810" s="42"/>
      <c r="E14810" s="42"/>
      <c r="F14810" s="48" t="str">
        <f>IFERROR(__xludf.DUMMYFUNCTION("""COMPUTED_VALUE"""),"")</f>
        <v/>
      </c>
      <c r="G14810" s="42" t="str">
        <f>IFERROR(__xludf.DUMMYFUNCTION("""COMPUTED_VALUE"""),"")</f>
        <v/>
      </c>
      <c r="H14810" s="42">
        <f t="shared" si="1"/>
        <v>3345</v>
      </c>
    </row>
    <row r="14811" ht="22.5" customHeight="1">
      <c r="B14811" s="42" t="str">
        <f>IFERROR(__xludf.DUMMYFUNCTION("""COMPUTED_VALUE"""),"")</f>
        <v/>
      </c>
      <c r="C14811" s="42" t="str">
        <f>IFERROR(__xludf.DUMMYFUNCTION("""COMPUTED_VALUE"""),"")</f>
        <v/>
      </c>
      <c r="D14811" s="42"/>
      <c r="E14811" s="42"/>
      <c r="F14811" s="48" t="str">
        <f>IFERROR(__xludf.DUMMYFUNCTION("""COMPUTED_VALUE"""),"")</f>
        <v/>
      </c>
      <c r="G14811" s="42" t="str">
        <f>IFERROR(__xludf.DUMMYFUNCTION("""COMPUTED_VALUE"""),"")</f>
        <v/>
      </c>
      <c r="H14811" s="42">
        <f t="shared" si="1"/>
        <v>3345</v>
      </c>
    </row>
    <row r="14812" ht="22.5" customHeight="1">
      <c r="B14812" s="42" t="str">
        <f>IFERROR(__xludf.DUMMYFUNCTION("""COMPUTED_VALUE"""),"")</f>
        <v/>
      </c>
      <c r="C14812" s="42" t="str">
        <f>IFERROR(__xludf.DUMMYFUNCTION("""COMPUTED_VALUE"""),"")</f>
        <v/>
      </c>
      <c r="D14812" s="42"/>
      <c r="E14812" s="42"/>
      <c r="F14812" s="48" t="str">
        <f>IFERROR(__xludf.DUMMYFUNCTION("""COMPUTED_VALUE"""),"")</f>
        <v/>
      </c>
      <c r="G14812" s="42" t="str">
        <f>IFERROR(__xludf.DUMMYFUNCTION("""COMPUTED_VALUE"""),"")</f>
        <v/>
      </c>
      <c r="H14812" s="42">
        <f t="shared" si="1"/>
        <v>3345</v>
      </c>
    </row>
    <row r="14813" ht="22.5" customHeight="1">
      <c r="B14813" s="42" t="str">
        <f>IFERROR(__xludf.DUMMYFUNCTION("""COMPUTED_VALUE"""),"")</f>
        <v/>
      </c>
      <c r="C14813" s="42" t="str">
        <f>IFERROR(__xludf.DUMMYFUNCTION("""COMPUTED_VALUE"""),"")</f>
        <v/>
      </c>
      <c r="D14813" s="42"/>
      <c r="E14813" s="42"/>
      <c r="F14813" s="48" t="str">
        <f>IFERROR(__xludf.DUMMYFUNCTION("""COMPUTED_VALUE"""),"")</f>
        <v/>
      </c>
      <c r="G14813" s="42" t="str">
        <f>IFERROR(__xludf.DUMMYFUNCTION("""COMPUTED_VALUE"""),"")</f>
        <v/>
      </c>
      <c r="H14813" s="42">
        <f t="shared" si="1"/>
        <v>3345</v>
      </c>
    </row>
    <row r="14814" ht="22.5" customHeight="1">
      <c r="B14814" s="42" t="str">
        <f>IFERROR(__xludf.DUMMYFUNCTION("""COMPUTED_VALUE"""),"")</f>
        <v/>
      </c>
      <c r="C14814" s="42" t="str">
        <f>IFERROR(__xludf.DUMMYFUNCTION("""COMPUTED_VALUE"""),"")</f>
        <v/>
      </c>
      <c r="D14814" s="42"/>
      <c r="E14814" s="42"/>
      <c r="F14814" s="48" t="str">
        <f>IFERROR(__xludf.DUMMYFUNCTION("""COMPUTED_VALUE"""),"")</f>
        <v/>
      </c>
      <c r="G14814" s="42" t="str">
        <f>IFERROR(__xludf.DUMMYFUNCTION("""COMPUTED_VALUE"""),"")</f>
        <v/>
      </c>
      <c r="H14814" s="42">
        <f t="shared" si="1"/>
        <v>3345</v>
      </c>
    </row>
    <row r="14815" ht="22.5" customHeight="1">
      <c r="B14815" s="42" t="str">
        <f>IFERROR(__xludf.DUMMYFUNCTION("""COMPUTED_VALUE"""),"")</f>
        <v/>
      </c>
      <c r="C14815" s="42" t="str">
        <f>IFERROR(__xludf.DUMMYFUNCTION("""COMPUTED_VALUE"""),"")</f>
        <v/>
      </c>
      <c r="D14815" s="42"/>
      <c r="E14815" s="42"/>
      <c r="F14815" s="48" t="str">
        <f>IFERROR(__xludf.DUMMYFUNCTION("""COMPUTED_VALUE"""),"")</f>
        <v/>
      </c>
      <c r="G14815" s="42" t="str">
        <f>IFERROR(__xludf.DUMMYFUNCTION("""COMPUTED_VALUE"""),"")</f>
        <v/>
      </c>
      <c r="H14815" s="42">
        <f t="shared" si="1"/>
        <v>3345</v>
      </c>
    </row>
    <row r="14816" ht="22.5" customHeight="1">
      <c r="B14816" s="42" t="str">
        <f>IFERROR(__xludf.DUMMYFUNCTION("""COMPUTED_VALUE"""),"")</f>
        <v/>
      </c>
      <c r="C14816" s="42" t="str">
        <f>IFERROR(__xludf.DUMMYFUNCTION("""COMPUTED_VALUE"""),"")</f>
        <v/>
      </c>
      <c r="D14816" s="42"/>
      <c r="E14816" s="42"/>
      <c r="F14816" s="48" t="str">
        <f>IFERROR(__xludf.DUMMYFUNCTION("""COMPUTED_VALUE"""),"")</f>
        <v/>
      </c>
      <c r="G14816" s="42" t="str">
        <f>IFERROR(__xludf.DUMMYFUNCTION("""COMPUTED_VALUE"""),"")</f>
        <v/>
      </c>
      <c r="H14816" s="42">
        <f t="shared" si="1"/>
        <v>3345</v>
      </c>
    </row>
    <row r="14817" ht="22.5" customHeight="1">
      <c r="B14817" s="42" t="str">
        <f>IFERROR(__xludf.DUMMYFUNCTION("""COMPUTED_VALUE"""),"")</f>
        <v/>
      </c>
      <c r="C14817" s="42" t="str">
        <f>IFERROR(__xludf.DUMMYFUNCTION("""COMPUTED_VALUE"""),"")</f>
        <v/>
      </c>
      <c r="D14817" s="42"/>
      <c r="E14817" s="42"/>
      <c r="F14817" s="48" t="str">
        <f>IFERROR(__xludf.DUMMYFUNCTION("""COMPUTED_VALUE"""),"")</f>
        <v/>
      </c>
      <c r="G14817" s="42" t="str">
        <f>IFERROR(__xludf.DUMMYFUNCTION("""COMPUTED_VALUE"""),"")</f>
        <v/>
      </c>
      <c r="H14817" s="42">
        <f t="shared" si="1"/>
        <v>3345</v>
      </c>
    </row>
    <row r="14818" ht="22.5" customHeight="1">
      <c r="B14818" s="42" t="str">
        <f>IFERROR(__xludf.DUMMYFUNCTION("""COMPUTED_VALUE"""),"")</f>
        <v/>
      </c>
      <c r="C14818" s="42" t="str">
        <f>IFERROR(__xludf.DUMMYFUNCTION("""COMPUTED_VALUE"""),"")</f>
        <v/>
      </c>
      <c r="D14818" s="42"/>
      <c r="E14818" s="42"/>
      <c r="F14818" s="48" t="str">
        <f>IFERROR(__xludf.DUMMYFUNCTION("""COMPUTED_VALUE"""),"")</f>
        <v/>
      </c>
      <c r="G14818" s="42" t="str">
        <f>IFERROR(__xludf.DUMMYFUNCTION("""COMPUTED_VALUE"""),"")</f>
        <v/>
      </c>
      <c r="H14818" s="42">
        <f t="shared" si="1"/>
        <v>3345</v>
      </c>
    </row>
    <row r="14819" ht="22.5" customHeight="1">
      <c r="B14819" s="42" t="str">
        <f>IFERROR(__xludf.DUMMYFUNCTION("""COMPUTED_VALUE"""),"")</f>
        <v/>
      </c>
      <c r="C14819" s="42" t="str">
        <f>IFERROR(__xludf.DUMMYFUNCTION("""COMPUTED_VALUE"""),"")</f>
        <v/>
      </c>
      <c r="D14819" s="42"/>
      <c r="E14819" s="42"/>
      <c r="F14819" s="48" t="str">
        <f>IFERROR(__xludf.DUMMYFUNCTION("""COMPUTED_VALUE"""),"")</f>
        <v/>
      </c>
      <c r="G14819" s="42" t="str">
        <f>IFERROR(__xludf.DUMMYFUNCTION("""COMPUTED_VALUE"""),"")</f>
        <v/>
      </c>
      <c r="H14819" s="42">
        <f t="shared" si="1"/>
        <v>3345</v>
      </c>
    </row>
    <row r="14820" ht="22.5" customHeight="1">
      <c r="B14820" s="42" t="str">
        <f>IFERROR(__xludf.DUMMYFUNCTION("""COMPUTED_VALUE"""),"")</f>
        <v/>
      </c>
      <c r="C14820" s="42" t="str">
        <f>IFERROR(__xludf.DUMMYFUNCTION("""COMPUTED_VALUE"""),"")</f>
        <v/>
      </c>
      <c r="D14820" s="42"/>
      <c r="E14820" s="42"/>
      <c r="F14820" s="48" t="str">
        <f>IFERROR(__xludf.DUMMYFUNCTION("""COMPUTED_VALUE"""),"")</f>
        <v/>
      </c>
      <c r="G14820" s="42" t="str">
        <f>IFERROR(__xludf.DUMMYFUNCTION("""COMPUTED_VALUE"""),"")</f>
        <v/>
      </c>
      <c r="H14820" s="42">
        <f t="shared" si="1"/>
        <v>3345</v>
      </c>
    </row>
    <row r="14821" ht="22.5" customHeight="1">
      <c r="B14821" s="42" t="str">
        <f>IFERROR(__xludf.DUMMYFUNCTION("""COMPUTED_VALUE"""),"")</f>
        <v/>
      </c>
      <c r="C14821" s="42" t="str">
        <f>IFERROR(__xludf.DUMMYFUNCTION("""COMPUTED_VALUE"""),"")</f>
        <v/>
      </c>
      <c r="D14821" s="42"/>
      <c r="E14821" s="42"/>
      <c r="F14821" s="48" t="str">
        <f>IFERROR(__xludf.DUMMYFUNCTION("""COMPUTED_VALUE"""),"")</f>
        <v/>
      </c>
      <c r="G14821" s="42" t="str">
        <f>IFERROR(__xludf.DUMMYFUNCTION("""COMPUTED_VALUE"""),"")</f>
        <v/>
      </c>
      <c r="H14821" s="42">
        <f t="shared" si="1"/>
        <v>3345</v>
      </c>
    </row>
    <row r="14822" ht="22.5" customHeight="1">
      <c r="B14822" s="42" t="str">
        <f>IFERROR(__xludf.DUMMYFUNCTION("""COMPUTED_VALUE"""),"")</f>
        <v/>
      </c>
      <c r="C14822" s="42" t="str">
        <f>IFERROR(__xludf.DUMMYFUNCTION("""COMPUTED_VALUE"""),"")</f>
        <v/>
      </c>
      <c r="D14822" s="42"/>
      <c r="E14822" s="42"/>
      <c r="F14822" s="48" t="str">
        <f>IFERROR(__xludf.DUMMYFUNCTION("""COMPUTED_VALUE"""),"")</f>
        <v/>
      </c>
      <c r="G14822" s="42" t="str">
        <f>IFERROR(__xludf.DUMMYFUNCTION("""COMPUTED_VALUE"""),"")</f>
        <v/>
      </c>
      <c r="H14822" s="42">
        <f t="shared" si="1"/>
        <v>3345</v>
      </c>
    </row>
    <row r="14823" ht="22.5" customHeight="1">
      <c r="B14823" s="42" t="str">
        <f>IFERROR(__xludf.DUMMYFUNCTION("""COMPUTED_VALUE"""),"")</f>
        <v/>
      </c>
      <c r="C14823" s="42" t="str">
        <f>IFERROR(__xludf.DUMMYFUNCTION("""COMPUTED_VALUE"""),"")</f>
        <v/>
      </c>
      <c r="D14823" s="42"/>
      <c r="E14823" s="42"/>
      <c r="F14823" s="48" t="str">
        <f>IFERROR(__xludf.DUMMYFUNCTION("""COMPUTED_VALUE"""),"")</f>
        <v/>
      </c>
      <c r="G14823" s="42" t="str">
        <f>IFERROR(__xludf.DUMMYFUNCTION("""COMPUTED_VALUE"""),"")</f>
        <v/>
      </c>
      <c r="H14823" s="42">
        <f t="shared" si="1"/>
        <v>3345</v>
      </c>
    </row>
    <row r="14824" ht="22.5" customHeight="1">
      <c r="B14824" s="42" t="str">
        <f>IFERROR(__xludf.DUMMYFUNCTION("""COMPUTED_VALUE"""),"")</f>
        <v/>
      </c>
      <c r="C14824" s="42" t="str">
        <f>IFERROR(__xludf.DUMMYFUNCTION("""COMPUTED_VALUE"""),"")</f>
        <v/>
      </c>
      <c r="D14824" s="42"/>
      <c r="E14824" s="42"/>
      <c r="F14824" s="48" t="str">
        <f>IFERROR(__xludf.DUMMYFUNCTION("""COMPUTED_VALUE"""),"")</f>
        <v/>
      </c>
      <c r="G14824" s="42" t="str">
        <f>IFERROR(__xludf.DUMMYFUNCTION("""COMPUTED_VALUE"""),"")</f>
        <v/>
      </c>
      <c r="H14824" s="42">
        <f t="shared" si="1"/>
        <v>3345</v>
      </c>
    </row>
    <row r="14825" ht="22.5" customHeight="1">
      <c r="B14825" s="42" t="str">
        <f>IFERROR(__xludf.DUMMYFUNCTION("""COMPUTED_VALUE"""),"")</f>
        <v/>
      </c>
      <c r="C14825" s="42" t="str">
        <f>IFERROR(__xludf.DUMMYFUNCTION("""COMPUTED_VALUE"""),"")</f>
        <v/>
      </c>
      <c r="D14825" s="42"/>
      <c r="E14825" s="42"/>
      <c r="F14825" s="48" t="str">
        <f>IFERROR(__xludf.DUMMYFUNCTION("""COMPUTED_VALUE"""),"")</f>
        <v/>
      </c>
      <c r="G14825" s="42" t="str">
        <f>IFERROR(__xludf.DUMMYFUNCTION("""COMPUTED_VALUE"""),"")</f>
        <v/>
      </c>
      <c r="H14825" s="42">
        <f t="shared" si="1"/>
        <v>3345</v>
      </c>
    </row>
    <row r="14826" ht="22.5" customHeight="1">
      <c r="B14826" s="42" t="str">
        <f>IFERROR(__xludf.DUMMYFUNCTION("""COMPUTED_VALUE"""),"")</f>
        <v/>
      </c>
      <c r="C14826" s="42" t="str">
        <f>IFERROR(__xludf.DUMMYFUNCTION("""COMPUTED_VALUE"""),"")</f>
        <v/>
      </c>
      <c r="D14826" s="42"/>
      <c r="E14826" s="42"/>
      <c r="F14826" s="48" t="str">
        <f>IFERROR(__xludf.DUMMYFUNCTION("""COMPUTED_VALUE"""),"")</f>
        <v/>
      </c>
      <c r="G14826" s="42" t="str">
        <f>IFERROR(__xludf.DUMMYFUNCTION("""COMPUTED_VALUE"""),"")</f>
        <v/>
      </c>
      <c r="H14826" s="42">
        <f t="shared" si="1"/>
        <v>3345</v>
      </c>
    </row>
    <row r="14827" ht="22.5" customHeight="1">
      <c r="B14827" s="42" t="str">
        <f>IFERROR(__xludf.DUMMYFUNCTION("""COMPUTED_VALUE"""),"")</f>
        <v/>
      </c>
      <c r="C14827" s="42" t="str">
        <f>IFERROR(__xludf.DUMMYFUNCTION("""COMPUTED_VALUE"""),"")</f>
        <v/>
      </c>
      <c r="D14827" s="42"/>
      <c r="E14827" s="42"/>
      <c r="F14827" s="48" t="str">
        <f>IFERROR(__xludf.DUMMYFUNCTION("""COMPUTED_VALUE"""),"")</f>
        <v/>
      </c>
      <c r="G14827" s="42" t="str">
        <f>IFERROR(__xludf.DUMMYFUNCTION("""COMPUTED_VALUE"""),"")</f>
        <v/>
      </c>
      <c r="H14827" s="42">
        <f t="shared" si="1"/>
        <v>3345</v>
      </c>
    </row>
    <row r="14828" ht="22.5" customHeight="1">
      <c r="B14828" s="42" t="str">
        <f>IFERROR(__xludf.DUMMYFUNCTION("""COMPUTED_VALUE"""),"")</f>
        <v/>
      </c>
      <c r="C14828" s="42" t="str">
        <f>IFERROR(__xludf.DUMMYFUNCTION("""COMPUTED_VALUE"""),"")</f>
        <v/>
      </c>
      <c r="D14828" s="42"/>
      <c r="E14828" s="42"/>
      <c r="F14828" s="48" t="str">
        <f>IFERROR(__xludf.DUMMYFUNCTION("""COMPUTED_VALUE"""),"")</f>
        <v/>
      </c>
      <c r="G14828" s="42" t="str">
        <f>IFERROR(__xludf.DUMMYFUNCTION("""COMPUTED_VALUE"""),"")</f>
        <v/>
      </c>
      <c r="H14828" s="42">
        <f t="shared" si="1"/>
        <v>3345</v>
      </c>
    </row>
    <row r="14829" ht="22.5" customHeight="1">
      <c r="B14829" s="42" t="str">
        <f>IFERROR(__xludf.DUMMYFUNCTION("""COMPUTED_VALUE"""),"")</f>
        <v/>
      </c>
      <c r="C14829" s="42" t="str">
        <f>IFERROR(__xludf.DUMMYFUNCTION("""COMPUTED_VALUE"""),"")</f>
        <v/>
      </c>
      <c r="D14829" s="42"/>
      <c r="E14829" s="42"/>
      <c r="F14829" s="48" t="str">
        <f>IFERROR(__xludf.DUMMYFUNCTION("""COMPUTED_VALUE"""),"")</f>
        <v/>
      </c>
      <c r="G14829" s="42" t="str">
        <f>IFERROR(__xludf.DUMMYFUNCTION("""COMPUTED_VALUE"""),"")</f>
        <v/>
      </c>
      <c r="H14829" s="42">
        <f t="shared" si="1"/>
        <v>3345</v>
      </c>
    </row>
    <row r="14830" ht="22.5" customHeight="1">
      <c r="B14830" s="42" t="str">
        <f>IFERROR(__xludf.DUMMYFUNCTION("""COMPUTED_VALUE"""),"")</f>
        <v/>
      </c>
      <c r="C14830" s="42" t="str">
        <f>IFERROR(__xludf.DUMMYFUNCTION("""COMPUTED_VALUE"""),"")</f>
        <v/>
      </c>
      <c r="D14830" s="42"/>
      <c r="E14830" s="42"/>
      <c r="F14830" s="48" t="str">
        <f>IFERROR(__xludf.DUMMYFUNCTION("""COMPUTED_VALUE"""),"")</f>
        <v/>
      </c>
      <c r="G14830" s="42" t="str">
        <f>IFERROR(__xludf.DUMMYFUNCTION("""COMPUTED_VALUE"""),"")</f>
        <v/>
      </c>
      <c r="H14830" s="42">
        <f t="shared" si="1"/>
        <v>3345</v>
      </c>
    </row>
    <row r="14831" ht="22.5" customHeight="1">
      <c r="B14831" s="42" t="str">
        <f>IFERROR(__xludf.DUMMYFUNCTION("""COMPUTED_VALUE"""),"")</f>
        <v/>
      </c>
      <c r="C14831" s="42" t="str">
        <f>IFERROR(__xludf.DUMMYFUNCTION("""COMPUTED_VALUE"""),"")</f>
        <v/>
      </c>
      <c r="D14831" s="42"/>
      <c r="E14831" s="42"/>
      <c r="F14831" s="48" t="str">
        <f>IFERROR(__xludf.DUMMYFUNCTION("""COMPUTED_VALUE"""),"")</f>
        <v/>
      </c>
      <c r="G14831" s="42" t="str">
        <f>IFERROR(__xludf.DUMMYFUNCTION("""COMPUTED_VALUE"""),"")</f>
        <v/>
      </c>
      <c r="H14831" s="42">
        <f t="shared" si="1"/>
        <v>3345</v>
      </c>
    </row>
    <row r="14832" ht="22.5" customHeight="1">
      <c r="B14832" s="42" t="str">
        <f>IFERROR(__xludf.DUMMYFUNCTION("""COMPUTED_VALUE"""),"")</f>
        <v/>
      </c>
      <c r="C14832" s="42" t="str">
        <f>IFERROR(__xludf.DUMMYFUNCTION("""COMPUTED_VALUE"""),"")</f>
        <v/>
      </c>
      <c r="D14832" s="42"/>
      <c r="E14832" s="42"/>
      <c r="F14832" s="48" t="str">
        <f>IFERROR(__xludf.DUMMYFUNCTION("""COMPUTED_VALUE"""),"")</f>
        <v/>
      </c>
      <c r="G14832" s="42" t="str">
        <f>IFERROR(__xludf.DUMMYFUNCTION("""COMPUTED_VALUE"""),"")</f>
        <v/>
      </c>
      <c r="H14832" s="42">
        <f t="shared" si="1"/>
        <v>3345</v>
      </c>
    </row>
    <row r="14833" ht="22.5" customHeight="1">
      <c r="B14833" s="42" t="str">
        <f>IFERROR(__xludf.DUMMYFUNCTION("""COMPUTED_VALUE"""),"")</f>
        <v/>
      </c>
      <c r="C14833" s="42" t="str">
        <f>IFERROR(__xludf.DUMMYFUNCTION("""COMPUTED_VALUE"""),"")</f>
        <v/>
      </c>
      <c r="D14833" s="42"/>
      <c r="E14833" s="42"/>
      <c r="F14833" s="48" t="str">
        <f>IFERROR(__xludf.DUMMYFUNCTION("""COMPUTED_VALUE"""),"")</f>
        <v/>
      </c>
      <c r="G14833" s="42" t="str">
        <f>IFERROR(__xludf.DUMMYFUNCTION("""COMPUTED_VALUE"""),"")</f>
        <v/>
      </c>
      <c r="H14833" s="42">
        <f t="shared" si="1"/>
        <v>3345</v>
      </c>
    </row>
    <row r="14834" ht="22.5" customHeight="1">
      <c r="B14834" s="42" t="str">
        <f>IFERROR(__xludf.DUMMYFUNCTION("""COMPUTED_VALUE"""),"")</f>
        <v/>
      </c>
      <c r="C14834" s="42" t="str">
        <f>IFERROR(__xludf.DUMMYFUNCTION("""COMPUTED_VALUE"""),"")</f>
        <v/>
      </c>
      <c r="D14834" s="42"/>
      <c r="E14834" s="42"/>
      <c r="F14834" s="48" t="str">
        <f>IFERROR(__xludf.DUMMYFUNCTION("""COMPUTED_VALUE"""),"")</f>
        <v/>
      </c>
      <c r="G14834" s="42" t="str">
        <f>IFERROR(__xludf.DUMMYFUNCTION("""COMPUTED_VALUE"""),"")</f>
        <v/>
      </c>
      <c r="H14834" s="42">
        <f t="shared" si="1"/>
        <v>3345</v>
      </c>
    </row>
    <row r="14835" ht="22.5" customHeight="1">
      <c r="B14835" s="42" t="str">
        <f>IFERROR(__xludf.DUMMYFUNCTION("""COMPUTED_VALUE"""),"")</f>
        <v/>
      </c>
      <c r="C14835" s="42" t="str">
        <f>IFERROR(__xludf.DUMMYFUNCTION("""COMPUTED_VALUE"""),"")</f>
        <v/>
      </c>
      <c r="D14835" s="42"/>
      <c r="E14835" s="42"/>
      <c r="F14835" s="48" t="str">
        <f>IFERROR(__xludf.DUMMYFUNCTION("""COMPUTED_VALUE"""),"")</f>
        <v/>
      </c>
      <c r="G14835" s="42" t="str">
        <f>IFERROR(__xludf.DUMMYFUNCTION("""COMPUTED_VALUE"""),"")</f>
        <v/>
      </c>
      <c r="H14835" s="42">
        <f t="shared" si="1"/>
        <v>3345</v>
      </c>
    </row>
    <row r="14836" ht="22.5" customHeight="1">
      <c r="B14836" s="42" t="str">
        <f>IFERROR(__xludf.DUMMYFUNCTION("""COMPUTED_VALUE"""),"")</f>
        <v/>
      </c>
      <c r="C14836" s="42" t="str">
        <f>IFERROR(__xludf.DUMMYFUNCTION("""COMPUTED_VALUE"""),"")</f>
        <v/>
      </c>
      <c r="D14836" s="42"/>
      <c r="E14836" s="42"/>
      <c r="F14836" s="48" t="str">
        <f>IFERROR(__xludf.DUMMYFUNCTION("""COMPUTED_VALUE"""),"")</f>
        <v/>
      </c>
      <c r="G14836" s="42" t="str">
        <f>IFERROR(__xludf.DUMMYFUNCTION("""COMPUTED_VALUE"""),"")</f>
        <v/>
      </c>
      <c r="H14836" s="42">
        <f t="shared" si="1"/>
        <v>3345</v>
      </c>
    </row>
    <row r="14837" ht="22.5" customHeight="1">
      <c r="B14837" s="42" t="str">
        <f>IFERROR(__xludf.DUMMYFUNCTION("""COMPUTED_VALUE"""),"")</f>
        <v/>
      </c>
      <c r="C14837" s="42" t="str">
        <f>IFERROR(__xludf.DUMMYFUNCTION("""COMPUTED_VALUE"""),"")</f>
        <v/>
      </c>
      <c r="D14837" s="42"/>
      <c r="E14837" s="42"/>
      <c r="F14837" s="48" t="str">
        <f>IFERROR(__xludf.DUMMYFUNCTION("""COMPUTED_VALUE"""),"")</f>
        <v/>
      </c>
      <c r="G14837" s="42" t="str">
        <f>IFERROR(__xludf.DUMMYFUNCTION("""COMPUTED_VALUE"""),"")</f>
        <v/>
      </c>
      <c r="H14837" s="42">
        <f t="shared" si="1"/>
        <v>3345</v>
      </c>
    </row>
    <row r="14838" ht="22.5" customHeight="1">
      <c r="B14838" s="42" t="str">
        <f>IFERROR(__xludf.DUMMYFUNCTION("""COMPUTED_VALUE"""),"")</f>
        <v/>
      </c>
      <c r="C14838" s="42" t="str">
        <f>IFERROR(__xludf.DUMMYFUNCTION("""COMPUTED_VALUE"""),"")</f>
        <v/>
      </c>
      <c r="D14838" s="42"/>
      <c r="E14838" s="42"/>
      <c r="F14838" s="48" t="str">
        <f>IFERROR(__xludf.DUMMYFUNCTION("""COMPUTED_VALUE"""),"")</f>
        <v/>
      </c>
      <c r="G14838" s="42" t="str">
        <f>IFERROR(__xludf.DUMMYFUNCTION("""COMPUTED_VALUE"""),"")</f>
        <v/>
      </c>
      <c r="H14838" s="42">
        <f t="shared" si="1"/>
        <v>3345</v>
      </c>
    </row>
    <row r="14839" ht="22.5" customHeight="1">
      <c r="B14839" s="42" t="str">
        <f>IFERROR(__xludf.DUMMYFUNCTION("""COMPUTED_VALUE"""),"")</f>
        <v/>
      </c>
      <c r="C14839" s="42" t="str">
        <f>IFERROR(__xludf.DUMMYFUNCTION("""COMPUTED_VALUE"""),"")</f>
        <v/>
      </c>
      <c r="D14839" s="42"/>
      <c r="E14839" s="42"/>
      <c r="F14839" s="48" t="str">
        <f>IFERROR(__xludf.DUMMYFUNCTION("""COMPUTED_VALUE"""),"")</f>
        <v/>
      </c>
      <c r="G14839" s="42" t="str">
        <f>IFERROR(__xludf.DUMMYFUNCTION("""COMPUTED_VALUE"""),"")</f>
        <v/>
      </c>
      <c r="H14839" s="42">
        <f t="shared" si="1"/>
        <v>3345</v>
      </c>
    </row>
    <row r="14840" ht="22.5" customHeight="1">
      <c r="B14840" s="42" t="str">
        <f>IFERROR(__xludf.DUMMYFUNCTION("""COMPUTED_VALUE"""),"")</f>
        <v/>
      </c>
      <c r="C14840" s="42" t="str">
        <f>IFERROR(__xludf.DUMMYFUNCTION("""COMPUTED_VALUE"""),"")</f>
        <v/>
      </c>
      <c r="D14840" s="42"/>
      <c r="E14840" s="42"/>
      <c r="F14840" s="48" t="str">
        <f>IFERROR(__xludf.DUMMYFUNCTION("""COMPUTED_VALUE"""),"")</f>
        <v/>
      </c>
      <c r="G14840" s="42" t="str">
        <f>IFERROR(__xludf.DUMMYFUNCTION("""COMPUTED_VALUE"""),"")</f>
        <v/>
      </c>
      <c r="H14840" s="42">
        <f t="shared" si="1"/>
        <v>3345</v>
      </c>
    </row>
    <row r="14841" ht="22.5" customHeight="1">
      <c r="B14841" s="42" t="str">
        <f>IFERROR(__xludf.DUMMYFUNCTION("""COMPUTED_VALUE"""),"")</f>
        <v/>
      </c>
      <c r="C14841" s="42" t="str">
        <f>IFERROR(__xludf.DUMMYFUNCTION("""COMPUTED_VALUE"""),"")</f>
        <v/>
      </c>
      <c r="D14841" s="42"/>
      <c r="E14841" s="42"/>
      <c r="F14841" s="48" t="str">
        <f>IFERROR(__xludf.DUMMYFUNCTION("""COMPUTED_VALUE"""),"")</f>
        <v/>
      </c>
      <c r="G14841" s="42" t="str">
        <f>IFERROR(__xludf.DUMMYFUNCTION("""COMPUTED_VALUE"""),"")</f>
        <v/>
      </c>
      <c r="H14841" s="42">
        <f t="shared" si="1"/>
        <v>3345</v>
      </c>
    </row>
    <row r="14842" ht="22.5" customHeight="1">
      <c r="B14842" s="42" t="str">
        <f>IFERROR(__xludf.DUMMYFUNCTION("""COMPUTED_VALUE"""),"")</f>
        <v/>
      </c>
      <c r="C14842" s="42" t="str">
        <f>IFERROR(__xludf.DUMMYFUNCTION("""COMPUTED_VALUE"""),"")</f>
        <v/>
      </c>
      <c r="D14842" s="42"/>
      <c r="E14842" s="42"/>
      <c r="F14842" s="48" t="str">
        <f>IFERROR(__xludf.DUMMYFUNCTION("""COMPUTED_VALUE"""),"")</f>
        <v/>
      </c>
      <c r="G14842" s="42" t="str">
        <f>IFERROR(__xludf.DUMMYFUNCTION("""COMPUTED_VALUE"""),"")</f>
        <v/>
      </c>
      <c r="H14842" s="42">
        <f t="shared" si="1"/>
        <v>3345</v>
      </c>
    </row>
    <row r="14843" ht="22.5" customHeight="1">
      <c r="B14843" s="42" t="str">
        <f>IFERROR(__xludf.DUMMYFUNCTION("""COMPUTED_VALUE"""),"")</f>
        <v/>
      </c>
      <c r="C14843" s="42" t="str">
        <f>IFERROR(__xludf.DUMMYFUNCTION("""COMPUTED_VALUE"""),"")</f>
        <v/>
      </c>
      <c r="D14843" s="42"/>
      <c r="E14843" s="42"/>
      <c r="F14843" s="48" t="str">
        <f>IFERROR(__xludf.DUMMYFUNCTION("""COMPUTED_VALUE"""),"")</f>
        <v/>
      </c>
      <c r="G14843" s="42" t="str">
        <f>IFERROR(__xludf.DUMMYFUNCTION("""COMPUTED_VALUE"""),"")</f>
        <v/>
      </c>
      <c r="H14843" s="42">
        <f t="shared" si="1"/>
        <v>3345</v>
      </c>
    </row>
    <row r="14844" ht="22.5" customHeight="1">
      <c r="B14844" s="42" t="str">
        <f>IFERROR(__xludf.DUMMYFUNCTION("""COMPUTED_VALUE"""),"")</f>
        <v/>
      </c>
      <c r="C14844" s="42" t="str">
        <f>IFERROR(__xludf.DUMMYFUNCTION("""COMPUTED_VALUE"""),"")</f>
        <v/>
      </c>
      <c r="D14844" s="42"/>
      <c r="E14844" s="42"/>
      <c r="F14844" s="48" t="str">
        <f>IFERROR(__xludf.DUMMYFUNCTION("""COMPUTED_VALUE"""),"")</f>
        <v/>
      </c>
      <c r="G14844" s="42" t="str">
        <f>IFERROR(__xludf.DUMMYFUNCTION("""COMPUTED_VALUE"""),"")</f>
        <v/>
      </c>
      <c r="H14844" s="42">
        <f t="shared" si="1"/>
        <v>3345</v>
      </c>
    </row>
    <row r="14845" ht="22.5" customHeight="1">
      <c r="B14845" s="42" t="str">
        <f>IFERROR(__xludf.DUMMYFUNCTION("""COMPUTED_VALUE"""),"")</f>
        <v/>
      </c>
      <c r="C14845" s="42" t="str">
        <f>IFERROR(__xludf.DUMMYFUNCTION("""COMPUTED_VALUE"""),"")</f>
        <v/>
      </c>
      <c r="D14845" s="42"/>
      <c r="E14845" s="42"/>
      <c r="F14845" s="48" t="str">
        <f>IFERROR(__xludf.DUMMYFUNCTION("""COMPUTED_VALUE"""),"")</f>
        <v/>
      </c>
      <c r="G14845" s="42" t="str">
        <f>IFERROR(__xludf.DUMMYFUNCTION("""COMPUTED_VALUE"""),"")</f>
        <v/>
      </c>
      <c r="H14845" s="42">
        <f t="shared" si="1"/>
        <v>3345</v>
      </c>
    </row>
    <row r="14846" ht="22.5" customHeight="1">
      <c r="B14846" s="42" t="str">
        <f>IFERROR(__xludf.DUMMYFUNCTION("""COMPUTED_VALUE"""),"")</f>
        <v/>
      </c>
      <c r="C14846" s="42" t="str">
        <f>IFERROR(__xludf.DUMMYFUNCTION("""COMPUTED_VALUE"""),"")</f>
        <v/>
      </c>
      <c r="D14846" s="42"/>
      <c r="E14846" s="42"/>
      <c r="F14846" s="48" t="str">
        <f>IFERROR(__xludf.DUMMYFUNCTION("""COMPUTED_VALUE"""),"")</f>
        <v/>
      </c>
      <c r="G14846" s="42" t="str">
        <f>IFERROR(__xludf.DUMMYFUNCTION("""COMPUTED_VALUE"""),"")</f>
        <v/>
      </c>
      <c r="H14846" s="42">
        <f t="shared" si="1"/>
        <v>3345</v>
      </c>
    </row>
    <row r="14847" ht="22.5" customHeight="1">
      <c r="B14847" s="42" t="str">
        <f>IFERROR(__xludf.DUMMYFUNCTION("""COMPUTED_VALUE"""),"")</f>
        <v/>
      </c>
      <c r="C14847" s="42" t="str">
        <f>IFERROR(__xludf.DUMMYFUNCTION("""COMPUTED_VALUE"""),"")</f>
        <v/>
      </c>
      <c r="D14847" s="42"/>
      <c r="E14847" s="42"/>
      <c r="F14847" s="48" t="str">
        <f>IFERROR(__xludf.DUMMYFUNCTION("""COMPUTED_VALUE"""),"")</f>
        <v/>
      </c>
      <c r="G14847" s="42" t="str">
        <f>IFERROR(__xludf.DUMMYFUNCTION("""COMPUTED_VALUE"""),"")</f>
        <v/>
      </c>
      <c r="H14847" s="42">
        <f t="shared" si="1"/>
        <v>3345</v>
      </c>
    </row>
    <row r="14848" ht="22.5" customHeight="1">
      <c r="B14848" s="42" t="str">
        <f>IFERROR(__xludf.DUMMYFUNCTION("""COMPUTED_VALUE"""),"")</f>
        <v/>
      </c>
      <c r="C14848" s="42" t="str">
        <f>IFERROR(__xludf.DUMMYFUNCTION("""COMPUTED_VALUE"""),"")</f>
        <v/>
      </c>
      <c r="D14848" s="42"/>
      <c r="E14848" s="42"/>
      <c r="F14848" s="48" t="str">
        <f>IFERROR(__xludf.DUMMYFUNCTION("""COMPUTED_VALUE"""),"")</f>
        <v/>
      </c>
      <c r="G14848" s="42" t="str">
        <f>IFERROR(__xludf.DUMMYFUNCTION("""COMPUTED_VALUE"""),"")</f>
        <v/>
      </c>
      <c r="H14848" s="42">
        <f t="shared" si="1"/>
        <v>3345</v>
      </c>
    </row>
    <row r="14849" ht="22.5" customHeight="1">
      <c r="B14849" s="42" t="str">
        <f>IFERROR(__xludf.DUMMYFUNCTION("""COMPUTED_VALUE"""),"")</f>
        <v/>
      </c>
      <c r="C14849" s="42" t="str">
        <f>IFERROR(__xludf.DUMMYFUNCTION("""COMPUTED_VALUE"""),"")</f>
        <v/>
      </c>
      <c r="D14849" s="42"/>
      <c r="E14849" s="42"/>
      <c r="F14849" s="48" t="str">
        <f>IFERROR(__xludf.DUMMYFUNCTION("""COMPUTED_VALUE"""),"")</f>
        <v/>
      </c>
      <c r="G14849" s="42" t="str">
        <f>IFERROR(__xludf.DUMMYFUNCTION("""COMPUTED_VALUE"""),"")</f>
        <v/>
      </c>
      <c r="H14849" s="42">
        <f t="shared" si="1"/>
        <v>3345</v>
      </c>
    </row>
    <row r="14850" ht="22.5" customHeight="1">
      <c r="B14850" s="42" t="str">
        <f>IFERROR(__xludf.DUMMYFUNCTION("""COMPUTED_VALUE"""),"")</f>
        <v/>
      </c>
      <c r="C14850" s="42" t="str">
        <f>IFERROR(__xludf.DUMMYFUNCTION("""COMPUTED_VALUE"""),"")</f>
        <v/>
      </c>
      <c r="D14850" s="42"/>
      <c r="E14850" s="42"/>
      <c r="F14850" s="48" t="str">
        <f>IFERROR(__xludf.DUMMYFUNCTION("""COMPUTED_VALUE"""),"")</f>
        <v/>
      </c>
      <c r="G14850" s="42" t="str">
        <f>IFERROR(__xludf.DUMMYFUNCTION("""COMPUTED_VALUE"""),"")</f>
        <v/>
      </c>
      <c r="H14850" s="42">
        <f t="shared" si="1"/>
        <v>3345</v>
      </c>
    </row>
    <row r="14851" ht="22.5" customHeight="1">
      <c r="B14851" s="42" t="str">
        <f>IFERROR(__xludf.DUMMYFUNCTION("""COMPUTED_VALUE"""),"")</f>
        <v/>
      </c>
      <c r="C14851" s="42" t="str">
        <f>IFERROR(__xludf.DUMMYFUNCTION("""COMPUTED_VALUE"""),"")</f>
        <v/>
      </c>
      <c r="D14851" s="42"/>
      <c r="E14851" s="42"/>
      <c r="F14851" s="48" t="str">
        <f>IFERROR(__xludf.DUMMYFUNCTION("""COMPUTED_VALUE"""),"")</f>
        <v/>
      </c>
      <c r="G14851" s="42" t="str">
        <f>IFERROR(__xludf.DUMMYFUNCTION("""COMPUTED_VALUE"""),"")</f>
        <v/>
      </c>
      <c r="H14851" s="42">
        <f t="shared" si="1"/>
        <v>3345</v>
      </c>
    </row>
    <row r="14852" ht="22.5" customHeight="1">
      <c r="B14852" s="42" t="str">
        <f>IFERROR(__xludf.DUMMYFUNCTION("""COMPUTED_VALUE"""),"")</f>
        <v/>
      </c>
      <c r="C14852" s="42" t="str">
        <f>IFERROR(__xludf.DUMMYFUNCTION("""COMPUTED_VALUE"""),"")</f>
        <v/>
      </c>
      <c r="D14852" s="42"/>
      <c r="E14852" s="42"/>
      <c r="F14852" s="48" t="str">
        <f>IFERROR(__xludf.DUMMYFUNCTION("""COMPUTED_VALUE"""),"")</f>
        <v/>
      </c>
      <c r="G14852" s="42" t="str">
        <f>IFERROR(__xludf.DUMMYFUNCTION("""COMPUTED_VALUE"""),"")</f>
        <v/>
      </c>
      <c r="H14852" s="42">
        <f t="shared" si="1"/>
        <v>3345</v>
      </c>
    </row>
    <row r="14853" ht="22.5" customHeight="1">
      <c r="B14853" s="42" t="str">
        <f>IFERROR(__xludf.DUMMYFUNCTION("""COMPUTED_VALUE"""),"")</f>
        <v/>
      </c>
      <c r="C14853" s="42" t="str">
        <f>IFERROR(__xludf.DUMMYFUNCTION("""COMPUTED_VALUE"""),"")</f>
        <v/>
      </c>
      <c r="D14853" s="42"/>
      <c r="E14853" s="42"/>
      <c r="F14853" s="48" t="str">
        <f>IFERROR(__xludf.DUMMYFUNCTION("""COMPUTED_VALUE"""),"")</f>
        <v/>
      </c>
      <c r="G14853" s="42" t="str">
        <f>IFERROR(__xludf.DUMMYFUNCTION("""COMPUTED_VALUE"""),"")</f>
        <v/>
      </c>
      <c r="H14853" s="42">
        <f t="shared" si="1"/>
        <v>3345</v>
      </c>
    </row>
    <row r="14854" ht="22.5" customHeight="1">
      <c r="B14854" s="42" t="str">
        <f>IFERROR(__xludf.DUMMYFUNCTION("""COMPUTED_VALUE"""),"")</f>
        <v/>
      </c>
      <c r="C14854" s="42" t="str">
        <f>IFERROR(__xludf.DUMMYFUNCTION("""COMPUTED_VALUE"""),"")</f>
        <v/>
      </c>
      <c r="D14854" s="42"/>
      <c r="E14854" s="42"/>
      <c r="F14854" s="48" t="str">
        <f>IFERROR(__xludf.DUMMYFUNCTION("""COMPUTED_VALUE"""),"")</f>
        <v/>
      </c>
      <c r="G14854" s="42" t="str">
        <f>IFERROR(__xludf.DUMMYFUNCTION("""COMPUTED_VALUE"""),"")</f>
        <v/>
      </c>
      <c r="H14854" s="42">
        <f t="shared" si="1"/>
        <v>3345</v>
      </c>
    </row>
    <row r="14855" ht="22.5" customHeight="1">
      <c r="B14855" s="42" t="str">
        <f>IFERROR(__xludf.DUMMYFUNCTION("""COMPUTED_VALUE"""),"")</f>
        <v/>
      </c>
      <c r="C14855" s="42" t="str">
        <f>IFERROR(__xludf.DUMMYFUNCTION("""COMPUTED_VALUE"""),"")</f>
        <v/>
      </c>
      <c r="D14855" s="42"/>
      <c r="E14855" s="42"/>
      <c r="F14855" s="48" t="str">
        <f>IFERROR(__xludf.DUMMYFUNCTION("""COMPUTED_VALUE"""),"")</f>
        <v/>
      </c>
      <c r="G14855" s="42" t="str">
        <f>IFERROR(__xludf.DUMMYFUNCTION("""COMPUTED_VALUE"""),"")</f>
        <v/>
      </c>
      <c r="H14855" s="42">
        <f t="shared" si="1"/>
        <v>3345</v>
      </c>
    </row>
    <row r="14856" ht="22.5" customHeight="1">
      <c r="B14856" s="42" t="str">
        <f>IFERROR(__xludf.DUMMYFUNCTION("""COMPUTED_VALUE"""),"")</f>
        <v/>
      </c>
      <c r="C14856" s="42" t="str">
        <f>IFERROR(__xludf.DUMMYFUNCTION("""COMPUTED_VALUE"""),"")</f>
        <v/>
      </c>
      <c r="D14856" s="42"/>
      <c r="E14856" s="42"/>
      <c r="F14856" s="48" t="str">
        <f>IFERROR(__xludf.DUMMYFUNCTION("""COMPUTED_VALUE"""),"")</f>
        <v/>
      </c>
      <c r="G14856" s="42" t="str">
        <f>IFERROR(__xludf.DUMMYFUNCTION("""COMPUTED_VALUE"""),"")</f>
        <v/>
      </c>
      <c r="H14856" s="42">
        <f t="shared" si="1"/>
        <v>3345</v>
      </c>
    </row>
    <row r="14857" ht="22.5" customHeight="1">
      <c r="B14857" s="42" t="str">
        <f>IFERROR(__xludf.DUMMYFUNCTION("""COMPUTED_VALUE"""),"")</f>
        <v/>
      </c>
      <c r="C14857" s="42" t="str">
        <f>IFERROR(__xludf.DUMMYFUNCTION("""COMPUTED_VALUE"""),"")</f>
        <v/>
      </c>
      <c r="D14857" s="42"/>
      <c r="E14857" s="42"/>
      <c r="F14857" s="48" t="str">
        <f>IFERROR(__xludf.DUMMYFUNCTION("""COMPUTED_VALUE"""),"")</f>
        <v/>
      </c>
      <c r="G14857" s="42" t="str">
        <f>IFERROR(__xludf.DUMMYFUNCTION("""COMPUTED_VALUE"""),"")</f>
        <v/>
      </c>
      <c r="H14857" s="42">
        <f t="shared" si="1"/>
        <v>3345</v>
      </c>
    </row>
    <row r="14858" ht="22.5" customHeight="1">
      <c r="B14858" s="42" t="str">
        <f>IFERROR(__xludf.DUMMYFUNCTION("""COMPUTED_VALUE"""),"")</f>
        <v/>
      </c>
      <c r="C14858" s="42" t="str">
        <f>IFERROR(__xludf.DUMMYFUNCTION("""COMPUTED_VALUE"""),"")</f>
        <v/>
      </c>
      <c r="D14858" s="42"/>
      <c r="E14858" s="42"/>
      <c r="F14858" s="48" t="str">
        <f>IFERROR(__xludf.DUMMYFUNCTION("""COMPUTED_VALUE"""),"")</f>
        <v/>
      </c>
      <c r="G14858" s="42" t="str">
        <f>IFERROR(__xludf.DUMMYFUNCTION("""COMPUTED_VALUE"""),"")</f>
        <v/>
      </c>
      <c r="H14858" s="42">
        <f t="shared" si="1"/>
        <v>3345</v>
      </c>
    </row>
    <row r="14859" ht="22.5" customHeight="1">
      <c r="B14859" s="42" t="str">
        <f>IFERROR(__xludf.DUMMYFUNCTION("""COMPUTED_VALUE"""),"")</f>
        <v/>
      </c>
      <c r="C14859" s="42" t="str">
        <f>IFERROR(__xludf.DUMMYFUNCTION("""COMPUTED_VALUE"""),"")</f>
        <v/>
      </c>
      <c r="D14859" s="42"/>
      <c r="E14859" s="42"/>
      <c r="F14859" s="48" t="str">
        <f>IFERROR(__xludf.DUMMYFUNCTION("""COMPUTED_VALUE"""),"")</f>
        <v/>
      </c>
      <c r="G14859" s="42" t="str">
        <f>IFERROR(__xludf.DUMMYFUNCTION("""COMPUTED_VALUE"""),"")</f>
        <v/>
      </c>
      <c r="H14859" s="42">
        <f t="shared" si="1"/>
        <v>3345</v>
      </c>
    </row>
    <row r="14860" ht="22.5" customHeight="1">
      <c r="B14860" s="42" t="str">
        <f>IFERROR(__xludf.DUMMYFUNCTION("""COMPUTED_VALUE"""),"")</f>
        <v/>
      </c>
      <c r="C14860" s="42" t="str">
        <f>IFERROR(__xludf.DUMMYFUNCTION("""COMPUTED_VALUE"""),"")</f>
        <v/>
      </c>
      <c r="D14860" s="42"/>
      <c r="E14860" s="42"/>
      <c r="F14860" s="48" t="str">
        <f>IFERROR(__xludf.DUMMYFUNCTION("""COMPUTED_VALUE"""),"")</f>
        <v/>
      </c>
      <c r="G14860" s="42" t="str">
        <f>IFERROR(__xludf.DUMMYFUNCTION("""COMPUTED_VALUE"""),"")</f>
        <v/>
      </c>
      <c r="H14860" s="42">
        <f t="shared" si="1"/>
        <v>3345</v>
      </c>
    </row>
    <row r="14861" ht="22.5" customHeight="1">
      <c r="B14861" s="42" t="str">
        <f>IFERROR(__xludf.DUMMYFUNCTION("""COMPUTED_VALUE"""),"")</f>
        <v/>
      </c>
      <c r="C14861" s="42" t="str">
        <f>IFERROR(__xludf.DUMMYFUNCTION("""COMPUTED_VALUE"""),"")</f>
        <v/>
      </c>
      <c r="D14861" s="42"/>
      <c r="E14861" s="42"/>
      <c r="F14861" s="48" t="str">
        <f>IFERROR(__xludf.DUMMYFUNCTION("""COMPUTED_VALUE"""),"")</f>
        <v/>
      </c>
      <c r="G14861" s="42" t="str">
        <f>IFERROR(__xludf.DUMMYFUNCTION("""COMPUTED_VALUE"""),"")</f>
        <v/>
      </c>
      <c r="H14861" s="42">
        <f t="shared" si="1"/>
        <v>3345</v>
      </c>
    </row>
    <row r="14862" ht="22.5" customHeight="1">
      <c r="B14862" s="42" t="str">
        <f>IFERROR(__xludf.DUMMYFUNCTION("""COMPUTED_VALUE"""),"")</f>
        <v/>
      </c>
      <c r="C14862" s="42" t="str">
        <f>IFERROR(__xludf.DUMMYFUNCTION("""COMPUTED_VALUE"""),"")</f>
        <v/>
      </c>
      <c r="D14862" s="42"/>
      <c r="E14862" s="42"/>
      <c r="F14862" s="48" t="str">
        <f>IFERROR(__xludf.DUMMYFUNCTION("""COMPUTED_VALUE"""),"")</f>
        <v/>
      </c>
      <c r="G14862" s="42" t="str">
        <f>IFERROR(__xludf.DUMMYFUNCTION("""COMPUTED_VALUE"""),"")</f>
        <v/>
      </c>
      <c r="H14862" s="42">
        <f t="shared" si="1"/>
        <v>3345</v>
      </c>
    </row>
    <row r="14863" ht="22.5" customHeight="1">
      <c r="B14863" s="42" t="str">
        <f>IFERROR(__xludf.DUMMYFUNCTION("""COMPUTED_VALUE"""),"")</f>
        <v/>
      </c>
      <c r="C14863" s="42" t="str">
        <f>IFERROR(__xludf.DUMMYFUNCTION("""COMPUTED_VALUE"""),"")</f>
        <v/>
      </c>
      <c r="D14863" s="42"/>
      <c r="E14863" s="42"/>
      <c r="F14863" s="48" t="str">
        <f>IFERROR(__xludf.DUMMYFUNCTION("""COMPUTED_VALUE"""),"")</f>
        <v/>
      </c>
      <c r="G14863" s="42" t="str">
        <f>IFERROR(__xludf.DUMMYFUNCTION("""COMPUTED_VALUE"""),"")</f>
        <v/>
      </c>
      <c r="H14863" s="42">
        <f t="shared" si="1"/>
        <v>3345</v>
      </c>
    </row>
    <row r="14864" ht="22.5" customHeight="1">
      <c r="B14864" s="42" t="str">
        <f>IFERROR(__xludf.DUMMYFUNCTION("""COMPUTED_VALUE"""),"")</f>
        <v/>
      </c>
      <c r="C14864" s="42" t="str">
        <f>IFERROR(__xludf.DUMMYFUNCTION("""COMPUTED_VALUE"""),"")</f>
        <v/>
      </c>
      <c r="D14864" s="42"/>
      <c r="E14864" s="42"/>
      <c r="F14864" s="48" t="str">
        <f>IFERROR(__xludf.DUMMYFUNCTION("""COMPUTED_VALUE"""),"")</f>
        <v/>
      </c>
      <c r="G14864" s="42" t="str">
        <f>IFERROR(__xludf.DUMMYFUNCTION("""COMPUTED_VALUE"""),"")</f>
        <v/>
      </c>
      <c r="H14864" s="42">
        <f t="shared" si="1"/>
        <v>3345</v>
      </c>
    </row>
    <row r="14865" ht="22.5" customHeight="1">
      <c r="B14865" s="42" t="str">
        <f>IFERROR(__xludf.DUMMYFUNCTION("""COMPUTED_VALUE"""),"")</f>
        <v/>
      </c>
      <c r="C14865" s="42" t="str">
        <f>IFERROR(__xludf.DUMMYFUNCTION("""COMPUTED_VALUE"""),"")</f>
        <v/>
      </c>
      <c r="D14865" s="42"/>
      <c r="E14865" s="42"/>
      <c r="F14865" s="48" t="str">
        <f>IFERROR(__xludf.DUMMYFUNCTION("""COMPUTED_VALUE"""),"")</f>
        <v/>
      </c>
      <c r="G14865" s="42" t="str">
        <f>IFERROR(__xludf.DUMMYFUNCTION("""COMPUTED_VALUE"""),"")</f>
        <v/>
      </c>
      <c r="H14865" s="42">
        <f t="shared" si="1"/>
        <v>3345</v>
      </c>
    </row>
    <row r="14866" ht="22.5" customHeight="1">
      <c r="B14866" s="42" t="str">
        <f>IFERROR(__xludf.DUMMYFUNCTION("""COMPUTED_VALUE"""),"")</f>
        <v/>
      </c>
      <c r="C14866" s="42" t="str">
        <f>IFERROR(__xludf.DUMMYFUNCTION("""COMPUTED_VALUE"""),"")</f>
        <v/>
      </c>
      <c r="D14866" s="42"/>
      <c r="E14866" s="42"/>
      <c r="F14866" s="48" t="str">
        <f>IFERROR(__xludf.DUMMYFUNCTION("""COMPUTED_VALUE"""),"")</f>
        <v/>
      </c>
      <c r="G14866" s="42" t="str">
        <f>IFERROR(__xludf.DUMMYFUNCTION("""COMPUTED_VALUE"""),"")</f>
        <v/>
      </c>
      <c r="H14866" s="42">
        <f t="shared" si="1"/>
        <v>3345</v>
      </c>
    </row>
    <row r="14867" ht="22.5" customHeight="1">
      <c r="B14867" s="42" t="str">
        <f>IFERROR(__xludf.DUMMYFUNCTION("""COMPUTED_VALUE"""),"")</f>
        <v/>
      </c>
      <c r="C14867" s="42" t="str">
        <f>IFERROR(__xludf.DUMMYFUNCTION("""COMPUTED_VALUE"""),"")</f>
        <v/>
      </c>
      <c r="D14867" s="42"/>
      <c r="E14867" s="42"/>
      <c r="F14867" s="48" t="str">
        <f>IFERROR(__xludf.DUMMYFUNCTION("""COMPUTED_VALUE"""),"")</f>
        <v/>
      </c>
      <c r="G14867" s="42" t="str">
        <f>IFERROR(__xludf.DUMMYFUNCTION("""COMPUTED_VALUE"""),"")</f>
        <v/>
      </c>
      <c r="H14867" s="42">
        <f t="shared" si="1"/>
        <v>3345</v>
      </c>
    </row>
    <row r="14868" ht="22.5" customHeight="1">
      <c r="B14868" s="42" t="str">
        <f>IFERROR(__xludf.DUMMYFUNCTION("""COMPUTED_VALUE"""),"")</f>
        <v/>
      </c>
      <c r="C14868" s="42" t="str">
        <f>IFERROR(__xludf.DUMMYFUNCTION("""COMPUTED_VALUE"""),"")</f>
        <v/>
      </c>
      <c r="D14868" s="42"/>
      <c r="E14868" s="42"/>
      <c r="F14868" s="48" t="str">
        <f>IFERROR(__xludf.DUMMYFUNCTION("""COMPUTED_VALUE"""),"")</f>
        <v/>
      </c>
      <c r="G14868" s="42" t="str">
        <f>IFERROR(__xludf.DUMMYFUNCTION("""COMPUTED_VALUE"""),"")</f>
        <v/>
      </c>
      <c r="H14868" s="42">
        <f t="shared" si="1"/>
        <v>3345</v>
      </c>
    </row>
    <row r="14869" ht="22.5" customHeight="1">
      <c r="B14869" s="42" t="str">
        <f>IFERROR(__xludf.DUMMYFUNCTION("""COMPUTED_VALUE"""),"")</f>
        <v/>
      </c>
      <c r="C14869" s="42" t="str">
        <f>IFERROR(__xludf.DUMMYFUNCTION("""COMPUTED_VALUE"""),"")</f>
        <v/>
      </c>
      <c r="D14869" s="42"/>
      <c r="E14869" s="42"/>
      <c r="F14869" s="48" t="str">
        <f>IFERROR(__xludf.DUMMYFUNCTION("""COMPUTED_VALUE"""),"")</f>
        <v/>
      </c>
      <c r="G14869" s="42" t="str">
        <f>IFERROR(__xludf.DUMMYFUNCTION("""COMPUTED_VALUE"""),"")</f>
        <v/>
      </c>
      <c r="H14869" s="42">
        <f t="shared" si="1"/>
        <v>3345</v>
      </c>
    </row>
    <row r="14870" ht="22.5" customHeight="1">
      <c r="B14870" s="42" t="str">
        <f>IFERROR(__xludf.DUMMYFUNCTION("""COMPUTED_VALUE"""),"")</f>
        <v/>
      </c>
      <c r="C14870" s="42" t="str">
        <f>IFERROR(__xludf.DUMMYFUNCTION("""COMPUTED_VALUE"""),"")</f>
        <v/>
      </c>
      <c r="D14870" s="42"/>
      <c r="E14870" s="42"/>
      <c r="F14870" s="48" t="str">
        <f>IFERROR(__xludf.DUMMYFUNCTION("""COMPUTED_VALUE"""),"")</f>
        <v/>
      </c>
      <c r="G14870" s="42" t="str">
        <f>IFERROR(__xludf.DUMMYFUNCTION("""COMPUTED_VALUE"""),"")</f>
        <v/>
      </c>
      <c r="H14870" s="42">
        <f t="shared" si="1"/>
        <v>3345</v>
      </c>
    </row>
    <row r="14871" ht="22.5" customHeight="1">
      <c r="B14871" s="42" t="str">
        <f>IFERROR(__xludf.DUMMYFUNCTION("""COMPUTED_VALUE"""),"")</f>
        <v/>
      </c>
      <c r="C14871" s="42" t="str">
        <f>IFERROR(__xludf.DUMMYFUNCTION("""COMPUTED_VALUE"""),"")</f>
        <v/>
      </c>
      <c r="D14871" s="42"/>
      <c r="E14871" s="42"/>
      <c r="F14871" s="48" t="str">
        <f>IFERROR(__xludf.DUMMYFUNCTION("""COMPUTED_VALUE"""),"")</f>
        <v/>
      </c>
      <c r="G14871" s="42" t="str">
        <f>IFERROR(__xludf.DUMMYFUNCTION("""COMPUTED_VALUE"""),"")</f>
        <v/>
      </c>
      <c r="H14871" s="42">
        <f t="shared" si="1"/>
        <v>3345</v>
      </c>
    </row>
    <row r="14872" ht="22.5" customHeight="1">
      <c r="B14872" s="42" t="str">
        <f>IFERROR(__xludf.DUMMYFUNCTION("""COMPUTED_VALUE"""),"")</f>
        <v/>
      </c>
      <c r="C14872" s="42" t="str">
        <f>IFERROR(__xludf.DUMMYFUNCTION("""COMPUTED_VALUE"""),"")</f>
        <v/>
      </c>
      <c r="D14872" s="42"/>
      <c r="E14872" s="42"/>
      <c r="F14872" s="48" t="str">
        <f>IFERROR(__xludf.DUMMYFUNCTION("""COMPUTED_VALUE"""),"")</f>
        <v/>
      </c>
      <c r="G14872" s="42" t="str">
        <f>IFERROR(__xludf.DUMMYFUNCTION("""COMPUTED_VALUE"""),"")</f>
        <v/>
      </c>
      <c r="H14872" s="42">
        <f t="shared" si="1"/>
        <v>3345</v>
      </c>
    </row>
    <row r="14873" ht="22.5" customHeight="1">
      <c r="B14873" s="42" t="str">
        <f>IFERROR(__xludf.DUMMYFUNCTION("""COMPUTED_VALUE"""),"")</f>
        <v/>
      </c>
      <c r="C14873" s="42" t="str">
        <f>IFERROR(__xludf.DUMMYFUNCTION("""COMPUTED_VALUE"""),"")</f>
        <v/>
      </c>
      <c r="D14873" s="42"/>
      <c r="E14873" s="42"/>
      <c r="F14873" s="48" t="str">
        <f>IFERROR(__xludf.DUMMYFUNCTION("""COMPUTED_VALUE"""),"")</f>
        <v/>
      </c>
      <c r="G14873" s="42" t="str">
        <f>IFERROR(__xludf.DUMMYFUNCTION("""COMPUTED_VALUE"""),"")</f>
        <v/>
      </c>
      <c r="H14873" s="42">
        <f t="shared" si="1"/>
        <v>3345</v>
      </c>
    </row>
    <row r="14874" ht="22.5" customHeight="1">
      <c r="B14874" s="42" t="str">
        <f>IFERROR(__xludf.DUMMYFUNCTION("""COMPUTED_VALUE"""),"")</f>
        <v/>
      </c>
      <c r="C14874" s="42" t="str">
        <f>IFERROR(__xludf.DUMMYFUNCTION("""COMPUTED_VALUE"""),"")</f>
        <v/>
      </c>
      <c r="D14874" s="42"/>
      <c r="E14874" s="42"/>
      <c r="F14874" s="48" t="str">
        <f>IFERROR(__xludf.DUMMYFUNCTION("""COMPUTED_VALUE"""),"")</f>
        <v/>
      </c>
      <c r="G14874" s="42" t="str">
        <f>IFERROR(__xludf.DUMMYFUNCTION("""COMPUTED_VALUE"""),"")</f>
        <v/>
      </c>
      <c r="H14874" s="42">
        <f t="shared" si="1"/>
        <v>3345</v>
      </c>
    </row>
    <row r="14875" ht="22.5" customHeight="1">
      <c r="B14875" s="42" t="str">
        <f>IFERROR(__xludf.DUMMYFUNCTION("""COMPUTED_VALUE"""),"")</f>
        <v/>
      </c>
      <c r="C14875" s="42" t="str">
        <f>IFERROR(__xludf.DUMMYFUNCTION("""COMPUTED_VALUE"""),"")</f>
        <v/>
      </c>
      <c r="D14875" s="42"/>
      <c r="E14875" s="42"/>
      <c r="F14875" s="48" t="str">
        <f>IFERROR(__xludf.DUMMYFUNCTION("""COMPUTED_VALUE"""),"")</f>
        <v/>
      </c>
      <c r="G14875" s="42" t="str">
        <f>IFERROR(__xludf.DUMMYFUNCTION("""COMPUTED_VALUE"""),"")</f>
        <v/>
      </c>
      <c r="H14875" s="42">
        <f t="shared" si="1"/>
        <v>3345</v>
      </c>
    </row>
    <row r="14876" ht="22.5" customHeight="1">
      <c r="B14876" s="42" t="str">
        <f>IFERROR(__xludf.DUMMYFUNCTION("""COMPUTED_VALUE"""),"")</f>
        <v/>
      </c>
      <c r="C14876" s="42" t="str">
        <f>IFERROR(__xludf.DUMMYFUNCTION("""COMPUTED_VALUE"""),"")</f>
        <v/>
      </c>
      <c r="D14876" s="42"/>
      <c r="E14876" s="42"/>
      <c r="F14876" s="48" t="str">
        <f>IFERROR(__xludf.DUMMYFUNCTION("""COMPUTED_VALUE"""),"")</f>
        <v/>
      </c>
      <c r="G14876" s="42" t="str">
        <f>IFERROR(__xludf.DUMMYFUNCTION("""COMPUTED_VALUE"""),"")</f>
        <v/>
      </c>
      <c r="H14876" s="42">
        <f t="shared" si="1"/>
        <v>3345</v>
      </c>
    </row>
    <row r="14877" ht="22.5" customHeight="1">
      <c r="B14877" s="42" t="str">
        <f>IFERROR(__xludf.DUMMYFUNCTION("""COMPUTED_VALUE"""),"")</f>
        <v/>
      </c>
      <c r="C14877" s="42" t="str">
        <f>IFERROR(__xludf.DUMMYFUNCTION("""COMPUTED_VALUE"""),"")</f>
        <v/>
      </c>
      <c r="D14877" s="42"/>
      <c r="E14877" s="42"/>
      <c r="F14877" s="48" t="str">
        <f>IFERROR(__xludf.DUMMYFUNCTION("""COMPUTED_VALUE"""),"")</f>
        <v/>
      </c>
      <c r="G14877" s="42" t="str">
        <f>IFERROR(__xludf.DUMMYFUNCTION("""COMPUTED_VALUE"""),"")</f>
        <v/>
      </c>
      <c r="H14877" s="42">
        <f t="shared" si="1"/>
        <v>3345</v>
      </c>
    </row>
    <row r="14878" ht="22.5" customHeight="1">
      <c r="B14878" s="42" t="str">
        <f>IFERROR(__xludf.DUMMYFUNCTION("""COMPUTED_VALUE"""),"")</f>
        <v/>
      </c>
      <c r="C14878" s="42" t="str">
        <f>IFERROR(__xludf.DUMMYFUNCTION("""COMPUTED_VALUE"""),"")</f>
        <v/>
      </c>
      <c r="D14878" s="42"/>
      <c r="E14878" s="42"/>
      <c r="F14878" s="48" t="str">
        <f>IFERROR(__xludf.DUMMYFUNCTION("""COMPUTED_VALUE"""),"")</f>
        <v/>
      </c>
      <c r="G14878" s="42" t="str">
        <f>IFERROR(__xludf.DUMMYFUNCTION("""COMPUTED_VALUE"""),"")</f>
        <v/>
      </c>
      <c r="H14878" s="42">
        <f t="shared" si="1"/>
        <v>3345</v>
      </c>
    </row>
    <row r="14879" ht="22.5" customHeight="1">
      <c r="B14879" s="42" t="str">
        <f>IFERROR(__xludf.DUMMYFUNCTION("""COMPUTED_VALUE"""),"")</f>
        <v/>
      </c>
      <c r="C14879" s="42" t="str">
        <f>IFERROR(__xludf.DUMMYFUNCTION("""COMPUTED_VALUE"""),"")</f>
        <v/>
      </c>
      <c r="D14879" s="42"/>
      <c r="E14879" s="42"/>
      <c r="F14879" s="48" t="str">
        <f>IFERROR(__xludf.DUMMYFUNCTION("""COMPUTED_VALUE"""),"")</f>
        <v/>
      </c>
      <c r="G14879" s="42" t="str">
        <f>IFERROR(__xludf.DUMMYFUNCTION("""COMPUTED_VALUE"""),"")</f>
        <v/>
      </c>
      <c r="H14879" s="42">
        <f t="shared" si="1"/>
        <v>3345</v>
      </c>
    </row>
    <row r="14880" ht="22.5" customHeight="1">
      <c r="B14880" s="42" t="str">
        <f>IFERROR(__xludf.DUMMYFUNCTION("""COMPUTED_VALUE"""),"")</f>
        <v/>
      </c>
      <c r="C14880" s="42" t="str">
        <f>IFERROR(__xludf.DUMMYFUNCTION("""COMPUTED_VALUE"""),"")</f>
        <v/>
      </c>
      <c r="D14880" s="42"/>
      <c r="E14880" s="42"/>
      <c r="F14880" s="48" t="str">
        <f>IFERROR(__xludf.DUMMYFUNCTION("""COMPUTED_VALUE"""),"")</f>
        <v/>
      </c>
      <c r="G14880" s="42" t="str">
        <f>IFERROR(__xludf.DUMMYFUNCTION("""COMPUTED_VALUE"""),"")</f>
        <v/>
      </c>
      <c r="H14880" s="42">
        <f t="shared" si="1"/>
        <v>3345</v>
      </c>
    </row>
    <row r="14881" ht="22.5" customHeight="1">
      <c r="B14881" s="42" t="str">
        <f>IFERROR(__xludf.DUMMYFUNCTION("""COMPUTED_VALUE"""),"")</f>
        <v/>
      </c>
      <c r="C14881" s="42" t="str">
        <f>IFERROR(__xludf.DUMMYFUNCTION("""COMPUTED_VALUE"""),"")</f>
        <v/>
      </c>
      <c r="D14881" s="42"/>
      <c r="E14881" s="42"/>
      <c r="F14881" s="48" t="str">
        <f>IFERROR(__xludf.DUMMYFUNCTION("""COMPUTED_VALUE"""),"")</f>
        <v/>
      </c>
      <c r="G14881" s="42" t="str">
        <f>IFERROR(__xludf.DUMMYFUNCTION("""COMPUTED_VALUE"""),"")</f>
        <v/>
      </c>
      <c r="H14881" s="42">
        <f t="shared" si="1"/>
        <v>3345</v>
      </c>
    </row>
    <row r="14882" ht="22.5" customHeight="1">
      <c r="B14882" s="42" t="str">
        <f>IFERROR(__xludf.DUMMYFUNCTION("""COMPUTED_VALUE"""),"")</f>
        <v/>
      </c>
      <c r="C14882" s="42" t="str">
        <f>IFERROR(__xludf.DUMMYFUNCTION("""COMPUTED_VALUE"""),"")</f>
        <v/>
      </c>
      <c r="D14882" s="42"/>
      <c r="E14882" s="42"/>
      <c r="F14882" s="48" t="str">
        <f>IFERROR(__xludf.DUMMYFUNCTION("""COMPUTED_VALUE"""),"")</f>
        <v/>
      </c>
      <c r="G14882" s="42" t="str">
        <f>IFERROR(__xludf.DUMMYFUNCTION("""COMPUTED_VALUE"""),"")</f>
        <v/>
      </c>
      <c r="H14882" s="42">
        <f t="shared" si="1"/>
        <v>3345</v>
      </c>
    </row>
    <row r="14883" ht="22.5" customHeight="1">
      <c r="B14883" s="42" t="str">
        <f>IFERROR(__xludf.DUMMYFUNCTION("""COMPUTED_VALUE"""),"")</f>
        <v/>
      </c>
      <c r="C14883" s="42" t="str">
        <f>IFERROR(__xludf.DUMMYFUNCTION("""COMPUTED_VALUE"""),"")</f>
        <v/>
      </c>
      <c r="D14883" s="42"/>
      <c r="E14883" s="42"/>
      <c r="F14883" s="48" t="str">
        <f>IFERROR(__xludf.DUMMYFUNCTION("""COMPUTED_VALUE"""),"")</f>
        <v/>
      </c>
      <c r="G14883" s="42" t="str">
        <f>IFERROR(__xludf.DUMMYFUNCTION("""COMPUTED_VALUE"""),"")</f>
        <v/>
      </c>
      <c r="H14883" s="42">
        <f t="shared" si="1"/>
        <v>3345</v>
      </c>
    </row>
    <row r="14884" ht="22.5" customHeight="1">
      <c r="B14884" s="42" t="str">
        <f>IFERROR(__xludf.DUMMYFUNCTION("""COMPUTED_VALUE"""),"")</f>
        <v/>
      </c>
      <c r="C14884" s="42" t="str">
        <f>IFERROR(__xludf.DUMMYFUNCTION("""COMPUTED_VALUE"""),"")</f>
        <v/>
      </c>
      <c r="D14884" s="42"/>
      <c r="E14884" s="42"/>
      <c r="F14884" s="48" t="str">
        <f>IFERROR(__xludf.DUMMYFUNCTION("""COMPUTED_VALUE"""),"")</f>
        <v/>
      </c>
      <c r="G14884" s="42" t="str">
        <f>IFERROR(__xludf.DUMMYFUNCTION("""COMPUTED_VALUE"""),"")</f>
        <v/>
      </c>
      <c r="H14884" s="42">
        <f t="shared" si="1"/>
        <v>3345</v>
      </c>
    </row>
    <row r="14885" ht="22.5" customHeight="1">
      <c r="B14885" s="42" t="str">
        <f>IFERROR(__xludf.DUMMYFUNCTION("""COMPUTED_VALUE"""),"")</f>
        <v/>
      </c>
      <c r="C14885" s="42" t="str">
        <f>IFERROR(__xludf.DUMMYFUNCTION("""COMPUTED_VALUE"""),"")</f>
        <v/>
      </c>
      <c r="D14885" s="42"/>
      <c r="E14885" s="42"/>
      <c r="F14885" s="48" t="str">
        <f>IFERROR(__xludf.DUMMYFUNCTION("""COMPUTED_VALUE"""),"")</f>
        <v/>
      </c>
      <c r="G14885" s="42" t="str">
        <f>IFERROR(__xludf.DUMMYFUNCTION("""COMPUTED_VALUE"""),"")</f>
        <v/>
      </c>
      <c r="H14885" s="42">
        <f t="shared" si="1"/>
        <v>3345</v>
      </c>
    </row>
    <row r="14886" ht="22.5" customHeight="1">
      <c r="B14886" s="42" t="str">
        <f>IFERROR(__xludf.DUMMYFUNCTION("""COMPUTED_VALUE"""),"")</f>
        <v/>
      </c>
      <c r="C14886" s="42" t="str">
        <f>IFERROR(__xludf.DUMMYFUNCTION("""COMPUTED_VALUE"""),"")</f>
        <v/>
      </c>
      <c r="D14886" s="42"/>
      <c r="E14886" s="42"/>
      <c r="F14886" s="48" t="str">
        <f>IFERROR(__xludf.DUMMYFUNCTION("""COMPUTED_VALUE"""),"")</f>
        <v/>
      </c>
      <c r="G14886" s="42" t="str">
        <f>IFERROR(__xludf.DUMMYFUNCTION("""COMPUTED_VALUE"""),"")</f>
        <v/>
      </c>
      <c r="H14886" s="42">
        <f t="shared" si="1"/>
        <v>3345</v>
      </c>
    </row>
    <row r="14887" ht="22.5" customHeight="1">
      <c r="B14887" s="42" t="str">
        <f>IFERROR(__xludf.DUMMYFUNCTION("""COMPUTED_VALUE"""),"")</f>
        <v/>
      </c>
      <c r="C14887" s="42" t="str">
        <f>IFERROR(__xludf.DUMMYFUNCTION("""COMPUTED_VALUE"""),"")</f>
        <v/>
      </c>
      <c r="D14887" s="42"/>
      <c r="E14887" s="42"/>
      <c r="F14887" s="48" t="str">
        <f>IFERROR(__xludf.DUMMYFUNCTION("""COMPUTED_VALUE"""),"")</f>
        <v/>
      </c>
      <c r="G14887" s="42" t="str">
        <f>IFERROR(__xludf.DUMMYFUNCTION("""COMPUTED_VALUE"""),"")</f>
        <v/>
      </c>
      <c r="H14887" s="42">
        <f t="shared" si="1"/>
        <v>3345</v>
      </c>
    </row>
    <row r="14888" ht="22.5" customHeight="1">
      <c r="B14888" s="42" t="str">
        <f>IFERROR(__xludf.DUMMYFUNCTION("""COMPUTED_VALUE"""),"")</f>
        <v/>
      </c>
      <c r="C14888" s="42" t="str">
        <f>IFERROR(__xludf.DUMMYFUNCTION("""COMPUTED_VALUE"""),"")</f>
        <v/>
      </c>
      <c r="D14888" s="42"/>
      <c r="E14888" s="42"/>
      <c r="F14888" s="48" t="str">
        <f>IFERROR(__xludf.DUMMYFUNCTION("""COMPUTED_VALUE"""),"")</f>
        <v/>
      </c>
      <c r="G14888" s="42" t="str">
        <f>IFERROR(__xludf.DUMMYFUNCTION("""COMPUTED_VALUE"""),"")</f>
        <v/>
      </c>
      <c r="H14888" s="42">
        <f t="shared" si="1"/>
        <v>3345</v>
      </c>
    </row>
    <row r="14889" ht="22.5" customHeight="1">
      <c r="B14889" s="42" t="str">
        <f>IFERROR(__xludf.DUMMYFUNCTION("""COMPUTED_VALUE"""),"")</f>
        <v/>
      </c>
      <c r="C14889" s="42" t="str">
        <f>IFERROR(__xludf.DUMMYFUNCTION("""COMPUTED_VALUE"""),"")</f>
        <v/>
      </c>
      <c r="D14889" s="42"/>
      <c r="E14889" s="42"/>
      <c r="F14889" s="48" t="str">
        <f>IFERROR(__xludf.DUMMYFUNCTION("""COMPUTED_VALUE"""),"")</f>
        <v/>
      </c>
      <c r="G14889" s="42" t="str">
        <f>IFERROR(__xludf.DUMMYFUNCTION("""COMPUTED_VALUE"""),"")</f>
        <v/>
      </c>
      <c r="H14889" s="42">
        <f t="shared" si="1"/>
        <v>3345</v>
      </c>
    </row>
    <row r="14890" ht="22.5" customHeight="1">
      <c r="B14890" s="42" t="str">
        <f>IFERROR(__xludf.DUMMYFUNCTION("""COMPUTED_VALUE"""),"")</f>
        <v/>
      </c>
      <c r="C14890" s="42" t="str">
        <f>IFERROR(__xludf.DUMMYFUNCTION("""COMPUTED_VALUE"""),"")</f>
        <v/>
      </c>
      <c r="D14890" s="42"/>
      <c r="E14890" s="42"/>
      <c r="F14890" s="48" t="str">
        <f>IFERROR(__xludf.DUMMYFUNCTION("""COMPUTED_VALUE"""),"")</f>
        <v/>
      </c>
      <c r="G14890" s="42" t="str">
        <f>IFERROR(__xludf.DUMMYFUNCTION("""COMPUTED_VALUE"""),"")</f>
        <v/>
      </c>
      <c r="H14890" s="42">
        <f t="shared" si="1"/>
        <v>3345</v>
      </c>
    </row>
    <row r="14891" ht="22.5" customHeight="1">
      <c r="B14891" s="42" t="str">
        <f>IFERROR(__xludf.DUMMYFUNCTION("""COMPUTED_VALUE"""),"")</f>
        <v/>
      </c>
      <c r="C14891" s="42" t="str">
        <f>IFERROR(__xludf.DUMMYFUNCTION("""COMPUTED_VALUE"""),"")</f>
        <v/>
      </c>
      <c r="D14891" s="42"/>
      <c r="E14891" s="42"/>
      <c r="F14891" s="48" t="str">
        <f>IFERROR(__xludf.DUMMYFUNCTION("""COMPUTED_VALUE"""),"")</f>
        <v/>
      </c>
      <c r="G14891" s="42" t="str">
        <f>IFERROR(__xludf.DUMMYFUNCTION("""COMPUTED_VALUE"""),"")</f>
        <v/>
      </c>
      <c r="H14891" s="42">
        <f t="shared" si="1"/>
        <v>3345</v>
      </c>
    </row>
    <row r="14892" ht="22.5" customHeight="1">
      <c r="B14892" s="42" t="str">
        <f>IFERROR(__xludf.DUMMYFUNCTION("""COMPUTED_VALUE"""),"")</f>
        <v/>
      </c>
      <c r="C14892" s="42" t="str">
        <f>IFERROR(__xludf.DUMMYFUNCTION("""COMPUTED_VALUE"""),"")</f>
        <v/>
      </c>
      <c r="D14892" s="42"/>
      <c r="E14892" s="42"/>
      <c r="F14892" s="48" t="str">
        <f>IFERROR(__xludf.DUMMYFUNCTION("""COMPUTED_VALUE"""),"")</f>
        <v/>
      </c>
      <c r="G14892" s="42" t="str">
        <f>IFERROR(__xludf.DUMMYFUNCTION("""COMPUTED_VALUE"""),"")</f>
        <v/>
      </c>
      <c r="H14892" s="42">
        <f t="shared" si="1"/>
        <v>3345</v>
      </c>
    </row>
    <row r="14893" ht="22.5" customHeight="1">
      <c r="B14893" s="42" t="str">
        <f>IFERROR(__xludf.DUMMYFUNCTION("""COMPUTED_VALUE"""),"")</f>
        <v/>
      </c>
      <c r="C14893" s="42" t="str">
        <f>IFERROR(__xludf.DUMMYFUNCTION("""COMPUTED_VALUE"""),"")</f>
        <v/>
      </c>
      <c r="D14893" s="42"/>
      <c r="E14893" s="42"/>
      <c r="F14893" s="48" t="str">
        <f>IFERROR(__xludf.DUMMYFUNCTION("""COMPUTED_VALUE"""),"")</f>
        <v/>
      </c>
      <c r="G14893" s="42" t="str">
        <f>IFERROR(__xludf.DUMMYFUNCTION("""COMPUTED_VALUE"""),"")</f>
        <v/>
      </c>
      <c r="H14893" s="42">
        <f t="shared" si="1"/>
        <v>3345</v>
      </c>
    </row>
    <row r="14894" ht="22.5" customHeight="1">
      <c r="B14894" s="42" t="str">
        <f>IFERROR(__xludf.DUMMYFUNCTION("""COMPUTED_VALUE"""),"")</f>
        <v/>
      </c>
      <c r="C14894" s="42" t="str">
        <f>IFERROR(__xludf.DUMMYFUNCTION("""COMPUTED_VALUE"""),"")</f>
        <v/>
      </c>
      <c r="D14894" s="42"/>
      <c r="E14894" s="42"/>
      <c r="F14894" s="48" t="str">
        <f>IFERROR(__xludf.DUMMYFUNCTION("""COMPUTED_VALUE"""),"")</f>
        <v/>
      </c>
      <c r="G14894" s="42" t="str">
        <f>IFERROR(__xludf.DUMMYFUNCTION("""COMPUTED_VALUE"""),"")</f>
        <v/>
      </c>
      <c r="H14894" s="42">
        <f t="shared" si="1"/>
        <v>3345</v>
      </c>
    </row>
    <row r="14895" ht="22.5" customHeight="1">
      <c r="B14895" s="42" t="str">
        <f>IFERROR(__xludf.DUMMYFUNCTION("""COMPUTED_VALUE"""),"")</f>
        <v/>
      </c>
      <c r="C14895" s="42" t="str">
        <f>IFERROR(__xludf.DUMMYFUNCTION("""COMPUTED_VALUE"""),"")</f>
        <v/>
      </c>
      <c r="D14895" s="42"/>
      <c r="E14895" s="42"/>
      <c r="F14895" s="48" t="str">
        <f>IFERROR(__xludf.DUMMYFUNCTION("""COMPUTED_VALUE"""),"")</f>
        <v/>
      </c>
      <c r="G14895" s="42" t="str">
        <f>IFERROR(__xludf.DUMMYFUNCTION("""COMPUTED_VALUE"""),"")</f>
        <v/>
      </c>
      <c r="H14895" s="42">
        <f t="shared" si="1"/>
        <v>3345</v>
      </c>
    </row>
    <row r="14896" ht="22.5" customHeight="1">
      <c r="B14896" s="42" t="str">
        <f>IFERROR(__xludf.DUMMYFUNCTION("""COMPUTED_VALUE"""),"")</f>
        <v/>
      </c>
      <c r="C14896" s="42" t="str">
        <f>IFERROR(__xludf.DUMMYFUNCTION("""COMPUTED_VALUE"""),"")</f>
        <v/>
      </c>
      <c r="D14896" s="42"/>
      <c r="E14896" s="42"/>
      <c r="F14896" s="48" t="str">
        <f>IFERROR(__xludf.DUMMYFUNCTION("""COMPUTED_VALUE"""),"")</f>
        <v/>
      </c>
      <c r="G14896" s="42" t="str">
        <f>IFERROR(__xludf.DUMMYFUNCTION("""COMPUTED_VALUE"""),"")</f>
        <v/>
      </c>
      <c r="H14896" s="42">
        <f t="shared" si="1"/>
        <v>3345</v>
      </c>
    </row>
    <row r="14897" ht="22.5" customHeight="1">
      <c r="B14897" s="42" t="str">
        <f>IFERROR(__xludf.DUMMYFUNCTION("""COMPUTED_VALUE"""),"")</f>
        <v/>
      </c>
      <c r="C14897" s="42" t="str">
        <f>IFERROR(__xludf.DUMMYFUNCTION("""COMPUTED_VALUE"""),"")</f>
        <v/>
      </c>
      <c r="D14897" s="42"/>
      <c r="E14897" s="42"/>
      <c r="F14897" s="48" t="str">
        <f>IFERROR(__xludf.DUMMYFUNCTION("""COMPUTED_VALUE"""),"")</f>
        <v/>
      </c>
      <c r="G14897" s="42" t="str">
        <f>IFERROR(__xludf.DUMMYFUNCTION("""COMPUTED_VALUE"""),"")</f>
        <v/>
      </c>
      <c r="H14897" s="42">
        <f t="shared" si="1"/>
        <v>3345</v>
      </c>
    </row>
    <row r="14898" ht="22.5" customHeight="1">
      <c r="B14898" s="42" t="str">
        <f>IFERROR(__xludf.DUMMYFUNCTION("""COMPUTED_VALUE"""),"")</f>
        <v/>
      </c>
      <c r="C14898" s="42" t="str">
        <f>IFERROR(__xludf.DUMMYFUNCTION("""COMPUTED_VALUE"""),"")</f>
        <v/>
      </c>
      <c r="D14898" s="42"/>
      <c r="E14898" s="42"/>
      <c r="F14898" s="48" t="str">
        <f>IFERROR(__xludf.DUMMYFUNCTION("""COMPUTED_VALUE"""),"")</f>
        <v/>
      </c>
      <c r="G14898" s="42" t="str">
        <f>IFERROR(__xludf.DUMMYFUNCTION("""COMPUTED_VALUE"""),"")</f>
        <v/>
      </c>
      <c r="H14898" s="42">
        <f t="shared" si="1"/>
        <v>3345</v>
      </c>
    </row>
    <row r="14899" ht="22.5" customHeight="1">
      <c r="B14899" s="42" t="str">
        <f>IFERROR(__xludf.DUMMYFUNCTION("""COMPUTED_VALUE"""),"")</f>
        <v/>
      </c>
      <c r="C14899" s="42" t="str">
        <f>IFERROR(__xludf.DUMMYFUNCTION("""COMPUTED_VALUE"""),"")</f>
        <v/>
      </c>
      <c r="D14899" s="42"/>
      <c r="E14899" s="42"/>
      <c r="F14899" s="48" t="str">
        <f>IFERROR(__xludf.DUMMYFUNCTION("""COMPUTED_VALUE"""),"")</f>
        <v/>
      </c>
      <c r="G14899" s="42" t="str">
        <f>IFERROR(__xludf.DUMMYFUNCTION("""COMPUTED_VALUE"""),"")</f>
        <v/>
      </c>
      <c r="H14899" s="42">
        <f t="shared" si="1"/>
        <v>3345</v>
      </c>
    </row>
    <row r="14900" ht="22.5" customHeight="1">
      <c r="B14900" s="42" t="str">
        <f>IFERROR(__xludf.DUMMYFUNCTION("""COMPUTED_VALUE"""),"")</f>
        <v/>
      </c>
      <c r="C14900" s="42" t="str">
        <f>IFERROR(__xludf.DUMMYFUNCTION("""COMPUTED_VALUE"""),"")</f>
        <v/>
      </c>
      <c r="D14900" s="42"/>
      <c r="E14900" s="42"/>
      <c r="F14900" s="48" t="str">
        <f>IFERROR(__xludf.DUMMYFUNCTION("""COMPUTED_VALUE"""),"")</f>
        <v/>
      </c>
      <c r="G14900" s="42" t="str">
        <f>IFERROR(__xludf.DUMMYFUNCTION("""COMPUTED_VALUE"""),"")</f>
        <v/>
      </c>
      <c r="H14900" s="42">
        <f t="shared" si="1"/>
        <v>3345</v>
      </c>
    </row>
    <row r="14901" ht="22.5" customHeight="1">
      <c r="B14901" s="42" t="str">
        <f>IFERROR(__xludf.DUMMYFUNCTION("""COMPUTED_VALUE"""),"")</f>
        <v/>
      </c>
      <c r="C14901" s="42" t="str">
        <f>IFERROR(__xludf.DUMMYFUNCTION("""COMPUTED_VALUE"""),"")</f>
        <v/>
      </c>
      <c r="D14901" s="42"/>
      <c r="E14901" s="42"/>
      <c r="F14901" s="48" t="str">
        <f>IFERROR(__xludf.DUMMYFUNCTION("""COMPUTED_VALUE"""),"")</f>
        <v/>
      </c>
      <c r="G14901" s="42" t="str">
        <f>IFERROR(__xludf.DUMMYFUNCTION("""COMPUTED_VALUE"""),"")</f>
        <v/>
      </c>
      <c r="H14901" s="42">
        <f t="shared" si="1"/>
        <v>3345</v>
      </c>
    </row>
    <row r="14902" ht="22.5" customHeight="1">
      <c r="B14902" s="42" t="str">
        <f>IFERROR(__xludf.DUMMYFUNCTION("""COMPUTED_VALUE"""),"")</f>
        <v/>
      </c>
      <c r="C14902" s="42" t="str">
        <f>IFERROR(__xludf.DUMMYFUNCTION("""COMPUTED_VALUE"""),"")</f>
        <v/>
      </c>
      <c r="D14902" s="42"/>
      <c r="E14902" s="42"/>
      <c r="F14902" s="48" t="str">
        <f>IFERROR(__xludf.DUMMYFUNCTION("""COMPUTED_VALUE"""),"")</f>
        <v/>
      </c>
      <c r="G14902" s="42" t="str">
        <f>IFERROR(__xludf.DUMMYFUNCTION("""COMPUTED_VALUE"""),"")</f>
        <v/>
      </c>
      <c r="H14902" s="42">
        <f t="shared" si="1"/>
        <v>3345</v>
      </c>
    </row>
    <row r="14903" ht="22.5" customHeight="1">
      <c r="B14903" s="42" t="str">
        <f>IFERROR(__xludf.DUMMYFUNCTION("""COMPUTED_VALUE"""),"")</f>
        <v/>
      </c>
      <c r="C14903" s="42" t="str">
        <f>IFERROR(__xludf.DUMMYFUNCTION("""COMPUTED_VALUE"""),"")</f>
        <v/>
      </c>
      <c r="D14903" s="42"/>
      <c r="E14903" s="42"/>
      <c r="F14903" s="48" t="str">
        <f>IFERROR(__xludf.DUMMYFUNCTION("""COMPUTED_VALUE"""),"")</f>
        <v/>
      </c>
      <c r="G14903" s="42" t="str">
        <f>IFERROR(__xludf.DUMMYFUNCTION("""COMPUTED_VALUE"""),"")</f>
        <v/>
      </c>
      <c r="H14903" s="42">
        <f t="shared" si="1"/>
        <v>3345</v>
      </c>
    </row>
    <row r="14904" ht="22.5" customHeight="1">
      <c r="B14904" s="42" t="str">
        <f>IFERROR(__xludf.DUMMYFUNCTION("""COMPUTED_VALUE"""),"")</f>
        <v/>
      </c>
      <c r="C14904" s="42" t="str">
        <f>IFERROR(__xludf.DUMMYFUNCTION("""COMPUTED_VALUE"""),"")</f>
        <v/>
      </c>
      <c r="D14904" s="42"/>
      <c r="E14904" s="42"/>
      <c r="F14904" s="48" t="str">
        <f>IFERROR(__xludf.DUMMYFUNCTION("""COMPUTED_VALUE"""),"")</f>
        <v/>
      </c>
      <c r="G14904" s="42" t="str">
        <f>IFERROR(__xludf.DUMMYFUNCTION("""COMPUTED_VALUE"""),"")</f>
        <v/>
      </c>
      <c r="H14904" s="42">
        <f t="shared" si="1"/>
        <v>3345</v>
      </c>
    </row>
    <row r="14905" ht="22.5" customHeight="1">
      <c r="B14905" s="42" t="str">
        <f>IFERROR(__xludf.DUMMYFUNCTION("""COMPUTED_VALUE"""),"")</f>
        <v/>
      </c>
      <c r="C14905" s="42" t="str">
        <f>IFERROR(__xludf.DUMMYFUNCTION("""COMPUTED_VALUE"""),"")</f>
        <v/>
      </c>
      <c r="D14905" s="42"/>
      <c r="E14905" s="42"/>
      <c r="F14905" s="48" t="str">
        <f>IFERROR(__xludf.DUMMYFUNCTION("""COMPUTED_VALUE"""),"")</f>
        <v/>
      </c>
      <c r="G14905" s="42" t="str">
        <f>IFERROR(__xludf.DUMMYFUNCTION("""COMPUTED_VALUE"""),"")</f>
        <v/>
      </c>
      <c r="H14905" s="42">
        <f t="shared" si="1"/>
        <v>3345</v>
      </c>
    </row>
    <row r="14906" ht="22.5" customHeight="1">
      <c r="B14906" s="42" t="str">
        <f>IFERROR(__xludf.DUMMYFUNCTION("""COMPUTED_VALUE"""),"")</f>
        <v/>
      </c>
      <c r="C14906" s="42" t="str">
        <f>IFERROR(__xludf.DUMMYFUNCTION("""COMPUTED_VALUE"""),"")</f>
        <v/>
      </c>
      <c r="D14906" s="42"/>
      <c r="E14906" s="42"/>
      <c r="F14906" s="48" t="str">
        <f>IFERROR(__xludf.DUMMYFUNCTION("""COMPUTED_VALUE"""),"")</f>
        <v/>
      </c>
      <c r="G14906" s="42" t="str">
        <f>IFERROR(__xludf.DUMMYFUNCTION("""COMPUTED_VALUE"""),"")</f>
        <v/>
      </c>
      <c r="H14906" s="42">
        <f t="shared" si="1"/>
        <v>3345</v>
      </c>
    </row>
    <row r="14907" ht="22.5" customHeight="1">
      <c r="B14907" s="42" t="str">
        <f>IFERROR(__xludf.DUMMYFUNCTION("""COMPUTED_VALUE"""),"")</f>
        <v/>
      </c>
      <c r="C14907" s="42" t="str">
        <f>IFERROR(__xludf.DUMMYFUNCTION("""COMPUTED_VALUE"""),"")</f>
        <v/>
      </c>
      <c r="D14907" s="42"/>
      <c r="E14907" s="42"/>
      <c r="F14907" s="48" t="str">
        <f>IFERROR(__xludf.DUMMYFUNCTION("""COMPUTED_VALUE"""),"")</f>
        <v/>
      </c>
      <c r="G14907" s="42" t="str">
        <f>IFERROR(__xludf.DUMMYFUNCTION("""COMPUTED_VALUE"""),"")</f>
        <v/>
      </c>
      <c r="H14907" s="42">
        <f t="shared" si="1"/>
        <v>3345</v>
      </c>
    </row>
    <row r="14908" ht="22.5" customHeight="1">
      <c r="B14908" s="42" t="str">
        <f>IFERROR(__xludf.DUMMYFUNCTION("""COMPUTED_VALUE"""),"")</f>
        <v/>
      </c>
      <c r="C14908" s="42" t="str">
        <f>IFERROR(__xludf.DUMMYFUNCTION("""COMPUTED_VALUE"""),"")</f>
        <v/>
      </c>
      <c r="D14908" s="42"/>
      <c r="E14908" s="42"/>
      <c r="F14908" s="48" t="str">
        <f>IFERROR(__xludf.DUMMYFUNCTION("""COMPUTED_VALUE"""),"")</f>
        <v/>
      </c>
      <c r="G14908" s="42" t="str">
        <f>IFERROR(__xludf.DUMMYFUNCTION("""COMPUTED_VALUE"""),"")</f>
        <v/>
      </c>
      <c r="H14908" s="42">
        <f t="shared" si="1"/>
        <v>3345</v>
      </c>
    </row>
    <row r="14909" ht="22.5" customHeight="1">
      <c r="B14909" s="42" t="str">
        <f>IFERROR(__xludf.DUMMYFUNCTION("""COMPUTED_VALUE"""),"")</f>
        <v/>
      </c>
      <c r="C14909" s="42" t="str">
        <f>IFERROR(__xludf.DUMMYFUNCTION("""COMPUTED_VALUE"""),"")</f>
        <v/>
      </c>
      <c r="D14909" s="42"/>
      <c r="E14909" s="42"/>
      <c r="F14909" s="48" t="str">
        <f>IFERROR(__xludf.DUMMYFUNCTION("""COMPUTED_VALUE"""),"")</f>
        <v/>
      </c>
      <c r="G14909" s="42" t="str">
        <f>IFERROR(__xludf.DUMMYFUNCTION("""COMPUTED_VALUE"""),"")</f>
        <v/>
      </c>
      <c r="H14909" s="42">
        <f t="shared" si="1"/>
        <v>3345</v>
      </c>
    </row>
    <row r="14910" ht="22.5" customHeight="1">
      <c r="B14910" s="42" t="str">
        <f>IFERROR(__xludf.DUMMYFUNCTION("""COMPUTED_VALUE"""),"")</f>
        <v/>
      </c>
      <c r="C14910" s="42" t="str">
        <f>IFERROR(__xludf.DUMMYFUNCTION("""COMPUTED_VALUE"""),"")</f>
        <v/>
      </c>
      <c r="D14910" s="42"/>
      <c r="E14910" s="42"/>
      <c r="F14910" s="48" t="str">
        <f>IFERROR(__xludf.DUMMYFUNCTION("""COMPUTED_VALUE"""),"")</f>
        <v/>
      </c>
      <c r="G14910" s="42" t="str">
        <f>IFERROR(__xludf.DUMMYFUNCTION("""COMPUTED_VALUE"""),"")</f>
        <v/>
      </c>
      <c r="H14910" s="42">
        <f t="shared" si="1"/>
        <v>3345</v>
      </c>
    </row>
    <row r="14911" ht="22.5" customHeight="1">
      <c r="B14911" s="42" t="str">
        <f>IFERROR(__xludf.DUMMYFUNCTION("""COMPUTED_VALUE"""),"")</f>
        <v/>
      </c>
      <c r="C14911" s="42" t="str">
        <f>IFERROR(__xludf.DUMMYFUNCTION("""COMPUTED_VALUE"""),"")</f>
        <v/>
      </c>
      <c r="D14911" s="42"/>
      <c r="E14911" s="42"/>
      <c r="F14911" s="48" t="str">
        <f>IFERROR(__xludf.DUMMYFUNCTION("""COMPUTED_VALUE"""),"")</f>
        <v/>
      </c>
      <c r="G14911" s="42" t="str">
        <f>IFERROR(__xludf.DUMMYFUNCTION("""COMPUTED_VALUE"""),"")</f>
        <v/>
      </c>
      <c r="H14911" s="42">
        <f t="shared" si="1"/>
        <v>3345</v>
      </c>
    </row>
    <row r="14912" ht="22.5" customHeight="1">
      <c r="B14912" s="42" t="str">
        <f>IFERROR(__xludf.DUMMYFUNCTION("""COMPUTED_VALUE"""),"")</f>
        <v/>
      </c>
      <c r="C14912" s="42" t="str">
        <f>IFERROR(__xludf.DUMMYFUNCTION("""COMPUTED_VALUE"""),"")</f>
        <v/>
      </c>
      <c r="D14912" s="42"/>
      <c r="E14912" s="42"/>
      <c r="F14912" s="48" t="str">
        <f>IFERROR(__xludf.DUMMYFUNCTION("""COMPUTED_VALUE"""),"")</f>
        <v/>
      </c>
      <c r="G14912" s="42" t="str">
        <f>IFERROR(__xludf.DUMMYFUNCTION("""COMPUTED_VALUE"""),"")</f>
        <v/>
      </c>
      <c r="H14912" s="42">
        <f t="shared" si="1"/>
        <v>3345</v>
      </c>
    </row>
    <row r="14913" ht="22.5" customHeight="1">
      <c r="B14913" s="42" t="str">
        <f>IFERROR(__xludf.DUMMYFUNCTION("""COMPUTED_VALUE"""),"")</f>
        <v/>
      </c>
      <c r="C14913" s="42" t="str">
        <f>IFERROR(__xludf.DUMMYFUNCTION("""COMPUTED_VALUE"""),"")</f>
        <v/>
      </c>
      <c r="D14913" s="42"/>
      <c r="E14913" s="42"/>
      <c r="F14913" s="48" t="str">
        <f>IFERROR(__xludf.DUMMYFUNCTION("""COMPUTED_VALUE"""),"")</f>
        <v/>
      </c>
      <c r="G14913" s="42" t="str">
        <f>IFERROR(__xludf.DUMMYFUNCTION("""COMPUTED_VALUE"""),"")</f>
        <v/>
      </c>
      <c r="H14913" s="42">
        <f t="shared" si="1"/>
        <v>3345</v>
      </c>
    </row>
    <row r="14914" ht="22.5" customHeight="1">
      <c r="B14914" s="42" t="str">
        <f>IFERROR(__xludf.DUMMYFUNCTION("""COMPUTED_VALUE"""),"")</f>
        <v/>
      </c>
      <c r="C14914" s="42" t="str">
        <f>IFERROR(__xludf.DUMMYFUNCTION("""COMPUTED_VALUE"""),"")</f>
        <v/>
      </c>
      <c r="D14914" s="42"/>
      <c r="E14914" s="42"/>
      <c r="F14914" s="48" t="str">
        <f>IFERROR(__xludf.DUMMYFUNCTION("""COMPUTED_VALUE"""),"")</f>
        <v/>
      </c>
      <c r="G14914" s="42" t="str">
        <f>IFERROR(__xludf.DUMMYFUNCTION("""COMPUTED_VALUE"""),"")</f>
        <v/>
      </c>
      <c r="H14914" s="42">
        <f t="shared" si="1"/>
        <v>3345</v>
      </c>
    </row>
    <row r="14915" ht="22.5" customHeight="1">
      <c r="B14915" s="42" t="str">
        <f>IFERROR(__xludf.DUMMYFUNCTION("""COMPUTED_VALUE"""),"")</f>
        <v/>
      </c>
      <c r="C14915" s="42" t="str">
        <f>IFERROR(__xludf.DUMMYFUNCTION("""COMPUTED_VALUE"""),"")</f>
        <v/>
      </c>
      <c r="D14915" s="42"/>
      <c r="E14915" s="42"/>
      <c r="F14915" s="48" t="str">
        <f>IFERROR(__xludf.DUMMYFUNCTION("""COMPUTED_VALUE"""),"")</f>
        <v/>
      </c>
      <c r="G14915" s="42" t="str">
        <f>IFERROR(__xludf.DUMMYFUNCTION("""COMPUTED_VALUE"""),"")</f>
        <v/>
      </c>
      <c r="H14915" s="42">
        <f t="shared" si="1"/>
        <v>3345</v>
      </c>
    </row>
    <row r="14916" ht="22.5" customHeight="1">
      <c r="B14916" s="42" t="str">
        <f>IFERROR(__xludf.DUMMYFUNCTION("""COMPUTED_VALUE"""),"")</f>
        <v/>
      </c>
      <c r="C14916" s="42" t="str">
        <f>IFERROR(__xludf.DUMMYFUNCTION("""COMPUTED_VALUE"""),"")</f>
        <v/>
      </c>
      <c r="D14916" s="42"/>
      <c r="E14916" s="42"/>
      <c r="F14916" s="48" t="str">
        <f>IFERROR(__xludf.DUMMYFUNCTION("""COMPUTED_VALUE"""),"")</f>
        <v/>
      </c>
      <c r="G14916" s="42" t="str">
        <f>IFERROR(__xludf.DUMMYFUNCTION("""COMPUTED_VALUE"""),"")</f>
        <v/>
      </c>
      <c r="H14916" s="42">
        <f t="shared" si="1"/>
        <v>3345</v>
      </c>
    </row>
    <row r="14917" ht="22.5" customHeight="1">
      <c r="B14917" s="42" t="str">
        <f>IFERROR(__xludf.DUMMYFUNCTION("""COMPUTED_VALUE"""),"")</f>
        <v/>
      </c>
      <c r="C14917" s="42" t="str">
        <f>IFERROR(__xludf.DUMMYFUNCTION("""COMPUTED_VALUE"""),"")</f>
        <v/>
      </c>
      <c r="D14917" s="42"/>
      <c r="E14917" s="42"/>
      <c r="F14917" s="48" t="str">
        <f>IFERROR(__xludf.DUMMYFUNCTION("""COMPUTED_VALUE"""),"")</f>
        <v/>
      </c>
      <c r="G14917" s="42" t="str">
        <f>IFERROR(__xludf.DUMMYFUNCTION("""COMPUTED_VALUE"""),"")</f>
        <v/>
      </c>
      <c r="H14917" s="42">
        <f t="shared" si="1"/>
        <v>3345</v>
      </c>
    </row>
    <row r="14918" ht="22.5" customHeight="1">
      <c r="B14918" s="42" t="str">
        <f>IFERROR(__xludf.DUMMYFUNCTION("""COMPUTED_VALUE"""),"")</f>
        <v/>
      </c>
      <c r="C14918" s="42" t="str">
        <f>IFERROR(__xludf.DUMMYFUNCTION("""COMPUTED_VALUE"""),"")</f>
        <v/>
      </c>
      <c r="D14918" s="42"/>
      <c r="E14918" s="42"/>
      <c r="F14918" s="48" t="str">
        <f>IFERROR(__xludf.DUMMYFUNCTION("""COMPUTED_VALUE"""),"")</f>
        <v/>
      </c>
      <c r="G14918" s="42" t="str">
        <f>IFERROR(__xludf.DUMMYFUNCTION("""COMPUTED_VALUE"""),"")</f>
        <v/>
      </c>
      <c r="H14918" s="42">
        <f t="shared" si="1"/>
        <v>3345</v>
      </c>
    </row>
    <row r="14919" ht="22.5" customHeight="1">
      <c r="B14919" s="42" t="str">
        <f>IFERROR(__xludf.DUMMYFUNCTION("""COMPUTED_VALUE"""),"")</f>
        <v/>
      </c>
      <c r="C14919" s="42" t="str">
        <f>IFERROR(__xludf.DUMMYFUNCTION("""COMPUTED_VALUE"""),"")</f>
        <v/>
      </c>
      <c r="D14919" s="42"/>
      <c r="E14919" s="42"/>
      <c r="F14919" s="48" t="str">
        <f>IFERROR(__xludf.DUMMYFUNCTION("""COMPUTED_VALUE"""),"")</f>
        <v/>
      </c>
      <c r="G14919" s="42" t="str">
        <f>IFERROR(__xludf.DUMMYFUNCTION("""COMPUTED_VALUE"""),"")</f>
        <v/>
      </c>
      <c r="H14919" s="42">
        <f t="shared" si="1"/>
        <v>3345</v>
      </c>
    </row>
    <row r="14920" ht="22.5" customHeight="1">
      <c r="B14920" s="42" t="str">
        <f>IFERROR(__xludf.DUMMYFUNCTION("""COMPUTED_VALUE"""),"")</f>
        <v/>
      </c>
      <c r="C14920" s="42" t="str">
        <f>IFERROR(__xludf.DUMMYFUNCTION("""COMPUTED_VALUE"""),"")</f>
        <v/>
      </c>
      <c r="D14920" s="42"/>
      <c r="E14920" s="42"/>
      <c r="F14920" s="48" t="str">
        <f>IFERROR(__xludf.DUMMYFUNCTION("""COMPUTED_VALUE"""),"")</f>
        <v/>
      </c>
      <c r="G14920" s="42" t="str">
        <f>IFERROR(__xludf.DUMMYFUNCTION("""COMPUTED_VALUE"""),"")</f>
        <v/>
      </c>
      <c r="H14920" s="42">
        <f t="shared" si="1"/>
        <v>3345</v>
      </c>
    </row>
    <row r="14921" ht="22.5" customHeight="1">
      <c r="B14921" s="42" t="str">
        <f>IFERROR(__xludf.DUMMYFUNCTION("""COMPUTED_VALUE"""),"")</f>
        <v/>
      </c>
      <c r="C14921" s="42" t="str">
        <f>IFERROR(__xludf.DUMMYFUNCTION("""COMPUTED_VALUE"""),"")</f>
        <v/>
      </c>
      <c r="D14921" s="42"/>
      <c r="E14921" s="42"/>
      <c r="F14921" s="48" t="str">
        <f>IFERROR(__xludf.DUMMYFUNCTION("""COMPUTED_VALUE"""),"")</f>
        <v/>
      </c>
      <c r="G14921" s="42" t="str">
        <f>IFERROR(__xludf.DUMMYFUNCTION("""COMPUTED_VALUE"""),"")</f>
        <v/>
      </c>
      <c r="H14921" s="42">
        <f t="shared" si="1"/>
        <v>3345</v>
      </c>
    </row>
    <row r="14922" ht="22.5" customHeight="1">
      <c r="B14922" s="42" t="str">
        <f>IFERROR(__xludf.DUMMYFUNCTION("""COMPUTED_VALUE"""),"")</f>
        <v/>
      </c>
      <c r="C14922" s="42" t="str">
        <f>IFERROR(__xludf.DUMMYFUNCTION("""COMPUTED_VALUE"""),"")</f>
        <v/>
      </c>
      <c r="D14922" s="42"/>
      <c r="E14922" s="42"/>
      <c r="F14922" s="48" t="str">
        <f>IFERROR(__xludf.DUMMYFUNCTION("""COMPUTED_VALUE"""),"")</f>
        <v/>
      </c>
      <c r="G14922" s="42" t="str">
        <f>IFERROR(__xludf.DUMMYFUNCTION("""COMPUTED_VALUE"""),"")</f>
        <v/>
      </c>
      <c r="H14922" s="42">
        <f t="shared" si="1"/>
        <v>3345</v>
      </c>
    </row>
    <row r="14923" ht="22.5" customHeight="1">
      <c r="B14923" s="42" t="str">
        <f>IFERROR(__xludf.DUMMYFUNCTION("""COMPUTED_VALUE"""),"")</f>
        <v/>
      </c>
      <c r="C14923" s="42" t="str">
        <f>IFERROR(__xludf.DUMMYFUNCTION("""COMPUTED_VALUE"""),"")</f>
        <v/>
      </c>
      <c r="D14923" s="42"/>
      <c r="E14923" s="42"/>
      <c r="F14923" s="48" t="str">
        <f>IFERROR(__xludf.DUMMYFUNCTION("""COMPUTED_VALUE"""),"")</f>
        <v/>
      </c>
      <c r="G14923" s="42" t="str">
        <f>IFERROR(__xludf.DUMMYFUNCTION("""COMPUTED_VALUE"""),"")</f>
        <v/>
      </c>
      <c r="H14923" s="42">
        <f t="shared" si="1"/>
        <v>3345</v>
      </c>
    </row>
    <row r="14924" ht="22.5" customHeight="1">
      <c r="B14924" s="42" t="str">
        <f>IFERROR(__xludf.DUMMYFUNCTION("""COMPUTED_VALUE"""),"")</f>
        <v/>
      </c>
      <c r="C14924" s="42" t="str">
        <f>IFERROR(__xludf.DUMMYFUNCTION("""COMPUTED_VALUE"""),"")</f>
        <v/>
      </c>
      <c r="D14924" s="42"/>
      <c r="E14924" s="42"/>
      <c r="F14924" s="48" t="str">
        <f>IFERROR(__xludf.DUMMYFUNCTION("""COMPUTED_VALUE"""),"")</f>
        <v/>
      </c>
      <c r="G14924" s="42" t="str">
        <f>IFERROR(__xludf.DUMMYFUNCTION("""COMPUTED_VALUE"""),"")</f>
        <v/>
      </c>
      <c r="H14924" s="42">
        <f t="shared" si="1"/>
        <v>3345</v>
      </c>
    </row>
    <row r="14925" ht="22.5" customHeight="1">
      <c r="B14925" s="42" t="str">
        <f>IFERROR(__xludf.DUMMYFUNCTION("""COMPUTED_VALUE"""),"")</f>
        <v/>
      </c>
      <c r="C14925" s="42" t="str">
        <f>IFERROR(__xludf.DUMMYFUNCTION("""COMPUTED_VALUE"""),"")</f>
        <v/>
      </c>
      <c r="D14925" s="42"/>
      <c r="E14925" s="42"/>
      <c r="F14925" s="48" t="str">
        <f>IFERROR(__xludf.DUMMYFUNCTION("""COMPUTED_VALUE"""),"")</f>
        <v/>
      </c>
      <c r="G14925" s="42" t="str">
        <f>IFERROR(__xludf.DUMMYFUNCTION("""COMPUTED_VALUE"""),"")</f>
        <v/>
      </c>
      <c r="H14925" s="42">
        <f t="shared" si="1"/>
        <v>3345</v>
      </c>
    </row>
    <row r="14926" ht="22.5" customHeight="1">
      <c r="B14926" s="42" t="str">
        <f>IFERROR(__xludf.DUMMYFUNCTION("""COMPUTED_VALUE"""),"")</f>
        <v/>
      </c>
      <c r="C14926" s="42" t="str">
        <f>IFERROR(__xludf.DUMMYFUNCTION("""COMPUTED_VALUE"""),"")</f>
        <v/>
      </c>
      <c r="D14926" s="42"/>
      <c r="E14926" s="42"/>
      <c r="F14926" s="48" t="str">
        <f>IFERROR(__xludf.DUMMYFUNCTION("""COMPUTED_VALUE"""),"")</f>
        <v/>
      </c>
      <c r="G14926" s="42" t="str">
        <f>IFERROR(__xludf.DUMMYFUNCTION("""COMPUTED_VALUE"""),"")</f>
        <v/>
      </c>
      <c r="H14926" s="42">
        <f t="shared" si="1"/>
        <v>3345</v>
      </c>
    </row>
    <row r="14927" ht="22.5" customHeight="1">
      <c r="B14927" s="42" t="str">
        <f>IFERROR(__xludf.DUMMYFUNCTION("""COMPUTED_VALUE"""),"")</f>
        <v/>
      </c>
      <c r="C14927" s="42" t="str">
        <f>IFERROR(__xludf.DUMMYFUNCTION("""COMPUTED_VALUE"""),"")</f>
        <v/>
      </c>
      <c r="D14927" s="42"/>
      <c r="E14927" s="42"/>
      <c r="F14927" s="48" t="str">
        <f>IFERROR(__xludf.DUMMYFUNCTION("""COMPUTED_VALUE"""),"")</f>
        <v/>
      </c>
      <c r="G14927" s="42" t="str">
        <f>IFERROR(__xludf.DUMMYFUNCTION("""COMPUTED_VALUE"""),"")</f>
        <v/>
      </c>
      <c r="H14927" s="42">
        <f t="shared" si="1"/>
        <v>3345</v>
      </c>
    </row>
    <row r="14928" ht="22.5" customHeight="1">
      <c r="B14928" s="42" t="str">
        <f>IFERROR(__xludf.DUMMYFUNCTION("""COMPUTED_VALUE"""),"")</f>
        <v/>
      </c>
      <c r="C14928" s="42" t="str">
        <f>IFERROR(__xludf.DUMMYFUNCTION("""COMPUTED_VALUE"""),"")</f>
        <v/>
      </c>
      <c r="D14928" s="42"/>
      <c r="E14928" s="42"/>
      <c r="F14928" s="48" t="str">
        <f>IFERROR(__xludf.DUMMYFUNCTION("""COMPUTED_VALUE"""),"")</f>
        <v/>
      </c>
      <c r="G14928" s="42" t="str">
        <f>IFERROR(__xludf.DUMMYFUNCTION("""COMPUTED_VALUE"""),"")</f>
        <v/>
      </c>
      <c r="H14928" s="42">
        <f t="shared" si="1"/>
        <v>3345</v>
      </c>
    </row>
    <row r="14929" ht="22.5" customHeight="1">
      <c r="B14929" s="42" t="str">
        <f>IFERROR(__xludf.DUMMYFUNCTION("""COMPUTED_VALUE"""),"")</f>
        <v/>
      </c>
      <c r="C14929" s="42" t="str">
        <f>IFERROR(__xludf.DUMMYFUNCTION("""COMPUTED_VALUE"""),"")</f>
        <v/>
      </c>
      <c r="D14929" s="42"/>
      <c r="E14929" s="42"/>
      <c r="F14929" s="48" t="str">
        <f>IFERROR(__xludf.DUMMYFUNCTION("""COMPUTED_VALUE"""),"")</f>
        <v/>
      </c>
      <c r="G14929" s="42" t="str">
        <f>IFERROR(__xludf.DUMMYFUNCTION("""COMPUTED_VALUE"""),"")</f>
        <v/>
      </c>
      <c r="H14929" s="42">
        <f t="shared" si="1"/>
        <v>3345</v>
      </c>
    </row>
    <row r="14930" ht="22.5" customHeight="1">
      <c r="B14930" s="42" t="str">
        <f>IFERROR(__xludf.DUMMYFUNCTION("""COMPUTED_VALUE"""),"")</f>
        <v/>
      </c>
      <c r="C14930" s="42" t="str">
        <f>IFERROR(__xludf.DUMMYFUNCTION("""COMPUTED_VALUE"""),"")</f>
        <v/>
      </c>
      <c r="D14930" s="42"/>
      <c r="E14930" s="42"/>
      <c r="F14930" s="48" t="str">
        <f>IFERROR(__xludf.DUMMYFUNCTION("""COMPUTED_VALUE"""),"")</f>
        <v/>
      </c>
      <c r="G14930" s="42" t="str">
        <f>IFERROR(__xludf.DUMMYFUNCTION("""COMPUTED_VALUE"""),"")</f>
        <v/>
      </c>
      <c r="H14930" s="42">
        <f t="shared" si="1"/>
        <v>3345</v>
      </c>
    </row>
    <row r="14931" ht="22.5" customHeight="1">
      <c r="B14931" s="42" t="str">
        <f>IFERROR(__xludf.DUMMYFUNCTION("""COMPUTED_VALUE"""),"")</f>
        <v/>
      </c>
      <c r="C14931" s="42" t="str">
        <f>IFERROR(__xludf.DUMMYFUNCTION("""COMPUTED_VALUE"""),"")</f>
        <v/>
      </c>
      <c r="D14931" s="42"/>
      <c r="E14931" s="42"/>
      <c r="F14931" s="48" t="str">
        <f>IFERROR(__xludf.DUMMYFUNCTION("""COMPUTED_VALUE"""),"")</f>
        <v/>
      </c>
      <c r="G14931" s="42" t="str">
        <f>IFERROR(__xludf.DUMMYFUNCTION("""COMPUTED_VALUE"""),"")</f>
        <v/>
      </c>
      <c r="H14931" s="42">
        <f t="shared" si="1"/>
        <v>3345</v>
      </c>
    </row>
    <row r="14932" ht="22.5" customHeight="1">
      <c r="B14932" s="42" t="str">
        <f>IFERROR(__xludf.DUMMYFUNCTION("""COMPUTED_VALUE"""),"")</f>
        <v/>
      </c>
      <c r="C14932" s="42" t="str">
        <f>IFERROR(__xludf.DUMMYFUNCTION("""COMPUTED_VALUE"""),"")</f>
        <v/>
      </c>
      <c r="D14932" s="42"/>
      <c r="E14932" s="42"/>
      <c r="F14932" s="48" t="str">
        <f>IFERROR(__xludf.DUMMYFUNCTION("""COMPUTED_VALUE"""),"")</f>
        <v/>
      </c>
      <c r="G14932" s="42" t="str">
        <f>IFERROR(__xludf.DUMMYFUNCTION("""COMPUTED_VALUE"""),"")</f>
        <v/>
      </c>
      <c r="H14932" s="42">
        <f t="shared" si="1"/>
        <v>3345</v>
      </c>
    </row>
    <row r="14933" ht="22.5" customHeight="1">
      <c r="B14933" s="42" t="str">
        <f>IFERROR(__xludf.DUMMYFUNCTION("""COMPUTED_VALUE"""),"")</f>
        <v/>
      </c>
      <c r="C14933" s="42" t="str">
        <f>IFERROR(__xludf.DUMMYFUNCTION("""COMPUTED_VALUE"""),"")</f>
        <v/>
      </c>
      <c r="D14933" s="42"/>
      <c r="E14933" s="42"/>
      <c r="F14933" s="48" t="str">
        <f>IFERROR(__xludf.DUMMYFUNCTION("""COMPUTED_VALUE"""),"")</f>
        <v/>
      </c>
      <c r="G14933" s="42" t="str">
        <f>IFERROR(__xludf.DUMMYFUNCTION("""COMPUTED_VALUE"""),"")</f>
        <v/>
      </c>
      <c r="H14933" s="42">
        <f t="shared" si="1"/>
        <v>3345</v>
      </c>
    </row>
    <row r="14934" ht="22.5" customHeight="1">
      <c r="B14934" s="42" t="str">
        <f>IFERROR(__xludf.DUMMYFUNCTION("""COMPUTED_VALUE"""),"")</f>
        <v/>
      </c>
      <c r="C14934" s="42" t="str">
        <f>IFERROR(__xludf.DUMMYFUNCTION("""COMPUTED_VALUE"""),"")</f>
        <v/>
      </c>
      <c r="D14934" s="42"/>
      <c r="E14934" s="42"/>
      <c r="F14934" s="48" t="str">
        <f>IFERROR(__xludf.DUMMYFUNCTION("""COMPUTED_VALUE"""),"")</f>
        <v/>
      </c>
      <c r="G14934" s="42" t="str">
        <f>IFERROR(__xludf.DUMMYFUNCTION("""COMPUTED_VALUE"""),"")</f>
        <v/>
      </c>
      <c r="H14934" s="42">
        <f t="shared" si="1"/>
        <v>3345</v>
      </c>
    </row>
    <row r="14935" ht="22.5" customHeight="1">
      <c r="B14935" s="42" t="str">
        <f>IFERROR(__xludf.DUMMYFUNCTION("""COMPUTED_VALUE"""),"")</f>
        <v/>
      </c>
      <c r="C14935" s="42" t="str">
        <f>IFERROR(__xludf.DUMMYFUNCTION("""COMPUTED_VALUE"""),"")</f>
        <v/>
      </c>
      <c r="D14935" s="42"/>
      <c r="E14935" s="42"/>
      <c r="F14935" s="48" t="str">
        <f>IFERROR(__xludf.DUMMYFUNCTION("""COMPUTED_VALUE"""),"")</f>
        <v/>
      </c>
      <c r="G14935" s="42" t="str">
        <f>IFERROR(__xludf.DUMMYFUNCTION("""COMPUTED_VALUE"""),"")</f>
        <v/>
      </c>
      <c r="H14935" s="42">
        <f t="shared" si="1"/>
        <v>3345</v>
      </c>
    </row>
    <row r="14936" ht="22.5" customHeight="1">
      <c r="B14936" s="42" t="str">
        <f>IFERROR(__xludf.DUMMYFUNCTION("""COMPUTED_VALUE"""),"")</f>
        <v/>
      </c>
      <c r="C14936" s="42" t="str">
        <f>IFERROR(__xludf.DUMMYFUNCTION("""COMPUTED_VALUE"""),"")</f>
        <v/>
      </c>
      <c r="D14936" s="42"/>
      <c r="E14936" s="42"/>
      <c r="F14936" s="48" t="str">
        <f>IFERROR(__xludf.DUMMYFUNCTION("""COMPUTED_VALUE"""),"")</f>
        <v/>
      </c>
      <c r="G14936" s="42" t="str">
        <f>IFERROR(__xludf.DUMMYFUNCTION("""COMPUTED_VALUE"""),"")</f>
        <v/>
      </c>
      <c r="H14936" s="42">
        <f t="shared" si="1"/>
        <v>3345</v>
      </c>
    </row>
    <row r="14937" ht="22.5" customHeight="1">
      <c r="B14937" s="42" t="str">
        <f>IFERROR(__xludf.DUMMYFUNCTION("""COMPUTED_VALUE"""),"")</f>
        <v/>
      </c>
      <c r="C14937" s="42" t="str">
        <f>IFERROR(__xludf.DUMMYFUNCTION("""COMPUTED_VALUE"""),"")</f>
        <v/>
      </c>
      <c r="D14937" s="42"/>
      <c r="E14937" s="42"/>
      <c r="F14937" s="48" t="str">
        <f>IFERROR(__xludf.DUMMYFUNCTION("""COMPUTED_VALUE"""),"")</f>
        <v/>
      </c>
      <c r="G14937" s="42" t="str">
        <f>IFERROR(__xludf.DUMMYFUNCTION("""COMPUTED_VALUE"""),"")</f>
        <v/>
      </c>
      <c r="H14937" s="42">
        <f t="shared" si="1"/>
        <v>3345</v>
      </c>
    </row>
    <row r="14938" ht="22.5" customHeight="1">
      <c r="B14938" s="42" t="str">
        <f>IFERROR(__xludf.DUMMYFUNCTION("""COMPUTED_VALUE"""),"")</f>
        <v/>
      </c>
      <c r="C14938" s="42" t="str">
        <f>IFERROR(__xludf.DUMMYFUNCTION("""COMPUTED_VALUE"""),"")</f>
        <v/>
      </c>
      <c r="D14938" s="42"/>
      <c r="E14938" s="42"/>
      <c r="F14938" s="48" t="str">
        <f>IFERROR(__xludf.DUMMYFUNCTION("""COMPUTED_VALUE"""),"")</f>
        <v/>
      </c>
      <c r="G14938" s="42" t="str">
        <f>IFERROR(__xludf.DUMMYFUNCTION("""COMPUTED_VALUE"""),"")</f>
        <v/>
      </c>
      <c r="H14938" s="42">
        <f t="shared" si="1"/>
        <v>3345</v>
      </c>
    </row>
    <row r="14939" ht="22.5" customHeight="1">
      <c r="B14939" s="42" t="str">
        <f>IFERROR(__xludf.DUMMYFUNCTION("""COMPUTED_VALUE"""),"")</f>
        <v/>
      </c>
      <c r="C14939" s="42" t="str">
        <f>IFERROR(__xludf.DUMMYFUNCTION("""COMPUTED_VALUE"""),"")</f>
        <v/>
      </c>
      <c r="D14939" s="42"/>
      <c r="E14939" s="42"/>
      <c r="F14939" s="48" t="str">
        <f>IFERROR(__xludf.DUMMYFUNCTION("""COMPUTED_VALUE"""),"")</f>
        <v/>
      </c>
      <c r="G14939" s="42" t="str">
        <f>IFERROR(__xludf.DUMMYFUNCTION("""COMPUTED_VALUE"""),"")</f>
        <v/>
      </c>
      <c r="H14939" s="42">
        <f t="shared" si="1"/>
        <v>3345</v>
      </c>
    </row>
    <row r="14940" ht="22.5" customHeight="1">
      <c r="B14940" s="42" t="str">
        <f>IFERROR(__xludf.DUMMYFUNCTION("""COMPUTED_VALUE"""),"")</f>
        <v/>
      </c>
      <c r="C14940" s="42" t="str">
        <f>IFERROR(__xludf.DUMMYFUNCTION("""COMPUTED_VALUE"""),"")</f>
        <v/>
      </c>
      <c r="D14940" s="42"/>
      <c r="E14940" s="42"/>
      <c r="F14940" s="48" t="str">
        <f>IFERROR(__xludf.DUMMYFUNCTION("""COMPUTED_VALUE"""),"")</f>
        <v/>
      </c>
      <c r="G14940" s="42" t="str">
        <f>IFERROR(__xludf.DUMMYFUNCTION("""COMPUTED_VALUE"""),"")</f>
        <v/>
      </c>
      <c r="H14940" s="42">
        <f t="shared" si="1"/>
        <v>3345</v>
      </c>
    </row>
    <row r="14941" ht="22.5" customHeight="1">
      <c r="B14941" s="42" t="str">
        <f>IFERROR(__xludf.DUMMYFUNCTION("""COMPUTED_VALUE"""),"")</f>
        <v/>
      </c>
      <c r="C14941" s="42" t="str">
        <f>IFERROR(__xludf.DUMMYFUNCTION("""COMPUTED_VALUE"""),"")</f>
        <v/>
      </c>
      <c r="D14941" s="42"/>
      <c r="E14941" s="42"/>
      <c r="F14941" s="48" t="str">
        <f>IFERROR(__xludf.DUMMYFUNCTION("""COMPUTED_VALUE"""),"")</f>
        <v/>
      </c>
      <c r="G14941" s="42" t="str">
        <f>IFERROR(__xludf.DUMMYFUNCTION("""COMPUTED_VALUE"""),"")</f>
        <v/>
      </c>
      <c r="H14941" s="42">
        <f t="shared" si="1"/>
        <v>3345</v>
      </c>
    </row>
    <row r="14942" ht="22.5" customHeight="1">
      <c r="B14942" s="42" t="str">
        <f>IFERROR(__xludf.DUMMYFUNCTION("""COMPUTED_VALUE"""),"")</f>
        <v/>
      </c>
      <c r="C14942" s="42" t="str">
        <f>IFERROR(__xludf.DUMMYFUNCTION("""COMPUTED_VALUE"""),"")</f>
        <v/>
      </c>
      <c r="D14942" s="42"/>
      <c r="E14942" s="42"/>
      <c r="F14942" s="48" t="str">
        <f>IFERROR(__xludf.DUMMYFUNCTION("""COMPUTED_VALUE"""),"")</f>
        <v/>
      </c>
      <c r="G14942" s="42" t="str">
        <f>IFERROR(__xludf.DUMMYFUNCTION("""COMPUTED_VALUE"""),"")</f>
        <v/>
      </c>
      <c r="H14942" s="42">
        <f t="shared" si="1"/>
        <v>3345</v>
      </c>
    </row>
    <row r="14943" ht="22.5" customHeight="1">
      <c r="B14943" s="42" t="str">
        <f>IFERROR(__xludf.DUMMYFUNCTION("""COMPUTED_VALUE"""),"")</f>
        <v/>
      </c>
      <c r="C14943" s="42" t="str">
        <f>IFERROR(__xludf.DUMMYFUNCTION("""COMPUTED_VALUE"""),"")</f>
        <v/>
      </c>
      <c r="D14943" s="42"/>
      <c r="E14943" s="42"/>
      <c r="F14943" s="48" t="str">
        <f>IFERROR(__xludf.DUMMYFUNCTION("""COMPUTED_VALUE"""),"")</f>
        <v/>
      </c>
      <c r="G14943" s="42" t="str">
        <f>IFERROR(__xludf.DUMMYFUNCTION("""COMPUTED_VALUE"""),"")</f>
        <v/>
      </c>
      <c r="H14943" s="42">
        <f t="shared" si="1"/>
        <v>3345</v>
      </c>
    </row>
    <row r="14944" ht="22.5" customHeight="1">
      <c r="B14944" s="42" t="str">
        <f>IFERROR(__xludf.DUMMYFUNCTION("""COMPUTED_VALUE"""),"")</f>
        <v/>
      </c>
      <c r="C14944" s="42" t="str">
        <f>IFERROR(__xludf.DUMMYFUNCTION("""COMPUTED_VALUE"""),"")</f>
        <v/>
      </c>
      <c r="D14944" s="42"/>
      <c r="E14944" s="42"/>
      <c r="F14944" s="48" t="str">
        <f>IFERROR(__xludf.DUMMYFUNCTION("""COMPUTED_VALUE"""),"")</f>
        <v/>
      </c>
      <c r="G14944" s="42" t="str">
        <f>IFERROR(__xludf.DUMMYFUNCTION("""COMPUTED_VALUE"""),"")</f>
        <v/>
      </c>
      <c r="H14944" s="42">
        <f t="shared" si="1"/>
        <v>3345</v>
      </c>
    </row>
    <row r="14945" ht="22.5" customHeight="1">
      <c r="B14945" s="42" t="str">
        <f>IFERROR(__xludf.DUMMYFUNCTION("""COMPUTED_VALUE"""),"")</f>
        <v/>
      </c>
      <c r="C14945" s="42" t="str">
        <f>IFERROR(__xludf.DUMMYFUNCTION("""COMPUTED_VALUE"""),"")</f>
        <v/>
      </c>
      <c r="D14945" s="42"/>
      <c r="E14945" s="42"/>
      <c r="F14945" s="48" t="str">
        <f>IFERROR(__xludf.DUMMYFUNCTION("""COMPUTED_VALUE"""),"")</f>
        <v/>
      </c>
      <c r="G14945" s="42" t="str">
        <f>IFERROR(__xludf.DUMMYFUNCTION("""COMPUTED_VALUE"""),"")</f>
        <v/>
      </c>
      <c r="H14945" s="42">
        <f t="shared" si="1"/>
        <v>3345</v>
      </c>
    </row>
    <row r="14946" ht="22.5" customHeight="1">
      <c r="B14946" s="42" t="str">
        <f>IFERROR(__xludf.DUMMYFUNCTION("""COMPUTED_VALUE"""),"")</f>
        <v/>
      </c>
      <c r="C14946" s="42" t="str">
        <f>IFERROR(__xludf.DUMMYFUNCTION("""COMPUTED_VALUE"""),"")</f>
        <v/>
      </c>
      <c r="D14946" s="42"/>
      <c r="E14946" s="42"/>
      <c r="F14946" s="48" t="str">
        <f>IFERROR(__xludf.DUMMYFUNCTION("""COMPUTED_VALUE"""),"")</f>
        <v/>
      </c>
      <c r="G14946" s="42" t="str">
        <f>IFERROR(__xludf.DUMMYFUNCTION("""COMPUTED_VALUE"""),"")</f>
        <v/>
      </c>
      <c r="H14946" s="42">
        <f t="shared" si="1"/>
        <v>3345</v>
      </c>
    </row>
    <row r="14947" ht="22.5" customHeight="1">
      <c r="B14947" s="42" t="str">
        <f>IFERROR(__xludf.DUMMYFUNCTION("""COMPUTED_VALUE"""),"")</f>
        <v/>
      </c>
      <c r="C14947" s="42" t="str">
        <f>IFERROR(__xludf.DUMMYFUNCTION("""COMPUTED_VALUE"""),"")</f>
        <v/>
      </c>
      <c r="D14947" s="42"/>
      <c r="E14947" s="42"/>
      <c r="F14947" s="48" t="str">
        <f>IFERROR(__xludf.DUMMYFUNCTION("""COMPUTED_VALUE"""),"")</f>
        <v/>
      </c>
      <c r="G14947" s="42" t="str">
        <f>IFERROR(__xludf.DUMMYFUNCTION("""COMPUTED_VALUE"""),"")</f>
        <v/>
      </c>
      <c r="H14947" s="42">
        <f t="shared" si="1"/>
        <v>3345</v>
      </c>
    </row>
    <row r="14948" ht="22.5" customHeight="1">
      <c r="B14948" s="42" t="str">
        <f>IFERROR(__xludf.DUMMYFUNCTION("""COMPUTED_VALUE"""),"")</f>
        <v/>
      </c>
      <c r="C14948" s="42" t="str">
        <f>IFERROR(__xludf.DUMMYFUNCTION("""COMPUTED_VALUE"""),"")</f>
        <v/>
      </c>
      <c r="D14948" s="42"/>
      <c r="E14948" s="42"/>
      <c r="F14948" s="48" t="str">
        <f>IFERROR(__xludf.DUMMYFUNCTION("""COMPUTED_VALUE"""),"")</f>
        <v/>
      </c>
      <c r="G14948" s="42" t="str">
        <f>IFERROR(__xludf.DUMMYFUNCTION("""COMPUTED_VALUE"""),"")</f>
        <v/>
      </c>
      <c r="H14948" s="42">
        <f t="shared" si="1"/>
        <v>3345</v>
      </c>
    </row>
    <row r="14949" ht="22.5" customHeight="1">
      <c r="B14949" s="42" t="str">
        <f>IFERROR(__xludf.DUMMYFUNCTION("""COMPUTED_VALUE"""),"")</f>
        <v/>
      </c>
      <c r="C14949" s="42" t="str">
        <f>IFERROR(__xludf.DUMMYFUNCTION("""COMPUTED_VALUE"""),"")</f>
        <v/>
      </c>
      <c r="D14949" s="42"/>
      <c r="E14949" s="42"/>
      <c r="F14949" s="48" t="str">
        <f>IFERROR(__xludf.DUMMYFUNCTION("""COMPUTED_VALUE"""),"")</f>
        <v/>
      </c>
      <c r="G14949" s="42" t="str">
        <f>IFERROR(__xludf.DUMMYFUNCTION("""COMPUTED_VALUE"""),"")</f>
        <v/>
      </c>
      <c r="H14949" s="42">
        <f t="shared" si="1"/>
        <v>3345</v>
      </c>
    </row>
    <row r="14950" ht="22.5" customHeight="1">
      <c r="B14950" s="42" t="str">
        <f>IFERROR(__xludf.DUMMYFUNCTION("""COMPUTED_VALUE"""),"")</f>
        <v/>
      </c>
      <c r="C14950" s="42" t="str">
        <f>IFERROR(__xludf.DUMMYFUNCTION("""COMPUTED_VALUE"""),"")</f>
        <v/>
      </c>
      <c r="D14950" s="42"/>
      <c r="E14950" s="42"/>
      <c r="F14950" s="48" t="str">
        <f>IFERROR(__xludf.DUMMYFUNCTION("""COMPUTED_VALUE"""),"")</f>
        <v/>
      </c>
      <c r="G14950" s="42" t="str">
        <f>IFERROR(__xludf.DUMMYFUNCTION("""COMPUTED_VALUE"""),"")</f>
        <v/>
      </c>
      <c r="H14950" s="42">
        <f t="shared" si="1"/>
        <v>3345</v>
      </c>
    </row>
    <row r="14951" ht="22.5" customHeight="1">
      <c r="B14951" s="42" t="str">
        <f>IFERROR(__xludf.DUMMYFUNCTION("""COMPUTED_VALUE"""),"")</f>
        <v/>
      </c>
      <c r="C14951" s="42" t="str">
        <f>IFERROR(__xludf.DUMMYFUNCTION("""COMPUTED_VALUE"""),"")</f>
        <v/>
      </c>
      <c r="D14951" s="42"/>
      <c r="E14951" s="42"/>
      <c r="F14951" s="48" t="str">
        <f>IFERROR(__xludf.DUMMYFUNCTION("""COMPUTED_VALUE"""),"")</f>
        <v/>
      </c>
      <c r="G14951" s="42" t="str">
        <f>IFERROR(__xludf.DUMMYFUNCTION("""COMPUTED_VALUE"""),"")</f>
        <v/>
      </c>
      <c r="H14951" s="42">
        <f t="shared" si="1"/>
        <v>3345</v>
      </c>
    </row>
    <row r="14952" ht="22.5" customHeight="1">
      <c r="B14952" s="42" t="str">
        <f>IFERROR(__xludf.DUMMYFUNCTION("""COMPUTED_VALUE"""),"")</f>
        <v/>
      </c>
      <c r="C14952" s="42" t="str">
        <f>IFERROR(__xludf.DUMMYFUNCTION("""COMPUTED_VALUE"""),"")</f>
        <v/>
      </c>
      <c r="D14952" s="42"/>
      <c r="E14952" s="42"/>
      <c r="F14952" s="48" t="str">
        <f>IFERROR(__xludf.DUMMYFUNCTION("""COMPUTED_VALUE"""),"")</f>
        <v/>
      </c>
      <c r="G14952" s="42" t="str">
        <f>IFERROR(__xludf.DUMMYFUNCTION("""COMPUTED_VALUE"""),"")</f>
        <v/>
      </c>
      <c r="H14952" s="42">
        <f t="shared" si="1"/>
        <v>3345</v>
      </c>
    </row>
    <row r="14953" ht="22.5" customHeight="1">
      <c r="B14953" s="42" t="str">
        <f>IFERROR(__xludf.DUMMYFUNCTION("""COMPUTED_VALUE"""),"")</f>
        <v/>
      </c>
      <c r="C14953" s="42" t="str">
        <f>IFERROR(__xludf.DUMMYFUNCTION("""COMPUTED_VALUE"""),"")</f>
        <v/>
      </c>
      <c r="D14953" s="42"/>
      <c r="E14953" s="42"/>
      <c r="F14953" s="48" t="str">
        <f>IFERROR(__xludf.DUMMYFUNCTION("""COMPUTED_VALUE"""),"")</f>
        <v/>
      </c>
      <c r="G14953" s="42" t="str">
        <f>IFERROR(__xludf.DUMMYFUNCTION("""COMPUTED_VALUE"""),"")</f>
        <v/>
      </c>
      <c r="H14953" s="42">
        <f t="shared" si="1"/>
        <v>3345</v>
      </c>
    </row>
    <row r="14954" ht="22.5" customHeight="1">
      <c r="B14954" s="42" t="str">
        <f>IFERROR(__xludf.DUMMYFUNCTION("""COMPUTED_VALUE"""),"")</f>
        <v/>
      </c>
      <c r="C14954" s="42" t="str">
        <f>IFERROR(__xludf.DUMMYFUNCTION("""COMPUTED_VALUE"""),"")</f>
        <v/>
      </c>
      <c r="D14954" s="42"/>
      <c r="E14954" s="42"/>
      <c r="F14954" s="48" t="str">
        <f>IFERROR(__xludf.DUMMYFUNCTION("""COMPUTED_VALUE"""),"")</f>
        <v/>
      </c>
      <c r="G14954" s="42" t="str">
        <f>IFERROR(__xludf.DUMMYFUNCTION("""COMPUTED_VALUE"""),"")</f>
        <v/>
      </c>
      <c r="H14954" s="42">
        <f t="shared" si="1"/>
        <v>3345</v>
      </c>
    </row>
    <row r="14955" ht="22.5" customHeight="1">
      <c r="B14955" s="42" t="str">
        <f>IFERROR(__xludf.DUMMYFUNCTION("""COMPUTED_VALUE"""),"")</f>
        <v/>
      </c>
      <c r="C14955" s="42" t="str">
        <f>IFERROR(__xludf.DUMMYFUNCTION("""COMPUTED_VALUE"""),"")</f>
        <v/>
      </c>
      <c r="D14955" s="42"/>
      <c r="E14955" s="42"/>
      <c r="F14955" s="48" t="str">
        <f>IFERROR(__xludf.DUMMYFUNCTION("""COMPUTED_VALUE"""),"")</f>
        <v/>
      </c>
      <c r="G14955" s="42" t="str">
        <f>IFERROR(__xludf.DUMMYFUNCTION("""COMPUTED_VALUE"""),"")</f>
        <v/>
      </c>
      <c r="H14955" s="42">
        <f t="shared" si="1"/>
        <v>3345</v>
      </c>
    </row>
    <row r="14956" ht="22.5" customHeight="1">
      <c r="B14956" s="42" t="str">
        <f>IFERROR(__xludf.DUMMYFUNCTION("""COMPUTED_VALUE"""),"")</f>
        <v/>
      </c>
      <c r="C14956" s="42" t="str">
        <f>IFERROR(__xludf.DUMMYFUNCTION("""COMPUTED_VALUE"""),"")</f>
        <v/>
      </c>
      <c r="D14956" s="42"/>
      <c r="E14956" s="42"/>
      <c r="F14956" s="48" t="str">
        <f>IFERROR(__xludf.DUMMYFUNCTION("""COMPUTED_VALUE"""),"")</f>
        <v/>
      </c>
      <c r="G14956" s="42" t="str">
        <f>IFERROR(__xludf.DUMMYFUNCTION("""COMPUTED_VALUE"""),"")</f>
        <v/>
      </c>
      <c r="H14956" s="42">
        <f t="shared" si="1"/>
        <v>3345</v>
      </c>
    </row>
    <row r="14957" ht="22.5" customHeight="1">
      <c r="B14957" s="42" t="str">
        <f>IFERROR(__xludf.DUMMYFUNCTION("""COMPUTED_VALUE"""),"")</f>
        <v/>
      </c>
      <c r="C14957" s="42" t="str">
        <f>IFERROR(__xludf.DUMMYFUNCTION("""COMPUTED_VALUE"""),"")</f>
        <v/>
      </c>
      <c r="D14957" s="42"/>
      <c r="E14957" s="42"/>
      <c r="F14957" s="48" t="str">
        <f>IFERROR(__xludf.DUMMYFUNCTION("""COMPUTED_VALUE"""),"")</f>
        <v/>
      </c>
      <c r="G14957" s="42" t="str">
        <f>IFERROR(__xludf.DUMMYFUNCTION("""COMPUTED_VALUE"""),"")</f>
        <v/>
      </c>
      <c r="H14957" s="42">
        <f t="shared" si="1"/>
        <v>3345</v>
      </c>
    </row>
    <row r="14958" ht="22.5" customHeight="1">
      <c r="B14958" s="42" t="str">
        <f>IFERROR(__xludf.DUMMYFUNCTION("""COMPUTED_VALUE"""),"")</f>
        <v/>
      </c>
      <c r="C14958" s="42" t="str">
        <f>IFERROR(__xludf.DUMMYFUNCTION("""COMPUTED_VALUE"""),"")</f>
        <v/>
      </c>
      <c r="D14958" s="42"/>
      <c r="E14958" s="42"/>
      <c r="F14958" s="48" t="str">
        <f>IFERROR(__xludf.DUMMYFUNCTION("""COMPUTED_VALUE"""),"")</f>
        <v/>
      </c>
      <c r="G14958" s="42" t="str">
        <f>IFERROR(__xludf.DUMMYFUNCTION("""COMPUTED_VALUE"""),"")</f>
        <v/>
      </c>
      <c r="H14958" s="42">
        <f t="shared" si="1"/>
        <v>3345</v>
      </c>
    </row>
    <row r="14959" ht="22.5" customHeight="1">
      <c r="B14959" s="42" t="str">
        <f>IFERROR(__xludf.DUMMYFUNCTION("""COMPUTED_VALUE"""),"")</f>
        <v/>
      </c>
      <c r="C14959" s="42" t="str">
        <f>IFERROR(__xludf.DUMMYFUNCTION("""COMPUTED_VALUE"""),"")</f>
        <v/>
      </c>
      <c r="D14959" s="42"/>
      <c r="E14959" s="42"/>
      <c r="F14959" s="48" t="str">
        <f>IFERROR(__xludf.DUMMYFUNCTION("""COMPUTED_VALUE"""),"")</f>
        <v/>
      </c>
      <c r="G14959" s="42" t="str">
        <f>IFERROR(__xludf.DUMMYFUNCTION("""COMPUTED_VALUE"""),"")</f>
        <v/>
      </c>
      <c r="H14959" s="42">
        <f t="shared" si="1"/>
        <v>3345</v>
      </c>
    </row>
    <row r="14960" ht="22.5" customHeight="1">
      <c r="B14960" s="42" t="str">
        <f>IFERROR(__xludf.DUMMYFUNCTION("""COMPUTED_VALUE"""),"")</f>
        <v/>
      </c>
      <c r="C14960" s="42" t="str">
        <f>IFERROR(__xludf.DUMMYFUNCTION("""COMPUTED_VALUE"""),"")</f>
        <v/>
      </c>
      <c r="D14960" s="42"/>
      <c r="E14960" s="42"/>
      <c r="F14960" s="48" t="str">
        <f>IFERROR(__xludf.DUMMYFUNCTION("""COMPUTED_VALUE"""),"")</f>
        <v/>
      </c>
      <c r="G14960" s="42" t="str">
        <f>IFERROR(__xludf.DUMMYFUNCTION("""COMPUTED_VALUE"""),"")</f>
        <v/>
      </c>
      <c r="H14960" s="42">
        <f t="shared" si="1"/>
        <v>3345</v>
      </c>
    </row>
    <row r="14961" ht="22.5" customHeight="1">
      <c r="B14961" s="42" t="str">
        <f>IFERROR(__xludf.DUMMYFUNCTION("""COMPUTED_VALUE"""),"")</f>
        <v/>
      </c>
      <c r="C14961" s="42" t="str">
        <f>IFERROR(__xludf.DUMMYFUNCTION("""COMPUTED_VALUE"""),"")</f>
        <v/>
      </c>
      <c r="D14961" s="42"/>
      <c r="E14961" s="42"/>
      <c r="F14961" s="48" t="str">
        <f>IFERROR(__xludf.DUMMYFUNCTION("""COMPUTED_VALUE"""),"")</f>
        <v/>
      </c>
      <c r="G14961" s="42" t="str">
        <f>IFERROR(__xludf.DUMMYFUNCTION("""COMPUTED_VALUE"""),"")</f>
        <v/>
      </c>
      <c r="H14961" s="42">
        <f t="shared" si="1"/>
        <v>3345</v>
      </c>
    </row>
    <row r="14962" ht="22.5" customHeight="1">
      <c r="B14962" s="42" t="str">
        <f>IFERROR(__xludf.DUMMYFUNCTION("""COMPUTED_VALUE"""),"")</f>
        <v/>
      </c>
      <c r="C14962" s="42" t="str">
        <f>IFERROR(__xludf.DUMMYFUNCTION("""COMPUTED_VALUE"""),"")</f>
        <v/>
      </c>
      <c r="D14962" s="42"/>
      <c r="E14962" s="42"/>
      <c r="F14962" s="48" t="str">
        <f>IFERROR(__xludf.DUMMYFUNCTION("""COMPUTED_VALUE"""),"")</f>
        <v/>
      </c>
      <c r="G14962" s="42" t="str">
        <f>IFERROR(__xludf.DUMMYFUNCTION("""COMPUTED_VALUE"""),"")</f>
        <v/>
      </c>
      <c r="H14962" s="42">
        <f t="shared" si="1"/>
        <v>3345</v>
      </c>
    </row>
    <row r="14963" ht="22.5" customHeight="1">
      <c r="B14963" s="42" t="str">
        <f>IFERROR(__xludf.DUMMYFUNCTION("""COMPUTED_VALUE"""),"")</f>
        <v/>
      </c>
      <c r="C14963" s="42" t="str">
        <f>IFERROR(__xludf.DUMMYFUNCTION("""COMPUTED_VALUE"""),"")</f>
        <v/>
      </c>
      <c r="D14963" s="42"/>
      <c r="E14963" s="42"/>
      <c r="F14963" s="48" t="str">
        <f>IFERROR(__xludf.DUMMYFUNCTION("""COMPUTED_VALUE"""),"")</f>
        <v/>
      </c>
      <c r="G14963" s="42" t="str">
        <f>IFERROR(__xludf.DUMMYFUNCTION("""COMPUTED_VALUE"""),"")</f>
        <v/>
      </c>
      <c r="H14963" s="42">
        <f t="shared" si="1"/>
        <v>3345</v>
      </c>
    </row>
    <row r="14964" ht="22.5" customHeight="1">
      <c r="B14964" s="42" t="str">
        <f>IFERROR(__xludf.DUMMYFUNCTION("""COMPUTED_VALUE"""),"")</f>
        <v/>
      </c>
      <c r="C14964" s="42" t="str">
        <f>IFERROR(__xludf.DUMMYFUNCTION("""COMPUTED_VALUE"""),"")</f>
        <v/>
      </c>
      <c r="D14964" s="42"/>
      <c r="E14964" s="42"/>
      <c r="F14964" s="48" t="str">
        <f>IFERROR(__xludf.DUMMYFUNCTION("""COMPUTED_VALUE"""),"")</f>
        <v/>
      </c>
      <c r="G14964" s="42" t="str">
        <f>IFERROR(__xludf.DUMMYFUNCTION("""COMPUTED_VALUE"""),"")</f>
        <v/>
      </c>
      <c r="H14964" s="42">
        <f t="shared" si="1"/>
        <v>3345</v>
      </c>
    </row>
    <row r="14965" ht="22.5" customHeight="1">
      <c r="B14965" s="42" t="str">
        <f>IFERROR(__xludf.DUMMYFUNCTION("""COMPUTED_VALUE"""),"")</f>
        <v/>
      </c>
      <c r="C14965" s="42" t="str">
        <f>IFERROR(__xludf.DUMMYFUNCTION("""COMPUTED_VALUE"""),"")</f>
        <v/>
      </c>
      <c r="D14965" s="42"/>
      <c r="E14965" s="42"/>
      <c r="F14965" s="48" t="str">
        <f>IFERROR(__xludf.DUMMYFUNCTION("""COMPUTED_VALUE"""),"")</f>
        <v/>
      </c>
      <c r="G14965" s="42" t="str">
        <f>IFERROR(__xludf.DUMMYFUNCTION("""COMPUTED_VALUE"""),"")</f>
        <v/>
      </c>
      <c r="H14965" s="42">
        <f t="shared" si="1"/>
        <v>3345</v>
      </c>
    </row>
    <row r="14966" ht="22.5" customHeight="1">
      <c r="B14966" s="42" t="str">
        <f>IFERROR(__xludf.DUMMYFUNCTION("""COMPUTED_VALUE"""),"")</f>
        <v/>
      </c>
      <c r="C14966" s="42" t="str">
        <f>IFERROR(__xludf.DUMMYFUNCTION("""COMPUTED_VALUE"""),"")</f>
        <v/>
      </c>
      <c r="D14966" s="42"/>
      <c r="E14966" s="42"/>
      <c r="F14966" s="48" t="str">
        <f>IFERROR(__xludf.DUMMYFUNCTION("""COMPUTED_VALUE"""),"")</f>
        <v/>
      </c>
      <c r="G14966" s="42" t="str">
        <f>IFERROR(__xludf.DUMMYFUNCTION("""COMPUTED_VALUE"""),"")</f>
        <v/>
      </c>
      <c r="H14966" s="42">
        <f t="shared" si="1"/>
        <v>3345</v>
      </c>
    </row>
    <row r="14967" ht="22.5" customHeight="1">
      <c r="B14967" s="42" t="str">
        <f>IFERROR(__xludf.DUMMYFUNCTION("""COMPUTED_VALUE"""),"")</f>
        <v/>
      </c>
      <c r="C14967" s="42" t="str">
        <f>IFERROR(__xludf.DUMMYFUNCTION("""COMPUTED_VALUE"""),"")</f>
        <v/>
      </c>
      <c r="D14967" s="42"/>
      <c r="E14967" s="42"/>
      <c r="F14967" s="48" t="str">
        <f>IFERROR(__xludf.DUMMYFUNCTION("""COMPUTED_VALUE"""),"")</f>
        <v/>
      </c>
      <c r="G14967" s="42" t="str">
        <f>IFERROR(__xludf.DUMMYFUNCTION("""COMPUTED_VALUE"""),"")</f>
        <v/>
      </c>
      <c r="H14967" s="42">
        <f t="shared" si="1"/>
        <v>3345</v>
      </c>
    </row>
    <row r="14968" ht="22.5" customHeight="1">
      <c r="B14968" s="42" t="str">
        <f>IFERROR(__xludf.DUMMYFUNCTION("""COMPUTED_VALUE"""),"")</f>
        <v/>
      </c>
      <c r="C14968" s="42" t="str">
        <f>IFERROR(__xludf.DUMMYFUNCTION("""COMPUTED_VALUE"""),"")</f>
        <v/>
      </c>
      <c r="D14968" s="42"/>
      <c r="E14968" s="42"/>
      <c r="F14968" s="48" t="str">
        <f>IFERROR(__xludf.DUMMYFUNCTION("""COMPUTED_VALUE"""),"")</f>
        <v/>
      </c>
      <c r="G14968" s="42" t="str">
        <f>IFERROR(__xludf.DUMMYFUNCTION("""COMPUTED_VALUE"""),"")</f>
        <v/>
      </c>
      <c r="H14968" s="42">
        <f t="shared" si="1"/>
        <v>3345</v>
      </c>
    </row>
    <row r="14969" ht="22.5" customHeight="1">
      <c r="B14969" s="42" t="str">
        <f>IFERROR(__xludf.DUMMYFUNCTION("""COMPUTED_VALUE"""),"")</f>
        <v/>
      </c>
      <c r="C14969" s="42" t="str">
        <f>IFERROR(__xludf.DUMMYFUNCTION("""COMPUTED_VALUE"""),"")</f>
        <v/>
      </c>
      <c r="D14969" s="42"/>
      <c r="E14969" s="42"/>
      <c r="F14969" s="48" t="str">
        <f>IFERROR(__xludf.DUMMYFUNCTION("""COMPUTED_VALUE"""),"")</f>
        <v/>
      </c>
      <c r="G14969" s="42" t="str">
        <f>IFERROR(__xludf.DUMMYFUNCTION("""COMPUTED_VALUE"""),"")</f>
        <v/>
      </c>
      <c r="H14969" s="42">
        <f t="shared" si="1"/>
        <v>3345</v>
      </c>
    </row>
    <row r="14970" ht="22.5" customHeight="1">
      <c r="B14970" s="42" t="str">
        <f>IFERROR(__xludf.DUMMYFUNCTION("""COMPUTED_VALUE"""),"")</f>
        <v/>
      </c>
      <c r="C14970" s="42" t="str">
        <f>IFERROR(__xludf.DUMMYFUNCTION("""COMPUTED_VALUE"""),"")</f>
        <v/>
      </c>
      <c r="D14970" s="42"/>
      <c r="E14970" s="42"/>
      <c r="F14970" s="48" t="str">
        <f>IFERROR(__xludf.DUMMYFUNCTION("""COMPUTED_VALUE"""),"")</f>
        <v/>
      </c>
      <c r="G14970" s="42" t="str">
        <f>IFERROR(__xludf.DUMMYFUNCTION("""COMPUTED_VALUE"""),"")</f>
        <v/>
      </c>
      <c r="H14970" s="42">
        <f t="shared" si="1"/>
        <v>3345</v>
      </c>
    </row>
    <row r="14971" ht="22.5" customHeight="1">
      <c r="B14971" s="42" t="str">
        <f>IFERROR(__xludf.DUMMYFUNCTION("""COMPUTED_VALUE"""),"")</f>
        <v/>
      </c>
      <c r="C14971" s="42" t="str">
        <f>IFERROR(__xludf.DUMMYFUNCTION("""COMPUTED_VALUE"""),"")</f>
        <v/>
      </c>
      <c r="D14971" s="42"/>
      <c r="E14971" s="42"/>
      <c r="F14971" s="48" t="str">
        <f>IFERROR(__xludf.DUMMYFUNCTION("""COMPUTED_VALUE"""),"")</f>
        <v/>
      </c>
      <c r="G14971" s="42" t="str">
        <f>IFERROR(__xludf.DUMMYFUNCTION("""COMPUTED_VALUE"""),"")</f>
        <v/>
      </c>
      <c r="H14971" s="42">
        <f t="shared" si="1"/>
        <v>3345</v>
      </c>
    </row>
    <row r="14972" ht="22.5" customHeight="1">
      <c r="B14972" s="42" t="str">
        <f>IFERROR(__xludf.DUMMYFUNCTION("""COMPUTED_VALUE"""),"")</f>
        <v/>
      </c>
      <c r="C14972" s="42" t="str">
        <f>IFERROR(__xludf.DUMMYFUNCTION("""COMPUTED_VALUE"""),"")</f>
        <v/>
      </c>
      <c r="D14972" s="42"/>
      <c r="E14972" s="42"/>
      <c r="F14972" s="48" t="str">
        <f>IFERROR(__xludf.DUMMYFUNCTION("""COMPUTED_VALUE"""),"")</f>
        <v/>
      </c>
      <c r="G14972" s="42" t="str">
        <f>IFERROR(__xludf.DUMMYFUNCTION("""COMPUTED_VALUE"""),"")</f>
        <v/>
      </c>
      <c r="H14972" s="42">
        <f t="shared" si="1"/>
        <v>3345</v>
      </c>
    </row>
    <row r="14973" ht="22.5" customHeight="1">
      <c r="B14973" s="42" t="str">
        <f>IFERROR(__xludf.DUMMYFUNCTION("""COMPUTED_VALUE"""),"")</f>
        <v/>
      </c>
      <c r="C14973" s="42" t="str">
        <f>IFERROR(__xludf.DUMMYFUNCTION("""COMPUTED_VALUE"""),"")</f>
        <v/>
      </c>
      <c r="D14973" s="42"/>
      <c r="E14973" s="42"/>
      <c r="F14973" s="48" t="str">
        <f>IFERROR(__xludf.DUMMYFUNCTION("""COMPUTED_VALUE"""),"")</f>
        <v/>
      </c>
      <c r="G14973" s="42" t="str">
        <f>IFERROR(__xludf.DUMMYFUNCTION("""COMPUTED_VALUE"""),"")</f>
        <v/>
      </c>
      <c r="H14973" s="42">
        <f t="shared" si="1"/>
        <v>3345</v>
      </c>
    </row>
    <row r="14974" ht="22.5" customHeight="1">
      <c r="B14974" s="42" t="str">
        <f>IFERROR(__xludf.DUMMYFUNCTION("""COMPUTED_VALUE"""),"")</f>
        <v/>
      </c>
      <c r="C14974" s="42" t="str">
        <f>IFERROR(__xludf.DUMMYFUNCTION("""COMPUTED_VALUE"""),"")</f>
        <v/>
      </c>
      <c r="D14974" s="42"/>
      <c r="E14974" s="42"/>
      <c r="F14974" s="48" t="str">
        <f>IFERROR(__xludf.DUMMYFUNCTION("""COMPUTED_VALUE"""),"")</f>
        <v/>
      </c>
      <c r="G14974" s="42" t="str">
        <f>IFERROR(__xludf.DUMMYFUNCTION("""COMPUTED_VALUE"""),"")</f>
        <v/>
      </c>
      <c r="H14974" s="42">
        <f t="shared" si="1"/>
        <v>3345</v>
      </c>
    </row>
    <row r="14975" ht="22.5" customHeight="1">
      <c r="B14975" s="42" t="str">
        <f>IFERROR(__xludf.DUMMYFUNCTION("""COMPUTED_VALUE"""),"")</f>
        <v/>
      </c>
      <c r="C14975" s="42" t="str">
        <f>IFERROR(__xludf.DUMMYFUNCTION("""COMPUTED_VALUE"""),"")</f>
        <v/>
      </c>
      <c r="D14975" s="42"/>
      <c r="E14975" s="42"/>
      <c r="F14975" s="48" t="str">
        <f>IFERROR(__xludf.DUMMYFUNCTION("""COMPUTED_VALUE"""),"")</f>
        <v/>
      </c>
      <c r="G14975" s="42" t="str">
        <f>IFERROR(__xludf.DUMMYFUNCTION("""COMPUTED_VALUE"""),"")</f>
        <v/>
      </c>
      <c r="H14975" s="42">
        <f t="shared" si="1"/>
        <v>3345</v>
      </c>
    </row>
    <row r="14976" ht="22.5" customHeight="1">
      <c r="B14976" s="42" t="str">
        <f>IFERROR(__xludf.DUMMYFUNCTION("""COMPUTED_VALUE"""),"")</f>
        <v/>
      </c>
      <c r="C14976" s="42" t="str">
        <f>IFERROR(__xludf.DUMMYFUNCTION("""COMPUTED_VALUE"""),"")</f>
        <v/>
      </c>
      <c r="D14976" s="42"/>
      <c r="E14976" s="42"/>
      <c r="F14976" s="48" t="str">
        <f>IFERROR(__xludf.DUMMYFUNCTION("""COMPUTED_VALUE"""),"")</f>
        <v/>
      </c>
      <c r="G14976" s="42" t="str">
        <f>IFERROR(__xludf.DUMMYFUNCTION("""COMPUTED_VALUE"""),"")</f>
        <v/>
      </c>
      <c r="H14976" s="42">
        <f t="shared" si="1"/>
        <v>3345</v>
      </c>
    </row>
    <row r="14977" ht="22.5" customHeight="1">
      <c r="B14977" s="42" t="str">
        <f>IFERROR(__xludf.DUMMYFUNCTION("""COMPUTED_VALUE"""),"")</f>
        <v/>
      </c>
      <c r="C14977" s="42" t="str">
        <f>IFERROR(__xludf.DUMMYFUNCTION("""COMPUTED_VALUE"""),"")</f>
        <v/>
      </c>
      <c r="D14977" s="42"/>
      <c r="E14977" s="42"/>
      <c r="F14977" s="48" t="str">
        <f>IFERROR(__xludf.DUMMYFUNCTION("""COMPUTED_VALUE"""),"")</f>
        <v/>
      </c>
      <c r="G14977" s="42" t="str">
        <f>IFERROR(__xludf.DUMMYFUNCTION("""COMPUTED_VALUE"""),"")</f>
        <v/>
      </c>
      <c r="H14977" s="42">
        <f t="shared" si="1"/>
        <v>3345</v>
      </c>
    </row>
    <row r="14978" ht="22.5" customHeight="1">
      <c r="B14978" s="42" t="str">
        <f>IFERROR(__xludf.DUMMYFUNCTION("""COMPUTED_VALUE"""),"")</f>
        <v/>
      </c>
      <c r="C14978" s="42" t="str">
        <f>IFERROR(__xludf.DUMMYFUNCTION("""COMPUTED_VALUE"""),"")</f>
        <v/>
      </c>
      <c r="D14978" s="42"/>
      <c r="E14978" s="42"/>
      <c r="F14978" s="48" t="str">
        <f>IFERROR(__xludf.DUMMYFUNCTION("""COMPUTED_VALUE"""),"")</f>
        <v/>
      </c>
      <c r="G14978" s="42" t="str">
        <f>IFERROR(__xludf.DUMMYFUNCTION("""COMPUTED_VALUE"""),"")</f>
        <v/>
      </c>
      <c r="H14978" s="42">
        <f t="shared" si="1"/>
        <v>3345</v>
      </c>
    </row>
    <row r="14979" ht="22.5" customHeight="1">
      <c r="B14979" s="42" t="str">
        <f>IFERROR(__xludf.DUMMYFUNCTION("""COMPUTED_VALUE"""),"")</f>
        <v/>
      </c>
      <c r="C14979" s="42" t="str">
        <f>IFERROR(__xludf.DUMMYFUNCTION("""COMPUTED_VALUE"""),"")</f>
        <v/>
      </c>
      <c r="D14979" s="42"/>
      <c r="E14979" s="42"/>
      <c r="F14979" s="48" t="str">
        <f>IFERROR(__xludf.DUMMYFUNCTION("""COMPUTED_VALUE"""),"")</f>
        <v/>
      </c>
      <c r="G14979" s="42" t="str">
        <f>IFERROR(__xludf.DUMMYFUNCTION("""COMPUTED_VALUE"""),"")</f>
        <v/>
      </c>
      <c r="H14979" s="42">
        <f t="shared" si="1"/>
        <v>3345</v>
      </c>
    </row>
    <row r="14980" ht="22.5" customHeight="1">
      <c r="B14980" s="42" t="str">
        <f>IFERROR(__xludf.DUMMYFUNCTION("""COMPUTED_VALUE"""),"")</f>
        <v/>
      </c>
      <c r="C14980" s="42" t="str">
        <f>IFERROR(__xludf.DUMMYFUNCTION("""COMPUTED_VALUE"""),"")</f>
        <v/>
      </c>
      <c r="D14980" s="42"/>
      <c r="E14980" s="42"/>
      <c r="F14980" s="48" t="str">
        <f>IFERROR(__xludf.DUMMYFUNCTION("""COMPUTED_VALUE"""),"")</f>
        <v/>
      </c>
      <c r="G14980" s="42" t="str">
        <f>IFERROR(__xludf.DUMMYFUNCTION("""COMPUTED_VALUE"""),"")</f>
        <v/>
      </c>
      <c r="H14980" s="42">
        <f t="shared" si="1"/>
        <v>3345</v>
      </c>
    </row>
    <row r="14981" ht="22.5" customHeight="1">
      <c r="B14981" s="42" t="str">
        <f>IFERROR(__xludf.DUMMYFUNCTION("""COMPUTED_VALUE"""),"")</f>
        <v/>
      </c>
      <c r="C14981" s="42" t="str">
        <f>IFERROR(__xludf.DUMMYFUNCTION("""COMPUTED_VALUE"""),"")</f>
        <v/>
      </c>
      <c r="D14981" s="42"/>
      <c r="E14981" s="42"/>
      <c r="F14981" s="48" t="str">
        <f>IFERROR(__xludf.DUMMYFUNCTION("""COMPUTED_VALUE"""),"")</f>
        <v/>
      </c>
      <c r="G14981" s="42" t="str">
        <f>IFERROR(__xludf.DUMMYFUNCTION("""COMPUTED_VALUE"""),"")</f>
        <v/>
      </c>
      <c r="H14981" s="42">
        <f t="shared" si="1"/>
        <v>3345</v>
      </c>
    </row>
    <row r="14982" ht="22.5" customHeight="1">
      <c r="B14982" s="42" t="str">
        <f>IFERROR(__xludf.DUMMYFUNCTION("""COMPUTED_VALUE"""),"")</f>
        <v/>
      </c>
      <c r="C14982" s="42" t="str">
        <f>IFERROR(__xludf.DUMMYFUNCTION("""COMPUTED_VALUE"""),"")</f>
        <v/>
      </c>
      <c r="D14982" s="42"/>
      <c r="E14982" s="42"/>
      <c r="F14982" s="48" t="str">
        <f>IFERROR(__xludf.DUMMYFUNCTION("""COMPUTED_VALUE"""),"")</f>
        <v/>
      </c>
      <c r="G14982" s="42" t="str">
        <f>IFERROR(__xludf.DUMMYFUNCTION("""COMPUTED_VALUE"""),"")</f>
        <v/>
      </c>
      <c r="H14982" s="42">
        <f t="shared" si="1"/>
        <v>3345</v>
      </c>
    </row>
    <row r="14983" ht="22.5" customHeight="1">
      <c r="B14983" s="42" t="str">
        <f>IFERROR(__xludf.DUMMYFUNCTION("""COMPUTED_VALUE"""),"")</f>
        <v/>
      </c>
      <c r="C14983" s="42" t="str">
        <f>IFERROR(__xludf.DUMMYFUNCTION("""COMPUTED_VALUE"""),"")</f>
        <v/>
      </c>
      <c r="D14983" s="42"/>
      <c r="E14983" s="42"/>
      <c r="F14983" s="48" t="str">
        <f>IFERROR(__xludf.DUMMYFUNCTION("""COMPUTED_VALUE"""),"")</f>
        <v/>
      </c>
      <c r="G14983" s="42" t="str">
        <f>IFERROR(__xludf.DUMMYFUNCTION("""COMPUTED_VALUE"""),"")</f>
        <v/>
      </c>
      <c r="H14983" s="42">
        <f t="shared" si="1"/>
        <v>3345</v>
      </c>
    </row>
    <row r="14984" ht="22.5" customHeight="1">
      <c r="B14984" s="42" t="str">
        <f>IFERROR(__xludf.DUMMYFUNCTION("""COMPUTED_VALUE"""),"")</f>
        <v/>
      </c>
      <c r="C14984" s="42" t="str">
        <f>IFERROR(__xludf.DUMMYFUNCTION("""COMPUTED_VALUE"""),"")</f>
        <v/>
      </c>
      <c r="D14984" s="42"/>
      <c r="E14984" s="42"/>
      <c r="F14984" s="48" t="str">
        <f>IFERROR(__xludf.DUMMYFUNCTION("""COMPUTED_VALUE"""),"")</f>
        <v/>
      </c>
      <c r="G14984" s="42" t="str">
        <f>IFERROR(__xludf.DUMMYFUNCTION("""COMPUTED_VALUE"""),"")</f>
        <v/>
      </c>
      <c r="H14984" s="42">
        <f t="shared" si="1"/>
        <v>3345</v>
      </c>
    </row>
    <row r="14985" ht="22.5" customHeight="1">
      <c r="B14985" s="42" t="str">
        <f>IFERROR(__xludf.DUMMYFUNCTION("""COMPUTED_VALUE"""),"")</f>
        <v/>
      </c>
      <c r="C14985" s="42" t="str">
        <f>IFERROR(__xludf.DUMMYFUNCTION("""COMPUTED_VALUE"""),"")</f>
        <v/>
      </c>
      <c r="D14985" s="42"/>
      <c r="E14985" s="42"/>
      <c r="F14985" s="48" t="str">
        <f>IFERROR(__xludf.DUMMYFUNCTION("""COMPUTED_VALUE"""),"")</f>
        <v/>
      </c>
      <c r="G14985" s="42" t="str">
        <f>IFERROR(__xludf.DUMMYFUNCTION("""COMPUTED_VALUE"""),"")</f>
        <v/>
      </c>
      <c r="H14985" s="42">
        <f t="shared" si="1"/>
        <v>3345</v>
      </c>
    </row>
    <row r="14986" ht="22.5" customHeight="1">
      <c r="B14986" s="42" t="str">
        <f>IFERROR(__xludf.DUMMYFUNCTION("""COMPUTED_VALUE"""),"")</f>
        <v/>
      </c>
      <c r="C14986" s="42" t="str">
        <f>IFERROR(__xludf.DUMMYFUNCTION("""COMPUTED_VALUE"""),"")</f>
        <v/>
      </c>
      <c r="D14986" s="42"/>
      <c r="E14986" s="42"/>
      <c r="F14986" s="48" t="str">
        <f>IFERROR(__xludf.DUMMYFUNCTION("""COMPUTED_VALUE"""),"")</f>
        <v/>
      </c>
      <c r="G14986" s="42" t="str">
        <f>IFERROR(__xludf.DUMMYFUNCTION("""COMPUTED_VALUE"""),"")</f>
        <v/>
      </c>
      <c r="H14986" s="42">
        <f t="shared" si="1"/>
        <v>3345</v>
      </c>
    </row>
    <row r="14987" ht="22.5" customHeight="1">
      <c r="B14987" s="42" t="str">
        <f>IFERROR(__xludf.DUMMYFUNCTION("""COMPUTED_VALUE"""),"")</f>
        <v/>
      </c>
      <c r="C14987" s="42" t="str">
        <f>IFERROR(__xludf.DUMMYFUNCTION("""COMPUTED_VALUE"""),"")</f>
        <v/>
      </c>
      <c r="D14987" s="42"/>
      <c r="E14987" s="42"/>
      <c r="F14987" s="48" t="str">
        <f>IFERROR(__xludf.DUMMYFUNCTION("""COMPUTED_VALUE"""),"")</f>
        <v/>
      </c>
      <c r="G14987" s="42" t="str">
        <f>IFERROR(__xludf.DUMMYFUNCTION("""COMPUTED_VALUE"""),"")</f>
        <v/>
      </c>
      <c r="H14987" s="42">
        <f t="shared" si="1"/>
        <v>3345</v>
      </c>
    </row>
    <row r="14988" ht="22.5" customHeight="1">
      <c r="B14988" s="42" t="str">
        <f>IFERROR(__xludf.DUMMYFUNCTION("""COMPUTED_VALUE"""),"")</f>
        <v/>
      </c>
      <c r="C14988" s="42" t="str">
        <f>IFERROR(__xludf.DUMMYFUNCTION("""COMPUTED_VALUE"""),"")</f>
        <v/>
      </c>
      <c r="D14988" s="42"/>
      <c r="E14988" s="42"/>
      <c r="F14988" s="48" t="str">
        <f>IFERROR(__xludf.DUMMYFUNCTION("""COMPUTED_VALUE"""),"")</f>
        <v/>
      </c>
      <c r="G14988" s="42" t="str">
        <f>IFERROR(__xludf.DUMMYFUNCTION("""COMPUTED_VALUE"""),"")</f>
        <v/>
      </c>
      <c r="H14988" s="42">
        <f t="shared" si="1"/>
        <v>3345</v>
      </c>
    </row>
    <row r="14989" ht="22.5" customHeight="1">
      <c r="B14989" s="42" t="str">
        <f>IFERROR(__xludf.DUMMYFUNCTION("""COMPUTED_VALUE"""),"")</f>
        <v/>
      </c>
      <c r="C14989" s="42" t="str">
        <f>IFERROR(__xludf.DUMMYFUNCTION("""COMPUTED_VALUE"""),"")</f>
        <v/>
      </c>
      <c r="D14989" s="42"/>
      <c r="E14989" s="42"/>
      <c r="F14989" s="48" t="str">
        <f>IFERROR(__xludf.DUMMYFUNCTION("""COMPUTED_VALUE"""),"")</f>
        <v/>
      </c>
      <c r="G14989" s="42" t="str">
        <f>IFERROR(__xludf.DUMMYFUNCTION("""COMPUTED_VALUE"""),"")</f>
        <v/>
      </c>
      <c r="H14989" s="42">
        <f t="shared" si="1"/>
        <v>3345</v>
      </c>
    </row>
    <row r="14990" ht="22.5" customHeight="1">
      <c r="B14990" s="42" t="str">
        <f>IFERROR(__xludf.DUMMYFUNCTION("""COMPUTED_VALUE"""),"")</f>
        <v/>
      </c>
      <c r="C14990" s="42" t="str">
        <f>IFERROR(__xludf.DUMMYFUNCTION("""COMPUTED_VALUE"""),"")</f>
        <v/>
      </c>
      <c r="D14990" s="42"/>
      <c r="E14990" s="42"/>
      <c r="F14990" s="48" t="str">
        <f>IFERROR(__xludf.DUMMYFUNCTION("""COMPUTED_VALUE"""),"")</f>
        <v/>
      </c>
      <c r="G14990" s="42" t="str">
        <f>IFERROR(__xludf.DUMMYFUNCTION("""COMPUTED_VALUE"""),"")</f>
        <v/>
      </c>
      <c r="H14990" s="42">
        <f t="shared" si="1"/>
        <v>3345</v>
      </c>
    </row>
    <row r="14991" ht="22.5" customHeight="1">
      <c r="B14991" s="42" t="str">
        <f>IFERROR(__xludf.DUMMYFUNCTION("""COMPUTED_VALUE"""),"")</f>
        <v/>
      </c>
      <c r="C14991" s="42" t="str">
        <f>IFERROR(__xludf.DUMMYFUNCTION("""COMPUTED_VALUE"""),"")</f>
        <v/>
      </c>
      <c r="D14991" s="42"/>
      <c r="E14991" s="42"/>
      <c r="F14991" s="48" t="str">
        <f>IFERROR(__xludf.DUMMYFUNCTION("""COMPUTED_VALUE"""),"")</f>
        <v/>
      </c>
      <c r="G14991" s="42" t="str">
        <f>IFERROR(__xludf.DUMMYFUNCTION("""COMPUTED_VALUE"""),"")</f>
        <v/>
      </c>
      <c r="H14991" s="42">
        <f t="shared" si="1"/>
        <v>3345</v>
      </c>
    </row>
    <row r="14992" ht="22.5" customHeight="1">
      <c r="B14992" s="42" t="str">
        <f>IFERROR(__xludf.DUMMYFUNCTION("""COMPUTED_VALUE"""),"")</f>
        <v/>
      </c>
      <c r="C14992" s="42" t="str">
        <f>IFERROR(__xludf.DUMMYFUNCTION("""COMPUTED_VALUE"""),"")</f>
        <v/>
      </c>
      <c r="D14992" s="42"/>
      <c r="E14992" s="42"/>
      <c r="F14992" s="48" t="str">
        <f>IFERROR(__xludf.DUMMYFUNCTION("""COMPUTED_VALUE"""),"")</f>
        <v/>
      </c>
      <c r="G14992" s="42" t="str">
        <f>IFERROR(__xludf.DUMMYFUNCTION("""COMPUTED_VALUE"""),"")</f>
        <v/>
      </c>
      <c r="H14992" s="42">
        <f t="shared" si="1"/>
        <v>3345</v>
      </c>
    </row>
    <row r="14993" ht="22.5" customHeight="1">
      <c r="B14993" s="42" t="str">
        <f>IFERROR(__xludf.DUMMYFUNCTION("""COMPUTED_VALUE"""),"")</f>
        <v/>
      </c>
      <c r="C14993" s="42" t="str">
        <f>IFERROR(__xludf.DUMMYFUNCTION("""COMPUTED_VALUE"""),"")</f>
        <v/>
      </c>
      <c r="D14993" s="42"/>
      <c r="E14993" s="42"/>
      <c r="F14993" s="48" t="str">
        <f>IFERROR(__xludf.DUMMYFUNCTION("""COMPUTED_VALUE"""),"")</f>
        <v/>
      </c>
      <c r="G14993" s="42" t="str">
        <f>IFERROR(__xludf.DUMMYFUNCTION("""COMPUTED_VALUE"""),"")</f>
        <v/>
      </c>
      <c r="H14993" s="42">
        <f t="shared" si="1"/>
        <v>3345</v>
      </c>
    </row>
    <row r="14994" ht="22.5" customHeight="1">
      <c r="B14994" s="42" t="str">
        <f>IFERROR(__xludf.DUMMYFUNCTION("""COMPUTED_VALUE"""),"")</f>
        <v/>
      </c>
      <c r="C14994" s="42" t="str">
        <f>IFERROR(__xludf.DUMMYFUNCTION("""COMPUTED_VALUE"""),"")</f>
        <v/>
      </c>
      <c r="D14994" s="42"/>
      <c r="E14994" s="42"/>
      <c r="F14994" s="48" t="str">
        <f>IFERROR(__xludf.DUMMYFUNCTION("""COMPUTED_VALUE"""),"")</f>
        <v/>
      </c>
      <c r="G14994" s="42" t="str">
        <f>IFERROR(__xludf.DUMMYFUNCTION("""COMPUTED_VALUE"""),"")</f>
        <v/>
      </c>
      <c r="H14994" s="42">
        <f t="shared" si="1"/>
        <v>3345</v>
      </c>
    </row>
    <row r="14995" ht="22.5" customHeight="1">
      <c r="B14995" s="42" t="str">
        <f>IFERROR(__xludf.DUMMYFUNCTION("""COMPUTED_VALUE"""),"")</f>
        <v/>
      </c>
      <c r="C14995" s="42" t="str">
        <f>IFERROR(__xludf.DUMMYFUNCTION("""COMPUTED_VALUE"""),"")</f>
        <v/>
      </c>
      <c r="D14995" s="42"/>
      <c r="E14995" s="42"/>
      <c r="F14995" s="48" t="str">
        <f>IFERROR(__xludf.DUMMYFUNCTION("""COMPUTED_VALUE"""),"")</f>
        <v/>
      </c>
      <c r="G14995" s="42" t="str">
        <f>IFERROR(__xludf.DUMMYFUNCTION("""COMPUTED_VALUE"""),"")</f>
        <v/>
      </c>
      <c r="H14995" s="42">
        <f t="shared" si="1"/>
        <v>3345</v>
      </c>
    </row>
    <row r="14996" ht="22.5" customHeight="1">
      <c r="B14996" s="42" t="str">
        <f>IFERROR(__xludf.DUMMYFUNCTION("""COMPUTED_VALUE"""),"")</f>
        <v/>
      </c>
      <c r="C14996" s="42" t="str">
        <f>IFERROR(__xludf.DUMMYFUNCTION("""COMPUTED_VALUE"""),"")</f>
        <v/>
      </c>
      <c r="D14996" s="42"/>
      <c r="E14996" s="42"/>
      <c r="F14996" s="48" t="str">
        <f>IFERROR(__xludf.DUMMYFUNCTION("""COMPUTED_VALUE"""),"")</f>
        <v/>
      </c>
      <c r="G14996" s="42" t="str">
        <f>IFERROR(__xludf.DUMMYFUNCTION("""COMPUTED_VALUE"""),"")</f>
        <v/>
      </c>
      <c r="H14996" s="42">
        <f t="shared" si="1"/>
        <v>3345</v>
      </c>
    </row>
    <row r="14997" ht="22.5" customHeight="1">
      <c r="B14997" s="42" t="str">
        <f>IFERROR(__xludf.DUMMYFUNCTION("""COMPUTED_VALUE"""),"")</f>
        <v/>
      </c>
      <c r="C14997" s="42" t="str">
        <f>IFERROR(__xludf.DUMMYFUNCTION("""COMPUTED_VALUE"""),"")</f>
        <v/>
      </c>
      <c r="D14997" s="42"/>
      <c r="E14997" s="42"/>
      <c r="F14997" s="48" t="str">
        <f>IFERROR(__xludf.DUMMYFUNCTION("""COMPUTED_VALUE"""),"")</f>
        <v/>
      </c>
      <c r="G14997" s="42" t="str">
        <f>IFERROR(__xludf.DUMMYFUNCTION("""COMPUTED_VALUE"""),"")</f>
        <v/>
      </c>
      <c r="H14997" s="42">
        <f t="shared" si="1"/>
        <v>3345</v>
      </c>
    </row>
    <row r="14998" ht="22.5" customHeight="1">
      <c r="B14998" s="42" t="str">
        <f>IFERROR(__xludf.DUMMYFUNCTION("""COMPUTED_VALUE"""),"")</f>
        <v/>
      </c>
      <c r="C14998" s="42" t="str">
        <f>IFERROR(__xludf.DUMMYFUNCTION("""COMPUTED_VALUE"""),"")</f>
        <v/>
      </c>
      <c r="D14998" s="42"/>
      <c r="E14998" s="42"/>
      <c r="F14998" s="48" t="str">
        <f>IFERROR(__xludf.DUMMYFUNCTION("""COMPUTED_VALUE"""),"")</f>
        <v/>
      </c>
      <c r="G14998" s="42" t="str">
        <f>IFERROR(__xludf.DUMMYFUNCTION("""COMPUTED_VALUE"""),"")</f>
        <v/>
      </c>
      <c r="H14998" s="42">
        <f t="shared" si="1"/>
        <v>3345</v>
      </c>
    </row>
    <row r="14999" ht="22.5" customHeight="1">
      <c r="B14999" s="42" t="str">
        <f>IFERROR(__xludf.DUMMYFUNCTION("""COMPUTED_VALUE"""),"")</f>
        <v/>
      </c>
      <c r="C14999" s="42" t="str">
        <f>IFERROR(__xludf.DUMMYFUNCTION("""COMPUTED_VALUE"""),"")</f>
        <v/>
      </c>
      <c r="D14999" s="42"/>
      <c r="E14999" s="42"/>
      <c r="F14999" s="48" t="str">
        <f>IFERROR(__xludf.DUMMYFUNCTION("""COMPUTED_VALUE"""),"")</f>
        <v/>
      </c>
      <c r="G14999" s="42" t="str">
        <f>IFERROR(__xludf.DUMMYFUNCTION("""COMPUTED_VALUE"""),"")</f>
        <v/>
      </c>
      <c r="H14999" s="42">
        <f t="shared" si="1"/>
        <v>3345</v>
      </c>
    </row>
    <row r="15000" ht="22.5" customHeight="1">
      <c r="B15000" s="42" t="str">
        <f>IFERROR(__xludf.DUMMYFUNCTION("""COMPUTED_VALUE"""),"")</f>
        <v/>
      </c>
      <c r="C15000" s="42" t="str">
        <f>IFERROR(__xludf.DUMMYFUNCTION("""COMPUTED_VALUE"""),"")</f>
        <v/>
      </c>
      <c r="D15000" s="42"/>
      <c r="E15000" s="42"/>
      <c r="F15000" s="48" t="str">
        <f>IFERROR(__xludf.DUMMYFUNCTION("""COMPUTED_VALUE"""),"")</f>
        <v/>
      </c>
      <c r="G15000" s="42" t="str">
        <f>IFERROR(__xludf.DUMMYFUNCTION("""COMPUTED_VALUE"""),"")</f>
        <v/>
      </c>
      <c r="H15000" s="42">
        <f t="shared" si="1"/>
        <v>3345</v>
      </c>
    </row>
    <row r="15001" ht="22.5" customHeight="1">
      <c r="B15001" s="42" t="str">
        <f>IFERROR(__xludf.DUMMYFUNCTION("""COMPUTED_VALUE"""),"")</f>
        <v/>
      </c>
      <c r="C15001" s="42" t="str">
        <f>IFERROR(__xludf.DUMMYFUNCTION("""COMPUTED_VALUE"""),"")</f>
        <v/>
      </c>
      <c r="D15001" s="42"/>
      <c r="E15001" s="42"/>
      <c r="F15001" s="48" t="str">
        <f>IFERROR(__xludf.DUMMYFUNCTION("""COMPUTED_VALUE"""),"")</f>
        <v/>
      </c>
      <c r="G15001" s="42" t="str">
        <f>IFERROR(__xludf.DUMMYFUNCTION("""COMPUTED_VALUE"""),"")</f>
        <v/>
      </c>
      <c r="H15001" s="42">
        <f t="shared" si="1"/>
        <v>3345</v>
      </c>
    </row>
    <row r="15002" ht="22.5" customHeight="1">
      <c r="B15002" s="42" t="str">
        <f>IFERROR(__xludf.DUMMYFUNCTION("""COMPUTED_VALUE"""),"")</f>
        <v/>
      </c>
      <c r="C15002" s="42" t="str">
        <f>IFERROR(__xludf.DUMMYFUNCTION("""COMPUTED_VALUE"""),"")</f>
        <v/>
      </c>
      <c r="D15002" s="42"/>
      <c r="E15002" s="42"/>
      <c r="F15002" s="48" t="str">
        <f>IFERROR(__xludf.DUMMYFUNCTION("""COMPUTED_VALUE"""),"")</f>
        <v/>
      </c>
      <c r="G15002" s="42" t="str">
        <f>IFERROR(__xludf.DUMMYFUNCTION("""COMPUTED_VALUE"""),"")</f>
        <v/>
      </c>
      <c r="H15002" s="42">
        <f t="shared" si="1"/>
        <v>3345</v>
      </c>
    </row>
    <row r="15003" ht="22.5" customHeight="1">
      <c r="B15003" s="42" t="str">
        <f>IFERROR(__xludf.DUMMYFUNCTION("""COMPUTED_VALUE"""),"")</f>
        <v/>
      </c>
      <c r="C15003" s="42" t="str">
        <f>IFERROR(__xludf.DUMMYFUNCTION("""COMPUTED_VALUE"""),"")</f>
        <v/>
      </c>
      <c r="D15003" s="42"/>
      <c r="E15003" s="42"/>
      <c r="F15003" s="48" t="str">
        <f>IFERROR(__xludf.DUMMYFUNCTION("""COMPUTED_VALUE"""),"")</f>
        <v/>
      </c>
      <c r="G15003" s="42" t="str">
        <f>IFERROR(__xludf.DUMMYFUNCTION("""COMPUTED_VALUE"""),"")</f>
        <v/>
      </c>
      <c r="H15003" s="42">
        <f t="shared" si="1"/>
        <v>3345</v>
      </c>
    </row>
    <row r="15004" ht="22.5" customHeight="1">
      <c r="B15004" s="42" t="str">
        <f>IFERROR(__xludf.DUMMYFUNCTION("""COMPUTED_VALUE"""),"")</f>
        <v/>
      </c>
      <c r="C15004" s="42" t="str">
        <f>IFERROR(__xludf.DUMMYFUNCTION("""COMPUTED_VALUE"""),"")</f>
        <v/>
      </c>
      <c r="D15004" s="42"/>
      <c r="E15004" s="42"/>
      <c r="F15004" s="48" t="str">
        <f>IFERROR(__xludf.DUMMYFUNCTION("""COMPUTED_VALUE"""),"")</f>
        <v/>
      </c>
      <c r="G15004" s="42" t="str">
        <f>IFERROR(__xludf.DUMMYFUNCTION("""COMPUTED_VALUE"""),"")</f>
        <v/>
      </c>
      <c r="H15004" s="42">
        <f t="shared" si="1"/>
        <v>3345</v>
      </c>
    </row>
    <row r="15005" ht="22.5" customHeight="1">
      <c r="B15005" s="42" t="str">
        <f>IFERROR(__xludf.DUMMYFUNCTION("""COMPUTED_VALUE"""),"")</f>
        <v/>
      </c>
      <c r="C15005" s="42" t="str">
        <f>IFERROR(__xludf.DUMMYFUNCTION("""COMPUTED_VALUE"""),"")</f>
        <v/>
      </c>
      <c r="D15005" s="42"/>
      <c r="E15005" s="42"/>
      <c r="F15005" s="48" t="str">
        <f>IFERROR(__xludf.DUMMYFUNCTION("""COMPUTED_VALUE"""),"")</f>
        <v/>
      </c>
      <c r="G15005" s="42" t="str">
        <f>IFERROR(__xludf.DUMMYFUNCTION("""COMPUTED_VALUE"""),"")</f>
        <v/>
      </c>
      <c r="H15005" s="42">
        <f t="shared" si="1"/>
        <v>3345</v>
      </c>
    </row>
    <row r="15006" ht="22.5" customHeight="1">
      <c r="B15006" s="42" t="str">
        <f>IFERROR(__xludf.DUMMYFUNCTION("""COMPUTED_VALUE"""),"")</f>
        <v/>
      </c>
      <c r="C15006" s="42" t="str">
        <f>IFERROR(__xludf.DUMMYFUNCTION("""COMPUTED_VALUE"""),"")</f>
        <v/>
      </c>
      <c r="D15006" s="42"/>
      <c r="E15006" s="42"/>
      <c r="F15006" s="48" t="str">
        <f>IFERROR(__xludf.DUMMYFUNCTION("""COMPUTED_VALUE"""),"")</f>
        <v/>
      </c>
      <c r="G15006" s="42" t="str">
        <f>IFERROR(__xludf.DUMMYFUNCTION("""COMPUTED_VALUE"""),"")</f>
        <v/>
      </c>
      <c r="H15006" s="42">
        <f t="shared" si="1"/>
        <v>3345</v>
      </c>
    </row>
    <row r="15007" ht="22.5" customHeight="1">
      <c r="B15007" s="42" t="str">
        <f>IFERROR(__xludf.DUMMYFUNCTION("""COMPUTED_VALUE"""),"")</f>
        <v/>
      </c>
      <c r="C15007" s="42" t="str">
        <f>IFERROR(__xludf.DUMMYFUNCTION("""COMPUTED_VALUE"""),"")</f>
        <v/>
      </c>
      <c r="D15007" s="42"/>
      <c r="E15007" s="42"/>
      <c r="F15007" s="48" t="str">
        <f>IFERROR(__xludf.DUMMYFUNCTION("""COMPUTED_VALUE"""),"")</f>
        <v/>
      </c>
      <c r="G15007" s="42" t="str">
        <f>IFERROR(__xludf.DUMMYFUNCTION("""COMPUTED_VALUE"""),"")</f>
        <v/>
      </c>
      <c r="H15007" s="42">
        <f t="shared" si="1"/>
        <v>3345</v>
      </c>
    </row>
    <row r="15008" ht="22.5" customHeight="1">
      <c r="B15008" s="42" t="str">
        <f>IFERROR(__xludf.DUMMYFUNCTION("""COMPUTED_VALUE"""),"")</f>
        <v/>
      </c>
      <c r="C15008" s="42" t="str">
        <f>IFERROR(__xludf.DUMMYFUNCTION("""COMPUTED_VALUE"""),"")</f>
        <v/>
      </c>
      <c r="D15008" s="42"/>
      <c r="E15008" s="42"/>
      <c r="F15008" s="48" t="str">
        <f>IFERROR(__xludf.DUMMYFUNCTION("""COMPUTED_VALUE"""),"")</f>
        <v/>
      </c>
      <c r="G15008" s="42" t="str">
        <f>IFERROR(__xludf.DUMMYFUNCTION("""COMPUTED_VALUE"""),"")</f>
        <v/>
      </c>
      <c r="H15008" s="42">
        <f t="shared" si="1"/>
        <v>3345</v>
      </c>
    </row>
    <row r="15009" ht="22.5" customHeight="1">
      <c r="B15009" s="42" t="str">
        <f>IFERROR(__xludf.DUMMYFUNCTION("""COMPUTED_VALUE"""),"")</f>
        <v/>
      </c>
      <c r="C15009" s="42" t="str">
        <f>IFERROR(__xludf.DUMMYFUNCTION("""COMPUTED_VALUE"""),"")</f>
        <v/>
      </c>
      <c r="D15009" s="42"/>
      <c r="E15009" s="42"/>
      <c r="F15009" s="48" t="str">
        <f>IFERROR(__xludf.DUMMYFUNCTION("""COMPUTED_VALUE"""),"")</f>
        <v/>
      </c>
      <c r="G15009" s="42" t="str">
        <f>IFERROR(__xludf.DUMMYFUNCTION("""COMPUTED_VALUE"""),"")</f>
        <v/>
      </c>
      <c r="H15009" s="42">
        <f t="shared" si="1"/>
        <v>3345</v>
      </c>
    </row>
    <row r="15010" ht="22.5" customHeight="1">
      <c r="B15010" s="42" t="str">
        <f>IFERROR(__xludf.DUMMYFUNCTION("""COMPUTED_VALUE"""),"")</f>
        <v/>
      </c>
      <c r="C15010" s="42" t="str">
        <f>IFERROR(__xludf.DUMMYFUNCTION("""COMPUTED_VALUE"""),"")</f>
        <v/>
      </c>
      <c r="D15010" s="42"/>
      <c r="E15010" s="42"/>
      <c r="F15010" s="48" t="str">
        <f>IFERROR(__xludf.DUMMYFUNCTION("""COMPUTED_VALUE"""),"")</f>
        <v/>
      </c>
      <c r="G15010" s="42" t="str">
        <f>IFERROR(__xludf.DUMMYFUNCTION("""COMPUTED_VALUE"""),"")</f>
        <v/>
      </c>
      <c r="H15010" s="42">
        <f t="shared" si="1"/>
        <v>3345</v>
      </c>
    </row>
    <row r="15011" ht="22.5" customHeight="1">
      <c r="B15011" s="42" t="str">
        <f>IFERROR(__xludf.DUMMYFUNCTION("""COMPUTED_VALUE"""),"")</f>
        <v/>
      </c>
      <c r="C15011" s="42" t="str">
        <f>IFERROR(__xludf.DUMMYFUNCTION("""COMPUTED_VALUE"""),"")</f>
        <v/>
      </c>
      <c r="D15011" s="42"/>
      <c r="E15011" s="42"/>
      <c r="F15011" s="48" t="str">
        <f>IFERROR(__xludf.DUMMYFUNCTION("""COMPUTED_VALUE"""),"")</f>
        <v/>
      </c>
      <c r="G15011" s="42" t="str">
        <f>IFERROR(__xludf.DUMMYFUNCTION("""COMPUTED_VALUE"""),"")</f>
        <v/>
      </c>
      <c r="H15011" s="42">
        <f t="shared" si="1"/>
        <v>3345</v>
      </c>
    </row>
    <row r="15012" ht="22.5" customHeight="1">
      <c r="B15012" s="42" t="str">
        <f>IFERROR(__xludf.DUMMYFUNCTION("""COMPUTED_VALUE"""),"")</f>
        <v/>
      </c>
      <c r="C15012" s="42" t="str">
        <f>IFERROR(__xludf.DUMMYFUNCTION("""COMPUTED_VALUE"""),"")</f>
        <v/>
      </c>
      <c r="D15012" s="42"/>
      <c r="E15012" s="42"/>
      <c r="F15012" s="48" t="str">
        <f>IFERROR(__xludf.DUMMYFUNCTION("""COMPUTED_VALUE"""),"")</f>
        <v/>
      </c>
      <c r="G15012" s="42" t="str">
        <f>IFERROR(__xludf.DUMMYFUNCTION("""COMPUTED_VALUE"""),"")</f>
        <v/>
      </c>
      <c r="H15012" s="42">
        <f t="shared" si="1"/>
        <v>3345</v>
      </c>
    </row>
    <row r="15013" ht="22.5" customHeight="1">
      <c r="B15013" s="42" t="str">
        <f>IFERROR(__xludf.DUMMYFUNCTION("""COMPUTED_VALUE"""),"")</f>
        <v/>
      </c>
      <c r="C15013" s="42" t="str">
        <f>IFERROR(__xludf.DUMMYFUNCTION("""COMPUTED_VALUE"""),"")</f>
        <v/>
      </c>
      <c r="D15013" s="42"/>
      <c r="E15013" s="42"/>
      <c r="F15013" s="48" t="str">
        <f>IFERROR(__xludf.DUMMYFUNCTION("""COMPUTED_VALUE"""),"")</f>
        <v/>
      </c>
      <c r="G15013" s="42" t="str">
        <f>IFERROR(__xludf.DUMMYFUNCTION("""COMPUTED_VALUE"""),"")</f>
        <v/>
      </c>
      <c r="H15013" s="42">
        <f t="shared" si="1"/>
        <v>3345</v>
      </c>
    </row>
    <row r="15014" ht="22.5" customHeight="1">
      <c r="B15014" s="42" t="str">
        <f>IFERROR(__xludf.DUMMYFUNCTION("""COMPUTED_VALUE"""),"")</f>
        <v/>
      </c>
      <c r="C15014" s="42" t="str">
        <f>IFERROR(__xludf.DUMMYFUNCTION("""COMPUTED_VALUE"""),"")</f>
        <v/>
      </c>
      <c r="D15014" s="42"/>
      <c r="E15014" s="42"/>
      <c r="F15014" s="48" t="str">
        <f>IFERROR(__xludf.DUMMYFUNCTION("""COMPUTED_VALUE"""),"")</f>
        <v/>
      </c>
      <c r="G15014" s="42" t="str">
        <f>IFERROR(__xludf.DUMMYFUNCTION("""COMPUTED_VALUE"""),"")</f>
        <v/>
      </c>
      <c r="H15014" s="42">
        <f t="shared" si="1"/>
        <v>3345</v>
      </c>
    </row>
    <row r="15015" ht="22.5" customHeight="1">
      <c r="B15015" s="42" t="str">
        <f>IFERROR(__xludf.DUMMYFUNCTION("""COMPUTED_VALUE"""),"")</f>
        <v/>
      </c>
      <c r="C15015" s="42" t="str">
        <f>IFERROR(__xludf.DUMMYFUNCTION("""COMPUTED_VALUE"""),"")</f>
        <v/>
      </c>
      <c r="D15015" s="42"/>
      <c r="E15015" s="42"/>
      <c r="F15015" s="48" t="str">
        <f>IFERROR(__xludf.DUMMYFUNCTION("""COMPUTED_VALUE"""),"")</f>
        <v/>
      </c>
      <c r="G15015" s="42" t="str">
        <f>IFERROR(__xludf.DUMMYFUNCTION("""COMPUTED_VALUE"""),"")</f>
        <v/>
      </c>
      <c r="H15015" s="42">
        <f t="shared" si="1"/>
        <v>3345</v>
      </c>
    </row>
    <row r="15016" ht="22.5" customHeight="1">
      <c r="B15016" s="42" t="str">
        <f>IFERROR(__xludf.DUMMYFUNCTION("""COMPUTED_VALUE"""),"")</f>
        <v/>
      </c>
      <c r="C15016" s="42" t="str">
        <f>IFERROR(__xludf.DUMMYFUNCTION("""COMPUTED_VALUE"""),"")</f>
        <v/>
      </c>
      <c r="D15016" s="42"/>
      <c r="E15016" s="42"/>
      <c r="F15016" s="48" t="str">
        <f>IFERROR(__xludf.DUMMYFUNCTION("""COMPUTED_VALUE"""),"")</f>
        <v/>
      </c>
      <c r="G15016" s="42" t="str">
        <f>IFERROR(__xludf.DUMMYFUNCTION("""COMPUTED_VALUE"""),"")</f>
        <v/>
      </c>
      <c r="H15016" s="42">
        <f t="shared" si="1"/>
        <v>3345</v>
      </c>
    </row>
    <row r="15017" ht="22.5" customHeight="1">
      <c r="B15017" s="42" t="str">
        <f>IFERROR(__xludf.DUMMYFUNCTION("""COMPUTED_VALUE"""),"")</f>
        <v/>
      </c>
      <c r="C15017" s="42" t="str">
        <f>IFERROR(__xludf.DUMMYFUNCTION("""COMPUTED_VALUE"""),"")</f>
        <v/>
      </c>
      <c r="D15017" s="42"/>
      <c r="E15017" s="42"/>
      <c r="F15017" s="48" t="str">
        <f>IFERROR(__xludf.DUMMYFUNCTION("""COMPUTED_VALUE"""),"")</f>
        <v/>
      </c>
      <c r="G15017" s="42" t="str">
        <f>IFERROR(__xludf.DUMMYFUNCTION("""COMPUTED_VALUE"""),"")</f>
        <v/>
      </c>
      <c r="H15017" s="42">
        <f t="shared" si="1"/>
        <v>3345</v>
      </c>
    </row>
    <row r="15018" ht="22.5" customHeight="1">
      <c r="B15018" s="42" t="str">
        <f>IFERROR(__xludf.DUMMYFUNCTION("""COMPUTED_VALUE"""),"")</f>
        <v/>
      </c>
      <c r="C15018" s="42" t="str">
        <f>IFERROR(__xludf.DUMMYFUNCTION("""COMPUTED_VALUE"""),"")</f>
        <v/>
      </c>
      <c r="D15018" s="42"/>
      <c r="E15018" s="42"/>
      <c r="F15018" s="48" t="str">
        <f>IFERROR(__xludf.DUMMYFUNCTION("""COMPUTED_VALUE"""),"")</f>
        <v/>
      </c>
      <c r="G15018" s="42" t="str">
        <f>IFERROR(__xludf.DUMMYFUNCTION("""COMPUTED_VALUE"""),"")</f>
        <v/>
      </c>
      <c r="H15018" s="42">
        <f t="shared" si="1"/>
        <v>3345</v>
      </c>
    </row>
    <row r="15019" ht="22.5" customHeight="1">
      <c r="B15019" s="42" t="str">
        <f>IFERROR(__xludf.DUMMYFUNCTION("""COMPUTED_VALUE"""),"")</f>
        <v/>
      </c>
      <c r="C15019" s="42" t="str">
        <f>IFERROR(__xludf.DUMMYFUNCTION("""COMPUTED_VALUE"""),"")</f>
        <v/>
      </c>
      <c r="D15019" s="42"/>
      <c r="E15019" s="42"/>
      <c r="F15019" s="48" t="str">
        <f>IFERROR(__xludf.DUMMYFUNCTION("""COMPUTED_VALUE"""),"")</f>
        <v/>
      </c>
      <c r="G15019" s="42" t="str">
        <f>IFERROR(__xludf.DUMMYFUNCTION("""COMPUTED_VALUE"""),"")</f>
        <v/>
      </c>
      <c r="H15019" s="42">
        <f t="shared" si="1"/>
        <v>3345</v>
      </c>
    </row>
    <row r="15020" ht="22.5" customHeight="1">
      <c r="B15020" s="42" t="str">
        <f>IFERROR(__xludf.DUMMYFUNCTION("""COMPUTED_VALUE"""),"")</f>
        <v/>
      </c>
      <c r="C15020" s="42" t="str">
        <f>IFERROR(__xludf.DUMMYFUNCTION("""COMPUTED_VALUE"""),"")</f>
        <v/>
      </c>
      <c r="D15020" s="42"/>
      <c r="E15020" s="42"/>
      <c r="F15020" s="48" t="str">
        <f>IFERROR(__xludf.DUMMYFUNCTION("""COMPUTED_VALUE"""),"")</f>
        <v/>
      </c>
      <c r="G15020" s="42" t="str">
        <f>IFERROR(__xludf.DUMMYFUNCTION("""COMPUTED_VALUE"""),"")</f>
        <v/>
      </c>
      <c r="H15020" s="42">
        <f t="shared" si="1"/>
        <v>3345</v>
      </c>
    </row>
    <row r="15021" ht="22.5" customHeight="1">
      <c r="B15021" s="42" t="str">
        <f>IFERROR(__xludf.DUMMYFUNCTION("""COMPUTED_VALUE"""),"")</f>
        <v/>
      </c>
      <c r="C15021" s="42" t="str">
        <f>IFERROR(__xludf.DUMMYFUNCTION("""COMPUTED_VALUE"""),"")</f>
        <v/>
      </c>
      <c r="D15021" s="42"/>
      <c r="E15021" s="42"/>
      <c r="F15021" s="48" t="str">
        <f>IFERROR(__xludf.DUMMYFUNCTION("""COMPUTED_VALUE"""),"")</f>
        <v/>
      </c>
      <c r="G15021" s="42" t="str">
        <f>IFERROR(__xludf.DUMMYFUNCTION("""COMPUTED_VALUE"""),"")</f>
        <v/>
      </c>
      <c r="H15021" s="42">
        <f t="shared" si="1"/>
        <v>3345</v>
      </c>
    </row>
    <row r="15022" ht="22.5" customHeight="1">
      <c r="B15022" s="42" t="str">
        <f>IFERROR(__xludf.DUMMYFUNCTION("""COMPUTED_VALUE"""),"")</f>
        <v/>
      </c>
      <c r="C15022" s="42" t="str">
        <f>IFERROR(__xludf.DUMMYFUNCTION("""COMPUTED_VALUE"""),"")</f>
        <v/>
      </c>
      <c r="D15022" s="42"/>
      <c r="E15022" s="42"/>
      <c r="F15022" s="48" t="str">
        <f>IFERROR(__xludf.DUMMYFUNCTION("""COMPUTED_VALUE"""),"")</f>
        <v/>
      </c>
      <c r="G15022" s="42" t="str">
        <f>IFERROR(__xludf.DUMMYFUNCTION("""COMPUTED_VALUE"""),"")</f>
        <v/>
      </c>
      <c r="H15022" s="42">
        <f t="shared" si="1"/>
        <v>3345</v>
      </c>
    </row>
    <row r="15023" ht="22.5" customHeight="1">
      <c r="B15023" s="42" t="str">
        <f>IFERROR(__xludf.DUMMYFUNCTION("""COMPUTED_VALUE"""),"")</f>
        <v/>
      </c>
      <c r="C15023" s="42" t="str">
        <f>IFERROR(__xludf.DUMMYFUNCTION("""COMPUTED_VALUE"""),"")</f>
        <v/>
      </c>
      <c r="D15023" s="42"/>
      <c r="E15023" s="42"/>
      <c r="F15023" s="48" t="str">
        <f>IFERROR(__xludf.DUMMYFUNCTION("""COMPUTED_VALUE"""),"")</f>
        <v/>
      </c>
      <c r="G15023" s="42" t="str">
        <f>IFERROR(__xludf.DUMMYFUNCTION("""COMPUTED_VALUE"""),"")</f>
        <v/>
      </c>
      <c r="H15023" s="42">
        <f t="shared" si="1"/>
        <v>3345</v>
      </c>
    </row>
    <row r="15024" ht="22.5" customHeight="1">
      <c r="B15024" s="42" t="str">
        <f>IFERROR(__xludf.DUMMYFUNCTION("""COMPUTED_VALUE"""),"")</f>
        <v/>
      </c>
      <c r="C15024" s="42" t="str">
        <f>IFERROR(__xludf.DUMMYFUNCTION("""COMPUTED_VALUE"""),"")</f>
        <v/>
      </c>
      <c r="D15024" s="42"/>
      <c r="E15024" s="42"/>
      <c r="F15024" s="48" t="str">
        <f>IFERROR(__xludf.DUMMYFUNCTION("""COMPUTED_VALUE"""),"")</f>
        <v/>
      </c>
      <c r="G15024" s="42" t="str">
        <f>IFERROR(__xludf.DUMMYFUNCTION("""COMPUTED_VALUE"""),"")</f>
        <v/>
      </c>
      <c r="H15024" s="42">
        <f t="shared" si="1"/>
        <v>3345</v>
      </c>
    </row>
    <row r="15025" ht="22.5" customHeight="1">
      <c r="B15025" s="42" t="str">
        <f>IFERROR(__xludf.DUMMYFUNCTION("""COMPUTED_VALUE"""),"")</f>
        <v/>
      </c>
      <c r="C15025" s="42" t="str">
        <f>IFERROR(__xludf.DUMMYFUNCTION("""COMPUTED_VALUE"""),"")</f>
        <v/>
      </c>
      <c r="D15025" s="42"/>
      <c r="E15025" s="42"/>
      <c r="F15025" s="48" t="str">
        <f>IFERROR(__xludf.DUMMYFUNCTION("""COMPUTED_VALUE"""),"")</f>
        <v/>
      </c>
      <c r="G15025" s="42" t="str">
        <f>IFERROR(__xludf.DUMMYFUNCTION("""COMPUTED_VALUE"""),"")</f>
        <v/>
      </c>
      <c r="H15025" s="42">
        <f t="shared" si="1"/>
        <v>3345</v>
      </c>
    </row>
    <row r="15026" ht="22.5" customHeight="1">
      <c r="B15026" s="42" t="str">
        <f>IFERROR(__xludf.DUMMYFUNCTION("""COMPUTED_VALUE"""),"")</f>
        <v/>
      </c>
      <c r="C15026" s="42" t="str">
        <f>IFERROR(__xludf.DUMMYFUNCTION("""COMPUTED_VALUE"""),"")</f>
        <v/>
      </c>
      <c r="D15026" s="42"/>
      <c r="E15026" s="42"/>
      <c r="F15026" s="48" t="str">
        <f>IFERROR(__xludf.DUMMYFUNCTION("""COMPUTED_VALUE"""),"")</f>
        <v/>
      </c>
      <c r="G15026" s="42" t="str">
        <f>IFERROR(__xludf.DUMMYFUNCTION("""COMPUTED_VALUE"""),"")</f>
        <v/>
      </c>
      <c r="H15026" s="42">
        <f t="shared" si="1"/>
        <v>3345</v>
      </c>
    </row>
    <row r="15027" ht="22.5" customHeight="1">
      <c r="B15027" s="42" t="str">
        <f>IFERROR(__xludf.DUMMYFUNCTION("""COMPUTED_VALUE"""),"")</f>
        <v/>
      </c>
      <c r="C15027" s="42" t="str">
        <f>IFERROR(__xludf.DUMMYFUNCTION("""COMPUTED_VALUE"""),"")</f>
        <v/>
      </c>
      <c r="D15027" s="42"/>
      <c r="E15027" s="42"/>
      <c r="F15027" s="48" t="str">
        <f>IFERROR(__xludf.DUMMYFUNCTION("""COMPUTED_VALUE"""),"")</f>
        <v/>
      </c>
      <c r="G15027" s="42" t="str">
        <f>IFERROR(__xludf.DUMMYFUNCTION("""COMPUTED_VALUE"""),"")</f>
        <v/>
      </c>
      <c r="H15027" s="42">
        <f t="shared" si="1"/>
        <v>3345</v>
      </c>
    </row>
    <row r="15028" ht="22.5" customHeight="1">
      <c r="B15028" s="42" t="str">
        <f>IFERROR(__xludf.DUMMYFUNCTION("""COMPUTED_VALUE"""),"")</f>
        <v/>
      </c>
      <c r="C15028" s="42" t="str">
        <f>IFERROR(__xludf.DUMMYFUNCTION("""COMPUTED_VALUE"""),"")</f>
        <v/>
      </c>
      <c r="D15028" s="42"/>
      <c r="E15028" s="42"/>
      <c r="F15028" s="48" t="str">
        <f>IFERROR(__xludf.DUMMYFUNCTION("""COMPUTED_VALUE"""),"")</f>
        <v/>
      </c>
      <c r="G15028" s="42" t="str">
        <f>IFERROR(__xludf.DUMMYFUNCTION("""COMPUTED_VALUE"""),"")</f>
        <v/>
      </c>
      <c r="H15028" s="42">
        <f t="shared" si="1"/>
        <v>3345</v>
      </c>
    </row>
    <row r="15029" ht="22.5" customHeight="1">
      <c r="B15029" s="42" t="str">
        <f>IFERROR(__xludf.DUMMYFUNCTION("""COMPUTED_VALUE"""),"")</f>
        <v/>
      </c>
      <c r="C15029" s="42" t="str">
        <f>IFERROR(__xludf.DUMMYFUNCTION("""COMPUTED_VALUE"""),"")</f>
        <v/>
      </c>
      <c r="D15029" s="42"/>
      <c r="E15029" s="42"/>
      <c r="F15029" s="48" t="str">
        <f>IFERROR(__xludf.DUMMYFUNCTION("""COMPUTED_VALUE"""),"")</f>
        <v/>
      </c>
      <c r="G15029" s="42" t="str">
        <f>IFERROR(__xludf.DUMMYFUNCTION("""COMPUTED_VALUE"""),"")</f>
        <v/>
      </c>
      <c r="H15029" s="42">
        <f t="shared" si="1"/>
        <v>3345</v>
      </c>
    </row>
    <row r="15030" ht="22.5" customHeight="1">
      <c r="B15030" s="42" t="str">
        <f>IFERROR(__xludf.DUMMYFUNCTION("""COMPUTED_VALUE"""),"")</f>
        <v/>
      </c>
      <c r="C15030" s="42" t="str">
        <f>IFERROR(__xludf.DUMMYFUNCTION("""COMPUTED_VALUE"""),"")</f>
        <v/>
      </c>
      <c r="D15030" s="42"/>
      <c r="E15030" s="42"/>
      <c r="F15030" s="48" t="str">
        <f>IFERROR(__xludf.DUMMYFUNCTION("""COMPUTED_VALUE"""),"")</f>
        <v/>
      </c>
      <c r="G15030" s="42" t="str">
        <f>IFERROR(__xludf.DUMMYFUNCTION("""COMPUTED_VALUE"""),"")</f>
        <v/>
      </c>
      <c r="H15030" s="42">
        <f t="shared" si="1"/>
        <v>3345</v>
      </c>
    </row>
    <row r="15031" ht="22.5" customHeight="1">
      <c r="B15031" s="42" t="str">
        <f>IFERROR(__xludf.DUMMYFUNCTION("""COMPUTED_VALUE"""),"")</f>
        <v/>
      </c>
      <c r="C15031" s="42" t="str">
        <f>IFERROR(__xludf.DUMMYFUNCTION("""COMPUTED_VALUE"""),"")</f>
        <v/>
      </c>
      <c r="D15031" s="42"/>
      <c r="E15031" s="42"/>
      <c r="F15031" s="48" t="str">
        <f>IFERROR(__xludf.DUMMYFUNCTION("""COMPUTED_VALUE"""),"")</f>
        <v/>
      </c>
      <c r="G15031" s="42" t="str">
        <f>IFERROR(__xludf.DUMMYFUNCTION("""COMPUTED_VALUE"""),"")</f>
        <v/>
      </c>
      <c r="H15031" s="42">
        <f t="shared" si="1"/>
        <v>3345</v>
      </c>
    </row>
    <row r="15032" ht="22.5" customHeight="1">
      <c r="B15032" s="42" t="str">
        <f>IFERROR(__xludf.DUMMYFUNCTION("""COMPUTED_VALUE"""),"")</f>
        <v/>
      </c>
      <c r="C15032" s="42" t="str">
        <f>IFERROR(__xludf.DUMMYFUNCTION("""COMPUTED_VALUE"""),"")</f>
        <v/>
      </c>
      <c r="D15032" s="42"/>
      <c r="E15032" s="42"/>
      <c r="F15032" s="48" t="str">
        <f>IFERROR(__xludf.DUMMYFUNCTION("""COMPUTED_VALUE"""),"")</f>
        <v/>
      </c>
      <c r="G15032" s="42" t="str">
        <f>IFERROR(__xludf.DUMMYFUNCTION("""COMPUTED_VALUE"""),"")</f>
        <v/>
      </c>
      <c r="H15032" s="42">
        <f t="shared" si="1"/>
        <v>3345</v>
      </c>
    </row>
    <row r="15033" ht="22.5" customHeight="1">
      <c r="B15033" s="42" t="str">
        <f>IFERROR(__xludf.DUMMYFUNCTION("""COMPUTED_VALUE"""),"")</f>
        <v/>
      </c>
      <c r="C15033" s="42" t="str">
        <f>IFERROR(__xludf.DUMMYFUNCTION("""COMPUTED_VALUE"""),"")</f>
        <v/>
      </c>
      <c r="D15033" s="42"/>
      <c r="E15033" s="42"/>
      <c r="F15033" s="48" t="str">
        <f>IFERROR(__xludf.DUMMYFUNCTION("""COMPUTED_VALUE"""),"")</f>
        <v/>
      </c>
      <c r="G15033" s="42" t="str">
        <f>IFERROR(__xludf.DUMMYFUNCTION("""COMPUTED_VALUE"""),"")</f>
        <v/>
      </c>
      <c r="H15033" s="42">
        <f t="shared" si="1"/>
        <v>3345</v>
      </c>
    </row>
    <row r="15034" ht="22.5" customHeight="1">
      <c r="B15034" s="42" t="str">
        <f>IFERROR(__xludf.DUMMYFUNCTION("""COMPUTED_VALUE"""),"")</f>
        <v/>
      </c>
      <c r="C15034" s="42" t="str">
        <f>IFERROR(__xludf.DUMMYFUNCTION("""COMPUTED_VALUE"""),"")</f>
        <v/>
      </c>
      <c r="D15034" s="42"/>
      <c r="E15034" s="42"/>
      <c r="F15034" s="48" t="str">
        <f>IFERROR(__xludf.DUMMYFUNCTION("""COMPUTED_VALUE"""),"")</f>
        <v/>
      </c>
      <c r="G15034" s="42" t="str">
        <f>IFERROR(__xludf.DUMMYFUNCTION("""COMPUTED_VALUE"""),"")</f>
        <v/>
      </c>
      <c r="H15034" s="42">
        <f t="shared" si="1"/>
        <v>3345</v>
      </c>
    </row>
    <row r="15035" ht="22.5" customHeight="1">
      <c r="B15035" s="42" t="str">
        <f>IFERROR(__xludf.DUMMYFUNCTION("""COMPUTED_VALUE"""),"")</f>
        <v/>
      </c>
      <c r="C15035" s="42" t="str">
        <f>IFERROR(__xludf.DUMMYFUNCTION("""COMPUTED_VALUE"""),"")</f>
        <v/>
      </c>
      <c r="D15035" s="42"/>
      <c r="E15035" s="42"/>
      <c r="F15035" s="48" t="str">
        <f>IFERROR(__xludf.DUMMYFUNCTION("""COMPUTED_VALUE"""),"")</f>
        <v/>
      </c>
      <c r="G15035" s="42" t="str">
        <f>IFERROR(__xludf.DUMMYFUNCTION("""COMPUTED_VALUE"""),"")</f>
        <v/>
      </c>
      <c r="H15035" s="42">
        <f t="shared" si="1"/>
        <v>3345</v>
      </c>
    </row>
    <row r="15036" ht="22.5" customHeight="1">
      <c r="B15036" s="42" t="str">
        <f>IFERROR(__xludf.DUMMYFUNCTION("""COMPUTED_VALUE"""),"")</f>
        <v/>
      </c>
      <c r="C15036" s="42" t="str">
        <f>IFERROR(__xludf.DUMMYFUNCTION("""COMPUTED_VALUE"""),"")</f>
        <v/>
      </c>
      <c r="D15036" s="42"/>
      <c r="E15036" s="42"/>
      <c r="F15036" s="48" t="str">
        <f>IFERROR(__xludf.DUMMYFUNCTION("""COMPUTED_VALUE"""),"")</f>
        <v/>
      </c>
      <c r="G15036" s="42" t="str">
        <f>IFERROR(__xludf.DUMMYFUNCTION("""COMPUTED_VALUE"""),"")</f>
        <v/>
      </c>
      <c r="H15036" s="42">
        <f t="shared" si="1"/>
        <v>3345</v>
      </c>
    </row>
    <row r="15037" ht="22.5" customHeight="1">
      <c r="B15037" s="42" t="str">
        <f>IFERROR(__xludf.DUMMYFUNCTION("""COMPUTED_VALUE"""),"")</f>
        <v/>
      </c>
      <c r="C15037" s="42" t="str">
        <f>IFERROR(__xludf.DUMMYFUNCTION("""COMPUTED_VALUE"""),"")</f>
        <v/>
      </c>
      <c r="D15037" s="42"/>
      <c r="E15037" s="42"/>
      <c r="F15037" s="48" t="str">
        <f>IFERROR(__xludf.DUMMYFUNCTION("""COMPUTED_VALUE"""),"")</f>
        <v/>
      </c>
      <c r="G15037" s="42" t="str">
        <f>IFERROR(__xludf.DUMMYFUNCTION("""COMPUTED_VALUE"""),"")</f>
        <v/>
      </c>
      <c r="H15037" s="42">
        <f t="shared" si="1"/>
        <v>3345</v>
      </c>
    </row>
    <row r="15038" ht="22.5" customHeight="1">
      <c r="B15038" s="42" t="str">
        <f>IFERROR(__xludf.DUMMYFUNCTION("""COMPUTED_VALUE"""),"")</f>
        <v/>
      </c>
      <c r="C15038" s="42" t="str">
        <f>IFERROR(__xludf.DUMMYFUNCTION("""COMPUTED_VALUE"""),"")</f>
        <v/>
      </c>
      <c r="D15038" s="42"/>
      <c r="E15038" s="42"/>
      <c r="F15038" s="48" t="str">
        <f>IFERROR(__xludf.DUMMYFUNCTION("""COMPUTED_VALUE"""),"")</f>
        <v/>
      </c>
      <c r="G15038" s="42" t="str">
        <f>IFERROR(__xludf.DUMMYFUNCTION("""COMPUTED_VALUE"""),"")</f>
        <v/>
      </c>
      <c r="H15038" s="42">
        <f t="shared" si="1"/>
        <v>3345</v>
      </c>
    </row>
    <row r="15039" ht="22.5" customHeight="1">
      <c r="B15039" s="42" t="str">
        <f>IFERROR(__xludf.DUMMYFUNCTION("""COMPUTED_VALUE"""),"")</f>
        <v/>
      </c>
      <c r="C15039" s="42" t="str">
        <f>IFERROR(__xludf.DUMMYFUNCTION("""COMPUTED_VALUE"""),"")</f>
        <v/>
      </c>
      <c r="D15039" s="42"/>
      <c r="E15039" s="42"/>
      <c r="F15039" s="48" t="str">
        <f>IFERROR(__xludf.DUMMYFUNCTION("""COMPUTED_VALUE"""),"")</f>
        <v/>
      </c>
      <c r="G15039" s="42" t="str">
        <f>IFERROR(__xludf.DUMMYFUNCTION("""COMPUTED_VALUE"""),"")</f>
        <v/>
      </c>
      <c r="H15039" s="42">
        <f t="shared" si="1"/>
        <v>3345</v>
      </c>
    </row>
    <row r="15040" ht="22.5" customHeight="1">
      <c r="B15040" s="42" t="str">
        <f>IFERROR(__xludf.DUMMYFUNCTION("""COMPUTED_VALUE"""),"")</f>
        <v/>
      </c>
      <c r="C15040" s="42" t="str">
        <f>IFERROR(__xludf.DUMMYFUNCTION("""COMPUTED_VALUE"""),"")</f>
        <v/>
      </c>
      <c r="D15040" s="42"/>
      <c r="E15040" s="42"/>
      <c r="F15040" s="48" t="str">
        <f>IFERROR(__xludf.DUMMYFUNCTION("""COMPUTED_VALUE"""),"")</f>
        <v/>
      </c>
      <c r="G15040" s="42" t="str">
        <f>IFERROR(__xludf.DUMMYFUNCTION("""COMPUTED_VALUE"""),"")</f>
        <v/>
      </c>
      <c r="H15040" s="42">
        <f t="shared" si="1"/>
        <v>3345</v>
      </c>
    </row>
    <row r="15041" ht="22.5" customHeight="1">
      <c r="B15041" s="42" t="str">
        <f>IFERROR(__xludf.DUMMYFUNCTION("""COMPUTED_VALUE"""),"")</f>
        <v/>
      </c>
      <c r="C15041" s="42" t="str">
        <f>IFERROR(__xludf.DUMMYFUNCTION("""COMPUTED_VALUE"""),"")</f>
        <v/>
      </c>
      <c r="D15041" s="42"/>
      <c r="E15041" s="42"/>
      <c r="F15041" s="48" t="str">
        <f>IFERROR(__xludf.DUMMYFUNCTION("""COMPUTED_VALUE"""),"")</f>
        <v/>
      </c>
      <c r="G15041" s="42" t="str">
        <f>IFERROR(__xludf.DUMMYFUNCTION("""COMPUTED_VALUE"""),"")</f>
        <v/>
      </c>
      <c r="H15041" s="42">
        <f t="shared" si="1"/>
        <v>3345</v>
      </c>
    </row>
    <row r="15042" ht="22.5" customHeight="1">
      <c r="B15042" s="42" t="str">
        <f>IFERROR(__xludf.DUMMYFUNCTION("""COMPUTED_VALUE"""),"")</f>
        <v/>
      </c>
      <c r="C15042" s="42" t="str">
        <f>IFERROR(__xludf.DUMMYFUNCTION("""COMPUTED_VALUE"""),"")</f>
        <v/>
      </c>
      <c r="D15042" s="42"/>
      <c r="E15042" s="42"/>
      <c r="F15042" s="48" t="str">
        <f>IFERROR(__xludf.DUMMYFUNCTION("""COMPUTED_VALUE"""),"")</f>
        <v/>
      </c>
      <c r="G15042" s="42" t="str">
        <f>IFERROR(__xludf.DUMMYFUNCTION("""COMPUTED_VALUE"""),"")</f>
        <v/>
      </c>
      <c r="H15042" s="42">
        <f t="shared" si="1"/>
        <v>3345</v>
      </c>
    </row>
    <row r="15043" ht="22.5" customHeight="1">
      <c r="B15043" s="42" t="str">
        <f>IFERROR(__xludf.DUMMYFUNCTION("""COMPUTED_VALUE"""),"")</f>
        <v/>
      </c>
      <c r="C15043" s="42" t="str">
        <f>IFERROR(__xludf.DUMMYFUNCTION("""COMPUTED_VALUE"""),"")</f>
        <v/>
      </c>
      <c r="D15043" s="42"/>
      <c r="E15043" s="42"/>
      <c r="F15043" s="48" t="str">
        <f>IFERROR(__xludf.DUMMYFUNCTION("""COMPUTED_VALUE"""),"")</f>
        <v/>
      </c>
      <c r="G15043" s="42" t="str">
        <f>IFERROR(__xludf.DUMMYFUNCTION("""COMPUTED_VALUE"""),"")</f>
        <v/>
      </c>
      <c r="H15043" s="42">
        <f t="shared" si="1"/>
        <v>3345</v>
      </c>
    </row>
    <row r="15044" ht="22.5" customHeight="1">
      <c r="B15044" s="42" t="str">
        <f>IFERROR(__xludf.DUMMYFUNCTION("""COMPUTED_VALUE"""),"")</f>
        <v/>
      </c>
      <c r="C15044" s="42" t="str">
        <f>IFERROR(__xludf.DUMMYFUNCTION("""COMPUTED_VALUE"""),"")</f>
        <v/>
      </c>
      <c r="D15044" s="42"/>
      <c r="E15044" s="42"/>
      <c r="F15044" s="48" t="str">
        <f>IFERROR(__xludf.DUMMYFUNCTION("""COMPUTED_VALUE"""),"")</f>
        <v/>
      </c>
      <c r="G15044" s="42" t="str">
        <f>IFERROR(__xludf.DUMMYFUNCTION("""COMPUTED_VALUE"""),"")</f>
        <v/>
      </c>
      <c r="H15044" s="42">
        <f t="shared" si="1"/>
        <v>3345</v>
      </c>
    </row>
    <row r="15045" ht="22.5" customHeight="1">
      <c r="B15045" s="42" t="str">
        <f>IFERROR(__xludf.DUMMYFUNCTION("""COMPUTED_VALUE"""),"")</f>
        <v/>
      </c>
      <c r="C15045" s="42" t="str">
        <f>IFERROR(__xludf.DUMMYFUNCTION("""COMPUTED_VALUE"""),"")</f>
        <v/>
      </c>
      <c r="D15045" s="42"/>
      <c r="E15045" s="42"/>
      <c r="F15045" s="48" t="str">
        <f>IFERROR(__xludf.DUMMYFUNCTION("""COMPUTED_VALUE"""),"")</f>
        <v/>
      </c>
      <c r="G15045" s="42" t="str">
        <f>IFERROR(__xludf.DUMMYFUNCTION("""COMPUTED_VALUE"""),"")</f>
        <v/>
      </c>
      <c r="H15045" s="42">
        <f t="shared" si="1"/>
        <v>3345</v>
      </c>
    </row>
    <row r="15046" ht="22.5" customHeight="1">
      <c r="B15046" s="42" t="str">
        <f>IFERROR(__xludf.DUMMYFUNCTION("""COMPUTED_VALUE"""),"")</f>
        <v/>
      </c>
      <c r="C15046" s="42" t="str">
        <f>IFERROR(__xludf.DUMMYFUNCTION("""COMPUTED_VALUE"""),"")</f>
        <v/>
      </c>
      <c r="D15046" s="42"/>
      <c r="E15046" s="42"/>
      <c r="F15046" s="48" t="str">
        <f>IFERROR(__xludf.DUMMYFUNCTION("""COMPUTED_VALUE"""),"")</f>
        <v/>
      </c>
      <c r="G15046" s="42" t="str">
        <f>IFERROR(__xludf.DUMMYFUNCTION("""COMPUTED_VALUE"""),"")</f>
        <v/>
      </c>
      <c r="H15046" s="42">
        <f t="shared" si="1"/>
        <v>3345</v>
      </c>
    </row>
    <row r="15047" ht="22.5" customHeight="1">
      <c r="B15047" s="42" t="str">
        <f>IFERROR(__xludf.DUMMYFUNCTION("""COMPUTED_VALUE"""),"")</f>
        <v/>
      </c>
      <c r="C15047" s="42" t="str">
        <f>IFERROR(__xludf.DUMMYFUNCTION("""COMPUTED_VALUE"""),"")</f>
        <v/>
      </c>
      <c r="D15047" s="42"/>
      <c r="E15047" s="42"/>
      <c r="F15047" s="48" t="str">
        <f>IFERROR(__xludf.DUMMYFUNCTION("""COMPUTED_VALUE"""),"")</f>
        <v/>
      </c>
      <c r="G15047" s="42" t="str">
        <f>IFERROR(__xludf.DUMMYFUNCTION("""COMPUTED_VALUE"""),"")</f>
        <v/>
      </c>
      <c r="H15047" s="42">
        <f t="shared" si="1"/>
        <v>3345</v>
      </c>
    </row>
    <row r="15048" ht="22.5" customHeight="1">
      <c r="B15048" s="42" t="str">
        <f>IFERROR(__xludf.DUMMYFUNCTION("""COMPUTED_VALUE"""),"")</f>
        <v/>
      </c>
      <c r="C15048" s="42" t="str">
        <f>IFERROR(__xludf.DUMMYFUNCTION("""COMPUTED_VALUE"""),"")</f>
        <v/>
      </c>
      <c r="D15048" s="42"/>
      <c r="E15048" s="42"/>
      <c r="F15048" s="48" t="str">
        <f>IFERROR(__xludf.DUMMYFUNCTION("""COMPUTED_VALUE"""),"")</f>
        <v/>
      </c>
      <c r="G15048" s="42" t="str">
        <f>IFERROR(__xludf.DUMMYFUNCTION("""COMPUTED_VALUE"""),"")</f>
        <v/>
      </c>
      <c r="H15048" s="42">
        <f t="shared" si="1"/>
        <v>3345</v>
      </c>
    </row>
    <row r="15049" ht="22.5" customHeight="1">
      <c r="B15049" s="42" t="str">
        <f>IFERROR(__xludf.DUMMYFUNCTION("""COMPUTED_VALUE"""),"")</f>
        <v/>
      </c>
      <c r="C15049" s="42" t="str">
        <f>IFERROR(__xludf.DUMMYFUNCTION("""COMPUTED_VALUE"""),"")</f>
        <v/>
      </c>
      <c r="D15049" s="42"/>
      <c r="E15049" s="42"/>
      <c r="F15049" s="48" t="str">
        <f>IFERROR(__xludf.DUMMYFUNCTION("""COMPUTED_VALUE"""),"")</f>
        <v/>
      </c>
      <c r="G15049" s="42" t="str">
        <f>IFERROR(__xludf.DUMMYFUNCTION("""COMPUTED_VALUE"""),"")</f>
        <v/>
      </c>
      <c r="H15049" s="42">
        <f t="shared" si="1"/>
        <v>3345</v>
      </c>
    </row>
    <row r="15050" ht="22.5" customHeight="1">
      <c r="B15050" s="42" t="str">
        <f>IFERROR(__xludf.DUMMYFUNCTION("""COMPUTED_VALUE"""),"")</f>
        <v/>
      </c>
      <c r="C15050" s="42" t="str">
        <f>IFERROR(__xludf.DUMMYFUNCTION("""COMPUTED_VALUE"""),"")</f>
        <v/>
      </c>
      <c r="D15050" s="42"/>
      <c r="E15050" s="42"/>
      <c r="F15050" s="48" t="str">
        <f>IFERROR(__xludf.DUMMYFUNCTION("""COMPUTED_VALUE"""),"")</f>
        <v/>
      </c>
      <c r="G15050" s="42" t="str">
        <f>IFERROR(__xludf.DUMMYFUNCTION("""COMPUTED_VALUE"""),"")</f>
        <v/>
      </c>
      <c r="H15050" s="42">
        <f t="shared" si="1"/>
        <v>3345</v>
      </c>
    </row>
    <row r="15051" ht="22.5" customHeight="1">
      <c r="B15051" s="42" t="str">
        <f>IFERROR(__xludf.DUMMYFUNCTION("""COMPUTED_VALUE"""),"")</f>
        <v/>
      </c>
      <c r="C15051" s="42" t="str">
        <f>IFERROR(__xludf.DUMMYFUNCTION("""COMPUTED_VALUE"""),"")</f>
        <v/>
      </c>
      <c r="D15051" s="42"/>
      <c r="E15051" s="42"/>
      <c r="F15051" s="48" t="str">
        <f>IFERROR(__xludf.DUMMYFUNCTION("""COMPUTED_VALUE"""),"")</f>
        <v/>
      </c>
      <c r="G15051" s="42" t="str">
        <f>IFERROR(__xludf.DUMMYFUNCTION("""COMPUTED_VALUE"""),"")</f>
        <v/>
      </c>
      <c r="H15051" s="42">
        <f t="shared" si="1"/>
        <v>3345</v>
      </c>
    </row>
    <row r="15052" ht="22.5" customHeight="1">
      <c r="B15052" s="42" t="str">
        <f>IFERROR(__xludf.DUMMYFUNCTION("""COMPUTED_VALUE"""),"")</f>
        <v/>
      </c>
      <c r="C15052" s="42" t="str">
        <f>IFERROR(__xludf.DUMMYFUNCTION("""COMPUTED_VALUE"""),"")</f>
        <v/>
      </c>
      <c r="D15052" s="42"/>
      <c r="E15052" s="42"/>
      <c r="F15052" s="48" t="str">
        <f>IFERROR(__xludf.DUMMYFUNCTION("""COMPUTED_VALUE"""),"")</f>
        <v/>
      </c>
      <c r="G15052" s="42" t="str">
        <f>IFERROR(__xludf.DUMMYFUNCTION("""COMPUTED_VALUE"""),"")</f>
        <v/>
      </c>
      <c r="H15052" s="42">
        <f t="shared" si="1"/>
        <v>3345</v>
      </c>
    </row>
    <row r="15053" ht="22.5" customHeight="1">
      <c r="B15053" s="42" t="str">
        <f>IFERROR(__xludf.DUMMYFUNCTION("""COMPUTED_VALUE"""),"")</f>
        <v/>
      </c>
      <c r="C15053" s="42" t="str">
        <f>IFERROR(__xludf.DUMMYFUNCTION("""COMPUTED_VALUE"""),"")</f>
        <v/>
      </c>
      <c r="D15053" s="42"/>
      <c r="E15053" s="42"/>
      <c r="F15053" s="48" t="str">
        <f>IFERROR(__xludf.DUMMYFUNCTION("""COMPUTED_VALUE"""),"")</f>
        <v/>
      </c>
      <c r="G15053" s="42" t="str">
        <f>IFERROR(__xludf.DUMMYFUNCTION("""COMPUTED_VALUE"""),"")</f>
        <v/>
      </c>
      <c r="H15053" s="42">
        <f t="shared" si="1"/>
        <v>3345</v>
      </c>
    </row>
    <row r="15054" ht="22.5" customHeight="1">
      <c r="B15054" s="42" t="str">
        <f>IFERROR(__xludf.DUMMYFUNCTION("""COMPUTED_VALUE"""),"")</f>
        <v/>
      </c>
      <c r="C15054" s="42" t="str">
        <f>IFERROR(__xludf.DUMMYFUNCTION("""COMPUTED_VALUE"""),"")</f>
        <v/>
      </c>
      <c r="D15054" s="42"/>
      <c r="E15054" s="42"/>
      <c r="F15054" s="48" t="str">
        <f>IFERROR(__xludf.DUMMYFUNCTION("""COMPUTED_VALUE"""),"")</f>
        <v/>
      </c>
      <c r="G15054" s="42" t="str">
        <f>IFERROR(__xludf.DUMMYFUNCTION("""COMPUTED_VALUE"""),"")</f>
        <v/>
      </c>
      <c r="H15054" s="42">
        <f t="shared" si="1"/>
        <v>3345</v>
      </c>
    </row>
    <row r="15055" ht="22.5" customHeight="1">
      <c r="B15055" s="42" t="str">
        <f>IFERROR(__xludf.DUMMYFUNCTION("""COMPUTED_VALUE"""),"")</f>
        <v/>
      </c>
      <c r="C15055" s="42" t="str">
        <f>IFERROR(__xludf.DUMMYFUNCTION("""COMPUTED_VALUE"""),"")</f>
        <v/>
      </c>
      <c r="D15055" s="42"/>
      <c r="E15055" s="42"/>
      <c r="F15055" s="48" t="str">
        <f>IFERROR(__xludf.DUMMYFUNCTION("""COMPUTED_VALUE"""),"")</f>
        <v/>
      </c>
      <c r="G15055" s="42" t="str">
        <f>IFERROR(__xludf.DUMMYFUNCTION("""COMPUTED_VALUE"""),"")</f>
        <v/>
      </c>
      <c r="H15055" s="42">
        <f t="shared" si="1"/>
        <v>3345</v>
      </c>
    </row>
    <row r="15056" ht="22.5" customHeight="1">
      <c r="B15056" s="42" t="str">
        <f>IFERROR(__xludf.DUMMYFUNCTION("""COMPUTED_VALUE"""),"")</f>
        <v/>
      </c>
      <c r="C15056" s="42" t="str">
        <f>IFERROR(__xludf.DUMMYFUNCTION("""COMPUTED_VALUE"""),"")</f>
        <v/>
      </c>
      <c r="D15056" s="42"/>
      <c r="E15056" s="42"/>
      <c r="F15056" s="48" t="str">
        <f>IFERROR(__xludf.DUMMYFUNCTION("""COMPUTED_VALUE"""),"")</f>
        <v/>
      </c>
      <c r="G15056" s="42" t="str">
        <f>IFERROR(__xludf.DUMMYFUNCTION("""COMPUTED_VALUE"""),"")</f>
        <v/>
      </c>
      <c r="H15056" s="42">
        <f t="shared" si="1"/>
        <v>3345</v>
      </c>
    </row>
    <row r="15057" ht="22.5" customHeight="1">
      <c r="B15057" s="42" t="str">
        <f>IFERROR(__xludf.DUMMYFUNCTION("""COMPUTED_VALUE"""),"")</f>
        <v/>
      </c>
      <c r="C15057" s="42" t="str">
        <f>IFERROR(__xludf.DUMMYFUNCTION("""COMPUTED_VALUE"""),"")</f>
        <v/>
      </c>
      <c r="D15057" s="42"/>
      <c r="E15057" s="42"/>
      <c r="F15057" s="48" t="str">
        <f>IFERROR(__xludf.DUMMYFUNCTION("""COMPUTED_VALUE"""),"")</f>
        <v/>
      </c>
      <c r="G15057" s="42" t="str">
        <f>IFERROR(__xludf.DUMMYFUNCTION("""COMPUTED_VALUE"""),"")</f>
        <v/>
      </c>
      <c r="H15057" s="42">
        <f t="shared" si="1"/>
        <v>3345</v>
      </c>
    </row>
    <row r="15058" ht="22.5" customHeight="1">
      <c r="B15058" s="42" t="str">
        <f>IFERROR(__xludf.DUMMYFUNCTION("""COMPUTED_VALUE"""),"")</f>
        <v/>
      </c>
      <c r="C15058" s="42" t="str">
        <f>IFERROR(__xludf.DUMMYFUNCTION("""COMPUTED_VALUE"""),"")</f>
        <v/>
      </c>
      <c r="D15058" s="42"/>
      <c r="E15058" s="42"/>
      <c r="F15058" s="48" t="str">
        <f>IFERROR(__xludf.DUMMYFUNCTION("""COMPUTED_VALUE"""),"")</f>
        <v/>
      </c>
      <c r="G15058" s="42" t="str">
        <f>IFERROR(__xludf.DUMMYFUNCTION("""COMPUTED_VALUE"""),"")</f>
        <v/>
      </c>
      <c r="H15058" s="42">
        <f t="shared" si="1"/>
        <v>3345</v>
      </c>
    </row>
    <row r="15059" ht="22.5" customHeight="1">
      <c r="B15059" s="42" t="str">
        <f>IFERROR(__xludf.DUMMYFUNCTION("""COMPUTED_VALUE"""),"")</f>
        <v/>
      </c>
      <c r="C15059" s="42" t="str">
        <f>IFERROR(__xludf.DUMMYFUNCTION("""COMPUTED_VALUE"""),"")</f>
        <v/>
      </c>
      <c r="D15059" s="42"/>
      <c r="E15059" s="42"/>
      <c r="F15059" s="48" t="str">
        <f>IFERROR(__xludf.DUMMYFUNCTION("""COMPUTED_VALUE"""),"")</f>
        <v/>
      </c>
      <c r="G15059" s="42" t="str">
        <f>IFERROR(__xludf.DUMMYFUNCTION("""COMPUTED_VALUE"""),"")</f>
        <v/>
      </c>
      <c r="H15059" s="42">
        <f t="shared" si="1"/>
        <v>3345</v>
      </c>
    </row>
    <row r="15060" ht="22.5" customHeight="1">
      <c r="B15060" s="42" t="str">
        <f>IFERROR(__xludf.DUMMYFUNCTION("""COMPUTED_VALUE"""),"")</f>
        <v/>
      </c>
      <c r="C15060" s="42" t="str">
        <f>IFERROR(__xludf.DUMMYFUNCTION("""COMPUTED_VALUE"""),"")</f>
        <v/>
      </c>
      <c r="D15060" s="42"/>
      <c r="E15060" s="42"/>
      <c r="F15060" s="48" t="str">
        <f>IFERROR(__xludf.DUMMYFUNCTION("""COMPUTED_VALUE"""),"")</f>
        <v/>
      </c>
      <c r="G15060" s="42" t="str">
        <f>IFERROR(__xludf.DUMMYFUNCTION("""COMPUTED_VALUE"""),"")</f>
        <v/>
      </c>
      <c r="H15060" s="42">
        <f t="shared" si="1"/>
        <v>3345</v>
      </c>
    </row>
    <row r="15061" ht="22.5" customHeight="1">
      <c r="B15061" s="42" t="str">
        <f>IFERROR(__xludf.DUMMYFUNCTION("""COMPUTED_VALUE"""),"")</f>
        <v/>
      </c>
      <c r="C15061" s="42" t="str">
        <f>IFERROR(__xludf.DUMMYFUNCTION("""COMPUTED_VALUE"""),"")</f>
        <v/>
      </c>
      <c r="D15061" s="42"/>
      <c r="E15061" s="42"/>
      <c r="F15061" s="48" t="str">
        <f>IFERROR(__xludf.DUMMYFUNCTION("""COMPUTED_VALUE"""),"")</f>
        <v/>
      </c>
      <c r="G15061" s="42" t="str">
        <f>IFERROR(__xludf.DUMMYFUNCTION("""COMPUTED_VALUE"""),"")</f>
        <v/>
      </c>
      <c r="H15061" s="42">
        <f t="shared" si="1"/>
        <v>3345</v>
      </c>
    </row>
    <row r="15062" ht="22.5" customHeight="1">
      <c r="B15062" s="42" t="str">
        <f>IFERROR(__xludf.DUMMYFUNCTION("""COMPUTED_VALUE"""),"")</f>
        <v/>
      </c>
      <c r="C15062" s="42" t="str">
        <f>IFERROR(__xludf.DUMMYFUNCTION("""COMPUTED_VALUE"""),"")</f>
        <v/>
      </c>
      <c r="D15062" s="42"/>
      <c r="E15062" s="42"/>
      <c r="F15062" s="48" t="str">
        <f>IFERROR(__xludf.DUMMYFUNCTION("""COMPUTED_VALUE"""),"")</f>
        <v/>
      </c>
      <c r="G15062" s="42" t="str">
        <f>IFERROR(__xludf.DUMMYFUNCTION("""COMPUTED_VALUE"""),"")</f>
        <v/>
      </c>
      <c r="H15062" s="42">
        <f t="shared" si="1"/>
        <v>3345</v>
      </c>
    </row>
    <row r="15063" ht="22.5" customHeight="1">
      <c r="B15063" s="42" t="str">
        <f>IFERROR(__xludf.DUMMYFUNCTION("""COMPUTED_VALUE"""),"")</f>
        <v/>
      </c>
      <c r="C15063" s="42" t="str">
        <f>IFERROR(__xludf.DUMMYFUNCTION("""COMPUTED_VALUE"""),"")</f>
        <v/>
      </c>
      <c r="D15063" s="42"/>
      <c r="E15063" s="42"/>
      <c r="F15063" s="48" t="str">
        <f>IFERROR(__xludf.DUMMYFUNCTION("""COMPUTED_VALUE"""),"")</f>
        <v/>
      </c>
      <c r="G15063" s="42" t="str">
        <f>IFERROR(__xludf.DUMMYFUNCTION("""COMPUTED_VALUE"""),"")</f>
        <v/>
      </c>
      <c r="H15063" s="42">
        <f t="shared" si="1"/>
        <v>3345</v>
      </c>
    </row>
    <row r="15064" ht="22.5" customHeight="1">
      <c r="B15064" s="42" t="str">
        <f>IFERROR(__xludf.DUMMYFUNCTION("""COMPUTED_VALUE"""),"")</f>
        <v/>
      </c>
      <c r="C15064" s="42" t="str">
        <f>IFERROR(__xludf.DUMMYFUNCTION("""COMPUTED_VALUE"""),"")</f>
        <v/>
      </c>
      <c r="D15064" s="42"/>
      <c r="E15064" s="42"/>
      <c r="F15064" s="48" t="str">
        <f>IFERROR(__xludf.DUMMYFUNCTION("""COMPUTED_VALUE"""),"")</f>
        <v/>
      </c>
      <c r="G15064" s="42" t="str">
        <f>IFERROR(__xludf.DUMMYFUNCTION("""COMPUTED_VALUE"""),"")</f>
        <v/>
      </c>
      <c r="H15064" s="42">
        <f t="shared" si="1"/>
        <v>3345</v>
      </c>
    </row>
    <row r="15065" ht="22.5" customHeight="1">
      <c r="B15065" s="42" t="str">
        <f>IFERROR(__xludf.DUMMYFUNCTION("""COMPUTED_VALUE"""),"")</f>
        <v/>
      </c>
      <c r="C15065" s="42" t="str">
        <f>IFERROR(__xludf.DUMMYFUNCTION("""COMPUTED_VALUE"""),"")</f>
        <v/>
      </c>
      <c r="D15065" s="42"/>
      <c r="E15065" s="42"/>
      <c r="F15065" s="48" t="str">
        <f>IFERROR(__xludf.DUMMYFUNCTION("""COMPUTED_VALUE"""),"")</f>
        <v/>
      </c>
      <c r="G15065" s="42" t="str">
        <f>IFERROR(__xludf.DUMMYFUNCTION("""COMPUTED_VALUE"""),"")</f>
        <v/>
      </c>
      <c r="H15065" s="42">
        <f t="shared" si="1"/>
        <v>3345</v>
      </c>
    </row>
    <row r="15066" ht="22.5" customHeight="1">
      <c r="B15066" s="42" t="str">
        <f>IFERROR(__xludf.DUMMYFUNCTION("""COMPUTED_VALUE"""),"")</f>
        <v/>
      </c>
      <c r="C15066" s="42" t="str">
        <f>IFERROR(__xludf.DUMMYFUNCTION("""COMPUTED_VALUE"""),"")</f>
        <v/>
      </c>
      <c r="D15066" s="42"/>
      <c r="E15066" s="42"/>
      <c r="F15066" s="48" t="str">
        <f>IFERROR(__xludf.DUMMYFUNCTION("""COMPUTED_VALUE"""),"")</f>
        <v/>
      </c>
      <c r="G15066" s="42" t="str">
        <f>IFERROR(__xludf.DUMMYFUNCTION("""COMPUTED_VALUE"""),"")</f>
        <v/>
      </c>
      <c r="H15066" s="42">
        <f t="shared" si="1"/>
        <v>3345</v>
      </c>
    </row>
    <row r="15067" ht="22.5" customHeight="1">
      <c r="B15067" s="42" t="str">
        <f>IFERROR(__xludf.DUMMYFUNCTION("""COMPUTED_VALUE"""),"")</f>
        <v/>
      </c>
      <c r="C15067" s="42" t="str">
        <f>IFERROR(__xludf.DUMMYFUNCTION("""COMPUTED_VALUE"""),"")</f>
        <v/>
      </c>
      <c r="D15067" s="42"/>
      <c r="E15067" s="42"/>
      <c r="F15067" s="48" t="str">
        <f>IFERROR(__xludf.DUMMYFUNCTION("""COMPUTED_VALUE"""),"")</f>
        <v/>
      </c>
      <c r="G15067" s="42" t="str">
        <f>IFERROR(__xludf.DUMMYFUNCTION("""COMPUTED_VALUE"""),"")</f>
        <v/>
      </c>
      <c r="H15067" s="42">
        <f t="shared" si="1"/>
        <v>3345</v>
      </c>
    </row>
    <row r="15068" ht="22.5" customHeight="1">
      <c r="B15068" s="42" t="str">
        <f>IFERROR(__xludf.DUMMYFUNCTION("""COMPUTED_VALUE"""),"")</f>
        <v/>
      </c>
      <c r="C15068" s="42" t="str">
        <f>IFERROR(__xludf.DUMMYFUNCTION("""COMPUTED_VALUE"""),"")</f>
        <v/>
      </c>
      <c r="D15068" s="42"/>
      <c r="E15068" s="42"/>
      <c r="F15068" s="48" t="str">
        <f>IFERROR(__xludf.DUMMYFUNCTION("""COMPUTED_VALUE"""),"")</f>
        <v/>
      </c>
      <c r="G15068" s="42" t="str">
        <f>IFERROR(__xludf.DUMMYFUNCTION("""COMPUTED_VALUE"""),"")</f>
        <v/>
      </c>
      <c r="H15068" s="42">
        <f t="shared" si="1"/>
        <v>3345</v>
      </c>
    </row>
    <row r="15069" ht="22.5" customHeight="1">
      <c r="B15069" s="42" t="str">
        <f>IFERROR(__xludf.DUMMYFUNCTION("""COMPUTED_VALUE"""),"")</f>
        <v/>
      </c>
      <c r="C15069" s="42" t="str">
        <f>IFERROR(__xludf.DUMMYFUNCTION("""COMPUTED_VALUE"""),"")</f>
        <v/>
      </c>
      <c r="D15069" s="42"/>
      <c r="E15069" s="42"/>
      <c r="F15069" s="48" t="str">
        <f>IFERROR(__xludf.DUMMYFUNCTION("""COMPUTED_VALUE"""),"")</f>
        <v/>
      </c>
      <c r="G15069" s="42" t="str">
        <f>IFERROR(__xludf.DUMMYFUNCTION("""COMPUTED_VALUE"""),"")</f>
        <v/>
      </c>
      <c r="H15069" s="42">
        <f t="shared" si="1"/>
        <v>3345</v>
      </c>
    </row>
    <row r="15070" ht="22.5" customHeight="1">
      <c r="B15070" s="42" t="str">
        <f>IFERROR(__xludf.DUMMYFUNCTION("""COMPUTED_VALUE"""),"")</f>
        <v/>
      </c>
      <c r="C15070" s="42" t="str">
        <f>IFERROR(__xludf.DUMMYFUNCTION("""COMPUTED_VALUE"""),"")</f>
        <v/>
      </c>
      <c r="D15070" s="42"/>
      <c r="E15070" s="42"/>
      <c r="F15070" s="48" t="str">
        <f>IFERROR(__xludf.DUMMYFUNCTION("""COMPUTED_VALUE"""),"")</f>
        <v/>
      </c>
      <c r="G15070" s="42" t="str">
        <f>IFERROR(__xludf.DUMMYFUNCTION("""COMPUTED_VALUE"""),"")</f>
        <v/>
      </c>
      <c r="H15070" s="42">
        <f t="shared" si="1"/>
        <v>3345</v>
      </c>
    </row>
    <row r="15071" ht="22.5" customHeight="1">
      <c r="B15071" s="42" t="str">
        <f>IFERROR(__xludf.DUMMYFUNCTION("""COMPUTED_VALUE"""),"")</f>
        <v/>
      </c>
      <c r="C15071" s="42" t="str">
        <f>IFERROR(__xludf.DUMMYFUNCTION("""COMPUTED_VALUE"""),"")</f>
        <v/>
      </c>
      <c r="D15071" s="42"/>
      <c r="E15071" s="42"/>
      <c r="F15071" s="48" t="str">
        <f>IFERROR(__xludf.DUMMYFUNCTION("""COMPUTED_VALUE"""),"")</f>
        <v/>
      </c>
      <c r="G15071" s="42" t="str">
        <f>IFERROR(__xludf.DUMMYFUNCTION("""COMPUTED_VALUE"""),"")</f>
        <v/>
      </c>
      <c r="H15071" s="42">
        <f t="shared" si="1"/>
        <v>3345</v>
      </c>
    </row>
    <row r="15072" ht="22.5" customHeight="1">
      <c r="B15072" s="42" t="str">
        <f>IFERROR(__xludf.DUMMYFUNCTION("""COMPUTED_VALUE"""),"")</f>
        <v/>
      </c>
      <c r="C15072" s="42" t="str">
        <f>IFERROR(__xludf.DUMMYFUNCTION("""COMPUTED_VALUE"""),"")</f>
        <v/>
      </c>
      <c r="D15072" s="42"/>
      <c r="E15072" s="42"/>
      <c r="F15072" s="48" t="str">
        <f>IFERROR(__xludf.DUMMYFUNCTION("""COMPUTED_VALUE"""),"")</f>
        <v/>
      </c>
      <c r="G15072" s="42" t="str">
        <f>IFERROR(__xludf.DUMMYFUNCTION("""COMPUTED_VALUE"""),"")</f>
        <v/>
      </c>
      <c r="H15072" s="42">
        <f t="shared" si="1"/>
        <v>3345</v>
      </c>
    </row>
    <row r="15073" ht="22.5" customHeight="1">
      <c r="B15073" s="42" t="str">
        <f>IFERROR(__xludf.DUMMYFUNCTION("""COMPUTED_VALUE"""),"")</f>
        <v/>
      </c>
      <c r="C15073" s="42" t="str">
        <f>IFERROR(__xludf.DUMMYFUNCTION("""COMPUTED_VALUE"""),"")</f>
        <v/>
      </c>
      <c r="D15073" s="42"/>
      <c r="E15073" s="42"/>
      <c r="F15073" s="48" t="str">
        <f>IFERROR(__xludf.DUMMYFUNCTION("""COMPUTED_VALUE"""),"")</f>
        <v/>
      </c>
      <c r="G15073" s="42" t="str">
        <f>IFERROR(__xludf.DUMMYFUNCTION("""COMPUTED_VALUE"""),"")</f>
        <v/>
      </c>
      <c r="H15073" s="42">
        <f t="shared" si="1"/>
        <v>3345</v>
      </c>
    </row>
    <row r="15074" ht="22.5" customHeight="1">
      <c r="B15074" s="42" t="str">
        <f>IFERROR(__xludf.DUMMYFUNCTION("""COMPUTED_VALUE"""),"")</f>
        <v/>
      </c>
      <c r="C15074" s="42" t="str">
        <f>IFERROR(__xludf.DUMMYFUNCTION("""COMPUTED_VALUE"""),"")</f>
        <v/>
      </c>
      <c r="D15074" s="42"/>
      <c r="E15074" s="42"/>
      <c r="F15074" s="48" t="str">
        <f>IFERROR(__xludf.DUMMYFUNCTION("""COMPUTED_VALUE"""),"")</f>
        <v/>
      </c>
      <c r="G15074" s="42" t="str">
        <f>IFERROR(__xludf.DUMMYFUNCTION("""COMPUTED_VALUE"""),"")</f>
        <v/>
      </c>
      <c r="H15074" s="42">
        <f t="shared" si="1"/>
        <v>3345</v>
      </c>
    </row>
    <row r="15075" ht="22.5" customHeight="1">
      <c r="B15075" s="42" t="str">
        <f>IFERROR(__xludf.DUMMYFUNCTION("""COMPUTED_VALUE"""),"")</f>
        <v/>
      </c>
      <c r="C15075" s="42" t="str">
        <f>IFERROR(__xludf.DUMMYFUNCTION("""COMPUTED_VALUE"""),"")</f>
        <v/>
      </c>
      <c r="D15075" s="42"/>
      <c r="E15075" s="42"/>
      <c r="F15075" s="48" t="str">
        <f>IFERROR(__xludf.DUMMYFUNCTION("""COMPUTED_VALUE"""),"")</f>
        <v/>
      </c>
      <c r="G15075" s="42" t="str">
        <f>IFERROR(__xludf.DUMMYFUNCTION("""COMPUTED_VALUE"""),"")</f>
        <v/>
      </c>
      <c r="H15075" s="42">
        <f t="shared" si="1"/>
        <v>3345</v>
      </c>
    </row>
    <row r="15076" ht="22.5" customHeight="1">
      <c r="B15076" s="42" t="str">
        <f>IFERROR(__xludf.DUMMYFUNCTION("""COMPUTED_VALUE"""),"")</f>
        <v/>
      </c>
      <c r="C15076" s="42" t="str">
        <f>IFERROR(__xludf.DUMMYFUNCTION("""COMPUTED_VALUE"""),"")</f>
        <v/>
      </c>
      <c r="D15076" s="42"/>
      <c r="E15076" s="42"/>
      <c r="F15076" s="48" t="str">
        <f>IFERROR(__xludf.DUMMYFUNCTION("""COMPUTED_VALUE"""),"")</f>
        <v/>
      </c>
      <c r="G15076" s="42" t="str">
        <f>IFERROR(__xludf.DUMMYFUNCTION("""COMPUTED_VALUE"""),"")</f>
        <v/>
      </c>
      <c r="H15076" s="42">
        <f t="shared" si="1"/>
        <v>3345</v>
      </c>
    </row>
    <row r="15077" ht="22.5" customHeight="1">
      <c r="B15077" s="42" t="str">
        <f>IFERROR(__xludf.DUMMYFUNCTION("""COMPUTED_VALUE"""),"")</f>
        <v/>
      </c>
      <c r="C15077" s="42" t="str">
        <f>IFERROR(__xludf.DUMMYFUNCTION("""COMPUTED_VALUE"""),"")</f>
        <v/>
      </c>
      <c r="D15077" s="42"/>
      <c r="E15077" s="42"/>
      <c r="F15077" s="48" t="str">
        <f>IFERROR(__xludf.DUMMYFUNCTION("""COMPUTED_VALUE"""),"")</f>
        <v/>
      </c>
      <c r="G15077" s="42" t="str">
        <f>IFERROR(__xludf.DUMMYFUNCTION("""COMPUTED_VALUE"""),"")</f>
        <v/>
      </c>
      <c r="H15077" s="42">
        <f t="shared" si="1"/>
        <v>3345</v>
      </c>
    </row>
    <row r="15078" ht="22.5" customHeight="1">
      <c r="B15078" s="42" t="str">
        <f>IFERROR(__xludf.DUMMYFUNCTION("""COMPUTED_VALUE"""),"")</f>
        <v/>
      </c>
      <c r="C15078" s="42" t="str">
        <f>IFERROR(__xludf.DUMMYFUNCTION("""COMPUTED_VALUE"""),"")</f>
        <v/>
      </c>
      <c r="D15078" s="42"/>
      <c r="E15078" s="42"/>
      <c r="F15078" s="48" t="str">
        <f>IFERROR(__xludf.DUMMYFUNCTION("""COMPUTED_VALUE"""),"")</f>
        <v/>
      </c>
      <c r="G15078" s="42" t="str">
        <f>IFERROR(__xludf.DUMMYFUNCTION("""COMPUTED_VALUE"""),"")</f>
        <v/>
      </c>
      <c r="H15078" s="42">
        <f t="shared" si="1"/>
        <v>3345</v>
      </c>
    </row>
    <row r="15079" ht="22.5" customHeight="1">
      <c r="B15079" s="42" t="str">
        <f>IFERROR(__xludf.DUMMYFUNCTION("""COMPUTED_VALUE"""),"")</f>
        <v/>
      </c>
      <c r="C15079" s="42" t="str">
        <f>IFERROR(__xludf.DUMMYFUNCTION("""COMPUTED_VALUE"""),"")</f>
        <v/>
      </c>
      <c r="D15079" s="42"/>
      <c r="E15079" s="42"/>
      <c r="F15079" s="48" t="str">
        <f>IFERROR(__xludf.DUMMYFUNCTION("""COMPUTED_VALUE"""),"")</f>
        <v/>
      </c>
      <c r="G15079" s="42" t="str">
        <f>IFERROR(__xludf.DUMMYFUNCTION("""COMPUTED_VALUE"""),"")</f>
        <v/>
      </c>
      <c r="H15079" s="42">
        <f t="shared" si="1"/>
        <v>3345</v>
      </c>
    </row>
    <row r="15080" ht="22.5" customHeight="1">
      <c r="B15080" s="42" t="str">
        <f>IFERROR(__xludf.DUMMYFUNCTION("""COMPUTED_VALUE"""),"")</f>
        <v/>
      </c>
      <c r="C15080" s="42" t="str">
        <f>IFERROR(__xludf.DUMMYFUNCTION("""COMPUTED_VALUE"""),"")</f>
        <v/>
      </c>
      <c r="D15080" s="42"/>
      <c r="E15080" s="42"/>
      <c r="F15080" s="48" t="str">
        <f>IFERROR(__xludf.DUMMYFUNCTION("""COMPUTED_VALUE"""),"")</f>
        <v/>
      </c>
      <c r="G15080" s="42" t="str">
        <f>IFERROR(__xludf.DUMMYFUNCTION("""COMPUTED_VALUE"""),"")</f>
        <v/>
      </c>
      <c r="H15080" s="42">
        <f t="shared" si="1"/>
        <v>3345</v>
      </c>
    </row>
    <row r="15081" ht="22.5" customHeight="1">
      <c r="B15081" s="42" t="str">
        <f>IFERROR(__xludf.DUMMYFUNCTION("""COMPUTED_VALUE"""),"")</f>
        <v/>
      </c>
      <c r="C15081" s="42" t="str">
        <f>IFERROR(__xludf.DUMMYFUNCTION("""COMPUTED_VALUE"""),"")</f>
        <v/>
      </c>
      <c r="D15081" s="42"/>
      <c r="E15081" s="42"/>
      <c r="F15081" s="48" t="str">
        <f>IFERROR(__xludf.DUMMYFUNCTION("""COMPUTED_VALUE"""),"")</f>
        <v/>
      </c>
      <c r="G15081" s="42" t="str">
        <f>IFERROR(__xludf.DUMMYFUNCTION("""COMPUTED_VALUE"""),"")</f>
        <v/>
      </c>
      <c r="H15081" s="42">
        <f t="shared" si="1"/>
        <v>3345</v>
      </c>
    </row>
    <row r="15082" ht="22.5" customHeight="1">
      <c r="B15082" s="42" t="str">
        <f>IFERROR(__xludf.DUMMYFUNCTION("""COMPUTED_VALUE"""),"")</f>
        <v/>
      </c>
      <c r="C15082" s="42" t="str">
        <f>IFERROR(__xludf.DUMMYFUNCTION("""COMPUTED_VALUE"""),"")</f>
        <v/>
      </c>
      <c r="D15082" s="42"/>
      <c r="E15082" s="42"/>
      <c r="F15082" s="48" t="str">
        <f>IFERROR(__xludf.DUMMYFUNCTION("""COMPUTED_VALUE"""),"")</f>
        <v/>
      </c>
      <c r="G15082" s="42" t="str">
        <f>IFERROR(__xludf.DUMMYFUNCTION("""COMPUTED_VALUE"""),"")</f>
        <v/>
      </c>
      <c r="H15082" s="42">
        <f t="shared" si="1"/>
        <v>3345</v>
      </c>
    </row>
    <row r="15083" ht="22.5" customHeight="1">
      <c r="B15083" s="42" t="str">
        <f>IFERROR(__xludf.DUMMYFUNCTION("""COMPUTED_VALUE"""),"")</f>
        <v/>
      </c>
      <c r="C15083" s="42" t="str">
        <f>IFERROR(__xludf.DUMMYFUNCTION("""COMPUTED_VALUE"""),"")</f>
        <v/>
      </c>
      <c r="D15083" s="42"/>
      <c r="E15083" s="42"/>
      <c r="F15083" s="48" t="str">
        <f>IFERROR(__xludf.DUMMYFUNCTION("""COMPUTED_VALUE"""),"")</f>
        <v/>
      </c>
      <c r="G15083" s="42" t="str">
        <f>IFERROR(__xludf.DUMMYFUNCTION("""COMPUTED_VALUE"""),"")</f>
        <v/>
      </c>
      <c r="H15083" s="42">
        <f t="shared" si="1"/>
        <v>3345</v>
      </c>
    </row>
    <row r="15084" ht="22.5" customHeight="1">
      <c r="B15084" s="42" t="str">
        <f>IFERROR(__xludf.DUMMYFUNCTION("""COMPUTED_VALUE"""),"")</f>
        <v/>
      </c>
      <c r="C15084" s="42" t="str">
        <f>IFERROR(__xludf.DUMMYFUNCTION("""COMPUTED_VALUE"""),"")</f>
        <v/>
      </c>
      <c r="D15084" s="42"/>
      <c r="E15084" s="42"/>
      <c r="F15084" s="48" t="str">
        <f>IFERROR(__xludf.DUMMYFUNCTION("""COMPUTED_VALUE"""),"")</f>
        <v/>
      </c>
      <c r="G15084" s="42" t="str">
        <f>IFERROR(__xludf.DUMMYFUNCTION("""COMPUTED_VALUE"""),"")</f>
        <v/>
      </c>
      <c r="H15084" s="42">
        <f t="shared" si="1"/>
        <v>3345</v>
      </c>
    </row>
    <row r="15085" ht="22.5" customHeight="1">
      <c r="B15085" s="42" t="str">
        <f>IFERROR(__xludf.DUMMYFUNCTION("""COMPUTED_VALUE"""),"")</f>
        <v/>
      </c>
      <c r="C15085" s="42" t="str">
        <f>IFERROR(__xludf.DUMMYFUNCTION("""COMPUTED_VALUE"""),"")</f>
        <v/>
      </c>
      <c r="D15085" s="42"/>
      <c r="E15085" s="42"/>
      <c r="F15085" s="48" t="str">
        <f>IFERROR(__xludf.DUMMYFUNCTION("""COMPUTED_VALUE"""),"")</f>
        <v/>
      </c>
      <c r="G15085" s="42" t="str">
        <f>IFERROR(__xludf.DUMMYFUNCTION("""COMPUTED_VALUE"""),"")</f>
        <v/>
      </c>
      <c r="H15085" s="42">
        <f t="shared" si="1"/>
        <v>3345</v>
      </c>
    </row>
    <row r="15086" ht="22.5" customHeight="1">
      <c r="B15086" s="42" t="str">
        <f>IFERROR(__xludf.DUMMYFUNCTION("""COMPUTED_VALUE"""),"")</f>
        <v/>
      </c>
      <c r="C15086" s="42" t="str">
        <f>IFERROR(__xludf.DUMMYFUNCTION("""COMPUTED_VALUE"""),"")</f>
        <v/>
      </c>
      <c r="D15086" s="42"/>
      <c r="E15086" s="42"/>
      <c r="F15086" s="48" t="str">
        <f>IFERROR(__xludf.DUMMYFUNCTION("""COMPUTED_VALUE"""),"")</f>
        <v/>
      </c>
      <c r="G15086" s="42" t="str">
        <f>IFERROR(__xludf.DUMMYFUNCTION("""COMPUTED_VALUE"""),"")</f>
        <v/>
      </c>
      <c r="H15086" s="42">
        <f t="shared" si="1"/>
        <v>3345</v>
      </c>
    </row>
    <row r="15087" ht="22.5" customHeight="1">
      <c r="B15087" s="42" t="str">
        <f>IFERROR(__xludf.DUMMYFUNCTION("""COMPUTED_VALUE"""),"")</f>
        <v/>
      </c>
      <c r="C15087" s="42" t="str">
        <f>IFERROR(__xludf.DUMMYFUNCTION("""COMPUTED_VALUE"""),"")</f>
        <v/>
      </c>
      <c r="D15087" s="42"/>
      <c r="E15087" s="42"/>
      <c r="F15087" s="48" t="str">
        <f>IFERROR(__xludf.DUMMYFUNCTION("""COMPUTED_VALUE"""),"")</f>
        <v/>
      </c>
      <c r="G15087" s="42" t="str">
        <f>IFERROR(__xludf.DUMMYFUNCTION("""COMPUTED_VALUE"""),"")</f>
        <v/>
      </c>
      <c r="H15087" s="42">
        <f t="shared" si="1"/>
        <v>3345</v>
      </c>
    </row>
    <row r="15088" ht="22.5" customHeight="1">
      <c r="B15088" s="42" t="str">
        <f>IFERROR(__xludf.DUMMYFUNCTION("""COMPUTED_VALUE"""),"")</f>
        <v/>
      </c>
      <c r="C15088" s="42" t="str">
        <f>IFERROR(__xludf.DUMMYFUNCTION("""COMPUTED_VALUE"""),"")</f>
        <v/>
      </c>
      <c r="D15088" s="42"/>
      <c r="E15088" s="42"/>
      <c r="F15088" s="48" t="str">
        <f>IFERROR(__xludf.DUMMYFUNCTION("""COMPUTED_VALUE"""),"")</f>
        <v/>
      </c>
      <c r="G15088" s="42" t="str">
        <f>IFERROR(__xludf.DUMMYFUNCTION("""COMPUTED_VALUE"""),"")</f>
        <v/>
      </c>
      <c r="H15088" s="42">
        <f t="shared" si="1"/>
        <v>3345</v>
      </c>
    </row>
    <row r="15089" ht="22.5" customHeight="1">
      <c r="B15089" s="42" t="str">
        <f>IFERROR(__xludf.DUMMYFUNCTION("""COMPUTED_VALUE"""),"")</f>
        <v/>
      </c>
      <c r="C15089" s="42" t="str">
        <f>IFERROR(__xludf.DUMMYFUNCTION("""COMPUTED_VALUE"""),"")</f>
        <v/>
      </c>
      <c r="D15089" s="42"/>
      <c r="E15089" s="42"/>
      <c r="F15089" s="48" t="str">
        <f>IFERROR(__xludf.DUMMYFUNCTION("""COMPUTED_VALUE"""),"")</f>
        <v/>
      </c>
      <c r="G15089" s="42" t="str">
        <f>IFERROR(__xludf.DUMMYFUNCTION("""COMPUTED_VALUE"""),"")</f>
        <v/>
      </c>
      <c r="H15089" s="42">
        <f t="shared" si="1"/>
        <v>3345</v>
      </c>
    </row>
    <row r="15090" ht="22.5" customHeight="1">
      <c r="B15090" s="42" t="str">
        <f>IFERROR(__xludf.DUMMYFUNCTION("""COMPUTED_VALUE"""),"")</f>
        <v/>
      </c>
      <c r="C15090" s="42" t="str">
        <f>IFERROR(__xludf.DUMMYFUNCTION("""COMPUTED_VALUE"""),"")</f>
        <v/>
      </c>
      <c r="D15090" s="42"/>
      <c r="E15090" s="42"/>
      <c r="F15090" s="48" t="str">
        <f>IFERROR(__xludf.DUMMYFUNCTION("""COMPUTED_VALUE"""),"")</f>
        <v/>
      </c>
      <c r="G15090" s="42" t="str">
        <f>IFERROR(__xludf.DUMMYFUNCTION("""COMPUTED_VALUE"""),"")</f>
        <v/>
      </c>
      <c r="H15090" s="42">
        <f t="shared" si="1"/>
        <v>3345</v>
      </c>
    </row>
    <row r="15091" ht="22.5" customHeight="1">
      <c r="B15091" s="42" t="str">
        <f>IFERROR(__xludf.DUMMYFUNCTION("""COMPUTED_VALUE"""),"")</f>
        <v/>
      </c>
      <c r="C15091" s="42" t="str">
        <f>IFERROR(__xludf.DUMMYFUNCTION("""COMPUTED_VALUE"""),"")</f>
        <v/>
      </c>
      <c r="D15091" s="42"/>
      <c r="E15091" s="42"/>
      <c r="F15091" s="48" t="str">
        <f>IFERROR(__xludf.DUMMYFUNCTION("""COMPUTED_VALUE"""),"")</f>
        <v/>
      </c>
      <c r="G15091" s="42" t="str">
        <f>IFERROR(__xludf.DUMMYFUNCTION("""COMPUTED_VALUE"""),"")</f>
        <v/>
      </c>
      <c r="H15091" s="42">
        <f t="shared" si="1"/>
        <v>3345</v>
      </c>
    </row>
    <row r="15092" ht="22.5" customHeight="1">
      <c r="B15092" s="42" t="str">
        <f>IFERROR(__xludf.DUMMYFUNCTION("""COMPUTED_VALUE"""),"")</f>
        <v/>
      </c>
      <c r="C15092" s="42" t="str">
        <f>IFERROR(__xludf.DUMMYFUNCTION("""COMPUTED_VALUE"""),"")</f>
        <v/>
      </c>
      <c r="D15092" s="42"/>
      <c r="E15092" s="42"/>
      <c r="F15092" s="48" t="str">
        <f>IFERROR(__xludf.DUMMYFUNCTION("""COMPUTED_VALUE"""),"")</f>
        <v/>
      </c>
      <c r="G15092" s="42" t="str">
        <f>IFERROR(__xludf.DUMMYFUNCTION("""COMPUTED_VALUE"""),"")</f>
        <v/>
      </c>
      <c r="H15092" s="42">
        <f t="shared" si="1"/>
        <v>3345</v>
      </c>
    </row>
    <row r="15093" ht="22.5" customHeight="1">
      <c r="B15093" s="42" t="str">
        <f>IFERROR(__xludf.DUMMYFUNCTION("""COMPUTED_VALUE"""),"")</f>
        <v/>
      </c>
      <c r="C15093" s="42" t="str">
        <f>IFERROR(__xludf.DUMMYFUNCTION("""COMPUTED_VALUE"""),"")</f>
        <v/>
      </c>
      <c r="D15093" s="42"/>
      <c r="E15093" s="42"/>
      <c r="F15093" s="48" t="str">
        <f>IFERROR(__xludf.DUMMYFUNCTION("""COMPUTED_VALUE"""),"")</f>
        <v/>
      </c>
      <c r="G15093" s="42" t="str">
        <f>IFERROR(__xludf.DUMMYFUNCTION("""COMPUTED_VALUE"""),"")</f>
        <v/>
      </c>
      <c r="H15093" s="42">
        <f t="shared" si="1"/>
        <v>3345</v>
      </c>
    </row>
    <row r="15094" ht="22.5" customHeight="1">
      <c r="B15094" s="42" t="str">
        <f>IFERROR(__xludf.DUMMYFUNCTION("""COMPUTED_VALUE"""),"")</f>
        <v/>
      </c>
      <c r="C15094" s="42" t="str">
        <f>IFERROR(__xludf.DUMMYFUNCTION("""COMPUTED_VALUE"""),"")</f>
        <v/>
      </c>
      <c r="D15094" s="42"/>
      <c r="E15094" s="42"/>
      <c r="F15094" s="48" t="str">
        <f>IFERROR(__xludf.DUMMYFUNCTION("""COMPUTED_VALUE"""),"")</f>
        <v/>
      </c>
      <c r="G15094" s="42" t="str">
        <f>IFERROR(__xludf.DUMMYFUNCTION("""COMPUTED_VALUE"""),"")</f>
        <v/>
      </c>
      <c r="H15094" s="42">
        <f t="shared" si="1"/>
        <v>3345</v>
      </c>
    </row>
    <row r="15095" ht="22.5" customHeight="1">
      <c r="B15095" s="42" t="str">
        <f>IFERROR(__xludf.DUMMYFUNCTION("""COMPUTED_VALUE"""),"")</f>
        <v/>
      </c>
      <c r="C15095" s="42" t="str">
        <f>IFERROR(__xludf.DUMMYFUNCTION("""COMPUTED_VALUE"""),"")</f>
        <v/>
      </c>
      <c r="D15095" s="42"/>
      <c r="E15095" s="42"/>
      <c r="F15095" s="48" t="str">
        <f>IFERROR(__xludf.DUMMYFUNCTION("""COMPUTED_VALUE"""),"")</f>
        <v/>
      </c>
      <c r="G15095" s="42" t="str">
        <f>IFERROR(__xludf.DUMMYFUNCTION("""COMPUTED_VALUE"""),"")</f>
        <v/>
      </c>
      <c r="H15095" s="42">
        <f t="shared" si="1"/>
        <v>3345</v>
      </c>
    </row>
    <row r="15096" ht="22.5" customHeight="1">
      <c r="B15096" s="42" t="str">
        <f>IFERROR(__xludf.DUMMYFUNCTION("""COMPUTED_VALUE"""),"")</f>
        <v/>
      </c>
      <c r="C15096" s="42" t="str">
        <f>IFERROR(__xludf.DUMMYFUNCTION("""COMPUTED_VALUE"""),"")</f>
        <v/>
      </c>
      <c r="D15096" s="42"/>
      <c r="E15096" s="42"/>
      <c r="F15096" s="48" t="str">
        <f>IFERROR(__xludf.DUMMYFUNCTION("""COMPUTED_VALUE"""),"")</f>
        <v/>
      </c>
      <c r="G15096" s="42" t="str">
        <f>IFERROR(__xludf.DUMMYFUNCTION("""COMPUTED_VALUE"""),"")</f>
        <v/>
      </c>
      <c r="H15096" s="42">
        <f t="shared" si="1"/>
        <v>3345</v>
      </c>
    </row>
    <row r="15097" ht="22.5" customHeight="1">
      <c r="B15097" s="42" t="str">
        <f>IFERROR(__xludf.DUMMYFUNCTION("""COMPUTED_VALUE"""),"")</f>
        <v/>
      </c>
      <c r="C15097" s="42" t="str">
        <f>IFERROR(__xludf.DUMMYFUNCTION("""COMPUTED_VALUE"""),"")</f>
        <v/>
      </c>
      <c r="D15097" s="42"/>
      <c r="E15097" s="42"/>
      <c r="F15097" s="48" t="str">
        <f>IFERROR(__xludf.DUMMYFUNCTION("""COMPUTED_VALUE"""),"")</f>
        <v/>
      </c>
      <c r="G15097" s="42" t="str">
        <f>IFERROR(__xludf.DUMMYFUNCTION("""COMPUTED_VALUE"""),"")</f>
        <v/>
      </c>
      <c r="H15097" s="42">
        <f t="shared" si="1"/>
        <v>3345</v>
      </c>
    </row>
    <row r="15098" ht="22.5" customHeight="1">
      <c r="B15098" s="42" t="str">
        <f>IFERROR(__xludf.DUMMYFUNCTION("""COMPUTED_VALUE"""),"")</f>
        <v/>
      </c>
      <c r="C15098" s="42" t="str">
        <f>IFERROR(__xludf.DUMMYFUNCTION("""COMPUTED_VALUE"""),"")</f>
        <v/>
      </c>
      <c r="D15098" s="42"/>
      <c r="E15098" s="42"/>
      <c r="F15098" s="48" t="str">
        <f>IFERROR(__xludf.DUMMYFUNCTION("""COMPUTED_VALUE"""),"")</f>
        <v/>
      </c>
      <c r="G15098" s="42" t="str">
        <f>IFERROR(__xludf.DUMMYFUNCTION("""COMPUTED_VALUE"""),"")</f>
        <v/>
      </c>
      <c r="H15098" s="42">
        <f t="shared" si="1"/>
        <v>3345</v>
      </c>
    </row>
    <row r="15099" ht="22.5" customHeight="1">
      <c r="B15099" s="42" t="str">
        <f>IFERROR(__xludf.DUMMYFUNCTION("""COMPUTED_VALUE"""),"")</f>
        <v/>
      </c>
      <c r="C15099" s="42" t="str">
        <f>IFERROR(__xludf.DUMMYFUNCTION("""COMPUTED_VALUE"""),"")</f>
        <v/>
      </c>
      <c r="D15099" s="42"/>
      <c r="E15099" s="42"/>
      <c r="F15099" s="48" t="str">
        <f>IFERROR(__xludf.DUMMYFUNCTION("""COMPUTED_VALUE"""),"")</f>
        <v/>
      </c>
      <c r="G15099" s="42" t="str">
        <f>IFERROR(__xludf.DUMMYFUNCTION("""COMPUTED_VALUE"""),"")</f>
        <v/>
      </c>
      <c r="H15099" s="42">
        <f t="shared" si="1"/>
        <v>3345</v>
      </c>
    </row>
    <row r="15100" ht="22.5" customHeight="1">
      <c r="B15100" s="42" t="str">
        <f>IFERROR(__xludf.DUMMYFUNCTION("""COMPUTED_VALUE"""),"")</f>
        <v/>
      </c>
      <c r="C15100" s="42" t="str">
        <f>IFERROR(__xludf.DUMMYFUNCTION("""COMPUTED_VALUE"""),"")</f>
        <v/>
      </c>
      <c r="D15100" s="42"/>
      <c r="E15100" s="42"/>
      <c r="F15100" s="48" t="str">
        <f>IFERROR(__xludf.DUMMYFUNCTION("""COMPUTED_VALUE"""),"")</f>
        <v/>
      </c>
      <c r="G15100" s="42" t="str">
        <f>IFERROR(__xludf.DUMMYFUNCTION("""COMPUTED_VALUE"""),"")</f>
        <v/>
      </c>
      <c r="H15100" s="42">
        <f t="shared" si="1"/>
        <v>3345</v>
      </c>
    </row>
    <row r="15101" ht="22.5" customHeight="1">
      <c r="B15101" s="42" t="str">
        <f>IFERROR(__xludf.DUMMYFUNCTION("""COMPUTED_VALUE"""),"")</f>
        <v/>
      </c>
      <c r="C15101" s="42" t="str">
        <f>IFERROR(__xludf.DUMMYFUNCTION("""COMPUTED_VALUE"""),"")</f>
        <v/>
      </c>
      <c r="D15101" s="42"/>
      <c r="E15101" s="42"/>
      <c r="F15101" s="48" t="str">
        <f>IFERROR(__xludf.DUMMYFUNCTION("""COMPUTED_VALUE"""),"")</f>
        <v/>
      </c>
      <c r="G15101" s="42" t="str">
        <f>IFERROR(__xludf.DUMMYFUNCTION("""COMPUTED_VALUE"""),"")</f>
        <v/>
      </c>
      <c r="H15101" s="42">
        <f t="shared" si="1"/>
        <v>3345</v>
      </c>
    </row>
    <row r="15102" ht="22.5" customHeight="1">
      <c r="B15102" s="42" t="str">
        <f>IFERROR(__xludf.DUMMYFUNCTION("""COMPUTED_VALUE"""),"")</f>
        <v/>
      </c>
      <c r="C15102" s="42" t="str">
        <f>IFERROR(__xludf.DUMMYFUNCTION("""COMPUTED_VALUE"""),"")</f>
        <v/>
      </c>
      <c r="D15102" s="42"/>
      <c r="E15102" s="42"/>
      <c r="F15102" s="48" t="str">
        <f>IFERROR(__xludf.DUMMYFUNCTION("""COMPUTED_VALUE"""),"")</f>
        <v/>
      </c>
      <c r="G15102" s="42" t="str">
        <f>IFERROR(__xludf.DUMMYFUNCTION("""COMPUTED_VALUE"""),"")</f>
        <v/>
      </c>
      <c r="H15102" s="42">
        <f t="shared" si="1"/>
        <v>3345</v>
      </c>
    </row>
    <row r="15103" ht="22.5" customHeight="1">
      <c r="B15103" s="42" t="str">
        <f>IFERROR(__xludf.DUMMYFUNCTION("""COMPUTED_VALUE"""),"")</f>
        <v/>
      </c>
      <c r="C15103" s="42" t="str">
        <f>IFERROR(__xludf.DUMMYFUNCTION("""COMPUTED_VALUE"""),"")</f>
        <v/>
      </c>
      <c r="D15103" s="42"/>
      <c r="E15103" s="42"/>
      <c r="F15103" s="48" t="str">
        <f>IFERROR(__xludf.DUMMYFUNCTION("""COMPUTED_VALUE"""),"")</f>
        <v/>
      </c>
      <c r="G15103" s="42" t="str">
        <f>IFERROR(__xludf.DUMMYFUNCTION("""COMPUTED_VALUE"""),"")</f>
        <v/>
      </c>
      <c r="H15103" s="42">
        <f t="shared" si="1"/>
        <v>3345</v>
      </c>
    </row>
    <row r="15104" ht="22.5" customHeight="1">
      <c r="B15104" s="42" t="str">
        <f>IFERROR(__xludf.DUMMYFUNCTION("""COMPUTED_VALUE"""),"")</f>
        <v/>
      </c>
      <c r="C15104" s="42" t="str">
        <f>IFERROR(__xludf.DUMMYFUNCTION("""COMPUTED_VALUE"""),"")</f>
        <v/>
      </c>
      <c r="D15104" s="42"/>
      <c r="E15104" s="42"/>
      <c r="F15104" s="48" t="str">
        <f>IFERROR(__xludf.DUMMYFUNCTION("""COMPUTED_VALUE"""),"")</f>
        <v/>
      </c>
      <c r="G15104" s="42" t="str">
        <f>IFERROR(__xludf.DUMMYFUNCTION("""COMPUTED_VALUE"""),"")</f>
        <v/>
      </c>
      <c r="H15104" s="42">
        <f t="shared" si="1"/>
        <v>3345</v>
      </c>
    </row>
    <row r="15105" ht="22.5" customHeight="1">
      <c r="B15105" s="42" t="str">
        <f>IFERROR(__xludf.DUMMYFUNCTION("""COMPUTED_VALUE"""),"")</f>
        <v/>
      </c>
      <c r="C15105" s="42" t="str">
        <f>IFERROR(__xludf.DUMMYFUNCTION("""COMPUTED_VALUE"""),"")</f>
        <v/>
      </c>
      <c r="D15105" s="42"/>
      <c r="E15105" s="42"/>
      <c r="F15105" s="48" t="str">
        <f>IFERROR(__xludf.DUMMYFUNCTION("""COMPUTED_VALUE"""),"")</f>
        <v/>
      </c>
      <c r="G15105" s="42" t="str">
        <f>IFERROR(__xludf.DUMMYFUNCTION("""COMPUTED_VALUE"""),"")</f>
        <v/>
      </c>
      <c r="H15105" s="42">
        <f t="shared" si="1"/>
        <v>3345</v>
      </c>
    </row>
    <row r="15106" ht="22.5" customHeight="1">
      <c r="B15106" s="42" t="str">
        <f>IFERROR(__xludf.DUMMYFUNCTION("""COMPUTED_VALUE"""),"")</f>
        <v/>
      </c>
      <c r="C15106" s="42" t="str">
        <f>IFERROR(__xludf.DUMMYFUNCTION("""COMPUTED_VALUE"""),"")</f>
        <v/>
      </c>
      <c r="D15106" s="42"/>
      <c r="E15106" s="42"/>
      <c r="F15106" s="48" t="str">
        <f>IFERROR(__xludf.DUMMYFUNCTION("""COMPUTED_VALUE"""),"")</f>
        <v/>
      </c>
      <c r="G15106" s="42" t="str">
        <f>IFERROR(__xludf.DUMMYFUNCTION("""COMPUTED_VALUE"""),"")</f>
        <v/>
      </c>
      <c r="H15106" s="42">
        <f t="shared" si="1"/>
        <v>3345</v>
      </c>
    </row>
    <row r="15107" ht="22.5" customHeight="1">
      <c r="B15107" s="42" t="str">
        <f>IFERROR(__xludf.DUMMYFUNCTION("""COMPUTED_VALUE"""),"")</f>
        <v/>
      </c>
      <c r="C15107" s="42" t="str">
        <f>IFERROR(__xludf.DUMMYFUNCTION("""COMPUTED_VALUE"""),"")</f>
        <v/>
      </c>
      <c r="D15107" s="42"/>
      <c r="E15107" s="42"/>
      <c r="F15107" s="48" t="str">
        <f>IFERROR(__xludf.DUMMYFUNCTION("""COMPUTED_VALUE"""),"")</f>
        <v/>
      </c>
      <c r="G15107" s="42" t="str">
        <f>IFERROR(__xludf.DUMMYFUNCTION("""COMPUTED_VALUE"""),"")</f>
        <v/>
      </c>
      <c r="H15107" s="42">
        <f t="shared" si="1"/>
        <v>3345</v>
      </c>
    </row>
    <row r="15108" ht="22.5" customHeight="1">
      <c r="B15108" s="42" t="str">
        <f>IFERROR(__xludf.DUMMYFUNCTION("""COMPUTED_VALUE"""),"")</f>
        <v/>
      </c>
      <c r="C15108" s="42" t="str">
        <f>IFERROR(__xludf.DUMMYFUNCTION("""COMPUTED_VALUE"""),"")</f>
        <v/>
      </c>
      <c r="D15108" s="42"/>
      <c r="E15108" s="42"/>
      <c r="F15108" s="48" t="str">
        <f>IFERROR(__xludf.DUMMYFUNCTION("""COMPUTED_VALUE"""),"")</f>
        <v/>
      </c>
      <c r="G15108" s="42" t="str">
        <f>IFERROR(__xludf.DUMMYFUNCTION("""COMPUTED_VALUE"""),"")</f>
        <v/>
      </c>
      <c r="H15108" s="42">
        <f t="shared" si="1"/>
        <v>3345</v>
      </c>
    </row>
    <row r="15109" ht="22.5" customHeight="1">
      <c r="B15109" s="42" t="str">
        <f>IFERROR(__xludf.DUMMYFUNCTION("""COMPUTED_VALUE"""),"")</f>
        <v/>
      </c>
      <c r="C15109" s="42" t="str">
        <f>IFERROR(__xludf.DUMMYFUNCTION("""COMPUTED_VALUE"""),"")</f>
        <v/>
      </c>
      <c r="D15109" s="42"/>
      <c r="E15109" s="42"/>
      <c r="F15109" s="48" t="str">
        <f>IFERROR(__xludf.DUMMYFUNCTION("""COMPUTED_VALUE"""),"")</f>
        <v/>
      </c>
      <c r="G15109" s="42" t="str">
        <f>IFERROR(__xludf.DUMMYFUNCTION("""COMPUTED_VALUE"""),"")</f>
        <v/>
      </c>
      <c r="H15109" s="42">
        <f t="shared" si="1"/>
        <v>3345</v>
      </c>
    </row>
    <row r="15110" ht="22.5" customHeight="1">
      <c r="B15110" s="42" t="str">
        <f>IFERROR(__xludf.DUMMYFUNCTION("""COMPUTED_VALUE"""),"")</f>
        <v/>
      </c>
      <c r="C15110" s="42" t="str">
        <f>IFERROR(__xludf.DUMMYFUNCTION("""COMPUTED_VALUE"""),"")</f>
        <v/>
      </c>
      <c r="D15110" s="42"/>
      <c r="E15110" s="42"/>
      <c r="F15110" s="48" t="str">
        <f>IFERROR(__xludf.DUMMYFUNCTION("""COMPUTED_VALUE"""),"")</f>
        <v/>
      </c>
      <c r="G15110" s="42" t="str">
        <f>IFERROR(__xludf.DUMMYFUNCTION("""COMPUTED_VALUE"""),"")</f>
        <v/>
      </c>
      <c r="H15110" s="42">
        <f t="shared" si="1"/>
        <v>3345</v>
      </c>
    </row>
    <row r="15111" ht="22.5" customHeight="1">
      <c r="B15111" s="42" t="str">
        <f>IFERROR(__xludf.DUMMYFUNCTION("""COMPUTED_VALUE"""),"")</f>
        <v/>
      </c>
      <c r="C15111" s="42" t="str">
        <f>IFERROR(__xludf.DUMMYFUNCTION("""COMPUTED_VALUE"""),"")</f>
        <v/>
      </c>
      <c r="D15111" s="42"/>
      <c r="E15111" s="42"/>
      <c r="F15111" s="48" t="str">
        <f>IFERROR(__xludf.DUMMYFUNCTION("""COMPUTED_VALUE"""),"")</f>
        <v/>
      </c>
      <c r="G15111" s="42" t="str">
        <f>IFERROR(__xludf.DUMMYFUNCTION("""COMPUTED_VALUE"""),"")</f>
        <v/>
      </c>
      <c r="H15111" s="42">
        <f t="shared" si="1"/>
        <v>3345</v>
      </c>
    </row>
    <row r="15112" ht="22.5" customHeight="1">
      <c r="B15112" s="42" t="str">
        <f>IFERROR(__xludf.DUMMYFUNCTION("""COMPUTED_VALUE"""),"")</f>
        <v/>
      </c>
      <c r="C15112" s="42" t="str">
        <f>IFERROR(__xludf.DUMMYFUNCTION("""COMPUTED_VALUE"""),"")</f>
        <v/>
      </c>
      <c r="D15112" s="42"/>
      <c r="E15112" s="42"/>
      <c r="F15112" s="48" t="str">
        <f>IFERROR(__xludf.DUMMYFUNCTION("""COMPUTED_VALUE"""),"")</f>
        <v/>
      </c>
      <c r="G15112" s="42" t="str">
        <f>IFERROR(__xludf.DUMMYFUNCTION("""COMPUTED_VALUE"""),"")</f>
        <v/>
      </c>
      <c r="H15112" s="42">
        <f t="shared" si="1"/>
        <v>3345</v>
      </c>
    </row>
    <row r="15113" ht="22.5" customHeight="1">
      <c r="B15113" s="42" t="str">
        <f>IFERROR(__xludf.DUMMYFUNCTION("""COMPUTED_VALUE"""),"")</f>
        <v/>
      </c>
      <c r="C15113" s="42" t="str">
        <f>IFERROR(__xludf.DUMMYFUNCTION("""COMPUTED_VALUE"""),"")</f>
        <v/>
      </c>
      <c r="D15113" s="42"/>
      <c r="E15113" s="42"/>
      <c r="F15113" s="48" t="str">
        <f>IFERROR(__xludf.DUMMYFUNCTION("""COMPUTED_VALUE"""),"")</f>
        <v/>
      </c>
      <c r="G15113" s="42" t="str">
        <f>IFERROR(__xludf.DUMMYFUNCTION("""COMPUTED_VALUE"""),"")</f>
        <v/>
      </c>
      <c r="H15113" s="42">
        <f t="shared" si="1"/>
        <v>3345</v>
      </c>
    </row>
    <row r="15114" ht="22.5" customHeight="1">
      <c r="B15114" s="42" t="str">
        <f>IFERROR(__xludf.DUMMYFUNCTION("""COMPUTED_VALUE"""),"")</f>
        <v/>
      </c>
      <c r="C15114" s="42" t="str">
        <f>IFERROR(__xludf.DUMMYFUNCTION("""COMPUTED_VALUE"""),"")</f>
        <v/>
      </c>
      <c r="D15114" s="42"/>
      <c r="E15114" s="42"/>
      <c r="F15114" s="48" t="str">
        <f>IFERROR(__xludf.DUMMYFUNCTION("""COMPUTED_VALUE"""),"")</f>
        <v/>
      </c>
      <c r="G15114" s="42" t="str">
        <f>IFERROR(__xludf.DUMMYFUNCTION("""COMPUTED_VALUE"""),"")</f>
        <v/>
      </c>
      <c r="H15114" s="42">
        <f t="shared" si="1"/>
        <v>3345</v>
      </c>
    </row>
    <row r="15115" ht="22.5" customHeight="1">
      <c r="B15115" s="42" t="str">
        <f>IFERROR(__xludf.DUMMYFUNCTION("""COMPUTED_VALUE"""),"")</f>
        <v/>
      </c>
      <c r="C15115" s="42" t="str">
        <f>IFERROR(__xludf.DUMMYFUNCTION("""COMPUTED_VALUE"""),"")</f>
        <v/>
      </c>
      <c r="D15115" s="42"/>
      <c r="E15115" s="42"/>
      <c r="F15115" s="48" t="str">
        <f>IFERROR(__xludf.DUMMYFUNCTION("""COMPUTED_VALUE"""),"")</f>
        <v/>
      </c>
      <c r="G15115" s="42" t="str">
        <f>IFERROR(__xludf.DUMMYFUNCTION("""COMPUTED_VALUE"""),"")</f>
        <v/>
      </c>
      <c r="H15115" s="42">
        <f t="shared" si="1"/>
        <v>3345</v>
      </c>
    </row>
    <row r="15116" ht="22.5" customHeight="1">
      <c r="B15116" s="42" t="str">
        <f>IFERROR(__xludf.DUMMYFUNCTION("""COMPUTED_VALUE"""),"")</f>
        <v/>
      </c>
      <c r="C15116" s="42" t="str">
        <f>IFERROR(__xludf.DUMMYFUNCTION("""COMPUTED_VALUE"""),"")</f>
        <v/>
      </c>
      <c r="D15116" s="42"/>
      <c r="E15116" s="42"/>
      <c r="F15116" s="48" t="str">
        <f>IFERROR(__xludf.DUMMYFUNCTION("""COMPUTED_VALUE"""),"")</f>
        <v/>
      </c>
      <c r="G15116" s="42" t="str">
        <f>IFERROR(__xludf.DUMMYFUNCTION("""COMPUTED_VALUE"""),"")</f>
        <v/>
      </c>
      <c r="H15116" s="42">
        <f t="shared" si="1"/>
        <v>3345</v>
      </c>
    </row>
    <row r="15117" ht="22.5" customHeight="1">
      <c r="B15117" s="42" t="str">
        <f>IFERROR(__xludf.DUMMYFUNCTION("""COMPUTED_VALUE"""),"")</f>
        <v/>
      </c>
      <c r="C15117" s="42" t="str">
        <f>IFERROR(__xludf.DUMMYFUNCTION("""COMPUTED_VALUE"""),"")</f>
        <v/>
      </c>
      <c r="D15117" s="42"/>
      <c r="E15117" s="42"/>
      <c r="F15117" s="48" t="str">
        <f>IFERROR(__xludf.DUMMYFUNCTION("""COMPUTED_VALUE"""),"")</f>
        <v/>
      </c>
      <c r="G15117" s="42" t="str">
        <f>IFERROR(__xludf.DUMMYFUNCTION("""COMPUTED_VALUE"""),"")</f>
        <v/>
      </c>
      <c r="H15117" s="42">
        <f t="shared" si="1"/>
        <v>3345</v>
      </c>
    </row>
    <row r="15118" ht="22.5" customHeight="1">
      <c r="B15118" s="42" t="str">
        <f>IFERROR(__xludf.DUMMYFUNCTION("""COMPUTED_VALUE"""),"")</f>
        <v/>
      </c>
      <c r="C15118" s="42" t="str">
        <f>IFERROR(__xludf.DUMMYFUNCTION("""COMPUTED_VALUE"""),"")</f>
        <v/>
      </c>
      <c r="D15118" s="42"/>
      <c r="E15118" s="42"/>
      <c r="F15118" s="48" t="str">
        <f>IFERROR(__xludf.DUMMYFUNCTION("""COMPUTED_VALUE"""),"")</f>
        <v/>
      </c>
      <c r="G15118" s="42" t="str">
        <f>IFERROR(__xludf.DUMMYFUNCTION("""COMPUTED_VALUE"""),"")</f>
        <v/>
      </c>
      <c r="H15118" s="42">
        <f t="shared" si="1"/>
        <v>3345</v>
      </c>
    </row>
    <row r="15119" ht="22.5" customHeight="1">
      <c r="B15119" s="42" t="str">
        <f>IFERROR(__xludf.DUMMYFUNCTION("""COMPUTED_VALUE"""),"")</f>
        <v/>
      </c>
      <c r="C15119" s="42" t="str">
        <f>IFERROR(__xludf.DUMMYFUNCTION("""COMPUTED_VALUE"""),"")</f>
        <v/>
      </c>
      <c r="D15119" s="42"/>
      <c r="E15119" s="42"/>
      <c r="F15119" s="48" t="str">
        <f>IFERROR(__xludf.DUMMYFUNCTION("""COMPUTED_VALUE"""),"")</f>
        <v/>
      </c>
      <c r="G15119" s="42" t="str">
        <f>IFERROR(__xludf.DUMMYFUNCTION("""COMPUTED_VALUE"""),"")</f>
        <v/>
      </c>
      <c r="H15119" s="42">
        <f t="shared" si="1"/>
        <v>3345</v>
      </c>
    </row>
    <row r="15120" ht="22.5" customHeight="1">
      <c r="B15120" s="42" t="str">
        <f>IFERROR(__xludf.DUMMYFUNCTION("""COMPUTED_VALUE"""),"")</f>
        <v/>
      </c>
      <c r="C15120" s="42" t="str">
        <f>IFERROR(__xludf.DUMMYFUNCTION("""COMPUTED_VALUE"""),"")</f>
        <v/>
      </c>
      <c r="D15120" s="42"/>
      <c r="E15120" s="42"/>
      <c r="F15120" s="48" t="str">
        <f>IFERROR(__xludf.DUMMYFUNCTION("""COMPUTED_VALUE"""),"")</f>
        <v/>
      </c>
      <c r="G15120" s="42" t="str">
        <f>IFERROR(__xludf.DUMMYFUNCTION("""COMPUTED_VALUE"""),"")</f>
        <v/>
      </c>
      <c r="H15120" s="42">
        <f t="shared" si="1"/>
        <v>3345</v>
      </c>
    </row>
    <row r="15121" ht="22.5" customHeight="1">
      <c r="B15121" s="42" t="str">
        <f>IFERROR(__xludf.DUMMYFUNCTION("""COMPUTED_VALUE"""),"")</f>
        <v/>
      </c>
      <c r="C15121" s="42" t="str">
        <f>IFERROR(__xludf.DUMMYFUNCTION("""COMPUTED_VALUE"""),"")</f>
        <v/>
      </c>
      <c r="D15121" s="42"/>
      <c r="E15121" s="42"/>
      <c r="F15121" s="48" t="str">
        <f>IFERROR(__xludf.DUMMYFUNCTION("""COMPUTED_VALUE"""),"")</f>
        <v/>
      </c>
      <c r="G15121" s="42" t="str">
        <f>IFERROR(__xludf.DUMMYFUNCTION("""COMPUTED_VALUE"""),"")</f>
        <v/>
      </c>
      <c r="H15121" s="42">
        <f t="shared" si="1"/>
        <v>3345</v>
      </c>
    </row>
    <row r="15122" ht="22.5" customHeight="1">
      <c r="B15122" s="42" t="str">
        <f>IFERROR(__xludf.DUMMYFUNCTION("""COMPUTED_VALUE"""),"")</f>
        <v/>
      </c>
      <c r="C15122" s="42" t="str">
        <f>IFERROR(__xludf.DUMMYFUNCTION("""COMPUTED_VALUE"""),"")</f>
        <v/>
      </c>
      <c r="D15122" s="42"/>
      <c r="E15122" s="42"/>
      <c r="F15122" s="48" t="str">
        <f>IFERROR(__xludf.DUMMYFUNCTION("""COMPUTED_VALUE"""),"")</f>
        <v/>
      </c>
      <c r="G15122" s="42" t="str">
        <f>IFERROR(__xludf.DUMMYFUNCTION("""COMPUTED_VALUE"""),"")</f>
        <v/>
      </c>
      <c r="H15122" s="42">
        <f t="shared" si="1"/>
        <v>3345</v>
      </c>
    </row>
    <row r="15123" ht="22.5" customHeight="1">
      <c r="B15123" s="42" t="str">
        <f>IFERROR(__xludf.DUMMYFUNCTION("""COMPUTED_VALUE"""),"")</f>
        <v/>
      </c>
      <c r="C15123" s="42" t="str">
        <f>IFERROR(__xludf.DUMMYFUNCTION("""COMPUTED_VALUE"""),"")</f>
        <v/>
      </c>
      <c r="D15123" s="42"/>
      <c r="E15123" s="42"/>
      <c r="F15123" s="48" t="str">
        <f>IFERROR(__xludf.DUMMYFUNCTION("""COMPUTED_VALUE"""),"")</f>
        <v/>
      </c>
      <c r="G15123" s="42" t="str">
        <f>IFERROR(__xludf.DUMMYFUNCTION("""COMPUTED_VALUE"""),"")</f>
        <v/>
      </c>
      <c r="H15123" s="42">
        <f t="shared" si="1"/>
        <v>3345</v>
      </c>
    </row>
    <row r="15124" ht="22.5" customHeight="1">
      <c r="B15124" s="42" t="str">
        <f>IFERROR(__xludf.DUMMYFUNCTION("""COMPUTED_VALUE"""),"")</f>
        <v/>
      </c>
      <c r="C15124" s="42" t="str">
        <f>IFERROR(__xludf.DUMMYFUNCTION("""COMPUTED_VALUE"""),"")</f>
        <v/>
      </c>
      <c r="D15124" s="42"/>
      <c r="E15124" s="42"/>
      <c r="F15124" s="48" t="str">
        <f>IFERROR(__xludf.DUMMYFUNCTION("""COMPUTED_VALUE"""),"")</f>
        <v/>
      </c>
      <c r="G15124" s="42" t="str">
        <f>IFERROR(__xludf.DUMMYFUNCTION("""COMPUTED_VALUE"""),"")</f>
        <v/>
      </c>
      <c r="H15124" s="42">
        <f t="shared" si="1"/>
        <v>3345</v>
      </c>
    </row>
    <row r="15125" ht="22.5" customHeight="1">
      <c r="B15125" s="42" t="str">
        <f>IFERROR(__xludf.DUMMYFUNCTION("""COMPUTED_VALUE"""),"")</f>
        <v/>
      </c>
      <c r="C15125" s="42" t="str">
        <f>IFERROR(__xludf.DUMMYFUNCTION("""COMPUTED_VALUE"""),"")</f>
        <v/>
      </c>
      <c r="D15125" s="42"/>
      <c r="E15125" s="42"/>
      <c r="F15125" s="48" t="str">
        <f>IFERROR(__xludf.DUMMYFUNCTION("""COMPUTED_VALUE"""),"")</f>
        <v/>
      </c>
      <c r="G15125" s="42" t="str">
        <f>IFERROR(__xludf.DUMMYFUNCTION("""COMPUTED_VALUE"""),"")</f>
        <v/>
      </c>
      <c r="H15125" s="42">
        <f t="shared" si="1"/>
        <v>3345</v>
      </c>
    </row>
    <row r="15126" ht="22.5" customHeight="1">
      <c r="B15126" s="42" t="str">
        <f>IFERROR(__xludf.DUMMYFUNCTION("""COMPUTED_VALUE"""),"")</f>
        <v/>
      </c>
      <c r="C15126" s="42" t="str">
        <f>IFERROR(__xludf.DUMMYFUNCTION("""COMPUTED_VALUE"""),"")</f>
        <v/>
      </c>
      <c r="D15126" s="42"/>
      <c r="E15126" s="42"/>
      <c r="F15126" s="48" t="str">
        <f>IFERROR(__xludf.DUMMYFUNCTION("""COMPUTED_VALUE"""),"")</f>
        <v/>
      </c>
      <c r="G15126" s="42" t="str">
        <f>IFERROR(__xludf.DUMMYFUNCTION("""COMPUTED_VALUE"""),"")</f>
        <v/>
      </c>
      <c r="H15126" s="42">
        <f t="shared" si="1"/>
        <v>3345</v>
      </c>
    </row>
    <row r="15127" ht="22.5" customHeight="1">
      <c r="B15127" s="42" t="str">
        <f>IFERROR(__xludf.DUMMYFUNCTION("""COMPUTED_VALUE"""),"")</f>
        <v/>
      </c>
      <c r="C15127" s="42" t="str">
        <f>IFERROR(__xludf.DUMMYFUNCTION("""COMPUTED_VALUE"""),"")</f>
        <v/>
      </c>
      <c r="D15127" s="42"/>
      <c r="E15127" s="42"/>
      <c r="F15127" s="48" t="str">
        <f>IFERROR(__xludf.DUMMYFUNCTION("""COMPUTED_VALUE"""),"")</f>
        <v/>
      </c>
      <c r="G15127" s="42" t="str">
        <f>IFERROR(__xludf.DUMMYFUNCTION("""COMPUTED_VALUE"""),"")</f>
        <v/>
      </c>
      <c r="H15127" s="42">
        <f t="shared" si="1"/>
        <v>3345</v>
      </c>
    </row>
    <row r="15128" ht="22.5" customHeight="1">
      <c r="B15128" s="42" t="str">
        <f>IFERROR(__xludf.DUMMYFUNCTION("""COMPUTED_VALUE"""),"")</f>
        <v/>
      </c>
      <c r="C15128" s="42" t="str">
        <f>IFERROR(__xludf.DUMMYFUNCTION("""COMPUTED_VALUE"""),"")</f>
        <v/>
      </c>
      <c r="D15128" s="42"/>
      <c r="E15128" s="42"/>
      <c r="F15128" s="48" t="str">
        <f>IFERROR(__xludf.DUMMYFUNCTION("""COMPUTED_VALUE"""),"")</f>
        <v/>
      </c>
      <c r="G15128" s="42" t="str">
        <f>IFERROR(__xludf.DUMMYFUNCTION("""COMPUTED_VALUE"""),"")</f>
        <v/>
      </c>
      <c r="H15128" s="42">
        <f t="shared" si="1"/>
        <v>3345</v>
      </c>
    </row>
    <row r="15129" ht="22.5" customHeight="1">
      <c r="B15129" s="42" t="str">
        <f>IFERROR(__xludf.DUMMYFUNCTION("""COMPUTED_VALUE"""),"")</f>
        <v/>
      </c>
      <c r="C15129" s="42" t="str">
        <f>IFERROR(__xludf.DUMMYFUNCTION("""COMPUTED_VALUE"""),"")</f>
        <v/>
      </c>
      <c r="D15129" s="42"/>
      <c r="E15129" s="42"/>
      <c r="F15129" s="48" t="str">
        <f>IFERROR(__xludf.DUMMYFUNCTION("""COMPUTED_VALUE"""),"")</f>
        <v/>
      </c>
      <c r="G15129" s="42" t="str">
        <f>IFERROR(__xludf.DUMMYFUNCTION("""COMPUTED_VALUE"""),"")</f>
        <v/>
      </c>
      <c r="H15129" s="42">
        <f t="shared" si="1"/>
        <v>3345</v>
      </c>
    </row>
    <row r="15130" ht="22.5" customHeight="1">
      <c r="B15130" s="42" t="str">
        <f>IFERROR(__xludf.DUMMYFUNCTION("""COMPUTED_VALUE"""),"")</f>
        <v/>
      </c>
      <c r="C15130" s="42" t="str">
        <f>IFERROR(__xludf.DUMMYFUNCTION("""COMPUTED_VALUE"""),"")</f>
        <v/>
      </c>
      <c r="D15130" s="42"/>
      <c r="E15130" s="42"/>
      <c r="F15130" s="48" t="str">
        <f>IFERROR(__xludf.DUMMYFUNCTION("""COMPUTED_VALUE"""),"")</f>
        <v/>
      </c>
      <c r="G15130" s="42" t="str">
        <f>IFERROR(__xludf.DUMMYFUNCTION("""COMPUTED_VALUE"""),"")</f>
        <v/>
      </c>
      <c r="H15130" s="42">
        <f t="shared" si="1"/>
        <v>3345</v>
      </c>
    </row>
    <row r="15131" ht="22.5" customHeight="1">
      <c r="B15131" s="42" t="str">
        <f>IFERROR(__xludf.DUMMYFUNCTION("""COMPUTED_VALUE"""),"")</f>
        <v/>
      </c>
      <c r="C15131" s="42" t="str">
        <f>IFERROR(__xludf.DUMMYFUNCTION("""COMPUTED_VALUE"""),"")</f>
        <v/>
      </c>
      <c r="D15131" s="42"/>
      <c r="E15131" s="42"/>
      <c r="F15131" s="48" t="str">
        <f>IFERROR(__xludf.DUMMYFUNCTION("""COMPUTED_VALUE"""),"")</f>
        <v/>
      </c>
      <c r="G15131" s="42" t="str">
        <f>IFERROR(__xludf.DUMMYFUNCTION("""COMPUTED_VALUE"""),"")</f>
        <v/>
      </c>
      <c r="H15131" s="42">
        <f t="shared" si="1"/>
        <v>3345</v>
      </c>
    </row>
    <row r="15132" ht="22.5" customHeight="1">
      <c r="B15132" s="42" t="str">
        <f>IFERROR(__xludf.DUMMYFUNCTION("""COMPUTED_VALUE"""),"")</f>
        <v/>
      </c>
      <c r="C15132" s="42" t="str">
        <f>IFERROR(__xludf.DUMMYFUNCTION("""COMPUTED_VALUE"""),"")</f>
        <v/>
      </c>
      <c r="D15132" s="42"/>
      <c r="E15132" s="42"/>
      <c r="F15132" s="48" t="str">
        <f>IFERROR(__xludf.DUMMYFUNCTION("""COMPUTED_VALUE"""),"")</f>
        <v/>
      </c>
      <c r="G15132" s="42" t="str">
        <f>IFERROR(__xludf.DUMMYFUNCTION("""COMPUTED_VALUE"""),"")</f>
        <v/>
      </c>
      <c r="H15132" s="42">
        <f t="shared" si="1"/>
        <v>3345</v>
      </c>
    </row>
    <row r="15133" ht="22.5" customHeight="1">
      <c r="B15133" s="42" t="str">
        <f>IFERROR(__xludf.DUMMYFUNCTION("""COMPUTED_VALUE"""),"")</f>
        <v/>
      </c>
      <c r="C15133" s="42" t="str">
        <f>IFERROR(__xludf.DUMMYFUNCTION("""COMPUTED_VALUE"""),"")</f>
        <v/>
      </c>
      <c r="D15133" s="42"/>
      <c r="E15133" s="42"/>
      <c r="F15133" s="48" t="str">
        <f>IFERROR(__xludf.DUMMYFUNCTION("""COMPUTED_VALUE"""),"")</f>
        <v/>
      </c>
      <c r="G15133" s="42" t="str">
        <f>IFERROR(__xludf.DUMMYFUNCTION("""COMPUTED_VALUE"""),"")</f>
        <v/>
      </c>
      <c r="H15133" s="42">
        <f t="shared" si="1"/>
        <v>3345</v>
      </c>
    </row>
    <row r="15134" ht="22.5" customHeight="1">
      <c r="B15134" s="42" t="str">
        <f>IFERROR(__xludf.DUMMYFUNCTION("""COMPUTED_VALUE"""),"")</f>
        <v/>
      </c>
      <c r="C15134" s="42" t="str">
        <f>IFERROR(__xludf.DUMMYFUNCTION("""COMPUTED_VALUE"""),"")</f>
        <v/>
      </c>
      <c r="D15134" s="42"/>
      <c r="E15134" s="42"/>
      <c r="F15134" s="48" t="str">
        <f>IFERROR(__xludf.DUMMYFUNCTION("""COMPUTED_VALUE"""),"")</f>
        <v/>
      </c>
      <c r="G15134" s="42" t="str">
        <f>IFERROR(__xludf.DUMMYFUNCTION("""COMPUTED_VALUE"""),"")</f>
        <v/>
      </c>
      <c r="H15134" s="42">
        <f t="shared" si="1"/>
        <v>3345</v>
      </c>
    </row>
    <row r="15135" ht="22.5" customHeight="1">
      <c r="B15135" s="42" t="str">
        <f>IFERROR(__xludf.DUMMYFUNCTION("""COMPUTED_VALUE"""),"")</f>
        <v/>
      </c>
      <c r="C15135" s="42" t="str">
        <f>IFERROR(__xludf.DUMMYFUNCTION("""COMPUTED_VALUE"""),"")</f>
        <v/>
      </c>
      <c r="D15135" s="42"/>
      <c r="E15135" s="42"/>
      <c r="F15135" s="48" t="str">
        <f>IFERROR(__xludf.DUMMYFUNCTION("""COMPUTED_VALUE"""),"")</f>
        <v/>
      </c>
      <c r="G15135" s="42" t="str">
        <f>IFERROR(__xludf.DUMMYFUNCTION("""COMPUTED_VALUE"""),"")</f>
        <v/>
      </c>
      <c r="H15135" s="42">
        <f t="shared" si="1"/>
        <v>3345</v>
      </c>
    </row>
    <row r="15136" ht="22.5" customHeight="1">
      <c r="B15136" s="42" t="str">
        <f>IFERROR(__xludf.DUMMYFUNCTION("""COMPUTED_VALUE"""),"")</f>
        <v/>
      </c>
      <c r="C15136" s="42" t="str">
        <f>IFERROR(__xludf.DUMMYFUNCTION("""COMPUTED_VALUE"""),"")</f>
        <v/>
      </c>
      <c r="D15136" s="42"/>
      <c r="E15136" s="42"/>
      <c r="F15136" s="48" t="str">
        <f>IFERROR(__xludf.DUMMYFUNCTION("""COMPUTED_VALUE"""),"")</f>
        <v/>
      </c>
      <c r="G15136" s="42" t="str">
        <f>IFERROR(__xludf.DUMMYFUNCTION("""COMPUTED_VALUE"""),"")</f>
        <v/>
      </c>
      <c r="H15136" s="42">
        <f t="shared" si="1"/>
        <v>3345</v>
      </c>
    </row>
    <row r="15137" ht="22.5" customHeight="1">
      <c r="B15137" s="42" t="str">
        <f>IFERROR(__xludf.DUMMYFUNCTION("""COMPUTED_VALUE"""),"")</f>
        <v/>
      </c>
      <c r="C15137" s="42" t="str">
        <f>IFERROR(__xludf.DUMMYFUNCTION("""COMPUTED_VALUE"""),"")</f>
        <v/>
      </c>
      <c r="D15137" s="42"/>
      <c r="E15137" s="42"/>
      <c r="F15137" s="48" t="str">
        <f>IFERROR(__xludf.DUMMYFUNCTION("""COMPUTED_VALUE"""),"")</f>
        <v/>
      </c>
      <c r="G15137" s="42" t="str">
        <f>IFERROR(__xludf.DUMMYFUNCTION("""COMPUTED_VALUE"""),"")</f>
        <v/>
      </c>
      <c r="H15137" s="42">
        <f t="shared" si="1"/>
        <v>3345</v>
      </c>
    </row>
    <row r="15138" ht="22.5" customHeight="1">
      <c r="B15138" s="42" t="str">
        <f>IFERROR(__xludf.DUMMYFUNCTION("""COMPUTED_VALUE"""),"")</f>
        <v/>
      </c>
      <c r="C15138" s="42" t="str">
        <f>IFERROR(__xludf.DUMMYFUNCTION("""COMPUTED_VALUE"""),"")</f>
        <v/>
      </c>
      <c r="D15138" s="42"/>
      <c r="E15138" s="42"/>
      <c r="F15138" s="48" t="str">
        <f>IFERROR(__xludf.DUMMYFUNCTION("""COMPUTED_VALUE"""),"")</f>
        <v/>
      </c>
      <c r="G15138" s="42" t="str">
        <f>IFERROR(__xludf.DUMMYFUNCTION("""COMPUTED_VALUE"""),"")</f>
        <v/>
      </c>
      <c r="H15138" s="42">
        <f t="shared" si="1"/>
        <v>3345</v>
      </c>
    </row>
    <row r="15139" ht="22.5" customHeight="1">
      <c r="B15139" s="42" t="str">
        <f>IFERROR(__xludf.DUMMYFUNCTION("""COMPUTED_VALUE"""),"")</f>
        <v/>
      </c>
      <c r="C15139" s="42" t="str">
        <f>IFERROR(__xludf.DUMMYFUNCTION("""COMPUTED_VALUE"""),"")</f>
        <v/>
      </c>
      <c r="D15139" s="42"/>
      <c r="E15139" s="42"/>
      <c r="F15139" s="48" t="str">
        <f>IFERROR(__xludf.DUMMYFUNCTION("""COMPUTED_VALUE"""),"")</f>
        <v/>
      </c>
      <c r="G15139" s="42" t="str">
        <f>IFERROR(__xludf.DUMMYFUNCTION("""COMPUTED_VALUE"""),"")</f>
        <v/>
      </c>
      <c r="H15139" s="42">
        <f t="shared" si="1"/>
        <v>3345</v>
      </c>
    </row>
    <row r="15140" ht="22.5" customHeight="1">
      <c r="B15140" s="42" t="str">
        <f>IFERROR(__xludf.DUMMYFUNCTION("""COMPUTED_VALUE"""),"")</f>
        <v/>
      </c>
      <c r="C15140" s="42" t="str">
        <f>IFERROR(__xludf.DUMMYFUNCTION("""COMPUTED_VALUE"""),"")</f>
        <v/>
      </c>
      <c r="D15140" s="42"/>
      <c r="E15140" s="42"/>
      <c r="F15140" s="48" t="str">
        <f>IFERROR(__xludf.DUMMYFUNCTION("""COMPUTED_VALUE"""),"")</f>
        <v/>
      </c>
      <c r="G15140" s="42" t="str">
        <f>IFERROR(__xludf.DUMMYFUNCTION("""COMPUTED_VALUE"""),"")</f>
        <v/>
      </c>
      <c r="H15140" s="42">
        <f t="shared" si="1"/>
        <v>3345</v>
      </c>
    </row>
    <row r="15141" ht="22.5" customHeight="1">
      <c r="B15141" s="42" t="str">
        <f>IFERROR(__xludf.DUMMYFUNCTION("""COMPUTED_VALUE"""),"")</f>
        <v/>
      </c>
      <c r="C15141" s="42" t="str">
        <f>IFERROR(__xludf.DUMMYFUNCTION("""COMPUTED_VALUE"""),"")</f>
        <v/>
      </c>
      <c r="D15141" s="42"/>
      <c r="E15141" s="42"/>
      <c r="F15141" s="48" t="str">
        <f>IFERROR(__xludf.DUMMYFUNCTION("""COMPUTED_VALUE"""),"")</f>
        <v/>
      </c>
      <c r="G15141" s="42" t="str">
        <f>IFERROR(__xludf.DUMMYFUNCTION("""COMPUTED_VALUE"""),"")</f>
        <v/>
      </c>
      <c r="H15141" s="42">
        <f t="shared" si="1"/>
        <v>3345</v>
      </c>
    </row>
    <row r="15142" ht="22.5" customHeight="1">
      <c r="B15142" s="42" t="str">
        <f>IFERROR(__xludf.DUMMYFUNCTION("""COMPUTED_VALUE"""),"")</f>
        <v/>
      </c>
      <c r="C15142" s="42" t="str">
        <f>IFERROR(__xludf.DUMMYFUNCTION("""COMPUTED_VALUE"""),"")</f>
        <v/>
      </c>
      <c r="D15142" s="42"/>
      <c r="E15142" s="42"/>
      <c r="F15142" s="48" t="str">
        <f>IFERROR(__xludf.DUMMYFUNCTION("""COMPUTED_VALUE"""),"")</f>
        <v/>
      </c>
      <c r="G15142" s="42" t="str">
        <f>IFERROR(__xludf.DUMMYFUNCTION("""COMPUTED_VALUE"""),"")</f>
        <v/>
      </c>
      <c r="H15142" s="42">
        <f t="shared" si="1"/>
        <v>3345</v>
      </c>
    </row>
    <row r="15143" ht="22.5" customHeight="1">
      <c r="B15143" s="42" t="str">
        <f>IFERROR(__xludf.DUMMYFUNCTION("""COMPUTED_VALUE"""),"")</f>
        <v/>
      </c>
      <c r="C15143" s="42" t="str">
        <f>IFERROR(__xludf.DUMMYFUNCTION("""COMPUTED_VALUE"""),"")</f>
        <v/>
      </c>
      <c r="D15143" s="42"/>
      <c r="E15143" s="42"/>
      <c r="F15143" s="48" t="str">
        <f>IFERROR(__xludf.DUMMYFUNCTION("""COMPUTED_VALUE"""),"")</f>
        <v/>
      </c>
      <c r="G15143" s="42" t="str">
        <f>IFERROR(__xludf.DUMMYFUNCTION("""COMPUTED_VALUE"""),"")</f>
        <v/>
      </c>
      <c r="H15143" s="42">
        <f t="shared" si="1"/>
        <v>3345</v>
      </c>
    </row>
    <row r="15144" ht="22.5" customHeight="1">
      <c r="B15144" s="42" t="str">
        <f>IFERROR(__xludf.DUMMYFUNCTION("""COMPUTED_VALUE"""),"")</f>
        <v/>
      </c>
      <c r="C15144" s="42" t="str">
        <f>IFERROR(__xludf.DUMMYFUNCTION("""COMPUTED_VALUE"""),"")</f>
        <v/>
      </c>
      <c r="D15144" s="42"/>
      <c r="E15144" s="42"/>
      <c r="F15144" s="48" t="str">
        <f>IFERROR(__xludf.DUMMYFUNCTION("""COMPUTED_VALUE"""),"")</f>
        <v/>
      </c>
      <c r="G15144" s="42" t="str">
        <f>IFERROR(__xludf.DUMMYFUNCTION("""COMPUTED_VALUE"""),"")</f>
        <v/>
      </c>
      <c r="H15144" s="42">
        <f t="shared" si="1"/>
        <v>3345</v>
      </c>
    </row>
    <row r="15145" ht="22.5" customHeight="1">
      <c r="B15145" s="42" t="str">
        <f>IFERROR(__xludf.DUMMYFUNCTION("""COMPUTED_VALUE"""),"")</f>
        <v/>
      </c>
      <c r="C15145" s="42" t="str">
        <f>IFERROR(__xludf.DUMMYFUNCTION("""COMPUTED_VALUE"""),"")</f>
        <v/>
      </c>
      <c r="D15145" s="42"/>
      <c r="E15145" s="42"/>
      <c r="F15145" s="48" t="str">
        <f>IFERROR(__xludf.DUMMYFUNCTION("""COMPUTED_VALUE"""),"")</f>
        <v/>
      </c>
      <c r="G15145" s="42" t="str">
        <f>IFERROR(__xludf.DUMMYFUNCTION("""COMPUTED_VALUE"""),"")</f>
        <v/>
      </c>
      <c r="H15145" s="42">
        <f t="shared" si="1"/>
        <v>3345</v>
      </c>
    </row>
    <row r="15146" ht="22.5" customHeight="1">
      <c r="B15146" s="42" t="str">
        <f>IFERROR(__xludf.DUMMYFUNCTION("""COMPUTED_VALUE"""),"")</f>
        <v/>
      </c>
      <c r="C15146" s="42" t="str">
        <f>IFERROR(__xludf.DUMMYFUNCTION("""COMPUTED_VALUE"""),"")</f>
        <v/>
      </c>
      <c r="D15146" s="42"/>
      <c r="E15146" s="42"/>
      <c r="F15146" s="48" t="str">
        <f>IFERROR(__xludf.DUMMYFUNCTION("""COMPUTED_VALUE"""),"")</f>
        <v/>
      </c>
      <c r="G15146" s="42" t="str">
        <f>IFERROR(__xludf.DUMMYFUNCTION("""COMPUTED_VALUE"""),"")</f>
        <v/>
      </c>
      <c r="H15146" s="42">
        <f t="shared" si="1"/>
        <v>3345</v>
      </c>
    </row>
    <row r="15147" ht="22.5" customHeight="1">
      <c r="B15147" s="42" t="str">
        <f>IFERROR(__xludf.DUMMYFUNCTION("""COMPUTED_VALUE"""),"")</f>
        <v/>
      </c>
      <c r="C15147" s="42" t="str">
        <f>IFERROR(__xludf.DUMMYFUNCTION("""COMPUTED_VALUE"""),"")</f>
        <v/>
      </c>
      <c r="D15147" s="42"/>
      <c r="E15147" s="42"/>
      <c r="F15147" s="48" t="str">
        <f>IFERROR(__xludf.DUMMYFUNCTION("""COMPUTED_VALUE"""),"")</f>
        <v/>
      </c>
      <c r="G15147" s="42" t="str">
        <f>IFERROR(__xludf.DUMMYFUNCTION("""COMPUTED_VALUE"""),"")</f>
        <v/>
      </c>
      <c r="H15147" s="42">
        <f t="shared" si="1"/>
        <v>3345</v>
      </c>
    </row>
    <row r="15148" ht="22.5" customHeight="1">
      <c r="B15148" s="42" t="str">
        <f>IFERROR(__xludf.DUMMYFUNCTION("""COMPUTED_VALUE"""),"")</f>
        <v/>
      </c>
      <c r="C15148" s="42" t="str">
        <f>IFERROR(__xludf.DUMMYFUNCTION("""COMPUTED_VALUE"""),"")</f>
        <v/>
      </c>
      <c r="D15148" s="42"/>
      <c r="E15148" s="42"/>
      <c r="F15148" s="48" t="str">
        <f>IFERROR(__xludf.DUMMYFUNCTION("""COMPUTED_VALUE"""),"")</f>
        <v/>
      </c>
      <c r="G15148" s="42" t="str">
        <f>IFERROR(__xludf.DUMMYFUNCTION("""COMPUTED_VALUE"""),"")</f>
        <v/>
      </c>
      <c r="H15148" s="42">
        <f t="shared" si="1"/>
        <v>3345</v>
      </c>
    </row>
    <row r="15149" ht="22.5" customHeight="1">
      <c r="B15149" s="42" t="str">
        <f>IFERROR(__xludf.DUMMYFUNCTION("""COMPUTED_VALUE"""),"")</f>
        <v/>
      </c>
      <c r="C15149" s="42" t="str">
        <f>IFERROR(__xludf.DUMMYFUNCTION("""COMPUTED_VALUE"""),"")</f>
        <v/>
      </c>
      <c r="D15149" s="42"/>
      <c r="E15149" s="42"/>
      <c r="F15149" s="48" t="str">
        <f>IFERROR(__xludf.DUMMYFUNCTION("""COMPUTED_VALUE"""),"")</f>
        <v/>
      </c>
      <c r="G15149" s="42" t="str">
        <f>IFERROR(__xludf.DUMMYFUNCTION("""COMPUTED_VALUE"""),"")</f>
        <v/>
      </c>
      <c r="H15149" s="42">
        <f t="shared" si="1"/>
        <v>3345</v>
      </c>
    </row>
    <row r="15150" ht="22.5" customHeight="1">
      <c r="B15150" s="42" t="str">
        <f>IFERROR(__xludf.DUMMYFUNCTION("""COMPUTED_VALUE"""),"")</f>
        <v/>
      </c>
      <c r="C15150" s="42" t="str">
        <f>IFERROR(__xludf.DUMMYFUNCTION("""COMPUTED_VALUE"""),"")</f>
        <v/>
      </c>
      <c r="D15150" s="42"/>
      <c r="E15150" s="42"/>
      <c r="F15150" s="48" t="str">
        <f>IFERROR(__xludf.DUMMYFUNCTION("""COMPUTED_VALUE"""),"")</f>
        <v/>
      </c>
      <c r="G15150" s="42" t="str">
        <f>IFERROR(__xludf.DUMMYFUNCTION("""COMPUTED_VALUE"""),"")</f>
        <v/>
      </c>
      <c r="H15150" s="42">
        <f t="shared" si="1"/>
        <v>3345</v>
      </c>
    </row>
    <row r="15151" ht="22.5" customHeight="1">
      <c r="B15151" s="42" t="str">
        <f>IFERROR(__xludf.DUMMYFUNCTION("""COMPUTED_VALUE"""),"")</f>
        <v/>
      </c>
      <c r="C15151" s="42" t="str">
        <f>IFERROR(__xludf.DUMMYFUNCTION("""COMPUTED_VALUE"""),"")</f>
        <v/>
      </c>
      <c r="D15151" s="42"/>
      <c r="E15151" s="42"/>
      <c r="F15151" s="48" t="str">
        <f>IFERROR(__xludf.DUMMYFUNCTION("""COMPUTED_VALUE"""),"")</f>
        <v/>
      </c>
      <c r="G15151" s="42" t="str">
        <f>IFERROR(__xludf.DUMMYFUNCTION("""COMPUTED_VALUE"""),"")</f>
        <v/>
      </c>
      <c r="H15151" s="42">
        <f t="shared" si="1"/>
        <v>3345</v>
      </c>
    </row>
    <row r="15152" ht="22.5" customHeight="1">
      <c r="B15152" s="42" t="str">
        <f>IFERROR(__xludf.DUMMYFUNCTION("""COMPUTED_VALUE"""),"")</f>
        <v/>
      </c>
      <c r="C15152" s="42" t="str">
        <f>IFERROR(__xludf.DUMMYFUNCTION("""COMPUTED_VALUE"""),"")</f>
        <v/>
      </c>
      <c r="D15152" s="42"/>
      <c r="E15152" s="42"/>
      <c r="F15152" s="48" t="str">
        <f>IFERROR(__xludf.DUMMYFUNCTION("""COMPUTED_VALUE"""),"")</f>
        <v/>
      </c>
      <c r="G15152" s="42" t="str">
        <f>IFERROR(__xludf.DUMMYFUNCTION("""COMPUTED_VALUE"""),"")</f>
        <v/>
      </c>
      <c r="H15152" s="42">
        <f t="shared" si="1"/>
        <v>3345</v>
      </c>
    </row>
    <row r="15153" ht="22.5" customHeight="1">
      <c r="B15153" s="42" t="str">
        <f>IFERROR(__xludf.DUMMYFUNCTION("""COMPUTED_VALUE"""),"")</f>
        <v/>
      </c>
      <c r="C15153" s="42" t="str">
        <f>IFERROR(__xludf.DUMMYFUNCTION("""COMPUTED_VALUE"""),"")</f>
        <v/>
      </c>
      <c r="D15153" s="42"/>
      <c r="E15153" s="42"/>
      <c r="F15153" s="48" t="str">
        <f>IFERROR(__xludf.DUMMYFUNCTION("""COMPUTED_VALUE"""),"")</f>
        <v/>
      </c>
      <c r="G15153" s="42" t="str">
        <f>IFERROR(__xludf.DUMMYFUNCTION("""COMPUTED_VALUE"""),"")</f>
        <v/>
      </c>
      <c r="H15153" s="42">
        <f t="shared" si="1"/>
        <v>3345</v>
      </c>
    </row>
    <row r="15154" ht="22.5" customHeight="1">
      <c r="B15154" s="42" t="str">
        <f>IFERROR(__xludf.DUMMYFUNCTION("""COMPUTED_VALUE"""),"")</f>
        <v/>
      </c>
      <c r="C15154" s="42" t="str">
        <f>IFERROR(__xludf.DUMMYFUNCTION("""COMPUTED_VALUE"""),"")</f>
        <v/>
      </c>
      <c r="D15154" s="42"/>
      <c r="E15154" s="42"/>
      <c r="F15154" s="48" t="str">
        <f>IFERROR(__xludf.DUMMYFUNCTION("""COMPUTED_VALUE"""),"")</f>
        <v/>
      </c>
      <c r="G15154" s="42" t="str">
        <f>IFERROR(__xludf.DUMMYFUNCTION("""COMPUTED_VALUE"""),"")</f>
        <v/>
      </c>
      <c r="H15154" s="42">
        <f t="shared" si="1"/>
        <v>3345</v>
      </c>
    </row>
    <row r="15155" ht="22.5" customHeight="1">
      <c r="B15155" s="42" t="str">
        <f>IFERROR(__xludf.DUMMYFUNCTION("""COMPUTED_VALUE"""),"")</f>
        <v/>
      </c>
      <c r="C15155" s="42" t="str">
        <f>IFERROR(__xludf.DUMMYFUNCTION("""COMPUTED_VALUE"""),"")</f>
        <v/>
      </c>
      <c r="D15155" s="42"/>
      <c r="E15155" s="42"/>
      <c r="F15155" s="48" t="str">
        <f>IFERROR(__xludf.DUMMYFUNCTION("""COMPUTED_VALUE"""),"")</f>
        <v/>
      </c>
      <c r="G15155" s="42" t="str">
        <f>IFERROR(__xludf.DUMMYFUNCTION("""COMPUTED_VALUE"""),"")</f>
        <v/>
      </c>
      <c r="H15155" s="42">
        <f t="shared" si="1"/>
        <v>3345</v>
      </c>
    </row>
    <row r="15156" ht="22.5" customHeight="1">
      <c r="B15156" s="42" t="str">
        <f>IFERROR(__xludf.DUMMYFUNCTION("""COMPUTED_VALUE"""),"")</f>
        <v/>
      </c>
      <c r="C15156" s="42" t="str">
        <f>IFERROR(__xludf.DUMMYFUNCTION("""COMPUTED_VALUE"""),"")</f>
        <v/>
      </c>
      <c r="D15156" s="42"/>
      <c r="E15156" s="42"/>
      <c r="F15156" s="48" t="str">
        <f>IFERROR(__xludf.DUMMYFUNCTION("""COMPUTED_VALUE"""),"")</f>
        <v/>
      </c>
      <c r="G15156" s="42" t="str">
        <f>IFERROR(__xludf.DUMMYFUNCTION("""COMPUTED_VALUE"""),"")</f>
        <v/>
      </c>
      <c r="H15156" s="42">
        <f t="shared" si="1"/>
        <v>3345</v>
      </c>
    </row>
    <row r="15157" ht="22.5" customHeight="1">
      <c r="B15157" s="42" t="str">
        <f>IFERROR(__xludf.DUMMYFUNCTION("""COMPUTED_VALUE"""),"")</f>
        <v/>
      </c>
      <c r="C15157" s="42" t="str">
        <f>IFERROR(__xludf.DUMMYFUNCTION("""COMPUTED_VALUE"""),"")</f>
        <v/>
      </c>
      <c r="D15157" s="42"/>
      <c r="E15157" s="42"/>
      <c r="F15157" s="48" t="str">
        <f>IFERROR(__xludf.DUMMYFUNCTION("""COMPUTED_VALUE"""),"")</f>
        <v/>
      </c>
      <c r="G15157" s="42" t="str">
        <f>IFERROR(__xludf.DUMMYFUNCTION("""COMPUTED_VALUE"""),"")</f>
        <v/>
      </c>
      <c r="H15157" s="42">
        <f t="shared" si="1"/>
        <v>3345</v>
      </c>
    </row>
    <row r="15158" ht="22.5" customHeight="1">
      <c r="B15158" s="42" t="str">
        <f>IFERROR(__xludf.DUMMYFUNCTION("""COMPUTED_VALUE"""),"")</f>
        <v/>
      </c>
      <c r="C15158" s="42" t="str">
        <f>IFERROR(__xludf.DUMMYFUNCTION("""COMPUTED_VALUE"""),"")</f>
        <v/>
      </c>
      <c r="D15158" s="42"/>
      <c r="E15158" s="42"/>
      <c r="F15158" s="48" t="str">
        <f>IFERROR(__xludf.DUMMYFUNCTION("""COMPUTED_VALUE"""),"")</f>
        <v/>
      </c>
      <c r="G15158" s="42" t="str">
        <f>IFERROR(__xludf.DUMMYFUNCTION("""COMPUTED_VALUE"""),"")</f>
        <v/>
      </c>
      <c r="H15158" s="42">
        <f t="shared" si="1"/>
        <v>3345</v>
      </c>
    </row>
    <row r="15159" ht="22.5" customHeight="1">
      <c r="B15159" s="42" t="str">
        <f>IFERROR(__xludf.DUMMYFUNCTION("""COMPUTED_VALUE"""),"")</f>
        <v/>
      </c>
      <c r="C15159" s="42" t="str">
        <f>IFERROR(__xludf.DUMMYFUNCTION("""COMPUTED_VALUE"""),"")</f>
        <v/>
      </c>
      <c r="D15159" s="42"/>
      <c r="E15159" s="42"/>
      <c r="F15159" s="48" t="str">
        <f>IFERROR(__xludf.DUMMYFUNCTION("""COMPUTED_VALUE"""),"")</f>
        <v/>
      </c>
      <c r="G15159" s="42" t="str">
        <f>IFERROR(__xludf.DUMMYFUNCTION("""COMPUTED_VALUE"""),"")</f>
        <v/>
      </c>
      <c r="H15159" s="42">
        <f t="shared" si="1"/>
        <v>3345</v>
      </c>
    </row>
    <row r="15160" ht="22.5" customHeight="1">
      <c r="B15160" s="42" t="str">
        <f>IFERROR(__xludf.DUMMYFUNCTION("""COMPUTED_VALUE"""),"")</f>
        <v/>
      </c>
      <c r="C15160" s="42" t="str">
        <f>IFERROR(__xludf.DUMMYFUNCTION("""COMPUTED_VALUE"""),"")</f>
        <v/>
      </c>
      <c r="D15160" s="42"/>
      <c r="E15160" s="42"/>
      <c r="F15160" s="48" t="str">
        <f>IFERROR(__xludf.DUMMYFUNCTION("""COMPUTED_VALUE"""),"")</f>
        <v/>
      </c>
      <c r="G15160" s="42" t="str">
        <f>IFERROR(__xludf.DUMMYFUNCTION("""COMPUTED_VALUE"""),"")</f>
        <v/>
      </c>
      <c r="H15160" s="42">
        <f t="shared" si="1"/>
        <v>3345</v>
      </c>
    </row>
    <row r="15161" ht="22.5" customHeight="1">
      <c r="B15161" s="42" t="str">
        <f>IFERROR(__xludf.DUMMYFUNCTION("""COMPUTED_VALUE"""),"")</f>
        <v/>
      </c>
      <c r="C15161" s="42" t="str">
        <f>IFERROR(__xludf.DUMMYFUNCTION("""COMPUTED_VALUE"""),"")</f>
        <v/>
      </c>
      <c r="D15161" s="42"/>
      <c r="E15161" s="42"/>
      <c r="F15161" s="48" t="str">
        <f>IFERROR(__xludf.DUMMYFUNCTION("""COMPUTED_VALUE"""),"")</f>
        <v/>
      </c>
      <c r="G15161" s="42" t="str">
        <f>IFERROR(__xludf.DUMMYFUNCTION("""COMPUTED_VALUE"""),"")</f>
        <v/>
      </c>
      <c r="H15161" s="42">
        <f t="shared" si="1"/>
        <v>3345</v>
      </c>
    </row>
    <row r="15162" ht="22.5" customHeight="1">
      <c r="B15162" s="42" t="str">
        <f>IFERROR(__xludf.DUMMYFUNCTION("""COMPUTED_VALUE"""),"")</f>
        <v/>
      </c>
      <c r="C15162" s="42" t="str">
        <f>IFERROR(__xludf.DUMMYFUNCTION("""COMPUTED_VALUE"""),"")</f>
        <v/>
      </c>
      <c r="D15162" s="42"/>
      <c r="E15162" s="42"/>
      <c r="F15162" s="48" t="str">
        <f>IFERROR(__xludf.DUMMYFUNCTION("""COMPUTED_VALUE"""),"")</f>
        <v/>
      </c>
      <c r="G15162" s="42" t="str">
        <f>IFERROR(__xludf.DUMMYFUNCTION("""COMPUTED_VALUE"""),"")</f>
        <v/>
      </c>
      <c r="H15162" s="42">
        <f t="shared" si="1"/>
        <v>3345</v>
      </c>
    </row>
    <row r="15163" ht="22.5" customHeight="1">
      <c r="B15163" s="42" t="str">
        <f>IFERROR(__xludf.DUMMYFUNCTION("""COMPUTED_VALUE"""),"")</f>
        <v/>
      </c>
      <c r="C15163" s="42" t="str">
        <f>IFERROR(__xludf.DUMMYFUNCTION("""COMPUTED_VALUE"""),"")</f>
        <v/>
      </c>
      <c r="D15163" s="42"/>
      <c r="E15163" s="42"/>
      <c r="F15163" s="48" t="str">
        <f>IFERROR(__xludf.DUMMYFUNCTION("""COMPUTED_VALUE"""),"")</f>
        <v/>
      </c>
      <c r="G15163" s="42" t="str">
        <f>IFERROR(__xludf.DUMMYFUNCTION("""COMPUTED_VALUE"""),"")</f>
        <v/>
      </c>
      <c r="H15163" s="42">
        <f t="shared" si="1"/>
        <v>3345</v>
      </c>
    </row>
    <row r="15164" ht="22.5" customHeight="1">
      <c r="B15164" s="42" t="str">
        <f>IFERROR(__xludf.DUMMYFUNCTION("""COMPUTED_VALUE"""),"")</f>
        <v/>
      </c>
      <c r="C15164" s="42" t="str">
        <f>IFERROR(__xludf.DUMMYFUNCTION("""COMPUTED_VALUE"""),"")</f>
        <v/>
      </c>
      <c r="D15164" s="42"/>
      <c r="E15164" s="42"/>
      <c r="F15164" s="48" t="str">
        <f>IFERROR(__xludf.DUMMYFUNCTION("""COMPUTED_VALUE"""),"")</f>
        <v/>
      </c>
      <c r="G15164" s="42" t="str">
        <f>IFERROR(__xludf.DUMMYFUNCTION("""COMPUTED_VALUE"""),"")</f>
        <v/>
      </c>
      <c r="H15164" s="42">
        <f t="shared" si="1"/>
        <v>3345</v>
      </c>
    </row>
    <row r="15165" ht="22.5" customHeight="1">
      <c r="B15165" s="42" t="str">
        <f>IFERROR(__xludf.DUMMYFUNCTION("""COMPUTED_VALUE"""),"")</f>
        <v/>
      </c>
      <c r="C15165" s="42" t="str">
        <f>IFERROR(__xludf.DUMMYFUNCTION("""COMPUTED_VALUE"""),"")</f>
        <v/>
      </c>
      <c r="D15165" s="42"/>
      <c r="E15165" s="42"/>
      <c r="F15165" s="48" t="str">
        <f>IFERROR(__xludf.DUMMYFUNCTION("""COMPUTED_VALUE"""),"")</f>
        <v/>
      </c>
      <c r="G15165" s="42" t="str">
        <f>IFERROR(__xludf.DUMMYFUNCTION("""COMPUTED_VALUE"""),"")</f>
        <v/>
      </c>
      <c r="H15165" s="42">
        <f t="shared" si="1"/>
        <v>3345</v>
      </c>
    </row>
    <row r="15166" ht="22.5" customHeight="1">
      <c r="B15166" s="42" t="str">
        <f>IFERROR(__xludf.DUMMYFUNCTION("""COMPUTED_VALUE"""),"")</f>
        <v/>
      </c>
      <c r="C15166" s="42" t="str">
        <f>IFERROR(__xludf.DUMMYFUNCTION("""COMPUTED_VALUE"""),"")</f>
        <v/>
      </c>
      <c r="D15166" s="42"/>
      <c r="E15166" s="42"/>
      <c r="F15166" s="48" t="str">
        <f>IFERROR(__xludf.DUMMYFUNCTION("""COMPUTED_VALUE"""),"")</f>
        <v/>
      </c>
      <c r="G15166" s="42" t="str">
        <f>IFERROR(__xludf.DUMMYFUNCTION("""COMPUTED_VALUE"""),"")</f>
        <v/>
      </c>
      <c r="H15166" s="42">
        <f t="shared" si="1"/>
        <v>3345</v>
      </c>
    </row>
    <row r="15167" ht="22.5" customHeight="1">
      <c r="B15167" s="42" t="str">
        <f>IFERROR(__xludf.DUMMYFUNCTION("""COMPUTED_VALUE"""),"")</f>
        <v/>
      </c>
      <c r="C15167" s="42" t="str">
        <f>IFERROR(__xludf.DUMMYFUNCTION("""COMPUTED_VALUE"""),"")</f>
        <v/>
      </c>
      <c r="D15167" s="42"/>
      <c r="E15167" s="42"/>
      <c r="F15167" s="48" t="str">
        <f>IFERROR(__xludf.DUMMYFUNCTION("""COMPUTED_VALUE"""),"")</f>
        <v/>
      </c>
      <c r="G15167" s="42" t="str">
        <f>IFERROR(__xludf.DUMMYFUNCTION("""COMPUTED_VALUE"""),"")</f>
        <v/>
      </c>
      <c r="H15167" s="42">
        <f t="shared" si="1"/>
        <v>3345</v>
      </c>
    </row>
    <row r="15168" ht="22.5" customHeight="1">
      <c r="B15168" s="42" t="str">
        <f>IFERROR(__xludf.DUMMYFUNCTION("""COMPUTED_VALUE"""),"")</f>
        <v/>
      </c>
      <c r="C15168" s="42" t="str">
        <f>IFERROR(__xludf.DUMMYFUNCTION("""COMPUTED_VALUE"""),"")</f>
        <v/>
      </c>
      <c r="D15168" s="42"/>
      <c r="E15168" s="42"/>
      <c r="F15168" s="48" t="str">
        <f>IFERROR(__xludf.DUMMYFUNCTION("""COMPUTED_VALUE"""),"")</f>
        <v/>
      </c>
      <c r="G15168" s="42" t="str">
        <f>IFERROR(__xludf.DUMMYFUNCTION("""COMPUTED_VALUE"""),"")</f>
        <v/>
      </c>
      <c r="H15168" s="42">
        <f t="shared" si="1"/>
        <v>3345</v>
      </c>
    </row>
    <row r="15169" ht="22.5" customHeight="1">
      <c r="B15169" s="42" t="str">
        <f>IFERROR(__xludf.DUMMYFUNCTION("""COMPUTED_VALUE"""),"")</f>
        <v/>
      </c>
      <c r="C15169" s="42" t="str">
        <f>IFERROR(__xludf.DUMMYFUNCTION("""COMPUTED_VALUE"""),"")</f>
        <v/>
      </c>
      <c r="D15169" s="42"/>
      <c r="E15169" s="42"/>
      <c r="F15169" s="48" t="str">
        <f>IFERROR(__xludf.DUMMYFUNCTION("""COMPUTED_VALUE"""),"")</f>
        <v/>
      </c>
      <c r="G15169" s="42" t="str">
        <f>IFERROR(__xludf.DUMMYFUNCTION("""COMPUTED_VALUE"""),"")</f>
        <v/>
      </c>
      <c r="H15169" s="42">
        <f t="shared" si="1"/>
        <v>3345</v>
      </c>
    </row>
    <row r="15170" ht="22.5" customHeight="1">
      <c r="B15170" s="42" t="str">
        <f>IFERROR(__xludf.DUMMYFUNCTION("""COMPUTED_VALUE"""),"")</f>
        <v/>
      </c>
      <c r="C15170" s="42" t="str">
        <f>IFERROR(__xludf.DUMMYFUNCTION("""COMPUTED_VALUE"""),"")</f>
        <v/>
      </c>
      <c r="D15170" s="42"/>
      <c r="E15170" s="42"/>
      <c r="F15170" s="48" t="str">
        <f>IFERROR(__xludf.DUMMYFUNCTION("""COMPUTED_VALUE"""),"")</f>
        <v/>
      </c>
      <c r="G15170" s="42" t="str">
        <f>IFERROR(__xludf.DUMMYFUNCTION("""COMPUTED_VALUE"""),"")</f>
        <v/>
      </c>
      <c r="H15170" s="42">
        <f t="shared" si="1"/>
        <v>3345</v>
      </c>
    </row>
    <row r="15171" ht="22.5" customHeight="1">
      <c r="B15171" s="42" t="str">
        <f>IFERROR(__xludf.DUMMYFUNCTION("""COMPUTED_VALUE"""),"")</f>
        <v/>
      </c>
      <c r="C15171" s="42" t="str">
        <f>IFERROR(__xludf.DUMMYFUNCTION("""COMPUTED_VALUE"""),"")</f>
        <v/>
      </c>
      <c r="D15171" s="42"/>
      <c r="E15171" s="42"/>
      <c r="F15171" s="48" t="str">
        <f>IFERROR(__xludf.DUMMYFUNCTION("""COMPUTED_VALUE"""),"")</f>
        <v/>
      </c>
      <c r="G15171" s="42" t="str">
        <f>IFERROR(__xludf.DUMMYFUNCTION("""COMPUTED_VALUE"""),"")</f>
        <v/>
      </c>
      <c r="H15171" s="42">
        <f t="shared" si="1"/>
        <v>3345</v>
      </c>
    </row>
    <row r="15172" ht="22.5" customHeight="1">
      <c r="B15172" s="42" t="str">
        <f>IFERROR(__xludf.DUMMYFUNCTION("""COMPUTED_VALUE"""),"")</f>
        <v/>
      </c>
      <c r="C15172" s="42" t="str">
        <f>IFERROR(__xludf.DUMMYFUNCTION("""COMPUTED_VALUE"""),"")</f>
        <v/>
      </c>
      <c r="D15172" s="42"/>
      <c r="E15172" s="42"/>
      <c r="F15172" s="48" t="str">
        <f>IFERROR(__xludf.DUMMYFUNCTION("""COMPUTED_VALUE"""),"")</f>
        <v/>
      </c>
      <c r="G15172" s="42" t="str">
        <f>IFERROR(__xludf.DUMMYFUNCTION("""COMPUTED_VALUE"""),"")</f>
        <v/>
      </c>
      <c r="H15172" s="42">
        <f t="shared" si="1"/>
        <v>3345</v>
      </c>
    </row>
    <row r="15173" ht="22.5" customHeight="1">
      <c r="B15173" s="42" t="str">
        <f>IFERROR(__xludf.DUMMYFUNCTION("""COMPUTED_VALUE"""),"")</f>
        <v/>
      </c>
      <c r="C15173" s="42" t="str">
        <f>IFERROR(__xludf.DUMMYFUNCTION("""COMPUTED_VALUE"""),"")</f>
        <v/>
      </c>
      <c r="D15173" s="42"/>
      <c r="E15173" s="42"/>
      <c r="F15173" s="48" t="str">
        <f>IFERROR(__xludf.DUMMYFUNCTION("""COMPUTED_VALUE"""),"")</f>
        <v/>
      </c>
      <c r="G15173" s="42" t="str">
        <f>IFERROR(__xludf.DUMMYFUNCTION("""COMPUTED_VALUE"""),"")</f>
        <v/>
      </c>
      <c r="H15173" s="42">
        <f t="shared" si="1"/>
        <v>3345</v>
      </c>
    </row>
    <row r="15174" ht="22.5" customHeight="1">
      <c r="B15174" s="42" t="str">
        <f>IFERROR(__xludf.DUMMYFUNCTION("""COMPUTED_VALUE"""),"")</f>
        <v/>
      </c>
      <c r="C15174" s="42" t="str">
        <f>IFERROR(__xludf.DUMMYFUNCTION("""COMPUTED_VALUE"""),"")</f>
        <v/>
      </c>
      <c r="D15174" s="42"/>
      <c r="E15174" s="42"/>
      <c r="F15174" s="48" t="str">
        <f>IFERROR(__xludf.DUMMYFUNCTION("""COMPUTED_VALUE"""),"")</f>
        <v/>
      </c>
      <c r="G15174" s="42" t="str">
        <f>IFERROR(__xludf.DUMMYFUNCTION("""COMPUTED_VALUE"""),"")</f>
        <v/>
      </c>
      <c r="H15174" s="42">
        <f t="shared" si="1"/>
        <v>3345</v>
      </c>
    </row>
    <row r="15175" ht="22.5" customHeight="1">
      <c r="B15175" s="42" t="str">
        <f>IFERROR(__xludf.DUMMYFUNCTION("""COMPUTED_VALUE"""),"")</f>
        <v/>
      </c>
      <c r="C15175" s="42" t="str">
        <f>IFERROR(__xludf.DUMMYFUNCTION("""COMPUTED_VALUE"""),"")</f>
        <v/>
      </c>
      <c r="D15175" s="42"/>
      <c r="E15175" s="42"/>
      <c r="F15175" s="48" t="str">
        <f>IFERROR(__xludf.DUMMYFUNCTION("""COMPUTED_VALUE"""),"")</f>
        <v/>
      </c>
      <c r="G15175" s="42" t="str">
        <f>IFERROR(__xludf.DUMMYFUNCTION("""COMPUTED_VALUE"""),"")</f>
        <v/>
      </c>
      <c r="H15175" s="42">
        <f t="shared" si="1"/>
        <v>3345</v>
      </c>
    </row>
    <row r="15176" ht="22.5" customHeight="1">
      <c r="B15176" s="42" t="str">
        <f>IFERROR(__xludf.DUMMYFUNCTION("""COMPUTED_VALUE"""),"")</f>
        <v/>
      </c>
      <c r="C15176" s="42" t="str">
        <f>IFERROR(__xludf.DUMMYFUNCTION("""COMPUTED_VALUE"""),"")</f>
        <v/>
      </c>
      <c r="D15176" s="42"/>
      <c r="E15176" s="42"/>
      <c r="F15176" s="48" t="str">
        <f>IFERROR(__xludf.DUMMYFUNCTION("""COMPUTED_VALUE"""),"")</f>
        <v/>
      </c>
      <c r="G15176" s="42" t="str">
        <f>IFERROR(__xludf.DUMMYFUNCTION("""COMPUTED_VALUE"""),"")</f>
        <v/>
      </c>
      <c r="H15176" s="42">
        <f t="shared" si="1"/>
        <v>3345</v>
      </c>
    </row>
    <row r="15177" ht="22.5" customHeight="1">
      <c r="B15177" s="42" t="str">
        <f>IFERROR(__xludf.DUMMYFUNCTION("""COMPUTED_VALUE"""),"")</f>
        <v/>
      </c>
      <c r="C15177" s="42" t="str">
        <f>IFERROR(__xludf.DUMMYFUNCTION("""COMPUTED_VALUE"""),"")</f>
        <v/>
      </c>
      <c r="D15177" s="42"/>
      <c r="E15177" s="42"/>
      <c r="F15177" s="48" t="str">
        <f>IFERROR(__xludf.DUMMYFUNCTION("""COMPUTED_VALUE"""),"")</f>
        <v/>
      </c>
      <c r="G15177" s="42" t="str">
        <f>IFERROR(__xludf.DUMMYFUNCTION("""COMPUTED_VALUE"""),"")</f>
        <v/>
      </c>
      <c r="H15177" s="42">
        <f t="shared" si="1"/>
        <v>3345</v>
      </c>
    </row>
    <row r="15178" ht="22.5" customHeight="1">
      <c r="B15178" s="42" t="str">
        <f>IFERROR(__xludf.DUMMYFUNCTION("""COMPUTED_VALUE"""),"")</f>
        <v/>
      </c>
      <c r="C15178" s="42" t="str">
        <f>IFERROR(__xludf.DUMMYFUNCTION("""COMPUTED_VALUE"""),"")</f>
        <v/>
      </c>
      <c r="D15178" s="42"/>
      <c r="E15178" s="42"/>
      <c r="F15178" s="48" t="str">
        <f>IFERROR(__xludf.DUMMYFUNCTION("""COMPUTED_VALUE"""),"")</f>
        <v/>
      </c>
      <c r="G15178" s="42" t="str">
        <f>IFERROR(__xludf.DUMMYFUNCTION("""COMPUTED_VALUE"""),"")</f>
        <v/>
      </c>
      <c r="H15178" s="42">
        <f t="shared" si="1"/>
        <v>3345</v>
      </c>
    </row>
    <row r="15179" ht="22.5" customHeight="1">
      <c r="B15179" s="42" t="str">
        <f>IFERROR(__xludf.DUMMYFUNCTION("""COMPUTED_VALUE"""),"")</f>
        <v/>
      </c>
      <c r="C15179" s="42" t="str">
        <f>IFERROR(__xludf.DUMMYFUNCTION("""COMPUTED_VALUE"""),"")</f>
        <v/>
      </c>
      <c r="D15179" s="42"/>
      <c r="E15179" s="42"/>
      <c r="F15179" s="48" t="str">
        <f>IFERROR(__xludf.DUMMYFUNCTION("""COMPUTED_VALUE"""),"")</f>
        <v/>
      </c>
      <c r="G15179" s="42" t="str">
        <f>IFERROR(__xludf.DUMMYFUNCTION("""COMPUTED_VALUE"""),"")</f>
        <v/>
      </c>
      <c r="H15179" s="42">
        <f t="shared" si="1"/>
        <v>3345</v>
      </c>
    </row>
    <row r="15180" ht="22.5" customHeight="1">
      <c r="B15180" s="42" t="str">
        <f>IFERROR(__xludf.DUMMYFUNCTION("""COMPUTED_VALUE"""),"")</f>
        <v/>
      </c>
      <c r="C15180" s="42" t="str">
        <f>IFERROR(__xludf.DUMMYFUNCTION("""COMPUTED_VALUE"""),"")</f>
        <v/>
      </c>
      <c r="D15180" s="42"/>
      <c r="E15180" s="42"/>
      <c r="F15180" s="48" t="str">
        <f>IFERROR(__xludf.DUMMYFUNCTION("""COMPUTED_VALUE"""),"")</f>
        <v/>
      </c>
      <c r="G15180" s="42" t="str">
        <f>IFERROR(__xludf.DUMMYFUNCTION("""COMPUTED_VALUE"""),"")</f>
        <v/>
      </c>
      <c r="H15180" s="42">
        <f t="shared" si="1"/>
        <v>3345</v>
      </c>
    </row>
    <row r="15181" ht="22.5" customHeight="1">
      <c r="B15181" s="42" t="str">
        <f>IFERROR(__xludf.DUMMYFUNCTION("""COMPUTED_VALUE"""),"")</f>
        <v/>
      </c>
      <c r="C15181" s="42" t="str">
        <f>IFERROR(__xludf.DUMMYFUNCTION("""COMPUTED_VALUE"""),"")</f>
        <v/>
      </c>
      <c r="D15181" s="42"/>
      <c r="E15181" s="42"/>
      <c r="F15181" s="48" t="str">
        <f>IFERROR(__xludf.DUMMYFUNCTION("""COMPUTED_VALUE"""),"")</f>
        <v/>
      </c>
      <c r="G15181" s="42" t="str">
        <f>IFERROR(__xludf.DUMMYFUNCTION("""COMPUTED_VALUE"""),"")</f>
        <v/>
      </c>
      <c r="H15181" s="42">
        <f t="shared" si="1"/>
        <v>3345</v>
      </c>
    </row>
    <row r="15182" ht="22.5" customHeight="1">
      <c r="B15182" s="42" t="str">
        <f>IFERROR(__xludf.DUMMYFUNCTION("""COMPUTED_VALUE"""),"")</f>
        <v/>
      </c>
      <c r="C15182" s="42" t="str">
        <f>IFERROR(__xludf.DUMMYFUNCTION("""COMPUTED_VALUE"""),"")</f>
        <v/>
      </c>
      <c r="D15182" s="42"/>
      <c r="E15182" s="42"/>
      <c r="F15182" s="48" t="str">
        <f>IFERROR(__xludf.DUMMYFUNCTION("""COMPUTED_VALUE"""),"")</f>
        <v/>
      </c>
      <c r="G15182" s="42" t="str">
        <f>IFERROR(__xludf.DUMMYFUNCTION("""COMPUTED_VALUE"""),"")</f>
        <v/>
      </c>
      <c r="H15182" s="42">
        <f t="shared" si="1"/>
        <v>3345</v>
      </c>
    </row>
    <row r="15183" ht="22.5" customHeight="1">
      <c r="B15183" s="42" t="str">
        <f>IFERROR(__xludf.DUMMYFUNCTION("""COMPUTED_VALUE"""),"")</f>
        <v/>
      </c>
      <c r="C15183" s="42" t="str">
        <f>IFERROR(__xludf.DUMMYFUNCTION("""COMPUTED_VALUE"""),"")</f>
        <v/>
      </c>
      <c r="D15183" s="42"/>
      <c r="E15183" s="42"/>
      <c r="F15183" s="48" t="str">
        <f>IFERROR(__xludf.DUMMYFUNCTION("""COMPUTED_VALUE"""),"")</f>
        <v/>
      </c>
      <c r="G15183" s="42" t="str">
        <f>IFERROR(__xludf.DUMMYFUNCTION("""COMPUTED_VALUE"""),"")</f>
        <v/>
      </c>
      <c r="H15183" s="42">
        <f t="shared" si="1"/>
        <v>3345</v>
      </c>
    </row>
    <row r="15184" ht="22.5" customHeight="1">
      <c r="B15184" s="42" t="str">
        <f>IFERROR(__xludf.DUMMYFUNCTION("""COMPUTED_VALUE"""),"")</f>
        <v/>
      </c>
      <c r="C15184" s="42" t="str">
        <f>IFERROR(__xludf.DUMMYFUNCTION("""COMPUTED_VALUE"""),"")</f>
        <v/>
      </c>
      <c r="D15184" s="42"/>
      <c r="E15184" s="42"/>
      <c r="F15184" s="48" t="str">
        <f>IFERROR(__xludf.DUMMYFUNCTION("""COMPUTED_VALUE"""),"")</f>
        <v/>
      </c>
      <c r="G15184" s="42" t="str">
        <f>IFERROR(__xludf.DUMMYFUNCTION("""COMPUTED_VALUE"""),"")</f>
        <v/>
      </c>
      <c r="H15184" s="42">
        <f t="shared" si="1"/>
        <v>3345</v>
      </c>
    </row>
    <row r="15185" ht="22.5" customHeight="1">
      <c r="B15185" s="42" t="str">
        <f>IFERROR(__xludf.DUMMYFUNCTION("""COMPUTED_VALUE"""),"")</f>
        <v/>
      </c>
      <c r="C15185" s="42" t="str">
        <f>IFERROR(__xludf.DUMMYFUNCTION("""COMPUTED_VALUE"""),"")</f>
        <v/>
      </c>
      <c r="D15185" s="42"/>
      <c r="E15185" s="42"/>
      <c r="F15185" s="48" t="str">
        <f>IFERROR(__xludf.DUMMYFUNCTION("""COMPUTED_VALUE"""),"")</f>
        <v/>
      </c>
      <c r="G15185" s="42" t="str">
        <f>IFERROR(__xludf.DUMMYFUNCTION("""COMPUTED_VALUE"""),"")</f>
        <v/>
      </c>
      <c r="H15185" s="42">
        <f t="shared" si="1"/>
        <v>3345</v>
      </c>
    </row>
    <row r="15186" ht="22.5" customHeight="1">
      <c r="B15186" s="42" t="str">
        <f>IFERROR(__xludf.DUMMYFUNCTION("""COMPUTED_VALUE"""),"")</f>
        <v/>
      </c>
      <c r="C15186" s="42" t="str">
        <f>IFERROR(__xludf.DUMMYFUNCTION("""COMPUTED_VALUE"""),"")</f>
        <v/>
      </c>
      <c r="D15186" s="42"/>
      <c r="E15186" s="42"/>
      <c r="F15186" s="48" t="str">
        <f>IFERROR(__xludf.DUMMYFUNCTION("""COMPUTED_VALUE"""),"")</f>
        <v/>
      </c>
      <c r="G15186" s="42" t="str">
        <f>IFERROR(__xludf.DUMMYFUNCTION("""COMPUTED_VALUE"""),"")</f>
        <v/>
      </c>
      <c r="H15186" s="42">
        <f t="shared" si="1"/>
        <v>3345</v>
      </c>
    </row>
    <row r="15187" ht="22.5" customHeight="1">
      <c r="B15187" s="42" t="str">
        <f>IFERROR(__xludf.DUMMYFUNCTION("""COMPUTED_VALUE"""),"")</f>
        <v/>
      </c>
      <c r="C15187" s="42" t="str">
        <f>IFERROR(__xludf.DUMMYFUNCTION("""COMPUTED_VALUE"""),"")</f>
        <v/>
      </c>
      <c r="D15187" s="42"/>
      <c r="E15187" s="42"/>
      <c r="F15187" s="48" t="str">
        <f>IFERROR(__xludf.DUMMYFUNCTION("""COMPUTED_VALUE"""),"")</f>
        <v/>
      </c>
      <c r="G15187" s="42" t="str">
        <f>IFERROR(__xludf.DUMMYFUNCTION("""COMPUTED_VALUE"""),"")</f>
        <v/>
      </c>
      <c r="H15187" s="42">
        <f t="shared" si="1"/>
        <v>3345</v>
      </c>
    </row>
    <row r="15188" ht="22.5" customHeight="1">
      <c r="B15188" s="42" t="str">
        <f>IFERROR(__xludf.DUMMYFUNCTION("""COMPUTED_VALUE"""),"")</f>
        <v/>
      </c>
      <c r="C15188" s="42" t="str">
        <f>IFERROR(__xludf.DUMMYFUNCTION("""COMPUTED_VALUE"""),"")</f>
        <v/>
      </c>
      <c r="D15188" s="42"/>
      <c r="E15188" s="42"/>
      <c r="F15188" s="48" t="str">
        <f>IFERROR(__xludf.DUMMYFUNCTION("""COMPUTED_VALUE"""),"")</f>
        <v/>
      </c>
      <c r="G15188" s="42" t="str">
        <f>IFERROR(__xludf.DUMMYFUNCTION("""COMPUTED_VALUE"""),"")</f>
        <v/>
      </c>
      <c r="H15188" s="42">
        <f t="shared" si="1"/>
        <v>3345</v>
      </c>
    </row>
    <row r="15189" ht="22.5" customHeight="1">
      <c r="B15189" s="42" t="str">
        <f>IFERROR(__xludf.DUMMYFUNCTION("""COMPUTED_VALUE"""),"")</f>
        <v/>
      </c>
      <c r="C15189" s="42" t="str">
        <f>IFERROR(__xludf.DUMMYFUNCTION("""COMPUTED_VALUE"""),"")</f>
        <v/>
      </c>
      <c r="D15189" s="42"/>
      <c r="E15189" s="42"/>
      <c r="F15189" s="48" t="str">
        <f>IFERROR(__xludf.DUMMYFUNCTION("""COMPUTED_VALUE"""),"")</f>
        <v/>
      </c>
      <c r="G15189" s="42" t="str">
        <f>IFERROR(__xludf.DUMMYFUNCTION("""COMPUTED_VALUE"""),"")</f>
        <v/>
      </c>
      <c r="H15189" s="42">
        <f t="shared" si="1"/>
        <v>3345</v>
      </c>
    </row>
    <row r="15190" ht="22.5" customHeight="1">
      <c r="B15190" s="42" t="str">
        <f>IFERROR(__xludf.DUMMYFUNCTION("""COMPUTED_VALUE"""),"")</f>
        <v/>
      </c>
      <c r="C15190" s="42" t="str">
        <f>IFERROR(__xludf.DUMMYFUNCTION("""COMPUTED_VALUE"""),"")</f>
        <v/>
      </c>
      <c r="D15190" s="42"/>
      <c r="E15190" s="42"/>
      <c r="F15190" s="48" t="str">
        <f>IFERROR(__xludf.DUMMYFUNCTION("""COMPUTED_VALUE"""),"")</f>
        <v/>
      </c>
      <c r="G15190" s="42" t="str">
        <f>IFERROR(__xludf.DUMMYFUNCTION("""COMPUTED_VALUE"""),"")</f>
        <v/>
      </c>
      <c r="H15190" s="42">
        <f t="shared" si="1"/>
        <v>3345</v>
      </c>
    </row>
    <row r="15191" ht="22.5" customHeight="1">
      <c r="B15191" s="42" t="str">
        <f>IFERROR(__xludf.DUMMYFUNCTION("""COMPUTED_VALUE"""),"")</f>
        <v/>
      </c>
      <c r="C15191" s="42" t="str">
        <f>IFERROR(__xludf.DUMMYFUNCTION("""COMPUTED_VALUE"""),"")</f>
        <v/>
      </c>
      <c r="D15191" s="42"/>
      <c r="E15191" s="42"/>
      <c r="F15191" s="48" t="str">
        <f>IFERROR(__xludf.DUMMYFUNCTION("""COMPUTED_VALUE"""),"")</f>
        <v/>
      </c>
      <c r="G15191" s="42" t="str">
        <f>IFERROR(__xludf.DUMMYFUNCTION("""COMPUTED_VALUE"""),"")</f>
        <v/>
      </c>
      <c r="H15191" s="42">
        <f t="shared" si="1"/>
        <v>3345</v>
      </c>
    </row>
    <row r="15192" ht="22.5" customHeight="1">
      <c r="B15192" s="42" t="str">
        <f>IFERROR(__xludf.DUMMYFUNCTION("""COMPUTED_VALUE"""),"")</f>
        <v/>
      </c>
      <c r="C15192" s="42" t="str">
        <f>IFERROR(__xludf.DUMMYFUNCTION("""COMPUTED_VALUE"""),"")</f>
        <v/>
      </c>
      <c r="D15192" s="42"/>
      <c r="E15192" s="42"/>
      <c r="F15192" s="48" t="str">
        <f>IFERROR(__xludf.DUMMYFUNCTION("""COMPUTED_VALUE"""),"")</f>
        <v/>
      </c>
      <c r="G15192" s="42" t="str">
        <f>IFERROR(__xludf.DUMMYFUNCTION("""COMPUTED_VALUE"""),"")</f>
        <v/>
      </c>
      <c r="H15192" s="42">
        <f t="shared" si="1"/>
        <v>3345</v>
      </c>
    </row>
    <row r="15193" ht="22.5" customHeight="1">
      <c r="B15193" s="42" t="str">
        <f>IFERROR(__xludf.DUMMYFUNCTION("""COMPUTED_VALUE"""),"")</f>
        <v/>
      </c>
      <c r="C15193" s="42" t="str">
        <f>IFERROR(__xludf.DUMMYFUNCTION("""COMPUTED_VALUE"""),"")</f>
        <v/>
      </c>
      <c r="D15193" s="42"/>
      <c r="E15193" s="42"/>
      <c r="F15193" s="48" t="str">
        <f>IFERROR(__xludf.DUMMYFUNCTION("""COMPUTED_VALUE"""),"")</f>
        <v/>
      </c>
      <c r="G15193" s="42" t="str">
        <f>IFERROR(__xludf.DUMMYFUNCTION("""COMPUTED_VALUE"""),"")</f>
        <v/>
      </c>
      <c r="H15193" s="42">
        <f t="shared" si="1"/>
        <v>3345</v>
      </c>
    </row>
    <row r="15194" ht="22.5" customHeight="1">
      <c r="B15194" s="42" t="str">
        <f>IFERROR(__xludf.DUMMYFUNCTION("""COMPUTED_VALUE"""),"")</f>
        <v/>
      </c>
      <c r="C15194" s="42" t="str">
        <f>IFERROR(__xludf.DUMMYFUNCTION("""COMPUTED_VALUE"""),"")</f>
        <v/>
      </c>
      <c r="D15194" s="42"/>
      <c r="E15194" s="42"/>
      <c r="F15194" s="48" t="str">
        <f>IFERROR(__xludf.DUMMYFUNCTION("""COMPUTED_VALUE"""),"")</f>
        <v/>
      </c>
      <c r="G15194" s="42" t="str">
        <f>IFERROR(__xludf.DUMMYFUNCTION("""COMPUTED_VALUE"""),"")</f>
        <v/>
      </c>
      <c r="H15194" s="42">
        <f t="shared" si="1"/>
        <v>3345</v>
      </c>
    </row>
    <row r="15195" ht="22.5" customHeight="1">
      <c r="B15195" s="42" t="str">
        <f>IFERROR(__xludf.DUMMYFUNCTION("""COMPUTED_VALUE"""),"")</f>
        <v/>
      </c>
      <c r="C15195" s="42" t="str">
        <f>IFERROR(__xludf.DUMMYFUNCTION("""COMPUTED_VALUE"""),"")</f>
        <v/>
      </c>
      <c r="D15195" s="42"/>
      <c r="E15195" s="42"/>
      <c r="F15195" s="48" t="str">
        <f>IFERROR(__xludf.DUMMYFUNCTION("""COMPUTED_VALUE"""),"")</f>
        <v/>
      </c>
      <c r="G15195" s="42" t="str">
        <f>IFERROR(__xludf.DUMMYFUNCTION("""COMPUTED_VALUE"""),"")</f>
        <v/>
      </c>
      <c r="H15195" s="42">
        <f t="shared" si="1"/>
        <v>3345</v>
      </c>
    </row>
    <row r="15196" ht="22.5" customHeight="1">
      <c r="B15196" s="42" t="str">
        <f>IFERROR(__xludf.DUMMYFUNCTION("""COMPUTED_VALUE"""),"")</f>
        <v/>
      </c>
      <c r="C15196" s="42" t="str">
        <f>IFERROR(__xludf.DUMMYFUNCTION("""COMPUTED_VALUE"""),"")</f>
        <v/>
      </c>
      <c r="D15196" s="42"/>
      <c r="E15196" s="42"/>
      <c r="F15196" s="48" t="str">
        <f>IFERROR(__xludf.DUMMYFUNCTION("""COMPUTED_VALUE"""),"")</f>
        <v/>
      </c>
      <c r="G15196" s="42" t="str">
        <f>IFERROR(__xludf.DUMMYFUNCTION("""COMPUTED_VALUE"""),"")</f>
        <v/>
      </c>
      <c r="H15196" s="42">
        <f t="shared" si="1"/>
        <v>3345</v>
      </c>
    </row>
    <row r="15197" ht="22.5" customHeight="1">
      <c r="B15197" s="42" t="str">
        <f>IFERROR(__xludf.DUMMYFUNCTION("""COMPUTED_VALUE"""),"")</f>
        <v/>
      </c>
      <c r="C15197" s="42" t="str">
        <f>IFERROR(__xludf.DUMMYFUNCTION("""COMPUTED_VALUE"""),"")</f>
        <v/>
      </c>
      <c r="D15197" s="42"/>
      <c r="E15197" s="42"/>
      <c r="F15197" s="48" t="str">
        <f>IFERROR(__xludf.DUMMYFUNCTION("""COMPUTED_VALUE"""),"")</f>
        <v/>
      </c>
      <c r="G15197" s="42" t="str">
        <f>IFERROR(__xludf.DUMMYFUNCTION("""COMPUTED_VALUE"""),"")</f>
        <v/>
      </c>
      <c r="H15197" s="42">
        <f t="shared" si="1"/>
        <v>3345</v>
      </c>
    </row>
    <row r="15198" ht="22.5" customHeight="1">
      <c r="B15198" s="42" t="str">
        <f>IFERROR(__xludf.DUMMYFUNCTION("""COMPUTED_VALUE"""),"")</f>
        <v/>
      </c>
      <c r="C15198" s="42" t="str">
        <f>IFERROR(__xludf.DUMMYFUNCTION("""COMPUTED_VALUE"""),"")</f>
        <v/>
      </c>
      <c r="D15198" s="42"/>
      <c r="E15198" s="42"/>
      <c r="F15198" s="48" t="str">
        <f>IFERROR(__xludf.DUMMYFUNCTION("""COMPUTED_VALUE"""),"")</f>
        <v/>
      </c>
      <c r="G15198" s="42" t="str">
        <f>IFERROR(__xludf.DUMMYFUNCTION("""COMPUTED_VALUE"""),"")</f>
        <v/>
      </c>
      <c r="H15198" s="42">
        <f t="shared" si="1"/>
        <v>3345</v>
      </c>
    </row>
    <row r="15199" ht="22.5" customHeight="1">
      <c r="B15199" s="42" t="str">
        <f>IFERROR(__xludf.DUMMYFUNCTION("""COMPUTED_VALUE"""),"")</f>
        <v/>
      </c>
      <c r="C15199" s="42" t="str">
        <f>IFERROR(__xludf.DUMMYFUNCTION("""COMPUTED_VALUE"""),"")</f>
        <v/>
      </c>
      <c r="D15199" s="42"/>
      <c r="E15199" s="42"/>
      <c r="F15199" s="48" t="str">
        <f>IFERROR(__xludf.DUMMYFUNCTION("""COMPUTED_VALUE"""),"")</f>
        <v/>
      </c>
      <c r="G15199" s="42" t="str">
        <f>IFERROR(__xludf.DUMMYFUNCTION("""COMPUTED_VALUE"""),"")</f>
        <v/>
      </c>
      <c r="H15199" s="42">
        <f t="shared" si="1"/>
        <v>3345</v>
      </c>
    </row>
    <row r="15200" ht="22.5" customHeight="1">
      <c r="B15200" s="42" t="str">
        <f>IFERROR(__xludf.DUMMYFUNCTION("""COMPUTED_VALUE"""),"")</f>
        <v/>
      </c>
      <c r="C15200" s="42" t="str">
        <f>IFERROR(__xludf.DUMMYFUNCTION("""COMPUTED_VALUE"""),"")</f>
        <v/>
      </c>
      <c r="D15200" s="42"/>
      <c r="E15200" s="42"/>
      <c r="F15200" s="48" t="str">
        <f>IFERROR(__xludf.DUMMYFUNCTION("""COMPUTED_VALUE"""),"")</f>
        <v/>
      </c>
      <c r="G15200" s="42" t="str">
        <f>IFERROR(__xludf.DUMMYFUNCTION("""COMPUTED_VALUE"""),"")</f>
        <v/>
      </c>
      <c r="H15200" s="42">
        <f t="shared" si="1"/>
        <v>3345</v>
      </c>
    </row>
    <row r="15201" ht="22.5" customHeight="1">
      <c r="B15201" s="42" t="str">
        <f>IFERROR(__xludf.DUMMYFUNCTION("""COMPUTED_VALUE"""),"")</f>
        <v/>
      </c>
      <c r="C15201" s="42" t="str">
        <f>IFERROR(__xludf.DUMMYFUNCTION("""COMPUTED_VALUE"""),"")</f>
        <v/>
      </c>
      <c r="D15201" s="42"/>
      <c r="E15201" s="42"/>
      <c r="F15201" s="48" t="str">
        <f>IFERROR(__xludf.DUMMYFUNCTION("""COMPUTED_VALUE"""),"")</f>
        <v/>
      </c>
      <c r="G15201" s="42" t="str">
        <f>IFERROR(__xludf.DUMMYFUNCTION("""COMPUTED_VALUE"""),"")</f>
        <v/>
      </c>
      <c r="H15201" s="42">
        <f t="shared" si="1"/>
        <v>3345</v>
      </c>
    </row>
    <row r="15202" ht="22.5" customHeight="1">
      <c r="B15202" s="42" t="str">
        <f>IFERROR(__xludf.DUMMYFUNCTION("""COMPUTED_VALUE"""),"")</f>
        <v/>
      </c>
      <c r="C15202" s="42" t="str">
        <f>IFERROR(__xludf.DUMMYFUNCTION("""COMPUTED_VALUE"""),"")</f>
        <v/>
      </c>
      <c r="D15202" s="42"/>
      <c r="E15202" s="42"/>
      <c r="F15202" s="48" t="str">
        <f>IFERROR(__xludf.DUMMYFUNCTION("""COMPUTED_VALUE"""),"")</f>
        <v/>
      </c>
      <c r="G15202" s="42" t="str">
        <f>IFERROR(__xludf.DUMMYFUNCTION("""COMPUTED_VALUE"""),"")</f>
        <v/>
      </c>
      <c r="H15202" s="42">
        <f t="shared" si="1"/>
        <v>3345</v>
      </c>
    </row>
    <row r="15203" ht="22.5" customHeight="1">
      <c r="B15203" s="42" t="str">
        <f>IFERROR(__xludf.DUMMYFUNCTION("""COMPUTED_VALUE"""),"")</f>
        <v/>
      </c>
      <c r="C15203" s="42" t="str">
        <f>IFERROR(__xludf.DUMMYFUNCTION("""COMPUTED_VALUE"""),"")</f>
        <v/>
      </c>
      <c r="D15203" s="42"/>
      <c r="E15203" s="42"/>
      <c r="F15203" s="48" t="str">
        <f>IFERROR(__xludf.DUMMYFUNCTION("""COMPUTED_VALUE"""),"")</f>
        <v/>
      </c>
      <c r="G15203" s="42" t="str">
        <f>IFERROR(__xludf.DUMMYFUNCTION("""COMPUTED_VALUE"""),"")</f>
        <v/>
      </c>
      <c r="H15203" s="42">
        <f t="shared" si="1"/>
        <v>3345</v>
      </c>
    </row>
    <row r="15204" ht="22.5" customHeight="1">
      <c r="B15204" s="42" t="str">
        <f>IFERROR(__xludf.DUMMYFUNCTION("""COMPUTED_VALUE"""),"")</f>
        <v/>
      </c>
      <c r="C15204" s="42" t="str">
        <f>IFERROR(__xludf.DUMMYFUNCTION("""COMPUTED_VALUE"""),"")</f>
        <v/>
      </c>
      <c r="D15204" s="42"/>
      <c r="E15204" s="42"/>
      <c r="F15204" s="48" t="str">
        <f>IFERROR(__xludf.DUMMYFUNCTION("""COMPUTED_VALUE"""),"")</f>
        <v/>
      </c>
      <c r="G15204" s="42" t="str">
        <f>IFERROR(__xludf.DUMMYFUNCTION("""COMPUTED_VALUE"""),"")</f>
        <v/>
      </c>
      <c r="H15204" s="42">
        <f t="shared" si="1"/>
        <v>3345</v>
      </c>
    </row>
    <row r="15205" ht="22.5" customHeight="1">
      <c r="B15205" s="42" t="str">
        <f>IFERROR(__xludf.DUMMYFUNCTION("""COMPUTED_VALUE"""),"")</f>
        <v/>
      </c>
      <c r="C15205" s="42" t="str">
        <f>IFERROR(__xludf.DUMMYFUNCTION("""COMPUTED_VALUE"""),"")</f>
        <v/>
      </c>
      <c r="D15205" s="42"/>
      <c r="E15205" s="42"/>
      <c r="F15205" s="48" t="str">
        <f>IFERROR(__xludf.DUMMYFUNCTION("""COMPUTED_VALUE"""),"")</f>
        <v/>
      </c>
      <c r="G15205" s="42" t="str">
        <f>IFERROR(__xludf.DUMMYFUNCTION("""COMPUTED_VALUE"""),"")</f>
        <v/>
      </c>
      <c r="H15205" s="42">
        <f t="shared" si="1"/>
        <v>3345</v>
      </c>
    </row>
    <row r="15206" ht="22.5" customHeight="1">
      <c r="B15206" s="42" t="str">
        <f>IFERROR(__xludf.DUMMYFUNCTION("""COMPUTED_VALUE"""),"")</f>
        <v/>
      </c>
      <c r="C15206" s="42" t="str">
        <f>IFERROR(__xludf.DUMMYFUNCTION("""COMPUTED_VALUE"""),"")</f>
        <v/>
      </c>
      <c r="D15206" s="42"/>
      <c r="E15206" s="42"/>
      <c r="F15206" s="48" t="str">
        <f>IFERROR(__xludf.DUMMYFUNCTION("""COMPUTED_VALUE"""),"")</f>
        <v/>
      </c>
      <c r="G15206" s="42" t="str">
        <f>IFERROR(__xludf.DUMMYFUNCTION("""COMPUTED_VALUE"""),"")</f>
        <v/>
      </c>
      <c r="H15206" s="42">
        <f t="shared" si="1"/>
        <v>3345</v>
      </c>
    </row>
    <row r="15207" ht="22.5" customHeight="1">
      <c r="B15207" s="42" t="str">
        <f>IFERROR(__xludf.DUMMYFUNCTION("""COMPUTED_VALUE"""),"")</f>
        <v/>
      </c>
      <c r="C15207" s="42" t="str">
        <f>IFERROR(__xludf.DUMMYFUNCTION("""COMPUTED_VALUE"""),"")</f>
        <v/>
      </c>
      <c r="D15207" s="42"/>
      <c r="E15207" s="42"/>
      <c r="F15207" s="48" t="str">
        <f>IFERROR(__xludf.DUMMYFUNCTION("""COMPUTED_VALUE"""),"")</f>
        <v/>
      </c>
      <c r="G15207" s="42" t="str">
        <f>IFERROR(__xludf.DUMMYFUNCTION("""COMPUTED_VALUE"""),"")</f>
        <v/>
      </c>
      <c r="H15207" s="42">
        <f t="shared" si="1"/>
        <v>3345</v>
      </c>
    </row>
    <row r="15208" ht="22.5" customHeight="1">
      <c r="B15208" s="42" t="str">
        <f>IFERROR(__xludf.DUMMYFUNCTION("""COMPUTED_VALUE"""),"")</f>
        <v/>
      </c>
      <c r="C15208" s="42" t="str">
        <f>IFERROR(__xludf.DUMMYFUNCTION("""COMPUTED_VALUE"""),"")</f>
        <v/>
      </c>
      <c r="D15208" s="42"/>
      <c r="E15208" s="42"/>
      <c r="F15208" s="48" t="str">
        <f>IFERROR(__xludf.DUMMYFUNCTION("""COMPUTED_VALUE"""),"")</f>
        <v/>
      </c>
      <c r="G15208" s="42" t="str">
        <f>IFERROR(__xludf.DUMMYFUNCTION("""COMPUTED_VALUE"""),"")</f>
        <v/>
      </c>
      <c r="H15208" s="42">
        <f t="shared" si="1"/>
        <v>3345</v>
      </c>
    </row>
    <row r="15209" ht="22.5" customHeight="1">
      <c r="B15209" s="42" t="str">
        <f>IFERROR(__xludf.DUMMYFUNCTION("""COMPUTED_VALUE"""),"")</f>
        <v/>
      </c>
      <c r="C15209" s="42" t="str">
        <f>IFERROR(__xludf.DUMMYFUNCTION("""COMPUTED_VALUE"""),"")</f>
        <v/>
      </c>
      <c r="D15209" s="42"/>
      <c r="E15209" s="42"/>
      <c r="F15209" s="48" t="str">
        <f>IFERROR(__xludf.DUMMYFUNCTION("""COMPUTED_VALUE"""),"")</f>
        <v/>
      </c>
      <c r="G15209" s="42" t="str">
        <f>IFERROR(__xludf.DUMMYFUNCTION("""COMPUTED_VALUE"""),"")</f>
        <v/>
      </c>
      <c r="H15209" s="42">
        <f t="shared" si="1"/>
        <v>3345</v>
      </c>
    </row>
    <row r="15210" ht="22.5" customHeight="1">
      <c r="B15210" s="42" t="str">
        <f>IFERROR(__xludf.DUMMYFUNCTION("""COMPUTED_VALUE"""),"")</f>
        <v/>
      </c>
      <c r="C15210" s="42" t="str">
        <f>IFERROR(__xludf.DUMMYFUNCTION("""COMPUTED_VALUE"""),"")</f>
        <v/>
      </c>
      <c r="D15210" s="42"/>
      <c r="E15210" s="42"/>
      <c r="F15210" s="48" t="str">
        <f>IFERROR(__xludf.DUMMYFUNCTION("""COMPUTED_VALUE"""),"")</f>
        <v/>
      </c>
      <c r="G15210" s="42" t="str">
        <f>IFERROR(__xludf.DUMMYFUNCTION("""COMPUTED_VALUE"""),"")</f>
        <v/>
      </c>
      <c r="H15210" s="42">
        <f t="shared" si="1"/>
        <v>3345</v>
      </c>
    </row>
    <row r="15211" ht="22.5" customHeight="1">
      <c r="B15211" s="42" t="str">
        <f>IFERROR(__xludf.DUMMYFUNCTION("""COMPUTED_VALUE"""),"")</f>
        <v/>
      </c>
      <c r="C15211" s="42" t="str">
        <f>IFERROR(__xludf.DUMMYFUNCTION("""COMPUTED_VALUE"""),"")</f>
        <v/>
      </c>
      <c r="D15211" s="42"/>
      <c r="E15211" s="42"/>
      <c r="F15211" s="48" t="str">
        <f>IFERROR(__xludf.DUMMYFUNCTION("""COMPUTED_VALUE"""),"")</f>
        <v/>
      </c>
      <c r="G15211" s="42" t="str">
        <f>IFERROR(__xludf.DUMMYFUNCTION("""COMPUTED_VALUE"""),"")</f>
        <v/>
      </c>
      <c r="H15211" s="42">
        <f t="shared" si="1"/>
        <v>3345</v>
      </c>
    </row>
    <row r="15212" ht="22.5" customHeight="1">
      <c r="B15212" s="42" t="str">
        <f>IFERROR(__xludf.DUMMYFUNCTION("""COMPUTED_VALUE"""),"")</f>
        <v/>
      </c>
      <c r="C15212" s="42" t="str">
        <f>IFERROR(__xludf.DUMMYFUNCTION("""COMPUTED_VALUE"""),"")</f>
        <v/>
      </c>
      <c r="D15212" s="42"/>
      <c r="E15212" s="42"/>
      <c r="F15212" s="48" t="str">
        <f>IFERROR(__xludf.DUMMYFUNCTION("""COMPUTED_VALUE"""),"")</f>
        <v/>
      </c>
      <c r="G15212" s="42" t="str">
        <f>IFERROR(__xludf.DUMMYFUNCTION("""COMPUTED_VALUE"""),"")</f>
        <v/>
      </c>
      <c r="H15212" s="42">
        <f t="shared" si="1"/>
        <v>3345</v>
      </c>
    </row>
    <row r="15213" ht="22.5" customHeight="1">
      <c r="B15213" s="42" t="str">
        <f>IFERROR(__xludf.DUMMYFUNCTION("""COMPUTED_VALUE"""),"")</f>
        <v/>
      </c>
      <c r="C15213" s="42" t="str">
        <f>IFERROR(__xludf.DUMMYFUNCTION("""COMPUTED_VALUE"""),"")</f>
        <v/>
      </c>
      <c r="D15213" s="42"/>
      <c r="E15213" s="42"/>
      <c r="F15213" s="48" t="str">
        <f>IFERROR(__xludf.DUMMYFUNCTION("""COMPUTED_VALUE"""),"")</f>
        <v/>
      </c>
      <c r="G15213" s="42" t="str">
        <f>IFERROR(__xludf.DUMMYFUNCTION("""COMPUTED_VALUE"""),"")</f>
        <v/>
      </c>
      <c r="H15213" s="42">
        <f t="shared" si="1"/>
        <v>3345</v>
      </c>
    </row>
    <row r="15214" ht="22.5" customHeight="1">
      <c r="B15214" s="42" t="str">
        <f>IFERROR(__xludf.DUMMYFUNCTION("""COMPUTED_VALUE"""),"")</f>
        <v/>
      </c>
      <c r="C15214" s="42" t="str">
        <f>IFERROR(__xludf.DUMMYFUNCTION("""COMPUTED_VALUE"""),"")</f>
        <v/>
      </c>
      <c r="D15214" s="42"/>
      <c r="E15214" s="42"/>
      <c r="F15214" s="48" t="str">
        <f>IFERROR(__xludf.DUMMYFUNCTION("""COMPUTED_VALUE"""),"")</f>
        <v/>
      </c>
      <c r="G15214" s="42" t="str">
        <f>IFERROR(__xludf.DUMMYFUNCTION("""COMPUTED_VALUE"""),"")</f>
        <v/>
      </c>
      <c r="H15214" s="42">
        <f t="shared" si="1"/>
        <v>3345</v>
      </c>
    </row>
    <row r="15215" ht="22.5" customHeight="1">
      <c r="B15215" s="42" t="str">
        <f>IFERROR(__xludf.DUMMYFUNCTION("""COMPUTED_VALUE"""),"")</f>
        <v/>
      </c>
      <c r="C15215" s="42" t="str">
        <f>IFERROR(__xludf.DUMMYFUNCTION("""COMPUTED_VALUE"""),"")</f>
        <v/>
      </c>
      <c r="D15215" s="42"/>
      <c r="E15215" s="42"/>
      <c r="F15215" s="48" t="str">
        <f>IFERROR(__xludf.DUMMYFUNCTION("""COMPUTED_VALUE"""),"")</f>
        <v/>
      </c>
      <c r="G15215" s="42" t="str">
        <f>IFERROR(__xludf.DUMMYFUNCTION("""COMPUTED_VALUE"""),"")</f>
        <v/>
      </c>
      <c r="H15215" s="42">
        <f t="shared" si="1"/>
        <v>3345</v>
      </c>
    </row>
    <row r="15216" ht="22.5" customHeight="1">
      <c r="B15216" s="42" t="str">
        <f>IFERROR(__xludf.DUMMYFUNCTION("""COMPUTED_VALUE"""),"")</f>
        <v/>
      </c>
      <c r="C15216" s="42" t="str">
        <f>IFERROR(__xludf.DUMMYFUNCTION("""COMPUTED_VALUE"""),"")</f>
        <v/>
      </c>
      <c r="D15216" s="42"/>
      <c r="E15216" s="42"/>
      <c r="F15216" s="48" t="str">
        <f>IFERROR(__xludf.DUMMYFUNCTION("""COMPUTED_VALUE"""),"")</f>
        <v/>
      </c>
      <c r="G15216" s="42" t="str">
        <f>IFERROR(__xludf.DUMMYFUNCTION("""COMPUTED_VALUE"""),"")</f>
        <v/>
      </c>
      <c r="H15216" s="42">
        <f t="shared" si="1"/>
        <v>3345</v>
      </c>
    </row>
    <row r="15217" ht="22.5" customHeight="1">
      <c r="B15217" s="42" t="str">
        <f>IFERROR(__xludf.DUMMYFUNCTION("""COMPUTED_VALUE"""),"")</f>
        <v/>
      </c>
      <c r="C15217" s="42" t="str">
        <f>IFERROR(__xludf.DUMMYFUNCTION("""COMPUTED_VALUE"""),"")</f>
        <v/>
      </c>
      <c r="D15217" s="42"/>
      <c r="E15217" s="42"/>
      <c r="F15217" s="48" t="str">
        <f>IFERROR(__xludf.DUMMYFUNCTION("""COMPUTED_VALUE"""),"")</f>
        <v/>
      </c>
      <c r="G15217" s="42" t="str">
        <f>IFERROR(__xludf.DUMMYFUNCTION("""COMPUTED_VALUE"""),"")</f>
        <v/>
      </c>
      <c r="H15217" s="42">
        <f t="shared" si="1"/>
        <v>3345</v>
      </c>
    </row>
    <row r="15218" ht="22.5" customHeight="1">
      <c r="B15218" s="42" t="str">
        <f>IFERROR(__xludf.DUMMYFUNCTION("""COMPUTED_VALUE"""),"")</f>
        <v/>
      </c>
      <c r="C15218" s="42" t="str">
        <f>IFERROR(__xludf.DUMMYFUNCTION("""COMPUTED_VALUE"""),"")</f>
        <v/>
      </c>
      <c r="D15218" s="42"/>
      <c r="E15218" s="42"/>
      <c r="F15218" s="48" t="str">
        <f>IFERROR(__xludf.DUMMYFUNCTION("""COMPUTED_VALUE"""),"")</f>
        <v/>
      </c>
      <c r="G15218" s="42" t="str">
        <f>IFERROR(__xludf.DUMMYFUNCTION("""COMPUTED_VALUE"""),"")</f>
        <v/>
      </c>
      <c r="H15218" s="42">
        <f t="shared" si="1"/>
        <v>3345</v>
      </c>
    </row>
    <row r="15219" ht="22.5" customHeight="1">
      <c r="B15219" s="42" t="str">
        <f>IFERROR(__xludf.DUMMYFUNCTION("""COMPUTED_VALUE"""),"")</f>
        <v/>
      </c>
      <c r="C15219" s="42" t="str">
        <f>IFERROR(__xludf.DUMMYFUNCTION("""COMPUTED_VALUE"""),"")</f>
        <v/>
      </c>
      <c r="D15219" s="42"/>
      <c r="E15219" s="42"/>
      <c r="F15219" s="48" t="str">
        <f>IFERROR(__xludf.DUMMYFUNCTION("""COMPUTED_VALUE"""),"")</f>
        <v/>
      </c>
      <c r="G15219" s="42" t="str">
        <f>IFERROR(__xludf.DUMMYFUNCTION("""COMPUTED_VALUE"""),"")</f>
        <v/>
      </c>
      <c r="H15219" s="42">
        <f t="shared" si="1"/>
        <v>3345</v>
      </c>
    </row>
    <row r="15220" ht="22.5" customHeight="1">
      <c r="B15220" s="42" t="str">
        <f>IFERROR(__xludf.DUMMYFUNCTION("""COMPUTED_VALUE"""),"")</f>
        <v/>
      </c>
      <c r="C15220" s="42" t="str">
        <f>IFERROR(__xludf.DUMMYFUNCTION("""COMPUTED_VALUE"""),"")</f>
        <v/>
      </c>
      <c r="D15220" s="42"/>
      <c r="E15220" s="42"/>
      <c r="F15220" s="48" t="str">
        <f>IFERROR(__xludf.DUMMYFUNCTION("""COMPUTED_VALUE"""),"")</f>
        <v/>
      </c>
      <c r="G15220" s="42" t="str">
        <f>IFERROR(__xludf.DUMMYFUNCTION("""COMPUTED_VALUE"""),"")</f>
        <v/>
      </c>
      <c r="H15220" s="42">
        <f t="shared" si="1"/>
        <v>3345</v>
      </c>
    </row>
    <row r="15221" ht="22.5" customHeight="1">
      <c r="B15221" s="42" t="str">
        <f>IFERROR(__xludf.DUMMYFUNCTION("""COMPUTED_VALUE"""),"")</f>
        <v/>
      </c>
      <c r="C15221" s="42" t="str">
        <f>IFERROR(__xludf.DUMMYFUNCTION("""COMPUTED_VALUE"""),"")</f>
        <v/>
      </c>
      <c r="D15221" s="42"/>
      <c r="E15221" s="42"/>
      <c r="F15221" s="48" t="str">
        <f>IFERROR(__xludf.DUMMYFUNCTION("""COMPUTED_VALUE"""),"")</f>
        <v/>
      </c>
      <c r="G15221" s="42" t="str">
        <f>IFERROR(__xludf.DUMMYFUNCTION("""COMPUTED_VALUE"""),"")</f>
        <v/>
      </c>
      <c r="H15221" s="42">
        <f t="shared" si="1"/>
        <v>3345</v>
      </c>
    </row>
    <row r="15222" ht="22.5" customHeight="1">
      <c r="B15222" s="42" t="str">
        <f>IFERROR(__xludf.DUMMYFUNCTION("""COMPUTED_VALUE"""),"")</f>
        <v/>
      </c>
      <c r="C15222" s="42" t="str">
        <f>IFERROR(__xludf.DUMMYFUNCTION("""COMPUTED_VALUE"""),"")</f>
        <v/>
      </c>
      <c r="D15222" s="42"/>
      <c r="E15222" s="42"/>
      <c r="F15222" s="48" t="str">
        <f>IFERROR(__xludf.DUMMYFUNCTION("""COMPUTED_VALUE"""),"")</f>
        <v/>
      </c>
      <c r="G15222" s="42" t="str">
        <f>IFERROR(__xludf.DUMMYFUNCTION("""COMPUTED_VALUE"""),"")</f>
        <v/>
      </c>
      <c r="H15222" s="42">
        <f t="shared" si="1"/>
        <v>3345</v>
      </c>
    </row>
    <row r="15223" ht="22.5" customHeight="1">
      <c r="B15223" s="42" t="str">
        <f>IFERROR(__xludf.DUMMYFUNCTION("""COMPUTED_VALUE"""),"")</f>
        <v/>
      </c>
      <c r="C15223" s="42" t="str">
        <f>IFERROR(__xludf.DUMMYFUNCTION("""COMPUTED_VALUE"""),"")</f>
        <v/>
      </c>
      <c r="D15223" s="42"/>
      <c r="E15223" s="42"/>
      <c r="F15223" s="48" t="str">
        <f>IFERROR(__xludf.DUMMYFUNCTION("""COMPUTED_VALUE"""),"")</f>
        <v/>
      </c>
      <c r="G15223" s="42" t="str">
        <f>IFERROR(__xludf.DUMMYFUNCTION("""COMPUTED_VALUE"""),"")</f>
        <v/>
      </c>
      <c r="H15223" s="42">
        <f t="shared" si="1"/>
        <v>3345</v>
      </c>
    </row>
    <row r="15224" ht="22.5" customHeight="1">
      <c r="B15224" s="42" t="str">
        <f>IFERROR(__xludf.DUMMYFUNCTION("""COMPUTED_VALUE"""),"")</f>
        <v/>
      </c>
      <c r="C15224" s="42" t="str">
        <f>IFERROR(__xludf.DUMMYFUNCTION("""COMPUTED_VALUE"""),"")</f>
        <v/>
      </c>
      <c r="D15224" s="42"/>
      <c r="E15224" s="42"/>
      <c r="F15224" s="48" t="str">
        <f>IFERROR(__xludf.DUMMYFUNCTION("""COMPUTED_VALUE"""),"")</f>
        <v/>
      </c>
      <c r="G15224" s="42" t="str">
        <f>IFERROR(__xludf.DUMMYFUNCTION("""COMPUTED_VALUE"""),"")</f>
        <v/>
      </c>
      <c r="H15224" s="42">
        <f t="shared" si="1"/>
        <v>3345</v>
      </c>
    </row>
    <row r="15225" ht="22.5" customHeight="1">
      <c r="B15225" s="42" t="str">
        <f>IFERROR(__xludf.DUMMYFUNCTION("""COMPUTED_VALUE"""),"")</f>
        <v/>
      </c>
      <c r="C15225" s="42" t="str">
        <f>IFERROR(__xludf.DUMMYFUNCTION("""COMPUTED_VALUE"""),"")</f>
        <v/>
      </c>
      <c r="D15225" s="42"/>
      <c r="E15225" s="42"/>
      <c r="F15225" s="48" t="str">
        <f>IFERROR(__xludf.DUMMYFUNCTION("""COMPUTED_VALUE"""),"")</f>
        <v/>
      </c>
      <c r="G15225" s="42" t="str">
        <f>IFERROR(__xludf.DUMMYFUNCTION("""COMPUTED_VALUE"""),"")</f>
        <v/>
      </c>
      <c r="H15225" s="42">
        <f t="shared" si="1"/>
        <v>3345</v>
      </c>
    </row>
    <row r="15226" ht="22.5" customHeight="1">
      <c r="B15226" s="42" t="str">
        <f>IFERROR(__xludf.DUMMYFUNCTION("""COMPUTED_VALUE"""),"")</f>
        <v/>
      </c>
      <c r="C15226" s="42" t="str">
        <f>IFERROR(__xludf.DUMMYFUNCTION("""COMPUTED_VALUE"""),"")</f>
        <v/>
      </c>
      <c r="D15226" s="42"/>
      <c r="E15226" s="42"/>
      <c r="F15226" s="48" t="str">
        <f>IFERROR(__xludf.DUMMYFUNCTION("""COMPUTED_VALUE"""),"")</f>
        <v/>
      </c>
      <c r="G15226" s="42" t="str">
        <f>IFERROR(__xludf.DUMMYFUNCTION("""COMPUTED_VALUE"""),"")</f>
        <v/>
      </c>
      <c r="H15226" s="42">
        <f t="shared" si="1"/>
        <v>3345</v>
      </c>
    </row>
    <row r="15227" ht="22.5" customHeight="1">
      <c r="B15227" s="42" t="str">
        <f>IFERROR(__xludf.DUMMYFUNCTION("""COMPUTED_VALUE"""),"")</f>
        <v/>
      </c>
      <c r="C15227" s="42" t="str">
        <f>IFERROR(__xludf.DUMMYFUNCTION("""COMPUTED_VALUE"""),"")</f>
        <v/>
      </c>
      <c r="D15227" s="42"/>
      <c r="E15227" s="42"/>
      <c r="F15227" s="48" t="str">
        <f>IFERROR(__xludf.DUMMYFUNCTION("""COMPUTED_VALUE"""),"")</f>
        <v/>
      </c>
      <c r="G15227" s="42" t="str">
        <f>IFERROR(__xludf.DUMMYFUNCTION("""COMPUTED_VALUE"""),"")</f>
        <v/>
      </c>
      <c r="H15227" s="42">
        <f t="shared" si="1"/>
        <v>3345</v>
      </c>
    </row>
    <row r="15228" ht="22.5" customHeight="1">
      <c r="B15228" s="42" t="str">
        <f>IFERROR(__xludf.DUMMYFUNCTION("""COMPUTED_VALUE"""),"")</f>
        <v/>
      </c>
      <c r="C15228" s="42" t="str">
        <f>IFERROR(__xludf.DUMMYFUNCTION("""COMPUTED_VALUE"""),"")</f>
        <v/>
      </c>
      <c r="D15228" s="42"/>
      <c r="E15228" s="42"/>
      <c r="F15228" s="48" t="str">
        <f>IFERROR(__xludf.DUMMYFUNCTION("""COMPUTED_VALUE"""),"")</f>
        <v/>
      </c>
      <c r="G15228" s="42" t="str">
        <f>IFERROR(__xludf.DUMMYFUNCTION("""COMPUTED_VALUE"""),"")</f>
        <v/>
      </c>
      <c r="H15228" s="42">
        <f t="shared" si="1"/>
        <v>3345</v>
      </c>
    </row>
    <row r="15229" ht="22.5" customHeight="1">
      <c r="B15229" s="42" t="str">
        <f>IFERROR(__xludf.DUMMYFUNCTION("""COMPUTED_VALUE"""),"")</f>
        <v/>
      </c>
      <c r="C15229" s="42" t="str">
        <f>IFERROR(__xludf.DUMMYFUNCTION("""COMPUTED_VALUE"""),"")</f>
        <v/>
      </c>
      <c r="D15229" s="42"/>
      <c r="E15229" s="42"/>
      <c r="F15229" s="48" t="str">
        <f>IFERROR(__xludf.DUMMYFUNCTION("""COMPUTED_VALUE"""),"")</f>
        <v/>
      </c>
      <c r="G15229" s="42" t="str">
        <f>IFERROR(__xludf.DUMMYFUNCTION("""COMPUTED_VALUE"""),"")</f>
        <v/>
      </c>
      <c r="H15229" s="42">
        <f t="shared" si="1"/>
        <v>3345</v>
      </c>
    </row>
    <row r="15230" ht="22.5" customHeight="1">
      <c r="B15230" s="42" t="str">
        <f>IFERROR(__xludf.DUMMYFUNCTION("""COMPUTED_VALUE"""),"")</f>
        <v/>
      </c>
      <c r="C15230" s="42" t="str">
        <f>IFERROR(__xludf.DUMMYFUNCTION("""COMPUTED_VALUE"""),"")</f>
        <v/>
      </c>
      <c r="D15230" s="42"/>
      <c r="E15230" s="42"/>
      <c r="F15230" s="48" t="str">
        <f>IFERROR(__xludf.DUMMYFUNCTION("""COMPUTED_VALUE"""),"")</f>
        <v/>
      </c>
      <c r="G15230" s="42" t="str">
        <f>IFERROR(__xludf.DUMMYFUNCTION("""COMPUTED_VALUE"""),"")</f>
        <v/>
      </c>
      <c r="H15230" s="42">
        <f t="shared" si="1"/>
        <v>3345</v>
      </c>
    </row>
    <row r="15231" ht="22.5" customHeight="1">
      <c r="B15231" s="42" t="str">
        <f>IFERROR(__xludf.DUMMYFUNCTION("""COMPUTED_VALUE"""),"")</f>
        <v/>
      </c>
      <c r="C15231" s="42" t="str">
        <f>IFERROR(__xludf.DUMMYFUNCTION("""COMPUTED_VALUE"""),"")</f>
        <v/>
      </c>
      <c r="D15231" s="42"/>
      <c r="E15231" s="42"/>
      <c r="F15231" s="48" t="str">
        <f>IFERROR(__xludf.DUMMYFUNCTION("""COMPUTED_VALUE"""),"")</f>
        <v/>
      </c>
      <c r="G15231" s="42" t="str">
        <f>IFERROR(__xludf.DUMMYFUNCTION("""COMPUTED_VALUE"""),"")</f>
        <v/>
      </c>
      <c r="H15231" s="42">
        <f t="shared" si="1"/>
        <v>3345</v>
      </c>
    </row>
    <row r="15232" ht="22.5" customHeight="1">
      <c r="B15232" s="42" t="str">
        <f>IFERROR(__xludf.DUMMYFUNCTION("""COMPUTED_VALUE"""),"")</f>
        <v/>
      </c>
      <c r="C15232" s="42" t="str">
        <f>IFERROR(__xludf.DUMMYFUNCTION("""COMPUTED_VALUE"""),"")</f>
        <v/>
      </c>
      <c r="D15232" s="42"/>
      <c r="E15232" s="42"/>
      <c r="F15232" s="48" t="str">
        <f>IFERROR(__xludf.DUMMYFUNCTION("""COMPUTED_VALUE"""),"")</f>
        <v/>
      </c>
      <c r="G15232" s="42" t="str">
        <f>IFERROR(__xludf.DUMMYFUNCTION("""COMPUTED_VALUE"""),"")</f>
        <v/>
      </c>
      <c r="H15232" s="42">
        <f t="shared" si="1"/>
        <v>3345</v>
      </c>
    </row>
    <row r="15233" ht="22.5" customHeight="1">
      <c r="B15233" s="42" t="str">
        <f>IFERROR(__xludf.DUMMYFUNCTION("""COMPUTED_VALUE"""),"")</f>
        <v/>
      </c>
      <c r="C15233" s="42" t="str">
        <f>IFERROR(__xludf.DUMMYFUNCTION("""COMPUTED_VALUE"""),"")</f>
        <v/>
      </c>
      <c r="D15233" s="42"/>
      <c r="E15233" s="42"/>
      <c r="F15233" s="48" t="str">
        <f>IFERROR(__xludf.DUMMYFUNCTION("""COMPUTED_VALUE"""),"")</f>
        <v/>
      </c>
      <c r="G15233" s="42" t="str">
        <f>IFERROR(__xludf.DUMMYFUNCTION("""COMPUTED_VALUE"""),"")</f>
        <v/>
      </c>
      <c r="H15233" s="42">
        <f t="shared" si="1"/>
        <v>3345</v>
      </c>
    </row>
    <row r="15234" ht="22.5" customHeight="1">
      <c r="B15234" s="42" t="str">
        <f>IFERROR(__xludf.DUMMYFUNCTION("""COMPUTED_VALUE"""),"")</f>
        <v/>
      </c>
      <c r="C15234" s="42" t="str">
        <f>IFERROR(__xludf.DUMMYFUNCTION("""COMPUTED_VALUE"""),"")</f>
        <v/>
      </c>
      <c r="D15234" s="42"/>
      <c r="E15234" s="42"/>
      <c r="F15234" s="48" t="str">
        <f>IFERROR(__xludf.DUMMYFUNCTION("""COMPUTED_VALUE"""),"")</f>
        <v/>
      </c>
      <c r="G15234" s="42" t="str">
        <f>IFERROR(__xludf.DUMMYFUNCTION("""COMPUTED_VALUE"""),"")</f>
        <v/>
      </c>
      <c r="H15234" s="42">
        <f t="shared" si="1"/>
        <v>3345</v>
      </c>
    </row>
    <row r="15235" ht="22.5" customHeight="1">
      <c r="B15235" s="42" t="str">
        <f>IFERROR(__xludf.DUMMYFUNCTION("""COMPUTED_VALUE"""),"")</f>
        <v/>
      </c>
      <c r="C15235" s="42" t="str">
        <f>IFERROR(__xludf.DUMMYFUNCTION("""COMPUTED_VALUE"""),"")</f>
        <v/>
      </c>
      <c r="D15235" s="42"/>
      <c r="E15235" s="42"/>
      <c r="F15235" s="48" t="str">
        <f>IFERROR(__xludf.DUMMYFUNCTION("""COMPUTED_VALUE"""),"")</f>
        <v/>
      </c>
      <c r="G15235" s="42" t="str">
        <f>IFERROR(__xludf.DUMMYFUNCTION("""COMPUTED_VALUE"""),"")</f>
        <v/>
      </c>
      <c r="H15235" s="42">
        <f t="shared" si="1"/>
        <v>3345</v>
      </c>
    </row>
    <row r="15236" ht="22.5" customHeight="1">
      <c r="B15236" s="42" t="str">
        <f>IFERROR(__xludf.DUMMYFUNCTION("""COMPUTED_VALUE"""),"")</f>
        <v/>
      </c>
      <c r="C15236" s="42" t="str">
        <f>IFERROR(__xludf.DUMMYFUNCTION("""COMPUTED_VALUE"""),"")</f>
        <v/>
      </c>
      <c r="D15236" s="42"/>
      <c r="E15236" s="42"/>
      <c r="F15236" s="48" t="str">
        <f>IFERROR(__xludf.DUMMYFUNCTION("""COMPUTED_VALUE"""),"")</f>
        <v/>
      </c>
      <c r="G15236" s="42" t="str">
        <f>IFERROR(__xludf.DUMMYFUNCTION("""COMPUTED_VALUE"""),"")</f>
        <v/>
      </c>
      <c r="H15236" s="42">
        <f t="shared" si="1"/>
        <v>3345</v>
      </c>
    </row>
    <row r="15237" ht="22.5" customHeight="1">
      <c r="B15237" s="42" t="str">
        <f>IFERROR(__xludf.DUMMYFUNCTION("""COMPUTED_VALUE"""),"")</f>
        <v/>
      </c>
      <c r="C15237" s="42" t="str">
        <f>IFERROR(__xludf.DUMMYFUNCTION("""COMPUTED_VALUE"""),"")</f>
        <v/>
      </c>
      <c r="D15237" s="42"/>
      <c r="E15237" s="42"/>
      <c r="F15237" s="48" t="str">
        <f>IFERROR(__xludf.DUMMYFUNCTION("""COMPUTED_VALUE"""),"")</f>
        <v/>
      </c>
      <c r="G15237" s="42" t="str">
        <f>IFERROR(__xludf.DUMMYFUNCTION("""COMPUTED_VALUE"""),"")</f>
        <v/>
      </c>
      <c r="H15237" s="42">
        <f t="shared" si="1"/>
        <v>3345</v>
      </c>
    </row>
    <row r="15238" ht="22.5" customHeight="1">
      <c r="B15238" s="42" t="str">
        <f>IFERROR(__xludf.DUMMYFUNCTION("""COMPUTED_VALUE"""),"")</f>
        <v/>
      </c>
      <c r="C15238" s="42" t="str">
        <f>IFERROR(__xludf.DUMMYFUNCTION("""COMPUTED_VALUE"""),"")</f>
        <v/>
      </c>
      <c r="D15238" s="42"/>
      <c r="E15238" s="42"/>
      <c r="F15238" s="48" t="str">
        <f>IFERROR(__xludf.DUMMYFUNCTION("""COMPUTED_VALUE"""),"")</f>
        <v/>
      </c>
      <c r="G15238" s="42" t="str">
        <f>IFERROR(__xludf.DUMMYFUNCTION("""COMPUTED_VALUE"""),"")</f>
        <v/>
      </c>
      <c r="H15238" s="42">
        <f t="shared" si="1"/>
        <v>3345</v>
      </c>
    </row>
    <row r="15239" ht="22.5" customHeight="1">
      <c r="B15239" s="42" t="str">
        <f>IFERROR(__xludf.DUMMYFUNCTION("""COMPUTED_VALUE"""),"")</f>
        <v/>
      </c>
      <c r="C15239" s="42" t="str">
        <f>IFERROR(__xludf.DUMMYFUNCTION("""COMPUTED_VALUE"""),"")</f>
        <v/>
      </c>
      <c r="D15239" s="42"/>
      <c r="E15239" s="42"/>
      <c r="F15239" s="48" t="str">
        <f>IFERROR(__xludf.DUMMYFUNCTION("""COMPUTED_VALUE"""),"")</f>
        <v/>
      </c>
      <c r="G15239" s="42" t="str">
        <f>IFERROR(__xludf.DUMMYFUNCTION("""COMPUTED_VALUE"""),"")</f>
        <v/>
      </c>
      <c r="H15239" s="42">
        <f t="shared" si="1"/>
        <v>3345</v>
      </c>
    </row>
    <row r="15240" ht="22.5" customHeight="1">
      <c r="B15240" s="42" t="str">
        <f>IFERROR(__xludf.DUMMYFUNCTION("""COMPUTED_VALUE"""),"")</f>
        <v/>
      </c>
      <c r="C15240" s="42" t="str">
        <f>IFERROR(__xludf.DUMMYFUNCTION("""COMPUTED_VALUE"""),"")</f>
        <v/>
      </c>
      <c r="D15240" s="42"/>
      <c r="E15240" s="42"/>
      <c r="F15240" s="48" t="str">
        <f>IFERROR(__xludf.DUMMYFUNCTION("""COMPUTED_VALUE"""),"")</f>
        <v/>
      </c>
      <c r="G15240" s="42" t="str">
        <f>IFERROR(__xludf.DUMMYFUNCTION("""COMPUTED_VALUE"""),"")</f>
        <v/>
      </c>
      <c r="H15240" s="42">
        <f t="shared" si="1"/>
        <v>3345</v>
      </c>
    </row>
    <row r="15241" ht="22.5" customHeight="1">
      <c r="B15241" s="42" t="str">
        <f>IFERROR(__xludf.DUMMYFUNCTION("""COMPUTED_VALUE"""),"")</f>
        <v/>
      </c>
      <c r="C15241" s="42" t="str">
        <f>IFERROR(__xludf.DUMMYFUNCTION("""COMPUTED_VALUE"""),"")</f>
        <v/>
      </c>
      <c r="D15241" s="42"/>
      <c r="E15241" s="42"/>
      <c r="F15241" s="48" t="str">
        <f>IFERROR(__xludf.DUMMYFUNCTION("""COMPUTED_VALUE"""),"")</f>
        <v/>
      </c>
      <c r="G15241" s="42" t="str">
        <f>IFERROR(__xludf.DUMMYFUNCTION("""COMPUTED_VALUE"""),"")</f>
        <v/>
      </c>
      <c r="H15241" s="42">
        <f t="shared" si="1"/>
        <v>3345</v>
      </c>
    </row>
    <row r="15242" ht="22.5" customHeight="1">
      <c r="B15242" s="42" t="str">
        <f>IFERROR(__xludf.DUMMYFUNCTION("""COMPUTED_VALUE"""),"")</f>
        <v/>
      </c>
      <c r="C15242" s="42" t="str">
        <f>IFERROR(__xludf.DUMMYFUNCTION("""COMPUTED_VALUE"""),"")</f>
        <v/>
      </c>
      <c r="D15242" s="42"/>
      <c r="E15242" s="42"/>
      <c r="F15242" s="48" t="str">
        <f>IFERROR(__xludf.DUMMYFUNCTION("""COMPUTED_VALUE"""),"")</f>
        <v/>
      </c>
      <c r="G15242" s="42" t="str">
        <f>IFERROR(__xludf.DUMMYFUNCTION("""COMPUTED_VALUE"""),"")</f>
        <v/>
      </c>
      <c r="H15242" s="42">
        <f t="shared" si="1"/>
        <v>3345</v>
      </c>
    </row>
    <row r="15243" ht="22.5" customHeight="1">
      <c r="B15243" s="42" t="str">
        <f>IFERROR(__xludf.DUMMYFUNCTION("""COMPUTED_VALUE"""),"")</f>
        <v/>
      </c>
      <c r="C15243" s="42" t="str">
        <f>IFERROR(__xludf.DUMMYFUNCTION("""COMPUTED_VALUE"""),"")</f>
        <v/>
      </c>
      <c r="D15243" s="42"/>
      <c r="E15243" s="42"/>
      <c r="F15243" s="48" t="str">
        <f>IFERROR(__xludf.DUMMYFUNCTION("""COMPUTED_VALUE"""),"")</f>
        <v/>
      </c>
      <c r="G15243" s="42" t="str">
        <f>IFERROR(__xludf.DUMMYFUNCTION("""COMPUTED_VALUE"""),"")</f>
        <v/>
      </c>
      <c r="H15243" s="42">
        <f t="shared" si="1"/>
        <v>3345</v>
      </c>
    </row>
    <row r="15244" ht="22.5" customHeight="1">
      <c r="B15244" s="42" t="str">
        <f>IFERROR(__xludf.DUMMYFUNCTION("""COMPUTED_VALUE"""),"")</f>
        <v/>
      </c>
      <c r="C15244" s="42" t="str">
        <f>IFERROR(__xludf.DUMMYFUNCTION("""COMPUTED_VALUE"""),"")</f>
        <v/>
      </c>
      <c r="D15244" s="42"/>
      <c r="E15244" s="42"/>
      <c r="F15244" s="48" t="str">
        <f>IFERROR(__xludf.DUMMYFUNCTION("""COMPUTED_VALUE"""),"")</f>
        <v/>
      </c>
      <c r="G15244" s="42" t="str">
        <f>IFERROR(__xludf.DUMMYFUNCTION("""COMPUTED_VALUE"""),"")</f>
        <v/>
      </c>
      <c r="H15244" s="42">
        <f t="shared" si="1"/>
        <v>3345</v>
      </c>
    </row>
    <row r="15245" ht="22.5" customHeight="1">
      <c r="B15245" s="42" t="str">
        <f>IFERROR(__xludf.DUMMYFUNCTION("""COMPUTED_VALUE"""),"")</f>
        <v/>
      </c>
      <c r="C15245" s="42" t="str">
        <f>IFERROR(__xludf.DUMMYFUNCTION("""COMPUTED_VALUE"""),"")</f>
        <v/>
      </c>
      <c r="D15245" s="42"/>
      <c r="E15245" s="42"/>
      <c r="F15245" s="48" t="str">
        <f>IFERROR(__xludf.DUMMYFUNCTION("""COMPUTED_VALUE"""),"")</f>
        <v/>
      </c>
      <c r="G15245" s="42" t="str">
        <f>IFERROR(__xludf.DUMMYFUNCTION("""COMPUTED_VALUE"""),"")</f>
        <v/>
      </c>
      <c r="H15245" s="42">
        <f t="shared" si="1"/>
        <v>3345</v>
      </c>
    </row>
    <row r="15246" ht="22.5" customHeight="1">
      <c r="B15246" s="42" t="str">
        <f>IFERROR(__xludf.DUMMYFUNCTION("""COMPUTED_VALUE"""),"")</f>
        <v/>
      </c>
      <c r="C15246" s="42" t="str">
        <f>IFERROR(__xludf.DUMMYFUNCTION("""COMPUTED_VALUE"""),"")</f>
        <v/>
      </c>
      <c r="D15246" s="42"/>
      <c r="E15246" s="42"/>
      <c r="F15246" s="48" t="str">
        <f>IFERROR(__xludf.DUMMYFUNCTION("""COMPUTED_VALUE"""),"")</f>
        <v/>
      </c>
      <c r="G15246" s="42" t="str">
        <f>IFERROR(__xludf.DUMMYFUNCTION("""COMPUTED_VALUE"""),"")</f>
        <v/>
      </c>
      <c r="H15246" s="42">
        <f t="shared" si="1"/>
        <v>3345</v>
      </c>
    </row>
    <row r="15247" ht="22.5" customHeight="1">
      <c r="B15247" s="42" t="str">
        <f>IFERROR(__xludf.DUMMYFUNCTION("""COMPUTED_VALUE"""),"")</f>
        <v/>
      </c>
      <c r="C15247" s="42" t="str">
        <f>IFERROR(__xludf.DUMMYFUNCTION("""COMPUTED_VALUE"""),"")</f>
        <v/>
      </c>
      <c r="D15247" s="42"/>
      <c r="E15247" s="42"/>
      <c r="F15247" s="48" t="str">
        <f>IFERROR(__xludf.DUMMYFUNCTION("""COMPUTED_VALUE"""),"")</f>
        <v/>
      </c>
      <c r="G15247" s="42" t="str">
        <f>IFERROR(__xludf.DUMMYFUNCTION("""COMPUTED_VALUE"""),"")</f>
        <v/>
      </c>
      <c r="H15247" s="42">
        <f t="shared" si="1"/>
        <v>3345</v>
      </c>
    </row>
    <row r="15248" ht="22.5" customHeight="1">
      <c r="B15248" s="42" t="str">
        <f>IFERROR(__xludf.DUMMYFUNCTION("""COMPUTED_VALUE"""),"")</f>
        <v/>
      </c>
      <c r="C15248" s="42" t="str">
        <f>IFERROR(__xludf.DUMMYFUNCTION("""COMPUTED_VALUE"""),"")</f>
        <v/>
      </c>
      <c r="D15248" s="42"/>
      <c r="E15248" s="42"/>
      <c r="F15248" s="48" t="str">
        <f>IFERROR(__xludf.DUMMYFUNCTION("""COMPUTED_VALUE"""),"")</f>
        <v/>
      </c>
      <c r="G15248" s="42" t="str">
        <f>IFERROR(__xludf.DUMMYFUNCTION("""COMPUTED_VALUE"""),"")</f>
        <v/>
      </c>
      <c r="H15248" s="42">
        <f t="shared" si="1"/>
        <v>3345</v>
      </c>
    </row>
    <row r="15249" ht="22.5" customHeight="1">
      <c r="B15249" s="42" t="str">
        <f>IFERROR(__xludf.DUMMYFUNCTION("""COMPUTED_VALUE"""),"")</f>
        <v/>
      </c>
      <c r="C15249" s="42" t="str">
        <f>IFERROR(__xludf.DUMMYFUNCTION("""COMPUTED_VALUE"""),"")</f>
        <v/>
      </c>
      <c r="D15249" s="42"/>
      <c r="E15249" s="42"/>
      <c r="F15249" s="48" t="str">
        <f>IFERROR(__xludf.DUMMYFUNCTION("""COMPUTED_VALUE"""),"")</f>
        <v/>
      </c>
      <c r="G15249" s="42" t="str">
        <f>IFERROR(__xludf.DUMMYFUNCTION("""COMPUTED_VALUE"""),"")</f>
        <v/>
      </c>
      <c r="H15249" s="42">
        <f t="shared" si="1"/>
        <v>3345</v>
      </c>
    </row>
    <row r="15250" ht="22.5" customHeight="1">
      <c r="B15250" s="42" t="str">
        <f>IFERROR(__xludf.DUMMYFUNCTION("""COMPUTED_VALUE"""),"")</f>
        <v/>
      </c>
      <c r="C15250" s="42" t="str">
        <f>IFERROR(__xludf.DUMMYFUNCTION("""COMPUTED_VALUE"""),"")</f>
        <v/>
      </c>
      <c r="D15250" s="42"/>
      <c r="E15250" s="42"/>
      <c r="F15250" s="48" t="str">
        <f>IFERROR(__xludf.DUMMYFUNCTION("""COMPUTED_VALUE"""),"")</f>
        <v/>
      </c>
      <c r="G15250" s="42" t="str">
        <f>IFERROR(__xludf.DUMMYFUNCTION("""COMPUTED_VALUE"""),"")</f>
        <v/>
      </c>
      <c r="H15250" s="42">
        <f t="shared" si="1"/>
        <v>3345</v>
      </c>
    </row>
    <row r="15251" ht="22.5" customHeight="1">
      <c r="B15251" s="42" t="str">
        <f>IFERROR(__xludf.DUMMYFUNCTION("""COMPUTED_VALUE"""),"")</f>
        <v/>
      </c>
      <c r="C15251" s="42" t="str">
        <f>IFERROR(__xludf.DUMMYFUNCTION("""COMPUTED_VALUE"""),"")</f>
        <v/>
      </c>
      <c r="D15251" s="42"/>
      <c r="E15251" s="42"/>
      <c r="F15251" s="48" t="str">
        <f>IFERROR(__xludf.DUMMYFUNCTION("""COMPUTED_VALUE"""),"")</f>
        <v/>
      </c>
      <c r="G15251" s="42" t="str">
        <f>IFERROR(__xludf.DUMMYFUNCTION("""COMPUTED_VALUE"""),"")</f>
        <v/>
      </c>
      <c r="H15251" s="42">
        <f t="shared" si="1"/>
        <v>3345</v>
      </c>
    </row>
    <row r="15252" ht="22.5" customHeight="1">
      <c r="B15252" s="42" t="str">
        <f>IFERROR(__xludf.DUMMYFUNCTION("""COMPUTED_VALUE"""),"")</f>
        <v/>
      </c>
      <c r="C15252" s="42" t="str">
        <f>IFERROR(__xludf.DUMMYFUNCTION("""COMPUTED_VALUE"""),"")</f>
        <v/>
      </c>
      <c r="D15252" s="42"/>
      <c r="E15252" s="42"/>
      <c r="F15252" s="48" t="str">
        <f>IFERROR(__xludf.DUMMYFUNCTION("""COMPUTED_VALUE"""),"")</f>
        <v/>
      </c>
      <c r="G15252" s="42" t="str">
        <f>IFERROR(__xludf.DUMMYFUNCTION("""COMPUTED_VALUE"""),"")</f>
        <v/>
      </c>
      <c r="H15252" s="42">
        <f t="shared" si="1"/>
        <v>3345</v>
      </c>
    </row>
    <row r="15253" ht="22.5" customHeight="1">
      <c r="B15253" s="42" t="str">
        <f>IFERROR(__xludf.DUMMYFUNCTION("""COMPUTED_VALUE"""),"")</f>
        <v/>
      </c>
      <c r="C15253" s="42" t="str">
        <f>IFERROR(__xludf.DUMMYFUNCTION("""COMPUTED_VALUE"""),"")</f>
        <v/>
      </c>
      <c r="D15253" s="42"/>
      <c r="E15253" s="42"/>
      <c r="F15253" s="48" t="str">
        <f>IFERROR(__xludf.DUMMYFUNCTION("""COMPUTED_VALUE"""),"")</f>
        <v/>
      </c>
      <c r="G15253" s="42" t="str">
        <f>IFERROR(__xludf.DUMMYFUNCTION("""COMPUTED_VALUE"""),"")</f>
        <v/>
      </c>
      <c r="H15253" s="42">
        <f t="shared" si="1"/>
        <v>3345</v>
      </c>
    </row>
    <row r="15254" ht="22.5" customHeight="1">
      <c r="B15254" s="42" t="str">
        <f>IFERROR(__xludf.DUMMYFUNCTION("""COMPUTED_VALUE"""),"")</f>
        <v/>
      </c>
      <c r="C15254" s="42" t="str">
        <f>IFERROR(__xludf.DUMMYFUNCTION("""COMPUTED_VALUE"""),"")</f>
        <v/>
      </c>
      <c r="D15254" s="42"/>
      <c r="E15254" s="42"/>
      <c r="F15254" s="48" t="str">
        <f>IFERROR(__xludf.DUMMYFUNCTION("""COMPUTED_VALUE"""),"")</f>
        <v/>
      </c>
      <c r="G15254" s="42" t="str">
        <f>IFERROR(__xludf.DUMMYFUNCTION("""COMPUTED_VALUE"""),"")</f>
        <v/>
      </c>
      <c r="H15254" s="42">
        <f t="shared" si="1"/>
        <v>3345</v>
      </c>
    </row>
    <row r="15255" ht="22.5" customHeight="1">
      <c r="B15255" s="42" t="str">
        <f>IFERROR(__xludf.DUMMYFUNCTION("""COMPUTED_VALUE"""),"")</f>
        <v/>
      </c>
      <c r="C15255" s="42" t="str">
        <f>IFERROR(__xludf.DUMMYFUNCTION("""COMPUTED_VALUE"""),"")</f>
        <v/>
      </c>
      <c r="D15255" s="42"/>
      <c r="E15255" s="42"/>
      <c r="F15255" s="48" t="str">
        <f>IFERROR(__xludf.DUMMYFUNCTION("""COMPUTED_VALUE"""),"")</f>
        <v/>
      </c>
      <c r="G15255" s="42" t="str">
        <f>IFERROR(__xludf.DUMMYFUNCTION("""COMPUTED_VALUE"""),"")</f>
        <v/>
      </c>
      <c r="H15255" s="42">
        <f t="shared" si="1"/>
        <v>3345</v>
      </c>
    </row>
    <row r="15256" ht="22.5" customHeight="1">
      <c r="B15256" s="42" t="str">
        <f>IFERROR(__xludf.DUMMYFUNCTION("""COMPUTED_VALUE"""),"")</f>
        <v/>
      </c>
      <c r="C15256" s="42" t="str">
        <f>IFERROR(__xludf.DUMMYFUNCTION("""COMPUTED_VALUE"""),"")</f>
        <v/>
      </c>
      <c r="D15256" s="42"/>
      <c r="E15256" s="42"/>
      <c r="F15256" s="48" t="str">
        <f>IFERROR(__xludf.DUMMYFUNCTION("""COMPUTED_VALUE"""),"")</f>
        <v/>
      </c>
      <c r="G15256" s="42" t="str">
        <f>IFERROR(__xludf.DUMMYFUNCTION("""COMPUTED_VALUE"""),"")</f>
        <v/>
      </c>
      <c r="H15256" s="42">
        <f t="shared" si="1"/>
        <v>3345</v>
      </c>
    </row>
    <row r="15257" ht="22.5" customHeight="1">
      <c r="B15257" s="42" t="str">
        <f>IFERROR(__xludf.DUMMYFUNCTION("""COMPUTED_VALUE"""),"")</f>
        <v/>
      </c>
      <c r="C15257" s="42" t="str">
        <f>IFERROR(__xludf.DUMMYFUNCTION("""COMPUTED_VALUE"""),"")</f>
        <v/>
      </c>
      <c r="D15257" s="42"/>
      <c r="E15257" s="42"/>
      <c r="F15257" s="48" t="str">
        <f>IFERROR(__xludf.DUMMYFUNCTION("""COMPUTED_VALUE"""),"")</f>
        <v/>
      </c>
      <c r="G15257" s="42" t="str">
        <f>IFERROR(__xludf.DUMMYFUNCTION("""COMPUTED_VALUE"""),"")</f>
        <v/>
      </c>
      <c r="H15257" s="42">
        <f t="shared" si="1"/>
        <v>3345</v>
      </c>
    </row>
    <row r="15258" ht="22.5" customHeight="1">
      <c r="B15258" s="42" t="str">
        <f>IFERROR(__xludf.DUMMYFUNCTION("""COMPUTED_VALUE"""),"")</f>
        <v/>
      </c>
      <c r="C15258" s="42" t="str">
        <f>IFERROR(__xludf.DUMMYFUNCTION("""COMPUTED_VALUE"""),"")</f>
        <v/>
      </c>
      <c r="D15258" s="42"/>
      <c r="E15258" s="42"/>
      <c r="F15258" s="48" t="str">
        <f>IFERROR(__xludf.DUMMYFUNCTION("""COMPUTED_VALUE"""),"")</f>
        <v/>
      </c>
      <c r="G15258" s="42" t="str">
        <f>IFERROR(__xludf.DUMMYFUNCTION("""COMPUTED_VALUE"""),"")</f>
        <v/>
      </c>
      <c r="H15258" s="42">
        <f t="shared" si="1"/>
        <v>3345</v>
      </c>
    </row>
    <row r="15259" ht="22.5" customHeight="1">
      <c r="B15259" s="42" t="str">
        <f>IFERROR(__xludf.DUMMYFUNCTION("""COMPUTED_VALUE"""),"")</f>
        <v/>
      </c>
      <c r="C15259" s="42" t="str">
        <f>IFERROR(__xludf.DUMMYFUNCTION("""COMPUTED_VALUE"""),"")</f>
        <v/>
      </c>
      <c r="D15259" s="42"/>
      <c r="E15259" s="42"/>
      <c r="F15259" s="48" t="str">
        <f>IFERROR(__xludf.DUMMYFUNCTION("""COMPUTED_VALUE"""),"")</f>
        <v/>
      </c>
      <c r="G15259" s="42" t="str">
        <f>IFERROR(__xludf.DUMMYFUNCTION("""COMPUTED_VALUE"""),"")</f>
        <v/>
      </c>
      <c r="H15259" s="42">
        <f t="shared" si="1"/>
        <v>3345</v>
      </c>
    </row>
    <row r="15260" ht="22.5" customHeight="1">
      <c r="B15260" s="42" t="str">
        <f>IFERROR(__xludf.DUMMYFUNCTION("""COMPUTED_VALUE"""),"")</f>
        <v/>
      </c>
      <c r="C15260" s="42" t="str">
        <f>IFERROR(__xludf.DUMMYFUNCTION("""COMPUTED_VALUE"""),"")</f>
        <v/>
      </c>
      <c r="D15260" s="42"/>
      <c r="E15260" s="42"/>
      <c r="F15260" s="48" t="str">
        <f>IFERROR(__xludf.DUMMYFUNCTION("""COMPUTED_VALUE"""),"")</f>
        <v/>
      </c>
      <c r="G15260" s="42" t="str">
        <f>IFERROR(__xludf.DUMMYFUNCTION("""COMPUTED_VALUE"""),"")</f>
        <v/>
      </c>
      <c r="H15260" s="42">
        <f t="shared" si="1"/>
        <v>3345</v>
      </c>
    </row>
    <row r="15261" ht="22.5" customHeight="1">
      <c r="B15261" s="42" t="str">
        <f>IFERROR(__xludf.DUMMYFUNCTION("""COMPUTED_VALUE"""),"")</f>
        <v/>
      </c>
      <c r="C15261" s="42" t="str">
        <f>IFERROR(__xludf.DUMMYFUNCTION("""COMPUTED_VALUE"""),"")</f>
        <v/>
      </c>
      <c r="D15261" s="42"/>
      <c r="E15261" s="42"/>
      <c r="F15261" s="48" t="str">
        <f>IFERROR(__xludf.DUMMYFUNCTION("""COMPUTED_VALUE"""),"")</f>
        <v/>
      </c>
      <c r="G15261" s="42" t="str">
        <f>IFERROR(__xludf.DUMMYFUNCTION("""COMPUTED_VALUE"""),"")</f>
        <v/>
      </c>
      <c r="H15261" s="42">
        <f t="shared" si="1"/>
        <v>3345</v>
      </c>
    </row>
    <row r="15262" ht="22.5" customHeight="1">
      <c r="B15262" s="42" t="str">
        <f>IFERROR(__xludf.DUMMYFUNCTION("""COMPUTED_VALUE"""),"")</f>
        <v/>
      </c>
      <c r="C15262" s="42" t="str">
        <f>IFERROR(__xludf.DUMMYFUNCTION("""COMPUTED_VALUE"""),"")</f>
        <v/>
      </c>
      <c r="D15262" s="42"/>
      <c r="E15262" s="42"/>
      <c r="F15262" s="48" t="str">
        <f>IFERROR(__xludf.DUMMYFUNCTION("""COMPUTED_VALUE"""),"")</f>
        <v/>
      </c>
      <c r="G15262" s="42" t="str">
        <f>IFERROR(__xludf.DUMMYFUNCTION("""COMPUTED_VALUE"""),"")</f>
        <v/>
      </c>
      <c r="H15262" s="42">
        <f t="shared" si="1"/>
        <v>3345</v>
      </c>
    </row>
    <row r="15263" ht="22.5" customHeight="1">
      <c r="B15263" s="42" t="str">
        <f>IFERROR(__xludf.DUMMYFUNCTION("""COMPUTED_VALUE"""),"")</f>
        <v/>
      </c>
      <c r="C15263" s="42" t="str">
        <f>IFERROR(__xludf.DUMMYFUNCTION("""COMPUTED_VALUE"""),"")</f>
        <v/>
      </c>
      <c r="D15263" s="42"/>
      <c r="E15263" s="42"/>
      <c r="F15263" s="48" t="str">
        <f>IFERROR(__xludf.DUMMYFUNCTION("""COMPUTED_VALUE"""),"")</f>
        <v/>
      </c>
      <c r="G15263" s="42" t="str">
        <f>IFERROR(__xludf.DUMMYFUNCTION("""COMPUTED_VALUE"""),"")</f>
        <v/>
      </c>
      <c r="H15263" s="42">
        <f t="shared" si="1"/>
        <v>3345</v>
      </c>
    </row>
    <row r="15264" ht="22.5" customHeight="1">
      <c r="B15264" s="42" t="str">
        <f>IFERROR(__xludf.DUMMYFUNCTION("""COMPUTED_VALUE"""),"")</f>
        <v/>
      </c>
      <c r="C15264" s="42" t="str">
        <f>IFERROR(__xludf.DUMMYFUNCTION("""COMPUTED_VALUE"""),"")</f>
        <v/>
      </c>
      <c r="D15264" s="42"/>
      <c r="E15264" s="42"/>
      <c r="F15264" s="48" t="str">
        <f>IFERROR(__xludf.DUMMYFUNCTION("""COMPUTED_VALUE"""),"")</f>
        <v/>
      </c>
      <c r="G15264" s="42" t="str">
        <f>IFERROR(__xludf.DUMMYFUNCTION("""COMPUTED_VALUE"""),"")</f>
        <v/>
      </c>
      <c r="H15264" s="42">
        <f t="shared" si="1"/>
        <v>3345</v>
      </c>
    </row>
    <row r="15265" ht="22.5" customHeight="1">
      <c r="B15265" s="42" t="str">
        <f>IFERROR(__xludf.DUMMYFUNCTION("""COMPUTED_VALUE"""),"")</f>
        <v/>
      </c>
      <c r="C15265" s="42" t="str">
        <f>IFERROR(__xludf.DUMMYFUNCTION("""COMPUTED_VALUE"""),"")</f>
        <v/>
      </c>
      <c r="D15265" s="42"/>
      <c r="E15265" s="42"/>
      <c r="F15265" s="48" t="str">
        <f>IFERROR(__xludf.DUMMYFUNCTION("""COMPUTED_VALUE"""),"")</f>
        <v/>
      </c>
      <c r="G15265" s="42" t="str">
        <f>IFERROR(__xludf.DUMMYFUNCTION("""COMPUTED_VALUE"""),"")</f>
        <v/>
      </c>
      <c r="H15265" s="42">
        <f t="shared" si="1"/>
        <v>3345</v>
      </c>
    </row>
    <row r="15266" ht="22.5" customHeight="1">
      <c r="B15266" s="42" t="str">
        <f>IFERROR(__xludf.DUMMYFUNCTION("""COMPUTED_VALUE"""),"")</f>
        <v/>
      </c>
      <c r="C15266" s="42" t="str">
        <f>IFERROR(__xludf.DUMMYFUNCTION("""COMPUTED_VALUE"""),"")</f>
        <v/>
      </c>
      <c r="D15266" s="42"/>
      <c r="E15266" s="42"/>
      <c r="F15266" s="48" t="str">
        <f>IFERROR(__xludf.DUMMYFUNCTION("""COMPUTED_VALUE"""),"")</f>
        <v/>
      </c>
      <c r="G15266" s="42" t="str">
        <f>IFERROR(__xludf.DUMMYFUNCTION("""COMPUTED_VALUE"""),"")</f>
        <v/>
      </c>
      <c r="H15266" s="42">
        <f t="shared" si="1"/>
        <v>3345</v>
      </c>
    </row>
    <row r="15267" ht="22.5" customHeight="1">
      <c r="B15267" s="42" t="str">
        <f>IFERROR(__xludf.DUMMYFUNCTION("""COMPUTED_VALUE"""),"")</f>
        <v/>
      </c>
      <c r="C15267" s="42" t="str">
        <f>IFERROR(__xludf.DUMMYFUNCTION("""COMPUTED_VALUE"""),"")</f>
        <v/>
      </c>
      <c r="D15267" s="42"/>
      <c r="E15267" s="42"/>
      <c r="F15267" s="48" t="str">
        <f>IFERROR(__xludf.DUMMYFUNCTION("""COMPUTED_VALUE"""),"")</f>
        <v/>
      </c>
      <c r="G15267" s="42" t="str">
        <f>IFERROR(__xludf.DUMMYFUNCTION("""COMPUTED_VALUE"""),"")</f>
        <v/>
      </c>
      <c r="H15267" s="42">
        <f t="shared" si="1"/>
        <v>3345</v>
      </c>
    </row>
    <row r="15268" ht="22.5" customHeight="1">
      <c r="B15268" s="42" t="str">
        <f>IFERROR(__xludf.DUMMYFUNCTION("""COMPUTED_VALUE"""),"")</f>
        <v/>
      </c>
      <c r="C15268" s="42" t="str">
        <f>IFERROR(__xludf.DUMMYFUNCTION("""COMPUTED_VALUE"""),"")</f>
        <v/>
      </c>
      <c r="D15268" s="42"/>
      <c r="E15268" s="42"/>
      <c r="F15268" s="48" t="str">
        <f>IFERROR(__xludf.DUMMYFUNCTION("""COMPUTED_VALUE"""),"")</f>
        <v/>
      </c>
      <c r="G15268" s="42" t="str">
        <f>IFERROR(__xludf.DUMMYFUNCTION("""COMPUTED_VALUE"""),"")</f>
        <v/>
      </c>
      <c r="H15268" s="42">
        <f t="shared" si="1"/>
        <v>3345</v>
      </c>
    </row>
    <row r="15269" ht="22.5" customHeight="1">
      <c r="B15269" s="42" t="str">
        <f>IFERROR(__xludf.DUMMYFUNCTION("""COMPUTED_VALUE"""),"")</f>
        <v/>
      </c>
      <c r="C15269" s="42" t="str">
        <f>IFERROR(__xludf.DUMMYFUNCTION("""COMPUTED_VALUE"""),"")</f>
        <v/>
      </c>
      <c r="D15269" s="42"/>
      <c r="E15269" s="42"/>
      <c r="F15269" s="48" t="str">
        <f>IFERROR(__xludf.DUMMYFUNCTION("""COMPUTED_VALUE"""),"")</f>
        <v/>
      </c>
      <c r="G15269" s="42" t="str">
        <f>IFERROR(__xludf.DUMMYFUNCTION("""COMPUTED_VALUE"""),"")</f>
        <v/>
      </c>
      <c r="H15269" s="42">
        <f t="shared" si="1"/>
        <v>3345</v>
      </c>
    </row>
    <row r="15270" ht="22.5" customHeight="1">
      <c r="B15270" s="42" t="str">
        <f>IFERROR(__xludf.DUMMYFUNCTION("""COMPUTED_VALUE"""),"")</f>
        <v/>
      </c>
      <c r="C15270" s="42" t="str">
        <f>IFERROR(__xludf.DUMMYFUNCTION("""COMPUTED_VALUE"""),"")</f>
        <v/>
      </c>
      <c r="D15270" s="42"/>
      <c r="E15270" s="42"/>
      <c r="F15270" s="48" t="str">
        <f>IFERROR(__xludf.DUMMYFUNCTION("""COMPUTED_VALUE"""),"")</f>
        <v/>
      </c>
      <c r="G15270" s="42" t="str">
        <f>IFERROR(__xludf.DUMMYFUNCTION("""COMPUTED_VALUE"""),"")</f>
        <v/>
      </c>
      <c r="H15270" s="42">
        <f t="shared" si="1"/>
        <v>3345</v>
      </c>
    </row>
    <row r="15271" ht="22.5" customHeight="1">
      <c r="B15271" s="42" t="str">
        <f>IFERROR(__xludf.DUMMYFUNCTION("""COMPUTED_VALUE"""),"")</f>
        <v/>
      </c>
      <c r="C15271" s="42" t="str">
        <f>IFERROR(__xludf.DUMMYFUNCTION("""COMPUTED_VALUE"""),"")</f>
        <v/>
      </c>
      <c r="D15271" s="42"/>
      <c r="E15271" s="42"/>
      <c r="F15271" s="48" t="str">
        <f>IFERROR(__xludf.DUMMYFUNCTION("""COMPUTED_VALUE"""),"")</f>
        <v/>
      </c>
      <c r="G15271" s="42" t="str">
        <f>IFERROR(__xludf.DUMMYFUNCTION("""COMPUTED_VALUE"""),"")</f>
        <v/>
      </c>
      <c r="H15271" s="42">
        <f t="shared" si="1"/>
        <v>3345</v>
      </c>
    </row>
    <row r="15272" ht="22.5" customHeight="1">
      <c r="B15272" s="42" t="str">
        <f>IFERROR(__xludf.DUMMYFUNCTION("""COMPUTED_VALUE"""),"")</f>
        <v/>
      </c>
      <c r="C15272" s="42" t="str">
        <f>IFERROR(__xludf.DUMMYFUNCTION("""COMPUTED_VALUE"""),"")</f>
        <v/>
      </c>
      <c r="D15272" s="42"/>
      <c r="E15272" s="42"/>
      <c r="F15272" s="48" t="str">
        <f>IFERROR(__xludf.DUMMYFUNCTION("""COMPUTED_VALUE"""),"")</f>
        <v/>
      </c>
      <c r="G15272" s="42" t="str">
        <f>IFERROR(__xludf.DUMMYFUNCTION("""COMPUTED_VALUE"""),"")</f>
        <v/>
      </c>
      <c r="H15272" s="42">
        <f t="shared" si="1"/>
        <v>3345</v>
      </c>
    </row>
    <row r="15273" ht="22.5" customHeight="1">
      <c r="B15273" s="42" t="str">
        <f>IFERROR(__xludf.DUMMYFUNCTION("""COMPUTED_VALUE"""),"")</f>
        <v/>
      </c>
      <c r="C15273" s="42" t="str">
        <f>IFERROR(__xludf.DUMMYFUNCTION("""COMPUTED_VALUE"""),"")</f>
        <v/>
      </c>
      <c r="D15273" s="42"/>
      <c r="E15273" s="42"/>
      <c r="F15273" s="48" t="str">
        <f>IFERROR(__xludf.DUMMYFUNCTION("""COMPUTED_VALUE"""),"")</f>
        <v/>
      </c>
      <c r="G15273" s="42" t="str">
        <f>IFERROR(__xludf.DUMMYFUNCTION("""COMPUTED_VALUE"""),"")</f>
        <v/>
      </c>
      <c r="H15273" s="42">
        <f t="shared" si="1"/>
        <v>3345</v>
      </c>
    </row>
    <row r="15274" ht="22.5" customHeight="1">
      <c r="B15274" s="42" t="str">
        <f>IFERROR(__xludf.DUMMYFUNCTION("""COMPUTED_VALUE"""),"")</f>
        <v/>
      </c>
      <c r="C15274" s="42" t="str">
        <f>IFERROR(__xludf.DUMMYFUNCTION("""COMPUTED_VALUE"""),"")</f>
        <v/>
      </c>
      <c r="D15274" s="42"/>
      <c r="E15274" s="42"/>
      <c r="F15274" s="48" t="str">
        <f>IFERROR(__xludf.DUMMYFUNCTION("""COMPUTED_VALUE"""),"")</f>
        <v/>
      </c>
      <c r="G15274" s="42" t="str">
        <f>IFERROR(__xludf.DUMMYFUNCTION("""COMPUTED_VALUE"""),"")</f>
        <v/>
      </c>
      <c r="H15274" s="42">
        <f t="shared" si="1"/>
        <v>3345</v>
      </c>
    </row>
    <row r="15275" ht="22.5" customHeight="1">
      <c r="B15275" s="42" t="str">
        <f>IFERROR(__xludf.DUMMYFUNCTION("""COMPUTED_VALUE"""),"")</f>
        <v/>
      </c>
      <c r="C15275" s="42" t="str">
        <f>IFERROR(__xludf.DUMMYFUNCTION("""COMPUTED_VALUE"""),"")</f>
        <v/>
      </c>
      <c r="D15275" s="42"/>
      <c r="E15275" s="42"/>
      <c r="F15275" s="48" t="str">
        <f>IFERROR(__xludf.DUMMYFUNCTION("""COMPUTED_VALUE"""),"")</f>
        <v/>
      </c>
      <c r="G15275" s="42" t="str">
        <f>IFERROR(__xludf.DUMMYFUNCTION("""COMPUTED_VALUE"""),"")</f>
        <v/>
      </c>
      <c r="H15275" s="42">
        <f t="shared" si="1"/>
        <v>3345</v>
      </c>
    </row>
    <row r="15276" ht="22.5" customHeight="1">
      <c r="B15276" s="42" t="str">
        <f>IFERROR(__xludf.DUMMYFUNCTION("""COMPUTED_VALUE"""),"")</f>
        <v/>
      </c>
      <c r="C15276" s="42" t="str">
        <f>IFERROR(__xludf.DUMMYFUNCTION("""COMPUTED_VALUE"""),"")</f>
        <v/>
      </c>
      <c r="D15276" s="42"/>
      <c r="E15276" s="42"/>
      <c r="F15276" s="48" t="str">
        <f>IFERROR(__xludf.DUMMYFUNCTION("""COMPUTED_VALUE"""),"")</f>
        <v/>
      </c>
      <c r="G15276" s="42" t="str">
        <f>IFERROR(__xludf.DUMMYFUNCTION("""COMPUTED_VALUE"""),"")</f>
        <v/>
      </c>
      <c r="H15276" s="42">
        <f t="shared" si="1"/>
        <v>3345</v>
      </c>
    </row>
    <row r="15277" ht="22.5" customHeight="1">
      <c r="B15277" s="42" t="str">
        <f>IFERROR(__xludf.DUMMYFUNCTION("""COMPUTED_VALUE"""),"")</f>
        <v/>
      </c>
      <c r="C15277" s="42" t="str">
        <f>IFERROR(__xludf.DUMMYFUNCTION("""COMPUTED_VALUE"""),"")</f>
        <v/>
      </c>
      <c r="D15277" s="42"/>
      <c r="E15277" s="42"/>
      <c r="F15277" s="48" t="str">
        <f>IFERROR(__xludf.DUMMYFUNCTION("""COMPUTED_VALUE"""),"")</f>
        <v/>
      </c>
      <c r="G15277" s="42" t="str">
        <f>IFERROR(__xludf.DUMMYFUNCTION("""COMPUTED_VALUE"""),"")</f>
        <v/>
      </c>
      <c r="H15277" s="42">
        <f t="shared" si="1"/>
        <v>3345</v>
      </c>
    </row>
    <row r="15278" ht="22.5" customHeight="1">
      <c r="B15278" s="42" t="str">
        <f>IFERROR(__xludf.DUMMYFUNCTION("""COMPUTED_VALUE"""),"")</f>
        <v/>
      </c>
      <c r="C15278" s="42" t="str">
        <f>IFERROR(__xludf.DUMMYFUNCTION("""COMPUTED_VALUE"""),"")</f>
        <v/>
      </c>
      <c r="D15278" s="42"/>
      <c r="E15278" s="42"/>
      <c r="F15278" s="48" t="str">
        <f>IFERROR(__xludf.DUMMYFUNCTION("""COMPUTED_VALUE"""),"")</f>
        <v/>
      </c>
      <c r="G15278" s="42" t="str">
        <f>IFERROR(__xludf.DUMMYFUNCTION("""COMPUTED_VALUE"""),"")</f>
        <v/>
      </c>
      <c r="H15278" s="42">
        <f t="shared" si="1"/>
        <v>3345</v>
      </c>
    </row>
    <row r="15279" ht="22.5" customHeight="1">
      <c r="B15279" s="42" t="str">
        <f>IFERROR(__xludf.DUMMYFUNCTION("""COMPUTED_VALUE"""),"")</f>
        <v/>
      </c>
      <c r="C15279" s="42" t="str">
        <f>IFERROR(__xludf.DUMMYFUNCTION("""COMPUTED_VALUE"""),"")</f>
        <v/>
      </c>
      <c r="D15279" s="42"/>
      <c r="E15279" s="42"/>
      <c r="F15279" s="48" t="str">
        <f>IFERROR(__xludf.DUMMYFUNCTION("""COMPUTED_VALUE"""),"")</f>
        <v/>
      </c>
      <c r="G15279" s="42" t="str">
        <f>IFERROR(__xludf.DUMMYFUNCTION("""COMPUTED_VALUE"""),"")</f>
        <v/>
      </c>
      <c r="H15279" s="42">
        <f t="shared" si="1"/>
        <v>3345</v>
      </c>
    </row>
    <row r="15280" ht="22.5" customHeight="1">
      <c r="B15280" s="42" t="str">
        <f>IFERROR(__xludf.DUMMYFUNCTION("""COMPUTED_VALUE"""),"")</f>
        <v/>
      </c>
      <c r="C15280" s="42" t="str">
        <f>IFERROR(__xludf.DUMMYFUNCTION("""COMPUTED_VALUE"""),"")</f>
        <v/>
      </c>
      <c r="D15280" s="42"/>
      <c r="E15280" s="42"/>
      <c r="F15280" s="48" t="str">
        <f>IFERROR(__xludf.DUMMYFUNCTION("""COMPUTED_VALUE"""),"")</f>
        <v/>
      </c>
      <c r="G15280" s="42" t="str">
        <f>IFERROR(__xludf.DUMMYFUNCTION("""COMPUTED_VALUE"""),"")</f>
        <v/>
      </c>
      <c r="H15280" s="42">
        <f t="shared" si="1"/>
        <v>3345</v>
      </c>
    </row>
    <row r="15281" ht="22.5" customHeight="1">
      <c r="B15281" s="42" t="str">
        <f>IFERROR(__xludf.DUMMYFUNCTION("""COMPUTED_VALUE"""),"")</f>
        <v/>
      </c>
      <c r="C15281" s="42" t="str">
        <f>IFERROR(__xludf.DUMMYFUNCTION("""COMPUTED_VALUE"""),"")</f>
        <v/>
      </c>
      <c r="D15281" s="42"/>
      <c r="E15281" s="42"/>
      <c r="F15281" s="48" t="str">
        <f>IFERROR(__xludf.DUMMYFUNCTION("""COMPUTED_VALUE"""),"")</f>
        <v/>
      </c>
      <c r="G15281" s="42" t="str">
        <f>IFERROR(__xludf.DUMMYFUNCTION("""COMPUTED_VALUE"""),"")</f>
        <v/>
      </c>
      <c r="H15281" s="42">
        <f t="shared" si="1"/>
        <v>3345</v>
      </c>
    </row>
    <row r="15282" ht="22.5" customHeight="1">
      <c r="B15282" s="42" t="str">
        <f>IFERROR(__xludf.DUMMYFUNCTION("""COMPUTED_VALUE"""),"")</f>
        <v/>
      </c>
      <c r="C15282" s="42" t="str">
        <f>IFERROR(__xludf.DUMMYFUNCTION("""COMPUTED_VALUE"""),"")</f>
        <v/>
      </c>
      <c r="D15282" s="42"/>
      <c r="E15282" s="42"/>
      <c r="F15282" s="48" t="str">
        <f>IFERROR(__xludf.DUMMYFUNCTION("""COMPUTED_VALUE"""),"")</f>
        <v/>
      </c>
      <c r="G15282" s="42" t="str">
        <f>IFERROR(__xludf.DUMMYFUNCTION("""COMPUTED_VALUE"""),"")</f>
        <v/>
      </c>
      <c r="H15282" s="42">
        <f t="shared" si="1"/>
        <v>3345</v>
      </c>
    </row>
    <row r="15283" ht="22.5" customHeight="1">
      <c r="B15283" s="42" t="str">
        <f>IFERROR(__xludf.DUMMYFUNCTION("""COMPUTED_VALUE"""),"")</f>
        <v/>
      </c>
      <c r="C15283" s="42" t="str">
        <f>IFERROR(__xludf.DUMMYFUNCTION("""COMPUTED_VALUE"""),"")</f>
        <v/>
      </c>
      <c r="D15283" s="42"/>
      <c r="E15283" s="42"/>
      <c r="F15283" s="48" t="str">
        <f>IFERROR(__xludf.DUMMYFUNCTION("""COMPUTED_VALUE"""),"")</f>
        <v/>
      </c>
      <c r="G15283" s="42" t="str">
        <f>IFERROR(__xludf.DUMMYFUNCTION("""COMPUTED_VALUE"""),"")</f>
        <v/>
      </c>
      <c r="H15283" s="42">
        <f t="shared" si="1"/>
        <v>3345</v>
      </c>
    </row>
    <row r="15284" ht="22.5" customHeight="1">
      <c r="B15284" s="42" t="str">
        <f>IFERROR(__xludf.DUMMYFUNCTION("""COMPUTED_VALUE"""),"")</f>
        <v/>
      </c>
      <c r="C15284" s="42" t="str">
        <f>IFERROR(__xludf.DUMMYFUNCTION("""COMPUTED_VALUE"""),"")</f>
        <v/>
      </c>
      <c r="D15284" s="42"/>
      <c r="E15284" s="42"/>
      <c r="F15284" s="48" t="str">
        <f>IFERROR(__xludf.DUMMYFUNCTION("""COMPUTED_VALUE"""),"")</f>
        <v/>
      </c>
      <c r="G15284" s="42" t="str">
        <f>IFERROR(__xludf.DUMMYFUNCTION("""COMPUTED_VALUE"""),"")</f>
        <v/>
      </c>
      <c r="H15284" s="42">
        <f t="shared" si="1"/>
        <v>3345</v>
      </c>
    </row>
    <row r="15285" ht="22.5" customHeight="1">
      <c r="B15285" s="42" t="str">
        <f>IFERROR(__xludf.DUMMYFUNCTION("""COMPUTED_VALUE"""),"")</f>
        <v/>
      </c>
      <c r="C15285" s="42" t="str">
        <f>IFERROR(__xludf.DUMMYFUNCTION("""COMPUTED_VALUE"""),"")</f>
        <v/>
      </c>
      <c r="D15285" s="42"/>
      <c r="E15285" s="42"/>
      <c r="F15285" s="48" t="str">
        <f>IFERROR(__xludf.DUMMYFUNCTION("""COMPUTED_VALUE"""),"")</f>
        <v/>
      </c>
      <c r="G15285" s="42" t="str">
        <f>IFERROR(__xludf.DUMMYFUNCTION("""COMPUTED_VALUE"""),"")</f>
        <v/>
      </c>
      <c r="H15285" s="42">
        <f t="shared" si="1"/>
        <v>3345</v>
      </c>
    </row>
    <row r="15286" ht="22.5" customHeight="1">
      <c r="B15286" s="42" t="str">
        <f>IFERROR(__xludf.DUMMYFUNCTION("""COMPUTED_VALUE"""),"")</f>
        <v/>
      </c>
      <c r="C15286" s="42" t="str">
        <f>IFERROR(__xludf.DUMMYFUNCTION("""COMPUTED_VALUE"""),"")</f>
        <v/>
      </c>
      <c r="D15286" s="42"/>
      <c r="E15286" s="42"/>
      <c r="F15286" s="48" t="str">
        <f>IFERROR(__xludf.DUMMYFUNCTION("""COMPUTED_VALUE"""),"")</f>
        <v/>
      </c>
      <c r="G15286" s="42" t="str">
        <f>IFERROR(__xludf.DUMMYFUNCTION("""COMPUTED_VALUE"""),"")</f>
        <v/>
      </c>
      <c r="H15286" s="42">
        <f t="shared" si="1"/>
        <v>3345</v>
      </c>
    </row>
    <row r="15287" ht="22.5" customHeight="1">
      <c r="B15287" s="42" t="str">
        <f>IFERROR(__xludf.DUMMYFUNCTION("""COMPUTED_VALUE"""),"")</f>
        <v/>
      </c>
      <c r="C15287" s="42" t="str">
        <f>IFERROR(__xludf.DUMMYFUNCTION("""COMPUTED_VALUE"""),"")</f>
        <v/>
      </c>
      <c r="D15287" s="42"/>
      <c r="E15287" s="42"/>
      <c r="F15287" s="48" t="str">
        <f>IFERROR(__xludf.DUMMYFUNCTION("""COMPUTED_VALUE"""),"")</f>
        <v/>
      </c>
      <c r="G15287" s="42" t="str">
        <f>IFERROR(__xludf.DUMMYFUNCTION("""COMPUTED_VALUE"""),"")</f>
        <v/>
      </c>
      <c r="H15287" s="42">
        <f t="shared" si="1"/>
        <v>3345</v>
      </c>
    </row>
    <row r="15288" ht="22.5" customHeight="1">
      <c r="B15288" s="42" t="str">
        <f>IFERROR(__xludf.DUMMYFUNCTION("""COMPUTED_VALUE"""),"")</f>
        <v/>
      </c>
      <c r="C15288" s="42" t="str">
        <f>IFERROR(__xludf.DUMMYFUNCTION("""COMPUTED_VALUE"""),"")</f>
        <v/>
      </c>
      <c r="D15288" s="42"/>
      <c r="E15288" s="42"/>
      <c r="F15288" s="48" t="str">
        <f>IFERROR(__xludf.DUMMYFUNCTION("""COMPUTED_VALUE"""),"")</f>
        <v/>
      </c>
      <c r="G15288" s="42" t="str">
        <f>IFERROR(__xludf.DUMMYFUNCTION("""COMPUTED_VALUE"""),"")</f>
        <v/>
      </c>
      <c r="H15288" s="42">
        <f t="shared" si="1"/>
        <v>3345</v>
      </c>
    </row>
    <row r="15289" ht="22.5" customHeight="1">
      <c r="B15289" s="42" t="str">
        <f>IFERROR(__xludf.DUMMYFUNCTION("""COMPUTED_VALUE"""),"")</f>
        <v/>
      </c>
      <c r="C15289" s="42" t="str">
        <f>IFERROR(__xludf.DUMMYFUNCTION("""COMPUTED_VALUE"""),"")</f>
        <v/>
      </c>
      <c r="D15289" s="42"/>
      <c r="E15289" s="42"/>
      <c r="F15289" s="48" t="str">
        <f>IFERROR(__xludf.DUMMYFUNCTION("""COMPUTED_VALUE"""),"")</f>
        <v/>
      </c>
      <c r="G15289" s="42" t="str">
        <f>IFERROR(__xludf.DUMMYFUNCTION("""COMPUTED_VALUE"""),"")</f>
        <v/>
      </c>
      <c r="H15289" s="42">
        <f t="shared" si="1"/>
        <v>3345</v>
      </c>
    </row>
    <row r="15290" ht="22.5" customHeight="1">
      <c r="B15290" s="42" t="str">
        <f>IFERROR(__xludf.DUMMYFUNCTION("""COMPUTED_VALUE"""),"")</f>
        <v/>
      </c>
      <c r="C15290" s="42" t="str">
        <f>IFERROR(__xludf.DUMMYFUNCTION("""COMPUTED_VALUE"""),"")</f>
        <v/>
      </c>
      <c r="D15290" s="42"/>
      <c r="E15290" s="42"/>
      <c r="F15290" s="48" t="str">
        <f>IFERROR(__xludf.DUMMYFUNCTION("""COMPUTED_VALUE"""),"")</f>
        <v/>
      </c>
      <c r="G15290" s="42" t="str">
        <f>IFERROR(__xludf.DUMMYFUNCTION("""COMPUTED_VALUE"""),"")</f>
        <v/>
      </c>
      <c r="H15290" s="42">
        <f t="shared" si="1"/>
        <v>3345</v>
      </c>
    </row>
    <row r="15291" ht="22.5" customHeight="1">
      <c r="B15291" s="42" t="str">
        <f>IFERROR(__xludf.DUMMYFUNCTION("""COMPUTED_VALUE"""),"")</f>
        <v/>
      </c>
      <c r="C15291" s="42" t="str">
        <f>IFERROR(__xludf.DUMMYFUNCTION("""COMPUTED_VALUE"""),"")</f>
        <v/>
      </c>
      <c r="D15291" s="42"/>
      <c r="E15291" s="42"/>
      <c r="F15291" s="48" t="str">
        <f>IFERROR(__xludf.DUMMYFUNCTION("""COMPUTED_VALUE"""),"")</f>
        <v/>
      </c>
      <c r="G15291" s="42" t="str">
        <f>IFERROR(__xludf.DUMMYFUNCTION("""COMPUTED_VALUE"""),"")</f>
        <v/>
      </c>
      <c r="H15291" s="42">
        <f t="shared" si="1"/>
        <v>3345</v>
      </c>
    </row>
    <row r="15292" ht="22.5" customHeight="1">
      <c r="B15292" s="42" t="str">
        <f>IFERROR(__xludf.DUMMYFUNCTION("""COMPUTED_VALUE"""),"")</f>
        <v/>
      </c>
      <c r="C15292" s="42" t="str">
        <f>IFERROR(__xludf.DUMMYFUNCTION("""COMPUTED_VALUE"""),"")</f>
        <v/>
      </c>
      <c r="D15292" s="42"/>
      <c r="E15292" s="42"/>
      <c r="F15292" s="48" t="str">
        <f>IFERROR(__xludf.DUMMYFUNCTION("""COMPUTED_VALUE"""),"")</f>
        <v/>
      </c>
      <c r="G15292" s="42" t="str">
        <f>IFERROR(__xludf.DUMMYFUNCTION("""COMPUTED_VALUE"""),"")</f>
        <v/>
      </c>
      <c r="H15292" s="42">
        <f t="shared" si="1"/>
        <v>3345</v>
      </c>
    </row>
    <row r="15293" ht="22.5" customHeight="1">
      <c r="B15293" s="42" t="str">
        <f>IFERROR(__xludf.DUMMYFUNCTION("""COMPUTED_VALUE"""),"")</f>
        <v/>
      </c>
      <c r="C15293" s="42" t="str">
        <f>IFERROR(__xludf.DUMMYFUNCTION("""COMPUTED_VALUE"""),"")</f>
        <v/>
      </c>
      <c r="D15293" s="42"/>
      <c r="E15293" s="42"/>
      <c r="F15293" s="48" t="str">
        <f>IFERROR(__xludf.DUMMYFUNCTION("""COMPUTED_VALUE"""),"")</f>
        <v/>
      </c>
      <c r="G15293" s="42" t="str">
        <f>IFERROR(__xludf.DUMMYFUNCTION("""COMPUTED_VALUE"""),"")</f>
        <v/>
      </c>
      <c r="H15293" s="42">
        <f t="shared" si="1"/>
        <v>3345</v>
      </c>
    </row>
    <row r="15294" ht="22.5" customHeight="1">
      <c r="B15294" s="42" t="str">
        <f>IFERROR(__xludf.DUMMYFUNCTION("""COMPUTED_VALUE"""),"")</f>
        <v/>
      </c>
      <c r="C15294" s="42" t="str">
        <f>IFERROR(__xludf.DUMMYFUNCTION("""COMPUTED_VALUE"""),"")</f>
        <v/>
      </c>
      <c r="D15294" s="42"/>
      <c r="E15294" s="42"/>
      <c r="F15294" s="48" t="str">
        <f>IFERROR(__xludf.DUMMYFUNCTION("""COMPUTED_VALUE"""),"")</f>
        <v/>
      </c>
      <c r="G15294" s="42" t="str">
        <f>IFERROR(__xludf.DUMMYFUNCTION("""COMPUTED_VALUE"""),"")</f>
        <v/>
      </c>
      <c r="H15294" s="42">
        <f t="shared" si="1"/>
        <v>3345</v>
      </c>
    </row>
    <row r="15295" ht="22.5" customHeight="1">
      <c r="B15295" s="42" t="str">
        <f>IFERROR(__xludf.DUMMYFUNCTION("""COMPUTED_VALUE"""),"")</f>
        <v/>
      </c>
      <c r="C15295" s="42" t="str">
        <f>IFERROR(__xludf.DUMMYFUNCTION("""COMPUTED_VALUE"""),"")</f>
        <v/>
      </c>
      <c r="D15295" s="42"/>
      <c r="E15295" s="42"/>
      <c r="F15295" s="48" t="str">
        <f>IFERROR(__xludf.DUMMYFUNCTION("""COMPUTED_VALUE"""),"")</f>
        <v/>
      </c>
      <c r="G15295" s="42" t="str">
        <f>IFERROR(__xludf.DUMMYFUNCTION("""COMPUTED_VALUE"""),"")</f>
        <v/>
      </c>
      <c r="H15295" s="42">
        <f t="shared" si="1"/>
        <v>3345</v>
      </c>
    </row>
    <row r="15296" ht="22.5" customHeight="1">
      <c r="B15296" s="42" t="str">
        <f>IFERROR(__xludf.DUMMYFUNCTION("""COMPUTED_VALUE"""),"")</f>
        <v/>
      </c>
      <c r="C15296" s="42" t="str">
        <f>IFERROR(__xludf.DUMMYFUNCTION("""COMPUTED_VALUE"""),"")</f>
        <v/>
      </c>
      <c r="D15296" s="42"/>
      <c r="E15296" s="42"/>
      <c r="F15296" s="48" t="str">
        <f>IFERROR(__xludf.DUMMYFUNCTION("""COMPUTED_VALUE"""),"")</f>
        <v/>
      </c>
      <c r="G15296" s="42" t="str">
        <f>IFERROR(__xludf.DUMMYFUNCTION("""COMPUTED_VALUE"""),"")</f>
        <v/>
      </c>
      <c r="H15296" s="42">
        <f t="shared" si="1"/>
        <v>3345</v>
      </c>
    </row>
    <row r="15297" ht="22.5" customHeight="1">
      <c r="B15297" s="42" t="str">
        <f>IFERROR(__xludf.DUMMYFUNCTION("""COMPUTED_VALUE"""),"")</f>
        <v/>
      </c>
      <c r="C15297" s="42" t="str">
        <f>IFERROR(__xludf.DUMMYFUNCTION("""COMPUTED_VALUE"""),"")</f>
        <v/>
      </c>
      <c r="D15297" s="42"/>
      <c r="E15297" s="42"/>
      <c r="F15297" s="48" t="str">
        <f>IFERROR(__xludf.DUMMYFUNCTION("""COMPUTED_VALUE"""),"")</f>
        <v/>
      </c>
      <c r="G15297" s="42" t="str">
        <f>IFERROR(__xludf.DUMMYFUNCTION("""COMPUTED_VALUE"""),"")</f>
        <v/>
      </c>
      <c r="H15297" s="42">
        <f t="shared" si="1"/>
        <v>3345</v>
      </c>
    </row>
    <row r="15298" ht="22.5" customHeight="1">
      <c r="B15298" s="42" t="str">
        <f>IFERROR(__xludf.DUMMYFUNCTION("""COMPUTED_VALUE"""),"")</f>
        <v/>
      </c>
      <c r="C15298" s="42" t="str">
        <f>IFERROR(__xludf.DUMMYFUNCTION("""COMPUTED_VALUE"""),"")</f>
        <v/>
      </c>
      <c r="D15298" s="42"/>
      <c r="E15298" s="42"/>
      <c r="F15298" s="48" t="str">
        <f>IFERROR(__xludf.DUMMYFUNCTION("""COMPUTED_VALUE"""),"")</f>
        <v/>
      </c>
      <c r="G15298" s="42" t="str">
        <f>IFERROR(__xludf.DUMMYFUNCTION("""COMPUTED_VALUE"""),"")</f>
        <v/>
      </c>
      <c r="H15298" s="42">
        <f t="shared" si="1"/>
        <v>3345</v>
      </c>
    </row>
    <row r="15299" ht="22.5" customHeight="1">
      <c r="B15299" s="42" t="str">
        <f>IFERROR(__xludf.DUMMYFUNCTION("""COMPUTED_VALUE"""),"")</f>
        <v/>
      </c>
      <c r="C15299" s="42" t="str">
        <f>IFERROR(__xludf.DUMMYFUNCTION("""COMPUTED_VALUE"""),"")</f>
        <v/>
      </c>
      <c r="D15299" s="42"/>
      <c r="E15299" s="42"/>
      <c r="F15299" s="48" t="str">
        <f>IFERROR(__xludf.DUMMYFUNCTION("""COMPUTED_VALUE"""),"")</f>
        <v/>
      </c>
      <c r="G15299" s="42" t="str">
        <f>IFERROR(__xludf.DUMMYFUNCTION("""COMPUTED_VALUE"""),"")</f>
        <v/>
      </c>
      <c r="H15299" s="42">
        <f t="shared" si="1"/>
        <v>3345</v>
      </c>
    </row>
    <row r="15300" ht="22.5" customHeight="1">
      <c r="B15300" s="42" t="str">
        <f>IFERROR(__xludf.DUMMYFUNCTION("""COMPUTED_VALUE"""),"")</f>
        <v/>
      </c>
      <c r="C15300" s="42" t="str">
        <f>IFERROR(__xludf.DUMMYFUNCTION("""COMPUTED_VALUE"""),"")</f>
        <v/>
      </c>
      <c r="D15300" s="42"/>
      <c r="E15300" s="42"/>
      <c r="F15300" s="48" t="str">
        <f>IFERROR(__xludf.DUMMYFUNCTION("""COMPUTED_VALUE"""),"")</f>
        <v/>
      </c>
      <c r="G15300" s="42" t="str">
        <f>IFERROR(__xludf.DUMMYFUNCTION("""COMPUTED_VALUE"""),"")</f>
        <v/>
      </c>
      <c r="H15300" s="42">
        <f t="shared" si="1"/>
        <v>3345</v>
      </c>
    </row>
    <row r="15301" ht="22.5" customHeight="1">
      <c r="B15301" s="42" t="str">
        <f>IFERROR(__xludf.DUMMYFUNCTION("""COMPUTED_VALUE"""),"")</f>
        <v/>
      </c>
      <c r="C15301" s="42" t="str">
        <f>IFERROR(__xludf.DUMMYFUNCTION("""COMPUTED_VALUE"""),"")</f>
        <v/>
      </c>
      <c r="D15301" s="42"/>
      <c r="E15301" s="42"/>
      <c r="F15301" s="48" t="str">
        <f>IFERROR(__xludf.DUMMYFUNCTION("""COMPUTED_VALUE"""),"")</f>
        <v/>
      </c>
      <c r="G15301" s="42" t="str">
        <f>IFERROR(__xludf.DUMMYFUNCTION("""COMPUTED_VALUE"""),"")</f>
        <v/>
      </c>
      <c r="H15301" s="42">
        <f t="shared" si="1"/>
        <v>3345</v>
      </c>
    </row>
    <row r="15302" ht="22.5" customHeight="1">
      <c r="B15302" s="42" t="str">
        <f>IFERROR(__xludf.DUMMYFUNCTION("""COMPUTED_VALUE"""),"")</f>
        <v/>
      </c>
      <c r="C15302" s="42" t="str">
        <f>IFERROR(__xludf.DUMMYFUNCTION("""COMPUTED_VALUE"""),"")</f>
        <v/>
      </c>
      <c r="D15302" s="42"/>
      <c r="E15302" s="42"/>
      <c r="F15302" s="48" t="str">
        <f>IFERROR(__xludf.DUMMYFUNCTION("""COMPUTED_VALUE"""),"")</f>
        <v/>
      </c>
      <c r="G15302" s="42" t="str">
        <f>IFERROR(__xludf.DUMMYFUNCTION("""COMPUTED_VALUE"""),"")</f>
        <v/>
      </c>
      <c r="H15302" s="42">
        <f t="shared" si="1"/>
        <v>3345</v>
      </c>
    </row>
    <row r="15303" ht="22.5" customHeight="1">
      <c r="B15303" s="42" t="str">
        <f>IFERROR(__xludf.DUMMYFUNCTION("""COMPUTED_VALUE"""),"")</f>
        <v/>
      </c>
      <c r="C15303" s="42" t="str">
        <f>IFERROR(__xludf.DUMMYFUNCTION("""COMPUTED_VALUE"""),"")</f>
        <v/>
      </c>
      <c r="D15303" s="42"/>
      <c r="E15303" s="42"/>
      <c r="F15303" s="48" t="str">
        <f>IFERROR(__xludf.DUMMYFUNCTION("""COMPUTED_VALUE"""),"")</f>
        <v/>
      </c>
      <c r="G15303" s="42" t="str">
        <f>IFERROR(__xludf.DUMMYFUNCTION("""COMPUTED_VALUE"""),"")</f>
        <v/>
      </c>
      <c r="H15303" s="42">
        <f t="shared" si="1"/>
        <v>3345</v>
      </c>
    </row>
    <row r="15304" ht="22.5" customHeight="1">
      <c r="B15304" s="42" t="str">
        <f>IFERROR(__xludf.DUMMYFUNCTION("""COMPUTED_VALUE"""),"")</f>
        <v/>
      </c>
      <c r="C15304" s="42" t="str">
        <f>IFERROR(__xludf.DUMMYFUNCTION("""COMPUTED_VALUE"""),"")</f>
        <v/>
      </c>
      <c r="D15304" s="42"/>
      <c r="E15304" s="42"/>
      <c r="F15304" s="48" t="str">
        <f>IFERROR(__xludf.DUMMYFUNCTION("""COMPUTED_VALUE"""),"")</f>
        <v/>
      </c>
      <c r="G15304" s="42" t="str">
        <f>IFERROR(__xludf.DUMMYFUNCTION("""COMPUTED_VALUE"""),"")</f>
        <v/>
      </c>
      <c r="H15304" s="42">
        <f t="shared" si="1"/>
        <v>3345</v>
      </c>
    </row>
    <row r="15305" ht="22.5" customHeight="1">
      <c r="B15305" s="42" t="str">
        <f>IFERROR(__xludf.DUMMYFUNCTION("""COMPUTED_VALUE"""),"")</f>
        <v/>
      </c>
      <c r="C15305" s="42" t="str">
        <f>IFERROR(__xludf.DUMMYFUNCTION("""COMPUTED_VALUE"""),"")</f>
        <v/>
      </c>
      <c r="D15305" s="42"/>
      <c r="E15305" s="42"/>
      <c r="F15305" s="48" t="str">
        <f>IFERROR(__xludf.DUMMYFUNCTION("""COMPUTED_VALUE"""),"")</f>
        <v/>
      </c>
      <c r="G15305" s="42" t="str">
        <f>IFERROR(__xludf.DUMMYFUNCTION("""COMPUTED_VALUE"""),"")</f>
        <v/>
      </c>
      <c r="H15305" s="42">
        <f t="shared" si="1"/>
        <v>3345</v>
      </c>
    </row>
    <row r="15306" ht="22.5" customHeight="1">
      <c r="B15306" s="42" t="str">
        <f>IFERROR(__xludf.DUMMYFUNCTION("""COMPUTED_VALUE"""),"")</f>
        <v/>
      </c>
      <c r="C15306" s="42" t="str">
        <f>IFERROR(__xludf.DUMMYFUNCTION("""COMPUTED_VALUE"""),"")</f>
        <v/>
      </c>
      <c r="D15306" s="42"/>
      <c r="E15306" s="42"/>
      <c r="F15306" s="48" t="str">
        <f>IFERROR(__xludf.DUMMYFUNCTION("""COMPUTED_VALUE"""),"")</f>
        <v/>
      </c>
      <c r="G15306" s="42" t="str">
        <f>IFERROR(__xludf.DUMMYFUNCTION("""COMPUTED_VALUE"""),"")</f>
        <v/>
      </c>
      <c r="H15306" s="42">
        <f t="shared" si="1"/>
        <v>3345</v>
      </c>
    </row>
    <row r="15307" ht="22.5" customHeight="1">
      <c r="B15307" s="42" t="str">
        <f>IFERROR(__xludf.DUMMYFUNCTION("""COMPUTED_VALUE"""),"")</f>
        <v/>
      </c>
      <c r="C15307" s="42" t="str">
        <f>IFERROR(__xludf.DUMMYFUNCTION("""COMPUTED_VALUE"""),"")</f>
        <v/>
      </c>
      <c r="D15307" s="42"/>
      <c r="E15307" s="42"/>
      <c r="F15307" s="48" t="str">
        <f>IFERROR(__xludf.DUMMYFUNCTION("""COMPUTED_VALUE"""),"")</f>
        <v/>
      </c>
      <c r="G15307" s="42" t="str">
        <f>IFERROR(__xludf.DUMMYFUNCTION("""COMPUTED_VALUE"""),"")</f>
        <v/>
      </c>
      <c r="H15307" s="42">
        <f t="shared" si="1"/>
        <v>3345</v>
      </c>
    </row>
    <row r="15308" ht="22.5" customHeight="1">
      <c r="B15308" s="42" t="str">
        <f>IFERROR(__xludf.DUMMYFUNCTION("""COMPUTED_VALUE"""),"")</f>
        <v/>
      </c>
      <c r="C15308" s="42" t="str">
        <f>IFERROR(__xludf.DUMMYFUNCTION("""COMPUTED_VALUE"""),"")</f>
        <v/>
      </c>
      <c r="D15308" s="42"/>
      <c r="E15308" s="42"/>
      <c r="F15308" s="48" t="str">
        <f>IFERROR(__xludf.DUMMYFUNCTION("""COMPUTED_VALUE"""),"")</f>
        <v/>
      </c>
      <c r="G15308" s="42" t="str">
        <f>IFERROR(__xludf.DUMMYFUNCTION("""COMPUTED_VALUE"""),"")</f>
        <v/>
      </c>
      <c r="H15308" s="42">
        <f t="shared" si="1"/>
        <v>3345</v>
      </c>
    </row>
    <row r="15309" ht="22.5" customHeight="1">
      <c r="B15309" s="42" t="str">
        <f>IFERROR(__xludf.DUMMYFUNCTION("""COMPUTED_VALUE"""),"")</f>
        <v/>
      </c>
      <c r="C15309" s="42" t="str">
        <f>IFERROR(__xludf.DUMMYFUNCTION("""COMPUTED_VALUE"""),"")</f>
        <v/>
      </c>
      <c r="D15309" s="42"/>
      <c r="E15309" s="42"/>
      <c r="F15309" s="48" t="str">
        <f>IFERROR(__xludf.DUMMYFUNCTION("""COMPUTED_VALUE"""),"")</f>
        <v/>
      </c>
      <c r="G15309" s="42" t="str">
        <f>IFERROR(__xludf.DUMMYFUNCTION("""COMPUTED_VALUE"""),"")</f>
        <v/>
      </c>
      <c r="H15309" s="42">
        <f t="shared" si="1"/>
        <v>3345</v>
      </c>
    </row>
    <row r="15310" ht="22.5" customHeight="1">
      <c r="B15310" s="42" t="str">
        <f>IFERROR(__xludf.DUMMYFUNCTION("""COMPUTED_VALUE"""),"")</f>
        <v/>
      </c>
      <c r="C15310" s="42" t="str">
        <f>IFERROR(__xludf.DUMMYFUNCTION("""COMPUTED_VALUE"""),"")</f>
        <v/>
      </c>
      <c r="D15310" s="42"/>
      <c r="E15310" s="42"/>
      <c r="F15310" s="48" t="str">
        <f>IFERROR(__xludf.DUMMYFUNCTION("""COMPUTED_VALUE"""),"")</f>
        <v/>
      </c>
      <c r="G15310" s="42" t="str">
        <f>IFERROR(__xludf.DUMMYFUNCTION("""COMPUTED_VALUE"""),"")</f>
        <v/>
      </c>
      <c r="H15310" s="42">
        <f t="shared" si="1"/>
        <v>3345</v>
      </c>
    </row>
    <row r="15311" ht="22.5" customHeight="1">
      <c r="B15311" s="42" t="str">
        <f>IFERROR(__xludf.DUMMYFUNCTION("""COMPUTED_VALUE"""),"")</f>
        <v/>
      </c>
      <c r="C15311" s="42" t="str">
        <f>IFERROR(__xludf.DUMMYFUNCTION("""COMPUTED_VALUE"""),"")</f>
        <v/>
      </c>
      <c r="D15311" s="42"/>
      <c r="E15311" s="42"/>
      <c r="F15311" s="48" t="str">
        <f>IFERROR(__xludf.DUMMYFUNCTION("""COMPUTED_VALUE"""),"")</f>
        <v/>
      </c>
      <c r="G15311" s="42" t="str">
        <f>IFERROR(__xludf.DUMMYFUNCTION("""COMPUTED_VALUE"""),"")</f>
        <v/>
      </c>
      <c r="H15311" s="42">
        <f t="shared" si="1"/>
        <v>3345</v>
      </c>
    </row>
    <row r="15312" ht="22.5" customHeight="1">
      <c r="B15312" s="42" t="str">
        <f>IFERROR(__xludf.DUMMYFUNCTION("""COMPUTED_VALUE"""),"")</f>
        <v/>
      </c>
      <c r="C15312" s="42" t="str">
        <f>IFERROR(__xludf.DUMMYFUNCTION("""COMPUTED_VALUE"""),"")</f>
        <v/>
      </c>
      <c r="D15312" s="42"/>
      <c r="E15312" s="42"/>
      <c r="F15312" s="48" t="str">
        <f>IFERROR(__xludf.DUMMYFUNCTION("""COMPUTED_VALUE"""),"")</f>
        <v/>
      </c>
      <c r="G15312" s="42" t="str">
        <f>IFERROR(__xludf.DUMMYFUNCTION("""COMPUTED_VALUE"""),"")</f>
        <v/>
      </c>
      <c r="H15312" s="42">
        <f t="shared" si="1"/>
        <v>3345</v>
      </c>
    </row>
    <row r="15313" ht="22.5" customHeight="1">
      <c r="B15313" s="42" t="str">
        <f>IFERROR(__xludf.DUMMYFUNCTION("""COMPUTED_VALUE"""),"")</f>
        <v/>
      </c>
      <c r="C15313" s="42" t="str">
        <f>IFERROR(__xludf.DUMMYFUNCTION("""COMPUTED_VALUE"""),"")</f>
        <v/>
      </c>
      <c r="D15313" s="42"/>
      <c r="E15313" s="42"/>
      <c r="F15313" s="48" t="str">
        <f>IFERROR(__xludf.DUMMYFUNCTION("""COMPUTED_VALUE"""),"")</f>
        <v/>
      </c>
      <c r="G15313" s="42" t="str">
        <f>IFERROR(__xludf.DUMMYFUNCTION("""COMPUTED_VALUE"""),"")</f>
        <v/>
      </c>
      <c r="H15313" s="42">
        <f t="shared" si="1"/>
        <v>3345</v>
      </c>
    </row>
    <row r="15314" ht="22.5" customHeight="1">
      <c r="B15314" s="42" t="str">
        <f>IFERROR(__xludf.DUMMYFUNCTION("""COMPUTED_VALUE"""),"")</f>
        <v/>
      </c>
      <c r="C15314" s="42" t="str">
        <f>IFERROR(__xludf.DUMMYFUNCTION("""COMPUTED_VALUE"""),"")</f>
        <v/>
      </c>
      <c r="D15314" s="42"/>
      <c r="E15314" s="42"/>
      <c r="F15314" s="48" t="str">
        <f>IFERROR(__xludf.DUMMYFUNCTION("""COMPUTED_VALUE"""),"")</f>
        <v/>
      </c>
      <c r="G15314" s="42" t="str">
        <f>IFERROR(__xludf.DUMMYFUNCTION("""COMPUTED_VALUE"""),"")</f>
        <v/>
      </c>
      <c r="H15314" s="42">
        <f t="shared" si="1"/>
        <v>3345</v>
      </c>
    </row>
    <row r="15315" ht="22.5" customHeight="1">
      <c r="B15315" s="42" t="str">
        <f>IFERROR(__xludf.DUMMYFUNCTION("""COMPUTED_VALUE"""),"")</f>
        <v/>
      </c>
      <c r="C15315" s="42" t="str">
        <f>IFERROR(__xludf.DUMMYFUNCTION("""COMPUTED_VALUE"""),"")</f>
        <v/>
      </c>
      <c r="D15315" s="42"/>
      <c r="E15315" s="42"/>
      <c r="F15315" s="48" t="str">
        <f>IFERROR(__xludf.DUMMYFUNCTION("""COMPUTED_VALUE"""),"")</f>
        <v/>
      </c>
      <c r="G15315" s="42" t="str">
        <f>IFERROR(__xludf.DUMMYFUNCTION("""COMPUTED_VALUE"""),"")</f>
        <v/>
      </c>
      <c r="H15315" s="42">
        <f t="shared" si="1"/>
        <v>3345</v>
      </c>
    </row>
    <row r="15316" ht="22.5" customHeight="1">
      <c r="B15316" s="42" t="str">
        <f>IFERROR(__xludf.DUMMYFUNCTION("""COMPUTED_VALUE"""),"")</f>
        <v/>
      </c>
      <c r="C15316" s="42" t="str">
        <f>IFERROR(__xludf.DUMMYFUNCTION("""COMPUTED_VALUE"""),"")</f>
        <v/>
      </c>
      <c r="D15316" s="42"/>
      <c r="E15316" s="42"/>
      <c r="F15316" s="48" t="str">
        <f>IFERROR(__xludf.DUMMYFUNCTION("""COMPUTED_VALUE"""),"")</f>
        <v/>
      </c>
      <c r="G15316" s="42" t="str">
        <f>IFERROR(__xludf.DUMMYFUNCTION("""COMPUTED_VALUE"""),"")</f>
        <v/>
      </c>
      <c r="H15316" s="42">
        <f t="shared" si="1"/>
        <v>3345</v>
      </c>
    </row>
    <row r="15317" ht="22.5" customHeight="1">
      <c r="B15317" s="42" t="str">
        <f>IFERROR(__xludf.DUMMYFUNCTION("""COMPUTED_VALUE"""),"")</f>
        <v/>
      </c>
      <c r="C15317" s="42" t="str">
        <f>IFERROR(__xludf.DUMMYFUNCTION("""COMPUTED_VALUE"""),"")</f>
        <v/>
      </c>
      <c r="D15317" s="42"/>
      <c r="E15317" s="42"/>
      <c r="F15317" s="48" t="str">
        <f>IFERROR(__xludf.DUMMYFUNCTION("""COMPUTED_VALUE"""),"")</f>
        <v/>
      </c>
      <c r="G15317" s="42" t="str">
        <f>IFERROR(__xludf.DUMMYFUNCTION("""COMPUTED_VALUE"""),"")</f>
        <v/>
      </c>
      <c r="H15317" s="42">
        <f t="shared" si="1"/>
        <v>3345</v>
      </c>
    </row>
    <row r="15318" ht="22.5" customHeight="1">
      <c r="B15318" s="42" t="str">
        <f>IFERROR(__xludf.DUMMYFUNCTION("""COMPUTED_VALUE"""),"")</f>
        <v/>
      </c>
      <c r="C15318" s="42" t="str">
        <f>IFERROR(__xludf.DUMMYFUNCTION("""COMPUTED_VALUE"""),"")</f>
        <v/>
      </c>
      <c r="D15318" s="42"/>
      <c r="E15318" s="42"/>
      <c r="F15318" s="48" t="str">
        <f>IFERROR(__xludf.DUMMYFUNCTION("""COMPUTED_VALUE"""),"")</f>
        <v/>
      </c>
      <c r="G15318" s="42" t="str">
        <f>IFERROR(__xludf.DUMMYFUNCTION("""COMPUTED_VALUE"""),"")</f>
        <v/>
      </c>
      <c r="H15318" s="42">
        <f t="shared" si="1"/>
        <v>3345</v>
      </c>
    </row>
    <row r="15319" ht="22.5" customHeight="1">
      <c r="B15319" s="42" t="str">
        <f>IFERROR(__xludf.DUMMYFUNCTION("""COMPUTED_VALUE"""),"")</f>
        <v/>
      </c>
      <c r="C15319" s="42" t="str">
        <f>IFERROR(__xludf.DUMMYFUNCTION("""COMPUTED_VALUE"""),"")</f>
        <v/>
      </c>
      <c r="D15319" s="42"/>
      <c r="E15319" s="42"/>
      <c r="F15319" s="48" t="str">
        <f>IFERROR(__xludf.DUMMYFUNCTION("""COMPUTED_VALUE"""),"")</f>
        <v/>
      </c>
      <c r="G15319" s="42" t="str">
        <f>IFERROR(__xludf.DUMMYFUNCTION("""COMPUTED_VALUE"""),"")</f>
        <v/>
      </c>
      <c r="H15319" s="42">
        <f t="shared" si="1"/>
        <v>3345</v>
      </c>
    </row>
    <row r="15320" ht="22.5" customHeight="1">
      <c r="B15320" s="42" t="str">
        <f>IFERROR(__xludf.DUMMYFUNCTION("""COMPUTED_VALUE"""),"")</f>
        <v/>
      </c>
      <c r="C15320" s="42" t="str">
        <f>IFERROR(__xludf.DUMMYFUNCTION("""COMPUTED_VALUE"""),"")</f>
        <v/>
      </c>
      <c r="D15320" s="42"/>
      <c r="E15320" s="42"/>
      <c r="F15320" s="48" t="str">
        <f>IFERROR(__xludf.DUMMYFUNCTION("""COMPUTED_VALUE"""),"")</f>
        <v/>
      </c>
      <c r="G15320" s="42" t="str">
        <f>IFERROR(__xludf.DUMMYFUNCTION("""COMPUTED_VALUE"""),"")</f>
        <v/>
      </c>
      <c r="H15320" s="42">
        <f t="shared" si="1"/>
        <v>3345</v>
      </c>
    </row>
    <row r="15321" ht="22.5" customHeight="1">
      <c r="B15321" s="42" t="str">
        <f>IFERROR(__xludf.DUMMYFUNCTION("""COMPUTED_VALUE"""),"")</f>
        <v/>
      </c>
      <c r="C15321" s="42" t="str">
        <f>IFERROR(__xludf.DUMMYFUNCTION("""COMPUTED_VALUE"""),"")</f>
        <v/>
      </c>
      <c r="D15321" s="42"/>
      <c r="E15321" s="42"/>
      <c r="F15321" s="48" t="str">
        <f>IFERROR(__xludf.DUMMYFUNCTION("""COMPUTED_VALUE"""),"")</f>
        <v/>
      </c>
      <c r="G15321" s="42" t="str">
        <f>IFERROR(__xludf.DUMMYFUNCTION("""COMPUTED_VALUE"""),"")</f>
        <v/>
      </c>
      <c r="H15321" s="42">
        <f t="shared" si="1"/>
        <v>3345</v>
      </c>
    </row>
    <row r="15322" ht="22.5" customHeight="1">
      <c r="B15322" s="42" t="str">
        <f>IFERROR(__xludf.DUMMYFUNCTION("""COMPUTED_VALUE"""),"")</f>
        <v/>
      </c>
      <c r="C15322" s="42" t="str">
        <f>IFERROR(__xludf.DUMMYFUNCTION("""COMPUTED_VALUE"""),"")</f>
        <v/>
      </c>
      <c r="D15322" s="42"/>
      <c r="E15322" s="42"/>
      <c r="F15322" s="48" t="str">
        <f>IFERROR(__xludf.DUMMYFUNCTION("""COMPUTED_VALUE"""),"")</f>
        <v/>
      </c>
      <c r="G15322" s="42" t="str">
        <f>IFERROR(__xludf.DUMMYFUNCTION("""COMPUTED_VALUE"""),"")</f>
        <v/>
      </c>
      <c r="H15322" s="42">
        <f t="shared" si="1"/>
        <v>3345</v>
      </c>
    </row>
    <row r="15323" ht="22.5" customHeight="1">
      <c r="B15323" s="42" t="str">
        <f>IFERROR(__xludf.DUMMYFUNCTION("""COMPUTED_VALUE"""),"")</f>
        <v/>
      </c>
      <c r="C15323" s="42" t="str">
        <f>IFERROR(__xludf.DUMMYFUNCTION("""COMPUTED_VALUE"""),"")</f>
        <v/>
      </c>
      <c r="D15323" s="42"/>
      <c r="E15323" s="42"/>
      <c r="F15323" s="48" t="str">
        <f>IFERROR(__xludf.DUMMYFUNCTION("""COMPUTED_VALUE"""),"")</f>
        <v/>
      </c>
      <c r="G15323" s="42" t="str">
        <f>IFERROR(__xludf.DUMMYFUNCTION("""COMPUTED_VALUE"""),"")</f>
        <v/>
      </c>
      <c r="H15323" s="42">
        <f t="shared" si="1"/>
        <v>3345</v>
      </c>
    </row>
    <row r="15324" ht="22.5" customHeight="1">
      <c r="B15324" s="42" t="str">
        <f>IFERROR(__xludf.DUMMYFUNCTION("""COMPUTED_VALUE"""),"")</f>
        <v/>
      </c>
      <c r="C15324" s="42" t="str">
        <f>IFERROR(__xludf.DUMMYFUNCTION("""COMPUTED_VALUE"""),"")</f>
        <v/>
      </c>
      <c r="D15324" s="42"/>
      <c r="E15324" s="42"/>
      <c r="F15324" s="48" t="str">
        <f>IFERROR(__xludf.DUMMYFUNCTION("""COMPUTED_VALUE"""),"")</f>
        <v/>
      </c>
      <c r="G15324" s="42" t="str">
        <f>IFERROR(__xludf.DUMMYFUNCTION("""COMPUTED_VALUE"""),"")</f>
        <v/>
      </c>
      <c r="H15324" s="42">
        <f t="shared" si="1"/>
        <v>3345</v>
      </c>
    </row>
    <row r="15325" ht="22.5" customHeight="1">
      <c r="B15325" s="42" t="str">
        <f>IFERROR(__xludf.DUMMYFUNCTION("""COMPUTED_VALUE"""),"")</f>
        <v/>
      </c>
      <c r="C15325" s="42" t="str">
        <f>IFERROR(__xludf.DUMMYFUNCTION("""COMPUTED_VALUE"""),"")</f>
        <v/>
      </c>
      <c r="D15325" s="42"/>
      <c r="E15325" s="42"/>
      <c r="F15325" s="48" t="str">
        <f>IFERROR(__xludf.DUMMYFUNCTION("""COMPUTED_VALUE"""),"")</f>
        <v/>
      </c>
      <c r="G15325" s="42" t="str">
        <f>IFERROR(__xludf.DUMMYFUNCTION("""COMPUTED_VALUE"""),"")</f>
        <v/>
      </c>
      <c r="H15325" s="42">
        <f t="shared" si="1"/>
        <v>3345</v>
      </c>
    </row>
    <row r="15326" ht="22.5" customHeight="1">
      <c r="B15326" s="42" t="str">
        <f>IFERROR(__xludf.DUMMYFUNCTION("""COMPUTED_VALUE"""),"")</f>
        <v/>
      </c>
      <c r="C15326" s="42" t="str">
        <f>IFERROR(__xludf.DUMMYFUNCTION("""COMPUTED_VALUE"""),"")</f>
        <v/>
      </c>
      <c r="D15326" s="42"/>
      <c r="E15326" s="42"/>
      <c r="F15326" s="48" t="str">
        <f>IFERROR(__xludf.DUMMYFUNCTION("""COMPUTED_VALUE"""),"")</f>
        <v/>
      </c>
      <c r="G15326" s="42" t="str">
        <f>IFERROR(__xludf.DUMMYFUNCTION("""COMPUTED_VALUE"""),"")</f>
        <v/>
      </c>
      <c r="H15326" s="42">
        <f t="shared" si="1"/>
        <v>3345</v>
      </c>
    </row>
    <row r="15327" ht="22.5" customHeight="1">
      <c r="B15327" s="42" t="str">
        <f>IFERROR(__xludf.DUMMYFUNCTION("""COMPUTED_VALUE"""),"")</f>
        <v/>
      </c>
      <c r="C15327" s="42" t="str">
        <f>IFERROR(__xludf.DUMMYFUNCTION("""COMPUTED_VALUE"""),"")</f>
        <v/>
      </c>
      <c r="D15327" s="42"/>
      <c r="E15327" s="42"/>
      <c r="F15327" s="48" t="str">
        <f>IFERROR(__xludf.DUMMYFUNCTION("""COMPUTED_VALUE"""),"")</f>
        <v/>
      </c>
      <c r="G15327" s="42" t="str">
        <f>IFERROR(__xludf.DUMMYFUNCTION("""COMPUTED_VALUE"""),"")</f>
        <v/>
      </c>
      <c r="H15327" s="42">
        <f t="shared" si="1"/>
        <v>3345</v>
      </c>
    </row>
    <row r="15328" ht="22.5" customHeight="1">
      <c r="B15328" s="42" t="str">
        <f>IFERROR(__xludf.DUMMYFUNCTION("""COMPUTED_VALUE"""),"")</f>
        <v/>
      </c>
      <c r="C15328" s="42" t="str">
        <f>IFERROR(__xludf.DUMMYFUNCTION("""COMPUTED_VALUE"""),"")</f>
        <v/>
      </c>
      <c r="D15328" s="42"/>
      <c r="E15328" s="42"/>
      <c r="F15328" s="48" t="str">
        <f>IFERROR(__xludf.DUMMYFUNCTION("""COMPUTED_VALUE"""),"")</f>
        <v/>
      </c>
      <c r="G15328" s="42" t="str">
        <f>IFERROR(__xludf.DUMMYFUNCTION("""COMPUTED_VALUE"""),"")</f>
        <v/>
      </c>
      <c r="H15328" s="42">
        <f t="shared" si="1"/>
        <v>3345</v>
      </c>
    </row>
    <row r="15329" ht="22.5" customHeight="1">
      <c r="B15329" s="42" t="str">
        <f>IFERROR(__xludf.DUMMYFUNCTION("""COMPUTED_VALUE"""),"")</f>
        <v/>
      </c>
      <c r="C15329" s="42" t="str">
        <f>IFERROR(__xludf.DUMMYFUNCTION("""COMPUTED_VALUE"""),"")</f>
        <v/>
      </c>
      <c r="D15329" s="42"/>
      <c r="E15329" s="42"/>
      <c r="F15329" s="48" t="str">
        <f>IFERROR(__xludf.DUMMYFUNCTION("""COMPUTED_VALUE"""),"")</f>
        <v/>
      </c>
      <c r="G15329" s="42" t="str">
        <f>IFERROR(__xludf.DUMMYFUNCTION("""COMPUTED_VALUE"""),"")</f>
        <v/>
      </c>
      <c r="H15329" s="42">
        <f t="shared" si="1"/>
        <v>3345</v>
      </c>
    </row>
    <row r="15330" ht="22.5" customHeight="1">
      <c r="B15330" s="42" t="str">
        <f>IFERROR(__xludf.DUMMYFUNCTION("""COMPUTED_VALUE"""),"")</f>
        <v/>
      </c>
      <c r="C15330" s="42" t="str">
        <f>IFERROR(__xludf.DUMMYFUNCTION("""COMPUTED_VALUE"""),"")</f>
        <v/>
      </c>
      <c r="D15330" s="42"/>
      <c r="E15330" s="42"/>
      <c r="F15330" s="48" t="str">
        <f>IFERROR(__xludf.DUMMYFUNCTION("""COMPUTED_VALUE"""),"")</f>
        <v/>
      </c>
      <c r="G15330" s="42" t="str">
        <f>IFERROR(__xludf.DUMMYFUNCTION("""COMPUTED_VALUE"""),"")</f>
        <v/>
      </c>
      <c r="H15330" s="42">
        <f t="shared" si="1"/>
        <v>3345</v>
      </c>
    </row>
    <row r="15331" ht="22.5" customHeight="1">
      <c r="B15331" s="42" t="str">
        <f>IFERROR(__xludf.DUMMYFUNCTION("""COMPUTED_VALUE"""),"")</f>
        <v/>
      </c>
      <c r="C15331" s="42" t="str">
        <f>IFERROR(__xludf.DUMMYFUNCTION("""COMPUTED_VALUE"""),"")</f>
        <v/>
      </c>
      <c r="D15331" s="42"/>
      <c r="E15331" s="42"/>
      <c r="F15331" s="48" t="str">
        <f>IFERROR(__xludf.DUMMYFUNCTION("""COMPUTED_VALUE"""),"")</f>
        <v/>
      </c>
      <c r="G15331" s="42" t="str">
        <f>IFERROR(__xludf.DUMMYFUNCTION("""COMPUTED_VALUE"""),"")</f>
        <v/>
      </c>
      <c r="H15331" s="42">
        <f t="shared" si="1"/>
        <v>3345</v>
      </c>
    </row>
    <row r="15332" ht="22.5" customHeight="1">
      <c r="B15332" s="42" t="str">
        <f>IFERROR(__xludf.DUMMYFUNCTION("""COMPUTED_VALUE"""),"")</f>
        <v/>
      </c>
      <c r="C15332" s="42" t="str">
        <f>IFERROR(__xludf.DUMMYFUNCTION("""COMPUTED_VALUE"""),"")</f>
        <v/>
      </c>
      <c r="D15332" s="42"/>
      <c r="E15332" s="42"/>
      <c r="F15332" s="48" t="str">
        <f>IFERROR(__xludf.DUMMYFUNCTION("""COMPUTED_VALUE"""),"")</f>
        <v/>
      </c>
      <c r="G15332" s="42" t="str">
        <f>IFERROR(__xludf.DUMMYFUNCTION("""COMPUTED_VALUE"""),"")</f>
        <v/>
      </c>
      <c r="H15332" s="42">
        <f t="shared" si="1"/>
        <v>3345</v>
      </c>
    </row>
    <row r="15333" ht="22.5" customHeight="1">
      <c r="B15333" s="42" t="str">
        <f>IFERROR(__xludf.DUMMYFUNCTION("""COMPUTED_VALUE"""),"")</f>
        <v/>
      </c>
      <c r="C15333" s="42" t="str">
        <f>IFERROR(__xludf.DUMMYFUNCTION("""COMPUTED_VALUE"""),"")</f>
        <v/>
      </c>
      <c r="D15333" s="42"/>
      <c r="E15333" s="42"/>
      <c r="F15333" s="48" t="str">
        <f>IFERROR(__xludf.DUMMYFUNCTION("""COMPUTED_VALUE"""),"")</f>
        <v/>
      </c>
      <c r="G15333" s="42" t="str">
        <f>IFERROR(__xludf.DUMMYFUNCTION("""COMPUTED_VALUE"""),"")</f>
        <v/>
      </c>
      <c r="H15333" s="42">
        <f t="shared" si="1"/>
        <v>3345</v>
      </c>
    </row>
    <row r="15334" ht="22.5" customHeight="1">
      <c r="B15334" s="42" t="str">
        <f>IFERROR(__xludf.DUMMYFUNCTION("""COMPUTED_VALUE"""),"")</f>
        <v/>
      </c>
      <c r="C15334" s="42" t="str">
        <f>IFERROR(__xludf.DUMMYFUNCTION("""COMPUTED_VALUE"""),"")</f>
        <v/>
      </c>
      <c r="D15334" s="42"/>
      <c r="E15334" s="42"/>
      <c r="F15334" s="48" t="str">
        <f>IFERROR(__xludf.DUMMYFUNCTION("""COMPUTED_VALUE"""),"")</f>
        <v/>
      </c>
      <c r="G15334" s="42" t="str">
        <f>IFERROR(__xludf.DUMMYFUNCTION("""COMPUTED_VALUE"""),"")</f>
        <v/>
      </c>
      <c r="H15334" s="42">
        <f t="shared" si="1"/>
        <v>3345</v>
      </c>
    </row>
    <row r="15335" ht="22.5" customHeight="1">
      <c r="B15335" s="42" t="str">
        <f>IFERROR(__xludf.DUMMYFUNCTION("""COMPUTED_VALUE"""),"")</f>
        <v/>
      </c>
      <c r="C15335" s="42" t="str">
        <f>IFERROR(__xludf.DUMMYFUNCTION("""COMPUTED_VALUE"""),"")</f>
        <v/>
      </c>
      <c r="D15335" s="42"/>
      <c r="E15335" s="42"/>
      <c r="F15335" s="48" t="str">
        <f>IFERROR(__xludf.DUMMYFUNCTION("""COMPUTED_VALUE"""),"")</f>
        <v/>
      </c>
      <c r="G15335" s="42" t="str">
        <f>IFERROR(__xludf.DUMMYFUNCTION("""COMPUTED_VALUE"""),"")</f>
        <v/>
      </c>
      <c r="H15335" s="42">
        <f t="shared" si="1"/>
        <v>3345</v>
      </c>
    </row>
    <row r="15336" ht="22.5" customHeight="1">
      <c r="B15336" s="42" t="str">
        <f>IFERROR(__xludf.DUMMYFUNCTION("""COMPUTED_VALUE"""),"")</f>
        <v/>
      </c>
      <c r="C15336" s="42" t="str">
        <f>IFERROR(__xludf.DUMMYFUNCTION("""COMPUTED_VALUE"""),"")</f>
        <v/>
      </c>
      <c r="D15336" s="42"/>
      <c r="E15336" s="42"/>
      <c r="F15336" s="48" t="str">
        <f>IFERROR(__xludf.DUMMYFUNCTION("""COMPUTED_VALUE"""),"")</f>
        <v/>
      </c>
      <c r="G15336" s="42" t="str">
        <f>IFERROR(__xludf.DUMMYFUNCTION("""COMPUTED_VALUE"""),"")</f>
        <v/>
      </c>
      <c r="H15336" s="42">
        <f t="shared" si="1"/>
        <v>3345</v>
      </c>
    </row>
    <row r="15337" ht="22.5" customHeight="1">
      <c r="B15337" s="42" t="str">
        <f>IFERROR(__xludf.DUMMYFUNCTION("""COMPUTED_VALUE"""),"")</f>
        <v/>
      </c>
      <c r="C15337" s="42" t="str">
        <f>IFERROR(__xludf.DUMMYFUNCTION("""COMPUTED_VALUE"""),"")</f>
        <v/>
      </c>
      <c r="D15337" s="42"/>
      <c r="E15337" s="42"/>
      <c r="F15337" s="48" t="str">
        <f>IFERROR(__xludf.DUMMYFUNCTION("""COMPUTED_VALUE"""),"")</f>
        <v/>
      </c>
      <c r="G15337" s="42" t="str">
        <f>IFERROR(__xludf.DUMMYFUNCTION("""COMPUTED_VALUE"""),"")</f>
        <v/>
      </c>
      <c r="H15337" s="42">
        <f t="shared" si="1"/>
        <v>3345</v>
      </c>
    </row>
    <row r="15338" ht="22.5" customHeight="1">
      <c r="B15338" s="42" t="str">
        <f>IFERROR(__xludf.DUMMYFUNCTION("""COMPUTED_VALUE"""),"")</f>
        <v/>
      </c>
      <c r="C15338" s="42" t="str">
        <f>IFERROR(__xludf.DUMMYFUNCTION("""COMPUTED_VALUE"""),"")</f>
        <v/>
      </c>
      <c r="D15338" s="42"/>
      <c r="E15338" s="42"/>
      <c r="F15338" s="48" t="str">
        <f>IFERROR(__xludf.DUMMYFUNCTION("""COMPUTED_VALUE"""),"")</f>
        <v/>
      </c>
      <c r="G15338" s="42" t="str">
        <f>IFERROR(__xludf.DUMMYFUNCTION("""COMPUTED_VALUE"""),"")</f>
        <v/>
      </c>
      <c r="H15338" s="42">
        <f t="shared" si="1"/>
        <v>3345</v>
      </c>
    </row>
    <row r="15339" ht="22.5" customHeight="1">
      <c r="B15339" s="42" t="str">
        <f>IFERROR(__xludf.DUMMYFUNCTION("""COMPUTED_VALUE"""),"")</f>
        <v/>
      </c>
      <c r="C15339" s="42" t="str">
        <f>IFERROR(__xludf.DUMMYFUNCTION("""COMPUTED_VALUE"""),"")</f>
        <v/>
      </c>
      <c r="D15339" s="42"/>
      <c r="E15339" s="42"/>
      <c r="F15339" s="48" t="str">
        <f>IFERROR(__xludf.DUMMYFUNCTION("""COMPUTED_VALUE"""),"")</f>
        <v/>
      </c>
      <c r="G15339" s="42" t="str">
        <f>IFERROR(__xludf.DUMMYFUNCTION("""COMPUTED_VALUE"""),"")</f>
        <v/>
      </c>
      <c r="H15339" s="42">
        <f t="shared" si="1"/>
        <v>3345</v>
      </c>
    </row>
    <row r="15340" ht="22.5" customHeight="1">
      <c r="B15340" s="42" t="str">
        <f>IFERROR(__xludf.DUMMYFUNCTION("""COMPUTED_VALUE"""),"")</f>
        <v/>
      </c>
      <c r="C15340" s="42" t="str">
        <f>IFERROR(__xludf.DUMMYFUNCTION("""COMPUTED_VALUE"""),"")</f>
        <v/>
      </c>
      <c r="D15340" s="42"/>
      <c r="E15340" s="42"/>
      <c r="F15340" s="48" t="str">
        <f>IFERROR(__xludf.DUMMYFUNCTION("""COMPUTED_VALUE"""),"")</f>
        <v/>
      </c>
      <c r="G15340" s="42" t="str">
        <f>IFERROR(__xludf.DUMMYFUNCTION("""COMPUTED_VALUE"""),"")</f>
        <v/>
      </c>
      <c r="H15340" s="42">
        <f t="shared" si="1"/>
        <v>3345</v>
      </c>
    </row>
    <row r="15341" ht="22.5" customHeight="1">
      <c r="B15341" s="42" t="str">
        <f>IFERROR(__xludf.DUMMYFUNCTION("""COMPUTED_VALUE"""),"")</f>
        <v/>
      </c>
      <c r="C15341" s="42" t="str">
        <f>IFERROR(__xludf.DUMMYFUNCTION("""COMPUTED_VALUE"""),"")</f>
        <v/>
      </c>
      <c r="D15341" s="42"/>
      <c r="E15341" s="42"/>
      <c r="F15341" s="48" t="str">
        <f>IFERROR(__xludf.DUMMYFUNCTION("""COMPUTED_VALUE"""),"")</f>
        <v/>
      </c>
      <c r="G15341" s="42" t="str">
        <f>IFERROR(__xludf.DUMMYFUNCTION("""COMPUTED_VALUE"""),"")</f>
        <v/>
      </c>
      <c r="H15341" s="42">
        <f t="shared" si="1"/>
        <v>3345</v>
      </c>
    </row>
    <row r="15342" ht="22.5" customHeight="1">
      <c r="B15342" s="42" t="str">
        <f>IFERROR(__xludf.DUMMYFUNCTION("""COMPUTED_VALUE"""),"")</f>
        <v/>
      </c>
      <c r="C15342" s="42" t="str">
        <f>IFERROR(__xludf.DUMMYFUNCTION("""COMPUTED_VALUE"""),"")</f>
        <v/>
      </c>
      <c r="D15342" s="42"/>
      <c r="E15342" s="42"/>
      <c r="F15342" s="48" t="str">
        <f>IFERROR(__xludf.DUMMYFUNCTION("""COMPUTED_VALUE"""),"")</f>
        <v/>
      </c>
      <c r="G15342" s="42" t="str">
        <f>IFERROR(__xludf.DUMMYFUNCTION("""COMPUTED_VALUE"""),"")</f>
        <v/>
      </c>
      <c r="H15342" s="42">
        <f t="shared" si="1"/>
        <v>3345</v>
      </c>
    </row>
    <row r="15343" ht="22.5" customHeight="1">
      <c r="B15343" s="42" t="str">
        <f>IFERROR(__xludf.DUMMYFUNCTION("""COMPUTED_VALUE"""),"")</f>
        <v/>
      </c>
      <c r="C15343" s="42" t="str">
        <f>IFERROR(__xludf.DUMMYFUNCTION("""COMPUTED_VALUE"""),"")</f>
        <v/>
      </c>
      <c r="D15343" s="42"/>
      <c r="E15343" s="42"/>
      <c r="F15343" s="48" t="str">
        <f>IFERROR(__xludf.DUMMYFUNCTION("""COMPUTED_VALUE"""),"")</f>
        <v/>
      </c>
      <c r="G15343" s="42" t="str">
        <f>IFERROR(__xludf.DUMMYFUNCTION("""COMPUTED_VALUE"""),"")</f>
        <v/>
      </c>
      <c r="H15343" s="42">
        <f t="shared" si="1"/>
        <v>3345</v>
      </c>
    </row>
    <row r="15344" ht="22.5" customHeight="1">
      <c r="B15344" s="42" t="str">
        <f>IFERROR(__xludf.DUMMYFUNCTION("""COMPUTED_VALUE"""),"")</f>
        <v/>
      </c>
      <c r="C15344" s="42" t="str">
        <f>IFERROR(__xludf.DUMMYFUNCTION("""COMPUTED_VALUE"""),"")</f>
        <v/>
      </c>
      <c r="D15344" s="42"/>
      <c r="E15344" s="42"/>
      <c r="F15344" s="48" t="str">
        <f>IFERROR(__xludf.DUMMYFUNCTION("""COMPUTED_VALUE"""),"")</f>
        <v/>
      </c>
      <c r="G15344" s="42" t="str">
        <f>IFERROR(__xludf.DUMMYFUNCTION("""COMPUTED_VALUE"""),"")</f>
        <v/>
      </c>
      <c r="H15344" s="42">
        <f t="shared" si="1"/>
        <v>3345</v>
      </c>
    </row>
    <row r="15345" ht="22.5" customHeight="1">
      <c r="B15345" s="42" t="str">
        <f>IFERROR(__xludf.DUMMYFUNCTION("""COMPUTED_VALUE"""),"")</f>
        <v/>
      </c>
      <c r="C15345" s="42" t="str">
        <f>IFERROR(__xludf.DUMMYFUNCTION("""COMPUTED_VALUE"""),"")</f>
        <v/>
      </c>
      <c r="D15345" s="42"/>
      <c r="E15345" s="42"/>
      <c r="F15345" s="48" t="str">
        <f>IFERROR(__xludf.DUMMYFUNCTION("""COMPUTED_VALUE"""),"")</f>
        <v/>
      </c>
      <c r="G15345" s="42" t="str">
        <f>IFERROR(__xludf.DUMMYFUNCTION("""COMPUTED_VALUE"""),"")</f>
        <v/>
      </c>
      <c r="H15345" s="42">
        <f t="shared" si="1"/>
        <v>3345</v>
      </c>
    </row>
    <row r="15346" ht="22.5" customHeight="1">
      <c r="B15346" s="42" t="str">
        <f>IFERROR(__xludf.DUMMYFUNCTION("""COMPUTED_VALUE"""),"")</f>
        <v/>
      </c>
      <c r="C15346" s="42" t="str">
        <f>IFERROR(__xludf.DUMMYFUNCTION("""COMPUTED_VALUE"""),"")</f>
        <v/>
      </c>
      <c r="D15346" s="42"/>
      <c r="E15346" s="42"/>
      <c r="F15346" s="48" t="str">
        <f>IFERROR(__xludf.DUMMYFUNCTION("""COMPUTED_VALUE"""),"")</f>
        <v/>
      </c>
      <c r="G15346" s="42" t="str">
        <f>IFERROR(__xludf.DUMMYFUNCTION("""COMPUTED_VALUE"""),"")</f>
        <v/>
      </c>
      <c r="H15346" s="42">
        <f t="shared" si="1"/>
        <v>3345</v>
      </c>
    </row>
    <row r="15347" ht="22.5" customHeight="1">
      <c r="B15347" s="42" t="str">
        <f>IFERROR(__xludf.DUMMYFUNCTION("""COMPUTED_VALUE"""),"")</f>
        <v/>
      </c>
      <c r="C15347" s="42" t="str">
        <f>IFERROR(__xludf.DUMMYFUNCTION("""COMPUTED_VALUE"""),"")</f>
        <v/>
      </c>
      <c r="D15347" s="42"/>
      <c r="E15347" s="42"/>
      <c r="F15347" s="48" t="str">
        <f>IFERROR(__xludf.DUMMYFUNCTION("""COMPUTED_VALUE"""),"")</f>
        <v/>
      </c>
      <c r="G15347" s="42" t="str">
        <f>IFERROR(__xludf.DUMMYFUNCTION("""COMPUTED_VALUE"""),"")</f>
        <v/>
      </c>
      <c r="H15347" s="42">
        <f t="shared" si="1"/>
        <v>3345</v>
      </c>
    </row>
    <row r="15348" ht="22.5" customHeight="1">
      <c r="B15348" s="42" t="str">
        <f>IFERROR(__xludf.DUMMYFUNCTION("""COMPUTED_VALUE"""),"")</f>
        <v/>
      </c>
      <c r="C15348" s="42" t="str">
        <f>IFERROR(__xludf.DUMMYFUNCTION("""COMPUTED_VALUE"""),"")</f>
        <v/>
      </c>
      <c r="D15348" s="42"/>
      <c r="E15348" s="42"/>
      <c r="F15348" s="48" t="str">
        <f>IFERROR(__xludf.DUMMYFUNCTION("""COMPUTED_VALUE"""),"")</f>
        <v/>
      </c>
      <c r="G15348" s="42" t="str">
        <f>IFERROR(__xludf.DUMMYFUNCTION("""COMPUTED_VALUE"""),"")</f>
        <v/>
      </c>
      <c r="H15348" s="42">
        <f t="shared" si="1"/>
        <v>3345</v>
      </c>
    </row>
    <row r="15349" ht="22.5" customHeight="1">
      <c r="B15349" s="42" t="str">
        <f>IFERROR(__xludf.DUMMYFUNCTION("""COMPUTED_VALUE"""),"")</f>
        <v/>
      </c>
      <c r="C15349" s="42" t="str">
        <f>IFERROR(__xludf.DUMMYFUNCTION("""COMPUTED_VALUE"""),"")</f>
        <v/>
      </c>
      <c r="D15349" s="42"/>
      <c r="E15349" s="42"/>
      <c r="F15349" s="48" t="str">
        <f>IFERROR(__xludf.DUMMYFUNCTION("""COMPUTED_VALUE"""),"")</f>
        <v/>
      </c>
      <c r="G15349" s="42" t="str">
        <f>IFERROR(__xludf.DUMMYFUNCTION("""COMPUTED_VALUE"""),"")</f>
        <v/>
      </c>
      <c r="H15349" s="42">
        <f t="shared" si="1"/>
        <v>3345</v>
      </c>
    </row>
    <row r="15350" ht="22.5" customHeight="1">
      <c r="B15350" s="42" t="str">
        <f>IFERROR(__xludf.DUMMYFUNCTION("""COMPUTED_VALUE"""),"")</f>
        <v/>
      </c>
      <c r="C15350" s="42" t="str">
        <f>IFERROR(__xludf.DUMMYFUNCTION("""COMPUTED_VALUE"""),"")</f>
        <v/>
      </c>
      <c r="D15350" s="42"/>
      <c r="E15350" s="42"/>
      <c r="F15350" s="48" t="str">
        <f>IFERROR(__xludf.DUMMYFUNCTION("""COMPUTED_VALUE"""),"")</f>
        <v/>
      </c>
      <c r="G15350" s="42" t="str">
        <f>IFERROR(__xludf.DUMMYFUNCTION("""COMPUTED_VALUE"""),"")</f>
        <v/>
      </c>
      <c r="H15350" s="42">
        <f t="shared" si="1"/>
        <v>3345</v>
      </c>
    </row>
    <row r="15351" ht="22.5" customHeight="1">
      <c r="B15351" s="42" t="str">
        <f>IFERROR(__xludf.DUMMYFUNCTION("""COMPUTED_VALUE"""),"")</f>
        <v/>
      </c>
      <c r="C15351" s="42" t="str">
        <f>IFERROR(__xludf.DUMMYFUNCTION("""COMPUTED_VALUE"""),"")</f>
        <v/>
      </c>
      <c r="D15351" s="42"/>
      <c r="E15351" s="42"/>
      <c r="F15351" s="48" t="str">
        <f>IFERROR(__xludf.DUMMYFUNCTION("""COMPUTED_VALUE"""),"")</f>
        <v/>
      </c>
      <c r="G15351" s="42" t="str">
        <f>IFERROR(__xludf.DUMMYFUNCTION("""COMPUTED_VALUE"""),"")</f>
        <v/>
      </c>
      <c r="H15351" s="42">
        <f t="shared" si="1"/>
        <v>3345</v>
      </c>
    </row>
    <row r="15352" ht="22.5" customHeight="1">
      <c r="B15352" s="42" t="str">
        <f>IFERROR(__xludf.DUMMYFUNCTION("""COMPUTED_VALUE"""),"")</f>
        <v/>
      </c>
      <c r="C15352" s="42" t="str">
        <f>IFERROR(__xludf.DUMMYFUNCTION("""COMPUTED_VALUE"""),"")</f>
        <v/>
      </c>
      <c r="D15352" s="42"/>
      <c r="E15352" s="42"/>
      <c r="F15352" s="48" t="str">
        <f>IFERROR(__xludf.DUMMYFUNCTION("""COMPUTED_VALUE"""),"")</f>
        <v/>
      </c>
      <c r="G15352" s="42" t="str">
        <f>IFERROR(__xludf.DUMMYFUNCTION("""COMPUTED_VALUE"""),"")</f>
        <v/>
      </c>
      <c r="H15352" s="42">
        <f t="shared" si="1"/>
        <v>3345</v>
      </c>
    </row>
    <row r="15353" ht="22.5" customHeight="1">
      <c r="B15353" s="42" t="str">
        <f>IFERROR(__xludf.DUMMYFUNCTION("""COMPUTED_VALUE"""),"")</f>
        <v/>
      </c>
      <c r="C15353" s="42" t="str">
        <f>IFERROR(__xludf.DUMMYFUNCTION("""COMPUTED_VALUE"""),"")</f>
        <v/>
      </c>
      <c r="D15353" s="42"/>
      <c r="E15353" s="42"/>
      <c r="F15353" s="48" t="str">
        <f>IFERROR(__xludf.DUMMYFUNCTION("""COMPUTED_VALUE"""),"")</f>
        <v/>
      </c>
      <c r="G15353" s="42" t="str">
        <f>IFERROR(__xludf.DUMMYFUNCTION("""COMPUTED_VALUE"""),"")</f>
        <v/>
      </c>
      <c r="H15353" s="42">
        <f t="shared" si="1"/>
        <v>3345</v>
      </c>
    </row>
    <row r="15354" ht="22.5" customHeight="1">
      <c r="B15354" s="42" t="str">
        <f>IFERROR(__xludf.DUMMYFUNCTION("""COMPUTED_VALUE"""),"")</f>
        <v/>
      </c>
      <c r="C15354" s="42" t="str">
        <f>IFERROR(__xludf.DUMMYFUNCTION("""COMPUTED_VALUE"""),"")</f>
        <v/>
      </c>
      <c r="D15354" s="42"/>
      <c r="E15354" s="42"/>
      <c r="F15354" s="48" t="str">
        <f>IFERROR(__xludf.DUMMYFUNCTION("""COMPUTED_VALUE"""),"")</f>
        <v/>
      </c>
      <c r="G15354" s="42" t="str">
        <f>IFERROR(__xludf.DUMMYFUNCTION("""COMPUTED_VALUE"""),"")</f>
        <v/>
      </c>
      <c r="H15354" s="42">
        <f t="shared" si="1"/>
        <v>3345</v>
      </c>
    </row>
    <row r="15355" ht="22.5" customHeight="1">
      <c r="B15355" s="42" t="str">
        <f>IFERROR(__xludf.DUMMYFUNCTION("""COMPUTED_VALUE"""),"")</f>
        <v/>
      </c>
      <c r="C15355" s="42" t="str">
        <f>IFERROR(__xludf.DUMMYFUNCTION("""COMPUTED_VALUE"""),"")</f>
        <v/>
      </c>
      <c r="D15355" s="42"/>
      <c r="E15355" s="42"/>
      <c r="F15355" s="48" t="str">
        <f>IFERROR(__xludf.DUMMYFUNCTION("""COMPUTED_VALUE"""),"")</f>
        <v/>
      </c>
      <c r="G15355" s="42" t="str">
        <f>IFERROR(__xludf.DUMMYFUNCTION("""COMPUTED_VALUE"""),"")</f>
        <v/>
      </c>
      <c r="H15355" s="42">
        <f t="shared" si="1"/>
        <v>3345</v>
      </c>
    </row>
    <row r="15356" ht="22.5" customHeight="1">
      <c r="B15356" s="42" t="str">
        <f>IFERROR(__xludf.DUMMYFUNCTION("""COMPUTED_VALUE"""),"")</f>
        <v/>
      </c>
      <c r="C15356" s="42" t="str">
        <f>IFERROR(__xludf.DUMMYFUNCTION("""COMPUTED_VALUE"""),"")</f>
        <v/>
      </c>
      <c r="D15356" s="42"/>
      <c r="E15356" s="42"/>
      <c r="F15356" s="48" t="str">
        <f>IFERROR(__xludf.DUMMYFUNCTION("""COMPUTED_VALUE"""),"")</f>
        <v/>
      </c>
      <c r="G15356" s="42" t="str">
        <f>IFERROR(__xludf.DUMMYFUNCTION("""COMPUTED_VALUE"""),"")</f>
        <v/>
      </c>
      <c r="H15356" s="42">
        <f t="shared" si="1"/>
        <v>3345</v>
      </c>
    </row>
    <row r="15357" ht="22.5" customHeight="1">
      <c r="B15357" s="42" t="str">
        <f>IFERROR(__xludf.DUMMYFUNCTION("""COMPUTED_VALUE"""),"")</f>
        <v/>
      </c>
      <c r="C15357" s="42" t="str">
        <f>IFERROR(__xludf.DUMMYFUNCTION("""COMPUTED_VALUE"""),"")</f>
        <v/>
      </c>
      <c r="D15357" s="42"/>
      <c r="E15357" s="42"/>
      <c r="F15357" s="48" t="str">
        <f>IFERROR(__xludf.DUMMYFUNCTION("""COMPUTED_VALUE"""),"")</f>
        <v/>
      </c>
      <c r="G15357" s="42" t="str">
        <f>IFERROR(__xludf.DUMMYFUNCTION("""COMPUTED_VALUE"""),"")</f>
        <v/>
      </c>
      <c r="H15357" s="42">
        <f t="shared" si="1"/>
        <v>3345</v>
      </c>
    </row>
    <row r="15358" ht="22.5" customHeight="1">
      <c r="B15358" s="42" t="str">
        <f>IFERROR(__xludf.DUMMYFUNCTION("""COMPUTED_VALUE"""),"")</f>
        <v/>
      </c>
      <c r="C15358" s="42" t="str">
        <f>IFERROR(__xludf.DUMMYFUNCTION("""COMPUTED_VALUE"""),"")</f>
        <v/>
      </c>
      <c r="D15358" s="42"/>
      <c r="E15358" s="42"/>
      <c r="F15358" s="48" t="str">
        <f>IFERROR(__xludf.DUMMYFUNCTION("""COMPUTED_VALUE"""),"")</f>
        <v/>
      </c>
      <c r="G15358" s="42" t="str">
        <f>IFERROR(__xludf.DUMMYFUNCTION("""COMPUTED_VALUE"""),"")</f>
        <v/>
      </c>
      <c r="H15358" s="42">
        <f t="shared" si="1"/>
        <v>3345</v>
      </c>
    </row>
    <row r="15359" ht="22.5" customHeight="1">
      <c r="B15359" s="42" t="str">
        <f>IFERROR(__xludf.DUMMYFUNCTION("""COMPUTED_VALUE"""),"")</f>
        <v/>
      </c>
      <c r="C15359" s="42" t="str">
        <f>IFERROR(__xludf.DUMMYFUNCTION("""COMPUTED_VALUE"""),"")</f>
        <v/>
      </c>
      <c r="D15359" s="42"/>
      <c r="E15359" s="42"/>
      <c r="F15359" s="48" t="str">
        <f>IFERROR(__xludf.DUMMYFUNCTION("""COMPUTED_VALUE"""),"")</f>
        <v/>
      </c>
      <c r="G15359" s="42" t="str">
        <f>IFERROR(__xludf.DUMMYFUNCTION("""COMPUTED_VALUE"""),"")</f>
        <v/>
      </c>
      <c r="H15359" s="42">
        <f t="shared" si="1"/>
        <v>3345</v>
      </c>
    </row>
    <row r="15360" ht="22.5" customHeight="1">
      <c r="B15360" s="42" t="str">
        <f>IFERROR(__xludf.DUMMYFUNCTION("""COMPUTED_VALUE"""),"")</f>
        <v/>
      </c>
      <c r="C15360" s="42" t="str">
        <f>IFERROR(__xludf.DUMMYFUNCTION("""COMPUTED_VALUE"""),"")</f>
        <v/>
      </c>
      <c r="D15360" s="42"/>
      <c r="E15360" s="42"/>
      <c r="F15360" s="48" t="str">
        <f>IFERROR(__xludf.DUMMYFUNCTION("""COMPUTED_VALUE"""),"")</f>
        <v/>
      </c>
      <c r="G15360" s="42" t="str">
        <f>IFERROR(__xludf.DUMMYFUNCTION("""COMPUTED_VALUE"""),"")</f>
        <v/>
      </c>
      <c r="H15360" s="42">
        <f t="shared" si="1"/>
        <v>3345</v>
      </c>
    </row>
    <row r="15361" ht="22.5" customHeight="1">
      <c r="B15361" s="42" t="str">
        <f>IFERROR(__xludf.DUMMYFUNCTION("""COMPUTED_VALUE"""),"")</f>
        <v/>
      </c>
      <c r="C15361" s="42" t="str">
        <f>IFERROR(__xludf.DUMMYFUNCTION("""COMPUTED_VALUE"""),"")</f>
        <v/>
      </c>
      <c r="D15361" s="42"/>
      <c r="E15361" s="42"/>
      <c r="F15361" s="48" t="str">
        <f>IFERROR(__xludf.DUMMYFUNCTION("""COMPUTED_VALUE"""),"")</f>
        <v/>
      </c>
      <c r="G15361" s="42" t="str">
        <f>IFERROR(__xludf.DUMMYFUNCTION("""COMPUTED_VALUE"""),"")</f>
        <v/>
      </c>
      <c r="H15361" s="42">
        <f t="shared" si="1"/>
        <v>3345</v>
      </c>
    </row>
    <row r="15362" ht="22.5" customHeight="1">
      <c r="B15362" s="42" t="str">
        <f>IFERROR(__xludf.DUMMYFUNCTION("""COMPUTED_VALUE"""),"")</f>
        <v/>
      </c>
      <c r="C15362" s="42" t="str">
        <f>IFERROR(__xludf.DUMMYFUNCTION("""COMPUTED_VALUE"""),"")</f>
        <v/>
      </c>
      <c r="D15362" s="42"/>
      <c r="E15362" s="42"/>
      <c r="F15362" s="48" t="str">
        <f>IFERROR(__xludf.DUMMYFUNCTION("""COMPUTED_VALUE"""),"")</f>
        <v/>
      </c>
      <c r="G15362" s="42" t="str">
        <f>IFERROR(__xludf.DUMMYFUNCTION("""COMPUTED_VALUE"""),"")</f>
        <v/>
      </c>
      <c r="H15362" s="42">
        <f t="shared" si="1"/>
        <v>3345</v>
      </c>
    </row>
    <row r="15363" ht="22.5" customHeight="1">
      <c r="B15363" s="42" t="str">
        <f>IFERROR(__xludf.DUMMYFUNCTION("""COMPUTED_VALUE"""),"")</f>
        <v/>
      </c>
      <c r="C15363" s="42" t="str">
        <f>IFERROR(__xludf.DUMMYFUNCTION("""COMPUTED_VALUE"""),"")</f>
        <v/>
      </c>
      <c r="D15363" s="42"/>
      <c r="E15363" s="42"/>
      <c r="F15363" s="48" t="str">
        <f>IFERROR(__xludf.DUMMYFUNCTION("""COMPUTED_VALUE"""),"")</f>
        <v/>
      </c>
      <c r="G15363" s="42" t="str">
        <f>IFERROR(__xludf.DUMMYFUNCTION("""COMPUTED_VALUE"""),"")</f>
        <v/>
      </c>
      <c r="H15363" s="42">
        <f t="shared" si="1"/>
        <v>3345</v>
      </c>
    </row>
    <row r="15364" ht="22.5" customHeight="1">
      <c r="B15364" s="42" t="str">
        <f>IFERROR(__xludf.DUMMYFUNCTION("""COMPUTED_VALUE"""),"")</f>
        <v/>
      </c>
      <c r="C15364" s="42" t="str">
        <f>IFERROR(__xludf.DUMMYFUNCTION("""COMPUTED_VALUE"""),"")</f>
        <v/>
      </c>
      <c r="D15364" s="42"/>
      <c r="E15364" s="42"/>
      <c r="F15364" s="48" t="str">
        <f>IFERROR(__xludf.DUMMYFUNCTION("""COMPUTED_VALUE"""),"")</f>
        <v/>
      </c>
      <c r="G15364" s="42" t="str">
        <f>IFERROR(__xludf.DUMMYFUNCTION("""COMPUTED_VALUE"""),"")</f>
        <v/>
      </c>
      <c r="H15364" s="42">
        <f t="shared" si="1"/>
        <v>3345</v>
      </c>
    </row>
    <row r="15365" ht="22.5" customHeight="1">
      <c r="B15365" s="42" t="str">
        <f>IFERROR(__xludf.DUMMYFUNCTION("""COMPUTED_VALUE"""),"")</f>
        <v/>
      </c>
      <c r="C15365" s="42" t="str">
        <f>IFERROR(__xludf.DUMMYFUNCTION("""COMPUTED_VALUE"""),"")</f>
        <v/>
      </c>
      <c r="D15365" s="42"/>
      <c r="E15365" s="42"/>
      <c r="F15365" s="48" t="str">
        <f>IFERROR(__xludf.DUMMYFUNCTION("""COMPUTED_VALUE"""),"")</f>
        <v/>
      </c>
      <c r="G15365" s="42" t="str">
        <f>IFERROR(__xludf.DUMMYFUNCTION("""COMPUTED_VALUE"""),"")</f>
        <v/>
      </c>
      <c r="H15365" s="42">
        <f t="shared" si="1"/>
        <v>3345</v>
      </c>
    </row>
    <row r="15366" ht="22.5" customHeight="1">
      <c r="B15366" s="42" t="str">
        <f>IFERROR(__xludf.DUMMYFUNCTION("""COMPUTED_VALUE"""),"")</f>
        <v/>
      </c>
      <c r="C15366" s="42" t="str">
        <f>IFERROR(__xludf.DUMMYFUNCTION("""COMPUTED_VALUE"""),"")</f>
        <v/>
      </c>
      <c r="D15366" s="42"/>
      <c r="E15366" s="42"/>
      <c r="F15366" s="48" t="str">
        <f>IFERROR(__xludf.DUMMYFUNCTION("""COMPUTED_VALUE"""),"")</f>
        <v/>
      </c>
      <c r="G15366" s="42" t="str">
        <f>IFERROR(__xludf.DUMMYFUNCTION("""COMPUTED_VALUE"""),"")</f>
        <v/>
      </c>
      <c r="H15366" s="42">
        <f t="shared" si="1"/>
        <v>3345</v>
      </c>
    </row>
    <row r="15367" ht="22.5" customHeight="1">
      <c r="B15367" s="42" t="str">
        <f>IFERROR(__xludf.DUMMYFUNCTION("""COMPUTED_VALUE"""),"")</f>
        <v/>
      </c>
      <c r="C15367" s="42" t="str">
        <f>IFERROR(__xludf.DUMMYFUNCTION("""COMPUTED_VALUE"""),"")</f>
        <v/>
      </c>
      <c r="D15367" s="42"/>
      <c r="E15367" s="42"/>
      <c r="F15367" s="48" t="str">
        <f>IFERROR(__xludf.DUMMYFUNCTION("""COMPUTED_VALUE"""),"")</f>
        <v/>
      </c>
      <c r="G15367" s="42" t="str">
        <f>IFERROR(__xludf.DUMMYFUNCTION("""COMPUTED_VALUE"""),"")</f>
        <v/>
      </c>
      <c r="H15367" s="42">
        <f t="shared" si="1"/>
        <v>3345</v>
      </c>
    </row>
    <row r="15368" ht="22.5" customHeight="1">
      <c r="B15368" s="42" t="str">
        <f>IFERROR(__xludf.DUMMYFUNCTION("""COMPUTED_VALUE"""),"")</f>
        <v/>
      </c>
      <c r="C15368" s="42" t="str">
        <f>IFERROR(__xludf.DUMMYFUNCTION("""COMPUTED_VALUE"""),"")</f>
        <v/>
      </c>
      <c r="D15368" s="42"/>
      <c r="E15368" s="42"/>
      <c r="F15368" s="48" t="str">
        <f>IFERROR(__xludf.DUMMYFUNCTION("""COMPUTED_VALUE"""),"")</f>
        <v/>
      </c>
      <c r="G15368" s="42" t="str">
        <f>IFERROR(__xludf.DUMMYFUNCTION("""COMPUTED_VALUE"""),"")</f>
        <v/>
      </c>
      <c r="H15368" s="42">
        <f t="shared" si="1"/>
        <v>3345</v>
      </c>
    </row>
    <row r="15369" ht="22.5" customHeight="1">
      <c r="B15369" s="42" t="str">
        <f>IFERROR(__xludf.DUMMYFUNCTION("""COMPUTED_VALUE"""),"")</f>
        <v/>
      </c>
      <c r="C15369" s="42" t="str">
        <f>IFERROR(__xludf.DUMMYFUNCTION("""COMPUTED_VALUE"""),"")</f>
        <v/>
      </c>
      <c r="D15369" s="42"/>
      <c r="E15369" s="42"/>
      <c r="F15369" s="48" t="str">
        <f>IFERROR(__xludf.DUMMYFUNCTION("""COMPUTED_VALUE"""),"")</f>
        <v/>
      </c>
      <c r="G15369" s="42" t="str">
        <f>IFERROR(__xludf.DUMMYFUNCTION("""COMPUTED_VALUE"""),"")</f>
        <v/>
      </c>
      <c r="H15369" s="42">
        <f t="shared" si="1"/>
        <v>3345</v>
      </c>
    </row>
    <row r="15370" ht="22.5" customHeight="1">
      <c r="B15370" s="42" t="str">
        <f>IFERROR(__xludf.DUMMYFUNCTION("""COMPUTED_VALUE"""),"")</f>
        <v/>
      </c>
      <c r="C15370" s="42" t="str">
        <f>IFERROR(__xludf.DUMMYFUNCTION("""COMPUTED_VALUE"""),"")</f>
        <v/>
      </c>
      <c r="D15370" s="42"/>
      <c r="E15370" s="42"/>
      <c r="F15370" s="48" t="str">
        <f>IFERROR(__xludf.DUMMYFUNCTION("""COMPUTED_VALUE"""),"")</f>
        <v/>
      </c>
      <c r="G15370" s="42" t="str">
        <f>IFERROR(__xludf.DUMMYFUNCTION("""COMPUTED_VALUE"""),"")</f>
        <v/>
      </c>
      <c r="H15370" s="42">
        <f t="shared" si="1"/>
        <v>3345</v>
      </c>
    </row>
    <row r="15371" ht="22.5" customHeight="1">
      <c r="B15371" s="42" t="str">
        <f>IFERROR(__xludf.DUMMYFUNCTION("""COMPUTED_VALUE"""),"")</f>
        <v/>
      </c>
      <c r="C15371" s="42" t="str">
        <f>IFERROR(__xludf.DUMMYFUNCTION("""COMPUTED_VALUE"""),"")</f>
        <v/>
      </c>
      <c r="D15371" s="42"/>
      <c r="E15371" s="42"/>
      <c r="F15371" s="48" t="str">
        <f>IFERROR(__xludf.DUMMYFUNCTION("""COMPUTED_VALUE"""),"")</f>
        <v/>
      </c>
      <c r="G15371" s="42" t="str">
        <f>IFERROR(__xludf.DUMMYFUNCTION("""COMPUTED_VALUE"""),"")</f>
        <v/>
      </c>
      <c r="H15371" s="42">
        <f t="shared" si="1"/>
        <v>3345</v>
      </c>
    </row>
    <row r="15372" ht="22.5" customHeight="1">
      <c r="B15372" s="42" t="str">
        <f>IFERROR(__xludf.DUMMYFUNCTION("""COMPUTED_VALUE"""),"")</f>
        <v/>
      </c>
      <c r="C15372" s="42" t="str">
        <f>IFERROR(__xludf.DUMMYFUNCTION("""COMPUTED_VALUE"""),"")</f>
        <v/>
      </c>
      <c r="D15372" s="42"/>
      <c r="E15372" s="42"/>
      <c r="F15372" s="48" t="str">
        <f>IFERROR(__xludf.DUMMYFUNCTION("""COMPUTED_VALUE"""),"")</f>
        <v/>
      </c>
      <c r="G15372" s="42" t="str">
        <f>IFERROR(__xludf.DUMMYFUNCTION("""COMPUTED_VALUE"""),"")</f>
        <v/>
      </c>
      <c r="H15372" s="42">
        <f t="shared" si="1"/>
        <v>3345</v>
      </c>
    </row>
    <row r="15373" ht="22.5" customHeight="1">
      <c r="B15373" s="42" t="str">
        <f>IFERROR(__xludf.DUMMYFUNCTION("""COMPUTED_VALUE"""),"")</f>
        <v/>
      </c>
      <c r="C15373" s="42" t="str">
        <f>IFERROR(__xludf.DUMMYFUNCTION("""COMPUTED_VALUE"""),"")</f>
        <v/>
      </c>
      <c r="D15373" s="42"/>
      <c r="E15373" s="42"/>
      <c r="F15373" s="48" t="str">
        <f>IFERROR(__xludf.DUMMYFUNCTION("""COMPUTED_VALUE"""),"")</f>
        <v/>
      </c>
      <c r="G15373" s="42" t="str">
        <f>IFERROR(__xludf.DUMMYFUNCTION("""COMPUTED_VALUE"""),"")</f>
        <v/>
      </c>
      <c r="H15373" s="42">
        <f t="shared" si="1"/>
        <v>3345</v>
      </c>
    </row>
    <row r="15374" ht="22.5" customHeight="1">
      <c r="B15374" s="42" t="str">
        <f>IFERROR(__xludf.DUMMYFUNCTION("""COMPUTED_VALUE"""),"")</f>
        <v/>
      </c>
      <c r="C15374" s="42" t="str">
        <f>IFERROR(__xludf.DUMMYFUNCTION("""COMPUTED_VALUE"""),"")</f>
        <v/>
      </c>
      <c r="D15374" s="42"/>
      <c r="E15374" s="42"/>
      <c r="F15374" s="48" t="str">
        <f>IFERROR(__xludf.DUMMYFUNCTION("""COMPUTED_VALUE"""),"")</f>
        <v/>
      </c>
      <c r="G15374" s="42" t="str">
        <f>IFERROR(__xludf.DUMMYFUNCTION("""COMPUTED_VALUE"""),"")</f>
        <v/>
      </c>
      <c r="H15374" s="42">
        <f t="shared" si="1"/>
        <v>3345</v>
      </c>
    </row>
    <row r="15375" ht="22.5" customHeight="1">
      <c r="B15375" s="42" t="str">
        <f>IFERROR(__xludf.DUMMYFUNCTION("""COMPUTED_VALUE"""),"")</f>
        <v/>
      </c>
      <c r="C15375" s="42" t="str">
        <f>IFERROR(__xludf.DUMMYFUNCTION("""COMPUTED_VALUE"""),"")</f>
        <v/>
      </c>
      <c r="D15375" s="42"/>
      <c r="E15375" s="42"/>
      <c r="F15375" s="48" t="str">
        <f>IFERROR(__xludf.DUMMYFUNCTION("""COMPUTED_VALUE"""),"")</f>
        <v/>
      </c>
      <c r="G15375" s="42" t="str">
        <f>IFERROR(__xludf.DUMMYFUNCTION("""COMPUTED_VALUE"""),"")</f>
        <v/>
      </c>
      <c r="H15375" s="42">
        <f t="shared" si="1"/>
        <v>3345</v>
      </c>
    </row>
    <row r="15376" ht="22.5" customHeight="1">
      <c r="B15376" s="42" t="str">
        <f>IFERROR(__xludf.DUMMYFUNCTION("""COMPUTED_VALUE"""),"")</f>
        <v/>
      </c>
      <c r="C15376" s="42" t="str">
        <f>IFERROR(__xludf.DUMMYFUNCTION("""COMPUTED_VALUE"""),"")</f>
        <v/>
      </c>
      <c r="D15376" s="42"/>
      <c r="E15376" s="42"/>
      <c r="F15376" s="48" t="str">
        <f>IFERROR(__xludf.DUMMYFUNCTION("""COMPUTED_VALUE"""),"")</f>
        <v/>
      </c>
      <c r="G15376" s="42" t="str">
        <f>IFERROR(__xludf.DUMMYFUNCTION("""COMPUTED_VALUE"""),"")</f>
        <v/>
      </c>
      <c r="H15376" s="42">
        <f t="shared" si="1"/>
        <v>3345</v>
      </c>
    </row>
    <row r="15377" ht="22.5" customHeight="1">
      <c r="B15377" s="42" t="str">
        <f>IFERROR(__xludf.DUMMYFUNCTION("""COMPUTED_VALUE"""),"")</f>
        <v/>
      </c>
      <c r="C15377" s="42" t="str">
        <f>IFERROR(__xludf.DUMMYFUNCTION("""COMPUTED_VALUE"""),"")</f>
        <v/>
      </c>
      <c r="D15377" s="42"/>
      <c r="E15377" s="42"/>
      <c r="F15377" s="48" t="str">
        <f>IFERROR(__xludf.DUMMYFUNCTION("""COMPUTED_VALUE"""),"")</f>
        <v/>
      </c>
      <c r="G15377" s="42" t="str">
        <f>IFERROR(__xludf.DUMMYFUNCTION("""COMPUTED_VALUE"""),"")</f>
        <v/>
      </c>
      <c r="H15377" s="42">
        <f t="shared" si="1"/>
        <v>3345</v>
      </c>
    </row>
    <row r="15378" ht="22.5" customHeight="1">
      <c r="B15378" s="42" t="str">
        <f>IFERROR(__xludf.DUMMYFUNCTION("""COMPUTED_VALUE"""),"")</f>
        <v/>
      </c>
      <c r="C15378" s="42" t="str">
        <f>IFERROR(__xludf.DUMMYFUNCTION("""COMPUTED_VALUE"""),"")</f>
        <v/>
      </c>
      <c r="D15378" s="42"/>
      <c r="E15378" s="42"/>
      <c r="F15378" s="48" t="str">
        <f>IFERROR(__xludf.DUMMYFUNCTION("""COMPUTED_VALUE"""),"")</f>
        <v/>
      </c>
      <c r="G15378" s="42" t="str">
        <f>IFERROR(__xludf.DUMMYFUNCTION("""COMPUTED_VALUE"""),"")</f>
        <v/>
      </c>
      <c r="H15378" s="42">
        <f t="shared" si="1"/>
        <v>3345</v>
      </c>
    </row>
    <row r="15379" ht="22.5" customHeight="1">
      <c r="B15379" s="42" t="str">
        <f>IFERROR(__xludf.DUMMYFUNCTION("""COMPUTED_VALUE"""),"")</f>
        <v/>
      </c>
      <c r="C15379" s="42" t="str">
        <f>IFERROR(__xludf.DUMMYFUNCTION("""COMPUTED_VALUE"""),"")</f>
        <v/>
      </c>
      <c r="D15379" s="42"/>
      <c r="E15379" s="42"/>
      <c r="F15379" s="48" t="str">
        <f>IFERROR(__xludf.DUMMYFUNCTION("""COMPUTED_VALUE"""),"")</f>
        <v/>
      </c>
      <c r="G15379" s="42" t="str">
        <f>IFERROR(__xludf.DUMMYFUNCTION("""COMPUTED_VALUE"""),"")</f>
        <v/>
      </c>
      <c r="H15379" s="42">
        <f t="shared" si="1"/>
        <v>3345</v>
      </c>
    </row>
    <row r="15380" ht="22.5" customHeight="1">
      <c r="B15380" s="42" t="str">
        <f>IFERROR(__xludf.DUMMYFUNCTION("""COMPUTED_VALUE"""),"")</f>
        <v/>
      </c>
      <c r="C15380" s="42" t="str">
        <f>IFERROR(__xludf.DUMMYFUNCTION("""COMPUTED_VALUE"""),"")</f>
        <v/>
      </c>
      <c r="D15380" s="42"/>
      <c r="E15380" s="42"/>
      <c r="F15380" s="48" t="str">
        <f>IFERROR(__xludf.DUMMYFUNCTION("""COMPUTED_VALUE"""),"")</f>
        <v/>
      </c>
      <c r="G15380" s="42" t="str">
        <f>IFERROR(__xludf.DUMMYFUNCTION("""COMPUTED_VALUE"""),"")</f>
        <v/>
      </c>
      <c r="H15380" s="42">
        <f t="shared" si="1"/>
        <v>3345</v>
      </c>
    </row>
    <row r="15381" ht="22.5" customHeight="1">
      <c r="B15381" s="42" t="str">
        <f>IFERROR(__xludf.DUMMYFUNCTION("""COMPUTED_VALUE"""),"")</f>
        <v/>
      </c>
      <c r="C15381" s="42" t="str">
        <f>IFERROR(__xludf.DUMMYFUNCTION("""COMPUTED_VALUE"""),"")</f>
        <v/>
      </c>
      <c r="D15381" s="42"/>
      <c r="E15381" s="42"/>
      <c r="F15381" s="48" t="str">
        <f>IFERROR(__xludf.DUMMYFUNCTION("""COMPUTED_VALUE"""),"")</f>
        <v/>
      </c>
      <c r="G15381" s="42" t="str">
        <f>IFERROR(__xludf.DUMMYFUNCTION("""COMPUTED_VALUE"""),"")</f>
        <v/>
      </c>
      <c r="H15381" s="42">
        <f t="shared" si="1"/>
        <v>3345</v>
      </c>
    </row>
    <row r="15382" ht="22.5" customHeight="1">
      <c r="B15382" s="42" t="str">
        <f>IFERROR(__xludf.DUMMYFUNCTION("""COMPUTED_VALUE"""),"")</f>
        <v/>
      </c>
      <c r="C15382" s="42" t="str">
        <f>IFERROR(__xludf.DUMMYFUNCTION("""COMPUTED_VALUE"""),"")</f>
        <v/>
      </c>
      <c r="D15382" s="42"/>
      <c r="E15382" s="42"/>
      <c r="F15382" s="48" t="str">
        <f>IFERROR(__xludf.DUMMYFUNCTION("""COMPUTED_VALUE"""),"")</f>
        <v/>
      </c>
      <c r="G15382" s="42" t="str">
        <f>IFERROR(__xludf.DUMMYFUNCTION("""COMPUTED_VALUE"""),"")</f>
        <v/>
      </c>
      <c r="H15382" s="42">
        <f t="shared" si="1"/>
        <v>3345</v>
      </c>
    </row>
    <row r="15383" ht="22.5" customHeight="1">
      <c r="B15383" s="42" t="str">
        <f>IFERROR(__xludf.DUMMYFUNCTION("""COMPUTED_VALUE"""),"")</f>
        <v/>
      </c>
      <c r="C15383" s="42" t="str">
        <f>IFERROR(__xludf.DUMMYFUNCTION("""COMPUTED_VALUE"""),"")</f>
        <v/>
      </c>
      <c r="D15383" s="42"/>
      <c r="E15383" s="42"/>
      <c r="F15383" s="48" t="str">
        <f>IFERROR(__xludf.DUMMYFUNCTION("""COMPUTED_VALUE"""),"")</f>
        <v/>
      </c>
      <c r="G15383" s="42" t="str">
        <f>IFERROR(__xludf.DUMMYFUNCTION("""COMPUTED_VALUE"""),"")</f>
        <v/>
      </c>
      <c r="H15383" s="42">
        <f t="shared" si="1"/>
        <v>3345</v>
      </c>
    </row>
    <row r="15384" ht="22.5" customHeight="1">
      <c r="B15384" s="42" t="str">
        <f>IFERROR(__xludf.DUMMYFUNCTION("""COMPUTED_VALUE"""),"")</f>
        <v/>
      </c>
      <c r="C15384" s="42" t="str">
        <f>IFERROR(__xludf.DUMMYFUNCTION("""COMPUTED_VALUE"""),"")</f>
        <v/>
      </c>
      <c r="D15384" s="42"/>
      <c r="E15384" s="42"/>
      <c r="F15384" s="48" t="str">
        <f>IFERROR(__xludf.DUMMYFUNCTION("""COMPUTED_VALUE"""),"")</f>
        <v/>
      </c>
      <c r="G15384" s="42" t="str">
        <f>IFERROR(__xludf.DUMMYFUNCTION("""COMPUTED_VALUE"""),"")</f>
        <v/>
      </c>
      <c r="H15384" s="42">
        <f t="shared" si="1"/>
        <v>3345</v>
      </c>
    </row>
    <row r="15385" ht="22.5" customHeight="1">
      <c r="B15385" s="42" t="str">
        <f>IFERROR(__xludf.DUMMYFUNCTION("""COMPUTED_VALUE"""),"")</f>
        <v/>
      </c>
      <c r="C15385" s="42" t="str">
        <f>IFERROR(__xludf.DUMMYFUNCTION("""COMPUTED_VALUE"""),"")</f>
        <v/>
      </c>
      <c r="D15385" s="42"/>
      <c r="E15385" s="42"/>
      <c r="F15385" s="48" t="str">
        <f>IFERROR(__xludf.DUMMYFUNCTION("""COMPUTED_VALUE"""),"")</f>
        <v/>
      </c>
      <c r="G15385" s="42" t="str">
        <f>IFERROR(__xludf.DUMMYFUNCTION("""COMPUTED_VALUE"""),"")</f>
        <v/>
      </c>
      <c r="H15385" s="42">
        <f t="shared" si="1"/>
        <v>3345</v>
      </c>
    </row>
    <row r="15386" ht="22.5" customHeight="1">
      <c r="B15386" s="42" t="str">
        <f>IFERROR(__xludf.DUMMYFUNCTION("""COMPUTED_VALUE"""),"")</f>
        <v/>
      </c>
      <c r="C15386" s="42" t="str">
        <f>IFERROR(__xludf.DUMMYFUNCTION("""COMPUTED_VALUE"""),"")</f>
        <v/>
      </c>
      <c r="D15386" s="42"/>
      <c r="E15386" s="42"/>
      <c r="F15386" s="48" t="str">
        <f>IFERROR(__xludf.DUMMYFUNCTION("""COMPUTED_VALUE"""),"")</f>
        <v/>
      </c>
      <c r="G15386" s="42" t="str">
        <f>IFERROR(__xludf.DUMMYFUNCTION("""COMPUTED_VALUE"""),"")</f>
        <v/>
      </c>
      <c r="H15386" s="42">
        <f t="shared" si="1"/>
        <v>3345</v>
      </c>
    </row>
    <row r="15387" ht="22.5" customHeight="1">
      <c r="B15387" s="42" t="str">
        <f>IFERROR(__xludf.DUMMYFUNCTION("""COMPUTED_VALUE"""),"")</f>
        <v/>
      </c>
      <c r="C15387" s="42" t="str">
        <f>IFERROR(__xludf.DUMMYFUNCTION("""COMPUTED_VALUE"""),"")</f>
        <v/>
      </c>
      <c r="D15387" s="42"/>
      <c r="E15387" s="42"/>
      <c r="F15387" s="48" t="str">
        <f>IFERROR(__xludf.DUMMYFUNCTION("""COMPUTED_VALUE"""),"")</f>
        <v/>
      </c>
      <c r="G15387" s="42" t="str">
        <f>IFERROR(__xludf.DUMMYFUNCTION("""COMPUTED_VALUE"""),"")</f>
        <v/>
      </c>
      <c r="H15387" s="42">
        <f t="shared" si="1"/>
        <v>3345</v>
      </c>
    </row>
    <row r="15388" ht="22.5" customHeight="1">
      <c r="B15388" s="42" t="str">
        <f>IFERROR(__xludf.DUMMYFUNCTION("""COMPUTED_VALUE"""),"")</f>
        <v/>
      </c>
      <c r="C15388" s="42" t="str">
        <f>IFERROR(__xludf.DUMMYFUNCTION("""COMPUTED_VALUE"""),"")</f>
        <v/>
      </c>
      <c r="D15388" s="42"/>
      <c r="E15388" s="42"/>
      <c r="F15388" s="48" t="str">
        <f>IFERROR(__xludf.DUMMYFUNCTION("""COMPUTED_VALUE"""),"")</f>
        <v/>
      </c>
      <c r="G15388" s="42" t="str">
        <f>IFERROR(__xludf.DUMMYFUNCTION("""COMPUTED_VALUE"""),"")</f>
        <v/>
      </c>
      <c r="H15388" s="42">
        <f t="shared" si="1"/>
        <v>3345</v>
      </c>
    </row>
    <row r="15389" ht="22.5" customHeight="1">
      <c r="B15389" s="42" t="str">
        <f>IFERROR(__xludf.DUMMYFUNCTION("""COMPUTED_VALUE"""),"")</f>
        <v/>
      </c>
      <c r="C15389" s="42" t="str">
        <f>IFERROR(__xludf.DUMMYFUNCTION("""COMPUTED_VALUE"""),"")</f>
        <v/>
      </c>
      <c r="D15389" s="42"/>
      <c r="E15389" s="42"/>
      <c r="F15389" s="48" t="str">
        <f>IFERROR(__xludf.DUMMYFUNCTION("""COMPUTED_VALUE"""),"")</f>
        <v/>
      </c>
      <c r="G15389" s="42" t="str">
        <f>IFERROR(__xludf.DUMMYFUNCTION("""COMPUTED_VALUE"""),"")</f>
        <v/>
      </c>
      <c r="H15389" s="42">
        <f t="shared" si="1"/>
        <v>3345</v>
      </c>
    </row>
    <row r="15390" ht="22.5" customHeight="1">
      <c r="B15390" s="42" t="str">
        <f>IFERROR(__xludf.DUMMYFUNCTION("""COMPUTED_VALUE"""),"")</f>
        <v/>
      </c>
      <c r="C15390" s="42" t="str">
        <f>IFERROR(__xludf.DUMMYFUNCTION("""COMPUTED_VALUE"""),"")</f>
        <v/>
      </c>
      <c r="D15390" s="42"/>
      <c r="E15390" s="42"/>
      <c r="F15390" s="48" t="str">
        <f>IFERROR(__xludf.DUMMYFUNCTION("""COMPUTED_VALUE"""),"")</f>
        <v/>
      </c>
      <c r="G15390" s="42" t="str">
        <f>IFERROR(__xludf.DUMMYFUNCTION("""COMPUTED_VALUE"""),"")</f>
        <v/>
      </c>
      <c r="H15390" s="42">
        <f t="shared" si="1"/>
        <v>3345</v>
      </c>
    </row>
    <row r="15391" ht="22.5" customHeight="1">
      <c r="B15391" s="42" t="str">
        <f>IFERROR(__xludf.DUMMYFUNCTION("""COMPUTED_VALUE"""),"")</f>
        <v/>
      </c>
      <c r="C15391" s="42" t="str">
        <f>IFERROR(__xludf.DUMMYFUNCTION("""COMPUTED_VALUE"""),"")</f>
        <v/>
      </c>
      <c r="D15391" s="42"/>
      <c r="E15391" s="42"/>
      <c r="F15391" s="48" t="str">
        <f>IFERROR(__xludf.DUMMYFUNCTION("""COMPUTED_VALUE"""),"")</f>
        <v/>
      </c>
      <c r="G15391" s="42" t="str">
        <f>IFERROR(__xludf.DUMMYFUNCTION("""COMPUTED_VALUE"""),"")</f>
        <v/>
      </c>
      <c r="H15391" s="42">
        <f t="shared" si="1"/>
        <v>3345</v>
      </c>
    </row>
    <row r="15392" ht="22.5" customHeight="1">
      <c r="B15392" s="42" t="str">
        <f>IFERROR(__xludf.DUMMYFUNCTION("""COMPUTED_VALUE"""),"")</f>
        <v/>
      </c>
      <c r="C15392" s="42" t="str">
        <f>IFERROR(__xludf.DUMMYFUNCTION("""COMPUTED_VALUE"""),"")</f>
        <v/>
      </c>
      <c r="D15392" s="42"/>
      <c r="E15392" s="42"/>
      <c r="F15392" s="48" t="str">
        <f>IFERROR(__xludf.DUMMYFUNCTION("""COMPUTED_VALUE"""),"")</f>
        <v/>
      </c>
      <c r="G15392" s="42" t="str">
        <f>IFERROR(__xludf.DUMMYFUNCTION("""COMPUTED_VALUE"""),"")</f>
        <v/>
      </c>
      <c r="H15392" s="42">
        <f t="shared" si="1"/>
        <v>3345</v>
      </c>
    </row>
    <row r="15393" ht="22.5" customHeight="1">
      <c r="B15393" s="42" t="str">
        <f>IFERROR(__xludf.DUMMYFUNCTION("""COMPUTED_VALUE"""),"")</f>
        <v/>
      </c>
      <c r="C15393" s="42" t="str">
        <f>IFERROR(__xludf.DUMMYFUNCTION("""COMPUTED_VALUE"""),"")</f>
        <v/>
      </c>
      <c r="D15393" s="42"/>
      <c r="E15393" s="42"/>
      <c r="F15393" s="48" t="str">
        <f>IFERROR(__xludf.DUMMYFUNCTION("""COMPUTED_VALUE"""),"")</f>
        <v/>
      </c>
      <c r="G15393" s="42" t="str">
        <f>IFERROR(__xludf.DUMMYFUNCTION("""COMPUTED_VALUE"""),"")</f>
        <v/>
      </c>
      <c r="H15393" s="42">
        <f t="shared" si="1"/>
        <v>3345</v>
      </c>
    </row>
    <row r="15394" ht="22.5" customHeight="1">
      <c r="B15394" s="42" t="str">
        <f>IFERROR(__xludf.DUMMYFUNCTION("""COMPUTED_VALUE"""),"")</f>
        <v/>
      </c>
      <c r="C15394" s="42" t="str">
        <f>IFERROR(__xludf.DUMMYFUNCTION("""COMPUTED_VALUE"""),"")</f>
        <v/>
      </c>
      <c r="D15394" s="42"/>
      <c r="E15394" s="42"/>
      <c r="F15394" s="48" t="str">
        <f>IFERROR(__xludf.DUMMYFUNCTION("""COMPUTED_VALUE"""),"")</f>
        <v/>
      </c>
      <c r="G15394" s="42" t="str">
        <f>IFERROR(__xludf.DUMMYFUNCTION("""COMPUTED_VALUE"""),"")</f>
        <v/>
      </c>
      <c r="H15394" s="42">
        <f t="shared" si="1"/>
        <v>3345</v>
      </c>
    </row>
    <row r="15395" ht="22.5" customHeight="1">
      <c r="B15395" s="42" t="str">
        <f>IFERROR(__xludf.DUMMYFUNCTION("""COMPUTED_VALUE"""),"")</f>
        <v/>
      </c>
      <c r="C15395" s="42" t="str">
        <f>IFERROR(__xludf.DUMMYFUNCTION("""COMPUTED_VALUE"""),"")</f>
        <v/>
      </c>
      <c r="D15395" s="42"/>
      <c r="E15395" s="42"/>
      <c r="F15395" s="48" t="str">
        <f>IFERROR(__xludf.DUMMYFUNCTION("""COMPUTED_VALUE"""),"")</f>
        <v/>
      </c>
      <c r="G15395" s="42" t="str">
        <f>IFERROR(__xludf.DUMMYFUNCTION("""COMPUTED_VALUE"""),"")</f>
        <v/>
      </c>
      <c r="H15395" s="42">
        <f t="shared" si="1"/>
        <v>3345</v>
      </c>
    </row>
    <row r="15396" ht="22.5" customHeight="1">
      <c r="B15396" s="42" t="str">
        <f>IFERROR(__xludf.DUMMYFUNCTION("""COMPUTED_VALUE"""),"")</f>
        <v/>
      </c>
      <c r="C15396" s="42" t="str">
        <f>IFERROR(__xludf.DUMMYFUNCTION("""COMPUTED_VALUE"""),"")</f>
        <v/>
      </c>
      <c r="D15396" s="42"/>
      <c r="E15396" s="42"/>
      <c r="F15396" s="48" t="str">
        <f>IFERROR(__xludf.DUMMYFUNCTION("""COMPUTED_VALUE"""),"")</f>
        <v/>
      </c>
      <c r="G15396" s="42" t="str">
        <f>IFERROR(__xludf.DUMMYFUNCTION("""COMPUTED_VALUE"""),"")</f>
        <v/>
      </c>
      <c r="H15396" s="42">
        <f t="shared" si="1"/>
        <v>3345</v>
      </c>
    </row>
    <row r="15397" ht="22.5" customHeight="1">
      <c r="B15397" s="42" t="str">
        <f>IFERROR(__xludf.DUMMYFUNCTION("""COMPUTED_VALUE"""),"")</f>
        <v/>
      </c>
      <c r="C15397" s="42" t="str">
        <f>IFERROR(__xludf.DUMMYFUNCTION("""COMPUTED_VALUE"""),"")</f>
        <v/>
      </c>
      <c r="D15397" s="42"/>
      <c r="E15397" s="42"/>
      <c r="F15397" s="48" t="str">
        <f>IFERROR(__xludf.DUMMYFUNCTION("""COMPUTED_VALUE"""),"")</f>
        <v/>
      </c>
      <c r="G15397" s="42" t="str">
        <f>IFERROR(__xludf.DUMMYFUNCTION("""COMPUTED_VALUE"""),"")</f>
        <v/>
      </c>
      <c r="H15397" s="42">
        <f t="shared" si="1"/>
        <v>3345</v>
      </c>
    </row>
    <row r="15398" ht="22.5" customHeight="1">
      <c r="B15398" s="42" t="str">
        <f>IFERROR(__xludf.DUMMYFUNCTION("""COMPUTED_VALUE"""),"")</f>
        <v/>
      </c>
      <c r="C15398" s="42" t="str">
        <f>IFERROR(__xludf.DUMMYFUNCTION("""COMPUTED_VALUE"""),"")</f>
        <v/>
      </c>
      <c r="D15398" s="42"/>
      <c r="E15398" s="42"/>
      <c r="F15398" s="48" t="str">
        <f>IFERROR(__xludf.DUMMYFUNCTION("""COMPUTED_VALUE"""),"")</f>
        <v/>
      </c>
      <c r="G15398" s="42" t="str">
        <f>IFERROR(__xludf.DUMMYFUNCTION("""COMPUTED_VALUE"""),"")</f>
        <v/>
      </c>
      <c r="H15398" s="42">
        <f t="shared" si="1"/>
        <v>3345</v>
      </c>
    </row>
    <row r="15399" ht="22.5" customHeight="1">
      <c r="B15399" s="42" t="str">
        <f>IFERROR(__xludf.DUMMYFUNCTION("""COMPUTED_VALUE"""),"")</f>
        <v/>
      </c>
      <c r="C15399" s="42" t="str">
        <f>IFERROR(__xludf.DUMMYFUNCTION("""COMPUTED_VALUE"""),"")</f>
        <v/>
      </c>
      <c r="D15399" s="42"/>
      <c r="E15399" s="42"/>
      <c r="F15399" s="48" t="str">
        <f>IFERROR(__xludf.DUMMYFUNCTION("""COMPUTED_VALUE"""),"")</f>
        <v/>
      </c>
      <c r="G15399" s="42" t="str">
        <f>IFERROR(__xludf.DUMMYFUNCTION("""COMPUTED_VALUE"""),"")</f>
        <v/>
      </c>
      <c r="H15399" s="42">
        <f t="shared" si="1"/>
        <v>3345</v>
      </c>
    </row>
    <row r="15400" ht="22.5" customHeight="1">
      <c r="B15400" s="42" t="str">
        <f>IFERROR(__xludf.DUMMYFUNCTION("""COMPUTED_VALUE"""),"")</f>
        <v/>
      </c>
      <c r="C15400" s="42" t="str">
        <f>IFERROR(__xludf.DUMMYFUNCTION("""COMPUTED_VALUE"""),"")</f>
        <v/>
      </c>
      <c r="D15400" s="42"/>
      <c r="E15400" s="42"/>
      <c r="F15400" s="48" t="str">
        <f>IFERROR(__xludf.DUMMYFUNCTION("""COMPUTED_VALUE"""),"")</f>
        <v/>
      </c>
      <c r="G15400" s="42" t="str">
        <f>IFERROR(__xludf.DUMMYFUNCTION("""COMPUTED_VALUE"""),"")</f>
        <v/>
      </c>
      <c r="H15400" s="42">
        <f t="shared" si="1"/>
        <v>3345</v>
      </c>
    </row>
    <row r="15401" ht="22.5" customHeight="1">
      <c r="B15401" s="42" t="str">
        <f>IFERROR(__xludf.DUMMYFUNCTION("""COMPUTED_VALUE"""),"")</f>
        <v/>
      </c>
      <c r="C15401" s="42" t="str">
        <f>IFERROR(__xludf.DUMMYFUNCTION("""COMPUTED_VALUE"""),"")</f>
        <v/>
      </c>
      <c r="D15401" s="42"/>
      <c r="E15401" s="42"/>
      <c r="F15401" s="48" t="str">
        <f>IFERROR(__xludf.DUMMYFUNCTION("""COMPUTED_VALUE"""),"")</f>
        <v/>
      </c>
      <c r="G15401" s="42" t="str">
        <f>IFERROR(__xludf.DUMMYFUNCTION("""COMPUTED_VALUE"""),"")</f>
        <v/>
      </c>
      <c r="H15401" s="42">
        <f t="shared" si="1"/>
        <v>3345</v>
      </c>
    </row>
    <row r="15402" ht="22.5" customHeight="1">
      <c r="B15402" s="42" t="str">
        <f>IFERROR(__xludf.DUMMYFUNCTION("""COMPUTED_VALUE"""),"")</f>
        <v/>
      </c>
      <c r="C15402" s="42" t="str">
        <f>IFERROR(__xludf.DUMMYFUNCTION("""COMPUTED_VALUE"""),"")</f>
        <v/>
      </c>
      <c r="D15402" s="42"/>
      <c r="E15402" s="42"/>
      <c r="F15402" s="48" t="str">
        <f>IFERROR(__xludf.DUMMYFUNCTION("""COMPUTED_VALUE"""),"")</f>
        <v/>
      </c>
      <c r="G15402" s="42" t="str">
        <f>IFERROR(__xludf.DUMMYFUNCTION("""COMPUTED_VALUE"""),"")</f>
        <v/>
      </c>
      <c r="H15402" s="42">
        <f t="shared" si="1"/>
        <v>3345</v>
      </c>
    </row>
    <row r="15403" ht="22.5" customHeight="1">
      <c r="B15403" s="42" t="str">
        <f>IFERROR(__xludf.DUMMYFUNCTION("""COMPUTED_VALUE"""),"")</f>
        <v/>
      </c>
      <c r="C15403" s="42" t="str">
        <f>IFERROR(__xludf.DUMMYFUNCTION("""COMPUTED_VALUE"""),"")</f>
        <v/>
      </c>
      <c r="D15403" s="42"/>
      <c r="E15403" s="42"/>
      <c r="F15403" s="48" t="str">
        <f>IFERROR(__xludf.DUMMYFUNCTION("""COMPUTED_VALUE"""),"")</f>
        <v/>
      </c>
      <c r="G15403" s="42" t="str">
        <f>IFERROR(__xludf.DUMMYFUNCTION("""COMPUTED_VALUE"""),"")</f>
        <v/>
      </c>
      <c r="H15403" s="42">
        <f t="shared" si="1"/>
        <v>3345</v>
      </c>
    </row>
    <row r="15404" ht="22.5" customHeight="1">
      <c r="B15404" s="42" t="str">
        <f>IFERROR(__xludf.DUMMYFUNCTION("""COMPUTED_VALUE"""),"")</f>
        <v/>
      </c>
      <c r="C15404" s="42" t="str">
        <f>IFERROR(__xludf.DUMMYFUNCTION("""COMPUTED_VALUE"""),"")</f>
        <v/>
      </c>
      <c r="D15404" s="42"/>
      <c r="E15404" s="42"/>
      <c r="F15404" s="48" t="str">
        <f>IFERROR(__xludf.DUMMYFUNCTION("""COMPUTED_VALUE"""),"")</f>
        <v/>
      </c>
      <c r="G15404" s="42" t="str">
        <f>IFERROR(__xludf.DUMMYFUNCTION("""COMPUTED_VALUE"""),"")</f>
        <v/>
      </c>
      <c r="H15404" s="42">
        <f t="shared" si="1"/>
        <v>3345</v>
      </c>
    </row>
    <row r="15405" ht="22.5" customHeight="1">
      <c r="B15405" s="42" t="str">
        <f>IFERROR(__xludf.DUMMYFUNCTION("""COMPUTED_VALUE"""),"")</f>
        <v/>
      </c>
      <c r="C15405" s="42" t="str">
        <f>IFERROR(__xludf.DUMMYFUNCTION("""COMPUTED_VALUE"""),"")</f>
        <v/>
      </c>
      <c r="D15405" s="42"/>
      <c r="E15405" s="42"/>
      <c r="F15405" s="48" t="str">
        <f>IFERROR(__xludf.DUMMYFUNCTION("""COMPUTED_VALUE"""),"")</f>
        <v/>
      </c>
      <c r="G15405" s="42" t="str">
        <f>IFERROR(__xludf.DUMMYFUNCTION("""COMPUTED_VALUE"""),"")</f>
        <v/>
      </c>
      <c r="H15405" s="42">
        <f t="shared" si="1"/>
        <v>3345</v>
      </c>
    </row>
    <row r="15406" ht="22.5" customHeight="1">
      <c r="B15406" s="42" t="str">
        <f>IFERROR(__xludf.DUMMYFUNCTION("""COMPUTED_VALUE"""),"")</f>
        <v/>
      </c>
      <c r="C15406" s="42" t="str">
        <f>IFERROR(__xludf.DUMMYFUNCTION("""COMPUTED_VALUE"""),"")</f>
        <v/>
      </c>
      <c r="D15406" s="42"/>
      <c r="E15406" s="42"/>
      <c r="F15406" s="48" t="str">
        <f>IFERROR(__xludf.DUMMYFUNCTION("""COMPUTED_VALUE"""),"")</f>
        <v/>
      </c>
      <c r="G15406" s="42" t="str">
        <f>IFERROR(__xludf.DUMMYFUNCTION("""COMPUTED_VALUE"""),"")</f>
        <v/>
      </c>
      <c r="H15406" s="42">
        <f t="shared" si="1"/>
        <v>3345</v>
      </c>
    </row>
    <row r="15407" ht="22.5" customHeight="1">
      <c r="B15407" s="42" t="str">
        <f>IFERROR(__xludf.DUMMYFUNCTION("""COMPUTED_VALUE"""),"")</f>
        <v/>
      </c>
      <c r="C15407" s="42" t="str">
        <f>IFERROR(__xludf.DUMMYFUNCTION("""COMPUTED_VALUE"""),"")</f>
        <v/>
      </c>
      <c r="D15407" s="42"/>
      <c r="E15407" s="42"/>
      <c r="F15407" s="48" t="str">
        <f>IFERROR(__xludf.DUMMYFUNCTION("""COMPUTED_VALUE"""),"")</f>
        <v/>
      </c>
      <c r="G15407" s="42" t="str">
        <f>IFERROR(__xludf.DUMMYFUNCTION("""COMPUTED_VALUE"""),"")</f>
        <v/>
      </c>
      <c r="H15407" s="42">
        <f t="shared" si="1"/>
        <v>3345</v>
      </c>
    </row>
    <row r="15408" ht="22.5" customHeight="1">
      <c r="B15408" s="42" t="str">
        <f>IFERROR(__xludf.DUMMYFUNCTION("""COMPUTED_VALUE"""),"")</f>
        <v/>
      </c>
      <c r="C15408" s="42" t="str">
        <f>IFERROR(__xludf.DUMMYFUNCTION("""COMPUTED_VALUE"""),"")</f>
        <v/>
      </c>
      <c r="D15408" s="42"/>
      <c r="E15408" s="42"/>
      <c r="F15408" s="48" t="str">
        <f>IFERROR(__xludf.DUMMYFUNCTION("""COMPUTED_VALUE"""),"")</f>
        <v/>
      </c>
      <c r="G15408" s="42" t="str">
        <f>IFERROR(__xludf.DUMMYFUNCTION("""COMPUTED_VALUE"""),"")</f>
        <v/>
      </c>
      <c r="H15408" s="42">
        <f t="shared" si="1"/>
        <v>3345</v>
      </c>
    </row>
    <row r="15409" ht="22.5" customHeight="1">
      <c r="B15409" s="42" t="str">
        <f>IFERROR(__xludf.DUMMYFUNCTION("""COMPUTED_VALUE"""),"")</f>
        <v/>
      </c>
      <c r="C15409" s="42" t="str">
        <f>IFERROR(__xludf.DUMMYFUNCTION("""COMPUTED_VALUE"""),"")</f>
        <v/>
      </c>
      <c r="D15409" s="42"/>
      <c r="E15409" s="42"/>
      <c r="F15409" s="48" t="str">
        <f>IFERROR(__xludf.DUMMYFUNCTION("""COMPUTED_VALUE"""),"")</f>
        <v/>
      </c>
      <c r="G15409" s="42" t="str">
        <f>IFERROR(__xludf.DUMMYFUNCTION("""COMPUTED_VALUE"""),"")</f>
        <v/>
      </c>
      <c r="H15409" s="42">
        <f t="shared" si="1"/>
        <v>3345</v>
      </c>
    </row>
    <row r="15410" ht="22.5" customHeight="1">
      <c r="B15410" s="42" t="str">
        <f>IFERROR(__xludf.DUMMYFUNCTION("""COMPUTED_VALUE"""),"")</f>
        <v/>
      </c>
      <c r="C15410" s="42" t="str">
        <f>IFERROR(__xludf.DUMMYFUNCTION("""COMPUTED_VALUE"""),"")</f>
        <v/>
      </c>
      <c r="D15410" s="42"/>
      <c r="E15410" s="42"/>
      <c r="F15410" s="48" t="str">
        <f>IFERROR(__xludf.DUMMYFUNCTION("""COMPUTED_VALUE"""),"")</f>
        <v/>
      </c>
      <c r="G15410" s="42" t="str">
        <f>IFERROR(__xludf.DUMMYFUNCTION("""COMPUTED_VALUE"""),"")</f>
        <v/>
      </c>
      <c r="H15410" s="42">
        <f t="shared" si="1"/>
        <v>3345</v>
      </c>
    </row>
    <row r="15411" ht="22.5" customHeight="1">
      <c r="B15411" s="42" t="str">
        <f>IFERROR(__xludf.DUMMYFUNCTION("""COMPUTED_VALUE"""),"")</f>
        <v/>
      </c>
      <c r="C15411" s="42" t="str">
        <f>IFERROR(__xludf.DUMMYFUNCTION("""COMPUTED_VALUE"""),"")</f>
        <v/>
      </c>
      <c r="D15411" s="42"/>
      <c r="E15411" s="42"/>
      <c r="F15411" s="48" t="str">
        <f>IFERROR(__xludf.DUMMYFUNCTION("""COMPUTED_VALUE"""),"")</f>
        <v/>
      </c>
      <c r="G15411" s="42" t="str">
        <f>IFERROR(__xludf.DUMMYFUNCTION("""COMPUTED_VALUE"""),"")</f>
        <v/>
      </c>
      <c r="H15411" s="42">
        <f t="shared" si="1"/>
        <v>3345</v>
      </c>
    </row>
    <row r="15412" ht="22.5" customHeight="1">
      <c r="B15412" s="42" t="str">
        <f>IFERROR(__xludf.DUMMYFUNCTION("""COMPUTED_VALUE"""),"")</f>
        <v/>
      </c>
      <c r="C15412" s="42" t="str">
        <f>IFERROR(__xludf.DUMMYFUNCTION("""COMPUTED_VALUE"""),"")</f>
        <v/>
      </c>
      <c r="D15412" s="42"/>
      <c r="E15412" s="42"/>
      <c r="F15412" s="48" t="str">
        <f>IFERROR(__xludf.DUMMYFUNCTION("""COMPUTED_VALUE"""),"")</f>
        <v/>
      </c>
      <c r="G15412" s="42" t="str">
        <f>IFERROR(__xludf.DUMMYFUNCTION("""COMPUTED_VALUE"""),"")</f>
        <v/>
      </c>
      <c r="H15412" s="42">
        <f t="shared" si="1"/>
        <v>3345</v>
      </c>
    </row>
    <row r="15413" ht="22.5" customHeight="1">
      <c r="B15413" s="42" t="str">
        <f>IFERROR(__xludf.DUMMYFUNCTION("""COMPUTED_VALUE"""),"")</f>
        <v/>
      </c>
      <c r="C15413" s="42" t="str">
        <f>IFERROR(__xludf.DUMMYFUNCTION("""COMPUTED_VALUE"""),"")</f>
        <v/>
      </c>
      <c r="D15413" s="42"/>
      <c r="E15413" s="42"/>
      <c r="F15413" s="48" t="str">
        <f>IFERROR(__xludf.DUMMYFUNCTION("""COMPUTED_VALUE"""),"")</f>
        <v/>
      </c>
      <c r="G15413" s="42" t="str">
        <f>IFERROR(__xludf.DUMMYFUNCTION("""COMPUTED_VALUE"""),"")</f>
        <v/>
      </c>
      <c r="H15413" s="42">
        <f t="shared" si="1"/>
        <v>3345</v>
      </c>
    </row>
    <row r="15414" ht="22.5" customHeight="1">
      <c r="B15414" s="42" t="str">
        <f>IFERROR(__xludf.DUMMYFUNCTION("""COMPUTED_VALUE"""),"")</f>
        <v/>
      </c>
      <c r="C15414" s="42" t="str">
        <f>IFERROR(__xludf.DUMMYFUNCTION("""COMPUTED_VALUE"""),"")</f>
        <v/>
      </c>
      <c r="D15414" s="42"/>
      <c r="E15414" s="42"/>
      <c r="F15414" s="48" t="str">
        <f>IFERROR(__xludf.DUMMYFUNCTION("""COMPUTED_VALUE"""),"")</f>
        <v/>
      </c>
      <c r="G15414" s="42" t="str">
        <f>IFERROR(__xludf.DUMMYFUNCTION("""COMPUTED_VALUE"""),"")</f>
        <v/>
      </c>
      <c r="H15414" s="42">
        <f t="shared" si="1"/>
        <v>3345</v>
      </c>
    </row>
    <row r="15415" ht="22.5" customHeight="1">
      <c r="B15415" s="42" t="str">
        <f>IFERROR(__xludf.DUMMYFUNCTION("""COMPUTED_VALUE"""),"")</f>
        <v/>
      </c>
      <c r="C15415" s="42" t="str">
        <f>IFERROR(__xludf.DUMMYFUNCTION("""COMPUTED_VALUE"""),"")</f>
        <v/>
      </c>
      <c r="D15415" s="42"/>
      <c r="E15415" s="42"/>
      <c r="F15415" s="48" t="str">
        <f>IFERROR(__xludf.DUMMYFUNCTION("""COMPUTED_VALUE"""),"")</f>
        <v/>
      </c>
      <c r="G15415" s="42" t="str">
        <f>IFERROR(__xludf.DUMMYFUNCTION("""COMPUTED_VALUE"""),"")</f>
        <v/>
      </c>
      <c r="H15415" s="42">
        <f t="shared" si="1"/>
        <v>3345</v>
      </c>
    </row>
    <row r="15416" ht="22.5" customHeight="1">
      <c r="B15416" s="42" t="str">
        <f>IFERROR(__xludf.DUMMYFUNCTION("""COMPUTED_VALUE"""),"")</f>
        <v/>
      </c>
      <c r="C15416" s="42" t="str">
        <f>IFERROR(__xludf.DUMMYFUNCTION("""COMPUTED_VALUE"""),"")</f>
        <v/>
      </c>
      <c r="D15416" s="42"/>
      <c r="E15416" s="42"/>
      <c r="F15416" s="48" t="str">
        <f>IFERROR(__xludf.DUMMYFUNCTION("""COMPUTED_VALUE"""),"")</f>
        <v/>
      </c>
      <c r="G15416" s="42" t="str">
        <f>IFERROR(__xludf.DUMMYFUNCTION("""COMPUTED_VALUE"""),"")</f>
        <v/>
      </c>
      <c r="H15416" s="42">
        <f t="shared" si="1"/>
        <v>3345</v>
      </c>
    </row>
    <row r="15417" ht="22.5" customHeight="1">
      <c r="B15417" s="42" t="str">
        <f>IFERROR(__xludf.DUMMYFUNCTION("""COMPUTED_VALUE"""),"")</f>
        <v/>
      </c>
      <c r="C15417" s="42" t="str">
        <f>IFERROR(__xludf.DUMMYFUNCTION("""COMPUTED_VALUE"""),"")</f>
        <v/>
      </c>
      <c r="D15417" s="42"/>
      <c r="E15417" s="42"/>
      <c r="F15417" s="48" t="str">
        <f>IFERROR(__xludf.DUMMYFUNCTION("""COMPUTED_VALUE"""),"")</f>
        <v/>
      </c>
      <c r="G15417" s="42" t="str">
        <f>IFERROR(__xludf.DUMMYFUNCTION("""COMPUTED_VALUE"""),"")</f>
        <v/>
      </c>
      <c r="H15417" s="42">
        <f t="shared" si="1"/>
        <v>3345</v>
      </c>
    </row>
    <row r="15418" ht="22.5" customHeight="1">
      <c r="B15418" s="42" t="str">
        <f>IFERROR(__xludf.DUMMYFUNCTION("""COMPUTED_VALUE"""),"")</f>
        <v/>
      </c>
      <c r="C15418" s="42" t="str">
        <f>IFERROR(__xludf.DUMMYFUNCTION("""COMPUTED_VALUE"""),"")</f>
        <v/>
      </c>
      <c r="D15418" s="42"/>
      <c r="E15418" s="42"/>
      <c r="F15418" s="48" t="str">
        <f>IFERROR(__xludf.DUMMYFUNCTION("""COMPUTED_VALUE"""),"")</f>
        <v/>
      </c>
      <c r="G15418" s="42" t="str">
        <f>IFERROR(__xludf.DUMMYFUNCTION("""COMPUTED_VALUE"""),"")</f>
        <v/>
      </c>
      <c r="H15418" s="42">
        <f t="shared" si="1"/>
        <v>3345</v>
      </c>
    </row>
    <row r="15419" ht="22.5" customHeight="1">
      <c r="B15419" s="42" t="str">
        <f>IFERROR(__xludf.DUMMYFUNCTION("""COMPUTED_VALUE"""),"")</f>
        <v/>
      </c>
      <c r="C15419" s="42" t="str">
        <f>IFERROR(__xludf.DUMMYFUNCTION("""COMPUTED_VALUE"""),"")</f>
        <v/>
      </c>
      <c r="D15419" s="42"/>
      <c r="E15419" s="42"/>
      <c r="F15419" s="48" t="str">
        <f>IFERROR(__xludf.DUMMYFUNCTION("""COMPUTED_VALUE"""),"")</f>
        <v/>
      </c>
      <c r="G15419" s="42" t="str">
        <f>IFERROR(__xludf.DUMMYFUNCTION("""COMPUTED_VALUE"""),"")</f>
        <v/>
      </c>
      <c r="H15419" s="42">
        <f t="shared" si="1"/>
        <v>3345</v>
      </c>
    </row>
    <row r="15420" ht="22.5" customHeight="1">
      <c r="B15420" s="42" t="str">
        <f>IFERROR(__xludf.DUMMYFUNCTION("""COMPUTED_VALUE"""),"")</f>
        <v/>
      </c>
      <c r="C15420" s="42" t="str">
        <f>IFERROR(__xludf.DUMMYFUNCTION("""COMPUTED_VALUE"""),"")</f>
        <v/>
      </c>
      <c r="D15420" s="42"/>
      <c r="E15420" s="42"/>
      <c r="F15420" s="48" t="str">
        <f>IFERROR(__xludf.DUMMYFUNCTION("""COMPUTED_VALUE"""),"")</f>
        <v/>
      </c>
      <c r="G15420" s="42" t="str">
        <f>IFERROR(__xludf.DUMMYFUNCTION("""COMPUTED_VALUE"""),"")</f>
        <v/>
      </c>
      <c r="H15420" s="42">
        <f t="shared" si="1"/>
        <v>3345</v>
      </c>
    </row>
    <row r="15421" ht="22.5" customHeight="1">
      <c r="B15421" s="42" t="str">
        <f>IFERROR(__xludf.DUMMYFUNCTION("""COMPUTED_VALUE"""),"")</f>
        <v/>
      </c>
      <c r="C15421" s="42" t="str">
        <f>IFERROR(__xludf.DUMMYFUNCTION("""COMPUTED_VALUE"""),"")</f>
        <v/>
      </c>
      <c r="D15421" s="42"/>
      <c r="E15421" s="42"/>
      <c r="F15421" s="48" t="str">
        <f>IFERROR(__xludf.DUMMYFUNCTION("""COMPUTED_VALUE"""),"")</f>
        <v/>
      </c>
      <c r="G15421" s="42" t="str">
        <f>IFERROR(__xludf.DUMMYFUNCTION("""COMPUTED_VALUE"""),"")</f>
        <v/>
      </c>
      <c r="H15421" s="42">
        <f t="shared" si="1"/>
        <v>3345</v>
      </c>
    </row>
    <row r="15422" ht="22.5" customHeight="1">
      <c r="B15422" s="42" t="str">
        <f>IFERROR(__xludf.DUMMYFUNCTION("""COMPUTED_VALUE"""),"")</f>
        <v/>
      </c>
      <c r="C15422" s="42" t="str">
        <f>IFERROR(__xludf.DUMMYFUNCTION("""COMPUTED_VALUE"""),"")</f>
        <v/>
      </c>
      <c r="D15422" s="42"/>
      <c r="E15422" s="42"/>
      <c r="F15422" s="48" t="str">
        <f>IFERROR(__xludf.DUMMYFUNCTION("""COMPUTED_VALUE"""),"")</f>
        <v/>
      </c>
      <c r="G15422" s="42" t="str">
        <f>IFERROR(__xludf.DUMMYFUNCTION("""COMPUTED_VALUE"""),"")</f>
        <v/>
      </c>
      <c r="H15422" s="42">
        <f t="shared" si="1"/>
        <v>3345</v>
      </c>
    </row>
    <row r="15423" ht="22.5" customHeight="1">
      <c r="B15423" s="42" t="str">
        <f>IFERROR(__xludf.DUMMYFUNCTION("""COMPUTED_VALUE"""),"")</f>
        <v/>
      </c>
      <c r="C15423" s="42" t="str">
        <f>IFERROR(__xludf.DUMMYFUNCTION("""COMPUTED_VALUE"""),"")</f>
        <v/>
      </c>
      <c r="D15423" s="42"/>
      <c r="E15423" s="42"/>
      <c r="F15423" s="48" t="str">
        <f>IFERROR(__xludf.DUMMYFUNCTION("""COMPUTED_VALUE"""),"")</f>
        <v/>
      </c>
      <c r="G15423" s="42" t="str">
        <f>IFERROR(__xludf.DUMMYFUNCTION("""COMPUTED_VALUE"""),"")</f>
        <v/>
      </c>
      <c r="H15423" s="42">
        <f t="shared" si="1"/>
        <v>3345</v>
      </c>
    </row>
    <row r="15424" ht="22.5" customHeight="1">
      <c r="B15424" s="42" t="str">
        <f>IFERROR(__xludf.DUMMYFUNCTION("""COMPUTED_VALUE"""),"")</f>
        <v/>
      </c>
      <c r="C15424" s="42" t="str">
        <f>IFERROR(__xludf.DUMMYFUNCTION("""COMPUTED_VALUE"""),"")</f>
        <v/>
      </c>
      <c r="D15424" s="42"/>
      <c r="E15424" s="42"/>
      <c r="F15424" s="48" t="str">
        <f>IFERROR(__xludf.DUMMYFUNCTION("""COMPUTED_VALUE"""),"")</f>
        <v/>
      </c>
      <c r="G15424" s="42" t="str">
        <f>IFERROR(__xludf.DUMMYFUNCTION("""COMPUTED_VALUE"""),"")</f>
        <v/>
      </c>
      <c r="H15424" s="42">
        <f t="shared" si="1"/>
        <v>3345</v>
      </c>
    </row>
    <row r="15425" ht="22.5" customHeight="1">
      <c r="B15425" s="42" t="str">
        <f>IFERROR(__xludf.DUMMYFUNCTION("""COMPUTED_VALUE"""),"")</f>
        <v/>
      </c>
      <c r="C15425" s="42" t="str">
        <f>IFERROR(__xludf.DUMMYFUNCTION("""COMPUTED_VALUE"""),"")</f>
        <v/>
      </c>
      <c r="D15425" s="42"/>
      <c r="E15425" s="42"/>
      <c r="F15425" s="48" t="str">
        <f>IFERROR(__xludf.DUMMYFUNCTION("""COMPUTED_VALUE"""),"")</f>
        <v/>
      </c>
      <c r="G15425" s="42" t="str">
        <f>IFERROR(__xludf.DUMMYFUNCTION("""COMPUTED_VALUE"""),"")</f>
        <v/>
      </c>
      <c r="H15425" s="42">
        <f t="shared" si="1"/>
        <v>3345</v>
      </c>
    </row>
    <row r="15426" ht="22.5" customHeight="1">
      <c r="B15426" s="42" t="str">
        <f>IFERROR(__xludf.DUMMYFUNCTION("""COMPUTED_VALUE"""),"")</f>
        <v/>
      </c>
      <c r="C15426" s="42" t="str">
        <f>IFERROR(__xludf.DUMMYFUNCTION("""COMPUTED_VALUE"""),"")</f>
        <v/>
      </c>
      <c r="D15426" s="42"/>
      <c r="E15426" s="42"/>
      <c r="F15426" s="48" t="str">
        <f>IFERROR(__xludf.DUMMYFUNCTION("""COMPUTED_VALUE"""),"")</f>
        <v/>
      </c>
      <c r="G15426" s="42" t="str">
        <f>IFERROR(__xludf.DUMMYFUNCTION("""COMPUTED_VALUE"""),"")</f>
        <v/>
      </c>
      <c r="H15426" s="42">
        <f t="shared" si="1"/>
        <v>3345</v>
      </c>
    </row>
    <row r="15427" ht="22.5" customHeight="1">
      <c r="B15427" s="42" t="str">
        <f>IFERROR(__xludf.DUMMYFUNCTION("""COMPUTED_VALUE"""),"")</f>
        <v/>
      </c>
      <c r="C15427" s="42" t="str">
        <f>IFERROR(__xludf.DUMMYFUNCTION("""COMPUTED_VALUE"""),"")</f>
        <v/>
      </c>
      <c r="D15427" s="42"/>
      <c r="E15427" s="42"/>
      <c r="F15427" s="48" t="str">
        <f>IFERROR(__xludf.DUMMYFUNCTION("""COMPUTED_VALUE"""),"")</f>
        <v/>
      </c>
      <c r="G15427" s="42" t="str">
        <f>IFERROR(__xludf.DUMMYFUNCTION("""COMPUTED_VALUE"""),"")</f>
        <v/>
      </c>
      <c r="H15427" s="42">
        <f t="shared" si="1"/>
        <v>3345</v>
      </c>
    </row>
    <row r="15428" ht="22.5" customHeight="1">
      <c r="B15428" s="42" t="str">
        <f>IFERROR(__xludf.DUMMYFUNCTION("""COMPUTED_VALUE"""),"")</f>
        <v/>
      </c>
      <c r="C15428" s="42" t="str">
        <f>IFERROR(__xludf.DUMMYFUNCTION("""COMPUTED_VALUE"""),"")</f>
        <v/>
      </c>
      <c r="D15428" s="42"/>
      <c r="E15428" s="42"/>
      <c r="F15428" s="48" t="str">
        <f>IFERROR(__xludf.DUMMYFUNCTION("""COMPUTED_VALUE"""),"")</f>
        <v/>
      </c>
      <c r="G15428" s="42" t="str">
        <f>IFERROR(__xludf.DUMMYFUNCTION("""COMPUTED_VALUE"""),"")</f>
        <v/>
      </c>
      <c r="H15428" s="42">
        <f t="shared" si="1"/>
        <v>3345</v>
      </c>
    </row>
    <row r="15429" ht="22.5" customHeight="1">
      <c r="B15429" s="42" t="str">
        <f>IFERROR(__xludf.DUMMYFUNCTION("""COMPUTED_VALUE"""),"")</f>
        <v/>
      </c>
      <c r="C15429" s="42" t="str">
        <f>IFERROR(__xludf.DUMMYFUNCTION("""COMPUTED_VALUE"""),"")</f>
        <v/>
      </c>
      <c r="D15429" s="42"/>
      <c r="E15429" s="42"/>
      <c r="F15429" s="48" t="str">
        <f>IFERROR(__xludf.DUMMYFUNCTION("""COMPUTED_VALUE"""),"")</f>
        <v/>
      </c>
      <c r="G15429" s="42" t="str">
        <f>IFERROR(__xludf.DUMMYFUNCTION("""COMPUTED_VALUE"""),"")</f>
        <v/>
      </c>
      <c r="H15429" s="42">
        <f t="shared" si="1"/>
        <v>3345</v>
      </c>
    </row>
    <row r="15430" ht="22.5" customHeight="1">
      <c r="B15430" s="42" t="str">
        <f>IFERROR(__xludf.DUMMYFUNCTION("""COMPUTED_VALUE"""),"")</f>
        <v/>
      </c>
      <c r="C15430" s="42" t="str">
        <f>IFERROR(__xludf.DUMMYFUNCTION("""COMPUTED_VALUE"""),"")</f>
        <v/>
      </c>
      <c r="D15430" s="42"/>
      <c r="E15430" s="42"/>
      <c r="F15430" s="48" t="str">
        <f>IFERROR(__xludf.DUMMYFUNCTION("""COMPUTED_VALUE"""),"")</f>
        <v/>
      </c>
      <c r="G15430" s="42" t="str">
        <f>IFERROR(__xludf.DUMMYFUNCTION("""COMPUTED_VALUE"""),"")</f>
        <v/>
      </c>
      <c r="H15430" s="42">
        <f t="shared" si="1"/>
        <v>3345</v>
      </c>
    </row>
    <row r="15431" ht="22.5" customHeight="1">
      <c r="B15431" s="42" t="str">
        <f>IFERROR(__xludf.DUMMYFUNCTION("""COMPUTED_VALUE"""),"")</f>
        <v/>
      </c>
      <c r="C15431" s="42" t="str">
        <f>IFERROR(__xludf.DUMMYFUNCTION("""COMPUTED_VALUE"""),"")</f>
        <v/>
      </c>
      <c r="D15431" s="42"/>
      <c r="E15431" s="42"/>
      <c r="F15431" s="48" t="str">
        <f>IFERROR(__xludf.DUMMYFUNCTION("""COMPUTED_VALUE"""),"")</f>
        <v/>
      </c>
      <c r="G15431" s="42" t="str">
        <f>IFERROR(__xludf.DUMMYFUNCTION("""COMPUTED_VALUE"""),"")</f>
        <v/>
      </c>
      <c r="H15431" s="42">
        <f t="shared" si="1"/>
        <v>3345</v>
      </c>
    </row>
    <row r="15432" ht="22.5" customHeight="1">
      <c r="B15432" s="42" t="str">
        <f>IFERROR(__xludf.DUMMYFUNCTION("""COMPUTED_VALUE"""),"")</f>
        <v/>
      </c>
      <c r="C15432" s="42" t="str">
        <f>IFERROR(__xludf.DUMMYFUNCTION("""COMPUTED_VALUE"""),"")</f>
        <v/>
      </c>
      <c r="D15432" s="42"/>
      <c r="E15432" s="42"/>
      <c r="F15432" s="48" t="str">
        <f>IFERROR(__xludf.DUMMYFUNCTION("""COMPUTED_VALUE"""),"")</f>
        <v/>
      </c>
      <c r="G15432" s="42" t="str">
        <f>IFERROR(__xludf.DUMMYFUNCTION("""COMPUTED_VALUE"""),"")</f>
        <v/>
      </c>
      <c r="H15432" s="42">
        <f t="shared" si="1"/>
        <v>3345</v>
      </c>
    </row>
    <row r="15433" ht="22.5" customHeight="1">
      <c r="B15433" s="42" t="str">
        <f>IFERROR(__xludf.DUMMYFUNCTION("""COMPUTED_VALUE"""),"")</f>
        <v/>
      </c>
      <c r="C15433" s="42" t="str">
        <f>IFERROR(__xludf.DUMMYFUNCTION("""COMPUTED_VALUE"""),"")</f>
        <v/>
      </c>
      <c r="D15433" s="42"/>
      <c r="E15433" s="42"/>
      <c r="F15433" s="48" t="str">
        <f>IFERROR(__xludf.DUMMYFUNCTION("""COMPUTED_VALUE"""),"")</f>
        <v/>
      </c>
      <c r="G15433" s="42" t="str">
        <f>IFERROR(__xludf.DUMMYFUNCTION("""COMPUTED_VALUE"""),"")</f>
        <v/>
      </c>
      <c r="H15433" s="42">
        <f t="shared" si="1"/>
        <v>3345</v>
      </c>
    </row>
    <row r="15434" ht="22.5" customHeight="1">
      <c r="B15434" s="42" t="str">
        <f>IFERROR(__xludf.DUMMYFUNCTION("""COMPUTED_VALUE"""),"")</f>
        <v/>
      </c>
      <c r="C15434" s="42" t="str">
        <f>IFERROR(__xludf.DUMMYFUNCTION("""COMPUTED_VALUE"""),"")</f>
        <v/>
      </c>
      <c r="D15434" s="42"/>
      <c r="E15434" s="42"/>
      <c r="F15434" s="48" t="str">
        <f>IFERROR(__xludf.DUMMYFUNCTION("""COMPUTED_VALUE"""),"")</f>
        <v/>
      </c>
      <c r="G15434" s="42" t="str">
        <f>IFERROR(__xludf.DUMMYFUNCTION("""COMPUTED_VALUE"""),"")</f>
        <v/>
      </c>
      <c r="H15434" s="42">
        <f t="shared" si="1"/>
        <v>3345</v>
      </c>
    </row>
    <row r="15435" ht="22.5" customHeight="1">
      <c r="B15435" s="42" t="str">
        <f>IFERROR(__xludf.DUMMYFUNCTION("""COMPUTED_VALUE"""),"")</f>
        <v/>
      </c>
      <c r="C15435" s="42" t="str">
        <f>IFERROR(__xludf.DUMMYFUNCTION("""COMPUTED_VALUE"""),"")</f>
        <v/>
      </c>
      <c r="D15435" s="42"/>
      <c r="E15435" s="42"/>
      <c r="F15435" s="48" t="str">
        <f>IFERROR(__xludf.DUMMYFUNCTION("""COMPUTED_VALUE"""),"")</f>
        <v/>
      </c>
      <c r="G15435" s="42" t="str">
        <f>IFERROR(__xludf.DUMMYFUNCTION("""COMPUTED_VALUE"""),"")</f>
        <v/>
      </c>
      <c r="H15435" s="42">
        <f t="shared" si="1"/>
        <v>3345</v>
      </c>
    </row>
    <row r="15436" ht="22.5" customHeight="1">
      <c r="B15436" s="42" t="str">
        <f>IFERROR(__xludf.DUMMYFUNCTION("""COMPUTED_VALUE"""),"")</f>
        <v/>
      </c>
      <c r="C15436" s="42" t="str">
        <f>IFERROR(__xludf.DUMMYFUNCTION("""COMPUTED_VALUE"""),"")</f>
        <v/>
      </c>
      <c r="D15436" s="42"/>
      <c r="E15436" s="42"/>
      <c r="F15436" s="48" t="str">
        <f>IFERROR(__xludf.DUMMYFUNCTION("""COMPUTED_VALUE"""),"")</f>
        <v/>
      </c>
      <c r="G15436" s="42" t="str">
        <f>IFERROR(__xludf.DUMMYFUNCTION("""COMPUTED_VALUE"""),"")</f>
        <v/>
      </c>
      <c r="H15436" s="42">
        <f t="shared" si="1"/>
        <v>3345</v>
      </c>
    </row>
    <row r="15437" ht="22.5" customHeight="1">
      <c r="B15437" s="42" t="str">
        <f>IFERROR(__xludf.DUMMYFUNCTION("""COMPUTED_VALUE"""),"")</f>
        <v/>
      </c>
      <c r="C15437" s="42" t="str">
        <f>IFERROR(__xludf.DUMMYFUNCTION("""COMPUTED_VALUE"""),"")</f>
        <v/>
      </c>
      <c r="D15437" s="42"/>
      <c r="E15437" s="42"/>
      <c r="F15437" s="48" t="str">
        <f>IFERROR(__xludf.DUMMYFUNCTION("""COMPUTED_VALUE"""),"")</f>
        <v/>
      </c>
      <c r="G15437" s="42" t="str">
        <f>IFERROR(__xludf.DUMMYFUNCTION("""COMPUTED_VALUE"""),"")</f>
        <v/>
      </c>
      <c r="H15437" s="42">
        <f t="shared" si="1"/>
        <v>3345</v>
      </c>
    </row>
    <row r="15438" ht="22.5" customHeight="1">
      <c r="B15438" s="42" t="str">
        <f>IFERROR(__xludf.DUMMYFUNCTION("""COMPUTED_VALUE"""),"")</f>
        <v/>
      </c>
      <c r="C15438" s="42" t="str">
        <f>IFERROR(__xludf.DUMMYFUNCTION("""COMPUTED_VALUE"""),"")</f>
        <v/>
      </c>
      <c r="D15438" s="42"/>
      <c r="E15438" s="42"/>
      <c r="F15438" s="48" t="str">
        <f>IFERROR(__xludf.DUMMYFUNCTION("""COMPUTED_VALUE"""),"")</f>
        <v/>
      </c>
      <c r="G15438" s="42" t="str">
        <f>IFERROR(__xludf.DUMMYFUNCTION("""COMPUTED_VALUE"""),"")</f>
        <v/>
      </c>
      <c r="H15438" s="42">
        <f t="shared" si="1"/>
        <v>3345</v>
      </c>
    </row>
    <row r="15439" ht="22.5" customHeight="1">
      <c r="B15439" s="42" t="str">
        <f>IFERROR(__xludf.DUMMYFUNCTION("""COMPUTED_VALUE"""),"")</f>
        <v/>
      </c>
      <c r="C15439" s="42" t="str">
        <f>IFERROR(__xludf.DUMMYFUNCTION("""COMPUTED_VALUE"""),"")</f>
        <v/>
      </c>
      <c r="D15439" s="42"/>
      <c r="E15439" s="42"/>
      <c r="F15439" s="48" t="str">
        <f>IFERROR(__xludf.DUMMYFUNCTION("""COMPUTED_VALUE"""),"")</f>
        <v/>
      </c>
      <c r="G15439" s="42" t="str">
        <f>IFERROR(__xludf.DUMMYFUNCTION("""COMPUTED_VALUE"""),"")</f>
        <v/>
      </c>
      <c r="H15439" s="42">
        <f t="shared" si="1"/>
        <v>3345</v>
      </c>
    </row>
    <row r="15440" ht="22.5" customHeight="1">
      <c r="B15440" s="42" t="str">
        <f>IFERROR(__xludf.DUMMYFUNCTION("""COMPUTED_VALUE"""),"")</f>
        <v/>
      </c>
      <c r="C15440" s="42" t="str">
        <f>IFERROR(__xludf.DUMMYFUNCTION("""COMPUTED_VALUE"""),"")</f>
        <v/>
      </c>
      <c r="D15440" s="42"/>
      <c r="E15440" s="42"/>
      <c r="F15440" s="48" t="str">
        <f>IFERROR(__xludf.DUMMYFUNCTION("""COMPUTED_VALUE"""),"")</f>
        <v/>
      </c>
      <c r="G15440" s="42" t="str">
        <f>IFERROR(__xludf.DUMMYFUNCTION("""COMPUTED_VALUE"""),"")</f>
        <v/>
      </c>
      <c r="H15440" s="42">
        <f t="shared" si="1"/>
        <v>3345</v>
      </c>
    </row>
    <row r="15441" ht="22.5" customHeight="1">
      <c r="B15441" s="42" t="str">
        <f>IFERROR(__xludf.DUMMYFUNCTION("""COMPUTED_VALUE"""),"")</f>
        <v/>
      </c>
      <c r="C15441" s="42" t="str">
        <f>IFERROR(__xludf.DUMMYFUNCTION("""COMPUTED_VALUE"""),"")</f>
        <v/>
      </c>
      <c r="D15441" s="42"/>
      <c r="E15441" s="42"/>
      <c r="F15441" s="48" t="str">
        <f>IFERROR(__xludf.DUMMYFUNCTION("""COMPUTED_VALUE"""),"")</f>
        <v/>
      </c>
      <c r="G15441" s="42" t="str">
        <f>IFERROR(__xludf.DUMMYFUNCTION("""COMPUTED_VALUE"""),"")</f>
        <v/>
      </c>
      <c r="H15441" s="42">
        <f t="shared" si="1"/>
        <v>3345</v>
      </c>
    </row>
    <row r="15442" ht="22.5" customHeight="1">
      <c r="B15442" s="42" t="str">
        <f>IFERROR(__xludf.DUMMYFUNCTION("""COMPUTED_VALUE"""),"")</f>
        <v/>
      </c>
      <c r="C15442" s="42" t="str">
        <f>IFERROR(__xludf.DUMMYFUNCTION("""COMPUTED_VALUE"""),"")</f>
        <v/>
      </c>
      <c r="D15442" s="42"/>
      <c r="E15442" s="42"/>
      <c r="F15442" s="48" t="str">
        <f>IFERROR(__xludf.DUMMYFUNCTION("""COMPUTED_VALUE"""),"")</f>
        <v/>
      </c>
      <c r="G15442" s="42" t="str">
        <f>IFERROR(__xludf.DUMMYFUNCTION("""COMPUTED_VALUE"""),"")</f>
        <v/>
      </c>
      <c r="H15442" s="42">
        <f t="shared" si="1"/>
        <v>3345</v>
      </c>
    </row>
    <row r="15443" ht="22.5" customHeight="1">
      <c r="B15443" s="42" t="str">
        <f>IFERROR(__xludf.DUMMYFUNCTION("""COMPUTED_VALUE"""),"")</f>
        <v/>
      </c>
      <c r="C15443" s="42" t="str">
        <f>IFERROR(__xludf.DUMMYFUNCTION("""COMPUTED_VALUE"""),"")</f>
        <v/>
      </c>
      <c r="D15443" s="42"/>
      <c r="E15443" s="42"/>
      <c r="F15443" s="48" t="str">
        <f>IFERROR(__xludf.DUMMYFUNCTION("""COMPUTED_VALUE"""),"")</f>
        <v/>
      </c>
      <c r="G15443" s="42" t="str">
        <f>IFERROR(__xludf.DUMMYFUNCTION("""COMPUTED_VALUE"""),"")</f>
        <v/>
      </c>
      <c r="H15443" s="42">
        <f t="shared" si="1"/>
        <v>3345</v>
      </c>
    </row>
    <row r="15444" ht="22.5" customHeight="1">
      <c r="B15444" s="42" t="str">
        <f>IFERROR(__xludf.DUMMYFUNCTION("""COMPUTED_VALUE"""),"")</f>
        <v/>
      </c>
      <c r="C15444" s="42" t="str">
        <f>IFERROR(__xludf.DUMMYFUNCTION("""COMPUTED_VALUE"""),"")</f>
        <v/>
      </c>
      <c r="D15444" s="42"/>
      <c r="E15444" s="42"/>
      <c r="F15444" s="48" t="str">
        <f>IFERROR(__xludf.DUMMYFUNCTION("""COMPUTED_VALUE"""),"")</f>
        <v/>
      </c>
      <c r="G15444" s="42" t="str">
        <f>IFERROR(__xludf.DUMMYFUNCTION("""COMPUTED_VALUE"""),"")</f>
        <v/>
      </c>
      <c r="H15444" s="42">
        <f t="shared" si="1"/>
        <v>3345</v>
      </c>
    </row>
    <row r="15445" ht="22.5" customHeight="1">
      <c r="B15445" s="42" t="str">
        <f>IFERROR(__xludf.DUMMYFUNCTION("""COMPUTED_VALUE"""),"")</f>
        <v/>
      </c>
      <c r="C15445" s="42" t="str">
        <f>IFERROR(__xludf.DUMMYFUNCTION("""COMPUTED_VALUE"""),"")</f>
        <v/>
      </c>
      <c r="D15445" s="42"/>
      <c r="E15445" s="42"/>
      <c r="F15445" s="48" t="str">
        <f>IFERROR(__xludf.DUMMYFUNCTION("""COMPUTED_VALUE"""),"")</f>
        <v/>
      </c>
      <c r="G15445" s="42" t="str">
        <f>IFERROR(__xludf.DUMMYFUNCTION("""COMPUTED_VALUE"""),"")</f>
        <v/>
      </c>
      <c r="H15445" s="42">
        <f t="shared" si="1"/>
        <v>3345</v>
      </c>
    </row>
    <row r="15446" ht="22.5" customHeight="1">
      <c r="B15446" s="42" t="str">
        <f>IFERROR(__xludf.DUMMYFUNCTION("""COMPUTED_VALUE"""),"")</f>
        <v/>
      </c>
      <c r="C15446" s="42" t="str">
        <f>IFERROR(__xludf.DUMMYFUNCTION("""COMPUTED_VALUE"""),"")</f>
        <v/>
      </c>
      <c r="D15446" s="42"/>
      <c r="E15446" s="42"/>
      <c r="F15446" s="48" t="str">
        <f>IFERROR(__xludf.DUMMYFUNCTION("""COMPUTED_VALUE"""),"")</f>
        <v/>
      </c>
      <c r="G15446" s="42" t="str">
        <f>IFERROR(__xludf.DUMMYFUNCTION("""COMPUTED_VALUE"""),"")</f>
        <v/>
      </c>
      <c r="H15446" s="42">
        <f t="shared" si="1"/>
        <v>3345</v>
      </c>
    </row>
    <row r="15447" ht="22.5" customHeight="1">
      <c r="B15447" s="42" t="str">
        <f>IFERROR(__xludf.DUMMYFUNCTION("""COMPUTED_VALUE"""),"")</f>
        <v/>
      </c>
      <c r="C15447" s="42" t="str">
        <f>IFERROR(__xludf.DUMMYFUNCTION("""COMPUTED_VALUE"""),"")</f>
        <v/>
      </c>
      <c r="D15447" s="42"/>
      <c r="E15447" s="42"/>
      <c r="F15447" s="48" t="str">
        <f>IFERROR(__xludf.DUMMYFUNCTION("""COMPUTED_VALUE"""),"")</f>
        <v/>
      </c>
      <c r="G15447" s="42" t="str">
        <f>IFERROR(__xludf.DUMMYFUNCTION("""COMPUTED_VALUE"""),"")</f>
        <v/>
      </c>
      <c r="H15447" s="42">
        <f t="shared" si="1"/>
        <v>3345</v>
      </c>
    </row>
    <row r="15448" ht="22.5" customHeight="1">
      <c r="B15448" s="42" t="str">
        <f>IFERROR(__xludf.DUMMYFUNCTION("""COMPUTED_VALUE"""),"")</f>
        <v/>
      </c>
      <c r="C15448" s="42" t="str">
        <f>IFERROR(__xludf.DUMMYFUNCTION("""COMPUTED_VALUE"""),"")</f>
        <v/>
      </c>
      <c r="D15448" s="42"/>
      <c r="E15448" s="42"/>
      <c r="F15448" s="48" t="str">
        <f>IFERROR(__xludf.DUMMYFUNCTION("""COMPUTED_VALUE"""),"")</f>
        <v/>
      </c>
      <c r="G15448" s="42" t="str">
        <f>IFERROR(__xludf.DUMMYFUNCTION("""COMPUTED_VALUE"""),"")</f>
        <v/>
      </c>
      <c r="H15448" s="42">
        <f t="shared" si="1"/>
        <v>3345</v>
      </c>
    </row>
    <row r="15449" ht="22.5" customHeight="1">
      <c r="B15449" s="42" t="str">
        <f>IFERROR(__xludf.DUMMYFUNCTION("""COMPUTED_VALUE"""),"")</f>
        <v/>
      </c>
      <c r="C15449" s="42" t="str">
        <f>IFERROR(__xludf.DUMMYFUNCTION("""COMPUTED_VALUE"""),"")</f>
        <v/>
      </c>
      <c r="D15449" s="42"/>
      <c r="E15449" s="42"/>
      <c r="F15449" s="48" t="str">
        <f>IFERROR(__xludf.DUMMYFUNCTION("""COMPUTED_VALUE"""),"")</f>
        <v/>
      </c>
      <c r="G15449" s="42" t="str">
        <f>IFERROR(__xludf.DUMMYFUNCTION("""COMPUTED_VALUE"""),"")</f>
        <v/>
      </c>
      <c r="H15449" s="42">
        <f t="shared" si="1"/>
        <v>3345</v>
      </c>
    </row>
    <row r="15450" ht="22.5" customHeight="1">
      <c r="B15450" s="42" t="str">
        <f>IFERROR(__xludf.DUMMYFUNCTION("""COMPUTED_VALUE"""),"")</f>
        <v/>
      </c>
      <c r="C15450" s="42" t="str">
        <f>IFERROR(__xludf.DUMMYFUNCTION("""COMPUTED_VALUE"""),"")</f>
        <v/>
      </c>
      <c r="D15450" s="42"/>
      <c r="E15450" s="42"/>
      <c r="F15450" s="48" t="str">
        <f>IFERROR(__xludf.DUMMYFUNCTION("""COMPUTED_VALUE"""),"")</f>
        <v/>
      </c>
      <c r="G15450" s="42" t="str">
        <f>IFERROR(__xludf.DUMMYFUNCTION("""COMPUTED_VALUE"""),"")</f>
        <v/>
      </c>
      <c r="H15450" s="42">
        <f t="shared" si="1"/>
        <v>3345</v>
      </c>
    </row>
    <row r="15451" ht="22.5" customHeight="1">
      <c r="B15451" s="42" t="str">
        <f>IFERROR(__xludf.DUMMYFUNCTION("""COMPUTED_VALUE"""),"")</f>
        <v/>
      </c>
      <c r="C15451" s="42" t="str">
        <f>IFERROR(__xludf.DUMMYFUNCTION("""COMPUTED_VALUE"""),"")</f>
        <v/>
      </c>
      <c r="D15451" s="42"/>
      <c r="E15451" s="42"/>
      <c r="F15451" s="48" t="str">
        <f>IFERROR(__xludf.DUMMYFUNCTION("""COMPUTED_VALUE"""),"")</f>
        <v/>
      </c>
      <c r="G15451" s="42" t="str">
        <f>IFERROR(__xludf.DUMMYFUNCTION("""COMPUTED_VALUE"""),"")</f>
        <v/>
      </c>
      <c r="H15451" s="42">
        <f t="shared" si="1"/>
        <v>3345</v>
      </c>
    </row>
    <row r="15452" ht="22.5" customHeight="1">
      <c r="B15452" s="42" t="str">
        <f>IFERROR(__xludf.DUMMYFUNCTION("""COMPUTED_VALUE"""),"")</f>
        <v/>
      </c>
      <c r="C15452" s="42" t="str">
        <f>IFERROR(__xludf.DUMMYFUNCTION("""COMPUTED_VALUE"""),"")</f>
        <v/>
      </c>
      <c r="D15452" s="42"/>
      <c r="E15452" s="42"/>
      <c r="F15452" s="48" t="str">
        <f>IFERROR(__xludf.DUMMYFUNCTION("""COMPUTED_VALUE"""),"")</f>
        <v/>
      </c>
      <c r="G15452" s="42" t="str">
        <f>IFERROR(__xludf.DUMMYFUNCTION("""COMPUTED_VALUE"""),"")</f>
        <v/>
      </c>
      <c r="H15452" s="42">
        <f t="shared" si="1"/>
        <v>3345</v>
      </c>
    </row>
    <row r="15453" ht="22.5" customHeight="1">
      <c r="B15453" s="42" t="str">
        <f>IFERROR(__xludf.DUMMYFUNCTION("""COMPUTED_VALUE"""),"")</f>
        <v/>
      </c>
      <c r="C15453" s="42" t="str">
        <f>IFERROR(__xludf.DUMMYFUNCTION("""COMPUTED_VALUE"""),"")</f>
        <v/>
      </c>
      <c r="D15453" s="42"/>
      <c r="E15453" s="42"/>
      <c r="F15453" s="48" t="str">
        <f>IFERROR(__xludf.DUMMYFUNCTION("""COMPUTED_VALUE"""),"")</f>
        <v/>
      </c>
      <c r="G15453" s="42" t="str">
        <f>IFERROR(__xludf.DUMMYFUNCTION("""COMPUTED_VALUE"""),"")</f>
        <v/>
      </c>
      <c r="H15453" s="42">
        <f t="shared" si="1"/>
        <v>3345</v>
      </c>
    </row>
    <row r="15454" ht="22.5" customHeight="1">
      <c r="B15454" s="42" t="str">
        <f>IFERROR(__xludf.DUMMYFUNCTION("""COMPUTED_VALUE"""),"")</f>
        <v/>
      </c>
      <c r="C15454" s="42" t="str">
        <f>IFERROR(__xludf.DUMMYFUNCTION("""COMPUTED_VALUE"""),"")</f>
        <v/>
      </c>
      <c r="D15454" s="42"/>
      <c r="E15454" s="42"/>
      <c r="F15454" s="48" t="str">
        <f>IFERROR(__xludf.DUMMYFUNCTION("""COMPUTED_VALUE"""),"")</f>
        <v/>
      </c>
      <c r="G15454" s="42" t="str">
        <f>IFERROR(__xludf.DUMMYFUNCTION("""COMPUTED_VALUE"""),"")</f>
        <v/>
      </c>
      <c r="H15454" s="42">
        <f t="shared" si="1"/>
        <v>3345</v>
      </c>
    </row>
    <row r="15455" ht="22.5" customHeight="1">
      <c r="B15455" s="42" t="str">
        <f>IFERROR(__xludf.DUMMYFUNCTION("""COMPUTED_VALUE"""),"")</f>
        <v/>
      </c>
      <c r="C15455" s="42" t="str">
        <f>IFERROR(__xludf.DUMMYFUNCTION("""COMPUTED_VALUE"""),"")</f>
        <v/>
      </c>
      <c r="D15455" s="42"/>
      <c r="E15455" s="42"/>
      <c r="F15455" s="48" t="str">
        <f>IFERROR(__xludf.DUMMYFUNCTION("""COMPUTED_VALUE"""),"")</f>
        <v/>
      </c>
      <c r="G15455" s="42" t="str">
        <f>IFERROR(__xludf.DUMMYFUNCTION("""COMPUTED_VALUE"""),"")</f>
        <v/>
      </c>
      <c r="H15455" s="42">
        <f t="shared" si="1"/>
        <v>3345</v>
      </c>
    </row>
    <row r="15456" ht="22.5" customHeight="1">
      <c r="B15456" s="42" t="str">
        <f>IFERROR(__xludf.DUMMYFUNCTION("""COMPUTED_VALUE"""),"")</f>
        <v/>
      </c>
      <c r="C15456" s="42" t="str">
        <f>IFERROR(__xludf.DUMMYFUNCTION("""COMPUTED_VALUE"""),"")</f>
        <v/>
      </c>
      <c r="D15456" s="42"/>
      <c r="E15456" s="42"/>
      <c r="F15456" s="48" t="str">
        <f>IFERROR(__xludf.DUMMYFUNCTION("""COMPUTED_VALUE"""),"")</f>
        <v/>
      </c>
      <c r="G15456" s="42" t="str">
        <f>IFERROR(__xludf.DUMMYFUNCTION("""COMPUTED_VALUE"""),"")</f>
        <v/>
      </c>
      <c r="H15456" s="42">
        <f t="shared" si="1"/>
        <v>3345</v>
      </c>
    </row>
    <row r="15457" ht="22.5" customHeight="1">
      <c r="B15457" s="42" t="str">
        <f>IFERROR(__xludf.DUMMYFUNCTION("""COMPUTED_VALUE"""),"")</f>
        <v/>
      </c>
      <c r="C15457" s="42" t="str">
        <f>IFERROR(__xludf.DUMMYFUNCTION("""COMPUTED_VALUE"""),"")</f>
        <v/>
      </c>
      <c r="D15457" s="42"/>
      <c r="E15457" s="42"/>
      <c r="F15457" s="48" t="str">
        <f>IFERROR(__xludf.DUMMYFUNCTION("""COMPUTED_VALUE"""),"")</f>
        <v/>
      </c>
      <c r="G15457" s="42" t="str">
        <f>IFERROR(__xludf.DUMMYFUNCTION("""COMPUTED_VALUE"""),"")</f>
        <v/>
      </c>
      <c r="H15457" s="42">
        <f t="shared" si="1"/>
        <v>3345</v>
      </c>
    </row>
    <row r="15458" ht="22.5" customHeight="1">
      <c r="B15458" s="42" t="str">
        <f>IFERROR(__xludf.DUMMYFUNCTION("""COMPUTED_VALUE"""),"")</f>
        <v/>
      </c>
      <c r="C15458" s="42" t="str">
        <f>IFERROR(__xludf.DUMMYFUNCTION("""COMPUTED_VALUE"""),"")</f>
        <v/>
      </c>
      <c r="D15458" s="42"/>
      <c r="E15458" s="42"/>
      <c r="F15458" s="48" t="str">
        <f>IFERROR(__xludf.DUMMYFUNCTION("""COMPUTED_VALUE"""),"")</f>
        <v/>
      </c>
      <c r="G15458" s="42" t="str">
        <f>IFERROR(__xludf.DUMMYFUNCTION("""COMPUTED_VALUE"""),"")</f>
        <v/>
      </c>
      <c r="H15458" s="42">
        <f t="shared" si="1"/>
        <v>3345</v>
      </c>
    </row>
    <row r="15459" ht="22.5" customHeight="1">
      <c r="B15459" s="42" t="str">
        <f>IFERROR(__xludf.DUMMYFUNCTION("""COMPUTED_VALUE"""),"")</f>
        <v/>
      </c>
      <c r="C15459" s="42" t="str">
        <f>IFERROR(__xludf.DUMMYFUNCTION("""COMPUTED_VALUE"""),"")</f>
        <v/>
      </c>
      <c r="D15459" s="42"/>
      <c r="E15459" s="42"/>
      <c r="F15459" s="48" t="str">
        <f>IFERROR(__xludf.DUMMYFUNCTION("""COMPUTED_VALUE"""),"")</f>
        <v/>
      </c>
      <c r="G15459" s="42" t="str">
        <f>IFERROR(__xludf.DUMMYFUNCTION("""COMPUTED_VALUE"""),"")</f>
        <v/>
      </c>
      <c r="H15459" s="42">
        <f t="shared" si="1"/>
        <v>3345</v>
      </c>
    </row>
    <row r="15460" ht="22.5" customHeight="1">
      <c r="B15460" s="42" t="str">
        <f>IFERROR(__xludf.DUMMYFUNCTION("""COMPUTED_VALUE"""),"")</f>
        <v/>
      </c>
      <c r="C15460" s="42" t="str">
        <f>IFERROR(__xludf.DUMMYFUNCTION("""COMPUTED_VALUE"""),"")</f>
        <v/>
      </c>
      <c r="D15460" s="42"/>
      <c r="E15460" s="42"/>
      <c r="F15460" s="48" t="str">
        <f>IFERROR(__xludf.DUMMYFUNCTION("""COMPUTED_VALUE"""),"")</f>
        <v/>
      </c>
      <c r="G15460" s="42" t="str">
        <f>IFERROR(__xludf.DUMMYFUNCTION("""COMPUTED_VALUE"""),"")</f>
        <v/>
      </c>
      <c r="H15460" s="42">
        <f t="shared" si="1"/>
        <v>3345</v>
      </c>
    </row>
    <row r="15461" ht="22.5" customHeight="1">
      <c r="B15461" s="42" t="str">
        <f>IFERROR(__xludf.DUMMYFUNCTION("""COMPUTED_VALUE"""),"")</f>
        <v/>
      </c>
      <c r="C15461" s="42" t="str">
        <f>IFERROR(__xludf.DUMMYFUNCTION("""COMPUTED_VALUE"""),"")</f>
        <v/>
      </c>
      <c r="D15461" s="42"/>
      <c r="E15461" s="42"/>
      <c r="F15461" s="48" t="str">
        <f>IFERROR(__xludf.DUMMYFUNCTION("""COMPUTED_VALUE"""),"")</f>
        <v/>
      </c>
      <c r="G15461" s="42" t="str">
        <f>IFERROR(__xludf.DUMMYFUNCTION("""COMPUTED_VALUE"""),"")</f>
        <v/>
      </c>
      <c r="H15461" s="42">
        <f t="shared" si="1"/>
        <v>3345</v>
      </c>
    </row>
    <row r="15462" ht="22.5" customHeight="1">
      <c r="B15462" s="42" t="str">
        <f>IFERROR(__xludf.DUMMYFUNCTION("""COMPUTED_VALUE"""),"")</f>
        <v/>
      </c>
      <c r="C15462" s="42" t="str">
        <f>IFERROR(__xludf.DUMMYFUNCTION("""COMPUTED_VALUE"""),"")</f>
        <v/>
      </c>
      <c r="D15462" s="42"/>
      <c r="E15462" s="42"/>
      <c r="F15462" s="48" t="str">
        <f>IFERROR(__xludf.DUMMYFUNCTION("""COMPUTED_VALUE"""),"")</f>
        <v/>
      </c>
      <c r="G15462" s="42" t="str">
        <f>IFERROR(__xludf.DUMMYFUNCTION("""COMPUTED_VALUE"""),"")</f>
        <v/>
      </c>
      <c r="H15462" s="42">
        <f t="shared" si="1"/>
        <v>3345</v>
      </c>
    </row>
    <row r="15463" ht="22.5" customHeight="1">
      <c r="B15463" s="42" t="str">
        <f>IFERROR(__xludf.DUMMYFUNCTION("""COMPUTED_VALUE"""),"")</f>
        <v/>
      </c>
      <c r="C15463" s="42" t="str">
        <f>IFERROR(__xludf.DUMMYFUNCTION("""COMPUTED_VALUE"""),"")</f>
        <v/>
      </c>
      <c r="D15463" s="42"/>
      <c r="E15463" s="42"/>
      <c r="F15463" s="48" t="str">
        <f>IFERROR(__xludf.DUMMYFUNCTION("""COMPUTED_VALUE"""),"")</f>
        <v/>
      </c>
      <c r="G15463" s="42" t="str">
        <f>IFERROR(__xludf.DUMMYFUNCTION("""COMPUTED_VALUE"""),"")</f>
        <v/>
      </c>
      <c r="H15463" s="42">
        <f t="shared" si="1"/>
        <v>3345</v>
      </c>
    </row>
    <row r="15464" ht="22.5" customHeight="1">
      <c r="B15464" s="42" t="str">
        <f>IFERROR(__xludf.DUMMYFUNCTION("""COMPUTED_VALUE"""),"")</f>
        <v/>
      </c>
      <c r="C15464" s="42" t="str">
        <f>IFERROR(__xludf.DUMMYFUNCTION("""COMPUTED_VALUE"""),"")</f>
        <v/>
      </c>
      <c r="D15464" s="42"/>
      <c r="E15464" s="42"/>
      <c r="F15464" s="48" t="str">
        <f>IFERROR(__xludf.DUMMYFUNCTION("""COMPUTED_VALUE"""),"")</f>
        <v/>
      </c>
      <c r="G15464" s="42" t="str">
        <f>IFERROR(__xludf.DUMMYFUNCTION("""COMPUTED_VALUE"""),"")</f>
        <v/>
      </c>
      <c r="H15464" s="42">
        <f t="shared" si="1"/>
        <v>3345</v>
      </c>
    </row>
    <row r="15465" ht="22.5" customHeight="1">
      <c r="B15465" s="42" t="str">
        <f>IFERROR(__xludf.DUMMYFUNCTION("""COMPUTED_VALUE"""),"")</f>
        <v/>
      </c>
      <c r="C15465" s="42" t="str">
        <f>IFERROR(__xludf.DUMMYFUNCTION("""COMPUTED_VALUE"""),"")</f>
        <v/>
      </c>
      <c r="D15465" s="42"/>
      <c r="E15465" s="42"/>
      <c r="F15465" s="48" t="str">
        <f>IFERROR(__xludf.DUMMYFUNCTION("""COMPUTED_VALUE"""),"")</f>
        <v/>
      </c>
      <c r="G15465" s="42" t="str">
        <f>IFERROR(__xludf.DUMMYFUNCTION("""COMPUTED_VALUE"""),"")</f>
        <v/>
      </c>
      <c r="H15465" s="42">
        <f t="shared" si="1"/>
        <v>3345</v>
      </c>
    </row>
    <row r="15466" ht="22.5" customHeight="1">
      <c r="B15466" s="42" t="str">
        <f>IFERROR(__xludf.DUMMYFUNCTION("""COMPUTED_VALUE"""),"")</f>
        <v/>
      </c>
      <c r="C15466" s="42" t="str">
        <f>IFERROR(__xludf.DUMMYFUNCTION("""COMPUTED_VALUE"""),"")</f>
        <v/>
      </c>
      <c r="D15466" s="42"/>
      <c r="E15466" s="42"/>
      <c r="F15466" s="48" t="str">
        <f>IFERROR(__xludf.DUMMYFUNCTION("""COMPUTED_VALUE"""),"")</f>
        <v/>
      </c>
      <c r="G15466" s="42" t="str">
        <f>IFERROR(__xludf.DUMMYFUNCTION("""COMPUTED_VALUE"""),"")</f>
        <v/>
      </c>
      <c r="H15466" s="42">
        <f t="shared" si="1"/>
        <v>3345</v>
      </c>
    </row>
    <row r="15467" ht="22.5" customHeight="1">
      <c r="B15467" s="42" t="str">
        <f>IFERROR(__xludf.DUMMYFUNCTION("""COMPUTED_VALUE"""),"")</f>
        <v/>
      </c>
      <c r="C15467" s="42" t="str">
        <f>IFERROR(__xludf.DUMMYFUNCTION("""COMPUTED_VALUE"""),"")</f>
        <v/>
      </c>
      <c r="D15467" s="42"/>
      <c r="E15467" s="42"/>
      <c r="F15467" s="48" t="str">
        <f>IFERROR(__xludf.DUMMYFUNCTION("""COMPUTED_VALUE"""),"")</f>
        <v/>
      </c>
      <c r="G15467" s="42" t="str">
        <f>IFERROR(__xludf.DUMMYFUNCTION("""COMPUTED_VALUE"""),"")</f>
        <v/>
      </c>
      <c r="H15467" s="42">
        <f t="shared" si="1"/>
        <v>3345</v>
      </c>
    </row>
    <row r="15468" ht="22.5" customHeight="1">
      <c r="B15468" s="42" t="str">
        <f>IFERROR(__xludf.DUMMYFUNCTION("""COMPUTED_VALUE"""),"")</f>
        <v/>
      </c>
      <c r="C15468" s="42" t="str">
        <f>IFERROR(__xludf.DUMMYFUNCTION("""COMPUTED_VALUE"""),"")</f>
        <v/>
      </c>
      <c r="D15468" s="42"/>
      <c r="E15468" s="42"/>
      <c r="F15468" s="48" t="str">
        <f>IFERROR(__xludf.DUMMYFUNCTION("""COMPUTED_VALUE"""),"")</f>
        <v/>
      </c>
      <c r="G15468" s="42" t="str">
        <f>IFERROR(__xludf.DUMMYFUNCTION("""COMPUTED_VALUE"""),"")</f>
        <v/>
      </c>
      <c r="H15468" s="42">
        <f t="shared" si="1"/>
        <v>3345</v>
      </c>
    </row>
    <row r="15469" ht="22.5" customHeight="1">
      <c r="B15469" s="42" t="str">
        <f>IFERROR(__xludf.DUMMYFUNCTION("""COMPUTED_VALUE"""),"")</f>
        <v/>
      </c>
      <c r="C15469" s="42" t="str">
        <f>IFERROR(__xludf.DUMMYFUNCTION("""COMPUTED_VALUE"""),"")</f>
        <v/>
      </c>
      <c r="D15469" s="42"/>
      <c r="E15469" s="42"/>
      <c r="F15469" s="48" t="str">
        <f>IFERROR(__xludf.DUMMYFUNCTION("""COMPUTED_VALUE"""),"")</f>
        <v/>
      </c>
      <c r="G15469" s="42" t="str">
        <f>IFERROR(__xludf.DUMMYFUNCTION("""COMPUTED_VALUE"""),"")</f>
        <v/>
      </c>
      <c r="H15469" s="42">
        <f t="shared" si="1"/>
        <v>3345</v>
      </c>
    </row>
    <row r="15470" ht="22.5" customHeight="1">
      <c r="B15470" s="42" t="str">
        <f>IFERROR(__xludf.DUMMYFUNCTION("""COMPUTED_VALUE"""),"")</f>
        <v/>
      </c>
      <c r="C15470" s="42" t="str">
        <f>IFERROR(__xludf.DUMMYFUNCTION("""COMPUTED_VALUE"""),"")</f>
        <v/>
      </c>
      <c r="D15470" s="42"/>
      <c r="E15470" s="42"/>
      <c r="F15470" s="48" t="str">
        <f>IFERROR(__xludf.DUMMYFUNCTION("""COMPUTED_VALUE"""),"")</f>
        <v/>
      </c>
      <c r="G15470" s="42" t="str">
        <f>IFERROR(__xludf.DUMMYFUNCTION("""COMPUTED_VALUE"""),"")</f>
        <v/>
      </c>
      <c r="H15470" s="42">
        <f t="shared" si="1"/>
        <v>3345</v>
      </c>
    </row>
    <row r="15471" ht="22.5" customHeight="1">
      <c r="B15471" s="42" t="str">
        <f>IFERROR(__xludf.DUMMYFUNCTION("""COMPUTED_VALUE"""),"")</f>
        <v/>
      </c>
      <c r="C15471" s="42" t="str">
        <f>IFERROR(__xludf.DUMMYFUNCTION("""COMPUTED_VALUE"""),"")</f>
        <v/>
      </c>
      <c r="D15471" s="42"/>
      <c r="E15471" s="42"/>
      <c r="F15471" s="48" t="str">
        <f>IFERROR(__xludf.DUMMYFUNCTION("""COMPUTED_VALUE"""),"")</f>
        <v/>
      </c>
      <c r="G15471" s="42" t="str">
        <f>IFERROR(__xludf.DUMMYFUNCTION("""COMPUTED_VALUE"""),"")</f>
        <v/>
      </c>
      <c r="H15471" s="42">
        <f t="shared" si="1"/>
        <v>3345</v>
      </c>
    </row>
    <row r="15472" ht="22.5" customHeight="1">
      <c r="B15472" s="42" t="str">
        <f>IFERROR(__xludf.DUMMYFUNCTION("""COMPUTED_VALUE"""),"")</f>
        <v/>
      </c>
      <c r="C15472" s="42" t="str">
        <f>IFERROR(__xludf.DUMMYFUNCTION("""COMPUTED_VALUE"""),"")</f>
        <v/>
      </c>
      <c r="D15472" s="42"/>
      <c r="E15472" s="42"/>
      <c r="F15472" s="48" t="str">
        <f>IFERROR(__xludf.DUMMYFUNCTION("""COMPUTED_VALUE"""),"")</f>
        <v/>
      </c>
      <c r="G15472" s="42" t="str">
        <f>IFERROR(__xludf.DUMMYFUNCTION("""COMPUTED_VALUE"""),"")</f>
        <v/>
      </c>
      <c r="H15472" s="42">
        <f t="shared" si="1"/>
        <v>3345</v>
      </c>
    </row>
    <row r="15473" ht="22.5" customHeight="1">
      <c r="B15473" s="42" t="str">
        <f>IFERROR(__xludf.DUMMYFUNCTION("""COMPUTED_VALUE"""),"")</f>
        <v/>
      </c>
      <c r="C15473" s="42" t="str">
        <f>IFERROR(__xludf.DUMMYFUNCTION("""COMPUTED_VALUE"""),"")</f>
        <v/>
      </c>
      <c r="D15473" s="42"/>
      <c r="E15473" s="42"/>
      <c r="F15473" s="48" t="str">
        <f>IFERROR(__xludf.DUMMYFUNCTION("""COMPUTED_VALUE"""),"")</f>
        <v/>
      </c>
      <c r="G15473" s="42" t="str">
        <f>IFERROR(__xludf.DUMMYFUNCTION("""COMPUTED_VALUE"""),"")</f>
        <v/>
      </c>
      <c r="H15473" s="42">
        <f t="shared" si="1"/>
        <v>3345</v>
      </c>
    </row>
    <row r="15474" ht="22.5" customHeight="1">
      <c r="B15474" s="42" t="str">
        <f>IFERROR(__xludf.DUMMYFUNCTION("""COMPUTED_VALUE"""),"")</f>
        <v/>
      </c>
      <c r="C15474" s="42" t="str">
        <f>IFERROR(__xludf.DUMMYFUNCTION("""COMPUTED_VALUE"""),"")</f>
        <v/>
      </c>
      <c r="D15474" s="42"/>
      <c r="E15474" s="42"/>
      <c r="F15474" s="48" t="str">
        <f>IFERROR(__xludf.DUMMYFUNCTION("""COMPUTED_VALUE"""),"")</f>
        <v/>
      </c>
      <c r="G15474" s="42" t="str">
        <f>IFERROR(__xludf.DUMMYFUNCTION("""COMPUTED_VALUE"""),"")</f>
        <v/>
      </c>
      <c r="H15474" s="42">
        <f t="shared" si="1"/>
        <v>3345</v>
      </c>
    </row>
    <row r="15475" ht="22.5" customHeight="1">
      <c r="B15475" s="42" t="str">
        <f>IFERROR(__xludf.DUMMYFUNCTION("""COMPUTED_VALUE"""),"")</f>
        <v/>
      </c>
      <c r="C15475" s="42" t="str">
        <f>IFERROR(__xludf.DUMMYFUNCTION("""COMPUTED_VALUE"""),"")</f>
        <v/>
      </c>
      <c r="D15475" s="42"/>
      <c r="E15475" s="42"/>
      <c r="F15475" s="48" t="str">
        <f>IFERROR(__xludf.DUMMYFUNCTION("""COMPUTED_VALUE"""),"")</f>
        <v/>
      </c>
      <c r="G15475" s="42" t="str">
        <f>IFERROR(__xludf.DUMMYFUNCTION("""COMPUTED_VALUE"""),"")</f>
        <v/>
      </c>
      <c r="H15475" s="42">
        <f t="shared" si="1"/>
        <v>3345</v>
      </c>
    </row>
    <row r="15476" ht="22.5" customHeight="1">
      <c r="B15476" s="42" t="str">
        <f>IFERROR(__xludf.DUMMYFUNCTION("""COMPUTED_VALUE"""),"")</f>
        <v/>
      </c>
      <c r="C15476" s="42" t="str">
        <f>IFERROR(__xludf.DUMMYFUNCTION("""COMPUTED_VALUE"""),"")</f>
        <v/>
      </c>
      <c r="D15476" s="42"/>
      <c r="E15476" s="42"/>
      <c r="F15476" s="48" t="str">
        <f>IFERROR(__xludf.DUMMYFUNCTION("""COMPUTED_VALUE"""),"")</f>
        <v/>
      </c>
      <c r="G15476" s="42" t="str">
        <f>IFERROR(__xludf.DUMMYFUNCTION("""COMPUTED_VALUE"""),"")</f>
        <v/>
      </c>
      <c r="H15476" s="42">
        <f t="shared" si="1"/>
        <v>3345</v>
      </c>
    </row>
    <row r="15477" ht="22.5" customHeight="1">
      <c r="B15477" s="42" t="str">
        <f>IFERROR(__xludf.DUMMYFUNCTION("""COMPUTED_VALUE"""),"")</f>
        <v/>
      </c>
      <c r="C15477" s="42" t="str">
        <f>IFERROR(__xludf.DUMMYFUNCTION("""COMPUTED_VALUE"""),"")</f>
        <v/>
      </c>
      <c r="D15477" s="42"/>
      <c r="E15477" s="42"/>
      <c r="F15477" s="48" t="str">
        <f>IFERROR(__xludf.DUMMYFUNCTION("""COMPUTED_VALUE"""),"")</f>
        <v/>
      </c>
      <c r="G15477" s="42" t="str">
        <f>IFERROR(__xludf.DUMMYFUNCTION("""COMPUTED_VALUE"""),"")</f>
        <v/>
      </c>
      <c r="H15477" s="42">
        <f t="shared" si="1"/>
        <v>3345</v>
      </c>
    </row>
    <row r="15478" ht="22.5" customHeight="1">
      <c r="B15478" s="42" t="str">
        <f>IFERROR(__xludf.DUMMYFUNCTION("""COMPUTED_VALUE"""),"")</f>
        <v/>
      </c>
      <c r="C15478" s="42" t="str">
        <f>IFERROR(__xludf.DUMMYFUNCTION("""COMPUTED_VALUE"""),"")</f>
        <v/>
      </c>
      <c r="D15478" s="42"/>
      <c r="E15478" s="42"/>
      <c r="F15478" s="48" t="str">
        <f>IFERROR(__xludf.DUMMYFUNCTION("""COMPUTED_VALUE"""),"")</f>
        <v/>
      </c>
      <c r="G15478" s="42" t="str">
        <f>IFERROR(__xludf.DUMMYFUNCTION("""COMPUTED_VALUE"""),"")</f>
        <v/>
      </c>
      <c r="H15478" s="42">
        <f t="shared" si="1"/>
        <v>3345</v>
      </c>
    </row>
    <row r="15479" ht="22.5" customHeight="1">
      <c r="B15479" s="42" t="str">
        <f>IFERROR(__xludf.DUMMYFUNCTION("""COMPUTED_VALUE"""),"")</f>
        <v/>
      </c>
      <c r="C15479" s="42" t="str">
        <f>IFERROR(__xludf.DUMMYFUNCTION("""COMPUTED_VALUE"""),"")</f>
        <v/>
      </c>
      <c r="D15479" s="42"/>
      <c r="E15479" s="42"/>
      <c r="F15479" s="48" t="str">
        <f>IFERROR(__xludf.DUMMYFUNCTION("""COMPUTED_VALUE"""),"")</f>
        <v/>
      </c>
      <c r="G15479" s="42" t="str">
        <f>IFERROR(__xludf.DUMMYFUNCTION("""COMPUTED_VALUE"""),"")</f>
        <v/>
      </c>
      <c r="H15479" s="42">
        <f t="shared" si="1"/>
        <v>3345</v>
      </c>
    </row>
    <row r="15480" ht="22.5" customHeight="1">
      <c r="B15480" s="42" t="str">
        <f>IFERROR(__xludf.DUMMYFUNCTION("""COMPUTED_VALUE"""),"")</f>
        <v/>
      </c>
      <c r="C15480" s="42" t="str">
        <f>IFERROR(__xludf.DUMMYFUNCTION("""COMPUTED_VALUE"""),"")</f>
        <v/>
      </c>
      <c r="D15480" s="42"/>
      <c r="E15480" s="42"/>
      <c r="F15480" s="48" t="str">
        <f>IFERROR(__xludf.DUMMYFUNCTION("""COMPUTED_VALUE"""),"")</f>
        <v/>
      </c>
      <c r="G15480" s="42" t="str">
        <f>IFERROR(__xludf.DUMMYFUNCTION("""COMPUTED_VALUE"""),"")</f>
        <v/>
      </c>
      <c r="H15480" s="42">
        <f t="shared" si="1"/>
        <v>3345</v>
      </c>
    </row>
    <row r="15481" ht="22.5" customHeight="1">
      <c r="B15481" s="42" t="str">
        <f>IFERROR(__xludf.DUMMYFUNCTION("""COMPUTED_VALUE"""),"")</f>
        <v/>
      </c>
      <c r="C15481" s="42" t="str">
        <f>IFERROR(__xludf.DUMMYFUNCTION("""COMPUTED_VALUE"""),"")</f>
        <v/>
      </c>
      <c r="D15481" s="42"/>
      <c r="E15481" s="42"/>
      <c r="F15481" s="48" t="str">
        <f>IFERROR(__xludf.DUMMYFUNCTION("""COMPUTED_VALUE"""),"")</f>
        <v/>
      </c>
      <c r="G15481" s="42" t="str">
        <f>IFERROR(__xludf.DUMMYFUNCTION("""COMPUTED_VALUE"""),"")</f>
        <v/>
      </c>
      <c r="H15481" s="42">
        <f t="shared" si="1"/>
        <v>3345</v>
      </c>
    </row>
    <row r="15482" ht="22.5" customHeight="1">
      <c r="B15482" s="42" t="str">
        <f>IFERROR(__xludf.DUMMYFUNCTION("""COMPUTED_VALUE"""),"")</f>
        <v/>
      </c>
      <c r="C15482" s="42" t="str">
        <f>IFERROR(__xludf.DUMMYFUNCTION("""COMPUTED_VALUE"""),"")</f>
        <v/>
      </c>
      <c r="D15482" s="42"/>
      <c r="E15482" s="42"/>
      <c r="F15482" s="48" t="str">
        <f>IFERROR(__xludf.DUMMYFUNCTION("""COMPUTED_VALUE"""),"")</f>
        <v/>
      </c>
      <c r="G15482" s="42" t="str">
        <f>IFERROR(__xludf.DUMMYFUNCTION("""COMPUTED_VALUE"""),"")</f>
        <v/>
      </c>
      <c r="H15482" s="42">
        <f t="shared" si="1"/>
        <v>3345</v>
      </c>
    </row>
    <row r="15483" ht="22.5" customHeight="1">
      <c r="B15483" s="42" t="str">
        <f>IFERROR(__xludf.DUMMYFUNCTION("""COMPUTED_VALUE"""),"")</f>
        <v/>
      </c>
      <c r="C15483" s="42" t="str">
        <f>IFERROR(__xludf.DUMMYFUNCTION("""COMPUTED_VALUE"""),"")</f>
        <v/>
      </c>
      <c r="D15483" s="42"/>
      <c r="E15483" s="42"/>
      <c r="F15483" s="48" t="str">
        <f>IFERROR(__xludf.DUMMYFUNCTION("""COMPUTED_VALUE"""),"")</f>
        <v/>
      </c>
      <c r="G15483" s="42" t="str">
        <f>IFERROR(__xludf.DUMMYFUNCTION("""COMPUTED_VALUE"""),"")</f>
        <v/>
      </c>
      <c r="H15483" s="42">
        <f t="shared" si="1"/>
        <v>3345</v>
      </c>
    </row>
    <row r="15484" ht="22.5" customHeight="1">
      <c r="B15484" s="42" t="str">
        <f>IFERROR(__xludf.DUMMYFUNCTION("""COMPUTED_VALUE"""),"")</f>
        <v/>
      </c>
      <c r="C15484" s="42" t="str">
        <f>IFERROR(__xludf.DUMMYFUNCTION("""COMPUTED_VALUE"""),"")</f>
        <v/>
      </c>
      <c r="D15484" s="42"/>
      <c r="E15484" s="42"/>
      <c r="F15484" s="48" t="str">
        <f>IFERROR(__xludf.DUMMYFUNCTION("""COMPUTED_VALUE"""),"")</f>
        <v/>
      </c>
      <c r="G15484" s="42" t="str">
        <f>IFERROR(__xludf.DUMMYFUNCTION("""COMPUTED_VALUE"""),"")</f>
        <v/>
      </c>
      <c r="H15484" s="42">
        <f t="shared" si="1"/>
        <v>3345</v>
      </c>
    </row>
    <row r="15485" ht="22.5" customHeight="1">
      <c r="B15485" s="42" t="str">
        <f>IFERROR(__xludf.DUMMYFUNCTION("""COMPUTED_VALUE"""),"")</f>
        <v/>
      </c>
      <c r="C15485" s="42" t="str">
        <f>IFERROR(__xludf.DUMMYFUNCTION("""COMPUTED_VALUE"""),"")</f>
        <v/>
      </c>
      <c r="D15485" s="42"/>
      <c r="E15485" s="42"/>
      <c r="F15485" s="48" t="str">
        <f>IFERROR(__xludf.DUMMYFUNCTION("""COMPUTED_VALUE"""),"")</f>
        <v/>
      </c>
      <c r="G15485" s="42" t="str">
        <f>IFERROR(__xludf.DUMMYFUNCTION("""COMPUTED_VALUE"""),"")</f>
        <v/>
      </c>
      <c r="H15485" s="42">
        <f t="shared" si="1"/>
        <v>3345</v>
      </c>
    </row>
    <row r="15486" ht="22.5" customHeight="1">
      <c r="B15486" s="42" t="str">
        <f>IFERROR(__xludf.DUMMYFUNCTION("""COMPUTED_VALUE"""),"")</f>
        <v/>
      </c>
      <c r="C15486" s="42" t="str">
        <f>IFERROR(__xludf.DUMMYFUNCTION("""COMPUTED_VALUE"""),"")</f>
        <v/>
      </c>
      <c r="D15486" s="42"/>
      <c r="E15486" s="42"/>
      <c r="F15486" s="48" t="str">
        <f>IFERROR(__xludf.DUMMYFUNCTION("""COMPUTED_VALUE"""),"")</f>
        <v/>
      </c>
      <c r="G15486" s="42" t="str">
        <f>IFERROR(__xludf.DUMMYFUNCTION("""COMPUTED_VALUE"""),"")</f>
        <v/>
      </c>
      <c r="H15486" s="42">
        <f t="shared" si="1"/>
        <v>3345</v>
      </c>
    </row>
    <row r="15487" ht="22.5" customHeight="1">
      <c r="B15487" s="42" t="str">
        <f>IFERROR(__xludf.DUMMYFUNCTION("""COMPUTED_VALUE"""),"")</f>
        <v/>
      </c>
      <c r="C15487" s="42" t="str">
        <f>IFERROR(__xludf.DUMMYFUNCTION("""COMPUTED_VALUE"""),"")</f>
        <v/>
      </c>
      <c r="D15487" s="42"/>
      <c r="E15487" s="42"/>
      <c r="F15487" s="48" t="str">
        <f>IFERROR(__xludf.DUMMYFUNCTION("""COMPUTED_VALUE"""),"")</f>
        <v/>
      </c>
      <c r="G15487" s="42" t="str">
        <f>IFERROR(__xludf.DUMMYFUNCTION("""COMPUTED_VALUE"""),"")</f>
        <v/>
      </c>
      <c r="H15487" s="42">
        <f t="shared" si="1"/>
        <v>3345</v>
      </c>
    </row>
    <row r="15488" ht="22.5" customHeight="1">
      <c r="B15488" s="42" t="str">
        <f>IFERROR(__xludf.DUMMYFUNCTION("""COMPUTED_VALUE"""),"")</f>
        <v/>
      </c>
      <c r="C15488" s="42" t="str">
        <f>IFERROR(__xludf.DUMMYFUNCTION("""COMPUTED_VALUE"""),"")</f>
        <v/>
      </c>
      <c r="D15488" s="42"/>
      <c r="E15488" s="42"/>
      <c r="F15488" s="48" t="str">
        <f>IFERROR(__xludf.DUMMYFUNCTION("""COMPUTED_VALUE"""),"")</f>
        <v/>
      </c>
      <c r="G15488" s="42" t="str">
        <f>IFERROR(__xludf.DUMMYFUNCTION("""COMPUTED_VALUE"""),"")</f>
        <v/>
      </c>
      <c r="H15488" s="42">
        <f t="shared" si="1"/>
        <v>3345</v>
      </c>
    </row>
    <row r="15489" ht="22.5" customHeight="1">
      <c r="B15489" s="42" t="str">
        <f>IFERROR(__xludf.DUMMYFUNCTION("""COMPUTED_VALUE"""),"")</f>
        <v/>
      </c>
      <c r="C15489" s="42" t="str">
        <f>IFERROR(__xludf.DUMMYFUNCTION("""COMPUTED_VALUE"""),"")</f>
        <v/>
      </c>
      <c r="D15489" s="42"/>
      <c r="E15489" s="42"/>
      <c r="F15489" s="48" t="str">
        <f>IFERROR(__xludf.DUMMYFUNCTION("""COMPUTED_VALUE"""),"")</f>
        <v/>
      </c>
      <c r="G15489" s="42" t="str">
        <f>IFERROR(__xludf.DUMMYFUNCTION("""COMPUTED_VALUE"""),"")</f>
        <v/>
      </c>
      <c r="H15489" s="42">
        <f t="shared" si="1"/>
        <v>3345</v>
      </c>
    </row>
    <row r="15490" ht="22.5" customHeight="1">
      <c r="B15490" s="42" t="str">
        <f>IFERROR(__xludf.DUMMYFUNCTION("""COMPUTED_VALUE"""),"")</f>
        <v/>
      </c>
      <c r="C15490" s="42" t="str">
        <f>IFERROR(__xludf.DUMMYFUNCTION("""COMPUTED_VALUE"""),"")</f>
        <v/>
      </c>
      <c r="D15490" s="42"/>
      <c r="E15490" s="42"/>
      <c r="F15490" s="48" t="str">
        <f>IFERROR(__xludf.DUMMYFUNCTION("""COMPUTED_VALUE"""),"")</f>
        <v/>
      </c>
      <c r="G15490" s="42" t="str">
        <f>IFERROR(__xludf.DUMMYFUNCTION("""COMPUTED_VALUE"""),"")</f>
        <v/>
      </c>
      <c r="H15490" s="42">
        <f t="shared" si="1"/>
        <v>3345</v>
      </c>
    </row>
    <row r="15491" ht="22.5" customHeight="1">
      <c r="B15491" s="42" t="str">
        <f>IFERROR(__xludf.DUMMYFUNCTION("""COMPUTED_VALUE"""),"")</f>
        <v/>
      </c>
      <c r="C15491" s="42" t="str">
        <f>IFERROR(__xludf.DUMMYFUNCTION("""COMPUTED_VALUE"""),"")</f>
        <v/>
      </c>
      <c r="D15491" s="42"/>
      <c r="E15491" s="42"/>
      <c r="F15491" s="48" t="str">
        <f>IFERROR(__xludf.DUMMYFUNCTION("""COMPUTED_VALUE"""),"")</f>
        <v/>
      </c>
      <c r="G15491" s="42" t="str">
        <f>IFERROR(__xludf.DUMMYFUNCTION("""COMPUTED_VALUE"""),"")</f>
        <v/>
      </c>
      <c r="H15491" s="42">
        <f t="shared" si="1"/>
        <v>3345</v>
      </c>
    </row>
    <row r="15492" ht="22.5" customHeight="1">
      <c r="B15492" s="42" t="str">
        <f>IFERROR(__xludf.DUMMYFUNCTION("""COMPUTED_VALUE"""),"")</f>
        <v/>
      </c>
      <c r="C15492" s="42" t="str">
        <f>IFERROR(__xludf.DUMMYFUNCTION("""COMPUTED_VALUE"""),"")</f>
        <v/>
      </c>
      <c r="D15492" s="42"/>
      <c r="E15492" s="42"/>
      <c r="F15492" s="48" t="str">
        <f>IFERROR(__xludf.DUMMYFUNCTION("""COMPUTED_VALUE"""),"")</f>
        <v/>
      </c>
      <c r="G15492" s="42" t="str">
        <f>IFERROR(__xludf.DUMMYFUNCTION("""COMPUTED_VALUE"""),"")</f>
        <v/>
      </c>
      <c r="H15492" s="42">
        <f t="shared" si="1"/>
        <v>3345</v>
      </c>
    </row>
    <row r="15493" ht="22.5" customHeight="1">
      <c r="B15493" s="42" t="str">
        <f>IFERROR(__xludf.DUMMYFUNCTION("""COMPUTED_VALUE"""),"")</f>
        <v/>
      </c>
      <c r="C15493" s="42" t="str">
        <f>IFERROR(__xludf.DUMMYFUNCTION("""COMPUTED_VALUE"""),"")</f>
        <v/>
      </c>
      <c r="D15493" s="42"/>
      <c r="E15493" s="42"/>
      <c r="F15493" s="48" t="str">
        <f>IFERROR(__xludf.DUMMYFUNCTION("""COMPUTED_VALUE"""),"")</f>
        <v/>
      </c>
      <c r="G15493" s="42" t="str">
        <f>IFERROR(__xludf.DUMMYFUNCTION("""COMPUTED_VALUE"""),"")</f>
        <v/>
      </c>
      <c r="H15493" s="42">
        <f t="shared" si="1"/>
        <v>3345</v>
      </c>
    </row>
    <row r="15494" ht="22.5" customHeight="1">
      <c r="B15494" s="42" t="str">
        <f>IFERROR(__xludf.DUMMYFUNCTION("""COMPUTED_VALUE"""),"")</f>
        <v/>
      </c>
      <c r="C15494" s="42" t="str">
        <f>IFERROR(__xludf.DUMMYFUNCTION("""COMPUTED_VALUE"""),"")</f>
        <v/>
      </c>
      <c r="D15494" s="42"/>
      <c r="E15494" s="42"/>
      <c r="F15494" s="48" t="str">
        <f>IFERROR(__xludf.DUMMYFUNCTION("""COMPUTED_VALUE"""),"")</f>
        <v/>
      </c>
      <c r="G15494" s="42" t="str">
        <f>IFERROR(__xludf.DUMMYFUNCTION("""COMPUTED_VALUE"""),"")</f>
        <v/>
      </c>
      <c r="H15494" s="42">
        <f t="shared" si="1"/>
        <v>3345</v>
      </c>
    </row>
    <row r="15495" ht="22.5" customHeight="1">
      <c r="B15495" s="42" t="str">
        <f>IFERROR(__xludf.DUMMYFUNCTION("""COMPUTED_VALUE"""),"")</f>
        <v/>
      </c>
      <c r="C15495" s="42" t="str">
        <f>IFERROR(__xludf.DUMMYFUNCTION("""COMPUTED_VALUE"""),"")</f>
        <v/>
      </c>
      <c r="D15495" s="42"/>
      <c r="E15495" s="42"/>
      <c r="F15495" s="48" t="str">
        <f>IFERROR(__xludf.DUMMYFUNCTION("""COMPUTED_VALUE"""),"")</f>
        <v/>
      </c>
      <c r="G15495" s="42" t="str">
        <f>IFERROR(__xludf.DUMMYFUNCTION("""COMPUTED_VALUE"""),"")</f>
        <v/>
      </c>
      <c r="H15495" s="42">
        <f t="shared" si="1"/>
        <v>3345</v>
      </c>
    </row>
    <row r="15496" ht="22.5" customHeight="1">
      <c r="B15496" s="42" t="str">
        <f>IFERROR(__xludf.DUMMYFUNCTION("""COMPUTED_VALUE"""),"")</f>
        <v/>
      </c>
      <c r="C15496" s="42" t="str">
        <f>IFERROR(__xludf.DUMMYFUNCTION("""COMPUTED_VALUE"""),"")</f>
        <v/>
      </c>
      <c r="D15496" s="42"/>
      <c r="E15496" s="42"/>
      <c r="F15496" s="48" t="str">
        <f>IFERROR(__xludf.DUMMYFUNCTION("""COMPUTED_VALUE"""),"")</f>
        <v/>
      </c>
      <c r="G15496" s="42" t="str">
        <f>IFERROR(__xludf.DUMMYFUNCTION("""COMPUTED_VALUE"""),"")</f>
        <v/>
      </c>
      <c r="H15496" s="42">
        <f t="shared" si="1"/>
        <v>3345</v>
      </c>
    </row>
    <row r="15497" ht="22.5" customHeight="1">
      <c r="B15497" s="42" t="str">
        <f>IFERROR(__xludf.DUMMYFUNCTION("""COMPUTED_VALUE"""),"")</f>
        <v/>
      </c>
      <c r="C15497" s="42" t="str">
        <f>IFERROR(__xludf.DUMMYFUNCTION("""COMPUTED_VALUE"""),"")</f>
        <v/>
      </c>
      <c r="D15497" s="42"/>
      <c r="E15497" s="42"/>
      <c r="F15497" s="48" t="str">
        <f>IFERROR(__xludf.DUMMYFUNCTION("""COMPUTED_VALUE"""),"")</f>
        <v/>
      </c>
      <c r="G15497" s="42" t="str">
        <f>IFERROR(__xludf.DUMMYFUNCTION("""COMPUTED_VALUE"""),"")</f>
        <v/>
      </c>
      <c r="H15497" s="42">
        <f t="shared" si="1"/>
        <v>3345</v>
      </c>
    </row>
    <row r="15498" ht="22.5" customHeight="1">
      <c r="B15498" s="42" t="str">
        <f>IFERROR(__xludf.DUMMYFUNCTION("""COMPUTED_VALUE"""),"")</f>
        <v/>
      </c>
      <c r="C15498" s="42" t="str">
        <f>IFERROR(__xludf.DUMMYFUNCTION("""COMPUTED_VALUE"""),"")</f>
        <v/>
      </c>
      <c r="D15498" s="42"/>
      <c r="E15498" s="42"/>
      <c r="F15498" s="48" t="str">
        <f>IFERROR(__xludf.DUMMYFUNCTION("""COMPUTED_VALUE"""),"")</f>
        <v/>
      </c>
      <c r="G15498" s="42" t="str">
        <f>IFERROR(__xludf.DUMMYFUNCTION("""COMPUTED_VALUE"""),"")</f>
        <v/>
      </c>
      <c r="H15498" s="42">
        <f t="shared" si="1"/>
        <v>3345</v>
      </c>
    </row>
    <row r="15499" ht="22.5" customHeight="1">
      <c r="B15499" s="42" t="str">
        <f>IFERROR(__xludf.DUMMYFUNCTION("""COMPUTED_VALUE"""),"")</f>
        <v/>
      </c>
      <c r="C15499" s="42" t="str">
        <f>IFERROR(__xludf.DUMMYFUNCTION("""COMPUTED_VALUE"""),"")</f>
        <v/>
      </c>
      <c r="D15499" s="42"/>
      <c r="E15499" s="42"/>
      <c r="F15499" s="48" t="str">
        <f>IFERROR(__xludf.DUMMYFUNCTION("""COMPUTED_VALUE"""),"")</f>
        <v/>
      </c>
      <c r="G15499" s="42" t="str">
        <f>IFERROR(__xludf.DUMMYFUNCTION("""COMPUTED_VALUE"""),"")</f>
        <v/>
      </c>
      <c r="H15499" s="42">
        <f t="shared" si="1"/>
        <v>3345</v>
      </c>
    </row>
    <row r="15500" ht="22.5" customHeight="1">
      <c r="B15500" s="42" t="str">
        <f>IFERROR(__xludf.DUMMYFUNCTION("""COMPUTED_VALUE"""),"")</f>
        <v/>
      </c>
      <c r="C15500" s="42" t="str">
        <f>IFERROR(__xludf.DUMMYFUNCTION("""COMPUTED_VALUE"""),"")</f>
        <v/>
      </c>
      <c r="D15500" s="42"/>
      <c r="E15500" s="42"/>
      <c r="F15500" s="48" t="str">
        <f>IFERROR(__xludf.DUMMYFUNCTION("""COMPUTED_VALUE"""),"")</f>
        <v/>
      </c>
      <c r="G15500" s="42" t="str">
        <f>IFERROR(__xludf.DUMMYFUNCTION("""COMPUTED_VALUE"""),"")</f>
        <v/>
      </c>
      <c r="H15500" s="42">
        <f t="shared" si="1"/>
        <v>3345</v>
      </c>
    </row>
    <row r="15501" ht="22.5" customHeight="1">
      <c r="B15501" s="42" t="str">
        <f>IFERROR(__xludf.DUMMYFUNCTION("""COMPUTED_VALUE"""),"")</f>
        <v/>
      </c>
      <c r="C15501" s="42" t="str">
        <f>IFERROR(__xludf.DUMMYFUNCTION("""COMPUTED_VALUE"""),"")</f>
        <v/>
      </c>
      <c r="D15501" s="42"/>
      <c r="E15501" s="42"/>
      <c r="F15501" s="48" t="str">
        <f>IFERROR(__xludf.DUMMYFUNCTION("""COMPUTED_VALUE"""),"")</f>
        <v/>
      </c>
      <c r="G15501" s="42" t="str">
        <f>IFERROR(__xludf.DUMMYFUNCTION("""COMPUTED_VALUE"""),"")</f>
        <v/>
      </c>
      <c r="H15501" s="42">
        <f t="shared" si="1"/>
        <v>3345</v>
      </c>
    </row>
    <row r="15502" ht="22.5" customHeight="1">
      <c r="B15502" s="42" t="str">
        <f>IFERROR(__xludf.DUMMYFUNCTION("""COMPUTED_VALUE"""),"")</f>
        <v/>
      </c>
      <c r="C15502" s="42" t="str">
        <f>IFERROR(__xludf.DUMMYFUNCTION("""COMPUTED_VALUE"""),"")</f>
        <v/>
      </c>
      <c r="D15502" s="42"/>
      <c r="E15502" s="42"/>
      <c r="F15502" s="48" t="str">
        <f>IFERROR(__xludf.DUMMYFUNCTION("""COMPUTED_VALUE"""),"")</f>
        <v/>
      </c>
      <c r="G15502" s="42" t="str">
        <f>IFERROR(__xludf.DUMMYFUNCTION("""COMPUTED_VALUE"""),"")</f>
        <v/>
      </c>
      <c r="H15502" s="42">
        <f t="shared" si="1"/>
        <v>3345</v>
      </c>
    </row>
    <row r="15503" ht="22.5" customHeight="1">
      <c r="B15503" s="42" t="str">
        <f>IFERROR(__xludf.DUMMYFUNCTION("""COMPUTED_VALUE"""),"")</f>
        <v/>
      </c>
      <c r="C15503" s="42" t="str">
        <f>IFERROR(__xludf.DUMMYFUNCTION("""COMPUTED_VALUE"""),"")</f>
        <v/>
      </c>
      <c r="D15503" s="42"/>
      <c r="E15503" s="42"/>
      <c r="F15503" s="48" t="str">
        <f>IFERROR(__xludf.DUMMYFUNCTION("""COMPUTED_VALUE"""),"")</f>
        <v/>
      </c>
      <c r="G15503" s="42" t="str">
        <f>IFERROR(__xludf.DUMMYFUNCTION("""COMPUTED_VALUE"""),"")</f>
        <v/>
      </c>
      <c r="H15503" s="42">
        <f t="shared" si="1"/>
        <v>3345</v>
      </c>
    </row>
    <row r="15504" ht="22.5" customHeight="1">
      <c r="B15504" s="42" t="str">
        <f>IFERROR(__xludf.DUMMYFUNCTION("""COMPUTED_VALUE"""),"")</f>
        <v/>
      </c>
      <c r="C15504" s="42" t="str">
        <f>IFERROR(__xludf.DUMMYFUNCTION("""COMPUTED_VALUE"""),"")</f>
        <v/>
      </c>
      <c r="D15504" s="42"/>
      <c r="E15504" s="42"/>
      <c r="F15504" s="48" t="str">
        <f>IFERROR(__xludf.DUMMYFUNCTION("""COMPUTED_VALUE"""),"")</f>
        <v/>
      </c>
      <c r="G15504" s="42" t="str">
        <f>IFERROR(__xludf.DUMMYFUNCTION("""COMPUTED_VALUE"""),"")</f>
        <v/>
      </c>
      <c r="H15504" s="42">
        <f t="shared" si="1"/>
        <v>3345</v>
      </c>
    </row>
    <row r="15505" ht="22.5" customHeight="1">
      <c r="B15505" s="42" t="str">
        <f>IFERROR(__xludf.DUMMYFUNCTION("""COMPUTED_VALUE"""),"")</f>
        <v/>
      </c>
      <c r="C15505" s="42" t="str">
        <f>IFERROR(__xludf.DUMMYFUNCTION("""COMPUTED_VALUE"""),"")</f>
        <v/>
      </c>
      <c r="D15505" s="42"/>
      <c r="E15505" s="42"/>
      <c r="F15505" s="48" t="str">
        <f>IFERROR(__xludf.DUMMYFUNCTION("""COMPUTED_VALUE"""),"")</f>
        <v/>
      </c>
      <c r="G15505" s="42" t="str">
        <f>IFERROR(__xludf.DUMMYFUNCTION("""COMPUTED_VALUE"""),"")</f>
        <v/>
      </c>
      <c r="H15505" s="42">
        <f t="shared" si="1"/>
        <v>3345</v>
      </c>
    </row>
    <row r="15506" ht="22.5" customHeight="1">
      <c r="B15506" s="42" t="str">
        <f>IFERROR(__xludf.DUMMYFUNCTION("""COMPUTED_VALUE"""),"")</f>
        <v/>
      </c>
      <c r="C15506" s="42" t="str">
        <f>IFERROR(__xludf.DUMMYFUNCTION("""COMPUTED_VALUE"""),"")</f>
        <v/>
      </c>
      <c r="D15506" s="42"/>
      <c r="E15506" s="42"/>
      <c r="F15506" s="48" t="str">
        <f>IFERROR(__xludf.DUMMYFUNCTION("""COMPUTED_VALUE"""),"")</f>
        <v/>
      </c>
      <c r="G15506" s="42" t="str">
        <f>IFERROR(__xludf.DUMMYFUNCTION("""COMPUTED_VALUE"""),"")</f>
        <v/>
      </c>
      <c r="H15506" s="42">
        <f t="shared" si="1"/>
        <v>3345</v>
      </c>
    </row>
    <row r="15507" ht="22.5" customHeight="1">
      <c r="B15507" s="42" t="str">
        <f>IFERROR(__xludf.DUMMYFUNCTION("""COMPUTED_VALUE"""),"")</f>
        <v/>
      </c>
      <c r="C15507" s="42" t="str">
        <f>IFERROR(__xludf.DUMMYFUNCTION("""COMPUTED_VALUE"""),"")</f>
        <v/>
      </c>
      <c r="D15507" s="42"/>
      <c r="E15507" s="42"/>
      <c r="F15507" s="48" t="str">
        <f>IFERROR(__xludf.DUMMYFUNCTION("""COMPUTED_VALUE"""),"")</f>
        <v/>
      </c>
      <c r="G15507" s="42" t="str">
        <f>IFERROR(__xludf.DUMMYFUNCTION("""COMPUTED_VALUE"""),"")</f>
        <v/>
      </c>
      <c r="H15507" s="42">
        <f t="shared" si="1"/>
        <v>3345</v>
      </c>
    </row>
    <row r="15508" ht="22.5" customHeight="1">
      <c r="B15508" s="42" t="str">
        <f>IFERROR(__xludf.DUMMYFUNCTION("""COMPUTED_VALUE"""),"")</f>
        <v/>
      </c>
      <c r="C15508" s="42" t="str">
        <f>IFERROR(__xludf.DUMMYFUNCTION("""COMPUTED_VALUE"""),"")</f>
        <v/>
      </c>
      <c r="D15508" s="42"/>
      <c r="E15508" s="42"/>
      <c r="F15508" s="48" t="str">
        <f>IFERROR(__xludf.DUMMYFUNCTION("""COMPUTED_VALUE"""),"")</f>
        <v/>
      </c>
      <c r="G15508" s="42" t="str">
        <f>IFERROR(__xludf.DUMMYFUNCTION("""COMPUTED_VALUE"""),"")</f>
        <v/>
      </c>
      <c r="H15508" s="42">
        <f t="shared" si="1"/>
        <v>3345</v>
      </c>
    </row>
    <row r="15509" ht="22.5" customHeight="1">
      <c r="B15509" s="42" t="str">
        <f>IFERROR(__xludf.DUMMYFUNCTION("""COMPUTED_VALUE"""),"")</f>
        <v/>
      </c>
      <c r="C15509" s="42" t="str">
        <f>IFERROR(__xludf.DUMMYFUNCTION("""COMPUTED_VALUE"""),"")</f>
        <v/>
      </c>
      <c r="D15509" s="42"/>
      <c r="E15509" s="42"/>
      <c r="F15509" s="48" t="str">
        <f>IFERROR(__xludf.DUMMYFUNCTION("""COMPUTED_VALUE"""),"")</f>
        <v/>
      </c>
      <c r="G15509" s="42" t="str">
        <f>IFERROR(__xludf.DUMMYFUNCTION("""COMPUTED_VALUE"""),"")</f>
        <v/>
      </c>
      <c r="H15509" s="42">
        <f t="shared" si="1"/>
        <v>3345</v>
      </c>
    </row>
    <row r="15510" ht="22.5" customHeight="1">
      <c r="B15510" s="42" t="str">
        <f>IFERROR(__xludf.DUMMYFUNCTION("""COMPUTED_VALUE"""),"")</f>
        <v/>
      </c>
      <c r="C15510" s="42" t="str">
        <f>IFERROR(__xludf.DUMMYFUNCTION("""COMPUTED_VALUE"""),"")</f>
        <v/>
      </c>
      <c r="D15510" s="42"/>
      <c r="E15510" s="42"/>
      <c r="F15510" s="48" t="str">
        <f>IFERROR(__xludf.DUMMYFUNCTION("""COMPUTED_VALUE"""),"")</f>
        <v/>
      </c>
      <c r="G15510" s="42" t="str">
        <f>IFERROR(__xludf.DUMMYFUNCTION("""COMPUTED_VALUE"""),"")</f>
        <v/>
      </c>
      <c r="H15510" s="42">
        <f t="shared" si="1"/>
        <v>3345</v>
      </c>
    </row>
    <row r="15511" ht="22.5" customHeight="1">
      <c r="B15511" s="42" t="str">
        <f>IFERROR(__xludf.DUMMYFUNCTION("""COMPUTED_VALUE"""),"")</f>
        <v/>
      </c>
      <c r="C15511" s="42" t="str">
        <f>IFERROR(__xludf.DUMMYFUNCTION("""COMPUTED_VALUE"""),"")</f>
        <v/>
      </c>
      <c r="D15511" s="42"/>
      <c r="E15511" s="42"/>
      <c r="F15511" s="48" t="str">
        <f>IFERROR(__xludf.DUMMYFUNCTION("""COMPUTED_VALUE"""),"")</f>
        <v/>
      </c>
      <c r="G15511" s="42" t="str">
        <f>IFERROR(__xludf.DUMMYFUNCTION("""COMPUTED_VALUE"""),"")</f>
        <v/>
      </c>
      <c r="H15511" s="42">
        <f t="shared" si="1"/>
        <v>3345</v>
      </c>
    </row>
    <row r="15512" ht="22.5" customHeight="1">
      <c r="B15512" s="42" t="str">
        <f>IFERROR(__xludf.DUMMYFUNCTION("""COMPUTED_VALUE"""),"")</f>
        <v/>
      </c>
      <c r="C15512" s="42" t="str">
        <f>IFERROR(__xludf.DUMMYFUNCTION("""COMPUTED_VALUE"""),"")</f>
        <v/>
      </c>
      <c r="D15512" s="42"/>
      <c r="E15512" s="42"/>
      <c r="F15512" s="48" t="str">
        <f>IFERROR(__xludf.DUMMYFUNCTION("""COMPUTED_VALUE"""),"")</f>
        <v/>
      </c>
      <c r="G15512" s="42" t="str">
        <f>IFERROR(__xludf.DUMMYFUNCTION("""COMPUTED_VALUE"""),"")</f>
        <v/>
      </c>
      <c r="H15512" s="42">
        <f t="shared" si="1"/>
        <v>3345</v>
      </c>
    </row>
    <row r="15513" ht="22.5" customHeight="1">
      <c r="B15513" s="42" t="str">
        <f>IFERROR(__xludf.DUMMYFUNCTION("""COMPUTED_VALUE"""),"")</f>
        <v/>
      </c>
      <c r="C15513" s="42" t="str">
        <f>IFERROR(__xludf.DUMMYFUNCTION("""COMPUTED_VALUE"""),"")</f>
        <v/>
      </c>
      <c r="D15513" s="42"/>
      <c r="E15513" s="42"/>
      <c r="F15513" s="48" t="str">
        <f>IFERROR(__xludf.DUMMYFUNCTION("""COMPUTED_VALUE"""),"")</f>
        <v/>
      </c>
      <c r="G15513" s="42" t="str">
        <f>IFERROR(__xludf.DUMMYFUNCTION("""COMPUTED_VALUE"""),"")</f>
        <v/>
      </c>
      <c r="H15513" s="42">
        <f t="shared" si="1"/>
        <v>3345</v>
      </c>
    </row>
    <row r="15514" ht="22.5" customHeight="1">
      <c r="B15514" s="42" t="str">
        <f>IFERROR(__xludf.DUMMYFUNCTION("""COMPUTED_VALUE"""),"")</f>
        <v/>
      </c>
      <c r="C15514" s="42" t="str">
        <f>IFERROR(__xludf.DUMMYFUNCTION("""COMPUTED_VALUE"""),"")</f>
        <v/>
      </c>
      <c r="D15514" s="42"/>
      <c r="E15514" s="42"/>
      <c r="F15514" s="48" t="str">
        <f>IFERROR(__xludf.DUMMYFUNCTION("""COMPUTED_VALUE"""),"")</f>
        <v/>
      </c>
      <c r="G15514" s="42" t="str">
        <f>IFERROR(__xludf.DUMMYFUNCTION("""COMPUTED_VALUE"""),"")</f>
        <v/>
      </c>
      <c r="H15514" s="42">
        <f t="shared" si="1"/>
        <v>3345</v>
      </c>
    </row>
    <row r="15515" ht="22.5" customHeight="1">
      <c r="B15515" s="42" t="str">
        <f>IFERROR(__xludf.DUMMYFUNCTION("""COMPUTED_VALUE"""),"")</f>
        <v/>
      </c>
      <c r="C15515" s="42" t="str">
        <f>IFERROR(__xludf.DUMMYFUNCTION("""COMPUTED_VALUE"""),"")</f>
        <v/>
      </c>
      <c r="D15515" s="42"/>
      <c r="E15515" s="42"/>
      <c r="F15515" s="48" t="str">
        <f>IFERROR(__xludf.DUMMYFUNCTION("""COMPUTED_VALUE"""),"")</f>
        <v/>
      </c>
      <c r="G15515" s="42" t="str">
        <f>IFERROR(__xludf.DUMMYFUNCTION("""COMPUTED_VALUE"""),"")</f>
        <v/>
      </c>
      <c r="H15515" s="42">
        <f t="shared" si="1"/>
        <v>3345</v>
      </c>
    </row>
    <row r="15516" ht="22.5" customHeight="1">
      <c r="B15516" s="42" t="str">
        <f>IFERROR(__xludf.DUMMYFUNCTION("""COMPUTED_VALUE"""),"")</f>
        <v/>
      </c>
      <c r="C15516" s="42" t="str">
        <f>IFERROR(__xludf.DUMMYFUNCTION("""COMPUTED_VALUE"""),"")</f>
        <v/>
      </c>
      <c r="D15516" s="42"/>
      <c r="E15516" s="42"/>
      <c r="F15516" s="48" t="str">
        <f>IFERROR(__xludf.DUMMYFUNCTION("""COMPUTED_VALUE"""),"")</f>
        <v/>
      </c>
      <c r="G15516" s="42" t="str">
        <f>IFERROR(__xludf.DUMMYFUNCTION("""COMPUTED_VALUE"""),"")</f>
        <v/>
      </c>
      <c r="H15516" s="42">
        <f t="shared" si="1"/>
        <v>3345</v>
      </c>
    </row>
    <row r="15517" ht="22.5" customHeight="1">
      <c r="B15517" s="42" t="str">
        <f>IFERROR(__xludf.DUMMYFUNCTION("""COMPUTED_VALUE"""),"")</f>
        <v/>
      </c>
      <c r="C15517" s="42" t="str">
        <f>IFERROR(__xludf.DUMMYFUNCTION("""COMPUTED_VALUE"""),"")</f>
        <v/>
      </c>
      <c r="D15517" s="42"/>
      <c r="E15517" s="42"/>
      <c r="F15517" s="48" t="str">
        <f>IFERROR(__xludf.DUMMYFUNCTION("""COMPUTED_VALUE"""),"")</f>
        <v/>
      </c>
      <c r="G15517" s="42" t="str">
        <f>IFERROR(__xludf.DUMMYFUNCTION("""COMPUTED_VALUE"""),"")</f>
        <v/>
      </c>
      <c r="H15517" s="42">
        <f t="shared" si="1"/>
        <v>3345</v>
      </c>
    </row>
    <row r="15518" ht="22.5" customHeight="1">
      <c r="B15518" s="42" t="str">
        <f>IFERROR(__xludf.DUMMYFUNCTION("""COMPUTED_VALUE"""),"")</f>
        <v/>
      </c>
      <c r="C15518" s="42" t="str">
        <f>IFERROR(__xludf.DUMMYFUNCTION("""COMPUTED_VALUE"""),"")</f>
        <v/>
      </c>
      <c r="D15518" s="42"/>
      <c r="E15518" s="42"/>
      <c r="F15518" s="48" t="str">
        <f>IFERROR(__xludf.DUMMYFUNCTION("""COMPUTED_VALUE"""),"")</f>
        <v/>
      </c>
      <c r="G15518" s="42" t="str">
        <f>IFERROR(__xludf.DUMMYFUNCTION("""COMPUTED_VALUE"""),"")</f>
        <v/>
      </c>
      <c r="H15518" s="42">
        <f t="shared" si="1"/>
        <v>3345</v>
      </c>
    </row>
    <row r="15519" ht="22.5" customHeight="1">
      <c r="B15519" s="42" t="str">
        <f>IFERROR(__xludf.DUMMYFUNCTION("""COMPUTED_VALUE"""),"")</f>
        <v/>
      </c>
      <c r="C15519" s="42" t="str">
        <f>IFERROR(__xludf.DUMMYFUNCTION("""COMPUTED_VALUE"""),"")</f>
        <v/>
      </c>
      <c r="D15519" s="42"/>
      <c r="E15519" s="42"/>
      <c r="F15519" s="48" t="str">
        <f>IFERROR(__xludf.DUMMYFUNCTION("""COMPUTED_VALUE"""),"")</f>
        <v/>
      </c>
      <c r="G15519" s="42" t="str">
        <f>IFERROR(__xludf.DUMMYFUNCTION("""COMPUTED_VALUE"""),"")</f>
        <v/>
      </c>
      <c r="H15519" s="42">
        <f t="shared" si="1"/>
        <v>3345</v>
      </c>
    </row>
    <row r="15520" ht="22.5" customHeight="1">
      <c r="B15520" s="42" t="str">
        <f>IFERROR(__xludf.DUMMYFUNCTION("""COMPUTED_VALUE"""),"")</f>
        <v/>
      </c>
      <c r="C15520" s="42" t="str">
        <f>IFERROR(__xludf.DUMMYFUNCTION("""COMPUTED_VALUE"""),"")</f>
        <v/>
      </c>
      <c r="D15520" s="42"/>
      <c r="E15520" s="42"/>
      <c r="F15520" s="48" t="str">
        <f>IFERROR(__xludf.DUMMYFUNCTION("""COMPUTED_VALUE"""),"")</f>
        <v/>
      </c>
      <c r="G15520" s="42" t="str">
        <f>IFERROR(__xludf.DUMMYFUNCTION("""COMPUTED_VALUE"""),"")</f>
        <v/>
      </c>
      <c r="H15520" s="42">
        <f t="shared" si="1"/>
        <v>3345</v>
      </c>
    </row>
    <row r="15521" ht="22.5" customHeight="1">
      <c r="B15521" s="42" t="str">
        <f>IFERROR(__xludf.DUMMYFUNCTION("""COMPUTED_VALUE"""),"")</f>
        <v/>
      </c>
      <c r="C15521" s="42" t="str">
        <f>IFERROR(__xludf.DUMMYFUNCTION("""COMPUTED_VALUE"""),"")</f>
        <v/>
      </c>
      <c r="D15521" s="42"/>
      <c r="E15521" s="42"/>
      <c r="F15521" s="48" t="str">
        <f>IFERROR(__xludf.DUMMYFUNCTION("""COMPUTED_VALUE"""),"")</f>
        <v/>
      </c>
      <c r="G15521" s="42" t="str">
        <f>IFERROR(__xludf.DUMMYFUNCTION("""COMPUTED_VALUE"""),"")</f>
        <v/>
      </c>
      <c r="H15521" s="42">
        <f t="shared" si="1"/>
        <v>3345</v>
      </c>
    </row>
    <row r="15522" ht="22.5" customHeight="1">
      <c r="B15522" s="42" t="str">
        <f>IFERROR(__xludf.DUMMYFUNCTION("""COMPUTED_VALUE"""),"")</f>
        <v/>
      </c>
      <c r="C15522" s="42" t="str">
        <f>IFERROR(__xludf.DUMMYFUNCTION("""COMPUTED_VALUE"""),"")</f>
        <v/>
      </c>
      <c r="D15522" s="42"/>
      <c r="E15522" s="42"/>
      <c r="F15522" s="48" t="str">
        <f>IFERROR(__xludf.DUMMYFUNCTION("""COMPUTED_VALUE"""),"")</f>
        <v/>
      </c>
      <c r="G15522" s="42" t="str">
        <f>IFERROR(__xludf.DUMMYFUNCTION("""COMPUTED_VALUE"""),"")</f>
        <v/>
      </c>
      <c r="H15522" s="42">
        <f t="shared" si="1"/>
        <v>3345</v>
      </c>
    </row>
    <row r="15523" ht="22.5" customHeight="1">
      <c r="B15523" s="42" t="str">
        <f>IFERROR(__xludf.DUMMYFUNCTION("""COMPUTED_VALUE"""),"")</f>
        <v/>
      </c>
      <c r="C15523" s="42" t="str">
        <f>IFERROR(__xludf.DUMMYFUNCTION("""COMPUTED_VALUE"""),"")</f>
        <v/>
      </c>
      <c r="D15523" s="42"/>
      <c r="E15523" s="42"/>
      <c r="F15523" s="48" t="str">
        <f>IFERROR(__xludf.DUMMYFUNCTION("""COMPUTED_VALUE"""),"")</f>
        <v/>
      </c>
      <c r="G15523" s="42" t="str">
        <f>IFERROR(__xludf.DUMMYFUNCTION("""COMPUTED_VALUE"""),"")</f>
        <v/>
      </c>
      <c r="H15523" s="42">
        <f t="shared" si="1"/>
        <v>3345</v>
      </c>
    </row>
    <row r="15524" ht="22.5" customHeight="1">
      <c r="B15524" s="42" t="str">
        <f>IFERROR(__xludf.DUMMYFUNCTION("""COMPUTED_VALUE"""),"")</f>
        <v/>
      </c>
      <c r="C15524" s="42" t="str">
        <f>IFERROR(__xludf.DUMMYFUNCTION("""COMPUTED_VALUE"""),"")</f>
        <v/>
      </c>
      <c r="D15524" s="42"/>
      <c r="E15524" s="42"/>
      <c r="F15524" s="48" t="str">
        <f>IFERROR(__xludf.DUMMYFUNCTION("""COMPUTED_VALUE"""),"")</f>
        <v/>
      </c>
      <c r="G15524" s="42" t="str">
        <f>IFERROR(__xludf.DUMMYFUNCTION("""COMPUTED_VALUE"""),"")</f>
        <v/>
      </c>
      <c r="H15524" s="42">
        <f t="shared" si="1"/>
        <v>3345</v>
      </c>
    </row>
    <row r="15525" ht="22.5" customHeight="1">
      <c r="B15525" s="42" t="str">
        <f>IFERROR(__xludf.DUMMYFUNCTION("""COMPUTED_VALUE"""),"")</f>
        <v/>
      </c>
      <c r="C15525" s="42" t="str">
        <f>IFERROR(__xludf.DUMMYFUNCTION("""COMPUTED_VALUE"""),"")</f>
        <v/>
      </c>
      <c r="D15525" s="42"/>
      <c r="E15525" s="42"/>
      <c r="F15525" s="48" t="str">
        <f>IFERROR(__xludf.DUMMYFUNCTION("""COMPUTED_VALUE"""),"")</f>
        <v/>
      </c>
      <c r="G15525" s="42" t="str">
        <f>IFERROR(__xludf.DUMMYFUNCTION("""COMPUTED_VALUE"""),"")</f>
        <v/>
      </c>
      <c r="H15525" s="42">
        <f t="shared" si="1"/>
        <v>3345</v>
      </c>
    </row>
    <row r="15526" ht="22.5" customHeight="1">
      <c r="B15526" s="42" t="str">
        <f>IFERROR(__xludf.DUMMYFUNCTION("""COMPUTED_VALUE"""),"")</f>
        <v/>
      </c>
      <c r="C15526" s="42" t="str">
        <f>IFERROR(__xludf.DUMMYFUNCTION("""COMPUTED_VALUE"""),"")</f>
        <v/>
      </c>
      <c r="D15526" s="42"/>
      <c r="E15526" s="42"/>
      <c r="F15526" s="48" t="str">
        <f>IFERROR(__xludf.DUMMYFUNCTION("""COMPUTED_VALUE"""),"")</f>
        <v/>
      </c>
      <c r="G15526" s="42" t="str">
        <f>IFERROR(__xludf.DUMMYFUNCTION("""COMPUTED_VALUE"""),"")</f>
        <v/>
      </c>
      <c r="H15526" s="42">
        <f t="shared" si="1"/>
        <v>3345</v>
      </c>
    </row>
    <row r="15527" ht="22.5" customHeight="1">
      <c r="B15527" s="42" t="str">
        <f>IFERROR(__xludf.DUMMYFUNCTION("""COMPUTED_VALUE"""),"")</f>
        <v/>
      </c>
      <c r="C15527" s="42" t="str">
        <f>IFERROR(__xludf.DUMMYFUNCTION("""COMPUTED_VALUE"""),"")</f>
        <v/>
      </c>
      <c r="D15527" s="42"/>
      <c r="E15527" s="42"/>
      <c r="F15527" s="48" t="str">
        <f>IFERROR(__xludf.DUMMYFUNCTION("""COMPUTED_VALUE"""),"")</f>
        <v/>
      </c>
      <c r="G15527" s="42" t="str">
        <f>IFERROR(__xludf.DUMMYFUNCTION("""COMPUTED_VALUE"""),"")</f>
        <v/>
      </c>
      <c r="H15527" s="42">
        <f t="shared" si="1"/>
        <v>3345</v>
      </c>
    </row>
    <row r="15528" ht="22.5" customHeight="1">
      <c r="B15528" s="42" t="str">
        <f>IFERROR(__xludf.DUMMYFUNCTION("""COMPUTED_VALUE"""),"")</f>
        <v/>
      </c>
      <c r="C15528" s="42" t="str">
        <f>IFERROR(__xludf.DUMMYFUNCTION("""COMPUTED_VALUE"""),"")</f>
        <v/>
      </c>
      <c r="D15528" s="42"/>
      <c r="E15528" s="42"/>
      <c r="F15528" s="48" t="str">
        <f>IFERROR(__xludf.DUMMYFUNCTION("""COMPUTED_VALUE"""),"")</f>
        <v/>
      </c>
      <c r="G15528" s="42" t="str">
        <f>IFERROR(__xludf.DUMMYFUNCTION("""COMPUTED_VALUE"""),"")</f>
        <v/>
      </c>
      <c r="H15528" s="42">
        <f t="shared" si="1"/>
        <v>3345</v>
      </c>
    </row>
    <row r="15529" ht="22.5" customHeight="1">
      <c r="B15529" s="42" t="str">
        <f>IFERROR(__xludf.DUMMYFUNCTION("""COMPUTED_VALUE"""),"")</f>
        <v/>
      </c>
      <c r="C15529" s="42" t="str">
        <f>IFERROR(__xludf.DUMMYFUNCTION("""COMPUTED_VALUE"""),"")</f>
        <v/>
      </c>
      <c r="D15529" s="42"/>
      <c r="E15529" s="42"/>
      <c r="F15529" s="48" t="str">
        <f>IFERROR(__xludf.DUMMYFUNCTION("""COMPUTED_VALUE"""),"")</f>
        <v/>
      </c>
      <c r="G15529" s="42" t="str">
        <f>IFERROR(__xludf.DUMMYFUNCTION("""COMPUTED_VALUE"""),"")</f>
        <v/>
      </c>
      <c r="H15529" s="42">
        <f t="shared" si="1"/>
        <v>3345</v>
      </c>
    </row>
    <row r="15530" ht="22.5" customHeight="1">
      <c r="B15530" s="42" t="str">
        <f>IFERROR(__xludf.DUMMYFUNCTION("""COMPUTED_VALUE"""),"")</f>
        <v/>
      </c>
      <c r="C15530" s="42" t="str">
        <f>IFERROR(__xludf.DUMMYFUNCTION("""COMPUTED_VALUE"""),"")</f>
        <v/>
      </c>
      <c r="D15530" s="42"/>
      <c r="E15530" s="42"/>
      <c r="F15530" s="48" t="str">
        <f>IFERROR(__xludf.DUMMYFUNCTION("""COMPUTED_VALUE"""),"")</f>
        <v/>
      </c>
      <c r="G15530" s="42" t="str">
        <f>IFERROR(__xludf.DUMMYFUNCTION("""COMPUTED_VALUE"""),"")</f>
        <v/>
      </c>
      <c r="H15530" s="42">
        <f t="shared" si="1"/>
        <v>3345</v>
      </c>
    </row>
    <row r="15531" ht="22.5" customHeight="1">
      <c r="B15531" s="42" t="str">
        <f>IFERROR(__xludf.DUMMYFUNCTION("""COMPUTED_VALUE"""),"")</f>
        <v/>
      </c>
      <c r="C15531" s="42" t="str">
        <f>IFERROR(__xludf.DUMMYFUNCTION("""COMPUTED_VALUE"""),"")</f>
        <v/>
      </c>
      <c r="D15531" s="42"/>
      <c r="E15531" s="42"/>
      <c r="F15531" s="48" t="str">
        <f>IFERROR(__xludf.DUMMYFUNCTION("""COMPUTED_VALUE"""),"")</f>
        <v/>
      </c>
      <c r="G15531" s="42" t="str">
        <f>IFERROR(__xludf.DUMMYFUNCTION("""COMPUTED_VALUE"""),"")</f>
        <v/>
      </c>
      <c r="H15531" s="42">
        <f t="shared" si="1"/>
        <v>3345</v>
      </c>
    </row>
    <row r="15532" ht="22.5" customHeight="1">
      <c r="B15532" s="42" t="str">
        <f>IFERROR(__xludf.DUMMYFUNCTION("""COMPUTED_VALUE"""),"")</f>
        <v/>
      </c>
      <c r="C15532" s="42" t="str">
        <f>IFERROR(__xludf.DUMMYFUNCTION("""COMPUTED_VALUE"""),"")</f>
        <v/>
      </c>
      <c r="D15532" s="42"/>
      <c r="E15532" s="42"/>
      <c r="F15532" s="48" t="str">
        <f>IFERROR(__xludf.DUMMYFUNCTION("""COMPUTED_VALUE"""),"")</f>
        <v/>
      </c>
      <c r="G15532" s="42" t="str">
        <f>IFERROR(__xludf.DUMMYFUNCTION("""COMPUTED_VALUE"""),"")</f>
        <v/>
      </c>
      <c r="H15532" s="42">
        <f t="shared" si="1"/>
        <v>3345</v>
      </c>
    </row>
    <row r="15533" ht="22.5" customHeight="1">
      <c r="B15533" s="42" t="str">
        <f>IFERROR(__xludf.DUMMYFUNCTION("""COMPUTED_VALUE"""),"")</f>
        <v/>
      </c>
      <c r="C15533" s="42" t="str">
        <f>IFERROR(__xludf.DUMMYFUNCTION("""COMPUTED_VALUE"""),"")</f>
        <v/>
      </c>
      <c r="D15533" s="42"/>
      <c r="E15533" s="42"/>
      <c r="F15533" s="48" t="str">
        <f>IFERROR(__xludf.DUMMYFUNCTION("""COMPUTED_VALUE"""),"")</f>
        <v/>
      </c>
      <c r="G15533" s="42" t="str">
        <f>IFERROR(__xludf.DUMMYFUNCTION("""COMPUTED_VALUE"""),"")</f>
        <v/>
      </c>
      <c r="H15533" s="42">
        <f t="shared" si="1"/>
        <v>3345</v>
      </c>
    </row>
    <row r="15534" ht="22.5" customHeight="1">
      <c r="B15534" s="42" t="str">
        <f>IFERROR(__xludf.DUMMYFUNCTION("""COMPUTED_VALUE"""),"")</f>
        <v/>
      </c>
      <c r="C15534" s="42" t="str">
        <f>IFERROR(__xludf.DUMMYFUNCTION("""COMPUTED_VALUE"""),"")</f>
        <v/>
      </c>
      <c r="D15534" s="42"/>
      <c r="E15534" s="42"/>
      <c r="F15534" s="48" t="str">
        <f>IFERROR(__xludf.DUMMYFUNCTION("""COMPUTED_VALUE"""),"")</f>
        <v/>
      </c>
      <c r="G15534" s="42" t="str">
        <f>IFERROR(__xludf.DUMMYFUNCTION("""COMPUTED_VALUE"""),"")</f>
        <v/>
      </c>
      <c r="H15534" s="42">
        <f t="shared" si="1"/>
        <v>3345</v>
      </c>
    </row>
    <row r="15535" ht="22.5" customHeight="1">
      <c r="B15535" s="42" t="str">
        <f>IFERROR(__xludf.DUMMYFUNCTION("""COMPUTED_VALUE"""),"")</f>
        <v/>
      </c>
      <c r="C15535" s="42" t="str">
        <f>IFERROR(__xludf.DUMMYFUNCTION("""COMPUTED_VALUE"""),"")</f>
        <v/>
      </c>
      <c r="D15535" s="42"/>
      <c r="E15535" s="42"/>
      <c r="F15535" s="48" t="str">
        <f>IFERROR(__xludf.DUMMYFUNCTION("""COMPUTED_VALUE"""),"")</f>
        <v/>
      </c>
      <c r="G15535" s="42" t="str">
        <f>IFERROR(__xludf.DUMMYFUNCTION("""COMPUTED_VALUE"""),"")</f>
        <v/>
      </c>
      <c r="H15535" s="42">
        <f t="shared" si="1"/>
        <v>3345</v>
      </c>
    </row>
    <row r="15536" ht="22.5" customHeight="1">
      <c r="B15536" s="42" t="str">
        <f>IFERROR(__xludf.DUMMYFUNCTION("""COMPUTED_VALUE"""),"")</f>
        <v/>
      </c>
      <c r="C15536" s="42" t="str">
        <f>IFERROR(__xludf.DUMMYFUNCTION("""COMPUTED_VALUE"""),"")</f>
        <v/>
      </c>
      <c r="D15536" s="42"/>
      <c r="E15536" s="42"/>
      <c r="F15536" s="48" t="str">
        <f>IFERROR(__xludf.DUMMYFUNCTION("""COMPUTED_VALUE"""),"")</f>
        <v/>
      </c>
      <c r="G15536" s="42" t="str">
        <f>IFERROR(__xludf.DUMMYFUNCTION("""COMPUTED_VALUE"""),"")</f>
        <v/>
      </c>
      <c r="H15536" s="42">
        <f t="shared" si="1"/>
        <v>3345</v>
      </c>
    </row>
    <row r="15537" ht="22.5" customHeight="1">
      <c r="B15537" s="42" t="str">
        <f>IFERROR(__xludf.DUMMYFUNCTION("""COMPUTED_VALUE"""),"")</f>
        <v/>
      </c>
      <c r="C15537" s="42" t="str">
        <f>IFERROR(__xludf.DUMMYFUNCTION("""COMPUTED_VALUE"""),"")</f>
        <v/>
      </c>
      <c r="D15537" s="42"/>
      <c r="E15537" s="42"/>
      <c r="F15537" s="48" t="str">
        <f>IFERROR(__xludf.DUMMYFUNCTION("""COMPUTED_VALUE"""),"")</f>
        <v/>
      </c>
      <c r="G15537" s="42" t="str">
        <f>IFERROR(__xludf.DUMMYFUNCTION("""COMPUTED_VALUE"""),"")</f>
        <v/>
      </c>
      <c r="H15537" s="42">
        <f t="shared" si="1"/>
        <v>3345</v>
      </c>
    </row>
    <row r="15538" ht="22.5" customHeight="1">
      <c r="B15538" s="42" t="str">
        <f>IFERROR(__xludf.DUMMYFUNCTION("""COMPUTED_VALUE"""),"")</f>
        <v/>
      </c>
      <c r="C15538" s="42" t="str">
        <f>IFERROR(__xludf.DUMMYFUNCTION("""COMPUTED_VALUE"""),"")</f>
        <v/>
      </c>
      <c r="D15538" s="42"/>
      <c r="E15538" s="42"/>
      <c r="F15538" s="48" t="str">
        <f>IFERROR(__xludf.DUMMYFUNCTION("""COMPUTED_VALUE"""),"")</f>
        <v/>
      </c>
      <c r="G15538" s="42" t="str">
        <f>IFERROR(__xludf.DUMMYFUNCTION("""COMPUTED_VALUE"""),"")</f>
        <v/>
      </c>
      <c r="H15538" s="42">
        <f t="shared" si="1"/>
        <v>3345</v>
      </c>
    </row>
    <row r="15539" ht="22.5" customHeight="1">
      <c r="B15539" s="42" t="str">
        <f>IFERROR(__xludf.DUMMYFUNCTION("""COMPUTED_VALUE"""),"")</f>
        <v/>
      </c>
      <c r="C15539" s="42" t="str">
        <f>IFERROR(__xludf.DUMMYFUNCTION("""COMPUTED_VALUE"""),"")</f>
        <v/>
      </c>
      <c r="D15539" s="42"/>
      <c r="E15539" s="42"/>
      <c r="F15539" s="48" t="str">
        <f>IFERROR(__xludf.DUMMYFUNCTION("""COMPUTED_VALUE"""),"")</f>
        <v/>
      </c>
      <c r="G15539" s="42" t="str">
        <f>IFERROR(__xludf.DUMMYFUNCTION("""COMPUTED_VALUE"""),"")</f>
        <v/>
      </c>
      <c r="H15539" s="42">
        <f t="shared" si="1"/>
        <v>3345</v>
      </c>
    </row>
    <row r="15540" ht="22.5" customHeight="1">
      <c r="B15540" s="42" t="str">
        <f>IFERROR(__xludf.DUMMYFUNCTION("""COMPUTED_VALUE"""),"")</f>
        <v/>
      </c>
      <c r="C15540" s="42" t="str">
        <f>IFERROR(__xludf.DUMMYFUNCTION("""COMPUTED_VALUE"""),"")</f>
        <v/>
      </c>
      <c r="D15540" s="42"/>
      <c r="E15540" s="42"/>
      <c r="F15540" s="48" t="str">
        <f>IFERROR(__xludf.DUMMYFUNCTION("""COMPUTED_VALUE"""),"")</f>
        <v/>
      </c>
      <c r="G15540" s="42" t="str">
        <f>IFERROR(__xludf.DUMMYFUNCTION("""COMPUTED_VALUE"""),"")</f>
        <v/>
      </c>
      <c r="H15540" s="42">
        <f t="shared" si="1"/>
        <v>3345</v>
      </c>
    </row>
    <row r="15541" ht="22.5" customHeight="1">
      <c r="B15541" s="42" t="str">
        <f>IFERROR(__xludf.DUMMYFUNCTION("""COMPUTED_VALUE"""),"")</f>
        <v/>
      </c>
      <c r="C15541" s="42" t="str">
        <f>IFERROR(__xludf.DUMMYFUNCTION("""COMPUTED_VALUE"""),"")</f>
        <v/>
      </c>
      <c r="D15541" s="42"/>
      <c r="E15541" s="42"/>
      <c r="F15541" s="48" t="str">
        <f>IFERROR(__xludf.DUMMYFUNCTION("""COMPUTED_VALUE"""),"")</f>
        <v/>
      </c>
      <c r="G15541" s="42" t="str">
        <f>IFERROR(__xludf.DUMMYFUNCTION("""COMPUTED_VALUE"""),"")</f>
        <v/>
      </c>
      <c r="H15541" s="42">
        <f t="shared" si="1"/>
        <v>3345</v>
      </c>
    </row>
    <row r="15542" ht="22.5" customHeight="1">
      <c r="B15542" s="42" t="str">
        <f>IFERROR(__xludf.DUMMYFUNCTION("""COMPUTED_VALUE"""),"")</f>
        <v/>
      </c>
      <c r="C15542" s="42" t="str">
        <f>IFERROR(__xludf.DUMMYFUNCTION("""COMPUTED_VALUE"""),"")</f>
        <v/>
      </c>
      <c r="D15542" s="42"/>
      <c r="E15542" s="42"/>
      <c r="F15542" s="48" t="str">
        <f>IFERROR(__xludf.DUMMYFUNCTION("""COMPUTED_VALUE"""),"")</f>
        <v/>
      </c>
      <c r="G15542" s="42" t="str">
        <f>IFERROR(__xludf.DUMMYFUNCTION("""COMPUTED_VALUE"""),"")</f>
        <v/>
      </c>
      <c r="H15542" s="42">
        <f t="shared" si="1"/>
        <v>3345</v>
      </c>
    </row>
    <row r="15543" ht="22.5" customHeight="1">
      <c r="B15543" s="42" t="str">
        <f>IFERROR(__xludf.DUMMYFUNCTION("""COMPUTED_VALUE"""),"")</f>
        <v/>
      </c>
      <c r="C15543" s="42" t="str">
        <f>IFERROR(__xludf.DUMMYFUNCTION("""COMPUTED_VALUE"""),"")</f>
        <v/>
      </c>
      <c r="D15543" s="42"/>
      <c r="E15543" s="42"/>
      <c r="F15543" s="48" t="str">
        <f>IFERROR(__xludf.DUMMYFUNCTION("""COMPUTED_VALUE"""),"")</f>
        <v/>
      </c>
      <c r="G15543" s="42" t="str">
        <f>IFERROR(__xludf.DUMMYFUNCTION("""COMPUTED_VALUE"""),"")</f>
        <v/>
      </c>
      <c r="H15543" s="42">
        <f t="shared" si="1"/>
        <v>3345</v>
      </c>
    </row>
    <row r="15544" ht="22.5" customHeight="1">
      <c r="B15544" s="42" t="str">
        <f>IFERROR(__xludf.DUMMYFUNCTION("""COMPUTED_VALUE"""),"")</f>
        <v/>
      </c>
      <c r="C15544" s="42" t="str">
        <f>IFERROR(__xludf.DUMMYFUNCTION("""COMPUTED_VALUE"""),"")</f>
        <v/>
      </c>
      <c r="D15544" s="42"/>
      <c r="E15544" s="42"/>
      <c r="F15544" s="48" t="str">
        <f>IFERROR(__xludf.DUMMYFUNCTION("""COMPUTED_VALUE"""),"")</f>
        <v/>
      </c>
      <c r="G15544" s="42" t="str">
        <f>IFERROR(__xludf.DUMMYFUNCTION("""COMPUTED_VALUE"""),"")</f>
        <v/>
      </c>
      <c r="H15544" s="42">
        <f t="shared" si="1"/>
        <v>3345</v>
      </c>
    </row>
    <row r="15545" ht="22.5" customHeight="1">
      <c r="B15545" s="42" t="str">
        <f>IFERROR(__xludf.DUMMYFUNCTION("""COMPUTED_VALUE"""),"")</f>
        <v/>
      </c>
      <c r="C15545" s="42" t="str">
        <f>IFERROR(__xludf.DUMMYFUNCTION("""COMPUTED_VALUE"""),"")</f>
        <v/>
      </c>
      <c r="D15545" s="42"/>
      <c r="E15545" s="42"/>
      <c r="F15545" s="48" t="str">
        <f>IFERROR(__xludf.DUMMYFUNCTION("""COMPUTED_VALUE"""),"")</f>
        <v/>
      </c>
      <c r="G15545" s="42" t="str">
        <f>IFERROR(__xludf.DUMMYFUNCTION("""COMPUTED_VALUE"""),"")</f>
        <v/>
      </c>
      <c r="H15545" s="42">
        <f t="shared" si="1"/>
        <v>3345</v>
      </c>
    </row>
    <row r="15546" ht="22.5" customHeight="1">
      <c r="B15546" s="42" t="str">
        <f>IFERROR(__xludf.DUMMYFUNCTION("""COMPUTED_VALUE"""),"")</f>
        <v/>
      </c>
      <c r="C15546" s="42" t="str">
        <f>IFERROR(__xludf.DUMMYFUNCTION("""COMPUTED_VALUE"""),"")</f>
        <v/>
      </c>
      <c r="D15546" s="42"/>
      <c r="E15546" s="42"/>
      <c r="F15546" s="48" t="str">
        <f>IFERROR(__xludf.DUMMYFUNCTION("""COMPUTED_VALUE"""),"")</f>
        <v/>
      </c>
      <c r="G15546" s="42" t="str">
        <f>IFERROR(__xludf.DUMMYFUNCTION("""COMPUTED_VALUE"""),"")</f>
        <v/>
      </c>
      <c r="H15546" s="42">
        <f t="shared" si="1"/>
        <v>3345</v>
      </c>
    </row>
    <row r="15547" ht="22.5" customHeight="1">
      <c r="B15547" s="42" t="str">
        <f>IFERROR(__xludf.DUMMYFUNCTION("""COMPUTED_VALUE"""),"")</f>
        <v/>
      </c>
      <c r="C15547" s="42" t="str">
        <f>IFERROR(__xludf.DUMMYFUNCTION("""COMPUTED_VALUE"""),"")</f>
        <v/>
      </c>
      <c r="D15547" s="42"/>
      <c r="E15547" s="42"/>
      <c r="F15547" s="48" t="str">
        <f>IFERROR(__xludf.DUMMYFUNCTION("""COMPUTED_VALUE"""),"")</f>
        <v/>
      </c>
      <c r="G15547" s="42" t="str">
        <f>IFERROR(__xludf.DUMMYFUNCTION("""COMPUTED_VALUE"""),"")</f>
        <v/>
      </c>
      <c r="H15547" s="42">
        <f t="shared" si="1"/>
        <v>3345</v>
      </c>
    </row>
    <row r="15548" ht="22.5" customHeight="1">
      <c r="B15548" s="42" t="str">
        <f>IFERROR(__xludf.DUMMYFUNCTION("""COMPUTED_VALUE"""),"")</f>
        <v/>
      </c>
      <c r="C15548" s="42" t="str">
        <f>IFERROR(__xludf.DUMMYFUNCTION("""COMPUTED_VALUE"""),"")</f>
        <v/>
      </c>
      <c r="D15548" s="42"/>
      <c r="E15548" s="42"/>
      <c r="F15548" s="48" t="str">
        <f>IFERROR(__xludf.DUMMYFUNCTION("""COMPUTED_VALUE"""),"")</f>
        <v/>
      </c>
      <c r="G15548" s="42" t="str">
        <f>IFERROR(__xludf.DUMMYFUNCTION("""COMPUTED_VALUE"""),"")</f>
        <v/>
      </c>
      <c r="H15548" s="42">
        <f t="shared" si="1"/>
        <v>3345</v>
      </c>
    </row>
    <row r="15549" ht="22.5" customHeight="1">
      <c r="B15549" s="42" t="str">
        <f>IFERROR(__xludf.DUMMYFUNCTION("""COMPUTED_VALUE"""),"")</f>
        <v/>
      </c>
      <c r="C15549" s="42" t="str">
        <f>IFERROR(__xludf.DUMMYFUNCTION("""COMPUTED_VALUE"""),"")</f>
        <v/>
      </c>
      <c r="D15549" s="42"/>
      <c r="E15549" s="42"/>
      <c r="F15549" s="48" t="str">
        <f>IFERROR(__xludf.DUMMYFUNCTION("""COMPUTED_VALUE"""),"")</f>
        <v/>
      </c>
      <c r="G15549" s="42" t="str">
        <f>IFERROR(__xludf.DUMMYFUNCTION("""COMPUTED_VALUE"""),"")</f>
        <v/>
      </c>
      <c r="H15549" s="42">
        <f t="shared" si="1"/>
        <v>3345</v>
      </c>
    </row>
    <row r="15550" ht="22.5" customHeight="1">
      <c r="B15550" s="42" t="str">
        <f>IFERROR(__xludf.DUMMYFUNCTION("""COMPUTED_VALUE"""),"")</f>
        <v/>
      </c>
      <c r="C15550" s="42" t="str">
        <f>IFERROR(__xludf.DUMMYFUNCTION("""COMPUTED_VALUE"""),"")</f>
        <v/>
      </c>
      <c r="D15550" s="42"/>
      <c r="E15550" s="42"/>
      <c r="F15550" s="48" t="str">
        <f>IFERROR(__xludf.DUMMYFUNCTION("""COMPUTED_VALUE"""),"")</f>
        <v/>
      </c>
      <c r="G15550" s="42" t="str">
        <f>IFERROR(__xludf.DUMMYFUNCTION("""COMPUTED_VALUE"""),"")</f>
        <v/>
      </c>
      <c r="H15550" s="42">
        <f t="shared" si="1"/>
        <v>3345</v>
      </c>
    </row>
    <row r="15551" ht="22.5" customHeight="1">
      <c r="B15551" s="42" t="str">
        <f>IFERROR(__xludf.DUMMYFUNCTION("""COMPUTED_VALUE"""),"")</f>
        <v/>
      </c>
      <c r="C15551" s="42" t="str">
        <f>IFERROR(__xludf.DUMMYFUNCTION("""COMPUTED_VALUE"""),"")</f>
        <v/>
      </c>
      <c r="D15551" s="42"/>
      <c r="E15551" s="42"/>
      <c r="F15551" s="48" t="str">
        <f>IFERROR(__xludf.DUMMYFUNCTION("""COMPUTED_VALUE"""),"")</f>
        <v/>
      </c>
      <c r="G15551" s="42" t="str">
        <f>IFERROR(__xludf.DUMMYFUNCTION("""COMPUTED_VALUE"""),"")</f>
        <v/>
      </c>
      <c r="H15551" s="42">
        <f t="shared" si="1"/>
        <v>3345</v>
      </c>
    </row>
    <row r="15552" ht="22.5" customHeight="1">
      <c r="B15552" s="42" t="str">
        <f>IFERROR(__xludf.DUMMYFUNCTION("""COMPUTED_VALUE"""),"")</f>
        <v/>
      </c>
      <c r="C15552" s="42" t="str">
        <f>IFERROR(__xludf.DUMMYFUNCTION("""COMPUTED_VALUE"""),"")</f>
        <v/>
      </c>
      <c r="D15552" s="42"/>
      <c r="E15552" s="42"/>
      <c r="F15552" s="48" t="str">
        <f>IFERROR(__xludf.DUMMYFUNCTION("""COMPUTED_VALUE"""),"")</f>
        <v/>
      </c>
      <c r="G15552" s="42" t="str">
        <f>IFERROR(__xludf.DUMMYFUNCTION("""COMPUTED_VALUE"""),"")</f>
        <v/>
      </c>
      <c r="H15552" s="42">
        <f t="shared" si="1"/>
        <v>3345</v>
      </c>
    </row>
    <row r="15553" ht="22.5" customHeight="1">
      <c r="B15553" s="42" t="str">
        <f>IFERROR(__xludf.DUMMYFUNCTION("""COMPUTED_VALUE"""),"")</f>
        <v/>
      </c>
      <c r="C15553" s="42" t="str">
        <f>IFERROR(__xludf.DUMMYFUNCTION("""COMPUTED_VALUE"""),"")</f>
        <v/>
      </c>
      <c r="D15553" s="42"/>
      <c r="E15553" s="42"/>
      <c r="F15553" s="48" t="str">
        <f>IFERROR(__xludf.DUMMYFUNCTION("""COMPUTED_VALUE"""),"")</f>
        <v/>
      </c>
      <c r="G15553" s="42" t="str">
        <f>IFERROR(__xludf.DUMMYFUNCTION("""COMPUTED_VALUE"""),"")</f>
        <v/>
      </c>
      <c r="H15553" s="42">
        <f t="shared" si="1"/>
        <v>3345</v>
      </c>
    </row>
    <row r="15554" ht="22.5" customHeight="1">
      <c r="B15554" s="42" t="str">
        <f>IFERROR(__xludf.DUMMYFUNCTION("""COMPUTED_VALUE"""),"")</f>
        <v/>
      </c>
      <c r="C15554" s="42" t="str">
        <f>IFERROR(__xludf.DUMMYFUNCTION("""COMPUTED_VALUE"""),"")</f>
        <v/>
      </c>
      <c r="D15554" s="42"/>
      <c r="E15554" s="42"/>
      <c r="F15554" s="48" t="str">
        <f>IFERROR(__xludf.DUMMYFUNCTION("""COMPUTED_VALUE"""),"")</f>
        <v/>
      </c>
      <c r="G15554" s="42" t="str">
        <f>IFERROR(__xludf.DUMMYFUNCTION("""COMPUTED_VALUE"""),"")</f>
        <v/>
      </c>
      <c r="H15554" s="42">
        <f t="shared" si="1"/>
        <v>3345</v>
      </c>
    </row>
    <row r="15555" ht="22.5" customHeight="1">
      <c r="B15555" s="42" t="str">
        <f>IFERROR(__xludf.DUMMYFUNCTION("""COMPUTED_VALUE"""),"")</f>
        <v/>
      </c>
      <c r="C15555" s="42" t="str">
        <f>IFERROR(__xludf.DUMMYFUNCTION("""COMPUTED_VALUE"""),"")</f>
        <v/>
      </c>
      <c r="D15555" s="42"/>
      <c r="E15555" s="42"/>
      <c r="F15555" s="48" t="str">
        <f>IFERROR(__xludf.DUMMYFUNCTION("""COMPUTED_VALUE"""),"")</f>
        <v/>
      </c>
      <c r="G15555" s="42" t="str">
        <f>IFERROR(__xludf.DUMMYFUNCTION("""COMPUTED_VALUE"""),"")</f>
        <v/>
      </c>
      <c r="H15555" s="42">
        <f t="shared" si="1"/>
        <v>3345</v>
      </c>
    </row>
    <row r="15556" ht="22.5" customHeight="1">
      <c r="B15556" s="42" t="str">
        <f>IFERROR(__xludf.DUMMYFUNCTION("""COMPUTED_VALUE"""),"")</f>
        <v/>
      </c>
      <c r="C15556" s="42" t="str">
        <f>IFERROR(__xludf.DUMMYFUNCTION("""COMPUTED_VALUE"""),"")</f>
        <v/>
      </c>
      <c r="D15556" s="42"/>
      <c r="E15556" s="42"/>
      <c r="F15556" s="48" t="str">
        <f>IFERROR(__xludf.DUMMYFUNCTION("""COMPUTED_VALUE"""),"")</f>
        <v/>
      </c>
      <c r="G15556" s="42" t="str">
        <f>IFERROR(__xludf.DUMMYFUNCTION("""COMPUTED_VALUE"""),"")</f>
        <v/>
      </c>
      <c r="H15556" s="42">
        <f t="shared" si="1"/>
        <v>3345</v>
      </c>
    </row>
    <row r="15557" ht="22.5" customHeight="1">
      <c r="B15557" s="42" t="str">
        <f>IFERROR(__xludf.DUMMYFUNCTION("""COMPUTED_VALUE"""),"")</f>
        <v/>
      </c>
      <c r="C15557" s="42" t="str">
        <f>IFERROR(__xludf.DUMMYFUNCTION("""COMPUTED_VALUE"""),"")</f>
        <v/>
      </c>
      <c r="D15557" s="42"/>
      <c r="E15557" s="42"/>
      <c r="F15557" s="48" t="str">
        <f>IFERROR(__xludf.DUMMYFUNCTION("""COMPUTED_VALUE"""),"")</f>
        <v/>
      </c>
      <c r="G15557" s="42" t="str">
        <f>IFERROR(__xludf.DUMMYFUNCTION("""COMPUTED_VALUE"""),"")</f>
        <v/>
      </c>
      <c r="H15557" s="42">
        <f t="shared" si="1"/>
        <v>3345</v>
      </c>
    </row>
    <row r="15558" ht="22.5" customHeight="1">
      <c r="B15558" s="42" t="str">
        <f>IFERROR(__xludf.DUMMYFUNCTION("""COMPUTED_VALUE"""),"")</f>
        <v/>
      </c>
      <c r="C15558" s="42" t="str">
        <f>IFERROR(__xludf.DUMMYFUNCTION("""COMPUTED_VALUE"""),"")</f>
        <v/>
      </c>
      <c r="D15558" s="42"/>
      <c r="E15558" s="42"/>
      <c r="F15558" s="48" t="str">
        <f>IFERROR(__xludf.DUMMYFUNCTION("""COMPUTED_VALUE"""),"")</f>
        <v/>
      </c>
      <c r="G15558" s="42" t="str">
        <f>IFERROR(__xludf.DUMMYFUNCTION("""COMPUTED_VALUE"""),"")</f>
        <v/>
      </c>
      <c r="H15558" s="42">
        <f t="shared" si="1"/>
        <v>3345</v>
      </c>
    </row>
    <row r="15559" ht="22.5" customHeight="1">
      <c r="B15559" s="42" t="str">
        <f>IFERROR(__xludf.DUMMYFUNCTION("""COMPUTED_VALUE"""),"")</f>
        <v/>
      </c>
      <c r="C15559" s="42" t="str">
        <f>IFERROR(__xludf.DUMMYFUNCTION("""COMPUTED_VALUE"""),"")</f>
        <v/>
      </c>
      <c r="D15559" s="42"/>
      <c r="E15559" s="42"/>
      <c r="F15559" s="48" t="str">
        <f>IFERROR(__xludf.DUMMYFUNCTION("""COMPUTED_VALUE"""),"")</f>
        <v/>
      </c>
      <c r="G15559" s="42" t="str">
        <f>IFERROR(__xludf.DUMMYFUNCTION("""COMPUTED_VALUE"""),"")</f>
        <v/>
      </c>
      <c r="H15559" s="42">
        <f t="shared" si="1"/>
        <v>3345</v>
      </c>
    </row>
    <row r="15560" ht="22.5" customHeight="1">
      <c r="B15560" s="42" t="str">
        <f>IFERROR(__xludf.DUMMYFUNCTION("""COMPUTED_VALUE"""),"")</f>
        <v/>
      </c>
      <c r="C15560" s="42" t="str">
        <f>IFERROR(__xludf.DUMMYFUNCTION("""COMPUTED_VALUE"""),"")</f>
        <v/>
      </c>
      <c r="D15560" s="42"/>
      <c r="E15560" s="42"/>
      <c r="F15560" s="48" t="str">
        <f>IFERROR(__xludf.DUMMYFUNCTION("""COMPUTED_VALUE"""),"")</f>
        <v/>
      </c>
      <c r="G15560" s="42" t="str">
        <f>IFERROR(__xludf.DUMMYFUNCTION("""COMPUTED_VALUE"""),"")</f>
        <v/>
      </c>
      <c r="H15560" s="42">
        <f t="shared" si="1"/>
        <v>3345</v>
      </c>
    </row>
    <row r="15561" ht="22.5" customHeight="1">
      <c r="B15561" s="42" t="str">
        <f>IFERROR(__xludf.DUMMYFUNCTION("""COMPUTED_VALUE"""),"")</f>
        <v/>
      </c>
      <c r="C15561" s="42" t="str">
        <f>IFERROR(__xludf.DUMMYFUNCTION("""COMPUTED_VALUE"""),"")</f>
        <v/>
      </c>
      <c r="D15561" s="42"/>
      <c r="E15561" s="42"/>
      <c r="F15561" s="48" t="str">
        <f>IFERROR(__xludf.DUMMYFUNCTION("""COMPUTED_VALUE"""),"")</f>
        <v/>
      </c>
      <c r="G15561" s="42" t="str">
        <f>IFERROR(__xludf.DUMMYFUNCTION("""COMPUTED_VALUE"""),"")</f>
        <v/>
      </c>
      <c r="H15561" s="42">
        <f t="shared" si="1"/>
        <v>3345</v>
      </c>
    </row>
    <row r="15562" ht="22.5" customHeight="1">
      <c r="B15562" s="42" t="str">
        <f>IFERROR(__xludf.DUMMYFUNCTION("""COMPUTED_VALUE"""),"")</f>
        <v/>
      </c>
      <c r="C15562" s="42" t="str">
        <f>IFERROR(__xludf.DUMMYFUNCTION("""COMPUTED_VALUE"""),"")</f>
        <v/>
      </c>
      <c r="D15562" s="42"/>
      <c r="E15562" s="42"/>
      <c r="F15562" s="48" t="str">
        <f>IFERROR(__xludf.DUMMYFUNCTION("""COMPUTED_VALUE"""),"")</f>
        <v/>
      </c>
      <c r="G15562" s="42" t="str">
        <f>IFERROR(__xludf.DUMMYFUNCTION("""COMPUTED_VALUE"""),"")</f>
        <v/>
      </c>
      <c r="H15562" s="42">
        <f t="shared" si="1"/>
        <v>3345</v>
      </c>
    </row>
    <row r="15563" ht="22.5" customHeight="1">
      <c r="B15563" s="42" t="str">
        <f>IFERROR(__xludf.DUMMYFUNCTION("""COMPUTED_VALUE"""),"")</f>
        <v/>
      </c>
      <c r="C15563" s="42" t="str">
        <f>IFERROR(__xludf.DUMMYFUNCTION("""COMPUTED_VALUE"""),"")</f>
        <v/>
      </c>
      <c r="D15563" s="42"/>
      <c r="E15563" s="42"/>
      <c r="F15563" s="48" t="str">
        <f>IFERROR(__xludf.DUMMYFUNCTION("""COMPUTED_VALUE"""),"")</f>
        <v/>
      </c>
      <c r="G15563" s="42" t="str">
        <f>IFERROR(__xludf.DUMMYFUNCTION("""COMPUTED_VALUE"""),"")</f>
        <v/>
      </c>
      <c r="H15563" s="42">
        <f t="shared" si="1"/>
        <v>3345</v>
      </c>
    </row>
    <row r="15564" ht="22.5" customHeight="1">
      <c r="B15564" s="42" t="str">
        <f>IFERROR(__xludf.DUMMYFUNCTION("""COMPUTED_VALUE"""),"")</f>
        <v/>
      </c>
      <c r="C15564" s="42" t="str">
        <f>IFERROR(__xludf.DUMMYFUNCTION("""COMPUTED_VALUE"""),"")</f>
        <v/>
      </c>
      <c r="D15564" s="42"/>
      <c r="E15564" s="42"/>
      <c r="F15564" s="48" t="str">
        <f>IFERROR(__xludf.DUMMYFUNCTION("""COMPUTED_VALUE"""),"")</f>
        <v/>
      </c>
      <c r="G15564" s="42" t="str">
        <f>IFERROR(__xludf.DUMMYFUNCTION("""COMPUTED_VALUE"""),"")</f>
        <v/>
      </c>
      <c r="H15564" s="42">
        <f t="shared" si="1"/>
        <v>3345</v>
      </c>
    </row>
    <row r="15565" ht="22.5" customHeight="1">
      <c r="B15565" s="42" t="str">
        <f>IFERROR(__xludf.DUMMYFUNCTION("""COMPUTED_VALUE"""),"")</f>
        <v/>
      </c>
      <c r="C15565" s="42" t="str">
        <f>IFERROR(__xludf.DUMMYFUNCTION("""COMPUTED_VALUE"""),"")</f>
        <v/>
      </c>
      <c r="D15565" s="42"/>
      <c r="E15565" s="42"/>
      <c r="F15565" s="48" t="str">
        <f>IFERROR(__xludf.DUMMYFUNCTION("""COMPUTED_VALUE"""),"")</f>
        <v/>
      </c>
      <c r="G15565" s="42" t="str">
        <f>IFERROR(__xludf.DUMMYFUNCTION("""COMPUTED_VALUE"""),"")</f>
        <v/>
      </c>
      <c r="H15565" s="42">
        <f t="shared" si="1"/>
        <v>3345</v>
      </c>
    </row>
    <row r="15566" ht="22.5" customHeight="1">
      <c r="B15566" s="42" t="str">
        <f>IFERROR(__xludf.DUMMYFUNCTION("""COMPUTED_VALUE"""),"")</f>
        <v/>
      </c>
      <c r="C15566" s="42" t="str">
        <f>IFERROR(__xludf.DUMMYFUNCTION("""COMPUTED_VALUE"""),"")</f>
        <v/>
      </c>
      <c r="D15566" s="42"/>
      <c r="E15566" s="42"/>
      <c r="F15566" s="48" t="str">
        <f>IFERROR(__xludf.DUMMYFUNCTION("""COMPUTED_VALUE"""),"")</f>
        <v/>
      </c>
      <c r="G15566" s="42" t="str">
        <f>IFERROR(__xludf.DUMMYFUNCTION("""COMPUTED_VALUE"""),"")</f>
        <v/>
      </c>
      <c r="H15566" s="42">
        <f t="shared" si="1"/>
        <v>3345</v>
      </c>
    </row>
    <row r="15567" ht="22.5" customHeight="1">
      <c r="B15567" s="42" t="str">
        <f>IFERROR(__xludf.DUMMYFUNCTION("""COMPUTED_VALUE"""),"")</f>
        <v/>
      </c>
      <c r="C15567" s="42" t="str">
        <f>IFERROR(__xludf.DUMMYFUNCTION("""COMPUTED_VALUE"""),"")</f>
        <v/>
      </c>
      <c r="D15567" s="42"/>
      <c r="E15567" s="42"/>
      <c r="F15567" s="48" t="str">
        <f>IFERROR(__xludf.DUMMYFUNCTION("""COMPUTED_VALUE"""),"")</f>
        <v/>
      </c>
      <c r="G15567" s="42" t="str">
        <f>IFERROR(__xludf.DUMMYFUNCTION("""COMPUTED_VALUE"""),"")</f>
        <v/>
      </c>
      <c r="H15567" s="42">
        <f t="shared" si="1"/>
        <v>3345</v>
      </c>
    </row>
    <row r="15568" ht="22.5" customHeight="1">
      <c r="B15568" s="42" t="str">
        <f>IFERROR(__xludf.DUMMYFUNCTION("""COMPUTED_VALUE"""),"")</f>
        <v/>
      </c>
      <c r="C15568" s="42" t="str">
        <f>IFERROR(__xludf.DUMMYFUNCTION("""COMPUTED_VALUE"""),"")</f>
        <v/>
      </c>
      <c r="D15568" s="42"/>
      <c r="E15568" s="42"/>
      <c r="F15568" s="48" t="str">
        <f>IFERROR(__xludf.DUMMYFUNCTION("""COMPUTED_VALUE"""),"")</f>
        <v/>
      </c>
      <c r="G15568" s="42" t="str">
        <f>IFERROR(__xludf.DUMMYFUNCTION("""COMPUTED_VALUE"""),"")</f>
        <v/>
      </c>
      <c r="H15568" s="42">
        <f t="shared" si="1"/>
        <v>3345</v>
      </c>
    </row>
    <row r="15569" ht="22.5" customHeight="1">
      <c r="B15569" s="42" t="str">
        <f>IFERROR(__xludf.DUMMYFUNCTION("""COMPUTED_VALUE"""),"")</f>
        <v/>
      </c>
      <c r="C15569" s="42" t="str">
        <f>IFERROR(__xludf.DUMMYFUNCTION("""COMPUTED_VALUE"""),"")</f>
        <v/>
      </c>
      <c r="D15569" s="42"/>
      <c r="E15569" s="42"/>
      <c r="F15569" s="48" t="str">
        <f>IFERROR(__xludf.DUMMYFUNCTION("""COMPUTED_VALUE"""),"")</f>
        <v/>
      </c>
      <c r="G15569" s="42" t="str">
        <f>IFERROR(__xludf.DUMMYFUNCTION("""COMPUTED_VALUE"""),"")</f>
        <v/>
      </c>
      <c r="H15569" s="42">
        <f t="shared" si="1"/>
        <v>3345</v>
      </c>
    </row>
    <row r="15570" ht="22.5" customHeight="1">
      <c r="B15570" s="42" t="str">
        <f>IFERROR(__xludf.DUMMYFUNCTION("""COMPUTED_VALUE"""),"")</f>
        <v/>
      </c>
      <c r="C15570" s="42" t="str">
        <f>IFERROR(__xludf.DUMMYFUNCTION("""COMPUTED_VALUE"""),"")</f>
        <v/>
      </c>
      <c r="D15570" s="42"/>
      <c r="E15570" s="42"/>
      <c r="F15570" s="48" t="str">
        <f>IFERROR(__xludf.DUMMYFUNCTION("""COMPUTED_VALUE"""),"")</f>
        <v/>
      </c>
      <c r="G15570" s="42" t="str">
        <f>IFERROR(__xludf.DUMMYFUNCTION("""COMPUTED_VALUE"""),"")</f>
        <v/>
      </c>
      <c r="H15570" s="42">
        <f t="shared" si="1"/>
        <v>3345</v>
      </c>
    </row>
    <row r="15571" ht="22.5" customHeight="1">
      <c r="B15571" s="42" t="str">
        <f>IFERROR(__xludf.DUMMYFUNCTION("""COMPUTED_VALUE"""),"")</f>
        <v/>
      </c>
      <c r="C15571" s="42" t="str">
        <f>IFERROR(__xludf.DUMMYFUNCTION("""COMPUTED_VALUE"""),"")</f>
        <v/>
      </c>
      <c r="D15571" s="42"/>
      <c r="E15571" s="42"/>
      <c r="F15571" s="48" t="str">
        <f>IFERROR(__xludf.DUMMYFUNCTION("""COMPUTED_VALUE"""),"")</f>
        <v/>
      </c>
      <c r="G15571" s="42" t="str">
        <f>IFERROR(__xludf.DUMMYFUNCTION("""COMPUTED_VALUE"""),"")</f>
        <v/>
      </c>
      <c r="H15571" s="42">
        <f t="shared" si="1"/>
        <v>3345</v>
      </c>
    </row>
    <row r="15572" ht="22.5" customHeight="1">
      <c r="B15572" s="42" t="str">
        <f>IFERROR(__xludf.DUMMYFUNCTION("""COMPUTED_VALUE"""),"")</f>
        <v/>
      </c>
      <c r="C15572" s="42" t="str">
        <f>IFERROR(__xludf.DUMMYFUNCTION("""COMPUTED_VALUE"""),"")</f>
        <v/>
      </c>
      <c r="D15572" s="42"/>
      <c r="E15572" s="42"/>
      <c r="F15572" s="48" t="str">
        <f>IFERROR(__xludf.DUMMYFUNCTION("""COMPUTED_VALUE"""),"")</f>
        <v/>
      </c>
      <c r="G15572" s="42" t="str">
        <f>IFERROR(__xludf.DUMMYFUNCTION("""COMPUTED_VALUE"""),"")</f>
        <v/>
      </c>
      <c r="H15572" s="42">
        <f t="shared" si="1"/>
        <v>3345</v>
      </c>
    </row>
    <row r="15573" ht="22.5" customHeight="1">
      <c r="B15573" s="42" t="str">
        <f>IFERROR(__xludf.DUMMYFUNCTION("""COMPUTED_VALUE"""),"")</f>
        <v/>
      </c>
      <c r="C15573" s="42" t="str">
        <f>IFERROR(__xludf.DUMMYFUNCTION("""COMPUTED_VALUE"""),"")</f>
        <v/>
      </c>
      <c r="D15573" s="42"/>
      <c r="E15573" s="42"/>
      <c r="F15573" s="48" t="str">
        <f>IFERROR(__xludf.DUMMYFUNCTION("""COMPUTED_VALUE"""),"")</f>
        <v/>
      </c>
      <c r="G15573" s="42" t="str">
        <f>IFERROR(__xludf.DUMMYFUNCTION("""COMPUTED_VALUE"""),"")</f>
        <v/>
      </c>
      <c r="H15573" s="42">
        <f t="shared" si="1"/>
        <v>3345</v>
      </c>
    </row>
    <row r="15574" ht="22.5" customHeight="1">
      <c r="B15574" s="42" t="str">
        <f>IFERROR(__xludf.DUMMYFUNCTION("""COMPUTED_VALUE"""),"")</f>
        <v/>
      </c>
      <c r="C15574" s="42" t="str">
        <f>IFERROR(__xludf.DUMMYFUNCTION("""COMPUTED_VALUE"""),"")</f>
        <v/>
      </c>
      <c r="D15574" s="42"/>
      <c r="E15574" s="42"/>
      <c r="F15574" s="48" t="str">
        <f>IFERROR(__xludf.DUMMYFUNCTION("""COMPUTED_VALUE"""),"")</f>
        <v/>
      </c>
      <c r="G15574" s="42" t="str">
        <f>IFERROR(__xludf.DUMMYFUNCTION("""COMPUTED_VALUE"""),"")</f>
        <v/>
      </c>
      <c r="H15574" s="42">
        <f t="shared" si="1"/>
        <v>3345</v>
      </c>
    </row>
    <row r="15575" ht="22.5" customHeight="1">
      <c r="B15575" s="42" t="str">
        <f>IFERROR(__xludf.DUMMYFUNCTION("""COMPUTED_VALUE"""),"")</f>
        <v/>
      </c>
      <c r="C15575" s="42" t="str">
        <f>IFERROR(__xludf.DUMMYFUNCTION("""COMPUTED_VALUE"""),"")</f>
        <v/>
      </c>
      <c r="D15575" s="42"/>
      <c r="E15575" s="42"/>
      <c r="F15575" s="48" t="str">
        <f>IFERROR(__xludf.DUMMYFUNCTION("""COMPUTED_VALUE"""),"")</f>
        <v/>
      </c>
      <c r="G15575" s="42" t="str">
        <f>IFERROR(__xludf.DUMMYFUNCTION("""COMPUTED_VALUE"""),"")</f>
        <v/>
      </c>
      <c r="H15575" s="42">
        <f t="shared" si="1"/>
        <v>3345</v>
      </c>
    </row>
    <row r="15576" ht="22.5" customHeight="1">
      <c r="B15576" s="42" t="str">
        <f>IFERROR(__xludf.DUMMYFUNCTION("""COMPUTED_VALUE"""),"")</f>
        <v/>
      </c>
      <c r="C15576" s="42" t="str">
        <f>IFERROR(__xludf.DUMMYFUNCTION("""COMPUTED_VALUE"""),"")</f>
        <v/>
      </c>
      <c r="D15576" s="42"/>
      <c r="E15576" s="42"/>
      <c r="F15576" s="48" t="str">
        <f>IFERROR(__xludf.DUMMYFUNCTION("""COMPUTED_VALUE"""),"")</f>
        <v/>
      </c>
      <c r="G15576" s="42" t="str">
        <f>IFERROR(__xludf.DUMMYFUNCTION("""COMPUTED_VALUE"""),"")</f>
        <v/>
      </c>
      <c r="H15576" s="42">
        <f t="shared" si="1"/>
        <v>3345</v>
      </c>
    </row>
    <row r="15577" ht="22.5" customHeight="1">
      <c r="B15577" s="42" t="str">
        <f>IFERROR(__xludf.DUMMYFUNCTION("""COMPUTED_VALUE"""),"")</f>
        <v/>
      </c>
      <c r="C15577" s="42" t="str">
        <f>IFERROR(__xludf.DUMMYFUNCTION("""COMPUTED_VALUE"""),"")</f>
        <v/>
      </c>
      <c r="D15577" s="42"/>
      <c r="E15577" s="42"/>
      <c r="F15577" s="48" t="str">
        <f>IFERROR(__xludf.DUMMYFUNCTION("""COMPUTED_VALUE"""),"")</f>
        <v/>
      </c>
      <c r="G15577" s="42" t="str">
        <f>IFERROR(__xludf.DUMMYFUNCTION("""COMPUTED_VALUE"""),"")</f>
        <v/>
      </c>
      <c r="H15577" s="42">
        <f t="shared" si="1"/>
        <v>3345</v>
      </c>
    </row>
    <row r="15578" ht="22.5" customHeight="1">
      <c r="B15578" s="42" t="str">
        <f>IFERROR(__xludf.DUMMYFUNCTION("""COMPUTED_VALUE"""),"")</f>
        <v/>
      </c>
      <c r="C15578" s="42" t="str">
        <f>IFERROR(__xludf.DUMMYFUNCTION("""COMPUTED_VALUE"""),"")</f>
        <v/>
      </c>
      <c r="D15578" s="42"/>
      <c r="E15578" s="42"/>
      <c r="F15578" s="48" t="str">
        <f>IFERROR(__xludf.DUMMYFUNCTION("""COMPUTED_VALUE"""),"")</f>
        <v/>
      </c>
      <c r="G15578" s="42" t="str">
        <f>IFERROR(__xludf.DUMMYFUNCTION("""COMPUTED_VALUE"""),"")</f>
        <v/>
      </c>
      <c r="H15578" s="42">
        <f t="shared" si="1"/>
        <v>3345</v>
      </c>
    </row>
    <row r="15579" ht="22.5" customHeight="1">
      <c r="B15579" s="42" t="str">
        <f>IFERROR(__xludf.DUMMYFUNCTION("""COMPUTED_VALUE"""),"")</f>
        <v/>
      </c>
      <c r="C15579" s="42" t="str">
        <f>IFERROR(__xludf.DUMMYFUNCTION("""COMPUTED_VALUE"""),"")</f>
        <v/>
      </c>
      <c r="D15579" s="42"/>
      <c r="E15579" s="42"/>
      <c r="F15579" s="48" t="str">
        <f>IFERROR(__xludf.DUMMYFUNCTION("""COMPUTED_VALUE"""),"")</f>
        <v/>
      </c>
      <c r="G15579" s="42" t="str">
        <f>IFERROR(__xludf.DUMMYFUNCTION("""COMPUTED_VALUE"""),"")</f>
        <v/>
      </c>
      <c r="H15579" s="42">
        <f t="shared" si="1"/>
        <v>3345</v>
      </c>
    </row>
    <row r="15580" ht="22.5" customHeight="1">
      <c r="B15580" s="42" t="str">
        <f>IFERROR(__xludf.DUMMYFUNCTION("""COMPUTED_VALUE"""),"")</f>
        <v/>
      </c>
      <c r="C15580" s="42" t="str">
        <f>IFERROR(__xludf.DUMMYFUNCTION("""COMPUTED_VALUE"""),"")</f>
        <v/>
      </c>
      <c r="D15580" s="42"/>
      <c r="E15580" s="42"/>
      <c r="F15580" s="48" t="str">
        <f>IFERROR(__xludf.DUMMYFUNCTION("""COMPUTED_VALUE"""),"")</f>
        <v/>
      </c>
      <c r="G15580" s="42" t="str">
        <f>IFERROR(__xludf.DUMMYFUNCTION("""COMPUTED_VALUE"""),"")</f>
        <v/>
      </c>
      <c r="H15580" s="42">
        <f t="shared" si="1"/>
        <v>3345</v>
      </c>
    </row>
    <row r="15581" ht="22.5" customHeight="1">
      <c r="B15581" s="42" t="str">
        <f>IFERROR(__xludf.DUMMYFUNCTION("""COMPUTED_VALUE"""),"")</f>
        <v/>
      </c>
      <c r="C15581" s="42" t="str">
        <f>IFERROR(__xludf.DUMMYFUNCTION("""COMPUTED_VALUE"""),"")</f>
        <v/>
      </c>
      <c r="D15581" s="42"/>
      <c r="E15581" s="42"/>
      <c r="F15581" s="48" t="str">
        <f>IFERROR(__xludf.DUMMYFUNCTION("""COMPUTED_VALUE"""),"")</f>
        <v/>
      </c>
      <c r="G15581" s="42" t="str">
        <f>IFERROR(__xludf.DUMMYFUNCTION("""COMPUTED_VALUE"""),"")</f>
        <v/>
      </c>
      <c r="H15581" s="42">
        <f t="shared" si="1"/>
        <v>3345</v>
      </c>
    </row>
    <row r="15582" ht="22.5" customHeight="1">
      <c r="B15582" s="42" t="str">
        <f>IFERROR(__xludf.DUMMYFUNCTION("""COMPUTED_VALUE"""),"")</f>
        <v/>
      </c>
      <c r="C15582" s="42" t="str">
        <f>IFERROR(__xludf.DUMMYFUNCTION("""COMPUTED_VALUE"""),"")</f>
        <v/>
      </c>
      <c r="D15582" s="42"/>
      <c r="E15582" s="42"/>
      <c r="F15582" s="48" t="str">
        <f>IFERROR(__xludf.DUMMYFUNCTION("""COMPUTED_VALUE"""),"")</f>
        <v/>
      </c>
      <c r="G15582" s="42" t="str">
        <f>IFERROR(__xludf.DUMMYFUNCTION("""COMPUTED_VALUE"""),"")</f>
        <v/>
      </c>
      <c r="H15582" s="42">
        <f t="shared" si="1"/>
        <v>3345</v>
      </c>
    </row>
    <row r="15583" ht="22.5" customHeight="1">
      <c r="B15583" s="42" t="str">
        <f>IFERROR(__xludf.DUMMYFUNCTION("""COMPUTED_VALUE"""),"")</f>
        <v/>
      </c>
      <c r="C15583" s="42" t="str">
        <f>IFERROR(__xludf.DUMMYFUNCTION("""COMPUTED_VALUE"""),"")</f>
        <v/>
      </c>
      <c r="D15583" s="42"/>
      <c r="E15583" s="42"/>
      <c r="F15583" s="48" t="str">
        <f>IFERROR(__xludf.DUMMYFUNCTION("""COMPUTED_VALUE"""),"")</f>
        <v/>
      </c>
      <c r="G15583" s="42" t="str">
        <f>IFERROR(__xludf.DUMMYFUNCTION("""COMPUTED_VALUE"""),"")</f>
        <v/>
      </c>
      <c r="H15583" s="42">
        <f t="shared" si="1"/>
        <v>3345</v>
      </c>
    </row>
    <row r="15584" ht="22.5" customHeight="1">
      <c r="B15584" s="42" t="str">
        <f>IFERROR(__xludf.DUMMYFUNCTION("""COMPUTED_VALUE"""),"")</f>
        <v/>
      </c>
      <c r="C15584" s="42" t="str">
        <f>IFERROR(__xludf.DUMMYFUNCTION("""COMPUTED_VALUE"""),"")</f>
        <v/>
      </c>
      <c r="D15584" s="42"/>
      <c r="E15584" s="42"/>
      <c r="F15584" s="48" t="str">
        <f>IFERROR(__xludf.DUMMYFUNCTION("""COMPUTED_VALUE"""),"")</f>
        <v/>
      </c>
      <c r="G15584" s="42" t="str">
        <f>IFERROR(__xludf.DUMMYFUNCTION("""COMPUTED_VALUE"""),"")</f>
        <v/>
      </c>
      <c r="H15584" s="42">
        <f t="shared" si="1"/>
        <v>3345</v>
      </c>
    </row>
    <row r="15585" ht="22.5" customHeight="1">
      <c r="B15585" s="42" t="str">
        <f>IFERROR(__xludf.DUMMYFUNCTION("""COMPUTED_VALUE"""),"")</f>
        <v/>
      </c>
      <c r="C15585" s="42" t="str">
        <f>IFERROR(__xludf.DUMMYFUNCTION("""COMPUTED_VALUE"""),"")</f>
        <v/>
      </c>
      <c r="D15585" s="42"/>
      <c r="E15585" s="42"/>
      <c r="F15585" s="48" t="str">
        <f>IFERROR(__xludf.DUMMYFUNCTION("""COMPUTED_VALUE"""),"")</f>
        <v/>
      </c>
      <c r="G15585" s="42" t="str">
        <f>IFERROR(__xludf.DUMMYFUNCTION("""COMPUTED_VALUE"""),"")</f>
        <v/>
      </c>
      <c r="H15585" s="42">
        <f t="shared" si="1"/>
        <v>3345</v>
      </c>
    </row>
    <row r="15586" ht="22.5" customHeight="1">
      <c r="B15586" s="42" t="str">
        <f>IFERROR(__xludf.DUMMYFUNCTION("""COMPUTED_VALUE"""),"")</f>
        <v/>
      </c>
      <c r="C15586" s="42" t="str">
        <f>IFERROR(__xludf.DUMMYFUNCTION("""COMPUTED_VALUE"""),"")</f>
        <v/>
      </c>
      <c r="D15586" s="42"/>
      <c r="E15586" s="42"/>
      <c r="F15586" s="48" t="str">
        <f>IFERROR(__xludf.DUMMYFUNCTION("""COMPUTED_VALUE"""),"")</f>
        <v/>
      </c>
      <c r="G15586" s="42" t="str">
        <f>IFERROR(__xludf.DUMMYFUNCTION("""COMPUTED_VALUE"""),"")</f>
        <v/>
      </c>
      <c r="H15586" s="42">
        <f t="shared" si="1"/>
        <v>3345</v>
      </c>
    </row>
    <row r="15587" ht="22.5" customHeight="1">
      <c r="B15587" s="42" t="str">
        <f>IFERROR(__xludf.DUMMYFUNCTION("""COMPUTED_VALUE"""),"")</f>
        <v/>
      </c>
      <c r="C15587" s="42" t="str">
        <f>IFERROR(__xludf.DUMMYFUNCTION("""COMPUTED_VALUE"""),"")</f>
        <v/>
      </c>
      <c r="D15587" s="42"/>
      <c r="E15587" s="42"/>
      <c r="F15587" s="48" t="str">
        <f>IFERROR(__xludf.DUMMYFUNCTION("""COMPUTED_VALUE"""),"")</f>
        <v/>
      </c>
      <c r="G15587" s="42" t="str">
        <f>IFERROR(__xludf.DUMMYFUNCTION("""COMPUTED_VALUE"""),"")</f>
        <v/>
      </c>
      <c r="H15587" s="42">
        <f t="shared" si="1"/>
        <v>3345</v>
      </c>
    </row>
    <row r="15588" ht="22.5" customHeight="1">
      <c r="B15588" s="42" t="str">
        <f>IFERROR(__xludf.DUMMYFUNCTION("""COMPUTED_VALUE"""),"")</f>
        <v/>
      </c>
      <c r="C15588" s="42" t="str">
        <f>IFERROR(__xludf.DUMMYFUNCTION("""COMPUTED_VALUE"""),"")</f>
        <v/>
      </c>
      <c r="D15588" s="42"/>
      <c r="E15588" s="42"/>
      <c r="F15588" s="48" t="str">
        <f>IFERROR(__xludf.DUMMYFUNCTION("""COMPUTED_VALUE"""),"")</f>
        <v/>
      </c>
      <c r="G15588" s="42" t="str">
        <f>IFERROR(__xludf.DUMMYFUNCTION("""COMPUTED_VALUE"""),"")</f>
        <v/>
      </c>
      <c r="H15588" s="42">
        <f t="shared" si="1"/>
        <v>3345</v>
      </c>
    </row>
    <row r="15589" ht="22.5" customHeight="1">
      <c r="B15589" s="42" t="str">
        <f>IFERROR(__xludf.DUMMYFUNCTION("""COMPUTED_VALUE"""),"")</f>
        <v/>
      </c>
      <c r="C15589" s="42" t="str">
        <f>IFERROR(__xludf.DUMMYFUNCTION("""COMPUTED_VALUE"""),"")</f>
        <v/>
      </c>
      <c r="D15589" s="42"/>
      <c r="E15589" s="42"/>
      <c r="F15589" s="48" t="str">
        <f>IFERROR(__xludf.DUMMYFUNCTION("""COMPUTED_VALUE"""),"")</f>
        <v/>
      </c>
      <c r="G15589" s="42" t="str">
        <f>IFERROR(__xludf.DUMMYFUNCTION("""COMPUTED_VALUE"""),"")</f>
        <v/>
      </c>
      <c r="H15589" s="42">
        <f t="shared" si="1"/>
        <v>3345</v>
      </c>
    </row>
    <row r="15590" ht="22.5" customHeight="1">
      <c r="B15590" s="42" t="str">
        <f>IFERROR(__xludf.DUMMYFUNCTION("""COMPUTED_VALUE"""),"")</f>
        <v/>
      </c>
      <c r="C15590" s="42" t="str">
        <f>IFERROR(__xludf.DUMMYFUNCTION("""COMPUTED_VALUE"""),"")</f>
        <v/>
      </c>
      <c r="D15590" s="42"/>
      <c r="E15590" s="42"/>
      <c r="F15590" s="48" t="str">
        <f>IFERROR(__xludf.DUMMYFUNCTION("""COMPUTED_VALUE"""),"")</f>
        <v/>
      </c>
      <c r="G15590" s="42" t="str">
        <f>IFERROR(__xludf.DUMMYFUNCTION("""COMPUTED_VALUE"""),"")</f>
        <v/>
      </c>
      <c r="H15590" s="42">
        <f t="shared" si="1"/>
        <v>3345</v>
      </c>
    </row>
    <row r="15591" ht="22.5" customHeight="1">
      <c r="B15591" s="42" t="str">
        <f>IFERROR(__xludf.DUMMYFUNCTION("""COMPUTED_VALUE"""),"")</f>
        <v/>
      </c>
      <c r="C15591" s="42" t="str">
        <f>IFERROR(__xludf.DUMMYFUNCTION("""COMPUTED_VALUE"""),"")</f>
        <v/>
      </c>
      <c r="D15591" s="42"/>
      <c r="E15591" s="42"/>
      <c r="F15591" s="48" t="str">
        <f>IFERROR(__xludf.DUMMYFUNCTION("""COMPUTED_VALUE"""),"")</f>
        <v/>
      </c>
      <c r="G15591" s="42" t="str">
        <f>IFERROR(__xludf.DUMMYFUNCTION("""COMPUTED_VALUE"""),"")</f>
        <v/>
      </c>
      <c r="H15591" s="42">
        <f t="shared" si="1"/>
        <v>3345</v>
      </c>
    </row>
    <row r="15592" ht="22.5" customHeight="1">
      <c r="B15592" s="42" t="str">
        <f>IFERROR(__xludf.DUMMYFUNCTION("""COMPUTED_VALUE"""),"")</f>
        <v/>
      </c>
      <c r="C15592" s="42" t="str">
        <f>IFERROR(__xludf.DUMMYFUNCTION("""COMPUTED_VALUE"""),"")</f>
        <v/>
      </c>
      <c r="D15592" s="42"/>
      <c r="E15592" s="42"/>
      <c r="F15592" s="48" t="str">
        <f>IFERROR(__xludf.DUMMYFUNCTION("""COMPUTED_VALUE"""),"")</f>
        <v/>
      </c>
      <c r="G15592" s="42" t="str">
        <f>IFERROR(__xludf.DUMMYFUNCTION("""COMPUTED_VALUE"""),"")</f>
        <v/>
      </c>
      <c r="H15592" s="42">
        <f t="shared" si="1"/>
        <v>3345</v>
      </c>
    </row>
    <row r="15593" ht="22.5" customHeight="1">
      <c r="B15593" s="42" t="str">
        <f>IFERROR(__xludf.DUMMYFUNCTION("""COMPUTED_VALUE"""),"")</f>
        <v/>
      </c>
      <c r="C15593" s="42" t="str">
        <f>IFERROR(__xludf.DUMMYFUNCTION("""COMPUTED_VALUE"""),"")</f>
        <v/>
      </c>
      <c r="D15593" s="42"/>
      <c r="E15593" s="42"/>
      <c r="F15593" s="48" t="str">
        <f>IFERROR(__xludf.DUMMYFUNCTION("""COMPUTED_VALUE"""),"")</f>
        <v/>
      </c>
      <c r="G15593" s="42" t="str">
        <f>IFERROR(__xludf.DUMMYFUNCTION("""COMPUTED_VALUE"""),"")</f>
        <v/>
      </c>
      <c r="H15593" s="42">
        <f t="shared" si="1"/>
        <v>3345</v>
      </c>
    </row>
    <row r="15594" ht="22.5" customHeight="1">
      <c r="B15594" s="42" t="str">
        <f>IFERROR(__xludf.DUMMYFUNCTION("""COMPUTED_VALUE"""),"")</f>
        <v/>
      </c>
      <c r="C15594" s="42" t="str">
        <f>IFERROR(__xludf.DUMMYFUNCTION("""COMPUTED_VALUE"""),"")</f>
        <v/>
      </c>
      <c r="D15594" s="42"/>
      <c r="E15594" s="42"/>
      <c r="F15594" s="48" t="str">
        <f>IFERROR(__xludf.DUMMYFUNCTION("""COMPUTED_VALUE"""),"")</f>
        <v/>
      </c>
      <c r="G15594" s="42" t="str">
        <f>IFERROR(__xludf.DUMMYFUNCTION("""COMPUTED_VALUE"""),"")</f>
        <v/>
      </c>
      <c r="H15594" s="42">
        <f t="shared" si="1"/>
        <v>3345</v>
      </c>
    </row>
    <row r="15595" ht="22.5" customHeight="1">
      <c r="B15595" s="42" t="str">
        <f>IFERROR(__xludf.DUMMYFUNCTION("""COMPUTED_VALUE"""),"")</f>
        <v/>
      </c>
      <c r="C15595" s="42" t="str">
        <f>IFERROR(__xludf.DUMMYFUNCTION("""COMPUTED_VALUE"""),"")</f>
        <v/>
      </c>
      <c r="D15595" s="42"/>
      <c r="E15595" s="42"/>
      <c r="F15595" s="48" t="str">
        <f>IFERROR(__xludf.DUMMYFUNCTION("""COMPUTED_VALUE"""),"")</f>
        <v/>
      </c>
      <c r="G15595" s="42" t="str">
        <f>IFERROR(__xludf.DUMMYFUNCTION("""COMPUTED_VALUE"""),"")</f>
        <v/>
      </c>
      <c r="H15595" s="42">
        <f t="shared" si="1"/>
        <v>3345</v>
      </c>
    </row>
    <row r="15596" ht="22.5" customHeight="1">
      <c r="B15596" s="42" t="str">
        <f>IFERROR(__xludf.DUMMYFUNCTION("""COMPUTED_VALUE"""),"")</f>
        <v/>
      </c>
      <c r="C15596" s="42" t="str">
        <f>IFERROR(__xludf.DUMMYFUNCTION("""COMPUTED_VALUE"""),"")</f>
        <v/>
      </c>
      <c r="D15596" s="42"/>
      <c r="E15596" s="42"/>
      <c r="F15596" s="48" t="str">
        <f>IFERROR(__xludf.DUMMYFUNCTION("""COMPUTED_VALUE"""),"")</f>
        <v/>
      </c>
      <c r="G15596" s="42" t="str">
        <f>IFERROR(__xludf.DUMMYFUNCTION("""COMPUTED_VALUE"""),"")</f>
        <v/>
      </c>
      <c r="H15596" s="42">
        <f t="shared" si="1"/>
        <v>3345</v>
      </c>
    </row>
    <row r="15597" ht="22.5" customHeight="1">
      <c r="B15597" s="42" t="str">
        <f>IFERROR(__xludf.DUMMYFUNCTION("""COMPUTED_VALUE"""),"")</f>
        <v/>
      </c>
      <c r="C15597" s="42" t="str">
        <f>IFERROR(__xludf.DUMMYFUNCTION("""COMPUTED_VALUE"""),"")</f>
        <v/>
      </c>
      <c r="D15597" s="42"/>
      <c r="E15597" s="42"/>
      <c r="F15597" s="48" t="str">
        <f>IFERROR(__xludf.DUMMYFUNCTION("""COMPUTED_VALUE"""),"")</f>
        <v/>
      </c>
      <c r="G15597" s="42" t="str">
        <f>IFERROR(__xludf.DUMMYFUNCTION("""COMPUTED_VALUE"""),"")</f>
        <v/>
      </c>
      <c r="H15597" s="42">
        <f t="shared" si="1"/>
        <v>3345</v>
      </c>
    </row>
    <row r="15598" ht="22.5" customHeight="1">
      <c r="B15598" s="42" t="str">
        <f>IFERROR(__xludf.DUMMYFUNCTION("""COMPUTED_VALUE"""),"")</f>
        <v/>
      </c>
      <c r="C15598" s="42" t="str">
        <f>IFERROR(__xludf.DUMMYFUNCTION("""COMPUTED_VALUE"""),"")</f>
        <v/>
      </c>
      <c r="D15598" s="42"/>
      <c r="E15598" s="42"/>
      <c r="F15598" s="48" t="str">
        <f>IFERROR(__xludf.DUMMYFUNCTION("""COMPUTED_VALUE"""),"")</f>
        <v/>
      </c>
      <c r="G15598" s="42" t="str">
        <f>IFERROR(__xludf.DUMMYFUNCTION("""COMPUTED_VALUE"""),"")</f>
        <v/>
      </c>
      <c r="H15598" s="42">
        <f t="shared" si="1"/>
        <v>3345</v>
      </c>
    </row>
    <row r="15599" ht="22.5" customHeight="1">
      <c r="B15599" s="42" t="str">
        <f>IFERROR(__xludf.DUMMYFUNCTION("""COMPUTED_VALUE"""),"")</f>
        <v/>
      </c>
      <c r="C15599" s="42" t="str">
        <f>IFERROR(__xludf.DUMMYFUNCTION("""COMPUTED_VALUE"""),"")</f>
        <v/>
      </c>
      <c r="D15599" s="42"/>
      <c r="E15599" s="42"/>
      <c r="F15599" s="48" t="str">
        <f>IFERROR(__xludf.DUMMYFUNCTION("""COMPUTED_VALUE"""),"")</f>
        <v/>
      </c>
      <c r="G15599" s="42" t="str">
        <f>IFERROR(__xludf.DUMMYFUNCTION("""COMPUTED_VALUE"""),"")</f>
        <v/>
      </c>
      <c r="H15599" s="42">
        <f t="shared" si="1"/>
        <v>3345</v>
      </c>
    </row>
    <row r="15600" ht="22.5" customHeight="1">
      <c r="B15600" s="42" t="str">
        <f>IFERROR(__xludf.DUMMYFUNCTION("""COMPUTED_VALUE"""),"")</f>
        <v/>
      </c>
      <c r="C15600" s="42" t="str">
        <f>IFERROR(__xludf.DUMMYFUNCTION("""COMPUTED_VALUE"""),"")</f>
        <v/>
      </c>
      <c r="D15600" s="42"/>
      <c r="E15600" s="42"/>
      <c r="F15600" s="48" t="str">
        <f>IFERROR(__xludf.DUMMYFUNCTION("""COMPUTED_VALUE"""),"")</f>
        <v/>
      </c>
      <c r="G15600" s="42" t="str">
        <f>IFERROR(__xludf.DUMMYFUNCTION("""COMPUTED_VALUE"""),"")</f>
        <v/>
      </c>
      <c r="H15600" s="42">
        <f t="shared" si="1"/>
        <v>3345</v>
      </c>
    </row>
    <row r="15601" ht="22.5" customHeight="1">
      <c r="B15601" s="42" t="str">
        <f>IFERROR(__xludf.DUMMYFUNCTION("""COMPUTED_VALUE"""),"")</f>
        <v/>
      </c>
      <c r="C15601" s="42" t="str">
        <f>IFERROR(__xludf.DUMMYFUNCTION("""COMPUTED_VALUE"""),"")</f>
        <v/>
      </c>
      <c r="D15601" s="42"/>
      <c r="E15601" s="42"/>
      <c r="F15601" s="48" t="str">
        <f>IFERROR(__xludf.DUMMYFUNCTION("""COMPUTED_VALUE"""),"")</f>
        <v/>
      </c>
      <c r="G15601" s="42" t="str">
        <f>IFERROR(__xludf.DUMMYFUNCTION("""COMPUTED_VALUE"""),"")</f>
        <v/>
      </c>
      <c r="H15601" s="42">
        <f t="shared" si="1"/>
        <v>3345</v>
      </c>
    </row>
    <row r="15602" ht="22.5" customHeight="1">
      <c r="B15602" s="42" t="str">
        <f>IFERROR(__xludf.DUMMYFUNCTION("""COMPUTED_VALUE"""),"")</f>
        <v/>
      </c>
      <c r="C15602" s="42" t="str">
        <f>IFERROR(__xludf.DUMMYFUNCTION("""COMPUTED_VALUE"""),"")</f>
        <v/>
      </c>
      <c r="D15602" s="42"/>
      <c r="E15602" s="42"/>
      <c r="F15602" s="48" t="str">
        <f>IFERROR(__xludf.DUMMYFUNCTION("""COMPUTED_VALUE"""),"")</f>
        <v/>
      </c>
      <c r="G15602" s="42" t="str">
        <f>IFERROR(__xludf.DUMMYFUNCTION("""COMPUTED_VALUE"""),"")</f>
        <v/>
      </c>
      <c r="H15602" s="42">
        <f t="shared" si="1"/>
        <v>3345</v>
      </c>
    </row>
    <row r="15603" ht="22.5" customHeight="1">
      <c r="B15603" s="42" t="str">
        <f>IFERROR(__xludf.DUMMYFUNCTION("""COMPUTED_VALUE"""),"")</f>
        <v/>
      </c>
      <c r="C15603" s="42" t="str">
        <f>IFERROR(__xludf.DUMMYFUNCTION("""COMPUTED_VALUE"""),"")</f>
        <v/>
      </c>
      <c r="D15603" s="42"/>
      <c r="E15603" s="42"/>
      <c r="F15603" s="48" t="str">
        <f>IFERROR(__xludf.DUMMYFUNCTION("""COMPUTED_VALUE"""),"")</f>
        <v/>
      </c>
      <c r="G15603" s="42" t="str">
        <f>IFERROR(__xludf.DUMMYFUNCTION("""COMPUTED_VALUE"""),"")</f>
        <v/>
      </c>
      <c r="H15603" s="42">
        <f t="shared" si="1"/>
        <v>3345</v>
      </c>
    </row>
    <row r="15604" ht="22.5" customHeight="1">
      <c r="B15604" s="42" t="str">
        <f>IFERROR(__xludf.DUMMYFUNCTION("""COMPUTED_VALUE"""),"")</f>
        <v/>
      </c>
      <c r="C15604" s="42" t="str">
        <f>IFERROR(__xludf.DUMMYFUNCTION("""COMPUTED_VALUE"""),"")</f>
        <v/>
      </c>
      <c r="D15604" s="42"/>
      <c r="E15604" s="42"/>
      <c r="F15604" s="48" t="str">
        <f>IFERROR(__xludf.DUMMYFUNCTION("""COMPUTED_VALUE"""),"")</f>
        <v/>
      </c>
      <c r="G15604" s="42" t="str">
        <f>IFERROR(__xludf.DUMMYFUNCTION("""COMPUTED_VALUE"""),"")</f>
        <v/>
      </c>
      <c r="H15604" s="42">
        <f t="shared" si="1"/>
        <v>3345</v>
      </c>
    </row>
    <row r="15605" ht="22.5" customHeight="1">
      <c r="B15605" s="42" t="str">
        <f>IFERROR(__xludf.DUMMYFUNCTION("""COMPUTED_VALUE"""),"")</f>
        <v/>
      </c>
      <c r="C15605" s="42" t="str">
        <f>IFERROR(__xludf.DUMMYFUNCTION("""COMPUTED_VALUE"""),"")</f>
        <v/>
      </c>
      <c r="D15605" s="42"/>
      <c r="E15605" s="42"/>
      <c r="F15605" s="48" t="str">
        <f>IFERROR(__xludf.DUMMYFUNCTION("""COMPUTED_VALUE"""),"")</f>
        <v/>
      </c>
      <c r="G15605" s="42" t="str">
        <f>IFERROR(__xludf.DUMMYFUNCTION("""COMPUTED_VALUE"""),"")</f>
        <v/>
      </c>
      <c r="H15605" s="42">
        <f t="shared" si="1"/>
        <v>3345</v>
      </c>
    </row>
    <row r="15606" ht="22.5" customHeight="1">
      <c r="B15606" s="42" t="str">
        <f>IFERROR(__xludf.DUMMYFUNCTION("""COMPUTED_VALUE"""),"")</f>
        <v/>
      </c>
      <c r="C15606" s="42" t="str">
        <f>IFERROR(__xludf.DUMMYFUNCTION("""COMPUTED_VALUE"""),"")</f>
        <v/>
      </c>
      <c r="D15606" s="42"/>
      <c r="E15606" s="42"/>
      <c r="F15606" s="48" t="str">
        <f>IFERROR(__xludf.DUMMYFUNCTION("""COMPUTED_VALUE"""),"")</f>
        <v/>
      </c>
      <c r="G15606" s="42" t="str">
        <f>IFERROR(__xludf.DUMMYFUNCTION("""COMPUTED_VALUE"""),"")</f>
        <v/>
      </c>
      <c r="H15606" s="42">
        <f t="shared" si="1"/>
        <v>3345</v>
      </c>
    </row>
    <row r="15607" ht="22.5" customHeight="1">
      <c r="B15607" s="42" t="str">
        <f>IFERROR(__xludf.DUMMYFUNCTION("""COMPUTED_VALUE"""),"")</f>
        <v/>
      </c>
      <c r="C15607" s="42" t="str">
        <f>IFERROR(__xludf.DUMMYFUNCTION("""COMPUTED_VALUE"""),"")</f>
        <v/>
      </c>
      <c r="D15607" s="42"/>
      <c r="E15607" s="42"/>
      <c r="F15607" s="48" t="str">
        <f>IFERROR(__xludf.DUMMYFUNCTION("""COMPUTED_VALUE"""),"")</f>
        <v/>
      </c>
      <c r="G15607" s="42" t="str">
        <f>IFERROR(__xludf.DUMMYFUNCTION("""COMPUTED_VALUE"""),"")</f>
        <v/>
      </c>
      <c r="H15607" s="42">
        <f t="shared" si="1"/>
        <v>3345</v>
      </c>
    </row>
    <row r="15608" ht="22.5" customHeight="1">
      <c r="B15608" s="42" t="str">
        <f>IFERROR(__xludf.DUMMYFUNCTION("""COMPUTED_VALUE"""),"")</f>
        <v/>
      </c>
      <c r="C15608" s="42" t="str">
        <f>IFERROR(__xludf.DUMMYFUNCTION("""COMPUTED_VALUE"""),"")</f>
        <v/>
      </c>
      <c r="D15608" s="42"/>
      <c r="E15608" s="42"/>
      <c r="F15608" s="48" t="str">
        <f>IFERROR(__xludf.DUMMYFUNCTION("""COMPUTED_VALUE"""),"")</f>
        <v/>
      </c>
      <c r="G15608" s="42" t="str">
        <f>IFERROR(__xludf.DUMMYFUNCTION("""COMPUTED_VALUE"""),"")</f>
        <v/>
      </c>
      <c r="H15608" s="42">
        <f t="shared" si="1"/>
        <v>3345</v>
      </c>
    </row>
    <row r="15609" ht="22.5" customHeight="1">
      <c r="B15609" s="42" t="str">
        <f>IFERROR(__xludf.DUMMYFUNCTION("""COMPUTED_VALUE"""),"")</f>
        <v/>
      </c>
      <c r="C15609" s="42" t="str">
        <f>IFERROR(__xludf.DUMMYFUNCTION("""COMPUTED_VALUE"""),"")</f>
        <v/>
      </c>
      <c r="D15609" s="42"/>
      <c r="E15609" s="42"/>
      <c r="F15609" s="48" t="str">
        <f>IFERROR(__xludf.DUMMYFUNCTION("""COMPUTED_VALUE"""),"")</f>
        <v/>
      </c>
      <c r="G15609" s="42" t="str">
        <f>IFERROR(__xludf.DUMMYFUNCTION("""COMPUTED_VALUE"""),"")</f>
        <v/>
      </c>
      <c r="H15609" s="42">
        <f t="shared" si="1"/>
        <v>3345</v>
      </c>
    </row>
    <row r="15610" ht="22.5" customHeight="1">
      <c r="B15610" s="42" t="str">
        <f>IFERROR(__xludf.DUMMYFUNCTION("""COMPUTED_VALUE"""),"")</f>
        <v/>
      </c>
      <c r="C15610" s="42" t="str">
        <f>IFERROR(__xludf.DUMMYFUNCTION("""COMPUTED_VALUE"""),"")</f>
        <v/>
      </c>
      <c r="D15610" s="42"/>
      <c r="E15610" s="42"/>
      <c r="F15610" s="48" t="str">
        <f>IFERROR(__xludf.DUMMYFUNCTION("""COMPUTED_VALUE"""),"")</f>
        <v/>
      </c>
      <c r="G15610" s="42" t="str">
        <f>IFERROR(__xludf.DUMMYFUNCTION("""COMPUTED_VALUE"""),"")</f>
        <v/>
      </c>
      <c r="H15610" s="42">
        <f t="shared" si="1"/>
        <v>3345</v>
      </c>
    </row>
    <row r="15611" ht="22.5" customHeight="1">
      <c r="B15611" s="42" t="str">
        <f>IFERROR(__xludf.DUMMYFUNCTION("""COMPUTED_VALUE"""),"")</f>
        <v/>
      </c>
      <c r="C15611" s="42" t="str">
        <f>IFERROR(__xludf.DUMMYFUNCTION("""COMPUTED_VALUE"""),"")</f>
        <v/>
      </c>
      <c r="D15611" s="42"/>
      <c r="E15611" s="42"/>
      <c r="F15611" s="48" t="str">
        <f>IFERROR(__xludf.DUMMYFUNCTION("""COMPUTED_VALUE"""),"")</f>
        <v/>
      </c>
      <c r="G15611" s="42" t="str">
        <f>IFERROR(__xludf.DUMMYFUNCTION("""COMPUTED_VALUE"""),"")</f>
        <v/>
      </c>
      <c r="H15611" s="42">
        <f t="shared" si="1"/>
        <v>3345</v>
      </c>
    </row>
    <row r="15612" ht="22.5" customHeight="1">
      <c r="B15612" s="42" t="str">
        <f>IFERROR(__xludf.DUMMYFUNCTION("""COMPUTED_VALUE"""),"")</f>
        <v/>
      </c>
      <c r="C15612" s="42" t="str">
        <f>IFERROR(__xludf.DUMMYFUNCTION("""COMPUTED_VALUE"""),"")</f>
        <v/>
      </c>
      <c r="D15612" s="42"/>
      <c r="E15612" s="42"/>
      <c r="F15612" s="48" t="str">
        <f>IFERROR(__xludf.DUMMYFUNCTION("""COMPUTED_VALUE"""),"")</f>
        <v/>
      </c>
      <c r="G15612" s="42" t="str">
        <f>IFERROR(__xludf.DUMMYFUNCTION("""COMPUTED_VALUE"""),"")</f>
        <v/>
      </c>
      <c r="H15612" s="42">
        <f t="shared" si="1"/>
        <v>3345</v>
      </c>
    </row>
    <row r="15613" ht="22.5" customHeight="1">
      <c r="B15613" s="42" t="str">
        <f>IFERROR(__xludf.DUMMYFUNCTION("""COMPUTED_VALUE"""),"")</f>
        <v/>
      </c>
      <c r="C15613" s="42" t="str">
        <f>IFERROR(__xludf.DUMMYFUNCTION("""COMPUTED_VALUE"""),"")</f>
        <v/>
      </c>
      <c r="D15613" s="42"/>
      <c r="E15613" s="42"/>
      <c r="F15613" s="48" t="str">
        <f>IFERROR(__xludf.DUMMYFUNCTION("""COMPUTED_VALUE"""),"")</f>
        <v/>
      </c>
      <c r="G15613" s="42" t="str">
        <f>IFERROR(__xludf.DUMMYFUNCTION("""COMPUTED_VALUE"""),"")</f>
        <v/>
      </c>
      <c r="H15613" s="42">
        <f t="shared" si="1"/>
        <v>3345</v>
      </c>
    </row>
    <row r="15614" ht="22.5" customHeight="1">
      <c r="B15614" s="42" t="str">
        <f>IFERROR(__xludf.DUMMYFUNCTION("""COMPUTED_VALUE"""),"")</f>
        <v/>
      </c>
      <c r="C15614" s="42" t="str">
        <f>IFERROR(__xludf.DUMMYFUNCTION("""COMPUTED_VALUE"""),"")</f>
        <v/>
      </c>
      <c r="D15614" s="42"/>
      <c r="E15614" s="42"/>
      <c r="F15614" s="48" t="str">
        <f>IFERROR(__xludf.DUMMYFUNCTION("""COMPUTED_VALUE"""),"")</f>
        <v/>
      </c>
      <c r="G15614" s="42" t="str">
        <f>IFERROR(__xludf.DUMMYFUNCTION("""COMPUTED_VALUE"""),"")</f>
        <v/>
      </c>
      <c r="H15614" s="42">
        <f t="shared" si="1"/>
        <v>3345</v>
      </c>
    </row>
    <row r="15615" ht="22.5" customHeight="1">
      <c r="B15615" s="42" t="str">
        <f>IFERROR(__xludf.DUMMYFUNCTION("""COMPUTED_VALUE"""),"")</f>
        <v/>
      </c>
      <c r="C15615" s="42" t="str">
        <f>IFERROR(__xludf.DUMMYFUNCTION("""COMPUTED_VALUE"""),"")</f>
        <v/>
      </c>
      <c r="D15615" s="42"/>
      <c r="E15615" s="42"/>
      <c r="F15615" s="48" t="str">
        <f>IFERROR(__xludf.DUMMYFUNCTION("""COMPUTED_VALUE"""),"")</f>
        <v/>
      </c>
      <c r="G15615" s="42" t="str">
        <f>IFERROR(__xludf.DUMMYFUNCTION("""COMPUTED_VALUE"""),"")</f>
        <v/>
      </c>
      <c r="H15615" s="42">
        <f t="shared" si="1"/>
        <v>3345</v>
      </c>
    </row>
    <row r="15616" ht="22.5" customHeight="1">
      <c r="B15616" s="42" t="str">
        <f>IFERROR(__xludf.DUMMYFUNCTION("""COMPUTED_VALUE"""),"")</f>
        <v/>
      </c>
      <c r="C15616" s="42" t="str">
        <f>IFERROR(__xludf.DUMMYFUNCTION("""COMPUTED_VALUE"""),"")</f>
        <v/>
      </c>
      <c r="D15616" s="42"/>
      <c r="E15616" s="42"/>
      <c r="F15616" s="48" t="str">
        <f>IFERROR(__xludf.DUMMYFUNCTION("""COMPUTED_VALUE"""),"")</f>
        <v/>
      </c>
      <c r="G15616" s="42" t="str">
        <f>IFERROR(__xludf.DUMMYFUNCTION("""COMPUTED_VALUE"""),"")</f>
        <v/>
      </c>
      <c r="H15616" s="42">
        <f t="shared" si="1"/>
        <v>3345</v>
      </c>
    </row>
    <row r="15617" ht="22.5" customHeight="1">
      <c r="B15617" s="42" t="str">
        <f>IFERROR(__xludf.DUMMYFUNCTION("""COMPUTED_VALUE"""),"")</f>
        <v/>
      </c>
      <c r="C15617" s="42" t="str">
        <f>IFERROR(__xludf.DUMMYFUNCTION("""COMPUTED_VALUE"""),"")</f>
        <v/>
      </c>
      <c r="D15617" s="42"/>
      <c r="E15617" s="42"/>
      <c r="F15617" s="48" t="str">
        <f>IFERROR(__xludf.DUMMYFUNCTION("""COMPUTED_VALUE"""),"")</f>
        <v/>
      </c>
      <c r="G15617" s="42" t="str">
        <f>IFERROR(__xludf.DUMMYFUNCTION("""COMPUTED_VALUE"""),"")</f>
        <v/>
      </c>
      <c r="H15617" s="42">
        <f t="shared" si="1"/>
        <v>3345</v>
      </c>
    </row>
    <row r="15618" ht="22.5" customHeight="1">
      <c r="B15618" s="42" t="str">
        <f>IFERROR(__xludf.DUMMYFUNCTION("""COMPUTED_VALUE"""),"")</f>
        <v/>
      </c>
      <c r="C15618" s="42" t="str">
        <f>IFERROR(__xludf.DUMMYFUNCTION("""COMPUTED_VALUE"""),"")</f>
        <v/>
      </c>
      <c r="D15618" s="42"/>
      <c r="E15618" s="42"/>
      <c r="F15618" s="48" t="str">
        <f>IFERROR(__xludf.DUMMYFUNCTION("""COMPUTED_VALUE"""),"")</f>
        <v/>
      </c>
      <c r="G15618" s="42" t="str">
        <f>IFERROR(__xludf.DUMMYFUNCTION("""COMPUTED_VALUE"""),"")</f>
        <v/>
      </c>
      <c r="H15618" s="42">
        <f t="shared" si="1"/>
        <v>3345</v>
      </c>
    </row>
    <row r="15619" ht="22.5" customHeight="1">
      <c r="B15619" s="42" t="str">
        <f>IFERROR(__xludf.DUMMYFUNCTION("""COMPUTED_VALUE"""),"")</f>
        <v/>
      </c>
      <c r="C15619" s="42" t="str">
        <f>IFERROR(__xludf.DUMMYFUNCTION("""COMPUTED_VALUE"""),"")</f>
        <v/>
      </c>
      <c r="D15619" s="42"/>
      <c r="E15619" s="42"/>
      <c r="F15619" s="48" t="str">
        <f>IFERROR(__xludf.DUMMYFUNCTION("""COMPUTED_VALUE"""),"")</f>
        <v/>
      </c>
      <c r="G15619" s="42" t="str">
        <f>IFERROR(__xludf.DUMMYFUNCTION("""COMPUTED_VALUE"""),"")</f>
        <v/>
      </c>
      <c r="H15619" s="42">
        <f t="shared" si="1"/>
        <v>3345</v>
      </c>
    </row>
    <row r="15620" ht="22.5" customHeight="1">
      <c r="B15620" s="42" t="str">
        <f>IFERROR(__xludf.DUMMYFUNCTION("""COMPUTED_VALUE"""),"")</f>
        <v/>
      </c>
      <c r="C15620" s="42" t="str">
        <f>IFERROR(__xludf.DUMMYFUNCTION("""COMPUTED_VALUE"""),"")</f>
        <v/>
      </c>
      <c r="D15620" s="42"/>
      <c r="E15620" s="42"/>
      <c r="F15620" s="48" t="str">
        <f>IFERROR(__xludf.DUMMYFUNCTION("""COMPUTED_VALUE"""),"")</f>
        <v/>
      </c>
      <c r="G15620" s="42" t="str">
        <f>IFERROR(__xludf.DUMMYFUNCTION("""COMPUTED_VALUE"""),"")</f>
        <v/>
      </c>
      <c r="H15620" s="42">
        <f t="shared" si="1"/>
        <v>3345</v>
      </c>
    </row>
    <row r="15621" ht="22.5" customHeight="1">
      <c r="B15621" s="42" t="str">
        <f>IFERROR(__xludf.DUMMYFUNCTION("""COMPUTED_VALUE"""),"")</f>
        <v/>
      </c>
      <c r="C15621" s="42" t="str">
        <f>IFERROR(__xludf.DUMMYFUNCTION("""COMPUTED_VALUE"""),"")</f>
        <v/>
      </c>
      <c r="D15621" s="42"/>
      <c r="E15621" s="42"/>
      <c r="F15621" s="48" t="str">
        <f>IFERROR(__xludf.DUMMYFUNCTION("""COMPUTED_VALUE"""),"")</f>
        <v/>
      </c>
      <c r="G15621" s="42" t="str">
        <f>IFERROR(__xludf.DUMMYFUNCTION("""COMPUTED_VALUE"""),"")</f>
        <v/>
      </c>
      <c r="H15621" s="42">
        <f t="shared" si="1"/>
        <v>3345</v>
      </c>
    </row>
    <row r="15622" ht="22.5" customHeight="1">
      <c r="B15622" s="42" t="str">
        <f>IFERROR(__xludf.DUMMYFUNCTION("""COMPUTED_VALUE"""),"")</f>
        <v/>
      </c>
      <c r="C15622" s="42" t="str">
        <f>IFERROR(__xludf.DUMMYFUNCTION("""COMPUTED_VALUE"""),"")</f>
        <v/>
      </c>
      <c r="D15622" s="42"/>
      <c r="E15622" s="42"/>
      <c r="F15622" s="48" t="str">
        <f>IFERROR(__xludf.DUMMYFUNCTION("""COMPUTED_VALUE"""),"")</f>
        <v/>
      </c>
      <c r="G15622" s="42" t="str">
        <f>IFERROR(__xludf.DUMMYFUNCTION("""COMPUTED_VALUE"""),"")</f>
        <v/>
      </c>
      <c r="H15622" s="42">
        <f t="shared" si="1"/>
        <v>3345</v>
      </c>
    </row>
    <row r="15623" ht="22.5" customHeight="1">
      <c r="B15623" s="42" t="str">
        <f>IFERROR(__xludf.DUMMYFUNCTION("""COMPUTED_VALUE"""),"")</f>
        <v/>
      </c>
      <c r="C15623" s="42" t="str">
        <f>IFERROR(__xludf.DUMMYFUNCTION("""COMPUTED_VALUE"""),"")</f>
        <v/>
      </c>
      <c r="D15623" s="42"/>
      <c r="E15623" s="42"/>
      <c r="F15623" s="48" t="str">
        <f>IFERROR(__xludf.DUMMYFUNCTION("""COMPUTED_VALUE"""),"")</f>
        <v/>
      </c>
      <c r="G15623" s="42" t="str">
        <f>IFERROR(__xludf.DUMMYFUNCTION("""COMPUTED_VALUE"""),"")</f>
        <v/>
      </c>
      <c r="H15623" s="42">
        <f t="shared" si="1"/>
        <v>3345</v>
      </c>
    </row>
    <row r="15624" ht="22.5" customHeight="1">
      <c r="B15624" s="42" t="str">
        <f>IFERROR(__xludf.DUMMYFUNCTION("""COMPUTED_VALUE"""),"")</f>
        <v/>
      </c>
      <c r="C15624" s="42" t="str">
        <f>IFERROR(__xludf.DUMMYFUNCTION("""COMPUTED_VALUE"""),"")</f>
        <v/>
      </c>
      <c r="D15624" s="42"/>
      <c r="E15624" s="42"/>
      <c r="F15624" s="48" t="str">
        <f>IFERROR(__xludf.DUMMYFUNCTION("""COMPUTED_VALUE"""),"")</f>
        <v/>
      </c>
      <c r="G15624" s="42" t="str">
        <f>IFERROR(__xludf.DUMMYFUNCTION("""COMPUTED_VALUE"""),"")</f>
        <v/>
      </c>
      <c r="H15624" s="42">
        <f t="shared" si="1"/>
        <v>3345</v>
      </c>
    </row>
    <row r="15625" ht="22.5" customHeight="1">
      <c r="B15625" s="42" t="str">
        <f>IFERROR(__xludf.DUMMYFUNCTION("""COMPUTED_VALUE"""),"")</f>
        <v/>
      </c>
      <c r="C15625" s="42" t="str">
        <f>IFERROR(__xludf.DUMMYFUNCTION("""COMPUTED_VALUE"""),"")</f>
        <v/>
      </c>
      <c r="D15625" s="42"/>
      <c r="E15625" s="42"/>
      <c r="F15625" s="48" t="str">
        <f>IFERROR(__xludf.DUMMYFUNCTION("""COMPUTED_VALUE"""),"")</f>
        <v/>
      </c>
      <c r="G15625" s="42" t="str">
        <f>IFERROR(__xludf.DUMMYFUNCTION("""COMPUTED_VALUE"""),"")</f>
        <v/>
      </c>
      <c r="H15625" s="42">
        <f t="shared" si="1"/>
        <v>3345</v>
      </c>
    </row>
    <row r="15626" ht="22.5" customHeight="1">
      <c r="B15626" s="42" t="str">
        <f>IFERROR(__xludf.DUMMYFUNCTION("""COMPUTED_VALUE"""),"")</f>
        <v/>
      </c>
      <c r="C15626" s="42" t="str">
        <f>IFERROR(__xludf.DUMMYFUNCTION("""COMPUTED_VALUE"""),"")</f>
        <v/>
      </c>
      <c r="D15626" s="42"/>
      <c r="E15626" s="42"/>
      <c r="F15626" s="48" t="str">
        <f>IFERROR(__xludf.DUMMYFUNCTION("""COMPUTED_VALUE"""),"")</f>
        <v/>
      </c>
      <c r="G15626" s="42" t="str">
        <f>IFERROR(__xludf.DUMMYFUNCTION("""COMPUTED_VALUE"""),"")</f>
        <v/>
      </c>
      <c r="H15626" s="42">
        <f t="shared" si="1"/>
        <v>3345</v>
      </c>
    </row>
    <row r="15627" ht="22.5" customHeight="1">
      <c r="B15627" s="42" t="str">
        <f>IFERROR(__xludf.DUMMYFUNCTION("""COMPUTED_VALUE"""),"")</f>
        <v/>
      </c>
      <c r="C15627" s="42" t="str">
        <f>IFERROR(__xludf.DUMMYFUNCTION("""COMPUTED_VALUE"""),"")</f>
        <v/>
      </c>
      <c r="D15627" s="42"/>
      <c r="E15627" s="42"/>
      <c r="F15627" s="48" t="str">
        <f>IFERROR(__xludf.DUMMYFUNCTION("""COMPUTED_VALUE"""),"")</f>
        <v/>
      </c>
      <c r="G15627" s="42" t="str">
        <f>IFERROR(__xludf.DUMMYFUNCTION("""COMPUTED_VALUE"""),"")</f>
        <v/>
      </c>
      <c r="H15627" s="42">
        <f t="shared" si="1"/>
        <v>3345</v>
      </c>
    </row>
    <row r="15628" ht="22.5" customHeight="1">
      <c r="B15628" s="42" t="str">
        <f>IFERROR(__xludf.DUMMYFUNCTION("""COMPUTED_VALUE"""),"")</f>
        <v/>
      </c>
      <c r="C15628" s="42" t="str">
        <f>IFERROR(__xludf.DUMMYFUNCTION("""COMPUTED_VALUE"""),"")</f>
        <v/>
      </c>
      <c r="D15628" s="42"/>
      <c r="E15628" s="42"/>
      <c r="F15628" s="48" t="str">
        <f>IFERROR(__xludf.DUMMYFUNCTION("""COMPUTED_VALUE"""),"")</f>
        <v/>
      </c>
      <c r="G15628" s="42" t="str">
        <f>IFERROR(__xludf.DUMMYFUNCTION("""COMPUTED_VALUE"""),"")</f>
        <v/>
      </c>
      <c r="H15628" s="42">
        <f t="shared" si="1"/>
        <v>3345</v>
      </c>
    </row>
    <row r="15629" ht="22.5" customHeight="1">
      <c r="B15629" s="42" t="str">
        <f>IFERROR(__xludf.DUMMYFUNCTION("""COMPUTED_VALUE"""),"")</f>
        <v/>
      </c>
      <c r="C15629" s="42" t="str">
        <f>IFERROR(__xludf.DUMMYFUNCTION("""COMPUTED_VALUE"""),"")</f>
        <v/>
      </c>
      <c r="D15629" s="42"/>
      <c r="E15629" s="42"/>
      <c r="F15629" s="48" t="str">
        <f>IFERROR(__xludf.DUMMYFUNCTION("""COMPUTED_VALUE"""),"")</f>
        <v/>
      </c>
      <c r="G15629" s="42" t="str">
        <f>IFERROR(__xludf.DUMMYFUNCTION("""COMPUTED_VALUE"""),"")</f>
        <v/>
      </c>
      <c r="H15629" s="42">
        <f t="shared" si="1"/>
        <v>3345</v>
      </c>
    </row>
    <row r="15630" ht="22.5" customHeight="1">
      <c r="B15630" s="42" t="str">
        <f>IFERROR(__xludf.DUMMYFUNCTION("""COMPUTED_VALUE"""),"")</f>
        <v/>
      </c>
      <c r="C15630" s="42" t="str">
        <f>IFERROR(__xludf.DUMMYFUNCTION("""COMPUTED_VALUE"""),"")</f>
        <v/>
      </c>
      <c r="D15630" s="42"/>
      <c r="E15630" s="42"/>
      <c r="F15630" s="48" t="str">
        <f>IFERROR(__xludf.DUMMYFUNCTION("""COMPUTED_VALUE"""),"")</f>
        <v/>
      </c>
      <c r="G15630" s="42" t="str">
        <f>IFERROR(__xludf.DUMMYFUNCTION("""COMPUTED_VALUE"""),"")</f>
        <v/>
      </c>
      <c r="H15630" s="42">
        <f t="shared" si="1"/>
        <v>3345</v>
      </c>
    </row>
    <row r="15631" ht="22.5" customHeight="1">
      <c r="B15631" s="42" t="str">
        <f>IFERROR(__xludf.DUMMYFUNCTION("""COMPUTED_VALUE"""),"")</f>
        <v/>
      </c>
      <c r="C15631" s="42" t="str">
        <f>IFERROR(__xludf.DUMMYFUNCTION("""COMPUTED_VALUE"""),"")</f>
        <v/>
      </c>
      <c r="D15631" s="42"/>
      <c r="E15631" s="42"/>
      <c r="F15631" s="48" t="str">
        <f>IFERROR(__xludf.DUMMYFUNCTION("""COMPUTED_VALUE"""),"")</f>
        <v/>
      </c>
      <c r="G15631" s="42" t="str">
        <f>IFERROR(__xludf.DUMMYFUNCTION("""COMPUTED_VALUE"""),"")</f>
        <v/>
      </c>
      <c r="H15631" s="42">
        <f t="shared" si="1"/>
        <v>3345</v>
      </c>
    </row>
    <row r="15632" ht="22.5" customHeight="1">
      <c r="B15632" s="42" t="str">
        <f>IFERROR(__xludf.DUMMYFUNCTION("""COMPUTED_VALUE"""),"")</f>
        <v/>
      </c>
      <c r="C15632" s="42" t="str">
        <f>IFERROR(__xludf.DUMMYFUNCTION("""COMPUTED_VALUE"""),"")</f>
        <v/>
      </c>
      <c r="D15632" s="42"/>
      <c r="E15632" s="42"/>
      <c r="F15632" s="48" t="str">
        <f>IFERROR(__xludf.DUMMYFUNCTION("""COMPUTED_VALUE"""),"")</f>
        <v/>
      </c>
      <c r="G15632" s="42" t="str">
        <f>IFERROR(__xludf.DUMMYFUNCTION("""COMPUTED_VALUE"""),"")</f>
        <v/>
      </c>
      <c r="H15632" s="42">
        <f t="shared" si="1"/>
        <v>3345</v>
      </c>
    </row>
    <row r="15633" ht="22.5" customHeight="1">
      <c r="B15633" s="42" t="str">
        <f>IFERROR(__xludf.DUMMYFUNCTION("""COMPUTED_VALUE"""),"")</f>
        <v/>
      </c>
      <c r="C15633" s="42" t="str">
        <f>IFERROR(__xludf.DUMMYFUNCTION("""COMPUTED_VALUE"""),"")</f>
        <v/>
      </c>
      <c r="D15633" s="42"/>
      <c r="E15633" s="42"/>
      <c r="F15633" s="48" t="str">
        <f>IFERROR(__xludf.DUMMYFUNCTION("""COMPUTED_VALUE"""),"")</f>
        <v/>
      </c>
      <c r="G15633" s="42" t="str">
        <f>IFERROR(__xludf.DUMMYFUNCTION("""COMPUTED_VALUE"""),"")</f>
        <v/>
      </c>
      <c r="H15633" s="42">
        <f t="shared" si="1"/>
        <v>3345</v>
      </c>
    </row>
    <row r="15634" ht="22.5" customHeight="1">
      <c r="B15634" s="42" t="str">
        <f>IFERROR(__xludf.DUMMYFUNCTION("""COMPUTED_VALUE"""),"")</f>
        <v/>
      </c>
      <c r="C15634" s="42" t="str">
        <f>IFERROR(__xludf.DUMMYFUNCTION("""COMPUTED_VALUE"""),"")</f>
        <v/>
      </c>
      <c r="D15634" s="42"/>
      <c r="E15634" s="42"/>
      <c r="F15634" s="48" t="str">
        <f>IFERROR(__xludf.DUMMYFUNCTION("""COMPUTED_VALUE"""),"")</f>
        <v/>
      </c>
      <c r="G15634" s="42" t="str">
        <f>IFERROR(__xludf.DUMMYFUNCTION("""COMPUTED_VALUE"""),"")</f>
        <v/>
      </c>
      <c r="H15634" s="42">
        <f t="shared" si="1"/>
        <v>3345</v>
      </c>
    </row>
    <row r="15635" ht="22.5" customHeight="1">
      <c r="B15635" s="42" t="str">
        <f>IFERROR(__xludf.DUMMYFUNCTION("""COMPUTED_VALUE"""),"")</f>
        <v/>
      </c>
      <c r="C15635" s="42" t="str">
        <f>IFERROR(__xludf.DUMMYFUNCTION("""COMPUTED_VALUE"""),"")</f>
        <v/>
      </c>
      <c r="D15635" s="42"/>
      <c r="E15635" s="42"/>
      <c r="F15635" s="48" t="str">
        <f>IFERROR(__xludf.DUMMYFUNCTION("""COMPUTED_VALUE"""),"")</f>
        <v/>
      </c>
      <c r="G15635" s="42" t="str">
        <f>IFERROR(__xludf.DUMMYFUNCTION("""COMPUTED_VALUE"""),"")</f>
        <v/>
      </c>
      <c r="H15635" s="42">
        <f t="shared" si="1"/>
        <v>3345</v>
      </c>
    </row>
    <row r="15636" ht="22.5" customHeight="1">
      <c r="B15636" s="42" t="str">
        <f>IFERROR(__xludf.DUMMYFUNCTION("""COMPUTED_VALUE"""),"")</f>
        <v/>
      </c>
      <c r="C15636" s="42" t="str">
        <f>IFERROR(__xludf.DUMMYFUNCTION("""COMPUTED_VALUE"""),"")</f>
        <v/>
      </c>
      <c r="D15636" s="42"/>
      <c r="E15636" s="42"/>
      <c r="F15636" s="48" t="str">
        <f>IFERROR(__xludf.DUMMYFUNCTION("""COMPUTED_VALUE"""),"")</f>
        <v/>
      </c>
      <c r="G15636" s="42" t="str">
        <f>IFERROR(__xludf.DUMMYFUNCTION("""COMPUTED_VALUE"""),"")</f>
        <v/>
      </c>
      <c r="H15636" s="42">
        <f t="shared" si="1"/>
        <v>3345</v>
      </c>
    </row>
    <row r="15637" ht="22.5" customHeight="1">
      <c r="B15637" s="42" t="str">
        <f>IFERROR(__xludf.DUMMYFUNCTION("""COMPUTED_VALUE"""),"")</f>
        <v/>
      </c>
      <c r="C15637" s="42" t="str">
        <f>IFERROR(__xludf.DUMMYFUNCTION("""COMPUTED_VALUE"""),"")</f>
        <v/>
      </c>
      <c r="D15637" s="42"/>
      <c r="E15637" s="42"/>
      <c r="F15637" s="48" t="str">
        <f>IFERROR(__xludf.DUMMYFUNCTION("""COMPUTED_VALUE"""),"")</f>
        <v/>
      </c>
      <c r="G15637" s="42" t="str">
        <f>IFERROR(__xludf.DUMMYFUNCTION("""COMPUTED_VALUE"""),"")</f>
        <v/>
      </c>
      <c r="H15637" s="42">
        <f t="shared" si="1"/>
        <v>3345</v>
      </c>
    </row>
    <row r="15638" ht="22.5" customHeight="1">
      <c r="B15638" s="42" t="str">
        <f>IFERROR(__xludf.DUMMYFUNCTION("""COMPUTED_VALUE"""),"")</f>
        <v/>
      </c>
      <c r="C15638" s="42" t="str">
        <f>IFERROR(__xludf.DUMMYFUNCTION("""COMPUTED_VALUE"""),"")</f>
        <v/>
      </c>
      <c r="D15638" s="42"/>
      <c r="E15638" s="42"/>
      <c r="F15638" s="48" t="str">
        <f>IFERROR(__xludf.DUMMYFUNCTION("""COMPUTED_VALUE"""),"")</f>
        <v/>
      </c>
      <c r="G15638" s="42" t="str">
        <f>IFERROR(__xludf.DUMMYFUNCTION("""COMPUTED_VALUE"""),"")</f>
        <v/>
      </c>
      <c r="H15638" s="42">
        <f t="shared" si="1"/>
        <v>3345</v>
      </c>
    </row>
    <row r="15639" ht="22.5" customHeight="1">
      <c r="B15639" s="42" t="str">
        <f>IFERROR(__xludf.DUMMYFUNCTION("""COMPUTED_VALUE"""),"")</f>
        <v/>
      </c>
      <c r="C15639" s="42" t="str">
        <f>IFERROR(__xludf.DUMMYFUNCTION("""COMPUTED_VALUE"""),"")</f>
        <v/>
      </c>
      <c r="D15639" s="42"/>
      <c r="E15639" s="42"/>
      <c r="F15639" s="48" t="str">
        <f>IFERROR(__xludf.DUMMYFUNCTION("""COMPUTED_VALUE"""),"")</f>
        <v/>
      </c>
      <c r="G15639" s="42" t="str">
        <f>IFERROR(__xludf.DUMMYFUNCTION("""COMPUTED_VALUE"""),"")</f>
        <v/>
      </c>
      <c r="H15639" s="42">
        <f t="shared" si="1"/>
        <v>3345</v>
      </c>
    </row>
    <row r="15640" ht="22.5" customHeight="1">
      <c r="B15640" s="42" t="str">
        <f>IFERROR(__xludf.DUMMYFUNCTION("""COMPUTED_VALUE"""),"")</f>
        <v/>
      </c>
      <c r="C15640" s="42" t="str">
        <f>IFERROR(__xludf.DUMMYFUNCTION("""COMPUTED_VALUE"""),"")</f>
        <v/>
      </c>
      <c r="D15640" s="42"/>
      <c r="E15640" s="42"/>
      <c r="F15640" s="48" t="str">
        <f>IFERROR(__xludf.DUMMYFUNCTION("""COMPUTED_VALUE"""),"")</f>
        <v/>
      </c>
      <c r="G15640" s="42" t="str">
        <f>IFERROR(__xludf.DUMMYFUNCTION("""COMPUTED_VALUE"""),"")</f>
        <v/>
      </c>
      <c r="H15640" s="42">
        <f t="shared" si="1"/>
        <v>3345</v>
      </c>
    </row>
    <row r="15641" ht="22.5" customHeight="1">
      <c r="B15641" s="42" t="str">
        <f>IFERROR(__xludf.DUMMYFUNCTION("""COMPUTED_VALUE"""),"")</f>
        <v/>
      </c>
      <c r="C15641" s="42" t="str">
        <f>IFERROR(__xludf.DUMMYFUNCTION("""COMPUTED_VALUE"""),"")</f>
        <v/>
      </c>
      <c r="D15641" s="42"/>
      <c r="E15641" s="42"/>
      <c r="F15641" s="48" t="str">
        <f>IFERROR(__xludf.DUMMYFUNCTION("""COMPUTED_VALUE"""),"")</f>
        <v/>
      </c>
      <c r="G15641" s="42" t="str">
        <f>IFERROR(__xludf.DUMMYFUNCTION("""COMPUTED_VALUE"""),"")</f>
        <v/>
      </c>
      <c r="H15641" s="42">
        <f t="shared" si="1"/>
        <v>3345</v>
      </c>
    </row>
    <row r="15642" ht="22.5" customHeight="1">
      <c r="B15642" s="42" t="str">
        <f>IFERROR(__xludf.DUMMYFUNCTION("""COMPUTED_VALUE"""),"")</f>
        <v/>
      </c>
      <c r="C15642" s="42" t="str">
        <f>IFERROR(__xludf.DUMMYFUNCTION("""COMPUTED_VALUE"""),"")</f>
        <v/>
      </c>
      <c r="D15642" s="42"/>
      <c r="E15642" s="42"/>
      <c r="F15642" s="48" t="str">
        <f>IFERROR(__xludf.DUMMYFUNCTION("""COMPUTED_VALUE"""),"")</f>
        <v/>
      </c>
      <c r="G15642" s="42" t="str">
        <f>IFERROR(__xludf.DUMMYFUNCTION("""COMPUTED_VALUE"""),"")</f>
        <v/>
      </c>
      <c r="H15642" s="42">
        <f t="shared" si="1"/>
        <v>3345</v>
      </c>
    </row>
    <row r="15643" ht="22.5" customHeight="1">
      <c r="B15643" s="42" t="str">
        <f>IFERROR(__xludf.DUMMYFUNCTION("""COMPUTED_VALUE"""),"")</f>
        <v/>
      </c>
      <c r="C15643" s="42" t="str">
        <f>IFERROR(__xludf.DUMMYFUNCTION("""COMPUTED_VALUE"""),"")</f>
        <v/>
      </c>
      <c r="D15643" s="42"/>
      <c r="E15643" s="42"/>
      <c r="F15643" s="48" t="str">
        <f>IFERROR(__xludf.DUMMYFUNCTION("""COMPUTED_VALUE"""),"")</f>
        <v/>
      </c>
      <c r="G15643" s="42" t="str">
        <f>IFERROR(__xludf.DUMMYFUNCTION("""COMPUTED_VALUE"""),"")</f>
        <v/>
      </c>
      <c r="H15643" s="42">
        <f t="shared" si="1"/>
        <v>3345</v>
      </c>
    </row>
    <row r="15644" ht="22.5" customHeight="1">
      <c r="B15644" s="42" t="str">
        <f>IFERROR(__xludf.DUMMYFUNCTION("""COMPUTED_VALUE"""),"")</f>
        <v/>
      </c>
      <c r="C15644" s="42" t="str">
        <f>IFERROR(__xludf.DUMMYFUNCTION("""COMPUTED_VALUE"""),"")</f>
        <v/>
      </c>
      <c r="D15644" s="42"/>
      <c r="E15644" s="42"/>
      <c r="F15644" s="48" t="str">
        <f>IFERROR(__xludf.DUMMYFUNCTION("""COMPUTED_VALUE"""),"")</f>
        <v/>
      </c>
      <c r="G15644" s="42" t="str">
        <f>IFERROR(__xludf.DUMMYFUNCTION("""COMPUTED_VALUE"""),"")</f>
        <v/>
      </c>
      <c r="H15644" s="42">
        <f t="shared" si="1"/>
        <v>3345</v>
      </c>
    </row>
    <row r="15645" ht="22.5" customHeight="1">
      <c r="B15645" s="42" t="str">
        <f>IFERROR(__xludf.DUMMYFUNCTION("""COMPUTED_VALUE"""),"")</f>
        <v/>
      </c>
      <c r="C15645" s="42" t="str">
        <f>IFERROR(__xludf.DUMMYFUNCTION("""COMPUTED_VALUE"""),"")</f>
        <v/>
      </c>
      <c r="D15645" s="42"/>
      <c r="E15645" s="42"/>
      <c r="F15645" s="48" t="str">
        <f>IFERROR(__xludf.DUMMYFUNCTION("""COMPUTED_VALUE"""),"")</f>
        <v/>
      </c>
      <c r="G15645" s="42" t="str">
        <f>IFERROR(__xludf.DUMMYFUNCTION("""COMPUTED_VALUE"""),"")</f>
        <v/>
      </c>
      <c r="H15645" s="42">
        <f t="shared" si="1"/>
        <v>3345</v>
      </c>
    </row>
    <row r="15646" ht="22.5" customHeight="1">
      <c r="B15646" s="42" t="str">
        <f>IFERROR(__xludf.DUMMYFUNCTION("""COMPUTED_VALUE"""),"")</f>
        <v/>
      </c>
      <c r="C15646" s="42" t="str">
        <f>IFERROR(__xludf.DUMMYFUNCTION("""COMPUTED_VALUE"""),"")</f>
        <v/>
      </c>
      <c r="D15646" s="42"/>
      <c r="E15646" s="42"/>
      <c r="F15646" s="48" t="str">
        <f>IFERROR(__xludf.DUMMYFUNCTION("""COMPUTED_VALUE"""),"")</f>
        <v/>
      </c>
      <c r="G15646" s="42" t="str">
        <f>IFERROR(__xludf.DUMMYFUNCTION("""COMPUTED_VALUE"""),"")</f>
        <v/>
      </c>
      <c r="H15646" s="42">
        <f t="shared" si="1"/>
        <v>3345</v>
      </c>
    </row>
    <row r="15647" ht="22.5" customHeight="1">
      <c r="B15647" s="42" t="str">
        <f>IFERROR(__xludf.DUMMYFUNCTION("""COMPUTED_VALUE"""),"")</f>
        <v/>
      </c>
      <c r="C15647" s="42" t="str">
        <f>IFERROR(__xludf.DUMMYFUNCTION("""COMPUTED_VALUE"""),"")</f>
        <v/>
      </c>
      <c r="D15647" s="42"/>
      <c r="E15647" s="42"/>
      <c r="F15647" s="48" t="str">
        <f>IFERROR(__xludf.DUMMYFUNCTION("""COMPUTED_VALUE"""),"")</f>
        <v/>
      </c>
      <c r="G15647" s="42" t="str">
        <f>IFERROR(__xludf.DUMMYFUNCTION("""COMPUTED_VALUE"""),"")</f>
        <v/>
      </c>
      <c r="H15647" s="42">
        <f t="shared" si="1"/>
        <v>3345</v>
      </c>
    </row>
    <row r="15648" ht="22.5" customHeight="1">
      <c r="B15648" s="42" t="str">
        <f>IFERROR(__xludf.DUMMYFUNCTION("""COMPUTED_VALUE"""),"")</f>
        <v/>
      </c>
      <c r="C15648" s="42" t="str">
        <f>IFERROR(__xludf.DUMMYFUNCTION("""COMPUTED_VALUE"""),"")</f>
        <v/>
      </c>
      <c r="D15648" s="42"/>
      <c r="E15648" s="42"/>
      <c r="F15648" s="48" t="str">
        <f>IFERROR(__xludf.DUMMYFUNCTION("""COMPUTED_VALUE"""),"")</f>
        <v/>
      </c>
      <c r="G15648" s="42" t="str">
        <f>IFERROR(__xludf.DUMMYFUNCTION("""COMPUTED_VALUE"""),"")</f>
        <v/>
      </c>
      <c r="H15648" s="42">
        <f t="shared" si="1"/>
        <v>3345</v>
      </c>
    </row>
    <row r="15649" ht="22.5" customHeight="1">
      <c r="B15649" s="42" t="str">
        <f>IFERROR(__xludf.DUMMYFUNCTION("""COMPUTED_VALUE"""),"")</f>
        <v/>
      </c>
      <c r="C15649" s="42" t="str">
        <f>IFERROR(__xludf.DUMMYFUNCTION("""COMPUTED_VALUE"""),"")</f>
        <v/>
      </c>
      <c r="D15649" s="42"/>
      <c r="E15649" s="42"/>
      <c r="F15649" s="48" t="str">
        <f>IFERROR(__xludf.DUMMYFUNCTION("""COMPUTED_VALUE"""),"")</f>
        <v/>
      </c>
      <c r="G15649" s="42" t="str">
        <f>IFERROR(__xludf.DUMMYFUNCTION("""COMPUTED_VALUE"""),"")</f>
        <v/>
      </c>
      <c r="H15649" s="42">
        <f t="shared" si="1"/>
        <v>3345</v>
      </c>
    </row>
    <row r="15650" ht="22.5" customHeight="1">
      <c r="B15650" s="42" t="str">
        <f>IFERROR(__xludf.DUMMYFUNCTION("""COMPUTED_VALUE"""),"")</f>
        <v/>
      </c>
      <c r="C15650" s="42" t="str">
        <f>IFERROR(__xludf.DUMMYFUNCTION("""COMPUTED_VALUE"""),"")</f>
        <v/>
      </c>
      <c r="D15650" s="42"/>
      <c r="E15650" s="42"/>
      <c r="F15650" s="48" t="str">
        <f>IFERROR(__xludf.DUMMYFUNCTION("""COMPUTED_VALUE"""),"")</f>
        <v/>
      </c>
      <c r="G15650" s="42" t="str">
        <f>IFERROR(__xludf.DUMMYFUNCTION("""COMPUTED_VALUE"""),"")</f>
        <v/>
      </c>
      <c r="H15650" s="42">
        <f t="shared" si="1"/>
        <v>3345</v>
      </c>
    </row>
    <row r="15651" ht="22.5" customHeight="1">
      <c r="B15651" s="42" t="str">
        <f>IFERROR(__xludf.DUMMYFUNCTION("""COMPUTED_VALUE"""),"")</f>
        <v/>
      </c>
      <c r="C15651" s="42" t="str">
        <f>IFERROR(__xludf.DUMMYFUNCTION("""COMPUTED_VALUE"""),"")</f>
        <v/>
      </c>
      <c r="D15651" s="42"/>
      <c r="E15651" s="42"/>
      <c r="F15651" s="48" t="str">
        <f>IFERROR(__xludf.DUMMYFUNCTION("""COMPUTED_VALUE"""),"")</f>
        <v/>
      </c>
      <c r="G15651" s="42" t="str">
        <f>IFERROR(__xludf.DUMMYFUNCTION("""COMPUTED_VALUE"""),"")</f>
        <v/>
      </c>
      <c r="H15651" s="42">
        <f t="shared" si="1"/>
        <v>3345</v>
      </c>
    </row>
    <row r="15652" ht="22.5" customHeight="1">
      <c r="B15652" s="42" t="str">
        <f>IFERROR(__xludf.DUMMYFUNCTION("""COMPUTED_VALUE"""),"")</f>
        <v/>
      </c>
      <c r="C15652" s="42" t="str">
        <f>IFERROR(__xludf.DUMMYFUNCTION("""COMPUTED_VALUE"""),"")</f>
        <v/>
      </c>
      <c r="D15652" s="42"/>
      <c r="E15652" s="42"/>
      <c r="F15652" s="48" t="str">
        <f>IFERROR(__xludf.DUMMYFUNCTION("""COMPUTED_VALUE"""),"")</f>
        <v/>
      </c>
      <c r="G15652" s="42" t="str">
        <f>IFERROR(__xludf.DUMMYFUNCTION("""COMPUTED_VALUE"""),"")</f>
        <v/>
      </c>
      <c r="H15652" s="42">
        <f t="shared" si="1"/>
        <v>3345</v>
      </c>
    </row>
    <row r="15653" ht="22.5" customHeight="1">
      <c r="B15653" s="42" t="str">
        <f>IFERROR(__xludf.DUMMYFUNCTION("""COMPUTED_VALUE"""),"")</f>
        <v/>
      </c>
      <c r="C15653" s="42" t="str">
        <f>IFERROR(__xludf.DUMMYFUNCTION("""COMPUTED_VALUE"""),"")</f>
        <v/>
      </c>
      <c r="D15653" s="42"/>
      <c r="E15653" s="42"/>
      <c r="F15653" s="48" t="str">
        <f>IFERROR(__xludf.DUMMYFUNCTION("""COMPUTED_VALUE"""),"")</f>
        <v/>
      </c>
      <c r="G15653" s="42" t="str">
        <f>IFERROR(__xludf.DUMMYFUNCTION("""COMPUTED_VALUE"""),"")</f>
        <v/>
      </c>
      <c r="H15653" s="42">
        <f t="shared" si="1"/>
        <v>3345</v>
      </c>
    </row>
    <row r="15654" ht="22.5" customHeight="1">
      <c r="B15654" s="42" t="str">
        <f>IFERROR(__xludf.DUMMYFUNCTION("""COMPUTED_VALUE"""),"")</f>
        <v/>
      </c>
      <c r="C15654" s="42" t="str">
        <f>IFERROR(__xludf.DUMMYFUNCTION("""COMPUTED_VALUE"""),"")</f>
        <v/>
      </c>
      <c r="D15654" s="42"/>
      <c r="E15654" s="42"/>
      <c r="F15654" s="48" t="str">
        <f>IFERROR(__xludf.DUMMYFUNCTION("""COMPUTED_VALUE"""),"")</f>
        <v/>
      </c>
      <c r="G15654" s="42" t="str">
        <f>IFERROR(__xludf.DUMMYFUNCTION("""COMPUTED_VALUE"""),"")</f>
        <v/>
      </c>
      <c r="H15654" s="42">
        <f t="shared" si="1"/>
        <v>3345</v>
      </c>
    </row>
    <row r="15655" ht="22.5" customHeight="1">
      <c r="B15655" s="42" t="str">
        <f>IFERROR(__xludf.DUMMYFUNCTION("""COMPUTED_VALUE"""),"")</f>
        <v/>
      </c>
      <c r="C15655" s="42" t="str">
        <f>IFERROR(__xludf.DUMMYFUNCTION("""COMPUTED_VALUE"""),"")</f>
        <v/>
      </c>
      <c r="D15655" s="42"/>
      <c r="E15655" s="42"/>
      <c r="F15655" s="48" t="str">
        <f>IFERROR(__xludf.DUMMYFUNCTION("""COMPUTED_VALUE"""),"")</f>
        <v/>
      </c>
      <c r="G15655" s="42" t="str">
        <f>IFERROR(__xludf.DUMMYFUNCTION("""COMPUTED_VALUE"""),"")</f>
        <v/>
      </c>
      <c r="H15655" s="42">
        <f t="shared" si="1"/>
        <v>3345</v>
      </c>
    </row>
    <row r="15656" ht="22.5" customHeight="1">
      <c r="B15656" s="42" t="str">
        <f>IFERROR(__xludf.DUMMYFUNCTION("""COMPUTED_VALUE"""),"")</f>
        <v/>
      </c>
      <c r="C15656" s="42" t="str">
        <f>IFERROR(__xludf.DUMMYFUNCTION("""COMPUTED_VALUE"""),"")</f>
        <v/>
      </c>
      <c r="D15656" s="42"/>
      <c r="E15656" s="42"/>
      <c r="F15656" s="48" t="str">
        <f>IFERROR(__xludf.DUMMYFUNCTION("""COMPUTED_VALUE"""),"")</f>
        <v/>
      </c>
      <c r="G15656" s="42" t="str">
        <f>IFERROR(__xludf.DUMMYFUNCTION("""COMPUTED_VALUE"""),"")</f>
        <v/>
      </c>
      <c r="H15656" s="42">
        <f t="shared" si="1"/>
        <v>3345</v>
      </c>
    </row>
    <row r="15657" ht="22.5" customHeight="1">
      <c r="B15657" s="42" t="str">
        <f>IFERROR(__xludf.DUMMYFUNCTION("""COMPUTED_VALUE"""),"")</f>
        <v/>
      </c>
      <c r="C15657" s="42" t="str">
        <f>IFERROR(__xludf.DUMMYFUNCTION("""COMPUTED_VALUE"""),"")</f>
        <v/>
      </c>
      <c r="D15657" s="42"/>
      <c r="E15657" s="42"/>
      <c r="F15657" s="48" t="str">
        <f>IFERROR(__xludf.DUMMYFUNCTION("""COMPUTED_VALUE"""),"")</f>
        <v/>
      </c>
      <c r="G15657" s="42" t="str">
        <f>IFERROR(__xludf.DUMMYFUNCTION("""COMPUTED_VALUE"""),"")</f>
        <v/>
      </c>
      <c r="H15657" s="42">
        <f t="shared" si="1"/>
        <v>3345</v>
      </c>
    </row>
    <row r="15658" ht="22.5" customHeight="1">
      <c r="B15658" s="42" t="str">
        <f>IFERROR(__xludf.DUMMYFUNCTION("""COMPUTED_VALUE"""),"")</f>
        <v/>
      </c>
      <c r="C15658" s="42" t="str">
        <f>IFERROR(__xludf.DUMMYFUNCTION("""COMPUTED_VALUE"""),"")</f>
        <v/>
      </c>
      <c r="D15658" s="42"/>
      <c r="E15658" s="42"/>
      <c r="F15658" s="48" t="str">
        <f>IFERROR(__xludf.DUMMYFUNCTION("""COMPUTED_VALUE"""),"")</f>
        <v/>
      </c>
      <c r="G15658" s="42" t="str">
        <f>IFERROR(__xludf.DUMMYFUNCTION("""COMPUTED_VALUE"""),"")</f>
        <v/>
      </c>
      <c r="H15658" s="42">
        <f t="shared" si="1"/>
        <v>3345</v>
      </c>
    </row>
    <row r="15659" ht="22.5" customHeight="1">
      <c r="B15659" s="42" t="str">
        <f>IFERROR(__xludf.DUMMYFUNCTION("""COMPUTED_VALUE"""),"")</f>
        <v/>
      </c>
      <c r="C15659" s="42" t="str">
        <f>IFERROR(__xludf.DUMMYFUNCTION("""COMPUTED_VALUE"""),"")</f>
        <v/>
      </c>
      <c r="D15659" s="42"/>
      <c r="E15659" s="42"/>
      <c r="F15659" s="48" t="str">
        <f>IFERROR(__xludf.DUMMYFUNCTION("""COMPUTED_VALUE"""),"")</f>
        <v/>
      </c>
      <c r="G15659" s="42" t="str">
        <f>IFERROR(__xludf.DUMMYFUNCTION("""COMPUTED_VALUE"""),"")</f>
        <v/>
      </c>
      <c r="H15659" s="42">
        <f t="shared" si="1"/>
        <v>3345</v>
      </c>
    </row>
    <row r="15660" ht="22.5" customHeight="1">
      <c r="B15660" s="42" t="str">
        <f>IFERROR(__xludf.DUMMYFUNCTION("""COMPUTED_VALUE"""),"")</f>
        <v/>
      </c>
      <c r="C15660" s="42" t="str">
        <f>IFERROR(__xludf.DUMMYFUNCTION("""COMPUTED_VALUE"""),"")</f>
        <v/>
      </c>
      <c r="D15660" s="42"/>
      <c r="E15660" s="42"/>
      <c r="F15660" s="48" t="str">
        <f>IFERROR(__xludf.DUMMYFUNCTION("""COMPUTED_VALUE"""),"")</f>
        <v/>
      </c>
      <c r="G15660" s="42" t="str">
        <f>IFERROR(__xludf.DUMMYFUNCTION("""COMPUTED_VALUE"""),"")</f>
        <v/>
      </c>
      <c r="H15660" s="42">
        <f t="shared" si="1"/>
        <v>3345</v>
      </c>
    </row>
    <row r="15661" ht="22.5" customHeight="1">
      <c r="B15661" s="42" t="str">
        <f>IFERROR(__xludf.DUMMYFUNCTION("""COMPUTED_VALUE"""),"")</f>
        <v/>
      </c>
      <c r="C15661" s="42" t="str">
        <f>IFERROR(__xludf.DUMMYFUNCTION("""COMPUTED_VALUE"""),"")</f>
        <v/>
      </c>
      <c r="D15661" s="42"/>
      <c r="E15661" s="42"/>
      <c r="F15661" s="48" t="str">
        <f>IFERROR(__xludf.DUMMYFUNCTION("""COMPUTED_VALUE"""),"")</f>
        <v/>
      </c>
      <c r="G15661" s="42" t="str">
        <f>IFERROR(__xludf.DUMMYFUNCTION("""COMPUTED_VALUE"""),"")</f>
        <v/>
      </c>
      <c r="H15661" s="42">
        <f t="shared" si="1"/>
        <v>3345</v>
      </c>
    </row>
    <row r="15662" ht="22.5" customHeight="1">
      <c r="B15662" s="42" t="str">
        <f>IFERROR(__xludf.DUMMYFUNCTION("""COMPUTED_VALUE"""),"")</f>
        <v/>
      </c>
      <c r="C15662" s="42" t="str">
        <f>IFERROR(__xludf.DUMMYFUNCTION("""COMPUTED_VALUE"""),"")</f>
        <v/>
      </c>
      <c r="D15662" s="42"/>
      <c r="E15662" s="42"/>
      <c r="F15662" s="48" t="str">
        <f>IFERROR(__xludf.DUMMYFUNCTION("""COMPUTED_VALUE"""),"")</f>
        <v/>
      </c>
      <c r="G15662" s="42" t="str">
        <f>IFERROR(__xludf.DUMMYFUNCTION("""COMPUTED_VALUE"""),"")</f>
        <v/>
      </c>
      <c r="H15662" s="42">
        <f t="shared" si="1"/>
        <v>3345</v>
      </c>
    </row>
    <row r="15663" ht="22.5" customHeight="1">
      <c r="B15663" s="42" t="str">
        <f>IFERROR(__xludf.DUMMYFUNCTION("""COMPUTED_VALUE"""),"")</f>
        <v/>
      </c>
      <c r="C15663" s="42" t="str">
        <f>IFERROR(__xludf.DUMMYFUNCTION("""COMPUTED_VALUE"""),"")</f>
        <v/>
      </c>
      <c r="D15663" s="42"/>
      <c r="E15663" s="42"/>
      <c r="F15663" s="48" t="str">
        <f>IFERROR(__xludf.DUMMYFUNCTION("""COMPUTED_VALUE"""),"")</f>
        <v/>
      </c>
      <c r="G15663" s="42" t="str">
        <f>IFERROR(__xludf.DUMMYFUNCTION("""COMPUTED_VALUE"""),"")</f>
        <v/>
      </c>
      <c r="H15663" s="42">
        <f t="shared" si="1"/>
        <v>3345</v>
      </c>
    </row>
    <row r="15664" ht="22.5" customHeight="1">
      <c r="B15664" s="42" t="str">
        <f>IFERROR(__xludf.DUMMYFUNCTION("""COMPUTED_VALUE"""),"")</f>
        <v/>
      </c>
      <c r="C15664" s="42" t="str">
        <f>IFERROR(__xludf.DUMMYFUNCTION("""COMPUTED_VALUE"""),"")</f>
        <v/>
      </c>
      <c r="D15664" s="42"/>
      <c r="E15664" s="42"/>
      <c r="F15664" s="48" t="str">
        <f>IFERROR(__xludf.DUMMYFUNCTION("""COMPUTED_VALUE"""),"")</f>
        <v/>
      </c>
      <c r="G15664" s="42" t="str">
        <f>IFERROR(__xludf.DUMMYFUNCTION("""COMPUTED_VALUE"""),"")</f>
        <v/>
      </c>
      <c r="H15664" s="42">
        <f t="shared" si="1"/>
        <v>3345</v>
      </c>
    </row>
    <row r="15665" ht="22.5" customHeight="1">
      <c r="B15665" s="42" t="str">
        <f>IFERROR(__xludf.DUMMYFUNCTION("""COMPUTED_VALUE"""),"")</f>
        <v/>
      </c>
      <c r="C15665" s="42" t="str">
        <f>IFERROR(__xludf.DUMMYFUNCTION("""COMPUTED_VALUE"""),"")</f>
        <v/>
      </c>
      <c r="D15665" s="42"/>
      <c r="E15665" s="42"/>
      <c r="F15665" s="48" t="str">
        <f>IFERROR(__xludf.DUMMYFUNCTION("""COMPUTED_VALUE"""),"")</f>
        <v/>
      </c>
      <c r="G15665" s="42" t="str">
        <f>IFERROR(__xludf.DUMMYFUNCTION("""COMPUTED_VALUE"""),"")</f>
        <v/>
      </c>
      <c r="H15665" s="42">
        <f t="shared" si="1"/>
        <v>3345</v>
      </c>
    </row>
    <row r="15666" ht="22.5" customHeight="1">
      <c r="B15666" s="42" t="str">
        <f>IFERROR(__xludf.DUMMYFUNCTION("""COMPUTED_VALUE"""),"")</f>
        <v/>
      </c>
      <c r="C15666" s="42" t="str">
        <f>IFERROR(__xludf.DUMMYFUNCTION("""COMPUTED_VALUE"""),"")</f>
        <v/>
      </c>
      <c r="D15666" s="42"/>
      <c r="E15666" s="42"/>
      <c r="F15666" s="48" t="str">
        <f>IFERROR(__xludf.DUMMYFUNCTION("""COMPUTED_VALUE"""),"")</f>
        <v/>
      </c>
      <c r="G15666" s="42" t="str">
        <f>IFERROR(__xludf.DUMMYFUNCTION("""COMPUTED_VALUE"""),"")</f>
        <v/>
      </c>
      <c r="H15666" s="42">
        <f t="shared" si="1"/>
        <v>3345</v>
      </c>
    </row>
    <row r="15667" ht="22.5" customHeight="1">
      <c r="B15667" s="42" t="str">
        <f>IFERROR(__xludf.DUMMYFUNCTION("""COMPUTED_VALUE"""),"")</f>
        <v/>
      </c>
      <c r="C15667" s="42" t="str">
        <f>IFERROR(__xludf.DUMMYFUNCTION("""COMPUTED_VALUE"""),"")</f>
        <v/>
      </c>
      <c r="D15667" s="42"/>
      <c r="E15667" s="42"/>
      <c r="F15667" s="48" t="str">
        <f>IFERROR(__xludf.DUMMYFUNCTION("""COMPUTED_VALUE"""),"")</f>
        <v/>
      </c>
      <c r="G15667" s="42" t="str">
        <f>IFERROR(__xludf.DUMMYFUNCTION("""COMPUTED_VALUE"""),"")</f>
        <v/>
      </c>
      <c r="H15667" s="42">
        <f t="shared" si="1"/>
        <v>3345</v>
      </c>
    </row>
    <row r="15668" ht="22.5" customHeight="1">
      <c r="B15668" s="42" t="str">
        <f>IFERROR(__xludf.DUMMYFUNCTION("""COMPUTED_VALUE"""),"")</f>
        <v/>
      </c>
      <c r="C15668" s="42" t="str">
        <f>IFERROR(__xludf.DUMMYFUNCTION("""COMPUTED_VALUE"""),"")</f>
        <v/>
      </c>
      <c r="D15668" s="42"/>
      <c r="E15668" s="42"/>
      <c r="F15668" s="48" t="str">
        <f>IFERROR(__xludf.DUMMYFUNCTION("""COMPUTED_VALUE"""),"")</f>
        <v/>
      </c>
      <c r="G15668" s="42" t="str">
        <f>IFERROR(__xludf.DUMMYFUNCTION("""COMPUTED_VALUE"""),"")</f>
        <v/>
      </c>
      <c r="H15668" s="42">
        <f t="shared" si="1"/>
        <v>3345</v>
      </c>
    </row>
    <row r="15669" ht="22.5" customHeight="1">
      <c r="B15669" s="42" t="str">
        <f>IFERROR(__xludf.DUMMYFUNCTION("""COMPUTED_VALUE"""),"")</f>
        <v/>
      </c>
      <c r="C15669" s="42" t="str">
        <f>IFERROR(__xludf.DUMMYFUNCTION("""COMPUTED_VALUE"""),"")</f>
        <v/>
      </c>
      <c r="D15669" s="42"/>
      <c r="E15669" s="42"/>
      <c r="F15669" s="48" t="str">
        <f>IFERROR(__xludf.DUMMYFUNCTION("""COMPUTED_VALUE"""),"")</f>
        <v/>
      </c>
      <c r="G15669" s="42" t="str">
        <f>IFERROR(__xludf.DUMMYFUNCTION("""COMPUTED_VALUE"""),"")</f>
        <v/>
      </c>
      <c r="H15669" s="42">
        <f t="shared" si="1"/>
        <v>3345</v>
      </c>
    </row>
    <row r="15670" ht="22.5" customHeight="1">
      <c r="B15670" s="42" t="str">
        <f>IFERROR(__xludf.DUMMYFUNCTION("""COMPUTED_VALUE"""),"")</f>
        <v/>
      </c>
      <c r="C15670" s="42" t="str">
        <f>IFERROR(__xludf.DUMMYFUNCTION("""COMPUTED_VALUE"""),"")</f>
        <v/>
      </c>
      <c r="D15670" s="42"/>
      <c r="E15670" s="42"/>
      <c r="F15670" s="48" t="str">
        <f>IFERROR(__xludf.DUMMYFUNCTION("""COMPUTED_VALUE"""),"")</f>
        <v/>
      </c>
      <c r="G15670" s="42" t="str">
        <f>IFERROR(__xludf.DUMMYFUNCTION("""COMPUTED_VALUE"""),"")</f>
        <v/>
      </c>
      <c r="H15670" s="42">
        <f t="shared" si="1"/>
        <v>3345</v>
      </c>
    </row>
    <row r="15671" ht="22.5" customHeight="1">
      <c r="B15671" s="42" t="str">
        <f>IFERROR(__xludf.DUMMYFUNCTION("""COMPUTED_VALUE"""),"")</f>
        <v/>
      </c>
      <c r="C15671" s="42" t="str">
        <f>IFERROR(__xludf.DUMMYFUNCTION("""COMPUTED_VALUE"""),"")</f>
        <v/>
      </c>
      <c r="D15671" s="42"/>
      <c r="E15671" s="42"/>
      <c r="F15671" s="48" t="str">
        <f>IFERROR(__xludf.DUMMYFUNCTION("""COMPUTED_VALUE"""),"")</f>
        <v/>
      </c>
      <c r="G15671" s="42" t="str">
        <f>IFERROR(__xludf.DUMMYFUNCTION("""COMPUTED_VALUE"""),"")</f>
        <v/>
      </c>
      <c r="H15671" s="42">
        <f t="shared" si="1"/>
        <v>3345</v>
      </c>
    </row>
    <row r="15672" ht="22.5" customHeight="1">
      <c r="B15672" s="42" t="str">
        <f>IFERROR(__xludf.DUMMYFUNCTION("""COMPUTED_VALUE"""),"")</f>
        <v/>
      </c>
      <c r="C15672" s="42" t="str">
        <f>IFERROR(__xludf.DUMMYFUNCTION("""COMPUTED_VALUE"""),"")</f>
        <v/>
      </c>
      <c r="D15672" s="42"/>
      <c r="E15672" s="42"/>
      <c r="F15672" s="48" t="str">
        <f>IFERROR(__xludf.DUMMYFUNCTION("""COMPUTED_VALUE"""),"")</f>
        <v/>
      </c>
      <c r="G15672" s="42" t="str">
        <f>IFERROR(__xludf.DUMMYFUNCTION("""COMPUTED_VALUE"""),"")</f>
        <v/>
      </c>
      <c r="H15672" s="42">
        <f t="shared" si="1"/>
        <v>3345</v>
      </c>
    </row>
    <row r="15673" ht="22.5" customHeight="1">
      <c r="B15673" s="42" t="str">
        <f>IFERROR(__xludf.DUMMYFUNCTION("""COMPUTED_VALUE"""),"")</f>
        <v/>
      </c>
      <c r="C15673" s="42" t="str">
        <f>IFERROR(__xludf.DUMMYFUNCTION("""COMPUTED_VALUE"""),"")</f>
        <v/>
      </c>
      <c r="D15673" s="42"/>
      <c r="E15673" s="42"/>
      <c r="F15673" s="48" t="str">
        <f>IFERROR(__xludf.DUMMYFUNCTION("""COMPUTED_VALUE"""),"")</f>
        <v/>
      </c>
      <c r="G15673" s="42" t="str">
        <f>IFERROR(__xludf.DUMMYFUNCTION("""COMPUTED_VALUE"""),"")</f>
        <v/>
      </c>
      <c r="H15673" s="42">
        <f t="shared" si="1"/>
        <v>3345</v>
      </c>
    </row>
    <row r="15674" ht="22.5" customHeight="1">
      <c r="B15674" s="42" t="str">
        <f>IFERROR(__xludf.DUMMYFUNCTION("""COMPUTED_VALUE"""),"")</f>
        <v/>
      </c>
      <c r="C15674" s="42" t="str">
        <f>IFERROR(__xludf.DUMMYFUNCTION("""COMPUTED_VALUE"""),"")</f>
        <v/>
      </c>
      <c r="D15674" s="42"/>
      <c r="E15674" s="42"/>
      <c r="F15674" s="48" t="str">
        <f>IFERROR(__xludf.DUMMYFUNCTION("""COMPUTED_VALUE"""),"")</f>
        <v/>
      </c>
      <c r="G15674" s="42" t="str">
        <f>IFERROR(__xludf.DUMMYFUNCTION("""COMPUTED_VALUE"""),"")</f>
        <v/>
      </c>
      <c r="H15674" s="42">
        <f t="shared" si="1"/>
        <v>3345</v>
      </c>
    </row>
    <row r="15675" ht="22.5" customHeight="1">
      <c r="B15675" s="42" t="str">
        <f>IFERROR(__xludf.DUMMYFUNCTION("""COMPUTED_VALUE"""),"")</f>
        <v/>
      </c>
      <c r="C15675" s="42" t="str">
        <f>IFERROR(__xludf.DUMMYFUNCTION("""COMPUTED_VALUE"""),"")</f>
        <v/>
      </c>
      <c r="D15675" s="42"/>
      <c r="E15675" s="42"/>
      <c r="F15675" s="48" t="str">
        <f>IFERROR(__xludf.DUMMYFUNCTION("""COMPUTED_VALUE"""),"")</f>
        <v/>
      </c>
      <c r="G15675" s="42" t="str">
        <f>IFERROR(__xludf.DUMMYFUNCTION("""COMPUTED_VALUE"""),"")</f>
        <v/>
      </c>
      <c r="H15675" s="42">
        <f t="shared" si="1"/>
        <v>3345</v>
      </c>
    </row>
    <row r="15676" ht="22.5" customHeight="1">
      <c r="B15676" s="42" t="str">
        <f>IFERROR(__xludf.DUMMYFUNCTION("""COMPUTED_VALUE"""),"")</f>
        <v/>
      </c>
      <c r="C15676" s="42" t="str">
        <f>IFERROR(__xludf.DUMMYFUNCTION("""COMPUTED_VALUE"""),"")</f>
        <v/>
      </c>
      <c r="D15676" s="42"/>
      <c r="E15676" s="42"/>
      <c r="F15676" s="48" t="str">
        <f>IFERROR(__xludf.DUMMYFUNCTION("""COMPUTED_VALUE"""),"")</f>
        <v/>
      </c>
      <c r="G15676" s="42" t="str">
        <f>IFERROR(__xludf.DUMMYFUNCTION("""COMPUTED_VALUE"""),"")</f>
        <v/>
      </c>
      <c r="H15676" s="42">
        <f t="shared" si="1"/>
        <v>3345</v>
      </c>
    </row>
    <row r="15677" ht="22.5" customHeight="1">
      <c r="B15677" s="42" t="str">
        <f>IFERROR(__xludf.DUMMYFUNCTION("""COMPUTED_VALUE"""),"")</f>
        <v/>
      </c>
      <c r="C15677" s="42" t="str">
        <f>IFERROR(__xludf.DUMMYFUNCTION("""COMPUTED_VALUE"""),"")</f>
        <v/>
      </c>
      <c r="D15677" s="42"/>
      <c r="E15677" s="42"/>
      <c r="F15677" s="48" t="str">
        <f>IFERROR(__xludf.DUMMYFUNCTION("""COMPUTED_VALUE"""),"")</f>
        <v/>
      </c>
      <c r="G15677" s="42" t="str">
        <f>IFERROR(__xludf.DUMMYFUNCTION("""COMPUTED_VALUE"""),"")</f>
        <v/>
      </c>
      <c r="H15677" s="42">
        <f t="shared" si="1"/>
        <v>3345</v>
      </c>
    </row>
    <row r="15678" ht="22.5" customHeight="1">
      <c r="B15678" s="42" t="str">
        <f>IFERROR(__xludf.DUMMYFUNCTION("""COMPUTED_VALUE"""),"")</f>
        <v/>
      </c>
      <c r="C15678" s="42" t="str">
        <f>IFERROR(__xludf.DUMMYFUNCTION("""COMPUTED_VALUE"""),"")</f>
        <v/>
      </c>
      <c r="D15678" s="42"/>
      <c r="E15678" s="42"/>
      <c r="F15678" s="48" t="str">
        <f>IFERROR(__xludf.DUMMYFUNCTION("""COMPUTED_VALUE"""),"")</f>
        <v/>
      </c>
      <c r="G15678" s="42" t="str">
        <f>IFERROR(__xludf.DUMMYFUNCTION("""COMPUTED_VALUE"""),"")</f>
        <v/>
      </c>
      <c r="H15678" s="42">
        <f t="shared" si="1"/>
        <v>3345</v>
      </c>
    </row>
    <row r="15679" ht="22.5" customHeight="1">
      <c r="B15679" s="42" t="str">
        <f>IFERROR(__xludf.DUMMYFUNCTION("""COMPUTED_VALUE"""),"")</f>
        <v/>
      </c>
      <c r="C15679" s="42" t="str">
        <f>IFERROR(__xludf.DUMMYFUNCTION("""COMPUTED_VALUE"""),"")</f>
        <v/>
      </c>
      <c r="D15679" s="42"/>
      <c r="E15679" s="42"/>
      <c r="F15679" s="48" t="str">
        <f>IFERROR(__xludf.DUMMYFUNCTION("""COMPUTED_VALUE"""),"")</f>
        <v/>
      </c>
      <c r="G15679" s="42" t="str">
        <f>IFERROR(__xludf.DUMMYFUNCTION("""COMPUTED_VALUE"""),"")</f>
        <v/>
      </c>
      <c r="H15679" s="42">
        <f t="shared" si="1"/>
        <v>3345</v>
      </c>
    </row>
    <row r="15680" ht="22.5" customHeight="1">
      <c r="B15680" s="42" t="str">
        <f>IFERROR(__xludf.DUMMYFUNCTION("""COMPUTED_VALUE"""),"")</f>
        <v/>
      </c>
      <c r="C15680" s="42" t="str">
        <f>IFERROR(__xludf.DUMMYFUNCTION("""COMPUTED_VALUE"""),"")</f>
        <v/>
      </c>
      <c r="D15680" s="42"/>
      <c r="E15680" s="42"/>
      <c r="F15680" s="48" t="str">
        <f>IFERROR(__xludf.DUMMYFUNCTION("""COMPUTED_VALUE"""),"")</f>
        <v/>
      </c>
      <c r="G15680" s="42" t="str">
        <f>IFERROR(__xludf.DUMMYFUNCTION("""COMPUTED_VALUE"""),"")</f>
        <v/>
      </c>
      <c r="H15680" s="42">
        <f t="shared" si="1"/>
        <v>3345</v>
      </c>
    </row>
    <row r="15681" ht="22.5" customHeight="1">
      <c r="B15681" s="42" t="str">
        <f>IFERROR(__xludf.DUMMYFUNCTION("""COMPUTED_VALUE"""),"")</f>
        <v/>
      </c>
      <c r="C15681" s="42" t="str">
        <f>IFERROR(__xludf.DUMMYFUNCTION("""COMPUTED_VALUE"""),"")</f>
        <v/>
      </c>
      <c r="D15681" s="42"/>
      <c r="E15681" s="42"/>
      <c r="F15681" s="48" t="str">
        <f>IFERROR(__xludf.DUMMYFUNCTION("""COMPUTED_VALUE"""),"")</f>
        <v/>
      </c>
      <c r="G15681" s="42" t="str">
        <f>IFERROR(__xludf.DUMMYFUNCTION("""COMPUTED_VALUE"""),"")</f>
        <v/>
      </c>
      <c r="H15681" s="42">
        <f t="shared" si="1"/>
        <v>3345</v>
      </c>
    </row>
    <row r="15682" ht="22.5" customHeight="1">
      <c r="B15682" s="42" t="str">
        <f>IFERROR(__xludf.DUMMYFUNCTION("""COMPUTED_VALUE"""),"")</f>
        <v/>
      </c>
      <c r="C15682" s="42" t="str">
        <f>IFERROR(__xludf.DUMMYFUNCTION("""COMPUTED_VALUE"""),"")</f>
        <v/>
      </c>
      <c r="D15682" s="42"/>
      <c r="E15682" s="42"/>
      <c r="F15682" s="48" t="str">
        <f>IFERROR(__xludf.DUMMYFUNCTION("""COMPUTED_VALUE"""),"")</f>
        <v/>
      </c>
      <c r="G15682" s="42" t="str">
        <f>IFERROR(__xludf.DUMMYFUNCTION("""COMPUTED_VALUE"""),"")</f>
        <v/>
      </c>
      <c r="H15682" s="42">
        <f t="shared" si="1"/>
        <v>3345</v>
      </c>
    </row>
    <row r="15683" ht="22.5" customHeight="1">
      <c r="B15683" s="42" t="str">
        <f>IFERROR(__xludf.DUMMYFUNCTION("""COMPUTED_VALUE"""),"")</f>
        <v/>
      </c>
      <c r="C15683" s="42" t="str">
        <f>IFERROR(__xludf.DUMMYFUNCTION("""COMPUTED_VALUE"""),"")</f>
        <v/>
      </c>
      <c r="D15683" s="42"/>
      <c r="E15683" s="42"/>
      <c r="F15683" s="48" t="str">
        <f>IFERROR(__xludf.DUMMYFUNCTION("""COMPUTED_VALUE"""),"")</f>
        <v/>
      </c>
      <c r="G15683" s="42" t="str">
        <f>IFERROR(__xludf.DUMMYFUNCTION("""COMPUTED_VALUE"""),"")</f>
        <v/>
      </c>
      <c r="H15683" s="42">
        <f t="shared" si="1"/>
        <v>3345</v>
      </c>
    </row>
    <row r="15684" ht="22.5" customHeight="1">
      <c r="B15684" s="42" t="str">
        <f>IFERROR(__xludf.DUMMYFUNCTION("""COMPUTED_VALUE"""),"")</f>
        <v/>
      </c>
      <c r="C15684" s="42" t="str">
        <f>IFERROR(__xludf.DUMMYFUNCTION("""COMPUTED_VALUE"""),"")</f>
        <v/>
      </c>
      <c r="D15684" s="42"/>
      <c r="E15684" s="42"/>
      <c r="F15684" s="48" t="str">
        <f>IFERROR(__xludf.DUMMYFUNCTION("""COMPUTED_VALUE"""),"")</f>
        <v/>
      </c>
      <c r="G15684" s="42" t="str">
        <f>IFERROR(__xludf.DUMMYFUNCTION("""COMPUTED_VALUE"""),"")</f>
        <v/>
      </c>
      <c r="H15684" s="42">
        <f t="shared" si="1"/>
        <v>3345</v>
      </c>
    </row>
    <row r="15685" ht="22.5" customHeight="1">
      <c r="B15685" s="42" t="str">
        <f>IFERROR(__xludf.DUMMYFUNCTION("""COMPUTED_VALUE"""),"")</f>
        <v/>
      </c>
      <c r="C15685" s="42" t="str">
        <f>IFERROR(__xludf.DUMMYFUNCTION("""COMPUTED_VALUE"""),"")</f>
        <v/>
      </c>
      <c r="D15685" s="42"/>
      <c r="E15685" s="42"/>
      <c r="F15685" s="48" t="str">
        <f>IFERROR(__xludf.DUMMYFUNCTION("""COMPUTED_VALUE"""),"")</f>
        <v/>
      </c>
      <c r="G15685" s="42" t="str">
        <f>IFERROR(__xludf.DUMMYFUNCTION("""COMPUTED_VALUE"""),"")</f>
        <v/>
      </c>
      <c r="H15685" s="42">
        <f t="shared" si="1"/>
        <v>3345</v>
      </c>
    </row>
    <row r="15686" ht="22.5" customHeight="1">
      <c r="B15686" s="42" t="str">
        <f>IFERROR(__xludf.DUMMYFUNCTION("""COMPUTED_VALUE"""),"")</f>
        <v/>
      </c>
      <c r="C15686" s="42" t="str">
        <f>IFERROR(__xludf.DUMMYFUNCTION("""COMPUTED_VALUE"""),"")</f>
        <v/>
      </c>
      <c r="D15686" s="42"/>
      <c r="E15686" s="42"/>
      <c r="F15686" s="48" t="str">
        <f>IFERROR(__xludf.DUMMYFUNCTION("""COMPUTED_VALUE"""),"")</f>
        <v/>
      </c>
      <c r="G15686" s="42" t="str">
        <f>IFERROR(__xludf.DUMMYFUNCTION("""COMPUTED_VALUE"""),"")</f>
        <v/>
      </c>
      <c r="H15686" s="42">
        <f t="shared" si="1"/>
        <v>3345</v>
      </c>
    </row>
    <row r="15687" ht="22.5" customHeight="1">
      <c r="B15687" s="42" t="str">
        <f>IFERROR(__xludf.DUMMYFUNCTION("""COMPUTED_VALUE"""),"")</f>
        <v/>
      </c>
      <c r="C15687" s="42" t="str">
        <f>IFERROR(__xludf.DUMMYFUNCTION("""COMPUTED_VALUE"""),"")</f>
        <v/>
      </c>
      <c r="D15687" s="42"/>
      <c r="E15687" s="42"/>
      <c r="F15687" s="48" t="str">
        <f>IFERROR(__xludf.DUMMYFUNCTION("""COMPUTED_VALUE"""),"")</f>
        <v/>
      </c>
      <c r="G15687" s="42" t="str">
        <f>IFERROR(__xludf.DUMMYFUNCTION("""COMPUTED_VALUE"""),"")</f>
        <v/>
      </c>
      <c r="H15687" s="42">
        <f t="shared" si="1"/>
        <v>3345</v>
      </c>
    </row>
    <row r="15688" ht="22.5" customHeight="1">
      <c r="B15688" s="42" t="str">
        <f>IFERROR(__xludf.DUMMYFUNCTION("""COMPUTED_VALUE"""),"")</f>
        <v/>
      </c>
      <c r="C15688" s="42" t="str">
        <f>IFERROR(__xludf.DUMMYFUNCTION("""COMPUTED_VALUE"""),"")</f>
        <v/>
      </c>
      <c r="D15688" s="42"/>
      <c r="E15688" s="42"/>
      <c r="F15688" s="48" t="str">
        <f>IFERROR(__xludf.DUMMYFUNCTION("""COMPUTED_VALUE"""),"")</f>
        <v/>
      </c>
      <c r="G15688" s="42" t="str">
        <f>IFERROR(__xludf.DUMMYFUNCTION("""COMPUTED_VALUE"""),"")</f>
        <v/>
      </c>
      <c r="H15688" s="42">
        <f t="shared" si="1"/>
        <v>3345</v>
      </c>
    </row>
    <row r="15689" ht="22.5" customHeight="1">
      <c r="B15689" s="42" t="str">
        <f>IFERROR(__xludf.DUMMYFUNCTION("""COMPUTED_VALUE"""),"")</f>
        <v/>
      </c>
      <c r="C15689" s="42" t="str">
        <f>IFERROR(__xludf.DUMMYFUNCTION("""COMPUTED_VALUE"""),"")</f>
        <v/>
      </c>
      <c r="D15689" s="42"/>
      <c r="E15689" s="42"/>
      <c r="F15689" s="48" t="str">
        <f>IFERROR(__xludf.DUMMYFUNCTION("""COMPUTED_VALUE"""),"")</f>
        <v/>
      </c>
      <c r="G15689" s="42" t="str">
        <f>IFERROR(__xludf.DUMMYFUNCTION("""COMPUTED_VALUE"""),"")</f>
        <v/>
      </c>
      <c r="H15689" s="42">
        <f t="shared" si="1"/>
        <v>3345</v>
      </c>
    </row>
    <row r="15690" ht="22.5" customHeight="1">
      <c r="B15690" s="42" t="str">
        <f>IFERROR(__xludf.DUMMYFUNCTION("""COMPUTED_VALUE"""),"")</f>
        <v/>
      </c>
      <c r="C15690" s="42" t="str">
        <f>IFERROR(__xludf.DUMMYFUNCTION("""COMPUTED_VALUE"""),"")</f>
        <v/>
      </c>
      <c r="D15690" s="42"/>
      <c r="E15690" s="42"/>
      <c r="F15690" s="48" t="str">
        <f>IFERROR(__xludf.DUMMYFUNCTION("""COMPUTED_VALUE"""),"")</f>
        <v/>
      </c>
      <c r="G15690" s="42" t="str">
        <f>IFERROR(__xludf.DUMMYFUNCTION("""COMPUTED_VALUE"""),"")</f>
        <v/>
      </c>
      <c r="H15690" s="42">
        <f t="shared" si="1"/>
        <v>3345</v>
      </c>
    </row>
    <row r="15691" ht="22.5" customHeight="1">
      <c r="B15691" s="42" t="str">
        <f>IFERROR(__xludf.DUMMYFUNCTION("""COMPUTED_VALUE"""),"")</f>
        <v/>
      </c>
      <c r="C15691" s="42" t="str">
        <f>IFERROR(__xludf.DUMMYFUNCTION("""COMPUTED_VALUE"""),"")</f>
        <v/>
      </c>
      <c r="D15691" s="42"/>
      <c r="E15691" s="42"/>
      <c r="F15691" s="48" t="str">
        <f>IFERROR(__xludf.DUMMYFUNCTION("""COMPUTED_VALUE"""),"")</f>
        <v/>
      </c>
      <c r="G15691" s="42" t="str">
        <f>IFERROR(__xludf.DUMMYFUNCTION("""COMPUTED_VALUE"""),"")</f>
        <v/>
      </c>
      <c r="H15691" s="42">
        <f t="shared" si="1"/>
        <v>3345</v>
      </c>
    </row>
    <row r="15692" ht="22.5" customHeight="1">
      <c r="B15692" s="42" t="str">
        <f>IFERROR(__xludf.DUMMYFUNCTION("""COMPUTED_VALUE"""),"")</f>
        <v/>
      </c>
      <c r="C15692" s="42" t="str">
        <f>IFERROR(__xludf.DUMMYFUNCTION("""COMPUTED_VALUE"""),"")</f>
        <v/>
      </c>
      <c r="D15692" s="42"/>
      <c r="E15692" s="42"/>
      <c r="F15692" s="48" t="str">
        <f>IFERROR(__xludf.DUMMYFUNCTION("""COMPUTED_VALUE"""),"")</f>
        <v/>
      </c>
      <c r="G15692" s="42" t="str">
        <f>IFERROR(__xludf.DUMMYFUNCTION("""COMPUTED_VALUE"""),"")</f>
        <v/>
      </c>
      <c r="H15692" s="42">
        <f t="shared" si="1"/>
        <v>3345</v>
      </c>
    </row>
    <row r="15693" ht="22.5" customHeight="1">
      <c r="B15693" s="42" t="str">
        <f>IFERROR(__xludf.DUMMYFUNCTION("""COMPUTED_VALUE"""),"")</f>
        <v/>
      </c>
      <c r="C15693" s="42" t="str">
        <f>IFERROR(__xludf.DUMMYFUNCTION("""COMPUTED_VALUE"""),"")</f>
        <v/>
      </c>
      <c r="D15693" s="42"/>
      <c r="E15693" s="42"/>
      <c r="F15693" s="48" t="str">
        <f>IFERROR(__xludf.DUMMYFUNCTION("""COMPUTED_VALUE"""),"")</f>
        <v/>
      </c>
      <c r="G15693" s="42" t="str">
        <f>IFERROR(__xludf.DUMMYFUNCTION("""COMPUTED_VALUE"""),"")</f>
        <v/>
      </c>
      <c r="H15693" s="42">
        <f t="shared" si="1"/>
        <v>3345</v>
      </c>
    </row>
    <row r="15694" ht="22.5" customHeight="1">
      <c r="B15694" s="42" t="str">
        <f>IFERROR(__xludf.DUMMYFUNCTION("""COMPUTED_VALUE"""),"")</f>
        <v/>
      </c>
      <c r="C15694" s="42" t="str">
        <f>IFERROR(__xludf.DUMMYFUNCTION("""COMPUTED_VALUE"""),"")</f>
        <v/>
      </c>
      <c r="D15694" s="42"/>
      <c r="E15694" s="42"/>
      <c r="F15694" s="48" t="str">
        <f>IFERROR(__xludf.DUMMYFUNCTION("""COMPUTED_VALUE"""),"")</f>
        <v/>
      </c>
      <c r="G15694" s="42" t="str">
        <f>IFERROR(__xludf.DUMMYFUNCTION("""COMPUTED_VALUE"""),"")</f>
        <v/>
      </c>
      <c r="H15694" s="42">
        <f t="shared" si="1"/>
        <v>3345</v>
      </c>
    </row>
    <row r="15695" ht="22.5" customHeight="1">
      <c r="B15695" s="42" t="str">
        <f>IFERROR(__xludf.DUMMYFUNCTION("""COMPUTED_VALUE"""),"")</f>
        <v/>
      </c>
      <c r="C15695" s="42" t="str">
        <f>IFERROR(__xludf.DUMMYFUNCTION("""COMPUTED_VALUE"""),"")</f>
        <v/>
      </c>
      <c r="D15695" s="42"/>
      <c r="E15695" s="42"/>
      <c r="F15695" s="48" t="str">
        <f>IFERROR(__xludf.DUMMYFUNCTION("""COMPUTED_VALUE"""),"")</f>
        <v/>
      </c>
      <c r="G15695" s="42" t="str">
        <f>IFERROR(__xludf.DUMMYFUNCTION("""COMPUTED_VALUE"""),"")</f>
        <v/>
      </c>
      <c r="H15695" s="42">
        <f t="shared" si="1"/>
        <v>3345</v>
      </c>
    </row>
    <row r="15696" ht="22.5" customHeight="1">
      <c r="B15696" s="42" t="str">
        <f>IFERROR(__xludf.DUMMYFUNCTION("""COMPUTED_VALUE"""),"")</f>
        <v/>
      </c>
      <c r="C15696" s="42" t="str">
        <f>IFERROR(__xludf.DUMMYFUNCTION("""COMPUTED_VALUE"""),"")</f>
        <v/>
      </c>
      <c r="D15696" s="42"/>
      <c r="E15696" s="42"/>
      <c r="F15696" s="48" t="str">
        <f>IFERROR(__xludf.DUMMYFUNCTION("""COMPUTED_VALUE"""),"")</f>
        <v/>
      </c>
      <c r="G15696" s="42" t="str">
        <f>IFERROR(__xludf.DUMMYFUNCTION("""COMPUTED_VALUE"""),"")</f>
        <v/>
      </c>
      <c r="H15696" s="42">
        <f t="shared" si="1"/>
        <v>3345</v>
      </c>
    </row>
    <row r="15697" ht="22.5" customHeight="1">
      <c r="B15697" s="42" t="str">
        <f>IFERROR(__xludf.DUMMYFUNCTION("""COMPUTED_VALUE"""),"")</f>
        <v/>
      </c>
      <c r="C15697" s="42" t="str">
        <f>IFERROR(__xludf.DUMMYFUNCTION("""COMPUTED_VALUE"""),"")</f>
        <v/>
      </c>
      <c r="D15697" s="42"/>
      <c r="E15697" s="42"/>
      <c r="F15697" s="48" t="str">
        <f>IFERROR(__xludf.DUMMYFUNCTION("""COMPUTED_VALUE"""),"")</f>
        <v/>
      </c>
      <c r="G15697" s="42" t="str">
        <f>IFERROR(__xludf.DUMMYFUNCTION("""COMPUTED_VALUE"""),"")</f>
        <v/>
      </c>
      <c r="H15697" s="42">
        <f t="shared" si="1"/>
        <v>3345</v>
      </c>
    </row>
    <row r="15698" ht="22.5" customHeight="1">
      <c r="B15698" s="42" t="str">
        <f>IFERROR(__xludf.DUMMYFUNCTION("""COMPUTED_VALUE"""),"")</f>
        <v/>
      </c>
      <c r="C15698" s="42" t="str">
        <f>IFERROR(__xludf.DUMMYFUNCTION("""COMPUTED_VALUE"""),"")</f>
        <v/>
      </c>
      <c r="D15698" s="42"/>
      <c r="E15698" s="42"/>
      <c r="F15698" s="48" t="str">
        <f>IFERROR(__xludf.DUMMYFUNCTION("""COMPUTED_VALUE"""),"")</f>
        <v/>
      </c>
      <c r="G15698" s="42" t="str">
        <f>IFERROR(__xludf.DUMMYFUNCTION("""COMPUTED_VALUE"""),"")</f>
        <v/>
      </c>
      <c r="H15698" s="42">
        <f t="shared" si="1"/>
        <v>3345</v>
      </c>
    </row>
    <row r="15699" ht="22.5" customHeight="1">
      <c r="B15699" s="42" t="str">
        <f>IFERROR(__xludf.DUMMYFUNCTION("""COMPUTED_VALUE"""),"")</f>
        <v/>
      </c>
      <c r="C15699" s="42" t="str">
        <f>IFERROR(__xludf.DUMMYFUNCTION("""COMPUTED_VALUE"""),"")</f>
        <v/>
      </c>
      <c r="D15699" s="42"/>
      <c r="E15699" s="42"/>
      <c r="F15699" s="48" t="str">
        <f>IFERROR(__xludf.DUMMYFUNCTION("""COMPUTED_VALUE"""),"")</f>
        <v/>
      </c>
      <c r="G15699" s="42" t="str">
        <f>IFERROR(__xludf.DUMMYFUNCTION("""COMPUTED_VALUE"""),"")</f>
        <v/>
      </c>
      <c r="H15699" s="42">
        <f t="shared" si="1"/>
        <v>3345</v>
      </c>
    </row>
    <row r="15700" ht="22.5" customHeight="1">
      <c r="B15700" s="42" t="str">
        <f>IFERROR(__xludf.DUMMYFUNCTION("""COMPUTED_VALUE"""),"")</f>
        <v/>
      </c>
      <c r="C15700" s="42" t="str">
        <f>IFERROR(__xludf.DUMMYFUNCTION("""COMPUTED_VALUE"""),"")</f>
        <v/>
      </c>
      <c r="D15700" s="42"/>
      <c r="E15700" s="42"/>
      <c r="F15700" s="48" t="str">
        <f>IFERROR(__xludf.DUMMYFUNCTION("""COMPUTED_VALUE"""),"")</f>
        <v/>
      </c>
      <c r="G15700" s="42" t="str">
        <f>IFERROR(__xludf.DUMMYFUNCTION("""COMPUTED_VALUE"""),"")</f>
        <v/>
      </c>
      <c r="H15700" s="42">
        <f t="shared" si="1"/>
        <v>3345</v>
      </c>
    </row>
    <row r="15701" ht="22.5" customHeight="1">
      <c r="B15701" s="42" t="str">
        <f>IFERROR(__xludf.DUMMYFUNCTION("""COMPUTED_VALUE"""),"")</f>
        <v/>
      </c>
      <c r="C15701" s="42" t="str">
        <f>IFERROR(__xludf.DUMMYFUNCTION("""COMPUTED_VALUE"""),"")</f>
        <v/>
      </c>
      <c r="D15701" s="42"/>
      <c r="E15701" s="42"/>
      <c r="F15701" s="48" t="str">
        <f>IFERROR(__xludf.DUMMYFUNCTION("""COMPUTED_VALUE"""),"")</f>
        <v/>
      </c>
      <c r="G15701" s="42" t="str">
        <f>IFERROR(__xludf.DUMMYFUNCTION("""COMPUTED_VALUE"""),"")</f>
        <v/>
      </c>
      <c r="H15701" s="42">
        <f t="shared" si="1"/>
        <v>3345</v>
      </c>
    </row>
    <row r="15702" ht="22.5" customHeight="1">
      <c r="B15702" s="42" t="str">
        <f>IFERROR(__xludf.DUMMYFUNCTION("""COMPUTED_VALUE"""),"")</f>
        <v/>
      </c>
      <c r="C15702" s="42" t="str">
        <f>IFERROR(__xludf.DUMMYFUNCTION("""COMPUTED_VALUE"""),"")</f>
        <v/>
      </c>
      <c r="D15702" s="42"/>
      <c r="E15702" s="42"/>
      <c r="F15702" s="48" t="str">
        <f>IFERROR(__xludf.DUMMYFUNCTION("""COMPUTED_VALUE"""),"")</f>
        <v/>
      </c>
      <c r="G15702" s="42" t="str">
        <f>IFERROR(__xludf.DUMMYFUNCTION("""COMPUTED_VALUE"""),"")</f>
        <v/>
      </c>
      <c r="H15702" s="42">
        <f t="shared" si="1"/>
        <v>3345</v>
      </c>
    </row>
    <row r="15703" ht="22.5" customHeight="1">
      <c r="B15703" s="42" t="str">
        <f>IFERROR(__xludf.DUMMYFUNCTION("""COMPUTED_VALUE"""),"")</f>
        <v/>
      </c>
      <c r="C15703" s="42" t="str">
        <f>IFERROR(__xludf.DUMMYFUNCTION("""COMPUTED_VALUE"""),"")</f>
        <v/>
      </c>
      <c r="D15703" s="42"/>
      <c r="E15703" s="42"/>
      <c r="F15703" s="48" t="str">
        <f>IFERROR(__xludf.DUMMYFUNCTION("""COMPUTED_VALUE"""),"")</f>
        <v/>
      </c>
      <c r="G15703" s="42" t="str">
        <f>IFERROR(__xludf.DUMMYFUNCTION("""COMPUTED_VALUE"""),"")</f>
        <v/>
      </c>
      <c r="H15703" s="42">
        <f t="shared" si="1"/>
        <v>3345</v>
      </c>
    </row>
    <row r="15704" ht="22.5" customHeight="1">
      <c r="B15704" s="42" t="str">
        <f>IFERROR(__xludf.DUMMYFUNCTION("""COMPUTED_VALUE"""),"")</f>
        <v/>
      </c>
      <c r="C15704" s="42" t="str">
        <f>IFERROR(__xludf.DUMMYFUNCTION("""COMPUTED_VALUE"""),"")</f>
        <v/>
      </c>
      <c r="D15704" s="42"/>
      <c r="E15704" s="42"/>
      <c r="F15704" s="48" t="str">
        <f>IFERROR(__xludf.DUMMYFUNCTION("""COMPUTED_VALUE"""),"")</f>
        <v/>
      </c>
      <c r="G15704" s="42" t="str">
        <f>IFERROR(__xludf.DUMMYFUNCTION("""COMPUTED_VALUE"""),"")</f>
        <v/>
      </c>
      <c r="H15704" s="42">
        <f t="shared" si="1"/>
        <v>3345</v>
      </c>
    </row>
    <row r="15705" ht="22.5" customHeight="1">
      <c r="B15705" s="42" t="str">
        <f>IFERROR(__xludf.DUMMYFUNCTION("""COMPUTED_VALUE"""),"")</f>
        <v/>
      </c>
      <c r="C15705" s="42" t="str">
        <f>IFERROR(__xludf.DUMMYFUNCTION("""COMPUTED_VALUE"""),"")</f>
        <v/>
      </c>
      <c r="D15705" s="42"/>
      <c r="E15705" s="42"/>
      <c r="F15705" s="48" t="str">
        <f>IFERROR(__xludf.DUMMYFUNCTION("""COMPUTED_VALUE"""),"")</f>
        <v/>
      </c>
      <c r="G15705" s="42" t="str">
        <f>IFERROR(__xludf.DUMMYFUNCTION("""COMPUTED_VALUE"""),"")</f>
        <v/>
      </c>
      <c r="H15705" s="42">
        <f t="shared" si="1"/>
        <v>3345</v>
      </c>
    </row>
    <row r="15706" ht="22.5" customHeight="1">
      <c r="B15706" s="42" t="str">
        <f>IFERROR(__xludf.DUMMYFUNCTION("""COMPUTED_VALUE"""),"")</f>
        <v/>
      </c>
      <c r="C15706" s="42" t="str">
        <f>IFERROR(__xludf.DUMMYFUNCTION("""COMPUTED_VALUE"""),"")</f>
        <v/>
      </c>
      <c r="D15706" s="42"/>
      <c r="E15706" s="42"/>
      <c r="F15706" s="48" t="str">
        <f>IFERROR(__xludf.DUMMYFUNCTION("""COMPUTED_VALUE"""),"")</f>
        <v/>
      </c>
      <c r="G15706" s="42" t="str">
        <f>IFERROR(__xludf.DUMMYFUNCTION("""COMPUTED_VALUE"""),"")</f>
        <v/>
      </c>
      <c r="H15706" s="42">
        <f t="shared" si="1"/>
        <v>3345</v>
      </c>
    </row>
    <row r="15707" ht="22.5" customHeight="1">
      <c r="B15707" s="42" t="str">
        <f>IFERROR(__xludf.DUMMYFUNCTION("""COMPUTED_VALUE"""),"")</f>
        <v/>
      </c>
      <c r="C15707" s="42" t="str">
        <f>IFERROR(__xludf.DUMMYFUNCTION("""COMPUTED_VALUE"""),"")</f>
        <v/>
      </c>
      <c r="D15707" s="42"/>
      <c r="E15707" s="42"/>
      <c r="F15707" s="48" t="str">
        <f>IFERROR(__xludf.DUMMYFUNCTION("""COMPUTED_VALUE"""),"")</f>
        <v/>
      </c>
      <c r="G15707" s="42" t="str">
        <f>IFERROR(__xludf.DUMMYFUNCTION("""COMPUTED_VALUE"""),"")</f>
        <v/>
      </c>
      <c r="H15707" s="42">
        <f t="shared" si="1"/>
        <v>3345</v>
      </c>
    </row>
    <row r="15708" ht="22.5" customHeight="1">
      <c r="B15708" s="42" t="str">
        <f>IFERROR(__xludf.DUMMYFUNCTION("""COMPUTED_VALUE"""),"")</f>
        <v/>
      </c>
      <c r="C15708" s="42" t="str">
        <f>IFERROR(__xludf.DUMMYFUNCTION("""COMPUTED_VALUE"""),"")</f>
        <v/>
      </c>
      <c r="D15708" s="42"/>
      <c r="E15708" s="42"/>
      <c r="F15708" s="48" t="str">
        <f>IFERROR(__xludf.DUMMYFUNCTION("""COMPUTED_VALUE"""),"")</f>
        <v/>
      </c>
      <c r="G15708" s="42" t="str">
        <f>IFERROR(__xludf.DUMMYFUNCTION("""COMPUTED_VALUE"""),"")</f>
        <v/>
      </c>
      <c r="H15708" s="42">
        <f t="shared" si="1"/>
        <v>3345</v>
      </c>
    </row>
    <row r="15709" ht="22.5" customHeight="1">
      <c r="B15709" s="42" t="str">
        <f>IFERROR(__xludf.DUMMYFUNCTION("""COMPUTED_VALUE"""),"")</f>
        <v/>
      </c>
      <c r="C15709" s="42" t="str">
        <f>IFERROR(__xludf.DUMMYFUNCTION("""COMPUTED_VALUE"""),"")</f>
        <v/>
      </c>
      <c r="D15709" s="42"/>
      <c r="E15709" s="42"/>
      <c r="F15709" s="48" t="str">
        <f>IFERROR(__xludf.DUMMYFUNCTION("""COMPUTED_VALUE"""),"")</f>
        <v/>
      </c>
      <c r="G15709" s="42" t="str">
        <f>IFERROR(__xludf.DUMMYFUNCTION("""COMPUTED_VALUE"""),"")</f>
        <v/>
      </c>
      <c r="H15709" s="42">
        <f t="shared" si="1"/>
        <v>3345</v>
      </c>
    </row>
    <row r="15710" ht="22.5" customHeight="1">
      <c r="B15710" s="42" t="str">
        <f>IFERROR(__xludf.DUMMYFUNCTION("""COMPUTED_VALUE"""),"")</f>
        <v/>
      </c>
      <c r="C15710" s="42" t="str">
        <f>IFERROR(__xludf.DUMMYFUNCTION("""COMPUTED_VALUE"""),"")</f>
        <v/>
      </c>
      <c r="D15710" s="42"/>
      <c r="E15710" s="42"/>
      <c r="F15710" s="48" t="str">
        <f>IFERROR(__xludf.DUMMYFUNCTION("""COMPUTED_VALUE"""),"")</f>
        <v/>
      </c>
      <c r="G15710" s="42" t="str">
        <f>IFERROR(__xludf.DUMMYFUNCTION("""COMPUTED_VALUE"""),"")</f>
        <v/>
      </c>
      <c r="H15710" s="42">
        <f t="shared" si="1"/>
        <v>3345</v>
      </c>
    </row>
    <row r="15711" ht="22.5" customHeight="1">
      <c r="B15711" s="42" t="str">
        <f>IFERROR(__xludf.DUMMYFUNCTION("""COMPUTED_VALUE"""),"")</f>
        <v/>
      </c>
      <c r="C15711" s="42" t="str">
        <f>IFERROR(__xludf.DUMMYFUNCTION("""COMPUTED_VALUE"""),"")</f>
        <v/>
      </c>
      <c r="D15711" s="42"/>
      <c r="E15711" s="42"/>
      <c r="F15711" s="48" t="str">
        <f>IFERROR(__xludf.DUMMYFUNCTION("""COMPUTED_VALUE"""),"")</f>
        <v/>
      </c>
      <c r="G15711" s="42" t="str">
        <f>IFERROR(__xludf.DUMMYFUNCTION("""COMPUTED_VALUE"""),"")</f>
        <v/>
      </c>
      <c r="H15711" s="42">
        <f t="shared" si="1"/>
        <v>3345</v>
      </c>
    </row>
    <row r="15712" ht="22.5" customHeight="1">
      <c r="B15712" s="42" t="str">
        <f>IFERROR(__xludf.DUMMYFUNCTION("""COMPUTED_VALUE"""),"")</f>
        <v/>
      </c>
      <c r="C15712" s="42" t="str">
        <f>IFERROR(__xludf.DUMMYFUNCTION("""COMPUTED_VALUE"""),"")</f>
        <v/>
      </c>
      <c r="D15712" s="42"/>
      <c r="E15712" s="42"/>
      <c r="F15712" s="48" t="str">
        <f>IFERROR(__xludf.DUMMYFUNCTION("""COMPUTED_VALUE"""),"")</f>
        <v/>
      </c>
      <c r="G15712" s="42" t="str">
        <f>IFERROR(__xludf.DUMMYFUNCTION("""COMPUTED_VALUE"""),"")</f>
        <v/>
      </c>
      <c r="H15712" s="42">
        <f t="shared" si="1"/>
        <v>3345</v>
      </c>
    </row>
    <row r="15713" ht="22.5" customHeight="1">
      <c r="B15713" s="42" t="str">
        <f>IFERROR(__xludf.DUMMYFUNCTION("""COMPUTED_VALUE"""),"")</f>
        <v/>
      </c>
      <c r="C15713" s="42" t="str">
        <f>IFERROR(__xludf.DUMMYFUNCTION("""COMPUTED_VALUE"""),"")</f>
        <v/>
      </c>
      <c r="D15713" s="42"/>
      <c r="E15713" s="42"/>
      <c r="F15713" s="48" t="str">
        <f>IFERROR(__xludf.DUMMYFUNCTION("""COMPUTED_VALUE"""),"")</f>
        <v/>
      </c>
      <c r="G15713" s="42" t="str">
        <f>IFERROR(__xludf.DUMMYFUNCTION("""COMPUTED_VALUE"""),"")</f>
        <v/>
      </c>
      <c r="H15713" s="42">
        <f t="shared" si="1"/>
        <v>3345</v>
      </c>
    </row>
    <row r="15714" ht="22.5" customHeight="1">
      <c r="B15714" s="42" t="str">
        <f>IFERROR(__xludf.DUMMYFUNCTION("""COMPUTED_VALUE"""),"")</f>
        <v/>
      </c>
      <c r="C15714" s="42" t="str">
        <f>IFERROR(__xludf.DUMMYFUNCTION("""COMPUTED_VALUE"""),"")</f>
        <v/>
      </c>
      <c r="D15714" s="42"/>
      <c r="E15714" s="42"/>
      <c r="F15714" s="48" t="str">
        <f>IFERROR(__xludf.DUMMYFUNCTION("""COMPUTED_VALUE"""),"")</f>
        <v/>
      </c>
      <c r="G15714" s="42" t="str">
        <f>IFERROR(__xludf.DUMMYFUNCTION("""COMPUTED_VALUE"""),"")</f>
        <v/>
      </c>
      <c r="H15714" s="42">
        <f t="shared" si="1"/>
        <v>3345</v>
      </c>
    </row>
    <row r="15715" ht="22.5" customHeight="1">
      <c r="B15715" s="42" t="str">
        <f>IFERROR(__xludf.DUMMYFUNCTION("""COMPUTED_VALUE"""),"")</f>
        <v/>
      </c>
      <c r="C15715" s="42" t="str">
        <f>IFERROR(__xludf.DUMMYFUNCTION("""COMPUTED_VALUE"""),"")</f>
        <v/>
      </c>
      <c r="D15715" s="42"/>
      <c r="E15715" s="42"/>
      <c r="F15715" s="48" t="str">
        <f>IFERROR(__xludf.DUMMYFUNCTION("""COMPUTED_VALUE"""),"")</f>
        <v/>
      </c>
      <c r="G15715" s="42" t="str">
        <f>IFERROR(__xludf.DUMMYFUNCTION("""COMPUTED_VALUE"""),"")</f>
        <v/>
      </c>
      <c r="H15715" s="42">
        <f t="shared" si="1"/>
        <v>3345</v>
      </c>
    </row>
    <row r="15716" ht="22.5" customHeight="1">
      <c r="B15716" s="42" t="str">
        <f>IFERROR(__xludf.DUMMYFUNCTION("""COMPUTED_VALUE"""),"")</f>
        <v/>
      </c>
      <c r="C15716" s="42" t="str">
        <f>IFERROR(__xludf.DUMMYFUNCTION("""COMPUTED_VALUE"""),"")</f>
        <v/>
      </c>
      <c r="D15716" s="42"/>
      <c r="E15716" s="42"/>
      <c r="F15716" s="48" t="str">
        <f>IFERROR(__xludf.DUMMYFUNCTION("""COMPUTED_VALUE"""),"")</f>
        <v/>
      </c>
      <c r="G15716" s="42" t="str">
        <f>IFERROR(__xludf.DUMMYFUNCTION("""COMPUTED_VALUE"""),"")</f>
        <v/>
      </c>
      <c r="H15716" s="42">
        <f t="shared" si="1"/>
        <v>3345</v>
      </c>
    </row>
    <row r="15717" ht="22.5" customHeight="1">
      <c r="B15717" s="42" t="str">
        <f>IFERROR(__xludf.DUMMYFUNCTION("""COMPUTED_VALUE"""),"")</f>
        <v/>
      </c>
      <c r="C15717" s="42" t="str">
        <f>IFERROR(__xludf.DUMMYFUNCTION("""COMPUTED_VALUE"""),"")</f>
        <v/>
      </c>
      <c r="D15717" s="42"/>
      <c r="E15717" s="42"/>
      <c r="F15717" s="48" t="str">
        <f>IFERROR(__xludf.DUMMYFUNCTION("""COMPUTED_VALUE"""),"")</f>
        <v/>
      </c>
      <c r="G15717" s="42" t="str">
        <f>IFERROR(__xludf.DUMMYFUNCTION("""COMPUTED_VALUE"""),"")</f>
        <v/>
      </c>
      <c r="H15717" s="42">
        <f t="shared" si="1"/>
        <v>3345</v>
      </c>
    </row>
    <row r="15718" ht="22.5" customHeight="1">
      <c r="B15718" s="42" t="str">
        <f>IFERROR(__xludf.DUMMYFUNCTION("""COMPUTED_VALUE"""),"")</f>
        <v/>
      </c>
      <c r="C15718" s="42" t="str">
        <f>IFERROR(__xludf.DUMMYFUNCTION("""COMPUTED_VALUE"""),"")</f>
        <v/>
      </c>
      <c r="D15718" s="42"/>
      <c r="E15718" s="42"/>
      <c r="F15718" s="48" t="str">
        <f>IFERROR(__xludf.DUMMYFUNCTION("""COMPUTED_VALUE"""),"")</f>
        <v/>
      </c>
      <c r="G15718" s="42" t="str">
        <f>IFERROR(__xludf.DUMMYFUNCTION("""COMPUTED_VALUE"""),"")</f>
        <v/>
      </c>
      <c r="H15718" s="42">
        <f t="shared" si="1"/>
        <v>3345</v>
      </c>
    </row>
    <row r="15719" ht="22.5" customHeight="1">
      <c r="B15719" s="42" t="str">
        <f>IFERROR(__xludf.DUMMYFUNCTION("""COMPUTED_VALUE"""),"")</f>
        <v/>
      </c>
      <c r="C15719" s="42" t="str">
        <f>IFERROR(__xludf.DUMMYFUNCTION("""COMPUTED_VALUE"""),"")</f>
        <v/>
      </c>
      <c r="D15719" s="42"/>
      <c r="E15719" s="42"/>
      <c r="F15719" s="48" t="str">
        <f>IFERROR(__xludf.DUMMYFUNCTION("""COMPUTED_VALUE"""),"")</f>
        <v/>
      </c>
      <c r="G15719" s="42" t="str">
        <f>IFERROR(__xludf.DUMMYFUNCTION("""COMPUTED_VALUE"""),"")</f>
        <v/>
      </c>
      <c r="H15719" s="42">
        <f t="shared" si="1"/>
        <v>3345</v>
      </c>
    </row>
    <row r="15720" ht="22.5" customHeight="1">
      <c r="B15720" s="42" t="str">
        <f>IFERROR(__xludf.DUMMYFUNCTION("""COMPUTED_VALUE"""),"")</f>
        <v/>
      </c>
      <c r="C15720" s="42" t="str">
        <f>IFERROR(__xludf.DUMMYFUNCTION("""COMPUTED_VALUE"""),"")</f>
        <v/>
      </c>
      <c r="D15720" s="42"/>
      <c r="E15720" s="42"/>
      <c r="F15720" s="48" t="str">
        <f>IFERROR(__xludf.DUMMYFUNCTION("""COMPUTED_VALUE"""),"")</f>
        <v/>
      </c>
      <c r="G15720" s="42" t="str">
        <f>IFERROR(__xludf.DUMMYFUNCTION("""COMPUTED_VALUE"""),"")</f>
        <v/>
      </c>
      <c r="H15720" s="42">
        <f t="shared" si="1"/>
        <v>3345</v>
      </c>
    </row>
    <row r="15721" ht="22.5" customHeight="1">
      <c r="B15721" s="42" t="str">
        <f>IFERROR(__xludf.DUMMYFUNCTION("""COMPUTED_VALUE"""),"")</f>
        <v/>
      </c>
      <c r="C15721" s="42" t="str">
        <f>IFERROR(__xludf.DUMMYFUNCTION("""COMPUTED_VALUE"""),"")</f>
        <v/>
      </c>
      <c r="D15721" s="42"/>
      <c r="E15721" s="42"/>
      <c r="F15721" s="48" t="str">
        <f>IFERROR(__xludf.DUMMYFUNCTION("""COMPUTED_VALUE"""),"")</f>
        <v/>
      </c>
      <c r="G15721" s="42" t="str">
        <f>IFERROR(__xludf.DUMMYFUNCTION("""COMPUTED_VALUE"""),"")</f>
        <v/>
      </c>
      <c r="H15721" s="42">
        <f t="shared" si="1"/>
        <v>3345</v>
      </c>
    </row>
    <row r="15722" ht="22.5" customHeight="1">
      <c r="B15722" s="42" t="str">
        <f>IFERROR(__xludf.DUMMYFUNCTION("""COMPUTED_VALUE"""),"")</f>
        <v/>
      </c>
      <c r="C15722" s="42" t="str">
        <f>IFERROR(__xludf.DUMMYFUNCTION("""COMPUTED_VALUE"""),"")</f>
        <v/>
      </c>
      <c r="D15722" s="42"/>
      <c r="E15722" s="42"/>
      <c r="F15722" s="48" t="str">
        <f>IFERROR(__xludf.DUMMYFUNCTION("""COMPUTED_VALUE"""),"")</f>
        <v/>
      </c>
      <c r="G15722" s="42" t="str">
        <f>IFERROR(__xludf.DUMMYFUNCTION("""COMPUTED_VALUE"""),"")</f>
        <v/>
      </c>
      <c r="H15722" s="42">
        <f t="shared" si="1"/>
        <v>3345</v>
      </c>
    </row>
    <row r="15723" ht="22.5" customHeight="1">
      <c r="B15723" s="42" t="str">
        <f>IFERROR(__xludf.DUMMYFUNCTION("""COMPUTED_VALUE"""),"")</f>
        <v/>
      </c>
      <c r="C15723" s="42" t="str">
        <f>IFERROR(__xludf.DUMMYFUNCTION("""COMPUTED_VALUE"""),"")</f>
        <v/>
      </c>
      <c r="D15723" s="42"/>
      <c r="E15723" s="42"/>
      <c r="F15723" s="48" t="str">
        <f>IFERROR(__xludf.DUMMYFUNCTION("""COMPUTED_VALUE"""),"")</f>
        <v/>
      </c>
      <c r="G15723" s="42" t="str">
        <f>IFERROR(__xludf.DUMMYFUNCTION("""COMPUTED_VALUE"""),"")</f>
        <v/>
      </c>
      <c r="H15723" s="42">
        <f t="shared" si="1"/>
        <v>3345</v>
      </c>
    </row>
    <row r="15724" ht="22.5" customHeight="1">
      <c r="B15724" s="42" t="str">
        <f>IFERROR(__xludf.DUMMYFUNCTION("""COMPUTED_VALUE"""),"")</f>
        <v/>
      </c>
      <c r="C15724" s="42" t="str">
        <f>IFERROR(__xludf.DUMMYFUNCTION("""COMPUTED_VALUE"""),"")</f>
        <v/>
      </c>
      <c r="D15724" s="42"/>
      <c r="E15724" s="42"/>
      <c r="F15724" s="48" t="str">
        <f>IFERROR(__xludf.DUMMYFUNCTION("""COMPUTED_VALUE"""),"")</f>
        <v/>
      </c>
      <c r="G15724" s="42" t="str">
        <f>IFERROR(__xludf.DUMMYFUNCTION("""COMPUTED_VALUE"""),"")</f>
        <v/>
      </c>
      <c r="H15724" s="42">
        <f t="shared" si="1"/>
        <v>3345</v>
      </c>
    </row>
    <row r="15725" ht="22.5" customHeight="1">
      <c r="B15725" s="42" t="str">
        <f>IFERROR(__xludf.DUMMYFUNCTION("""COMPUTED_VALUE"""),"")</f>
        <v/>
      </c>
      <c r="C15725" s="42" t="str">
        <f>IFERROR(__xludf.DUMMYFUNCTION("""COMPUTED_VALUE"""),"")</f>
        <v/>
      </c>
      <c r="D15725" s="42"/>
      <c r="E15725" s="42"/>
      <c r="F15725" s="48" t="str">
        <f>IFERROR(__xludf.DUMMYFUNCTION("""COMPUTED_VALUE"""),"")</f>
        <v/>
      </c>
      <c r="G15725" s="42" t="str">
        <f>IFERROR(__xludf.DUMMYFUNCTION("""COMPUTED_VALUE"""),"")</f>
        <v/>
      </c>
      <c r="H15725" s="42">
        <f t="shared" si="1"/>
        <v>3345</v>
      </c>
    </row>
    <row r="15726" ht="22.5" customHeight="1">
      <c r="B15726" s="42" t="str">
        <f>IFERROR(__xludf.DUMMYFUNCTION("""COMPUTED_VALUE"""),"")</f>
        <v/>
      </c>
      <c r="C15726" s="42" t="str">
        <f>IFERROR(__xludf.DUMMYFUNCTION("""COMPUTED_VALUE"""),"")</f>
        <v/>
      </c>
      <c r="D15726" s="42"/>
      <c r="E15726" s="42"/>
      <c r="F15726" s="48" t="str">
        <f>IFERROR(__xludf.DUMMYFUNCTION("""COMPUTED_VALUE"""),"")</f>
        <v/>
      </c>
      <c r="G15726" s="42" t="str">
        <f>IFERROR(__xludf.DUMMYFUNCTION("""COMPUTED_VALUE"""),"")</f>
        <v/>
      </c>
      <c r="H15726" s="42">
        <f t="shared" si="1"/>
        <v>3345</v>
      </c>
    </row>
    <row r="15727" ht="22.5" customHeight="1">
      <c r="B15727" s="42" t="str">
        <f>IFERROR(__xludf.DUMMYFUNCTION("""COMPUTED_VALUE"""),"")</f>
        <v/>
      </c>
      <c r="C15727" s="42" t="str">
        <f>IFERROR(__xludf.DUMMYFUNCTION("""COMPUTED_VALUE"""),"")</f>
        <v/>
      </c>
      <c r="D15727" s="42"/>
      <c r="E15727" s="42"/>
      <c r="F15727" s="48" t="str">
        <f>IFERROR(__xludf.DUMMYFUNCTION("""COMPUTED_VALUE"""),"")</f>
        <v/>
      </c>
      <c r="G15727" s="42" t="str">
        <f>IFERROR(__xludf.DUMMYFUNCTION("""COMPUTED_VALUE"""),"")</f>
        <v/>
      </c>
      <c r="H15727" s="42">
        <f t="shared" si="1"/>
        <v>3345</v>
      </c>
    </row>
    <row r="15728" ht="22.5" customHeight="1">
      <c r="B15728" s="42" t="str">
        <f>IFERROR(__xludf.DUMMYFUNCTION("""COMPUTED_VALUE"""),"")</f>
        <v/>
      </c>
      <c r="C15728" s="42" t="str">
        <f>IFERROR(__xludf.DUMMYFUNCTION("""COMPUTED_VALUE"""),"")</f>
        <v/>
      </c>
      <c r="D15728" s="42"/>
      <c r="E15728" s="42"/>
      <c r="F15728" s="48" t="str">
        <f>IFERROR(__xludf.DUMMYFUNCTION("""COMPUTED_VALUE"""),"")</f>
        <v/>
      </c>
      <c r="G15728" s="42" t="str">
        <f>IFERROR(__xludf.DUMMYFUNCTION("""COMPUTED_VALUE"""),"")</f>
        <v/>
      </c>
      <c r="H15728" s="42">
        <f t="shared" si="1"/>
        <v>3345</v>
      </c>
    </row>
    <row r="15729" ht="22.5" customHeight="1">
      <c r="B15729" s="42" t="str">
        <f>IFERROR(__xludf.DUMMYFUNCTION("""COMPUTED_VALUE"""),"")</f>
        <v/>
      </c>
      <c r="C15729" s="42" t="str">
        <f>IFERROR(__xludf.DUMMYFUNCTION("""COMPUTED_VALUE"""),"")</f>
        <v/>
      </c>
      <c r="D15729" s="42"/>
      <c r="E15729" s="42"/>
      <c r="F15729" s="48" t="str">
        <f>IFERROR(__xludf.DUMMYFUNCTION("""COMPUTED_VALUE"""),"")</f>
        <v/>
      </c>
      <c r="G15729" s="42" t="str">
        <f>IFERROR(__xludf.DUMMYFUNCTION("""COMPUTED_VALUE"""),"")</f>
        <v/>
      </c>
      <c r="H15729" s="42">
        <f t="shared" si="1"/>
        <v>3345</v>
      </c>
    </row>
    <row r="15730" ht="22.5" customHeight="1">
      <c r="B15730" s="42" t="str">
        <f>IFERROR(__xludf.DUMMYFUNCTION("""COMPUTED_VALUE"""),"")</f>
        <v/>
      </c>
      <c r="C15730" s="42" t="str">
        <f>IFERROR(__xludf.DUMMYFUNCTION("""COMPUTED_VALUE"""),"")</f>
        <v/>
      </c>
      <c r="D15730" s="42"/>
      <c r="E15730" s="42"/>
      <c r="F15730" s="48" t="str">
        <f>IFERROR(__xludf.DUMMYFUNCTION("""COMPUTED_VALUE"""),"")</f>
        <v/>
      </c>
      <c r="G15730" s="42" t="str">
        <f>IFERROR(__xludf.DUMMYFUNCTION("""COMPUTED_VALUE"""),"")</f>
        <v/>
      </c>
      <c r="H15730" s="42">
        <f t="shared" si="1"/>
        <v>3345</v>
      </c>
    </row>
    <row r="15731" ht="22.5" customHeight="1">
      <c r="B15731" s="42" t="str">
        <f>IFERROR(__xludf.DUMMYFUNCTION("""COMPUTED_VALUE"""),"")</f>
        <v/>
      </c>
      <c r="C15731" s="42" t="str">
        <f>IFERROR(__xludf.DUMMYFUNCTION("""COMPUTED_VALUE"""),"")</f>
        <v/>
      </c>
      <c r="D15731" s="42"/>
      <c r="E15731" s="42"/>
      <c r="F15731" s="48" t="str">
        <f>IFERROR(__xludf.DUMMYFUNCTION("""COMPUTED_VALUE"""),"")</f>
        <v/>
      </c>
      <c r="G15731" s="42" t="str">
        <f>IFERROR(__xludf.DUMMYFUNCTION("""COMPUTED_VALUE"""),"")</f>
        <v/>
      </c>
      <c r="H15731" s="42">
        <f t="shared" si="1"/>
        <v>3345</v>
      </c>
    </row>
    <row r="15732" ht="22.5" customHeight="1">
      <c r="B15732" s="42" t="str">
        <f>IFERROR(__xludf.DUMMYFUNCTION("""COMPUTED_VALUE"""),"")</f>
        <v/>
      </c>
      <c r="C15732" s="42" t="str">
        <f>IFERROR(__xludf.DUMMYFUNCTION("""COMPUTED_VALUE"""),"")</f>
        <v/>
      </c>
      <c r="D15732" s="42"/>
      <c r="E15732" s="42"/>
      <c r="F15732" s="48" t="str">
        <f>IFERROR(__xludf.DUMMYFUNCTION("""COMPUTED_VALUE"""),"")</f>
        <v/>
      </c>
      <c r="G15732" s="42" t="str">
        <f>IFERROR(__xludf.DUMMYFUNCTION("""COMPUTED_VALUE"""),"")</f>
        <v/>
      </c>
      <c r="H15732" s="42">
        <f t="shared" si="1"/>
        <v>3345</v>
      </c>
    </row>
    <row r="15733" ht="22.5" customHeight="1">
      <c r="B15733" s="42" t="str">
        <f>IFERROR(__xludf.DUMMYFUNCTION("""COMPUTED_VALUE"""),"")</f>
        <v/>
      </c>
      <c r="C15733" s="42" t="str">
        <f>IFERROR(__xludf.DUMMYFUNCTION("""COMPUTED_VALUE"""),"")</f>
        <v/>
      </c>
      <c r="D15733" s="42"/>
      <c r="E15733" s="42"/>
      <c r="F15733" s="48" t="str">
        <f>IFERROR(__xludf.DUMMYFUNCTION("""COMPUTED_VALUE"""),"")</f>
        <v/>
      </c>
      <c r="G15733" s="42" t="str">
        <f>IFERROR(__xludf.DUMMYFUNCTION("""COMPUTED_VALUE"""),"")</f>
        <v/>
      </c>
      <c r="H15733" s="42">
        <f t="shared" si="1"/>
        <v>3345</v>
      </c>
    </row>
    <row r="15734" ht="22.5" customHeight="1">
      <c r="B15734" s="42" t="str">
        <f>IFERROR(__xludf.DUMMYFUNCTION("""COMPUTED_VALUE"""),"")</f>
        <v/>
      </c>
      <c r="C15734" s="42" t="str">
        <f>IFERROR(__xludf.DUMMYFUNCTION("""COMPUTED_VALUE"""),"")</f>
        <v/>
      </c>
      <c r="D15734" s="42"/>
      <c r="E15734" s="42"/>
      <c r="F15734" s="48" t="str">
        <f>IFERROR(__xludf.DUMMYFUNCTION("""COMPUTED_VALUE"""),"")</f>
        <v/>
      </c>
      <c r="G15734" s="42" t="str">
        <f>IFERROR(__xludf.DUMMYFUNCTION("""COMPUTED_VALUE"""),"")</f>
        <v/>
      </c>
      <c r="H15734" s="42">
        <f t="shared" si="1"/>
        <v>3345</v>
      </c>
    </row>
    <row r="15735" ht="22.5" customHeight="1">
      <c r="B15735" s="42" t="str">
        <f>IFERROR(__xludf.DUMMYFUNCTION("""COMPUTED_VALUE"""),"")</f>
        <v/>
      </c>
      <c r="C15735" s="42" t="str">
        <f>IFERROR(__xludf.DUMMYFUNCTION("""COMPUTED_VALUE"""),"")</f>
        <v/>
      </c>
      <c r="D15735" s="42"/>
      <c r="E15735" s="42"/>
      <c r="F15735" s="48" t="str">
        <f>IFERROR(__xludf.DUMMYFUNCTION("""COMPUTED_VALUE"""),"")</f>
        <v/>
      </c>
      <c r="G15735" s="42" t="str">
        <f>IFERROR(__xludf.DUMMYFUNCTION("""COMPUTED_VALUE"""),"")</f>
        <v/>
      </c>
      <c r="H15735" s="42">
        <f t="shared" si="1"/>
        <v>3345</v>
      </c>
    </row>
    <row r="15736" ht="22.5" customHeight="1">
      <c r="B15736" s="42" t="str">
        <f>IFERROR(__xludf.DUMMYFUNCTION("""COMPUTED_VALUE"""),"")</f>
        <v/>
      </c>
      <c r="C15736" s="42" t="str">
        <f>IFERROR(__xludf.DUMMYFUNCTION("""COMPUTED_VALUE"""),"")</f>
        <v/>
      </c>
      <c r="D15736" s="42"/>
      <c r="E15736" s="42"/>
      <c r="F15736" s="48" t="str">
        <f>IFERROR(__xludf.DUMMYFUNCTION("""COMPUTED_VALUE"""),"")</f>
        <v/>
      </c>
      <c r="G15736" s="42" t="str">
        <f>IFERROR(__xludf.DUMMYFUNCTION("""COMPUTED_VALUE"""),"")</f>
        <v/>
      </c>
      <c r="H15736" s="42">
        <f t="shared" si="1"/>
        <v>3345</v>
      </c>
    </row>
    <row r="15737" ht="22.5" customHeight="1">
      <c r="B15737" s="42" t="str">
        <f>IFERROR(__xludf.DUMMYFUNCTION("""COMPUTED_VALUE"""),"")</f>
        <v/>
      </c>
      <c r="C15737" s="42" t="str">
        <f>IFERROR(__xludf.DUMMYFUNCTION("""COMPUTED_VALUE"""),"")</f>
        <v/>
      </c>
      <c r="D15737" s="42"/>
      <c r="E15737" s="42"/>
      <c r="F15737" s="48" t="str">
        <f>IFERROR(__xludf.DUMMYFUNCTION("""COMPUTED_VALUE"""),"")</f>
        <v/>
      </c>
      <c r="G15737" s="42" t="str">
        <f>IFERROR(__xludf.DUMMYFUNCTION("""COMPUTED_VALUE"""),"")</f>
        <v/>
      </c>
      <c r="H15737" s="42">
        <f t="shared" si="1"/>
        <v>3345</v>
      </c>
    </row>
    <row r="15738" ht="22.5" customHeight="1">
      <c r="B15738" s="42" t="str">
        <f>IFERROR(__xludf.DUMMYFUNCTION("""COMPUTED_VALUE"""),"")</f>
        <v/>
      </c>
      <c r="C15738" s="42" t="str">
        <f>IFERROR(__xludf.DUMMYFUNCTION("""COMPUTED_VALUE"""),"")</f>
        <v/>
      </c>
      <c r="D15738" s="42"/>
      <c r="E15738" s="42"/>
      <c r="F15738" s="48" t="str">
        <f>IFERROR(__xludf.DUMMYFUNCTION("""COMPUTED_VALUE"""),"")</f>
        <v/>
      </c>
      <c r="G15738" s="42" t="str">
        <f>IFERROR(__xludf.DUMMYFUNCTION("""COMPUTED_VALUE"""),"")</f>
        <v/>
      </c>
      <c r="H15738" s="42">
        <f t="shared" si="1"/>
        <v>3345</v>
      </c>
    </row>
    <row r="15739" ht="22.5" customHeight="1">
      <c r="B15739" s="42" t="str">
        <f>IFERROR(__xludf.DUMMYFUNCTION("""COMPUTED_VALUE"""),"")</f>
        <v/>
      </c>
      <c r="C15739" s="42" t="str">
        <f>IFERROR(__xludf.DUMMYFUNCTION("""COMPUTED_VALUE"""),"")</f>
        <v/>
      </c>
      <c r="D15739" s="42"/>
      <c r="E15739" s="42"/>
      <c r="F15739" s="48" t="str">
        <f>IFERROR(__xludf.DUMMYFUNCTION("""COMPUTED_VALUE"""),"")</f>
        <v/>
      </c>
      <c r="G15739" s="42" t="str">
        <f>IFERROR(__xludf.DUMMYFUNCTION("""COMPUTED_VALUE"""),"")</f>
        <v/>
      </c>
      <c r="H15739" s="42">
        <f t="shared" si="1"/>
        <v>3345</v>
      </c>
    </row>
    <row r="15740" ht="22.5" customHeight="1">
      <c r="B15740" s="42" t="str">
        <f>IFERROR(__xludf.DUMMYFUNCTION("""COMPUTED_VALUE"""),"")</f>
        <v/>
      </c>
      <c r="C15740" s="42" t="str">
        <f>IFERROR(__xludf.DUMMYFUNCTION("""COMPUTED_VALUE"""),"")</f>
        <v/>
      </c>
      <c r="D15740" s="42"/>
      <c r="E15740" s="42"/>
      <c r="F15740" s="48" t="str">
        <f>IFERROR(__xludf.DUMMYFUNCTION("""COMPUTED_VALUE"""),"")</f>
        <v/>
      </c>
      <c r="G15740" s="42" t="str">
        <f>IFERROR(__xludf.DUMMYFUNCTION("""COMPUTED_VALUE"""),"")</f>
        <v/>
      </c>
      <c r="H15740" s="42">
        <f t="shared" si="1"/>
        <v>3345</v>
      </c>
    </row>
    <row r="15741" ht="22.5" customHeight="1">
      <c r="B15741" s="42" t="str">
        <f>IFERROR(__xludf.DUMMYFUNCTION("""COMPUTED_VALUE"""),"")</f>
        <v/>
      </c>
      <c r="C15741" s="42" t="str">
        <f>IFERROR(__xludf.DUMMYFUNCTION("""COMPUTED_VALUE"""),"")</f>
        <v/>
      </c>
      <c r="D15741" s="42"/>
      <c r="E15741" s="42"/>
      <c r="F15741" s="48" t="str">
        <f>IFERROR(__xludf.DUMMYFUNCTION("""COMPUTED_VALUE"""),"")</f>
        <v/>
      </c>
      <c r="G15741" s="42" t="str">
        <f>IFERROR(__xludf.DUMMYFUNCTION("""COMPUTED_VALUE"""),"")</f>
        <v/>
      </c>
      <c r="H15741" s="42">
        <f t="shared" si="1"/>
        <v>3345</v>
      </c>
    </row>
    <row r="15742" ht="22.5" customHeight="1">
      <c r="B15742" s="42" t="str">
        <f>IFERROR(__xludf.DUMMYFUNCTION("""COMPUTED_VALUE"""),"")</f>
        <v/>
      </c>
      <c r="C15742" s="42" t="str">
        <f>IFERROR(__xludf.DUMMYFUNCTION("""COMPUTED_VALUE"""),"")</f>
        <v/>
      </c>
      <c r="D15742" s="42"/>
      <c r="E15742" s="42"/>
      <c r="F15742" s="48" t="str">
        <f>IFERROR(__xludf.DUMMYFUNCTION("""COMPUTED_VALUE"""),"")</f>
        <v/>
      </c>
      <c r="G15742" s="42" t="str">
        <f>IFERROR(__xludf.DUMMYFUNCTION("""COMPUTED_VALUE"""),"")</f>
        <v/>
      </c>
      <c r="H15742" s="42">
        <f t="shared" si="1"/>
        <v>3345</v>
      </c>
    </row>
    <row r="15743" ht="22.5" customHeight="1">
      <c r="B15743" s="42" t="str">
        <f>IFERROR(__xludf.DUMMYFUNCTION("""COMPUTED_VALUE"""),"")</f>
        <v/>
      </c>
      <c r="C15743" s="42" t="str">
        <f>IFERROR(__xludf.DUMMYFUNCTION("""COMPUTED_VALUE"""),"")</f>
        <v/>
      </c>
      <c r="D15743" s="42"/>
      <c r="E15743" s="42"/>
      <c r="F15743" s="48" t="str">
        <f>IFERROR(__xludf.DUMMYFUNCTION("""COMPUTED_VALUE"""),"")</f>
        <v/>
      </c>
      <c r="G15743" s="42" t="str">
        <f>IFERROR(__xludf.DUMMYFUNCTION("""COMPUTED_VALUE"""),"")</f>
        <v/>
      </c>
      <c r="H15743" s="42">
        <f t="shared" si="1"/>
        <v>3345</v>
      </c>
    </row>
    <row r="15744" ht="22.5" customHeight="1">
      <c r="B15744" s="42" t="str">
        <f>IFERROR(__xludf.DUMMYFUNCTION("""COMPUTED_VALUE"""),"")</f>
        <v/>
      </c>
      <c r="C15744" s="42" t="str">
        <f>IFERROR(__xludf.DUMMYFUNCTION("""COMPUTED_VALUE"""),"")</f>
        <v/>
      </c>
      <c r="D15744" s="42"/>
      <c r="E15744" s="42"/>
      <c r="F15744" s="48" t="str">
        <f>IFERROR(__xludf.DUMMYFUNCTION("""COMPUTED_VALUE"""),"")</f>
        <v/>
      </c>
      <c r="G15744" s="42" t="str">
        <f>IFERROR(__xludf.DUMMYFUNCTION("""COMPUTED_VALUE"""),"")</f>
        <v/>
      </c>
      <c r="H15744" s="42">
        <f t="shared" si="1"/>
        <v>3345</v>
      </c>
    </row>
    <row r="15745" ht="22.5" customHeight="1">
      <c r="B15745" s="42" t="str">
        <f>IFERROR(__xludf.DUMMYFUNCTION("""COMPUTED_VALUE"""),"")</f>
        <v/>
      </c>
      <c r="C15745" s="42" t="str">
        <f>IFERROR(__xludf.DUMMYFUNCTION("""COMPUTED_VALUE"""),"")</f>
        <v/>
      </c>
      <c r="D15745" s="42"/>
      <c r="E15745" s="42"/>
      <c r="F15745" s="48" t="str">
        <f>IFERROR(__xludf.DUMMYFUNCTION("""COMPUTED_VALUE"""),"")</f>
        <v/>
      </c>
      <c r="G15745" s="42" t="str">
        <f>IFERROR(__xludf.DUMMYFUNCTION("""COMPUTED_VALUE"""),"")</f>
        <v/>
      </c>
      <c r="H15745" s="42">
        <f t="shared" si="1"/>
        <v>3345</v>
      </c>
    </row>
    <row r="15746" ht="22.5" customHeight="1">
      <c r="B15746" s="42" t="str">
        <f>IFERROR(__xludf.DUMMYFUNCTION("""COMPUTED_VALUE"""),"")</f>
        <v/>
      </c>
      <c r="C15746" s="42" t="str">
        <f>IFERROR(__xludf.DUMMYFUNCTION("""COMPUTED_VALUE"""),"")</f>
        <v/>
      </c>
      <c r="D15746" s="42"/>
      <c r="E15746" s="42"/>
      <c r="F15746" s="48" t="str">
        <f>IFERROR(__xludf.DUMMYFUNCTION("""COMPUTED_VALUE"""),"")</f>
        <v/>
      </c>
      <c r="G15746" s="42" t="str">
        <f>IFERROR(__xludf.DUMMYFUNCTION("""COMPUTED_VALUE"""),"")</f>
        <v/>
      </c>
      <c r="H15746" s="42">
        <f t="shared" si="1"/>
        <v>3345</v>
      </c>
    </row>
    <row r="15747" ht="22.5" customHeight="1">
      <c r="B15747" s="42" t="str">
        <f>IFERROR(__xludf.DUMMYFUNCTION("""COMPUTED_VALUE"""),"")</f>
        <v/>
      </c>
      <c r="C15747" s="42" t="str">
        <f>IFERROR(__xludf.DUMMYFUNCTION("""COMPUTED_VALUE"""),"")</f>
        <v/>
      </c>
      <c r="D15747" s="42"/>
      <c r="E15747" s="42"/>
      <c r="F15747" s="48" t="str">
        <f>IFERROR(__xludf.DUMMYFUNCTION("""COMPUTED_VALUE"""),"")</f>
        <v/>
      </c>
      <c r="G15747" s="42" t="str">
        <f>IFERROR(__xludf.DUMMYFUNCTION("""COMPUTED_VALUE"""),"")</f>
        <v/>
      </c>
      <c r="H15747" s="42">
        <f t="shared" si="1"/>
        <v>3345</v>
      </c>
    </row>
    <row r="15748" ht="22.5" customHeight="1">
      <c r="B15748" s="42" t="str">
        <f>IFERROR(__xludf.DUMMYFUNCTION("""COMPUTED_VALUE"""),"")</f>
        <v/>
      </c>
      <c r="C15748" s="42" t="str">
        <f>IFERROR(__xludf.DUMMYFUNCTION("""COMPUTED_VALUE"""),"")</f>
        <v/>
      </c>
      <c r="D15748" s="42"/>
      <c r="E15748" s="42"/>
      <c r="F15748" s="48" t="str">
        <f>IFERROR(__xludf.DUMMYFUNCTION("""COMPUTED_VALUE"""),"")</f>
        <v/>
      </c>
      <c r="G15748" s="42" t="str">
        <f>IFERROR(__xludf.DUMMYFUNCTION("""COMPUTED_VALUE"""),"")</f>
        <v/>
      </c>
      <c r="H15748" s="42">
        <f t="shared" si="1"/>
        <v>3345</v>
      </c>
    </row>
    <row r="15749" ht="22.5" customHeight="1">
      <c r="B15749" s="42" t="str">
        <f>IFERROR(__xludf.DUMMYFUNCTION("""COMPUTED_VALUE"""),"")</f>
        <v/>
      </c>
      <c r="C15749" s="42" t="str">
        <f>IFERROR(__xludf.DUMMYFUNCTION("""COMPUTED_VALUE"""),"")</f>
        <v/>
      </c>
      <c r="D15749" s="42"/>
      <c r="E15749" s="42"/>
      <c r="F15749" s="48" t="str">
        <f>IFERROR(__xludf.DUMMYFUNCTION("""COMPUTED_VALUE"""),"")</f>
        <v/>
      </c>
      <c r="G15749" s="42" t="str">
        <f>IFERROR(__xludf.DUMMYFUNCTION("""COMPUTED_VALUE"""),"")</f>
        <v/>
      </c>
      <c r="H15749" s="42">
        <f t="shared" si="1"/>
        <v>3345</v>
      </c>
    </row>
    <row r="15750" ht="22.5" customHeight="1">
      <c r="B15750" s="42" t="str">
        <f>IFERROR(__xludf.DUMMYFUNCTION("""COMPUTED_VALUE"""),"")</f>
        <v/>
      </c>
      <c r="C15750" s="42" t="str">
        <f>IFERROR(__xludf.DUMMYFUNCTION("""COMPUTED_VALUE"""),"")</f>
        <v/>
      </c>
      <c r="D15750" s="42"/>
      <c r="E15750" s="42"/>
      <c r="F15750" s="48" t="str">
        <f>IFERROR(__xludf.DUMMYFUNCTION("""COMPUTED_VALUE"""),"")</f>
        <v/>
      </c>
      <c r="G15750" s="42" t="str">
        <f>IFERROR(__xludf.DUMMYFUNCTION("""COMPUTED_VALUE"""),"")</f>
        <v/>
      </c>
      <c r="H15750" s="42">
        <f t="shared" si="1"/>
        <v>3345</v>
      </c>
    </row>
    <row r="15751" ht="22.5" customHeight="1">
      <c r="B15751" s="42" t="str">
        <f>IFERROR(__xludf.DUMMYFUNCTION("""COMPUTED_VALUE"""),"")</f>
        <v/>
      </c>
      <c r="C15751" s="42" t="str">
        <f>IFERROR(__xludf.DUMMYFUNCTION("""COMPUTED_VALUE"""),"")</f>
        <v/>
      </c>
      <c r="D15751" s="42"/>
      <c r="E15751" s="42"/>
      <c r="F15751" s="48" t="str">
        <f>IFERROR(__xludf.DUMMYFUNCTION("""COMPUTED_VALUE"""),"")</f>
        <v/>
      </c>
      <c r="G15751" s="42" t="str">
        <f>IFERROR(__xludf.DUMMYFUNCTION("""COMPUTED_VALUE"""),"")</f>
        <v/>
      </c>
      <c r="H15751" s="42">
        <f t="shared" si="1"/>
        <v>3345</v>
      </c>
    </row>
    <row r="15752" ht="22.5" customHeight="1">
      <c r="B15752" s="42" t="str">
        <f>IFERROR(__xludf.DUMMYFUNCTION("""COMPUTED_VALUE"""),"")</f>
        <v/>
      </c>
      <c r="C15752" s="42" t="str">
        <f>IFERROR(__xludf.DUMMYFUNCTION("""COMPUTED_VALUE"""),"")</f>
        <v/>
      </c>
      <c r="D15752" s="42"/>
      <c r="E15752" s="42"/>
      <c r="F15752" s="48" t="str">
        <f>IFERROR(__xludf.DUMMYFUNCTION("""COMPUTED_VALUE"""),"")</f>
        <v/>
      </c>
      <c r="G15752" s="42" t="str">
        <f>IFERROR(__xludf.DUMMYFUNCTION("""COMPUTED_VALUE"""),"")</f>
        <v/>
      </c>
      <c r="H15752" s="42">
        <f t="shared" si="1"/>
        <v>3345</v>
      </c>
    </row>
    <row r="15753" ht="22.5" customHeight="1">
      <c r="B15753" s="42" t="str">
        <f>IFERROR(__xludf.DUMMYFUNCTION("""COMPUTED_VALUE"""),"")</f>
        <v/>
      </c>
      <c r="C15753" s="42" t="str">
        <f>IFERROR(__xludf.DUMMYFUNCTION("""COMPUTED_VALUE"""),"")</f>
        <v/>
      </c>
      <c r="D15753" s="42"/>
      <c r="E15753" s="42"/>
      <c r="F15753" s="48" t="str">
        <f>IFERROR(__xludf.DUMMYFUNCTION("""COMPUTED_VALUE"""),"")</f>
        <v/>
      </c>
      <c r="G15753" s="42" t="str">
        <f>IFERROR(__xludf.DUMMYFUNCTION("""COMPUTED_VALUE"""),"")</f>
        <v/>
      </c>
      <c r="H15753" s="42">
        <f t="shared" si="1"/>
        <v>3345</v>
      </c>
    </row>
    <row r="15754" ht="22.5" customHeight="1">
      <c r="B15754" s="42" t="str">
        <f>IFERROR(__xludf.DUMMYFUNCTION("""COMPUTED_VALUE"""),"")</f>
        <v/>
      </c>
      <c r="C15754" s="42" t="str">
        <f>IFERROR(__xludf.DUMMYFUNCTION("""COMPUTED_VALUE"""),"")</f>
        <v/>
      </c>
      <c r="D15754" s="42"/>
      <c r="E15754" s="42"/>
      <c r="F15754" s="48" t="str">
        <f>IFERROR(__xludf.DUMMYFUNCTION("""COMPUTED_VALUE"""),"")</f>
        <v/>
      </c>
      <c r="G15754" s="42" t="str">
        <f>IFERROR(__xludf.DUMMYFUNCTION("""COMPUTED_VALUE"""),"")</f>
        <v/>
      </c>
      <c r="H15754" s="42">
        <f t="shared" si="1"/>
        <v>3345</v>
      </c>
    </row>
    <row r="15755" ht="22.5" customHeight="1">
      <c r="B15755" s="42" t="str">
        <f>IFERROR(__xludf.DUMMYFUNCTION("""COMPUTED_VALUE"""),"")</f>
        <v/>
      </c>
      <c r="C15755" s="42" t="str">
        <f>IFERROR(__xludf.DUMMYFUNCTION("""COMPUTED_VALUE"""),"")</f>
        <v/>
      </c>
      <c r="D15755" s="42"/>
      <c r="E15755" s="42"/>
      <c r="F15755" s="48" t="str">
        <f>IFERROR(__xludf.DUMMYFUNCTION("""COMPUTED_VALUE"""),"")</f>
        <v/>
      </c>
      <c r="G15755" s="42" t="str">
        <f>IFERROR(__xludf.DUMMYFUNCTION("""COMPUTED_VALUE"""),"")</f>
        <v/>
      </c>
      <c r="H15755" s="42">
        <f t="shared" si="1"/>
        <v>3345</v>
      </c>
    </row>
    <row r="15756" ht="22.5" customHeight="1">
      <c r="B15756" s="42" t="str">
        <f>IFERROR(__xludf.DUMMYFUNCTION("""COMPUTED_VALUE"""),"")</f>
        <v/>
      </c>
      <c r="C15756" s="42" t="str">
        <f>IFERROR(__xludf.DUMMYFUNCTION("""COMPUTED_VALUE"""),"")</f>
        <v/>
      </c>
      <c r="D15756" s="42"/>
      <c r="E15756" s="42"/>
      <c r="F15756" s="48" t="str">
        <f>IFERROR(__xludf.DUMMYFUNCTION("""COMPUTED_VALUE"""),"")</f>
        <v/>
      </c>
      <c r="G15756" s="42" t="str">
        <f>IFERROR(__xludf.DUMMYFUNCTION("""COMPUTED_VALUE"""),"")</f>
        <v/>
      </c>
      <c r="H15756" s="42">
        <f t="shared" si="1"/>
        <v>3345</v>
      </c>
    </row>
    <row r="15757" ht="22.5" customHeight="1">
      <c r="B15757" s="42" t="str">
        <f>IFERROR(__xludf.DUMMYFUNCTION("""COMPUTED_VALUE"""),"")</f>
        <v/>
      </c>
      <c r="C15757" s="42" t="str">
        <f>IFERROR(__xludf.DUMMYFUNCTION("""COMPUTED_VALUE"""),"")</f>
        <v/>
      </c>
      <c r="D15757" s="42"/>
      <c r="E15757" s="42"/>
      <c r="F15757" s="48" t="str">
        <f>IFERROR(__xludf.DUMMYFUNCTION("""COMPUTED_VALUE"""),"")</f>
        <v/>
      </c>
      <c r="G15757" s="42" t="str">
        <f>IFERROR(__xludf.DUMMYFUNCTION("""COMPUTED_VALUE"""),"")</f>
        <v/>
      </c>
      <c r="H15757" s="42">
        <f t="shared" si="1"/>
        <v>3345</v>
      </c>
    </row>
    <row r="15758" ht="22.5" customHeight="1">
      <c r="B15758" s="42" t="str">
        <f>IFERROR(__xludf.DUMMYFUNCTION("""COMPUTED_VALUE"""),"")</f>
        <v/>
      </c>
      <c r="C15758" s="42" t="str">
        <f>IFERROR(__xludf.DUMMYFUNCTION("""COMPUTED_VALUE"""),"")</f>
        <v/>
      </c>
      <c r="D15758" s="42"/>
      <c r="E15758" s="42"/>
      <c r="F15758" s="48" t="str">
        <f>IFERROR(__xludf.DUMMYFUNCTION("""COMPUTED_VALUE"""),"")</f>
        <v/>
      </c>
      <c r="G15758" s="42" t="str">
        <f>IFERROR(__xludf.DUMMYFUNCTION("""COMPUTED_VALUE"""),"")</f>
        <v/>
      </c>
      <c r="H15758" s="42">
        <f t="shared" si="1"/>
        <v>3345</v>
      </c>
    </row>
    <row r="15759" ht="22.5" customHeight="1">
      <c r="B15759" s="42" t="str">
        <f>IFERROR(__xludf.DUMMYFUNCTION("""COMPUTED_VALUE"""),"")</f>
        <v/>
      </c>
      <c r="C15759" s="42" t="str">
        <f>IFERROR(__xludf.DUMMYFUNCTION("""COMPUTED_VALUE"""),"")</f>
        <v/>
      </c>
      <c r="D15759" s="42"/>
      <c r="E15759" s="42"/>
      <c r="F15759" s="48" t="str">
        <f>IFERROR(__xludf.DUMMYFUNCTION("""COMPUTED_VALUE"""),"")</f>
        <v/>
      </c>
      <c r="G15759" s="42" t="str">
        <f>IFERROR(__xludf.DUMMYFUNCTION("""COMPUTED_VALUE"""),"")</f>
        <v/>
      </c>
      <c r="H15759" s="42">
        <f t="shared" si="1"/>
        <v>3345</v>
      </c>
    </row>
    <row r="15760" ht="22.5" customHeight="1">
      <c r="B15760" s="42" t="str">
        <f>IFERROR(__xludf.DUMMYFUNCTION("""COMPUTED_VALUE"""),"")</f>
        <v/>
      </c>
      <c r="C15760" s="42" t="str">
        <f>IFERROR(__xludf.DUMMYFUNCTION("""COMPUTED_VALUE"""),"")</f>
        <v/>
      </c>
      <c r="D15760" s="42"/>
      <c r="E15760" s="42"/>
      <c r="F15760" s="48" t="str">
        <f>IFERROR(__xludf.DUMMYFUNCTION("""COMPUTED_VALUE"""),"")</f>
        <v/>
      </c>
      <c r="G15760" s="42" t="str">
        <f>IFERROR(__xludf.DUMMYFUNCTION("""COMPUTED_VALUE"""),"")</f>
        <v/>
      </c>
      <c r="H15760" s="42">
        <f t="shared" si="1"/>
        <v>3345</v>
      </c>
    </row>
    <row r="15761" ht="22.5" customHeight="1">
      <c r="B15761" s="42" t="str">
        <f>IFERROR(__xludf.DUMMYFUNCTION("""COMPUTED_VALUE"""),"")</f>
        <v/>
      </c>
      <c r="C15761" s="42" t="str">
        <f>IFERROR(__xludf.DUMMYFUNCTION("""COMPUTED_VALUE"""),"")</f>
        <v/>
      </c>
      <c r="D15761" s="42"/>
      <c r="E15761" s="42"/>
      <c r="F15761" s="48" t="str">
        <f>IFERROR(__xludf.DUMMYFUNCTION("""COMPUTED_VALUE"""),"")</f>
        <v/>
      </c>
      <c r="G15761" s="42" t="str">
        <f>IFERROR(__xludf.DUMMYFUNCTION("""COMPUTED_VALUE"""),"")</f>
        <v/>
      </c>
      <c r="H15761" s="42">
        <f t="shared" si="1"/>
        <v>3345</v>
      </c>
    </row>
    <row r="15762" ht="22.5" customHeight="1">
      <c r="B15762" s="42" t="str">
        <f>IFERROR(__xludf.DUMMYFUNCTION("""COMPUTED_VALUE"""),"")</f>
        <v/>
      </c>
      <c r="C15762" s="42" t="str">
        <f>IFERROR(__xludf.DUMMYFUNCTION("""COMPUTED_VALUE"""),"")</f>
        <v/>
      </c>
      <c r="D15762" s="42"/>
      <c r="E15762" s="42"/>
      <c r="F15762" s="48" t="str">
        <f>IFERROR(__xludf.DUMMYFUNCTION("""COMPUTED_VALUE"""),"")</f>
        <v/>
      </c>
      <c r="G15762" s="42" t="str">
        <f>IFERROR(__xludf.DUMMYFUNCTION("""COMPUTED_VALUE"""),"")</f>
        <v/>
      </c>
      <c r="H15762" s="42">
        <f t="shared" si="1"/>
        <v>3345</v>
      </c>
    </row>
    <row r="15763" ht="22.5" customHeight="1">
      <c r="B15763" s="42" t="str">
        <f>IFERROR(__xludf.DUMMYFUNCTION("""COMPUTED_VALUE"""),"")</f>
        <v/>
      </c>
      <c r="C15763" s="42" t="str">
        <f>IFERROR(__xludf.DUMMYFUNCTION("""COMPUTED_VALUE"""),"")</f>
        <v/>
      </c>
      <c r="D15763" s="42"/>
      <c r="E15763" s="42"/>
      <c r="F15763" s="48" t="str">
        <f>IFERROR(__xludf.DUMMYFUNCTION("""COMPUTED_VALUE"""),"")</f>
        <v/>
      </c>
      <c r="G15763" s="42" t="str">
        <f>IFERROR(__xludf.DUMMYFUNCTION("""COMPUTED_VALUE"""),"")</f>
        <v/>
      </c>
      <c r="H15763" s="42">
        <f t="shared" si="1"/>
        <v>3345</v>
      </c>
    </row>
    <row r="15764" ht="22.5" customHeight="1">
      <c r="B15764" s="42" t="str">
        <f>IFERROR(__xludf.DUMMYFUNCTION("""COMPUTED_VALUE"""),"")</f>
        <v/>
      </c>
      <c r="C15764" s="42" t="str">
        <f>IFERROR(__xludf.DUMMYFUNCTION("""COMPUTED_VALUE"""),"")</f>
        <v/>
      </c>
      <c r="D15764" s="42"/>
      <c r="E15764" s="42"/>
      <c r="F15764" s="48" t="str">
        <f>IFERROR(__xludf.DUMMYFUNCTION("""COMPUTED_VALUE"""),"")</f>
        <v/>
      </c>
      <c r="G15764" s="42" t="str">
        <f>IFERROR(__xludf.DUMMYFUNCTION("""COMPUTED_VALUE"""),"")</f>
        <v/>
      </c>
      <c r="H15764" s="42">
        <f t="shared" si="1"/>
        <v>3345</v>
      </c>
    </row>
    <row r="15765" ht="22.5" customHeight="1">
      <c r="B15765" s="42" t="str">
        <f>IFERROR(__xludf.DUMMYFUNCTION("""COMPUTED_VALUE"""),"")</f>
        <v/>
      </c>
      <c r="C15765" s="42" t="str">
        <f>IFERROR(__xludf.DUMMYFUNCTION("""COMPUTED_VALUE"""),"")</f>
        <v/>
      </c>
      <c r="D15765" s="42"/>
      <c r="E15765" s="42"/>
      <c r="F15765" s="48" t="str">
        <f>IFERROR(__xludf.DUMMYFUNCTION("""COMPUTED_VALUE"""),"")</f>
        <v/>
      </c>
      <c r="G15765" s="42" t="str">
        <f>IFERROR(__xludf.DUMMYFUNCTION("""COMPUTED_VALUE"""),"")</f>
        <v/>
      </c>
      <c r="H15765" s="42">
        <f t="shared" si="1"/>
        <v>3345</v>
      </c>
    </row>
    <row r="15766" ht="22.5" customHeight="1">
      <c r="B15766" s="42" t="str">
        <f>IFERROR(__xludf.DUMMYFUNCTION("""COMPUTED_VALUE"""),"")</f>
        <v/>
      </c>
      <c r="C15766" s="42" t="str">
        <f>IFERROR(__xludf.DUMMYFUNCTION("""COMPUTED_VALUE"""),"")</f>
        <v/>
      </c>
      <c r="D15766" s="42"/>
      <c r="E15766" s="42"/>
      <c r="F15766" s="48" t="str">
        <f>IFERROR(__xludf.DUMMYFUNCTION("""COMPUTED_VALUE"""),"")</f>
        <v/>
      </c>
      <c r="G15766" s="42" t="str">
        <f>IFERROR(__xludf.DUMMYFUNCTION("""COMPUTED_VALUE"""),"")</f>
        <v/>
      </c>
      <c r="H15766" s="42">
        <f t="shared" si="1"/>
        <v>3345</v>
      </c>
    </row>
    <row r="15767" ht="22.5" customHeight="1">
      <c r="B15767" s="42" t="str">
        <f>IFERROR(__xludf.DUMMYFUNCTION("""COMPUTED_VALUE"""),"")</f>
        <v/>
      </c>
      <c r="C15767" s="42" t="str">
        <f>IFERROR(__xludf.DUMMYFUNCTION("""COMPUTED_VALUE"""),"")</f>
        <v/>
      </c>
      <c r="D15767" s="42"/>
      <c r="E15767" s="42"/>
      <c r="F15767" s="48" t="str">
        <f>IFERROR(__xludf.DUMMYFUNCTION("""COMPUTED_VALUE"""),"")</f>
        <v/>
      </c>
      <c r="G15767" s="42" t="str">
        <f>IFERROR(__xludf.DUMMYFUNCTION("""COMPUTED_VALUE"""),"")</f>
        <v/>
      </c>
      <c r="H15767" s="42">
        <f t="shared" si="1"/>
        <v>3345</v>
      </c>
    </row>
    <row r="15768" ht="22.5" customHeight="1">
      <c r="B15768" s="42" t="str">
        <f>IFERROR(__xludf.DUMMYFUNCTION("""COMPUTED_VALUE"""),"")</f>
        <v/>
      </c>
      <c r="C15768" s="42" t="str">
        <f>IFERROR(__xludf.DUMMYFUNCTION("""COMPUTED_VALUE"""),"")</f>
        <v/>
      </c>
      <c r="D15768" s="42"/>
      <c r="E15768" s="42"/>
      <c r="F15768" s="48" t="str">
        <f>IFERROR(__xludf.DUMMYFUNCTION("""COMPUTED_VALUE"""),"")</f>
        <v/>
      </c>
      <c r="G15768" s="42" t="str">
        <f>IFERROR(__xludf.DUMMYFUNCTION("""COMPUTED_VALUE"""),"")</f>
        <v/>
      </c>
      <c r="H15768" s="42">
        <f t="shared" si="1"/>
        <v>3345</v>
      </c>
    </row>
    <row r="15769" ht="22.5" customHeight="1">
      <c r="B15769" s="42" t="str">
        <f>IFERROR(__xludf.DUMMYFUNCTION("""COMPUTED_VALUE"""),"")</f>
        <v/>
      </c>
      <c r="C15769" s="42" t="str">
        <f>IFERROR(__xludf.DUMMYFUNCTION("""COMPUTED_VALUE"""),"")</f>
        <v/>
      </c>
      <c r="D15769" s="42"/>
      <c r="E15769" s="42"/>
      <c r="F15769" s="48" t="str">
        <f>IFERROR(__xludf.DUMMYFUNCTION("""COMPUTED_VALUE"""),"")</f>
        <v/>
      </c>
      <c r="G15769" s="42" t="str">
        <f>IFERROR(__xludf.DUMMYFUNCTION("""COMPUTED_VALUE"""),"")</f>
        <v/>
      </c>
      <c r="H15769" s="42">
        <f t="shared" si="1"/>
        <v>3345</v>
      </c>
    </row>
    <row r="15770" ht="22.5" customHeight="1">
      <c r="B15770" s="42" t="str">
        <f>IFERROR(__xludf.DUMMYFUNCTION("""COMPUTED_VALUE"""),"")</f>
        <v/>
      </c>
      <c r="C15770" s="42" t="str">
        <f>IFERROR(__xludf.DUMMYFUNCTION("""COMPUTED_VALUE"""),"")</f>
        <v/>
      </c>
      <c r="D15770" s="42"/>
      <c r="E15770" s="42"/>
      <c r="F15770" s="48" t="str">
        <f>IFERROR(__xludf.DUMMYFUNCTION("""COMPUTED_VALUE"""),"")</f>
        <v/>
      </c>
      <c r="G15770" s="42" t="str">
        <f>IFERROR(__xludf.DUMMYFUNCTION("""COMPUTED_VALUE"""),"")</f>
        <v/>
      </c>
      <c r="H15770" s="42">
        <f t="shared" si="1"/>
        <v>3345</v>
      </c>
    </row>
    <row r="15771" ht="22.5" customHeight="1">
      <c r="B15771" s="42" t="str">
        <f>IFERROR(__xludf.DUMMYFUNCTION("""COMPUTED_VALUE"""),"")</f>
        <v/>
      </c>
      <c r="C15771" s="42" t="str">
        <f>IFERROR(__xludf.DUMMYFUNCTION("""COMPUTED_VALUE"""),"")</f>
        <v/>
      </c>
      <c r="D15771" s="42"/>
      <c r="E15771" s="42"/>
      <c r="F15771" s="48" t="str">
        <f>IFERROR(__xludf.DUMMYFUNCTION("""COMPUTED_VALUE"""),"")</f>
        <v/>
      </c>
      <c r="G15771" s="42" t="str">
        <f>IFERROR(__xludf.DUMMYFUNCTION("""COMPUTED_VALUE"""),"")</f>
        <v/>
      </c>
      <c r="H15771" s="42">
        <f t="shared" si="1"/>
        <v>3345</v>
      </c>
    </row>
    <row r="15772" ht="22.5" customHeight="1">
      <c r="B15772" s="42" t="str">
        <f>IFERROR(__xludf.DUMMYFUNCTION("""COMPUTED_VALUE"""),"")</f>
        <v/>
      </c>
      <c r="C15772" s="42" t="str">
        <f>IFERROR(__xludf.DUMMYFUNCTION("""COMPUTED_VALUE"""),"")</f>
        <v/>
      </c>
      <c r="D15772" s="42"/>
      <c r="E15772" s="42"/>
      <c r="F15772" s="48" t="str">
        <f>IFERROR(__xludf.DUMMYFUNCTION("""COMPUTED_VALUE"""),"")</f>
        <v/>
      </c>
      <c r="G15772" s="42" t="str">
        <f>IFERROR(__xludf.DUMMYFUNCTION("""COMPUTED_VALUE"""),"")</f>
        <v/>
      </c>
      <c r="H15772" s="42">
        <f t="shared" si="1"/>
        <v>3345</v>
      </c>
    </row>
    <row r="15773" ht="22.5" customHeight="1">
      <c r="B15773" s="42" t="str">
        <f>IFERROR(__xludf.DUMMYFUNCTION("""COMPUTED_VALUE"""),"")</f>
        <v/>
      </c>
      <c r="C15773" s="42" t="str">
        <f>IFERROR(__xludf.DUMMYFUNCTION("""COMPUTED_VALUE"""),"")</f>
        <v/>
      </c>
      <c r="D15773" s="42"/>
      <c r="E15773" s="42"/>
      <c r="F15773" s="48" t="str">
        <f>IFERROR(__xludf.DUMMYFUNCTION("""COMPUTED_VALUE"""),"")</f>
        <v/>
      </c>
      <c r="G15773" s="42" t="str">
        <f>IFERROR(__xludf.DUMMYFUNCTION("""COMPUTED_VALUE"""),"")</f>
        <v/>
      </c>
      <c r="H15773" s="42">
        <f t="shared" si="1"/>
        <v>3345</v>
      </c>
    </row>
    <row r="15774" ht="22.5" customHeight="1">
      <c r="B15774" s="42" t="str">
        <f>IFERROR(__xludf.DUMMYFUNCTION("""COMPUTED_VALUE"""),"")</f>
        <v/>
      </c>
      <c r="C15774" s="42" t="str">
        <f>IFERROR(__xludf.DUMMYFUNCTION("""COMPUTED_VALUE"""),"")</f>
        <v/>
      </c>
      <c r="D15774" s="42"/>
      <c r="E15774" s="42"/>
      <c r="F15774" s="48" t="str">
        <f>IFERROR(__xludf.DUMMYFUNCTION("""COMPUTED_VALUE"""),"")</f>
        <v/>
      </c>
      <c r="G15774" s="42" t="str">
        <f>IFERROR(__xludf.DUMMYFUNCTION("""COMPUTED_VALUE"""),"")</f>
        <v/>
      </c>
      <c r="H15774" s="42">
        <f t="shared" si="1"/>
        <v>3345</v>
      </c>
    </row>
    <row r="15775" ht="22.5" customHeight="1">
      <c r="B15775" s="42" t="str">
        <f>IFERROR(__xludf.DUMMYFUNCTION("""COMPUTED_VALUE"""),"")</f>
        <v/>
      </c>
      <c r="C15775" s="42" t="str">
        <f>IFERROR(__xludf.DUMMYFUNCTION("""COMPUTED_VALUE"""),"")</f>
        <v/>
      </c>
      <c r="D15775" s="42"/>
      <c r="E15775" s="42"/>
      <c r="F15775" s="48" t="str">
        <f>IFERROR(__xludf.DUMMYFUNCTION("""COMPUTED_VALUE"""),"")</f>
        <v/>
      </c>
      <c r="G15775" s="42" t="str">
        <f>IFERROR(__xludf.DUMMYFUNCTION("""COMPUTED_VALUE"""),"")</f>
        <v/>
      </c>
      <c r="H15775" s="42">
        <f t="shared" si="1"/>
        <v>3345</v>
      </c>
    </row>
    <row r="15776" ht="22.5" customHeight="1">
      <c r="B15776" s="42" t="str">
        <f>IFERROR(__xludf.DUMMYFUNCTION("""COMPUTED_VALUE"""),"")</f>
        <v/>
      </c>
      <c r="C15776" s="42" t="str">
        <f>IFERROR(__xludf.DUMMYFUNCTION("""COMPUTED_VALUE"""),"")</f>
        <v/>
      </c>
      <c r="D15776" s="42"/>
      <c r="E15776" s="42"/>
      <c r="F15776" s="48" t="str">
        <f>IFERROR(__xludf.DUMMYFUNCTION("""COMPUTED_VALUE"""),"")</f>
        <v/>
      </c>
      <c r="G15776" s="42" t="str">
        <f>IFERROR(__xludf.DUMMYFUNCTION("""COMPUTED_VALUE"""),"")</f>
        <v/>
      </c>
      <c r="H15776" s="42">
        <f t="shared" si="1"/>
        <v>3345</v>
      </c>
    </row>
    <row r="15777" ht="22.5" customHeight="1">
      <c r="B15777" s="42" t="str">
        <f>IFERROR(__xludf.DUMMYFUNCTION("""COMPUTED_VALUE"""),"")</f>
        <v/>
      </c>
      <c r="C15777" s="42" t="str">
        <f>IFERROR(__xludf.DUMMYFUNCTION("""COMPUTED_VALUE"""),"")</f>
        <v/>
      </c>
      <c r="D15777" s="42"/>
      <c r="E15777" s="42"/>
      <c r="F15777" s="48" t="str">
        <f>IFERROR(__xludf.DUMMYFUNCTION("""COMPUTED_VALUE"""),"")</f>
        <v/>
      </c>
      <c r="G15777" s="42" t="str">
        <f>IFERROR(__xludf.DUMMYFUNCTION("""COMPUTED_VALUE"""),"")</f>
        <v/>
      </c>
      <c r="H15777" s="42">
        <f t="shared" si="1"/>
        <v>3345</v>
      </c>
    </row>
    <row r="15778" ht="22.5" customHeight="1">
      <c r="B15778" s="42" t="str">
        <f>IFERROR(__xludf.DUMMYFUNCTION("""COMPUTED_VALUE"""),"")</f>
        <v/>
      </c>
      <c r="C15778" s="42" t="str">
        <f>IFERROR(__xludf.DUMMYFUNCTION("""COMPUTED_VALUE"""),"")</f>
        <v/>
      </c>
      <c r="D15778" s="42"/>
      <c r="E15778" s="42"/>
      <c r="F15778" s="48" t="str">
        <f>IFERROR(__xludf.DUMMYFUNCTION("""COMPUTED_VALUE"""),"")</f>
        <v/>
      </c>
      <c r="G15778" s="42" t="str">
        <f>IFERROR(__xludf.DUMMYFUNCTION("""COMPUTED_VALUE"""),"")</f>
        <v/>
      </c>
      <c r="H15778" s="42">
        <f t="shared" si="1"/>
        <v>3345</v>
      </c>
    </row>
    <row r="15779" ht="22.5" customHeight="1">
      <c r="B15779" s="42" t="str">
        <f>IFERROR(__xludf.DUMMYFUNCTION("""COMPUTED_VALUE"""),"")</f>
        <v/>
      </c>
      <c r="C15779" s="42" t="str">
        <f>IFERROR(__xludf.DUMMYFUNCTION("""COMPUTED_VALUE"""),"")</f>
        <v/>
      </c>
      <c r="D15779" s="42"/>
      <c r="E15779" s="42"/>
      <c r="F15779" s="48" t="str">
        <f>IFERROR(__xludf.DUMMYFUNCTION("""COMPUTED_VALUE"""),"")</f>
        <v/>
      </c>
      <c r="G15779" s="42" t="str">
        <f>IFERROR(__xludf.DUMMYFUNCTION("""COMPUTED_VALUE"""),"")</f>
        <v/>
      </c>
      <c r="H15779" s="42">
        <f t="shared" si="1"/>
        <v>3345</v>
      </c>
    </row>
    <row r="15780" ht="22.5" customHeight="1">
      <c r="B15780" s="42" t="str">
        <f>IFERROR(__xludf.DUMMYFUNCTION("""COMPUTED_VALUE"""),"")</f>
        <v/>
      </c>
      <c r="C15780" s="42" t="str">
        <f>IFERROR(__xludf.DUMMYFUNCTION("""COMPUTED_VALUE"""),"")</f>
        <v/>
      </c>
      <c r="D15780" s="42"/>
      <c r="E15780" s="42"/>
      <c r="F15780" s="48" t="str">
        <f>IFERROR(__xludf.DUMMYFUNCTION("""COMPUTED_VALUE"""),"")</f>
        <v/>
      </c>
      <c r="G15780" s="42" t="str">
        <f>IFERROR(__xludf.DUMMYFUNCTION("""COMPUTED_VALUE"""),"")</f>
        <v/>
      </c>
      <c r="H15780" s="42">
        <f t="shared" si="1"/>
        <v>3345</v>
      </c>
    </row>
    <row r="15781" ht="22.5" customHeight="1">
      <c r="B15781" s="42" t="str">
        <f>IFERROR(__xludf.DUMMYFUNCTION("""COMPUTED_VALUE"""),"")</f>
        <v/>
      </c>
      <c r="C15781" s="42" t="str">
        <f>IFERROR(__xludf.DUMMYFUNCTION("""COMPUTED_VALUE"""),"")</f>
        <v/>
      </c>
      <c r="D15781" s="42"/>
      <c r="E15781" s="42"/>
      <c r="F15781" s="48" t="str">
        <f>IFERROR(__xludf.DUMMYFUNCTION("""COMPUTED_VALUE"""),"")</f>
        <v/>
      </c>
      <c r="G15781" s="42" t="str">
        <f>IFERROR(__xludf.DUMMYFUNCTION("""COMPUTED_VALUE"""),"")</f>
        <v/>
      </c>
      <c r="H15781" s="42">
        <f t="shared" si="1"/>
        <v>3345</v>
      </c>
    </row>
    <row r="15782" ht="22.5" customHeight="1">
      <c r="B15782" s="42" t="str">
        <f>IFERROR(__xludf.DUMMYFUNCTION("""COMPUTED_VALUE"""),"")</f>
        <v/>
      </c>
      <c r="C15782" s="42" t="str">
        <f>IFERROR(__xludf.DUMMYFUNCTION("""COMPUTED_VALUE"""),"")</f>
        <v/>
      </c>
      <c r="D15782" s="42"/>
      <c r="E15782" s="42"/>
      <c r="F15782" s="48" t="str">
        <f>IFERROR(__xludf.DUMMYFUNCTION("""COMPUTED_VALUE"""),"")</f>
        <v/>
      </c>
      <c r="G15782" s="42" t="str">
        <f>IFERROR(__xludf.DUMMYFUNCTION("""COMPUTED_VALUE"""),"")</f>
        <v/>
      </c>
      <c r="H15782" s="42">
        <f t="shared" si="1"/>
        <v>3345</v>
      </c>
    </row>
    <row r="15783" ht="22.5" customHeight="1">
      <c r="B15783" s="42" t="str">
        <f>IFERROR(__xludf.DUMMYFUNCTION("""COMPUTED_VALUE"""),"")</f>
        <v/>
      </c>
      <c r="C15783" s="42" t="str">
        <f>IFERROR(__xludf.DUMMYFUNCTION("""COMPUTED_VALUE"""),"")</f>
        <v/>
      </c>
      <c r="D15783" s="42"/>
      <c r="E15783" s="42"/>
      <c r="F15783" s="48" t="str">
        <f>IFERROR(__xludf.DUMMYFUNCTION("""COMPUTED_VALUE"""),"")</f>
        <v/>
      </c>
      <c r="G15783" s="42" t="str">
        <f>IFERROR(__xludf.DUMMYFUNCTION("""COMPUTED_VALUE"""),"")</f>
        <v/>
      </c>
      <c r="H15783" s="42">
        <f t="shared" si="1"/>
        <v>3345</v>
      </c>
    </row>
    <row r="15784" ht="22.5" customHeight="1">
      <c r="B15784" s="42" t="str">
        <f>IFERROR(__xludf.DUMMYFUNCTION("""COMPUTED_VALUE"""),"")</f>
        <v/>
      </c>
      <c r="C15784" s="42" t="str">
        <f>IFERROR(__xludf.DUMMYFUNCTION("""COMPUTED_VALUE"""),"")</f>
        <v/>
      </c>
      <c r="D15784" s="42"/>
      <c r="E15784" s="42"/>
      <c r="F15784" s="48" t="str">
        <f>IFERROR(__xludf.DUMMYFUNCTION("""COMPUTED_VALUE"""),"")</f>
        <v/>
      </c>
      <c r="G15784" s="42" t="str">
        <f>IFERROR(__xludf.DUMMYFUNCTION("""COMPUTED_VALUE"""),"")</f>
        <v/>
      </c>
      <c r="H15784" s="42">
        <f t="shared" si="1"/>
        <v>3345</v>
      </c>
    </row>
    <row r="15785" ht="22.5" customHeight="1">
      <c r="B15785" s="42" t="str">
        <f>IFERROR(__xludf.DUMMYFUNCTION("""COMPUTED_VALUE"""),"")</f>
        <v/>
      </c>
      <c r="C15785" s="42" t="str">
        <f>IFERROR(__xludf.DUMMYFUNCTION("""COMPUTED_VALUE"""),"")</f>
        <v/>
      </c>
      <c r="D15785" s="42"/>
      <c r="E15785" s="42"/>
      <c r="F15785" s="48" t="str">
        <f>IFERROR(__xludf.DUMMYFUNCTION("""COMPUTED_VALUE"""),"")</f>
        <v/>
      </c>
      <c r="G15785" s="42" t="str">
        <f>IFERROR(__xludf.DUMMYFUNCTION("""COMPUTED_VALUE"""),"")</f>
        <v/>
      </c>
      <c r="H15785" s="42">
        <f t="shared" si="1"/>
        <v>3345</v>
      </c>
    </row>
    <row r="15786" ht="22.5" customHeight="1">
      <c r="B15786" s="42" t="str">
        <f>IFERROR(__xludf.DUMMYFUNCTION("""COMPUTED_VALUE"""),"")</f>
        <v/>
      </c>
      <c r="C15786" s="42" t="str">
        <f>IFERROR(__xludf.DUMMYFUNCTION("""COMPUTED_VALUE"""),"")</f>
        <v/>
      </c>
      <c r="D15786" s="42"/>
      <c r="E15786" s="42"/>
      <c r="F15786" s="48" t="str">
        <f>IFERROR(__xludf.DUMMYFUNCTION("""COMPUTED_VALUE"""),"")</f>
        <v/>
      </c>
      <c r="G15786" s="42" t="str">
        <f>IFERROR(__xludf.DUMMYFUNCTION("""COMPUTED_VALUE"""),"")</f>
        <v/>
      </c>
      <c r="H15786" s="42">
        <f t="shared" si="1"/>
        <v>3345</v>
      </c>
    </row>
    <row r="15787" ht="22.5" customHeight="1">
      <c r="B15787" s="42" t="str">
        <f>IFERROR(__xludf.DUMMYFUNCTION("""COMPUTED_VALUE"""),"")</f>
        <v/>
      </c>
      <c r="C15787" s="42" t="str">
        <f>IFERROR(__xludf.DUMMYFUNCTION("""COMPUTED_VALUE"""),"")</f>
        <v/>
      </c>
      <c r="D15787" s="42"/>
      <c r="E15787" s="42"/>
      <c r="F15787" s="48" t="str">
        <f>IFERROR(__xludf.DUMMYFUNCTION("""COMPUTED_VALUE"""),"")</f>
        <v/>
      </c>
      <c r="G15787" s="42" t="str">
        <f>IFERROR(__xludf.DUMMYFUNCTION("""COMPUTED_VALUE"""),"")</f>
        <v/>
      </c>
      <c r="H15787" s="42">
        <f t="shared" si="1"/>
        <v>3345</v>
      </c>
    </row>
    <row r="15788" ht="22.5" customHeight="1">
      <c r="B15788" s="42" t="str">
        <f>IFERROR(__xludf.DUMMYFUNCTION("""COMPUTED_VALUE"""),"")</f>
        <v/>
      </c>
      <c r="C15788" s="42" t="str">
        <f>IFERROR(__xludf.DUMMYFUNCTION("""COMPUTED_VALUE"""),"")</f>
        <v/>
      </c>
      <c r="D15788" s="42"/>
      <c r="E15788" s="42"/>
      <c r="F15788" s="48" t="str">
        <f>IFERROR(__xludf.DUMMYFUNCTION("""COMPUTED_VALUE"""),"")</f>
        <v/>
      </c>
      <c r="G15788" s="42" t="str">
        <f>IFERROR(__xludf.DUMMYFUNCTION("""COMPUTED_VALUE"""),"")</f>
        <v/>
      </c>
      <c r="H15788" s="42">
        <f t="shared" si="1"/>
        <v>3345</v>
      </c>
    </row>
    <row r="15789" ht="22.5" customHeight="1">
      <c r="B15789" s="42" t="str">
        <f>IFERROR(__xludf.DUMMYFUNCTION("""COMPUTED_VALUE"""),"")</f>
        <v/>
      </c>
      <c r="C15789" s="42" t="str">
        <f>IFERROR(__xludf.DUMMYFUNCTION("""COMPUTED_VALUE"""),"")</f>
        <v/>
      </c>
      <c r="D15789" s="42"/>
      <c r="E15789" s="42"/>
      <c r="F15789" s="48" t="str">
        <f>IFERROR(__xludf.DUMMYFUNCTION("""COMPUTED_VALUE"""),"")</f>
        <v/>
      </c>
      <c r="G15789" s="42" t="str">
        <f>IFERROR(__xludf.DUMMYFUNCTION("""COMPUTED_VALUE"""),"")</f>
        <v/>
      </c>
      <c r="H15789" s="42">
        <f t="shared" si="1"/>
        <v>3345</v>
      </c>
    </row>
    <row r="15790" ht="22.5" customHeight="1">
      <c r="B15790" s="42" t="str">
        <f>IFERROR(__xludf.DUMMYFUNCTION("""COMPUTED_VALUE"""),"")</f>
        <v/>
      </c>
      <c r="C15790" s="42" t="str">
        <f>IFERROR(__xludf.DUMMYFUNCTION("""COMPUTED_VALUE"""),"")</f>
        <v/>
      </c>
      <c r="D15790" s="42"/>
      <c r="E15790" s="42"/>
      <c r="F15790" s="48" t="str">
        <f>IFERROR(__xludf.DUMMYFUNCTION("""COMPUTED_VALUE"""),"")</f>
        <v/>
      </c>
      <c r="G15790" s="42" t="str">
        <f>IFERROR(__xludf.DUMMYFUNCTION("""COMPUTED_VALUE"""),"")</f>
        <v/>
      </c>
      <c r="H15790" s="42">
        <f t="shared" si="1"/>
        <v>3345</v>
      </c>
    </row>
    <row r="15791" ht="22.5" customHeight="1">
      <c r="B15791" s="42" t="str">
        <f>IFERROR(__xludf.DUMMYFUNCTION("""COMPUTED_VALUE"""),"")</f>
        <v/>
      </c>
      <c r="C15791" s="42" t="str">
        <f>IFERROR(__xludf.DUMMYFUNCTION("""COMPUTED_VALUE"""),"")</f>
        <v/>
      </c>
      <c r="D15791" s="42"/>
      <c r="E15791" s="42"/>
      <c r="F15791" s="48" t="str">
        <f>IFERROR(__xludf.DUMMYFUNCTION("""COMPUTED_VALUE"""),"")</f>
        <v/>
      </c>
      <c r="G15791" s="42" t="str">
        <f>IFERROR(__xludf.DUMMYFUNCTION("""COMPUTED_VALUE"""),"")</f>
        <v/>
      </c>
      <c r="H15791" s="42">
        <f t="shared" si="1"/>
        <v>3345</v>
      </c>
    </row>
    <row r="15792" ht="22.5" customHeight="1">
      <c r="B15792" s="42" t="str">
        <f>IFERROR(__xludf.DUMMYFUNCTION("""COMPUTED_VALUE"""),"")</f>
        <v/>
      </c>
      <c r="C15792" s="42" t="str">
        <f>IFERROR(__xludf.DUMMYFUNCTION("""COMPUTED_VALUE"""),"")</f>
        <v/>
      </c>
      <c r="D15792" s="42"/>
      <c r="E15792" s="42"/>
      <c r="F15792" s="48" t="str">
        <f>IFERROR(__xludf.DUMMYFUNCTION("""COMPUTED_VALUE"""),"")</f>
        <v/>
      </c>
      <c r="G15792" s="42" t="str">
        <f>IFERROR(__xludf.DUMMYFUNCTION("""COMPUTED_VALUE"""),"")</f>
        <v/>
      </c>
      <c r="H15792" s="42">
        <f t="shared" si="1"/>
        <v>3345</v>
      </c>
    </row>
    <row r="15793" ht="22.5" customHeight="1">
      <c r="B15793" s="42" t="str">
        <f>IFERROR(__xludf.DUMMYFUNCTION("""COMPUTED_VALUE"""),"")</f>
        <v/>
      </c>
      <c r="C15793" s="42" t="str">
        <f>IFERROR(__xludf.DUMMYFUNCTION("""COMPUTED_VALUE"""),"")</f>
        <v/>
      </c>
      <c r="D15793" s="42"/>
      <c r="E15793" s="42"/>
      <c r="F15793" s="48" t="str">
        <f>IFERROR(__xludf.DUMMYFUNCTION("""COMPUTED_VALUE"""),"")</f>
        <v/>
      </c>
      <c r="G15793" s="42" t="str">
        <f>IFERROR(__xludf.DUMMYFUNCTION("""COMPUTED_VALUE"""),"")</f>
        <v/>
      </c>
      <c r="H15793" s="42">
        <f t="shared" si="1"/>
        <v>3345</v>
      </c>
    </row>
    <row r="15794" ht="22.5" customHeight="1">
      <c r="B15794" s="42" t="str">
        <f>IFERROR(__xludf.DUMMYFUNCTION("""COMPUTED_VALUE"""),"")</f>
        <v/>
      </c>
      <c r="C15794" s="42" t="str">
        <f>IFERROR(__xludf.DUMMYFUNCTION("""COMPUTED_VALUE"""),"")</f>
        <v/>
      </c>
      <c r="D15794" s="42"/>
      <c r="E15794" s="42"/>
      <c r="F15794" s="48" t="str">
        <f>IFERROR(__xludf.DUMMYFUNCTION("""COMPUTED_VALUE"""),"")</f>
        <v/>
      </c>
      <c r="G15794" s="42" t="str">
        <f>IFERROR(__xludf.DUMMYFUNCTION("""COMPUTED_VALUE"""),"")</f>
        <v/>
      </c>
      <c r="H15794" s="42">
        <f t="shared" si="1"/>
        <v>3345</v>
      </c>
    </row>
    <row r="15795" ht="22.5" customHeight="1">
      <c r="B15795" s="42" t="str">
        <f>IFERROR(__xludf.DUMMYFUNCTION("""COMPUTED_VALUE"""),"")</f>
        <v/>
      </c>
      <c r="C15795" s="42" t="str">
        <f>IFERROR(__xludf.DUMMYFUNCTION("""COMPUTED_VALUE"""),"")</f>
        <v/>
      </c>
      <c r="D15795" s="42"/>
      <c r="E15795" s="42"/>
      <c r="F15795" s="48" t="str">
        <f>IFERROR(__xludf.DUMMYFUNCTION("""COMPUTED_VALUE"""),"")</f>
        <v/>
      </c>
      <c r="G15795" s="42" t="str">
        <f>IFERROR(__xludf.DUMMYFUNCTION("""COMPUTED_VALUE"""),"")</f>
        <v/>
      </c>
      <c r="H15795" s="42">
        <f t="shared" si="1"/>
        <v>3345</v>
      </c>
    </row>
    <row r="15796" ht="22.5" customHeight="1">
      <c r="B15796" s="42" t="str">
        <f>IFERROR(__xludf.DUMMYFUNCTION("""COMPUTED_VALUE"""),"")</f>
        <v/>
      </c>
      <c r="C15796" s="42" t="str">
        <f>IFERROR(__xludf.DUMMYFUNCTION("""COMPUTED_VALUE"""),"")</f>
        <v/>
      </c>
      <c r="D15796" s="42"/>
      <c r="E15796" s="42"/>
      <c r="F15796" s="48" t="str">
        <f>IFERROR(__xludf.DUMMYFUNCTION("""COMPUTED_VALUE"""),"")</f>
        <v/>
      </c>
      <c r="G15796" s="42" t="str">
        <f>IFERROR(__xludf.DUMMYFUNCTION("""COMPUTED_VALUE"""),"")</f>
        <v/>
      </c>
      <c r="H15796" s="42">
        <f t="shared" si="1"/>
        <v>3345</v>
      </c>
    </row>
    <row r="15797" ht="22.5" customHeight="1">
      <c r="B15797" s="42" t="str">
        <f>IFERROR(__xludf.DUMMYFUNCTION("""COMPUTED_VALUE"""),"")</f>
        <v/>
      </c>
      <c r="C15797" s="42" t="str">
        <f>IFERROR(__xludf.DUMMYFUNCTION("""COMPUTED_VALUE"""),"")</f>
        <v/>
      </c>
      <c r="D15797" s="42"/>
      <c r="E15797" s="42"/>
      <c r="F15797" s="48" t="str">
        <f>IFERROR(__xludf.DUMMYFUNCTION("""COMPUTED_VALUE"""),"")</f>
        <v/>
      </c>
      <c r="G15797" s="42" t="str">
        <f>IFERROR(__xludf.DUMMYFUNCTION("""COMPUTED_VALUE"""),"")</f>
        <v/>
      </c>
      <c r="H15797" s="42">
        <f t="shared" si="1"/>
        <v>3345</v>
      </c>
    </row>
    <row r="15798" ht="22.5" customHeight="1">
      <c r="B15798" s="42" t="str">
        <f>IFERROR(__xludf.DUMMYFUNCTION("""COMPUTED_VALUE"""),"")</f>
        <v/>
      </c>
      <c r="C15798" s="42" t="str">
        <f>IFERROR(__xludf.DUMMYFUNCTION("""COMPUTED_VALUE"""),"")</f>
        <v/>
      </c>
      <c r="D15798" s="42"/>
      <c r="E15798" s="42"/>
      <c r="F15798" s="48" t="str">
        <f>IFERROR(__xludf.DUMMYFUNCTION("""COMPUTED_VALUE"""),"")</f>
        <v/>
      </c>
      <c r="G15798" s="42" t="str">
        <f>IFERROR(__xludf.DUMMYFUNCTION("""COMPUTED_VALUE"""),"")</f>
        <v/>
      </c>
      <c r="H15798" s="42">
        <f t="shared" si="1"/>
        <v>3345</v>
      </c>
    </row>
    <row r="15799" ht="22.5" customHeight="1">
      <c r="B15799" s="42" t="str">
        <f>IFERROR(__xludf.DUMMYFUNCTION("""COMPUTED_VALUE"""),"")</f>
        <v/>
      </c>
      <c r="C15799" s="42" t="str">
        <f>IFERROR(__xludf.DUMMYFUNCTION("""COMPUTED_VALUE"""),"")</f>
        <v/>
      </c>
      <c r="D15799" s="42"/>
      <c r="E15799" s="42"/>
      <c r="F15799" s="48" t="str">
        <f>IFERROR(__xludf.DUMMYFUNCTION("""COMPUTED_VALUE"""),"")</f>
        <v/>
      </c>
      <c r="G15799" s="42" t="str">
        <f>IFERROR(__xludf.DUMMYFUNCTION("""COMPUTED_VALUE"""),"")</f>
        <v/>
      </c>
      <c r="H15799" s="42">
        <f t="shared" si="1"/>
        <v>3345</v>
      </c>
    </row>
    <row r="15800" ht="22.5" customHeight="1">
      <c r="B15800" s="42" t="str">
        <f>IFERROR(__xludf.DUMMYFUNCTION("""COMPUTED_VALUE"""),"")</f>
        <v/>
      </c>
      <c r="C15800" s="42" t="str">
        <f>IFERROR(__xludf.DUMMYFUNCTION("""COMPUTED_VALUE"""),"")</f>
        <v/>
      </c>
      <c r="D15800" s="42"/>
      <c r="E15800" s="42"/>
      <c r="F15800" s="48" t="str">
        <f>IFERROR(__xludf.DUMMYFUNCTION("""COMPUTED_VALUE"""),"")</f>
        <v/>
      </c>
      <c r="G15800" s="42" t="str">
        <f>IFERROR(__xludf.DUMMYFUNCTION("""COMPUTED_VALUE"""),"")</f>
        <v/>
      </c>
      <c r="H15800" s="42">
        <f t="shared" si="1"/>
        <v>3345</v>
      </c>
    </row>
    <row r="15801" ht="22.5" customHeight="1">
      <c r="B15801" s="42" t="str">
        <f>IFERROR(__xludf.DUMMYFUNCTION("""COMPUTED_VALUE"""),"")</f>
        <v/>
      </c>
      <c r="C15801" s="42" t="str">
        <f>IFERROR(__xludf.DUMMYFUNCTION("""COMPUTED_VALUE"""),"")</f>
        <v/>
      </c>
      <c r="D15801" s="42"/>
      <c r="E15801" s="42"/>
      <c r="F15801" s="48" t="str">
        <f>IFERROR(__xludf.DUMMYFUNCTION("""COMPUTED_VALUE"""),"")</f>
        <v/>
      </c>
      <c r="G15801" s="42" t="str">
        <f>IFERROR(__xludf.DUMMYFUNCTION("""COMPUTED_VALUE"""),"")</f>
        <v/>
      </c>
      <c r="H15801" s="42">
        <f t="shared" si="1"/>
        <v>3345</v>
      </c>
    </row>
    <row r="15802" ht="22.5" customHeight="1">
      <c r="B15802" s="42" t="str">
        <f>IFERROR(__xludf.DUMMYFUNCTION("""COMPUTED_VALUE"""),"")</f>
        <v/>
      </c>
      <c r="C15802" s="42" t="str">
        <f>IFERROR(__xludf.DUMMYFUNCTION("""COMPUTED_VALUE"""),"")</f>
        <v/>
      </c>
      <c r="D15802" s="42"/>
      <c r="E15802" s="42"/>
      <c r="F15802" s="48" t="str">
        <f>IFERROR(__xludf.DUMMYFUNCTION("""COMPUTED_VALUE"""),"")</f>
        <v/>
      </c>
      <c r="G15802" s="42" t="str">
        <f>IFERROR(__xludf.DUMMYFUNCTION("""COMPUTED_VALUE"""),"")</f>
        <v/>
      </c>
      <c r="H15802" s="42">
        <f t="shared" si="1"/>
        <v>3345</v>
      </c>
    </row>
    <row r="15803" ht="22.5" customHeight="1">
      <c r="B15803" s="42" t="str">
        <f>IFERROR(__xludf.DUMMYFUNCTION("""COMPUTED_VALUE"""),"")</f>
        <v/>
      </c>
      <c r="C15803" s="42" t="str">
        <f>IFERROR(__xludf.DUMMYFUNCTION("""COMPUTED_VALUE"""),"")</f>
        <v/>
      </c>
      <c r="D15803" s="42"/>
      <c r="E15803" s="42"/>
      <c r="F15803" s="48" t="str">
        <f>IFERROR(__xludf.DUMMYFUNCTION("""COMPUTED_VALUE"""),"")</f>
        <v/>
      </c>
      <c r="G15803" s="42" t="str">
        <f>IFERROR(__xludf.DUMMYFUNCTION("""COMPUTED_VALUE"""),"")</f>
        <v/>
      </c>
      <c r="H15803" s="42">
        <f t="shared" si="1"/>
        <v>3345</v>
      </c>
    </row>
    <row r="15804" ht="22.5" customHeight="1">
      <c r="B15804" s="42" t="str">
        <f>IFERROR(__xludf.DUMMYFUNCTION("""COMPUTED_VALUE"""),"")</f>
        <v/>
      </c>
      <c r="C15804" s="42" t="str">
        <f>IFERROR(__xludf.DUMMYFUNCTION("""COMPUTED_VALUE"""),"")</f>
        <v/>
      </c>
      <c r="D15804" s="42"/>
      <c r="E15804" s="42"/>
      <c r="F15804" s="48" t="str">
        <f>IFERROR(__xludf.DUMMYFUNCTION("""COMPUTED_VALUE"""),"")</f>
        <v/>
      </c>
      <c r="G15804" s="42" t="str">
        <f>IFERROR(__xludf.DUMMYFUNCTION("""COMPUTED_VALUE"""),"")</f>
        <v/>
      </c>
      <c r="H15804" s="42">
        <f t="shared" si="1"/>
        <v>3345</v>
      </c>
    </row>
    <row r="15805" ht="22.5" customHeight="1">
      <c r="B15805" s="42" t="str">
        <f>IFERROR(__xludf.DUMMYFUNCTION("""COMPUTED_VALUE"""),"")</f>
        <v/>
      </c>
      <c r="C15805" s="42" t="str">
        <f>IFERROR(__xludf.DUMMYFUNCTION("""COMPUTED_VALUE"""),"")</f>
        <v/>
      </c>
      <c r="D15805" s="42"/>
      <c r="E15805" s="42"/>
      <c r="F15805" s="48" t="str">
        <f>IFERROR(__xludf.DUMMYFUNCTION("""COMPUTED_VALUE"""),"")</f>
        <v/>
      </c>
      <c r="G15805" s="42" t="str">
        <f>IFERROR(__xludf.DUMMYFUNCTION("""COMPUTED_VALUE"""),"")</f>
        <v/>
      </c>
      <c r="H15805" s="42">
        <f t="shared" si="1"/>
        <v>3345</v>
      </c>
    </row>
    <row r="15806" ht="22.5" customHeight="1">
      <c r="B15806" s="42" t="str">
        <f>IFERROR(__xludf.DUMMYFUNCTION("""COMPUTED_VALUE"""),"")</f>
        <v/>
      </c>
      <c r="C15806" s="42" t="str">
        <f>IFERROR(__xludf.DUMMYFUNCTION("""COMPUTED_VALUE"""),"")</f>
        <v/>
      </c>
      <c r="D15806" s="42"/>
      <c r="E15806" s="42"/>
      <c r="F15806" s="48" t="str">
        <f>IFERROR(__xludf.DUMMYFUNCTION("""COMPUTED_VALUE"""),"")</f>
        <v/>
      </c>
      <c r="G15806" s="42" t="str">
        <f>IFERROR(__xludf.DUMMYFUNCTION("""COMPUTED_VALUE"""),"")</f>
        <v/>
      </c>
      <c r="H15806" s="42">
        <f t="shared" si="1"/>
        <v>3345</v>
      </c>
    </row>
    <row r="15807" ht="22.5" customHeight="1">
      <c r="B15807" s="42" t="str">
        <f>IFERROR(__xludf.DUMMYFUNCTION("""COMPUTED_VALUE"""),"")</f>
        <v/>
      </c>
      <c r="C15807" s="42" t="str">
        <f>IFERROR(__xludf.DUMMYFUNCTION("""COMPUTED_VALUE"""),"")</f>
        <v/>
      </c>
      <c r="D15807" s="42"/>
      <c r="E15807" s="42"/>
      <c r="F15807" s="48" t="str">
        <f>IFERROR(__xludf.DUMMYFUNCTION("""COMPUTED_VALUE"""),"")</f>
        <v/>
      </c>
      <c r="G15807" s="42" t="str">
        <f>IFERROR(__xludf.DUMMYFUNCTION("""COMPUTED_VALUE"""),"")</f>
        <v/>
      </c>
      <c r="H15807" s="42">
        <f t="shared" si="1"/>
        <v>3345</v>
      </c>
    </row>
    <row r="15808" ht="22.5" customHeight="1">
      <c r="B15808" s="42" t="str">
        <f>IFERROR(__xludf.DUMMYFUNCTION("""COMPUTED_VALUE"""),"")</f>
        <v/>
      </c>
      <c r="C15808" s="42" t="str">
        <f>IFERROR(__xludf.DUMMYFUNCTION("""COMPUTED_VALUE"""),"")</f>
        <v/>
      </c>
      <c r="D15808" s="42"/>
      <c r="E15808" s="42"/>
      <c r="F15808" s="48" t="str">
        <f>IFERROR(__xludf.DUMMYFUNCTION("""COMPUTED_VALUE"""),"")</f>
        <v/>
      </c>
      <c r="G15808" s="42" t="str">
        <f>IFERROR(__xludf.DUMMYFUNCTION("""COMPUTED_VALUE"""),"")</f>
        <v/>
      </c>
      <c r="H15808" s="42">
        <f t="shared" si="1"/>
        <v>3345</v>
      </c>
    </row>
    <row r="15809" ht="22.5" customHeight="1">
      <c r="B15809" s="42" t="str">
        <f>IFERROR(__xludf.DUMMYFUNCTION("""COMPUTED_VALUE"""),"")</f>
        <v/>
      </c>
      <c r="C15809" s="42" t="str">
        <f>IFERROR(__xludf.DUMMYFUNCTION("""COMPUTED_VALUE"""),"")</f>
        <v/>
      </c>
      <c r="D15809" s="42"/>
      <c r="E15809" s="42"/>
      <c r="F15809" s="48" t="str">
        <f>IFERROR(__xludf.DUMMYFUNCTION("""COMPUTED_VALUE"""),"")</f>
        <v/>
      </c>
      <c r="G15809" s="42" t="str">
        <f>IFERROR(__xludf.DUMMYFUNCTION("""COMPUTED_VALUE"""),"")</f>
        <v/>
      </c>
      <c r="H15809" s="42">
        <f t="shared" si="1"/>
        <v>3345</v>
      </c>
    </row>
    <row r="15810" ht="22.5" customHeight="1">
      <c r="B15810" s="42" t="str">
        <f>IFERROR(__xludf.DUMMYFUNCTION("""COMPUTED_VALUE"""),"")</f>
        <v/>
      </c>
      <c r="C15810" s="42" t="str">
        <f>IFERROR(__xludf.DUMMYFUNCTION("""COMPUTED_VALUE"""),"")</f>
        <v/>
      </c>
      <c r="D15810" s="42"/>
      <c r="E15810" s="42"/>
      <c r="F15810" s="48" t="str">
        <f>IFERROR(__xludf.DUMMYFUNCTION("""COMPUTED_VALUE"""),"")</f>
        <v/>
      </c>
      <c r="G15810" s="42" t="str">
        <f>IFERROR(__xludf.DUMMYFUNCTION("""COMPUTED_VALUE"""),"")</f>
        <v/>
      </c>
      <c r="H15810" s="42">
        <f t="shared" si="1"/>
        <v>3345</v>
      </c>
    </row>
    <row r="15811" ht="22.5" customHeight="1">
      <c r="B15811" s="42" t="str">
        <f>IFERROR(__xludf.DUMMYFUNCTION("""COMPUTED_VALUE"""),"")</f>
        <v/>
      </c>
      <c r="C15811" s="42" t="str">
        <f>IFERROR(__xludf.DUMMYFUNCTION("""COMPUTED_VALUE"""),"")</f>
        <v/>
      </c>
      <c r="D15811" s="42"/>
      <c r="E15811" s="42"/>
      <c r="F15811" s="48" t="str">
        <f>IFERROR(__xludf.DUMMYFUNCTION("""COMPUTED_VALUE"""),"")</f>
        <v/>
      </c>
      <c r="G15811" s="42" t="str">
        <f>IFERROR(__xludf.DUMMYFUNCTION("""COMPUTED_VALUE"""),"")</f>
        <v/>
      </c>
      <c r="H15811" s="42">
        <f t="shared" si="1"/>
        <v>3345</v>
      </c>
    </row>
    <row r="15812" ht="22.5" customHeight="1">
      <c r="B15812" s="42" t="str">
        <f>IFERROR(__xludf.DUMMYFUNCTION("""COMPUTED_VALUE"""),"")</f>
        <v/>
      </c>
      <c r="C15812" s="42" t="str">
        <f>IFERROR(__xludf.DUMMYFUNCTION("""COMPUTED_VALUE"""),"")</f>
        <v/>
      </c>
      <c r="D15812" s="42"/>
      <c r="E15812" s="42"/>
      <c r="F15812" s="48" t="str">
        <f>IFERROR(__xludf.DUMMYFUNCTION("""COMPUTED_VALUE"""),"")</f>
        <v/>
      </c>
      <c r="G15812" s="42" t="str">
        <f>IFERROR(__xludf.DUMMYFUNCTION("""COMPUTED_VALUE"""),"")</f>
        <v/>
      </c>
      <c r="H15812" s="42">
        <f t="shared" si="1"/>
        <v>3345</v>
      </c>
    </row>
    <row r="15813" ht="22.5" customHeight="1">
      <c r="B15813" s="42" t="str">
        <f>IFERROR(__xludf.DUMMYFUNCTION("""COMPUTED_VALUE"""),"")</f>
        <v/>
      </c>
      <c r="C15813" s="42" t="str">
        <f>IFERROR(__xludf.DUMMYFUNCTION("""COMPUTED_VALUE"""),"")</f>
        <v/>
      </c>
      <c r="D15813" s="42"/>
      <c r="E15813" s="42"/>
      <c r="F15813" s="48" t="str">
        <f>IFERROR(__xludf.DUMMYFUNCTION("""COMPUTED_VALUE"""),"")</f>
        <v/>
      </c>
      <c r="G15813" s="42" t="str">
        <f>IFERROR(__xludf.DUMMYFUNCTION("""COMPUTED_VALUE"""),"")</f>
        <v/>
      </c>
      <c r="H15813" s="42">
        <f t="shared" si="1"/>
        <v>3345</v>
      </c>
    </row>
    <row r="15814" ht="22.5" customHeight="1">
      <c r="B15814" s="42" t="str">
        <f>IFERROR(__xludf.DUMMYFUNCTION("""COMPUTED_VALUE"""),"")</f>
        <v/>
      </c>
      <c r="C15814" s="42" t="str">
        <f>IFERROR(__xludf.DUMMYFUNCTION("""COMPUTED_VALUE"""),"")</f>
        <v/>
      </c>
      <c r="D15814" s="42"/>
      <c r="E15814" s="42"/>
      <c r="F15814" s="48" t="str">
        <f>IFERROR(__xludf.DUMMYFUNCTION("""COMPUTED_VALUE"""),"")</f>
        <v/>
      </c>
      <c r="G15814" s="42" t="str">
        <f>IFERROR(__xludf.DUMMYFUNCTION("""COMPUTED_VALUE"""),"")</f>
        <v/>
      </c>
      <c r="H15814" s="42">
        <f t="shared" si="1"/>
        <v>3345</v>
      </c>
    </row>
    <row r="15815" ht="22.5" customHeight="1">
      <c r="B15815" s="42" t="str">
        <f>IFERROR(__xludf.DUMMYFUNCTION("""COMPUTED_VALUE"""),"")</f>
        <v/>
      </c>
      <c r="C15815" s="42" t="str">
        <f>IFERROR(__xludf.DUMMYFUNCTION("""COMPUTED_VALUE"""),"")</f>
        <v/>
      </c>
      <c r="D15815" s="42"/>
      <c r="E15815" s="42"/>
      <c r="F15815" s="48" t="str">
        <f>IFERROR(__xludf.DUMMYFUNCTION("""COMPUTED_VALUE"""),"")</f>
        <v/>
      </c>
      <c r="G15815" s="42" t="str">
        <f>IFERROR(__xludf.DUMMYFUNCTION("""COMPUTED_VALUE"""),"")</f>
        <v/>
      </c>
      <c r="H15815" s="42">
        <f t="shared" si="1"/>
        <v>3345</v>
      </c>
    </row>
    <row r="15816" ht="22.5" customHeight="1">
      <c r="B15816" s="42" t="str">
        <f>IFERROR(__xludf.DUMMYFUNCTION("""COMPUTED_VALUE"""),"")</f>
        <v/>
      </c>
      <c r="C15816" s="42" t="str">
        <f>IFERROR(__xludf.DUMMYFUNCTION("""COMPUTED_VALUE"""),"")</f>
        <v/>
      </c>
      <c r="D15816" s="42"/>
      <c r="E15816" s="42"/>
      <c r="F15816" s="48" t="str">
        <f>IFERROR(__xludf.DUMMYFUNCTION("""COMPUTED_VALUE"""),"")</f>
        <v/>
      </c>
      <c r="G15816" s="42" t="str">
        <f>IFERROR(__xludf.DUMMYFUNCTION("""COMPUTED_VALUE"""),"")</f>
        <v/>
      </c>
      <c r="H15816" s="42">
        <f t="shared" si="1"/>
        <v>3345</v>
      </c>
    </row>
    <row r="15817" ht="22.5" customHeight="1">
      <c r="B15817" s="42" t="str">
        <f>IFERROR(__xludf.DUMMYFUNCTION("""COMPUTED_VALUE"""),"")</f>
        <v/>
      </c>
      <c r="C15817" s="42" t="str">
        <f>IFERROR(__xludf.DUMMYFUNCTION("""COMPUTED_VALUE"""),"")</f>
        <v/>
      </c>
      <c r="D15817" s="42"/>
      <c r="E15817" s="42"/>
      <c r="F15817" s="48" t="str">
        <f>IFERROR(__xludf.DUMMYFUNCTION("""COMPUTED_VALUE"""),"")</f>
        <v/>
      </c>
      <c r="G15817" s="42" t="str">
        <f>IFERROR(__xludf.DUMMYFUNCTION("""COMPUTED_VALUE"""),"")</f>
        <v/>
      </c>
      <c r="H15817" s="42">
        <f t="shared" si="1"/>
        <v>3345</v>
      </c>
    </row>
    <row r="15818" ht="22.5" customHeight="1">
      <c r="B15818" s="42" t="str">
        <f>IFERROR(__xludf.DUMMYFUNCTION("""COMPUTED_VALUE"""),"")</f>
        <v/>
      </c>
      <c r="C15818" s="42" t="str">
        <f>IFERROR(__xludf.DUMMYFUNCTION("""COMPUTED_VALUE"""),"")</f>
        <v/>
      </c>
      <c r="D15818" s="42"/>
      <c r="E15818" s="42"/>
      <c r="F15818" s="48" t="str">
        <f>IFERROR(__xludf.DUMMYFUNCTION("""COMPUTED_VALUE"""),"")</f>
        <v/>
      </c>
      <c r="G15818" s="42" t="str">
        <f>IFERROR(__xludf.DUMMYFUNCTION("""COMPUTED_VALUE"""),"")</f>
        <v/>
      </c>
      <c r="H15818" s="42">
        <f t="shared" si="1"/>
        <v>3345</v>
      </c>
    </row>
    <row r="15819" ht="22.5" customHeight="1">
      <c r="B15819" s="42" t="str">
        <f>IFERROR(__xludf.DUMMYFUNCTION("""COMPUTED_VALUE"""),"")</f>
        <v/>
      </c>
      <c r="C15819" s="42" t="str">
        <f>IFERROR(__xludf.DUMMYFUNCTION("""COMPUTED_VALUE"""),"")</f>
        <v/>
      </c>
      <c r="D15819" s="42"/>
      <c r="E15819" s="42"/>
      <c r="F15819" s="48" t="str">
        <f>IFERROR(__xludf.DUMMYFUNCTION("""COMPUTED_VALUE"""),"")</f>
        <v/>
      </c>
      <c r="G15819" s="42" t="str">
        <f>IFERROR(__xludf.DUMMYFUNCTION("""COMPUTED_VALUE"""),"")</f>
        <v/>
      </c>
      <c r="H15819" s="42">
        <f t="shared" si="1"/>
        <v>3345</v>
      </c>
    </row>
    <row r="15820" ht="22.5" customHeight="1">
      <c r="B15820" s="42" t="str">
        <f>IFERROR(__xludf.DUMMYFUNCTION("""COMPUTED_VALUE"""),"")</f>
        <v/>
      </c>
      <c r="C15820" s="42" t="str">
        <f>IFERROR(__xludf.DUMMYFUNCTION("""COMPUTED_VALUE"""),"")</f>
        <v/>
      </c>
      <c r="D15820" s="42"/>
      <c r="E15820" s="42"/>
      <c r="F15820" s="48" t="str">
        <f>IFERROR(__xludf.DUMMYFUNCTION("""COMPUTED_VALUE"""),"")</f>
        <v/>
      </c>
      <c r="G15820" s="42" t="str">
        <f>IFERROR(__xludf.DUMMYFUNCTION("""COMPUTED_VALUE"""),"")</f>
        <v/>
      </c>
      <c r="H15820" s="42">
        <f t="shared" si="1"/>
        <v>3345</v>
      </c>
    </row>
    <row r="15821" ht="22.5" customHeight="1">
      <c r="B15821" s="42" t="str">
        <f>IFERROR(__xludf.DUMMYFUNCTION("""COMPUTED_VALUE"""),"")</f>
        <v/>
      </c>
      <c r="C15821" s="42" t="str">
        <f>IFERROR(__xludf.DUMMYFUNCTION("""COMPUTED_VALUE"""),"")</f>
        <v/>
      </c>
      <c r="D15821" s="42"/>
      <c r="E15821" s="42"/>
      <c r="F15821" s="48" t="str">
        <f>IFERROR(__xludf.DUMMYFUNCTION("""COMPUTED_VALUE"""),"")</f>
        <v/>
      </c>
      <c r="G15821" s="42" t="str">
        <f>IFERROR(__xludf.DUMMYFUNCTION("""COMPUTED_VALUE"""),"")</f>
        <v/>
      </c>
      <c r="H15821" s="42">
        <f t="shared" si="1"/>
        <v>3345</v>
      </c>
    </row>
    <row r="15822" ht="22.5" customHeight="1">
      <c r="B15822" s="42" t="str">
        <f>IFERROR(__xludf.DUMMYFUNCTION("""COMPUTED_VALUE"""),"")</f>
        <v/>
      </c>
      <c r="C15822" s="42" t="str">
        <f>IFERROR(__xludf.DUMMYFUNCTION("""COMPUTED_VALUE"""),"")</f>
        <v/>
      </c>
      <c r="D15822" s="42"/>
      <c r="E15822" s="42"/>
      <c r="F15822" s="48" t="str">
        <f>IFERROR(__xludf.DUMMYFUNCTION("""COMPUTED_VALUE"""),"")</f>
        <v/>
      </c>
      <c r="G15822" s="42" t="str">
        <f>IFERROR(__xludf.DUMMYFUNCTION("""COMPUTED_VALUE"""),"")</f>
        <v/>
      </c>
      <c r="H15822" s="42">
        <f t="shared" si="1"/>
        <v>3345</v>
      </c>
    </row>
    <row r="15823" ht="22.5" customHeight="1">
      <c r="B15823" s="42" t="str">
        <f>IFERROR(__xludf.DUMMYFUNCTION("""COMPUTED_VALUE"""),"")</f>
        <v/>
      </c>
      <c r="C15823" s="42" t="str">
        <f>IFERROR(__xludf.DUMMYFUNCTION("""COMPUTED_VALUE"""),"")</f>
        <v/>
      </c>
      <c r="D15823" s="42"/>
      <c r="E15823" s="42"/>
      <c r="F15823" s="48" t="str">
        <f>IFERROR(__xludf.DUMMYFUNCTION("""COMPUTED_VALUE"""),"")</f>
        <v/>
      </c>
      <c r="G15823" s="42" t="str">
        <f>IFERROR(__xludf.DUMMYFUNCTION("""COMPUTED_VALUE"""),"")</f>
        <v/>
      </c>
      <c r="H15823" s="42">
        <f t="shared" si="1"/>
        <v>3345</v>
      </c>
    </row>
    <row r="15824" ht="22.5" customHeight="1">
      <c r="B15824" s="42" t="str">
        <f>IFERROR(__xludf.DUMMYFUNCTION("""COMPUTED_VALUE"""),"")</f>
        <v/>
      </c>
      <c r="C15824" s="42" t="str">
        <f>IFERROR(__xludf.DUMMYFUNCTION("""COMPUTED_VALUE"""),"")</f>
        <v/>
      </c>
      <c r="D15824" s="42"/>
      <c r="E15824" s="42"/>
      <c r="F15824" s="48" t="str">
        <f>IFERROR(__xludf.DUMMYFUNCTION("""COMPUTED_VALUE"""),"")</f>
        <v/>
      </c>
      <c r="G15824" s="42" t="str">
        <f>IFERROR(__xludf.DUMMYFUNCTION("""COMPUTED_VALUE"""),"")</f>
        <v/>
      </c>
      <c r="H15824" s="42">
        <f t="shared" si="1"/>
        <v>3345</v>
      </c>
    </row>
    <row r="15825" ht="22.5" customHeight="1">
      <c r="B15825" s="42" t="str">
        <f>IFERROR(__xludf.DUMMYFUNCTION("""COMPUTED_VALUE"""),"")</f>
        <v/>
      </c>
      <c r="C15825" s="42" t="str">
        <f>IFERROR(__xludf.DUMMYFUNCTION("""COMPUTED_VALUE"""),"")</f>
        <v/>
      </c>
      <c r="D15825" s="42"/>
      <c r="E15825" s="42"/>
      <c r="F15825" s="48" t="str">
        <f>IFERROR(__xludf.DUMMYFUNCTION("""COMPUTED_VALUE"""),"")</f>
        <v/>
      </c>
      <c r="G15825" s="42" t="str">
        <f>IFERROR(__xludf.DUMMYFUNCTION("""COMPUTED_VALUE"""),"")</f>
        <v/>
      </c>
      <c r="H15825" s="42">
        <f t="shared" si="1"/>
        <v>3345</v>
      </c>
    </row>
    <row r="15826" ht="22.5" customHeight="1">
      <c r="B15826" s="42" t="str">
        <f>IFERROR(__xludf.DUMMYFUNCTION("""COMPUTED_VALUE"""),"")</f>
        <v/>
      </c>
      <c r="C15826" s="42" t="str">
        <f>IFERROR(__xludf.DUMMYFUNCTION("""COMPUTED_VALUE"""),"")</f>
        <v/>
      </c>
      <c r="D15826" s="42"/>
      <c r="E15826" s="42"/>
      <c r="F15826" s="48" t="str">
        <f>IFERROR(__xludf.DUMMYFUNCTION("""COMPUTED_VALUE"""),"")</f>
        <v/>
      </c>
      <c r="G15826" s="42" t="str">
        <f>IFERROR(__xludf.DUMMYFUNCTION("""COMPUTED_VALUE"""),"")</f>
        <v/>
      </c>
      <c r="H15826" s="42">
        <f t="shared" si="1"/>
        <v>3345</v>
      </c>
    </row>
    <row r="15827" ht="22.5" customHeight="1">
      <c r="B15827" s="42" t="str">
        <f>IFERROR(__xludf.DUMMYFUNCTION("""COMPUTED_VALUE"""),"")</f>
        <v/>
      </c>
      <c r="C15827" s="42" t="str">
        <f>IFERROR(__xludf.DUMMYFUNCTION("""COMPUTED_VALUE"""),"")</f>
        <v/>
      </c>
      <c r="D15827" s="42"/>
      <c r="E15827" s="42"/>
      <c r="F15827" s="48" t="str">
        <f>IFERROR(__xludf.DUMMYFUNCTION("""COMPUTED_VALUE"""),"")</f>
        <v/>
      </c>
      <c r="G15827" s="42" t="str">
        <f>IFERROR(__xludf.DUMMYFUNCTION("""COMPUTED_VALUE"""),"")</f>
        <v/>
      </c>
      <c r="H15827" s="42">
        <f t="shared" si="1"/>
        <v>3345</v>
      </c>
    </row>
    <row r="15828" ht="22.5" customHeight="1">
      <c r="B15828" s="42" t="str">
        <f>IFERROR(__xludf.DUMMYFUNCTION("""COMPUTED_VALUE"""),"")</f>
        <v/>
      </c>
      <c r="C15828" s="42" t="str">
        <f>IFERROR(__xludf.DUMMYFUNCTION("""COMPUTED_VALUE"""),"")</f>
        <v/>
      </c>
      <c r="D15828" s="42"/>
      <c r="E15828" s="42"/>
      <c r="F15828" s="48" t="str">
        <f>IFERROR(__xludf.DUMMYFUNCTION("""COMPUTED_VALUE"""),"")</f>
        <v/>
      </c>
      <c r="G15828" s="42" t="str">
        <f>IFERROR(__xludf.DUMMYFUNCTION("""COMPUTED_VALUE"""),"")</f>
        <v/>
      </c>
      <c r="H15828" s="42">
        <f t="shared" si="1"/>
        <v>3345</v>
      </c>
    </row>
    <row r="15829" ht="22.5" customHeight="1">
      <c r="B15829" s="42" t="str">
        <f>IFERROR(__xludf.DUMMYFUNCTION("""COMPUTED_VALUE"""),"")</f>
        <v/>
      </c>
      <c r="C15829" s="42" t="str">
        <f>IFERROR(__xludf.DUMMYFUNCTION("""COMPUTED_VALUE"""),"")</f>
        <v/>
      </c>
      <c r="D15829" s="42"/>
      <c r="E15829" s="42"/>
      <c r="F15829" s="48" t="str">
        <f>IFERROR(__xludf.DUMMYFUNCTION("""COMPUTED_VALUE"""),"")</f>
        <v/>
      </c>
      <c r="G15829" s="42" t="str">
        <f>IFERROR(__xludf.DUMMYFUNCTION("""COMPUTED_VALUE"""),"")</f>
        <v/>
      </c>
      <c r="H15829" s="42">
        <f t="shared" si="1"/>
        <v>3345</v>
      </c>
    </row>
    <row r="15830" ht="22.5" customHeight="1">
      <c r="B15830" s="42" t="str">
        <f>IFERROR(__xludf.DUMMYFUNCTION("""COMPUTED_VALUE"""),"")</f>
        <v/>
      </c>
      <c r="C15830" s="42" t="str">
        <f>IFERROR(__xludf.DUMMYFUNCTION("""COMPUTED_VALUE"""),"")</f>
        <v/>
      </c>
      <c r="D15830" s="42"/>
      <c r="E15830" s="42"/>
      <c r="F15830" s="48" t="str">
        <f>IFERROR(__xludf.DUMMYFUNCTION("""COMPUTED_VALUE"""),"")</f>
        <v/>
      </c>
      <c r="G15830" s="42" t="str">
        <f>IFERROR(__xludf.DUMMYFUNCTION("""COMPUTED_VALUE"""),"")</f>
        <v/>
      </c>
      <c r="H15830" s="42">
        <f t="shared" si="1"/>
        <v>3345</v>
      </c>
    </row>
    <row r="15831" ht="22.5" customHeight="1">
      <c r="B15831" s="42" t="str">
        <f>IFERROR(__xludf.DUMMYFUNCTION("""COMPUTED_VALUE"""),"")</f>
        <v/>
      </c>
      <c r="C15831" s="42" t="str">
        <f>IFERROR(__xludf.DUMMYFUNCTION("""COMPUTED_VALUE"""),"")</f>
        <v/>
      </c>
      <c r="D15831" s="42"/>
      <c r="E15831" s="42"/>
      <c r="F15831" s="48" t="str">
        <f>IFERROR(__xludf.DUMMYFUNCTION("""COMPUTED_VALUE"""),"")</f>
        <v/>
      </c>
      <c r="G15831" s="42" t="str">
        <f>IFERROR(__xludf.DUMMYFUNCTION("""COMPUTED_VALUE"""),"")</f>
        <v/>
      </c>
      <c r="H15831" s="42">
        <f t="shared" si="1"/>
        <v>3345</v>
      </c>
    </row>
    <row r="15832" ht="22.5" customHeight="1">
      <c r="B15832" s="42" t="str">
        <f>IFERROR(__xludf.DUMMYFUNCTION("""COMPUTED_VALUE"""),"")</f>
        <v/>
      </c>
      <c r="C15832" s="42" t="str">
        <f>IFERROR(__xludf.DUMMYFUNCTION("""COMPUTED_VALUE"""),"")</f>
        <v/>
      </c>
      <c r="D15832" s="42"/>
      <c r="E15832" s="42"/>
      <c r="F15832" s="48" t="str">
        <f>IFERROR(__xludf.DUMMYFUNCTION("""COMPUTED_VALUE"""),"")</f>
        <v/>
      </c>
      <c r="G15832" s="42" t="str">
        <f>IFERROR(__xludf.DUMMYFUNCTION("""COMPUTED_VALUE"""),"")</f>
        <v/>
      </c>
      <c r="H15832" s="42">
        <f t="shared" si="1"/>
        <v>3345</v>
      </c>
    </row>
    <row r="15833" ht="22.5" customHeight="1">
      <c r="B15833" s="42" t="str">
        <f>IFERROR(__xludf.DUMMYFUNCTION("""COMPUTED_VALUE"""),"")</f>
        <v/>
      </c>
      <c r="C15833" s="42" t="str">
        <f>IFERROR(__xludf.DUMMYFUNCTION("""COMPUTED_VALUE"""),"")</f>
        <v/>
      </c>
      <c r="D15833" s="42"/>
      <c r="E15833" s="42"/>
      <c r="F15833" s="48" t="str">
        <f>IFERROR(__xludf.DUMMYFUNCTION("""COMPUTED_VALUE"""),"")</f>
        <v/>
      </c>
      <c r="G15833" s="42" t="str">
        <f>IFERROR(__xludf.DUMMYFUNCTION("""COMPUTED_VALUE"""),"")</f>
        <v/>
      </c>
      <c r="H15833" s="42">
        <f t="shared" si="1"/>
        <v>3345</v>
      </c>
    </row>
    <row r="15834" ht="22.5" customHeight="1">
      <c r="B15834" s="42" t="str">
        <f>IFERROR(__xludf.DUMMYFUNCTION("""COMPUTED_VALUE"""),"")</f>
        <v/>
      </c>
      <c r="C15834" s="42" t="str">
        <f>IFERROR(__xludf.DUMMYFUNCTION("""COMPUTED_VALUE"""),"")</f>
        <v/>
      </c>
      <c r="D15834" s="42"/>
      <c r="E15834" s="42"/>
      <c r="F15834" s="48" t="str">
        <f>IFERROR(__xludf.DUMMYFUNCTION("""COMPUTED_VALUE"""),"")</f>
        <v/>
      </c>
      <c r="G15834" s="42" t="str">
        <f>IFERROR(__xludf.DUMMYFUNCTION("""COMPUTED_VALUE"""),"")</f>
        <v/>
      </c>
      <c r="H15834" s="42">
        <f t="shared" si="1"/>
        <v>3345</v>
      </c>
    </row>
    <row r="15835" ht="22.5" customHeight="1">
      <c r="B15835" s="42" t="str">
        <f>IFERROR(__xludf.DUMMYFUNCTION("""COMPUTED_VALUE"""),"")</f>
        <v/>
      </c>
      <c r="C15835" s="42" t="str">
        <f>IFERROR(__xludf.DUMMYFUNCTION("""COMPUTED_VALUE"""),"")</f>
        <v/>
      </c>
      <c r="D15835" s="42"/>
      <c r="E15835" s="42"/>
      <c r="F15835" s="48" t="str">
        <f>IFERROR(__xludf.DUMMYFUNCTION("""COMPUTED_VALUE"""),"")</f>
        <v/>
      </c>
      <c r="G15835" s="42" t="str">
        <f>IFERROR(__xludf.DUMMYFUNCTION("""COMPUTED_VALUE"""),"")</f>
        <v/>
      </c>
      <c r="H15835" s="42">
        <f t="shared" si="1"/>
        <v>3345</v>
      </c>
    </row>
    <row r="15836" ht="22.5" customHeight="1">
      <c r="B15836" s="42" t="str">
        <f>IFERROR(__xludf.DUMMYFUNCTION("""COMPUTED_VALUE"""),"")</f>
        <v/>
      </c>
      <c r="C15836" s="42" t="str">
        <f>IFERROR(__xludf.DUMMYFUNCTION("""COMPUTED_VALUE"""),"")</f>
        <v/>
      </c>
      <c r="D15836" s="42"/>
      <c r="E15836" s="42"/>
      <c r="F15836" s="48" t="str">
        <f>IFERROR(__xludf.DUMMYFUNCTION("""COMPUTED_VALUE"""),"")</f>
        <v/>
      </c>
      <c r="G15836" s="42" t="str">
        <f>IFERROR(__xludf.DUMMYFUNCTION("""COMPUTED_VALUE"""),"")</f>
        <v/>
      </c>
      <c r="H15836" s="42">
        <f t="shared" si="1"/>
        <v>3345</v>
      </c>
    </row>
    <row r="15837" ht="22.5" customHeight="1">
      <c r="B15837" s="42" t="str">
        <f>IFERROR(__xludf.DUMMYFUNCTION("""COMPUTED_VALUE"""),"")</f>
        <v/>
      </c>
      <c r="C15837" s="42" t="str">
        <f>IFERROR(__xludf.DUMMYFUNCTION("""COMPUTED_VALUE"""),"")</f>
        <v/>
      </c>
      <c r="D15837" s="42"/>
      <c r="E15837" s="42"/>
      <c r="F15837" s="48" t="str">
        <f>IFERROR(__xludf.DUMMYFUNCTION("""COMPUTED_VALUE"""),"")</f>
        <v/>
      </c>
      <c r="G15837" s="42" t="str">
        <f>IFERROR(__xludf.DUMMYFUNCTION("""COMPUTED_VALUE"""),"")</f>
        <v/>
      </c>
      <c r="H15837" s="42">
        <f t="shared" si="1"/>
        <v>3345</v>
      </c>
    </row>
    <row r="15838" ht="22.5" customHeight="1">
      <c r="B15838" s="42" t="str">
        <f>IFERROR(__xludf.DUMMYFUNCTION("""COMPUTED_VALUE"""),"")</f>
        <v/>
      </c>
      <c r="C15838" s="42" t="str">
        <f>IFERROR(__xludf.DUMMYFUNCTION("""COMPUTED_VALUE"""),"")</f>
        <v/>
      </c>
      <c r="D15838" s="42"/>
      <c r="E15838" s="42"/>
      <c r="F15838" s="48" t="str">
        <f>IFERROR(__xludf.DUMMYFUNCTION("""COMPUTED_VALUE"""),"")</f>
        <v/>
      </c>
      <c r="G15838" s="42" t="str">
        <f>IFERROR(__xludf.DUMMYFUNCTION("""COMPUTED_VALUE"""),"")</f>
        <v/>
      </c>
      <c r="H15838" s="42">
        <f t="shared" si="1"/>
        <v>3345</v>
      </c>
    </row>
    <row r="15839" ht="22.5" customHeight="1">
      <c r="B15839" s="42" t="str">
        <f>IFERROR(__xludf.DUMMYFUNCTION("""COMPUTED_VALUE"""),"")</f>
        <v/>
      </c>
      <c r="C15839" s="42" t="str">
        <f>IFERROR(__xludf.DUMMYFUNCTION("""COMPUTED_VALUE"""),"")</f>
        <v/>
      </c>
      <c r="D15839" s="42"/>
      <c r="E15839" s="42"/>
      <c r="F15839" s="48" t="str">
        <f>IFERROR(__xludf.DUMMYFUNCTION("""COMPUTED_VALUE"""),"")</f>
        <v/>
      </c>
      <c r="G15839" s="42" t="str">
        <f>IFERROR(__xludf.DUMMYFUNCTION("""COMPUTED_VALUE"""),"")</f>
        <v/>
      </c>
      <c r="H15839" s="42">
        <f t="shared" si="1"/>
        <v>3345</v>
      </c>
    </row>
    <row r="15840" ht="22.5" customHeight="1">
      <c r="B15840" s="42" t="str">
        <f>IFERROR(__xludf.DUMMYFUNCTION("""COMPUTED_VALUE"""),"")</f>
        <v/>
      </c>
      <c r="C15840" s="42" t="str">
        <f>IFERROR(__xludf.DUMMYFUNCTION("""COMPUTED_VALUE"""),"")</f>
        <v/>
      </c>
      <c r="D15840" s="42"/>
      <c r="E15840" s="42"/>
      <c r="F15840" s="48" t="str">
        <f>IFERROR(__xludf.DUMMYFUNCTION("""COMPUTED_VALUE"""),"")</f>
        <v/>
      </c>
      <c r="G15840" s="42" t="str">
        <f>IFERROR(__xludf.DUMMYFUNCTION("""COMPUTED_VALUE"""),"")</f>
        <v/>
      </c>
      <c r="H15840" s="42">
        <f t="shared" si="1"/>
        <v>3345</v>
      </c>
    </row>
    <row r="15841" ht="22.5" customHeight="1">
      <c r="B15841" s="42" t="str">
        <f>IFERROR(__xludf.DUMMYFUNCTION("""COMPUTED_VALUE"""),"")</f>
        <v/>
      </c>
      <c r="C15841" s="42" t="str">
        <f>IFERROR(__xludf.DUMMYFUNCTION("""COMPUTED_VALUE"""),"")</f>
        <v/>
      </c>
      <c r="D15841" s="42"/>
      <c r="E15841" s="42"/>
      <c r="F15841" s="48" t="str">
        <f>IFERROR(__xludf.DUMMYFUNCTION("""COMPUTED_VALUE"""),"")</f>
        <v/>
      </c>
      <c r="G15841" s="42" t="str">
        <f>IFERROR(__xludf.DUMMYFUNCTION("""COMPUTED_VALUE"""),"")</f>
        <v/>
      </c>
      <c r="H15841" s="42">
        <f t="shared" si="1"/>
        <v>3345</v>
      </c>
    </row>
    <row r="15842" ht="22.5" customHeight="1">
      <c r="B15842" s="42" t="str">
        <f>IFERROR(__xludf.DUMMYFUNCTION("""COMPUTED_VALUE"""),"")</f>
        <v/>
      </c>
      <c r="C15842" s="42" t="str">
        <f>IFERROR(__xludf.DUMMYFUNCTION("""COMPUTED_VALUE"""),"")</f>
        <v/>
      </c>
      <c r="D15842" s="42"/>
      <c r="E15842" s="42"/>
      <c r="F15842" s="48" t="str">
        <f>IFERROR(__xludf.DUMMYFUNCTION("""COMPUTED_VALUE"""),"")</f>
        <v/>
      </c>
      <c r="G15842" s="42" t="str">
        <f>IFERROR(__xludf.DUMMYFUNCTION("""COMPUTED_VALUE"""),"")</f>
        <v/>
      </c>
      <c r="H15842" s="42">
        <f t="shared" si="1"/>
        <v>3345</v>
      </c>
    </row>
    <row r="15843" ht="22.5" customHeight="1">
      <c r="B15843" s="42" t="str">
        <f>IFERROR(__xludf.DUMMYFUNCTION("""COMPUTED_VALUE"""),"")</f>
        <v/>
      </c>
      <c r="C15843" s="42" t="str">
        <f>IFERROR(__xludf.DUMMYFUNCTION("""COMPUTED_VALUE"""),"")</f>
        <v/>
      </c>
      <c r="D15843" s="42"/>
      <c r="E15843" s="42"/>
      <c r="F15843" s="48" t="str">
        <f>IFERROR(__xludf.DUMMYFUNCTION("""COMPUTED_VALUE"""),"")</f>
        <v/>
      </c>
      <c r="G15843" s="42" t="str">
        <f>IFERROR(__xludf.DUMMYFUNCTION("""COMPUTED_VALUE"""),"")</f>
        <v/>
      </c>
      <c r="H15843" s="42">
        <f t="shared" si="1"/>
        <v>3345</v>
      </c>
    </row>
    <row r="15844" ht="22.5" customHeight="1">
      <c r="B15844" s="42" t="str">
        <f>IFERROR(__xludf.DUMMYFUNCTION("""COMPUTED_VALUE"""),"")</f>
        <v/>
      </c>
      <c r="C15844" s="42" t="str">
        <f>IFERROR(__xludf.DUMMYFUNCTION("""COMPUTED_VALUE"""),"")</f>
        <v/>
      </c>
      <c r="D15844" s="42"/>
      <c r="E15844" s="42"/>
      <c r="F15844" s="48" t="str">
        <f>IFERROR(__xludf.DUMMYFUNCTION("""COMPUTED_VALUE"""),"")</f>
        <v/>
      </c>
      <c r="G15844" s="42" t="str">
        <f>IFERROR(__xludf.DUMMYFUNCTION("""COMPUTED_VALUE"""),"")</f>
        <v/>
      </c>
      <c r="H15844" s="42">
        <f t="shared" si="1"/>
        <v>3345</v>
      </c>
    </row>
    <row r="15845" ht="22.5" customHeight="1">
      <c r="B15845" s="42" t="str">
        <f>IFERROR(__xludf.DUMMYFUNCTION("""COMPUTED_VALUE"""),"")</f>
        <v/>
      </c>
      <c r="C15845" s="42" t="str">
        <f>IFERROR(__xludf.DUMMYFUNCTION("""COMPUTED_VALUE"""),"")</f>
        <v/>
      </c>
      <c r="D15845" s="42"/>
      <c r="E15845" s="42"/>
      <c r="F15845" s="48" t="str">
        <f>IFERROR(__xludf.DUMMYFUNCTION("""COMPUTED_VALUE"""),"")</f>
        <v/>
      </c>
      <c r="G15845" s="42" t="str">
        <f>IFERROR(__xludf.DUMMYFUNCTION("""COMPUTED_VALUE"""),"")</f>
        <v/>
      </c>
      <c r="H15845" s="42">
        <f t="shared" si="1"/>
        <v>3345</v>
      </c>
    </row>
    <row r="15846" ht="22.5" customHeight="1">
      <c r="B15846" s="42" t="str">
        <f>IFERROR(__xludf.DUMMYFUNCTION("""COMPUTED_VALUE"""),"")</f>
        <v/>
      </c>
      <c r="C15846" s="42" t="str">
        <f>IFERROR(__xludf.DUMMYFUNCTION("""COMPUTED_VALUE"""),"")</f>
        <v/>
      </c>
      <c r="D15846" s="42"/>
      <c r="E15846" s="42"/>
      <c r="F15846" s="48" t="str">
        <f>IFERROR(__xludf.DUMMYFUNCTION("""COMPUTED_VALUE"""),"")</f>
        <v/>
      </c>
      <c r="G15846" s="42" t="str">
        <f>IFERROR(__xludf.DUMMYFUNCTION("""COMPUTED_VALUE"""),"")</f>
        <v/>
      </c>
      <c r="H15846" s="42">
        <f t="shared" si="1"/>
        <v>3345</v>
      </c>
    </row>
    <row r="15847" ht="22.5" customHeight="1">
      <c r="B15847" s="42" t="str">
        <f>IFERROR(__xludf.DUMMYFUNCTION("""COMPUTED_VALUE"""),"")</f>
        <v/>
      </c>
      <c r="C15847" s="42" t="str">
        <f>IFERROR(__xludf.DUMMYFUNCTION("""COMPUTED_VALUE"""),"")</f>
        <v/>
      </c>
      <c r="D15847" s="42"/>
      <c r="E15847" s="42"/>
      <c r="F15847" s="48" t="str">
        <f>IFERROR(__xludf.DUMMYFUNCTION("""COMPUTED_VALUE"""),"")</f>
        <v/>
      </c>
      <c r="G15847" s="42" t="str">
        <f>IFERROR(__xludf.DUMMYFUNCTION("""COMPUTED_VALUE"""),"")</f>
        <v/>
      </c>
      <c r="H15847" s="42">
        <f t="shared" si="1"/>
        <v>3345</v>
      </c>
    </row>
    <row r="15848" ht="22.5" customHeight="1">
      <c r="B15848" s="42" t="str">
        <f>IFERROR(__xludf.DUMMYFUNCTION("""COMPUTED_VALUE"""),"")</f>
        <v/>
      </c>
      <c r="C15848" s="42" t="str">
        <f>IFERROR(__xludf.DUMMYFUNCTION("""COMPUTED_VALUE"""),"")</f>
        <v/>
      </c>
      <c r="D15848" s="42"/>
      <c r="E15848" s="42"/>
      <c r="F15848" s="48" t="str">
        <f>IFERROR(__xludf.DUMMYFUNCTION("""COMPUTED_VALUE"""),"")</f>
        <v/>
      </c>
      <c r="G15848" s="42" t="str">
        <f>IFERROR(__xludf.DUMMYFUNCTION("""COMPUTED_VALUE"""),"")</f>
        <v/>
      </c>
      <c r="H15848" s="42">
        <f t="shared" si="1"/>
        <v>3345</v>
      </c>
    </row>
    <row r="15849" ht="22.5" customHeight="1">
      <c r="B15849" s="42" t="str">
        <f>IFERROR(__xludf.DUMMYFUNCTION("""COMPUTED_VALUE"""),"")</f>
        <v/>
      </c>
      <c r="C15849" s="42" t="str">
        <f>IFERROR(__xludf.DUMMYFUNCTION("""COMPUTED_VALUE"""),"")</f>
        <v/>
      </c>
      <c r="D15849" s="42"/>
      <c r="E15849" s="42"/>
      <c r="F15849" s="48" t="str">
        <f>IFERROR(__xludf.DUMMYFUNCTION("""COMPUTED_VALUE"""),"")</f>
        <v/>
      </c>
      <c r="G15849" s="42" t="str">
        <f>IFERROR(__xludf.DUMMYFUNCTION("""COMPUTED_VALUE"""),"")</f>
        <v/>
      </c>
      <c r="H15849" s="42">
        <f t="shared" si="1"/>
        <v>3345</v>
      </c>
    </row>
    <row r="15850" ht="22.5" customHeight="1">
      <c r="B15850" s="42" t="str">
        <f>IFERROR(__xludf.DUMMYFUNCTION("""COMPUTED_VALUE"""),"")</f>
        <v/>
      </c>
      <c r="C15850" s="42" t="str">
        <f>IFERROR(__xludf.DUMMYFUNCTION("""COMPUTED_VALUE"""),"")</f>
        <v/>
      </c>
      <c r="D15850" s="42"/>
      <c r="E15850" s="42"/>
      <c r="F15850" s="48" t="str">
        <f>IFERROR(__xludf.DUMMYFUNCTION("""COMPUTED_VALUE"""),"")</f>
        <v/>
      </c>
      <c r="G15850" s="42" t="str">
        <f>IFERROR(__xludf.DUMMYFUNCTION("""COMPUTED_VALUE"""),"")</f>
        <v/>
      </c>
      <c r="H15850" s="42">
        <f t="shared" si="1"/>
        <v>3345</v>
      </c>
    </row>
    <row r="15851" ht="22.5" customHeight="1">
      <c r="B15851" s="42" t="str">
        <f>IFERROR(__xludf.DUMMYFUNCTION("""COMPUTED_VALUE"""),"")</f>
        <v/>
      </c>
      <c r="C15851" s="42" t="str">
        <f>IFERROR(__xludf.DUMMYFUNCTION("""COMPUTED_VALUE"""),"")</f>
        <v/>
      </c>
      <c r="D15851" s="42"/>
      <c r="E15851" s="42"/>
      <c r="F15851" s="48" t="str">
        <f>IFERROR(__xludf.DUMMYFUNCTION("""COMPUTED_VALUE"""),"")</f>
        <v/>
      </c>
      <c r="G15851" s="42" t="str">
        <f>IFERROR(__xludf.DUMMYFUNCTION("""COMPUTED_VALUE"""),"")</f>
        <v/>
      </c>
      <c r="H15851" s="42">
        <f t="shared" si="1"/>
        <v>3345</v>
      </c>
    </row>
    <row r="15852" ht="22.5" customHeight="1">
      <c r="B15852" s="42" t="str">
        <f>IFERROR(__xludf.DUMMYFUNCTION("""COMPUTED_VALUE"""),"")</f>
        <v/>
      </c>
      <c r="C15852" s="42" t="str">
        <f>IFERROR(__xludf.DUMMYFUNCTION("""COMPUTED_VALUE"""),"")</f>
        <v/>
      </c>
      <c r="D15852" s="42"/>
      <c r="E15852" s="42"/>
      <c r="F15852" s="48" t="str">
        <f>IFERROR(__xludf.DUMMYFUNCTION("""COMPUTED_VALUE"""),"")</f>
        <v/>
      </c>
      <c r="G15852" s="42" t="str">
        <f>IFERROR(__xludf.DUMMYFUNCTION("""COMPUTED_VALUE"""),"")</f>
        <v/>
      </c>
      <c r="H15852" s="42">
        <f t="shared" si="1"/>
        <v>3345</v>
      </c>
    </row>
    <row r="15853" ht="22.5" customHeight="1">
      <c r="B15853" s="42" t="str">
        <f>IFERROR(__xludf.DUMMYFUNCTION("""COMPUTED_VALUE"""),"")</f>
        <v/>
      </c>
      <c r="C15853" s="42" t="str">
        <f>IFERROR(__xludf.DUMMYFUNCTION("""COMPUTED_VALUE"""),"")</f>
        <v/>
      </c>
      <c r="D15853" s="42"/>
      <c r="E15853" s="42"/>
      <c r="F15853" s="48" t="str">
        <f>IFERROR(__xludf.DUMMYFUNCTION("""COMPUTED_VALUE"""),"")</f>
        <v/>
      </c>
      <c r="G15853" s="42" t="str">
        <f>IFERROR(__xludf.DUMMYFUNCTION("""COMPUTED_VALUE"""),"")</f>
        <v/>
      </c>
      <c r="H15853" s="42">
        <f t="shared" si="1"/>
        <v>3345</v>
      </c>
    </row>
    <row r="15854" ht="22.5" customHeight="1">
      <c r="B15854" s="42" t="str">
        <f>IFERROR(__xludf.DUMMYFUNCTION("""COMPUTED_VALUE"""),"")</f>
        <v/>
      </c>
      <c r="C15854" s="42" t="str">
        <f>IFERROR(__xludf.DUMMYFUNCTION("""COMPUTED_VALUE"""),"")</f>
        <v/>
      </c>
      <c r="D15854" s="42"/>
      <c r="E15854" s="42"/>
      <c r="F15854" s="48" t="str">
        <f>IFERROR(__xludf.DUMMYFUNCTION("""COMPUTED_VALUE"""),"")</f>
        <v/>
      </c>
      <c r="G15854" s="42" t="str">
        <f>IFERROR(__xludf.DUMMYFUNCTION("""COMPUTED_VALUE"""),"")</f>
        <v/>
      </c>
      <c r="H15854" s="42">
        <f t="shared" si="1"/>
        <v>3345</v>
      </c>
    </row>
    <row r="15855" ht="22.5" customHeight="1">
      <c r="B15855" s="42" t="str">
        <f>IFERROR(__xludf.DUMMYFUNCTION("""COMPUTED_VALUE"""),"")</f>
        <v/>
      </c>
      <c r="C15855" s="42" t="str">
        <f>IFERROR(__xludf.DUMMYFUNCTION("""COMPUTED_VALUE"""),"")</f>
        <v/>
      </c>
      <c r="D15855" s="42"/>
      <c r="E15855" s="42"/>
      <c r="F15855" s="48" t="str">
        <f>IFERROR(__xludf.DUMMYFUNCTION("""COMPUTED_VALUE"""),"")</f>
        <v/>
      </c>
      <c r="G15855" s="42" t="str">
        <f>IFERROR(__xludf.DUMMYFUNCTION("""COMPUTED_VALUE"""),"")</f>
        <v/>
      </c>
      <c r="H15855" s="42">
        <f t="shared" si="1"/>
        <v>3345</v>
      </c>
    </row>
    <row r="15856" ht="22.5" customHeight="1">
      <c r="B15856" s="42" t="str">
        <f>IFERROR(__xludf.DUMMYFUNCTION("""COMPUTED_VALUE"""),"")</f>
        <v/>
      </c>
      <c r="C15856" s="42" t="str">
        <f>IFERROR(__xludf.DUMMYFUNCTION("""COMPUTED_VALUE"""),"")</f>
        <v/>
      </c>
      <c r="D15856" s="42"/>
      <c r="E15856" s="42"/>
      <c r="F15856" s="48" t="str">
        <f>IFERROR(__xludf.DUMMYFUNCTION("""COMPUTED_VALUE"""),"")</f>
        <v/>
      </c>
      <c r="G15856" s="42" t="str">
        <f>IFERROR(__xludf.DUMMYFUNCTION("""COMPUTED_VALUE"""),"")</f>
        <v/>
      </c>
      <c r="H15856" s="42">
        <f t="shared" si="1"/>
        <v>3345</v>
      </c>
    </row>
    <row r="15857" ht="22.5" customHeight="1">
      <c r="B15857" s="42" t="str">
        <f>IFERROR(__xludf.DUMMYFUNCTION("""COMPUTED_VALUE"""),"")</f>
        <v/>
      </c>
      <c r="C15857" s="42" t="str">
        <f>IFERROR(__xludf.DUMMYFUNCTION("""COMPUTED_VALUE"""),"")</f>
        <v/>
      </c>
      <c r="D15857" s="42"/>
      <c r="E15857" s="42"/>
      <c r="F15857" s="48" t="str">
        <f>IFERROR(__xludf.DUMMYFUNCTION("""COMPUTED_VALUE"""),"")</f>
        <v/>
      </c>
      <c r="G15857" s="42" t="str">
        <f>IFERROR(__xludf.DUMMYFUNCTION("""COMPUTED_VALUE"""),"")</f>
        <v/>
      </c>
      <c r="H15857" s="42">
        <f t="shared" si="1"/>
        <v>3345</v>
      </c>
    </row>
    <row r="15858" ht="22.5" customHeight="1">
      <c r="B15858" s="42" t="str">
        <f>IFERROR(__xludf.DUMMYFUNCTION("""COMPUTED_VALUE"""),"")</f>
        <v/>
      </c>
      <c r="C15858" s="42" t="str">
        <f>IFERROR(__xludf.DUMMYFUNCTION("""COMPUTED_VALUE"""),"")</f>
        <v/>
      </c>
      <c r="D15858" s="42"/>
      <c r="E15858" s="42"/>
      <c r="F15858" s="48" t="str">
        <f>IFERROR(__xludf.DUMMYFUNCTION("""COMPUTED_VALUE"""),"")</f>
        <v/>
      </c>
      <c r="G15858" s="42" t="str">
        <f>IFERROR(__xludf.DUMMYFUNCTION("""COMPUTED_VALUE"""),"")</f>
        <v/>
      </c>
      <c r="H15858" s="42">
        <f t="shared" si="1"/>
        <v>3345</v>
      </c>
    </row>
    <row r="15859" ht="22.5" customHeight="1">
      <c r="B15859" s="42" t="str">
        <f>IFERROR(__xludf.DUMMYFUNCTION("""COMPUTED_VALUE"""),"")</f>
        <v/>
      </c>
      <c r="C15859" s="42" t="str">
        <f>IFERROR(__xludf.DUMMYFUNCTION("""COMPUTED_VALUE"""),"")</f>
        <v/>
      </c>
      <c r="D15859" s="42"/>
      <c r="E15859" s="42"/>
      <c r="F15859" s="48" t="str">
        <f>IFERROR(__xludf.DUMMYFUNCTION("""COMPUTED_VALUE"""),"")</f>
        <v/>
      </c>
      <c r="G15859" s="42" t="str">
        <f>IFERROR(__xludf.DUMMYFUNCTION("""COMPUTED_VALUE"""),"")</f>
        <v/>
      </c>
      <c r="H15859" s="42">
        <f t="shared" si="1"/>
        <v>3345</v>
      </c>
    </row>
    <row r="15860" ht="22.5" customHeight="1">
      <c r="B15860" s="42" t="str">
        <f>IFERROR(__xludf.DUMMYFUNCTION("""COMPUTED_VALUE"""),"")</f>
        <v/>
      </c>
      <c r="C15860" s="42" t="str">
        <f>IFERROR(__xludf.DUMMYFUNCTION("""COMPUTED_VALUE"""),"")</f>
        <v/>
      </c>
      <c r="D15860" s="42"/>
      <c r="E15860" s="42"/>
      <c r="F15860" s="48" t="str">
        <f>IFERROR(__xludf.DUMMYFUNCTION("""COMPUTED_VALUE"""),"")</f>
        <v/>
      </c>
      <c r="G15860" s="42" t="str">
        <f>IFERROR(__xludf.DUMMYFUNCTION("""COMPUTED_VALUE"""),"")</f>
        <v/>
      </c>
      <c r="H15860" s="42">
        <f t="shared" si="1"/>
        <v>3345</v>
      </c>
    </row>
    <row r="15861" ht="22.5" customHeight="1">
      <c r="B15861" s="42" t="str">
        <f>IFERROR(__xludf.DUMMYFUNCTION("""COMPUTED_VALUE"""),"")</f>
        <v/>
      </c>
      <c r="C15861" s="42" t="str">
        <f>IFERROR(__xludf.DUMMYFUNCTION("""COMPUTED_VALUE"""),"")</f>
        <v/>
      </c>
      <c r="D15861" s="42"/>
      <c r="E15861" s="42"/>
      <c r="F15861" s="48" t="str">
        <f>IFERROR(__xludf.DUMMYFUNCTION("""COMPUTED_VALUE"""),"")</f>
        <v/>
      </c>
      <c r="G15861" s="42" t="str">
        <f>IFERROR(__xludf.DUMMYFUNCTION("""COMPUTED_VALUE"""),"")</f>
        <v/>
      </c>
      <c r="H15861" s="42">
        <f t="shared" si="1"/>
        <v>3345</v>
      </c>
    </row>
    <row r="15862" ht="22.5" customHeight="1">
      <c r="B15862" s="42" t="str">
        <f>IFERROR(__xludf.DUMMYFUNCTION("""COMPUTED_VALUE"""),"")</f>
        <v/>
      </c>
      <c r="C15862" s="42" t="str">
        <f>IFERROR(__xludf.DUMMYFUNCTION("""COMPUTED_VALUE"""),"")</f>
        <v/>
      </c>
      <c r="D15862" s="42"/>
      <c r="E15862" s="42"/>
      <c r="F15862" s="48" t="str">
        <f>IFERROR(__xludf.DUMMYFUNCTION("""COMPUTED_VALUE"""),"")</f>
        <v/>
      </c>
      <c r="G15862" s="42" t="str">
        <f>IFERROR(__xludf.DUMMYFUNCTION("""COMPUTED_VALUE"""),"")</f>
        <v/>
      </c>
      <c r="H15862" s="42">
        <f t="shared" si="1"/>
        <v>3345</v>
      </c>
    </row>
    <row r="15863" ht="22.5" customHeight="1">
      <c r="B15863" s="42" t="str">
        <f>IFERROR(__xludf.DUMMYFUNCTION("""COMPUTED_VALUE"""),"")</f>
        <v/>
      </c>
      <c r="C15863" s="42" t="str">
        <f>IFERROR(__xludf.DUMMYFUNCTION("""COMPUTED_VALUE"""),"")</f>
        <v/>
      </c>
      <c r="D15863" s="42"/>
      <c r="E15863" s="42"/>
      <c r="F15863" s="48" t="str">
        <f>IFERROR(__xludf.DUMMYFUNCTION("""COMPUTED_VALUE"""),"")</f>
        <v/>
      </c>
      <c r="G15863" s="42" t="str">
        <f>IFERROR(__xludf.DUMMYFUNCTION("""COMPUTED_VALUE"""),"")</f>
        <v/>
      </c>
      <c r="H15863" s="42">
        <f t="shared" si="1"/>
        <v>3345</v>
      </c>
    </row>
    <row r="15864" ht="22.5" customHeight="1">
      <c r="B15864" s="42" t="str">
        <f>IFERROR(__xludf.DUMMYFUNCTION("""COMPUTED_VALUE"""),"")</f>
        <v/>
      </c>
      <c r="C15864" s="42" t="str">
        <f>IFERROR(__xludf.DUMMYFUNCTION("""COMPUTED_VALUE"""),"")</f>
        <v/>
      </c>
      <c r="D15864" s="42"/>
      <c r="E15864" s="42"/>
      <c r="F15864" s="48" t="str">
        <f>IFERROR(__xludf.DUMMYFUNCTION("""COMPUTED_VALUE"""),"")</f>
        <v/>
      </c>
      <c r="G15864" s="42" t="str">
        <f>IFERROR(__xludf.DUMMYFUNCTION("""COMPUTED_VALUE"""),"")</f>
        <v/>
      </c>
      <c r="H15864" s="42">
        <f t="shared" si="1"/>
        <v>3345</v>
      </c>
    </row>
    <row r="15865" ht="22.5" customHeight="1">
      <c r="B15865" s="42" t="str">
        <f>IFERROR(__xludf.DUMMYFUNCTION("""COMPUTED_VALUE"""),"")</f>
        <v/>
      </c>
      <c r="C15865" s="42" t="str">
        <f>IFERROR(__xludf.DUMMYFUNCTION("""COMPUTED_VALUE"""),"")</f>
        <v/>
      </c>
      <c r="D15865" s="42"/>
      <c r="E15865" s="42"/>
      <c r="F15865" s="48" t="str">
        <f>IFERROR(__xludf.DUMMYFUNCTION("""COMPUTED_VALUE"""),"")</f>
        <v/>
      </c>
      <c r="G15865" s="42" t="str">
        <f>IFERROR(__xludf.DUMMYFUNCTION("""COMPUTED_VALUE"""),"")</f>
        <v/>
      </c>
      <c r="H15865" s="42">
        <f t="shared" si="1"/>
        <v>3345</v>
      </c>
    </row>
    <row r="15866" ht="22.5" customHeight="1">
      <c r="B15866" s="42" t="str">
        <f>IFERROR(__xludf.DUMMYFUNCTION("""COMPUTED_VALUE"""),"")</f>
        <v/>
      </c>
      <c r="C15866" s="42" t="str">
        <f>IFERROR(__xludf.DUMMYFUNCTION("""COMPUTED_VALUE"""),"")</f>
        <v/>
      </c>
      <c r="D15866" s="42"/>
      <c r="E15866" s="42"/>
      <c r="F15866" s="48" t="str">
        <f>IFERROR(__xludf.DUMMYFUNCTION("""COMPUTED_VALUE"""),"")</f>
        <v/>
      </c>
      <c r="G15866" s="42" t="str">
        <f>IFERROR(__xludf.DUMMYFUNCTION("""COMPUTED_VALUE"""),"")</f>
        <v/>
      </c>
      <c r="H15866" s="42">
        <f t="shared" si="1"/>
        <v>3345</v>
      </c>
    </row>
    <row r="15867" ht="22.5" customHeight="1">
      <c r="B15867" s="42" t="str">
        <f>IFERROR(__xludf.DUMMYFUNCTION("""COMPUTED_VALUE"""),"")</f>
        <v/>
      </c>
      <c r="C15867" s="42" t="str">
        <f>IFERROR(__xludf.DUMMYFUNCTION("""COMPUTED_VALUE"""),"")</f>
        <v/>
      </c>
      <c r="D15867" s="42"/>
      <c r="E15867" s="42"/>
      <c r="F15867" s="48" t="str">
        <f>IFERROR(__xludf.DUMMYFUNCTION("""COMPUTED_VALUE"""),"")</f>
        <v/>
      </c>
      <c r="G15867" s="42" t="str">
        <f>IFERROR(__xludf.DUMMYFUNCTION("""COMPUTED_VALUE"""),"")</f>
        <v/>
      </c>
      <c r="H15867" s="42">
        <f t="shared" si="1"/>
        <v>3345</v>
      </c>
    </row>
    <row r="15868" ht="22.5" customHeight="1">
      <c r="B15868" s="42" t="str">
        <f>IFERROR(__xludf.DUMMYFUNCTION("""COMPUTED_VALUE"""),"")</f>
        <v/>
      </c>
      <c r="C15868" s="42" t="str">
        <f>IFERROR(__xludf.DUMMYFUNCTION("""COMPUTED_VALUE"""),"")</f>
        <v/>
      </c>
      <c r="D15868" s="42"/>
      <c r="E15868" s="42"/>
      <c r="F15868" s="48" t="str">
        <f>IFERROR(__xludf.DUMMYFUNCTION("""COMPUTED_VALUE"""),"")</f>
        <v/>
      </c>
      <c r="G15868" s="42" t="str">
        <f>IFERROR(__xludf.DUMMYFUNCTION("""COMPUTED_VALUE"""),"")</f>
        <v/>
      </c>
      <c r="H15868" s="42">
        <f t="shared" si="1"/>
        <v>3345</v>
      </c>
    </row>
    <row r="15869" ht="22.5" customHeight="1">
      <c r="B15869" s="42" t="str">
        <f>IFERROR(__xludf.DUMMYFUNCTION("""COMPUTED_VALUE"""),"")</f>
        <v/>
      </c>
      <c r="C15869" s="42" t="str">
        <f>IFERROR(__xludf.DUMMYFUNCTION("""COMPUTED_VALUE"""),"")</f>
        <v/>
      </c>
      <c r="D15869" s="42"/>
      <c r="E15869" s="42"/>
      <c r="F15869" s="48" t="str">
        <f>IFERROR(__xludf.DUMMYFUNCTION("""COMPUTED_VALUE"""),"")</f>
        <v/>
      </c>
      <c r="G15869" s="42" t="str">
        <f>IFERROR(__xludf.DUMMYFUNCTION("""COMPUTED_VALUE"""),"")</f>
        <v/>
      </c>
      <c r="H15869" s="42">
        <f t="shared" si="1"/>
        <v>3345</v>
      </c>
    </row>
    <row r="15870" ht="22.5" customHeight="1">
      <c r="B15870" s="42" t="str">
        <f>IFERROR(__xludf.DUMMYFUNCTION("""COMPUTED_VALUE"""),"")</f>
        <v/>
      </c>
      <c r="C15870" s="42" t="str">
        <f>IFERROR(__xludf.DUMMYFUNCTION("""COMPUTED_VALUE"""),"")</f>
        <v/>
      </c>
      <c r="D15870" s="42"/>
      <c r="E15870" s="42"/>
      <c r="F15870" s="48" t="str">
        <f>IFERROR(__xludf.DUMMYFUNCTION("""COMPUTED_VALUE"""),"")</f>
        <v/>
      </c>
      <c r="G15870" s="42" t="str">
        <f>IFERROR(__xludf.DUMMYFUNCTION("""COMPUTED_VALUE"""),"")</f>
        <v/>
      </c>
      <c r="H15870" s="42">
        <f t="shared" si="1"/>
        <v>3345</v>
      </c>
    </row>
    <row r="15871" ht="22.5" customHeight="1">
      <c r="B15871" s="42" t="str">
        <f>IFERROR(__xludf.DUMMYFUNCTION("""COMPUTED_VALUE"""),"")</f>
        <v/>
      </c>
      <c r="C15871" s="42" t="str">
        <f>IFERROR(__xludf.DUMMYFUNCTION("""COMPUTED_VALUE"""),"")</f>
        <v/>
      </c>
      <c r="D15871" s="42"/>
      <c r="E15871" s="42"/>
      <c r="F15871" s="48" t="str">
        <f>IFERROR(__xludf.DUMMYFUNCTION("""COMPUTED_VALUE"""),"")</f>
        <v/>
      </c>
      <c r="G15871" s="42" t="str">
        <f>IFERROR(__xludf.DUMMYFUNCTION("""COMPUTED_VALUE"""),"")</f>
        <v/>
      </c>
      <c r="H15871" s="42">
        <f t="shared" si="1"/>
        <v>3345</v>
      </c>
    </row>
    <row r="15872" ht="22.5" customHeight="1">
      <c r="B15872" s="42" t="str">
        <f>IFERROR(__xludf.DUMMYFUNCTION("""COMPUTED_VALUE"""),"")</f>
        <v/>
      </c>
      <c r="C15872" s="42" t="str">
        <f>IFERROR(__xludf.DUMMYFUNCTION("""COMPUTED_VALUE"""),"")</f>
        <v/>
      </c>
      <c r="D15872" s="42"/>
      <c r="E15872" s="42"/>
      <c r="F15872" s="48" t="str">
        <f>IFERROR(__xludf.DUMMYFUNCTION("""COMPUTED_VALUE"""),"")</f>
        <v/>
      </c>
      <c r="G15872" s="42" t="str">
        <f>IFERROR(__xludf.DUMMYFUNCTION("""COMPUTED_VALUE"""),"")</f>
        <v/>
      </c>
      <c r="H15872" s="42">
        <f t="shared" si="1"/>
        <v>3345</v>
      </c>
    </row>
    <row r="15873" ht="22.5" customHeight="1">
      <c r="B15873" s="42" t="str">
        <f>IFERROR(__xludf.DUMMYFUNCTION("""COMPUTED_VALUE"""),"")</f>
        <v/>
      </c>
      <c r="C15873" s="42" t="str">
        <f>IFERROR(__xludf.DUMMYFUNCTION("""COMPUTED_VALUE"""),"")</f>
        <v/>
      </c>
      <c r="D15873" s="42"/>
      <c r="E15873" s="42"/>
      <c r="F15873" s="48" t="str">
        <f>IFERROR(__xludf.DUMMYFUNCTION("""COMPUTED_VALUE"""),"")</f>
        <v/>
      </c>
      <c r="G15873" s="42" t="str">
        <f>IFERROR(__xludf.DUMMYFUNCTION("""COMPUTED_VALUE"""),"")</f>
        <v/>
      </c>
      <c r="H15873" s="42">
        <f t="shared" si="1"/>
        <v>3345</v>
      </c>
    </row>
    <row r="15874" ht="22.5" customHeight="1">
      <c r="B15874" s="42" t="str">
        <f>IFERROR(__xludf.DUMMYFUNCTION("""COMPUTED_VALUE"""),"")</f>
        <v/>
      </c>
      <c r="C15874" s="42" t="str">
        <f>IFERROR(__xludf.DUMMYFUNCTION("""COMPUTED_VALUE"""),"")</f>
        <v/>
      </c>
      <c r="D15874" s="42"/>
      <c r="E15874" s="42"/>
      <c r="F15874" s="48" t="str">
        <f>IFERROR(__xludf.DUMMYFUNCTION("""COMPUTED_VALUE"""),"")</f>
        <v/>
      </c>
      <c r="G15874" s="42" t="str">
        <f>IFERROR(__xludf.DUMMYFUNCTION("""COMPUTED_VALUE"""),"")</f>
        <v/>
      </c>
      <c r="H15874" s="42">
        <f t="shared" si="1"/>
        <v>3345</v>
      </c>
    </row>
    <row r="15875" ht="22.5" customHeight="1">
      <c r="B15875" s="42" t="str">
        <f>IFERROR(__xludf.DUMMYFUNCTION("""COMPUTED_VALUE"""),"")</f>
        <v/>
      </c>
      <c r="C15875" s="42" t="str">
        <f>IFERROR(__xludf.DUMMYFUNCTION("""COMPUTED_VALUE"""),"")</f>
        <v/>
      </c>
      <c r="D15875" s="42"/>
      <c r="E15875" s="42"/>
      <c r="F15875" s="48" t="str">
        <f>IFERROR(__xludf.DUMMYFUNCTION("""COMPUTED_VALUE"""),"")</f>
        <v/>
      </c>
      <c r="G15875" s="42" t="str">
        <f>IFERROR(__xludf.DUMMYFUNCTION("""COMPUTED_VALUE"""),"")</f>
        <v/>
      </c>
      <c r="H15875" s="42">
        <f t="shared" si="1"/>
        <v>3345</v>
      </c>
    </row>
    <row r="15876" ht="22.5" customHeight="1">
      <c r="B15876" s="42" t="str">
        <f>IFERROR(__xludf.DUMMYFUNCTION("""COMPUTED_VALUE"""),"")</f>
        <v/>
      </c>
      <c r="C15876" s="42" t="str">
        <f>IFERROR(__xludf.DUMMYFUNCTION("""COMPUTED_VALUE"""),"")</f>
        <v/>
      </c>
      <c r="D15876" s="42"/>
      <c r="E15876" s="42"/>
      <c r="F15876" s="48" t="str">
        <f>IFERROR(__xludf.DUMMYFUNCTION("""COMPUTED_VALUE"""),"")</f>
        <v/>
      </c>
      <c r="G15876" s="42" t="str">
        <f>IFERROR(__xludf.DUMMYFUNCTION("""COMPUTED_VALUE"""),"")</f>
        <v/>
      </c>
      <c r="H15876" s="42">
        <f t="shared" si="1"/>
        <v>3345</v>
      </c>
    </row>
    <row r="15877" ht="22.5" customHeight="1">
      <c r="B15877" s="42" t="str">
        <f>IFERROR(__xludf.DUMMYFUNCTION("""COMPUTED_VALUE"""),"")</f>
        <v/>
      </c>
      <c r="C15877" s="42" t="str">
        <f>IFERROR(__xludf.DUMMYFUNCTION("""COMPUTED_VALUE"""),"")</f>
        <v/>
      </c>
      <c r="D15877" s="42"/>
      <c r="E15877" s="42"/>
      <c r="F15877" s="48" t="str">
        <f>IFERROR(__xludf.DUMMYFUNCTION("""COMPUTED_VALUE"""),"")</f>
        <v/>
      </c>
      <c r="G15877" s="42" t="str">
        <f>IFERROR(__xludf.DUMMYFUNCTION("""COMPUTED_VALUE"""),"")</f>
        <v/>
      </c>
      <c r="H15877" s="42">
        <f t="shared" si="1"/>
        <v>3345</v>
      </c>
    </row>
    <row r="15878" ht="22.5" customHeight="1">
      <c r="B15878" s="42" t="str">
        <f>IFERROR(__xludf.DUMMYFUNCTION("""COMPUTED_VALUE"""),"")</f>
        <v/>
      </c>
      <c r="C15878" s="42" t="str">
        <f>IFERROR(__xludf.DUMMYFUNCTION("""COMPUTED_VALUE"""),"")</f>
        <v/>
      </c>
      <c r="D15878" s="42"/>
      <c r="E15878" s="42"/>
      <c r="F15878" s="48" t="str">
        <f>IFERROR(__xludf.DUMMYFUNCTION("""COMPUTED_VALUE"""),"")</f>
        <v/>
      </c>
      <c r="G15878" s="42" t="str">
        <f>IFERROR(__xludf.DUMMYFUNCTION("""COMPUTED_VALUE"""),"")</f>
        <v/>
      </c>
      <c r="H15878" s="42">
        <f t="shared" si="1"/>
        <v>3345</v>
      </c>
    </row>
    <row r="15879" ht="22.5" customHeight="1">
      <c r="B15879" s="42" t="str">
        <f>IFERROR(__xludf.DUMMYFUNCTION("""COMPUTED_VALUE"""),"")</f>
        <v/>
      </c>
      <c r="C15879" s="42" t="str">
        <f>IFERROR(__xludf.DUMMYFUNCTION("""COMPUTED_VALUE"""),"")</f>
        <v/>
      </c>
      <c r="D15879" s="42"/>
      <c r="E15879" s="42"/>
      <c r="F15879" s="48" t="str">
        <f>IFERROR(__xludf.DUMMYFUNCTION("""COMPUTED_VALUE"""),"")</f>
        <v/>
      </c>
      <c r="G15879" s="42" t="str">
        <f>IFERROR(__xludf.DUMMYFUNCTION("""COMPUTED_VALUE"""),"")</f>
        <v/>
      </c>
      <c r="H15879" s="42">
        <f t="shared" si="1"/>
        <v>3345</v>
      </c>
    </row>
    <row r="15880" ht="22.5" customHeight="1">
      <c r="B15880" s="42" t="str">
        <f>IFERROR(__xludf.DUMMYFUNCTION("""COMPUTED_VALUE"""),"")</f>
        <v/>
      </c>
      <c r="C15880" s="42" t="str">
        <f>IFERROR(__xludf.DUMMYFUNCTION("""COMPUTED_VALUE"""),"")</f>
        <v/>
      </c>
      <c r="D15880" s="42"/>
      <c r="E15880" s="42"/>
      <c r="F15880" s="48" t="str">
        <f>IFERROR(__xludf.DUMMYFUNCTION("""COMPUTED_VALUE"""),"")</f>
        <v/>
      </c>
      <c r="G15880" s="42" t="str">
        <f>IFERROR(__xludf.DUMMYFUNCTION("""COMPUTED_VALUE"""),"")</f>
        <v/>
      </c>
      <c r="H15880" s="42">
        <f t="shared" si="1"/>
        <v>3345</v>
      </c>
    </row>
    <row r="15881" ht="22.5" customHeight="1">
      <c r="B15881" s="42" t="str">
        <f>IFERROR(__xludf.DUMMYFUNCTION("""COMPUTED_VALUE"""),"")</f>
        <v/>
      </c>
      <c r="C15881" s="42" t="str">
        <f>IFERROR(__xludf.DUMMYFUNCTION("""COMPUTED_VALUE"""),"")</f>
        <v/>
      </c>
      <c r="D15881" s="42"/>
      <c r="E15881" s="42"/>
      <c r="F15881" s="48" t="str">
        <f>IFERROR(__xludf.DUMMYFUNCTION("""COMPUTED_VALUE"""),"")</f>
        <v/>
      </c>
      <c r="G15881" s="42" t="str">
        <f>IFERROR(__xludf.DUMMYFUNCTION("""COMPUTED_VALUE"""),"")</f>
        <v/>
      </c>
      <c r="H15881" s="42">
        <f t="shared" si="1"/>
        <v>3345</v>
      </c>
    </row>
    <row r="15882" ht="22.5" customHeight="1">
      <c r="B15882" s="42" t="str">
        <f>IFERROR(__xludf.DUMMYFUNCTION("""COMPUTED_VALUE"""),"")</f>
        <v/>
      </c>
      <c r="C15882" s="42" t="str">
        <f>IFERROR(__xludf.DUMMYFUNCTION("""COMPUTED_VALUE"""),"")</f>
        <v/>
      </c>
      <c r="D15882" s="42"/>
      <c r="E15882" s="42"/>
      <c r="F15882" s="48" t="str">
        <f>IFERROR(__xludf.DUMMYFUNCTION("""COMPUTED_VALUE"""),"")</f>
        <v/>
      </c>
      <c r="G15882" s="42" t="str">
        <f>IFERROR(__xludf.DUMMYFUNCTION("""COMPUTED_VALUE"""),"")</f>
        <v/>
      </c>
      <c r="H15882" s="42">
        <f t="shared" si="1"/>
        <v>3345</v>
      </c>
    </row>
    <row r="15883" ht="22.5" customHeight="1">
      <c r="B15883" s="42" t="str">
        <f>IFERROR(__xludf.DUMMYFUNCTION("""COMPUTED_VALUE"""),"")</f>
        <v/>
      </c>
      <c r="C15883" s="42" t="str">
        <f>IFERROR(__xludf.DUMMYFUNCTION("""COMPUTED_VALUE"""),"")</f>
        <v/>
      </c>
      <c r="D15883" s="42"/>
      <c r="E15883" s="42"/>
      <c r="F15883" s="48" t="str">
        <f>IFERROR(__xludf.DUMMYFUNCTION("""COMPUTED_VALUE"""),"")</f>
        <v/>
      </c>
      <c r="G15883" s="42" t="str">
        <f>IFERROR(__xludf.DUMMYFUNCTION("""COMPUTED_VALUE"""),"")</f>
        <v/>
      </c>
      <c r="H15883" s="42">
        <f t="shared" si="1"/>
        <v>3345</v>
      </c>
    </row>
    <row r="15884" ht="22.5" customHeight="1">
      <c r="B15884" s="42" t="str">
        <f>IFERROR(__xludf.DUMMYFUNCTION("""COMPUTED_VALUE"""),"")</f>
        <v/>
      </c>
      <c r="C15884" s="42" t="str">
        <f>IFERROR(__xludf.DUMMYFUNCTION("""COMPUTED_VALUE"""),"")</f>
        <v/>
      </c>
      <c r="D15884" s="42"/>
      <c r="E15884" s="42"/>
      <c r="F15884" s="48" t="str">
        <f>IFERROR(__xludf.DUMMYFUNCTION("""COMPUTED_VALUE"""),"")</f>
        <v/>
      </c>
      <c r="G15884" s="42" t="str">
        <f>IFERROR(__xludf.DUMMYFUNCTION("""COMPUTED_VALUE"""),"")</f>
        <v/>
      </c>
      <c r="H15884" s="42">
        <f t="shared" si="1"/>
        <v>3345</v>
      </c>
    </row>
    <row r="15885" ht="22.5" customHeight="1">
      <c r="B15885" s="42" t="str">
        <f>IFERROR(__xludf.DUMMYFUNCTION("""COMPUTED_VALUE"""),"")</f>
        <v/>
      </c>
      <c r="C15885" s="42" t="str">
        <f>IFERROR(__xludf.DUMMYFUNCTION("""COMPUTED_VALUE"""),"")</f>
        <v/>
      </c>
      <c r="D15885" s="42"/>
      <c r="E15885" s="42"/>
      <c r="F15885" s="48" t="str">
        <f>IFERROR(__xludf.DUMMYFUNCTION("""COMPUTED_VALUE"""),"")</f>
        <v/>
      </c>
      <c r="G15885" s="42" t="str">
        <f>IFERROR(__xludf.DUMMYFUNCTION("""COMPUTED_VALUE"""),"")</f>
        <v/>
      </c>
      <c r="H15885" s="42">
        <f t="shared" si="1"/>
        <v>3345</v>
      </c>
    </row>
    <row r="15886" ht="22.5" customHeight="1">
      <c r="B15886" s="42" t="str">
        <f>IFERROR(__xludf.DUMMYFUNCTION("""COMPUTED_VALUE"""),"")</f>
        <v/>
      </c>
      <c r="C15886" s="42" t="str">
        <f>IFERROR(__xludf.DUMMYFUNCTION("""COMPUTED_VALUE"""),"")</f>
        <v/>
      </c>
      <c r="D15886" s="42"/>
      <c r="E15886" s="42"/>
      <c r="F15886" s="48" t="str">
        <f>IFERROR(__xludf.DUMMYFUNCTION("""COMPUTED_VALUE"""),"")</f>
        <v/>
      </c>
      <c r="G15886" s="42" t="str">
        <f>IFERROR(__xludf.DUMMYFUNCTION("""COMPUTED_VALUE"""),"")</f>
        <v/>
      </c>
      <c r="H15886" s="42">
        <f t="shared" si="1"/>
        <v>3345</v>
      </c>
    </row>
    <row r="15887" ht="22.5" customHeight="1">
      <c r="B15887" s="42" t="str">
        <f>IFERROR(__xludf.DUMMYFUNCTION("""COMPUTED_VALUE"""),"")</f>
        <v/>
      </c>
      <c r="C15887" s="42" t="str">
        <f>IFERROR(__xludf.DUMMYFUNCTION("""COMPUTED_VALUE"""),"")</f>
        <v/>
      </c>
      <c r="D15887" s="42"/>
      <c r="E15887" s="42"/>
      <c r="F15887" s="48" t="str">
        <f>IFERROR(__xludf.DUMMYFUNCTION("""COMPUTED_VALUE"""),"")</f>
        <v/>
      </c>
      <c r="G15887" s="42" t="str">
        <f>IFERROR(__xludf.DUMMYFUNCTION("""COMPUTED_VALUE"""),"")</f>
        <v/>
      </c>
      <c r="H15887" s="42">
        <f t="shared" si="1"/>
        <v>3345</v>
      </c>
    </row>
    <row r="15888" ht="22.5" customHeight="1">
      <c r="B15888" s="42" t="str">
        <f>IFERROR(__xludf.DUMMYFUNCTION("""COMPUTED_VALUE"""),"")</f>
        <v/>
      </c>
      <c r="C15888" s="42" t="str">
        <f>IFERROR(__xludf.DUMMYFUNCTION("""COMPUTED_VALUE"""),"")</f>
        <v/>
      </c>
      <c r="D15888" s="42"/>
      <c r="E15888" s="42"/>
      <c r="F15888" s="48" t="str">
        <f>IFERROR(__xludf.DUMMYFUNCTION("""COMPUTED_VALUE"""),"")</f>
        <v/>
      </c>
      <c r="G15888" s="42" t="str">
        <f>IFERROR(__xludf.DUMMYFUNCTION("""COMPUTED_VALUE"""),"")</f>
        <v/>
      </c>
      <c r="H15888" s="42">
        <f t="shared" si="1"/>
        <v>3345</v>
      </c>
    </row>
    <row r="15889" ht="22.5" customHeight="1">
      <c r="B15889" s="42" t="str">
        <f>IFERROR(__xludf.DUMMYFUNCTION("""COMPUTED_VALUE"""),"")</f>
        <v/>
      </c>
      <c r="C15889" s="42" t="str">
        <f>IFERROR(__xludf.DUMMYFUNCTION("""COMPUTED_VALUE"""),"")</f>
        <v/>
      </c>
      <c r="D15889" s="42"/>
      <c r="E15889" s="42"/>
      <c r="F15889" s="48" t="str">
        <f>IFERROR(__xludf.DUMMYFUNCTION("""COMPUTED_VALUE"""),"")</f>
        <v/>
      </c>
      <c r="G15889" s="42" t="str">
        <f>IFERROR(__xludf.DUMMYFUNCTION("""COMPUTED_VALUE"""),"")</f>
        <v/>
      </c>
      <c r="H15889" s="42">
        <f t="shared" si="1"/>
        <v>3345</v>
      </c>
    </row>
    <row r="15890" ht="22.5" customHeight="1">
      <c r="B15890" s="42" t="str">
        <f>IFERROR(__xludf.DUMMYFUNCTION("""COMPUTED_VALUE"""),"")</f>
        <v/>
      </c>
      <c r="C15890" s="42" t="str">
        <f>IFERROR(__xludf.DUMMYFUNCTION("""COMPUTED_VALUE"""),"")</f>
        <v/>
      </c>
      <c r="D15890" s="42"/>
      <c r="E15890" s="42"/>
      <c r="F15890" s="48" t="str">
        <f>IFERROR(__xludf.DUMMYFUNCTION("""COMPUTED_VALUE"""),"")</f>
        <v/>
      </c>
      <c r="G15890" s="42" t="str">
        <f>IFERROR(__xludf.DUMMYFUNCTION("""COMPUTED_VALUE"""),"")</f>
        <v/>
      </c>
      <c r="H15890" s="42">
        <f t="shared" si="1"/>
        <v>3345</v>
      </c>
    </row>
    <row r="15891" ht="22.5" customHeight="1">
      <c r="B15891" s="42" t="str">
        <f>IFERROR(__xludf.DUMMYFUNCTION("""COMPUTED_VALUE"""),"")</f>
        <v/>
      </c>
      <c r="C15891" s="42" t="str">
        <f>IFERROR(__xludf.DUMMYFUNCTION("""COMPUTED_VALUE"""),"")</f>
        <v/>
      </c>
      <c r="D15891" s="42"/>
      <c r="E15891" s="42"/>
      <c r="F15891" s="48" t="str">
        <f>IFERROR(__xludf.DUMMYFUNCTION("""COMPUTED_VALUE"""),"")</f>
        <v/>
      </c>
      <c r="G15891" s="42" t="str">
        <f>IFERROR(__xludf.DUMMYFUNCTION("""COMPUTED_VALUE"""),"")</f>
        <v/>
      </c>
      <c r="H15891" s="42">
        <f t="shared" si="1"/>
        <v>3345</v>
      </c>
    </row>
    <row r="15892" ht="22.5" customHeight="1">
      <c r="B15892" s="42" t="str">
        <f>IFERROR(__xludf.DUMMYFUNCTION("""COMPUTED_VALUE"""),"")</f>
        <v/>
      </c>
      <c r="C15892" s="42" t="str">
        <f>IFERROR(__xludf.DUMMYFUNCTION("""COMPUTED_VALUE"""),"")</f>
        <v/>
      </c>
      <c r="D15892" s="42"/>
      <c r="E15892" s="42"/>
      <c r="F15892" s="48" t="str">
        <f>IFERROR(__xludf.DUMMYFUNCTION("""COMPUTED_VALUE"""),"")</f>
        <v/>
      </c>
      <c r="G15892" s="42" t="str">
        <f>IFERROR(__xludf.DUMMYFUNCTION("""COMPUTED_VALUE"""),"")</f>
        <v/>
      </c>
      <c r="H15892" s="42">
        <f t="shared" si="1"/>
        <v>3345</v>
      </c>
    </row>
    <row r="15893" ht="22.5" customHeight="1">
      <c r="B15893" s="42" t="str">
        <f>IFERROR(__xludf.DUMMYFUNCTION("""COMPUTED_VALUE"""),"")</f>
        <v/>
      </c>
      <c r="C15893" s="42" t="str">
        <f>IFERROR(__xludf.DUMMYFUNCTION("""COMPUTED_VALUE"""),"")</f>
        <v/>
      </c>
      <c r="D15893" s="42"/>
      <c r="E15893" s="42"/>
      <c r="F15893" s="48" t="str">
        <f>IFERROR(__xludf.DUMMYFUNCTION("""COMPUTED_VALUE"""),"")</f>
        <v/>
      </c>
      <c r="G15893" s="42" t="str">
        <f>IFERROR(__xludf.DUMMYFUNCTION("""COMPUTED_VALUE"""),"")</f>
        <v/>
      </c>
      <c r="H15893" s="42">
        <f t="shared" si="1"/>
        <v>3345</v>
      </c>
    </row>
    <row r="15894" ht="22.5" customHeight="1">
      <c r="B15894" s="42" t="str">
        <f>IFERROR(__xludf.DUMMYFUNCTION("""COMPUTED_VALUE"""),"")</f>
        <v/>
      </c>
      <c r="C15894" s="42" t="str">
        <f>IFERROR(__xludf.DUMMYFUNCTION("""COMPUTED_VALUE"""),"")</f>
        <v/>
      </c>
      <c r="D15894" s="42"/>
      <c r="E15894" s="42"/>
      <c r="F15894" s="48" t="str">
        <f>IFERROR(__xludf.DUMMYFUNCTION("""COMPUTED_VALUE"""),"")</f>
        <v/>
      </c>
      <c r="G15894" s="42" t="str">
        <f>IFERROR(__xludf.DUMMYFUNCTION("""COMPUTED_VALUE"""),"")</f>
        <v/>
      </c>
      <c r="H15894" s="42">
        <f t="shared" si="1"/>
        <v>3345</v>
      </c>
    </row>
    <row r="15895" ht="22.5" customHeight="1">
      <c r="B15895" s="42" t="str">
        <f>IFERROR(__xludf.DUMMYFUNCTION("""COMPUTED_VALUE"""),"")</f>
        <v/>
      </c>
      <c r="C15895" s="42" t="str">
        <f>IFERROR(__xludf.DUMMYFUNCTION("""COMPUTED_VALUE"""),"")</f>
        <v/>
      </c>
      <c r="D15895" s="42"/>
      <c r="E15895" s="42"/>
      <c r="F15895" s="48" t="str">
        <f>IFERROR(__xludf.DUMMYFUNCTION("""COMPUTED_VALUE"""),"")</f>
        <v/>
      </c>
      <c r="G15895" s="42" t="str">
        <f>IFERROR(__xludf.DUMMYFUNCTION("""COMPUTED_VALUE"""),"")</f>
        <v/>
      </c>
      <c r="H15895" s="42">
        <f t="shared" si="1"/>
        <v>3345</v>
      </c>
    </row>
    <row r="15896" ht="22.5" customHeight="1">
      <c r="B15896" s="42" t="str">
        <f>IFERROR(__xludf.DUMMYFUNCTION("""COMPUTED_VALUE"""),"")</f>
        <v/>
      </c>
      <c r="C15896" s="42" t="str">
        <f>IFERROR(__xludf.DUMMYFUNCTION("""COMPUTED_VALUE"""),"")</f>
        <v/>
      </c>
      <c r="D15896" s="42"/>
      <c r="E15896" s="42"/>
      <c r="F15896" s="48" t="str">
        <f>IFERROR(__xludf.DUMMYFUNCTION("""COMPUTED_VALUE"""),"")</f>
        <v/>
      </c>
      <c r="G15896" s="42" t="str">
        <f>IFERROR(__xludf.DUMMYFUNCTION("""COMPUTED_VALUE"""),"")</f>
        <v/>
      </c>
      <c r="H15896" s="42">
        <f t="shared" si="1"/>
        <v>3345</v>
      </c>
    </row>
    <row r="15897" ht="22.5" customHeight="1">
      <c r="B15897" s="42" t="str">
        <f>IFERROR(__xludf.DUMMYFUNCTION("""COMPUTED_VALUE"""),"")</f>
        <v/>
      </c>
      <c r="C15897" s="42" t="str">
        <f>IFERROR(__xludf.DUMMYFUNCTION("""COMPUTED_VALUE"""),"")</f>
        <v/>
      </c>
      <c r="D15897" s="42"/>
      <c r="E15897" s="42"/>
      <c r="F15897" s="48" t="str">
        <f>IFERROR(__xludf.DUMMYFUNCTION("""COMPUTED_VALUE"""),"")</f>
        <v/>
      </c>
      <c r="G15897" s="42" t="str">
        <f>IFERROR(__xludf.DUMMYFUNCTION("""COMPUTED_VALUE"""),"")</f>
        <v/>
      </c>
      <c r="H15897" s="42">
        <f t="shared" si="1"/>
        <v>3345</v>
      </c>
    </row>
    <row r="15898" ht="22.5" customHeight="1">
      <c r="B15898" s="42" t="str">
        <f>IFERROR(__xludf.DUMMYFUNCTION("""COMPUTED_VALUE"""),"")</f>
        <v/>
      </c>
      <c r="C15898" s="42" t="str">
        <f>IFERROR(__xludf.DUMMYFUNCTION("""COMPUTED_VALUE"""),"")</f>
        <v/>
      </c>
      <c r="D15898" s="42"/>
      <c r="E15898" s="42"/>
      <c r="F15898" s="48" t="str">
        <f>IFERROR(__xludf.DUMMYFUNCTION("""COMPUTED_VALUE"""),"")</f>
        <v/>
      </c>
      <c r="G15898" s="42" t="str">
        <f>IFERROR(__xludf.DUMMYFUNCTION("""COMPUTED_VALUE"""),"")</f>
        <v/>
      </c>
      <c r="H15898" s="42">
        <f t="shared" si="1"/>
        <v>3345</v>
      </c>
    </row>
    <row r="15899" ht="22.5" customHeight="1">
      <c r="B15899" s="42" t="str">
        <f>IFERROR(__xludf.DUMMYFUNCTION("""COMPUTED_VALUE"""),"")</f>
        <v/>
      </c>
      <c r="C15899" s="42" t="str">
        <f>IFERROR(__xludf.DUMMYFUNCTION("""COMPUTED_VALUE"""),"")</f>
        <v/>
      </c>
      <c r="D15899" s="42"/>
      <c r="E15899" s="42"/>
      <c r="F15899" s="48" t="str">
        <f>IFERROR(__xludf.DUMMYFUNCTION("""COMPUTED_VALUE"""),"")</f>
        <v/>
      </c>
      <c r="G15899" s="42" t="str">
        <f>IFERROR(__xludf.DUMMYFUNCTION("""COMPUTED_VALUE"""),"")</f>
        <v/>
      </c>
      <c r="H15899" s="42">
        <f t="shared" si="1"/>
        <v>3345</v>
      </c>
    </row>
    <row r="15900" ht="22.5" customHeight="1">
      <c r="B15900" s="42" t="str">
        <f>IFERROR(__xludf.DUMMYFUNCTION("""COMPUTED_VALUE"""),"")</f>
        <v/>
      </c>
      <c r="C15900" s="42" t="str">
        <f>IFERROR(__xludf.DUMMYFUNCTION("""COMPUTED_VALUE"""),"")</f>
        <v/>
      </c>
      <c r="D15900" s="42"/>
      <c r="E15900" s="42"/>
      <c r="F15900" s="48" t="str">
        <f>IFERROR(__xludf.DUMMYFUNCTION("""COMPUTED_VALUE"""),"")</f>
        <v/>
      </c>
      <c r="G15900" s="42" t="str">
        <f>IFERROR(__xludf.DUMMYFUNCTION("""COMPUTED_VALUE"""),"")</f>
        <v/>
      </c>
      <c r="H15900" s="42">
        <f t="shared" si="1"/>
        <v>3345</v>
      </c>
    </row>
    <row r="15901" ht="22.5" customHeight="1">
      <c r="B15901" s="42" t="str">
        <f>IFERROR(__xludf.DUMMYFUNCTION("""COMPUTED_VALUE"""),"")</f>
        <v/>
      </c>
      <c r="C15901" s="42" t="str">
        <f>IFERROR(__xludf.DUMMYFUNCTION("""COMPUTED_VALUE"""),"")</f>
        <v/>
      </c>
      <c r="D15901" s="42"/>
      <c r="E15901" s="42"/>
      <c r="F15901" s="48" t="str">
        <f>IFERROR(__xludf.DUMMYFUNCTION("""COMPUTED_VALUE"""),"")</f>
        <v/>
      </c>
      <c r="G15901" s="42" t="str">
        <f>IFERROR(__xludf.DUMMYFUNCTION("""COMPUTED_VALUE"""),"")</f>
        <v/>
      </c>
      <c r="H15901" s="42">
        <f t="shared" si="1"/>
        <v>3345</v>
      </c>
    </row>
    <row r="15902" ht="22.5" customHeight="1">
      <c r="B15902" s="42" t="str">
        <f>IFERROR(__xludf.DUMMYFUNCTION("""COMPUTED_VALUE"""),"")</f>
        <v/>
      </c>
      <c r="C15902" s="42" t="str">
        <f>IFERROR(__xludf.DUMMYFUNCTION("""COMPUTED_VALUE"""),"")</f>
        <v/>
      </c>
      <c r="D15902" s="42"/>
      <c r="E15902" s="42"/>
      <c r="F15902" s="48" t="str">
        <f>IFERROR(__xludf.DUMMYFUNCTION("""COMPUTED_VALUE"""),"")</f>
        <v/>
      </c>
      <c r="G15902" s="42" t="str">
        <f>IFERROR(__xludf.DUMMYFUNCTION("""COMPUTED_VALUE"""),"")</f>
        <v/>
      </c>
      <c r="H15902" s="42">
        <f t="shared" si="1"/>
        <v>3345</v>
      </c>
    </row>
    <row r="15903" ht="22.5" customHeight="1">
      <c r="B15903" s="42" t="str">
        <f>IFERROR(__xludf.DUMMYFUNCTION("""COMPUTED_VALUE"""),"")</f>
        <v/>
      </c>
      <c r="C15903" s="42" t="str">
        <f>IFERROR(__xludf.DUMMYFUNCTION("""COMPUTED_VALUE"""),"")</f>
        <v/>
      </c>
      <c r="D15903" s="42"/>
      <c r="E15903" s="42"/>
      <c r="F15903" s="48" t="str">
        <f>IFERROR(__xludf.DUMMYFUNCTION("""COMPUTED_VALUE"""),"")</f>
        <v/>
      </c>
      <c r="G15903" s="42" t="str">
        <f>IFERROR(__xludf.DUMMYFUNCTION("""COMPUTED_VALUE"""),"")</f>
        <v/>
      </c>
      <c r="H15903" s="42">
        <f t="shared" si="1"/>
        <v>3345</v>
      </c>
    </row>
    <row r="15904" ht="22.5" customHeight="1">
      <c r="B15904" s="42" t="str">
        <f>IFERROR(__xludf.DUMMYFUNCTION("""COMPUTED_VALUE"""),"")</f>
        <v/>
      </c>
      <c r="C15904" s="42" t="str">
        <f>IFERROR(__xludf.DUMMYFUNCTION("""COMPUTED_VALUE"""),"")</f>
        <v/>
      </c>
      <c r="D15904" s="42"/>
      <c r="E15904" s="42"/>
      <c r="F15904" s="48" t="str">
        <f>IFERROR(__xludf.DUMMYFUNCTION("""COMPUTED_VALUE"""),"")</f>
        <v/>
      </c>
      <c r="G15904" s="42" t="str">
        <f>IFERROR(__xludf.DUMMYFUNCTION("""COMPUTED_VALUE"""),"")</f>
        <v/>
      </c>
      <c r="H15904" s="42">
        <f t="shared" si="1"/>
        <v>3345</v>
      </c>
    </row>
    <row r="15905" ht="22.5" customHeight="1">
      <c r="B15905" s="42" t="str">
        <f>IFERROR(__xludf.DUMMYFUNCTION("""COMPUTED_VALUE"""),"")</f>
        <v/>
      </c>
      <c r="C15905" s="42" t="str">
        <f>IFERROR(__xludf.DUMMYFUNCTION("""COMPUTED_VALUE"""),"")</f>
        <v/>
      </c>
      <c r="D15905" s="42"/>
      <c r="E15905" s="42"/>
      <c r="F15905" s="48" t="str">
        <f>IFERROR(__xludf.DUMMYFUNCTION("""COMPUTED_VALUE"""),"")</f>
        <v/>
      </c>
      <c r="G15905" s="42" t="str">
        <f>IFERROR(__xludf.DUMMYFUNCTION("""COMPUTED_VALUE"""),"")</f>
        <v/>
      </c>
      <c r="H15905" s="42">
        <f t="shared" si="1"/>
        <v>3345</v>
      </c>
    </row>
    <row r="15906" ht="22.5" customHeight="1">
      <c r="B15906" s="42" t="str">
        <f>IFERROR(__xludf.DUMMYFUNCTION("""COMPUTED_VALUE"""),"")</f>
        <v/>
      </c>
      <c r="C15906" s="42" t="str">
        <f>IFERROR(__xludf.DUMMYFUNCTION("""COMPUTED_VALUE"""),"")</f>
        <v/>
      </c>
      <c r="D15906" s="42"/>
      <c r="E15906" s="42"/>
      <c r="F15906" s="48" t="str">
        <f>IFERROR(__xludf.DUMMYFUNCTION("""COMPUTED_VALUE"""),"")</f>
        <v/>
      </c>
      <c r="G15906" s="42" t="str">
        <f>IFERROR(__xludf.DUMMYFUNCTION("""COMPUTED_VALUE"""),"")</f>
        <v/>
      </c>
      <c r="H15906" s="42">
        <f t="shared" si="1"/>
        <v>3345</v>
      </c>
    </row>
    <row r="15907" ht="22.5" customHeight="1">
      <c r="B15907" s="42" t="str">
        <f>IFERROR(__xludf.DUMMYFUNCTION("""COMPUTED_VALUE"""),"")</f>
        <v/>
      </c>
      <c r="C15907" s="42" t="str">
        <f>IFERROR(__xludf.DUMMYFUNCTION("""COMPUTED_VALUE"""),"")</f>
        <v/>
      </c>
      <c r="D15907" s="42"/>
      <c r="E15907" s="42"/>
      <c r="F15907" s="48" t="str">
        <f>IFERROR(__xludf.DUMMYFUNCTION("""COMPUTED_VALUE"""),"")</f>
        <v/>
      </c>
      <c r="G15907" s="42" t="str">
        <f>IFERROR(__xludf.DUMMYFUNCTION("""COMPUTED_VALUE"""),"")</f>
        <v/>
      </c>
      <c r="H15907" s="42">
        <f t="shared" si="1"/>
        <v>3345</v>
      </c>
    </row>
    <row r="15908" ht="22.5" customHeight="1">
      <c r="B15908" s="42" t="str">
        <f>IFERROR(__xludf.DUMMYFUNCTION("""COMPUTED_VALUE"""),"")</f>
        <v/>
      </c>
      <c r="C15908" s="42" t="str">
        <f>IFERROR(__xludf.DUMMYFUNCTION("""COMPUTED_VALUE"""),"")</f>
        <v/>
      </c>
      <c r="D15908" s="42"/>
      <c r="E15908" s="42"/>
      <c r="F15908" s="48" t="str">
        <f>IFERROR(__xludf.DUMMYFUNCTION("""COMPUTED_VALUE"""),"")</f>
        <v/>
      </c>
      <c r="G15908" s="42" t="str">
        <f>IFERROR(__xludf.DUMMYFUNCTION("""COMPUTED_VALUE"""),"")</f>
        <v/>
      </c>
      <c r="H15908" s="42">
        <f t="shared" si="1"/>
        <v>3345</v>
      </c>
    </row>
    <row r="15909" ht="22.5" customHeight="1">
      <c r="B15909" s="42" t="str">
        <f>IFERROR(__xludf.DUMMYFUNCTION("""COMPUTED_VALUE"""),"")</f>
        <v/>
      </c>
      <c r="C15909" s="42" t="str">
        <f>IFERROR(__xludf.DUMMYFUNCTION("""COMPUTED_VALUE"""),"")</f>
        <v/>
      </c>
      <c r="D15909" s="42"/>
      <c r="E15909" s="42"/>
      <c r="F15909" s="48" t="str">
        <f>IFERROR(__xludf.DUMMYFUNCTION("""COMPUTED_VALUE"""),"")</f>
        <v/>
      </c>
      <c r="G15909" s="42" t="str">
        <f>IFERROR(__xludf.DUMMYFUNCTION("""COMPUTED_VALUE"""),"")</f>
        <v/>
      </c>
      <c r="H15909" s="42">
        <f t="shared" si="1"/>
        <v>3345</v>
      </c>
    </row>
    <row r="15910" ht="22.5" customHeight="1">
      <c r="B15910" s="42" t="str">
        <f>IFERROR(__xludf.DUMMYFUNCTION("""COMPUTED_VALUE"""),"")</f>
        <v/>
      </c>
      <c r="C15910" s="42" t="str">
        <f>IFERROR(__xludf.DUMMYFUNCTION("""COMPUTED_VALUE"""),"")</f>
        <v/>
      </c>
      <c r="D15910" s="42"/>
      <c r="E15910" s="42"/>
      <c r="F15910" s="48" t="str">
        <f>IFERROR(__xludf.DUMMYFUNCTION("""COMPUTED_VALUE"""),"")</f>
        <v/>
      </c>
      <c r="G15910" s="42" t="str">
        <f>IFERROR(__xludf.DUMMYFUNCTION("""COMPUTED_VALUE"""),"")</f>
        <v/>
      </c>
      <c r="H15910" s="42">
        <f t="shared" si="1"/>
        <v>3345</v>
      </c>
    </row>
    <row r="15911" ht="22.5" customHeight="1">
      <c r="B15911" s="42" t="str">
        <f>IFERROR(__xludf.DUMMYFUNCTION("""COMPUTED_VALUE"""),"")</f>
        <v/>
      </c>
      <c r="C15911" s="42" t="str">
        <f>IFERROR(__xludf.DUMMYFUNCTION("""COMPUTED_VALUE"""),"")</f>
        <v/>
      </c>
      <c r="D15911" s="42"/>
      <c r="E15911" s="42"/>
      <c r="F15911" s="48" t="str">
        <f>IFERROR(__xludf.DUMMYFUNCTION("""COMPUTED_VALUE"""),"")</f>
        <v/>
      </c>
      <c r="G15911" s="42" t="str">
        <f>IFERROR(__xludf.DUMMYFUNCTION("""COMPUTED_VALUE"""),"")</f>
        <v/>
      </c>
      <c r="H15911" s="42">
        <f t="shared" si="1"/>
        <v>3345</v>
      </c>
    </row>
    <row r="15912" ht="22.5" customHeight="1">
      <c r="B15912" s="42" t="str">
        <f>IFERROR(__xludf.DUMMYFUNCTION("""COMPUTED_VALUE"""),"")</f>
        <v/>
      </c>
      <c r="C15912" s="42" t="str">
        <f>IFERROR(__xludf.DUMMYFUNCTION("""COMPUTED_VALUE"""),"")</f>
        <v/>
      </c>
      <c r="D15912" s="42"/>
      <c r="E15912" s="42"/>
      <c r="F15912" s="48" t="str">
        <f>IFERROR(__xludf.DUMMYFUNCTION("""COMPUTED_VALUE"""),"")</f>
        <v/>
      </c>
      <c r="G15912" s="42" t="str">
        <f>IFERROR(__xludf.DUMMYFUNCTION("""COMPUTED_VALUE"""),"")</f>
        <v/>
      </c>
      <c r="H15912" s="42">
        <f t="shared" si="1"/>
        <v>3345</v>
      </c>
    </row>
    <row r="15913" ht="22.5" customHeight="1">
      <c r="B15913" s="42" t="str">
        <f>IFERROR(__xludf.DUMMYFUNCTION("""COMPUTED_VALUE"""),"")</f>
        <v/>
      </c>
      <c r="C15913" s="42" t="str">
        <f>IFERROR(__xludf.DUMMYFUNCTION("""COMPUTED_VALUE"""),"")</f>
        <v/>
      </c>
      <c r="D15913" s="42"/>
      <c r="E15913" s="42"/>
      <c r="F15913" s="48" t="str">
        <f>IFERROR(__xludf.DUMMYFUNCTION("""COMPUTED_VALUE"""),"")</f>
        <v/>
      </c>
      <c r="G15913" s="42" t="str">
        <f>IFERROR(__xludf.DUMMYFUNCTION("""COMPUTED_VALUE"""),"")</f>
        <v/>
      </c>
      <c r="H15913" s="42">
        <f t="shared" si="1"/>
        <v>3345</v>
      </c>
    </row>
    <row r="15914" ht="22.5" customHeight="1">
      <c r="B15914" s="42" t="str">
        <f>IFERROR(__xludf.DUMMYFUNCTION("""COMPUTED_VALUE"""),"")</f>
        <v/>
      </c>
      <c r="C15914" s="42" t="str">
        <f>IFERROR(__xludf.DUMMYFUNCTION("""COMPUTED_VALUE"""),"")</f>
        <v/>
      </c>
      <c r="D15914" s="42"/>
      <c r="E15914" s="42"/>
      <c r="F15914" s="48" t="str">
        <f>IFERROR(__xludf.DUMMYFUNCTION("""COMPUTED_VALUE"""),"")</f>
        <v/>
      </c>
      <c r="G15914" s="42" t="str">
        <f>IFERROR(__xludf.DUMMYFUNCTION("""COMPUTED_VALUE"""),"")</f>
        <v/>
      </c>
      <c r="H15914" s="42">
        <f t="shared" si="1"/>
        <v>3345</v>
      </c>
    </row>
    <row r="15915" ht="22.5" customHeight="1">
      <c r="B15915" s="42" t="str">
        <f>IFERROR(__xludf.DUMMYFUNCTION("""COMPUTED_VALUE"""),"")</f>
        <v/>
      </c>
      <c r="C15915" s="42" t="str">
        <f>IFERROR(__xludf.DUMMYFUNCTION("""COMPUTED_VALUE"""),"")</f>
        <v/>
      </c>
      <c r="D15915" s="42"/>
      <c r="E15915" s="42"/>
      <c r="F15915" s="48" t="str">
        <f>IFERROR(__xludf.DUMMYFUNCTION("""COMPUTED_VALUE"""),"")</f>
        <v/>
      </c>
      <c r="G15915" s="42" t="str">
        <f>IFERROR(__xludf.DUMMYFUNCTION("""COMPUTED_VALUE"""),"")</f>
        <v/>
      </c>
      <c r="H15915" s="42">
        <f t="shared" si="1"/>
        <v>3345</v>
      </c>
    </row>
    <row r="15916" ht="22.5" customHeight="1">
      <c r="B15916" s="42" t="str">
        <f>IFERROR(__xludf.DUMMYFUNCTION("""COMPUTED_VALUE"""),"")</f>
        <v/>
      </c>
      <c r="C15916" s="42" t="str">
        <f>IFERROR(__xludf.DUMMYFUNCTION("""COMPUTED_VALUE"""),"")</f>
        <v/>
      </c>
      <c r="D15916" s="42"/>
      <c r="E15916" s="42"/>
      <c r="F15916" s="48" t="str">
        <f>IFERROR(__xludf.DUMMYFUNCTION("""COMPUTED_VALUE"""),"")</f>
        <v/>
      </c>
      <c r="G15916" s="42" t="str">
        <f>IFERROR(__xludf.DUMMYFUNCTION("""COMPUTED_VALUE"""),"")</f>
        <v/>
      </c>
      <c r="H15916" s="42">
        <f t="shared" si="1"/>
        <v>3345</v>
      </c>
    </row>
    <row r="15917" ht="22.5" customHeight="1">
      <c r="B15917" s="42" t="str">
        <f>IFERROR(__xludf.DUMMYFUNCTION("""COMPUTED_VALUE"""),"")</f>
        <v/>
      </c>
      <c r="C15917" s="42" t="str">
        <f>IFERROR(__xludf.DUMMYFUNCTION("""COMPUTED_VALUE"""),"")</f>
        <v/>
      </c>
      <c r="D15917" s="42"/>
      <c r="E15917" s="42"/>
      <c r="F15917" s="48" t="str">
        <f>IFERROR(__xludf.DUMMYFUNCTION("""COMPUTED_VALUE"""),"")</f>
        <v/>
      </c>
      <c r="G15917" s="42" t="str">
        <f>IFERROR(__xludf.DUMMYFUNCTION("""COMPUTED_VALUE"""),"")</f>
        <v/>
      </c>
      <c r="H15917" s="42">
        <f t="shared" si="1"/>
        <v>3345</v>
      </c>
    </row>
    <row r="15918" ht="22.5" customHeight="1">
      <c r="B15918" s="42" t="str">
        <f>IFERROR(__xludf.DUMMYFUNCTION("""COMPUTED_VALUE"""),"")</f>
        <v/>
      </c>
      <c r="C15918" s="42" t="str">
        <f>IFERROR(__xludf.DUMMYFUNCTION("""COMPUTED_VALUE"""),"")</f>
        <v/>
      </c>
      <c r="D15918" s="42"/>
      <c r="E15918" s="42"/>
      <c r="F15918" s="48" t="str">
        <f>IFERROR(__xludf.DUMMYFUNCTION("""COMPUTED_VALUE"""),"")</f>
        <v/>
      </c>
      <c r="G15918" s="42" t="str">
        <f>IFERROR(__xludf.DUMMYFUNCTION("""COMPUTED_VALUE"""),"")</f>
        <v/>
      </c>
      <c r="H15918" s="42">
        <f t="shared" si="1"/>
        <v>3345</v>
      </c>
    </row>
    <row r="15919" ht="22.5" customHeight="1">
      <c r="B15919" s="42" t="str">
        <f>IFERROR(__xludf.DUMMYFUNCTION("""COMPUTED_VALUE"""),"")</f>
        <v/>
      </c>
      <c r="C15919" s="42" t="str">
        <f>IFERROR(__xludf.DUMMYFUNCTION("""COMPUTED_VALUE"""),"")</f>
        <v/>
      </c>
      <c r="D15919" s="42"/>
      <c r="E15919" s="42"/>
      <c r="F15919" s="48" t="str">
        <f>IFERROR(__xludf.DUMMYFUNCTION("""COMPUTED_VALUE"""),"")</f>
        <v/>
      </c>
      <c r="G15919" s="42" t="str">
        <f>IFERROR(__xludf.DUMMYFUNCTION("""COMPUTED_VALUE"""),"")</f>
        <v/>
      </c>
      <c r="H15919" s="42">
        <f t="shared" si="1"/>
        <v>3345</v>
      </c>
    </row>
    <row r="15920" ht="22.5" customHeight="1">
      <c r="B15920" s="42" t="str">
        <f>IFERROR(__xludf.DUMMYFUNCTION("""COMPUTED_VALUE"""),"")</f>
        <v/>
      </c>
      <c r="C15920" s="42" t="str">
        <f>IFERROR(__xludf.DUMMYFUNCTION("""COMPUTED_VALUE"""),"")</f>
        <v/>
      </c>
      <c r="D15920" s="42"/>
      <c r="E15920" s="42"/>
      <c r="F15920" s="48" t="str">
        <f>IFERROR(__xludf.DUMMYFUNCTION("""COMPUTED_VALUE"""),"")</f>
        <v/>
      </c>
      <c r="G15920" s="42" t="str">
        <f>IFERROR(__xludf.DUMMYFUNCTION("""COMPUTED_VALUE"""),"")</f>
        <v/>
      </c>
      <c r="H15920" s="42">
        <f t="shared" si="1"/>
        <v>3345</v>
      </c>
    </row>
    <row r="15921" ht="22.5" customHeight="1">
      <c r="B15921" s="42" t="str">
        <f>IFERROR(__xludf.DUMMYFUNCTION("""COMPUTED_VALUE"""),"")</f>
        <v/>
      </c>
      <c r="C15921" s="42" t="str">
        <f>IFERROR(__xludf.DUMMYFUNCTION("""COMPUTED_VALUE"""),"")</f>
        <v/>
      </c>
      <c r="D15921" s="42"/>
      <c r="E15921" s="42"/>
      <c r="F15921" s="48" t="str">
        <f>IFERROR(__xludf.DUMMYFUNCTION("""COMPUTED_VALUE"""),"")</f>
        <v/>
      </c>
      <c r="G15921" s="42" t="str">
        <f>IFERROR(__xludf.DUMMYFUNCTION("""COMPUTED_VALUE"""),"")</f>
        <v/>
      </c>
      <c r="H15921" s="42">
        <f t="shared" si="1"/>
        <v>3345</v>
      </c>
    </row>
    <row r="15922" ht="22.5" customHeight="1">
      <c r="B15922" s="42" t="str">
        <f>IFERROR(__xludf.DUMMYFUNCTION("""COMPUTED_VALUE"""),"")</f>
        <v/>
      </c>
      <c r="C15922" s="42" t="str">
        <f>IFERROR(__xludf.DUMMYFUNCTION("""COMPUTED_VALUE"""),"")</f>
        <v/>
      </c>
      <c r="D15922" s="42"/>
      <c r="E15922" s="42"/>
      <c r="F15922" s="48" t="str">
        <f>IFERROR(__xludf.DUMMYFUNCTION("""COMPUTED_VALUE"""),"")</f>
        <v/>
      </c>
      <c r="G15922" s="42" t="str">
        <f>IFERROR(__xludf.DUMMYFUNCTION("""COMPUTED_VALUE"""),"")</f>
        <v/>
      </c>
      <c r="H15922" s="42">
        <f t="shared" si="1"/>
        <v>3345</v>
      </c>
    </row>
    <row r="15923" ht="22.5" customHeight="1">
      <c r="B15923" s="42" t="str">
        <f>IFERROR(__xludf.DUMMYFUNCTION("""COMPUTED_VALUE"""),"")</f>
        <v/>
      </c>
      <c r="C15923" s="42" t="str">
        <f>IFERROR(__xludf.DUMMYFUNCTION("""COMPUTED_VALUE"""),"")</f>
        <v/>
      </c>
      <c r="D15923" s="42"/>
      <c r="E15923" s="42"/>
      <c r="F15923" s="48" t="str">
        <f>IFERROR(__xludf.DUMMYFUNCTION("""COMPUTED_VALUE"""),"")</f>
        <v/>
      </c>
      <c r="G15923" s="42" t="str">
        <f>IFERROR(__xludf.DUMMYFUNCTION("""COMPUTED_VALUE"""),"")</f>
        <v/>
      </c>
      <c r="H15923" s="42">
        <f t="shared" si="1"/>
        <v>3345</v>
      </c>
    </row>
    <row r="15924" ht="22.5" customHeight="1">
      <c r="B15924" s="42" t="str">
        <f>IFERROR(__xludf.DUMMYFUNCTION("""COMPUTED_VALUE"""),"")</f>
        <v/>
      </c>
      <c r="C15924" s="42" t="str">
        <f>IFERROR(__xludf.DUMMYFUNCTION("""COMPUTED_VALUE"""),"")</f>
        <v/>
      </c>
      <c r="D15924" s="42"/>
      <c r="E15924" s="42"/>
      <c r="F15924" s="48" t="str">
        <f>IFERROR(__xludf.DUMMYFUNCTION("""COMPUTED_VALUE"""),"")</f>
        <v/>
      </c>
      <c r="G15924" s="42" t="str">
        <f>IFERROR(__xludf.DUMMYFUNCTION("""COMPUTED_VALUE"""),"")</f>
        <v/>
      </c>
      <c r="H15924" s="42">
        <f t="shared" si="1"/>
        <v>3345</v>
      </c>
    </row>
    <row r="15925" ht="22.5" customHeight="1">
      <c r="B15925" s="42" t="str">
        <f>IFERROR(__xludf.DUMMYFUNCTION("""COMPUTED_VALUE"""),"")</f>
        <v/>
      </c>
      <c r="C15925" s="42" t="str">
        <f>IFERROR(__xludf.DUMMYFUNCTION("""COMPUTED_VALUE"""),"")</f>
        <v/>
      </c>
      <c r="D15925" s="42"/>
      <c r="E15925" s="42"/>
      <c r="F15925" s="48" t="str">
        <f>IFERROR(__xludf.DUMMYFUNCTION("""COMPUTED_VALUE"""),"")</f>
        <v/>
      </c>
      <c r="G15925" s="42" t="str">
        <f>IFERROR(__xludf.DUMMYFUNCTION("""COMPUTED_VALUE"""),"")</f>
        <v/>
      </c>
      <c r="H15925" s="42">
        <f t="shared" si="1"/>
        <v>3345</v>
      </c>
    </row>
    <row r="15926" ht="22.5" customHeight="1">
      <c r="B15926" s="42" t="str">
        <f>IFERROR(__xludf.DUMMYFUNCTION("""COMPUTED_VALUE"""),"")</f>
        <v/>
      </c>
      <c r="C15926" s="42" t="str">
        <f>IFERROR(__xludf.DUMMYFUNCTION("""COMPUTED_VALUE"""),"")</f>
        <v/>
      </c>
      <c r="D15926" s="42"/>
      <c r="E15926" s="42"/>
      <c r="F15926" s="48" t="str">
        <f>IFERROR(__xludf.DUMMYFUNCTION("""COMPUTED_VALUE"""),"")</f>
        <v/>
      </c>
      <c r="G15926" s="42" t="str">
        <f>IFERROR(__xludf.DUMMYFUNCTION("""COMPUTED_VALUE"""),"")</f>
        <v/>
      </c>
      <c r="H15926" s="42">
        <f t="shared" si="1"/>
        <v>3345</v>
      </c>
    </row>
    <row r="15927" ht="22.5" customHeight="1">
      <c r="B15927" s="42" t="str">
        <f>IFERROR(__xludf.DUMMYFUNCTION("""COMPUTED_VALUE"""),"")</f>
        <v/>
      </c>
      <c r="C15927" s="42" t="str">
        <f>IFERROR(__xludf.DUMMYFUNCTION("""COMPUTED_VALUE"""),"")</f>
        <v/>
      </c>
      <c r="D15927" s="42"/>
      <c r="E15927" s="42"/>
      <c r="F15927" s="48" t="str">
        <f>IFERROR(__xludf.DUMMYFUNCTION("""COMPUTED_VALUE"""),"")</f>
        <v/>
      </c>
      <c r="G15927" s="42" t="str">
        <f>IFERROR(__xludf.DUMMYFUNCTION("""COMPUTED_VALUE"""),"")</f>
        <v/>
      </c>
      <c r="H15927" s="42">
        <f t="shared" si="1"/>
        <v>3345</v>
      </c>
    </row>
    <row r="15928" ht="22.5" customHeight="1">
      <c r="B15928" s="42" t="str">
        <f>IFERROR(__xludf.DUMMYFUNCTION("""COMPUTED_VALUE"""),"")</f>
        <v/>
      </c>
      <c r="C15928" s="42" t="str">
        <f>IFERROR(__xludf.DUMMYFUNCTION("""COMPUTED_VALUE"""),"")</f>
        <v/>
      </c>
      <c r="D15928" s="42"/>
      <c r="E15928" s="42"/>
      <c r="F15928" s="48" t="str">
        <f>IFERROR(__xludf.DUMMYFUNCTION("""COMPUTED_VALUE"""),"")</f>
        <v/>
      </c>
      <c r="G15928" s="42" t="str">
        <f>IFERROR(__xludf.DUMMYFUNCTION("""COMPUTED_VALUE"""),"")</f>
        <v/>
      </c>
      <c r="H15928" s="42">
        <f t="shared" si="1"/>
        <v>3345</v>
      </c>
    </row>
    <row r="15929" ht="22.5" customHeight="1">
      <c r="B15929" s="42" t="str">
        <f>IFERROR(__xludf.DUMMYFUNCTION("""COMPUTED_VALUE"""),"")</f>
        <v/>
      </c>
      <c r="C15929" s="42" t="str">
        <f>IFERROR(__xludf.DUMMYFUNCTION("""COMPUTED_VALUE"""),"")</f>
        <v/>
      </c>
      <c r="D15929" s="42"/>
      <c r="E15929" s="42"/>
      <c r="F15929" s="48" t="str">
        <f>IFERROR(__xludf.DUMMYFUNCTION("""COMPUTED_VALUE"""),"")</f>
        <v/>
      </c>
      <c r="G15929" s="42" t="str">
        <f>IFERROR(__xludf.DUMMYFUNCTION("""COMPUTED_VALUE"""),"")</f>
        <v/>
      </c>
      <c r="H15929" s="42">
        <f t="shared" si="1"/>
        <v>3345</v>
      </c>
    </row>
    <row r="15930" ht="22.5" customHeight="1">
      <c r="B15930" s="42" t="str">
        <f>IFERROR(__xludf.DUMMYFUNCTION("""COMPUTED_VALUE"""),"")</f>
        <v/>
      </c>
      <c r="C15930" s="42" t="str">
        <f>IFERROR(__xludf.DUMMYFUNCTION("""COMPUTED_VALUE"""),"")</f>
        <v/>
      </c>
      <c r="D15930" s="42"/>
      <c r="E15930" s="42"/>
      <c r="F15930" s="48" t="str">
        <f>IFERROR(__xludf.DUMMYFUNCTION("""COMPUTED_VALUE"""),"")</f>
        <v/>
      </c>
      <c r="G15930" s="42" t="str">
        <f>IFERROR(__xludf.DUMMYFUNCTION("""COMPUTED_VALUE"""),"")</f>
        <v/>
      </c>
      <c r="H15930" s="42">
        <f t="shared" si="1"/>
        <v>3345</v>
      </c>
    </row>
    <row r="15931" ht="22.5" customHeight="1">
      <c r="B15931" s="42" t="str">
        <f>IFERROR(__xludf.DUMMYFUNCTION("""COMPUTED_VALUE"""),"")</f>
        <v/>
      </c>
      <c r="C15931" s="42" t="str">
        <f>IFERROR(__xludf.DUMMYFUNCTION("""COMPUTED_VALUE"""),"")</f>
        <v/>
      </c>
      <c r="D15931" s="42"/>
      <c r="E15931" s="42"/>
      <c r="F15931" s="48" t="str">
        <f>IFERROR(__xludf.DUMMYFUNCTION("""COMPUTED_VALUE"""),"")</f>
        <v/>
      </c>
      <c r="G15931" s="42" t="str">
        <f>IFERROR(__xludf.DUMMYFUNCTION("""COMPUTED_VALUE"""),"")</f>
        <v/>
      </c>
      <c r="H15931" s="42">
        <f t="shared" si="1"/>
        <v>3345</v>
      </c>
    </row>
    <row r="15932" ht="22.5" customHeight="1">
      <c r="B15932" s="42" t="str">
        <f>IFERROR(__xludf.DUMMYFUNCTION("""COMPUTED_VALUE"""),"")</f>
        <v/>
      </c>
      <c r="C15932" s="42" t="str">
        <f>IFERROR(__xludf.DUMMYFUNCTION("""COMPUTED_VALUE"""),"")</f>
        <v/>
      </c>
      <c r="D15932" s="42"/>
      <c r="E15932" s="42"/>
      <c r="F15932" s="48" t="str">
        <f>IFERROR(__xludf.DUMMYFUNCTION("""COMPUTED_VALUE"""),"")</f>
        <v/>
      </c>
      <c r="G15932" s="42" t="str">
        <f>IFERROR(__xludf.DUMMYFUNCTION("""COMPUTED_VALUE"""),"")</f>
        <v/>
      </c>
      <c r="H15932" s="42">
        <f t="shared" si="1"/>
        <v>3345</v>
      </c>
    </row>
    <row r="15933" ht="22.5" customHeight="1">
      <c r="B15933" s="42" t="str">
        <f>IFERROR(__xludf.DUMMYFUNCTION("""COMPUTED_VALUE"""),"")</f>
        <v/>
      </c>
      <c r="C15933" s="42" t="str">
        <f>IFERROR(__xludf.DUMMYFUNCTION("""COMPUTED_VALUE"""),"")</f>
        <v/>
      </c>
      <c r="D15933" s="42"/>
      <c r="E15933" s="42"/>
      <c r="F15933" s="48" t="str">
        <f>IFERROR(__xludf.DUMMYFUNCTION("""COMPUTED_VALUE"""),"")</f>
        <v/>
      </c>
      <c r="G15933" s="42" t="str">
        <f>IFERROR(__xludf.DUMMYFUNCTION("""COMPUTED_VALUE"""),"")</f>
        <v/>
      </c>
      <c r="H15933" s="42">
        <f t="shared" si="1"/>
        <v>3345</v>
      </c>
    </row>
    <row r="15934" ht="22.5" customHeight="1">
      <c r="B15934" s="42" t="str">
        <f>IFERROR(__xludf.DUMMYFUNCTION("""COMPUTED_VALUE"""),"")</f>
        <v/>
      </c>
      <c r="C15934" s="42" t="str">
        <f>IFERROR(__xludf.DUMMYFUNCTION("""COMPUTED_VALUE"""),"")</f>
        <v/>
      </c>
      <c r="D15934" s="42"/>
      <c r="E15934" s="42"/>
      <c r="F15934" s="48" t="str">
        <f>IFERROR(__xludf.DUMMYFUNCTION("""COMPUTED_VALUE"""),"")</f>
        <v/>
      </c>
      <c r="G15934" s="42" t="str">
        <f>IFERROR(__xludf.DUMMYFUNCTION("""COMPUTED_VALUE"""),"")</f>
        <v/>
      </c>
      <c r="H15934" s="42">
        <f t="shared" si="1"/>
        <v>3345</v>
      </c>
    </row>
    <row r="15935" ht="22.5" customHeight="1">
      <c r="B15935" s="42" t="str">
        <f>IFERROR(__xludf.DUMMYFUNCTION("""COMPUTED_VALUE"""),"")</f>
        <v/>
      </c>
      <c r="C15935" s="42" t="str">
        <f>IFERROR(__xludf.DUMMYFUNCTION("""COMPUTED_VALUE"""),"")</f>
        <v/>
      </c>
      <c r="D15935" s="42"/>
      <c r="E15935" s="42"/>
      <c r="F15935" s="48" t="str">
        <f>IFERROR(__xludf.DUMMYFUNCTION("""COMPUTED_VALUE"""),"")</f>
        <v/>
      </c>
      <c r="G15935" s="42" t="str">
        <f>IFERROR(__xludf.DUMMYFUNCTION("""COMPUTED_VALUE"""),"")</f>
        <v/>
      </c>
      <c r="H15935" s="42">
        <f t="shared" si="1"/>
        <v>3345</v>
      </c>
    </row>
    <row r="15936" ht="22.5" customHeight="1">
      <c r="B15936" s="42" t="str">
        <f>IFERROR(__xludf.DUMMYFUNCTION("""COMPUTED_VALUE"""),"")</f>
        <v/>
      </c>
      <c r="C15936" s="42" t="str">
        <f>IFERROR(__xludf.DUMMYFUNCTION("""COMPUTED_VALUE"""),"")</f>
        <v/>
      </c>
      <c r="D15936" s="42"/>
      <c r="E15936" s="42"/>
      <c r="F15936" s="48" t="str">
        <f>IFERROR(__xludf.DUMMYFUNCTION("""COMPUTED_VALUE"""),"")</f>
        <v/>
      </c>
      <c r="G15936" s="42" t="str">
        <f>IFERROR(__xludf.DUMMYFUNCTION("""COMPUTED_VALUE"""),"")</f>
        <v/>
      </c>
      <c r="H15936" s="42">
        <f t="shared" si="1"/>
        <v>3345</v>
      </c>
    </row>
    <row r="15937" ht="22.5" customHeight="1">
      <c r="B15937" s="42" t="str">
        <f>IFERROR(__xludf.DUMMYFUNCTION("""COMPUTED_VALUE"""),"")</f>
        <v/>
      </c>
      <c r="C15937" s="42" t="str">
        <f>IFERROR(__xludf.DUMMYFUNCTION("""COMPUTED_VALUE"""),"")</f>
        <v/>
      </c>
      <c r="D15937" s="42"/>
      <c r="E15937" s="42"/>
      <c r="F15937" s="48" t="str">
        <f>IFERROR(__xludf.DUMMYFUNCTION("""COMPUTED_VALUE"""),"")</f>
        <v/>
      </c>
      <c r="G15937" s="42" t="str">
        <f>IFERROR(__xludf.DUMMYFUNCTION("""COMPUTED_VALUE"""),"")</f>
        <v/>
      </c>
      <c r="H15937" s="42">
        <f t="shared" si="1"/>
        <v>3345</v>
      </c>
    </row>
    <row r="15938" ht="22.5" customHeight="1">
      <c r="B15938" s="42" t="str">
        <f>IFERROR(__xludf.DUMMYFUNCTION("""COMPUTED_VALUE"""),"")</f>
        <v/>
      </c>
      <c r="C15938" s="42" t="str">
        <f>IFERROR(__xludf.DUMMYFUNCTION("""COMPUTED_VALUE"""),"")</f>
        <v/>
      </c>
      <c r="D15938" s="42"/>
      <c r="E15938" s="42"/>
      <c r="F15938" s="48" t="str">
        <f>IFERROR(__xludf.DUMMYFUNCTION("""COMPUTED_VALUE"""),"")</f>
        <v/>
      </c>
      <c r="G15938" s="42" t="str">
        <f>IFERROR(__xludf.DUMMYFUNCTION("""COMPUTED_VALUE"""),"")</f>
        <v/>
      </c>
      <c r="H15938" s="42">
        <f t="shared" si="1"/>
        <v>3345</v>
      </c>
    </row>
    <row r="15939" ht="22.5" customHeight="1">
      <c r="B15939" s="42" t="str">
        <f>IFERROR(__xludf.DUMMYFUNCTION("""COMPUTED_VALUE"""),"")</f>
        <v/>
      </c>
      <c r="C15939" s="42" t="str">
        <f>IFERROR(__xludf.DUMMYFUNCTION("""COMPUTED_VALUE"""),"")</f>
        <v/>
      </c>
      <c r="D15939" s="42"/>
      <c r="E15939" s="42"/>
      <c r="F15939" s="48" t="str">
        <f>IFERROR(__xludf.DUMMYFUNCTION("""COMPUTED_VALUE"""),"")</f>
        <v/>
      </c>
      <c r="G15939" s="42" t="str">
        <f>IFERROR(__xludf.DUMMYFUNCTION("""COMPUTED_VALUE"""),"")</f>
        <v/>
      </c>
      <c r="H15939" s="42">
        <f t="shared" si="1"/>
        <v>3345</v>
      </c>
    </row>
    <row r="15940" ht="22.5" customHeight="1">
      <c r="B15940" s="42" t="str">
        <f>IFERROR(__xludf.DUMMYFUNCTION("""COMPUTED_VALUE"""),"")</f>
        <v/>
      </c>
      <c r="C15940" s="42" t="str">
        <f>IFERROR(__xludf.DUMMYFUNCTION("""COMPUTED_VALUE"""),"")</f>
        <v/>
      </c>
      <c r="D15940" s="42"/>
      <c r="E15940" s="42"/>
      <c r="F15940" s="48" t="str">
        <f>IFERROR(__xludf.DUMMYFUNCTION("""COMPUTED_VALUE"""),"")</f>
        <v/>
      </c>
      <c r="G15940" s="42" t="str">
        <f>IFERROR(__xludf.DUMMYFUNCTION("""COMPUTED_VALUE"""),"")</f>
        <v/>
      </c>
      <c r="H15940" s="42">
        <f t="shared" si="1"/>
        <v>3345</v>
      </c>
    </row>
    <row r="15941" ht="22.5" customHeight="1">
      <c r="B15941" s="42" t="str">
        <f>IFERROR(__xludf.DUMMYFUNCTION("""COMPUTED_VALUE"""),"")</f>
        <v/>
      </c>
      <c r="C15941" s="42" t="str">
        <f>IFERROR(__xludf.DUMMYFUNCTION("""COMPUTED_VALUE"""),"")</f>
        <v/>
      </c>
      <c r="D15941" s="42"/>
      <c r="E15941" s="42"/>
      <c r="F15941" s="48" t="str">
        <f>IFERROR(__xludf.DUMMYFUNCTION("""COMPUTED_VALUE"""),"")</f>
        <v/>
      </c>
      <c r="G15941" s="42" t="str">
        <f>IFERROR(__xludf.DUMMYFUNCTION("""COMPUTED_VALUE"""),"")</f>
        <v/>
      </c>
      <c r="H15941" s="42">
        <f t="shared" si="1"/>
        <v>3345</v>
      </c>
    </row>
    <row r="15942" ht="22.5" customHeight="1">
      <c r="B15942" s="42" t="str">
        <f>IFERROR(__xludf.DUMMYFUNCTION("""COMPUTED_VALUE"""),"")</f>
        <v/>
      </c>
      <c r="C15942" s="42" t="str">
        <f>IFERROR(__xludf.DUMMYFUNCTION("""COMPUTED_VALUE"""),"")</f>
        <v/>
      </c>
      <c r="D15942" s="42"/>
      <c r="E15942" s="42"/>
      <c r="F15942" s="48" t="str">
        <f>IFERROR(__xludf.DUMMYFUNCTION("""COMPUTED_VALUE"""),"")</f>
        <v/>
      </c>
      <c r="G15942" s="42" t="str">
        <f>IFERROR(__xludf.DUMMYFUNCTION("""COMPUTED_VALUE"""),"")</f>
        <v/>
      </c>
      <c r="H15942" s="42">
        <f t="shared" si="1"/>
        <v>3345</v>
      </c>
    </row>
    <row r="15943" ht="22.5" customHeight="1">
      <c r="B15943" s="42" t="str">
        <f>IFERROR(__xludf.DUMMYFUNCTION("""COMPUTED_VALUE"""),"")</f>
        <v/>
      </c>
      <c r="C15943" s="42" t="str">
        <f>IFERROR(__xludf.DUMMYFUNCTION("""COMPUTED_VALUE"""),"")</f>
        <v/>
      </c>
      <c r="D15943" s="42"/>
      <c r="E15943" s="42"/>
      <c r="F15943" s="48" t="str">
        <f>IFERROR(__xludf.DUMMYFUNCTION("""COMPUTED_VALUE"""),"")</f>
        <v/>
      </c>
      <c r="G15943" s="42" t="str">
        <f>IFERROR(__xludf.DUMMYFUNCTION("""COMPUTED_VALUE"""),"")</f>
        <v/>
      </c>
      <c r="H15943" s="42">
        <f t="shared" si="1"/>
        <v>3345</v>
      </c>
    </row>
    <row r="15944" ht="22.5" customHeight="1">
      <c r="B15944" s="42" t="str">
        <f>IFERROR(__xludf.DUMMYFUNCTION("""COMPUTED_VALUE"""),"")</f>
        <v/>
      </c>
      <c r="C15944" s="42" t="str">
        <f>IFERROR(__xludf.DUMMYFUNCTION("""COMPUTED_VALUE"""),"")</f>
        <v/>
      </c>
      <c r="D15944" s="42"/>
      <c r="E15944" s="42"/>
      <c r="F15944" s="48" t="str">
        <f>IFERROR(__xludf.DUMMYFUNCTION("""COMPUTED_VALUE"""),"")</f>
        <v/>
      </c>
      <c r="G15944" s="42" t="str">
        <f>IFERROR(__xludf.DUMMYFUNCTION("""COMPUTED_VALUE"""),"")</f>
        <v/>
      </c>
      <c r="H15944" s="42">
        <f t="shared" si="1"/>
        <v>3345</v>
      </c>
    </row>
    <row r="15945" ht="22.5" customHeight="1">
      <c r="B15945" s="42" t="str">
        <f>IFERROR(__xludf.DUMMYFUNCTION("""COMPUTED_VALUE"""),"")</f>
        <v/>
      </c>
      <c r="C15945" s="42" t="str">
        <f>IFERROR(__xludf.DUMMYFUNCTION("""COMPUTED_VALUE"""),"")</f>
        <v/>
      </c>
      <c r="D15945" s="42"/>
      <c r="E15945" s="42"/>
      <c r="F15945" s="48" t="str">
        <f>IFERROR(__xludf.DUMMYFUNCTION("""COMPUTED_VALUE"""),"")</f>
        <v/>
      </c>
      <c r="G15945" s="42" t="str">
        <f>IFERROR(__xludf.DUMMYFUNCTION("""COMPUTED_VALUE"""),"")</f>
        <v/>
      </c>
      <c r="H15945" s="42">
        <f t="shared" si="1"/>
        <v>3345</v>
      </c>
    </row>
    <row r="15946" ht="22.5" customHeight="1">
      <c r="B15946" s="42" t="str">
        <f>IFERROR(__xludf.DUMMYFUNCTION("""COMPUTED_VALUE"""),"")</f>
        <v/>
      </c>
      <c r="C15946" s="42" t="str">
        <f>IFERROR(__xludf.DUMMYFUNCTION("""COMPUTED_VALUE"""),"")</f>
        <v/>
      </c>
      <c r="D15946" s="42"/>
      <c r="E15946" s="42"/>
      <c r="F15946" s="48" t="str">
        <f>IFERROR(__xludf.DUMMYFUNCTION("""COMPUTED_VALUE"""),"")</f>
        <v/>
      </c>
      <c r="G15946" s="42" t="str">
        <f>IFERROR(__xludf.DUMMYFUNCTION("""COMPUTED_VALUE"""),"")</f>
        <v/>
      </c>
      <c r="H15946" s="42">
        <f t="shared" si="1"/>
        <v>3345</v>
      </c>
    </row>
    <row r="15947" ht="22.5" customHeight="1">
      <c r="B15947" s="42" t="str">
        <f>IFERROR(__xludf.DUMMYFUNCTION("""COMPUTED_VALUE"""),"")</f>
        <v/>
      </c>
      <c r="C15947" s="42" t="str">
        <f>IFERROR(__xludf.DUMMYFUNCTION("""COMPUTED_VALUE"""),"")</f>
        <v/>
      </c>
      <c r="D15947" s="42"/>
      <c r="E15947" s="42"/>
      <c r="F15947" s="48" t="str">
        <f>IFERROR(__xludf.DUMMYFUNCTION("""COMPUTED_VALUE"""),"")</f>
        <v/>
      </c>
      <c r="G15947" s="42" t="str">
        <f>IFERROR(__xludf.DUMMYFUNCTION("""COMPUTED_VALUE"""),"")</f>
        <v/>
      </c>
      <c r="H15947" s="42">
        <f t="shared" si="1"/>
        <v>3345</v>
      </c>
    </row>
    <row r="15948" ht="22.5" customHeight="1">
      <c r="B15948" s="42" t="str">
        <f>IFERROR(__xludf.DUMMYFUNCTION("""COMPUTED_VALUE"""),"")</f>
        <v/>
      </c>
      <c r="C15948" s="42" t="str">
        <f>IFERROR(__xludf.DUMMYFUNCTION("""COMPUTED_VALUE"""),"")</f>
        <v/>
      </c>
      <c r="D15948" s="42"/>
      <c r="E15948" s="42"/>
      <c r="F15948" s="48" t="str">
        <f>IFERROR(__xludf.DUMMYFUNCTION("""COMPUTED_VALUE"""),"")</f>
        <v/>
      </c>
      <c r="G15948" s="42" t="str">
        <f>IFERROR(__xludf.DUMMYFUNCTION("""COMPUTED_VALUE"""),"")</f>
        <v/>
      </c>
      <c r="H15948" s="42">
        <f t="shared" si="1"/>
        <v>3345</v>
      </c>
    </row>
    <row r="15949" ht="22.5" customHeight="1">
      <c r="B15949" s="42" t="str">
        <f>IFERROR(__xludf.DUMMYFUNCTION("""COMPUTED_VALUE"""),"")</f>
        <v/>
      </c>
      <c r="C15949" s="42" t="str">
        <f>IFERROR(__xludf.DUMMYFUNCTION("""COMPUTED_VALUE"""),"")</f>
        <v/>
      </c>
      <c r="D15949" s="42"/>
      <c r="E15949" s="42"/>
      <c r="F15949" s="48" t="str">
        <f>IFERROR(__xludf.DUMMYFUNCTION("""COMPUTED_VALUE"""),"")</f>
        <v/>
      </c>
      <c r="G15949" s="42" t="str">
        <f>IFERROR(__xludf.DUMMYFUNCTION("""COMPUTED_VALUE"""),"")</f>
        <v/>
      </c>
      <c r="H15949" s="42">
        <f t="shared" si="1"/>
        <v>3345</v>
      </c>
    </row>
    <row r="15950" ht="22.5" customHeight="1">
      <c r="B15950" s="42" t="str">
        <f>IFERROR(__xludf.DUMMYFUNCTION("""COMPUTED_VALUE"""),"")</f>
        <v/>
      </c>
      <c r="C15950" s="42" t="str">
        <f>IFERROR(__xludf.DUMMYFUNCTION("""COMPUTED_VALUE"""),"")</f>
        <v/>
      </c>
      <c r="D15950" s="42"/>
      <c r="E15950" s="42"/>
      <c r="F15950" s="48" t="str">
        <f>IFERROR(__xludf.DUMMYFUNCTION("""COMPUTED_VALUE"""),"")</f>
        <v/>
      </c>
      <c r="G15950" s="42" t="str">
        <f>IFERROR(__xludf.DUMMYFUNCTION("""COMPUTED_VALUE"""),"")</f>
        <v/>
      </c>
      <c r="H15950" s="42">
        <f t="shared" si="1"/>
        <v>3345</v>
      </c>
    </row>
    <row r="15951" ht="22.5" customHeight="1">
      <c r="B15951" s="42" t="str">
        <f>IFERROR(__xludf.DUMMYFUNCTION("""COMPUTED_VALUE"""),"")</f>
        <v/>
      </c>
      <c r="C15951" s="42" t="str">
        <f>IFERROR(__xludf.DUMMYFUNCTION("""COMPUTED_VALUE"""),"")</f>
        <v/>
      </c>
      <c r="D15951" s="42"/>
      <c r="E15951" s="42"/>
      <c r="F15951" s="48" t="str">
        <f>IFERROR(__xludf.DUMMYFUNCTION("""COMPUTED_VALUE"""),"")</f>
        <v/>
      </c>
      <c r="G15951" s="42" t="str">
        <f>IFERROR(__xludf.DUMMYFUNCTION("""COMPUTED_VALUE"""),"")</f>
        <v/>
      </c>
      <c r="H15951" s="42">
        <f t="shared" si="1"/>
        <v>3345</v>
      </c>
    </row>
    <row r="15952" ht="22.5" customHeight="1">
      <c r="B15952" s="42" t="str">
        <f>IFERROR(__xludf.DUMMYFUNCTION("""COMPUTED_VALUE"""),"")</f>
        <v/>
      </c>
      <c r="C15952" s="42" t="str">
        <f>IFERROR(__xludf.DUMMYFUNCTION("""COMPUTED_VALUE"""),"")</f>
        <v/>
      </c>
      <c r="D15952" s="42"/>
      <c r="E15952" s="42"/>
      <c r="F15952" s="48" t="str">
        <f>IFERROR(__xludf.DUMMYFUNCTION("""COMPUTED_VALUE"""),"")</f>
        <v/>
      </c>
      <c r="G15952" s="42" t="str">
        <f>IFERROR(__xludf.DUMMYFUNCTION("""COMPUTED_VALUE"""),"")</f>
        <v/>
      </c>
      <c r="H15952" s="42">
        <f t="shared" si="1"/>
        <v>3345</v>
      </c>
    </row>
    <row r="15953" ht="22.5" customHeight="1">
      <c r="B15953" s="42" t="str">
        <f>IFERROR(__xludf.DUMMYFUNCTION("""COMPUTED_VALUE"""),"")</f>
        <v/>
      </c>
      <c r="C15953" s="42" t="str">
        <f>IFERROR(__xludf.DUMMYFUNCTION("""COMPUTED_VALUE"""),"")</f>
        <v/>
      </c>
      <c r="D15953" s="42"/>
      <c r="E15953" s="42"/>
      <c r="F15953" s="48" t="str">
        <f>IFERROR(__xludf.DUMMYFUNCTION("""COMPUTED_VALUE"""),"")</f>
        <v/>
      </c>
      <c r="G15953" s="42" t="str">
        <f>IFERROR(__xludf.DUMMYFUNCTION("""COMPUTED_VALUE"""),"")</f>
        <v/>
      </c>
      <c r="H15953" s="42">
        <f t="shared" si="1"/>
        <v>3345</v>
      </c>
    </row>
    <row r="15954" ht="22.5" customHeight="1">
      <c r="B15954" s="42" t="str">
        <f>IFERROR(__xludf.DUMMYFUNCTION("""COMPUTED_VALUE"""),"")</f>
        <v/>
      </c>
      <c r="C15954" s="42" t="str">
        <f>IFERROR(__xludf.DUMMYFUNCTION("""COMPUTED_VALUE"""),"")</f>
        <v/>
      </c>
      <c r="D15954" s="42"/>
      <c r="E15954" s="42"/>
      <c r="F15954" s="48" t="str">
        <f>IFERROR(__xludf.DUMMYFUNCTION("""COMPUTED_VALUE"""),"")</f>
        <v/>
      </c>
      <c r="G15954" s="42" t="str">
        <f>IFERROR(__xludf.DUMMYFUNCTION("""COMPUTED_VALUE"""),"")</f>
        <v/>
      </c>
      <c r="H15954" s="42">
        <f t="shared" si="1"/>
        <v>3345</v>
      </c>
    </row>
    <row r="15955" ht="22.5" customHeight="1">
      <c r="B15955" s="42" t="str">
        <f>IFERROR(__xludf.DUMMYFUNCTION("""COMPUTED_VALUE"""),"")</f>
        <v/>
      </c>
      <c r="C15955" s="42" t="str">
        <f>IFERROR(__xludf.DUMMYFUNCTION("""COMPUTED_VALUE"""),"")</f>
        <v/>
      </c>
      <c r="D15955" s="42"/>
      <c r="E15955" s="42"/>
      <c r="F15955" s="48" t="str">
        <f>IFERROR(__xludf.DUMMYFUNCTION("""COMPUTED_VALUE"""),"")</f>
        <v/>
      </c>
      <c r="G15955" s="42" t="str">
        <f>IFERROR(__xludf.DUMMYFUNCTION("""COMPUTED_VALUE"""),"")</f>
        <v/>
      </c>
      <c r="H15955" s="42">
        <f t="shared" si="1"/>
        <v>3345</v>
      </c>
    </row>
    <row r="15956" ht="22.5" customHeight="1">
      <c r="B15956" s="42" t="str">
        <f>IFERROR(__xludf.DUMMYFUNCTION("""COMPUTED_VALUE"""),"")</f>
        <v/>
      </c>
      <c r="C15956" s="42" t="str">
        <f>IFERROR(__xludf.DUMMYFUNCTION("""COMPUTED_VALUE"""),"")</f>
        <v/>
      </c>
      <c r="D15956" s="42"/>
      <c r="E15956" s="42"/>
      <c r="F15956" s="48" t="str">
        <f>IFERROR(__xludf.DUMMYFUNCTION("""COMPUTED_VALUE"""),"")</f>
        <v/>
      </c>
      <c r="G15956" s="42" t="str">
        <f>IFERROR(__xludf.DUMMYFUNCTION("""COMPUTED_VALUE"""),"")</f>
        <v/>
      </c>
      <c r="H15956" s="42">
        <f t="shared" si="1"/>
        <v>3345</v>
      </c>
    </row>
    <row r="15957" ht="22.5" customHeight="1">
      <c r="B15957" s="42" t="str">
        <f>IFERROR(__xludf.DUMMYFUNCTION("""COMPUTED_VALUE"""),"")</f>
        <v/>
      </c>
      <c r="C15957" s="42" t="str">
        <f>IFERROR(__xludf.DUMMYFUNCTION("""COMPUTED_VALUE"""),"")</f>
        <v/>
      </c>
      <c r="D15957" s="42"/>
      <c r="E15957" s="42"/>
      <c r="F15957" s="48" t="str">
        <f>IFERROR(__xludf.DUMMYFUNCTION("""COMPUTED_VALUE"""),"")</f>
        <v/>
      </c>
      <c r="G15957" s="42" t="str">
        <f>IFERROR(__xludf.DUMMYFUNCTION("""COMPUTED_VALUE"""),"")</f>
        <v/>
      </c>
      <c r="H15957" s="42">
        <f t="shared" si="1"/>
        <v>3345</v>
      </c>
    </row>
    <row r="15958" ht="22.5" customHeight="1">
      <c r="B15958" s="42" t="str">
        <f>IFERROR(__xludf.DUMMYFUNCTION("""COMPUTED_VALUE"""),"")</f>
        <v/>
      </c>
      <c r="C15958" s="42" t="str">
        <f>IFERROR(__xludf.DUMMYFUNCTION("""COMPUTED_VALUE"""),"")</f>
        <v/>
      </c>
      <c r="D15958" s="42"/>
      <c r="E15958" s="42"/>
      <c r="F15958" s="48" t="str">
        <f>IFERROR(__xludf.DUMMYFUNCTION("""COMPUTED_VALUE"""),"")</f>
        <v/>
      </c>
      <c r="G15958" s="42" t="str">
        <f>IFERROR(__xludf.DUMMYFUNCTION("""COMPUTED_VALUE"""),"")</f>
        <v/>
      </c>
      <c r="H15958" s="42">
        <f t="shared" si="1"/>
        <v>3345</v>
      </c>
    </row>
    <row r="15959" ht="22.5" customHeight="1">
      <c r="B15959" s="42" t="str">
        <f>IFERROR(__xludf.DUMMYFUNCTION("""COMPUTED_VALUE"""),"")</f>
        <v/>
      </c>
      <c r="C15959" s="42" t="str">
        <f>IFERROR(__xludf.DUMMYFUNCTION("""COMPUTED_VALUE"""),"")</f>
        <v/>
      </c>
      <c r="D15959" s="42"/>
      <c r="E15959" s="42"/>
      <c r="F15959" s="48" t="str">
        <f>IFERROR(__xludf.DUMMYFUNCTION("""COMPUTED_VALUE"""),"")</f>
        <v/>
      </c>
      <c r="G15959" s="42" t="str">
        <f>IFERROR(__xludf.DUMMYFUNCTION("""COMPUTED_VALUE"""),"")</f>
        <v/>
      </c>
      <c r="H15959" s="42">
        <f t="shared" si="1"/>
        <v>3345</v>
      </c>
    </row>
    <row r="15960" ht="22.5" customHeight="1">
      <c r="B15960" s="42" t="str">
        <f>IFERROR(__xludf.DUMMYFUNCTION("""COMPUTED_VALUE"""),"")</f>
        <v/>
      </c>
      <c r="C15960" s="42" t="str">
        <f>IFERROR(__xludf.DUMMYFUNCTION("""COMPUTED_VALUE"""),"")</f>
        <v/>
      </c>
      <c r="D15960" s="42"/>
      <c r="E15960" s="42"/>
      <c r="F15960" s="48" t="str">
        <f>IFERROR(__xludf.DUMMYFUNCTION("""COMPUTED_VALUE"""),"")</f>
        <v/>
      </c>
      <c r="G15960" s="42" t="str">
        <f>IFERROR(__xludf.DUMMYFUNCTION("""COMPUTED_VALUE"""),"")</f>
        <v/>
      </c>
      <c r="H15960" s="42">
        <f t="shared" si="1"/>
        <v>3345</v>
      </c>
    </row>
    <row r="15961" ht="22.5" customHeight="1">
      <c r="B15961" s="42" t="str">
        <f>IFERROR(__xludf.DUMMYFUNCTION("""COMPUTED_VALUE"""),"")</f>
        <v/>
      </c>
      <c r="C15961" s="42" t="str">
        <f>IFERROR(__xludf.DUMMYFUNCTION("""COMPUTED_VALUE"""),"")</f>
        <v/>
      </c>
      <c r="D15961" s="42"/>
      <c r="E15961" s="42"/>
      <c r="F15961" s="48" t="str">
        <f>IFERROR(__xludf.DUMMYFUNCTION("""COMPUTED_VALUE"""),"")</f>
        <v/>
      </c>
      <c r="G15961" s="42" t="str">
        <f>IFERROR(__xludf.DUMMYFUNCTION("""COMPUTED_VALUE"""),"")</f>
        <v/>
      </c>
      <c r="H15961" s="42">
        <f t="shared" si="1"/>
        <v>3345</v>
      </c>
    </row>
    <row r="15962" ht="22.5" customHeight="1">
      <c r="B15962" s="42" t="str">
        <f>IFERROR(__xludf.DUMMYFUNCTION("""COMPUTED_VALUE"""),"")</f>
        <v/>
      </c>
      <c r="C15962" s="42" t="str">
        <f>IFERROR(__xludf.DUMMYFUNCTION("""COMPUTED_VALUE"""),"")</f>
        <v/>
      </c>
      <c r="D15962" s="42"/>
      <c r="E15962" s="42"/>
      <c r="F15962" s="48" t="str">
        <f>IFERROR(__xludf.DUMMYFUNCTION("""COMPUTED_VALUE"""),"")</f>
        <v/>
      </c>
      <c r="G15962" s="42" t="str">
        <f>IFERROR(__xludf.DUMMYFUNCTION("""COMPUTED_VALUE"""),"")</f>
        <v/>
      </c>
      <c r="H15962" s="42">
        <f t="shared" si="1"/>
        <v>3345</v>
      </c>
    </row>
    <row r="15963" ht="22.5" customHeight="1">
      <c r="B15963" s="42" t="str">
        <f>IFERROR(__xludf.DUMMYFUNCTION("""COMPUTED_VALUE"""),"")</f>
        <v/>
      </c>
      <c r="C15963" s="42" t="str">
        <f>IFERROR(__xludf.DUMMYFUNCTION("""COMPUTED_VALUE"""),"")</f>
        <v/>
      </c>
      <c r="D15963" s="42"/>
      <c r="E15963" s="42"/>
      <c r="F15963" s="48" t="str">
        <f>IFERROR(__xludf.DUMMYFUNCTION("""COMPUTED_VALUE"""),"")</f>
        <v/>
      </c>
      <c r="G15963" s="42" t="str">
        <f>IFERROR(__xludf.DUMMYFUNCTION("""COMPUTED_VALUE"""),"")</f>
        <v/>
      </c>
      <c r="H15963" s="42">
        <f t="shared" si="1"/>
        <v>3345</v>
      </c>
    </row>
    <row r="15964" ht="22.5" customHeight="1">
      <c r="B15964" s="42" t="str">
        <f>IFERROR(__xludf.DUMMYFUNCTION("""COMPUTED_VALUE"""),"")</f>
        <v/>
      </c>
      <c r="C15964" s="42" t="str">
        <f>IFERROR(__xludf.DUMMYFUNCTION("""COMPUTED_VALUE"""),"")</f>
        <v/>
      </c>
      <c r="D15964" s="42"/>
      <c r="E15964" s="42"/>
      <c r="F15964" s="48" t="str">
        <f>IFERROR(__xludf.DUMMYFUNCTION("""COMPUTED_VALUE"""),"")</f>
        <v/>
      </c>
      <c r="G15964" s="42" t="str">
        <f>IFERROR(__xludf.DUMMYFUNCTION("""COMPUTED_VALUE"""),"")</f>
        <v/>
      </c>
      <c r="H15964" s="42">
        <f t="shared" si="1"/>
        <v>3345</v>
      </c>
    </row>
    <row r="15965" ht="22.5" customHeight="1">
      <c r="B15965" s="42" t="str">
        <f>IFERROR(__xludf.DUMMYFUNCTION("""COMPUTED_VALUE"""),"")</f>
        <v/>
      </c>
      <c r="C15965" s="42" t="str">
        <f>IFERROR(__xludf.DUMMYFUNCTION("""COMPUTED_VALUE"""),"")</f>
        <v/>
      </c>
      <c r="D15965" s="42"/>
      <c r="E15965" s="42"/>
      <c r="F15965" s="48" t="str">
        <f>IFERROR(__xludf.DUMMYFUNCTION("""COMPUTED_VALUE"""),"")</f>
        <v/>
      </c>
      <c r="G15965" s="42" t="str">
        <f>IFERROR(__xludf.DUMMYFUNCTION("""COMPUTED_VALUE"""),"")</f>
        <v/>
      </c>
      <c r="H15965" s="42">
        <f t="shared" si="1"/>
        <v>3345</v>
      </c>
    </row>
    <row r="15966" ht="22.5" customHeight="1">
      <c r="B15966" s="42" t="str">
        <f>IFERROR(__xludf.DUMMYFUNCTION("""COMPUTED_VALUE"""),"")</f>
        <v/>
      </c>
      <c r="C15966" s="42" t="str">
        <f>IFERROR(__xludf.DUMMYFUNCTION("""COMPUTED_VALUE"""),"")</f>
        <v/>
      </c>
      <c r="D15966" s="42"/>
      <c r="E15966" s="42"/>
      <c r="F15966" s="48" t="str">
        <f>IFERROR(__xludf.DUMMYFUNCTION("""COMPUTED_VALUE"""),"")</f>
        <v/>
      </c>
      <c r="G15966" s="42" t="str">
        <f>IFERROR(__xludf.DUMMYFUNCTION("""COMPUTED_VALUE"""),"")</f>
        <v/>
      </c>
      <c r="H15966" s="42">
        <f t="shared" si="1"/>
        <v>3345</v>
      </c>
    </row>
    <row r="15967" ht="22.5" customHeight="1">
      <c r="B15967" s="42" t="str">
        <f>IFERROR(__xludf.DUMMYFUNCTION("""COMPUTED_VALUE"""),"")</f>
        <v/>
      </c>
      <c r="C15967" s="42" t="str">
        <f>IFERROR(__xludf.DUMMYFUNCTION("""COMPUTED_VALUE"""),"")</f>
        <v/>
      </c>
      <c r="D15967" s="42"/>
      <c r="E15967" s="42"/>
      <c r="F15967" s="48" t="str">
        <f>IFERROR(__xludf.DUMMYFUNCTION("""COMPUTED_VALUE"""),"")</f>
        <v/>
      </c>
      <c r="G15967" s="42" t="str">
        <f>IFERROR(__xludf.DUMMYFUNCTION("""COMPUTED_VALUE"""),"")</f>
        <v/>
      </c>
      <c r="H15967" s="42">
        <f t="shared" si="1"/>
        <v>3345</v>
      </c>
    </row>
    <row r="15968" ht="22.5" customHeight="1">
      <c r="B15968" s="42" t="str">
        <f>IFERROR(__xludf.DUMMYFUNCTION("""COMPUTED_VALUE"""),"")</f>
        <v/>
      </c>
      <c r="C15968" s="42" t="str">
        <f>IFERROR(__xludf.DUMMYFUNCTION("""COMPUTED_VALUE"""),"")</f>
        <v/>
      </c>
      <c r="D15968" s="42"/>
      <c r="E15968" s="42"/>
      <c r="F15968" s="48" t="str">
        <f>IFERROR(__xludf.DUMMYFUNCTION("""COMPUTED_VALUE"""),"")</f>
        <v/>
      </c>
      <c r="G15968" s="42" t="str">
        <f>IFERROR(__xludf.DUMMYFUNCTION("""COMPUTED_VALUE"""),"")</f>
        <v/>
      </c>
      <c r="H15968" s="42">
        <f t="shared" si="1"/>
        <v>3345</v>
      </c>
    </row>
    <row r="15969" ht="22.5" customHeight="1">
      <c r="B15969" s="42" t="str">
        <f>IFERROR(__xludf.DUMMYFUNCTION("""COMPUTED_VALUE"""),"")</f>
        <v/>
      </c>
      <c r="C15969" s="42" t="str">
        <f>IFERROR(__xludf.DUMMYFUNCTION("""COMPUTED_VALUE"""),"")</f>
        <v/>
      </c>
      <c r="D15969" s="42"/>
      <c r="E15969" s="42"/>
      <c r="F15969" s="48" t="str">
        <f>IFERROR(__xludf.DUMMYFUNCTION("""COMPUTED_VALUE"""),"")</f>
        <v/>
      </c>
      <c r="G15969" s="42" t="str">
        <f>IFERROR(__xludf.DUMMYFUNCTION("""COMPUTED_VALUE"""),"")</f>
        <v/>
      </c>
      <c r="H15969" s="42">
        <f t="shared" si="1"/>
        <v>3345</v>
      </c>
    </row>
    <row r="15970" ht="22.5" customHeight="1">
      <c r="B15970" s="42" t="str">
        <f>IFERROR(__xludf.DUMMYFUNCTION("""COMPUTED_VALUE"""),"")</f>
        <v/>
      </c>
      <c r="C15970" s="42" t="str">
        <f>IFERROR(__xludf.DUMMYFUNCTION("""COMPUTED_VALUE"""),"")</f>
        <v/>
      </c>
      <c r="D15970" s="42"/>
      <c r="E15970" s="42"/>
      <c r="F15970" s="48" t="str">
        <f>IFERROR(__xludf.DUMMYFUNCTION("""COMPUTED_VALUE"""),"")</f>
        <v/>
      </c>
      <c r="G15970" s="42" t="str">
        <f>IFERROR(__xludf.DUMMYFUNCTION("""COMPUTED_VALUE"""),"")</f>
        <v/>
      </c>
      <c r="H15970" s="42">
        <f t="shared" si="1"/>
        <v>3345</v>
      </c>
    </row>
    <row r="15971" ht="22.5" customHeight="1">
      <c r="B15971" s="42" t="str">
        <f>IFERROR(__xludf.DUMMYFUNCTION("""COMPUTED_VALUE"""),"")</f>
        <v/>
      </c>
      <c r="C15971" s="42" t="str">
        <f>IFERROR(__xludf.DUMMYFUNCTION("""COMPUTED_VALUE"""),"")</f>
        <v/>
      </c>
      <c r="D15971" s="42"/>
      <c r="E15971" s="42"/>
      <c r="F15971" s="48" t="str">
        <f>IFERROR(__xludf.DUMMYFUNCTION("""COMPUTED_VALUE"""),"")</f>
        <v/>
      </c>
      <c r="G15971" s="42" t="str">
        <f>IFERROR(__xludf.DUMMYFUNCTION("""COMPUTED_VALUE"""),"")</f>
        <v/>
      </c>
      <c r="H15971" s="42">
        <f t="shared" si="1"/>
        <v>3345</v>
      </c>
    </row>
    <row r="15972" ht="22.5" customHeight="1">
      <c r="B15972" s="42" t="str">
        <f>IFERROR(__xludf.DUMMYFUNCTION("""COMPUTED_VALUE"""),"")</f>
        <v/>
      </c>
      <c r="C15972" s="42" t="str">
        <f>IFERROR(__xludf.DUMMYFUNCTION("""COMPUTED_VALUE"""),"")</f>
        <v/>
      </c>
      <c r="D15972" s="42"/>
      <c r="E15972" s="42"/>
      <c r="F15972" s="48" t="str">
        <f>IFERROR(__xludf.DUMMYFUNCTION("""COMPUTED_VALUE"""),"")</f>
        <v/>
      </c>
      <c r="G15972" s="42" t="str">
        <f>IFERROR(__xludf.DUMMYFUNCTION("""COMPUTED_VALUE"""),"")</f>
        <v/>
      </c>
      <c r="H15972" s="42">
        <f t="shared" si="1"/>
        <v>3345</v>
      </c>
    </row>
    <row r="15973" ht="22.5" customHeight="1">
      <c r="B15973" s="42" t="str">
        <f>IFERROR(__xludf.DUMMYFUNCTION("""COMPUTED_VALUE"""),"")</f>
        <v/>
      </c>
      <c r="C15973" s="42" t="str">
        <f>IFERROR(__xludf.DUMMYFUNCTION("""COMPUTED_VALUE"""),"")</f>
        <v/>
      </c>
      <c r="D15973" s="42"/>
      <c r="E15973" s="42"/>
      <c r="F15973" s="48" t="str">
        <f>IFERROR(__xludf.DUMMYFUNCTION("""COMPUTED_VALUE"""),"")</f>
        <v/>
      </c>
      <c r="G15973" s="42" t="str">
        <f>IFERROR(__xludf.DUMMYFUNCTION("""COMPUTED_VALUE"""),"")</f>
        <v/>
      </c>
      <c r="H15973" s="42">
        <f t="shared" si="1"/>
        <v>3345</v>
      </c>
    </row>
    <row r="15974" ht="22.5" customHeight="1">
      <c r="B15974" s="42" t="str">
        <f>IFERROR(__xludf.DUMMYFUNCTION("""COMPUTED_VALUE"""),"")</f>
        <v/>
      </c>
      <c r="C15974" s="42" t="str">
        <f>IFERROR(__xludf.DUMMYFUNCTION("""COMPUTED_VALUE"""),"")</f>
        <v/>
      </c>
      <c r="D15974" s="42"/>
      <c r="E15974" s="42"/>
      <c r="F15974" s="48" t="str">
        <f>IFERROR(__xludf.DUMMYFUNCTION("""COMPUTED_VALUE"""),"")</f>
        <v/>
      </c>
      <c r="G15974" s="42" t="str">
        <f>IFERROR(__xludf.DUMMYFUNCTION("""COMPUTED_VALUE"""),"")</f>
        <v/>
      </c>
      <c r="H15974" s="42">
        <f t="shared" si="1"/>
        <v>3345</v>
      </c>
    </row>
    <row r="15975" ht="22.5" customHeight="1">
      <c r="B15975" s="42" t="str">
        <f>IFERROR(__xludf.DUMMYFUNCTION("""COMPUTED_VALUE"""),"")</f>
        <v/>
      </c>
      <c r="C15975" s="42" t="str">
        <f>IFERROR(__xludf.DUMMYFUNCTION("""COMPUTED_VALUE"""),"")</f>
        <v/>
      </c>
      <c r="D15975" s="42"/>
      <c r="E15975" s="42"/>
      <c r="F15975" s="48" t="str">
        <f>IFERROR(__xludf.DUMMYFUNCTION("""COMPUTED_VALUE"""),"")</f>
        <v/>
      </c>
      <c r="G15975" s="42" t="str">
        <f>IFERROR(__xludf.DUMMYFUNCTION("""COMPUTED_VALUE"""),"")</f>
        <v/>
      </c>
      <c r="H15975" s="42">
        <f t="shared" si="1"/>
        <v>3345</v>
      </c>
    </row>
    <row r="15976" ht="22.5" customHeight="1">
      <c r="B15976" s="42" t="str">
        <f>IFERROR(__xludf.DUMMYFUNCTION("""COMPUTED_VALUE"""),"")</f>
        <v/>
      </c>
      <c r="C15976" s="42" t="str">
        <f>IFERROR(__xludf.DUMMYFUNCTION("""COMPUTED_VALUE"""),"")</f>
        <v/>
      </c>
      <c r="D15976" s="42"/>
      <c r="E15976" s="42"/>
      <c r="F15976" s="48" t="str">
        <f>IFERROR(__xludf.DUMMYFUNCTION("""COMPUTED_VALUE"""),"")</f>
        <v/>
      </c>
      <c r="G15976" s="42" t="str">
        <f>IFERROR(__xludf.DUMMYFUNCTION("""COMPUTED_VALUE"""),"")</f>
        <v/>
      </c>
      <c r="H15976" s="42">
        <f t="shared" si="1"/>
        <v>3345</v>
      </c>
    </row>
    <row r="15977" ht="22.5" customHeight="1">
      <c r="B15977" s="42" t="str">
        <f>IFERROR(__xludf.DUMMYFUNCTION("""COMPUTED_VALUE"""),"")</f>
        <v/>
      </c>
      <c r="C15977" s="42" t="str">
        <f>IFERROR(__xludf.DUMMYFUNCTION("""COMPUTED_VALUE"""),"")</f>
        <v/>
      </c>
      <c r="D15977" s="42"/>
      <c r="E15977" s="42"/>
      <c r="F15977" s="48" t="str">
        <f>IFERROR(__xludf.DUMMYFUNCTION("""COMPUTED_VALUE"""),"")</f>
        <v/>
      </c>
      <c r="G15977" s="42" t="str">
        <f>IFERROR(__xludf.DUMMYFUNCTION("""COMPUTED_VALUE"""),"")</f>
        <v/>
      </c>
      <c r="H15977" s="42">
        <f t="shared" si="1"/>
        <v>3345</v>
      </c>
    </row>
    <row r="15978" ht="22.5" customHeight="1">
      <c r="B15978" s="42" t="str">
        <f>IFERROR(__xludf.DUMMYFUNCTION("""COMPUTED_VALUE"""),"")</f>
        <v/>
      </c>
      <c r="C15978" s="42" t="str">
        <f>IFERROR(__xludf.DUMMYFUNCTION("""COMPUTED_VALUE"""),"")</f>
        <v/>
      </c>
      <c r="D15978" s="42"/>
      <c r="E15978" s="42"/>
      <c r="F15978" s="48" t="str">
        <f>IFERROR(__xludf.DUMMYFUNCTION("""COMPUTED_VALUE"""),"")</f>
        <v/>
      </c>
      <c r="G15978" s="42" t="str">
        <f>IFERROR(__xludf.DUMMYFUNCTION("""COMPUTED_VALUE"""),"")</f>
        <v/>
      </c>
      <c r="H15978" s="42">
        <f t="shared" si="1"/>
        <v>3345</v>
      </c>
    </row>
    <row r="15979" ht="22.5" customHeight="1">
      <c r="B15979" s="42" t="str">
        <f>IFERROR(__xludf.DUMMYFUNCTION("""COMPUTED_VALUE"""),"")</f>
        <v/>
      </c>
      <c r="C15979" s="42" t="str">
        <f>IFERROR(__xludf.DUMMYFUNCTION("""COMPUTED_VALUE"""),"")</f>
        <v/>
      </c>
      <c r="D15979" s="42"/>
      <c r="E15979" s="42"/>
      <c r="F15979" s="48" t="str">
        <f>IFERROR(__xludf.DUMMYFUNCTION("""COMPUTED_VALUE"""),"")</f>
        <v/>
      </c>
      <c r="G15979" s="42" t="str">
        <f>IFERROR(__xludf.DUMMYFUNCTION("""COMPUTED_VALUE"""),"")</f>
        <v/>
      </c>
      <c r="H15979" s="42">
        <f t="shared" si="1"/>
        <v>3345</v>
      </c>
    </row>
    <row r="15980" ht="22.5" customHeight="1">
      <c r="B15980" s="42" t="str">
        <f>IFERROR(__xludf.DUMMYFUNCTION("""COMPUTED_VALUE"""),"")</f>
        <v/>
      </c>
      <c r="C15980" s="42" t="str">
        <f>IFERROR(__xludf.DUMMYFUNCTION("""COMPUTED_VALUE"""),"")</f>
        <v/>
      </c>
      <c r="D15980" s="42"/>
      <c r="E15980" s="42"/>
      <c r="F15980" s="48" t="str">
        <f>IFERROR(__xludf.DUMMYFUNCTION("""COMPUTED_VALUE"""),"")</f>
        <v/>
      </c>
      <c r="G15980" s="42" t="str">
        <f>IFERROR(__xludf.DUMMYFUNCTION("""COMPUTED_VALUE"""),"")</f>
        <v/>
      </c>
      <c r="H15980" s="42">
        <f t="shared" si="1"/>
        <v>3345</v>
      </c>
    </row>
    <row r="15981" ht="22.5" customHeight="1">
      <c r="B15981" s="42" t="str">
        <f>IFERROR(__xludf.DUMMYFUNCTION("""COMPUTED_VALUE"""),"")</f>
        <v/>
      </c>
      <c r="C15981" s="42" t="str">
        <f>IFERROR(__xludf.DUMMYFUNCTION("""COMPUTED_VALUE"""),"")</f>
        <v/>
      </c>
      <c r="D15981" s="42"/>
      <c r="E15981" s="42"/>
      <c r="F15981" s="48" t="str">
        <f>IFERROR(__xludf.DUMMYFUNCTION("""COMPUTED_VALUE"""),"")</f>
        <v/>
      </c>
      <c r="G15981" s="42" t="str">
        <f>IFERROR(__xludf.DUMMYFUNCTION("""COMPUTED_VALUE"""),"")</f>
        <v/>
      </c>
      <c r="H15981" s="42">
        <f t="shared" si="1"/>
        <v>3345</v>
      </c>
    </row>
    <row r="15982" ht="22.5" customHeight="1">
      <c r="B15982" s="42" t="str">
        <f>IFERROR(__xludf.DUMMYFUNCTION("""COMPUTED_VALUE"""),"")</f>
        <v/>
      </c>
      <c r="C15982" s="42" t="str">
        <f>IFERROR(__xludf.DUMMYFUNCTION("""COMPUTED_VALUE"""),"")</f>
        <v/>
      </c>
      <c r="D15982" s="42"/>
      <c r="E15982" s="42"/>
      <c r="F15982" s="48" t="str">
        <f>IFERROR(__xludf.DUMMYFUNCTION("""COMPUTED_VALUE"""),"")</f>
        <v/>
      </c>
      <c r="G15982" s="42" t="str">
        <f>IFERROR(__xludf.DUMMYFUNCTION("""COMPUTED_VALUE"""),"")</f>
        <v/>
      </c>
      <c r="H15982" s="42">
        <f t="shared" si="1"/>
        <v>3345</v>
      </c>
    </row>
    <row r="15983" ht="22.5" customHeight="1">
      <c r="B15983" s="42" t="str">
        <f>IFERROR(__xludf.DUMMYFUNCTION("""COMPUTED_VALUE"""),"")</f>
        <v/>
      </c>
      <c r="C15983" s="42" t="str">
        <f>IFERROR(__xludf.DUMMYFUNCTION("""COMPUTED_VALUE"""),"")</f>
        <v/>
      </c>
      <c r="D15983" s="42"/>
      <c r="E15983" s="42"/>
      <c r="F15983" s="48" t="str">
        <f>IFERROR(__xludf.DUMMYFUNCTION("""COMPUTED_VALUE"""),"")</f>
        <v/>
      </c>
      <c r="G15983" s="42" t="str">
        <f>IFERROR(__xludf.DUMMYFUNCTION("""COMPUTED_VALUE"""),"")</f>
        <v/>
      </c>
      <c r="H15983" s="42">
        <f t="shared" si="1"/>
        <v>3345</v>
      </c>
    </row>
    <row r="15984" ht="22.5" customHeight="1">
      <c r="B15984" s="42" t="str">
        <f>IFERROR(__xludf.DUMMYFUNCTION("""COMPUTED_VALUE"""),"")</f>
        <v/>
      </c>
      <c r="C15984" s="42" t="str">
        <f>IFERROR(__xludf.DUMMYFUNCTION("""COMPUTED_VALUE"""),"")</f>
        <v/>
      </c>
      <c r="D15984" s="42"/>
      <c r="E15984" s="42"/>
      <c r="F15984" s="48" t="str">
        <f>IFERROR(__xludf.DUMMYFUNCTION("""COMPUTED_VALUE"""),"")</f>
        <v/>
      </c>
      <c r="G15984" s="42" t="str">
        <f>IFERROR(__xludf.DUMMYFUNCTION("""COMPUTED_VALUE"""),"")</f>
        <v/>
      </c>
      <c r="H15984" s="42">
        <f t="shared" si="1"/>
        <v>3345</v>
      </c>
    </row>
    <row r="15985" ht="22.5" customHeight="1">
      <c r="B15985" s="42" t="str">
        <f>IFERROR(__xludf.DUMMYFUNCTION("""COMPUTED_VALUE"""),"")</f>
        <v/>
      </c>
      <c r="C15985" s="42" t="str">
        <f>IFERROR(__xludf.DUMMYFUNCTION("""COMPUTED_VALUE"""),"")</f>
        <v/>
      </c>
      <c r="D15985" s="42"/>
      <c r="E15985" s="42"/>
      <c r="F15985" s="48" t="str">
        <f>IFERROR(__xludf.DUMMYFUNCTION("""COMPUTED_VALUE"""),"")</f>
        <v/>
      </c>
      <c r="G15985" s="42" t="str">
        <f>IFERROR(__xludf.DUMMYFUNCTION("""COMPUTED_VALUE"""),"")</f>
        <v/>
      </c>
      <c r="H15985" s="42">
        <f t="shared" si="1"/>
        <v>3345</v>
      </c>
    </row>
    <row r="15986" ht="22.5" customHeight="1">
      <c r="B15986" s="42" t="str">
        <f>IFERROR(__xludf.DUMMYFUNCTION("""COMPUTED_VALUE"""),"")</f>
        <v/>
      </c>
      <c r="C15986" s="42" t="str">
        <f>IFERROR(__xludf.DUMMYFUNCTION("""COMPUTED_VALUE"""),"")</f>
        <v/>
      </c>
      <c r="D15986" s="42"/>
      <c r="E15986" s="42"/>
      <c r="F15986" s="48" t="str">
        <f>IFERROR(__xludf.DUMMYFUNCTION("""COMPUTED_VALUE"""),"")</f>
        <v/>
      </c>
      <c r="G15986" s="42" t="str">
        <f>IFERROR(__xludf.DUMMYFUNCTION("""COMPUTED_VALUE"""),"")</f>
        <v/>
      </c>
      <c r="H15986" s="42">
        <f t="shared" si="1"/>
        <v>3345</v>
      </c>
    </row>
    <row r="15987" ht="22.5" customHeight="1">
      <c r="B15987" s="42" t="str">
        <f>IFERROR(__xludf.DUMMYFUNCTION("""COMPUTED_VALUE"""),"")</f>
        <v/>
      </c>
      <c r="C15987" s="42" t="str">
        <f>IFERROR(__xludf.DUMMYFUNCTION("""COMPUTED_VALUE"""),"")</f>
        <v/>
      </c>
      <c r="D15987" s="42"/>
      <c r="E15987" s="42"/>
      <c r="F15987" s="48" t="str">
        <f>IFERROR(__xludf.DUMMYFUNCTION("""COMPUTED_VALUE"""),"")</f>
        <v/>
      </c>
      <c r="G15987" s="42" t="str">
        <f>IFERROR(__xludf.DUMMYFUNCTION("""COMPUTED_VALUE"""),"")</f>
        <v/>
      </c>
      <c r="H15987" s="42">
        <f t="shared" si="1"/>
        <v>3345</v>
      </c>
    </row>
    <row r="15988" ht="22.5" customHeight="1">
      <c r="B15988" s="42" t="str">
        <f>IFERROR(__xludf.DUMMYFUNCTION("""COMPUTED_VALUE"""),"")</f>
        <v/>
      </c>
      <c r="C15988" s="42" t="str">
        <f>IFERROR(__xludf.DUMMYFUNCTION("""COMPUTED_VALUE"""),"")</f>
        <v/>
      </c>
      <c r="D15988" s="42"/>
      <c r="E15988" s="42"/>
      <c r="F15988" s="48" t="str">
        <f>IFERROR(__xludf.DUMMYFUNCTION("""COMPUTED_VALUE"""),"")</f>
        <v/>
      </c>
      <c r="G15988" s="42" t="str">
        <f>IFERROR(__xludf.DUMMYFUNCTION("""COMPUTED_VALUE"""),"")</f>
        <v/>
      </c>
      <c r="H15988" s="42">
        <f t="shared" si="1"/>
        <v>3345</v>
      </c>
    </row>
    <row r="15989" ht="22.5" customHeight="1">
      <c r="B15989" s="42" t="str">
        <f>IFERROR(__xludf.DUMMYFUNCTION("""COMPUTED_VALUE"""),"")</f>
        <v/>
      </c>
      <c r="C15989" s="42" t="str">
        <f>IFERROR(__xludf.DUMMYFUNCTION("""COMPUTED_VALUE"""),"")</f>
        <v/>
      </c>
      <c r="D15989" s="42"/>
      <c r="E15989" s="42"/>
      <c r="F15989" s="48" t="str">
        <f>IFERROR(__xludf.DUMMYFUNCTION("""COMPUTED_VALUE"""),"")</f>
        <v/>
      </c>
      <c r="G15989" s="42" t="str">
        <f>IFERROR(__xludf.DUMMYFUNCTION("""COMPUTED_VALUE"""),"")</f>
        <v/>
      </c>
      <c r="H15989" s="42">
        <f t="shared" si="1"/>
        <v>3345</v>
      </c>
    </row>
    <row r="15990" ht="22.5" customHeight="1">
      <c r="B15990" s="42" t="str">
        <f>IFERROR(__xludf.DUMMYFUNCTION("""COMPUTED_VALUE"""),"")</f>
        <v/>
      </c>
      <c r="C15990" s="42" t="str">
        <f>IFERROR(__xludf.DUMMYFUNCTION("""COMPUTED_VALUE"""),"")</f>
        <v/>
      </c>
      <c r="D15990" s="42"/>
      <c r="E15990" s="42"/>
      <c r="F15990" s="48" t="str">
        <f>IFERROR(__xludf.DUMMYFUNCTION("""COMPUTED_VALUE"""),"")</f>
        <v/>
      </c>
      <c r="G15990" s="42" t="str">
        <f>IFERROR(__xludf.DUMMYFUNCTION("""COMPUTED_VALUE"""),"")</f>
        <v/>
      </c>
      <c r="H15990" s="42">
        <f t="shared" si="1"/>
        <v>3345</v>
      </c>
    </row>
    <row r="15991" ht="22.5" customHeight="1">
      <c r="B15991" s="42" t="str">
        <f>IFERROR(__xludf.DUMMYFUNCTION("""COMPUTED_VALUE"""),"")</f>
        <v/>
      </c>
      <c r="C15991" s="42" t="str">
        <f>IFERROR(__xludf.DUMMYFUNCTION("""COMPUTED_VALUE"""),"")</f>
        <v/>
      </c>
      <c r="D15991" s="42"/>
      <c r="E15991" s="42"/>
      <c r="F15991" s="48" t="str">
        <f>IFERROR(__xludf.DUMMYFUNCTION("""COMPUTED_VALUE"""),"")</f>
        <v/>
      </c>
      <c r="G15991" s="42" t="str">
        <f>IFERROR(__xludf.DUMMYFUNCTION("""COMPUTED_VALUE"""),"")</f>
        <v/>
      </c>
      <c r="H15991" s="42">
        <f t="shared" si="1"/>
        <v>3345</v>
      </c>
    </row>
    <row r="15992" ht="22.5" customHeight="1">
      <c r="B15992" s="42" t="str">
        <f>IFERROR(__xludf.DUMMYFUNCTION("""COMPUTED_VALUE"""),"")</f>
        <v/>
      </c>
      <c r="C15992" s="42" t="str">
        <f>IFERROR(__xludf.DUMMYFUNCTION("""COMPUTED_VALUE"""),"")</f>
        <v/>
      </c>
      <c r="D15992" s="42"/>
      <c r="E15992" s="42"/>
      <c r="F15992" s="48" t="str">
        <f>IFERROR(__xludf.DUMMYFUNCTION("""COMPUTED_VALUE"""),"")</f>
        <v/>
      </c>
      <c r="G15992" s="42" t="str">
        <f>IFERROR(__xludf.DUMMYFUNCTION("""COMPUTED_VALUE"""),"")</f>
        <v/>
      </c>
      <c r="H15992" s="42">
        <f t="shared" si="1"/>
        <v>3345</v>
      </c>
    </row>
    <row r="15993" ht="22.5" customHeight="1">
      <c r="B15993" s="42" t="str">
        <f>IFERROR(__xludf.DUMMYFUNCTION("""COMPUTED_VALUE"""),"")</f>
        <v/>
      </c>
      <c r="C15993" s="42" t="str">
        <f>IFERROR(__xludf.DUMMYFUNCTION("""COMPUTED_VALUE"""),"")</f>
        <v/>
      </c>
      <c r="D15993" s="42"/>
      <c r="E15993" s="42"/>
      <c r="F15993" s="48" t="str">
        <f>IFERROR(__xludf.DUMMYFUNCTION("""COMPUTED_VALUE"""),"")</f>
        <v/>
      </c>
      <c r="G15993" s="42" t="str">
        <f>IFERROR(__xludf.DUMMYFUNCTION("""COMPUTED_VALUE"""),"")</f>
        <v/>
      </c>
      <c r="H15993" s="42">
        <f t="shared" si="1"/>
        <v>3345</v>
      </c>
    </row>
    <row r="15994" ht="22.5" customHeight="1">
      <c r="B15994" s="42" t="str">
        <f>IFERROR(__xludf.DUMMYFUNCTION("""COMPUTED_VALUE"""),"")</f>
        <v/>
      </c>
      <c r="C15994" s="42" t="str">
        <f>IFERROR(__xludf.DUMMYFUNCTION("""COMPUTED_VALUE"""),"")</f>
        <v/>
      </c>
      <c r="D15994" s="42"/>
      <c r="E15994" s="42"/>
      <c r="F15994" s="48" t="str">
        <f>IFERROR(__xludf.DUMMYFUNCTION("""COMPUTED_VALUE"""),"")</f>
        <v/>
      </c>
      <c r="G15994" s="42" t="str">
        <f>IFERROR(__xludf.DUMMYFUNCTION("""COMPUTED_VALUE"""),"")</f>
        <v/>
      </c>
      <c r="H15994" s="42">
        <f t="shared" si="1"/>
        <v>3345</v>
      </c>
    </row>
    <row r="15995" ht="22.5" customHeight="1">
      <c r="B15995" s="42" t="str">
        <f>IFERROR(__xludf.DUMMYFUNCTION("""COMPUTED_VALUE"""),"")</f>
        <v/>
      </c>
      <c r="C15995" s="42" t="str">
        <f>IFERROR(__xludf.DUMMYFUNCTION("""COMPUTED_VALUE"""),"")</f>
        <v/>
      </c>
      <c r="D15995" s="42"/>
      <c r="E15995" s="42"/>
      <c r="F15995" s="48" t="str">
        <f>IFERROR(__xludf.DUMMYFUNCTION("""COMPUTED_VALUE"""),"")</f>
        <v/>
      </c>
      <c r="G15995" s="42" t="str">
        <f>IFERROR(__xludf.DUMMYFUNCTION("""COMPUTED_VALUE"""),"")</f>
        <v/>
      </c>
      <c r="H15995" s="42">
        <f t="shared" si="1"/>
        <v>3345</v>
      </c>
    </row>
    <row r="15996" ht="22.5" customHeight="1">
      <c r="B15996" s="42" t="str">
        <f>IFERROR(__xludf.DUMMYFUNCTION("""COMPUTED_VALUE"""),"")</f>
        <v/>
      </c>
      <c r="C15996" s="42" t="str">
        <f>IFERROR(__xludf.DUMMYFUNCTION("""COMPUTED_VALUE"""),"")</f>
        <v/>
      </c>
      <c r="D15996" s="42"/>
      <c r="E15996" s="42"/>
      <c r="F15996" s="48" t="str">
        <f>IFERROR(__xludf.DUMMYFUNCTION("""COMPUTED_VALUE"""),"")</f>
        <v/>
      </c>
      <c r="G15996" s="42" t="str">
        <f>IFERROR(__xludf.DUMMYFUNCTION("""COMPUTED_VALUE"""),"")</f>
        <v/>
      </c>
      <c r="H15996" s="42">
        <f t="shared" si="1"/>
        <v>3345</v>
      </c>
    </row>
    <row r="15997" ht="22.5" customHeight="1">
      <c r="B15997" s="42" t="str">
        <f>IFERROR(__xludf.DUMMYFUNCTION("""COMPUTED_VALUE"""),"")</f>
        <v/>
      </c>
      <c r="C15997" s="42" t="str">
        <f>IFERROR(__xludf.DUMMYFUNCTION("""COMPUTED_VALUE"""),"")</f>
        <v/>
      </c>
      <c r="D15997" s="42"/>
      <c r="E15997" s="42"/>
      <c r="F15997" s="48" t="str">
        <f>IFERROR(__xludf.DUMMYFUNCTION("""COMPUTED_VALUE"""),"")</f>
        <v/>
      </c>
      <c r="G15997" s="42" t="str">
        <f>IFERROR(__xludf.DUMMYFUNCTION("""COMPUTED_VALUE"""),"")</f>
        <v/>
      </c>
      <c r="H15997" s="42">
        <f t="shared" si="1"/>
        <v>3345</v>
      </c>
    </row>
    <row r="15998" ht="22.5" customHeight="1">
      <c r="B15998" s="42" t="str">
        <f>IFERROR(__xludf.DUMMYFUNCTION("""COMPUTED_VALUE"""),"")</f>
        <v/>
      </c>
      <c r="C15998" s="42" t="str">
        <f>IFERROR(__xludf.DUMMYFUNCTION("""COMPUTED_VALUE"""),"")</f>
        <v/>
      </c>
      <c r="D15998" s="42"/>
      <c r="E15998" s="42"/>
      <c r="F15998" s="48" t="str">
        <f>IFERROR(__xludf.DUMMYFUNCTION("""COMPUTED_VALUE"""),"")</f>
        <v/>
      </c>
      <c r="G15998" s="42" t="str">
        <f>IFERROR(__xludf.DUMMYFUNCTION("""COMPUTED_VALUE"""),"")</f>
        <v/>
      </c>
      <c r="H15998" s="42">
        <f t="shared" si="1"/>
        <v>3345</v>
      </c>
    </row>
    <row r="15999" ht="22.5" customHeight="1">
      <c r="B15999" s="42" t="str">
        <f>IFERROR(__xludf.DUMMYFUNCTION("""COMPUTED_VALUE"""),"")</f>
        <v/>
      </c>
      <c r="C15999" s="42" t="str">
        <f>IFERROR(__xludf.DUMMYFUNCTION("""COMPUTED_VALUE"""),"")</f>
        <v/>
      </c>
      <c r="D15999" s="42"/>
      <c r="E15999" s="42"/>
      <c r="F15999" s="48" t="str">
        <f>IFERROR(__xludf.DUMMYFUNCTION("""COMPUTED_VALUE"""),"")</f>
        <v/>
      </c>
      <c r="G15999" s="42" t="str">
        <f>IFERROR(__xludf.DUMMYFUNCTION("""COMPUTED_VALUE"""),"")</f>
        <v/>
      </c>
      <c r="H15999" s="42">
        <f t="shared" si="1"/>
        <v>3345</v>
      </c>
    </row>
    <row r="16000" ht="22.5" customHeight="1">
      <c r="B16000" s="42" t="str">
        <f>IFERROR(__xludf.DUMMYFUNCTION("""COMPUTED_VALUE"""),"")</f>
        <v/>
      </c>
      <c r="C16000" s="42" t="str">
        <f>IFERROR(__xludf.DUMMYFUNCTION("""COMPUTED_VALUE"""),"")</f>
        <v/>
      </c>
      <c r="D16000" s="42"/>
      <c r="E16000" s="42"/>
      <c r="F16000" s="48" t="str">
        <f>IFERROR(__xludf.DUMMYFUNCTION("""COMPUTED_VALUE"""),"")</f>
        <v/>
      </c>
      <c r="G16000" s="42" t="str">
        <f>IFERROR(__xludf.DUMMYFUNCTION("""COMPUTED_VALUE"""),"")</f>
        <v/>
      </c>
      <c r="H16000" s="42">
        <f t="shared" si="1"/>
        <v>3345</v>
      </c>
    </row>
    <row r="16001" ht="22.5" customHeight="1">
      <c r="B16001" s="42" t="str">
        <f>IFERROR(__xludf.DUMMYFUNCTION("""COMPUTED_VALUE"""),"")</f>
        <v/>
      </c>
      <c r="C16001" s="42" t="str">
        <f>IFERROR(__xludf.DUMMYFUNCTION("""COMPUTED_VALUE"""),"")</f>
        <v/>
      </c>
      <c r="D16001" s="42"/>
      <c r="E16001" s="42"/>
      <c r="F16001" s="48" t="str">
        <f>IFERROR(__xludf.DUMMYFUNCTION("""COMPUTED_VALUE"""),"")</f>
        <v/>
      </c>
      <c r="G16001" s="42" t="str">
        <f>IFERROR(__xludf.DUMMYFUNCTION("""COMPUTED_VALUE"""),"")</f>
        <v/>
      </c>
      <c r="H16001" s="42">
        <f t="shared" si="1"/>
        <v>3345</v>
      </c>
    </row>
    <row r="16002" ht="22.5" customHeight="1">
      <c r="B16002" s="42" t="str">
        <f>IFERROR(__xludf.DUMMYFUNCTION("""COMPUTED_VALUE"""),"")</f>
        <v/>
      </c>
      <c r="C16002" s="42" t="str">
        <f>IFERROR(__xludf.DUMMYFUNCTION("""COMPUTED_VALUE"""),"")</f>
        <v/>
      </c>
      <c r="D16002" s="42"/>
      <c r="E16002" s="42"/>
      <c r="F16002" s="48" t="str">
        <f>IFERROR(__xludf.DUMMYFUNCTION("""COMPUTED_VALUE"""),"")</f>
        <v/>
      </c>
      <c r="G16002" s="42" t="str">
        <f>IFERROR(__xludf.DUMMYFUNCTION("""COMPUTED_VALUE"""),"")</f>
        <v/>
      </c>
      <c r="H16002" s="42">
        <f t="shared" si="1"/>
        <v>3345</v>
      </c>
    </row>
    <row r="16003" ht="22.5" customHeight="1">
      <c r="B16003" s="42" t="str">
        <f>IFERROR(__xludf.DUMMYFUNCTION("""COMPUTED_VALUE"""),"")</f>
        <v/>
      </c>
      <c r="C16003" s="42" t="str">
        <f>IFERROR(__xludf.DUMMYFUNCTION("""COMPUTED_VALUE"""),"")</f>
        <v/>
      </c>
      <c r="D16003" s="42"/>
      <c r="E16003" s="42"/>
      <c r="F16003" s="48" t="str">
        <f>IFERROR(__xludf.DUMMYFUNCTION("""COMPUTED_VALUE"""),"")</f>
        <v/>
      </c>
      <c r="G16003" s="42" t="str">
        <f>IFERROR(__xludf.DUMMYFUNCTION("""COMPUTED_VALUE"""),"")</f>
        <v/>
      </c>
      <c r="H16003" s="42">
        <f t="shared" si="1"/>
        <v>3345</v>
      </c>
    </row>
    <row r="16004" ht="22.5" customHeight="1">
      <c r="B16004" s="42" t="str">
        <f>IFERROR(__xludf.DUMMYFUNCTION("""COMPUTED_VALUE"""),"")</f>
        <v/>
      </c>
      <c r="C16004" s="42" t="str">
        <f>IFERROR(__xludf.DUMMYFUNCTION("""COMPUTED_VALUE"""),"")</f>
        <v/>
      </c>
      <c r="D16004" s="42"/>
      <c r="E16004" s="42"/>
      <c r="F16004" s="48" t="str">
        <f>IFERROR(__xludf.DUMMYFUNCTION("""COMPUTED_VALUE"""),"")</f>
        <v/>
      </c>
      <c r="G16004" s="42" t="str">
        <f>IFERROR(__xludf.DUMMYFUNCTION("""COMPUTED_VALUE"""),"")</f>
        <v/>
      </c>
      <c r="H16004" s="42">
        <f t="shared" si="1"/>
        <v>3345</v>
      </c>
    </row>
    <row r="16005" ht="22.5" customHeight="1">
      <c r="B16005" s="42" t="str">
        <f>IFERROR(__xludf.DUMMYFUNCTION("""COMPUTED_VALUE"""),"")</f>
        <v/>
      </c>
      <c r="C16005" s="42" t="str">
        <f>IFERROR(__xludf.DUMMYFUNCTION("""COMPUTED_VALUE"""),"")</f>
        <v/>
      </c>
      <c r="D16005" s="42"/>
      <c r="E16005" s="42"/>
      <c r="F16005" s="48" t="str">
        <f>IFERROR(__xludf.DUMMYFUNCTION("""COMPUTED_VALUE"""),"")</f>
        <v/>
      </c>
      <c r="G16005" s="42" t="str">
        <f>IFERROR(__xludf.DUMMYFUNCTION("""COMPUTED_VALUE"""),"")</f>
        <v/>
      </c>
      <c r="H16005" s="42">
        <f t="shared" si="1"/>
        <v>3345</v>
      </c>
    </row>
    <row r="16006" ht="22.5" customHeight="1">
      <c r="B16006" s="42" t="str">
        <f>IFERROR(__xludf.DUMMYFUNCTION("""COMPUTED_VALUE"""),"")</f>
        <v/>
      </c>
      <c r="C16006" s="42" t="str">
        <f>IFERROR(__xludf.DUMMYFUNCTION("""COMPUTED_VALUE"""),"")</f>
        <v/>
      </c>
      <c r="D16006" s="42"/>
      <c r="E16006" s="42"/>
      <c r="F16006" s="48" t="str">
        <f>IFERROR(__xludf.DUMMYFUNCTION("""COMPUTED_VALUE"""),"")</f>
        <v/>
      </c>
      <c r="G16006" s="42" t="str">
        <f>IFERROR(__xludf.DUMMYFUNCTION("""COMPUTED_VALUE"""),"")</f>
        <v/>
      </c>
      <c r="H16006" s="42">
        <f t="shared" si="1"/>
        <v>3345</v>
      </c>
    </row>
    <row r="16007" ht="22.5" customHeight="1">
      <c r="B16007" s="42" t="str">
        <f>IFERROR(__xludf.DUMMYFUNCTION("""COMPUTED_VALUE"""),"")</f>
        <v/>
      </c>
      <c r="C16007" s="42" t="str">
        <f>IFERROR(__xludf.DUMMYFUNCTION("""COMPUTED_VALUE"""),"")</f>
        <v/>
      </c>
      <c r="D16007" s="42"/>
      <c r="E16007" s="42"/>
      <c r="F16007" s="48" t="str">
        <f>IFERROR(__xludf.DUMMYFUNCTION("""COMPUTED_VALUE"""),"")</f>
        <v/>
      </c>
      <c r="G16007" s="42" t="str">
        <f>IFERROR(__xludf.DUMMYFUNCTION("""COMPUTED_VALUE"""),"")</f>
        <v/>
      </c>
      <c r="H16007" s="42">
        <f t="shared" si="1"/>
        <v>3345</v>
      </c>
    </row>
    <row r="16008" ht="22.5" customHeight="1">
      <c r="B16008" s="42" t="str">
        <f>IFERROR(__xludf.DUMMYFUNCTION("""COMPUTED_VALUE"""),"")</f>
        <v/>
      </c>
      <c r="C16008" s="42" t="str">
        <f>IFERROR(__xludf.DUMMYFUNCTION("""COMPUTED_VALUE"""),"")</f>
        <v/>
      </c>
      <c r="D16008" s="42"/>
      <c r="E16008" s="42"/>
      <c r="F16008" s="48" t="str">
        <f>IFERROR(__xludf.DUMMYFUNCTION("""COMPUTED_VALUE"""),"")</f>
        <v/>
      </c>
      <c r="G16008" s="42" t="str">
        <f>IFERROR(__xludf.DUMMYFUNCTION("""COMPUTED_VALUE"""),"")</f>
        <v/>
      </c>
      <c r="H16008" s="42">
        <f t="shared" si="1"/>
        <v>3345</v>
      </c>
    </row>
    <row r="16009" ht="22.5" customHeight="1">
      <c r="B16009" s="42" t="str">
        <f>IFERROR(__xludf.DUMMYFUNCTION("""COMPUTED_VALUE"""),"")</f>
        <v/>
      </c>
      <c r="C16009" s="42" t="str">
        <f>IFERROR(__xludf.DUMMYFUNCTION("""COMPUTED_VALUE"""),"")</f>
        <v/>
      </c>
      <c r="D16009" s="42"/>
      <c r="E16009" s="42"/>
      <c r="F16009" s="48" t="str">
        <f>IFERROR(__xludf.DUMMYFUNCTION("""COMPUTED_VALUE"""),"")</f>
        <v/>
      </c>
      <c r="G16009" s="42" t="str">
        <f>IFERROR(__xludf.DUMMYFUNCTION("""COMPUTED_VALUE"""),"")</f>
        <v/>
      </c>
      <c r="H16009" s="42">
        <f t="shared" si="1"/>
        <v>3345</v>
      </c>
    </row>
    <row r="16010" ht="22.5" customHeight="1">
      <c r="B16010" s="42" t="str">
        <f>IFERROR(__xludf.DUMMYFUNCTION("""COMPUTED_VALUE"""),"")</f>
        <v/>
      </c>
      <c r="C16010" s="42" t="str">
        <f>IFERROR(__xludf.DUMMYFUNCTION("""COMPUTED_VALUE"""),"")</f>
        <v/>
      </c>
      <c r="D16010" s="42"/>
      <c r="E16010" s="42"/>
      <c r="F16010" s="48" t="str">
        <f>IFERROR(__xludf.DUMMYFUNCTION("""COMPUTED_VALUE"""),"")</f>
        <v/>
      </c>
      <c r="G16010" s="42" t="str">
        <f>IFERROR(__xludf.DUMMYFUNCTION("""COMPUTED_VALUE"""),"")</f>
        <v/>
      </c>
      <c r="H16010" s="42">
        <f t="shared" si="1"/>
        <v>3345</v>
      </c>
    </row>
    <row r="16011" ht="22.5" customHeight="1">
      <c r="B16011" s="42" t="str">
        <f>IFERROR(__xludf.DUMMYFUNCTION("""COMPUTED_VALUE"""),"")</f>
        <v/>
      </c>
      <c r="C16011" s="42" t="str">
        <f>IFERROR(__xludf.DUMMYFUNCTION("""COMPUTED_VALUE"""),"")</f>
        <v/>
      </c>
      <c r="D16011" s="42"/>
      <c r="E16011" s="42"/>
      <c r="F16011" s="48" t="str">
        <f>IFERROR(__xludf.DUMMYFUNCTION("""COMPUTED_VALUE"""),"")</f>
        <v/>
      </c>
      <c r="G16011" s="42" t="str">
        <f>IFERROR(__xludf.DUMMYFUNCTION("""COMPUTED_VALUE"""),"")</f>
        <v/>
      </c>
      <c r="H16011" s="42">
        <f t="shared" si="1"/>
        <v>3345</v>
      </c>
    </row>
    <row r="16012" ht="22.5" customHeight="1">
      <c r="B16012" s="42" t="str">
        <f>IFERROR(__xludf.DUMMYFUNCTION("""COMPUTED_VALUE"""),"")</f>
        <v/>
      </c>
      <c r="C16012" s="42" t="str">
        <f>IFERROR(__xludf.DUMMYFUNCTION("""COMPUTED_VALUE"""),"")</f>
        <v/>
      </c>
      <c r="D16012" s="42"/>
      <c r="E16012" s="42"/>
      <c r="F16012" s="48" t="str">
        <f>IFERROR(__xludf.DUMMYFUNCTION("""COMPUTED_VALUE"""),"")</f>
        <v/>
      </c>
      <c r="G16012" s="42" t="str">
        <f>IFERROR(__xludf.DUMMYFUNCTION("""COMPUTED_VALUE"""),"")</f>
        <v/>
      </c>
      <c r="H16012" s="42">
        <f t="shared" si="1"/>
        <v>3345</v>
      </c>
    </row>
    <row r="16013" ht="22.5" customHeight="1">
      <c r="B16013" s="42" t="str">
        <f>IFERROR(__xludf.DUMMYFUNCTION("""COMPUTED_VALUE"""),"")</f>
        <v/>
      </c>
      <c r="C16013" s="42" t="str">
        <f>IFERROR(__xludf.DUMMYFUNCTION("""COMPUTED_VALUE"""),"")</f>
        <v/>
      </c>
      <c r="D16013" s="42"/>
      <c r="E16013" s="42"/>
      <c r="F16013" s="48" t="str">
        <f>IFERROR(__xludf.DUMMYFUNCTION("""COMPUTED_VALUE"""),"")</f>
        <v/>
      </c>
      <c r="G16013" s="42" t="str">
        <f>IFERROR(__xludf.DUMMYFUNCTION("""COMPUTED_VALUE"""),"")</f>
        <v/>
      </c>
      <c r="H16013" s="42">
        <f t="shared" si="1"/>
        <v>3345</v>
      </c>
    </row>
    <row r="16014" ht="22.5" customHeight="1">
      <c r="B16014" s="42" t="str">
        <f>IFERROR(__xludf.DUMMYFUNCTION("""COMPUTED_VALUE"""),"")</f>
        <v/>
      </c>
      <c r="C16014" s="42" t="str">
        <f>IFERROR(__xludf.DUMMYFUNCTION("""COMPUTED_VALUE"""),"")</f>
        <v/>
      </c>
      <c r="D16014" s="42"/>
      <c r="E16014" s="42"/>
      <c r="F16014" s="48" t="str">
        <f>IFERROR(__xludf.DUMMYFUNCTION("""COMPUTED_VALUE"""),"")</f>
        <v/>
      </c>
      <c r="G16014" s="42" t="str">
        <f>IFERROR(__xludf.DUMMYFUNCTION("""COMPUTED_VALUE"""),"")</f>
        <v/>
      </c>
      <c r="H16014" s="42">
        <f t="shared" si="1"/>
        <v>3345</v>
      </c>
    </row>
    <row r="16015" ht="22.5" customHeight="1">
      <c r="B16015" s="42" t="str">
        <f>IFERROR(__xludf.DUMMYFUNCTION("""COMPUTED_VALUE"""),"")</f>
        <v/>
      </c>
      <c r="C16015" s="42" t="str">
        <f>IFERROR(__xludf.DUMMYFUNCTION("""COMPUTED_VALUE"""),"")</f>
        <v/>
      </c>
      <c r="D16015" s="42"/>
      <c r="E16015" s="42"/>
      <c r="F16015" s="48" t="str">
        <f>IFERROR(__xludf.DUMMYFUNCTION("""COMPUTED_VALUE"""),"")</f>
        <v/>
      </c>
      <c r="G16015" s="42" t="str">
        <f>IFERROR(__xludf.DUMMYFUNCTION("""COMPUTED_VALUE"""),"")</f>
        <v/>
      </c>
      <c r="H16015" s="42">
        <f t="shared" si="1"/>
        <v>3345</v>
      </c>
    </row>
    <row r="16016" ht="22.5" customHeight="1">
      <c r="B16016" s="42" t="str">
        <f>IFERROR(__xludf.DUMMYFUNCTION("""COMPUTED_VALUE"""),"")</f>
        <v/>
      </c>
      <c r="C16016" s="42" t="str">
        <f>IFERROR(__xludf.DUMMYFUNCTION("""COMPUTED_VALUE"""),"")</f>
        <v/>
      </c>
      <c r="D16016" s="42"/>
      <c r="E16016" s="42"/>
      <c r="F16016" s="48" t="str">
        <f>IFERROR(__xludf.DUMMYFUNCTION("""COMPUTED_VALUE"""),"")</f>
        <v/>
      </c>
      <c r="G16016" s="42" t="str">
        <f>IFERROR(__xludf.DUMMYFUNCTION("""COMPUTED_VALUE"""),"")</f>
        <v/>
      </c>
      <c r="H16016" s="42">
        <f t="shared" si="1"/>
        <v>3345</v>
      </c>
    </row>
    <row r="16017" ht="22.5" customHeight="1">
      <c r="B16017" s="42" t="str">
        <f>IFERROR(__xludf.DUMMYFUNCTION("""COMPUTED_VALUE"""),"")</f>
        <v/>
      </c>
      <c r="C16017" s="42" t="str">
        <f>IFERROR(__xludf.DUMMYFUNCTION("""COMPUTED_VALUE"""),"")</f>
        <v/>
      </c>
      <c r="D16017" s="42"/>
      <c r="E16017" s="42"/>
      <c r="F16017" s="48" t="str">
        <f>IFERROR(__xludf.DUMMYFUNCTION("""COMPUTED_VALUE"""),"")</f>
        <v/>
      </c>
      <c r="G16017" s="42" t="str">
        <f>IFERROR(__xludf.DUMMYFUNCTION("""COMPUTED_VALUE"""),"")</f>
        <v/>
      </c>
      <c r="H16017" s="42">
        <f t="shared" si="1"/>
        <v>3345</v>
      </c>
    </row>
    <row r="16018" ht="22.5" customHeight="1">
      <c r="B16018" s="42" t="str">
        <f>IFERROR(__xludf.DUMMYFUNCTION("""COMPUTED_VALUE"""),"")</f>
        <v/>
      </c>
      <c r="C16018" s="42" t="str">
        <f>IFERROR(__xludf.DUMMYFUNCTION("""COMPUTED_VALUE"""),"")</f>
        <v/>
      </c>
      <c r="D16018" s="42"/>
      <c r="E16018" s="42"/>
      <c r="F16018" s="48" t="str">
        <f>IFERROR(__xludf.DUMMYFUNCTION("""COMPUTED_VALUE"""),"")</f>
        <v/>
      </c>
      <c r="G16018" s="42" t="str">
        <f>IFERROR(__xludf.DUMMYFUNCTION("""COMPUTED_VALUE"""),"")</f>
        <v/>
      </c>
      <c r="H16018" s="42">
        <f t="shared" si="1"/>
        <v>3345</v>
      </c>
    </row>
    <row r="16019" ht="22.5" customHeight="1">
      <c r="B16019" s="42" t="str">
        <f>IFERROR(__xludf.DUMMYFUNCTION("""COMPUTED_VALUE"""),"")</f>
        <v/>
      </c>
      <c r="C16019" s="42" t="str">
        <f>IFERROR(__xludf.DUMMYFUNCTION("""COMPUTED_VALUE"""),"")</f>
        <v/>
      </c>
      <c r="D16019" s="42"/>
      <c r="E16019" s="42"/>
      <c r="F16019" s="48" t="str">
        <f>IFERROR(__xludf.DUMMYFUNCTION("""COMPUTED_VALUE"""),"")</f>
        <v/>
      </c>
      <c r="G16019" s="42" t="str">
        <f>IFERROR(__xludf.DUMMYFUNCTION("""COMPUTED_VALUE"""),"")</f>
        <v/>
      </c>
      <c r="H16019" s="42">
        <f t="shared" si="1"/>
        <v>3345</v>
      </c>
    </row>
    <row r="16020" ht="22.5" customHeight="1">
      <c r="B16020" s="42" t="str">
        <f>IFERROR(__xludf.DUMMYFUNCTION("""COMPUTED_VALUE"""),"")</f>
        <v/>
      </c>
      <c r="C16020" s="42" t="str">
        <f>IFERROR(__xludf.DUMMYFUNCTION("""COMPUTED_VALUE"""),"")</f>
        <v/>
      </c>
      <c r="D16020" s="42"/>
      <c r="E16020" s="42"/>
      <c r="F16020" s="48" t="str">
        <f>IFERROR(__xludf.DUMMYFUNCTION("""COMPUTED_VALUE"""),"")</f>
        <v/>
      </c>
      <c r="G16020" s="42" t="str">
        <f>IFERROR(__xludf.DUMMYFUNCTION("""COMPUTED_VALUE"""),"")</f>
        <v/>
      </c>
      <c r="H16020" s="42">
        <f t="shared" si="1"/>
        <v>3345</v>
      </c>
    </row>
    <row r="16021" ht="22.5" customHeight="1">
      <c r="B16021" s="42" t="str">
        <f>IFERROR(__xludf.DUMMYFUNCTION("""COMPUTED_VALUE"""),"")</f>
        <v/>
      </c>
      <c r="C16021" s="42" t="str">
        <f>IFERROR(__xludf.DUMMYFUNCTION("""COMPUTED_VALUE"""),"")</f>
        <v/>
      </c>
      <c r="D16021" s="42"/>
      <c r="E16021" s="42"/>
      <c r="F16021" s="48" t="str">
        <f>IFERROR(__xludf.DUMMYFUNCTION("""COMPUTED_VALUE"""),"")</f>
        <v/>
      </c>
      <c r="G16021" s="42" t="str">
        <f>IFERROR(__xludf.DUMMYFUNCTION("""COMPUTED_VALUE"""),"")</f>
        <v/>
      </c>
      <c r="H16021" s="42">
        <f t="shared" si="1"/>
        <v>3345</v>
      </c>
    </row>
    <row r="16022" ht="22.5" customHeight="1">
      <c r="B16022" s="42" t="str">
        <f>IFERROR(__xludf.DUMMYFUNCTION("""COMPUTED_VALUE"""),"")</f>
        <v/>
      </c>
      <c r="C16022" s="42" t="str">
        <f>IFERROR(__xludf.DUMMYFUNCTION("""COMPUTED_VALUE"""),"")</f>
        <v/>
      </c>
      <c r="D16022" s="42"/>
      <c r="E16022" s="42"/>
      <c r="F16022" s="48" t="str">
        <f>IFERROR(__xludf.DUMMYFUNCTION("""COMPUTED_VALUE"""),"")</f>
        <v/>
      </c>
      <c r="G16022" s="42" t="str">
        <f>IFERROR(__xludf.DUMMYFUNCTION("""COMPUTED_VALUE"""),"")</f>
        <v/>
      </c>
      <c r="H16022" s="42">
        <f t="shared" si="1"/>
        <v>3345</v>
      </c>
    </row>
    <row r="16023" ht="22.5" customHeight="1">
      <c r="B16023" s="42" t="str">
        <f>IFERROR(__xludf.DUMMYFUNCTION("""COMPUTED_VALUE"""),"")</f>
        <v/>
      </c>
      <c r="C16023" s="42" t="str">
        <f>IFERROR(__xludf.DUMMYFUNCTION("""COMPUTED_VALUE"""),"")</f>
        <v/>
      </c>
      <c r="D16023" s="42"/>
      <c r="E16023" s="42"/>
      <c r="F16023" s="48" t="str">
        <f>IFERROR(__xludf.DUMMYFUNCTION("""COMPUTED_VALUE"""),"")</f>
        <v/>
      </c>
      <c r="G16023" s="42" t="str">
        <f>IFERROR(__xludf.DUMMYFUNCTION("""COMPUTED_VALUE"""),"")</f>
        <v/>
      </c>
      <c r="H16023" s="42">
        <f t="shared" si="1"/>
        <v>3345</v>
      </c>
    </row>
    <row r="16024" ht="22.5" customHeight="1">
      <c r="B16024" s="42" t="str">
        <f>IFERROR(__xludf.DUMMYFUNCTION("""COMPUTED_VALUE"""),"")</f>
        <v/>
      </c>
      <c r="C16024" s="42" t="str">
        <f>IFERROR(__xludf.DUMMYFUNCTION("""COMPUTED_VALUE"""),"")</f>
        <v/>
      </c>
      <c r="D16024" s="42"/>
      <c r="E16024" s="42"/>
      <c r="F16024" s="48" t="str">
        <f>IFERROR(__xludf.DUMMYFUNCTION("""COMPUTED_VALUE"""),"")</f>
        <v/>
      </c>
      <c r="G16024" s="42" t="str">
        <f>IFERROR(__xludf.DUMMYFUNCTION("""COMPUTED_VALUE"""),"")</f>
        <v/>
      </c>
      <c r="H16024" s="42">
        <f t="shared" si="1"/>
        <v>3345</v>
      </c>
    </row>
    <row r="16025" ht="22.5" customHeight="1">
      <c r="B16025" s="42" t="str">
        <f>IFERROR(__xludf.DUMMYFUNCTION("""COMPUTED_VALUE"""),"")</f>
        <v/>
      </c>
      <c r="C16025" s="42" t="str">
        <f>IFERROR(__xludf.DUMMYFUNCTION("""COMPUTED_VALUE"""),"")</f>
        <v/>
      </c>
      <c r="D16025" s="42"/>
      <c r="E16025" s="42"/>
      <c r="F16025" s="48" t="str">
        <f>IFERROR(__xludf.DUMMYFUNCTION("""COMPUTED_VALUE"""),"")</f>
        <v/>
      </c>
      <c r="G16025" s="42" t="str">
        <f>IFERROR(__xludf.DUMMYFUNCTION("""COMPUTED_VALUE"""),"")</f>
        <v/>
      </c>
      <c r="H16025" s="42">
        <f t="shared" si="1"/>
        <v>3345</v>
      </c>
    </row>
    <row r="16026" ht="22.5" customHeight="1">
      <c r="B16026" s="42" t="str">
        <f>IFERROR(__xludf.DUMMYFUNCTION("""COMPUTED_VALUE"""),"")</f>
        <v/>
      </c>
      <c r="C16026" s="42" t="str">
        <f>IFERROR(__xludf.DUMMYFUNCTION("""COMPUTED_VALUE"""),"")</f>
        <v/>
      </c>
      <c r="D16026" s="42"/>
      <c r="E16026" s="42"/>
      <c r="F16026" s="48" t="str">
        <f>IFERROR(__xludf.DUMMYFUNCTION("""COMPUTED_VALUE"""),"")</f>
        <v/>
      </c>
      <c r="G16026" s="42" t="str">
        <f>IFERROR(__xludf.DUMMYFUNCTION("""COMPUTED_VALUE"""),"")</f>
        <v/>
      </c>
      <c r="H16026" s="42">
        <f t="shared" si="1"/>
        <v>3345</v>
      </c>
    </row>
    <row r="16027" ht="22.5" customHeight="1">
      <c r="B16027" s="42" t="str">
        <f>IFERROR(__xludf.DUMMYFUNCTION("""COMPUTED_VALUE"""),"")</f>
        <v/>
      </c>
      <c r="C16027" s="42" t="str">
        <f>IFERROR(__xludf.DUMMYFUNCTION("""COMPUTED_VALUE"""),"")</f>
        <v/>
      </c>
      <c r="D16027" s="42"/>
      <c r="E16027" s="42"/>
      <c r="F16027" s="48" t="str">
        <f>IFERROR(__xludf.DUMMYFUNCTION("""COMPUTED_VALUE"""),"")</f>
        <v/>
      </c>
      <c r="G16027" s="42" t="str">
        <f>IFERROR(__xludf.DUMMYFUNCTION("""COMPUTED_VALUE"""),"")</f>
        <v/>
      </c>
      <c r="H16027" s="42">
        <f t="shared" si="1"/>
        <v>3345</v>
      </c>
    </row>
    <row r="16028" ht="22.5" customHeight="1">
      <c r="B16028" s="42" t="str">
        <f>IFERROR(__xludf.DUMMYFUNCTION("""COMPUTED_VALUE"""),"")</f>
        <v/>
      </c>
      <c r="C16028" s="42" t="str">
        <f>IFERROR(__xludf.DUMMYFUNCTION("""COMPUTED_VALUE"""),"")</f>
        <v/>
      </c>
      <c r="D16028" s="42"/>
      <c r="E16028" s="42"/>
      <c r="F16028" s="48" t="str">
        <f>IFERROR(__xludf.DUMMYFUNCTION("""COMPUTED_VALUE"""),"")</f>
        <v/>
      </c>
      <c r="G16028" s="42" t="str">
        <f>IFERROR(__xludf.DUMMYFUNCTION("""COMPUTED_VALUE"""),"")</f>
        <v/>
      </c>
      <c r="H16028" s="42">
        <f t="shared" si="1"/>
        <v>3345</v>
      </c>
    </row>
    <row r="16029" ht="22.5" customHeight="1">
      <c r="B16029" s="42" t="str">
        <f>IFERROR(__xludf.DUMMYFUNCTION("""COMPUTED_VALUE"""),"")</f>
        <v/>
      </c>
      <c r="C16029" s="42" t="str">
        <f>IFERROR(__xludf.DUMMYFUNCTION("""COMPUTED_VALUE"""),"")</f>
        <v/>
      </c>
      <c r="D16029" s="42"/>
      <c r="E16029" s="42"/>
      <c r="F16029" s="48" t="str">
        <f>IFERROR(__xludf.DUMMYFUNCTION("""COMPUTED_VALUE"""),"")</f>
        <v/>
      </c>
      <c r="G16029" s="42" t="str">
        <f>IFERROR(__xludf.DUMMYFUNCTION("""COMPUTED_VALUE"""),"")</f>
        <v/>
      </c>
      <c r="H16029" s="42">
        <f t="shared" si="1"/>
        <v>3345</v>
      </c>
    </row>
    <row r="16030" ht="22.5" customHeight="1">
      <c r="B16030" s="42" t="str">
        <f>IFERROR(__xludf.DUMMYFUNCTION("""COMPUTED_VALUE"""),"")</f>
        <v/>
      </c>
      <c r="C16030" s="42" t="str">
        <f>IFERROR(__xludf.DUMMYFUNCTION("""COMPUTED_VALUE"""),"")</f>
        <v/>
      </c>
      <c r="D16030" s="42"/>
      <c r="E16030" s="42"/>
      <c r="F16030" s="48" t="str">
        <f>IFERROR(__xludf.DUMMYFUNCTION("""COMPUTED_VALUE"""),"")</f>
        <v/>
      </c>
      <c r="G16030" s="42" t="str">
        <f>IFERROR(__xludf.DUMMYFUNCTION("""COMPUTED_VALUE"""),"")</f>
        <v/>
      </c>
      <c r="H16030" s="42">
        <f t="shared" si="1"/>
        <v>3345</v>
      </c>
    </row>
    <row r="16031" ht="22.5" customHeight="1">
      <c r="B16031" s="42" t="str">
        <f>IFERROR(__xludf.DUMMYFUNCTION("""COMPUTED_VALUE"""),"")</f>
        <v/>
      </c>
      <c r="C16031" s="42" t="str">
        <f>IFERROR(__xludf.DUMMYFUNCTION("""COMPUTED_VALUE"""),"")</f>
        <v/>
      </c>
      <c r="D16031" s="42"/>
      <c r="E16031" s="42"/>
      <c r="F16031" s="48" t="str">
        <f>IFERROR(__xludf.DUMMYFUNCTION("""COMPUTED_VALUE"""),"")</f>
        <v/>
      </c>
      <c r="G16031" s="42" t="str">
        <f>IFERROR(__xludf.DUMMYFUNCTION("""COMPUTED_VALUE"""),"")</f>
        <v/>
      </c>
      <c r="H16031" s="42">
        <f t="shared" si="1"/>
        <v>3345</v>
      </c>
    </row>
    <row r="16032" ht="22.5" customHeight="1">
      <c r="B16032" s="42" t="str">
        <f>IFERROR(__xludf.DUMMYFUNCTION("""COMPUTED_VALUE"""),"")</f>
        <v/>
      </c>
      <c r="C16032" s="42" t="str">
        <f>IFERROR(__xludf.DUMMYFUNCTION("""COMPUTED_VALUE"""),"")</f>
        <v/>
      </c>
      <c r="D16032" s="42"/>
      <c r="E16032" s="42"/>
      <c r="F16032" s="48" t="str">
        <f>IFERROR(__xludf.DUMMYFUNCTION("""COMPUTED_VALUE"""),"")</f>
        <v/>
      </c>
      <c r="G16032" s="42" t="str">
        <f>IFERROR(__xludf.DUMMYFUNCTION("""COMPUTED_VALUE"""),"")</f>
        <v/>
      </c>
      <c r="H16032" s="42">
        <f t="shared" si="1"/>
        <v>3345</v>
      </c>
    </row>
    <row r="16033" ht="22.5" customHeight="1">
      <c r="B16033" s="42" t="str">
        <f>IFERROR(__xludf.DUMMYFUNCTION("""COMPUTED_VALUE"""),"")</f>
        <v/>
      </c>
      <c r="C16033" s="42" t="str">
        <f>IFERROR(__xludf.DUMMYFUNCTION("""COMPUTED_VALUE"""),"")</f>
        <v/>
      </c>
      <c r="D16033" s="42"/>
      <c r="E16033" s="42"/>
      <c r="F16033" s="48" t="str">
        <f>IFERROR(__xludf.DUMMYFUNCTION("""COMPUTED_VALUE"""),"")</f>
        <v/>
      </c>
      <c r="G16033" s="42" t="str">
        <f>IFERROR(__xludf.DUMMYFUNCTION("""COMPUTED_VALUE"""),"")</f>
        <v/>
      </c>
      <c r="H16033" s="42">
        <f t="shared" si="1"/>
        <v>3345</v>
      </c>
    </row>
    <row r="16034" ht="22.5" customHeight="1">
      <c r="B16034" s="42" t="str">
        <f>IFERROR(__xludf.DUMMYFUNCTION("""COMPUTED_VALUE"""),"")</f>
        <v/>
      </c>
      <c r="C16034" s="42" t="str">
        <f>IFERROR(__xludf.DUMMYFUNCTION("""COMPUTED_VALUE"""),"")</f>
        <v/>
      </c>
      <c r="D16034" s="42"/>
      <c r="E16034" s="42"/>
      <c r="F16034" s="48" t="str">
        <f>IFERROR(__xludf.DUMMYFUNCTION("""COMPUTED_VALUE"""),"")</f>
        <v/>
      </c>
      <c r="G16034" s="42" t="str">
        <f>IFERROR(__xludf.DUMMYFUNCTION("""COMPUTED_VALUE"""),"")</f>
        <v/>
      </c>
      <c r="H16034" s="42">
        <f t="shared" si="1"/>
        <v>3345</v>
      </c>
    </row>
    <row r="16035" ht="22.5" customHeight="1">
      <c r="B16035" s="42" t="str">
        <f>IFERROR(__xludf.DUMMYFUNCTION("""COMPUTED_VALUE"""),"")</f>
        <v/>
      </c>
      <c r="C16035" s="42" t="str">
        <f>IFERROR(__xludf.DUMMYFUNCTION("""COMPUTED_VALUE"""),"")</f>
        <v/>
      </c>
      <c r="D16035" s="42"/>
      <c r="E16035" s="42"/>
      <c r="F16035" s="48" t="str">
        <f>IFERROR(__xludf.DUMMYFUNCTION("""COMPUTED_VALUE"""),"")</f>
        <v/>
      </c>
      <c r="G16035" s="42" t="str">
        <f>IFERROR(__xludf.DUMMYFUNCTION("""COMPUTED_VALUE"""),"")</f>
        <v/>
      </c>
      <c r="H16035" s="42">
        <f t="shared" si="1"/>
        <v>3345</v>
      </c>
    </row>
    <row r="16036" ht="22.5" customHeight="1">
      <c r="B16036" s="42" t="str">
        <f>IFERROR(__xludf.DUMMYFUNCTION("""COMPUTED_VALUE"""),"")</f>
        <v/>
      </c>
      <c r="C16036" s="42" t="str">
        <f>IFERROR(__xludf.DUMMYFUNCTION("""COMPUTED_VALUE"""),"")</f>
        <v/>
      </c>
      <c r="D16036" s="42"/>
      <c r="E16036" s="42"/>
      <c r="F16036" s="48" t="str">
        <f>IFERROR(__xludf.DUMMYFUNCTION("""COMPUTED_VALUE"""),"")</f>
        <v/>
      </c>
      <c r="G16036" s="42" t="str">
        <f>IFERROR(__xludf.DUMMYFUNCTION("""COMPUTED_VALUE"""),"")</f>
        <v/>
      </c>
      <c r="H16036" s="42">
        <f t="shared" si="1"/>
        <v>3345</v>
      </c>
    </row>
    <row r="16037" ht="22.5" customHeight="1">
      <c r="B16037" s="42" t="str">
        <f>IFERROR(__xludf.DUMMYFUNCTION("""COMPUTED_VALUE"""),"")</f>
        <v/>
      </c>
      <c r="C16037" s="42" t="str">
        <f>IFERROR(__xludf.DUMMYFUNCTION("""COMPUTED_VALUE"""),"")</f>
        <v/>
      </c>
      <c r="D16037" s="42"/>
      <c r="E16037" s="42"/>
      <c r="F16037" s="48" t="str">
        <f>IFERROR(__xludf.DUMMYFUNCTION("""COMPUTED_VALUE"""),"")</f>
        <v/>
      </c>
      <c r="G16037" s="42" t="str">
        <f>IFERROR(__xludf.DUMMYFUNCTION("""COMPUTED_VALUE"""),"")</f>
        <v/>
      </c>
      <c r="H16037" s="42">
        <f t="shared" si="1"/>
        <v>3345</v>
      </c>
    </row>
    <row r="16038" ht="22.5" customHeight="1">
      <c r="B16038" s="42" t="str">
        <f>IFERROR(__xludf.DUMMYFUNCTION("""COMPUTED_VALUE"""),"")</f>
        <v/>
      </c>
      <c r="C16038" s="42" t="str">
        <f>IFERROR(__xludf.DUMMYFUNCTION("""COMPUTED_VALUE"""),"")</f>
        <v/>
      </c>
      <c r="D16038" s="42"/>
      <c r="E16038" s="42"/>
      <c r="F16038" s="48" t="str">
        <f>IFERROR(__xludf.DUMMYFUNCTION("""COMPUTED_VALUE"""),"")</f>
        <v/>
      </c>
      <c r="G16038" s="42" t="str">
        <f>IFERROR(__xludf.DUMMYFUNCTION("""COMPUTED_VALUE"""),"")</f>
        <v/>
      </c>
      <c r="H16038" s="42">
        <f t="shared" si="1"/>
        <v>3345</v>
      </c>
    </row>
    <row r="16039" ht="22.5" customHeight="1">
      <c r="B16039" s="42" t="str">
        <f>IFERROR(__xludf.DUMMYFUNCTION("""COMPUTED_VALUE"""),"")</f>
        <v/>
      </c>
      <c r="C16039" s="42" t="str">
        <f>IFERROR(__xludf.DUMMYFUNCTION("""COMPUTED_VALUE"""),"")</f>
        <v/>
      </c>
      <c r="D16039" s="42"/>
      <c r="E16039" s="42"/>
      <c r="F16039" s="48" t="str">
        <f>IFERROR(__xludf.DUMMYFUNCTION("""COMPUTED_VALUE"""),"")</f>
        <v/>
      </c>
      <c r="G16039" s="42" t="str">
        <f>IFERROR(__xludf.DUMMYFUNCTION("""COMPUTED_VALUE"""),"")</f>
        <v/>
      </c>
      <c r="H16039" s="42">
        <f t="shared" si="1"/>
        <v>3345</v>
      </c>
    </row>
    <row r="16040" ht="22.5" customHeight="1">
      <c r="B16040" s="42" t="str">
        <f>IFERROR(__xludf.DUMMYFUNCTION("""COMPUTED_VALUE"""),"")</f>
        <v/>
      </c>
      <c r="C16040" s="42" t="str">
        <f>IFERROR(__xludf.DUMMYFUNCTION("""COMPUTED_VALUE"""),"")</f>
        <v/>
      </c>
      <c r="D16040" s="42"/>
      <c r="E16040" s="42"/>
      <c r="F16040" s="48" t="str">
        <f>IFERROR(__xludf.DUMMYFUNCTION("""COMPUTED_VALUE"""),"")</f>
        <v/>
      </c>
      <c r="G16040" s="42" t="str">
        <f>IFERROR(__xludf.DUMMYFUNCTION("""COMPUTED_VALUE"""),"")</f>
        <v/>
      </c>
      <c r="H16040" s="42">
        <f t="shared" si="1"/>
        <v>3345</v>
      </c>
    </row>
    <row r="16041" ht="22.5" customHeight="1">
      <c r="B16041" s="42" t="str">
        <f>IFERROR(__xludf.DUMMYFUNCTION("""COMPUTED_VALUE"""),"")</f>
        <v/>
      </c>
      <c r="C16041" s="42" t="str">
        <f>IFERROR(__xludf.DUMMYFUNCTION("""COMPUTED_VALUE"""),"")</f>
        <v/>
      </c>
      <c r="D16041" s="42"/>
      <c r="E16041" s="42"/>
      <c r="F16041" s="48" t="str">
        <f>IFERROR(__xludf.DUMMYFUNCTION("""COMPUTED_VALUE"""),"")</f>
        <v/>
      </c>
      <c r="G16041" s="42" t="str">
        <f>IFERROR(__xludf.DUMMYFUNCTION("""COMPUTED_VALUE"""),"")</f>
        <v/>
      </c>
      <c r="H16041" s="42">
        <f t="shared" si="1"/>
        <v>3345</v>
      </c>
    </row>
    <row r="16042" ht="22.5" customHeight="1">
      <c r="B16042" s="42" t="str">
        <f>IFERROR(__xludf.DUMMYFUNCTION("""COMPUTED_VALUE"""),"")</f>
        <v/>
      </c>
      <c r="C16042" s="42" t="str">
        <f>IFERROR(__xludf.DUMMYFUNCTION("""COMPUTED_VALUE"""),"")</f>
        <v/>
      </c>
      <c r="D16042" s="42"/>
      <c r="E16042" s="42"/>
      <c r="F16042" s="48" t="str">
        <f>IFERROR(__xludf.DUMMYFUNCTION("""COMPUTED_VALUE"""),"")</f>
        <v/>
      </c>
      <c r="G16042" s="42" t="str">
        <f>IFERROR(__xludf.DUMMYFUNCTION("""COMPUTED_VALUE"""),"")</f>
        <v/>
      </c>
      <c r="H16042" s="42">
        <f t="shared" si="1"/>
        <v>3345</v>
      </c>
    </row>
    <row r="16043" ht="22.5" customHeight="1">
      <c r="B16043" s="42" t="str">
        <f>IFERROR(__xludf.DUMMYFUNCTION("""COMPUTED_VALUE"""),"")</f>
        <v/>
      </c>
      <c r="C16043" s="42" t="str">
        <f>IFERROR(__xludf.DUMMYFUNCTION("""COMPUTED_VALUE"""),"")</f>
        <v/>
      </c>
      <c r="D16043" s="42"/>
      <c r="E16043" s="42"/>
      <c r="F16043" s="48" t="str">
        <f>IFERROR(__xludf.DUMMYFUNCTION("""COMPUTED_VALUE"""),"")</f>
        <v/>
      </c>
      <c r="G16043" s="42" t="str">
        <f>IFERROR(__xludf.DUMMYFUNCTION("""COMPUTED_VALUE"""),"")</f>
        <v/>
      </c>
      <c r="H16043" s="42">
        <f t="shared" si="1"/>
        <v>3345</v>
      </c>
    </row>
    <row r="16044" ht="22.5" customHeight="1">
      <c r="B16044" s="42" t="str">
        <f>IFERROR(__xludf.DUMMYFUNCTION("""COMPUTED_VALUE"""),"")</f>
        <v/>
      </c>
      <c r="C16044" s="42" t="str">
        <f>IFERROR(__xludf.DUMMYFUNCTION("""COMPUTED_VALUE"""),"")</f>
        <v/>
      </c>
      <c r="D16044" s="42"/>
      <c r="E16044" s="42"/>
      <c r="F16044" s="48" t="str">
        <f>IFERROR(__xludf.DUMMYFUNCTION("""COMPUTED_VALUE"""),"")</f>
        <v/>
      </c>
      <c r="G16044" s="42" t="str">
        <f>IFERROR(__xludf.DUMMYFUNCTION("""COMPUTED_VALUE"""),"")</f>
        <v/>
      </c>
      <c r="H16044" s="42">
        <f t="shared" si="1"/>
        <v>3345</v>
      </c>
    </row>
    <row r="16045" ht="22.5" customHeight="1">
      <c r="B16045" s="42" t="str">
        <f>IFERROR(__xludf.DUMMYFUNCTION("""COMPUTED_VALUE"""),"")</f>
        <v/>
      </c>
      <c r="C16045" s="42" t="str">
        <f>IFERROR(__xludf.DUMMYFUNCTION("""COMPUTED_VALUE"""),"")</f>
        <v/>
      </c>
      <c r="D16045" s="42"/>
      <c r="E16045" s="42"/>
      <c r="F16045" s="48" t="str">
        <f>IFERROR(__xludf.DUMMYFUNCTION("""COMPUTED_VALUE"""),"")</f>
        <v/>
      </c>
      <c r="G16045" s="42" t="str">
        <f>IFERROR(__xludf.DUMMYFUNCTION("""COMPUTED_VALUE"""),"")</f>
        <v/>
      </c>
      <c r="H16045" s="42">
        <f t="shared" si="1"/>
        <v>3345</v>
      </c>
    </row>
    <row r="16046" ht="22.5" customHeight="1">
      <c r="B16046" s="42" t="str">
        <f>IFERROR(__xludf.DUMMYFUNCTION("""COMPUTED_VALUE"""),"")</f>
        <v/>
      </c>
      <c r="C16046" s="42" t="str">
        <f>IFERROR(__xludf.DUMMYFUNCTION("""COMPUTED_VALUE"""),"")</f>
        <v/>
      </c>
      <c r="D16046" s="42"/>
      <c r="E16046" s="42"/>
      <c r="F16046" s="48" t="str">
        <f>IFERROR(__xludf.DUMMYFUNCTION("""COMPUTED_VALUE"""),"")</f>
        <v/>
      </c>
      <c r="G16046" s="42" t="str">
        <f>IFERROR(__xludf.DUMMYFUNCTION("""COMPUTED_VALUE"""),"")</f>
        <v/>
      </c>
      <c r="H16046" s="42">
        <f t="shared" si="1"/>
        <v>3345</v>
      </c>
    </row>
    <row r="16047" ht="22.5" customHeight="1">
      <c r="B16047" s="42" t="str">
        <f>IFERROR(__xludf.DUMMYFUNCTION("""COMPUTED_VALUE"""),"")</f>
        <v/>
      </c>
      <c r="C16047" s="42" t="str">
        <f>IFERROR(__xludf.DUMMYFUNCTION("""COMPUTED_VALUE"""),"")</f>
        <v/>
      </c>
      <c r="D16047" s="42"/>
      <c r="E16047" s="42"/>
      <c r="F16047" s="48" t="str">
        <f>IFERROR(__xludf.DUMMYFUNCTION("""COMPUTED_VALUE"""),"")</f>
        <v/>
      </c>
      <c r="G16047" s="42" t="str">
        <f>IFERROR(__xludf.DUMMYFUNCTION("""COMPUTED_VALUE"""),"")</f>
        <v/>
      </c>
      <c r="H16047" s="42">
        <f t="shared" si="1"/>
        <v>3345</v>
      </c>
    </row>
    <row r="16048" ht="22.5" customHeight="1">
      <c r="B16048" s="42" t="str">
        <f>IFERROR(__xludf.DUMMYFUNCTION("""COMPUTED_VALUE"""),"")</f>
        <v/>
      </c>
      <c r="C16048" s="42" t="str">
        <f>IFERROR(__xludf.DUMMYFUNCTION("""COMPUTED_VALUE"""),"")</f>
        <v/>
      </c>
      <c r="D16048" s="42"/>
      <c r="E16048" s="42"/>
      <c r="F16048" s="48" t="str">
        <f>IFERROR(__xludf.DUMMYFUNCTION("""COMPUTED_VALUE"""),"")</f>
        <v/>
      </c>
      <c r="G16048" s="42" t="str">
        <f>IFERROR(__xludf.DUMMYFUNCTION("""COMPUTED_VALUE"""),"")</f>
        <v/>
      </c>
      <c r="H16048" s="42">
        <f t="shared" si="1"/>
        <v>3345</v>
      </c>
    </row>
    <row r="16049" ht="22.5" customHeight="1">
      <c r="B16049" s="42" t="str">
        <f>IFERROR(__xludf.DUMMYFUNCTION("""COMPUTED_VALUE"""),"")</f>
        <v/>
      </c>
      <c r="C16049" s="42" t="str">
        <f>IFERROR(__xludf.DUMMYFUNCTION("""COMPUTED_VALUE"""),"")</f>
        <v/>
      </c>
      <c r="D16049" s="42"/>
      <c r="E16049" s="42"/>
      <c r="F16049" s="48" t="str">
        <f>IFERROR(__xludf.DUMMYFUNCTION("""COMPUTED_VALUE"""),"")</f>
        <v/>
      </c>
      <c r="G16049" s="42" t="str">
        <f>IFERROR(__xludf.DUMMYFUNCTION("""COMPUTED_VALUE"""),"")</f>
        <v/>
      </c>
      <c r="H16049" s="42">
        <f t="shared" si="1"/>
        <v>3345</v>
      </c>
    </row>
    <row r="16050" ht="22.5" customHeight="1">
      <c r="B16050" s="42" t="str">
        <f>IFERROR(__xludf.DUMMYFUNCTION("""COMPUTED_VALUE"""),"")</f>
        <v/>
      </c>
      <c r="C16050" s="42" t="str">
        <f>IFERROR(__xludf.DUMMYFUNCTION("""COMPUTED_VALUE"""),"")</f>
        <v/>
      </c>
      <c r="D16050" s="42"/>
      <c r="E16050" s="42"/>
      <c r="F16050" s="48" t="str">
        <f>IFERROR(__xludf.DUMMYFUNCTION("""COMPUTED_VALUE"""),"")</f>
        <v/>
      </c>
      <c r="G16050" s="42" t="str">
        <f>IFERROR(__xludf.DUMMYFUNCTION("""COMPUTED_VALUE"""),"")</f>
        <v/>
      </c>
      <c r="H16050" s="42">
        <f t="shared" si="1"/>
        <v>3345</v>
      </c>
    </row>
    <row r="16051" ht="22.5" customHeight="1">
      <c r="B16051" s="42" t="str">
        <f>IFERROR(__xludf.DUMMYFUNCTION("""COMPUTED_VALUE"""),"")</f>
        <v/>
      </c>
      <c r="C16051" s="42" t="str">
        <f>IFERROR(__xludf.DUMMYFUNCTION("""COMPUTED_VALUE"""),"")</f>
        <v/>
      </c>
      <c r="D16051" s="42"/>
      <c r="E16051" s="42"/>
      <c r="F16051" s="48" t="str">
        <f>IFERROR(__xludf.DUMMYFUNCTION("""COMPUTED_VALUE"""),"")</f>
        <v/>
      </c>
      <c r="G16051" s="42" t="str">
        <f>IFERROR(__xludf.DUMMYFUNCTION("""COMPUTED_VALUE"""),"")</f>
        <v/>
      </c>
      <c r="H16051" s="42">
        <f t="shared" si="1"/>
        <v>3345</v>
      </c>
    </row>
    <row r="16052" ht="22.5" customHeight="1">
      <c r="B16052" s="42" t="str">
        <f>IFERROR(__xludf.DUMMYFUNCTION("""COMPUTED_VALUE"""),"")</f>
        <v/>
      </c>
      <c r="C16052" s="42" t="str">
        <f>IFERROR(__xludf.DUMMYFUNCTION("""COMPUTED_VALUE"""),"")</f>
        <v/>
      </c>
      <c r="D16052" s="42"/>
      <c r="E16052" s="42"/>
      <c r="F16052" s="48" t="str">
        <f>IFERROR(__xludf.DUMMYFUNCTION("""COMPUTED_VALUE"""),"")</f>
        <v/>
      </c>
      <c r="G16052" s="42" t="str">
        <f>IFERROR(__xludf.DUMMYFUNCTION("""COMPUTED_VALUE"""),"")</f>
        <v/>
      </c>
      <c r="H16052" s="42">
        <f t="shared" si="1"/>
        <v>3345</v>
      </c>
    </row>
    <row r="16053" ht="22.5" customHeight="1">
      <c r="B16053" s="42" t="str">
        <f>IFERROR(__xludf.DUMMYFUNCTION("""COMPUTED_VALUE"""),"")</f>
        <v/>
      </c>
      <c r="C16053" s="42" t="str">
        <f>IFERROR(__xludf.DUMMYFUNCTION("""COMPUTED_VALUE"""),"")</f>
        <v/>
      </c>
      <c r="D16053" s="42"/>
      <c r="E16053" s="42"/>
      <c r="F16053" s="48" t="str">
        <f>IFERROR(__xludf.DUMMYFUNCTION("""COMPUTED_VALUE"""),"")</f>
        <v/>
      </c>
      <c r="G16053" s="42" t="str">
        <f>IFERROR(__xludf.DUMMYFUNCTION("""COMPUTED_VALUE"""),"")</f>
        <v/>
      </c>
      <c r="H16053" s="42">
        <f t="shared" si="1"/>
        <v>3345</v>
      </c>
    </row>
    <row r="16054" ht="22.5" customHeight="1">
      <c r="B16054" s="42" t="str">
        <f>IFERROR(__xludf.DUMMYFUNCTION("""COMPUTED_VALUE"""),"")</f>
        <v/>
      </c>
      <c r="C16054" s="42" t="str">
        <f>IFERROR(__xludf.DUMMYFUNCTION("""COMPUTED_VALUE"""),"")</f>
        <v/>
      </c>
      <c r="D16054" s="42"/>
      <c r="E16054" s="42"/>
      <c r="F16054" s="48" t="str">
        <f>IFERROR(__xludf.DUMMYFUNCTION("""COMPUTED_VALUE"""),"")</f>
        <v/>
      </c>
      <c r="G16054" s="42" t="str">
        <f>IFERROR(__xludf.DUMMYFUNCTION("""COMPUTED_VALUE"""),"")</f>
        <v/>
      </c>
      <c r="H16054" s="42">
        <f t="shared" si="1"/>
        <v>3345</v>
      </c>
    </row>
    <row r="16055" ht="22.5" customHeight="1">
      <c r="B16055" s="42" t="str">
        <f>IFERROR(__xludf.DUMMYFUNCTION("""COMPUTED_VALUE"""),"")</f>
        <v/>
      </c>
      <c r="C16055" s="42" t="str">
        <f>IFERROR(__xludf.DUMMYFUNCTION("""COMPUTED_VALUE"""),"")</f>
        <v/>
      </c>
      <c r="D16055" s="42"/>
      <c r="E16055" s="42"/>
      <c r="F16055" s="48" t="str">
        <f>IFERROR(__xludf.DUMMYFUNCTION("""COMPUTED_VALUE"""),"")</f>
        <v/>
      </c>
      <c r="G16055" s="42" t="str">
        <f>IFERROR(__xludf.DUMMYFUNCTION("""COMPUTED_VALUE"""),"")</f>
        <v/>
      </c>
      <c r="H16055" s="42">
        <f t="shared" si="1"/>
        <v>3345</v>
      </c>
    </row>
    <row r="16056" ht="22.5" customHeight="1">
      <c r="B16056" s="42" t="str">
        <f>IFERROR(__xludf.DUMMYFUNCTION("""COMPUTED_VALUE"""),"")</f>
        <v/>
      </c>
      <c r="C16056" s="42" t="str">
        <f>IFERROR(__xludf.DUMMYFUNCTION("""COMPUTED_VALUE"""),"")</f>
        <v/>
      </c>
      <c r="D16056" s="42"/>
      <c r="E16056" s="42"/>
      <c r="F16056" s="48" t="str">
        <f>IFERROR(__xludf.DUMMYFUNCTION("""COMPUTED_VALUE"""),"")</f>
        <v/>
      </c>
      <c r="G16056" s="42" t="str">
        <f>IFERROR(__xludf.DUMMYFUNCTION("""COMPUTED_VALUE"""),"")</f>
        <v/>
      </c>
      <c r="H16056" s="42">
        <f t="shared" si="1"/>
        <v>3345</v>
      </c>
    </row>
    <row r="16057" ht="22.5" customHeight="1">
      <c r="B16057" s="42" t="str">
        <f>IFERROR(__xludf.DUMMYFUNCTION("""COMPUTED_VALUE"""),"")</f>
        <v/>
      </c>
      <c r="C16057" s="42" t="str">
        <f>IFERROR(__xludf.DUMMYFUNCTION("""COMPUTED_VALUE"""),"")</f>
        <v/>
      </c>
      <c r="D16057" s="42"/>
      <c r="E16057" s="42"/>
      <c r="F16057" s="48" t="str">
        <f>IFERROR(__xludf.DUMMYFUNCTION("""COMPUTED_VALUE"""),"")</f>
        <v/>
      </c>
      <c r="G16057" s="42" t="str">
        <f>IFERROR(__xludf.DUMMYFUNCTION("""COMPUTED_VALUE"""),"")</f>
        <v/>
      </c>
      <c r="H16057" s="42">
        <f t="shared" si="1"/>
        <v>3345</v>
      </c>
    </row>
    <row r="16058" ht="22.5" customHeight="1">
      <c r="B16058" s="42" t="str">
        <f>IFERROR(__xludf.DUMMYFUNCTION("""COMPUTED_VALUE"""),"")</f>
        <v/>
      </c>
      <c r="C16058" s="42" t="str">
        <f>IFERROR(__xludf.DUMMYFUNCTION("""COMPUTED_VALUE"""),"")</f>
        <v/>
      </c>
      <c r="D16058" s="42"/>
      <c r="E16058" s="42"/>
      <c r="F16058" s="48" t="str">
        <f>IFERROR(__xludf.DUMMYFUNCTION("""COMPUTED_VALUE"""),"")</f>
        <v/>
      </c>
      <c r="G16058" s="42" t="str">
        <f>IFERROR(__xludf.DUMMYFUNCTION("""COMPUTED_VALUE"""),"")</f>
        <v/>
      </c>
      <c r="H16058" s="42">
        <f t="shared" si="1"/>
        <v>3345</v>
      </c>
    </row>
    <row r="16059" ht="22.5" customHeight="1">
      <c r="B16059" s="42" t="str">
        <f>IFERROR(__xludf.DUMMYFUNCTION("""COMPUTED_VALUE"""),"")</f>
        <v/>
      </c>
      <c r="C16059" s="42" t="str">
        <f>IFERROR(__xludf.DUMMYFUNCTION("""COMPUTED_VALUE"""),"")</f>
        <v/>
      </c>
      <c r="D16059" s="42"/>
      <c r="E16059" s="42"/>
      <c r="F16059" s="48" t="str">
        <f>IFERROR(__xludf.DUMMYFUNCTION("""COMPUTED_VALUE"""),"")</f>
        <v/>
      </c>
      <c r="G16059" s="42" t="str">
        <f>IFERROR(__xludf.DUMMYFUNCTION("""COMPUTED_VALUE"""),"")</f>
        <v/>
      </c>
      <c r="H16059" s="42">
        <f t="shared" si="1"/>
        <v>3345</v>
      </c>
    </row>
    <row r="16060" ht="22.5" customHeight="1">
      <c r="B16060" s="42" t="str">
        <f>IFERROR(__xludf.DUMMYFUNCTION("""COMPUTED_VALUE"""),"")</f>
        <v/>
      </c>
      <c r="C16060" s="42" t="str">
        <f>IFERROR(__xludf.DUMMYFUNCTION("""COMPUTED_VALUE"""),"")</f>
        <v/>
      </c>
      <c r="D16060" s="42"/>
      <c r="E16060" s="42"/>
      <c r="F16060" s="48" t="str">
        <f>IFERROR(__xludf.DUMMYFUNCTION("""COMPUTED_VALUE"""),"")</f>
        <v/>
      </c>
      <c r="G16060" s="42" t="str">
        <f>IFERROR(__xludf.DUMMYFUNCTION("""COMPUTED_VALUE"""),"")</f>
        <v/>
      </c>
      <c r="H16060" s="42">
        <f t="shared" si="1"/>
        <v>3345</v>
      </c>
    </row>
    <row r="16061" ht="22.5" customHeight="1">
      <c r="B16061" s="42" t="str">
        <f>IFERROR(__xludf.DUMMYFUNCTION("""COMPUTED_VALUE"""),"")</f>
        <v/>
      </c>
      <c r="C16061" s="42" t="str">
        <f>IFERROR(__xludf.DUMMYFUNCTION("""COMPUTED_VALUE"""),"")</f>
        <v/>
      </c>
      <c r="D16061" s="42"/>
      <c r="E16061" s="42"/>
      <c r="F16061" s="48" t="str">
        <f>IFERROR(__xludf.DUMMYFUNCTION("""COMPUTED_VALUE"""),"")</f>
        <v/>
      </c>
      <c r="G16061" s="42" t="str">
        <f>IFERROR(__xludf.DUMMYFUNCTION("""COMPUTED_VALUE"""),"")</f>
        <v/>
      </c>
      <c r="H16061" s="42">
        <f t="shared" si="1"/>
        <v>3345</v>
      </c>
    </row>
    <row r="16062" ht="22.5" customHeight="1">
      <c r="B16062" s="42" t="str">
        <f>IFERROR(__xludf.DUMMYFUNCTION("""COMPUTED_VALUE"""),"")</f>
        <v/>
      </c>
      <c r="C16062" s="42" t="str">
        <f>IFERROR(__xludf.DUMMYFUNCTION("""COMPUTED_VALUE"""),"")</f>
        <v/>
      </c>
      <c r="D16062" s="42"/>
      <c r="E16062" s="42"/>
      <c r="F16062" s="48" t="str">
        <f>IFERROR(__xludf.DUMMYFUNCTION("""COMPUTED_VALUE"""),"")</f>
        <v/>
      </c>
      <c r="G16062" s="42" t="str">
        <f>IFERROR(__xludf.DUMMYFUNCTION("""COMPUTED_VALUE"""),"")</f>
        <v/>
      </c>
      <c r="H16062" s="42">
        <f t="shared" si="1"/>
        <v>3345</v>
      </c>
    </row>
    <row r="16063" ht="22.5" customHeight="1">
      <c r="B16063" s="42" t="str">
        <f>IFERROR(__xludf.DUMMYFUNCTION("""COMPUTED_VALUE"""),"")</f>
        <v/>
      </c>
      <c r="C16063" s="42" t="str">
        <f>IFERROR(__xludf.DUMMYFUNCTION("""COMPUTED_VALUE"""),"")</f>
        <v/>
      </c>
      <c r="D16063" s="42"/>
      <c r="E16063" s="42"/>
      <c r="F16063" s="48" t="str">
        <f>IFERROR(__xludf.DUMMYFUNCTION("""COMPUTED_VALUE"""),"")</f>
        <v/>
      </c>
      <c r="G16063" s="42" t="str">
        <f>IFERROR(__xludf.DUMMYFUNCTION("""COMPUTED_VALUE"""),"")</f>
        <v/>
      </c>
      <c r="H16063" s="42">
        <f t="shared" si="1"/>
        <v>3345</v>
      </c>
    </row>
    <row r="16064" ht="22.5" customHeight="1">
      <c r="B16064" s="42" t="str">
        <f>IFERROR(__xludf.DUMMYFUNCTION("""COMPUTED_VALUE"""),"")</f>
        <v/>
      </c>
      <c r="C16064" s="42" t="str">
        <f>IFERROR(__xludf.DUMMYFUNCTION("""COMPUTED_VALUE"""),"")</f>
        <v/>
      </c>
      <c r="D16064" s="42"/>
      <c r="E16064" s="42"/>
      <c r="F16064" s="48" t="str">
        <f>IFERROR(__xludf.DUMMYFUNCTION("""COMPUTED_VALUE"""),"")</f>
        <v/>
      </c>
      <c r="G16064" s="42" t="str">
        <f>IFERROR(__xludf.DUMMYFUNCTION("""COMPUTED_VALUE"""),"")</f>
        <v/>
      </c>
      <c r="H16064" s="42">
        <f t="shared" si="1"/>
        <v>3345</v>
      </c>
    </row>
    <row r="16065" ht="22.5" customHeight="1">
      <c r="B16065" s="42" t="str">
        <f>IFERROR(__xludf.DUMMYFUNCTION("""COMPUTED_VALUE"""),"")</f>
        <v/>
      </c>
      <c r="C16065" s="42" t="str">
        <f>IFERROR(__xludf.DUMMYFUNCTION("""COMPUTED_VALUE"""),"")</f>
        <v/>
      </c>
      <c r="D16065" s="42"/>
      <c r="E16065" s="42"/>
      <c r="F16065" s="48" t="str">
        <f>IFERROR(__xludf.DUMMYFUNCTION("""COMPUTED_VALUE"""),"")</f>
        <v/>
      </c>
      <c r="G16065" s="42" t="str">
        <f>IFERROR(__xludf.DUMMYFUNCTION("""COMPUTED_VALUE"""),"")</f>
        <v/>
      </c>
      <c r="H16065" s="42">
        <f t="shared" si="1"/>
        <v>3345</v>
      </c>
    </row>
    <row r="16066" ht="22.5" customHeight="1">
      <c r="B16066" s="42" t="str">
        <f>IFERROR(__xludf.DUMMYFUNCTION("""COMPUTED_VALUE"""),"")</f>
        <v/>
      </c>
      <c r="C16066" s="42" t="str">
        <f>IFERROR(__xludf.DUMMYFUNCTION("""COMPUTED_VALUE"""),"")</f>
        <v/>
      </c>
      <c r="D16066" s="42"/>
      <c r="E16066" s="42"/>
      <c r="F16066" s="48" t="str">
        <f>IFERROR(__xludf.DUMMYFUNCTION("""COMPUTED_VALUE"""),"")</f>
        <v/>
      </c>
      <c r="G16066" s="42" t="str">
        <f>IFERROR(__xludf.DUMMYFUNCTION("""COMPUTED_VALUE"""),"")</f>
        <v/>
      </c>
      <c r="H16066" s="42">
        <f t="shared" si="1"/>
        <v>3345</v>
      </c>
    </row>
    <row r="16067" ht="22.5" customHeight="1">
      <c r="B16067" s="42" t="str">
        <f>IFERROR(__xludf.DUMMYFUNCTION("""COMPUTED_VALUE"""),"")</f>
        <v/>
      </c>
      <c r="C16067" s="42" t="str">
        <f>IFERROR(__xludf.DUMMYFUNCTION("""COMPUTED_VALUE"""),"")</f>
        <v/>
      </c>
      <c r="D16067" s="42"/>
      <c r="E16067" s="42"/>
      <c r="F16067" s="48" t="str">
        <f>IFERROR(__xludf.DUMMYFUNCTION("""COMPUTED_VALUE"""),"")</f>
        <v/>
      </c>
      <c r="G16067" s="42" t="str">
        <f>IFERROR(__xludf.DUMMYFUNCTION("""COMPUTED_VALUE"""),"")</f>
        <v/>
      </c>
      <c r="H16067" s="42">
        <f t="shared" si="1"/>
        <v>3345</v>
      </c>
    </row>
    <row r="16068" ht="22.5" customHeight="1">
      <c r="B16068" s="42" t="str">
        <f>IFERROR(__xludf.DUMMYFUNCTION("""COMPUTED_VALUE"""),"")</f>
        <v/>
      </c>
      <c r="C16068" s="42" t="str">
        <f>IFERROR(__xludf.DUMMYFUNCTION("""COMPUTED_VALUE"""),"")</f>
        <v/>
      </c>
      <c r="D16068" s="42"/>
      <c r="E16068" s="42"/>
      <c r="F16068" s="48" t="str">
        <f>IFERROR(__xludf.DUMMYFUNCTION("""COMPUTED_VALUE"""),"")</f>
        <v/>
      </c>
      <c r="G16068" s="42" t="str">
        <f>IFERROR(__xludf.DUMMYFUNCTION("""COMPUTED_VALUE"""),"")</f>
        <v/>
      </c>
      <c r="H16068" s="42">
        <f t="shared" si="1"/>
        <v>3345</v>
      </c>
    </row>
    <row r="16069" ht="22.5" customHeight="1">
      <c r="B16069" s="42" t="str">
        <f>IFERROR(__xludf.DUMMYFUNCTION("""COMPUTED_VALUE"""),"")</f>
        <v/>
      </c>
      <c r="C16069" s="42" t="str">
        <f>IFERROR(__xludf.DUMMYFUNCTION("""COMPUTED_VALUE"""),"")</f>
        <v/>
      </c>
      <c r="D16069" s="42"/>
      <c r="E16069" s="42"/>
      <c r="F16069" s="48" t="str">
        <f>IFERROR(__xludf.DUMMYFUNCTION("""COMPUTED_VALUE"""),"")</f>
        <v/>
      </c>
      <c r="G16069" s="42" t="str">
        <f>IFERROR(__xludf.DUMMYFUNCTION("""COMPUTED_VALUE"""),"")</f>
        <v/>
      </c>
      <c r="H16069" s="42">
        <f t="shared" si="1"/>
        <v>3345</v>
      </c>
    </row>
    <row r="16070" ht="22.5" customHeight="1">
      <c r="B16070" s="42" t="str">
        <f>IFERROR(__xludf.DUMMYFUNCTION("""COMPUTED_VALUE"""),"")</f>
        <v/>
      </c>
      <c r="C16070" s="42" t="str">
        <f>IFERROR(__xludf.DUMMYFUNCTION("""COMPUTED_VALUE"""),"")</f>
        <v/>
      </c>
      <c r="D16070" s="42"/>
      <c r="E16070" s="42"/>
      <c r="F16070" s="48" t="str">
        <f>IFERROR(__xludf.DUMMYFUNCTION("""COMPUTED_VALUE"""),"")</f>
        <v/>
      </c>
      <c r="G16070" s="42" t="str">
        <f>IFERROR(__xludf.DUMMYFUNCTION("""COMPUTED_VALUE"""),"")</f>
        <v/>
      </c>
      <c r="H16070" s="42">
        <f t="shared" si="1"/>
        <v>3345</v>
      </c>
    </row>
    <row r="16071" ht="22.5" customHeight="1">
      <c r="B16071" s="42" t="str">
        <f>IFERROR(__xludf.DUMMYFUNCTION("""COMPUTED_VALUE"""),"")</f>
        <v/>
      </c>
      <c r="C16071" s="42" t="str">
        <f>IFERROR(__xludf.DUMMYFUNCTION("""COMPUTED_VALUE"""),"")</f>
        <v/>
      </c>
      <c r="D16071" s="42"/>
      <c r="E16071" s="42"/>
      <c r="F16071" s="48" t="str">
        <f>IFERROR(__xludf.DUMMYFUNCTION("""COMPUTED_VALUE"""),"")</f>
        <v/>
      </c>
      <c r="G16071" s="42" t="str">
        <f>IFERROR(__xludf.DUMMYFUNCTION("""COMPUTED_VALUE"""),"")</f>
        <v/>
      </c>
      <c r="H16071" s="42">
        <f t="shared" si="1"/>
        <v>3345</v>
      </c>
    </row>
    <row r="16072" ht="22.5" customHeight="1">
      <c r="B16072" s="42" t="str">
        <f>IFERROR(__xludf.DUMMYFUNCTION("""COMPUTED_VALUE"""),"")</f>
        <v/>
      </c>
      <c r="C16072" s="42" t="str">
        <f>IFERROR(__xludf.DUMMYFUNCTION("""COMPUTED_VALUE"""),"")</f>
        <v/>
      </c>
      <c r="D16072" s="42"/>
      <c r="E16072" s="42"/>
      <c r="F16072" s="48" t="str">
        <f>IFERROR(__xludf.DUMMYFUNCTION("""COMPUTED_VALUE"""),"")</f>
        <v/>
      </c>
      <c r="G16072" s="42" t="str">
        <f>IFERROR(__xludf.DUMMYFUNCTION("""COMPUTED_VALUE"""),"")</f>
        <v/>
      </c>
      <c r="H16072" s="42">
        <f t="shared" si="1"/>
        <v>3345</v>
      </c>
    </row>
    <row r="16073" ht="22.5" customHeight="1">
      <c r="B16073" s="42" t="str">
        <f>IFERROR(__xludf.DUMMYFUNCTION("""COMPUTED_VALUE"""),"")</f>
        <v/>
      </c>
      <c r="C16073" s="42" t="str">
        <f>IFERROR(__xludf.DUMMYFUNCTION("""COMPUTED_VALUE"""),"")</f>
        <v/>
      </c>
      <c r="D16073" s="42"/>
      <c r="E16073" s="42"/>
      <c r="F16073" s="48" t="str">
        <f>IFERROR(__xludf.DUMMYFUNCTION("""COMPUTED_VALUE"""),"")</f>
        <v/>
      </c>
      <c r="G16073" s="42" t="str">
        <f>IFERROR(__xludf.DUMMYFUNCTION("""COMPUTED_VALUE"""),"")</f>
        <v/>
      </c>
      <c r="H16073" s="42">
        <f t="shared" si="1"/>
        <v>3345</v>
      </c>
    </row>
    <row r="16074" ht="22.5" customHeight="1">
      <c r="B16074" s="42" t="str">
        <f>IFERROR(__xludf.DUMMYFUNCTION("""COMPUTED_VALUE"""),"")</f>
        <v/>
      </c>
      <c r="C16074" s="42" t="str">
        <f>IFERROR(__xludf.DUMMYFUNCTION("""COMPUTED_VALUE"""),"")</f>
        <v/>
      </c>
      <c r="D16074" s="42"/>
      <c r="E16074" s="42"/>
      <c r="F16074" s="48" t="str">
        <f>IFERROR(__xludf.DUMMYFUNCTION("""COMPUTED_VALUE"""),"")</f>
        <v/>
      </c>
      <c r="G16074" s="42" t="str">
        <f>IFERROR(__xludf.DUMMYFUNCTION("""COMPUTED_VALUE"""),"")</f>
        <v/>
      </c>
      <c r="H16074" s="42">
        <f t="shared" si="1"/>
        <v>3345</v>
      </c>
    </row>
    <row r="16075" ht="22.5" customHeight="1">
      <c r="B16075" s="42" t="str">
        <f>IFERROR(__xludf.DUMMYFUNCTION("""COMPUTED_VALUE"""),"")</f>
        <v/>
      </c>
      <c r="C16075" s="42" t="str">
        <f>IFERROR(__xludf.DUMMYFUNCTION("""COMPUTED_VALUE"""),"")</f>
        <v/>
      </c>
      <c r="D16075" s="42"/>
      <c r="E16075" s="42"/>
      <c r="F16075" s="48" t="str">
        <f>IFERROR(__xludf.DUMMYFUNCTION("""COMPUTED_VALUE"""),"")</f>
        <v/>
      </c>
      <c r="G16075" s="42" t="str">
        <f>IFERROR(__xludf.DUMMYFUNCTION("""COMPUTED_VALUE"""),"")</f>
        <v/>
      </c>
      <c r="H16075" s="42">
        <f t="shared" si="1"/>
        <v>3345</v>
      </c>
    </row>
    <row r="16076" ht="22.5" customHeight="1">
      <c r="B16076" s="42" t="str">
        <f>IFERROR(__xludf.DUMMYFUNCTION("""COMPUTED_VALUE"""),"")</f>
        <v/>
      </c>
      <c r="C16076" s="42" t="str">
        <f>IFERROR(__xludf.DUMMYFUNCTION("""COMPUTED_VALUE"""),"")</f>
        <v/>
      </c>
      <c r="D16076" s="42"/>
      <c r="E16076" s="42"/>
      <c r="F16076" s="48" t="str">
        <f>IFERROR(__xludf.DUMMYFUNCTION("""COMPUTED_VALUE"""),"")</f>
        <v/>
      </c>
      <c r="G16076" s="42" t="str">
        <f>IFERROR(__xludf.DUMMYFUNCTION("""COMPUTED_VALUE"""),"")</f>
        <v/>
      </c>
      <c r="H16076" s="42">
        <f t="shared" si="1"/>
        <v>3345</v>
      </c>
    </row>
    <row r="16077" ht="22.5" customHeight="1">
      <c r="B16077" s="42" t="str">
        <f>IFERROR(__xludf.DUMMYFUNCTION("""COMPUTED_VALUE"""),"")</f>
        <v/>
      </c>
      <c r="C16077" s="42" t="str">
        <f>IFERROR(__xludf.DUMMYFUNCTION("""COMPUTED_VALUE"""),"")</f>
        <v/>
      </c>
      <c r="D16077" s="42"/>
      <c r="E16077" s="42"/>
      <c r="F16077" s="48" t="str">
        <f>IFERROR(__xludf.DUMMYFUNCTION("""COMPUTED_VALUE"""),"")</f>
        <v/>
      </c>
      <c r="G16077" s="42" t="str">
        <f>IFERROR(__xludf.DUMMYFUNCTION("""COMPUTED_VALUE"""),"")</f>
        <v/>
      </c>
      <c r="H16077" s="42">
        <f t="shared" si="1"/>
        <v>3345</v>
      </c>
    </row>
    <row r="16078" ht="22.5" customHeight="1">
      <c r="B16078" s="42" t="str">
        <f>IFERROR(__xludf.DUMMYFUNCTION("""COMPUTED_VALUE"""),"")</f>
        <v/>
      </c>
      <c r="C16078" s="42" t="str">
        <f>IFERROR(__xludf.DUMMYFUNCTION("""COMPUTED_VALUE"""),"")</f>
        <v/>
      </c>
      <c r="D16078" s="42"/>
      <c r="E16078" s="42"/>
      <c r="F16078" s="48" t="str">
        <f>IFERROR(__xludf.DUMMYFUNCTION("""COMPUTED_VALUE"""),"")</f>
        <v/>
      </c>
      <c r="G16078" s="42" t="str">
        <f>IFERROR(__xludf.DUMMYFUNCTION("""COMPUTED_VALUE"""),"")</f>
        <v/>
      </c>
      <c r="H16078" s="42">
        <f t="shared" si="1"/>
        <v>3345</v>
      </c>
    </row>
    <row r="16079" ht="22.5" customHeight="1">
      <c r="B16079" s="42" t="str">
        <f>IFERROR(__xludf.DUMMYFUNCTION("""COMPUTED_VALUE"""),"")</f>
        <v/>
      </c>
      <c r="C16079" s="42" t="str">
        <f>IFERROR(__xludf.DUMMYFUNCTION("""COMPUTED_VALUE"""),"")</f>
        <v/>
      </c>
      <c r="D16079" s="42"/>
      <c r="E16079" s="42"/>
      <c r="F16079" s="48" t="str">
        <f>IFERROR(__xludf.DUMMYFUNCTION("""COMPUTED_VALUE"""),"")</f>
        <v/>
      </c>
      <c r="G16079" s="42" t="str">
        <f>IFERROR(__xludf.DUMMYFUNCTION("""COMPUTED_VALUE"""),"")</f>
        <v/>
      </c>
      <c r="H16079" s="42">
        <f t="shared" si="1"/>
        <v>3345</v>
      </c>
    </row>
    <row r="16080" ht="22.5" customHeight="1">
      <c r="B16080" s="42" t="str">
        <f>IFERROR(__xludf.DUMMYFUNCTION("""COMPUTED_VALUE"""),"")</f>
        <v/>
      </c>
      <c r="C16080" s="42" t="str">
        <f>IFERROR(__xludf.DUMMYFUNCTION("""COMPUTED_VALUE"""),"")</f>
        <v/>
      </c>
      <c r="D16080" s="42"/>
      <c r="E16080" s="42"/>
      <c r="F16080" s="48" t="str">
        <f>IFERROR(__xludf.DUMMYFUNCTION("""COMPUTED_VALUE"""),"")</f>
        <v/>
      </c>
      <c r="G16080" s="42" t="str">
        <f>IFERROR(__xludf.DUMMYFUNCTION("""COMPUTED_VALUE"""),"")</f>
        <v/>
      </c>
      <c r="H16080" s="42">
        <f t="shared" si="1"/>
        <v>3345</v>
      </c>
    </row>
    <row r="16081" ht="22.5" customHeight="1">
      <c r="B16081" s="42" t="str">
        <f>IFERROR(__xludf.DUMMYFUNCTION("""COMPUTED_VALUE"""),"")</f>
        <v/>
      </c>
      <c r="C16081" s="42" t="str">
        <f>IFERROR(__xludf.DUMMYFUNCTION("""COMPUTED_VALUE"""),"")</f>
        <v/>
      </c>
      <c r="D16081" s="42"/>
      <c r="E16081" s="42"/>
      <c r="F16081" s="48" t="str">
        <f>IFERROR(__xludf.DUMMYFUNCTION("""COMPUTED_VALUE"""),"")</f>
        <v/>
      </c>
      <c r="G16081" s="42" t="str">
        <f>IFERROR(__xludf.DUMMYFUNCTION("""COMPUTED_VALUE"""),"")</f>
        <v/>
      </c>
      <c r="H16081" s="42">
        <f t="shared" si="1"/>
        <v>3345</v>
      </c>
    </row>
    <row r="16082" ht="22.5" customHeight="1">
      <c r="B16082" s="42" t="str">
        <f>IFERROR(__xludf.DUMMYFUNCTION("""COMPUTED_VALUE"""),"")</f>
        <v/>
      </c>
      <c r="C16082" s="42" t="str">
        <f>IFERROR(__xludf.DUMMYFUNCTION("""COMPUTED_VALUE"""),"")</f>
        <v/>
      </c>
      <c r="D16082" s="42"/>
      <c r="E16082" s="42"/>
      <c r="F16082" s="48" t="str">
        <f>IFERROR(__xludf.DUMMYFUNCTION("""COMPUTED_VALUE"""),"")</f>
        <v/>
      </c>
      <c r="G16082" s="42" t="str">
        <f>IFERROR(__xludf.DUMMYFUNCTION("""COMPUTED_VALUE"""),"")</f>
        <v/>
      </c>
      <c r="H16082" s="42">
        <f t="shared" si="1"/>
        <v>3345</v>
      </c>
    </row>
    <row r="16083" ht="22.5" customHeight="1">
      <c r="B16083" s="42" t="str">
        <f>IFERROR(__xludf.DUMMYFUNCTION("""COMPUTED_VALUE"""),"")</f>
        <v/>
      </c>
      <c r="C16083" s="42" t="str">
        <f>IFERROR(__xludf.DUMMYFUNCTION("""COMPUTED_VALUE"""),"")</f>
        <v/>
      </c>
      <c r="D16083" s="42"/>
      <c r="E16083" s="42"/>
      <c r="F16083" s="48" t="str">
        <f>IFERROR(__xludf.DUMMYFUNCTION("""COMPUTED_VALUE"""),"")</f>
        <v/>
      </c>
      <c r="G16083" s="42" t="str">
        <f>IFERROR(__xludf.DUMMYFUNCTION("""COMPUTED_VALUE"""),"")</f>
        <v/>
      </c>
      <c r="H16083" s="42">
        <f t="shared" si="1"/>
        <v>3345</v>
      </c>
    </row>
    <row r="16084" ht="22.5" customHeight="1">
      <c r="B16084" s="42" t="str">
        <f>IFERROR(__xludf.DUMMYFUNCTION("""COMPUTED_VALUE"""),"")</f>
        <v/>
      </c>
      <c r="C16084" s="42" t="str">
        <f>IFERROR(__xludf.DUMMYFUNCTION("""COMPUTED_VALUE"""),"")</f>
        <v/>
      </c>
      <c r="D16084" s="42"/>
      <c r="E16084" s="42"/>
      <c r="F16084" s="48" t="str">
        <f>IFERROR(__xludf.DUMMYFUNCTION("""COMPUTED_VALUE"""),"")</f>
        <v/>
      </c>
      <c r="G16084" s="42" t="str">
        <f>IFERROR(__xludf.DUMMYFUNCTION("""COMPUTED_VALUE"""),"")</f>
        <v/>
      </c>
      <c r="H16084" s="42">
        <f t="shared" si="1"/>
        <v>3345</v>
      </c>
    </row>
    <row r="16085" ht="22.5" customHeight="1">
      <c r="B16085" s="42" t="str">
        <f>IFERROR(__xludf.DUMMYFUNCTION("""COMPUTED_VALUE"""),"")</f>
        <v/>
      </c>
      <c r="C16085" s="42" t="str">
        <f>IFERROR(__xludf.DUMMYFUNCTION("""COMPUTED_VALUE"""),"")</f>
        <v/>
      </c>
      <c r="D16085" s="42"/>
      <c r="E16085" s="42"/>
      <c r="F16085" s="48" t="str">
        <f>IFERROR(__xludf.DUMMYFUNCTION("""COMPUTED_VALUE"""),"")</f>
        <v/>
      </c>
      <c r="G16085" s="42" t="str">
        <f>IFERROR(__xludf.DUMMYFUNCTION("""COMPUTED_VALUE"""),"")</f>
        <v/>
      </c>
      <c r="H16085" s="42">
        <f t="shared" si="1"/>
        <v>3345</v>
      </c>
    </row>
    <row r="16086" ht="22.5" customHeight="1">
      <c r="B16086" s="42" t="str">
        <f>IFERROR(__xludf.DUMMYFUNCTION("""COMPUTED_VALUE"""),"")</f>
        <v/>
      </c>
      <c r="C16086" s="42" t="str">
        <f>IFERROR(__xludf.DUMMYFUNCTION("""COMPUTED_VALUE"""),"")</f>
        <v/>
      </c>
      <c r="D16086" s="42"/>
      <c r="E16086" s="42"/>
      <c r="F16086" s="48" t="str">
        <f>IFERROR(__xludf.DUMMYFUNCTION("""COMPUTED_VALUE"""),"")</f>
        <v/>
      </c>
      <c r="G16086" s="42" t="str">
        <f>IFERROR(__xludf.DUMMYFUNCTION("""COMPUTED_VALUE"""),"")</f>
        <v/>
      </c>
      <c r="H16086" s="42">
        <f t="shared" si="1"/>
        <v>3345</v>
      </c>
    </row>
    <row r="16087" ht="22.5" customHeight="1">
      <c r="B16087" s="42" t="str">
        <f>IFERROR(__xludf.DUMMYFUNCTION("""COMPUTED_VALUE"""),"")</f>
        <v/>
      </c>
      <c r="C16087" s="42" t="str">
        <f>IFERROR(__xludf.DUMMYFUNCTION("""COMPUTED_VALUE"""),"")</f>
        <v/>
      </c>
      <c r="D16087" s="42"/>
      <c r="E16087" s="42"/>
      <c r="F16087" s="48" t="str">
        <f>IFERROR(__xludf.DUMMYFUNCTION("""COMPUTED_VALUE"""),"")</f>
        <v/>
      </c>
      <c r="G16087" s="42" t="str">
        <f>IFERROR(__xludf.DUMMYFUNCTION("""COMPUTED_VALUE"""),"")</f>
        <v/>
      </c>
      <c r="H16087" s="42">
        <f t="shared" si="1"/>
        <v>3345</v>
      </c>
    </row>
    <row r="16088" ht="22.5" customHeight="1">
      <c r="B16088" s="42" t="str">
        <f>IFERROR(__xludf.DUMMYFUNCTION("""COMPUTED_VALUE"""),"")</f>
        <v/>
      </c>
      <c r="C16088" s="42" t="str">
        <f>IFERROR(__xludf.DUMMYFUNCTION("""COMPUTED_VALUE"""),"")</f>
        <v/>
      </c>
      <c r="D16088" s="42"/>
      <c r="E16088" s="42"/>
      <c r="F16088" s="48" t="str">
        <f>IFERROR(__xludf.DUMMYFUNCTION("""COMPUTED_VALUE"""),"")</f>
        <v/>
      </c>
      <c r="G16088" s="42" t="str">
        <f>IFERROR(__xludf.DUMMYFUNCTION("""COMPUTED_VALUE"""),"")</f>
        <v/>
      </c>
      <c r="H16088" s="42">
        <f t="shared" si="1"/>
        <v>3345</v>
      </c>
    </row>
    <row r="16089" ht="22.5" customHeight="1">
      <c r="B16089" s="42" t="str">
        <f>IFERROR(__xludf.DUMMYFUNCTION("""COMPUTED_VALUE"""),"")</f>
        <v/>
      </c>
      <c r="C16089" s="42" t="str">
        <f>IFERROR(__xludf.DUMMYFUNCTION("""COMPUTED_VALUE"""),"")</f>
        <v/>
      </c>
      <c r="D16089" s="42"/>
      <c r="E16089" s="42"/>
      <c r="F16089" s="48" t="str">
        <f>IFERROR(__xludf.DUMMYFUNCTION("""COMPUTED_VALUE"""),"")</f>
        <v/>
      </c>
      <c r="G16089" s="42" t="str">
        <f>IFERROR(__xludf.DUMMYFUNCTION("""COMPUTED_VALUE"""),"")</f>
        <v/>
      </c>
      <c r="H16089" s="42">
        <f t="shared" si="1"/>
        <v>3345</v>
      </c>
    </row>
    <row r="16090" ht="22.5" customHeight="1">
      <c r="B16090" s="42" t="str">
        <f>IFERROR(__xludf.DUMMYFUNCTION("""COMPUTED_VALUE"""),"")</f>
        <v/>
      </c>
      <c r="C16090" s="42" t="str">
        <f>IFERROR(__xludf.DUMMYFUNCTION("""COMPUTED_VALUE"""),"")</f>
        <v/>
      </c>
      <c r="D16090" s="42"/>
      <c r="E16090" s="42"/>
      <c r="F16090" s="48" t="str">
        <f>IFERROR(__xludf.DUMMYFUNCTION("""COMPUTED_VALUE"""),"")</f>
        <v/>
      </c>
      <c r="G16090" s="42" t="str">
        <f>IFERROR(__xludf.DUMMYFUNCTION("""COMPUTED_VALUE"""),"")</f>
        <v/>
      </c>
      <c r="H16090" s="42">
        <f t="shared" si="1"/>
        <v>3345</v>
      </c>
    </row>
    <row r="16091" ht="22.5" customHeight="1">
      <c r="B16091" s="42" t="str">
        <f>IFERROR(__xludf.DUMMYFUNCTION("""COMPUTED_VALUE"""),"")</f>
        <v/>
      </c>
      <c r="C16091" s="42" t="str">
        <f>IFERROR(__xludf.DUMMYFUNCTION("""COMPUTED_VALUE"""),"")</f>
        <v/>
      </c>
      <c r="D16091" s="42"/>
      <c r="E16091" s="42"/>
      <c r="F16091" s="48" t="str">
        <f>IFERROR(__xludf.DUMMYFUNCTION("""COMPUTED_VALUE"""),"")</f>
        <v/>
      </c>
      <c r="G16091" s="42" t="str">
        <f>IFERROR(__xludf.DUMMYFUNCTION("""COMPUTED_VALUE"""),"")</f>
        <v/>
      </c>
      <c r="H16091" s="42">
        <f t="shared" si="1"/>
        <v>3345</v>
      </c>
    </row>
    <row r="16092" ht="22.5" customHeight="1">
      <c r="B16092" s="42" t="str">
        <f>IFERROR(__xludf.DUMMYFUNCTION("""COMPUTED_VALUE"""),"")</f>
        <v/>
      </c>
      <c r="C16092" s="42" t="str">
        <f>IFERROR(__xludf.DUMMYFUNCTION("""COMPUTED_VALUE"""),"")</f>
        <v/>
      </c>
      <c r="D16092" s="42"/>
      <c r="E16092" s="42"/>
      <c r="F16092" s="48" t="str">
        <f>IFERROR(__xludf.DUMMYFUNCTION("""COMPUTED_VALUE"""),"")</f>
        <v/>
      </c>
      <c r="G16092" s="42" t="str">
        <f>IFERROR(__xludf.DUMMYFUNCTION("""COMPUTED_VALUE"""),"")</f>
        <v/>
      </c>
      <c r="H16092" s="42">
        <f t="shared" si="1"/>
        <v>3345</v>
      </c>
    </row>
    <row r="16093" ht="22.5" customHeight="1">
      <c r="B16093" s="42" t="str">
        <f>IFERROR(__xludf.DUMMYFUNCTION("""COMPUTED_VALUE"""),"")</f>
        <v/>
      </c>
      <c r="C16093" s="42" t="str">
        <f>IFERROR(__xludf.DUMMYFUNCTION("""COMPUTED_VALUE"""),"")</f>
        <v/>
      </c>
      <c r="D16093" s="42"/>
      <c r="E16093" s="42"/>
      <c r="F16093" s="48" t="str">
        <f>IFERROR(__xludf.DUMMYFUNCTION("""COMPUTED_VALUE"""),"")</f>
        <v/>
      </c>
      <c r="G16093" s="42" t="str">
        <f>IFERROR(__xludf.DUMMYFUNCTION("""COMPUTED_VALUE"""),"")</f>
        <v/>
      </c>
      <c r="H16093" s="42">
        <f t="shared" si="1"/>
        <v>3345</v>
      </c>
    </row>
    <row r="16094" ht="22.5" customHeight="1">
      <c r="B16094" s="42" t="str">
        <f>IFERROR(__xludf.DUMMYFUNCTION("""COMPUTED_VALUE"""),"")</f>
        <v/>
      </c>
      <c r="C16094" s="42" t="str">
        <f>IFERROR(__xludf.DUMMYFUNCTION("""COMPUTED_VALUE"""),"")</f>
        <v/>
      </c>
      <c r="D16094" s="42"/>
      <c r="E16094" s="42"/>
      <c r="F16094" s="48" t="str">
        <f>IFERROR(__xludf.DUMMYFUNCTION("""COMPUTED_VALUE"""),"")</f>
        <v/>
      </c>
      <c r="G16094" s="42" t="str">
        <f>IFERROR(__xludf.DUMMYFUNCTION("""COMPUTED_VALUE"""),"")</f>
        <v/>
      </c>
      <c r="H16094" s="42">
        <f t="shared" si="1"/>
        <v>3345</v>
      </c>
    </row>
    <row r="16095" ht="22.5" customHeight="1">
      <c r="B16095" s="42" t="str">
        <f>IFERROR(__xludf.DUMMYFUNCTION("""COMPUTED_VALUE"""),"")</f>
        <v/>
      </c>
      <c r="C16095" s="42" t="str">
        <f>IFERROR(__xludf.DUMMYFUNCTION("""COMPUTED_VALUE"""),"")</f>
        <v/>
      </c>
      <c r="D16095" s="42"/>
      <c r="E16095" s="42"/>
      <c r="F16095" s="48" t="str">
        <f>IFERROR(__xludf.DUMMYFUNCTION("""COMPUTED_VALUE"""),"")</f>
        <v/>
      </c>
      <c r="G16095" s="42" t="str">
        <f>IFERROR(__xludf.DUMMYFUNCTION("""COMPUTED_VALUE"""),"")</f>
        <v/>
      </c>
      <c r="H16095" s="42">
        <f t="shared" si="1"/>
        <v>3345</v>
      </c>
    </row>
    <row r="16096" ht="22.5" customHeight="1">
      <c r="B16096" s="42" t="str">
        <f>IFERROR(__xludf.DUMMYFUNCTION("""COMPUTED_VALUE"""),"")</f>
        <v/>
      </c>
      <c r="C16096" s="42" t="str">
        <f>IFERROR(__xludf.DUMMYFUNCTION("""COMPUTED_VALUE"""),"")</f>
        <v/>
      </c>
      <c r="D16096" s="42"/>
      <c r="E16096" s="42"/>
      <c r="F16096" s="48" t="str">
        <f>IFERROR(__xludf.DUMMYFUNCTION("""COMPUTED_VALUE"""),"")</f>
        <v/>
      </c>
      <c r="G16096" s="42" t="str">
        <f>IFERROR(__xludf.DUMMYFUNCTION("""COMPUTED_VALUE"""),"")</f>
        <v/>
      </c>
      <c r="H16096" s="42">
        <f t="shared" si="1"/>
        <v>3345</v>
      </c>
    </row>
    <row r="16097" ht="22.5" customHeight="1">
      <c r="B16097" s="42" t="str">
        <f>IFERROR(__xludf.DUMMYFUNCTION("""COMPUTED_VALUE"""),"")</f>
        <v/>
      </c>
      <c r="C16097" s="42" t="str">
        <f>IFERROR(__xludf.DUMMYFUNCTION("""COMPUTED_VALUE"""),"")</f>
        <v/>
      </c>
      <c r="D16097" s="42"/>
      <c r="E16097" s="42"/>
      <c r="F16097" s="48" t="str">
        <f>IFERROR(__xludf.DUMMYFUNCTION("""COMPUTED_VALUE"""),"")</f>
        <v/>
      </c>
      <c r="G16097" s="42" t="str">
        <f>IFERROR(__xludf.DUMMYFUNCTION("""COMPUTED_VALUE"""),"")</f>
        <v/>
      </c>
      <c r="H16097" s="42">
        <f t="shared" si="1"/>
        <v>3345</v>
      </c>
    </row>
    <row r="16098" ht="22.5" customHeight="1">
      <c r="B16098" s="42" t="str">
        <f>IFERROR(__xludf.DUMMYFUNCTION("""COMPUTED_VALUE"""),"")</f>
        <v/>
      </c>
      <c r="C16098" s="42" t="str">
        <f>IFERROR(__xludf.DUMMYFUNCTION("""COMPUTED_VALUE"""),"")</f>
        <v/>
      </c>
      <c r="D16098" s="42"/>
      <c r="E16098" s="42"/>
      <c r="F16098" s="48" t="str">
        <f>IFERROR(__xludf.DUMMYFUNCTION("""COMPUTED_VALUE"""),"")</f>
        <v/>
      </c>
      <c r="G16098" s="42" t="str">
        <f>IFERROR(__xludf.DUMMYFUNCTION("""COMPUTED_VALUE"""),"")</f>
        <v/>
      </c>
      <c r="H16098" s="42">
        <f t="shared" si="1"/>
        <v>3345</v>
      </c>
    </row>
    <row r="16099" ht="22.5" customHeight="1">
      <c r="B16099" s="42" t="str">
        <f>IFERROR(__xludf.DUMMYFUNCTION("""COMPUTED_VALUE"""),"")</f>
        <v/>
      </c>
      <c r="C16099" s="42" t="str">
        <f>IFERROR(__xludf.DUMMYFUNCTION("""COMPUTED_VALUE"""),"")</f>
        <v/>
      </c>
      <c r="D16099" s="42"/>
      <c r="E16099" s="42"/>
      <c r="F16099" s="48" t="str">
        <f>IFERROR(__xludf.DUMMYFUNCTION("""COMPUTED_VALUE"""),"")</f>
        <v/>
      </c>
      <c r="G16099" s="42" t="str">
        <f>IFERROR(__xludf.DUMMYFUNCTION("""COMPUTED_VALUE"""),"")</f>
        <v/>
      </c>
      <c r="H16099" s="42">
        <f t="shared" si="1"/>
        <v>3345</v>
      </c>
    </row>
    <row r="16100" ht="22.5" customHeight="1">
      <c r="B16100" s="42" t="str">
        <f>IFERROR(__xludf.DUMMYFUNCTION("""COMPUTED_VALUE"""),"")</f>
        <v/>
      </c>
      <c r="C16100" s="42" t="str">
        <f>IFERROR(__xludf.DUMMYFUNCTION("""COMPUTED_VALUE"""),"")</f>
        <v/>
      </c>
      <c r="D16100" s="42"/>
      <c r="E16100" s="42"/>
      <c r="F16100" s="48" t="str">
        <f>IFERROR(__xludf.DUMMYFUNCTION("""COMPUTED_VALUE"""),"")</f>
        <v/>
      </c>
      <c r="G16100" s="42" t="str">
        <f>IFERROR(__xludf.DUMMYFUNCTION("""COMPUTED_VALUE"""),"")</f>
        <v/>
      </c>
      <c r="H16100" s="42">
        <f t="shared" si="1"/>
        <v>3345</v>
      </c>
    </row>
    <row r="16101" ht="22.5" customHeight="1">
      <c r="B16101" s="42" t="str">
        <f>IFERROR(__xludf.DUMMYFUNCTION("""COMPUTED_VALUE"""),"")</f>
        <v/>
      </c>
      <c r="C16101" s="42" t="str">
        <f>IFERROR(__xludf.DUMMYFUNCTION("""COMPUTED_VALUE"""),"")</f>
        <v/>
      </c>
      <c r="D16101" s="42"/>
      <c r="E16101" s="42"/>
      <c r="F16101" s="48" t="str">
        <f>IFERROR(__xludf.DUMMYFUNCTION("""COMPUTED_VALUE"""),"")</f>
        <v/>
      </c>
      <c r="G16101" s="42" t="str">
        <f>IFERROR(__xludf.DUMMYFUNCTION("""COMPUTED_VALUE"""),"")</f>
        <v/>
      </c>
      <c r="H16101" s="42">
        <f t="shared" si="1"/>
        <v>3345</v>
      </c>
    </row>
    <row r="16102" ht="22.5" customHeight="1">
      <c r="B16102" s="42" t="str">
        <f>IFERROR(__xludf.DUMMYFUNCTION("""COMPUTED_VALUE"""),"")</f>
        <v/>
      </c>
      <c r="C16102" s="42" t="str">
        <f>IFERROR(__xludf.DUMMYFUNCTION("""COMPUTED_VALUE"""),"")</f>
        <v/>
      </c>
      <c r="D16102" s="42"/>
      <c r="E16102" s="42"/>
      <c r="F16102" s="48" t="str">
        <f>IFERROR(__xludf.DUMMYFUNCTION("""COMPUTED_VALUE"""),"")</f>
        <v/>
      </c>
      <c r="G16102" s="42" t="str">
        <f>IFERROR(__xludf.DUMMYFUNCTION("""COMPUTED_VALUE"""),"")</f>
        <v/>
      </c>
      <c r="H16102" s="42">
        <f t="shared" si="1"/>
        <v>3345</v>
      </c>
    </row>
    <row r="16103" ht="22.5" customHeight="1">
      <c r="B16103" s="42" t="str">
        <f>IFERROR(__xludf.DUMMYFUNCTION("""COMPUTED_VALUE"""),"")</f>
        <v/>
      </c>
      <c r="C16103" s="42" t="str">
        <f>IFERROR(__xludf.DUMMYFUNCTION("""COMPUTED_VALUE"""),"")</f>
        <v/>
      </c>
      <c r="D16103" s="42"/>
      <c r="E16103" s="42"/>
      <c r="F16103" s="48" t="str">
        <f>IFERROR(__xludf.DUMMYFUNCTION("""COMPUTED_VALUE"""),"")</f>
        <v/>
      </c>
      <c r="G16103" s="42" t="str">
        <f>IFERROR(__xludf.DUMMYFUNCTION("""COMPUTED_VALUE"""),"")</f>
        <v/>
      </c>
      <c r="H16103" s="42">
        <f t="shared" si="1"/>
        <v>3345</v>
      </c>
    </row>
    <row r="16104" ht="22.5" customHeight="1">
      <c r="B16104" s="42" t="str">
        <f>IFERROR(__xludf.DUMMYFUNCTION("""COMPUTED_VALUE"""),"")</f>
        <v/>
      </c>
      <c r="C16104" s="42" t="str">
        <f>IFERROR(__xludf.DUMMYFUNCTION("""COMPUTED_VALUE"""),"")</f>
        <v/>
      </c>
      <c r="D16104" s="42"/>
      <c r="E16104" s="42"/>
      <c r="F16104" s="48" t="str">
        <f>IFERROR(__xludf.DUMMYFUNCTION("""COMPUTED_VALUE"""),"")</f>
        <v/>
      </c>
      <c r="G16104" s="42" t="str">
        <f>IFERROR(__xludf.DUMMYFUNCTION("""COMPUTED_VALUE"""),"")</f>
        <v/>
      </c>
      <c r="H16104" s="42">
        <f t="shared" si="1"/>
        <v>3345</v>
      </c>
    </row>
    <row r="16105" ht="22.5" customHeight="1">
      <c r="B16105" s="42" t="str">
        <f>IFERROR(__xludf.DUMMYFUNCTION("""COMPUTED_VALUE"""),"")</f>
        <v/>
      </c>
      <c r="C16105" s="42" t="str">
        <f>IFERROR(__xludf.DUMMYFUNCTION("""COMPUTED_VALUE"""),"")</f>
        <v/>
      </c>
      <c r="D16105" s="42"/>
      <c r="E16105" s="42"/>
      <c r="F16105" s="48" t="str">
        <f>IFERROR(__xludf.DUMMYFUNCTION("""COMPUTED_VALUE"""),"")</f>
        <v/>
      </c>
      <c r="G16105" s="42" t="str">
        <f>IFERROR(__xludf.DUMMYFUNCTION("""COMPUTED_VALUE"""),"")</f>
        <v/>
      </c>
      <c r="H16105" s="42">
        <f t="shared" si="1"/>
        <v>3345</v>
      </c>
    </row>
    <row r="16106" ht="22.5" customHeight="1">
      <c r="B16106" s="42" t="str">
        <f>IFERROR(__xludf.DUMMYFUNCTION("""COMPUTED_VALUE"""),"")</f>
        <v/>
      </c>
      <c r="C16106" s="42" t="str">
        <f>IFERROR(__xludf.DUMMYFUNCTION("""COMPUTED_VALUE"""),"")</f>
        <v/>
      </c>
      <c r="D16106" s="42"/>
      <c r="E16106" s="42"/>
      <c r="F16106" s="48" t="str">
        <f>IFERROR(__xludf.DUMMYFUNCTION("""COMPUTED_VALUE"""),"")</f>
        <v/>
      </c>
      <c r="G16106" s="42" t="str">
        <f>IFERROR(__xludf.DUMMYFUNCTION("""COMPUTED_VALUE"""),"")</f>
        <v/>
      </c>
      <c r="H16106" s="42">
        <f t="shared" si="1"/>
        <v>3345</v>
      </c>
    </row>
    <row r="16107" ht="22.5" customHeight="1">
      <c r="B16107" s="42" t="str">
        <f>IFERROR(__xludf.DUMMYFUNCTION("""COMPUTED_VALUE"""),"")</f>
        <v/>
      </c>
      <c r="C16107" s="42" t="str">
        <f>IFERROR(__xludf.DUMMYFUNCTION("""COMPUTED_VALUE"""),"")</f>
        <v/>
      </c>
      <c r="D16107" s="42"/>
      <c r="E16107" s="42"/>
      <c r="F16107" s="48" t="str">
        <f>IFERROR(__xludf.DUMMYFUNCTION("""COMPUTED_VALUE"""),"")</f>
        <v/>
      </c>
      <c r="G16107" s="42" t="str">
        <f>IFERROR(__xludf.DUMMYFUNCTION("""COMPUTED_VALUE"""),"")</f>
        <v/>
      </c>
      <c r="H16107" s="42">
        <f t="shared" si="1"/>
        <v>3345</v>
      </c>
    </row>
    <row r="16108" ht="22.5" customHeight="1">
      <c r="B16108" s="42" t="str">
        <f>IFERROR(__xludf.DUMMYFUNCTION("""COMPUTED_VALUE"""),"")</f>
        <v/>
      </c>
      <c r="C16108" s="42" t="str">
        <f>IFERROR(__xludf.DUMMYFUNCTION("""COMPUTED_VALUE"""),"")</f>
        <v/>
      </c>
      <c r="D16108" s="42"/>
      <c r="E16108" s="42"/>
      <c r="F16108" s="48" t="str">
        <f>IFERROR(__xludf.DUMMYFUNCTION("""COMPUTED_VALUE"""),"")</f>
        <v/>
      </c>
      <c r="G16108" s="42" t="str">
        <f>IFERROR(__xludf.DUMMYFUNCTION("""COMPUTED_VALUE"""),"")</f>
        <v/>
      </c>
      <c r="H16108" s="42">
        <f t="shared" si="1"/>
        <v>3345</v>
      </c>
    </row>
    <row r="16109" ht="22.5" customHeight="1">
      <c r="B16109" s="42" t="str">
        <f>IFERROR(__xludf.DUMMYFUNCTION("""COMPUTED_VALUE"""),"")</f>
        <v/>
      </c>
      <c r="C16109" s="42" t="str">
        <f>IFERROR(__xludf.DUMMYFUNCTION("""COMPUTED_VALUE"""),"")</f>
        <v/>
      </c>
      <c r="D16109" s="42"/>
      <c r="E16109" s="42"/>
      <c r="F16109" s="48" t="str">
        <f>IFERROR(__xludf.DUMMYFUNCTION("""COMPUTED_VALUE"""),"")</f>
        <v/>
      </c>
      <c r="G16109" s="42" t="str">
        <f>IFERROR(__xludf.DUMMYFUNCTION("""COMPUTED_VALUE"""),"")</f>
        <v/>
      </c>
      <c r="H16109" s="42">
        <f t="shared" si="1"/>
        <v>3345</v>
      </c>
    </row>
    <row r="16110" ht="22.5" customHeight="1">
      <c r="B16110" s="42" t="str">
        <f>IFERROR(__xludf.DUMMYFUNCTION("""COMPUTED_VALUE"""),"")</f>
        <v/>
      </c>
      <c r="C16110" s="42" t="str">
        <f>IFERROR(__xludf.DUMMYFUNCTION("""COMPUTED_VALUE"""),"")</f>
        <v/>
      </c>
      <c r="D16110" s="42"/>
      <c r="E16110" s="42"/>
      <c r="F16110" s="48" t="str">
        <f>IFERROR(__xludf.DUMMYFUNCTION("""COMPUTED_VALUE"""),"")</f>
        <v/>
      </c>
      <c r="G16110" s="42" t="str">
        <f>IFERROR(__xludf.DUMMYFUNCTION("""COMPUTED_VALUE"""),"")</f>
        <v/>
      </c>
      <c r="H16110" s="42">
        <f t="shared" si="1"/>
        <v>3345</v>
      </c>
    </row>
    <row r="16111" ht="22.5" customHeight="1">
      <c r="B16111" s="42" t="str">
        <f>IFERROR(__xludf.DUMMYFUNCTION("""COMPUTED_VALUE"""),"")</f>
        <v/>
      </c>
      <c r="C16111" s="42" t="str">
        <f>IFERROR(__xludf.DUMMYFUNCTION("""COMPUTED_VALUE"""),"")</f>
        <v/>
      </c>
      <c r="D16111" s="42"/>
      <c r="E16111" s="42"/>
      <c r="F16111" s="48" t="str">
        <f>IFERROR(__xludf.DUMMYFUNCTION("""COMPUTED_VALUE"""),"")</f>
        <v/>
      </c>
      <c r="G16111" s="42" t="str">
        <f>IFERROR(__xludf.DUMMYFUNCTION("""COMPUTED_VALUE"""),"")</f>
        <v/>
      </c>
      <c r="H16111" s="42">
        <f t="shared" si="1"/>
        <v>3345</v>
      </c>
    </row>
    <row r="16112" ht="22.5" customHeight="1">
      <c r="B16112" s="42" t="str">
        <f>IFERROR(__xludf.DUMMYFUNCTION("""COMPUTED_VALUE"""),"")</f>
        <v/>
      </c>
      <c r="C16112" s="42" t="str">
        <f>IFERROR(__xludf.DUMMYFUNCTION("""COMPUTED_VALUE"""),"")</f>
        <v/>
      </c>
      <c r="D16112" s="42"/>
      <c r="E16112" s="42"/>
      <c r="F16112" s="48" t="str">
        <f>IFERROR(__xludf.DUMMYFUNCTION("""COMPUTED_VALUE"""),"")</f>
        <v/>
      </c>
      <c r="G16112" s="42" t="str">
        <f>IFERROR(__xludf.DUMMYFUNCTION("""COMPUTED_VALUE"""),"")</f>
        <v/>
      </c>
      <c r="H16112" s="42">
        <f t="shared" si="1"/>
        <v>3345</v>
      </c>
    </row>
    <row r="16113" ht="22.5" customHeight="1">
      <c r="B16113" s="42" t="str">
        <f>IFERROR(__xludf.DUMMYFUNCTION("""COMPUTED_VALUE"""),"")</f>
        <v/>
      </c>
      <c r="C16113" s="42" t="str">
        <f>IFERROR(__xludf.DUMMYFUNCTION("""COMPUTED_VALUE"""),"")</f>
        <v/>
      </c>
      <c r="D16113" s="42"/>
      <c r="E16113" s="42"/>
      <c r="F16113" s="48" t="str">
        <f>IFERROR(__xludf.DUMMYFUNCTION("""COMPUTED_VALUE"""),"")</f>
        <v/>
      </c>
      <c r="G16113" s="42" t="str">
        <f>IFERROR(__xludf.DUMMYFUNCTION("""COMPUTED_VALUE"""),"")</f>
        <v/>
      </c>
      <c r="H16113" s="42">
        <f t="shared" si="1"/>
        <v>3345</v>
      </c>
    </row>
    <row r="16114" ht="22.5" customHeight="1">
      <c r="B16114" s="42" t="str">
        <f>IFERROR(__xludf.DUMMYFUNCTION("""COMPUTED_VALUE"""),"")</f>
        <v/>
      </c>
      <c r="C16114" s="42" t="str">
        <f>IFERROR(__xludf.DUMMYFUNCTION("""COMPUTED_VALUE"""),"")</f>
        <v/>
      </c>
      <c r="D16114" s="42"/>
      <c r="E16114" s="42"/>
      <c r="F16114" s="48" t="str">
        <f>IFERROR(__xludf.DUMMYFUNCTION("""COMPUTED_VALUE"""),"")</f>
        <v/>
      </c>
      <c r="G16114" s="42" t="str">
        <f>IFERROR(__xludf.DUMMYFUNCTION("""COMPUTED_VALUE"""),"")</f>
        <v/>
      </c>
      <c r="H16114" s="42">
        <f t="shared" si="1"/>
        <v>3345</v>
      </c>
    </row>
    <row r="16115" ht="22.5" customHeight="1">
      <c r="B16115" s="42" t="str">
        <f>IFERROR(__xludf.DUMMYFUNCTION("""COMPUTED_VALUE"""),"")</f>
        <v/>
      </c>
      <c r="C16115" s="42" t="str">
        <f>IFERROR(__xludf.DUMMYFUNCTION("""COMPUTED_VALUE"""),"")</f>
        <v/>
      </c>
      <c r="D16115" s="42"/>
      <c r="E16115" s="42"/>
      <c r="F16115" s="48" t="str">
        <f>IFERROR(__xludf.DUMMYFUNCTION("""COMPUTED_VALUE"""),"")</f>
        <v/>
      </c>
      <c r="G16115" s="42" t="str">
        <f>IFERROR(__xludf.DUMMYFUNCTION("""COMPUTED_VALUE"""),"")</f>
        <v/>
      </c>
      <c r="H16115" s="42">
        <f t="shared" si="1"/>
        <v>3345</v>
      </c>
    </row>
    <row r="16116" ht="22.5" customHeight="1">
      <c r="B16116" s="42" t="str">
        <f>IFERROR(__xludf.DUMMYFUNCTION("""COMPUTED_VALUE"""),"")</f>
        <v/>
      </c>
      <c r="C16116" s="42" t="str">
        <f>IFERROR(__xludf.DUMMYFUNCTION("""COMPUTED_VALUE"""),"")</f>
        <v/>
      </c>
      <c r="D16116" s="42"/>
      <c r="E16116" s="42"/>
      <c r="F16116" s="48" t="str">
        <f>IFERROR(__xludf.DUMMYFUNCTION("""COMPUTED_VALUE"""),"")</f>
        <v/>
      </c>
      <c r="G16116" s="42" t="str">
        <f>IFERROR(__xludf.DUMMYFUNCTION("""COMPUTED_VALUE"""),"")</f>
        <v/>
      </c>
      <c r="H16116" s="42">
        <f t="shared" si="1"/>
        <v>3345</v>
      </c>
    </row>
    <row r="16117" ht="22.5" customHeight="1">
      <c r="B16117" s="42" t="str">
        <f>IFERROR(__xludf.DUMMYFUNCTION("""COMPUTED_VALUE"""),"")</f>
        <v/>
      </c>
      <c r="C16117" s="42" t="str">
        <f>IFERROR(__xludf.DUMMYFUNCTION("""COMPUTED_VALUE"""),"")</f>
        <v/>
      </c>
      <c r="D16117" s="42"/>
      <c r="E16117" s="42"/>
      <c r="F16117" s="48" t="str">
        <f>IFERROR(__xludf.DUMMYFUNCTION("""COMPUTED_VALUE"""),"")</f>
        <v/>
      </c>
      <c r="G16117" s="42" t="str">
        <f>IFERROR(__xludf.DUMMYFUNCTION("""COMPUTED_VALUE"""),"")</f>
        <v/>
      </c>
      <c r="H16117" s="42">
        <f t="shared" si="1"/>
        <v>3345</v>
      </c>
    </row>
    <row r="16118" ht="22.5" customHeight="1">
      <c r="B16118" s="42" t="str">
        <f>IFERROR(__xludf.DUMMYFUNCTION("""COMPUTED_VALUE"""),"")</f>
        <v/>
      </c>
      <c r="C16118" s="42" t="str">
        <f>IFERROR(__xludf.DUMMYFUNCTION("""COMPUTED_VALUE"""),"")</f>
        <v/>
      </c>
      <c r="D16118" s="42"/>
      <c r="E16118" s="42"/>
      <c r="F16118" s="48" t="str">
        <f>IFERROR(__xludf.DUMMYFUNCTION("""COMPUTED_VALUE"""),"")</f>
        <v/>
      </c>
      <c r="G16118" s="42" t="str">
        <f>IFERROR(__xludf.DUMMYFUNCTION("""COMPUTED_VALUE"""),"")</f>
        <v/>
      </c>
      <c r="H16118" s="42">
        <f t="shared" si="1"/>
        <v>3345</v>
      </c>
    </row>
    <row r="16119" ht="22.5" customHeight="1">
      <c r="B16119" s="42" t="str">
        <f>IFERROR(__xludf.DUMMYFUNCTION("""COMPUTED_VALUE"""),"")</f>
        <v/>
      </c>
      <c r="C16119" s="42" t="str">
        <f>IFERROR(__xludf.DUMMYFUNCTION("""COMPUTED_VALUE"""),"")</f>
        <v/>
      </c>
      <c r="D16119" s="42"/>
      <c r="E16119" s="42"/>
      <c r="F16119" s="48" t="str">
        <f>IFERROR(__xludf.DUMMYFUNCTION("""COMPUTED_VALUE"""),"")</f>
        <v/>
      </c>
      <c r="G16119" s="42" t="str">
        <f>IFERROR(__xludf.DUMMYFUNCTION("""COMPUTED_VALUE"""),"")</f>
        <v/>
      </c>
      <c r="H16119" s="42">
        <f t="shared" si="1"/>
        <v>3345</v>
      </c>
    </row>
    <row r="16120" ht="22.5" customHeight="1">
      <c r="B16120" s="42" t="str">
        <f>IFERROR(__xludf.DUMMYFUNCTION("""COMPUTED_VALUE"""),"")</f>
        <v/>
      </c>
      <c r="C16120" s="42" t="str">
        <f>IFERROR(__xludf.DUMMYFUNCTION("""COMPUTED_VALUE"""),"")</f>
        <v/>
      </c>
      <c r="D16120" s="42"/>
      <c r="E16120" s="42"/>
      <c r="F16120" s="48" t="str">
        <f>IFERROR(__xludf.DUMMYFUNCTION("""COMPUTED_VALUE"""),"")</f>
        <v/>
      </c>
      <c r="G16120" s="42" t="str">
        <f>IFERROR(__xludf.DUMMYFUNCTION("""COMPUTED_VALUE"""),"")</f>
        <v/>
      </c>
      <c r="H16120" s="42">
        <f t="shared" si="1"/>
        <v>3345</v>
      </c>
    </row>
    <row r="16121" ht="22.5" customHeight="1">
      <c r="B16121" s="42" t="str">
        <f>IFERROR(__xludf.DUMMYFUNCTION("""COMPUTED_VALUE"""),"")</f>
        <v/>
      </c>
      <c r="C16121" s="42" t="str">
        <f>IFERROR(__xludf.DUMMYFUNCTION("""COMPUTED_VALUE"""),"")</f>
        <v/>
      </c>
      <c r="D16121" s="42"/>
      <c r="E16121" s="42"/>
      <c r="F16121" s="48" t="str">
        <f>IFERROR(__xludf.DUMMYFUNCTION("""COMPUTED_VALUE"""),"")</f>
        <v/>
      </c>
      <c r="G16121" s="42" t="str">
        <f>IFERROR(__xludf.DUMMYFUNCTION("""COMPUTED_VALUE"""),"")</f>
        <v/>
      </c>
      <c r="H16121" s="42">
        <f t="shared" si="1"/>
        <v>3345</v>
      </c>
    </row>
    <row r="16122" ht="22.5" customHeight="1">
      <c r="B16122" s="42" t="str">
        <f>IFERROR(__xludf.DUMMYFUNCTION("""COMPUTED_VALUE"""),"")</f>
        <v/>
      </c>
      <c r="C16122" s="42" t="str">
        <f>IFERROR(__xludf.DUMMYFUNCTION("""COMPUTED_VALUE"""),"")</f>
        <v/>
      </c>
      <c r="D16122" s="42"/>
      <c r="E16122" s="42"/>
      <c r="F16122" s="48" t="str">
        <f>IFERROR(__xludf.DUMMYFUNCTION("""COMPUTED_VALUE"""),"")</f>
        <v/>
      </c>
      <c r="G16122" s="42" t="str">
        <f>IFERROR(__xludf.DUMMYFUNCTION("""COMPUTED_VALUE"""),"")</f>
        <v/>
      </c>
      <c r="H16122" s="42">
        <f t="shared" si="1"/>
        <v>3345</v>
      </c>
    </row>
    <row r="16123" ht="22.5" customHeight="1">
      <c r="B16123" s="42" t="str">
        <f>IFERROR(__xludf.DUMMYFUNCTION("""COMPUTED_VALUE"""),"")</f>
        <v/>
      </c>
      <c r="C16123" s="42" t="str">
        <f>IFERROR(__xludf.DUMMYFUNCTION("""COMPUTED_VALUE"""),"")</f>
        <v/>
      </c>
      <c r="D16123" s="42"/>
      <c r="E16123" s="42"/>
      <c r="F16123" s="48" t="str">
        <f>IFERROR(__xludf.DUMMYFUNCTION("""COMPUTED_VALUE"""),"")</f>
        <v/>
      </c>
      <c r="G16123" s="42" t="str">
        <f>IFERROR(__xludf.DUMMYFUNCTION("""COMPUTED_VALUE"""),"")</f>
        <v/>
      </c>
      <c r="H16123" s="42">
        <f t="shared" si="1"/>
        <v>3345</v>
      </c>
    </row>
    <row r="16124" ht="22.5" customHeight="1">
      <c r="B16124" s="42" t="str">
        <f>IFERROR(__xludf.DUMMYFUNCTION("""COMPUTED_VALUE"""),"")</f>
        <v/>
      </c>
      <c r="C16124" s="42" t="str">
        <f>IFERROR(__xludf.DUMMYFUNCTION("""COMPUTED_VALUE"""),"")</f>
        <v/>
      </c>
      <c r="D16124" s="42"/>
      <c r="E16124" s="42"/>
      <c r="F16124" s="48" t="str">
        <f>IFERROR(__xludf.DUMMYFUNCTION("""COMPUTED_VALUE"""),"")</f>
        <v/>
      </c>
      <c r="G16124" s="42" t="str">
        <f>IFERROR(__xludf.DUMMYFUNCTION("""COMPUTED_VALUE"""),"")</f>
        <v/>
      </c>
      <c r="H16124" s="42">
        <f t="shared" si="1"/>
        <v>3345</v>
      </c>
    </row>
    <row r="16125" ht="22.5" customHeight="1">
      <c r="B16125" s="42" t="str">
        <f>IFERROR(__xludf.DUMMYFUNCTION("""COMPUTED_VALUE"""),"")</f>
        <v/>
      </c>
      <c r="C16125" s="42" t="str">
        <f>IFERROR(__xludf.DUMMYFUNCTION("""COMPUTED_VALUE"""),"")</f>
        <v/>
      </c>
      <c r="D16125" s="42"/>
      <c r="E16125" s="42"/>
      <c r="F16125" s="48" t="str">
        <f>IFERROR(__xludf.DUMMYFUNCTION("""COMPUTED_VALUE"""),"")</f>
        <v/>
      </c>
      <c r="G16125" s="42" t="str">
        <f>IFERROR(__xludf.DUMMYFUNCTION("""COMPUTED_VALUE"""),"")</f>
        <v/>
      </c>
      <c r="H16125" s="42">
        <f t="shared" si="1"/>
        <v>3345</v>
      </c>
    </row>
    <row r="16126" ht="22.5" customHeight="1">
      <c r="B16126" s="42" t="str">
        <f>IFERROR(__xludf.DUMMYFUNCTION("""COMPUTED_VALUE"""),"")</f>
        <v/>
      </c>
      <c r="C16126" s="42" t="str">
        <f>IFERROR(__xludf.DUMMYFUNCTION("""COMPUTED_VALUE"""),"")</f>
        <v/>
      </c>
      <c r="D16126" s="42"/>
      <c r="E16126" s="42"/>
      <c r="F16126" s="48" t="str">
        <f>IFERROR(__xludf.DUMMYFUNCTION("""COMPUTED_VALUE"""),"")</f>
        <v/>
      </c>
      <c r="G16126" s="42" t="str">
        <f>IFERROR(__xludf.DUMMYFUNCTION("""COMPUTED_VALUE"""),"")</f>
        <v/>
      </c>
      <c r="H16126" s="42">
        <f t="shared" si="1"/>
        <v>3345</v>
      </c>
    </row>
    <row r="16127" ht="22.5" customHeight="1">
      <c r="B16127" s="42" t="str">
        <f>IFERROR(__xludf.DUMMYFUNCTION("""COMPUTED_VALUE"""),"")</f>
        <v/>
      </c>
      <c r="C16127" s="42" t="str">
        <f>IFERROR(__xludf.DUMMYFUNCTION("""COMPUTED_VALUE"""),"")</f>
        <v/>
      </c>
      <c r="D16127" s="42"/>
      <c r="E16127" s="42"/>
      <c r="F16127" s="48" t="str">
        <f>IFERROR(__xludf.DUMMYFUNCTION("""COMPUTED_VALUE"""),"")</f>
        <v/>
      </c>
      <c r="G16127" s="42" t="str">
        <f>IFERROR(__xludf.DUMMYFUNCTION("""COMPUTED_VALUE"""),"")</f>
        <v/>
      </c>
      <c r="H16127" s="42">
        <f t="shared" si="1"/>
        <v>3345</v>
      </c>
    </row>
    <row r="16128" ht="22.5" customHeight="1">
      <c r="B16128" s="42" t="str">
        <f>IFERROR(__xludf.DUMMYFUNCTION("""COMPUTED_VALUE"""),"")</f>
        <v/>
      </c>
      <c r="C16128" s="42" t="str">
        <f>IFERROR(__xludf.DUMMYFUNCTION("""COMPUTED_VALUE"""),"")</f>
        <v/>
      </c>
      <c r="D16128" s="42"/>
      <c r="E16128" s="42"/>
      <c r="F16128" s="48" t="str">
        <f>IFERROR(__xludf.DUMMYFUNCTION("""COMPUTED_VALUE"""),"")</f>
        <v/>
      </c>
      <c r="G16128" s="42" t="str">
        <f>IFERROR(__xludf.DUMMYFUNCTION("""COMPUTED_VALUE"""),"")</f>
        <v/>
      </c>
      <c r="H16128" s="42">
        <f t="shared" si="1"/>
        <v>3345</v>
      </c>
    </row>
    <row r="16129" ht="22.5" customHeight="1">
      <c r="B16129" s="42" t="str">
        <f>IFERROR(__xludf.DUMMYFUNCTION("""COMPUTED_VALUE"""),"")</f>
        <v/>
      </c>
      <c r="C16129" s="42" t="str">
        <f>IFERROR(__xludf.DUMMYFUNCTION("""COMPUTED_VALUE"""),"")</f>
        <v/>
      </c>
      <c r="D16129" s="42"/>
      <c r="E16129" s="42"/>
      <c r="F16129" s="48" t="str">
        <f>IFERROR(__xludf.DUMMYFUNCTION("""COMPUTED_VALUE"""),"")</f>
        <v/>
      </c>
      <c r="G16129" s="42" t="str">
        <f>IFERROR(__xludf.DUMMYFUNCTION("""COMPUTED_VALUE"""),"")</f>
        <v/>
      </c>
      <c r="H16129" s="42">
        <f t="shared" si="1"/>
        <v>3345</v>
      </c>
    </row>
    <row r="16130" ht="22.5" customHeight="1">
      <c r="B16130" s="42" t="str">
        <f>IFERROR(__xludf.DUMMYFUNCTION("""COMPUTED_VALUE"""),"")</f>
        <v/>
      </c>
      <c r="C16130" s="42" t="str">
        <f>IFERROR(__xludf.DUMMYFUNCTION("""COMPUTED_VALUE"""),"")</f>
        <v/>
      </c>
      <c r="D16130" s="42"/>
      <c r="E16130" s="42"/>
      <c r="F16130" s="48" t="str">
        <f>IFERROR(__xludf.DUMMYFUNCTION("""COMPUTED_VALUE"""),"")</f>
        <v/>
      </c>
      <c r="G16130" s="42" t="str">
        <f>IFERROR(__xludf.DUMMYFUNCTION("""COMPUTED_VALUE"""),"")</f>
        <v/>
      </c>
      <c r="H16130" s="42">
        <f t="shared" si="1"/>
        <v>3345</v>
      </c>
    </row>
    <row r="16131" ht="22.5" customHeight="1">
      <c r="B16131" s="42" t="str">
        <f>IFERROR(__xludf.DUMMYFUNCTION("""COMPUTED_VALUE"""),"")</f>
        <v/>
      </c>
      <c r="C16131" s="42" t="str">
        <f>IFERROR(__xludf.DUMMYFUNCTION("""COMPUTED_VALUE"""),"")</f>
        <v/>
      </c>
      <c r="D16131" s="42"/>
      <c r="E16131" s="42"/>
      <c r="F16131" s="48" t="str">
        <f>IFERROR(__xludf.DUMMYFUNCTION("""COMPUTED_VALUE"""),"")</f>
        <v/>
      </c>
      <c r="G16131" s="42" t="str">
        <f>IFERROR(__xludf.DUMMYFUNCTION("""COMPUTED_VALUE"""),"")</f>
        <v/>
      </c>
      <c r="H16131" s="42">
        <f t="shared" si="1"/>
        <v>3345</v>
      </c>
    </row>
    <row r="16132" ht="22.5" customHeight="1">
      <c r="B16132" s="42" t="str">
        <f>IFERROR(__xludf.DUMMYFUNCTION("""COMPUTED_VALUE"""),"")</f>
        <v/>
      </c>
      <c r="C16132" s="42" t="str">
        <f>IFERROR(__xludf.DUMMYFUNCTION("""COMPUTED_VALUE"""),"")</f>
        <v/>
      </c>
      <c r="D16132" s="42"/>
      <c r="E16132" s="42"/>
      <c r="F16132" s="48" t="str">
        <f>IFERROR(__xludf.DUMMYFUNCTION("""COMPUTED_VALUE"""),"")</f>
        <v/>
      </c>
      <c r="G16132" s="42" t="str">
        <f>IFERROR(__xludf.DUMMYFUNCTION("""COMPUTED_VALUE"""),"")</f>
        <v/>
      </c>
      <c r="H16132" s="42">
        <f t="shared" si="1"/>
        <v>3345</v>
      </c>
    </row>
    <row r="16133" ht="22.5" customHeight="1">
      <c r="B16133" s="42" t="str">
        <f>IFERROR(__xludf.DUMMYFUNCTION("""COMPUTED_VALUE"""),"")</f>
        <v/>
      </c>
      <c r="C16133" s="42" t="str">
        <f>IFERROR(__xludf.DUMMYFUNCTION("""COMPUTED_VALUE"""),"")</f>
        <v/>
      </c>
      <c r="D16133" s="42"/>
      <c r="E16133" s="42"/>
      <c r="F16133" s="48" t="str">
        <f>IFERROR(__xludf.DUMMYFUNCTION("""COMPUTED_VALUE"""),"")</f>
        <v/>
      </c>
      <c r="G16133" s="42" t="str">
        <f>IFERROR(__xludf.DUMMYFUNCTION("""COMPUTED_VALUE"""),"")</f>
        <v/>
      </c>
      <c r="H16133" s="42">
        <f t="shared" si="1"/>
        <v>3345</v>
      </c>
    </row>
    <row r="16134" ht="22.5" customHeight="1">
      <c r="B16134" s="42" t="str">
        <f>IFERROR(__xludf.DUMMYFUNCTION("""COMPUTED_VALUE"""),"")</f>
        <v/>
      </c>
      <c r="C16134" s="42" t="str">
        <f>IFERROR(__xludf.DUMMYFUNCTION("""COMPUTED_VALUE"""),"")</f>
        <v/>
      </c>
      <c r="D16134" s="42"/>
      <c r="E16134" s="42"/>
      <c r="F16134" s="48" t="str">
        <f>IFERROR(__xludf.DUMMYFUNCTION("""COMPUTED_VALUE"""),"")</f>
        <v/>
      </c>
      <c r="G16134" s="42" t="str">
        <f>IFERROR(__xludf.DUMMYFUNCTION("""COMPUTED_VALUE"""),"")</f>
        <v/>
      </c>
      <c r="H16134" s="42">
        <f t="shared" si="1"/>
        <v>3345</v>
      </c>
    </row>
    <row r="16135" ht="22.5" customHeight="1">
      <c r="B16135" s="42" t="str">
        <f>IFERROR(__xludf.DUMMYFUNCTION("""COMPUTED_VALUE"""),"")</f>
        <v/>
      </c>
      <c r="C16135" s="42" t="str">
        <f>IFERROR(__xludf.DUMMYFUNCTION("""COMPUTED_VALUE"""),"")</f>
        <v/>
      </c>
      <c r="D16135" s="42"/>
      <c r="E16135" s="42"/>
      <c r="F16135" s="48" t="str">
        <f>IFERROR(__xludf.DUMMYFUNCTION("""COMPUTED_VALUE"""),"")</f>
        <v/>
      </c>
      <c r="G16135" s="42" t="str">
        <f>IFERROR(__xludf.DUMMYFUNCTION("""COMPUTED_VALUE"""),"")</f>
        <v/>
      </c>
      <c r="H16135" s="42">
        <f t="shared" si="1"/>
        <v>3345</v>
      </c>
    </row>
    <row r="16136" ht="22.5" customHeight="1">
      <c r="B16136" s="42" t="str">
        <f>IFERROR(__xludf.DUMMYFUNCTION("""COMPUTED_VALUE"""),"")</f>
        <v/>
      </c>
      <c r="C16136" s="42" t="str">
        <f>IFERROR(__xludf.DUMMYFUNCTION("""COMPUTED_VALUE"""),"")</f>
        <v/>
      </c>
      <c r="D16136" s="42"/>
      <c r="E16136" s="42"/>
      <c r="F16136" s="48" t="str">
        <f>IFERROR(__xludf.DUMMYFUNCTION("""COMPUTED_VALUE"""),"")</f>
        <v/>
      </c>
      <c r="G16136" s="42" t="str">
        <f>IFERROR(__xludf.DUMMYFUNCTION("""COMPUTED_VALUE"""),"")</f>
        <v/>
      </c>
      <c r="H16136" s="42">
        <f t="shared" si="1"/>
        <v>3345</v>
      </c>
    </row>
    <row r="16137" ht="22.5" customHeight="1">
      <c r="B16137" s="42" t="str">
        <f>IFERROR(__xludf.DUMMYFUNCTION("""COMPUTED_VALUE"""),"")</f>
        <v/>
      </c>
      <c r="C16137" s="42" t="str">
        <f>IFERROR(__xludf.DUMMYFUNCTION("""COMPUTED_VALUE"""),"")</f>
        <v/>
      </c>
      <c r="D16137" s="42"/>
      <c r="E16137" s="42"/>
      <c r="F16137" s="48" t="str">
        <f>IFERROR(__xludf.DUMMYFUNCTION("""COMPUTED_VALUE"""),"")</f>
        <v/>
      </c>
      <c r="G16137" s="42" t="str">
        <f>IFERROR(__xludf.DUMMYFUNCTION("""COMPUTED_VALUE"""),"")</f>
        <v/>
      </c>
      <c r="H16137" s="42">
        <f t="shared" si="1"/>
        <v>3345</v>
      </c>
    </row>
    <row r="16138" ht="22.5" customHeight="1">
      <c r="B16138" s="42" t="str">
        <f>IFERROR(__xludf.DUMMYFUNCTION("""COMPUTED_VALUE"""),"")</f>
        <v/>
      </c>
      <c r="C16138" s="42" t="str">
        <f>IFERROR(__xludf.DUMMYFUNCTION("""COMPUTED_VALUE"""),"")</f>
        <v/>
      </c>
      <c r="D16138" s="42"/>
      <c r="E16138" s="42"/>
      <c r="F16138" s="48" t="str">
        <f>IFERROR(__xludf.DUMMYFUNCTION("""COMPUTED_VALUE"""),"")</f>
        <v/>
      </c>
      <c r="G16138" s="42" t="str">
        <f>IFERROR(__xludf.DUMMYFUNCTION("""COMPUTED_VALUE"""),"")</f>
        <v/>
      </c>
      <c r="H16138" s="42">
        <f t="shared" si="1"/>
        <v>3345</v>
      </c>
    </row>
    <row r="16139" ht="22.5" customHeight="1">
      <c r="B16139" s="42" t="str">
        <f>IFERROR(__xludf.DUMMYFUNCTION("""COMPUTED_VALUE"""),"")</f>
        <v/>
      </c>
      <c r="C16139" s="42" t="str">
        <f>IFERROR(__xludf.DUMMYFUNCTION("""COMPUTED_VALUE"""),"")</f>
        <v/>
      </c>
      <c r="D16139" s="42"/>
      <c r="E16139" s="42"/>
      <c r="F16139" s="48" t="str">
        <f>IFERROR(__xludf.DUMMYFUNCTION("""COMPUTED_VALUE"""),"")</f>
        <v/>
      </c>
      <c r="G16139" s="42" t="str">
        <f>IFERROR(__xludf.DUMMYFUNCTION("""COMPUTED_VALUE"""),"")</f>
        <v/>
      </c>
      <c r="H16139" s="42">
        <f t="shared" si="1"/>
        <v>3345</v>
      </c>
    </row>
    <row r="16140" ht="22.5" customHeight="1">
      <c r="B16140" s="42" t="str">
        <f>IFERROR(__xludf.DUMMYFUNCTION("""COMPUTED_VALUE"""),"")</f>
        <v/>
      </c>
      <c r="C16140" s="42" t="str">
        <f>IFERROR(__xludf.DUMMYFUNCTION("""COMPUTED_VALUE"""),"")</f>
        <v/>
      </c>
      <c r="D16140" s="42"/>
      <c r="E16140" s="42"/>
      <c r="F16140" s="48" t="str">
        <f>IFERROR(__xludf.DUMMYFUNCTION("""COMPUTED_VALUE"""),"")</f>
        <v/>
      </c>
      <c r="G16140" s="42" t="str">
        <f>IFERROR(__xludf.DUMMYFUNCTION("""COMPUTED_VALUE"""),"")</f>
        <v/>
      </c>
      <c r="H16140" s="42">
        <f t="shared" si="1"/>
        <v>3345</v>
      </c>
    </row>
    <row r="16141" ht="22.5" customHeight="1">
      <c r="B16141" s="42" t="str">
        <f>IFERROR(__xludf.DUMMYFUNCTION("""COMPUTED_VALUE"""),"")</f>
        <v/>
      </c>
      <c r="C16141" s="42" t="str">
        <f>IFERROR(__xludf.DUMMYFUNCTION("""COMPUTED_VALUE"""),"")</f>
        <v/>
      </c>
      <c r="D16141" s="42"/>
      <c r="E16141" s="42"/>
      <c r="F16141" s="48" t="str">
        <f>IFERROR(__xludf.DUMMYFUNCTION("""COMPUTED_VALUE"""),"")</f>
        <v/>
      </c>
      <c r="G16141" s="42" t="str">
        <f>IFERROR(__xludf.DUMMYFUNCTION("""COMPUTED_VALUE"""),"")</f>
        <v/>
      </c>
      <c r="H16141" s="42">
        <f t="shared" si="1"/>
        <v>3345</v>
      </c>
    </row>
    <row r="16142" ht="22.5" customHeight="1">
      <c r="B16142" s="42" t="str">
        <f>IFERROR(__xludf.DUMMYFUNCTION("""COMPUTED_VALUE"""),"")</f>
        <v/>
      </c>
      <c r="C16142" s="42" t="str">
        <f>IFERROR(__xludf.DUMMYFUNCTION("""COMPUTED_VALUE"""),"")</f>
        <v/>
      </c>
      <c r="D16142" s="42"/>
      <c r="E16142" s="42"/>
      <c r="F16142" s="48" t="str">
        <f>IFERROR(__xludf.DUMMYFUNCTION("""COMPUTED_VALUE"""),"")</f>
        <v/>
      </c>
      <c r="G16142" s="42" t="str">
        <f>IFERROR(__xludf.DUMMYFUNCTION("""COMPUTED_VALUE"""),"")</f>
        <v/>
      </c>
      <c r="H16142" s="42">
        <f t="shared" si="1"/>
        <v>3345</v>
      </c>
    </row>
    <row r="16143" ht="22.5" customHeight="1">
      <c r="B16143" s="42" t="str">
        <f>IFERROR(__xludf.DUMMYFUNCTION("""COMPUTED_VALUE"""),"")</f>
        <v/>
      </c>
      <c r="C16143" s="42" t="str">
        <f>IFERROR(__xludf.DUMMYFUNCTION("""COMPUTED_VALUE"""),"")</f>
        <v/>
      </c>
      <c r="D16143" s="42"/>
      <c r="E16143" s="42"/>
      <c r="F16143" s="48" t="str">
        <f>IFERROR(__xludf.DUMMYFUNCTION("""COMPUTED_VALUE"""),"")</f>
        <v/>
      </c>
      <c r="G16143" s="42" t="str">
        <f>IFERROR(__xludf.DUMMYFUNCTION("""COMPUTED_VALUE"""),"")</f>
        <v/>
      </c>
      <c r="H16143" s="42">
        <f t="shared" si="1"/>
        <v>3345</v>
      </c>
    </row>
    <row r="16144" ht="22.5" customHeight="1">
      <c r="B16144" s="42" t="str">
        <f>IFERROR(__xludf.DUMMYFUNCTION("""COMPUTED_VALUE"""),"")</f>
        <v/>
      </c>
      <c r="C16144" s="42" t="str">
        <f>IFERROR(__xludf.DUMMYFUNCTION("""COMPUTED_VALUE"""),"")</f>
        <v/>
      </c>
      <c r="D16144" s="42"/>
      <c r="E16144" s="42"/>
      <c r="F16144" s="48" t="str">
        <f>IFERROR(__xludf.DUMMYFUNCTION("""COMPUTED_VALUE"""),"")</f>
        <v/>
      </c>
      <c r="G16144" s="42" t="str">
        <f>IFERROR(__xludf.DUMMYFUNCTION("""COMPUTED_VALUE"""),"")</f>
        <v/>
      </c>
      <c r="H16144" s="42">
        <f t="shared" si="1"/>
        <v>3345</v>
      </c>
    </row>
    <row r="16145" ht="22.5" customHeight="1">
      <c r="B16145" s="42" t="str">
        <f>IFERROR(__xludf.DUMMYFUNCTION("""COMPUTED_VALUE"""),"")</f>
        <v/>
      </c>
      <c r="C16145" s="42" t="str">
        <f>IFERROR(__xludf.DUMMYFUNCTION("""COMPUTED_VALUE"""),"")</f>
        <v/>
      </c>
      <c r="D16145" s="42"/>
      <c r="E16145" s="42"/>
      <c r="F16145" s="48" t="str">
        <f>IFERROR(__xludf.DUMMYFUNCTION("""COMPUTED_VALUE"""),"")</f>
        <v/>
      </c>
      <c r="G16145" s="42" t="str">
        <f>IFERROR(__xludf.DUMMYFUNCTION("""COMPUTED_VALUE"""),"")</f>
        <v/>
      </c>
      <c r="H16145" s="42">
        <f t="shared" si="1"/>
        <v>3345</v>
      </c>
    </row>
    <row r="16146" ht="22.5" customHeight="1">
      <c r="B16146" s="42" t="str">
        <f>IFERROR(__xludf.DUMMYFUNCTION("""COMPUTED_VALUE"""),"")</f>
        <v/>
      </c>
      <c r="C16146" s="42" t="str">
        <f>IFERROR(__xludf.DUMMYFUNCTION("""COMPUTED_VALUE"""),"")</f>
        <v/>
      </c>
      <c r="D16146" s="42"/>
      <c r="E16146" s="42"/>
      <c r="F16146" s="48" t="str">
        <f>IFERROR(__xludf.DUMMYFUNCTION("""COMPUTED_VALUE"""),"")</f>
        <v/>
      </c>
      <c r="G16146" s="42" t="str">
        <f>IFERROR(__xludf.DUMMYFUNCTION("""COMPUTED_VALUE"""),"")</f>
        <v/>
      </c>
      <c r="H16146" s="42">
        <f t="shared" si="1"/>
        <v>3345</v>
      </c>
    </row>
    <row r="16147" ht="22.5" customHeight="1">
      <c r="B16147" s="42" t="str">
        <f>IFERROR(__xludf.DUMMYFUNCTION("""COMPUTED_VALUE"""),"")</f>
        <v/>
      </c>
      <c r="C16147" s="42" t="str">
        <f>IFERROR(__xludf.DUMMYFUNCTION("""COMPUTED_VALUE"""),"")</f>
        <v/>
      </c>
      <c r="D16147" s="42"/>
      <c r="E16147" s="42"/>
      <c r="F16147" s="48" t="str">
        <f>IFERROR(__xludf.DUMMYFUNCTION("""COMPUTED_VALUE"""),"")</f>
        <v/>
      </c>
      <c r="G16147" s="42" t="str">
        <f>IFERROR(__xludf.DUMMYFUNCTION("""COMPUTED_VALUE"""),"")</f>
        <v/>
      </c>
      <c r="H16147" s="42">
        <f t="shared" si="1"/>
        <v>3345</v>
      </c>
    </row>
    <row r="16148" ht="22.5" customHeight="1">
      <c r="B16148" s="42" t="str">
        <f>IFERROR(__xludf.DUMMYFUNCTION("""COMPUTED_VALUE"""),"")</f>
        <v/>
      </c>
      <c r="C16148" s="42" t="str">
        <f>IFERROR(__xludf.DUMMYFUNCTION("""COMPUTED_VALUE"""),"")</f>
        <v/>
      </c>
      <c r="D16148" s="42"/>
      <c r="E16148" s="42"/>
      <c r="F16148" s="48" t="str">
        <f>IFERROR(__xludf.DUMMYFUNCTION("""COMPUTED_VALUE"""),"")</f>
        <v/>
      </c>
      <c r="G16148" s="42" t="str">
        <f>IFERROR(__xludf.DUMMYFUNCTION("""COMPUTED_VALUE"""),"")</f>
        <v/>
      </c>
      <c r="H16148" s="42">
        <f t="shared" si="1"/>
        <v>3345</v>
      </c>
    </row>
    <row r="16149" ht="22.5" customHeight="1">
      <c r="B16149" s="42" t="str">
        <f>IFERROR(__xludf.DUMMYFUNCTION("""COMPUTED_VALUE"""),"")</f>
        <v/>
      </c>
      <c r="C16149" s="42" t="str">
        <f>IFERROR(__xludf.DUMMYFUNCTION("""COMPUTED_VALUE"""),"")</f>
        <v/>
      </c>
      <c r="D16149" s="42"/>
      <c r="E16149" s="42"/>
      <c r="F16149" s="48" t="str">
        <f>IFERROR(__xludf.DUMMYFUNCTION("""COMPUTED_VALUE"""),"")</f>
        <v/>
      </c>
      <c r="G16149" s="42" t="str">
        <f>IFERROR(__xludf.DUMMYFUNCTION("""COMPUTED_VALUE"""),"")</f>
        <v/>
      </c>
      <c r="H16149" s="42">
        <f t="shared" si="1"/>
        <v>3345</v>
      </c>
    </row>
    <row r="16150" ht="22.5" customHeight="1">
      <c r="B16150" s="42" t="str">
        <f>IFERROR(__xludf.DUMMYFUNCTION("""COMPUTED_VALUE"""),"")</f>
        <v/>
      </c>
      <c r="C16150" s="42" t="str">
        <f>IFERROR(__xludf.DUMMYFUNCTION("""COMPUTED_VALUE"""),"")</f>
        <v/>
      </c>
      <c r="D16150" s="42"/>
      <c r="E16150" s="42"/>
      <c r="F16150" s="48" t="str">
        <f>IFERROR(__xludf.DUMMYFUNCTION("""COMPUTED_VALUE"""),"")</f>
        <v/>
      </c>
      <c r="G16150" s="42" t="str">
        <f>IFERROR(__xludf.DUMMYFUNCTION("""COMPUTED_VALUE"""),"")</f>
        <v/>
      </c>
      <c r="H16150" s="42">
        <f t="shared" si="1"/>
        <v>3345</v>
      </c>
    </row>
    <row r="16151" ht="22.5" customHeight="1">
      <c r="B16151" s="42" t="str">
        <f>IFERROR(__xludf.DUMMYFUNCTION("""COMPUTED_VALUE"""),"")</f>
        <v/>
      </c>
      <c r="C16151" s="42" t="str">
        <f>IFERROR(__xludf.DUMMYFUNCTION("""COMPUTED_VALUE"""),"")</f>
        <v/>
      </c>
      <c r="D16151" s="42"/>
      <c r="E16151" s="42"/>
      <c r="F16151" s="48" t="str">
        <f>IFERROR(__xludf.DUMMYFUNCTION("""COMPUTED_VALUE"""),"")</f>
        <v/>
      </c>
      <c r="G16151" s="42" t="str">
        <f>IFERROR(__xludf.DUMMYFUNCTION("""COMPUTED_VALUE"""),"")</f>
        <v/>
      </c>
      <c r="H16151" s="42">
        <f t="shared" si="1"/>
        <v>3345</v>
      </c>
    </row>
    <row r="16152" ht="22.5" customHeight="1">
      <c r="B16152" s="42" t="str">
        <f>IFERROR(__xludf.DUMMYFUNCTION("""COMPUTED_VALUE"""),"")</f>
        <v/>
      </c>
      <c r="C16152" s="42" t="str">
        <f>IFERROR(__xludf.DUMMYFUNCTION("""COMPUTED_VALUE"""),"")</f>
        <v/>
      </c>
      <c r="D16152" s="42"/>
      <c r="E16152" s="42"/>
      <c r="F16152" s="48" t="str">
        <f>IFERROR(__xludf.DUMMYFUNCTION("""COMPUTED_VALUE"""),"")</f>
        <v/>
      </c>
      <c r="G16152" s="42" t="str">
        <f>IFERROR(__xludf.DUMMYFUNCTION("""COMPUTED_VALUE"""),"")</f>
        <v/>
      </c>
      <c r="H16152" s="42">
        <f t="shared" si="1"/>
        <v>3345</v>
      </c>
    </row>
    <row r="16153" ht="22.5" customHeight="1">
      <c r="B16153" s="42" t="str">
        <f>IFERROR(__xludf.DUMMYFUNCTION("""COMPUTED_VALUE"""),"")</f>
        <v/>
      </c>
      <c r="C16153" s="42" t="str">
        <f>IFERROR(__xludf.DUMMYFUNCTION("""COMPUTED_VALUE"""),"")</f>
        <v/>
      </c>
      <c r="D16153" s="42"/>
      <c r="E16153" s="42"/>
      <c r="F16153" s="48" t="str">
        <f>IFERROR(__xludf.DUMMYFUNCTION("""COMPUTED_VALUE"""),"")</f>
        <v/>
      </c>
      <c r="G16153" s="42" t="str">
        <f>IFERROR(__xludf.DUMMYFUNCTION("""COMPUTED_VALUE"""),"")</f>
        <v/>
      </c>
      <c r="H16153" s="42">
        <f t="shared" si="1"/>
        <v>3345</v>
      </c>
    </row>
    <row r="16154" ht="22.5" customHeight="1">
      <c r="B16154" s="42" t="str">
        <f>IFERROR(__xludf.DUMMYFUNCTION("""COMPUTED_VALUE"""),"")</f>
        <v/>
      </c>
      <c r="C16154" s="42" t="str">
        <f>IFERROR(__xludf.DUMMYFUNCTION("""COMPUTED_VALUE"""),"")</f>
        <v/>
      </c>
      <c r="D16154" s="42"/>
      <c r="E16154" s="42"/>
      <c r="F16154" s="48" t="str">
        <f>IFERROR(__xludf.DUMMYFUNCTION("""COMPUTED_VALUE"""),"")</f>
        <v/>
      </c>
      <c r="G16154" s="42" t="str">
        <f>IFERROR(__xludf.DUMMYFUNCTION("""COMPUTED_VALUE"""),"")</f>
        <v/>
      </c>
      <c r="H16154" s="42">
        <f t="shared" si="1"/>
        <v>3345</v>
      </c>
    </row>
    <row r="16155" ht="22.5" customHeight="1">
      <c r="B16155" s="42" t="str">
        <f>IFERROR(__xludf.DUMMYFUNCTION("""COMPUTED_VALUE"""),"")</f>
        <v/>
      </c>
      <c r="C16155" s="42" t="str">
        <f>IFERROR(__xludf.DUMMYFUNCTION("""COMPUTED_VALUE"""),"")</f>
        <v/>
      </c>
      <c r="D16155" s="42"/>
      <c r="E16155" s="42"/>
      <c r="F16155" s="48" t="str">
        <f>IFERROR(__xludf.DUMMYFUNCTION("""COMPUTED_VALUE"""),"")</f>
        <v/>
      </c>
      <c r="G16155" s="42" t="str">
        <f>IFERROR(__xludf.DUMMYFUNCTION("""COMPUTED_VALUE"""),"")</f>
        <v/>
      </c>
      <c r="H16155" s="42">
        <f t="shared" si="1"/>
        <v>3345</v>
      </c>
    </row>
    <row r="16156" ht="22.5" customHeight="1">
      <c r="B16156" s="42" t="str">
        <f>IFERROR(__xludf.DUMMYFUNCTION("""COMPUTED_VALUE"""),"")</f>
        <v/>
      </c>
      <c r="C16156" s="42" t="str">
        <f>IFERROR(__xludf.DUMMYFUNCTION("""COMPUTED_VALUE"""),"")</f>
        <v/>
      </c>
      <c r="D16156" s="42"/>
      <c r="E16156" s="42"/>
      <c r="F16156" s="48" t="str">
        <f>IFERROR(__xludf.DUMMYFUNCTION("""COMPUTED_VALUE"""),"")</f>
        <v/>
      </c>
      <c r="G16156" s="42" t="str">
        <f>IFERROR(__xludf.DUMMYFUNCTION("""COMPUTED_VALUE"""),"")</f>
        <v/>
      </c>
      <c r="H16156" s="42">
        <f t="shared" si="1"/>
        <v>3345</v>
      </c>
    </row>
    <row r="16157" ht="22.5" customHeight="1">
      <c r="B16157" s="42" t="str">
        <f>IFERROR(__xludf.DUMMYFUNCTION("""COMPUTED_VALUE"""),"")</f>
        <v/>
      </c>
      <c r="C16157" s="42" t="str">
        <f>IFERROR(__xludf.DUMMYFUNCTION("""COMPUTED_VALUE"""),"")</f>
        <v/>
      </c>
      <c r="D16157" s="42"/>
      <c r="E16157" s="42"/>
      <c r="F16157" s="48" t="str">
        <f>IFERROR(__xludf.DUMMYFUNCTION("""COMPUTED_VALUE"""),"")</f>
        <v/>
      </c>
      <c r="G16157" s="42" t="str">
        <f>IFERROR(__xludf.DUMMYFUNCTION("""COMPUTED_VALUE"""),"")</f>
        <v/>
      </c>
      <c r="H16157" s="42">
        <f t="shared" si="1"/>
        <v>3345</v>
      </c>
    </row>
    <row r="16158" ht="22.5" customHeight="1">
      <c r="B16158" s="42" t="str">
        <f>IFERROR(__xludf.DUMMYFUNCTION("""COMPUTED_VALUE"""),"")</f>
        <v/>
      </c>
      <c r="C16158" s="42" t="str">
        <f>IFERROR(__xludf.DUMMYFUNCTION("""COMPUTED_VALUE"""),"")</f>
        <v/>
      </c>
      <c r="D16158" s="42"/>
      <c r="E16158" s="42"/>
      <c r="F16158" s="48" t="str">
        <f>IFERROR(__xludf.DUMMYFUNCTION("""COMPUTED_VALUE"""),"")</f>
        <v/>
      </c>
      <c r="G16158" s="42" t="str">
        <f>IFERROR(__xludf.DUMMYFUNCTION("""COMPUTED_VALUE"""),"")</f>
        <v/>
      </c>
      <c r="H16158" s="42">
        <f t="shared" si="1"/>
        <v>3345</v>
      </c>
    </row>
    <row r="16159" ht="22.5" customHeight="1">
      <c r="B16159" s="42" t="str">
        <f>IFERROR(__xludf.DUMMYFUNCTION("""COMPUTED_VALUE"""),"")</f>
        <v/>
      </c>
      <c r="C16159" s="42" t="str">
        <f>IFERROR(__xludf.DUMMYFUNCTION("""COMPUTED_VALUE"""),"")</f>
        <v/>
      </c>
      <c r="D16159" s="42"/>
      <c r="E16159" s="42"/>
      <c r="F16159" s="48" t="str">
        <f>IFERROR(__xludf.DUMMYFUNCTION("""COMPUTED_VALUE"""),"")</f>
        <v/>
      </c>
      <c r="G16159" s="42" t="str">
        <f>IFERROR(__xludf.DUMMYFUNCTION("""COMPUTED_VALUE"""),"")</f>
        <v/>
      </c>
      <c r="H16159" s="42">
        <f t="shared" si="1"/>
        <v>3345</v>
      </c>
    </row>
    <row r="16160" ht="22.5" customHeight="1">
      <c r="B16160" s="42" t="str">
        <f>IFERROR(__xludf.DUMMYFUNCTION("""COMPUTED_VALUE"""),"")</f>
        <v/>
      </c>
      <c r="C16160" s="42" t="str">
        <f>IFERROR(__xludf.DUMMYFUNCTION("""COMPUTED_VALUE"""),"")</f>
        <v/>
      </c>
      <c r="D16160" s="42"/>
      <c r="E16160" s="42"/>
      <c r="F16160" s="48" t="str">
        <f>IFERROR(__xludf.DUMMYFUNCTION("""COMPUTED_VALUE"""),"")</f>
        <v/>
      </c>
      <c r="G16160" s="42" t="str">
        <f>IFERROR(__xludf.DUMMYFUNCTION("""COMPUTED_VALUE"""),"")</f>
        <v/>
      </c>
      <c r="H16160" s="42">
        <f t="shared" si="1"/>
        <v>3345</v>
      </c>
    </row>
    <row r="16161" ht="22.5" customHeight="1">
      <c r="B16161" s="42" t="str">
        <f>IFERROR(__xludf.DUMMYFUNCTION("""COMPUTED_VALUE"""),"")</f>
        <v/>
      </c>
      <c r="C16161" s="42" t="str">
        <f>IFERROR(__xludf.DUMMYFUNCTION("""COMPUTED_VALUE"""),"")</f>
        <v/>
      </c>
      <c r="D16161" s="42"/>
      <c r="E16161" s="42"/>
      <c r="F16161" s="48" t="str">
        <f>IFERROR(__xludf.DUMMYFUNCTION("""COMPUTED_VALUE"""),"")</f>
        <v/>
      </c>
      <c r="G16161" s="42" t="str">
        <f>IFERROR(__xludf.DUMMYFUNCTION("""COMPUTED_VALUE"""),"")</f>
        <v/>
      </c>
      <c r="H16161" s="42">
        <f t="shared" si="1"/>
        <v>3345</v>
      </c>
    </row>
    <row r="16162" ht="22.5" customHeight="1">
      <c r="B16162" s="42" t="str">
        <f>IFERROR(__xludf.DUMMYFUNCTION("""COMPUTED_VALUE"""),"")</f>
        <v/>
      </c>
      <c r="C16162" s="42" t="str">
        <f>IFERROR(__xludf.DUMMYFUNCTION("""COMPUTED_VALUE"""),"")</f>
        <v/>
      </c>
      <c r="D16162" s="42"/>
      <c r="E16162" s="42"/>
      <c r="F16162" s="48" t="str">
        <f>IFERROR(__xludf.DUMMYFUNCTION("""COMPUTED_VALUE"""),"")</f>
        <v/>
      </c>
      <c r="G16162" s="42" t="str">
        <f>IFERROR(__xludf.DUMMYFUNCTION("""COMPUTED_VALUE"""),"")</f>
        <v/>
      </c>
      <c r="H16162" s="42">
        <f t="shared" si="1"/>
        <v>3345</v>
      </c>
    </row>
    <row r="16163" ht="22.5" customHeight="1">
      <c r="B16163" s="42" t="str">
        <f>IFERROR(__xludf.DUMMYFUNCTION("""COMPUTED_VALUE"""),"")</f>
        <v/>
      </c>
      <c r="C16163" s="42" t="str">
        <f>IFERROR(__xludf.DUMMYFUNCTION("""COMPUTED_VALUE"""),"")</f>
        <v/>
      </c>
      <c r="D16163" s="42"/>
      <c r="E16163" s="42"/>
      <c r="F16163" s="48" t="str">
        <f>IFERROR(__xludf.DUMMYFUNCTION("""COMPUTED_VALUE"""),"")</f>
        <v/>
      </c>
      <c r="G16163" s="42" t="str">
        <f>IFERROR(__xludf.DUMMYFUNCTION("""COMPUTED_VALUE"""),"")</f>
        <v/>
      </c>
      <c r="H16163" s="42">
        <f t="shared" si="1"/>
        <v>3345</v>
      </c>
    </row>
    <row r="16164" ht="22.5" customHeight="1">
      <c r="B16164" s="42" t="str">
        <f>IFERROR(__xludf.DUMMYFUNCTION("""COMPUTED_VALUE"""),"")</f>
        <v/>
      </c>
      <c r="C16164" s="42" t="str">
        <f>IFERROR(__xludf.DUMMYFUNCTION("""COMPUTED_VALUE"""),"")</f>
        <v/>
      </c>
      <c r="D16164" s="42"/>
      <c r="E16164" s="42"/>
      <c r="F16164" s="48" t="str">
        <f>IFERROR(__xludf.DUMMYFUNCTION("""COMPUTED_VALUE"""),"")</f>
        <v/>
      </c>
      <c r="G16164" s="42" t="str">
        <f>IFERROR(__xludf.DUMMYFUNCTION("""COMPUTED_VALUE"""),"")</f>
        <v/>
      </c>
      <c r="H16164" s="42">
        <f t="shared" si="1"/>
        <v>3345</v>
      </c>
    </row>
    <row r="16165" ht="22.5" customHeight="1">
      <c r="B16165" s="42" t="str">
        <f>IFERROR(__xludf.DUMMYFUNCTION("""COMPUTED_VALUE"""),"")</f>
        <v/>
      </c>
      <c r="C16165" s="42" t="str">
        <f>IFERROR(__xludf.DUMMYFUNCTION("""COMPUTED_VALUE"""),"")</f>
        <v/>
      </c>
      <c r="D16165" s="42"/>
      <c r="E16165" s="42"/>
      <c r="F16165" s="48" t="str">
        <f>IFERROR(__xludf.DUMMYFUNCTION("""COMPUTED_VALUE"""),"")</f>
        <v/>
      </c>
      <c r="G16165" s="42" t="str">
        <f>IFERROR(__xludf.DUMMYFUNCTION("""COMPUTED_VALUE"""),"")</f>
        <v/>
      </c>
      <c r="H16165" s="42">
        <f t="shared" si="1"/>
        <v>3345</v>
      </c>
    </row>
    <row r="16166" ht="22.5" customHeight="1">
      <c r="B16166" s="42" t="str">
        <f>IFERROR(__xludf.DUMMYFUNCTION("""COMPUTED_VALUE"""),"")</f>
        <v/>
      </c>
      <c r="C16166" s="42" t="str">
        <f>IFERROR(__xludf.DUMMYFUNCTION("""COMPUTED_VALUE"""),"")</f>
        <v/>
      </c>
      <c r="D16166" s="42"/>
      <c r="E16166" s="42"/>
      <c r="F16166" s="48" t="str">
        <f>IFERROR(__xludf.DUMMYFUNCTION("""COMPUTED_VALUE"""),"")</f>
        <v/>
      </c>
      <c r="G16166" s="42" t="str">
        <f>IFERROR(__xludf.DUMMYFUNCTION("""COMPUTED_VALUE"""),"")</f>
        <v/>
      </c>
      <c r="H16166" s="42">
        <f t="shared" si="1"/>
        <v>3345</v>
      </c>
    </row>
    <row r="16167" ht="22.5" customHeight="1">
      <c r="B16167" s="42" t="str">
        <f>IFERROR(__xludf.DUMMYFUNCTION("""COMPUTED_VALUE"""),"")</f>
        <v/>
      </c>
      <c r="C16167" s="42" t="str">
        <f>IFERROR(__xludf.DUMMYFUNCTION("""COMPUTED_VALUE"""),"")</f>
        <v/>
      </c>
      <c r="D16167" s="42"/>
      <c r="E16167" s="42"/>
      <c r="F16167" s="48" t="str">
        <f>IFERROR(__xludf.DUMMYFUNCTION("""COMPUTED_VALUE"""),"")</f>
        <v/>
      </c>
      <c r="G16167" s="42" t="str">
        <f>IFERROR(__xludf.DUMMYFUNCTION("""COMPUTED_VALUE"""),"")</f>
        <v/>
      </c>
      <c r="H16167" s="42">
        <f t="shared" si="1"/>
        <v>3345</v>
      </c>
    </row>
    <row r="16168" ht="22.5" customHeight="1">
      <c r="B16168" s="42" t="str">
        <f>IFERROR(__xludf.DUMMYFUNCTION("""COMPUTED_VALUE"""),"")</f>
        <v/>
      </c>
      <c r="C16168" s="42" t="str">
        <f>IFERROR(__xludf.DUMMYFUNCTION("""COMPUTED_VALUE"""),"")</f>
        <v/>
      </c>
      <c r="D16168" s="42"/>
      <c r="E16168" s="42"/>
      <c r="F16168" s="48" t="str">
        <f>IFERROR(__xludf.DUMMYFUNCTION("""COMPUTED_VALUE"""),"")</f>
        <v/>
      </c>
      <c r="G16168" s="42" t="str">
        <f>IFERROR(__xludf.DUMMYFUNCTION("""COMPUTED_VALUE"""),"")</f>
        <v/>
      </c>
      <c r="H16168" s="42">
        <f t="shared" si="1"/>
        <v>3345</v>
      </c>
    </row>
    <row r="16169" ht="22.5" customHeight="1">
      <c r="B16169" s="42" t="str">
        <f>IFERROR(__xludf.DUMMYFUNCTION("""COMPUTED_VALUE"""),"")</f>
        <v/>
      </c>
      <c r="C16169" s="42" t="str">
        <f>IFERROR(__xludf.DUMMYFUNCTION("""COMPUTED_VALUE"""),"")</f>
        <v/>
      </c>
      <c r="D16169" s="42"/>
      <c r="E16169" s="42"/>
      <c r="F16169" s="48" t="str">
        <f>IFERROR(__xludf.DUMMYFUNCTION("""COMPUTED_VALUE"""),"")</f>
        <v/>
      </c>
      <c r="G16169" s="42" t="str">
        <f>IFERROR(__xludf.DUMMYFUNCTION("""COMPUTED_VALUE"""),"")</f>
        <v/>
      </c>
      <c r="H16169" s="42">
        <f t="shared" si="1"/>
        <v>3345</v>
      </c>
    </row>
    <row r="16170" ht="22.5" customHeight="1">
      <c r="B16170" s="42" t="str">
        <f>IFERROR(__xludf.DUMMYFUNCTION("""COMPUTED_VALUE"""),"")</f>
        <v/>
      </c>
      <c r="C16170" s="42" t="str">
        <f>IFERROR(__xludf.DUMMYFUNCTION("""COMPUTED_VALUE"""),"")</f>
        <v/>
      </c>
      <c r="D16170" s="42"/>
      <c r="E16170" s="42"/>
      <c r="F16170" s="48" t="str">
        <f>IFERROR(__xludf.DUMMYFUNCTION("""COMPUTED_VALUE"""),"")</f>
        <v/>
      </c>
      <c r="G16170" s="42" t="str">
        <f>IFERROR(__xludf.DUMMYFUNCTION("""COMPUTED_VALUE"""),"")</f>
        <v/>
      </c>
      <c r="H16170" s="42">
        <f t="shared" si="1"/>
        <v>3345</v>
      </c>
    </row>
    <row r="16171" ht="22.5" customHeight="1">
      <c r="B16171" s="42" t="str">
        <f>IFERROR(__xludf.DUMMYFUNCTION("""COMPUTED_VALUE"""),"")</f>
        <v/>
      </c>
      <c r="C16171" s="42" t="str">
        <f>IFERROR(__xludf.DUMMYFUNCTION("""COMPUTED_VALUE"""),"")</f>
        <v/>
      </c>
      <c r="D16171" s="42"/>
      <c r="E16171" s="42"/>
      <c r="F16171" s="48" t="str">
        <f>IFERROR(__xludf.DUMMYFUNCTION("""COMPUTED_VALUE"""),"")</f>
        <v/>
      </c>
      <c r="G16171" s="42" t="str">
        <f>IFERROR(__xludf.DUMMYFUNCTION("""COMPUTED_VALUE"""),"")</f>
        <v/>
      </c>
      <c r="H16171" s="42">
        <f t="shared" si="1"/>
        <v>3345</v>
      </c>
    </row>
    <row r="16172" ht="22.5" customHeight="1">
      <c r="B16172" s="42" t="str">
        <f>IFERROR(__xludf.DUMMYFUNCTION("""COMPUTED_VALUE"""),"")</f>
        <v/>
      </c>
      <c r="C16172" s="42" t="str">
        <f>IFERROR(__xludf.DUMMYFUNCTION("""COMPUTED_VALUE"""),"")</f>
        <v/>
      </c>
      <c r="D16172" s="42"/>
      <c r="E16172" s="42"/>
      <c r="F16172" s="48" t="str">
        <f>IFERROR(__xludf.DUMMYFUNCTION("""COMPUTED_VALUE"""),"")</f>
        <v/>
      </c>
      <c r="G16172" s="42" t="str">
        <f>IFERROR(__xludf.DUMMYFUNCTION("""COMPUTED_VALUE"""),"")</f>
        <v/>
      </c>
      <c r="H16172" s="42">
        <f t="shared" si="1"/>
        <v>3345</v>
      </c>
    </row>
    <row r="16173" ht="22.5" customHeight="1">
      <c r="B16173" s="42" t="str">
        <f>IFERROR(__xludf.DUMMYFUNCTION("""COMPUTED_VALUE"""),"")</f>
        <v/>
      </c>
      <c r="C16173" s="42" t="str">
        <f>IFERROR(__xludf.DUMMYFUNCTION("""COMPUTED_VALUE"""),"")</f>
        <v/>
      </c>
      <c r="D16173" s="42"/>
      <c r="E16173" s="42"/>
      <c r="F16173" s="48" t="str">
        <f>IFERROR(__xludf.DUMMYFUNCTION("""COMPUTED_VALUE"""),"")</f>
        <v/>
      </c>
      <c r="G16173" s="42" t="str">
        <f>IFERROR(__xludf.DUMMYFUNCTION("""COMPUTED_VALUE"""),"")</f>
        <v/>
      </c>
      <c r="H16173" s="42">
        <f t="shared" si="1"/>
        <v>3345</v>
      </c>
    </row>
    <row r="16174" ht="22.5" customHeight="1">
      <c r="B16174" s="42" t="str">
        <f>IFERROR(__xludf.DUMMYFUNCTION("""COMPUTED_VALUE"""),"")</f>
        <v/>
      </c>
      <c r="C16174" s="42" t="str">
        <f>IFERROR(__xludf.DUMMYFUNCTION("""COMPUTED_VALUE"""),"")</f>
        <v/>
      </c>
      <c r="D16174" s="42"/>
      <c r="E16174" s="42"/>
      <c r="F16174" s="48" t="str">
        <f>IFERROR(__xludf.DUMMYFUNCTION("""COMPUTED_VALUE"""),"")</f>
        <v/>
      </c>
      <c r="G16174" s="42" t="str">
        <f>IFERROR(__xludf.DUMMYFUNCTION("""COMPUTED_VALUE"""),"")</f>
        <v/>
      </c>
      <c r="H16174" s="42">
        <f t="shared" si="1"/>
        <v>3345</v>
      </c>
    </row>
    <row r="16175" ht="22.5" customHeight="1">
      <c r="B16175" s="42" t="str">
        <f>IFERROR(__xludf.DUMMYFUNCTION("""COMPUTED_VALUE"""),"")</f>
        <v/>
      </c>
      <c r="C16175" s="42" t="str">
        <f>IFERROR(__xludf.DUMMYFUNCTION("""COMPUTED_VALUE"""),"")</f>
        <v/>
      </c>
      <c r="D16175" s="42"/>
      <c r="E16175" s="42"/>
      <c r="F16175" s="48" t="str">
        <f>IFERROR(__xludf.DUMMYFUNCTION("""COMPUTED_VALUE"""),"")</f>
        <v/>
      </c>
      <c r="G16175" s="42" t="str">
        <f>IFERROR(__xludf.DUMMYFUNCTION("""COMPUTED_VALUE"""),"")</f>
        <v/>
      </c>
      <c r="H16175" s="42">
        <f t="shared" si="1"/>
        <v>3345</v>
      </c>
    </row>
    <row r="16176" ht="22.5" customHeight="1">
      <c r="B16176" s="42" t="str">
        <f>IFERROR(__xludf.DUMMYFUNCTION("""COMPUTED_VALUE"""),"")</f>
        <v/>
      </c>
      <c r="C16176" s="42" t="str">
        <f>IFERROR(__xludf.DUMMYFUNCTION("""COMPUTED_VALUE"""),"")</f>
        <v/>
      </c>
      <c r="D16176" s="42"/>
      <c r="E16176" s="42"/>
      <c r="F16176" s="48" t="str">
        <f>IFERROR(__xludf.DUMMYFUNCTION("""COMPUTED_VALUE"""),"")</f>
        <v/>
      </c>
      <c r="G16176" s="42" t="str">
        <f>IFERROR(__xludf.DUMMYFUNCTION("""COMPUTED_VALUE"""),"")</f>
        <v/>
      </c>
      <c r="H16176" s="42">
        <f t="shared" si="1"/>
        <v>3345</v>
      </c>
    </row>
    <row r="16177" ht="22.5" customHeight="1">
      <c r="B16177" s="42" t="str">
        <f>IFERROR(__xludf.DUMMYFUNCTION("""COMPUTED_VALUE"""),"")</f>
        <v/>
      </c>
      <c r="C16177" s="42" t="str">
        <f>IFERROR(__xludf.DUMMYFUNCTION("""COMPUTED_VALUE"""),"")</f>
        <v/>
      </c>
      <c r="D16177" s="42"/>
      <c r="E16177" s="42"/>
      <c r="F16177" s="48" t="str">
        <f>IFERROR(__xludf.DUMMYFUNCTION("""COMPUTED_VALUE"""),"")</f>
        <v/>
      </c>
      <c r="G16177" s="42" t="str">
        <f>IFERROR(__xludf.DUMMYFUNCTION("""COMPUTED_VALUE"""),"")</f>
        <v/>
      </c>
      <c r="H16177" s="42">
        <f t="shared" si="1"/>
        <v>3345</v>
      </c>
    </row>
    <row r="16178" ht="22.5" customHeight="1">
      <c r="B16178" s="42" t="str">
        <f>IFERROR(__xludf.DUMMYFUNCTION("""COMPUTED_VALUE"""),"")</f>
        <v/>
      </c>
      <c r="C16178" s="42" t="str">
        <f>IFERROR(__xludf.DUMMYFUNCTION("""COMPUTED_VALUE"""),"")</f>
        <v/>
      </c>
      <c r="D16178" s="42"/>
      <c r="E16178" s="42"/>
      <c r="F16178" s="48" t="str">
        <f>IFERROR(__xludf.DUMMYFUNCTION("""COMPUTED_VALUE"""),"")</f>
        <v/>
      </c>
      <c r="G16178" s="42" t="str">
        <f>IFERROR(__xludf.DUMMYFUNCTION("""COMPUTED_VALUE"""),"")</f>
        <v/>
      </c>
      <c r="H16178" s="42">
        <f t="shared" si="1"/>
        <v>3345</v>
      </c>
    </row>
    <row r="16179" ht="22.5" customHeight="1">
      <c r="B16179" s="42" t="str">
        <f>IFERROR(__xludf.DUMMYFUNCTION("""COMPUTED_VALUE"""),"")</f>
        <v/>
      </c>
      <c r="C16179" s="42" t="str">
        <f>IFERROR(__xludf.DUMMYFUNCTION("""COMPUTED_VALUE"""),"")</f>
        <v/>
      </c>
      <c r="D16179" s="42"/>
      <c r="E16179" s="42"/>
      <c r="F16179" s="48" t="str">
        <f>IFERROR(__xludf.DUMMYFUNCTION("""COMPUTED_VALUE"""),"")</f>
        <v/>
      </c>
      <c r="G16179" s="42" t="str">
        <f>IFERROR(__xludf.DUMMYFUNCTION("""COMPUTED_VALUE"""),"")</f>
        <v/>
      </c>
      <c r="H16179" s="42">
        <f t="shared" si="1"/>
        <v>3345</v>
      </c>
    </row>
    <row r="16180" ht="22.5" customHeight="1">
      <c r="B16180" s="42" t="str">
        <f>IFERROR(__xludf.DUMMYFUNCTION("""COMPUTED_VALUE"""),"")</f>
        <v/>
      </c>
      <c r="C16180" s="42" t="str">
        <f>IFERROR(__xludf.DUMMYFUNCTION("""COMPUTED_VALUE"""),"")</f>
        <v/>
      </c>
      <c r="D16180" s="42"/>
      <c r="E16180" s="42"/>
      <c r="F16180" s="48" t="str">
        <f>IFERROR(__xludf.DUMMYFUNCTION("""COMPUTED_VALUE"""),"")</f>
        <v/>
      </c>
      <c r="G16180" s="42" t="str">
        <f>IFERROR(__xludf.DUMMYFUNCTION("""COMPUTED_VALUE"""),"")</f>
        <v/>
      </c>
      <c r="H16180" s="42">
        <f t="shared" si="1"/>
        <v>3345</v>
      </c>
    </row>
    <row r="16181" ht="22.5" customHeight="1">
      <c r="B16181" s="42" t="str">
        <f>IFERROR(__xludf.DUMMYFUNCTION("""COMPUTED_VALUE"""),"")</f>
        <v/>
      </c>
      <c r="C16181" s="42" t="str">
        <f>IFERROR(__xludf.DUMMYFUNCTION("""COMPUTED_VALUE"""),"")</f>
        <v/>
      </c>
      <c r="D16181" s="42"/>
      <c r="E16181" s="42"/>
      <c r="F16181" s="48" t="str">
        <f>IFERROR(__xludf.DUMMYFUNCTION("""COMPUTED_VALUE"""),"")</f>
        <v/>
      </c>
      <c r="G16181" s="42" t="str">
        <f>IFERROR(__xludf.DUMMYFUNCTION("""COMPUTED_VALUE"""),"")</f>
        <v/>
      </c>
      <c r="H16181" s="42">
        <f t="shared" si="1"/>
        <v>3345</v>
      </c>
    </row>
    <row r="16182" ht="22.5" customHeight="1">
      <c r="B16182" s="42" t="str">
        <f>IFERROR(__xludf.DUMMYFUNCTION("""COMPUTED_VALUE"""),"")</f>
        <v/>
      </c>
      <c r="C16182" s="42" t="str">
        <f>IFERROR(__xludf.DUMMYFUNCTION("""COMPUTED_VALUE"""),"")</f>
        <v/>
      </c>
      <c r="D16182" s="42"/>
      <c r="E16182" s="42"/>
      <c r="F16182" s="48" t="str">
        <f>IFERROR(__xludf.DUMMYFUNCTION("""COMPUTED_VALUE"""),"")</f>
        <v/>
      </c>
      <c r="G16182" s="42" t="str">
        <f>IFERROR(__xludf.DUMMYFUNCTION("""COMPUTED_VALUE"""),"")</f>
        <v/>
      </c>
      <c r="H16182" s="42">
        <f t="shared" si="1"/>
        <v>3345</v>
      </c>
    </row>
    <row r="16183" ht="22.5" customHeight="1">
      <c r="B16183" s="42" t="str">
        <f>IFERROR(__xludf.DUMMYFUNCTION("""COMPUTED_VALUE"""),"")</f>
        <v/>
      </c>
      <c r="C16183" s="42" t="str">
        <f>IFERROR(__xludf.DUMMYFUNCTION("""COMPUTED_VALUE"""),"")</f>
        <v/>
      </c>
      <c r="D16183" s="42"/>
      <c r="E16183" s="42"/>
      <c r="F16183" s="48" t="str">
        <f>IFERROR(__xludf.DUMMYFUNCTION("""COMPUTED_VALUE"""),"")</f>
        <v/>
      </c>
      <c r="G16183" s="42" t="str">
        <f>IFERROR(__xludf.DUMMYFUNCTION("""COMPUTED_VALUE"""),"")</f>
        <v/>
      </c>
      <c r="H16183" s="42">
        <f t="shared" si="1"/>
        <v>3345</v>
      </c>
    </row>
    <row r="16184" ht="22.5" customHeight="1">
      <c r="B16184" s="42" t="str">
        <f>IFERROR(__xludf.DUMMYFUNCTION("""COMPUTED_VALUE"""),"")</f>
        <v/>
      </c>
      <c r="C16184" s="42" t="str">
        <f>IFERROR(__xludf.DUMMYFUNCTION("""COMPUTED_VALUE"""),"")</f>
        <v/>
      </c>
      <c r="D16184" s="42"/>
      <c r="E16184" s="42"/>
      <c r="F16184" s="48" t="str">
        <f>IFERROR(__xludf.DUMMYFUNCTION("""COMPUTED_VALUE"""),"")</f>
        <v/>
      </c>
      <c r="G16184" s="42" t="str">
        <f>IFERROR(__xludf.DUMMYFUNCTION("""COMPUTED_VALUE"""),"")</f>
        <v/>
      </c>
      <c r="H16184" s="42">
        <f t="shared" si="1"/>
        <v>3345</v>
      </c>
    </row>
    <row r="16185" ht="22.5" customHeight="1">
      <c r="B16185" s="42" t="str">
        <f>IFERROR(__xludf.DUMMYFUNCTION("""COMPUTED_VALUE"""),"")</f>
        <v/>
      </c>
      <c r="C16185" s="42" t="str">
        <f>IFERROR(__xludf.DUMMYFUNCTION("""COMPUTED_VALUE"""),"")</f>
        <v/>
      </c>
      <c r="D16185" s="42"/>
      <c r="E16185" s="42"/>
      <c r="F16185" s="48" t="str">
        <f>IFERROR(__xludf.DUMMYFUNCTION("""COMPUTED_VALUE"""),"")</f>
        <v/>
      </c>
      <c r="G16185" s="42" t="str">
        <f>IFERROR(__xludf.DUMMYFUNCTION("""COMPUTED_VALUE"""),"")</f>
        <v/>
      </c>
      <c r="H16185" s="42">
        <f t="shared" si="1"/>
        <v>3345</v>
      </c>
    </row>
    <row r="16186" ht="22.5" customHeight="1">
      <c r="B16186" s="42" t="str">
        <f>IFERROR(__xludf.DUMMYFUNCTION("""COMPUTED_VALUE"""),"")</f>
        <v/>
      </c>
      <c r="C16186" s="42" t="str">
        <f>IFERROR(__xludf.DUMMYFUNCTION("""COMPUTED_VALUE"""),"")</f>
        <v/>
      </c>
      <c r="D16186" s="42"/>
      <c r="E16186" s="42"/>
      <c r="F16186" s="48" t="str">
        <f>IFERROR(__xludf.DUMMYFUNCTION("""COMPUTED_VALUE"""),"")</f>
        <v/>
      </c>
      <c r="G16186" s="42" t="str">
        <f>IFERROR(__xludf.DUMMYFUNCTION("""COMPUTED_VALUE"""),"")</f>
        <v/>
      </c>
      <c r="H16186" s="42">
        <f t="shared" si="1"/>
        <v>3345</v>
      </c>
    </row>
    <row r="16187" ht="22.5" customHeight="1">
      <c r="B16187" s="42" t="str">
        <f>IFERROR(__xludf.DUMMYFUNCTION("""COMPUTED_VALUE"""),"")</f>
        <v/>
      </c>
      <c r="C16187" s="42" t="str">
        <f>IFERROR(__xludf.DUMMYFUNCTION("""COMPUTED_VALUE"""),"")</f>
        <v/>
      </c>
      <c r="D16187" s="42"/>
      <c r="E16187" s="42"/>
      <c r="F16187" s="48" t="str">
        <f>IFERROR(__xludf.DUMMYFUNCTION("""COMPUTED_VALUE"""),"")</f>
        <v/>
      </c>
      <c r="G16187" s="42" t="str">
        <f>IFERROR(__xludf.DUMMYFUNCTION("""COMPUTED_VALUE"""),"")</f>
        <v/>
      </c>
      <c r="H16187" s="42">
        <f t="shared" si="1"/>
        <v>3345</v>
      </c>
    </row>
    <row r="16188" ht="22.5" customHeight="1">
      <c r="B16188" s="42" t="str">
        <f>IFERROR(__xludf.DUMMYFUNCTION("""COMPUTED_VALUE"""),"")</f>
        <v/>
      </c>
      <c r="C16188" s="42" t="str">
        <f>IFERROR(__xludf.DUMMYFUNCTION("""COMPUTED_VALUE"""),"")</f>
        <v/>
      </c>
      <c r="D16188" s="42"/>
      <c r="E16188" s="42"/>
      <c r="F16188" s="48" t="str">
        <f>IFERROR(__xludf.DUMMYFUNCTION("""COMPUTED_VALUE"""),"")</f>
        <v/>
      </c>
      <c r="G16188" s="42" t="str">
        <f>IFERROR(__xludf.DUMMYFUNCTION("""COMPUTED_VALUE"""),"")</f>
        <v/>
      </c>
      <c r="H16188" s="42">
        <f t="shared" si="1"/>
        <v>3345</v>
      </c>
    </row>
    <row r="16189" ht="22.5" customHeight="1">
      <c r="B16189" s="42" t="str">
        <f>IFERROR(__xludf.DUMMYFUNCTION("""COMPUTED_VALUE"""),"")</f>
        <v/>
      </c>
      <c r="C16189" s="42" t="str">
        <f>IFERROR(__xludf.DUMMYFUNCTION("""COMPUTED_VALUE"""),"")</f>
        <v/>
      </c>
      <c r="D16189" s="42"/>
      <c r="E16189" s="42"/>
      <c r="F16189" s="48" t="str">
        <f>IFERROR(__xludf.DUMMYFUNCTION("""COMPUTED_VALUE"""),"")</f>
        <v/>
      </c>
      <c r="G16189" s="42" t="str">
        <f>IFERROR(__xludf.DUMMYFUNCTION("""COMPUTED_VALUE"""),"")</f>
        <v/>
      </c>
      <c r="H16189" s="42">
        <f t="shared" si="1"/>
        <v>3345</v>
      </c>
    </row>
    <row r="16190" ht="22.5" customHeight="1">
      <c r="B16190" s="42" t="str">
        <f>IFERROR(__xludf.DUMMYFUNCTION("""COMPUTED_VALUE"""),"")</f>
        <v/>
      </c>
      <c r="C16190" s="42" t="str">
        <f>IFERROR(__xludf.DUMMYFUNCTION("""COMPUTED_VALUE"""),"")</f>
        <v/>
      </c>
      <c r="D16190" s="42"/>
      <c r="E16190" s="42"/>
      <c r="F16190" s="48" t="str">
        <f>IFERROR(__xludf.DUMMYFUNCTION("""COMPUTED_VALUE"""),"")</f>
        <v/>
      </c>
      <c r="G16190" s="42" t="str">
        <f>IFERROR(__xludf.DUMMYFUNCTION("""COMPUTED_VALUE"""),"")</f>
        <v/>
      </c>
      <c r="H16190" s="42">
        <f t="shared" si="1"/>
        <v>3345</v>
      </c>
    </row>
    <row r="16191" ht="22.5" customHeight="1">
      <c r="B16191" s="42" t="str">
        <f>IFERROR(__xludf.DUMMYFUNCTION("""COMPUTED_VALUE"""),"")</f>
        <v/>
      </c>
      <c r="C16191" s="42" t="str">
        <f>IFERROR(__xludf.DUMMYFUNCTION("""COMPUTED_VALUE"""),"")</f>
        <v/>
      </c>
      <c r="D16191" s="42"/>
      <c r="E16191" s="42"/>
      <c r="F16191" s="48" t="str">
        <f>IFERROR(__xludf.DUMMYFUNCTION("""COMPUTED_VALUE"""),"")</f>
        <v/>
      </c>
      <c r="G16191" s="42" t="str">
        <f>IFERROR(__xludf.DUMMYFUNCTION("""COMPUTED_VALUE"""),"")</f>
        <v/>
      </c>
      <c r="H16191" s="42">
        <f t="shared" si="1"/>
        <v>3345</v>
      </c>
    </row>
    <row r="16192" ht="22.5" customHeight="1">
      <c r="B16192" s="42" t="str">
        <f>IFERROR(__xludf.DUMMYFUNCTION("""COMPUTED_VALUE"""),"")</f>
        <v/>
      </c>
      <c r="C16192" s="42" t="str">
        <f>IFERROR(__xludf.DUMMYFUNCTION("""COMPUTED_VALUE"""),"")</f>
        <v/>
      </c>
      <c r="D16192" s="42"/>
      <c r="E16192" s="42"/>
      <c r="F16192" s="48" t="str">
        <f>IFERROR(__xludf.DUMMYFUNCTION("""COMPUTED_VALUE"""),"")</f>
        <v/>
      </c>
      <c r="G16192" s="42" t="str">
        <f>IFERROR(__xludf.DUMMYFUNCTION("""COMPUTED_VALUE"""),"")</f>
        <v/>
      </c>
      <c r="H16192" s="42">
        <f t="shared" si="1"/>
        <v>3345</v>
      </c>
    </row>
    <row r="16193" ht="22.5" customHeight="1">
      <c r="B16193" s="42" t="str">
        <f>IFERROR(__xludf.DUMMYFUNCTION("""COMPUTED_VALUE"""),"")</f>
        <v/>
      </c>
      <c r="C16193" s="42" t="str">
        <f>IFERROR(__xludf.DUMMYFUNCTION("""COMPUTED_VALUE"""),"")</f>
        <v/>
      </c>
      <c r="D16193" s="42"/>
      <c r="E16193" s="42"/>
      <c r="F16193" s="48" t="str">
        <f>IFERROR(__xludf.DUMMYFUNCTION("""COMPUTED_VALUE"""),"")</f>
        <v/>
      </c>
      <c r="G16193" s="42" t="str">
        <f>IFERROR(__xludf.DUMMYFUNCTION("""COMPUTED_VALUE"""),"")</f>
        <v/>
      </c>
      <c r="H16193" s="42">
        <f t="shared" si="1"/>
        <v>3345</v>
      </c>
    </row>
    <row r="16194" ht="22.5" customHeight="1">
      <c r="B16194" s="42" t="str">
        <f>IFERROR(__xludf.DUMMYFUNCTION("""COMPUTED_VALUE"""),"")</f>
        <v/>
      </c>
      <c r="C16194" s="42" t="str">
        <f>IFERROR(__xludf.DUMMYFUNCTION("""COMPUTED_VALUE"""),"")</f>
        <v/>
      </c>
      <c r="D16194" s="42"/>
      <c r="E16194" s="42"/>
      <c r="F16194" s="48" t="str">
        <f>IFERROR(__xludf.DUMMYFUNCTION("""COMPUTED_VALUE"""),"")</f>
        <v/>
      </c>
      <c r="G16194" s="42" t="str">
        <f>IFERROR(__xludf.DUMMYFUNCTION("""COMPUTED_VALUE"""),"")</f>
        <v/>
      </c>
      <c r="H16194" s="42">
        <f t="shared" si="1"/>
        <v>3345</v>
      </c>
    </row>
    <row r="16195" ht="22.5" customHeight="1">
      <c r="B16195" s="42" t="str">
        <f>IFERROR(__xludf.DUMMYFUNCTION("""COMPUTED_VALUE"""),"")</f>
        <v/>
      </c>
      <c r="C16195" s="42" t="str">
        <f>IFERROR(__xludf.DUMMYFUNCTION("""COMPUTED_VALUE"""),"")</f>
        <v/>
      </c>
      <c r="D16195" s="42"/>
      <c r="E16195" s="42"/>
      <c r="F16195" s="48" t="str">
        <f>IFERROR(__xludf.DUMMYFUNCTION("""COMPUTED_VALUE"""),"")</f>
        <v/>
      </c>
      <c r="G16195" s="42" t="str">
        <f>IFERROR(__xludf.DUMMYFUNCTION("""COMPUTED_VALUE"""),"")</f>
        <v/>
      </c>
      <c r="H16195" s="42">
        <f t="shared" si="1"/>
        <v>3345</v>
      </c>
    </row>
    <row r="16196" ht="22.5" customHeight="1">
      <c r="B16196" s="42" t="str">
        <f>IFERROR(__xludf.DUMMYFUNCTION("""COMPUTED_VALUE"""),"")</f>
        <v/>
      </c>
      <c r="C16196" s="42" t="str">
        <f>IFERROR(__xludf.DUMMYFUNCTION("""COMPUTED_VALUE"""),"")</f>
        <v/>
      </c>
      <c r="D16196" s="42"/>
      <c r="E16196" s="42"/>
      <c r="F16196" s="48" t="str">
        <f>IFERROR(__xludf.DUMMYFUNCTION("""COMPUTED_VALUE"""),"")</f>
        <v/>
      </c>
      <c r="G16196" s="42" t="str">
        <f>IFERROR(__xludf.DUMMYFUNCTION("""COMPUTED_VALUE"""),"")</f>
        <v/>
      </c>
      <c r="H16196" s="42">
        <f t="shared" si="1"/>
        <v>3345</v>
      </c>
    </row>
    <row r="16197" ht="22.5" customHeight="1">
      <c r="B16197" s="42" t="str">
        <f>IFERROR(__xludf.DUMMYFUNCTION("""COMPUTED_VALUE"""),"")</f>
        <v/>
      </c>
      <c r="C16197" s="42" t="str">
        <f>IFERROR(__xludf.DUMMYFUNCTION("""COMPUTED_VALUE"""),"")</f>
        <v/>
      </c>
      <c r="D16197" s="42"/>
      <c r="E16197" s="42"/>
      <c r="F16197" s="48" t="str">
        <f>IFERROR(__xludf.DUMMYFUNCTION("""COMPUTED_VALUE"""),"")</f>
        <v/>
      </c>
      <c r="G16197" s="42" t="str">
        <f>IFERROR(__xludf.DUMMYFUNCTION("""COMPUTED_VALUE"""),"")</f>
        <v/>
      </c>
      <c r="H16197" s="42">
        <f t="shared" si="1"/>
        <v>3345</v>
      </c>
    </row>
    <row r="16198" ht="22.5" customHeight="1">
      <c r="B16198" s="42" t="str">
        <f>IFERROR(__xludf.DUMMYFUNCTION("""COMPUTED_VALUE"""),"")</f>
        <v/>
      </c>
      <c r="C16198" s="42" t="str">
        <f>IFERROR(__xludf.DUMMYFUNCTION("""COMPUTED_VALUE"""),"")</f>
        <v/>
      </c>
      <c r="D16198" s="42"/>
      <c r="E16198" s="42"/>
      <c r="F16198" s="48" t="str">
        <f>IFERROR(__xludf.DUMMYFUNCTION("""COMPUTED_VALUE"""),"")</f>
        <v/>
      </c>
      <c r="G16198" s="42" t="str">
        <f>IFERROR(__xludf.DUMMYFUNCTION("""COMPUTED_VALUE"""),"")</f>
        <v/>
      </c>
      <c r="H16198" s="42">
        <f t="shared" si="1"/>
        <v>3345</v>
      </c>
    </row>
    <row r="16199" ht="22.5" customHeight="1">
      <c r="B16199" s="42" t="str">
        <f>IFERROR(__xludf.DUMMYFUNCTION("""COMPUTED_VALUE"""),"")</f>
        <v/>
      </c>
      <c r="C16199" s="42" t="str">
        <f>IFERROR(__xludf.DUMMYFUNCTION("""COMPUTED_VALUE"""),"")</f>
        <v/>
      </c>
      <c r="D16199" s="42"/>
      <c r="E16199" s="42"/>
      <c r="F16199" s="48" t="str">
        <f>IFERROR(__xludf.DUMMYFUNCTION("""COMPUTED_VALUE"""),"")</f>
        <v/>
      </c>
      <c r="G16199" s="42" t="str">
        <f>IFERROR(__xludf.DUMMYFUNCTION("""COMPUTED_VALUE"""),"")</f>
        <v/>
      </c>
      <c r="H16199" s="42">
        <f t="shared" si="1"/>
        <v>3345</v>
      </c>
    </row>
    <row r="16200" ht="22.5" customHeight="1">
      <c r="B16200" s="42" t="str">
        <f>IFERROR(__xludf.DUMMYFUNCTION("""COMPUTED_VALUE"""),"")</f>
        <v/>
      </c>
      <c r="C16200" s="42" t="str">
        <f>IFERROR(__xludf.DUMMYFUNCTION("""COMPUTED_VALUE"""),"")</f>
        <v/>
      </c>
      <c r="D16200" s="42"/>
      <c r="E16200" s="42"/>
      <c r="F16200" s="48" t="str">
        <f>IFERROR(__xludf.DUMMYFUNCTION("""COMPUTED_VALUE"""),"")</f>
        <v/>
      </c>
      <c r="G16200" s="42" t="str">
        <f>IFERROR(__xludf.DUMMYFUNCTION("""COMPUTED_VALUE"""),"")</f>
        <v/>
      </c>
      <c r="H16200" s="42">
        <f t="shared" si="1"/>
        <v>3345</v>
      </c>
    </row>
    <row r="16201" ht="22.5" customHeight="1">
      <c r="B16201" s="42" t="str">
        <f>IFERROR(__xludf.DUMMYFUNCTION("""COMPUTED_VALUE"""),"")</f>
        <v/>
      </c>
      <c r="C16201" s="42" t="str">
        <f>IFERROR(__xludf.DUMMYFUNCTION("""COMPUTED_VALUE"""),"")</f>
        <v/>
      </c>
      <c r="D16201" s="42"/>
      <c r="E16201" s="42"/>
      <c r="F16201" s="48" t="str">
        <f>IFERROR(__xludf.DUMMYFUNCTION("""COMPUTED_VALUE"""),"")</f>
        <v/>
      </c>
      <c r="G16201" s="42" t="str">
        <f>IFERROR(__xludf.DUMMYFUNCTION("""COMPUTED_VALUE"""),"")</f>
        <v/>
      </c>
      <c r="H16201" s="42">
        <f t="shared" si="1"/>
        <v>3345</v>
      </c>
    </row>
    <row r="16202" ht="22.5" customHeight="1">
      <c r="B16202" s="42" t="str">
        <f>IFERROR(__xludf.DUMMYFUNCTION("""COMPUTED_VALUE"""),"")</f>
        <v/>
      </c>
      <c r="C16202" s="42" t="str">
        <f>IFERROR(__xludf.DUMMYFUNCTION("""COMPUTED_VALUE"""),"")</f>
        <v/>
      </c>
      <c r="D16202" s="42"/>
      <c r="E16202" s="42"/>
      <c r="F16202" s="48" t="str">
        <f>IFERROR(__xludf.DUMMYFUNCTION("""COMPUTED_VALUE"""),"")</f>
        <v/>
      </c>
      <c r="G16202" s="42" t="str">
        <f>IFERROR(__xludf.DUMMYFUNCTION("""COMPUTED_VALUE"""),"")</f>
        <v/>
      </c>
      <c r="H16202" s="42">
        <f t="shared" si="1"/>
        <v>3345</v>
      </c>
    </row>
    <row r="16203" ht="22.5" customHeight="1">
      <c r="B16203" s="42" t="str">
        <f>IFERROR(__xludf.DUMMYFUNCTION("""COMPUTED_VALUE"""),"")</f>
        <v/>
      </c>
      <c r="C16203" s="42" t="str">
        <f>IFERROR(__xludf.DUMMYFUNCTION("""COMPUTED_VALUE"""),"")</f>
        <v/>
      </c>
      <c r="D16203" s="42"/>
      <c r="E16203" s="42"/>
      <c r="F16203" s="48" t="str">
        <f>IFERROR(__xludf.DUMMYFUNCTION("""COMPUTED_VALUE"""),"")</f>
        <v/>
      </c>
      <c r="G16203" s="42" t="str">
        <f>IFERROR(__xludf.DUMMYFUNCTION("""COMPUTED_VALUE"""),"")</f>
        <v/>
      </c>
      <c r="H16203" s="42">
        <f t="shared" si="1"/>
        <v>3345</v>
      </c>
    </row>
    <row r="16204" ht="22.5" customHeight="1">
      <c r="B16204" s="42" t="str">
        <f>IFERROR(__xludf.DUMMYFUNCTION("""COMPUTED_VALUE"""),"")</f>
        <v/>
      </c>
      <c r="C16204" s="42" t="str">
        <f>IFERROR(__xludf.DUMMYFUNCTION("""COMPUTED_VALUE"""),"")</f>
        <v/>
      </c>
      <c r="D16204" s="42"/>
      <c r="E16204" s="42"/>
      <c r="F16204" s="48" t="str">
        <f>IFERROR(__xludf.DUMMYFUNCTION("""COMPUTED_VALUE"""),"")</f>
        <v/>
      </c>
      <c r="G16204" s="42" t="str">
        <f>IFERROR(__xludf.DUMMYFUNCTION("""COMPUTED_VALUE"""),"")</f>
        <v/>
      </c>
      <c r="H16204" s="42">
        <f t="shared" si="1"/>
        <v>3345</v>
      </c>
    </row>
    <row r="16205" ht="22.5" customHeight="1">
      <c r="B16205" s="42" t="str">
        <f>IFERROR(__xludf.DUMMYFUNCTION("""COMPUTED_VALUE"""),"")</f>
        <v/>
      </c>
      <c r="C16205" s="42" t="str">
        <f>IFERROR(__xludf.DUMMYFUNCTION("""COMPUTED_VALUE"""),"")</f>
        <v/>
      </c>
      <c r="D16205" s="42"/>
      <c r="E16205" s="42"/>
      <c r="F16205" s="48" t="str">
        <f>IFERROR(__xludf.DUMMYFUNCTION("""COMPUTED_VALUE"""),"")</f>
        <v/>
      </c>
      <c r="G16205" s="42" t="str">
        <f>IFERROR(__xludf.DUMMYFUNCTION("""COMPUTED_VALUE"""),"")</f>
        <v/>
      </c>
      <c r="H16205" s="42">
        <f t="shared" si="1"/>
        <v>3345</v>
      </c>
    </row>
    <row r="16206" ht="22.5" customHeight="1">
      <c r="B16206" s="42" t="str">
        <f>IFERROR(__xludf.DUMMYFUNCTION("""COMPUTED_VALUE"""),"")</f>
        <v/>
      </c>
      <c r="C16206" s="42" t="str">
        <f>IFERROR(__xludf.DUMMYFUNCTION("""COMPUTED_VALUE"""),"")</f>
        <v/>
      </c>
      <c r="D16206" s="42"/>
      <c r="E16206" s="42"/>
      <c r="F16206" s="48" t="str">
        <f>IFERROR(__xludf.DUMMYFUNCTION("""COMPUTED_VALUE"""),"")</f>
        <v/>
      </c>
      <c r="G16206" s="42" t="str">
        <f>IFERROR(__xludf.DUMMYFUNCTION("""COMPUTED_VALUE"""),"")</f>
        <v/>
      </c>
      <c r="H16206" s="42">
        <f t="shared" si="1"/>
        <v>3345</v>
      </c>
    </row>
    <row r="16207" ht="22.5" customHeight="1">
      <c r="B16207" s="42" t="str">
        <f>IFERROR(__xludf.DUMMYFUNCTION("""COMPUTED_VALUE"""),"")</f>
        <v/>
      </c>
      <c r="C16207" s="42" t="str">
        <f>IFERROR(__xludf.DUMMYFUNCTION("""COMPUTED_VALUE"""),"")</f>
        <v/>
      </c>
      <c r="D16207" s="42"/>
      <c r="E16207" s="42"/>
      <c r="F16207" s="48" t="str">
        <f>IFERROR(__xludf.DUMMYFUNCTION("""COMPUTED_VALUE"""),"")</f>
        <v/>
      </c>
      <c r="G16207" s="42" t="str">
        <f>IFERROR(__xludf.DUMMYFUNCTION("""COMPUTED_VALUE"""),"")</f>
        <v/>
      </c>
      <c r="H16207" s="42">
        <f t="shared" si="1"/>
        <v>3345</v>
      </c>
    </row>
    <row r="16208" ht="22.5" customHeight="1">
      <c r="B16208" s="42" t="str">
        <f>IFERROR(__xludf.DUMMYFUNCTION("""COMPUTED_VALUE"""),"")</f>
        <v/>
      </c>
      <c r="C16208" s="42" t="str">
        <f>IFERROR(__xludf.DUMMYFUNCTION("""COMPUTED_VALUE"""),"")</f>
        <v/>
      </c>
      <c r="D16208" s="42"/>
      <c r="E16208" s="42"/>
      <c r="F16208" s="48" t="str">
        <f>IFERROR(__xludf.DUMMYFUNCTION("""COMPUTED_VALUE"""),"")</f>
        <v/>
      </c>
      <c r="G16208" s="42" t="str">
        <f>IFERROR(__xludf.DUMMYFUNCTION("""COMPUTED_VALUE"""),"")</f>
        <v/>
      </c>
      <c r="H16208" s="42">
        <f t="shared" si="1"/>
        <v>3345</v>
      </c>
    </row>
    <row r="16209" ht="22.5" customHeight="1">
      <c r="B16209" s="42" t="str">
        <f>IFERROR(__xludf.DUMMYFUNCTION("""COMPUTED_VALUE"""),"")</f>
        <v/>
      </c>
      <c r="C16209" s="42" t="str">
        <f>IFERROR(__xludf.DUMMYFUNCTION("""COMPUTED_VALUE"""),"")</f>
        <v/>
      </c>
      <c r="D16209" s="42"/>
      <c r="E16209" s="42"/>
      <c r="F16209" s="48" t="str">
        <f>IFERROR(__xludf.DUMMYFUNCTION("""COMPUTED_VALUE"""),"")</f>
        <v/>
      </c>
      <c r="G16209" s="42" t="str">
        <f>IFERROR(__xludf.DUMMYFUNCTION("""COMPUTED_VALUE"""),"")</f>
        <v/>
      </c>
      <c r="H16209" s="42">
        <f t="shared" si="1"/>
        <v>3345</v>
      </c>
    </row>
    <row r="16210" ht="22.5" customHeight="1">
      <c r="B16210" s="42" t="str">
        <f>IFERROR(__xludf.DUMMYFUNCTION("""COMPUTED_VALUE"""),"")</f>
        <v/>
      </c>
      <c r="C16210" s="42" t="str">
        <f>IFERROR(__xludf.DUMMYFUNCTION("""COMPUTED_VALUE"""),"")</f>
        <v/>
      </c>
      <c r="D16210" s="42"/>
      <c r="E16210" s="42"/>
      <c r="F16210" s="48" t="str">
        <f>IFERROR(__xludf.DUMMYFUNCTION("""COMPUTED_VALUE"""),"")</f>
        <v/>
      </c>
      <c r="G16210" s="42" t="str">
        <f>IFERROR(__xludf.DUMMYFUNCTION("""COMPUTED_VALUE"""),"")</f>
        <v/>
      </c>
      <c r="H16210" s="42">
        <f t="shared" si="1"/>
        <v>3345</v>
      </c>
    </row>
    <row r="16211" ht="22.5" customHeight="1">
      <c r="B16211" s="42" t="str">
        <f>IFERROR(__xludf.DUMMYFUNCTION("""COMPUTED_VALUE"""),"")</f>
        <v/>
      </c>
      <c r="C16211" s="42" t="str">
        <f>IFERROR(__xludf.DUMMYFUNCTION("""COMPUTED_VALUE"""),"")</f>
        <v/>
      </c>
      <c r="D16211" s="42"/>
      <c r="E16211" s="42"/>
      <c r="F16211" s="48" t="str">
        <f>IFERROR(__xludf.DUMMYFUNCTION("""COMPUTED_VALUE"""),"")</f>
        <v/>
      </c>
      <c r="G16211" s="42" t="str">
        <f>IFERROR(__xludf.DUMMYFUNCTION("""COMPUTED_VALUE"""),"")</f>
        <v/>
      </c>
      <c r="H16211" s="42">
        <f t="shared" si="1"/>
        <v>3345</v>
      </c>
    </row>
    <row r="16212" ht="22.5" customHeight="1">
      <c r="B16212" s="42" t="str">
        <f>IFERROR(__xludf.DUMMYFUNCTION("""COMPUTED_VALUE"""),"")</f>
        <v/>
      </c>
      <c r="C16212" s="42" t="str">
        <f>IFERROR(__xludf.DUMMYFUNCTION("""COMPUTED_VALUE"""),"")</f>
        <v/>
      </c>
      <c r="D16212" s="42"/>
      <c r="E16212" s="42"/>
      <c r="F16212" s="48" t="str">
        <f>IFERROR(__xludf.DUMMYFUNCTION("""COMPUTED_VALUE"""),"")</f>
        <v/>
      </c>
      <c r="G16212" s="42" t="str">
        <f>IFERROR(__xludf.DUMMYFUNCTION("""COMPUTED_VALUE"""),"")</f>
        <v/>
      </c>
      <c r="H16212" s="42">
        <f t="shared" si="1"/>
        <v>3345</v>
      </c>
    </row>
    <row r="16213" ht="22.5" customHeight="1">
      <c r="B16213" s="42" t="str">
        <f>IFERROR(__xludf.DUMMYFUNCTION("""COMPUTED_VALUE"""),"")</f>
        <v/>
      </c>
      <c r="C16213" s="42" t="str">
        <f>IFERROR(__xludf.DUMMYFUNCTION("""COMPUTED_VALUE"""),"")</f>
        <v/>
      </c>
      <c r="D16213" s="42"/>
      <c r="E16213" s="42"/>
      <c r="F16213" s="48" t="str">
        <f>IFERROR(__xludf.DUMMYFUNCTION("""COMPUTED_VALUE"""),"")</f>
        <v/>
      </c>
      <c r="G16213" s="42" t="str">
        <f>IFERROR(__xludf.DUMMYFUNCTION("""COMPUTED_VALUE"""),"")</f>
        <v/>
      </c>
      <c r="H16213" s="42">
        <f t="shared" si="1"/>
        <v>3345</v>
      </c>
    </row>
    <row r="16214" ht="22.5" customHeight="1">
      <c r="B16214" s="42" t="str">
        <f>IFERROR(__xludf.DUMMYFUNCTION("""COMPUTED_VALUE"""),"")</f>
        <v/>
      </c>
      <c r="C16214" s="42" t="str">
        <f>IFERROR(__xludf.DUMMYFUNCTION("""COMPUTED_VALUE"""),"")</f>
        <v/>
      </c>
      <c r="D16214" s="42"/>
      <c r="E16214" s="42"/>
      <c r="F16214" s="48" t="str">
        <f>IFERROR(__xludf.DUMMYFUNCTION("""COMPUTED_VALUE"""),"")</f>
        <v/>
      </c>
      <c r="G16214" s="42" t="str">
        <f>IFERROR(__xludf.DUMMYFUNCTION("""COMPUTED_VALUE"""),"")</f>
        <v/>
      </c>
      <c r="H16214" s="42">
        <f t="shared" si="1"/>
        <v>3345</v>
      </c>
    </row>
    <row r="16215" ht="22.5" customHeight="1">
      <c r="B16215" s="42" t="str">
        <f>IFERROR(__xludf.DUMMYFUNCTION("""COMPUTED_VALUE"""),"")</f>
        <v/>
      </c>
      <c r="C16215" s="42" t="str">
        <f>IFERROR(__xludf.DUMMYFUNCTION("""COMPUTED_VALUE"""),"")</f>
        <v/>
      </c>
      <c r="D16215" s="42"/>
      <c r="E16215" s="42"/>
      <c r="F16215" s="48" t="str">
        <f>IFERROR(__xludf.DUMMYFUNCTION("""COMPUTED_VALUE"""),"")</f>
        <v/>
      </c>
      <c r="G16215" s="42" t="str">
        <f>IFERROR(__xludf.DUMMYFUNCTION("""COMPUTED_VALUE"""),"")</f>
        <v/>
      </c>
      <c r="H16215" s="42">
        <f t="shared" si="1"/>
        <v>3345</v>
      </c>
    </row>
    <row r="16216" ht="22.5" customHeight="1">
      <c r="B16216" s="42" t="str">
        <f>IFERROR(__xludf.DUMMYFUNCTION("""COMPUTED_VALUE"""),"")</f>
        <v/>
      </c>
      <c r="C16216" s="42" t="str">
        <f>IFERROR(__xludf.DUMMYFUNCTION("""COMPUTED_VALUE"""),"")</f>
        <v/>
      </c>
      <c r="D16216" s="42"/>
      <c r="E16216" s="42"/>
      <c r="F16216" s="48" t="str">
        <f>IFERROR(__xludf.DUMMYFUNCTION("""COMPUTED_VALUE"""),"")</f>
        <v/>
      </c>
      <c r="G16216" s="42" t="str">
        <f>IFERROR(__xludf.DUMMYFUNCTION("""COMPUTED_VALUE"""),"")</f>
        <v/>
      </c>
      <c r="H16216" s="42">
        <f t="shared" si="1"/>
        <v>3345</v>
      </c>
    </row>
    <row r="16217" ht="22.5" customHeight="1">
      <c r="B16217" s="42" t="str">
        <f>IFERROR(__xludf.DUMMYFUNCTION("""COMPUTED_VALUE"""),"")</f>
        <v/>
      </c>
      <c r="C16217" s="42" t="str">
        <f>IFERROR(__xludf.DUMMYFUNCTION("""COMPUTED_VALUE"""),"")</f>
        <v/>
      </c>
      <c r="D16217" s="42"/>
      <c r="E16217" s="42"/>
      <c r="F16217" s="48" t="str">
        <f>IFERROR(__xludf.DUMMYFUNCTION("""COMPUTED_VALUE"""),"")</f>
        <v/>
      </c>
      <c r="G16217" s="42" t="str">
        <f>IFERROR(__xludf.DUMMYFUNCTION("""COMPUTED_VALUE"""),"")</f>
        <v/>
      </c>
      <c r="H16217" s="42">
        <f t="shared" si="1"/>
        <v>3345</v>
      </c>
    </row>
    <row r="16218" ht="22.5" customHeight="1">
      <c r="B16218" s="42" t="str">
        <f>IFERROR(__xludf.DUMMYFUNCTION("""COMPUTED_VALUE"""),"")</f>
        <v/>
      </c>
      <c r="C16218" s="42" t="str">
        <f>IFERROR(__xludf.DUMMYFUNCTION("""COMPUTED_VALUE"""),"")</f>
        <v/>
      </c>
      <c r="D16218" s="42"/>
      <c r="E16218" s="42"/>
      <c r="F16218" s="48" t="str">
        <f>IFERROR(__xludf.DUMMYFUNCTION("""COMPUTED_VALUE"""),"")</f>
        <v/>
      </c>
      <c r="G16218" s="42" t="str">
        <f>IFERROR(__xludf.DUMMYFUNCTION("""COMPUTED_VALUE"""),"")</f>
        <v/>
      </c>
      <c r="H16218" s="42">
        <f t="shared" si="1"/>
        <v>3345</v>
      </c>
    </row>
    <row r="16219" ht="22.5" customHeight="1">
      <c r="B16219" s="42" t="str">
        <f>IFERROR(__xludf.DUMMYFUNCTION("""COMPUTED_VALUE"""),"")</f>
        <v/>
      </c>
      <c r="C16219" s="42" t="str">
        <f>IFERROR(__xludf.DUMMYFUNCTION("""COMPUTED_VALUE"""),"")</f>
        <v/>
      </c>
      <c r="D16219" s="42"/>
      <c r="E16219" s="42"/>
      <c r="F16219" s="48" t="str">
        <f>IFERROR(__xludf.DUMMYFUNCTION("""COMPUTED_VALUE"""),"")</f>
        <v/>
      </c>
      <c r="G16219" s="42" t="str">
        <f>IFERROR(__xludf.DUMMYFUNCTION("""COMPUTED_VALUE"""),"")</f>
        <v/>
      </c>
      <c r="H16219" s="42">
        <f t="shared" si="1"/>
        <v>3345</v>
      </c>
    </row>
    <row r="16220" ht="22.5" customHeight="1">
      <c r="B16220" s="42" t="str">
        <f>IFERROR(__xludf.DUMMYFUNCTION("""COMPUTED_VALUE"""),"")</f>
        <v/>
      </c>
      <c r="C16220" s="42" t="str">
        <f>IFERROR(__xludf.DUMMYFUNCTION("""COMPUTED_VALUE"""),"")</f>
        <v/>
      </c>
      <c r="D16220" s="42"/>
      <c r="E16220" s="42"/>
      <c r="F16220" s="48" t="str">
        <f>IFERROR(__xludf.DUMMYFUNCTION("""COMPUTED_VALUE"""),"")</f>
        <v/>
      </c>
      <c r="G16220" s="42" t="str">
        <f>IFERROR(__xludf.DUMMYFUNCTION("""COMPUTED_VALUE"""),"")</f>
        <v/>
      </c>
      <c r="H16220" s="42">
        <f t="shared" si="1"/>
        <v>3345</v>
      </c>
    </row>
    <row r="16221" ht="22.5" customHeight="1">
      <c r="B16221" s="42" t="str">
        <f>IFERROR(__xludf.DUMMYFUNCTION("""COMPUTED_VALUE"""),"")</f>
        <v/>
      </c>
      <c r="C16221" s="42" t="str">
        <f>IFERROR(__xludf.DUMMYFUNCTION("""COMPUTED_VALUE"""),"")</f>
        <v/>
      </c>
      <c r="D16221" s="42"/>
      <c r="E16221" s="42"/>
      <c r="F16221" s="48" t="str">
        <f>IFERROR(__xludf.DUMMYFUNCTION("""COMPUTED_VALUE"""),"")</f>
        <v/>
      </c>
      <c r="G16221" s="42" t="str">
        <f>IFERROR(__xludf.DUMMYFUNCTION("""COMPUTED_VALUE"""),"")</f>
        <v/>
      </c>
      <c r="H16221" s="42">
        <f t="shared" si="1"/>
        <v>3345</v>
      </c>
    </row>
    <row r="16222" ht="22.5" customHeight="1">
      <c r="B16222" s="42" t="str">
        <f>IFERROR(__xludf.DUMMYFUNCTION("""COMPUTED_VALUE"""),"")</f>
        <v/>
      </c>
      <c r="C16222" s="42" t="str">
        <f>IFERROR(__xludf.DUMMYFUNCTION("""COMPUTED_VALUE"""),"")</f>
        <v/>
      </c>
      <c r="D16222" s="42"/>
      <c r="E16222" s="42"/>
      <c r="F16222" s="48" t="str">
        <f>IFERROR(__xludf.DUMMYFUNCTION("""COMPUTED_VALUE"""),"")</f>
        <v/>
      </c>
      <c r="G16222" s="42" t="str">
        <f>IFERROR(__xludf.DUMMYFUNCTION("""COMPUTED_VALUE"""),"")</f>
        <v/>
      </c>
      <c r="H16222" s="42">
        <f t="shared" si="1"/>
        <v>3345</v>
      </c>
    </row>
    <row r="16223" ht="22.5" customHeight="1">
      <c r="B16223" s="42" t="str">
        <f>IFERROR(__xludf.DUMMYFUNCTION("""COMPUTED_VALUE"""),"")</f>
        <v/>
      </c>
      <c r="C16223" s="42" t="str">
        <f>IFERROR(__xludf.DUMMYFUNCTION("""COMPUTED_VALUE"""),"")</f>
        <v/>
      </c>
      <c r="D16223" s="42"/>
      <c r="E16223" s="42"/>
      <c r="F16223" s="48" t="str">
        <f>IFERROR(__xludf.DUMMYFUNCTION("""COMPUTED_VALUE"""),"")</f>
        <v/>
      </c>
      <c r="G16223" s="42" t="str">
        <f>IFERROR(__xludf.DUMMYFUNCTION("""COMPUTED_VALUE"""),"")</f>
        <v/>
      </c>
      <c r="H16223" s="42">
        <f t="shared" si="1"/>
        <v>3345</v>
      </c>
    </row>
    <row r="16224" ht="22.5" customHeight="1">
      <c r="B16224" s="42" t="str">
        <f>IFERROR(__xludf.DUMMYFUNCTION("""COMPUTED_VALUE"""),"")</f>
        <v/>
      </c>
      <c r="C16224" s="42" t="str">
        <f>IFERROR(__xludf.DUMMYFUNCTION("""COMPUTED_VALUE"""),"")</f>
        <v/>
      </c>
      <c r="D16224" s="42"/>
      <c r="E16224" s="42"/>
      <c r="F16224" s="48" t="str">
        <f>IFERROR(__xludf.DUMMYFUNCTION("""COMPUTED_VALUE"""),"")</f>
        <v/>
      </c>
      <c r="G16224" s="42" t="str">
        <f>IFERROR(__xludf.DUMMYFUNCTION("""COMPUTED_VALUE"""),"")</f>
        <v/>
      </c>
      <c r="H16224" s="42">
        <f t="shared" si="1"/>
        <v>3345</v>
      </c>
    </row>
    <row r="16225" ht="22.5" customHeight="1">
      <c r="B16225" s="42" t="str">
        <f>IFERROR(__xludf.DUMMYFUNCTION("""COMPUTED_VALUE"""),"")</f>
        <v/>
      </c>
      <c r="C16225" s="42" t="str">
        <f>IFERROR(__xludf.DUMMYFUNCTION("""COMPUTED_VALUE"""),"")</f>
        <v/>
      </c>
      <c r="D16225" s="42"/>
      <c r="E16225" s="42"/>
      <c r="F16225" s="48" t="str">
        <f>IFERROR(__xludf.DUMMYFUNCTION("""COMPUTED_VALUE"""),"")</f>
        <v/>
      </c>
      <c r="G16225" s="42" t="str">
        <f>IFERROR(__xludf.DUMMYFUNCTION("""COMPUTED_VALUE"""),"")</f>
        <v/>
      </c>
      <c r="H16225" s="42">
        <f t="shared" si="1"/>
        <v>3345</v>
      </c>
    </row>
    <row r="16226" ht="22.5" customHeight="1">
      <c r="B16226" s="42" t="str">
        <f>IFERROR(__xludf.DUMMYFUNCTION("""COMPUTED_VALUE"""),"")</f>
        <v/>
      </c>
      <c r="C16226" s="42" t="str">
        <f>IFERROR(__xludf.DUMMYFUNCTION("""COMPUTED_VALUE"""),"")</f>
        <v/>
      </c>
      <c r="D16226" s="42"/>
      <c r="E16226" s="42"/>
      <c r="F16226" s="48" t="str">
        <f>IFERROR(__xludf.DUMMYFUNCTION("""COMPUTED_VALUE"""),"")</f>
        <v/>
      </c>
      <c r="G16226" s="42" t="str">
        <f>IFERROR(__xludf.DUMMYFUNCTION("""COMPUTED_VALUE"""),"")</f>
        <v/>
      </c>
      <c r="H16226" s="42">
        <f t="shared" si="1"/>
        <v>3345</v>
      </c>
    </row>
    <row r="16227" ht="22.5" customHeight="1">
      <c r="B16227" s="42" t="str">
        <f>IFERROR(__xludf.DUMMYFUNCTION("""COMPUTED_VALUE"""),"")</f>
        <v/>
      </c>
      <c r="C16227" s="42" t="str">
        <f>IFERROR(__xludf.DUMMYFUNCTION("""COMPUTED_VALUE"""),"")</f>
        <v/>
      </c>
      <c r="D16227" s="42"/>
      <c r="E16227" s="42"/>
      <c r="F16227" s="48" t="str">
        <f>IFERROR(__xludf.DUMMYFUNCTION("""COMPUTED_VALUE"""),"")</f>
        <v/>
      </c>
      <c r="G16227" s="42" t="str">
        <f>IFERROR(__xludf.DUMMYFUNCTION("""COMPUTED_VALUE"""),"")</f>
        <v/>
      </c>
      <c r="H16227" s="42">
        <f t="shared" si="1"/>
        <v>3345</v>
      </c>
    </row>
    <row r="16228" ht="22.5" customHeight="1">
      <c r="B16228" s="42" t="str">
        <f>IFERROR(__xludf.DUMMYFUNCTION("""COMPUTED_VALUE"""),"")</f>
        <v/>
      </c>
      <c r="C16228" s="42" t="str">
        <f>IFERROR(__xludf.DUMMYFUNCTION("""COMPUTED_VALUE"""),"")</f>
        <v/>
      </c>
      <c r="D16228" s="42"/>
      <c r="E16228" s="42"/>
      <c r="F16228" s="48" t="str">
        <f>IFERROR(__xludf.DUMMYFUNCTION("""COMPUTED_VALUE"""),"")</f>
        <v/>
      </c>
      <c r="G16228" s="42" t="str">
        <f>IFERROR(__xludf.DUMMYFUNCTION("""COMPUTED_VALUE"""),"")</f>
        <v/>
      </c>
      <c r="H16228" s="42">
        <f t="shared" si="1"/>
        <v>3345</v>
      </c>
    </row>
    <row r="16229" ht="22.5" customHeight="1">
      <c r="B16229" s="42" t="str">
        <f>IFERROR(__xludf.DUMMYFUNCTION("""COMPUTED_VALUE"""),"")</f>
        <v/>
      </c>
      <c r="C16229" s="42" t="str">
        <f>IFERROR(__xludf.DUMMYFUNCTION("""COMPUTED_VALUE"""),"")</f>
        <v/>
      </c>
      <c r="D16229" s="42"/>
      <c r="E16229" s="42"/>
      <c r="F16229" s="48" t="str">
        <f>IFERROR(__xludf.DUMMYFUNCTION("""COMPUTED_VALUE"""),"")</f>
        <v/>
      </c>
      <c r="G16229" s="42" t="str">
        <f>IFERROR(__xludf.DUMMYFUNCTION("""COMPUTED_VALUE"""),"")</f>
        <v/>
      </c>
      <c r="H16229" s="42">
        <f t="shared" si="1"/>
        <v>3345</v>
      </c>
    </row>
    <row r="16230" ht="22.5" customHeight="1">
      <c r="B16230" s="42" t="str">
        <f>IFERROR(__xludf.DUMMYFUNCTION("""COMPUTED_VALUE"""),"")</f>
        <v/>
      </c>
      <c r="C16230" s="42" t="str">
        <f>IFERROR(__xludf.DUMMYFUNCTION("""COMPUTED_VALUE"""),"")</f>
        <v/>
      </c>
      <c r="D16230" s="42"/>
      <c r="E16230" s="42"/>
      <c r="F16230" s="48" t="str">
        <f>IFERROR(__xludf.DUMMYFUNCTION("""COMPUTED_VALUE"""),"")</f>
        <v/>
      </c>
      <c r="G16230" s="42" t="str">
        <f>IFERROR(__xludf.DUMMYFUNCTION("""COMPUTED_VALUE"""),"")</f>
        <v/>
      </c>
      <c r="H16230" s="42">
        <f t="shared" si="1"/>
        <v>3345</v>
      </c>
    </row>
    <row r="16231" ht="22.5" customHeight="1">
      <c r="B16231" s="42" t="str">
        <f>IFERROR(__xludf.DUMMYFUNCTION("""COMPUTED_VALUE"""),"")</f>
        <v/>
      </c>
      <c r="C16231" s="42" t="str">
        <f>IFERROR(__xludf.DUMMYFUNCTION("""COMPUTED_VALUE"""),"")</f>
        <v/>
      </c>
      <c r="D16231" s="42"/>
      <c r="E16231" s="42"/>
      <c r="F16231" s="48" t="str">
        <f>IFERROR(__xludf.DUMMYFUNCTION("""COMPUTED_VALUE"""),"")</f>
        <v/>
      </c>
      <c r="G16231" s="42" t="str">
        <f>IFERROR(__xludf.DUMMYFUNCTION("""COMPUTED_VALUE"""),"")</f>
        <v/>
      </c>
      <c r="H16231" s="42">
        <f t="shared" si="1"/>
        <v>3345</v>
      </c>
    </row>
    <row r="16232" ht="22.5" customHeight="1">
      <c r="B16232" s="42" t="str">
        <f>IFERROR(__xludf.DUMMYFUNCTION("""COMPUTED_VALUE"""),"")</f>
        <v/>
      </c>
      <c r="C16232" s="42" t="str">
        <f>IFERROR(__xludf.DUMMYFUNCTION("""COMPUTED_VALUE"""),"")</f>
        <v/>
      </c>
      <c r="D16232" s="42"/>
      <c r="E16232" s="42"/>
      <c r="F16232" s="48" t="str">
        <f>IFERROR(__xludf.DUMMYFUNCTION("""COMPUTED_VALUE"""),"")</f>
        <v/>
      </c>
      <c r="G16232" s="42" t="str">
        <f>IFERROR(__xludf.DUMMYFUNCTION("""COMPUTED_VALUE"""),"")</f>
        <v/>
      </c>
      <c r="H16232" s="42">
        <f t="shared" si="1"/>
        <v>3345</v>
      </c>
    </row>
    <row r="16233" ht="22.5" customHeight="1">
      <c r="B16233" s="42" t="str">
        <f>IFERROR(__xludf.DUMMYFUNCTION("""COMPUTED_VALUE"""),"")</f>
        <v/>
      </c>
      <c r="C16233" s="42" t="str">
        <f>IFERROR(__xludf.DUMMYFUNCTION("""COMPUTED_VALUE"""),"")</f>
        <v/>
      </c>
      <c r="D16233" s="42"/>
      <c r="E16233" s="42"/>
      <c r="F16233" s="48" t="str">
        <f>IFERROR(__xludf.DUMMYFUNCTION("""COMPUTED_VALUE"""),"")</f>
        <v/>
      </c>
      <c r="G16233" s="42" t="str">
        <f>IFERROR(__xludf.DUMMYFUNCTION("""COMPUTED_VALUE"""),"")</f>
        <v/>
      </c>
      <c r="H16233" s="42">
        <f t="shared" si="1"/>
        <v>3345</v>
      </c>
    </row>
    <row r="16234" ht="22.5" customHeight="1">
      <c r="B16234" s="42" t="str">
        <f>IFERROR(__xludf.DUMMYFUNCTION("""COMPUTED_VALUE"""),"")</f>
        <v/>
      </c>
      <c r="C16234" s="42" t="str">
        <f>IFERROR(__xludf.DUMMYFUNCTION("""COMPUTED_VALUE"""),"")</f>
        <v/>
      </c>
      <c r="D16234" s="42"/>
      <c r="E16234" s="42"/>
      <c r="F16234" s="48" t="str">
        <f>IFERROR(__xludf.DUMMYFUNCTION("""COMPUTED_VALUE"""),"")</f>
        <v/>
      </c>
      <c r="G16234" s="42" t="str">
        <f>IFERROR(__xludf.DUMMYFUNCTION("""COMPUTED_VALUE"""),"")</f>
        <v/>
      </c>
      <c r="H16234" s="42">
        <f t="shared" si="1"/>
        <v>3345</v>
      </c>
    </row>
    <row r="16235" ht="22.5" customHeight="1">
      <c r="B16235" s="42" t="str">
        <f>IFERROR(__xludf.DUMMYFUNCTION("""COMPUTED_VALUE"""),"")</f>
        <v/>
      </c>
      <c r="C16235" s="42" t="str">
        <f>IFERROR(__xludf.DUMMYFUNCTION("""COMPUTED_VALUE"""),"")</f>
        <v/>
      </c>
      <c r="D16235" s="42"/>
      <c r="E16235" s="42"/>
      <c r="F16235" s="48" t="str">
        <f>IFERROR(__xludf.DUMMYFUNCTION("""COMPUTED_VALUE"""),"")</f>
        <v/>
      </c>
      <c r="G16235" s="42" t="str">
        <f>IFERROR(__xludf.DUMMYFUNCTION("""COMPUTED_VALUE"""),"")</f>
        <v/>
      </c>
      <c r="H16235" s="42">
        <f t="shared" si="1"/>
        <v>3345</v>
      </c>
    </row>
    <row r="16236" ht="22.5" customHeight="1">
      <c r="B16236" s="42" t="str">
        <f>IFERROR(__xludf.DUMMYFUNCTION("""COMPUTED_VALUE"""),"")</f>
        <v/>
      </c>
      <c r="C16236" s="42" t="str">
        <f>IFERROR(__xludf.DUMMYFUNCTION("""COMPUTED_VALUE"""),"")</f>
        <v/>
      </c>
      <c r="D16236" s="42"/>
      <c r="E16236" s="42"/>
      <c r="F16236" s="48" t="str">
        <f>IFERROR(__xludf.DUMMYFUNCTION("""COMPUTED_VALUE"""),"")</f>
        <v/>
      </c>
      <c r="G16236" s="42" t="str">
        <f>IFERROR(__xludf.DUMMYFUNCTION("""COMPUTED_VALUE"""),"")</f>
        <v/>
      </c>
      <c r="H16236" s="42">
        <f t="shared" si="1"/>
        <v>3345</v>
      </c>
    </row>
    <row r="16237" ht="22.5" customHeight="1">
      <c r="B16237" s="42" t="str">
        <f>IFERROR(__xludf.DUMMYFUNCTION("""COMPUTED_VALUE"""),"")</f>
        <v/>
      </c>
      <c r="C16237" s="42" t="str">
        <f>IFERROR(__xludf.DUMMYFUNCTION("""COMPUTED_VALUE"""),"")</f>
        <v/>
      </c>
      <c r="D16237" s="42"/>
      <c r="E16237" s="42"/>
      <c r="F16237" s="48" t="str">
        <f>IFERROR(__xludf.DUMMYFUNCTION("""COMPUTED_VALUE"""),"")</f>
        <v/>
      </c>
      <c r="G16237" s="42" t="str">
        <f>IFERROR(__xludf.DUMMYFUNCTION("""COMPUTED_VALUE"""),"")</f>
        <v/>
      </c>
      <c r="H16237" s="42">
        <f t="shared" si="1"/>
        <v>3345</v>
      </c>
    </row>
    <row r="16238" ht="22.5" customHeight="1">
      <c r="B16238" s="42" t="str">
        <f>IFERROR(__xludf.DUMMYFUNCTION("""COMPUTED_VALUE"""),"")</f>
        <v/>
      </c>
      <c r="C16238" s="42" t="str">
        <f>IFERROR(__xludf.DUMMYFUNCTION("""COMPUTED_VALUE"""),"")</f>
        <v/>
      </c>
      <c r="D16238" s="42"/>
      <c r="E16238" s="42"/>
      <c r="F16238" s="48" t="str">
        <f>IFERROR(__xludf.DUMMYFUNCTION("""COMPUTED_VALUE"""),"")</f>
        <v/>
      </c>
      <c r="G16238" s="42" t="str">
        <f>IFERROR(__xludf.DUMMYFUNCTION("""COMPUTED_VALUE"""),"")</f>
        <v/>
      </c>
      <c r="H16238" s="42">
        <f t="shared" si="1"/>
        <v>3345</v>
      </c>
    </row>
    <row r="16239" ht="22.5" customHeight="1">
      <c r="B16239" s="42" t="str">
        <f>IFERROR(__xludf.DUMMYFUNCTION("""COMPUTED_VALUE"""),"")</f>
        <v/>
      </c>
      <c r="C16239" s="42" t="str">
        <f>IFERROR(__xludf.DUMMYFUNCTION("""COMPUTED_VALUE"""),"")</f>
        <v/>
      </c>
      <c r="D16239" s="42"/>
      <c r="E16239" s="42"/>
      <c r="F16239" s="48" t="str">
        <f>IFERROR(__xludf.DUMMYFUNCTION("""COMPUTED_VALUE"""),"")</f>
        <v/>
      </c>
      <c r="G16239" s="42" t="str">
        <f>IFERROR(__xludf.DUMMYFUNCTION("""COMPUTED_VALUE"""),"")</f>
        <v/>
      </c>
      <c r="H16239" s="42">
        <f t="shared" si="1"/>
        <v>3345</v>
      </c>
    </row>
    <row r="16240" ht="22.5" customHeight="1">
      <c r="B16240" s="42" t="str">
        <f>IFERROR(__xludf.DUMMYFUNCTION("""COMPUTED_VALUE"""),"")</f>
        <v/>
      </c>
      <c r="C16240" s="42" t="str">
        <f>IFERROR(__xludf.DUMMYFUNCTION("""COMPUTED_VALUE"""),"")</f>
        <v/>
      </c>
      <c r="D16240" s="42"/>
      <c r="E16240" s="42"/>
      <c r="F16240" s="48" t="str">
        <f>IFERROR(__xludf.DUMMYFUNCTION("""COMPUTED_VALUE"""),"")</f>
        <v/>
      </c>
      <c r="G16240" s="42" t="str">
        <f>IFERROR(__xludf.DUMMYFUNCTION("""COMPUTED_VALUE"""),"")</f>
        <v/>
      </c>
      <c r="H16240" s="42">
        <f t="shared" si="1"/>
        <v>3345</v>
      </c>
    </row>
    <row r="16241" ht="22.5" customHeight="1">
      <c r="B16241" s="42" t="str">
        <f>IFERROR(__xludf.DUMMYFUNCTION("""COMPUTED_VALUE"""),"")</f>
        <v/>
      </c>
      <c r="C16241" s="42" t="str">
        <f>IFERROR(__xludf.DUMMYFUNCTION("""COMPUTED_VALUE"""),"")</f>
        <v/>
      </c>
      <c r="D16241" s="42"/>
      <c r="E16241" s="42"/>
      <c r="F16241" s="48" t="str">
        <f>IFERROR(__xludf.DUMMYFUNCTION("""COMPUTED_VALUE"""),"")</f>
        <v/>
      </c>
      <c r="G16241" s="42" t="str">
        <f>IFERROR(__xludf.DUMMYFUNCTION("""COMPUTED_VALUE"""),"")</f>
        <v/>
      </c>
      <c r="H16241" s="42">
        <f t="shared" si="1"/>
        <v>3345</v>
      </c>
    </row>
    <row r="16242" ht="22.5" customHeight="1">
      <c r="B16242" s="42" t="str">
        <f>IFERROR(__xludf.DUMMYFUNCTION("""COMPUTED_VALUE"""),"")</f>
        <v/>
      </c>
      <c r="C16242" s="42" t="str">
        <f>IFERROR(__xludf.DUMMYFUNCTION("""COMPUTED_VALUE"""),"")</f>
        <v/>
      </c>
      <c r="D16242" s="42"/>
      <c r="E16242" s="42"/>
      <c r="F16242" s="48" t="str">
        <f>IFERROR(__xludf.DUMMYFUNCTION("""COMPUTED_VALUE"""),"")</f>
        <v/>
      </c>
      <c r="G16242" s="42" t="str">
        <f>IFERROR(__xludf.DUMMYFUNCTION("""COMPUTED_VALUE"""),"")</f>
        <v/>
      </c>
      <c r="H16242" s="42">
        <f t="shared" si="1"/>
        <v>3345</v>
      </c>
    </row>
    <row r="16243" ht="22.5" customHeight="1">
      <c r="B16243" s="42" t="str">
        <f>IFERROR(__xludf.DUMMYFUNCTION("""COMPUTED_VALUE"""),"")</f>
        <v/>
      </c>
      <c r="C16243" s="42" t="str">
        <f>IFERROR(__xludf.DUMMYFUNCTION("""COMPUTED_VALUE"""),"")</f>
        <v/>
      </c>
      <c r="D16243" s="42"/>
      <c r="E16243" s="42"/>
      <c r="F16243" s="48" t="str">
        <f>IFERROR(__xludf.DUMMYFUNCTION("""COMPUTED_VALUE"""),"")</f>
        <v/>
      </c>
      <c r="G16243" s="42" t="str">
        <f>IFERROR(__xludf.DUMMYFUNCTION("""COMPUTED_VALUE"""),"")</f>
        <v/>
      </c>
      <c r="H16243" s="42">
        <f t="shared" si="1"/>
        <v>3345</v>
      </c>
    </row>
    <row r="16244" ht="22.5" customHeight="1">
      <c r="B16244" s="42" t="str">
        <f>IFERROR(__xludf.DUMMYFUNCTION("""COMPUTED_VALUE"""),"")</f>
        <v/>
      </c>
      <c r="C16244" s="42" t="str">
        <f>IFERROR(__xludf.DUMMYFUNCTION("""COMPUTED_VALUE"""),"")</f>
        <v/>
      </c>
      <c r="D16244" s="42"/>
      <c r="E16244" s="42"/>
      <c r="F16244" s="48" t="str">
        <f>IFERROR(__xludf.DUMMYFUNCTION("""COMPUTED_VALUE"""),"")</f>
        <v/>
      </c>
      <c r="G16244" s="42" t="str">
        <f>IFERROR(__xludf.DUMMYFUNCTION("""COMPUTED_VALUE"""),"")</f>
        <v/>
      </c>
      <c r="H16244" s="42">
        <f t="shared" si="1"/>
        <v>3345</v>
      </c>
    </row>
    <row r="16245" ht="22.5" customHeight="1">
      <c r="B16245" s="42" t="str">
        <f>IFERROR(__xludf.DUMMYFUNCTION("""COMPUTED_VALUE"""),"")</f>
        <v/>
      </c>
      <c r="C16245" s="42" t="str">
        <f>IFERROR(__xludf.DUMMYFUNCTION("""COMPUTED_VALUE"""),"")</f>
        <v/>
      </c>
      <c r="D16245" s="42"/>
      <c r="E16245" s="42"/>
      <c r="F16245" s="48" t="str">
        <f>IFERROR(__xludf.DUMMYFUNCTION("""COMPUTED_VALUE"""),"")</f>
        <v/>
      </c>
      <c r="G16245" s="42" t="str">
        <f>IFERROR(__xludf.DUMMYFUNCTION("""COMPUTED_VALUE"""),"")</f>
        <v/>
      </c>
      <c r="H16245" s="42">
        <f t="shared" si="1"/>
        <v>3345</v>
      </c>
    </row>
    <row r="16246" ht="22.5" customHeight="1">
      <c r="B16246" s="42" t="str">
        <f>IFERROR(__xludf.DUMMYFUNCTION("""COMPUTED_VALUE"""),"")</f>
        <v/>
      </c>
      <c r="C16246" s="42" t="str">
        <f>IFERROR(__xludf.DUMMYFUNCTION("""COMPUTED_VALUE"""),"")</f>
        <v/>
      </c>
      <c r="D16246" s="42"/>
      <c r="E16246" s="42"/>
      <c r="F16246" s="48" t="str">
        <f>IFERROR(__xludf.DUMMYFUNCTION("""COMPUTED_VALUE"""),"")</f>
        <v/>
      </c>
      <c r="G16246" s="42" t="str">
        <f>IFERROR(__xludf.DUMMYFUNCTION("""COMPUTED_VALUE"""),"")</f>
        <v/>
      </c>
      <c r="H16246" s="42">
        <f t="shared" si="1"/>
        <v>3345</v>
      </c>
    </row>
    <row r="16247" ht="22.5" customHeight="1">
      <c r="B16247" s="42" t="str">
        <f>IFERROR(__xludf.DUMMYFUNCTION("""COMPUTED_VALUE"""),"")</f>
        <v/>
      </c>
      <c r="C16247" s="42" t="str">
        <f>IFERROR(__xludf.DUMMYFUNCTION("""COMPUTED_VALUE"""),"")</f>
        <v/>
      </c>
      <c r="D16247" s="42"/>
      <c r="E16247" s="42"/>
      <c r="F16247" s="48" t="str">
        <f>IFERROR(__xludf.DUMMYFUNCTION("""COMPUTED_VALUE"""),"")</f>
        <v/>
      </c>
      <c r="G16247" s="42" t="str">
        <f>IFERROR(__xludf.DUMMYFUNCTION("""COMPUTED_VALUE"""),"")</f>
        <v/>
      </c>
      <c r="H16247" s="42">
        <f t="shared" si="1"/>
        <v>3345</v>
      </c>
    </row>
    <row r="16248" ht="22.5" customHeight="1">
      <c r="B16248" s="42" t="str">
        <f>IFERROR(__xludf.DUMMYFUNCTION("""COMPUTED_VALUE"""),"")</f>
        <v/>
      </c>
      <c r="C16248" s="42" t="str">
        <f>IFERROR(__xludf.DUMMYFUNCTION("""COMPUTED_VALUE"""),"")</f>
        <v/>
      </c>
      <c r="D16248" s="42"/>
      <c r="E16248" s="42"/>
      <c r="F16248" s="48" t="str">
        <f>IFERROR(__xludf.DUMMYFUNCTION("""COMPUTED_VALUE"""),"")</f>
        <v/>
      </c>
      <c r="G16248" s="42" t="str">
        <f>IFERROR(__xludf.DUMMYFUNCTION("""COMPUTED_VALUE"""),"")</f>
        <v/>
      </c>
      <c r="H16248" s="42">
        <f t="shared" si="1"/>
        <v>3345</v>
      </c>
    </row>
    <row r="16249" ht="22.5" customHeight="1">
      <c r="B16249" s="42" t="str">
        <f>IFERROR(__xludf.DUMMYFUNCTION("""COMPUTED_VALUE"""),"")</f>
        <v/>
      </c>
      <c r="C16249" s="42" t="str">
        <f>IFERROR(__xludf.DUMMYFUNCTION("""COMPUTED_VALUE"""),"")</f>
        <v/>
      </c>
      <c r="D16249" s="42"/>
      <c r="E16249" s="42"/>
      <c r="F16249" s="48" t="str">
        <f>IFERROR(__xludf.DUMMYFUNCTION("""COMPUTED_VALUE"""),"")</f>
        <v/>
      </c>
      <c r="G16249" s="42" t="str">
        <f>IFERROR(__xludf.DUMMYFUNCTION("""COMPUTED_VALUE"""),"")</f>
        <v/>
      </c>
      <c r="H16249" s="42">
        <f t="shared" si="1"/>
        <v>3345</v>
      </c>
    </row>
    <row r="16250" ht="22.5" customHeight="1">
      <c r="B16250" s="42" t="str">
        <f>IFERROR(__xludf.DUMMYFUNCTION("""COMPUTED_VALUE"""),"")</f>
        <v/>
      </c>
      <c r="C16250" s="42" t="str">
        <f>IFERROR(__xludf.DUMMYFUNCTION("""COMPUTED_VALUE"""),"")</f>
        <v/>
      </c>
      <c r="D16250" s="42"/>
      <c r="E16250" s="42"/>
      <c r="F16250" s="48" t="str">
        <f>IFERROR(__xludf.DUMMYFUNCTION("""COMPUTED_VALUE"""),"")</f>
        <v/>
      </c>
      <c r="G16250" s="42" t="str">
        <f>IFERROR(__xludf.DUMMYFUNCTION("""COMPUTED_VALUE"""),"")</f>
        <v/>
      </c>
      <c r="H16250" s="42">
        <f t="shared" si="1"/>
        <v>3345</v>
      </c>
    </row>
    <row r="16251" ht="22.5" customHeight="1">
      <c r="B16251" s="42" t="str">
        <f>IFERROR(__xludf.DUMMYFUNCTION("""COMPUTED_VALUE"""),"")</f>
        <v/>
      </c>
      <c r="C16251" s="42" t="str">
        <f>IFERROR(__xludf.DUMMYFUNCTION("""COMPUTED_VALUE"""),"")</f>
        <v/>
      </c>
      <c r="D16251" s="42"/>
      <c r="E16251" s="42"/>
      <c r="F16251" s="48" t="str">
        <f>IFERROR(__xludf.DUMMYFUNCTION("""COMPUTED_VALUE"""),"")</f>
        <v/>
      </c>
      <c r="G16251" s="42" t="str">
        <f>IFERROR(__xludf.DUMMYFUNCTION("""COMPUTED_VALUE"""),"")</f>
        <v/>
      </c>
      <c r="H16251" s="42">
        <f t="shared" si="1"/>
        <v>3345</v>
      </c>
    </row>
    <row r="16252" ht="22.5" customHeight="1">
      <c r="B16252" s="42" t="str">
        <f>IFERROR(__xludf.DUMMYFUNCTION("""COMPUTED_VALUE"""),"")</f>
        <v/>
      </c>
      <c r="C16252" s="42" t="str">
        <f>IFERROR(__xludf.DUMMYFUNCTION("""COMPUTED_VALUE"""),"")</f>
        <v/>
      </c>
      <c r="D16252" s="42"/>
      <c r="E16252" s="42"/>
      <c r="F16252" s="48" t="str">
        <f>IFERROR(__xludf.DUMMYFUNCTION("""COMPUTED_VALUE"""),"")</f>
        <v/>
      </c>
      <c r="G16252" s="42" t="str">
        <f>IFERROR(__xludf.DUMMYFUNCTION("""COMPUTED_VALUE"""),"")</f>
        <v/>
      </c>
      <c r="H16252" s="42">
        <f t="shared" si="1"/>
        <v>3345</v>
      </c>
    </row>
    <row r="16253" ht="22.5" customHeight="1">
      <c r="B16253" s="42" t="str">
        <f>IFERROR(__xludf.DUMMYFUNCTION("""COMPUTED_VALUE"""),"")</f>
        <v/>
      </c>
      <c r="C16253" s="42" t="str">
        <f>IFERROR(__xludf.DUMMYFUNCTION("""COMPUTED_VALUE"""),"")</f>
        <v/>
      </c>
      <c r="D16253" s="42"/>
      <c r="E16253" s="42"/>
      <c r="F16253" s="48" t="str">
        <f>IFERROR(__xludf.DUMMYFUNCTION("""COMPUTED_VALUE"""),"")</f>
        <v/>
      </c>
      <c r="G16253" s="42" t="str">
        <f>IFERROR(__xludf.DUMMYFUNCTION("""COMPUTED_VALUE"""),"")</f>
        <v/>
      </c>
      <c r="H16253" s="42">
        <f t="shared" si="1"/>
        <v>3345</v>
      </c>
    </row>
    <row r="16254" ht="22.5" customHeight="1">
      <c r="B16254" s="42" t="str">
        <f>IFERROR(__xludf.DUMMYFUNCTION("""COMPUTED_VALUE"""),"")</f>
        <v/>
      </c>
      <c r="C16254" s="42" t="str">
        <f>IFERROR(__xludf.DUMMYFUNCTION("""COMPUTED_VALUE"""),"")</f>
        <v/>
      </c>
      <c r="D16254" s="42"/>
      <c r="E16254" s="42"/>
      <c r="F16254" s="48" t="str">
        <f>IFERROR(__xludf.DUMMYFUNCTION("""COMPUTED_VALUE"""),"")</f>
        <v/>
      </c>
      <c r="G16254" s="42" t="str">
        <f>IFERROR(__xludf.DUMMYFUNCTION("""COMPUTED_VALUE"""),"")</f>
        <v/>
      </c>
      <c r="H16254" s="42">
        <f t="shared" si="1"/>
        <v>3345</v>
      </c>
    </row>
    <row r="16255" ht="22.5" customHeight="1">
      <c r="B16255" s="42" t="str">
        <f>IFERROR(__xludf.DUMMYFUNCTION("""COMPUTED_VALUE"""),"")</f>
        <v/>
      </c>
      <c r="C16255" s="42" t="str">
        <f>IFERROR(__xludf.DUMMYFUNCTION("""COMPUTED_VALUE"""),"")</f>
        <v/>
      </c>
      <c r="D16255" s="42"/>
      <c r="E16255" s="42"/>
      <c r="F16255" s="48" t="str">
        <f>IFERROR(__xludf.DUMMYFUNCTION("""COMPUTED_VALUE"""),"")</f>
        <v/>
      </c>
      <c r="G16255" s="42" t="str">
        <f>IFERROR(__xludf.DUMMYFUNCTION("""COMPUTED_VALUE"""),"")</f>
        <v/>
      </c>
      <c r="H16255" s="42">
        <f t="shared" si="1"/>
        <v>3345</v>
      </c>
    </row>
    <row r="16256" ht="22.5" customHeight="1">
      <c r="B16256" s="42" t="str">
        <f>IFERROR(__xludf.DUMMYFUNCTION("""COMPUTED_VALUE"""),"")</f>
        <v/>
      </c>
      <c r="C16256" s="42" t="str">
        <f>IFERROR(__xludf.DUMMYFUNCTION("""COMPUTED_VALUE"""),"")</f>
        <v/>
      </c>
      <c r="D16256" s="42"/>
      <c r="E16256" s="42"/>
      <c r="F16256" s="48" t="str">
        <f>IFERROR(__xludf.DUMMYFUNCTION("""COMPUTED_VALUE"""),"")</f>
        <v/>
      </c>
      <c r="G16256" s="42" t="str">
        <f>IFERROR(__xludf.DUMMYFUNCTION("""COMPUTED_VALUE"""),"")</f>
        <v/>
      </c>
      <c r="H16256" s="42">
        <f t="shared" si="1"/>
        <v>3345</v>
      </c>
    </row>
    <row r="16257" ht="22.5" customHeight="1">
      <c r="B16257" s="42" t="str">
        <f>IFERROR(__xludf.DUMMYFUNCTION("""COMPUTED_VALUE"""),"")</f>
        <v/>
      </c>
      <c r="C16257" s="42" t="str">
        <f>IFERROR(__xludf.DUMMYFUNCTION("""COMPUTED_VALUE"""),"")</f>
        <v/>
      </c>
      <c r="D16257" s="42"/>
      <c r="E16257" s="42"/>
      <c r="F16257" s="48" t="str">
        <f>IFERROR(__xludf.DUMMYFUNCTION("""COMPUTED_VALUE"""),"")</f>
        <v/>
      </c>
      <c r="G16257" s="42" t="str">
        <f>IFERROR(__xludf.DUMMYFUNCTION("""COMPUTED_VALUE"""),"")</f>
        <v/>
      </c>
      <c r="H16257" s="42">
        <f t="shared" si="1"/>
        <v>3345</v>
      </c>
    </row>
    <row r="16258" ht="22.5" customHeight="1">
      <c r="B16258" s="42" t="str">
        <f>IFERROR(__xludf.DUMMYFUNCTION("""COMPUTED_VALUE"""),"")</f>
        <v/>
      </c>
      <c r="C16258" s="42" t="str">
        <f>IFERROR(__xludf.DUMMYFUNCTION("""COMPUTED_VALUE"""),"")</f>
        <v/>
      </c>
      <c r="D16258" s="42"/>
      <c r="E16258" s="42"/>
      <c r="F16258" s="48" t="str">
        <f>IFERROR(__xludf.DUMMYFUNCTION("""COMPUTED_VALUE"""),"")</f>
        <v/>
      </c>
      <c r="G16258" s="42" t="str">
        <f>IFERROR(__xludf.DUMMYFUNCTION("""COMPUTED_VALUE"""),"")</f>
        <v/>
      </c>
      <c r="H16258" s="42">
        <f t="shared" si="1"/>
        <v>3345</v>
      </c>
    </row>
    <row r="16259" ht="22.5" customHeight="1">
      <c r="B16259" s="42" t="str">
        <f>IFERROR(__xludf.DUMMYFUNCTION("""COMPUTED_VALUE"""),"")</f>
        <v/>
      </c>
      <c r="C16259" s="42" t="str">
        <f>IFERROR(__xludf.DUMMYFUNCTION("""COMPUTED_VALUE"""),"")</f>
        <v/>
      </c>
      <c r="D16259" s="42"/>
      <c r="E16259" s="42"/>
      <c r="F16259" s="48" t="str">
        <f>IFERROR(__xludf.DUMMYFUNCTION("""COMPUTED_VALUE"""),"")</f>
        <v/>
      </c>
      <c r="G16259" s="42" t="str">
        <f>IFERROR(__xludf.DUMMYFUNCTION("""COMPUTED_VALUE"""),"")</f>
        <v/>
      </c>
      <c r="H16259" s="42">
        <f t="shared" si="1"/>
        <v>3345</v>
      </c>
    </row>
    <row r="16260" ht="22.5" customHeight="1">
      <c r="B16260" s="42" t="str">
        <f>IFERROR(__xludf.DUMMYFUNCTION("""COMPUTED_VALUE"""),"")</f>
        <v/>
      </c>
      <c r="C16260" s="42" t="str">
        <f>IFERROR(__xludf.DUMMYFUNCTION("""COMPUTED_VALUE"""),"")</f>
        <v/>
      </c>
      <c r="D16260" s="42"/>
      <c r="E16260" s="42"/>
      <c r="F16260" s="48" t="str">
        <f>IFERROR(__xludf.DUMMYFUNCTION("""COMPUTED_VALUE"""),"")</f>
        <v/>
      </c>
      <c r="G16260" s="42" t="str">
        <f>IFERROR(__xludf.DUMMYFUNCTION("""COMPUTED_VALUE"""),"")</f>
        <v/>
      </c>
      <c r="H16260" s="42">
        <f t="shared" si="1"/>
        <v>3345</v>
      </c>
    </row>
    <row r="16261" ht="22.5" customHeight="1">
      <c r="B16261" s="42" t="str">
        <f>IFERROR(__xludf.DUMMYFUNCTION("""COMPUTED_VALUE"""),"")</f>
        <v/>
      </c>
      <c r="C16261" s="42" t="str">
        <f>IFERROR(__xludf.DUMMYFUNCTION("""COMPUTED_VALUE"""),"")</f>
        <v/>
      </c>
      <c r="D16261" s="42"/>
      <c r="E16261" s="42"/>
      <c r="F16261" s="48" t="str">
        <f>IFERROR(__xludf.DUMMYFUNCTION("""COMPUTED_VALUE"""),"")</f>
        <v/>
      </c>
      <c r="G16261" s="42" t="str">
        <f>IFERROR(__xludf.DUMMYFUNCTION("""COMPUTED_VALUE"""),"")</f>
        <v/>
      </c>
      <c r="H16261" s="42">
        <f t="shared" si="1"/>
        <v>3345</v>
      </c>
    </row>
    <row r="16262" ht="22.5" customHeight="1">
      <c r="B16262" s="42" t="str">
        <f>IFERROR(__xludf.DUMMYFUNCTION("""COMPUTED_VALUE"""),"")</f>
        <v/>
      </c>
      <c r="C16262" s="42" t="str">
        <f>IFERROR(__xludf.DUMMYFUNCTION("""COMPUTED_VALUE"""),"")</f>
        <v/>
      </c>
      <c r="D16262" s="42"/>
      <c r="E16262" s="42"/>
      <c r="F16262" s="48" t="str">
        <f>IFERROR(__xludf.DUMMYFUNCTION("""COMPUTED_VALUE"""),"")</f>
        <v/>
      </c>
      <c r="G16262" s="42" t="str">
        <f>IFERROR(__xludf.DUMMYFUNCTION("""COMPUTED_VALUE"""),"")</f>
        <v/>
      </c>
      <c r="H16262" s="42">
        <f t="shared" si="1"/>
        <v>3345</v>
      </c>
    </row>
    <row r="16263" ht="22.5" customHeight="1">
      <c r="B16263" s="42" t="str">
        <f>IFERROR(__xludf.DUMMYFUNCTION("""COMPUTED_VALUE"""),"")</f>
        <v/>
      </c>
      <c r="C16263" s="42" t="str">
        <f>IFERROR(__xludf.DUMMYFUNCTION("""COMPUTED_VALUE"""),"")</f>
        <v/>
      </c>
      <c r="D16263" s="42"/>
      <c r="E16263" s="42"/>
      <c r="F16263" s="48" t="str">
        <f>IFERROR(__xludf.DUMMYFUNCTION("""COMPUTED_VALUE"""),"")</f>
        <v/>
      </c>
      <c r="G16263" s="42" t="str">
        <f>IFERROR(__xludf.DUMMYFUNCTION("""COMPUTED_VALUE"""),"")</f>
        <v/>
      </c>
      <c r="H16263" s="42">
        <f t="shared" si="1"/>
        <v>3345</v>
      </c>
    </row>
    <row r="16264" ht="22.5" customHeight="1">
      <c r="B16264" s="42" t="str">
        <f>IFERROR(__xludf.DUMMYFUNCTION("""COMPUTED_VALUE"""),"")</f>
        <v/>
      </c>
      <c r="C16264" s="42" t="str">
        <f>IFERROR(__xludf.DUMMYFUNCTION("""COMPUTED_VALUE"""),"")</f>
        <v/>
      </c>
      <c r="D16264" s="42"/>
      <c r="E16264" s="42"/>
      <c r="F16264" s="48" t="str">
        <f>IFERROR(__xludf.DUMMYFUNCTION("""COMPUTED_VALUE"""),"")</f>
        <v/>
      </c>
      <c r="G16264" s="42" t="str">
        <f>IFERROR(__xludf.DUMMYFUNCTION("""COMPUTED_VALUE"""),"")</f>
        <v/>
      </c>
      <c r="H16264" s="42">
        <f t="shared" si="1"/>
        <v>3345</v>
      </c>
    </row>
    <row r="16265" ht="22.5" customHeight="1">
      <c r="B16265" s="42" t="str">
        <f>IFERROR(__xludf.DUMMYFUNCTION("""COMPUTED_VALUE"""),"")</f>
        <v/>
      </c>
      <c r="C16265" s="42" t="str">
        <f>IFERROR(__xludf.DUMMYFUNCTION("""COMPUTED_VALUE"""),"")</f>
        <v/>
      </c>
      <c r="D16265" s="42"/>
      <c r="E16265" s="42"/>
      <c r="F16265" s="48" t="str">
        <f>IFERROR(__xludf.DUMMYFUNCTION("""COMPUTED_VALUE"""),"")</f>
        <v/>
      </c>
      <c r="G16265" s="42" t="str">
        <f>IFERROR(__xludf.DUMMYFUNCTION("""COMPUTED_VALUE"""),"")</f>
        <v/>
      </c>
      <c r="H16265" s="42">
        <f t="shared" si="1"/>
        <v>3345</v>
      </c>
    </row>
    <row r="16266" ht="22.5" customHeight="1">
      <c r="B16266" s="42" t="str">
        <f>IFERROR(__xludf.DUMMYFUNCTION("""COMPUTED_VALUE"""),"")</f>
        <v/>
      </c>
      <c r="C16266" s="42" t="str">
        <f>IFERROR(__xludf.DUMMYFUNCTION("""COMPUTED_VALUE"""),"")</f>
        <v/>
      </c>
      <c r="D16266" s="42"/>
      <c r="E16266" s="42"/>
      <c r="F16266" s="48" t="str">
        <f>IFERROR(__xludf.DUMMYFUNCTION("""COMPUTED_VALUE"""),"")</f>
        <v/>
      </c>
      <c r="G16266" s="42" t="str">
        <f>IFERROR(__xludf.DUMMYFUNCTION("""COMPUTED_VALUE"""),"")</f>
        <v/>
      </c>
      <c r="H16266" s="42">
        <f t="shared" si="1"/>
        <v>3345</v>
      </c>
    </row>
    <row r="16267" ht="22.5" customHeight="1">
      <c r="B16267" s="42" t="str">
        <f>IFERROR(__xludf.DUMMYFUNCTION("""COMPUTED_VALUE"""),"")</f>
        <v/>
      </c>
      <c r="C16267" s="42" t="str">
        <f>IFERROR(__xludf.DUMMYFUNCTION("""COMPUTED_VALUE"""),"")</f>
        <v/>
      </c>
      <c r="D16267" s="42"/>
      <c r="E16267" s="42"/>
      <c r="F16267" s="48" t="str">
        <f>IFERROR(__xludf.DUMMYFUNCTION("""COMPUTED_VALUE"""),"")</f>
        <v/>
      </c>
      <c r="G16267" s="42" t="str">
        <f>IFERROR(__xludf.DUMMYFUNCTION("""COMPUTED_VALUE"""),"")</f>
        <v/>
      </c>
      <c r="H16267" s="42">
        <f t="shared" si="1"/>
        <v>3345</v>
      </c>
    </row>
    <row r="16268" ht="22.5" customHeight="1">
      <c r="B16268" s="42" t="str">
        <f>IFERROR(__xludf.DUMMYFUNCTION("""COMPUTED_VALUE"""),"")</f>
        <v/>
      </c>
      <c r="C16268" s="42" t="str">
        <f>IFERROR(__xludf.DUMMYFUNCTION("""COMPUTED_VALUE"""),"")</f>
        <v/>
      </c>
      <c r="D16268" s="42"/>
      <c r="E16268" s="42"/>
      <c r="F16268" s="48" t="str">
        <f>IFERROR(__xludf.DUMMYFUNCTION("""COMPUTED_VALUE"""),"")</f>
        <v/>
      </c>
      <c r="G16268" s="42" t="str">
        <f>IFERROR(__xludf.DUMMYFUNCTION("""COMPUTED_VALUE"""),"")</f>
        <v/>
      </c>
      <c r="H16268" s="42">
        <f t="shared" si="1"/>
        <v>3345</v>
      </c>
    </row>
    <row r="16269" ht="22.5" customHeight="1">
      <c r="B16269" s="42" t="str">
        <f>IFERROR(__xludf.DUMMYFUNCTION("""COMPUTED_VALUE"""),"")</f>
        <v/>
      </c>
      <c r="C16269" s="42" t="str">
        <f>IFERROR(__xludf.DUMMYFUNCTION("""COMPUTED_VALUE"""),"")</f>
        <v/>
      </c>
      <c r="D16269" s="42"/>
      <c r="E16269" s="42"/>
      <c r="F16269" s="48" t="str">
        <f>IFERROR(__xludf.DUMMYFUNCTION("""COMPUTED_VALUE"""),"")</f>
        <v/>
      </c>
      <c r="G16269" s="42" t="str">
        <f>IFERROR(__xludf.DUMMYFUNCTION("""COMPUTED_VALUE"""),"")</f>
        <v/>
      </c>
      <c r="H16269" s="42">
        <f t="shared" si="1"/>
        <v>3345</v>
      </c>
    </row>
    <row r="16270" ht="22.5" customHeight="1">
      <c r="B16270" s="42" t="str">
        <f>IFERROR(__xludf.DUMMYFUNCTION("""COMPUTED_VALUE"""),"")</f>
        <v/>
      </c>
      <c r="C16270" s="42" t="str">
        <f>IFERROR(__xludf.DUMMYFUNCTION("""COMPUTED_VALUE"""),"")</f>
        <v/>
      </c>
      <c r="D16270" s="42"/>
      <c r="E16270" s="42"/>
      <c r="F16270" s="48" t="str">
        <f>IFERROR(__xludf.DUMMYFUNCTION("""COMPUTED_VALUE"""),"")</f>
        <v/>
      </c>
      <c r="G16270" s="42" t="str">
        <f>IFERROR(__xludf.DUMMYFUNCTION("""COMPUTED_VALUE"""),"")</f>
        <v/>
      </c>
      <c r="H16270" s="42">
        <f t="shared" si="1"/>
        <v>3345</v>
      </c>
    </row>
    <row r="16271" ht="22.5" customHeight="1">
      <c r="B16271" s="42" t="str">
        <f>IFERROR(__xludf.DUMMYFUNCTION("""COMPUTED_VALUE"""),"")</f>
        <v/>
      </c>
      <c r="C16271" s="42" t="str">
        <f>IFERROR(__xludf.DUMMYFUNCTION("""COMPUTED_VALUE"""),"")</f>
        <v/>
      </c>
      <c r="D16271" s="42"/>
      <c r="E16271" s="42"/>
      <c r="F16271" s="48" t="str">
        <f>IFERROR(__xludf.DUMMYFUNCTION("""COMPUTED_VALUE"""),"")</f>
        <v/>
      </c>
      <c r="G16271" s="42" t="str">
        <f>IFERROR(__xludf.DUMMYFUNCTION("""COMPUTED_VALUE"""),"")</f>
        <v/>
      </c>
      <c r="H16271" s="42">
        <f t="shared" si="1"/>
        <v>3345</v>
      </c>
    </row>
    <row r="16272" ht="22.5" customHeight="1">
      <c r="B16272" s="42" t="str">
        <f>IFERROR(__xludf.DUMMYFUNCTION("""COMPUTED_VALUE"""),"")</f>
        <v/>
      </c>
      <c r="C16272" s="42" t="str">
        <f>IFERROR(__xludf.DUMMYFUNCTION("""COMPUTED_VALUE"""),"")</f>
        <v/>
      </c>
      <c r="D16272" s="42"/>
      <c r="E16272" s="42"/>
      <c r="F16272" s="48" t="str">
        <f>IFERROR(__xludf.DUMMYFUNCTION("""COMPUTED_VALUE"""),"")</f>
        <v/>
      </c>
      <c r="G16272" s="42" t="str">
        <f>IFERROR(__xludf.DUMMYFUNCTION("""COMPUTED_VALUE"""),"")</f>
        <v/>
      </c>
      <c r="H16272" s="42">
        <f t="shared" si="1"/>
        <v>3345</v>
      </c>
    </row>
    <row r="16273" ht="22.5" customHeight="1">
      <c r="B16273" s="42" t="str">
        <f>IFERROR(__xludf.DUMMYFUNCTION("""COMPUTED_VALUE"""),"")</f>
        <v/>
      </c>
      <c r="C16273" s="42" t="str">
        <f>IFERROR(__xludf.DUMMYFUNCTION("""COMPUTED_VALUE"""),"")</f>
        <v/>
      </c>
      <c r="D16273" s="42"/>
      <c r="E16273" s="42"/>
      <c r="F16273" s="48" t="str">
        <f>IFERROR(__xludf.DUMMYFUNCTION("""COMPUTED_VALUE"""),"")</f>
        <v/>
      </c>
      <c r="G16273" s="42" t="str">
        <f>IFERROR(__xludf.DUMMYFUNCTION("""COMPUTED_VALUE"""),"")</f>
        <v/>
      </c>
      <c r="H16273" s="42">
        <f t="shared" si="1"/>
        <v>3345</v>
      </c>
    </row>
    <row r="16274" ht="22.5" customHeight="1">
      <c r="B16274" s="42" t="str">
        <f>IFERROR(__xludf.DUMMYFUNCTION("""COMPUTED_VALUE"""),"")</f>
        <v/>
      </c>
      <c r="C16274" s="42" t="str">
        <f>IFERROR(__xludf.DUMMYFUNCTION("""COMPUTED_VALUE"""),"")</f>
        <v/>
      </c>
      <c r="D16274" s="42"/>
      <c r="E16274" s="42"/>
      <c r="F16274" s="48" t="str">
        <f>IFERROR(__xludf.DUMMYFUNCTION("""COMPUTED_VALUE"""),"")</f>
        <v/>
      </c>
      <c r="G16274" s="42" t="str">
        <f>IFERROR(__xludf.DUMMYFUNCTION("""COMPUTED_VALUE"""),"")</f>
        <v/>
      </c>
      <c r="H16274" s="42">
        <f t="shared" si="1"/>
        <v>3345</v>
      </c>
    </row>
    <row r="16275" ht="22.5" customHeight="1">
      <c r="B16275" s="42" t="str">
        <f>IFERROR(__xludf.DUMMYFUNCTION("""COMPUTED_VALUE"""),"")</f>
        <v/>
      </c>
      <c r="C16275" s="42" t="str">
        <f>IFERROR(__xludf.DUMMYFUNCTION("""COMPUTED_VALUE"""),"")</f>
        <v/>
      </c>
      <c r="D16275" s="42"/>
      <c r="E16275" s="42"/>
      <c r="F16275" s="48" t="str">
        <f>IFERROR(__xludf.DUMMYFUNCTION("""COMPUTED_VALUE"""),"")</f>
        <v/>
      </c>
      <c r="G16275" s="42" t="str">
        <f>IFERROR(__xludf.DUMMYFUNCTION("""COMPUTED_VALUE"""),"")</f>
        <v/>
      </c>
      <c r="H16275" s="42">
        <f t="shared" si="1"/>
        <v>3345</v>
      </c>
    </row>
    <row r="16276" ht="22.5" customHeight="1">
      <c r="B16276" s="42" t="str">
        <f>IFERROR(__xludf.DUMMYFUNCTION("""COMPUTED_VALUE"""),"")</f>
        <v/>
      </c>
      <c r="C16276" s="42" t="str">
        <f>IFERROR(__xludf.DUMMYFUNCTION("""COMPUTED_VALUE"""),"")</f>
        <v/>
      </c>
      <c r="D16276" s="42"/>
      <c r="E16276" s="42"/>
      <c r="F16276" s="48" t="str">
        <f>IFERROR(__xludf.DUMMYFUNCTION("""COMPUTED_VALUE"""),"")</f>
        <v/>
      </c>
      <c r="G16276" s="42" t="str">
        <f>IFERROR(__xludf.DUMMYFUNCTION("""COMPUTED_VALUE"""),"")</f>
        <v/>
      </c>
      <c r="H16276" s="42">
        <f t="shared" si="1"/>
        <v>3345</v>
      </c>
    </row>
    <row r="16277" ht="22.5" customHeight="1">
      <c r="B16277" s="42" t="str">
        <f>IFERROR(__xludf.DUMMYFUNCTION("""COMPUTED_VALUE"""),"")</f>
        <v/>
      </c>
      <c r="C16277" s="42" t="str">
        <f>IFERROR(__xludf.DUMMYFUNCTION("""COMPUTED_VALUE"""),"")</f>
        <v/>
      </c>
      <c r="D16277" s="42"/>
      <c r="E16277" s="42"/>
      <c r="F16277" s="48" t="str">
        <f>IFERROR(__xludf.DUMMYFUNCTION("""COMPUTED_VALUE"""),"")</f>
        <v/>
      </c>
      <c r="G16277" s="42" t="str">
        <f>IFERROR(__xludf.DUMMYFUNCTION("""COMPUTED_VALUE"""),"")</f>
        <v/>
      </c>
      <c r="H16277" s="42">
        <f t="shared" si="1"/>
        <v>3345</v>
      </c>
    </row>
    <row r="16278" ht="22.5" customHeight="1">
      <c r="B16278" s="42" t="str">
        <f>IFERROR(__xludf.DUMMYFUNCTION("""COMPUTED_VALUE"""),"")</f>
        <v/>
      </c>
      <c r="C16278" s="42" t="str">
        <f>IFERROR(__xludf.DUMMYFUNCTION("""COMPUTED_VALUE"""),"")</f>
        <v/>
      </c>
      <c r="D16278" s="42"/>
      <c r="E16278" s="42"/>
      <c r="F16278" s="48" t="str">
        <f>IFERROR(__xludf.DUMMYFUNCTION("""COMPUTED_VALUE"""),"")</f>
        <v/>
      </c>
      <c r="G16278" s="42" t="str">
        <f>IFERROR(__xludf.DUMMYFUNCTION("""COMPUTED_VALUE"""),"")</f>
        <v/>
      </c>
      <c r="H16278" s="42">
        <f t="shared" si="1"/>
        <v>3345</v>
      </c>
    </row>
    <row r="16279" ht="22.5" customHeight="1">
      <c r="B16279" s="42" t="str">
        <f>IFERROR(__xludf.DUMMYFUNCTION("""COMPUTED_VALUE"""),"")</f>
        <v/>
      </c>
      <c r="C16279" s="42" t="str">
        <f>IFERROR(__xludf.DUMMYFUNCTION("""COMPUTED_VALUE"""),"")</f>
        <v/>
      </c>
      <c r="D16279" s="42"/>
      <c r="E16279" s="42"/>
      <c r="F16279" s="48" t="str">
        <f>IFERROR(__xludf.DUMMYFUNCTION("""COMPUTED_VALUE"""),"")</f>
        <v/>
      </c>
      <c r="G16279" s="42" t="str">
        <f>IFERROR(__xludf.DUMMYFUNCTION("""COMPUTED_VALUE"""),"")</f>
        <v/>
      </c>
      <c r="H16279" s="42">
        <f t="shared" si="1"/>
        <v>3345</v>
      </c>
    </row>
    <row r="16280" ht="22.5" customHeight="1">
      <c r="B16280" s="42" t="str">
        <f>IFERROR(__xludf.DUMMYFUNCTION("""COMPUTED_VALUE"""),"")</f>
        <v/>
      </c>
      <c r="C16280" s="42" t="str">
        <f>IFERROR(__xludf.DUMMYFUNCTION("""COMPUTED_VALUE"""),"")</f>
        <v/>
      </c>
      <c r="D16280" s="42"/>
      <c r="E16280" s="42"/>
      <c r="F16280" s="48" t="str">
        <f>IFERROR(__xludf.DUMMYFUNCTION("""COMPUTED_VALUE"""),"")</f>
        <v/>
      </c>
      <c r="G16280" s="42" t="str">
        <f>IFERROR(__xludf.DUMMYFUNCTION("""COMPUTED_VALUE"""),"")</f>
        <v/>
      </c>
      <c r="H16280" s="42">
        <f t="shared" si="1"/>
        <v>3345</v>
      </c>
    </row>
    <row r="16281" ht="22.5" customHeight="1">
      <c r="B16281" s="42" t="str">
        <f>IFERROR(__xludf.DUMMYFUNCTION("""COMPUTED_VALUE"""),"")</f>
        <v/>
      </c>
      <c r="C16281" s="42" t="str">
        <f>IFERROR(__xludf.DUMMYFUNCTION("""COMPUTED_VALUE"""),"")</f>
        <v/>
      </c>
      <c r="D16281" s="42"/>
      <c r="E16281" s="42"/>
      <c r="F16281" s="48" t="str">
        <f>IFERROR(__xludf.DUMMYFUNCTION("""COMPUTED_VALUE"""),"")</f>
        <v/>
      </c>
      <c r="G16281" s="42" t="str">
        <f>IFERROR(__xludf.DUMMYFUNCTION("""COMPUTED_VALUE"""),"")</f>
        <v/>
      </c>
      <c r="H16281" s="42">
        <f t="shared" si="1"/>
        <v>3345</v>
      </c>
    </row>
    <row r="16282" ht="22.5" customHeight="1">
      <c r="B16282" s="42" t="str">
        <f>IFERROR(__xludf.DUMMYFUNCTION("""COMPUTED_VALUE"""),"")</f>
        <v/>
      </c>
      <c r="C16282" s="42" t="str">
        <f>IFERROR(__xludf.DUMMYFUNCTION("""COMPUTED_VALUE"""),"")</f>
        <v/>
      </c>
      <c r="D16282" s="42"/>
      <c r="E16282" s="42"/>
      <c r="F16282" s="48" t="str">
        <f>IFERROR(__xludf.DUMMYFUNCTION("""COMPUTED_VALUE"""),"")</f>
        <v/>
      </c>
      <c r="G16282" s="42" t="str">
        <f>IFERROR(__xludf.DUMMYFUNCTION("""COMPUTED_VALUE"""),"")</f>
        <v/>
      </c>
      <c r="H16282" s="42">
        <f t="shared" si="1"/>
        <v>3345</v>
      </c>
    </row>
    <row r="16283" ht="22.5" customHeight="1">
      <c r="B16283" s="42" t="str">
        <f>IFERROR(__xludf.DUMMYFUNCTION("""COMPUTED_VALUE"""),"")</f>
        <v/>
      </c>
      <c r="C16283" s="42" t="str">
        <f>IFERROR(__xludf.DUMMYFUNCTION("""COMPUTED_VALUE"""),"")</f>
        <v/>
      </c>
      <c r="D16283" s="42"/>
      <c r="E16283" s="42"/>
      <c r="F16283" s="48" t="str">
        <f>IFERROR(__xludf.DUMMYFUNCTION("""COMPUTED_VALUE"""),"")</f>
        <v/>
      </c>
      <c r="G16283" s="42" t="str">
        <f>IFERROR(__xludf.DUMMYFUNCTION("""COMPUTED_VALUE"""),"")</f>
        <v/>
      </c>
      <c r="H16283" s="42">
        <f t="shared" si="1"/>
        <v>3345</v>
      </c>
    </row>
    <row r="16284" ht="22.5" customHeight="1">
      <c r="B16284" s="42" t="str">
        <f>IFERROR(__xludf.DUMMYFUNCTION("""COMPUTED_VALUE"""),"")</f>
        <v/>
      </c>
      <c r="C16284" s="42" t="str">
        <f>IFERROR(__xludf.DUMMYFUNCTION("""COMPUTED_VALUE"""),"")</f>
        <v/>
      </c>
      <c r="D16284" s="42"/>
      <c r="E16284" s="42"/>
      <c r="F16284" s="48" t="str">
        <f>IFERROR(__xludf.DUMMYFUNCTION("""COMPUTED_VALUE"""),"")</f>
        <v/>
      </c>
      <c r="G16284" s="42" t="str">
        <f>IFERROR(__xludf.DUMMYFUNCTION("""COMPUTED_VALUE"""),"")</f>
        <v/>
      </c>
      <c r="H16284" s="42">
        <f t="shared" si="1"/>
        <v>3345</v>
      </c>
    </row>
    <row r="16285" ht="22.5" customHeight="1">
      <c r="B16285" s="42" t="str">
        <f>IFERROR(__xludf.DUMMYFUNCTION("""COMPUTED_VALUE"""),"")</f>
        <v/>
      </c>
      <c r="C16285" s="42" t="str">
        <f>IFERROR(__xludf.DUMMYFUNCTION("""COMPUTED_VALUE"""),"")</f>
        <v/>
      </c>
      <c r="D16285" s="42"/>
      <c r="E16285" s="42"/>
      <c r="F16285" s="48" t="str">
        <f>IFERROR(__xludf.DUMMYFUNCTION("""COMPUTED_VALUE"""),"")</f>
        <v/>
      </c>
      <c r="G16285" s="42" t="str">
        <f>IFERROR(__xludf.DUMMYFUNCTION("""COMPUTED_VALUE"""),"")</f>
        <v/>
      </c>
      <c r="H16285" s="42">
        <f t="shared" si="1"/>
        <v>3345</v>
      </c>
    </row>
    <row r="16286" ht="22.5" customHeight="1">
      <c r="B16286" s="42" t="str">
        <f>IFERROR(__xludf.DUMMYFUNCTION("""COMPUTED_VALUE"""),"")</f>
        <v/>
      </c>
      <c r="C16286" s="42" t="str">
        <f>IFERROR(__xludf.DUMMYFUNCTION("""COMPUTED_VALUE"""),"")</f>
        <v/>
      </c>
      <c r="D16286" s="42"/>
      <c r="E16286" s="42"/>
      <c r="F16286" s="48" t="str">
        <f>IFERROR(__xludf.DUMMYFUNCTION("""COMPUTED_VALUE"""),"")</f>
        <v/>
      </c>
      <c r="G16286" s="42" t="str">
        <f>IFERROR(__xludf.DUMMYFUNCTION("""COMPUTED_VALUE"""),"")</f>
        <v/>
      </c>
      <c r="H16286" s="42">
        <f t="shared" si="1"/>
        <v>3345</v>
      </c>
    </row>
    <row r="16287" ht="22.5" customHeight="1">
      <c r="B16287" s="42" t="str">
        <f>IFERROR(__xludf.DUMMYFUNCTION("""COMPUTED_VALUE"""),"")</f>
        <v/>
      </c>
      <c r="C16287" s="42" t="str">
        <f>IFERROR(__xludf.DUMMYFUNCTION("""COMPUTED_VALUE"""),"")</f>
        <v/>
      </c>
      <c r="D16287" s="42"/>
      <c r="E16287" s="42"/>
      <c r="F16287" s="48" t="str">
        <f>IFERROR(__xludf.DUMMYFUNCTION("""COMPUTED_VALUE"""),"")</f>
        <v/>
      </c>
      <c r="G16287" s="42" t="str">
        <f>IFERROR(__xludf.DUMMYFUNCTION("""COMPUTED_VALUE"""),"")</f>
        <v/>
      </c>
      <c r="H16287" s="42">
        <f t="shared" si="1"/>
        <v>3345</v>
      </c>
    </row>
    <row r="16288" ht="22.5" customHeight="1">
      <c r="B16288" s="42" t="str">
        <f>IFERROR(__xludf.DUMMYFUNCTION("""COMPUTED_VALUE"""),"")</f>
        <v/>
      </c>
      <c r="C16288" s="42" t="str">
        <f>IFERROR(__xludf.DUMMYFUNCTION("""COMPUTED_VALUE"""),"")</f>
        <v/>
      </c>
      <c r="D16288" s="42"/>
      <c r="E16288" s="42"/>
      <c r="F16288" s="48" t="str">
        <f>IFERROR(__xludf.DUMMYFUNCTION("""COMPUTED_VALUE"""),"")</f>
        <v/>
      </c>
      <c r="G16288" s="42" t="str">
        <f>IFERROR(__xludf.DUMMYFUNCTION("""COMPUTED_VALUE"""),"")</f>
        <v/>
      </c>
      <c r="H16288" s="42">
        <f t="shared" si="1"/>
        <v>3345</v>
      </c>
    </row>
    <row r="16289" ht="22.5" customHeight="1">
      <c r="B16289" s="42" t="str">
        <f>IFERROR(__xludf.DUMMYFUNCTION("""COMPUTED_VALUE"""),"")</f>
        <v/>
      </c>
      <c r="C16289" s="42" t="str">
        <f>IFERROR(__xludf.DUMMYFUNCTION("""COMPUTED_VALUE"""),"")</f>
        <v/>
      </c>
      <c r="D16289" s="42"/>
      <c r="E16289" s="42"/>
      <c r="F16289" s="48" t="str">
        <f>IFERROR(__xludf.DUMMYFUNCTION("""COMPUTED_VALUE"""),"")</f>
        <v/>
      </c>
      <c r="G16289" s="42" t="str">
        <f>IFERROR(__xludf.DUMMYFUNCTION("""COMPUTED_VALUE"""),"")</f>
        <v/>
      </c>
      <c r="H16289" s="42">
        <f t="shared" si="1"/>
        <v>3345</v>
      </c>
    </row>
    <row r="16290" ht="22.5" customHeight="1">
      <c r="B16290" s="42" t="str">
        <f>IFERROR(__xludf.DUMMYFUNCTION("""COMPUTED_VALUE"""),"")</f>
        <v/>
      </c>
      <c r="C16290" s="42" t="str">
        <f>IFERROR(__xludf.DUMMYFUNCTION("""COMPUTED_VALUE"""),"")</f>
        <v/>
      </c>
      <c r="D16290" s="42"/>
      <c r="E16290" s="42"/>
      <c r="F16290" s="48" t="str">
        <f>IFERROR(__xludf.DUMMYFUNCTION("""COMPUTED_VALUE"""),"")</f>
        <v/>
      </c>
      <c r="G16290" s="42" t="str">
        <f>IFERROR(__xludf.DUMMYFUNCTION("""COMPUTED_VALUE"""),"")</f>
        <v/>
      </c>
      <c r="H16290" s="42">
        <f t="shared" si="1"/>
        <v>3345</v>
      </c>
    </row>
    <row r="16291" ht="22.5" customHeight="1">
      <c r="B16291" s="42" t="str">
        <f>IFERROR(__xludf.DUMMYFUNCTION("""COMPUTED_VALUE"""),"")</f>
        <v/>
      </c>
      <c r="C16291" s="42" t="str">
        <f>IFERROR(__xludf.DUMMYFUNCTION("""COMPUTED_VALUE"""),"")</f>
        <v/>
      </c>
      <c r="D16291" s="42"/>
      <c r="E16291" s="42"/>
      <c r="F16291" s="48" t="str">
        <f>IFERROR(__xludf.DUMMYFUNCTION("""COMPUTED_VALUE"""),"")</f>
        <v/>
      </c>
      <c r="G16291" s="42" t="str">
        <f>IFERROR(__xludf.DUMMYFUNCTION("""COMPUTED_VALUE"""),"")</f>
        <v/>
      </c>
      <c r="H16291" s="42">
        <f t="shared" si="1"/>
        <v>3345</v>
      </c>
    </row>
    <row r="16292" ht="22.5" customHeight="1">
      <c r="B16292" s="42" t="str">
        <f>IFERROR(__xludf.DUMMYFUNCTION("""COMPUTED_VALUE"""),"")</f>
        <v/>
      </c>
      <c r="C16292" s="42" t="str">
        <f>IFERROR(__xludf.DUMMYFUNCTION("""COMPUTED_VALUE"""),"")</f>
        <v/>
      </c>
      <c r="D16292" s="42"/>
      <c r="E16292" s="42"/>
      <c r="F16292" s="48" t="str">
        <f>IFERROR(__xludf.DUMMYFUNCTION("""COMPUTED_VALUE"""),"")</f>
        <v/>
      </c>
      <c r="G16292" s="42" t="str">
        <f>IFERROR(__xludf.DUMMYFUNCTION("""COMPUTED_VALUE"""),"")</f>
        <v/>
      </c>
      <c r="H16292" s="42">
        <f t="shared" si="1"/>
        <v>3345</v>
      </c>
    </row>
    <row r="16293" ht="22.5" customHeight="1">
      <c r="B16293" s="42" t="str">
        <f>IFERROR(__xludf.DUMMYFUNCTION("""COMPUTED_VALUE"""),"")</f>
        <v/>
      </c>
      <c r="C16293" s="42" t="str">
        <f>IFERROR(__xludf.DUMMYFUNCTION("""COMPUTED_VALUE"""),"")</f>
        <v/>
      </c>
      <c r="D16293" s="42"/>
      <c r="E16293" s="42"/>
      <c r="F16293" s="48" t="str">
        <f>IFERROR(__xludf.DUMMYFUNCTION("""COMPUTED_VALUE"""),"")</f>
        <v/>
      </c>
      <c r="G16293" s="42" t="str">
        <f>IFERROR(__xludf.DUMMYFUNCTION("""COMPUTED_VALUE"""),"")</f>
        <v/>
      </c>
      <c r="H16293" s="42">
        <f t="shared" si="1"/>
        <v>3345</v>
      </c>
    </row>
    <row r="16294" ht="22.5" customHeight="1">
      <c r="B16294" s="42" t="str">
        <f>IFERROR(__xludf.DUMMYFUNCTION("""COMPUTED_VALUE"""),"")</f>
        <v/>
      </c>
      <c r="C16294" s="42" t="str">
        <f>IFERROR(__xludf.DUMMYFUNCTION("""COMPUTED_VALUE"""),"")</f>
        <v/>
      </c>
      <c r="D16294" s="42"/>
      <c r="E16294" s="42"/>
      <c r="F16294" s="48" t="str">
        <f>IFERROR(__xludf.DUMMYFUNCTION("""COMPUTED_VALUE"""),"")</f>
        <v/>
      </c>
      <c r="G16294" s="42" t="str">
        <f>IFERROR(__xludf.DUMMYFUNCTION("""COMPUTED_VALUE"""),"")</f>
        <v/>
      </c>
      <c r="H16294" s="42">
        <f t="shared" si="1"/>
        <v>3345</v>
      </c>
    </row>
    <row r="16295" ht="22.5" customHeight="1">
      <c r="B16295" s="42" t="str">
        <f>IFERROR(__xludf.DUMMYFUNCTION("""COMPUTED_VALUE"""),"")</f>
        <v/>
      </c>
      <c r="C16295" s="42" t="str">
        <f>IFERROR(__xludf.DUMMYFUNCTION("""COMPUTED_VALUE"""),"")</f>
        <v/>
      </c>
      <c r="D16295" s="42"/>
      <c r="E16295" s="42"/>
      <c r="F16295" s="48" t="str">
        <f>IFERROR(__xludf.DUMMYFUNCTION("""COMPUTED_VALUE"""),"")</f>
        <v/>
      </c>
      <c r="G16295" s="42" t="str">
        <f>IFERROR(__xludf.DUMMYFUNCTION("""COMPUTED_VALUE"""),"")</f>
        <v/>
      </c>
      <c r="H16295" s="42">
        <f t="shared" si="1"/>
        <v>3345</v>
      </c>
    </row>
    <row r="16296" ht="22.5" customHeight="1">
      <c r="B16296" s="42" t="str">
        <f>IFERROR(__xludf.DUMMYFUNCTION("""COMPUTED_VALUE"""),"")</f>
        <v/>
      </c>
      <c r="C16296" s="42" t="str">
        <f>IFERROR(__xludf.DUMMYFUNCTION("""COMPUTED_VALUE"""),"")</f>
        <v/>
      </c>
      <c r="D16296" s="42"/>
      <c r="E16296" s="42"/>
      <c r="F16296" s="48" t="str">
        <f>IFERROR(__xludf.DUMMYFUNCTION("""COMPUTED_VALUE"""),"")</f>
        <v/>
      </c>
      <c r="G16296" s="42" t="str">
        <f>IFERROR(__xludf.DUMMYFUNCTION("""COMPUTED_VALUE"""),"")</f>
        <v/>
      </c>
      <c r="H16296" s="42">
        <f t="shared" si="1"/>
        <v>3345</v>
      </c>
    </row>
    <row r="16297" ht="22.5" customHeight="1">
      <c r="B16297" s="42" t="str">
        <f>IFERROR(__xludf.DUMMYFUNCTION("""COMPUTED_VALUE"""),"")</f>
        <v/>
      </c>
      <c r="C16297" s="42" t="str">
        <f>IFERROR(__xludf.DUMMYFUNCTION("""COMPUTED_VALUE"""),"")</f>
        <v/>
      </c>
      <c r="D16297" s="42"/>
      <c r="E16297" s="42"/>
      <c r="F16297" s="48" t="str">
        <f>IFERROR(__xludf.DUMMYFUNCTION("""COMPUTED_VALUE"""),"")</f>
        <v/>
      </c>
      <c r="G16297" s="42" t="str">
        <f>IFERROR(__xludf.DUMMYFUNCTION("""COMPUTED_VALUE"""),"")</f>
        <v/>
      </c>
      <c r="H16297" s="42">
        <f t="shared" si="1"/>
        <v>3345</v>
      </c>
    </row>
    <row r="16298" ht="22.5" customHeight="1">
      <c r="B16298" s="42" t="str">
        <f>IFERROR(__xludf.DUMMYFUNCTION("""COMPUTED_VALUE"""),"")</f>
        <v/>
      </c>
      <c r="C16298" s="42" t="str">
        <f>IFERROR(__xludf.DUMMYFUNCTION("""COMPUTED_VALUE"""),"")</f>
        <v/>
      </c>
      <c r="D16298" s="42"/>
      <c r="E16298" s="42"/>
      <c r="F16298" s="48" t="str">
        <f>IFERROR(__xludf.DUMMYFUNCTION("""COMPUTED_VALUE"""),"")</f>
        <v/>
      </c>
      <c r="G16298" s="42" t="str">
        <f>IFERROR(__xludf.DUMMYFUNCTION("""COMPUTED_VALUE"""),"")</f>
        <v/>
      </c>
      <c r="H16298" s="42">
        <f t="shared" si="1"/>
        <v>3345</v>
      </c>
    </row>
    <row r="16299" ht="22.5" customHeight="1">
      <c r="B16299" s="42" t="str">
        <f>IFERROR(__xludf.DUMMYFUNCTION("""COMPUTED_VALUE"""),"")</f>
        <v/>
      </c>
      <c r="C16299" s="42" t="str">
        <f>IFERROR(__xludf.DUMMYFUNCTION("""COMPUTED_VALUE"""),"")</f>
        <v/>
      </c>
      <c r="D16299" s="42"/>
      <c r="E16299" s="42"/>
      <c r="F16299" s="48" t="str">
        <f>IFERROR(__xludf.DUMMYFUNCTION("""COMPUTED_VALUE"""),"")</f>
        <v/>
      </c>
      <c r="G16299" s="42" t="str">
        <f>IFERROR(__xludf.DUMMYFUNCTION("""COMPUTED_VALUE"""),"")</f>
        <v/>
      </c>
      <c r="H16299" s="42">
        <f t="shared" si="1"/>
        <v>3345</v>
      </c>
    </row>
    <row r="16300" ht="22.5" customHeight="1">
      <c r="B16300" s="42" t="str">
        <f>IFERROR(__xludf.DUMMYFUNCTION("""COMPUTED_VALUE"""),"")</f>
        <v/>
      </c>
      <c r="C16300" s="42" t="str">
        <f>IFERROR(__xludf.DUMMYFUNCTION("""COMPUTED_VALUE"""),"")</f>
        <v/>
      </c>
      <c r="D16300" s="42"/>
      <c r="E16300" s="42"/>
      <c r="F16300" s="48" t="str">
        <f>IFERROR(__xludf.DUMMYFUNCTION("""COMPUTED_VALUE"""),"")</f>
        <v/>
      </c>
      <c r="G16300" s="42" t="str">
        <f>IFERROR(__xludf.DUMMYFUNCTION("""COMPUTED_VALUE"""),"")</f>
        <v/>
      </c>
      <c r="H16300" s="42">
        <f t="shared" si="1"/>
        <v>3345</v>
      </c>
    </row>
    <row r="16301" ht="22.5" customHeight="1">
      <c r="B16301" s="42" t="str">
        <f>IFERROR(__xludf.DUMMYFUNCTION("""COMPUTED_VALUE"""),"")</f>
        <v/>
      </c>
      <c r="C16301" s="42" t="str">
        <f>IFERROR(__xludf.DUMMYFUNCTION("""COMPUTED_VALUE"""),"")</f>
        <v/>
      </c>
      <c r="D16301" s="42"/>
      <c r="E16301" s="42"/>
      <c r="F16301" s="48" t="str">
        <f>IFERROR(__xludf.DUMMYFUNCTION("""COMPUTED_VALUE"""),"")</f>
        <v/>
      </c>
      <c r="G16301" s="42" t="str">
        <f>IFERROR(__xludf.DUMMYFUNCTION("""COMPUTED_VALUE"""),"")</f>
        <v/>
      </c>
      <c r="H16301" s="42">
        <f t="shared" si="1"/>
        <v>3345</v>
      </c>
    </row>
    <row r="16302" ht="22.5" customHeight="1">
      <c r="B16302" s="42" t="str">
        <f>IFERROR(__xludf.DUMMYFUNCTION("""COMPUTED_VALUE"""),"")</f>
        <v/>
      </c>
      <c r="C16302" s="42" t="str">
        <f>IFERROR(__xludf.DUMMYFUNCTION("""COMPUTED_VALUE"""),"")</f>
        <v/>
      </c>
      <c r="D16302" s="42"/>
      <c r="E16302" s="42"/>
      <c r="F16302" s="48" t="str">
        <f>IFERROR(__xludf.DUMMYFUNCTION("""COMPUTED_VALUE"""),"")</f>
        <v/>
      </c>
      <c r="G16302" s="42" t="str">
        <f>IFERROR(__xludf.DUMMYFUNCTION("""COMPUTED_VALUE"""),"")</f>
        <v/>
      </c>
      <c r="H16302" s="42">
        <f t="shared" si="1"/>
        <v>3345</v>
      </c>
    </row>
    <row r="16303" ht="22.5" customHeight="1">
      <c r="B16303" s="42" t="str">
        <f>IFERROR(__xludf.DUMMYFUNCTION("""COMPUTED_VALUE"""),"")</f>
        <v/>
      </c>
      <c r="C16303" s="42" t="str">
        <f>IFERROR(__xludf.DUMMYFUNCTION("""COMPUTED_VALUE"""),"")</f>
        <v/>
      </c>
      <c r="D16303" s="42"/>
      <c r="E16303" s="42"/>
      <c r="F16303" s="48" t="str">
        <f>IFERROR(__xludf.DUMMYFUNCTION("""COMPUTED_VALUE"""),"")</f>
        <v/>
      </c>
      <c r="G16303" s="42" t="str">
        <f>IFERROR(__xludf.DUMMYFUNCTION("""COMPUTED_VALUE"""),"")</f>
        <v/>
      </c>
      <c r="H16303" s="42">
        <f t="shared" si="1"/>
        <v>3345</v>
      </c>
    </row>
    <row r="16304" ht="22.5" customHeight="1">
      <c r="B16304" s="42" t="str">
        <f>IFERROR(__xludf.DUMMYFUNCTION("""COMPUTED_VALUE"""),"")</f>
        <v/>
      </c>
      <c r="C16304" s="42" t="str">
        <f>IFERROR(__xludf.DUMMYFUNCTION("""COMPUTED_VALUE"""),"")</f>
        <v/>
      </c>
      <c r="D16304" s="42"/>
      <c r="E16304" s="42"/>
      <c r="F16304" s="48" t="str">
        <f>IFERROR(__xludf.DUMMYFUNCTION("""COMPUTED_VALUE"""),"")</f>
        <v/>
      </c>
      <c r="G16304" s="42" t="str">
        <f>IFERROR(__xludf.DUMMYFUNCTION("""COMPUTED_VALUE"""),"")</f>
        <v/>
      </c>
      <c r="H16304" s="42">
        <f t="shared" si="1"/>
        <v>3345</v>
      </c>
    </row>
    <row r="16305" ht="22.5" customHeight="1">
      <c r="B16305" s="42" t="str">
        <f>IFERROR(__xludf.DUMMYFUNCTION("""COMPUTED_VALUE"""),"")</f>
        <v/>
      </c>
      <c r="C16305" s="42" t="str">
        <f>IFERROR(__xludf.DUMMYFUNCTION("""COMPUTED_VALUE"""),"")</f>
        <v/>
      </c>
      <c r="D16305" s="42"/>
      <c r="E16305" s="42"/>
      <c r="F16305" s="48" t="str">
        <f>IFERROR(__xludf.DUMMYFUNCTION("""COMPUTED_VALUE"""),"")</f>
        <v/>
      </c>
      <c r="G16305" s="42" t="str">
        <f>IFERROR(__xludf.DUMMYFUNCTION("""COMPUTED_VALUE"""),"")</f>
        <v/>
      </c>
      <c r="H16305" s="42">
        <f t="shared" si="1"/>
        <v>3345</v>
      </c>
    </row>
    <row r="16306" ht="22.5" customHeight="1">
      <c r="B16306" s="42" t="str">
        <f>IFERROR(__xludf.DUMMYFUNCTION("""COMPUTED_VALUE"""),"")</f>
        <v/>
      </c>
      <c r="C16306" s="42" t="str">
        <f>IFERROR(__xludf.DUMMYFUNCTION("""COMPUTED_VALUE"""),"")</f>
        <v/>
      </c>
      <c r="D16306" s="42"/>
      <c r="E16306" s="42"/>
      <c r="F16306" s="48" t="str">
        <f>IFERROR(__xludf.DUMMYFUNCTION("""COMPUTED_VALUE"""),"")</f>
        <v/>
      </c>
      <c r="G16306" s="42" t="str">
        <f>IFERROR(__xludf.DUMMYFUNCTION("""COMPUTED_VALUE"""),"")</f>
        <v/>
      </c>
      <c r="H16306" s="42">
        <f t="shared" si="1"/>
        <v>3345</v>
      </c>
    </row>
    <row r="16307" ht="22.5" customHeight="1">
      <c r="B16307" s="42" t="str">
        <f>IFERROR(__xludf.DUMMYFUNCTION("""COMPUTED_VALUE"""),"")</f>
        <v/>
      </c>
      <c r="C16307" s="42" t="str">
        <f>IFERROR(__xludf.DUMMYFUNCTION("""COMPUTED_VALUE"""),"")</f>
        <v/>
      </c>
      <c r="D16307" s="42"/>
      <c r="E16307" s="42"/>
      <c r="F16307" s="48" t="str">
        <f>IFERROR(__xludf.DUMMYFUNCTION("""COMPUTED_VALUE"""),"")</f>
        <v/>
      </c>
      <c r="G16307" s="42" t="str">
        <f>IFERROR(__xludf.DUMMYFUNCTION("""COMPUTED_VALUE"""),"")</f>
        <v/>
      </c>
      <c r="H16307" s="42">
        <f t="shared" si="1"/>
        <v>3345</v>
      </c>
    </row>
    <row r="16308" ht="22.5" customHeight="1">
      <c r="B16308" s="42" t="str">
        <f>IFERROR(__xludf.DUMMYFUNCTION("""COMPUTED_VALUE"""),"")</f>
        <v/>
      </c>
      <c r="C16308" s="42" t="str">
        <f>IFERROR(__xludf.DUMMYFUNCTION("""COMPUTED_VALUE"""),"")</f>
        <v/>
      </c>
      <c r="D16308" s="42"/>
      <c r="E16308" s="42"/>
      <c r="F16308" s="48" t="str">
        <f>IFERROR(__xludf.DUMMYFUNCTION("""COMPUTED_VALUE"""),"")</f>
        <v/>
      </c>
      <c r="G16308" s="42" t="str">
        <f>IFERROR(__xludf.DUMMYFUNCTION("""COMPUTED_VALUE"""),"")</f>
        <v/>
      </c>
      <c r="H16308" s="42">
        <f t="shared" si="1"/>
        <v>3345</v>
      </c>
    </row>
    <row r="16309" ht="22.5" customHeight="1">
      <c r="B16309" s="42" t="str">
        <f>IFERROR(__xludf.DUMMYFUNCTION("""COMPUTED_VALUE"""),"")</f>
        <v/>
      </c>
      <c r="C16309" s="42" t="str">
        <f>IFERROR(__xludf.DUMMYFUNCTION("""COMPUTED_VALUE"""),"")</f>
        <v/>
      </c>
      <c r="D16309" s="42"/>
      <c r="E16309" s="42"/>
      <c r="F16309" s="48" t="str">
        <f>IFERROR(__xludf.DUMMYFUNCTION("""COMPUTED_VALUE"""),"")</f>
        <v/>
      </c>
      <c r="G16309" s="42" t="str">
        <f>IFERROR(__xludf.DUMMYFUNCTION("""COMPUTED_VALUE"""),"")</f>
        <v/>
      </c>
      <c r="H16309" s="42">
        <f t="shared" si="1"/>
        <v>3345</v>
      </c>
    </row>
    <row r="16310" ht="22.5" customHeight="1">
      <c r="B16310" s="42" t="str">
        <f>IFERROR(__xludf.DUMMYFUNCTION("""COMPUTED_VALUE"""),"")</f>
        <v/>
      </c>
      <c r="C16310" s="42" t="str">
        <f>IFERROR(__xludf.DUMMYFUNCTION("""COMPUTED_VALUE"""),"")</f>
        <v/>
      </c>
      <c r="D16310" s="42"/>
      <c r="E16310" s="42"/>
      <c r="F16310" s="48" t="str">
        <f>IFERROR(__xludf.DUMMYFUNCTION("""COMPUTED_VALUE"""),"")</f>
        <v/>
      </c>
      <c r="G16310" s="42" t="str">
        <f>IFERROR(__xludf.DUMMYFUNCTION("""COMPUTED_VALUE"""),"")</f>
        <v/>
      </c>
      <c r="H16310" s="42">
        <f t="shared" si="1"/>
        <v>3345</v>
      </c>
    </row>
    <row r="16311" ht="22.5" customHeight="1">
      <c r="B16311" s="42" t="str">
        <f>IFERROR(__xludf.DUMMYFUNCTION("""COMPUTED_VALUE"""),"")</f>
        <v/>
      </c>
      <c r="C16311" s="42" t="str">
        <f>IFERROR(__xludf.DUMMYFUNCTION("""COMPUTED_VALUE"""),"")</f>
        <v/>
      </c>
      <c r="D16311" s="42"/>
      <c r="E16311" s="42"/>
      <c r="F16311" s="48" t="str">
        <f>IFERROR(__xludf.DUMMYFUNCTION("""COMPUTED_VALUE"""),"")</f>
        <v/>
      </c>
      <c r="G16311" s="42" t="str">
        <f>IFERROR(__xludf.DUMMYFUNCTION("""COMPUTED_VALUE"""),"")</f>
        <v/>
      </c>
      <c r="H16311" s="42">
        <f t="shared" si="1"/>
        <v>3345</v>
      </c>
    </row>
    <row r="16312" ht="22.5" customHeight="1">
      <c r="B16312" s="42" t="str">
        <f>IFERROR(__xludf.DUMMYFUNCTION("""COMPUTED_VALUE"""),"")</f>
        <v/>
      </c>
      <c r="C16312" s="42" t="str">
        <f>IFERROR(__xludf.DUMMYFUNCTION("""COMPUTED_VALUE"""),"")</f>
        <v/>
      </c>
      <c r="D16312" s="42"/>
      <c r="E16312" s="42"/>
      <c r="F16312" s="48" t="str">
        <f>IFERROR(__xludf.DUMMYFUNCTION("""COMPUTED_VALUE"""),"")</f>
        <v/>
      </c>
      <c r="G16312" s="42" t="str">
        <f>IFERROR(__xludf.DUMMYFUNCTION("""COMPUTED_VALUE"""),"")</f>
        <v/>
      </c>
      <c r="H16312" s="42">
        <f t="shared" si="1"/>
        <v>3345</v>
      </c>
    </row>
    <row r="16313" ht="22.5" customHeight="1">
      <c r="B16313" s="42" t="str">
        <f>IFERROR(__xludf.DUMMYFUNCTION("""COMPUTED_VALUE"""),"")</f>
        <v/>
      </c>
      <c r="C16313" s="42" t="str">
        <f>IFERROR(__xludf.DUMMYFUNCTION("""COMPUTED_VALUE"""),"")</f>
        <v/>
      </c>
      <c r="D16313" s="42"/>
      <c r="E16313" s="42"/>
      <c r="F16313" s="48" t="str">
        <f>IFERROR(__xludf.DUMMYFUNCTION("""COMPUTED_VALUE"""),"")</f>
        <v/>
      </c>
      <c r="G16313" s="42" t="str">
        <f>IFERROR(__xludf.DUMMYFUNCTION("""COMPUTED_VALUE"""),"")</f>
        <v/>
      </c>
      <c r="H16313" s="42">
        <f t="shared" si="1"/>
        <v>3345</v>
      </c>
    </row>
    <row r="16314" ht="22.5" customHeight="1">
      <c r="B16314" s="42" t="str">
        <f>IFERROR(__xludf.DUMMYFUNCTION("""COMPUTED_VALUE"""),"")</f>
        <v/>
      </c>
      <c r="C16314" s="42" t="str">
        <f>IFERROR(__xludf.DUMMYFUNCTION("""COMPUTED_VALUE"""),"")</f>
        <v/>
      </c>
      <c r="D16314" s="42"/>
      <c r="E16314" s="42"/>
      <c r="F16314" s="48" t="str">
        <f>IFERROR(__xludf.DUMMYFUNCTION("""COMPUTED_VALUE"""),"")</f>
        <v/>
      </c>
      <c r="G16314" s="42" t="str">
        <f>IFERROR(__xludf.DUMMYFUNCTION("""COMPUTED_VALUE"""),"")</f>
        <v/>
      </c>
      <c r="H16314" s="42">
        <f t="shared" si="1"/>
        <v>3345</v>
      </c>
    </row>
    <row r="16315" ht="22.5" customHeight="1">
      <c r="B16315" s="42" t="str">
        <f>IFERROR(__xludf.DUMMYFUNCTION("""COMPUTED_VALUE"""),"")</f>
        <v/>
      </c>
      <c r="C16315" s="42" t="str">
        <f>IFERROR(__xludf.DUMMYFUNCTION("""COMPUTED_VALUE"""),"")</f>
        <v/>
      </c>
      <c r="D16315" s="42"/>
      <c r="E16315" s="42"/>
      <c r="F16315" s="48" t="str">
        <f>IFERROR(__xludf.DUMMYFUNCTION("""COMPUTED_VALUE"""),"")</f>
        <v/>
      </c>
      <c r="G16315" s="42" t="str">
        <f>IFERROR(__xludf.DUMMYFUNCTION("""COMPUTED_VALUE"""),"")</f>
        <v/>
      </c>
      <c r="H16315" s="42">
        <f t="shared" si="1"/>
        <v>3345</v>
      </c>
    </row>
    <row r="16316" ht="22.5" customHeight="1">
      <c r="B16316" s="42" t="str">
        <f>IFERROR(__xludf.DUMMYFUNCTION("""COMPUTED_VALUE"""),"")</f>
        <v/>
      </c>
      <c r="C16316" s="42" t="str">
        <f>IFERROR(__xludf.DUMMYFUNCTION("""COMPUTED_VALUE"""),"")</f>
        <v/>
      </c>
      <c r="D16316" s="42"/>
      <c r="E16316" s="42"/>
      <c r="F16316" s="48" t="str">
        <f>IFERROR(__xludf.DUMMYFUNCTION("""COMPUTED_VALUE"""),"")</f>
        <v/>
      </c>
      <c r="G16316" s="42" t="str">
        <f>IFERROR(__xludf.DUMMYFUNCTION("""COMPUTED_VALUE"""),"")</f>
        <v/>
      </c>
      <c r="H16316" s="42">
        <f t="shared" si="1"/>
        <v>3345</v>
      </c>
    </row>
    <row r="16317" ht="22.5" customHeight="1">
      <c r="B16317" s="42" t="str">
        <f>IFERROR(__xludf.DUMMYFUNCTION("""COMPUTED_VALUE"""),"")</f>
        <v/>
      </c>
      <c r="C16317" s="42" t="str">
        <f>IFERROR(__xludf.DUMMYFUNCTION("""COMPUTED_VALUE"""),"")</f>
        <v/>
      </c>
      <c r="D16317" s="42"/>
      <c r="E16317" s="42"/>
      <c r="F16317" s="48" t="str">
        <f>IFERROR(__xludf.DUMMYFUNCTION("""COMPUTED_VALUE"""),"")</f>
        <v/>
      </c>
      <c r="G16317" s="42" t="str">
        <f>IFERROR(__xludf.DUMMYFUNCTION("""COMPUTED_VALUE"""),"")</f>
        <v/>
      </c>
      <c r="H16317" s="42">
        <f t="shared" si="1"/>
        <v>3345</v>
      </c>
    </row>
    <row r="16318" ht="22.5" customHeight="1">
      <c r="B16318" s="42" t="str">
        <f>IFERROR(__xludf.DUMMYFUNCTION("""COMPUTED_VALUE"""),"")</f>
        <v/>
      </c>
      <c r="C16318" s="42" t="str">
        <f>IFERROR(__xludf.DUMMYFUNCTION("""COMPUTED_VALUE"""),"")</f>
        <v/>
      </c>
      <c r="D16318" s="42"/>
      <c r="E16318" s="42"/>
      <c r="F16318" s="48" t="str">
        <f>IFERROR(__xludf.DUMMYFUNCTION("""COMPUTED_VALUE"""),"")</f>
        <v/>
      </c>
      <c r="G16318" s="42" t="str">
        <f>IFERROR(__xludf.DUMMYFUNCTION("""COMPUTED_VALUE"""),"")</f>
        <v/>
      </c>
      <c r="H16318" s="42">
        <f t="shared" si="1"/>
        <v>3345</v>
      </c>
    </row>
    <row r="16319" ht="22.5" customHeight="1">
      <c r="B16319" s="42" t="str">
        <f>IFERROR(__xludf.DUMMYFUNCTION("""COMPUTED_VALUE"""),"")</f>
        <v/>
      </c>
      <c r="C16319" s="42" t="str">
        <f>IFERROR(__xludf.DUMMYFUNCTION("""COMPUTED_VALUE"""),"")</f>
        <v/>
      </c>
      <c r="D16319" s="42"/>
      <c r="E16319" s="42"/>
      <c r="F16319" s="48" t="str">
        <f>IFERROR(__xludf.DUMMYFUNCTION("""COMPUTED_VALUE"""),"")</f>
        <v/>
      </c>
      <c r="G16319" s="42" t="str">
        <f>IFERROR(__xludf.DUMMYFUNCTION("""COMPUTED_VALUE"""),"")</f>
        <v/>
      </c>
      <c r="H16319" s="42">
        <f t="shared" si="1"/>
        <v>3345</v>
      </c>
    </row>
    <row r="16320" ht="22.5" customHeight="1">
      <c r="B16320" s="42" t="str">
        <f>IFERROR(__xludf.DUMMYFUNCTION("""COMPUTED_VALUE"""),"")</f>
        <v/>
      </c>
      <c r="C16320" s="42" t="str">
        <f>IFERROR(__xludf.DUMMYFUNCTION("""COMPUTED_VALUE"""),"")</f>
        <v/>
      </c>
      <c r="D16320" s="42"/>
      <c r="E16320" s="42"/>
      <c r="F16320" s="48" t="str">
        <f>IFERROR(__xludf.DUMMYFUNCTION("""COMPUTED_VALUE"""),"")</f>
        <v/>
      </c>
      <c r="G16320" s="42" t="str">
        <f>IFERROR(__xludf.DUMMYFUNCTION("""COMPUTED_VALUE"""),"")</f>
        <v/>
      </c>
      <c r="H16320" s="42">
        <f t="shared" si="1"/>
        <v>3345</v>
      </c>
    </row>
    <row r="16321" ht="22.5" customHeight="1">
      <c r="B16321" s="42" t="str">
        <f>IFERROR(__xludf.DUMMYFUNCTION("""COMPUTED_VALUE"""),"")</f>
        <v/>
      </c>
      <c r="C16321" s="42" t="str">
        <f>IFERROR(__xludf.DUMMYFUNCTION("""COMPUTED_VALUE"""),"")</f>
        <v/>
      </c>
      <c r="D16321" s="42"/>
      <c r="E16321" s="42"/>
      <c r="F16321" s="48" t="str">
        <f>IFERROR(__xludf.DUMMYFUNCTION("""COMPUTED_VALUE"""),"")</f>
        <v/>
      </c>
      <c r="G16321" s="42" t="str">
        <f>IFERROR(__xludf.DUMMYFUNCTION("""COMPUTED_VALUE"""),"")</f>
        <v/>
      </c>
      <c r="H16321" s="42">
        <f t="shared" si="1"/>
        <v>3345</v>
      </c>
    </row>
    <row r="16322" ht="22.5" customHeight="1">
      <c r="B16322" s="42" t="str">
        <f>IFERROR(__xludf.DUMMYFUNCTION("""COMPUTED_VALUE"""),"")</f>
        <v/>
      </c>
      <c r="C16322" s="42" t="str">
        <f>IFERROR(__xludf.DUMMYFUNCTION("""COMPUTED_VALUE"""),"")</f>
        <v/>
      </c>
      <c r="D16322" s="42"/>
      <c r="E16322" s="42"/>
      <c r="F16322" s="48" t="str">
        <f>IFERROR(__xludf.DUMMYFUNCTION("""COMPUTED_VALUE"""),"")</f>
        <v/>
      </c>
      <c r="G16322" s="42" t="str">
        <f>IFERROR(__xludf.DUMMYFUNCTION("""COMPUTED_VALUE"""),"")</f>
        <v/>
      </c>
      <c r="H16322" s="42">
        <f t="shared" si="1"/>
        <v>3345</v>
      </c>
    </row>
    <row r="16323" ht="22.5" customHeight="1">
      <c r="B16323" s="42" t="str">
        <f>IFERROR(__xludf.DUMMYFUNCTION("""COMPUTED_VALUE"""),"")</f>
        <v/>
      </c>
      <c r="C16323" s="42" t="str">
        <f>IFERROR(__xludf.DUMMYFUNCTION("""COMPUTED_VALUE"""),"")</f>
        <v/>
      </c>
      <c r="D16323" s="42"/>
      <c r="E16323" s="42"/>
      <c r="F16323" s="48" t="str">
        <f>IFERROR(__xludf.DUMMYFUNCTION("""COMPUTED_VALUE"""),"")</f>
        <v/>
      </c>
      <c r="G16323" s="42" t="str">
        <f>IFERROR(__xludf.DUMMYFUNCTION("""COMPUTED_VALUE"""),"")</f>
        <v/>
      </c>
      <c r="H16323" s="42">
        <f t="shared" si="1"/>
        <v>3345</v>
      </c>
    </row>
    <row r="16324" ht="22.5" customHeight="1">
      <c r="B16324" s="42" t="str">
        <f>IFERROR(__xludf.DUMMYFUNCTION("""COMPUTED_VALUE"""),"")</f>
        <v/>
      </c>
      <c r="C16324" s="42" t="str">
        <f>IFERROR(__xludf.DUMMYFUNCTION("""COMPUTED_VALUE"""),"")</f>
        <v/>
      </c>
      <c r="D16324" s="42"/>
      <c r="E16324" s="42"/>
      <c r="F16324" s="48" t="str">
        <f>IFERROR(__xludf.DUMMYFUNCTION("""COMPUTED_VALUE"""),"")</f>
        <v/>
      </c>
      <c r="G16324" s="42" t="str">
        <f>IFERROR(__xludf.DUMMYFUNCTION("""COMPUTED_VALUE"""),"")</f>
        <v/>
      </c>
      <c r="H16324" s="42">
        <f t="shared" si="1"/>
        <v>3345</v>
      </c>
    </row>
    <row r="16325" ht="22.5" customHeight="1">
      <c r="B16325" s="42" t="str">
        <f>IFERROR(__xludf.DUMMYFUNCTION("""COMPUTED_VALUE"""),"")</f>
        <v/>
      </c>
      <c r="C16325" s="42" t="str">
        <f>IFERROR(__xludf.DUMMYFUNCTION("""COMPUTED_VALUE"""),"")</f>
        <v/>
      </c>
      <c r="D16325" s="42"/>
      <c r="E16325" s="42"/>
      <c r="F16325" s="48" t="str">
        <f>IFERROR(__xludf.DUMMYFUNCTION("""COMPUTED_VALUE"""),"")</f>
        <v/>
      </c>
      <c r="G16325" s="42" t="str">
        <f>IFERROR(__xludf.DUMMYFUNCTION("""COMPUTED_VALUE"""),"")</f>
        <v/>
      </c>
      <c r="H16325" s="42">
        <f t="shared" si="1"/>
        <v>3345</v>
      </c>
    </row>
    <row r="16326" ht="22.5" customHeight="1">
      <c r="B16326" s="42" t="str">
        <f>IFERROR(__xludf.DUMMYFUNCTION("""COMPUTED_VALUE"""),"")</f>
        <v/>
      </c>
      <c r="C16326" s="42" t="str">
        <f>IFERROR(__xludf.DUMMYFUNCTION("""COMPUTED_VALUE"""),"")</f>
        <v/>
      </c>
      <c r="D16326" s="42"/>
      <c r="E16326" s="42"/>
      <c r="F16326" s="48" t="str">
        <f>IFERROR(__xludf.DUMMYFUNCTION("""COMPUTED_VALUE"""),"")</f>
        <v/>
      </c>
      <c r="G16326" s="42" t="str">
        <f>IFERROR(__xludf.DUMMYFUNCTION("""COMPUTED_VALUE"""),"")</f>
        <v/>
      </c>
      <c r="H16326" s="42">
        <f t="shared" si="1"/>
        <v>3345</v>
      </c>
    </row>
    <row r="16327" ht="22.5" customHeight="1">
      <c r="B16327" s="42" t="str">
        <f>IFERROR(__xludf.DUMMYFUNCTION("""COMPUTED_VALUE"""),"")</f>
        <v/>
      </c>
      <c r="C16327" s="42" t="str">
        <f>IFERROR(__xludf.DUMMYFUNCTION("""COMPUTED_VALUE"""),"")</f>
        <v/>
      </c>
      <c r="D16327" s="42"/>
      <c r="E16327" s="42"/>
      <c r="F16327" s="48" t="str">
        <f>IFERROR(__xludf.DUMMYFUNCTION("""COMPUTED_VALUE"""),"")</f>
        <v/>
      </c>
      <c r="G16327" s="42" t="str">
        <f>IFERROR(__xludf.DUMMYFUNCTION("""COMPUTED_VALUE"""),"")</f>
        <v/>
      </c>
      <c r="H16327" s="42">
        <f t="shared" si="1"/>
        <v>3345</v>
      </c>
    </row>
    <row r="16328" ht="22.5" customHeight="1">
      <c r="B16328" s="42" t="str">
        <f>IFERROR(__xludf.DUMMYFUNCTION("""COMPUTED_VALUE"""),"")</f>
        <v/>
      </c>
      <c r="C16328" s="42" t="str">
        <f>IFERROR(__xludf.DUMMYFUNCTION("""COMPUTED_VALUE"""),"")</f>
        <v/>
      </c>
      <c r="D16328" s="42"/>
      <c r="E16328" s="42"/>
      <c r="F16328" s="48" t="str">
        <f>IFERROR(__xludf.DUMMYFUNCTION("""COMPUTED_VALUE"""),"")</f>
        <v/>
      </c>
      <c r="G16328" s="42" t="str">
        <f>IFERROR(__xludf.DUMMYFUNCTION("""COMPUTED_VALUE"""),"")</f>
        <v/>
      </c>
      <c r="H16328" s="42">
        <f t="shared" si="1"/>
        <v>3345</v>
      </c>
    </row>
    <row r="16329" ht="22.5" customHeight="1">
      <c r="B16329" s="42" t="str">
        <f>IFERROR(__xludf.DUMMYFUNCTION("""COMPUTED_VALUE"""),"")</f>
        <v/>
      </c>
      <c r="C16329" s="42" t="str">
        <f>IFERROR(__xludf.DUMMYFUNCTION("""COMPUTED_VALUE"""),"")</f>
        <v/>
      </c>
      <c r="D16329" s="42"/>
      <c r="E16329" s="42"/>
      <c r="F16329" s="48" t="str">
        <f>IFERROR(__xludf.DUMMYFUNCTION("""COMPUTED_VALUE"""),"")</f>
        <v/>
      </c>
      <c r="G16329" s="42" t="str">
        <f>IFERROR(__xludf.DUMMYFUNCTION("""COMPUTED_VALUE"""),"")</f>
        <v/>
      </c>
      <c r="H16329" s="42">
        <f t="shared" si="1"/>
        <v>3345</v>
      </c>
    </row>
    <row r="16330" ht="22.5" customHeight="1">
      <c r="B16330" s="42" t="str">
        <f>IFERROR(__xludf.DUMMYFUNCTION("""COMPUTED_VALUE"""),"")</f>
        <v/>
      </c>
      <c r="C16330" s="42" t="str">
        <f>IFERROR(__xludf.DUMMYFUNCTION("""COMPUTED_VALUE"""),"")</f>
        <v/>
      </c>
      <c r="D16330" s="42"/>
      <c r="E16330" s="42"/>
      <c r="F16330" s="48" t="str">
        <f>IFERROR(__xludf.DUMMYFUNCTION("""COMPUTED_VALUE"""),"")</f>
        <v/>
      </c>
      <c r="G16330" s="42" t="str">
        <f>IFERROR(__xludf.DUMMYFUNCTION("""COMPUTED_VALUE"""),"")</f>
        <v/>
      </c>
      <c r="H16330" s="42">
        <f t="shared" si="1"/>
        <v>3345</v>
      </c>
    </row>
    <row r="16331" ht="22.5" customHeight="1">
      <c r="B16331" s="42" t="str">
        <f>IFERROR(__xludf.DUMMYFUNCTION("""COMPUTED_VALUE"""),"")</f>
        <v/>
      </c>
      <c r="C16331" s="42" t="str">
        <f>IFERROR(__xludf.DUMMYFUNCTION("""COMPUTED_VALUE"""),"")</f>
        <v/>
      </c>
      <c r="D16331" s="42"/>
      <c r="E16331" s="42"/>
      <c r="F16331" s="48" t="str">
        <f>IFERROR(__xludf.DUMMYFUNCTION("""COMPUTED_VALUE"""),"")</f>
        <v/>
      </c>
      <c r="G16331" s="42" t="str">
        <f>IFERROR(__xludf.DUMMYFUNCTION("""COMPUTED_VALUE"""),"")</f>
        <v/>
      </c>
      <c r="H16331" s="42">
        <f t="shared" si="1"/>
        <v>3345</v>
      </c>
    </row>
    <row r="16332" ht="22.5" customHeight="1">
      <c r="B16332" s="42" t="str">
        <f>IFERROR(__xludf.DUMMYFUNCTION("""COMPUTED_VALUE"""),"")</f>
        <v/>
      </c>
      <c r="C16332" s="42" t="str">
        <f>IFERROR(__xludf.DUMMYFUNCTION("""COMPUTED_VALUE"""),"")</f>
        <v/>
      </c>
      <c r="D16332" s="42"/>
      <c r="E16332" s="42"/>
      <c r="F16332" s="48" t="str">
        <f>IFERROR(__xludf.DUMMYFUNCTION("""COMPUTED_VALUE"""),"")</f>
        <v/>
      </c>
      <c r="G16332" s="42" t="str">
        <f>IFERROR(__xludf.DUMMYFUNCTION("""COMPUTED_VALUE"""),"")</f>
        <v/>
      </c>
      <c r="H16332" s="42">
        <f t="shared" si="1"/>
        <v>3345</v>
      </c>
    </row>
    <row r="16333" ht="22.5" customHeight="1">
      <c r="B16333" s="42" t="str">
        <f>IFERROR(__xludf.DUMMYFUNCTION("""COMPUTED_VALUE"""),"")</f>
        <v/>
      </c>
      <c r="C16333" s="42" t="str">
        <f>IFERROR(__xludf.DUMMYFUNCTION("""COMPUTED_VALUE"""),"")</f>
        <v/>
      </c>
      <c r="D16333" s="42"/>
      <c r="E16333" s="42"/>
      <c r="F16333" s="48" t="str">
        <f>IFERROR(__xludf.DUMMYFUNCTION("""COMPUTED_VALUE"""),"")</f>
        <v/>
      </c>
      <c r="G16333" s="42" t="str">
        <f>IFERROR(__xludf.DUMMYFUNCTION("""COMPUTED_VALUE"""),"")</f>
        <v/>
      </c>
      <c r="H16333" s="42">
        <f t="shared" si="1"/>
        <v>3345</v>
      </c>
    </row>
    <row r="16334" ht="22.5" customHeight="1">
      <c r="B16334" s="42" t="str">
        <f>IFERROR(__xludf.DUMMYFUNCTION("""COMPUTED_VALUE"""),"")</f>
        <v/>
      </c>
      <c r="C16334" s="42" t="str">
        <f>IFERROR(__xludf.DUMMYFUNCTION("""COMPUTED_VALUE"""),"")</f>
        <v/>
      </c>
      <c r="D16334" s="42"/>
      <c r="E16334" s="42"/>
      <c r="F16334" s="48" t="str">
        <f>IFERROR(__xludf.DUMMYFUNCTION("""COMPUTED_VALUE"""),"")</f>
        <v/>
      </c>
      <c r="G16334" s="42" t="str">
        <f>IFERROR(__xludf.DUMMYFUNCTION("""COMPUTED_VALUE"""),"")</f>
        <v/>
      </c>
      <c r="H16334" s="42">
        <f t="shared" si="1"/>
        <v>3345</v>
      </c>
    </row>
    <row r="16335" ht="22.5" customHeight="1">
      <c r="B16335" s="42" t="str">
        <f>IFERROR(__xludf.DUMMYFUNCTION("""COMPUTED_VALUE"""),"")</f>
        <v/>
      </c>
      <c r="C16335" s="42" t="str">
        <f>IFERROR(__xludf.DUMMYFUNCTION("""COMPUTED_VALUE"""),"")</f>
        <v/>
      </c>
      <c r="D16335" s="42"/>
      <c r="E16335" s="42"/>
      <c r="F16335" s="48" t="str">
        <f>IFERROR(__xludf.DUMMYFUNCTION("""COMPUTED_VALUE"""),"")</f>
        <v/>
      </c>
      <c r="G16335" s="42" t="str">
        <f>IFERROR(__xludf.DUMMYFUNCTION("""COMPUTED_VALUE"""),"")</f>
        <v/>
      </c>
      <c r="H16335" s="42">
        <f t="shared" si="1"/>
        <v>3345</v>
      </c>
    </row>
    <row r="16336" ht="22.5" customHeight="1">
      <c r="B16336" s="42" t="str">
        <f>IFERROR(__xludf.DUMMYFUNCTION("""COMPUTED_VALUE"""),"")</f>
        <v/>
      </c>
      <c r="C16336" s="42" t="str">
        <f>IFERROR(__xludf.DUMMYFUNCTION("""COMPUTED_VALUE"""),"")</f>
        <v/>
      </c>
      <c r="D16336" s="42"/>
      <c r="E16336" s="42"/>
      <c r="F16336" s="48" t="str">
        <f>IFERROR(__xludf.DUMMYFUNCTION("""COMPUTED_VALUE"""),"")</f>
        <v/>
      </c>
      <c r="G16336" s="42" t="str">
        <f>IFERROR(__xludf.DUMMYFUNCTION("""COMPUTED_VALUE"""),"")</f>
        <v/>
      </c>
      <c r="H16336" s="42">
        <f t="shared" si="1"/>
        <v>3345</v>
      </c>
    </row>
    <row r="16337" ht="22.5" customHeight="1">
      <c r="B16337" s="42" t="str">
        <f>IFERROR(__xludf.DUMMYFUNCTION("""COMPUTED_VALUE"""),"")</f>
        <v/>
      </c>
      <c r="C16337" s="42" t="str">
        <f>IFERROR(__xludf.DUMMYFUNCTION("""COMPUTED_VALUE"""),"")</f>
        <v/>
      </c>
      <c r="D16337" s="42"/>
      <c r="E16337" s="42"/>
      <c r="F16337" s="48" t="str">
        <f>IFERROR(__xludf.DUMMYFUNCTION("""COMPUTED_VALUE"""),"")</f>
        <v/>
      </c>
      <c r="G16337" s="42" t="str">
        <f>IFERROR(__xludf.DUMMYFUNCTION("""COMPUTED_VALUE"""),"")</f>
        <v/>
      </c>
      <c r="H16337" s="42">
        <f t="shared" si="1"/>
        <v>3345</v>
      </c>
    </row>
    <row r="16338" ht="22.5" customHeight="1">
      <c r="B16338" s="42" t="str">
        <f>IFERROR(__xludf.DUMMYFUNCTION("""COMPUTED_VALUE"""),"")</f>
        <v/>
      </c>
      <c r="C16338" s="42" t="str">
        <f>IFERROR(__xludf.DUMMYFUNCTION("""COMPUTED_VALUE"""),"")</f>
        <v/>
      </c>
      <c r="D16338" s="42"/>
      <c r="E16338" s="42"/>
      <c r="F16338" s="48" t="str">
        <f>IFERROR(__xludf.DUMMYFUNCTION("""COMPUTED_VALUE"""),"")</f>
        <v/>
      </c>
      <c r="G16338" s="42" t="str">
        <f>IFERROR(__xludf.DUMMYFUNCTION("""COMPUTED_VALUE"""),"")</f>
        <v/>
      </c>
      <c r="H16338" s="42">
        <f t="shared" si="1"/>
        <v>3345</v>
      </c>
    </row>
    <row r="16339" ht="22.5" customHeight="1">
      <c r="B16339" s="42" t="str">
        <f>IFERROR(__xludf.DUMMYFUNCTION("""COMPUTED_VALUE"""),"")</f>
        <v/>
      </c>
      <c r="C16339" s="42" t="str">
        <f>IFERROR(__xludf.DUMMYFUNCTION("""COMPUTED_VALUE"""),"")</f>
        <v/>
      </c>
      <c r="D16339" s="42"/>
      <c r="E16339" s="42"/>
      <c r="F16339" s="48" t="str">
        <f>IFERROR(__xludf.DUMMYFUNCTION("""COMPUTED_VALUE"""),"")</f>
        <v/>
      </c>
      <c r="G16339" s="42" t="str">
        <f>IFERROR(__xludf.DUMMYFUNCTION("""COMPUTED_VALUE"""),"")</f>
        <v/>
      </c>
      <c r="H16339" s="42">
        <f t="shared" si="1"/>
        <v>3345</v>
      </c>
    </row>
    <row r="16340" ht="22.5" customHeight="1">
      <c r="B16340" s="42" t="str">
        <f>IFERROR(__xludf.DUMMYFUNCTION("""COMPUTED_VALUE"""),"")</f>
        <v/>
      </c>
      <c r="C16340" s="42" t="str">
        <f>IFERROR(__xludf.DUMMYFUNCTION("""COMPUTED_VALUE"""),"")</f>
        <v/>
      </c>
      <c r="D16340" s="42"/>
      <c r="E16340" s="42"/>
      <c r="F16340" s="48" t="str">
        <f>IFERROR(__xludf.DUMMYFUNCTION("""COMPUTED_VALUE"""),"")</f>
        <v/>
      </c>
      <c r="G16340" s="42" t="str">
        <f>IFERROR(__xludf.DUMMYFUNCTION("""COMPUTED_VALUE"""),"")</f>
        <v/>
      </c>
      <c r="H16340" s="42">
        <f t="shared" si="1"/>
        <v>3345</v>
      </c>
    </row>
    <row r="16341" ht="22.5" customHeight="1">
      <c r="B16341" s="42" t="str">
        <f>IFERROR(__xludf.DUMMYFUNCTION("""COMPUTED_VALUE"""),"")</f>
        <v/>
      </c>
      <c r="C16341" s="42" t="str">
        <f>IFERROR(__xludf.DUMMYFUNCTION("""COMPUTED_VALUE"""),"")</f>
        <v/>
      </c>
      <c r="D16341" s="42"/>
      <c r="E16341" s="42"/>
      <c r="F16341" s="48" t="str">
        <f>IFERROR(__xludf.DUMMYFUNCTION("""COMPUTED_VALUE"""),"")</f>
        <v/>
      </c>
      <c r="G16341" s="42" t="str">
        <f>IFERROR(__xludf.DUMMYFUNCTION("""COMPUTED_VALUE"""),"")</f>
        <v/>
      </c>
      <c r="H16341" s="42">
        <f t="shared" si="1"/>
        <v>3345</v>
      </c>
    </row>
    <row r="16342" ht="22.5" customHeight="1">
      <c r="B16342" s="42" t="str">
        <f>IFERROR(__xludf.DUMMYFUNCTION("""COMPUTED_VALUE"""),"")</f>
        <v/>
      </c>
      <c r="C16342" s="42" t="str">
        <f>IFERROR(__xludf.DUMMYFUNCTION("""COMPUTED_VALUE"""),"")</f>
        <v/>
      </c>
      <c r="D16342" s="42"/>
      <c r="E16342" s="42"/>
      <c r="F16342" s="48" t="str">
        <f>IFERROR(__xludf.DUMMYFUNCTION("""COMPUTED_VALUE"""),"")</f>
        <v/>
      </c>
      <c r="G16342" s="42" t="str">
        <f>IFERROR(__xludf.DUMMYFUNCTION("""COMPUTED_VALUE"""),"")</f>
        <v/>
      </c>
      <c r="H16342" s="42">
        <f t="shared" si="1"/>
        <v>3345</v>
      </c>
    </row>
    <row r="16343" ht="22.5" customHeight="1">
      <c r="B16343" s="42" t="str">
        <f>IFERROR(__xludf.DUMMYFUNCTION("""COMPUTED_VALUE"""),"")</f>
        <v/>
      </c>
      <c r="C16343" s="42" t="str">
        <f>IFERROR(__xludf.DUMMYFUNCTION("""COMPUTED_VALUE"""),"")</f>
        <v/>
      </c>
      <c r="D16343" s="42"/>
      <c r="E16343" s="42"/>
      <c r="F16343" s="48" t="str">
        <f>IFERROR(__xludf.DUMMYFUNCTION("""COMPUTED_VALUE"""),"")</f>
        <v/>
      </c>
      <c r="G16343" s="42" t="str">
        <f>IFERROR(__xludf.DUMMYFUNCTION("""COMPUTED_VALUE"""),"")</f>
        <v/>
      </c>
      <c r="H16343" s="42">
        <f t="shared" si="1"/>
        <v>3345</v>
      </c>
    </row>
    <row r="16344" ht="22.5" customHeight="1">
      <c r="B16344" s="42" t="str">
        <f>IFERROR(__xludf.DUMMYFUNCTION("""COMPUTED_VALUE"""),"")</f>
        <v/>
      </c>
      <c r="C16344" s="42" t="str">
        <f>IFERROR(__xludf.DUMMYFUNCTION("""COMPUTED_VALUE"""),"")</f>
        <v/>
      </c>
      <c r="D16344" s="42"/>
      <c r="E16344" s="42"/>
      <c r="F16344" s="48" t="str">
        <f>IFERROR(__xludf.DUMMYFUNCTION("""COMPUTED_VALUE"""),"")</f>
        <v/>
      </c>
      <c r="G16344" s="42" t="str">
        <f>IFERROR(__xludf.DUMMYFUNCTION("""COMPUTED_VALUE"""),"")</f>
        <v/>
      </c>
      <c r="H16344" s="42">
        <f t="shared" si="1"/>
        <v>3345</v>
      </c>
    </row>
    <row r="16345" ht="22.5" customHeight="1">
      <c r="B16345" s="42" t="str">
        <f>IFERROR(__xludf.DUMMYFUNCTION("""COMPUTED_VALUE"""),"")</f>
        <v/>
      </c>
      <c r="C16345" s="42" t="str">
        <f>IFERROR(__xludf.DUMMYFUNCTION("""COMPUTED_VALUE"""),"")</f>
        <v/>
      </c>
      <c r="D16345" s="42"/>
      <c r="E16345" s="42"/>
      <c r="F16345" s="48" t="str">
        <f>IFERROR(__xludf.DUMMYFUNCTION("""COMPUTED_VALUE"""),"")</f>
        <v/>
      </c>
      <c r="G16345" s="42" t="str">
        <f>IFERROR(__xludf.DUMMYFUNCTION("""COMPUTED_VALUE"""),"")</f>
        <v/>
      </c>
      <c r="H16345" s="42">
        <f t="shared" si="1"/>
        <v>3345</v>
      </c>
    </row>
    <row r="16346" ht="22.5" customHeight="1">
      <c r="B16346" s="42" t="str">
        <f>IFERROR(__xludf.DUMMYFUNCTION("""COMPUTED_VALUE"""),"")</f>
        <v/>
      </c>
      <c r="C16346" s="42" t="str">
        <f>IFERROR(__xludf.DUMMYFUNCTION("""COMPUTED_VALUE"""),"")</f>
        <v/>
      </c>
      <c r="D16346" s="42"/>
      <c r="E16346" s="42"/>
      <c r="F16346" s="48" t="str">
        <f>IFERROR(__xludf.DUMMYFUNCTION("""COMPUTED_VALUE"""),"")</f>
        <v/>
      </c>
      <c r="G16346" s="42" t="str">
        <f>IFERROR(__xludf.DUMMYFUNCTION("""COMPUTED_VALUE"""),"")</f>
        <v/>
      </c>
      <c r="H16346" s="42">
        <f t="shared" si="1"/>
        <v>3345</v>
      </c>
    </row>
    <row r="16347" ht="22.5" customHeight="1">
      <c r="B16347" s="42" t="str">
        <f>IFERROR(__xludf.DUMMYFUNCTION("""COMPUTED_VALUE"""),"")</f>
        <v/>
      </c>
      <c r="C16347" s="42" t="str">
        <f>IFERROR(__xludf.DUMMYFUNCTION("""COMPUTED_VALUE"""),"")</f>
        <v/>
      </c>
      <c r="D16347" s="42"/>
      <c r="E16347" s="42"/>
      <c r="F16347" s="48" t="str">
        <f>IFERROR(__xludf.DUMMYFUNCTION("""COMPUTED_VALUE"""),"")</f>
        <v/>
      </c>
      <c r="G16347" s="42" t="str">
        <f>IFERROR(__xludf.DUMMYFUNCTION("""COMPUTED_VALUE"""),"")</f>
        <v/>
      </c>
      <c r="H16347" s="42">
        <f t="shared" si="1"/>
        <v>3345</v>
      </c>
    </row>
    <row r="16348" ht="22.5" customHeight="1">
      <c r="B16348" s="42" t="str">
        <f>IFERROR(__xludf.DUMMYFUNCTION("""COMPUTED_VALUE"""),"")</f>
        <v/>
      </c>
      <c r="C16348" s="42" t="str">
        <f>IFERROR(__xludf.DUMMYFUNCTION("""COMPUTED_VALUE"""),"")</f>
        <v/>
      </c>
      <c r="D16348" s="42"/>
      <c r="E16348" s="42"/>
      <c r="F16348" s="48" t="str">
        <f>IFERROR(__xludf.DUMMYFUNCTION("""COMPUTED_VALUE"""),"")</f>
        <v/>
      </c>
      <c r="G16348" s="42" t="str">
        <f>IFERROR(__xludf.DUMMYFUNCTION("""COMPUTED_VALUE"""),"")</f>
        <v/>
      </c>
      <c r="H16348" s="42">
        <f t="shared" si="1"/>
        <v>3345</v>
      </c>
    </row>
    <row r="16349" ht="22.5" customHeight="1">
      <c r="B16349" s="42" t="str">
        <f>IFERROR(__xludf.DUMMYFUNCTION("""COMPUTED_VALUE"""),"")</f>
        <v/>
      </c>
      <c r="C16349" s="42" t="str">
        <f>IFERROR(__xludf.DUMMYFUNCTION("""COMPUTED_VALUE"""),"")</f>
        <v/>
      </c>
      <c r="D16349" s="42"/>
      <c r="E16349" s="42"/>
      <c r="F16349" s="48" t="str">
        <f>IFERROR(__xludf.DUMMYFUNCTION("""COMPUTED_VALUE"""),"")</f>
        <v/>
      </c>
      <c r="G16349" s="42" t="str">
        <f>IFERROR(__xludf.DUMMYFUNCTION("""COMPUTED_VALUE"""),"")</f>
        <v/>
      </c>
      <c r="H16349" s="42">
        <f t="shared" si="1"/>
        <v>3345</v>
      </c>
    </row>
    <row r="16350" ht="22.5" customHeight="1">
      <c r="B16350" s="42" t="str">
        <f>IFERROR(__xludf.DUMMYFUNCTION("""COMPUTED_VALUE"""),"")</f>
        <v/>
      </c>
      <c r="C16350" s="42" t="str">
        <f>IFERROR(__xludf.DUMMYFUNCTION("""COMPUTED_VALUE"""),"")</f>
        <v/>
      </c>
      <c r="D16350" s="42"/>
      <c r="E16350" s="42"/>
      <c r="F16350" s="48" t="str">
        <f>IFERROR(__xludf.DUMMYFUNCTION("""COMPUTED_VALUE"""),"")</f>
        <v/>
      </c>
      <c r="G16350" s="42" t="str">
        <f>IFERROR(__xludf.DUMMYFUNCTION("""COMPUTED_VALUE"""),"")</f>
        <v/>
      </c>
      <c r="H16350" s="42">
        <f t="shared" si="1"/>
        <v>3345</v>
      </c>
    </row>
    <row r="16351" ht="22.5" customHeight="1">
      <c r="B16351" s="42" t="str">
        <f>IFERROR(__xludf.DUMMYFUNCTION("""COMPUTED_VALUE"""),"")</f>
        <v/>
      </c>
      <c r="C16351" s="42" t="str">
        <f>IFERROR(__xludf.DUMMYFUNCTION("""COMPUTED_VALUE"""),"")</f>
        <v/>
      </c>
      <c r="D16351" s="42"/>
      <c r="E16351" s="42"/>
      <c r="F16351" s="48" t="str">
        <f>IFERROR(__xludf.DUMMYFUNCTION("""COMPUTED_VALUE"""),"")</f>
        <v/>
      </c>
      <c r="G16351" s="42" t="str">
        <f>IFERROR(__xludf.DUMMYFUNCTION("""COMPUTED_VALUE"""),"")</f>
        <v/>
      </c>
      <c r="H16351" s="42">
        <f t="shared" si="1"/>
        <v>3345</v>
      </c>
    </row>
    <row r="16352" ht="22.5" customHeight="1">
      <c r="B16352" s="42" t="str">
        <f>IFERROR(__xludf.DUMMYFUNCTION("""COMPUTED_VALUE"""),"")</f>
        <v/>
      </c>
      <c r="C16352" s="42" t="str">
        <f>IFERROR(__xludf.DUMMYFUNCTION("""COMPUTED_VALUE"""),"")</f>
        <v/>
      </c>
      <c r="D16352" s="42"/>
      <c r="E16352" s="42"/>
      <c r="F16352" s="48" t="str">
        <f>IFERROR(__xludf.DUMMYFUNCTION("""COMPUTED_VALUE"""),"")</f>
        <v/>
      </c>
      <c r="G16352" s="42" t="str">
        <f>IFERROR(__xludf.DUMMYFUNCTION("""COMPUTED_VALUE"""),"")</f>
        <v/>
      </c>
      <c r="H16352" s="42">
        <f t="shared" si="1"/>
        <v>3345</v>
      </c>
    </row>
    <row r="16353" ht="22.5" customHeight="1">
      <c r="B16353" s="42" t="str">
        <f>IFERROR(__xludf.DUMMYFUNCTION("""COMPUTED_VALUE"""),"")</f>
        <v/>
      </c>
      <c r="C16353" s="42" t="str">
        <f>IFERROR(__xludf.DUMMYFUNCTION("""COMPUTED_VALUE"""),"")</f>
        <v/>
      </c>
      <c r="D16353" s="42"/>
      <c r="E16353" s="42"/>
      <c r="F16353" s="48" t="str">
        <f>IFERROR(__xludf.DUMMYFUNCTION("""COMPUTED_VALUE"""),"")</f>
        <v/>
      </c>
      <c r="G16353" s="42" t="str">
        <f>IFERROR(__xludf.DUMMYFUNCTION("""COMPUTED_VALUE"""),"")</f>
        <v/>
      </c>
      <c r="H16353" s="42">
        <f t="shared" si="1"/>
        <v>3345</v>
      </c>
    </row>
    <row r="16354" ht="22.5" customHeight="1">
      <c r="B16354" s="42" t="str">
        <f>IFERROR(__xludf.DUMMYFUNCTION("""COMPUTED_VALUE"""),"")</f>
        <v/>
      </c>
      <c r="C16354" s="42" t="str">
        <f>IFERROR(__xludf.DUMMYFUNCTION("""COMPUTED_VALUE"""),"")</f>
        <v/>
      </c>
      <c r="D16354" s="42"/>
      <c r="E16354" s="42"/>
      <c r="F16354" s="48" t="str">
        <f>IFERROR(__xludf.DUMMYFUNCTION("""COMPUTED_VALUE"""),"")</f>
        <v/>
      </c>
      <c r="G16354" s="42" t="str">
        <f>IFERROR(__xludf.DUMMYFUNCTION("""COMPUTED_VALUE"""),"")</f>
        <v/>
      </c>
      <c r="H16354" s="42">
        <f t="shared" si="1"/>
        <v>3345</v>
      </c>
    </row>
    <row r="16355" ht="22.5" customHeight="1">
      <c r="B16355" s="42" t="str">
        <f>IFERROR(__xludf.DUMMYFUNCTION("""COMPUTED_VALUE"""),"")</f>
        <v/>
      </c>
      <c r="C16355" s="42" t="str">
        <f>IFERROR(__xludf.DUMMYFUNCTION("""COMPUTED_VALUE"""),"")</f>
        <v/>
      </c>
      <c r="D16355" s="42"/>
      <c r="E16355" s="42"/>
      <c r="F16355" s="48" t="str">
        <f>IFERROR(__xludf.DUMMYFUNCTION("""COMPUTED_VALUE"""),"")</f>
        <v/>
      </c>
      <c r="G16355" s="42" t="str">
        <f>IFERROR(__xludf.DUMMYFUNCTION("""COMPUTED_VALUE"""),"")</f>
        <v/>
      </c>
      <c r="H16355" s="42">
        <f t="shared" si="1"/>
        <v>3345</v>
      </c>
    </row>
    <row r="16356" ht="22.5" customHeight="1">
      <c r="B16356" s="42" t="str">
        <f>IFERROR(__xludf.DUMMYFUNCTION("""COMPUTED_VALUE"""),"")</f>
        <v/>
      </c>
      <c r="C16356" s="42" t="str">
        <f>IFERROR(__xludf.DUMMYFUNCTION("""COMPUTED_VALUE"""),"")</f>
        <v/>
      </c>
      <c r="D16356" s="42"/>
      <c r="E16356" s="42"/>
      <c r="F16356" s="48" t="str">
        <f>IFERROR(__xludf.DUMMYFUNCTION("""COMPUTED_VALUE"""),"")</f>
        <v/>
      </c>
      <c r="G16356" s="42" t="str">
        <f>IFERROR(__xludf.DUMMYFUNCTION("""COMPUTED_VALUE"""),"")</f>
        <v/>
      </c>
      <c r="H16356" s="42">
        <f t="shared" si="1"/>
        <v>3345</v>
      </c>
    </row>
    <row r="16357" ht="22.5" customHeight="1">
      <c r="B16357" s="42" t="str">
        <f>IFERROR(__xludf.DUMMYFUNCTION("""COMPUTED_VALUE"""),"")</f>
        <v/>
      </c>
      <c r="C16357" s="42" t="str">
        <f>IFERROR(__xludf.DUMMYFUNCTION("""COMPUTED_VALUE"""),"")</f>
        <v/>
      </c>
      <c r="D16357" s="42"/>
      <c r="E16357" s="42"/>
      <c r="F16357" s="48" t="str">
        <f>IFERROR(__xludf.DUMMYFUNCTION("""COMPUTED_VALUE"""),"")</f>
        <v/>
      </c>
      <c r="G16357" s="42" t="str">
        <f>IFERROR(__xludf.DUMMYFUNCTION("""COMPUTED_VALUE"""),"")</f>
        <v/>
      </c>
      <c r="H16357" s="42">
        <f t="shared" si="1"/>
        <v>3345</v>
      </c>
    </row>
    <row r="16358" ht="22.5" customHeight="1">
      <c r="B16358" s="42" t="str">
        <f>IFERROR(__xludf.DUMMYFUNCTION("""COMPUTED_VALUE"""),"")</f>
        <v/>
      </c>
      <c r="C16358" s="42" t="str">
        <f>IFERROR(__xludf.DUMMYFUNCTION("""COMPUTED_VALUE"""),"")</f>
        <v/>
      </c>
      <c r="D16358" s="42"/>
      <c r="E16358" s="42"/>
      <c r="F16358" s="48" t="str">
        <f>IFERROR(__xludf.DUMMYFUNCTION("""COMPUTED_VALUE"""),"")</f>
        <v/>
      </c>
      <c r="G16358" s="42" t="str">
        <f>IFERROR(__xludf.DUMMYFUNCTION("""COMPUTED_VALUE"""),"")</f>
        <v/>
      </c>
      <c r="H16358" s="42">
        <f t="shared" si="1"/>
        <v>3345</v>
      </c>
    </row>
    <row r="16359" ht="22.5" customHeight="1">
      <c r="B16359" s="42" t="str">
        <f>IFERROR(__xludf.DUMMYFUNCTION("""COMPUTED_VALUE"""),"")</f>
        <v/>
      </c>
      <c r="C16359" s="42" t="str">
        <f>IFERROR(__xludf.DUMMYFUNCTION("""COMPUTED_VALUE"""),"")</f>
        <v/>
      </c>
      <c r="D16359" s="42"/>
      <c r="E16359" s="42"/>
      <c r="F16359" s="48" t="str">
        <f>IFERROR(__xludf.DUMMYFUNCTION("""COMPUTED_VALUE"""),"")</f>
        <v/>
      </c>
      <c r="G16359" s="42" t="str">
        <f>IFERROR(__xludf.DUMMYFUNCTION("""COMPUTED_VALUE"""),"")</f>
        <v/>
      </c>
      <c r="H16359" s="42">
        <f t="shared" si="1"/>
        <v>3345</v>
      </c>
    </row>
    <row r="16360" ht="22.5" customHeight="1">
      <c r="B16360" s="42" t="str">
        <f>IFERROR(__xludf.DUMMYFUNCTION("""COMPUTED_VALUE"""),"")</f>
        <v/>
      </c>
      <c r="C16360" s="42" t="str">
        <f>IFERROR(__xludf.DUMMYFUNCTION("""COMPUTED_VALUE"""),"")</f>
        <v/>
      </c>
      <c r="D16360" s="42"/>
      <c r="E16360" s="42"/>
      <c r="F16360" s="48" t="str">
        <f>IFERROR(__xludf.DUMMYFUNCTION("""COMPUTED_VALUE"""),"")</f>
        <v/>
      </c>
      <c r="G16360" s="42" t="str">
        <f>IFERROR(__xludf.DUMMYFUNCTION("""COMPUTED_VALUE"""),"")</f>
        <v/>
      </c>
      <c r="H16360" s="42">
        <f t="shared" si="1"/>
        <v>3345</v>
      </c>
    </row>
    <row r="16361" ht="22.5" customHeight="1">
      <c r="B16361" s="42" t="str">
        <f>IFERROR(__xludf.DUMMYFUNCTION("""COMPUTED_VALUE"""),"")</f>
        <v/>
      </c>
      <c r="C16361" s="42" t="str">
        <f>IFERROR(__xludf.DUMMYFUNCTION("""COMPUTED_VALUE"""),"")</f>
        <v/>
      </c>
      <c r="D16361" s="42"/>
      <c r="E16361" s="42"/>
      <c r="F16361" s="48" t="str">
        <f>IFERROR(__xludf.DUMMYFUNCTION("""COMPUTED_VALUE"""),"")</f>
        <v/>
      </c>
      <c r="G16361" s="42" t="str">
        <f>IFERROR(__xludf.DUMMYFUNCTION("""COMPUTED_VALUE"""),"")</f>
        <v/>
      </c>
      <c r="H16361" s="42">
        <f t="shared" si="1"/>
        <v>3345</v>
      </c>
    </row>
    <row r="16362" ht="22.5" customHeight="1">
      <c r="B16362" s="42" t="str">
        <f>IFERROR(__xludf.DUMMYFUNCTION("""COMPUTED_VALUE"""),"")</f>
        <v/>
      </c>
      <c r="C16362" s="42" t="str">
        <f>IFERROR(__xludf.DUMMYFUNCTION("""COMPUTED_VALUE"""),"")</f>
        <v/>
      </c>
      <c r="D16362" s="42"/>
      <c r="E16362" s="42"/>
      <c r="F16362" s="48" t="str">
        <f>IFERROR(__xludf.DUMMYFUNCTION("""COMPUTED_VALUE"""),"")</f>
        <v/>
      </c>
      <c r="G16362" s="42" t="str">
        <f>IFERROR(__xludf.DUMMYFUNCTION("""COMPUTED_VALUE"""),"")</f>
        <v/>
      </c>
      <c r="H16362" s="42">
        <f t="shared" si="1"/>
        <v>3345</v>
      </c>
    </row>
    <row r="16363" ht="22.5" customHeight="1">
      <c r="B16363" s="42" t="str">
        <f>IFERROR(__xludf.DUMMYFUNCTION("""COMPUTED_VALUE"""),"")</f>
        <v/>
      </c>
      <c r="C16363" s="42" t="str">
        <f>IFERROR(__xludf.DUMMYFUNCTION("""COMPUTED_VALUE"""),"")</f>
        <v/>
      </c>
      <c r="D16363" s="42"/>
      <c r="E16363" s="42"/>
      <c r="F16363" s="48" t="str">
        <f>IFERROR(__xludf.DUMMYFUNCTION("""COMPUTED_VALUE"""),"")</f>
        <v/>
      </c>
      <c r="G16363" s="42" t="str">
        <f>IFERROR(__xludf.DUMMYFUNCTION("""COMPUTED_VALUE"""),"")</f>
        <v/>
      </c>
      <c r="H16363" s="42">
        <f t="shared" si="1"/>
        <v>3345</v>
      </c>
    </row>
    <row r="16364" ht="22.5" customHeight="1">
      <c r="B16364" s="42" t="str">
        <f>IFERROR(__xludf.DUMMYFUNCTION("""COMPUTED_VALUE"""),"")</f>
        <v/>
      </c>
      <c r="C16364" s="42" t="str">
        <f>IFERROR(__xludf.DUMMYFUNCTION("""COMPUTED_VALUE"""),"")</f>
        <v/>
      </c>
      <c r="D16364" s="42"/>
      <c r="E16364" s="42"/>
      <c r="F16364" s="48" t="str">
        <f>IFERROR(__xludf.DUMMYFUNCTION("""COMPUTED_VALUE"""),"")</f>
        <v/>
      </c>
      <c r="G16364" s="42" t="str">
        <f>IFERROR(__xludf.DUMMYFUNCTION("""COMPUTED_VALUE"""),"")</f>
        <v/>
      </c>
      <c r="H16364" s="42">
        <f t="shared" si="1"/>
        <v>3345</v>
      </c>
    </row>
    <row r="16365" ht="22.5" customHeight="1">
      <c r="B16365" s="42" t="str">
        <f>IFERROR(__xludf.DUMMYFUNCTION("""COMPUTED_VALUE"""),"")</f>
        <v/>
      </c>
      <c r="C16365" s="42" t="str">
        <f>IFERROR(__xludf.DUMMYFUNCTION("""COMPUTED_VALUE"""),"")</f>
        <v/>
      </c>
      <c r="D16365" s="42"/>
      <c r="E16365" s="42"/>
      <c r="F16365" s="48" t="str">
        <f>IFERROR(__xludf.DUMMYFUNCTION("""COMPUTED_VALUE"""),"")</f>
        <v/>
      </c>
      <c r="G16365" s="42" t="str">
        <f>IFERROR(__xludf.DUMMYFUNCTION("""COMPUTED_VALUE"""),"")</f>
        <v/>
      </c>
      <c r="H16365" s="42">
        <f t="shared" si="1"/>
        <v>3345</v>
      </c>
    </row>
    <row r="16366" ht="22.5" customHeight="1">
      <c r="B16366" s="42" t="str">
        <f>IFERROR(__xludf.DUMMYFUNCTION("""COMPUTED_VALUE"""),"")</f>
        <v/>
      </c>
      <c r="C16366" s="42" t="str">
        <f>IFERROR(__xludf.DUMMYFUNCTION("""COMPUTED_VALUE"""),"")</f>
        <v/>
      </c>
      <c r="D16366" s="42"/>
      <c r="E16366" s="42"/>
      <c r="F16366" s="48" t="str">
        <f>IFERROR(__xludf.DUMMYFUNCTION("""COMPUTED_VALUE"""),"")</f>
        <v/>
      </c>
      <c r="G16366" s="42" t="str">
        <f>IFERROR(__xludf.DUMMYFUNCTION("""COMPUTED_VALUE"""),"")</f>
        <v/>
      </c>
      <c r="H16366" s="42">
        <f t="shared" si="1"/>
        <v>3345</v>
      </c>
    </row>
    <row r="16367" ht="22.5" customHeight="1">
      <c r="B16367" s="42" t="str">
        <f>IFERROR(__xludf.DUMMYFUNCTION("""COMPUTED_VALUE"""),"")</f>
        <v/>
      </c>
      <c r="C16367" s="42" t="str">
        <f>IFERROR(__xludf.DUMMYFUNCTION("""COMPUTED_VALUE"""),"")</f>
        <v/>
      </c>
      <c r="D16367" s="42"/>
      <c r="E16367" s="42"/>
      <c r="F16367" s="48" t="str">
        <f>IFERROR(__xludf.DUMMYFUNCTION("""COMPUTED_VALUE"""),"")</f>
        <v/>
      </c>
      <c r="G16367" s="42" t="str">
        <f>IFERROR(__xludf.DUMMYFUNCTION("""COMPUTED_VALUE"""),"")</f>
        <v/>
      </c>
      <c r="H16367" s="42">
        <f t="shared" si="1"/>
        <v>3345</v>
      </c>
    </row>
    <row r="16368" ht="22.5" customHeight="1">
      <c r="B16368" s="42" t="str">
        <f>IFERROR(__xludf.DUMMYFUNCTION("""COMPUTED_VALUE"""),"")</f>
        <v/>
      </c>
      <c r="C16368" s="42" t="str">
        <f>IFERROR(__xludf.DUMMYFUNCTION("""COMPUTED_VALUE"""),"")</f>
        <v/>
      </c>
      <c r="D16368" s="42"/>
      <c r="E16368" s="42"/>
      <c r="F16368" s="48" t="str">
        <f>IFERROR(__xludf.DUMMYFUNCTION("""COMPUTED_VALUE"""),"")</f>
        <v/>
      </c>
      <c r="G16368" s="42" t="str">
        <f>IFERROR(__xludf.DUMMYFUNCTION("""COMPUTED_VALUE"""),"")</f>
        <v/>
      </c>
      <c r="H16368" s="42">
        <f t="shared" si="1"/>
        <v>3345</v>
      </c>
    </row>
    <row r="16369" ht="22.5" customHeight="1">
      <c r="B16369" s="42" t="str">
        <f>IFERROR(__xludf.DUMMYFUNCTION("""COMPUTED_VALUE"""),"")</f>
        <v/>
      </c>
      <c r="C16369" s="42" t="str">
        <f>IFERROR(__xludf.DUMMYFUNCTION("""COMPUTED_VALUE"""),"")</f>
        <v/>
      </c>
      <c r="D16369" s="42"/>
      <c r="E16369" s="42"/>
      <c r="F16369" s="48" t="str">
        <f>IFERROR(__xludf.DUMMYFUNCTION("""COMPUTED_VALUE"""),"")</f>
        <v/>
      </c>
      <c r="G16369" s="42" t="str">
        <f>IFERROR(__xludf.DUMMYFUNCTION("""COMPUTED_VALUE"""),"")</f>
        <v/>
      </c>
      <c r="H16369" s="42">
        <f t="shared" si="1"/>
        <v>3345</v>
      </c>
    </row>
    <row r="16370" ht="22.5" customHeight="1">
      <c r="B16370" s="42" t="str">
        <f>IFERROR(__xludf.DUMMYFUNCTION("""COMPUTED_VALUE"""),"")</f>
        <v/>
      </c>
      <c r="C16370" s="42" t="str">
        <f>IFERROR(__xludf.DUMMYFUNCTION("""COMPUTED_VALUE"""),"")</f>
        <v/>
      </c>
      <c r="D16370" s="42"/>
      <c r="E16370" s="42"/>
      <c r="F16370" s="48" t="str">
        <f>IFERROR(__xludf.DUMMYFUNCTION("""COMPUTED_VALUE"""),"")</f>
        <v/>
      </c>
      <c r="G16370" s="42" t="str">
        <f>IFERROR(__xludf.DUMMYFUNCTION("""COMPUTED_VALUE"""),"")</f>
        <v/>
      </c>
      <c r="H16370" s="42">
        <f t="shared" si="1"/>
        <v>3345</v>
      </c>
    </row>
    <row r="16371" ht="22.5" customHeight="1">
      <c r="B16371" s="42" t="str">
        <f>IFERROR(__xludf.DUMMYFUNCTION("""COMPUTED_VALUE"""),"")</f>
        <v/>
      </c>
      <c r="C16371" s="42" t="str">
        <f>IFERROR(__xludf.DUMMYFUNCTION("""COMPUTED_VALUE"""),"")</f>
        <v/>
      </c>
      <c r="D16371" s="42"/>
      <c r="E16371" s="42"/>
      <c r="F16371" s="48" t="str">
        <f>IFERROR(__xludf.DUMMYFUNCTION("""COMPUTED_VALUE"""),"")</f>
        <v/>
      </c>
      <c r="G16371" s="42" t="str">
        <f>IFERROR(__xludf.DUMMYFUNCTION("""COMPUTED_VALUE"""),"")</f>
        <v/>
      </c>
      <c r="H16371" s="42">
        <f t="shared" si="1"/>
        <v>3345</v>
      </c>
    </row>
    <row r="16372" ht="22.5" customHeight="1">
      <c r="B16372" s="42" t="str">
        <f>IFERROR(__xludf.DUMMYFUNCTION("""COMPUTED_VALUE"""),"")</f>
        <v/>
      </c>
      <c r="C16372" s="42" t="str">
        <f>IFERROR(__xludf.DUMMYFUNCTION("""COMPUTED_VALUE"""),"")</f>
        <v/>
      </c>
      <c r="D16372" s="42"/>
      <c r="E16372" s="42"/>
      <c r="F16372" s="48" t="str">
        <f>IFERROR(__xludf.DUMMYFUNCTION("""COMPUTED_VALUE"""),"")</f>
        <v/>
      </c>
      <c r="G16372" s="42" t="str">
        <f>IFERROR(__xludf.DUMMYFUNCTION("""COMPUTED_VALUE"""),"")</f>
        <v/>
      </c>
      <c r="H16372" s="42">
        <f t="shared" si="1"/>
        <v>3345</v>
      </c>
    </row>
    <row r="16373" ht="22.5" customHeight="1">
      <c r="B16373" s="42" t="str">
        <f>IFERROR(__xludf.DUMMYFUNCTION("""COMPUTED_VALUE"""),"")</f>
        <v/>
      </c>
      <c r="C16373" s="42" t="str">
        <f>IFERROR(__xludf.DUMMYFUNCTION("""COMPUTED_VALUE"""),"")</f>
        <v/>
      </c>
      <c r="D16373" s="42"/>
      <c r="E16373" s="42"/>
      <c r="F16373" s="48" t="str">
        <f>IFERROR(__xludf.DUMMYFUNCTION("""COMPUTED_VALUE"""),"")</f>
        <v/>
      </c>
      <c r="G16373" s="42" t="str">
        <f>IFERROR(__xludf.DUMMYFUNCTION("""COMPUTED_VALUE"""),"")</f>
        <v/>
      </c>
      <c r="H16373" s="42">
        <f t="shared" si="1"/>
        <v>3345</v>
      </c>
    </row>
    <row r="16374" ht="22.5" customHeight="1">
      <c r="B16374" s="42" t="str">
        <f>IFERROR(__xludf.DUMMYFUNCTION("""COMPUTED_VALUE"""),"")</f>
        <v/>
      </c>
      <c r="C16374" s="42" t="str">
        <f>IFERROR(__xludf.DUMMYFUNCTION("""COMPUTED_VALUE"""),"")</f>
        <v/>
      </c>
      <c r="D16374" s="42"/>
      <c r="E16374" s="42"/>
      <c r="F16374" s="48" t="str">
        <f>IFERROR(__xludf.DUMMYFUNCTION("""COMPUTED_VALUE"""),"")</f>
        <v/>
      </c>
      <c r="G16374" s="42" t="str">
        <f>IFERROR(__xludf.DUMMYFUNCTION("""COMPUTED_VALUE"""),"")</f>
        <v/>
      </c>
      <c r="H16374" s="42">
        <f t="shared" si="1"/>
        <v>3345</v>
      </c>
    </row>
    <row r="16375" ht="22.5" customHeight="1">
      <c r="B16375" s="42" t="str">
        <f>IFERROR(__xludf.DUMMYFUNCTION("""COMPUTED_VALUE"""),"")</f>
        <v/>
      </c>
      <c r="C16375" s="42" t="str">
        <f>IFERROR(__xludf.DUMMYFUNCTION("""COMPUTED_VALUE"""),"")</f>
        <v/>
      </c>
      <c r="D16375" s="42"/>
      <c r="E16375" s="42"/>
      <c r="F16375" s="48" t="str">
        <f>IFERROR(__xludf.DUMMYFUNCTION("""COMPUTED_VALUE"""),"")</f>
        <v/>
      </c>
      <c r="G16375" s="42" t="str">
        <f>IFERROR(__xludf.DUMMYFUNCTION("""COMPUTED_VALUE"""),"")</f>
        <v/>
      </c>
      <c r="H16375" s="42">
        <f t="shared" si="1"/>
        <v>3345</v>
      </c>
    </row>
    <row r="16376" ht="22.5" customHeight="1">
      <c r="B16376" s="42" t="str">
        <f>IFERROR(__xludf.DUMMYFUNCTION("""COMPUTED_VALUE"""),"")</f>
        <v/>
      </c>
      <c r="C16376" s="42" t="str">
        <f>IFERROR(__xludf.DUMMYFUNCTION("""COMPUTED_VALUE"""),"")</f>
        <v/>
      </c>
      <c r="D16376" s="42"/>
      <c r="E16376" s="42"/>
      <c r="F16376" s="48" t="str">
        <f>IFERROR(__xludf.DUMMYFUNCTION("""COMPUTED_VALUE"""),"")</f>
        <v/>
      </c>
      <c r="G16376" s="42" t="str">
        <f>IFERROR(__xludf.DUMMYFUNCTION("""COMPUTED_VALUE"""),"")</f>
        <v/>
      </c>
      <c r="H16376" s="42">
        <f t="shared" si="1"/>
        <v>3345</v>
      </c>
    </row>
    <row r="16377" ht="22.5" customHeight="1">
      <c r="B16377" s="42" t="str">
        <f>IFERROR(__xludf.DUMMYFUNCTION("""COMPUTED_VALUE"""),"")</f>
        <v/>
      </c>
      <c r="C16377" s="42" t="str">
        <f>IFERROR(__xludf.DUMMYFUNCTION("""COMPUTED_VALUE"""),"")</f>
        <v/>
      </c>
      <c r="D16377" s="42"/>
      <c r="E16377" s="42"/>
      <c r="F16377" s="48" t="str">
        <f>IFERROR(__xludf.DUMMYFUNCTION("""COMPUTED_VALUE"""),"")</f>
        <v/>
      </c>
      <c r="G16377" s="42" t="str">
        <f>IFERROR(__xludf.DUMMYFUNCTION("""COMPUTED_VALUE"""),"")</f>
        <v/>
      </c>
      <c r="H16377" s="42">
        <f t="shared" si="1"/>
        <v>3345</v>
      </c>
    </row>
    <row r="16378" ht="22.5" customHeight="1">
      <c r="B16378" s="42" t="str">
        <f>IFERROR(__xludf.DUMMYFUNCTION("""COMPUTED_VALUE"""),"")</f>
        <v/>
      </c>
      <c r="C16378" s="42" t="str">
        <f>IFERROR(__xludf.DUMMYFUNCTION("""COMPUTED_VALUE"""),"")</f>
        <v/>
      </c>
      <c r="D16378" s="42"/>
      <c r="E16378" s="42"/>
      <c r="F16378" s="48" t="str">
        <f>IFERROR(__xludf.DUMMYFUNCTION("""COMPUTED_VALUE"""),"")</f>
        <v/>
      </c>
      <c r="G16378" s="42" t="str">
        <f>IFERROR(__xludf.DUMMYFUNCTION("""COMPUTED_VALUE"""),"")</f>
        <v/>
      </c>
      <c r="H16378" s="42">
        <f t="shared" si="1"/>
        <v>3345</v>
      </c>
    </row>
    <row r="16379" ht="22.5" customHeight="1">
      <c r="B16379" s="42" t="str">
        <f>IFERROR(__xludf.DUMMYFUNCTION("""COMPUTED_VALUE"""),"")</f>
        <v/>
      </c>
      <c r="C16379" s="42" t="str">
        <f>IFERROR(__xludf.DUMMYFUNCTION("""COMPUTED_VALUE"""),"")</f>
        <v/>
      </c>
      <c r="D16379" s="42"/>
      <c r="E16379" s="42"/>
      <c r="F16379" s="48" t="str">
        <f>IFERROR(__xludf.DUMMYFUNCTION("""COMPUTED_VALUE"""),"")</f>
        <v/>
      </c>
      <c r="G16379" s="42" t="str">
        <f>IFERROR(__xludf.DUMMYFUNCTION("""COMPUTED_VALUE"""),"")</f>
        <v/>
      </c>
      <c r="H16379" s="42">
        <f t="shared" si="1"/>
        <v>3345</v>
      </c>
    </row>
    <row r="16380" ht="22.5" customHeight="1">
      <c r="B16380" s="42" t="str">
        <f>IFERROR(__xludf.DUMMYFUNCTION("""COMPUTED_VALUE"""),"")</f>
        <v/>
      </c>
      <c r="C16380" s="42" t="str">
        <f>IFERROR(__xludf.DUMMYFUNCTION("""COMPUTED_VALUE"""),"")</f>
        <v/>
      </c>
      <c r="D16380" s="42"/>
      <c r="E16380" s="42"/>
      <c r="F16380" s="48" t="str">
        <f>IFERROR(__xludf.DUMMYFUNCTION("""COMPUTED_VALUE"""),"")</f>
        <v/>
      </c>
      <c r="G16380" s="42" t="str">
        <f>IFERROR(__xludf.DUMMYFUNCTION("""COMPUTED_VALUE"""),"")</f>
        <v/>
      </c>
      <c r="H16380" s="42">
        <f t="shared" si="1"/>
        <v>3345</v>
      </c>
    </row>
    <row r="16381" ht="22.5" customHeight="1">
      <c r="B16381" s="42" t="str">
        <f>IFERROR(__xludf.DUMMYFUNCTION("""COMPUTED_VALUE"""),"")</f>
        <v/>
      </c>
      <c r="C16381" s="42" t="str">
        <f>IFERROR(__xludf.DUMMYFUNCTION("""COMPUTED_VALUE"""),"")</f>
        <v/>
      </c>
      <c r="D16381" s="42"/>
      <c r="E16381" s="42"/>
      <c r="F16381" s="48" t="str">
        <f>IFERROR(__xludf.DUMMYFUNCTION("""COMPUTED_VALUE"""),"")</f>
        <v/>
      </c>
      <c r="G16381" s="42" t="str">
        <f>IFERROR(__xludf.DUMMYFUNCTION("""COMPUTED_VALUE"""),"")</f>
        <v/>
      </c>
      <c r="H16381" s="42">
        <f t="shared" si="1"/>
        <v>3345</v>
      </c>
    </row>
    <row r="16382" ht="22.5" customHeight="1">
      <c r="B16382" s="42" t="str">
        <f>IFERROR(__xludf.DUMMYFUNCTION("""COMPUTED_VALUE"""),"")</f>
        <v/>
      </c>
      <c r="C16382" s="42" t="str">
        <f>IFERROR(__xludf.DUMMYFUNCTION("""COMPUTED_VALUE"""),"")</f>
        <v/>
      </c>
      <c r="D16382" s="42"/>
      <c r="E16382" s="42"/>
      <c r="F16382" s="48" t="str">
        <f>IFERROR(__xludf.DUMMYFUNCTION("""COMPUTED_VALUE"""),"")</f>
        <v/>
      </c>
      <c r="G16382" s="42" t="str">
        <f>IFERROR(__xludf.DUMMYFUNCTION("""COMPUTED_VALUE"""),"")</f>
        <v/>
      </c>
      <c r="H16382" s="42">
        <f t="shared" si="1"/>
        <v>3345</v>
      </c>
    </row>
    <row r="16383" ht="22.5" customHeight="1">
      <c r="B16383" s="42" t="str">
        <f>IFERROR(__xludf.DUMMYFUNCTION("""COMPUTED_VALUE"""),"")</f>
        <v/>
      </c>
      <c r="C16383" s="42" t="str">
        <f>IFERROR(__xludf.DUMMYFUNCTION("""COMPUTED_VALUE"""),"")</f>
        <v/>
      </c>
      <c r="D16383" s="42"/>
      <c r="E16383" s="42"/>
      <c r="F16383" s="48" t="str">
        <f>IFERROR(__xludf.DUMMYFUNCTION("""COMPUTED_VALUE"""),"")</f>
        <v/>
      </c>
      <c r="G16383" s="42" t="str">
        <f>IFERROR(__xludf.DUMMYFUNCTION("""COMPUTED_VALUE"""),"")</f>
        <v/>
      </c>
      <c r="H16383" s="42">
        <f t="shared" si="1"/>
        <v>3345</v>
      </c>
    </row>
    <row r="16384" ht="22.5" customHeight="1">
      <c r="B16384" s="42" t="str">
        <f>IFERROR(__xludf.DUMMYFUNCTION("""COMPUTED_VALUE"""),"")</f>
        <v/>
      </c>
      <c r="C16384" s="42" t="str">
        <f>IFERROR(__xludf.DUMMYFUNCTION("""COMPUTED_VALUE"""),"")</f>
        <v/>
      </c>
      <c r="D16384" s="42"/>
      <c r="E16384" s="42"/>
      <c r="F16384" s="48" t="str">
        <f>IFERROR(__xludf.DUMMYFUNCTION("""COMPUTED_VALUE"""),"")</f>
        <v/>
      </c>
      <c r="G16384" s="42" t="str">
        <f>IFERROR(__xludf.DUMMYFUNCTION("""COMPUTED_VALUE"""),"")</f>
        <v/>
      </c>
      <c r="H16384" s="42">
        <f t="shared" si="1"/>
        <v>3345</v>
      </c>
    </row>
    <row r="16385" ht="22.5" customHeight="1">
      <c r="B16385" s="42" t="str">
        <f>IFERROR(__xludf.DUMMYFUNCTION("""COMPUTED_VALUE"""),"")</f>
        <v/>
      </c>
      <c r="C16385" s="42" t="str">
        <f>IFERROR(__xludf.DUMMYFUNCTION("""COMPUTED_VALUE"""),"")</f>
        <v/>
      </c>
      <c r="D16385" s="42"/>
      <c r="E16385" s="42"/>
      <c r="F16385" s="48" t="str">
        <f>IFERROR(__xludf.DUMMYFUNCTION("""COMPUTED_VALUE"""),"")</f>
        <v/>
      </c>
      <c r="G16385" s="42" t="str">
        <f>IFERROR(__xludf.DUMMYFUNCTION("""COMPUTED_VALUE"""),"")</f>
        <v/>
      </c>
      <c r="H16385" s="42">
        <f t="shared" si="1"/>
        <v>3345</v>
      </c>
    </row>
    <row r="16386" ht="22.5" customHeight="1">
      <c r="B16386" s="42" t="str">
        <f>IFERROR(__xludf.DUMMYFUNCTION("""COMPUTED_VALUE"""),"")</f>
        <v/>
      </c>
      <c r="C16386" s="42" t="str">
        <f>IFERROR(__xludf.DUMMYFUNCTION("""COMPUTED_VALUE"""),"")</f>
        <v/>
      </c>
      <c r="D16386" s="42"/>
      <c r="E16386" s="42"/>
      <c r="F16386" s="48" t="str">
        <f>IFERROR(__xludf.DUMMYFUNCTION("""COMPUTED_VALUE"""),"")</f>
        <v/>
      </c>
      <c r="G16386" s="42" t="str">
        <f>IFERROR(__xludf.DUMMYFUNCTION("""COMPUTED_VALUE"""),"")</f>
        <v/>
      </c>
      <c r="H16386" s="42">
        <f t="shared" si="1"/>
        <v>3345</v>
      </c>
    </row>
    <row r="16387" ht="22.5" customHeight="1">
      <c r="B16387" s="42" t="str">
        <f>IFERROR(__xludf.DUMMYFUNCTION("""COMPUTED_VALUE"""),"")</f>
        <v/>
      </c>
      <c r="C16387" s="42" t="str">
        <f>IFERROR(__xludf.DUMMYFUNCTION("""COMPUTED_VALUE"""),"")</f>
        <v/>
      </c>
      <c r="D16387" s="42"/>
      <c r="E16387" s="42"/>
      <c r="F16387" s="48" t="str">
        <f>IFERROR(__xludf.DUMMYFUNCTION("""COMPUTED_VALUE"""),"")</f>
        <v/>
      </c>
      <c r="G16387" s="42" t="str">
        <f>IFERROR(__xludf.DUMMYFUNCTION("""COMPUTED_VALUE"""),"")</f>
        <v/>
      </c>
      <c r="H16387" s="42">
        <f t="shared" si="1"/>
        <v>3345</v>
      </c>
    </row>
    <row r="16388" ht="22.5" customHeight="1">
      <c r="B16388" s="42" t="str">
        <f>IFERROR(__xludf.DUMMYFUNCTION("""COMPUTED_VALUE"""),"")</f>
        <v/>
      </c>
      <c r="C16388" s="42" t="str">
        <f>IFERROR(__xludf.DUMMYFUNCTION("""COMPUTED_VALUE"""),"")</f>
        <v/>
      </c>
      <c r="D16388" s="42"/>
      <c r="E16388" s="42"/>
      <c r="F16388" s="48" t="str">
        <f>IFERROR(__xludf.DUMMYFUNCTION("""COMPUTED_VALUE"""),"")</f>
        <v/>
      </c>
      <c r="G16388" s="42" t="str">
        <f>IFERROR(__xludf.DUMMYFUNCTION("""COMPUTED_VALUE"""),"")</f>
        <v/>
      </c>
      <c r="H16388" s="42">
        <f t="shared" si="1"/>
        <v>3345</v>
      </c>
    </row>
    <row r="16389" ht="22.5" customHeight="1">
      <c r="B16389" s="42" t="str">
        <f>IFERROR(__xludf.DUMMYFUNCTION("""COMPUTED_VALUE"""),"")</f>
        <v/>
      </c>
      <c r="C16389" s="42" t="str">
        <f>IFERROR(__xludf.DUMMYFUNCTION("""COMPUTED_VALUE"""),"")</f>
        <v/>
      </c>
      <c r="D16389" s="42"/>
      <c r="E16389" s="42"/>
      <c r="F16389" s="48" t="str">
        <f>IFERROR(__xludf.DUMMYFUNCTION("""COMPUTED_VALUE"""),"")</f>
        <v/>
      </c>
      <c r="G16389" s="42" t="str">
        <f>IFERROR(__xludf.DUMMYFUNCTION("""COMPUTED_VALUE"""),"")</f>
        <v/>
      </c>
      <c r="H16389" s="42">
        <f t="shared" si="1"/>
        <v>3345</v>
      </c>
    </row>
    <row r="16390" ht="22.5" customHeight="1">
      <c r="B16390" s="42" t="str">
        <f>IFERROR(__xludf.DUMMYFUNCTION("""COMPUTED_VALUE"""),"")</f>
        <v/>
      </c>
      <c r="C16390" s="42" t="str">
        <f>IFERROR(__xludf.DUMMYFUNCTION("""COMPUTED_VALUE"""),"")</f>
        <v/>
      </c>
      <c r="D16390" s="42"/>
      <c r="E16390" s="42"/>
      <c r="F16390" s="48" t="str">
        <f>IFERROR(__xludf.DUMMYFUNCTION("""COMPUTED_VALUE"""),"")</f>
        <v/>
      </c>
      <c r="G16390" s="42" t="str">
        <f>IFERROR(__xludf.DUMMYFUNCTION("""COMPUTED_VALUE"""),"")</f>
        <v/>
      </c>
      <c r="H16390" s="42">
        <f t="shared" si="1"/>
        <v>3345</v>
      </c>
    </row>
    <row r="16391" ht="22.5" customHeight="1">
      <c r="B16391" s="42" t="str">
        <f>IFERROR(__xludf.DUMMYFUNCTION("""COMPUTED_VALUE"""),"")</f>
        <v/>
      </c>
      <c r="C16391" s="42" t="str">
        <f>IFERROR(__xludf.DUMMYFUNCTION("""COMPUTED_VALUE"""),"")</f>
        <v/>
      </c>
      <c r="D16391" s="42"/>
      <c r="E16391" s="42"/>
      <c r="F16391" s="48" t="str">
        <f>IFERROR(__xludf.DUMMYFUNCTION("""COMPUTED_VALUE"""),"")</f>
        <v/>
      </c>
      <c r="G16391" s="42" t="str">
        <f>IFERROR(__xludf.DUMMYFUNCTION("""COMPUTED_VALUE"""),"")</f>
        <v/>
      </c>
      <c r="H16391" s="42">
        <f t="shared" si="1"/>
        <v>3345</v>
      </c>
    </row>
    <row r="16392" ht="22.5" customHeight="1">
      <c r="B16392" s="42" t="str">
        <f>IFERROR(__xludf.DUMMYFUNCTION("""COMPUTED_VALUE"""),"")</f>
        <v/>
      </c>
      <c r="C16392" s="42" t="str">
        <f>IFERROR(__xludf.DUMMYFUNCTION("""COMPUTED_VALUE"""),"")</f>
        <v/>
      </c>
      <c r="D16392" s="42"/>
      <c r="E16392" s="42"/>
      <c r="F16392" s="48" t="str">
        <f>IFERROR(__xludf.DUMMYFUNCTION("""COMPUTED_VALUE"""),"")</f>
        <v/>
      </c>
      <c r="G16392" s="42" t="str">
        <f>IFERROR(__xludf.DUMMYFUNCTION("""COMPUTED_VALUE"""),"")</f>
        <v/>
      </c>
      <c r="H16392" s="42">
        <f t="shared" si="1"/>
        <v>3345</v>
      </c>
    </row>
    <row r="16393" ht="22.5" customHeight="1">
      <c r="B16393" s="42" t="str">
        <f>IFERROR(__xludf.DUMMYFUNCTION("""COMPUTED_VALUE"""),"")</f>
        <v/>
      </c>
      <c r="C16393" s="42" t="str">
        <f>IFERROR(__xludf.DUMMYFUNCTION("""COMPUTED_VALUE"""),"")</f>
        <v/>
      </c>
      <c r="D16393" s="42"/>
      <c r="E16393" s="42"/>
      <c r="F16393" s="48" t="str">
        <f>IFERROR(__xludf.DUMMYFUNCTION("""COMPUTED_VALUE"""),"")</f>
        <v/>
      </c>
      <c r="G16393" s="42" t="str">
        <f>IFERROR(__xludf.DUMMYFUNCTION("""COMPUTED_VALUE"""),"")</f>
        <v/>
      </c>
      <c r="H16393" s="42">
        <f t="shared" si="1"/>
        <v>3345</v>
      </c>
    </row>
    <row r="16394" ht="22.5" customHeight="1">
      <c r="B16394" s="42" t="str">
        <f>IFERROR(__xludf.DUMMYFUNCTION("""COMPUTED_VALUE"""),"")</f>
        <v/>
      </c>
      <c r="C16394" s="42" t="str">
        <f>IFERROR(__xludf.DUMMYFUNCTION("""COMPUTED_VALUE"""),"")</f>
        <v/>
      </c>
      <c r="D16394" s="42"/>
      <c r="E16394" s="42"/>
      <c r="F16394" s="48" t="str">
        <f>IFERROR(__xludf.DUMMYFUNCTION("""COMPUTED_VALUE"""),"")</f>
        <v/>
      </c>
      <c r="G16394" s="42" t="str">
        <f>IFERROR(__xludf.DUMMYFUNCTION("""COMPUTED_VALUE"""),"")</f>
        <v/>
      </c>
      <c r="H16394" s="42">
        <f t="shared" si="1"/>
        <v>3345</v>
      </c>
    </row>
    <row r="16395" ht="22.5" customHeight="1">
      <c r="B16395" s="42" t="str">
        <f>IFERROR(__xludf.DUMMYFUNCTION("""COMPUTED_VALUE"""),"")</f>
        <v/>
      </c>
      <c r="C16395" s="42" t="str">
        <f>IFERROR(__xludf.DUMMYFUNCTION("""COMPUTED_VALUE"""),"")</f>
        <v/>
      </c>
      <c r="D16395" s="42"/>
      <c r="E16395" s="42"/>
      <c r="F16395" s="48" t="str">
        <f>IFERROR(__xludf.DUMMYFUNCTION("""COMPUTED_VALUE"""),"")</f>
        <v/>
      </c>
      <c r="G16395" s="42" t="str">
        <f>IFERROR(__xludf.DUMMYFUNCTION("""COMPUTED_VALUE"""),"")</f>
        <v/>
      </c>
      <c r="H16395" s="42">
        <f t="shared" si="1"/>
        <v>3345</v>
      </c>
    </row>
    <row r="16396" ht="22.5" customHeight="1">
      <c r="B16396" s="42" t="str">
        <f>IFERROR(__xludf.DUMMYFUNCTION("""COMPUTED_VALUE"""),"")</f>
        <v/>
      </c>
      <c r="C16396" s="42" t="str">
        <f>IFERROR(__xludf.DUMMYFUNCTION("""COMPUTED_VALUE"""),"")</f>
        <v/>
      </c>
      <c r="D16396" s="42"/>
      <c r="E16396" s="42"/>
      <c r="F16396" s="48" t="str">
        <f>IFERROR(__xludf.DUMMYFUNCTION("""COMPUTED_VALUE"""),"")</f>
        <v/>
      </c>
      <c r="G16396" s="42" t="str">
        <f>IFERROR(__xludf.DUMMYFUNCTION("""COMPUTED_VALUE"""),"")</f>
        <v/>
      </c>
      <c r="H16396" s="42">
        <f t="shared" si="1"/>
        <v>3345</v>
      </c>
    </row>
    <row r="16397" ht="22.5" customHeight="1">
      <c r="B16397" s="42" t="str">
        <f>IFERROR(__xludf.DUMMYFUNCTION("""COMPUTED_VALUE"""),"")</f>
        <v/>
      </c>
      <c r="C16397" s="42" t="str">
        <f>IFERROR(__xludf.DUMMYFUNCTION("""COMPUTED_VALUE"""),"")</f>
        <v/>
      </c>
      <c r="D16397" s="42"/>
      <c r="E16397" s="42"/>
      <c r="F16397" s="48" t="str">
        <f>IFERROR(__xludf.DUMMYFUNCTION("""COMPUTED_VALUE"""),"")</f>
        <v/>
      </c>
      <c r="G16397" s="42" t="str">
        <f>IFERROR(__xludf.DUMMYFUNCTION("""COMPUTED_VALUE"""),"")</f>
        <v/>
      </c>
      <c r="H16397" s="42">
        <f t="shared" si="1"/>
        <v>3345</v>
      </c>
    </row>
    <row r="16398" ht="22.5" customHeight="1">
      <c r="B16398" s="42" t="str">
        <f>IFERROR(__xludf.DUMMYFUNCTION("""COMPUTED_VALUE"""),"")</f>
        <v/>
      </c>
      <c r="C16398" s="42" t="str">
        <f>IFERROR(__xludf.DUMMYFUNCTION("""COMPUTED_VALUE"""),"")</f>
        <v/>
      </c>
      <c r="D16398" s="42"/>
      <c r="E16398" s="42"/>
      <c r="F16398" s="48" t="str">
        <f>IFERROR(__xludf.DUMMYFUNCTION("""COMPUTED_VALUE"""),"")</f>
        <v/>
      </c>
      <c r="G16398" s="42" t="str">
        <f>IFERROR(__xludf.DUMMYFUNCTION("""COMPUTED_VALUE"""),"")</f>
        <v/>
      </c>
      <c r="H16398" s="42">
        <f t="shared" si="1"/>
        <v>3345</v>
      </c>
    </row>
    <row r="16399" ht="22.5" customHeight="1">
      <c r="B16399" s="42" t="str">
        <f>IFERROR(__xludf.DUMMYFUNCTION("""COMPUTED_VALUE"""),"")</f>
        <v/>
      </c>
      <c r="C16399" s="42" t="str">
        <f>IFERROR(__xludf.DUMMYFUNCTION("""COMPUTED_VALUE"""),"")</f>
        <v/>
      </c>
      <c r="D16399" s="42"/>
      <c r="E16399" s="42"/>
      <c r="F16399" s="48" t="str">
        <f>IFERROR(__xludf.DUMMYFUNCTION("""COMPUTED_VALUE"""),"")</f>
        <v/>
      </c>
      <c r="G16399" s="42" t="str">
        <f>IFERROR(__xludf.DUMMYFUNCTION("""COMPUTED_VALUE"""),"")</f>
        <v/>
      </c>
      <c r="H16399" s="42">
        <f t="shared" si="1"/>
        <v>3345</v>
      </c>
    </row>
    <row r="16400" ht="22.5" customHeight="1">
      <c r="B16400" s="42" t="str">
        <f>IFERROR(__xludf.DUMMYFUNCTION("""COMPUTED_VALUE"""),"")</f>
        <v/>
      </c>
      <c r="C16400" s="42" t="str">
        <f>IFERROR(__xludf.DUMMYFUNCTION("""COMPUTED_VALUE"""),"")</f>
        <v/>
      </c>
      <c r="D16400" s="42"/>
      <c r="E16400" s="42"/>
      <c r="F16400" s="48" t="str">
        <f>IFERROR(__xludf.DUMMYFUNCTION("""COMPUTED_VALUE"""),"")</f>
        <v/>
      </c>
      <c r="G16400" s="42" t="str">
        <f>IFERROR(__xludf.DUMMYFUNCTION("""COMPUTED_VALUE"""),"")</f>
        <v/>
      </c>
      <c r="H16400" s="42">
        <f t="shared" si="1"/>
        <v>3345</v>
      </c>
    </row>
    <row r="16401" ht="22.5" customHeight="1">
      <c r="B16401" s="42" t="str">
        <f>IFERROR(__xludf.DUMMYFUNCTION("""COMPUTED_VALUE"""),"")</f>
        <v/>
      </c>
      <c r="C16401" s="42" t="str">
        <f>IFERROR(__xludf.DUMMYFUNCTION("""COMPUTED_VALUE"""),"")</f>
        <v/>
      </c>
      <c r="D16401" s="42"/>
      <c r="E16401" s="42"/>
      <c r="F16401" s="48" t="str">
        <f>IFERROR(__xludf.DUMMYFUNCTION("""COMPUTED_VALUE"""),"")</f>
        <v/>
      </c>
      <c r="G16401" s="42" t="str">
        <f>IFERROR(__xludf.DUMMYFUNCTION("""COMPUTED_VALUE"""),"")</f>
        <v/>
      </c>
      <c r="H16401" s="42">
        <f t="shared" si="1"/>
        <v>3345</v>
      </c>
    </row>
    <row r="16402" ht="22.5" customHeight="1">
      <c r="B16402" s="42" t="str">
        <f>IFERROR(__xludf.DUMMYFUNCTION("""COMPUTED_VALUE"""),"")</f>
        <v/>
      </c>
      <c r="C16402" s="42" t="str">
        <f>IFERROR(__xludf.DUMMYFUNCTION("""COMPUTED_VALUE"""),"")</f>
        <v/>
      </c>
      <c r="D16402" s="42"/>
      <c r="E16402" s="42"/>
      <c r="F16402" s="48" t="str">
        <f>IFERROR(__xludf.DUMMYFUNCTION("""COMPUTED_VALUE"""),"")</f>
        <v/>
      </c>
      <c r="G16402" s="42" t="str">
        <f>IFERROR(__xludf.DUMMYFUNCTION("""COMPUTED_VALUE"""),"")</f>
        <v/>
      </c>
      <c r="H16402" s="42">
        <f t="shared" si="1"/>
        <v>3345</v>
      </c>
    </row>
    <row r="16403" ht="22.5" customHeight="1">
      <c r="B16403" s="42" t="str">
        <f>IFERROR(__xludf.DUMMYFUNCTION("""COMPUTED_VALUE"""),"")</f>
        <v/>
      </c>
      <c r="C16403" s="42" t="str">
        <f>IFERROR(__xludf.DUMMYFUNCTION("""COMPUTED_VALUE"""),"")</f>
        <v/>
      </c>
      <c r="D16403" s="42"/>
      <c r="E16403" s="42"/>
      <c r="F16403" s="48" t="str">
        <f>IFERROR(__xludf.DUMMYFUNCTION("""COMPUTED_VALUE"""),"")</f>
        <v/>
      </c>
      <c r="G16403" s="42" t="str">
        <f>IFERROR(__xludf.DUMMYFUNCTION("""COMPUTED_VALUE"""),"")</f>
        <v/>
      </c>
      <c r="H16403" s="42">
        <f t="shared" si="1"/>
        <v>3345</v>
      </c>
    </row>
    <row r="16404" ht="22.5" customHeight="1">
      <c r="B16404" s="42" t="str">
        <f>IFERROR(__xludf.DUMMYFUNCTION("""COMPUTED_VALUE"""),"")</f>
        <v/>
      </c>
      <c r="C16404" s="42" t="str">
        <f>IFERROR(__xludf.DUMMYFUNCTION("""COMPUTED_VALUE"""),"")</f>
        <v/>
      </c>
      <c r="D16404" s="42"/>
      <c r="E16404" s="42"/>
      <c r="F16404" s="48" t="str">
        <f>IFERROR(__xludf.DUMMYFUNCTION("""COMPUTED_VALUE"""),"")</f>
        <v/>
      </c>
      <c r="G16404" s="42" t="str">
        <f>IFERROR(__xludf.DUMMYFUNCTION("""COMPUTED_VALUE"""),"")</f>
        <v/>
      </c>
      <c r="H16404" s="42">
        <f t="shared" si="1"/>
        <v>3345</v>
      </c>
    </row>
    <row r="16405" ht="22.5" customHeight="1">
      <c r="B16405" s="42" t="str">
        <f>IFERROR(__xludf.DUMMYFUNCTION("""COMPUTED_VALUE"""),"")</f>
        <v/>
      </c>
      <c r="C16405" s="42" t="str">
        <f>IFERROR(__xludf.DUMMYFUNCTION("""COMPUTED_VALUE"""),"")</f>
        <v/>
      </c>
      <c r="D16405" s="42"/>
      <c r="E16405" s="42"/>
      <c r="F16405" s="48" t="str">
        <f>IFERROR(__xludf.DUMMYFUNCTION("""COMPUTED_VALUE"""),"")</f>
        <v/>
      </c>
      <c r="G16405" s="42" t="str">
        <f>IFERROR(__xludf.DUMMYFUNCTION("""COMPUTED_VALUE"""),"")</f>
        <v/>
      </c>
      <c r="H16405" s="42">
        <f t="shared" si="1"/>
        <v>3345</v>
      </c>
    </row>
    <row r="16406" ht="22.5" customHeight="1">
      <c r="B16406" s="42" t="str">
        <f>IFERROR(__xludf.DUMMYFUNCTION("""COMPUTED_VALUE"""),"")</f>
        <v/>
      </c>
      <c r="C16406" s="42" t="str">
        <f>IFERROR(__xludf.DUMMYFUNCTION("""COMPUTED_VALUE"""),"")</f>
        <v/>
      </c>
      <c r="D16406" s="42"/>
      <c r="E16406" s="42"/>
      <c r="F16406" s="48" t="str">
        <f>IFERROR(__xludf.DUMMYFUNCTION("""COMPUTED_VALUE"""),"")</f>
        <v/>
      </c>
      <c r="G16406" s="42" t="str">
        <f>IFERROR(__xludf.DUMMYFUNCTION("""COMPUTED_VALUE"""),"")</f>
        <v/>
      </c>
      <c r="H16406" s="42">
        <f t="shared" si="1"/>
        <v>3345</v>
      </c>
    </row>
    <row r="16407" ht="22.5" customHeight="1">
      <c r="B16407" s="42" t="str">
        <f>IFERROR(__xludf.DUMMYFUNCTION("""COMPUTED_VALUE"""),"")</f>
        <v/>
      </c>
      <c r="C16407" s="42" t="str">
        <f>IFERROR(__xludf.DUMMYFUNCTION("""COMPUTED_VALUE"""),"")</f>
        <v/>
      </c>
      <c r="D16407" s="42"/>
      <c r="E16407" s="42"/>
      <c r="F16407" s="48" t="str">
        <f>IFERROR(__xludf.DUMMYFUNCTION("""COMPUTED_VALUE"""),"")</f>
        <v/>
      </c>
      <c r="G16407" s="42" t="str">
        <f>IFERROR(__xludf.DUMMYFUNCTION("""COMPUTED_VALUE"""),"")</f>
        <v/>
      </c>
      <c r="H16407" s="42">
        <f t="shared" si="1"/>
        <v>3345</v>
      </c>
    </row>
    <row r="16408" ht="22.5" customHeight="1">
      <c r="B16408" s="42" t="str">
        <f>IFERROR(__xludf.DUMMYFUNCTION("""COMPUTED_VALUE"""),"")</f>
        <v/>
      </c>
      <c r="C16408" s="42" t="str">
        <f>IFERROR(__xludf.DUMMYFUNCTION("""COMPUTED_VALUE"""),"")</f>
        <v/>
      </c>
      <c r="D16408" s="42"/>
      <c r="E16408" s="42"/>
      <c r="F16408" s="48" t="str">
        <f>IFERROR(__xludf.DUMMYFUNCTION("""COMPUTED_VALUE"""),"")</f>
        <v/>
      </c>
      <c r="G16408" s="42" t="str">
        <f>IFERROR(__xludf.DUMMYFUNCTION("""COMPUTED_VALUE"""),"")</f>
        <v/>
      </c>
      <c r="H16408" s="42">
        <f t="shared" si="1"/>
        <v>3345</v>
      </c>
    </row>
    <row r="16409" ht="22.5" customHeight="1">
      <c r="B16409" s="42" t="str">
        <f>IFERROR(__xludf.DUMMYFUNCTION("""COMPUTED_VALUE"""),"")</f>
        <v/>
      </c>
      <c r="C16409" s="42" t="str">
        <f>IFERROR(__xludf.DUMMYFUNCTION("""COMPUTED_VALUE"""),"")</f>
        <v/>
      </c>
      <c r="D16409" s="42"/>
      <c r="E16409" s="42"/>
      <c r="F16409" s="48" t="str">
        <f>IFERROR(__xludf.DUMMYFUNCTION("""COMPUTED_VALUE"""),"")</f>
        <v/>
      </c>
      <c r="G16409" s="42" t="str">
        <f>IFERROR(__xludf.DUMMYFUNCTION("""COMPUTED_VALUE"""),"")</f>
        <v/>
      </c>
      <c r="H16409" s="42">
        <f t="shared" si="1"/>
        <v>3345</v>
      </c>
    </row>
    <row r="16410" ht="22.5" customHeight="1">
      <c r="B16410" s="42" t="str">
        <f>IFERROR(__xludf.DUMMYFUNCTION("""COMPUTED_VALUE"""),"")</f>
        <v/>
      </c>
      <c r="C16410" s="42" t="str">
        <f>IFERROR(__xludf.DUMMYFUNCTION("""COMPUTED_VALUE"""),"")</f>
        <v/>
      </c>
      <c r="D16410" s="42"/>
      <c r="E16410" s="42"/>
      <c r="F16410" s="48" t="str">
        <f>IFERROR(__xludf.DUMMYFUNCTION("""COMPUTED_VALUE"""),"")</f>
        <v/>
      </c>
      <c r="G16410" s="42" t="str">
        <f>IFERROR(__xludf.DUMMYFUNCTION("""COMPUTED_VALUE"""),"")</f>
        <v/>
      </c>
      <c r="H16410" s="42">
        <f t="shared" si="1"/>
        <v>3345</v>
      </c>
    </row>
    <row r="16411" ht="22.5" customHeight="1">
      <c r="B16411" s="42" t="str">
        <f>IFERROR(__xludf.DUMMYFUNCTION("""COMPUTED_VALUE"""),"")</f>
        <v/>
      </c>
      <c r="C16411" s="42" t="str">
        <f>IFERROR(__xludf.DUMMYFUNCTION("""COMPUTED_VALUE"""),"")</f>
        <v/>
      </c>
      <c r="D16411" s="42"/>
      <c r="E16411" s="42"/>
      <c r="F16411" s="48" t="str">
        <f>IFERROR(__xludf.DUMMYFUNCTION("""COMPUTED_VALUE"""),"")</f>
        <v/>
      </c>
      <c r="G16411" s="42" t="str">
        <f>IFERROR(__xludf.DUMMYFUNCTION("""COMPUTED_VALUE"""),"")</f>
        <v/>
      </c>
      <c r="H16411" s="42">
        <f t="shared" si="1"/>
        <v>3345</v>
      </c>
    </row>
    <row r="16412" ht="22.5" customHeight="1">
      <c r="B16412" s="42" t="str">
        <f>IFERROR(__xludf.DUMMYFUNCTION("""COMPUTED_VALUE"""),"")</f>
        <v/>
      </c>
      <c r="C16412" s="42" t="str">
        <f>IFERROR(__xludf.DUMMYFUNCTION("""COMPUTED_VALUE"""),"")</f>
        <v/>
      </c>
      <c r="D16412" s="42"/>
      <c r="E16412" s="42"/>
      <c r="F16412" s="48" t="str">
        <f>IFERROR(__xludf.DUMMYFUNCTION("""COMPUTED_VALUE"""),"")</f>
        <v/>
      </c>
      <c r="G16412" s="42" t="str">
        <f>IFERROR(__xludf.DUMMYFUNCTION("""COMPUTED_VALUE"""),"")</f>
        <v/>
      </c>
      <c r="H16412" s="42">
        <f t="shared" si="1"/>
        <v>3345</v>
      </c>
    </row>
    <row r="16413" ht="22.5" customHeight="1">
      <c r="B16413" s="42" t="str">
        <f>IFERROR(__xludf.DUMMYFUNCTION("""COMPUTED_VALUE"""),"")</f>
        <v/>
      </c>
      <c r="C16413" s="42" t="str">
        <f>IFERROR(__xludf.DUMMYFUNCTION("""COMPUTED_VALUE"""),"")</f>
        <v/>
      </c>
      <c r="D16413" s="42"/>
      <c r="E16413" s="42"/>
      <c r="F16413" s="48" t="str">
        <f>IFERROR(__xludf.DUMMYFUNCTION("""COMPUTED_VALUE"""),"")</f>
        <v/>
      </c>
      <c r="G16413" s="42" t="str">
        <f>IFERROR(__xludf.DUMMYFUNCTION("""COMPUTED_VALUE"""),"")</f>
        <v/>
      </c>
      <c r="H16413" s="42">
        <f t="shared" si="1"/>
        <v>3345</v>
      </c>
    </row>
    <row r="16414" ht="22.5" customHeight="1">
      <c r="B16414" s="42" t="str">
        <f>IFERROR(__xludf.DUMMYFUNCTION("""COMPUTED_VALUE"""),"")</f>
        <v/>
      </c>
      <c r="C16414" s="42" t="str">
        <f>IFERROR(__xludf.DUMMYFUNCTION("""COMPUTED_VALUE"""),"")</f>
        <v/>
      </c>
      <c r="D16414" s="42"/>
      <c r="E16414" s="42"/>
      <c r="F16414" s="48" t="str">
        <f>IFERROR(__xludf.DUMMYFUNCTION("""COMPUTED_VALUE"""),"")</f>
        <v/>
      </c>
      <c r="G16414" s="42" t="str">
        <f>IFERROR(__xludf.DUMMYFUNCTION("""COMPUTED_VALUE"""),"")</f>
        <v/>
      </c>
      <c r="H16414" s="42">
        <f t="shared" si="1"/>
        <v>3345</v>
      </c>
    </row>
    <row r="16415" ht="22.5" customHeight="1">
      <c r="B16415" s="42" t="str">
        <f>IFERROR(__xludf.DUMMYFUNCTION("""COMPUTED_VALUE"""),"")</f>
        <v/>
      </c>
      <c r="C16415" s="42" t="str">
        <f>IFERROR(__xludf.DUMMYFUNCTION("""COMPUTED_VALUE"""),"")</f>
        <v/>
      </c>
      <c r="D16415" s="42"/>
      <c r="E16415" s="42"/>
      <c r="F16415" s="48" t="str">
        <f>IFERROR(__xludf.DUMMYFUNCTION("""COMPUTED_VALUE"""),"")</f>
        <v/>
      </c>
      <c r="G16415" s="42" t="str">
        <f>IFERROR(__xludf.DUMMYFUNCTION("""COMPUTED_VALUE"""),"")</f>
        <v/>
      </c>
      <c r="H16415" s="42">
        <f t="shared" si="1"/>
        <v>3345</v>
      </c>
    </row>
    <row r="16416" ht="22.5" customHeight="1">
      <c r="B16416" s="42" t="str">
        <f>IFERROR(__xludf.DUMMYFUNCTION("""COMPUTED_VALUE"""),"")</f>
        <v/>
      </c>
      <c r="C16416" s="42" t="str">
        <f>IFERROR(__xludf.DUMMYFUNCTION("""COMPUTED_VALUE"""),"")</f>
        <v/>
      </c>
      <c r="D16416" s="42"/>
      <c r="E16416" s="42"/>
      <c r="F16416" s="48" t="str">
        <f>IFERROR(__xludf.DUMMYFUNCTION("""COMPUTED_VALUE"""),"")</f>
        <v/>
      </c>
      <c r="G16416" s="42" t="str">
        <f>IFERROR(__xludf.DUMMYFUNCTION("""COMPUTED_VALUE"""),"")</f>
        <v/>
      </c>
      <c r="H16416" s="42">
        <f t="shared" si="1"/>
        <v>3345</v>
      </c>
    </row>
    <row r="16417" ht="22.5" customHeight="1">
      <c r="B16417" s="42" t="str">
        <f>IFERROR(__xludf.DUMMYFUNCTION("""COMPUTED_VALUE"""),"")</f>
        <v/>
      </c>
      <c r="C16417" s="42" t="str">
        <f>IFERROR(__xludf.DUMMYFUNCTION("""COMPUTED_VALUE"""),"")</f>
        <v/>
      </c>
      <c r="D16417" s="42"/>
      <c r="E16417" s="42"/>
      <c r="F16417" s="48" t="str">
        <f>IFERROR(__xludf.DUMMYFUNCTION("""COMPUTED_VALUE"""),"")</f>
        <v/>
      </c>
      <c r="G16417" s="42" t="str">
        <f>IFERROR(__xludf.DUMMYFUNCTION("""COMPUTED_VALUE"""),"")</f>
        <v/>
      </c>
      <c r="H16417" s="42">
        <f t="shared" si="1"/>
        <v>3345</v>
      </c>
    </row>
    <row r="16418" ht="22.5" customHeight="1">
      <c r="B16418" s="42" t="str">
        <f>IFERROR(__xludf.DUMMYFUNCTION("""COMPUTED_VALUE"""),"")</f>
        <v/>
      </c>
      <c r="C16418" s="42" t="str">
        <f>IFERROR(__xludf.DUMMYFUNCTION("""COMPUTED_VALUE"""),"")</f>
        <v/>
      </c>
      <c r="D16418" s="42"/>
      <c r="E16418" s="42"/>
      <c r="F16418" s="48" t="str">
        <f>IFERROR(__xludf.DUMMYFUNCTION("""COMPUTED_VALUE"""),"")</f>
        <v/>
      </c>
      <c r="G16418" s="42" t="str">
        <f>IFERROR(__xludf.DUMMYFUNCTION("""COMPUTED_VALUE"""),"")</f>
        <v/>
      </c>
      <c r="H16418" s="42">
        <f t="shared" si="1"/>
        <v>3345</v>
      </c>
    </row>
    <row r="16419" ht="22.5" customHeight="1">
      <c r="B16419" s="42" t="str">
        <f>IFERROR(__xludf.DUMMYFUNCTION("""COMPUTED_VALUE"""),"")</f>
        <v/>
      </c>
      <c r="C16419" s="42" t="str">
        <f>IFERROR(__xludf.DUMMYFUNCTION("""COMPUTED_VALUE"""),"")</f>
        <v/>
      </c>
      <c r="D16419" s="42"/>
      <c r="E16419" s="42"/>
      <c r="F16419" s="48" t="str">
        <f>IFERROR(__xludf.DUMMYFUNCTION("""COMPUTED_VALUE"""),"")</f>
        <v/>
      </c>
      <c r="G16419" s="42" t="str">
        <f>IFERROR(__xludf.DUMMYFUNCTION("""COMPUTED_VALUE"""),"")</f>
        <v/>
      </c>
      <c r="H16419" s="42">
        <f t="shared" si="1"/>
        <v>3345</v>
      </c>
    </row>
    <row r="16420" ht="22.5" customHeight="1">
      <c r="B16420" s="42" t="str">
        <f>IFERROR(__xludf.DUMMYFUNCTION("""COMPUTED_VALUE"""),"")</f>
        <v/>
      </c>
      <c r="C16420" s="42" t="str">
        <f>IFERROR(__xludf.DUMMYFUNCTION("""COMPUTED_VALUE"""),"")</f>
        <v/>
      </c>
      <c r="D16420" s="42"/>
      <c r="E16420" s="42"/>
      <c r="F16420" s="48" t="str">
        <f>IFERROR(__xludf.DUMMYFUNCTION("""COMPUTED_VALUE"""),"")</f>
        <v/>
      </c>
      <c r="G16420" s="42" t="str">
        <f>IFERROR(__xludf.DUMMYFUNCTION("""COMPUTED_VALUE"""),"")</f>
        <v/>
      </c>
      <c r="H16420" s="42">
        <f t="shared" si="1"/>
        <v>3345</v>
      </c>
    </row>
    <row r="16421" ht="22.5" customHeight="1">
      <c r="B16421" s="42" t="str">
        <f>IFERROR(__xludf.DUMMYFUNCTION("""COMPUTED_VALUE"""),"")</f>
        <v/>
      </c>
      <c r="C16421" s="42" t="str">
        <f>IFERROR(__xludf.DUMMYFUNCTION("""COMPUTED_VALUE"""),"")</f>
        <v/>
      </c>
      <c r="D16421" s="42"/>
      <c r="E16421" s="42"/>
      <c r="F16421" s="48" t="str">
        <f>IFERROR(__xludf.DUMMYFUNCTION("""COMPUTED_VALUE"""),"")</f>
        <v/>
      </c>
      <c r="G16421" s="42" t="str">
        <f>IFERROR(__xludf.DUMMYFUNCTION("""COMPUTED_VALUE"""),"")</f>
        <v/>
      </c>
      <c r="H16421" s="42">
        <f t="shared" si="1"/>
        <v>3345</v>
      </c>
    </row>
    <row r="16422" ht="22.5" customHeight="1">
      <c r="B16422" s="42" t="str">
        <f>IFERROR(__xludf.DUMMYFUNCTION("""COMPUTED_VALUE"""),"")</f>
        <v/>
      </c>
      <c r="C16422" s="42" t="str">
        <f>IFERROR(__xludf.DUMMYFUNCTION("""COMPUTED_VALUE"""),"")</f>
        <v/>
      </c>
      <c r="D16422" s="42"/>
      <c r="E16422" s="42"/>
      <c r="F16422" s="48" t="str">
        <f>IFERROR(__xludf.DUMMYFUNCTION("""COMPUTED_VALUE"""),"")</f>
        <v/>
      </c>
      <c r="G16422" s="42" t="str">
        <f>IFERROR(__xludf.DUMMYFUNCTION("""COMPUTED_VALUE"""),"")</f>
        <v/>
      </c>
      <c r="H16422" s="42">
        <f t="shared" si="1"/>
        <v>3345</v>
      </c>
    </row>
    <row r="16423" ht="22.5" customHeight="1">
      <c r="B16423" s="42" t="str">
        <f>IFERROR(__xludf.DUMMYFUNCTION("""COMPUTED_VALUE"""),"")</f>
        <v/>
      </c>
      <c r="C16423" s="42" t="str">
        <f>IFERROR(__xludf.DUMMYFUNCTION("""COMPUTED_VALUE"""),"")</f>
        <v/>
      </c>
      <c r="D16423" s="42"/>
      <c r="E16423" s="42"/>
      <c r="F16423" s="48" t="str">
        <f>IFERROR(__xludf.DUMMYFUNCTION("""COMPUTED_VALUE"""),"")</f>
        <v/>
      </c>
      <c r="G16423" s="42" t="str">
        <f>IFERROR(__xludf.DUMMYFUNCTION("""COMPUTED_VALUE"""),"")</f>
        <v/>
      </c>
      <c r="H16423" s="42">
        <f t="shared" si="1"/>
        <v>3345</v>
      </c>
    </row>
    <row r="16424" ht="22.5" customHeight="1">
      <c r="B16424" s="42" t="str">
        <f>IFERROR(__xludf.DUMMYFUNCTION("""COMPUTED_VALUE"""),"")</f>
        <v/>
      </c>
      <c r="C16424" s="42" t="str">
        <f>IFERROR(__xludf.DUMMYFUNCTION("""COMPUTED_VALUE"""),"")</f>
        <v/>
      </c>
      <c r="D16424" s="42"/>
      <c r="E16424" s="42"/>
      <c r="F16424" s="48" t="str">
        <f>IFERROR(__xludf.DUMMYFUNCTION("""COMPUTED_VALUE"""),"")</f>
        <v/>
      </c>
      <c r="G16424" s="42" t="str">
        <f>IFERROR(__xludf.DUMMYFUNCTION("""COMPUTED_VALUE"""),"")</f>
        <v/>
      </c>
      <c r="H16424" s="42">
        <f t="shared" si="1"/>
        <v>3345</v>
      </c>
    </row>
    <row r="16425" ht="22.5" customHeight="1">
      <c r="B16425" s="42" t="str">
        <f>IFERROR(__xludf.DUMMYFUNCTION("""COMPUTED_VALUE"""),"")</f>
        <v/>
      </c>
      <c r="C16425" s="42" t="str">
        <f>IFERROR(__xludf.DUMMYFUNCTION("""COMPUTED_VALUE"""),"")</f>
        <v/>
      </c>
      <c r="D16425" s="42"/>
      <c r="E16425" s="42"/>
      <c r="F16425" s="48" t="str">
        <f>IFERROR(__xludf.DUMMYFUNCTION("""COMPUTED_VALUE"""),"")</f>
        <v/>
      </c>
      <c r="G16425" s="42" t="str">
        <f>IFERROR(__xludf.DUMMYFUNCTION("""COMPUTED_VALUE"""),"")</f>
        <v/>
      </c>
      <c r="H16425" s="42">
        <f t="shared" si="1"/>
        <v>3345</v>
      </c>
    </row>
    <row r="16426" ht="22.5" customHeight="1">
      <c r="B16426" s="42" t="str">
        <f>IFERROR(__xludf.DUMMYFUNCTION("""COMPUTED_VALUE"""),"")</f>
        <v/>
      </c>
      <c r="C16426" s="42" t="str">
        <f>IFERROR(__xludf.DUMMYFUNCTION("""COMPUTED_VALUE"""),"")</f>
        <v/>
      </c>
      <c r="D16426" s="42"/>
      <c r="E16426" s="42"/>
      <c r="F16426" s="48" t="str">
        <f>IFERROR(__xludf.DUMMYFUNCTION("""COMPUTED_VALUE"""),"")</f>
        <v/>
      </c>
      <c r="G16426" s="42" t="str">
        <f>IFERROR(__xludf.DUMMYFUNCTION("""COMPUTED_VALUE"""),"")</f>
        <v/>
      </c>
      <c r="H16426" s="42">
        <f t="shared" si="1"/>
        <v>3345</v>
      </c>
    </row>
    <row r="16427" ht="22.5" customHeight="1">
      <c r="B16427" s="42" t="str">
        <f>IFERROR(__xludf.DUMMYFUNCTION("""COMPUTED_VALUE"""),"")</f>
        <v/>
      </c>
      <c r="C16427" s="42" t="str">
        <f>IFERROR(__xludf.DUMMYFUNCTION("""COMPUTED_VALUE"""),"")</f>
        <v/>
      </c>
      <c r="D16427" s="42"/>
      <c r="E16427" s="42"/>
      <c r="F16427" s="48" t="str">
        <f>IFERROR(__xludf.DUMMYFUNCTION("""COMPUTED_VALUE"""),"")</f>
        <v/>
      </c>
      <c r="G16427" s="42" t="str">
        <f>IFERROR(__xludf.DUMMYFUNCTION("""COMPUTED_VALUE"""),"")</f>
        <v/>
      </c>
      <c r="H16427" s="42">
        <f t="shared" si="1"/>
        <v>3345</v>
      </c>
    </row>
    <row r="16428" ht="22.5" customHeight="1">
      <c r="B16428" s="42" t="str">
        <f>IFERROR(__xludf.DUMMYFUNCTION("""COMPUTED_VALUE"""),"")</f>
        <v/>
      </c>
      <c r="C16428" s="42" t="str">
        <f>IFERROR(__xludf.DUMMYFUNCTION("""COMPUTED_VALUE"""),"")</f>
        <v/>
      </c>
      <c r="D16428" s="42"/>
      <c r="E16428" s="42"/>
      <c r="F16428" s="48" t="str">
        <f>IFERROR(__xludf.DUMMYFUNCTION("""COMPUTED_VALUE"""),"")</f>
        <v/>
      </c>
      <c r="G16428" s="42" t="str">
        <f>IFERROR(__xludf.DUMMYFUNCTION("""COMPUTED_VALUE"""),"")</f>
        <v/>
      </c>
      <c r="H16428" s="42">
        <f t="shared" si="1"/>
        <v>3345</v>
      </c>
    </row>
    <row r="16429" ht="22.5" customHeight="1">
      <c r="B16429" s="42" t="str">
        <f>IFERROR(__xludf.DUMMYFUNCTION("""COMPUTED_VALUE"""),"")</f>
        <v/>
      </c>
      <c r="C16429" s="42" t="str">
        <f>IFERROR(__xludf.DUMMYFUNCTION("""COMPUTED_VALUE"""),"")</f>
        <v/>
      </c>
      <c r="D16429" s="42"/>
      <c r="E16429" s="42"/>
      <c r="F16429" s="48" t="str">
        <f>IFERROR(__xludf.DUMMYFUNCTION("""COMPUTED_VALUE"""),"")</f>
        <v/>
      </c>
      <c r="G16429" s="42" t="str">
        <f>IFERROR(__xludf.DUMMYFUNCTION("""COMPUTED_VALUE"""),"")</f>
        <v/>
      </c>
      <c r="H16429" s="42">
        <f t="shared" si="1"/>
        <v>3345</v>
      </c>
    </row>
    <row r="16430" ht="22.5" customHeight="1">
      <c r="B16430" s="42" t="str">
        <f>IFERROR(__xludf.DUMMYFUNCTION("""COMPUTED_VALUE"""),"")</f>
        <v/>
      </c>
      <c r="C16430" s="42" t="str">
        <f>IFERROR(__xludf.DUMMYFUNCTION("""COMPUTED_VALUE"""),"")</f>
        <v/>
      </c>
      <c r="D16430" s="42"/>
      <c r="E16430" s="42"/>
      <c r="F16430" s="48" t="str">
        <f>IFERROR(__xludf.DUMMYFUNCTION("""COMPUTED_VALUE"""),"")</f>
        <v/>
      </c>
      <c r="G16430" s="42" t="str">
        <f>IFERROR(__xludf.DUMMYFUNCTION("""COMPUTED_VALUE"""),"")</f>
        <v/>
      </c>
      <c r="H16430" s="42">
        <f t="shared" si="1"/>
        <v>3345</v>
      </c>
    </row>
    <row r="16431" ht="22.5" customHeight="1">
      <c r="B16431" s="42" t="str">
        <f>IFERROR(__xludf.DUMMYFUNCTION("""COMPUTED_VALUE"""),"")</f>
        <v/>
      </c>
      <c r="C16431" s="42" t="str">
        <f>IFERROR(__xludf.DUMMYFUNCTION("""COMPUTED_VALUE"""),"")</f>
        <v/>
      </c>
      <c r="D16431" s="42"/>
      <c r="E16431" s="42"/>
      <c r="F16431" s="48" t="str">
        <f>IFERROR(__xludf.DUMMYFUNCTION("""COMPUTED_VALUE"""),"")</f>
        <v/>
      </c>
      <c r="G16431" s="42" t="str">
        <f>IFERROR(__xludf.DUMMYFUNCTION("""COMPUTED_VALUE"""),"")</f>
        <v/>
      </c>
      <c r="H16431" s="42">
        <f t="shared" si="1"/>
        <v>3345</v>
      </c>
    </row>
    <row r="16432" ht="22.5" customHeight="1">
      <c r="B16432" s="42" t="str">
        <f>IFERROR(__xludf.DUMMYFUNCTION("""COMPUTED_VALUE"""),"")</f>
        <v/>
      </c>
      <c r="C16432" s="42" t="str">
        <f>IFERROR(__xludf.DUMMYFUNCTION("""COMPUTED_VALUE"""),"")</f>
        <v/>
      </c>
      <c r="D16432" s="42"/>
      <c r="E16432" s="42"/>
      <c r="F16432" s="48" t="str">
        <f>IFERROR(__xludf.DUMMYFUNCTION("""COMPUTED_VALUE"""),"")</f>
        <v/>
      </c>
      <c r="G16432" s="42" t="str">
        <f>IFERROR(__xludf.DUMMYFUNCTION("""COMPUTED_VALUE"""),"")</f>
        <v/>
      </c>
      <c r="H16432" s="42">
        <f t="shared" si="1"/>
        <v>3345</v>
      </c>
    </row>
    <row r="16433" ht="22.5" customHeight="1">
      <c r="B16433" s="42" t="str">
        <f>IFERROR(__xludf.DUMMYFUNCTION("""COMPUTED_VALUE"""),"")</f>
        <v/>
      </c>
      <c r="C16433" s="42" t="str">
        <f>IFERROR(__xludf.DUMMYFUNCTION("""COMPUTED_VALUE"""),"")</f>
        <v/>
      </c>
      <c r="D16433" s="42"/>
      <c r="E16433" s="42"/>
      <c r="F16433" s="48" t="str">
        <f>IFERROR(__xludf.DUMMYFUNCTION("""COMPUTED_VALUE"""),"")</f>
        <v/>
      </c>
      <c r="G16433" s="42" t="str">
        <f>IFERROR(__xludf.DUMMYFUNCTION("""COMPUTED_VALUE"""),"")</f>
        <v/>
      </c>
      <c r="H16433" s="42">
        <f t="shared" si="1"/>
        <v>3345</v>
      </c>
    </row>
    <row r="16434" ht="22.5" customHeight="1">
      <c r="B16434" s="42" t="str">
        <f>IFERROR(__xludf.DUMMYFUNCTION("""COMPUTED_VALUE"""),"")</f>
        <v/>
      </c>
      <c r="C16434" s="42" t="str">
        <f>IFERROR(__xludf.DUMMYFUNCTION("""COMPUTED_VALUE"""),"")</f>
        <v/>
      </c>
      <c r="D16434" s="42"/>
      <c r="E16434" s="42"/>
      <c r="F16434" s="48" t="str">
        <f>IFERROR(__xludf.DUMMYFUNCTION("""COMPUTED_VALUE"""),"")</f>
        <v/>
      </c>
      <c r="G16434" s="42" t="str">
        <f>IFERROR(__xludf.DUMMYFUNCTION("""COMPUTED_VALUE"""),"")</f>
        <v/>
      </c>
      <c r="H16434" s="42">
        <f t="shared" si="1"/>
        <v>3345</v>
      </c>
    </row>
    <row r="16435" ht="22.5" customHeight="1">
      <c r="B16435" s="42" t="str">
        <f>IFERROR(__xludf.DUMMYFUNCTION("""COMPUTED_VALUE"""),"")</f>
        <v/>
      </c>
      <c r="C16435" s="42" t="str">
        <f>IFERROR(__xludf.DUMMYFUNCTION("""COMPUTED_VALUE"""),"")</f>
        <v/>
      </c>
      <c r="D16435" s="42"/>
      <c r="E16435" s="42"/>
      <c r="F16435" s="48" t="str">
        <f>IFERROR(__xludf.DUMMYFUNCTION("""COMPUTED_VALUE"""),"")</f>
        <v/>
      </c>
      <c r="G16435" s="42" t="str">
        <f>IFERROR(__xludf.DUMMYFUNCTION("""COMPUTED_VALUE"""),"")</f>
        <v/>
      </c>
      <c r="H16435" s="42">
        <f t="shared" si="1"/>
        <v>3345</v>
      </c>
    </row>
    <row r="16436" ht="22.5" customHeight="1">
      <c r="B16436" s="42" t="str">
        <f>IFERROR(__xludf.DUMMYFUNCTION("""COMPUTED_VALUE"""),"")</f>
        <v/>
      </c>
      <c r="C16436" s="42" t="str">
        <f>IFERROR(__xludf.DUMMYFUNCTION("""COMPUTED_VALUE"""),"")</f>
        <v/>
      </c>
      <c r="D16436" s="42"/>
      <c r="E16436" s="42"/>
      <c r="F16436" s="48" t="str">
        <f>IFERROR(__xludf.DUMMYFUNCTION("""COMPUTED_VALUE"""),"")</f>
        <v/>
      </c>
      <c r="G16436" s="42" t="str">
        <f>IFERROR(__xludf.DUMMYFUNCTION("""COMPUTED_VALUE"""),"")</f>
        <v/>
      </c>
      <c r="H16436" s="42">
        <f t="shared" si="1"/>
        <v>3345</v>
      </c>
    </row>
    <row r="16437" ht="22.5" customHeight="1">
      <c r="B16437" s="42" t="str">
        <f>IFERROR(__xludf.DUMMYFUNCTION("""COMPUTED_VALUE"""),"")</f>
        <v/>
      </c>
      <c r="C16437" s="42" t="str">
        <f>IFERROR(__xludf.DUMMYFUNCTION("""COMPUTED_VALUE"""),"")</f>
        <v/>
      </c>
      <c r="D16437" s="42"/>
      <c r="E16437" s="42"/>
      <c r="F16437" s="48" t="str">
        <f>IFERROR(__xludf.DUMMYFUNCTION("""COMPUTED_VALUE"""),"")</f>
        <v/>
      </c>
      <c r="G16437" s="42" t="str">
        <f>IFERROR(__xludf.DUMMYFUNCTION("""COMPUTED_VALUE"""),"")</f>
        <v/>
      </c>
      <c r="H16437" s="42">
        <f t="shared" si="1"/>
        <v>3345</v>
      </c>
    </row>
    <row r="16438" ht="22.5" customHeight="1">
      <c r="B16438" s="42" t="str">
        <f>IFERROR(__xludf.DUMMYFUNCTION("""COMPUTED_VALUE"""),"")</f>
        <v/>
      </c>
      <c r="C16438" s="42" t="str">
        <f>IFERROR(__xludf.DUMMYFUNCTION("""COMPUTED_VALUE"""),"")</f>
        <v/>
      </c>
      <c r="D16438" s="42"/>
      <c r="E16438" s="42"/>
      <c r="F16438" s="48" t="str">
        <f>IFERROR(__xludf.DUMMYFUNCTION("""COMPUTED_VALUE"""),"")</f>
        <v/>
      </c>
      <c r="G16438" s="42" t="str">
        <f>IFERROR(__xludf.DUMMYFUNCTION("""COMPUTED_VALUE"""),"")</f>
        <v/>
      </c>
      <c r="H16438" s="42">
        <f t="shared" si="1"/>
        <v>3345</v>
      </c>
    </row>
    <row r="16439" ht="22.5" customHeight="1">
      <c r="B16439" s="42" t="str">
        <f>IFERROR(__xludf.DUMMYFUNCTION("""COMPUTED_VALUE"""),"")</f>
        <v/>
      </c>
      <c r="C16439" s="42" t="str">
        <f>IFERROR(__xludf.DUMMYFUNCTION("""COMPUTED_VALUE"""),"")</f>
        <v/>
      </c>
      <c r="D16439" s="42"/>
      <c r="E16439" s="42"/>
      <c r="F16439" s="48" t="str">
        <f>IFERROR(__xludf.DUMMYFUNCTION("""COMPUTED_VALUE"""),"")</f>
        <v/>
      </c>
      <c r="G16439" s="42" t="str">
        <f>IFERROR(__xludf.DUMMYFUNCTION("""COMPUTED_VALUE"""),"")</f>
        <v/>
      </c>
      <c r="H16439" s="42">
        <f t="shared" si="1"/>
        <v>3345</v>
      </c>
    </row>
    <row r="16440" ht="22.5" customHeight="1">
      <c r="B16440" s="42" t="str">
        <f>IFERROR(__xludf.DUMMYFUNCTION("""COMPUTED_VALUE"""),"")</f>
        <v/>
      </c>
      <c r="C16440" s="42" t="str">
        <f>IFERROR(__xludf.DUMMYFUNCTION("""COMPUTED_VALUE"""),"")</f>
        <v/>
      </c>
      <c r="D16440" s="42"/>
      <c r="E16440" s="42"/>
      <c r="F16440" s="48" t="str">
        <f>IFERROR(__xludf.DUMMYFUNCTION("""COMPUTED_VALUE"""),"")</f>
        <v/>
      </c>
      <c r="G16440" s="42" t="str">
        <f>IFERROR(__xludf.DUMMYFUNCTION("""COMPUTED_VALUE"""),"")</f>
        <v/>
      </c>
      <c r="H16440" s="42">
        <f t="shared" si="1"/>
        <v>3345</v>
      </c>
    </row>
    <row r="16441" ht="22.5" customHeight="1">
      <c r="B16441" s="42" t="str">
        <f>IFERROR(__xludf.DUMMYFUNCTION("""COMPUTED_VALUE"""),"")</f>
        <v/>
      </c>
      <c r="C16441" s="42" t="str">
        <f>IFERROR(__xludf.DUMMYFUNCTION("""COMPUTED_VALUE"""),"")</f>
        <v/>
      </c>
      <c r="D16441" s="42"/>
      <c r="E16441" s="42"/>
      <c r="F16441" s="48" t="str">
        <f>IFERROR(__xludf.DUMMYFUNCTION("""COMPUTED_VALUE"""),"")</f>
        <v/>
      </c>
      <c r="G16441" s="42" t="str">
        <f>IFERROR(__xludf.DUMMYFUNCTION("""COMPUTED_VALUE"""),"")</f>
        <v/>
      </c>
      <c r="H16441" s="42">
        <f t="shared" si="1"/>
        <v>3345</v>
      </c>
    </row>
    <row r="16442" ht="22.5" customHeight="1">
      <c r="B16442" s="42" t="str">
        <f>IFERROR(__xludf.DUMMYFUNCTION("""COMPUTED_VALUE"""),"")</f>
        <v/>
      </c>
      <c r="C16442" s="42" t="str">
        <f>IFERROR(__xludf.DUMMYFUNCTION("""COMPUTED_VALUE"""),"")</f>
        <v/>
      </c>
      <c r="D16442" s="42"/>
      <c r="E16442" s="42"/>
      <c r="F16442" s="48" t="str">
        <f>IFERROR(__xludf.DUMMYFUNCTION("""COMPUTED_VALUE"""),"")</f>
        <v/>
      </c>
      <c r="G16442" s="42" t="str">
        <f>IFERROR(__xludf.DUMMYFUNCTION("""COMPUTED_VALUE"""),"")</f>
        <v/>
      </c>
      <c r="H16442" s="42">
        <f t="shared" si="1"/>
        <v>3345</v>
      </c>
    </row>
    <row r="16443" ht="22.5" customHeight="1">
      <c r="B16443" s="42" t="str">
        <f>IFERROR(__xludf.DUMMYFUNCTION("""COMPUTED_VALUE"""),"")</f>
        <v/>
      </c>
      <c r="C16443" s="42" t="str">
        <f>IFERROR(__xludf.DUMMYFUNCTION("""COMPUTED_VALUE"""),"")</f>
        <v/>
      </c>
      <c r="D16443" s="42"/>
      <c r="E16443" s="42"/>
      <c r="F16443" s="48" t="str">
        <f>IFERROR(__xludf.DUMMYFUNCTION("""COMPUTED_VALUE"""),"")</f>
        <v/>
      </c>
      <c r="G16443" s="42" t="str">
        <f>IFERROR(__xludf.DUMMYFUNCTION("""COMPUTED_VALUE"""),"")</f>
        <v/>
      </c>
      <c r="H16443" s="42">
        <f t="shared" si="1"/>
        <v>3345</v>
      </c>
    </row>
    <row r="16444" ht="22.5" customHeight="1">
      <c r="B16444" s="42" t="str">
        <f>IFERROR(__xludf.DUMMYFUNCTION("""COMPUTED_VALUE"""),"")</f>
        <v/>
      </c>
      <c r="C16444" s="42" t="str">
        <f>IFERROR(__xludf.DUMMYFUNCTION("""COMPUTED_VALUE"""),"")</f>
        <v/>
      </c>
      <c r="D16444" s="42"/>
      <c r="E16444" s="42"/>
      <c r="F16444" s="48" t="str">
        <f>IFERROR(__xludf.DUMMYFUNCTION("""COMPUTED_VALUE"""),"")</f>
        <v/>
      </c>
      <c r="G16444" s="42" t="str">
        <f>IFERROR(__xludf.DUMMYFUNCTION("""COMPUTED_VALUE"""),"")</f>
        <v/>
      </c>
      <c r="H16444" s="42">
        <f t="shared" si="1"/>
        <v>3345</v>
      </c>
    </row>
    <row r="16445" ht="22.5" customHeight="1">
      <c r="B16445" s="42" t="str">
        <f>IFERROR(__xludf.DUMMYFUNCTION("""COMPUTED_VALUE"""),"")</f>
        <v/>
      </c>
      <c r="C16445" s="42" t="str">
        <f>IFERROR(__xludf.DUMMYFUNCTION("""COMPUTED_VALUE"""),"")</f>
        <v/>
      </c>
      <c r="D16445" s="42"/>
      <c r="E16445" s="42"/>
      <c r="F16445" s="48" t="str">
        <f>IFERROR(__xludf.DUMMYFUNCTION("""COMPUTED_VALUE"""),"")</f>
        <v/>
      </c>
      <c r="G16445" s="42" t="str">
        <f>IFERROR(__xludf.DUMMYFUNCTION("""COMPUTED_VALUE"""),"")</f>
        <v/>
      </c>
      <c r="H16445" s="42">
        <f t="shared" si="1"/>
        <v>3345</v>
      </c>
    </row>
    <row r="16446" ht="22.5" customHeight="1">
      <c r="B16446" s="42" t="str">
        <f>IFERROR(__xludf.DUMMYFUNCTION("""COMPUTED_VALUE"""),"")</f>
        <v/>
      </c>
      <c r="C16446" s="42" t="str">
        <f>IFERROR(__xludf.DUMMYFUNCTION("""COMPUTED_VALUE"""),"")</f>
        <v/>
      </c>
      <c r="D16446" s="42"/>
      <c r="E16446" s="42"/>
      <c r="F16446" s="48" t="str">
        <f>IFERROR(__xludf.DUMMYFUNCTION("""COMPUTED_VALUE"""),"")</f>
        <v/>
      </c>
      <c r="G16446" s="42" t="str">
        <f>IFERROR(__xludf.DUMMYFUNCTION("""COMPUTED_VALUE"""),"")</f>
        <v/>
      </c>
      <c r="H16446" s="42">
        <f t="shared" si="1"/>
        <v>3345</v>
      </c>
    </row>
    <row r="16447" ht="22.5" customHeight="1">
      <c r="B16447" s="42" t="str">
        <f>IFERROR(__xludf.DUMMYFUNCTION("""COMPUTED_VALUE"""),"")</f>
        <v/>
      </c>
      <c r="C16447" s="42" t="str">
        <f>IFERROR(__xludf.DUMMYFUNCTION("""COMPUTED_VALUE"""),"")</f>
        <v/>
      </c>
      <c r="D16447" s="42"/>
      <c r="E16447" s="42"/>
      <c r="F16447" s="48" t="str">
        <f>IFERROR(__xludf.DUMMYFUNCTION("""COMPUTED_VALUE"""),"")</f>
        <v/>
      </c>
      <c r="G16447" s="42" t="str">
        <f>IFERROR(__xludf.DUMMYFUNCTION("""COMPUTED_VALUE"""),"")</f>
        <v/>
      </c>
      <c r="H16447" s="42">
        <f t="shared" si="1"/>
        <v>3345</v>
      </c>
    </row>
    <row r="16448" ht="22.5" customHeight="1">
      <c r="B16448" s="42" t="str">
        <f>IFERROR(__xludf.DUMMYFUNCTION("""COMPUTED_VALUE"""),"")</f>
        <v/>
      </c>
      <c r="C16448" s="42" t="str">
        <f>IFERROR(__xludf.DUMMYFUNCTION("""COMPUTED_VALUE"""),"")</f>
        <v/>
      </c>
      <c r="D16448" s="42"/>
      <c r="E16448" s="42"/>
      <c r="F16448" s="48" t="str">
        <f>IFERROR(__xludf.DUMMYFUNCTION("""COMPUTED_VALUE"""),"")</f>
        <v/>
      </c>
      <c r="G16448" s="42" t="str">
        <f>IFERROR(__xludf.DUMMYFUNCTION("""COMPUTED_VALUE"""),"")</f>
        <v/>
      </c>
      <c r="H16448" s="42">
        <f t="shared" si="1"/>
        <v>3345</v>
      </c>
    </row>
    <row r="16449" ht="22.5" customHeight="1">
      <c r="B16449" s="42" t="str">
        <f>IFERROR(__xludf.DUMMYFUNCTION("""COMPUTED_VALUE"""),"")</f>
        <v/>
      </c>
      <c r="C16449" s="42" t="str">
        <f>IFERROR(__xludf.DUMMYFUNCTION("""COMPUTED_VALUE"""),"")</f>
        <v/>
      </c>
      <c r="D16449" s="42"/>
      <c r="E16449" s="42"/>
      <c r="F16449" s="48" t="str">
        <f>IFERROR(__xludf.DUMMYFUNCTION("""COMPUTED_VALUE"""),"")</f>
        <v/>
      </c>
      <c r="G16449" s="42" t="str">
        <f>IFERROR(__xludf.DUMMYFUNCTION("""COMPUTED_VALUE"""),"")</f>
        <v/>
      </c>
      <c r="H16449" s="42">
        <f t="shared" si="1"/>
        <v>3345</v>
      </c>
    </row>
    <row r="16450" ht="22.5" customHeight="1">
      <c r="B16450" s="42" t="str">
        <f>IFERROR(__xludf.DUMMYFUNCTION("""COMPUTED_VALUE"""),"")</f>
        <v/>
      </c>
      <c r="C16450" s="42" t="str">
        <f>IFERROR(__xludf.DUMMYFUNCTION("""COMPUTED_VALUE"""),"")</f>
        <v/>
      </c>
      <c r="D16450" s="42"/>
      <c r="E16450" s="42"/>
      <c r="F16450" s="48" t="str">
        <f>IFERROR(__xludf.DUMMYFUNCTION("""COMPUTED_VALUE"""),"")</f>
        <v/>
      </c>
      <c r="G16450" s="42" t="str">
        <f>IFERROR(__xludf.DUMMYFUNCTION("""COMPUTED_VALUE"""),"")</f>
        <v/>
      </c>
      <c r="H16450" s="42">
        <f t="shared" si="1"/>
        <v>3345</v>
      </c>
    </row>
    <row r="16451" ht="22.5" customHeight="1">
      <c r="B16451" s="42" t="str">
        <f>IFERROR(__xludf.DUMMYFUNCTION("""COMPUTED_VALUE"""),"")</f>
        <v/>
      </c>
      <c r="C16451" s="42" t="str">
        <f>IFERROR(__xludf.DUMMYFUNCTION("""COMPUTED_VALUE"""),"")</f>
        <v/>
      </c>
      <c r="D16451" s="42"/>
      <c r="E16451" s="42"/>
      <c r="F16451" s="48" t="str">
        <f>IFERROR(__xludf.DUMMYFUNCTION("""COMPUTED_VALUE"""),"")</f>
        <v/>
      </c>
      <c r="G16451" s="42" t="str">
        <f>IFERROR(__xludf.DUMMYFUNCTION("""COMPUTED_VALUE"""),"")</f>
        <v/>
      </c>
      <c r="H16451" s="42">
        <f t="shared" si="1"/>
        <v>3345</v>
      </c>
    </row>
    <row r="16452" ht="22.5" customHeight="1">
      <c r="B16452" s="42" t="str">
        <f>IFERROR(__xludf.DUMMYFUNCTION("""COMPUTED_VALUE"""),"")</f>
        <v/>
      </c>
      <c r="C16452" s="42" t="str">
        <f>IFERROR(__xludf.DUMMYFUNCTION("""COMPUTED_VALUE"""),"")</f>
        <v/>
      </c>
      <c r="D16452" s="42"/>
      <c r="E16452" s="42"/>
      <c r="F16452" s="48" t="str">
        <f>IFERROR(__xludf.DUMMYFUNCTION("""COMPUTED_VALUE"""),"")</f>
        <v/>
      </c>
      <c r="G16452" s="42" t="str">
        <f>IFERROR(__xludf.DUMMYFUNCTION("""COMPUTED_VALUE"""),"")</f>
        <v/>
      </c>
      <c r="H16452" s="42">
        <f t="shared" si="1"/>
        <v>3345</v>
      </c>
    </row>
    <row r="16453" ht="22.5" customHeight="1">
      <c r="B16453" s="42" t="str">
        <f>IFERROR(__xludf.DUMMYFUNCTION("""COMPUTED_VALUE"""),"")</f>
        <v/>
      </c>
      <c r="C16453" s="42" t="str">
        <f>IFERROR(__xludf.DUMMYFUNCTION("""COMPUTED_VALUE"""),"")</f>
        <v/>
      </c>
      <c r="D16453" s="42"/>
      <c r="E16453" s="42"/>
      <c r="F16453" s="48" t="str">
        <f>IFERROR(__xludf.DUMMYFUNCTION("""COMPUTED_VALUE"""),"")</f>
        <v/>
      </c>
      <c r="G16453" s="42" t="str">
        <f>IFERROR(__xludf.DUMMYFUNCTION("""COMPUTED_VALUE"""),"")</f>
        <v/>
      </c>
      <c r="H16453" s="42">
        <f t="shared" si="1"/>
        <v>3345</v>
      </c>
    </row>
    <row r="16454" ht="22.5" customHeight="1">
      <c r="B16454" s="42" t="str">
        <f>IFERROR(__xludf.DUMMYFUNCTION("""COMPUTED_VALUE"""),"")</f>
        <v/>
      </c>
      <c r="C16454" s="42" t="str">
        <f>IFERROR(__xludf.DUMMYFUNCTION("""COMPUTED_VALUE"""),"")</f>
        <v/>
      </c>
      <c r="D16454" s="42"/>
      <c r="E16454" s="42"/>
      <c r="F16454" s="48" t="str">
        <f>IFERROR(__xludf.DUMMYFUNCTION("""COMPUTED_VALUE"""),"")</f>
        <v/>
      </c>
      <c r="G16454" s="42" t="str">
        <f>IFERROR(__xludf.DUMMYFUNCTION("""COMPUTED_VALUE"""),"")</f>
        <v/>
      </c>
      <c r="H16454" s="42">
        <f t="shared" si="1"/>
        <v>3345</v>
      </c>
    </row>
    <row r="16455" ht="22.5" customHeight="1">
      <c r="B16455" s="42" t="str">
        <f>IFERROR(__xludf.DUMMYFUNCTION("""COMPUTED_VALUE"""),"")</f>
        <v/>
      </c>
      <c r="C16455" s="42" t="str">
        <f>IFERROR(__xludf.DUMMYFUNCTION("""COMPUTED_VALUE"""),"")</f>
        <v/>
      </c>
      <c r="D16455" s="42"/>
      <c r="E16455" s="42"/>
      <c r="F16455" s="48" t="str">
        <f>IFERROR(__xludf.DUMMYFUNCTION("""COMPUTED_VALUE"""),"")</f>
        <v/>
      </c>
      <c r="G16455" s="42" t="str">
        <f>IFERROR(__xludf.DUMMYFUNCTION("""COMPUTED_VALUE"""),"")</f>
        <v/>
      </c>
      <c r="H16455" s="42">
        <f t="shared" si="1"/>
        <v>3345</v>
      </c>
    </row>
    <row r="16456" ht="22.5" customHeight="1">
      <c r="B16456" s="42" t="str">
        <f>IFERROR(__xludf.DUMMYFUNCTION("""COMPUTED_VALUE"""),"")</f>
        <v/>
      </c>
      <c r="C16456" s="42" t="str">
        <f>IFERROR(__xludf.DUMMYFUNCTION("""COMPUTED_VALUE"""),"")</f>
        <v/>
      </c>
      <c r="D16456" s="42"/>
      <c r="E16456" s="42"/>
      <c r="F16456" s="48" t="str">
        <f>IFERROR(__xludf.DUMMYFUNCTION("""COMPUTED_VALUE"""),"")</f>
        <v/>
      </c>
      <c r="G16456" s="42" t="str">
        <f>IFERROR(__xludf.DUMMYFUNCTION("""COMPUTED_VALUE"""),"")</f>
        <v/>
      </c>
      <c r="H16456" s="42">
        <f t="shared" si="1"/>
        <v>3345</v>
      </c>
    </row>
    <row r="16457" ht="22.5" customHeight="1">
      <c r="B16457" s="42" t="str">
        <f>IFERROR(__xludf.DUMMYFUNCTION("""COMPUTED_VALUE"""),"")</f>
        <v/>
      </c>
      <c r="C16457" s="42" t="str">
        <f>IFERROR(__xludf.DUMMYFUNCTION("""COMPUTED_VALUE"""),"")</f>
        <v/>
      </c>
      <c r="D16457" s="42"/>
      <c r="E16457" s="42"/>
      <c r="F16457" s="48" t="str">
        <f>IFERROR(__xludf.DUMMYFUNCTION("""COMPUTED_VALUE"""),"")</f>
        <v/>
      </c>
      <c r="G16457" s="42" t="str">
        <f>IFERROR(__xludf.DUMMYFUNCTION("""COMPUTED_VALUE"""),"")</f>
        <v/>
      </c>
      <c r="H16457" s="42">
        <f t="shared" si="1"/>
        <v>3345</v>
      </c>
    </row>
    <row r="16458" ht="22.5" customHeight="1">
      <c r="B16458" s="42" t="str">
        <f>IFERROR(__xludf.DUMMYFUNCTION("""COMPUTED_VALUE"""),"")</f>
        <v/>
      </c>
      <c r="C16458" s="42" t="str">
        <f>IFERROR(__xludf.DUMMYFUNCTION("""COMPUTED_VALUE"""),"")</f>
        <v/>
      </c>
      <c r="D16458" s="42"/>
      <c r="E16458" s="42"/>
      <c r="F16458" s="48" t="str">
        <f>IFERROR(__xludf.DUMMYFUNCTION("""COMPUTED_VALUE"""),"")</f>
        <v/>
      </c>
      <c r="G16458" s="42" t="str">
        <f>IFERROR(__xludf.DUMMYFUNCTION("""COMPUTED_VALUE"""),"")</f>
        <v/>
      </c>
      <c r="H16458" s="42">
        <f t="shared" si="1"/>
        <v>3345</v>
      </c>
    </row>
    <row r="16459" ht="22.5" customHeight="1">
      <c r="B16459" s="42" t="str">
        <f>IFERROR(__xludf.DUMMYFUNCTION("""COMPUTED_VALUE"""),"")</f>
        <v/>
      </c>
      <c r="C16459" s="42" t="str">
        <f>IFERROR(__xludf.DUMMYFUNCTION("""COMPUTED_VALUE"""),"")</f>
        <v/>
      </c>
      <c r="D16459" s="42"/>
      <c r="E16459" s="42"/>
      <c r="F16459" s="48" t="str">
        <f>IFERROR(__xludf.DUMMYFUNCTION("""COMPUTED_VALUE"""),"")</f>
        <v/>
      </c>
      <c r="G16459" s="42" t="str">
        <f>IFERROR(__xludf.DUMMYFUNCTION("""COMPUTED_VALUE"""),"")</f>
        <v/>
      </c>
      <c r="H16459" s="42">
        <f t="shared" si="1"/>
        <v>3345</v>
      </c>
    </row>
    <row r="16460" ht="22.5" customHeight="1">
      <c r="B16460" s="42" t="str">
        <f>IFERROR(__xludf.DUMMYFUNCTION("""COMPUTED_VALUE"""),"")</f>
        <v/>
      </c>
      <c r="C16460" s="42" t="str">
        <f>IFERROR(__xludf.DUMMYFUNCTION("""COMPUTED_VALUE"""),"")</f>
        <v/>
      </c>
      <c r="D16460" s="42"/>
      <c r="E16460" s="42"/>
      <c r="F16460" s="48" t="str">
        <f>IFERROR(__xludf.DUMMYFUNCTION("""COMPUTED_VALUE"""),"")</f>
        <v/>
      </c>
      <c r="G16460" s="42" t="str">
        <f>IFERROR(__xludf.DUMMYFUNCTION("""COMPUTED_VALUE"""),"")</f>
        <v/>
      </c>
      <c r="H16460" s="42">
        <f t="shared" si="1"/>
        <v>3345</v>
      </c>
    </row>
    <row r="16461" ht="22.5" customHeight="1">
      <c r="B16461" s="42" t="str">
        <f>IFERROR(__xludf.DUMMYFUNCTION("""COMPUTED_VALUE"""),"")</f>
        <v/>
      </c>
      <c r="C16461" s="42" t="str">
        <f>IFERROR(__xludf.DUMMYFUNCTION("""COMPUTED_VALUE"""),"")</f>
        <v/>
      </c>
      <c r="D16461" s="42"/>
      <c r="E16461" s="42"/>
      <c r="F16461" s="48" t="str">
        <f>IFERROR(__xludf.DUMMYFUNCTION("""COMPUTED_VALUE"""),"")</f>
        <v/>
      </c>
      <c r="G16461" s="42" t="str">
        <f>IFERROR(__xludf.DUMMYFUNCTION("""COMPUTED_VALUE"""),"")</f>
        <v/>
      </c>
      <c r="H16461" s="42">
        <f t="shared" si="1"/>
        <v>3345</v>
      </c>
    </row>
    <row r="16462" ht="22.5" customHeight="1">
      <c r="B16462" s="42" t="str">
        <f>IFERROR(__xludf.DUMMYFUNCTION("""COMPUTED_VALUE"""),"")</f>
        <v/>
      </c>
      <c r="C16462" s="42" t="str">
        <f>IFERROR(__xludf.DUMMYFUNCTION("""COMPUTED_VALUE"""),"")</f>
        <v/>
      </c>
      <c r="D16462" s="42"/>
      <c r="E16462" s="42"/>
      <c r="F16462" s="48" t="str">
        <f>IFERROR(__xludf.DUMMYFUNCTION("""COMPUTED_VALUE"""),"")</f>
        <v/>
      </c>
      <c r="G16462" s="42" t="str">
        <f>IFERROR(__xludf.DUMMYFUNCTION("""COMPUTED_VALUE"""),"")</f>
        <v/>
      </c>
      <c r="H16462" s="42">
        <f t="shared" si="1"/>
        <v>3345</v>
      </c>
    </row>
    <row r="16463" ht="22.5" customHeight="1">
      <c r="B16463" s="42" t="str">
        <f>IFERROR(__xludf.DUMMYFUNCTION("""COMPUTED_VALUE"""),"")</f>
        <v/>
      </c>
      <c r="C16463" s="42" t="str">
        <f>IFERROR(__xludf.DUMMYFUNCTION("""COMPUTED_VALUE"""),"")</f>
        <v/>
      </c>
      <c r="D16463" s="42"/>
      <c r="E16463" s="42"/>
      <c r="F16463" s="48" t="str">
        <f>IFERROR(__xludf.DUMMYFUNCTION("""COMPUTED_VALUE"""),"")</f>
        <v/>
      </c>
      <c r="G16463" s="42" t="str">
        <f>IFERROR(__xludf.DUMMYFUNCTION("""COMPUTED_VALUE"""),"")</f>
        <v/>
      </c>
      <c r="H16463" s="42">
        <f t="shared" si="1"/>
        <v>3345</v>
      </c>
    </row>
    <row r="16464" ht="22.5" customHeight="1">
      <c r="B16464" s="42" t="str">
        <f>IFERROR(__xludf.DUMMYFUNCTION("""COMPUTED_VALUE"""),"")</f>
        <v/>
      </c>
      <c r="C16464" s="42" t="str">
        <f>IFERROR(__xludf.DUMMYFUNCTION("""COMPUTED_VALUE"""),"")</f>
        <v/>
      </c>
      <c r="D16464" s="42"/>
      <c r="E16464" s="42"/>
      <c r="F16464" s="48" t="str">
        <f>IFERROR(__xludf.DUMMYFUNCTION("""COMPUTED_VALUE"""),"")</f>
        <v/>
      </c>
      <c r="G16464" s="42" t="str">
        <f>IFERROR(__xludf.DUMMYFUNCTION("""COMPUTED_VALUE"""),"")</f>
        <v/>
      </c>
      <c r="H16464" s="42">
        <f t="shared" si="1"/>
        <v>3345</v>
      </c>
    </row>
    <row r="16465" ht="22.5" customHeight="1">
      <c r="B16465" s="42" t="str">
        <f>IFERROR(__xludf.DUMMYFUNCTION("""COMPUTED_VALUE"""),"")</f>
        <v/>
      </c>
      <c r="C16465" s="42" t="str">
        <f>IFERROR(__xludf.DUMMYFUNCTION("""COMPUTED_VALUE"""),"")</f>
        <v/>
      </c>
      <c r="D16465" s="42"/>
      <c r="E16465" s="42"/>
      <c r="F16465" s="48" t="str">
        <f>IFERROR(__xludf.DUMMYFUNCTION("""COMPUTED_VALUE"""),"")</f>
        <v/>
      </c>
      <c r="G16465" s="42" t="str">
        <f>IFERROR(__xludf.DUMMYFUNCTION("""COMPUTED_VALUE"""),"")</f>
        <v/>
      </c>
      <c r="H16465" s="42">
        <f t="shared" si="1"/>
        <v>3345</v>
      </c>
    </row>
    <row r="16466" ht="22.5" customHeight="1">
      <c r="B16466" s="42" t="str">
        <f>IFERROR(__xludf.DUMMYFUNCTION("""COMPUTED_VALUE"""),"")</f>
        <v/>
      </c>
      <c r="C16466" s="42" t="str">
        <f>IFERROR(__xludf.DUMMYFUNCTION("""COMPUTED_VALUE"""),"")</f>
        <v/>
      </c>
      <c r="D16466" s="42"/>
      <c r="E16466" s="42"/>
      <c r="F16466" s="48" t="str">
        <f>IFERROR(__xludf.DUMMYFUNCTION("""COMPUTED_VALUE"""),"")</f>
        <v/>
      </c>
      <c r="G16466" s="42" t="str">
        <f>IFERROR(__xludf.DUMMYFUNCTION("""COMPUTED_VALUE"""),"")</f>
        <v/>
      </c>
      <c r="H16466" s="42">
        <f t="shared" si="1"/>
        <v>3345</v>
      </c>
    </row>
    <row r="16467" ht="22.5" customHeight="1">
      <c r="B16467" s="42" t="str">
        <f>IFERROR(__xludf.DUMMYFUNCTION("""COMPUTED_VALUE"""),"")</f>
        <v/>
      </c>
      <c r="C16467" s="42" t="str">
        <f>IFERROR(__xludf.DUMMYFUNCTION("""COMPUTED_VALUE"""),"")</f>
        <v/>
      </c>
      <c r="D16467" s="42"/>
      <c r="E16467" s="42"/>
      <c r="F16467" s="48" t="str">
        <f>IFERROR(__xludf.DUMMYFUNCTION("""COMPUTED_VALUE"""),"")</f>
        <v/>
      </c>
      <c r="G16467" s="42" t="str">
        <f>IFERROR(__xludf.DUMMYFUNCTION("""COMPUTED_VALUE"""),"")</f>
        <v/>
      </c>
      <c r="H16467" s="42">
        <f t="shared" si="1"/>
        <v>3345</v>
      </c>
    </row>
    <row r="16468" ht="22.5" customHeight="1">
      <c r="B16468" s="42" t="str">
        <f>IFERROR(__xludf.DUMMYFUNCTION("""COMPUTED_VALUE"""),"")</f>
        <v/>
      </c>
      <c r="C16468" s="42" t="str">
        <f>IFERROR(__xludf.DUMMYFUNCTION("""COMPUTED_VALUE"""),"")</f>
        <v/>
      </c>
      <c r="D16468" s="42"/>
      <c r="E16468" s="42"/>
      <c r="F16468" s="48" t="str">
        <f>IFERROR(__xludf.DUMMYFUNCTION("""COMPUTED_VALUE"""),"")</f>
        <v/>
      </c>
      <c r="G16468" s="42" t="str">
        <f>IFERROR(__xludf.DUMMYFUNCTION("""COMPUTED_VALUE"""),"")</f>
        <v/>
      </c>
      <c r="H16468" s="42">
        <f t="shared" si="1"/>
        <v>3345</v>
      </c>
    </row>
    <row r="16469" ht="22.5" customHeight="1">
      <c r="B16469" s="42" t="str">
        <f>IFERROR(__xludf.DUMMYFUNCTION("""COMPUTED_VALUE"""),"")</f>
        <v/>
      </c>
      <c r="C16469" s="42" t="str">
        <f>IFERROR(__xludf.DUMMYFUNCTION("""COMPUTED_VALUE"""),"")</f>
        <v/>
      </c>
      <c r="D16469" s="42"/>
      <c r="E16469" s="42"/>
      <c r="F16469" s="48" t="str">
        <f>IFERROR(__xludf.DUMMYFUNCTION("""COMPUTED_VALUE"""),"")</f>
        <v/>
      </c>
      <c r="G16469" s="42" t="str">
        <f>IFERROR(__xludf.DUMMYFUNCTION("""COMPUTED_VALUE"""),"")</f>
        <v/>
      </c>
      <c r="H16469" s="42">
        <f t="shared" si="1"/>
        <v>3345</v>
      </c>
    </row>
    <row r="16470" ht="22.5" customHeight="1">
      <c r="B16470" s="42" t="str">
        <f>IFERROR(__xludf.DUMMYFUNCTION("""COMPUTED_VALUE"""),"")</f>
        <v/>
      </c>
      <c r="C16470" s="42" t="str">
        <f>IFERROR(__xludf.DUMMYFUNCTION("""COMPUTED_VALUE"""),"")</f>
        <v/>
      </c>
      <c r="D16470" s="42"/>
      <c r="E16470" s="42"/>
      <c r="F16470" s="48" t="str">
        <f>IFERROR(__xludf.DUMMYFUNCTION("""COMPUTED_VALUE"""),"")</f>
        <v/>
      </c>
      <c r="G16470" s="42" t="str">
        <f>IFERROR(__xludf.DUMMYFUNCTION("""COMPUTED_VALUE"""),"")</f>
        <v/>
      </c>
      <c r="H16470" s="42">
        <f t="shared" si="1"/>
        <v>3345</v>
      </c>
    </row>
    <row r="16471" ht="22.5" customHeight="1">
      <c r="B16471" s="42" t="str">
        <f>IFERROR(__xludf.DUMMYFUNCTION("""COMPUTED_VALUE"""),"")</f>
        <v/>
      </c>
      <c r="C16471" s="42" t="str">
        <f>IFERROR(__xludf.DUMMYFUNCTION("""COMPUTED_VALUE"""),"")</f>
        <v/>
      </c>
      <c r="D16471" s="42"/>
      <c r="E16471" s="42"/>
      <c r="F16471" s="48" t="str">
        <f>IFERROR(__xludf.DUMMYFUNCTION("""COMPUTED_VALUE"""),"")</f>
        <v/>
      </c>
      <c r="G16471" s="42" t="str">
        <f>IFERROR(__xludf.DUMMYFUNCTION("""COMPUTED_VALUE"""),"")</f>
        <v/>
      </c>
      <c r="H16471" s="42">
        <f t="shared" si="1"/>
        <v>3345</v>
      </c>
    </row>
    <row r="16472" ht="22.5" customHeight="1">
      <c r="B16472" s="42" t="str">
        <f>IFERROR(__xludf.DUMMYFUNCTION("""COMPUTED_VALUE"""),"")</f>
        <v/>
      </c>
      <c r="C16472" s="42" t="str">
        <f>IFERROR(__xludf.DUMMYFUNCTION("""COMPUTED_VALUE"""),"")</f>
        <v/>
      </c>
      <c r="D16472" s="42"/>
      <c r="E16472" s="42"/>
      <c r="F16472" s="48" t="str">
        <f>IFERROR(__xludf.DUMMYFUNCTION("""COMPUTED_VALUE"""),"")</f>
        <v/>
      </c>
      <c r="G16472" s="42" t="str">
        <f>IFERROR(__xludf.DUMMYFUNCTION("""COMPUTED_VALUE"""),"")</f>
        <v/>
      </c>
      <c r="H16472" s="42">
        <f t="shared" si="1"/>
        <v>3345</v>
      </c>
    </row>
    <row r="16473" ht="22.5" customHeight="1">
      <c r="B16473" s="42" t="str">
        <f>IFERROR(__xludf.DUMMYFUNCTION("""COMPUTED_VALUE"""),"")</f>
        <v/>
      </c>
      <c r="C16473" s="42" t="str">
        <f>IFERROR(__xludf.DUMMYFUNCTION("""COMPUTED_VALUE"""),"")</f>
        <v/>
      </c>
      <c r="D16473" s="42"/>
      <c r="E16473" s="42"/>
      <c r="F16473" s="48" t="str">
        <f>IFERROR(__xludf.DUMMYFUNCTION("""COMPUTED_VALUE"""),"")</f>
        <v/>
      </c>
      <c r="G16473" s="42" t="str">
        <f>IFERROR(__xludf.DUMMYFUNCTION("""COMPUTED_VALUE"""),"")</f>
        <v/>
      </c>
      <c r="H16473" s="42">
        <f t="shared" si="1"/>
        <v>3345</v>
      </c>
    </row>
    <row r="16474" ht="22.5" customHeight="1">
      <c r="B16474" s="42" t="str">
        <f>IFERROR(__xludf.DUMMYFUNCTION("""COMPUTED_VALUE"""),"")</f>
        <v/>
      </c>
      <c r="C16474" s="42" t="str">
        <f>IFERROR(__xludf.DUMMYFUNCTION("""COMPUTED_VALUE"""),"")</f>
        <v/>
      </c>
      <c r="D16474" s="42"/>
      <c r="E16474" s="42"/>
      <c r="F16474" s="48" t="str">
        <f>IFERROR(__xludf.DUMMYFUNCTION("""COMPUTED_VALUE"""),"")</f>
        <v/>
      </c>
      <c r="G16474" s="42" t="str">
        <f>IFERROR(__xludf.DUMMYFUNCTION("""COMPUTED_VALUE"""),"")</f>
        <v/>
      </c>
      <c r="H16474" s="42">
        <f t="shared" si="1"/>
        <v>3345</v>
      </c>
    </row>
    <row r="16475" ht="22.5" customHeight="1">
      <c r="B16475" s="42" t="str">
        <f>IFERROR(__xludf.DUMMYFUNCTION("""COMPUTED_VALUE"""),"")</f>
        <v/>
      </c>
      <c r="C16475" s="42" t="str">
        <f>IFERROR(__xludf.DUMMYFUNCTION("""COMPUTED_VALUE"""),"")</f>
        <v/>
      </c>
      <c r="D16475" s="42"/>
      <c r="E16475" s="42"/>
      <c r="F16475" s="48" t="str">
        <f>IFERROR(__xludf.DUMMYFUNCTION("""COMPUTED_VALUE"""),"")</f>
        <v/>
      </c>
      <c r="G16475" s="42" t="str">
        <f>IFERROR(__xludf.DUMMYFUNCTION("""COMPUTED_VALUE"""),"")</f>
        <v/>
      </c>
      <c r="H16475" s="42">
        <f t="shared" si="1"/>
        <v>3345</v>
      </c>
    </row>
    <row r="16476" ht="22.5" customHeight="1">
      <c r="B16476" s="42" t="str">
        <f>IFERROR(__xludf.DUMMYFUNCTION("""COMPUTED_VALUE"""),"")</f>
        <v/>
      </c>
      <c r="C16476" s="42" t="str">
        <f>IFERROR(__xludf.DUMMYFUNCTION("""COMPUTED_VALUE"""),"")</f>
        <v/>
      </c>
      <c r="D16476" s="42"/>
      <c r="E16476" s="42"/>
      <c r="F16476" s="48" t="str">
        <f>IFERROR(__xludf.DUMMYFUNCTION("""COMPUTED_VALUE"""),"")</f>
        <v/>
      </c>
      <c r="G16476" s="42" t="str">
        <f>IFERROR(__xludf.DUMMYFUNCTION("""COMPUTED_VALUE"""),"")</f>
        <v/>
      </c>
      <c r="H16476" s="42">
        <f t="shared" si="1"/>
        <v>3345</v>
      </c>
    </row>
    <row r="16477" ht="22.5" customHeight="1">
      <c r="B16477" s="42" t="str">
        <f>IFERROR(__xludf.DUMMYFUNCTION("""COMPUTED_VALUE"""),"")</f>
        <v/>
      </c>
      <c r="C16477" s="42" t="str">
        <f>IFERROR(__xludf.DUMMYFUNCTION("""COMPUTED_VALUE"""),"")</f>
        <v/>
      </c>
      <c r="D16477" s="42"/>
      <c r="E16477" s="42"/>
      <c r="F16477" s="48" t="str">
        <f>IFERROR(__xludf.DUMMYFUNCTION("""COMPUTED_VALUE"""),"")</f>
        <v/>
      </c>
      <c r="G16477" s="42" t="str">
        <f>IFERROR(__xludf.DUMMYFUNCTION("""COMPUTED_VALUE"""),"")</f>
        <v/>
      </c>
      <c r="H16477" s="42">
        <f t="shared" si="1"/>
        <v>3345</v>
      </c>
    </row>
    <row r="16478" ht="22.5" customHeight="1">
      <c r="B16478" s="42" t="str">
        <f>IFERROR(__xludf.DUMMYFUNCTION("""COMPUTED_VALUE"""),"")</f>
        <v/>
      </c>
      <c r="C16478" s="42" t="str">
        <f>IFERROR(__xludf.DUMMYFUNCTION("""COMPUTED_VALUE"""),"")</f>
        <v/>
      </c>
      <c r="D16478" s="42"/>
      <c r="E16478" s="42"/>
      <c r="F16478" s="48" t="str">
        <f>IFERROR(__xludf.DUMMYFUNCTION("""COMPUTED_VALUE"""),"")</f>
        <v/>
      </c>
      <c r="G16478" s="42" t="str">
        <f>IFERROR(__xludf.DUMMYFUNCTION("""COMPUTED_VALUE"""),"")</f>
        <v/>
      </c>
      <c r="H16478" s="42">
        <f t="shared" si="1"/>
        <v>3345</v>
      </c>
    </row>
    <row r="16479" ht="22.5" customHeight="1">
      <c r="B16479" s="42" t="str">
        <f>IFERROR(__xludf.DUMMYFUNCTION("""COMPUTED_VALUE"""),"")</f>
        <v/>
      </c>
      <c r="C16479" s="42" t="str">
        <f>IFERROR(__xludf.DUMMYFUNCTION("""COMPUTED_VALUE"""),"")</f>
        <v/>
      </c>
      <c r="D16479" s="42"/>
      <c r="E16479" s="42"/>
      <c r="F16479" s="48" t="str">
        <f>IFERROR(__xludf.DUMMYFUNCTION("""COMPUTED_VALUE"""),"")</f>
        <v/>
      </c>
      <c r="G16479" s="42" t="str">
        <f>IFERROR(__xludf.DUMMYFUNCTION("""COMPUTED_VALUE"""),"")</f>
        <v/>
      </c>
      <c r="H16479" s="42">
        <f t="shared" si="1"/>
        <v>3345</v>
      </c>
    </row>
    <row r="16480" ht="22.5" customHeight="1">
      <c r="B16480" s="42" t="str">
        <f>IFERROR(__xludf.DUMMYFUNCTION("""COMPUTED_VALUE"""),"")</f>
        <v/>
      </c>
      <c r="C16480" s="42" t="str">
        <f>IFERROR(__xludf.DUMMYFUNCTION("""COMPUTED_VALUE"""),"")</f>
        <v/>
      </c>
      <c r="D16480" s="42"/>
      <c r="E16480" s="42"/>
      <c r="F16480" s="48" t="str">
        <f>IFERROR(__xludf.DUMMYFUNCTION("""COMPUTED_VALUE"""),"")</f>
        <v/>
      </c>
      <c r="G16480" s="42" t="str">
        <f>IFERROR(__xludf.DUMMYFUNCTION("""COMPUTED_VALUE"""),"")</f>
        <v/>
      </c>
      <c r="H16480" s="42">
        <f t="shared" si="1"/>
        <v>3345</v>
      </c>
    </row>
    <row r="16481" ht="22.5" customHeight="1">
      <c r="B16481" s="42" t="str">
        <f>IFERROR(__xludf.DUMMYFUNCTION("""COMPUTED_VALUE"""),"")</f>
        <v/>
      </c>
      <c r="C16481" s="42" t="str">
        <f>IFERROR(__xludf.DUMMYFUNCTION("""COMPUTED_VALUE"""),"")</f>
        <v/>
      </c>
      <c r="D16481" s="42"/>
      <c r="E16481" s="42"/>
      <c r="F16481" s="48" t="str">
        <f>IFERROR(__xludf.DUMMYFUNCTION("""COMPUTED_VALUE"""),"")</f>
        <v/>
      </c>
      <c r="G16481" s="42" t="str">
        <f>IFERROR(__xludf.DUMMYFUNCTION("""COMPUTED_VALUE"""),"")</f>
        <v/>
      </c>
      <c r="H16481" s="42">
        <f t="shared" si="1"/>
        <v>3345</v>
      </c>
    </row>
    <row r="16482" ht="22.5" customHeight="1">
      <c r="B16482" s="42" t="str">
        <f>IFERROR(__xludf.DUMMYFUNCTION("""COMPUTED_VALUE"""),"")</f>
        <v/>
      </c>
      <c r="C16482" s="42" t="str">
        <f>IFERROR(__xludf.DUMMYFUNCTION("""COMPUTED_VALUE"""),"")</f>
        <v/>
      </c>
      <c r="D16482" s="42"/>
      <c r="E16482" s="42"/>
      <c r="F16482" s="48" t="str">
        <f>IFERROR(__xludf.DUMMYFUNCTION("""COMPUTED_VALUE"""),"")</f>
        <v/>
      </c>
      <c r="G16482" s="42" t="str">
        <f>IFERROR(__xludf.DUMMYFUNCTION("""COMPUTED_VALUE"""),"")</f>
        <v/>
      </c>
      <c r="H16482" s="42">
        <f t="shared" si="1"/>
        <v>3345</v>
      </c>
    </row>
    <row r="16483" ht="22.5" customHeight="1">
      <c r="B16483" s="42" t="str">
        <f>IFERROR(__xludf.DUMMYFUNCTION("""COMPUTED_VALUE"""),"")</f>
        <v/>
      </c>
      <c r="C16483" s="42" t="str">
        <f>IFERROR(__xludf.DUMMYFUNCTION("""COMPUTED_VALUE"""),"")</f>
        <v/>
      </c>
      <c r="D16483" s="42"/>
      <c r="E16483" s="42"/>
      <c r="F16483" s="48" t="str">
        <f>IFERROR(__xludf.DUMMYFUNCTION("""COMPUTED_VALUE"""),"")</f>
        <v/>
      </c>
      <c r="G16483" s="42" t="str">
        <f>IFERROR(__xludf.DUMMYFUNCTION("""COMPUTED_VALUE"""),"")</f>
        <v/>
      </c>
      <c r="H16483" s="42">
        <f t="shared" si="1"/>
        <v>3345</v>
      </c>
    </row>
    <row r="16484" ht="22.5" customHeight="1">
      <c r="B16484" s="42" t="str">
        <f>IFERROR(__xludf.DUMMYFUNCTION("""COMPUTED_VALUE"""),"")</f>
        <v/>
      </c>
      <c r="C16484" s="42" t="str">
        <f>IFERROR(__xludf.DUMMYFUNCTION("""COMPUTED_VALUE"""),"")</f>
        <v/>
      </c>
      <c r="D16484" s="42"/>
      <c r="E16484" s="42"/>
      <c r="F16484" s="48" t="str">
        <f>IFERROR(__xludf.DUMMYFUNCTION("""COMPUTED_VALUE"""),"")</f>
        <v/>
      </c>
      <c r="G16484" s="42" t="str">
        <f>IFERROR(__xludf.DUMMYFUNCTION("""COMPUTED_VALUE"""),"")</f>
        <v/>
      </c>
      <c r="H16484" s="42">
        <f t="shared" si="1"/>
        <v>3345</v>
      </c>
    </row>
    <row r="16485" ht="22.5" customHeight="1">
      <c r="B16485" s="42" t="str">
        <f>IFERROR(__xludf.DUMMYFUNCTION("""COMPUTED_VALUE"""),"")</f>
        <v/>
      </c>
      <c r="C16485" s="42" t="str">
        <f>IFERROR(__xludf.DUMMYFUNCTION("""COMPUTED_VALUE"""),"")</f>
        <v/>
      </c>
      <c r="D16485" s="42"/>
      <c r="E16485" s="42"/>
      <c r="F16485" s="48" t="str">
        <f>IFERROR(__xludf.DUMMYFUNCTION("""COMPUTED_VALUE"""),"")</f>
        <v/>
      </c>
      <c r="G16485" s="42" t="str">
        <f>IFERROR(__xludf.DUMMYFUNCTION("""COMPUTED_VALUE"""),"")</f>
        <v/>
      </c>
      <c r="H16485" s="42">
        <f t="shared" si="1"/>
        <v>3345</v>
      </c>
    </row>
    <row r="16486" ht="22.5" customHeight="1">
      <c r="B16486" s="42" t="str">
        <f>IFERROR(__xludf.DUMMYFUNCTION("""COMPUTED_VALUE"""),"")</f>
        <v/>
      </c>
      <c r="C16486" s="42" t="str">
        <f>IFERROR(__xludf.DUMMYFUNCTION("""COMPUTED_VALUE"""),"")</f>
        <v/>
      </c>
      <c r="D16486" s="42"/>
      <c r="E16486" s="42"/>
      <c r="F16486" s="48" t="str">
        <f>IFERROR(__xludf.DUMMYFUNCTION("""COMPUTED_VALUE"""),"")</f>
        <v/>
      </c>
      <c r="G16486" s="42" t="str">
        <f>IFERROR(__xludf.DUMMYFUNCTION("""COMPUTED_VALUE"""),"")</f>
        <v/>
      </c>
      <c r="H16486" s="42">
        <f t="shared" si="1"/>
        <v>3345</v>
      </c>
    </row>
    <row r="16487" ht="22.5" customHeight="1">
      <c r="B16487" s="42" t="str">
        <f>IFERROR(__xludf.DUMMYFUNCTION("""COMPUTED_VALUE"""),"")</f>
        <v/>
      </c>
      <c r="C16487" s="42" t="str">
        <f>IFERROR(__xludf.DUMMYFUNCTION("""COMPUTED_VALUE"""),"")</f>
        <v/>
      </c>
      <c r="D16487" s="42"/>
      <c r="E16487" s="42"/>
      <c r="F16487" s="48" t="str">
        <f>IFERROR(__xludf.DUMMYFUNCTION("""COMPUTED_VALUE"""),"")</f>
        <v/>
      </c>
      <c r="G16487" s="42" t="str">
        <f>IFERROR(__xludf.DUMMYFUNCTION("""COMPUTED_VALUE"""),"")</f>
        <v/>
      </c>
      <c r="H16487" s="42">
        <f t="shared" si="1"/>
        <v>3345</v>
      </c>
    </row>
    <row r="16488" ht="22.5" customHeight="1">
      <c r="B16488" s="42" t="str">
        <f>IFERROR(__xludf.DUMMYFUNCTION("""COMPUTED_VALUE"""),"")</f>
        <v/>
      </c>
      <c r="C16488" s="42" t="str">
        <f>IFERROR(__xludf.DUMMYFUNCTION("""COMPUTED_VALUE"""),"")</f>
        <v/>
      </c>
      <c r="D16488" s="42"/>
      <c r="E16488" s="42"/>
      <c r="F16488" s="48" t="str">
        <f>IFERROR(__xludf.DUMMYFUNCTION("""COMPUTED_VALUE"""),"")</f>
        <v/>
      </c>
      <c r="G16488" s="42" t="str">
        <f>IFERROR(__xludf.DUMMYFUNCTION("""COMPUTED_VALUE"""),"")</f>
        <v/>
      </c>
      <c r="H16488" s="42">
        <f t="shared" si="1"/>
        <v>3345</v>
      </c>
    </row>
    <row r="16489" ht="22.5" customHeight="1">
      <c r="B16489" s="42" t="str">
        <f>IFERROR(__xludf.DUMMYFUNCTION("""COMPUTED_VALUE"""),"")</f>
        <v/>
      </c>
      <c r="C16489" s="42" t="str">
        <f>IFERROR(__xludf.DUMMYFUNCTION("""COMPUTED_VALUE"""),"")</f>
        <v/>
      </c>
      <c r="D16489" s="42"/>
      <c r="E16489" s="42"/>
      <c r="F16489" s="48" t="str">
        <f>IFERROR(__xludf.DUMMYFUNCTION("""COMPUTED_VALUE"""),"")</f>
        <v/>
      </c>
      <c r="G16489" s="42" t="str">
        <f>IFERROR(__xludf.DUMMYFUNCTION("""COMPUTED_VALUE"""),"")</f>
        <v/>
      </c>
      <c r="H16489" s="42">
        <f t="shared" si="1"/>
        <v>3345</v>
      </c>
    </row>
    <row r="16490" ht="22.5" customHeight="1">
      <c r="B16490" s="42" t="str">
        <f>IFERROR(__xludf.DUMMYFUNCTION("""COMPUTED_VALUE"""),"")</f>
        <v/>
      </c>
      <c r="C16490" s="42" t="str">
        <f>IFERROR(__xludf.DUMMYFUNCTION("""COMPUTED_VALUE"""),"")</f>
        <v/>
      </c>
      <c r="D16490" s="42"/>
      <c r="E16490" s="42"/>
      <c r="F16490" s="48" t="str">
        <f>IFERROR(__xludf.DUMMYFUNCTION("""COMPUTED_VALUE"""),"")</f>
        <v/>
      </c>
      <c r="G16490" s="42" t="str">
        <f>IFERROR(__xludf.DUMMYFUNCTION("""COMPUTED_VALUE"""),"")</f>
        <v/>
      </c>
      <c r="H16490" s="42">
        <f t="shared" si="1"/>
        <v>3345</v>
      </c>
    </row>
    <row r="16491" ht="22.5" customHeight="1">
      <c r="B16491" s="42" t="str">
        <f>IFERROR(__xludf.DUMMYFUNCTION("""COMPUTED_VALUE"""),"")</f>
        <v/>
      </c>
      <c r="C16491" s="42" t="str">
        <f>IFERROR(__xludf.DUMMYFUNCTION("""COMPUTED_VALUE"""),"")</f>
        <v/>
      </c>
      <c r="D16491" s="42"/>
      <c r="E16491" s="42"/>
      <c r="F16491" s="48" t="str">
        <f>IFERROR(__xludf.DUMMYFUNCTION("""COMPUTED_VALUE"""),"")</f>
        <v/>
      </c>
      <c r="G16491" s="42" t="str">
        <f>IFERROR(__xludf.DUMMYFUNCTION("""COMPUTED_VALUE"""),"")</f>
        <v/>
      </c>
      <c r="H16491" s="42">
        <f t="shared" si="1"/>
        <v>3345</v>
      </c>
    </row>
    <row r="16492" ht="22.5" customHeight="1">
      <c r="B16492" s="42" t="str">
        <f>IFERROR(__xludf.DUMMYFUNCTION("""COMPUTED_VALUE"""),"")</f>
        <v/>
      </c>
      <c r="C16492" s="42" t="str">
        <f>IFERROR(__xludf.DUMMYFUNCTION("""COMPUTED_VALUE"""),"")</f>
        <v/>
      </c>
      <c r="D16492" s="42"/>
      <c r="E16492" s="42"/>
      <c r="F16492" s="48" t="str">
        <f>IFERROR(__xludf.DUMMYFUNCTION("""COMPUTED_VALUE"""),"")</f>
        <v/>
      </c>
      <c r="G16492" s="42" t="str">
        <f>IFERROR(__xludf.DUMMYFUNCTION("""COMPUTED_VALUE"""),"")</f>
        <v/>
      </c>
      <c r="H16492" s="42">
        <f t="shared" si="1"/>
        <v>3345</v>
      </c>
    </row>
    <row r="16493" ht="22.5" customHeight="1">
      <c r="B16493" s="42" t="str">
        <f>IFERROR(__xludf.DUMMYFUNCTION("""COMPUTED_VALUE"""),"")</f>
        <v/>
      </c>
      <c r="C16493" s="42" t="str">
        <f>IFERROR(__xludf.DUMMYFUNCTION("""COMPUTED_VALUE"""),"")</f>
        <v/>
      </c>
      <c r="D16493" s="42"/>
      <c r="E16493" s="42"/>
      <c r="F16493" s="48" t="str">
        <f>IFERROR(__xludf.DUMMYFUNCTION("""COMPUTED_VALUE"""),"")</f>
        <v/>
      </c>
      <c r="G16493" s="42" t="str">
        <f>IFERROR(__xludf.DUMMYFUNCTION("""COMPUTED_VALUE"""),"")</f>
        <v/>
      </c>
      <c r="H16493" s="42">
        <f t="shared" si="1"/>
        <v>3345</v>
      </c>
    </row>
    <row r="16494" ht="22.5" customHeight="1">
      <c r="B16494" s="42" t="str">
        <f>IFERROR(__xludf.DUMMYFUNCTION("""COMPUTED_VALUE"""),"")</f>
        <v/>
      </c>
      <c r="C16494" s="42" t="str">
        <f>IFERROR(__xludf.DUMMYFUNCTION("""COMPUTED_VALUE"""),"")</f>
        <v/>
      </c>
      <c r="D16494" s="42"/>
      <c r="E16494" s="42"/>
      <c r="F16494" s="48" t="str">
        <f>IFERROR(__xludf.DUMMYFUNCTION("""COMPUTED_VALUE"""),"")</f>
        <v/>
      </c>
      <c r="G16494" s="42" t="str">
        <f>IFERROR(__xludf.DUMMYFUNCTION("""COMPUTED_VALUE"""),"")</f>
        <v/>
      </c>
      <c r="H16494" s="42">
        <f t="shared" si="1"/>
        <v>3345</v>
      </c>
    </row>
    <row r="16495" ht="22.5" customHeight="1">
      <c r="B16495" s="42" t="str">
        <f>IFERROR(__xludf.DUMMYFUNCTION("""COMPUTED_VALUE"""),"")</f>
        <v/>
      </c>
      <c r="C16495" s="42" t="str">
        <f>IFERROR(__xludf.DUMMYFUNCTION("""COMPUTED_VALUE"""),"")</f>
        <v/>
      </c>
      <c r="D16495" s="42"/>
      <c r="E16495" s="42"/>
      <c r="F16495" s="48" t="str">
        <f>IFERROR(__xludf.DUMMYFUNCTION("""COMPUTED_VALUE"""),"")</f>
        <v/>
      </c>
      <c r="G16495" s="42" t="str">
        <f>IFERROR(__xludf.DUMMYFUNCTION("""COMPUTED_VALUE"""),"")</f>
        <v/>
      </c>
      <c r="H16495" s="42">
        <f t="shared" si="1"/>
        <v>3345</v>
      </c>
    </row>
    <row r="16496" ht="22.5" customHeight="1">
      <c r="B16496" s="42" t="str">
        <f>IFERROR(__xludf.DUMMYFUNCTION("""COMPUTED_VALUE"""),"")</f>
        <v/>
      </c>
      <c r="C16496" s="42" t="str">
        <f>IFERROR(__xludf.DUMMYFUNCTION("""COMPUTED_VALUE"""),"")</f>
        <v/>
      </c>
      <c r="D16496" s="42"/>
      <c r="E16496" s="42"/>
      <c r="F16496" s="48" t="str">
        <f>IFERROR(__xludf.DUMMYFUNCTION("""COMPUTED_VALUE"""),"")</f>
        <v/>
      </c>
      <c r="G16496" s="42" t="str">
        <f>IFERROR(__xludf.DUMMYFUNCTION("""COMPUTED_VALUE"""),"")</f>
        <v/>
      </c>
      <c r="H16496" s="42">
        <f t="shared" si="1"/>
        <v>3345</v>
      </c>
    </row>
    <row r="16497" ht="22.5" customHeight="1">
      <c r="B16497" s="42" t="str">
        <f>IFERROR(__xludf.DUMMYFUNCTION("""COMPUTED_VALUE"""),"")</f>
        <v/>
      </c>
      <c r="C16497" s="42" t="str">
        <f>IFERROR(__xludf.DUMMYFUNCTION("""COMPUTED_VALUE"""),"")</f>
        <v/>
      </c>
      <c r="D16497" s="42"/>
      <c r="E16497" s="42"/>
      <c r="F16497" s="48" t="str">
        <f>IFERROR(__xludf.DUMMYFUNCTION("""COMPUTED_VALUE"""),"")</f>
        <v/>
      </c>
      <c r="G16497" s="42" t="str">
        <f>IFERROR(__xludf.DUMMYFUNCTION("""COMPUTED_VALUE"""),"")</f>
        <v/>
      </c>
      <c r="H16497" s="42">
        <f t="shared" si="1"/>
        <v>3345</v>
      </c>
    </row>
    <row r="16498" ht="22.5" customHeight="1">
      <c r="B16498" s="42" t="str">
        <f>IFERROR(__xludf.DUMMYFUNCTION("""COMPUTED_VALUE"""),"")</f>
        <v/>
      </c>
      <c r="C16498" s="42" t="str">
        <f>IFERROR(__xludf.DUMMYFUNCTION("""COMPUTED_VALUE"""),"")</f>
        <v/>
      </c>
      <c r="D16498" s="42"/>
      <c r="E16498" s="42"/>
      <c r="F16498" s="48" t="str">
        <f>IFERROR(__xludf.DUMMYFUNCTION("""COMPUTED_VALUE"""),"")</f>
        <v/>
      </c>
      <c r="G16498" s="42" t="str">
        <f>IFERROR(__xludf.DUMMYFUNCTION("""COMPUTED_VALUE"""),"")</f>
        <v/>
      </c>
      <c r="H16498" s="42">
        <f t="shared" si="1"/>
        <v>3345</v>
      </c>
    </row>
    <row r="16499" ht="22.5" customHeight="1">
      <c r="B16499" s="42" t="str">
        <f>IFERROR(__xludf.DUMMYFUNCTION("""COMPUTED_VALUE"""),"")</f>
        <v/>
      </c>
      <c r="C16499" s="42" t="str">
        <f>IFERROR(__xludf.DUMMYFUNCTION("""COMPUTED_VALUE"""),"")</f>
        <v/>
      </c>
      <c r="D16499" s="42"/>
      <c r="E16499" s="42"/>
      <c r="F16499" s="48" t="str">
        <f>IFERROR(__xludf.DUMMYFUNCTION("""COMPUTED_VALUE"""),"")</f>
        <v/>
      </c>
      <c r="G16499" s="42" t="str">
        <f>IFERROR(__xludf.DUMMYFUNCTION("""COMPUTED_VALUE"""),"")</f>
        <v/>
      </c>
      <c r="H16499" s="42">
        <f t="shared" si="1"/>
        <v>3345</v>
      </c>
    </row>
    <row r="16500" ht="22.5" customHeight="1">
      <c r="B16500" s="42" t="str">
        <f>IFERROR(__xludf.DUMMYFUNCTION("""COMPUTED_VALUE"""),"")</f>
        <v/>
      </c>
      <c r="C16500" s="42" t="str">
        <f>IFERROR(__xludf.DUMMYFUNCTION("""COMPUTED_VALUE"""),"")</f>
        <v/>
      </c>
      <c r="D16500" s="42"/>
      <c r="E16500" s="42"/>
      <c r="F16500" s="48" t="str">
        <f>IFERROR(__xludf.DUMMYFUNCTION("""COMPUTED_VALUE"""),"")</f>
        <v/>
      </c>
      <c r="G16500" s="42" t="str">
        <f>IFERROR(__xludf.DUMMYFUNCTION("""COMPUTED_VALUE"""),"")</f>
        <v/>
      </c>
      <c r="H16500" s="42">
        <f t="shared" si="1"/>
        <v>3345</v>
      </c>
    </row>
    <row r="16501" ht="22.5" customHeight="1">
      <c r="B16501" s="42" t="str">
        <f>IFERROR(__xludf.DUMMYFUNCTION("""COMPUTED_VALUE"""),"")</f>
        <v/>
      </c>
      <c r="C16501" s="42" t="str">
        <f>IFERROR(__xludf.DUMMYFUNCTION("""COMPUTED_VALUE"""),"")</f>
        <v/>
      </c>
      <c r="D16501" s="42"/>
      <c r="E16501" s="42"/>
      <c r="F16501" s="48" t="str">
        <f>IFERROR(__xludf.DUMMYFUNCTION("""COMPUTED_VALUE"""),"")</f>
        <v/>
      </c>
      <c r="G16501" s="42" t="str">
        <f>IFERROR(__xludf.DUMMYFUNCTION("""COMPUTED_VALUE"""),"")</f>
        <v/>
      </c>
      <c r="H16501" s="42">
        <f t="shared" si="1"/>
        <v>3345</v>
      </c>
    </row>
    <row r="16502" ht="22.5" customHeight="1">
      <c r="B16502" s="42" t="str">
        <f>IFERROR(__xludf.DUMMYFUNCTION("""COMPUTED_VALUE"""),"")</f>
        <v/>
      </c>
      <c r="C16502" s="42" t="str">
        <f>IFERROR(__xludf.DUMMYFUNCTION("""COMPUTED_VALUE"""),"")</f>
        <v/>
      </c>
      <c r="D16502" s="42"/>
      <c r="E16502" s="42"/>
      <c r="F16502" s="48" t="str">
        <f>IFERROR(__xludf.DUMMYFUNCTION("""COMPUTED_VALUE"""),"")</f>
        <v/>
      </c>
      <c r="G16502" s="42" t="str">
        <f>IFERROR(__xludf.DUMMYFUNCTION("""COMPUTED_VALUE"""),"")</f>
        <v/>
      </c>
      <c r="H16502" s="42">
        <f t="shared" si="1"/>
        <v>3345</v>
      </c>
    </row>
    <row r="16503" ht="22.5" customHeight="1">
      <c r="B16503" s="42" t="str">
        <f>IFERROR(__xludf.DUMMYFUNCTION("""COMPUTED_VALUE"""),"")</f>
        <v/>
      </c>
      <c r="C16503" s="42" t="str">
        <f>IFERROR(__xludf.DUMMYFUNCTION("""COMPUTED_VALUE"""),"")</f>
        <v/>
      </c>
      <c r="D16503" s="42"/>
      <c r="E16503" s="42"/>
      <c r="F16503" s="48" t="str">
        <f>IFERROR(__xludf.DUMMYFUNCTION("""COMPUTED_VALUE"""),"")</f>
        <v/>
      </c>
      <c r="G16503" s="42" t="str">
        <f>IFERROR(__xludf.DUMMYFUNCTION("""COMPUTED_VALUE"""),"")</f>
        <v/>
      </c>
      <c r="H16503" s="42">
        <f t="shared" si="1"/>
        <v>3345</v>
      </c>
    </row>
    <row r="16504" ht="22.5" customHeight="1">
      <c r="B16504" s="42" t="str">
        <f>IFERROR(__xludf.DUMMYFUNCTION("""COMPUTED_VALUE"""),"")</f>
        <v/>
      </c>
      <c r="C16504" s="42" t="str">
        <f>IFERROR(__xludf.DUMMYFUNCTION("""COMPUTED_VALUE"""),"")</f>
        <v/>
      </c>
      <c r="D16504" s="42"/>
      <c r="E16504" s="42"/>
      <c r="F16504" s="48" t="str">
        <f>IFERROR(__xludf.DUMMYFUNCTION("""COMPUTED_VALUE"""),"")</f>
        <v/>
      </c>
      <c r="G16504" s="42" t="str">
        <f>IFERROR(__xludf.DUMMYFUNCTION("""COMPUTED_VALUE"""),"")</f>
        <v/>
      </c>
      <c r="H16504" s="42">
        <f t="shared" si="1"/>
        <v>3345</v>
      </c>
    </row>
    <row r="16505" ht="22.5" customHeight="1">
      <c r="B16505" s="42" t="str">
        <f>IFERROR(__xludf.DUMMYFUNCTION("""COMPUTED_VALUE"""),"")</f>
        <v/>
      </c>
      <c r="C16505" s="42" t="str">
        <f>IFERROR(__xludf.DUMMYFUNCTION("""COMPUTED_VALUE"""),"")</f>
        <v/>
      </c>
      <c r="D16505" s="42"/>
      <c r="E16505" s="42"/>
      <c r="F16505" s="48" t="str">
        <f>IFERROR(__xludf.DUMMYFUNCTION("""COMPUTED_VALUE"""),"")</f>
        <v/>
      </c>
      <c r="G16505" s="42" t="str">
        <f>IFERROR(__xludf.DUMMYFUNCTION("""COMPUTED_VALUE"""),"")</f>
        <v/>
      </c>
      <c r="H16505" s="42">
        <f t="shared" si="1"/>
        <v>3345</v>
      </c>
    </row>
    <row r="16506" ht="22.5" customHeight="1">
      <c r="B16506" s="42" t="str">
        <f>IFERROR(__xludf.DUMMYFUNCTION("""COMPUTED_VALUE"""),"")</f>
        <v/>
      </c>
      <c r="C16506" s="42" t="str">
        <f>IFERROR(__xludf.DUMMYFUNCTION("""COMPUTED_VALUE"""),"")</f>
        <v/>
      </c>
      <c r="D16506" s="42"/>
      <c r="E16506" s="42"/>
      <c r="F16506" s="48" t="str">
        <f>IFERROR(__xludf.DUMMYFUNCTION("""COMPUTED_VALUE"""),"")</f>
        <v/>
      </c>
      <c r="G16506" s="42" t="str">
        <f>IFERROR(__xludf.DUMMYFUNCTION("""COMPUTED_VALUE"""),"")</f>
        <v/>
      </c>
      <c r="H16506" s="42">
        <f t="shared" si="1"/>
        <v>3345</v>
      </c>
    </row>
    <row r="16507" ht="22.5" customHeight="1">
      <c r="B16507" s="42" t="str">
        <f>IFERROR(__xludf.DUMMYFUNCTION("""COMPUTED_VALUE"""),"")</f>
        <v/>
      </c>
      <c r="C16507" s="42" t="str">
        <f>IFERROR(__xludf.DUMMYFUNCTION("""COMPUTED_VALUE"""),"")</f>
        <v/>
      </c>
      <c r="D16507" s="42"/>
      <c r="E16507" s="42"/>
      <c r="F16507" s="48" t="str">
        <f>IFERROR(__xludf.DUMMYFUNCTION("""COMPUTED_VALUE"""),"")</f>
        <v/>
      </c>
      <c r="G16507" s="42" t="str">
        <f>IFERROR(__xludf.DUMMYFUNCTION("""COMPUTED_VALUE"""),"")</f>
        <v/>
      </c>
      <c r="H16507" s="42">
        <f t="shared" si="1"/>
        <v>3345</v>
      </c>
    </row>
    <row r="16508" ht="22.5" customHeight="1">
      <c r="B16508" s="42" t="str">
        <f>IFERROR(__xludf.DUMMYFUNCTION("""COMPUTED_VALUE"""),"")</f>
        <v/>
      </c>
      <c r="C16508" s="42" t="str">
        <f>IFERROR(__xludf.DUMMYFUNCTION("""COMPUTED_VALUE"""),"")</f>
        <v/>
      </c>
      <c r="D16508" s="42"/>
      <c r="E16508" s="42"/>
      <c r="F16508" s="48" t="str">
        <f>IFERROR(__xludf.DUMMYFUNCTION("""COMPUTED_VALUE"""),"")</f>
        <v/>
      </c>
      <c r="G16508" s="42" t="str">
        <f>IFERROR(__xludf.DUMMYFUNCTION("""COMPUTED_VALUE"""),"")</f>
        <v/>
      </c>
      <c r="H16508" s="42">
        <f t="shared" si="1"/>
        <v>3345</v>
      </c>
    </row>
    <row r="16509" ht="22.5" customHeight="1">
      <c r="B16509" s="42" t="str">
        <f>IFERROR(__xludf.DUMMYFUNCTION("""COMPUTED_VALUE"""),"")</f>
        <v/>
      </c>
      <c r="C16509" s="42" t="str">
        <f>IFERROR(__xludf.DUMMYFUNCTION("""COMPUTED_VALUE"""),"")</f>
        <v/>
      </c>
      <c r="D16509" s="42"/>
      <c r="E16509" s="42"/>
      <c r="F16509" s="48" t="str">
        <f>IFERROR(__xludf.DUMMYFUNCTION("""COMPUTED_VALUE"""),"")</f>
        <v/>
      </c>
      <c r="G16509" s="42" t="str">
        <f>IFERROR(__xludf.DUMMYFUNCTION("""COMPUTED_VALUE"""),"")</f>
        <v/>
      </c>
      <c r="H16509" s="42">
        <f t="shared" si="1"/>
        <v>3345</v>
      </c>
    </row>
    <row r="16510" ht="22.5" customHeight="1">
      <c r="B16510" s="42" t="str">
        <f>IFERROR(__xludf.DUMMYFUNCTION("""COMPUTED_VALUE"""),"")</f>
        <v/>
      </c>
      <c r="C16510" s="42" t="str">
        <f>IFERROR(__xludf.DUMMYFUNCTION("""COMPUTED_VALUE"""),"")</f>
        <v/>
      </c>
      <c r="D16510" s="42"/>
      <c r="E16510" s="42"/>
      <c r="F16510" s="48" t="str">
        <f>IFERROR(__xludf.DUMMYFUNCTION("""COMPUTED_VALUE"""),"")</f>
        <v/>
      </c>
      <c r="G16510" s="42" t="str">
        <f>IFERROR(__xludf.DUMMYFUNCTION("""COMPUTED_VALUE"""),"")</f>
        <v/>
      </c>
      <c r="H16510" s="42">
        <f t="shared" si="1"/>
        <v>3345</v>
      </c>
    </row>
    <row r="16511" ht="22.5" customHeight="1">
      <c r="B16511" s="42" t="str">
        <f>IFERROR(__xludf.DUMMYFUNCTION("""COMPUTED_VALUE"""),"")</f>
        <v/>
      </c>
      <c r="C16511" s="42" t="str">
        <f>IFERROR(__xludf.DUMMYFUNCTION("""COMPUTED_VALUE"""),"")</f>
        <v/>
      </c>
      <c r="D16511" s="42"/>
      <c r="E16511" s="42"/>
      <c r="F16511" s="48" t="str">
        <f>IFERROR(__xludf.DUMMYFUNCTION("""COMPUTED_VALUE"""),"")</f>
        <v/>
      </c>
      <c r="G16511" s="42" t="str">
        <f>IFERROR(__xludf.DUMMYFUNCTION("""COMPUTED_VALUE"""),"")</f>
        <v/>
      </c>
      <c r="H16511" s="42">
        <f t="shared" si="1"/>
        <v>3345</v>
      </c>
    </row>
    <row r="16512" ht="22.5" customHeight="1">
      <c r="B16512" s="42" t="str">
        <f>IFERROR(__xludf.DUMMYFUNCTION("""COMPUTED_VALUE"""),"")</f>
        <v/>
      </c>
      <c r="C16512" s="42" t="str">
        <f>IFERROR(__xludf.DUMMYFUNCTION("""COMPUTED_VALUE"""),"")</f>
        <v/>
      </c>
      <c r="D16512" s="42"/>
      <c r="E16512" s="42"/>
      <c r="F16512" s="48" t="str">
        <f>IFERROR(__xludf.DUMMYFUNCTION("""COMPUTED_VALUE"""),"")</f>
        <v/>
      </c>
      <c r="G16512" s="42" t="str">
        <f>IFERROR(__xludf.DUMMYFUNCTION("""COMPUTED_VALUE"""),"")</f>
        <v/>
      </c>
      <c r="H16512" s="42">
        <f t="shared" si="1"/>
        <v>3345</v>
      </c>
    </row>
    <row r="16513" ht="22.5" customHeight="1">
      <c r="B16513" s="42" t="str">
        <f>IFERROR(__xludf.DUMMYFUNCTION("""COMPUTED_VALUE"""),"")</f>
        <v/>
      </c>
      <c r="C16513" s="42" t="str">
        <f>IFERROR(__xludf.DUMMYFUNCTION("""COMPUTED_VALUE"""),"")</f>
        <v/>
      </c>
      <c r="D16513" s="42"/>
      <c r="E16513" s="42"/>
      <c r="F16513" s="48" t="str">
        <f>IFERROR(__xludf.DUMMYFUNCTION("""COMPUTED_VALUE"""),"")</f>
        <v/>
      </c>
      <c r="G16513" s="42" t="str">
        <f>IFERROR(__xludf.DUMMYFUNCTION("""COMPUTED_VALUE"""),"")</f>
        <v/>
      </c>
      <c r="H16513" s="42">
        <f t="shared" si="1"/>
        <v>3345</v>
      </c>
    </row>
    <row r="16514" ht="22.5" customHeight="1">
      <c r="B16514" s="42" t="str">
        <f>IFERROR(__xludf.DUMMYFUNCTION("""COMPUTED_VALUE"""),"")</f>
        <v/>
      </c>
      <c r="C16514" s="42" t="str">
        <f>IFERROR(__xludf.DUMMYFUNCTION("""COMPUTED_VALUE"""),"")</f>
        <v/>
      </c>
      <c r="D16514" s="42"/>
      <c r="E16514" s="42"/>
      <c r="F16514" s="48" t="str">
        <f>IFERROR(__xludf.DUMMYFUNCTION("""COMPUTED_VALUE"""),"")</f>
        <v/>
      </c>
      <c r="G16514" s="42" t="str">
        <f>IFERROR(__xludf.DUMMYFUNCTION("""COMPUTED_VALUE"""),"")</f>
        <v/>
      </c>
      <c r="H16514" s="42">
        <f t="shared" si="1"/>
        <v>3345</v>
      </c>
    </row>
    <row r="16515" ht="22.5" customHeight="1">
      <c r="B16515" s="42" t="str">
        <f>IFERROR(__xludf.DUMMYFUNCTION("""COMPUTED_VALUE"""),"")</f>
        <v/>
      </c>
      <c r="C16515" s="42" t="str">
        <f>IFERROR(__xludf.DUMMYFUNCTION("""COMPUTED_VALUE"""),"")</f>
        <v/>
      </c>
      <c r="D16515" s="42"/>
      <c r="E16515" s="42"/>
      <c r="F16515" s="48" t="str">
        <f>IFERROR(__xludf.DUMMYFUNCTION("""COMPUTED_VALUE"""),"")</f>
        <v/>
      </c>
      <c r="G16515" s="42" t="str">
        <f>IFERROR(__xludf.DUMMYFUNCTION("""COMPUTED_VALUE"""),"")</f>
        <v/>
      </c>
      <c r="H16515" s="42">
        <f t="shared" si="1"/>
        <v>3345</v>
      </c>
    </row>
    <row r="16516" ht="22.5" customHeight="1">
      <c r="B16516" s="42" t="str">
        <f>IFERROR(__xludf.DUMMYFUNCTION("""COMPUTED_VALUE"""),"")</f>
        <v/>
      </c>
      <c r="C16516" s="42" t="str">
        <f>IFERROR(__xludf.DUMMYFUNCTION("""COMPUTED_VALUE"""),"")</f>
        <v/>
      </c>
      <c r="D16516" s="42"/>
      <c r="E16516" s="42"/>
      <c r="F16516" s="48" t="str">
        <f>IFERROR(__xludf.DUMMYFUNCTION("""COMPUTED_VALUE"""),"")</f>
        <v/>
      </c>
      <c r="G16516" s="42" t="str">
        <f>IFERROR(__xludf.DUMMYFUNCTION("""COMPUTED_VALUE"""),"")</f>
        <v/>
      </c>
      <c r="H16516" s="42">
        <f t="shared" si="1"/>
        <v>3345</v>
      </c>
    </row>
    <row r="16517" ht="22.5" customHeight="1">
      <c r="B16517" s="42" t="str">
        <f>IFERROR(__xludf.DUMMYFUNCTION("""COMPUTED_VALUE"""),"")</f>
        <v/>
      </c>
      <c r="C16517" s="42" t="str">
        <f>IFERROR(__xludf.DUMMYFUNCTION("""COMPUTED_VALUE"""),"")</f>
        <v/>
      </c>
      <c r="D16517" s="42"/>
      <c r="E16517" s="42"/>
      <c r="F16517" s="48" t="str">
        <f>IFERROR(__xludf.DUMMYFUNCTION("""COMPUTED_VALUE"""),"")</f>
        <v/>
      </c>
      <c r="G16517" s="42" t="str">
        <f>IFERROR(__xludf.DUMMYFUNCTION("""COMPUTED_VALUE"""),"")</f>
        <v/>
      </c>
      <c r="H16517" s="42">
        <f t="shared" si="1"/>
        <v>3345</v>
      </c>
    </row>
    <row r="16518" ht="22.5" customHeight="1">
      <c r="B16518" s="42" t="str">
        <f>IFERROR(__xludf.DUMMYFUNCTION("""COMPUTED_VALUE"""),"")</f>
        <v/>
      </c>
      <c r="C16518" s="42" t="str">
        <f>IFERROR(__xludf.DUMMYFUNCTION("""COMPUTED_VALUE"""),"")</f>
        <v/>
      </c>
      <c r="D16518" s="42"/>
      <c r="E16518" s="42"/>
      <c r="F16518" s="48" t="str">
        <f>IFERROR(__xludf.DUMMYFUNCTION("""COMPUTED_VALUE"""),"")</f>
        <v/>
      </c>
      <c r="G16518" s="42" t="str">
        <f>IFERROR(__xludf.DUMMYFUNCTION("""COMPUTED_VALUE"""),"")</f>
        <v/>
      </c>
      <c r="H16518" s="42">
        <f t="shared" si="1"/>
        <v>3345</v>
      </c>
    </row>
    <row r="16519" ht="22.5" customHeight="1">
      <c r="B16519" s="42" t="str">
        <f>IFERROR(__xludf.DUMMYFUNCTION("""COMPUTED_VALUE"""),"")</f>
        <v/>
      </c>
      <c r="C16519" s="42" t="str">
        <f>IFERROR(__xludf.DUMMYFUNCTION("""COMPUTED_VALUE"""),"")</f>
        <v/>
      </c>
      <c r="D16519" s="42"/>
      <c r="E16519" s="42"/>
      <c r="F16519" s="48" t="str">
        <f>IFERROR(__xludf.DUMMYFUNCTION("""COMPUTED_VALUE"""),"")</f>
        <v/>
      </c>
      <c r="G16519" s="42" t="str">
        <f>IFERROR(__xludf.DUMMYFUNCTION("""COMPUTED_VALUE"""),"")</f>
        <v/>
      </c>
      <c r="H16519" s="42">
        <f t="shared" si="1"/>
        <v>3345</v>
      </c>
    </row>
    <row r="16520" ht="22.5" customHeight="1">
      <c r="B16520" s="42" t="str">
        <f>IFERROR(__xludf.DUMMYFUNCTION("""COMPUTED_VALUE"""),"")</f>
        <v/>
      </c>
      <c r="C16520" s="42" t="str">
        <f>IFERROR(__xludf.DUMMYFUNCTION("""COMPUTED_VALUE"""),"")</f>
        <v/>
      </c>
      <c r="D16520" s="42"/>
      <c r="E16520" s="42"/>
      <c r="F16520" s="48" t="str">
        <f>IFERROR(__xludf.DUMMYFUNCTION("""COMPUTED_VALUE"""),"")</f>
        <v/>
      </c>
      <c r="G16520" s="42" t="str">
        <f>IFERROR(__xludf.DUMMYFUNCTION("""COMPUTED_VALUE"""),"")</f>
        <v/>
      </c>
      <c r="H16520" s="42">
        <f t="shared" si="1"/>
        <v>3345</v>
      </c>
    </row>
    <row r="16521" ht="22.5" customHeight="1">
      <c r="B16521" s="42" t="str">
        <f>IFERROR(__xludf.DUMMYFUNCTION("""COMPUTED_VALUE"""),"")</f>
        <v/>
      </c>
      <c r="C16521" s="42" t="str">
        <f>IFERROR(__xludf.DUMMYFUNCTION("""COMPUTED_VALUE"""),"")</f>
        <v/>
      </c>
      <c r="D16521" s="42"/>
      <c r="E16521" s="42"/>
      <c r="F16521" s="48" t="str">
        <f>IFERROR(__xludf.DUMMYFUNCTION("""COMPUTED_VALUE"""),"")</f>
        <v/>
      </c>
      <c r="G16521" s="42" t="str">
        <f>IFERROR(__xludf.DUMMYFUNCTION("""COMPUTED_VALUE"""),"")</f>
        <v/>
      </c>
      <c r="H16521" s="42">
        <f t="shared" si="1"/>
        <v>3345</v>
      </c>
    </row>
    <row r="16522" ht="22.5" customHeight="1">
      <c r="B16522" s="42" t="str">
        <f>IFERROR(__xludf.DUMMYFUNCTION("""COMPUTED_VALUE"""),"")</f>
        <v/>
      </c>
      <c r="C16522" s="42" t="str">
        <f>IFERROR(__xludf.DUMMYFUNCTION("""COMPUTED_VALUE"""),"")</f>
        <v/>
      </c>
      <c r="D16522" s="42"/>
      <c r="E16522" s="42"/>
      <c r="F16522" s="48" t="str">
        <f>IFERROR(__xludf.DUMMYFUNCTION("""COMPUTED_VALUE"""),"")</f>
        <v/>
      </c>
      <c r="G16522" s="42" t="str">
        <f>IFERROR(__xludf.DUMMYFUNCTION("""COMPUTED_VALUE"""),"")</f>
        <v/>
      </c>
      <c r="H16522" s="42">
        <f t="shared" si="1"/>
        <v>3345</v>
      </c>
    </row>
    <row r="16523" ht="22.5" customHeight="1">
      <c r="B16523" s="42" t="str">
        <f>IFERROR(__xludf.DUMMYFUNCTION("""COMPUTED_VALUE"""),"")</f>
        <v/>
      </c>
      <c r="C16523" s="42" t="str">
        <f>IFERROR(__xludf.DUMMYFUNCTION("""COMPUTED_VALUE"""),"")</f>
        <v/>
      </c>
      <c r="D16523" s="42"/>
      <c r="E16523" s="42"/>
      <c r="F16523" s="48" t="str">
        <f>IFERROR(__xludf.DUMMYFUNCTION("""COMPUTED_VALUE"""),"")</f>
        <v/>
      </c>
      <c r="G16523" s="42" t="str">
        <f>IFERROR(__xludf.DUMMYFUNCTION("""COMPUTED_VALUE"""),"")</f>
        <v/>
      </c>
      <c r="H16523" s="42">
        <f t="shared" si="1"/>
        <v>3345</v>
      </c>
    </row>
    <row r="16524" ht="22.5" customHeight="1">
      <c r="B16524" s="42" t="str">
        <f>IFERROR(__xludf.DUMMYFUNCTION("""COMPUTED_VALUE"""),"")</f>
        <v/>
      </c>
      <c r="C16524" s="42" t="str">
        <f>IFERROR(__xludf.DUMMYFUNCTION("""COMPUTED_VALUE"""),"")</f>
        <v/>
      </c>
      <c r="D16524" s="42"/>
      <c r="E16524" s="42"/>
      <c r="F16524" s="48" t="str">
        <f>IFERROR(__xludf.DUMMYFUNCTION("""COMPUTED_VALUE"""),"")</f>
        <v/>
      </c>
      <c r="G16524" s="42" t="str">
        <f>IFERROR(__xludf.DUMMYFUNCTION("""COMPUTED_VALUE"""),"")</f>
        <v/>
      </c>
      <c r="H16524" s="42">
        <f t="shared" si="1"/>
        <v>3345</v>
      </c>
    </row>
    <row r="16525" ht="22.5" customHeight="1">
      <c r="B16525" s="42" t="str">
        <f>IFERROR(__xludf.DUMMYFUNCTION("""COMPUTED_VALUE"""),"")</f>
        <v/>
      </c>
      <c r="C16525" s="42" t="str">
        <f>IFERROR(__xludf.DUMMYFUNCTION("""COMPUTED_VALUE"""),"")</f>
        <v/>
      </c>
      <c r="D16525" s="42"/>
      <c r="E16525" s="42"/>
      <c r="F16525" s="48" t="str">
        <f>IFERROR(__xludf.DUMMYFUNCTION("""COMPUTED_VALUE"""),"")</f>
        <v/>
      </c>
      <c r="G16525" s="42" t="str">
        <f>IFERROR(__xludf.DUMMYFUNCTION("""COMPUTED_VALUE"""),"")</f>
        <v/>
      </c>
      <c r="H16525" s="42">
        <f t="shared" si="1"/>
        <v>3345</v>
      </c>
    </row>
    <row r="16526" ht="22.5" customHeight="1">
      <c r="B16526" s="42" t="str">
        <f>IFERROR(__xludf.DUMMYFUNCTION("""COMPUTED_VALUE"""),"")</f>
        <v/>
      </c>
      <c r="C16526" s="42" t="str">
        <f>IFERROR(__xludf.DUMMYFUNCTION("""COMPUTED_VALUE"""),"")</f>
        <v/>
      </c>
      <c r="D16526" s="42"/>
      <c r="E16526" s="42"/>
      <c r="F16526" s="48" t="str">
        <f>IFERROR(__xludf.DUMMYFUNCTION("""COMPUTED_VALUE"""),"")</f>
        <v/>
      </c>
      <c r="G16526" s="42" t="str">
        <f>IFERROR(__xludf.DUMMYFUNCTION("""COMPUTED_VALUE"""),"")</f>
        <v/>
      </c>
      <c r="H16526" s="42">
        <f t="shared" si="1"/>
        <v>3345</v>
      </c>
    </row>
    <row r="16527" ht="22.5" customHeight="1">
      <c r="B16527" s="42" t="str">
        <f>IFERROR(__xludf.DUMMYFUNCTION("""COMPUTED_VALUE"""),"")</f>
        <v/>
      </c>
      <c r="C16527" s="42" t="str">
        <f>IFERROR(__xludf.DUMMYFUNCTION("""COMPUTED_VALUE"""),"")</f>
        <v/>
      </c>
      <c r="D16527" s="42"/>
      <c r="E16527" s="42"/>
      <c r="F16527" s="48" t="str">
        <f>IFERROR(__xludf.DUMMYFUNCTION("""COMPUTED_VALUE"""),"")</f>
        <v/>
      </c>
      <c r="G16527" s="42" t="str">
        <f>IFERROR(__xludf.DUMMYFUNCTION("""COMPUTED_VALUE"""),"")</f>
        <v/>
      </c>
      <c r="H16527" s="42">
        <f t="shared" si="1"/>
        <v>3345</v>
      </c>
    </row>
    <row r="16528" ht="22.5" customHeight="1">
      <c r="B16528" s="42" t="str">
        <f>IFERROR(__xludf.DUMMYFUNCTION("""COMPUTED_VALUE"""),"")</f>
        <v/>
      </c>
      <c r="C16528" s="42" t="str">
        <f>IFERROR(__xludf.DUMMYFUNCTION("""COMPUTED_VALUE"""),"")</f>
        <v/>
      </c>
      <c r="D16528" s="42"/>
      <c r="E16528" s="42"/>
      <c r="F16528" s="48" t="str">
        <f>IFERROR(__xludf.DUMMYFUNCTION("""COMPUTED_VALUE"""),"")</f>
        <v/>
      </c>
      <c r="G16528" s="42" t="str">
        <f>IFERROR(__xludf.DUMMYFUNCTION("""COMPUTED_VALUE"""),"")</f>
        <v/>
      </c>
      <c r="H16528" s="42">
        <f t="shared" si="1"/>
        <v>3345</v>
      </c>
    </row>
    <row r="16529" ht="22.5" customHeight="1">
      <c r="B16529" s="42" t="str">
        <f>IFERROR(__xludf.DUMMYFUNCTION("""COMPUTED_VALUE"""),"")</f>
        <v/>
      </c>
      <c r="C16529" s="42" t="str">
        <f>IFERROR(__xludf.DUMMYFUNCTION("""COMPUTED_VALUE"""),"")</f>
        <v/>
      </c>
      <c r="D16529" s="42"/>
      <c r="E16529" s="42"/>
      <c r="F16529" s="48" t="str">
        <f>IFERROR(__xludf.DUMMYFUNCTION("""COMPUTED_VALUE"""),"")</f>
        <v/>
      </c>
      <c r="G16529" s="42" t="str">
        <f>IFERROR(__xludf.DUMMYFUNCTION("""COMPUTED_VALUE"""),"")</f>
        <v/>
      </c>
      <c r="H16529" s="42">
        <f t="shared" si="1"/>
        <v>3345</v>
      </c>
    </row>
    <row r="16530" ht="22.5" customHeight="1">
      <c r="B16530" s="42" t="str">
        <f>IFERROR(__xludf.DUMMYFUNCTION("""COMPUTED_VALUE"""),"")</f>
        <v/>
      </c>
      <c r="C16530" s="42" t="str">
        <f>IFERROR(__xludf.DUMMYFUNCTION("""COMPUTED_VALUE"""),"")</f>
        <v/>
      </c>
      <c r="D16530" s="42"/>
      <c r="E16530" s="42"/>
      <c r="F16530" s="48" t="str">
        <f>IFERROR(__xludf.DUMMYFUNCTION("""COMPUTED_VALUE"""),"")</f>
        <v/>
      </c>
      <c r="G16530" s="42" t="str">
        <f>IFERROR(__xludf.DUMMYFUNCTION("""COMPUTED_VALUE"""),"")</f>
        <v/>
      </c>
      <c r="H16530" s="42">
        <f t="shared" si="1"/>
        <v>3345</v>
      </c>
    </row>
    <row r="16531" ht="22.5" customHeight="1">
      <c r="B16531" s="42" t="str">
        <f>IFERROR(__xludf.DUMMYFUNCTION("""COMPUTED_VALUE"""),"")</f>
        <v/>
      </c>
      <c r="C16531" s="42" t="str">
        <f>IFERROR(__xludf.DUMMYFUNCTION("""COMPUTED_VALUE"""),"")</f>
        <v/>
      </c>
      <c r="D16531" s="42"/>
      <c r="E16531" s="42"/>
      <c r="F16531" s="48" t="str">
        <f>IFERROR(__xludf.DUMMYFUNCTION("""COMPUTED_VALUE"""),"")</f>
        <v/>
      </c>
      <c r="G16531" s="42" t="str">
        <f>IFERROR(__xludf.DUMMYFUNCTION("""COMPUTED_VALUE"""),"")</f>
        <v/>
      </c>
      <c r="H16531" s="42">
        <f t="shared" si="1"/>
        <v>3345</v>
      </c>
    </row>
    <row r="16532" ht="22.5" customHeight="1">
      <c r="B16532" s="42" t="str">
        <f>IFERROR(__xludf.DUMMYFUNCTION("""COMPUTED_VALUE"""),"")</f>
        <v/>
      </c>
      <c r="C16532" s="42" t="str">
        <f>IFERROR(__xludf.DUMMYFUNCTION("""COMPUTED_VALUE"""),"")</f>
        <v/>
      </c>
      <c r="D16532" s="42"/>
      <c r="E16532" s="42"/>
      <c r="F16532" s="48" t="str">
        <f>IFERROR(__xludf.DUMMYFUNCTION("""COMPUTED_VALUE"""),"")</f>
        <v/>
      </c>
      <c r="G16532" s="42" t="str">
        <f>IFERROR(__xludf.DUMMYFUNCTION("""COMPUTED_VALUE"""),"")</f>
        <v/>
      </c>
      <c r="H16532" s="42">
        <f t="shared" si="1"/>
        <v>3345</v>
      </c>
    </row>
    <row r="16533" ht="22.5" customHeight="1">
      <c r="B16533" s="42" t="str">
        <f>IFERROR(__xludf.DUMMYFUNCTION("""COMPUTED_VALUE"""),"")</f>
        <v/>
      </c>
      <c r="C16533" s="42" t="str">
        <f>IFERROR(__xludf.DUMMYFUNCTION("""COMPUTED_VALUE"""),"")</f>
        <v/>
      </c>
      <c r="D16533" s="42"/>
      <c r="E16533" s="42"/>
      <c r="F16533" s="48" t="str">
        <f>IFERROR(__xludf.DUMMYFUNCTION("""COMPUTED_VALUE"""),"")</f>
        <v/>
      </c>
      <c r="G16533" s="42" t="str">
        <f>IFERROR(__xludf.DUMMYFUNCTION("""COMPUTED_VALUE"""),"")</f>
        <v/>
      </c>
      <c r="H16533" s="42">
        <f t="shared" si="1"/>
        <v>3345</v>
      </c>
    </row>
    <row r="16534" ht="22.5" customHeight="1">
      <c r="B16534" s="42" t="str">
        <f>IFERROR(__xludf.DUMMYFUNCTION("""COMPUTED_VALUE"""),"")</f>
        <v/>
      </c>
      <c r="C16534" s="42" t="str">
        <f>IFERROR(__xludf.DUMMYFUNCTION("""COMPUTED_VALUE"""),"")</f>
        <v/>
      </c>
      <c r="D16534" s="42"/>
      <c r="E16534" s="42"/>
      <c r="F16534" s="48" t="str">
        <f>IFERROR(__xludf.DUMMYFUNCTION("""COMPUTED_VALUE"""),"")</f>
        <v/>
      </c>
      <c r="G16534" s="42" t="str">
        <f>IFERROR(__xludf.DUMMYFUNCTION("""COMPUTED_VALUE"""),"")</f>
        <v/>
      </c>
      <c r="H16534" s="42">
        <f t="shared" si="1"/>
        <v>3345</v>
      </c>
    </row>
    <row r="16535" ht="22.5" customHeight="1">
      <c r="B16535" s="42" t="str">
        <f>IFERROR(__xludf.DUMMYFUNCTION("""COMPUTED_VALUE"""),"")</f>
        <v/>
      </c>
      <c r="C16535" s="42" t="str">
        <f>IFERROR(__xludf.DUMMYFUNCTION("""COMPUTED_VALUE"""),"")</f>
        <v/>
      </c>
      <c r="D16535" s="42"/>
      <c r="E16535" s="42"/>
      <c r="F16535" s="48" t="str">
        <f>IFERROR(__xludf.DUMMYFUNCTION("""COMPUTED_VALUE"""),"")</f>
        <v/>
      </c>
      <c r="G16535" s="42" t="str">
        <f>IFERROR(__xludf.DUMMYFUNCTION("""COMPUTED_VALUE"""),"")</f>
        <v/>
      </c>
      <c r="H16535" s="42">
        <f t="shared" si="1"/>
        <v>3345</v>
      </c>
    </row>
    <row r="16536" ht="22.5" customHeight="1">
      <c r="B16536" s="42" t="str">
        <f>IFERROR(__xludf.DUMMYFUNCTION("""COMPUTED_VALUE"""),"")</f>
        <v/>
      </c>
      <c r="C16536" s="42" t="str">
        <f>IFERROR(__xludf.DUMMYFUNCTION("""COMPUTED_VALUE"""),"")</f>
        <v/>
      </c>
      <c r="D16536" s="42"/>
      <c r="E16536" s="42"/>
      <c r="F16536" s="48" t="str">
        <f>IFERROR(__xludf.DUMMYFUNCTION("""COMPUTED_VALUE"""),"")</f>
        <v/>
      </c>
      <c r="G16536" s="42" t="str">
        <f>IFERROR(__xludf.DUMMYFUNCTION("""COMPUTED_VALUE"""),"")</f>
        <v/>
      </c>
      <c r="H16536" s="42">
        <f t="shared" si="1"/>
        <v>3345</v>
      </c>
    </row>
    <row r="16537" ht="22.5" customHeight="1">
      <c r="B16537" s="42" t="str">
        <f>IFERROR(__xludf.DUMMYFUNCTION("""COMPUTED_VALUE"""),"")</f>
        <v/>
      </c>
      <c r="C16537" s="42" t="str">
        <f>IFERROR(__xludf.DUMMYFUNCTION("""COMPUTED_VALUE"""),"")</f>
        <v/>
      </c>
      <c r="D16537" s="42"/>
      <c r="E16537" s="42"/>
      <c r="F16537" s="48" t="str">
        <f>IFERROR(__xludf.DUMMYFUNCTION("""COMPUTED_VALUE"""),"")</f>
        <v/>
      </c>
      <c r="G16537" s="42" t="str">
        <f>IFERROR(__xludf.DUMMYFUNCTION("""COMPUTED_VALUE"""),"")</f>
        <v/>
      </c>
      <c r="H16537" s="42">
        <f t="shared" si="1"/>
        <v>3345</v>
      </c>
    </row>
    <row r="16538" ht="22.5" customHeight="1">
      <c r="B16538" s="42" t="str">
        <f>IFERROR(__xludf.DUMMYFUNCTION("""COMPUTED_VALUE"""),"")</f>
        <v/>
      </c>
      <c r="C16538" s="42" t="str">
        <f>IFERROR(__xludf.DUMMYFUNCTION("""COMPUTED_VALUE"""),"")</f>
        <v/>
      </c>
      <c r="D16538" s="42"/>
      <c r="E16538" s="42"/>
      <c r="F16538" s="48" t="str">
        <f>IFERROR(__xludf.DUMMYFUNCTION("""COMPUTED_VALUE"""),"")</f>
        <v/>
      </c>
      <c r="G16538" s="42" t="str">
        <f>IFERROR(__xludf.DUMMYFUNCTION("""COMPUTED_VALUE"""),"")</f>
        <v/>
      </c>
      <c r="H16538" s="42">
        <f t="shared" si="1"/>
        <v>3345</v>
      </c>
    </row>
    <row r="16539" ht="22.5" customHeight="1">
      <c r="B16539" s="42" t="str">
        <f>IFERROR(__xludf.DUMMYFUNCTION("""COMPUTED_VALUE"""),"")</f>
        <v/>
      </c>
      <c r="C16539" s="42" t="str">
        <f>IFERROR(__xludf.DUMMYFUNCTION("""COMPUTED_VALUE"""),"")</f>
        <v/>
      </c>
      <c r="D16539" s="42"/>
      <c r="E16539" s="42"/>
      <c r="F16539" s="48" t="str">
        <f>IFERROR(__xludf.DUMMYFUNCTION("""COMPUTED_VALUE"""),"")</f>
        <v/>
      </c>
      <c r="G16539" s="42" t="str">
        <f>IFERROR(__xludf.DUMMYFUNCTION("""COMPUTED_VALUE"""),"")</f>
        <v/>
      </c>
      <c r="H16539" s="42">
        <f t="shared" si="1"/>
        <v>3345</v>
      </c>
    </row>
    <row r="16540" ht="22.5" customHeight="1">
      <c r="B16540" s="42" t="str">
        <f>IFERROR(__xludf.DUMMYFUNCTION("""COMPUTED_VALUE"""),"")</f>
        <v/>
      </c>
      <c r="C16540" s="42" t="str">
        <f>IFERROR(__xludf.DUMMYFUNCTION("""COMPUTED_VALUE"""),"")</f>
        <v/>
      </c>
      <c r="D16540" s="42"/>
      <c r="E16540" s="42"/>
      <c r="F16540" s="48" t="str">
        <f>IFERROR(__xludf.DUMMYFUNCTION("""COMPUTED_VALUE"""),"")</f>
        <v/>
      </c>
      <c r="G16540" s="42" t="str">
        <f>IFERROR(__xludf.DUMMYFUNCTION("""COMPUTED_VALUE"""),"")</f>
        <v/>
      </c>
      <c r="H16540" s="42">
        <f t="shared" si="1"/>
        <v>3345</v>
      </c>
    </row>
    <row r="16541" ht="22.5" customHeight="1">
      <c r="B16541" s="42" t="str">
        <f>IFERROR(__xludf.DUMMYFUNCTION("""COMPUTED_VALUE"""),"")</f>
        <v/>
      </c>
      <c r="C16541" s="42" t="str">
        <f>IFERROR(__xludf.DUMMYFUNCTION("""COMPUTED_VALUE"""),"")</f>
        <v/>
      </c>
      <c r="D16541" s="42"/>
      <c r="E16541" s="42"/>
      <c r="F16541" s="48" t="str">
        <f>IFERROR(__xludf.DUMMYFUNCTION("""COMPUTED_VALUE"""),"")</f>
        <v/>
      </c>
      <c r="G16541" s="42" t="str">
        <f>IFERROR(__xludf.DUMMYFUNCTION("""COMPUTED_VALUE"""),"")</f>
        <v/>
      </c>
      <c r="H16541" s="42">
        <f t="shared" si="1"/>
        <v>3345</v>
      </c>
    </row>
    <row r="16542" ht="22.5" customHeight="1">
      <c r="B16542" s="42" t="str">
        <f>IFERROR(__xludf.DUMMYFUNCTION("""COMPUTED_VALUE"""),"")</f>
        <v/>
      </c>
      <c r="C16542" s="42" t="str">
        <f>IFERROR(__xludf.DUMMYFUNCTION("""COMPUTED_VALUE"""),"")</f>
        <v/>
      </c>
      <c r="D16542" s="42"/>
      <c r="E16542" s="42"/>
      <c r="F16542" s="48" t="str">
        <f>IFERROR(__xludf.DUMMYFUNCTION("""COMPUTED_VALUE"""),"")</f>
        <v/>
      </c>
      <c r="G16542" s="42" t="str">
        <f>IFERROR(__xludf.DUMMYFUNCTION("""COMPUTED_VALUE"""),"")</f>
        <v/>
      </c>
      <c r="H16542" s="42">
        <f t="shared" si="1"/>
        <v>3345</v>
      </c>
    </row>
    <row r="16543" ht="22.5" customHeight="1">
      <c r="B16543" s="42" t="str">
        <f>IFERROR(__xludf.DUMMYFUNCTION("""COMPUTED_VALUE"""),"")</f>
        <v/>
      </c>
      <c r="C16543" s="42" t="str">
        <f>IFERROR(__xludf.DUMMYFUNCTION("""COMPUTED_VALUE"""),"")</f>
        <v/>
      </c>
      <c r="D16543" s="42"/>
      <c r="E16543" s="42"/>
      <c r="F16543" s="48" t="str">
        <f>IFERROR(__xludf.DUMMYFUNCTION("""COMPUTED_VALUE"""),"")</f>
        <v/>
      </c>
      <c r="G16543" s="42" t="str">
        <f>IFERROR(__xludf.DUMMYFUNCTION("""COMPUTED_VALUE"""),"")</f>
        <v/>
      </c>
      <c r="H16543" s="42">
        <f t="shared" si="1"/>
        <v>3345</v>
      </c>
    </row>
    <row r="16544" ht="22.5" customHeight="1">
      <c r="B16544" s="42" t="str">
        <f>IFERROR(__xludf.DUMMYFUNCTION("""COMPUTED_VALUE"""),"")</f>
        <v/>
      </c>
      <c r="C16544" s="42" t="str">
        <f>IFERROR(__xludf.DUMMYFUNCTION("""COMPUTED_VALUE"""),"")</f>
        <v/>
      </c>
      <c r="D16544" s="42"/>
      <c r="E16544" s="42"/>
      <c r="F16544" s="48" t="str">
        <f>IFERROR(__xludf.DUMMYFUNCTION("""COMPUTED_VALUE"""),"")</f>
        <v/>
      </c>
      <c r="G16544" s="42" t="str">
        <f>IFERROR(__xludf.DUMMYFUNCTION("""COMPUTED_VALUE"""),"")</f>
        <v/>
      </c>
      <c r="H16544" s="42">
        <f t="shared" si="1"/>
        <v>3345</v>
      </c>
    </row>
    <row r="16545" ht="22.5" customHeight="1">
      <c r="B16545" s="42" t="str">
        <f>IFERROR(__xludf.DUMMYFUNCTION("""COMPUTED_VALUE"""),"")</f>
        <v/>
      </c>
      <c r="C16545" s="42" t="str">
        <f>IFERROR(__xludf.DUMMYFUNCTION("""COMPUTED_VALUE"""),"")</f>
        <v/>
      </c>
      <c r="D16545" s="42"/>
      <c r="E16545" s="42"/>
      <c r="F16545" s="48" t="str">
        <f>IFERROR(__xludf.DUMMYFUNCTION("""COMPUTED_VALUE"""),"")</f>
        <v/>
      </c>
      <c r="G16545" s="42" t="str">
        <f>IFERROR(__xludf.DUMMYFUNCTION("""COMPUTED_VALUE"""),"")</f>
        <v/>
      </c>
      <c r="H16545" s="42">
        <f t="shared" si="1"/>
        <v>3345</v>
      </c>
    </row>
    <row r="16546" ht="22.5" customHeight="1">
      <c r="B16546" s="42" t="str">
        <f>IFERROR(__xludf.DUMMYFUNCTION("""COMPUTED_VALUE"""),"")</f>
        <v/>
      </c>
      <c r="C16546" s="42" t="str">
        <f>IFERROR(__xludf.DUMMYFUNCTION("""COMPUTED_VALUE"""),"")</f>
        <v/>
      </c>
      <c r="D16546" s="42"/>
      <c r="E16546" s="42"/>
      <c r="F16546" s="48" t="str">
        <f>IFERROR(__xludf.DUMMYFUNCTION("""COMPUTED_VALUE"""),"")</f>
        <v/>
      </c>
      <c r="G16546" s="42" t="str">
        <f>IFERROR(__xludf.DUMMYFUNCTION("""COMPUTED_VALUE"""),"")</f>
        <v/>
      </c>
      <c r="H16546" s="42">
        <f t="shared" si="1"/>
        <v>3345</v>
      </c>
    </row>
    <row r="16547" ht="22.5" customHeight="1">
      <c r="B16547" s="42" t="str">
        <f>IFERROR(__xludf.DUMMYFUNCTION("""COMPUTED_VALUE"""),"")</f>
        <v/>
      </c>
      <c r="C16547" s="42" t="str">
        <f>IFERROR(__xludf.DUMMYFUNCTION("""COMPUTED_VALUE"""),"")</f>
        <v/>
      </c>
      <c r="D16547" s="42"/>
      <c r="E16547" s="42"/>
      <c r="F16547" s="48" t="str">
        <f>IFERROR(__xludf.DUMMYFUNCTION("""COMPUTED_VALUE"""),"")</f>
        <v/>
      </c>
      <c r="G16547" s="42" t="str">
        <f>IFERROR(__xludf.DUMMYFUNCTION("""COMPUTED_VALUE"""),"")</f>
        <v/>
      </c>
      <c r="H16547" s="42">
        <f t="shared" si="1"/>
        <v>3345</v>
      </c>
    </row>
    <row r="16548" ht="22.5" customHeight="1">
      <c r="B16548" s="42" t="str">
        <f>IFERROR(__xludf.DUMMYFUNCTION("""COMPUTED_VALUE"""),"")</f>
        <v/>
      </c>
      <c r="C16548" s="42" t="str">
        <f>IFERROR(__xludf.DUMMYFUNCTION("""COMPUTED_VALUE"""),"")</f>
        <v/>
      </c>
      <c r="D16548" s="42"/>
      <c r="E16548" s="42"/>
      <c r="F16548" s="48" t="str">
        <f>IFERROR(__xludf.DUMMYFUNCTION("""COMPUTED_VALUE"""),"")</f>
        <v/>
      </c>
      <c r="G16548" s="42" t="str">
        <f>IFERROR(__xludf.DUMMYFUNCTION("""COMPUTED_VALUE"""),"")</f>
        <v/>
      </c>
      <c r="H16548" s="42">
        <f t="shared" si="1"/>
        <v>3345</v>
      </c>
    </row>
    <row r="16549" ht="22.5" customHeight="1">
      <c r="B16549" s="42" t="str">
        <f>IFERROR(__xludf.DUMMYFUNCTION("""COMPUTED_VALUE"""),"")</f>
        <v/>
      </c>
      <c r="C16549" s="42" t="str">
        <f>IFERROR(__xludf.DUMMYFUNCTION("""COMPUTED_VALUE"""),"")</f>
        <v/>
      </c>
      <c r="D16549" s="42"/>
      <c r="E16549" s="42"/>
      <c r="F16549" s="48" t="str">
        <f>IFERROR(__xludf.DUMMYFUNCTION("""COMPUTED_VALUE"""),"")</f>
        <v/>
      </c>
      <c r="G16549" s="42" t="str">
        <f>IFERROR(__xludf.DUMMYFUNCTION("""COMPUTED_VALUE"""),"")</f>
        <v/>
      </c>
      <c r="H16549" s="42">
        <f t="shared" si="1"/>
        <v>3345</v>
      </c>
    </row>
    <row r="16550" ht="22.5" customHeight="1">
      <c r="B16550" s="42" t="str">
        <f>IFERROR(__xludf.DUMMYFUNCTION("""COMPUTED_VALUE"""),"")</f>
        <v/>
      </c>
      <c r="C16550" s="42" t="str">
        <f>IFERROR(__xludf.DUMMYFUNCTION("""COMPUTED_VALUE"""),"")</f>
        <v/>
      </c>
      <c r="D16550" s="42"/>
      <c r="E16550" s="42"/>
      <c r="F16550" s="48" t="str">
        <f>IFERROR(__xludf.DUMMYFUNCTION("""COMPUTED_VALUE"""),"")</f>
        <v/>
      </c>
      <c r="G16550" s="42" t="str">
        <f>IFERROR(__xludf.DUMMYFUNCTION("""COMPUTED_VALUE"""),"")</f>
        <v/>
      </c>
      <c r="H16550" s="42">
        <f t="shared" si="1"/>
        <v>3345</v>
      </c>
    </row>
    <row r="16551" ht="22.5" customHeight="1">
      <c r="B16551" s="42" t="str">
        <f>IFERROR(__xludf.DUMMYFUNCTION("""COMPUTED_VALUE"""),"")</f>
        <v/>
      </c>
      <c r="C16551" s="42" t="str">
        <f>IFERROR(__xludf.DUMMYFUNCTION("""COMPUTED_VALUE"""),"")</f>
        <v/>
      </c>
      <c r="D16551" s="42"/>
      <c r="E16551" s="42"/>
      <c r="F16551" s="48" t="str">
        <f>IFERROR(__xludf.DUMMYFUNCTION("""COMPUTED_VALUE"""),"")</f>
        <v/>
      </c>
      <c r="G16551" s="42" t="str">
        <f>IFERROR(__xludf.DUMMYFUNCTION("""COMPUTED_VALUE"""),"")</f>
        <v/>
      </c>
      <c r="H16551" s="42">
        <f t="shared" si="1"/>
        <v>3345</v>
      </c>
    </row>
    <row r="16552" ht="22.5" customHeight="1">
      <c r="B16552" s="42" t="str">
        <f>IFERROR(__xludf.DUMMYFUNCTION("""COMPUTED_VALUE"""),"")</f>
        <v/>
      </c>
      <c r="C16552" s="42" t="str">
        <f>IFERROR(__xludf.DUMMYFUNCTION("""COMPUTED_VALUE"""),"")</f>
        <v/>
      </c>
      <c r="D16552" s="42"/>
      <c r="E16552" s="42"/>
      <c r="F16552" s="48" t="str">
        <f>IFERROR(__xludf.DUMMYFUNCTION("""COMPUTED_VALUE"""),"")</f>
        <v/>
      </c>
      <c r="G16552" s="42" t="str">
        <f>IFERROR(__xludf.DUMMYFUNCTION("""COMPUTED_VALUE"""),"")</f>
        <v/>
      </c>
      <c r="H16552" s="42">
        <f t="shared" si="1"/>
        <v>3345</v>
      </c>
    </row>
    <row r="16553" ht="22.5" customHeight="1">
      <c r="B16553" s="42" t="str">
        <f>IFERROR(__xludf.DUMMYFUNCTION("""COMPUTED_VALUE"""),"")</f>
        <v/>
      </c>
      <c r="C16553" s="42" t="str">
        <f>IFERROR(__xludf.DUMMYFUNCTION("""COMPUTED_VALUE"""),"")</f>
        <v/>
      </c>
      <c r="D16553" s="42"/>
      <c r="E16553" s="42"/>
      <c r="F16553" s="48" t="str">
        <f>IFERROR(__xludf.DUMMYFUNCTION("""COMPUTED_VALUE"""),"")</f>
        <v/>
      </c>
      <c r="G16553" s="42" t="str">
        <f>IFERROR(__xludf.DUMMYFUNCTION("""COMPUTED_VALUE"""),"")</f>
        <v/>
      </c>
      <c r="H16553" s="42">
        <f t="shared" si="1"/>
        <v>3345</v>
      </c>
    </row>
    <row r="16554" ht="22.5" customHeight="1">
      <c r="B16554" s="42" t="str">
        <f>IFERROR(__xludf.DUMMYFUNCTION("""COMPUTED_VALUE"""),"")</f>
        <v/>
      </c>
      <c r="C16554" s="42" t="str">
        <f>IFERROR(__xludf.DUMMYFUNCTION("""COMPUTED_VALUE"""),"")</f>
        <v/>
      </c>
      <c r="D16554" s="42"/>
      <c r="E16554" s="42"/>
      <c r="F16554" s="48" t="str">
        <f>IFERROR(__xludf.DUMMYFUNCTION("""COMPUTED_VALUE"""),"")</f>
        <v/>
      </c>
      <c r="G16554" s="42" t="str">
        <f>IFERROR(__xludf.DUMMYFUNCTION("""COMPUTED_VALUE"""),"")</f>
        <v/>
      </c>
      <c r="H16554" s="42">
        <f t="shared" si="1"/>
        <v>3345</v>
      </c>
    </row>
    <row r="16555" ht="22.5" customHeight="1">
      <c r="B16555" s="42" t="str">
        <f>IFERROR(__xludf.DUMMYFUNCTION("""COMPUTED_VALUE"""),"")</f>
        <v/>
      </c>
      <c r="C16555" s="42" t="str">
        <f>IFERROR(__xludf.DUMMYFUNCTION("""COMPUTED_VALUE"""),"")</f>
        <v/>
      </c>
      <c r="D16555" s="42"/>
      <c r="E16555" s="42"/>
      <c r="F16555" s="48" t="str">
        <f>IFERROR(__xludf.DUMMYFUNCTION("""COMPUTED_VALUE"""),"")</f>
        <v/>
      </c>
      <c r="G16555" s="42" t="str">
        <f>IFERROR(__xludf.DUMMYFUNCTION("""COMPUTED_VALUE"""),"")</f>
        <v/>
      </c>
      <c r="H16555" s="42">
        <f t="shared" si="1"/>
        <v>3345</v>
      </c>
    </row>
    <row r="16556" ht="22.5" customHeight="1">
      <c r="B16556" s="42" t="str">
        <f>IFERROR(__xludf.DUMMYFUNCTION("""COMPUTED_VALUE"""),"")</f>
        <v/>
      </c>
      <c r="C16556" s="42" t="str">
        <f>IFERROR(__xludf.DUMMYFUNCTION("""COMPUTED_VALUE"""),"")</f>
        <v/>
      </c>
      <c r="D16556" s="42"/>
      <c r="E16556" s="42"/>
      <c r="F16556" s="48" t="str">
        <f>IFERROR(__xludf.DUMMYFUNCTION("""COMPUTED_VALUE"""),"")</f>
        <v/>
      </c>
      <c r="G16556" s="42" t="str">
        <f>IFERROR(__xludf.DUMMYFUNCTION("""COMPUTED_VALUE"""),"")</f>
        <v/>
      </c>
      <c r="H16556" s="42">
        <f t="shared" si="1"/>
        <v>3345</v>
      </c>
    </row>
    <row r="16557" ht="22.5" customHeight="1">
      <c r="B16557" s="42" t="str">
        <f>IFERROR(__xludf.DUMMYFUNCTION("""COMPUTED_VALUE"""),"")</f>
        <v/>
      </c>
      <c r="C16557" s="42" t="str">
        <f>IFERROR(__xludf.DUMMYFUNCTION("""COMPUTED_VALUE"""),"")</f>
        <v/>
      </c>
      <c r="D16557" s="42"/>
      <c r="E16557" s="42"/>
      <c r="F16557" s="48" t="str">
        <f>IFERROR(__xludf.DUMMYFUNCTION("""COMPUTED_VALUE"""),"")</f>
        <v/>
      </c>
      <c r="G16557" s="42" t="str">
        <f>IFERROR(__xludf.DUMMYFUNCTION("""COMPUTED_VALUE"""),"")</f>
        <v/>
      </c>
      <c r="H16557" s="42">
        <f t="shared" si="1"/>
        <v>3345</v>
      </c>
    </row>
    <row r="16558" ht="22.5" customHeight="1">
      <c r="B16558" s="42" t="str">
        <f>IFERROR(__xludf.DUMMYFUNCTION("""COMPUTED_VALUE"""),"")</f>
        <v/>
      </c>
      <c r="C16558" s="42" t="str">
        <f>IFERROR(__xludf.DUMMYFUNCTION("""COMPUTED_VALUE"""),"")</f>
        <v/>
      </c>
      <c r="D16558" s="42"/>
      <c r="E16558" s="42"/>
      <c r="F16558" s="48" t="str">
        <f>IFERROR(__xludf.DUMMYFUNCTION("""COMPUTED_VALUE"""),"")</f>
        <v/>
      </c>
      <c r="G16558" s="42" t="str">
        <f>IFERROR(__xludf.DUMMYFUNCTION("""COMPUTED_VALUE"""),"")</f>
        <v/>
      </c>
      <c r="H16558" s="42">
        <f t="shared" si="1"/>
        <v>3345</v>
      </c>
    </row>
    <row r="16559" ht="22.5" customHeight="1">
      <c r="B16559" s="42" t="str">
        <f>IFERROR(__xludf.DUMMYFUNCTION("""COMPUTED_VALUE"""),"")</f>
        <v/>
      </c>
      <c r="C16559" s="42" t="str">
        <f>IFERROR(__xludf.DUMMYFUNCTION("""COMPUTED_VALUE"""),"")</f>
        <v/>
      </c>
      <c r="D16559" s="42"/>
      <c r="E16559" s="42"/>
      <c r="F16559" s="48" t="str">
        <f>IFERROR(__xludf.DUMMYFUNCTION("""COMPUTED_VALUE"""),"")</f>
        <v/>
      </c>
      <c r="G16559" s="42" t="str">
        <f>IFERROR(__xludf.DUMMYFUNCTION("""COMPUTED_VALUE"""),"")</f>
        <v/>
      </c>
      <c r="H16559" s="42">
        <f t="shared" si="1"/>
        <v>3345</v>
      </c>
    </row>
    <row r="16560" ht="22.5" customHeight="1">
      <c r="B16560" s="42" t="str">
        <f>IFERROR(__xludf.DUMMYFUNCTION("""COMPUTED_VALUE"""),"")</f>
        <v/>
      </c>
      <c r="C16560" s="42" t="str">
        <f>IFERROR(__xludf.DUMMYFUNCTION("""COMPUTED_VALUE"""),"")</f>
        <v/>
      </c>
      <c r="D16560" s="42"/>
      <c r="E16560" s="42"/>
      <c r="F16560" s="48" t="str">
        <f>IFERROR(__xludf.DUMMYFUNCTION("""COMPUTED_VALUE"""),"")</f>
        <v/>
      </c>
      <c r="G16560" s="42" t="str">
        <f>IFERROR(__xludf.DUMMYFUNCTION("""COMPUTED_VALUE"""),"")</f>
        <v/>
      </c>
      <c r="H16560" s="42">
        <f t="shared" si="1"/>
        <v>3345</v>
      </c>
    </row>
    <row r="16561" ht="22.5" customHeight="1">
      <c r="B16561" s="42" t="str">
        <f>IFERROR(__xludf.DUMMYFUNCTION("""COMPUTED_VALUE"""),"")</f>
        <v/>
      </c>
      <c r="C16561" s="42" t="str">
        <f>IFERROR(__xludf.DUMMYFUNCTION("""COMPUTED_VALUE"""),"")</f>
        <v/>
      </c>
      <c r="D16561" s="42"/>
      <c r="E16561" s="42"/>
      <c r="F16561" s="48" t="str">
        <f>IFERROR(__xludf.DUMMYFUNCTION("""COMPUTED_VALUE"""),"")</f>
        <v/>
      </c>
      <c r="G16561" s="42" t="str">
        <f>IFERROR(__xludf.DUMMYFUNCTION("""COMPUTED_VALUE"""),"")</f>
        <v/>
      </c>
      <c r="H16561" s="42">
        <f t="shared" si="1"/>
        <v>3345</v>
      </c>
    </row>
    <row r="16562" ht="22.5" customHeight="1">
      <c r="B16562" s="42" t="str">
        <f>IFERROR(__xludf.DUMMYFUNCTION("""COMPUTED_VALUE"""),"")</f>
        <v/>
      </c>
      <c r="C16562" s="42" t="str">
        <f>IFERROR(__xludf.DUMMYFUNCTION("""COMPUTED_VALUE"""),"")</f>
        <v/>
      </c>
      <c r="D16562" s="42"/>
      <c r="E16562" s="42"/>
      <c r="F16562" s="48" t="str">
        <f>IFERROR(__xludf.DUMMYFUNCTION("""COMPUTED_VALUE"""),"")</f>
        <v/>
      </c>
      <c r="G16562" s="42" t="str">
        <f>IFERROR(__xludf.DUMMYFUNCTION("""COMPUTED_VALUE"""),"")</f>
        <v/>
      </c>
      <c r="H16562" s="42">
        <f t="shared" si="1"/>
        <v>3345</v>
      </c>
    </row>
    <row r="16563" ht="22.5" customHeight="1">
      <c r="B16563" s="42" t="str">
        <f>IFERROR(__xludf.DUMMYFUNCTION("""COMPUTED_VALUE"""),"")</f>
        <v/>
      </c>
      <c r="C16563" s="42" t="str">
        <f>IFERROR(__xludf.DUMMYFUNCTION("""COMPUTED_VALUE"""),"")</f>
        <v/>
      </c>
      <c r="D16563" s="42"/>
      <c r="E16563" s="42"/>
      <c r="F16563" s="48" t="str">
        <f>IFERROR(__xludf.DUMMYFUNCTION("""COMPUTED_VALUE"""),"")</f>
        <v/>
      </c>
      <c r="G16563" s="42" t="str">
        <f>IFERROR(__xludf.DUMMYFUNCTION("""COMPUTED_VALUE"""),"")</f>
        <v/>
      </c>
      <c r="H16563" s="42">
        <f t="shared" si="1"/>
        <v>3345</v>
      </c>
    </row>
    <row r="16564" ht="22.5" customHeight="1">
      <c r="B16564" s="42" t="str">
        <f>IFERROR(__xludf.DUMMYFUNCTION("""COMPUTED_VALUE"""),"")</f>
        <v/>
      </c>
      <c r="C16564" s="42" t="str">
        <f>IFERROR(__xludf.DUMMYFUNCTION("""COMPUTED_VALUE"""),"")</f>
        <v/>
      </c>
      <c r="D16564" s="42"/>
      <c r="E16564" s="42"/>
      <c r="F16564" s="48" t="str">
        <f>IFERROR(__xludf.DUMMYFUNCTION("""COMPUTED_VALUE"""),"")</f>
        <v/>
      </c>
      <c r="G16564" s="42" t="str">
        <f>IFERROR(__xludf.DUMMYFUNCTION("""COMPUTED_VALUE"""),"")</f>
        <v/>
      </c>
      <c r="H16564" s="42">
        <f t="shared" si="1"/>
        <v>3345</v>
      </c>
    </row>
    <row r="16565" ht="22.5" customHeight="1">
      <c r="B16565" s="42" t="str">
        <f>IFERROR(__xludf.DUMMYFUNCTION("""COMPUTED_VALUE"""),"")</f>
        <v/>
      </c>
      <c r="C16565" s="42" t="str">
        <f>IFERROR(__xludf.DUMMYFUNCTION("""COMPUTED_VALUE"""),"")</f>
        <v/>
      </c>
      <c r="D16565" s="42"/>
      <c r="E16565" s="42"/>
      <c r="F16565" s="48" t="str">
        <f>IFERROR(__xludf.DUMMYFUNCTION("""COMPUTED_VALUE"""),"")</f>
        <v/>
      </c>
      <c r="G16565" s="42" t="str">
        <f>IFERROR(__xludf.DUMMYFUNCTION("""COMPUTED_VALUE"""),"")</f>
        <v/>
      </c>
      <c r="H16565" s="42">
        <f t="shared" si="1"/>
        <v>3345</v>
      </c>
    </row>
    <row r="16566" ht="22.5" customHeight="1">
      <c r="B16566" s="42" t="str">
        <f>IFERROR(__xludf.DUMMYFUNCTION("""COMPUTED_VALUE"""),"")</f>
        <v/>
      </c>
      <c r="C16566" s="42" t="str">
        <f>IFERROR(__xludf.DUMMYFUNCTION("""COMPUTED_VALUE"""),"")</f>
        <v/>
      </c>
      <c r="D16566" s="42"/>
      <c r="E16566" s="42"/>
      <c r="F16566" s="48" t="str">
        <f>IFERROR(__xludf.DUMMYFUNCTION("""COMPUTED_VALUE"""),"")</f>
        <v/>
      </c>
      <c r="G16566" s="42" t="str">
        <f>IFERROR(__xludf.DUMMYFUNCTION("""COMPUTED_VALUE"""),"")</f>
        <v/>
      </c>
      <c r="H16566" s="42">
        <f t="shared" si="1"/>
        <v>3345</v>
      </c>
    </row>
    <row r="16567" ht="22.5" customHeight="1">
      <c r="B16567" s="42" t="str">
        <f>IFERROR(__xludf.DUMMYFUNCTION("""COMPUTED_VALUE"""),"")</f>
        <v/>
      </c>
      <c r="C16567" s="42" t="str">
        <f>IFERROR(__xludf.DUMMYFUNCTION("""COMPUTED_VALUE"""),"")</f>
        <v/>
      </c>
      <c r="D16567" s="42"/>
      <c r="E16567" s="42"/>
      <c r="F16567" s="48" t="str">
        <f>IFERROR(__xludf.DUMMYFUNCTION("""COMPUTED_VALUE"""),"")</f>
        <v/>
      </c>
      <c r="G16567" s="42" t="str">
        <f>IFERROR(__xludf.DUMMYFUNCTION("""COMPUTED_VALUE"""),"")</f>
        <v/>
      </c>
      <c r="H16567" s="42">
        <f t="shared" si="1"/>
        <v>3345</v>
      </c>
    </row>
    <row r="16568" ht="22.5" customHeight="1">
      <c r="B16568" s="42" t="str">
        <f>IFERROR(__xludf.DUMMYFUNCTION("""COMPUTED_VALUE"""),"")</f>
        <v/>
      </c>
      <c r="C16568" s="42" t="str">
        <f>IFERROR(__xludf.DUMMYFUNCTION("""COMPUTED_VALUE"""),"")</f>
        <v/>
      </c>
      <c r="D16568" s="42"/>
      <c r="E16568" s="42"/>
      <c r="F16568" s="48" t="str">
        <f>IFERROR(__xludf.DUMMYFUNCTION("""COMPUTED_VALUE"""),"")</f>
        <v/>
      </c>
      <c r="G16568" s="42" t="str">
        <f>IFERROR(__xludf.DUMMYFUNCTION("""COMPUTED_VALUE"""),"")</f>
        <v/>
      </c>
      <c r="H16568" s="42">
        <f t="shared" si="1"/>
        <v>3345</v>
      </c>
    </row>
    <row r="16569" ht="22.5" customHeight="1">
      <c r="B16569" s="42" t="str">
        <f>IFERROR(__xludf.DUMMYFUNCTION("""COMPUTED_VALUE"""),"")</f>
        <v/>
      </c>
      <c r="C16569" s="42" t="str">
        <f>IFERROR(__xludf.DUMMYFUNCTION("""COMPUTED_VALUE"""),"")</f>
        <v/>
      </c>
      <c r="D16569" s="42"/>
      <c r="E16569" s="42"/>
      <c r="F16569" s="48" t="str">
        <f>IFERROR(__xludf.DUMMYFUNCTION("""COMPUTED_VALUE"""),"")</f>
        <v/>
      </c>
      <c r="G16569" s="42" t="str">
        <f>IFERROR(__xludf.DUMMYFUNCTION("""COMPUTED_VALUE"""),"")</f>
        <v/>
      </c>
      <c r="H16569" s="42">
        <f t="shared" si="1"/>
        <v>3345</v>
      </c>
    </row>
    <row r="16570" ht="22.5" customHeight="1">
      <c r="B16570" s="42" t="str">
        <f>IFERROR(__xludf.DUMMYFUNCTION("""COMPUTED_VALUE"""),"")</f>
        <v/>
      </c>
      <c r="C16570" s="42" t="str">
        <f>IFERROR(__xludf.DUMMYFUNCTION("""COMPUTED_VALUE"""),"")</f>
        <v/>
      </c>
      <c r="D16570" s="42"/>
      <c r="E16570" s="42"/>
      <c r="F16570" s="48" t="str">
        <f>IFERROR(__xludf.DUMMYFUNCTION("""COMPUTED_VALUE"""),"")</f>
        <v/>
      </c>
      <c r="G16570" s="42" t="str">
        <f>IFERROR(__xludf.DUMMYFUNCTION("""COMPUTED_VALUE"""),"")</f>
        <v/>
      </c>
      <c r="H16570" s="42">
        <f t="shared" si="1"/>
        <v>3345</v>
      </c>
    </row>
    <row r="16571" ht="22.5" customHeight="1">
      <c r="B16571" s="42" t="str">
        <f>IFERROR(__xludf.DUMMYFUNCTION("""COMPUTED_VALUE"""),"")</f>
        <v/>
      </c>
      <c r="C16571" s="42" t="str">
        <f>IFERROR(__xludf.DUMMYFUNCTION("""COMPUTED_VALUE"""),"")</f>
        <v/>
      </c>
      <c r="D16571" s="42"/>
      <c r="E16571" s="42"/>
      <c r="F16571" s="48" t="str">
        <f>IFERROR(__xludf.DUMMYFUNCTION("""COMPUTED_VALUE"""),"")</f>
        <v/>
      </c>
      <c r="G16571" s="42" t="str">
        <f>IFERROR(__xludf.DUMMYFUNCTION("""COMPUTED_VALUE"""),"")</f>
        <v/>
      </c>
      <c r="H16571" s="42">
        <f t="shared" si="1"/>
        <v>3345</v>
      </c>
    </row>
    <row r="16572" ht="22.5" customHeight="1">
      <c r="B16572" s="42" t="str">
        <f>IFERROR(__xludf.DUMMYFUNCTION("""COMPUTED_VALUE"""),"")</f>
        <v/>
      </c>
      <c r="C16572" s="42" t="str">
        <f>IFERROR(__xludf.DUMMYFUNCTION("""COMPUTED_VALUE"""),"")</f>
        <v/>
      </c>
      <c r="D16572" s="42"/>
      <c r="E16572" s="42"/>
      <c r="F16572" s="48" t="str">
        <f>IFERROR(__xludf.DUMMYFUNCTION("""COMPUTED_VALUE"""),"")</f>
        <v/>
      </c>
      <c r="G16572" s="42" t="str">
        <f>IFERROR(__xludf.DUMMYFUNCTION("""COMPUTED_VALUE"""),"")</f>
        <v/>
      </c>
      <c r="H16572" s="42">
        <f t="shared" si="1"/>
        <v>3345</v>
      </c>
    </row>
    <row r="16573" ht="22.5" customHeight="1">
      <c r="B16573" s="42" t="str">
        <f>IFERROR(__xludf.DUMMYFUNCTION("""COMPUTED_VALUE"""),"")</f>
        <v/>
      </c>
      <c r="C16573" s="42" t="str">
        <f>IFERROR(__xludf.DUMMYFUNCTION("""COMPUTED_VALUE"""),"")</f>
        <v/>
      </c>
      <c r="D16573" s="42"/>
      <c r="E16573" s="42"/>
      <c r="F16573" s="48" t="str">
        <f>IFERROR(__xludf.DUMMYFUNCTION("""COMPUTED_VALUE"""),"")</f>
        <v/>
      </c>
      <c r="G16573" s="42" t="str">
        <f>IFERROR(__xludf.DUMMYFUNCTION("""COMPUTED_VALUE"""),"")</f>
        <v/>
      </c>
      <c r="H16573" s="42">
        <f t="shared" si="1"/>
        <v>3345</v>
      </c>
    </row>
    <row r="16574" ht="22.5" customHeight="1">
      <c r="B16574" s="42" t="str">
        <f>IFERROR(__xludf.DUMMYFUNCTION("""COMPUTED_VALUE"""),"")</f>
        <v/>
      </c>
      <c r="C16574" s="42" t="str">
        <f>IFERROR(__xludf.DUMMYFUNCTION("""COMPUTED_VALUE"""),"")</f>
        <v/>
      </c>
      <c r="D16574" s="42"/>
      <c r="E16574" s="42"/>
      <c r="F16574" s="48" t="str">
        <f>IFERROR(__xludf.DUMMYFUNCTION("""COMPUTED_VALUE"""),"")</f>
        <v/>
      </c>
      <c r="G16574" s="42" t="str">
        <f>IFERROR(__xludf.DUMMYFUNCTION("""COMPUTED_VALUE"""),"")</f>
        <v/>
      </c>
      <c r="H16574" s="42">
        <f t="shared" si="1"/>
        <v>3345</v>
      </c>
    </row>
    <row r="16575" ht="22.5" customHeight="1">
      <c r="B16575" s="42" t="str">
        <f>IFERROR(__xludf.DUMMYFUNCTION("""COMPUTED_VALUE"""),"")</f>
        <v/>
      </c>
      <c r="C16575" s="42" t="str">
        <f>IFERROR(__xludf.DUMMYFUNCTION("""COMPUTED_VALUE"""),"")</f>
        <v/>
      </c>
      <c r="D16575" s="42"/>
      <c r="E16575" s="42"/>
      <c r="F16575" s="48" t="str">
        <f>IFERROR(__xludf.DUMMYFUNCTION("""COMPUTED_VALUE"""),"")</f>
        <v/>
      </c>
      <c r="G16575" s="42" t="str">
        <f>IFERROR(__xludf.DUMMYFUNCTION("""COMPUTED_VALUE"""),"")</f>
        <v/>
      </c>
      <c r="H16575" s="42">
        <f t="shared" si="1"/>
        <v>3345</v>
      </c>
    </row>
    <row r="16576" ht="22.5" customHeight="1">
      <c r="B16576" s="42" t="str">
        <f>IFERROR(__xludf.DUMMYFUNCTION("""COMPUTED_VALUE"""),"")</f>
        <v/>
      </c>
      <c r="C16576" s="42" t="str">
        <f>IFERROR(__xludf.DUMMYFUNCTION("""COMPUTED_VALUE"""),"")</f>
        <v/>
      </c>
      <c r="D16576" s="42"/>
      <c r="E16576" s="42"/>
      <c r="F16576" s="48" t="str">
        <f>IFERROR(__xludf.DUMMYFUNCTION("""COMPUTED_VALUE"""),"")</f>
        <v/>
      </c>
      <c r="G16576" s="42" t="str">
        <f>IFERROR(__xludf.DUMMYFUNCTION("""COMPUTED_VALUE"""),"")</f>
        <v/>
      </c>
      <c r="H16576" s="42">
        <f t="shared" si="1"/>
        <v>3345</v>
      </c>
    </row>
    <row r="16577" ht="22.5" customHeight="1">
      <c r="B16577" s="42" t="str">
        <f>IFERROR(__xludf.DUMMYFUNCTION("""COMPUTED_VALUE"""),"")</f>
        <v/>
      </c>
      <c r="C16577" s="42" t="str">
        <f>IFERROR(__xludf.DUMMYFUNCTION("""COMPUTED_VALUE"""),"")</f>
        <v/>
      </c>
      <c r="D16577" s="42"/>
      <c r="E16577" s="42"/>
      <c r="F16577" s="48" t="str">
        <f>IFERROR(__xludf.DUMMYFUNCTION("""COMPUTED_VALUE"""),"")</f>
        <v/>
      </c>
      <c r="G16577" s="42" t="str">
        <f>IFERROR(__xludf.DUMMYFUNCTION("""COMPUTED_VALUE"""),"")</f>
        <v/>
      </c>
      <c r="H16577" s="42">
        <f t="shared" si="1"/>
        <v>3345</v>
      </c>
    </row>
    <row r="16578" ht="22.5" customHeight="1">
      <c r="B16578" s="42" t="str">
        <f>IFERROR(__xludf.DUMMYFUNCTION("""COMPUTED_VALUE"""),"")</f>
        <v/>
      </c>
      <c r="C16578" s="42" t="str">
        <f>IFERROR(__xludf.DUMMYFUNCTION("""COMPUTED_VALUE"""),"")</f>
        <v/>
      </c>
      <c r="D16578" s="42"/>
      <c r="E16578" s="42"/>
      <c r="F16578" s="48" t="str">
        <f>IFERROR(__xludf.DUMMYFUNCTION("""COMPUTED_VALUE"""),"")</f>
        <v/>
      </c>
      <c r="G16578" s="42" t="str">
        <f>IFERROR(__xludf.DUMMYFUNCTION("""COMPUTED_VALUE"""),"")</f>
        <v/>
      </c>
      <c r="H16578" s="42">
        <f t="shared" si="1"/>
        <v>3345</v>
      </c>
    </row>
    <row r="16579" ht="22.5" customHeight="1">
      <c r="B16579" s="42" t="str">
        <f>IFERROR(__xludf.DUMMYFUNCTION("""COMPUTED_VALUE"""),"")</f>
        <v/>
      </c>
      <c r="C16579" s="42" t="str">
        <f>IFERROR(__xludf.DUMMYFUNCTION("""COMPUTED_VALUE"""),"")</f>
        <v/>
      </c>
      <c r="D16579" s="42"/>
      <c r="E16579" s="42"/>
      <c r="F16579" s="48" t="str">
        <f>IFERROR(__xludf.DUMMYFUNCTION("""COMPUTED_VALUE"""),"")</f>
        <v/>
      </c>
      <c r="G16579" s="42" t="str">
        <f>IFERROR(__xludf.DUMMYFUNCTION("""COMPUTED_VALUE"""),"")</f>
        <v/>
      </c>
      <c r="H16579" s="42">
        <f t="shared" si="1"/>
        <v>3345</v>
      </c>
    </row>
    <row r="16580" ht="22.5" customHeight="1">
      <c r="B16580" s="42" t="str">
        <f>IFERROR(__xludf.DUMMYFUNCTION("""COMPUTED_VALUE"""),"")</f>
        <v/>
      </c>
      <c r="C16580" s="42" t="str">
        <f>IFERROR(__xludf.DUMMYFUNCTION("""COMPUTED_VALUE"""),"")</f>
        <v/>
      </c>
      <c r="D16580" s="42"/>
      <c r="E16580" s="42"/>
      <c r="F16580" s="48" t="str">
        <f>IFERROR(__xludf.DUMMYFUNCTION("""COMPUTED_VALUE"""),"")</f>
        <v/>
      </c>
      <c r="G16580" s="42" t="str">
        <f>IFERROR(__xludf.DUMMYFUNCTION("""COMPUTED_VALUE"""),"")</f>
        <v/>
      </c>
      <c r="H16580" s="42">
        <f t="shared" si="1"/>
        <v>3345</v>
      </c>
    </row>
    <row r="16581" ht="22.5" customHeight="1">
      <c r="B16581" s="42" t="str">
        <f>IFERROR(__xludf.DUMMYFUNCTION("""COMPUTED_VALUE"""),"")</f>
        <v/>
      </c>
      <c r="C16581" s="42" t="str">
        <f>IFERROR(__xludf.DUMMYFUNCTION("""COMPUTED_VALUE"""),"")</f>
        <v/>
      </c>
      <c r="D16581" s="42"/>
      <c r="E16581" s="42"/>
      <c r="F16581" s="48" t="str">
        <f>IFERROR(__xludf.DUMMYFUNCTION("""COMPUTED_VALUE"""),"")</f>
        <v/>
      </c>
      <c r="G16581" s="42" t="str">
        <f>IFERROR(__xludf.DUMMYFUNCTION("""COMPUTED_VALUE"""),"")</f>
        <v/>
      </c>
      <c r="H16581" s="42">
        <f t="shared" si="1"/>
        <v>3345</v>
      </c>
    </row>
    <row r="16582" ht="22.5" customHeight="1">
      <c r="B16582" s="42" t="str">
        <f>IFERROR(__xludf.DUMMYFUNCTION("""COMPUTED_VALUE"""),"")</f>
        <v/>
      </c>
      <c r="C16582" s="42" t="str">
        <f>IFERROR(__xludf.DUMMYFUNCTION("""COMPUTED_VALUE"""),"")</f>
        <v/>
      </c>
      <c r="D16582" s="42"/>
      <c r="E16582" s="42"/>
      <c r="F16582" s="48" t="str">
        <f>IFERROR(__xludf.DUMMYFUNCTION("""COMPUTED_VALUE"""),"")</f>
        <v/>
      </c>
      <c r="G16582" s="42" t="str">
        <f>IFERROR(__xludf.DUMMYFUNCTION("""COMPUTED_VALUE"""),"")</f>
        <v/>
      </c>
      <c r="H16582" s="42">
        <f t="shared" si="1"/>
        <v>3345</v>
      </c>
    </row>
    <row r="16583" ht="22.5" customHeight="1">
      <c r="B16583" s="42" t="str">
        <f>IFERROR(__xludf.DUMMYFUNCTION("""COMPUTED_VALUE"""),"")</f>
        <v/>
      </c>
      <c r="C16583" s="42" t="str">
        <f>IFERROR(__xludf.DUMMYFUNCTION("""COMPUTED_VALUE"""),"")</f>
        <v/>
      </c>
      <c r="D16583" s="42"/>
      <c r="E16583" s="42"/>
      <c r="F16583" s="48" t="str">
        <f>IFERROR(__xludf.DUMMYFUNCTION("""COMPUTED_VALUE"""),"")</f>
        <v/>
      </c>
      <c r="G16583" s="42" t="str">
        <f>IFERROR(__xludf.DUMMYFUNCTION("""COMPUTED_VALUE"""),"")</f>
        <v/>
      </c>
      <c r="H16583" s="42">
        <f t="shared" si="1"/>
        <v>3345</v>
      </c>
    </row>
    <row r="16584" ht="22.5" customHeight="1">
      <c r="B16584" s="42" t="str">
        <f>IFERROR(__xludf.DUMMYFUNCTION("""COMPUTED_VALUE"""),"")</f>
        <v/>
      </c>
      <c r="C16584" s="42" t="str">
        <f>IFERROR(__xludf.DUMMYFUNCTION("""COMPUTED_VALUE"""),"")</f>
        <v/>
      </c>
      <c r="D16584" s="42"/>
      <c r="E16584" s="42"/>
      <c r="F16584" s="48" t="str">
        <f>IFERROR(__xludf.DUMMYFUNCTION("""COMPUTED_VALUE"""),"")</f>
        <v/>
      </c>
      <c r="G16584" s="42" t="str">
        <f>IFERROR(__xludf.DUMMYFUNCTION("""COMPUTED_VALUE"""),"")</f>
        <v/>
      </c>
      <c r="H16584" s="42">
        <f t="shared" si="1"/>
        <v>3345</v>
      </c>
    </row>
    <row r="16585" ht="22.5" customHeight="1">
      <c r="B16585" s="42" t="str">
        <f>IFERROR(__xludf.DUMMYFUNCTION("""COMPUTED_VALUE"""),"")</f>
        <v/>
      </c>
      <c r="C16585" s="42" t="str">
        <f>IFERROR(__xludf.DUMMYFUNCTION("""COMPUTED_VALUE"""),"")</f>
        <v/>
      </c>
      <c r="D16585" s="42"/>
      <c r="E16585" s="42"/>
      <c r="F16585" s="48" t="str">
        <f>IFERROR(__xludf.DUMMYFUNCTION("""COMPUTED_VALUE"""),"")</f>
        <v/>
      </c>
      <c r="G16585" s="42" t="str">
        <f>IFERROR(__xludf.DUMMYFUNCTION("""COMPUTED_VALUE"""),"")</f>
        <v/>
      </c>
      <c r="H16585" s="42">
        <f t="shared" si="1"/>
        <v>3345</v>
      </c>
    </row>
    <row r="16586" ht="22.5" customHeight="1">
      <c r="B16586" s="42" t="str">
        <f>IFERROR(__xludf.DUMMYFUNCTION("""COMPUTED_VALUE"""),"")</f>
        <v/>
      </c>
      <c r="C16586" s="42" t="str">
        <f>IFERROR(__xludf.DUMMYFUNCTION("""COMPUTED_VALUE"""),"")</f>
        <v/>
      </c>
      <c r="D16586" s="42"/>
      <c r="E16586" s="42"/>
      <c r="F16586" s="48" t="str">
        <f>IFERROR(__xludf.DUMMYFUNCTION("""COMPUTED_VALUE"""),"")</f>
        <v/>
      </c>
      <c r="G16586" s="42" t="str">
        <f>IFERROR(__xludf.DUMMYFUNCTION("""COMPUTED_VALUE"""),"")</f>
        <v/>
      </c>
      <c r="H16586" s="42">
        <f t="shared" si="1"/>
        <v>3345</v>
      </c>
    </row>
    <row r="16587" ht="22.5" customHeight="1">
      <c r="B16587" s="42" t="str">
        <f>IFERROR(__xludf.DUMMYFUNCTION("""COMPUTED_VALUE"""),"")</f>
        <v/>
      </c>
      <c r="C16587" s="42" t="str">
        <f>IFERROR(__xludf.DUMMYFUNCTION("""COMPUTED_VALUE"""),"")</f>
        <v/>
      </c>
      <c r="D16587" s="42"/>
      <c r="E16587" s="42"/>
      <c r="F16587" s="48" t="str">
        <f>IFERROR(__xludf.DUMMYFUNCTION("""COMPUTED_VALUE"""),"")</f>
        <v/>
      </c>
      <c r="G16587" s="42" t="str">
        <f>IFERROR(__xludf.DUMMYFUNCTION("""COMPUTED_VALUE"""),"")</f>
        <v/>
      </c>
      <c r="H16587" s="42">
        <f t="shared" si="1"/>
        <v>3345</v>
      </c>
    </row>
    <row r="16588" ht="22.5" customHeight="1">
      <c r="B16588" s="42" t="str">
        <f>IFERROR(__xludf.DUMMYFUNCTION("""COMPUTED_VALUE"""),"")</f>
        <v/>
      </c>
      <c r="C16588" s="42" t="str">
        <f>IFERROR(__xludf.DUMMYFUNCTION("""COMPUTED_VALUE"""),"")</f>
        <v/>
      </c>
      <c r="D16588" s="42"/>
      <c r="E16588" s="42"/>
      <c r="F16588" s="48" t="str">
        <f>IFERROR(__xludf.DUMMYFUNCTION("""COMPUTED_VALUE"""),"")</f>
        <v/>
      </c>
      <c r="G16588" s="42" t="str">
        <f>IFERROR(__xludf.DUMMYFUNCTION("""COMPUTED_VALUE"""),"")</f>
        <v/>
      </c>
      <c r="H16588" s="42">
        <f t="shared" si="1"/>
        <v>3345</v>
      </c>
    </row>
    <row r="16589" ht="22.5" customHeight="1">
      <c r="B16589" s="42" t="str">
        <f>IFERROR(__xludf.DUMMYFUNCTION("""COMPUTED_VALUE"""),"")</f>
        <v/>
      </c>
      <c r="C16589" s="42" t="str">
        <f>IFERROR(__xludf.DUMMYFUNCTION("""COMPUTED_VALUE"""),"")</f>
        <v/>
      </c>
      <c r="D16589" s="42"/>
      <c r="E16589" s="42"/>
      <c r="F16589" s="48" t="str">
        <f>IFERROR(__xludf.DUMMYFUNCTION("""COMPUTED_VALUE"""),"")</f>
        <v/>
      </c>
      <c r="G16589" s="42" t="str">
        <f>IFERROR(__xludf.DUMMYFUNCTION("""COMPUTED_VALUE"""),"")</f>
        <v/>
      </c>
      <c r="H16589" s="42">
        <f t="shared" si="1"/>
        <v>3345</v>
      </c>
    </row>
    <row r="16590" ht="22.5" customHeight="1">
      <c r="B16590" s="42" t="str">
        <f>IFERROR(__xludf.DUMMYFUNCTION("""COMPUTED_VALUE"""),"")</f>
        <v/>
      </c>
      <c r="C16590" s="42" t="str">
        <f>IFERROR(__xludf.DUMMYFUNCTION("""COMPUTED_VALUE"""),"")</f>
        <v/>
      </c>
      <c r="D16590" s="42"/>
      <c r="E16590" s="42"/>
      <c r="F16590" s="48" t="str">
        <f>IFERROR(__xludf.DUMMYFUNCTION("""COMPUTED_VALUE"""),"")</f>
        <v/>
      </c>
      <c r="G16590" s="42" t="str">
        <f>IFERROR(__xludf.DUMMYFUNCTION("""COMPUTED_VALUE"""),"")</f>
        <v/>
      </c>
      <c r="H16590" s="42">
        <f t="shared" si="1"/>
        <v>3345</v>
      </c>
    </row>
    <row r="16591" ht="22.5" customHeight="1">
      <c r="B16591" s="42" t="str">
        <f>IFERROR(__xludf.DUMMYFUNCTION("""COMPUTED_VALUE"""),"")</f>
        <v/>
      </c>
      <c r="C16591" s="42" t="str">
        <f>IFERROR(__xludf.DUMMYFUNCTION("""COMPUTED_VALUE"""),"")</f>
        <v/>
      </c>
      <c r="D16591" s="42"/>
      <c r="E16591" s="42"/>
      <c r="F16591" s="48" t="str">
        <f>IFERROR(__xludf.DUMMYFUNCTION("""COMPUTED_VALUE"""),"")</f>
        <v/>
      </c>
      <c r="G16591" s="42" t="str">
        <f>IFERROR(__xludf.DUMMYFUNCTION("""COMPUTED_VALUE"""),"")</f>
        <v/>
      </c>
      <c r="H16591" s="42">
        <f t="shared" si="1"/>
        <v>3345</v>
      </c>
    </row>
    <row r="16592" ht="22.5" customHeight="1">
      <c r="B16592" s="42" t="str">
        <f>IFERROR(__xludf.DUMMYFUNCTION("""COMPUTED_VALUE"""),"")</f>
        <v/>
      </c>
      <c r="C16592" s="42" t="str">
        <f>IFERROR(__xludf.DUMMYFUNCTION("""COMPUTED_VALUE"""),"")</f>
        <v/>
      </c>
      <c r="D16592" s="42"/>
      <c r="E16592" s="42"/>
      <c r="F16592" s="48" t="str">
        <f>IFERROR(__xludf.DUMMYFUNCTION("""COMPUTED_VALUE"""),"")</f>
        <v/>
      </c>
      <c r="G16592" s="42" t="str">
        <f>IFERROR(__xludf.DUMMYFUNCTION("""COMPUTED_VALUE"""),"")</f>
        <v/>
      </c>
      <c r="H16592" s="42">
        <f t="shared" si="1"/>
        <v>3345</v>
      </c>
    </row>
    <row r="16593" ht="22.5" customHeight="1">
      <c r="B16593" s="42" t="str">
        <f>IFERROR(__xludf.DUMMYFUNCTION("""COMPUTED_VALUE"""),"")</f>
        <v/>
      </c>
      <c r="C16593" s="42" t="str">
        <f>IFERROR(__xludf.DUMMYFUNCTION("""COMPUTED_VALUE"""),"")</f>
        <v/>
      </c>
      <c r="D16593" s="42"/>
      <c r="E16593" s="42"/>
      <c r="F16593" s="48" t="str">
        <f>IFERROR(__xludf.DUMMYFUNCTION("""COMPUTED_VALUE"""),"")</f>
        <v/>
      </c>
      <c r="G16593" s="42" t="str">
        <f>IFERROR(__xludf.DUMMYFUNCTION("""COMPUTED_VALUE"""),"")</f>
        <v/>
      </c>
      <c r="H16593" s="42">
        <f t="shared" si="1"/>
        <v>3345</v>
      </c>
    </row>
    <row r="16594" ht="22.5" customHeight="1">
      <c r="B16594" s="42" t="str">
        <f>IFERROR(__xludf.DUMMYFUNCTION("""COMPUTED_VALUE"""),"")</f>
        <v/>
      </c>
      <c r="C16594" s="42" t="str">
        <f>IFERROR(__xludf.DUMMYFUNCTION("""COMPUTED_VALUE"""),"")</f>
        <v/>
      </c>
      <c r="D16594" s="42"/>
      <c r="E16594" s="42"/>
      <c r="F16594" s="48" t="str">
        <f>IFERROR(__xludf.DUMMYFUNCTION("""COMPUTED_VALUE"""),"")</f>
        <v/>
      </c>
      <c r="G16594" s="42" t="str">
        <f>IFERROR(__xludf.DUMMYFUNCTION("""COMPUTED_VALUE"""),"")</f>
        <v/>
      </c>
      <c r="H16594" s="42">
        <f t="shared" si="1"/>
        <v>3345</v>
      </c>
    </row>
    <row r="16595" ht="22.5" customHeight="1">
      <c r="B16595" s="42" t="str">
        <f>IFERROR(__xludf.DUMMYFUNCTION("""COMPUTED_VALUE"""),"")</f>
        <v/>
      </c>
      <c r="C16595" s="42" t="str">
        <f>IFERROR(__xludf.DUMMYFUNCTION("""COMPUTED_VALUE"""),"")</f>
        <v/>
      </c>
      <c r="D16595" s="42"/>
      <c r="E16595" s="42"/>
      <c r="F16595" s="48" t="str">
        <f>IFERROR(__xludf.DUMMYFUNCTION("""COMPUTED_VALUE"""),"")</f>
        <v/>
      </c>
      <c r="G16595" s="42" t="str">
        <f>IFERROR(__xludf.DUMMYFUNCTION("""COMPUTED_VALUE"""),"")</f>
        <v/>
      </c>
      <c r="H16595" s="42">
        <f t="shared" si="1"/>
        <v>3345</v>
      </c>
    </row>
    <row r="16596" ht="22.5" customHeight="1">
      <c r="B16596" s="42" t="str">
        <f>IFERROR(__xludf.DUMMYFUNCTION("""COMPUTED_VALUE"""),"")</f>
        <v/>
      </c>
      <c r="C16596" s="42" t="str">
        <f>IFERROR(__xludf.DUMMYFUNCTION("""COMPUTED_VALUE"""),"")</f>
        <v/>
      </c>
      <c r="D16596" s="42"/>
      <c r="E16596" s="42"/>
      <c r="F16596" s="48" t="str">
        <f>IFERROR(__xludf.DUMMYFUNCTION("""COMPUTED_VALUE"""),"")</f>
        <v/>
      </c>
      <c r="G16596" s="42" t="str">
        <f>IFERROR(__xludf.DUMMYFUNCTION("""COMPUTED_VALUE"""),"")</f>
        <v/>
      </c>
      <c r="H16596" s="42">
        <f t="shared" si="1"/>
        <v>3345</v>
      </c>
    </row>
    <row r="16597" ht="22.5" customHeight="1">
      <c r="B16597" s="42" t="str">
        <f>IFERROR(__xludf.DUMMYFUNCTION("""COMPUTED_VALUE"""),"")</f>
        <v/>
      </c>
      <c r="C16597" s="42" t="str">
        <f>IFERROR(__xludf.DUMMYFUNCTION("""COMPUTED_VALUE"""),"")</f>
        <v/>
      </c>
      <c r="D16597" s="42"/>
      <c r="E16597" s="42"/>
      <c r="F16597" s="48" t="str">
        <f>IFERROR(__xludf.DUMMYFUNCTION("""COMPUTED_VALUE"""),"")</f>
        <v/>
      </c>
      <c r="G16597" s="42" t="str">
        <f>IFERROR(__xludf.DUMMYFUNCTION("""COMPUTED_VALUE"""),"")</f>
        <v/>
      </c>
      <c r="H16597" s="42">
        <f t="shared" si="1"/>
        <v>3345</v>
      </c>
    </row>
    <row r="16598" ht="22.5" customHeight="1">
      <c r="B16598" s="42" t="str">
        <f>IFERROR(__xludf.DUMMYFUNCTION("""COMPUTED_VALUE"""),"")</f>
        <v/>
      </c>
      <c r="C16598" s="42" t="str">
        <f>IFERROR(__xludf.DUMMYFUNCTION("""COMPUTED_VALUE"""),"")</f>
        <v/>
      </c>
      <c r="D16598" s="42"/>
      <c r="E16598" s="42"/>
      <c r="F16598" s="48" t="str">
        <f>IFERROR(__xludf.DUMMYFUNCTION("""COMPUTED_VALUE"""),"")</f>
        <v/>
      </c>
      <c r="G16598" s="42" t="str">
        <f>IFERROR(__xludf.DUMMYFUNCTION("""COMPUTED_VALUE"""),"")</f>
        <v/>
      </c>
      <c r="H16598" s="42">
        <f t="shared" si="1"/>
        <v>3345</v>
      </c>
    </row>
    <row r="16599" ht="22.5" customHeight="1">
      <c r="B16599" s="42" t="str">
        <f>IFERROR(__xludf.DUMMYFUNCTION("""COMPUTED_VALUE"""),"")</f>
        <v/>
      </c>
      <c r="C16599" s="42" t="str">
        <f>IFERROR(__xludf.DUMMYFUNCTION("""COMPUTED_VALUE"""),"")</f>
        <v/>
      </c>
      <c r="D16599" s="42"/>
      <c r="E16599" s="42"/>
      <c r="F16599" s="48" t="str">
        <f>IFERROR(__xludf.DUMMYFUNCTION("""COMPUTED_VALUE"""),"")</f>
        <v/>
      </c>
      <c r="G16599" s="42" t="str">
        <f>IFERROR(__xludf.DUMMYFUNCTION("""COMPUTED_VALUE"""),"")</f>
        <v/>
      </c>
      <c r="H16599" s="42">
        <f t="shared" si="1"/>
        <v>3345</v>
      </c>
    </row>
    <row r="16600" ht="22.5" customHeight="1">
      <c r="B16600" s="42" t="str">
        <f>IFERROR(__xludf.DUMMYFUNCTION("""COMPUTED_VALUE"""),"")</f>
        <v/>
      </c>
      <c r="C16600" s="42" t="str">
        <f>IFERROR(__xludf.DUMMYFUNCTION("""COMPUTED_VALUE"""),"")</f>
        <v/>
      </c>
      <c r="D16600" s="42"/>
      <c r="E16600" s="42"/>
      <c r="F16600" s="48" t="str">
        <f>IFERROR(__xludf.DUMMYFUNCTION("""COMPUTED_VALUE"""),"")</f>
        <v/>
      </c>
      <c r="G16600" s="42" t="str">
        <f>IFERROR(__xludf.DUMMYFUNCTION("""COMPUTED_VALUE"""),"")</f>
        <v/>
      </c>
      <c r="H16600" s="42">
        <f t="shared" si="1"/>
        <v>3345</v>
      </c>
    </row>
    <row r="16601" ht="22.5" customHeight="1">
      <c r="B16601" s="42" t="str">
        <f>IFERROR(__xludf.DUMMYFUNCTION("""COMPUTED_VALUE"""),"")</f>
        <v/>
      </c>
      <c r="C16601" s="42" t="str">
        <f>IFERROR(__xludf.DUMMYFUNCTION("""COMPUTED_VALUE"""),"")</f>
        <v/>
      </c>
      <c r="D16601" s="42"/>
      <c r="E16601" s="42"/>
      <c r="F16601" s="48" t="str">
        <f>IFERROR(__xludf.DUMMYFUNCTION("""COMPUTED_VALUE"""),"")</f>
        <v/>
      </c>
      <c r="G16601" s="42" t="str">
        <f>IFERROR(__xludf.DUMMYFUNCTION("""COMPUTED_VALUE"""),"")</f>
        <v/>
      </c>
      <c r="H16601" s="42">
        <f t="shared" si="1"/>
        <v>3345</v>
      </c>
    </row>
    <row r="16602" ht="22.5" customHeight="1">
      <c r="B16602" s="42" t="str">
        <f>IFERROR(__xludf.DUMMYFUNCTION("""COMPUTED_VALUE"""),"")</f>
        <v/>
      </c>
      <c r="C16602" s="42" t="str">
        <f>IFERROR(__xludf.DUMMYFUNCTION("""COMPUTED_VALUE"""),"")</f>
        <v/>
      </c>
      <c r="D16602" s="42"/>
      <c r="E16602" s="42"/>
      <c r="F16602" s="48" t="str">
        <f>IFERROR(__xludf.DUMMYFUNCTION("""COMPUTED_VALUE"""),"")</f>
        <v/>
      </c>
      <c r="G16602" s="42" t="str">
        <f>IFERROR(__xludf.DUMMYFUNCTION("""COMPUTED_VALUE"""),"")</f>
        <v/>
      </c>
      <c r="H16602" s="42">
        <f t="shared" si="1"/>
        <v>3345</v>
      </c>
    </row>
    <row r="16603" ht="22.5" customHeight="1">
      <c r="B16603" s="42" t="str">
        <f>IFERROR(__xludf.DUMMYFUNCTION("""COMPUTED_VALUE"""),"")</f>
        <v/>
      </c>
      <c r="C16603" s="42" t="str">
        <f>IFERROR(__xludf.DUMMYFUNCTION("""COMPUTED_VALUE"""),"")</f>
        <v/>
      </c>
      <c r="D16603" s="42"/>
      <c r="E16603" s="42"/>
      <c r="F16603" s="48" t="str">
        <f>IFERROR(__xludf.DUMMYFUNCTION("""COMPUTED_VALUE"""),"")</f>
        <v/>
      </c>
      <c r="G16603" s="42" t="str">
        <f>IFERROR(__xludf.DUMMYFUNCTION("""COMPUTED_VALUE"""),"")</f>
        <v/>
      </c>
      <c r="H16603" s="42">
        <f t="shared" si="1"/>
        <v>3345</v>
      </c>
    </row>
    <row r="16604" ht="22.5" customHeight="1">
      <c r="B16604" s="42" t="str">
        <f>IFERROR(__xludf.DUMMYFUNCTION("""COMPUTED_VALUE"""),"")</f>
        <v/>
      </c>
      <c r="C16604" s="42" t="str">
        <f>IFERROR(__xludf.DUMMYFUNCTION("""COMPUTED_VALUE"""),"")</f>
        <v/>
      </c>
      <c r="D16604" s="42"/>
      <c r="E16604" s="42"/>
      <c r="F16604" s="48" t="str">
        <f>IFERROR(__xludf.DUMMYFUNCTION("""COMPUTED_VALUE"""),"")</f>
        <v/>
      </c>
      <c r="G16604" s="42" t="str">
        <f>IFERROR(__xludf.DUMMYFUNCTION("""COMPUTED_VALUE"""),"")</f>
        <v/>
      </c>
      <c r="H16604" s="42">
        <f t="shared" si="1"/>
        <v>3345</v>
      </c>
    </row>
    <row r="16605" ht="22.5" customHeight="1">
      <c r="B16605" s="42" t="str">
        <f>IFERROR(__xludf.DUMMYFUNCTION("""COMPUTED_VALUE"""),"")</f>
        <v/>
      </c>
      <c r="C16605" s="42" t="str">
        <f>IFERROR(__xludf.DUMMYFUNCTION("""COMPUTED_VALUE"""),"")</f>
        <v/>
      </c>
      <c r="D16605" s="42"/>
      <c r="E16605" s="42"/>
      <c r="F16605" s="48" t="str">
        <f>IFERROR(__xludf.DUMMYFUNCTION("""COMPUTED_VALUE"""),"")</f>
        <v/>
      </c>
      <c r="G16605" s="42" t="str">
        <f>IFERROR(__xludf.DUMMYFUNCTION("""COMPUTED_VALUE"""),"")</f>
        <v/>
      </c>
      <c r="H16605" s="42">
        <f t="shared" si="1"/>
        <v>3345</v>
      </c>
    </row>
    <row r="16606" ht="22.5" customHeight="1">
      <c r="B16606" s="42" t="str">
        <f>IFERROR(__xludf.DUMMYFUNCTION("""COMPUTED_VALUE"""),"")</f>
        <v/>
      </c>
      <c r="C16606" s="42" t="str">
        <f>IFERROR(__xludf.DUMMYFUNCTION("""COMPUTED_VALUE"""),"")</f>
        <v/>
      </c>
      <c r="D16606" s="42"/>
      <c r="E16606" s="42"/>
      <c r="F16606" s="48" t="str">
        <f>IFERROR(__xludf.DUMMYFUNCTION("""COMPUTED_VALUE"""),"")</f>
        <v/>
      </c>
      <c r="G16606" s="42" t="str">
        <f>IFERROR(__xludf.DUMMYFUNCTION("""COMPUTED_VALUE"""),"")</f>
        <v/>
      </c>
      <c r="H16606" s="42">
        <f t="shared" si="1"/>
        <v>3345</v>
      </c>
    </row>
    <row r="16607" ht="22.5" customHeight="1">
      <c r="B16607" s="42" t="str">
        <f>IFERROR(__xludf.DUMMYFUNCTION("""COMPUTED_VALUE"""),"")</f>
        <v/>
      </c>
      <c r="C16607" s="42" t="str">
        <f>IFERROR(__xludf.DUMMYFUNCTION("""COMPUTED_VALUE"""),"")</f>
        <v/>
      </c>
      <c r="D16607" s="42"/>
      <c r="E16607" s="42"/>
      <c r="F16607" s="48" t="str">
        <f>IFERROR(__xludf.DUMMYFUNCTION("""COMPUTED_VALUE"""),"")</f>
        <v/>
      </c>
      <c r="G16607" s="42" t="str">
        <f>IFERROR(__xludf.DUMMYFUNCTION("""COMPUTED_VALUE"""),"")</f>
        <v/>
      </c>
      <c r="H16607" s="42">
        <f t="shared" si="1"/>
        <v>3345</v>
      </c>
    </row>
    <row r="16608" ht="22.5" customHeight="1">
      <c r="B16608" s="42" t="str">
        <f>IFERROR(__xludf.DUMMYFUNCTION("""COMPUTED_VALUE"""),"")</f>
        <v/>
      </c>
      <c r="C16608" s="42" t="str">
        <f>IFERROR(__xludf.DUMMYFUNCTION("""COMPUTED_VALUE"""),"")</f>
        <v/>
      </c>
      <c r="D16608" s="42"/>
      <c r="E16608" s="42"/>
      <c r="F16608" s="48" t="str">
        <f>IFERROR(__xludf.DUMMYFUNCTION("""COMPUTED_VALUE"""),"")</f>
        <v/>
      </c>
      <c r="G16608" s="42" t="str">
        <f>IFERROR(__xludf.DUMMYFUNCTION("""COMPUTED_VALUE"""),"")</f>
        <v/>
      </c>
      <c r="H16608" s="42">
        <f t="shared" si="1"/>
        <v>3345</v>
      </c>
    </row>
    <row r="16609" ht="22.5" customHeight="1">
      <c r="B16609" s="42" t="str">
        <f>IFERROR(__xludf.DUMMYFUNCTION("""COMPUTED_VALUE"""),"")</f>
        <v/>
      </c>
      <c r="C16609" s="42" t="str">
        <f>IFERROR(__xludf.DUMMYFUNCTION("""COMPUTED_VALUE"""),"")</f>
        <v/>
      </c>
      <c r="D16609" s="42"/>
      <c r="E16609" s="42"/>
      <c r="F16609" s="48" t="str">
        <f>IFERROR(__xludf.DUMMYFUNCTION("""COMPUTED_VALUE"""),"")</f>
        <v/>
      </c>
      <c r="G16609" s="42" t="str">
        <f>IFERROR(__xludf.DUMMYFUNCTION("""COMPUTED_VALUE"""),"")</f>
        <v/>
      </c>
      <c r="H16609" s="42">
        <f t="shared" si="1"/>
        <v>3345</v>
      </c>
    </row>
    <row r="16610" ht="22.5" customHeight="1">
      <c r="B16610" s="42" t="str">
        <f>IFERROR(__xludf.DUMMYFUNCTION("""COMPUTED_VALUE"""),"")</f>
        <v/>
      </c>
      <c r="C16610" s="42" t="str">
        <f>IFERROR(__xludf.DUMMYFUNCTION("""COMPUTED_VALUE"""),"")</f>
        <v/>
      </c>
      <c r="D16610" s="42"/>
      <c r="E16610" s="42"/>
      <c r="F16610" s="48" t="str">
        <f>IFERROR(__xludf.DUMMYFUNCTION("""COMPUTED_VALUE"""),"")</f>
        <v/>
      </c>
      <c r="G16610" s="42" t="str">
        <f>IFERROR(__xludf.DUMMYFUNCTION("""COMPUTED_VALUE"""),"")</f>
        <v/>
      </c>
      <c r="H16610" s="42">
        <f t="shared" si="1"/>
        <v>3345</v>
      </c>
    </row>
    <row r="16611" ht="22.5" customHeight="1">
      <c r="B16611" s="42" t="str">
        <f>IFERROR(__xludf.DUMMYFUNCTION("""COMPUTED_VALUE"""),"")</f>
        <v/>
      </c>
      <c r="C16611" s="42" t="str">
        <f>IFERROR(__xludf.DUMMYFUNCTION("""COMPUTED_VALUE"""),"")</f>
        <v/>
      </c>
      <c r="D16611" s="42"/>
      <c r="E16611" s="42"/>
      <c r="F16611" s="48" t="str">
        <f>IFERROR(__xludf.DUMMYFUNCTION("""COMPUTED_VALUE"""),"")</f>
        <v/>
      </c>
      <c r="G16611" s="42" t="str">
        <f>IFERROR(__xludf.DUMMYFUNCTION("""COMPUTED_VALUE"""),"")</f>
        <v/>
      </c>
      <c r="H16611" s="42">
        <f t="shared" si="1"/>
        <v>3345</v>
      </c>
    </row>
    <row r="16612" ht="22.5" customHeight="1">
      <c r="B16612" s="42" t="str">
        <f>IFERROR(__xludf.DUMMYFUNCTION("""COMPUTED_VALUE"""),"")</f>
        <v/>
      </c>
      <c r="C16612" s="42" t="str">
        <f>IFERROR(__xludf.DUMMYFUNCTION("""COMPUTED_VALUE"""),"")</f>
        <v/>
      </c>
      <c r="D16612" s="42"/>
      <c r="E16612" s="42"/>
      <c r="F16612" s="48" t="str">
        <f>IFERROR(__xludf.DUMMYFUNCTION("""COMPUTED_VALUE"""),"")</f>
        <v/>
      </c>
      <c r="G16612" s="42" t="str">
        <f>IFERROR(__xludf.DUMMYFUNCTION("""COMPUTED_VALUE"""),"")</f>
        <v/>
      </c>
      <c r="H16612" s="42">
        <f t="shared" si="1"/>
        <v>3345</v>
      </c>
    </row>
    <row r="16613" ht="22.5" customHeight="1">
      <c r="B16613" s="42" t="str">
        <f>IFERROR(__xludf.DUMMYFUNCTION("""COMPUTED_VALUE"""),"")</f>
        <v/>
      </c>
      <c r="C16613" s="42" t="str">
        <f>IFERROR(__xludf.DUMMYFUNCTION("""COMPUTED_VALUE"""),"")</f>
        <v/>
      </c>
      <c r="D16613" s="42"/>
      <c r="E16613" s="42"/>
      <c r="F16613" s="48" t="str">
        <f>IFERROR(__xludf.DUMMYFUNCTION("""COMPUTED_VALUE"""),"")</f>
        <v/>
      </c>
      <c r="G16613" s="42" t="str">
        <f>IFERROR(__xludf.DUMMYFUNCTION("""COMPUTED_VALUE"""),"")</f>
        <v/>
      </c>
      <c r="H16613" s="42">
        <f t="shared" si="1"/>
        <v>3345</v>
      </c>
    </row>
    <row r="16614" ht="22.5" customHeight="1">
      <c r="B16614" s="42" t="str">
        <f>IFERROR(__xludf.DUMMYFUNCTION("""COMPUTED_VALUE"""),"")</f>
        <v/>
      </c>
      <c r="C16614" s="42" t="str">
        <f>IFERROR(__xludf.DUMMYFUNCTION("""COMPUTED_VALUE"""),"")</f>
        <v/>
      </c>
      <c r="D16614" s="42"/>
      <c r="E16614" s="42"/>
      <c r="F16614" s="48" t="str">
        <f>IFERROR(__xludf.DUMMYFUNCTION("""COMPUTED_VALUE"""),"")</f>
        <v/>
      </c>
      <c r="G16614" s="42" t="str">
        <f>IFERROR(__xludf.DUMMYFUNCTION("""COMPUTED_VALUE"""),"")</f>
        <v/>
      </c>
      <c r="H16614" s="42">
        <f t="shared" si="1"/>
        <v>3345</v>
      </c>
    </row>
    <row r="16615" ht="22.5" customHeight="1">
      <c r="B16615" s="42" t="str">
        <f>IFERROR(__xludf.DUMMYFUNCTION("""COMPUTED_VALUE"""),"")</f>
        <v/>
      </c>
      <c r="C16615" s="42" t="str">
        <f>IFERROR(__xludf.DUMMYFUNCTION("""COMPUTED_VALUE"""),"")</f>
        <v/>
      </c>
      <c r="D16615" s="42"/>
      <c r="E16615" s="42"/>
      <c r="F16615" s="48" t="str">
        <f>IFERROR(__xludf.DUMMYFUNCTION("""COMPUTED_VALUE"""),"")</f>
        <v/>
      </c>
      <c r="G16615" s="42" t="str">
        <f>IFERROR(__xludf.DUMMYFUNCTION("""COMPUTED_VALUE"""),"")</f>
        <v/>
      </c>
      <c r="H16615" s="42">
        <f t="shared" si="1"/>
        <v>3345</v>
      </c>
    </row>
    <row r="16616" ht="22.5" customHeight="1">
      <c r="B16616" s="42" t="str">
        <f>IFERROR(__xludf.DUMMYFUNCTION("""COMPUTED_VALUE"""),"")</f>
        <v/>
      </c>
      <c r="C16616" s="42" t="str">
        <f>IFERROR(__xludf.DUMMYFUNCTION("""COMPUTED_VALUE"""),"")</f>
        <v/>
      </c>
      <c r="D16616" s="42"/>
      <c r="E16616" s="42"/>
      <c r="F16616" s="48" t="str">
        <f>IFERROR(__xludf.DUMMYFUNCTION("""COMPUTED_VALUE"""),"")</f>
        <v/>
      </c>
      <c r="G16616" s="42" t="str">
        <f>IFERROR(__xludf.DUMMYFUNCTION("""COMPUTED_VALUE"""),"")</f>
        <v/>
      </c>
      <c r="H16616" s="42">
        <f t="shared" si="1"/>
        <v>3345</v>
      </c>
    </row>
    <row r="16617" ht="22.5" customHeight="1">
      <c r="B16617" s="42" t="str">
        <f>IFERROR(__xludf.DUMMYFUNCTION("""COMPUTED_VALUE"""),"")</f>
        <v/>
      </c>
      <c r="C16617" s="42" t="str">
        <f>IFERROR(__xludf.DUMMYFUNCTION("""COMPUTED_VALUE"""),"")</f>
        <v/>
      </c>
      <c r="D16617" s="42"/>
      <c r="E16617" s="42"/>
      <c r="F16617" s="48" t="str">
        <f>IFERROR(__xludf.DUMMYFUNCTION("""COMPUTED_VALUE"""),"")</f>
        <v/>
      </c>
      <c r="G16617" s="42" t="str">
        <f>IFERROR(__xludf.DUMMYFUNCTION("""COMPUTED_VALUE"""),"")</f>
        <v/>
      </c>
      <c r="H16617" s="42">
        <f t="shared" si="1"/>
        <v>3345</v>
      </c>
    </row>
    <row r="16618" ht="22.5" customHeight="1">
      <c r="B16618" s="42" t="str">
        <f>IFERROR(__xludf.DUMMYFUNCTION("""COMPUTED_VALUE"""),"")</f>
        <v/>
      </c>
      <c r="C16618" s="42" t="str">
        <f>IFERROR(__xludf.DUMMYFUNCTION("""COMPUTED_VALUE"""),"")</f>
        <v/>
      </c>
      <c r="D16618" s="42"/>
      <c r="E16618" s="42"/>
      <c r="F16618" s="48" t="str">
        <f>IFERROR(__xludf.DUMMYFUNCTION("""COMPUTED_VALUE"""),"")</f>
        <v/>
      </c>
      <c r="G16618" s="42" t="str">
        <f>IFERROR(__xludf.DUMMYFUNCTION("""COMPUTED_VALUE"""),"")</f>
        <v/>
      </c>
      <c r="H16618" s="42">
        <f t="shared" si="1"/>
        <v>3345</v>
      </c>
    </row>
    <row r="16619" ht="22.5" customHeight="1">
      <c r="B16619" s="42" t="str">
        <f>IFERROR(__xludf.DUMMYFUNCTION("""COMPUTED_VALUE"""),"")</f>
        <v/>
      </c>
      <c r="C16619" s="42" t="str">
        <f>IFERROR(__xludf.DUMMYFUNCTION("""COMPUTED_VALUE"""),"")</f>
        <v/>
      </c>
      <c r="D16619" s="42"/>
      <c r="E16619" s="42"/>
      <c r="F16619" s="48" t="str">
        <f>IFERROR(__xludf.DUMMYFUNCTION("""COMPUTED_VALUE"""),"")</f>
        <v/>
      </c>
      <c r="G16619" s="42" t="str">
        <f>IFERROR(__xludf.DUMMYFUNCTION("""COMPUTED_VALUE"""),"")</f>
        <v/>
      </c>
      <c r="H16619" s="42">
        <f t="shared" si="1"/>
        <v>3345</v>
      </c>
    </row>
    <row r="16620" ht="22.5" customHeight="1">
      <c r="B16620" s="42" t="str">
        <f>IFERROR(__xludf.DUMMYFUNCTION("""COMPUTED_VALUE"""),"")</f>
        <v/>
      </c>
      <c r="C16620" s="42" t="str">
        <f>IFERROR(__xludf.DUMMYFUNCTION("""COMPUTED_VALUE"""),"")</f>
        <v/>
      </c>
      <c r="D16620" s="42"/>
      <c r="E16620" s="42"/>
      <c r="F16620" s="48" t="str">
        <f>IFERROR(__xludf.DUMMYFUNCTION("""COMPUTED_VALUE"""),"")</f>
        <v/>
      </c>
      <c r="G16620" s="42" t="str">
        <f>IFERROR(__xludf.DUMMYFUNCTION("""COMPUTED_VALUE"""),"")</f>
        <v/>
      </c>
      <c r="H16620" s="42">
        <f t="shared" si="1"/>
        <v>3345</v>
      </c>
    </row>
    <row r="16621" ht="22.5" customHeight="1">
      <c r="B16621" s="42" t="str">
        <f>IFERROR(__xludf.DUMMYFUNCTION("""COMPUTED_VALUE"""),"")</f>
        <v/>
      </c>
      <c r="C16621" s="42" t="str">
        <f>IFERROR(__xludf.DUMMYFUNCTION("""COMPUTED_VALUE"""),"")</f>
        <v/>
      </c>
      <c r="D16621" s="42"/>
      <c r="E16621" s="42"/>
      <c r="F16621" s="48" t="str">
        <f>IFERROR(__xludf.DUMMYFUNCTION("""COMPUTED_VALUE"""),"")</f>
        <v/>
      </c>
      <c r="G16621" s="42" t="str">
        <f>IFERROR(__xludf.DUMMYFUNCTION("""COMPUTED_VALUE"""),"")</f>
        <v/>
      </c>
      <c r="H16621" s="42">
        <f t="shared" si="1"/>
        <v>3345</v>
      </c>
    </row>
    <row r="16622" ht="22.5" customHeight="1">
      <c r="B16622" s="42" t="str">
        <f>IFERROR(__xludf.DUMMYFUNCTION("""COMPUTED_VALUE"""),"")</f>
        <v/>
      </c>
      <c r="C16622" s="42" t="str">
        <f>IFERROR(__xludf.DUMMYFUNCTION("""COMPUTED_VALUE"""),"")</f>
        <v/>
      </c>
      <c r="D16622" s="42"/>
      <c r="E16622" s="42"/>
      <c r="F16622" s="48" t="str">
        <f>IFERROR(__xludf.DUMMYFUNCTION("""COMPUTED_VALUE"""),"")</f>
        <v/>
      </c>
      <c r="G16622" s="42" t="str">
        <f>IFERROR(__xludf.DUMMYFUNCTION("""COMPUTED_VALUE"""),"")</f>
        <v/>
      </c>
      <c r="H16622" s="42">
        <f t="shared" si="1"/>
        <v>3345</v>
      </c>
    </row>
    <row r="16623" ht="22.5" customHeight="1">
      <c r="B16623" s="42" t="str">
        <f>IFERROR(__xludf.DUMMYFUNCTION("""COMPUTED_VALUE"""),"")</f>
        <v/>
      </c>
      <c r="C16623" s="42" t="str">
        <f>IFERROR(__xludf.DUMMYFUNCTION("""COMPUTED_VALUE"""),"")</f>
        <v/>
      </c>
      <c r="D16623" s="42"/>
      <c r="E16623" s="42"/>
      <c r="F16623" s="48" t="str">
        <f>IFERROR(__xludf.DUMMYFUNCTION("""COMPUTED_VALUE"""),"")</f>
        <v/>
      </c>
      <c r="G16623" s="42" t="str">
        <f>IFERROR(__xludf.DUMMYFUNCTION("""COMPUTED_VALUE"""),"")</f>
        <v/>
      </c>
      <c r="H16623" s="42">
        <f t="shared" si="1"/>
        <v>3345</v>
      </c>
    </row>
    <row r="16624" ht="22.5" customHeight="1">
      <c r="B16624" s="42" t="str">
        <f>IFERROR(__xludf.DUMMYFUNCTION("""COMPUTED_VALUE"""),"")</f>
        <v/>
      </c>
      <c r="C16624" s="42" t="str">
        <f>IFERROR(__xludf.DUMMYFUNCTION("""COMPUTED_VALUE"""),"")</f>
        <v/>
      </c>
      <c r="D16624" s="42"/>
      <c r="E16624" s="42"/>
      <c r="F16624" s="48" t="str">
        <f>IFERROR(__xludf.DUMMYFUNCTION("""COMPUTED_VALUE"""),"")</f>
        <v/>
      </c>
      <c r="G16624" s="42" t="str">
        <f>IFERROR(__xludf.DUMMYFUNCTION("""COMPUTED_VALUE"""),"")</f>
        <v/>
      </c>
      <c r="H16624" s="42">
        <f t="shared" si="1"/>
        <v>3345</v>
      </c>
    </row>
    <row r="16625" ht="22.5" customHeight="1">
      <c r="B16625" s="42" t="str">
        <f>IFERROR(__xludf.DUMMYFUNCTION("""COMPUTED_VALUE"""),"")</f>
        <v/>
      </c>
      <c r="C16625" s="42" t="str">
        <f>IFERROR(__xludf.DUMMYFUNCTION("""COMPUTED_VALUE"""),"")</f>
        <v/>
      </c>
      <c r="D16625" s="42"/>
      <c r="E16625" s="42"/>
      <c r="F16625" s="48" t="str">
        <f>IFERROR(__xludf.DUMMYFUNCTION("""COMPUTED_VALUE"""),"")</f>
        <v/>
      </c>
      <c r="G16625" s="42" t="str">
        <f>IFERROR(__xludf.DUMMYFUNCTION("""COMPUTED_VALUE"""),"")</f>
        <v/>
      </c>
      <c r="H16625" s="42">
        <f t="shared" si="1"/>
        <v>3345</v>
      </c>
    </row>
    <row r="16626" ht="22.5" customHeight="1">
      <c r="B16626" s="42" t="str">
        <f>IFERROR(__xludf.DUMMYFUNCTION("""COMPUTED_VALUE"""),"")</f>
        <v/>
      </c>
      <c r="C16626" s="42" t="str">
        <f>IFERROR(__xludf.DUMMYFUNCTION("""COMPUTED_VALUE"""),"")</f>
        <v/>
      </c>
      <c r="D16626" s="42"/>
      <c r="E16626" s="42"/>
      <c r="F16626" s="48" t="str">
        <f>IFERROR(__xludf.DUMMYFUNCTION("""COMPUTED_VALUE"""),"")</f>
        <v/>
      </c>
      <c r="G16626" s="42" t="str">
        <f>IFERROR(__xludf.DUMMYFUNCTION("""COMPUTED_VALUE"""),"")</f>
        <v/>
      </c>
      <c r="H16626" s="42">
        <f t="shared" si="1"/>
        <v>3345</v>
      </c>
    </row>
    <row r="16627" ht="22.5" customHeight="1">
      <c r="B16627" s="42" t="str">
        <f>IFERROR(__xludf.DUMMYFUNCTION("""COMPUTED_VALUE"""),"")</f>
        <v/>
      </c>
      <c r="C16627" s="42" t="str">
        <f>IFERROR(__xludf.DUMMYFUNCTION("""COMPUTED_VALUE"""),"")</f>
        <v/>
      </c>
      <c r="D16627" s="42"/>
      <c r="E16627" s="42"/>
      <c r="F16627" s="48" t="str">
        <f>IFERROR(__xludf.DUMMYFUNCTION("""COMPUTED_VALUE"""),"")</f>
        <v/>
      </c>
      <c r="G16627" s="42" t="str">
        <f>IFERROR(__xludf.DUMMYFUNCTION("""COMPUTED_VALUE"""),"")</f>
        <v/>
      </c>
      <c r="H16627" s="42">
        <f t="shared" si="1"/>
        <v>3345</v>
      </c>
    </row>
    <row r="16628" ht="22.5" customHeight="1">
      <c r="B16628" s="42" t="str">
        <f>IFERROR(__xludf.DUMMYFUNCTION("""COMPUTED_VALUE"""),"")</f>
        <v/>
      </c>
      <c r="C16628" s="42" t="str">
        <f>IFERROR(__xludf.DUMMYFUNCTION("""COMPUTED_VALUE"""),"")</f>
        <v/>
      </c>
      <c r="D16628" s="42"/>
      <c r="E16628" s="42"/>
      <c r="F16628" s="48" t="str">
        <f>IFERROR(__xludf.DUMMYFUNCTION("""COMPUTED_VALUE"""),"")</f>
        <v/>
      </c>
      <c r="G16628" s="42" t="str">
        <f>IFERROR(__xludf.DUMMYFUNCTION("""COMPUTED_VALUE"""),"")</f>
        <v/>
      </c>
      <c r="H16628" s="42">
        <f t="shared" si="1"/>
        <v>3345</v>
      </c>
    </row>
    <row r="16629" ht="22.5" customHeight="1">
      <c r="B16629" s="42" t="str">
        <f>IFERROR(__xludf.DUMMYFUNCTION("""COMPUTED_VALUE"""),"")</f>
        <v/>
      </c>
      <c r="C16629" s="42" t="str">
        <f>IFERROR(__xludf.DUMMYFUNCTION("""COMPUTED_VALUE"""),"")</f>
        <v/>
      </c>
      <c r="D16629" s="42"/>
      <c r="E16629" s="42"/>
      <c r="F16629" s="48" t="str">
        <f>IFERROR(__xludf.DUMMYFUNCTION("""COMPUTED_VALUE"""),"")</f>
        <v/>
      </c>
      <c r="G16629" s="42" t="str">
        <f>IFERROR(__xludf.DUMMYFUNCTION("""COMPUTED_VALUE"""),"")</f>
        <v/>
      </c>
      <c r="H16629" s="42">
        <f t="shared" si="1"/>
        <v>3345</v>
      </c>
    </row>
    <row r="16630" ht="22.5" customHeight="1">
      <c r="B16630" s="42" t="str">
        <f>IFERROR(__xludf.DUMMYFUNCTION("""COMPUTED_VALUE"""),"")</f>
        <v/>
      </c>
      <c r="C16630" s="42" t="str">
        <f>IFERROR(__xludf.DUMMYFUNCTION("""COMPUTED_VALUE"""),"")</f>
        <v/>
      </c>
      <c r="D16630" s="42"/>
      <c r="E16630" s="42"/>
      <c r="F16630" s="48" t="str">
        <f>IFERROR(__xludf.DUMMYFUNCTION("""COMPUTED_VALUE"""),"")</f>
        <v/>
      </c>
      <c r="G16630" s="42" t="str">
        <f>IFERROR(__xludf.DUMMYFUNCTION("""COMPUTED_VALUE"""),"")</f>
        <v/>
      </c>
      <c r="H16630" s="42">
        <f t="shared" si="1"/>
        <v>3345</v>
      </c>
    </row>
    <row r="16631" ht="22.5" customHeight="1">
      <c r="B16631" s="42" t="str">
        <f>IFERROR(__xludf.DUMMYFUNCTION("""COMPUTED_VALUE"""),"")</f>
        <v/>
      </c>
      <c r="C16631" s="42" t="str">
        <f>IFERROR(__xludf.DUMMYFUNCTION("""COMPUTED_VALUE"""),"")</f>
        <v/>
      </c>
      <c r="D16631" s="42"/>
      <c r="E16631" s="42"/>
      <c r="F16631" s="48" t="str">
        <f>IFERROR(__xludf.DUMMYFUNCTION("""COMPUTED_VALUE"""),"")</f>
        <v/>
      </c>
      <c r="G16631" s="42" t="str">
        <f>IFERROR(__xludf.DUMMYFUNCTION("""COMPUTED_VALUE"""),"")</f>
        <v/>
      </c>
      <c r="H16631" s="42">
        <f t="shared" si="1"/>
        <v>3345</v>
      </c>
    </row>
    <row r="16632" ht="22.5" customHeight="1">
      <c r="B16632" s="42" t="str">
        <f>IFERROR(__xludf.DUMMYFUNCTION("""COMPUTED_VALUE"""),"")</f>
        <v/>
      </c>
      <c r="C16632" s="42" t="str">
        <f>IFERROR(__xludf.DUMMYFUNCTION("""COMPUTED_VALUE"""),"")</f>
        <v/>
      </c>
      <c r="D16632" s="42"/>
      <c r="E16632" s="42"/>
      <c r="F16632" s="48" t="str">
        <f>IFERROR(__xludf.DUMMYFUNCTION("""COMPUTED_VALUE"""),"")</f>
        <v/>
      </c>
      <c r="G16632" s="42" t="str">
        <f>IFERROR(__xludf.DUMMYFUNCTION("""COMPUTED_VALUE"""),"")</f>
        <v/>
      </c>
      <c r="H16632" s="42">
        <f t="shared" si="1"/>
        <v>3345</v>
      </c>
    </row>
    <row r="16633" ht="22.5" customHeight="1">
      <c r="B16633" s="42" t="str">
        <f>IFERROR(__xludf.DUMMYFUNCTION("""COMPUTED_VALUE"""),"")</f>
        <v/>
      </c>
      <c r="C16633" s="42" t="str">
        <f>IFERROR(__xludf.DUMMYFUNCTION("""COMPUTED_VALUE"""),"")</f>
        <v/>
      </c>
      <c r="D16633" s="42"/>
      <c r="E16633" s="42"/>
      <c r="F16633" s="48" t="str">
        <f>IFERROR(__xludf.DUMMYFUNCTION("""COMPUTED_VALUE"""),"")</f>
        <v/>
      </c>
      <c r="G16633" s="42" t="str">
        <f>IFERROR(__xludf.DUMMYFUNCTION("""COMPUTED_VALUE"""),"")</f>
        <v/>
      </c>
      <c r="H16633" s="42">
        <f t="shared" si="1"/>
        <v>3345</v>
      </c>
    </row>
    <row r="16634" ht="22.5" customHeight="1">
      <c r="B16634" s="42" t="str">
        <f>IFERROR(__xludf.DUMMYFUNCTION("""COMPUTED_VALUE"""),"")</f>
        <v/>
      </c>
      <c r="C16634" s="42" t="str">
        <f>IFERROR(__xludf.DUMMYFUNCTION("""COMPUTED_VALUE"""),"")</f>
        <v/>
      </c>
      <c r="D16634" s="42"/>
      <c r="E16634" s="42"/>
      <c r="F16634" s="48" t="str">
        <f>IFERROR(__xludf.DUMMYFUNCTION("""COMPUTED_VALUE"""),"")</f>
        <v/>
      </c>
      <c r="G16634" s="42" t="str">
        <f>IFERROR(__xludf.DUMMYFUNCTION("""COMPUTED_VALUE"""),"")</f>
        <v/>
      </c>
      <c r="H16634" s="42">
        <f t="shared" si="1"/>
        <v>3345</v>
      </c>
    </row>
    <row r="16635" ht="22.5" customHeight="1">
      <c r="B16635" s="42" t="str">
        <f>IFERROR(__xludf.DUMMYFUNCTION("""COMPUTED_VALUE"""),"")</f>
        <v/>
      </c>
      <c r="C16635" s="42" t="str">
        <f>IFERROR(__xludf.DUMMYFUNCTION("""COMPUTED_VALUE"""),"")</f>
        <v/>
      </c>
      <c r="D16635" s="42"/>
      <c r="E16635" s="42"/>
      <c r="F16635" s="48" t="str">
        <f>IFERROR(__xludf.DUMMYFUNCTION("""COMPUTED_VALUE"""),"")</f>
        <v/>
      </c>
      <c r="G16635" s="42" t="str">
        <f>IFERROR(__xludf.DUMMYFUNCTION("""COMPUTED_VALUE"""),"")</f>
        <v/>
      </c>
      <c r="H16635" s="42">
        <f t="shared" si="1"/>
        <v>3345</v>
      </c>
    </row>
    <row r="16636" ht="22.5" customHeight="1">
      <c r="B16636" s="42" t="str">
        <f>IFERROR(__xludf.DUMMYFUNCTION("""COMPUTED_VALUE"""),"")</f>
        <v/>
      </c>
      <c r="C16636" s="42" t="str">
        <f>IFERROR(__xludf.DUMMYFUNCTION("""COMPUTED_VALUE"""),"")</f>
        <v/>
      </c>
      <c r="D16636" s="42"/>
      <c r="E16636" s="42"/>
      <c r="F16636" s="48" t="str">
        <f>IFERROR(__xludf.DUMMYFUNCTION("""COMPUTED_VALUE"""),"")</f>
        <v/>
      </c>
      <c r="G16636" s="42" t="str">
        <f>IFERROR(__xludf.DUMMYFUNCTION("""COMPUTED_VALUE"""),"")</f>
        <v/>
      </c>
      <c r="H16636" s="42">
        <f t="shared" si="1"/>
        <v>3345</v>
      </c>
    </row>
    <row r="16637" ht="22.5" customHeight="1">
      <c r="B16637" s="42" t="str">
        <f>IFERROR(__xludf.DUMMYFUNCTION("""COMPUTED_VALUE"""),"")</f>
        <v/>
      </c>
      <c r="C16637" s="42" t="str">
        <f>IFERROR(__xludf.DUMMYFUNCTION("""COMPUTED_VALUE"""),"")</f>
        <v/>
      </c>
      <c r="D16637" s="42"/>
      <c r="E16637" s="42"/>
      <c r="F16637" s="48" t="str">
        <f>IFERROR(__xludf.DUMMYFUNCTION("""COMPUTED_VALUE"""),"")</f>
        <v/>
      </c>
      <c r="G16637" s="42" t="str">
        <f>IFERROR(__xludf.DUMMYFUNCTION("""COMPUTED_VALUE"""),"")</f>
        <v/>
      </c>
      <c r="H16637" s="42">
        <f t="shared" si="1"/>
        <v>3345</v>
      </c>
    </row>
    <row r="16638" ht="22.5" customHeight="1">
      <c r="B16638" s="42" t="str">
        <f>IFERROR(__xludf.DUMMYFUNCTION("""COMPUTED_VALUE"""),"")</f>
        <v/>
      </c>
      <c r="C16638" s="42" t="str">
        <f>IFERROR(__xludf.DUMMYFUNCTION("""COMPUTED_VALUE"""),"")</f>
        <v/>
      </c>
      <c r="D16638" s="42"/>
      <c r="E16638" s="42"/>
      <c r="F16638" s="48" t="str">
        <f>IFERROR(__xludf.DUMMYFUNCTION("""COMPUTED_VALUE"""),"")</f>
        <v/>
      </c>
      <c r="G16638" s="42" t="str">
        <f>IFERROR(__xludf.DUMMYFUNCTION("""COMPUTED_VALUE"""),"")</f>
        <v/>
      </c>
      <c r="H16638" s="42">
        <f t="shared" si="1"/>
        <v>3345</v>
      </c>
    </row>
    <row r="16639" ht="22.5" customHeight="1">
      <c r="B16639" s="42" t="str">
        <f>IFERROR(__xludf.DUMMYFUNCTION("""COMPUTED_VALUE"""),"")</f>
        <v/>
      </c>
      <c r="C16639" s="42" t="str">
        <f>IFERROR(__xludf.DUMMYFUNCTION("""COMPUTED_VALUE"""),"")</f>
        <v/>
      </c>
      <c r="D16639" s="42"/>
      <c r="E16639" s="42"/>
      <c r="F16639" s="48" t="str">
        <f>IFERROR(__xludf.DUMMYFUNCTION("""COMPUTED_VALUE"""),"")</f>
        <v/>
      </c>
      <c r="G16639" s="42" t="str">
        <f>IFERROR(__xludf.DUMMYFUNCTION("""COMPUTED_VALUE"""),"")</f>
        <v/>
      </c>
      <c r="H16639" s="42">
        <f t="shared" si="1"/>
        <v>3345</v>
      </c>
    </row>
    <row r="16640" ht="22.5" customHeight="1">
      <c r="B16640" s="42" t="str">
        <f>IFERROR(__xludf.DUMMYFUNCTION("""COMPUTED_VALUE"""),"")</f>
        <v/>
      </c>
      <c r="C16640" s="42" t="str">
        <f>IFERROR(__xludf.DUMMYFUNCTION("""COMPUTED_VALUE"""),"")</f>
        <v/>
      </c>
      <c r="D16640" s="42"/>
      <c r="E16640" s="42"/>
      <c r="F16640" s="48" t="str">
        <f>IFERROR(__xludf.DUMMYFUNCTION("""COMPUTED_VALUE"""),"")</f>
        <v/>
      </c>
      <c r="G16640" s="42" t="str">
        <f>IFERROR(__xludf.DUMMYFUNCTION("""COMPUTED_VALUE"""),"")</f>
        <v/>
      </c>
      <c r="H16640" s="42">
        <f t="shared" si="1"/>
        <v>3345</v>
      </c>
    </row>
    <row r="16641" ht="22.5" customHeight="1">
      <c r="B16641" s="42" t="str">
        <f>IFERROR(__xludf.DUMMYFUNCTION("""COMPUTED_VALUE"""),"")</f>
        <v/>
      </c>
      <c r="C16641" s="42" t="str">
        <f>IFERROR(__xludf.DUMMYFUNCTION("""COMPUTED_VALUE"""),"")</f>
        <v/>
      </c>
      <c r="D16641" s="42"/>
      <c r="E16641" s="42"/>
      <c r="F16641" s="48" t="str">
        <f>IFERROR(__xludf.DUMMYFUNCTION("""COMPUTED_VALUE"""),"")</f>
        <v/>
      </c>
      <c r="G16641" s="42" t="str">
        <f>IFERROR(__xludf.DUMMYFUNCTION("""COMPUTED_VALUE"""),"")</f>
        <v/>
      </c>
      <c r="H16641" s="42">
        <f t="shared" si="1"/>
        <v>3345</v>
      </c>
    </row>
    <row r="16642" ht="22.5" customHeight="1">
      <c r="B16642" s="42" t="str">
        <f>IFERROR(__xludf.DUMMYFUNCTION("""COMPUTED_VALUE"""),"")</f>
        <v/>
      </c>
      <c r="C16642" s="42" t="str">
        <f>IFERROR(__xludf.DUMMYFUNCTION("""COMPUTED_VALUE"""),"")</f>
        <v/>
      </c>
      <c r="D16642" s="42"/>
      <c r="E16642" s="42"/>
      <c r="F16642" s="48" t="str">
        <f>IFERROR(__xludf.DUMMYFUNCTION("""COMPUTED_VALUE"""),"")</f>
        <v/>
      </c>
      <c r="G16642" s="42" t="str">
        <f>IFERROR(__xludf.DUMMYFUNCTION("""COMPUTED_VALUE"""),"")</f>
        <v/>
      </c>
      <c r="H16642" s="42">
        <f t="shared" si="1"/>
        <v>3345</v>
      </c>
    </row>
    <row r="16643" ht="22.5" customHeight="1">
      <c r="B16643" s="42" t="str">
        <f>IFERROR(__xludf.DUMMYFUNCTION("""COMPUTED_VALUE"""),"")</f>
        <v/>
      </c>
      <c r="C16643" s="42" t="str">
        <f>IFERROR(__xludf.DUMMYFUNCTION("""COMPUTED_VALUE"""),"")</f>
        <v/>
      </c>
      <c r="D16643" s="42"/>
      <c r="E16643" s="42"/>
      <c r="F16643" s="48" t="str">
        <f>IFERROR(__xludf.DUMMYFUNCTION("""COMPUTED_VALUE"""),"")</f>
        <v/>
      </c>
      <c r="G16643" s="42" t="str">
        <f>IFERROR(__xludf.DUMMYFUNCTION("""COMPUTED_VALUE"""),"")</f>
        <v/>
      </c>
      <c r="H16643" s="42">
        <f t="shared" si="1"/>
        <v>3345</v>
      </c>
    </row>
    <row r="16644" ht="22.5" customHeight="1">
      <c r="B16644" s="42" t="str">
        <f>IFERROR(__xludf.DUMMYFUNCTION("""COMPUTED_VALUE"""),"")</f>
        <v/>
      </c>
      <c r="C16644" s="42" t="str">
        <f>IFERROR(__xludf.DUMMYFUNCTION("""COMPUTED_VALUE"""),"")</f>
        <v/>
      </c>
      <c r="D16644" s="42"/>
      <c r="E16644" s="42"/>
      <c r="F16644" s="48" t="str">
        <f>IFERROR(__xludf.DUMMYFUNCTION("""COMPUTED_VALUE"""),"")</f>
        <v/>
      </c>
      <c r="G16644" s="42" t="str">
        <f>IFERROR(__xludf.DUMMYFUNCTION("""COMPUTED_VALUE"""),"")</f>
        <v/>
      </c>
      <c r="H16644" s="42">
        <f t="shared" si="1"/>
        <v>3345</v>
      </c>
    </row>
    <row r="16645" ht="22.5" customHeight="1">
      <c r="B16645" s="42" t="str">
        <f>IFERROR(__xludf.DUMMYFUNCTION("""COMPUTED_VALUE"""),"")</f>
        <v/>
      </c>
      <c r="C16645" s="42" t="str">
        <f>IFERROR(__xludf.DUMMYFUNCTION("""COMPUTED_VALUE"""),"")</f>
        <v/>
      </c>
      <c r="D16645" s="42"/>
      <c r="E16645" s="42"/>
      <c r="F16645" s="48" t="str">
        <f>IFERROR(__xludf.DUMMYFUNCTION("""COMPUTED_VALUE"""),"")</f>
        <v/>
      </c>
      <c r="G16645" s="42" t="str">
        <f>IFERROR(__xludf.DUMMYFUNCTION("""COMPUTED_VALUE"""),"")</f>
        <v/>
      </c>
      <c r="H16645" s="42">
        <f t="shared" si="1"/>
        <v>3345</v>
      </c>
    </row>
    <row r="16646" ht="22.5" customHeight="1">
      <c r="B16646" s="42" t="str">
        <f>IFERROR(__xludf.DUMMYFUNCTION("""COMPUTED_VALUE"""),"")</f>
        <v/>
      </c>
      <c r="C16646" s="42" t="str">
        <f>IFERROR(__xludf.DUMMYFUNCTION("""COMPUTED_VALUE"""),"")</f>
        <v/>
      </c>
      <c r="D16646" s="42"/>
      <c r="E16646" s="42"/>
      <c r="F16646" s="48" t="str">
        <f>IFERROR(__xludf.DUMMYFUNCTION("""COMPUTED_VALUE"""),"")</f>
        <v/>
      </c>
      <c r="G16646" s="42" t="str">
        <f>IFERROR(__xludf.DUMMYFUNCTION("""COMPUTED_VALUE"""),"")</f>
        <v/>
      </c>
      <c r="H16646" s="42">
        <f t="shared" si="1"/>
        <v>3345</v>
      </c>
    </row>
    <row r="16647" ht="22.5" customHeight="1">
      <c r="B16647" s="42" t="str">
        <f>IFERROR(__xludf.DUMMYFUNCTION("""COMPUTED_VALUE"""),"")</f>
        <v/>
      </c>
      <c r="C16647" s="42" t="str">
        <f>IFERROR(__xludf.DUMMYFUNCTION("""COMPUTED_VALUE"""),"")</f>
        <v/>
      </c>
      <c r="D16647" s="42"/>
      <c r="E16647" s="42"/>
      <c r="F16647" s="48" t="str">
        <f>IFERROR(__xludf.DUMMYFUNCTION("""COMPUTED_VALUE"""),"")</f>
        <v/>
      </c>
      <c r="G16647" s="42" t="str">
        <f>IFERROR(__xludf.DUMMYFUNCTION("""COMPUTED_VALUE"""),"")</f>
        <v/>
      </c>
      <c r="H16647" s="42">
        <f t="shared" si="1"/>
        <v>3345</v>
      </c>
    </row>
    <row r="16648" ht="22.5" customHeight="1">
      <c r="B16648" s="42" t="str">
        <f>IFERROR(__xludf.DUMMYFUNCTION("""COMPUTED_VALUE"""),"")</f>
        <v/>
      </c>
      <c r="C16648" s="42" t="str">
        <f>IFERROR(__xludf.DUMMYFUNCTION("""COMPUTED_VALUE"""),"")</f>
        <v/>
      </c>
      <c r="D16648" s="42"/>
      <c r="E16648" s="42"/>
      <c r="F16648" s="48" t="str">
        <f>IFERROR(__xludf.DUMMYFUNCTION("""COMPUTED_VALUE"""),"")</f>
        <v/>
      </c>
      <c r="G16648" s="42" t="str">
        <f>IFERROR(__xludf.DUMMYFUNCTION("""COMPUTED_VALUE"""),"")</f>
        <v/>
      </c>
      <c r="H16648" s="42">
        <f t="shared" si="1"/>
        <v>3345</v>
      </c>
    </row>
    <row r="16649" ht="22.5" customHeight="1">
      <c r="B16649" s="42" t="str">
        <f>IFERROR(__xludf.DUMMYFUNCTION("""COMPUTED_VALUE"""),"")</f>
        <v/>
      </c>
      <c r="C16649" s="42" t="str">
        <f>IFERROR(__xludf.DUMMYFUNCTION("""COMPUTED_VALUE"""),"")</f>
        <v/>
      </c>
      <c r="D16649" s="42"/>
      <c r="E16649" s="42"/>
      <c r="F16649" s="48" t="str">
        <f>IFERROR(__xludf.DUMMYFUNCTION("""COMPUTED_VALUE"""),"")</f>
        <v/>
      </c>
      <c r="G16649" s="42" t="str">
        <f>IFERROR(__xludf.DUMMYFUNCTION("""COMPUTED_VALUE"""),"")</f>
        <v/>
      </c>
      <c r="H16649" s="42">
        <f t="shared" si="1"/>
        <v>3345</v>
      </c>
    </row>
    <row r="16650" ht="22.5" customHeight="1">
      <c r="B16650" s="42" t="str">
        <f>IFERROR(__xludf.DUMMYFUNCTION("""COMPUTED_VALUE"""),"")</f>
        <v/>
      </c>
      <c r="C16650" s="42" t="str">
        <f>IFERROR(__xludf.DUMMYFUNCTION("""COMPUTED_VALUE"""),"")</f>
        <v/>
      </c>
      <c r="D16650" s="42"/>
      <c r="E16650" s="42"/>
      <c r="F16650" s="48" t="str">
        <f>IFERROR(__xludf.DUMMYFUNCTION("""COMPUTED_VALUE"""),"")</f>
        <v/>
      </c>
      <c r="G16650" s="42" t="str">
        <f>IFERROR(__xludf.DUMMYFUNCTION("""COMPUTED_VALUE"""),"")</f>
        <v/>
      </c>
      <c r="H16650" s="42">
        <f t="shared" si="1"/>
        <v>3345</v>
      </c>
    </row>
    <row r="16651" ht="22.5" customHeight="1">
      <c r="B16651" s="42" t="str">
        <f>IFERROR(__xludf.DUMMYFUNCTION("""COMPUTED_VALUE"""),"")</f>
        <v/>
      </c>
      <c r="C16651" s="42" t="str">
        <f>IFERROR(__xludf.DUMMYFUNCTION("""COMPUTED_VALUE"""),"")</f>
        <v/>
      </c>
      <c r="D16651" s="42"/>
      <c r="E16651" s="42"/>
      <c r="F16651" s="48" t="str">
        <f>IFERROR(__xludf.DUMMYFUNCTION("""COMPUTED_VALUE"""),"")</f>
        <v/>
      </c>
      <c r="G16651" s="42" t="str">
        <f>IFERROR(__xludf.DUMMYFUNCTION("""COMPUTED_VALUE"""),"")</f>
        <v/>
      </c>
      <c r="H16651" s="42">
        <f t="shared" si="1"/>
        <v>3345</v>
      </c>
    </row>
    <row r="16652" ht="22.5" customHeight="1">
      <c r="B16652" s="42" t="str">
        <f>IFERROR(__xludf.DUMMYFUNCTION("""COMPUTED_VALUE"""),"")</f>
        <v/>
      </c>
      <c r="C16652" s="42" t="str">
        <f>IFERROR(__xludf.DUMMYFUNCTION("""COMPUTED_VALUE"""),"")</f>
        <v/>
      </c>
      <c r="D16652" s="42"/>
      <c r="E16652" s="42"/>
      <c r="F16652" s="48" t="str">
        <f>IFERROR(__xludf.DUMMYFUNCTION("""COMPUTED_VALUE"""),"")</f>
        <v/>
      </c>
      <c r="G16652" s="42" t="str">
        <f>IFERROR(__xludf.DUMMYFUNCTION("""COMPUTED_VALUE"""),"")</f>
        <v/>
      </c>
      <c r="H16652" s="42">
        <f t="shared" si="1"/>
        <v>3345</v>
      </c>
    </row>
    <row r="16653" ht="22.5" customHeight="1">
      <c r="B16653" s="42" t="str">
        <f>IFERROR(__xludf.DUMMYFUNCTION("""COMPUTED_VALUE"""),"")</f>
        <v/>
      </c>
      <c r="C16653" s="42" t="str">
        <f>IFERROR(__xludf.DUMMYFUNCTION("""COMPUTED_VALUE"""),"")</f>
        <v/>
      </c>
      <c r="D16653" s="42"/>
      <c r="E16653" s="42"/>
      <c r="F16653" s="48" t="str">
        <f>IFERROR(__xludf.DUMMYFUNCTION("""COMPUTED_VALUE"""),"")</f>
        <v/>
      </c>
      <c r="G16653" s="42" t="str">
        <f>IFERROR(__xludf.DUMMYFUNCTION("""COMPUTED_VALUE"""),"")</f>
        <v/>
      </c>
      <c r="H16653" s="42">
        <f t="shared" si="1"/>
        <v>3345</v>
      </c>
    </row>
    <row r="16654" ht="22.5" customHeight="1">
      <c r="B16654" s="42" t="str">
        <f>IFERROR(__xludf.DUMMYFUNCTION("""COMPUTED_VALUE"""),"")</f>
        <v/>
      </c>
      <c r="C16654" s="42" t="str">
        <f>IFERROR(__xludf.DUMMYFUNCTION("""COMPUTED_VALUE"""),"")</f>
        <v/>
      </c>
      <c r="D16654" s="42"/>
      <c r="E16654" s="42"/>
      <c r="F16654" s="48" t="str">
        <f>IFERROR(__xludf.DUMMYFUNCTION("""COMPUTED_VALUE"""),"")</f>
        <v/>
      </c>
      <c r="G16654" s="42" t="str">
        <f>IFERROR(__xludf.DUMMYFUNCTION("""COMPUTED_VALUE"""),"")</f>
        <v/>
      </c>
      <c r="H16654" s="42">
        <f t="shared" si="1"/>
        <v>3345</v>
      </c>
    </row>
    <row r="16655" ht="22.5" customHeight="1">
      <c r="B16655" s="42" t="str">
        <f>IFERROR(__xludf.DUMMYFUNCTION("""COMPUTED_VALUE"""),"")</f>
        <v/>
      </c>
      <c r="C16655" s="42" t="str">
        <f>IFERROR(__xludf.DUMMYFUNCTION("""COMPUTED_VALUE"""),"")</f>
        <v/>
      </c>
      <c r="D16655" s="42"/>
      <c r="E16655" s="42"/>
      <c r="F16655" s="48" t="str">
        <f>IFERROR(__xludf.DUMMYFUNCTION("""COMPUTED_VALUE"""),"")</f>
        <v/>
      </c>
      <c r="G16655" s="42" t="str">
        <f>IFERROR(__xludf.DUMMYFUNCTION("""COMPUTED_VALUE"""),"")</f>
        <v/>
      </c>
      <c r="H16655" s="42">
        <f t="shared" si="1"/>
        <v>3345</v>
      </c>
    </row>
    <row r="16656" ht="22.5" customHeight="1">
      <c r="B16656" s="42" t="str">
        <f>IFERROR(__xludf.DUMMYFUNCTION("""COMPUTED_VALUE"""),"")</f>
        <v/>
      </c>
      <c r="C16656" s="42" t="str">
        <f>IFERROR(__xludf.DUMMYFUNCTION("""COMPUTED_VALUE"""),"")</f>
        <v/>
      </c>
      <c r="D16656" s="42"/>
      <c r="E16656" s="42"/>
      <c r="F16656" s="48" t="str">
        <f>IFERROR(__xludf.DUMMYFUNCTION("""COMPUTED_VALUE"""),"")</f>
        <v/>
      </c>
      <c r="G16656" s="42" t="str">
        <f>IFERROR(__xludf.DUMMYFUNCTION("""COMPUTED_VALUE"""),"")</f>
        <v/>
      </c>
      <c r="H16656" s="42">
        <f t="shared" si="1"/>
        <v>3345</v>
      </c>
    </row>
    <row r="16657" ht="22.5" customHeight="1">
      <c r="B16657" s="42" t="str">
        <f>IFERROR(__xludf.DUMMYFUNCTION("""COMPUTED_VALUE"""),"")</f>
        <v/>
      </c>
      <c r="C16657" s="42" t="str">
        <f>IFERROR(__xludf.DUMMYFUNCTION("""COMPUTED_VALUE"""),"")</f>
        <v/>
      </c>
      <c r="D16657" s="42"/>
      <c r="E16657" s="42"/>
      <c r="F16657" s="48" t="str">
        <f>IFERROR(__xludf.DUMMYFUNCTION("""COMPUTED_VALUE"""),"")</f>
        <v/>
      </c>
      <c r="G16657" s="42" t="str">
        <f>IFERROR(__xludf.DUMMYFUNCTION("""COMPUTED_VALUE"""),"")</f>
        <v/>
      </c>
      <c r="H16657" s="42">
        <f t="shared" si="1"/>
        <v>3345</v>
      </c>
    </row>
    <row r="16658" ht="22.5" customHeight="1">
      <c r="B16658" s="42" t="str">
        <f>IFERROR(__xludf.DUMMYFUNCTION("""COMPUTED_VALUE"""),"")</f>
        <v/>
      </c>
      <c r="C16658" s="42" t="str">
        <f>IFERROR(__xludf.DUMMYFUNCTION("""COMPUTED_VALUE"""),"")</f>
        <v/>
      </c>
      <c r="D16658" s="42"/>
      <c r="E16658" s="42"/>
      <c r="F16658" s="48" t="str">
        <f>IFERROR(__xludf.DUMMYFUNCTION("""COMPUTED_VALUE"""),"")</f>
        <v/>
      </c>
      <c r="G16658" s="42" t="str">
        <f>IFERROR(__xludf.DUMMYFUNCTION("""COMPUTED_VALUE"""),"")</f>
        <v/>
      </c>
      <c r="H16658" s="42">
        <f t="shared" si="1"/>
        <v>3345</v>
      </c>
    </row>
    <row r="16659" ht="22.5" customHeight="1">
      <c r="B16659" s="42" t="str">
        <f>IFERROR(__xludf.DUMMYFUNCTION("""COMPUTED_VALUE"""),"")</f>
        <v/>
      </c>
      <c r="C16659" s="42" t="str">
        <f>IFERROR(__xludf.DUMMYFUNCTION("""COMPUTED_VALUE"""),"")</f>
        <v/>
      </c>
      <c r="D16659" s="42"/>
      <c r="E16659" s="42"/>
      <c r="F16659" s="48" t="str">
        <f>IFERROR(__xludf.DUMMYFUNCTION("""COMPUTED_VALUE"""),"")</f>
        <v/>
      </c>
      <c r="G16659" s="42" t="str">
        <f>IFERROR(__xludf.DUMMYFUNCTION("""COMPUTED_VALUE"""),"")</f>
        <v/>
      </c>
      <c r="H16659" s="42">
        <f t="shared" si="1"/>
        <v>3345</v>
      </c>
    </row>
    <row r="16660" ht="22.5" customHeight="1">
      <c r="B16660" s="42" t="str">
        <f>IFERROR(__xludf.DUMMYFUNCTION("""COMPUTED_VALUE"""),"")</f>
        <v/>
      </c>
      <c r="C16660" s="42" t="str">
        <f>IFERROR(__xludf.DUMMYFUNCTION("""COMPUTED_VALUE"""),"")</f>
        <v/>
      </c>
      <c r="D16660" s="42"/>
      <c r="E16660" s="42"/>
      <c r="F16660" s="48" t="str">
        <f>IFERROR(__xludf.DUMMYFUNCTION("""COMPUTED_VALUE"""),"")</f>
        <v/>
      </c>
      <c r="G16660" s="42" t="str">
        <f>IFERROR(__xludf.DUMMYFUNCTION("""COMPUTED_VALUE"""),"")</f>
        <v/>
      </c>
      <c r="H16660" s="42">
        <f t="shared" si="1"/>
        <v>3345</v>
      </c>
    </row>
    <row r="16661" ht="22.5" customHeight="1">
      <c r="B16661" s="42" t="str">
        <f>IFERROR(__xludf.DUMMYFUNCTION("""COMPUTED_VALUE"""),"")</f>
        <v/>
      </c>
      <c r="C16661" s="42" t="str">
        <f>IFERROR(__xludf.DUMMYFUNCTION("""COMPUTED_VALUE"""),"")</f>
        <v/>
      </c>
      <c r="D16661" s="42"/>
      <c r="E16661" s="42"/>
      <c r="F16661" s="48" t="str">
        <f>IFERROR(__xludf.DUMMYFUNCTION("""COMPUTED_VALUE"""),"")</f>
        <v/>
      </c>
      <c r="G16661" s="42" t="str">
        <f>IFERROR(__xludf.DUMMYFUNCTION("""COMPUTED_VALUE"""),"")</f>
        <v/>
      </c>
      <c r="H16661" s="42">
        <f t="shared" si="1"/>
        <v>3345</v>
      </c>
    </row>
    <row r="16662" ht="22.5" customHeight="1">
      <c r="B16662" s="42" t="str">
        <f>IFERROR(__xludf.DUMMYFUNCTION("""COMPUTED_VALUE"""),"")</f>
        <v/>
      </c>
      <c r="C16662" s="42" t="str">
        <f>IFERROR(__xludf.DUMMYFUNCTION("""COMPUTED_VALUE"""),"")</f>
        <v/>
      </c>
      <c r="D16662" s="42"/>
      <c r="E16662" s="42"/>
      <c r="F16662" s="48" t="str">
        <f>IFERROR(__xludf.DUMMYFUNCTION("""COMPUTED_VALUE"""),"")</f>
        <v/>
      </c>
      <c r="G16662" s="42" t="str">
        <f>IFERROR(__xludf.DUMMYFUNCTION("""COMPUTED_VALUE"""),"")</f>
        <v/>
      </c>
      <c r="H16662" s="42">
        <f t="shared" si="1"/>
        <v>3345</v>
      </c>
    </row>
    <row r="16663" ht="22.5" customHeight="1">
      <c r="B16663" s="42" t="str">
        <f>IFERROR(__xludf.DUMMYFUNCTION("""COMPUTED_VALUE"""),"")</f>
        <v/>
      </c>
      <c r="C16663" s="42" t="str">
        <f>IFERROR(__xludf.DUMMYFUNCTION("""COMPUTED_VALUE"""),"")</f>
        <v/>
      </c>
      <c r="D16663" s="42"/>
      <c r="E16663" s="42"/>
      <c r="F16663" s="48" t="str">
        <f>IFERROR(__xludf.DUMMYFUNCTION("""COMPUTED_VALUE"""),"")</f>
        <v/>
      </c>
      <c r="G16663" s="42" t="str">
        <f>IFERROR(__xludf.DUMMYFUNCTION("""COMPUTED_VALUE"""),"")</f>
        <v/>
      </c>
      <c r="H16663" s="42">
        <f t="shared" si="1"/>
        <v>3345</v>
      </c>
    </row>
    <row r="16664" ht="22.5" customHeight="1">
      <c r="B16664" s="42" t="str">
        <f>IFERROR(__xludf.DUMMYFUNCTION("""COMPUTED_VALUE"""),"")</f>
        <v/>
      </c>
      <c r="C16664" s="42" t="str">
        <f>IFERROR(__xludf.DUMMYFUNCTION("""COMPUTED_VALUE"""),"")</f>
        <v/>
      </c>
      <c r="D16664" s="42"/>
      <c r="E16664" s="42"/>
      <c r="F16664" s="48" t="str">
        <f>IFERROR(__xludf.DUMMYFUNCTION("""COMPUTED_VALUE"""),"")</f>
        <v/>
      </c>
      <c r="G16664" s="42" t="str">
        <f>IFERROR(__xludf.DUMMYFUNCTION("""COMPUTED_VALUE"""),"")</f>
        <v/>
      </c>
      <c r="H16664" s="42">
        <f t="shared" si="1"/>
        <v>3345</v>
      </c>
    </row>
    <row r="16665" ht="22.5" customHeight="1">
      <c r="B16665" s="42" t="str">
        <f>IFERROR(__xludf.DUMMYFUNCTION("""COMPUTED_VALUE"""),"")</f>
        <v/>
      </c>
      <c r="C16665" s="42" t="str">
        <f>IFERROR(__xludf.DUMMYFUNCTION("""COMPUTED_VALUE"""),"")</f>
        <v/>
      </c>
      <c r="D16665" s="42"/>
      <c r="E16665" s="42"/>
      <c r="F16665" s="48" t="str">
        <f>IFERROR(__xludf.DUMMYFUNCTION("""COMPUTED_VALUE"""),"")</f>
        <v/>
      </c>
      <c r="G16665" s="42" t="str">
        <f>IFERROR(__xludf.DUMMYFUNCTION("""COMPUTED_VALUE"""),"")</f>
        <v/>
      </c>
      <c r="H16665" s="42">
        <f t="shared" si="1"/>
        <v>3345</v>
      </c>
    </row>
    <row r="16666" ht="22.5" customHeight="1">
      <c r="B16666" s="42" t="str">
        <f>IFERROR(__xludf.DUMMYFUNCTION("""COMPUTED_VALUE"""),"")</f>
        <v/>
      </c>
      <c r="C16666" s="42" t="str">
        <f>IFERROR(__xludf.DUMMYFUNCTION("""COMPUTED_VALUE"""),"")</f>
        <v/>
      </c>
      <c r="D16666" s="42"/>
      <c r="E16666" s="42"/>
      <c r="F16666" s="48" t="str">
        <f>IFERROR(__xludf.DUMMYFUNCTION("""COMPUTED_VALUE"""),"")</f>
        <v/>
      </c>
      <c r="G16666" s="42" t="str">
        <f>IFERROR(__xludf.DUMMYFUNCTION("""COMPUTED_VALUE"""),"")</f>
        <v/>
      </c>
      <c r="H16666" s="42">
        <f t="shared" si="1"/>
        <v>3345</v>
      </c>
    </row>
    <row r="16667" ht="22.5" customHeight="1">
      <c r="B16667" s="42" t="str">
        <f>IFERROR(__xludf.DUMMYFUNCTION("""COMPUTED_VALUE"""),"")</f>
        <v/>
      </c>
      <c r="C16667" s="42" t="str">
        <f>IFERROR(__xludf.DUMMYFUNCTION("""COMPUTED_VALUE"""),"")</f>
        <v/>
      </c>
      <c r="D16667" s="42"/>
      <c r="E16667" s="42"/>
      <c r="F16667" s="48" t="str">
        <f>IFERROR(__xludf.DUMMYFUNCTION("""COMPUTED_VALUE"""),"")</f>
        <v/>
      </c>
      <c r="G16667" s="42" t="str">
        <f>IFERROR(__xludf.DUMMYFUNCTION("""COMPUTED_VALUE"""),"")</f>
        <v/>
      </c>
      <c r="H16667" s="42">
        <f t="shared" si="1"/>
        <v>3345</v>
      </c>
    </row>
    <row r="16668" ht="22.5" customHeight="1">
      <c r="B16668" s="42" t="str">
        <f>IFERROR(__xludf.DUMMYFUNCTION("""COMPUTED_VALUE"""),"")</f>
        <v/>
      </c>
      <c r="C16668" s="42" t="str">
        <f>IFERROR(__xludf.DUMMYFUNCTION("""COMPUTED_VALUE"""),"")</f>
        <v/>
      </c>
      <c r="D16668" s="42"/>
      <c r="E16668" s="42"/>
      <c r="F16668" s="48" t="str">
        <f>IFERROR(__xludf.DUMMYFUNCTION("""COMPUTED_VALUE"""),"")</f>
        <v/>
      </c>
      <c r="G16668" s="42" t="str">
        <f>IFERROR(__xludf.DUMMYFUNCTION("""COMPUTED_VALUE"""),"")</f>
        <v/>
      </c>
      <c r="H16668" s="42">
        <f t="shared" si="1"/>
        <v>3345</v>
      </c>
    </row>
    <row r="16669" ht="22.5" customHeight="1">
      <c r="B16669" s="42" t="str">
        <f>IFERROR(__xludf.DUMMYFUNCTION("""COMPUTED_VALUE"""),"")</f>
        <v/>
      </c>
      <c r="C16669" s="42" t="str">
        <f>IFERROR(__xludf.DUMMYFUNCTION("""COMPUTED_VALUE"""),"")</f>
        <v/>
      </c>
      <c r="D16669" s="42"/>
      <c r="E16669" s="42"/>
      <c r="F16669" s="48" t="str">
        <f>IFERROR(__xludf.DUMMYFUNCTION("""COMPUTED_VALUE"""),"")</f>
        <v/>
      </c>
      <c r="G16669" s="42" t="str">
        <f>IFERROR(__xludf.DUMMYFUNCTION("""COMPUTED_VALUE"""),"")</f>
        <v/>
      </c>
      <c r="H16669" s="42">
        <f t="shared" si="1"/>
        <v>3345</v>
      </c>
    </row>
    <row r="16670" ht="22.5" customHeight="1">
      <c r="B16670" s="42" t="str">
        <f>IFERROR(__xludf.DUMMYFUNCTION("""COMPUTED_VALUE"""),"")</f>
        <v/>
      </c>
      <c r="C16670" s="42" t="str">
        <f>IFERROR(__xludf.DUMMYFUNCTION("""COMPUTED_VALUE"""),"")</f>
        <v/>
      </c>
      <c r="D16670" s="42"/>
      <c r="E16670" s="42"/>
      <c r="F16670" s="48" t="str">
        <f>IFERROR(__xludf.DUMMYFUNCTION("""COMPUTED_VALUE"""),"")</f>
        <v/>
      </c>
      <c r="G16670" s="42" t="str">
        <f>IFERROR(__xludf.DUMMYFUNCTION("""COMPUTED_VALUE"""),"")</f>
        <v/>
      </c>
      <c r="H16670" s="42">
        <f t="shared" si="1"/>
        <v>3345</v>
      </c>
    </row>
    <row r="16671" ht="22.5" customHeight="1">
      <c r="B16671" s="42" t="str">
        <f>IFERROR(__xludf.DUMMYFUNCTION("""COMPUTED_VALUE"""),"")</f>
        <v/>
      </c>
      <c r="C16671" s="42" t="str">
        <f>IFERROR(__xludf.DUMMYFUNCTION("""COMPUTED_VALUE"""),"")</f>
        <v/>
      </c>
      <c r="D16671" s="42"/>
      <c r="E16671" s="42"/>
      <c r="F16671" s="48" t="str">
        <f>IFERROR(__xludf.DUMMYFUNCTION("""COMPUTED_VALUE"""),"")</f>
        <v/>
      </c>
      <c r="G16671" s="42" t="str">
        <f>IFERROR(__xludf.DUMMYFUNCTION("""COMPUTED_VALUE"""),"")</f>
        <v/>
      </c>
      <c r="H16671" s="42">
        <f t="shared" si="1"/>
        <v>3345</v>
      </c>
    </row>
    <row r="16672" ht="22.5" customHeight="1">
      <c r="B16672" s="42" t="str">
        <f>IFERROR(__xludf.DUMMYFUNCTION("""COMPUTED_VALUE"""),"")</f>
        <v/>
      </c>
      <c r="C16672" s="42" t="str">
        <f>IFERROR(__xludf.DUMMYFUNCTION("""COMPUTED_VALUE"""),"")</f>
        <v/>
      </c>
      <c r="D16672" s="42"/>
      <c r="E16672" s="42"/>
      <c r="F16672" s="48" t="str">
        <f>IFERROR(__xludf.DUMMYFUNCTION("""COMPUTED_VALUE"""),"")</f>
        <v/>
      </c>
      <c r="G16672" s="42" t="str">
        <f>IFERROR(__xludf.DUMMYFUNCTION("""COMPUTED_VALUE"""),"")</f>
        <v/>
      </c>
      <c r="H16672" s="42">
        <f t="shared" si="1"/>
        <v>3345</v>
      </c>
    </row>
    <row r="16673" ht="22.5" customHeight="1">
      <c r="B16673" s="42" t="str">
        <f>IFERROR(__xludf.DUMMYFUNCTION("""COMPUTED_VALUE"""),"")</f>
        <v/>
      </c>
      <c r="C16673" s="42" t="str">
        <f>IFERROR(__xludf.DUMMYFUNCTION("""COMPUTED_VALUE"""),"")</f>
        <v/>
      </c>
      <c r="D16673" s="42"/>
      <c r="E16673" s="42"/>
      <c r="F16673" s="48" t="str">
        <f>IFERROR(__xludf.DUMMYFUNCTION("""COMPUTED_VALUE"""),"")</f>
        <v/>
      </c>
      <c r="G16673" s="42" t="str">
        <f>IFERROR(__xludf.DUMMYFUNCTION("""COMPUTED_VALUE"""),"")</f>
        <v/>
      </c>
      <c r="H16673" s="42">
        <f t="shared" si="1"/>
        <v>3345</v>
      </c>
    </row>
    <row r="16674" ht="22.5" customHeight="1">
      <c r="B16674" s="42" t="str">
        <f>IFERROR(__xludf.DUMMYFUNCTION("""COMPUTED_VALUE"""),"")</f>
        <v/>
      </c>
      <c r="C16674" s="42" t="str">
        <f>IFERROR(__xludf.DUMMYFUNCTION("""COMPUTED_VALUE"""),"")</f>
        <v/>
      </c>
      <c r="D16674" s="42"/>
      <c r="E16674" s="42"/>
      <c r="F16674" s="48" t="str">
        <f>IFERROR(__xludf.DUMMYFUNCTION("""COMPUTED_VALUE"""),"")</f>
        <v/>
      </c>
      <c r="G16674" s="42" t="str">
        <f>IFERROR(__xludf.DUMMYFUNCTION("""COMPUTED_VALUE"""),"")</f>
        <v/>
      </c>
      <c r="H16674" s="42">
        <f t="shared" si="1"/>
        <v>3345</v>
      </c>
    </row>
    <row r="16675" ht="22.5" customHeight="1">
      <c r="B16675" s="42" t="str">
        <f>IFERROR(__xludf.DUMMYFUNCTION("""COMPUTED_VALUE"""),"")</f>
        <v/>
      </c>
      <c r="C16675" s="42" t="str">
        <f>IFERROR(__xludf.DUMMYFUNCTION("""COMPUTED_VALUE"""),"")</f>
        <v/>
      </c>
      <c r="D16675" s="42"/>
      <c r="E16675" s="42"/>
      <c r="F16675" s="48" t="str">
        <f>IFERROR(__xludf.DUMMYFUNCTION("""COMPUTED_VALUE"""),"")</f>
        <v/>
      </c>
      <c r="G16675" s="42" t="str">
        <f>IFERROR(__xludf.DUMMYFUNCTION("""COMPUTED_VALUE"""),"")</f>
        <v/>
      </c>
      <c r="H16675" s="42">
        <f t="shared" si="1"/>
        <v>3345</v>
      </c>
    </row>
    <row r="16676" ht="22.5" customHeight="1">
      <c r="B16676" s="42" t="str">
        <f>IFERROR(__xludf.DUMMYFUNCTION("""COMPUTED_VALUE"""),"")</f>
        <v/>
      </c>
      <c r="C16676" s="42" t="str">
        <f>IFERROR(__xludf.DUMMYFUNCTION("""COMPUTED_VALUE"""),"")</f>
        <v/>
      </c>
      <c r="D16676" s="42"/>
      <c r="E16676" s="42"/>
      <c r="F16676" s="48" t="str">
        <f>IFERROR(__xludf.DUMMYFUNCTION("""COMPUTED_VALUE"""),"")</f>
        <v/>
      </c>
      <c r="G16676" s="42" t="str">
        <f>IFERROR(__xludf.DUMMYFUNCTION("""COMPUTED_VALUE"""),"")</f>
        <v/>
      </c>
      <c r="H16676" s="42">
        <f t="shared" si="1"/>
        <v>3345</v>
      </c>
    </row>
    <row r="16677" ht="22.5" customHeight="1">
      <c r="B16677" s="42" t="str">
        <f>IFERROR(__xludf.DUMMYFUNCTION("""COMPUTED_VALUE"""),"")</f>
        <v/>
      </c>
      <c r="C16677" s="42" t="str">
        <f>IFERROR(__xludf.DUMMYFUNCTION("""COMPUTED_VALUE"""),"")</f>
        <v/>
      </c>
      <c r="D16677" s="42"/>
      <c r="E16677" s="42"/>
      <c r="F16677" s="48" t="str">
        <f>IFERROR(__xludf.DUMMYFUNCTION("""COMPUTED_VALUE"""),"")</f>
        <v/>
      </c>
      <c r="G16677" s="42" t="str">
        <f>IFERROR(__xludf.DUMMYFUNCTION("""COMPUTED_VALUE"""),"")</f>
        <v/>
      </c>
      <c r="H16677" s="42">
        <f t="shared" si="1"/>
        <v>3345</v>
      </c>
    </row>
    <row r="16678" ht="22.5" customHeight="1">
      <c r="B16678" s="42" t="str">
        <f>IFERROR(__xludf.DUMMYFUNCTION("""COMPUTED_VALUE"""),"")</f>
        <v/>
      </c>
      <c r="C16678" s="42" t="str">
        <f>IFERROR(__xludf.DUMMYFUNCTION("""COMPUTED_VALUE"""),"")</f>
        <v/>
      </c>
      <c r="D16678" s="42"/>
      <c r="E16678" s="42"/>
      <c r="F16678" s="48" t="str">
        <f>IFERROR(__xludf.DUMMYFUNCTION("""COMPUTED_VALUE"""),"")</f>
        <v/>
      </c>
      <c r="G16678" s="42" t="str">
        <f>IFERROR(__xludf.DUMMYFUNCTION("""COMPUTED_VALUE"""),"")</f>
        <v/>
      </c>
      <c r="H16678" s="42">
        <f t="shared" si="1"/>
        <v>3345</v>
      </c>
    </row>
    <row r="16679" ht="22.5" customHeight="1">
      <c r="B16679" s="42" t="str">
        <f>IFERROR(__xludf.DUMMYFUNCTION("""COMPUTED_VALUE"""),"")</f>
        <v/>
      </c>
      <c r="C16679" s="42" t="str">
        <f>IFERROR(__xludf.DUMMYFUNCTION("""COMPUTED_VALUE"""),"")</f>
        <v/>
      </c>
      <c r="D16679" s="42"/>
      <c r="E16679" s="42"/>
      <c r="F16679" s="48" t="str">
        <f>IFERROR(__xludf.DUMMYFUNCTION("""COMPUTED_VALUE"""),"")</f>
        <v/>
      </c>
      <c r="G16679" s="42" t="str">
        <f>IFERROR(__xludf.DUMMYFUNCTION("""COMPUTED_VALUE"""),"")</f>
        <v/>
      </c>
      <c r="H16679" s="42">
        <f t="shared" si="1"/>
        <v>3345</v>
      </c>
    </row>
    <row r="16680" ht="22.5" customHeight="1">
      <c r="B16680" s="42" t="str">
        <f>IFERROR(__xludf.DUMMYFUNCTION("""COMPUTED_VALUE"""),"")</f>
        <v/>
      </c>
      <c r="C16680" s="42" t="str">
        <f>IFERROR(__xludf.DUMMYFUNCTION("""COMPUTED_VALUE"""),"")</f>
        <v/>
      </c>
      <c r="D16680" s="42"/>
      <c r="E16680" s="42"/>
      <c r="F16680" s="48" t="str">
        <f>IFERROR(__xludf.DUMMYFUNCTION("""COMPUTED_VALUE"""),"")</f>
        <v/>
      </c>
      <c r="G16680" s="42" t="str">
        <f>IFERROR(__xludf.DUMMYFUNCTION("""COMPUTED_VALUE"""),"")</f>
        <v/>
      </c>
      <c r="H16680" s="42">
        <f t="shared" si="1"/>
        <v>3345</v>
      </c>
    </row>
    <row r="16681" ht="22.5" customHeight="1">
      <c r="B16681" s="42" t="str">
        <f>IFERROR(__xludf.DUMMYFUNCTION("""COMPUTED_VALUE"""),"")</f>
        <v/>
      </c>
      <c r="C16681" s="42" t="str">
        <f>IFERROR(__xludf.DUMMYFUNCTION("""COMPUTED_VALUE"""),"")</f>
        <v/>
      </c>
      <c r="D16681" s="42"/>
      <c r="E16681" s="42"/>
      <c r="F16681" s="48" t="str">
        <f>IFERROR(__xludf.DUMMYFUNCTION("""COMPUTED_VALUE"""),"")</f>
        <v/>
      </c>
      <c r="G16681" s="42" t="str">
        <f>IFERROR(__xludf.DUMMYFUNCTION("""COMPUTED_VALUE"""),"")</f>
        <v/>
      </c>
      <c r="H16681" s="42">
        <f t="shared" si="1"/>
        <v>3345</v>
      </c>
    </row>
    <row r="16682" ht="22.5" customHeight="1">
      <c r="B16682" s="42" t="str">
        <f>IFERROR(__xludf.DUMMYFUNCTION("""COMPUTED_VALUE"""),"")</f>
        <v/>
      </c>
      <c r="C16682" s="42" t="str">
        <f>IFERROR(__xludf.DUMMYFUNCTION("""COMPUTED_VALUE"""),"")</f>
        <v/>
      </c>
      <c r="D16682" s="42"/>
      <c r="E16682" s="42"/>
      <c r="F16682" s="48" t="str">
        <f>IFERROR(__xludf.DUMMYFUNCTION("""COMPUTED_VALUE"""),"")</f>
        <v/>
      </c>
      <c r="G16682" s="42" t="str">
        <f>IFERROR(__xludf.DUMMYFUNCTION("""COMPUTED_VALUE"""),"")</f>
        <v/>
      </c>
      <c r="H16682" s="42">
        <f t="shared" si="1"/>
        <v>3345</v>
      </c>
    </row>
    <row r="16683" ht="22.5" customHeight="1">
      <c r="B16683" s="42" t="str">
        <f>IFERROR(__xludf.DUMMYFUNCTION("""COMPUTED_VALUE"""),"")</f>
        <v/>
      </c>
      <c r="C16683" s="42" t="str">
        <f>IFERROR(__xludf.DUMMYFUNCTION("""COMPUTED_VALUE"""),"")</f>
        <v/>
      </c>
      <c r="D16683" s="42"/>
      <c r="E16683" s="42"/>
      <c r="F16683" s="48" t="str">
        <f>IFERROR(__xludf.DUMMYFUNCTION("""COMPUTED_VALUE"""),"")</f>
        <v/>
      </c>
      <c r="G16683" s="42" t="str">
        <f>IFERROR(__xludf.DUMMYFUNCTION("""COMPUTED_VALUE"""),"")</f>
        <v/>
      </c>
      <c r="H16683" s="42">
        <f t="shared" si="1"/>
        <v>3345</v>
      </c>
    </row>
    <row r="16684" ht="22.5" customHeight="1">
      <c r="B16684" s="42" t="str">
        <f>IFERROR(__xludf.DUMMYFUNCTION("""COMPUTED_VALUE"""),"")</f>
        <v/>
      </c>
      <c r="C16684" s="42" t="str">
        <f>IFERROR(__xludf.DUMMYFUNCTION("""COMPUTED_VALUE"""),"")</f>
        <v/>
      </c>
      <c r="D16684" s="42"/>
      <c r="E16684" s="42"/>
      <c r="F16684" s="48" t="str">
        <f>IFERROR(__xludf.DUMMYFUNCTION("""COMPUTED_VALUE"""),"")</f>
        <v/>
      </c>
      <c r="G16684" s="42" t="str">
        <f>IFERROR(__xludf.DUMMYFUNCTION("""COMPUTED_VALUE"""),"")</f>
        <v/>
      </c>
      <c r="H16684" s="42">
        <f t="shared" si="1"/>
        <v>3345</v>
      </c>
    </row>
    <row r="16685" ht="22.5" customHeight="1">
      <c r="B16685" s="42" t="str">
        <f>IFERROR(__xludf.DUMMYFUNCTION("""COMPUTED_VALUE"""),"")</f>
        <v/>
      </c>
      <c r="C16685" s="42" t="str">
        <f>IFERROR(__xludf.DUMMYFUNCTION("""COMPUTED_VALUE"""),"")</f>
        <v/>
      </c>
      <c r="D16685" s="42"/>
      <c r="E16685" s="42"/>
      <c r="F16685" s="48" t="str">
        <f>IFERROR(__xludf.DUMMYFUNCTION("""COMPUTED_VALUE"""),"")</f>
        <v/>
      </c>
      <c r="G16685" s="42" t="str">
        <f>IFERROR(__xludf.DUMMYFUNCTION("""COMPUTED_VALUE"""),"")</f>
        <v/>
      </c>
      <c r="H16685" s="42">
        <f t="shared" si="1"/>
        <v>3345</v>
      </c>
    </row>
    <row r="16686" ht="22.5" customHeight="1">
      <c r="B16686" s="42" t="str">
        <f>IFERROR(__xludf.DUMMYFUNCTION("""COMPUTED_VALUE"""),"")</f>
        <v/>
      </c>
      <c r="C16686" s="42" t="str">
        <f>IFERROR(__xludf.DUMMYFUNCTION("""COMPUTED_VALUE"""),"")</f>
        <v/>
      </c>
      <c r="D16686" s="42"/>
      <c r="E16686" s="42"/>
      <c r="F16686" s="48" t="str">
        <f>IFERROR(__xludf.DUMMYFUNCTION("""COMPUTED_VALUE"""),"")</f>
        <v/>
      </c>
      <c r="G16686" s="42" t="str">
        <f>IFERROR(__xludf.DUMMYFUNCTION("""COMPUTED_VALUE"""),"")</f>
        <v/>
      </c>
      <c r="H16686" s="42">
        <f t="shared" si="1"/>
        <v>3345</v>
      </c>
    </row>
    <row r="16687" ht="22.5" customHeight="1">
      <c r="B16687" s="42" t="str">
        <f>IFERROR(__xludf.DUMMYFUNCTION("""COMPUTED_VALUE"""),"")</f>
        <v/>
      </c>
      <c r="C16687" s="42" t="str">
        <f>IFERROR(__xludf.DUMMYFUNCTION("""COMPUTED_VALUE"""),"")</f>
        <v/>
      </c>
      <c r="D16687" s="42"/>
      <c r="E16687" s="42"/>
      <c r="F16687" s="48" t="str">
        <f>IFERROR(__xludf.DUMMYFUNCTION("""COMPUTED_VALUE"""),"")</f>
        <v/>
      </c>
      <c r="G16687" s="42" t="str">
        <f>IFERROR(__xludf.DUMMYFUNCTION("""COMPUTED_VALUE"""),"")</f>
        <v/>
      </c>
      <c r="H16687" s="42">
        <f t="shared" si="1"/>
        <v>3345</v>
      </c>
    </row>
    <row r="16688" ht="22.5" customHeight="1">
      <c r="B16688" s="42" t="str">
        <f>IFERROR(__xludf.DUMMYFUNCTION("""COMPUTED_VALUE"""),"")</f>
        <v/>
      </c>
      <c r="C16688" s="42" t="str">
        <f>IFERROR(__xludf.DUMMYFUNCTION("""COMPUTED_VALUE"""),"")</f>
        <v/>
      </c>
      <c r="D16688" s="42"/>
      <c r="E16688" s="42"/>
      <c r="F16688" s="48" t="str">
        <f>IFERROR(__xludf.DUMMYFUNCTION("""COMPUTED_VALUE"""),"")</f>
        <v/>
      </c>
      <c r="G16688" s="42" t="str">
        <f>IFERROR(__xludf.DUMMYFUNCTION("""COMPUTED_VALUE"""),"")</f>
        <v/>
      </c>
      <c r="H16688" s="42">
        <f t="shared" si="1"/>
        <v>3345</v>
      </c>
    </row>
    <row r="16689" ht="22.5" customHeight="1">
      <c r="B16689" s="42" t="str">
        <f>IFERROR(__xludf.DUMMYFUNCTION("""COMPUTED_VALUE"""),"")</f>
        <v/>
      </c>
      <c r="C16689" s="42" t="str">
        <f>IFERROR(__xludf.DUMMYFUNCTION("""COMPUTED_VALUE"""),"")</f>
        <v/>
      </c>
      <c r="D16689" s="42"/>
      <c r="E16689" s="42"/>
      <c r="F16689" s="48" t="str">
        <f>IFERROR(__xludf.DUMMYFUNCTION("""COMPUTED_VALUE"""),"")</f>
        <v/>
      </c>
      <c r="G16689" s="42" t="str">
        <f>IFERROR(__xludf.DUMMYFUNCTION("""COMPUTED_VALUE"""),"")</f>
        <v/>
      </c>
      <c r="H16689" s="42">
        <f t="shared" si="1"/>
        <v>3345</v>
      </c>
    </row>
    <row r="16690" ht="22.5" customHeight="1">
      <c r="B16690" s="42" t="str">
        <f>IFERROR(__xludf.DUMMYFUNCTION("""COMPUTED_VALUE"""),"")</f>
        <v/>
      </c>
      <c r="C16690" s="42" t="str">
        <f>IFERROR(__xludf.DUMMYFUNCTION("""COMPUTED_VALUE"""),"")</f>
        <v/>
      </c>
      <c r="D16690" s="42"/>
      <c r="E16690" s="42"/>
      <c r="F16690" s="48" t="str">
        <f>IFERROR(__xludf.DUMMYFUNCTION("""COMPUTED_VALUE"""),"")</f>
        <v/>
      </c>
      <c r="G16690" s="42" t="str">
        <f>IFERROR(__xludf.DUMMYFUNCTION("""COMPUTED_VALUE"""),"")</f>
        <v/>
      </c>
      <c r="H16690" s="42">
        <f t="shared" si="1"/>
        <v>3345</v>
      </c>
    </row>
    <row r="16691" ht="22.5" customHeight="1">
      <c r="B16691" s="42" t="str">
        <f>IFERROR(__xludf.DUMMYFUNCTION("""COMPUTED_VALUE"""),"")</f>
        <v/>
      </c>
      <c r="C16691" s="42" t="str">
        <f>IFERROR(__xludf.DUMMYFUNCTION("""COMPUTED_VALUE"""),"")</f>
        <v/>
      </c>
      <c r="D16691" s="42"/>
      <c r="E16691" s="42"/>
      <c r="F16691" s="48" t="str">
        <f>IFERROR(__xludf.DUMMYFUNCTION("""COMPUTED_VALUE"""),"")</f>
        <v/>
      </c>
      <c r="G16691" s="42" t="str">
        <f>IFERROR(__xludf.DUMMYFUNCTION("""COMPUTED_VALUE"""),"")</f>
        <v/>
      </c>
      <c r="H16691" s="42">
        <f t="shared" si="1"/>
        <v>3345</v>
      </c>
    </row>
    <row r="16692" ht="22.5" customHeight="1">
      <c r="B16692" s="42" t="str">
        <f>IFERROR(__xludf.DUMMYFUNCTION("""COMPUTED_VALUE"""),"")</f>
        <v/>
      </c>
      <c r="C16692" s="42" t="str">
        <f>IFERROR(__xludf.DUMMYFUNCTION("""COMPUTED_VALUE"""),"")</f>
        <v/>
      </c>
      <c r="D16692" s="42"/>
      <c r="E16692" s="42"/>
      <c r="F16692" s="48" t="str">
        <f>IFERROR(__xludf.DUMMYFUNCTION("""COMPUTED_VALUE"""),"")</f>
        <v/>
      </c>
      <c r="G16692" s="42" t="str">
        <f>IFERROR(__xludf.DUMMYFUNCTION("""COMPUTED_VALUE"""),"")</f>
        <v/>
      </c>
      <c r="H16692" s="42">
        <f t="shared" si="1"/>
        <v>3345</v>
      </c>
    </row>
    <row r="16693" ht="22.5" customHeight="1">
      <c r="B16693" s="42" t="str">
        <f>IFERROR(__xludf.DUMMYFUNCTION("""COMPUTED_VALUE"""),"")</f>
        <v/>
      </c>
      <c r="C16693" s="42" t="str">
        <f>IFERROR(__xludf.DUMMYFUNCTION("""COMPUTED_VALUE"""),"")</f>
        <v/>
      </c>
      <c r="D16693" s="42"/>
      <c r="E16693" s="42"/>
      <c r="F16693" s="48" t="str">
        <f>IFERROR(__xludf.DUMMYFUNCTION("""COMPUTED_VALUE"""),"")</f>
        <v/>
      </c>
      <c r="G16693" s="42" t="str">
        <f>IFERROR(__xludf.DUMMYFUNCTION("""COMPUTED_VALUE"""),"")</f>
        <v/>
      </c>
      <c r="H16693" s="42">
        <f t="shared" si="1"/>
        <v>3345</v>
      </c>
    </row>
    <row r="16694" ht="22.5" customHeight="1">
      <c r="B16694" s="42" t="str">
        <f>IFERROR(__xludf.DUMMYFUNCTION("""COMPUTED_VALUE"""),"")</f>
        <v/>
      </c>
      <c r="C16694" s="42" t="str">
        <f>IFERROR(__xludf.DUMMYFUNCTION("""COMPUTED_VALUE"""),"")</f>
        <v/>
      </c>
      <c r="D16694" s="42"/>
      <c r="E16694" s="42"/>
      <c r="F16694" s="48" t="str">
        <f>IFERROR(__xludf.DUMMYFUNCTION("""COMPUTED_VALUE"""),"")</f>
        <v/>
      </c>
      <c r="G16694" s="42" t="str">
        <f>IFERROR(__xludf.DUMMYFUNCTION("""COMPUTED_VALUE"""),"")</f>
        <v/>
      </c>
      <c r="H16694" s="42">
        <f t="shared" si="1"/>
        <v>3345</v>
      </c>
    </row>
    <row r="16695" ht="22.5" customHeight="1">
      <c r="B16695" s="42" t="str">
        <f>IFERROR(__xludf.DUMMYFUNCTION("""COMPUTED_VALUE"""),"")</f>
        <v/>
      </c>
      <c r="C16695" s="42" t="str">
        <f>IFERROR(__xludf.DUMMYFUNCTION("""COMPUTED_VALUE"""),"")</f>
        <v/>
      </c>
      <c r="D16695" s="42"/>
      <c r="E16695" s="42"/>
      <c r="F16695" s="48" t="str">
        <f>IFERROR(__xludf.DUMMYFUNCTION("""COMPUTED_VALUE"""),"")</f>
        <v/>
      </c>
      <c r="G16695" s="42" t="str">
        <f>IFERROR(__xludf.DUMMYFUNCTION("""COMPUTED_VALUE"""),"")</f>
        <v/>
      </c>
      <c r="H16695" s="42">
        <f t="shared" si="1"/>
        <v>3345</v>
      </c>
    </row>
    <row r="16696" ht="22.5" customHeight="1">
      <c r="B16696" s="42" t="str">
        <f>IFERROR(__xludf.DUMMYFUNCTION("""COMPUTED_VALUE"""),"")</f>
        <v/>
      </c>
      <c r="C16696" s="42" t="str">
        <f>IFERROR(__xludf.DUMMYFUNCTION("""COMPUTED_VALUE"""),"")</f>
        <v/>
      </c>
      <c r="D16696" s="42"/>
      <c r="E16696" s="42"/>
      <c r="F16696" s="48" t="str">
        <f>IFERROR(__xludf.DUMMYFUNCTION("""COMPUTED_VALUE"""),"")</f>
        <v/>
      </c>
      <c r="G16696" s="42" t="str">
        <f>IFERROR(__xludf.DUMMYFUNCTION("""COMPUTED_VALUE"""),"")</f>
        <v/>
      </c>
      <c r="H16696" s="42">
        <f t="shared" si="1"/>
        <v>3345</v>
      </c>
    </row>
    <row r="16697" ht="22.5" customHeight="1">
      <c r="B16697" s="42" t="str">
        <f>IFERROR(__xludf.DUMMYFUNCTION("""COMPUTED_VALUE"""),"")</f>
        <v/>
      </c>
      <c r="C16697" s="42" t="str">
        <f>IFERROR(__xludf.DUMMYFUNCTION("""COMPUTED_VALUE"""),"")</f>
        <v/>
      </c>
      <c r="D16697" s="42"/>
      <c r="E16697" s="42"/>
      <c r="F16697" s="48" t="str">
        <f>IFERROR(__xludf.DUMMYFUNCTION("""COMPUTED_VALUE"""),"")</f>
        <v/>
      </c>
      <c r="G16697" s="42" t="str">
        <f>IFERROR(__xludf.DUMMYFUNCTION("""COMPUTED_VALUE"""),"")</f>
        <v/>
      </c>
      <c r="H16697" s="42">
        <f t="shared" si="1"/>
        <v>3345</v>
      </c>
    </row>
    <row r="16698" ht="22.5" customHeight="1">
      <c r="B16698" s="42" t="str">
        <f>IFERROR(__xludf.DUMMYFUNCTION("""COMPUTED_VALUE"""),"")</f>
        <v/>
      </c>
      <c r="C16698" s="42" t="str">
        <f>IFERROR(__xludf.DUMMYFUNCTION("""COMPUTED_VALUE"""),"")</f>
        <v/>
      </c>
      <c r="D16698" s="42"/>
      <c r="E16698" s="42"/>
      <c r="F16698" s="48" t="str">
        <f>IFERROR(__xludf.DUMMYFUNCTION("""COMPUTED_VALUE"""),"")</f>
        <v/>
      </c>
      <c r="G16698" s="42" t="str">
        <f>IFERROR(__xludf.DUMMYFUNCTION("""COMPUTED_VALUE"""),"")</f>
        <v/>
      </c>
      <c r="H16698" s="42">
        <f t="shared" si="1"/>
        <v>3345</v>
      </c>
    </row>
    <row r="16699" ht="22.5" customHeight="1">
      <c r="B16699" s="42" t="str">
        <f>IFERROR(__xludf.DUMMYFUNCTION("""COMPUTED_VALUE"""),"")</f>
        <v/>
      </c>
      <c r="C16699" s="42" t="str">
        <f>IFERROR(__xludf.DUMMYFUNCTION("""COMPUTED_VALUE"""),"")</f>
        <v/>
      </c>
      <c r="D16699" s="42"/>
      <c r="E16699" s="42"/>
      <c r="F16699" s="48" t="str">
        <f>IFERROR(__xludf.DUMMYFUNCTION("""COMPUTED_VALUE"""),"")</f>
        <v/>
      </c>
      <c r="G16699" s="42" t="str">
        <f>IFERROR(__xludf.DUMMYFUNCTION("""COMPUTED_VALUE"""),"")</f>
        <v/>
      </c>
      <c r="H16699" s="42">
        <f t="shared" si="1"/>
        <v>3345</v>
      </c>
    </row>
    <row r="16700" ht="22.5" customHeight="1">
      <c r="B16700" s="42" t="str">
        <f>IFERROR(__xludf.DUMMYFUNCTION("""COMPUTED_VALUE"""),"")</f>
        <v/>
      </c>
      <c r="C16700" s="42" t="str">
        <f>IFERROR(__xludf.DUMMYFUNCTION("""COMPUTED_VALUE"""),"")</f>
        <v/>
      </c>
      <c r="D16700" s="42"/>
      <c r="E16700" s="42"/>
      <c r="F16700" s="48" t="str">
        <f>IFERROR(__xludf.DUMMYFUNCTION("""COMPUTED_VALUE"""),"")</f>
        <v/>
      </c>
      <c r="G16700" s="42" t="str">
        <f>IFERROR(__xludf.DUMMYFUNCTION("""COMPUTED_VALUE"""),"")</f>
        <v/>
      </c>
      <c r="H16700" s="42">
        <f t="shared" si="1"/>
        <v>3345</v>
      </c>
    </row>
    <row r="16701" ht="22.5" customHeight="1">
      <c r="B16701" s="42" t="str">
        <f>IFERROR(__xludf.DUMMYFUNCTION("""COMPUTED_VALUE"""),"")</f>
        <v/>
      </c>
      <c r="C16701" s="42" t="str">
        <f>IFERROR(__xludf.DUMMYFUNCTION("""COMPUTED_VALUE"""),"")</f>
        <v/>
      </c>
      <c r="D16701" s="42"/>
      <c r="E16701" s="42"/>
      <c r="F16701" s="48" t="str">
        <f>IFERROR(__xludf.DUMMYFUNCTION("""COMPUTED_VALUE"""),"")</f>
        <v/>
      </c>
      <c r="G16701" s="42" t="str">
        <f>IFERROR(__xludf.DUMMYFUNCTION("""COMPUTED_VALUE"""),"")</f>
        <v/>
      </c>
      <c r="H16701" s="42">
        <f t="shared" si="1"/>
        <v>3345</v>
      </c>
    </row>
    <row r="16702" ht="22.5" customHeight="1">
      <c r="B16702" s="42" t="str">
        <f>IFERROR(__xludf.DUMMYFUNCTION("""COMPUTED_VALUE"""),"")</f>
        <v/>
      </c>
      <c r="C16702" s="42" t="str">
        <f>IFERROR(__xludf.DUMMYFUNCTION("""COMPUTED_VALUE"""),"")</f>
        <v/>
      </c>
      <c r="D16702" s="42"/>
      <c r="E16702" s="42"/>
      <c r="F16702" s="48" t="str">
        <f>IFERROR(__xludf.DUMMYFUNCTION("""COMPUTED_VALUE"""),"")</f>
        <v/>
      </c>
      <c r="G16702" s="42" t="str">
        <f>IFERROR(__xludf.DUMMYFUNCTION("""COMPUTED_VALUE"""),"")</f>
        <v/>
      </c>
      <c r="H16702" s="42">
        <f t="shared" si="1"/>
        <v>3345</v>
      </c>
    </row>
    <row r="16703" ht="22.5" customHeight="1">
      <c r="B16703" s="42" t="str">
        <f>IFERROR(__xludf.DUMMYFUNCTION("""COMPUTED_VALUE"""),"")</f>
        <v/>
      </c>
      <c r="C16703" s="42" t="str">
        <f>IFERROR(__xludf.DUMMYFUNCTION("""COMPUTED_VALUE"""),"")</f>
        <v/>
      </c>
      <c r="D16703" s="42"/>
      <c r="E16703" s="42"/>
      <c r="F16703" s="48" t="str">
        <f>IFERROR(__xludf.DUMMYFUNCTION("""COMPUTED_VALUE"""),"")</f>
        <v/>
      </c>
      <c r="G16703" s="42" t="str">
        <f>IFERROR(__xludf.DUMMYFUNCTION("""COMPUTED_VALUE"""),"")</f>
        <v/>
      </c>
      <c r="H16703" s="42">
        <f t="shared" si="1"/>
        <v>3345</v>
      </c>
    </row>
    <row r="16704" ht="22.5" customHeight="1">
      <c r="B16704" s="42" t="str">
        <f>IFERROR(__xludf.DUMMYFUNCTION("""COMPUTED_VALUE"""),"")</f>
        <v/>
      </c>
      <c r="C16704" s="42" t="str">
        <f>IFERROR(__xludf.DUMMYFUNCTION("""COMPUTED_VALUE"""),"")</f>
        <v/>
      </c>
      <c r="D16704" s="42"/>
      <c r="E16704" s="42"/>
      <c r="F16704" s="48" t="str">
        <f>IFERROR(__xludf.DUMMYFUNCTION("""COMPUTED_VALUE"""),"")</f>
        <v/>
      </c>
      <c r="G16704" s="42" t="str">
        <f>IFERROR(__xludf.DUMMYFUNCTION("""COMPUTED_VALUE"""),"")</f>
        <v/>
      </c>
      <c r="H16704" s="42">
        <f t="shared" si="1"/>
        <v>3345</v>
      </c>
    </row>
    <row r="16705" ht="22.5" customHeight="1">
      <c r="B16705" s="42" t="str">
        <f>IFERROR(__xludf.DUMMYFUNCTION("""COMPUTED_VALUE"""),"")</f>
        <v/>
      </c>
      <c r="C16705" s="42" t="str">
        <f>IFERROR(__xludf.DUMMYFUNCTION("""COMPUTED_VALUE"""),"")</f>
        <v/>
      </c>
      <c r="D16705" s="42"/>
      <c r="E16705" s="42"/>
      <c r="F16705" s="48" t="str">
        <f>IFERROR(__xludf.DUMMYFUNCTION("""COMPUTED_VALUE"""),"")</f>
        <v/>
      </c>
      <c r="G16705" s="42" t="str">
        <f>IFERROR(__xludf.DUMMYFUNCTION("""COMPUTED_VALUE"""),"")</f>
        <v/>
      </c>
      <c r="H16705" s="42">
        <f t="shared" si="1"/>
        <v>3345</v>
      </c>
    </row>
    <row r="16706" ht="22.5" customHeight="1">
      <c r="B16706" s="42" t="str">
        <f>IFERROR(__xludf.DUMMYFUNCTION("""COMPUTED_VALUE"""),"")</f>
        <v/>
      </c>
      <c r="C16706" s="42" t="str">
        <f>IFERROR(__xludf.DUMMYFUNCTION("""COMPUTED_VALUE"""),"")</f>
        <v/>
      </c>
      <c r="D16706" s="42"/>
      <c r="E16706" s="42"/>
      <c r="F16706" s="48" t="str">
        <f>IFERROR(__xludf.DUMMYFUNCTION("""COMPUTED_VALUE"""),"")</f>
        <v/>
      </c>
      <c r="G16706" s="42" t="str">
        <f>IFERROR(__xludf.DUMMYFUNCTION("""COMPUTED_VALUE"""),"")</f>
        <v/>
      </c>
      <c r="H16706" s="42">
        <f t="shared" si="1"/>
        <v>3345</v>
      </c>
    </row>
    <row r="16707" ht="22.5" customHeight="1">
      <c r="B16707" s="42" t="str">
        <f>IFERROR(__xludf.DUMMYFUNCTION("""COMPUTED_VALUE"""),"")</f>
        <v/>
      </c>
      <c r="C16707" s="42" t="str">
        <f>IFERROR(__xludf.DUMMYFUNCTION("""COMPUTED_VALUE"""),"")</f>
        <v/>
      </c>
      <c r="D16707" s="42"/>
      <c r="E16707" s="42"/>
      <c r="F16707" s="48" t="str">
        <f>IFERROR(__xludf.DUMMYFUNCTION("""COMPUTED_VALUE"""),"")</f>
        <v/>
      </c>
      <c r="G16707" s="42" t="str">
        <f>IFERROR(__xludf.DUMMYFUNCTION("""COMPUTED_VALUE"""),"")</f>
        <v/>
      </c>
      <c r="H16707" s="42">
        <f t="shared" si="1"/>
        <v>3345</v>
      </c>
    </row>
    <row r="16708" ht="22.5" customHeight="1">
      <c r="B16708" s="42" t="str">
        <f>IFERROR(__xludf.DUMMYFUNCTION("""COMPUTED_VALUE"""),"")</f>
        <v/>
      </c>
      <c r="C16708" s="42" t="str">
        <f>IFERROR(__xludf.DUMMYFUNCTION("""COMPUTED_VALUE"""),"")</f>
        <v/>
      </c>
      <c r="D16708" s="42"/>
      <c r="E16708" s="42"/>
      <c r="F16708" s="48" t="str">
        <f>IFERROR(__xludf.DUMMYFUNCTION("""COMPUTED_VALUE"""),"")</f>
        <v/>
      </c>
      <c r="G16708" s="42" t="str">
        <f>IFERROR(__xludf.DUMMYFUNCTION("""COMPUTED_VALUE"""),"")</f>
        <v/>
      </c>
      <c r="H16708" s="42">
        <f t="shared" si="1"/>
        <v>3345</v>
      </c>
    </row>
    <row r="16709" ht="22.5" customHeight="1">
      <c r="B16709" s="42" t="str">
        <f>IFERROR(__xludf.DUMMYFUNCTION("""COMPUTED_VALUE"""),"")</f>
        <v/>
      </c>
      <c r="C16709" s="42" t="str">
        <f>IFERROR(__xludf.DUMMYFUNCTION("""COMPUTED_VALUE"""),"")</f>
        <v/>
      </c>
      <c r="D16709" s="42"/>
      <c r="E16709" s="42"/>
      <c r="F16709" s="48" t="str">
        <f>IFERROR(__xludf.DUMMYFUNCTION("""COMPUTED_VALUE"""),"")</f>
        <v/>
      </c>
      <c r="G16709" s="42" t="str">
        <f>IFERROR(__xludf.DUMMYFUNCTION("""COMPUTED_VALUE"""),"")</f>
        <v/>
      </c>
      <c r="H16709" s="42">
        <f t="shared" si="1"/>
        <v>3345</v>
      </c>
    </row>
    <row r="16710" ht="22.5" customHeight="1">
      <c r="B16710" s="42" t="str">
        <f>IFERROR(__xludf.DUMMYFUNCTION("""COMPUTED_VALUE"""),"")</f>
        <v/>
      </c>
      <c r="C16710" s="42" t="str">
        <f>IFERROR(__xludf.DUMMYFUNCTION("""COMPUTED_VALUE"""),"")</f>
        <v/>
      </c>
      <c r="D16710" s="42"/>
      <c r="E16710" s="42"/>
      <c r="F16710" s="48" t="str">
        <f>IFERROR(__xludf.DUMMYFUNCTION("""COMPUTED_VALUE"""),"")</f>
        <v/>
      </c>
      <c r="G16710" s="42" t="str">
        <f>IFERROR(__xludf.DUMMYFUNCTION("""COMPUTED_VALUE"""),"")</f>
        <v/>
      </c>
      <c r="H16710" s="42">
        <f t="shared" si="1"/>
        <v>3345</v>
      </c>
    </row>
    <row r="16711" ht="22.5" customHeight="1">
      <c r="B16711" s="42" t="str">
        <f>IFERROR(__xludf.DUMMYFUNCTION("""COMPUTED_VALUE"""),"")</f>
        <v/>
      </c>
      <c r="C16711" s="42" t="str">
        <f>IFERROR(__xludf.DUMMYFUNCTION("""COMPUTED_VALUE"""),"")</f>
        <v/>
      </c>
      <c r="D16711" s="42"/>
      <c r="E16711" s="42"/>
      <c r="F16711" s="48" t="str">
        <f>IFERROR(__xludf.DUMMYFUNCTION("""COMPUTED_VALUE"""),"")</f>
        <v/>
      </c>
      <c r="G16711" s="42" t="str">
        <f>IFERROR(__xludf.DUMMYFUNCTION("""COMPUTED_VALUE"""),"")</f>
        <v/>
      </c>
      <c r="H16711" s="42">
        <f t="shared" si="1"/>
        <v>3345</v>
      </c>
    </row>
    <row r="16712" ht="22.5" customHeight="1">
      <c r="B16712" s="42" t="str">
        <f>IFERROR(__xludf.DUMMYFUNCTION("""COMPUTED_VALUE"""),"")</f>
        <v/>
      </c>
      <c r="C16712" s="42" t="str">
        <f>IFERROR(__xludf.DUMMYFUNCTION("""COMPUTED_VALUE"""),"")</f>
        <v/>
      </c>
      <c r="D16712" s="42"/>
      <c r="E16712" s="42"/>
      <c r="F16712" s="48" t="str">
        <f>IFERROR(__xludf.DUMMYFUNCTION("""COMPUTED_VALUE"""),"")</f>
        <v/>
      </c>
      <c r="G16712" s="42" t="str">
        <f>IFERROR(__xludf.DUMMYFUNCTION("""COMPUTED_VALUE"""),"")</f>
        <v/>
      </c>
      <c r="H16712" s="42">
        <f t="shared" si="1"/>
        <v>3345</v>
      </c>
    </row>
    <row r="16713" ht="22.5" customHeight="1">
      <c r="B16713" s="42" t="str">
        <f>IFERROR(__xludf.DUMMYFUNCTION("""COMPUTED_VALUE"""),"")</f>
        <v/>
      </c>
      <c r="C16713" s="42" t="str">
        <f>IFERROR(__xludf.DUMMYFUNCTION("""COMPUTED_VALUE"""),"")</f>
        <v/>
      </c>
      <c r="D16713" s="42"/>
      <c r="E16713" s="42"/>
      <c r="F16713" s="48" t="str">
        <f>IFERROR(__xludf.DUMMYFUNCTION("""COMPUTED_VALUE"""),"")</f>
        <v/>
      </c>
      <c r="G16713" s="42" t="str">
        <f>IFERROR(__xludf.DUMMYFUNCTION("""COMPUTED_VALUE"""),"")</f>
        <v/>
      </c>
      <c r="H16713" s="42">
        <f t="shared" si="1"/>
        <v>3345</v>
      </c>
    </row>
    <row r="16714" ht="22.5" customHeight="1">
      <c r="B16714" s="42" t="str">
        <f>IFERROR(__xludf.DUMMYFUNCTION("""COMPUTED_VALUE"""),"")</f>
        <v/>
      </c>
      <c r="C16714" s="42" t="str">
        <f>IFERROR(__xludf.DUMMYFUNCTION("""COMPUTED_VALUE"""),"")</f>
        <v/>
      </c>
      <c r="D16714" s="42"/>
      <c r="E16714" s="42"/>
      <c r="F16714" s="48" t="str">
        <f>IFERROR(__xludf.DUMMYFUNCTION("""COMPUTED_VALUE"""),"")</f>
        <v/>
      </c>
      <c r="G16714" s="42" t="str">
        <f>IFERROR(__xludf.DUMMYFUNCTION("""COMPUTED_VALUE"""),"")</f>
        <v/>
      </c>
      <c r="H16714" s="42">
        <f t="shared" si="1"/>
        <v>3345</v>
      </c>
    </row>
    <row r="16715" ht="22.5" customHeight="1">
      <c r="B16715" s="42" t="str">
        <f>IFERROR(__xludf.DUMMYFUNCTION("""COMPUTED_VALUE"""),"")</f>
        <v/>
      </c>
      <c r="C16715" s="42" t="str">
        <f>IFERROR(__xludf.DUMMYFUNCTION("""COMPUTED_VALUE"""),"")</f>
        <v/>
      </c>
      <c r="D16715" s="42"/>
      <c r="E16715" s="42"/>
      <c r="F16715" s="48" t="str">
        <f>IFERROR(__xludf.DUMMYFUNCTION("""COMPUTED_VALUE"""),"")</f>
        <v/>
      </c>
      <c r="G16715" s="42" t="str">
        <f>IFERROR(__xludf.DUMMYFUNCTION("""COMPUTED_VALUE"""),"")</f>
        <v/>
      </c>
      <c r="H16715" s="42">
        <f t="shared" si="1"/>
        <v>3345</v>
      </c>
    </row>
    <row r="16716" ht="22.5" customHeight="1">
      <c r="B16716" s="42" t="str">
        <f>IFERROR(__xludf.DUMMYFUNCTION("""COMPUTED_VALUE"""),"")</f>
        <v/>
      </c>
      <c r="C16716" s="42" t="str">
        <f>IFERROR(__xludf.DUMMYFUNCTION("""COMPUTED_VALUE"""),"")</f>
        <v/>
      </c>
      <c r="D16716" s="42"/>
      <c r="E16716" s="42"/>
      <c r="F16716" s="48" t="str">
        <f>IFERROR(__xludf.DUMMYFUNCTION("""COMPUTED_VALUE"""),"")</f>
        <v/>
      </c>
      <c r="G16716" s="42" t="str">
        <f>IFERROR(__xludf.DUMMYFUNCTION("""COMPUTED_VALUE"""),"")</f>
        <v/>
      </c>
      <c r="H16716" s="42">
        <f t="shared" si="1"/>
        <v>3345</v>
      </c>
    </row>
    <row r="16717" ht="22.5" customHeight="1">
      <c r="B16717" s="42" t="str">
        <f>IFERROR(__xludf.DUMMYFUNCTION("""COMPUTED_VALUE"""),"")</f>
        <v/>
      </c>
      <c r="C16717" s="42" t="str">
        <f>IFERROR(__xludf.DUMMYFUNCTION("""COMPUTED_VALUE"""),"")</f>
        <v/>
      </c>
      <c r="D16717" s="42"/>
      <c r="E16717" s="42"/>
      <c r="F16717" s="48" t="str">
        <f>IFERROR(__xludf.DUMMYFUNCTION("""COMPUTED_VALUE"""),"")</f>
        <v/>
      </c>
      <c r="G16717" s="42" t="str">
        <f>IFERROR(__xludf.DUMMYFUNCTION("""COMPUTED_VALUE"""),"")</f>
        <v/>
      </c>
      <c r="H16717" s="42">
        <f t="shared" si="1"/>
        <v>3345</v>
      </c>
    </row>
    <row r="16718" ht="22.5" customHeight="1">
      <c r="B16718" s="42" t="str">
        <f>IFERROR(__xludf.DUMMYFUNCTION("""COMPUTED_VALUE"""),"")</f>
        <v/>
      </c>
      <c r="C16718" s="42" t="str">
        <f>IFERROR(__xludf.DUMMYFUNCTION("""COMPUTED_VALUE"""),"")</f>
        <v/>
      </c>
      <c r="D16718" s="42"/>
      <c r="E16718" s="42"/>
      <c r="F16718" s="48" t="str">
        <f>IFERROR(__xludf.DUMMYFUNCTION("""COMPUTED_VALUE"""),"")</f>
        <v/>
      </c>
      <c r="G16718" s="42" t="str">
        <f>IFERROR(__xludf.DUMMYFUNCTION("""COMPUTED_VALUE"""),"")</f>
        <v/>
      </c>
      <c r="H16718" s="42">
        <f t="shared" si="1"/>
        <v>3345</v>
      </c>
    </row>
    <row r="16719" ht="22.5" customHeight="1">
      <c r="B16719" s="42" t="str">
        <f>IFERROR(__xludf.DUMMYFUNCTION("""COMPUTED_VALUE"""),"")</f>
        <v/>
      </c>
      <c r="C16719" s="42" t="str">
        <f>IFERROR(__xludf.DUMMYFUNCTION("""COMPUTED_VALUE"""),"")</f>
        <v/>
      </c>
      <c r="D16719" s="42"/>
      <c r="E16719" s="42"/>
      <c r="F16719" s="48" t="str">
        <f>IFERROR(__xludf.DUMMYFUNCTION("""COMPUTED_VALUE"""),"")</f>
        <v/>
      </c>
      <c r="G16719" s="42" t="str">
        <f>IFERROR(__xludf.DUMMYFUNCTION("""COMPUTED_VALUE"""),"")</f>
        <v/>
      </c>
      <c r="H16719" s="42">
        <f t="shared" si="1"/>
        <v>3345</v>
      </c>
    </row>
    <row r="16720" ht="22.5" customHeight="1">
      <c r="B16720" s="42" t="str">
        <f>IFERROR(__xludf.DUMMYFUNCTION("""COMPUTED_VALUE"""),"")</f>
        <v/>
      </c>
      <c r="C16720" s="42" t="str">
        <f>IFERROR(__xludf.DUMMYFUNCTION("""COMPUTED_VALUE"""),"")</f>
        <v/>
      </c>
      <c r="D16720" s="42"/>
      <c r="E16720" s="42"/>
      <c r="F16720" s="48" t="str">
        <f>IFERROR(__xludf.DUMMYFUNCTION("""COMPUTED_VALUE"""),"")</f>
        <v/>
      </c>
      <c r="G16720" s="42" t="str">
        <f>IFERROR(__xludf.DUMMYFUNCTION("""COMPUTED_VALUE"""),"")</f>
        <v/>
      </c>
      <c r="H16720" s="42">
        <f t="shared" si="1"/>
        <v>3345</v>
      </c>
    </row>
    <row r="16721" ht="22.5" customHeight="1">
      <c r="B16721" s="42" t="str">
        <f>IFERROR(__xludf.DUMMYFUNCTION("""COMPUTED_VALUE"""),"")</f>
        <v/>
      </c>
      <c r="C16721" s="42" t="str">
        <f>IFERROR(__xludf.DUMMYFUNCTION("""COMPUTED_VALUE"""),"")</f>
        <v/>
      </c>
      <c r="D16721" s="42"/>
      <c r="E16721" s="42"/>
      <c r="F16721" s="48" t="str">
        <f>IFERROR(__xludf.DUMMYFUNCTION("""COMPUTED_VALUE"""),"")</f>
        <v/>
      </c>
      <c r="G16721" s="42" t="str">
        <f>IFERROR(__xludf.DUMMYFUNCTION("""COMPUTED_VALUE"""),"")</f>
        <v/>
      </c>
      <c r="H16721" s="42">
        <f t="shared" si="1"/>
        <v>3345</v>
      </c>
    </row>
    <row r="16722" ht="22.5" customHeight="1">
      <c r="B16722" s="42" t="str">
        <f>IFERROR(__xludf.DUMMYFUNCTION("""COMPUTED_VALUE"""),"")</f>
        <v/>
      </c>
      <c r="C16722" s="42" t="str">
        <f>IFERROR(__xludf.DUMMYFUNCTION("""COMPUTED_VALUE"""),"")</f>
        <v/>
      </c>
      <c r="D16722" s="42"/>
      <c r="E16722" s="42"/>
      <c r="F16722" s="48" t="str">
        <f>IFERROR(__xludf.DUMMYFUNCTION("""COMPUTED_VALUE"""),"")</f>
        <v/>
      </c>
      <c r="G16722" s="42" t="str">
        <f>IFERROR(__xludf.DUMMYFUNCTION("""COMPUTED_VALUE"""),"")</f>
        <v/>
      </c>
      <c r="H16722" s="42">
        <f t="shared" si="1"/>
        <v>3345</v>
      </c>
    </row>
    <row r="16723" ht="22.5" customHeight="1">
      <c r="B16723" s="42" t="str">
        <f>IFERROR(__xludf.DUMMYFUNCTION("""COMPUTED_VALUE"""),"")</f>
        <v/>
      </c>
      <c r="C16723" s="42" t="str">
        <f>IFERROR(__xludf.DUMMYFUNCTION("""COMPUTED_VALUE"""),"")</f>
        <v/>
      </c>
      <c r="D16723" s="42"/>
      <c r="E16723" s="42"/>
      <c r="F16723" s="48" t="str">
        <f>IFERROR(__xludf.DUMMYFUNCTION("""COMPUTED_VALUE"""),"")</f>
        <v/>
      </c>
      <c r="G16723" s="42" t="str">
        <f>IFERROR(__xludf.DUMMYFUNCTION("""COMPUTED_VALUE"""),"")</f>
        <v/>
      </c>
      <c r="H16723" s="42">
        <f t="shared" si="1"/>
        <v>3345</v>
      </c>
    </row>
    <row r="16724" ht="22.5" customHeight="1">
      <c r="B16724" s="42" t="str">
        <f>IFERROR(__xludf.DUMMYFUNCTION("""COMPUTED_VALUE"""),"")</f>
        <v/>
      </c>
      <c r="C16724" s="42" t="str">
        <f>IFERROR(__xludf.DUMMYFUNCTION("""COMPUTED_VALUE"""),"")</f>
        <v/>
      </c>
      <c r="D16724" s="42"/>
      <c r="E16724" s="42"/>
      <c r="F16724" s="48" t="str">
        <f>IFERROR(__xludf.DUMMYFUNCTION("""COMPUTED_VALUE"""),"")</f>
        <v/>
      </c>
      <c r="G16724" s="42" t="str">
        <f>IFERROR(__xludf.DUMMYFUNCTION("""COMPUTED_VALUE"""),"")</f>
        <v/>
      </c>
      <c r="H16724" s="42">
        <f t="shared" si="1"/>
        <v>3345</v>
      </c>
    </row>
    <row r="16725" ht="22.5" customHeight="1">
      <c r="B16725" s="42" t="str">
        <f>IFERROR(__xludf.DUMMYFUNCTION("""COMPUTED_VALUE"""),"")</f>
        <v/>
      </c>
      <c r="C16725" s="42" t="str">
        <f>IFERROR(__xludf.DUMMYFUNCTION("""COMPUTED_VALUE"""),"")</f>
        <v/>
      </c>
      <c r="D16725" s="42"/>
      <c r="E16725" s="42"/>
      <c r="F16725" s="48" t="str">
        <f>IFERROR(__xludf.DUMMYFUNCTION("""COMPUTED_VALUE"""),"")</f>
        <v/>
      </c>
      <c r="G16725" s="42" t="str">
        <f>IFERROR(__xludf.DUMMYFUNCTION("""COMPUTED_VALUE"""),"")</f>
        <v/>
      </c>
      <c r="H16725" s="42">
        <f t="shared" si="1"/>
        <v>3345</v>
      </c>
    </row>
    <row r="16726" ht="22.5" customHeight="1">
      <c r="B16726" s="42" t="str">
        <f>IFERROR(__xludf.DUMMYFUNCTION("""COMPUTED_VALUE"""),"")</f>
        <v/>
      </c>
      <c r="C16726" s="42" t="str">
        <f>IFERROR(__xludf.DUMMYFUNCTION("""COMPUTED_VALUE"""),"")</f>
        <v/>
      </c>
      <c r="D16726" s="42"/>
      <c r="E16726" s="42"/>
      <c r="F16726" s="48" t="str">
        <f>IFERROR(__xludf.DUMMYFUNCTION("""COMPUTED_VALUE"""),"")</f>
        <v/>
      </c>
      <c r="G16726" s="42" t="str">
        <f>IFERROR(__xludf.DUMMYFUNCTION("""COMPUTED_VALUE"""),"")</f>
        <v/>
      </c>
      <c r="H16726" s="42">
        <f t="shared" si="1"/>
        <v>3345</v>
      </c>
    </row>
    <row r="16727" ht="22.5" customHeight="1">
      <c r="B16727" s="42" t="str">
        <f>IFERROR(__xludf.DUMMYFUNCTION("""COMPUTED_VALUE"""),"")</f>
        <v/>
      </c>
      <c r="C16727" s="42" t="str">
        <f>IFERROR(__xludf.DUMMYFUNCTION("""COMPUTED_VALUE"""),"")</f>
        <v/>
      </c>
      <c r="D16727" s="42"/>
      <c r="E16727" s="42"/>
      <c r="F16727" s="48" t="str">
        <f>IFERROR(__xludf.DUMMYFUNCTION("""COMPUTED_VALUE"""),"")</f>
        <v/>
      </c>
      <c r="G16727" s="42" t="str">
        <f>IFERROR(__xludf.DUMMYFUNCTION("""COMPUTED_VALUE"""),"")</f>
        <v/>
      </c>
      <c r="H16727" s="42">
        <f t="shared" si="1"/>
        <v>3345</v>
      </c>
    </row>
    <row r="16728" ht="22.5" customHeight="1">
      <c r="B16728" s="42" t="str">
        <f>IFERROR(__xludf.DUMMYFUNCTION("""COMPUTED_VALUE"""),"")</f>
        <v/>
      </c>
      <c r="C16728" s="42" t="str">
        <f>IFERROR(__xludf.DUMMYFUNCTION("""COMPUTED_VALUE"""),"")</f>
        <v/>
      </c>
      <c r="D16728" s="42"/>
      <c r="E16728" s="42"/>
      <c r="F16728" s="48" t="str">
        <f>IFERROR(__xludf.DUMMYFUNCTION("""COMPUTED_VALUE"""),"")</f>
        <v/>
      </c>
      <c r="G16728" s="42" t="str">
        <f>IFERROR(__xludf.DUMMYFUNCTION("""COMPUTED_VALUE"""),"")</f>
        <v/>
      </c>
      <c r="H16728" s="42">
        <f t="shared" si="1"/>
        <v>3345</v>
      </c>
    </row>
    <row r="16729" ht="22.5" customHeight="1">
      <c r="B16729" s="42" t="str">
        <f>IFERROR(__xludf.DUMMYFUNCTION("""COMPUTED_VALUE"""),"")</f>
        <v/>
      </c>
      <c r="C16729" s="42" t="str">
        <f>IFERROR(__xludf.DUMMYFUNCTION("""COMPUTED_VALUE"""),"")</f>
        <v/>
      </c>
      <c r="D16729" s="42"/>
      <c r="E16729" s="42"/>
      <c r="F16729" s="48" t="str">
        <f>IFERROR(__xludf.DUMMYFUNCTION("""COMPUTED_VALUE"""),"")</f>
        <v/>
      </c>
      <c r="G16729" s="42" t="str">
        <f>IFERROR(__xludf.DUMMYFUNCTION("""COMPUTED_VALUE"""),"")</f>
        <v/>
      </c>
      <c r="H16729" s="42">
        <f t="shared" si="1"/>
        <v>3345</v>
      </c>
    </row>
    <row r="16730" ht="22.5" customHeight="1">
      <c r="B16730" s="42" t="str">
        <f>IFERROR(__xludf.DUMMYFUNCTION("""COMPUTED_VALUE"""),"")</f>
        <v/>
      </c>
      <c r="C16730" s="42" t="str">
        <f>IFERROR(__xludf.DUMMYFUNCTION("""COMPUTED_VALUE"""),"")</f>
        <v/>
      </c>
      <c r="D16730" s="42"/>
      <c r="E16730" s="42"/>
      <c r="F16730" s="48" t="str">
        <f>IFERROR(__xludf.DUMMYFUNCTION("""COMPUTED_VALUE"""),"")</f>
        <v/>
      </c>
      <c r="G16730" s="42" t="str">
        <f>IFERROR(__xludf.DUMMYFUNCTION("""COMPUTED_VALUE"""),"")</f>
        <v/>
      </c>
      <c r="H16730" s="42">
        <f t="shared" si="1"/>
        <v>3345</v>
      </c>
    </row>
    <row r="16731" ht="22.5" customHeight="1">
      <c r="B16731" s="42" t="str">
        <f>IFERROR(__xludf.DUMMYFUNCTION("""COMPUTED_VALUE"""),"")</f>
        <v/>
      </c>
      <c r="C16731" s="42" t="str">
        <f>IFERROR(__xludf.DUMMYFUNCTION("""COMPUTED_VALUE"""),"")</f>
        <v/>
      </c>
      <c r="D16731" s="42"/>
      <c r="E16731" s="42"/>
      <c r="F16731" s="48" t="str">
        <f>IFERROR(__xludf.DUMMYFUNCTION("""COMPUTED_VALUE"""),"")</f>
        <v/>
      </c>
      <c r="G16731" s="42" t="str">
        <f>IFERROR(__xludf.DUMMYFUNCTION("""COMPUTED_VALUE"""),"")</f>
        <v/>
      </c>
      <c r="H16731" s="42">
        <f t="shared" si="1"/>
        <v>3345</v>
      </c>
    </row>
    <row r="16732" ht="22.5" customHeight="1">
      <c r="B16732" s="42" t="str">
        <f>IFERROR(__xludf.DUMMYFUNCTION("""COMPUTED_VALUE"""),"")</f>
        <v/>
      </c>
      <c r="C16732" s="42" t="str">
        <f>IFERROR(__xludf.DUMMYFUNCTION("""COMPUTED_VALUE"""),"")</f>
        <v/>
      </c>
      <c r="D16732" s="42"/>
      <c r="E16732" s="42"/>
      <c r="F16732" s="48" t="str">
        <f>IFERROR(__xludf.DUMMYFUNCTION("""COMPUTED_VALUE"""),"")</f>
        <v/>
      </c>
      <c r="G16732" s="42" t="str">
        <f>IFERROR(__xludf.DUMMYFUNCTION("""COMPUTED_VALUE"""),"")</f>
        <v/>
      </c>
      <c r="H16732" s="42">
        <f t="shared" si="1"/>
        <v>3345</v>
      </c>
    </row>
    <row r="16733" ht="22.5" customHeight="1">
      <c r="B16733" s="42" t="str">
        <f>IFERROR(__xludf.DUMMYFUNCTION("""COMPUTED_VALUE"""),"")</f>
        <v/>
      </c>
      <c r="C16733" s="42" t="str">
        <f>IFERROR(__xludf.DUMMYFUNCTION("""COMPUTED_VALUE"""),"")</f>
        <v/>
      </c>
      <c r="D16733" s="42"/>
      <c r="E16733" s="42"/>
      <c r="F16733" s="48" t="str">
        <f>IFERROR(__xludf.DUMMYFUNCTION("""COMPUTED_VALUE"""),"")</f>
        <v/>
      </c>
      <c r="G16733" s="42" t="str">
        <f>IFERROR(__xludf.DUMMYFUNCTION("""COMPUTED_VALUE"""),"")</f>
        <v/>
      </c>
      <c r="H16733" s="42">
        <f t="shared" si="1"/>
        <v>3345</v>
      </c>
    </row>
    <row r="16734" ht="22.5" customHeight="1">
      <c r="B16734" s="42" t="str">
        <f>IFERROR(__xludf.DUMMYFUNCTION("""COMPUTED_VALUE"""),"")</f>
        <v/>
      </c>
      <c r="C16734" s="42" t="str">
        <f>IFERROR(__xludf.DUMMYFUNCTION("""COMPUTED_VALUE"""),"")</f>
        <v/>
      </c>
      <c r="D16734" s="42"/>
      <c r="E16734" s="42"/>
      <c r="F16734" s="48" t="str">
        <f>IFERROR(__xludf.DUMMYFUNCTION("""COMPUTED_VALUE"""),"")</f>
        <v/>
      </c>
      <c r="G16734" s="42" t="str">
        <f>IFERROR(__xludf.DUMMYFUNCTION("""COMPUTED_VALUE"""),"")</f>
        <v/>
      </c>
      <c r="H16734" s="42">
        <f t="shared" si="1"/>
        <v>3345</v>
      </c>
    </row>
    <row r="16735" ht="22.5" customHeight="1">
      <c r="B16735" s="42" t="str">
        <f>IFERROR(__xludf.DUMMYFUNCTION("""COMPUTED_VALUE"""),"")</f>
        <v/>
      </c>
      <c r="C16735" s="42" t="str">
        <f>IFERROR(__xludf.DUMMYFUNCTION("""COMPUTED_VALUE"""),"")</f>
        <v/>
      </c>
      <c r="D16735" s="42"/>
      <c r="E16735" s="42"/>
      <c r="F16735" s="48" t="str">
        <f>IFERROR(__xludf.DUMMYFUNCTION("""COMPUTED_VALUE"""),"")</f>
        <v/>
      </c>
      <c r="G16735" s="42" t="str">
        <f>IFERROR(__xludf.DUMMYFUNCTION("""COMPUTED_VALUE"""),"")</f>
        <v/>
      </c>
      <c r="H16735" s="42">
        <f t="shared" si="1"/>
        <v>3345</v>
      </c>
    </row>
    <row r="16736" ht="22.5" customHeight="1">
      <c r="B16736" s="42" t="str">
        <f>IFERROR(__xludf.DUMMYFUNCTION("""COMPUTED_VALUE"""),"")</f>
        <v/>
      </c>
      <c r="C16736" s="42" t="str">
        <f>IFERROR(__xludf.DUMMYFUNCTION("""COMPUTED_VALUE"""),"")</f>
        <v/>
      </c>
      <c r="D16736" s="42"/>
      <c r="E16736" s="42"/>
      <c r="F16736" s="48" t="str">
        <f>IFERROR(__xludf.DUMMYFUNCTION("""COMPUTED_VALUE"""),"")</f>
        <v/>
      </c>
      <c r="G16736" s="42" t="str">
        <f>IFERROR(__xludf.DUMMYFUNCTION("""COMPUTED_VALUE"""),"")</f>
        <v/>
      </c>
      <c r="H16736" s="42">
        <f t="shared" si="1"/>
        <v>3345</v>
      </c>
    </row>
    <row r="16737" ht="22.5" customHeight="1">
      <c r="B16737" s="42" t="str">
        <f>IFERROR(__xludf.DUMMYFUNCTION("""COMPUTED_VALUE"""),"")</f>
        <v/>
      </c>
      <c r="C16737" s="42" t="str">
        <f>IFERROR(__xludf.DUMMYFUNCTION("""COMPUTED_VALUE"""),"")</f>
        <v/>
      </c>
      <c r="D16737" s="42"/>
      <c r="E16737" s="42"/>
      <c r="F16737" s="48" t="str">
        <f>IFERROR(__xludf.DUMMYFUNCTION("""COMPUTED_VALUE"""),"")</f>
        <v/>
      </c>
      <c r="G16737" s="42" t="str">
        <f>IFERROR(__xludf.DUMMYFUNCTION("""COMPUTED_VALUE"""),"")</f>
        <v/>
      </c>
      <c r="H16737" s="42">
        <f t="shared" si="1"/>
        <v>3345</v>
      </c>
    </row>
    <row r="16738" ht="22.5" customHeight="1">
      <c r="B16738" s="42" t="str">
        <f>IFERROR(__xludf.DUMMYFUNCTION("""COMPUTED_VALUE"""),"")</f>
        <v/>
      </c>
      <c r="C16738" s="42" t="str">
        <f>IFERROR(__xludf.DUMMYFUNCTION("""COMPUTED_VALUE"""),"")</f>
        <v/>
      </c>
      <c r="D16738" s="42"/>
      <c r="E16738" s="42"/>
      <c r="F16738" s="48" t="str">
        <f>IFERROR(__xludf.DUMMYFUNCTION("""COMPUTED_VALUE"""),"")</f>
        <v/>
      </c>
      <c r="G16738" s="42" t="str">
        <f>IFERROR(__xludf.DUMMYFUNCTION("""COMPUTED_VALUE"""),"")</f>
        <v/>
      </c>
      <c r="H16738" s="42">
        <f t="shared" si="1"/>
        <v>3345</v>
      </c>
    </row>
    <row r="16739" ht="22.5" customHeight="1">
      <c r="B16739" s="42" t="str">
        <f>IFERROR(__xludf.DUMMYFUNCTION("""COMPUTED_VALUE"""),"")</f>
        <v/>
      </c>
      <c r="C16739" s="42" t="str">
        <f>IFERROR(__xludf.DUMMYFUNCTION("""COMPUTED_VALUE"""),"")</f>
        <v/>
      </c>
      <c r="D16739" s="42"/>
      <c r="E16739" s="42"/>
      <c r="F16739" s="48" t="str">
        <f>IFERROR(__xludf.DUMMYFUNCTION("""COMPUTED_VALUE"""),"")</f>
        <v/>
      </c>
      <c r="G16739" s="42" t="str">
        <f>IFERROR(__xludf.DUMMYFUNCTION("""COMPUTED_VALUE"""),"")</f>
        <v/>
      </c>
      <c r="H16739" s="42">
        <f t="shared" si="1"/>
        <v>3345</v>
      </c>
    </row>
    <row r="16740" ht="22.5" customHeight="1">
      <c r="B16740" s="42" t="str">
        <f>IFERROR(__xludf.DUMMYFUNCTION("""COMPUTED_VALUE"""),"")</f>
        <v/>
      </c>
      <c r="C16740" s="42" t="str">
        <f>IFERROR(__xludf.DUMMYFUNCTION("""COMPUTED_VALUE"""),"")</f>
        <v/>
      </c>
      <c r="D16740" s="42"/>
      <c r="E16740" s="42"/>
      <c r="F16740" s="48" t="str">
        <f>IFERROR(__xludf.DUMMYFUNCTION("""COMPUTED_VALUE"""),"")</f>
        <v/>
      </c>
      <c r="G16740" s="42" t="str">
        <f>IFERROR(__xludf.DUMMYFUNCTION("""COMPUTED_VALUE"""),"")</f>
        <v/>
      </c>
      <c r="H16740" s="42">
        <f t="shared" si="1"/>
        <v>3345</v>
      </c>
    </row>
    <row r="16741" ht="22.5" customHeight="1">
      <c r="B16741" s="42" t="str">
        <f>IFERROR(__xludf.DUMMYFUNCTION("""COMPUTED_VALUE"""),"")</f>
        <v/>
      </c>
      <c r="C16741" s="42" t="str">
        <f>IFERROR(__xludf.DUMMYFUNCTION("""COMPUTED_VALUE"""),"")</f>
        <v/>
      </c>
      <c r="D16741" s="42"/>
      <c r="E16741" s="42"/>
      <c r="F16741" s="48" t="str">
        <f>IFERROR(__xludf.DUMMYFUNCTION("""COMPUTED_VALUE"""),"")</f>
        <v/>
      </c>
      <c r="G16741" s="42" t="str">
        <f>IFERROR(__xludf.DUMMYFUNCTION("""COMPUTED_VALUE"""),"")</f>
        <v/>
      </c>
      <c r="H16741" s="42">
        <f t="shared" si="1"/>
        <v>3345</v>
      </c>
    </row>
    <row r="16742" ht="22.5" customHeight="1">
      <c r="B16742" s="42" t="str">
        <f>IFERROR(__xludf.DUMMYFUNCTION("""COMPUTED_VALUE"""),"")</f>
        <v/>
      </c>
      <c r="C16742" s="42" t="str">
        <f>IFERROR(__xludf.DUMMYFUNCTION("""COMPUTED_VALUE"""),"")</f>
        <v/>
      </c>
      <c r="D16742" s="42"/>
      <c r="E16742" s="42"/>
      <c r="F16742" s="48" t="str">
        <f>IFERROR(__xludf.DUMMYFUNCTION("""COMPUTED_VALUE"""),"")</f>
        <v/>
      </c>
      <c r="G16742" s="42" t="str">
        <f>IFERROR(__xludf.DUMMYFUNCTION("""COMPUTED_VALUE"""),"")</f>
        <v/>
      </c>
      <c r="H16742" s="42">
        <f t="shared" si="1"/>
        <v>3345</v>
      </c>
    </row>
    <row r="16743" ht="22.5" customHeight="1">
      <c r="B16743" s="42" t="str">
        <f>IFERROR(__xludf.DUMMYFUNCTION("""COMPUTED_VALUE"""),"")</f>
        <v/>
      </c>
      <c r="C16743" s="42" t="str">
        <f>IFERROR(__xludf.DUMMYFUNCTION("""COMPUTED_VALUE"""),"")</f>
        <v/>
      </c>
      <c r="D16743" s="42"/>
      <c r="E16743" s="42"/>
      <c r="F16743" s="48" t="str">
        <f>IFERROR(__xludf.DUMMYFUNCTION("""COMPUTED_VALUE"""),"")</f>
        <v/>
      </c>
      <c r="G16743" s="42" t="str">
        <f>IFERROR(__xludf.DUMMYFUNCTION("""COMPUTED_VALUE"""),"")</f>
        <v/>
      </c>
      <c r="H16743" s="42">
        <f t="shared" si="1"/>
        <v>3345</v>
      </c>
    </row>
    <row r="16744" ht="22.5" customHeight="1">
      <c r="B16744" s="42" t="str">
        <f>IFERROR(__xludf.DUMMYFUNCTION("""COMPUTED_VALUE"""),"")</f>
        <v/>
      </c>
      <c r="C16744" s="42" t="str">
        <f>IFERROR(__xludf.DUMMYFUNCTION("""COMPUTED_VALUE"""),"")</f>
        <v/>
      </c>
      <c r="D16744" s="42"/>
      <c r="E16744" s="42"/>
      <c r="F16744" s="48" t="str">
        <f>IFERROR(__xludf.DUMMYFUNCTION("""COMPUTED_VALUE"""),"")</f>
        <v/>
      </c>
      <c r="G16744" s="42" t="str">
        <f>IFERROR(__xludf.DUMMYFUNCTION("""COMPUTED_VALUE"""),"")</f>
        <v/>
      </c>
      <c r="H16744" s="42">
        <f t="shared" si="1"/>
        <v>3345</v>
      </c>
    </row>
    <row r="16745" ht="22.5" customHeight="1">
      <c r="B16745" s="42" t="str">
        <f>IFERROR(__xludf.DUMMYFUNCTION("""COMPUTED_VALUE"""),"")</f>
        <v/>
      </c>
      <c r="C16745" s="42" t="str">
        <f>IFERROR(__xludf.DUMMYFUNCTION("""COMPUTED_VALUE"""),"")</f>
        <v/>
      </c>
      <c r="D16745" s="42"/>
      <c r="E16745" s="42"/>
      <c r="F16745" s="48" t="str">
        <f>IFERROR(__xludf.DUMMYFUNCTION("""COMPUTED_VALUE"""),"")</f>
        <v/>
      </c>
      <c r="G16745" s="42" t="str">
        <f>IFERROR(__xludf.DUMMYFUNCTION("""COMPUTED_VALUE"""),"")</f>
        <v/>
      </c>
      <c r="H16745" s="42">
        <f t="shared" si="1"/>
        <v>3345</v>
      </c>
    </row>
    <row r="16746" ht="22.5" customHeight="1">
      <c r="B16746" s="42" t="str">
        <f>IFERROR(__xludf.DUMMYFUNCTION("""COMPUTED_VALUE"""),"")</f>
        <v/>
      </c>
      <c r="C16746" s="42" t="str">
        <f>IFERROR(__xludf.DUMMYFUNCTION("""COMPUTED_VALUE"""),"")</f>
        <v/>
      </c>
      <c r="D16746" s="42"/>
      <c r="E16746" s="42"/>
      <c r="F16746" s="48" t="str">
        <f>IFERROR(__xludf.DUMMYFUNCTION("""COMPUTED_VALUE"""),"")</f>
        <v/>
      </c>
      <c r="G16746" s="42" t="str">
        <f>IFERROR(__xludf.DUMMYFUNCTION("""COMPUTED_VALUE"""),"")</f>
        <v/>
      </c>
      <c r="H16746" s="42">
        <f t="shared" si="1"/>
        <v>3345</v>
      </c>
    </row>
    <row r="16747" ht="22.5" customHeight="1">
      <c r="B16747" s="42" t="str">
        <f>IFERROR(__xludf.DUMMYFUNCTION("""COMPUTED_VALUE"""),"")</f>
        <v/>
      </c>
      <c r="C16747" s="42" t="str">
        <f>IFERROR(__xludf.DUMMYFUNCTION("""COMPUTED_VALUE"""),"")</f>
        <v/>
      </c>
      <c r="D16747" s="42"/>
      <c r="E16747" s="42"/>
      <c r="F16747" s="48" t="str">
        <f>IFERROR(__xludf.DUMMYFUNCTION("""COMPUTED_VALUE"""),"")</f>
        <v/>
      </c>
      <c r="G16747" s="42" t="str">
        <f>IFERROR(__xludf.DUMMYFUNCTION("""COMPUTED_VALUE"""),"")</f>
        <v/>
      </c>
      <c r="H16747" s="42">
        <f t="shared" si="1"/>
        <v>3345</v>
      </c>
    </row>
    <row r="16748" ht="22.5" customHeight="1">
      <c r="B16748" s="42" t="str">
        <f>IFERROR(__xludf.DUMMYFUNCTION("""COMPUTED_VALUE"""),"")</f>
        <v/>
      </c>
      <c r="C16748" s="42" t="str">
        <f>IFERROR(__xludf.DUMMYFUNCTION("""COMPUTED_VALUE"""),"")</f>
        <v/>
      </c>
      <c r="D16748" s="42"/>
      <c r="E16748" s="42"/>
      <c r="F16748" s="48" t="str">
        <f>IFERROR(__xludf.DUMMYFUNCTION("""COMPUTED_VALUE"""),"")</f>
        <v/>
      </c>
      <c r="G16748" s="42" t="str">
        <f>IFERROR(__xludf.DUMMYFUNCTION("""COMPUTED_VALUE"""),"")</f>
        <v/>
      </c>
      <c r="H16748" s="42">
        <f t="shared" si="1"/>
        <v>3345</v>
      </c>
    </row>
    <row r="16749" ht="22.5" customHeight="1">
      <c r="B16749" s="42" t="str">
        <f>IFERROR(__xludf.DUMMYFUNCTION("""COMPUTED_VALUE"""),"")</f>
        <v/>
      </c>
      <c r="C16749" s="42" t="str">
        <f>IFERROR(__xludf.DUMMYFUNCTION("""COMPUTED_VALUE"""),"")</f>
        <v/>
      </c>
      <c r="D16749" s="42"/>
      <c r="E16749" s="42"/>
      <c r="F16749" s="48" t="str">
        <f>IFERROR(__xludf.DUMMYFUNCTION("""COMPUTED_VALUE"""),"")</f>
        <v/>
      </c>
      <c r="G16749" s="42" t="str">
        <f>IFERROR(__xludf.DUMMYFUNCTION("""COMPUTED_VALUE"""),"")</f>
        <v/>
      </c>
      <c r="H16749" s="42">
        <f t="shared" si="1"/>
        <v>3345</v>
      </c>
    </row>
    <row r="16750" ht="22.5" customHeight="1">
      <c r="B16750" s="42" t="str">
        <f>IFERROR(__xludf.DUMMYFUNCTION("""COMPUTED_VALUE"""),"")</f>
        <v/>
      </c>
      <c r="C16750" s="42" t="str">
        <f>IFERROR(__xludf.DUMMYFUNCTION("""COMPUTED_VALUE"""),"")</f>
        <v/>
      </c>
      <c r="D16750" s="42"/>
      <c r="E16750" s="42"/>
      <c r="F16750" s="48" t="str">
        <f>IFERROR(__xludf.DUMMYFUNCTION("""COMPUTED_VALUE"""),"")</f>
        <v/>
      </c>
      <c r="G16750" s="42" t="str">
        <f>IFERROR(__xludf.DUMMYFUNCTION("""COMPUTED_VALUE"""),"")</f>
        <v/>
      </c>
      <c r="H16750" s="42">
        <f t="shared" si="1"/>
        <v>3345</v>
      </c>
    </row>
    <row r="16751" ht="22.5" customHeight="1">
      <c r="B16751" s="42" t="str">
        <f>IFERROR(__xludf.DUMMYFUNCTION("""COMPUTED_VALUE"""),"")</f>
        <v/>
      </c>
      <c r="C16751" s="42" t="str">
        <f>IFERROR(__xludf.DUMMYFUNCTION("""COMPUTED_VALUE"""),"")</f>
        <v/>
      </c>
      <c r="D16751" s="42"/>
      <c r="E16751" s="42"/>
      <c r="F16751" s="48" t="str">
        <f>IFERROR(__xludf.DUMMYFUNCTION("""COMPUTED_VALUE"""),"")</f>
        <v/>
      </c>
      <c r="G16751" s="42" t="str">
        <f>IFERROR(__xludf.DUMMYFUNCTION("""COMPUTED_VALUE"""),"")</f>
        <v/>
      </c>
      <c r="H16751" s="42">
        <f t="shared" si="1"/>
        <v>3345</v>
      </c>
    </row>
    <row r="16752" ht="22.5" customHeight="1">
      <c r="B16752" s="42" t="str">
        <f>IFERROR(__xludf.DUMMYFUNCTION("""COMPUTED_VALUE"""),"")</f>
        <v/>
      </c>
      <c r="C16752" s="42" t="str">
        <f>IFERROR(__xludf.DUMMYFUNCTION("""COMPUTED_VALUE"""),"")</f>
        <v/>
      </c>
      <c r="D16752" s="42"/>
      <c r="E16752" s="42"/>
      <c r="F16752" s="48" t="str">
        <f>IFERROR(__xludf.DUMMYFUNCTION("""COMPUTED_VALUE"""),"")</f>
        <v/>
      </c>
      <c r="G16752" s="42" t="str">
        <f>IFERROR(__xludf.DUMMYFUNCTION("""COMPUTED_VALUE"""),"")</f>
        <v/>
      </c>
      <c r="H16752" s="42">
        <f t="shared" si="1"/>
        <v>3345</v>
      </c>
    </row>
    <row r="16753" ht="22.5" customHeight="1">
      <c r="B16753" s="42" t="str">
        <f>IFERROR(__xludf.DUMMYFUNCTION("""COMPUTED_VALUE"""),"")</f>
        <v/>
      </c>
      <c r="C16753" s="42" t="str">
        <f>IFERROR(__xludf.DUMMYFUNCTION("""COMPUTED_VALUE"""),"")</f>
        <v/>
      </c>
      <c r="D16753" s="42"/>
      <c r="E16753" s="42"/>
      <c r="F16753" s="48" t="str">
        <f>IFERROR(__xludf.DUMMYFUNCTION("""COMPUTED_VALUE"""),"")</f>
        <v/>
      </c>
      <c r="G16753" s="42" t="str">
        <f>IFERROR(__xludf.DUMMYFUNCTION("""COMPUTED_VALUE"""),"")</f>
        <v/>
      </c>
      <c r="H16753" s="42">
        <f t="shared" si="1"/>
        <v>3345</v>
      </c>
    </row>
    <row r="16754" ht="22.5" customHeight="1">
      <c r="B16754" s="42" t="str">
        <f>IFERROR(__xludf.DUMMYFUNCTION("""COMPUTED_VALUE"""),"")</f>
        <v/>
      </c>
      <c r="C16754" s="42" t="str">
        <f>IFERROR(__xludf.DUMMYFUNCTION("""COMPUTED_VALUE"""),"")</f>
        <v/>
      </c>
      <c r="D16754" s="42"/>
      <c r="E16754" s="42"/>
      <c r="F16754" s="48" t="str">
        <f>IFERROR(__xludf.DUMMYFUNCTION("""COMPUTED_VALUE"""),"")</f>
        <v/>
      </c>
      <c r="G16754" s="42" t="str">
        <f>IFERROR(__xludf.DUMMYFUNCTION("""COMPUTED_VALUE"""),"")</f>
        <v/>
      </c>
      <c r="H16754" s="42">
        <f t="shared" si="1"/>
        <v>3345</v>
      </c>
    </row>
    <row r="16755" ht="22.5" customHeight="1">
      <c r="B16755" s="42" t="str">
        <f>IFERROR(__xludf.DUMMYFUNCTION("""COMPUTED_VALUE"""),"")</f>
        <v/>
      </c>
      <c r="C16755" s="42" t="str">
        <f>IFERROR(__xludf.DUMMYFUNCTION("""COMPUTED_VALUE"""),"")</f>
        <v/>
      </c>
      <c r="D16755" s="42"/>
      <c r="E16755" s="42"/>
      <c r="F16755" s="48" t="str">
        <f>IFERROR(__xludf.DUMMYFUNCTION("""COMPUTED_VALUE"""),"")</f>
        <v/>
      </c>
      <c r="G16755" s="42" t="str">
        <f>IFERROR(__xludf.DUMMYFUNCTION("""COMPUTED_VALUE"""),"")</f>
        <v/>
      </c>
      <c r="H16755" s="42">
        <f t="shared" si="1"/>
        <v>3345</v>
      </c>
    </row>
    <row r="16756" ht="22.5" customHeight="1">
      <c r="B16756" s="42" t="str">
        <f>IFERROR(__xludf.DUMMYFUNCTION("""COMPUTED_VALUE"""),"")</f>
        <v/>
      </c>
      <c r="C16756" s="42" t="str">
        <f>IFERROR(__xludf.DUMMYFUNCTION("""COMPUTED_VALUE"""),"")</f>
        <v/>
      </c>
      <c r="D16756" s="42"/>
      <c r="E16756" s="42"/>
      <c r="F16756" s="48" t="str">
        <f>IFERROR(__xludf.DUMMYFUNCTION("""COMPUTED_VALUE"""),"")</f>
        <v/>
      </c>
      <c r="G16756" s="42" t="str">
        <f>IFERROR(__xludf.DUMMYFUNCTION("""COMPUTED_VALUE"""),"")</f>
        <v/>
      </c>
      <c r="H16756" s="42">
        <f t="shared" si="1"/>
        <v>3345</v>
      </c>
    </row>
    <row r="16757" ht="22.5" customHeight="1">
      <c r="B16757" s="42" t="str">
        <f>IFERROR(__xludf.DUMMYFUNCTION("""COMPUTED_VALUE"""),"")</f>
        <v/>
      </c>
      <c r="C16757" s="42" t="str">
        <f>IFERROR(__xludf.DUMMYFUNCTION("""COMPUTED_VALUE"""),"")</f>
        <v/>
      </c>
      <c r="D16757" s="42"/>
      <c r="E16757" s="42"/>
      <c r="F16757" s="48" t="str">
        <f>IFERROR(__xludf.DUMMYFUNCTION("""COMPUTED_VALUE"""),"")</f>
        <v/>
      </c>
      <c r="G16757" s="42" t="str">
        <f>IFERROR(__xludf.DUMMYFUNCTION("""COMPUTED_VALUE"""),"")</f>
        <v/>
      </c>
      <c r="H16757" s="42">
        <f t="shared" si="1"/>
        <v>3345</v>
      </c>
    </row>
    <row r="16758" ht="22.5" customHeight="1">
      <c r="B16758" s="42" t="str">
        <f>IFERROR(__xludf.DUMMYFUNCTION("""COMPUTED_VALUE"""),"")</f>
        <v/>
      </c>
      <c r="C16758" s="42" t="str">
        <f>IFERROR(__xludf.DUMMYFUNCTION("""COMPUTED_VALUE"""),"")</f>
        <v/>
      </c>
      <c r="D16758" s="42"/>
      <c r="E16758" s="42"/>
      <c r="F16758" s="48" t="str">
        <f>IFERROR(__xludf.DUMMYFUNCTION("""COMPUTED_VALUE"""),"")</f>
        <v/>
      </c>
      <c r="G16758" s="42" t="str">
        <f>IFERROR(__xludf.DUMMYFUNCTION("""COMPUTED_VALUE"""),"")</f>
        <v/>
      </c>
      <c r="H16758" s="42">
        <f t="shared" si="1"/>
        <v>3345</v>
      </c>
    </row>
    <row r="16759" ht="22.5" customHeight="1">
      <c r="B16759" s="42" t="str">
        <f>IFERROR(__xludf.DUMMYFUNCTION("""COMPUTED_VALUE"""),"")</f>
        <v/>
      </c>
      <c r="C16759" s="42" t="str">
        <f>IFERROR(__xludf.DUMMYFUNCTION("""COMPUTED_VALUE"""),"")</f>
        <v/>
      </c>
      <c r="D16759" s="42"/>
      <c r="E16759" s="42"/>
      <c r="F16759" s="48" t="str">
        <f>IFERROR(__xludf.DUMMYFUNCTION("""COMPUTED_VALUE"""),"")</f>
        <v/>
      </c>
      <c r="G16759" s="42" t="str">
        <f>IFERROR(__xludf.DUMMYFUNCTION("""COMPUTED_VALUE"""),"")</f>
        <v/>
      </c>
      <c r="H16759" s="42">
        <f t="shared" si="1"/>
        <v>3345</v>
      </c>
    </row>
    <row r="16760" ht="22.5" customHeight="1">
      <c r="B16760" s="42" t="str">
        <f>IFERROR(__xludf.DUMMYFUNCTION("""COMPUTED_VALUE"""),"")</f>
        <v/>
      </c>
      <c r="C16760" s="42" t="str">
        <f>IFERROR(__xludf.DUMMYFUNCTION("""COMPUTED_VALUE"""),"")</f>
        <v/>
      </c>
      <c r="D16760" s="42"/>
      <c r="E16760" s="42"/>
      <c r="F16760" s="48" t="str">
        <f>IFERROR(__xludf.DUMMYFUNCTION("""COMPUTED_VALUE"""),"")</f>
        <v/>
      </c>
      <c r="G16760" s="42" t="str">
        <f>IFERROR(__xludf.DUMMYFUNCTION("""COMPUTED_VALUE"""),"")</f>
        <v/>
      </c>
      <c r="H16760" s="42">
        <f t="shared" si="1"/>
        <v>3345</v>
      </c>
    </row>
    <row r="16761" ht="22.5" customHeight="1">
      <c r="B16761" s="42" t="str">
        <f>IFERROR(__xludf.DUMMYFUNCTION("""COMPUTED_VALUE"""),"")</f>
        <v/>
      </c>
      <c r="C16761" s="42" t="str">
        <f>IFERROR(__xludf.DUMMYFUNCTION("""COMPUTED_VALUE"""),"")</f>
        <v/>
      </c>
      <c r="D16761" s="42"/>
      <c r="E16761" s="42"/>
      <c r="F16761" s="48" t="str">
        <f>IFERROR(__xludf.DUMMYFUNCTION("""COMPUTED_VALUE"""),"")</f>
        <v/>
      </c>
      <c r="G16761" s="42" t="str">
        <f>IFERROR(__xludf.DUMMYFUNCTION("""COMPUTED_VALUE"""),"")</f>
        <v/>
      </c>
      <c r="H16761" s="42">
        <f t="shared" si="1"/>
        <v>3345</v>
      </c>
    </row>
    <row r="16762" ht="22.5" customHeight="1">
      <c r="B16762" s="42" t="str">
        <f>IFERROR(__xludf.DUMMYFUNCTION("""COMPUTED_VALUE"""),"")</f>
        <v/>
      </c>
      <c r="C16762" s="42" t="str">
        <f>IFERROR(__xludf.DUMMYFUNCTION("""COMPUTED_VALUE"""),"")</f>
        <v/>
      </c>
      <c r="D16762" s="42"/>
      <c r="E16762" s="42"/>
      <c r="F16762" s="48" t="str">
        <f>IFERROR(__xludf.DUMMYFUNCTION("""COMPUTED_VALUE"""),"")</f>
        <v/>
      </c>
      <c r="G16762" s="42" t="str">
        <f>IFERROR(__xludf.DUMMYFUNCTION("""COMPUTED_VALUE"""),"")</f>
        <v/>
      </c>
      <c r="H16762" s="42">
        <f t="shared" si="1"/>
        <v>3345</v>
      </c>
    </row>
    <row r="16763" ht="22.5" customHeight="1">
      <c r="B16763" s="42" t="str">
        <f>IFERROR(__xludf.DUMMYFUNCTION("""COMPUTED_VALUE"""),"")</f>
        <v/>
      </c>
      <c r="C16763" s="42" t="str">
        <f>IFERROR(__xludf.DUMMYFUNCTION("""COMPUTED_VALUE"""),"")</f>
        <v/>
      </c>
      <c r="D16763" s="42"/>
      <c r="E16763" s="42"/>
      <c r="F16763" s="48" t="str">
        <f>IFERROR(__xludf.DUMMYFUNCTION("""COMPUTED_VALUE"""),"")</f>
        <v/>
      </c>
      <c r="G16763" s="42" t="str">
        <f>IFERROR(__xludf.DUMMYFUNCTION("""COMPUTED_VALUE"""),"")</f>
        <v/>
      </c>
      <c r="H16763" s="42">
        <f t="shared" si="1"/>
        <v>3345</v>
      </c>
    </row>
    <row r="16764" ht="22.5" customHeight="1">
      <c r="B16764" s="42" t="str">
        <f>IFERROR(__xludf.DUMMYFUNCTION("""COMPUTED_VALUE"""),"")</f>
        <v/>
      </c>
      <c r="C16764" s="42" t="str">
        <f>IFERROR(__xludf.DUMMYFUNCTION("""COMPUTED_VALUE"""),"")</f>
        <v/>
      </c>
      <c r="D16764" s="42"/>
      <c r="E16764" s="42"/>
      <c r="F16764" s="48" t="str">
        <f>IFERROR(__xludf.DUMMYFUNCTION("""COMPUTED_VALUE"""),"")</f>
        <v/>
      </c>
      <c r="G16764" s="42" t="str">
        <f>IFERROR(__xludf.DUMMYFUNCTION("""COMPUTED_VALUE"""),"")</f>
        <v/>
      </c>
      <c r="H16764" s="42">
        <f t="shared" si="1"/>
        <v>3345</v>
      </c>
    </row>
    <row r="16765" ht="22.5" customHeight="1">
      <c r="B16765" s="42" t="str">
        <f>IFERROR(__xludf.DUMMYFUNCTION("""COMPUTED_VALUE"""),"")</f>
        <v/>
      </c>
      <c r="C16765" s="42" t="str">
        <f>IFERROR(__xludf.DUMMYFUNCTION("""COMPUTED_VALUE"""),"")</f>
        <v/>
      </c>
      <c r="D16765" s="42"/>
      <c r="E16765" s="42"/>
      <c r="F16765" s="48" t="str">
        <f>IFERROR(__xludf.DUMMYFUNCTION("""COMPUTED_VALUE"""),"")</f>
        <v/>
      </c>
      <c r="G16765" s="42" t="str">
        <f>IFERROR(__xludf.DUMMYFUNCTION("""COMPUTED_VALUE"""),"")</f>
        <v/>
      </c>
      <c r="H16765" s="42">
        <f t="shared" si="1"/>
        <v>3345</v>
      </c>
    </row>
    <row r="16766" ht="22.5" customHeight="1">
      <c r="B16766" s="42" t="str">
        <f>IFERROR(__xludf.DUMMYFUNCTION("""COMPUTED_VALUE"""),"")</f>
        <v/>
      </c>
      <c r="C16766" s="42" t="str">
        <f>IFERROR(__xludf.DUMMYFUNCTION("""COMPUTED_VALUE"""),"")</f>
        <v/>
      </c>
      <c r="D16766" s="42"/>
      <c r="E16766" s="42"/>
      <c r="F16766" s="48" t="str">
        <f>IFERROR(__xludf.DUMMYFUNCTION("""COMPUTED_VALUE"""),"")</f>
        <v/>
      </c>
      <c r="G16766" s="42" t="str">
        <f>IFERROR(__xludf.DUMMYFUNCTION("""COMPUTED_VALUE"""),"")</f>
        <v/>
      </c>
      <c r="H16766" s="42">
        <f t="shared" si="1"/>
        <v>3345</v>
      </c>
    </row>
    <row r="16767" ht="22.5" customHeight="1">
      <c r="B16767" s="42" t="str">
        <f>IFERROR(__xludf.DUMMYFUNCTION("""COMPUTED_VALUE"""),"")</f>
        <v/>
      </c>
      <c r="C16767" s="42" t="str">
        <f>IFERROR(__xludf.DUMMYFUNCTION("""COMPUTED_VALUE"""),"")</f>
        <v/>
      </c>
      <c r="D16767" s="42"/>
      <c r="E16767" s="42"/>
      <c r="F16767" s="48" t="str">
        <f>IFERROR(__xludf.DUMMYFUNCTION("""COMPUTED_VALUE"""),"")</f>
        <v/>
      </c>
      <c r="G16767" s="42" t="str">
        <f>IFERROR(__xludf.DUMMYFUNCTION("""COMPUTED_VALUE"""),"")</f>
        <v/>
      </c>
      <c r="H16767" s="42">
        <f t="shared" si="1"/>
        <v>3345</v>
      </c>
    </row>
    <row r="16768" ht="22.5" customHeight="1">
      <c r="B16768" s="42" t="str">
        <f>IFERROR(__xludf.DUMMYFUNCTION("""COMPUTED_VALUE"""),"")</f>
        <v/>
      </c>
      <c r="C16768" s="42" t="str">
        <f>IFERROR(__xludf.DUMMYFUNCTION("""COMPUTED_VALUE"""),"")</f>
        <v/>
      </c>
      <c r="D16768" s="42"/>
      <c r="E16768" s="42"/>
      <c r="F16768" s="48" t="str">
        <f>IFERROR(__xludf.DUMMYFUNCTION("""COMPUTED_VALUE"""),"")</f>
        <v/>
      </c>
      <c r="G16768" s="42" t="str">
        <f>IFERROR(__xludf.DUMMYFUNCTION("""COMPUTED_VALUE"""),"")</f>
        <v/>
      </c>
      <c r="H16768" s="42">
        <f t="shared" si="1"/>
        <v>3345</v>
      </c>
    </row>
    <row r="16769" ht="22.5" customHeight="1">
      <c r="B16769" s="42" t="str">
        <f>IFERROR(__xludf.DUMMYFUNCTION("""COMPUTED_VALUE"""),"")</f>
        <v/>
      </c>
      <c r="C16769" s="42" t="str">
        <f>IFERROR(__xludf.DUMMYFUNCTION("""COMPUTED_VALUE"""),"")</f>
        <v/>
      </c>
      <c r="D16769" s="42"/>
      <c r="E16769" s="42"/>
      <c r="F16769" s="48" t="str">
        <f>IFERROR(__xludf.DUMMYFUNCTION("""COMPUTED_VALUE"""),"")</f>
        <v/>
      </c>
      <c r="G16769" s="42" t="str">
        <f>IFERROR(__xludf.DUMMYFUNCTION("""COMPUTED_VALUE"""),"")</f>
        <v/>
      </c>
      <c r="H16769" s="42">
        <f t="shared" si="1"/>
        <v>3345</v>
      </c>
    </row>
    <row r="16770" ht="22.5" customHeight="1">
      <c r="B16770" s="42" t="str">
        <f>IFERROR(__xludf.DUMMYFUNCTION("""COMPUTED_VALUE"""),"")</f>
        <v/>
      </c>
      <c r="C16770" s="42" t="str">
        <f>IFERROR(__xludf.DUMMYFUNCTION("""COMPUTED_VALUE"""),"")</f>
        <v/>
      </c>
      <c r="D16770" s="42"/>
      <c r="E16770" s="42"/>
      <c r="F16770" s="48" t="str">
        <f>IFERROR(__xludf.DUMMYFUNCTION("""COMPUTED_VALUE"""),"")</f>
        <v/>
      </c>
      <c r="G16770" s="42" t="str">
        <f>IFERROR(__xludf.DUMMYFUNCTION("""COMPUTED_VALUE"""),"")</f>
        <v/>
      </c>
      <c r="H16770" s="42">
        <f t="shared" si="1"/>
        <v>3345</v>
      </c>
    </row>
    <row r="16771" ht="22.5" customHeight="1">
      <c r="B16771" s="42" t="str">
        <f>IFERROR(__xludf.DUMMYFUNCTION("""COMPUTED_VALUE"""),"")</f>
        <v/>
      </c>
      <c r="C16771" s="42" t="str">
        <f>IFERROR(__xludf.DUMMYFUNCTION("""COMPUTED_VALUE"""),"")</f>
        <v/>
      </c>
      <c r="D16771" s="42"/>
      <c r="E16771" s="42"/>
      <c r="F16771" s="48" t="str">
        <f>IFERROR(__xludf.DUMMYFUNCTION("""COMPUTED_VALUE"""),"")</f>
        <v/>
      </c>
      <c r="G16771" s="42" t="str">
        <f>IFERROR(__xludf.DUMMYFUNCTION("""COMPUTED_VALUE"""),"")</f>
        <v/>
      </c>
      <c r="H16771" s="42">
        <f t="shared" si="1"/>
        <v>3345</v>
      </c>
    </row>
    <row r="16772" ht="22.5" customHeight="1">
      <c r="B16772" s="42" t="str">
        <f>IFERROR(__xludf.DUMMYFUNCTION("""COMPUTED_VALUE"""),"")</f>
        <v/>
      </c>
      <c r="C16772" s="42" t="str">
        <f>IFERROR(__xludf.DUMMYFUNCTION("""COMPUTED_VALUE"""),"")</f>
        <v/>
      </c>
      <c r="D16772" s="42"/>
      <c r="E16772" s="42"/>
      <c r="F16772" s="48" t="str">
        <f>IFERROR(__xludf.DUMMYFUNCTION("""COMPUTED_VALUE"""),"")</f>
        <v/>
      </c>
      <c r="G16772" s="42" t="str">
        <f>IFERROR(__xludf.DUMMYFUNCTION("""COMPUTED_VALUE"""),"")</f>
        <v/>
      </c>
      <c r="H16772" s="42">
        <f t="shared" si="1"/>
        <v>3345</v>
      </c>
    </row>
    <row r="16773" ht="22.5" customHeight="1">
      <c r="B16773" s="42" t="str">
        <f>IFERROR(__xludf.DUMMYFUNCTION("""COMPUTED_VALUE"""),"")</f>
        <v/>
      </c>
      <c r="C16773" s="42" t="str">
        <f>IFERROR(__xludf.DUMMYFUNCTION("""COMPUTED_VALUE"""),"")</f>
        <v/>
      </c>
      <c r="D16773" s="42"/>
      <c r="E16773" s="42"/>
      <c r="F16773" s="48" t="str">
        <f>IFERROR(__xludf.DUMMYFUNCTION("""COMPUTED_VALUE"""),"")</f>
        <v/>
      </c>
      <c r="G16773" s="42" t="str">
        <f>IFERROR(__xludf.DUMMYFUNCTION("""COMPUTED_VALUE"""),"")</f>
        <v/>
      </c>
      <c r="H16773" s="42">
        <f t="shared" si="1"/>
        <v>3345</v>
      </c>
    </row>
    <row r="16774" ht="22.5" customHeight="1">
      <c r="B16774" s="42" t="str">
        <f>IFERROR(__xludf.DUMMYFUNCTION("""COMPUTED_VALUE"""),"")</f>
        <v/>
      </c>
      <c r="C16774" s="42" t="str">
        <f>IFERROR(__xludf.DUMMYFUNCTION("""COMPUTED_VALUE"""),"")</f>
        <v/>
      </c>
      <c r="D16774" s="42"/>
      <c r="E16774" s="42"/>
      <c r="F16774" s="48" t="str">
        <f>IFERROR(__xludf.DUMMYFUNCTION("""COMPUTED_VALUE"""),"")</f>
        <v/>
      </c>
      <c r="G16774" s="42" t="str">
        <f>IFERROR(__xludf.DUMMYFUNCTION("""COMPUTED_VALUE"""),"")</f>
        <v/>
      </c>
      <c r="H16774" s="42">
        <f t="shared" si="1"/>
        <v>3345</v>
      </c>
    </row>
    <row r="16775" ht="22.5" customHeight="1">
      <c r="B16775" s="42" t="str">
        <f>IFERROR(__xludf.DUMMYFUNCTION("""COMPUTED_VALUE"""),"")</f>
        <v/>
      </c>
      <c r="C16775" s="42" t="str">
        <f>IFERROR(__xludf.DUMMYFUNCTION("""COMPUTED_VALUE"""),"")</f>
        <v/>
      </c>
      <c r="D16775" s="42"/>
      <c r="E16775" s="42"/>
      <c r="F16775" s="48" t="str">
        <f>IFERROR(__xludf.DUMMYFUNCTION("""COMPUTED_VALUE"""),"")</f>
        <v/>
      </c>
      <c r="G16775" s="42" t="str">
        <f>IFERROR(__xludf.DUMMYFUNCTION("""COMPUTED_VALUE"""),"")</f>
        <v/>
      </c>
      <c r="H16775" s="42">
        <f t="shared" si="1"/>
        <v>3345</v>
      </c>
    </row>
    <row r="16776" ht="22.5" customHeight="1">
      <c r="B16776" s="42" t="str">
        <f>IFERROR(__xludf.DUMMYFUNCTION("""COMPUTED_VALUE"""),"")</f>
        <v/>
      </c>
      <c r="C16776" s="42" t="str">
        <f>IFERROR(__xludf.DUMMYFUNCTION("""COMPUTED_VALUE"""),"")</f>
        <v/>
      </c>
      <c r="D16776" s="42"/>
      <c r="E16776" s="42"/>
      <c r="F16776" s="48" t="str">
        <f>IFERROR(__xludf.DUMMYFUNCTION("""COMPUTED_VALUE"""),"")</f>
        <v/>
      </c>
      <c r="G16776" s="42" t="str">
        <f>IFERROR(__xludf.DUMMYFUNCTION("""COMPUTED_VALUE"""),"")</f>
        <v/>
      </c>
      <c r="H16776" s="42">
        <f t="shared" si="1"/>
        <v>3345</v>
      </c>
    </row>
    <row r="16777" ht="22.5" customHeight="1">
      <c r="B16777" s="42" t="str">
        <f>IFERROR(__xludf.DUMMYFUNCTION("""COMPUTED_VALUE"""),"")</f>
        <v/>
      </c>
      <c r="C16777" s="42" t="str">
        <f>IFERROR(__xludf.DUMMYFUNCTION("""COMPUTED_VALUE"""),"")</f>
        <v/>
      </c>
      <c r="D16777" s="42"/>
      <c r="E16777" s="42"/>
      <c r="F16777" s="48" t="str">
        <f>IFERROR(__xludf.DUMMYFUNCTION("""COMPUTED_VALUE"""),"")</f>
        <v/>
      </c>
      <c r="G16777" s="42" t="str">
        <f>IFERROR(__xludf.DUMMYFUNCTION("""COMPUTED_VALUE"""),"")</f>
        <v/>
      </c>
      <c r="H16777" s="42">
        <f t="shared" si="1"/>
        <v>3345</v>
      </c>
    </row>
    <row r="16778" ht="22.5" customHeight="1">
      <c r="B16778" s="42" t="str">
        <f>IFERROR(__xludf.DUMMYFUNCTION("""COMPUTED_VALUE"""),"")</f>
        <v/>
      </c>
      <c r="C16778" s="42" t="str">
        <f>IFERROR(__xludf.DUMMYFUNCTION("""COMPUTED_VALUE"""),"")</f>
        <v/>
      </c>
      <c r="D16778" s="42"/>
      <c r="E16778" s="42"/>
      <c r="F16778" s="48" t="str">
        <f>IFERROR(__xludf.DUMMYFUNCTION("""COMPUTED_VALUE"""),"")</f>
        <v/>
      </c>
      <c r="G16778" s="42" t="str">
        <f>IFERROR(__xludf.DUMMYFUNCTION("""COMPUTED_VALUE"""),"")</f>
        <v/>
      </c>
      <c r="H16778" s="42">
        <f t="shared" si="1"/>
        <v>3345</v>
      </c>
    </row>
    <row r="16779" ht="22.5" customHeight="1">
      <c r="B16779" s="42" t="str">
        <f>IFERROR(__xludf.DUMMYFUNCTION("""COMPUTED_VALUE"""),"")</f>
        <v/>
      </c>
      <c r="C16779" s="42" t="str">
        <f>IFERROR(__xludf.DUMMYFUNCTION("""COMPUTED_VALUE"""),"")</f>
        <v/>
      </c>
      <c r="D16779" s="42"/>
      <c r="E16779" s="42"/>
      <c r="F16779" s="48" t="str">
        <f>IFERROR(__xludf.DUMMYFUNCTION("""COMPUTED_VALUE"""),"")</f>
        <v/>
      </c>
      <c r="G16779" s="42" t="str">
        <f>IFERROR(__xludf.DUMMYFUNCTION("""COMPUTED_VALUE"""),"")</f>
        <v/>
      </c>
      <c r="H16779" s="42">
        <f t="shared" si="1"/>
        <v>3345</v>
      </c>
    </row>
    <row r="16780" ht="22.5" customHeight="1">
      <c r="B16780" s="42" t="str">
        <f>IFERROR(__xludf.DUMMYFUNCTION("""COMPUTED_VALUE"""),"")</f>
        <v/>
      </c>
      <c r="C16780" s="42" t="str">
        <f>IFERROR(__xludf.DUMMYFUNCTION("""COMPUTED_VALUE"""),"")</f>
        <v/>
      </c>
      <c r="D16780" s="42"/>
      <c r="E16780" s="42"/>
      <c r="F16780" s="48" t="str">
        <f>IFERROR(__xludf.DUMMYFUNCTION("""COMPUTED_VALUE"""),"")</f>
        <v/>
      </c>
      <c r="G16780" s="42" t="str">
        <f>IFERROR(__xludf.DUMMYFUNCTION("""COMPUTED_VALUE"""),"")</f>
        <v/>
      </c>
      <c r="H16780" s="42">
        <f t="shared" si="1"/>
        <v>3345</v>
      </c>
    </row>
    <row r="16781" ht="22.5" customHeight="1">
      <c r="B16781" s="42" t="str">
        <f>IFERROR(__xludf.DUMMYFUNCTION("""COMPUTED_VALUE"""),"")</f>
        <v/>
      </c>
      <c r="C16781" s="42" t="str">
        <f>IFERROR(__xludf.DUMMYFUNCTION("""COMPUTED_VALUE"""),"")</f>
        <v/>
      </c>
      <c r="D16781" s="42"/>
      <c r="E16781" s="42"/>
      <c r="F16781" s="48" t="str">
        <f>IFERROR(__xludf.DUMMYFUNCTION("""COMPUTED_VALUE"""),"")</f>
        <v/>
      </c>
      <c r="G16781" s="42" t="str">
        <f>IFERROR(__xludf.DUMMYFUNCTION("""COMPUTED_VALUE"""),"")</f>
        <v/>
      </c>
      <c r="H16781" s="42">
        <f t="shared" si="1"/>
        <v>3345</v>
      </c>
    </row>
    <row r="16782" ht="22.5" customHeight="1">
      <c r="B16782" s="42" t="str">
        <f>IFERROR(__xludf.DUMMYFUNCTION("""COMPUTED_VALUE"""),"")</f>
        <v/>
      </c>
      <c r="C16782" s="42" t="str">
        <f>IFERROR(__xludf.DUMMYFUNCTION("""COMPUTED_VALUE"""),"")</f>
        <v/>
      </c>
      <c r="D16782" s="42"/>
      <c r="E16782" s="42"/>
      <c r="F16782" s="48" t="str">
        <f>IFERROR(__xludf.DUMMYFUNCTION("""COMPUTED_VALUE"""),"")</f>
        <v/>
      </c>
      <c r="G16782" s="42" t="str">
        <f>IFERROR(__xludf.DUMMYFUNCTION("""COMPUTED_VALUE"""),"")</f>
        <v/>
      </c>
      <c r="H16782" s="42">
        <f t="shared" si="1"/>
        <v>3345</v>
      </c>
    </row>
    <row r="16783" ht="22.5" customHeight="1">
      <c r="B16783" s="42" t="str">
        <f>IFERROR(__xludf.DUMMYFUNCTION("""COMPUTED_VALUE"""),"")</f>
        <v/>
      </c>
      <c r="C16783" s="42" t="str">
        <f>IFERROR(__xludf.DUMMYFUNCTION("""COMPUTED_VALUE"""),"")</f>
        <v/>
      </c>
      <c r="D16783" s="42"/>
      <c r="E16783" s="42"/>
      <c r="F16783" s="48" t="str">
        <f>IFERROR(__xludf.DUMMYFUNCTION("""COMPUTED_VALUE"""),"")</f>
        <v/>
      </c>
      <c r="G16783" s="42" t="str">
        <f>IFERROR(__xludf.DUMMYFUNCTION("""COMPUTED_VALUE"""),"")</f>
        <v/>
      </c>
      <c r="H16783" s="42">
        <f t="shared" si="1"/>
        <v>3345</v>
      </c>
    </row>
    <row r="16784" ht="22.5" customHeight="1">
      <c r="B16784" s="42" t="str">
        <f>IFERROR(__xludf.DUMMYFUNCTION("""COMPUTED_VALUE"""),"")</f>
        <v/>
      </c>
      <c r="C16784" s="42" t="str">
        <f>IFERROR(__xludf.DUMMYFUNCTION("""COMPUTED_VALUE"""),"")</f>
        <v/>
      </c>
      <c r="D16784" s="42"/>
      <c r="E16784" s="42"/>
      <c r="F16784" s="48" t="str">
        <f>IFERROR(__xludf.DUMMYFUNCTION("""COMPUTED_VALUE"""),"")</f>
        <v/>
      </c>
      <c r="G16784" s="42" t="str">
        <f>IFERROR(__xludf.DUMMYFUNCTION("""COMPUTED_VALUE"""),"")</f>
        <v/>
      </c>
      <c r="H16784" s="42">
        <f t="shared" si="1"/>
        <v>3345</v>
      </c>
    </row>
    <row r="16785" ht="22.5" customHeight="1">
      <c r="B16785" s="42" t="str">
        <f>IFERROR(__xludf.DUMMYFUNCTION("""COMPUTED_VALUE"""),"")</f>
        <v/>
      </c>
      <c r="C16785" s="42" t="str">
        <f>IFERROR(__xludf.DUMMYFUNCTION("""COMPUTED_VALUE"""),"")</f>
        <v/>
      </c>
      <c r="D16785" s="42"/>
      <c r="E16785" s="42"/>
      <c r="F16785" s="48" t="str">
        <f>IFERROR(__xludf.DUMMYFUNCTION("""COMPUTED_VALUE"""),"")</f>
        <v/>
      </c>
      <c r="G16785" s="42" t="str">
        <f>IFERROR(__xludf.DUMMYFUNCTION("""COMPUTED_VALUE"""),"")</f>
        <v/>
      </c>
      <c r="H16785" s="42">
        <f t="shared" si="1"/>
        <v>3345</v>
      </c>
    </row>
    <row r="16786" ht="22.5" customHeight="1">
      <c r="B16786" s="42" t="str">
        <f>IFERROR(__xludf.DUMMYFUNCTION("""COMPUTED_VALUE"""),"")</f>
        <v/>
      </c>
      <c r="C16786" s="42" t="str">
        <f>IFERROR(__xludf.DUMMYFUNCTION("""COMPUTED_VALUE"""),"")</f>
        <v/>
      </c>
      <c r="D16786" s="42"/>
      <c r="E16786" s="42"/>
      <c r="F16786" s="48" t="str">
        <f>IFERROR(__xludf.DUMMYFUNCTION("""COMPUTED_VALUE"""),"")</f>
        <v/>
      </c>
      <c r="G16786" s="42" t="str">
        <f>IFERROR(__xludf.DUMMYFUNCTION("""COMPUTED_VALUE"""),"")</f>
        <v/>
      </c>
      <c r="H16786" s="42">
        <f t="shared" si="1"/>
        <v>3345</v>
      </c>
    </row>
    <row r="16787" ht="22.5" customHeight="1">
      <c r="B16787" s="42" t="str">
        <f>IFERROR(__xludf.DUMMYFUNCTION("""COMPUTED_VALUE"""),"")</f>
        <v/>
      </c>
      <c r="C16787" s="42" t="str">
        <f>IFERROR(__xludf.DUMMYFUNCTION("""COMPUTED_VALUE"""),"")</f>
        <v/>
      </c>
      <c r="D16787" s="42"/>
      <c r="E16787" s="42"/>
      <c r="F16787" s="48" t="str">
        <f>IFERROR(__xludf.DUMMYFUNCTION("""COMPUTED_VALUE"""),"")</f>
        <v/>
      </c>
      <c r="G16787" s="42" t="str">
        <f>IFERROR(__xludf.DUMMYFUNCTION("""COMPUTED_VALUE"""),"")</f>
        <v/>
      </c>
      <c r="H16787" s="42">
        <f t="shared" si="1"/>
        <v>3345</v>
      </c>
    </row>
    <row r="16788" ht="22.5" customHeight="1">
      <c r="B16788" s="42" t="str">
        <f>IFERROR(__xludf.DUMMYFUNCTION("""COMPUTED_VALUE"""),"")</f>
        <v/>
      </c>
      <c r="C16788" s="42" t="str">
        <f>IFERROR(__xludf.DUMMYFUNCTION("""COMPUTED_VALUE"""),"")</f>
        <v/>
      </c>
      <c r="D16788" s="42"/>
      <c r="E16788" s="42"/>
      <c r="F16788" s="48" t="str">
        <f>IFERROR(__xludf.DUMMYFUNCTION("""COMPUTED_VALUE"""),"")</f>
        <v/>
      </c>
      <c r="G16788" s="42" t="str">
        <f>IFERROR(__xludf.DUMMYFUNCTION("""COMPUTED_VALUE"""),"")</f>
        <v/>
      </c>
      <c r="H16788" s="42">
        <f t="shared" si="1"/>
        <v>3345</v>
      </c>
    </row>
    <row r="16789" ht="22.5" customHeight="1">
      <c r="B16789" s="42" t="str">
        <f>IFERROR(__xludf.DUMMYFUNCTION("""COMPUTED_VALUE"""),"")</f>
        <v/>
      </c>
      <c r="C16789" s="42" t="str">
        <f>IFERROR(__xludf.DUMMYFUNCTION("""COMPUTED_VALUE"""),"")</f>
        <v/>
      </c>
      <c r="D16789" s="42"/>
      <c r="E16789" s="42"/>
      <c r="F16789" s="48" t="str">
        <f>IFERROR(__xludf.DUMMYFUNCTION("""COMPUTED_VALUE"""),"")</f>
        <v/>
      </c>
      <c r="G16789" s="42" t="str">
        <f>IFERROR(__xludf.DUMMYFUNCTION("""COMPUTED_VALUE"""),"")</f>
        <v/>
      </c>
      <c r="H16789" s="42">
        <f t="shared" si="1"/>
        <v>3345</v>
      </c>
    </row>
    <row r="16790" ht="22.5" customHeight="1">
      <c r="B16790" s="42" t="str">
        <f>IFERROR(__xludf.DUMMYFUNCTION("""COMPUTED_VALUE"""),"")</f>
        <v/>
      </c>
      <c r="C16790" s="42" t="str">
        <f>IFERROR(__xludf.DUMMYFUNCTION("""COMPUTED_VALUE"""),"")</f>
        <v/>
      </c>
      <c r="D16790" s="42"/>
      <c r="E16790" s="42"/>
      <c r="F16790" s="48" t="str">
        <f>IFERROR(__xludf.DUMMYFUNCTION("""COMPUTED_VALUE"""),"")</f>
        <v/>
      </c>
      <c r="G16790" s="42" t="str">
        <f>IFERROR(__xludf.DUMMYFUNCTION("""COMPUTED_VALUE"""),"")</f>
        <v/>
      </c>
      <c r="H16790" s="42">
        <f t="shared" si="1"/>
        <v>3345</v>
      </c>
    </row>
    <row r="16791" ht="22.5" customHeight="1">
      <c r="B16791" s="42" t="str">
        <f>IFERROR(__xludf.DUMMYFUNCTION("""COMPUTED_VALUE"""),"")</f>
        <v/>
      </c>
      <c r="C16791" s="42" t="str">
        <f>IFERROR(__xludf.DUMMYFUNCTION("""COMPUTED_VALUE"""),"")</f>
        <v/>
      </c>
      <c r="D16791" s="42"/>
      <c r="E16791" s="42"/>
      <c r="F16791" s="48" t="str">
        <f>IFERROR(__xludf.DUMMYFUNCTION("""COMPUTED_VALUE"""),"")</f>
        <v/>
      </c>
      <c r="G16791" s="42" t="str">
        <f>IFERROR(__xludf.DUMMYFUNCTION("""COMPUTED_VALUE"""),"")</f>
        <v/>
      </c>
      <c r="H16791" s="42">
        <f t="shared" si="1"/>
        <v>3345</v>
      </c>
    </row>
    <row r="16792" ht="22.5" customHeight="1">
      <c r="B16792" s="42" t="str">
        <f>IFERROR(__xludf.DUMMYFUNCTION("""COMPUTED_VALUE"""),"")</f>
        <v/>
      </c>
      <c r="C16792" s="42" t="str">
        <f>IFERROR(__xludf.DUMMYFUNCTION("""COMPUTED_VALUE"""),"")</f>
        <v/>
      </c>
      <c r="D16792" s="42"/>
      <c r="E16792" s="42"/>
      <c r="F16792" s="48" t="str">
        <f>IFERROR(__xludf.DUMMYFUNCTION("""COMPUTED_VALUE"""),"")</f>
        <v/>
      </c>
      <c r="G16792" s="42" t="str">
        <f>IFERROR(__xludf.DUMMYFUNCTION("""COMPUTED_VALUE"""),"")</f>
        <v/>
      </c>
      <c r="H16792" s="42">
        <f t="shared" si="1"/>
        <v>3345</v>
      </c>
    </row>
    <row r="16793" ht="22.5" customHeight="1">
      <c r="B16793" s="42" t="str">
        <f>IFERROR(__xludf.DUMMYFUNCTION("""COMPUTED_VALUE"""),"")</f>
        <v/>
      </c>
      <c r="C16793" s="42" t="str">
        <f>IFERROR(__xludf.DUMMYFUNCTION("""COMPUTED_VALUE"""),"")</f>
        <v/>
      </c>
      <c r="D16793" s="42"/>
      <c r="E16793" s="42"/>
      <c r="F16793" s="48" t="str">
        <f>IFERROR(__xludf.DUMMYFUNCTION("""COMPUTED_VALUE"""),"")</f>
        <v/>
      </c>
      <c r="G16793" s="42" t="str">
        <f>IFERROR(__xludf.DUMMYFUNCTION("""COMPUTED_VALUE"""),"")</f>
        <v/>
      </c>
      <c r="H16793" s="42">
        <f t="shared" si="1"/>
        <v>3345</v>
      </c>
    </row>
    <row r="16794" ht="22.5" customHeight="1">
      <c r="B16794" s="42" t="str">
        <f>IFERROR(__xludf.DUMMYFUNCTION("""COMPUTED_VALUE"""),"")</f>
        <v/>
      </c>
      <c r="C16794" s="42" t="str">
        <f>IFERROR(__xludf.DUMMYFUNCTION("""COMPUTED_VALUE"""),"")</f>
        <v/>
      </c>
      <c r="D16794" s="42"/>
      <c r="E16794" s="42"/>
      <c r="F16794" s="48" t="str">
        <f>IFERROR(__xludf.DUMMYFUNCTION("""COMPUTED_VALUE"""),"")</f>
        <v/>
      </c>
      <c r="G16794" s="42" t="str">
        <f>IFERROR(__xludf.DUMMYFUNCTION("""COMPUTED_VALUE"""),"")</f>
        <v/>
      </c>
      <c r="H16794" s="42">
        <f t="shared" si="1"/>
        <v>3345</v>
      </c>
    </row>
    <row r="16795" ht="22.5" customHeight="1">
      <c r="B16795" s="42" t="str">
        <f>IFERROR(__xludf.DUMMYFUNCTION("""COMPUTED_VALUE"""),"")</f>
        <v/>
      </c>
      <c r="C16795" s="42" t="str">
        <f>IFERROR(__xludf.DUMMYFUNCTION("""COMPUTED_VALUE"""),"")</f>
        <v/>
      </c>
      <c r="D16795" s="42"/>
      <c r="E16795" s="42"/>
      <c r="F16795" s="48" t="str">
        <f>IFERROR(__xludf.DUMMYFUNCTION("""COMPUTED_VALUE"""),"")</f>
        <v/>
      </c>
      <c r="G16795" s="42" t="str">
        <f>IFERROR(__xludf.DUMMYFUNCTION("""COMPUTED_VALUE"""),"")</f>
        <v/>
      </c>
      <c r="H16795" s="42">
        <f t="shared" si="1"/>
        <v>3345</v>
      </c>
    </row>
    <row r="16796" ht="22.5" customHeight="1">
      <c r="B16796" s="42" t="str">
        <f>IFERROR(__xludf.DUMMYFUNCTION("""COMPUTED_VALUE"""),"")</f>
        <v/>
      </c>
      <c r="C16796" s="42" t="str">
        <f>IFERROR(__xludf.DUMMYFUNCTION("""COMPUTED_VALUE"""),"")</f>
        <v/>
      </c>
      <c r="D16796" s="42"/>
      <c r="E16796" s="42"/>
      <c r="F16796" s="48" t="str">
        <f>IFERROR(__xludf.DUMMYFUNCTION("""COMPUTED_VALUE"""),"")</f>
        <v/>
      </c>
      <c r="G16796" s="42" t="str">
        <f>IFERROR(__xludf.DUMMYFUNCTION("""COMPUTED_VALUE"""),"")</f>
        <v/>
      </c>
      <c r="H16796" s="42">
        <f t="shared" si="1"/>
        <v>3345</v>
      </c>
    </row>
    <row r="16797" ht="22.5" customHeight="1">
      <c r="B16797" s="42" t="str">
        <f>IFERROR(__xludf.DUMMYFUNCTION("""COMPUTED_VALUE"""),"")</f>
        <v/>
      </c>
      <c r="C16797" s="42" t="str">
        <f>IFERROR(__xludf.DUMMYFUNCTION("""COMPUTED_VALUE"""),"")</f>
        <v/>
      </c>
      <c r="D16797" s="42"/>
      <c r="E16797" s="42"/>
      <c r="F16797" s="48" t="str">
        <f>IFERROR(__xludf.DUMMYFUNCTION("""COMPUTED_VALUE"""),"")</f>
        <v/>
      </c>
      <c r="G16797" s="42" t="str">
        <f>IFERROR(__xludf.DUMMYFUNCTION("""COMPUTED_VALUE"""),"")</f>
        <v/>
      </c>
      <c r="H16797" s="42">
        <f t="shared" si="1"/>
        <v>3345</v>
      </c>
    </row>
    <row r="16798" ht="22.5" customHeight="1">
      <c r="B16798" s="42" t="str">
        <f>IFERROR(__xludf.DUMMYFUNCTION("""COMPUTED_VALUE"""),"")</f>
        <v/>
      </c>
      <c r="C16798" s="42" t="str">
        <f>IFERROR(__xludf.DUMMYFUNCTION("""COMPUTED_VALUE"""),"")</f>
        <v/>
      </c>
      <c r="D16798" s="42"/>
      <c r="E16798" s="42"/>
      <c r="F16798" s="48" t="str">
        <f>IFERROR(__xludf.DUMMYFUNCTION("""COMPUTED_VALUE"""),"")</f>
        <v/>
      </c>
      <c r="G16798" s="42" t="str">
        <f>IFERROR(__xludf.DUMMYFUNCTION("""COMPUTED_VALUE"""),"")</f>
        <v/>
      </c>
      <c r="H16798" s="42">
        <f t="shared" si="1"/>
        <v>3345</v>
      </c>
    </row>
    <row r="16799" ht="22.5" customHeight="1">
      <c r="B16799" s="42" t="str">
        <f>IFERROR(__xludf.DUMMYFUNCTION("""COMPUTED_VALUE"""),"")</f>
        <v/>
      </c>
      <c r="C16799" s="42" t="str">
        <f>IFERROR(__xludf.DUMMYFUNCTION("""COMPUTED_VALUE"""),"")</f>
        <v/>
      </c>
      <c r="D16799" s="42"/>
      <c r="E16799" s="42"/>
      <c r="F16799" s="48" t="str">
        <f>IFERROR(__xludf.DUMMYFUNCTION("""COMPUTED_VALUE"""),"")</f>
        <v/>
      </c>
      <c r="G16799" s="42" t="str">
        <f>IFERROR(__xludf.DUMMYFUNCTION("""COMPUTED_VALUE"""),"")</f>
        <v/>
      </c>
      <c r="H16799" s="42">
        <f t="shared" si="1"/>
        <v>3345</v>
      </c>
    </row>
    <row r="16800" ht="22.5" customHeight="1">
      <c r="B16800" s="42" t="str">
        <f>IFERROR(__xludf.DUMMYFUNCTION("""COMPUTED_VALUE"""),"")</f>
        <v/>
      </c>
      <c r="C16800" s="42" t="str">
        <f>IFERROR(__xludf.DUMMYFUNCTION("""COMPUTED_VALUE"""),"")</f>
        <v/>
      </c>
      <c r="D16800" s="42"/>
      <c r="E16800" s="42"/>
      <c r="F16800" s="48" t="str">
        <f>IFERROR(__xludf.DUMMYFUNCTION("""COMPUTED_VALUE"""),"")</f>
        <v/>
      </c>
      <c r="G16800" s="42" t="str">
        <f>IFERROR(__xludf.DUMMYFUNCTION("""COMPUTED_VALUE"""),"")</f>
        <v/>
      </c>
      <c r="H16800" s="42">
        <f t="shared" si="1"/>
        <v>3345</v>
      </c>
    </row>
    <row r="16801" ht="22.5" customHeight="1">
      <c r="B16801" s="42" t="str">
        <f>IFERROR(__xludf.DUMMYFUNCTION("""COMPUTED_VALUE"""),"")</f>
        <v/>
      </c>
      <c r="C16801" s="42" t="str">
        <f>IFERROR(__xludf.DUMMYFUNCTION("""COMPUTED_VALUE"""),"")</f>
        <v/>
      </c>
      <c r="D16801" s="42"/>
      <c r="E16801" s="42"/>
      <c r="F16801" s="48" t="str">
        <f>IFERROR(__xludf.DUMMYFUNCTION("""COMPUTED_VALUE"""),"")</f>
        <v/>
      </c>
      <c r="G16801" s="42" t="str">
        <f>IFERROR(__xludf.DUMMYFUNCTION("""COMPUTED_VALUE"""),"")</f>
        <v/>
      </c>
      <c r="H16801" s="42">
        <f t="shared" si="1"/>
        <v>3345</v>
      </c>
    </row>
    <row r="16802" ht="22.5" customHeight="1">
      <c r="B16802" s="42" t="str">
        <f>IFERROR(__xludf.DUMMYFUNCTION("""COMPUTED_VALUE"""),"")</f>
        <v/>
      </c>
      <c r="C16802" s="42" t="str">
        <f>IFERROR(__xludf.DUMMYFUNCTION("""COMPUTED_VALUE"""),"")</f>
        <v/>
      </c>
      <c r="D16802" s="42"/>
      <c r="E16802" s="42"/>
      <c r="F16802" s="48" t="str">
        <f>IFERROR(__xludf.DUMMYFUNCTION("""COMPUTED_VALUE"""),"")</f>
        <v/>
      </c>
      <c r="G16802" s="42" t="str">
        <f>IFERROR(__xludf.DUMMYFUNCTION("""COMPUTED_VALUE"""),"")</f>
        <v/>
      </c>
      <c r="H16802" s="42">
        <f t="shared" si="1"/>
        <v>3345</v>
      </c>
    </row>
    <row r="16803" ht="22.5" customHeight="1">
      <c r="B16803" s="42" t="str">
        <f>IFERROR(__xludf.DUMMYFUNCTION("""COMPUTED_VALUE"""),"")</f>
        <v/>
      </c>
      <c r="C16803" s="42" t="str">
        <f>IFERROR(__xludf.DUMMYFUNCTION("""COMPUTED_VALUE"""),"")</f>
        <v/>
      </c>
      <c r="D16803" s="42"/>
      <c r="E16803" s="42"/>
      <c r="F16803" s="48" t="str">
        <f>IFERROR(__xludf.DUMMYFUNCTION("""COMPUTED_VALUE"""),"")</f>
        <v/>
      </c>
      <c r="G16803" s="42" t="str">
        <f>IFERROR(__xludf.DUMMYFUNCTION("""COMPUTED_VALUE"""),"")</f>
        <v/>
      </c>
      <c r="H16803" s="42">
        <f t="shared" si="1"/>
        <v>3345</v>
      </c>
    </row>
    <row r="16804" ht="22.5" customHeight="1">
      <c r="B16804" s="42" t="str">
        <f>IFERROR(__xludf.DUMMYFUNCTION("""COMPUTED_VALUE"""),"")</f>
        <v/>
      </c>
      <c r="C16804" s="42" t="str">
        <f>IFERROR(__xludf.DUMMYFUNCTION("""COMPUTED_VALUE"""),"")</f>
        <v/>
      </c>
      <c r="D16804" s="42"/>
      <c r="E16804" s="42"/>
      <c r="F16804" s="48" t="str">
        <f>IFERROR(__xludf.DUMMYFUNCTION("""COMPUTED_VALUE"""),"")</f>
        <v/>
      </c>
      <c r="G16804" s="42" t="str">
        <f>IFERROR(__xludf.DUMMYFUNCTION("""COMPUTED_VALUE"""),"")</f>
        <v/>
      </c>
      <c r="H16804" s="42">
        <f t="shared" si="1"/>
        <v>3345</v>
      </c>
    </row>
    <row r="16805" ht="22.5" customHeight="1">
      <c r="B16805" s="42" t="str">
        <f>IFERROR(__xludf.DUMMYFUNCTION("""COMPUTED_VALUE"""),"")</f>
        <v/>
      </c>
      <c r="C16805" s="42" t="str">
        <f>IFERROR(__xludf.DUMMYFUNCTION("""COMPUTED_VALUE"""),"")</f>
        <v/>
      </c>
      <c r="D16805" s="42"/>
      <c r="E16805" s="42"/>
      <c r="F16805" s="48" t="str">
        <f>IFERROR(__xludf.DUMMYFUNCTION("""COMPUTED_VALUE"""),"")</f>
        <v/>
      </c>
      <c r="G16805" s="42" t="str">
        <f>IFERROR(__xludf.DUMMYFUNCTION("""COMPUTED_VALUE"""),"")</f>
        <v/>
      </c>
      <c r="H16805" s="42">
        <f t="shared" si="1"/>
        <v>3345</v>
      </c>
    </row>
    <row r="16806" ht="22.5" customHeight="1">
      <c r="B16806" s="42" t="str">
        <f>IFERROR(__xludf.DUMMYFUNCTION("""COMPUTED_VALUE"""),"")</f>
        <v/>
      </c>
      <c r="C16806" s="42" t="str">
        <f>IFERROR(__xludf.DUMMYFUNCTION("""COMPUTED_VALUE"""),"")</f>
        <v/>
      </c>
      <c r="D16806" s="42"/>
      <c r="E16806" s="42"/>
      <c r="F16806" s="48" t="str">
        <f>IFERROR(__xludf.DUMMYFUNCTION("""COMPUTED_VALUE"""),"")</f>
        <v/>
      </c>
      <c r="G16806" s="42" t="str">
        <f>IFERROR(__xludf.DUMMYFUNCTION("""COMPUTED_VALUE"""),"")</f>
        <v/>
      </c>
      <c r="H16806" s="42">
        <f t="shared" si="1"/>
        <v>3345</v>
      </c>
    </row>
    <row r="16807" ht="22.5" customHeight="1">
      <c r="B16807" s="42" t="str">
        <f>IFERROR(__xludf.DUMMYFUNCTION("""COMPUTED_VALUE"""),"")</f>
        <v/>
      </c>
      <c r="C16807" s="42" t="str">
        <f>IFERROR(__xludf.DUMMYFUNCTION("""COMPUTED_VALUE"""),"")</f>
        <v/>
      </c>
      <c r="D16807" s="42"/>
      <c r="E16807" s="42"/>
      <c r="F16807" s="48" t="str">
        <f>IFERROR(__xludf.DUMMYFUNCTION("""COMPUTED_VALUE"""),"")</f>
        <v/>
      </c>
      <c r="G16807" s="42" t="str">
        <f>IFERROR(__xludf.DUMMYFUNCTION("""COMPUTED_VALUE"""),"")</f>
        <v/>
      </c>
      <c r="H16807" s="42">
        <f t="shared" si="1"/>
        <v>3345</v>
      </c>
    </row>
    <row r="16808" ht="22.5" customHeight="1">
      <c r="B16808" s="42" t="str">
        <f>IFERROR(__xludf.DUMMYFUNCTION("""COMPUTED_VALUE"""),"")</f>
        <v/>
      </c>
      <c r="C16808" s="42" t="str">
        <f>IFERROR(__xludf.DUMMYFUNCTION("""COMPUTED_VALUE"""),"")</f>
        <v/>
      </c>
      <c r="D16808" s="42"/>
      <c r="E16808" s="42"/>
      <c r="F16808" s="48" t="str">
        <f>IFERROR(__xludf.DUMMYFUNCTION("""COMPUTED_VALUE"""),"")</f>
        <v/>
      </c>
      <c r="G16808" s="42" t="str">
        <f>IFERROR(__xludf.DUMMYFUNCTION("""COMPUTED_VALUE"""),"")</f>
        <v/>
      </c>
      <c r="H16808" s="42">
        <f t="shared" si="1"/>
        <v>3345</v>
      </c>
    </row>
    <row r="16809" ht="22.5" customHeight="1">
      <c r="B16809" s="42" t="str">
        <f>IFERROR(__xludf.DUMMYFUNCTION("""COMPUTED_VALUE"""),"")</f>
        <v/>
      </c>
      <c r="C16809" s="42" t="str">
        <f>IFERROR(__xludf.DUMMYFUNCTION("""COMPUTED_VALUE"""),"")</f>
        <v/>
      </c>
      <c r="D16809" s="42"/>
      <c r="E16809" s="42"/>
      <c r="F16809" s="48" t="str">
        <f>IFERROR(__xludf.DUMMYFUNCTION("""COMPUTED_VALUE"""),"")</f>
        <v/>
      </c>
      <c r="G16809" s="42" t="str">
        <f>IFERROR(__xludf.DUMMYFUNCTION("""COMPUTED_VALUE"""),"")</f>
        <v/>
      </c>
      <c r="H16809" s="42">
        <f t="shared" si="1"/>
        <v>3345</v>
      </c>
    </row>
    <row r="16810" ht="22.5" customHeight="1">
      <c r="B16810" s="42" t="str">
        <f>IFERROR(__xludf.DUMMYFUNCTION("""COMPUTED_VALUE"""),"")</f>
        <v/>
      </c>
      <c r="C16810" s="42" t="str">
        <f>IFERROR(__xludf.DUMMYFUNCTION("""COMPUTED_VALUE"""),"")</f>
        <v/>
      </c>
      <c r="D16810" s="42"/>
      <c r="E16810" s="42"/>
      <c r="F16810" s="48" t="str">
        <f>IFERROR(__xludf.DUMMYFUNCTION("""COMPUTED_VALUE"""),"")</f>
        <v/>
      </c>
      <c r="G16810" s="42" t="str">
        <f>IFERROR(__xludf.DUMMYFUNCTION("""COMPUTED_VALUE"""),"")</f>
        <v/>
      </c>
      <c r="H16810" s="42">
        <f t="shared" si="1"/>
        <v>3345</v>
      </c>
    </row>
    <row r="16811" ht="22.5" customHeight="1">
      <c r="B16811" s="42" t="str">
        <f>IFERROR(__xludf.DUMMYFUNCTION("""COMPUTED_VALUE"""),"")</f>
        <v/>
      </c>
      <c r="C16811" s="42" t="str">
        <f>IFERROR(__xludf.DUMMYFUNCTION("""COMPUTED_VALUE"""),"")</f>
        <v/>
      </c>
      <c r="D16811" s="42"/>
      <c r="E16811" s="42"/>
      <c r="F16811" s="48" t="str">
        <f>IFERROR(__xludf.DUMMYFUNCTION("""COMPUTED_VALUE"""),"")</f>
        <v/>
      </c>
      <c r="G16811" s="42" t="str">
        <f>IFERROR(__xludf.DUMMYFUNCTION("""COMPUTED_VALUE"""),"")</f>
        <v/>
      </c>
      <c r="H16811" s="42">
        <f t="shared" si="1"/>
        <v>3345</v>
      </c>
    </row>
    <row r="16812" ht="22.5" customHeight="1">
      <c r="B16812" s="42" t="str">
        <f>IFERROR(__xludf.DUMMYFUNCTION("""COMPUTED_VALUE"""),"")</f>
        <v/>
      </c>
      <c r="C16812" s="42" t="str">
        <f>IFERROR(__xludf.DUMMYFUNCTION("""COMPUTED_VALUE"""),"")</f>
        <v/>
      </c>
      <c r="D16812" s="42"/>
      <c r="E16812" s="42"/>
      <c r="F16812" s="48" t="str">
        <f>IFERROR(__xludf.DUMMYFUNCTION("""COMPUTED_VALUE"""),"")</f>
        <v/>
      </c>
      <c r="G16812" s="42" t="str">
        <f>IFERROR(__xludf.DUMMYFUNCTION("""COMPUTED_VALUE"""),"")</f>
        <v/>
      </c>
      <c r="H16812" s="42">
        <f t="shared" si="1"/>
        <v>3345</v>
      </c>
    </row>
    <row r="16813" ht="22.5" customHeight="1">
      <c r="B16813" s="42" t="str">
        <f>IFERROR(__xludf.DUMMYFUNCTION("""COMPUTED_VALUE"""),"")</f>
        <v/>
      </c>
      <c r="C16813" s="42" t="str">
        <f>IFERROR(__xludf.DUMMYFUNCTION("""COMPUTED_VALUE"""),"")</f>
        <v/>
      </c>
      <c r="D16813" s="42"/>
      <c r="E16813" s="42"/>
      <c r="F16813" s="48" t="str">
        <f>IFERROR(__xludf.DUMMYFUNCTION("""COMPUTED_VALUE"""),"")</f>
        <v/>
      </c>
      <c r="G16813" s="42" t="str">
        <f>IFERROR(__xludf.DUMMYFUNCTION("""COMPUTED_VALUE"""),"")</f>
        <v/>
      </c>
      <c r="H16813" s="42">
        <f t="shared" si="1"/>
        <v>3345</v>
      </c>
    </row>
    <row r="16814" ht="22.5" customHeight="1">
      <c r="B16814" s="42" t="str">
        <f>IFERROR(__xludf.DUMMYFUNCTION("""COMPUTED_VALUE"""),"")</f>
        <v/>
      </c>
      <c r="C16814" s="42" t="str">
        <f>IFERROR(__xludf.DUMMYFUNCTION("""COMPUTED_VALUE"""),"")</f>
        <v/>
      </c>
      <c r="D16814" s="42"/>
      <c r="E16814" s="42"/>
      <c r="F16814" s="48" t="str">
        <f>IFERROR(__xludf.DUMMYFUNCTION("""COMPUTED_VALUE"""),"")</f>
        <v/>
      </c>
      <c r="G16814" s="42" t="str">
        <f>IFERROR(__xludf.DUMMYFUNCTION("""COMPUTED_VALUE"""),"")</f>
        <v/>
      </c>
      <c r="H16814" s="42">
        <f t="shared" si="1"/>
        <v>3345</v>
      </c>
    </row>
    <row r="16815" ht="22.5" customHeight="1">
      <c r="B16815" s="42" t="str">
        <f>IFERROR(__xludf.DUMMYFUNCTION("""COMPUTED_VALUE"""),"")</f>
        <v/>
      </c>
      <c r="C16815" s="42" t="str">
        <f>IFERROR(__xludf.DUMMYFUNCTION("""COMPUTED_VALUE"""),"")</f>
        <v/>
      </c>
      <c r="D16815" s="42"/>
      <c r="E16815" s="42"/>
      <c r="F16815" s="48" t="str">
        <f>IFERROR(__xludf.DUMMYFUNCTION("""COMPUTED_VALUE"""),"")</f>
        <v/>
      </c>
      <c r="G16815" s="42" t="str">
        <f>IFERROR(__xludf.DUMMYFUNCTION("""COMPUTED_VALUE"""),"")</f>
        <v/>
      </c>
      <c r="H16815" s="42">
        <f t="shared" si="1"/>
        <v>3345</v>
      </c>
    </row>
    <row r="16816" ht="22.5" customHeight="1">
      <c r="B16816" s="42" t="str">
        <f>IFERROR(__xludf.DUMMYFUNCTION("""COMPUTED_VALUE"""),"")</f>
        <v/>
      </c>
      <c r="C16816" s="42" t="str">
        <f>IFERROR(__xludf.DUMMYFUNCTION("""COMPUTED_VALUE"""),"")</f>
        <v/>
      </c>
      <c r="D16816" s="42"/>
      <c r="E16816" s="42"/>
      <c r="F16816" s="48" t="str">
        <f>IFERROR(__xludf.DUMMYFUNCTION("""COMPUTED_VALUE"""),"")</f>
        <v/>
      </c>
      <c r="G16816" s="42" t="str">
        <f>IFERROR(__xludf.DUMMYFUNCTION("""COMPUTED_VALUE"""),"")</f>
        <v/>
      </c>
      <c r="H16816" s="42">
        <f t="shared" si="1"/>
        <v>3345</v>
      </c>
    </row>
    <row r="16817" ht="22.5" customHeight="1">
      <c r="B16817" s="42" t="str">
        <f>IFERROR(__xludf.DUMMYFUNCTION("""COMPUTED_VALUE"""),"")</f>
        <v/>
      </c>
      <c r="C16817" s="42" t="str">
        <f>IFERROR(__xludf.DUMMYFUNCTION("""COMPUTED_VALUE"""),"")</f>
        <v/>
      </c>
      <c r="D16817" s="42"/>
      <c r="E16817" s="42"/>
      <c r="F16817" s="48" t="str">
        <f>IFERROR(__xludf.DUMMYFUNCTION("""COMPUTED_VALUE"""),"")</f>
        <v/>
      </c>
      <c r="G16817" s="42" t="str">
        <f>IFERROR(__xludf.DUMMYFUNCTION("""COMPUTED_VALUE"""),"")</f>
        <v/>
      </c>
      <c r="H16817" s="42">
        <f t="shared" si="1"/>
        <v>3345</v>
      </c>
    </row>
    <row r="16818" ht="22.5" customHeight="1">
      <c r="B16818" s="42" t="str">
        <f>IFERROR(__xludf.DUMMYFUNCTION("""COMPUTED_VALUE"""),"")</f>
        <v/>
      </c>
      <c r="C16818" s="42" t="str">
        <f>IFERROR(__xludf.DUMMYFUNCTION("""COMPUTED_VALUE"""),"")</f>
        <v/>
      </c>
      <c r="D16818" s="42"/>
      <c r="E16818" s="42"/>
      <c r="F16818" s="48" t="str">
        <f>IFERROR(__xludf.DUMMYFUNCTION("""COMPUTED_VALUE"""),"")</f>
        <v/>
      </c>
      <c r="G16818" s="42" t="str">
        <f>IFERROR(__xludf.DUMMYFUNCTION("""COMPUTED_VALUE"""),"")</f>
        <v/>
      </c>
      <c r="H16818" s="42">
        <f t="shared" si="1"/>
        <v>3345</v>
      </c>
    </row>
    <row r="16819" ht="22.5" customHeight="1">
      <c r="B16819" s="42" t="str">
        <f>IFERROR(__xludf.DUMMYFUNCTION("""COMPUTED_VALUE"""),"")</f>
        <v/>
      </c>
      <c r="C16819" s="42" t="str">
        <f>IFERROR(__xludf.DUMMYFUNCTION("""COMPUTED_VALUE"""),"")</f>
        <v/>
      </c>
      <c r="D16819" s="42"/>
      <c r="E16819" s="42"/>
      <c r="F16819" s="48" t="str">
        <f>IFERROR(__xludf.DUMMYFUNCTION("""COMPUTED_VALUE"""),"")</f>
        <v/>
      </c>
      <c r="G16819" s="42" t="str">
        <f>IFERROR(__xludf.DUMMYFUNCTION("""COMPUTED_VALUE"""),"")</f>
        <v/>
      </c>
      <c r="H16819" s="42">
        <f t="shared" si="1"/>
        <v>3345</v>
      </c>
    </row>
    <row r="16820" ht="22.5" customHeight="1">
      <c r="B16820" s="42" t="str">
        <f>IFERROR(__xludf.DUMMYFUNCTION("""COMPUTED_VALUE"""),"")</f>
        <v/>
      </c>
      <c r="C16820" s="42" t="str">
        <f>IFERROR(__xludf.DUMMYFUNCTION("""COMPUTED_VALUE"""),"")</f>
        <v/>
      </c>
      <c r="D16820" s="42"/>
      <c r="E16820" s="42"/>
      <c r="F16820" s="48" t="str">
        <f>IFERROR(__xludf.DUMMYFUNCTION("""COMPUTED_VALUE"""),"")</f>
        <v/>
      </c>
      <c r="G16820" s="42" t="str">
        <f>IFERROR(__xludf.DUMMYFUNCTION("""COMPUTED_VALUE"""),"")</f>
        <v/>
      </c>
      <c r="H16820" s="42">
        <f t="shared" si="1"/>
        <v>3345</v>
      </c>
    </row>
    <row r="16821" ht="22.5" customHeight="1">
      <c r="B16821" s="42" t="str">
        <f>IFERROR(__xludf.DUMMYFUNCTION("""COMPUTED_VALUE"""),"")</f>
        <v/>
      </c>
      <c r="C16821" s="42" t="str">
        <f>IFERROR(__xludf.DUMMYFUNCTION("""COMPUTED_VALUE"""),"")</f>
        <v/>
      </c>
      <c r="D16821" s="42"/>
      <c r="E16821" s="42"/>
      <c r="F16821" s="48" t="str">
        <f>IFERROR(__xludf.DUMMYFUNCTION("""COMPUTED_VALUE"""),"")</f>
        <v/>
      </c>
      <c r="G16821" s="42" t="str">
        <f>IFERROR(__xludf.DUMMYFUNCTION("""COMPUTED_VALUE"""),"")</f>
        <v/>
      </c>
      <c r="H16821" s="42">
        <f t="shared" si="1"/>
        <v>3345</v>
      </c>
    </row>
    <row r="16822" ht="22.5" customHeight="1">
      <c r="B16822" s="42" t="str">
        <f>IFERROR(__xludf.DUMMYFUNCTION("""COMPUTED_VALUE"""),"")</f>
        <v/>
      </c>
      <c r="C16822" s="42" t="str">
        <f>IFERROR(__xludf.DUMMYFUNCTION("""COMPUTED_VALUE"""),"")</f>
        <v/>
      </c>
      <c r="D16822" s="42"/>
      <c r="E16822" s="42"/>
      <c r="F16822" s="48" t="str">
        <f>IFERROR(__xludf.DUMMYFUNCTION("""COMPUTED_VALUE"""),"")</f>
        <v/>
      </c>
      <c r="G16822" s="42" t="str">
        <f>IFERROR(__xludf.DUMMYFUNCTION("""COMPUTED_VALUE"""),"")</f>
        <v/>
      </c>
      <c r="H16822" s="42">
        <f t="shared" si="1"/>
        <v>3345</v>
      </c>
    </row>
    <row r="16823" ht="22.5" customHeight="1">
      <c r="B16823" s="42" t="str">
        <f>IFERROR(__xludf.DUMMYFUNCTION("""COMPUTED_VALUE"""),"")</f>
        <v/>
      </c>
      <c r="C16823" s="42" t="str">
        <f>IFERROR(__xludf.DUMMYFUNCTION("""COMPUTED_VALUE"""),"")</f>
        <v/>
      </c>
      <c r="D16823" s="42"/>
      <c r="E16823" s="42"/>
      <c r="F16823" s="48" t="str">
        <f>IFERROR(__xludf.DUMMYFUNCTION("""COMPUTED_VALUE"""),"")</f>
        <v/>
      </c>
      <c r="G16823" s="42" t="str">
        <f>IFERROR(__xludf.DUMMYFUNCTION("""COMPUTED_VALUE"""),"")</f>
        <v/>
      </c>
      <c r="H16823" s="42">
        <f t="shared" si="1"/>
        <v>3345</v>
      </c>
    </row>
    <row r="16824" ht="22.5" customHeight="1">
      <c r="B16824" s="42" t="str">
        <f>IFERROR(__xludf.DUMMYFUNCTION("""COMPUTED_VALUE"""),"")</f>
        <v/>
      </c>
      <c r="C16824" s="42" t="str">
        <f>IFERROR(__xludf.DUMMYFUNCTION("""COMPUTED_VALUE"""),"")</f>
        <v/>
      </c>
      <c r="D16824" s="42"/>
      <c r="E16824" s="42"/>
      <c r="F16824" s="48" t="str">
        <f>IFERROR(__xludf.DUMMYFUNCTION("""COMPUTED_VALUE"""),"")</f>
        <v/>
      </c>
      <c r="G16824" s="42" t="str">
        <f>IFERROR(__xludf.DUMMYFUNCTION("""COMPUTED_VALUE"""),"")</f>
        <v/>
      </c>
      <c r="H16824" s="42">
        <f t="shared" si="1"/>
        <v>3345</v>
      </c>
    </row>
    <row r="16825" ht="22.5" customHeight="1">
      <c r="B16825" s="42" t="str">
        <f>IFERROR(__xludf.DUMMYFUNCTION("""COMPUTED_VALUE"""),"")</f>
        <v/>
      </c>
      <c r="C16825" s="42" t="str">
        <f>IFERROR(__xludf.DUMMYFUNCTION("""COMPUTED_VALUE"""),"")</f>
        <v/>
      </c>
      <c r="D16825" s="42"/>
      <c r="E16825" s="42"/>
      <c r="F16825" s="48" t="str">
        <f>IFERROR(__xludf.DUMMYFUNCTION("""COMPUTED_VALUE"""),"")</f>
        <v/>
      </c>
      <c r="G16825" s="42" t="str">
        <f>IFERROR(__xludf.DUMMYFUNCTION("""COMPUTED_VALUE"""),"")</f>
        <v/>
      </c>
      <c r="H16825" s="42">
        <f t="shared" si="1"/>
        <v>3345</v>
      </c>
    </row>
    <row r="16826" ht="22.5" customHeight="1">
      <c r="B16826" s="42" t="str">
        <f>IFERROR(__xludf.DUMMYFUNCTION("""COMPUTED_VALUE"""),"")</f>
        <v/>
      </c>
      <c r="C16826" s="42" t="str">
        <f>IFERROR(__xludf.DUMMYFUNCTION("""COMPUTED_VALUE"""),"")</f>
        <v/>
      </c>
      <c r="D16826" s="42"/>
      <c r="E16826" s="42"/>
      <c r="F16826" s="48" t="str">
        <f>IFERROR(__xludf.DUMMYFUNCTION("""COMPUTED_VALUE"""),"")</f>
        <v/>
      </c>
      <c r="G16826" s="42" t="str">
        <f>IFERROR(__xludf.DUMMYFUNCTION("""COMPUTED_VALUE"""),"")</f>
        <v/>
      </c>
      <c r="H16826" s="42">
        <f t="shared" si="1"/>
        <v>3345</v>
      </c>
    </row>
    <row r="16827" ht="22.5" customHeight="1">
      <c r="B16827" s="42" t="str">
        <f>IFERROR(__xludf.DUMMYFUNCTION("""COMPUTED_VALUE"""),"")</f>
        <v/>
      </c>
      <c r="C16827" s="42" t="str">
        <f>IFERROR(__xludf.DUMMYFUNCTION("""COMPUTED_VALUE"""),"")</f>
        <v/>
      </c>
      <c r="D16827" s="42"/>
      <c r="E16827" s="42"/>
      <c r="F16827" s="48" t="str">
        <f>IFERROR(__xludf.DUMMYFUNCTION("""COMPUTED_VALUE"""),"")</f>
        <v/>
      </c>
      <c r="G16827" s="42" t="str">
        <f>IFERROR(__xludf.DUMMYFUNCTION("""COMPUTED_VALUE"""),"")</f>
        <v/>
      </c>
      <c r="H16827" s="42">
        <f t="shared" si="1"/>
        <v>3345</v>
      </c>
    </row>
    <row r="16828" ht="22.5" customHeight="1">
      <c r="B16828" s="42" t="str">
        <f>IFERROR(__xludf.DUMMYFUNCTION("""COMPUTED_VALUE"""),"")</f>
        <v/>
      </c>
      <c r="C16828" s="42" t="str">
        <f>IFERROR(__xludf.DUMMYFUNCTION("""COMPUTED_VALUE"""),"")</f>
        <v/>
      </c>
      <c r="D16828" s="42"/>
      <c r="E16828" s="42"/>
      <c r="F16828" s="48" t="str">
        <f>IFERROR(__xludf.DUMMYFUNCTION("""COMPUTED_VALUE"""),"")</f>
        <v/>
      </c>
      <c r="G16828" s="42" t="str">
        <f>IFERROR(__xludf.DUMMYFUNCTION("""COMPUTED_VALUE"""),"")</f>
        <v/>
      </c>
      <c r="H16828" s="42">
        <f t="shared" si="1"/>
        <v>3345</v>
      </c>
    </row>
    <row r="16829" ht="22.5" customHeight="1">
      <c r="B16829" s="42" t="str">
        <f>IFERROR(__xludf.DUMMYFUNCTION("""COMPUTED_VALUE"""),"")</f>
        <v/>
      </c>
      <c r="C16829" s="42" t="str">
        <f>IFERROR(__xludf.DUMMYFUNCTION("""COMPUTED_VALUE"""),"")</f>
        <v/>
      </c>
      <c r="D16829" s="42"/>
      <c r="E16829" s="42"/>
      <c r="F16829" s="48" t="str">
        <f>IFERROR(__xludf.DUMMYFUNCTION("""COMPUTED_VALUE"""),"")</f>
        <v/>
      </c>
      <c r="G16829" s="42" t="str">
        <f>IFERROR(__xludf.DUMMYFUNCTION("""COMPUTED_VALUE"""),"")</f>
        <v/>
      </c>
      <c r="H16829" s="42">
        <f t="shared" si="1"/>
        <v>3345</v>
      </c>
    </row>
    <row r="16830" ht="22.5" customHeight="1">
      <c r="B16830" s="42" t="str">
        <f>IFERROR(__xludf.DUMMYFUNCTION("""COMPUTED_VALUE"""),"")</f>
        <v/>
      </c>
      <c r="C16830" s="42" t="str">
        <f>IFERROR(__xludf.DUMMYFUNCTION("""COMPUTED_VALUE"""),"")</f>
        <v/>
      </c>
      <c r="D16830" s="42"/>
      <c r="E16830" s="42"/>
      <c r="F16830" s="48" t="str">
        <f>IFERROR(__xludf.DUMMYFUNCTION("""COMPUTED_VALUE"""),"")</f>
        <v/>
      </c>
      <c r="G16830" s="42" t="str">
        <f>IFERROR(__xludf.DUMMYFUNCTION("""COMPUTED_VALUE"""),"")</f>
        <v/>
      </c>
      <c r="H16830" s="42">
        <f t="shared" si="1"/>
        <v>3345</v>
      </c>
    </row>
    <row r="16831" ht="22.5" customHeight="1">
      <c r="B16831" s="42" t="str">
        <f>IFERROR(__xludf.DUMMYFUNCTION("""COMPUTED_VALUE"""),"")</f>
        <v/>
      </c>
      <c r="C16831" s="42" t="str">
        <f>IFERROR(__xludf.DUMMYFUNCTION("""COMPUTED_VALUE"""),"")</f>
        <v/>
      </c>
      <c r="D16831" s="42"/>
      <c r="E16831" s="42"/>
      <c r="F16831" s="48" t="str">
        <f>IFERROR(__xludf.DUMMYFUNCTION("""COMPUTED_VALUE"""),"")</f>
        <v/>
      </c>
      <c r="G16831" s="42" t="str">
        <f>IFERROR(__xludf.DUMMYFUNCTION("""COMPUTED_VALUE"""),"")</f>
        <v/>
      </c>
      <c r="H16831" s="42">
        <f t="shared" si="1"/>
        <v>3345</v>
      </c>
    </row>
    <row r="16832" ht="22.5" customHeight="1">
      <c r="B16832" s="42" t="str">
        <f>IFERROR(__xludf.DUMMYFUNCTION("""COMPUTED_VALUE"""),"")</f>
        <v/>
      </c>
      <c r="C16832" s="42" t="str">
        <f>IFERROR(__xludf.DUMMYFUNCTION("""COMPUTED_VALUE"""),"")</f>
        <v/>
      </c>
      <c r="D16832" s="42"/>
      <c r="E16832" s="42"/>
      <c r="F16832" s="48" t="str">
        <f>IFERROR(__xludf.DUMMYFUNCTION("""COMPUTED_VALUE"""),"")</f>
        <v/>
      </c>
      <c r="G16832" s="42" t="str">
        <f>IFERROR(__xludf.DUMMYFUNCTION("""COMPUTED_VALUE"""),"")</f>
        <v/>
      </c>
      <c r="H16832" s="42">
        <f t="shared" si="1"/>
        <v>3345</v>
      </c>
    </row>
    <row r="16833" ht="22.5" customHeight="1">
      <c r="B16833" s="42" t="str">
        <f>IFERROR(__xludf.DUMMYFUNCTION("""COMPUTED_VALUE"""),"")</f>
        <v/>
      </c>
      <c r="C16833" s="42" t="str">
        <f>IFERROR(__xludf.DUMMYFUNCTION("""COMPUTED_VALUE"""),"")</f>
        <v/>
      </c>
      <c r="D16833" s="42"/>
      <c r="E16833" s="42"/>
      <c r="F16833" s="48" t="str">
        <f>IFERROR(__xludf.DUMMYFUNCTION("""COMPUTED_VALUE"""),"")</f>
        <v/>
      </c>
      <c r="G16833" s="42" t="str">
        <f>IFERROR(__xludf.DUMMYFUNCTION("""COMPUTED_VALUE"""),"")</f>
        <v/>
      </c>
      <c r="H16833" s="42">
        <f t="shared" si="1"/>
        <v>3345</v>
      </c>
    </row>
    <row r="16834" ht="22.5" customHeight="1">
      <c r="B16834" s="42" t="str">
        <f>IFERROR(__xludf.DUMMYFUNCTION("""COMPUTED_VALUE"""),"")</f>
        <v/>
      </c>
      <c r="C16834" s="42" t="str">
        <f>IFERROR(__xludf.DUMMYFUNCTION("""COMPUTED_VALUE"""),"")</f>
        <v/>
      </c>
      <c r="D16834" s="42"/>
      <c r="E16834" s="42"/>
      <c r="F16834" s="48" t="str">
        <f>IFERROR(__xludf.DUMMYFUNCTION("""COMPUTED_VALUE"""),"")</f>
        <v/>
      </c>
      <c r="G16834" s="42" t="str">
        <f>IFERROR(__xludf.DUMMYFUNCTION("""COMPUTED_VALUE"""),"")</f>
        <v/>
      </c>
      <c r="H16834" s="42">
        <f t="shared" si="1"/>
        <v>3345</v>
      </c>
    </row>
    <row r="16835" ht="22.5" customHeight="1">
      <c r="B16835" s="42" t="str">
        <f>IFERROR(__xludf.DUMMYFUNCTION("""COMPUTED_VALUE"""),"")</f>
        <v/>
      </c>
      <c r="C16835" s="42" t="str">
        <f>IFERROR(__xludf.DUMMYFUNCTION("""COMPUTED_VALUE"""),"")</f>
        <v/>
      </c>
      <c r="D16835" s="42"/>
      <c r="E16835" s="42"/>
      <c r="F16835" s="48" t="str">
        <f>IFERROR(__xludf.DUMMYFUNCTION("""COMPUTED_VALUE"""),"")</f>
        <v/>
      </c>
      <c r="G16835" s="42" t="str">
        <f>IFERROR(__xludf.DUMMYFUNCTION("""COMPUTED_VALUE"""),"")</f>
        <v/>
      </c>
      <c r="H16835" s="42">
        <f t="shared" si="1"/>
        <v>3345</v>
      </c>
    </row>
    <row r="16836" ht="22.5" customHeight="1">
      <c r="B16836" s="42" t="str">
        <f>IFERROR(__xludf.DUMMYFUNCTION("""COMPUTED_VALUE"""),"")</f>
        <v/>
      </c>
      <c r="C16836" s="42" t="str">
        <f>IFERROR(__xludf.DUMMYFUNCTION("""COMPUTED_VALUE"""),"")</f>
        <v/>
      </c>
      <c r="D16836" s="42"/>
      <c r="E16836" s="42"/>
      <c r="F16836" s="48" t="str">
        <f>IFERROR(__xludf.DUMMYFUNCTION("""COMPUTED_VALUE"""),"")</f>
        <v/>
      </c>
      <c r="G16836" s="42" t="str">
        <f>IFERROR(__xludf.DUMMYFUNCTION("""COMPUTED_VALUE"""),"")</f>
        <v/>
      </c>
      <c r="H16836" s="42">
        <f t="shared" si="1"/>
        <v>3345</v>
      </c>
    </row>
    <row r="16837" ht="22.5" customHeight="1">
      <c r="B16837" s="42" t="str">
        <f>IFERROR(__xludf.DUMMYFUNCTION("""COMPUTED_VALUE"""),"")</f>
        <v/>
      </c>
      <c r="C16837" s="42" t="str">
        <f>IFERROR(__xludf.DUMMYFUNCTION("""COMPUTED_VALUE"""),"")</f>
        <v/>
      </c>
      <c r="D16837" s="42"/>
      <c r="E16837" s="42"/>
      <c r="F16837" s="48" t="str">
        <f>IFERROR(__xludf.DUMMYFUNCTION("""COMPUTED_VALUE"""),"")</f>
        <v/>
      </c>
      <c r="G16837" s="42" t="str">
        <f>IFERROR(__xludf.DUMMYFUNCTION("""COMPUTED_VALUE"""),"")</f>
        <v/>
      </c>
      <c r="H16837" s="42">
        <f t="shared" si="1"/>
        <v>3345</v>
      </c>
    </row>
    <row r="16838" ht="22.5" customHeight="1">
      <c r="B16838" s="42" t="str">
        <f>IFERROR(__xludf.DUMMYFUNCTION("""COMPUTED_VALUE"""),"")</f>
        <v/>
      </c>
      <c r="C16838" s="42" t="str">
        <f>IFERROR(__xludf.DUMMYFUNCTION("""COMPUTED_VALUE"""),"")</f>
        <v/>
      </c>
      <c r="D16838" s="42"/>
      <c r="E16838" s="42"/>
      <c r="F16838" s="48" t="str">
        <f>IFERROR(__xludf.DUMMYFUNCTION("""COMPUTED_VALUE"""),"")</f>
        <v/>
      </c>
      <c r="G16838" s="42" t="str">
        <f>IFERROR(__xludf.DUMMYFUNCTION("""COMPUTED_VALUE"""),"")</f>
        <v/>
      </c>
      <c r="H16838" s="42">
        <f t="shared" si="1"/>
        <v>3345</v>
      </c>
    </row>
    <row r="16839" ht="22.5" customHeight="1">
      <c r="B16839" s="42" t="str">
        <f>IFERROR(__xludf.DUMMYFUNCTION("""COMPUTED_VALUE"""),"")</f>
        <v/>
      </c>
      <c r="C16839" s="42" t="str">
        <f>IFERROR(__xludf.DUMMYFUNCTION("""COMPUTED_VALUE"""),"")</f>
        <v/>
      </c>
      <c r="D16839" s="42"/>
      <c r="E16839" s="42"/>
      <c r="F16839" s="48" t="str">
        <f>IFERROR(__xludf.DUMMYFUNCTION("""COMPUTED_VALUE"""),"")</f>
        <v/>
      </c>
      <c r="G16839" s="42" t="str">
        <f>IFERROR(__xludf.DUMMYFUNCTION("""COMPUTED_VALUE"""),"")</f>
        <v/>
      </c>
      <c r="H16839" s="42">
        <f t="shared" si="1"/>
        <v>3345</v>
      </c>
    </row>
    <row r="16840" ht="22.5" customHeight="1">
      <c r="B16840" s="42" t="str">
        <f>IFERROR(__xludf.DUMMYFUNCTION("""COMPUTED_VALUE"""),"")</f>
        <v/>
      </c>
      <c r="C16840" s="42" t="str">
        <f>IFERROR(__xludf.DUMMYFUNCTION("""COMPUTED_VALUE"""),"")</f>
        <v/>
      </c>
      <c r="D16840" s="42"/>
      <c r="E16840" s="42"/>
      <c r="F16840" s="48" t="str">
        <f>IFERROR(__xludf.DUMMYFUNCTION("""COMPUTED_VALUE"""),"")</f>
        <v/>
      </c>
      <c r="G16840" s="42" t="str">
        <f>IFERROR(__xludf.DUMMYFUNCTION("""COMPUTED_VALUE"""),"")</f>
        <v/>
      </c>
      <c r="H16840" s="42">
        <f t="shared" si="1"/>
        <v>3345</v>
      </c>
    </row>
    <row r="16841" ht="22.5" customHeight="1">
      <c r="B16841" s="42" t="str">
        <f>IFERROR(__xludf.DUMMYFUNCTION("""COMPUTED_VALUE"""),"")</f>
        <v/>
      </c>
      <c r="C16841" s="42" t="str">
        <f>IFERROR(__xludf.DUMMYFUNCTION("""COMPUTED_VALUE"""),"")</f>
        <v/>
      </c>
      <c r="D16841" s="42"/>
      <c r="E16841" s="42"/>
      <c r="F16841" s="48" t="str">
        <f>IFERROR(__xludf.DUMMYFUNCTION("""COMPUTED_VALUE"""),"")</f>
        <v/>
      </c>
      <c r="G16841" s="42" t="str">
        <f>IFERROR(__xludf.DUMMYFUNCTION("""COMPUTED_VALUE"""),"")</f>
        <v/>
      </c>
      <c r="H16841" s="42">
        <f t="shared" si="1"/>
        <v>3345</v>
      </c>
    </row>
    <row r="16842" ht="22.5" customHeight="1">
      <c r="B16842" s="42" t="str">
        <f>IFERROR(__xludf.DUMMYFUNCTION("""COMPUTED_VALUE"""),"")</f>
        <v/>
      </c>
      <c r="C16842" s="42" t="str">
        <f>IFERROR(__xludf.DUMMYFUNCTION("""COMPUTED_VALUE"""),"")</f>
        <v/>
      </c>
      <c r="D16842" s="42"/>
      <c r="E16842" s="42"/>
      <c r="F16842" s="48" t="str">
        <f>IFERROR(__xludf.DUMMYFUNCTION("""COMPUTED_VALUE"""),"")</f>
        <v/>
      </c>
      <c r="G16842" s="42" t="str">
        <f>IFERROR(__xludf.DUMMYFUNCTION("""COMPUTED_VALUE"""),"")</f>
        <v/>
      </c>
      <c r="H16842" s="42">
        <f t="shared" si="1"/>
        <v>3345</v>
      </c>
    </row>
    <row r="16843" ht="22.5" customHeight="1">
      <c r="B16843" s="42" t="str">
        <f>IFERROR(__xludf.DUMMYFUNCTION("""COMPUTED_VALUE"""),"")</f>
        <v/>
      </c>
      <c r="C16843" s="42" t="str">
        <f>IFERROR(__xludf.DUMMYFUNCTION("""COMPUTED_VALUE"""),"")</f>
        <v/>
      </c>
      <c r="D16843" s="42"/>
      <c r="E16843" s="42"/>
      <c r="F16843" s="48" t="str">
        <f>IFERROR(__xludf.DUMMYFUNCTION("""COMPUTED_VALUE"""),"")</f>
        <v/>
      </c>
      <c r="G16843" s="42" t="str">
        <f>IFERROR(__xludf.DUMMYFUNCTION("""COMPUTED_VALUE"""),"")</f>
        <v/>
      </c>
      <c r="H16843" s="42">
        <f t="shared" si="1"/>
        <v>3345</v>
      </c>
    </row>
    <row r="16844" ht="22.5" customHeight="1">
      <c r="B16844" s="42" t="str">
        <f>IFERROR(__xludf.DUMMYFUNCTION("""COMPUTED_VALUE"""),"")</f>
        <v/>
      </c>
      <c r="C16844" s="42" t="str">
        <f>IFERROR(__xludf.DUMMYFUNCTION("""COMPUTED_VALUE"""),"")</f>
        <v/>
      </c>
      <c r="D16844" s="42"/>
      <c r="E16844" s="42"/>
      <c r="F16844" s="48" t="str">
        <f>IFERROR(__xludf.DUMMYFUNCTION("""COMPUTED_VALUE"""),"")</f>
        <v/>
      </c>
      <c r="G16844" s="42" t="str">
        <f>IFERROR(__xludf.DUMMYFUNCTION("""COMPUTED_VALUE"""),"")</f>
        <v/>
      </c>
      <c r="H16844" s="42">
        <f t="shared" si="1"/>
        <v>3345</v>
      </c>
    </row>
    <row r="16845" ht="22.5" customHeight="1">
      <c r="B16845" s="42" t="str">
        <f>IFERROR(__xludf.DUMMYFUNCTION("""COMPUTED_VALUE"""),"")</f>
        <v/>
      </c>
      <c r="C16845" s="42" t="str">
        <f>IFERROR(__xludf.DUMMYFUNCTION("""COMPUTED_VALUE"""),"")</f>
        <v/>
      </c>
      <c r="D16845" s="42"/>
      <c r="E16845" s="42"/>
      <c r="F16845" s="48" t="str">
        <f>IFERROR(__xludf.DUMMYFUNCTION("""COMPUTED_VALUE"""),"")</f>
        <v/>
      </c>
      <c r="G16845" s="42" t="str">
        <f>IFERROR(__xludf.DUMMYFUNCTION("""COMPUTED_VALUE"""),"")</f>
        <v/>
      </c>
      <c r="H16845" s="42">
        <f t="shared" si="1"/>
        <v>3345</v>
      </c>
    </row>
    <row r="16846" ht="22.5" customHeight="1">
      <c r="B16846" s="42" t="str">
        <f>IFERROR(__xludf.DUMMYFUNCTION("""COMPUTED_VALUE"""),"")</f>
        <v/>
      </c>
      <c r="C16846" s="42" t="str">
        <f>IFERROR(__xludf.DUMMYFUNCTION("""COMPUTED_VALUE"""),"")</f>
        <v/>
      </c>
      <c r="D16846" s="42"/>
      <c r="E16846" s="42"/>
      <c r="F16846" s="48" t="str">
        <f>IFERROR(__xludf.DUMMYFUNCTION("""COMPUTED_VALUE"""),"")</f>
        <v/>
      </c>
      <c r="G16846" s="42" t="str">
        <f>IFERROR(__xludf.DUMMYFUNCTION("""COMPUTED_VALUE"""),"")</f>
        <v/>
      </c>
      <c r="H16846" s="42">
        <f t="shared" si="1"/>
        <v>3345</v>
      </c>
    </row>
    <row r="16847" ht="22.5" customHeight="1">
      <c r="B16847" s="42" t="str">
        <f>IFERROR(__xludf.DUMMYFUNCTION("""COMPUTED_VALUE"""),"")</f>
        <v/>
      </c>
      <c r="C16847" s="42" t="str">
        <f>IFERROR(__xludf.DUMMYFUNCTION("""COMPUTED_VALUE"""),"")</f>
        <v/>
      </c>
      <c r="D16847" s="42"/>
      <c r="E16847" s="42"/>
      <c r="F16847" s="48" t="str">
        <f>IFERROR(__xludf.DUMMYFUNCTION("""COMPUTED_VALUE"""),"")</f>
        <v/>
      </c>
      <c r="G16847" s="42" t="str">
        <f>IFERROR(__xludf.DUMMYFUNCTION("""COMPUTED_VALUE"""),"")</f>
        <v/>
      </c>
      <c r="H16847" s="42">
        <f t="shared" si="1"/>
        <v>3345</v>
      </c>
    </row>
    <row r="16848" ht="22.5" customHeight="1">
      <c r="B16848" s="42" t="str">
        <f>IFERROR(__xludf.DUMMYFUNCTION("""COMPUTED_VALUE"""),"")</f>
        <v/>
      </c>
      <c r="C16848" s="42" t="str">
        <f>IFERROR(__xludf.DUMMYFUNCTION("""COMPUTED_VALUE"""),"")</f>
        <v/>
      </c>
      <c r="D16848" s="42"/>
      <c r="E16848" s="42"/>
      <c r="F16848" s="48" t="str">
        <f>IFERROR(__xludf.DUMMYFUNCTION("""COMPUTED_VALUE"""),"")</f>
        <v/>
      </c>
      <c r="G16848" s="42" t="str">
        <f>IFERROR(__xludf.DUMMYFUNCTION("""COMPUTED_VALUE"""),"")</f>
        <v/>
      </c>
      <c r="H16848" s="42">
        <f t="shared" si="1"/>
        <v>3345</v>
      </c>
    </row>
    <row r="16849" ht="22.5" customHeight="1">
      <c r="B16849" s="42" t="str">
        <f>IFERROR(__xludf.DUMMYFUNCTION("""COMPUTED_VALUE"""),"")</f>
        <v/>
      </c>
      <c r="C16849" s="42" t="str">
        <f>IFERROR(__xludf.DUMMYFUNCTION("""COMPUTED_VALUE"""),"")</f>
        <v/>
      </c>
      <c r="D16849" s="42"/>
      <c r="E16849" s="42"/>
      <c r="F16849" s="48" t="str">
        <f>IFERROR(__xludf.DUMMYFUNCTION("""COMPUTED_VALUE"""),"")</f>
        <v/>
      </c>
      <c r="G16849" s="42" t="str">
        <f>IFERROR(__xludf.DUMMYFUNCTION("""COMPUTED_VALUE"""),"")</f>
        <v/>
      </c>
      <c r="H16849" s="42">
        <f t="shared" si="1"/>
        <v>3345</v>
      </c>
    </row>
    <row r="16850" ht="22.5" customHeight="1">
      <c r="B16850" s="42" t="str">
        <f>IFERROR(__xludf.DUMMYFUNCTION("""COMPUTED_VALUE"""),"")</f>
        <v/>
      </c>
      <c r="C16850" s="42" t="str">
        <f>IFERROR(__xludf.DUMMYFUNCTION("""COMPUTED_VALUE"""),"")</f>
        <v/>
      </c>
      <c r="D16850" s="42"/>
      <c r="E16850" s="42"/>
      <c r="F16850" s="48" t="str">
        <f>IFERROR(__xludf.DUMMYFUNCTION("""COMPUTED_VALUE"""),"")</f>
        <v/>
      </c>
      <c r="G16850" s="42" t="str">
        <f>IFERROR(__xludf.DUMMYFUNCTION("""COMPUTED_VALUE"""),"")</f>
        <v/>
      </c>
      <c r="H16850" s="42">
        <f t="shared" si="1"/>
        <v>3345</v>
      </c>
    </row>
    <row r="16851" ht="22.5" customHeight="1">
      <c r="B16851" s="42" t="str">
        <f>IFERROR(__xludf.DUMMYFUNCTION("""COMPUTED_VALUE"""),"")</f>
        <v/>
      </c>
      <c r="C16851" s="42" t="str">
        <f>IFERROR(__xludf.DUMMYFUNCTION("""COMPUTED_VALUE"""),"")</f>
        <v/>
      </c>
      <c r="D16851" s="42"/>
      <c r="E16851" s="42"/>
      <c r="F16851" s="48" t="str">
        <f>IFERROR(__xludf.DUMMYFUNCTION("""COMPUTED_VALUE"""),"")</f>
        <v/>
      </c>
      <c r="G16851" s="42" t="str">
        <f>IFERROR(__xludf.DUMMYFUNCTION("""COMPUTED_VALUE"""),"")</f>
        <v/>
      </c>
      <c r="H16851" s="42">
        <f t="shared" si="1"/>
        <v>3345</v>
      </c>
    </row>
    <row r="16852" ht="22.5" customHeight="1">
      <c r="B16852" s="42" t="str">
        <f>IFERROR(__xludf.DUMMYFUNCTION("""COMPUTED_VALUE"""),"")</f>
        <v/>
      </c>
      <c r="C16852" s="42" t="str">
        <f>IFERROR(__xludf.DUMMYFUNCTION("""COMPUTED_VALUE"""),"")</f>
        <v/>
      </c>
      <c r="D16852" s="42"/>
      <c r="E16852" s="42"/>
      <c r="F16852" s="48" t="str">
        <f>IFERROR(__xludf.DUMMYFUNCTION("""COMPUTED_VALUE"""),"")</f>
        <v/>
      </c>
      <c r="G16852" s="42" t="str">
        <f>IFERROR(__xludf.DUMMYFUNCTION("""COMPUTED_VALUE"""),"")</f>
        <v/>
      </c>
      <c r="H16852" s="42">
        <f t="shared" si="1"/>
        <v>3345</v>
      </c>
    </row>
    <row r="16853" ht="22.5" customHeight="1">
      <c r="B16853" s="42" t="str">
        <f>IFERROR(__xludf.DUMMYFUNCTION("""COMPUTED_VALUE"""),"")</f>
        <v/>
      </c>
      <c r="C16853" s="42" t="str">
        <f>IFERROR(__xludf.DUMMYFUNCTION("""COMPUTED_VALUE"""),"")</f>
        <v/>
      </c>
      <c r="D16853" s="42"/>
      <c r="E16853" s="42"/>
      <c r="F16853" s="48" t="str">
        <f>IFERROR(__xludf.DUMMYFUNCTION("""COMPUTED_VALUE"""),"")</f>
        <v/>
      </c>
      <c r="G16853" s="42" t="str">
        <f>IFERROR(__xludf.DUMMYFUNCTION("""COMPUTED_VALUE"""),"")</f>
        <v/>
      </c>
      <c r="H16853" s="42">
        <f t="shared" si="1"/>
        <v>3345</v>
      </c>
    </row>
    <row r="16854" ht="22.5" customHeight="1">
      <c r="B16854" s="42" t="str">
        <f>IFERROR(__xludf.DUMMYFUNCTION("""COMPUTED_VALUE"""),"")</f>
        <v/>
      </c>
      <c r="C16854" s="42" t="str">
        <f>IFERROR(__xludf.DUMMYFUNCTION("""COMPUTED_VALUE"""),"")</f>
        <v/>
      </c>
      <c r="D16854" s="42"/>
      <c r="E16854" s="42"/>
      <c r="F16854" s="48" t="str">
        <f>IFERROR(__xludf.DUMMYFUNCTION("""COMPUTED_VALUE"""),"")</f>
        <v/>
      </c>
      <c r="G16854" s="42" t="str">
        <f>IFERROR(__xludf.DUMMYFUNCTION("""COMPUTED_VALUE"""),"")</f>
        <v/>
      </c>
      <c r="H16854" s="42">
        <f t="shared" si="1"/>
        <v>3345</v>
      </c>
    </row>
    <row r="16855" ht="22.5" customHeight="1">
      <c r="B16855" s="42" t="str">
        <f>IFERROR(__xludf.DUMMYFUNCTION("""COMPUTED_VALUE"""),"")</f>
        <v/>
      </c>
      <c r="C16855" s="42" t="str">
        <f>IFERROR(__xludf.DUMMYFUNCTION("""COMPUTED_VALUE"""),"")</f>
        <v/>
      </c>
      <c r="D16855" s="42"/>
      <c r="E16855" s="42"/>
      <c r="F16855" s="48" t="str">
        <f>IFERROR(__xludf.DUMMYFUNCTION("""COMPUTED_VALUE"""),"")</f>
        <v/>
      </c>
      <c r="G16855" s="42" t="str">
        <f>IFERROR(__xludf.DUMMYFUNCTION("""COMPUTED_VALUE"""),"")</f>
        <v/>
      </c>
      <c r="H16855" s="42">
        <f t="shared" si="1"/>
        <v>3345</v>
      </c>
    </row>
    <row r="16856" ht="22.5" customHeight="1">
      <c r="B16856" s="42" t="str">
        <f>IFERROR(__xludf.DUMMYFUNCTION("""COMPUTED_VALUE"""),"")</f>
        <v/>
      </c>
      <c r="C16856" s="42" t="str">
        <f>IFERROR(__xludf.DUMMYFUNCTION("""COMPUTED_VALUE"""),"")</f>
        <v/>
      </c>
      <c r="D16856" s="42"/>
      <c r="E16856" s="42"/>
      <c r="F16856" s="48" t="str">
        <f>IFERROR(__xludf.DUMMYFUNCTION("""COMPUTED_VALUE"""),"")</f>
        <v/>
      </c>
      <c r="G16856" s="42" t="str">
        <f>IFERROR(__xludf.DUMMYFUNCTION("""COMPUTED_VALUE"""),"")</f>
        <v/>
      </c>
      <c r="H16856" s="42">
        <f t="shared" si="1"/>
        <v>3345</v>
      </c>
    </row>
    <row r="16857" ht="22.5" customHeight="1">
      <c r="B16857" s="42" t="str">
        <f>IFERROR(__xludf.DUMMYFUNCTION("""COMPUTED_VALUE"""),"")</f>
        <v/>
      </c>
      <c r="C16857" s="42" t="str">
        <f>IFERROR(__xludf.DUMMYFUNCTION("""COMPUTED_VALUE"""),"")</f>
        <v/>
      </c>
      <c r="D16857" s="42"/>
      <c r="E16857" s="42"/>
      <c r="F16857" s="48" t="str">
        <f>IFERROR(__xludf.DUMMYFUNCTION("""COMPUTED_VALUE"""),"")</f>
        <v/>
      </c>
      <c r="G16857" s="42" t="str">
        <f>IFERROR(__xludf.DUMMYFUNCTION("""COMPUTED_VALUE"""),"")</f>
        <v/>
      </c>
      <c r="H16857" s="42">
        <f t="shared" si="1"/>
        <v>3345</v>
      </c>
    </row>
    <row r="16858" ht="22.5" customHeight="1">
      <c r="B16858" s="42" t="str">
        <f>IFERROR(__xludf.DUMMYFUNCTION("""COMPUTED_VALUE"""),"")</f>
        <v/>
      </c>
      <c r="C16858" s="42" t="str">
        <f>IFERROR(__xludf.DUMMYFUNCTION("""COMPUTED_VALUE"""),"")</f>
        <v/>
      </c>
      <c r="D16858" s="42"/>
      <c r="E16858" s="42"/>
      <c r="F16858" s="48" t="str">
        <f>IFERROR(__xludf.DUMMYFUNCTION("""COMPUTED_VALUE"""),"")</f>
        <v/>
      </c>
      <c r="G16858" s="42" t="str">
        <f>IFERROR(__xludf.DUMMYFUNCTION("""COMPUTED_VALUE"""),"")</f>
        <v/>
      </c>
      <c r="H16858" s="42">
        <f t="shared" si="1"/>
        <v>3345</v>
      </c>
    </row>
    <row r="16859" ht="22.5" customHeight="1">
      <c r="B16859" s="42" t="str">
        <f>IFERROR(__xludf.DUMMYFUNCTION("""COMPUTED_VALUE"""),"")</f>
        <v/>
      </c>
      <c r="C16859" s="42" t="str">
        <f>IFERROR(__xludf.DUMMYFUNCTION("""COMPUTED_VALUE"""),"")</f>
        <v/>
      </c>
      <c r="D16859" s="42"/>
      <c r="E16859" s="42"/>
      <c r="F16859" s="48" t="str">
        <f>IFERROR(__xludf.DUMMYFUNCTION("""COMPUTED_VALUE"""),"")</f>
        <v/>
      </c>
      <c r="G16859" s="42" t="str">
        <f>IFERROR(__xludf.DUMMYFUNCTION("""COMPUTED_VALUE"""),"")</f>
        <v/>
      </c>
      <c r="H16859" s="42">
        <f t="shared" si="1"/>
        <v>3345</v>
      </c>
    </row>
    <row r="16860" ht="22.5" customHeight="1">
      <c r="B16860" s="42" t="str">
        <f>IFERROR(__xludf.DUMMYFUNCTION("""COMPUTED_VALUE"""),"")</f>
        <v/>
      </c>
      <c r="C16860" s="42" t="str">
        <f>IFERROR(__xludf.DUMMYFUNCTION("""COMPUTED_VALUE"""),"")</f>
        <v/>
      </c>
      <c r="D16860" s="42"/>
      <c r="E16860" s="42"/>
      <c r="F16860" s="48" t="str">
        <f>IFERROR(__xludf.DUMMYFUNCTION("""COMPUTED_VALUE"""),"")</f>
        <v/>
      </c>
      <c r="G16860" s="42" t="str">
        <f>IFERROR(__xludf.DUMMYFUNCTION("""COMPUTED_VALUE"""),"")</f>
        <v/>
      </c>
      <c r="H16860" s="42">
        <f t="shared" si="1"/>
        <v>3345</v>
      </c>
    </row>
    <row r="16861" ht="22.5" customHeight="1">
      <c r="B16861" s="42" t="str">
        <f>IFERROR(__xludf.DUMMYFUNCTION("""COMPUTED_VALUE"""),"")</f>
        <v/>
      </c>
      <c r="C16861" s="42" t="str">
        <f>IFERROR(__xludf.DUMMYFUNCTION("""COMPUTED_VALUE"""),"")</f>
        <v/>
      </c>
      <c r="D16861" s="42"/>
      <c r="E16861" s="42"/>
      <c r="F16861" s="48" t="str">
        <f>IFERROR(__xludf.DUMMYFUNCTION("""COMPUTED_VALUE"""),"")</f>
        <v/>
      </c>
      <c r="G16861" s="42" t="str">
        <f>IFERROR(__xludf.DUMMYFUNCTION("""COMPUTED_VALUE"""),"")</f>
        <v/>
      </c>
      <c r="H16861" s="42">
        <f t="shared" si="1"/>
        <v>3345</v>
      </c>
    </row>
    <row r="16862" ht="22.5" customHeight="1">
      <c r="B16862" s="42" t="str">
        <f>IFERROR(__xludf.DUMMYFUNCTION("""COMPUTED_VALUE"""),"")</f>
        <v/>
      </c>
      <c r="C16862" s="42" t="str">
        <f>IFERROR(__xludf.DUMMYFUNCTION("""COMPUTED_VALUE"""),"")</f>
        <v/>
      </c>
      <c r="D16862" s="42"/>
      <c r="E16862" s="42"/>
      <c r="F16862" s="48" t="str">
        <f>IFERROR(__xludf.DUMMYFUNCTION("""COMPUTED_VALUE"""),"")</f>
        <v/>
      </c>
      <c r="G16862" s="42" t="str">
        <f>IFERROR(__xludf.DUMMYFUNCTION("""COMPUTED_VALUE"""),"")</f>
        <v/>
      </c>
      <c r="H16862" s="42">
        <f t="shared" si="1"/>
        <v>3345</v>
      </c>
    </row>
    <row r="16863" ht="22.5" customHeight="1">
      <c r="B16863" s="42" t="str">
        <f>IFERROR(__xludf.DUMMYFUNCTION("""COMPUTED_VALUE"""),"")</f>
        <v/>
      </c>
      <c r="C16863" s="42" t="str">
        <f>IFERROR(__xludf.DUMMYFUNCTION("""COMPUTED_VALUE"""),"")</f>
        <v/>
      </c>
      <c r="D16863" s="42"/>
      <c r="E16863" s="42"/>
      <c r="F16863" s="48" t="str">
        <f>IFERROR(__xludf.DUMMYFUNCTION("""COMPUTED_VALUE"""),"")</f>
        <v/>
      </c>
      <c r="G16863" s="42" t="str">
        <f>IFERROR(__xludf.DUMMYFUNCTION("""COMPUTED_VALUE"""),"")</f>
        <v/>
      </c>
      <c r="H16863" s="42">
        <f t="shared" si="1"/>
        <v>3345</v>
      </c>
    </row>
    <row r="16864" ht="22.5" customHeight="1">
      <c r="B16864" s="42" t="str">
        <f>IFERROR(__xludf.DUMMYFUNCTION("""COMPUTED_VALUE"""),"")</f>
        <v/>
      </c>
      <c r="C16864" s="42" t="str">
        <f>IFERROR(__xludf.DUMMYFUNCTION("""COMPUTED_VALUE"""),"")</f>
        <v/>
      </c>
      <c r="D16864" s="42"/>
      <c r="E16864" s="42"/>
      <c r="F16864" s="48" t="str">
        <f>IFERROR(__xludf.DUMMYFUNCTION("""COMPUTED_VALUE"""),"")</f>
        <v/>
      </c>
      <c r="G16864" s="42" t="str">
        <f>IFERROR(__xludf.DUMMYFUNCTION("""COMPUTED_VALUE"""),"")</f>
        <v/>
      </c>
      <c r="H16864" s="42">
        <f t="shared" si="1"/>
        <v>3345</v>
      </c>
    </row>
    <row r="16865" ht="22.5" customHeight="1">
      <c r="B16865" s="42" t="str">
        <f>IFERROR(__xludf.DUMMYFUNCTION("""COMPUTED_VALUE"""),"")</f>
        <v/>
      </c>
      <c r="C16865" s="42" t="str">
        <f>IFERROR(__xludf.DUMMYFUNCTION("""COMPUTED_VALUE"""),"")</f>
        <v/>
      </c>
      <c r="D16865" s="42"/>
      <c r="E16865" s="42"/>
      <c r="F16865" s="48" t="str">
        <f>IFERROR(__xludf.DUMMYFUNCTION("""COMPUTED_VALUE"""),"")</f>
        <v/>
      </c>
      <c r="G16865" s="42" t="str">
        <f>IFERROR(__xludf.DUMMYFUNCTION("""COMPUTED_VALUE"""),"")</f>
        <v/>
      </c>
      <c r="H16865" s="42">
        <f t="shared" si="1"/>
        <v>3345</v>
      </c>
    </row>
    <row r="16866" ht="22.5" customHeight="1">
      <c r="B16866" s="42" t="str">
        <f>IFERROR(__xludf.DUMMYFUNCTION("""COMPUTED_VALUE"""),"")</f>
        <v/>
      </c>
      <c r="C16866" s="42" t="str">
        <f>IFERROR(__xludf.DUMMYFUNCTION("""COMPUTED_VALUE"""),"")</f>
        <v/>
      </c>
      <c r="D16866" s="42"/>
      <c r="E16866" s="42"/>
      <c r="F16866" s="48" t="str">
        <f>IFERROR(__xludf.DUMMYFUNCTION("""COMPUTED_VALUE"""),"")</f>
        <v/>
      </c>
      <c r="G16866" s="42" t="str">
        <f>IFERROR(__xludf.DUMMYFUNCTION("""COMPUTED_VALUE"""),"")</f>
        <v/>
      </c>
      <c r="H16866" s="42">
        <f t="shared" si="1"/>
        <v>3345</v>
      </c>
    </row>
    <row r="16867" ht="22.5" customHeight="1">
      <c r="B16867" s="42" t="str">
        <f>IFERROR(__xludf.DUMMYFUNCTION("""COMPUTED_VALUE"""),"")</f>
        <v/>
      </c>
      <c r="C16867" s="42" t="str">
        <f>IFERROR(__xludf.DUMMYFUNCTION("""COMPUTED_VALUE"""),"")</f>
        <v/>
      </c>
      <c r="D16867" s="42"/>
      <c r="E16867" s="42"/>
      <c r="F16867" s="48" t="str">
        <f>IFERROR(__xludf.DUMMYFUNCTION("""COMPUTED_VALUE"""),"")</f>
        <v/>
      </c>
      <c r="G16867" s="42" t="str">
        <f>IFERROR(__xludf.DUMMYFUNCTION("""COMPUTED_VALUE"""),"")</f>
        <v/>
      </c>
      <c r="H16867" s="42">
        <f t="shared" si="1"/>
        <v>3345</v>
      </c>
    </row>
    <row r="16868" ht="22.5" customHeight="1">
      <c r="B16868" s="42" t="str">
        <f>IFERROR(__xludf.DUMMYFUNCTION("""COMPUTED_VALUE"""),"")</f>
        <v/>
      </c>
      <c r="C16868" s="42" t="str">
        <f>IFERROR(__xludf.DUMMYFUNCTION("""COMPUTED_VALUE"""),"")</f>
        <v/>
      </c>
      <c r="D16868" s="42"/>
      <c r="E16868" s="42"/>
      <c r="F16868" s="48" t="str">
        <f>IFERROR(__xludf.DUMMYFUNCTION("""COMPUTED_VALUE"""),"")</f>
        <v/>
      </c>
      <c r="G16868" s="42" t="str">
        <f>IFERROR(__xludf.DUMMYFUNCTION("""COMPUTED_VALUE"""),"")</f>
        <v/>
      </c>
      <c r="H16868" s="42">
        <f t="shared" si="1"/>
        <v>3345</v>
      </c>
    </row>
    <row r="16869" ht="22.5" customHeight="1">
      <c r="B16869" s="42" t="str">
        <f>IFERROR(__xludf.DUMMYFUNCTION("""COMPUTED_VALUE"""),"")</f>
        <v/>
      </c>
      <c r="C16869" s="42" t="str">
        <f>IFERROR(__xludf.DUMMYFUNCTION("""COMPUTED_VALUE"""),"")</f>
        <v/>
      </c>
      <c r="D16869" s="42"/>
      <c r="E16869" s="42"/>
      <c r="F16869" s="48" t="str">
        <f>IFERROR(__xludf.DUMMYFUNCTION("""COMPUTED_VALUE"""),"")</f>
        <v/>
      </c>
      <c r="G16869" s="42" t="str">
        <f>IFERROR(__xludf.DUMMYFUNCTION("""COMPUTED_VALUE"""),"")</f>
        <v/>
      </c>
      <c r="H16869" s="42">
        <f t="shared" si="1"/>
        <v>3345</v>
      </c>
    </row>
    <row r="16870" ht="22.5" customHeight="1">
      <c r="B16870" s="42" t="str">
        <f>IFERROR(__xludf.DUMMYFUNCTION("""COMPUTED_VALUE"""),"")</f>
        <v/>
      </c>
      <c r="C16870" s="42" t="str">
        <f>IFERROR(__xludf.DUMMYFUNCTION("""COMPUTED_VALUE"""),"")</f>
        <v/>
      </c>
      <c r="D16870" s="42"/>
      <c r="E16870" s="42"/>
      <c r="F16870" s="48" t="str">
        <f>IFERROR(__xludf.DUMMYFUNCTION("""COMPUTED_VALUE"""),"")</f>
        <v/>
      </c>
      <c r="G16870" s="42" t="str">
        <f>IFERROR(__xludf.DUMMYFUNCTION("""COMPUTED_VALUE"""),"")</f>
        <v/>
      </c>
      <c r="H16870" s="42">
        <f t="shared" si="1"/>
        <v>3345</v>
      </c>
    </row>
    <row r="16871" ht="22.5" customHeight="1">
      <c r="B16871" s="42" t="str">
        <f>IFERROR(__xludf.DUMMYFUNCTION("""COMPUTED_VALUE"""),"")</f>
        <v/>
      </c>
      <c r="C16871" s="42" t="str">
        <f>IFERROR(__xludf.DUMMYFUNCTION("""COMPUTED_VALUE"""),"")</f>
        <v/>
      </c>
      <c r="D16871" s="42"/>
      <c r="E16871" s="42"/>
      <c r="F16871" s="48" t="str">
        <f>IFERROR(__xludf.DUMMYFUNCTION("""COMPUTED_VALUE"""),"")</f>
        <v/>
      </c>
      <c r="G16871" s="42" t="str">
        <f>IFERROR(__xludf.DUMMYFUNCTION("""COMPUTED_VALUE"""),"")</f>
        <v/>
      </c>
      <c r="H16871" s="42">
        <f t="shared" si="1"/>
        <v>3345</v>
      </c>
    </row>
    <row r="16872" ht="22.5" customHeight="1">
      <c r="B16872" s="42" t="str">
        <f>IFERROR(__xludf.DUMMYFUNCTION("""COMPUTED_VALUE"""),"")</f>
        <v/>
      </c>
      <c r="C16872" s="42" t="str">
        <f>IFERROR(__xludf.DUMMYFUNCTION("""COMPUTED_VALUE"""),"")</f>
        <v/>
      </c>
      <c r="D16872" s="42"/>
      <c r="E16872" s="42"/>
      <c r="F16872" s="48" t="str">
        <f>IFERROR(__xludf.DUMMYFUNCTION("""COMPUTED_VALUE"""),"")</f>
        <v/>
      </c>
      <c r="G16872" s="42" t="str">
        <f>IFERROR(__xludf.DUMMYFUNCTION("""COMPUTED_VALUE"""),"")</f>
        <v/>
      </c>
      <c r="H16872" s="42">
        <f t="shared" si="1"/>
        <v>3345</v>
      </c>
    </row>
    <row r="16873" ht="22.5" customHeight="1">
      <c r="B16873" s="42" t="str">
        <f>IFERROR(__xludf.DUMMYFUNCTION("""COMPUTED_VALUE"""),"")</f>
        <v/>
      </c>
      <c r="C16873" s="42" t="str">
        <f>IFERROR(__xludf.DUMMYFUNCTION("""COMPUTED_VALUE"""),"")</f>
        <v/>
      </c>
      <c r="D16873" s="42"/>
      <c r="E16873" s="42"/>
      <c r="F16873" s="48" t="str">
        <f>IFERROR(__xludf.DUMMYFUNCTION("""COMPUTED_VALUE"""),"")</f>
        <v/>
      </c>
      <c r="G16873" s="42" t="str">
        <f>IFERROR(__xludf.DUMMYFUNCTION("""COMPUTED_VALUE"""),"")</f>
        <v/>
      </c>
      <c r="H16873" s="42">
        <f t="shared" si="1"/>
        <v>3345</v>
      </c>
    </row>
    <row r="16874" ht="22.5" customHeight="1">
      <c r="B16874" s="42" t="str">
        <f>IFERROR(__xludf.DUMMYFUNCTION("""COMPUTED_VALUE"""),"")</f>
        <v/>
      </c>
      <c r="C16874" s="42" t="str">
        <f>IFERROR(__xludf.DUMMYFUNCTION("""COMPUTED_VALUE"""),"")</f>
        <v/>
      </c>
      <c r="D16874" s="42"/>
      <c r="E16874" s="42"/>
      <c r="F16874" s="48" t="str">
        <f>IFERROR(__xludf.DUMMYFUNCTION("""COMPUTED_VALUE"""),"")</f>
        <v/>
      </c>
      <c r="G16874" s="42" t="str">
        <f>IFERROR(__xludf.DUMMYFUNCTION("""COMPUTED_VALUE"""),"")</f>
        <v/>
      </c>
      <c r="H16874" s="42">
        <f t="shared" si="1"/>
        <v>3345</v>
      </c>
    </row>
    <row r="16875" ht="22.5" customHeight="1">
      <c r="B16875" s="42" t="str">
        <f>IFERROR(__xludf.DUMMYFUNCTION("""COMPUTED_VALUE"""),"")</f>
        <v/>
      </c>
      <c r="C16875" s="42" t="str">
        <f>IFERROR(__xludf.DUMMYFUNCTION("""COMPUTED_VALUE"""),"")</f>
        <v/>
      </c>
      <c r="D16875" s="42"/>
      <c r="E16875" s="42"/>
      <c r="F16875" s="48" t="str">
        <f>IFERROR(__xludf.DUMMYFUNCTION("""COMPUTED_VALUE"""),"")</f>
        <v/>
      </c>
      <c r="G16875" s="42" t="str">
        <f>IFERROR(__xludf.DUMMYFUNCTION("""COMPUTED_VALUE"""),"")</f>
        <v/>
      </c>
      <c r="H16875" s="42">
        <f t="shared" si="1"/>
        <v>3345</v>
      </c>
    </row>
    <row r="16876" ht="22.5" customHeight="1">
      <c r="B16876" s="42" t="str">
        <f>IFERROR(__xludf.DUMMYFUNCTION("""COMPUTED_VALUE"""),"")</f>
        <v/>
      </c>
      <c r="C16876" s="42" t="str">
        <f>IFERROR(__xludf.DUMMYFUNCTION("""COMPUTED_VALUE"""),"")</f>
        <v/>
      </c>
      <c r="D16876" s="42"/>
      <c r="E16876" s="42"/>
      <c r="F16876" s="48" t="str">
        <f>IFERROR(__xludf.DUMMYFUNCTION("""COMPUTED_VALUE"""),"")</f>
        <v/>
      </c>
      <c r="G16876" s="42" t="str">
        <f>IFERROR(__xludf.DUMMYFUNCTION("""COMPUTED_VALUE"""),"")</f>
        <v/>
      </c>
      <c r="H16876" s="42">
        <f t="shared" si="1"/>
        <v>3345</v>
      </c>
    </row>
    <row r="16877" ht="22.5" customHeight="1">
      <c r="B16877" s="42" t="str">
        <f>IFERROR(__xludf.DUMMYFUNCTION("""COMPUTED_VALUE"""),"")</f>
        <v/>
      </c>
      <c r="C16877" s="42" t="str">
        <f>IFERROR(__xludf.DUMMYFUNCTION("""COMPUTED_VALUE"""),"")</f>
        <v/>
      </c>
      <c r="D16877" s="42"/>
      <c r="E16877" s="42"/>
      <c r="F16877" s="48" t="str">
        <f>IFERROR(__xludf.DUMMYFUNCTION("""COMPUTED_VALUE"""),"")</f>
        <v/>
      </c>
      <c r="G16877" s="42" t="str">
        <f>IFERROR(__xludf.DUMMYFUNCTION("""COMPUTED_VALUE"""),"")</f>
        <v/>
      </c>
      <c r="H16877" s="42">
        <f t="shared" si="1"/>
        <v>3345</v>
      </c>
    </row>
    <row r="16878" ht="22.5" customHeight="1">
      <c r="B16878" s="42" t="str">
        <f>IFERROR(__xludf.DUMMYFUNCTION("""COMPUTED_VALUE"""),"")</f>
        <v/>
      </c>
      <c r="C16878" s="42" t="str">
        <f>IFERROR(__xludf.DUMMYFUNCTION("""COMPUTED_VALUE"""),"")</f>
        <v/>
      </c>
      <c r="D16878" s="42"/>
      <c r="E16878" s="42"/>
      <c r="F16878" s="48" t="str">
        <f>IFERROR(__xludf.DUMMYFUNCTION("""COMPUTED_VALUE"""),"")</f>
        <v/>
      </c>
      <c r="G16878" s="42" t="str">
        <f>IFERROR(__xludf.DUMMYFUNCTION("""COMPUTED_VALUE"""),"")</f>
        <v/>
      </c>
      <c r="H16878" s="42">
        <f t="shared" si="1"/>
        <v>3345</v>
      </c>
    </row>
    <row r="16879" ht="22.5" customHeight="1">
      <c r="B16879" s="42" t="str">
        <f>IFERROR(__xludf.DUMMYFUNCTION("""COMPUTED_VALUE"""),"")</f>
        <v/>
      </c>
      <c r="C16879" s="42" t="str">
        <f>IFERROR(__xludf.DUMMYFUNCTION("""COMPUTED_VALUE"""),"")</f>
        <v/>
      </c>
      <c r="D16879" s="42"/>
      <c r="E16879" s="42"/>
      <c r="F16879" s="48" t="str">
        <f>IFERROR(__xludf.DUMMYFUNCTION("""COMPUTED_VALUE"""),"")</f>
        <v/>
      </c>
      <c r="G16879" s="42" t="str">
        <f>IFERROR(__xludf.DUMMYFUNCTION("""COMPUTED_VALUE"""),"")</f>
        <v/>
      </c>
      <c r="H16879" s="42">
        <f t="shared" si="1"/>
        <v>3345</v>
      </c>
    </row>
    <row r="16880" ht="22.5" customHeight="1">
      <c r="B16880" s="42" t="str">
        <f>IFERROR(__xludf.DUMMYFUNCTION("""COMPUTED_VALUE"""),"")</f>
        <v/>
      </c>
      <c r="C16880" s="42" t="str">
        <f>IFERROR(__xludf.DUMMYFUNCTION("""COMPUTED_VALUE"""),"")</f>
        <v/>
      </c>
      <c r="D16880" s="42"/>
      <c r="E16880" s="42"/>
      <c r="F16880" s="48" t="str">
        <f>IFERROR(__xludf.DUMMYFUNCTION("""COMPUTED_VALUE"""),"")</f>
        <v/>
      </c>
      <c r="G16880" s="42" t="str">
        <f>IFERROR(__xludf.DUMMYFUNCTION("""COMPUTED_VALUE"""),"")</f>
        <v/>
      </c>
      <c r="H16880" s="42">
        <f t="shared" si="1"/>
        <v>3345</v>
      </c>
    </row>
    <row r="16881" ht="22.5" customHeight="1">
      <c r="B16881" s="42" t="str">
        <f>IFERROR(__xludf.DUMMYFUNCTION("""COMPUTED_VALUE"""),"")</f>
        <v/>
      </c>
      <c r="C16881" s="42" t="str">
        <f>IFERROR(__xludf.DUMMYFUNCTION("""COMPUTED_VALUE"""),"")</f>
        <v/>
      </c>
      <c r="D16881" s="42"/>
      <c r="E16881" s="42"/>
      <c r="F16881" s="48" t="str">
        <f>IFERROR(__xludf.DUMMYFUNCTION("""COMPUTED_VALUE"""),"")</f>
        <v/>
      </c>
      <c r="G16881" s="42" t="str">
        <f>IFERROR(__xludf.DUMMYFUNCTION("""COMPUTED_VALUE"""),"")</f>
        <v/>
      </c>
      <c r="H16881" s="42">
        <f t="shared" si="1"/>
        <v>3345</v>
      </c>
    </row>
    <row r="16882" ht="22.5" customHeight="1">
      <c r="B16882" s="42" t="str">
        <f>IFERROR(__xludf.DUMMYFUNCTION("""COMPUTED_VALUE"""),"")</f>
        <v/>
      </c>
      <c r="C16882" s="42" t="str">
        <f>IFERROR(__xludf.DUMMYFUNCTION("""COMPUTED_VALUE"""),"")</f>
        <v/>
      </c>
      <c r="D16882" s="42"/>
      <c r="E16882" s="42"/>
      <c r="F16882" s="48" t="str">
        <f>IFERROR(__xludf.DUMMYFUNCTION("""COMPUTED_VALUE"""),"")</f>
        <v/>
      </c>
      <c r="G16882" s="42" t="str">
        <f>IFERROR(__xludf.DUMMYFUNCTION("""COMPUTED_VALUE"""),"")</f>
        <v/>
      </c>
      <c r="H16882" s="42">
        <f t="shared" si="1"/>
        <v>3345</v>
      </c>
    </row>
    <row r="16883" ht="22.5" customHeight="1">
      <c r="B16883" s="42" t="str">
        <f>IFERROR(__xludf.DUMMYFUNCTION("""COMPUTED_VALUE"""),"")</f>
        <v/>
      </c>
      <c r="C16883" s="42" t="str">
        <f>IFERROR(__xludf.DUMMYFUNCTION("""COMPUTED_VALUE"""),"")</f>
        <v/>
      </c>
      <c r="D16883" s="42"/>
      <c r="E16883" s="42"/>
      <c r="F16883" s="48" t="str">
        <f>IFERROR(__xludf.DUMMYFUNCTION("""COMPUTED_VALUE"""),"")</f>
        <v/>
      </c>
      <c r="G16883" s="42" t="str">
        <f>IFERROR(__xludf.DUMMYFUNCTION("""COMPUTED_VALUE"""),"")</f>
        <v/>
      </c>
      <c r="H16883" s="42">
        <f t="shared" si="1"/>
        <v>3345</v>
      </c>
    </row>
    <row r="16884" ht="22.5" customHeight="1">
      <c r="B16884" s="42" t="str">
        <f>IFERROR(__xludf.DUMMYFUNCTION("""COMPUTED_VALUE"""),"")</f>
        <v/>
      </c>
      <c r="C16884" s="42" t="str">
        <f>IFERROR(__xludf.DUMMYFUNCTION("""COMPUTED_VALUE"""),"")</f>
        <v/>
      </c>
      <c r="D16884" s="42"/>
      <c r="E16884" s="42"/>
      <c r="F16884" s="48" t="str">
        <f>IFERROR(__xludf.DUMMYFUNCTION("""COMPUTED_VALUE"""),"")</f>
        <v/>
      </c>
      <c r="G16884" s="42" t="str">
        <f>IFERROR(__xludf.DUMMYFUNCTION("""COMPUTED_VALUE"""),"")</f>
        <v/>
      </c>
      <c r="H16884" s="42">
        <f t="shared" si="1"/>
        <v>3345</v>
      </c>
    </row>
    <row r="16885" ht="22.5" customHeight="1">
      <c r="B16885" s="42" t="str">
        <f>IFERROR(__xludf.DUMMYFUNCTION("""COMPUTED_VALUE"""),"")</f>
        <v/>
      </c>
      <c r="C16885" s="42" t="str">
        <f>IFERROR(__xludf.DUMMYFUNCTION("""COMPUTED_VALUE"""),"")</f>
        <v/>
      </c>
      <c r="D16885" s="42"/>
      <c r="E16885" s="42"/>
      <c r="F16885" s="48" t="str">
        <f>IFERROR(__xludf.DUMMYFUNCTION("""COMPUTED_VALUE"""),"")</f>
        <v/>
      </c>
      <c r="G16885" s="42" t="str">
        <f>IFERROR(__xludf.DUMMYFUNCTION("""COMPUTED_VALUE"""),"")</f>
        <v/>
      </c>
      <c r="H16885" s="42">
        <f t="shared" si="1"/>
        <v>3345</v>
      </c>
    </row>
    <row r="16886" ht="22.5" customHeight="1">
      <c r="B16886" s="42" t="str">
        <f>IFERROR(__xludf.DUMMYFUNCTION("""COMPUTED_VALUE"""),"")</f>
        <v/>
      </c>
      <c r="C16886" s="42" t="str">
        <f>IFERROR(__xludf.DUMMYFUNCTION("""COMPUTED_VALUE"""),"")</f>
        <v/>
      </c>
      <c r="D16886" s="42"/>
      <c r="E16886" s="42"/>
      <c r="F16886" s="48" t="str">
        <f>IFERROR(__xludf.DUMMYFUNCTION("""COMPUTED_VALUE"""),"")</f>
        <v/>
      </c>
      <c r="G16886" s="42" t="str">
        <f>IFERROR(__xludf.DUMMYFUNCTION("""COMPUTED_VALUE"""),"")</f>
        <v/>
      </c>
      <c r="H16886" s="42">
        <f t="shared" si="1"/>
        <v>3345</v>
      </c>
    </row>
    <row r="16887" ht="22.5" customHeight="1">
      <c r="B16887" s="42" t="str">
        <f>IFERROR(__xludf.DUMMYFUNCTION("""COMPUTED_VALUE"""),"")</f>
        <v/>
      </c>
      <c r="C16887" s="42" t="str">
        <f>IFERROR(__xludf.DUMMYFUNCTION("""COMPUTED_VALUE"""),"")</f>
        <v/>
      </c>
      <c r="D16887" s="42"/>
      <c r="E16887" s="42"/>
      <c r="F16887" s="48" t="str">
        <f>IFERROR(__xludf.DUMMYFUNCTION("""COMPUTED_VALUE"""),"")</f>
        <v/>
      </c>
      <c r="G16887" s="42" t="str">
        <f>IFERROR(__xludf.DUMMYFUNCTION("""COMPUTED_VALUE"""),"")</f>
        <v/>
      </c>
      <c r="H16887" s="42">
        <f t="shared" si="1"/>
        <v>3345</v>
      </c>
    </row>
    <row r="16888" ht="22.5" customHeight="1">
      <c r="B16888" s="42" t="str">
        <f>IFERROR(__xludf.DUMMYFUNCTION("""COMPUTED_VALUE"""),"")</f>
        <v/>
      </c>
      <c r="C16888" s="42" t="str">
        <f>IFERROR(__xludf.DUMMYFUNCTION("""COMPUTED_VALUE"""),"")</f>
        <v/>
      </c>
      <c r="D16888" s="42"/>
      <c r="E16888" s="42"/>
      <c r="F16888" s="48" t="str">
        <f>IFERROR(__xludf.DUMMYFUNCTION("""COMPUTED_VALUE"""),"")</f>
        <v/>
      </c>
      <c r="G16888" s="42" t="str">
        <f>IFERROR(__xludf.DUMMYFUNCTION("""COMPUTED_VALUE"""),"")</f>
        <v/>
      </c>
      <c r="H16888" s="42">
        <f t="shared" si="1"/>
        <v>3345</v>
      </c>
    </row>
    <row r="16889" ht="22.5" customHeight="1">
      <c r="B16889" s="42" t="str">
        <f>IFERROR(__xludf.DUMMYFUNCTION("""COMPUTED_VALUE"""),"")</f>
        <v/>
      </c>
      <c r="C16889" s="42" t="str">
        <f>IFERROR(__xludf.DUMMYFUNCTION("""COMPUTED_VALUE"""),"")</f>
        <v/>
      </c>
      <c r="D16889" s="42"/>
      <c r="E16889" s="42"/>
      <c r="F16889" s="48" t="str">
        <f>IFERROR(__xludf.DUMMYFUNCTION("""COMPUTED_VALUE"""),"")</f>
        <v/>
      </c>
      <c r="G16889" s="42" t="str">
        <f>IFERROR(__xludf.DUMMYFUNCTION("""COMPUTED_VALUE"""),"")</f>
        <v/>
      </c>
      <c r="H16889" s="42">
        <f t="shared" si="1"/>
        <v>3345</v>
      </c>
    </row>
    <row r="16890" ht="22.5" customHeight="1">
      <c r="B16890" s="42" t="str">
        <f>IFERROR(__xludf.DUMMYFUNCTION("""COMPUTED_VALUE"""),"")</f>
        <v/>
      </c>
      <c r="C16890" s="42" t="str">
        <f>IFERROR(__xludf.DUMMYFUNCTION("""COMPUTED_VALUE"""),"")</f>
        <v/>
      </c>
      <c r="D16890" s="42"/>
      <c r="E16890" s="42"/>
      <c r="F16890" s="48" t="str">
        <f>IFERROR(__xludf.DUMMYFUNCTION("""COMPUTED_VALUE"""),"")</f>
        <v/>
      </c>
      <c r="G16890" s="42" t="str">
        <f>IFERROR(__xludf.DUMMYFUNCTION("""COMPUTED_VALUE"""),"")</f>
        <v/>
      </c>
      <c r="H16890" s="42">
        <f t="shared" si="1"/>
        <v>3345</v>
      </c>
    </row>
    <row r="16891" ht="22.5" customHeight="1">
      <c r="B16891" s="42" t="str">
        <f>IFERROR(__xludf.DUMMYFUNCTION("""COMPUTED_VALUE"""),"")</f>
        <v/>
      </c>
      <c r="C16891" s="42" t="str">
        <f>IFERROR(__xludf.DUMMYFUNCTION("""COMPUTED_VALUE"""),"")</f>
        <v/>
      </c>
      <c r="D16891" s="42"/>
      <c r="E16891" s="42"/>
      <c r="F16891" s="48" t="str">
        <f>IFERROR(__xludf.DUMMYFUNCTION("""COMPUTED_VALUE"""),"")</f>
        <v/>
      </c>
      <c r="G16891" s="42" t="str">
        <f>IFERROR(__xludf.DUMMYFUNCTION("""COMPUTED_VALUE"""),"")</f>
        <v/>
      </c>
      <c r="H16891" s="42">
        <f t="shared" si="1"/>
        <v>3345</v>
      </c>
    </row>
    <row r="16892" ht="22.5" customHeight="1">
      <c r="B16892" s="42" t="str">
        <f>IFERROR(__xludf.DUMMYFUNCTION("""COMPUTED_VALUE"""),"")</f>
        <v/>
      </c>
      <c r="C16892" s="42" t="str">
        <f>IFERROR(__xludf.DUMMYFUNCTION("""COMPUTED_VALUE"""),"")</f>
        <v/>
      </c>
      <c r="D16892" s="42"/>
      <c r="E16892" s="42"/>
      <c r="F16892" s="48" t="str">
        <f>IFERROR(__xludf.DUMMYFUNCTION("""COMPUTED_VALUE"""),"")</f>
        <v/>
      </c>
      <c r="G16892" s="42" t="str">
        <f>IFERROR(__xludf.DUMMYFUNCTION("""COMPUTED_VALUE"""),"")</f>
        <v/>
      </c>
      <c r="H16892" s="42">
        <f t="shared" si="1"/>
        <v>3345</v>
      </c>
    </row>
    <row r="16893" ht="22.5" customHeight="1">
      <c r="B16893" s="42" t="str">
        <f>IFERROR(__xludf.DUMMYFUNCTION("""COMPUTED_VALUE"""),"")</f>
        <v/>
      </c>
      <c r="C16893" s="42" t="str">
        <f>IFERROR(__xludf.DUMMYFUNCTION("""COMPUTED_VALUE"""),"")</f>
        <v/>
      </c>
      <c r="D16893" s="42"/>
      <c r="E16893" s="42"/>
      <c r="F16893" s="48" t="str">
        <f>IFERROR(__xludf.DUMMYFUNCTION("""COMPUTED_VALUE"""),"")</f>
        <v/>
      </c>
      <c r="G16893" s="42" t="str">
        <f>IFERROR(__xludf.DUMMYFUNCTION("""COMPUTED_VALUE"""),"")</f>
        <v/>
      </c>
      <c r="H16893" s="42">
        <f t="shared" si="1"/>
        <v>3345</v>
      </c>
    </row>
    <row r="16894" ht="22.5" customHeight="1">
      <c r="B16894" s="42" t="str">
        <f>IFERROR(__xludf.DUMMYFUNCTION("""COMPUTED_VALUE"""),"")</f>
        <v/>
      </c>
      <c r="C16894" s="42" t="str">
        <f>IFERROR(__xludf.DUMMYFUNCTION("""COMPUTED_VALUE"""),"")</f>
        <v/>
      </c>
      <c r="D16894" s="42"/>
      <c r="E16894" s="42"/>
      <c r="F16894" s="48" t="str">
        <f>IFERROR(__xludf.DUMMYFUNCTION("""COMPUTED_VALUE"""),"")</f>
        <v/>
      </c>
      <c r="G16894" s="42" t="str">
        <f>IFERROR(__xludf.DUMMYFUNCTION("""COMPUTED_VALUE"""),"")</f>
        <v/>
      </c>
      <c r="H16894" s="42">
        <f t="shared" si="1"/>
        <v>3345</v>
      </c>
    </row>
    <row r="16895" ht="22.5" customHeight="1">
      <c r="B16895" s="42" t="str">
        <f>IFERROR(__xludf.DUMMYFUNCTION("""COMPUTED_VALUE"""),"")</f>
        <v/>
      </c>
      <c r="C16895" s="42" t="str">
        <f>IFERROR(__xludf.DUMMYFUNCTION("""COMPUTED_VALUE"""),"")</f>
        <v/>
      </c>
      <c r="D16895" s="42"/>
      <c r="E16895" s="42"/>
      <c r="F16895" s="48" t="str">
        <f>IFERROR(__xludf.DUMMYFUNCTION("""COMPUTED_VALUE"""),"")</f>
        <v/>
      </c>
      <c r="G16895" s="42" t="str">
        <f>IFERROR(__xludf.DUMMYFUNCTION("""COMPUTED_VALUE"""),"")</f>
        <v/>
      </c>
      <c r="H16895" s="42">
        <f t="shared" si="1"/>
        <v>3345</v>
      </c>
    </row>
    <row r="16896" ht="22.5" customHeight="1">
      <c r="B16896" s="42" t="str">
        <f>IFERROR(__xludf.DUMMYFUNCTION("""COMPUTED_VALUE"""),"")</f>
        <v/>
      </c>
      <c r="C16896" s="42" t="str">
        <f>IFERROR(__xludf.DUMMYFUNCTION("""COMPUTED_VALUE"""),"")</f>
        <v/>
      </c>
      <c r="D16896" s="42"/>
      <c r="E16896" s="42"/>
      <c r="F16896" s="48" t="str">
        <f>IFERROR(__xludf.DUMMYFUNCTION("""COMPUTED_VALUE"""),"")</f>
        <v/>
      </c>
      <c r="G16896" s="42" t="str">
        <f>IFERROR(__xludf.DUMMYFUNCTION("""COMPUTED_VALUE"""),"")</f>
        <v/>
      </c>
      <c r="H16896" s="42">
        <f t="shared" si="1"/>
        <v>3345</v>
      </c>
    </row>
    <row r="16897" ht="22.5" customHeight="1">
      <c r="B16897" s="42" t="str">
        <f>IFERROR(__xludf.DUMMYFUNCTION("""COMPUTED_VALUE"""),"")</f>
        <v/>
      </c>
      <c r="C16897" s="42" t="str">
        <f>IFERROR(__xludf.DUMMYFUNCTION("""COMPUTED_VALUE"""),"")</f>
        <v/>
      </c>
      <c r="D16897" s="42"/>
      <c r="E16897" s="42"/>
      <c r="F16897" s="48" t="str">
        <f>IFERROR(__xludf.DUMMYFUNCTION("""COMPUTED_VALUE"""),"")</f>
        <v/>
      </c>
      <c r="G16897" s="42" t="str">
        <f>IFERROR(__xludf.DUMMYFUNCTION("""COMPUTED_VALUE"""),"")</f>
        <v/>
      </c>
      <c r="H16897" s="42">
        <f t="shared" si="1"/>
        <v>3345</v>
      </c>
    </row>
    <row r="16898" ht="22.5" customHeight="1">
      <c r="B16898" s="42" t="str">
        <f>IFERROR(__xludf.DUMMYFUNCTION("""COMPUTED_VALUE"""),"")</f>
        <v/>
      </c>
      <c r="C16898" s="42" t="str">
        <f>IFERROR(__xludf.DUMMYFUNCTION("""COMPUTED_VALUE"""),"")</f>
        <v/>
      </c>
      <c r="D16898" s="42"/>
      <c r="E16898" s="42"/>
      <c r="F16898" s="48" t="str">
        <f>IFERROR(__xludf.DUMMYFUNCTION("""COMPUTED_VALUE"""),"")</f>
        <v/>
      </c>
      <c r="G16898" s="42" t="str">
        <f>IFERROR(__xludf.DUMMYFUNCTION("""COMPUTED_VALUE"""),"")</f>
        <v/>
      </c>
      <c r="H16898" s="42">
        <f t="shared" si="1"/>
        <v>3345</v>
      </c>
    </row>
    <row r="16899" ht="22.5" customHeight="1">
      <c r="B16899" s="42" t="str">
        <f>IFERROR(__xludf.DUMMYFUNCTION("""COMPUTED_VALUE"""),"")</f>
        <v/>
      </c>
      <c r="C16899" s="42" t="str">
        <f>IFERROR(__xludf.DUMMYFUNCTION("""COMPUTED_VALUE"""),"")</f>
        <v/>
      </c>
      <c r="D16899" s="42"/>
      <c r="E16899" s="42"/>
      <c r="F16899" s="48" t="str">
        <f>IFERROR(__xludf.DUMMYFUNCTION("""COMPUTED_VALUE"""),"")</f>
        <v/>
      </c>
      <c r="G16899" s="42" t="str">
        <f>IFERROR(__xludf.DUMMYFUNCTION("""COMPUTED_VALUE"""),"")</f>
        <v/>
      </c>
      <c r="H16899" s="42">
        <f t="shared" si="1"/>
        <v>3345</v>
      </c>
    </row>
    <row r="16900" ht="22.5" customHeight="1">
      <c r="B16900" s="42" t="str">
        <f>IFERROR(__xludf.DUMMYFUNCTION("""COMPUTED_VALUE"""),"")</f>
        <v/>
      </c>
      <c r="C16900" s="42" t="str">
        <f>IFERROR(__xludf.DUMMYFUNCTION("""COMPUTED_VALUE"""),"")</f>
        <v/>
      </c>
      <c r="D16900" s="42"/>
      <c r="E16900" s="42"/>
      <c r="F16900" s="48" t="str">
        <f>IFERROR(__xludf.DUMMYFUNCTION("""COMPUTED_VALUE"""),"")</f>
        <v/>
      </c>
      <c r="G16900" s="42" t="str">
        <f>IFERROR(__xludf.DUMMYFUNCTION("""COMPUTED_VALUE"""),"")</f>
        <v/>
      </c>
      <c r="H16900" s="42">
        <f t="shared" si="1"/>
        <v>3345</v>
      </c>
    </row>
    <row r="16901" ht="22.5" customHeight="1">
      <c r="B16901" s="42" t="str">
        <f>IFERROR(__xludf.DUMMYFUNCTION("""COMPUTED_VALUE"""),"")</f>
        <v/>
      </c>
      <c r="C16901" s="42" t="str">
        <f>IFERROR(__xludf.DUMMYFUNCTION("""COMPUTED_VALUE"""),"")</f>
        <v/>
      </c>
      <c r="D16901" s="42"/>
      <c r="E16901" s="42"/>
      <c r="F16901" s="48" t="str">
        <f>IFERROR(__xludf.DUMMYFUNCTION("""COMPUTED_VALUE"""),"")</f>
        <v/>
      </c>
      <c r="G16901" s="42" t="str">
        <f>IFERROR(__xludf.DUMMYFUNCTION("""COMPUTED_VALUE"""),"")</f>
        <v/>
      </c>
      <c r="H16901" s="42">
        <f t="shared" si="1"/>
        <v>3345</v>
      </c>
    </row>
    <row r="16902" ht="22.5" customHeight="1">
      <c r="B16902" s="42" t="str">
        <f>IFERROR(__xludf.DUMMYFUNCTION("""COMPUTED_VALUE"""),"")</f>
        <v/>
      </c>
      <c r="C16902" s="42" t="str">
        <f>IFERROR(__xludf.DUMMYFUNCTION("""COMPUTED_VALUE"""),"")</f>
        <v/>
      </c>
      <c r="D16902" s="42"/>
      <c r="E16902" s="42"/>
      <c r="F16902" s="48" t="str">
        <f>IFERROR(__xludf.DUMMYFUNCTION("""COMPUTED_VALUE"""),"")</f>
        <v/>
      </c>
      <c r="G16902" s="42" t="str">
        <f>IFERROR(__xludf.DUMMYFUNCTION("""COMPUTED_VALUE"""),"")</f>
        <v/>
      </c>
      <c r="H16902" s="42">
        <f t="shared" si="1"/>
        <v>3345</v>
      </c>
    </row>
    <row r="16903" ht="22.5" customHeight="1">
      <c r="B16903" s="42" t="str">
        <f>IFERROR(__xludf.DUMMYFUNCTION("""COMPUTED_VALUE"""),"")</f>
        <v/>
      </c>
      <c r="C16903" s="42" t="str">
        <f>IFERROR(__xludf.DUMMYFUNCTION("""COMPUTED_VALUE"""),"")</f>
        <v/>
      </c>
      <c r="D16903" s="42"/>
      <c r="E16903" s="42"/>
      <c r="F16903" s="48" t="str">
        <f>IFERROR(__xludf.DUMMYFUNCTION("""COMPUTED_VALUE"""),"")</f>
        <v/>
      </c>
      <c r="G16903" s="42" t="str">
        <f>IFERROR(__xludf.DUMMYFUNCTION("""COMPUTED_VALUE"""),"")</f>
        <v/>
      </c>
      <c r="H16903" s="42">
        <f t="shared" si="1"/>
        <v>3345</v>
      </c>
    </row>
    <row r="16904" ht="22.5" customHeight="1">
      <c r="B16904" s="42" t="str">
        <f>IFERROR(__xludf.DUMMYFUNCTION("""COMPUTED_VALUE"""),"")</f>
        <v/>
      </c>
      <c r="C16904" s="42" t="str">
        <f>IFERROR(__xludf.DUMMYFUNCTION("""COMPUTED_VALUE"""),"")</f>
        <v/>
      </c>
      <c r="D16904" s="42"/>
      <c r="E16904" s="42"/>
      <c r="F16904" s="48" t="str">
        <f>IFERROR(__xludf.DUMMYFUNCTION("""COMPUTED_VALUE"""),"")</f>
        <v/>
      </c>
      <c r="G16904" s="42" t="str">
        <f>IFERROR(__xludf.DUMMYFUNCTION("""COMPUTED_VALUE"""),"")</f>
        <v/>
      </c>
      <c r="H16904" s="42">
        <f t="shared" si="1"/>
        <v>3345</v>
      </c>
    </row>
    <row r="16905" ht="22.5" customHeight="1">
      <c r="B16905" s="42" t="str">
        <f>IFERROR(__xludf.DUMMYFUNCTION("""COMPUTED_VALUE"""),"")</f>
        <v/>
      </c>
      <c r="C16905" s="42" t="str">
        <f>IFERROR(__xludf.DUMMYFUNCTION("""COMPUTED_VALUE"""),"")</f>
        <v/>
      </c>
      <c r="D16905" s="42"/>
      <c r="E16905" s="42"/>
      <c r="F16905" s="48" t="str">
        <f>IFERROR(__xludf.DUMMYFUNCTION("""COMPUTED_VALUE"""),"")</f>
        <v/>
      </c>
      <c r="G16905" s="42" t="str">
        <f>IFERROR(__xludf.DUMMYFUNCTION("""COMPUTED_VALUE"""),"")</f>
        <v/>
      </c>
      <c r="H16905" s="42">
        <f t="shared" si="1"/>
        <v>3345</v>
      </c>
    </row>
    <row r="16906" ht="22.5" customHeight="1">
      <c r="B16906" s="42" t="str">
        <f>IFERROR(__xludf.DUMMYFUNCTION("""COMPUTED_VALUE"""),"")</f>
        <v/>
      </c>
      <c r="C16906" s="42" t="str">
        <f>IFERROR(__xludf.DUMMYFUNCTION("""COMPUTED_VALUE"""),"")</f>
        <v/>
      </c>
      <c r="D16906" s="42"/>
      <c r="E16906" s="42"/>
      <c r="F16906" s="48" t="str">
        <f>IFERROR(__xludf.DUMMYFUNCTION("""COMPUTED_VALUE"""),"")</f>
        <v/>
      </c>
      <c r="G16906" s="42" t="str">
        <f>IFERROR(__xludf.DUMMYFUNCTION("""COMPUTED_VALUE"""),"")</f>
        <v/>
      </c>
      <c r="H16906" s="42">
        <f t="shared" si="1"/>
        <v>3345</v>
      </c>
    </row>
    <row r="16907" ht="22.5" customHeight="1">
      <c r="B16907" s="42" t="str">
        <f>IFERROR(__xludf.DUMMYFUNCTION("""COMPUTED_VALUE"""),"")</f>
        <v/>
      </c>
      <c r="C16907" s="42" t="str">
        <f>IFERROR(__xludf.DUMMYFUNCTION("""COMPUTED_VALUE"""),"")</f>
        <v/>
      </c>
      <c r="D16907" s="42"/>
      <c r="E16907" s="42"/>
      <c r="F16907" s="48" t="str">
        <f>IFERROR(__xludf.DUMMYFUNCTION("""COMPUTED_VALUE"""),"")</f>
        <v/>
      </c>
      <c r="G16907" s="42" t="str">
        <f>IFERROR(__xludf.DUMMYFUNCTION("""COMPUTED_VALUE"""),"")</f>
        <v/>
      </c>
      <c r="H16907" s="42">
        <f t="shared" si="1"/>
        <v>3345</v>
      </c>
    </row>
    <row r="16908" ht="22.5" customHeight="1">
      <c r="B16908" s="42" t="str">
        <f>IFERROR(__xludf.DUMMYFUNCTION("""COMPUTED_VALUE"""),"")</f>
        <v/>
      </c>
      <c r="C16908" s="42" t="str">
        <f>IFERROR(__xludf.DUMMYFUNCTION("""COMPUTED_VALUE"""),"")</f>
        <v/>
      </c>
      <c r="D16908" s="42"/>
      <c r="E16908" s="42"/>
      <c r="F16908" s="48" t="str">
        <f>IFERROR(__xludf.DUMMYFUNCTION("""COMPUTED_VALUE"""),"")</f>
        <v/>
      </c>
      <c r="G16908" s="42" t="str">
        <f>IFERROR(__xludf.DUMMYFUNCTION("""COMPUTED_VALUE"""),"")</f>
        <v/>
      </c>
      <c r="H16908" s="42">
        <f t="shared" si="1"/>
        <v>3345</v>
      </c>
    </row>
    <row r="16909" ht="22.5" customHeight="1">
      <c r="B16909" s="42" t="str">
        <f>IFERROR(__xludf.DUMMYFUNCTION("""COMPUTED_VALUE"""),"")</f>
        <v/>
      </c>
      <c r="C16909" s="42" t="str">
        <f>IFERROR(__xludf.DUMMYFUNCTION("""COMPUTED_VALUE"""),"")</f>
        <v/>
      </c>
      <c r="D16909" s="42"/>
      <c r="E16909" s="42"/>
      <c r="F16909" s="48" t="str">
        <f>IFERROR(__xludf.DUMMYFUNCTION("""COMPUTED_VALUE"""),"")</f>
        <v/>
      </c>
      <c r="G16909" s="42" t="str">
        <f>IFERROR(__xludf.DUMMYFUNCTION("""COMPUTED_VALUE"""),"")</f>
        <v/>
      </c>
      <c r="H16909" s="42">
        <f t="shared" si="1"/>
        <v>3345</v>
      </c>
    </row>
    <row r="16910" ht="22.5" customHeight="1">
      <c r="B16910" s="42" t="str">
        <f>IFERROR(__xludf.DUMMYFUNCTION("""COMPUTED_VALUE"""),"")</f>
        <v/>
      </c>
      <c r="C16910" s="42" t="str">
        <f>IFERROR(__xludf.DUMMYFUNCTION("""COMPUTED_VALUE"""),"")</f>
        <v/>
      </c>
      <c r="D16910" s="42"/>
      <c r="E16910" s="42"/>
      <c r="F16910" s="48" t="str">
        <f>IFERROR(__xludf.DUMMYFUNCTION("""COMPUTED_VALUE"""),"")</f>
        <v/>
      </c>
      <c r="G16910" s="42" t="str">
        <f>IFERROR(__xludf.DUMMYFUNCTION("""COMPUTED_VALUE"""),"")</f>
        <v/>
      </c>
      <c r="H16910" s="42">
        <f t="shared" si="1"/>
        <v>3345</v>
      </c>
    </row>
    <row r="16911" ht="22.5" customHeight="1">
      <c r="B16911" s="42" t="str">
        <f>IFERROR(__xludf.DUMMYFUNCTION("""COMPUTED_VALUE"""),"")</f>
        <v/>
      </c>
      <c r="C16911" s="42" t="str">
        <f>IFERROR(__xludf.DUMMYFUNCTION("""COMPUTED_VALUE"""),"")</f>
        <v/>
      </c>
      <c r="D16911" s="42"/>
      <c r="E16911" s="42"/>
      <c r="F16911" s="48" t="str">
        <f>IFERROR(__xludf.DUMMYFUNCTION("""COMPUTED_VALUE"""),"")</f>
        <v/>
      </c>
      <c r="G16911" s="42" t="str">
        <f>IFERROR(__xludf.DUMMYFUNCTION("""COMPUTED_VALUE"""),"")</f>
        <v/>
      </c>
      <c r="H16911" s="42">
        <f t="shared" si="1"/>
        <v>3345</v>
      </c>
    </row>
    <row r="16912" ht="22.5" customHeight="1">
      <c r="B16912" s="42" t="str">
        <f>IFERROR(__xludf.DUMMYFUNCTION("""COMPUTED_VALUE"""),"")</f>
        <v/>
      </c>
      <c r="C16912" s="42" t="str">
        <f>IFERROR(__xludf.DUMMYFUNCTION("""COMPUTED_VALUE"""),"")</f>
        <v/>
      </c>
      <c r="D16912" s="42"/>
      <c r="E16912" s="42"/>
      <c r="F16912" s="48" t="str">
        <f>IFERROR(__xludf.DUMMYFUNCTION("""COMPUTED_VALUE"""),"")</f>
        <v/>
      </c>
      <c r="G16912" s="42" t="str">
        <f>IFERROR(__xludf.DUMMYFUNCTION("""COMPUTED_VALUE"""),"")</f>
        <v/>
      </c>
      <c r="H16912" s="42">
        <f t="shared" si="1"/>
        <v>3345</v>
      </c>
    </row>
    <row r="16913" ht="22.5" customHeight="1">
      <c r="B16913" s="42" t="str">
        <f>IFERROR(__xludf.DUMMYFUNCTION("""COMPUTED_VALUE"""),"")</f>
        <v/>
      </c>
      <c r="C16913" s="42" t="str">
        <f>IFERROR(__xludf.DUMMYFUNCTION("""COMPUTED_VALUE"""),"")</f>
        <v/>
      </c>
      <c r="D16913" s="42"/>
      <c r="E16913" s="42"/>
      <c r="F16913" s="48" t="str">
        <f>IFERROR(__xludf.DUMMYFUNCTION("""COMPUTED_VALUE"""),"")</f>
        <v/>
      </c>
      <c r="G16913" s="42" t="str">
        <f>IFERROR(__xludf.DUMMYFUNCTION("""COMPUTED_VALUE"""),"")</f>
        <v/>
      </c>
      <c r="H16913" s="42">
        <f t="shared" si="1"/>
        <v>3345</v>
      </c>
    </row>
    <row r="16914" ht="22.5" customHeight="1">
      <c r="B16914" s="42" t="str">
        <f>IFERROR(__xludf.DUMMYFUNCTION("""COMPUTED_VALUE"""),"")</f>
        <v/>
      </c>
      <c r="C16914" s="42" t="str">
        <f>IFERROR(__xludf.DUMMYFUNCTION("""COMPUTED_VALUE"""),"")</f>
        <v/>
      </c>
      <c r="D16914" s="42"/>
      <c r="E16914" s="42"/>
      <c r="F16914" s="48" t="str">
        <f>IFERROR(__xludf.DUMMYFUNCTION("""COMPUTED_VALUE"""),"")</f>
        <v/>
      </c>
      <c r="G16914" s="42" t="str">
        <f>IFERROR(__xludf.DUMMYFUNCTION("""COMPUTED_VALUE"""),"")</f>
        <v/>
      </c>
      <c r="H16914" s="42">
        <f t="shared" si="1"/>
        <v>3345</v>
      </c>
    </row>
    <row r="16915" ht="22.5" customHeight="1">
      <c r="B16915" s="42" t="str">
        <f>IFERROR(__xludf.DUMMYFUNCTION("""COMPUTED_VALUE"""),"")</f>
        <v/>
      </c>
      <c r="C16915" s="42" t="str">
        <f>IFERROR(__xludf.DUMMYFUNCTION("""COMPUTED_VALUE"""),"")</f>
        <v/>
      </c>
      <c r="D16915" s="42"/>
      <c r="E16915" s="42"/>
      <c r="F16915" s="48" t="str">
        <f>IFERROR(__xludf.DUMMYFUNCTION("""COMPUTED_VALUE"""),"")</f>
        <v/>
      </c>
      <c r="G16915" s="42" t="str">
        <f>IFERROR(__xludf.DUMMYFUNCTION("""COMPUTED_VALUE"""),"")</f>
        <v/>
      </c>
      <c r="H16915" s="42">
        <f t="shared" si="1"/>
        <v>3345</v>
      </c>
    </row>
    <row r="16916" ht="22.5" customHeight="1">
      <c r="B16916" s="42" t="str">
        <f>IFERROR(__xludf.DUMMYFUNCTION("""COMPUTED_VALUE"""),"")</f>
        <v/>
      </c>
      <c r="C16916" s="42" t="str">
        <f>IFERROR(__xludf.DUMMYFUNCTION("""COMPUTED_VALUE"""),"")</f>
        <v/>
      </c>
      <c r="D16916" s="42"/>
      <c r="E16916" s="42"/>
      <c r="F16916" s="48" t="str">
        <f>IFERROR(__xludf.DUMMYFUNCTION("""COMPUTED_VALUE"""),"")</f>
        <v/>
      </c>
      <c r="G16916" s="42" t="str">
        <f>IFERROR(__xludf.DUMMYFUNCTION("""COMPUTED_VALUE"""),"")</f>
        <v/>
      </c>
      <c r="H16916" s="42">
        <f t="shared" si="1"/>
        <v>3345</v>
      </c>
    </row>
    <row r="16917" ht="22.5" customHeight="1">
      <c r="B16917" s="42" t="str">
        <f>IFERROR(__xludf.DUMMYFUNCTION("""COMPUTED_VALUE"""),"")</f>
        <v/>
      </c>
      <c r="C16917" s="42" t="str">
        <f>IFERROR(__xludf.DUMMYFUNCTION("""COMPUTED_VALUE"""),"")</f>
        <v/>
      </c>
      <c r="D16917" s="42"/>
      <c r="E16917" s="42"/>
      <c r="F16917" s="48" t="str">
        <f>IFERROR(__xludf.DUMMYFUNCTION("""COMPUTED_VALUE"""),"")</f>
        <v/>
      </c>
      <c r="G16917" s="42" t="str">
        <f>IFERROR(__xludf.DUMMYFUNCTION("""COMPUTED_VALUE"""),"")</f>
        <v/>
      </c>
      <c r="H16917" s="42">
        <f t="shared" si="1"/>
        <v>3345</v>
      </c>
    </row>
    <row r="16918" ht="22.5" customHeight="1">
      <c r="B16918" s="42" t="str">
        <f>IFERROR(__xludf.DUMMYFUNCTION("""COMPUTED_VALUE"""),"")</f>
        <v/>
      </c>
      <c r="C16918" s="42" t="str">
        <f>IFERROR(__xludf.DUMMYFUNCTION("""COMPUTED_VALUE"""),"")</f>
        <v/>
      </c>
      <c r="D16918" s="42"/>
      <c r="E16918" s="42"/>
      <c r="F16918" s="48" t="str">
        <f>IFERROR(__xludf.DUMMYFUNCTION("""COMPUTED_VALUE"""),"")</f>
        <v/>
      </c>
      <c r="G16918" s="42" t="str">
        <f>IFERROR(__xludf.DUMMYFUNCTION("""COMPUTED_VALUE"""),"")</f>
        <v/>
      </c>
      <c r="H16918" s="42">
        <f t="shared" si="1"/>
        <v>3345</v>
      </c>
    </row>
    <row r="16919" ht="22.5" customHeight="1">
      <c r="B16919" s="42" t="str">
        <f>IFERROR(__xludf.DUMMYFUNCTION("""COMPUTED_VALUE"""),"")</f>
        <v/>
      </c>
      <c r="C16919" s="42" t="str">
        <f>IFERROR(__xludf.DUMMYFUNCTION("""COMPUTED_VALUE"""),"")</f>
        <v/>
      </c>
      <c r="D16919" s="42"/>
      <c r="E16919" s="42"/>
      <c r="F16919" s="48" t="str">
        <f>IFERROR(__xludf.DUMMYFUNCTION("""COMPUTED_VALUE"""),"")</f>
        <v/>
      </c>
      <c r="G16919" s="42" t="str">
        <f>IFERROR(__xludf.DUMMYFUNCTION("""COMPUTED_VALUE"""),"")</f>
        <v/>
      </c>
      <c r="H16919" s="42">
        <f t="shared" si="1"/>
        <v>3345</v>
      </c>
    </row>
    <row r="16920" ht="22.5" customHeight="1">
      <c r="B16920" s="42" t="str">
        <f>IFERROR(__xludf.DUMMYFUNCTION("""COMPUTED_VALUE"""),"")</f>
        <v/>
      </c>
      <c r="C16920" s="42" t="str">
        <f>IFERROR(__xludf.DUMMYFUNCTION("""COMPUTED_VALUE"""),"")</f>
        <v/>
      </c>
      <c r="D16920" s="42"/>
      <c r="E16920" s="42"/>
      <c r="F16920" s="48" t="str">
        <f>IFERROR(__xludf.DUMMYFUNCTION("""COMPUTED_VALUE"""),"")</f>
        <v/>
      </c>
      <c r="G16920" s="42" t="str">
        <f>IFERROR(__xludf.DUMMYFUNCTION("""COMPUTED_VALUE"""),"")</f>
        <v/>
      </c>
      <c r="H16920" s="42">
        <f t="shared" si="1"/>
        <v>3345</v>
      </c>
    </row>
    <row r="16921" ht="22.5" customHeight="1">
      <c r="B16921" s="42" t="str">
        <f>IFERROR(__xludf.DUMMYFUNCTION("""COMPUTED_VALUE"""),"")</f>
        <v/>
      </c>
      <c r="C16921" s="42" t="str">
        <f>IFERROR(__xludf.DUMMYFUNCTION("""COMPUTED_VALUE"""),"")</f>
        <v/>
      </c>
      <c r="D16921" s="42"/>
      <c r="E16921" s="42"/>
      <c r="F16921" s="48" t="str">
        <f>IFERROR(__xludf.DUMMYFUNCTION("""COMPUTED_VALUE"""),"")</f>
        <v/>
      </c>
      <c r="G16921" s="42" t="str">
        <f>IFERROR(__xludf.DUMMYFUNCTION("""COMPUTED_VALUE"""),"")</f>
        <v/>
      </c>
      <c r="H16921" s="42">
        <f t="shared" si="1"/>
        <v>3345</v>
      </c>
    </row>
    <row r="16922" ht="22.5" customHeight="1">
      <c r="B16922" s="42" t="str">
        <f>IFERROR(__xludf.DUMMYFUNCTION("""COMPUTED_VALUE"""),"")</f>
        <v/>
      </c>
      <c r="C16922" s="42" t="str">
        <f>IFERROR(__xludf.DUMMYFUNCTION("""COMPUTED_VALUE"""),"")</f>
        <v/>
      </c>
      <c r="D16922" s="42"/>
      <c r="E16922" s="42"/>
      <c r="F16922" s="48" t="str">
        <f>IFERROR(__xludf.DUMMYFUNCTION("""COMPUTED_VALUE"""),"")</f>
        <v/>
      </c>
      <c r="G16922" s="42" t="str">
        <f>IFERROR(__xludf.DUMMYFUNCTION("""COMPUTED_VALUE"""),"")</f>
        <v/>
      </c>
      <c r="H16922" s="42">
        <f t="shared" si="1"/>
        <v>3345</v>
      </c>
    </row>
    <row r="16923" ht="22.5" customHeight="1">
      <c r="B16923" s="42" t="str">
        <f>IFERROR(__xludf.DUMMYFUNCTION("""COMPUTED_VALUE"""),"")</f>
        <v/>
      </c>
      <c r="C16923" s="42" t="str">
        <f>IFERROR(__xludf.DUMMYFUNCTION("""COMPUTED_VALUE"""),"")</f>
        <v/>
      </c>
      <c r="D16923" s="42"/>
      <c r="E16923" s="42"/>
      <c r="F16923" s="48" t="str">
        <f>IFERROR(__xludf.DUMMYFUNCTION("""COMPUTED_VALUE"""),"")</f>
        <v/>
      </c>
      <c r="G16923" s="42" t="str">
        <f>IFERROR(__xludf.DUMMYFUNCTION("""COMPUTED_VALUE"""),"")</f>
        <v/>
      </c>
      <c r="H16923" s="42">
        <f t="shared" si="1"/>
        <v>3345</v>
      </c>
    </row>
    <row r="16924" ht="22.5" customHeight="1">
      <c r="B16924" s="42" t="str">
        <f>IFERROR(__xludf.DUMMYFUNCTION("""COMPUTED_VALUE"""),"")</f>
        <v/>
      </c>
      <c r="C16924" s="42" t="str">
        <f>IFERROR(__xludf.DUMMYFUNCTION("""COMPUTED_VALUE"""),"")</f>
        <v/>
      </c>
      <c r="D16924" s="42"/>
      <c r="E16924" s="42"/>
      <c r="F16924" s="48" t="str">
        <f>IFERROR(__xludf.DUMMYFUNCTION("""COMPUTED_VALUE"""),"")</f>
        <v/>
      </c>
      <c r="G16924" s="42" t="str">
        <f>IFERROR(__xludf.DUMMYFUNCTION("""COMPUTED_VALUE"""),"")</f>
        <v/>
      </c>
      <c r="H16924" s="42">
        <f t="shared" si="1"/>
        <v>3345</v>
      </c>
    </row>
    <row r="16925" ht="22.5" customHeight="1">
      <c r="B16925" s="42" t="str">
        <f>IFERROR(__xludf.DUMMYFUNCTION("""COMPUTED_VALUE"""),"")</f>
        <v/>
      </c>
      <c r="C16925" s="42" t="str">
        <f>IFERROR(__xludf.DUMMYFUNCTION("""COMPUTED_VALUE"""),"")</f>
        <v/>
      </c>
      <c r="D16925" s="42"/>
      <c r="E16925" s="42"/>
      <c r="F16925" s="48" t="str">
        <f>IFERROR(__xludf.DUMMYFUNCTION("""COMPUTED_VALUE"""),"")</f>
        <v/>
      </c>
      <c r="G16925" s="42" t="str">
        <f>IFERROR(__xludf.DUMMYFUNCTION("""COMPUTED_VALUE"""),"")</f>
        <v/>
      </c>
      <c r="H16925" s="42">
        <f t="shared" si="1"/>
        <v>3345</v>
      </c>
    </row>
    <row r="16926" ht="22.5" customHeight="1">
      <c r="B16926" s="42" t="str">
        <f>IFERROR(__xludf.DUMMYFUNCTION("""COMPUTED_VALUE"""),"")</f>
        <v/>
      </c>
      <c r="C16926" s="42" t="str">
        <f>IFERROR(__xludf.DUMMYFUNCTION("""COMPUTED_VALUE"""),"")</f>
        <v/>
      </c>
      <c r="D16926" s="42"/>
      <c r="E16926" s="42"/>
      <c r="F16926" s="48" t="str">
        <f>IFERROR(__xludf.DUMMYFUNCTION("""COMPUTED_VALUE"""),"")</f>
        <v/>
      </c>
      <c r="G16926" s="42" t="str">
        <f>IFERROR(__xludf.DUMMYFUNCTION("""COMPUTED_VALUE"""),"")</f>
        <v/>
      </c>
      <c r="H16926" s="42">
        <f t="shared" si="1"/>
        <v>3345</v>
      </c>
    </row>
    <row r="16927" ht="22.5" customHeight="1">
      <c r="B16927" s="42" t="str">
        <f>IFERROR(__xludf.DUMMYFUNCTION("""COMPUTED_VALUE"""),"")</f>
        <v/>
      </c>
      <c r="C16927" s="42" t="str">
        <f>IFERROR(__xludf.DUMMYFUNCTION("""COMPUTED_VALUE"""),"")</f>
        <v/>
      </c>
      <c r="D16927" s="42"/>
      <c r="E16927" s="42"/>
      <c r="F16927" s="48" t="str">
        <f>IFERROR(__xludf.DUMMYFUNCTION("""COMPUTED_VALUE"""),"")</f>
        <v/>
      </c>
      <c r="G16927" s="42" t="str">
        <f>IFERROR(__xludf.DUMMYFUNCTION("""COMPUTED_VALUE"""),"")</f>
        <v/>
      </c>
      <c r="H16927" s="42">
        <f t="shared" si="1"/>
        <v>3345</v>
      </c>
    </row>
    <row r="16928" ht="22.5" customHeight="1">
      <c r="B16928" s="42" t="str">
        <f>IFERROR(__xludf.DUMMYFUNCTION("""COMPUTED_VALUE"""),"")</f>
        <v/>
      </c>
      <c r="C16928" s="42" t="str">
        <f>IFERROR(__xludf.DUMMYFUNCTION("""COMPUTED_VALUE"""),"")</f>
        <v/>
      </c>
      <c r="D16928" s="42"/>
      <c r="E16928" s="42"/>
      <c r="F16928" s="48" t="str">
        <f>IFERROR(__xludf.DUMMYFUNCTION("""COMPUTED_VALUE"""),"")</f>
        <v/>
      </c>
      <c r="G16928" s="42" t="str">
        <f>IFERROR(__xludf.DUMMYFUNCTION("""COMPUTED_VALUE"""),"")</f>
        <v/>
      </c>
      <c r="H16928" s="42">
        <f t="shared" si="1"/>
        <v>3345</v>
      </c>
    </row>
    <row r="16929" ht="22.5" customHeight="1">
      <c r="B16929" s="42" t="str">
        <f>IFERROR(__xludf.DUMMYFUNCTION("""COMPUTED_VALUE"""),"")</f>
        <v/>
      </c>
      <c r="C16929" s="42" t="str">
        <f>IFERROR(__xludf.DUMMYFUNCTION("""COMPUTED_VALUE"""),"")</f>
        <v/>
      </c>
      <c r="D16929" s="42"/>
      <c r="E16929" s="42"/>
      <c r="F16929" s="48" t="str">
        <f>IFERROR(__xludf.DUMMYFUNCTION("""COMPUTED_VALUE"""),"")</f>
        <v/>
      </c>
      <c r="G16929" s="42" t="str">
        <f>IFERROR(__xludf.DUMMYFUNCTION("""COMPUTED_VALUE"""),"")</f>
        <v/>
      </c>
      <c r="H16929" s="42">
        <f t="shared" si="1"/>
        <v>3345</v>
      </c>
    </row>
    <row r="16930" ht="22.5" customHeight="1">
      <c r="B16930" s="42" t="str">
        <f>IFERROR(__xludf.DUMMYFUNCTION("""COMPUTED_VALUE"""),"")</f>
        <v/>
      </c>
      <c r="C16930" s="42" t="str">
        <f>IFERROR(__xludf.DUMMYFUNCTION("""COMPUTED_VALUE"""),"")</f>
        <v/>
      </c>
      <c r="D16930" s="42"/>
      <c r="E16930" s="42"/>
      <c r="F16930" s="48" t="str">
        <f>IFERROR(__xludf.DUMMYFUNCTION("""COMPUTED_VALUE"""),"")</f>
        <v/>
      </c>
      <c r="G16930" s="42" t="str">
        <f>IFERROR(__xludf.DUMMYFUNCTION("""COMPUTED_VALUE"""),"")</f>
        <v/>
      </c>
      <c r="H16930" s="42">
        <f t="shared" si="1"/>
        <v>3345</v>
      </c>
    </row>
    <row r="16931" ht="22.5" customHeight="1">
      <c r="B16931" s="42" t="str">
        <f>IFERROR(__xludf.DUMMYFUNCTION("""COMPUTED_VALUE"""),"")</f>
        <v/>
      </c>
      <c r="C16931" s="42" t="str">
        <f>IFERROR(__xludf.DUMMYFUNCTION("""COMPUTED_VALUE"""),"")</f>
        <v/>
      </c>
      <c r="D16931" s="42"/>
      <c r="E16931" s="42"/>
      <c r="F16931" s="48" t="str">
        <f>IFERROR(__xludf.DUMMYFUNCTION("""COMPUTED_VALUE"""),"")</f>
        <v/>
      </c>
      <c r="G16931" s="42" t="str">
        <f>IFERROR(__xludf.DUMMYFUNCTION("""COMPUTED_VALUE"""),"")</f>
        <v/>
      </c>
      <c r="H16931" s="42">
        <f t="shared" si="1"/>
        <v>3345</v>
      </c>
    </row>
    <row r="16932" ht="22.5" customHeight="1">
      <c r="B16932" s="42" t="str">
        <f>IFERROR(__xludf.DUMMYFUNCTION("""COMPUTED_VALUE"""),"")</f>
        <v/>
      </c>
      <c r="C16932" s="42" t="str">
        <f>IFERROR(__xludf.DUMMYFUNCTION("""COMPUTED_VALUE"""),"")</f>
        <v/>
      </c>
      <c r="D16932" s="42"/>
      <c r="E16932" s="42"/>
      <c r="F16932" s="48" t="str">
        <f>IFERROR(__xludf.DUMMYFUNCTION("""COMPUTED_VALUE"""),"")</f>
        <v/>
      </c>
      <c r="G16932" s="42" t="str">
        <f>IFERROR(__xludf.DUMMYFUNCTION("""COMPUTED_VALUE"""),"")</f>
        <v/>
      </c>
      <c r="H16932" s="42">
        <f t="shared" si="1"/>
        <v>3345</v>
      </c>
    </row>
    <row r="16933" ht="22.5" customHeight="1">
      <c r="B16933" s="42" t="str">
        <f>IFERROR(__xludf.DUMMYFUNCTION("""COMPUTED_VALUE"""),"")</f>
        <v/>
      </c>
      <c r="C16933" s="42" t="str">
        <f>IFERROR(__xludf.DUMMYFUNCTION("""COMPUTED_VALUE"""),"")</f>
        <v/>
      </c>
      <c r="D16933" s="42"/>
      <c r="E16933" s="42"/>
      <c r="F16933" s="48" t="str">
        <f>IFERROR(__xludf.DUMMYFUNCTION("""COMPUTED_VALUE"""),"")</f>
        <v/>
      </c>
      <c r="G16933" s="42" t="str">
        <f>IFERROR(__xludf.DUMMYFUNCTION("""COMPUTED_VALUE"""),"")</f>
        <v/>
      </c>
      <c r="H16933" s="42">
        <f t="shared" si="1"/>
        <v>3345</v>
      </c>
    </row>
    <row r="16934" ht="22.5" customHeight="1">
      <c r="B16934" s="42" t="str">
        <f>IFERROR(__xludf.DUMMYFUNCTION("""COMPUTED_VALUE"""),"")</f>
        <v/>
      </c>
      <c r="C16934" s="42" t="str">
        <f>IFERROR(__xludf.DUMMYFUNCTION("""COMPUTED_VALUE"""),"")</f>
        <v/>
      </c>
      <c r="D16934" s="42"/>
      <c r="E16934" s="42"/>
      <c r="F16934" s="48" t="str">
        <f>IFERROR(__xludf.DUMMYFUNCTION("""COMPUTED_VALUE"""),"")</f>
        <v/>
      </c>
      <c r="G16934" s="42" t="str">
        <f>IFERROR(__xludf.DUMMYFUNCTION("""COMPUTED_VALUE"""),"")</f>
        <v/>
      </c>
      <c r="H16934" s="42">
        <f t="shared" si="1"/>
        <v>3345</v>
      </c>
    </row>
    <row r="16935" ht="22.5" customHeight="1">
      <c r="B16935" s="42" t="str">
        <f>IFERROR(__xludf.DUMMYFUNCTION("""COMPUTED_VALUE"""),"")</f>
        <v/>
      </c>
      <c r="C16935" s="42" t="str">
        <f>IFERROR(__xludf.DUMMYFUNCTION("""COMPUTED_VALUE"""),"")</f>
        <v/>
      </c>
      <c r="D16935" s="42"/>
      <c r="E16935" s="42"/>
      <c r="F16935" s="48" t="str">
        <f>IFERROR(__xludf.DUMMYFUNCTION("""COMPUTED_VALUE"""),"")</f>
        <v/>
      </c>
      <c r="G16935" s="42" t="str">
        <f>IFERROR(__xludf.DUMMYFUNCTION("""COMPUTED_VALUE"""),"")</f>
        <v/>
      </c>
      <c r="H16935" s="42">
        <f t="shared" si="1"/>
        <v>3345</v>
      </c>
    </row>
    <row r="16936" ht="22.5" customHeight="1">
      <c r="B16936" s="42" t="str">
        <f>IFERROR(__xludf.DUMMYFUNCTION("""COMPUTED_VALUE"""),"")</f>
        <v/>
      </c>
      <c r="C16936" s="42" t="str">
        <f>IFERROR(__xludf.DUMMYFUNCTION("""COMPUTED_VALUE"""),"")</f>
        <v/>
      </c>
      <c r="D16936" s="42"/>
      <c r="E16936" s="42"/>
      <c r="F16936" s="48" t="str">
        <f>IFERROR(__xludf.DUMMYFUNCTION("""COMPUTED_VALUE"""),"")</f>
        <v/>
      </c>
      <c r="G16936" s="42" t="str">
        <f>IFERROR(__xludf.DUMMYFUNCTION("""COMPUTED_VALUE"""),"")</f>
        <v/>
      </c>
      <c r="H16936" s="42">
        <f t="shared" si="1"/>
        <v>3345</v>
      </c>
    </row>
    <row r="16937" ht="22.5" customHeight="1">
      <c r="B16937" s="42" t="str">
        <f>IFERROR(__xludf.DUMMYFUNCTION("""COMPUTED_VALUE"""),"")</f>
        <v/>
      </c>
      <c r="C16937" s="42" t="str">
        <f>IFERROR(__xludf.DUMMYFUNCTION("""COMPUTED_VALUE"""),"")</f>
        <v/>
      </c>
      <c r="D16937" s="42"/>
      <c r="E16937" s="42"/>
      <c r="F16937" s="48" t="str">
        <f>IFERROR(__xludf.DUMMYFUNCTION("""COMPUTED_VALUE"""),"")</f>
        <v/>
      </c>
      <c r="G16937" s="42" t="str">
        <f>IFERROR(__xludf.DUMMYFUNCTION("""COMPUTED_VALUE"""),"")</f>
        <v/>
      </c>
      <c r="H16937" s="42">
        <f t="shared" si="1"/>
        <v>3345</v>
      </c>
    </row>
    <row r="16938" ht="22.5" customHeight="1">
      <c r="B16938" s="42" t="str">
        <f>IFERROR(__xludf.DUMMYFUNCTION("""COMPUTED_VALUE"""),"")</f>
        <v/>
      </c>
      <c r="C16938" s="42" t="str">
        <f>IFERROR(__xludf.DUMMYFUNCTION("""COMPUTED_VALUE"""),"")</f>
        <v/>
      </c>
      <c r="D16938" s="42"/>
      <c r="E16938" s="42"/>
      <c r="F16938" s="48" t="str">
        <f>IFERROR(__xludf.DUMMYFUNCTION("""COMPUTED_VALUE"""),"")</f>
        <v/>
      </c>
      <c r="G16938" s="42" t="str">
        <f>IFERROR(__xludf.DUMMYFUNCTION("""COMPUTED_VALUE"""),"")</f>
        <v/>
      </c>
      <c r="H16938" s="42">
        <f t="shared" si="1"/>
        <v>3345</v>
      </c>
    </row>
    <row r="16939" ht="22.5" customHeight="1">
      <c r="B16939" s="42" t="str">
        <f>IFERROR(__xludf.DUMMYFUNCTION("""COMPUTED_VALUE"""),"")</f>
        <v/>
      </c>
      <c r="C16939" s="42" t="str">
        <f>IFERROR(__xludf.DUMMYFUNCTION("""COMPUTED_VALUE"""),"")</f>
        <v/>
      </c>
      <c r="D16939" s="42"/>
      <c r="E16939" s="42"/>
      <c r="F16939" s="48" t="str">
        <f>IFERROR(__xludf.DUMMYFUNCTION("""COMPUTED_VALUE"""),"")</f>
        <v/>
      </c>
      <c r="G16939" s="42" t="str">
        <f>IFERROR(__xludf.DUMMYFUNCTION("""COMPUTED_VALUE"""),"")</f>
        <v/>
      </c>
      <c r="H16939" s="42">
        <f t="shared" si="1"/>
        <v>3345</v>
      </c>
    </row>
    <row r="16940" ht="22.5" customHeight="1">
      <c r="B16940" s="42" t="str">
        <f>IFERROR(__xludf.DUMMYFUNCTION("""COMPUTED_VALUE"""),"")</f>
        <v/>
      </c>
      <c r="C16940" s="42" t="str">
        <f>IFERROR(__xludf.DUMMYFUNCTION("""COMPUTED_VALUE"""),"")</f>
        <v/>
      </c>
      <c r="D16940" s="42"/>
      <c r="E16940" s="42"/>
      <c r="F16940" s="48" t="str">
        <f>IFERROR(__xludf.DUMMYFUNCTION("""COMPUTED_VALUE"""),"")</f>
        <v/>
      </c>
      <c r="G16940" s="42" t="str">
        <f>IFERROR(__xludf.DUMMYFUNCTION("""COMPUTED_VALUE"""),"")</f>
        <v/>
      </c>
      <c r="H16940" s="42">
        <f t="shared" si="1"/>
        <v>3345</v>
      </c>
    </row>
    <row r="16941" ht="22.5" customHeight="1">
      <c r="B16941" s="42" t="str">
        <f>IFERROR(__xludf.DUMMYFUNCTION("""COMPUTED_VALUE"""),"")</f>
        <v/>
      </c>
      <c r="C16941" s="42" t="str">
        <f>IFERROR(__xludf.DUMMYFUNCTION("""COMPUTED_VALUE"""),"")</f>
        <v/>
      </c>
      <c r="D16941" s="42"/>
      <c r="E16941" s="42"/>
      <c r="F16941" s="48" t="str">
        <f>IFERROR(__xludf.DUMMYFUNCTION("""COMPUTED_VALUE"""),"")</f>
        <v/>
      </c>
      <c r="G16941" s="42" t="str">
        <f>IFERROR(__xludf.DUMMYFUNCTION("""COMPUTED_VALUE"""),"")</f>
        <v/>
      </c>
      <c r="H16941" s="42">
        <f t="shared" si="1"/>
        <v>3345</v>
      </c>
    </row>
    <row r="16942" ht="22.5" customHeight="1">
      <c r="B16942" s="42" t="str">
        <f>IFERROR(__xludf.DUMMYFUNCTION("""COMPUTED_VALUE"""),"")</f>
        <v/>
      </c>
      <c r="C16942" s="42" t="str">
        <f>IFERROR(__xludf.DUMMYFUNCTION("""COMPUTED_VALUE"""),"")</f>
        <v/>
      </c>
      <c r="D16942" s="42"/>
      <c r="E16942" s="42"/>
      <c r="F16942" s="48" t="str">
        <f>IFERROR(__xludf.DUMMYFUNCTION("""COMPUTED_VALUE"""),"")</f>
        <v/>
      </c>
      <c r="G16942" s="42" t="str">
        <f>IFERROR(__xludf.DUMMYFUNCTION("""COMPUTED_VALUE"""),"")</f>
        <v/>
      </c>
      <c r="H16942" s="42">
        <f t="shared" si="1"/>
        <v>3345</v>
      </c>
    </row>
    <row r="16943" ht="22.5" customHeight="1">
      <c r="B16943" s="42" t="str">
        <f>IFERROR(__xludf.DUMMYFUNCTION("""COMPUTED_VALUE"""),"")</f>
        <v/>
      </c>
      <c r="C16943" s="42" t="str">
        <f>IFERROR(__xludf.DUMMYFUNCTION("""COMPUTED_VALUE"""),"")</f>
        <v/>
      </c>
      <c r="D16943" s="42"/>
      <c r="E16943" s="42"/>
      <c r="F16943" s="48" t="str">
        <f>IFERROR(__xludf.DUMMYFUNCTION("""COMPUTED_VALUE"""),"")</f>
        <v/>
      </c>
      <c r="G16943" s="42" t="str">
        <f>IFERROR(__xludf.DUMMYFUNCTION("""COMPUTED_VALUE"""),"")</f>
        <v/>
      </c>
      <c r="H16943" s="42">
        <f t="shared" si="1"/>
        <v>3345</v>
      </c>
    </row>
    <row r="16944" ht="22.5" customHeight="1">
      <c r="B16944" s="42" t="str">
        <f>IFERROR(__xludf.DUMMYFUNCTION("""COMPUTED_VALUE"""),"")</f>
        <v/>
      </c>
      <c r="C16944" s="42" t="str">
        <f>IFERROR(__xludf.DUMMYFUNCTION("""COMPUTED_VALUE"""),"")</f>
        <v/>
      </c>
      <c r="D16944" s="42"/>
      <c r="E16944" s="42"/>
      <c r="F16944" s="48" t="str">
        <f>IFERROR(__xludf.DUMMYFUNCTION("""COMPUTED_VALUE"""),"")</f>
        <v/>
      </c>
      <c r="G16944" s="42" t="str">
        <f>IFERROR(__xludf.DUMMYFUNCTION("""COMPUTED_VALUE"""),"")</f>
        <v/>
      </c>
      <c r="H16944" s="42">
        <f t="shared" si="1"/>
        <v>3345</v>
      </c>
    </row>
    <row r="16945" ht="22.5" customHeight="1">
      <c r="B16945" s="42" t="str">
        <f>IFERROR(__xludf.DUMMYFUNCTION("""COMPUTED_VALUE"""),"")</f>
        <v/>
      </c>
      <c r="C16945" s="42" t="str">
        <f>IFERROR(__xludf.DUMMYFUNCTION("""COMPUTED_VALUE"""),"")</f>
        <v/>
      </c>
      <c r="D16945" s="42"/>
      <c r="E16945" s="42"/>
      <c r="F16945" s="48" t="str">
        <f>IFERROR(__xludf.DUMMYFUNCTION("""COMPUTED_VALUE"""),"")</f>
        <v/>
      </c>
      <c r="G16945" s="42" t="str">
        <f>IFERROR(__xludf.DUMMYFUNCTION("""COMPUTED_VALUE"""),"")</f>
        <v/>
      </c>
      <c r="H16945" s="42">
        <f t="shared" si="1"/>
        <v>3345</v>
      </c>
    </row>
    <row r="16946" ht="22.5" customHeight="1">
      <c r="B16946" s="42" t="str">
        <f>IFERROR(__xludf.DUMMYFUNCTION("""COMPUTED_VALUE"""),"")</f>
        <v/>
      </c>
      <c r="C16946" s="42" t="str">
        <f>IFERROR(__xludf.DUMMYFUNCTION("""COMPUTED_VALUE"""),"")</f>
        <v/>
      </c>
      <c r="D16946" s="42"/>
      <c r="E16946" s="42"/>
      <c r="F16946" s="48" t="str">
        <f>IFERROR(__xludf.DUMMYFUNCTION("""COMPUTED_VALUE"""),"")</f>
        <v/>
      </c>
      <c r="G16946" s="42" t="str">
        <f>IFERROR(__xludf.DUMMYFUNCTION("""COMPUTED_VALUE"""),"")</f>
        <v/>
      </c>
      <c r="H16946" s="42">
        <f t="shared" si="1"/>
        <v>3345</v>
      </c>
    </row>
    <row r="16947" ht="22.5" customHeight="1">
      <c r="B16947" s="42" t="str">
        <f>IFERROR(__xludf.DUMMYFUNCTION("""COMPUTED_VALUE"""),"")</f>
        <v/>
      </c>
      <c r="C16947" s="42" t="str">
        <f>IFERROR(__xludf.DUMMYFUNCTION("""COMPUTED_VALUE"""),"")</f>
        <v/>
      </c>
      <c r="D16947" s="42"/>
      <c r="E16947" s="42"/>
      <c r="F16947" s="48" t="str">
        <f>IFERROR(__xludf.DUMMYFUNCTION("""COMPUTED_VALUE"""),"")</f>
        <v/>
      </c>
      <c r="G16947" s="42" t="str">
        <f>IFERROR(__xludf.DUMMYFUNCTION("""COMPUTED_VALUE"""),"")</f>
        <v/>
      </c>
      <c r="H16947" s="42">
        <f t="shared" si="1"/>
        <v>3345</v>
      </c>
    </row>
    <row r="16948" ht="22.5" customHeight="1">
      <c r="B16948" s="42" t="str">
        <f>IFERROR(__xludf.DUMMYFUNCTION("""COMPUTED_VALUE"""),"")</f>
        <v/>
      </c>
      <c r="C16948" s="42" t="str">
        <f>IFERROR(__xludf.DUMMYFUNCTION("""COMPUTED_VALUE"""),"")</f>
        <v/>
      </c>
      <c r="D16948" s="42"/>
      <c r="E16948" s="42"/>
      <c r="F16948" s="48" t="str">
        <f>IFERROR(__xludf.DUMMYFUNCTION("""COMPUTED_VALUE"""),"")</f>
        <v/>
      </c>
      <c r="G16948" s="42" t="str">
        <f>IFERROR(__xludf.DUMMYFUNCTION("""COMPUTED_VALUE"""),"")</f>
        <v/>
      </c>
      <c r="H16948" s="42">
        <f t="shared" si="1"/>
        <v>3345</v>
      </c>
    </row>
    <row r="16949" ht="22.5" customHeight="1">
      <c r="B16949" s="42" t="str">
        <f>IFERROR(__xludf.DUMMYFUNCTION("""COMPUTED_VALUE"""),"")</f>
        <v/>
      </c>
      <c r="C16949" s="42" t="str">
        <f>IFERROR(__xludf.DUMMYFUNCTION("""COMPUTED_VALUE"""),"")</f>
        <v/>
      </c>
      <c r="D16949" s="42"/>
      <c r="E16949" s="42"/>
      <c r="F16949" s="48" t="str">
        <f>IFERROR(__xludf.DUMMYFUNCTION("""COMPUTED_VALUE"""),"")</f>
        <v/>
      </c>
      <c r="G16949" s="42" t="str">
        <f>IFERROR(__xludf.DUMMYFUNCTION("""COMPUTED_VALUE"""),"")</f>
        <v/>
      </c>
      <c r="H16949" s="42">
        <f t="shared" si="1"/>
        <v>3345</v>
      </c>
    </row>
    <row r="16950" ht="22.5" customHeight="1">
      <c r="B16950" s="42" t="str">
        <f>IFERROR(__xludf.DUMMYFUNCTION("""COMPUTED_VALUE"""),"")</f>
        <v/>
      </c>
      <c r="C16950" s="42" t="str">
        <f>IFERROR(__xludf.DUMMYFUNCTION("""COMPUTED_VALUE"""),"")</f>
        <v/>
      </c>
      <c r="D16950" s="42"/>
      <c r="E16950" s="42"/>
      <c r="F16950" s="48" t="str">
        <f>IFERROR(__xludf.DUMMYFUNCTION("""COMPUTED_VALUE"""),"")</f>
        <v/>
      </c>
      <c r="G16950" s="42" t="str">
        <f>IFERROR(__xludf.DUMMYFUNCTION("""COMPUTED_VALUE"""),"")</f>
        <v/>
      </c>
      <c r="H16950" s="42">
        <f t="shared" si="1"/>
        <v>3345</v>
      </c>
    </row>
    <row r="16951" ht="22.5" customHeight="1">
      <c r="B16951" s="42" t="str">
        <f>IFERROR(__xludf.DUMMYFUNCTION("""COMPUTED_VALUE"""),"")</f>
        <v/>
      </c>
      <c r="C16951" s="42" t="str">
        <f>IFERROR(__xludf.DUMMYFUNCTION("""COMPUTED_VALUE"""),"")</f>
        <v/>
      </c>
      <c r="D16951" s="42"/>
      <c r="E16951" s="42"/>
      <c r="F16951" s="48" t="str">
        <f>IFERROR(__xludf.DUMMYFUNCTION("""COMPUTED_VALUE"""),"")</f>
        <v/>
      </c>
      <c r="G16951" s="42" t="str">
        <f>IFERROR(__xludf.DUMMYFUNCTION("""COMPUTED_VALUE"""),"")</f>
        <v/>
      </c>
      <c r="H16951" s="42">
        <f t="shared" si="1"/>
        <v>3345</v>
      </c>
    </row>
    <row r="16952" ht="22.5" customHeight="1">
      <c r="B16952" s="42" t="str">
        <f>IFERROR(__xludf.DUMMYFUNCTION("""COMPUTED_VALUE"""),"")</f>
        <v/>
      </c>
      <c r="C16952" s="42" t="str">
        <f>IFERROR(__xludf.DUMMYFUNCTION("""COMPUTED_VALUE"""),"")</f>
        <v/>
      </c>
      <c r="D16952" s="42"/>
      <c r="E16952" s="42"/>
      <c r="F16952" s="48" t="str">
        <f>IFERROR(__xludf.DUMMYFUNCTION("""COMPUTED_VALUE"""),"")</f>
        <v/>
      </c>
      <c r="G16952" s="42" t="str">
        <f>IFERROR(__xludf.DUMMYFUNCTION("""COMPUTED_VALUE"""),"")</f>
        <v/>
      </c>
      <c r="H16952" s="42">
        <f t="shared" si="1"/>
        <v>3345</v>
      </c>
    </row>
    <row r="16953" ht="22.5" customHeight="1">
      <c r="B16953" s="42" t="str">
        <f>IFERROR(__xludf.DUMMYFUNCTION("""COMPUTED_VALUE"""),"")</f>
        <v/>
      </c>
      <c r="C16953" s="42" t="str">
        <f>IFERROR(__xludf.DUMMYFUNCTION("""COMPUTED_VALUE"""),"")</f>
        <v/>
      </c>
      <c r="D16953" s="42"/>
      <c r="E16953" s="42"/>
      <c r="F16953" s="48" t="str">
        <f>IFERROR(__xludf.DUMMYFUNCTION("""COMPUTED_VALUE"""),"")</f>
        <v/>
      </c>
      <c r="G16953" s="42" t="str">
        <f>IFERROR(__xludf.DUMMYFUNCTION("""COMPUTED_VALUE"""),"")</f>
        <v/>
      </c>
      <c r="H16953" s="42">
        <f t="shared" si="1"/>
        <v>3345</v>
      </c>
    </row>
    <row r="16954" ht="22.5" customHeight="1">
      <c r="B16954" s="42" t="str">
        <f>IFERROR(__xludf.DUMMYFUNCTION("""COMPUTED_VALUE"""),"")</f>
        <v/>
      </c>
      <c r="C16954" s="42" t="str">
        <f>IFERROR(__xludf.DUMMYFUNCTION("""COMPUTED_VALUE"""),"")</f>
        <v/>
      </c>
      <c r="D16954" s="42"/>
      <c r="E16954" s="42"/>
      <c r="F16954" s="48" t="str">
        <f>IFERROR(__xludf.DUMMYFUNCTION("""COMPUTED_VALUE"""),"")</f>
        <v/>
      </c>
      <c r="G16954" s="42" t="str">
        <f>IFERROR(__xludf.DUMMYFUNCTION("""COMPUTED_VALUE"""),"")</f>
        <v/>
      </c>
      <c r="H16954" s="42">
        <f t="shared" si="1"/>
        <v>3345</v>
      </c>
    </row>
    <row r="16955" ht="22.5" customHeight="1">
      <c r="B16955" s="42" t="str">
        <f>IFERROR(__xludf.DUMMYFUNCTION("""COMPUTED_VALUE"""),"")</f>
        <v/>
      </c>
      <c r="C16955" s="42" t="str">
        <f>IFERROR(__xludf.DUMMYFUNCTION("""COMPUTED_VALUE"""),"")</f>
        <v/>
      </c>
      <c r="D16955" s="42"/>
      <c r="E16955" s="42"/>
      <c r="F16955" s="48" t="str">
        <f>IFERROR(__xludf.DUMMYFUNCTION("""COMPUTED_VALUE"""),"")</f>
        <v/>
      </c>
      <c r="G16955" s="42" t="str">
        <f>IFERROR(__xludf.DUMMYFUNCTION("""COMPUTED_VALUE"""),"")</f>
        <v/>
      </c>
      <c r="H16955" s="42">
        <f t="shared" si="1"/>
        <v>3345</v>
      </c>
    </row>
    <row r="16956" ht="22.5" customHeight="1">
      <c r="B16956" s="42" t="str">
        <f>IFERROR(__xludf.DUMMYFUNCTION("""COMPUTED_VALUE"""),"")</f>
        <v/>
      </c>
      <c r="C16956" s="42" t="str">
        <f>IFERROR(__xludf.DUMMYFUNCTION("""COMPUTED_VALUE"""),"")</f>
        <v/>
      </c>
      <c r="D16956" s="42"/>
      <c r="E16956" s="42"/>
      <c r="F16956" s="48" t="str">
        <f>IFERROR(__xludf.DUMMYFUNCTION("""COMPUTED_VALUE"""),"")</f>
        <v/>
      </c>
      <c r="G16956" s="42" t="str">
        <f>IFERROR(__xludf.DUMMYFUNCTION("""COMPUTED_VALUE"""),"")</f>
        <v/>
      </c>
      <c r="H16956" s="42">
        <f t="shared" si="1"/>
        <v>3345</v>
      </c>
    </row>
    <row r="16957" ht="22.5" customHeight="1">
      <c r="B16957" s="42" t="str">
        <f>IFERROR(__xludf.DUMMYFUNCTION("""COMPUTED_VALUE"""),"")</f>
        <v/>
      </c>
      <c r="C16957" s="42" t="str">
        <f>IFERROR(__xludf.DUMMYFUNCTION("""COMPUTED_VALUE"""),"")</f>
        <v/>
      </c>
      <c r="D16957" s="42"/>
      <c r="E16957" s="42"/>
      <c r="F16957" s="48" t="str">
        <f>IFERROR(__xludf.DUMMYFUNCTION("""COMPUTED_VALUE"""),"")</f>
        <v/>
      </c>
      <c r="G16957" s="42" t="str">
        <f>IFERROR(__xludf.DUMMYFUNCTION("""COMPUTED_VALUE"""),"")</f>
        <v/>
      </c>
      <c r="H16957" s="42">
        <f t="shared" si="1"/>
        <v>3345</v>
      </c>
    </row>
    <row r="16958" ht="22.5" customHeight="1">
      <c r="B16958" s="42" t="str">
        <f>IFERROR(__xludf.DUMMYFUNCTION("""COMPUTED_VALUE"""),"")</f>
        <v/>
      </c>
      <c r="C16958" s="42" t="str">
        <f>IFERROR(__xludf.DUMMYFUNCTION("""COMPUTED_VALUE"""),"")</f>
        <v/>
      </c>
      <c r="D16958" s="42"/>
      <c r="E16958" s="42"/>
      <c r="F16958" s="48" t="str">
        <f>IFERROR(__xludf.DUMMYFUNCTION("""COMPUTED_VALUE"""),"")</f>
        <v/>
      </c>
      <c r="G16958" s="42" t="str">
        <f>IFERROR(__xludf.DUMMYFUNCTION("""COMPUTED_VALUE"""),"")</f>
        <v/>
      </c>
      <c r="H16958" s="42">
        <f t="shared" si="1"/>
        <v>3345</v>
      </c>
    </row>
    <row r="16959" ht="22.5" customHeight="1">
      <c r="B16959" s="42" t="str">
        <f>IFERROR(__xludf.DUMMYFUNCTION("""COMPUTED_VALUE"""),"")</f>
        <v/>
      </c>
      <c r="C16959" s="42" t="str">
        <f>IFERROR(__xludf.DUMMYFUNCTION("""COMPUTED_VALUE"""),"")</f>
        <v/>
      </c>
      <c r="D16959" s="42"/>
      <c r="E16959" s="42"/>
      <c r="F16959" s="48" t="str">
        <f>IFERROR(__xludf.DUMMYFUNCTION("""COMPUTED_VALUE"""),"")</f>
        <v/>
      </c>
      <c r="G16959" s="42" t="str">
        <f>IFERROR(__xludf.DUMMYFUNCTION("""COMPUTED_VALUE"""),"")</f>
        <v/>
      </c>
      <c r="H16959" s="42">
        <f t="shared" si="1"/>
        <v>3345</v>
      </c>
    </row>
    <row r="16960" ht="22.5" customHeight="1">
      <c r="B16960" s="42" t="str">
        <f>IFERROR(__xludf.DUMMYFUNCTION("""COMPUTED_VALUE"""),"")</f>
        <v/>
      </c>
      <c r="C16960" s="42" t="str">
        <f>IFERROR(__xludf.DUMMYFUNCTION("""COMPUTED_VALUE"""),"")</f>
        <v/>
      </c>
      <c r="D16960" s="42"/>
      <c r="E16960" s="42"/>
      <c r="F16960" s="48" t="str">
        <f>IFERROR(__xludf.DUMMYFUNCTION("""COMPUTED_VALUE"""),"")</f>
        <v/>
      </c>
      <c r="G16960" s="42" t="str">
        <f>IFERROR(__xludf.DUMMYFUNCTION("""COMPUTED_VALUE"""),"")</f>
        <v/>
      </c>
      <c r="H16960" s="42">
        <f t="shared" si="1"/>
        <v>3345</v>
      </c>
    </row>
    <row r="16961" ht="22.5" customHeight="1">
      <c r="B16961" s="42" t="str">
        <f>IFERROR(__xludf.DUMMYFUNCTION("""COMPUTED_VALUE"""),"")</f>
        <v/>
      </c>
      <c r="C16961" s="42" t="str">
        <f>IFERROR(__xludf.DUMMYFUNCTION("""COMPUTED_VALUE"""),"")</f>
        <v/>
      </c>
      <c r="D16961" s="42"/>
      <c r="E16961" s="42"/>
      <c r="F16961" s="48" t="str">
        <f>IFERROR(__xludf.DUMMYFUNCTION("""COMPUTED_VALUE"""),"")</f>
        <v/>
      </c>
      <c r="G16961" s="42" t="str">
        <f>IFERROR(__xludf.DUMMYFUNCTION("""COMPUTED_VALUE"""),"")</f>
        <v/>
      </c>
      <c r="H16961" s="42">
        <f t="shared" si="1"/>
        <v>3345</v>
      </c>
    </row>
    <row r="16962" ht="22.5" customHeight="1">
      <c r="B16962" s="42" t="str">
        <f>IFERROR(__xludf.DUMMYFUNCTION("""COMPUTED_VALUE"""),"")</f>
        <v/>
      </c>
      <c r="C16962" s="42" t="str">
        <f>IFERROR(__xludf.DUMMYFUNCTION("""COMPUTED_VALUE"""),"")</f>
        <v/>
      </c>
      <c r="D16962" s="42"/>
      <c r="E16962" s="42"/>
      <c r="F16962" s="48" t="str">
        <f>IFERROR(__xludf.DUMMYFUNCTION("""COMPUTED_VALUE"""),"")</f>
        <v/>
      </c>
      <c r="G16962" s="42" t="str">
        <f>IFERROR(__xludf.DUMMYFUNCTION("""COMPUTED_VALUE"""),"")</f>
        <v/>
      </c>
      <c r="H16962" s="42">
        <f t="shared" si="1"/>
        <v>3345</v>
      </c>
    </row>
    <row r="16963" ht="22.5" customHeight="1">
      <c r="B16963" s="42" t="str">
        <f>IFERROR(__xludf.DUMMYFUNCTION("""COMPUTED_VALUE"""),"")</f>
        <v/>
      </c>
      <c r="C16963" s="42" t="str">
        <f>IFERROR(__xludf.DUMMYFUNCTION("""COMPUTED_VALUE"""),"")</f>
        <v/>
      </c>
      <c r="D16963" s="42"/>
      <c r="E16963" s="42"/>
      <c r="F16963" s="48" t="str">
        <f>IFERROR(__xludf.DUMMYFUNCTION("""COMPUTED_VALUE"""),"")</f>
        <v/>
      </c>
      <c r="G16963" s="42" t="str">
        <f>IFERROR(__xludf.DUMMYFUNCTION("""COMPUTED_VALUE"""),"")</f>
        <v/>
      </c>
      <c r="H16963" s="42">
        <f t="shared" si="1"/>
        <v>3345</v>
      </c>
    </row>
    <row r="16964" ht="22.5" customHeight="1">
      <c r="B16964" s="42" t="str">
        <f>IFERROR(__xludf.DUMMYFUNCTION("""COMPUTED_VALUE"""),"")</f>
        <v/>
      </c>
      <c r="C16964" s="42" t="str">
        <f>IFERROR(__xludf.DUMMYFUNCTION("""COMPUTED_VALUE"""),"")</f>
        <v/>
      </c>
      <c r="D16964" s="42"/>
      <c r="E16964" s="42"/>
      <c r="F16964" s="48" t="str">
        <f>IFERROR(__xludf.DUMMYFUNCTION("""COMPUTED_VALUE"""),"")</f>
        <v/>
      </c>
      <c r="G16964" s="42" t="str">
        <f>IFERROR(__xludf.DUMMYFUNCTION("""COMPUTED_VALUE"""),"")</f>
        <v/>
      </c>
      <c r="H16964" s="42">
        <f t="shared" si="1"/>
        <v>3345</v>
      </c>
    </row>
    <row r="16965" ht="22.5" customHeight="1">
      <c r="B16965" s="42" t="str">
        <f>IFERROR(__xludf.DUMMYFUNCTION("""COMPUTED_VALUE"""),"")</f>
        <v/>
      </c>
      <c r="C16965" s="42" t="str">
        <f>IFERROR(__xludf.DUMMYFUNCTION("""COMPUTED_VALUE"""),"")</f>
        <v/>
      </c>
      <c r="D16965" s="42"/>
      <c r="E16965" s="42"/>
      <c r="F16965" s="48" t="str">
        <f>IFERROR(__xludf.DUMMYFUNCTION("""COMPUTED_VALUE"""),"")</f>
        <v/>
      </c>
      <c r="G16965" s="42" t="str">
        <f>IFERROR(__xludf.DUMMYFUNCTION("""COMPUTED_VALUE"""),"")</f>
        <v/>
      </c>
      <c r="H16965" s="42">
        <f t="shared" si="1"/>
        <v>3345</v>
      </c>
    </row>
    <row r="16966" ht="22.5" customHeight="1">
      <c r="B16966" s="42" t="str">
        <f>IFERROR(__xludf.DUMMYFUNCTION("""COMPUTED_VALUE"""),"")</f>
        <v/>
      </c>
      <c r="C16966" s="42" t="str">
        <f>IFERROR(__xludf.DUMMYFUNCTION("""COMPUTED_VALUE"""),"")</f>
        <v/>
      </c>
      <c r="D16966" s="42"/>
      <c r="E16966" s="42"/>
      <c r="F16966" s="48" t="str">
        <f>IFERROR(__xludf.DUMMYFUNCTION("""COMPUTED_VALUE"""),"")</f>
        <v/>
      </c>
      <c r="G16966" s="42" t="str">
        <f>IFERROR(__xludf.DUMMYFUNCTION("""COMPUTED_VALUE"""),"")</f>
        <v/>
      </c>
      <c r="H16966" s="42">
        <f t="shared" si="1"/>
        <v>3345</v>
      </c>
    </row>
    <row r="16967" ht="22.5" customHeight="1">
      <c r="B16967" s="42" t="str">
        <f>IFERROR(__xludf.DUMMYFUNCTION("""COMPUTED_VALUE"""),"")</f>
        <v/>
      </c>
      <c r="C16967" s="42" t="str">
        <f>IFERROR(__xludf.DUMMYFUNCTION("""COMPUTED_VALUE"""),"")</f>
        <v/>
      </c>
      <c r="D16967" s="42"/>
      <c r="E16967" s="42"/>
      <c r="F16967" s="48" t="str">
        <f>IFERROR(__xludf.DUMMYFUNCTION("""COMPUTED_VALUE"""),"")</f>
        <v/>
      </c>
      <c r="G16967" s="42" t="str">
        <f>IFERROR(__xludf.DUMMYFUNCTION("""COMPUTED_VALUE"""),"")</f>
        <v/>
      </c>
      <c r="H16967" s="42">
        <f t="shared" si="1"/>
        <v>3345</v>
      </c>
    </row>
    <row r="16968" ht="22.5" customHeight="1">
      <c r="B16968" s="42" t="str">
        <f>IFERROR(__xludf.DUMMYFUNCTION("""COMPUTED_VALUE"""),"")</f>
        <v/>
      </c>
      <c r="C16968" s="42" t="str">
        <f>IFERROR(__xludf.DUMMYFUNCTION("""COMPUTED_VALUE"""),"")</f>
        <v/>
      </c>
      <c r="D16968" s="42"/>
      <c r="E16968" s="42"/>
      <c r="F16968" s="48" t="str">
        <f>IFERROR(__xludf.DUMMYFUNCTION("""COMPUTED_VALUE"""),"")</f>
        <v/>
      </c>
      <c r="G16968" s="42" t="str">
        <f>IFERROR(__xludf.DUMMYFUNCTION("""COMPUTED_VALUE"""),"")</f>
        <v/>
      </c>
      <c r="H16968" s="42">
        <f t="shared" si="1"/>
        <v>3345</v>
      </c>
    </row>
    <row r="16969" ht="22.5" customHeight="1">
      <c r="B16969" s="42" t="str">
        <f>IFERROR(__xludf.DUMMYFUNCTION("""COMPUTED_VALUE"""),"")</f>
        <v/>
      </c>
      <c r="C16969" s="42" t="str">
        <f>IFERROR(__xludf.DUMMYFUNCTION("""COMPUTED_VALUE"""),"")</f>
        <v/>
      </c>
      <c r="D16969" s="42"/>
      <c r="E16969" s="42"/>
      <c r="F16969" s="48" t="str">
        <f>IFERROR(__xludf.DUMMYFUNCTION("""COMPUTED_VALUE"""),"")</f>
        <v/>
      </c>
      <c r="G16969" s="42" t="str">
        <f>IFERROR(__xludf.DUMMYFUNCTION("""COMPUTED_VALUE"""),"")</f>
        <v/>
      </c>
      <c r="H16969" s="42">
        <f t="shared" si="1"/>
        <v>3345</v>
      </c>
    </row>
    <row r="16970" ht="22.5" customHeight="1">
      <c r="B16970" s="42" t="str">
        <f>IFERROR(__xludf.DUMMYFUNCTION("""COMPUTED_VALUE"""),"")</f>
        <v/>
      </c>
      <c r="C16970" s="42" t="str">
        <f>IFERROR(__xludf.DUMMYFUNCTION("""COMPUTED_VALUE"""),"")</f>
        <v/>
      </c>
      <c r="D16970" s="42"/>
      <c r="E16970" s="42"/>
      <c r="F16970" s="48" t="str">
        <f>IFERROR(__xludf.DUMMYFUNCTION("""COMPUTED_VALUE"""),"")</f>
        <v/>
      </c>
      <c r="G16970" s="42" t="str">
        <f>IFERROR(__xludf.DUMMYFUNCTION("""COMPUTED_VALUE"""),"")</f>
        <v/>
      </c>
      <c r="H16970" s="42">
        <f t="shared" si="1"/>
        <v>3345</v>
      </c>
    </row>
    <row r="16971" ht="22.5" customHeight="1">
      <c r="B16971" s="42" t="str">
        <f>IFERROR(__xludf.DUMMYFUNCTION("""COMPUTED_VALUE"""),"")</f>
        <v/>
      </c>
      <c r="C16971" s="42" t="str">
        <f>IFERROR(__xludf.DUMMYFUNCTION("""COMPUTED_VALUE"""),"")</f>
        <v/>
      </c>
      <c r="D16971" s="42"/>
      <c r="E16971" s="42"/>
      <c r="F16971" s="48" t="str">
        <f>IFERROR(__xludf.DUMMYFUNCTION("""COMPUTED_VALUE"""),"")</f>
        <v/>
      </c>
      <c r="G16971" s="42" t="str">
        <f>IFERROR(__xludf.DUMMYFUNCTION("""COMPUTED_VALUE"""),"")</f>
        <v/>
      </c>
      <c r="H16971" s="42">
        <f t="shared" si="1"/>
        <v>3345</v>
      </c>
    </row>
    <row r="16972" ht="22.5" customHeight="1">
      <c r="B16972" s="42" t="str">
        <f>IFERROR(__xludf.DUMMYFUNCTION("""COMPUTED_VALUE"""),"")</f>
        <v/>
      </c>
      <c r="C16972" s="42" t="str">
        <f>IFERROR(__xludf.DUMMYFUNCTION("""COMPUTED_VALUE"""),"")</f>
        <v/>
      </c>
      <c r="D16972" s="42"/>
      <c r="E16972" s="42"/>
      <c r="F16972" s="48" t="str">
        <f>IFERROR(__xludf.DUMMYFUNCTION("""COMPUTED_VALUE"""),"")</f>
        <v/>
      </c>
      <c r="G16972" s="42" t="str">
        <f>IFERROR(__xludf.DUMMYFUNCTION("""COMPUTED_VALUE"""),"")</f>
        <v/>
      </c>
      <c r="H16972" s="42">
        <f t="shared" si="1"/>
        <v>3345</v>
      </c>
    </row>
    <row r="16973" ht="22.5" customHeight="1">
      <c r="B16973" s="42" t="str">
        <f>IFERROR(__xludf.DUMMYFUNCTION("""COMPUTED_VALUE"""),"")</f>
        <v/>
      </c>
      <c r="C16973" s="42" t="str">
        <f>IFERROR(__xludf.DUMMYFUNCTION("""COMPUTED_VALUE"""),"")</f>
        <v/>
      </c>
      <c r="D16973" s="42"/>
      <c r="E16973" s="42"/>
      <c r="F16973" s="48" t="str">
        <f>IFERROR(__xludf.DUMMYFUNCTION("""COMPUTED_VALUE"""),"")</f>
        <v/>
      </c>
      <c r="G16973" s="42" t="str">
        <f>IFERROR(__xludf.DUMMYFUNCTION("""COMPUTED_VALUE"""),"")</f>
        <v/>
      </c>
      <c r="H16973" s="42">
        <f t="shared" si="1"/>
        <v>3345</v>
      </c>
    </row>
    <row r="16974" ht="22.5" customHeight="1">
      <c r="B16974" s="42" t="str">
        <f>IFERROR(__xludf.DUMMYFUNCTION("""COMPUTED_VALUE"""),"")</f>
        <v/>
      </c>
      <c r="C16974" s="42" t="str">
        <f>IFERROR(__xludf.DUMMYFUNCTION("""COMPUTED_VALUE"""),"")</f>
        <v/>
      </c>
      <c r="D16974" s="42"/>
      <c r="E16974" s="42"/>
      <c r="F16974" s="48" t="str">
        <f>IFERROR(__xludf.DUMMYFUNCTION("""COMPUTED_VALUE"""),"")</f>
        <v/>
      </c>
      <c r="G16974" s="42" t="str">
        <f>IFERROR(__xludf.DUMMYFUNCTION("""COMPUTED_VALUE"""),"")</f>
        <v/>
      </c>
      <c r="H16974" s="42">
        <f t="shared" si="1"/>
        <v>3345</v>
      </c>
    </row>
    <row r="16975" ht="22.5" customHeight="1">
      <c r="B16975" s="42" t="str">
        <f>IFERROR(__xludf.DUMMYFUNCTION("""COMPUTED_VALUE"""),"")</f>
        <v/>
      </c>
      <c r="C16975" s="42" t="str">
        <f>IFERROR(__xludf.DUMMYFUNCTION("""COMPUTED_VALUE"""),"")</f>
        <v/>
      </c>
      <c r="D16975" s="42"/>
      <c r="E16975" s="42"/>
      <c r="F16975" s="48" t="str">
        <f>IFERROR(__xludf.DUMMYFUNCTION("""COMPUTED_VALUE"""),"")</f>
        <v/>
      </c>
      <c r="G16975" s="42" t="str">
        <f>IFERROR(__xludf.DUMMYFUNCTION("""COMPUTED_VALUE"""),"")</f>
        <v/>
      </c>
      <c r="H16975" s="42">
        <f t="shared" si="1"/>
        <v>3345</v>
      </c>
    </row>
    <row r="16976" ht="22.5" customHeight="1">
      <c r="B16976" s="42" t="str">
        <f>IFERROR(__xludf.DUMMYFUNCTION("""COMPUTED_VALUE"""),"")</f>
        <v/>
      </c>
      <c r="C16976" s="42" t="str">
        <f>IFERROR(__xludf.DUMMYFUNCTION("""COMPUTED_VALUE"""),"")</f>
        <v/>
      </c>
      <c r="D16976" s="42"/>
      <c r="E16976" s="42"/>
      <c r="F16976" s="48" t="str">
        <f>IFERROR(__xludf.DUMMYFUNCTION("""COMPUTED_VALUE"""),"")</f>
        <v/>
      </c>
      <c r="G16976" s="42" t="str">
        <f>IFERROR(__xludf.DUMMYFUNCTION("""COMPUTED_VALUE"""),"")</f>
        <v/>
      </c>
      <c r="H16976" s="42">
        <f t="shared" si="1"/>
        <v>3345</v>
      </c>
    </row>
    <row r="16977" ht="22.5" customHeight="1">
      <c r="B16977" s="42" t="str">
        <f>IFERROR(__xludf.DUMMYFUNCTION("""COMPUTED_VALUE"""),"")</f>
        <v/>
      </c>
      <c r="C16977" s="42" t="str">
        <f>IFERROR(__xludf.DUMMYFUNCTION("""COMPUTED_VALUE"""),"")</f>
        <v/>
      </c>
      <c r="D16977" s="42"/>
      <c r="E16977" s="42"/>
      <c r="F16977" s="48" t="str">
        <f>IFERROR(__xludf.DUMMYFUNCTION("""COMPUTED_VALUE"""),"")</f>
        <v/>
      </c>
      <c r="G16977" s="42" t="str">
        <f>IFERROR(__xludf.DUMMYFUNCTION("""COMPUTED_VALUE"""),"")</f>
        <v/>
      </c>
      <c r="H16977" s="42">
        <f t="shared" si="1"/>
        <v>3345</v>
      </c>
    </row>
    <row r="16978" ht="22.5" customHeight="1">
      <c r="B16978" s="42" t="str">
        <f>IFERROR(__xludf.DUMMYFUNCTION("""COMPUTED_VALUE"""),"")</f>
        <v/>
      </c>
      <c r="C16978" s="42" t="str">
        <f>IFERROR(__xludf.DUMMYFUNCTION("""COMPUTED_VALUE"""),"")</f>
        <v/>
      </c>
      <c r="D16978" s="42"/>
      <c r="E16978" s="42"/>
      <c r="F16978" s="48" t="str">
        <f>IFERROR(__xludf.DUMMYFUNCTION("""COMPUTED_VALUE"""),"")</f>
        <v/>
      </c>
      <c r="G16978" s="42" t="str">
        <f>IFERROR(__xludf.DUMMYFUNCTION("""COMPUTED_VALUE"""),"")</f>
        <v/>
      </c>
      <c r="H16978" s="42">
        <f t="shared" si="1"/>
        <v>3345</v>
      </c>
    </row>
    <row r="16979" ht="22.5" customHeight="1">
      <c r="B16979" s="42" t="str">
        <f>IFERROR(__xludf.DUMMYFUNCTION("""COMPUTED_VALUE"""),"")</f>
        <v/>
      </c>
      <c r="C16979" s="42" t="str">
        <f>IFERROR(__xludf.DUMMYFUNCTION("""COMPUTED_VALUE"""),"")</f>
        <v/>
      </c>
      <c r="D16979" s="42"/>
      <c r="E16979" s="42"/>
      <c r="F16979" s="48" t="str">
        <f>IFERROR(__xludf.DUMMYFUNCTION("""COMPUTED_VALUE"""),"")</f>
        <v/>
      </c>
      <c r="G16979" s="42" t="str">
        <f>IFERROR(__xludf.DUMMYFUNCTION("""COMPUTED_VALUE"""),"")</f>
        <v/>
      </c>
      <c r="H16979" s="42">
        <f t="shared" si="1"/>
        <v>3345</v>
      </c>
    </row>
    <row r="16980" ht="22.5" customHeight="1">
      <c r="B16980" s="42" t="str">
        <f>IFERROR(__xludf.DUMMYFUNCTION("""COMPUTED_VALUE"""),"")</f>
        <v/>
      </c>
      <c r="C16980" s="42" t="str">
        <f>IFERROR(__xludf.DUMMYFUNCTION("""COMPUTED_VALUE"""),"")</f>
        <v/>
      </c>
      <c r="D16980" s="42"/>
      <c r="E16980" s="42"/>
      <c r="F16980" s="48" t="str">
        <f>IFERROR(__xludf.DUMMYFUNCTION("""COMPUTED_VALUE"""),"")</f>
        <v/>
      </c>
      <c r="G16980" s="42" t="str">
        <f>IFERROR(__xludf.DUMMYFUNCTION("""COMPUTED_VALUE"""),"")</f>
        <v/>
      </c>
      <c r="H16980" s="42">
        <f t="shared" si="1"/>
        <v>3345</v>
      </c>
    </row>
    <row r="16981" ht="22.5" customHeight="1">
      <c r="B16981" s="42" t="str">
        <f>IFERROR(__xludf.DUMMYFUNCTION("""COMPUTED_VALUE"""),"")</f>
        <v/>
      </c>
      <c r="C16981" s="42" t="str">
        <f>IFERROR(__xludf.DUMMYFUNCTION("""COMPUTED_VALUE"""),"")</f>
        <v/>
      </c>
      <c r="D16981" s="42"/>
      <c r="E16981" s="42"/>
      <c r="F16981" s="48" t="str">
        <f>IFERROR(__xludf.DUMMYFUNCTION("""COMPUTED_VALUE"""),"")</f>
        <v/>
      </c>
      <c r="G16981" s="42" t="str">
        <f>IFERROR(__xludf.DUMMYFUNCTION("""COMPUTED_VALUE"""),"")</f>
        <v/>
      </c>
      <c r="H16981" s="42">
        <f t="shared" si="1"/>
        <v>3345</v>
      </c>
    </row>
    <row r="16982" ht="22.5" customHeight="1">
      <c r="B16982" s="42" t="str">
        <f>IFERROR(__xludf.DUMMYFUNCTION("""COMPUTED_VALUE"""),"")</f>
        <v/>
      </c>
      <c r="C16982" s="42" t="str">
        <f>IFERROR(__xludf.DUMMYFUNCTION("""COMPUTED_VALUE"""),"")</f>
        <v/>
      </c>
      <c r="D16982" s="42"/>
      <c r="E16982" s="42"/>
      <c r="F16982" s="48" t="str">
        <f>IFERROR(__xludf.DUMMYFUNCTION("""COMPUTED_VALUE"""),"")</f>
        <v/>
      </c>
      <c r="G16982" s="42" t="str">
        <f>IFERROR(__xludf.DUMMYFUNCTION("""COMPUTED_VALUE"""),"")</f>
        <v/>
      </c>
      <c r="H16982" s="42">
        <f t="shared" si="1"/>
        <v>3345</v>
      </c>
    </row>
    <row r="16983" ht="22.5" customHeight="1">
      <c r="B16983" s="42" t="str">
        <f>IFERROR(__xludf.DUMMYFUNCTION("""COMPUTED_VALUE"""),"")</f>
        <v/>
      </c>
      <c r="C16983" s="42" t="str">
        <f>IFERROR(__xludf.DUMMYFUNCTION("""COMPUTED_VALUE"""),"")</f>
        <v/>
      </c>
      <c r="D16983" s="42"/>
      <c r="E16983" s="42"/>
      <c r="F16983" s="48" t="str">
        <f>IFERROR(__xludf.DUMMYFUNCTION("""COMPUTED_VALUE"""),"")</f>
        <v/>
      </c>
      <c r="G16983" s="42" t="str">
        <f>IFERROR(__xludf.DUMMYFUNCTION("""COMPUTED_VALUE"""),"")</f>
        <v/>
      </c>
      <c r="H16983" s="42">
        <f t="shared" si="1"/>
        <v>3345</v>
      </c>
    </row>
    <row r="16984" ht="22.5" customHeight="1">
      <c r="B16984" s="42" t="str">
        <f>IFERROR(__xludf.DUMMYFUNCTION("""COMPUTED_VALUE"""),"")</f>
        <v/>
      </c>
      <c r="C16984" s="42" t="str">
        <f>IFERROR(__xludf.DUMMYFUNCTION("""COMPUTED_VALUE"""),"")</f>
        <v/>
      </c>
      <c r="D16984" s="42"/>
      <c r="E16984" s="42"/>
      <c r="F16984" s="48" t="str">
        <f>IFERROR(__xludf.DUMMYFUNCTION("""COMPUTED_VALUE"""),"")</f>
        <v/>
      </c>
      <c r="G16984" s="42" t="str">
        <f>IFERROR(__xludf.DUMMYFUNCTION("""COMPUTED_VALUE"""),"")</f>
        <v/>
      </c>
      <c r="H16984" s="42">
        <f t="shared" si="1"/>
        <v>3345</v>
      </c>
    </row>
    <row r="16985" ht="22.5" customHeight="1">
      <c r="B16985" s="42" t="str">
        <f>IFERROR(__xludf.DUMMYFUNCTION("""COMPUTED_VALUE"""),"")</f>
        <v/>
      </c>
      <c r="C16985" s="42" t="str">
        <f>IFERROR(__xludf.DUMMYFUNCTION("""COMPUTED_VALUE"""),"")</f>
        <v/>
      </c>
      <c r="D16985" s="42"/>
      <c r="E16985" s="42"/>
      <c r="F16985" s="48" t="str">
        <f>IFERROR(__xludf.DUMMYFUNCTION("""COMPUTED_VALUE"""),"")</f>
        <v/>
      </c>
      <c r="G16985" s="42" t="str">
        <f>IFERROR(__xludf.DUMMYFUNCTION("""COMPUTED_VALUE"""),"")</f>
        <v/>
      </c>
      <c r="H16985" s="42">
        <f t="shared" si="1"/>
        <v>3345</v>
      </c>
    </row>
    <row r="16986" ht="22.5" customHeight="1">
      <c r="B16986" s="42" t="str">
        <f>IFERROR(__xludf.DUMMYFUNCTION("""COMPUTED_VALUE"""),"")</f>
        <v/>
      </c>
      <c r="C16986" s="42" t="str">
        <f>IFERROR(__xludf.DUMMYFUNCTION("""COMPUTED_VALUE"""),"")</f>
        <v/>
      </c>
      <c r="D16986" s="42"/>
      <c r="E16986" s="42"/>
      <c r="F16986" s="48" t="str">
        <f>IFERROR(__xludf.DUMMYFUNCTION("""COMPUTED_VALUE"""),"")</f>
        <v/>
      </c>
      <c r="G16986" s="42" t="str">
        <f>IFERROR(__xludf.DUMMYFUNCTION("""COMPUTED_VALUE"""),"")</f>
        <v/>
      </c>
      <c r="H16986" s="42">
        <f t="shared" si="1"/>
        <v>3345</v>
      </c>
    </row>
    <row r="16987" ht="22.5" customHeight="1">
      <c r="B16987" s="42" t="str">
        <f>IFERROR(__xludf.DUMMYFUNCTION("""COMPUTED_VALUE"""),"")</f>
        <v/>
      </c>
      <c r="C16987" s="42" t="str">
        <f>IFERROR(__xludf.DUMMYFUNCTION("""COMPUTED_VALUE"""),"")</f>
        <v/>
      </c>
      <c r="D16987" s="42"/>
      <c r="E16987" s="42"/>
      <c r="F16987" s="48" t="str">
        <f>IFERROR(__xludf.DUMMYFUNCTION("""COMPUTED_VALUE"""),"")</f>
        <v/>
      </c>
      <c r="G16987" s="42" t="str">
        <f>IFERROR(__xludf.DUMMYFUNCTION("""COMPUTED_VALUE"""),"")</f>
        <v/>
      </c>
      <c r="H16987" s="42">
        <f t="shared" si="1"/>
        <v>3345</v>
      </c>
    </row>
    <row r="16988" ht="22.5" customHeight="1">
      <c r="B16988" s="42" t="str">
        <f>IFERROR(__xludf.DUMMYFUNCTION("""COMPUTED_VALUE"""),"")</f>
        <v/>
      </c>
      <c r="C16988" s="42" t="str">
        <f>IFERROR(__xludf.DUMMYFUNCTION("""COMPUTED_VALUE"""),"")</f>
        <v/>
      </c>
      <c r="D16988" s="42"/>
      <c r="E16988" s="42"/>
      <c r="F16988" s="48" t="str">
        <f>IFERROR(__xludf.DUMMYFUNCTION("""COMPUTED_VALUE"""),"")</f>
        <v/>
      </c>
      <c r="G16988" s="42" t="str">
        <f>IFERROR(__xludf.DUMMYFUNCTION("""COMPUTED_VALUE"""),"")</f>
        <v/>
      </c>
      <c r="H16988" s="42">
        <f t="shared" si="1"/>
        <v>3345</v>
      </c>
    </row>
    <row r="16989" ht="22.5" customHeight="1">
      <c r="B16989" s="42" t="str">
        <f>IFERROR(__xludf.DUMMYFUNCTION("""COMPUTED_VALUE"""),"")</f>
        <v/>
      </c>
      <c r="C16989" s="42" t="str">
        <f>IFERROR(__xludf.DUMMYFUNCTION("""COMPUTED_VALUE"""),"")</f>
        <v/>
      </c>
      <c r="D16989" s="42"/>
      <c r="E16989" s="42"/>
      <c r="F16989" s="48" t="str">
        <f>IFERROR(__xludf.DUMMYFUNCTION("""COMPUTED_VALUE"""),"")</f>
        <v/>
      </c>
      <c r="G16989" s="42" t="str">
        <f>IFERROR(__xludf.DUMMYFUNCTION("""COMPUTED_VALUE"""),"")</f>
        <v/>
      </c>
      <c r="H16989" s="42">
        <f t="shared" si="1"/>
        <v>3345</v>
      </c>
    </row>
    <row r="16990" ht="22.5" customHeight="1">
      <c r="B16990" s="42" t="str">
        <f>IFERROR(__xludf.DUMMYFUNCTION("""COMPUTED_VALUE"""),"")</f>
        <v/>
      </c>
      <c r="C16990" s="42" t="str">
        <f>IFERROR(__xludf.DUMMYFUNCTION("""COMPUTED_VALUE"""),"")</f>
        <v/>
      </c>
      <c r="D16990" s="42"/>
      <c r="E16990" s="42"/>
      <c r="F16990" s="48" t="str">
        <f>IFERROR(__xludf.DUMMYFUNCTION("""COMPUTED_VALUE"""),"")</f>
        <v/>
      </c>
      <c r="G16990" s="42" t="str">
        <f>IFERROR(__xludf.DUMMYFUNCTION("""COMPUTED_VALUE"""),"")</f>
        <v/>
      </c>
      <c r="H16990" s="42">
        <f t="shared" si="1"/>
        <v>3345</v>
      </c>
    </row>
    <row r="16991" ht="22.5" customHeight="1">
      <c r="B16991" s="42" t="str">
        <f>IFERROR(__xludf.DUMMYFUNCTION("""COMPUTED_VALUE"""),"")</f>
        <v/>
      </c>
      <c r="C16991" s="42" t="str">
        <f>IFERROR(__xludf.DUMMYFUNCTION("""COMPUTED_VALUE"""),"")</f>
        <v/>
      </c>
      <c r="D16991" s="42"/>
      <c r="E16991" s="42"/>
      <c r="F16991" s="48" t="str">
        <f>IFERROR(__xludf.DUMMYFUNCTION("""COMPUTED_VALUE"""),"")</f>
        <v/>
      </c>
      <c r="G16991" s="42" t="str">
        <f>IFERROR(__xludf.DUMMYFUNCTION("""COMPUTED_VALUE"""),"")</f>
        <v/>
      </c>
      <c r="H16991" s="42">
        <f t="shared" si="1"/>
        <v>3345</v>
      </c>
    </row>
    <row r="16992" ht="22.5" customHeight="1">
      <c r="B16992" s="42" t="str">
        <f>IFERROR(__xludf.DUMMYFUNCTION("""COMPUTED_VALUE"""),"")</f>
        <v/>
      </c>
      <c r="C16992" s="42" t="str">
        <f>IFERROR(__xludf.DUMMYFUNCTION("""COMPUTED_VALUE"""),"")</f>
        <v/>
      </c>
      <c r="D16992" s="42"/>
      <c r="E16992" s="42"/>
      <c r="F16992" s="48" t="str">
        <f>IFERROR(__xludf.DUMMYFUNCTION("""COMPUTED_VALUE"""),"")</f>
        <v/>
      </c>
      <c r="G16992" s="42" t="str">
        <f>IFERROR(__xludf.DUMMYFUNCTION("""COMPUTED_VALUE"""),"")</f>
        <v/>
      </c>
      <c r="H16992" s="42">
        <f t="shared" si="1"/>
        <v>3345</v>
      </c>
    </row>
    <row r="16993" ht="22.5" customHeight="1">
      <c r="B16993" s="42" t="str">
        <f>IFERROR(__xludf.DUMMYFUNCTION("""COMPUTED_VALUE"""),"")</f>
        <v/>
      </c>
      <c r="C16993" s="42" t="str">
        <f>IFERROR(__xludf.DUMMYFUNCTION("""COMPUTED_VALUE"""),"")</f>
        <v/>
      </c>
      <c r="D16993" s="42"/>
      <c r="E16993" s="42"/>
      <c r="F16993" s="48" t="str">
        <f>IFERROR(__xludf.DUMMYFUNCTION("""COMPUTED_VALUE"""),"")</f>
        <v/>
      </c>
      <c r="G16993" s="42" t="str">
        <f>IFERROR(__xludf.DUMMYFUNCTION("""COMPUTED_VALUE"""),"")</f>
        <v/>
      </c>
      <c r="H16993" s="42">
        <f t="shared" si="1"/>
        <v>3345</v>
      </c>
    </row>
    <row r="16994" ht="22.5" customHeight="1">
      <c r="B16994" s="42" t="str">
        <f>IFERROR(__xludf.DUMMYFUNCTION("""COMPUTED_VALUE"""),"")</f>
        <v/>
      </c>
      <c r="C16994" s="42" t="str">
        <f>IFERROR(__xludf.DUMMYFUNCTION("""COMPUTED_VALUE"""),"")</f>
        <v/>
      </c>
      <c r="D16994" s="42"/>
      <c r="E16994" s="42"/>
      <c r="F16994" s="48" t="str">
        <f>IFERROR(__xludf.DUMMYFUNCTION("""COMPUTED_VALUE"""),"")</f>
        <v/>
      </c>
      <c r="G16994" s="42" t="str">
        <f>IFERROR(__xludf.DUMMYFUNCTION("""COMPUTED_VALUE"""),"")</f>
        <v/>
      </c>
      <c r="H16994" s="42">
        <f t="shared" si="1"/>
        <v>3345</v>
      </c>
    </row>
    <row r="16995" ht="22.5" customHeight="1">
      <c r="B16995" s="42" t="str">
        <f>IFERROR(__xludf.DUMMYFUNCTION("""COMPUTED_VALUE"""),"")</f>
        <v/>
      </c>
      <c r="C16995" s="42" t="str">
        <f>IFERROR(__xludf.DUMMYFUNCTION("""COMPUTED_VALUE"""),"")</f>
        <v/>
      </c>
      <c r="D16995" s="42"/>
      <c r="E16995" s="42"/>
      <c r="F16995" s="48" t="str">
        <f>IFERROR(__xludf.DUMMYFUNCTION("""COMPUTED_VALUE"""),"")</f>
        <v/>
      </c>
      <c r="G16995" s="42" t="str">
        <f>IFERROR(__xludf.DUMMYFUNCTION("""COMPUTED_VALUE"""),"")</f>
        <v/>
      </c>
      <c r="H16995" s="42">
        <f t="shared" si="1"/>
        <v>3345</v>
      </c>
    </row>
    <row r="16996" ht="22.5" customHeight="1">
      <c r="B16996" s="42" t="str">
        <f>IFERROR(__xludf.DUMMYFUNCTION("""COMPUTED_VALUE"""),"")</f>
        <v/>
      </c>
      <c r="C16996" s="42" t="str">
        <f>IFERROR(__xludf.DUMMYFUNCTION("""COMPUTED_VALUE"""),"")</f>
        <v/>
      </c>
      <c r="D16996" s="42"/>
      <c r="E16996" s="42"/>
      <c r="F16996" s="48" t="str">
        <f>IFERROR(__xludf.DUMMYFUNCTION("""COMPUTED_VALUE"""),"")</f>
        <v/>
      </c>
      <c r="G16996" s="42" t="str">
        <f>IFERROR(__xludf.DUMMYFUNCTION("""COMPUTED_VALUE"""),"")</f>
        <v/>
      </c>
      <c r="H16996" s="42">
        <f t="shared" si="1"/>
        <v>3345</v>
      </c>
    </row>
    <row r="16997" ht="22.5" customHeight="1">
      <c r="B16997" s="42" t="str">
        <f>IFERROR(__xludf.DUMMYFUNCTION("""COMPUTED_VALUE"""),"")</f>
        <v/>
      </c>
      <c r="C16997" s="42" t="str">
        <f>IFERROR(__xludf.DUMMYFUNCTION("""COMPUTED_VALUE"""),"")</f>
        <v/>
      </c>
      <c r="D16997" s="42"/>
      <c r="E16997" s="42"/>
      <c r="F16997" s="48" t="str">
        <f>IFERROR(__xludf.DUMMYFUNCTION("""COMPUTED_VALUE"""),"")</f>
        <v/>
      </c>
      <c r="G16997" s="42" t="str">
        <f>IFERROR(__xludf.DUMMYFUNCTION("""COMPUTED_VALUE"""),"")</f>
        <v/>
      </c>
      <c r="H16997" s="42">
        <f t="shared" si="1"/>
        <v>3345</v>
      </c>
    </row>
    <row r="16998" ht="22.5" customHeight="1">
      <c r="B16998" s="42" t="str">
        <f>IFERROR(__xludf.DUMMYFUNCTION("""COMPUTED_VALUE"""),"")</f>
        <v/>
      </c>
      <c r="C16998" s="42" t="str">
        <f>IFERROR(__xludf.DUMMYFUNCTION("""COMPUTED_VALUE"""),"")</f>
        <v/>
      </c>
      <c r="D16998" s="42"/>
      <c r="E16998" s="42"/>
      <c r="F16998" s="48" t="str">
        <f>IFERROR(__xludf.DUMMYFUNCTION("""COMPUTED_VALUE"""),"")</f>
        <v/>
      </c>
      <c r="G16998" s="42" t="str">
        <f>IFERROR(__xludf.DUMMYFUNCTION("""COMPUTED_VALUE"""),"")</f>
        <v/>
      </c>
      <c r="H16998" s="42">
        <f t="shared" si="1"/>
        <v>3345</v>
      </c>
    </row>
    <row r="16999" ht="22.5" customHeight="1">
      <c r="B16999" s="42" t="str">
        <f>IFERROR(__xludf.DUMMYFUNCTION("""COMPUTED_VALUE"""),"")</f>
        <v/>
      </c>
      <c r="C16999" s="42" t="str">
        <f>IFERROR(__xludf.DUMMYFUNCTION("""COMPUTED_VALUE"""),"")</f>
        <v/>
      </c>
      <c r="D16999" s="42"/>
      <c r="E16999" s="42"/>
      <c r="F16999" s="48" t="str">
        <f>IFERROR(__xludf.DUMMYFUNCTION("""COMPUTED_VALUE"""),"")</f>
        <v/>
      </c>
      <c r="G16999" s="42" t="str">
        <f>IFERROR(__xludf.DUMMYFUNCTION("""COMPUTED_VALUE"""),"")</f>
        <v/>
      </c>
      <c r="H16999" s="42">
        <f t="shared" si="1"/>
        <v>3345</v>
      </c>
    </row>
    <row r="17000" ht="22.5" customHeight="1">
      <c r="B17000" s="42" t="str">
        <f>IFERROR(__xludf.DUMMYFUNCTION("""COMPUTED_VALUE"""),"")</f>
        <v/>
      </c>
      <c r="C17000" s="42" t="str">
        <f>IFERROR(__xludf.DUMMYFUNCTION("""COMPUTED_VALUE"""),"")</f>
        <v/>
      </c>
      <c r="D17000" s="42"/>
      <c r="E17000" s="42"/>
      <c r="F17000" s="48" t="str">
        <f>IFERROR(__xludf.DUMMYFUNCTION("""COMPUTED_VALUE"""),"")</f>
        <v/>
      </c>
      <c r="G17000" s="42" t="str">
        <f>IFERROR(__xludf.DUMMYFUNCTION("""COMPUTED_VALUE"""),"")</f>
        <v/>
      </c>
      <c r="H17000" s="42">
        <f t="shared" si="1"/>
        <v>3345</v>
      </c>
    </row>
    <row r="17001" ht="22.5" customHeight="1">
      <c r="B17001" s="42" t="str">
        <f>IFERROR(__xludf.DUMMYFUNCTION("""COMPUTED_VALUE"""),"")</f>
        <v/>
      </c>
      <c r="C17001" s="42" t="str">
        <f>IFERROR(__xludf.DUMMYFUNCTION("""COMPUTED_VALUE"""),"")</f>
        <v/>
      </c>
      <c r="D17001" s="42"/>
      <c r="E17001" s="42"/>
      <c r="F17001" s="48" t="str">
        <f>IFERROR(__xludf.DUMMYFUNCTION("""COMPUTED_VALUE"""),"")</f>
        <v/>
      </c>
      <c r="G17001" s="42" t="str">
        <f>IFERROR(__xludf.DUMMYFUNCTION("""COMPUTED_VALUE"""),"")</f>
        <v/>
      </c>
      <c r="H17001" s="42">
        <f t="shared" si="1"/>
        <v>3345</v>
      </c>
    </row>
    <row r="17002" ht="22.5" customHeight="1">
      <c r="B17002" s="42" t="str">
        <f>IFERROR(__xludf.DUMMYFUNCTION("""COMPUTED_VALUE"""),"")</f>
        <v/>
      </c>
      <c r="C17002" s="42" t="str">
        <f>IFERROR(__xludf.DUMMYFUNCTION("""COMPUTED_VALUE"""),"")</f>
        <v/>
      </c>
      <c r="D17002" s="42"/>
      <c r="E17002" s="42"/>
      <c r="F17002" s="48" t="str">
        <f>IFERROR(__xludf.DUMMYFUNCTION("""COMPUTED_VALUE"""),"")</f>
        <v/>
      </c>
      <c r="G17002" s="42" t="str">
        <f>IFERROR(__xludf.DUMMYFUNCTION("""COMPUTED_VALUE"""),"")</f>
        <v/>
      </c>
      <c r="H17002" s="42">
        <f t="shared" si="1"/>
        <v>3345</v>
      </c>
    </row>
    <row r="17003" ht="22.5" customHeight="1">
      <c r="B17003" s="42" t="str">
        <f>IFERROR(__xludf.DUMMYFUNCTION("""COMPUTED_VALUE"""),"")</f>
        <v/>
      </c>
      <c r="C17003" s="42" t="str">
        <f>IFERROR(__xludf.DUMMYFUNCTION("""COMPUTED_VALUE"""),"")</f>
        <v/>
      </c>
      <c r="D17003" s="42"/>
      <c r="E17003" s="42"/>
      <c r="F17003" s="48" t="str">
        <f>IFERROR(__xludf.DUMMYFUNCTION("""COMPUTED_VALUE"""),"")</f>
        <v/>
      </c>
      <c r="G17003" s="42" t="str">
        <f>IFERROR(__xludf.DUMMYFUNCTION("""COMPUTED_VALUE"""),"")</f>
        <v/>
      </c>
      <c r="H17003" s="42">
        <f t="shared" si="1"/>
        <v>3345</v>
      </c>
    </row>
    <row r="17004" ht="22.5" customHeight="1">
      <c r="B17004" s="42" t="str">
        <f>IFERROR(__xludf.DUMMYFUNCTION("""COMPUTED_VALUE"""),"")</f>
        <v/>
      </c>
      <c r="C17004" s="42" t="str">
        <f>IFERROR(__xludf.DUMMYFUNCTION("""COMPUTED_VALUE"""),"")</f>
        <v/>
      </c>
      <c r="D17004" s="42"/>
      <c r="E17004" s="42"/>
      <c r="F17004" s="48" t="str">
        <f>IFERROR(__xludf.DUMMYFUNCTION("""COMPUTED_VALUE"""),"")</f>
        <v/>
      </c>
      <c r="G17004" s="42" t="str">
        <f>IFERROR(__xludf.DUMMYFUNCTION("""COMPUTED_VALUE"""),"")</f>
        <v/>
      </c>
      <c r="H17004" s="42">
        <f t="shared" si="1"/>
        <v>3345</v>
      </c>
    </row>
    <row r="17005" ht="22.5" customHeight="1">
      <c r="B17005" s="42" t="str">
        <f>IFERROR(__xludf.DUMMYFUNCTION("""COMPUTED_VALUE"""),"")</f>
        <v/>
      </c>
      <c r="C17005" s="42" t="str">
        <f>IFERROR(__xludf.DUMMYFUNCTION("""COMPUTED_VALUE"""),"")</f>
        <v/>
      </c>
      <c r="D17005" s="42"/>
      <c r="E17005" s="42"/>
      <c r="F17005" s="48" t="str">
        <f>IFERROR(__xludf.DUMMYFUNCTION("""COMPUTED_VALUE"""),"")</f>
        <v/>
      </c>
      <c r="G17005" s="42" t="str">
        <f>IFERROR(__xludf.DUMMYFUNCTION("""COMPUTED_VALUE"""),"")</f>
        <v/>
      </c>
      <c r="H17005" s="42">
        <f t="shared" si="1"/>
        <v>3345</v>
      </c>
    </row>
    <row r="17006" ht="22.5" customHeight="1">
      <c r="B17006" s="42" t="str">
        <f>IFERROR(__xludf.DUMMYFUNCTION("""COMPUTED_VALUE"""),"")</f>
        <v/>
      </c>
      <c r="C17006" s="42" t="str">
        <f>IFERROR(__xludf.DUMMYFUNCTION("""COMPUTED_VALUE"""),"")</f>
        <v/>
      </c>
      <c r="D17006" s="42"/>
      <c r="E17006" s="42"/>
      <c r="F17006" s="48" t="str">
        <f>IFERROR(__xludf.DUMMYFUNCTION("""COMPUTED_VALUE"""),"")</f>
        <v/>
      </c>
      <c r="G17006" s="42" t="str">
        <f>IFERROR(__xludf.DUMMYFUNCTION("""COMPUTED_VALUE"""),"")</f>
        <v/>
      </c>
      <c r="H17006" s="42">
        <f t="shared" si="1"/>
        <v>3345</v>
      </c>
    </row>
    <row r="17007" ht="22.5" customHeight="1">
      <c r="B17007" s="42" t="str">
        <f>IFERROR(__xludf.DUMMYFUNCTION("""COMPUTED_VALUE"""),"")</f>
        <v/>
      </c>
      <c r="C17007" s="42" t="str">
        <f>IFERROR(__xludf.DUMMYFUNCTION("""COMPUTED_VALUE"""),"")</f>
        <v/>
      </c>
      <c r="D17007" s="42"/>
      <c r="E17007" s="42"/>
      <c r="F17007" s="48" t="str">
        <f>IFERROR(__xludf.DUMMYFUNCTION("""COMPUTED_VALUE"""),"")</f>
        <v/>
      </c>
      <c r="G17007" s="42" t="str">
        <f>IFERROR(__xludf.DUMMYFUNCTION("""COMPUTED_VALUE"""),"")</f>
        <v/>
      </c>
      <c r="H17007" s="42">
        <f t="shared" si="1"/>
        <v>3345</v>
      </c>
    </row>
    <row r="17008" ht="22.5" customHeight="1">
      <c r="B17008" s="42" t="str">
        <f>IFERROR(__xludf.DUMMYFUNCTION("""COMPUTED_VALUE"""),"")</f>
        <v/>
      </c>
      <c r="C17008" s="42" t="str">
        <f>IFERROR(__xludf.DUMMYFUNCTION("""COMPUTED_VALUE"""),"")</f>
        <v/>
      </c>
      <c r="D17008" s="42"/>
      <c r="E17008" s="42"/>
      <c r="F17008" s="48" t="str">
        <f>IFERROR(__xludf.DUMMYFUNCTION("""COMPUTED_VALUE"""),"")</f>
        <v/>
      </c>
      <c r="G17008" s="42" t="str">
        <f>IFERROR(__xludf.DUMMYFUNCTION("""COMPUTED_VALUE"""),"")</f>
        <v/>
      </c>
      <c r="H17008" s="42">
        <f t="shared" si="1"/>
        <v>3345</v>
      </c>
    </row>
    <row r="17009" ht="22.5" customHeight="1">
      <c r="B17009" s="42" t="str">
        <f>IFERROR(__xludf.DUMMYFUNCTION("""COMPUTED_VALUE"""),"")</f>
        <v/>
      </c>
      <c r="C17009" s="42" t="str">
        <f>IFERROR(__xludf.DUMMYFUNCTION("""COMPUTED_VALUE"""),"")</f>
        <v/>
      </c>
      <c r="D17009" s="42"/>
      <c r="E17009" s="42"/>
      <c r="F17009" s="48" t="str">
        <f>IFERROR(__xludf.DUMMYFUNCTION("""COMPUTED_VALUE"""),"")</f>
        <v/>
      </c>
      <c r="G17009" s="42" t="str">
        <f>IFERROR(__xludf.DUMMYFUNCTION("""COMPUTED_VALUE"""),"")</f>
        <v/>
      </c>
      <c r="H17009" s="42">
        <f t="shared" si="1"/>
        <v>3345</v>
      </c>
    </row>
    <row r="17010" ht="22.5" customHeight="1">
      <c r="B17010" s="42" t="str">
        <f>IFERROR(__xludf.DUMMYFUNCTION("""COMPUTED_VALUE"""),"")</f>
        <v/>
      </c>
      <c r="C17010" s="42" t="str">
        <f>IFERROR(__xludf.DUMMYFUNCTION("""COMPUTED_VALUE"""),"")</f>
        <v/>
      </c>
      <c r="D17010" s="42"/>
      <c r="E17010" s="42"/>
      <c r="F17010" s="48" t="str">
        <f>IFERROR(__xludf.DUMMYFUNCTION("""COMPUTED_VALUE"""),"")</f>
        <v/>
      </c>
      <c r="G17010" s="42" t="str">
        <f>IFERROR(__xludf.DUMMYFUNCTION("""COMPUTED_VALUE"""),"")</f>
        <v/>
      </c>
      <c r="H17010" s="42">
        <f t="shared" si="1"/>
        <v>3345</v>
      </c>
    </row>
    <row r="17011" ht="22.5" customHeight="1">
      <c r="B17011" s="42" t="str">
        <f>IFERROR(__xludf.DUMMYFUNCTION("""COMPUTED_VALUE"""),"")</f>
        <v/>
      </c>
      <c r="C17011" s="42" t="str">
        <f>IFERROR(__xludf.DUMMYFUNCTION("""COMPUTED_VALUE"""),"")</f>
        <v/>
      </c>
      <c r="D17011" s="42"/>
      <c r="E17011" s="42"/>
      <c r="F17011" s="48" t="str">
        <f>IFERROR(__xludf.DUMMYFUNCTION("""COMPUTED_VALUE"""),"")</f>
        <v/>
      </c>
      <c r="G17011" s="42" t="str">
        <f>IFERROR(__xludf.DUMMYFUNCTION("""COMPUTED_VALUE"""),"")</f>
        <v/>
      </c>
      <c r="H17011" s="42">
        <f t="shared" si="1"/>
        <v>3345</v>
      </c>
    </row>
    <row r="17012" ht="22.5" customHeight="1">
      <c r="B17012" s="42" t="str">
        <f>IFERROR(__xludf.DUMMYFUNCTION("""COMPUTED_VALUE"""),"")</f>
        <v/>
      </c>
      <c r="C17012" s="42" t="str">
        <f>IFERROR(__xludf.DUMMYFUNCTION("""COMPUTED_VALUE"""),"")</f>
        <v/>
      </c>
      <c r="D17012" s="42"/>
      <c r="E17012" s="42"/>
      <c r="F17012" s="48" t="str">
        <f>IFERROR(__xludf.DUMMYFUNCTION("""COMPUTED_VALUE"""),"")</f>
        <v/>
      </c>
      <c r="G17012" s="42" t="str">
        <f>IFERROR(__xludf.DUMMYFUNCTION("""COMPUTED_VALUE"""),"")</f>
        <v/>
      </c>
      <c r="H17012" s="42">
        <f t="shared" si="1"/>
        <v>3345</v>
      </c>
    </row>
    <row r="17013" ht="22.5" customHeight="1">
      <c r="B17013" s="42" t="str">
        <f>IFERROR(__xludf.DUMMYFUNCTION("""COMPUTED_VALUE"""),"")</f>
        <v/>
      </c>
      <c r="C17013" s="42" t="str">
        <f>IFERROR(__xludf.DUMMYFUNCTION("""COMPUTED_VALUE"""),"")</f>
        <v/>
      </c>
      <c r="D17013" s="42"/>
      <c r="E17013" s="42"/>
      <c r="F17013" s="48" t="str">
        <f>IFERROR(__xludf.DUMMYFUNCTION("""COMPUTED_VALUE"""),"")</f>
        <v/>
      </c>
      <c r="G17013" s="42" t="str">
        <f>IFERROR(__xludf.DUMMYFUNCTION("""COMPUTED_VALUE"""),"")</f>
        <v/>
      </c>
      <c r="H17013" s="42">
        <f t="shared" si="1"/>
        <v>3345</v>
      </c>
    </row>
    <row r="17014" ht="22.5" customHeight="1">
      <c r="B17014" s="42" t="str">
        <f>IFERROR(__xludf.DUMMYFUNCTION("""COMPUTED_VALUE"""),"")</f>
        <v/>
      </c>
      <c r="C17014" s="42" t="str">
        <f>IFERROR(__xludf.DUMMYFUNCTION("""COMPUTED_VALUE"""),"")</f>
        <v/>
      </c>
      <c r="D17014" s="42"/>
      <c r="E17014" s="42"/>
      <c r="F17014" s="48" t="str">
        <f>IFERROR(__xludf.DUMMYFUNCTION("""COMPUTED_VALUE"""),"")</f>
        <v/>
      </c>
      <c r="G17014" s="42" t="str">
        <f>IFERROR(__xludf.DUMMYFUNCTION("""COMPUTED_VALUE"""),"")</f>
        <v/>
      </c>
      <c r="H17014" s="42">
        <f t="shared" si="1"/>
        <v>3345</v>
      </c>
    </row>
    <row r="17015" ht="22.5" customHeight="1">
      <c r="B17015" s="42" t="str">
        <f>IFERROR(__xludf.DUMMYFUNCTION("""COMPUTED_VALUE"""),"")</f>
        <v/>
      </c>
      <c r="C17015" s="42" t="str">
        <f>IFERROR(__xludf.DUMMYFUNCTION("""COMPUTED_VALUE"""),"")</f>
        <v/>
      </c>
      <c r="D17015" s="42"/>
      <c r="E17015" s="42"/>
      <c r="F17015" s="48" t="str">
        <f>IFERROR(__xludf.DUMMYFUNCTION("""COMPUTED_VALUE"""),"")</f>
        <v/>
      </c>
      <c r="G17015" s="42" t="str">
        <f>IFERROR(__xludf.DUMMYFUNCTION("""COMPUTED_VALUE"""),"")</f>
        <v/>
      </c>
      <c r="H17015" s="42">
        <f t="shared" si="1"/>
        <v>3345</v>
      </c>
    </row>
    <row r="17016" ht="22.5" customHeight="1">
      <c r="B17016" s="42" t="str">
        <f>IFERROR(__xludf.DUMMYFUNCTION("""COMPUTED_VALUE"""),"")</f>
        <v/>
      </c>
      <c r="C17016" s="42" t="str">
        <f>IFERROR(__xludf.DUMMYFUNCTION("""COMPUTED_VALUE"""),"")</f>
        <v/>
      </c>
      <c r="D17016" s="42"/>
      <c r="E17016" s="42"/>
      <c r="F17016" s="48" t="str">
        <f>IFERROR(__xludf.DUMMYFUNCTION("""COMPUTED_VALUE"""),"")</f>
        <v/>
      </c>
      <c r="G17016" s="42" t="str">
        <f>IFERROR(__xludf.DUMMYFUNCTION("""COMPUTED_VALUE"""),"")</f>
        <v/>
      </c>
      <c r="H17016" s="42">
        <f t="shared" si="1"/>
        <v>3345</v>
      </c>
    </row>
    <row r="17017" ht="22.5" customHeight="1">
      <c r="B17017" s="42" t="str">
        <f>IFERROR(__xludf.DUMMYFUNCTION("""COMPUTED_VALUE"""),"")</f>
        <v/>
      </c>
      <c r="C17017" s="42" t="str">
        <f>IFERROR(__xludf.DUMMYFUNCTION("""COMPUTED_VALUE"""),"")</f>
        <v/>
      </c>
      <c r="D17017" s="42"/>
      <c r="E17017" s="42"/>
      <c r="F17017" s="48" t="str">
        <f>IFERROR(__xludf.DUMMYFUNCTION("""COMPUTED_VALUE"""),"")</f>
        <v/>
      </c>
      <c r="G17017" s="42" t="str">
        <f>IFERROR(__xludf.DUMMYFUNCTION("""COMPUTED_VALUE"""),"")</f>
        <v/>
      </c>
      <c r="H17017" s="42">
        <f t="shared" si="1"/>
        <v>3345</v>
      </c>
    </row>
    <row r="17018" ht="22.5" customHeight="1">
      <c r="B17018" s="42" t="str">
        <f>IFERROR(__xludf.DUMMYFUNCTION("""COMPUTED_VALUE"""),"")</f>
        <v/>
      </c>
      <c r="C17018" s="42" t="str">
        <f>IFERROR(__xludf.DUMMYFUNCTION("""COMPUTED_VALUE"""),"")</f>
        <v/>
      </c>
      <c r="D17018" s="42"/>
      <c r="E17018" s="42"/>
      <c r="F17018" s="48" t="str">
        <f>IFERROR(__xludf.DUMMYFUNCTION("""COMPUTED_VALUE"""),"")</f>
        <v/>
      </c>
      <c r="G17018" s="42" t="str">
        <f>IFERROR(__xludf.DUMMYFUNCTION("""COMPUTED_VALUE"""),"")</f>
        <v/>
      </c>
      <c r="H17018" s="42">
        <f t="shared" si="1"/>
        <v>3345</v>
      </c>
    </row>
    <row r="17019" ht="22.5" customHeight="1">
      <c r="B17019" s="42" t="str">
        <f>IFERROR(__xludf.DUMMYFUNCTION("""COMPUTED_VALUE"""),"")</f>
        <v/>
      </c>
      <c r="C17019" s="42" t="str">
        <f>IFERROR(__xludf.DUMMYFUNCTION("""COMPUTED_VALUE"""),"")</f>
        <v/>
      </c>
      <c r="D17019" s="42"/>
      <c r="E17019" s="42"/>
      <c r="F17019" s="48" t="str">
        <f>IFERROR(__xludf.DUMMYFUNCTION("""COMPUTED_VALUE"""),"")</f>
        <v/>
      </c>
      <c r="G17019" s="42" t="str">
        <f>IFERROR(__xludf.DUMMYFUNCTION("""COMPUTED_VALUE"""),"")</f>
        <v/>
      </c>
      <c r="H17019" s="42">
        <f t="shared" si="1"/>
        <v>3345</v>
      </c>
    </row>
    <row r="17020" ht="22.5" customHeight="1">
      <c r="B17020" s="42" t="str">
        <f>IFERROR(__xludf.DUMMYFUNCTION("""COMPUTED_VALUE"""),"")</f>
        <v/>
      </c>
      <c r="C17020" s="42" t="str">
        <f>IFERROR(__xludf.DUMMYFUNCTION("""COMPUTED_VALUE"""),"")</f>
        <v/>
      </c>
      <c r="D17020" s="42"/>
      <c r="E17020" s="42"/>
      <c r="F17020" s="48" t="str">
        <f>IFERROR(__xludf.DUMMYFUNCTION("""COMPUTED_VALUE"""),"")</f>
        <v/>
      </c>
      <c r="G17020" s="42" t="str">
        <f>IFERROR(__xludf.DUMMYFUNCTION("""COMPUTED_VALUE"""),"")</f>
        <v/>
      </c>
      <c r="H17020" s="42">
        <f t="shared" si="1"/>
        <v>3345</v>
      </c>
    </row>
    <row r="17021" ht="22.5" customHeight="1">
      <c r="B17021" s="42" t="str">
        <f>IFERROR(__xludf.DUMMYFUNCTION("""COMPUTED_VALUE"""),"")</f>
        <v/>
      </c>
      <c r="C17021" s="42" t="str">
        <f>IFERROR(__xludf.DUMMYFUNCTION("""COMPUTED_VALUE"""),"")</f>
        <v/>
      </c>
      <c r="D17021" s="42"/>
      <c r="E17021" s="42"/>
      <c r="F17021" s="48" t="str">
        <f>IFERROR(__xludf.DUMMYFUNCTION("""COMPUTED_VALUE"""),"")</f>
        <v/>
      </c>
      <c r="G17021" s="42" t="str">
        <f>IFERROR(__xludf.DUMMYFUNCTION("""COMPUTED_VALUE"""),"")</f>
        <v/>
      </c>
      <c r="H17021" s="42">
        <f t="shared" si="1"/>
        <v>3345</v>
      </c>
    </row>
    <row r="17022" ht="22.5" customHeight="1">
      <c r="B17022" s="42" t="str">
        <f>IFERROR(__xludf.DUMMYFUNCTION("""COMPUTED_VALUE"""),"")</f>
        <v/>
      </c>
      <c r="C17022" s="42" t="str">
        <f>IFERROR(__xludf.DUMMYFUNCTION("""COMPUTED_VALUE"""),"")</f>
        <v/>
      </c>
      <c r="D17022" s="42"/>
      <c r="E17022" s="42"/>
      <c r="F17022" s="48" t="str">
        <f>IFERROR(__xludf.DUMMYFUNCTION("""COMPUTED_VALUE"""),"")</f>
        <v/>
      </c>
      <c r="G17022" s="42" t="str">
        <f>IFERROR(__xludf.DUMMYFUNCTION("""COMPUTED_VALUE"""),"")</f>
        <v/>
      </c>
      <c r="H17022" s="42">
        <f t="shared" si="1"/>
        <v>3345</v>
      </c>
    </row>
    <row r="17023" ht="22.5" customHeight="1">
      <c r="B17023" s="42" t="str">
        <f>IFERROR(__xludf.DUMMYFUNCTION("""COMPUTED_VALUE"""),"")</f>
        <v/>
      </c>
      <c r="C17023" s="42" t="str">
        <f>IFERROR(__xludf.DUMMYFUNCTION("""COMPUTED_VALUE"""),"")</f>
        <v/>
      </c>
      <c r="D17023" s="42"/>
      <c r="E17023" s="42"/>
      <c r="F17023" s="48" t="str">
        <f>IFERROR(__xludf.DUMMYFUNCTION("""COMPUTED_VALUE"""),"")</f>
        <v/>
      </c>
      <c r="G17023" s="42" t="str">
        <f>IFERROR(__xludf.DUMMYFUNCTION("""COMPUTED_VALUE"""),"")</f>
        <v/>
      </c>
      <c r="H17023" s="42">
        <f t="shared" si="1"/>
        <v>3345</v>
      </c>
    </row>
    <row r="17024" ht="22.5" customHeight="1">
      <c r="B17024" s="42" t="str">
        <f>IFERROR(__xludf.DUMMYFUNCTION("""COMPUTED_VALUE"""),"")</f>
        <v/>
      </c>
      <c r="C17024" s="42" t="str">
        <f>IFERROR(__xludf.DUMMYFUNCTION("""COMPUTED_VALUE"""),"")</f>
        <v/>
      </c>
      <c r="D17024" s="42"/>
      <c r="E17024" s="42"/>
      <c r="F17024" s="48" t="str">
        <f>IFERROR(__xludf.DUMMYFUNCTION("""COMPUTED_VALUE"""),"")</f>
        <v/>
      </c>
      <c r="G17024" s="42" t="str">
        <f>IFERROR(__xludf.DUMMYFUNCTION("""COMPUTED_VALUE"""),"")</f>
        <v/>
      </c>
      <c r="H17024" s="42">
        <f t="shared" si="1"/>
        <v>3345</v>
      </c>
    </row>
    <row r="17025" ht="22.5" customHeight="1">
      <c r="B17025" s="42" t="str">
        <f>IFERROR(__xludf.DUMMYFUNCTION("""COMPUTED_VALUE"""),"")</f>
        <v/>
      </c>
      <c r="C17025" s="42" t="str">
        <f>IFERROR(__xludf.DUMMYFUNCTION("""COMPUTED_VALUE"""),"")</f>
        <v/>
      </c>
      <c r="D17025" s="42"/>
      <c r="E17025" s="42"/>
      <c r="F17025" s="48" t="str">
        <f>IFERROR(__xludf.DUMMYFUNCTION("""COMPUTED_VALUE"""),"")</f>
        <v/>
      </c>
      <c r="G17025" s="42" t="str">
        <f>IFERROR(__xludf.DUMMYFUNCTION("""COMPUTED_VALUE"""),"")</f>
        <v/>
      </c>
      <c r="H17025" s="42">
        <f t="shared" si="1"/>
        <v>3345</v>
      </c>
    </row>
    <row r="17026" ht="22.5" customHeight="1">
      <c r="B17026" s="42" t="str">
        <f>IFERROR(__xludf.DUMMYFUNCTION("""COMPUTED_VALUE"""),"")</f>
        <v/>
      </c>
      <c r="C17026" s="42" t="str">
        <f>IFERROR(__xludf.DUMMYFUNCTION("""COMPUTED_VALUE"""),"")</f>
        <v/>
      </c>
      <c r="D17026" s="42"/>
      <c r="E17026" s="42"/>
      <c r="F17026" s="48" t="str">
        <f>IFERROR(__xludf.DUMMYFUNCTION("""COMPUTED_VALUE"""),"")</f>
        <v/>
      </c>
      <c r="G17026" s="42" t="str">
        <f>IFERROR(__xludf.DUMMYFUNCTION("""COMPUTED_VALUE"""),"")</f>
        <v/>
      </c>
      <c r="H17026" s="42">
        <f t="shared" si="1"/>
        <v>3345</v>
      </c>
    </row>
    <row r="17027" ht="22.5" customHeight="1">
      <c r="B17027" s="42" t="str">
        <f>IFERROR(__xludf.DUMMYFUNCTION("""COMPUTED_VALUE"""),"")</f>
        <v/>
      </c>
      <c r="C17027" s="42" t="str">
        <f>IFERROR(__xludf.DUMMYFUNCTION("""COMPUTED_VALUE"""),"")</f>
        <v/>
      </c>
      <c r="D17027" s="42"/>
      <c r="E17027" s="42"/>
      <c r="F17027" s="48" t="str">
        <f>IFERROR(__xludf.DUMMYFUNCTION("""COMPUTED_VALUE"""),"")</f>
        <v/>
      </c>
      <c r="G17027" s="42" t="str">
        <f>IFERROR(__xludf.DUMMYFUNCTION("""COMPUTED_VALUE"""),"")</f>
        <v/>
      </c>
      <c r="H17027" s="42">
        <f t="shared" si="1"/>
        <v>3345</v>
      </c>
    </row>
    <row r="17028" ht="22.5" customHeight="1">
      <c r="B17028" s="42" t="str">
        <f>IFERROR(__xludf.DUMMYFUNCTION("""COMPUTED_VALUE"""),"")</f>
        <v/>
      </c>
      <c r="C17028" s="42" t="str">
        <f>IFERROR(__xludf.DUMMYFUNCTION("""COMPUTED_VALUE"""),"")</f>
        <v/>
      </c>
      <c r="D17028" s="42"/>
      <c r="E17028" s="42"/>
      <c r="F17028" s="48" t="str">
        <f>IFERROR(__xludf.DUMMYFUNCTION("""COMPUTED_VALUE"""),"")</f>
        <v/>
      </c>
      <c r="G17028" s="42" t="str">
        <f>IFERROR(__xludf.DUMMYFUNCTION("""COMPUTED_VALUE"""),"")</f>
        <v/>
      </c>
      <c r="H17028" s="42">
        <f t="shared" si="1"/>
        <v>3345</v>
      </c>
    </row>
    <row r="17029" ht="22.5" customHeight="1">
      <c r="B17029" s="42" t="str">
        <f>IFERROR(__xludf.DUMMYFUNCTION("""COMPUTED_VALUE"""),"")</f>
        <v/>
      </c>
      <c r="C17029" s="42" t="str">
        <f>IFERROR(__xludf.DUMMYFUNCTION("""COMPUTED_VALUE"""),"")</f>
        <v/>
      </c>
      <c r="D17029" s="42"/>
      <c r="E17029" s="42"/>
      <c r="F17029" s="48" t="str">
        <f>IFERROR(__xludf.DUMMYFUNCTION("""COMPUTED_VALUE"""),"")</f>
        <v/>
      </c>
      <c r="G17029" s="42" t="str">
        <f>IFERROR(__xludf.DUMMYFUNCTION("""COMPUTED_VALUE"""),"")</f>
        <v/>
      </c>
      <c r="H17029" s="42">
        <f t="shared" si="1"/>
        <v>3345</v>
      </c>
    </row>
    <row r="17030" ht="22.5" customHeight="1">
      <c r="B17030" s="42" t="str">
        <f>IFERROR(__xludf.DUMMYFUNCTION("""COMPUTED_VALUE"""),"")</f>
        <v/>
      </c>
      <c r="C17030" s="42" t="str">
        <f>IFERROR(__xludf.DUMMYFUNCTION("""COMPUTED_VALUE"""),"")</f>
        <v/>
      </c>
      <c r="D17030" s="42"/>
      <c r="E17030" s="42"/>
      <c r="F17030" s="48" t="str">
        <f>IFERROR(__xludf.DUMMYFUNCTION("""COMPUTED_VALUE"""),"")</f>
        <v/>
      </c>
      <c r="G17030" s="42" t="str">
        <f>IFERROR(__xludf.DUMMYFUNCTION("""COMPUTED_VALUE"""),"")</f>
        <v/>
      </c>
      <c r="H17030" s="42">
        <f t="shared" si="1"/>
        <v>3345</v>
      </c>
    </row>
    <row r="17031" ht="22.5" customHeight="1">
      <c r="B17031" s="42" t="str">
        <f>IFERROR(__xludf.DUMMYFUNCTION("""COMPUTED_VALUE"""),"")</f>
        <v/>
      </c>
      <c r="C17031" s="42" t="str">
        <f>IFERROR(__xludf.DUMMYFUNCTION("""COMPUTED_VALUE"""),"")</f>
        <v/>
      </c>
      <c r="D17031" s="42"/>
      <c r="E17031" s="42"/>
      <c r="F17031" s="48" t="str">
        <f>IFERROR(__xludf.DUMMYFUNCTION("""COMPUTED_VALUE"""),"")</f>
        <v/>
      </c>
      <c r="G17031" s="42" t="str">
        <f>IFERROR(__xludf.DUMMYFUNCTION("""COMPUTED_VALUE"""),"")</f>
        <v/>
      </c>
      <c r="H17031" s="42">
        <f t="shared" si="1"/>
        <v>3345</v>
      </c>
    </row>
    <row r="17032" ht="22.5" customHeight="1">
      <c r="B17032" s="42" t="str">
        <f>IFERROR(__xludf.DUMMYFUNCTION("""COMPUTED_VALUE"""),"")</f>
        <v/>
      </c>
      <c r="C17032" s="42" t="str">
        <f>IFERROR(__xludf.DUMMYFUNCTION("""COMPUTED_VALUE"""),"")</f>
        <v/>
      </c>
      <c r="D17032" s="42"/>
      <c r="E17032" s="42"/>
      <c r="F17032" s="48" t="str">
        <f>IFERROR(__xludf.DUMMYFUNCTION("""COMPUTED_VALUE"""),"")</f>
        <v/>
      </c>
      <c r="G17032" s="42" t="str">
        <f>IFERROR(__xludf.DUMMYFUNCTION("""COMPUTED_VALUE"""),"")</f>
        <v/>
      </c>
      <c r="H17032" s="42">
        <f t="shared" si="1"/>
        <v>3345</v>
      </c>
    </row>
    <row r="17033" ht="22.5" customHeight="1">
      <c r="B17033" s="42" t="str">
        <f>IFERROR(__xludf.DUMMYFUNCTION("""COMPUTED_VALUE"""),"")</f>
        <v/>
      </c>
      <c r="C17033" s="42" t="str">
        <f>IFERROR(__xludf.DUMMYFUNCTION("""COMPUTED_VALUE"""),"")</f>
        <v/>
      </c>
      <c r="D17033" s="42"/>
      <c r="E17033" s="42"/>
      <c r="F17033" s="48" t="str">
        <f>IFERROR(__xludf.DUMMYFUNCTION("""COMPUTED_VALUE"""),"")</f>
        <v/>
      </c>
      <c r="G17033" s="42" t="str">
        <f>IFERROR(__xludf.DUMMYFUNCTION("""COMPUTED_VALUE"""),"")</f>
        <v/>
      </c>
      <c r="H17033" s="42">
        <f t="shared" si="1"/>
        <v>3345</v>
      </c>
    </row>
    <row r="17034" ht="22.5" customHeight="1">
      <c r="B17034" s="42" t="str">
        <f>IFERROR(__xludf.DUMMYFUNCTION("""COMPUTED_VALUE"""),"")</f>
        <v/>
      </c>
      <c r="C17034" s="42" t="str">
        <f>IFERROR(__xludf.DUMMYFUNCTION("""COMPUTED_VALUE"""),"")</f>
        <v/>
      </c>
      <c r="D17034" s="42"/>
      <c r="E17034" s="42"/>
      <c r="F17034" s="48" t="str">
        <f>IFERROR(__xludf.DUMMYFUNCTION("""COMPUTED_VALUE"""),"")</f>
        <v/>
      </c>
      <c r="G17034" s="42" t="str">
        <f>IFERROR(__xludf.DUMMYFUNCTION("""COMPUTED_VALUE"""),"")</f>
        <v/>
      </c>
      <c r="H17034" s="42">
        <f t="shared" si="1"/>
        <v>3345</v>
      </c>
    </row>
    <row r="17035" ht="22.5" customHeight="1">
      <c r="B17035" s="42" t="str">
        <f>IFERROR(__xludf.DUMMYFUNCTION("""COMPUTED_VALUE"""),"")</f>
        <v/>
      </c>
      <c r="C17035" s="42" t="str">
        <f>IFERROR(__xludf.DUMMYFUNCTION("""COMPUTED_VALUE"""),"")</f>
        <v/>
      </c>
      <c r="D17035" s="42"/>
      <c r="E17035" s="42"/>
      <c r="F17035" s="48" t="str">
        <f>IFERROR(__xludf.DUMMYFUNCTION("""COMPUTED_VALUE"""),"")</f>
        <v/>
      </c>
      <c r="G17035" s="42" t="str">
        <f>IFERROR(__xludf.DUMMYFUNCTION("""COMPUTED_VALUE"""),"")</f>
        <v/>
      </c>
      <c r="H17035" s="42">
        <f t="shared" si="1"/>
        <v>3345</v>
      </c>
    </row>
    <row r="17036" ht="22.5" customHeight="1">
      <c r="B17036" s="42" t="str">
        <f>IFERROR(__xludf.DUMMYFUNCTION("""COMPUTED_VALUE"""),"")</f>
        <v/>
      </c>
      <c r="C17036" s="42" t="str">
        <f>IFERROR(__xludf.DUMMYFUNCTION("""COMPUTED_VALUE"""),"")</f>
        <v/>
      </c>
      <c r="D17036" s="42"/>
      <c r="E17036" s="42"/>
      <c r="F17036" s="48" t="str">
        <f>IFERROR(__xludf.DUMMYFUNCTION("""COMPUTED_VALUE"""),"")</f>
        <v/>
      </c>
      <c r="G17036" s="42" t="str">
        <f>IFERROR(__xludf.DUMMYFUNCTION("""COMPUTED_VALUE"""),"")</f>
        <v/>
      </c>
      <c r="H17036" s="42">
        <f t="shared" si="1"/>
        <v>3345</v>
      </c>
    </row>
    <row r="17037" ht="22.5" customHeight="1">
      <c r="B17037" s="42" t="str">
        <f>IFERROR(__xludf.DUMMYFUNCTION("""COMPUTED_VALUE"""),"")</f>
        <v/>
      </c>
      <c r="C17037" s="42" t="str">
        <f>IFERROR(__xludf.DUMMYFUNCTION("""COMPUTED_VALUE"""),"")</f>
        <v/>
      </c>
      <c r="D17037" s="42"/>
      <c r="E17037" s="42"/>
      <c r="F17037" s="48" t="str">
        <f>IFERROR(__xludf.DUMMYFUNCTION("""COMPUTED_VALUE"""),"")</f>
        <v/>
      </c>
      <c r="G17037" s="42" t="str">
        <f>IFERROR(__xludf.DUMMYFUNCTION("""COMPUTED_VALUE"""),"")</f>
        <v/>
      </c>
      <c r="H17037" s="42">
        <f t="shared" si="1"/>
        <v>3345</v>
      </c>
    </row>
    <row r="17038" ht="22.5" customHeight="1">
      <c r="B17038" s="42" t="str">
        <f>IFERROR(__xludf.DUMMYFUNCTION("""COMPUTED_VALUE"""),"")</f>
        <v/>
      </c>
      <c r="C17038" s="42" t="str">
        <f>IFERROR(__xludf.DUMMYFUNCTION("""COMPUTED_VALUE"""),"")</f>
        <v/>
      </c>
      <c r="D17038" s="42"/>
      <c r="E17038" s="42"/>
      <c r="F17038" s="48" t="str">
        <f>IFERROR(__xludf.DUMMYFUNCTION("""COMPUTED_VALUE"""),"")</f>
        <v/>
      </c>
      <c r="G17038" s="42" t="str">
        <f>IFERROR(__xludf.DUMMYFUNCTION("""COMPUTED_VALUE"""),"")</f>
        <v/>
      </c>
      <c r="H17038" s="42">
        <f t="shared" si="1"/>
        <v>3345</v>
      </c>
    </row>
    <row r="17039" ht="22.5" customHeight="1">
      <c r="B17039" s="42" t="str">
        <f>IFERROR(__xludf.DUMMYFUNCTION("""COMPUTED_VALUE"""),"")</f>
        <v/>
      </c>
      <c r="C17039" s="42" t="str">
        <f>IFERROR(__xludf.DUMMYFUNCTION("""COMPUTED_VALUE"""),"")</f>
        <v/>
      </c>
      <c r="D17039" s="42"/>
      <c r="E17039" s="42"/>
      <c r="F17039" s="48" t="str">
        <f>IFERROR(__xludf.DUMMYFUNCTION("""COMPUTED_VALUE"""),"")</f>
        <v/>
      </c>
      <c r="G17039" s="42" t="str">
        <f>IFERROR(__xludf.DUMMYFUNCTION("""COMPUTED_VALUE"""),"")</f>
        <v/>
      </c>
      <c r="H17039" s="42">
        <f t="shared" si="1"/>
        <v>3345</v>
      </c>
    </row>
    <row r="17040" ht="22.5" customHeight="1">
      <c r="B17040" s="42" t="str">
        <f>IFERROR(__xludf.DUMMYFUNCTION("""COMPUTED_VALUE"""),"")</f>
        <v/>
      </c>
      <c r="C17040" s="42" t="str">
        <f>IFERROR(__xludf.DUMMYFUNCTION("""COMPUTED_VALUE"""),"")</f>
        <v/>
      </c>
      <c r="D17040" s="42"/>
      <c r="E17040" s="42"/>
      <c r="F17040" s="48" t="str">
        <f>IFERROR(__xludf.DUMMYFUNCTION("""COMPUTED_VALUE"""),"")</f>
        <v/>
      </c>
      <c r="G17040" s="42" t="str">
        <f>IFERROR(__xludf.DUMMYFUNCTION("""COMPUTED_VALUE"""),"")</f>
        <v/>
      </c>
      <c r="H17040" s="42">
        <f t="shared" si="1"/>
        <v>3345</v>
      </c>
    </row>
    <row r="17041" ht="22.5" customHeight="1">
      <c r="B17041" s="42" t="str">
        <f>IFERROR(__xludf.DUMMYFUNCTION("""COMPUTED_VALUE"""),"")</f>
        <v/>
      </c>
      <c r="C17041" s="42" t="str">
        <f>IFERROR(__xludf.DUMMYFUNCTION("""COMPUTED_VALUE"""),"")</f>
        <v/>
      </c>
      <c r="D17041" s="42"/>
      <c r="E17041" s="42"/>
      <c r="F17041" s="48" t="str">
        <f>IFERROR(__xludf.DUMMYFUNCTION("""COMPUTED_VALUE"""),"")</f>
        <v/>
      </c>
      <c r="G17041" s="42" t="str">
        <f>IFERROR(__xludf.DUMMYFUNCTION("""COMPUTED_VALUE"""),"")</f>
        <v/>
      </c>
      <c r="H17041" s="42">
        <f t="shared" si="1"/>
        <v>3345</v>
      </c>
    </row>
    <row r="17042" ht="22.5" customHeight="1">
      <c r="B17042" s="42" t="str">
        <f>IFERROR(__xludf.DUMMYFUNCTION("""COMPUTED_VALUE"""),"")</f>
        <v/>
      </c>
      <c r="C17042" s="42" t="str">
        <f>IFERROR(__xludf.DUMMYFUNCTION("""COMPUTED_VALUE"""),"")</f>
        <v/>
      </c>
      <c r="D17042" s="42"/>
      <c r="E17042" s="42"/>
      <c r="F17042" s="48" t="str">
        <f>IFERROR(__xludf.DUMMYFUNCTION("""COMPUTED_VALUE"""),"")</f>
        <v/>
      </c>
      <c r="G17042" s="42" t="str">
        <f>IFERROR(__xludf.DUMMYFUNCTION("""COMPUTED_VALUE"""),"")</f>
        <v/>
      </c>
      <c r="H17042" s="42">
        <f t="shared" si="1"/>
        <v>3345</v>
      </c>
    </row>
    <row r="17043" ht="22.5" customHeight="1">
      <c r="B17043" s="42" t="str">
        <f>IFERROR(__xludf.DUMMYFUNCTION("""COMPUTED_VALUE"""),"")</f>
        <v/>
      </c>
      <c r="C17043" s="42" t="str">
        <f>IFERROR(__xludf.DUMMYFUNCTION("""COMPUTED_VALUE"""),"")</f>
        <v/>
      </c>
      <c r="D17043" s="42"/>
      <c r="E17043" s="42"/>
      <c r="F17043" s="48" t="str">
        <f>IFERROR(__xludf.DUMMYFUNCTION("""COMPUTED_VALUE"""),"")</f>
        <v/>
      </c>
      <c r="G17043" s="42" t="str">
        <f>IFERROR(__xludf.DUMMYFUNCTION("""COMPUTED_VALUE"""),"")</f>
        <v/>
      </c>
      <c r="H17043" s="42">
        <f t="shared" si="1"/>
        <v>3345</v>
      </c>
    </row>
    <row r="17044" ht="22.5" customHeight="1">
      <c r="B17044" s="42" t="str">
        <f>IFERROR(__xludf.DUMMYFUNCTION("""COMPUTED_VALUE"""),"")</f>
        <v/>
      </c>
      <c r="C17044" s="42" t="str">
        <f>IFERROR(__xludf.DUMMYFUNCTION("""COMPUTED_VALUE"""),"")</f>
        <v/>
      </c>
      <c r="D17044" s="42"/>
      <c r="E17044" s="42"/>
      <c r="F17044" s="48" t="str">
        <f>IFERROR(__xludf.DUMMYFUNCTION("""COMPUTED_VALUE"""),"")</f>
        <v/>
      </c>
      <c r="G17044" s="42" t="str">
        <f>IFERROR(__xludf.DUMMYFUNCTION("""COMPUTED_VALUE"""),"")</f>
        <v/>
      </c>
      <c r="H17044" s="42">
        <f t="shared" si="1"/>
        <v>3345</v>
      </c>
    </row>
    <row r="17045" ht="22.5" customHeight="1">
      <c r="B17045" s="42" t="str">
        <f>IFERROR(__xludf.DUMMYFUNCTION("""COMPUTED_VALUE"""),"")</f>
        <v/>
      </c>
      <c r="C17045" s="42" t="str">
        <f>IFERROR(__xludf.DUMMYFUNCTION("""COMPUTED_VALUE"""),"")</f>
        <v/>
      </c>
      <c r="D17045" s="42"/>
      <c r="E17045" s="42"/>
      <c r="F17045" s="48" t="str">
        <f>IFERROR(__xludf.DUMMYFUNCTION("""COMPUTED_VALUE"""),"")</f>
        <v/>
      </c>
      <c r="G17045" s="42" t="str">
        <f>IFERROR(__xludf.DUMMYFUNCTION("""COMPUTED_VALUE"""),"")</f>
        <v/>
      </c>
      <c r="H17045" s="42">
        <f t="shared" si="1"/>
        <v>3345</v>
      </c>
    </row>
    <row r="17046" ht="22.5" customHeight="1">
      <c r="B17046" s="42" t="str">
        <f>IFERROR(__xludf.DUMMYFUNCTION("""COMPUTED_VALUE"""),"")</f>
        <v/>
      </c>
      <c r="C17046" s="42" t="str">
        <f>IFERROR(__xludf.DUMMYFUNCTION("""COMPUTED_VALUE"""),"")</f>
        <v/>
      </c>
      <c r="D17046" s="42"/>
      <c r="E17046" s="42"/>
      <c r="F17046" s="48" t="str">
        <f>IFERROR(__xludf.DUMMYFUNCTION("""COMPUTED_VALUE"""),"")</f>
        <v/>
      </c>
      <c r="G17046" s="42" t="str">
        <f>IFERROR(__xludf.DUMMYFUNCTION("""COMPUTED_VALUE"""),"")</f>
        <v/>
      </c>
      <c r="H17046" s="42">
        <f t="shared" si="1"/>
        <v>3345</v>
      </c>
    </row>
    <row r="17047" ht="22.5" customHeight="1">
      <c r="B17047" s="42" t="str">
        <f>IFERROR(__xludf.DUMMYFUNCTION("""COMPUTED_VALUE"""),"")</f>
        <v/>
      </c>
      <c r="C17047" s="42" t="str">
        <f>IFERROR(__xludf.DUMMYFUNCTION("""COMPUTED_VALUE"""),"")</f>
        <v/>
      </c>
      <c r="D17047" s="42"/>
      <c r="E17047" s="42"/>
      <c r="F17047" s="48" t="str">
        <f>IFERROR(__xludf.DUMMYFUNCTION("""COMPUTED_VALUE"""),"")</f>
        <v/>
      </c>
      <c r="G17047" s="42" t="str">
        <f>IFERROR(__xludf.DUMMYFUNCTION("""COMPUTED_VALUE"""),"")</f>
        <v/>
      </c>
      <c r="H17047" s="42">
        <f t="shared" si="1"/>
        <v>3345</v>
      </c>
    </row>
    <row r="17048" ht="22.5" customHeight="1">
      <c r="B17048" s="42" t="str">
        <f>IFERROR(__xludf.DUMMYFUNCTION("""COMPUTED_VALUE"""),"")</f>
        <v/>
      </c>
      <c r="C17048" s="42" t="str">
        <f>IFERROR(__xludf.DUMMYFUNCTION("""COMPUTED_VALUE"""),"")</f>
        <v/>
      </c>
      <c r="D17048" s="42"/>
      <c r="E17048" s="42"/>
      <c r="F17048" s="48" t="str">
        <f>IFERROR(__xludf.DUMMYFUNCTION("""COMPUTED_VALUE"""),"")</f>
        <v/>
      </c>
      <c r="G17048" s="42" t="str">
        <f>IFERROR(__xludf.DUMMYFUNCTION("""COMPUTED_VALUE"""),"")</f>
        <v/>
      </c>
      <c r="H17048" s="42">
        <f t="shared" si="1"/>
        <v>3345</v>
      </c>
    </row>
    <row r="17049" ht="22.5" customHeight="1">
      <c r="B17049" s="42" t="str">
        <f>IFERROR(__xludf.DUMMYFUNCTION("""COMPUTED_VALUE"""),"")</f>
        <v/>
      </c>
      <c r="C17049" s="42" t="str">
        <f>IFERROR(__xludf.DUMMYFUNCTION("""COMPUTED_VALUE"""),"")</f>
        <v/>
      </c>
      <c r="D17049" s="42"/>
      <c r="E17049" s="42"/>
      <c r="F17049" s="48" t="str">
        <f>IFERROR(__xludf.DUMMYFUNCTION("""COMPUTED_VALUE"""),"")</f>
        <v/>
      </c>
      <c r="G17049" s="42" t="str">
        <f>IFERROR(__xludf.DUMMYFUNCTION("""COMPUTED_VALUE"""),"")</f>
        <v/>
      </c>
      <c r="H17049" s="42">
        <f t="shared" si="1"/>
        <v>3345</v>
      </c>
    </row>
    <row r="17050" ht="22.5" customHeight="1">
      <c r="B17050" s="42" t="str">
        <f>IFERROR(__xludf.DUMMYFUNCTION("""COMPUTED_VALUE"""),"")</f>
        <v/>
      </c>
      <c r="C17050" s="42" t="str">
        <f>IFERROR(__xludf.DUMMYFUNCTION("""COMPUTED_VALUE"""),"")</f>
        <v/>
      </c>
      <c r="D17050" s="42"/>
      <c r="E17050" s="42"/>
      <c r="F17050" s="48" t="str">
        <f>IFERROR(__xludf.DUMMYFUNCTION("""COMPUTED_VALUE"""),"")</f>
        <v/>
      </c>
      <c r="G17050" s="42" t="str">
        <f>IFERROR(__xludf.DUMMYFUNCTION("""COMPUTED_VALUE"""),"")</f>
        <v/>
      </c>
      <c r="H17050" s="42">
        <f t="shared" si="1"/>
        <v>3345</v>
      </c>
    </row>
    <row r="17051" ht="22.5" customHeight="1">
      <c r="B17051" s="42" t="str">
        <f>IFERROR(__xludf.DUMMYFUNCTION("""COMPUTED_VALUE"""),"")</f>
        <v/>
      </c>
      <c r="C17051" s="42" t="str">
        <f>IFERROR(__xludf.DUMMYFUNCTION("""COMPUTED_VALUE"""),"")</f>
        <v/>
      </c>
      <c r="D17051" s="42"/>
      <c r="E17051" s="42"/>
      <c r="F17051" s="48" t="str">
        <f>IFERROR(__xludf.DUMMYFUNCTION("""COMPUTED_VALUE"""),"")</f>
        <v/>
      </c>
      <c r="G17051" s="42" t="str">
        <f>IFERROR(__xludf.DUMMYFUNCTION("""COMPUTED_VALUE"""),"")</f>
        <v/>
      </c>
      <c r="H17051" s="42">
        <f t="shared" si="1"/>
        <v>3345</v>
      </c>
    </row>
    <row r="17052" ht="22.5" customHeight="1">
      <c r="B17052" s="42" t="str">
        <f>IFERROR(__xludf.DUMMYFUNCTION("""COMPUTED_VALUE"""),"")</f>
        <v/>
      </c>
      <c r="C17052" s="42" t="str">
        <f>IFERROR(__xludf.DUMMYFUNCTION("""COMPUTED_VALUE"""),"")</f>
        <v/>
      </c>
      <c r="D17052" s="42"/>
      <c r="E17052" s="42"/>
      <c r="F17052" s="48" t="str">
        <f>IFERROR(__xludf.DUMMYFUNCTION("""COMPUTED_VALUE"""),"")</f>
        <v/>
      </c>
      <c r="G17052" s="42" t="str">
        <f>IFERROR(__xludf.DUMMYFUNCTION("""COMPUTED_VALUE"""),"")</f>
        <v/>
      </c>
      <c r="H17052" s="42">
        <f t="shared" si="1"/>
        <v>3345</v>
      </c>
    </row>
    <row r="17053" ht="22.5" customHeight="1">
      <c r="B17053" s="42" t="str">
        <f>IFERROR(__xludf.DUMMYFUNCTION("""COMPUTED_VALUE"""),"")</f>
        <v/>
      </c>
      <c r="C17053" s="42" t="str">
        <f>IFERROR(__xludf.DUMMYFUNCTION("""COMPUTED_VALUE"""),"")</f>
        <v/>
      </c>
      <c r="D17053" s="42"/>
      <c r="E17053" s="42"/>
      <c r="F17053" s="48" t="str">
        <f>IFERROR(__xludf.DUMMYFUNCTION("""COMPUTED_VALUE"""),"")</f>
        <v/>
      </c>
      <c r="G17053" s="42" t="str">
        <f>IFERROR(__xludf.DUMMYFUNCTION("""COMPUTED_VALUE"""),"")</f>
        <v/>
      </c>
      <c r="H17053" s="42">
        <f t="shared" si="1"/>
        <v>3345</v>
      </c>
    </row>
    <row r="17054" ht="22.5" customHeight="1">
      <c r="B17054" s="42" t="str">
        <f>IFERROR(__xludf.DUMMYFUNCTION("""COMPUTED_VALUE"""),"")</f>
        <v/>
      </c>
      <c r="C17054" s="42" t="str">
        <f>IFERROR(__xludf.DUMMYFUNCTION("""COMPUTED_VALUE"""),"")</f>
        <v/>
      </c>
      <c r="D17054" s="42"/>
      <c r="E17054" s="42"/>
      <c r="F17054" s="48" t="str">
        <f>IFERROR(__xludf.DUMMYFUNCTION("""COMPUTED_VALUE"""),"")</f>
        <v/>
      </c>
      <c r="G17054" s="42" t="str">
        <f>IFERROR(__xludf.DUMMYFUNCTION("""COMPUTED_VALUE"""),"")</f>
        <v/>
      </c>
      <c r="H17054" s="42">
        <f t="shared" si="1"/>
        <v>3345</v>
      </c>
    </row>
    <row r="17055" ht="22.5" customHeight="1">
      <c r="B17055" s="42" t="str">
        <f>IFERROR(__xludf.DUMMYFUNCTION("""COMPUTED_VALUE"""),"")</f>
        <v/>
      </c>
      <c r="C17055" s="42" t="str">
        <f>IFERROR(__xludf.DUMMYFUNCTION("""COMPUTED_VALUE"""),"")</f>
        <v/>
      </c>
      <c r="D17055" s="42"/>
      <c r="E17055" s="42"/>
      <c r="F17055" s="48" t="str">
        <f>IFERROR(__xludf.DUMMYFUNCTION("""COMPUTED_VALUE"""),"")</f>
        <v/>
      </c>
      <c r="G17055" s="42" t="str">
        <f>IFERROR(__xludf.DUMMYFUNCTION("""COMPUTED_VALUE"""),"")</f>
        <v/>
      </c>
      <c r="H17055" s="42">
        <f t="shared" si="1"/>
        <v>3345</v>
      </c>
    </row>
    <row r="17056" ht="22.5" customHeight="1">
      <c r="B17056" s="42" t="str">
        <f>IFERROR(__xludf.DUMMYFUNCTION("""COMPUTED_VALUE"""),"")</f>
        <v/>
      </c>
      <c r="C17056" s="42" t="str">
        <f>IFERROR(__xludf.DUMMYFUNCTION("""COMPUTED_VALUE"""),"")</f>
        <v/>
      </c>
      <c r="D17056" s="42"/>
      <c r="E17056" s="42"/>
      <c r="F17056" s="48" t="str">
        <f>IFERROR(__xludf.DUMMYFUNCTION("""COMPUTED_VALUE"""),"")</f>
        <v/>
      </c>
      <c r="G17056" s="42" t="str">
        <f>IFERROR(__xludf.DUMMYFUNCTION("""COMPUTED_VALUE"""),"")</f>
        <v/>
      </c>
      <c r="H17056" s="42">
        <f t="shared" si="1"/>
        <v>3345</v>
      </c>
    </row>
    <row r="17057" ht="22.5" customHeight="1">
      <c r="B17057" s="42" t="str">
        <f>IFERROR(__xludf.DUMMYFUNCTION("""COMPUTED_VALUE"""),"")</f>
        <v/>
      </c>
      <c r="C17057" s="42" t="str">
        <f>IFERROR(__xludf.DUMMYFUNCTION("""COMPUTED_VALUE"""),"")</f>
        <v/>
      </c>
      <c r="D17057" s="42"/>
      <c r="E17057" s="42"/>
      <c r="F17057" s="48" t="str">
        <f>IFERROR(__xludf.DUMMYFUNCTION("""COMPUTED_VALUE"""),"")</f>
        <v/>
      </c>
      <c r="G17057" s="42" t="str">
        <f>IFERROR(__xludf.DUMMYFUNCTION("""COMPUTED_VALUE"""),"")</f>
        <v/>
      </c>
      <c r="H17057" s="42">
        <f t="shared" si="1"/>
        <v>3345</v>
      </c>
    </row>
    <row r="17058" ht="22.5" customHeight="1">
      <c r="B17058" s="42" t="str">
        <f>IFERROR(__xludf.DUMMYFUNCTION("""COMPUTED_VALUE"""),"")</f>
        <v/>
      </c>
      <c r="C17058" s="42" t="str">
        <f>IFERROR(__xludf.DUMMYFUNCTION("""COMPUTED_VALUE"""),"")</f>
        <v/>
      </c>
      <c r="D17058" s="42"/>
      <c r="E17058" s="42"/>
      <c r="F17058" s="48" t="str">
        <f>IFERROR(__xludf.DUMMYFUNCTION("""COMPUTED_VALUE"""),"")</f>
        <v/>
      </c>
      <c r="G17058" s="42" t="str">
        <f>IFERROR(__xludf.DUMMYFUNCTION("""COMPUTED_VALUE"""),"")</f>
        <v/>
      </c>
      <c r="H17058" s="42">
        <f t="shared" si="1"/>
        <v>3345</v>
      </c>
    </row>
    <row r="17059" ht="22.5" customHeight="1">
      <c r="B17059" s="42" t="str">
        <f>IFERROR(__xludf.DUMMYFUNCTION("""COMPUTED_VALUE"""),"")</f>
        <v/>
      </c>
      <c r="C17059" s="42" t="str">
        <f>IFERROR(__xludf.DUMMYFUNCTION("""COMPUTED_VALUE"""),"")</f>
        <v/>
      </c>
      <c r="D17059" s="42"/>
      <c r="E17059" s="42"/>
      <c r="F17059" s="48" t="str">
        <f>IFERROR(__xludf.DUMMYFUNCTION("""COMPUTED_VALUE"""),"")</f>
        <v/>
      </c>
      <c r="G17059" s="42" t="str">
        <f>IFERROR(__xludf.DUMMYFUNCTION("""COMPUTED_VALUE"""),"")</f>
        <v/>
      </c>
      <c r="H17059" s="42">
        <f t="shared" si="1"/>
        <v>3345</v>
      </c>
    </row>
    <row r="17060" ht="22.5" customHeight="1">
      <c r="B17060" s="42" t="str">
        <f>IFERROR(__xludf.DUMMYFUNCTION("""COMPUTED_VALUE"""),"")</f>
        <v/>
      </c>
      <c r="C17060" s="42" t="str">
        <f>IFERROR(__xludf.DUMMYFUNCTION("""COMPUTED_VALUE"""),"")</f>
        <v/>
      </c>
      <c r="D17060" s="42"/>
      <c r="E17060" s="42"/>
      <c r="F17060" s="48" t="str">
        <f>IFERROR(__xludf.DUMMYFUNCTION("""COMPUTED_VALUE"""),"")</f>
        <v/>
      </c>
      <c r="G17060" s="42" t="str">
        <f>IFERROR(__xludf.DUMMYFUNCTION("""COMPUTED_VALUE"""),"")</f>
        <v/>
      </c>
      <c r="H17060" s="42">
        <f t="shared" si="1"/>
        <v>3345</v>
      </c>
    </row>
    <row r="17061" ht="22.5" customHeight="1">
      <c r="B17061" s="42" t="str">
        <f>IFERROR(__xludf.DUMMYFUNCTION("""COMPUTED_VALUE"""),"")</f>
        <v/>
      </c>
      <c r="C17061" s="42" t="str">
        <f>IFERROR(__xludf.DUMMYFUNCTION("""COMPUTED_VALUE"""),"")</f>
        <v/>
      </c>
      <c r="D17061" s="42"/>
      <c r="E17061" s="42"/>
      <c r="F17061" s="48" t="str">
        <f>IFERROR(__xludf.DUMMYFUNCTION("""COMPUTED_VALUE"""),"")</f>
        <v/>
      </c>
      <c r="G17061" s="42" t="str">
        <f>IFERROR(__xludf.DUMMYFUNCTION("""COMPUTED_VALUE"""),"")</f>
        <v/>
      </c>
      <c r="H17061" s="42">
        <f t="shared" si="1"/>
        <v>3345</v>
      </c>
    </row>
    <row r="17062" ht="22.5" customHeight="1">
      <c r="B17062" s="42" t="str">
        <f>IFERROR(__xludf.DUMMYFUNCTION("""COMPUTED_VALUE"""),"")</f>
        <v/>
      </c>
      <c r="C17062" s="42" t="str">
        <f>IFERROR(__xludf.DUMMYFUNCTION("""COMPUTED_VALUE"""),"")</f>
        <v/>
      </c>
      <c r="D17062" s="42"/>
      <c r="E17062" s="42"/>
      <c r="F17062" s="48" t="str">
        <f>IFERROR(__xludf.DUMMYFUNCTION("""COMPUTED_VALUE"""),"")</f>
        <v/>
      </c>
      <c r="G17062" s="42" t="str">
        <f>IFERROR(__xludf.DUMMYFUNCTION("""COMPUTED_VALUE"""),"")</f>
        <v/>
      </c>
      <c r="H17062" s="42">
        <f t="shared" si="1"/>
        <v>3345</v>
      </c>
    </row>
    <row r="17063" ht="22.5" customHeight="1">
      <c r="B17063" s="42" t="str">
        <f>IFERROR(__xludf.DUMMYFUNCTION("""COMPUTED_VALUE"""),"")</f>
        <v/>
      </c>
      <c r="C17063" s="42" t="str">
        <f>IFERROR(__xludf.DUMMYFUNCTION("""COMPUTED_VALUE"""),"")</f>
        <v/>
      </c>
      <c r="D17063" s="42"/>
      <c r="E17063" s="42"/>
      <c r="F17063" s="48" t="str">
        <f>IFERROR(__xludf.DUMMYFUNCTION("""COMPUTED_VALUE"""),"")</f>
        <v/>
      </c>
      <c r="G17063" s="42" t="str">
        <f>IFERROR(__xludf.DUMMYFUNCTION("""COMPUTED_VALUE"""),"")</f>
        <v/>
      </c>
      <c r="H17063" s="42">
        <f t="shared" si="1"/>
        <v>3345</v>
      </c>
    </row>
    <row r="17064" ht="22.5" customHeight="1">
      <c r="B17064" s="42" t="str">
        <f>IFERROR(__xludf.DUMMYFUNCTION("""COMPUTED_VALUE"""),"")</f>
        <v/>
      </c>
      <c r="C17064" s="42" t="str">
        <f>IFERROR(__xludf.DUMMYFUNCTION("""COMPUTED_VALUE"""),"")</f>
        <v/>
      </c>
      <c r="D17064" s="42"/>
      <c r="E17064" s="42"/>
      <c r="F17064" s="48" t="str">
        <f>IFERROR(__xludf.DUMMYFUNCTION("""COMPUTED_VALUE"""),"")</f>
        <v/>
      </c>
      <c r="G17064" s="42" t="str">
        <f>IFERROR(__xludf.DUMMYFUNCTION("""COMPUTED_VALUE"""),"")</f>
        <v/>
      </c>
      <c r="H17064" s="42">
        <f t="shared" si="1"/>
        <v>3345</v>
      </c>
    </row>
    <row r="17065" ht="22.5" customHeight="1">
      <c r="B17065" s="42" t="str">
        <f>IFERROR(__xludf.DUMMYFUNCTION("""COMPUTED_VALUE"""),"")</f>
        <v/>
      </c>
      <c r="C17065" s="42" t="str">
        <f>IFERROR(__xludf.DUMMYFUNCTION("""COMPUTED_VALUE"""),"")</f>
        <v/>
      </c>
      <c r="D17065" s="42"/>
      <c r="E17065" s="42"/>
      <c r="F17065" s="48" t="str">
        <f>IFERROR(__xludf.DUMMYFUNCTION("""COMPUTED_VALUE"""),"")</f>
        <v/>
      </c>
      <c r="G17065" s="42" t="str">
        <f>IFERROR(__xludf.DUMMYFUNCTION("""COMPUTED_VALUE"""),"")</f>
        <v/>
      </c>
      <c r="H17065" s="42">
        <f t="shared" si="1"/>
        <v>3345</v>
      </c>
    </row>
    <row r="17066" ht="22.5" customHeight="1">
      <c r="B17066" s="42" t="str">
        <f>IFERROR(__xludf.DUMMYFUNCTION("""COMPUTED_VALUE"""),"")</f>
        <v/>
      </c>
      <c r="C17066" s="42" t="str">
        <f>IFERROR(__xludf.DUMMYFUNCTION("""COMPUTED_VALUE"""),"")</f>
        <v/>
      </c>
      <c r="D17066" s="42"/>
      <c r="E17066" s="42"/>
      <c r="F17066" s="48" t="str">
        <f>IFERROR(__xludf.DUMMYFUNCTION("""COMPUTED_VALUE"""),"")</f>
        <v/>
      </c>
      <c r="G17066" s="42" t="str">
        <f>IFERROR(__xludf.DUMMYFUNCTION("""COMPUTED_VALUE"""),"")</f>
        <v/>
      </c>
      <c r="H17066" s="42">
        <f t="shared" si="1"/>
        <v>3345</v>
      </c>
    </row>
    <row r="17067" ht="22.5" customHeight="1">
      <c r="B17067" s="42" t="str">
        <f>IFERROR(__xludf.DUMMYFUNCTION("""COMPUTED_VALUE"""),"")</f>
        <v/>
      </c>
      <c r="C17067" s="42" t="str">
        <f>IFERROR(__xludf.DUMMYFUNCTION("""COMPUTED_VALUE"""),"")</f>
        <v/>
      </c>
      <c r="D17067" s="42"/>
      <c r="E17067" s="42"/>
      <c r="F17067" s="48" t="str">
        <f>IFERROR(__xludf.DUMMYFUNCTION("""COMPUTED_VALUE"""),"")</f>
        <v/>
      </c>
      <c r="G17067" s="42" t="str">
        <f>IFERROR(__xludf.DUMMYFUNCTION("""COMPUTED_VALUE"""),"")</f>
        <v/>
      </c>
      <c r="H17067" s="42">
        <f t="shared" si="1"/>
        <v>3345</v>
      </c>
    </row>
    <row r="17068" ht="22.5" customHeight="1">
      <c r="B17068" s="42" t="str">
        <f>IFERROR(__xludf.DUMMYFUNCTION("""COMPUTED_VALUE"""),"")</f>
        <v/>
      </c>
      <c r="C17068" s="42" t="str">
        <f>IFERROR(__xludf.DUMMYFUNCTION("""COMPUTED_VALUE"""),"")</f>
        <v/>
      </c>
      <c r="D17068" s="42"/>
      <c r="E17068" s="42"/>
      <c r="F17068" s="48" t="str">
        <f>IFERROR(__xludf.DUMMYFUNCTION("""COMPUTED_VALUE"""),"")</f>
        <v/>
      </c>
      <c r="G17068" s="42" t="str">
        <f>IFERROR(__xludf.DUMMYFUNCTION("""COMPUTED_VALUE"""),"")</f>
        <v/>
      </c>
      <c r="H17068" s="42">
        <f t="shared" si="1"/>
        <v>3345</v>
      </c>
    </row>
    <row r="17069" ht="22.5" customHeight="1">
      <c r="B17069" s="42" t="str">
        <f>IFERROR(__xludf.DUMMYFUNCTION("""COMPUTED_VALUE"""),"")</f>
        <v/>
      </c>
      <c r="C17069" s="42" t="str">
        <f>IFERROR(__xludf.DUMMYFUNCTION("""COMPUTED_VALUE"""),"")</f>
        <v/>
      </c>
      <c r="D17069" s="42"/>
      <c r="E17069" s="42"/>
      <c r="F17069" s="48" t="str">
        <f>IFERROR(__xludf.DUMMYFUNCTION("""COMPUTED_VALUE"""),"")</f>
        <v/>
      </c>
      <c r="G17069" s="42" t="str">
        <f>IFERROR(__xludf.DUMMYFUNCTION("""COMPUTED_VALUE"""),"")</f>
        <v/>
      </c>
      <c r="H17069" s="42">
        <f t="shared" si="1"/>
        <v>3345</v>
      </c>
    </row>
    <row r="17070" ht="22.5" customHeight="1">
      <c r="B17070" s="42" t="str">
        <f>IFERROR(__xludf.DUMMYFUNCTION("""COMPUTED_VALUE"""),"")</f>
        <v/>
      </c>
      <c r="C17070" s="42" t="str">
        <f>IFERROR(__xludf.DUMMYFUNCTION("""COMPUTED_VALUE"""),"")</f>
        <v/>
      </c>
      <c r="D17070" s="42"/>
      <c r="E17070" s="42"/>
      <c r="F17070" s="48" t="str">
        <f>IFERROR(__xludf.DUMMYFUNCTION("""COMPUTED_VALUE"""),"")</f>
        <v/>
      </c>
      <c r="G17070" s="42" t="str">
        <f>IFERROR(__xludf.DUMMYFUNCTION("""COMPUTED_VALUE"""),"")</f>
        <v/>
      </c>
      <c r="H17070" s="42">
        <f t="shared" si="1"/>
        <v>3345</v>
      </c>
    </row>
    <row r="17071" ht="22.5" customHeight="1">
      <c r="B17071" s="42" t="str">
        <f>IFERROR(__xludf.DUMMYFUNCTION("""COMPUTED_VALUE"""),"")</f>
        <v/>
      </c>
      <c r="C17071" s="42" t="str">
        <f>IFERROR(__xludf.DUMMYFUNCTION("""COMPUTED_VALUE"""),"")</f>
        <v/>
      </c>
      <c r="D17071" s="42"/>
      <c r="E17071" s="42"/>
      <c r="F17071" s="48" t="str">
        <f>IFERROR(__xludf.DUMMYFUNCTION("""COMPUTED_VALUE"""),"")</f>
        <v/>
      </c>
      <c r="G17071" s="42" t="str">
        <f>IFERROR(__xludf.DUMMYFUNCTION("""COMPUTED_VALUE"""),"")</f>
        <v/>
      </c>
      <c r="H17071" s="42">
        <f t="shared" si="1"/>
        <v>3345</v>
      </c>
    </row>
    <row r="17072" ht="22.5" customHeight="1">
      <c r="B17072" s="42" t="str">
        <f>IFERROR(__xludf.DUMMYFUNCTION("""COMPUTED_VALUE"""),"")</f>
        <v/>
      </c>
      <c r="C17072" s="42" t="str">
        <f>IFERROR(__xludf.DUMMYFUNCTION("""COMPUTED_VALUE"""),"")</f>
        <v/>
      </c>
      <c r="D17072" s="42"/>
      <c r="E17072" s="42"/>
      <c r="F17072" s="48" t="str">
        <f>IFERROR(__xludf.DUMMYFUNCTION("""COMPUTED_VALUE"""),"")</f>
        <v/>
      </c>
      <c r="G17072" s="42" t="str">
        <f>IFERROR(__xludf.DUMMYFUNCTION("""COMPUTED_VALUE"""),"")</f>
        <v/>
      </c>
      <c r="H17072" s="42">
        <f t="shared" si="1"/>
        <v>3345</v>
      </c>
    </row>
    <row r="17073" ht="22.5" customHeight="1">
      <c r="B17073" s="42" t="str">
        <f>IFERROR(__xludf.DUMMYFUNCTION("""COMPUTED_VALUE"""),"")</f>
        <v/>
      </c>
      <c r="C17073" s="42" t="str">
        <f>IFERROR(__xludf.DUMMYFUNCTION("""COMPUTED_VALUE"""),"")</f>
        <v/>
      </c>
      <c r="D17073" s="42"/>
      <c r="E17073" s="42"/>
      <c r="F17073" s="48" t="str">
        <f>IFERROR(__xludf.DUMMYFUNCTION("""COMPUTED_VALUE"""),"")</f>
        <v/>
      </c>
      <c r="G17073" s="42" t="str">
        <f>IFERROR(__xludf.DUMMYFUNCTION("""COMPUTED_VALUE"""),"")</f>
        <v/>
      </c>
      <c r="H17073" s="42">
        <f t="shared" si="1"/>
        <v>3345</v>
      </c>
    </row>
    <row r="17074" ht="22.5" customHeight="1">
      <c r="B17074" s="42" t="str">
        <f>IFERROR(__xludf.DUMMYFUNCTION("""COMPUTED_VALUE"""),"")</f>
        <v/>
      </c>
      <c r="C17074" s="42" t="str">
        <f>IFERROR(__xludf.DUMMYFUNCTION("""COMPUTED_VALUE"""),"")</f>
        <v/>
      </c>
      <c r="D17074" s="42"/>
      <c r="E17074" s="42"/>
      <c r="F17074" s="48" t="str">
        <f>IFERROR(__xludf.DUMMYFUNCTION("""COMPUTED_VALUE"""),"")</f>
        <v/>
      </c>
      <c r="G17074" s="42" t="str">
        <f>IFERROR(__xludf.DUMMYFUNCTION("""COMPUTED_VALUE"""),"")</f>
        <v/>
      </c>
      <c r="H17074" s="42">
        <f t="shared" si="1"/>
        <v>3345</v>
      </c>
    </row>
    <row r="17075" ht="22.5" customHeight="1">
      <c r="B17075" s="42" t="str">
        <f>IFERROR(__xludf.DUMMYFUNCTION("""COMPUTED_VALUE"""),"")</f>
        <v/>
      </c>
      <c r="C17075" s="42" t="str">
        <f>IFERROR(__xludf.DUMMYFUNCTION("""COMPUTED_VALUE"""),"")</f>
        <v/>
      </c>
      <c r="D17075" s="42"/>
      <c r="E17075" s="42"/>
      <c r="F17075" s="48" t="str">
        <f>IFERROR(__xludf.DUMMYFUNCTION("""COMPUTED_VALUE"""),"")</f>
        <v/>
      </c>
      <c r="G17075" s="42" t="str">
        <f>IFERROR(__xludf.DUMMYFUNCTION("""COMPUTED_VALUE"""),"")</f>
        <v/>
      </c>
      <c r="H17075" s="42">
        <f t="shared" si="1"/>
        <v>3345</v>
      </c>
    </row>
    <row r="17076" ht="22.5" customHeight="1">
      <c r="B17076" s="42" t="str">
        <f>IFERROR(__xludf.DUMMYFUNCTION("""COMPUTED_VALUE"""),"")</f>
        <v/>
      </c>
      <c r="C17076" s="42" t="str">
        <f>IFERROR(__xludf.DUMMYFUNCTION("""COMPUTED_VALUE"""),"")</f>
        <v/>
      </c>
      <c r="D17076" s="42"/>
      <c r="E17076" s="42"/>
      <c r="F17076" s="48" t="str">
        <f>IFERROR(__xludf.DUMMYFUNCTION("""COMPUTED_VALUE"""),"")</f>
        <v/>
      </c>
      <c r="G17076" s="42" t="str">
        <f>IFERROR(__xludf.DUMMYFUNCTION("""COMPUTED_VALUE"""),"")</f>
        <v/>
      </c>
      <c r="H17076" s="42">
        <f t="shared" si="1"/>
        <v>3345</v>
      </c>
    </row>
    <row r="17077" ht="22.5" customHeight="1">
      <c r="B17077" s="42" t="str">
        <f>IFERROR(__xludf.DUMMYFUNCTION("""COMPUTED_VALUE"""),"")</f>
        <v/>
      </c>
      <c r="C17077" s="42" t="str">
        <f>IFERROR(__xludf.DUMMYFUNCTION("""COMPUTED_VALUE"""),"")</f>
        <v/>
      </c>
      <c r="D17077" s="42"/>
      <c r="E17077" s="42"/>
      <c r="F17077" s="48" t="str">
        <f>IFERROR(__xludf.DUMMYFUNCTION("""COMPUTED_VALUE"""),"")</f>
        <v/>
      </c>
      <c r="G17077" s="42" t="str">
        <f>IFERROR(__xludf.DUMMYFUNCTION("""COMPUTED_VALUE"""),"")</f>
        <v/>
      </c>
      <c r="H17077" s="42">
        <f t="shared" si="1"/>
        <v>3345</v>
      </c>
    </row>
    <row r="17078" ht="22.5" customHeight="1">
      <c r="B17078" s="42" t="str">
        <f>IFERROR(__xludf.DUMMYFUNCTION("""COMPUTED_VALUE"""),"")</f>
        <v/>
      </c>
      <c r="C17078" s="42" t="str">
        <f>IFERROR(__xludf.DUMMYFUNCTION("""COMPUTED_VALUE"""),"")</f>
        <v/>
      </c>
      <c r="D17078" s="42"/>
      <c r="E17078" s="42"/>
      <c r="F17078" s="48" t="str">
        <f>IFERROR(__xludf.DUMMYFUNCTION("""COMPUTED_VALUE"""),"")</f>
        <v/>
      </c>
      <c r="G17078" s="42" t="str">
        <f>IFERROR(__xludf.DUMMYFUNCTION("""COMPUTED_VALUE"""),"")</f>
        <v/>
      </c>
      <c r="H17078" s="42">
        <f t="shared" si="1"/>
        <v>3345</v>
      </c>
    </row>
    <row r="17079" ht="22.5" customHeight="1">
      <c r="B17079" s="42" t="str">
        <f>IFERROR(__xludf.DUMMYFUNCTION("""COMPUTED_VALUE"""),"")</f>
        <v/>
      </c>
      <c r="C17079" s="42" t="str">
        <f>IFERROR(__xludf.DUMMYFUNCTION("""COMPUTED_VALUE"""),"")</f>
        <v/>
      </c>
      <c r="D17079" s="42"/>
      <c r="E17079" s="42"/>
      <c r="F17079" s="48" t="str">
        <f>IFERROR(__xludf.DUMMYFUNCTION("""COMPUTED_VALUE"""),"")</f>
        <v/>
      </c>
      <c r="G17079" s="42" t="str">
        <f>IFERROR(__xludf.DUMMYFUNCTION("""COMPUTED_VALUE"""),"")</f>
        <v/>
      </c>
      <c r="H17079" s="42">
        <f t="shared" si="1"/>
        <v>3345</v>
      </c>
    </row>
    <row r="17080" ht="22.5" customHeight="1">
      <c r="B17080" s="42" t="str">
        <f>IFERROR(__xludf.DUMMYFUNCTION("""COMPUTED_VALUE"""),"")</f>
        <v/>
      </c>
      <c r="C17080" s="42" t="str">
        <f>IFERROR(__xludf.DUMMYFUNCTION("""COMPUTED_VALUE"""),"")</f>
        <v/>
      </c>
      <c r="D17080" s="42"/>
      <c r="E17080" s="42"/>
      <c r="F17080" s="48" t="str">
        <f>IFERROR(__xludf.DUMMYFUNCTION("""COMPUTED_VALUE"""),"")</f>
        <v/>
      </c>
      <c r="G17080" s="42" t="str">
        <f>IFERROR(__xludf.DUMMYFUNCTION("""COMPUTED_VALUE"""),"")</f>
        <v/>
      </c>
      <c r="H17080" s="42">
        <f t="shared" si="1"/>
        <v>3345</v>
      </c>
    </row>
    <row r="17081" ht="22.5" customHeight="1">
      <c r="B17081" s="42" t="str">
        <f>IFERROR(__xludf.DUMMYFUNCTION("""COMPUTED_VALUE"""),"")</f>
        <v/>
      </c>
      <c r="C17081" s="42" t="str">
        <f>IFERROR(__xludf.DUMMYFUNCTION("""COMPUTED_VALUE"""),"")</f>
        <v/>
      </c>
      <c r="D17081" s="42"/>
      <c r="E17081" s="42"/>
      <c r="F17081" s="48" t="str">
        <f>IFERROR(__xludf.DUMMYFUNCTION("""COMPUTED_VALUE"""),"")</f>
        <v/>
      </c>
      <c r="G17081" s="42" t="str">
        <f>IFERROR(__xludf.DUMMYFUNCTION("""COMPUTED_VALUE"""),"")</f>
        <v/>
      </c>
      <c r="H17081" s="42">
        <f t="shared" si="1"/>
        <v>3345</v>
      </c>
    </row>
    <row r="17082" ht="22.5" customHeight="1">
      <c r="B17082" s="42" t="str">
        <f>IFERROR(__xludf.DUMMYFUNCTION("""COMPUTED_VALUE"""),"")</f>
        <v/>
      </c>
      <c r="C17082" s="42" t="str">
        <f>IFERROR(__xludf.DUMMYFUNCTION("""COMPUTED_VALUE"""),"")</f>
        <v/>
      </c>
      <c r="D17082" s="42"/>
      <c r="E17082" s="42"/>
      <c r="F17082" s="48" t="str">
        <f>IFERROR(__xludf.DUMMYFUNCTION("""COMPUTED_VALUE"""),"")</f>
        <v/>
      </c>
      <c r="G17082" s="42" t="str">
        <f>IFERROR(__xludf.DUMMYFUNCTION("""COMPUTED_VALUE"""),"")</f>
        <v/>
      </c>
      <c r="H17082" s="42">
        <f t="shared" si="1"/>
        <v>3345</v>
      </c>
    </row>
    <row r="17083" ht="22.5" customHeight="1">
      <c r="B17083" s="42" t="str">
        <f>IFERROR(__xludf.DUMMYFUNCTION("""COMPUTED_VALUE"""),"")</f>
        <v/>
      </c>
      <c r="C17083" s="42" t="str">
        <f>IFERROR(__xludf.DUMMYFUNCTION("""COMPUTED_VALUE"""),"")</f>
        <v/>
      </c>
      <c r="D17083" s="42"/>
      <c r="E17083" s="42"/>
      <c r="F17083" s="48" t="str">
        <f>IFERROR(__xludf.DUMMYFUNCTION("""COMPUTED_VALUE"""),"")</f>
        <v/>
      </c>
      <c r="G17083" s="42" t="str">
        <f>IFERROR(__xludf.DUMMYFUNCTION("""COMPUTED_VALUE"""),"")</f>
        <v/>
      </c>
      <c r="H17083" s="42">
        <f t="shared" si="1"/>
        <v>3345</v>
      </c>
    </row>
    <row r="17084" ht="22.5" customHeight="1">
      <c r="B17084" s="42" t="str">
        <f>IFERROR(__xludf.DUMMYFUNCTION("""COMPUTED_VALUE"""),"")</f>
        <v/>
      </c>
      <c r="C17084" s="42" t="str">
        <f>IFERROR(__xludf.DUMMYFUNCTION("""COMPUTED_VALUE"""),"")</f>
        <v/>
      </c>
      <c r="D17084" s="42"/>
      <c r="E17084" s="42"/>
      <c r="F17084" s="48" t="str">
        <f>IFERROR(__xludf.DUMMYFUNCTION("""COMPUTED_VALUE"""),"")</f>
        <v/>
      </c>
      <c r="G17084" s="42" t="str">
        <f>IFERROR(__xludf.DUMMYFUNCTION("""COMPUTED_VALUE"""),"")</f>
        <v/>
      </c>
      <c r="H17084" s="42">
        <f t="shared" si="1"/>
        <v>3345</v>
      </c>
    </row>
    <row r="17085" ht="22.5" customHeight="1">
      <c r="B17085" s="42" t="str">
        <f>IFERROR(__xludf.DUMMYFUNCTION("""COMPUTED_VALUE"""),"")</f>
        <v/>
      </c>
      <c r="C17085" s="42" t="str">
        <f>IFERROR(__xludf.DUMMYFUNCTION("""COMPUTED_VALUE"""),"")</f>
        <v/>
      </c>
      <c r="D17085" s="42"/>
      <c r="E17085" s="42"/>
      <c r="F17085" s="48" t="str">
        <f>IFERROR(__xludf.DUMMYFUNCTION("""COMPUTED_VALUE"""),"")</f>
        <v/>
      </c>
      <c r="G17085" s="42" t="str">
        <f>IFERROR(__xludf.DUMMYFUNCTION("""COMPUTED_VALUE"""),"")</f>
        <v/>
      </c>
      <c r="H17085" s="42">
        <f t="shared" si="1"/>
        <v>3345</v>
      </c>
    </row>
    <row r="17086" ht="22.5" customHeight="1">
      <c r="B17086" s="42" t="str">
        <f>IFERROR(__xludf.DUMMYFUNCTION("""COMPUTED_VALUE"""),"")</f>
        <v/>
      </c>
      <c r="C17086" s="42" t="str">
        <f>IFERROR(__xludf.DUMMYFUNCTION("""COMPUTED_VALUE"""),"")</f>
        <v/>
      </c>
      <c r="D17086" s="42"/>
      <c r="E17086" s="42"/>
      <c r="F17086" s="48" t="str">
        <f>IFERROR(__xludf.DUMMYFUNCTION("""COMPUTED_VALUE"""),"")</f>
        <v/>
      </c>
      <c r="G17086" s="42" t="str">
        <f>IFERROR(__xludf.DUMMYFUNCTION("""COMPUTED_VALUE"""),"")</f>
        <v/>
      </c>
      <c r="H17086" s="42">
        <f t="shared" si="1"/>
        <v>3345</v>
      </c>
    </row>
    <row r="17087" ht="22.5" customHeight="1">
      <c r="B17087" s="42" t="str">
        <f>IFERROR(__xludf.DUMMYFUNCTION("""COMPUTED_VALUE"""),"")</f>
        <v/>
      </c>
      <c r="C17087" s="42" t="str">
        <f>IFERROR(__xludf.DUMMYFUNCTION("""COMPUTED_VALUE"""),"")</f>
        <v/>
      </c>
      <c r="D17087" s="42"/>
      <c r="E17087" s="42"/>
      <c r="F17087" s="48" t="str">
        <f>IFERROR(__xludf.DUMMYFUNCTION("""COMPUTED_VALUE"""),"")</f>
        <v/>
      </c>
      <c r="G17087" s="42" t="str">
        <f>IFERROR(__xludf.DUMMYFUNCTION("""COMPUTED_VALUE"""),"")</f>
        <v/>
      </c>
      <c r="H17087" s="42">
        <f t="shared" si="1"/>
        <v>3345</v>
      </c>
    </row>
    <row r="17088" ht="22.5" customHeight="1">
      <c r="B17088" s="42" t="str">
        <f>IFERROR(__xludf.DUMMYFUNCTION("""COMPUTED_VALUE"""),"")</f>
        <v/>
      </c>
      <c r="C17088" s="42" t="str">
        <f>IFERROR(__xludf.DUMMYFUNCTION("""COMPUTED_VALUE"""),"")</f>
        <v/>
      </c>
      <c r="D17088" s="42"/>
      <c r="E17088" s="42"/>
      <c r="F17088" s="48" t="str">
        <f>IFERROR(__xludf.DUMMYFUNCTION("""COMPUTED_VALUE"""),"")</f>
        <v/>
      </c>
      <c r="G17088" s="42" t="str">
        <f>IFERROR(__xludf.DUMMYFUNCTION("""COMPUTED_VALUE"""),"")</f>
        <v/>
      </c>
      <c r="H17088" s="42">
        <f t="shared" si="1"/>
        <v>3345</v>
      </c>
    </row>
    <row r="17089" ht="22.5" customHeight="1">
      <c r="B17089" s="42" t="str">
        <f>IFERROR(__xludf.DUMMYFUNCTION("""COMPUTED_VALUE"""),"")</f>
        <v/>
      </c>
      <c r="C17089" s="42" t="str">
        <f>IFERROR(__xludf.DUMMYFUNCTION("""COMPUTED_VALUE"""),"")</f>
        <v/>
      </c>
      <c r="D17089" s="42"/>
      <c r="E17089" s="42"/>
      <c r="F17089" s="48" t="str">
        <f>IFERROR(__xludf.DUMMYFUNCTION("""COMPUTED_VALUE"""),"")</f>
        <v/>
      </c>
      <c r="G17089" s="42" t="str">
        <f>IFERROR(__xludf.DUMMYFUNCTION("""COMPUTED_VALUE"""),"")</f>
        <v/>
      </c>
      <c r="H17089" s="42">
        <f t="shared" si="1"/>
        <v>3345</v>
      </c>
    </row>
    <row r="17090" ht="22.5" customHeight="1">
      <c r="B17090" s="42" t="str">
        <f>IFERROR(__xludf.DUMMYFUNCTION("""COMPUTED_VALUE"""),"")</f>
        <v/>
      </c>
      <c r="C17090" s="42" t="str">
        <f>IFERROR(__xludf.DUMMYFUNCTION("""COMPUTED_VALUE"""),"")</f>
        <v/>
      </c>
      <c r="D17090" s="42"/>
      <c r="E17090" s="42"/>
      <c r="F17090" s="48" t="str">
        <f>IFERROR(__xludf.DUMMYFUNCTION("""COMPUTED_VALUE"""),"")</f>
        <v/>
      </c>
      <c r="G17090" s="42" t="str">
        <f>IFERROR(__xludf.DUMMYFUNCTION("""COMPUTED_VALUE"""),"")</f>
        <v/>
      </c>
      <c r="H17090" s="42">
        <f t="shared" si="1"/>
        <v>3345</v>
      </c>
    </row>
    <row r="17091" ht="22.5" customHeight="1">
      <c r="B17091" s="42" t="str">
        <f>IFERROR(__xludf.DUMMYFUNCTION("""COMPUTED_VALUE"""),"")</f>
        <v/>
      </c>
      <c r="C17091" s="42" t="str">
        <f>IFERROR(__xludf.DUMMYFUNCTION("""COMPUTED_VALUE"""),"")</f>
        <v/>
      </c>
      <c r="D17091" s="42"/>
      <c r="E17091" s="42"/>
      <c r="F17091" s="48" t="str">
        <f>IFERROR(__xludf.DUMMYFUNCTION("""COMPUTED_VALUE"""),"")</f>
        <v/>
      </c>
      <c r="G17091" s="42" t="str">
        <f>IFERROR(__xludf.DUMMYFUNCTION("""COMPUTED_VALUE"""),"")</f>
        <v/>
      </c>
      <c r="H17091" s="42">
        <f t="shared" si="1"/>
        <v>3345</v>
      </c>
    </row>
    <row r="17092" ht="22.5" customHeight="1">
      <c r="B17092" s="42" t="str">
        <f>IFERROR(__xludf.DUMMYFUNCTION("""COMPUTED_VALUE"""),"")</f>
        <v/>
      </c>
      <c r="C17092" s="42" t="str">
        <f>IFERROR(__xludf.DUMMYFUNCTION("""COMPUTED_VALUE"""),"")</f>
        <v/>
      </c>
      <c r="D17092" s="42"/>
      <c r="E17092" s="42"/>
      <c r="F17092" s="48" t="str">
        <f>IFERROR(__xludf.DUMMYFUNCTION("""COMPUTED_VALUE"""),"")</f>
        <v/>
      </c>
      <c r="G17092" s="42" t="str">
        <f>IFERROR(__xludf.DUMMYFUNCTION("""COMPUTED_VALUE"""),"")</f>
        <v/>
      </c>
      <c r="H17092" s="42">
        <f t="shared" si="1"/>
        <v>3345</v>
      </c>
    </row>
    <row r="17093" ht="22.5" customHeight="1">
      <c r="B17093" s="42" t="str">
        <f>IFERROR(__xludf.DUMMYFUNCTION("""COMPUTED_VALUE"""),"")</f>
        <v/>
      </c>
      <c r="C17093" s="42" t="str">
        <f>IFERROR(__xludf.DUMMYFUNCTION("""COMPUTED_VALUE"""),"")</f>
        <v/>
      </c>
      <c r="D17093" s="42"/>
      <c r="E17093" s="42"/>
      <c r="F17093" s="48" t="str">
        <f>IFERROR(__xludf.DUMMYFUNCTION("""COMPUTED_VALUE"""),"")</f>
        <v/>
      </c>
      <c r="G17093" s="42" t="str">
        <f>IFERROR(__xludf.DUMMYFUNCTION("""COMPUTED_VALUE"""),"")</f>
        <v/>
      </c>
      <c r="H17093" s="42">
        <f t="shared" si="1"/>
        <v>3345</v>
      </c>
    </row>
    <row r="17094" ht="22.5" customHeight="1">
      <c r="B17094" s="42" t="str">
        <f>IFERROR(__xludf.DUMMYFUNCTION("""COMPUTED_VALUE"""),"")</f>
        <v/>
      </c>
      <c r="C17094" s="42" t="str">
        <f>IFERROR(__xludf.DUMMYFUNCTION("""COMPUTED_VALUE"""),"")</f>
        <v/>
      </c>
      <c r="D17094" s="42"/>
      <c r="E17094" s="42"/>
      <c r="F17094" s="48" t="str">
        <f>IFERROR(__xludf.DUMMYFUNCTION("""COMPUTED_VALUE"""),"")</f>
        <v/>
      </c>
      <c r="G17094" s="42" t="str">
        <f>IFERROR(__xludf.DUMMYFUNCTION("""COMPUTED_VALUE"""),"")</f>
        <v/>
      </c>
      <c r="H17094" s="42">
        <f t="shared" si="1"/>
        <v>3345</v>
      </c>
    </row>
    <row r="17095" ht="22.5" customHeight="1">
      <c r="B17095" s="42" t="str">
        <f>IFERROR(__xludf.DUMMYFUNCTION("""COMPUTED_VALUE"""),"")</f>
        <v/>
      </c>
      <c r="C17095" s="42" t="str">
        <f>IFERROR(__xludf.DUMMYFUNCTION("""COMPUTED_VALUE"""),"")</f>
        <v/>
      </c>
      <c r="D17095" s="42"/>
      <c r="E17095" s="42"/>
      <c r="F17095" s="48" t="str">
        <f>IFERROR(__xludf.DUMMYFUNCTION("""COMPUTED_VALUE"""),"")</f>
        <v/>
      </c>
      <c r="G17095" s="42" t="str">
        <f>IFERROR(__xludf.DUMMYFUNCTION("""COMPUTED_VALUE"""),"")</f>
        <v/>
      </c>
      <c r="H17095" s="42">
        <f t="shared" si="1"/>
        <v>3345</v>
      </c>
    </row>
    <row r="17096" ht="22.5" customHeight="1">
      <c r="B17096" s="42" t="str">
        <f>IFERROR(__xludf.DUMMYFUNCTION("""COMPUTED_VALUE"""),"")</f>
        <v/>
      </c>
      <c r="C17096" s="42" t="str">
        <f>IFERROR(__xludf.DUMMYFUNCTION("""COMPUTED_VALUE"""),"")</f>
        <v/>
      </c>
      <c r="D17096" s="42"/>
      <c r="E17096" s="42"/>
      <c r="F17096" s="48" t="str">
        <f>IFERROR(__xludf.DUMMYFUNCTION("""COMPUTED_VALUE"""),"")</f>
        <v/>
      </c>
      <c r="G17096" s="42" t="str">
        <f>IFERROR(__xludf.DUMMYFUNCTION("""COMPUTED_VALUE"""),"")</f>
        <v/>
      </c>
      <c r="H17096" s="42">
        <f t="shared" si="1"/>
        <v>3345</v>
      </c>
    </row>
    <row r="17097" ht="22.5" customHeight="1">
      <c r="B17097" s="42" t="str">
        <f>IFERROR(__xludf.DUMMYFUNCTION("""COMPUTED_VALUE"""),"")</f>
        <v/>
      </c>
      <c r="C17097" s="42" t="str">
        <f>IFERROR(__xludf.DUMMYFUNCTION("""COMPUTED_VALUE"""),"")</f>
        <v/>
      </c>
      <c r="D17097" s="42"/>
      <c r="E17097" s="42"/>
      <c r="F17097" s="48" t="str">
        <f>IFERROR(__xludf.DUMMYFUNCTION("""COMPUTED_VALUE"""),"")</f>
        <v/>
      </c>
      <c r="G17097" s="42" t="str">
        <f>IFERROR(__xludf.DUMMYFUNCTION("""COMPUTED_VALUE"""),"")</f>
        <v/>
      </c>
      <c r="H17097" s="42">
        <f t="shared" si="1"/>
        <v>3345</v>
      </c>
    </row>
    <row r="17098" ht="22.5" customHeight="1">
      <c r="B17098" s="42" t="str">
        <f>IFERROR(__xludf.DUMMYFUNCTION("""COMPUTED_VALUE"""),"")</f>
        <v/>
      </c>
      <c r="C17098" s="42" t="str">
        <f>IFERROR(__xludf.DUMMYFUNCTION("""COMPUTED_VALUE"""),"")</f>
        <v/>
      </c>
      <c r="D17098" s="42"/>
      <c r="E17098" s="42"/>
      <c r="F17098" s="48" t="str">
        <f>IFERROR(__xludf.DUMMYFUNCTION("""COMPUTED_VALUE"""),"")</f>
        <v/>
      </c>
      <c r="G17098" s="42" t="str">
        <f>IFERROR(__xludf.DUMMYFUNCTION("""COMPUTED_VALUE"""),"")</f>
        <v/>
      </c>
      <c r="H17098" s="42">
        <f t="shared" si="1"/>
        <v>3345</v>
      </c>
    </row>
    <row r="17099" ht="22.5" customHeight="1">
      <c r="B17099" s="42" t="str">
        <f>IFERROR(__xludf.DUMMYFUNCTION("""COMPUTED_VALUE"""),"")</f>
        <v/>
      </c>
      <c r="C17099" s="42" t="str">
        <f>IFERROR(__xludf.DUMMYFUNCTION("""COMPUTED_VALUE"""),"")</f>
        <v/>
      </c>
      <c r="D17099" s="42"/>
      <c r="E17099" s="42"/>
      <c r="F17099" s="48" t="str">
        <f>IFERROR(__xludf.DUMMYFUNCTION("""COMPUTED_VALUE"""),"")</f>
        <v/>
      </c>
      <c r="G17099" s="42" t="str">
        <f>IFERROR(__xludf.DUMMYFUNCTION("""COMPUTED_VALUE"""),"")</f>
        <v/>
      </c>
      <c r="H17099" s="42">
        <f t="shared" si="1"/>
        <v>3345</v>
      </c>
    </row>
    <row r="17100" ht="22.5" customHeight="1">
      <c r="B17100" s="42" t="str">
        <f>IFERROR(__xludf.DUMMYFUNCTION("""COMPUTED_VALUE"""),"")</f>
        <v/>
      </c>
      <c r="C17100" s="42" t="str">
        <f>IFERROR(__xludf.DUMMYFUNCTION("""COMPUTED_VALUE"""),"")</f>
        <v/>
      </c>
      <c r="D17100" s="42"/>
      <c r="E17100" s="42"/>
      <c r="F17100" s="48" t="str">
        <f>IFERROR(__xludf.DUMMYFUNCTION("""COMPUTED_VALUE"""),"")</f>
        <v/>
      </c>
      <c r="G17100" s="42" t="str">
        <f>IFERROR(__xludf.DUMMYFUNCTION("""COMPUTED_VALUE"""),"")</f>
        <v/>
      </c>
      <c r="H17100" s="42">
        <f t="shared" si="1"/>
        <v>3345</v>
      </c>
    </row>
    <row r="17101" ht="22.5" customHeight="1">
      <c r="B17101" s="42" t="str">
        <f>IFERROR(__xludf.DUMMYFUNCTION("""COMPUTED_VALUE"""),"")</f>
        <v/>
      </c>
      <c r="C17101" s="42" t="str">
        <f>IFERROR(__xludf.DUMMYFUNCTION("""COMPUTED_VALUE"""),"")</f>
        <v/>
      </c>
      <c r="D17101" s="42"/>
      <c r="E17101" s="42"/>
      <c r="F17101" s="48" t="str">
        <f>IFERROR(__xludf.DUMMYFUNCTION("""COMPUTED_VALUE"""),"")</f>
        <v/>
      </c>
      <c r="G17101" s="42" t="str">
        <f>IFERROR(__xludf.DUMMYFUNCTION("""COMPUTED_VALUE"""),"")</f>
        <v/>
      </c>
      <c r="H17101" s="42">
        <f t="shared" si="1"/>
        <v>3345</v>
      </c>
    </row>
    <row r="17102" ht="22.5" customHeight="1">
      <c r="B17102" s="42" t="str">
        <f>IFERROR(__xludf.DUMMYFUNCTION("""COMPUTED_VALUE"""),"")</f>
        <v/>
      </c>
      <c r="C17102" s="42" t="str">
        <f>IFERROR(__xludf.DUMMYFUNCTION("""COMPUTED_VALUE"""),"")</f>
        <v/>
      </c>
      <c r="D17102" s="42"/>
      <c r="E17102" s="42"/>
      <c r="F17102" s="48" t="str">
        <f>IFERROR(__xludf.DUMMYFUNCTION("""COMPUTED_VALUE"""),"")</f>
        <v/>
      </c>
      <c r="G17102" s="42" t="str">
        <f>IFERROR(__xludf.DUMMYFUNCTION("""COMPUTED_VALUE"""),"")</f>
        <v/>
      </c>
      <c r="H17102" s="42">
        <f t="shared" si="1"/>
        <v>3345</v>
      </c>
    </row>
    <row r="17103" ht="22.5" customHeight="1">
      <c r="B17103" s="42" t="str">
        <f>IFERROR(__xludf.DUMMYFUNCTION("""COMPUTED_VALUE"""),"")</f>
        <v/>
      </c>
      <c r="C17103" s="42" t="str">
        <f>IFERROR(__xludf.DUMMYFUNCTION("""COMPUTED_VALUE"""),"")</f>
        <v/>
      </c>
      <c r="D17103" s="42"/>
      <c r="E17103" s="42"/>
      <c r="F17103" s="48" t="str">
        <f>IFERROR(__xludf.DUMMYFUNCTION("""COMPUTED_VALUE"""),"")</f>
        <v/>
      </c>
      <c r="G17103" s="42" t="str">
        <f>IFERROR(__xludf.DUMMYFUNCTION("""COMPUTED_VALUE"""),"")</f>
        <v/>
      </c>
      <c r="H17103" s="42">
        <f t="shared" si="1"/>
        <v>3345</v>
      </c>
    </row>
    <row r="17104" ht="22.5" customHeight="1">
      <c r="B17104" s="42" t="str">
        <f>IFERROR(__xludf.DUMMYFUNCTION("""COMPUTED_VALUE"""),"")</f>
        <v/>
      </c>
      <c r="C17104" s="42" t="str">
        <f>IFERROR(__xludf.DUMMYFUNCTION("""COMPUTED_VALUE"""),"")</f>
        <v/>
      </c>
      <c r="D17104" s="42"/>
      <c r="E17104" s="42"/>
      <c r="F17104" s="48" t="str">
        <f>IFERROR(__xludf.DUMMYFUNCTION("""COMPUTED_VALUE"""),"")</f>
        <v/>
      </c>
      <c r="G17104" s="42" t="str">
        <f>IFERROR(__xludf.DUMMYFUNCTION("""COMPUTED_VALUE"""),"")</f>
        <v/>
      </c>
      <c r="H17104" s="42">
        <f t="shared" si="1"/>
        <v>3345</v>
      </c>
    </row>
    <row r="17105" ht="22.5" customHeight="1">
      <c r="B17105" s="42" t="str">
        <f>IFERROR(__xludf.DUMMYFUNCTION("""COMPUTED_VALUE"""),"")</f>
        <v/>
      </c>
      <c r="C17105" s="42" t="str">
        <f>IFERROR(__xludf.DUMMYFUNCTION("""COMPUTED_VALUE"""),"")</f>
        <v/>
      </c>
      <c r="D17105" s="42"/>
      <c r="E17105" s="42"/>
      <c r="F17105" s="48" t="str">
        <f>IFERROR(__xludf.DUMMYFUNCTION("""COMPUTED_VALUE"""),"")</f>
        <v/>
      </c>
      <c r="G17105" s="42" t="str">
        <f>IFERROR(__xludf.DUMMYFUNCTION("""COMPUTED_VALUE"""),"")</f>
        <v/>
      </c>
      <c r="H17105" s="42">
        <f t="shared" si="1"/>
        <v>3345</v>
      </c>
    </row>
    <row r="17106" ht="22.5" customHeight="1">
      <c r="B17106" s="42" t="str">
        <f>IFERROR(__xludf.DUMMYFUNCTION("""COMPUTED_VALUE"""),"")</f>
        <v/>
      </c>
      <c r="C17106" s="42" t="str">
        <f>IFERROR(__xludf.DUMMYFUNCTION("""COMPUTED_VALUE"""),"")</f>
        <v/>
      </c>
      <c r="D17106" s="42"/>
      <c r="E17106" s="42"/>
      <c r="F17106" s="48" t="str">
        <f>IFERROR(__xludf.DUMMYFUNCTION("""COMPUTED_VALUE"""),"")</f>
        <v/>
      </c>
      <c r="G17106" s="42" t="str">
        <f>IFERROR(__xludf.DUMMYFUNCTION("""COMPUTED_VALUE"""),"")</f>
        <v/>
      </c>
      <c r="H17106" s="42">
        <f t="shared" si="1"/>
        <v>3345</v>
      </c>
    </row>
    <row r="17107" ht="22.5" customHeight="1">
      <c r="B17107" s="42" t="str">
        <f>IFERROR(__xludf.DUMMYFUNCTION("""COMPUTED_VALUE"""),"")</f>
        <v/>
      </c>
      <c r="C17107" s="42" t="str">
        <f>IFERROR(__xludf.DUMMYFUNCTION("""COMPUTED_VALUE"""),"")</f>
        <v/>
      </c>
      <c r="D17107" s="42"/>
      <c r="E17107" s="42"/>
      <c r="F17107" s="48" t="str">
        <f>IFERROR(__xludf.DUMMYFUNCTION("""COMPUTED_VALUE"""),"")</f>
        <v/>
      </c>
      <c r="G17107" s="42" t="str">
        <f>IFERROR(__xludf.DUMMYFUNCTION("""COMPUTED_VALUE"""),"")</f>
        <v/>
      </c>
      <c r="H17107" s="42">
        <f t="shared" si="1"/>
        <v>3345</v>
      </c>
    </row>
    <row r="17108" ht="22.5" customHeight="1">
      <c r="B17108" s="42" t="str">
        <f>IFERROR(__xludf.DUMMYFUNCTION("""COMPUTED_VALUE"""),"")</f>
        <v/>
      </c>
      <c r="C17108" s="42" t="str">
        <f>IFERROR(__xludf.DUMMYFUNCTION("""COMPUTED_VALUE"""),"")</f>
        <v/>
      </c>
      <c r="D17108" s="42"/>
      <c r="E17108" s="42"/>
      <c r="F17108" s="48" t="str">
        <f>IFERROR(__xludf.DUMMYFUNCTION("""COMPUTED_VALUE"""),"")</f>
        <v/>
      </c>
      <c r="G17108" s="42" t="str">
        <f>IFERROR(__xludf.DUMMYFUNCTION("""COMPUTED_VALUE"""),"")</f>
        <v/>
      </c>
      <c r="H17108" s="42">
        <f t="shared" si="1"/>
        <v>3345</v>
      </c>
    </row>
    <row r="17109" ht="22.5" customHeight="1">
      <c r="B17109" s="42" t="str">
        <f>IFERROR(__xludf.DUMMYFUNCTION("""COMPUTED_VALUE"""),"")</f>
        <v/>
      </c>
      <c r="C17109" s="42" t="str">
        <f>IFERROR(__xludf.DUMMYFUNCTION("""COMPUTED_VALUE"""),"")</f>
        <v/>
      </c>
      <c r="D17109" s="42"/>
      <c r="E17109" s="42"/>
      <c r="F17109" s="48" t="str">
        <f>IFERROR(__xludf.DUMMYFUNCTION("""COMPUTED_VALUE"""),"")</f>
        <v/>
      </c>
      <c r="G17109" s="42" t="str">
        <f>IFERROR(__xludf.DUMMYFUNCTION("""COMPUTED_VALUE"""),"")</f>
        <v/>
      </c>
      <c r="H17109" s="42">
        <f t="shared" si="1"/>
        <v>3345</v>
      </c>
    </row>
    <row r="17110" ht="22.5" customHeight="1">
      <c r="B17110" s="42" t="str">
        <f>IFERROR(__xludf.DUMMYFUNCTION("""COMPUTED_VALUE"""),"")</f>
        <v/>
      </c>
      <c r="C17110" s="42" t="str">
        <f>IFERROR(__xludf.DUMMYFUNCTION("""COMPUTED_VALUE"""),"")</f>
        <v/>
      </c>
      <c r="D17110" s="42"/>
      <c r="E17110" s="42"/>
      <c r="F17110" s="48" t="str">
        <f>IFERROR(__xludf.DUMMYFUNCTION("""COMPUTED_VALUE"""),"")</f>
        <v/>
      </c>
      <c r="G17110" s="42" t="str">
        <f>IFERROR(__xludf.DUMMYFUNCTION("""COMPUTED_VALUE"""),"")</f>
        <v/>
      </c>
      <c r="H17110" s="42">
        <f t="shared" si="1"/>
        <v>3345</v>
      </c>
    </row>
    <row r="17111" ht="22.5" customHeight="1">
      <c r="B17111" s="42" t="str">
        <f>IFERROR(__xludf.DUMMYFUNCTION("""COMPUTED_VALUE"""),"")</f>
        <v/>
      </c>
      <c r="C17111" s="42" t="str">
        <f>IFERROR(__xludf.DUMMYFUNCTION("""COMPUTED_VALUE"""),"")</f>
        <v/>
      </c>
      <c r="D17111" s="42"/>
      <c r="E17111" s="42"/>
      <c r="F17111" s="48" t="str">
        <f>IFERROR(__xludf.DUMMYFUNCTION("""COMPUTED_VALUE"""),"")</f>
        <v/>
      </c>
      <c r="G17111" s="42" t="str">
        <f>IFERROR(__xludf.DUMMYFUNCTION("""COMPUTED_VALUE"""),"")</f>
        <v/>
      </c>
      <c r="H17111" s="42">
        <f t="shared" si="1"/>
        <v>3345</v>
      </c>
    </row>
    <row r="17112" ht="22.5" customHeight="1">
      <c r="B17112" s="42" t="str">
        <f>IFERROR(__xludf.DUMMYFUNCTION("""COMPUTED_VALUE"""),"")</f>
        <v/>
      </c>
      <c r="C17112" s="42" t="str">
        <f>IFERROR(__xludf.DUMMYFUNCTION("""COMPUTED_VALUE"""),"")</f>
        <v/>
      </c>
      <c r="D17112" s="42"/>
      <c r="E17112" s="42"/>
      <c r="F17112" s="48" t="str">
        <f>IFERROR(__xludf.DUMMYFUNCTION("""COMPUTED_VALUE"""),"")</f>
        <v/>
      </c>
      <c r="G17112" s="42" t="str">
        <f>IFERROR(__xludf.DUMMYFUNCTION("""COMPUTED_VALUE"""),"")</f>
        <v/>
      </c>
      <c r="H17112" s="42">
        <f t="shared" si="1"/>
        <v>3345</v>
      </c>
    </row>
    <row r="17113" ht="22.5" customHeight="1">
      <c r="B17113" s="42" t="str">
        <f>IFERROR(__xludf.DUMMYFUNCTION("""COMPUTED_VALUE"""),"")</f>
        <v/>
      </c>
      <c r="C17113" s="42" t="str">
        <f>IFERROR(__xludf.DUMMYFUNCTION("""COMPUTED_VALUE"""),"")</f>
        <v/>
      </c>
      <c r="D17113" s="42"/>
      <c r="E17113" s="42"/>
      <c r="F17113" s="48" t="str">
        <f>IFERROR(__xludf.DUMMYFUNCTION("""COMPUTED_VALUE"""),"")</f>
        <v/>
      </c>
      <c r="G17113" s="42" t="str">
        <f>IFERROR(__xludf.DUMMYFUNCTION("""COMPUTED_VALUE"""),"")</f>
        <v/>
      </c>
      <c r="H17113" s="42">
        <f t="shared" si="1"/>
        <v>3345</v>
      </c>
    </row>
    <row r="17114" ht="22.5" customHeight="1">
      <c r="B17114" s="42" t="str">
        <f>IFERROR(__xludf.DUMMYFUNCTION("""COMPUTED_VALUE"""),"")</f>
        <v/>
      </c>
      <c r="C17114" s="42" t="str">
        <f>IFERROR(__xludf.DUMMYFUNCTION("""COMPUTED_VALUE"""),"")</f>
        <v/>
      </c>
      <c r="D17114" s="42"/>
      <c r="E17114" s="42"/>
      <c r="F17114" s="48" t="str">
        <f>IFERROR(__xludf.DUMMYFUNCTION("""COMPUTED_VALUE"""),"")</f>
        <v/>
      </c>
      <c r="G17114" s="42" t="str">
        <f>IFERROR(__xludf.DUMMYFUNCTION("""COMPUTED_VALUE"""),"")</f>
        <v/>
      </c>
      <c r="H17114" s="42">
        <f t="shared" si="1"/>
        <v>3345</v>
      </c>
    </row>
    <row r="17115" ht="22.5" customHeight="1">
      <c r="B17115" s="42" t="str">
        <f>IFERROR(__xludf.DUMMYFUNCTION("""COMPUTED_VALUE"""),"")</f>
        <v/>
      </c>
      <c r="C17115" s="42" t="str">
        <f>IFERROR(__xludf.DUMMYFUNCTION("""COMPUTED_VALUE"""),"")</f>
        <v/>
      </c>
      <c r="D17115" s="42"/>
      <c r="E17115" s="42"/>
      <c r="F17115" s="48" t="str">
        <f>IFERROR(__xludf.DUMMYFUNCTION("""COMPUTED_VALUE"""),"")</f>
        <v/>
      </c>
      <c r="G17115" s="42" t="str">
        <f>IFERROR(__xludf.DUMMYFUNCTION("""COMPUTED_VALUE"""),"")</f>
        <v/>
      </c>
      <c r="H17115" s="42">
        <f t="shared" si="1"/>
        <v>3345</v>
      </c>
    </row>
    <row r="17116" ht="22.5" customHeight="1">
      <c r="B17116" s="42" t="str">
        <f>IFERROR(__xludf.DUMMYFUNCTION("""COMPUTED_VALUE"""),"")</f>
        <v/>
      </c>
      <c r="C17116" s="42" t="str">
        <f>IFERROR(__xludf.DUMMYFUNCTION("""COMPUTED_VALUE"""),"")</f>
        <v/>
      </c>
      <c r="D17116" s="42"/>
      <c r="E17116" s="42"/>
      <c r="F17116" s="48" t="str">
        <f>IFERROR(__xludf.DUMMYFUNCTION("""COMPUTED_VALUE"""),"")</f>
        <v/>
      </c>
      <c r="G17116" s="42" t="str">
        <f>IFERROR(__xludf.DUMMYFUNCTION("""COMPUTED_VALUE"""),"")</f>
        <v/>
      </c>
      <c r="H17116" s="42">
        <f t="shared" si="1"/>
        <v>3345</v>
      </c>
    </row>
    <row r="17117" ht="22.5" customHeight="1">
      <c r="B17117" s="42" t="str">
        <f>IFERROR(__xludf.DUMMYFUNCTION("""COMPUTED_VALUE"""),"")</f>
        <v/>
      </c>
      <c r="C17117" s="42" t="str">
        <f>IFERROR(__xludf.DUMMYFUNCTION("""COMPUTED_VALUE"""),"")</f>
        <v/>
      </c>
      <c r="D17117" s="42"/>
      <c r="E17117" s="42"/>
      <c r="F17117" s="48" t="str">
        <f>IFERROR(__xludf.DUMMYFUNCTION("""COMPUTED_VALUE"""),"")</f>
        <v/>
      </c>
      <c r="G17117" s="42" t="str">
        <f>IFERROR(__xludf.DUMMYFUNCTION("""COMPUTED_VALUE"""),"")</f>
        <v/>
      </c>
      <c r="H17117" s="42">
        <f t="shared" si="1"/>
        <v>3345</v>
      </c>
    </row>
    <row r="17118" ht="22.5" customHeight="1">
      <c r="B17118" s="42" t="str">
        <f>IFERROR(__xludf.DUMMYFUNCTION("""COMPUTED_VALUE"""),"")</f>
        <v/>
      </c>
      <c r="C17118" s="42" t="str">
        <f>IFERROR(__xludf.DUMMYFUNCTION("""COMPUTED_VALUE"""),"")</f>
        <v/>
      </c>
      <c r="D17118" s="42"/>
      <c r="E17118" s="42"/>
      <c r="F17118" s="48" t="str">
        <f>IFERROR(__xludf.DUMMYFUNCTION("""COMPUTED_VALUE"""),"")</f>
        <v/>
      </c>
      <c r="G17118" s="42" t="str">
        <f>IFERROR(__xludf.DUMMYFUNCTION("""COMPUTED_VALUE"""),"")</f>
        <v/>
      </c>
      <c r="H17118" s="42">
        <f t="shared" si="1"/>
        <v>3345</v>
      </c>
    </row>
    <row r="17119" ht="22.5" customHeight="1">
      <c r="B17119" s="42" t="str">
        <f>IFERROR(__xludf.DUMMYFUNCTION("""COMPUTED_VALUE"""),"")</f>
        <v/>
      </c>
      <c r="C17119" s="42" t="str">
        <f>IFERROR(__xludf.DUMMYFUNCTION("""COMPUTED_VALUE"""),"")</f>
        <v/>
      </c>
      <c r="D17119" s="42"/>
      <c r="E17119" s="42"/>
      <c r="F17119" s="48" t="str">
        <f>IFERROR(__xludf.DUMMYFUNCTION("""COMPUTED_VALUE"""),"")</f>
        <v/>
      </c>
      <c r="G17119" s="42" t="str">
        <f>IFERROR(__xludf.DUMMYFUNCTION("""COMPUTED_VALUE"""),"")</f>
        <v/>
      </c>
      <c r="H17119" s="42">
        <f t="shared" si="1"/>
        <v>3345</v>
      </c>
    </row>
    <row r="17120" ht="22.5" customHeight="1">
      <c r="B17120" s="42" t="str">
        <f>IFERROR(__xludf.DUMMYFUNCTION("""COMPUTED_VALUE"""),"")</f>
        <v/>
      </c>
      <c r="C17120" s="42" t="str">
        <f>IFERROR(__xludf.DUMMYFUNCTION("""COMPUTED_VALUE"""),"")</f>
        <v/>
      </c>
      <c r="D17120" s="42"/>
      <c r="E17120" s="42"/>
      <c r="F17120" s="48" t="str">
        <f>IFERROR(__xludf.DUMMYFUNCTION("""COMPUTED_VALUE"""),"")</f>
        <v/>
      </c>
      <c r="G17120" s="42" t="str">
        <f>IFERROR(__xludf.DUMMYFUNCTION("""COMPUTED_VALUE"""),"")</f>
        <v/>
      </c>
      <c r="H17120" s="42">
        <f t="shared" si="1"/>
        <v>3345</v>
      </c>
    </row>
    <row r="17121" ht="22.5" customHeight="1">
      <c r="B17121" s="42" t="str">
        <f>IFERROR(__xludf.DUMMYFUNCTION("""COMPUTED_VALUE"""),"")</f>
        <v/>
      </c>
      <c r="C17121" s="42" t="str">
        <f>IFERROR(__xludf.DUMMYFUNCTION("""COMPUTED_VALUE"""),"")</f>
        <v/>
      </c>
      <c r="D17121" s="42"/>
      <c r="E17121" s="42"/>
      <c r="F17121" s="48" t="str">
        <f>IFERROR(__xludf.DUMMYFUNCTION("""COMPUTED_VALUE"""),"")</f>
        <v/>
      </c>
      <c r="G17121" s="42" t="str">
        <f>IFERROR(__xludf.DUMMYFUNCTION("""COMPUTED_VALUE"""),"")</f>
        <v/>
      </c>
      <c r="H17121" s="42">
        <f t="shared" si="1"/>
        <v>3345</v>
      </c>
    </row>
    <row r="17122" ht="22.5" customHeight="1">
      <c r="B17122" s="42" t="str">
        <f>IFERROR(__xludf.DUMMYFUNCTION("""COMPUTED_VALUE"""),"")</f>
        <v/>
      </c>
      <c r="C17122" s="42" t="str">
        <f>IFERROR(__xludf.DUMMYFUNCTION("""COMPUTED_VALUE"""),"")</f>
        <v/>
      </c>
      <c r="D17122" s="42"/>
      <c r="E17122" s="42"/>
      <c r="F17122" s="48" t="str">
        <f>IFERROR(__xludf.DUMMYFUNCTION("""COMPUTED_VALUE"""),"")</f>
        <v/>
      </c>
      <c r="G17122" s="42" t="str">
        <f>IFERROR(__xludf.DUMMYFUNCTION("""COMPUTED_VALUE"""),"")</f>
        <v/>
      </c>
      <c r="H17122" s="42">
        <f t="shared" si="1"/>
        <v>3345</v>
      </c>
    </row>
    <row r="17123" ht="22.5" customHeight="1">
      <c r="B17123" s="42" t="str">
        <f>IFERROR(__xludf.DUMMYFUNCTION("""COMPUTED_VALUE"""),"")</f>
        <v/>
      </c>
      <c r="C17123" s="42" t="str">
        <f>IFERROR(__xludf.DUMMYFUNCTION("""COMPUTED_VALUE"""),"")</f>
        <v/>
      </c>
      <c r="D17123" s="42"/>
      <c r="E17123" s="42"/>
      <c r="F17123" s="48" t="str">
        <f>IFERROR(__xludf.DUMMYFUNCTION("""COMPUTED_VALUE"""),"")</f>
        <v/>
      </c>
      <c r="G17123" s="42" t="str">
        <f>IFERROR(__xludf.DUMMYFUNCTION("""COMPUTED_VALUE"""),"")</f>
        <v/>
      </c>
      <c r="H17123" s="42">
        <f t="shared" si="1"/>
        <v>3345</v>
      </c>
    </row>
    <row r="17124" ht="22.5" customHeight="1">
      <c r="B17124" s="42" t="str">
        <f>IFERROR(__xludf.DUMMYFUNCTION("""COMPUTED_VALUE"""),"")</f>
        <v/>
      </c>
      <c r="C17124" s="42" t="str">
        <f>IFERROR(__xludf.DUMMYFUNCTION("""COMPUTED_VALUE"""),"")</f>
        <v/>
      </c>
      <c r="D17124" s="42"/>
      <c r="E17124" s="42"/>
      <c r="F17124" s="48" t="str">
        <f>IFERROR(__xludf.DUMMYFUNCTION("""COMPUTED_VALUE"""),"")</f>
        <v/>
      </c>
      <c r="G17124" s="42" t="str">
        <f>IFERROR(__xludf.DUMMYFUNCTION("""COMPUTED_VALUE"""),"")</f>
        <v/>
      </c>
      <c r="H17124" s="42">
        <f t="shared" si="1"/>
        <v>3345</v>
      </c>
    </row>
    <row r="17125" ht="22.5" customHeight="1">
      <c r="B17125" s="42" t="str">
        <f>IFERROR(__xludf.DUMMYFUNCTION("""COMPUTED_VALUE"""),"")</f>
        <v/>
      </c>
      <c r="C17125" s="42" t="str">
        <f>IFERROR(__xludf.DUMMYFUNCTION("""COMPUTED_VALUE"""),"")</f>
        <v/>
      </c>
      <c r="D17125" s="42"/>
      <c r="E17125" s="42"/>
      <c r="F17125" s="48" t="str">
        <f>IFERROR(__xludf.DUMMYFUNCTION("""COMPUTED_VALUE"""),"")</f>
        <v/>
      </c>
      <c r="G17125" s="42" t="str">
        <f>IFERROR(__xludf.DUMMYFUNCTION("""COMPUTED_VALUE"""),"")</f>
        <v/>
      </c>
      <c r="H17125" s="42">
        <f t="shared" si="1"/>
        <v>3345</v>
      </c>
    </row>
    <row r="17126" ht="22.5" customHeight="1">
      <c r="B17126" s="42" t="str">
        <f>IFERROR(__xludf.DUMMYFUNCTION("""COMPUTED_VALUE"""),"")</f>
        <v/>
      </c>
      <c r="C17126" s="42" t="str">
        <f>IFERROR(__xludf.DUMMYFUNCTION("""COMPUTED_VALUE"""),"")</f>
        <v/>
      </c>
      <c r="D17126" s="42"/>
      <c r="E17126" s="42"/>
      <c r="F17126" s="48" t="str">
        <f>IFERROR(__xludf.DUMMYFUNCTION("""COMPUTED_VALUE"""),"")</f>
        <v/>
      </c>
      <c r="G17126" s="42" t="str">
        <f>IFERROR(__xludf.DUMMYFUNCTION("""COMPUTED_VALUE"""),"")</f>
        <v/>
      </c>
      <c r="H17126" s="42">
        <f t="shared" si="1"/>
        <v>3345</v>
      </c>
    </row>
    <row r="17127" ht="22.5" customHeight="1">
      <c r="B17127" s="42" t="str">
        <f>IFERROR(__xludf.DUMMYFUNCTION("""COMPUTED_VALUE"""),"")</f>
        <v/>
      </c>
      <c r="C17127" s="42" t="str">
        <f>IFERROR(__xludf.DUMMYFUNCTION("""COMPUTED_VALUE"""),"")</f>
        <v/>
      </c>
      <c r="D17127" s="42"/>
      <c r="E17127" s="42"/>
      <c r="F17127" s="48" t="str">
        <f>IFERROR(__xludf.DUMMYFUNCTION("""COMPUTED_VALUE"""),"")</f>
        <v/>
      </c>
      <c r="G17127" s="42" t="str">
        <f>IFERROR(__xludf.DUMMYFUNCTION("""COMPUTED_VALUE"""),"")</f>
        <v/>
      </c>
      <c r="H17127" s="42">
        <f t="shared" si="1"/>
        <v>3345</v>
      </c>
    </row>
    <row r="17128" ht="22.5" customHeight="1">
      <c r="B17128" s="42" t="str">
        <f>IFERROR(__xludf.DUMMYFUNCTION("""COMPUTED_VALUE"""),"")</f>
        <v/>
      </c>
      <c r="C17128" s="42" t="str">
        <f>IFERROR(__xludf.DUMMYFUNCTION("""COMPUTED_VALUE"""),"")</f>
        <v/>
      </c>
      <c r="D17128" s="42"/>
      <c r="E17128" s="42"/>
      <c r="F17128" s="48" t="str">
        <f>IFERROR(__xludf.DUMMYFUNCTION("""COMPUTED_VALUE"""),"")</f>
        <v/>
      </c>
      <c r="G17128" s="42" t="str">
        <f>IFERROR(__xludf.DUMMYFUNCTION("""COMPUTED_VALUE"""),"")</f>
        <v/>
      </c>
      <c r="H17128" s="42">
        <f t="shared" si="1"/>
        <v>3345</v>
      </c>
    </row>
    <row r="17129" ht="22.5" customHeight="1">
      <c r="B17129" s="42" t="str">
        <f>IFERROR(__xludf.DUMMYFUNCTION("""COMPUTED_VALUE"""),"")</f>
        <v/>
      </c>
      <c r="C17129" s="42" t="str">
        <f>IFERROR(__xludf.DUMMYFUNCTION("""COMPUTED_VALUE"""),"")</f>
        <v/>
      </c>
      <c r="D17129" s="42"/>
      <c r="E17129" s="42"/>
      <c r="F17129" s="48" t="str">
        <f>IFERROR(__xludf.DUMMYFUNCTION("""COMPUTED_VALUE"""),"")</f>
        <v/>
      </c>
      <c r="G17129" s="42" t="str">
        <f>IFERROR(__xludf.DUMMYFUNCTION("""COMPUTED_VALUE"""),"")</f>
        <v/>
      </c>
      <c r="H17129" s="42">
        <f t="shared" si="1"/>
        <v>3345</v>
      </c>
    </row>
    <row r="17130" ht="22.5" customHeight="1">
      <c r="B17130" s="42" t="str">
        <f>IFERROR(__xludf.DUMMYFUNCTION("""COMPUTED_VALUE"""),"")</f>
        <v/>
      </c>
      <c r="C17130" s="42" t="str">
        <f>IFERROR(__xludf.DUMMYFUNCTION("""COMPUTED_VALUE"""),"")</f>
        <v/>
      </c>
      <c r="D17130" s="42"/>
      <c r="E17130" s="42"/>
      <c r="F17130" s="48" t="str">
        <f>IFERROR(__xludf.DUMMYFUNCTION("""COMPUTED_VALUE"""),"")</f>
        <v/>
      </c>
      <c r="G17130" s="42" t="str">
        <f>IFERROR(__xludf.DUMMYFUNCTION("""COMPUTED_VALUE"""),"")</f>
        <v/>
      </c>
      <c r="H17130" s="42">
        <f t="shared" si="1"/>
        <v>3345</v>
      </c>
    </row>
    <row r="17131" ht="22.5" customHeight="1">
      <c r="B17131" s="42" t="str">
        <f>IFERROR(__xludf.DUMMYFUNCTION("""COMPUTED_VALUE"""),"")</f>
        <v/>
      </c>
      <c r="C17131" s="42" t="str">
        <f>IFERROR(__xludf.DUMMYFUNCTION("""COMPUTED_VALUE"""),"")</f>
        <v/>
      </c>
      <c r="D17131" s="42"/>
      <c r="E17131" s="42"/>
      <c r="F17131" s="48" t="str">
        <f>IFERROR(__xludf.DUMMYFUNCTION("""COMPUTED_VALUE"""),"")</f>
        <v/>
      </c>
      <c r="G17131" s="42" t="str">
        <f>IFERROR(__xludf.DUMMYFUNCTION("""COMPUTED_VALUE"""),"")</f>
        <v/>
      </c>
      <c r="H17131" s="42">
        <f t="shared" si="1"/>
        <v>3345</v>
      </c>
    </row>
    <row r="17132" ht="22.5" customHeight="1">
      <c r="B17132" s="42" t="str">
        <f>IFERROR(__xludf.DUMMYFUNCTION("""COMPUTED_VALUE"""),"")</f>
        <v/>
      </c>
      <c r="C17132" s="42" t="str">
        <f>IFERROR(__xludf.DUMMYFUNCTION("""COMPUTED_VALUE"""),"")</f>
        <v/>
      </c>
      <c r="D17132" s="42"/>
      <c r="E17132" s="42"/>
      <c r="F17132" s="48" t="str">
        <f>IFERROR(__xludf.DUMMYFUNCTION("""COMPUTED_VALUE"""),"")</f>
        <v/>
      </c>
      <c r="G17132" s="42" t="str">
        <f>IFERROR(__xludf.DUMMYFUNCTION("""COMPUTED_VALUE"""),"")</f>
        <v/>
      </c>
      <c r="H17132" s="42">
        <f t="shared" si="1"/>
        <v>3345</v>
      </c>
    </row>
    <row r="17133" ht="22.5" customHeight="1">
      <c r="B17133" s="42" t="str">
        <f>IFERROR(__xludf.DUMMYFUNCTION("""COMPUTED_VALUE"""),"")</f>
        <v/>
      </c>
      <c r="C17133" s="42" t="str">
        <f>IFERROR(__xludf.DUMMYFUNCTION("""COMPUTED_VALUE"""),"")</f>
        <v/>
      </c>
      <c r="D17133" s="42"/>
      <c r="E17133" s="42"/>
      <c r="F17133" s="48" t="str">
        <f>IFERROR(__xludf.DUMMYFUNCTION("""COMPUTED_VALUE"""),"")</f>
        <v/>
      </c>
      <c r="G17133" s="42" t="str">
        <f>IFERROR(__xludf.DUMMYFUNCTION("""COMPUTED_VALUE"""),"")</f>
        <v/>
      </c>
      <c r="H17133" s="42">
        <f t="shared" si="1"/>
        <v>3345</v>
      </c>
    </row>
    <row r="17134" ht="22.5" customHeight="1">
      <c r="B17134" s="42" t="str">
        <f>IFERROR(__xludf.DUMMYFUNCTION("""COMPUTED_VALUE"""),"")</f>
        <v/>
      </c>
      <c r="C17134" s="42" t="str">
        <f>IFERROR(__xludf.DUMMYFUNCTION("""COMPUTED_VALUE"""),"")</f>
        <v/>
      </c>
      <c r="D17134" s="42"/>
      <c r="E17134" s="42"/>
      <c r="F17134" s="48" t="str">
        <f>IFERROR(__xludf.DUMMYFUNCTION("""COMPUTED_VALUE"""),"")</f>
        <v/>
      </c>
      <c r="G17134" s="42" t="str">
        <f>IFERROR(__xludf.DUMMYFUNCTION("""COMPUTED_VALUE"""),"")</f>
        <v/>
      </c>
      <c r="H17134" s="42">
        <f t="shared" si="1"/>
        <v>3345</v>
      </c>
    </row>
    <row r="17135" ht="22.5" customHeight="1">
      <c r="B17135" s="42" t="str">
        <f>IFERROR(__xludf.DUMMYFUNCTION("""COMPUTED_VALUE"""),"")</f>
        <v/>
      </c>
      <c r="C17135" s="42" t="str">
        <f>IFERROR(__xludf.DUMMYFUNCTION("""COMPUTED_VALUE"""),"")</f>
        <v/>
      </c>
      <c r="D17135" s="42"/>
      <c r="E17135" s="42"/>
      <c r="F17135" s="48" t="str">
        <f>IFERROR(__xludf.DUMMYFUNCTION("""COMPUTED_VALUE"""),"")</f>
        <v/>
      </c>
      <c r="G17135" s="42" t="str">
        <f>IFERROR(__xludf.DUMMYFUNCTION("""COMPUTED_VALUE"""),"")</f>
        <v/>
      </c>
      <c r="H17135" s="42">
        <f t="shared" si="1"/>
        <v>3345</v>
      </c>
    </row>
    <row r="17136" ht="22.5" customHeight="1">
      <c r="B17136" s="42" t="str">
        <f>IFERROR(__xludf.DUMMYFUNCTION("""COMPUTED_VALUE"""),"")</f>
        <v/>
      </c>
      <c r="C17136" s="42" t="str">
        <f>IFERROR(__xludf.DUMMYFUNCTION("""COMPUTED_VALUE"""),"")</f>
        <v/>
      </c>
      <c r="D17136" s="42"/>
      <c r="E17136" s="42"/>
      <c r="F17136" s="48" t="str">
        <f>IFERROR(__xludf.DUMMYFUNCTION("""COMPUTED_VALUE"""),"")</f>
        <v/>
      </c>
      <c r="G17136" s="42" t="str">
        <f>IFERROR(__xludf.DUMMYFUNCTION("""COMPUTED_VALUE"""),"")</f>
        <v/>
      </c>
      <c r="H17136" s="42">
        <f t="shared" si="1"/>
        <v>3345</v>
      </c>
    </row>
    <row r="17137" ht="22.5" customHeight="1">
      <c r="B17137" s="42" t="str">
        <f>IFERROR(__xludf.DUMMYFUNCTION("""COMPUTED_VALUE"""),"")</f>
        <v/>
      </c>
      <c r="C17137" s="42" t="str">
        <f>IFERROR(__xludf.DUMMYFUNCTION("""COMPUTED_VALUE"""),"")</f>
        <v/>
      </c>
      <c r="D17137" s="42"/>
      <c r="E17137" s="42"/>
      <c r="F17137" s="48" t="str">
        <f>IFERROR(__xludf.DUMMYFUNCTION("""COMPUTED_VALUE"""),"")</f>
        <v/>
      </c>
      <c r="G17137" s="42" t="str">
        <f>IFERROR(__xludf.DUMMYFUNCTION("""COMPUTED_VALUE"""),"")</f>
        <v/>
      </c>
      <c r="H17137" s="42">
        <f t="shared" si="1"/>
        <v>3345</v>
      </c>
    </row>
    <row r="17138" ht="22.5" customHeight="1">
      <c r="B17138" s="42" t="str">
        <f>IFERROR(__xludf.DUMMYFUNCTION("""COMPUTED_VALUE"""),"")</f>
        <v/>
      </c>
      <c r="C17138" s="42" t="str">
        <f>IFERROR(__xludf.DUMMYFUNCTION("""COMPUTED_VALUE"""),"")</f>
        <v/>
      </c>
      <c r="D17138" s="42"/>
      <c r="E17138" s="42"/>
      <c r="F17138" s="48" t="str">
        <f>IFERROR(__xludf.DUMMYFUNCTION("""COMPUTED_VALUE"""),"")</f>
        <v/>
      </c>
      <c r="G17138" s="42" t="str">
        <f>IFERROR(__xludf.DUMMYFUNCTION("""COMPUTED_VALUE"""),"")</f>
        <v/>
      </c>
      <c r="H17138" s="42">
        <f t="shared" si="1"/>
        <v>3345</v>
      </c>
    </row>
    <row r="17139" ht="22.5" customHeight="1">
      <c r="B17139" s="42" t="str">
        <f>IFERROR(__xludf.DUMMYFUNCTION("""COMPUTED_VALUE"""),"")</f>
        <v/>
      </c>
      <c r="C17139" s="42" t="str">
        <f>IFERROR(__xludf.DUMMYFUNCTION("""COMPUTED_VALUE"""),"")</f>
        <v/>
      </c>
      <c r="D17139" s="42"/>
      <c r="E17139" s="42"/>
      <c r="F17139" s="48" t="str">
        <f>IFERROR(__xludf.DUMMYFUNCTION("""COMPUTED_VALUE"""),"")</f>
        <v/>
      </c>
      <c r="G17139" s="42" t="str">
        <f>IFERROR(__xludf.DUMMYFUNCTION("""COMPUTED_VALUE"""),"")</f>
        <v/>
      </c>
      <c r="H17139" s="42">
        <f t="shared" si="1"/>
        <v>3345</v>
      </c>
    </row>
    <row r="17140" ht="22.5" customHeight="1">
      <c r="B17140" s="42" t="str">
        <f>IFERROR(__xludf.DUMMYFUNCTION("""COMPUTED_VALUE"""),"")</f>
        <v/>
      </c>
      <c r="C17140" s="42" t="str">
        <f>IFERROR(__xludf.DUMMYFUNCTION("""COMPUTED_VALUE"""),"")</f>
        <v/>
      </c>
      <c r="D17140" s="42"/>
      <c r="E17140" s="42"/>
      <c r="F17140" s="48" t="str">
        <f>IFERROR(__xludf.DUMMYFUNCTION("""COMPUTED_VALUE"""),"")</f>
        <v/>
      </c>
      <c r="G17140" s="42" t="str">
        <f>IFERROR(__xludf.DUMMYFUNCTION("""COMPUTED_VALUE"""),"")</f>
        <v/>
      </c>
      <c r="H17140" s="42">
        <f t="shared" si="1"/>
        <v>3345</v>
      </c>
    </row>
    <row r="17141" ht="22.5" customHeight="1">
      <c r="B17141" s="42" t="str">
        <f>IFERROR(__xludf.DUMMYFUNCTION("""COMPUTED_VALUE"""),"")</f>
        <v/>
      </c>
      <c r="C17141" s="42" t="str">
        <f>IFERROR(__xludf.DUMMYFUNCTION("""COMPUTED_VALUE"""),"")</f>
        <v/>
      </c>
      <c r="D17141" s="42"/>
      <c r="E17141" s="42"/>
      <c r="F17141" s="48" t="str">
        <f>IFERROR(__xludf.DUMMYFUNCTION("""COMPUTED_VALUE"""),"")</f>
        <v/>
      </c>
      <c r="G17141" s="42" t="str">
        <f>IFERROR(__xludf.DUMMYFUNCTION("""COMPUTED_VALUE"""),"")</f>
        <v/>
      </c>
      <c r="H17141" s="42">
        <f t="shared" si="1"/>
        <v>3345</v>
      </c>
    </row>
    <row r="17142" ht="22.5" customHeight="1">
      <c r="B17142" s="42" t="str">
        <f>IFERROR(__xludf.DUMMYFUNCTION("""COMPUTED_VALUE"""),"")</f>
        <v/>
      </c>
      <c r="C17142" s="42" t="str">
        <f>IFERROR(__xludf.DUMMYFUNCTION("""COMPUTED_VALUE"""),"")</f>
        <v/>
      </c>
      <c r="D17142" s="42"/>
      <c r="E17142" s="42"/>
      <c r="F17142" s="48" t="str">
        <f>IFERROR(__xludf.DUMMYFUNCTION("""COMPUTED_VALUE"""),"")</f>
        <v/>
      </c>
      <c r="G17142" s="42" t="str">
        <f>IFERROR(__xludf.DUMMYFUNCTION("""COMPUTED_VALUE"""),"")</f>
        <v/>
      </c>
      <c r="H17142" s="42">
        <f t="shared" si="1"/>
        <v>3345</v>
      </c>
    </row>
    <row r="17143" ht="22.5" customHeight="1">
      <c r="B17143" s="42" t="str">
        <f>IFERROR(__xludf.DUMMYFUNCTION("""COMPUTED_VALUE"""),"")</f>
        <v/>
      </c>
      <c r="C17143" s="42" t="str">
        <f>IFERROR(__xludf.DUMMYFUNCTION("""COMPUTED_VALUE"""),"")</f>
        <v/>
      </c>
      <c r="D17143" s="42"/>
      <c r="E17143" s="42"/>
      <c r="F17143" s="48" t="str">
        <f>IFERROR(__xludf.DUMMYFUNCTION("""COMPUTED_VALUE"""),"")</f>
        <v/>
      </c>
      <c r="G17143" s="42" t="str">
        <f>IFERROR(__xludf.DUMMYFUNCTION("""COMPUTED_VALUE"""),"")</f>
        <v/>
      </c>
      <c r="H17143" s="42">
        <f t="shared" si="1"/>
        <v>3345</v>
      </c>
    </row>
    <row r="17144" ht="22.5" customHeight="1">
      <c r="B17144" s="42" t="str">
        <f>IFERROR(__xludf.DUMMYFUNCTION("""COMPUTED_VALUE"""),"")</f>
        <v/>
      </c>
      <c r="C17144" s="42" t="str">
        <f>IFERROR(__xludf.DUMMYFUNCTION("""COMPUTED_VALUE"""),"")</f>
        <v/>
      </c>
      <c r="D17144" s="42"/>
      <c r="E17144" s="42"/>
      <c r="F17144" s="48" t="str">
        <f>IFERROR(__xludf.DUMMYFUNCTION("""COMPUTED_VALUE"""),"")</f>
        <v/>
      </c>
      <c r="G17144" s="42" t="str">
        <f>IFERROR(__xludf.DUMMYFUNCTION("""COMPUTED_VALUE"""),"")</f>
        <v/>
      </c>
      <c r="H17144" s="42">
        <f t="shared" si="1"/>
        <v>3345</v>
      </c>
    </row>
    <row r="17145" ht="22.5" customHeight="1">
      <c r="B17145" s="42" t="str">
        <f>IFERROR(__xludf.DUMMYFUNCTION("""COMPUTED_VALUE"""),"")</f>
        <v/>
      </c>
      <c r="C17145" s="42" t="str">
        <f>IFERROR(__xludf.DUMMYFUNCTION("""COMPUTED_VALUE"""),"")</f>
        <v/>
      </c>
      <c r="D17145" s="42"/>
      <c r="E17145" s="42"/>
      <c r="F17145" s="48" t="str">
        <f>IFERROR(__xludf.DUMMYFUNCTION("""COMPUTED_VALUE"""),"")</f>
        <v/>
      </c>
      <c r="G17145" s="42" t="str">
        <f>IFERROR(__xludf.DUMMYFUNCTION("""COMPUTED_VALUE"""),"")</f>
        <v/>
      </c>
      <c r="H17145" s="42">
        <f t="shared" si="1"/>
        <v>3345</v>
      </c>
    </row>
    <row r="17146" ht="22.5" customHeight="1">
      <c r="B17146" s="42" t="str">
        <f>IFERROR(__xludf.DUMMYFUNCTION("""COMPUTED_VALUE"""),"")</f>
        <v/>
      </c>
      <c r="C17146" s="42" t="str">
        <f>IFERROR(__xludf.DUMMYFUNCTION("""COMPUTED_VALUE"""),"")</f>
        <v/>
      </c>
      <c r="D17146" s="42"/>
      <c r="E17146" s="42"/>
      <c r="F17146" s="48" t="str">
        <f>IFERROR(__xludf.DUMMYFUNCTION("""COMPUTED_VALUE"""),"")</f>
        <v/>
      </c>
      <c r="G17146" s="42" t="str">
        <f>IFERROR(__xludf.DUMMYFUNCTION("""COMPUTED_VALUE"""),"")</f>
        <v/>
      </c>
      <c r="H17146" s="42">
        <f t="shared" si="1"/>
        <v>3345</v>
      </c>
    </row>
    <row r="17147" ht="22.5" customHeight="1">
      <c r="B17147" s="42" t="str">
        <f>IFERROR(__xludf.DUMMYFUNCTION("""COMPUTED_VALUE"""),"")</f>
        <v/>
      </c>
      <c r="C17147" s="42" t="str">
        <f>IFERROR(__xludf.DUMMYFUNCTION("""COMPUTED_VALUE"""),"")</f>
        <v/>
      </c>
      <c r="D17147" s="42"/>
      <c r="E17147" s="42"/>
      <c r="F17147" s="48" t="str">
        <f>IFERROR(__xludf.DUMMYFUNCTION("""COMPUTED_VALUE"""),"")</f>
        <v/>
      </c>
      <c r="G17147" s="42" t="str">
        <f>IFERROR(__xludf.DUMMYFUNCTION("""COMPUTED_VALUE"""),"")</f>
        <v/>
      </c>
      <c r="H17147" s="42">
        <f t="shared" si="1"/>
        <v>3345</v>
      </c>
    </row>
    <row r="17148" ht="22.5" customHeight="1">
      <c r="B17148" s="42" t="str">
        <f>IFERROR(__xludf.DUMMYFUNCTION("""COMPUTED_VALUE"""),"")</f>
        <v/>
      </c>
      <c r="C17148" s="42" t="str">
        <f>IFERROR(__xludf.DUMMYFUNCTION("""COMPUTED_VALUE"""),"")</f>
        <v/>
      </c>
      <c r="D17148" s="42"/>
      <c r="E17148" s="42"/>
      <c r="F17148" s="48" t="str">
        <f>IFERROR(__xludf.DUMMYFUNCTION("""COMPUTED_VALUE"""),"")</f>
        <v/>
      </c>
      <c r="G17148" s="42" t="str">
        <f>IFERROR(__xludf.DUMMYFUNCTION("""COMPUTED_VALUE"""),"")</f>
        <v/>
      </c>
      <c r="H17148" s="42">
        <f t="shared" si="1"/>
        <v>3345</v>
      </c>
    </row>
    <row r="17149" ht="22.5" customHeight="1">
      <c r="B17149" s="42" t="str">
        <f>IFERROR(__xludf.DUMMYFUNCTION("""COMPUTED_VALUE"""),"")</f>
        <v/>
      </c>
      <c r="C17149" s="42" t="str">
        <f>IFERROR(__xludf.DUMMYFUNCTION("""COMPUTED_VALUE"""),"")</f>
        <v/>
      </c>
      <c r="D17149" s="42"/>
      <c r="E17149" s="42"/>
      <c r="F17149" s="48" t="str">
        <f>IFERROR(__xludf.DUMMYFUNCTION("""COMPUTED_VALUE"""),"")</f>
        <v/>
      </c>
      <c r="G17149" s="42" t="str">
        <f>IFERROR(__xludf.DUMMYFUNCTION("""COMPUTED_VALUE"""),"")</f>
        <v/>
      </c>
      <c r="H17149" s="42">
        <f t="shared" si="1"/>
        <v>3345</v>
      </c>
    </row>
    <row r="17150" ht="22.5" customHeight="1">
      <c r="B17150" s="42" t="str">
        <f>IFERROR(__xludf.DUMMYFUNCTION("""COMPUTED_VALUE"""),"")</f>
        <v/>
      </c>
      <c r="C17150" s="42" t="str">
        <f>IFERROR(__xludf.DUMMYFUNCTION("""COMPUTED_VALUE"""),"")</f>
        <v/>
      </c>
      <c r="D17150" s="42"/>
      <c r="E17150" s="42"/>
      <c r="F17150" s="48" t="str">
        <f>IFERROR(__xludf.DUMMYFUNCTION("""COMPUTED_VALUE"""),"")</f>
        <v/>
      </c>
      <c r="G17150" s="42" t="str">
        <f>IFERROR(__xludf.DUMMYFUNCTION("""COMPUTED_VALUE"""),"")</f>
        <v/>
      </c>
      <c r="H17150" s="42">
        <f t="shared" si="1"/>
        <v>3345</v>
      </c>
    </row>
    <row r="17151" ht="22.5" customHeight="1">
      <c r="B17151" s="42" t="str">
        <f>IFERROR(__xludf.DUMMYFUNCTION("""COMPUTED_VALUE"""),"")</f>
        <v/>
      </c>
      <c r="C17151" s="42" t="str">
        <f>IFERROR(__xludf.DUMMYFUNCTION("""COMPUTED_VALUE"""),"")</f>
        <v/>
      </c>
      <c r="D17151" s="42"/>
      <c r="E17151" s="42"/>
      <c r="F17151" s="48" t="str">
        <f>IFERROR(__xludf.DUMMYFUNCTION("""COMPUTED_VALUE"""),"")</f>
        <v/>
      </c>
      <c r="G17151" s="42" t="str">
        <f>IFERROR(__xludf.DUMMYFUNCTION("""COMPUTED_VALUE"""),"")</f>
        <v/>
      </c>
      <c r="H17151" s="42">
        <f t="shared" si="1"/>
        <v>3345</v>
      </c>
    </row>
    <row r="17152" ht="22.5" customHeight="1">
      <c r="B17152" s="42" t="str">
        <f>IFERROR(__xludf.DUMMYFUNCTION("""COMPUTED_VALUE"""),"")</f>
        <v/>
      </c>
      <c r="C17152" s="42" t="str">
        <f>IFERROR(__xludf.DUMMYFUNCTION("""COMPUTED_VALUE"""),"")</f>
        <v/>
      </c>
      <c r="D17152" s="42"/>
      <c r="E17152" s="42"/>
      <c r="F17152" s="48" t="str">
        <f>IFERROR(__xludf.DUMMYFUNCTION("""COMPUTED_VALUE"""),"")</f>
        <v/>
      </c>
      <c r="G17152" s="42" t="str">
        <f>IFERROR(__xludf.DUMMYFUNCTION("""COMPUTED_VALUE"""),"")</f>
        <v/>
      </c>
      <c r="H17152" s="42">
        <f t="shared" si="1"/>
        <v>3345</v>
      </c>
    </row>
    <row r="17153" ht="22.5" customHeight="1">
      <c r="B17153" s="42" t="str">
        <f>IFERROR(__xludf.DUMMYFUNCTION("""COMPUTED_VALUE"""),"")</f>
        <v/>
      </c>
      <c r="C17153" s="42" t="str">
        <f>IFERROR(__xludf.DUMMYFUNCTION("""COMPUTED_VALUE"""),"")</f>
        <v/>
      </c>
      <c r="D17153" s="42"/>
      <c r="E17153" s="42"/>
      <c r="F17153" s="48" t="str">
        <f>IFERROR(__xludf.DUMMYFUNCTION("""COMPUTED_VALUE"""),"")</f>
        <v/>
      </c>
      <c r="G17153" s="42" t="str">
        <f>IFERROR(__xludf.DUMMYFUNCTION("""COMPUTED_VALUE"""),"")</f>
        <v/>
      </c>
      <c r="H17153" s="42">
        <f t="shared" si="1"/>
        <v>3345</v>
      </c>
    </row>
    <row r="17154" ht="22.5" customHeight="1">
      <c r="B17154" s="42" t="str">
        <f>IFERROR(__xludf.DUMMYFUNCTION("""COMPUTED_VALUE"""),"")</f>
        <v/>
      </c>
      <c r="C17154" s="42" t="str">
        <f>IFERROR(__xludf.DUMMYFUNCTION("""COMPUTED_VALUE"""),"")</f>
        <v/>
      </c>
      <c r="D17154" s="42"/>
      <c r="E17154" s="42"/>
      <c r="F17154" s="48" t="str">
        <f>IFERROR(__xludf.DUMMYFUNCTION("""COMPUTED_VALUE"""),"")</f>
        <v/>
      </c>
      <c r="G17154" s="42" t="str">
        <f>IFERROR(__xludf.DUMMYFUNCTION("""COMPUTED_VALUE"""),"")</f>
        <v/>
      </c>
      <c r="H17154" s="42">
        <f t="shared" si="1"/>
        <v>3345</v>
      </c>
    </row>
    <row r="17155" ht="22.5" customHeight="1">
      <c r="B17155" s="42" t="str">
        <f>IFERROR(__xludf.DUMMYFUNCTION("""COMPUTED_VALUE"""),"")</f>
        <v/>
      </c>
      <c r="C17155" s="42" t="str">
        <f>IFERROR(__xludf.DUMMYFUNCTION("""COMPUTED_VALUE"""),"")</f>
        <v/>
      </c>
      <c r="D17155" s="42"/>
      <c r="E17155" s="42"/>
      <c r="F17155" s="48" t="str">
        <f>IFERROR(__xludf.DUMMYFUNCTION("""COMPUTED_VALUE"""),"")</f>
        <v/>
      </c>
      <c r="G17155" s="42" t="str">
        <f>IFERROR(__xludf.DUMMYFUNCTION("""COMPUTED_VALUE"""),"")</f>
        <v/>
      </c>
      <c r="H17155" s="42">
        <f t="shared" si="1"/>
        <v>3345</v>
      </c>
    </row>
    <row r="17156" ht="22.5" customHeight="1">
      <c r="B17156" s="42" t="str">
        <f>IFERROR(__xludf.DUMMYFUNCTION("""COMPUTED_VALUE"""),"")</f>
        <v/>
      </c>
      <c r="C17156" s="42" t="str">
        <f>IFERROR(__xludf.DUMMYFUNCTION("""COMPUTED_VALUE"""),"")</f>
        <v/>
      </c>
      <c r="D17156" s="42"/>
      <c r="E17156" s="42"/>
      <c r="F17156" s="48" t="str">
        <f>IFERROR(__xludf.DUMMYFUNCTION("""COMPUTED_VALUE"""),"")</f>
        <v/>
      </c>
      <c r="G17156" s="42" t="str">
        <f>IFERROR(__xludf.DUMMYFUNCTION("""COMPUTED_VALUE"""),"")</f>
        <v/>
      </c>
      <c r="H17156" s="42">
        <f t="shared" si="1"/>
        <v>3345</v>
      </c>
    </row>
    <row r="17157" ht="22.5" customHeight="1">
      <c r="B17157" s="42" t="str">
        <f>IFERROR(__xludf.DUMMYFUNCTION("""COMPUTED_VALUE"""),"")</f>
        <v/>
      </c>
      <c r="C17157" s="42" t="str">
        <f>IFERROR(__xludf.DUMMYFUNCTION("""COMPUTED_VALUE"""),"")</f>
        <v/>
      </c>
      <c r="D17157" s="42"/>
      <c r="E17157" s="42"/>
      <c r="F17157" s="48" t="str">
        <f>IFERROR(__xludf.DUMMYFUNCTION("""COMPUTED_VALUE"""),"")</f>
        <v/>
      </c>
      <c r="G17157" s="42" t="str">
        <f>IFERROR(__xludf.DUMMYFUNCTION("""COMPUTED_VALUE"""),"")</f>
        <v/>
      </c>
      <c r="H17157" s="42">
        <f t="shared" si="1"/>
        <v>3345</v>
      </c>
    </row>
    <row r="17158" ht="22.5" customHeight="1">
      <c r="B17158" s="42" t="str">
        <f>IFERROR(__xludf.DUMMYFUNCTION("""COMPUTED_VALUE"""),"")</f>
        <v/>
      </c>
      <c r="C17158" s="42" t="str">
        <f>IFERROR(__xludf.DUMMYFUNCTION("""COMPUTED_VALUE"""),"")</f>
        <v/>
      </c>
      <c r="D17158" s="42"/>
      <c r="E17158" s="42"/>
      <c r="F17158" s="48" t="str">
        <f>IFERROR(__xludf.DUMMYFUNCTION("""COMPUTED_VALUE"""),"")</f>
        <v/>
      </c>
      <c r="G17158" s="42" t="str">
        <f>IFERROR(__xludf.DUMMYFUNCTION("""COMPUTED_VALUE"""),"")</f>
        <v/>
      </c>
      <c r="H17158" s="42">
        <f t="shared" si="1"/>
        <v>3345</v>
      </c>
    </row>
    <row r="17159" ht="22.5" customHeight="1">
      <c r="B17159" s="42" t="str">
        <f>IFERROR(__xludf.DUMMYFUNCTION("""COMPUTED_VALUE"""),"")</f>
        <v/>
      </c>
      <c r="C17159" s="42" t="str">
        <f>IFERROR(__xludf.DUMMYFUNCTION("""COMPUTED_VALUE"""),"")</f>
        <v/>
      </c>
      <c r="D17159" s="42"/>
      <c r="E17159" s="42"/>
      <c r="F17159" s="48" t="str">
        <f>IFERROR(__xludf.DUMMYFUNCTION("""COMPUTED_VALUE"""),"")</f>
        <v/>
      </c>
      <c r="G17159" s="42" t="str">
        <f>IFERROR(__xludf.DUMMYFUNCTION("""COMPUTED_VALUE"""),"")</f>
        <v/>
      </c>
      <c r="H17159" s="42">
        <f t="shared" si="1"/>
        <v>3345</v>
      </c>
    </row>
    <row r="17160" ht="22.5" customHeight="1">
      <c r="B17160" s="42" t="str">
        <f>IFERROR(__xludf.DUMMYFUNCTION("""COMPUTED_VALUE"""),"")</f>
        <v/>
      </c>
      <c r="C17160" s="42" t="str">
        <f>IFERROR(__xludf.DUMMYFUNCTION("""COMPUTED_VALUE"""),"")</f>
        <v/>
      </c>
      <c r="D17160" s="42"/>
      <c r="E17160" s="42"/>
      <c r="F17160" s="48" t="str">
        <f>IFERROR(__xludf.DUMMYFUNCTION("""COMPUTED_VALUE"""),"")</f>
        <v/>
      </c>
      <c r="G17160" s="42" t="str">
        <f>IFERROR(__xludf.DUMMYFUNCTION("""COMPUTED_VALUE"""),"")</f>
        <v/>
      </c>
      <c r="H17160" s="42">
        <f t="shared" si="1"/>
        <v>3345</v>
      </c>
    </row>
    <row r="17161" ht="22.5" customHeight="1">
      <c r="B17161" s="42" t="str">
        <f>IFERROR(__xludf.DUMMYFUNCTION("""COMPUTED_VALUE"""),"")</f>
        <v/>
      </c>
      <c r="C17161" s="42" t="str">
        <f>IFERROR(__xludf.DUMMYFUNCTION("""COMPUTED_VALUE"""),"")</f>
        <v/>
      </c>
      <c r="D17161" s="42"/>
      <c r="E17161" s="42"/>
      <c r="F17161" s="48" t="str">
        <f>IFERROR(__xludf.DUMMYFUNCTION("""COMPUTED_VALUE"""),"")</f>
        <v/>
      </c>
      <c r="G17161" s="42" t="str">
        <f>IFERROR(__xludf.DUMMYFUNCTION("""COMPUTED_VALUE"""),"")</f>
        <v/>
      </c>
      <c r="H17161" s="42">
        <f t="shared" si="1"/>
        <v>3345</v>
      </c>
    </row>
    <row r="17162" ht="22.5" customHeight="1">
      <c r="B17162" s="42" t="str">
        <f>IFERROR(__xludf.DUMMYFUNCTION("""COMPUTED_VALUE"""),"")</f>
        <v/>
      </c>
      <c r="C17162" s="42" t="str">
        <f>IFERROR(__xludf.DUMMYFUNCTION("""COMPUTED_VALUE"""),"")</f>
        <v/>
      </c>
      <c r="D17162" s="42"/>
      <c r="E17162" s="42"/>
      <c r="F17162" s="48" t="str">
        <f>IFERROR(__xludf.DUMMYFUNCTION("""COMPUTED_VALUE"""),"")</f>
        <v/>
      </c>
      <c r="G17162" s="42" t="str">
        <f>IFERROR(__xludf.DUMMYFUNCTION("""COMPUTED_VALUE"""),"")</f>
        <v/>
      </c>
      <c r="H17162" s="42">
        <f t="shared" si="1"/>
        <v>3345</v>
      </c>
    </row>
    <row r="17163" ht="22.5" customHeight="1">
      <c r="B17163" s="42" t="str">
        <f>IFERROR(__xludf.DUMMYFUNCTION("""COMPUTED_VALUE"""),"")</f>
        <v/>
      </c>
      <c r="C17163" s="42" t="str">
        <f>IFERROR(__xludf.DUMMYFUNCTION("""COMPUTED_VALUE"""),"")</f>
        <v/>
      </c>
      <c r="D17163" s="42"/>
      <c r="E17163" s="42"/>
      <c r="F17163" s="48" t="str">
        <f>IFERROR(__xludf.DUMMYFUNCTION("""COMPUTED_VALUE"""),"")</f>
        <v/>
      </c>
      <c r="G17163" s="42" t="str">
        <f>IFERROR(__xludf.DUMMYFUNCTION("""COMPUTED_VALUE"""),"")</f>
        <v/>
      </c>
      <c r="H17163" s="42">
        <f t="shared" si="1"/>
        <v>3345</v>
      </c>
    </row>
    <row r="17164" ht="22.5" customHeight="1">
      <c r="B17164" s="42" t="str">
        <f>IFERROR(__xludf.DUMMYFUNCTION("""COMPUTED_VALUE"""),"")</f>
        <v/>
      </c>
      <c r="C17164" s="42" t="str">
        <f>IFERROR(__xludf.DUMMYFUNCTION("""COMPUTED_VALUE"""),"")</f>
        <v/>
      </c>
      <c r="D17164" s="42"/>
      <c r="E17164" s="42"/>
      <c r="F17164" s="48" t="str">
        <f>IFERROR(__xludf.DUMMYFUNCTION("""COMPUTED_VALUE"""),"")</f>
        <v/>
      </c>
      <c r="G17164" s="42" t="str">
        <f>IFERROR(__xludf.DUMMYFUNCTION("""COMPUTED_VALUE"""),"")</f>
        <v/>
      </c>
      <c r="H17164" s="42">
        <f t="shared" si="1"/>
        <v>3345</v>
      </c>
    </row>
    <row r="17165" ht="22.5" customHeight="1">
      <c r="B17165" s="42" t="str">
        <f>IFERROR(__xludf.DUMMYFUNCTION("""COMPUTED_VALUE"""),"")</f>
        <v/>
      </c>
      <c r="C17165" s="42" t="str">
        <f>IFERROR(__xludf.DUMMYFUNCTION("""COMPUTED_VALUE"""),"")</f>
        <v/>
      </c>
      <c r="D17165" s="42"/>
      <c r="E17165" s="42"/>
      <c r="F17165" s="48" t="str">
        <f>IFERROR(__xludf.DUMMYFUNCTION("""COMPUTED_VALUE"""),"")</f>
        <v/>
      </c>
      <c r="G17165" s="42" t="str">
        <f>IFERROR(__xludf.DUMMYFUNCTION("""COMPUTED_VALUE"""),"")</f>
        <v/>
      </c>
      <c r="H17165" s="42">
        <f t="shared" si="1"/>
        <v>3345</v>
      </c>
    </row>
    <row r="17166" ht="22.5" customHeight="1">
      <c r="B17166" s="42" t="str">
        <f>IFERROR(__xludf.DUMMYFUNCTION("""COMPUTED_VALUE"""),"")</f>
        <v/>
      </c>
      <c r="C17166" s="42" t="str">
        <f>IFERROR(__xludf.DUMMYFUNCTION("""COMPUTED_VALUE"""),"")</f>
        <v/>
      </c>
      <c r="D17166" s="42"/>
      <c r="E17166" s="42"/>
      <c r="F17166" s="48" t="str">
        <f>IFERROR(__xludf.DUMMYFUNCTION("""COMPUTED_VALUE"""),"")</f>
        <v/>
      </c>
      <c r="G17166" s="42" t="str">
        <f>IFERROR(__xludf.DUMMYFUNCTION("""COMPUTED_VALUE"""),"")</f>
        <v/>
      </c>
      <c r="H17166" s="42">
        <f t="shared" si="1"/>
        <v>3345</v>
      </c>
    </row>
    <row r="17167" ht="22.5" customHeight="1">
      <c r="B17167" s="42" t="str">
        <f>IFERROR(__xludf.DUMMYFUNCTION("""COMPUTED_VALUE"""),"")</f>
        <v/>
      </c>
      <c r="C17167" s="42" t="str">
        <f>IFERROR(__xludf.DUMMYFUNCTION("""COMPUTED_VALUE"""),"")</f>
        <v/>
      </c>
      <c r="D17167" s="42"/>
      <c r="E17167" s="42"/>
      <c r="F17167" s="48" t="str">
        <f>IFERROR(__xludf.DUMMYFUNCTION("""COMPUTED_VALUE"""),"")</f>
        <v/>
      </c>
      <c r="G17167" s="42" t="str">
        <f>IFERROR(__xludf.DUMMYFUNCTION("""COMPUTED_VALUE"""),"")</f>
        <v/>
      </c>
      <c r="H17167" s="42">
        <f t="shared" si="1"/>
        <v>3345</v>
      </c>
    </row>
    <row r="17168" ht="22.5" customHeight="1">
      <c r="B17168" s="42" t="str">
        <f>IFERROR(__xludf.DUMMYFUNCTION("""COMPUTED_VALUE"""),"")</f>
        <v/>
      </c>
      <c r="C17168" s="42" t="str">
        <f>IFERROR(__xludf.DUMMYFUNCTION("""COMPUTED_VALUE"""),"")</f>
        <v/>
      </c>
      <c r="D17168" s="42"/>
      <c r="E17168" s="42"/>
      <c r="F17168" s="48" t="str">
        <f>IFERROR(__xludf.DUMMYFUNCTION("""COMPUTED_VALUE"""),"")</f>
        <v/>
      </c>
      <c r="G17168" s="42" t="str">
        <f>IFERROR(__xludf.DUMMYFUNCTION("""COMPUTED_VALUE"""),"")</f>
        <v/>
      </c>
      <c r="H17168" s="42">
        <f t="shared" si="1"/>
        <v>3345</v>
      </c>
    </row>
    <row r="17169" ht="22.5" customHeight="1">
      <c r="B17169" s="42" t="str">
        <f>IFERROR(__xludf.DUMMYFUNCTION("""COMPUTED_VALUE"""),"")</f>
        <v/>
      </c>
      <c r="C17169" s="42" t="str">
        <f>IFERROR(__xludf.DUMMYFUNCTION("""COMPUTED_VALUE"""),"")</f>
        <v/>
      </c>
      <c r="D17169" s="42"/>
      <c r="E17169" s="42"/>
      <c r="F17169" s="48" t="str">
        <f>IFERROR(__xludf.DUMMYFUNCTION("""COMPUTED_VALUE"""),"")</f>
        <v/>
      </c>
      <c r="G17169" s="42" t="str">
        <f>IFERROR(__xludf.DUMMYFUNCTION("""COMPUTED_VALUE"""),"")</f>
        <v/>
      </c>
      <c r="H17169" s="42">
        <f t="shared" si="1"/>
        <v>3345</v>
      </c>
    </row>
    <row r="17170" ht="22.5" customHeight="1">
      <c r="B17170" s="42" t="str">
        <f>IFERROR(__xludf.DUMMYFUNCTION("""COMPUTED_VALUE"""),"")</f>
        <v/>
      </c>
      <c r="C17170" s="42" t="str">
        <f>IFERROR(__xludf.DUMMYFUNCTION("""COMPUTED_VALUE"""),"")</f>
        <v/>
      </c>
      <c r="D17170" s="42"/>
      <c r="E17170" s="42"/>
      <c r="F17170" s="48" t="str">
        <f>IFERROR(__xludf.DUMMYFUNCTION("""COMPUTED_VALUE"""),"")</f>
        <v/>
      </c>
      <c r="G17170" s="42" t="str">
        <f>IFERROR(__xludf.DUMMYFUNCTION("""COMPUTED_VALUE"""),"")</f>
        <v/>
      </c>
      <c r="H17170" s="42">
        <f t="shared" si="1"/>
        <v>3345</v>
      </c>
    </row>
    <row r="17171" ht="22.5" customHeight="1">
      <c r="B17171" s="42" t="str">
        <f>IFERROR(__xludf.DUMMYFUNCTION("""COMPUTED_VALUE"""),"")</f>
        <v/>
      </c>
      <c r="C17171" s="42" t="str">
        <f>IFERROR(__xludf.DUMMYFUNCTION("""COMPUTED_VALUE"""),"")</f>
        <v/>
      </c>
      <c r="D17171" s="42"/>
      <c r="E17171" s="42"/>
      <c r="F17171" s="48" t="str">
        <f>IFERROR(__xludf.DUMMYFUNCTION("""COMPUTED_VALUE"""),"")</f>
        <v/>
      </c>
      <c r="G17171" s="42" t="str">
        <f>IFERROR(__xludf.DUMMYFUNCTION("""COMPUTED_VALUE"""),"")</f>
        <v/>
      </c>
      <c r="H17171" s="42">
        <f t="shared" si="1"/>
        <v>3345</v>
      </c>
    </row>
    <row r="17172" ht="22.5" customHeight="1">
      <c r="B17172" s="42" t="str">
        <f>IFERROR(__xludf.DUMMYFUNCTION("""COMPUTED_VALUE"""),"")</f>
        <v/>
      </c>
      <c r="C17172" s="42" t="str">
        <f>IFERROR(__xludf.DUMMYFUNCTION("""COMPUTED_VALUE"""),"")</f>
        <v/>
      </c>
      <c r="D17172" s="42"/>
      <c r="E17172" s="42"/>
      <c r="F17172" s="48" t="str">
        <f>IFERROR(__xludf.DUMMYFUNCTION("""COMPUTED_VALUE"""),"")</f>
        <v/>
      </c>
      <c r="G17172" s="42" t="str">
        <f>IFERROR(__xludf.DUMMYFUNCTION("""COMPUTED_VALUE"""),"")</f>
        <v/>
      </c>
      <c r="H17172" s="42">
        <f t="shared" si="1"/>
        <v>3345</v>
      </c>
    </row>
    <row r="17173" ht="22.5" customHeight="1">
      <c r="B17173" s="42" t="str">
        <f>IFERROR(__xludf.DUMMYFUNCTION("""COMPUTED_VALUE"""),"")</f>
        <v/>
      </c>
      <c r="C17173" s="42" t="str">
        <f>IFERROR(__xludf.DUMMYFUNCTION("""COMPUTED_VALUE"""),"")</f>
        <v/>
      </c>
      <c r="D17173" s="42"/>
      <c r="E17173" s="42"/>
      <c r="F17173" s="48" t="str">
        <f>IFERROR(__xludf.DUMMYFUNCTION("""COMPUTED_VALUE"""),"")</f>
        <v/>
      </c>
      <c r="G17173" s="42" t="str">
        <f>IFERROR(__xludf.DUMMYFUNCTION("""COMPUTED_VALUE"""),"")</f>
        <v/>
      </c>
      <c r="H17173" s="42">
        <f t="shared" si="1"/>
        <v>3345</v>
      </c>
    </row>
    <row r="17174" ht="22.5" customHeight="1">
      <c r="B17174" s="42" t="str">
        <f>IFERROR(__xludf.DUMMYFUNCTION("""COMPUTED_VALUE"""),"")</f>
        <v/>
      </c>
      <c r="C17174" s="42" t="str">
        <f>IFERROR(__xludf.DUMMYFUNCTION("""COMPUTED_VALUE"""),"")</f>
        <v/>
      </c>
      <c r="D17174" s="42"/>
      <c r="E17174" s="42"/>
      <c r="F17174" s="48" t="str">
        <f>IFERROR(__xludf.DUMMYFUNCTION("""COMPUTED_VALUE"""),"")</f>
        <v/>
      </c>
      <c r="G17174" s="42" t="str">
        <f>IFERROR(__xludf.DUMMYFUNCTION("""COMPUTED_VALUE"""),"")</f>
        <v/>
      </c>
      <c r="H17174" s="42">
        <f t="shared" si="1"/>
        <v>3345</v>
      </c>
    </row>
    <row r="17175" ht="22.5" customHeight="1">
      <c r="B17175" s="42" t="str">
        <f>IFERROR(__xludf.DUMMYFUNCTION("""COMPUTED_VALUE"""),"")</f>
        <v/>
      </c>
      <c r="C17175" s="42" t="str">
        <f>IFERROR(__xludf.DUMMYFUNCTION("""COMPUTED_VALUE"""),"")</f>
        <v/>
      </c>
      <c r="D17175" s="42"/>
      <c r="E17175" s="42"/>
      <c r="F17175" s="48" t="str">
        <f>IFERROR(__xludf.DUMMYFUNCTION("""COMPUTED_VALUE"""),"")</f>
        <v/>
      </c>
      <c r="G17175" s="42" t="str">
        <f>IFERROR(__xludf.DUMMYFUNCTION("""COMPUTED_VALUE"""),"")</f>
        <v/>
      </c>
      <c r="H17175" s="42">
        <f t="shared" si="1"/>
        <v>3345</v>
      </c>
    </row>
    <row r="17176" ht="22.5" customHeight="1">
      <c r="B17176" s="42" t="str">
        <f>IFERROR(__xludf.DUMMYFUNCTION("""COMPUTED_VALUE"""),"")</f>
        <v/>
      </c>
      <c r="C17176" s="42" t="str">
        <f>IFERROR(__xludf.DUMMYFUNCTION("""COMPUTED_VALUE"""),"")</f>
        <v/>
      </c>
      <c r="D17176" s="42"/>
      <c r="E17176" s="42"/>
      <c r="F17176" s="48" t="str">
        <f>IFERROR(__xludf.DUMMYFUNCTION("""COMPUTED_VALUE"""),"")</f>
        <v/>
      </c>
      <c r="G17176" s="42" t="str">
        <f>IFERROR(__xludf.DUMMYFUNCTION("""COMPUTED_VALUE"""),"")</f>
        <v/>
      </c>
      <c r="H17176" s="42">
        <f t="shared" si="1"/>
        <v>3345</v>
      </c>
    </row>
    <row r="17177" ht="22.5" customHeight="1">
      <c r="B17177" s="42" t="str">
        <f>IFERROR(__xludf.DUMMYFUNCTION("""COMPUTED_VALUE"""),"")</f>
        <v/>
      </c>
      <c r="C17177" s="42" t="str">
        <f>IFERROR(__xludf.DUMMYFUNCTION("""COMPUTED_VALUE"""),"")</f>
        <v/>
      </c>
      <c r="D17177" s="42"/>
      <c r="E17177" s="42"/>
      <c r="F17177" s="48" t="str">
        <f>IFERROR(__xludf.DUMMYFUNCTION("""COMPUTED_VALUE"""),"")</f>
        <v/>
      </c>
      <c r="G17177" s="42" t="str">
        <f>IFERROR(__xludf.DUMMYFUNCTION("""COMPUTED_VALUE"""),"")</f>
        <v/>
      </c>
      <c r="H17177" s="42">
        <f t="shared" si="1"/>
        <v>3345</v>
      </c>
    </row>
    <row r="17178" ht="22.5" customHeight="1">
      <c r="B17178" s="42" t="str">
        <f>IFERROR(__xludf.DUMMYFUNCTION("""COMPUTED_VALUE"""),"")</f>
        <v/>
      </c>
      <c r="C17178" s="42" t="str">
        <f>IFERROR(__xludf.DUMMYFUNCTION("""COMPUTED_VALUE"""),"")</f>
        <v/>
      </c>
      <c r="D17178" s="42"/>
      <c r="E17178" s="42"/>
      <c r="F17178" s="48" t="str">
        <f>IFERROR(__xludf.DUMMYFUNCTION("""COMPUTED_VALUE"""),"")</f>
        <v/>
      </c>
      <c r="G17178" s="42" t="str">
        <f>IFERROR(__xludf.DUMMYFUNCTION("""COMPUTED_VALUE"""),"")</f>
        <v/>
      </c>
      <c r="H17178" s="42">
        <f t="shared" si="1"/>
        <v>3345</v>
      </c>
    </row>
    <row r="17179" ht="22.5" customHeight="1">
      <c r="B17179" s="42" t="str">
        <f>IFERROR(__xludf.DUMMYFUNCTION("""COMPUTED_VALUE"""),"")</f>
        <v/>
      </c>
      <c r="C17179" s="42" t="str">
        <f>IFERROR(__xludf.DUMMYFUNCTION("""COMPUTED_VALUE"""),"")</f>
        <v/>
      </c>
      <c r="D17179" s="42"/>
      <c r="E17179" s="42"/>
      <c r="F17179" s="48" t="str">
        <f>IFERROR(__xludf.DUMMYFUNCTION("""COMPUTED_VALUE"""),"")</f>
        <v/>
      </c>
      <c r="G17179" s="42" t="str">
        <f>IFERROR(__xludf.DUMMYFUNCTION("""COMPUTED_VALUE"""),"")</f>
        <v/>
      </c>
      <c r="H17179" s="42">
        <f t="shared" si="1"/>
        <v>3345</v>
      </c>
    </row>
    <row r="17180" ht="22.5" customHeight="1">
      <c r="B17180" s="42" t="str">
        <f>IFERROR(__xludf.DUMMYFUNCTION("""COMPUTED_VALUE"""),"")</f>
        <v/>
      </c>
      <c r="C17180" s="42" t="str">
        <f>IFERROR(__xludf.DUMMYFUNCTION("""COMPUTED_VALUE"""),"")</f>
        <v/>
      </c>
      <c r="D17180" s="42"/>
      <c r="E17180" s="42"/>
      <c r="F17180" s="48" t="str">
        <f>IFERROR(__xludf.DUMMYFUNCTION("""COMPUTED_VALUE"""),"")</f>
        <v/>
      </c>
      <c r="G17180" s="42" t="str">
        <f>IFERROR(__xludf.DUMMYFUNCTION("""COMPUTED_VALUE"""),"")</f>
        <v/>
      </c>
      <c r="H17180" s="42">
        <f t="shared" si="1"/>
        <v>3345</v>
      </c>
    </row>
    <row r="17181" ht="22.5" customHeight="1">
      <c r="B17181" s="42" t="str">
        <f>IFERROR(__xludf.DUMMYFUNCTION("""COMPUTED_VALUE"""),"")</f>
        <v/>
      </c>
      <c r="C17181" s="42" t="str">
        <f>IFERROR(__xludf.DUMMYFUNCTION("""COMPUTED_VALUE"""),"")</f>
        <v/>
      </c>
      <c r="D17181" s="42"/>
      <c r="E17181" s="42"/>
      <c r="F17181" s="48" t="str">
        <f>IFERROR(__xludf.DUMMYFUNCTION("""COMPUTED_VALUE"""),"")</f>
        <v/>
      </c>
      <c r="G17181" s="42" t="str">
        <f>IFERROR(__xludf.DUMMYFUNCTION("""COMPUTED_VALUE"""),"")</f>
        <v/>
      </c>
      <c r="H17181" s="42">
        <f t="shared" si="1"/>
        <v>3345</v>
      </c>
    </row>
    <row r="17182" ht="22.5" customHeight="1">
      <c r="B17182" s="42" t="str">
        <f>IFERROR(__xludf.DUMMYFUNCTION("""COMPUTED_VALUE"""),"")</f>
        <v/>
      </c>
      <c r="C17182" s="42" t="str">
        <f>IFERROR(__xludf.DUMMYFUNCTION("""COMPUTED_VALUE"""),"")</f>
        <v/>
      </c>
      <c r="D17182" s="42"/>
      <c r="E17182" s="42"/>
      <c r="F17182" s="48" t="str">
        <f>IFERROR(__xludf.DUMMYFUNCTION("""COMPUTED_VALUE"""),"")</f>
        <v/>
      </c>
      <c r="G17182" s="42" t="str">
        <f>IFERROR(__xludf.DUMMYFUNCTION("""COMPUTED_VALUE"""),"")</f>
        <v/>
      </c>
      <c r="H17182" s="42">
        <f t="shared" si="1"/>
        <v>3345</v>
      </c>
    </row>
    <row r="17183" ht="22.5" customHeight="1">
      <c r="B17183" s="42" t="str">
        <f>IFERROR(__xludf.DUMMYFUNCTION("""COMPUTED_VALUE"""),"")</f>
        <v/>
      </c>
      <c r="C17183" s="42" t="str">
        <f>IFERROR(__xludf.DUMMYFUNCTION("""COMPUTED_VALUE"""),"")</f>
        <v/>
      </c>
      <c r="D17183" s="42"/>
      <c r="E17183" s="42"/>
      <c r="F17183" s="48" t="str">
        <f>IFERROR(__xludf.DUMMYFUNCTION("""COMPUTED_VALUE"""),"")</f>
        <v/>
      </c>
      <c r="G17183" s="42" t="str">
        <f>IFERROR(__xludf.DUMMYFUNCTION("""COMPUTED_VALUE"""),"")</f>
        <v/>
      </c>
      <c r="H17183" s="42">
        <f t="shared" si="1"/>
        <v>3345</v>
      </c>
    </row>
    <row r="17184" ht="22.5" customHeight="1">
      <c r="B17184" s="42" t="str">
        <f>IFERROR(__xludf.DUMMYFUNCTION("""COMPUTED_VALUE"""),"")</f>
        <v/>
      </c>
      <c r="C17184" s="42" t="str">
        <f>IFERROR(__xludf.DUMMYFUNCTION("""COMPUTED_VALUE"""),"")</f>
        <v/>
      </c>
      <c r="D17184" s="42"/>
      <c r="E17184" s="42"/>
      <c r="F17184" s="48" t="str">
        <f>IFERROR(__xludf.DUMMYFUNCTION("""COMPUTED_VALUE"""),"")</f>
        <v/>
      </c>
      <c r="G17184" s="42" t="str">
        <f>IFERROR(__xludf.DUMMYFUNCTION("""COMPUTED_VALUE"""),"")</f>
        <v/>
      </c>
      <c r="H17184" s="42">
        <f t="shared" si="1"/>
        <v>3345</v>
      </c>
    </row>
    <row r="17185" ht="22.5" customHeight="1">
      <c r="B17185" s="42" t="str">
        <f>IFERROR(__xludf.DUMMYFUNCTION("""COMPUTED_VALUE"""),"")</f>
        <v/>
      </c>
      <c r="C17185" s="42" t="str">
        <f>IFERROR(__xludf.DUMMYFUNCTION("""COMPUTED_VALUE"""),"")</f>
        <v/>
      </c>
      <c r="D17185" s="42"/>
      <c r="E17185" s="42"/>
      <c r="F17185" s="48" t="str">
        <f>IFERROR(__xludf.DUMMYFUNCTION("""COMPUTED_VALUE"""),"")</f>
        <v/>
      </c>
      <c r="G17185" s="42" t="str">
        <f>IFERROR(__xludf.DUMMYFUNCTION("""COMPUTED_VALUE"""),"")</f>
        <v/>
      </c>
      <c r="H17185" s="42">
        <f t="shared" si="1"/>
        <v>3345</v>
      </c>
    </row>
    <row r="17186" ht="22.5" customHeight="1">
      <c r="B17186" s="42" t="str">
        <f>IFERROR(__xludf.DUMMYFUNCTION("""COMPUTED_VALUE"""),"")</f>
        <v/>
      </c>
      <c r="C17186" s="42" t="str">
        <f>IFERROR(__xludf.DUMMYFUNCTION("""COMPUTED_VALUE"""),"")</f>
        <v/>
      </c>
      <c r="D17186" s="42"/>
      <c r="E17186" s="42"/>
      <c r="F17186" s="48" t="str">
        <f>IFERROR(__xludf.DUMMYFUNCTION("""COMPUTED_VALUE"""),"")</f>
        <v/>
      </c>
      <c r="G17186" s="42" t="str">
        <f>IFERROR(__xludf.DUMMYFUNCTION("""COMPUTED_VALUE"""),"")</f>
        <v/>
      </c>
      <c r="H17186" s="42">
        <f t="shared" si="1"/>
        <v>3345</v>
      </c>
    </row>
    <row r="17187" ht="22.5" customHeight="1">
      <c r="B17187" s="42" t="str">
        <f>IFERROR(__xludf.DUMMYFUNCTION("""COMPUTED_VALUE"""),"")</f>
        <v/>
      </c>
      <c r="C17187" s="42" t="str">
        <f>IFERROR(__xludf.DUMMYFUNCTION("""COMPUTED_VALUE"""),"")</f>
        <v/>
      </c>
      <c r="D17187" s="42"/>
      <c r="E17187" s="42"/>
      <c r="F17187" s="48" t="str">
        <f>IFERROR(__xludf.DUMMYFUNCTION("""COMPUTED_VALUE"""),"")</f>
        <v/>
      </c>
      <c r="G17187" s="42" t="str">
        <f>IFERROR(__xludf.DUMMYFUNCTION("""COMPUTED_VALUE"""),"")</f>
        <v/>
      </c>
      <c r="H17187" s="42">
        <f t="shared" si="1"/>
        <v>3345</v>
      </c>
    </row>
    <row r="17188" ht="22.5" customHeight="1">
      <c r="B17188" s="42" t="str">
        <f>IFERROR(__xludf.DUMMYFUNCTION("""COMPUTED_VALUE"""),"")</f>
        <v/>
      </c>
      <c r="C17188" s="42" t="str">
        <f>IFERROR(__xludf.DUMMYFUNCTION("""COMPUTED_VALUE"""),"")</f>
        <v/>
      </c>
      <c r="D17188" s="42"/>
      <c r="E17188" s="42"/>
      <c r="F17188" s="48" t="str">
        <f>IFERROR(__xludf.DUMMYFUNCTION("""COMPUTED_VALUE"""),"")</f>
        <v/>
      </c>
      <c r="G17188" s="42" t="str">
        <f>IFERROR(__xludf.DUMMYFUNCTION("""COMPUTED_VALUE"""),"")</f>
        <v/>
      </c>
      <c r="H17188" s="42">
        <f t="shared" si="1"/>
        <v>3345</v>
      </c>
    </row>
    <row r="17189" ht="22.5" customHeight="1">
      <c r="B17189" s="42" t="str">
        <f>IFERROR(__xludf.DUMMYFUNCTION("""COMPUTED_VALUE"""),"")</f>
        <v/>
      </c>
      <c r="C17189" s="42" t="str">
        <f>IFERROR(__xludf.DUMMYFUNCTION("""COMPUTED_VALUE"""),"")</f>
        <v/>
      </c>
      <c r="D17189" s="42"/>
      <c r="E17189" s="42"/>
      <c r="F17189" s="48" t="str">
        <f>IFERROR(__xludf.DUMMYFUNCTION("""COMPUTED_VALUE"""),"")</f>
        <v/>
      </c>
      <c r="G17189" s="42" t="str">
        <f>IFERROR(__xludf.DUMMYFUNCTION("""COMPUTED_VALUE"""),"")</f>
        <v/>
      </c>
      <c r="H17189" s="42">
        <f t="shared" si="1"/>
        <v>3345</v>
      </c>
    </row>
    <row r="17190" ht="22.5" customHeight="1">
      <c r="B17190" s="42" t="str">
        <f>IFERROR(__xludf.DUMMYFUNCTION("""COMPUTED_VALUE"""),"")</f>
        <v/>
      </c>
      <c r="C17190" s="42" t="str">
        <f>IFERROR(__xludf.DUMMYFUNCTION("""COMPUTED_VALUE"""),"")</f>
        <v/>
      </c>
      <c r="D17190" s="42"/>
      <c r="E17190" s="42"/>
      <c r="F17190" s="48" t="str">
        <f>IFERROR(__xludf.DUMMYFUNCTION("""COMPUTED_VALUE"""),"")</f>
        <v/>
      </c>
      <c r="G17190" s="42" t="str">
        <f>IFERROR(__xludf.DUMMYFUNCTION("""COMPUTED_VALUE"""),"")</f>
        <v/>
      </c>
      <c r="H17190" s="42">
        <f t="shared" si="1"/>
        <v>3345</v>
      </c>
    </row>
    <row r="17191" ht="22.5" customHeight="1">
      <c r="B17191" s="42" t="str">
        <f>IFERROR(__xludf.DUMMYFUNCTION("""COMPUTED_VALUE"""),"")</f>
        <v/>
      </c>
      <c r="C17191" s="42" t="str">
        <f>IFERROR(__xludf.DUMMYFUNCTION("""COMPUTED_VALUE"""),"")</f>
        <v/>
      </c>
      <c r="D17191" s="42"/>
      <c r="E17191" s="42"/>
      <c r="F17191" s="48" t="str">
        <f>IFERROR(__xludf.DUMMYFUNCTION("""COMPUTED_VALUE"""),"")</f>
        <v/>
      </c>
      <c r="G17191" s="42" t="str">
        <f>IFERROR(__xludf.DUMMYFUNCTION("""COMPUTED_VALUE"""),"")</f>
        <v/>
      </c>
      <c r="H17191" s="42">
        <f t="shared" si="1"/>
        <v>3345</v>
      </c>
    </row>
    <row r="17192" ht="22.5" customHeight="1">
      <c r="B17192" s="42" t="str">
        <f>IFERROR(__xludf.DUMMYFUNCTION("""COMPUTED_VALUE"""),"")</f>
        <v/>
      </c>
      <c r="C17192" s="42" t="str">
        <f>IFERROR(__xludf.DUMMYFUNCTION("""COMPUTED_VALUE"""),"")</f>
        <v/>
      </c>
      <c r="D17192" s="42"/>
      <c r="E17192" s="42"/>
      <c r="F17192" s="48" t="str">
        <f>IFERROR(__xludf.DUMMYFUNCTION("""COMPUTED_VALUE"""),"")</f>
        <v/>
      </c>
      <c r="G17192" s="42" t="str">
        <f>IFERROR(__xludf.DUMMYFUNCTION("""COMPUTED_VALUE"""),"")</f>
        <v/>
      </c>
      <c r="H17192" s="42">
        <f t="shared" si="1"/>
        <v>3345</v>
      </c>
    </row>
    <row r="17193" ht="22.5" customHeight="1">
      <c r="B17193" s="42" t="str">
        <f>IFERROR(__xludf.DUMMYFUNCTION("""COMPUTED_VALUE"""),"")</f>
        <v/>
      </c>
      <c r="C17193" s="42" t="str">
        <f>IFERROR(__xludf.DUMMYFUNCTION("""COMPUTED_VALUE"""),"")</f>
        <v/>
      </c>
      <c r="D17193" s="42"/>
      <c r="E17193" s="42"/>
      <c r="F17193" s="48" t="str">
        <f>IFERROR(__xludf.DUMMYFUNCTION("""COMPUTED_VALUE"""),"")</f>
        <v/>
      </c>
      <c r="G17193" s="42" t="str">
        <f>IFERROR(__xludf.DUMMYFUNCTION("""COMPUTED_VALUE"""),"")</f>
        <v/>
      </c>
      <c r="H17193" s="42">
        <f t="shared" si="1"/>
        <v>3345</v>
      </c>
    </row>
    <row r="17194" ht="22.5" customHeight="1">
      <c r="B17194" s="42" t="str">
        <f>IFERROR(__xludf.DUMMYFUNCTION("""COMPUTED_VALUE"""),"")</f>
        <v/>
      </c>
      <c r="C17194" s="42" t="str">
        <f>IFERROR(__xludf.DUMMYFUNCTION("""COMPUTED_VALUE"""),"")</f>
        <v/>
      </c>
      <c r="D17194" s="42"/>
      <c r="E17194" s="42"/>
      <c r="F17194" s="48" t="str">
        <f>IFERROR(__xludf.DUMMYFUNCTION("""COMPUTED_VALUE"""),"")</f>
        <v/>
      </c>
      <c r="G17194" s="42" t="str">
        <f>IFERROR(__xludf.DUMMYFUNCTION("""COMPUTED_VALUE"""),"")</f>
        <v/>
      </c>
      <c r="H17194" s="42">
        <f t="shared" si="1"/>
        <v>3345</v>
      </c>
    </row>
    <row r="17195" ht="22.5" customHeight="1">
      <c r="B17195" s="42" t="str">
        <f>IFERROR(__xludf.DUMMYFUNCTION("""COMPUTED_VALUE"""),"")</f>
        <v/>
      </c>
      <c r="C17195" s="42" t="str">
        <f>IFERROR(__xludf.DUMMYFUNCTION("""COMPUTED_VALUE"""),"")</f>
        <v/>
      </c>
      <c r="D17195" s="42"/>
      <c r="E17195" s="42"/>
      <c r="F17195" s="48" t="str">
        <f>IFERROR(__xludf.DUMMYFUNCTION("""COMPUTED_VALUE"""),"")</f>
        <v/>
      </c>
      <c r="G17195" s="42" t="str">
        <f>IFERROR(__xludf.DUMMYFUNCTION("""COMPUTED_VALUE"""),"")</f>
        <v/>
      </c>
      <c r="H17195" s="42">
        <f t="shared" si="1"/>
        <v>3345</v>
      </c>
    </row>
    <row r="17196" ht="22.5" customHeight="1">
      <c r="B17196" s="42" t="str">
        <f>IFERROR(__xludf.DUMMYFUNCTION("""COMPUTED_VALUE"""),"")</f>
        <v/>
      </c>
      <c r="C17196" s="42" t="str">
        <f>IFERROR(__xludf.DUMMYFUNCTION("""COMPUTED_VALUE"""),"")</f>
        <v/>
      </c>
      <c r="D17196" s="42"/>
      <c r="E17196" s="42"/>
      <c r="F17196" s="48" t="str">
        <f>IFERROR(__xludf.DUMMYFUNCTION("""COMPUTED_VALUE"""),"")</f>
        <v/>
      </c>
      <c r="G17196" s="42" t="str">
        <f>IFERROR(__xludf.DUMMYFUNCTION("""COMPUTED_VALUE"""),"")</f>
        <v/>
      </c>
      <c r="H17196" s="42">
        <f t="shared" si="1"/>
        <v>3345</v>
      </c>
    </row>
    <row r="17197" ht="22.5" customHeight="1">
      <c r="B17197" s="42" t="str">
        <f>IFERROR(__xludf.DUMMYFUNCTION("""COMPUTED_VALUE"""),"")</f>
        <v/>
      </c>
      <c r="C17197" s="42" t="str">
        <f>IFERROR(__xludf.DUMMYFUNCTION("""COMPUTED_VALUE"""),"")</f>
        <v/>
      </c>
      <c r="D17197" s="42"/>
      <c r="E17197" s="42"/>
      <c r="F17197" s="48" t="str">
        <f>IFERROR(__xludf.DUMMYFUNCTION("""COMPUTED_VALUE"""),"")</f>
        <v/>
      </c>
      <c r="G17197" s="42" t="str">
        <f>IFERROR(__xludf.DUMMYFUNCTION("""COMPUTED_VALUE"""),"")</f>
        <v/>
      </c>
      <c r="H17197" s="42">
        <f t="shared" si="1"/>
        <v>3345</v>
      </c>
    </row>
    <row r="17198" ht="22.5" customHeight="1">
      <c r="B17198" s="42" t="str">
        <f>IFERROR(__xludf.DUMMYFUNCTION("""COMPUTED_VALUE"""),"")</f>
        <v/>
      </c>
      <c r="C17198" s="42" t="str">
        <f>IFERROR(__xludf.DUMMYFUNCTION("""COMPUTED_VALUE"""),"")</f>
        <v/>
      </c>
      <c r="D17198" s="42"/>
      <c r="E17198" s="42"/>
      <c r="F17198" s="48" t="str">
        <f>IFERROR(__xludf.DUMMYFUNCTION("""COMPUTED_VALUE"""),"")</f>
        <v/>
      </c>
      <c r="G17198" s="42" t="str">
        <f>IFERROR(__xludf.DUMMYFUNCTION("""COMPUTED_VALUE"""),"")</f>
        <v/>
      </c>
      <c r="H17198" s="42">
        <f t="shared" si="1"/>
        <v>3345</v>
      </c>
    </row>
    <row r="17199" ht="22.5" customHeight="1">
      <c r="B17199" s="42" t="str">
        <f>IFERROR(__xludf.DUMMYFUNCTION("""COMPUTED_VALUE"""),"")</f>
        <v/>
      </c>
      <c r="C17199" s="42" t="str">
        <f>IFERROR(__xludf.DUMMYFUNCTION("""COMPUTED_VALUE"""),"")</f>
        <v/>
      </c>
      <c r="D17199" s="42"/>
      <c r="E17199" s="42"/>
      <c r="F17199" s="48" t="str">
        <f>IFERROR(__xludf.DUMMYFUNCTION("""COMPUTED_VALUE"""),"")</f>
        <v/>
      </c>
      <c r="G17199" s="42" t="str">
        <f>IFERROR(__xludf.DUMMYFUNCTION("""COMPUTED_VALUE"""),"")</f>
        <v/>
      </c>
      <c r="H17199" s="42">
        <f t="shared" si="1"/>
        <v>3345</v>
      </c>
    </row>
    <row r="17200" ht="22.5" customHeight="1">
      <c r="B17200" s="42" t="str">
        <f>IFERROR(__xludf.DUMMYFUNCTION("""COMPUTED_VALUE"""),"")</f>
        <v/>
      </c>
      <c r="C17200" s="42" t="str">
        <f>IFERROR(__xludf.DUMMYFUNCTION("""COMPUTED_VALUE"""),"")</f>
        <v/>
      </c>
      <c r="D17200" s="42"/>
      <c r="E17200" s="42"/>
      <c r="F17200" s="48" t="str">
        <f>IFERROR(__xludf.DUMMYFUNCTION("""COMPUTED_VALUE"""),"")</f>
        <v/>
      </c>
      <c r="G17200" s="42" t="str">
        <f>IFERROR(__xludf.DUMMYFUNCTION("""COMPUTED_VALUE"""),"")</f>
        <v/>
      </c>
      <c r="H17200" s="42">
        <f t="shared" si="1"/>
        <v>3345</v>
      </c>
    </row>
    <row r="17201" ht="22.5" customHeight="1">
      <c r="B17201" s="42" t="str">
        <f>IFERROR(__xludf.DUMMYFUNCTION("""COMPUTED_VALUE"""),"")</f>
        <v/>
      </c>
      <c r="C17201" s="42" t="str">
        <f>IFERROR(__xludf.DUMMYFUNCTION("""COMPUTED_VALUE"""),"")</f>
        <v/>
      </c>
      <c r="D17201" s="42"/>
      <c r="E17201" s="42"/>
      <c r="F17201" s="48" t="str">
        <f>IFERROR(__xludf.DUMMYFUNCTION("""COMPUTED_VALUE"""),"")</f>
        <v/>
      </c>
      <c r="G17201" s="42" t="str">
        <f>IFERROR(__xludf.DUMMYFUNCTION("""COMPUTED_VALUE"""),"")</f>
        <v/>
      </c>
      <c r="H17201" s="42">
        <f t="shared" si="1"/>
        <v>3345</v>
      </c>
    </row>
    <row r="17202" ht="22.5" customHeight="1">
      <c r="B17202" s="42" t="str">
        <f>IFERROR(__xludf.DUMMYFUNCTION("""COMPUTED_VALUE"""),"")</f>
        <v/>
      </c>
      <c r="C17202" s="42" t="str">
        <f>IFERROR(__xludf.DUMMYFUNCTION("""COMPUTED_VALUE"""),"")</f>
        <v/>
      </c>
      <c r="D17202" s="42"/>
      <c r="E17202" s="42"/>
      <c r="F17202" s="48" t="str">
        <f>IFERROR(__xludf.DUMMYFUNCTION("""COMPUTED_VALUE"""),"")</f>
        <v/>
      </c>
      <c r="G17202" s="42" t="str">
        <f>IFERROR(__xludf.DUMMYFUNCTION("""COMPUTED_VALUE"""),"")</f>
        <v/>
      </c>
      <c r="H17202" s="42">
        <f t="shared" si="1"/>
        <v>3345</v>
      </c>
    </row>
    <row r="17203" ht="22.5" customHeight="1">
      <c r="B17203" s="42" t="str">
        <f>IFERROR(__xludf.DUMMYFUNCTION("""COMPUTED_VALUE"""),"")</f>
        <v/>
      </c>
      <c r="C17203" s="42" t="str">
        <f>IFERROR(__xludf.DUMMYFUNCTION("""COMPUTED_VALUE"""),"")</f>
        <v/>
      </c>
      <c r="D17203" s="42"/>
      <c r="E17203" s="42"/>
      <c r="F17203" s="48" t="str">
        <f>IFERROR(__xludf.DUMMYFUNCTION("""COMPUTED_VALUE"""),"")</f>
        <v/>
      </c>
      <c r="G17203" s="42" t="str">
        <f>IFERROR(__xludf.DUMMYFUNCTION("""COMPUTED_VALUE"""),"")</f>
        <v/>
      </c>
      <c r="H17203" s="42">
        <f t="shared" si="1"/>
        <v>3345</v>
      </c>
    </row>
    <row r="17204" ht="22.5" customHeight="1">
      <c r="B17204" s="42" t="str">
        <f>IFERROR(__xludf.DUMMYFUNCTION("""COMPUTED_VALUE"""),"")</f>
        <v/>
      </c>
      <c r="C17204" s="42" t="str">
        <f>IFERROR(__xludf.DUMMYFUNCTION("""COMPUTED_VALUE"""),"")</f>
        <v/>
      </c>
      <c r="D17204" s="42"/>
      <c r="E17204" s="42"/>
      <c r="F17204" s="48" t="str">
        <f>IFERROR(__xludf.DUMMYFUNCTION("""COMPUTED_VALUE"""),"")</f>
        <v/>
      </c>
      <c r="G17204" s="42" t="str">
        <f>IFERROR(__xludf.DUMMYFUNCTION("""COMPUTED_VALUE"""),"")</f>
        <v/>
      </c>
      <c r="H17204" s="42">
        <f t="shared" si="1"/>
        <v>3345</v>
      </c>
    </row>
    <row r="17205" ht="22.5" customHeight="1">
      <c r="B17205" s="42" t="str">
        <f>IFERROR(__xludf.DUMMYFUNCTION("""COMPUTED_VALUE"""),"")</f>
        <v/>
      </c>
      <c r="C17205" s="42" t="str">
        <f>IFERROR(__xludf.DUMMYFUNCTION("""COMPUTED_VALUE"""),"")</f>
        <v/>
      </c>
      <c r="D17205" s="42"/>
      <c r="E17205" s="42"/>
      <c r="F17205" s="48" t="str">
        <f>IFERROR(__xludf.DUMMYFUNCTION("""COMPUTED_VALUE"""),"")</f>
        <v/>
      </c>
      <c r="G17205" s="42" t="str">
        <f>IFERROR(__xludf.DUMMYFUNCTION("""COMPUTED_VALUE"""),"")</f>
        <v/>
      </c>
      <c r="H17205" s="42">
        <f t="shared" si="1"/>
        <v>3345</v>
      </c>
    </row>
    <row r="17206" ht="22.5" customHeight="1">
      <c r="B17206" s="42" t="str">
        <f>IFERROR(__xludf.DUMMYFUNCTION("""COMPUTED_VALUE"""),"")</f>
        <v/>
      </c>
      <c r="C17206" s="42" t="str">
        <f>IFERROR(__xludf.DUMMYFUNCTION("""COMPUTED_VALUE"""),"")</f>
        <v/>
      </c>
      <c r="D17206" s="42"/>
      <c r="E17206" s="42"/>
      <c r="F17206" s="48" t="str">
        <f>IFERROR(__xludf.DUMMYFUNCTION("""COMPUTED_VALUE"""),"")</f>
        <v/>
      </c>
      <c r="G17206" s="42" t="str">
        <f>IFERROR(__xludf.DUMMYFUNCTION("""COMPUTED_VALUE"""),"")</f>
        <v/>
      </c>
      <c r="H17206" s="42">
        <f t="shared" si="1"/>
        <v>3345</v>
      </c>
    </row>
    <row r="17207" ht="22.5" customHeight="1">
      <c r="B17207" s="42" t="str">
        <f>IFERROR(__xludf.DUMMYFUNCTION("""COMPUTED_VALUE"""),"")</f>
        <v/>
      </c>
      <c r="C17207" s="42" t="str">
        <f>IFERROR(__xludf.DUMMYFUNCTION("""COMPUTED_VALUE"""),"")</f>
        <v/>
      </c>
      <c r="D17207" s="42"/>
      <c r="E17207" s="42"/>
      <c r="F17207" s="48" t="str">
        <f>IFERROR(__xludf.DUMMYFUNCTION("""COMPUTED_VALUE"""),"")</f>
        <v/>
      </c>
      <c r="G17207" s="42" t="str">
        <f>IFERROR(__xludf.DUMMYFUNCTION("""COMPUTED_VALUE"""),"")</f>
        <v/>
      </c>
      <c r="H17207" s="42">
        <f t="shared" si="1"/>
        <v>3345</v>
      </c>
    </row>
    <row r="17208" ht="22.5" customHeight="1">
      <c r="B17208" s="42" t="str">
        <f>IFERROR(__xludf.DUMMYFUNCTION("""COMPUTED_VALUE"""),"")</f>
        <v/>
      </c>
      <c r="C17208" s="42" t="str">
        <f>IFERROR(__xludf.DUMMYFUNCTION("""COMPUTED_VALUE"""),"")</f>
        <v/>
      </c>
      <c r="D17208" s="42"/>
      <c r="E17208" s="42"/>
      <c r="F17208" s="48" t="str">
        <f>IFERROR(__xludf.DUMMYFUNCTION("""COMPUTED_VALUE"""),"")</f>
        <v/>
      </c>
      <c r="G17208" s="42" t="str">
        <f>IFERROR(__xludf.DUMMYFUNCTION("""COMPUTED_VALUE"""),"")</f>
        <v/>
      </c>
      <c r="H17208" s="42">
        <f t="shared" si="1"/>
        <v>3345</v>
      </c>
    </row>
    <row r="17209" ht="22.5" customHeight="1">
      <c r="B17209" s="42" t="str">
        <f>IFERROR(__xludf.DUMMYFUNCTION("""COMPUTED_VALUE"""),"")</f>
        <v/>
      </c>
      <c r="C17209" s="42" t="str">
        <f>IFERROR(__xludf.DUMMYFUNCTION("""COMPUTED_VALUE"""),"")</f>
        <v/>
      </c>
      <c r="D17209" s="42"/>
      <c r="E17209" s="42"/>
      <c r="F17209" s="48" t="str">
        <f>IFERROR(__xludf.DUMMYFUNCTION("""COMPUTED_VALUE"""),"")</f>
        <v/>
      </c>
      <c r="G17209" s="42" t="str">
        <f>IFERROR(__xludf.DUMMYFUNCTION("""COMPUTED_VALUE"""),"")</f>
        <v/>
      </c>
      <c r="H17209" s="42">
        <f t="shared" si="1"/>
        <v>3345</v>
      </c>
    </row>
    <row r="17210" ht="22.5" customHeight="1">
      <c r="B17210" s="42" t="str">
        <f>IFERROR(__xludf.DUMMYFUNCTION("""COMPUTED_VALUE"""),"")</f>
        <v/>
      </c>
      <c r="C17210" s="42" t="str">
        <f>IFERROR(__xludf.DUMMYFUNCTION("""COMPUTED_VALUE"""),"")</f>
        <v/>
      </c>
      <c r="D17210" s="42"/>
      <c r="E17210" s="42"/>
      <c r="F17210" s="48" t="str">
        <f>IFERROR(__xludf.DUMMYFUNCTION("""COMPUTED_VALUE"""),"")</f>
        <v/>
      </c>
      <c r="G17210" s="42" t="str">
        <f>IFERROR(__xludf.DUMMYFUNCTION("""COMPUTED_VALUE"""),"")</f>
        <v/>
      </c>
      <c r="H17210" s="42">
        <f t="shared" si="1"/>
        <v>3345</v>
      </c>
    </row>
    <row r="17211" ht="22.5" customHeight="1">
      <c r="B17211" s="42" t="str">
        <f>IFERROR(__xludf.DUMMYFUNCTION("""COMPUTED_VALUE"""),"")</f>
        <v/>
      </c>
      <c r="C17211" s="42" t="str">
        <f>IFERROR(__xludf.DUMMYFUNCTION("""COMPUTED_VALUE"""),"")</f>
        <v/>
      </c>
      <c r="D17211" s="42"/>
      <c r="E17211" s="42"/>
      <c r="F17211" s="48" t="str">
        <f>IFERROR(__xludf.DUMMYFUNCTION("""COMPUTED_VALUE"""),"")</f>
        <v/>
      </c>
      <c r="G17211" s="42" t="str">
        <f>IFERROR(__xludf.DUMMYFUNCTION("""COMPUTED_VALUE"""),"")</f>
        <v/>
      </c>
      <c r="H17211" s="42">
        <f t="shared" si="1"/>
        <v>3345</v>
      </c>
    </row>
    <row r="17212" ht="22.5" customHeight="1">
      <c r="B17212" s="42" t="str">
        <f>IFERROR(__xludf.DUMMYFUNCTION("""COMPUTED_VALUE"""),"")</f>
        <v/>
      </c>
      <c r="C17212" s="42" t="str">
        <f>IFERROR(__xludf.DUMMYFUNCTION("""COMPUTED_VALUE"""),"")</f>
        <v/>
      </c>
      <c r="D17212" s="42"/>
      <c r="E17212" s="42"/>
      <c r="F17212" s="48" t="str">
        <f>IFERROR(__xludf.DUMMYFUNCTION("""COMPUTED_VALUE"""),"")</f>
        <v/>
      </c>
      <c r="G17212" s="42" t="str">
        <f>IFERROR(__xludf.DUMMYFUNCTION("""COMPUTED_VALUE"""),"")</f>
        <v/>
      </c>
      <c r="H17212" s="42">
        <f t="shared" si="1"/>
        <v>3345</v>
      </c>
    </row>
    <row r="17213" ht="22.5" customHeight="1">
      <c r="B17213" s="42" t="str">
        <f>IFERROR(__xludf.DUMMYFUNCTION("""COMPUTED_VALUE"""),"")</f>
        <v/>
      </c>
      <c r="C17213" s="42" t="str">
        <f>IFERROR(__xludf.DUMMYFUNCTION("""COMPUTED_VALUE"""),"")</f>
        <v/>
      </c>
      <c r="D17213" s="42"/>
      <c r="E17213" s="42"/>
      <c r="F17213" s="48" t="str">
        <f>IFERROR(__xludf.DUMMYFUNCTION("""COMPUTED_VALUE"""),"")</f>
        <v/>
      </c>
      <c r="G17213" s="42" t="str">
        <f>IFERROR(__xludf.DUMMYFUNCTION("""COMPUTED_VALUE"""),"")</f>
        <v/>
      </c>
      <c r="H17213" s="42">
        <f t="shared" si="1"/>
        <v>3345</v>
      </c>
    </row>
    <row r="17214" ht="22.5" customHeight="1">
      <c r="B17214" s="42" t="str">
        <f>IFERROR(__xludf.DUMMYFUNCTION("""COMPUTED_VALUE"""),"")</f>
        <v/>
      </c>
      <c r="C17214" s="42" t="str">
        <f>IFERROR(__xludf.DUMMYFUNCTION("""COMPUTED_VALUE"""),"")</f>
        <v/>
      </c>
      <c r="D17214" s="42"/>
      <c r="E17214" s="42"/>
      <c r="F17214" s="48" t="str">
        <f>IFERROR(__xludf.DUMMYFUNCTION("""COMPUTED_VALUE"""),"")</f>
        <v/>
      </c>
      <c r="G17214" s="42" t="str">
        <f>IFERROR(__xludf.DUMMYFUNCTION("""COMPUTED_VALUE"""),"")</f>
        <v/>
      </c>
      <c r="H17214" s="42">
        <f t="shared" si="1"/>
        <v>3345</v>
      </c>
    </row>
    <row r="17215" ht="22.5" customHeight="1">
      <c r="B17215" s="42" t="str">
        <f>IFERROR(__xludf.DUMMYFUNCTION("""COMPUTED_VALUE"""),"")</f>
        <v/>
      </c>
      <c r="C17215" s="42" t="str">
        <f>IFERROR(__xludf.DUMMYFUNCTION("""COMPUTED_VALUE"""),"")</f>
        <v/>
      </c>
      <c r="D17215" s="42"/>
      <c r="E17215" s="42"/>
      <c r="F17215" s="48" t="str">
        <f>IFERROR(__xludf.DUMMYFUNCTION("""COMPUTED_VALUE"""),"")</f>
        <v/>
      </c>
      <c r="G17215" s="42" t="str">
        <f>IFERROR(__xludf.DUMMYFUNCTION("""COMPUTED_VALUE"""),"")</f>
        <v/>
      </c>
      <c r="H17215" s="42">
        <f t="shared" si="1"/>
        <v>3345</v>
      </c>
    </row>
    <row r="17216" ht="22.5" customHeight="1">
      <c r="B17216" s="42" t="str">
        <f>IFERROR(__xludf.DUMMYFUNCTION("""COMPUTED_VALUE"""),"")</f>
        <v/>
      </c>
      <c r="C17216" s="42" t="str">
        <f>IFERROR(__xludf.DUMMYFUNCTION("""COMPUTED_VALUE"""),"")</f>
        <v/>
      </c>
      <c r="D17216" s="42"/>
      <c r="E17216" s="42"/>
      <c r="F17216" s="48" t="str">
        <f>IFERROR(__xludf.DUMMYFUNCTION("""COMPUTED_VALUE"""),"")</f>
        <v/>
      </c>
      <c r="G17216" s="42" t="str">
        <f>IFERROR(__xludf.DUMMYFUNCTION("""COMPUTED_VALUE"""),"")</f>
        <v/>
      </c>
      <c r="H17216" s="42">
        <f t="shared" si="1"/>
        <v>3345</v>
      </c>
    </row>
    <row r="17217" ht="22.5" customHeight="1">
      <c r="B17217" s="42" t="str">
        <f>IFERROR(__xludf.DUMMYFUNCTION("""COMPUTED_VALUE"""),"")</f>
        <v/>
      </c>
      <c r="C17217" s="42" t="str">
        <f>IFERROR(__xludf.DUMMYFUNCTION("""COMPUTED_VALUE"""),"")</f>
        <v/>
      </c>
      <c r="D17217" s="42"/>
      <c r="E17217" s="42"/>
      <c r="F17217" s="48" t="str">
        <f>IFERROR(__xludf.DUMMYFUNCTION("""COMPUTED_VALUE"""),"")</f>
        <v/>
      </c>
      <c r="G17217" s="42" t="str">
        <f>IFERROR(__xludf.DUMMYFUNCTION("""COMPUTED_VALUE"""),"")</f>
        <v/>
      </c>
      <c r="H17217" s="42">
        <f t="shared" si="1"/>
        <v>3345</v>
      </c>
    </row>
    <row r="17218" ht="22.5" customHeight="1">
      <c r="B17218" s="42" t="str">
        <f>IFERROR(__xludf.DUMMYFUNCTION("""COMPUTED_VALUE"""),"")</f>
        <v/>
      </c>
      <c r="C17218" s="42" t="str">
        <f>IFERROR(__xludf.DUMMYFUNCTION("""COMPUTED_VALUE"""),"")</f>
        <v/>
      </c>
      <c r="D17218" s="42"/>
      <c r="E17218" s="42"/>
      <c r="F17218" s="48" t="str">
        <f>IFERROR(__xludf.DUMMYFUNCTION("""COMPUTED_VALUE"""),"")</f>
        <v/>
      </c>
      <c r="G17218" s="42" t="str">
        <f>IFERROR(__xludf.DUMMYFUNCTION("""COMPUTED_VALUE"""),"")</f>
        <v/>
      </c>
      <c r="H17218" s="42">
        <f t="shared" si="1"/>
        <v>3345</v>
      </c>
    </row>
    <row r="17219" ht="22.5" customHeight="1">
      <c r="B17219" s="42" t="str">
        <f>IFERROR(__xludf.DUMMYFUNCTION("""COMPUTED_VALUE"""),"")</f>
        <v/>
      </c>
      <c r="C17219" s="42" t="str">
        <f>IFERROR(__xludf.DUMMYFUNCTION("""COMPUTED_VALUE"""),"")</f>
        <v/>
      </c>
      <c r="D17219" s="42"/>
      <c r="E17219" s="42"/>
      <c r="F17219" s="48" t="str">
        <f>IFERROR(__xludf.DUMMYFUNCTION("""COMPUTED_VALUE"""),"")</f>
        <v/>
      </c>
      <c r="G17219" s="42" t="str">
        <f>IFERROR(__xludf.DUMMYFUNCTION("""COMPUTED_VALUE"""),"")</f>
        <v/>
      </c>
      <c r="H17219" s="42">
        <f t="shared" si="1"/>
        <v>3345</v>
      </c>
    </row>
    <row r="17220" ht="22.5" customHeight="1">
      <c r="B17220" s="42" t="str">
        <f>IFERROR(__xludf.DUMMYFUNCTION("""COMPUTED_VALUE"""),"")</f>
        <v/>
      </c>
      <c r="C17220" s="42" t="str">
        <f>IFERROR(__xludf.DUMMYFUNCTION("""COMPUTED_VALUE"""),"")</f>
        <v/>
      </c>
      <c r="D17220" s="42"/>
      <c r="E17220" s="42"/>
      <c r="F17220" s="48" t="str">
        <f>IFERROR(__xludf.DUMMYFUNCTION("""COMPUTED_VALUE"""),"")</f>
        <v/>
      </c>
      <c r="G17220" s="42" t="str">
        <f>IFERROR(__xludf.DUMMYFUNCTION("""COMPUTED_VALUE"""),"")</f>
        <v/>
      </c>
      <c r="H17220" s="42">
        <f t="shared" si="1"/>
        <v>3345</v>
      </c>
    </row>
    <row r="17221" ht="22.5" customHeight="1">
      <c r="B17221" s="42" t="str">
        <f>IFERROR(__xludf.DUMMYFUNCTION("""COMPUTED_VALUE"""),"")</f>
        <v/>
      </c>
      <c r="C17221" s="42" t="str">
        <f>IFERROR(__xludf.DUMMYFUNCTION("""COMPUTED_VALUE"""),"")</f>
        <v/>
      </c>
      <c r="D17221" s="42"/>
      <c r="E17221" s="42"/>
      <c r="F17221" s="48" t="str">
        <f>IFERROR(__xludf.DUMMYFUNCTION("""COMPUTED_VALUE"""),"")</f>
        <v/>
      </c>
      <c r="G17221" s="42" t="str">
        <f>IFERROR(__xludf.DUMMYFUNCTION("""COMPUTED_VALUE"""),"")</f>
        <v/>
      </c>
      <c r="H17221" s="42">
        <f t="shared" si="1"/>
        <v>3345</v>
      </c>
    </row>
    <row r="17222" ht="22.5" customHeight="1">
      <c r="B17222" s="42" t="str">
        <f>IFERROR(__xludf.DUMMYFUNCTION("""COMPUTED_VALUE"""),"")</f>
        <v/>
      </c>
      <c r="C17222" s="42" t="str">
        <f>IFERROR(__xludf.DUMMYFUNCTION("""COMPUTED_VALUE"""),"")</f>
        <v/>
      </c>
      <c r="D17222" s="42"/>
      <c r="E17222" s="42"/>
      <c r="F17222" s="48" t="str">
        <f>IFERROR(__xludf.DUMMYFUNCTION("""COMPUTED_VALUE"""),"")</f>
        <v/>
      </c>
      <c r="G17222" s="42" t="str">
        <f>IFERROR(__xludf.DUMMYFUNCTION("""COMPUTED_VALUE"""),"")</f>
        <v/>
      </c>
      <c r="H17222" s="42">
        <f t="shared" si="1"/>
        <v>3345</v>
      </c>
    </row>
    <row r="17223" ht="22.5" customHeight="1">
      <c r="B17223" s="42" t="str">
        <f>IFERROR(__xludf.DUMMYFUNCTION("""COMPUTED_VALUE"""),"")</f>
        <v/>
      </c>
      <c r="C17223" s="42" t="str">
        <f>IFERROR(__xludf.DUMMYFUNCTION("""COMPUTED_VALUE"""),"")</f>
        <v/>
      </c>
      <c r="D17223" s="42"/>
      <c r="E17223" s="42"/>
      <c r="F17223" s="48" t="str">
        <f>IFERROR(__xludf.DUMMYFUNCTION("""COMPUTED_VALUE"""),"")</f>
        <v/>
      </c>
      <c r="G17223" s="42" t="str">
        <f>IFERROR(__xludf.DUMMYFUNCTION("""COMPUTED_VALUE"""),"")</f>
        <v/>
      </c>
      <c r="H17223" s="42">
        <f t="shared" si="1"/>
        <v>3345</v>
      </c>
    </row>
    <row r="17224" ht="22.5" customHeight="1">
      <c r="B17224" s="42" t="str">
        <f>IFERROR(__xludf.DUMMYFUNCTION("""COMPUTED_VALUE"""),"")</f>
        <v/>
      </c>
      <c r="C17224" s="42" t="str">
        <f>IFERROR(__xludf.DUMMYFUNCTION("""COMPUTED_VALUE"""),"")</f>
        <v/>
      </c>
      <c r="D17224" s="42"/>
      <c r="E17224" s="42"/>
      <c r="F17224" s="48" t="str">
        <f>IFERROR(__xludf.DUMMYFUNCTION("""COMPUTED_VALUE"""),"")</f>
        <v/>
      </c>
      <c r="G17224" s="42" t="str">
        <f>IFERROR(__xludf.DUMMYFUNCTION("""COMPUTED_VALUE"""),"")</f>
        <v/>
      </c>
      <c r="H17224" s="42">
        <f t="shared" si="1"/>
        <v>3345</v>
      </c>
    </row>
    <row r="17225" ht="22.5" customHeight="1">
      <c r="B17225" s="42" t="str">
        <f>IFERROR(__xludf.DUMMYFUNCTION("""COMPUTED_VALUE"""),"")</f>
        <v/>
      </c>
      <c r="C17225" s="42" t="str">
        <f>IFERROR(__xludf.DUMMYFUNCTION("""COMPUTED_VALUE"""),"")</f>
        <v/>
      </c>
      <c r="D17225" s="42"/>
      <c r="E17225" s="42"/>
      <c r="F17225" s="48" t="str">
        <f>IFERROR(__xludf.DUMMYFUNCTION("""COMPUTED_VALUE"""),"")</f>
        <v/>
      </c>
      <c r="G17225" s="42" t="str">
        <f>IFERROR(__xludf.DUMMYFUNCTION("""COMPUTED_VALUE"""),"")</f>
        <v/>
      </c>
      <c r="H17225" s="42">
        <f t="shared" si="1"/>
        <v>3345</v>
      </c>
    </row>
    <row r="17226" ht="22.5" customHeight="1">
      <c r="B17226" s="42" t="str">
        <f>IFERROR(__xludf.DUMMYFUNCTION("""COMPUTED_VALUE"""),"")</f>
        <v/>
      </c>
      <c r="C17226" s="42" t="str">
        <f>IFERROR(__xludf.DUMMYFUNCTION("""COMPUTED_VALUE"""),"")</f>
        <v/>
      </c>
      <c r="D17226" s="42"/>
      <c r="E17226" s="42"/>
      <c r="F17226" s="48" t="str">
        <f>IFERROR(__xludf.DUMMYFUNCTION("""COMPUTED_VALUE"""),"")</f>
        <v/>
      </c>
      <c r="G17226" s="42" t="str">
        <f>IFERROR(__xludf.DUMMYFUNCTION("""COMPUTED_VALUE"""),"")</f>
        <v/>
      </c>
      <c r="H17226" s="42">
        <f t="shared" si="1"/>
        <v>3345</v>
      </c>
    </row>
    <row r="17227" ht="22.5" customHeight="1">
      <c r="B17227" s="42" t="str">
        <f>IFERROR(__xludf.DUMMYFUNCTION("""COMPUTED_VALUE"""),"")</f>
        <v/>
      </c>
      <c r="C17227" s="42" t="str">
        <f>IFERROR(__xludf.DUMMYFUNCTION("""COMPUTED_VALUE"""),"")</f>
        <v/>
      </c>
      <c r="D17227" s="42"/>
      <c r="E17227" s="42"/>
      <c r="F17227" s="48" t="str">
        <f>IFERROR(__xludf.DUMMYFUNCTION("""COMPUTED_VALUE"""),"")</f>
        <v/>
      </c>
      <c r="G17227" s="42" t="str">
        <f>IFERROR(__xludf.DUMMYFUNCTION("""COMPUTED_VALUE"""),"")</f>
        <v/>
      </c>
      <c r="H17227" s="42">
        <f t="shared" si="1"/>
        <v>3345</v>
      </c>
    </row>
    <row r="17228" ht="22.5" customHeight="1">
      <c r="B17228" s="42" t="str">
        <f>IFERROR(__xludf.DUMMYFUNCTION("""COMPUTED_VALUE"""),"")</f>
        <v/>
      </c>
      <c r="C17228" s="42" t="str">
        <f>IFERROR(__xludf.DUMMYFUNCTION("""COMPUTED_VALUE"""),"")</f>
        <v/>
      </c>
      <c r="D17228" s="42"/>
      <c r="E17228" s="42"/>
      <c r="F17228" s="48" t="str">
        <f>IFERROR(__xludf.DUMMYFUNCTION("""COMPUTED_VALUE"""),"")</f>
        <v/>
      </c>
      <c r="G17228" s="42" t="str">
        <f>IFERROR(__xludf.DUMMYFUNCTION("""COMPUTED_VALUE"""),"")</f>
        <v/>
      </c>
      <c r="H17228" s="42">
        <f t="shared" si="1"/>
        <v>3345</v>
      </c>
    </row>
    <row r="17229" ht="22.5" customHeight="1">
      <c r="B17229" s="42" t="str">
        <f>IFERROR(__xludf.DUMMYFUNCTION("""COMPUTED_VALUE"""),"")</f>
        <v/>
      </c>
      <c r="C17229" s="42" t="str">
        <f>IFERROR(__xludf.DUMMYFUNCTION("""COMPUTED_VALUE"""),"")</f>
        <v/>
      </c>
      <c r="D17229" s="42"/>
      <c r="E17229" s="42"/>
      <c r="F17229" s="48" t="str">
        <f>IFERROR(__xludf.DUMMYFUNCTION("""COMPUTED_VALUE"""),"")</f>
        <v/>
      </c>
      <c r="G17229" s="42" t="str">
        <f>IFERROR(__xludf.DUMMYFUNCTION("""COMPUTED_VALUE"""),"")</f>
        <v/>
      </c>
      <c r="H17229" s="42">
        <f t="shared" si="1"/>
        <v>3345</v>
      </c>
    </row>
    <row r="17230" ht="22.5" customHeight="1">
      <c r="B17230" s="42" t="str">
        <f>IFERROR(__xludf.DUMMYFUNCTION("""COMPUTED_VALUE"""),"")</f>
        <v/>
      </c>
      <c r="C17230" s="42" t="str">
        <f>IFERROR(__xludf.DUMMYFUNCTION("""COMPUTED_VALUE"""),"")</f>
        <v/>
      </c>
      <c r="D17230" s="42"/>
      <c r="E17230" s="42"/>
      <c r="F17230" s="48" t="str">
        <f>IFERROR(__xludf.DUMMYFUNCTION("""COMPUTED_VALUE"""),"")</f>
        <v/>
      </c>
      <c r="G17230" s="42" t="str">
        <f>IFERROR(__xludf.DUMMYFUNCTION("""COMPUTED_VALUE"""),"")</f>
        <v/>
      </c>
      <c r="H17230" s="42">
        <f t="shared" si="1"/>
        <v>3345</v>
      </c>
    </row>
    <row r="17231" ht="22.5" customHeight="1">
      <c r="B17231" s="42" t="str">
        <f>IFERROR(__xludf.DUMMYFUNCTION("""COMPUTED_VALUE"""),"")</f>
        <v/>
      </c>
      <c r="C17231" s="42" t="str">
        <f>IFERROR(__xludf.DUMMYFUNCTION("""COMPUTED_VALUE"""),"")</f>
        <v/>
      </c>
      <c r="D17231" s="42"/>
      <c r="E17231" s="42"/>
      <c r="F17231" s="48" t="str">
        <f>IFERROR(__xludf.DUMMYFUNCTION("""COMPUTED_VALUE"""),"")</f>
        <v/>
      </c>
      <c r="G17231" s="42" t="str">
        <f>IFERROR(__xludf.DUMMYFUNCTION("""COMPUTED_VALUE"""),"")</f>
        <v/>
      </c>
      <c r="H17231" s="42">
        <f t="shared" si="1"/>
        <v>3345</v>
      </c>
    </row>
    <row r="17232" ht="22.5" customHeight="1">
      <c r="B17232" s="42" t="str">
        <f>IFERROR(__xludf.DUMMYFUNCTION("""COMPUTED_VALUE"""),"")</f>
        <v/>
      </c>
      <c r="C17232" s="42" t="str">
        <f>IFERROR(__xludf.DUMMYFUNCTION("""COMPUTED_VALUE"""),"")</f>
        <v/>
      </c>
      <c r="D17232" s="42"/>
      <c r="E17232" s="42"/>
      <c r="F17232" s="48" t="str">
        <f>IFERROR(__xludf.DUMMYFUNCTION("""COMPUTED_VALUE"""),"")</f>
        <v/>
      </c>
      <c r="G17232" s="42" t="str">
        <f>IFERROR(__xludf.DUMMYFUNCTION("""COMPUTED_VALUE"""),"")</f>
        <v/>
      </c>
      <c r="H17232" s="42">
        <f t="shared" si="1"/>
        <v>3345</v>
      </c>
    </row>
    <row r="17233" ht="22.5" customHeight="1">
      <c r="B17233" s="42" t="str">
        <f>IFERROR(__xludf.DUMMYFUNCTION("""COMPUTED_VALUE"""),"")</f>
        <v/>
      </c>
      <c r="C17233" s="42" t="str">
        <f>IFERROR(__xludf.DUMMYFUNCTION("""COMPUTED_VALUE"""),"")</f>
        <v/>
      </c>
      <c r="D17233" s="42"/>
      <c r="E17233" s="42"/>
      <c r="F17233" s="48" t="str">
        <f>IFERROR(__xludf.DUMMYFUNCTION("""COMPUTED_VALUE"""),"")</f>
        <v/>
      </c>
      <c r="G17233" s="42" t="str">
        <f>IFERROR(__xludf.DUMMYFUNCTION("""COMPUTED_VALUE"""),"")</f>
        <v/>
      </c>
      <c r="H17233" s="42">
        <f t="shared" si="1"/>
        <v>3345</v>
      </c>
    </row>
    <row r="17234" ht="22.5" customHeight="1">
      <c r="B17234" s="42" t="str">
        <f>IFERROR(__xludf.DUMMYFUNCTION("""COMPUTED_VALUE"""),"")</f>
        <v/>
      </c>
      <c r="C17234" s="42" t="str">
        <f>IFERROR(__xludf.DUMMYFUNCTION("""COMPUTED_VALUE"""),"")</f>
        <v/>
      </c>
      <c r="D17234" s="42"/>
      <c r="E17234" s="42"/>
      <c r="F17234" s="48" t="str">
        <f>IFERROR(__xludf.DUMMYFUNCTION("""COMPUTED_VALUE"""),"")</f>
        <v/>
      </c>
      <c r="G17234" s="42" t="str">
        <f>IFERROR(__xludf.DUMMYFUNCTION("""COMPUTED_VALUE"""),"")</f>
        <v/>
      </c>
      <c r="H17234" s="42">
        <f t="shared" si="1"/>
        <v>3345</v>
      </c>
    </row>
    <row r="17235" ht="22.5" customHeight="1">
      <c r="B17235" s="42" t="str">
        <f>IFERROR(__xludf.DUMMYFUNCTION("""COMPUTED_VALUE"""),"")</f>
        <v/>
      </c>
      <c r="C17235" s="42" t="str">
        <f>IFERROR(__xludf.DUMMYFUNCTION("""COMPUTED_VALUE"""),"")</f>
        <v/>
      </c>
      <c r="D17235" s="42"/>
      <c r="E17235" s="42"/>
      <c r="F17235" s="48" t="str">
        <f>IFERROR(__xludf.DUMMYFUNCTION("""COMPUTED_VALUE"""),"")</f>
        <v/>
      </c>
      <c r="G17235" s="42" t="str">
        <f>IFERROR(__xludf.DUMMYFUNCTION("""COMPUTED_VALUE"""),"")</f>
        <v/>
      </c>
      <c r="H17235" s="42">
        <f t="shared" si="1"/>
        <v>3345</v>
      </c>
    </row>
    <row r="17236" ht="22.5" customHeight="1">
      <c r="B17236" s="42" t="str">
        <f>IFERROR(__xludf.DUMMYFUNCTION("""COMPUTED_VALUE"""),"")</f>
        <v/>
      </c>
      <c r="C17236" s="42" t="str">
        <f>IFERROR(__xludf.DUMMYFUNCTION("""COMPUTED_VALUE"""),"")</f>
        <v/>
      </c>
      <c r="D17236" s="42"/>
      <c r="E17236" s="42"/>
      <c r="F17236" s="48" t="str">
        <f>IFERROR(__xludf.DUMMYFUNCTION("""COMPUTED_VALUE"""),"")</f>
        <v/>
      </c>
      <c r="G17236" s="42" t="str">
        <f>IFERROR(__xludf.DUMMYFUNCTION("""COMPUTED_VALUE"""),"")</f>
        <v/>
      </c>
      <c r="H17236" s="42">
        <f t="shared" si="1"/>
        <v>3345</v>
      </c>
    </row>
    <row r="17237" ht="22.5" customHeight="1">
      <c r="B17237" s="42" t="str">
        <f>IFERROR(__xludf.DUMMYFUNCTION("""COMPUTED_VALUE"""),"")</f>
        <v/>
      </c>
      <c r="C17237" s="42" t="str">
        <f>IFERROR(__xludf.DUMMYFUNCTION("""COMPUTED_VALUE"""),"")</f>
        <v/>
      </c>
      <c r="D17237" s="42"/>
      <c r="E17237" s="42"/>
      <c r="F17237" s="48" t="str">
        <f>IFERROR(__xludf.DUMMYFUNCTION("""COMPUTED_VALUE"""),"")</f>
        <v/>
      </c>
      <c r="G17237" s="42" t="str">
        <f>IFERROR(__xludf.DUMMYFUNCTION("""COMPUTED_VALUE"""),"")</f>
        <v/>
      </c>
      <c r="H17237" s="42">
        <f t="shared" si="1"/>
        <v>3345</v>
      </c>
    </row>
    <row r="17238" ht="22.5" customHeight="1">
      <c r="B17238" s="42" t="str">
        <f>IFERROR(__xludf.DUMMYFUNCTION("""COMPUTED_VALUE"""),"")</f>
        <v/>
      </c>
      <c r="C17238" s="42" t="str">
        <f>IFERROR(__xludf.DUMMYFUNCTION("""COMPUTED_VALUE"""),"")</f>
        <v/>
      </c>
      <c r="D17238" s="42"/>
      <c r="E17238" s="42"/>
      <c r="F17238" s="48" t="str">
        <f>IFERROR(__xludf.DUMMYFUNCTION("""COMPUTED_VALUE"""),"")</f>
        <v/>
      </c>
      <c r="G17238" s="42" t="str">
        <f>IFERROR(__xludf.DUMMYFUNCTION("""COMPUTED_VALUE"""),"")</f>
        <v/>
      </c>
      <c r="H17238" s="42">
        <f t="shared" si="1"/>
        <v>3345</v>
      </c>
    </row>
    <row r="17239" ht="22.5" customHeight="1">
      <c r="B17239" s="42" t="str">
        <f>IFERROR(__xludf.DUMMYFUNCTION("""COMPUTED_VALUE"""),"")</f>
        <v/>
      </c>
      <c r="C17239" s="42" t="str">
        <f>IFERROR(__xludf.DUMMYFUNCTION("""COMPUTED_VALUE"""),"")</f>
        <v/>
      </c>
      <c r="D17239" s="42"/>
      <c r="E17239" s="42"/>
      <c r="F17239" s="48" t="str">
        <f>IFERROR(__xludf.DUMMYFUNCTION("""COMPUTED_VALUE"""),"")</f>
        <v/>
      </c>
      <c r="G17239" s="42" t="str">
        <f>IFERROR(__xludf.DUMMYFUNCTION("""COMPUTED_VALUE"""),"")</f>
        <v/>
      </c>
      <c r="H17239" s="42">
        <f t="shared" si="1"/>
        <v>3345</v>
      </c>
    </row>
    <row r="17240" ht="22.5" customHeight="1">
      <c r="B17240" s="42" t="str">
        <f>IFERROR(__xludf.DUMMYFUNCTION("""COMPUTED_VALUE"""),"")</f>
        <v/>
      </c>
      <c r="C17240" s="42" t="str">
        <f>IFERROR(__xludf.DUMMYFUNCTION("""COMPUTED_VALUE"""),"")</f>
        <v/>
      </c>
      <c r="D17240" s="42"/>
      <c r="E17240" s="42"/>
      <c r="F17240" s="48" t="str">
        <f>IFERROR(__xludf.DUMMYFUNCTION("""COMPUTED_VALUE"""),"")</f>
        <v/>
      </c>
      <c r="G17240" s="42" t="str">
        <f>IFERROR(__xludf.DUMMYFUNCTION("""COMPUTED_VALUE"""),"")</f>
        <v/>
      </c>
      <c r="H17240" s="42">
        <f t="shared" si="1"/>
        <v>3345</v>
      </c>
    </row>
    <row r="17241" ht="22.5" customHeight="1">
      <c r="B17241" s="42" t="str">
        <f>IFERROR(__xludf.DUMMYFUNCTION("""COMPUTED_VALUE"""),"")</f>
        <v/>
      </c>
      <c r="C17241" s="42" t="str">
        <f>IFERROR(__xludf.DUMMYFUNCTION("""COMPUTED_VALUE"""),"")</f>
        <v/>
      </c>
      <c r="D17241" s="42"/>
      <c r="E17241" s="42"/>
      <c r="F17241" s="48" t="str">
        <f>IFERROR(__xludf.DUMMYFUNCTION("""COMPUTED_VALUE"""),"")</f>
        <v/>
      </c>
      <c r="G17241" s="42" t="str">
        <f>IFERROR(__xludf.DUMMYFUNCTION("""COMPUTED_VALUE"""),"")</f>
        <v/>
      </c>
      <c r="H17241" s="42">
        <f t="shared" si="1"/>
        <v>3345</v>
      </c>
    </row>
    <row r="17242" ht="22.5" customHeight="1">
      <c r="B17242" s="42" t="str">
        <f>IFERROR(__xludf.DUMMYFUNCTION("""COMPUTED_VALUE"""),"")</f>
        <v/>
      </c>
      <c r="C17242" s="42" t="str">
        <f>IFERROR(__xludf.DUMMYFUNCTION("""COMPUTED_VALUE"""),"")</f>
        <v/>
      </c>
      <c r="D17242" s="42"/>
      <c r="E17242" s="42"/>
      <c r="F17242" s="48" t="str">
        <f>IFERROR(__xludf.DUMMYFUNCTION("""COMPUTED_VALUE"""),"")</f>
        <v/>
      </c>
      <c r="G17242" s="42" t="str">
        <f>IFERROR(__xludf.DUMMYFUNCTION("""COMPUTED_VALUE"""),"")</f>
        <v/>
      </c>
      <c r="H17242" s="42">
        <f t="shared" si="1"/>
        <v>3345</v>
      </c>
    </row>
    <row r="17243" ht="22.5" customHeight="1">
      <c r="B17243" s="42" t="str">
        <f>IFERROR(__xludf.DUMMYFUNCTION("""COMPUTED_VALUE"""),"")</f>
        <v/>
      </c>
      <c r="C17243" s="42" t="str">
        <f>IFERROR(__xludf.DUMMYFUNCTION("""COMPUTED_VALUE"""),"")</f>
        <v/>
      </c>
      <c r="D17243" s="42"/>
      <c r="E17243" s="42"/>
      <c r="F17243" s="48" t="str">
        <f>IFERROR(__xludf.DUMMYFUNCTION("""COMPUTED_VALUE"""),"")</f>
        <v/>
      </c>
      <c r="G17243" s="42" t="str">
        <f>IFERROR(__xludf.DUMMYFUNCTION("""COMPUTED_VALUE"""),"")</f>
        <v/>
      </c>
      <c r="H17243" s="42">
        <f t="shared" si="1"/>
        <v>3345</v>
      </c>
    </row>
    <row r="17244" ht="22.5" customHeight="1">
      <c r="B17244" s="42" t="str">
        <f>IFERROR(__xludf.DUMMYFUNCTION("""COMPUTED_VALUE"""),"")</f>
        <v/>
      </c>
      <c r="C17244" s="42" t="str">
        <f>IFERROR(__xludf.DUMMYFUNCTION("""COMPUTED_VALUE"""),"")</f>
        <v/>
      </c>
      <c r="D17244" s="42"/>
      <c r="E17244" s="42"/>
      <c r="F17244" s="48" t="str">
        <f>IFERROR(__xludf.DUMMYFUNCTION("""COMPUTED_VALUE"""),"")</f>
        <v/>
      </c>
      <c r="G17244" s="42" t="str">
        <f>IFERROR(__xludf.DUMMYFUNCTION("""COMPUTED_VALUE"""),"")</f>
        <v/>
      </c>
      <c r="H17244" s="42">
        <f t="shared" si="1"/>
        <v>3345</v>
      </c>
    </row>
    <row r="17245" ht="22.5" customHeight="1">
      <c r="B17245" s="42" t="str">
        <f>IFERROR(__xludf.DUMMYFUNCTION("""COMPUTED_VALUE"""),"")</f>
        <v/>
      </c>
      <c r="C17245" s="42" t="str">
        <f>IFERROR(__xludf.DUMMYFUNCTION("""COMPUTED_VALUE"""),"")</f>
        <v/>
      </c>
      <c r="D17245" s="42"/>
      <c r="E17245" s="42"/>
      <c r="F17245" s="48" t="str">
        <f>IFERROR(__xludf.DUMMYFUNCTION("""COMPUTED_VALUE"""),"")</f>
        <v/>
      </c>
      <c r="G17245" s="42" t="str">
        <f>IFERROR(__xludf.DUMMYFUNCTION("""COMPUTED_VALUE"""),"")</f>
        <v/>
      </c>
      <c r="H17245" s="42">
        <f t="shared" si="1"/>
        <v>3345</v>
      </c>
    </row>
    <row r="17246" ht="22.5" customHeight="1">
      <c r="B17246" s="42" t="str">
        <f>IFERROR(__xludf.DUMMYFUNCTION("""COMPUTED_VALUE"""),"")</f>
        <v/>
      </c>
      <c r="C17246" s="42" t="str">
        <f>IFERROR(__xludf.DUMMYFUNCTION("""COMPUTED_VALUE"""),"")</f>
        <v/>
      </c>
      <c r="D17246" s="42"/>
      <c r="E17246" s="42"/>
      <c r="F17246" s="48" t="str">
        <f>IFERROR(__xludf.DUMMYFUNCTION("""COMPUTED_VALUE"""),"")</f>
        <v/>
      </c>
      <c r="G17246" s="42" t="str">
        <f>IFERROR(__xludf.DUMMYFUNCTION("""COMPUTED_VALUE"""),"")</f>
        <v/>
      </c>
      <c r="H17246" s="42">
        <f t="shared" si="1"/>
        <v>3345</v>
      </c>
    </row>
    <row r="17247" ht="22.5" customHeight="1">
      <c r="B17247" s="42" t="str">
        <f>IFERROR(__xludf.DUMMYFUNCTION("""COMPUTED_VALUE"""),"")</f>
        <v/>
      </c>
      <c r="C17247" s="42" t="str">
        <f>IFERROR(__xludf.DUMMYFUNCTION("""COMPUTED_VALUE"""),"")</f>
        <v/>
      </c>
      <c r="D17247" s="42"/>
      <c r="E17247" s="42"/>
      <c r="F17247" s="48" t="str">
        <f>IFERROR(__xludf.DUMMYFUNCTION("""COMPUTED_VALUE"""),"")</f>
        <v/>
      </c>
      <c r="G17247" s="42" t="str">
        <f>IFERROR(__xludf.DUMMYFUNCTION("""COMPUTED_VALUE"""),"")</f>
        <v/>
      </c>
      <c r="H17247" s="42">
        <f t="shared" si="1"/>
        <v>3345</v>
      </c>
    </row>
    <row r="17248" ht="22.5" customHeight="1">
      <c r="B17248" s="42" t="str">
        <f>IFERROR(__xludf.DUMMYFUNCTION("""COMPUTED_VALUE"""),"")</f>
        <v/>
      </c>
      <c r="C17248" s="42" t="str">
        <f>IFERROR(__xludf.DUMMYFUNCTION("""COMPUTED_VALUE"""),"")</f>
        <v/>
      </c>
      <c r="D17248" s="42"/>
      <c r="E17248" s="42"/>
      <c r="F17248" s="48" t="str">
        <f>IFERROR(__xludf.DUMMYFUNCTION("""COMPUTED_VALUE"""),"")</f>
        <v/>
      </c>
      <c r="G17248" s="42" t="str">
        <f>IFERROR(__xludf.DUMMYFUNCTION("""COMPUTED_VALUE"""),"")</f>
        <v/>
      </c>
      <c r="H17248" s="42">
        <f t="shared" si="1"/>
        <v>3345</v>
      </c>
    </row>
    <row r="17249" ht="22.5" customHeight="1">
      <c r="B17249" s="42" t="str">
        <f>IFERROR(__xludf.DUMMYFUNCTION("""COMPUTED_VALUE"""),"")</f>
        <v/>
      </c>
      <c r="C17249" s="42" t="str">
        <f>IFERROR(__xludf.DUMMYFUNCTION("""COMPUTED_VALUE"""),"")</f>
        <v/>
      </c>
      <c r="D17249" s="42"/>
      <c r="E17249" s="42"/>
      <c r="F17249" s="48" t="str">
        <f>IFERROR(__xludf.DUMMYFUNCTION("""COMPUTED_VALUE"""),"")</f>
        <v/>
      </c>
      <c r="G17249" s="42" t="str">
        <f>IFERROR(__xludf.DUMMYFUNCTION("""COMPUTED_VALUE"""),"")</f>
        <v/>
      </c>
      <c r="H17249" s="42">
        <f t="shared" si="1"/>
        <v>3345</v>
      </c>
    </row>
    <row r="17250" ht="22.5" customHeight="1">
      <c r="B17250" s="42" t="str">
        <f>IFERROR(__xludf.DUMMYFUNCTION("""COMPUTED_VALUE"""),"")</f>
        <v/>
      </c>
      <c r="C17250" s="42" t="str">
        <f>IFERROR(__xludf.DUMMYFUNCTION("""COMPUTED_VALUE"""),"")</f>
        <v/>
      </c>
      <c r="D17250" s="42"/>
      <c r="E17250" s="42"/>
      <c r="F17250" s="48" t="str">
        <f>IFERROR(__xludf.DUMMYFUNCTION("""COMPUTED_VALUE"""),"")</f>
        <v/>
      </c>
      <c r="G17250" s="42" t="str">
        <f>IFERROR(__xludf.DUMMYFUNCTION("""COMPUTED_VALUE"""),"")</f>
        <v/>
      </c>
      <c r="H17250" s="42">
        <f t="shared" si="1"/>
        <v>3345</v>
      </c>
    </row>
    <row r="17251" ht="22.5" customHeight="1">
      <c r="B17251" s="42" t="str">
        <f>IFERROR(__xludf.DUMMYFUNCTION("""COMPUTED_VALUE"""),"")</f>
        <v/>
      </c>
      <c r="C17251" s="42" t="str">
        <f>IFERROR(__xludf.DUMMYFUNCTION("""COMPUTED_VALUE"""),"")</f>
        <v/>
      </c>
      <c r="D17251" s="42"/>
      <c r="E17251" s="42"/>
      <c r="F17251" s="48" t="str">
        <f>IFERROR(__xludf.DUMMYFUNCTION("""COMPUTED_VALUE"""),"")</f>
        <v/>
      </c>
      <c r="G17251" s="42" t="str">
        <f>IFERROR(__xludf.DUMMYFUNCTION("""COMPUTED_VALUE"""),"")</f>
        <v/>
      </c>
      <c r="H17251" s="42">
        <f t="shared" si="1"/>
        <v>3345</v>
      </c>
    </row>
    <row r="17252" ht="22.5" customHeight="1">
      <c r="B17252" s="42" t="str">
        <f>IFERROR(__xludf.DUMMYFUNCTION("""COMPUTED_VALUE"""),"")</f>
        <v/>
      </c>
      <c r="C17252" s="42" t="str">
        <f>IFERROR(__xludf.DUMMYFUNCTION("""COMPUTED_VALUE"""),"")</f>
        <v/>
      </c>
      <c r="D17252" s="42"/>
      <c r="E17252" s="42"/>
      <c r="F17252" s="48" t="str">
        <f>IFERROR(__xludf.DUMMYFUNCTION("""COMPUTED_VALUE"""),"")</f>
        <v/>
      </c>
      <c r="G17252" s="42" t="str">
        <f>IFERROR(__xludf.DUMMYFUNCTION("""COMPUTED_VALUE"""),"")</f>
        <v/>
      </c>
      <c r="H17252" s="42">
        <f t="shared" si="1"/>
        <v>3345</v>
      </c>
    </row>
    <row r="17253" ht="22.5" customHeight="1">
      <c r="B17253" s="42" t="str">
        <f>IFERROR(__xludf.DUMMYFUNCTION("""COMPUTED_VALUE"""),"")</f>
        <v/>
      </c>
      <c r="C17253" s="42" t="str">
        <f>IFERROR(__xludf.DUMMYFUNCTION("""COMPUTED_VALUE"""),"")</f>
        <v/>
      </c>
      <c r="D17253" s="42"/>
      <c r="E17253" s="42"/>
      <c r="F17253" s="48" t="str">
        <f>IFERROR(__xludf.DUMMYFUNCTION("""COMPUTED_VALUE"""),"")</f>
        <v/>
      </c>
      <c r="G17253" s="42" t="str">
        <f>IFERROR(__xludf.DUMMYFUNCTION("""COMPUTED_VALUE"""),"")</f>
        <v/>
      </c>
      <c r="H17253" s="42">
        <f t="shared" si="1"/>
        <v>3345</v>
      </c>
    </row>
    <row r="17254" ht="22.5" customHeight="1">
      <c r="B17254" s="42" t="str">
        <f>IFERROR(__xludf.DUMMYFUNCTION("""COMPUTED_VALUE"""),"")</f>
        <v/>
      </c>
      <c r="C17254" s="42" t="str">
        <f>IFERROR(__xludf.DUMMYFUNCTION("""COMPUTED_VALUE"""),"")</f>
        <v/>
      </c>
      <c r="D17254" s="42"/>
      <c r="E17254" s="42"/>
      <c r="F17254" s="48" t="str">
        <f>IFERROR(__xludf.DUMMYFUNCTION("""COMPUTED_VALUE"""),"")</f>
        <v/>
      </c>
      <c r="G17254" s="42" t="str">
        <f>IFERROR(__xludf.DUMMYFUNCTION("""COMPUTED_VALUE"""),"")</f>
        <v/>
      </c>
      <c r="H17254" s="42">
        <f t="shared" si="1"/>
        <v>3345</v>
      </c>
    </row>
    <row r="17255" ht="22.5" customHeight="1">
      <c r="B17255" s="42" t="str">
        <f>IFERROR(__xludf.DUMMYFUNCTION("""COMPUTED_VALUE"""),"")</f>
        <v/>
      </c>
      <c r="C17255" s="42" t="str">
        <f>IFERROR(__xludf.DUMMYFUNCTION("""COMPUTED_VALUE"""),"")</f>
        <v/>
      </c>
      <c r="D17255" s="42"/>
      <c r="E17255" s="42"/>
      <c r="F17255" s="48" t="str">
        <f>IFERROR(__xludf.DUMMYFUNCTION("""COMPUTED_VALUE"""),"")</f>
        <v/>
      </c>
      <c r="G17255" s="42" t="str">
        <f>IFERROR(__xludf.DUMMYFUNCTION("""COMPUTED_VALUE"""),"")</f>
        <v/>
      </c>
      <c r="H17255" s="42">
        <f t="shared" si="1"/>
        <v>3345</v>
      </c>
    </row>
    <row r="17256" ht="22.5" customHeight="1">
      <c r="B17256" s="42" t="str">
        <f>IFERROR(__xludf.DUMMYFUNCTION("""COMPUTED_VALUE"""),"")</f>
        <v/>
      </c>
      <c r="C17256" s="42" t="str">
        <f>IFERROR(__xludf.DUMMYFUNCTION("""COMPUTED_VALUE"""),"")</f>
        <v/>
      </c>
      <c r="D17256" s="42"/>
      <c r="E17256" s="42"/>
      <c r="F17256" s="48" t="str">
        <f>IFERROR(__xludf.DUMMYFUNCTION("""COMPUTED_VALUE"""),"")</f>
        <v/>
      </c>
      <c r="G17256" s="42" t="str">
        <f>IFERROR(__xludf.DUMMYFUNCTION("""COMPUTED_VALUE"""),"")</f>
        <v/>
      </c>
      <c r="H17256" s="42">
        <f t="shared" si="1"/>
        <v>3345</v>
      </c>
    </row>
    <row r="17257" ht="22.5" customHeight="1">
      <c r="B17257" s="42" t="str">
        <f>IFERROR(__xludf.DUMMYFUNCTION("""COMPUTED_VALUE"""),"")</f>
        <v/>
      </c>
      <c r="C17257" s="42" t="str">
        <f>IFERROR(__xludf.DUMMYFUNCTION("""COMPUTED_VALUE"""),"")</f>
        <v/>
      </c>
      <c r="D17257" s="42"/>
      <c r="E17257" s="42"/>
      <c r="F17257" s="48" t="str">
        <f>IFERROR(__xludf.DUMMYFUNCTION("""COMPUTED_VALUE"""),"")</f>
        <v/>
      </c>
      <c r="G17257" s="42" t="str">
        <f>IFERROR(__xludf.DUMMYFUNCTION("""COMPUTED_VALUE"""),"")</f>
        <v/>
      </c>
      <c r="H17257" s="42">
        <f t="shared" si="1"/>
        <v>3345</v>
      </c>
    </row>
    <row r="17258" ht="22.5" customHeight="1">
      <c r="B17258" s="42" t="str">
        <f>IFERROR(__xludf.DUMMYFUNCTION("""COMPUTED_VALUE"""),"")</f>
        <v/>
      </c>
      <c r="C17258" s="42" t="str">
        <f>IFERROR(__xludf.DUMMYFUNCTION("""COMPUTED_VALUE"""),"")</f>
        <v/>
      </c>
      <c r="D17258" s="42"/>
      <c r="E17258" s="42"/>
      <c r="F17258" s="48" t="str">
        <f>IFERROR(__xludf.DUMMYFUNCTION("""COMPUTED_VALUE"""),"")</f>
        <v/>
      </c>
      <c r="G17258" s="42" t="str">
        <f>IFERROR(__xludf.DUMMYFUNCTION("""COMPUTED_VALUE"""),"")</f>
        <v/>
      </c>
      <c r="H17258" s="42">
        <f t="shared" si="1"/>
        <v>3345</v>
      </c>
    </row>
    <row r="17259" ht="22.5" customHeight="1">
      <c r="B17259" s="42" t="str">
        <f>IFERROR(__xludf.DUMMYFUNCTION("""COMPUTED_VALUE"""),"")</f>
        <v/>
      </c>
      <c r="C17259" s="42" t="str">
        <f>IFERROR(__xludf.DUMMYFUNCTION("""COMPUTED_VALUE"""),"")</f>
        <v/>
      </c>
      <c r="D17259" s="42"/>
      <c r="E17259" s="42"/>
      <c r="F17259" s="48" t="str">
        <f>IFERROR(__xludf.DUMMYFUNCTION("""COMPUTED_VALUE"""),"")</f>
        <v/>
      </c>
      <c r="G17259" s="42" t="str">
        <f>IFERROR(__xludf.DUMMYFUNCTION("""COMPUTED_VALUE"""),"")</f>
        <v/>
      </c>
      <c r="H17259" s="42">
        <f t="shared" si="1"/>
        <v>3345</v>
      </c>
    </row>
    <row r="17260" ht="22.5" customHeight="1">
      <c r="B17260" s="42" t="str">
        <f>IFERROR(__xludf.DUMMYFUNCTION("""COMPUTED_VALUE"""),"")</f>
        <v/>
      </c>
      <c r="C17260" s="42" t="str">
        <f>IFERROR(__xludf.DUMMYFUNCTION("""COMPUTED_VALUE"""),"")</f>
        <v/>
      </c>
      <c r="D17260" s="42"/>
      <c r="E17260" s="42"/>
      <c r="F17260" s="48" t="str">
        <f>IFERROR(__xludf.DUMMYFUNCTION("""COMPUTED_VALUE"""),"")</f>
        <v/>
      </c>
      <c r="G17260" s="42" t="str">
        <f>IFERROR(__xludf.DUMMYFUNCTION("""COMPUTED_VALUE"""),"")</f>
        <v/>
      </c>
      <c r="H17260" s="42">
        <f t="shared" si="1"/>
        <v>3345</v>
      </c>
    </row>
    <row r="17261" ht="22.5" customHeight="1">
      <c r="B17261" s="42" t="str">
        <f>IFERROR(__xludf.DUMMYFUNCTION("""COMPUTED_VALUE"""),"")</f>
        <v/>
      </c>
      <c r="C17261" s="42" t="str">
        <f>IFERROR(__xludf.DUMMYFUNCTION("""COMPUTED_VALUE"""),"")</f>
        <v/>
      </c>
      <c r="D17261" s="42"/>
      <c r="E17261" s="42"/>
      <c r="F17261" s="48" t="str">
        <f>IFERROR(__xludf.DUMMYFUNCTION("""COMPUTED_VALUE"""),"")</f>
        <v/>
      </c>
      <c r="G17261" s="42" t="str">
        <f>IFERROR(__xludf.DUMMYFUNCTION("""COMPUTED_VALUE"""),"")</f>
        <v/>
      </c>
      <c r="H17261" s="42">
        <f t="shared" si="1"/>
        <v>3345</v>
      </c>
    </row>
    <row r="17262" ht="22.5" customHeight="1">
      <c r="B17262" s="42" t="str">
        <f>IFERROR(__xludf.DUMMYFUNCTION("""COMPUTED_VALUE"""),"")</f>
        <v/>
      </c>
      <c r="C17262" s="42" t="str">
        <f>IFERROR(__xludf.DUMMYFUNCTION("""COMPUTED_VALUE"""),"")</f>
        <v/>
      </c>
      <c r="D17262" s="42"/>
      <c r="E17262" s="42"/>
      <c r="F17262" s="48" t="str">
        <f>IFERROR(__xludf.DUMMYFUNCTION("""COMPUTED_VALUE"""),"")</f>
        <v/>
      </c>
      <c r="G17262" s="42" t="str">
        <f>IFERROR(__xludf.DUMMYFUNCTION("""COMPUTED_VALUE"""),"")</f>
        <v/>
      </c>
      <c r="H17262" s="42">
        <f t="shared" si="1"/>
        <v>3345</v>
      </c>
    </row>
    <row r="17263" ht="22.5" customHeight="1">
      <c r="B17263" s="42" t="str">
        <f>IFERROR(__xludf.DUMMYFUNCTION("""COMPUTED_VALUE"""),"")</f>
        <v/>
      </c>
      <c r="C17263" s="42" t="str">
        <f>IFERROR(__xludf.DUMMYFUNCTION("""COMPUTED_VALUE"""),"")</f>
        <v/>
      </c>
      <c r="D17263" s="42"/>
      <c r="E17263" s="42"/>
      <c r="F17263" s="48" t="str">
        <f>IFERROR(__xludf.DUMMYFUNCTION("""COMPUTED_VALUE"""),"")</f>
        <v/>
      </c>
      <c r="G17263" s="42" t="str">
        <f>IFERROR(__xludf.DUMMYFUNCTION("""COMPUTED_VALUE"""),"")</f>
        <v/>
      </c>
      <c r="H17263" s="42">
        <f t="shared" si="1"/>
        <v>3345</v>
      </c>
    </row>
    <row r="17264" ht="22.5" customHeight="1">
      <c r="B17264" s="42" t="str">
        <f>IFERROR(__xludf.DUMMYFUNCTION("""COMPUTED_VALUE"""),"")</f>
        <v/>
      </c>
      <c r="C17264" s="42" t="str">
        <f>IFERROR(__xludf.DUMMYFUNCTION("""COMPUTED_VALUE"""),"")</f>
        <v/>
      </c>
      <c r="D17264" s="42"/>
      <c r="E17264" s="42"/>
      <c r="F17264" s="48" t="str">
        <f>IFERROR(__xludf.DUMMYFUNCTION("""COMPUTED_VALUE"""),"")</f>
        <v/>
      </c>
      <c r="G17264" s="42" t="str">
        <f>IFERROR(__xludf.DUMMYFUNCTION("""COMPUTED_VALUE"""),"")</f>
        <v/>
      </c>
      <c r="H17264" s="42">
        <f t="shared" si="1"/>
        <v>3345</v>
      </c>
    </row>
    <row r="17265" ht="22.5" customHeight="1">
      <c r="B17265" s="42" t="str">
        <f>IFERROR(__xludf.DUMMYFUNCTION("""COMPUTED_VALUE"""),"")</f>
        <v/>
      </c>
      <c r="C17265" s="42" t="str">
        <f>IFERROR(__xludf.DUMMYFUNCTION("""COMPUTED_VALUE"""),"")</f>
        <v/>
      </c>
      <c r="D17265" s="42"/>
      <c r="E17265" s="42"/>
      <c r="F17265" s="48" t="str">
        <f>IFERROR(__xludf.DUMMYFUNCTION("""COMPUTED_VALUE"""),"")</f>
        <v/>
      </c>
      <c r="G17265" s="42" t="str">
        <f>IFERROR(__xludf.DUMMYFUNCTION("""COMPUTED_VALUE"""),"")</f>
        <v/>
      </c>
      <c r="H17265" s="42">
        <f t="shared" si="1"/>
        <v>3345</v>
      </c>
    </row>
    <row r="17266" ht="22.5" customHeight="1">
      <c r="B17266" s="42" t="str">
        <f>IFERROR(__xludf.DUMMYFUNCTION("""COMPUTED_VALUE"""),"")</f>
        <v/>
      </c>
      <c r="C17266" s="42" t="str">
        <f>IFERROR(__xludf.DUMMYFUNCTION("""COMPUTED_VALUE"""),"")</f>
        <v/>
      </c>
      <c r="D17266" s="42"/>
      <c r="E17266" s="42"/>
      <c r="F17266" s="48" t="str">
        <f>IFERROR(__xludf.DUMMYFUNCTION("""COMPUTED_VALUE"""),"")</f>
        <v/>
      </c>
      <c r="G17266" s="42" t="str">
        <f>IFERROR(__xludf.DUMMYFUNCTION("""COMPUTED_VALUE"""),"")</f>
        <v/>
      </c>
      <c r="H17266" s="42">
        <f t="shared" si="1"/>
        <v>3345</v>
      </c>
    </row>
    <row r="17267" ht="22.5" customHeight="1">
      <c r="B17267" s="42" t="str">
        <f>IFERROR(__xludf.DUMMYFUNCTION("""COMPUTED_VALUE"""),"")</f>
        <v/>
      </c>
      <c r="C17267" s="42" t="str">
        <f>IFERROR(__xludf.DUMMYFUNCTION("""COMPUTED_VALUE"""),"")</f>
        <v/>
      </c>
      <c r="D17267" s="42"/>
      <c r="E17267" s="42"/>
      <c r="F17267" s="48" t="str">
        <f>IFERROR(__xludf.DUMMYFUNCTION("""COMPUTED_VALUE"""),"")</f>
        <v/>
      </c>
      <c r="G17267" s="42" t="str">
        <f>IFERROR(__xludf.DUMMYFUNCTION("""COMPUTED_VALUE"""),"")</f>
        <v/>
      </c>
      <c r="H17267" s="42">
        <f t="shared" si="1"/>
        <v>3345</v>
      </c>
    </row>
    <row r="17268" ht="22.5" customHeight="1">
      <c r="B17268" s="42" t="str">
        <f>IFERROR(__xludf.DUMMYFUNCTION("""COMPUTED_VALUE"""),"")</f>
        <v/>
      </c>
      <c r="C17268" s="42" t="str">
        <f>IFERROR(__xludf.DUMMYFUNCTION("""COMPUTED_VALUE"""),"")</f>
        <v/>
      </c>
      <c r="D17268" s="42"/>
      <c r="E17268" s="42"/>
      <c r="F17268" s="48" t="str">
        <f>IFERROR(__xludf.DUMMYFUNCTION("""COMPUTED_VALUE"""),"")</f>
        <v/>
      </c>
      <c r="G17268" s="42" t="str">
        <f>IFERROR(__xludf.DUMMYFUNCTION("""COMPUTED_VALUE"""),"")</f>
        <v/>
      </c>
      <c r="H17268" s="42">
        <f t="shared" si="1"/>
        <v>3345</v>
      </c>
    </row>
    <row r="17269" ht="22.5" customHeight="1">
      <c r="B17269" s="42" t="str">
        <f>IFERROR(__xludf.DUMMYFUNCTION("""COMPUTED_VALUE"""),"")</f>
        <v/>
      </c>
      <c r="C17269" s="42" t="str">
        <f>IFERROR(__xludf.DUMMYFUNCTION("""COMPUTED_VALUE"""),"")</f>
        <v/>
      </c>
      <c r="D17269" s="42"/>
      <c r="E17269" s="42"/>
      <c r="F17269" s="48" t="str">
        <f>IFERROR(__xludf.DUMMYFUNCTION("""COMPUTED_VALUE"""),"")</f>
        <v/>
      </c>
      <c r="G17269" s="42" t="str">
        <f>IFERROR(__xludf.DUMMYFUNCTION("""COMPUTED_VALUE"""),"")</f>
        <v/>
      </c>
      <c r="H17269" s="42">
        <f t="shared" si="1"/>
        <v>3345</v>
      </c>
    </row>
    <row r="17270" ht="22.5" customHeight="1">
      <c r="B17270" s="42" t="str">
        <f>IFERROR(__xludf.DUMMYFUNCTION("""COMPUTED_VALUE"""),"")</f>
        <v/>
      </c>
      <c r="C17270" s="42" t="str">
        <f>IFERROR(__xludf.DUMMYFUNCTION("""COMPUTED_VALUE"""),"")</f>
        <v/>
      </c>
      <c r="D17270" s="42"/>
      <c r="E17270" s="42"/>
      <c r="F17270" s="48" t="str">
        <f>IFERROR(__xludf.DUMMYFUNCTION("""COMPUTED_VALUE"""),"")</f>
        <v/>
      </c>
      <c r="G17270" s="42" t="str">
        <f>IFERROR(__xludf.DUMMYFUNCTION("""COMPUTED_VALUE"""),"")</f>
        <v/>
      </c>
      <c r="H17270" s="42">
        <f t="shared" si="1"/>
        <v>3345</v>
      </c>
    </row>
    <row r="17271" ht="22.5" customHeight="1">
      <c r="B17271" s="42" t="str">
        <f>IFERROR(__xludf.DUMMYFUNCTION("""COMPUTED_VALUE"""),"")</f>
        <v/>
      </c>
      <c r="C17271" s="42" t="str">
        <f>IFERROR(__xludf.DUMMYFUNCTION("""COMPUTED_VALUE"""),"")</f>
        <v/>
      </c>
      <c r="D17271" s="42"/>
      <c r="E17271" s="42"/>
      <c r="F17271" s="48" t="str">
        <f>IFERROR(__xludf.DUMMYFUNCTION("""COMPUTED_VALUE"""),"")</f>
        <v/>
      </c>
      <c r="G17271" s="42" t="str">
        <f>IFERROR(__xludf.DUMMYFUNCTION("""COMPUTED_VALUE"""),"")</f>
        <v/>
      </c>
      <c r="H17271" s="42">
        <f t="shared" si="1"/>
        <v>3345</v>
      </c>
    </row>
    <row r="17272" ht="22.5" customHeight="1">
      <c r="B17272" s="42" t="str">
        <f>IFERROR(__xludf.DUMMYFUNCTION("""COMPUTED_VALUE"""),"")</f>
        <v/>
      </c>
      <c r="C17272" s="42" t="str">
        <f>IFERROR(__xludf.DUMMYFUNCTION("""COMPUTED_VALUE"""),"")</f>
        <v/>
      </c>
      <c r="D17272" s="42"/>
      <c r="E17272" s="42"/>
      <c r="F17272" s="48" t="str">
        <f>IFERROR(__xludf.DUMMYFUNCTION("""COMPUTED_VALUE"""),"")</f>
        <v/>
      </c>
      <c r="G17272" s="42" t="str">
        <f>IFERROR(__xludf.DUMMYFUNCTION("""COMPUTED_VALUE"""),"")</f>
        <v/>
      </c>
      <c r="H17272" s="42">
        <f t="shared" si="1"/>
        <v>3345</v>
      </c>
    </row>
    <row r="17273" ht="22.5" customHeight="1">
      <c r="B17273" s="42" t="str">
        <f>IFERROR(__xludf.DUMMYFUNCTION("""COMPUTED_VALUE"""),"")</f>
        <v/>
      </c>
      <c r="C17273" s="42" t="str">
        <f>IFERROR(__xludf.DUMMYFUNCTION("""COMPUTED_VALUE"""),"")</f>
        <v/>
      </c>
      <c r="D17273" s="42"/>
      <c r="E17273" s="42"/>
      <c r="F17273" s="48" t="str">
        <f>IFERROR(__xludf.DUMMYFUNCTION("""COMPUTED_VALUE"""),"")</f>
        <v/>
      </c>
      <c r="G17273" s="42" t="str">
        <f>IFERROR(__xludf.DUMMYFUNCTION("""COMPUTED_VALUE"""),"")</f>
        <v/>
      </c>
      <c r="H17273" s="42">
        <f t="shared" si="1"/>
        <v>3345</v>
      </c>
    </row>
    <row r="17274" ht="22.5" customHeight="1">
      <c r="B17274" s="42" t="str">
        <f>IFERROR(__xludf.DUMMYFUNCTION("""COMPUTED_VALUE"""),"")</f>
        <v/>
      </c>
      <c r="C17274" s="42" t="str">
        <f>IFERROR(__xludf.DUMMYFUNCTION("""COMPUTED_VALUE"""),"")</f>
        <v/>
      </c>
      <c r="D17274" s="42"/>
      <c r="E17274" s="42"/>
      <c r="F17274" s="48" t="str">
        <f>IFERROR(__xludf.DUMMYFUNCTION("""COMPUTED_VALUE"""),"")</f>
        <v/>
      </c>
      <c r="G17274" s="42" t="str">
        <f>IFERROR(__xludf.DUMMYFUNCTION("""COMPUTED_VALUE"""),"")</f>
        <v/>
      </c>
      <c r="H17274" s="42">
        <f t="shared" si="1"/>
        <v>3345</v>
      </c>
    </row>
    <row r="17275" ht="22.5" customHeight="1">
      <c r="B17275" s="42" t="str">
        <f>IFERROR(__xludf.DUMMYFUNCTION("""COMPUTED_VALUE"""),"")</f>
        <v/>
      </c>
      <c r="C17275" s="42" t="str">
        <f>IFERROR(__xludf.DUMMYFUNCTION("""COMPUTED_VALUE"""),"")</f>
        <v/>
      </c>
      <c r="D17275" s="42"/>
      <c r="E17275" s="42"/>
      <c r="F17275" s="48" t="str">
        <f>IFERROR(__xludf.DUMMYFUNCTION("""COMPUTED_VALUE"""),"")</f>
        <v/>
      </c>
      <c r="G17275" s="42" t="str">
        <f>IFERROR(__xludf.DUMMYFUNCTION("""COMPUTED_VALUE"""),"")</f>
        <v/>
      </c>
      <c r="H17275" s="42">
        <f t="shared" si="1"/>
        <v>3345</v>
      </c>
    </row>
    <row r="17276" ht="22.5" customHeight="1">
      <c r="B17276" s="42" t="str">
        <f>IFERROR(__xludf.DUMMYFUNCTION("""COMPUTED_VALUE"""),"")</f>
        <v/>
      </c>
      <c r="C17276" s="42" t="str">
        <f>IFERROR(__xludf.DUMMYFUNCTION("""COMPUTED_VALUE"""),"")</f>
        <v/>
      </c>
      <c r="D17276" s="42"/>
      <c r="E17276" s="42"/>
      <c r="F17276" s="48" t="str">
        <f>IFERROR(__xludf.DUMMYFUNCTION("""COMPUTED_VALUE"""),"")</f>
        <v/>
      </c>
      <c r="G17276" s="42" t="str">
        <f>IFERROR(__xludf.DUMMYFUNCTION("""COMPUTED_VALUE"""),"")</f>
        <v/>
      </c>
      <c r="H17276" s="42">
        <f t="shared" si="1"/>
        <v>3345</v>
      </c>
    </row>
    <row r="17277" ht="22.5" customHeight="1">
      <c r="B17277" s="42" t="str">
        <f>IFERROR(__xludf.DUMMYFUNCTION("""COMPUTED_VALUE"""),"")</f>
        <v/>
      </c>
      <c r="C17277" s="42" t="str">
        <f>IFERROR(__xludf.DUMMYFUNCTION("""COMPUTED_VALUE"""),"")</f>
        <v/>
      </c>
      <c r="D17277" s="42"/>
      <c r="E17277" s="42"/>
      <c r="F17277" s="48" t="str">
        <f>IFERROR(__xludf.DUMMYFUNCTION("""COMPUTED_VALUE"""),"")</f>
        <v/>
      </c>
      <c r="G17277" s="42" t="str">
        <f>IFERROR(__xludf.DUMMYFUNCTION("""COMPUTED_VALUE"""),"")</f>
        <v/>
      </c>
      <c r="H17277" s="42">
        <f t="shared" si="1"/>
        <v>3345</v>
      </c>
    </row>
    <row r="17278" ht="22.5" customHeight="1">
      <c r="B17278" s="42" t="str">
        <f>IFERROR(__xludf.DUMMYFUNCTION("""COMPUTED_VALUE"""),"")</f>
        <v/>
      </c>
      <c r="C17278" s="42" t="str">
        <f>IFERROR(__xludf.DUMMYFUNCTION("""COMPUTED_VALUE"""),"")</f>
        <v/>
      </c>
      <c r="D17278" s="42"/>
      <c r="E17278" s="42"/>
      <c r="F17278" s="48" t="str">
        <f>IFERROR(__xludf.DUMMYFUNCTION("""COMPUTED_VALUE"""),"")</f>
        <v/>
      </c>
      <c r="G17278" s="42" t="str">
        <f>IFERROR(__xludf.DUMMYFUNCTION("""COMPUTED_VALUE"""),"")</f>
        <v/>
      </c>
      <c r="H17278" s="42">
        <f t="shared" si="1"/>
        <v>3345</v>
      </c>
    </row>
    <row r="17279" ht="22.5" customHeight="1">
      <c r="B17279" s="42" t="str">
        <f>IFERROR(__xludf.DUMMYFUNCTION("""COMPUTED_VALUE"""),"")</f>
        <v/>
      </c>
      <c r="C17279" s="42" t="str">
        <f>IFERROR(__xludf.DUMMYFUNCTION("""COMPUTED_VALUE"""),"")</f>
        <v/>
      </c>
      <c r="D17279" s="42"/>
      <c r="E17279" s="42"/>
      <c r="F17279" s="48" t="str">
        <f>IFERROR(__xludf.DUMMYFUNCTION("""COMPUTED_VALUE"""),"")</f>
        <v/>
      </c>
      <c r="G17279" s="42" t="str">
        <f>IFERROR(__xludf.DUMMYFUNCTION("""COMPUTED_VALUE"""),"")</f>
        <v/>
      </c>
      <c r="H17279" s="42">
        <f t="shared" si="1"/>
        <v>3345</v>
      </c>
    </row>
    <row r="17280" ht="22.5" customHeight="1">
      <c r="B17280" s="42" t="str">
        <f>IFERROR(__xludf.DUMMYFUNCTION("""COMPUTED_VALUE"""),"")</f>
        <v/>
      </c>
      <c r="C17280" s="42" t="str">
        <f>IFERROR(__xludf.DUMMYFUNCTION("""COMPUTED_VALUE"""),"")</f>
        <v/>
      </c>
      <c r="D17280" s="42"/>
      <c r="E17280" s="42"/>
      <c r="F17280" s="48" t="str">
        <f>IFERROR(__xludf.DUMMYFUNCTION("""COMPUTED_VALUE"""),"")</f>
        <v/>
      </c>
      <c r="G17280" s="42" t="str">
        <f>IFERROR(__xludf.DUMMYFUNCTION("""COMPUTED_VALUE"""),"")</f>
        <v/>
      </c>
      <c r="H17280" s="42">
        <f t="shared" si="1"/>
        <v>3345</v>
      </c>
    </row>
    <row r="17281" ht="22.5" customHeight="1">
      <c r="B17281" s="42" t="str">
        <f>IFERROR(__xludf.DUMMYFUNCTION("""COMPUTED_VALUE"""),"")</f>
        <v/>
      </c>
      <c r="C17281" s="42" t="str">
        <f>IFERROR(__xludf.DUMMYFUNCTION("""COMPUTED_VALUE"""),"")</f>
        <v/>
      </c>
      <c r="D17281" s="42"/>
      <c r="E17281" s="42"/>
      <c r="F17281" s="48" t="str">
        <f>IFERROR(__xludf.DUMMYFUNCTION("""COMPUTED_VALUE"""),"")</f>
        <v/>
      </c>
      <c r="G17281" s="42" t="str">
        <f>IFERROR(__xludf.DUMMYFUNCTION("""COMPUTED_VALUE"""),"")</f>
        <v/>
      </c>
      <c r="H17281" s="42">
        <f t="shared" si="1"/>
        <v>3345</v>
      </c>
    </row>
    <row r="17282" ht="22.5" customHeight="1">
      <c r="B17282" s="42" t="str">
        <f>IFERROR(__xludf.DUMMYFUNCTION("""COMPUTED_VALUE"""),"")</f>
        <v/>
      </c>
      <c r="C17282" s="42" t="str">
        <f>IFERROR(__xludf.DUMMYFUNCTION("""COMPUTED_VALUE"""),"")</f>
        <v/>
      </c>
      <c r="D17282" s="42"/>
      <c r="E17282" s="42"/>
      <c r="F17282" s="48" t="str">
        <f>IFERROR(__xludf.DUMMYFUNCTION("""COMPUTED_VALUE"""),"")</f>
        <v/>
      </c>
      <c r="G17282" s="42" t="str">
        <f>IFERROR(__xludf.DUMMYFUNCTION("""COMPUTED_VALUE"""),"")</f>
        <v/>
      </c>
      <c r="H17282" s="42">
        <f t="shared" si="1"/>
        <v>3345</v>
      </c>
    </row>
    <row r="17283" ht="22.5" customHeight="1">
      <c r="B17283" s="42" t="str">
        <f>IFERROR(__xludf.DUMMYFUNCTION("""COMPUTED_VALUE"""),"")</f>
        <v/>
      </c>
      <c r="C17283" s="42" t="str">
        <f>IFERROR(__xludf.DUMMYFUNCTION("""COMPUTED_VALUE"""),"")</f>
        <v/>
      </c>
      <c r="D17283" s="42"/>
      <c r="E17283" s="42"/>
      <c r="F17283" s="48" t="str">
        <f>IFERROR(__xludf.DUMMYFUNCTION("""COMPUTED_VALUE"""),"")</f>
        <v/>
      </c>
      <c r="G17283" s="42" t="str">
        <f>IFERROR(__xludf.DUMMYFUNCTION("""COMPUTED_VALUE"""),"")</f>
        <v/>
      </c>
      <c r="H17283" s="42">
        <f t="shared" si="1"/>
        <v>3345</v>
      </c>
    </row>
    <row r="17284" ht="22.5" customHeight="1">
      <c r="B17284" s="42" t="str">
        <f>IFERROR(__xludf.DUMMYFUNCTION("""COMPUTED_VALUE"""),"")</f>
        <v/>
      </c>
      <c r="C17284" s="42" t="str">
        <f>IFERROR(__xludf.DUMMYFUNCTION("""COMPUTED_VALUE"""),"")</f>
        <v/>
      </c>
      <c r="D17284" s="42"/>
      <c r="E17284" s="42"/>
      <c r="F17284" s="48" t="str">
        <f>IFERROR(__xludf.DUMMYFUNCTION("""COMPUTED_VALUE"""),"")</f>
        <v/>
      </c>
      <c r="G17284" s="42" t="str">
        <f>IFERROR(__xludf.DUMMYFUNCTION("""COMPUTED_VALUE"""),"")</f>
        <v/>
      </c>
      <c r="H17284" s="42">
        <f t="shared" si="1"/>
        <v>3345</v>
      </c>
    </row>
    <row r="17285" ht="22.5" customHeight="1">
      <c r="B17285" s="42" t="str">
        <f>IFERROR(__xludf.DUMMYFUNCTION("""COMPUTED_VALUE"""),"")</f>
        <v/>
      </c>
      <c r="C17285" s="42" t="str">
        <f>IFERROR(__xludf.DUMMYFUNCTION("""COMPUTED_VALUE"""),"")</f>
        <v/>
      </c>
      <c r="D17285" s="42"/>
      <c r="E17285" s="42"/>
      <c r="F17285" s="48" t="str">
        <f>IFERROR(__xludf.DUMMYFUNCTION("""COMPUTED_VALUE"""),"")</f>
        <v/>
      </c>
      <c r="G17285" s="42" t="str">
        <f>IFERROR(__xludf.DUMMYFUNCTION("""COMPUTED_VALUE"""),"")</f>
        <v/>
      </c>
      <c r="H17285" s="42">
        <f t="shared" si="1"/>
        <v>3345</v>
      </c>
    </row>
    <row r="17286" ht="22.5" customHeight="1">
      <c r="B17286" s="42" t="str">
        <f>IFERROR(__xludf.DUMMYFUNCTION("""COMPUTED_VALUE"""),"")</f>
        <v/>
      </c>
      <c r="C17286" s="42" t="str">
        <f>IFERROR(__xludf.DUMMYFUNCTION("""COMPUTED_VALUE"""),"")</f>
        <v/>
      </c>
      <c r="D17286" s="42"/>
      <c r="E17286" s="42"/>
      <c r="F17286" s="48" t="str">
        <f>IFERROR(__xludf.DUMMYFUNCTION("""COMPUTED_VALUE"""),"")</f>
        <v/>
      </c>
      <c r="G17286" s="42" t="str">
        <f>IFERROR(__xludf.DUMMYFUNCTION("""COMPUTED_VALUE"""),"")</f>
        <v/>
      </c>
      <c r="H17286" s="42">
        <f t="shared" si="1"/>
        <v>3345</v>
      </c>
    </row>
    <row r="17287" ht="22.5" customHeight="1">
      <c r="B17287" s="42" t="str">
        <f>IFERROR(__xludf.DUMMYFUNCTION("""COMPUTED_VALUE"""),"")</f>
        <v/>
      </c>
      <c r="C17287" s="42" t="str">
        <f>IFERROR(__xludf.DUMMYFUNCTION("""COMPUTED_VALUE"""),"")</f>
        <v/>
      </c>
      <c r="D17287" s="42"/>
      <c r="E17287" s="42"/>
      <c r="F17287" s="48" t="str">
        <f>IFERROR(__xludf.DUMMYFUNCTION("""COMPUTED_VALUE"""),"")</f>
        <v/>
      </c>
      <c r="G17287" s="42" t="str">
        <f>IFERROR(__xludf.DUMMYFUNCTION("""COMPUTED_VALUE"""),"")</f>
        <v/>
      </c>
      <c r="H17287" s="42">
        <f t="shared" si="1"/>
        <v>3345</v>
      </c>
    </row>
    <row r="17288" ht="22.5" customHeight="1">
      <c r="B17288" s="42" t="str">
        <f>IFERROR(__xludf.DUMMYFUNCTION("""COMPUTED_VALUE"""),"")</f>
        <v/>
      </c>
      <c r="C17288" s="42" t="str">
        <f>IFERROR(__xludf.DUMMYFUNCTION("""COMPUTED_VALUE"""),"")</f>
        <v/>
      </c>
      <c r="D17288" s="42"/>
      <c r="E17288" s="42"/>
      <c r="F17288" s="48" t="str">
        <f>IFERROR(__xludf.DUMMYFUNCTION("""COMPUTED_VALUE"""),"")</f>
        <v/>
      </c>
      <c r="G17288" s="42" t="str">
        <f>IFERROR(__xludf.DUMMYFUNCTION("""COMPUTED_VALUE"""),"")</f>
        <v/>
      </c>
      <c r="H17288" s="42">
        <f t="shared" si="1"/>
        <v>3345</v>
      </c>
    </row>
    <row r="17289" ht="22.5" customHeight="1">
      <c r="B17289" s="42" t="str">
        <f>IFERROR(__xludf.DUMMYFUNCTION("""COMPUTED_VALUE"""),"")</f>
        <v/>
      </c>
      <c r="C17289" s="42" t="str">
        <f>IFERROR(__xludf.DUMMYFUNCTION("""COMPUTED_VALUE"""),"")</f>
        <v/>
      </c>
      <c r="D17289" s="42"/>
      <c r="E17289" s="42"/>
      <c r="F17289" s="48" t="str">
        <f>IFERROR(__xludf.DUMMYFUNCTION("""COMPUTED_VALUE"""),"")</f>
        <v/>
      </c>
      <c r="G17289" s="42" t="str">
        <f>IFERROR(__xludf.DUMMYFUNCTION("""COMPUTED_VALUE"""),"")</f>
        <v/>
      </c>
      <c r="H17289" s="42">
        <f t="shared" si="1"/>
        <v>3345</v>
      </c>
    </row>
    <row r="17290" ht="22.5" customHeight="1">
      <c r="B17290" s="42" t="str">
        <f>IFERROR(__xludf.DUMMYFUNCTION("""COMPUTED_VALUE"""),"")</f>
        <v/>
      </c>
      <c r="C17290" s="42" t="str">
        <f>IFERROR(__xludf.DUMMYFUNCTION("""COMPUTED_VALUE"""),"")</f>
        <v/>
      </c>
      <c r="D17290" s="42"/>
      <c r="E17290" s="42"/>
      <c r="F17290" s="48" t="str">
        <f>IFERROR(__xludf.DUMMYFUNCTION("""COMPUTED_VALUE"""),"")</f>
        <v/>
      </c>
      <c r="G17290" s="42" t="str">
        <f>IFERROR(__xludf.DUMMYFUNCTION("""COMPUTED_VALUE"""),"")</f>
        <v/>
      </c>
      <c r="H17290" s="42">
        <f t="shared" si="1"/>
        <v>3345</v>
      </c>
    </row>
    <row r="17291" ht="22.5" customHeight="1">
      <c r="B17291" s="42" t="str">
        <f>IFERROR(__xludf.DUMMYFUNCTION("""COMPUTED_VALUE"""),"")</f>
        <v/>
      </c>
      <c r="C17291" s="42" t="str">
        <f>IFERROR(__xludf.DUMMYFUNCTION("""COMPUTED_VALUE"""),"")</f>
        <v/>
      </c>
      <c r="D17291" s="42"/>
      <c r="E17291" s="42"/>
      <c r="F17291" s="48" t="str">
        <f>IFERROR(__xludf.DUMMYFUNCTION("""COMPUTED_VALUE"""),"")</f>
        <v/>
      </c>
      <c r="G17291" s="42" t="str">
        <f>IFERROR(__xludf.DUMMYFUNCTION("""COMPUTED_VALUE"""),"")</f>
        <v/>
      </c>
      <c r="H17291" s="42">
        <f t="shared" si="1"/>
        <v>3345</v>
      </c>
    </row>
    <row r="17292" ht="22.5" customHeight="1">
      <c r="B17292" s="42" t="str">
        <f>IFERROR(__xludf.DUMMYFUNCTION("""COMPUTED_VALUE"""),"")</f>
        <v/>
      </c>
      <c r="C17292" s="42" t="str">
        <f>IFERROR(__xludf.DUMMYFUNCTION("""COMPUTED_VALUE"""),"")</f>
        <v/>
      </c>
      <c r="D17292" s="42"/>
      <c r="E17292" s="42"/>
      <c r="F17292" s="48" t="str">
        <f>IFERROR(__xludf.DUMMYFUNCTION("""COMPUTED_VALUE"""),"")</f>
        <v/>
      </c>
      <c r="G17292" s="42" t="str">
        <f>IFERROR(__xludf.DUMMYFUNCTION("""COMPUTED_VALUE"""),"")</f>
        <v/>
      </c>
      <c r="H17292" s="42">
        <f t="shared" si="1"/>
        <v>3345</v>
      </c>
    </row>
    <row r="17293" ht="22.5" customHeight="1">
      <c r="B17293" s="42" t="str">
        <f>IFERROR(__xludf.DUMMYFUNCTION("""COMPUTED_VALUE"""),"")</f>
        <v/>
      </c>
      <c r="C17293" s="42" t="str">
        <f>IFERROR(__xludf.DUMMYFUNCTION("""COMPUTED_VALUE"""),"")</f>
        <v/>
      </c>
      <c r="D17293" s="42"/>
      <c r="E17293" s="42"/>
      <c r="F17293" s="48" t="str">
        <f>IFERROR(__xludf.DUMMYFUNCTION("""COMPUTED_VALUE"""),"")</f>
        <v/>
      </c>
      <c r="G17293" s="42" t="str">
        <f>IFERROR(__xludf.DUMMYFUNCTION("""COMPUTED_VALUE"""),"")</f>
        <v/>
      </c>
      <c r="H17293" s="42">
        <f t="shared" si="1"/>
        <v>3345</v>
      </c>
    </row>
    <row r="17294" ht="22.5" customHeight="1">
      <c r="B17294" s="42" t="str">
        <f>IFERROR(__xludf.DUMMYFUNCTION("""COMPUTED_VALUE"""),"")</f>
        <v/>
      </c>
      <c r="C17294" s="42" t="str">
        <f>IFERROR(__xludf.DUMMYFUNCTION("""COMPUTED_VALUE"""),"")</f>
        <v/>
      </c>
      <c r="D17294" s="42"/>
      <c r="E17294" s="42"/>
      <c r="F17294" s="48" t="str">
        <f>IFERROR(__xludf.DUMMYFUNCTION("""COMPUTED_VALUE"""),"")</f>
        <v/>
      </c>
      <c r="G17294" s="42" t="str">
        <f>IFERROR(__xludf.DUMMYFUNCTION("""COMPUTED_VALUE"""),"")</f>
        <v/>
      </c>
      <c r="H17294" s="42">
        <f t="shared" si="1"/>
        <v>3345</v>
      </c>
    </row>
    <row r="17295" ht="22.5" customHeight="1">
      <c r="B17295" s="42" t="str">
        <f>IFERROR(__xludf.DUMMYFUNCTION("""COMPUTED_VALUE"""),"")</f>
        <v/>
      </c>
      <c r="C17295" s="42" t="str">
        <f>IFERROR(__xludf.DUMMYFUNCTION("""COMPUTED_VALUE"""),"")</f>
        <v/>
      </c>
      <c r="D17295" s="42"/>
      <c r="E17295" s="42"/>
      <c r="F17295" s="48" t="str">
        <f>IFERROR(__xludf.DUMMYFUNCTION("""COMPUTED_VALUE"""),"")</f>
        <v/>
      </c>
      <c r="G17295" s="42" t="str">
        <f>IFERROR(__xludf.DUMMYFUNCTION("""COMPUTED_VALUE"""),"")</f>
        <v/>
      </c>
      <c r="H17295" s="42">
        <f t="shared" si="1"/>
        <v>3345</v>
      </c>
    </row>
    <row r="17296" ht="22.5" customHeight="1">
      <c r="B17296" s="42" t="str">
        <f>IFERROR(__xludf.DUMMYFUNCTION("""COMPUTED_VALUE"""),"")</f>
        <v/>
      </c>
      <c r="C17296" s="42" t="str">
        <f>IFERROR(__xludf.DUMMYFUNCTION("""COMPUTED_VALUE"""),"")</f>
        <v/>
      </c>
      <c r="D17296" s="42"/>
      <c r="E17296" s="42"/>
      <c r="F17296" s="48" t="str">
        <f>IFERROR(__xludf.DUMMYFUNCTION("""COMPUTED_VALUE"""),"")</f>
        <v/>
      </c>
      <c r="G17296" s="42" t="str">
        <f>IFERROR(__xludf.DUMMYFUNCTION("""COMPUTED_VALUE"""),"")</f>
        <v/>
      </c>
      <c r="H17296" s="42">
        <f t="shared" si="1"/>
        <v>3345</v>
      </c>
    </row>
    <row r="17297" ht="22.5" customHeight="1">
      <c r="B17297" s="42" t="str">
        <f>IFERROR(__xludf.DUMMYFUNCTION("""COMPUTED_VALUE"""),"")</f>
        <v/>
      </c>
      <c r="C17297" s="42" t="str">
        <f>IFERROR(__xludf.DUMMYFUNCTION("""COMPUTED_VALUE"""),"")</f>
        <v/>
      </c>
      <c r="D17297" s="42"/>
      <c r="E17297" s="42"/>
      <c r="F17297" s="48" t="str">
        <f>IFERROR(__xludf.DUMMYFUNCTION("""COMPUTED_VALUE"""),"")</f>
        <v/>
      </c>
      <c r="G17297" s="42" t="str">
        <f>IFERROR(__xludf.DUMMYFUNCTION("""COMPUTED_VALUE"""),"")</f>
        <v/>
      </c>
      <c r="H17297" s="42">
        <f t="shared" si="1"/>
        <v>3345</v>
      </c>
    </row>
    <row r="17298" ht="22.5" customHeight="1">
      <c r="B17298" s="42" t="str">
        <f>IFERROR(__xludf.DUMMYFUNCTION("""COMPUTED_VALUE"""),"")</f>
        <v/>
      </c>
      <c r="C17298" s="42" t="str">
        <f>IFERROR(__xludf.DUMMYFUNCTION("""COMPUTED_VALUE"""),"")</f>
        <v/>
      </c>
      <c r="D17298" s="42"/>
      <c r="E17298" s="42"/>
      <c r="F17298" s="48" t="str">
        <f>IFERROR(__xludf.DUMMYFUNCTION("""COMPUTED_VALUE"""),"")</f>
        <v/>
      </c>
      <c r="G17298" s="42" t="str">
        <f>IFERROR(__xludf.DUMMYFUNCTION("""COMPUTED_VALUE"""),"")</f>
        <v/>
      </c>
      <c r="H17298" s="42">
        <f t="shared" si="1"/>
        <v>3345</v>
      </c>
    </row>
    <row r="17299" ht="22.5" customHeight="1">
      <c r="B17299" s="42" t="str">
        <f>IFERROR(__xludf.DUMMYFUNCTION("""COMPUTED_VALUE"""),"")</f>
        <v/>
      </c>
      <c r="C17299" s="42" t="str">
        <f>IFERROR(__xludf.DUMMYFUNCTION("""COMPUTED_VALUE"""),"")</f>
        <v/>
      </c>
      <c r="D17299" s="42"/>
      <c r="E17299" s="42"/>
      <c r="F17299" s="48" t="str">
        <f>IFERROR(__xludf.DUMMYFUNCTION("""COMPUTED_VALUE"""),"")</f>
        <v/>
      </c>
      <c r="G17299" s="42" t="str">
        <f>IFERROR(__xludf.DUMMYFUNCTION("""COMPUTED_VALUE"""),"")</f>
        <v/>
      </c>
      <c r="H17299" s="42">
        <f t="shared" si="1"/>
        <v>3345</v>
      </c>
    </row>
    <row r="17300" ht="22.5" customHeight="1">
      <c r="B17300" s="42" t="str">
        <f>IFERROR(__xludf.DUMMYFUNCTION("""COMPUTED_VALUE"""),"")</f>
        <v/>
      </c>
      <c r="C17300" s="42" t="str">
        <f>IFERROR(__xludf.DUMMYFUNCTION("""COMPUTED_VALUE"""),"")</f>
        <v/>
      </c>
      <c r="D17300" s="42"/>
      <c r="E17300" s="42"/>
      <c r="F17300" s="48" t="str">
        <f>IFERROR(__xludf.DUMMYFUNCTION("""COMPUTED_VALUE"""),"")</f>
        <v/>
      </c>
      <c r="G17300" s="42" t="str">
        <f>IFERROR(__xludf.DUMMYFUNCTION("""COMPUTED_VALUE"""),"")</f>
        <v/>
      </c>
      <c r="H17300" s="42">
        <f t="shared" si="1"/>
        <v>3345</v>
      </c>
    </row>
    <row r="17301" ht="22.5" customHeight="1">
      <c r="B17301" s="42" t="str">
        <f>IFERROR(__xludf.DUMMYFUNCTION("""COMPUTED_VALUE"""),"")</f>
        <v/>
      </c>
      <c r="C17301" s="42" t="str">
        <f>IFERROR(__xludf.DUMMYFUNCTION("""COMPUTED_VALUE"""),"")</f>
        <v/>
      </c>
      <c r="D17301" s="42"/>
      <c r="E17301" s="42"/>
      <c r="F17301" s="48" t="str">
        <f>IFERROR(__xludf.DUMMYFUNCTION("""COMPUTED_VALUE"""),"")</f>
        <v/>
      </c>
      <c r="G17301" s="42" t="str">
        <f>IFERROR(__xludf.DUMMYFUNCTION("""COMPUTED_VALUE"""),"")</f>
        <v/>
      </c>
      <c r="H17301" s="42">
        <f t="shared" si="1"/>
        <v>3345</v>
      </c>
    </row>
    <row r="17302" ht="22.5" customHeight="1">
      <c r="B17302" s="42" t="str">
        <f>IFERROR(__xludf.DUMMYFUNCTION("""COMPUTED_VALUE"""),"")</f>
        <v/>
      </c>
      <c r="C17302" s="42" t="str">
        <f>IFERROR(__xludf.DUMMYFUNCTION("""COMPUTED_VALUE"""),"")</f>
        <v/>
      </c>
      <c r="D17302" s="42"/>
      <c r="E17302" s="42"/>
      <c r="F17302" s="48" t="str">
        <f>IFERROR(__xludf.DUMMYFUNCTION("""COMPUTED_VALUE"""),"")</f>
        <v/>
      </c>
      <c r="G17302" s="42" t="str">
        <f>IFERROR(__xludf.DUMMYFUNCTION("""COMPUTED_VALUE"""),"")</f>
        <v/>
      </c>
      <c r="H17302" s="42">
        <f t="shared" si="1"/>
        <v>3345</v>
      </c>
    </row>
    <row r="17303" ht="22.5" customHeight="1">
      <c r="B17303" s="42" t="str">
        <f>IFERROR(__xludf.DUMMYFUNCTION("""COMPUTED_VALUE"""),"")</f>
        <v/>
      </c>
      <c r="C17303" s="42" t="str">
        <f>IFERROR(__xludf.DUMMYFUNCTION("""COMPUTED_VALUE"""),"")</f>
        <v/>
      </c>
      <c r="D17303" s="42"/>
      <c r="E17303" s="42"/>
      <c r="F17303" s="48" t="str">
        <f>IFERROR(__xludf.DUMMYFUNCTION("""COMPUTED_VALUE"""),"")</f>
        <v/>
      </c>
      <c r="G17303" s="42" t="str">
        <f>IFERROR(__xludf.DUMMYFUNCTION("""COMPUTED_VALUE"""),"")</f>
        <v/>
      </c>
      <c r="H17303" s="42">
        <f t="shared" si="1"/>
        <v>3345</v>
      </c>
    </row>
    <row r="17304" ht="22.5" customHeight="1">
      <c r="B17304" s="42" t="str">
        <f>IFERROR(__xludf.DUMMYFUNCTION("""COMPUTED_VALUE"""),"")</f>
        <v/>
      </c>
      <c r="C17304" s="42" t="str">
        <f>IFERROR(__xludf.DUMMYFUNCTION("""COMPUTED_VALUE"""),"")</f>
        <v/>
      </c>
      <c r="D17304" s="42"/>
      <c r="E17304" s="42"/>
      <c r="F17304" s="48" t="str">
        <f>IFERROR(__xludf.DUMMYFUNCTION("""COMPUTED_VALUE"""),"")</f>
        <v/>
      </c>
      <c r="G17304" s="42" t="str">
        <f>IFERROR(__xludf.DUMMYFUNCTION("""COMPUTED_VALUE"""),"")</f>
        <v/>
      </c>
      <c r="H17304" s="42">
        <f t="shared" si="1"/>
        <v>3345</v>
      </c>
    </row>
    <row r="17305" ht="22.5" customHeight="1">
      <c r="B17305" s="42" t="str">
        <f>IFERROR(__xludf.DUMMYFUNCTION("""COMPUTED_VALUE"""),"")</f>
        <v/>
      </c>
      <c r="C17305" s="42" t="str">
        <f>IFERROR(__xludf.DUMMYFUNCTION("""COMPUTED_VALUE"""),"")</f>
        <v/>
      </c>
      <c r="D17305" s="42"/>
      <c r="E17305" s="42"/>
      <c r="F17305" s="48" t="str">
        <f>IFERROR(__xludf.DUMMYFUNCTION("""COMPUTED_VALUE"""),"")</f>
        <v/>
      </c>
      <c r="G17305" s="42" t="str">
        <f>IFERROR(__xludf.DUMMYFUNCTION("""COMPUTED_VALUE"""),"")</f>
        <v/>
      </c>
      <c r="H17305" s="42">
        <f t="shared" si="1"/>
        <v>3345</v>
      </c>
    </row>
    <row r="17306" ht="22.5" customHeight="1">
      <c r="B17306" s="42" t="str">
        <f>IFERROR(__xludf.DUMMYFUNCTION("""COMPUTED_VALUE"""),"")</f>
        <v/>
      </c>
      <c r="C17306" s="42" t="str">
        <f>IFERROR(__xludf.DUMMYFUNCTION("""COMPUTED_VALUE"""),"")</f>
        <v/>
      </c>
      <c r="D17306" s="42"/>
      <c r="E17306" s="42"/>
      <c r="F17306" s="48" t="str">
        <f>IFERROR(__xludf.DUMMYFUNCTION("""COMPUTED_VALUE"""),"")</f>
        <v/>
      </c>
      <c r="G17306" s="42" t="str">
        <f>IFERROR(__xludf.DUMMYFUNCTION("""COMPUTED_VALUE"""),"")</f>
        <v/>
      </c>
      <c r="H17306" s="42">
        <f t="shared" si="1"/>
        <v>3345</v>
      </c>
    </row>
    <row r="17307" ht="22.5" customHeight="1">
      <c r="B17307" s="42" t="str">
        <f>IFERROR(__xludf.DUMMYFUNCTION("""COMPUTED_VALUE"""),"")</f>
        <v/>
      </c>
      <c r="C17307" s="42" t="str">
        <f>IFERROR(__xludf.DUMMYFUNCTION("""COMPUTED_VALUE"""),"")</f>
        <v/>
      </c>
      <c r="D17307" s="42"/>
      <c r="E17307" s="42"/>
      <c r="F17307" s="48" t="str">
        <f>IFERROR(__xludf.DUMMYFUNCTION("""COMPUTED_VALUE"""),"")</f>
        <v/>
      </c>
      <c r="G17307" s="42" t="str">
        <f>IFERROR(__xludf.DUMMYFUNCTION("""COMPUTED_VALUE"""),"")</f>
        <v/>
      </c>
      <c r="H17307" s="42">
        <f t="shared" si="1"/>
        <v>3345</v>
      </c>
    </row>
    <row r="17308" ht="22.5" customHeight="1">
      <c r="B17308" s="42" t="str">
        <f>IFERROR(__xludf.DUMMYFUNCTION("""COMPUTED_VALUE"""),"")</f>
        <v/>
      </c>
      <c r="C17308" s="42" t="str">
        <f>IFERROR(__xludf.DUMMYFUNCTION("""COMPUTED_VALUE"""),"")</f>
        <v/>
      </c>
      <c r="D17308" s="42"/>
      <c r="E17308" s="42"/>
      <c r="F17308" s="48" t="str">
        <f>IFERROR(__xludf.DUMMYFUNCTION("""COMPUTED_VALUE"""),"")</f>
        <v/>
      </c>
      <c r="G17308" s="42" t="str">
        <f>IFERROR(__xludf.DUMMYFUNCTION("""COMPUTED_VALUE"""),"")</f>
        <v/>
      </c>
      <c r="H17308" s="42">
        <f t="shared" si="1"/>
        <v>3345</v>
      </c>
    </row>
    <row r="17309" ht="22.5" customHeight="1">
      <c r="B17309" s="42" t="str">
        <f>IFERROR(__xludf.DUMMYFUNCTION("""COMPUTED_VALUE"""),"")</f>
        <v/>
      </c>
      <c r="C17309" s="42" t="str">
        <f>IFERROR(__xludf.DUMMYFUNCTION("""COMPUTED_VALUE"""),"")</f>
        <v/>
      </c>
      <c r="D17309" s="42"/>
      <c r="E17309" s="42"/>
      <c r="F17309" s="48" t="str">
        <f>IFERROR(__xludf.DUMMYFUNCTION("""COMPUTED_VALUE"""),"")</f>
        <v/>
      </c>
      <c r="G17309" s="42" t="str">
        <f>IFERROR(__xludf.DUMMYFUNCTION("""COMPUTED_VALUE"""),"")</f>
        <v/>
      </c>
      <c r="H17309" s="42">
        <f t="shared" si="1"/>
        <v>3345</v>
      </c>
    </row>
    <row r="17310" ht="22.5" customHeight="1">
      <c r="B17310" s="42" t="str">
        <f>IFERROR(__xludf.DUMMYFUNCTION("""COMPUTED_VALUE"""),"")</f>
        <v/>
      </c>
      <c r="C17310" s="42" t="str">
        <f>IFERROR(__xludf.DUMMYFUNCTION("""COMPUTED_VALUE"""),"")</f>
        <v/>
      </c>
      <c r="D17310" s="42"/>
      <c r="E17310" s="42"/>
      <c r="F17310" s="48" t="str">
        <f>IFERROR(__xludf.DUMMYFUNCTION("""COMPUTED_VALUE"""),"")</f>
        <v/>
      </c>
      <c r="G17310" s="42" t="str">
        <f>IFERROR(__xludf.DUMMYFUNCTION("""COMPUTED_VALUE"""),"")</f>
        <v/>
      </c>
      <c r="H17310" s="42">
        <f t="shared" si="1"/>
        <v>3345</v>
      </c>
    </row>
    <row r="17311" ht="22.5" customHeight="1">
      <c r="B17311" s="42" t="str">
        <f>IFERROR(__xludf.DUMMYFUNCTION("""COMPUTED_VALUE"""),"")</f>
        <v/>
      </c>
      <c r="C17311" s="42" t="str">
        <f>IFERROR(__xludf.DUMMYFUNCTION("""COMPUTED_VALUE"""),"")</f>
        <v/>
      </c>
      <c r="D17311" s="42"/>
      <c r="E17311" s="42"/>
      <c r="F17311" s="48" t="str">
        <f>IFERROR(__xludf.DUMMYFUNCTION("""COMPUTED_VALUE"""),"")</f>
        <v/>
      </c>
      <c r="G17311" s="42" t="str">
        <f>IFERROR(__xludf.DUMMYFUNCTION("""COMPUTED_VALUE"""),"")</f>
        <v/>
      </c>
      <c r="H17311" s="42">
        <f t="shared" si="1"/>
        <v>3345</v>
      </c>
    </row>
    <row r="17312" ht="22.5" customHeight="1">
      <c r="B17312" s="42" t="str">
        <f>IFERROR(__xludf.DUMMYFUNCTION("""COMPUTED_VALUE"""),"")</f>
        <v/>
      </c>
      <c r="C17312" s="42" t="str">
        <f>IFERROR(__xludf.DUMMYFUNCTION("""COMPUTED_VALUE"""),"")</f>
        <v/>
      </c>
      <c r="D17312" s="42"/>
      <c r="E17312" s="42"/>
      <c r="F17312" s="48" t="str">
        <f>IFERROR(__xludf.DUMMYFUNCTION("""COMPUTED_VALUE"""),"")</f>
        <v/>
      </c>
      <c r="G17312" s="42" t="str">
        <f>IFERROR(__xludf.DUMMYFUNCTION("""COMPUTED_VALUE"""),"")</f>
        <v/>
      </c>
      <c r="H17312" s="42">
        <f t="shared" si="1"/>
        <v>3345</v>
      </c>
    </row>
    <row r="17313" ht="22.5" customHeight="1">
      <c r="B17313" s="42" t="str">
        <f>IFERROR(__xludf.DUMMYFUNCTION("""COMPUTED_VALUE"""),"")</f>
        <v/>
      </c>
      <c r="C17313" s="42" t="str">
        <f>IFERROR(__xludf.DUMMYFUNCTION("""COMPUTED_VALUE"""),"")</f>
        <v/>
      </c>
      <c r="D17313" s="42"/>
      <c r="E17313" s="42"/>
      <c r="F17313" s="48" t="str">
        <f>IFERROR(__xludf.DUMMYFUNCTION("""COMPUTED_VALUE"""),"")</f>
        <v/>
      </c>
      <c r="G17313" s="42" t="str">
        <f>IFERROR(__xludf.DUMMYFUNCTION("""COMPUTED_VALUE"""),"")</f>
        <v/>
      </c>
      <c r="H17313" s="42">
        <f t="shared" si="1"/>
        <v>3345</v>
      </c>
    </row>
    <row r="17314" ht="22.5" customHeight="1">
      <c r="B17314" s="42" t="str">
        <f>IFERROR(__xludf.DUMMYFUNCTION("""COMPUTED_VALUE"""),"")</f>
        <v/>
      </c>
      <c r="C17314" s="42" t="str">
        <f>IFERROR(__xludf.DUMMYFUNCTION("""COMPUTED_VALUE"""),"")</f>
        <v/>
      </c>
      <c r="D17314" s="42"/>
      <c r="E17314" s="42"/>
      <c r="F17314" s="48" t="str">
        <f>IFERROR(__xludf.DUMMYFUNCTION("""COMPUTED_VALUE"""),"")</f>
        <v/>
      </c>
      <c r="G17314" s="42" t="str">
        <f>IFERROR(__xludf.DUMMYFUNCTION("""COMPUTED_VALUE"""),"")</f>
        <v/>
      </c>
      <c r="H17314" s="42">
        <f t="shared" si="1"/>
        <v>3345</v>
      </c>
    </row>
    <row r="17315" ht="22.5" customHeight="1">
      <c r="B17315" s="42" t="str">
        <f>IFERROR(__xludf.DUMMYFUNCTION("""COMPUTED_VALUE"""),"")</f>
        <v/>
      </c>
      <c r="C17315" s="42" t="str">
        <f>IFERROR(__xludf.DUMMYFUNCTION("""COMPUTED_VALUE"""),"")</f>
        <v/>
      </c>
      <c r="D17315" s="42"/>
      <c r="E17315" s="42"/>
      <c r="F17315" s="48" t="str">
        <f>IFERROR(__xludf.DUMMYFUNCTION("""COMPUTED_VALUE"""),"")</f>
        <v/>
      </c>
      <c r="G17315" s="42" t="str">
        <f>IFERROR(__xludf.DUMMYFUNCTION("""COMPUTED_VALUE"""),"")</f>
        <v/>
      </c>
      <c r="H17315" s="42">
        <f t="shared" si="1"/>
        <v>3345</v>
      </c>
    </row>
    <row r="17316" ht="22.5" customHeight="1">
      <c r="B17316" s="42" t="str">
        <f>IFERROR(__xludf.DUMMYFUNCTION("""COMPUTED_VALUE"""),"")</f>
        <v/>
      </c>
      <c r="C17316" s="42" t="str">
        <f>IFERROR(__xludf.DUMMYFUNCTION("""COMPUTED_VALUE"""),"")</f>
        <v/>
      </c>
      <c r="D17316" s="42"/>
      <c r="E17316" s="42"/>
      <c r="F17316" s="48" t="str">
        <f>IFERROR(__xludf.DUMMYFUNCTION("""COMPUTED_VALUE"""),"")</f>
        <v/>
      </c>
      <c r="G17316" s="42" t="str">
        <f>IFERROR(__xludf.DUMMYFUNCTION("""COMPUTED_VALUE"""),"")</f>
        <v/>
      </c>
      <c r="H17316" s="42">
        <f t="shared" si="1"/>
        <v>3345</v>
      </c>
    </row>
    <row r="17317" ht="22.5" customHeight="1">
      <c r="B17317" s="42" t="str">
        <f>IFERROR(__xludf.DUMMYFUNCTION("""COMPUTED_VALUE"""),"")</f>
        <v/>
      </c>
      <c r="C17317" s="42" t="str">
        <f>IFERROR(__xludf.DUMMYFUNCTION("""COMPUTED_VALUE"""),"")</f>
        <v/>
      </c>
      <c r="D17317" s="42"/>
      <c r="E17317" s="42"/>
      <c r="F17317" s="48" t="str">
        <f>IFERROR(__xludf.DUMMYFUNCTION("""COMPUTED_VALUE"""),"")</f>
        <v/>
      </c>
      <c r="G17317" s="42" t="str">
        <f>IFERROR(__xludf.DUMMYFUNCTION("""COMPUTED_VALUE"""),"")</f>
        <v/>
      </c>
      <c r="H17317" s="42">
        <f t="shared" si="1"/>
        <v>3345</v>
      </c>
    </row>
    <row r="17318" ht="22.5" customHeight="1">
      <c r="B17318" s="42" t="str">
        <f>IFERROR(__xludf.DUMMYFUNCTION("""COMPUTED_VALUE"""),"")</f>
        <v/>
      </c>
      <c r="C17318" s="42" t="str">
        <f>IFERROR(__xludf.DUMMYFUNCTION("""COMPUTED_VALUE"""),"")</f>
        <v/>
      </c>
      <c r="D17318" s="42"/>
      <c r="E17318" s="42"/>
      <c r="F17318" s="48" t="str">
        <f>IFERROR(__xludf.DUMMYFUNCTION("""COMPUTED_VALUE"""),"")</f>
        <v/>
      </c>
      <c r="G17318" s="42" t="str">
        <f>IFERROR(__xludf.DUMMYFUNCTION("""COMPUTED_VALUE"""),"")</f>
        <v/>
      </c>
      <c r="H17318" s="42">
        <f t="shared" si="1"/>
        <v>3345</v>
      </c>
    </row>
    <row r="17319" ht="22.5" customHeight="1">
      <c r="B17319" s="42" t="str">
        <f>IFERROR(__xludf.DUMMYFUNCTION("""COMPUTED_VALUE"""),"")</f>
        <v/>
      </c>
      <c r="C17319" s="42" t="str">
        <f>IFERROR(__xludf.DUMMYFUNCTION("""COMPUTED_VALUE"""),"")</f>
        <v/>
      </c>
      <c r="D17319" s="42"/>
      <c r="E17319" s="42"/>
      <c r="F17319" s="48" t="str">
        <f>IFERROR(__xludf.DUMMYFUNCTION("""COMPUTED_VALUE"""),"")</f>
        <v/>
      </c>
      <c r="G17319" s="42" t="str">
        <f>IFERROR(__xludf.DUMMYFUNCTION("""COMPUTED_VALUE"""),"")</f>
        <v/>
      </c>
      <c r="H17319" s="42">
        <f t="shared" si="1"/>
        <v>3345</v>
      </c>
    </row>
    <row r="17320" ht="22.5" customHeight="1">
      <c r="B17320" s="42" t="str">
        <f>IFERROR(__xludf.DUMMYFUNCTION("""COMPUTED_VALUE"""),"")</f>
        <v/>
      </c>
      <c r="C17320" s="42" t="str">
        <f>IFERROR(__xludf.DUMMYFUNCTION("""COMPUTED_VALUE"""),"")</f>
        <v/>
      </c>
      <c r="D17320" s="42"/>
      <c r="E17320" s="42"/>
      <c r="F17320" s="48" t="str">
        <f>IFERROR(__xludf.DUMMYFUNCTION("""COMPUTED_VALUE"""),"")</f>
        <v/>
      </c>
      <c r="G17320" s="42" t="str">
        <f>IFERROR(__xludf.DUMMYFUNCTION("""COMPUTED_VALUE"""),"")</f>
        <v/>
      </c>
      <c r="H17320" s="42">
        <f t="shared" si="1"/>
        <v>3345</v>
      </c>
    </row>
    <row r="17321" ht="22.5" customHeight="1">
      <c r="B17321" s="42" t="str">
        <f>IFERROR(__xludf.DUMMYFUNCTION("""COMPUTED_VALUE"""),"")</f>
        <v/>
      </c>
      <c r="C17321" s="42" t="str">
        <f>IFERROR(__xludf.DUMMYFUNCTION("""COMPUTED_VALUE"""),"")</f>
        <v/>
      </c>
      <c r="D17321" s="42"/>
      <c r="E17321" s="42"/>
      <c r="F17321" s="48" t="str">
        <f>IFERROR(__xludf.DUMMYFUNCTION("""COMPUTED_VALUE"""),"")</f>
        <v/>
      </c>
      <c r="G17321" s="42" t="str">
        <f>IFERROR(__xludf.DUMMYFUNCTION("""COMPUTED_VALUE"""),"")</f>
        <v/>
      </c>
      <c r="H17321" s="42">
        <f t="shared" si="1"/>
        <v>3345</v>
      </c>
    </row>
    <row r="17322" ht="22.5" customHeight="1">
      <c r="B17322" s="42" t="str">
        <f>IFERROR(__xludf.DUMMYFUNCTION("""COMPUTED_VALUE"""),"")</f>
        <v/>
      </c>
      <c r="C17322" s="42" t="str">
        <f>IFERROR(__xludf.DUMMYFUNCTION("""COMPUTED_VALUE"""),"")</f>
        <v/>
      </c>
      <c r="D17322" s="42"/>
      <c r="E17322" s="42"/>
      <c r="F17322" s="48" t="str">
        <f>IFERROR(__xludf.DUMMYFUNCTION("""COMPUTED_VALUE"""),"")</f>
        <v/>
      </c>
      <c r="G17322" s="42" t="str">
        <f>IFERROR(__xludf.DUMMYFUNCTION("""COMPUTED_VALUE"""),"")</f>
        <v/>
      </c>
      <c r="H17322" s="42">
        <f t="shared" si="1"/>
        <v>3345</v>
      </c>
    </row>
    <row r="17323" ht="22.5" customHeight="1">
      <c r="B17323" s="42" t="str">
        <f>IFERROR(__xludf.DUMMYFUNCTION("""COMPUTED_VALUE"""),"")</f>
        <v/>
      </c>
      <c r="C17323" s="42" t="str">
        <f>IFERROR(__xludf.DUMMYFUNCTION("""COMPUTED_VALUE"""),"")</f>
        <v/>
      </c>
      <c r="D17323" s="42"/>
      <c r="E17323" s="42"/>
      <c r="F17323" s="48" t="str">
        <f>IFERROR(__xludf.DUMMYFUNCTION("""COMPUTED_VALUE"""),"")</f>
        <v/>
      </c>
      <c r="G17323" s="42" t="str">
        <f>IFERROR(__xludf.DUMMYFUNCTION("""COMPUTED_VALUE"""),"")</f>
        <v/>
      </c>
      <c r="H17323" s="42">
        <f t="shared" si="1"/>
        <v>3345</v>
      </c>
    </row>
    <row r="17324" ht="22.5" customHeight="1">
      <c r="B17324" s="42" t="str">
        <f>IFERROR(__xludf.DUMMYFUNCTION("""COMPUTED_VALUE"""),"")</f>
        <v/>
      </c>
      <c r="C17324" s="42" t="str">
        <f>IFERROR(__xludf.DUMMYFUNCTION("""COMPUTED_VALUE"""),"")</f>
        <v/>
      </c>
      <c r="D17324" s="42"/>
      <c r="E17324" s="42"/>
      <c r="F17324" s="48" t="str">
        <f>IFERROR(__xludf.DUMMYFUNCTION("""COMPUTED_VALUE"""),"")</f>
        <v/>
      </c>
      <c r="G17324" s="42" t="str">
        <f>IFERROR(__xludf.DUMMYFUNCTION("""COMPUTED_VALUE"""),"")</f>
        <v/>
      </c>
      <c r="H17324" s="42">
        <f t="shared" si="1"/>
        <v>3345</v>
      </c>
    </row>
    <row r="17325" ht="22.5" customHeight="1">
      <c r="B17325" s="42" t="str">
        <f>IFERROR(__xludf.DUMMYFUNCTION("""COMPUTED_VALUE"""),"")</f>
        <v/>
      </c>
      <c r="C17325" s="42" t="str">
        <f>IFERROR(__xludf.DUMMYFUNCTION("""COMPUTED_VALUE"""),"")</f>
        <v/>
      </c>
      <c r="D17325" s="42"/>
      <c r="E17325" s="42"/>
      <c r="F17325" s="48" t="str">
        <f>IFERROR(__xludf.DUMMYFUNCTION("""COMPUTED_VALUE"""),"")</f>
        <v/>
      </c>
      <c r="G17325" s="42" t="str">
        <f>IFERROR(__xludf.DUMMYFUNCTION("""COMPUTED_VALUE"""),"")</f>
        <v/>
      </c>
      <c r="H17325" s="42">
        <f t="shared" si="1"/>
        <v>3345</v>
      </c>
    </row>
    <row r="17326" ht="22.5" customHeight="1">
      <c r="B17326" s="42" t="str">
        <f>IFERROR(__xludf.DUMMYFUNCTION("""COMPUTED_VALUE"""),"")</f>
        <v/>
      </c>
      <c r="C17326" s="42" t="str">
        <f>IFERROR(__xludf.DUMMYFUNCTION("""COMPUTED_VALUE"""),"")</f>
        <v/>
      </c>
      <c r="D17326" s="42"/>
      <c r="E17326" s="42"/>
      <c r="F17326" s="48" t="str">
        <f>IFERROR(__xludf.DUMMYFUNCTION("""COMPUTED_VALUE"""),"")</f>
        <v/>
      </c>
      <c r="G17326" s="42" t="str">
        <f>IFERROR(__xludf.DUMMYFUNCTION("""COMPUTED_VALUE"""),"")</f>
        <v/>
      </c>
      <c r="H17326" s="42">
        <f t="shared" si="1"/>
        <v>3345</v>
      </c>
    </row>
    <row r="17327" ht="22.5" customHeight="1">
      <c r="B17327" s="42" t="str">
        <f>IFERROR(__xludf.DUMMYFUNCTION("""COMPUTED_VALUE"""),"")</f>
        <v/>
      </c>
      <c r="C17327" s="42" t="str">
        <f>IFERROR(__xludf.DUMMYFUNCTION("""COMPUTED_VALUE"""),"")</f>
        <v/>
      </c>
      <c r="D17327" s="42"/>
      <c r="E17327" s="42"/>
      <c r="F17327" s="48" t="str">
        <f>IFERROR(__xludf.DUMMYFUNCTION("""COMPUTED_VALUE"""),"")</f>
        <v/>
      </c>
      <c r="G17327" s="42" t="str">
        <f>IFERROR(__xludf.DUMMYFUNCTION("""COMPUTED_VALUE"""),"")</f>
        <v/>
      </c>
      <c r="H17327" s="42">
        <f t="shared" si="1"/>
        <v>3345</v>
      </c>
    </row>
    <row r="17328" ht="22.5" customHeight="1">
      <c r="B17328" s="42" t="str">
        <f>IFERROR(__xludf.DUMMYFUNCTION("""COMPUTED_VALUE"""),"")</f>
        <v/>
      </c>
      <c r="C17328" s="42" t="str">
        <f>IFERROR(__xludf.DUMMYFUNCTION("""COMPUTED_VALUE"""),"")</f>
        <v/>
      </c>
      <c r="D17328" s="42"/>
      <c r="E17328" s="42"/>
      <c r="F17328" s="48" t="str">
        <f>IFERROR(__xludf.DUMMYFUNCTION("""COMPUTED_VALUE"""),"")</f>
        <v/>
      </c>
      <c r="G17328" s="42" t="str">
        <f>IFERROR(__xludf.DUMMYFUNCTION("""COMPUTED_VALUE"""),"")</f>
        <v/>
      </c>
      <c r="H17328" s="42">
        <f t="shared" si="1"/>
        <v>3345</v>
      </c>
    </row>
    <row r="17329" ht="22.5" customHeight="1">
      <c r="B17329" s="42" t="str">
        <f>IFERROR(__xludf.DUMMYFUNCTION("""COMPUTED_VALUE"""),"")</f>
        <v/>
      </c>
      <c r="C17329" s="42" t="str">
        <f>IFERROR(__xludf.DUMMYFUNCTION("""COMPUTED_VALUE"""),"")</f>
        <v/>
      </c>
      <c r="D17329" s="42"/>
      <c r="E17329" s="42"/>
      <c r="F17329" s="48" t="str">
        <f>IFERROR(__xludf.DUMMYFUNCTION("""COMPUTED_VALUE"""),"")</f>
        <v/>
      </c>
      <c r="G17329" s="42" t="str">
        <f>IFERROR(__xludf.DUMMYFUNCTION("""COMPUTED_VALUE"""),"")</f>
        <v/>
      </c>
      <c r="H17329" s="42">
        <f t="shared" si="1"/>
        <v>3345</v>
      </c>
    </row>
    <row r="17330" ht="22.5" customHeight="1">
      <c r="B17330" s="42" t="str">
        <f>IFERROR(__xludf.DUMMYFUNCTION("""COMPUTED_VALUE"""),"")</f>
        <v/>
      </c>
      <c r="C17330" s="42" t="str">
        <f>IFERROR(__xludf.DUMMYFUNCTION("""COMPUTED_VALUE"""),"")</f>
        <v/>
      </c>
      <c r="D17330" s="42"/>
      <c r="E17330" s="42"/>
      <c r="F17330" s="48" t="str">
        <f>IFERROR(__xludf.DUMMYFUNCTION("""COMPUTED_VALUE"""),"")</f>
        <v/>
      </c>
      <c r="G17330" s="42" t="str">
        <f>IFERROR(__xludf.DUMMYFUNCTION("""COMPUTED_VALUE"""),"")</f>
        <v/>
      </c>
      <c r="H17330" s="42">
        <f t="shared" si="1"/>
        <v>3345</v>
      </c>
    </row>
    <row r="17331" ht="22.5" customHeight="1">
      <c r="B17331" s="42" t="str">
        <f>IFERROR(__xludf.DUMMYFUNCTION("""COMPUTED_VALUE"""),"")</f>
        <v/>
      </c>
      <c r="C17331" s="42" t="str">
        <f>IFERROR(__xludf.DUMMYFUNCTION("""COMPUTED_VALUE"""),"")</f>
        <v/>
      </c>
      <c r="D17331" s="42"/>
      <c r="E17331" s="42"/>
      <c r="F17331" s="48" t="str">
        <f>IFERROR(__xludf.DUMMYFUNCTION("""COMPUTED_VALUE"""),"")</f>
        <v/>
      </c>
      <c r="G17331" s="42" t="str">
        <f>IFERROR(__xludf.DUMMYFUNCTION("""COMPUTED_VALUE"""),"")</f>
        <v/>
      </c>
      <c r="H17331" s="42">
        <f t="shared" si="1"/>
        <v>3345</v>
      </c>
    </row>
    <row r="17332" ht="22.5" customHeight="1">
      <c r="B17332" s="42" t="str">
        <f>IFERROR(__xludf.DUMMYFUNCTION("""COMPUTED_VALUE"""),"")</f>
        <v/>
      </c>
      <c r="C17332" s="42" t="str">
        <f>IFERROR(__xludf.DUMMYFUNCTION("""COMPUTED_VALUE"""),"")</f>
        <v/>
      </c>
      <c r="D17332" s="42"/>
      <c r="E17332" s="42"/>
      <c r="F17332" s="48" t="str">
        <f>IFERROR(__xludf.DUMMYFUNCTION("""COMPUTED_VALUE"""),"")</f>
        <v/>
      </c>
      <c r="G17332" s="42" t="str">
        <f>IFERROR(__xludf.DUMMYFUNCTION("""COMPUTED_VALUE"""),"")</f>
        <v/>
      </c>
      <c r="H17332" s="42">
        <f t="shared" si="1"/>
        <v>3345</v>
      </c>
    </row>
    <row r="17333" ht="22.5" customHeight="1">
      <c r="B17333" s="42" t="str">
        <f>IFERROR(__xludf.DUMMYFUNCTION("""COMPUTED_VALUE"""),"")</f>
        <v/>
      </c>
      <c r="C17333" s="42" t="str">
        <f>IFERROR(__xludf.DUMMYFUNCTION("""COMPUTED_VALUE"""),"")</f>
        <v/>
      </c>
      <c r="D17333" s="42"/>
      <c r="E17333" s="42"/>
      <c r="F17333" s="48" t="str">
        <f>IFERROR(__xludf.DUMMYFUNCTION("""COMPUTED_VALUE"""),"")</f>
        <v/>
      </c>
      <c r="G17333" s="42" t="str">
        <f>IFERROR(__xludf.DUMMYFUNCTION("""COMPUTED_VALUE"""),"")</f>
        <v/>
      </c>
      <c r="H17333" s="42">
        <f t="shared" si="1"/>
        <v>3345</v>
      </c>
    </row>
    <row r="17334" ht="22.5" customHeight="1">
      <c r="B17334" s="42" t="str">
        <f>IFERROR(__xludf.DUMMYFUNCTION("""COMPUTED_VALUE"""),"")</f>
        <v/>
      </c>
      <c r="C17334" s="42" t="str">
        <f>IFERROR(__xludf.DUMMYFUNCTION("""COMPUTED_VALUE"""),"")</f>
        <v/>
      </c>
      <c r="D17334" s="42"/>
      <c r="E17334" s="42"/>
      <c r="F17334" s="48" t="str">
        <f>IFERROR(__xludf.DUMMYFUNCTION("""COMPUTED_VALUE"""),"")</f>
        <v/>
      </c>
      <c r="G17334" s="42" t="str">
        <f>IFERROR(__xludf.DUMMYFUNCTION("""COMPUTED_VALUE"""),"")</f>
        <v/>
      </c>
      <c r="H17334" s="42">
        <f t="shared" si="1"/>
        <v>3345</v>
      </c>
    </row>
    <row r="17335" ht="22.5" customHeight="1">
      <c r="B17335" s="42" t="str">
        <f>IFERROR(__xludf.DUMMYFUNCTION("""COMPUTED_VALUE"""),"")</f>
        <v/>
      </c>
      <c r="C17335" s="42" t="str">
        <f>IFERROR(__xludf.DUMMYFUNCTION("""COMPUTED_VALUE"""),"")</f>
        <v/>
      </c>
      <c r="D17335" s="42"/>
      <c r="E17335" s="42"/>
      <c r="F17335" s="48" t="str">
        <f>IFERROR(__xludf.DUMMYFUNCTION("""COMPUTED_VALUE"""),"")</f>
        <v/>
      </c>
      <c r="G17335" s="42" t="str">
        <f>IFERROR(__xludf.DUMMYFUNCTION("""COMPUTED_VALUE"""),"")</f>
        <v/>
      </c>
      <c r="H17335" s="42">
        <f t="shared" si="1"/>
        <v>3345</v>
      </c>
    </row>
    <row r="17336" ht="22.5" customHeight="1">
      <c r="B17336" s="42" t="str">
        <f>IFERROR(__xludf.DUMMYFUNCTION("""COMPUTED_VALUE"""),"")</f>
        <v/>
      </c>
      <c r="C17336" s="42" t="str">
        <f>IFERROR(__xludf.DUMMYFUNCTION("""COMPUTED_VALUE"""),"")</f>
        <v/>
      </c>
      <c r="D17336" s="42"/>
      <c r="E17336" s="42"/>
      <c r="F17336" s="48" t="str">
        <f>IFERROR(__xludf.DUMMYFUNCTION("""COMPUTED_VALUE"""),"")</f>
        <v/>
      </c>
      <c r="G17336" s="42" t="str">
        <f>IFERROR(__xludf.DUMMYFUNCTION("""COMPUTED_VALUE"""),"")</f>
        <v/>
      </c>
      <c r="H17336" s="42">
        <f t="shared" si="1"/>
        <v>3345</v>
      </c>
    </row>
    <row r="17337" ht="22.5" customHeight="1">
      <c r="B17337" s="42" t="str">
        <f>IFERROR(__xludf.DUMMYFUNCTION("""COMPUTED_VALUE"""),"")</f>
        <v/>
      </c>
      <c r="C17337" s="42" t="str">
        <f>IFERROR(__xludf.DUMMYFUNCTION("""COMPUTED_VALUE"""),"")</f>
        <v/>
      </c>
      <c r="D17337" s="42"/>
      <c r="E17337" s="42"/>
      <c r="F17337" s="48" t="str">
        <f>IFERROR(__xludf.DUMMYFUNCTION("""COMPUTED_VALUE"""),"")</f>
        <v/>
      </c>
      <c r="G17337" s="42" t="str">
        <f>IFERROR(__xludf.DUMMYFUNCTION("""COMPUTED_VALUE"""),"")</f>
        <v/>
      </c>
      <c r="H17337" s="42">
        <f t="shared" si="1"/>
        <v>3345</v>
      </c>
    </row>
    <row r="17338" ht="22.5" customHeight="1">
      <c r="B17338" s="42" t="str">
        <f>IFERROR(__xludf.DUMMYFUNCTION("""COMPUTED_VALUE"""),"")</f>
        <v/>
      </c>
      <c r="C17338" s="42" t="str">
        <f>IFERROR(__xludf.DUMMYFUNCTION("""COMPUTED_VALUE"""),"")</f>
        <v/>
      </c>
      <c r="D17338" s="42"/>
      <c r="E17338" s="42"/>
      <c r="F17338" s="48" t="str">
        <f>IFERROR(__xludf.DUMMYFUNCTION("""COMPUTED_VALUE"""),"")</f>
        <v/>
      </c>
      <c r="G17338" s="42" t="str">
        <f>IFERROR(__xludf.DUMMYFUNCTION("""COMPUTED_VALUE"""),"")</f>
        <v/>
      </c>
      <c r="H17338" s="42">
        <f t="shared" si="1"/>
        <v>3345</v>
      </c>
    </row>
    <row r="17339" ht="22.5" customHeight="1">
      <c r="B17339" s="42" t="str">
        <f>IFERROR(__xludf.DUMMYFUNCTION("""COMPUTED_VALUE"""),"")</f>
        <v/>
      </c>
      <c r="C17339" s="42" t="str">
        <f>IFERROR(__xludf.DUMMYFUNCTION("""COMPUTED_VALUE"""),"")</f>
        <v/>
      </c>
      <c r="D17339" s="42"/>
      <c r="E17339" s="42"/>
      <c r="F17339" s="48" t="str">
        <f>IFERROR(__xludf.DUMMYFUNCTION("""COMPUTED_VALUE"""),"")</f>
        <v/>
      </c>
      <c r="G17339" s="42" t="str">
        <f>IFERROR(__xludf.DUMMYFUNCTION("""COMPUTED_VALUE"""),"")</f>
        <v/>
      </c>
      <c r="H17339" s="42">
        <f t="shared" si="1"/>
        <v>3345</v>
      </c>
    </row>
    <row r="17340" ht="22.5" customHeight="1">
      <c r="B17340" s="42" t="str">
        <f>IFERROR(__xludf.DUMMYFUNCTION("""COMPUTED_VALUE"""),"")</f>
        <v/>
      </c>
      <c r="C17340" s="42" t="str">
        <f>IFERROR(__xludf.DUMMYFUNCTION("""COMPUTED_VALUE"""),"")</f>
        <v/>
      </c>
      <c r="D17340" s="42"/>
      <c r="E17340" s="42"/>
      <c r="F17340" s="48" t="str">
        <f>IFERROR(__xludf.DUMMYFUNCTION("""COMPUTED_VALUE"""),"")</f>
        <v/>
      </c>
      <c r="G17340" s="42" t="str">
        <f>IFERROR(__xludf.DUMMYFUNCTION("""COMPUTED_VALUE"""),"")</f>
        <v/>
      </c>
      <c r="H17340" s="42">
        <f t="shared" si="1"/>
        <v>3345</v>
      </c>
    </row>
    <row r="17341" ht="22.5" customHeight="1">
      <c r="B17341" s="42" t="str">
        <f>IFERROR(__xludf.DUMMYFUNCTION("""COMPUTED_VALUE"""),"")</f>
        <v/>
      </c>
      <c r="C17341" s="42" t="str">
        <f>IFERROR(__xludf.DUMMYFUNCTION("""COMPUTED_VALUE"""),"")</f>
        <v/>
      </c>
      <c r="D17341" s="42"/>
      <c r="E17341" s="42"/>
      <c r="F17341" s="48" t="str">
        <f>IFERROR(__xludf.DUMMYFUNCTION("""COMPUTED_VALUE"""),"")</f>
        <v/>
      </c>
      <c r="G17341" s="42" t="str">
        <f>IFERROR(__xludf.DUMMYFUNCTION("""COMPUTED_VALUE"""),"")</f>
        <v/>
      </c>
      <c r="H17341" s="42">
        <f t="shared" si="1"/>
        <v>3345</v>
      </c>
    </row>
    <row r="17342" ht="22.5" customHeight="1">
      <c r="B17342" s="42" t="str">
        <f>IFERROR(__xludf.DUMMYFUNCTION("""COMPUTED_VALUE"""),"")</f>
        <v/>
      </c>
      <c r="C17342" s="42" t="str">
        <f>IFERROR(__xludf.DUMMYFUNCTION("""COMPUTED_VALUE"""),"")</f>
        <v/>
      </c>
      <c r="D17342" s="42"/>
      <c r="E17342" s="42"/>
      <c r="F17342" s="48" t="str">
        <f>IFERROR(__xludf.DUMMYFUNCTION("""COMPUTED_VALUE"""),"")</f>
        <v/>
      </c>
      <c r="G17342" s="42" t="str">
        <f>IFERROR(__xludf.DUMMYFUNCTION("""COMPUTED_VALUE"""),"")</f>
        <v/>
      </c>
      <c r="H17342" s="42">
        <f t="shared" si="1"/>
        <v>3345</v>
      </c>
    </row>
    <row r="17343" ht="22.5" customHeight="1">
      <c r="B17343" s="42" t="str">
        <f>IFERROR(__xludf.DUMMYFUNCTION("""COMPUTED_VALUE"""),"")</f>
        <v/>
      </c>
      <c r="C17343" s="42" t="str">
        <f>IFERROR(__xludf.DUMMYFUNCTION("""COMPUTED_VALUE"""),"")</f>
        <v/>
      </c>
      <c r="D17343" s="42"/>
      <c r="E17343" s="42"/>
      <c r="F17343" s="48" t="str">
        <f>IFERROR(__xludf.DUMMYFUNCTION("""COMPUTED_VALUE"""),"")</f>
        <v/>
      </c>
      <c r="G17343" s="42" t="str">
        <f>IFERROR(__xludf.DUMMYFUNCTION("""COMPUTED_VALUE"""),"")</f>
        <v/>
      </c>
      <c r="H17343" s="42">
        <f t="shared" si="1"/>
        <v>3345</v>
      </c>
    </row>
    <row r="17344" ht="22.5" customHeight="1">
      <c r="B17344" s="42" t="str">
        <f>IFERROR(__xludf.DUMMYFUNCTION("""COMPUTED_VALUE"""),"")</f>
        <v/>
      </c>
      <c r="C17344" s="42" t="str">
        <f>IFERROR(__xludf.DUMMYFUNCTION("""COMPUTED_VALUE"""),"")</f>
        <v/>
      </c>
      <c r="D17344" s="42"/>
      <c r="E17344" s="42"/>
      <c r="F17344" s="48" t="str">
        <f>IFERROR(__xludf.DUMMYFUNCTION("""COMPUTED_VALUE"""),"")</f>
        <v/>
      </c>
      <c r="G17344" s="42" t="str">
        <f>IFERROR(__xludf.DUMMYFUNCTION("""COMPUTED_VALUE"""),"")</f>
        <v/>
      </c>
      <c r="H17344" s="42">
        <f t="shared" si="1"/>
        <v>3345</v>
      </c>
    </row>
    <row r="17345" ht="22.5" customHeight="1">
      <c r="B17345" s="42" t="str">
        <f>IFERROR(__xludf.DUMMYFUNCTION("""COMPUTED_VALUE"""),"")</f>
        <v/>
      </c>
      <c r="C17345" s="42" t="str">
        <f>IFERROR(__xludf.DUMMYFUNCTION("""COMPUTED_VALUE"""),"")</f>
        <v/>
      </c>
      <c r="D17345" s="42"/>
      <c r="E17345" s="42"/>
      <c r="F17345" s="48" t="str">
        <f>IFERROR(__xludf.DUMMYFUNCTION("""COMPUTED_VALUE"""),"")</f>
        <v/>
      </c>
      <c r="G17345" s="42" t="str">
        <f>IFERROR(__xludf.DUMMYFUNCTION("""COMPUTED_VALUE"""),"")</f>
        <v/>
      </c>
      <c r="H17345" s="42">
        <f t="shared" si="1"/>
        <v>3345</v>
      </c>
    </row>
    <row r="17346" ht="22.5" customHeight="1">
      <c r="B17346" s="42" t="str">
        <f>IFERROR(__xludf.DUMMYFUNCTION("""COMPUTED_VALUE"""),"")</f>
        <v/>
      </c>
      <c r="C17346" s="42" t="str">
        <f>IFERROR(__xludf.DUMMYFUNCTION("""COMPUTED_VALUE"""),"")</f>
        <v/>
      </c>
      <c r="D17346" s="42"/>
      <c r="E17346" s="42"/>
      <c r="F17346" s="48" t="str">
        <f>IFERROR(__xludf.DUMMYFUNCTION("""COMPUTED_VALUE"""),"")</f>
        <v/>
      </c>
      <c r="G17346" s="42" t="str">
        <f>IFERROR(__xludf.DUMMYFUNCTION("""COMPUTED_VALUE"""),"")</f>
        <v/>
      </c>
      <c r="H17346" s="42">
        <f t="shared" si="1"/>
        <v>3345</v>
      </c>
    </row>
    <row r="17347" ht="22.5" customHeight="1">
      <c r="B17347" s="42" t="str">
        <f>IFERROR(__xludf.DUMMYFUNCTION("""COMPUTED_VALUE"""),"")</f>
        <v/>
      </c>
      <c r="C17347" s="42" t="str">
        <f>IFERROR(__xludf.DUMMYFUNCTION("""COMPUTED_VALUE"""),"")</f>
        <v/>
      </c>
      <c r="D17347" s="42"/>
      <c r="E17347" s="42"/>
      <c r="F17347" s="48" t="str">
        <f>IFERROR(__xludf.DUMMYFUNCTION("""COMPUTED_VALUE"""),"")</f>
        <v/>
      </c>
      <c r="G17347" s="42" t="str">
        <f>IFERROR(__xludf.DUMMYFUNCTION("""COMPUTED_VALUE"""),"")</f>
        <v/>
      </c>
      <c r="H17347" s="42">
        <f t="shared" si="1"/>
        <v>3345</v>
      </c>
    </row>
    <row r="17348" ht="22.5" customHeight="1">
      <c r="B17348" s="42" t="str">
        <f>IFERROR(__xludf.DUMMYFUNCTION("""COMPUTED_VALUE"""),"")</f>
        <v/>
      </c>
      <c r="C17348" s="42" t="str">
        <f>IFERROR(__xludf.DUMMYFUNCTION("""COMPUTED_VALUE"""),"")</f>
        <v/>
      </c>
      <c r="D17348" s="42"/>
      <c r="E17348" s="42"/>
      <c r="F17348" s="48" t="str">
        <f>IFERROR(__xludf.DUMMYFUNCTION("""COMPUTED_VALUE"""),"")</f>
        <v/>
      </c>
      <c r="G17348" s="42" t="str">
        <f>IFERROR(__xludf.DUMMYFUNCTION("""COMPUTED_VALUE"""),"")</f>
        <v/>
      </c>
      <c r="H17348" s="42">
        <f t="shared" si="1"/>
        <v>3345</v>
      </c>
    </row>
    <row r="17349" ht="22.5" customHeight="1">
      <c r="B17349" s="42" t="str">
        <f>IFERROR(__xludf.DUMMYFUNCTION("""COMPUTED_VALUE"""),"")</f>
        <v/>
      </c>
      <c r="C17349" s="42" t="str">
        <f>IFERROR(__xludf.DUMMYFUNCTION("""COMPUTED_VALUE"""),"")</f>
        <v/>
      </c>
      <c r="D17349" s="42"/>
      <c r="E17349" s="42"/>
      <c r="F17349" s="48" t="str">
        <f>IFERROR(__xludf.DUMMYFUNCTION("""COMPUTED_VALUE"""),"")</f>
        <v/>
      </c>
      <c r="G17349" s="42" t="str">
        <f>IFERROR(__xludf.DUMMYFUNCTION("""COMPUTED_VALUE"""),"")</f>
        <v/>
      </c>
      <c r="H17349" s="42">
        <f t="shared" si="1"/>
        <v>3345</v>
      </c>
    </row>
    <row r="17350" ht="22.5" customHeight="1">
      <c r="B17350" s="42" t="str">
        <f>IFERROR(__xludf.DUMMYFUNCTION("""COMPUTED_VALUE"""),"")</f>
        <v/>
      </c>
      <c r="C17350" s="42" t="str">
        <f>IFERROR(__xludf.DUMMYFUNCTION("""COMPUTED_VALUE"""),"")</f>
        <v/>
      </c>
      <c r="D17350" s="42"/>
      <c r="E17350" s="42"/>
      <c r="F17350" s="48" t="str">
        <f>IFERROR(__xludf.DUMMYFUNCTION("""COMPUTED_VALUE"""),"")</f>
        <v/>
      </c>
      <c r="G17350" s="42" t="str">
        <f>IFERROR(__xludf.DUMMYFUNCTION("""COMPUTED_VALUE"""),"")</f>
        <v/>
      </c>
      <c r="H17350" s="42">
        <f t="shared" si="1"/>
        <v>3345</v>
      </c>
    </row>
    <row r="17351" ht="22.5" customHeight="1">
      <c r="B17351" s="42" t="str">
        <f>IFERROR(__xludf.DUMMYFUNCTION("""COMPUTED_VALUE"""),"")</f>
        <v/>
      </c>
      <c r="C17351" s="42" t="str">
        <f>IFERROR(__xludf.DUMMYFUNCTION("""COMPUTED_VALUE"""),"")</f>
        <v/>
      </c>
      <c r="D17351" s="42"/>
      <c r="E17351" s="42"/>
      <c r="F17351" s="48" t="str">
        <f>IFERROR(__xludf.DUMMYFUNCTION("""COMPUTED_VALUE"""),"")</f>
        <v/>
      </c>
      <c r="G17351" s="42" t="str">
        <f>IFERROR(__xludf.DUMMYFUNCTION("""COMPUTED_VALUE"""),"")</f>
        <v/>
      </c>
      <c r="H17351" s="42">
        <f t="shared" si="1"/>
        <v>3345</v>
      </c>
    </row>
    <row r="17352" ht="22.5" customHeight="1">
      <c r="B17352" s="42" t="str">
        <f>IFERROR(__xludf.DUMMYFUNCTION("""COMPUTED_VALUE"""),"")</f>
        <v/>
      </c>
      <c r="C17352" s="42" t="str">
        <f>IFERROR(__xludf.DUMMYFUNCTION("""COMPUTED_VALUE"""),"")</f>
        <v/>
      </c>
      <c r="D17352" s="42"/>
      <c r="E17352" s="42"/>
      <c r="F17352" s="48" t="str">
        <f>IFERROR(__xludf.DUMMYFUNCTION("""COMPUTED_VALUE"""),"")</f>
        <v/>
      </c>
      <c r="G17352" s="42" t="str">
        <f>IFERROR(__xludf.DUMMYFUNCTION("""COMPUTED_VALUE"""),"")</f>
        <v/>
      </c>
      <c r="H17352" s="42">
        <f t="shared" si="1"/>
        <v>3345</v>
      </c>
    </row>
    <row r="17353" ht="22.5" customHeight="1">
      <c r="B17353" s="42" t="str">
        <f>IFERROR(__xludf.DUMMYFUNCTION("""COMPUTED_VALUE"""),"")</f>
        <v/>
      </c>
      <c r="C17353" s="42" t="str">
        <f>IFERROR(__xludf.DUMMYFUNCTION("""COMPUTED_VALUE"""),"")</f>
        <v/>
      </c>
      <c r="D17353" s="42"/>
      <c r="E17353" s="42"/>
      <c r="F17353" s="48" t="str">
        <f>IFERROR(__xludf.DUMMYFUNCTION("""COMPUTED_VALUE"""),"")</f>
        <v/>
      </c>
      <c r="G17353" s="42" t="str">
        <f>IFERROR(__xludf.DUMMYFUNCTION("""COMPUTED_VALUE"""),"")</f>
        <v/>
      </c>
      <c r="H17353" s="42">
        <f t="shared" si="1"/>
        <v>3345</v>
      </c>
    </row>
    <row r="17354" ht="22.5" customHeight="1">
      <c r="B17354" s="42" t="str">
        <f>IFERROR(__xludf.DUMMYFUNCTION("""COMPUTED_VALUE"""),"")</f>
        <v/>
      </c>
      <c r="C17354" s="42" t="str">
        <f>IFERROR(__xludf.DUMMYFUNCTION("""COMPUTED_VALUE"""),"")</f>
        <v/>
      </c>
      <c r="D17354" s="42"/>
      <c r="E17354" s="42"/>
      <c r="F17354" s="48" t="str">
        <f>IFERROR(__xludf.DUMMYFUNCTION("""COMPUTED_VALUE"""),"")</f>
        <v/>
      </c>
      <c r="G17354" s="42" t="str">
        <f>IFERROR(__xludf.DUMMYFUNCTION("""COMPUTED_VALUE"""),"")</f>
        <v/>
      </c>
      <c r="H17354" s="42">
        <f t="shared" si="1"/>
        <v>3345</v>
      </c>
    </row>
    <row r="17355" ht="22.5" customHeight="1">
      <c r="B17355" s="42" t="str">
        <f>IFERROR(__xludf.DUMMYFUNCTION("""COMPUTED_VALUE"""),"")</f>
        <v/>
      </c>
      <c r="C17355" s="42" t="str">
        <f>IFERROR(__xludf.DUMMYFUNCTION("""COMPUTED_VALUE"""),"")</f>
        <v/>
      </c>
      <c r="D17355" s="42"/>
      <c r="E17355" s="42"/>
      <c r="F17355" s="48" t="str">
        <f>IFERROR(__xludf.DUMMYFUNCTION("""COMPUTED_VALUE"""),"")</f>
        <v/>
      </c>
      <c r="G17355" s="42" t="str">
        <f>IFERROR(__xludf.DUMMYFUNCTION("""COMPUTED_VALUE"""),"")</f>
        <v/>
      </c>
      <c r="H17355" s="42">
        <f t="shared" si="1"/>
        <v>3345</v>
      </c>
    </row>
    <row r="17356" ht="22.5" customHeight="1">
      <c r="B17356" s="42" t="str">
        <f>IFERROR(__xludf.DUMMYFUNCTION("""COMPUTED_VALUE"""),"")</f>
        <v/>
      </c>
      <c r="C17356" s="42" t="str">
        <f>IFERROR(__xludf.DUMMYFUNCTION("""COMPUTED_VALUE"""),"")</f>
        <v/>
      </c>
      <c r="D17356" s="42"/>
      <c r="E17356" s="42"/>
      <c r="F17356" s="48" t="str">
        <f>IFERROR(__xludf.DUMMYFUNCTION("""COMPUTED_VALUE"""),"")</f>
        <v/>
      </c>
      <c r="G17356" s="42" t="str">
        <f>IFERROR(__xludf.DUMMYFUNCTION("""COMPUTED_VALUE"""),"")</f>
        <v/>
      </c>
      <c r="H17356" s="42">
        <f t="shared" si="1"/>
        <v>3345</v>
      </c>
    </row>
    <row r="17357" ht="22.5" customHeight="1">
      <c r="B17357" s="42" t="str">
        <f>IFERROR(__xludf.DUMMYFUNCTION("""COMPUTED_VALUE"""),"")</f>
        <v/>
      </c>
      <c r="C17357" s="42" t="str">
        <f>IFERROR(__xludf.DUMMYFUNCTION("""COMPUTED_VALUE"""),"")</f>
        <v/>
      </c>
      <c r="D17357" s="42"/>
      <c r="E17357" s="42"/>
      <c r="F17357" s="48" t="str">
        <f>IFERROR(__xludf.DUMMYFUNCTION("""COMPUTED_VALUE"""),"")</f>
        <v/>
      </c>
      <c r="G17357" s="42" t="str">
        <f>IFERROR(__xludf.DUMMYFUNCTION("""COMPUTED_VALUE"""),"")</f>
        <v/>
      </c>
      <c r="H17357" s="42">
        <f t="shared" si="1"/>
        <v>3345</v>
      </c>
    </row>
    <row r="17358" ht="22.5" customHeight="1">
      <c r="B17358" s="42" t="str">
        <f>IFERROR(__xludf.DUMMYFUNCTION("""COMPUTED_VALUE"""),"")</f>
        <v/>
      </c>
      <c r="C17358" s="42" t="str">
        <f>IFERROR(__xludf.DUMMYFUNCTION("""COMPUTED_VALUE"""),"")</f>
        <v/>
      </c>
      <c r="D17358" s="42"/>
      <c r="E17358" s="42"/>
      <c r="F17358" s="48" t="str">
        <f>IFERROR(__xludf.DUMMYFUNCTION("""COMPUTED_VALUE"""),"")</f>
        <v/>
      </c>
      <c r="G17358" s="42" t="str">
        <f>IFERROR(__xludf.DUMMYFUNCTION("""COMPUTED_VALUE"""),"")</f>
        <v/>
      </c>
      <c r="H17358" s="42">
        <f t="shared" si="1"/>
        <v>3345</v>
      </c>
    </row>
    <row r="17359" ht="22.5" customHeight="1">
      <c r="B17359" s="42" t="str">
        <f>IFERROR(__xludf.DUMMYFUNCTION("""COMPUTED_VALUE"""),"")</f>
        <v/>
      </c>
      <c r="C17359" s="42" t="str">
        <f>IFERROR(__xludf.DUMMYFUNCTION("""COMPUTED_VALUE"""),"")</f>
        <v/>
      </c>
      <c r="D17359" s="42"/>
      <c r="E17359" s="42"/>
      <c r="F17359" s="48" t="str">
        <f>IFERROR(__xludf.DUMMYFUNCTION("""COMPUTED_VALUE"""),"")</f>
        <v/>
      </c>
      <c r="G17359" s="42" t="str">
        <f>IFERROR(__xludf.DUMMYFUNCTION("""COMPUTED_VALUE"""),"")</f>
        <v/>
      </c>
      <c r="H17359" s="42">
        <f t="shared" si="1"/>
        <v>3345</v>
      </c>
    </row>
    <row r="17360" ht="22.5" customHeight="1">
      <c r="B17360" s="42" t="str">
        <f>IFERROR(__xludf.DUMMYFUNCTION("""COMPUTED_VALUE"""),"")</f>
        <v/>
      </c>
      <c r="C17360" s="42" t="str">
        <f>IFERROR(__xludf.DUMMYFUNCTION("""COMPUTED_VALUE"""),"")</f>
        <v/>
      </c>
      <c r="D17360" s="42"/>
      <c r="E17360" s="42"/>
      <c r="F17360" s="48" t="str">
        <f>IFERROR(__xludf.DUMMYFUNCTION("""COMPUTED_VALUE"""),"")</f>
        <v/>
      </c>
      <c r="G17360" s="42" t="str">
        <f>IFERROR(__xludf.DUMMYFUNCTION("""COMPUTED_VALUE"""),"")</f>
        <v/>
      </c>
      <c r="H17360" s="42">
        <f t="shared" si="1"/>
        <v>3345</v>
      </c>
    </row>
    <row r="17361" ht="22.5" customHeight="1">
      <c r="B17361" s="42" t="str">
        <f>IFERROR(__xludf.DUMMYFUNCTION("""COMPUTED_VALUE"""),"")</f>
        <v/>
      </c>
      <c r="C17361" s="42" t="str">
        <f>IFERROR(__xludf.DUMMYFUNCTION("""COMPUTED_VALUE"""),"")</f>
        <v/>
      </c>
      <c r="D17361" s="42"/>
      <c r="E17361" s="42"/>
      <c r="F17361" s="48" t="str">
        <f>IFERROR(__xludf.DUMMYFUNCTION("""COMPUTED_VALUE"""),"")</f>
        <v/>
      </c>
      <c r="G17361" s="42" t="str">
        <f>IFERROR(__xludf.DUMMYFUNCTION("""COMPUTED_VALUE"""),"")</f>
        <v/>
      </c>
      <c r="H17361" s="42">
        <f t="shared" si="1"/>
        <v>3345</v>
      </c>
    </row>
    <row r="17362" ht="22.5" customHeight="1">
      <c r="B17362" s="42" t="str">
        <f>IFERROR(__xludf.DUMMYFUNCTION("""COMPUTED_VALUE"""),"")</f>
        <v/>
      </c>
      <c r="C17362" s="42" t="str">
        <f>IFERROR(__xludf.DUMMYFUNCTION("""COMPUTED_VALUE"""),"")</f>
        <v/>
      </c>
      <c r="D17362" s="42"/>
      <c r="E17362" s="42"/>
      <c r="F17362" s="48" t="str">
        <f>IFERROR(__xludf.DUMMYFUNCTION("""COMPUTED_VALUE"""),"")</f>
        <v/>
      </c>
      <c r="G17362" s="42" t="str">
        <f>IFERROR(__xludf.DUMMYFUNCTION("""COMPUTED_VALUE"""),"")</f>
        <v/>
      </c>
      <c r="H17362" s="42">
        <f t="shared" si="1"/>
        <v>3345</v>
      </c>
    </row>
    <row r="17363" ht="22.5" customHeight="1">
      <c r="B17363" s="42" t="str">
        <f>IFERROR(__xludf.DUMMYFUNCTION("""COMPUTED_VALUE"""),"")</f>
        <v/>
      </c>
      <c r="C17363" s="42" t="str">
        <f>IFERROR(__xludf.DUMMYFUNCTION("""COMPUTED_VALUE"""),"")</f>
        <v/>
      </c>
      <c r="D17363" s="42"/>
      <c r="E17363" s="42"/>
      <c r="F17363" s="48" t="str">
        <f>IFERROR(__xludf.DUMMYFUNCTION("""COMPUTED_VALUE"""),"")</f>
        <v/>
      </c>
      <c r="G17363" s="42" t="str">
        <f>IFERROR(__xludf.DUMMYFUNCTION("""COMPUTED_VALUE"""),"")</f>
        <v/>
      </c>
      <c r="H17363" s="42">
        <f t="shared" si="1"/>
        <v>3345</v>
      </c>
    </row>
    <row r="17364" ht="22.5" customHeight="1">
      <c r="B17364" s="42" t="str">
        <f>IFERROR(__xludf.DUMMYFUNCTION("""COMPUTED_VALUE"""),"")</f>
        <v/>
      </c>
      <c r="C17364" s="42" t="str">
        <f>IFERROR(__xludf.DUMMYFUNCTION("""COMPUTED_VALUE"""),"")</f>
        <v/>
      </c>
      <c r="D17364" s="42"/>
      <c r="E17364" s="42"/>
      <c r="F17364" s="48" t="str">
        <f>IFERROR(__xludf.DUMMYFUNCTION("""COMPUTED_VALUE"""),"")</f>
        <v/>
      </c>
      <c r="G17364" s="42" t="str">
        <f>IFERROR(__xludf.DUMMYFUNCTION("""COMPUTED_VALUE"""),"")</f>
        <v/>
      </c>
      <c r="H17364" s="42">
        <f t="shared" si="1"/>
        <v>3345</v>
      </c>
    </row>
    <row r="17365" ht="22.5" customHeight="1">
      <c r="B17365" s="42" t="str">
        <f>IFERROR(__xludf.DUMMYFUNCTION("""COMPUTED_VALUE"""),"")</f>
        <v/>
      </c>
      <c r="C17365" s="42" t="str">
        <f>IFERROR(__xludf.DUMMYFUNCTION("""COMPUTED_VALUE"""),"")</f>
        <v/>
      </c>
      <c r="D17365" s="42"/>
      <c r="E17365" s="42"/>
      <c r="F17365" s="48" t="str">
        <f>IFERROR(__xludf.DUMMYFUNCTION("""COMPUTED_VALUE"""),"")</f>
        <v/>
      </c>
      <c r="G17365" s="42" t="str">
        <f>IFERROR(__xludf.DUMMYFUNCTION("""COMPUTED_VALUE"""),"")</f>
        <v/>
      </c>
      <c r="H17365" s="42">
        <f t="shared" si="1"/>
        <v>3345</v>
      </c>
    </row>
    <row r="17366" ht="22.5" customHeight="1">
      <c r="B17366" s="42" t="str">
        <f>IFERROR(__xludf.DUMMYFUNCTION("""COMPUTED_VALUE"""),"")</f>
        <v/>
      </c>
      <c r="C17366" s="42" t="str">
        <f>IFERROR(__xludf.DUMMYFUNCTION("""COMPUTED_VALUE"""),"")</f>
        <v/>
      </c>
      <c r="D17366" s="42"/>
      <c r="E17366" s="42"/>
      <c r="F17366" s="48" t="str">
        <f>IFERROR(__xludf.DUMMYFUNCTION("""COMPUTED_VALUE"""),"")</f>
        <v/>
      </c>
      <c r="G17366" s="42" t="str">
        <f>IFERROR(__xludf.DUMMYFUNCTION("""COMPUTED_VALUE"""),"")</f>
        <v/>
      </c>
      <c r="H17366" s="42">
        <f t="shared" si="1"/>
        <v>3345</v>
      </c>
    </row>
    <row r="17367" ht="22.5" customHeight="1">
      <c r="B17367" s="42" t="str">
        <f>IFERROR(__xludf.DUMMYFUNCTION("""COMPUTED_VALUE"""),"")</f>
        <v/>
      </c>
      <c r="C17367" s="42" t="str">
        <f>IFERROR(__xludf.DUMMYFUNCTION("""COMPUTED_VALUE"""),"")</f>
        <v/>
      </c>
      <c r="D17367" s="42"/>
      <c r="E17367" s="42"/>
      <c r="F17367" s="48" t="str">
        <f>IFERROR(__xludf.DUMMYFUNCTION("""COMPUTED_VALUE"""),"")</f>
        <v/>
      </c>
      <c r="G17367" s="42" t="str">
        <f>IFERROR(__xludf.DUMMYFUNCTION("""COMPUTED_VALUE"""),"")</f>
        <v/>
      </c>
      <c r="H17367" s="42">
        <f t="shared" si="1"/>
        <v>3345</v>
      </c>
    </row>
    <row r="17368" ht="22.5" customHeight="1">
      <c r="B17368" s="42" t="str">
        <f>IFERROR(__xludf.DUMMYFUNCTION("""COMPUTED_VALUE"""),"")</f>
        <v/>
      </c>
      <c r="C17368" s="42" t="str">
        <f>IFERROR(__xludf.DUMMYFUNCTION("""COMPUTED_VALUE"""),"")</f>
        <v/>
      </c>
      <c r="D17368" s="42"/>
      <c r="E17368" s="42"/>
      <c r="F17368" s="48" t="str">
        <f>IFERROR(__xludf.DUMMYFUNCTION("""COMPUTED_VALUE"""),"")</f>
        <v/>
      </c>
      <c r="G17368" s="42" t="str">
        <f>IFERROR(__xludf.DUMMYFUNCTION("""COMPUTED_VALUE"""),"")</f>
        <v/>
      </c>
      <c r="H17368" s="42">
        <f t="shared" si="1"/>
        <v>3345</v>
      </c>
    </row>
    <row r="17369" ht="22.5" customHeight="1">
      <c r="B17369" s="42" t="str">
        <f>IFERROR(__xludf.DUMMYFUNCTION("""COMPUTED_VALUE"""),"")</f>
        <v/>
      </c>
      <c r="C17369" s="42" t="str">
        <f>IFERROR(__xludf.DUMMYFUNCTION("""COMPUTED_VALUE"""),"")</f>
        <v/>
      </c>
      <c r="D17369" s="42"/>
      <c r="E17369" s="42"/>
      <c r="F17369" s="48" t="str">
        <f>IFERROR(__xludf.DUMMYFUNCTION("""COMPUTED_VALUE"""),"")</f>
        <v/>
      </c>
      <c r="G17369" s="42" t="str">
        <f>IFERROR(__xludf.DUMMYFUNCTION("""COMPUTED_VALUE"""),"")</f>
        <v/>
      </c>
      <c r="H17369" s="42">
        <f t="shared" si="1"/>
        <v>3345</v>
      </c>
    </row>
    <row r="17370" ht="22.5" customHeight="1">
      <c r="B17370" s="42" t="str">
        <f>IFERROR(__xludf.DUMMYFUNCTION("""COMPUTED_VALUE"""),"")</f>
        <v/>
      </c>
      <c r="C17370" s="42" t="str">
        <f>IFERROR(__xludf.DUMMYFUNCTION("""COMPUTED_VALUE"""),"")</f>
        <v/>
      </c>
      <c r="D17370" s="42"/>
      <c r="E17370" s="42"/>
      <c r="F17370" s="48" t="str">
        <f>IFERROR(__xludf.DUMMYFUNCTION("""COMPUTED_VALUE"""),"")</f>
        <v/>
      </c>
      <c r="G17370" s="42" t="str">
        <f>IFERROR(__xludf.DUMMYFUNCTION("""COMPUTED_VALUE"""),"")</f>
        <v/>
      </c>
      <c r="H17370" s="42">
        <f t="shared" si="1"/>
        <v>3345</v>
      </c>
    </row>
    <row r="17371" ht="22.5" customHeight="1">
      <c r="B17371" s="42" t="str">
        <f>IFERROR(__xludf.DUMMYFUNCTION("""COMPUTED_VALUE"""),"")</f>
        <v/>
      </c>
      <c r="C17371" s="42" t="str">
        <f>IFERROR(__xludf.DUMMYFUNCTION("""COMPUTED_VALUE"""),"")</f>
        <v/>
      </c>
      <c r="D17371" s="42"/>
      <c r="E17371" s="42"/>
      <c r="F17371" s="48" t="str">
        <f>IFERROR(__xludf.DUMMYFUNCTION("""COMPUTED_VALUE"""),"")</f>
        <v/>
      </c>
      <c r="G17371" s="42" t="str">
        <f>IFERROR(__xludf.DUMMYFUNCTION("""COMPUTED_VALUE"""),"")</f>
        <v/>
      </c>
      <c r="H17371" s="42">
        <f t="shared" si="1"/>
        <v>3345</v>
      </c>
    </row>
    <row r="17372" ht="22.5" customHeight="1">
      <c r="B17372" s="42" t="str">
        <f>IFERROR(__xludf.DUMMYFUNCTION("""COMPUTED_VALUE"""),"")</f>
        <v/>
      </c>
      <c r="C17372" s="42" t="str">
        <f>IFERROR(__xludf.DUMMYFUNCTION("""COMPUTED_VALUE"""),"")</f>
        <v/>
      </c>
      <c r="D17372" s="42"/>
      <c r="E17372" s="42"/>
      <c r="F17372" s="48" t="str">
        <f>IFERROR(__xludf.DUMMYFUNCTION("""COMPUTED_VALUE"""),"")</f>
        <v/>
      </c>
      <c r="G17372" s="42" t="str">
        <f>IFERROR(__xludf.DUMMYFUNCTION("""COMPUTED_VALUE"""),"")</f>
        <v/>
      </c>
      <c r="H17372" s="42">
        <f t="shared" si="1"/>
        <v>3345</v>
      </c>
    </row>
    <row r="17373" ht="22.5" customHeight="1">
      <c r="B17373" s="42" t="str">
        <f>IFERROR(__xludf.DUMMYFUNCTION("""COMPUTED_VALUE"""),"")</f>
        <v/>
      </c>
      <c r="C17373" s="42" t="str">
        <f>IFERROR(__xludf.DUMMYFUNCTION("""COMPUTED_VALUE"""),"")</f>
        <v/>
      </c>
      <c r="D17373" s="42"/>
      <c r="E17373" s="42"/>
      <c r="F17373" s="48" t="str">
        <f>IFERROR(__xludf.DUMMYFUNCTION("""COMPUTED_VALUE"""),"")</f>
        <v/>
      </c>
      <c r="G17373" s="42" t="str">
        <f>IFERROR(__xludf.DUMMYFUNCTION("""COMPUTED_VALUE"""),"")</f>
        <v/>
      </c>
      <c r="H17373" s="42">
        <f t="shared" si="1"/>
        <v>3345</v>
      </c>
    </row>
    <row r="17374" ht="22.5" customHeight="1">
      <c r="B17374" s="42" t="str">
        <f>IFERROR(__xludf.DUMMYFUNCTION("""COMPUTED_VALUE"""),"")</f>
        <v/>
      </c>
      <c r="C17374" s="42" t="str">
        <f>IFERROR(__xludf.DUMMYFUNCTION("""COMPUTED_VALUE"""),"")</f>
        <v/>
      </c>
      <c r="D17374" s="42"/>
      <c r="E17374" s="42"/>
      <c r="F17374" s="48" t="str">
        <f>IFERROR(__xludf.DUMMYFUNCTION("""COMPUTED_VALUE"""),"")</f>
        <v/>
      </c>
      <c r="G17374" s="42" t="str">
        <f>IFERROR(__xludf.DUMMYFUNCTION("""COMPUTED_VALUE"""),"")</f>
        <v/>
      </c>
      <c r="H17374" s="42">
        <f t="shared" si="1"/>
        <v>3345</v>
      </c>
    </row>
    <row r="17375" ht="22.5" customHeight="1">
      <c r="B17375" s="42" t="str">
        <f>IFERROR(__xludf.DUMMYFUNCTION("""COMPUTED_VALUE"""),"")</f>
        <v/>
      </c>
      <c r="C17375" s="42" t="str">
        <f>IFERROR(__xludf.DUMMYFUNCTION("""COMPUTED_VALUE"""),"")</f>
        <v/>
      </c>
      <c r="D17375" s="42"/>
      <c r="E17375" s="42"/>
      <c r="F17375" s="48" t="str">
        <f>IFERROR(__xludf.DUMMYFUNCTION("""COMPUTED_VALUE"""),"")</f>
        <v/>
      </c>
      <c r="G17375" s="42" t="str">
        <f>IFERROR(__xludf.DUMMYFUNCTION("""COMPUTED_VALUE"""),"")</f>
        <v/>
      </c>
      <c r="H17375" s="42">
        <f t="shared" si="1"/>
        <v>3345</v>
      </c>
    </row>
    <row r="17376" ht="22.5" customHeight="1">
      <c r="B17376" s="42" t="str">
        <f>IFERROR(__xludf.DUMMYFUNCTION("""COMPUTED_VALUE"""),"")</f>
        <v/>
      </c>
      <c r="C17376" s="42" t="str">
        <f>IFERROR(__xludf.DUMMYFUNCTION("""COMPUTED_VALUE"""),"")</f>
        <v/>
      </c>
      <c r="D17376" s="42"/>
      <c r="E17376" s="42"/>
      <c r="F17376" s="48" t="str">
        <f>IFERROR(__xludf.DUMMYFUNCTION("""COMPUTED_VALUE"""),"")</f>
        <v/>
      </c>
      <c r="G17376" s="42" t="str">
        <f>IFERROR(__xludf.DUMMYFUNCTION("""COMPUTED_VALUE"""),"")</f>
        <v/>
      </c>
      <c r="H17376" s="42">
        <f t="shared" si="1"/>
        <v>3345</v>
      </c>
    </row>
    <row r="17377" ht="22.5" customHeight="1">
      <c r="B17377" s="42" t="str">
        <f>IFERROR(__xludf.DUMMYFUNCTION("""COMPUTED_VALUE"""),"")</f>
        <v/>
      </c>
      <c r="C17377" s="42" t="str">
        <f>IFERROR(__xludf.DUMMYFUNCTION("""COMPUTED_VALUE"""),"")</f>
        <v/>
      </c>
      <c r="D17377" s="42"/>
      <c r="E17377" s="42"/>
      <c r="F17377" s="48" t="str">
        <f>IFERROR(__xludf.DUMMYFUNCTION("""COMPUTED_VALUE"""),"")</f>
        <v/>
      </c>
      <c r="G17377" s="42" t="str">
        <f>IFERROR(__xludf.DUMMYFUNCTION("""COMPUTED_VALUE"""),"")</f>
        <v/>
      </c>
      <c r="H17377" s="42">
        <f t="shared" si="1"/>
        <v>3345</v>
      </c>
    </row>
    <row r="17378" ht="22.5" customHeight="1">
      <c r="B17378" s="42" t="str">
        <f>IFERROR(__xludf.DUMMYFUNCTION("""COMPUTED_VALUE"""),"")</f>
        <v/>
      </c>
      <c r="C17378" s="42" t="str">
        <f>IFERROR(__xludf.DUMMYFUNCTION("""COMPUTED_VALUE"""),"")</f>
        <v/>
      </c>
      <c r="D17378" s="42"/>
      <c r="E17378" s="42"/>
      <c r="F17378" s="48" t="str">
        <f>IFERROR(__xludf.DUMMYFUNCTION("""COMPUTED_VALUE"""),"")</f>
        <v/>
      </c>
      <c r="G17378" s="42" t="str">
        <f>IFERROR(__xludf.DUMMYFUNCTION("""COMPUTED_VALUE"""),"")</f>
        <v/>
      </c>
      <c r="H17378" s="42">
        <f t="shared" si="1"/>
        <v>3345</v>
      </c>
    </row>
    <row r="17379" ht="22.5" customHeight="1">
      <c r="B17379" s="42" t="str">
        <f>IFERROR(__xludf.DUMMYFUNCTION("""COMPUTED_VALUE"""),"")</f>
        <v/>
      </c>
      <c r="C17379" s="42" t="str">
        <f>IFERROR(__xludf.DUMMYFUNCTION("""COMPUTED_VALUE"""),"")</f>
        <v/>
      </c>
      <c r="D17379" s="42"/>
      <c r="E17379" s="42"/>
      <c r="F17379" s="48" t="str">
        <f>IFERROR(__xludf.DUMMYFUNCTION("""COMPUTED_VALUE"""),"")</f>
        <v/>
      </c>
      <c r="G17379" s="42" t="str">
        <f>IFERROR(__xludf.DUMMYFUNCTION("""COMPUTED_VALUE"""),"")</f>
        <v/>
      </c>
      <c r="H17379" s="42">
        <f t="shared" si="1"/>
        <v>3345</v>
      </c>
    </row>
    <row r="17380" ht="22.5" customHeight="1">
      <c r="B17380" s="42" t="str">
        <f>IFERROR(__xludf.DUMMYFUNCTION("""COMPUTED_VALUE"""),"")</f>
        <v/>
      </c>
      <c r="C17380" s="42" t="str">
        <f>IFERROR(__xludf.DUMMYFUNCTION("""COMPUTED_VALUE"""),"")</f>
        <v/>
      </c>
      <c r="D17380" s="42"/>
      <c r="E17380" s="42"/>
      <c r="F17380" s="48" t="str">
        <f>IFERROR(__xludf.DUMMYFUNCTION("""COMPUTED_VALUE"""),"")</f>
        <v/>
      </c>
      <c r="G17380" s="42" t="str">
        <f>IFERROR(__xludf.DUMMYFUNCTION("""COMPUTED_VALUE"""),"")</f>
        <v/>
      </c>
      <c r="H17380" s="42">
        <f t="shared" si="1"/>
        <v>3345</v>
      </c>
    </row>
    <row r="17381" ht="22.5" customHeight="1">
      <c r="B17381" s="42" t="str">
        <f>IFERROR(__xludf.DUMMYFUNCTION("""COMPUTED_VALUE"""),"")</f>
        <v/>
      </c>
      <c r="C17381" s="42" t="str">
        <f>IFERROR(__xludf.DUMMYFUNCTION("""COMPUTED_VALUE"""),"")</f>
        <v/>
      </c>
      <c r="D17381" s="42"/>
      <c r="E17381" s="42"/>
      <c r="F17381" s="48" t="str">
        <f>IFERROR(__xludf.DUMMYFUNCTION("""COMPUTED_VALUE"""),"")</f>
        <v/>
      </c>
      <c r="G17381" s="42" t="str">
        <f>IFERROR(__xludf.DUMMYFUNCTION("""COMPUTED_VALUE"""),"")</f>
        <v/>
      </c>
      <c r="H17381" s="42">
        <f t="shared" si="1"/>
        <v>3345</v>
      </c>
    </row>
    <row r="17382" ht="22.5" customHeight="1">
      <c r="B17382" s="42" t="str">
        <f>IFERROR(__xludf.DUMMYFUNCTION("""COMPUTED_VALUE"""),"")</f>
        <v/>
      </c>
      <c r="C17382" s="42" t="str">
        <f>IFERROR(__xludf.DUMMYFUNCTION("""COMPUTED_VALUE"""),"")</f>
        <v/>
      </c>
      <c r="D17382" s="42"/>
      <c r="E17382" s="42"/>
      <c r="F17382" s="48" t="str">
        <f>IFERROR(__xludf.DUMMYFUNCTION("""COMPUTED_VALUE"""),"")</f>
        <v/>
      </c>
      <c r="G17382" s="42" t="str">
        <f>IFERROR(__xludf.DUMMYFUNCTION("""COMPUTED_VALUE"""),"")</f>
        <v/>
      </c>
      <c r="H17382" s="42">
        <f t="shared" si="1"/>
        <v>3345</v>
      </c>
    </row>
    <row r="17383" ht="22.5" customHeight="1">
      <c r="B17383" s="42" t="str">
        <f>IFERROR(__xludf.DUMMYFUNCTION("""COMPUTED_VALUE"""),"")</f>
        <v/>
      </c>
      <c r="C17383" s="42" t="str">
        <f>IFERROR(__xludf.DUMMYFUNCTION("""COMPUTED_VALUE"""),"")</f>
        <v/>
      </c>
      <c r="D17383" s="42"/>
      <c r="E17383" s="42"/>
      <c r="F17383" s="48" t="str">
        <f>IFERROR(__xludf.DUMMYFUNCTION("""COMPUTED_VALUE"""),"")</f>
        <v/>
      </c>
      <c r="G17383" s="42" t="str">
        <f>IFERROR(__xludf.DUMMYFUNCTION("""COMPUTED_VALUE"""),"")</f>
        <v/>
      </c>
      <c r="H17383" s="42">
        <f t="shared" si="1"/>
        <v>3345</v>
      </c>
    </row>
    <row r="17384" ht="22.5" customHeight="1">
      <c r="B17384" s="42" t="str">
        <f>IFERROR(__xludf.DUMMYFUNCTION("""COMPUTED_VALUE"""),"")</f>
        <v/>
      </c>
      <c r="C17384" s="42" t="str">
        <f>IFERROR(__xludf.DUMMYFUNCTION("""COMPUTED_VALUE"""),"")</f>
        <v/>
      </c>
      <c r="D17384" s="42"/>
      <c r="E17384" s="42"/>
      <c r="F17384" s="48" t="str">
        <f>IFERROR(__xludf.DUMMYFUNCTION("""COMPUTED_VALUE"""),"")</f>
        <v/>
      </c>
      <c r="G17384" s="42" t="str">
        <f>IFERROR(__xludf.DUMMYFUNCTION("""COMPUTED_VALUE"""),"")</f>
        <v/>
      </c>
      <c r="H17384" s="42">
        <f t="shared" si="1"/>
        <v>3345</v>
      </c>
    </row>
    <row r="17385" ht="22.5" customHeight="1">
      <c r="B17385" s="42" t="str">
        <f>IFERROR(__xludf.DUMMYFUNCTION("""COMPUTED_VALUE"""),"")</f>
        <v/>
      </c>
      <c r="C17385" s="42" t="str">
        <f>IFERROR(__xludf.DUMMYFUNCTION("""COMPUTED_VALUE"""),"")</f>
        <v/>
      </c>
      <c r="D17385" s="42"/>
      <c r="E17385" s="42"/>
      <c r="F17385" s="48" t="str">
        <f>IFERROR(__xludf.DUMMYFUNCTION("""COMPUTED_VALUE"""),"")</f>
        <v/>
      </c>
      <c r="G17385" s="42" t="str">
        <f>IFERROR(__xludf.DUMMYFUNCTION("""COMPUTED_VALUE"""),"")</f>
        <v/>
      </c>
      <c r="H17385" s="42">
        <f t="shared" si="1"/>
        <v>3345</v>
      </c>
    </row>
    <row r="17386" ht="22.5" customHeight="1">
      <c r="B17386" s="42" t="str">
        <f>IFERROR(__xludf.DUMMYFUNCTION("""COMPUTED_VALUE"""),"")</f>
        <v/>
      </c>
      <c r="C17386" s="42" t="str">
        <f>IFERROR(__xludf.DUMMYFUNCTION("""COMPUTED_VALUE"""),"")</f>
        <v/>
      </c>
      <c r="D17386" s="42"/>
      <c r="E17386" s="42"/>
      <c r="F17386" s="48" t="str">
        <f>IFERROR(__xludf.DUMMYFUNCTION("""COMPUTED_VALUE"""),"")</f>
        <v/>
      </c>
      <c r="G17386" s="42" t="str">
        <f>IFERROR(__xludf.DUMMYFUNCTION("""COMPUTED_VALUE"""),"")</f>
        <v/>
      </c>
      <c r="H17386" s="42">
        <f t="shared" si="1"/>
        <v>3345</v>
      </c>
    </row>
    <row r="17387" ht="22.5" customHeight="1">
      <c r="B17387" s="42" t="str">
        <f>IFERROR(__xludf.DUMMYFUNCTION("""COMPUTED_VALUE"""),"")</f>
        <v/>
      </c>
      <c r="C17387" s="42" t="str">
        <f>IFERROR(__xludf.DUMMYFUNCTION("""COMPUTED_VALUE"""),"")</f>
        <v/>
      </c>
      <c r="D17387" s="42"/>
      <c r="E17387" s="42"/>
      <c r="F17387" s="48" t="str">
        <f>IFERROR(__xludf.DUMMYFUNCTION("""COMPUTED_VALUE"""),"")</f>
        <v/>
      </c>
      <c r="G17387" s="42" t="str">
        <f>IFERROR(__xludf.DUMMYFUNCTION("""COMPUTED_VALUE"""),"")</f>
        <v/>
      </c>
      <c r="H17387" s="42">
        <f t="shared" si="1"/>
        <v>3345</v>
      </c>
    </row>
    <row r="17388" ht="22.5" customHeight="1">
      <c r="B17388" s="42" t="str">
        <f>IFERROR(__xludf.DUMMYFUNCTION("""COMPUTED_VALUE"""),"")</f>
        <v/>
      </c>
      <c r="C17388" s="42" t="str">
        <f>IFERROR(__xludf.DUMMYFUNCTION("""COMPUTED_VALUE"""),"")</f>
        <v/>
      </c>
      <c r="D17388" s="42"/>
      <c r="E17388" s="42"/>
      <c r="F17388" s="48" t="str">
        <f>IFERROR(__xludf.DUMMYFUNCTION("""COMPUTED_VALUE"""),"")</f>
        <v/>
      </c>
      <c r="G17388" s="42" t="str">
        <f>IFERROR(__xludf.DUMMYFUNCTION("""COMPUTED_VALUE"""),"")</f>
        <v/>
      </c>
      <c r="H17388" s="42">
        <f t="shared" si="1"/>
        <v>3345</v>
      </c>
    </row>
    <row r="17389" ht="22.5" customHeight="1">
      <c r="B17389" s="42" t="str">
        <f>IFERROR(__xludf.DUMMYFUNCTION("""COMPUTED_VALUE"""),"")</f>
        <v/>
      </c>
      <c r="C17389" s="42" t="str">
        <f>IFERROR(__xludf.DUMMYFUNCTION("""COMPUTED_VALUE"""),"")</f>
        <v/>
      </c>
      <c r="D17389" s="42"/>
      <c r="E17389" s="42"/>
      <c r="F17389" s="48" t="str">
        <f>IFERROR(__xludf.DUMMYFUNCTION("""COMPUTED_VALUE"""),"")</f>
        <v/>
      </c>
      <c r="G17389" s="42" t="str">
        <f>IFERROR(__xludf.DUMMYFUNCTION("""COMPUTED_VALUE"""),"")</f>
        <v/>
      </c>
      <c r="H17389" s="42">
        <f t="shared" si="1"/>
        <v>3345</v>
      </c>
    </row>
    <row r="17390" ht="22.5" customHeight="1">
      <c r="B17390" s="42" t="str">
        <f>IFERROR(__xludf.DUMMYFUNCTION("""COMPUTED_VALUE"""),"")</f>
        <v/>
      </c>
      <c r="C17390" s="42" t="str">
        <f>IFERROR(__xludf.DUMMYFUNCTION("""COMPUTED_VALUE"""),"")</f>
        <v/>
      </c>
      <c r="D17390" s="42"/>
      <c r="E17390" s="42"/>
      <c r="F17390" s="48" t="str">
        <f>IFERROR(__xludf.DUMMYFUNCTION("""COMPUTED_VALUE"""),"")</f>
        <v/>
      </c>
      <c r="G17390" s="42" t="str">
        <f>IFERROR(__xludf.DUMMYFUNCTION("""COMPUTED_VALUE"""),"")</f>
        <v/>
      </c>
      <c r="H17390" s="42">
        <f t="shared" si="1"/>
        <v>3345</v>
      </c>
    </row>
    <row r="17391" ht="22.5" customHeight="1">
      <c r="B17391" s="42" t="str">
        <f>IFERROR(__xludf.DUMMYFUNCTION("""COMPUTED_VALUE"""),"")</f>
        <v/>
      </c>
      <c r="C17391" s="42" t="str">
        <f>IFERROR(__xludf.DUMMYFUNCTION("""COMPUTED_VALUE"""),"")</f>
        <v/>
      </c>
      <c r="D17391" s="42"/>
      <c r="E17391" s="42"/>
      <c r="F17391" s="48" t="str">
        <f>IFERROR(__xludf.DUMMYFUNCTION("""COMPUTED_VALUE"""),"")</f>
        <v/>
      </c>
      <c r="G17391" s="42" t="str">
        <f>IFERROR(__xludf.DUMMYFUNCTION("""COMPUTED_VALUE"""),"")</f>
        <v/>
      </c>
      <c r="H17391" s="42">
        <f t="shared" si="1"/>
        <v>3345</v>
      </c>
    </row>
    <row r="17392" ht="22.5" customHeight="1">
      <c r="B17392" s="42" t="str">
        <f>IFERROR(__xludf.DUMMYFUNCTION("""COMPUTED_VALUE"""),"")</f>
        <v/>
      </c>
      <c r="C17392" s="42" t="str">
        <f>IFERROR(__xludf.DUMMYFUNCTION("""COMPUTED_VALUE"""),"")</f>
        <v/>
      </c>
      <c r="D17392" s="42"/>
      <c r="E17392" s="42"/>
      <c r="F17392" s="48" t="str">
        <f>IFERROR(__xludf.DUMMYFUNCTION("""COMPUTED_VALUE"""),"")</f>
        <v/>
      </c>
      <c r="G17392" s="42" t="str">
        <f>IFERROR(__xludf.DUMMYFUNCTION("""COMPUTED_VALUE"""),"")</f>
        <v/>
      </c>
      <c r="H17392" s="42">
        <f t="shared" si="1"/>
        <v>3345</v>
      </c>
    </row>
    <row r="17393" ht="22.5" customHeight="1">
      <c r="B17393" s="42" t="str">
        <f>IFERROR(__xludf.DUMMYFUNCTION("""COMPUTED_VALUE"""),"")</f>
        <v/>
      </c>
      <c r="C17393" s="42" t="str">
        <f>IFERROR(__xludf.DUMMYFUNCTION("""COMPUTED_VALUE"""),"")</f>
        <v/>
      </c>
      <c r="D17393" s="42"/>
      <c r="E17393" s="42"/>
      <c r="F17393" s="48" t="str">
        <f>IFERROR(__xludf.DUMMYFUNCTION("""COMPUTED_VALUE"""),"")</f>
        <v/>
      </c>
      <c r="G17393" s="42" t="str">
        <f>IFERROR(__xludf.DUMMYFUNCTION("""COMPUTED_VALUE"""),"")</f>
        <v/>
      </c>
      <c r="H17393" s="42">
        <f t="shared" si="1"/>
        <v>3345</v>
      </c>
    </row>
    <row r="17394" ht="22.5" customHeight="1">
      <c r="B17394" s="42" t="str">
        <f>IFERROR(__xludf.DUMMYFUNCTION("""COMPUTED_VALUE"""),"")</f>
        <v/>
      </c>
      <c r="C17394" s="42" t="str">
        <f>IFERROR(__xludf.DUMMYFUNCTION("""COMPUTED_VALUE"""),"")</f>
        <v/>
      </c>
      <c r="D17394" s="42"/>
      <c r="E17394" s="42"/>
      <c r="F17394" s="48" t="str">
        <f>IFERROR(__xludf.DUMMYFUNCTION("""COMPUTED_VALUE"""),"")</f>
        <v/>
      </c>
      <c r="G17394" s="42" t="str">
        <f>IFERROR(__xludf.DUMMYFUNCTION("""COMPUTED_VALUE"""),"")</f>
        <v/>
      </c>
      <c r="H17394" s="42">
        <f t="shared" si="1"/>
        <v>3345</v>
      </c>
    </row>
    <row r="17395" ht="22.5" customHeight="1">
      <c r="B17395" s="42" t="str">
        <f>IFERROR(__xludf.DUMMYFUNCTION("""COMPUTED_VALUE"""),"")</f>
        <v/>
      </c>
      <c r="C17395" s="42" t="str">
        <f>IFERROR(__xludf.DUMMYFUNCTION("""COMPUTED_VALUE"""),"")</f>
        <v/>
      </c>
      <c r="D17395" s="42"/>
      <c r="E17395" s="42"/>
      <c r="F17395" s="48" t="str">
        <f>IFERROR(__xludf.DUMMYFUNCTION("""COMPUTED_VALUE"""),"")</f>
        <v/>
      </c>
      <c r="G17395" s="42" t="str">
        <f>IFERROR(__xludf.DUMMYFUNCTION("""COMPUTED_VALUE"""),"")</f>
        <v/>
      </c>
      <c r="H17395" s="42">
        <f t="shared" si="1"/>
        <v>3345</v>
      </c>
    </row>
    <row r="17396" ht="22.5" customHeight="1">
      <c r="B17396" s="42" t="str">
        <f>IFERROR(__xludf.DUMMYFUNCTION("""COMPUTED_VALUE"""),"")</f>
        <v/>
      </c>
      <c r="C17396" s="42" t="str">
        <f>IFERROR(__xludf.DUMMYFUNCTION("""COMPUTED_VALUE"""),"")</f>
        <v/>
      </c>
      <c r="D17396" s="42"/>
      <c r="E17396" s="42"/>
      <c r="F17396" s="48" t="str">
        <f>IFERROR(__xludf.DUMMYFUNCTION("""COMPUTED_VALUE"""),"")</f>
        <v/>
      </c>
      <c r="G17396" s="42" t="str">
        <f>IFERROR(__xludf.DUMMYFUNCTION("""COMPUTED_VALUE"""),"")</f>
        <v/>
      </c>
      <c r="H17396" s="42">
        <f t="shared" si="1"/>
        <v>3345</v>
      </c>
    </row>
    <row r="17397" ht="22.5" customHeight="1">
      <c r="B17397" s="42" t="str">
        <f>IFERROR(__xludf.DUMMYFUNCTION("""COMPUTED_VALUE"""),"")</f>
        <v/>
      </c>
      <c r="C17397" s="42" t="str">
        <f>IFERROR(__xludf.DUMMYFUNCTION("""COMPUTED_VALUE"""),"")</f>
        <v/>
      </c>
      <c r="D17397" s="42"/>
      <c r="E17397" s="42"/>
      <c r="F17397" s="48" t="str">
        <f>IFERROR(__xludf.DUMMYFUNCTION("""COMPUTED_VALUE"""),"")</f>
        <v/>
      </c>
      <c r="G17397" s="42" t="str">
        <f>IFERROR(__xludf.DUMMYFUNCTION("""COMPUTED_VALUE"""),"")</f>
        <v/>
      </c>
      <c r="H17397" s="42">
        <f t="shared" si="1"/>
        <v>3345</v>
      </c>
    </row>
    <row r="17398" ht="22.5" customHeight="1">
      <c r="B17398" s="42" t="str">
        <f>IFERROR(__xludf.DUMMYFUNCTION("""COMPUTED_VALUE"""),"")</f>
        <v/>
      </c>
      <c r="C17398" s="42" t="str">
        <f>IFERROR(__xludf.DUMMYFUNCTION("""COMPUTED_VALUE"""),"")</f>
        <v/>
      </c>
      <c r="D17398" s="42"/>
      <c r="E17398" s="42"/>
      <c r="F17398" s="48" t="str">
        <f>IFERROR(__xludf.DUMMYFUNCTION("""COMPUTED_VALUE"""),"")</f>
        <v/>
      </c>
      <c r="G17398" s="42" t="str">
        <f>IFERROR(__xludf.DUMMYFUNCTION("""COMPUTED_VALUE"""),"")</f>
        <v/>
      </c>
      <c r="H17398" s="42">
        <f t="shared" si="1"/>
        <v>3345</v>
      </c>
    </row>
    <row r="17399" ht="22.5" customHeight="1">
      <c r="B17399" s="42" t="str">
        <f>IFERROR(__xludf.DUMMYFUNCTION("""COMPUTED_VALUE"""),"")</f>
        <v/>
      </c>
      <c r="C17399" s="42" t="str">
        <f>IFERROR(__xludf.DUMMYFUNCTION("""COMPUTED_VALUE"""),"")</f>
        <v/>
      </c>
      <c r="D17399" s="42"/>
      <c r="E17399" s="42"/>
      <c r="F17399" s="48" t="str">
        <f>IFERROR(__xludf.DUMMYFUNCTION("""COMPUTED_VALUE"""),"")</f>
        <v/>
      </c>
      <c r="G17399" s="42" t="str">
        <f>IFERROR(__xludf.DUMMYFUNCTION("""COMPUTED_VALUE"""),"")</f>
        <v/>
      </c>
      <c r="H17399" s="42">
        <f t="shared" si="1"/>
        <v>3345</v>
      </c>
    </row>
    <row r="17400" ht="22.5" customHeight="1">
      <c r="B17400" s="42" t="str">
        <f>IFERROR(__xludf.DUMMYFUNCTION("""COMPUTED_VALUE"""),"")</f>
        <v/>
      </c>
      <c r="C17400" s="42" t="str">
        <f>IFERROR(__xludf.DUMMYFUNCTION("""COMPUTED_VALUE"""),"")</f>
        <v/>
      </c>
      <c r="D17400" s="42"/>
      <c r="E17400" s="42"/>
      <c r="F17400" s="48" t="str">
        <f>IFERROR(__xludf.DUMMYFUNCTION("""COMPUTED_VALUE"""),"")</f>
        <v/>
      </c>
      <c r="G17400" s="42" t="str">
        <f>IFERROR(__xludf.DUMMYFUNCTION("""COMPUTED_VALUE"""),"")</f>
        <v/>
      </c>
      <c r="H17400" s="42">
        <f t="shared" si="1"/>
        <v>3345</v>
      </c>
    </row>
    <row r="17401" ht="22.5" customHeight="1">
      <c r="B17401" s="42" t="str">
        <f>IFERROR(__xludf.DUMMYFUNCTION("""COMPUTED_VALUE"""),"")</f>
        <v/>
      </c>
      <c r="C17401" s="42" t="str">
        <f>IFERROR(__xludf.DUMMYFUNCTION("""COMPUTED_VALUE"""),"")</f>
        <v/>
      </c>
      <c r="D17401" s="42"/>
      <c r="E17401" s="42"/>
      <c r="F17401" s="48" t="str">
        <f>IFERROR(__xludf.DUMMYFUNCTION("""COMPUTED_VALUE"""),"")</f>
        <v/>
      </c>
      <c r="G17401" s="42" t="str">
        <f>IFERROR(__xludf.DUMMYFUNCTION("""COMPUTED_VALUE"""),"")</f>
        <v/>
      </c>
      <c r="H17401" s="42">
        <f t="shared" si="1"/>
        <v>3345</v>
      </c>
    </row>
    <row r="17402" ht="22.5" customHeight="1">
      <c r="B17402" s="42" t="str">
        <f>IFERROR(__xludf.DUMMYFUNCTION("""COMPUTED_VALUE"""),"")</f>
        <v/>
      </c>
      <c r="C17402" s="42" t="str">
        <f>IFERROR(__xludf.DUMMYFUNCTION("""COMPUTED_VALUE"""),"")</f>
        <v/>
      </c>
      <c r="D17402" s="42"/>
      <c r="E17402" s="42"/>
      <c r="F17402" s="48" t="str">
        <f>IFERROR(__xludf.DUMMYFUNCTION("""COMPUTED_VALUE"""),"")</f>
        <v/>
      </c>
      <c r="G17402" s="42" t="str">
        <f>IFERROR(__xludf.DUMMYFUNCTION("""COMPUTED_VALUE"""),"")</f>
        <v/>
      </c>
      <c r="H17402" s="42">
        <f t="shared" si="1"/>
        <v>3345</v>
      </c>
    </row>
    <row r="17403" ht="22.5" customHeight="1">
      <c r="B17403" s="42" t="str">
        <f>IFERROR(__xludf.DUMMYFUNCTION("""COMPUTED_VALUE"""),"")</f>
        <v/>
      </c>
      <c r="C17403" s="42" t="str">
        <f>IFERROR(__xludf.DUMMYFUNCTION("""COMPUTED_VALUE"""),"")</f>
        <v/>
      </c>
      <c r="D17403" s="42"/>
      <c r="E17403" s="42"/>
      <c r="F17403" s="48" t="str">
        <f>IFERROR(__xludf.DUMMYFUNCTION("""COMPUTED_VALUE"""),"")</f>
        <v/>
      </c>
      <c r="G17403" s="42" t="str">
        <f>IFERROR(__xludf.DUMMYFUNCTION("""COMPUTED_VALUE"""),"")</f>
        <v/>
      </c>
      <c r="H17403" s="42">
        <f t="shared" si="1"/>
        <v>3345</v>
      </c>
    </row>
    <row r="17404" ht="22.5" customHeight="1">
      <c r="B17404" s="42" t="str">
        <f>IFERROR(__xludf.DUMMYFUNCTION("""COMPUTED_VALUE"""),"")</f>
        <v/>
      </c>
      <c r="C17404" s="42" t="str">
        <f>IFERROR(__xludf.DUMMYFUNCTION("""COMPUTED_VALUE"""),"")</f>
        <v/>
      </c>
      <c r="D17404" s="42"/>
      <c r="E17404" s="42"/>
      <c r="F17404" s="48" t="str">
        <f>IFERROR(__xludf.DUMMYFUNCTION("""COMPUTED_VALUE"""),"")</f>
        <v/>
      </c>
      <c r="G17404" s="42" t="str">
        <f>IFERROR(__xludf.DUMMYFUNCTION("""COMPUTED_VALUE"""),"")</f>
        <v/>
      </c>
      <c r="H17404" s="42">
        <f t="shared" si="1"/>
        <v>3345</v>
      </c>
    </row>
    <row r="17405" ht="22.5" customHeight="1">
      <c r="B17405" s="42" t="str">
        <f>IFERROR(__xludf.DUMMYFUNCTION("""COMPUTED_VALUE"""),"")</f>
        <v/>
      </c>
      <c r="C17405" s="42" t="str">
        <f>IFERROR(__xludf.DUMMYFUNCTION("""COMPUTED_VALUE"""),"")</f>
        <v/>
      </c>
      <c r="D17405" s="42"/>
      <c r="E17405" s="42"/>
      <c r="F17405" s="48" t="str">
        <f>IFERROR(__xludf.DUMMYFUNCTION("""COMPUTED_VALUE"""),"")</f>
        <v/>
      </c>
      <c r="G17405" s="42" t="str">
        <f>IFERROR(__xludf.DUMMYFUNCTION("""COMPUTED_VALUE"""),"")</f>
        <v/>
      </c>
      <c r="H17405" s="42">
        <f t="shared" si="1"/>
        <v>3345</v>
      </c>
    </row>
    <row r="17406" ht="22.5" customHeight="1">
      <c r="B17406" s="42" t="str">
        <f>IFERROR(__xludf.DUMMYFUNCTION("""COMPUTED_VALUE"""),"")</f>
        <v/>
      </c>
      <c r="C17406" s="42" t="str">
        <f>IFERROR(__xludf.DUMMYFUNCTION("""COMPUTED_VALUE"""),"")</f>
        <v/>
      </c>
      <c r="D17406" s="42"/>
      <c r="E17406" s="42"/>
      <c r="F17406" s="48" t="str">
        <f>IFERROR(__xludf.DUMMYFUNCTION("""COMPUTED_VALUE"""),"")</f>
        <v/>
      </c>
      <c r="G17406" s="42" t="str">
        <f>IFERROR(__xludf.DUMMYFUNCTION("""COMPUTED_VALUE"""),"")</f>
        <v/>
      </c>
      <c r="H17406" s="42">
        <f t="shared" si="1"/>
        <v>3345</v>
      </c>
    </row>
    <row r="17407" ht="22.5" customHeight="1">
      <c r="B17407" s="42" t="str">
        <f>IFERROR(__xludf.DUMMYFUNCTION("""COMPUTED_VALUE"""),"")</f>
        <v/>
      </c>
      <c r="C17407" s="42" t="str">
        <f>IFERROR(__xludf.DUMMYFUNCTION("""COMPUTED_VALUE"""),"")</f>
        <v/>
      </c>
      <c r="D17407" s="42"/>
      <c r="E17407" s="42"/>
      <c r="F17407" s="48" t="str">
        <f>IFERROR(__xludf.DUMMYFUNCTION("""COMPUTED_VALUE"""),"")</f>
        <v/>
      </c>
      <c r="G17407" s="42" t="str">
        <f>IFERROR(__xludf.DUMMYFUNCTION("""COMPUTED_VALUE"""),"")</f>
        <v/>
      </c>
      <c r="H17407" s="42">
        <f t="shared" si="1"/>
        <v>3345</v>
      </c>
    </row>
    <row r="17408" ht="22.5" customHeight="1">
      <c r="B17408" s="42" t="str">
        <f>IFERROR(__xludf.DUMMYFUNCTION("""COMPUTED_VALUE"""),"")</f>
        <v/>
      </c>
      <c r="C17408" s="42" t="str">
        <f>IFERROR(__xludf.DUMMYFUNCTION("""COMPUTED_VALUE"""),"")</f>
        <v/>
      </c>
      <c r="D17408" s="42"/>
      <c r="E17408" s="42"/>
      <c r="F17408" s="48" t="str">
        <f>IFERROR(__xludf.DUMMYFUNCTION("""COMPUTED_VALUE"""),"")</f>
        <v/>
      </c>
      <c r="G17408" s="42" t="str">
        <f>IFERROR(__xludf.DUMMYFUNCTION("""COMPUTED_VALUE"""),"")</f>
        <v/>
      </c>
      <c r="H17408" s="42">
        <f t="shared" si="1"/>
        <v>3345</v>
      </c>
    </row>
    <row r="17409" ht="22.5" customHeight="1">
      <c r="B17409" s="42" t="str">
        <f>IFERROR(__xludf.DUMMYFUNCTION("""COMPUTED_VALUE"""),"")</f>
        <v/>
      </c>
      <c r="C17409" s="42" t="str">
        <f>IFERROR(__xludf.DUMMYFUNCTION("""COMPUTED_VALUE"""),"")</f>
        <v/>
      </c>
      <c r="D17409" s="42"/>
      <c r="E17409" s="42"/>
      <c r="F17409" s="48" t="str">
        <f>IFERROR(__xludf.DUMMYFUNCTION("""COMPUTED_VALUE"""),"")</f>
        <v/>
      </c>
      <c r="G17409" s="42" t="str">
        <f>IFERROR(__xludf.DUMMYFUNCTION("""COMPUTED_VALUE"""),"")</f>
        <v/>
      </c>
      <c r="H17409" s="42">
        <f t="shared" si="1"/>
        <v>3345</v>
      </c>
    </row>
    <row r="17410" ht="22.5" customHeight="1">
      <c r="B17410" s="42" t="str">
        <f>IFERROR(__xludf.DUMMYFUNCTION("""COMPUTED_VALUE"""),"")</f>
        <v/>
      </c>
      <c r="C17410" s="42" t="str">
        <f>IFERROR(__xludf.DUMMYFUNCTION("""COMPUTED_VALUE"""),"")</f>
        <v/>
      </c>
      <c r="D17410" s="42"/>
      <c r="E17410" s="42"/>
      <c r="F17410" s="48" t="str">
        <f>IFERROR(__xludf.DUMMYFUNCTION("""COMPUTED_VALUE"""),"")</f>
        <v/>
      </c>
      <c r="G17410" s="42" t="str">
        <f>IFERROR(__xludf.DUMMYFUNCTION("""COMPUTED_VALUE"""),"")</f>
        <v/>
      </c>
      <c r="H17410" s="42">
        <f t="shared" si="1"/>
        <v>3345</v>
      </c>
    </row>
    <row r="17411" ht="22.5" customHeight="1">
      <c r="B17411" s="42" t="str">
        <f>IFERROR(__xludf.DUMMYFUNCTION("""COMPUTED_VALUE"""),"")</f>
        <v/>
      </c>
      <c r="C17411" s="42" t="str">
        <f>IFERROR(__xludf.DUMMYFUNCTION("""COMPUTED_VALUE"""),"")</f>
        <v/>
      </c>
      <c r="D17411" s="42"/>
      <c r="E17411" s="42"/>
      <c r="F17411" s="48" t="str">
        <f>IFERROR(__xludf.DUMMYFUNCTION("""COMPUTED_VALUE"""),"")</f>
        <v/>
      </c>
      <c r="G17411" s="42" t="str">
        <f>IFERROR(__xludf.DUMMYFUNCTION("""COMPUTED_VALUE"""),"")</f>
        <v/>
      </c>
      <c r="H17411" s="42">
        <f t="shared" si="1"/>
        <v>3345</v>
      </c>
    </row>
    <row r="17412" ht="22.5" customHeight="1">
      <c r="B17412" s="42" t="str">
        <f>IFERROR(__xludf.DUMMYFUNCTION("""COMPUTED_VALUE"""),"")</f>
        <v/>
      </c>
      <c r="C17412" s="42" t="str">
        <f>IFERROR(__xludf.DUMMYFUNCTION("""COMPUTED_VALUE"""),"")</f>
        <v/>
      </c>
      <c r="D17412" s="42"/>
      <c r="E17412" s="42"/>
      <c r="F17412" s="48" t="str">
        <f>IFERROR(__xludf.DUMMYFUNCTION("""COMPUTED_VALUE"""),"")</f>
        <v/>
      </c>
      <c r="G17412" s="42" t="str">
        <f>IFERROR(__xludf.DUMMYFUNCTION("""COMPUTED_VALUE"""),"")</f>
        <v/>
      </c>
      <c r="H17412" s="42">
        <f t="shared" si="1"/>
        <v>3345</v>
      </c>
    </row>
    <row r="17413" ht="22.5" customHeight="1">
      <c r="B17413" s="42" t="str">
        <f>IFERROR(__xludf.DUMMYFUNCTION("""COMPUTED_VALUE"""),"")</f>
        <v/>
      </c>
      <c r="C17413" s="42" t="str">
        <f>IFERROR(__xludf.DUMMYFUNCTION("""COMPUTED_VALUE"""),"")</f>
        <v/>
      </c>
      <c r="D17413" s="42"/>
      <c r="E17413" s="42"/>
      <c r="F17413" s="48" t="str">
        <f>IFERROR(__xludf.DUMMYFUNCTION("""COMPUTED_VALUE"""),"")</f>
        <v/>
      </c>
      <c r="G17413" s="42" t="str">
        <f>IFERROR(__xludf.DUMMYFUNCTION("""COMPUTED_VALUE"""),"")</f>
        <v/>
      </c>
      <c r="H17413" s="42">
        <f t="shared" si="1"/>
        <v>3345</v>
      </c>
    </row>
    <row r="17414" ht="22.5" customHeight="1">
      <c r="B17414" s="42" t="str">
        <f>IFERROR(__xludf.DUMMYFUNCTION("""COMPUTED_VALUE"""),"")</f>
        <v/>
      </c>
      <c r="C17414" s="42" t="str">
        <f>IFERROR(__xludf.DUMMYFUNCTION("""COMPUTED_VALUE"""),"")</f>
        <v/>
      </c>
      <c r="D17414" s="42"/>
      <c r="E17414" s="42"/>
      <c r="F17414" s="48" t="str">
        <f>IFERROR(__xludf.DUMMYFUNCTION("""COMPUTED_VALUE"""),"")</f>
        <v/>
      </c>
      <c r="G17414" s="42" t="str">
        <f>IFERROR(__xludf.DUMMYFUNCTION("""COMPUTED_VALUE"""),"")</f>
        <v/>
      </c>
      <c r="H17414" s="42">
        <f t="shared" si="1"/>
        <v>3345</v>
      </c>
    </row>
    <row r="17415" ht="22.5" customHeight="1">
      <c r="B17415" s="42" t="str">
        <f>IFERROR(__xludf.DUMMYFUNCTION("""COMPUTED_VALUE"""),"")</f>
        <v/>
      </c>
      <c r="C17415" s="42" t="str">
        <f>IFERROR(__xludf.DUMMYFUNCTION("""COMPUTED_VALUE"""),"")</f>
        <v/>
      </c>
      <c r="D17415" s="42"/>
      <c r="E17415" s="42"/>
      <c r="F17415" s="48" t="str">
        <f>IFERROR(__xludf.DUMMYFUNCTION("""COMPUTED_VALUE"""),"")</f>
        <v/>
      </c>
      <c r="G17415" s="42" t="str">
        <f>IFERROR(__xludf.DUMMYFUNCTION("""COMPUTED_VALUE"""),"")</f>
        <v/>
      </c>
      <c r="H17415" s="42">
        <f t="shared" si="1"/>
        <v>3345</v>
      </c>
    </row>
    <row r="17416" ht="22.5" customHeight="1">
      <c r="B17416" s="42" t="str">
        <f>IFERROR(__xludf.DUMMYFUNCTION("""COMPUTED_VALUE"""),"")</f>
        <v/>
      </c>
      <c r="C17416" s="42" t="str">
        <f>IFERROR(__xludf.DUMMYFUNCTION("""COMPUTED_VALUE"""),"")</f>
        <v/>
      </c>
      <c r="D17416" s="42"/>
      <c r="E17416" s="42"/>
      <c r="F17416" s="48" t="str">
        <f>IFERROR(__xludf.DUMMYFUNCTION("""COMPUTED_VALUE"""),"")</f>
        <v/>
      </c>
      <c r="G17416" s="42" t="str">
        <f>IFERROR(__xludf.DUMMYFUNCTION("""COMPUTED_VALUE"""),"")</f>
        <v/>
      </c>
      <c r="H17416" s="42">
        <f t="shared" si="1"/>
        <v>3345</v>
      </c>
    </row>
    <row r="17417" ht="22.5" customHeight="1">
      <c r="B17417" s="42" t="str">
        <f>IFERROR(__xludf.DUMMYFUNCTION("""COMPUTED_VALUE"""),"")</f>
        <v/>
      </c>
      <c r="C17417" s="42" t="str">
        <f>IFERROR(__xludf.DUMMYFUNCTION("""COMPUTED_VALUE"""),"")</f>
        <v/>
      </c>
      <c r="D17417" s="42"/>
      <c r="E17417" s="42"/>
      <c r="F17417" s="48" t="str">
        <f>IFERROR(__xludf.DUMMYFUNCTION("""COMPUTED_VALUE"""),"")</f>
        <v/>
      </c>
      <c r="G17417" s="42" t="str">
        <f>IFERROR(__xludf.DUMMYFUNCTION("""COMPUTED_VALUE"""),"")</f>
        <v/>
      </c>
      <c r="H17417" s="42">
        <f t="shared" si="1"/>
        <v>3345</v>
      </c>
    </row>
    <row r="17418" ht="22.5" customHeight="1">
      <c r="B17418" s="42" t="str">
        <f>IFERROR(__xludf.DUMMYFUNCTION("""COMPUTED_VALUE"""),"")</f>
        <v/>
      </c>
      <c r="C17418" s="42" t="str">
        <f>IFERROR(__xludf.DUMMYFUNCTION("""COMPUTED_VALUE"""),"")</f>
        <v/>
      </c>
      <c r="D17418" s="42"/>
      <c r="E17418" s="42"/>
      <c r="F17418" s="48" t="str">
        <f>IFERROR(__xludf.DUMMYFUNCTION("""COMPUTED_VALUE"""),"")</f>
        <v/>
      </c>
      <c r="G17418" s="42" t="str">
        <f>IFERROR(__xludf.DUMMYFUNCTION("""COMPUTED_VALUE"""),"")</f>
        <v/>
      </c>
      <c r="H17418" s="42">
        <f t="shared" si="1"/>
        <v>3345</v>
      </c>
    </row>
    <row r="17419" ht="22.5" customHeight="1">
      <c r="B17419" s="42" t="str">
        <f>IFERROR(__xludf.DUMMYFUNCTION("""COMPUTED_VALUE"""),"")</f>
        <v/>
      </c>
      <c r="C17419" s="42" t="str">
        <f>IFERROR(__xludf.DUMMYFUNCTION("""COMPUTED_VALUE"""),"")</f>
        <v/>
      </c>
      <c r="D17419" s="42"/>
      <c r="E17419" s="42"/>
      <c r="F17419" s="48" t="str">
        <f>IFERROR(__xludf.DUMMYFUNCTION("""COMPUTED_VALUE"""),"")</f>
        <v/>
      </c>
      <c r="G17419" s="42" t="str">
        <f>IFERROR(__xludf.DUMMYFUNCTION("""COMPUTED_VALUE"""),"")</f>
        <v/>
      </c>
      <c r="H17419" s="42">
        <f t="shared" si="1"/>
        <v>3345</v>
      </c>
    </row>
    <row r="17420" ht="22.5" customHeight="1">
      <c r="B17420" s="42" t="str">
        <f>IFERROR(__xludf.DUMMYFUNCTION("""COMPUTED_VALUE"""),"")</f>
        <v/>
      </c>
      <c r="C17420" s="42" t="str">
        <f>IFERROR(__xludf.DUMMYFUNCTION("""COMPUTED_VALUE"""),"")</f>
        <v/>
      </c>
      <c r="D17420" s="42"/>
      <c r="E17420" s="42"/>
      <c r="F17420" s="48" t="str">
        <f>IFERROR(__xludf.DUMMYFUNCTION("""COMPUTED_VALUE"""),"")</f>
        <v/>
      </c>
      <c r="G17420" s="42" t="str">
        <f>IFERROR(__xludf.DUMMYFUNCTION("""COMPUTED_VALUE"""),"")</f>
        <v/>
      </c>
      <c r="H17420" s="42">
        <f t="shared" si="1"/>
        <v>3345</v>
      </c>
    </row>
    <row r="17421" ht="22.5" customHeight="1">
      <c r="B17421" s="42" t="str">
        <f>IFERROR(__xludf.DUMMYFUNCTION("""COMPUTED_VALUE"""),"")</f>
        <v/>
      </c>
      <c r="C17421" s="42" t="str">
        <f>IFERROR(__xludf.DUMMYFUNCTION("""COMPUTED_VALUE"""),"")</f>
        <v/>
      </c>
      <c r="D17421" s="42"/>
      <c r="E17421" s="42"/>
      <c r="F17421" s="48" t="str">
        <f>IFERROR(__xludf.DUMMYFUNCTION("""COMPUTED_VALUE"""),"")</f>
        <v/>
      </c>
      <c r="G17421" s="42" t="str">
        <f>IFERROR(__xludf.DUMMYFUNCTION("""COMPUTED_VALUE"""),"")</f>
        <v/>
      </c>
      <c r="H17421" s="42">
        <f t="shared" si="1"/>
        <v>3345</v>
      </c>
    </row>
    <row r="17422" ht="22.5" customHeight="1">
      <c r="B17422" s="42" t="str">
        <f>IFERROR(__xludf.DUMMYFUNCTION("""COMPUTED_VALUE"""),"")</f>
        <v/>
      </c>
      <c r="C17422" s="42" t="str">
        <f>IFERROR(__xludf.DUMMYFUNCTION("""COMPUTED_VALUE"""),"")</f>
        <v/>
      </c>
      <c r="D17422" s="42"/>
      <c r="E17422" s="42"/>
      <c r="F17422" s="48" t="str">
        <f>IFERROR(__xludf.DUMMYFUNCTION("""COMPUTED_VALUE"""),"")</f>
        <v/>
      </c>
      <c r="G17422" s="42" t="str">
        <f>IFERROR(__xludf.DUMMYFUNCTION("""COMPUTED_VALUE"""),"")</f>
        <v/>
      </c>
      <c r="H17422" s="42">
        <f t="shared" si="1"/>
        <v>3345</v>
      </c>
    </row>
    <row r="17423" ht="22.5" customHeight="1">
      <c r="B17423" s="42" t="str">
        <f>IFERROR(__xludf.DUMMYFUNCTION("""COMPUTED_VALUE"""),"")</f>
        <v/>
      </c>
      <c r="C17423" s="42" t="str">
        <f>IFERROR(__xludf.DUMMYFUNCTION("""COMPUTED_VALUE"""),"")</f>
        <v/>
      </c>
      <c r="D17423" s="42"/>
      <c r="E17423" s="42"/>
      <c r="F17423" s="48" t="str">
        <f>IFERROR(__xludf.DUMMYFUNCTION("""COMPUTED_VALUE"""),"")</f>
        <v/>
      </c>
      <c r="G17423" s="42" t="str">
        <f>IFERROR(__xludf.DUMMYFUNCTION("""COMPUTED_VALUE"""),"")</f>
        <v/>
      </c>
      <c r="H17423" s="42">
        <f t="shared" si="1"/>
        <v>3345</v>
      </c>
    </row>
    <row r="17424" ht="22.5" customHeight="1">
      <c r="B17424" s="42" t="str">
        <f>IFERROR(__xludf.DUMMYFUNCTION("""COMPUTED_VALUE"""),"")</f>
        <v/>
      </c>
      <c r="C17424" s="42" t="str">
        <f>IFERROR(__xludf.DUMMYFUNCTION("""COMPUTED_VALUE"""),"")</f>
        <v/>
      </c>
      <c r="D17424" s="42"/>
      <c r="E17424" s="42"/>
      <c r="F17424" s="48" t="str">
        <f>IFERROR(__xludf.DUMMYFUNCTION("""COMPUTED_VALUE"""),"")</f>
        <v/>
      </c>
      <c r="G17424" s="42" t="str">
        <f>IFERROR(__xludf.DUMMYFUNCTION("""COMPUTED_VALUE"""),"")</f>
        <v/>
      </c>
      <c r="H17424" s="42">
        <f t="shared" si="1"/>
        <v>3345</v>
      </c>
    </row>
    <row r="17425" ht="22.5" customHeight="1">
      <c r="B17425" s="42" t="str">
        <f>IFERROR(__xludf.DUMMYFUNCTION("""COMPUTED_VALUE"""),"")</f>
        <v/>
      </c>
      <c r="C17425" s="42" t="str">
        <f>IFERROR(__xludf.DUMMYFUNCTION("""COMPUTED_VALUE"""),"")</f>
        <v/>
      </c>
      <c r="D17425" s="42"/>
      <c r="E17425" s="42"/>
      <c r="F17425" s="48" t="str">
        <f>IFERROR(__xludf.DUMMYFUNCTION("""COMPUTED_VALUE"""),"")</f>
        <v/>
      </c>
      <c r="G17425" s="42" t="str">
        <f>IFERROR(__xludf.DUMMYFUNCTION("""COMPUTED_VALUE"""),"")</f>
        <v/>
      </c>
      <c r="H17425" s="42">
        <f t="shared" si="1"/>
        <v>3345</v>
      </c>
    </row>
    <row r="17426" ht="22.5" customHeight="1">
      <c r="B17426" s="42" t="str">
        <f>IFERROR(__xludf.DUMMYFUNCTION("""COMPUTED_VALUE"""),"")</f>
        <v/>
      </c>
      <c r="C17426" s="42" t="str">
        <f>IFERROR(__xludf.DUMMYFUNCTION("""COMPUTED_VALUE"""),"")</f>
        <v/>
      </c>
      <c r="D17426" s="42"/>
      <c r="E17426" s="42"/>
      <c r="F17426" s="48" t="str">
        <f>IFERROR(__xludf.DUMMYFUNCTION("""COMPUTED_VALUE"""),"")</f>
        <v/>
      </c>
      <c r="G17426" s="42" t="str">
        <f>IFERROR(__xludf.DUMMYFUNCTION("""COMPUTED_VALUE"""),"")</f>
        <v/>
      </c>
      <c r="H17426" s="42">
        <f t="shared" si="1"/>
        <v>3345</v>
      </c>
    </row>
    <row r="17427" ht="22.5" customHeight="1">
      <c r="B17427" s="42" t="str">
        <f>IFERROR(__xludf.DUMMYFUNCTION("""COMPUTED_VALUE"""),"")</f>
        <v/>
      </c>
      <c r="C17427" s="42" t="str">
        <f>IFERROR(__xludf.DUMMYFUNCTION("""COMPUTED_VALUE"""),"")</f>
        <v/>
      </c>
      <c r="D17427" s="42"/>
      <c r="E17427" s="42"/>
      <c r="F17427" s="48" t="str">
        <f>IFERROR(__xludf.DUMMYFUNCTION("""COMPUTED_VALUE"""),"")</f>
        <v/>
      </c>
      <c r="G17427" s="42" t="str">
        <f>IFERROR(__xludf.DUMMYFUNCTION("""COMPUTED_VALUE"""),"")</f>
        <v/>
      </c>
      <c r="H17427" s="42">
        <f t="shared" si="1"/>
        <v>3345</v>
      </c>
    </row>
    <row r="17428" ht="22.5" customHeight="1">
      <c r="B17428" s="42" t="str">
        <f>IFERROR(__xludf.DUMMYFUNCTION("""COMPUTED_VALUE"""),"")</f>
        <v/>
      </c>
      <c r="C17428" s="42" t="str">
        <f>IFERROR(__xludf.DUMMYFUNCTION("""COMPUTED_VALUE"""),"")</f>
        <v/>
      </c>
      <c r="D17428" s="42"/>
      <c r="E17428" s="42"/>
      <c r="F17428" s="48" t="str">
        <f>IFERROR(__xludf.DUMMYFUNCTION("""COMPUTED_VALUE"""),"")</f>
        <v/>
      </c>
      <c r="G17428" s="42" t="str">
        <f>IFERROR(__xludf.DUMMYFUNCTION("""COMPUTED_VALUE"""),"")</f>
        <v/>
      </c>
      <c r="H17428" s="42">
        <f t="shared" si="1"/>
        <v>3345</v>
      </c>
    </row>
    <row r="17429" ht="22.5" customHeight="1">
      <c r="B17429" s="42" t="str">
        <f>IFERROR(__xludf.DUMMYFUNCTION("""COMPUTED_VALUE"""),"")</f>
        <v/>
      </c>
      <c r="C17429" s="42" t="str">
        <f>IFERROR(__xludf.DUMMYFUNCTION("""COMPUTED_VALUE"""),"")</f>
        <v/>
      </c>
      <c r="D17429" s="42"/>
      <c r="E17429" s="42"/>
      <c r="F17429" s="48" t="str">
        <f>IFERROR(__xludf.DUMMYFUNCTION("""COMPUTED_VALUE"""),"")</f>
        <v/>
      </c>
      <c r="G17429" s="42" t="str">
        <f>IFERROR(__xludf.DUMMYFUNCTION("""COMPUTED_VALUE"""),"")</f>
        <v/>
      </c>
      <c r="H17429" s="42">
        <f t="shared" si="1"/>
        <v>3345</v>
      </c>
    </row>
    <row r="17430" ht="22.5" customHeight="1">
      <c r="B17430" s="42" t="str">
        <f>IFERROR(__xludf.DUMMYFUNCTION("""COMPUTED_VALUE"""),"")</f>
        <v/>
      </c>
      <c r="C17430" s="42" t="str">
        <f>IFERROR(__xludf.DUMMYFUNCTION("""COMPUTED_VALUE"""),"")</f>
        <v/>
      </c>
      <c r="D17430" s="42"/>
      <c r="E17430" s="42"/>
      <c r="F17430" s="48" t="str">
        <f>IFERROR(__xludf.DUMMYFUNCTION("""COMPUTED_VALUE"""),"")</f>
        <v/>
      </c>
      <c r="G17430" s="42" t="str">
        <f>IFERROR(__xludf.DUMMYFUNCTION("""COMPUTED_VALUE"""),"")</f>
        <v/>
      </c>
      <c r="H17430" s="42">
        <f t="shared" si="1"/>
        <v>3345</v>
      </c>
    </row>
    <row r="17431" ht="22.5" customHeight="1">
      <c r="B17431" s="42" t="str">
        <f>IFERROR(__xludf.DUMMYFUNCTION("""COMPUTED_VALUE"""),"")</f>
        <v/>
      </c>
      <c r="C17431" s="42" t="str">
        <f>IFERROR(__xludf.DUMMYFUNCTION("""COMPUTED_VALUE"""),"")</f>
        <v/>
      </c>
      <c r="D17431" s="42"/>
      <c r="E17431" s="42"/>
      <c r="F17431" s="48" t="str">
        <f>IFERROR(__xludf.DUMMYFUNCTION("""COMPUTED_VALUE"""),"")</f>
        <v/>
      </c>
      <c r="G17431" s="42" t="str">
        <f>IFERROR(__xludf.DUMMYFUNCTION("""COMPUTED_VALUE"""),"")</f>
        <v/>
      </c>
      <c r="H17431" s="42">
        <f t="shared" si="1"/>
        <v>3345</v>
      </c>
    </row>
    <row r="17432" ht="22.5" customHeight="1">
      <c r="B17432" s="42" t="str">
        <f>IFERROR(__xludf.DUMMYFUNCTION("""COMPUTED_VALUE"""),"")</f>
        <v/>
      </c>
      <c r="C17432" s="42" t="str">
        <f>IFERROR(__xludf.DUMMYFUNCTION("""COMPUTED_VALUE"""),"")</f>
        <v/>
      </c>
      <c r="D17432" s="42"/>
      <c r="E17432" s="42"/>
      <c r="F17432" s="48" t="str">
        <f>IFERROR(__xludf.DUMMYFUNCTION("""COMPUTED_VALUE"""),"")</f>
        <v/>
      </c>
      <c r="G17432" s="42" t="str">
        <f>IFERROR(__xludf.DUMMYFUNCTION("""COMPUTED_VALUE"""),"")</f>
        <v/>
      </c>
      <c r="H17432" s="42">
        <f t="shared" si="1"/>
        <v>3345</v>
      </c>
    </row>
    <row r="17433" ht="22.5" customHeight="1">
      <c r="B17433" s="42" t="str">
        <f>IFERROR(__xludf.DUMMYFUNCTION("""COMPUTED_VALUE"""),"")</f>
        <v/>
      </c>
      <c r="C17433" s="42" t="str">
        <f>IFERROR(__xludf.DUMMYFUNCTION("""COMPUTED_VALUE"""),"")</f>
        <v/>
      </c>
      <c r="D17433" s="42"/>
      <c r="E17433" s="42"/>
      <c r="F17433" s="48" t="str">
        <f>IFERROR(__xludf.DUMMYFUNCTION("""COMPUTED_VALUE"""),"")</f>
        <v/>
      </c>
      <c r="G17433" s="42" t="str">
        <f>IFERROR(__xludf.DUMMYFUNCTION("""COMPUTED_VALUE"""),"")</f>
        <v/>
      </c>
      <c r="H17433" s="42">
        <f t="shared" si="1"/>
        <v>3345</v>
      </c>
    </row>
    <row r="17434" ht="22.5" customHeight="1">
      <c r="B17434" s="42" t="str">
        <f>IFERROR(__xludf.DUMMYFUNCTION("""COMPUTED_VALUE"""),"")</f>
        <v/>
      </c>
      <c r="C17434" s="42" t="str">
        <f>IFERROR(__xludf.DUMMYFUNCTION("""COMPUTED_VALUE"""),"")</f>
        <v/>
      </c>
      <c r="D17434" s="42"/>
      <c r="E17434" s="42"/>
      <c r="F17434" s="48" t="str">
        <f>IFERROR(__xludf.DUMMYFUNCTION("""COMPUTED_VALUE"""),"")</f>
        <v/>
      </c>
      <c r="G17434" s="42" t="str">
        <f>IFERROR(__xludf.DUMMYFUNCTION("""COMPUTED_VALUE"""),"")</f>
        <v/>
      </c>
      <c r="H17434" s="42">
        <f t="shared" si="1"/>
        <v>3345</v>
      </c>
    </row>
    <row r="17435" ht="22.5" customHeight="1">
      <c r="B17435" s="42" t="str">
        <f>IFERROR(__xludf.DUMMYFUNCTION("""COMPUTED_VALUE"""),"")</f>
        <v/>
      </c>
      <c r="C17435" s="42" t="str">
        <f>IFERROR(__xludf.DUMMYFUNCTION("""COMPUTED_VALUE"""),"")</f>
        <v/>
      </c>
      <c r="D17435" s="42"/>
      <c r="E17435" s="42"/>
      <c r="F17435" s="48" t="str">
        <f>IFERROR(__xludf.DUMMYFUNCTION("""COMPUTED_VALUE"""),"")</f>
        <v/>
      </c>
      <c r="G17435" s="42" t="str">
        <f>IFERROR(__xludf.DUMMYFUNCTION("""COMPUTED_VALUE"""),"")</f>
        <v/>
      </c>
      <c r="H17435" s="42">
        <f t="shared" si="1"/>
        <v>3345</v>
      </c>
    </row>
    <row r="17436" ht="22.5" customHeight="1">
      <c r="B17436" s="42" t="str">
        <f>IFERROR(__xludf.DUMMYFUNCTION("""COMPUTED_VALUE"""),"")</f>
        <v/>
      </c>
      <c r="C17436" s="42" t="str">
        <f>IFERROR(__xludf.DUMMYFUNCTION("""COMPUTED_VALUE"""),"")</f>
        <v/>
      </c>
      <c r="D17436" s="42"/>
      <c r="E17436" s="42"/>
      <c r="F17436" s="48" t="str">
        <f>IFERROR(__xludf.DUMMYFUNCTION("""COMPUTED_VALUE"""),"")</f>
        <v/>
      </c>
      <c r="G17436" s="42" t="str">
        <f>IFERROR(__xludf.DUMMYFUNCTION("""COMPUTED_VALUE"""),"")</f>
        <v/>
      </c>
      <c r="H17436" s="42">
        <f t="shared" si="1"/>
        <v>3345</v>
      </c>
    </row>
    <row r="17437" ht="22.5" customHeight="1">
      <c r="B17437" s="42" t="str">
        <f>IFERROR(__xludf.DUMMYFUNCTION("""COMPUTED_VALUE"""),"")</f>
        <v/>
      </c>
      <c r="C17437" s="42" t="str">
        <f>IFERROR(__xludf.DUMMYFUNCTION("""COMPUTED_VALUE"""),"")</f>
        <v/>
      </c>
      <c r="D17437" s="42"/>
      <c r="E17437" s="42"/>
      <c r="F17437" s="48" t="str">
        <f>IFERROR(__xludf.DUMMYFUNCTION("""COMPUTED_VALUE"""),"")</f>
        <v/>
      </c>
      <c r="G17437" s="42" t="str">
        <f>IFERROR(__xludf.DUMMYFUNCTION("""COMPUTED_VALUE"""),"")</f>
        <v/>
      </c>
      <c r="H17437" s="42">
        <f t="shared" si="1"/>
        <v>3345</v>
      </c>
    </row>
    <row r="17438" ht="22.5" customHeight="1">
      <c r="B17438" s="42" t="str">
        <f>IFERROR(__xludf.DUMMYFUNCTION("""COMPUTED_VALUE"""),"")</f>
        <v/>
      </c>
      <c r="C17438" s="42" t="str">
        <f>IFERROR(__xludf.DUMMYFUNCTION("""COMPUTED_VALUE"""),"")</f>
        <v/>
      </c>
      <c r="D17438" s="42"/>
      <c r="E17438" s="42"/>
      <c r="F17438" s="48" t="str">
        <f>IFERROR(__xludf.DUMMYFUNCTION("""COMPUTED_VALUE"""),"")</f>
        <v/>
      </c>
      <c r="G17438" s="42" t="str">
        <f>IFERROR(__xludf.DUMMYFUNCTION("""COMPUTED_VALUE"""),"")</f>
        <v/>
      </c>
      <c r="H17438" s="42">
        <f t="shared" si="1"/>
        <v>3345</v>
      </c>
    </row>
    <row r="17439" ht="22.5" customHeight="1">
      <c r="B17439" s="42" t="str">
        <f>IFERROR(__xludf.DUMMYFUNCTION("""COMPUTED_VALUE"""),"")</f>
        <v/>
      </c>
      <c r="C17439" s="42" t="str">
        <f>IFERROR(__xludf.DUMMYFUNCTION("""COMPUTED_VALUE"""),"")</f>
        <v/>
      </c>
      <c r="D17439" s="42"/>
      <c r="E17439" s="42"/>
      <c r="F17439" s="48" t="str">
        <f>IFERROR(__xludf.DUMMYFUNCTION("""COMPUTED_VALUE"""),"")</f>
        <v/>
      </c>
      <c r="G17439" s="42" t="str">
        <f>IFERROR(__xludf.DUMMYFUNCTION("""COMPUTED_VALUE"""),"")</f>
        <v/>
      </c>
      <c r="H17439" s="42">
        <f t="shared" si="1"/>
        <v>3345</v>
      </c>
    </row>
    <row r="17440" ht="22.5" customHeight="1">
      <c r="B17440" s="42" t="str">
        <f>IFERROR(__xludf.DUMMYFUNCTION("""COMPUTED_VALUE"""),"")</f>
        <v/>
      </c>
      <c r="C17440" s="42" t="str">
        <f>IFERROR(__xludf.DUMMYFUNCTION("""COMPUTED_VALUE"""),"")</f>
        <v/>
      </c>
      <c r="D17440" s="42"/>
      <c r="E17440" s="42"/>
      <c r="F17440" s="48" t="str">
        <f>IFERROR(__xludf.DUMMYFUNCTION("""COMPUTED_VALUE"""),"")</f>
        <v/>
      </c>
      <c r="G17440" s="42" t="str">
        <f>IFERROR(__xludf.DUMMYFUNCTION("""COMPUTED_VALUE"""),"")</f>
        <v/>
      </c>
      <c r="H17440" s="42">
        <f t="shared" si="1"/>
        <v>3345</v>
      </c>
    </row>
    <row r="17441" ht="22.5" customHeight="1">
      <c r="B17441" s="42" t="str">
        <f>IFERROR(__xludf.DUMMYFUNCTION("""COMPUTED_VALUE"""),"")</f>
        <v/>
      </c>
      <c r="C17441" s="42" t="str">
        <f>IFERROR(__xludf.DUMMYFUNCTION("""COMPUTED_VALUE"""),"")</f>
        <v/>
      </c>
      <c r="D17441" s="42"/>
      <c r="E17441" s="42"/>
      <c r="F17441" s="48" t="str">
        <f>IFERROR(__xludf.DUMMYFUNCTION("""COMPUTED_VALUE"""),"")</f>
        <v/>
      </c>
      <c r="G17441" s="42" t="str">
        <f>IFERROR(__xludf.DUMMYFUNCTION("""COMPUTED_VALUE"""),"")</f>
        <v/>
      </c>
      <c r="H17441" s="42">
        <f t="shared" si="1"/>
        <v>3345</v>
      </c>
    </row>
    <row r="17442" ht="22.5" customHeight="1">
      <c r="B17442" s="42" t="str">
        <f>IFERROR(__xludf.DUMMYFUNCTION("""COMPUTED_VALUE"""),"")</f>
        <v/>
      </c>
      <c r="C17442" s="42" t="str">
        <f>IFERROR(__xludf.DUMMYFUNCTION("""COMPUTED_VALUE"""),"")</f>
        <v/>
      </c>
      <c r="D17442" s="42"/>
      <c r="E17442" s="42"/>
      <c r="F17442" s="48" t="str">
        <f>IFERROR(__xludf.DUMMYFUNCTION("""COMPUTED_VALUE"""),"")</f>
        <v/>
      </c>
      <c r="G17442" s="42" t="str">
        <f>IFERROR(__xludf.DUMMYFUNCTION("""COMPUTED_VALUE"""),"")</f>
        <v/>
      </c>
      <c r="H17442" s="42">
        <f t="shared" si="1"/>
        <v>3345</v>
      </c>
    </row>
    <row r="17443" ht="22.5" customHeight="1">
      <c r="B17443" s="42" t="str">
        <f>IFERROR(__xludf.DUMMYFUNCTION("""COMPUTED_VALUE"""),"")</f>
        <v/>
      </c>
      <c r="C17443" s="42" t="str">
        <f>IFERROR(__xludf.DUMMYFUNCTION("""COMPUTED_VALUE"""),"")</f>
        <v/>
      </c>
      <c r="D17443" s="42"/>
      <c r="E17443" s="42"/>
      <c r="F17443" s="48" t="str">
        <f>IFERROR(__xludf.DUMMYFUNCTION("""COMPUTED_VALUE"""),"")</f>
        <v/>
      </c>
      <c r="G17443" s="42" t="str">
        <f>IFERROR(__xludf.DUMMYFUNCTION("""COMPUTED_VALUE"""),"")</f>
        <v/>
      </c>
      <c r="H17443" s="42">
        <f t="shared" si="1"/>
        <v>3345</v>
      </c>
    </row>
    <row r="17444" ht="22.5" customHeight="1">
      <c r="B17444" s="42" t="str">
        <f>IFERROR(__xludf.DUMMYFUNCTION("""COMPUTED_VALUE"""),"")</f>
        <v/>
      </c>
      <c r="C17444" s="42" t="str">
        <f>IFERROR(__xludf.DUMMYFUNCTION("""COMPUTED_VALUE"""),"")</f>
        <v/>
      </c>
      <c r="D17444" s="42"/>
      <c r="E17444" s="42"/>
      <c r="F17444" s="48" t="str">
        <f>IFERROR(__xludf.DUMMYFUNCTION("""COMPUTED_VALUE"""),"")</f>
        <v/>
      </c>
      <c r="G17444" s="42" t="str">
        <f>IFERROR(__xludf.DUMMYFUNCTION("""COMPUTED_VALUE"""),"")</f>
        <v/>
      </c>
      <c r="H17444" s="42">
        <f t="shared" si="1"/>
        <v>3345</v>
      </c>
    </row>
    <row r="17445" ht="22.5" customHeight="1">
      <c r="B17445" s="42" t="str">
        <f>IFERROR(__xludf.DUMMYFUNCTION("""COMPUTED_VALUE"""),"")</f>
        <v/>
      </c>
      <c r="C17445" s="42" t="str">
        <f>IFERROR(__xludf.DUMMYFUNCTION("""COMPUTED_VALUE"""),"")</f>
        <v/>
      </c>
      <c r="D17445" s="42"/>
      <c r="E17445" s="42"/>
      <c r="F17445" s="48" t="str">
        <f>IFERROR(__xludf.DUMMYFUNCTION("""COMPUTED_VALUE"""),"")</f>
        <v/>
      </c>
      <c r="G17445" s="42" t="str">
        <f>IFERROR(__xludf.DUMMYFUNCTION("""COMPUTED_VALUE"""),"")</f>
        <v/>
      </c>
      <c r="H17445" s="42">
        <f t="shared" si="1"/>
        <v>3345</v>
      </c>
    </row>
    <row r="17446" ht="22.5" customHeight="1">
      <c r="B17446" s="42" t="str">
        <f>IFERROR(__xludf.DUMMYFUNCTION("""COMPUTED_VALUE"""),"")</f>
        <v/>
      </c>
      <c r="C17446" s="42" t="str">
        <f>IFERROR(__xludf.DUMMYFUNCTION("""COMPUTED_VALUE"""),"")</f>
        <v/>
      </c>
      <c r="D17446" s="42"/>
      <c r="E17446" s="42"/>
      <c r="F17446" s="48" t="str">
        <f>IFERROR(__xludf.DUMMYFUNCTION("""COMPUTED_VALUE"""),"")</f>
        <v/>
      </c>
      <c r="G17446" s="42" t="str">
        <f>IFERROR(__xludf.DUMMYFUNCTION("""COMPUTED_VALUE"""),"")</f>
        <v/>
      </c>
      <c r="H17446" s="42">
        <f t="shared" si="1"/>
        <v>3345</v>
      </c>
    </row>
    <row r="17447" ht="22.5" customHeight="1">
      <c r="B17447" s="42" t="str">
        <f>IFERROR(__xludf.DUMMYFUNCTION("""COMPUTED_VALUE"""),"")</f>
        <v/>
      </c>
      <c r="C17447" s="42" t="str">
        <f>IFERROR(__xludf.DUMMYFUNCTION("""COMPUTED_VALUE"""),"")</f>
        <v/>
      </c>
      <c r="D17447" s="42"/>
      <c r="E17447" s="42"/>
      <c r="F17447" s="48" t="str">
        <f>IFERROR(__xludf.DUMMYFUNCTION("""COMPUTED_VALUE"""),"")</f>
        <v/>
      </c>
      <c r="G17447" s="42" t="str">
        <f>IFERROR(__xludf.DUMMYFUNCTION("""COMPUTED_VALUE"""),"")</f>
        <v/>
      </c>
      <c r="H17447" s="42">
        <f t="shared" si="1"/>
        <v>3345</v>
      </c>
    </row>
    <row r="17448" ht="22.5" customHeight="1">
      <c r="B17448" s="42" t="str">
        <f>IFERROR(__xludf.DUMMYFUNCTION("""COMPUTED_VALUE"""),"")</f>
        <v/>
      </c>
      <c r="C17448" s="42" t="str">
        <f>IFERROR(__xludf.DUMMYFUNCTION("""COMPUTED_VALUE"""),"")</f>
        <v/>
      </c>
      <c r="D17448" s="42"/>
      <c r="E17448" s="42"/>
      <c r="F17448" s="48" t="str">
        <f>IFERROR(__xludf.DUMMYFUNCTION("""COMPUTED_VALUE"""),"")</f>
        <v/>
      </c>
      <c r="G17448" s="42" t="str">
        <f>IFERROR(__xludf.DUMMYFUNCTION("""COMPUTED_VALUE"""),"")</f>
        <v/>
      </c>
      <c r="H17448" s="42">
        <f t="shared" si="1"/>
        <v>3345</v>
      </c>
    </row>
    <row r="17449" ht="22.5" customHeight="1">
      <c r="B17449" s="42" t="str">
        <f>IFERROR(__xludf.DUMMYFUNCTION("""COMPUTED_VALUE"""),"")</f>
        <v/>
      </c>
      <c r="C17449" s="42" t="str">
        <f>IFERROR(__xludf.DUMMYFUNCTION("""COMPUTED_VALUE"""),"")</f>
        <v/>
      </c>
      <c r="D17449" s="42"/>
      <c r="E17449" s="42"/>
      <c r="F17449" s="48" t="str">
        <f>IFERROR(__xludf.DUMMYFUNCTION("""COMPUTED_VALUE"""),"")</f>
        <v/>
      </c>
      <c r="G17449" s="42" t="str">
        <f>IFERROR(__xludf.DUMMYFUNCTION("""COMPUTED_VALUE"""),"")</f>
        <v/>
      </c>
      <c r="H17449" s="42">
        <f t="shared" si="1"/>
        <v>3345</v>
      </c>
    </row>
    <row r="17450" ht="22.5" customHeight="1">
      <c r="B17450" s="42" t="str">
        <f>IFERROR(__xludf.DUMMYFUNCTION("""COMPUTED_VALUE"""),"")</f>
        <v/>
      </c>
      <c r="C17450" s="42" t="str">
        <f>IFERROR(__xludf.DUMMYFUNCTION("""COMPUTED_VALUE"""),"")</f>
        <v/>
      </c>
      <c r="D17450" s="42"/>
      <c r="E17450" s="42"/>
      <c r="F17450" s="48" t="str">
        <f>IFERROR(__xludf.DUMMYFUNCTION("""COMPUTED_VALUE"""),"")</f>
        <v/>
      </c>
      <c r="G17450" s="42" t="str">
        <f>IFERROR(__xludf.DUMMYFUNCTION("""COMPUTED_VALUE"""),"")</f>
        <v/>
      </c>
      <c r="H17450" s="42">
        <f t="shared" si="1"/>
        <v>3345</v>
      </c>
    </row>
    <row r="17451" ht="22.5" customHeight="1">
      <c r="B17451" s="42" t="str">
        <f>IFERROR(__xludf.DUMMYFUNCTION("""COMPUTED_VALUE"""),"")</f>
        <v/>
      </c>
      <c r="C17451" s="42" t="str">
        <f>IFERROR(__xludf.DUMMYFUNCTION("""COMPUTED_VALUE"""),"")</f>
        <v/>
      </c>
      <c r="D17451" s="42"/>
      <c r="E17451" s="42"/>
      <c r="F17451" s="48" t="str">
        <f>IFERROR(__xludf.DUMMYFUNCTION("""COMPUTED_VALUE"""),"")</f>
        <v/>
      </c>
      <c r="G17451" s="42" t="str">
        <f>IFERROR(__xludf.DUMMYFUNCTION("""COMPUTED_VALUE"""),"")</f>
        <v/>
      </c>
      <c r="H17451" s="42">
        <f t="shared" si="1"/>
        <v>3345</v>
      </c>
    </row>
    <row r="17452" ht="22.5" customHeight="1">
      <c r="B17452" s="42" t="str">
        <f>IFERROR(__xludf.DUMMYFUNCTION("""COMPUTED_VALUE"""),"")</f>
        <v/>
      </c>
      <c r="C17452" s="42" t="str">
        <f>IFERROR(__xludf.DUMMYFUNCTION("""COMPUTED_VALUE"""),"")</f>
        <v/>
      </c>
      <c r="D17452" s="42"/>
      <c r="E17452" s="42"/>
      <c r="F17452" s="48" t="str">
        <f>IFERROR(__xludf.DUMMYFUNCTION("""COMPUTED_VALUE"""),"")</f>
        <v/>
      </c>
      <c r="G17452" s="42" t="str">
        <f>IFERROR(__xludf.DUMMYFUNCTION("""COMPUTED_VALUE"""),"")</f>
        <v/>
      </c>
      <c r="H17452" s="42">
        <f t="shared" si="1"/>
        <v>3345</v>
      </c>
    </row>
    <row r="17453" ht="22.5" customHeight="1">
      <c r="B17453" s="42" t="str">
        <f>IFERROR(__xludf.DUMMYFUNCTION("""COMPUTED_VALUE"""),"")</f>
        <v/>
      </c>
      <c r="C17453" s="42" t="str">
        <f>IFERROR(__xludf.DUMMYFUNCTION("""COMPUTED_VALUE"""),"")</f>
        <v/>
      </c>
      <c r="D17453" s="42"/>
      <c r="E17453" s="42"/>
      <c r="F17453" s="48" t="str">
        <f>IFERROR(__xludf.DUMMYFUNCTION("""COMPUTED_VALUE"""),"")</f>
        <v/>
      </c>
      <c r="G17453" s="42" t="str">
        <f>IFERROR(__xludf.DUMMYFUNCTION("""COMPUTED_VALUE"""),"")</f>
        <v/>
      </c>
      <c r="H17453" s="42">
        <f t="shared" si="1"/>
        <v>3345</v>
      </c>
    </row>
    <row r="17454" ht="22.5" customHeight="1">
      <c r="B17454" s="42" t="str">
        <f>IFERROR(__xludf.DUMMYFUNCTION("""COMPUTED_VALUE"""),"")</f>
        <v/>
      </c>
      <c r="C17454" s="42" t="str">
        <f>IFERROR(__xludf.DUMMYFUNCTION("""COMPUTED_VALUE"""),"")</f>
        <v/>
      </c>
      <c r="D17454" s="42"/>
      <c r="E17454" s="42"/>
      <c r="F17454" s="48" t="str">
        <f>IFERROR(__xludf.DUMMYFUNCTION("""COMPUTED_VALUE"""),"")</f>
        <v/>
      </c>
      <c r="G17454" s="42" t="str">
        <f>IFERROR(__xludf.DUMMYFUNCTION("""COMPUTED_VALUE"""),"")</f>
        <v/>
      </c>
      <c r="H17454" s="42">
        <f t="shared" si="1"/>
        <v>3345</v>
      </c>
    </row>
    <row r="17455" ht="22.5" customHeight="1">
      <c r="B17455" s="42" t="str">
        <f>IFERROR(__xludf.DUMMYFUNCTION("""COMPUTED_VALUE"""),"")</f>
        <v/>
      </c>
      <c r="C17455" s="42" t="str">
        <f>IFERROR(__xludf.DUMMYFUNCTION("""COMPUTED_VALUE"""),"")</f>
        <v/>
      </c>
      <c r="D17455" s="42"/>
      <c r="E17455" s="42"/>
      <c r="F17455" s="48" t="str">
        <f>IFERROR(__xludf.DUMMYFUNCTION("""COMPUTED_VALUE"""),"")</f>
        <v/>
      </c>
      <c r="G17455" s="42" t="str">
        <f>IFERROR(__xludf.DUMMYFUNCTION("""COMPUTED_VALUE"""),"")</f>
        <v/>
      </c>
      <c r="H17455" s="42">
        <f t="shared" si="1"/>
        <v>3345</v>
      </c>
    </row>
    <row r="17456" ht="22.5" customHeight="1">
      <c r="B17456" s="42" t="str">
        <f>IFERROR(__xludf.DUMMYFUNCTION("""COMPUTED_VALUE"""),"")</f>
        <v/>
      </c>
      <c r="C17456" s="42" t="str">
        <f>IFERROR(__xludf.DUMMYFUNCTION("""COMPUTED_VALUE"""),"")</f>
        <v/>
      </c>
      <c r="D17456" s="42"/>
      <c r="E17456" s="42"/>
      <c r="F17456" s="48" t="str">
        <f>IFERROR(__xludf.DUMMYFUNCTION("""COMPUTED_VALUE"""),"")</f>
        <v/>
      </c>
      <c r="G17456" s="42" t="str">
        <f>IFERROR(__xludf.DUMMYFUNCTION("""COMPUTED_VALUE"""),"")</f>
        <v/>
      </c>
      <c r="H17456" s="42">
        <f t="shared" si="1"/>
        <v>3345</v>
      </c>
    </row>
    <row r="17457" ht="22.5" customHeight="1">
      <c r="B17457" s="42" t="str">
        <f>IFERROR(__xludf.DUMMYFUNCTION("""COMPUTED_VALUE"""),"")</f>
        <v/>
      </c>
      <c r="C17457" s="42" t="str">
        <f>IFERROR(__xludf.DUMMYFUNCTION("""COMPUTED_VALUE"""),"")</f>
        <v/>
      </c>
      <c r="D17457" s="42"/>
      <c r="E17457" s="42"/>
      <c r="F17457" s="48" t="str">
        <f>IFERROR(__xludf.DUMMYFUNCTION("""COMPUTED_VALUE"""),"")</f>
        <v/>
      </c>
      <c r="G17457" s="42" t="str">
        <f>IFERROR(__xludf.DUMMYFUNCTION("""COMPUTED_VALUE"""),"")</f>
        <v/>
      </c>
      <c r="H17457" s="42">
        <f t="shared" si="1"/>
        <v>3345</v>
      </c>
    </row>
    <row r="17458" ht="22.5" customHeight="1">
      <c r="B17458" s="42" t="str">
        <f>IFERROR(__xludf.DUMMYFUNCTION("""COMPUTED_VALUE"""),"")</f>
        <v/>
      </c>
      <c r="C17458" s="42" t="str">
        <f>IFERROR(__xludf.DUMMYFUNCTION("""COMPUTED_VALUE"""),"")</f>
        <v/>
      </c>
      <c r="D17458" s="42"/>
      <c r="E17458" s="42"/>
      <c r="F17458" s="48" t="str">
        <f>IFERROR(__xludf.DUMMYFUNCTION("""COMPUTED_VALUE"""),"")</f>
        <v/>
      </c>
      <c r="G17458" s="42" t="str">
        <f>IFERROR(__xludf.DUMMYFUNCTION("""COMPUTED_VALUE"""),"")</f>
        <v/>
      </c>
      <c r="H17458" s="42">
        <f t="shared" si="1"/>
        <v>3345</v>
      </c>
    </row>
    <row r="17459" ht="22.5" customHeight="1">
      <c r="B17459" s="42" t="str">
        <f>IFERROR(__xludf.DUMMYFUNCTION("""COMPUTED_VALUE"""),"")</f>
        <v/>
      </c>
      <c r="C17459" s="42" t="str">
        <f>IFERROR(__xludf.DUMMYFUNCTION("""COMPUTED_VALUE"""),"")</f>
        <v/>
      </c>
      <c r="D17459" s="42"/>
      <c r="E17459" s="42"/>
      <c r="F17459" s="48" t="str">
        <f>IFERROR(__xludf.DUMMYFUNCTION("""COMPUTED_VALUE"""),"")</f>
        <v/>
      </c>
      <c r="G17459" s="42" t="str">
        <f>IFERROR(__xludf.DUMMYFUNCTION("""COMPUTED_VALUE"""),"")</f>
        <v/>
      </c>
      <c r="H17459" s="42">
        <f t="shared" si="1"/>
        <v>3345</v>
      </c>
    </row>
    <row r="17460" ht="22.5" customHeight="1">
      <c r="B17460" s="42" t="str">
        <f>IFERROR(__xludf.DUMMYFUNCTION("""COMPUTED_VALUE"""),"")</f>
        <v/>
      </c>
      <c r="C17460" s="42" t="str">
        <f>IFERROR(__xludf.DUMMYFUNCTION("""COMPUTED_VALUE"""),"")</f>
        <v/>
      </c>
      <c r="D17460" s="42"/>
      <c r="E17460" s="42"/>
      <c r="F17460" s="48" t="str">
        <f>IFERROR(__xludf.DUMMYFUNCTION("""COMPUTED_VALUE"""),"")</f>
        <v/>
      </c>
      <c r="G17460" s="42" t="str">
        <f>IFERROR(__xludf.DUMMYFUNCTION("""COMPUTED_VALUE"""),"")</f>
        <v/>
      </c>
      <c r="H17460" s="42">
        <f t="shared" si="1"/>
        <v>3345</v>
      </c>
    </row>
    <row r="17461" ht="22.5" customHeight="1">
      <c r="B17461" s="42" t="str">
        <f>IFERROR(__xludf.DUMMYFUNCTION("""COMPUTED_VALUE"""),"")</f>
        <v/>
      </c>
      <c r="C17461" s="42" t="str">
        <f>IFERROR(__xludf.DUMMYFUNCTION("""COMPUTED_VALUE"""),"")</f>
        <v/>
      </c>
      <c r="D17461" s="42"/>
      <c r="E17461" s="42"/>
      <c r="F17461" s="48" t="str">
        <f>IFERROR(__xludf.DUMMYFUNCTION("""COMPUTED_VALUE"""),"")</f>
        <v/>
      </c>
      <c r="G17461" s="42" t="str">
        <f>IFERROR(__xludf.DUMMYFUNCTION("""COMPUTED_VALUE"""),"")</f>
        <v/>
      </c>
      <c r="H17461" s="42">
        <f t="shared" si="1"/>
        <v>3345</v>
      </c>
    </row>
    <row r="17462" ht="22.5" customHeight="1">
      <c r="B17462" s="42" t="str">
        <f>IFERROR(__xludf.DUMMYFUNCTION("""COMPUTED_VALUE"""),"")</f>
        <v/>
      </c>
      <c r="C17462" s="42" t="str">
        <f>IFERROR(__xludf.DUMMYFUNCTION("""COMPUTED_VALUE"""),"")</f>
        <v/>
      </c>
      <c r="D17462" s="42"/>
      <c r="E17462" s="42"/>
      <c r="F17462" s="48" t="str">
        <f>IFERROR(__xludf.DUMMYFUNCTION("""COMPUTED_VALUE"""),"")</f>
        <v/>
      </c>
      <c r="G17462" s="42" t="str">
        <f>IFERROR(__xludf.DUMMYFUNCTION("""COMPUTED_VALUE"""),"")</f>
        <v/>
      </c>
      <c r="H17462" s="42">
        <f t="shared" si="1"/>
        <v>3345</v>
      </c>
    </row>
    <row r="17463" ht="22.5" customHeight="1">
      <c r="B17463" s="42" t="str">
        <f>IFERROR(__xludf.DUMMYFUNCTION("""COMPUTED_VALUE"""),"")</f>
        <v/>
      </c>
      <c r="C17463" s="42" t="str">
        <f>IFERROR(__xludf.DUMMYFUNCTION("""COMPUTED_VALUE"""),"")</f>
        <v/>
      </c>
      <c r="D17463" s="42"/>
      <c r="E17463" s="42"/>
      <c r="F17463" s="48" t="str">
        <f>IFERROR(__xludf.DUMMYFUNCTION("""COMPUTED_VALUE"""),"")</f>
        <v/>
      </c>
      <c r="G17463" s="42" t="str">
        <f>IFERROR(__xludf.DUMMYFUNCTION("""COMPUTED_VALUE"""),"")</f>
        <v/>
      </c>
      <c r="H17463" s="42">
        <f t="shared" si="1"/>
        <v>3345</v>
      </c>
    </row>
    <row r="17464" ht="22.5" customHeight="1">
      <c r="B17464" s="42" t="str">
        <f>IFERROR(__xludf.DUMMYFUNCTION("""COMPUTED_VALUE"""),"")</f>
        <v/>
      </c>
      <c r="C17464" s="42" t="str">
        <f>IFERROR(__xludf.DUMMYFUNCTION("""COMPUTED_VALUE"""),"")</f>
        <v/>
      </c>
      <c r="D17464" s="42"/>
      <c r="E17464" s="42"/>
      <c r="F17464" s="48" t="str">
        <f>IFERROR(__xludf.DUMMYFUNCTION("""COMPUTED_VALUE"""),"")</f>
        <v/>
      </c>
      <c r="G17464" s="42" t="str">
        <f>IFERROR(__xludf.DUMMYFUNCTION("""COMPUTED_VALUE"""),"")</f>
        <v/>
      </c>
      <c r="H17464" s="42">
        <f t="shared" si="1"/>
        <v>3345</v>
      </c>
    </row>
    <row r="17465" ht="22.5" customHeight="1">
      <c r="B17465" s="42" t="str">
        <f>IFERROR(__xludf.DUMMYFUNCTION("""COMPUTED_VALUE"""),"")</f>
        <v/>
      </c>
      <c r="C17465" s="42" t="str">
        <f>IFERROR(__xludf.DUMMYFUNCTION("""COMPUTED_VALUE"""),"")</f>
        <v/>
      </c>
      <c r="D17465" s="42"/>
      <c r="E17465" s="42"/>
      <c r="F17465" s="48" t="str">
        <f>IFERROR(__xludf.DUMMYFUNCTION("""COMPUTED_VALUE"""),"")</f>
        <v/>
      </c>
      <c r="G17465" s="42" t="str">
        <f>IFERROR(__xludf.DUMMYFUNCTION("""COMPUTED_VALUE"""),"")</f>
        <v/>
      </c>
      <c r="H17465" s="42">
        <f t="shared" si="1"/>
        <v>3345</v>
      </c>
    </row>
    <row r="17466" ht="22.5" customHeight="1">
      <c r="B17466" s="42" t="str">
        <f>IFERROR(__xludf.DUMMYFUNCTION("""COMPUTED_VALUE"""),"")</f>
        <v/>
      </c>
      <c r="C17466" s="42" t="str">
        <f>IFERROR(__xludf.DUMMYFUNCTION("""COMPUTED_VALUE"""),"")</f>
        <v/>
      </c>
      <c r="D17466" s="42"/>
      <c r="E17466" s="42"/>
      <c r="F17466" s="48" t="str">
        <f>IFERROR(__xludf.DUMMYFUNCTION("""COMPUTED_VALUE"""),"")</f>
        <v/>
      </c>
      <c r="G17466" s="42" t="str">
        <f>IFERROR(__xludf.DUMMYFUNCTION("""COMPUTED_VALUE"""),"")</f>
        <v/>
      </c>
      <c r="H17466" s="42">
        <f t="shared" si="1"/>
        <v>3345</v>
      </c>
    </row>
    <row r="17467" ht="22.5" customHeight="1">
      <c r="B17467" s="42" t="str">
        <f>IFERROR(__xludf.DUMMYFUNCTION("""COMPUTED_VALUE"""),"")</f>
        <v/>
      </c>
      <c r="C17467" s="42" t="str">
        <f>IFERROR(__xludf.DUMMYFUNCTION("""COMPUTED_VALUE"""),"")</f>
        <v/>
      </c>
      <c r="D17467" s="42"/>
      <c r="E17467" s="42"/>
      <c r="F17467" s="48" t="str">
        <f>IFERROR(__xludf.DUMMYFUNCTION("""COMPUTED_VALUE"""),"")</f>
        <v/>
      </c>
      <c r="G17467" s="42" t="str">
        <f>IFERROR(__xludf.DUMMYFUNCTION("""COMPUTED_VALUE"""),"")</f>
        <v/>
      </c>
      <c r="H17467" s="42">
        <f t="shared" si="1"/>
        <v>3345</v>
      </c>
    </row>
    <row r="17468" ht="22.5" customHeight="1">
      <c r="B17468" s="42" t="str">
        <f>IFERROR(__xludf.DUMMYFUNCTION("""COMPUTED_VALUE"""),"")</f>
        <v/>
      </c>
      <c r="C17468" s="42" t="str">
        <f>IFERROR(__xludf.DUMMYFUNCTION("""COMPUTED_VALUE"""),"")</f>
        <v/>
      </c>
      <c r="D17468" s="42"/>
      <c r="E17468" s="42"/>
      <c r="F17468" s="48" t="str">
        <f>IFERROR(__xludf.DUMMYFUNCTION("""COMPUTED_VALUE"""),"")</f>
        <v/>
      </c>
      <c r="G17468" s="42" t="str">
        <f>IFERROR(__xludf.DUMMYFUNCTION("""COMPUTED_VALUE"""),"")</f>
        <v/>
      </c>
      <c r="H17468" s="42">
        <f t="shared" si="1"/>
        <v>3345</v>
      </c>
    </row>
    <row r="17469" ht="22.5" customHeight="1">
      <c r="B17469" s="42" t="str">
        <f>IFERROR(__xludf.DUMMYFUNCTION("""COMPUTED_VALUE"""),"")</f>
        <v/>
      </c>
      <c r="C17469" s="42" t="str">
        <f>IFERROR(__xludf.DUMMYFUNCTION("""COMPUTED_VALUE"""),"")</f>
        <v/>
      </c>
      <c r="D17469" s="42"/>
      <c r="E17469" s="42"/>
      <c r="F17469" s="48" t="str">
        <f>IFERROR(__xludf.DUMMYFUNCTION("""COMPUTED_VALUE"""),"")</f>
        <v/>
      </c>
      <c r="G17469" s="42" t="str">
        <f>IFERROR(__xludf.DUMMYFUNCTION("""COMPUTED_VALUE"""),"")</f>
        <v/>
      </c>
      <c r="H17469" s="42">
        <f t="shared" si="1"/>
        <v>3345</v>
      </c>
    </row>
    <row r="17470" ht="22.5" customHeight="1">
      <c r="B17470" s="42" t="str">
        <f>IFERROR(__xludf.DUMMYFUNCTION("""COMPUTED_VALUE"""),"")</f>
        <v/>
      </c>
      <c r="C17470" s="42" t="str">
        <f>IFERROR(__xludf.DUMMYFUNCTION("""COMPUTED_VALUE"""),"")</f>
        <v/>
      </c>
      <c r="D17470" s="42"/>
      <c r="E17470" s="42"/>
      <c r="F17470" s="48" t="str">
        <f>IFERROR(__xludf.DUMMYFUNCTION("""COMPUTED_VALUE"""),"")</f>
        <v/>
      </c>
      <c r="G17470" s="42" t="str">
        <f>IFERROR(__xludf.DUMMYFUNCTION("""COMPUTED_VALUE"""),"")</f>
        <v/>
      </c>
      <c r="H17470" s="42">
        <f t="shared" si="1"/>
        <v>3345</v>
      </c>
    </row>
    <row r="17471" ht="22.5" customHeight="1">
      <c r="B17471" s="42" t="str">
        <f>IFERROR(__xludf.DUMMYFUNCTION("""COMPUTED_VALUE"""),"")</f>
        <v/>
      </c>
      <c r="C17471" s="42" t="str">
        <f>IFERROR(__xludf.DUMMYFUNCTION("""COMPUTED_VALUE"""),"")</f>
        <v/>
      </c>
      <c r="D17471" s="42"/>
      <c r="E17471" s="42"/>
      <c r="F17471" s="48" t="str">
        <f>IFERROR(__xludf.DUMMYFUNCTION("""COMPUTED_VALUE"""),"")</f>
        <v/>
      </c>
      <c r="G17471" s="42" t="str">
        <f>IFERROR(__xludf.DUMMYFUNCTION("""COMPUTED_VALUE"""),"")</f>
        <v/>
      </c>
      <c r="H17471" s="42">
        <f t="shared" si="1"/>
        <v>3345</v>
      </c>
    </row>
    <row r="17472" ht="22.5" customHeight="1">
      <c r="B17472" s="42" t="str">
        <f>IFERROR(__xludf.DUMMYFUNCTION("""COMPUTED_VALUE"""),"")</f>
        <v/>
      </c>
      <c r="C17472" s="42" t="str">
        <f>IFERROR(__xludf.DUMMYFUNCTION("""COMPUTED_VALUE"""),"")</f>
        <v/>
      </c>
      <c r="D17472" s="42"/>
      <c r="E17472" s="42"/>
      <c r="F17472" s="48" t="str">
        <f>IFERROR(__xludf.DUMMYFUNCTION("""COMPUTED_VALUE"""),"")</f>
        <v/>
      </c>
      <c r="G17472" s="42" t="str">
        <f>IFERROR(__xludf.DUMMYFUNCTION("""COMPUTED_VALUE"""),"")</f>
        <v/>
      </c>
      <c r="H17472" s="42">
        <f t="shared" si="1"/>
        <v>3345</v>
      </c>
    </row>
    <row r="17473" ht="22.5" customHeight="1">
      <c r="B17473" s="42" t="str">
        <f>IFERROR(__xludf.DUMMYFUNCTION("""COMPUTED_VALUE"""),"")</f>
        <v/>
      </c>
      <c r="C17473" s="42" t="str">
        <f>IFERROR(__xludf.DUMMYFUNCTION("""COMPUTED_VALUE"""),"")</f>
        <v/>
      </c>
      <c r="D17473" s="42"/>
      <c r="E17473" s="42"/>
      <c r="F17473" s="48" t="str">
        <f>IFERROR(__xludf.DUMMYFUNCTION("""COMPUTED_VALUE"""),"")</f>
        <v/>
      </c>
      <c r="G17473" s="42" t="str">
        <f>IFERROR(__xludf.DUMMYFUNCTION("""COMPUTED_VALUE"""),"")</f>
        <v/>
      </c>
      <c r="H17473" s="42">
        <f t="shared" si="1"/>
        <v>3345</v>
      </c>
    </row>
    <row r="17474" ht="22.5" customHeight="1">
      <c r="B17474" s="42" t="str">
        <f>IFERROR(__xludf.DUMMYFUNCTION("""COMPUTED_VALUE"""),"")</f>
        <v/>
      </c>
      <c r="C17474" s="42" t="str">
        <f>IFERROR(__xludf.DUMMYFUNCTION("""COMPUTED_VALUE"""),"")</f>
        <v/>
      </c>
      <c r="D17474" s="42"/>
      <c r="E17474" s="42"/>
      <c r="F17474" s="48" t="str">
        <f>IFERROR(__xludf.DUMMYFUNCTION("""COMPUTED_VALUE"""),"")</f>
        <v/>
      </c>
      <c r="G17474" s="42" t="str">
        <f>IFERROR(__xludf.DUMMYFUNCTION("""COMPUTED_VALUE"""),"")</f>
        <v/>
      </c>
      <c r="H17474" s="42">
        <f t="shared" si="1"/>
        <v>3345</v>
      </c>
    </row>
    <row r="17475" ht="22.5" customHeight="1">
      <c r="B17475" s="42" t="str">
        <f>IFERROR(__xludf.DUMMYFUNCTION("""COMPUTED_VALUE"""),"")</f>
        <v/>
      </c>
      <c r="C17475" s="42" t="str">
        <f>IFERROR(__xludf.DUMMYFUNCTION("""COMPUTED_VALUE"""),"")</f>
        <v/>
      </c>
      <c r="D17475" s="42"/>
      <c r="E17475" s="42"/>
      <c r="F17475" s="48" t="str">
        <f>IFERROR(__xludf.DUMMYFUNCTION("""COMPUTED_VALUE"""),"")</f>
        <v/>
      </c>
      <c r="G17475" s="42" t="str">
        <f>IFERROR(__xludf.DUMMYFUNCTION("""COMPUTED_VALUE"""),"")</f>
        <v/>
      </c>
      <c r="H17475" s="42">
        <f t="shared" si="1"/>
        <v>3345</v>
      </c>
    </row>
    <row r="17476" ht="22.5" customHeight="1">
      <c r="B17476" s="42" t="str">
        <f>IFERROR(__xludf.DUMMYFUNCTION("""COMPUTED_VALUE"""),"")</f>
        <v/>
      </c>
      <c r="C17476" s="42" t="str">
        <f>IFERROR(__xludf.DUMMYFUNCTION("""COMPUTED_VALUE"""),"")</f>
        <v/>
      </c>
      <c r="D17476" s="42"/>
      <c r="E17476" s="42"/>
      <c r="F17476" s="48" t="str">
        <f>IFERROR(__xludf.DUMMYFUNCTION("""COMPUTED_VALUE"""),"")</f>
        <v/>
      </c>
      <c r="G17476" s="42" t="str">
        <f>IFERROR(__xludf.DUMMYFUNCTION("""COMPUTED_VALUE"""),"")</f>
        <v/>
      </c>
      <c r="H17476" s="42">
        <f t="shared" si="1"/>
        <v>3345</v>
      </c>
    </row>
    <row r="17477" ht="22.5" customHeight="1">
      <c r="B17477" s="42" t="str">
        <f>IFERROR(__xludf.DUMMYFUNCTION("""COMPUTED_VALUE"""),"")</f>
        <v/>
      </c>
      <c r="C17477" s="42" t="str">
        <f>IFERROR(__xludf.DUMMYFUNCTION("""COMPUTED_VALUE"""),"")</f>
        <v/>
      </c>
      <c r="D17477" s="42"/>
      <c r="E17477" s="42"/>
      <c r="F17477" s="48" t="str">
        <f>IFERROR(__xludf.DUMMYFUNCTION("""COMPUTED_VALUE"""),"")</f>
        <v/>
      </c>
      <c r="G17477" s="42" t="str">
        <f>IFERROR(__xludf.DUMMYFUNCTION("""COMPUTED_VALUE"""),"")</f>
        <v/>
      </c>
      <c r="H17477" s="42">
        <f t="shared" si="1"/>
        <v>3345</v>
      </c>
    </row>
    <row r="17478" ht="22.5" customHeight="1">
      <c r="B17478" s="42" t="str">
        <f>IFERROR(__xludf.DUMMYFUNCTION("""COMPUTED_VALUE"""),"")</f>
        <v/>
      </c>
      <c r="C17478" s="42" t="str">
        <f>IFERROR(__xludf.DUMMYFUNCTION("""COMPUTED_VALUE"""),"")</f>
        <v/>
      </c>
      <c r="D17478" s="42"/>
      <c r="E17478" s="42"/>
      <c r="F17478" s="48" t="str">
        <f>IFERROR(__xludf.DUMMYFUNCTION("""COMPUTED_VALUE"""),"")</f>
        <v/>
      </c>
      <c r="G17478" s="42" t="str">
        <f>IFERROR(__xludf.DUMMYFUNCTION("""COMPUTED_VALUE"""),"")</f>
        <v/>
      </c>
      <c r="H17478" s="42">
        <f t="shared" si="1"/>
        <v>3345</v>
      </c>
    </row>
    <row r="17479" ht="22.5" customHeight="1">
      <c r="B17479" s="42" t="str">
        <f>IFERROR(__xludf.DUMMYFUNCTION("""COMPUTED_VALUE"""),"")</f>
        <v/>
      </c>
      <c r="C17479" s="42" t="str">
        <f>IFERROR(__xludf.DUMMYFUNCTION("""COMPUTED_VALUE"""),"")</f>
        <v/>
      </c>
      <c r="D17479" s="42"/>
      <c r="E17479" s="42"/>
      <c r="F17479" s="48" t="str">
        <f>IFERROR(__xludf.DUMMYFUNCTION("""COMPUTED_VALUE"""),"")</f>
        <v/>
      </c>
      <c r="G17479" s="42" t="str">
        <f>IFERROR(__xludf.DUMMYFUNCTION("""COMPUTED_VALUE"""),"")</f>
        <v/>
      </c>
      <c r="H17479" s="42">
        <f t="shared" si="1"/>
        <v>3345</v>
      </c>
    </row>
    <row r="17480" ht="22.5" customHeight="1">
      <c r="B17480" s="42" t="str">
        <f>IFERROR(__xludf.DUMMYFUNCTION("""COMPUTED_VALUE"""),"")</f>
        <v/>
      </c>
      <c r="C17480" s="42" t="str">
        <f>IFERROR(__xludf.DUMMYFUNCTION("""COMPUTED_VALUE"""),"")</f>
        <v/>
      </c>
      <c r="D17480" s="42"/>
      <c r="E17480" s="42"/>
      <c r="F17480" s="48" t="str">
        <f>IFERROR(__xludf.DUMMYFUNCTION("""COMPUTED_VALUE"""),"")</f>
        <v/>
      </c>
      <c r="G17480" s="42" t="str">
        <f>IFERROR(__xludf.DUMMYFUNCTION("""COMPUTED_VALUE"""),"")</f>
        <v/>
      </c>
      <c r="H17480" s="42">
        <f t="shared" si="1"/>
        <v>3345</v>
      </c>
    </row>
    <row r="17481" ht="22.5" customHeight="1">
      <c r="B17481" s="42" t="str">
        <f>IFERROR(__xludf.DUMMYFUNCTION("""COMPUTED_VALUE"""),"")</f>
        <v/>
      </c>
      <c r="C17481" s="42" t="str">
        <f>IFERROR(__xludf.DUMMYFUNCTION("""COMPUTED_VALUE"""),"")</f>
        <v/>
      </c>
      <c r="D17481" s="42"/>
      <c r="E17481" s="42"/>
      <c r="F17481" s="48" t="str">
        <f>IFERROR(__xludf.DUMMYFUNCTION("""COMPUTED_VALUE"""),"")</f>
        <v/>
      </c>
      <c r="G17481" s="42" t="str">
        <f>IFERROR(__xludf.DUMMYFUNCTION("""COMPUTED_VALUE"""),"")</f>
        <v/>
      </c>
      <c r="H17481" s="42">
        <f t="shared" si="1"/>
        <v>3345</v>
      </c>
    </row>
    <row r="17482" ht="22.5" customHeight="1">
      <c r="B17482" s="42" t="str">
        <f>IFERROR(__xludf.DUMMYFUNCTION("""COMPUTED_VALUE"""),"")</f>
        <v/>
      </c>
      <c r="C17482" s="42" t="str">
        <f>IFERROR(__xludf.DUMMYFUNCTION("""COMPUTED_VALUE"""),"")</f>
        <v/>
      </c>
      <c r="D17482" s="42"/>
      <c r="E17482" s="42"/>
      <c r="F17482" s="48" t="str">
        <f>IFERROR(__xludf.DUMMYFUNCTION("""COMPUTED_VALUE"""),"")</f>
        <v/>
      </c>
      <c r="G17482" s="42" t="str">
        <f>IFERROR(__xludf.DUMMYFUNCTION("""COMPUTED_VALUE"""),"")</f>
        <v/>
      </c>
      <c r="H17482" s="42">
        <f t="shared" si="1"/>
        <v>3345</v>
      </c>
    </row>
    <row r="17483" ht="22.5" customHeight="1">
      <c r="B17483" s="42" t="str">
        <f>IFERROR(__xludf.DUMMYFUNCTION("""COMPUTED_VALUE"""),"")</f>
        <v/>
      </c>
      <c r="C17483" s="42" t="str">
        <f>IFERROR(__xludf.DUMMYFUNCTION("""COMPUTED_VALUE"""),"")</f>
        <v/>
      </c>
      <c r="D17483" s="42"/>
      <c r="E17483" s="42"/>
      <c r="F17483" s="48" t="str">
        <f>IFERROR(__xludf.DUMMYFUNCTION("""COMPUTED_VALUE"""),"")</f>
        <v/>
      </c>
      <c r="G17483" s="42" t="str">
        <f>IFERROR(__xludf.DUMMYFUNCTION("""COMPUTED_VALUE"""),"")</f>
        <v/>
      </c>
      <c r="H17483" s="42">
        <f t="shared" si="1"/>
        <v>3345</v>
      </c>
    </row>
    <row r="17484" ht="22.5" customHeight="1">
      <c r="B17484" s="42" t="str">
        <f>IFERROR(__xludf.DUMMYFUNCTION("""COMPUTED_VALUE"""),"")</f>
        <v/>
      </c>
      <c r="C17484" s="42" t="str">
        <f>IFERROR(__xludf.DUMMYFUNCTION("""COMPUTED_VALUE"""),"")</f>
        <v/>
      </c>
      <c r="D17484" s="42"/>
      <c r="E17484" s="42"/>
      <c r="F17484" s="48" t="str">
        <f>IFERROR(__xludf.DUMMYFUNCTION("""COMPUTED_VALUE"""),"")</f>
        <v/>
      </c>
      <c r="G17484" s="42" t="str">
        <f>IFERROR(__xludf.DUMMYFUNCTION("""COMPUTED_VALUE"""),"")</f>
        <v/>
      </c>
      <c r="H17484" s="42">
        <f t="shared" si="1"/>
        <v>3345</v>
      </c>
    </row>
    <row r="17485" ht="22.5" customHeight="1">
      <c r="B17485" s="42" t="str">
        <f>IFERROR(__xludf.DUMMYFUNCTION("""COMPUTED_VALUE"""),"")</f>
        <v/>
      </c>
      <c r="C17485" s="42" t="str">
        <f>IFERROR(__xludf.DUMMYFUNCTION("""COMPUTED_VALUE"""),"")</f>
        <v/>
      </c>
      <c r="D17485" s="42"/>
      <c r="E17485" s="42"/>
      <c r="F17485" s="48" t="str">
        <f>IFERROR(__xludf.DUMMYFUNCTION("""COMPUTED_VALUE"""),"")</f>
        <v/>
      </c>
      <c r="G17485" s="42" t="str">
        <f>IFERROR(__xludf.DUMMYFUNCTION("""COMPUTED_VALUE"""),"")</f>
        <v/>
      </c>
      <c r="H17485" s="42">
        <f t="shared" si="1"/>
        <v>3345</v>
      </c>
    </row>
    <row r="17486" ht="22.5" customHeight="1">
      <c r="B17486" s="42" t="str">
        <f>IFERROR(__xludf.DUMMYFUNCTION("""COMPUTED_VALUE"""),"")</f>
        <v/>
      </c>
      <c r="C17486" s="42" t="str">
        <f>IFERROR(__xludf.DUMMYFUNCTION("""COMPUTED_VALUE"""),"")</f>
        <v/>
      </c>
      <c r="D17486" s="42"/>
      <c r="E17486" s="42"/>
      <c r="F17486" s="48" t="str">
        <f>IFERROR(__xludf.DUMMYFUNCTION("""COMPUTED_VALUE"""),"")</f>
        <v/>
      </c>
      <c r="G17486" s="42" t="str">
        <f>IFERROR(__xludf.DUMMYFUNCTION("""COMPUTED_VALUE"""),"")</f>
        <v/>
      </c>
      <c r="H17486" s="42">
        <f t="shared" si="1"/>
        <v>3345</v>
      </c>
    </row>
    <row r="17487" ht="22.5" customHeight="1">
      <c r="B17487" s="42" t="str">
        <f>IFERROR(__xludf.DUMMYFUNCTION("""COMPUTED_VALUE"""),"")</f>
        <v/>
      </c>
      <c r="C17487" s="42" t="str">
        <f>IFERROR(__xludf.DUMMYFUNCTION("""COMPUTED_VALUE"""),"")</f>
        <v/>
      </c>
      <c r="D17487" s="42"/>
      <c r="E17487" s="42"/>
      <c r="F17487" s="48" t="str">
        <f>IFERROR(__xludf.DUMMYFUNCTION("""COMPUTED_VALUE"""),"")</f>
        <v/>
      </c>
      <c r="G17487" s="42" t="str">
        <f>IFERROR(__xludf.DUMMYFUNCTION("""COMPUTED_VALUE"""),"")</f>
        <v/>
      </c>
      <c r="H17487" s="42">
        <f t="shared" si="1"/>
        <v>3345</v>
      </c>
    </row>
    <row r="17488" ht="22.5" customHeight="1">
      <c r="B17488" s="42" t="str">
        <f>IFERROR(__xludf.DUMMYFUNCTION("""COMPUTED_VALUE"""),"")</f>
        <v/>
      </c>
      <c r="C17488" s="42" t="str">
        <f>IFERROR(__xludf.DUMMYFUNCTION("""COMPUTED_VALUE"""),"")</f>
        <v/>
      </c>
      <c r="D17488" s="42"/>
      <c r="E17488" s="42"/>
      <c r="F17488" s="48" t="str">
        <f>IFERROR(__xludf.DUMMYFUNCTION("""COMPUTED_VALUE"""),"")</f>
        <v/>
      </c>
      <c r="G17488" s="42" t="str">
        <f>IFERROR(__xludf.DUMMYFUNCTION("""COMPUTED_VALUE"""),"")</f>
        <v/>
      </c>
      <c r="H17488" s="42">
        <f t="shared" si="1"/>
        <v>3345</v>
      </c>
    </row>
    <row r="17489" ht="22.5" customHeight="1">
      <c r="B17489" s="42" t="str">
        <f>IFERROR(__xludf.DUMMYFUNCTION("""COMPUTED_VALUE"""),"")</f>
        <v/>
      </c>
      <c r="C17489" s="42" t="str">
        <f>IFERROR(__xludf.DUMMYFUNCTION("""COMPUTED_VALUE"""),"")</f>
        <v/>
      </c>
      <c r="D17489" s="42"/>
      <c r="E17489" s="42"/>
      <c r="F17489" s="48" t="str">
        <f>IFERROR(__xludf.DUMMYFUNCTION("""COMPUTED_VALUE"""),"")</f>
        <v/>
      </c>
      <c r="G17489" s="42" t="str">
        <f>IFERROR(__xludf.DUMMYFUNCTION("""COMPUTED_VALUE"""),"")</f>
        <v/>
      </c>
      <c r="H17489" s="42">
        <f t="shared" si="1"/>
        <v>3345</v>
      </c>
    </row>
    <row r="17490" ht="22.5" customHeight="1">
      <c r="B17490" s="42" t="str">
        <f>IFERROR(__xludf.DUMMYFUNCTION("""COMPUTED_VALUE"""),"")</f>
        <v/>
      </c>
      <c r="C17490" s="42" t="str">
        <f>IFERROR(__xludf.DUMMYFUNCTION("""COMPUTED_VALUE"""),"")</f>
        <v/>
      </c>
      <c r="D17490" s="42"/>
      <c r="E17490" s="42"/>
      <c r="F17490" s="48" t="str">
        <f>IFERROR(__xludf.DUMMYFUNCTION("""COMPUTED_VALUE"""),"")</f>
        <v/>
      </c>
      <c r="G17490" s="42" t="str">
        <f>IFERROR(__xludf.DUMMYFUNCTION("""COMPUTED_VALUE"""),"")</f>
        <v/>
      </c>
      <c r="H17490" s="42">
        <f t="shared" si="1"/>
        <v>3345</v>
      </c>
    </row>
    <row r="17491" ht="22.5" customHeight="1">
      <c r="B17491" s="42" t="str">
        <f>IFERROR(__xludf.DUMMYFUNCTION("""COMPUTED_VALUE"""),"")</f>
        <v/>
      </c>
      <c r="C17491" s="42" t="str">
        <f>IFERROR(__xludf.DUMMYFUNCTION("""COMPUTED_VALUE"""),"")</f>
        <v/>
      </c>
      <c r="D17491" s="42"/>
      <c r="E17491" s="42"/>
      <c r="F17491" s="48" t="str">
        <f>IFERROR(__xludf.DUMMYFUNCTION("""COMPUTED_VALUE"""),"")</f>
        <v/>
      </c>
      <c r="G17491" s="42" t="str">
        <f>IFERROR(__xludf.DUMMYFUNCTION("""COMPUTED_VALUE"""),"")</f>
        <v/>
      </c>
      <c r="H17491" s="42">
        <f t="shared" si="1"/>
        <v>3345</v>
      </c>
    </row>
    <row r="17492" ht="22.5" customHeight="1">
      <c r="B17492" s="42" t="str">
        <f>IFERROR(__xludf.DUMMYFUNCTION("""COMPUTED_VALUE"""),"")</f>
        <v/>
      </c>
      <c r="C17492" s="42" t="str">
        <f>IFERROR(__xludf.DUMMYFUNCTION("""COMPUTED_VALUE"""),"")</f>
        <v/>
      </c>
      <c r="D17492" s="42"/>
      <c r="E17492" s="42"/>
      <c r="F17492" s="48" t="str">
        <f>IFERROR(__xludf.DUMMYFUNCTION("""COMPUTED_VALUE"""),"")</f>
        <v/>
      </c>
      <c r="G17492" s="42" t="str">
        <f>IFERROR(__xludf.DUMMYFUNCTION("""COMPUTED_VALUE"""),"")</f>
        <v/>
      </c>
      <c r="H17492" s="42">
        <f t="shared" si="1"/>
        <v>3345</v>
      </c>
    </row>
    <row r="17493" ht="22.5" customHeight="1">
      <c r="B17493" s="42" t="str">
        <f>IFERROR(__xludf.DUMMYFUNCTION("""COMPUTED_VALUE"""),"")</f>
        <v/>
      </c>
      <c r="C17493" s="42" t="str">
        <f>IFERROR(__xludf.DUMMYFUNCTION("""COMPUTED_VALUE"""),"")</f>
        <v/>
      </c>
      <c r="D17493" s="42"/>
      <c r="E17493" s="42"/>
      <c r="F17493" s="48" t="str">
        <f>IFERROR(__xludf.DUMMYFUNCTION("""COMPUTED_VALUE"""),"")</f>
        <v/>
      </c>
      <c r="G17493" s="42" t="str">
        <f>IFERROR(__xludf.DUMMYFUNCTION("""COMPUTED_VALUE"""),"")</f>
        <v/>
      </c>
      <c r="H17493" s="42">
        <f t="shared" si="1"/>
        <v>3345</v>
      </c>
    </row>
    <row r="17494" ht="22.5" customHeight="1">
      <c r="B17494" s="42" t="str">
        <f>IFERROR(__xludf.DUMMYFUNCTION("""COMPUTED_VALUE"""),"")</f>
        <v/>
      </c>
      <c r="C17494" s="42" t="str">
        <f>IFERROR(__xludf.DUMMYFUNCTION("""COMPUTED_VALUE"""),"")</f>
        <v/>
      </c>
      <c r="D17494" s="42"/>
      <c r="E17494" s="42"/>
      <c r="F17494" s="48" t="str">
        <f>IFERROR(__xludf.DUMMYFUNCTION("""COMPUTED_VALUE"""),"")</f>
        <v/>
      </c>
      <c r="G17494" s="42" t="str">
        <f>IFERROR(__xludf.DUMMYFUNCTION("""COMPUTED_VALUE"""),"")</f>
        <v/>
      </c>
      <c r="H17494" s="42">
        <f t="shared" si="1"/>
        <v>3345</v>
      </c>
    </row>
    <row r="17495" ht="22.5" customHeight="1">
      <c r="B17495" s="42" t="str">
        <f>IFERROR(__xludf.DUMMYFUNCTION("""COMPUTED_VALUE"""),"")</f>
        <v/>
      </c>
      <c r="C17495" s="42" t="str">
        <f>IFERROR(__xludf.DUMMYFUNCTION("""COMPUTED_VALUE"""),"")</f>
        <v/>
      </c>
      <c r="D17495" s="42"/>
      <c r="E17495" s="42"/>
      <c r="F17495" s="48" t="str">
        <f>IFERROR(__xludf.DUMMYFUNCTION("""COMPUTED_VALUE"""),"")</f>
        <v/>
      </c>
      <c r="G17495" s="42" t="str">
        <f>IFERROR(__xludf.DUMMYFUNCTION("""COMPUTED_VALUE"""),"")</f>
        <v/>
      </c>
      <c r="H17495" s="42">
        <f t="shared" si="1"/>
        <v>3345</v>
      </c>
    </row>
    <row r="17496" ht="22.5" customHeight="1">
      <c r="B17496" s="42" t="str">
        <f>IFERROR(__xludf.DUMMYFUNCTION("""COMPUTED_VALUE"""),"")</f>
        <v/>
      </c>
      <c r="C17496" s="42" t="str">
        <f>IFERROR(__xludf.DUMMYFUNCTION("""COMPUTED_VALUE"""),"")</f>
        <v/>
      </c>
      <c r="D17496" s="42"/>
      <c r="E17496" s="42"/>
      <c r="F17496" s="48" t="str">
        <f>IFERROR(__xludf.DUMMYFUNCTION("""COMPUTED_VALUE"""),"")</f>
        <v/>
      </c>
      <c r="G17496" s="42" t="str">
        <f>IFERROR(__xludf.DUMMYFUNCTION("""COMPUTED_VALUE"""),"")</f>
        <v/>
      </c>
      <c r="H17496" s="42">
        <f t="shared" si="1"/>
        <v>3345</v>
      </c>
    </row>
    <row r="17497" ht="22.5" customHeight="1">
      <c r="B17497" s="42" t="str">
        <f>IFERROR(__xludf.DUMMYFUNCTION("""COMPUTED_VALUE"""),"")</f>
        <v/>
      </c>
      <c r="C17497" s="42" t="str">
        <f>IFERROR(__xludf.DUMMYFUNCTION("""COMPUTED_VALUE"""),"")</f>
        <v/>
      </c>
      <c r="D17497" s="42"/>
      <c r="E17497" s="42"/>
      <c r="F17497" s="48" t="str">
        <f>IFERROR(__xludf.DUMMYFUNCTION("""COMPUTED_VALUE"""),"")</f>
        <v/>
      </c>
      <c r="G17497" s="42" t="str">
        <f>IFERROR(__xludf.DUMMYFUNCTION("""COMPUTED_VALUE"""),"")</f>
        <v/>
      </c>
      <c r="H17497" s="42">
        <f t="shared" si="1"/>
        <v>3345</v>
      </c>
    </row>
    <row r="17498" ht="22.5" customHeight="1">
      <c r="B17498" s="42" t="str">
        <f>IFERROR(__xludf.DUMMYFUNCTION("""COMPUTED_VALUE"""),"")</f>
        <v/>
      </c>
      <c r="C17498" s="42" t="str">
        <f>IFERROR(__xludf.DUMMYFUNCTION("""COMPUTED_VALUE"""),"")</f>
        <v/>
      </c>
      <c r="D17498" s="42"/>
      <c r="E17498" s="42"/>
      <c r="F17498" s="48" t="str">
        <f>IFERROR(__xludf.DUMMYFUNCTION("""COMPUTED_VALUE"""),"")</f>
        <v/>
      </c>
      <c r="G17498" s="42" t="str">
        <f>IFERROR(__xludf.DUMMYFUNCTION("""COMPUTED_VALUE"""),"")</f>
        <v/>
      </c>
      <c r="H17498" s="42">
        <f t="shared" si="1"/>
        <v>3345</v>
      </c>
    </row>
    <row r="17499" ht="22.5" customHeight="1">
      <c r="B17499" s="42" t="str">
        <f>IFERROR(__xludf.DUMMYFUNCTION("""COMPUTED_VALUE"""),"")</f>
        <v/>
      </c>
      <c r="C17499" s="42" t="str">
        <f>IFERROR(__xludf.DUMMYFUNCTION("""COMPUTED_VALUE"""),"")</f>
        <v/>
      </c>
      <c r="D17499" s="42"/>
      <c r="E17499" s="42"/>
      <c r="F17499" s="48" t="str">
        <f>IFERROR(__xludf.DUMMYFUNCTION("""COMPUTED_VALUE"""),"")</f>
        <v/>
      </c>
      <c r="G17499" s="42" t="str">
        <f>IFERROR(__xludf.DUMMYFUNCTION("""COMPUTED_VALUE"""),"")</f>
        <v/>
      </c>
      <c r="H17499" s="42">
        <f t="shared" si="1"/>
        <v>3345</v>
      </c>
    </row>
    <row r="17500" ht="22.5" customHeight="1">
      <c r="B17500" s="42" t="str">
        <f>IFERROR(__xludf.DUMMYFUNCTION("""COMPUTED_VALUE"""),"")</f>
        <v/>
      </c>
      <c r="C17500" s="42" t="str">
        <f>IFERROR(__xludf.DUMMYFUNCTION("""COMPUTED_VALUE"""),"")</f>
        <v/>
      </c>
      <c r="D17500" s="42"/>
      <c r="E17500" s="42"/>
      <c r="F17500" s="48" t="str">
        <f>IFERROR(__xludf.DUMMYFUNCTION("""COMPUTED_VALUE"""),"")</f>
        <v/>
      </c>
      <c r="G17500" s="42" t="str">
        <f>IFERROR(__xludf.DUMMYFUNCTION("""COMPUTED_VALUE"""),"")</f>
        <v/>
      </c>
      <c r="H17500" s="42">
        <f t="shared" si="1"/>
        <v>3345</v>
      </c>
    </row>
    <row r="17501" ht="22.5" customHeight="1">
      <c r="B17501" s="42" t="str">
        <f>IFERROR(__xludf.DUMMYFUNCTION("""COMPUTED_VALUE"""),"")</f>
        <v/>
      </c>
      <c r="C17501" s="42" t="str">
        <f>IFERROR(__xludf.DUMMYFUNCTION("""COMPUTED_VALUE"""),"")</f>
        <v/>
      </c>
      <c r="D17501" s="42"/>
      <c r="E17501" s="42"/>
      <c r="F17501" s="48" t="str">
        <f>IFERROR(__xludf.DUMMYFUNCTION("""COMPUTED_VALUE"""),"")</f>
        <v/>
      </c>
      <c r="G17501" s="42" t="str">
        <f>IFERROR(__xludf.DUMMYFUNCTION("""COMPUTED_VALUE"""),"")</f>
        <v/>
      </c>
      <c r="H17501" s="42">
        <f t="shared" si="1"/>
        <v>3345</v>
      </c>
    </row>
    <row r="17502" ht="22.5" customHeight="1">
      <c r="B17502" s="42" t="str">
        <f>IFERROR(__xludf.DUMMYFUNCTION("""COMPUTED_VALUE"""),"")</f>
        <v/>
      </c>
      <c r="C17502" s="42" t="str">
        <f>IFERROR(__xludf.DUMMYFUNCTION("""COMPUTED_VALUE"""),"")</f>
        <v/>
      </c>
      <c r="D17502" s="42"/>
      <c r="E17502" s="42"/>
      <c r="F17502" s="48" t="str">
        <f>IFERROR(__xludf.DUMMYFUNCTION("""COMPUTED_VALUE"""),"")</f>
        <v/>
      </c>
      <c r="G17502" s="42" t="str">
        <f>IFERROR(__xludf.DUMMYFUNCTION("""COMPUTED_VALUE"""),"")</f>
        <v/>
      </c>
      <c r="H17502" s="42">
        <f t="shared" si="1"/>
        <v>3345</v>
      </c>
    </row>
    <row r="17503" ht="22.5" customHeight="1">
      <c r="B17503" s="42" t="str">
        <f>IFERROR(__xludf.DUMMYFUNCTION("""COMPUTED_VALUE"""),"")</f>
        <v/>
      </c>
      <c r="C17503" s="42" t="str">
        <f>IFERROR(__xludf.DUMMYFUNCTION("""COMPUTED_VALUE"""),"")</f>
        <v/>
      </c>
      <c r="D17503" s="42"/>
      <c r="E17503" s="42"/>
      <c r="F17503" s="48" t="str">
        <f>IFERROR(__xludf.DUMMYFUNCTION("""COMPUTED_VALUE"""),"")</f>
        <v/>
      </c>
      <c r="G17503" s="42" t="str">
        <f>IFERROR(__xludf.DUMMYFUNCTION("""COMPUTED_VALUE"""),"")</f>
        <v/>
      </c>
      <c r="H17503" s="42">
        <f t="shared" si="1"/>
        <v>3345</v>
      </c>
    </row>
    <row r="17504" ht="22.5" customHeight="1">
      <c r="B17504" s="42" t="str">
        <f>IFERROR(__xludf.DUMMYFUNCTION("""COMPUTED_VALUE"""),"")</f>
        <v/>
      </c>
      <c r="C17504" s="42" t="str">
        <f>IFERROR(__xludf.DUMMYFUNCTION("""COMPUTED_VALUE"""),"")</f>
        <v/>
      </c>
      <c r="D17504" s="42"/>
      <c r="E17504" s="42"/>
      <c r="F17504" s="48" t="str">
        <f>IFERROR(__xludf.DUMMYFUNCTION("""COMPUTED_VALUE"""),"")</f>
        <v/>
      </c>
      <c r="G17504" s="42" t="str">
        <f>IFERROR(__xludf.DUMMYFUNCTION("""COMPUTED_VALUE"""),"")</f>
        <v/>
      </c>
      <c r="H17504" s="42">
        <f t="shared" si="1"/>
        <v>3345</v>
      </c>
    </row>
    <row r="17505" ht="22.5" customHeight="1">
      <c r="B17505" s="42" t="str">
        <f>IFERROR(__xludf.DUMMYFUNCTION("""COMPUTED_VALUE"""),"")</f>
        <v/>
      </c>
      <c r="C17505" s="42" t="str">
        <f>IFERROR(__xludf.DUMMYFUNCTION("""COMPUTED_VALUE"""),"")</f>
        <v/>
      </c>
      <c r="D17505" s="42"/>
      <c r="E17505" s="42"/>
      <c r="F17505" s="48" t="str">
        <f>IFERROR(__xludf.DUMMYFUNCTION("""COMPUTED_VALUE"""),"")</f>
        <v/>
      </c>
      <c r="G17505" s="42" t="str">
        <f>IFERROR(__xludf.DUMMYFUNCTION("""COMPUTED_VALUE"""),"")</f>
        <v/>
      </c>
      <c r="H17505" s="42">
        <f t="shared" si="1"/>
        <v>3345</v>
      </c>
    </row>
    <row r="17506" ht="22.5" customHeight="1">
      <c r="B17506" s="42" t="str">
        <f>IFERROR(__xludf.DUMMYFUNCTION("""COMPUTED_VALUE"""),"")</f>
        <v/>
      </c>
      <c r="C17506" s="42" t="str">
        <f>IFERROR(__xludf.DUMMYFUNCTION("""COMPUTED_VALUE"""),"")</f>
        <v/>
      </c>
      <c r="D17506" s="42"/>
      <c r="E17506" s="42"/>
      <c r="F17506" s="48" t="str">
        <f>IFERROR(__xludf.DUMMYFUNCTION("""COMPUTED_VALUE"""),"")</f>
        <v/>
      </c>
      <c r="G17506" s="42" t="str">
        <f>IFERROR(__xludf.DUMMYFUNCTION("""COMPUTED_VALUE"""),"")</f>
        <v/>
      </c>
      <c r="H17506" s="42">
        <f t="shared" si="1"/>
        <v>3345</v>
      </c>
    </row>
    <row r="17507" ht="22.5" customHeight="1">
      <c r="B17507" s="42" t="str">
        <f>IFERROR(__xludf.DUMMYFUNCTION("""COMPUTED_VALUE"""),"")</f>
        <v/>
      </c>
      <c r="C17507" s="42" t="str">
        <f>IFERROR(__xludf.DUMMYFUNCTION("""COMPUTED_VALUE"""),"")</f>
        <v/>
      </c>
      <c r="D17507" s="42"/>
      <c r="E17507" s="42"/>
      <c r="F17507" s="48" t="str">
        <f>IFERROR(__xludf.DUMMYFUNCTION("""COMPUTED_VALUE"""),"")</f>
        <v/>
      </c>
      <c r="G17507" s="42" t="str">
        <f>IFERROR(__xludf.DUMMYFUNCTION("""COMPUTED_VALUE"""),"")</f>
        <v/>
      </c>
      <c r="H17507" s="42">
        <f t="shared" si="1"/>
        <v>3345</v>
      </c>
    </row>
    <row r="17508" ht="22.5" customHeight="1">
      <c r="B17508" s="42" t="str">
        <f>IFERROR(__xludf.DUMMYFUNCTION("""COMPUTED_VALUE"""),"")</f>
        <v/>
      </c>
      <c r="C17508" s="42" t="str">
        <f>IFERROR(__xludf.DUMMYFUNCTION("""COMPUTED_VALUE"""),"")</f>
        <v/>
      </c>
      <c r="D17508" s="42"/>
      <c r="E17508" s="42"/>
      <c r="F17508" s="48" t="str">
        <f>IFERROR(__xludf.DUMMYFUNCTION("""COMPUTED_VALUE"""),"")</f>
        <v/>
      </c>
      <c r="G17508" s="42" t="str">
        <f>IFERROR(__xludf.DUMMYFUNCTION("""COMPUTED_VALUE"""),"")</f>
        <v/>
      </c>
      <c r="H17508" s="42">
        <f t="shared" si="1"/>
        <v>3345</v>
      </c>
    </row>
    <row r="17509" ht="22.5" customHeight="1">
      <c r="B17509" s="42" t="str">
        <f>IFERROR(__xludf.DUMMYFUNCTION("""COMPUTED_VALUE"""),"")</f>
        <v/>
      </c>
      <c r="C17509" s="42" t="str">
        <f>IFERROR(__xludf.DUMMYFUNCTION("""COMPUTED_VALUE"""),"")</f>
        <v/>
      </c>
      <c r="D17509" s="42"/>
      <c r="E17509" s="42"/>
      <c r="F17509" s="48" t="str">
        <f>IFERROR(__xludf.DUMMYFUNCTION("""COMPUTED_VALUE"""),"")</f>
        <v/>
      </c>
      <c r="G17509" s="42" t="str">
        <f>IFERROR(__xludf.DUMMYFUNCTION("""COMPUTED_VALUE"""),"")</f>
        <v/>
      </c>
      <c r="H17509" s="42">
        <f t="shared" si="1"/>
        <v>3345</v>
      </c>
    </row>
    <row r="17510" ht="22.5" customHeight="1">
      <c r="B17510" s="42" t="str">
        <f>IFERROR(__xludf.DUMMYFUNCTION("""COMPUTED_VALUE"""),"")</f>
        <v/>
      </c>
      <c r="C17510" s="42" t="str">
        <f>IFERROR(__xludf.DUMMYFUNCTION("""COMPUTED_VALUE"""),"")</f>
        <v/>
      </c>
      <c r="D17510" s="42"/>
      <c r="E17510" s="42"/>
      <c r="F17510" s="48" t="str">
        <f>IFERROR(__xludf.DUMMYFUNCTION("""COMPUTED_VALUE"""),"")</f>
        <v/>
      </c>
      <c r="G17510" s="42" t="str">
        <f>IFERROR(__xludf.DUMMYFUNCTION("""COMPUTED_VALUE"""),"")</f>
        <v/>
      </c>
      <c r="H17510" s="42">
        <f t="shared" si="1"/>
        <v>3345</v>
      </c>
    </row>
    <row r="17511" ht="22.5" customHeight="1">
      <c r="B17511" s="42" t="str">
        <f>IFERROR(__xludf.DUMMYFUNCTION("""COMPUTED_VALUE"""),"")</f>
        <v/>
      </c>
      <c r="C17511" s="42" t="str">
        <f>IFERROR(__xludf.DUMMYFUNCTION("""COMPUTED_VALUE"""),"")</f>
        <v/>
      </c>
      <c r="D17511" s="42"/>
      <c r="E17511" s="42"/>
      <c r="F17511" s="48" t="str">
        <f>IFERROR(__xludf.DUMMYFUNCTION("""COMPUTED_VALUE"""),"")</f>
        <v/>
      </c>
      <c r="G17511" s="42" t="str">
        <f>IFERROR(__xludf.DUMMYFUNCTION("""COMPUTED_VALUE"""),"")</f>
        <v/>
      </c>
      <c r="H17511" s="42">
        <f t="shared" si="1"/>
        <v>3345</v>
      </c>
    </row>
    <row r="17512" ht="22.5" customHeight="1">
      <c r="B17512" s="42" t="str">
        <f>IFERROR(__xludf.DUMMYFUNCTION("""COMPUTED_VALUE"""),"")</f>
        <v/>
      </c>
      <c r="C17512" s="42" t="str">
        <f>IFERROR(__xludf.DUMMYFUNCTION("""COMPUTED_VALUE"""),"")</f>
        <v/>
      </c>
      <c r="D17512" s="42"/>
      <c r="E17512" s="42"/>
      <c r="F17512" s="48" t="str">
        <f>IFERROR(__xludf.DUMMYFUNCTION("""COMPUTED_VALUE"""),"")</f>
        <v/>
      </c>
      <c r="G17512" s="42" t="str">
        <f>IFERROR(__xludf.DUMMYFUNCTION("""COMPUTED_VALUE"""),"")</f>
        <v/>
      </c>
      <c r="H17512" s="42">
        <f t="shared" si="1"/>
        <v>3345</v>
      </c>
    </row>
    <row r="17513" ht="22.5" customHeight="1">
      <c r="B17513" s="42" t="str">
        <f>IFERROR(__xludf.DUMMYFUNCTION("""COMPUTED_VALUE"""),"")</f>
        <v/>
      </c>
      <c r="C17513" s="42" t="str">
        <f>IFERROR(__xludf.DUMMYFUNCTION("""COMPUTED_VALUE"""),"")</f>
        <v/>
      </c>
      <c r="D17513" s="42"/>
      <c r="E17513" s="42"/>
      <c r="F17513" s="48" t="str">
        <f>IFERROR(__xludf.DUMMYFUNCTION("""COMPUTED_VALUE"""),"")</f>
        <v/>
      </c>
      <c r="G17513" s="42" t="str">
        <f>IFERROR(__xludf.DUMMYFUNCTION("""COMPUTED_VALUE"""),"")</f>
        <v/>
      </c>
      <c r="H17513" s="42">
        <f t="shared" si="1"/>
        <v>3345</v>
      </c>
    </row>
    <row r="17514" ht="22.5" customHeight="1">
      <c r="B17514" s="42" t="str">
        <f>IFERROR(__xludf.DUMMYFUNCTION("""COMPUTED_VALUE"""),"")</f>
        <v/>
      </c>
      <c r="C17514" s="42" t="str">
        <f>IFERROR(__xludf.DUMMYFUNCTION("""COMPUTED_VALUE"""),"")</f>
        <v/>
      </c>
      <c r="D17514" s="42"/>
      <c r="E17514" s="42"/>
      <c r="F17514" s="48" t="str">
        <f>IFERROR(__xludf.DUMMYFUNCTION("""COMPUTED_VALUE"""),"")</f>
        <v/>
      </c>
      <c r="G17514" s="42" t="str">
        <f>IFERROR(__xludf.DUMMYFUNCTION("""COMPUTED_VALUE"""),"")</f>
        <v/>
      </c>
      <c r="H17514" s="42">
        <f t="shared" si="1"/>
        <v>3345</v>
      </c>
    </row>
    <row r="17515" ht="22.5" customHeight="1">
      <c r="B17515" s="42" t="str">
        <f>IFERROR(__xludf.DUMMYFUNCTION("""COMPUTED_VALUE"""),"")</f>
        <v/>
      </c>
      <c r="C17515" s="42" t="str">
        <f>IFERROR(__xludf.DUMMYFUNCTION("""COMPUTED_VALUE"""),"")</f>
        <v/>
      </c>
      <c r="D17515" s="42"/>
      <c r="E17515" s="42"/>
      <c r="F17515" s="48" t="str">
        <f>IFERROR(__xludf.DUMMYFUNCTION("""COMPUTED_VALUE"""),"")</f>
        <v/>
      </c>
      <c r="G17515" s="42" t="str">
        <f>IFERROR(__xludf.DUMMYFUNCTION("""COMPUTED_VALUE"""),"")</f>
        <v/>
      </c>
      <c r="H17515" s="42">
        <f t="shared" si="1"/>
        <v>3345</v>
      </c>
    </row>
    <row r="17516" ht="22.5" customHeight="1">
      <c r="B17516" s="42" t="str">
        <f>IFERROR(__xludf.DUMMYFUNCTION("""COMPUTED_VALUE"""),"")</f>
        <v/>
      </c>
      <c r="C17516" s="42" t="str">
        <f>IFERROR(__xludf.DUMMYFUNCTION("""COMPUTED_VALUE"""),"")</f>
        <v/>
      </c>
      <c r="D17516" s="42"/>
      <c r="E17516" s="42"/>
      <c r="F17516" s="48" t="str">
        <f>IFERROR(__xludf.DUMMYFUNCTION("""COMPUTED_VALUE"""),"")</f>
        <v/>
      </c>
      <c r="G17516" s="42" t="str">
        <f>IFERROR(__xludf.DUMMYFUNCTION("""COMPUTED_VALUE"""),"")</f>
        <v/>
      </c>
      <c r="H17516" s="42">
        <f t="shared" si="1"/>
        <v>3345</v>
      </c>
    </row>
    <row r="17517" ht="22.5" customHeight="1">
      <c r="B17517" s="42" t="str">
        <f>IFERROR(__xludf.DUMMYFUNCTION("""COMPUTED_VALUE"""),"")</f>
        <v/>
      </c>
      <c r="C17517" s="42" t="str">
        <f>IFERROR(__xludf.DUMMYFUNCTION("""COMPUTED_VALUE"""),"")</f>
        <v/>
      </c>
      <c r="D17517" s="42"/>
      <c r="E17517" s="42"/>
      <c r="F17517" s="48" t="str">
        <f>IFERROR(__xludf.DUMMYFUNCTION("""COMPUTED_VALUE"""),"")</f>
        <v/>
      </c>
      <c r="G17517" s="42" t="str">
        <f>IFERROR(__xludf.DUMMYFUNCTION("""COMPUTED_VALUE"""),"")</f>
        <v/>
      </c>
      <c r="H17517" s="42">
        <f t="shared" si="1"/>
        <v>3345</v>
      </c>
    </row>
    <row r="17518" ht="22.5" customHeight="1">
      <c r="B17518" s="42" t="str">
        <f>IFERROR(__xludf.DUMMYFUNCTION("""COMPUTED_VALUE"""),"")</f>
        <v/>
      </c>
      <c r="C17518" s="42" t="str">
        <f>IFERROR(__xludf.DUMMYFUNCTION("""COMPUTED_VALUE"""),"")</f>
        <v/>
      </c>
      <c r="D17518" s="42"/>
      <c r="E17518" s="42"/>
      <c r="F17518" s="48" t="str">
        <f>IFERROR(__xludf.DUMMYFUNCTION("""COMPUTED_VALUE"""),"")</f>
        <v/>
      </c>
      <c r="G17518" s="42" t="str">
        <f>IFERROR(__xludf.DUMMYFUNCTION("""COMPUTED_VALUE"""),"")</f>
        <v/>
      </c>
      <c r="H17518" s="42">
        <f t="shared" si="1"/>
        <v>3345</v>
      </c>
    </row>
    <row r="17519" ht="22.5" customHeight="1">
      <c r="B17519" s="42" t="str">
        <f>IFERROR(__xludf.DUMMYFUNCTION("""COMPUTED_VALUE"""),"")</f>
        <v/>
      </c>
      <c r="C17519" s="42" t="str">
        <f>IFERROR(__xludf.DUMMYFUNCTION("""COMPUTED_VALUE"""),"")</f>
        <v/>
      </c>
      <c r="D17519" s="42"/>
      <c r="E17519" s="42"/>
      <c r="F17519" s="48" t="str">
        <f>IFERROR(__xludf.DUMMYFUNCTION("""COMPUTED_VALUE"""),"")</f>
        <v/>
      </c>
      <c r="G17519" s="42" t="str">
        <f>IFERROR(__xludf.DUMMYFUNCTION("""COMPUTED_VALUE"""),"")</f>
        <v/>
      </c>
      <c r="H17519" s="42">
        <f t="shared" si="1"/>
        <v>3345</v>
      </c>
    </row>
    <row r="17520" ht="22.5" customHeight="1">
      <c r="B17520" s="42" t="str">
        <f>IFERROR(__xludf.DUMMYFUNCTION("""COMPUTED_VALUE"""),"")</f>
        <v/>
      </c>
      <c r="C17520" s="42" t="str">
        <f>IFERROR(__xludf.DUMMYFUNCTION("""COMPUTED_VALUE"""),"")</f>
        <v/>
      </c>
      <c r="D17520" s="42"/>
      <c r="E17520" s="42"/>
      <c r="F17520" s="48" t="str">
        <f>IFERROR(__xludf.DUMMYFUNCTION("""COMPUTED_VALUE"""),"")</f>
        <v/>
      </c>
      <c r="G17520" s="42" t="str">
        <f>IFERROR(__xludf.DUMMYFUNCTION("""COMPUTED_VALUE"""),"")</f>
        <v/>
      </c>
      <c r="H17520" s="42">
        <f t="shared" si="1"/>
        <v>3345</v>
      </c>
    </row>
    <row r="17521" ht="22.5" customHeight="1">
      <c r="B17521" s="42" t="str">
        <f>IFERROR(__xludf.DUMMYFUNCTION("""COMPUTED_VALUE"""),"")</f>
        <v/>
      </c>
      <c r="C17521" s="42" t="str">
        <f>IFERROR(__xludf.DUMMYFUNCTION("""COMPUTED_VALUE"""),"")</f>
        <v/>
      </c>
      <c r="D17521" s="42"/>
      <c r="E17521" s="42"/>
      <c r="F17521" s="48" t="str">
        <f>IFERROR(__xludf.DUMMYFUNCTION("""COMPUTED_VALUE"""),"")</f>
        <v/>
      </c>
      <c r="G17521" s="42" t="str">
        <f>IFERROR(__xludf.DUMMYFUNCTION("""COMPUTED_VALUE"""),"")</f>
        <v/>
      </c>
      <c r="H17521" s="42">
        <f t="shared" si="1"/>
        <v>3345</v>
      </c>
    </row>
    <row r="17522" ht="22.5" customHeight="1">
      <c r="B17522" s="42" t="str">
        <f>IFERROR(__xludf.DUMMYFUNCTION("""COMPUTED_VALUE"""),"")</f>
        <v/>
      </c>
      <c r="C17522" s="42" t="str">
        <f>IFERROR(__xludf.DUMMYFUNCTION("""COMPUTED_VALUE"""),"")</f>
        <v/>
      </c>
      <c r="D17522" s="42"/>
      <c r="E17522" s="42"/>
      <c r="F17522" s="48" t="str">
        <f>IFERROR(__xludf.DUMMYFUNCTION("""COMPUTED_VALUE"""),"")</f>
        <v/>
      </c>
      <c r="G17522" s="42" t="str">
        <f>IFERROR(__xludf.DUMMYFUNCTION("""COMPUTED_VALUE"""),"")</f>
        <v/>
      </c>
      <c r="H17522" s="42">
        <f t="shared" si="1"/>
        <v>3345</v>
      </c>
    </row>
    <row r="17523" ht="22.5" customHeight="1">
      <c r="B17523" s="42" t="str">
        <f>IFERROR(__xludf.DUMMYFUNCTION("""COMPUTED_VALUE"""),"")</f>
        <v/>
      </c>
      <c r="C17523" s="42" t="str">
        <f>IFERROR(__xludf.DUMMYFUNCTION("""COMPUTED_VALUE"""),"")</f>
        <v/>
      </c>
      <c r="D17523" s="42"/>
      <c r="E17523" s="42"/>
      <c r="F17523" s="48" t="str">
        <f>IFERROR(__xludf.DUMMYFUNCTION("""COMPUTED_VALUE"""),"")</f>
        <v/>
      </c>
      <c r="G17523" s="42" t="str">
        <f>IFERROR(__xludf.DUMMYFUNCTION("""COMPUTED_VALUE"""),"")</f>
        <v/>
      </c>
      <c r="H17523" s="42">
        <f t="shared" si="1"/>
        <v>3345</v>
      </c>
    </row>
    <row r="17524" ht="22.5" customHeight="1">
      <c r="B17524" s="42" t="str">
        <f>IFERROR(__xludf.DUMMYFUNCTION("""COMPUTED_VALUE"""),"")</f>
        <v/>
      </c>
      <c r="C17524" s="42" t="str">
        <f>IFERROR(__xludf.DUMMYFUNCTION("""COMPUTED_VALUE"""),"")</f>
        <v/>
      </c>
      <c r="D17524" s="42"/>
      <c r="E17524" s="42"/>
      <c r="F17524" s="48" t="str">
        <f>IFERROR(__xludf.DUMMYFUNCTION("""COMPUTED_VALUE"""),"")</f>
        <v/>
      </c>
      <c r="G17524" s="42" t="str">
        <f>IFERROR(__xludf.DUMMYFUNCTION("""COMPUTED_VALUE"""),"")</f>
        <v/>
      </c>
      <c r="H17524" s="42">
        <f t="shared" si="1"/>
        <v>3345</v>
      </c>
    </row>
    <row r="17525" ht="22.5" customHeight="1">
      <c r="B17525" s="42" t="str">
        <f>IFERROR(__xludf.DUMMYFUNCTION("""COMPUTED_VALUE"""),"")</f>
        <v/>
      </c>
      <c r="C17525" s="42" t="str">
        <f>IFERROR(__xludf.DUMMYFUNCTION("""COMPUTED_VALUE"""),"")</f>
        <v/>
      </c>
      <c r="D17525" s="42"/>
      <c r="E17525" s="42"/>
      <c r="F17525" s="48" t="str">
        <f>IFERROR(__xludf.DUMMYFUNCTION("""COMPUTED_VALUE"""),"")</f>
        <v/>
      </c>
      <c r="G17525" s="42" t="str">
        <f>IFERROR(__xludf.DUMMYFUNCTION("""COMPUTED_VALUE"""),"")</f>
        <v/>
      </c>
      <c r="H17525" s="42">
        <f t="shared" si="1"/>
        <v>3345</v>
      </c>
    </row>
    <row r="17526" ht="22.5" customHeight="1">
      <c r="B17526" s="42" t="str">
        <f>IFERROR(__xludf.DUMMYFUNCTION("""COMPUTED_VALUE"""),"")</f>
        <v/>
      </c>
      <c r="C17526" s="42" t="str">
        <f>IFERROR(__xludf.DUMMYFUNCTION("""COMPUTED_VALUE"""),"")</f>
        <v/>
      </c>
      <c r="D17526" s="42"/>
      <c r="E17526" s="42"/>
      <c r="F17526" s="48" t="str">
        <f>IFERROR(__xludf.DUMMYFUNCTION("""COMPUTED_VALUE"""),"")</f>
        <v/>
      </c>
      <c r="G17526" s="42" t="str">
        <f>IFERROR(__xludf.DUMMYFUNCTION("""COMPUTED_VALUE"""),"")</f>
        <v/>
      </c>
      <c r="H17526" s="42">
        <f t="shared" si="1"/>
        <v>3345</v>
      </c>
    </row>
    <row r="17527" ht="22.5" customHeight="1">
      <c r="B17527" s="42" t="str">
        <f>IFERROR(__xludf.DUMMYFUNCTION("""COMPUTED_VALUE"""),"")</f>
        <v/>
      </c>
      <c r="C17527" s="42" t="str">
        <f>IFERROR(__xludf.DUMMYFUNCTION("""COMPUTED_VALUE"""),"")</f>
        <v/>
      </c>
      <c r="D17527" s="42"/>
      <c r="E17527" s="42"/>
      <c r="F17527" s="48" t="str">
        <f>IFERROR(__xludf.DUMMYFUNCTION("""COMPUTED_VALUE"""),"")</f>
        <v/>
      </c>
      <c r="G17527" s="42" t="str">
        <f>IFERROR(__xludf.DUMMYFUNCTION("""COMPUTED_VALUE"""),"")</f>
        <v/>
      </c>
      <c r="H17527" s="42">
        <f t="shared" si="1"/>
        <v>3345</v>
      </c>
    </row>
    <row r="17528" ht="22.5" customHeight="1">
      <c r="B17528" s="42" t="str">
        <f>IFERROR(__xludf.DUMMYFUNCTION("""COMPUTED_VALUE"""),"")</f>
        <v/>
      </c>
      <c r="C17528" s="42" t="str">
        <f>IFERROR(__xludf.DUMMYFUNCTION("""COMPUTED_VALUE"""),"")</f>
        <v/>
      </c>
      <c r="D17528" s="42"/>
      <c r="E17528" s="42"/>
      <c r="F17528" s="48" t="str">
        <f>IFERROR(__xludf.DUMMYFUNCTION("""COMPUTED_VALUE"""),"")</f>
        <v/>
      </c>
      <c r="G17528" s="42" t="str">
        <f>IFERROR(__xludf.DUMMYFUNCTION("""COMPUTED_VALUE"""),"")</f>
        <v/>
      </c>
      <c r="H17528" s="42">
        <f t="shared" si="1"/>
        <v>3345</v>
      </c>
    </row>
    <row r="17529" ht="22.5" customHeight="1">
      <c r="B17529" s="42" t="str">
        <f>IFERROR(__xludf.DUMMYFUNCTION("""COMPUTED_VALUE"""),"")</f>
        <v/>
      </c>
      <c r="C17529" s="42" t="str">
        <f>IFERROR(__xludf.DUMMYFUNCTION("""COMPUTED_VALUE"""),"")</f>
        <v/>
      </c>
      <c r="D17529" s="42"/>
      <c r="E17529" s="42"/>
      <c r="F17529" s="48" t="str">
        <f>IFERROR(__xludf.DUMMYFUNCTION("""COMPUTED_VALUE"""),"")</f>
        <v/>
      </c>
      <c r="G17529" s="42" t="str">
        <f>IFERROR(__xludf.DUMMYFUNCTION("""COMPUTED_VALUE"""),"")</f>
        <v/>
      </c>
      <c r="H17529" s="42">
        <f t="shared" si="1"/>
        <v>3345</v>
      </c>
    </row>
    <row r="17530" ht="22.5" customHeight="1">
      <c r="B17530" s="42" t="str">
        <f>IFERROR(__xludf.DUMMYFUNCTION("""COMPUTED_VALUE"""),"")</f>
        <v/>
      </c>
      <c r="C17530" s="42" t="str">
        <f>IFERROR(__xludf.DUMMYFUNCTION("""COMPUTED_VALUE"""),"")</f>
        <v/>
      </c>
      <c r="D17530" s="42"/>
      <c r="E17530" s="42"/>
      <c r="F17530" s="48" t="str">
        <f>IFERROR(__xludf.DUMMYFUNCTION("""COMPUTED_VALUE"""),"")</f>
        <v/>
      </c>
      <c r="G17530" s="42" t="str">
        <f>IFERROR(__xludf.DUMMYFUNCTION("""COMPUTED_VALUE"""),"")</f>
        <v/>
      </c>
      <c r="H17530" s="42">
        <f t="shared" si="1"/>
        <v>3345</v>
      </c>
    </row>
    <row r="17531" ht="22.5" customHeight="1">
      <c r="B17531" s="42" t="str">
        <f>IFERROR(__xludf.DUMMYFUNCTION("""COMPUTED_VALUE"""),"")</f>
        <v/>
      </c>
      <c r="C17531" s="42" t="str">
        <f>IFERROR(__xludf.DUMMYFUNCTION("""COMPUTED_VALUE"""),"")</f>
        <v/>
      </c>
      <c r="D17531" s="42"/>
      <c r="E17531" s="42"/>
      <c r="F17531" s="48" t="str">
        <f>IFERROR(__xludf.DUMMYFUNCTION("""COMPUTED_VALUE"""),"")</f>
        <v/>
      </c>
      <c r="G17531" s="42" t="str">
        <f>IFERROR(__xludf.DUMMYFUNCTION("""COMPUTED_VALUE"""),"")</f>
        <v/>
      </c>
      <c r="H17531" s="42">
        <f t="shared" si="1"/>
        <v>3345</v>
      </c>
    </row>
    <row r="17532" ht="22.5" customHeight="1">
      <c r="B17532" s="42" t="str">
        <f>IFERROR(__xludf.DUMMYFUNCTION("""COMPUTED_VALUE"""),"")</f>
        <v/>
      </c>
      <c r="C17532" s="42" t="str">
        <f>IFERROR(__xludf.DUMMYFUNCTION("""COMPUTED_VALUE"""),"")</f>
        <v/>
      </c>
      <c r="D17532" s="42"/>
      <c r="E17532" s="42"/>
      <c r="F17532" s="48" t="str">
        <f>IFERROR(__xludf.DUMMYFUNCTION("""COMPUTED_VALUE"""),"")</f>
        <v/>
      </c>
      <c r="G17532" s="42" t="str">
        <f>IFERROR(__xludf.DUMMYFUNCTION("""COMPUTED_VALUE"""),"")</f>
        <v/>
      </c>
      <c r="H17532" s="42">
        <f t="shared" si="1"/>
        <v>3345</v>
      </c>
    </row>
    <row r="17533" ht="22.5" customHeight="1">
      <c r="B17533" s="42" t="str">
        <f>IFERROR(__xludf.DUMMYFUNCTION("""COMPUTED_VALUE"""),"")</f>
        <v/>
      </c>
      <c r="C17533" s="42" t="str">
        <f>IFERROR(__xludf.DUMMYFUNCTION("""COMPUTED_VALUE"""),"")</f>
        <v/>
      </c>
      <c r="D17533" s="42"/>
      <c r="E17533" s="42"/>
      <c r="F17533" s="48" t="str">
        <f>IFERROR(__xludf.DUMMYFUNCTION("""COMPUTED_VALUE"""),"")</f>
        <v/>
      </c>
      <c r="G17533" s="42" t="str">
        <f>IFERROR(__xludf.DUMMYFUNCTION("""COMPUTED_VALUE"""),"")</f>
        <v/>
      </c>
      <c r="H17533" s="42">
        <f t="shared" si="1"/>
        <v>3345</v>
      </c>
    </row>
    <row r="17534" ht="22.5" customHeight="1">
      <c r="B17534" s="42" t="str">
        <f>IFERROR(__xludf.DUMMYFUNCTION("""COMPUTED_VALUE"""),"")</f>
        <v/>
      </c>
      <c r="C17534" s="42" t="str">
        <f>IFERROR(__xludf.DUMMYFUNCTION("""COMPUTED_VALUE"""),"")</f>
        <v/>
      </c>
      <c r="D17534" s="42"/>
      <c r="E17534" s="42"/>
      <c r="F17534" s="48" t="str">
        <f>IFERROR(__xludf.DUMMYFUNCTION("""COMPUTED_VALUE"""),"")</f>
        <v/>
      </c>
      <c r="G17534" s="42" t="str">
        <f>IFERROR(__xludf.DUMMYFUNCTION("""COMPUTED_VALUE"""),"")</f>
        <v/>
      </c>
      <c r="H17534" s="42">
        <f t="shared" si="1"/>
        <v>3345</v>
      </c>
    </row>
    <row r="17535" ht="22.5" customHeight="1">
      <c r="B17535" s="42" t="str">
        <f>IFERROR(__xludf.DUMMYFUNCTION("""COMPUTED_VALUE"""),"")</f>
        <v/>
      </c>
      <c r="C17535" s="42" t="str">
        <f>IFERROR(__xludf.DUMMYFUNCTION("""COMPUTED_VALUE"""),"")</f>
        <v/>
      </c>
      <c r="D17535" s="42"/>
      <c r="E17535" s="42"/>
      <c r="F17535" s="48" t="str">
        <f>IFERROR(__xludf.DUMMYFUNCTION("""COMPUTED_VALUE"""),"")</f>
        <v/>
      </c>
      <c r="G17535" s="42" t="str">
        <f>IFERROR(__xludf.DUMMYFUNCTION("""COMPUTED_VALUE"""),"")</f>
        <v/>
      </c>
      <c r="H17535" s="42">
        <f t="shared" si="1"/>
        <v>3345</v>
      </c>
    </row>
    <row r="17536" ht="22.5" customHeight="1">
      <c r="B17536" s="42" t="str">
        <f>IFERROR(__xludf.DUMMYFUNCTION("""COMPUTED_VALUE"""),"")</f>
        <v/>
      </c>
      <c r="C17536" s="42" t="str">
        <f>IFERROR(__xludf.DUMMYFUNCTION("""COMPUTED_VALUE"""),"")</f>
        <v/>
      </c>
      <c r="D17536" s="42"/>
      <c r="E17536" s="42"/>
      <c r="F17536" s="48" t="str">
        <f>IFERROR(__xludf.DUMMYFUNCTION("""COMPUTED_VALUE"""),"")</f>
        <v/>
      </c>
      <c r="G17536" s="42" t="str">
        <f>IFERROR(__xludf.DUMMYFUNCTION("""COMPUTED_VALUE"""),"")</f>
        <v/>
      </c>
      <c r="H17536" s="42">
        <f t="shared" si="1"/>
        <v>3345</v>
      </c>
    </row>
    <row r="17537" ht="22.5" customHeight="1">
      <c r="B17537" s="42" t="str">
        <f>IFERROR(__xludf.DUMMYFUNCTION("""COMPUTED_VALUE"""),"")</f>
        <v/>
      </c>
      <c r="C17537" s="42" t="str">
        <f>IFERROR(__xludf.DUMMYFUNCTION("""COMPUTED_VALUE"""),"")</f>
        <v/>
      </c>
      <c r="D17537" s="42"/>
      <c r="E17537" s="42"/>
      <c r="F17537" s="48" t="str">
        <f>IFERROR(__xludf.DUMMYFUNCTION("""COMPUTED_VALUE"""),"")</f>
        <v/>
      </c>
      <c r="G17537" s="42" t="str">
        <f>IFERROR(__xludf.DUMMYFUNCTION("""COMPUTED_VALUE"""),"")</f>
        <v/>
      </c>
      <c r="H17537" s="42">
        <f t="shared" si="1"/>
        <v>3345</v>
      </c>
    </row>
    <row r="17538" ht="22.5" customHeight="1">
      <c r="B17538" s="42" t="str">
        <f>IFERROR(__xludf.DUMMYFUNCTION("""COMPUTED_VALUE"""),"")</f>
        <v/>
      </c>
      <c r="C17538" s="42" t="str">
        <f>IFERROR(__xludf.DUMMYFUNCTION("""COMPUTED_VALUE"""),"")</f>
        <v/>
      </c>
      <c r="D17538" s="42"/>
      <c r="E17538" s="42"/>
      <c r="F17538" s="48" t="str">
        <f>IFERROR(__xludf.DUMMYFUNCTION("""COMPUTED_VALUE"""),"")</f>
        <v/>
      </c>
      <c r="G17538" s="42" t="str">
        <f>IFERROR(__xludf.DUMMYFUNCTION("""COMPUTED_VALUE"""),"")</f>
        <v/>
      </c>
      <c r="H17538" s="42">
        <f t="shared" si="1"/>
        <v>3345</v>
      </c>
    </row>
    <row r="17539" ht="22.5" customHeight="1">
      <c r="B17539" s="42" t="str">
        <f>IFERROR(__xludf.DUMMYFUNCTION("""COMPUTED_VALUE"""),"")</f>
        <v/>
      </c>
      <c r="C17539" s="42" t="str">
        <f>IFERROR(__xludf.DUMMYFUNCTION("""COMPUTED_VALUE"""),"")</f>
        <v/>
      </c>
      <c r="D17539" s="42"/>
      <c r="E17539" s="42"/>
      <c r="F17539" s="48" t="str">
        <f>IFERROR(__xludf.DUMMYFUNCTION("""COMPUTED_VALUE"""),"")</f>
        <v/>
      </c>
      <c r="G17539" s="42" t="str">
        <f>IFERROR(__xludf.DUMMYFUNCTION("""COMPUTED_VALUE"""),"")</f>
        <v/>
      </c>
      <c r="H17539" s="42">
        <f t="shared" si="1"/>
        <v>3345</v>
      </c>
    </row>
    <row r="17540" ht="22.5" customHeight="1">
      <c r="B17540" s="42" t="str">
        <f>IFERROR(__xludf.DUMMYFUNCTION("""COMPUTED_VALUE"""),"")</f>
        <v/>
      </c>
      <c r="C17540" s="42" t="str">
        <f>IFERROR(__xludf.DUMMYFUNCTION("""COMPUTED_VALUE"""),"")</f>
        <v/>
      </c>
      <c r="D17540" s="42"/>
      <c r="E17540" s="42"/>
      <c r="F17540" s="48" t="str">
        <f>IFERROR(__xludf.DUMMYFUNCTION("""COMPUTED_VALUE"""),"")</f>
        <v/>
      </c>
      <c r="G17540" s="42" t="str">
        <f>IFERROR(__xludf.DUMMYFUNCTION("""COMPUTED_VALUE"""),"")</f>
        <v/>
      </c>
      <c r="H17540" s="42">
        <f t="shared" si="1"/>
        <v>3345</v>
      </c>
    </row>
    <row r="17541" ht="22.5" customHeight="1">
      <c r="B17541" s="42" t="str">
        <f>IFERROR(__xludf.DUMMYFUNCTION("""COMPUTED_VALUE"""),"")</f>
        <v/>
      </c>
      <c r="C17541" s="42" t="str">
        <f>IFERROR(__xludf.DUMMYFUNCTION("""COMPUTED_VALUE"""),"")</f>
        <v/>
      </c>
      <c r="D17541" s="42"/>
      <c r="E17541" s="42"/>
      <c r="F17541" s="48" t="str">
        <f>IFERROR(__xludf.DUMMYFUNCTION("""COMPUTED_VALUE"""),"")</f>
        <v/>
      </c>
      <c r="G17541" s="42" t="str">
        <f>IFERROR(__xludf.DUMMYFUNCTION("""COMPUTED_VALUE"""),"")</f>
        <v/>
      </c>
      <c r="H17541" s="42">
        <f t="shared" si="1"/>
        <v>3345</v>
      </c>
    </row>
    <row r="17542" ht="22.5" customHeight="1">
      <c r="B17542" s="42" t="str">
        <f>IFERROR(__xludf.DUMMYFUNCTION("""COMPUTED_VALUE"""),"")</f>
        <v/>
      </c>
      <c r="C17542" s="42" t="str">
        <f>IFERROR(__xludf.DUMMYFUNCTION("""COMPUTED_VALUE"""),"")</f>
        <v/>
      </c>
      <c r="D17542" s="42"/>
      <c r="E17542" s="42"/>
      <c r="F17542" s="48" t="str">
        <f>IFERROR(__xludf.DUMMYFUNCTION("""COMPUTED_VALUE"""),"")</f>
        <v/>
      </c>
      <c r="G17542" s="42" t="str">
        <f>IFERROR(__xludf.DUMMYFUNCTION("""COMPUTED_VALUE"""),"")</f>
        <v/>
      </c>
      <c r="H17542" s="42">
        <f t="shared" si="1"/>
        <v>3345</v>
      </c>
    </row>
    <row r="17543" ht="22.5" customHeight="1">
      <c r="B17543" s="42" t="str">
        <f>IFERROR(__xludf.DUMMYFUNCTION("""COMPUTED_VALUE"""),"")</f>
        <v/>
      </c>
      <c r="C17543" s="42" t="str">
        <f>IFERROR(__xludf.DUMMYFUNCTION("""COMPUTED_VALUE"""),"")</f>
        <v/>
      </c>
      <c r="D17543" s="42"/>
      <c r="E17543" s="42"/>
      <c r="F17543" s="48" t="str">
        <f>IFERROR(__xludf.DUMMYFUNCTION("""COMPUTED_VALUE"""),"")</f>
        <v/>
      </c>
      <c r="G17543" s="42" t="str">
        <f>IFERROR(__xludf.DUMMYFUNCTION("""COMPUTED_VALUE"""),"")</f>
        <v/>
      </c>
      <c r="H17543" s="42">
        <f t="shared" si="1"/>
        <v>3345</v>
      </c>
    </row>
    <row r="17544" ht="22.5" customHeight="1">
      <c r="B17544" s="42" t="str">
        <f>IFERROR(__xludf.DUMMYFUNCTION("""COMPUTED_VALUE"""),"")</f>
        <v/>
      </c>
      <c r="C17544" s="42" t="str">
        <f>IFERROR(__xludf.DUMMYFUNCTION("""COMPUTED_VALUE"""),"")</f>
        <v/>
      </c>
      <c r="D17544" s="42"/>
      <c r="E17544" s="42"/>
      <c r="F17544" s="48" t="str">
        <f>IFERROR(__xludf.DUMMYFUNCTION("""COMPUTED_VALUE"""),"")</f>
        <v/>
      </c>
      <c r="G17544" s="42" t="str">
        <f>IFERROR(__xludf.DUMMYFUNCTION("""COMPUTED_VALUE"""),"")</f>
        <v/>
      </c>
      <c r="H17544" s="42">
        <f t="shared" si="1"/>
        <v>3345</v>
      </c>
    </row>
    <row r="17545" ht="22.5" customHeight="1">
      <c r="B17545" s="42" t="str">
        <f>IFERROR(__xludf.DUMMYFUNCTION("""COMPUTED_VALUE"""),"")</f>
        <v/>
      </c>
      <c r="C17545" s="42" t="str">
        <f>IFERROR(__xludf.DUMMYFUNCTION("""COMPUTED_VALUE"""),"")</f>
        <v/>
      </c>
      <c r="D17545" s="42"/>
      <c r="E17545" s="42"/>
      <c r="F17545" s="48" t="str">
        <f>IFERROR(__xludf.DUMMYFUNCTION("""COMPUTED_VALUE"""),"")</f>
        <v/>
      </c>
      <c r="G17545" s="42" t="str">
        <f>IFERROR(__xludf.DUMMYFUNCTION("""COMPUTED_VALUE"""),"")</f>
        <v/>
      </c>
      <c r="H17545" s="42">
        <f t="shared" si="1"/>
        <v>3345</v>
      </c>
    </row>
    <row r="17546" ht="22.5" customHeight="1">
      <c r="B17546" s="42" t="str">
        <f>IFERROR(__xludf.DUMMYFUNCTION("""COMPUTED_VALUE"""),"")</f>
        <v/>
      </c>
      <c r="C17546" s="42" t="str">
        <f>IFERROR(__xludf.DUMMYFUNCTION("""COMPUTED_VALUE"""),"")</f>
        <v/>
      </c>
      <c r="D17546" s="42"/>
      <c r="E17546" s="42"/>
      <c r="F17546" s="48" t="str">
        <f>IFERROR(__xludf.DUMMYFUNCTION("""COMPUTED_VALUE"""),"")</f>
        <v/>
      </c>
      <c r="G17546" s="42" t="str">
        <f>IFERROR(__xludf.DUMMYFUNCTION("""COMPUTED_VALUE"""),"")</f>
        <v/>
      </c>
      <c r="H17546" s="42">
        <f t="shared" si="1"/>
        <v>3345</v>
      </c>
    </row>
    <row r="17547" ht="22.5" customHeight="1">
      <c r="B17547" s="42" t="str">
        <f>IFERROR(__xludf.DUMMYFUNCTION("""COMPUTED_VALUE"""),"")</f>
        <v/>
      </c>
      <c r="C17547" s="42" t="str">
        <f>IFERROR(__xludf.DUMMYFUNCTION("""COMPUTED_VALUE"""),"")</f>
        <v/>
      </c>
      <c r="D17547" s="42"/>
      <c r="E17547" s="42"/>
      <c r="F17547" s="48" t="str">
        <f>IFERROR(__xludf.DUMMYFUNCTION("""COMPUTED_VALUE"""),"")</f>
        <v/>
      </c>
      <c r="G17547" s="42" t="str">
        <f>IFERROR(__xludf.DUMMYFUNCTION("""COMPUTED_VALUE"""),"")</f>
        <v/>
      </c>
      <c r="H17547" s="42">
        <f t="shared" si="1"/>
        <v>3345</v>
      </c>
    </row>
    <row r="17548" ht="22.5" customHeight="1">
      <c r="B17548" s="42" t="str">
        <f>IFERROR(__xludf.DUMMYFUNCTION("""COMPUTED_VALUE"""),"")</f>
        <v/>
      </c>
      <c r="C17548" s="42" t="str">
        <f>IFERROR(__xludf.DUMMYFUNCTION("""COMPUTED_VALUE"""),"")</f>
        <v/>
      </c>
      <c r="D17548" s="42"/>
      <c r="E17548" s="42"/>
      <c r="F17548" s="48" t="str">
        <f>IFERROR(__xludf.DUMMYFUNCTION("""COMPUTED_VALUE"""),"")</f>
        <v/>
      </c>
      <c r="G17548" s="42" t="str">
        <f>IFERROR(__xludf.DUMMYFUNCTION("""COMPUTED_VALUE"""),"")</f>
        <v/>
      </c>
      <c r="H17548" s="42">
        <f t="shared" si="1"/>
        <v>3345</v>
      </c>
    </row>
    <row r="17549" ht="22.5" customHeight="1">
      <c r="B17549" s="42" t="str">
        <f>IFERROR(__xludf.DUMMYFUNCTION("""COMPUTED_VALUE"""),"")</f>
        <v/>
      </c>
      <c r="C17549" s="42" t="str">
        <f>IFERROR(__xludf.DUMMYFUNCTION("""COMPUTED_VALUE"""),"")</f>
        <v/>
      </c>
      <c r="D17549" s="42"/>
      <c r="E17549" s="42"/>
      <c r="F17549" s="48" t="str">
        <f>IFERROR(__xludf.DUMMYFUNCTION("""COMPUTED_VALUE"""),"")</f>
        <v/>
      </c>
      <c r="G17549" s="42" t="str">
        <f>IFERROR(__xludf.DUMMYFUNCTION("""COMPUTED_VALUE"""),"")</f>
        <v/>
      </c>
      <c r="H17549" s="42">
        <f t="shared" si="1"/>
        <v>3345</v>
      </c>
    </row>
    <row r="17550" ht="22.5" customHeight="1">
      <c r="B17550" s="42" t="str">
        <f>IFERROR(__xludf.DUMMYFUNCTION("""COMPUTED_VALUE"""),"")</f>
        <v/>
      </c>
      <c r="C17550" s="42" t="str">
        <f>IFERROR(__xludf.DUMMYFUNCTION("""COMPUTED_VALUE"""),"")</f>
        <v/>
      </c>
      <c r="D17550" s="42"/>
      <c r="E17550" s="42"/>
      <c r="F17550" s="48" t="str">
        <f>IFERROR(__xludf.DUMMYFUNCTION("""COMPUTED_VALUE"""),"")</f>
        <v/>
      </c>
      <c r="G17550" s="42" t="str">
        <f>IFERROR(__xludf.DUMMYFUNCTION("""COMPUTED_VALUE"""),"")</f>
        <v/>
      </c>
      <c r="H17550" s="42">
        <f t="shared" si="1"/>
        <v>3345</v>
      </c>
    </row>
    <row r="17551" ht="22.5" customHeight="1">
      <c r="B17551" s="42" t="str">
        <f>IFERROR(__xludf.DUMMYFUNCTION("""COMPUTED_VALUE"""),"")</f>
        <v/>
      </c>
      <c r="C17551" s="42" t="str">
        <f>IFERROR(__xludf.DUMMYFUNCTION("""COMPUTED_VALUE"""),"")</f>
        <v/>
      </c>
      <c r="D17551" s="42"/>
      <c r="E17551" s="42"/>
      <c r="F17551" s="48" t="str">
        <f>IFERROR(__xludf.DUMMYFUNCTION("""COMPUTED_VALUE"""),"")</f>
        <v/>
      </c>
      <c r="G17551" s="42" t="str">
        <f>IFERROR(__xludf.DUMMYFUNCTION("""COMPUTED_VALUE"""),"")</f>
        <v/>
      </c>
      <c r="H17551" s="42">
        <f t="shared" si="1"/>
        <v>3345</v>
      </c>
    </row>
    <row r="17552" ht="22.5" customHeight="1">
      <c r="B17552" s="42" t="str">
        <f>IFERROR(__xludf.DUMMYFUNCTION("""COMPUTED_VALUE"""),"")</f>
        <v/>
      </c>
      <c r="C17552" s="42" t="str">
        <f>IFERROR(__xludf.DUMMYFUNCTION("""COMPUTED_VALUE"""),"")</f>
        <v/>
      </c>
      <c r="D17552" s="42"/>
      <c r="E17552" s="42"/>
      <c r="F17552" s="48" t="str">
        <f>IFERROR(__xludf.DUMMYFUNCTION("""COMPUTED_VALUE"""),"")</f>
        <v/>
      </c>
      <c r="G17552" s="42" t="str">
        <f>IFERROR(__xludf.DUMMYFUNCTION("""COMPUTED_VALUE"""),"")</f>
        <v/>
      </c>
      <c r="H17552" s="42">
        <f t="shared" si="1"/>
        <v>3345</v>
      </c>
    </row>
    <row r="17553" ht="22.5" customHeight="1">
      <c r="B17553" s="42" t="str">
        <f>IFERROR(__xludf.DUMMYFUNCTION("""COMPUTED_VALUE"""),"")</f>
        <v/>
      </c>
      <c r="C17553" s="42" t="str">
        <f>IFERROR(__xludf.DUMMYFUNCTION("""COMPUTED_VALUE"""),"")</f>
        <v/>
      </c>
      <c r="D17553" s="42"/>
      <c r="E17553" s="42"/>
      <c r="F17553" s="48" t="str">
        <f>IFERROR(__xludf.DUMMYFUNCTION("""COMPUTED_VALUE"""),"")</f>
        <v/>
      </c>
      <c r="G17553" s="42" t="str">
        <f>IFERROR(__xludf.DUMMYFUNCTION("""COMPUTED_VALUE"""),"")</f>
        <v/>
      </c>
      <c r="H17553" s="42">
        <f t="shared" si="1"/>
        <v>3345</v>
      </c>
    </row>
    <row r="17554" ht="22.5" customHeight="1">
      <c r="B17554" s="42" t="str">
        <f>IFERROR(__xludf.DUMMYFUNCTION("""COMPUTED_VALUE"""),"")</f>
        <v/>
      </c>
      <c r="C17554" s="42" t="str">
        <f>IFERROR(__xludf.DUMMYFUNCTION("""COMPUTED_VALUE"""),"")</f>
        <v/>
      </c>
      <c r="D17554" s="42"/>
      <c r="E17554" s="42"/>
      <c r="F17554" s="48" t="str">
        <f>IFERROR(__xludf.DUMMYFUNCTION("""COMPUTED_VALUE"""),"")</f>
        <v/>
      </c>
      <c r="G17554" s="42" t="str">
        <f>IFERROR(__xludf.DUMMYFUNCTION("""COMPUTED_VALUE"""),"")</f>
        <v/>
      </c>
      <c r="H17554" s="42">
        <f t="shared" si="1"/>
        <v>3345</v>
      </c>
    </row>
    <row r="17555" ht="22.5" customHeight="1">
      <c r="B17555" s="42" t="str">
        <f>IFERROR(__xludf.DUMMYFUNCTION("""COMPUTED_VALUE"""),"")</f>
        <v/>
      </c>
      <c r="C17555" s="42" t="str">
        <f>IFERROR(__xludf.DUMMYFUNCTION("""COMPUTED_VALUE"""),"")</f>
        <v/>
      </c>
      <c r="D17555" s="42"/>
      <c r="E17555" s="42"/>
      <c r="F17555" s="48" t="str">
        <f>IFERROR(__xludf.DUMMYFUNCTION("""COMPUTED_VALUE"""),"")</f>
        <v/>
      </c>
      <c r="G17555" s="42" t="str">
        <f>IFERROR(__xludf.DUMMYFUNCTION("""COMPUTED_VALUE"""),"")</f>
        <v/>
      </c>
      <c r="H17555" s="42">
        <f t="shared" si="1"/>
        <v>3345</v>
      </c>
    </row>
    <row r="17556" ht="22.5" customHeight="1">
      <c r="B17556" s="42" t="str">
        <f>IFERROR(__xludf.DUMMYFUNCTION("""COMPUTED_VALUE"""),"")</f>
        <v/>
      </c>
      <c r="C17556" s="42" t="str">
        <f>IFERROR(__xludf.DUMMYFUNCTION("""COMPUTED_VALUE"""),"")</f>
        <v/>
      </c>
      <c r="D17556" s="42"/>
      <c r="E17556" s="42"/>
      <c r="F17556" s="48" t="str">
        <f>IFERROR(__xludf.DUMMYFUNCTION("""COMPUTED_VALUE"""),"")</f>
        <v/>
      </c>
      <c r="G17556" s="42" t="str">
        <f>IFERROR(__xludf.DUMMYFUNCTION("""COMPUTED_VALUE"""),"")</f>
        <v/>
      </c>
      <c r="H17556" s="42">
        <f t="shared" si="1"/>
        <v>3345</v>
      </c>
    </row>
    <row r="17557" ht="22.5" customHeight="1">
      <c r="B17557" s="42" t="str">
        <f>IFERROR(__xludf.DUMMYFUNCTION("""COMPUTED_VALUE"""),"")</f>
        <v/>
      </c>
      <c r="C17557" s="42" t="str">
        <f>IFERROR(__xludf.DUMMYFUNCTION("""COMPUTED_VALUE"""),"")</f>
        <v/>
      </c>
      <c r="D17557" s="42"/>
      <c r="E17557" s="42"/>
      <c r="F17557" s="48" t="str">
        <f>IFERROR(__xludf.DUMMYFUNCTION("""COMPUTED_VALUE"""),"")</f>
        <v/>
      </c>
      <c r="G17557" s="42" t="str">
        <f>IFERROR(__xludf.DUMMYFUNCTION("""COMPUTED_VALUE"""),"")</f>
        <v/>
      </c>
      <c r="H17557" s="42">
        <f t="shared" si="1"/>
        <v>3345</v>
      </c>
    </row>
    <row r="17558" ht="22.5" customHeight="1">
      <c r="B17558" s="42" t="str">
        <f>IFERROR(__xludf.DUMMYFUNCTION("""COMPUTED_VALUE"""),"")</f>
        <v/>
      </c>
      <c r="C17558" s="42" t="str">
        <f>IFERROR(__xludf.DUMMYFUNCTION("""COMPUTED_VALUE"""),"")</f>
        <v/>
      </c>
      <c r="D17558" s="42"/>
      <c r="E17558" s="42"/>
      <c r="F17558" s="48" t="str">
        <f>IFERROR(__xludf.DUMMYFUNCTION("""COMPUTED_VALUE"""),"")</f>
        <v/>
      </c>
      <c r="G17558" s="42" t="str">
        <f>IFERROR(__xludf.DUMMYFUNCTION("""COMPUTED_VALUE"""),"")</f>
        <v/>
      </c>
      <c r="H17558" s="42">
        <f t="shared" si="1"/>
        <v>3345</v>
      </c>
    </row>
    <row r="17559" ht="22.5" customHeight="1">
      <c r="B17559" s="42" t="str">
        <f>IFERROR(__xludf.DUMMYFUNCTION("""COMPUTED_VALUE"""),"")</f>
        <v/>
      </c>
      <c r="C17559" s="42" t="str">
        <f>IFERROR(__xludf.DUMMYFUNCTION("""COMPUTED_VALUE"""),"")</f>
        <v/>
      </c>
      <c r="D17559" s="42"/>
      <c r="E17559" s="42"/>
      <c r="F17559" s="48" t="str">
        <f>IFERROR(__xludf.DUMMYFUNCTION("""COMPUTED_VALUE"""),"")</f>
        <v/>
      </c>
      <c r="G17559" s="42" t="str">
        <f>IFERROR(__xludf.DUMMYFUNCTION("""COMPUTED_VALUE"""),"")</f>
        <v/>
      </c>
      <c r="H17559" s="42">
        <f t="shared" si="1"/>
        <v>3345</v>
      </c>
    </row>
    <row r="17560" ht="22.5" customHeight="1">
      <c r="B17560" s="42" t="str">
        <f>IFERROR(__xludf.DUMMYFUNCTION("""COMPUTED_VALUE"""),"")</f>
        <v/>
      </c>
      <c r="C17560" s="42" t="str">
        <f>IFERROR(__xludf.DUMMYFUNCTION("""COMPUTED_VALUE"""),"")</f>
        <v/>
      </c>
      <c r="D17560" s="42"/>
      <c r="E17560" s="42"/>
      <c r="F17560" s="48" t="str">
        <f>IFERROR(__xludf.DUMMYFUNCTION("""COMPUTED_VALUE"""),"")</f>
        <v/>
      </c>
      <c r="G17560" s="42" t="str">
        <f>IFERROR(__xludf.DUMMYFUNCTION("""COMPUTED_VALUE"""),"")</f>
        <v/>
      </c>
      <c r="H17560" s="42">
        <f t="shared" si="1"/>
        <v>3345</v>
      </c>
    </row>
    <row r="17561" ht="22.5" customHeight="1">
      <c r="B17561" s="42" t="str">
        <f>IFERROR(__xludf.DUMMYFUNCTION("""COMPUTED_VALUE"""),"")</f>
        <v/>
      </c>
      <c r="C17561" s="42" t="str">
        <f>IFERROR(__xludf.DUMMYFUNCTION("""COMPUTED_VALUE"""),"")</f>
        <v/>
      </c>
      <c r="D17561" s="42"/>
      <c r="E17561" s="42"/>
      <c r="F17561" s="48" t="str">
        <f>IFERROR(__xludf.DUMMYFUNCTION("""COMPUTED_VALUE"""),"")</f>
        <v/>
      </c>
      <c r="G17561" s="42" t="str">
        <f>IFERROR(__xludf.DUMMYFUNCTION("""COMPUTED_VALUE"""),"")</f>
        <v/>
      </c>
      <c r="H17561" s="42">
        <f t="shared" si="1"/>
        <v>3345</v>
      </c>
    </row>
    <row r="17562" ht="22.5" customHeight="1">
      <c r="B17562" s="42" t="str">
        <f>IFERROR(__xludf.DUMMYFUNCTION("""COMPUTED_VALUE"""),"")</f>
        <v/>
      </c>
      <c r="C17562" s="42" t="str">
        <f>IFERROR(__xludf.DUMMYFUNCTION("""COMPUTED_VALUE"""),"")</f>
        <v/>
      </c>
      <c r="D17562" s="42"/>
      <c r="E17562" s="42"/>
      <c r="F17562" s="48" t="str">
        <f>IFERROR(__xludf.DUMMYFUNCTION("""COMPUTED_VALUE"""),"")</f>
        <v/>
      </c>
      <c r="G17562" s="42" t="str">
        <f>IFERROR(__xludf.DUMMYFUNCTION("""COMPUTED_VALUE"""),"")</f>
        <v/>
      </c>
      <c r="H17562" s="42">
        <f t="shared" si="1"/>
        <v>3345</v>
      </c>
    </row>
    <row r="17563" ht="22.5" customHeight="1">
      <c r="B17563" s="42" t="str">
        <f>IFERROR(__xludf.DUMMYFUNCTION("""COMPUTED_VALUE"""),"")</f>
        <v/>
      </c>
      <c r="C17563" s="42" t="str">
        <f>IFERROR(__xludf.DUMMYFUNCTION("""COMPUTED_VALUE"""),"")</f>
        <v/>
      </c>
      <c r="D17563" s="42"/>
      <c r="E17563" s="42"/>
      <c r="F17563" s="48" t="str">
        <f>IFERROR(__xludf.DUMMYFUNCTION("""COMPUTED_VALUE"""),"")</f>
        <v/>
      </c>
      <c r="G17563" s="42" t="str">
        <f>IFERROR(__xludf.DUMMYFUNCTION("""COMPUTED_VALUE"""),"")</f>
        <v/>
      </c>
      <c r="H17563" s="42">
        <f t="shared" si="1"/>
        <v>3345</v>
      </c>
    </row>
    <row r="17564" ht="22.5" customHeight="1">
      <c r="B17564" s="42" t="str">
        <f>IFERROR(__xludf.DUMMYFUNCTION("""COMPUTED_VALUE"""),"")</f>
        <v/>
      </c>
      <c r="C17564" s="42" t="str">
        <f>IFERROR(__xludf.DUMMYFUNCTION("""COMPUTED_VALUE"""),"")</f>
        <v/>
      </c>
      <c r="D17564" s="42"/>
      <c r="E17564" s="42"/>
      <c r="F17564" s="48" t="str">
        <f>IFERROR(__xludf.DUMMYFUNCTION("""COMPUTED_VALUE"""),"")</f>
        <v/>
      </c>
      <c r="G17564" s="42" t="str">
        <f>IFERROR(__xludf.DUMMYFUNCTION("""COMPUTED_VALUE"""),"")</f>
        <v/>
      </c>
      <c r="H17564" s="42">
        <f t="shared" si="1"/>
        <v>3345</v>
      </c>
    </row>
    <row r="17565" ht="22.5" customHeight="1">
      <c r="B17565" s="42" t="str">
        <f>IFERROR(__xludf.DUMMYFUNCTION("""COMPUTED_VALUE"""),"")</f>
        <v/>
      </c>
      <c r="C17565" s="42" t="str">
        <f>IFERROR(__xludf.DUMMYFUNCTION("""COMPUTED_VALUE"""),"")</f>
        <v/>
      </c>
      <c r="D17565" s="42"/>
      <c r="E17565" s="42"/>
      <c r="F17565" s="48" t="str">
        <f>IFERROR(__xludf.DUMMYFUNCTION("""COMPUTED_VALUE"""),"")</f>
        <v/>
      </c>
      <c r="G17565" s="42" t="str">
        <f>IFERROR(__xludf.DUMMYFUNCTION("""COMPUTED_VALUE"""),"")</f>
        <v/>
      </c>
      <c r="H17565" s="42">
        <f t="shared" si="1"/>
        <v>3345</v>
      </c>
    </row>
    <row r="17566" ht="22.5" customHeight="1">
      <c r="B17566" s="42" t="str">
        <f>IFERROR(__xludf.DUMMYFUNCTION("""COMPUTED_VALUE"""),"")</f>
        <v/>
      </c>
      <c r="C17566" s="42" t="str">
        <f>IFERROR(__xludf.DUMMYFUNCTION("""COMPUTED_VALUE"""),"")</f>
        <v/>
      </c>
      <c r="D17566" s="42"/>
      <c r="E17566" s="42"/>
      <c r="F17566" s="48" t="str">
        <f>IFERROR(__xludf.DUMMYFUNCTION("""COMPUTED_VALUE"""),"")</f>
        <v/>
      </c>
      <c r="G17566" s="42" t="str">
        <f>IFERROR(__xludf.DUMMYFUNCTION("""COMPUTED_VALUE"""),"")</f>
        <v/>
      </c>
      <c r="H17566" s="42">
        <f t="shared" si="1"/>
        <v>3345</v>
      </c>
    </row>
    <row r="17567" ht="22.5" customHeight="1">
      <c r="B17567" s="42" t="str">
        <f>IFERROR(__xludf.DUMMYFUNCTION("""COMPUTED_VALUE"""),"")</f>
        <v/>
      </c>
      <c r="C17567" s="42" t="str">
        <f>IFERROR(__xludf.DUMMYFUNCTION("""COMPUTED_VALUE"""),"")</f>
        <v/>
      </c>
      <c r="D17567" s="42"/>
      <c r="E17567" s="42"/>
      <c r="F17567" s="48" t="str">
        <f>IFERROR(__xludf.DUMMYFUNCTION("""COMPUTED_VALUE"""),"")</f>
        <v/>
      </c>
      <c r="G17567" s="42" t="str">
        <f>IFERROR(__xludf.DUMMYFUNCTION("""COMPUTED_VALUE"""),"")</f>
        <v/>
      </c>
      <c r="H17567" s="42">
        <f t="shared" si="1"/>
        <v>3345</v>
      </c>
    </row>
    <row r="17568" ht="22.5" customHeight="1">
      <c r="B17568" s="42" t="str">
        <f>IFERROR(__xludf.DUMMYFUNCTION("""COMPUTED_VALUE"""),"")</f>
        <v/>
      </c>
      <c r="C17568" s="42" t="str">
        <f>IFERROR(__xludf.DUMMYFUNCTION("""COMPUTED_VALUE"""),"")</f>
        <v/>
      </c>
      <c r="D17568" s="42"/>
      <c r="E17568" s="42"/>
      <c r="F17568" s="48" t="str">
        <f>IFERROR(__xludf.DUMMYFUNCTION("""COMPUTED_VALUE"""),"")</f>
        <v/>
      </c>
      <c r="G17568" s="42" t="str">
        <f>IFERROR(__xludf.DUMMYFUNCTION("""COMPUTED_VALUE"""),"")</f>
        <v/>
      </c>
      <c r="H17568" s="42">
        <f t="shared" si="1"/>
        <v>3345</v>
      </c>
    </row>
    <row r="17569" ht="22.5" customHeight="1">
      <c r="B17569" s="42" t="str">
        <f>IFERROR(__xludf.DUMMYFUNCTION("""COMPUTED_VALUE"""),"")</f>
        <v/>
      </c>
      <c r="C17569" s="42" t="str">
        <f>IFERROR(__xludf.DUMMYFUNCTION("""COMPUTED_VALUE"""),"")</f>
        <v/>
      </c>
      <c r="D17569" s="42"/>
      <c r="E17569" s="42"/>
      <c r="F17569" s="48" t="str">
        <f>IFERROR(__xludf.DUMMYFUNCTION("""COMPUTED_VALUE"""),"")</f>
        <v/>
      </c>
      <c r="G17569" s="42" t="str">
        <f>IFERROR(__xludf.DUMMYFUNCTION("""COMPUTED_VALUE"""),"")</f>
        <v/>
      </c>
      <c r="H17569" s="42">
        <f t="shared" si="1"/>
        <v>3345</v>
      </c>
    </row>
    <row r="17570" ht="22.5" customHeight="1">
      <c r="B17570" s="42" t="str">
        <f>IFERROR(__xludf.DUMMYFUNCTION("""COMPUTED_VALUE"""),"")</f>
        <v/>
      </c>
      <c r="C17570" s="42" t="str">
        <f>IFERROR(__xludf.DUMMYFUNCTION("""COMPUTED_VALUE"""),"")</f>
        <v/>
      </c>
      <c r="D17570" s="42"/>
      <c r="E17570" s="42"/>
      <c r="F17570" s="48" t="str">
        <f>IFERROR(__xludf.DUMMYFUNCTION("""COMPUTED_VALUE"""),"")</f>
        <v/>
      </c>
      <c r="G17570" s="42" t="str">
        <f>IFERROR(__xludf.DUMMYFUNCTION("""COMPUTED_VALUE"""),"")</f>
        <v/>
      </c>
      <c r="H17570" s="42">
        <f t="shared" si="1"/>
        <v>3345</v>
      </c>
    </row>
    <row r="17571" ht="22.5" customHeight="1">
      <c r="B17571" s="42" t="str">
        <f>IFERROR(__xludf.DUMMYFUNCTION("""COMPUTED_VALUE"""),"")</f>
        <v/>
      </c>
      <c r="C17571" s="42" t="str">
        <f>IFERROR(__xludf.DUMMYFUNCTION("""COMPUTED_VALUE"""),"")</f>
        <v/>
      </c>
      <c r="D17571" s="42"/>
      <c r="E17571" s="42"/>
      <c r="F17571" s="48" t="str">
        <f>IFERROR(__xludf.DUMMYFUNCTION("""COMPUTED_VALUE"""),"")</f>
        <v/>
      </c>
      <c r="G17571" s="42" t="str">
        <f>IFERROR(__xludf.DUMMYFUNCTION("""COMPUTED_VALUE"""),"")</f>
        <v/>
      </c>
      <c r="H17571" s="42">
        <f t="shared" si="1"/>
        <v>3345</v>
      </c>
    </row>
    <row r="17572" ht="22.5" customHeight="1">
      <c r="B17572" s="42" t="str">
        <f>IFERROR(__xludf.DUMMYFUNCTION("""COMPUTED_VALUE"""),"")</f>
        <v/>
      </c>
      <c r="C17572" s="42" t="str">
        <f>IFERROR(__xludf.DUMMYFUNCTION("""COMPUTED_VALUE"""),"")</f>
        <v/>
      </c>
      <c r="D17572" s="42"/>
      <c r="E17572" s="42"/>
      <c r="F17572" s="48" t="str">
        <f>IFERROR(__xludf.DUMMYFUNCTION("""COMPUTED_VALUE"""),"")</f>
        <v/>
      </c>
      <c r="G17572" s="42" t="str">
        <f>IFERROR(__xludf.DUMMYFUNCTION("""COMPUTED_VALUE"""),"")</f>
        <v/>
      </c>
      <c r="H17572" s="42">
        <f t="shared" si="1"/>
        <v>3345</v>
      </c>
    </row>
    <row r="17573" ht="22.5" customHeight="1">
      <c r="B17573" s="42" t="str">
        <f>IFERROR(__xludf.DUMMYFUNCTION("""COMPUTED_VALUE"""),"")</f>
        <v/>
      </c>
      <c r="C17573" s="42" t="str">
        <f>IFERROR(__xludf.DUMMYFUNCTION("""COMPUTED_VALUE"""),"")</f>
        <v/>
      </c>
      <c r="D17573" s="42"/>
      <c r="E17573" s="42"/>
      <c r="F17573" s="48" t="str">
        <f>IFERROR(__xludf.DUMMYFUNCTION("""COMPUTED_VALUE"""),"")</f>
        <v/>
      </c>
      <c r="G17573" s="42" t="str">
        <f>IFERROR(__xludf.DUMMYFUNCTION("""COMPUTED_VALUE"""),"")</f>
        <v/>
      </c>
      <c r="H17573" s="42">
        <f t="shared" si="1"/>
        <v>3345</v>
      </c>
    </row>
    <row r="17574" ht="22.5" customHeight="1">
      <c r="B17574" s="42" t="str">
        <f>IFERROR(__xludf.DUMMYFUNCTION("""COMPUTED_VALUE"""),"")</f>
        <v/>
      </c>
      <c r="C17574" s="42" t="str">
        <f>IFERROR(__xludf.DUMMYFUNCTION("""COMPUTED_VALUE"""),"")</f>
        <v/>
      </c>
      <c r="D17574" s="42"/>
      <c r="E17574" s="42"/>
      <c r="F17574" s="48" t="str">
        <f>IFERROR(__xludf.DUMMYFUNCTION("""COMPUTED_VALUE"""),"")</f>
        <v/>
      </c>
      <c r="G17574" s="42" t="str">
        <f>IFERROR(__xludf.DUMMYFUNCTION("""COMPUTED_VALUE"""),"")</f>
        <v/>
      </c>
      <c r="H17574" s="42">
        <f t="shared" si="1"/>
        <v>3345</v>
      </c>
    </row>
    <row r="17575" ht="22.5" customHeight="1">
      <c r="B17575" s="42" t="str">
        <f>IFERROR(__xludf.DUMMYFUNCTION("""COMPUTED_VALUE"""),"")</f>
        <v/>
      </c>
      <c r="C17575" s="42" t="str">
        <f>IFERROR(__xludf.DUMMYFUNCTION("""COMPUTED_VALUE"""),"")</f>
        <v/>
      </c>
      <c r="D17575" s="42"/>
      <c r="E17575" s="42"/>
      <c r="F17575" s="48" t="str">
        <f>IFERROR(__xludf.DUMMYFUNCTION("""COMPUTED_VALUE"""),"")</f>
        <v/>
      </c>
      <c r="G17575" s="42" t="str">
        <f>IFERROR(__xludf.DUMMYFUNCTION("""COMPUTED_VALUE"""),"")</f>
        <v/>
      </c>
      <c r="H17575" s="42">
        <f t="shared" si="1"/>
        <v>3345</v>
      </c>
    </row>
    <row r="17576" ht="22.5" customHeight="1">
      <c r="B17576" s="42" t="str">
        <f>IFERROR(__xludf.DUMMYFUNCTION("""COMPUTED_VALUE"""),"")</f>
        <v/>
      </c>
      <c r="C17576" s="42" t="str">
        <f>IFERROR(__xludf.DUMMYFUNCTION("""COMPUTED_VALUE"""),"")</f>
        <v/>
      </c>
      <c r="D17576" s="42"/>
      <c r="E17576" s="42"/>
      <c r="F17576" s="48" t="str">
        <f>IFERROR(__xludf.DUMMYFUNCTION("""COMPUTED_VALUE"""),"")</f>
        <v/>
      </c>
      <c r="G17576" s="42" t="str">
        <f>IFERROR(__xludf.DUMMYFUNCTION("""COMPUTED_VALUE"""),"")</f>
        <v/>
      </c>
      <c r="H17576" s="42">
        <f t="shared" si="1"/>
        <v>3345</v>
      </c>
    </row>
    <row r="17577" ht="22.5" customHeight="1">
      <c r="B17577" s="42" t="str">
        <f>IFERROR(__xludf.DUMMYFUNCTION("""COMPUTED_VALUE"""),"")</f>
        <v/>
      </c>
      <c r="C17577" s="42" t="str">
        <f>IFERROR(__xludf.DUMMYFUNCTION("""COMPUTED_VALUE"""),"")</f>
        <v/>
      </c>
      <c r="D17577" s="42"/>
      <c r="E17577" s="42"/>
      <c r="F17577" s="48" t="str">
        <f>IFERROR(__xludf.DUMMYFUNCTION("""COMPUTED_VALUE"""),"")</f>
        <v/>
      </c>
      <c r="G17577" s="42" t="str">
        <f>IFERROR(__xludf.DUMMYFUNCTION("""COMPUTED_VALUE"""),"")</f>
        <v/>
      </c>
      <c r="H17577" s="42">
        <f t="shared" si="1"/>
        <v>3345</v>
      </c>
    </row>
    <row r="17578" ht="22.5" customHeight="1">
      <c r="B17578" s="42" t="str">
        <f>IFERROR(__xludf.DUMMYFUNCTION("""COMPUTED_VALUE"""),"")</f>
        <v/>
      </c>
      <c r="C17578" s="42" t="str">
        <f>IFERROR(__xludf.DUMMYFUNCTION("""COMPUTED_VALUE"""),"")</f>
        <v/>
      </c>
      <c r="D17578" s="42"/>
      <c r="E17578" s="42"/>
      <c r="F17578" s="48" t="str">
        <f>IFERROR(__xludf.DUMMYFUNCTION("""COMPUTED_VALUE"""),"")</f>
        <v/>
      </c>
      <c r="G17578" s="42" t="str">
        <f>IFERROR(__xludf.DUMMYFUNCTION("""COMPUTED_VALUE"""),"")</f>
        <v/>
      </c>
      <c r="H17578" s="42">
        <f t="shared" si="1"/>
        <v>3345</v>
      </c>
    </row>
    <row r="17579" ht="22.5" customHeight="1">
      <c r="B17579" s="42" t="str">
        <f>IFERROR(__xludf.DUMMYFUNCTION("""COMPUTED_VALUE"""),"")</f>
        <v/>
      </c>
      <c r="C17579" s="42" t="str">
        <f>IFERROR(__xludf.DUMMYFUNCTION("""COMPUTED_VALUE"""),"")</f>
        <v/>
      </c>
      <c r="D17579" s="42"/>
      <c r="E17579" s="42"/>
      <c r="F17579" s="48" t="str">
        <f>IFERROR(__xludf.DUMMYFUNCTION("""COMPUTED_VALUE"""),"")</f>
        <v/>
      </c>
      <c r="G17579" s="42" t="str">
        <f>IFERROR(__xludf.DUMMYFUNCTION("""COMPUTED_VALUE"""),"")</f>
        <v/>
      </c>
      <c r="H17579" s="42">
        <f t="shared" si="1"/>
        <v>3345</v>
      </c>
    </row>
    <row r="17580" ht="22.5" customHeight="1">
      <c r="B17580" s="42" t="str">
        <f>IFERROR(__xludf.DUMMYFUNCTION("""COMPUTED_VALUE"""),"")</f>
        <v/>
      </c>
      <c r="C17580" s="42" t="str">
        <f>IFERROR(__xludf.DUMMYFUNCTION("""COMPUTED_VALUE"""),"")</f>
        <v/>
      </c>
      <c r="D17580" s="42"/>
      <c r="E17580" s="42"/>
      <c r="F17580" s="48" t="str">
        <f>IFERROR(__xludf.DUMMYFUNCTION("""COMPUTED_VALUE"""),"")</f>
        <v/>
      </c>
      <c r="G17580" s="42" t="str">
        <f>IFERROR(__xludf.DUMMYFUNCTION("""COMPUTED_VALUE"""),"")</f>
        <v/>
      </c>
      <c r="H17580" s="42">
        <f t="shared" si="1"/>
        <v>3345</v>
      </c>
    </row>
    <row r="17581" ht="22.5" customHeight="1">
      <c r="B17581" s="42" t="str">
        <f>IFERROR(__xludf.DUMMYFUNCTION("""COMPUTED_VALUE"""),"")</f>
        <v/>
      </c>
      <c r="C17581" s="42" t="str">
        <f>IFERROR(__xludf.DUMMYFUNCTION("""COMPUTED_VALUE"""),"")</f>
        <v/>
      </c>
      <c r="D17581" s="42"/>
      <c r="E17581" s="42"/>
      <c r="F17581" s="48" t="str">
        <f>IFERROR(__xludf.DUMMYFUNCTION("""COMPUTED_VALUE"""),"")</f>
        <v/>
      </c>
      <c r="G17581" s="42" t="str">
        <f>IFERROR(__xludf.DUMMYFUNCTION("""COMPUTED_VALUE"""),"")</f>
        <v/>
      </c>
      <c r="H17581" s="42">
        <f t="shared" si="1"/>
        <v>3345</v>
      </c>
    </row>
    <row r="17582" ht="22.5" customHeight="1">
      <c r="B17582" s="42" t="str">
        <f>IFERROR(__xludf.DUMMYFUNCTION("""COMPUTED_VALUE"""),"")</f>
        <v/>
      </c>
      <c r="C17582" s="42" t="str">
        <f>IFERROR(__xludf.DUMMYFUNCTION("""COMPUTED_VALUE"""),"")</f>
        <v/>
      </c>
      <c r="D17582" s="42"/>
      <c r="E17582" s="42"/>
      <c r="F17582" s="48" t="str">
        <f>IFERROR(__xludf.DUMMYFUNCTION("""COMPUTED_VALUE"""),"")</f>
        <v/>
      </c>
      <c r="G17582" s="42" t="str">
        <f>IFERROR(__xludf.DUMMYFUNCTION("""COMPUTED_VALUE"""),"")</f>
        <v/>
      </c>
      <c r="H17582" s="42">
        <f t="shared" si="1"/>
        <v>3345</v>
      </c>
    </row>
    <row r="17583" ht="22.5" customHeight="1">
      <c r="B17583" s="42" t="str">
        <f>IFERROR(__xludf.DUMMYFUNCTION("""COMPUTED_VALUE"""),"")</f>
        <v/>
      </c>
      <c r="C17583" s="42" t="str">
        <f>IFERROR(__xludf.DUMMYFUNCTION("""COMPUTED_VALUE"""),"")</f>
        <v/>
      </c>
      <c r="D17583" s="42"/>
      <c r="E17583" s="42"/>
      <c r="F17583" s="48" t="str">
        <f>IFERROR(__xludf.DUMMYFUNCTION("""COMPUTED_VALUE"""),"")</f>
        <v/>
      </c>
      <c r="G17583" s="42" t="str">
        <f>IFERROR(__xludf.DUMMYFUNCTION("""COMPUTED_VALUE"""),"")</f>
        <v/>
      </c>
      <c r="H17583" s="42">
        <f t="shared" si="1"/>
        <v>3345</v>
      </c>
    </row>
    <row r="17584" ht="22.5" customHeight="1">
      <c r="B17584" s="42" t="str">
        <f>IFERROR(__xludf.DUMMYFUNCTION("""COMPUTED_VALUE"""),"")</f>
        <v/>
      </c>
      <c r="C17584" s="42" t="str">
        <f>IFERROR(__xludf.DUMMYFUNCTION("""COMPUTED_VALUE"""),"")</f>
        <v/>
      </c>
      <c r="D17584" s="42"/>
      <c r="E17584" s="42"/>
      <c r="F17584" s="48" t="str">
        <f>IFERROR(__xludf.DUMMYFUNCTION("""COMPUTED_VALUE"""),"")</f>
        <v/>
      </c>
      <c r="G17584" s="42" t="str">
        <f>IFERROR(__xludf.DUMMYFUNCTION("""COMPUTED_VALUE"""),"")</f>
        <v/>
      </c>
      <c r="H17584" s="42">
        <f t="shared" si="1"/>
        <v>3345</v>
      </c>
    </row>
    <row r="17585" ht="22.5" customHeight="1">
      <c r="B17585" s="42" t="str">
        <f>IFERROR(__xludf.DUMMYFUNCTION("""COMPUTED_VALUE"""),"")</f>
        <v/>
      </c>
      <c r="C17585" s="42" t="str">
        <f>IFERROR(__xludf.DUMMYFUNCTION("""COMPUTED_VALUE"""),"")</f>
        <v/>
      </c>
      <c r="D17585" s="42"/>
      <c r="E17585" s="42"/>
      <c r="F17585" s="48" t="str">
        <f>IFERROR(__xludf.DUMMYFUNCTION("""COMPUTED_VALUE"""),"")</f>
        <v/>
      </c>
      <c r="G17585" s="42" t="str">
        <f>IFERROR(__xludf.DUMMYFUNCTION("""COMPUTED_VALUE"""),"")</f>
        <v/>
      </c>
      <c r="H17585" s="42">
        <f t="shared" si="1"/>
        <v>3345</v>
      </c>
    </row>
    <row r="17586" ht="22.5" customHeight="1">
      <c r="B17586" s="42" t="str">
        <f>IFERROR(__xludf.DUMMYFUNCTION("""COMPUTED_VALUE"""),"")</f>
        <v/>
      </c>
      <c r="C17586" s="42" t="str">
        <f>IFERROR(__xludf.DUMMYFUNCTION("""COMPUTED_VALUE"""),"")</f>
        <v/>
      </c>
      <c r="D17586" s="42"/>
      <c r="E17586" s="42"/>
      <c r="F17586" s="48" t="str">
        <f>IFERROR(__xludf.DUMMYFUNCTION("""COMPUTED_VALUE"""),"")</f>
        <v/>
      </c>
      <c r="G17586" s="42" t="str">
        <f>IFERROR(__xludf.DUMMYFUNCTION("""COMPUTED_VALUE"""),"")</f>
        <v/>
      </c>
      <c r="H17586" s="42">
        <f t="shared" si="1"/>
        <v>3345</v>
      </c>
    </row>
    <row r="17587" ht="22.5" customHeight="1">
      <c r="B17587" s="42" t="str">
        <f>IFERROR(__xludf.DUMMYFUNCTION("""COMPUTED_VALUE"""),"")</f>
        <v/>
      </c>
      <c r="C17587" s="42" t="str">
        <f>IFERROR(__xludf.DUMMYFUNCTION("""COMPUTED_VALUE"""),"")</f>
        <v/>
      </c>
      <c r="D17587" s="42"/>
      <c r="E17587" s="42"/>
      <c r="F17587" s="48" t="str">
        <f>IFERROR(__xludf.DUMMYFUNCTION("""COMPUTED_VALUE"""),"")</f>
        <v/>
      </c>
      <c r="G17587" s="42" t="str">
        <f>IFERROR(__xludf.DUMMYFUNCTION("""COMPUTED_VALUE"""),"")</f>
        <v/>
      </c>
      <c r="H17587" s="42">
        <f t="shared" si="1"/>
        <v>3345</v>
      </c>
    </row>
    <row r="17588" ht="22.5" customHeight="1">
      <c r="B17588" s="42" t="str">
        <f>IFERROR(__xludf.DUMMYFUNCTION("""COMPUTED_VALUE"""),"")</f>
        <v/>
      </c>
      <c r="C17588" s="42" t="str">
        <f>IFERROR(__xludf.DUMMYFUNCTION("""COMPUTED_VALUE"""),"")</f>
        <v/>
      </c>
      <c r="D17588" s="42"/>
      <c r="E17588" s="42"/>
      <c r="F17588" s="48" t="str">
        <f>IFERROR(__xludf.DUMMYFUNCTION("""COMPUTED_VALUE"""),"")</f>
        <v/>
      </c>
      <c r="G17588" s="42" t="str">
        <f>IFERROR(__xludf.DUMMYFUNCTION("""COMPUTED_VALUE"""),"")</f>
        <v/>
      </c>
      <c r="H17588" s="42">
        <f t="shared" si="1"/>
        <v>3345</v>
      </c>
    </row>
    <row r="17589" ht="22.5" customHeight="1">
      <c r="B17589" s="42" t="str">
        <f>IFERROR(__xludf.DUMMYFUNCTION("""COMPUTED_VALUE"""),"")</f>
        <v/>
      </c>
      <c r="C17589" s="42" t="str">
        <f>IFERROR(__xludf.DUMMYFUNCTION("""COMPUTED_VALUE"""),"")</f>
        <v/>
      </c>
      <c r="D17589" s="42"/>
      <c r="E17589" s="42"/>
      <c r="F17589" s="48" t="str">
        <f>IFERROR(__xludf.DUMMYFUNCTION("""COMPUTED_VALUE"""),"")</f>
        <v/>
      </c>
      <c r="G17589" s="42" t="str">
        <f>IFERROR(__xludf.DUMMYFUNCTION("""COMPUTED_VALUE"""),"")</f>
        <v/>
      </c>
      <c r="H17589" s="42">
        <f t="shared" si="1"/>
        <v>3345</v>
      </c>
    </row>
    <row r="17590" ht="22.5" customHeight="1">
      <c r="B17590" s="42" t="str">
        <f>IFERROR(__xludf.DUMMYFUNCTION("""COMPUTED_VALUE"""),"")</f>
        <v/>
      </c>
      <c r="C17590" s="42" t="str">
        <f>IFERROR(__xludf.DUMMYFUNCTION("""COMPUTED_VALUE"""),"")</f>
        <v/>
      </c>
      <c r="D17590" s="42"/>
      <c r="E17590" s="42"/>
      <c r="F17590" s="48" t="str">
        <f>IFERROR(__xludf.DUMMYFUNCTION("""COMPUTED_VALUE"""),"")</f>
        <v/>
      </c>
      <c r="G17590" s="42" t="str">
        <f>IFERROR(__xludf.DUMMYFUNCTION("""COMPUTED_VALUE"""),"")</f>
        <v/>
      </c>
      <c r="H17590" s="42">
        <f t="shared" si="1"/>
        <v>3345</v>
      </c>
    </row>
    <row r="17591" ht="22.5" customHeight="1">
      <c r="B17591" s="42" t="str">
        <f>IFERROR(__xludf.DUMMYFUNCTION("""COMPUTED_VALUE"""),"")</f>
        <v/>
      </c>
      <c r="C17591" s="42" t="str">
        <f>IFERROR(__xludf.DUMMYFUNCTION("""COMPUTED_VALUE"""),"")</f>
        <v/>
      </c>
      <c r="D17591" s="42"/>
      <c r="E17591" s="42"/>
      <c r="F17591" s="48" t="str">
        <f>IFERROR(__xludf.DUMMYFUNCTION("""COMPUTED_VALUE"""),"")</f>
        <v/>
      </c>
      <c r="G17591" s="42" t="str">
        <f>IFERROR(__xludf.DUMMYFUNCTION("""COMPUTED_VALUE"""),"")</f>
        <v/>
      </c>
      <c r="H17591" s="42">
        <f t="shared" si="1"/>
        <v>3345</v>
      </c>
    </row>
    <row r="17592" ht="22.5" customHeight="1">
      <c r="B17592" s="42" t="str">
        <f>IFERROR(__xludf.DUMMYFUNCTION("""COMPUTED_VALUE"""),"")</f>
        <v/>
      </c>
      <c r="C17592" s="42" t="str">
        <f>IFERROR(__xludf.DUMMYFUNCTION("""COMPUTED_VALUE"""),"")</f>
        <v/>
      </c>
      <c r="D17592" s="42"/>
      <c r="E17592" s="42"/>
      <c r="F17592" s="48" t="str">
        <f>IFERROR(__xludf.DUMMYFUNCTION("""COMPUTED_VALUE"""),"")</f>
        <v/>
      </c>
      <c r="G17592" s="42" t="str">
        <f>IFERROR(__xludf.DUMMYFUNCTION("""COMPUTED_VALUE"""),"")</f>
        <v/>
      </c>
      <c r="H17592" s="42">
        <f t="shared" si="1"/>
        <v>3345</v>
      </c>
    </row>
    <row r="17593" ht="22.5" customHeight="1">
      <c r="B17593" s="42" t="str">
        <f>IFERROR(__xludf.DUMMYFUNCTION("""COMPUTED_VALUE"""),"")</f>
        <v/>
      </c>
      <c r="C17593" s="42" t="str">
        <f>IFERROR(__xludf.DUMMYFUNCTION("""COMPUTED_VALUE"""),"")</f>
        <v/>
      </c>
      <c r="D17593" s="42"/>
      <c r="E17593" s="42"/>
      <c r="F17593" s="48" t="str">
        <f>IFERROR(__xludf.DUMMYFUNCTION("""COMPUTED_VALUE"""),"")</f>
        <v/>
      </c>
      <c r="G17593" s="42" t="str">
        <f>IFERROR(__xludf.DUMMYFUNCTION("""COMPUTED_VALUE"""),"")</f>
        <v/>
      </c>
      <c r="H17593" s="42">
        <f t="shared" si="1"/>
        <v>3345</v>
      </c>
    </row>
    <row r="17594" ht="22.5" customHeight="1">
      <c r="B17594" s="42" t="str">
        <f>IFERROR(__xludf.DUMMYFUNCTION("""COMPUTED_VALUE"""),"")</f>
        <v/>
      </c>
      <c r="C17594" s="42" t="str">
        <f>IFERROR(__xludf.DUMMYFUNCTION("""COMPUTED_VALUE"""),"")</f>
        <v/>
      </c>
      <c r="D17594" s="42"/>
      <c r="E17594" s="42"/>
      <c r="F17594" s="48" t="str">
        <f>IFERROR(__xludf.DUMMYFUNCTION("""COMPUTED_VALUE"""),"")</f>
        <v/>
      </c>
      <c r="G17594" s="42" t="str">
        <f>IFERROR(__xludf.DUMMYFUNCTION("""COMPUTED_VALUE"""),"")</f>
        <v/>
      </c>
      <c r="H17594" s="42">
        <f t="shared" si="1"/>
        <v>3345</v>
      </c>
    </row>
    <row r="17595" ht="22.5" customHeight="1">
      <c r="B17595" s="42" t="str">
        <f>IFERROR(__xludf.DUMMYFUNCTION("""COMPUTED_VALUE"""),"")</f>
        <v/>
      </c>
      <c r="C17595" s="42" t="str">
        <f>IFERROR(__xludf.DUMMYFUNCTION("""COMPUTED_VALUE"""),"")</f>
        <v/>
      </c>
      <c r="D17595" s="42"/>
      <c r="E17595" s="42"/>
      <c r="F17595" s="48" t="str">
        <f>IFERROR(__xludf.DUMMYFUNCTION("""COMPUTED_VALUE"""),"")</f>
        <v/>
      </c>
      <c r="G17595" s="42" t="str">
        <f>IFERROR(__xludf.DUMMYFUNCTION("""COMPUTED_VALUE"""),"")</f>
        <v/>
      </c>
      <c r="H17595" s="42">
        <f t="shared" si="1"/>
        <v>3345</v>
      </c>
    </row>
    <row r="17596" ht="22.5" customHeight="1">
      <c r="B17596" s="42" t="str">
        <f>IFERROR(__xludf.DUMMYFUNCTION("""COMPUTED_VALUE"""),"")</f>
        <v/>
      </c>
      <c r="C17596" s="42" t="str">
        <f>IFERROR(__xludf.DUMMYFUNCTION("""COMPUTED_VALUE"""),"")</f>
        <v/>
      </c>
      <c r="D17596" s="42"/>
      <c r="E17596" s="42"/>
      <c r="F17596" s="48" t="str">
        <f>IFERROR(__xludf.DUMMYFUNCTION("""COMPUTED_VALUE"""),"")</f>
        <v/>
      </c>
      <c r="G17596" s="42" t="str">
        <f>IFERROR(__xludf.DUMMYFUNCTION("""COMPUTED_VALUE"""),"")</f>
        <v/>
      </c>
      <c r="H17596" s="42">
        <f t="shared" si="1"/>
        <v>3345</v>
      </c>
    </row>
    <row r="17597" ht="22.5" customHeight="1">
      <c r="B17597" s="42" t="str">
        <f>IFERROR(__xludf.DUMMYFUNCTION("""COMPUTED_VALUE"""),"")</f>
        <v/>
      </c>
      <c r="C17597" s="42" t="str">
        <f>IFERROR(__xludf.DUMMYFUNCTION("""COMPUTED_VALUE"""),"")</f>
        <v/>
      </c>
      <c r="D17597" s="42"/>
      <c r="E17597" s="42"/>
      <c r="F17597" s="48" t="str">
        <f>IFERROR(__xludf.DUMMYFUNCTION("""COMPUTED_VALUE"""),"")</f>
        <v/>
      </c>
      <c r="G17597" s="42" t="str">
        <f>IFERROR(__xludf.DUMMYFUNCTION("""COMPUTED_VALUE"""),"")</f>
        <v/>
      </c>
      <c r="H17597" s="42">
        <f t="shared" si="1"/>
        <v>3345</v>
      </c>
    </row>
    <row r="17598" ht="22.5" customHeight="1">
      <c r="B17598" s="42" t="str">
        <f>IFERROR(__xludf.DUMMYFUNCTION("""COMPUTED_VALUE"""),"")</f>
        <v/>
      </c>
      <c r="C17598" s="42" t="str">
        <f>IFERROR(__xludf.DUMMYFUNCTION("""COMPUTED_VALUE"""),"")</f>
        <v/>
      </c>
      <c r="D17598" s="42"/>
      <c r="E17598" s="42"/>
      <c r="F17598" s="48" t="str">
        <f>IFERROR(__xludf.DUMMYFUNCTION("""COMPUTED_VALUE"""),"")</f>
        <v/>
      </c>
      <c r="G17598" s="42" t="str">
        <f>IFERROR(__xludf.DUMMYFUNCTION("""COMPUTED_VALUE"""),"")</f>
        <v/>
      </c>
      <c r="H17598" s="42">
        <f t="shared" si="1"/>
        <v>3345</v>
      </c>
    </row>
    <row r="17599" ht="22.5" customHeight="1">
      <c r="B17599" s="42" t="str">
        <f>IFERROR(__xludf.DUMMYFUNCTION("""COMPUTED_VALUE"""),"")</f>
        <v/>
      </c>
      <c r="C17599" s="42" t="str">
        <f>IFERROR(__xludf.DUMMYFUNCTION("""COMPUTED_VALUE"""),"")</f>
        <v/>
      </c>
      <c r="D17599" s="42"/>
      <c r="E17599" s="42"/>
      <c r="F17599" s="48" t="str">
        <f>IFERROR(__xludf.DUMMYFUNCTION("""COMPUTED_VALUE"""),"")</f>
        <v/>
      </c>
      <c r="G17599" s="42" t="str">
        <f>IFERROR(__xludf.DUMMYFUNCTION("""COMPUTED_VALUE"""),"")</f>
        <v/>
      </c>
      <c r="H17599" s="42">
        <f t="shared" si="1"/>
        <v>3345</v>
      </c>
    </row>
    <row r="17600" ht="22.5" customHeight="1">
      <c r="B17600" s="42" t="str">
        <f>IFERROR(__xludf.DUMMYFUNCTION("""COMPUTED_VALUE"""),"")</f>
        <v/>
      </c>
      <c r="C17600" s="42" t="str">
        <f>IFERROR(__xludf.DUMMYFUNCTION("""COMPUTED_VALUE"""),"")</f>
        <v/>
      </c>
      <c r="D17600" s="42"/>
      <c r="E17600" s="42"/>
      <c r="F17600" s="48" t="str">
        <f>IFERROR(__xludf.DUMMYFUNCTION("""COMPUTED_VALUE"""),"")</f>
        <v/>
      </c>
      <c r="G17600" s="42" t="str">
        <f>IFERROR(__xludf.DUMMYFUNCTION("""COMPUTED_VALUE"""),"")</f>
        <v/>
      </c>
      <c r="H17600" s="42">
        <f t="shared" si="1"/>
        <v>3345</v>
      </c>
    </row>
    <row r="17601" ht="22.5" customHeight="1">
      <c r="B17601" s="42" t="str">
        <f>IFERROR(__xludf.DUMMYFUNCTION("""COMPUTED_VALUE"""),"")</f>
        <v/>
      </c>
      <c r="C17601" s="42" t="str">
        <f>IFERROR(__xludf.DUMMYFUNCTION("""COMPUTED_VALUE"""),"")</f>
        <v/>
      </c>
      <c r="D17601" s="42"/>
      <c r="E17601" s="42"/>
      <c r="F17601" s="48" t="str">
        <f>IFERROR(__xludf.DUMMYFUNCTION("""COMPUTED_VALUE"""),"")</f>
        <v/>
      </c>
      <c r="G17601" s="42" t="str">
        <f>IFERROR(__xludf.DUMMYFUNCTION("""COMPUTED_VALUE"""),"")</f>
        <v/>
      </c>
      <c r="H17601" s="42">
        <f t="shared" si="1"/>
        <v>3345</v>
      </c>
    </row>
    <row r="17602" ht="22.5" customHeight="1">
      <c r="B17602" s="42" t="str">
        <f>IFERROR(__xludf.DUMMYFUNCTION("""COMPUTED_VALUE"""),"")</f>
        <v/>
      </c>
      <c r="C17602" s="42" t="str">
        <f>IFERROR(__xludf.DUMMYFUNCTION("""COMPUTED_VALUE"""),"")</f>
        <v/>
      </c>
      <c r="D17602" s="42"/>
      <c r="E17602" s="42"/>
      <c r="F17602" s="48" t="str">
        <f>IFERROR(__xludf.DUMMYFUNCTION("""COMPUTED_VALUE"""),"")</f>
        <v/>
      </c>
      <c r="G17602" s="42" t="str">
        <f>IFERROR(__xludf.DUMMYFUNCTION("""COMPUTED_VALUE"""),"")</f>
        <v/>
      </c>
      <c r="H17602" s="42">
        <f t="shared" si="1"/>
        <v>3345</v>
      </c>
    </row>
    <row r="17603" ht="22.5" customHeight="1">
      <c r="B17603" s="42" t="str">
        <f>IFERROR(__xludf.DUMMYFUNCTION("""COMPUTED_VALUE"""),"")</f>
        <v/>
      </c>
      <c r="C17603" s="42" t="str">
        <f>IFERROR(__xludf.DUMMYFUNCTION("""COMPUTED_VALUE"""),"")</f>
        <v/>
      </c>
      <c r="D17603" s="42"/>
      <c r="E17603" s="42"/>
      <c r="F17603" s="48" t="str">
        <f>IFERROR(__xludf.DUMMYFUNCTION("""COMPUTED_VALUE"""),"")</f>
        <v/>
      </c>
      <c r="G17603" s="42" t="str">
        <f>IFERROR(__xludf.DUMMYFUNCTION("""COMPUTED_VALUE"""),"")</f>
        <v/>
      </c>
      <c r="H17603" s="42">
        <f t="shared" si="1"/>
        <v>3345</v>
      </c>
    </row>
    <row r="17604" ht="22.5" customHeight="1">
      <c r="B17604" s="42" t="str">
        <f>IFERROR(__xludf.DUMMYFUNCTION("""COMPUTED_VALUE"""),"")</f>
        <v/>
      </c>
      <c r="C17604" s="42" t="str">
        <f>IFERROR(__xludf.DUMMYFUNCTION("""COMPUTED_VALUE"""),"")</f>
        <v/>
      </c>
      <c r="D17604" s="42"/>
      <c r="E17604" s="42"/>
      <c r="F17604" s="48" t="str">
        <f>IFERROR(__xludf.DUMMYFUNCTION("""COMPUTED_VALUE"""),"")</f>
        <v/>
      </c>
      <c r="G17604" s="42" t="str">
        <f>IFERROR(__xludf.DUMMYFUNCTION("""COMPUTED_VALUE"""),"")</f>
        <v/>
      </c>
      <c r="H17604" s="42">
        <f t="shared" si="1"/>
        <v>3345</v>
      </c>
    </row>
    <row r="17605" ht="22.5" customHeight="1">
      <c r="B17605" s="42" t="str">
        <f>IFERROR(__xludf.DUMMYFUNCTION("""COMPUTED_VALUE"""),"")</f>
        <v/>
      </c>
      <c r="C17605" s="42" t="str">
        <f>IFERROR(__xludf.DUMMYFUNCTION("""COMPUTED_VALUE"""),"")</f>
        <v/>
      </c>
      <c r="D17605" s="42"/>
      <c r="E17605" s="42"/>
      <c r="F17605" s="48" t="str">
        <f>IFERROR(__xludf.DUMMYFUNCTION("""COMPUTED_VALUE"""),"")</f>
        <v/>
      </c>
      <c r="G17605" s="42" t="str">
        <f>IFERROR(__xludf.DUMMYFUNCTION("""COMPUTED_VALUE"""),"")</f>
        <v/>
      </c>
      <c r="H17605" s="42">
        <f t="shared" si="1"/>
        <v>3345</v>
      </c>
    </row>
    <row r="17606" ht="22.5" customHeight="1">
      <c r="B17606" s="42" t="str">
        <f>IFERROR(__xludf.DUMMYFUNCTION("""COMPUTED_VALUE"""),"")</f>
        <v/>
      </c>
      <c r="C17606" s="42" t="str">
        <f>IFERROR(__xludf.DUMMYFUNCTION("""COMPUTED_VALUE"""),"")</f>
        <v/>
      </c>
      <c r="D17606" s="42"/>
      <c r="E17606" s="42"/>
      <c r="F17606" s="48" t="str">
        <f>IFERROR(__xludf.DUMMYFUNCTION("""COMPUTED_VALUE"""),"")</f>
        <v/>
      </c>
      <c r="G17606" s="42" t="str">
        <f>IFERROR(__xludf.DUMMYFUNCTION("""COMPUTED_VALUE"""),"")</f>
        <v/>
      </c>
      <c r="H17606" s="42">
        <f t="shared" si="1"/>
        <v>3345</v>
      </c>
    </row>
    <row r="17607" ht="22.5" customHeight="1">
      <c r="B17607" s="42" t="str">
        <f>IFERROR(__xludf.DUMMYFUNCTION("""COMPUTED_VALUE"""),"")</f>
        <v/>
      </c>
      <c r="C17607" s="42" t="str">
        <f>IFERROR(__xludf.DUMMYFUNCTION("""COMPUTED_VALUE"""),"")</f>
        <v/>
      </c>
      <c r="D17607" s="42"/>
      <c r="E17607" s="42"/>
      <c r="F17607" s="48" t="str">
        <f>IFERROR(__xludf.DUMMYFUNCTION("""COMPUTED_VALUE"""),"")</f>
        <v/>
      </c>
      <c r="G17607" s="42" t="str">
        <f>IFERROR(__xludf.DUMMYFUNCTION("""COMPUTED_VALUE"""),"")</f>
        <v/>
      </c>
      <c r="H17607" s="42">
        <f t="shared" si="1"/>
        <v>3345</v>
      </c>
    </row>
    <row r="17608" ht="22.5" customHeight="1">
      <c r="B17608" s="42" t="str">
        <f>IFERROR(__xludf.DUMMYFUNCTION("""COMPUTED_VALUE"""),"")</f>
        <v/>
      </c>
      <c r="C17608" s="42" t="str">
        <f>IFERROR(__xludf.DUMMYFUNCTION("""COMPUTED_VALUE"""),"")</f>
        <v/>
      </c>
      <c r="D17608" s="42"/>
      <c r="E17608" s="42"/>
      <c r="F17608" s="48" t="str">
        <f>IFERROR(__xludf.DUMMYFUNCTION("""COMPUTED_VALUE"""),"")</f>
        <v/>
      </c>
      <c r="G17608" s="42" t="str">
        <f>IFERROR(__xludf.DUMMYFUNCTION("""COMPUTED_VALUE"""),"")</f>
        <v/>
      </c>
      <c r="H17608" s="42">
        <f t="shared" si="1"/>
        <v>3345</v>
      </c>
    </row>
    <row r="17609" ht="22.5" customHeight="1">
      <c r="B17609" s="42" t="str">
        <f>IFERROR(__xludf.DUMMYFUNCTION("""COMPUTED_VALUE"""),"")</f>
        <v/>
      </c>
      <c r="C17609" s="42" t="str">
        <f>IFERROR(__xludf.DUMMYFUNCTION("""COMPUTED_VALUE"""),"")</f>
        <v/>
      </c>
      <c r="D17609" s="42"/>
      <c r="E17609" s="42"/>
      <c r="F17609" s="48" t="str">
        <f>IFERROR(__xludf.DUMMYFUNCTION("""COMPUTED_VALUE"""),"")</f>
        <v/>
      </c>
      <c r="G17609" s="42" t="str">
        <f>IFERROR(__xludf.DUMMYFUNCTION("""COMPUTED_VALUE"""),"")</f>
        <v/>
      </c>
      <c r="H17609" s="42">
        <f t="shared" si="1"/>
        <v>3345</v>
      </c>
    </row>
    <row r="17610" ht="22.5" customHeight="1">
      <c r="B17610" s="42" t="str">
        <f>IFERROR(__xludf.DUMMYFUNCTION("""COMPUTED_VALUE"""),"")</f>
        <v/>
      </c>
      <c r="C17610" s="42" t="str">
        <f>IFERROR(__xludf.DUMMYFUNCTION("""COMPUTED_VALUE"""),"")</f>
        <v/>
      </c>
      <c r="D17610" s="42"/>
      <c r="E17610" s="42"/>
      <c r="F17610" s="48" t="str">
        <f>IFERROR(__xludf.DUMMYFUNCTION("""COMPUTED_VALUE"""),"")</f>
        <v/>
      </c>
      <c r="G17610" s="42" t="str">
        <f>IFERROR(__xludf.DUMMYFUNCTION("""COMPUTED_VALUE"""),"")</f>
        <v/>
      </c>
      <c r="H17610" s="42">
        <f t="shared" si="1"/>
        <v>3345</v>
      </c>
    </row>
    <row r="17611" ht="22.5" customHeight="1">
      <c r="B17611" s="42" t="str">
        <f>IFERROR(__xludf.DUMMYFUNCTION("""COMPUTED_VALUE"""),"")</f>
        <v/>
      </c>
      <c r="C17611" s="42" t="str">
        <f>IFERROR(__xludf.DUMMYFUNCTION("""COMPUTED_VALUE"""),"")</f>
        <v/>
      </c>
      <c r="D17611" s="42"/>
      <c r="E17611" s="42"/>
      <c r="F17611" s="48" t="str">
        <f>IFERROR(__xludf.DUMMYFUNCTION("""COMPUTED_VALUE"""),"")</f>
        <v/>
      </c>
      <c r="G17611" s="42" t="str">
        <f>IFERROR(__xludf.DUMMYFUNCTION("""COMPUTED_VALUE"""),"")</f>
        <v/>
      </c>
      <c r="H17611" s="42">
        <f t="shared" si="1"/>
        <v>3345</v>
      </c>
    </row>
    <row r="17612" ht="22.5" customHeight="1">
      <c r="B17612" s="42" t="str">
        <f>IFERROR(__xludf.DUMMYFUNCTION("""COMPUTED_VALUE"""),"")</f>
        <v/>
      </c>
      <c r="C17612" s="42" t="str">
        <f>IFERROR(__xludf.DUMMYFUNCTION("""COMPUTED_VALUE"""),"")</f>
        <v/>
      </c>
      <c r="D17612" s="42"/>
      <c r="E17612" s="42"/>
      <c r="F17612" s="48" t="str">
        <f>IFERROR(__xludf.DUMMYFUNCTION("""COMPUTED_VALUE"""),"")</f>
        <v/>
      </c>
      <c r="G17612" s="42" t="str">
        <f>IFERROR(__xludf.DUMMYFUNCTION("""COMPUTED_VALUE"""),"")</f>
        <v/>
      </c>
      <c r="H17612" s="42">
        <f t="shared" si="1"/>
        <v>3345</v>
      </c>
    </row>
    <row r="17613" ht="22.5" customHeight="1">
      <c r="B17613" s="42" t="str">
        <f>IFERROR(__xludf.DUMMYFUNCTION("""COMPUTED_VALUE"""),"")</f>
        <v/>
      </c>
      <c r="C17613" s="42" t="str">
        <f>IFERROR(__xludf.DUMMYFUNCTION("""COMPUTED_VALUE"""),"")</f>
        <v/>
      </c>
      <c r="D17613" s="42"/>
      <c r="E17613" s="42"/>
      <c r="F17613" s="48" t="str">
        <f>IFERROR(__xludf.DUMMYFUNCTION("""COMPUTED_VALUE"""),"")</f>
        <v/>
      </c>
      <c r="G17613" s="42" t="str">
        <f>IFERROR(__xludf.DUMMYFUNCTION("""COMPUTED_VALUE"""),"")</f>
        <v/>
      </c>
      <c r="H17613" s="42">
        <f t="shared" si="1"/>
        <v>3345</v>
      </c>
    </row>
    <row r="17614" ht="22.5" customHeight="1">
      <c r="B17614" s="42" t="str">
        <f>IFERROR(__xludf.DUMMYFUNCTION("""COMPUTED_VALUE"""),"")</f>
        <v/>
      </c>
      <c r="C17614" s="42" t="str">
        <f>IFERROR(__xludf.DUMMYFUNCTION("""COMPUTED_VALUE"""),"")</f>
        <v/>
      </c>
      <c r="D17614" s="42"/>
      <c r="E17614" s="42"/>
      <c r="F17614" s="48" t="str">
        <f>IFERROR(__xludf.DUMMYFUNCTION("""COMPUTED_VALUE"""),"")</f>
        <v/>
      </c>
      <c r="G17614" s="42" t="str">
        <f>IFERROR(__xludf.DUMMYFUNCTION("""COMPUTED_VALUE"""),"")</f>
        <v/>
      </c>
      <c r="H17614" s="42">
        <f t="shared" si="1"/>
        <v>3345</v>
      </c>
    </row>
    <row r="17615" ht="22.5" customHeight="1">
      <c r="B17615" s="42" t="str">
        <f>IFERROR(__xludf.DUMMYFUNCTION("""COMPUTED_VALUE"""),"")</f>
        <v/>
      </c>
      <c r="C17615" s="42" t="str">
        <f>IFERROR(__xludf.DUMMYFUNCTION("""COMPUTED_VALUE"""),"")</f>
        <v/>
      </c>
      <c r="D17615" s="42"/>
      <c r="E17615" s="42"/>
      <c r="F17615" s="48" t="str">
        <f>IFERROR(__xludf.DUMMYFUNCTION("""COMPUTED_VALUE"""),"")</f>
        <v/>
      </c>
      <c r="G17615" s="42" t="str">
        <f>IFERROR(__xludf.DUMMYFUNCTION("""COMPUTED_VALUE"""),"")</f>
        <v/>
      </c>
      <c r="H17615" s="42">
        <f t="shared" si="1"/>
        <v>3345</v>
      </c>
    </row>
    <row r="17616" ht="22.5" customHeight="1">
      <c r="B17616" s="42" t="str">
        <f>IFERROR(__xludf.DUMMYFUNCTION("""COMPUTED_VALUE"""),"")</f>
        <v/>
      </c>
      <c r="C17616" s="42" t="str">
        <f>IFERROR(__xludf.DUMMYFUNCTION("""COMPUTED_VALUE"""),"")</f>
        <v/>
      </c>
      <c r="D17616" s="42"/>
      <c r="E17616" s="42"/>
      <c r="F17616" s="48" t="str">
        <f>IFERROR(__xludf.DUMMYFUNCTION("""COMPUTED_VALUE"""),"")</f>
        <v/>
      </c>
      <c r="G17616" s="42" t="str">
        <f>IFERROR(__xludf.DUMMYFUNCTION("""COMPUTED_VALUE"""),"")</f>
        <v/>
      </c>
      <c r="H17616" s="42">
        <f t="shared" si="1"/>
        <v>3345</v>
      </c>
    </row>
    <row r="17617" ht="22.5" customHeight="1">
      <c r="B17617" s="42" t="str">
        <f>IFERROR(__xludf.DUMMYFUNCTION("""COMPUTED_VALUE"""),"")</f>
        <v/>
      </c>
      <c r="C17617" s="42" t="str">
        <f>IFERROR(__xludf.DUMMYFUNCTION("""COMPUTED_VALUE"""),"")</f>
        <v/>
      </c>
      <c r="D17617" s="42"/>
      <c r="E17617" s="42"/>
      <c r="F17617" s="48" t="str">
        <f>IFERROR(__xludf.DUMMYFUNCTION("""COMPUTED_VALUE"""),"")</f>
        <v/>
      </c>
      <c r="G17617" s="42" t="str">
        <f>IFERROR(__xludf.DUMMYFUNCTION("""COMPUTED_VALUE"""),"")</f>
        <v/>
      </c>
      <c r="H17617" s="42">
        <f t="shared" si="1"/>
        <v>3345</v>
      </c>
    </row>
    <row r="17618" ht="22.5" customHeight="1">
      <c r="B17618" s="42" t="str">
        <f>IFERROR(__xludf.DUMMYFUNCTION("""COMPUTED_VALUE"""),"")</f>
        <v/>
      </c>
      <c r="C17618" s="42" t="str">
        <f>IFERROR(__xludf.DUMMYFUNCTION("""COMPUTED_VALUE"""),"")</f>
        <v/>
      </c>
      <c r="D17618" s="42"/>
      <c r="E17618" s="42"/>
      <c r="F17618" s="48" t="str">
        <f>IFERROR(__xludf.DUMMYFUNCTION("""COMPUTED_VALUE"""),"")</f>
        <v/>
      </c>
      <c r="G17618" s="42" t="str">
        <f>IFERROR(__xludf.DUMMYFUNCTION("""COMPUTED_VALUE"""),"")</f>
        <v/>
      </c>
      <c r="H17618" s="42">
        <f t="shared" si="1"/>
        <v>3345</v>
      </c>
    </row>
    <row r="17619" ht="22.5" customHeight="1">
      <c r="B17619" s="42" t="str">
        <f>IFERROR(__xludf.DUMMYFUNCTION("""COMPUTED_VALUE"""),"")</f>
        <v/>
      </c>
      <c r="C17619" s="42" t="str">
        <f>IFERROR(__xludf.DUMMYFUNCTION("""COMPUTED_VALUE"""),"")</f>
        <v/>
      </c>
      <c r="D17619" s="42"/>
      <c r="E17619" s="42"/>
      <c r="F17619" s="48" t="str">
        <f>IFERROR(__xludf.DUMMYFUNCTION("""COMPUTED_VALUE"""),"")</f>
        <v/>
      </c>
      <c r="G17619" s="42" t="str">
        <f>IFERROR(__xludf.DUMMYFUNCTION("""COMPUTED_VALUE"""),"")</f>
        <v/>
      </c>
      <c r="H17619" s="42">
        <f t="shared" si="1"/>
        <v>3345</v>
      </c>
    </row>
    <row r="17620" ht="22.5" customHeight="1">
      <c r="B17620" s="42" t="str">
        <f>IFERROR(__xludf.DUMMYFUNCTION("""COMPUTED_VALUE"""),"")</f>
        <v/>
      </c>
      <c r="C17620" s="42" t="str">
        <f>IFERROR(__xludf.DUMMYFUNCTION("""COMPUTED_VALUE"""),"")</f>
        <v/>
      </c>
      <c r="D17620" s="42"/>
      <c r="E17620" s="42"/>
      <c r="F17620" s="48" t="str">
        <f>IFERROR(__xludf.DUMMYFUNCTION("""COMPUTED_VALUE"""),"")</f>
        <v/>
      </c>
      <c r="G17620" s="42" t="str">
        <f>IFERROR(__xludf.DUMMYFUNCTION("""COMPUTED_VALUE"""),"")</f>
        <v/>
      </c>
      <c r="H17620" s="42">
        <f t="shared" si="1"/>
        <v>3345</v>
      </c>
    </row>
    <row r="17621" ht="22.5" customHeight="1">
      <c r="B17621" s="42" t="str">
        <f>IFERROR(__xludf.DUMMYFUNCTION("""COMPUTED_VALUE"""),"")</f>
        <v/>
      </c>
      <c r="C17621" s="42" t="str">
        <f>IFERROR(__xludf.DUMMYFUNCTION("""COMPUTED_VALUE"""),"")</f>
        <v/>
      </c>
      <c r="D17621" s="42"/>
      <c r="E17621" s="42"/>
      <c r="F17621" s="48" t="str">
        <f>IFERROR(__xludf.DUMMYFUNCTION("""COMPUTED_VALUE"""),"")</f>
        <v/>
      </c>
      <c r="G17621" s="42" t="str">
        <f>IFERROR(__xludf.DUMMYFUNCTION("""COMPUTED_VALUE"""),"")</f>
        <v/>
      </c>
      <c r="H17621" s="42">
        <f t="shared" si="1"/>
        <v>3345</v>
      </c>
    </row>
    <row r="17622" ht="22.5" customHeight="1">
      <c r="B17622" s="42" t="str">
        <f>IFERROR(__xludf.DUMMYFUNCTION("""COMPUTED_VALUE"""),"")</f>
        <v/>
      </c>
      <c r="C17622" s="42" t="str">
        <f>IFERROR(__xludf.DUMMYFUNCTION("""COMPUTED_VALUE"""),"")</f>
        <v/>
      </c>
      <c r="D17622" s="42"/>
      <c r="E17622" s="42"/>
      <c r="F17622" s="48" t="str">
        <f>IFERROR(__xludf.DUMMYFUNCTION("""COMPUTED_VALUE"""),"")</f>
        <v/>
      </c>
      <c r="G17622" s="42" t="str">
        <f>IFERROR(__xludf.DUMMYFUNCTION("""COMPUTED_VALUE"""),"")</f>
        <v/>
      </c>
      <c r="H17622" s="42">
        <f t="shared" si="1"/>
        <v>3345</v>
      </c>
    </row>
    <row r="17623" ht="22.5" customHeight="1">
      <c r="B17623" s="42" t="str">
        <f>IFERROR(__xludf.DUMMYFUNCTION("""COMPUTED_VALUE"""),"")</f>
        <v/>
      </c>
      <c r="C17623" s="42" t="str">
        <f>IFERROR(__xludf.DUMMYFUNCTION("""COMPUTED_VALUE"""),"")</f>
        <v/>
      </c>
      <c r="D17623" s="42"/>
      <c r="E17623" s="42"/>
      <c r="F17623" s="48" t="str">
        <f>IFERROR(__xludf.DUMMYFUNCTION("""COMPUTED_VALUE"""),"")</f>
        <v/>
      </c>
      <c r="G17623" s="42" t="str">
        <f>IFERROR(__xludf.DUMMYFUNCTION("""COMPUTED_VALUE"""),"")</f>
        <v/>
      </c>
      <c r="H17623" s="42">
        <f t="shared" si="1"/>
        <v>3345</v>
      </c>
    </row>
    <row r="17624" ht="22.5" customHeight="1">
      <c r="B17624" s="42" t="str">
        <f>IFERROR(__xludf.DUMMYFUNCTION("""COMPUTED_VALUE"""),"")</f>
        <v/>
      </c>
      <c r="C17624" s="42" t="str">
        <f>IFERROR(__xludf.DUMMYFUNCTION("""COMPUTED_VALUE"""),"")</f>
        <v/>
      </c>
      <c r="D17624" s="42"/>
      <c r="E17624" s="42"/>
      <c r="F17624" s="48" t="str">
        <f>IFERROR(__xludf.DUMMYFUNCTION("""COMPUTED_VALUE"""),"")</f>
        <v/>
      </c>
      <c r="G17624" s="42" t="str">
        <f>IFERROR(__xludf.DUMMYFUNCTION("""COMPUTED_VALUE"""),"")</f>
        <v/>
      </c>
      <c r="H17624" s="42">
        <f t="shared" si="1"/>
        <v>3345</v>
      </c>
    </row>
    <row r="17625" ht="22.5" customHeight="1">
      <c r="B17625" s="42" t="str">
        <f>IFERROR(__xludf.DUMMYFUNCTION("""COMPUTED_VALUE"""),"")</f>
        <v/>
      </c>
      <c r="C17625" s="42" t="str">
        <f>IFERROR(__xludf.DUMMYFUNCTION("""COMPUTED_VALUE"""),"")</f>
        <v/>
      </c>
      <c r="D17625" s="42"/>
      <c r="E17625" s="42"/>
      <c r="F17625" s="48" t="str">
        <f>IFERROR(__xludf.DUMMYFUNCTION("""COMPUTED_VALUE"""),"")</f>
        <v/>
      </c>
      <c r="G17625" s="42" t="str">
        <f>IFERROR(__xludf.DUMMYFUNCTION("""COMPUTED_VALUE"""),"")</f>
        <v/>
      </c>
      <c r="H17625" s="42">
        <f t="shared" si="1"/>
        <v>3345</v>
      </c>
    </row>
    <row r="17626" ht="22.5" customHeight="1">
      <c r="B17626" s="42" t="str">
        <f>IFERROR(__xludf.DUMMYFUNCTION("""COMPUTED_VALUE"""),"")</f>
        <v/>
      </c>
      <c r="C17626" s="42" t="str">
        <f>IFERROR(__xludf.DUMMYFUNCTION("""COMPUTED_VALUE"""),"")</f>
        <v/>
      </c>
      <c r="D17626" s="42"/>
      <c r="E17626" s="42"/>
      <c r="F17626" s="48" t="str">
        <f>IFERROR(__xludf.DUMMYFUNCTION("""COMPUTED_VALUE"""),"")</f>
        <v/>
      </c>
      <c r="G17626" s="42" t="str">
        <f>IFERROR(__xludf.DUMMYFUNCTION("""COMPUTED_VALUE"""),"")</f>
        <v/>
      </c>
      <c r="H17626" s="42">
        <f t="shared" si="1"/>
        <v>3345</v>
      </c>
    </row>
    <row r="17627" ht="22.5" customHeight="1">
      <c r="B17627" s="42" t="str">
        <f>IFERROR(__xludf.DUMMYFUNCTION("""COMPUTED_VALUE"""),"")</f>
        <v/>
      </c>
      <c r="C17627" s="42" t="str">
        <f>IFERROR(__xludf.DUMMYFUNCTION("""COMPUTED_VALUE"""),"")</f>
        <v/>
      </c>
      <c r="D17627" s="42"/>
      <c r="E17627" s="42"/>
      <c r="F17627" s="48" t="str">
        <f>IFERROR(__xludf.DUMMYFUNCTION("""COMPUTED_VALUE"""),"")</f>
        <v/>
      </c>
      <c r="G17627" s="42" t="str">
        <f>IFERROR(__xludf.DUMMYFUNCTION("""COMPUTED_VALUE"""),"")</f>
        <v/>
      </c>
      <c r="H17627" s="42">
        <f t="shared" si="1"/>
        <v>3345</v>
      </c>
    </row>
    <row r="17628" ht="22.5" customHeight="1">
      <c r="B17628" s="42" t="str">
        <f>IFERROR(__xludf.DUMMYFUNCTION("""COMPUTED_VALUE"""),"")</f>
        <v/>
      </c>
      <c r="C17628" s="42" t="str">
        <f>IFERROR(__xludf.DUMMYFUNCTION("""COMPUTED_VALUE"""),"")</f>
        <v/>
      </c>
      <c r="D17628" s="42"/>
      <c r="E17628" s="42"/>
      <c r="F17628" s="48" t="str">
        <f>IFERROR(__xludf.DUMMYFUNCTION("""COMPUTED_VALUE"""),"")</f>
        <v/>
      </c>
      <c r="G17628" s="42" t="str">
        <f>IFERROR(__xludf.DUMMYFUNCTION("""COMPUTED_VALUE"""),"")</f>
        <v/>
      </c>
      <c r="H17628" s="42">
        <f t="shared" si="1"/>
        <v>3345</v>
      </c>
    </row>
    <row r="17629" ht="22.5" customHeight="1">
      <c r="B17629" s="42" t="str">
        <f>IFERROR(__xludf.DUMMYFUNCTION("""COMPUTED_VALUE"""),"")</f>
        <v/>
      </c>
      <c r="C17629" s="42" t="str">
        <f>IFERROR(__xludf.DUMMYFUNCTION("""COMPUTED_VALUE"""),"")</f>
        <v/>
      </c>
      <c r="D17629" s="42"/>
      <c r="E17629" s="42"/>
      <c r="F17629" s="48" t="str">
        <f>IFERROR(__xludf.DUMMYFUNCTION("""COMPUTED_VALUE"""),"")</f>
        <v/>
      </c>
      <c r="G17629" s="42" t="str">
        <f>IFERROR(__xludf.DUMMYFUNCTION("""COMPUTED_VALUE"""),"")</f>
        <v/>
      </c>
      <c r="H17629" s="42">
        <f t="shared" si="1"/>
        <v>3345</v>
      </c>
    </row>
    <row r="17630" ht="22.5" customHeight="1">
      <c r="B17630" s="42" t="str">
        <f>IFERROR(__xludf.DUMMYFUNCTION("""COMPUTED_VALUE"""),"")</f>
        <v/>
      </c>
      <c r="C17630" s="42" t="str">
        <f>IFERROR(__xludf.DUMMYFUNCTION("""COMPUTED_VALUE"""),"")</f>
        <v/>
      </c>
      <c r="D17630" s="42"/>
      <c r="E17630" s="42"/>
      <c r="F17630" s="48" t="str">
        <f>IFERROR(__xludf.DUMMYFUNCTION("""COMPUTED_VALUE"""),"")</f>
        <v/>
      </c>
      <c r="G17630" s="42" t="str">
        <f>IFERROR(__xludf.DUMMYFUNCTION("""COMPUTED_VALUE"""),"")</f>
        <v/>
      </c>
      <c r="H17630" s="42">
        <f t="shared" si="1"/>
        <v>3345</v>
      </c>
    </row>
    <row r="17631" ht="22.5" customHeight="1">
      <c r="B17631" s="42" t="str">
        <f>IFERROR(__xludf.DUMMYFUNCTION("""COMPUTED_VALUE"""),"")</f>
        <v/>
      </c>
      <c r="C17631" s="42" t="str">
        <f>IFERROR(__xludf.DUMMYFUNCTION("""COMPUTED_VALUE"""),"")</f>
        <v/>
      </c>
      <c r="D17631" s="42"/>
      <c r="E17631" s="42"/>
      <c r="F17631" s="48" t="str">
        <f>IFERROR(__xludf.DUMMYFUNCTION("""COMPUTED_VALUE"""),"")</f>
        <v/>
      </c>
      <c r="G17631" s="42" t="str">
        <f>IFERROR(__xludf.DUMMYFUNCTION("""COMPUTED_VALUE"""),"")</f>
        <v/>
      </c>
      <c r="H17631" s="42">
        <f t="shared" si="1"/>
        <v>3345</v>
      </c>
    </row>
    <row r="17632" ht="22.5" customHeight="1">
      <c r="B17632" s="42" t="str">
        <f>IFERROR(__xludf.DUMMYFUNCTION("""COMPUTED_VALUE"""),"")</f>
        <v/>
      </c>
      <c r="C17632" s="42" t="str">
        <f>IFERROR(__xludf.DUMMYFUNCTION("""COMPUTED_VALUE"""),"")</f>
        <v/>
      </c>
      <c r="D17632" s="42"/>
      <c r="E17632" s="42"/>
      <c r="F17632" s="48" t="str">
        <f>IFERROR(__xludf.DUMMYFUNCTION("""COMPUTED_VALUE"""),"")</f>
        <v/>
      </c>
      <c r="G17632" s="42" t="str">
        <f>IFERROR(__xludf.DUMMYFUNCTION("""COMPUTED_VALUE"""),"")</f>
        <v/>
      </c>
      <c r="H17632" s="42">
        <f t="shared" si="1"/>
        <v>3345</v>
      </c>
    </row>
    <row r="17633" ht="22.5" customHeight="1">
      <c r="B17633" s="42" t="str">
        <f>IFERROR(__xludf.DUMMYFUNCTION("""COMPUTED_VALUE"""),"")</f>
        <v/>
      </c>
      <c r="C17633" s="42" t="str">
        <f>IFERROR(__xludf.DUMMYFUNCTION("""COMPUTED_VALUE"""),"")</f>
        <v/>
      </c>
      <c r="D17633" s="42"/>
      <c r="E17633" s="42"/>
      <c r="F17633" s="48" t="str">
        <f>IFERROR(__xludf.DUMMYFUNCTION("""COMPUTED_VALUE"""),"")</f>
        <v/>
      </c>
      <c r="G17633" s="42" t="str">
        <f>IFERROR(__xludf.DUMMYFUNCTION("""COMPUTED_VALUE"""),"")</f>
        <v/>
      </c>
      <c r="H17633" s="42">
        <f t="shared" si="1"/>
        <v>3345</v>
      </c>
    </row>
    <row r="17634" ht="22.5" customHeight="1">
      <c r="B17634" s="42" t="str">
        <f>IFERROR(__xludf.DUMMYFUNCTION("""COMPUTED_VALUE"""),"")</f>
        <v/>
      </c>
      <c r="C17634" s="42" t="str">
        <f>IFERROR(__xludf.DUMMYFUNCTION("""COMPUTED_VALUE"""),"")</f>
        <v/>
      </c>
      <c r="D17634" s="42"/>
      <c r="E17634" s="42"/>
      <c r="F17634" s="48" t="str">
        <f>IFERROR(__xludf.DUMMYFUNCTION("""COMPUTED_VALUE"""),"")</f>
        <v/>
      </c>
      <c r="G17634" s="42" t="str">
        <f>IFERROR(__xludf.DUMMYFUNCTION("""COMPUTED_VALUE"""),"")</f>
        <v/>
      </c>
      <c r="H17634" s="42">
        <f t="shared" si="1"/>
        <v>3345</v>
      </c>
    </row>
    <row r="17635" ht="22.5" customHeight="1">
      <c r="B17635" s="42" t="str">
        <f>IFERROR(__xludf.DUMMYFUNCTION("""COMPUTED_VALUE"""),"")</f>
        <v/>
      </c>
      <c r="C17635" s="42" t="str">
        <f>IFERROR(__xludf.DUMMYFUNCTION("""COMPUTED_VALUE"""),"")</f>
        <v/>
      </c>
      <c r="D17635" s="42"/>
      <c r="E17635" s="42"/>
      <c r="F17635" s="48" t="str">
        <f>IFERROR(__xludf.DUMMYFUNCTION("""COMPUTED_VALUE"""),"")</f>
        <v/>
      </c>
      <c r="G17635" s="42" t="str">
        <f>IFERROR(__xludf.DUMMYFUNCTION("""COMPUTED_VALUE"""),"")</f>
        <v/>
      </c>
      <c r="H17635" s="42">
        <f t="shared" si="1"/>
        <v>3345</v>
      </c>
    </row>
    <row r="17636" ht="22.5" customHeight="1">
      <c r="B17636" s="42" t="str">
        <f>IFERROR(__xludf.DUMMYFUNCTION("""COMPUTED_VALUE"""),"")</f>
        <v/>
      </c>
      <c r="C17636" s="42" t="str">
        <f>IFERROR(__xludf.DUMMYFUNCTION("""COMPUTED_VALUE"""),"")</f>
        <v/>
      </c>
      <c r="D17636" s="42"/>
      <c r="E17636" s="42"/>
      <c r="F17636" s="48" t="str">
        <f>IFERROR(__xludf.DUMMYFUNCTION("""COMPUTED_VALUE"""),"")</f>
        <v/>
      </c>
      <c r="G17636" s="42" t="str">
        <f>IFERROR(__xludf.DUMMYFUNCTION("""COMPUTED_VALUE"""),"")</f>
        <v/>
      </c>
      <c r="H17636" s="42">
        <f t="shared" si="1"/>
        <v>3345</v>
      </c>
    </row>
    <row r="17637" ht="22.5" customHeight="1">
      <c r="B17637" s="42" t="str">
        <f>IFERROR(__xludf.DUMMYFUNCTION("""COMPUTED_VALUE"""),"")</f>
        <v/>
      </c>
      <c r="C17637" s="42" t="str">
        <f>IFERROR(__xludf.DUMMYFUNCTION("""COMPUTED_VALUE"""),"")</f>
        <v/>
      </c>
      <c r="D17637" s="42"/>
      <c r="E17637" s="42"/>
      <c r="F17637" s="48" t="str">
        <f>IFERROR(__xludf.DUMMYFUNCTION("""COMPUTED_VALUE"""),"")</f>
        <v/>
      </c>
      <c r="G17637" s="42" t="str">
        <f>IFERROR(__xludf.DUMMYFUNCTION("""COMPUTED_VALUE"""),"")</f>
        <v/>
      </c>
      <c r="H17637" s="42">
        <f t="shared" si="1"/>
        <v>3345</v>
      </c>
    </row>
    <row r="17638" ht="22.5" customHeight="1">
      <c r="B17638" s="42" t="str">
        <f>IFERROR(__xludf.DUMMYFUNCTION("""COMPUTED_VALUE"""),"")</f>
        <v/>
      </c>
      <c r="C17638" s="42" t="str">
        <f>IFERROR(__xludf.DUMMYFUNCTION("""COMPUTED_VALUE"""),"")</f>
        <v/>
      </c>
      <c r="D17638" s="42"/>
      <c r="E17638" s="42"/>
      <c r="F17638" s="48" t="str">
        <f>IFERROR(__xludf.DUMMYFUNCTION("""COMPUTED_VALUE"""),"")</f>
        <v/>
      </c>
      <c r="G17638" s="42" t="str">
        <f>IFERROR(__xludf.DUMMYFUNCTION("""COMPUTED_VALUE"""),"")</f>
        <v/>
      </c>
      <c r="H17638" s="42">
        <f t="shared" si="1"/>
        <v>3345</v>
      </c>
    </row>
    <row r="17639" ht="22.5" customHeight="1">
      <c r="B17639" s="42" t="str">
        <f>IFERROR(__xludf.DUMMYFUNCTION("""COMPUTED_VALUE"""),"")</f>
        <v/>
      </c>
      <c r="C17639" s="42" t="str">
        <f>IFERROR(__xludf.DUMMYFUNCTION("""COMPUTED_VALUE"""),"")</f>
        <v/>
      </c>
      <c r="D17639" s="42"/>
      <c r="E17639" s="42"/>
      <c r="F17639" s="48" t="str">
        <f>IFERROR(__xludf.DUMMYFUNCTION("""COMPUTED_VALUE"""),"")</f>
        <v/>
      </c>
      <c r="G17639" s="42" t="str">
        <f>IFERROR(__xludf.DUMMYFUNCTION("""COMPUTED_VALUE"""),"")</f>
        <v/>
      </c>
      <c r="H17639" s="42">
        <f t="shared" si="1"/>
        <v>3345</v>
      </c>
    </row>
    <row r="17640" ht="22.5" customHeight="1">
      <c r="B17640" s="42" t="str">
        <f>IFERROR(__xludf.DUMMYFUNCTION("""COMPUTED_VALUE"""),"")</f>
        <v/>
      </c>
      <c r="C17640" s="42" t="str">
        <f>IFERROR(__xludf.DUMMYFUNCTION("""COMPUTED_VALUE"""),"")</f>
        <v/>
      </c>
      <c r="D17640" s="42"/>
      <c r="E17640" s="42"/>
      <c r="F17640" s="48" t="str">
        <f>IFERROR(__xludf.DUMMYFUNCTION("""COMPUTED_VALUE"""),"")</f>
        <v/>
      </c>
      <c r="G17640" s="42" t="str">
        <f>IFERROR(__xludf.DUMMYFUNCTION("""COMPUTED_VALUE"""),"")</f>
        <v/>
      </c>
      <c r="H17640" s="42">
        <f t="shared" si="1"/>
        <v>3345</v>
      </c>
    </row>
    <row r="17641" ht="22.5" customHeight="1">
      <c r="B17641" s="42" t="str">
        <f>IFERROR(__xludf.DUMMYFUNCTION("""COMPUTED_VALUE"""),"")</f>
        <v/>
      </c>
      <c r="C17641" s="42" t="str">
        <f>IFERROR(__xludf.DUMMYFUNCTION("""COMPUTED_VALUE"""),"")</f>
        <v/>
      </c>
      <c r="D17641" s="42"/>
      <c r="E17641" s="42"/>
      <c r="F17641" s="48" t="str">
        <f>IFERROR(__xludf.DUMMYFUNCTION("""COMPUTED_VALUE"""),"")</f>
        <v/>
      </c>
      <c r="G17641" s="42" t="str">
        <f>IFERROR(__xludf.DUMMYFUNCTION("""COMPUTED_VALUE"""),"")</f>
        <v/>
      </c>
      <c r="H17641" s="42">
        <f t="shared" si="1"/>
        <v>3345</v>
      </c>
    </row>
    <row r="17642" ht="22.5" customHeight="1">
      <c r="B17642" s="42" t="str">
        <f>IFERROR(__xludf.DUMMYFUNCTION("""COMPUTED_VALUE"""),"")</f>
        <v/>
      </c>
      <c r="C17642" s="42" t="str">
        <f>IFERROR(__xludf.DUMMYFUNCTION("""COMPUTED_VALUE"""),"")</f>
        <v/>
      </c>
      <c r="D17642" s="42"/>
      <c r="E17642" s="42"/>
      <c r="F17642" s="48" t="str">
        <f>IFERROR(__xludf.DUMMYFUNCTION("""COMPUTED_VALUE"""),"")</f>
        <v/>
      </c>
      <c r="G17642" s="42" t="str">
        <f>IFERROR(__xludf.DUMMYFUNCTION("""COMPUTED_VALUE"""),"")</f>
        <v/>
      </c>
      <c r="H17642" s="42">
        <f t="shared" si="1"/>
        <v>3345</v>
      </c>
    </row>
    <row r="17643" ht="22.5" customHeight="1">
      <c r="B17643" s="42" t="str">
        <f>IFERROR(__xludf.DUMMYFUNCTION("""COMPUTED_VALUE"""),"")</f>
        <v/>
      </c>
      <c r="C17643" s="42" t="str">
        <f>IFERROR(__xludf.DUMMYFUNCTION("""COMPUTED_VALUE"""),"")</f>
        <v/>
      </c>
      <c r="D17643" s="42"/>
      <c r="E17643" s="42"/>
      <c r="F17643" s="48" t="str">
        <f>IFERROR(__xludf.DUMMYFUNCTION("""COMPUTED_VALUE"""),"")</f>
        <v/>
      </c>
      <c r="G17643" s="42" t="str">
        <f>IFERROR(__xludf.DUMMYFUNCTION("""COMPUTED_VALUE"""),"")</f>
        <v/>
      </c>
      <c r="H17643" s="42">
        <f t="shared" si="1"/>
        <v>3345</v>
      </c>
    </row>
    <row r="17644" ht="22.5" customHeight="1">
      <c r="B17644" s="42" t="str">
        <f>IFERROR(__xludf.DUMMYFUNCTION("""COMPUTED_VALUE"""),"")</f>
        <v/>
      </c>
      <c r="C17644" s="42" t="str">
        <f>IFERROR(__xludf.DUMMYFUNCTION("""COMPUTED_VALUE"""),"")</f>
        <v/>
      </c>
      <c r="D17644" s="42"/>
      <c r="E17644" s="42"/>
      <c r="F17644" s="48" t="str">
        <f>IFERROR(__xludf.DUMMYFUNCTION("""COMPUTED_VALUE"""),"")</f>
        <v/>
      </c>
      <c r="G17644" s="42" t="str">
        <f>IFERROR(__xludf.DUMMYFUNCTION("""COMPUTED_VALUE"""),"")</f>
        <v/>
      </c>
      <c r="H17644" s="42">
        <f t="shared" si="1"/>
        <v>3345</v>
      </c>
    </row>
    <row r="17645" ht="22.5" customHeight="1">
      <c r="B17645" s="42" t="str">
        <f>IFERROR(__xludf.DUMMYFUNCTION("""COMPUTED_VALUE"""),"")</f>
        <v/>
      </c>
      <c r="C17645" s="42" t="str">
        <f>IFERROR(__xludf.DUMMYFUNCTION("""COMPUTED_VALUE"""),"")</f>
        <v/>
      </c>
      <c r="D17645" s="42"/>
      <c r="E17645" s="42"/>
      <c r="F17645" s="48" t="str">
        <f>IFERROR(__xludf.DUMMYFUNCTION("""COMPUTED_VALUE"""),"")</f>
        <v/>
      </c>
      <c r="G17645" s="42" t="str">
        <f>IFERROR(__xludf.DUMMYFUNCTION("""COMPUTED_VALUE"""),"")</f>
        <v/>
      </c>
      <c r="H17645" s="42">
        <f t="shared" si="1"/>
        <v>3345</v>
      </c>
    </row>
    <row r="17646" ht="22.5" customHeight="1">
      <c r="B17646" s="42" t="str">
        <f>IFERROR(__xludf.DUMMYFUNCTION("""COMPUTED_VALUE"""),"")</f>
        <v/>
      </c>
      <c r="C17646" s="42" t="str">
        <f>IFERROR(__xludf.DUMMYFUNCTION("""COMPUTED_VALUE"""),"")</f>
        <v/>
      </c>
      <c r="D17646" s="42"/>
      <c r="E17646" s="42"/>
      <c r="F17646" s="48" t="str">
        <f>IFERROR(__xludf.DUMMYFUNCTION("""COMPUTED_VALUE"""),"")</f>
        <v/>
      </c>
      <c r="G17646" s="42" t="str">
        <f>IFERROR(__xludf.DUMMYFUNCTION("""COMPUTED_VALUE"""),"")</f>
        <v/>
      </c>
      <c r="H17646" s="42">
        <f t="shared" si="1"/>
        <v>3345</v>
      </c>
    </row>
    <row r="17647" ht="22.5" customHeight="1">
      <c r="B17647" s="42" t="str">
        <f>IFERROR(__xludf.DUMMYFUNCTION("""COMPUTED_VALUE"""),"")</f>
        <v/>
      </c>
      <c r="C17647" s="42" t="str">
        <f>IFERROR(__xludf.DUMMYFUNCTION("""COMPUTED_VALUE"""),"")</f>
        <v/>
      </c>
      <c r="D17647" s="42"/>
      <c r="E17647" s="42"/>
      <c r="F17647" s="48" t="str">
        <f>IFERROR(__xludf.DUMMYFUNCTION("""COMPUTED_VALUE"""),"")</f>
        <v/>
      </c>
      <c r="G17647" s="42" t="str">
        <f>IFERROR(__xludf.DUMMYFUNCTION("""COMPUTED_VALUE"""),"")</f>
        <v/>
      </c>
      <c r="H17647" s="42">
        <f t="shared" si="1"/>
        <v>3345</v>
      </c>
    </row>
    <row r="17648" ht="22.5" customHeight="1">
      <c r="B17648" s="42" t="str">
        <f>IFERROR(__xludf.DUMMYFUNCTION("""COMPUTED_VALUE"""),"")</f>
        <v/>
      </c>
      <c r="C17648" s="42" t="str">
        <f>IFERROR(__xludf.DUMMYFUNCTION("""COMPUTED_VALUE"""),"")</f>
        <v/>
      </c>
      <c r="D17648" s="42"/>
      <c r="E17648" s="42"/>
      <c r="F17648" s="48" t="str">
        <f>IFERROR(__xludf.DUMMYFUNCTION("""COMPUTED_VALUE"""),"")</f>
        <v/>
      </c>
      <c r="G17648" s="42" t="str">
        <f>IFERROR(__xludf.DUMMYFUNCTION("""COMPUTED_VALUE"""),"")</f>
        <v/>
      </c>
      <c r="H17648" s="42">
        <f t="shared" si="1"/>
        <v>3345</v>
      </c>
    </row>
    <row r="17649" ht="22.5" customHeight="1">
      <c r="B17649" s="42" t="str">
        <f>IFERROR(__xludf.DUMMYFUNCTION("""COMPUTED_VALUE"""),"")</f>
        <v/>
      </c>
      <c r="C17649" s="42" t="str">
        <f>IFERROR(__xludf.DUMMYFUNCTION("""COMPUTED_VALUE"""),"")</f>
        <v/>
      </c>
      <c r="D17649" s="42"/>
      <c r="E17649" s="42"/>
      <c r="F17649" s="48" t="str">
        <f>IFERROR(__xludf.DUMMYFUNCTION("""COMPUTED_VALUE"""),"")</f>
        <v/>
      </c>
      <c r="G17649" s="42" t="str">
        <f>IFERROR(__xludf.DUMMYFUNCTION("""COMPUTED_VALUE"""),"")</f>
        <v/>
      </c>
      <c r="H17649" s="42">
        <f t="shared" si="1"/>
        <v>3345</v>
      </c>
    </row>
    <row r="17650" ht="22.5" customHeight="1">
      <c r="B17650" s="42" t="str">
        <f>IFERROR(__xludf.DUMMYFUNCTION("""COMPUTED_VALUE"""),"")</f>
        <v/>
      </c>
      <c r="C17650" s="42" t="str">
        <f>IFERROR(__xludf.DUMMYFUNCTION("""COMPUTED_VALUE"""),"")</f>
        <v/>
      </c>
      <c r="D17650" s="42"/>
      <c r="E17650" s="42"/>
      <c r="F17650" s="48" t="str">
        <f>IFERROR(__xludf.DUMMYFUNCTION("""COMPUTED_VALUE"""),"")</f>
        <v/>
      </c>
      <c r="G17650" s="42" t="str">
        <f>IFERROR(__xludf.DUMMYFUNCTION("""COMPUTED_VALUE"""),"")</f>
        <v/>
      </c>
      <c r="H17650" s="42">
        <f t="shared" si="1"/>
        <v>3345</v>
      </c>
    </row>
    <row r="17651" ht="22.5" customHeight="1">
      <c r="B17651" s="42" t="str">
        <f>IFERROR(__xludf.DUMMYFUNCTION("""COMPUTED_VALUE"""),"")</f>
        <v/>
      </c>
      <c r="C17651" s="42" t="str">
        <f>IFERROR(__xludf.DUMMYFUNCTION("""COMPUTED_VALUE"""),"")</f>
        <v/>
      </c>
      <c r="D17651" s="42"/>
      <c r="E17651" s="42"/>
      <c r="F17651" s="48" t="str">
        <f>IFERROR(__xludf.DUMMYFUNCTION("""COMPUTED_VALUE"""),"")</f>
        <v/>
      </c>
      <c r="G17651" s="42" t="str">
        <f>IFERROR(__xludf.DUMMYFUNCTION("""COMPUTED_VALUE"""),"")</f>
        <v/>
      </c>
      <c r="H17651" s="42">
        <f t="shared" si="1"/>
        <v>3345</v>
      </c>
    </row>
    <row r="17652" ht="22.5" customHeight="1">
      <c r="B17652" s="42" t="str">
        <f>IFERROR(__xludf.DUMMYFUNCTION("""COMPUTED_VALUE"""),"")</f>
        <v/>
      </c>
      <c r="C17652" s="42" t="str">
        <f>IFERROR(__xludf.DUMMYFUNCTION("""COMPUTED_VALUE"""),"")</f>
        <v/>
      </c>
      <c r="D17652" s="42"/>
      <c r="E17652" s="42"/>
      <c r="F17652" s="48" t="str">
        <f>IFERROR(__xludf.DUMMYFUNCTION("""COMPUTED_VALUE"""),"")</f>
        <v/>
      </c>
      <c r="G17652" s="42" t="str">
        <f>IFERROR(__xludf.DUMMYFUNCTION("""COMPUTED_VALUE"""),"")</f>
        <v/>
      </c>
      <c r="H17652" s="42">
        <f t="shared" si="1"/>
        <v>3345</v>
      </c>
    </row>
    <row r="17653" ht="22.5" customHeight="1">
      <c r="B17653" s="42" t="str">
        <f>IFERROR(__xludf.DUMMYFUNCTION("""COMPUTED_VALUE"""),"")</f>
        <v/>
      </c>
      <c r="C17653" s="42" t="str">
        <f>IFERROR(__xludf.DUMMYFUNCTION("""COMPUTED_VALUE"""),"")</f>
        <v/>
      </c>
      <c r="D17653" s="42"/>
      <c r="E17653" s="42"/>
      <c r="F17653" s="48" t="str">
        <f>IFERROR(__xludf.DUMMYFUNCTION("""COMPUTED_VALUE"""),"")</f>
        <v/>
      </c>
      <c r="G17653" s="42" t="str">
        <f>IFERROR(__xludf.DUMMYFUNCTION("""COMPUTED_VALUE"""),"")</f>
        <v/>
      </c>
      <c r="H17653" s="42">
        <f t="shared" si="1"/>
        <v>3345</v>
      </c>
    </row>
    <row r="17654" ht="22.5" customHeight="1">
      <c r="B17654" s="42" t="str">
        <f>IFERROR(__xludf.DUMMYFUNCTION("""COMPUTED_VALUE"""),"")</f>
        <v/>
      </c>
      <c r="C17654" s="42" t="str">
        <f>IFERROR(__xludf.DUMMYFUNCTION("""COMPUTED_VALUE"""),"")</f>
        <v/>
      </c>
      <c r="D17654" s="42"/>
      <c r="E17654" s="42"/>
      <c r="F17654" s="48" t="str">
        <f>IFERROR(__xludf.DUMMYFUNCTION("""COMPUTED_VALUE"""),"")</f>
        <v/>
      </c>
      <c r="G17654" s="42" t="str">
        <f>IFERROR(__xludf.DUMMYFUNCTION("""COMPUTED_VALUE"""),"")</f>
        <v/>
      </c>
      <c r="H17654" s="42">
        <f t="shared" si="1"/>
        <v>3345</v>
      </c>
    </row>
    <row r="17655" ht="22.5" customHeight="1">
      <c r="B17655" s="42" t="str">
        <f>IFERROR(__xludf.DUMMYFUNCTION("""COMPUTED_VALUE"""),"")</f>
        <v/>
      </c>
      <c r="C17655" s="42" t="str">
        <f>IFERROR(__xludf.DUMMYFUNCTION("""COMPUTED_VALUE"""),"")</f>
        <v/>
      </c>
      <c r="D17655" s="42"/>
      <c r="E17655" s="42"/>
      <c r="F17655" s="48" t="str">
        <f>IFERROR(__xludf.DUMMYFUNCTION("""COMPUTED_VALUE"""),"")</f>
        <v/>
      </c>
      <c r="G17655" s="42" t="str">
        <f>IFERROR(__xludf.DUMMYFUNCTION("""COMPUTED_VALUE"""),"")</f>
        <v/>
      </c>
      <c r="H17655" s="42">
        <f t="shared" si="1"/>
        <v>3345</v>
      </c>
    </row>
    <row r="17656" ht="22.5" customHeight="1">
      <c r="B17656" s="42" t="str">
        <f>IFERROR(__xludf.DUMMYFUNCTION("""COMPUTED_VALUE"""),"")</f>
        <v/>
      </c>
      <c r="C17656" s="42" t="str">
        <f>IFERROR(__xludf.DUMMYFUNCTION("""COMPUTED_VALUE"""),"")</f>
        <v/>
      </c>
      <c r="D17656" s="42"/>
      <c r="E17656" s="42"/>
      <c r="F17656" s="48" t="str">
        <f>IFERROR(__xludf.DUMMYFUNCTION("""COMPUTED_VALUE"""),"")</f>
        <v/>
      </c>
      <c r="G17656" s="42" t="str">
        <f>IFERROR(__xludf.DUMMYFUNCTION("""COMPUTED_VALUE"""),"")</f>
        <v/>
      </c>
      <c r="H17656" s="42">
        <f t="shared" si="1"/>
        <v>3345</v>
      </c>
    </row>
    <row r="17657" ht="22.5" customHeight="1">
      <c r="B17657" s="42" t="str">
        <f>IFERROR(__xludf.DUMMYFUNCTION("""COMPUTED_VALUE"""),"")</f>
        <v/>
      </c>
      <c r="C17657" s="42" t="str">
        <f>IFERROR(__xludf.DUMMYFUNCTION("""COMPUTED_VALUE"""),"")</f>
        <v/>
      </c>
      <c r="D17657" s="42"/>
      <c r="E17657" s="42"/>
      <c r="F17657" s="48" t="str">
        <f>IFERROR(__xludf.DUMMYFUNCTION("""COMPUTED_VALUE"""),"")</f>
        <v/>
      </c>
      <c r="G17657" s="42" t="str">
        <f>IFERROR(__xludf.DUMMYFUNCTION("""COMPUTED_VALUE"""),"")</f>
        <v/>
      </c>
      <c r="H17657" s="42">
        <f t="shared" si="1"/>
        <v>3345</v>
      </c>
    </row>
    <row r="17658" ht="22.5" customHeight="1">
      <c r="B17658" s="42" t="str">
        <f>IFERROR(__xludf.DUMMYFUNCTION("""COMPUTED_VALUE"""),"")</f>
        <v/>
      </c>
      <c r="C17658" s="42" t="str">
        <f>IFERROR(__xludf.DUMMYFUNCTION("""COMPUTED_VALUE"""),"")</f>
        <v/>
      </c>
      <c r="D17658" s="42"/>
      <c r="E17658" s="42"/>
      <c r="F17658" s="48" t="str">
        <f>IFERROR(__xludf.DUMMYFUNCTION("""COMPUTED_VALUE"""),"")</f>
        <v/>
      </c>
      <c r="G17658" s="42" t="str">
        <f>IFERROR(__xludf.DUMMYFUNCTION("""COMPUTED_VALUE"""),"")</f>
        <v/>
      </c>
      <c r="H17658" s="42">
        <f t="shared" si="1"/>
        <v>3345</v>
      </c>
    </row>
    <row r="17659" ht="22.5" customHeight="1">
      <c r="B17659" s="42" t="str">
        <f>IFERROR(__xludf.DUMMYFUNCTION("""COMPUTED_VALUE"""),"")</f>
        <v/>
      </c>
      <c r="C17659" s="42" t="str">
        <f>IFERROR(__xludf.DUMMYFUNCTION("""COMPUTED_VALUE"""),"")</f>
        <v/>
      </c>
      <c r="D17659" s="42"/>
      <c r="E17659" s="42"/>
      <c r="F17659" s="48" t="str">
        <f>IFERROR(__xludf.DUMMYFUNCTION("""COMPUTED_VALUE"""),"")</f>
        <v/>
      </c>
      <c r="G17659" s="42" t="str">
        <f>IFERROR(__xludf.DUMMYFUNCTION("""COMPUTED_VALUE"""),"")</f>
        <v/>
      </c>
      <c r="H17659" s="42">
        <f t="shared" si="1"/>
        <v>3345</v>
      </c>
    </row>
    <row r="17660" ht="22.5" customHeight="1">
      <c r="B17660" s="42" t="str">
        <f>IFERROR(__xludf.DUMMYFUNCTION("""COMPUTED_VALUE"""),"")</f>
        <v/>
      </c>
      <c r="C17660" s="42" t="str">
        <f>IFERROR(__xludf.DUMMYFUNCTION("""COMPUTED_VALUE"""),"")</f>
        <v/>
      </c>
      <c r="D17660" s="42"/>
      <c r="E17660" s="42"/>
      <c r="F17660" s="48" t="str">
        <f>IFERROR(__xludf.DUMMYFUNCTION("""COMPUTED_VALUE"""),"")</f>
        <v/>
      </c>
      <c r="G17660" s="42" t="str">
        <f>IFERROR(__xludf.DUMMYFUNCTION("""COMPUTED_VALUE"""),"")</f>
        <v/>
      </c>
      <c r="H17660" s="42">
        <f t="shared" si="1"/>
        <v>3345</v>
      </c>
    </row>
    <row r="17661" ht="22.5" customHeight="1">
      <c r="B17661" s="42" t="str">
        <f>IFERROR(__xludf.DUMMYFUNCTION("""COMPUTED_VALUE"""),"")</f>
        <v/>
      </c>
      <c r="C17661" s="42" t="str">
        <f>IFERROR(__xludf.DUMMYFUNCTION("""COMPUTED_VALUE"""),"")</f>
        <v/>
      </c>
      <c r="D17661" s="42"/>
      <c r="E17661" s="42"/>
      <c r="F17661" s="48" t="str">
        <f>IFERROR(__xludf.DUMMYFUNCTION("""COMPUTED_VALUE"""),"")</f>
        <v/>
      </c>
      <c r="G17661" s="42" t="str">
        <f>IFERROR(__xludf.DUMMYFUNCTION("""COMPUTED_VALUE"""),"")</f>
        <v/>
      </c>
      <c r="H17661" s="42">
        <f t="shared" si="1"/>
        <v>3345</v>
      </c>
    </row>
    <row r="17662" ht="22.5" customHeight="1">
      <c r="B17662" s="42" t="str">
        <f>IFERROR(__xludf.DUMMYFUNCTION("""COMPUTED_VALUE"""),"")</f>
        <v/>
      </c>
      <c r="C17662" s="42" t="str">
        <f>IFERROR(__xludf.DUMMYFUNCTION("""COMPUTED_VALUE"""),"")</f>
        <v/>
      </c>
      <c r="D17662" s="42"/>
      <c r="E17662" s="42"/>
      <c r="F17662" s="48" t="str">
        <f>IFERROR(__xludf.DUMMYFUNCTION("""COMPUTED_VALUE"""),"")</f>
        <v/>
      </c>
      <c r="G17662" s="42" t="str">
        <f>IFERROR(__xludf.DUMMYFUNCTION("""COMPUTED_VALUE"""),"")</f>
        <v/>
      </c>
      <c r="H17662" s="42">
        <f t="shared" si="1"/>
        <v>3345</v>
      </c>
    </row>
    <row r="17663" ht="22.5" customHeight="1">
      <c r="B17663" s="42" t="str">
        <f>IFERROR(__xludf.DUMMYFUNCTION("""COMPUTED_VALUE"""),"")</f>
        <v/>
      </c>
      <c r="C17663" s="42" t="str">
        <f>IFERROR(__xludf.DUMMYFUNCTION("""COMPUTED_VALUE"""),"")</f>
        <v/>
      </c>
      <c r="D17663" s="42"/>
      <c r="E17663" s="42"/>
      <c r="F17663" s="48" t="str">
        <f>IFERROR(__xludf.DUMMYFUNCTION("""COMPUTED_VALUE"""),"")</f>
        <v/>
      </c>
      <c r="G17663" s="42" t="str">
        <f>IFERROR(__xludf.DUMMYFUNCTION("""COMPUTED_VALUE"""),"")</f>
        <v/>
      </c>
      <c r="H17663" s="42">
        <f t="shared" si="1"/>
        <v>3345</v>
      </c>
    </row>
    <row r="17664" ht="22.5" customHeight="1">
      <c r="B17664" s="42" t="str">
        <f>IFERROR(__xludf.DUMMYFUNCTION("""COMPUTED_VALUE"""),"")</f>
        <v/>
      </c>
      <c r="C17664" s="42" t="str">
        <f>IFERROR(__xludf.DUMMYFUNCTION("""COMPUTED_VALUE"""),"")</f>
        <v/>
      </c>
      <c r="D17664" s="42"/>
      <c r="E17664" s="42"/>
      <c r="F17664" s="48" t="str">
        <f>IFERROR(__xludf.DUMMYFUNCTION("""COMPUTED_VALUE"""),"")</f>
        <v/>
      </c>
      <c r="G17664" s="42" t="str">
        <f>IFERROR(__xludf.DUMMYFUNCTION("""COMPUTED_VALUE"""),"")</f>
        <v/>
      </c>
      <c r="H17664" s="42">
        <f t="shared" si="1"/>
        <v>3345</v>
      </c>
    </row>
    <row r="17665" ht="22.5" customHeight="1">
      <c r="B17665" s="42" t="str">
        <f>IFERROR(__xludf.DUMMYFUNCTION("""COMPUTED_VALUE"""),"")</f>
        <v/>
      </c>
      <c r="C17665" s="42" t="str">
        <f>IFERROR(__xludf.DUMMYFUNCTION("""COMPUTED_VALUE"""),"")</f>
        <v/>
      </c>
      <c r="D17665" s="42"/>
      <c r="E17665" s="42"/>
      <c r="F17665" s="48" t="str">
        <f>IFERROR(__xludf.DUMMYFUNCTION("""COMPUTED_VALUE"""),"")</f>
        <v/>
      </c>
      <c r="G17665" s="42" t="str">
        <f>IFERROR(__xludf.DUMMYFUNCTION("""COMPUTED_VALUE"""),"")</f>
        <v/>
      </c>
      <c r="H17665" s="42">
        <f t="shared" si="1"/>
        <v>3345</v>
      </c>
    </row>
    <row r="17666" ht="22.5" customHeight="1">
      <c r="B17666" s="42" t="str">
        <f>IFERROR(__xludf.DUMMYFUNCTION("""COMPUTED_VALUE"""),"")</f>
        <v/>
      </c>
      <c r="C17666" s="42" t="str">
        <f>IFERROR(__xludf.DUMMYFUNCTION("""COMPUTED_VALUE"""),"")</f>
        <v/>
      </c>
      <c r="D17666" s="42"/>
      <c r="E17666" s="42"/>
      <c r="F17666" s="48" t="str">
        <f>IFERROR(__xludf.DUMMYFUNCTION("""COMPUTED_VALUE"""),"")</f>
        <v/>
      </c>
      <c r="G17666" s="42" t="str">
        <f>IFERROR(__xludf.DUMMYFUNCTION("""COMPUTED_VALUE"""),"")</f>
        <v/>
      </c>
      <c r="H17666" s="42">
        <f t="shared" si="1"/>
        <v>3345</v>
      </c>
    </row>
    <row r="17667" ht="22.5" customHeight="1">
      <c r="B17667" s="42" t="str">
        <f>IFERROR(__xludf.DUMMYFUNCTION("""COMPUTED_VALUE"""),"")</f>
        <v/>
      </c>
      <c r="C17667" s="42" t="str">
        <f>IFERROR(__xludf.DUMMYFUNCTION("""COMPUTED_VALUE"""),"")</f>
        <v/>
      </c>
      <c r="D17667" s="42"/>
      <c r="E17667" s="42"/>
      <c r="F17667" s="48" t="str">
        <f>IFERROR(__xludf.DUMMYFUNCTION("""COMPUTED_VALUE"""),"")</f>
        <v/>
      </c>
      <c r="G17667" s="42" t="str">
        <f>IFERROR(__xludf.DUMMYFUNCTION("""COMPUTED_VALUE"""),"")</f>
        <v/>
      </c>
      <c r="H17667" s="42">
        <f t="shared" si="1"/>
        <v>3345</v>
      </c>
    </row>
    <row r="17668" ht="22.5" customHeight="1">
      <c r="B17668" s="42" t="str">
        <f>IFERROR(__xludf.DUMMYFUNCTION("""COMPUTED_VALUE"""),"")</f>
        <v/>
      </c>
      <c r="C17668" s="42" t="str">
        <f>IFERROR(__xludf.DUMMYFUNCTION("""COMPUTED_VALUE"""),"")</f>
        <v/>
      </c>
      <c r="D17668" s="42"/>
      <c r="E17668" s="42"/>
      <c r="F17668" s="48" t="str">
        <f>IFERROR(__xludf.DUMMYFUNCTION("""COMPUTED_VALUE"""),"")</f>
        <v/>
      </c>
      <c r="G17668" s="42" t="str">
        <f>IFERROR(__xludf.DUMMYFUNCTION("""COMPUTED_VALUE"""),"")</f>
        <v/>
      </c>
      <c r="H17668" s="42">
        <f t="shared" si="1"/>
        <v>3345</v>
      </c>
    </row>
    <row r="17669" ht="22.5" customHeight="1">
      <c r="B17669" s="42" t="str">
        <f>IFERROR(__xludf.DUMMYFUNCTION("""COMPUTED_VALUE"""),"")</f>
        <v/>
      </c>
      <c r="C17669" s="42" t="str">
        <f>IFERROR(__xludf.DUMMYFUNCTION("""COMPUTED_VALUE"""),"")</f>
        <v/>
      </c>
      <c r="D17669" s="42"/>
      <c r="E17669" s="42"/>
      <c r="F17669" s="48" t="str">
        <f>IFERROR(__xludf.DUMMYFUNCTION("""COMPUTED_VALUE"""),"")</f>
        <v/>
      </c>
      <c r="G17669" s="42" t="str">
        <f>IFERROR(__xludf.DUMMYFUNCTION("""COMPUTED_VALUE"""),"")</f>
        <v/>
      </c>
      <c r="H17669" s="42">
        <f t="shared" si="1"/>
        <v>3345</v>
      </c>
    </row>
    <row r="17670" ht="22.5" customHeight="1">
      <c r="B17670" s="42" t="str">
        <f>IFERROR(__xludf.DUMMYFUNCTION("""COMPUTED_VALUE"""),"")</f>
        <v/>
      </c>
      <c r="C17670" s="42" t="str">
        <f>IFERROR(__xludf.DUMMYFUNCTION("""COMPUTED_VALUE"""),"")</f>
        <v/>
      </c>
      <c r="D17670" s="42"/>
      <c r="E17670" s="42"/>
      <c r="F17670" s="48" t="str">
        <f>IFERROR(__xludf.DUMMYFUNCTION("""COMPUTED_VALUE"""),"")</f>
        <v/>
      </c>
      <c r="G17670" s="42" t="str">
        <f>IFERROR(__xludf.DUMMYFUNCTION("""COMPUTED_VALUE"""),"")</f>
        <v/>
      </c>
      <c r="H17670" s="42">
        <f t="shared" si="1"/>
        <v>3345</v>
      </c>
    </row>
    <row r="17671" ht="22.5" customHeight="1">
      <c r="B17671" s="42" t="str">
        <f>IFERROR(__xludf.DUMMYFUNCTION("""COMPUTED_VALUE"""),"")</f>
        <v/>
      </c>
      <c r="C17671" s="42" t="str">
        <f>IFERROR(__xludf.DUMMYFUNCTION("""COMPUTED_VALUE"""),"")</f>
        <v/>
      </c>
      <c r="D17671" s="42"/>
      <c r="E17671" s="42"/>
      <c r="F17671" s="48" t="str">
        <f>IFERROR(__xludf.DUMMYFUNCTION("""COMPUTED_VALUE"""),"")</f>
        <v/>
      </c>
      <c r="G17671" s="42" t="str">
        <f>IFERROR(__xludf.DUMMYFUNCTION("""COMPUTED_VALUE"""),"")</f>
        <v/>
      </c>
      <c r="H17671" s="42">
        <f t="shared" si="1"/>
        <v>3345</v>
      </c>
    </row>
    <row r="17672" ht="22.5" customHeight="1">
      <c r="B17672" s="42" t="str">
        <f>IFERROR(__xludf.DUMMYFUNCTION("""COMPUTED_VALUE"""),"")</f>
        <v/>
      </c>
      <c r="C17672" s="42" t="str">
        <f>IFERROR(__xludf.DUMMYFUNCTION("""COMPUTED_VALUE"""),"")</f>
        <v/>
      </c>
      <c r="D17672" s="42"/>
      <c r="E17672" s="42"/>
      <c r="F17672" s="48" t="str">
        <f>IFERROR(__xludf.DUMMYFUNCTION("""COMPUTED_VALUE"""),"")</f>
        <v/>
      </c>
      <c r="G17672" s="42" t="str">
        <f>IFERROR(__xludf.DUMMYFUNCTION("""COMPUTED_VALUE"""),"")</f>
        <v/>
      </c>
      <c r="H17672" s="42">
        <f t="shared" si="1"/>
        <v>3345</v>
      </c>
    </row>
    <row r="17673" ht="22.5" customHeight="1">
      <c r="B17673" s="42" t="str">
        <f>IFERROR(__xludf.DUMMYFUNCTION("""COMPUTED_VALUE"""),"")</f>
        <v/>
      </c>
      <c r="C17673" s="42" t="str">
        <f>IFERROR(__xludf.DUMMYFUNCTION("""COMPUTED_VALUE"""),"")</f>
        <v/>
      </c>
      <c r="D17673" s="42"/>
      <c r="E17673" s="42"/>
      <c r="F17673" s="48" t="str">
        <f>IFERROR(__xludf.DUMMYFUNCTION("""COMPUTED_VALUE"""),"")</f>
        <v/>
      </c>
      <c r="G17673" s="42" t="str">
        <f>IFERROR(__xludf.DUMMYFUNCTION("""COMPUTED_VALUE"""),"")</f>
        <v/>
      </c>
      <c r="H17673" s="42">
        <f t="shared" si="1"/>
        <v>3345</v>
      </c>
    </row>
    <row r="17674" ht="22.5" customHeight="1">
      <c r="B17674" s="42" t="str">
        <f>IFERROR(__xludf.DUMMYFUNCTION("""COMPUTED_VALUE"""),"")</f>
        <v/>
      </c>
      <c r="C17674" s="42" t="str">
        <f>IFERROR(__xludf.DUMMYFUNCTION("""COMPUTED_VALUE"""),"")</f>
        <v/>
      </c>
      <c r="D17674" s="42"/>
      <c r="E17674" s="42"/>
      <c r="F17674" s="48" t="str">
        <f>IFERROR(__xludf.DUMMYFUNCTION("""COMPUTED_VALUE"""),"")</f>
        <v/>
      </c>
      <c r="G17674" s="42" t="str">
        <f>IFERROR(__xludf.DUMMYFUNCTION("""COMPUTED_VALUE"""),"")</f>
        <v/>
      </c>
      <c r="H17674" s="42">
        <f t="shared" si="1"/>
        <v>3345</v>
      </c>
    </row>
    <row r="17675" ht="22.5" customHeight="1">
      <c r="B17675" s="42" t="str">
        <f>IFERROR(__xludf.DUMMYFUNCTION("""COMPUTED_VALUE"""),"")</f>
        <v/>
      </c>
      <c r="C17675" s="42" t="str">
        <f>IFERROR(__xludf.DUMMYFUNCTION("""COMPUTED_VALUE"""),"")</f>
        <v/>
      </c>
      <c r="D17675" s="42"/>
      <c r="E17675" s="42"/>
      <c r="F17675" s="48" t="str">
        <f>IFERROR(__xludf.DUMMYFUNCTION("""COMPUTED_VALUE"""),"")</f>
        <v/>
      </c>
      <c r="G17675" s="42" t="str">
        <f>IFERROR(__xludf.DUMMYFUNCTION("""COMPUTED_VALUE"""),"")</f>
        <v/>
      </c>
      <c r="H17675" s="42">
        <f t="shared" si="1"/>
        <v>3345</v>
      </c>
    </row>
    <row r="17676" ht="22.5" customHeight="1">
      <c r="B17676" s="42" t="str">
        <f>IFERROR(__xludf.DUMMYFUNCTION("""COMPUTED_VALUE"""),"")</f>
        <v/>
      </c>
      <c r="C17676" s="42" t="str">
        <f>IFERROR(__xludf.DUMMYFUNCTION("""COMPUTED_VALUE"""),"")</f>
        <v/>
      </c>
      <c r="D17676" s="42"/>
      <c r="E17676" s="42"/>
      <c r="F17676" s="48" t="str">
        <f>IFERROR(__xludf.DUMMYFUNCTION("""COMPUTED_VALUE"""),"")</f>
        <v/>
      </c>
      <c r="G17676" s="42" t="str">
        <f>IFERROR(__xludf.DUMMYFUNCTION("""COMPUTED_VALUE"""),"")</f>
        <v/>
      </c>
      <c r="H17676" s="42">
        <f t="shared" si="1"/>
        <v>3345</v>
      </c>
    </row>
    <row r="17677" ht="22.5" customHeight="1">
      <c r="B17677" s="42" t="str">
        <f>IFERROR(__xludf.DUMMYFUNCTION("""COMPUTED_VALUE"""),"")</f>
        <v/>
      </c>
      <c r="C17677" s="42" t="str">
        <f>IFERROR(__xludf.DUMMYFUNCTION("""COMPUTED_VALUE"""),"")</f>
        <v/>
      </c>
      <c r="D17677" s="42"/>
      <c r="E17677" s="42"/>
      <c r="F17677" s="48" t="str">
        <f>IFERROR(__xludf.DUMMYFUNCTION("""COMPUTED_VALUE"""),"")</f>
        <v/>
      </c>
      <c r="G17677" s="42" t="str">
        <f>IFERROR(__xludf.DUMMYFUNCTION("""COMPUTED_VALUE"""),"")</f>
        <v/>
      </c>
      <c r="H17677" s="42">
        <f t="shared" si="1"/>
        <v>3345</v>
      </c>
    </row>
    <row r="17678" ht="22.5" customHeight="1">
      <c r="B17678" s="42" t="str">
        <f>IFERROR(__xludf.DUMMYFUNCTION("""COMPUTED_VALUE"""),"")</f>
        <v/>
      </c>
      <c r="C17678" s="42" t="str">
        <f>IFERROR(__xludf.DUMMYFUNCTION("""COMPUTED_VALUE"""),"")</f>
        <v/>
      </c>
      <c r="D17678" s="42"/>
      <c r="E17678" s="42"/>
      <c r="F17678" s="48" t="str">
        <f>IFERROR(__xludf.DUMMYFUNCTION("""COMPUTED_VALUE"""),"")</f>
        <v/>
      </c>
      <c r="G17678" s="42" t="str">
        <f>IFERROR(__xludf.DUMMYFUNCTION("""COMPUTED_VALUE"""),"")</f>
        <v/>
      </c>
      <c r="H17678" s="42">
        <f t="shared" si="1"/>
        <v>3345</v>
      </c>
    </row>
    <row r="17679" ht="22.5" customHeight="1">
      <c r="B17679" s="42" t="str">
        <f>IFERROR(__xludf.DUMMYFUNCTION("""COMPUTED_VALUE"""),"")</f>
        <v/>
      </c>
      <c r="C17679" s="42" t="str">
        <f>IFERROR(__xludf.DUMMYFUNCTION("""COMPUTED_VALUE"""),"")</f>
        <v/>
      </c>
      <c r="D17679" s="42"/>
      <c r="E17679" s="42"/>
      <c r="F17679" s="48" t="str">
        <f>IFERROR(__xludf.DUMMYFUNCTION("""COMPUTED_VALUE"""),"")</f>
        <v/>
      </c>
      <c r="G17679" s="42" t="str">
        <f>IFERROR(__xludf.DUMMYFUNCTION("""COMPUTED_VALUE"""),"")</f>
        <v/>
      </c>
      <c r="H17679" s="42">
        <f t="shared" si="1"/>
        <v>3345</v>
      </c>
    </row>
    <row r="17680" ht="22.5" customHeight="1">
      <c r="B17680" s="42" t="str">
        <f>IFERROR(__xludf.DUMMYFUNCTION("""COMPUTED_VALUE"""),"")</f>
        <v/>
      </c>
      <c r="C17680" s="42" t="str">
        <f>IFERROR(__xludf.DUMMYFUNCTION("""COMPUTED_VALUE"""),"")</f>
        <v/>
      </c>
      <c r="D17680" s="42"/>
      <c r="E17680" s="42"/>
      <c r="F17680" s="48" t="str">
        <f>IFERROR(__xludf.DUMMYFUNCTION("""COMPUTED_VALUE"""),"")</f>
        <v/>
      </c>
      <c r="G17680" s="42" t="str">
        <f>IFERROR(__xludf.DUMMYFUNCTION("""COMPUTED_VALUE"""),"")</f>
        <v/>
      </c>
      <c r="H17680" s="42">
        <f t="shared" si="1"/>
        <v>3345</v>
      </c>
    </row>
    <row r="17681" ht="22.5" customHeight="1">
      <c r="B17681" s="42" t="str">
        <f>IFERROR(__xludf.DUMMYFUNCTION("""COMPUTED_VALUE"""),"")</f>
        <v/>
      </c>
      <c r="C17681" s="42" t="str">
        <f>IFERROR(__xludf.DUMMYFUNCTION("""COMPUTED_VALUE"""),"")</f>
        <v/>
      </c>
      <c r="D17681" s="42"/>
      <c r="E17681" s="42"/>
      <c r="F17681" s="48" t="str">
        <f>IFERROR(__xludf.DUMMYFUNCTION("""COMPUTED_VALUE"""),"")</f>
        <v/>
      </c>
      <c r="G17681" s="42" t="str">
        <f>IFERROR(__xludf.DUMMYFUNCTION("""COMPUTED_VALUE"""),"")</f>
        <v/>
      </c>
      <c r="H17681" s="42">
        <f t="shared" si="1"/>
        <v>3345</v>
      </c>
    </row>
    <row r="17682" ht="22.5" customHeight="1">
      <c r="B17682" s="42" t="str">
        <f>IFERROR(__xludf.DUMMYFUNCTION("""COMPUTED_VALUE"""),"")</f>
        <v/>
      </c>
      <c r="C17682" s="42" t="str">
        <f>IFERROR(__xludf.DUMMYFUNCTION("""COMPUTED_VALUE"""),"")</f>
        <v/>
      </c>
      <c r="D17682" s="42"/>
      <c r="E17682" s="42"/>
      <c r="F17682" s="48" t="str">
        <f>IFERROR(__xludf.DUMMYFUNCTION("""COMPUTED_VALUE"""),"")</f>
        <v/>
      </c>
      <c r="G17682" s="42" t="str">
        <f>IFERROR(__xludf.DUMMYFUNCTION("""COMPUTED_VALUE"""),"")</f>
        <v/>
      </c>
      <c r="H17682" s="42">
        <f t="shared" si="1"/>
        <v>3345</v>
      </c>
    </row>
    <row r="17683" ht="22.5" customHeight="1">
      <c r="B17683" s="42" t="str">
        <f>IFERROR(__xludf.DUMMYFUNCTION("""COMPUTED_VALUE"""),"")</f>
        <v/>
      </c>
      <c r="C17683" s="42" t="str">
        <f>IFERROR(__xludf.DUMMYFUNCTION("""COMPUTED_VALUE"""),"")</f>
        <v/>
      </c>
      <c r="D17683" s="42"/>
      <c r="E17683" s="42"/>
      <c r="F17683" s="48" t="str">
        <f>IFERROR(__xludf.DUMMYFUNCTION("""COMPUTED_VALUE"""),"")</f>
        <v/>
      </c>
      <c r="G17683" s="42" t="str">
        <f>IFERROR(__xludf.DUMMYFUNCTION("""COMPUTED_VALUE"""),"")</f>
        <v/>
      </c>
      <c r="H17683" s="42">
        <f t="shared" si="1"/>
        <v>3345</v>
      </c>
    </row>
    <row r="17684" ht="22.5" customHeight="1">
      <c r="B17684" s="42" t="str">
        <f>IFERROR(__xludf.DUMMYFUNCTION("""COMPUTED_VALUE"""),"")</f>
        <v/>
      </c>
      <c r="C17684" s="42" t="str">
        <f>IFERROR(__xludf.DUMMYFUNCTION("""COMPUTED_VALUE"""),"")</f>
        <v/>
      </c>
      <c r="D17684" s="42"/>
      <c r="E17684" s="42"/>
      <c r="F17684" s="48" t="str">
        <f>IFERROR(__xludf.DUMMYFUNCTION("""COMPUTED_VALUE"""),"")</f>
        <v/>
      </c>
      <c r="G17684" s="42" t="str">
        <f>IFERROR(__xludf.DUMMYFUNCTION("""COMPUTED_VALUE"""),"")</f>
        <v/>
      </c>
      <c r="H17684" s="42">
        <f t="shared" si="1"/>
        <v>3345</v>
      </c>
    </row>
    <row r="17685" ht="22.5" customHeight="1">
      <c r="B17685" s="42" t="str">
        <f>IFERROR(__xludf.DUMMYFUNCTION("""COMPUTED_VALUE"""),"")</f>
        <v/>
      </c>
      <c r="C17685" s="42" t="str">
        <f>IFERROR(__xludf.DUMMYFUNCTION("""COMPUTED_VALUE"""),"")</f>
        <v/>
      </c>
      <c r="D17685" s="42"/>
      <c r="E17685" s="42"/>
      <c r="F17685" s="48" t="str">
        <f>IFERROR(__xludf.DUMMYFUNCTION("""COMPUTED_VALUE"""),"")</f>
        <v/>
      </c>
      <c r="G17685" s="42" t="str">
        <f>IFERROR(__xludf.DUMMYFUNCTION("""COMPUTED_VALUE"""),"")</f>
        <v/>
      </c>
      <c r="H17685" s="42">
        <f t="shared" si="1"/>
        <v>3345</v>
      </c>
    </row>
    <row r="17686" ht="22.5" customHeight="1">
      <c r="B17686" s="42" t="str">
        <f>IFERROR(__xludf.DUMMYFUNCTION("""COMPUTED_VALUE"""),"")</f>
        <v/>
      </c>
      <c r="C17686" s="42" t="str">
        <f>IFERROR(__xludf.DUMMYFUNCTION("""COMPUTED_VALUE"""),"")</f>
        <v/>
      </c>
      <c r="D17686" s="42"/>
      <c r="E17686" s="42"/>
      <c r="F17686" s="48" t="str">
        <f>IFERROR(__xludf.DUMMYFUNCTION("""COMPUTED_VALUE"""),"")</f>
        <v/>
      </c>
      <c r="G17686" s="42" t="str">
        <f>IFERROR(__xludf.DUMMYFUNCTION("""COMPUTED_VALUE"""),"")</f>
        <v/>
      </c>
      <c r="H17686" s="42">
        <f t="shared" si="1"/>
        <v>3345</v>
      </c>
    </row>
    <row r="17687" ht="22.5" customHeight="1">
      <c r="B17687" s="42" t="str">
        <f>IFERROR(__xludf.DUMMYFUNCTION("""COMPUTED_VALUE"""),"")</f>
        <v/>
      </c>
      <c r="C17687" s="42" t="str">
        <f>IFERROR(__xludf.DUMMYFUNCTION("""COMPUTED_VALUE"""),"")</f>
        <v/>
      </c>
      <c r="D17687" s="42"/>
      <c r="E17687" s="42"/>
      <c r="F17687" s="48" t="str">
        <f>IFERROR(__xludf.DUMMYFUNCTION("""COMPUTED_VALUE"""),"")</f>
        <v/>
      </c>
      <c r="G17687" s="42" t="str">
        <f>IFERROR(__xludf.DUMMYFUNCTION("""COMPUTED_VALUE"""),"")</f>
        <v/>
      </c>
      <c r="H17687" s="42">
        <f t="shared" si="1"/>
        <v>3345</v>
      </c>
    </row>
    <row r="17688" ht="22.5" customHeight="1">
      <c r="B17688" s="42" t="str">
        <f>IFERROR(__xludf.DUMMYFUNCTION("""COMPUTED_VALUE"""),"")</f>
        <v/>
      </c>
      <c r="C17688" s="42" t="str">
        <f>IFERROR(__xludf.DUMMYFUNCTION("""COMPUTED_VALUE"""),"")</f>
        <v/>
      </c>
      <c r="D17688" s="42"/>
      <c r="E17688" s="42"/>
      <c r="F17688" s="48" t="str">
        <f>IFERROR(__xludf.DUMMYFUNCTION("""COMPUTED_VALUE"""),"")</f>
        <v/>
      </c>
      <c r="G17688" s="42" t="str">
        <f>IFERROR(__xludf.DUMMYFUNCTION("""COMPUTED_VALUE"""),"")</f>
        <v/>
      </c>
      <c r="H17688" s="42">
        <f t="shared" si="1"/>
        <v>3345</v>
      </c>
    </row>
    <row r="17689" ht="22.5" customHeight="1">
      <c r="B17689" s="42" t="str">
        <f>IFERROR(__xludf.DUMMYFUNCTION("""COMPUTED_VALUE"""),"")</f>
        <v/>
      </c>
      <c r="C17689" s="42" t="str">
        <f>IFERROR(__xludf.DUMMYFUNCTION("""COMPUTED_VALUE"""),"")</f>
        <v/>
      </c>
      <c r="D17689" s="42"/>
      <c r="E17689" s="42"/>
      <c r="F17689" s="48" t="str">
        <f>IFERROR(__xludf.DUMMYFUNCTION("""COMPUTED_VALUE"""),"")</f>
        <v/>
      </c>
      <c r="G17689" s="42" t="str">
        <f>IFERROR(__xludf.DUMMYFUNCTION("""COMPUTED_VALUE"""),"")</f>
        <v/>
      </c>
      <c r="H17689" s="42">
        <f t="shared" si="1"/>
        <v>3345</v>
      </c>
    </row>
    <row r="17690" ht="22.5" customHeight="1">
      <c r="B17690" s="42" t="str">
        <f>IFERROR(__xludf.DUMMYFUNCTION("""COMPUTED_VALUE"""),"")</f>
        <v/>
      </c>
      <c r="C17690" s="42" t="str">
        <f>IFERROR(__xludf.DUMMYFUNCTION("""COMPUTED_VALUE"""),"")</f>
        <v/>
      </c>
      <c r="D17690" s="42"/>
      <c r="E17690" s="42"/>
      <c r="F17690" s="48" t="str">
        <f>IFERROR(__xludf.DUMMYFUNCTION("""COMPUTED_VALUE"""),"")</f>
        <v/>
      </c>
      <c r="G17690" s="42" t="str">
        <f>IFERROR(__xludf.DUMMYFUNCTION("""COMPUTED_VALUE"""),"")</f>
        <v/>
      </c>
      <c r="H17690" s="42">
        <f t="shared" si="1"/>
        <v>3345</v>
      </c>
    </row>
    <row r="17691" ht="22.5" customHeight="1">
      <c r="B17691" s="42" t="str">
        <f>IFERROR(__xludf.DUMMYFUNCTION("""COMPUTED_VALUE"""),"")</f>
        <v/>
      </c>
      <c r="C17691" s="42" t="str">
        <f>IFERROR(__xludf.DUMMYFUNCTION("""COMPUTED_VALUE"""),"")</f>
        <v/>
      </c>
      <c r="D17691" s="42"/>
      <c r="E17691" s="42"/>
      <c r="F17691" s="48" t="str">
        <f>IFERROR(__xludf.DUMMYFUNCTION("""COMPUTED_VALUE"""),"")</f>
        <v/>
      </c>
      <c r="G17691" s="42" t="str">
        <f>IFERROR(__xludf.DUMMYFUNCTION("""COMPUTED_VALUE"""),"")</f>
        <v/>
      </c>
      <c r="H17691" s="42">
        <f t="shared" si="1"/>
        <v>3345</v>
      </c>
    </row>
    <row r="17692" ht="22.5" customHeight="1">
      <c r="B17692" s="42" t="str">
        <f>IFERROR(__xludf.DUMMYFUNCTION("""COMPUTED_VALUE"""),"")</f>
        <v/>
      </c>
      <c r="C17692" s="42" t="str">
        <f>IFERROR(__xludf.DUMMYFUNCTION("""COMPUTED_VALUE"""),"")</f>
        <v/>
      </c>
      <c r="D17692" s="42"/>
      <c r="E17692" s="42"/>
      <c r="F17692" s="48" t="str">
        <f>IFERROR(__xludf.DUMMYFUNCTION("""COMPUTED_VALUE"""),"")</f>
        <v/>
      </c>
      <c r="G17692" s="42" t="str">
        <f>IFERROR(__xludf.DUMMYFUNCTION("""COMPUTED_VALUE"""),"")</f>
        <v/>
      </c>
      <c r="H17692" s="42">
        <f t="shared" si="1"/>
        <v>3345</v>
      </c>
    </row>
    <row r="17693" ht="22.5" customHeight="1">
      <c r="B17693" s="42" t="str">
        <f>IFERROR(__xludf.DUMMYFUNCTION("""COMPUTED_VALUE"""),"")</f>
        <v/>
      </c>
      <c r="C17693" s="42" t="str">
        <f>IFERROR(__xludf.DUMMYFUNCTION("""COMPUTED_VALUE"""),"")</f>
        <v/>
      </c>
      <c r="D17693" s="42"/>
      <c r="E17693" s="42"/>
      <c r="F17693" s="48" t="str">
        <f>IFERROR(__xludf.DUMMYFUNCTION("""COMPUTED_VALUE"""),"")</f>
        <v/>
      </c>
      <c r="G17693" s="42" t="str">
        <f>IFERROR(__xludf.DUMMYFUNCTION("""COMPUTED_VALUE"""),"")</f>
        <v/>
      </c>
      <c r="H17693" s="42">
        <f t="shared" si="1"/>
        <v>3345</v>
      </c>
    </row>
    <row r="17694" ht="22.5" customHeight="1">
      <c r="B17694" s="42" t="str">
        <f>IFERROR(__xludf.DUMMYFUNCTION("""COMPUTED_VALUE"""),"")</f>
        <v/>
      </c>
      <c r="C17694" s="42" t="str">
        <f>IFERROR(__xludf.DUMMYFUNCTION("""COMPUTED_VALUE"""),"")</f>
        <v/>
      </c>
      <c r="D17694" s="42"/>
      <c r="E17694" s="42"/>
      <c r="F17694" s="48" t="str">
        <f>IFERROR(__xludf.DUMMYFUNCTION("""COMPUTED_VALUE"""),"")</f>
        <v/>
      </c>
      <c r="G17694" s="42" t="str">
        <f>IFERROR(__xludf.DUMMYFUNCTION("""COMPUTED_VALUE"""),"")</f>
        <v/>
      </c>
      <c r="H17694" s="42">
        <f t="shared" si="1"/>
        <v>3345</v>
      </c>
    </row>
    <row r="17695" ht="22.5" customHeight="1">
      <c r="B17695" s="42" t="str">
        <f>IFERROR(__xludf.DUMMYFUNCTION("""COMPUTED_VALUE"""),"")</f>
        <v/>
      </c>
      <c r="C17695" s="42" t="str">
        <f>IFERROR(__xludf.DUMMYFUNCTION("""COMPUTED_VALUE"""),"")</f>
        <v/>
      </c>
      <c r="D17695" s="42"/>
      <c r="E17695" s="42"/>
      <c r="F17695" s="48" t="str">
        <f>IFERROR(__xludf.DUMMYFUNCTION("""COMPUTED_VALUE"""),"")</f>
        <v/>
      </c>
      <c r="G17695" s="42" t="str">
        <f>IFERROR(__xludf.DUMMYFUNCTION("""COMPUTED_VALUE"""),"")</f>
        <v/>
      </c>
      <c r="H17695" s="42">
        <f t="shared" si="1"/>
        <v>3345</v>
      </c>
    </row>
    <row r="17696" ht="22.5" customHeight="1">
      <c r="B17696" s="42" t="str">
        <f>IFERROR(__xludf.DUMMYFUNCTION("""COMPUTED_VALUE"""),"")</f>
        <v/>
      </c>
      <c r="C17696" s="42" t="str">
        <f>IFERROR(__xludf.DUMMYFUNCTION("""COMPUTED_VALUE"""),"")</f>
        <v/>
      </c>
      <c r="D17696" s="42"/>
      <c r="E17696" s="42"/>
      <c r="F17696" s="48" t="str">
        <f>IFERROR(__xludf.DUMMYFUNCTION("""COMPUTED_VALUE"""),"")</f>
        <v/>
      </c>
      <c r="G17696" s="42" t="str">
        <f>IFERROR(__xludf.DUMMYFUNCTION("""COMPUTED_VALUE"""),"")</f>
        <v/>
      </c>
      <c r="H17696" s="42">
        <f t="shared" si="1"/>
        <v>3345</v>
      </c>
    </row>
    <row r="17697" ht="22.5" customHeight="1">
      <c r="B17697" s="42" t="str">
        <f>IFERROR(__xludf.DUMMYFUNCTION("""COMPUTED_VALUE"""),"")</f>
        <v/>
      </c>
      <c r="C17697" s="42" t="str">
        <f>IFERROR(__xludf.DUMMYFUNCTION("""COMPUTED_VALUE"""),"")</f>
        <v/>
      </c>
      <c r="D17697" s="42"/>
      <c r="E17697" s="42"/>
      <c r="F17697" s="48" t="str">
        <f>IFERROR(__xludf.DUMMYFUNCTION("""COMPUTED_VALUE"""),"")</f>
        <v/>
      </c>
      <c r="G17697" s="42" t="str">
        <f>IFERROR(__xludf.DUMMYFUNCTION("""COMPUTED_VALUE"""),"")</f>
        <v/>
      </c>
      <c r="H17697" s="42">
        <f t="shared" si="1"/>
        <v>3345</v>
      </c>
    </row>
    <row r="17698" ht="22.5" customHeight="1">
      <c r="B17698" s="42" t="str">
        <f>IFERROR(__xludf.DUMMYFUNCTION("""COMPUTED_VALUE"""),"")</f>
        <v/>
      </c>
      <c r="C17698" s="42" t="str">
        <f>IFERROR(__xludf.DUMMYFUNCTION("""COMPUTED_VALUE"""),"")</f>
        <v/>
      </c>
      <c r="D17698" s="42"/>
      <c r="E17698" s="42"/>
      <c r="F17698" s="48" t="str">
        <f>IFERROR(__xludf.DUMMYFUNCTION("""COMPUTED_VALUE"""),"")</f>
        <v/>
      </c>
      <c r="G17698" s="42" t="str">
        <f>IFERROR(__xludf.DUMMYFUNCTION("""COMPUTED_VALUE"""),"")</f>
        <v/>
      </c>
      <c r="H17698" s="42">
        <f t="shared" si="1"/>
        <v>3345</v>
      </c>
    </row>
    <row r="17699" ht="22.5" customHeight="1">
      <c r="B17699" s="42" t="str">
        <f>IFERROR(__xludf.DUMMYFUNCTION("""COMPUTED_VALUE"""),"")</f>
        <v/>
      </c>
      <c r="C17699" s="42" t="str">
        <f>IFERROR(__xludf.DUMMYFUNCTION("""COMPUTED_VALUE"""),"")</f>
        <v/>
      </c>
      <c r="D17699" s="42"/>
      <c r="E17699" s="42"/>
      <c r="F17699" s="48" t="str">
        <f>IFERROR(__xludf.DUMMYFUNCTION("""COMPUTED_VALUE"""),"")</f>
        <v/>
      </c>
      <c r="G17699" s="42" t="str">
        <f>IFERROR(__xludf.DUMMYFUNCTION("""COMPUTED_VALUE"""),"")</f>
        <v/>
      </c>
      <c r="H17699" s="42">
        <f t="shared" si="1"/>
        <v>3345</v>
      </c>
    </row>
    <row r="17700" ht="22.5" customHeight="1">
      <c r="B17700" s="42" t="str">
        <f>IFERROR(__xludf.DUMMYFUNCTION("""COMPUTED_VALUE"""),"")</f>
        <v/>
      </c>
      <c r="C17700" s="42" t="str">
        <f>IFERROR(__xludf.DUMMYFUNCTION("""COMPUTED_VALUE"""),"")</f>
        <v/>
      </c>
      <c r="D17700" s="42"/>
      <c r="E17700" s="42"/>
      <c r="F17700" s="48" t="str">
        <f>IFERROR(__xludf.DUMMYFUNCTION("""COMPUTED_VALUE"""),"")</f>
        <v/>
      </c>
      <c r="G17700" s="42" t="str">
        <f>IFERROR(__xludf.DUMMYFUNCTION("""COMPUTED_VALUE"""),"")</f>
        <v/>
      </c>
      <c r="H17700" s="42">
        <f t="shared" si="1"/>
        <v>3345</v>
      </c>
    </row>
    <row r="17701" ht="22.5" customHeight="1">
      <c r="B17701" s="42" t="str">
        <f>IFERROR(__xludf.DUMMYFUNCTION("""COMPUTED_VALUE"""),"")</f>
        <v/>
      </c>
      <c r="C17701" s="42" t="str">
        <f>IFERROR(__xludf.DUMMYFUNCTION("""COMPUTED_VALUE"""),"")</f>
        <v/>
      </c>
      <c r="D17701" s="42"/>
      <c r="E17701" s="42"/>
      <c r="F17701" s="48" t="str">
        <f>IFERROR(__xludf.DUMMYFUNCTION("""COMPUTED_VALUE"""),"")</f>
        <v/>
      </c>
      <c r="G17701" s="42" t="str">
        <f>IFERROR(__xludf.DUMMYFUNCTION("""COMPUTED_VALUE"""),"")</f>
        <v/>
      </c>
      <c r="H17701" s="42">
        <f t="shared" si="1"/>
        <v>3345</v>
      </c>
    </row>
    <row r="17702" ht="22.5" customHeight="1">
      <c r="B17702" s="42" t="str">
        <f>IFERROR(__xludf.DUMMYFUNCTION("""COMPUTED_VALUE"""),"")</f>
        <v/>
      </c>
      <c r="C17702" s="42" t="str">
        <f>IFERROR(__xludf.DUMMYFUNCTION("""COMPUTED_VALUE"""),"")</f>
        <v/>
      </c>
      <c r="D17702" s="42"/>
      <c r="E17702" s="42"/>
      <c r="F17702" s="48" t="str">
        <f>IFERROR(__xludf.DUMMYFUNCTION("""COMPUTED_VALUE"""),"")</f>
        <v/>
      </c>
      <c r="G17702" s="42" t="str">
        <f>IFERROR(__xludf.DUMMYFUNCTION("""COMPUTED_VALUE"""),"")</f>
        <v/>
      </c>
      <c r="H17702" s="42">
        <f t="shared" si="1"/>
        <v>3345</v>
      </c>
    </row>
    <row r="17703" ht="22.5" customHeight="1">
      <c r="B17703" s="42" t="str">
        <f>IFERROR(__xludf.DUMMYFUNCTION("""COMPUTED_VALUE"""),"")</f>
        <v/>
      </c>
      <c r="C17703" s="42" t="str">
        <f>IFERROR(__xludf.DUMMYFUNCTION("""COMPUTED_VALUE"""),"")</f>
        <v/>
      </c>
      <c r="D17703" s="42"/>
      <c r="E17703" s="42"/>
      <c r="F17703" s="48" t="str">
        <f>IFERROR(__xludf.DUMMYFUNCTION("""COMPUTED_VALUE"""),"")</f>
        <v/>
      </c>
      <c r="G17703" s="42" t="str">
        <f>IFERROR(__xludf.DUMMYFUNCTION("""COMPUTED_VALUE"""),"")</f>
        <v/>
      </c>
      <c r="H17703" s="42">
        <f t="shared" si="1"/>
        <v>3345</v>
      </c>
    </row>
    <row r="17704" ht="22.5" customHeight="1">
      <c r="B17704" s="42" t="str">
        <f>IFERROR(__xludf.DUMMYFUNCTION("""COMPUTED_VALUE"""),"")</f>
        <v/>
      </c>
      <c r="C17704" s="42" t="str">
        <f>IFERROR(__xludf.DUMMYFUNCTION("""COMPUTED_VALUE"""),"")</f>
        <v/>
      </c>
      <c r="D17704" s="42"/>
      <c r="E17704" s="42"/>
      <c r="F17704" s="48" t="str">
        <f>IFERROR(__xludf.DUMMYFUNCTION("""COMPUTED_VALUE"""),"")</f>
        <v/>
      </c>
      <c r="G17704" s="42" t="str">
        <f>IFERROR(__xludf.DUMMYFUNCTION("""COMPUTED_VALUE"""),"")</f>
        <v/>
      </c>
      <c r="H17704" s="42">
        <f t="shared" si="1"/>
        <v>3345</v>
      </c>
    </row>
    <row r="17705" ht="22.5" customHeight="1">
      <c r="B17705" s="42" t="str">
        <f>IFERROR(__xludf.DUMMYFUNCTION("""COMPUTED_VALUE"""),"")</f>
        <v/>
      </c>
      <c r="C17705" s="42" t="str">
        <f>IFERROR(__xludf.DUMMYFUNCTION("""COMPUTED_VALUE"""),"")</f>
        <v/>
      </c>
      <c r="D17705" s="42"/>
      <c r="E17705" s="42"/>
      <c r="F17705" s="48" t="str">
        <f>IFERROR(__xludf.DUMMYFUNCTION("""COMPUTED_VALUE"""),"")</f>
        <v/>
      </c>
      <c r="G17705" s="42" t="str">
        <f>IFERROR(__xludf.DUMMYFUNCTION("""COMPUTED_VALUE"""),"")</f>
        <v/>
      </c>
      <c r="H17705" s="42">
        <f t="shared" si="1"/>
        <v>3345</v>
      </c>
    </row>
    <row r="17706" ht="22.5" customHeight="1">
      <c r="B17706" s="42" t="str">
        <f>IFERROR(__xludf.DUMMYFUNCTION("""COMPUTED_VALUE"""),"")</f>
        <v/>
      </c>
      <c r="C17706" s="42" t="str">
        <f>IFERROR(__xludf.DUMMYFUNCTION("""COMPUTED_VALUE"""),"")</f>
        <v/>
      </c>
      <c r="D17706" s="42"/>
      <c r="E17706" s="42"/>
      <c r="F17706" s="48" t="str">
        <f>IFERROR(__xludf.DUMMYFUNCTION("""COMPUTED_VALUE"""),"")</f>
        <v/>
      </c>
      <c r="G17706" s="42" t="str">
        <f>IFERROR(__xludf.DUMMYFUNCTION("""COMPUTED_VALUE"""),"")</f>
        <v/>
      </c>
      <c r="H17706" s="42">
        <f t="shared" si="1"/>
        <v>3345</v>
      </c>
    </row>
    <row r="17707" ht="22.5" customHeight="1">
      <c r="B17707" s="42" t="str">
        <f>IFERROR(__xludf.DUMMYFUNCTION("""COMPUTED_VALUE"""),"")</f>
        <v/>
      </c>
      <c r="C17707" s="42" t="str">
        <f>IFERROR(__xludf.DUMMYFUNCTION("""COMPUTED_VALUE"""),"")</f>
        <v/>
      </c>
      <c r="D17707" s="42"/>
      <c r="E17707" s="42"/>
      <c r="F17707" s="48" t="str">
        <f>IFERROR(__xludf.DUMMYFUNCTION("""COMPUTED_VALUE"""),"")</f>
        <v/>
      </c>
      <c r="G17707" s="42" t="str">
        <f>IFERROR(__xludf.DUMMYFUNCTION("""COMPUTED_VALUE"""),"")</f>
        <v/>
      </c>
      <c r="H17707" s="42">
        <f t="shared" si="1"/>
        <v>3345</v>
      </c>
    </row>
    <row r="17708" ht="22.5" customHeight="1">
      <c r="B17708" s="42" t="str">
        <f>IFERROR(__xludf.DUMMYFUNCTION("""COMPUTED_VALUE"""),"")</f>
        <v/>
      </c>
      <c r="C17708" s="42" t="str">
        <f>IFERROR(__xludf.DUMMYFUNCTION("""COMPUTED_VALUE"""),"")</f>
        <v/>
      </c>
      <c r="D17708" s="42"/>
      <c r="E17708" s="42"/>
      <c r="F17708" s="48" t="str">
        <f>IFERROR(__xludf.DUMMYFUNCTION("""COMPUTED_VALUE"""),"")</f>
        <v/>
      </c>
      <c r="G17708" s="42" t="str">
        <f>IFERROR(__xludf.DUMMYFUNCTION("""COMPUTED_VALUE"""),"")</f>
        <v/>
      </c>
      <c r="H17708" s="42">
        <f t="shared" si="1"/>
        <v>3345</v>
      </c>
    </row>
    <row r="17709" ht="22.5" customHeight="1">
      <c r="B17709" s="42" t="str">
        <f>IFERROR(__xludf.DUMMYFUNCTION("""COMPUTED_VALUE"""),"")</f>
        <v/>
      </c>
      <c r="C17709" s="42" t="str">
        <f>IFERROR(__xludf.DUMMYFUNCTION("""COMPUTED_VALUE"""),"")</f>
        <v/>
      </c>
      <c r="D17709" s="42"/>
      <c r="E17709" s="42"/>
      <c r="F17709" s="48" t="str">
        <f>IFERROR(__xludf.DUMMYFUNCTION("""COMPUTED_VALUE"""),"")</f>
        <v/>
      </c>
      <c r="G17709" s="42" t="str">
        <f>IFERROR(__xludf.DUMMYFUNCTION("""COMPUTED_VALUE"""),"")</f>
        <v/>
      </c>
      <c r="H17709" s="42">
        <f t="shared" si="1"/>
        <v>3345</v>
      </c>
    </row>
    <row r="17710" ht="22.5" customHeight="1">
      <c r="B17710" s="42" t="str">
        <f>IFERROR(__xludf.DUMMYFUNCTION("""COMPUTED_VALUE"""),"")</f>
        <v/>
      </c>
      <c r="C17710" s="42" t="str">
        <f>IFERROR(__xludf.DUMMYFUNCTION("""COMPUTED_VALUE"""),"")</f>
        <v/>
      </c>
      <c r="D17710" s="42"/>
      <c r="E17710" s="42"/>
      <c r="F17710" s="48" t="str">
        <f>IFERROR(__xludf.DUMMYFUNCTION("""COMPUTED_VALUE"""),"")</f>
        <v/>
      </c>
      <c r="G17710" s="42" t="str">
        <f>IFERROR(__xludf.DUMMYFUNCTION("""COMPUTED_VALUE"""),"")</f>
        <v/>
      </c>
      <c r="H17710" s="42">
        <f t="shared" si="1"/>
        <v>3345</v>
      </c>
    </row>
    <row r="17711" ht="22.5" customHeight="1">
      <c r="B17711" s="42" t="str">
        <f>IFERROR(__xludf.DUMMYFUNCTION("""COMPUTED_VALUE"""),"")</f>
        <v/>
      </c>
      <c r="C17711" s="42" t="str">
        <f>IFERROR(__xludf.DUMMYFUNCTION("""COMPUTED_VALUE"""),"")</f>
        <v/>
      </c>
      <c r="D17711" s="42"/>
      <c r="E17711" s="42"/>
      <c r="F17711" s="48" t="str">
        <f>IFERROR(__xludf.DUMMYFUNCTION("""COMPUTED_VALUE"""),"")</f>
        <v/>
      </c>
      <c r="G17711" s="42" t="str">
        <f>IFERROR(__xludf.DUMMYFUNCTION("""COMPUTED_VALUE"""),"")</f>
        <v/>
      </c>
      <c r="H17711" s="42">
        <f t="shared" si="1"/>
        <v>3345</v>
      </c>
    </row>
    <row r="17712" ht="22.5" customHeight="1">
      <c r="B17712" s="42" t="str">
        <f>IFERROR(__xludf.DUMMYFUNCTION("""COMPUTED_VALUE"""),"")</f>
        <v/>
      </c>
      <c r="C17712" s="42" t="str">
        <f>IFERROR(__xludf.DUMMYFUNCTION("""COMPUTED_VALUE"""),"")</f>
        <v/>
      </c>
      <c r="D17712" s="42"/>
      <c r="E17712" s="42"/>
      <c r="F17712" s="48" t="str">
        <f>IFERROR(__xludf.DUMMYFUNCTION("""COMPUTED_VALUE"""),"")</f>
        <v/>
      </c>
      <c r="G17712" s="42" t="str">
        <f>IFERROR(__xludf.DUMMYFUNCTION("""COMPUTED_VALUE"""),"")</f>
        <v/>
      </c>
      <c r="H17712" s="42">
        <f t="shared" si="1"/>
        <v>3345</v>
      </c>
    </row>
    <row r="17713" ht="22.5" customHeight="1">
      <c r="B17713" s="42" t="str">
        <f>IFERROR(__xludf.DUMMYFUNCTION("""COMPUTED_VALUE"""),"")</f>
        <v/>
      </c>
      <c r="C17713" s="42" t="str">
        <f>IFERROR(__xludf.DUMMYFUNCTION("""COMPUTED_VALUE"""),"")</f>
        <v/>
      </c>
      <c r="D17713" s="42"/>
      <c r="E17713" s="42"/>
      <c r="F17713" s="48" t="str">
        <f>IFERROR(__xludf.DUMMYFUNCTION("""COMPUTED_VALUE"""),"")</f>
        <v/>
      </c>
      <c r="G17713" s="42" t="str">
        <f>IFERROR(__xludf.DUMMYFUNCTION("""COMPUTED_VALUE"""),"")</f>
        <v/>
      </c>
      <c r="H17713" s="42">
        <f t="shared" si="1"/>
        <v>3345</v>
      </c>
    </row>
    <row r="17714" ht="22.5" customHeight="1">
      <c r="B17714" s="42" t="str">
        <f>IFERROR(__xludf.DUMMYFUNCTION("""COMPUTED_VALUE"""),"")</f>
        <v/>
      </c>
      <c r="C17714" s="42" t="str">
        <f>IFERROR(__xludf.DUMMYFUNCTION("""COMPUTED_VALUE"""),"")</f>
        <v/>
      </c>
      <c r="D17714" s="42"/>
      <c r="E17714" s="42"/>
      <c r="F17714" s="48" t="str">
        <f>IFERROR(__xludf.DUMMYFUNCTION("""COMPUTED_VALUE"""),"")</f>
        <v/>
      </c>
      <c r="G17714" s="42" t="str">
        <f>IFERROR(__xludf.DUMMYFUNCTION("""COMPUTED_VALUE"""),"")</f>
        <v/>
      </c>
      <c r="H17714" s="42">
        <f t="shared" si="1"/>
        <v>3345</v>
      </c>
    </row>
    <row r="17715" ht="22.5" customHeight="1">
      <c r="B17715" s="42" t="str">
        <f>IFERROR(__xludf.DUMMYFUNCTION("""COMPUTED_VALUE"""),"")</f>
        <v/>
      </c>
      <c r="C17715" s="42" t="str">
        <f>IFERROR(__xludf.DUMMYFUNCTION("""COMPUTED_VALUE"""),"")</f>
        <v/>
      </c>
      <c r="D17715" s="42"/>
      <c r="E17715" s="42"/>
      <c r="F17715" s="48" t="str">
        <f>IFERROR(__xludf.DUMMYFUNCTION("""COMPUTED_VALUE"""),"")</f>
        <v/>
      </c>
      <c r="G17715" s="42" t="str">
        <f>IFERROR(__xludf.DUMMYFUNCTION("""COMPUTED_VALUE"""),"")</f>
        <v/>
      </c>
      <c r="H17715" s="42">
        <f t="shared" si="1"/>
        <v>3345</v>
      </c>
    </row>
    <row r="17716" ht="22.5" customHeight="1">
      <c r="B17716" s="42" t="str">
        <f>IFERROR(__xludf.DUMMYFUNCTION("""COMPUTED_VALUE"""),"")</f>
        <v/>
      </c>
      <c r="C17716" s="42" t="str">
        <f>IFERROR(__xludf.DUMMYFUNCTION("""COMPUTED_VALUE"""),"")</f>
        <v/>
      </c>
      <c r="D17716" s="42"/>
      <c r="E17716" s="42"/>
      <c r="F17716" s="48" t="str">
        <f>IFERROR(__xludf.DUMMYFUNCTION("""COMPUTED_VALUE"""),"")</f>
        <v/>
      </c>
      <c r="G17716" s="42" t="str">
        <f>IFERROR(__xludf.DUMMYFUNCTION("""COMPUTED_VALUE"""),"")</f>
        <v/>
      </c>
      <c r="H17716" s="42">
        <f t="shared" si="1"/>
        <v>3345</v>
      </c>
    </row>
    <row r="17717" ht="22.5" customHeight="1">
      <c r="B17717" s="42" t="str">
        <f>IFERROR(__xludf.DUMMYFUNCTION("""COMPUTED_VALUE"""),"")</f>
        <v/>
      </c>
      <c r="C17717" s="42" t="str">
        <f>IFERROR(__xludf.DUMMYFUNCTION("""COMPUTED_VALUE"""),"")</f>
        <v/>
      </c>
      <c r="D17717" s="42"/>
      <c r="E17717" s="42"/>
      <c r="F17717" s="48" t="str">
        <f>IFERROR(__xludf.DUMMYFUNCTION("""COMPUTED_VALUE"""),"")</f>
        <v/>
      </c>
      <c r="G17717" s="42" t="str">
        <f>IFERROR(__xludf.DUMMYFUNCTION("""COMPUTED_VALUE"""),"")</f>
        <v/>
      </c>
      <c r="H17717" s="42">
        <f t="shared" si="1"/>
        <v>3345</v>
      </c>
    </row>
    <row r="17718" ht="22.5" customHeight="1">
      <c r="B17718" s="42" t="str">
        <f>IFERROR(__xludf.DUMMYFUNCTION("""COMPUTED_VALUE"""),"")</f>
        <v/>
      </c>
      <c r="C17718" s="42" t="str">
        <f>IFERROR(__xludf.DUMMYFUNCTION("""COMPUTED_VALUE"""),"")</f>
        <v/>
      </c>
      <c r="D17718" s="42"/>
      <c r="E17718" s="42"/>
      <c r="F17718" s="48" t="str">
        <f>IFERROR(__xludf.DUMMYFUNCTION("""COMPUTED_VALUE"""),"")</f>
        <v/>
      </c>
      <c r="G17718" s="42" t="str">
        <f>IFERROR(__xludf.DUMMYFUNCTION("""COMPUTED_VALUE"""),"")</f>
        <v/>
      </c>
      <c r="H17718" s="42">
        <f t="shared" si="1"/>
        <v>3345</v>
      </c>
    </row>
    <row r="17719" ht="22.5" customHeight="1">
      <c r="B17719" s="42" t="str">
        <f>IFERROR(__xludf.DUMMYFUNCTION("""COMPUTED_VALUE"""),"")</f>
        <v/>
      </c>
      <c r="C17719" s="42" t="str">
        <f>IFERROR(__xludf.DUMMYFUNCTION("""COMPUTED_VALUE"""),"")</f>
        <v/>
      </c>
      <c r="D17719" s="42"/>
      <c r="E17719" s="42"/>
      <c r="F17719" s="48" t="str">
        <f>IFERROR(__xludf.DUMMYFUNCTION("""COMPUTED_VALUE"""),"")</f>
        <v/>
      </c>
      <c r="G17719" s="42" t="str">
        <f>IFERROR(__xludf.DUMMYFUNCTION("""COMPUTED_VALUE"""),"")</f>
        <v/>
      </c>
      <c r="H17719" s="42">
        <f t="shared" si="1"/>
        <v>3345</v>
      </c>
    </row>
    <row r="17720" ht="22.5" customHeight="1">
      <c r="B17720" s="42" t="str">
        <f>IFERROR(__xludf.DUMMYFUNCTION("""COMPUTED_VALUE"""),"")</f>
        <v/>
      </c>
      <c r="C17720" s="42" t="str">
        <f>IFERROR(__xludf.DUMMYFUNCTION("""COMPUTED_VALUE"""),"")</f>
        <v/>
      </c>
      <c r="D17720" s="42"/>
      <c r="E17720" s="42"/>
      <c r="F17720" s="48" t="str">
        <f>IFERROR(__xludf.DUMMYFUNCTION("""COMPUTED_VALUE"""),"")</f>
        <v/>
      </c>
      <c r="G17720" s="42" t="str">
        <f>IFERROR(__xludf.DUMMYFUNCTION("""COMPUTED_VALUE"""),"")</f>
        <v/>
      </c>
      <c r="H17720" s="42">
        <f t="shared" si="1"/>
        <v>3345</v>
      </c>
    </row>
    <row r="17721" ht="22.5" customHeight="1">
      <c r="B17721" s="42" t="str">
        <f>IFERROR(__xludf.DUMMYFUNCTION("""COMPUTED_VALUE"""),"")</f>
        <v/>
      </c>
      <c r="C17721" s="42" t="str">
        <f>IFERROR(__xludf.DUMMYFUNCTION("""COMPUTED_VALUE"""),"")</f>
        <v/>
      </c>
      <c r="D17721" s="42"/>
      <c r="E17721" s="42"/>
      <c r="F17721" s="48" t="str">
        <f>IFERROR(__xludf.DUMMYFUNCTION("""COMPUTED_VALUE"""),"")</f>
        <v/>
      </c>
      <c r="G17721" s="42" t="str">
        <f>IFERROR(__xludf.DUMMYFUNCTION("""COMPUTED_VALUE"""),"")</f>
        <v/>
      </c>
      <c r="H17721" s="42">
        <f t="shared" si="1"/>
        <v>3345</v>
      </c>
    </row>
    <row r="17722" ht="22.5" customHeight="1">
      <c r="B17722" s="42" t="str">
        <f>IFERROR(__xludf.DUMMYFUNCTION("""COMPUTED_VALUE"""),"")</f>
        <v/>
      </c>
      <c r="C17722" s="42" t="str">
        <f>IFERROR(__xludf.DUMMYFUNCTION("""COMPUTED_VALUE"""),"")</f>
        <v/>
      </c>
      <c r="D17722" s="42"/>
      <c r="E17722" s="42"/>
      <c r="F17722" s="48" t="str">
        <f>IFERROR(__xludf.DUMMYFUNCTION("""COMPUTED_VALUE"""),"")</f>
        <v/>
      </c>
      <c r="G17722" s="42" t="str">
        <f>IFERROR(__xludf.DUMMYFUNCTION("""COMPUTED_VALUE"""),"")</f>
        <v/>
      </c>
      <c r="H17722" s="42">
        <f t="shared" si="1"/>
        <v>3345</v>
      </c>
    </row>
    <row r="17723" ht="22.5" customHeight="1">
      <c r="B17723" s="42" t="str">
        <f>IFERROR(__xludf.DUMMYFUNCTION("""COMPUTED_VALUE"""),"")</f>
        <v/>
      </c>
      <c r="C17723" s="42" t="str">
        <f>IFERROR(__xludf.DUMMYFUNCTION("""COMPUTED_VALUE"""),"")</f>
        <v/>
      </c>
      <c r="D17723" s="42"/>
      <c r="E17723" s="42"/>
      <c r="F17723" s="48" t="str">
        <f>IFERROR(__xludf.DUMMYFUNCTION("""COMPUTED_VALUE"""),"")</f>
        <v/>
      </c>
      <c r="G17723" s="42" t="str">
        <f>IFERROR(__xludf.DUMMYFUNCTION("""COMPUTED_VALUE"""),"")</f>
        <v/>
      </c>
      <c r="H17723" s="42">
        <f t="shared" si="1"/>
        <v>3345</v>
      </c>
    </row>
    <row r="17724" ht="22.5" customHeight="1">
      <c r="B17724" s="42" t="str">
        <f>IFERROR(__xludf.DUMMYFUNCTION("""COMPUTED_VALUE"""),"")</f>
        <v/>
      </c>
      <c r="C17724" s="42" t="str">
        <f>IFERROR(__xludf.DUMMYFUNCTION("""COMPUTED_VALUE"""),"")</f>
        <v/>
      </c>
      <c r="D17724" s="42"/>
      <c r="E17724" s="42"/>
      <c r="F17724" s="48" t="str">
        <f>IFERROR(__xludf.DUMMYFUNCTION("""COMPUTED_VALUE"""),"")</f>
        <v/>
      </c>
      <c r="G17724" s="42" t="str">
        <f>IFERROR(__xludf.DUMMYFUNCTION("""COMPUTED_VALUE"""),"")</f>
        <v/>
      </c>
      <c r="H17724" s="42">
        <f t="shared" si="1"/>
        <v>3345</v>
      </c>
    </row>
    <row r="17725" ht="22.5" customHeight="1">
      <c r="B17725" s="42" t="str">
        <f>IFERROR(__xludf.DUMMYFUNCTION("""COMPUTED_VALUE"""),"")</f>
        <v/>
      </c>
      <c r="C17725" s="42" t="str">
        <f>IFERROR(__xludf.DUMMYFUNCTION("""COMPUTED_VALUE"""),"")</f>
        <v/>
      </c>
      <c r="D17725" s="42"/>
      <c r="E17725" s="42"/>
      <c r="F17725" s="48" t="str">
        <f>IFERROR(__xludf.DUMMYFUNCTION("""COMPUTED_VALUE"""),"")</f>
        <v/>
      </c>
      <c r="G17725" s="42" t="str">
        <f>IFERROR(__xludf.DUMMYFUNCTION("""COMPUTED_VALUE"""),"")</f>
        <v/>
      </c>
      <c r="H17725" s="42">
        <f t="shared" si="1"/>
        <v>3345</v>
      </c>
    </row>
    <row r="17726" ht="22.5" customHeight="1">
      <c r="B17726" s="42" t="str">
        <f>IFERROR(__xludf.DUMMYFUNCTION("""COMPUTED_VALUE"""),"")</f>
        <v/>
      </c>
      <c r="C17726" s="42" t="str">
        <f>IFERROR(__xludf.DUMMYFUNCTION("""COMPUTED_VALUE"""),"")</f>
        <v/>
      </c>
      <c r="D17726" s="42"/>
      <c r="E17726" s="42"/>
      <c r="F17726" s="48" t="str">
        <f>IFERROR(__xludf.DUMMYFUNCTION("""COMPUTED_VALUE"""),"")</f>
        <v/>
      </c>
      <c r="G17726" s="42" t="str">
        <f>IFERROR(__xludf.DUMMYFUNCTION("""COMPUTED_VALUE"""),"")</f>
        <v/>
      </c>
      <c r="H17726" s="42">
        <f t="shared" si="1"/>
        <v>3345</v>
      </c>
    </row>
    <row r="17727" ht="22.5" customHeight="1">
      <c r="B17727" s="42" t="str">
        <f>IFERROR(__xludf.DUMMYFUNCTION("""COMPUTED_VALUE"""),"")</f>
        <v/>
      </c>
      <c r="C17727" s="42" t="str">
        <f>IFERROR(__xludf.DUMMYFUNCTION("""COMPUTED_VALUE"""),"")</f>
        <v/>
      </c>
      <c r="D17727" s="42"/>
      <c r="E17727" s="42"/>
      <c r="F17727" s="48" t="str">
        <f>IFERROR(__xludf.DUMMYFUNCTION("""COMPUTED_VALUE"""),"")</f>
        <v/>
      </c>
      <c r="G17727" s="42" t="str">
        <f>IFERROR(__xludf.DUMMYFUNCTION("""COMPUTED_VALUE"""),"")</f>
        <v/>
      </c>
      <c r="H17727" s="42">
        <f t="shared" si="1"/>
        <v>3345</v>
      </c>
    </row>
    <row r="17728" ht="22.5" customHeight="1">
      <c r="B17728" s="42" t="str">
        <f>IFERROR(__xludf.DUMMYFUNCTION("""COMPUTED_VALUE"""),"")</f>
        <v/>
      </c>
      <c r="C17728" s="42" t="str">
        <f>IFERROR(__xludf.DUMMYFUNCTION("""COMPUTED_VALUE"""),"")</f>
        <v/>
      </c>
      <c r="D17728" s="42"/>
      <c r="E17728" s="42"/>
      <c r="F17728" s="48" t="str">
        <f>IFERROR(__xludf.DUMMYFUNCTION("""COMPUTED_VALUE"""),"")</f>
        <v/>
      </c>
      <c r="G17728" s="42" t="str">
        <f>IFERROR(__xludf.DUMMYFUNCTION("""COMPUTED_VALUE"""),"")</f>
        <v/>
      </c>
      <c r="H17728" s="42">
        <f t="shared" si="1"/>
        <v>3345</v>
      </c>
    </row>
    <row r="17729" ht="22.5" customHeight="1">
      <c r="B17729" s="42" t="str">
        <f>IFERROR(__xludf.DUMMYFUNCTION("""COMPUTED_VALUE"""),"")</f>
        <v/>
      </c>
      <c r="C17729" s="42" t="str">
        <f>IFERROR(__xludf.DUMMYFUNCTION("""COMPUTED_VALUE"""),"")</f>
        <v/>
      </c>
      <c r="D17729" s="42"/>
      <c r="E17729" s="42"/>
      <c r="F17729" s="48" t="str">
        <f>IFERROR(__xludf.DUMMYFUNCTION("""COMPUTED_VALUE"""),"")</f>
        <v/>
      </c>
      <c r="G17729" s="42" t="str">
        <f>IFERROR(__xludf.DUMMYFUNCTION("""COMPUTED_VALUE"""),"")</f>
        <v/>
      </c>
      <c r="H17729" s="42">
        <f t="shared" si="1"/>
        <v>3345</v>
      </c>
    </row>
    <row r="17730" ht="22.5" customHeight="1">
      <c r="B17730" s="42" t="str">
        <f>IFERROR(__xludf.DUMMYFUNCTION("""COMPUTED_VALUE"""),"")</f>
        <v/>
      </c>
      <c r="C17730" s="42" t="str">
        <f>IFERROR(__xludf.DUMMYFUNCTION("""COMPUTED_VALUE"""),"")</f>
        <v/>
      </c>
      <c r="D17730" s="42"/>
      <c r="E17730" s="42"/>
      <c r="F17730" s="48" t="str">
        <f>IFERROR(__xludf.DUMMYFUNCTION("""COMPUTED_VALUE"""),"")</f>
        <v/>
      </c>
      <c r="G17730" s="42" t="str">
        <f>IFERROR(__xludf.DUMMYFUNCTION("""COMPUTED_VALUE"""),"")</f>
        <v/>
      </c>
      <c r="H17730" s="42">
        <f t="shared" si="1"/>
        <v>3345</v>
      </c>
    </row>
    <row r="17731" ht="22.5" customHeight="1">
      <c r="B17731" s="42" t="str">
        <f>IFERROR(__xludf.DUMMYFUNCTION("""COMPUTED_VALUE"""),"")</f>
        <v/>
      </c>
      <c r="C17731" s="42" t="str">
        <f>IFERROR(__xludf.DUMMYFUNCTION("""COMPUTED_VALUE"""),"")</f>
        <v/>
      </c>
      <c r="D17731" s="42"/>
      <c r="E17731" s="42"/>
      <c r="F17731" s="48" t="str">
        <f>IFERROR(__xludf.DUMMYFUNCTION("""COMPUTED_VALUE"""),"")</f>
        <v/>
      </c>
      <c r="G17731" s="42" t="str">
        <f>IFERROR(__xludf.DUMMYFUNCTION("""COMPUTED_VALUE"""),"")</f>
        <v/>
      </c>
      <c r="H17731" s="42">
        <f t="shared" si="1"/>
        <v>3345</v>
      </c>
    </row>
    <row r="17732" ht="22.5" customHeight="1">
      <c r="B17732" s="42" t="str">
        <f>IFERROR(__xludf.DUMMYFUNCTION("""COMPUTED_VALUE"""),"")</f>
        <v/>
      </c>
      <c r="C17732" s="42" t="str">
        <f>IFERROR(__xludf.DUMMYFUNCTION("""COMPUTED_VALUE"""),"")</f>
        <v/>
      </c>
      <c r="D17732" s="42"/>
      <c r="E17732" s="42"/>
      <c r="F17732" s="48" t="str">
        <f>IFERROR(__xludf.DUMMYFUNCTION("""COMPUTED_VALUE"""),"")</f>
        <v/>
      </c>
      <c r="G17732" s="42" t="str">
        <f>IFERROR(__xludf.DUMMYFUNCTION("""COMPUTED_VALUE"""),"")</f>
        <v/>
      </c>
      <c r="H17732" s="42">
        <f t="shared" si="1"/>
        <v>3345</v>
      </c>
    </row>
    <row r="17733" ht="22.5" customHeight="1">
      <c r="B17733" s="42" t="str">
        <f>IFERROR(__xludf.DUMMYFUNCTION("""COMPUTED_VALUE"""),"")</f>
        <v/>
      </c>
      <c r="C17733" s="42" t="str">
        <f>IFERROR(__xludf.DUMMYFUNCTION("""COMPUTED_VALUE"""),"")</f>
        <v/>
      </c>
      <c r="D17733" s="42"/>
      <c r="E17733" s="42"/>
      <c r="F17733" s="48" t="str">
        <f>IFERROR(__xludf.DUMMYFUNCTION("""COMPUTED_VALUE"""),"")</f>
        <v/>
      </c>
      <c r="G17733" s="42" t="str">
        <f>IFERROR(__xludf.DUMMYFUNCTION("""COMPUTED_VALUE"""),"")</f>
        <v/>
      </c>
      <c r="H17733" s="42">
        <f t="shared" si="1"/>
        <v>3345</v>
      </c>
    </row>
    <row r="17734" ht="22.5" customHeight="1">
      <c r="B17734" s="42" t="str">
        <f>IFERROR(__xludf.DUMMYFUNCTION("""COMPUTED_VALUE"""),"")</f>
        <v/>
      </c>
      <c r="C17734" s="42" t="str">
        <f>IFERROR(__xludf.DUMMYFUNCTION("""COMPUTED_VALUE"""),"")</f>
        <v/>
      </c>
      <c r="D17734" s="42"/>
      <c r="E17734" s="42"/>
      <c r="F17734" s="48" t="str">
        <f>IFERROR(__xludf.DUMMYFUNCTION("""COMPUTED_VALUE"""),"")</f>
        <v/>
      </c>
      <c r="G17734" s="42" t="str">
        <f>IFERROR(__xludf.DUMMYFUNCTION("""COMPUTED_VALUE"""),"")</f>
        <v/>
      </c>
      <c r="H17734" s="42">
        <f t="shared" si="1"/>
        <v>3345</v>
      </c>
    </row>
    <row r="17735" ht="22.5" customHeight="1">
      <c r="B17735" s="42" t="str">
        <f>IFERROR(__xludf.DUMMYFUNCTION("""COMPUTED_VALUE"""),"")</f>
        <v/>
      </c>
      <c r="C17735" s="42" t="str">
        <f>IFERROR(__xludf.DUMMYFUNCTION("""COMPUTED_VALUE"""),"")</f>
        <v/>
      </c>
      <c r="D17735" s="42"/>
      <c r="E17735" s="42"/>
      <c r="F17735" s="48" t="str">
        <f>IFERROR(__xludf.DUMMYFUNCTION("""COMPUTED_VALUE"""),"")</f>
        <v/>
      </c>
      <c r="G17735" s="42" t="str">
        <f>IFERROR(__xludf.DUMMYFUNCTION("""COMPUTED_VALUE"""),"")</f>
        <v/>
      </c>
      <c r="H17735" s="42">
        <f t="shared" si="1"/>
        <v>3345</v>
      </c>
    </row>
    <row r="17736" ht="22.5" customHeight="1">
      <c r="B17736" s="42" t="str">
        <f>IFERROR(__xludf.DUMMYFUNCTION("""COMPUTED_VALUE"""),"")</f>
        <v/>
      </c>
      <c r="C17736" s="42" t="str">
        <f>IFERROR(__xludf.DUMMYFUNCTION("""COMPUTED_VALUE"""),"")</f>
        <v/>
      </c>
      <c r="D17736" s="42"/>
      <c r="E17736" s="42"/>
      <c r="F17736" s="48" t="str">
        <f>IFERROR(__xludf.DUMMYFUNCTION("""COMPUTED_VALUE"""),"")</f>
        <v/>
      </c>
      <c r="G17736" s="42" t="str">
        <f>IFERROR(__xludf.DUMMYFUNCTION("""COMPUTED_VALUE"""),"")</f>
        <v/>
      </c>
      <c r="H17736" s="42">
        <f t="shared" si="1"/>
        <v>3345</v>
      </c>
    </row>
    <row r="17737" ht="22.5" customHeight="1">
      <c r="B17737" s="42" t="str">
        <f>IFERROR(__xludf.DUMMYFUNCTION("""COMPUTED_VALUE"""),"")</f>
        <v/>
      </c>
      <c r="C17737" s="42" t="str">
        <f>IFERROR(__xludf.DUMMYFUNCTION("""COMPUTED_VALUE"""),"")</f>
        <v/>
      </c>
      <c r="D17737" s="42"/>
      <c r="E17737" s="42"/>
      <c r="F17737" s="48" t="str">
        <f>IFERROR(__xludf.DUMMYFUNCTION("""COMPUTED_VALUE"""),"")</f>
        <v/>
      </c>
      <c r="G17737" s="42" t="str">
        <f>IFERROR(__xludf.DUMMYFUNCTION("""COMPUTED_VALUE"""),"")</f>
        <v/>
      </c>
      <c r="H17737" s="42">
        <f t="shared" si="1"/>
        <v>3345</v>
      </c>
    </row>
    <row r="17738" ht="22.5" customHeight="1">
      <c r="B17738" s="42" t="str">
        <f>IFERROR(__xludf.DUMMYFUNCTION("""COMPUTED_VALUE"""),"")</f>
        <v/>
      </c>
      <c r="C17738" s="42" t="str">
        <f>IFERROR(__xludf.DUMMYFUNCTION("""COMPUTED_VALUE"""),"")</f>
        <v/>
      </c>
      <c r="D17738" s="42"/>
      <c r="E17738" s="42"/>
      <c r="F17738" s="48" t="str">
        <f>IFERROR(__xludf.DUMMYFUNCTION("""COMPUTED_VALUE"""),"")</f>
        <v/>
      </c>
      <c r="G17738" s="42" t="str">
        <f>IFERROR(__xludf.DUMMYFUNCTION("""COMPUTED_VALUE"""),"")</f>
        <v/>
      </c>
      <c r="H17738" s="42">
        <f t="shared" si="1"/>
        <v>3345</v>
      </c>
    </row>
    <row r="17739" ht="22.5" customHeight="1">
      <c r="B17739" s="42" t="str">
        <f>IFERROR(__xludf.DUMMYFUNCTION("""COMPUTED_VALUE"""),"")</f>
        <v/>
      </c>
      <c r="C17739" s="42" t="str">
        <f>IFERROR(__xludf.DUMMYFUNCTION("""COMPUTED_VALUE"""),"")</f>
        <v/>
      </c>
      <c r="D17739" s="42"/>
      <c r="E17739" s="42"/>
      <c r="F17739" s="48" t="str">
        <f>IFERROR(__xludf.DUMMYFUNCTION("""COMPUTED_VALUE"""),"")</f>
        <v/>
      </c>
      <c r="G17739" s="42" t="str">
        <f>IFERROR(__xludf.DUMMYFUNCTION("""COMPUTED_VALUE"""),"")</f>
        <v/>
      </c>
      <c r="H17739" s="42">
        <f t="shared" si="1"/>
        <v>3345</v>
      </c>
    </row>
    <row r="17740" ht="22.5" customHeight="1">
      <c r="B17740" s="42" t="str">
        <f>IFERROR(__xludf.DUMMYFUNCTION("""COMPUTED_VALUE"""),"")</f>
        <v/>
      </c>
      <c r="C17740" s="42" t="str">
        <f>IFERROR(__xludf.DUMMYFUNCTION("""COMPUTED_VALUE"""),"")</f>
        <v/>
      </c>
      <c r="D17740" s="42"/>
      <c r="E17740" s="42"/>
      <c r="F17740" s="48" t="str">
        <f>IFERROR(__xludf.DUMMYFUNCTION("""COMPUTED_VALUE"""),"")</f>
        <v/>
      </c>
      <c r="G17740" s="42" t="str">
        <f>IFERROR(__xludf.DUMMYFUNCTION("""COMPUTED_VALUE"""),"")</f>
        <v/>
      </c>
      <c r="H17740" s="42">
        <f t="shared" si="1"/>
        <v>3345</v>
      </c>
    </row>
    <row r="17741" ht="22.5" customHeight="1">
      <c r="B17741" s="42" t="str">
        <f>IFERROR(__xludf.DUMMYFUNCTION("""COMPUTED_VALUE"""),"")</f>
        <v/>
      </c>
      <c r="C17741" s="42" t="str">
        <f>IFERROR(__xludf.DUMMYFUNCTION("""COMPUTED_VALUE"""),"")</f>
        <v/>
      </c>
      <c r="D17741" s="42"/>
      <c r="E17741" s="42"/>
      <c r="F17741" s="48" t="str">
        <f>IFERROR(__xludf.DUMMYFUNCTION("""COMPUTED_VALUE"""),"")</f>
        <v/>
      </c>
      <c r="G17741" s="42" t="str">
        <f>IFERROR(__xludf.DUMMYFUNCTION("""COMPUTED_VALUE"""),"")</f>
        <v/>
      </c>
      <c r="H17741" s="42">
        <f t="shared" si="1"/>
        <v>3345</v>
      </c>
    </row>
    <row r="17742" ht="22.5" customHeight="1">
      <c r="B17742" s="42" t="str">
        <f>IFERROR(__xludf.DUMMYFUNCTION("""COMPUTED_VALUE"""),"")</f>
        <v/>
      </c>
      <c r="C17742" s="42" t="str">
        <f>IFERROR(__xludf.DUMMYFUNCTION("""COMPUTED_VALUE"""),"")</f>
        <v/>
      </c>
      <c r="D17742" s="42"/>
      <c r="E17742" s="42"/>
      <c r="F17742" s="48" t="str">
        <f>IFERROR(__xludf.DUMMYFUNCTION("""COMPUTED_VALUE"""),"")</f>
        <v/>
      </c>
      <c r="G17742" s="42" t="str">
        <f>IFERROR(__xludf.DUMMYFUNCTION("""COMPUTED_VALUE"""),"")</f>
        <v/>
      </c>
      <c r="H17742" s="42">
        <f t="shared" si="1"/>
        <v>3345</v>
      </c>
    </row>
    <row r="17743" ht="22.5" customHeight="1">
      <c r="B17743" s="42" t="str">
        <f>IFERROR(__xludf.DUMMYFUNCTION("""COMPUTED_VALUE"""),"")</f>
        <v/>
      </c>
      <c r="C17743" s="42" t="str">
        <f>IFERROR(__xludf.DUMMYFUNCTION("""COMPUTED_VALUE"""),"")</f>
        <v/>
      </c>
      <c r="D17743" s="42"/>
      <c r="E17743" s="42"/>
      <c r="F17743" s="48" t="str">
        <f>IFERROR(__xludf.DUMMYFUNCTION("""COMPUTED_VALUE"""),"")</f>
        <v/>
      </c>
      <c r="G17743" s="42" t="str">
        <f>IFERROR(__xludf.DUMMYFUNCTION("""COMPUTED_VALUE"""),"")</f>
        <v/>
      </c>
      <c r="H17743" s="42">
        <f t="shared" si="1"/>
        <v>3345</v>
      </c>
    </row>
    <row r="17744" ht="22.5" customHeight="1">
      <c r="B17744" s="42" t="str">
        <f>IFERROR(__xludf.DUMMYFUNCTION("""COMPUTED_VALUE"""),"")</f>
        <v/>
      </c>
      <c r="C17744" s="42" t="str">
        <f>IFERROR(__xludf.DUMMYFUNCTION("""COMPUTED_VALUE"""),"")</f>
        <v/>
      </c>
      <c r="D17744" s="42"/>
      <c r="E17744" s="42"/>
      <c r="F17744" s="48" t="str">
        <f>IFERROR(__xludf.DUMMYFUNCTION("""COMPUTED_VALUE"""),"")</f>
        <v/>
      </c>
      <c r="G17744" s="42" t="str">
        <f>IFERROR(__xludf.DUMMYFUNCTION("""COMPUTED_VALUE"""),"")</f>
        <v/>
      </c>
      <c r="H17744" s="42">
        <f t="shared" si="1"/>
        <v>3345</v>
      </c>
    </row>
    <row r="17745" ht="22.5" customHeight="1">
      <c r="B17745" s="42" t="str">
        <f>IFERROR(__xludf.DUMMYFUNCTION("""COMPUTED_VALUE"""),"")</f>
        <v/>
      </c>
      <c r="C17745" s="42" t="str">
        <f>IFERROR(__xludf.DUMMYFUNCTION("""COMPUTED_VALUE"""),"")</f>
        <v/>
      </c>
      <c r="D17745" s="42"/>
      <c r="E17745" s="42"/>
      <c r="F17745" s="48" t="str">
        <f>IFERROR(__xludf.DUMMYFUNCTION("""COMPUTED_VALUE"""),"")</f>
        <v/>
      </c>
      <c r="G17745" s="42" t="str">
        <f>IFERROR(__xludf.DUMMYFUNCTION("""COMPUTED_VALUE"""),"")</f>
        <v/>
      </c>
      <c r="H17745" s="42">
        <f t="shared" si="1"/>
        <v>3345</v>
      </c>
    </row>
    <row r="17746" ht="22.5" customHeight="1">
      <c r="B17746" s="42" t="str">
        <f>IFERROR(__xludf.DUMMYFUNCTION("""COMPUTED_VALUE"""),"")</f>
        <v/>
      </c>
      <c r="C17746" s="42" t="str">
        <f>IFERROR(__xludf.DUMMYFUNCTION("""COMPUTED_VALUE"""),"")</f>
        <v/>
      </c>
      <c r="D17746" s="42"/>
      <c r="E17746" s="42"/>
      <c r="F17746" s="48" t="str">
        <f>IFERROR(__xludf.DUMMYFUNCTION("""COMPUTED_VALUE"""),"")</f>
        <v/>
      </c>
      <c r="G17746" s="42" t="str">
        <f>IFERROR(__xludf.DUMMYFUNCTION("""COMPUTED_VALUE"""),"")</f>
        <v/>
      </c>
      <c r="H17746" s="42">
        <f t="shared" si="1"/>
        <v>3345</v>
      </c>
    </row>
    <row r="17747" ht="22.5" customHeight="1">
      <c r="B17747" s="42" t="str">
        <f>IFERROR(__xludf.DUMMYFUNCTION("""COMPUTED_VALUE"""),"")</f>
        <v/>
      </c>
      <c r="C17747" s="42" t="str">
        <f>IFERROR(__xludf.DUMMYFUNCTION("""COMPUTED_VALUE"""),"")</f>
        <v/>
      </c>
      <c r="D17747" s="42"/>
      <c r="E17747" s="42"/>
      <c r="F17747" s="48" t="str">
        <f>IFERROR(__xludf.DUMMYFUNCTION("""COMPUTED_VALUE"""),"")</f>
        <v/>
      </c>
      <c r="G17747" s="42" t="str">
        <f>IFERROR(__xludf.DUMMYFUNCTION("""COMPUTED_VALUE"""),"")</f>
        <v/>
      </c>
      <c r="H17747" s="42">
        <f t="shared" si="1"/>
        <v>3345</v>
      </c>
    </row>
    <row r="17748" ht="22.5" customHeight="1">
      <c r="B17748" s="42" t="str">
        <f>IFERROR(__xludf.DUMMYFUNCTION("""COMPUTED_VALUE"""),"")</f>
        <v/>
      </c>
      <c r="C17748" s="42" t="str">
        <f>IFERROR(__xludf.DUMMYFUNCTION("""COMPUTED_VALUE"""),"")</f>
        <v/>
      </c>
      <c r="D17748" s="42"/>
      <c r="E17748" s="42"/>
      <c r="F17748" s="48" t="str">
        <f>IFERROR(__xludf.DUMMYFUNCTION("""COMPUTED_VALUE"""),"")</f>
        <v/>
      </c>
      <c r="G17748" s="42" t="str">
        <f>IFERROR(__xludf.DUMMYFUNCTION("""COMPUTED_VALUE"""),"")</f>
        <v/>
      </c>
      <c r="H17748" s="42">
        <f t="shared" si="1"/>
        <v>3345</v>
      </c>
    </row>
    <row r="17749" ht="22.5" customHeight="1">
      <c r="B17749" s="42" t="str">
        <f>IFERROR(__xludf.DUMMYFUNCTION("""COMPUTED_VALUE"""),"")</f>
        <v/>
      </c>
      <c r="C17749" s="42" t="str">
        <f>IFERROR(__xludf.DUMMYFUNCTION("""COMPUTED_VALUE"""),"")</f>
        <v/>
      </c>
      <c r="D17749" s="42"/>
      <c r="E17749" s="42"/>
      <c r="F17749" s="48" t="str">
        <f>IFERROR(__xludf.DUMMYFUNCTION("""COMPUTED_VALUE"""),"")</f>
        <v/>
      </c>
      <c r="G17749" s="42" t="str">
        <f>IFERROR(__xludf.DUMMYFUNCTION("""COMPUTED_VALUE"""),"")</f>
        <v/>
      </c>
      <c r="H17749" s="42">
        <f t="shared" si="1"/>
        <v>3345</v>
      </c>
    </row>
    <row r="17750" ht="22.5" customHeight="1">
      <c r="B17750" s="42" t="str">
        <f>IFERROR(__xludf.DUMMYFUNCTION("""COMPUTED_VALUE"""),"")</f>
        <v/>
      </c>
      <c r="C17750" s="42" t="str">
        <f>IFERROR(__xludf.DUMMYFUNCTION("""COMPUTED_VALUE"""),"")</f>
        <v/>
      </c>
      <c r="D17750" s="42"/>
      <c r="E17750" s="42"/>
      <c r="F17750" s="48" t="str">
        <f>IFERROR(__xludf.DUMMYFUNCTION("""COMPUTED_VALUE"""),"")</f>
        <v/>
      </c>
      <c r="G17750" s="42" t="str">
        <f>IFERROR(__xludf.DUMMYFUNCTION("""COMPUTED_VALUE"""),"")</f>
        <v/>
      </c>
      <c r="H17750" s="42">
        <f t="shared" si="1"/>
        <v>3345</v>
      </c>
    </row>
    <row r="17751" ht="22.5" customHeight="1">
      <c r="B17751" s="42" t="str">
        <f>IFERROR(__xludf.DUMMYFUNCTION("""COMPUTED_VALUE"""),"")</f>
        <v/>
      </c>
      <c r="C17751" s="42" t="str">
        <f>IFERROR(__xludf.DUMMYFUNCTION("""COMPUTED_VALUE"""),"")</f>
        <v/>
      </c>
      <c r="D17751" s="42"/>
      <c r="E17751" s="42"/>
      <c r="F17751" s="48" t="str">
        <f>IFERROR(__xludf.DUMMYFUNCTION("""COMPUTED_VALUE"""),"")</f>
        <v/>
      </c>
      <c r="G17751" s="42" t="str">
        <f>IFERROR(__xludf.DUMMYFUNCTION("""COMPUTED_VALUE"""),"")</f>
        <v/>
      </c>
      <c r="H17751" s="42">
        <f t="shared" si="1"/>
        <v>3345</v>
      </c>
    </row>
    <row r="17752" ht="22.5" customHeight="1">
      <c r="B17752" s="42" t="str">
        <f>IFERROR(__xludf.DUMMYFUNCTION("""COMPUTED_VALUE"""),"")</f>
        <v/>
      </c>
      <c r="C17752" s="42" t="str">
        <f>IFERROR(__xludf.DUMMYFUNCTION("""COMPUTED_VALUE"""),"")</f>
        <v/>
      </c>
      <c r="D17752" s="42"/>
      <c r="E17752" s="42"/>
      <c r="F17752" s="48" t="str">
        <f>IFERROR(__xludf.DUMMYFUNCTION("""COMPUTED_VALUE"""),"")</f>
        <v/>
      </c>
      <c r="G17752" s="42" t="str">
        <f>IFERROR(__xludf.DUMMYFUNCTION("""COMPUTED_VALUE"""),"")</f>
        <v/>
      </c>
      <c r="H17752" s="42">
        <f t="shared" si="1"/>
        <v>3345</v>
      </c>
    </row>
    <row r="17753" ht="22.5" customHeight="1">
      <c r="B17753" s="42" t="str">
        <f>IFERROR(__xludf.DUMMYFUNCTION("""COMPUTED_VALUE"""),"")</f>
        <v/>
      </c>
      <c r="C17753" s="42" t="str">
        <f>IFERROR(__xludf.DUMMYFUNCTION("""COMPUTED_VALUE"""),"")</f>
        <v/>
      </c>
      <c r="D17753" s="42"/>
      <c r="E17753" s="42"/>
      <c r="F17753" s="48" t="str">
        <f>IFERROR(__xludf.DUMMYFUNCTION("""COMPUTED_VALUE"""),"")</f>
        <v/>
      </c>
      <c r="G17753" s="42" t="str">
        <f>IFERROR(__xludf.DUMMYFUNCTION("""COMPUTED_VALUE"""),"")</f>
        <v/>
      </c>
      <c r="H17753" s="42">
        <f t="shared" si="1"/>
        <v>3345</v>
      </c>
    </row>
    <row r="17754" ht="22.5" customHeight="1">
      <c r="B17754" s="42" t="str">
        <f>IFERROR(__xludf.DUMMYFUNCTION("""COMPUTED_VALUE"""),"")</f>
        <v/>
      </c>
      <c r="C17754" s="42" t="str">
        <f>IFERROR(__xludf.DUMMYFUNCTION("""COMPUTED_VALUE"""),"")</f>
        <v/>
      </c>
      <c r="D17754" s="42"/>
      <c r="E17754" s="42"/>
      <c r="F17754" s="48" t="str">
        <f>IFERROR(__xludf.DUMMYFUNCTION("""COMPUTED_VALUE"""),"")</f>
        <v/>
      </c>
      <c r="G17754" s="42" t="str">
        <f>IFERROR(__xludf.DUMMYFUNCTION("""COMPUTED_VALUE"""),"")</f>
        <v/>
      </c>
      <c r="H17754" s="42">
        <f t="shared" si="1"/>
        <v>3345</v>
      </c>
    </row>
    <row r="17755" ht="22.5" customHeight="1">
      <c r="B17755" s="42" t="str">
        <f>IFERROR(__xludf.DUMMYFUNCTION("""COMPUTED_VALUE"""),"")</f>
        <v/>
      </c>
      <c r="C17755" s="42" t="str">
        <f>IFERROR(__xludf.DUMMYFUNCTION("""COMPUTED_VALUE"""),"")</f>
        <v/>
      </c>
      <c r="D17755" s="42"/>
      <c r="E17755" s="42"/>
      <c r="F17755" s="48" t="str">
        <f>IFERROR(__xludf.DUMMYFUNCTION("""COMPUTED_VALUE"""),"")</f>
        <v/>
      </c>
      <c r="G17755" s="42" t="str">
        <f>IFERROR(__xludf.DUMMYFUNCTION("""COMPUTED_VALUE"""),"")</f>
        <v/>
      </c>
      <c r="H17755" s="42">
        <f t="shared" si="1"/>
        <v>3345</v>
      </c>
    </row>
    <row r="17756" ht="22.5" customHeight="1">
      <c r="B17756" s="42" t="str">
        <f>IFERROR(__xludf.DUMMYFUNCTION("""COMPUTED_VALUE"""),"")</f>
        <v/>
      </c>
      <c r="C17756" s="42" t="str">
        <f>IFERROR(__xludf.DUMMYFUNCTION("""COMPUTED_VALUE"""),"")</f>
        <v/>
      </c>
      <c r="D17756" s="42"/>
      <c r="E17756" s="42"/>
      <c r="F17756" s="48" t="str">
        <f>IFERROR(__xludf.DUMMYFUNCTION("""COMPUTED_VALUE"""),"")</f>
        <v/>
      </c>
      <c r="G17756" s="42" t="str">
        <f>IFERROR(__xludf.DUMMYFUNCTION("""COMPUTED_VALUE"""),"")</f>
        <v/>
      </c>
      <c r="H17756" s="42">
        <f t="shared" si="1"/>
        <v>3345</v>
      </c>
    </row>
    <row r="17757" ht="22.5" customHeight="1">
      <c r="B17757" s="42" t="str">
        <f>IFERROR(__xludf.DUMMYFUNCTION("""COMPUTED_VALUE"""),"")</f>
        <v/>
      </c>
      <c r="C17757" s="42" t="str">
        <f>IFERROR(__xludf.DUMMYFUNCTION("""COMPUTED_VALUE"""),"")</f>
        <v/>
      </c>
      <c r="D17757" s="42"/>
      <c r="E17757" s="42"/>
      <c r="F17757" s="48" t="str">
        <f>IFERROR(__xludf.DUMMYFUNCTION("""COMPUTED_VALUE"""),"")</f>
        <v/>
      </c>
      <c r="G17757" s="42" t="str">
        <f>IFERROR(__xludf.DUMMYFUNCTION("""COMPUTED_VALUE"""),"")</f>
        <v/>
      </c>
      <c r="H17757" s="42">
        <f t="shared" si="1"/>
        <v>3345</v>
      </c>
    </row>
    <row r="17758" ht="22.5" customHeight="1">
      <c r="B17758" s="42" t="str">
        <f>IFERROR(__xludf.DUMMYFUNCTION("""COMPUTED_VALUE"""),"")</f>
        <v/>
      </c>
      <c r="C17758" s="42" t="str">
        <f>IFERROR(__xludf.DUMMYFUNCTION("""COMPUTED_VALUE"""),"")</f>
        <v/>
      </c>
      <c r="D17758" s="42"/>
      <c r="E17758" s="42"/>
      <c r="F17758" s="48" t="str">
        <f>IFERROR(__xludf.DUMMYFUNCTION("""COMPUTED_VALUE"""),"")</f>
        <v/>
      </c>
      <c r="G17758" s="42" t="str">
        <f>IFERROR(__xludf.DUMMYFUNCTION("""COMPUTED_VALUE"""),"")</f>
        <v/>
      </c>
      <c r="H17758" s="42">
        <f t="shared" si="1"/>
        <v>3345</v>
      </c>
    </row>
    <row r="17759" ht="22.5" customHeight="1">
      <c r="B17759" s="42" t="str">
        <f>IFERROR(__xludf.DUMMYFUNCTION("""COMPUTED_VALUE"""),"")</f>
        <v/>
      </c>
      <c r="C17759" s="42" t="str">
        <f>IFERROR(__xludf.DUMMYFUNCTION("""COMPUTED_VALUE"""),"")</f>
        <v/>
      </c>
      <c r="D17759" s="42"/>
      <c r="E17759" s="42"/>
      <c r="F17759" s="48" t="str">
        <f>IFERROR(__xludf.DUMMYFUNCTION("""COMPUTED_VALUE"""),"")</f>
        <v/>
      </c>
      <c r="G17759" s="42" t="str">
        <f>IFERROR(__xludf.DUMMYFUNCTION("""COMPUTED_VALUE"""),"")</f>
        <v/>
      </c>
      <c r="H17759" s="42">
        <f t="shared" si="1"/>
        <v>3345</v>
      </c>
    </row>
    <row r="17760" ht="22.5" customHeight="1">
      <c r="B17760" s="42" t="str">
        <f>IFERROR(__xludf.DUMMYFUNCTION("""COMPUTED_VALUE"""),"")</f>
        <v/>
      </c>
      <c r="C17760" s="42" t="str">
        <f>IFERROR(__xludf.DUMMYFUNCTION("""COMPUTED_VALUE"""),"")</f>
        <v/>
      </c>
      <c r="D17760" s="42"/>
      <c r="E17760" s="42"/>
      <c r="F17760" s="48" t="str">
        <f>IFERROR(__xludf.DUMMYFUNCTION("""COMPUTED_VALUE"""),"")</f>
        <v/>
      </c>
      <c r="G17760" s="42" t="str">
        <f>IFERROR(__xludf.DUMMYFUNCTION("""COMPUTED_VALUE"""),"")</f>
        <v/>
      </c>
      <c r="H17760" s="42">
        <f t="shared" si="1"/>
        <v>3345</v>
      </c>
    </row>
    <row r="17761" ht="22.5" customHeight="1">
      <c r="B17761" s="42" t="str">
        <f>IFERROR(__xludf.DUMMYFUNCTION("""COMPUTED_VALUE"""),"")</f>
        <v/>
      </c>
      <c r="C17761" s="42" t="str">
        <f>IFERROR(__xludf.DUMMYFUNCTION("""COMPUTED_VALUE"""),"")</f>
        <v/>
      </c>
      <c r="D17761" s="42"/>
      <c r="E17761" s="42"/>
      <c r="F17761" s="48" t="str">
        <f>IFERROR(__xludf.DUMMYFUNCTION("""COMPUTED_VALUE"""),"")</f>
        <v/>
      </c>
      <c r="G17761" s="42" t="str">
        <f>IFERROR(__xludf.DUMMYFUNCTION("""COMPUTED_VALUE"""),"")</f>
        <v/>
      </c>
      <c r="H17761" s="42">
        <f t="shared" si="1"/>
        <v>3345</v>
      </c>
    </row>
    <row r="17762" ht="22.5" customHeight="1">
      <c r="B17762" s="42" t="str">
        <f>IFERROR(__xludf.DUMMYFUNCTION("""COMPUTED_VALUE"""),"")</f>
        <v/>
      </c>
      <c r="C17762" s="42" t="str">
        <f>IFERROR(__xludf.DUMMYFUNCTION("""COMPUTED_VALUE"""),"")</f>
        <v/>
      </c>
      <c r="D17762" s="42"/>
      <c r="E17762" s="42"/>
      <c r="F17762" s="48" t="str">
        <f>IFERROR(__xludf.DUMMYFUNCTION("""COMPUTED_VALUE"""),"")</f>
        <v/>
      </c>
      <c r="G17762" s="42" t="str">
        <f>IFERROR(__xludf.DUMMYFUNCTION("""COMPUTED_VALUE"""),"")</f>
        <v/>
      </c>
      <c r="H17762" s="42">
        <f t="shared" si="1"/>
        <v>3345</v>
      </c>
    </row>
    <row r="17763" ht="22.5" customHeight="1">
      <c r="B17763" s="42" t="str">
        <f>IFERROR(__xludf.DUMMYFUNCTION("""COMPUTED_VALUE"""),"")</f>
        <v/>
      </c>
      <c r="C17763" s="42" t="str">
        <f>IFERROR(__xludf.DUMMYFUNCTION("""COMPUTED_VALUE"""),"")</f>
        <v/>
      </c>
      <c r="D17763" s="42"/>
      <c r="E17763" s="42"/>
      <c r="F17763" s="48" t="str">
        <f>IFERROR(__xludf.DUMMYFUNCTION("""COMPUTED_VALUE"""),"")</f>
        <v/>
      </c>
      <c r="G17763" s="42" t="str">
        <f>IFERROR(__xludf.DUMMYFUNCTION("""COMPUTED_VALUE"""),"")</f>
        <v/>
      </c>
      <c r="H17763" s="42">
        <f t="shared" si="1"/>
        <v>3345</v>
      </c>
    </row>
    <row r="17764" ht="22.5" customHeight="1">
      <c r="B17764" s="42" t="str">
        <f>IFERROR(__xludf.DUMMYFUNCTION("""COMPUTED_VALUE"""),"")</f>
        <v/>
      </c>
      <c r="C17764" s="42" t="str">
        <f>IFERROR(__xludf.DUMMYFUNCTION("""COMPUTED_VALUE"""),"")</f>
        <v/>
      </c>
      <c r="D17764" s="42"/>
      <c r="E17764" s="42"/>
      <c r="F17764" s="48" t="str">
        <f>IFERROR(__xludf.DUMMYFUNCTION("""COMPUTED_VALUE"""),"")</f>
        <v/>
      </c>
      <c r="G17764" s="42" t="str">
        <f>IFERROR(__xludf.DUMMYFUNCTION("""COMPUTED_VALUE"""),"")</f>
        <v/>
      </c>
      <c r="H17764" s="42">
        <f t="shared" si="1"/>
        <v>3345</v>
      </c>
    </row>
    <row r="17765" ht="22.5" customHeight="1">
      <c r="B17765" s="42" t="str">
        <f>IFERROR(__xludf.DUMMYFUNCTION("""COMPUTED_VALUE"""),"")</f>
        <v/>
      </c>
      <c r="C17765" s="42" t="str">
        <f>IFERROR(__xludf.DUMMYFUNCTION("""COMPUTED_VALUE"""),"")</f>
        <v/>
      </c>
      <c r="D17765" s="42"/>
      <c r="E17765" s="42"/>
      <c r="F17765" s="48" t="str">
        <f>IFERROR(__xludf.DUMMYFUNCTION("""COMPUTED_VALUE"""),"")</f>
        <v/>
      </c>
      <c r="G17765" s="42" t="str">
        <f>IFERROR(__xludf.DUMMYFUNCTION("""COMPUTED_VALUE"""),"")</f>
        <v/>
      </c>
      <c r="H17765" s="42">
        <f t="shared" si="1"/>
        <v>3345</v>
      </c>
    </row>
    <row r="17766" ht="22.5" customHeight="1">
      <c r="B17766" s="42" t="str">
        <f>IFERROR(__xludf.DUMMYFUNCTION("""COMPUTED_VALUE"""),"")</f>
        <v/>
      </c>
      <c r="C17766" s="42" t="str">
        <f>IFERROR(__xludf.DUMMYFUNCTION("""COMPUTED_VALUE"""),"")</f>
        <v/>
      </c>
      <c r="D17766" s="42"/>
      <c r="E17766" s="42"/>
      <c r="F17766" s="48" t="str">
        <f>IFERROR(__xludf.DUMMYFUNCTION("""COMPUTED_VALUE"""),"")</f>
        <v/>
      </c>
      <c r="G17766" s="42" t="str">
        <f>IFERROR(__xludf.DUMMYFUNCTION("""COMPUTED_VALUE"""),"")</f>
        <v/>
      </c>
      <c r="H17766" s="42">
        <f t="shared" si="1"/>
        <v>3345</v>
      </c>
    </row>
    <row r="17767" ht="22.5" customHeight="1">
      <c r="B17767" s="42" t="str">
        <f>IFERROR(__xludf.DUMMYFUNCTION("""COMPUTED_VALUE"""),"")</f>
        <v/>
      </c>
      <c r="C17767" s="42" t="str">
        <f>IFERROR(__xludf.DUMMYFUNCTION("""COMPUTED_VALUE"""),"")</f>
        <v/>
      </c>
      <c r="D17767" s="42"/>
      <c r="E17767" s="42"/>
      <c r="F17767" s="48" t="str">
        <f>IFERROR(__xludf.DUMMYFUNCTION("""COMPUTED_VALUE"""),"")</f>
        <v/>
      </c>
      <c r="G17767" s="42" t="str">
        <f>IFERROR(__xludf.DUMMYFUNCTION("""COMPUTED_VALUE"""),"")</f>
        <v/>
      </c>
      <c r="H17767" s="42">
        <f t="shared" si="1"/>
        <v>3345</v>
      </c>
    </row>
    <row r="17768" ht="22.5" customHeight="1">
      <c r="B17768" s="42" t="str">
        <f>IFERROR(__xludf.DUMMYFUNCTION("""COMPUTED_VALUE"""),"")</f>
        <v/>
      </c>
      <c r="C17768" s="42" t="str">
        <f>IFERROR(__xludf.DUMMYFUNCTION("""COMPUTED_VALUE"""),"")</f>
        <v/>
      </c>
      <c r="D17768" s="42"/>
      <c r="E17768" s="42"/>
      <c r="F17768" s="48" t="str">
        <f>IFERROR(__xludf.DUMMYFUNCTION("""COMPUTED_VALUE"""),"")</f>
        <v/>
      </c>
      <c r="G17768" s="42" t="str">
        <f>IFERROR(__xludf.DUMMYFUNCTION("""COMPUTED_VALUE"""),"")</f>
        <v/>
      </c>
      <c r="H17768" s="42">
        <f t="shared" si="1"/>
        <v>3345</v>
      </c>
    </row>
    <row r="17769" ht="22.5" customHeight="1">
      <c r="B17769" s="42" t="str">
        <f>IFERROR(__xludf.DUMMYFUNCTION("""COMPUTED_VALUE"""),"")</f>
        <v/>
      </c>
      <c r="C17769" s="42" t="str">
        <f>IFERROR(__xludf.DUMMYFUNCTION("""COMPUTED_VALUE"""),"")</f>
        <v/>
      </c>
      <c r="D17769" s="42"/>
      <c r="E17769" s="42"/>
      <c r="F17769" s="48" t="str">
        <f>IFERROR(__xludf.DUMMYFUNCTION("""COMPUTED_VALUE"""),"")</f>
        <v/>
      </c>
      <c r="G17769" s="42" t="str">
        <f>IFERROR(__xludf.DUMMYFUNCTION("""COMPUTED_VALUE"""),"")</f>
        <v/>
      </c>
      <c r="H17769" s="42">
        <f t="shared" si="1"/>
        <v>3345</v>
      </c>
    </row>
    <row r="17770" ht="22.5" customHeight="1">
      <c r="B17770" s="42" t="str">
        <f>IFERROR(__xludf.DUMMYFUNCTION("""COMPUTED_VALUE"""),"")</f>
        <v/>
      </c>
      <c r="C17770" s="42" t="str">
        <f>IFERROR(__xludf.DUMMYFUNCTION("""COMPUTED_VALUE"""),"")</f>
        <v/>
      </c>
      <c r="D17770" s="42"/>
      <c r="E17770" s="42"/>
      <c r="F17770" s="48" t="str">
        <f>IFERROR(__xludf.DUMMYFUNCTION("""COMPUTED_VALUE"""),"")</f>
        <v/>
      </c>
      <c r="G17770" s="42" t="str">
        <f>IFERROR(__xludf.DUMMYFUNCTION("""COMPUTED_VALUE"""),"")</f>
        <v/>
      </c>
      <c r="H17770" s="42">
        <f t="shared" si="1"/>
        <v>3345</v>
      </c>
    </row>
    <row r="17771" ht="22.5" customHeight="1">
      <c r="B17771" s="42" t="str">
        <f>IFERROR(__xludf.DUMMYFUNCTION("""COMPUTED_VALUE"""),"")</f>
        <v/>
      </c>
      <c r="C17771" s="42" t="str">
        <f>IFERROR(__xludf.DUMMYFUNCTION("""COMPUTED_VALUE"""),"")</f>
        <v/>
      </c>
      <c r="D17771" s="42"/>
      <c r="E17771" s="42"/>
      <c r="F17771" s="48" t="str">
        <f>IFERROR(__xludf.DUMMYFUNCTION("""COMPUTED_VALUE"""),"")</f>
        <v/>
      </c>
      <c r="G17771" s="42" t="str">
        <f>IFERROR(__xludf.DUMMYFUNCTION("""COMPUTED_VALUE"""),"")</f>
        <v/>
      </c>
      <c r="H17771" s="42">
        <f t="shared" si="1"/>
        <v>3345</v>
      </c>
    </row>
    <row r="17772" ht="22.5" customHeight="1">
      <c r="B17772" s="42" t="str">
        <f>IFERROR(__xludf.DUMMYFUNCTION("""COMPUTED_VALUE"""),"")</f>
        <v/>
      </c>
      <c r="C17772" s="42" t="str">
        <f>IFERROR(__xludf.DUMMYFUNCTION("""COMPUTED_VALUE"""),"")</f>
        <v/>
      </c>
      <c r="D17772" s="42"/>
      <c r="E17772" s="42"/>
      <c r="F17772" s="48" t="str">
        <f>IFERROR(__xludf.DUMMYFUNCTION("""COMPUTED_VALUE"""),"")</f>
        <v/>
      </c>
      <c r="G17772" s="42" t="str">
        <f>IFERROR(__xludf.DUMMYFUNCTION("""COMPUTED_VALUE"""),"")</f>
        <v/>
      </c>
      <c r="H17772" s="42">
        <f t="shared" si="1"/>
        <v>3345</v>
      </c>
    </row>
    <row r="17773" ht="22.5" customHeight="1">
      <c r="B17773" s="42" t="str">
        <f>IFERROR(__xludf.DUMMYFUNCTION("""COMPUTED_VALUE"""),"")</f>
        <v/>
      </c>
      <c r="C17773" s="42" t="str">
        <f>IFERROR(__xludf.DUMMYFUNCTION("""COMPUTED_VALUE"""),"")</f>
        <v/>
      </c>
      <c r="D17773" s="42"/>
      <c r="E17773" s="42"/>
      <c r="F17773" s="48" t="str">
        <f>IFERROR(__xludf.DUMMYFUNCTION("""COMPUTED_VALUE"""),"")</f>
        <v/>
      </c>
      <c r="G17773" s="42" t="str">
        <f>IFERROR(__xludf.DUMMYFUNCTION("""COMPUTED_VALUE"""),"")</f>
        <v/>
      </c>
      <c r="H17773" s="42">
        <f t="shared" si="1"/>
        <v>3345</v>
      </c>
    </row>
    <row r="17774" ht="22.5" customHeight="1">
      <c r="B17774" s="42" t="str">
        <f>IFERROR(__xludf.DUMMYFUNCTION("""COMPUTED_VALUE"""),"")</f>
        <v/>
      </c>
      <c r="C17774" s="42" t="str">
        <f>IFERROR(__xludf.DUMMYFUNCTION("""COMPUTED_VALUE"""),"")</f>
        <v/>
      </c>
      <c r="D17774" s="42"/>
      <c r="E17774" s="42"/>
      <c r="F17774" s="48" t="str">
        <f>IFERROR(__xludf.DUMMYFUNCTION("""COMPUTED_VALUE"""),"")</f>
        <v/>
      </c>
      <c r="G17774" s="42" t="str">
        <f>IFERROR(__xludf.DUMMYFUNCTION("""COMPUTED_VALUE"""),"")</f>
        <v/>
      </c>
      <c r="H17774" s="42">
        <f t="shared" si="1"/>
        <v>3345</v>
      </c>
    </row>
    <row r="17775" ht="22.5" customHeight="1">
      <c r="B17775" s="42" t="str">
        <f>IFERROR(__xludf.DUMMYFUNCTION("""COMPUTED_VALUE"""),"")</f>
        <v/>
      </c>
      <c r="C17775" s="42" t="str">
        <f>IFERROR(__xludf.DUMMYFUNCTION("""COMPUTED_VALUE"""),"")</f>
        <v/>
      </c>
      <c r="D17775" s="42"/>
      <c r="E17775" s="42"/>
      <c r="F17775" s="48" t="str">
        <f>IFERROR(__xludf.DUMMYFUNCTION("""COMPUTED_VALUE"""),"")</f>
        <v/>
      </c>
      <c r="G17775" s="42" t="str">
        <f>IFERROR(__xludf.DUMMYFUNCTION("""COMPUTED_VALUE"""),"")</f>
        <v/>
      </c>
      <c r="H17775" s="42">
        <f t="shared" si="1"/>
        <v>3345</v>
      </c>
    </row>
    <row r="17776" ht="22.5" customHeight="1">
      <c r="B17776" s="42" t="str">
        <f>IFERROR(__xludf.DUMMYFUNCTION("""COMPUTED_VALUE"""),"")</f>
        <v/>
      </c>
      <c r="C17776" s="42" t="str">
        <f>IFERROR(__xludf.DUMMYFUNCTION("""COMPUTED_VALUE"""),"")</f>
        <v/>
      </c>
      <c r="D17776" s="42"/>
      <c r="E17776" s="42"/>
      <c r="F17776" s="48" t="str">
        <f>IFERROR(__xludf.DUMMYFUNCTION("""COMPUTED_VALUE"""),"")</f>
        <v/>
      </c>
      <c r="G17776" s="42" t="str">
        <f>IFERROR(__xludf.DUMMYFUNCTION("""COMPUTED_VALUE"""),"")</f>
        <v/>
      </c>
      <c r="H17776" s="42">
        <f t="shared" si="1"/>
        <v>3345</v>
      </c>
    </row>
    <row r="17777" ht="22.5" customHeight="1">
      <c r="B17777" s="42" t="str">
        <f>IFERROR(__xludf.DUMMYFUNCTION("""COMPUTED_VALUE"""),"")</f>
        <v/>
      </c>
      <c r="C17777" s="42" t="str">
        <f>IFERROR(__xludf.DUMMYFUNCTION("""COMPUTED_VALUE"""),"")</f>
        <v/>
      </c>
      <c r="D17777" s="42"/>
      <c r="E17777" s="42"/>
      <c r="F17777" s="48" t="str">
        <f>IFERROR(__xludf.DUMMYFUNCTION("""COMPUTED_VALUE"""),"")</f>
        <v/>
      </c>
      <c r="G17777" s="42" t="str">
        <f>IFERROR(__xludf.DUMMYFUNCTION("""COMPUTED_VALUE"""),"")</f>
        <v/>
      </c>
      <c r="H17777" s="42">
        <f t="shared" si="1"/>
        <v>3345</v>
      </c>
    </row>
    <row r="17778" ht="22.5" customHeight="1">
      <c r="B17778" s="42" t="str">
        <f>IFERROR(__xludf.DUMMYFUNCTION("""COMPUTED_VALUE"""),"")</f>
        <v/>
      </c>
      <c r="C17778" s="42" t="str">
        <f>IFERROR(__xludf.DUMMYFUNCTION("""COMPUTED_VALUE"""),"")</f>
        <v/>
      </c>
      <c r="D17778" s="42"/>
      <c r="E17778" s="42"/>
      <c r="F17778" s="48" t="str">
        <f>IFERROR(__xludf.DUMMYFUNCTION("""COMPUTED_VALUE"""),"")</f>
        <v/>
      </c>
      <c r="G17778" s="42" t="str">
        <f>IFERROR(__xludf.DUMMYFUNCTION("""COMPUTED_VALUE"""),"")</f>
        <v/>
      </c>
      <c r="H17778" s="42">
        <f t="shared" si="1"/>
        <v>3345</v>
      </c>
    </row>
    <row r="17779" ht="22.5" customHeight="1">
      <c r="B17779" s="42" t="str">
        <f>IFERROR(__xludf.DUMMYFUNCTION("""COMPUTED_VALUE"""),"")</f>
        <v/>
      </c>
      <c r="C17779" s="42" t="str">
        <f>IFERROR(__xludf.DUMMYFUNCTION("""COMPUTED_VALUE"""),"")</f>
        <v/>
      </c>
      <c r="D17779" s="42"/>
      <c r="E17779" s="42"/>
      <c r="F17779" s="48" t="str">
        <f>IFERROR(__xludf.DUMMYFUNCTION("""COMPUTED_VALUE"""),"")</f>
        <v/>
      </c>
      <c r="G17779" s="42" t="str">
        <f>IFERROR(__xludf.DUMMYFUNCTION("""COMPUTED_VALUE"""),"")</f>
        <v/>
      </c>
      <c r="H17779" s="42">
        <f t="shared" si="1"/>
        <v>3345</v>
      </c>
    </row>
    <row r="17780" ht="22.5" customHeight="1">
      <c r="B17780" s="42" t="str">
        <f>IFERROR(__xludf.DUMMYFUNCTION("""COMPUTED_VALUE"""),"")</f>
        <v/>
      </c>
      <c r="C17780" s="42" t="str">
        <f>IFERROR(__xludf.DUMMYFUNCTION("""COMPUTED_VALUE"""),"")</f>
        <v/>
      </c>
      <c r="D17780" s="42"/>
      <c r="E17780" s="42"/>
      <c r="F17780" s="48" t="str">
        <f>IFERROR(__xludf.DUMMYFUNCTION("""COMPUTED_VALUE"""),"")</f>
        <v/>
      </c>
      <c r="G17780" s="42" t="str">
        <f>IFERROR(__xludf.DUMMYFUNCTION("""COMPUTED_VALUE"""),"")</f>
        <v/>
      </c>
      <c r="H17780" s="42">
        <f t="shared" si="1"/>
        <v>3345</v>
      </c>
    </row>
    <row r="17781" ht="22.5" customHeight="1">
      <c r="B17781" s="42" t="str">
        <f>IFERROR(__xludf.DUMMYFUNCTION("""COMPUTED_VALUE"""),"")</f>
        <v/>
      </c>
      <c r="C17781" s="42" t="str">
        <f>IFERROR(__xludf.DUMMYFUNCTION("""COMPUTED_VALUE"""),"")</f>
        <v/>
      </c>
      <c r="D17781" s="42"/>
      <c r="E17781" s="42"/>
      <c r="F17781" s="48" t="str">
        <f>IFERROR(__xludf.DUMMYFUNCTION("""COMPUTED_VALUE"""),"")</f>
        <v/>
      </c>
      <c r="G17781" s="42" t="str">
        <f>IFERROR(__xludf.DUMMYFUNCTION("""COMPUTED_VALUE"""),"")</f>
        <v/>
      </c>
      <c r="H17781" s="42">
        <f t="shared" si="1"/>
        <v>3345</v>
      </c>
    </row>
    <row r="17782" ht="22.5" customHeight="1">
      <c r="B17782" s="42" t="str">
        <f>IFERROR(__xludf.DUMMYFUNCTION("""COMPUTED_VALUE"""),"")</f>
        <v/>
      </c>
      <c r="C17782" s="42" t="str">
        <f>IFERROR(__xludf.DUMMYFUNCTION("""COMPUTED_VALUE"""),"")</f>
        <v/>
      </c>
      <c r="D17782" s="42"/>
      <c r="E17782" s="42"/>
      <c r="F17782" s="48" t="str">
        <f>IFERROR(__xludf.DUMMYFUNCTION("""COMPUTED_VALUE"""),"")</f>
        <v/>
      </c>
      <c r="G17782" s="42" t="str">
        <f>IFERROR(__xludf.DUMMYFUNCTION("""COMPUTED_VALUE"""),"")</f>
        <v/>
      </c>
      <c r="H17782" s="42">
        <f t="shared" si="1"/>
        <v>3345</v>
      </c>
    </row>
    <row r="17783" ht="22.5" customHeight="1">
      <c r="B17783" s="42" t="str">
        <f>IFERROR(__xludf.DUMMYFUNCTION("""COMPUTED_VALUE"""),"")</f>
        <v/>
      </c>
      <c r="C17783" s="42" t="str">
        <f>IFERROR(__xludf.DUMMYFUNCTION("""COMPUTED_VALUE"""),"")</f>
        <v/>
      </c>
      <c r="D17783" s="42"/>
      <c r="E17783" s="42"/>
      <c r="F17783" s="48" t="str">
        <f>IFERROR(__xludf.DUMMYFUNCTION("""COMPUTED_VALUE"""),"")</f>
        <v/>
      </c>
      <c r="G17783" s="42" t="str">
        <f>IFERROR(__xludf.DUMMYFUNCTION("""COMPUTED_VALUE"""),"")</f>
        <v/>
      </c>
      <c r="H17783" s="42">
        <f t="shared" si="1"/>
        <v>3345</v>
      </c>
    </row>
    <row r="17784" ht="22.5" customHeight="1">
      <c r="B17784" s="42" t="str">
        <f>IFERROR(__xludf.DUMMYFUNCTION("""COMPUTED_VALUE"""),"")</f>
        <v/>
      </c>
      <c r="C17784" s="42" t="str">
        <f>IFERROR(__xludf.DUMMYFUNCTION("""COMPUTED_VALUE"""),"")</f>
        <v/>
      </c>
      <c r="D17784" s="42"/>
      <c r="E17784" s="42"/>
      <c r="F17784" s="48" t="str">
        <f>IFERROR(__xludf.DUMMYFUNCTION("""COMPUTED_VALUE"""),"")</f>
        <v/>
      </c>
      <c r="G17784" s="42" t="str">
        <f>IFERROR(__xludf.DUMMYFUNCTION("""COMPUTED_VALUE"""),"")</f>
        <v/>
      </c>
      <c r="H17784" s="42">
        <f t="shared" si="1"/>
        <v>3345</v>
      </c>
    </row>
    <row r="17785" ht="22.5" customHeight="1">
      <c r="B17785" s="42" t="str">
        <f>IFERROR(__xludf.DUMMYFUNCTION("""COMPUTED_VALUE"""),"")</f>
        <v/>
      </c>
      <c r="C17785" s="42" t="str">
        <f>IFERROR(__xludf.DUMMYFUNCTION("""COMPUTED_VALUE"""),"")</f>
        <v/>
      </c>
      <c r="D17785" s="42"/>
      <c r="E17785" s="42"/>
      <c r="F17785" s="48" t="str">
        <f>IFERROR(__xludf.DUMMYFUNCTION("""COMPUTED_VALUE"""),"")</f>
        <v/>
      </c>
      <c r="G17785" s="42" t="str">
        <f>IFERROR(__xludf.DUMMYFUNCTION("""COMPUTED_VALUE"""),"")</f>
        <v/>
      </c>
      <c r="H17785" s="42">
        <f t="shared" si="1"/>
        <v>3345</v>
      </c>
    </row>
    <row r="17786" ht="22.5" customHeight="1">
      <c r="B17786" s="42" t="str">
        <f>IFERROR(__xludf.DUMMYFUNCTION("""COMPUTED_VALUE"""),"")</f>
        <v/>
      </c>
      <c r="C17786" s="42" t="str">
        <f>IFERROR(__xludf.DUMMYFUNCTION("""COMPUTED_VALUE"""),"")</f>
        <v/>
      </c>
      <c r="D17786" s="42"/>
      <c r="E17786" s="42"/>
      <c r="F17786" s="48" t="str">
        <f>IFERROR(__xludf.DUMMYFUNCTION("""COMPUTED_VALUE"""),"")</f>
        <v/>
      </c>
      <c r="G17786" s="42" t="str">
        <f>IFERROR(__xludf.DUMMYFUNCTION("""COMPUTED_VALUE"""),"")</f>
        <v/>
      </c>
      <c r="H17786" s="42">
        <f t="shared" si="1"/>
        <v>3345</v>
      </c>
    </row>
    <row r="17787" ht="22.5" customHeight="1">
      <c r="B17787" s="42" t="str">
        <f>IFERROR(__xludf.DUMMYFUNCTION("""COMPUTED_VALUE"""),"")</f>
        <v/>
      </c>
      <c r="C17787" s="42" t="str">
        <f>IFERROR(__xludf.DUMMYFUNCTION("""COMPUTED_VALUE"""),"")</f>
        <v/>
      </c>
      <c r="D17787" s="42"/>
      <c r="E17787" s="42"/>
      <c r="F17787" s="48" t="str">
        <f>IFERROR(__xludf.DUMMYFUNCTION("""COMPUTED_VALUE"""),"")</f>
        <v/>
      </c>
      <c r="G17787" s="42" t="str">
        <f>IFERROR(__xludf.DUMMYFUNCTION("""COMPUTED_VALUE"""),"")</f>
        <v/>
      </c>
      <c r="H17787" s="42">
        <f t="shared" si="1"/>
        <v>3345</v>
      </c>
    </row>
    <row r="17788" ht="22.5" customHeight="1">
      <c r="B17788" s="42" t="str">
        <f>IFERROR(__xludf.DUMMYFUNCTION("""COMPUTED_VALUE"""),"")</f>
        <v/>
      </c>
      <c r="C17788" s="42" t="str">
        <f>IFERROR(__xludf.DUMMYFUNCTION("""COMPUTED_VALUE"""),"")</f>
        <v/>
      </c>
      <c r="D17788" s="42"/>
      <c r="E17788" s="42"/>
      <c r="F17788" s="48" t="str">
        <f>IFERROR(__xludf.DUMMYFUNCTION("""COMPUTED_VALUE"""),"")</f>
        <v/>
      </c>
      <c r="G17788" s="42" t="str">
        <f>IFERROR(__xludf.DUMMYFUNCTION("""COMPUTED_VALUE"""),"")</f>
        <v/>
      </c>
      <c r="H17788" s="42">
        <f t="shared" si="1"/>
        <v>3345</v>
      </c>
    </row>
    <row r="17789" ht="22.5" customHeight="1">
      <c r="B17789" s="42" t="str">
        <f>IFERROR(__xludf.DUMMYFUNCTION("""COMPUTED_VALUE"""),"")</f>
        <v/>
      </c>
      <c r="C17789" s="42" t="str">
        <f>IFERROR(__xludf.DUMMYFUNCTION("""COMPUTED_VALUE"""),"")</f>
        <v/>
      </c>
      <c r="D17789" s="42"/>
      <c r="E17789" s="42"/>
      <c r="F17789" s="48" t="str">
        <f>IFERROR(__xludf.DUMMYFUNCTION("""COMPUTED_VALUE"""),"")</f>
        <v/>
      </c>
      <c r="G17789" s="42" t="str">
        <f>IFERROR(__xludf.DUMMYFUNCTION("""COMPUTED_VALUE"""),"")</f>
        <v/>
      </c>
      <c r="H17789" s="42">
        <f t="shared" si="1"/>
        <v>3345</v>
      </c>
    </row>
    <row r="17790" ht="22.5" customHeight="1">
      <c r="B17790" s="42" t="str">
        <f>IFERROR(__xludf.DUMMYFUNCTION("""COMPUTED_VALUE"""),"")</f>
        <v/>
      </c>
      <c r="C17790" s="42" t="str">
        <f>IFERROR(__xludf.DUMMYFUNCTION("""COMPUTED_VALUE"""),"")</f>
        <v/>
      </c>
      <c r="D17790" s="42"/>
      <c r="E17790" s="42"/>
      <c r="F17790" s="48" t="str">
        <f>IFERROR(__xludf.DUMMYFUNCTION("""COMPUTED_VALUE"""),"")</f>
        <v/>
      </c>
      <c r="G17790" s="42" t="str">
        <f>IFERROR(__xludf.DUMMYFUNCTION("""COMPUTED_VALUE"""),"")</f>
        <v/>
      </c>
      <c r="H17790" s="42">
        <f t="shared" si="1"/>
        <v>3345</v>
      </c>
    </row>
    <row r="17791" ht="22.5" customHeight="1">
      <c r="B17791" s="42" t="str">
        <f>IFERROR(__xludf.DUMMYFUNCTION("""COMPUTED_VALUE"""),"")</f>
        <v/>
      </c>
      <c r="C17791" s="42" t="str">
        <f>IFERROR(__xludf.DUMMYFUNCTION("""COMPUTED_VALUE"""),"")</f>
        <v/>
      </c>
      <c r="D17791" s="42"/>
      <c r="E17791" s="42"/>
      <c r="F17791" s="48" t="str">
        <f>IFERROR(__xludf.DUMMYFUNCTION("""COMPUTED_VALUE"""),"")</f>
        <v/>
      </c>
      <c r="G17791" s="42" t="str">
        <f>IFERROR(__xludf.DUMMYFUNCTION("""COMPUTED_VALUE"""),"")</f>
        <v/>
      </c>
      <c r="H17791" s="42">
        <f t="shared" si="1"/>
        <v>3345</v>
      </c>
    </row>
    <row r="17792" ht="22.5" customHeight="1">
      <c r="B17792" s="42" t="str">
        <f>IFERROR(__xludf.DUMMYFUNCTION("""COMPUTED_VALUE"""),"")</f>
        <v/>
      </c>
      <c r="C17792" s="42" t="str">
        <f>IFERROR(__xludf.DUMMYFUNCTION("""COMPUTED_VALUE"""),"")</f>
        <v/>
      </c>
      <c r="D17792" s="42"/>
      <c r="E17792" s="42"/>
      <c r="F17792" s="48" t="str">
        <f>IFERROR(__xludf.DUMMYFUNCTION("""COMPUTED_VALUE"""),"")</f>
        <v/>
      </c>
      <c r="G17792" s="42" t="str">
        <f>IFERROR(__xludf.DUMMYFUNCTION("""COMPUTED_VALUE"""),"")</f>
        <v/>
      </c>
      <c r="H17792" s="42">
        <f t="shared" si="1"/>
        <v>3345</v>
      </c>
    </row>
    <row r="17793" ht="22.5" customHeight="1">
      <c r="B17793" s="42" t="str">
        <f>IFERROR(__xludf.DUMMYFUNCTION("""COMPUTED_VALUE"""),"")</f>
        <v/>
      </c>
      <c r="C17793" s="42" t="str">
        <f>IFERROR(__xludf.DUMMYFUNCTION("""COMPUTED_VALUE"""),"")</f>
        <v/>
      </c>
      <c r="D17793" s="42"/>
      <c r="E17793" s="42"/>
      <c r="F17793" s="48" t="str">
        <f>IFERROR(__xludf.DUMMYFUNCTION("""COMPUTED_VALUE"""),"")</f>
        <v/>
      </c>
      <c r="G17793" s="42" t="str">
        <f>IFERROR(__xludf.DUMMYFUNCTION("""COMPUTED_VALUE"""),"")</f>
        <v/>
      </c>
      <c r="H17793" s="42">
        <f t="shared" si="1"/>
        <v>3345</v>
      </c>
    </row>
    <row r="17794" ht="22.5" customHeight="1">
      <c r="B17794" s="42" t="str">
        <f>IFERROR(__xludf.DUMMYFUNCTION("""COMPUTED_VALUE"""),"")</f>
        <v/>
      </c>
      <c r="C17794" s="42" t="str">
        <f>IFERROR(__xludf.DUMMYFUNCTION("""COMPUTED_VALUE"""),"")</f>
        <v/>
      </c>
      <c r="D17794" s="42"/>
      <c r="E17794" s="42"/>
      <c r="F17794" s="48" t="str">
        <f>IFERROR(__xludf.DUMMYFUNCTION("""COMPUTED_VALUE"""),"")</f>
        <v/>
      </c>
      <c r="G17794" s="42" t="str">
        <f>IFERROR(__xludf.DUMMYFUNCTION("""COMPUTED_VALUE"""),"")</f>
        <v/>
      </c>
      <c r="H17794" s="42">
        <f t="shared" si="1"/>
        <v>3345</v>
      </c>
    </row>
    <row r="17795" ht="22.5" customHeight="1">
      <c r="B17795" s="42" t="str">
        <f>IFERROR(__xludf.DUMMYFUNCTION("""COMPUTED_VALUE"""),"")</f>
        <v/>
      </c>
      <c r="C17795" s="42" t="str">
        <f>IFERROR(__xludf.DUMMYFUNCTION("""COMPUTED_VALUE"""),"")</f>
        <v/>
      </c>
      <c r="D17795" s="42"/>
      <c r="E17795" s="42"/>
      <c r="F17795" s="48" t="str">
        <f>IFERROR(__xludf.DUMMYFUNCTION("""COMPUTED_VALUE"""),"")</f>
        <v/>
      </c>
      <c r="G17795" s="42" t="str">
        <f>IFERROR(__xludf.DUMMYFUNCTION("""COMPUTED_VALUE"""),"")</f>
        <v/>
      </c>
      <c r="H17795" s="42">
        <f t="shared" si="1"/>
        <v>3345</v>
      </c>
    </row>
    <row r="17796" ht="22.5" customHeight="1">
      <c r="B17796" s="42" t="str">
        <f>IFERROR(__xludf.DUMMYFUNCTION("""COMPUTED_VALUE"""),"")</f>
        <v/>
      </c>
      <c r="C17796" s="42" t="str">
        <f>IFERROR(__xludf.DUMMYFUNCTION("""COMPUTED_VALUE"""),"")</f>
        <v/>
      </c>
      <c r="D17796" s="42"/>
      <c r="E17796" s="42"/>
      <c r="F17796" s="48" t="str">
        <f>IFERROR(__xludf.DUMMYFUNCTION("""COMPUTED_VALUE"""),"")</f>
        <v/>
      </c>
      <c r="G17796" s="42" t="str">
        <f>IFERROR(__xludf.DUMMYFUNCTION("""COMPUTED_VALUE"""),"")</f>
        <v/>
      </c>
      <c r="H17796" s="42">
        <f t="shared" si="1"/>
        <v>3345</v>
      </c>
    </row>
    <row r="17797" ht="22.5" customHeight="1">
      <c r="B17797" s="42" t="str">
        <f>IFERROR(__xludf.DUMMYFUNCTION("""COMPUTED_VALUE"""),"")</f>
        <v/>
      </c>
      <c r="C17797" s="42" t="str">
        <f>IFERROR(__xludf.DUMMYFUNCTION("""COMPUTED_VALUE"""),"")</f>
        <v/>
      </c>
      <c r="D17797" s="42"/>
      <c r="E17797" s="42"/>
      <c r="F17797" s="48" t="str">
        <f>IFERROR(__xludf.DUMMYFUNCTION("""COMPUTED_VALUE"""),"")</f>
        <v/>
      </c>
      <c r="G17797" s="42" t="str">
        <f>IFERROR(__xludf.DUMMYFUNCTION("""COMPUTED_VALUE"""),"")</f>
        <v/>
      </c>
      <c r="H17797" s="42">
        <f t="shared" si="1"/>
        <v>3345</v>
      </c>
    </row>
    <row r="17798" ht="22.5" customHeight="1">
      <c r="B17798" s="42" t="str">
        <f>IFERROR(__xludf.DUMMYFUNCTION("""COMPUTED_VALUE"""),"")</f>
        <v/>
      </c>
      <c r="C17798" s="42" t="str">
        <f>IFERROR(__xludf.DUMMYFUNCTION("""COMPUTED_VALUE"""),"")</f>
        <v/>
      </c>
      <c r="D17798" s="42"/>
      <c r="E17798" s="42"/>
      <c r="F17798" s="48" t="str">
        <f>IFERROR(__xludf.DUMMYFUNCTION("""COMPUTED_VALUE"""),"")</f>
        <v/>
      </c>
      <c r="G17798" s="42" t="str">
        <f>IFERROR(__xludf.DUMMYFUNCTION("""COMPUTED_VALUE"""),"")</f>
        <v/>
      </c>
      <c r="H17798" s="42">
        <f t="shared" si="1"/>
        <v>3345</v>
      </c>
    </row>
    <row r="17799" ht="22.5" customHeight="1">
      <c r="B17799" s="42" t="str">
        <f>IFERROR(__xludf.DUMMYFUNCTION("""COMPUTED_VALUE"""),"")</f>
        <v/>
      </c>
      <c r="C17799" s="42" t="str">
        <f>IFERROR(__xludf.DUMMYFUNCTION("""COMPUTED_VALUE"""),"")</f>
        <v/>
      </c>
      <c r="D17799" s="42"/>
      <c r="E17799" s="42"/>
      <c r="F17799" s="48" t="str">
        <f>IFERROR(__xludf.DUMMYFUNCTION("""COMPUTED_VALUE"""),"")</f>
        <v/>
      </c>
      <c r="G17799" s="42" t="str">
        <f>IFERROR(__xludf.DUMMYFUNCTION("""COMPUTED_VALUE"""),"")</f>
        <v/>
      </c>
      <c r="H17799" s="42">
        <f t="shared" si="1"/>
        <v>3345</v>
      </c>
    </row>
    <row r="17800" ht="22.5" customHeight="1">
      <c r="B17800" s="42" t="str">
        <f>IFERROR(__xludf.DUMMYFUNCTION("""COMPUTED_VALUE"""),"")</f>
        <v/>
      </c>
      <c r="C17800" s="42" t="str">
        <f>IFERROR(__xludf.DUMMYFUNCTION("""COMPUTED_VALUE"""),"")</f>
        <v/>
      </c>
      <c r="D17800" s="42"/>
      <c r="E17800" s="42"/>
      <c r="F17800" s="48" t="str">
        <f>IFERROR(__xludf.DUMMYFUNCTION("""COMPUTED_VALUE"""),"")</f>
        <v/>
      </c>
      <c r="G17800" s="42" t="str">
        <f>IFERROR(__xludf.DUMMYFUNCTION("""COMPUTED_VALUE"""),"")</f>
        <v/>
      </c>
      <c r="H17800" s="42">
        <f t="shared" si="1"/>
        <v>3345</v>
      </c>
    </row>
    <row r="17801" ht="22.5" customHeight="1">
      <c r="B17801" s="42" t="str">
        <f>IFERROR(__xludf.DUMMYFUNCTION("""COMPUTED_VALUE"""),"")</f>
        <v/>
      </c>
      <c r="C17801" s="42" t="str">
        <f>IFERROR(__xludf.DUMMYFUNCTION("""COMPUTED_VALUE"""),"")</f>
        <v/>
      </c>
      <c r="D17801" s="42"/>
      <c r="E17801" s="42"/>
      <c r="F17801" s="48" t="str">
        <f>IFERROR(__xludf.DUMMYFUNCTION("""COMPUTED_VALUE"""),"")</f>
        <v/>
      </c>
      <c r="G17801" s="42" t="str">
        <f>IFERROR(__xludf.DUMMYFUNCTION("""COMPUTED_VALUE"""),"")</f>
        <v/>
      </c>
      <c r="H17801" s="42">
        <f t="shared" si="1"/>
        <v>3345</v>
      </c>
    </row>
    <row r="17802" ht="22.5" customHeight="1">
      <c r="B17802" s="42" t="str">
        <f>IFERROR(__xludf.DUMMYFUNCTION("""COMPUTED_VALUE"""),"")</f>
        <v/>
      </c>
      <c r="C17802" s="42" t="str">
        <f>IFERROR(__xludf.DUMMYFUNCTION("""COMPUTED_VALUE"""),"")</f>
        <v/>
      </c>
      <c r="D17802" s="42"/>
      <c r="E17802" s="42"/>
      <c r="F17802" s="48" t="str">
        <f>IFERROR(__xludf.DUMMYFUNCTION("""COMPUTED_VALUE"""),"")</f>
        <v/>
      </c>
      <c r="G17802" s="42" t="str">
        <f>IFERROR(__xludf.DUMMYFUNCTION("""COMPUTED_VALUE"""),"")</f>
        <v/>
      </c>
      <c r="H17802" s="42">
        <f t="shared" si="1"/>
        <v>3345</v>
      </c>
    </row>
    <row r="17803" ht="22.5" customHeight="1">
      <c r="B17803" s="42" t="str">
        <f>IFERROR(__xludf.DUMMYFUNCTION("""COMPUTED_VALUE"""),"")</f>
        <v/>
      </c>
      <c r="C17803" s="42" t="str">
        <f>IFERROR(__xludf.DUMMYFUNCTION("""COMPUTED_VALUE"""),"")</f>
        <v/>
      </c>
      <c r="D17803" s="42"/>
      <c r="E17803" s="42"/>
      <c r="F17803" s="48" t="str">
        <f>IFERROR(__xludf.DUMMYFUNCTION("""COMPUTED_VALUE"""),"")</f>
        <v/>
      </c>
      <c r="G17803" s="42" t="str">
        <f>IFERROR(__xludf.DUMMYFUNCTION("""COMPUTED_VALUE"""),"")</f>
        <v/>
      </c>
      <c r="H17803" s="42">
        <f t="shared" si="1"/>
        <v>3345</v>
      </c>
    </row>
    <row r="17804" ht="22.5" customHeight="1">
      <c r="B17804" s="42" t="str">
        <f>IFERROR(__xludf.DUMMYFUNCTION("""COMPUTED_VALUE"""),"")</f>
        <v/>
      </c>
      <c r="C17804" s="42" t="str">
        <f>IFERROR(__xludf.DUMMYFUNCTION("""COMPUTED_VALUE"""),"")</f>
        <v/>
      </c>
      <c r="D17804" s="42"/>
      <c r="E17804" s="42"/>
      <c r="F17804" s="48" t="str">
        <f>IFERROR(__xludf.DUMMYFUNCTION("""COMPUTED_VALUE"""),"")</f>
        <v/>
      </c>
      <c r="G17804" s="42" t="str">
        <f>IFERROR(__xludf.DUMMYFUNCTION("""COMPUTED_VALUE"""),"")</f>
        <v/>
      </c>
      <c r="H17804" s="42">
        <f t="shared" si="1"/>
        <v>3345</v>
      </c>
    </row>
    <row r="17805" ht="22.5" customHeight="1">
      <c r="B17805" s="42" t="str">
        <f>IFERROR(__xludf.DUMMYFUNCTION("""COMPUTED_VALUE"""),"")</f>
        <v/>
      </c>
      <c r="C17805" s="42" t="str">
        <f>IFERROR(__xludf.DUMMYFUNCTION("""COMPUTED_VALUE"""),"")</f>
        <v/>
      </c>
      <c r="D17805" s="42"/>
      <c r="E17805" s="42"/>
      <c r="F17805" s="48" t="str">
        <f>IFERROR(__xludf.DUMMYFUNCTION("""COMPUTED_VALUE"""),"")</f>
        <v/>
      </c>
      <c r="G17805" s="42" t="str">
        <f>IFERROR(__xludf.DUMMYFUNCTION("""COMPUTED_VALUE"""),"")</f>
        <v/>
      </c>
      <c r="H17805" s="42">
        <f t="shared" si="1"/>
        <v>3345</v>
      </c>
    </row>
    <row r="17806" ht="22.5" customHeight="1">
      <c r="B17806" s="42" t="str">
        <f>IFERROR(__xludf.DUMMYFUNCTION("""COMPUTED_VALUE"""),"")</f>
        <v/>
      </c>
      <c r="C17806" s="42" t="str">
        <f>IFERROR(__xludf.DUMMYFUNCTION("""COMPUTED_VALUE"""),"")</f>
        <v/>
      </c>
      <c r="D17806" s="42"/>
      <c r="E17806" s="42"/>
      <c r="F17806" s="48" t="str">
        <f>IFERROR(__xludf.DUMMYFUNCTION("""COMPUTED_VALUE"""),"")</f>
        <v/>
      </c>
      <c r="G17806" s="42" t="str">
        <f>IFERROR(__xludf.DUMMYFUNCTION("""COMPUTED_VALUE"""),"")</f>
        <v/>
      </c>
      <c r="H17806" s="42">
        <f t="shared" si="1"/>
        <v>3345</v>
      </c>
    </row>
    <row r="17807" ht="22.5" customHeight="1">
      <c r="B17807" s="42" t="str">
        <f>IFERROR(__xludf.DUMMYFUNCTION("""COMPUTED_VALUE"""),"")</f>
        <v/>
      </c>
      <c r="C17807" s="42" t="str">
        <f>IFERROR(__xludf.DUMMYFUNCTION("""COMPUTED_VALUE"""),"")</f>
        <v/>
      </c>
      <c r="D17807" s="42"/>
      <c r="E17807" s="42"/>
      <c r="F17807" s="48" t="str">
        <f>IFERROR(__xludf.DUMMYFUNCTION("""COMPUTED_VALUE"""),"")</f>
        <v/>
      </c>
      <c r="G17807" s="42" t="str">
        <f>IFERROR(__xludf.DUMMYFUNCTION("""COMPUTED_VALUE"""),"")</f>
        <v/>
      </c>
      <c r="H17807" s="42">
        <f t="shared" si="1"/>
        <v>3345</v>
      </c>
    </row>
    <row r="17808" ht="22.5" customHeight="1">
      <c r="B17808" s="42" t="str">
        <f>IFERROR(__xludf.DUMMYFUNCTION("""COMPUTED_VALUE"""),"")</f>
        <v/>
      </c>
      <c r="C17808" s="42" t="str">
        <f>IFERROR(__xludf.DUMMYFUNCTION("""COMPUTED_VALUE"""),"")</f>
        <v/>
      </c>
      <c r="D17808" s="42"/>
      <c r="E17808" s="42"/>
      <c r="F17808" s="48" t="str">
        <f>IFERROR(__xludf.DUMMYFUNCTION("""COMPUTED_VALUE"""),"")</f>
        <v/>
      </c>
      <c r="G17808" s="42" t="str">
        <f>IFERROR(__xludf.DUMMYFUNCTION("""COMPUTED_VALUE"""),"")</f>
        <v/>
      </c>
      <c r="H17808" s="42">
        <f t="shared" si="1"/>
        <v>3345</v>
      </c>
    </row>
    <row r="17809" ht="22.5" customHeight="1">
      <c r="B17809" s="42" t="str">
        <f>IFERROR(__xludf.DUMMYFUNCTION("""COMPUTED_VALUE"""),"")</f>
        <v/>
      </c>
      <c r="C17809" s="42" t="str">
        <f>IFERROR(__xludf.DUMMYFUNCTION("""COMPUTED_VALUE"""),"")</f>
        <v/>
      </c>
      <c r="D17809" s="42"/>
      <c r="E17809" s="42"/>
      <c r="F17809" s="48" t="str">
        <f>IFERROR(__xludf.DUMMYFUNCTION("""COMPUTED_VALUE"""),"")</f>
        <v/>
      </c>
      <c r="G17809" s="42" t="str">
        <f>IFERROR(__xludf.DUMMYFUNCTION("""COMPUTED_VALUE"""),"")</f>
        <v/>
      </c>
      <c r="H17809" s="42">
        <f t="shared" si="1"/>
        <v>3345</v>
      </c>
    </row>
    <row r="17810" ht="22.5" customHeight="1">
      <c r="B17810" s="42" t="str">
        <f>IFERROR(__xludf.DUMMYFUNCTION("""COMPUTED_VALUE"""),"")</f>
        <v/>
      </c>
      <c r="C17810" s="42" t="str">
        <f>IFERROR(__xludf.DUMMYFUNCTION("""COMPUTED_VALUE"""),"")</f>
        <v/>
      </c>
      <c r="D17810" s="42"/>
      <c r="E17810" s="42"/>
      <c r="F17810" s="48" t="str">
        <f>IFERROR(__xludf.DUMMYFUNCTION("""COMPUTED_VALUE"""),"")</f>
        <v/>
      </c>
      <c r="G17810" s="42" t="str">
        <f>IFERROR(__xludf.DUMMYFUNCTION("""COMPUTED_VALUE"""),"")</f>
        <v/>
      </c>
      <c r="H17810" s="42">
        <f t="shared" si="1"/>
        <v>3345</v>
      </c>
    </row>
    <row r="17811" ht="22.5" customHeight="1">
      <c r="B17811" s="42" t="str">
        <f>IFERROR(__xludf.DUMMYFUNCTION("""COMPUTED_VALUE"""),"")</f>
        <v/>
      </c>
      <c r="C17811" s="42" t="str">
        <f>IFERROR(__xludf.DUMMYFUNCTION("""COMPUTED_VALUE"""),"")</f>
        <v/>
      </c>
      <c r="D17811" s="42"/>
      <c r="E17811" s="42"/>
      <c r="F17811" s="48" t="str">
        <f>IFERROR(__xludf.DUMMYFUNCTION("""COMPUTED_VALUE"""),"")</f>
        <v/>
      </c>
      <c r="G17811" s="42" t="str">
        <f>IFERROR(__xludf.DUMMYFUNCTION("""COMPUTED_VALUE"""),"")</f>
        <v/>
      </c>
      <c r="H17811" s="42">
        <f t="shared" si="1"/>
        <v>3345</v>
      </c>
    </row>
    <row r="17812" ht="22.5" customHeight="1">
      <c r="B17812" s="42" t="str">
        <f>IFERROR(__xludf.DUMMYFUNCTION("""COMPUTED_VALUE"""),"")</f>
        <v/>
      </c>
      <c r="C17812" s="42" t="str">
        <f>IFERROR(__xludf.DUMMYFUNCTION("""COMPUTED_VALUE"""),"")</f>
        <v/>
      </c>
      <c r="D17812" s="42"/>
      <c r="E17812" s="42"/>
      <c r="F17812" s="48" t="str">
        <f>IFERROR(__xludf.DUMMYFUNCTION("""COMPUTED_VALUE"""),"")</f>
        <v/>
      </c>
      <c r="G17812" s="42" t="str">
        <f>IFERROR(__xludf.DUMMYFUNCTION("""COMPUTED_VALUE"""),"")</f>
        <v/>
      </c>
      <c r="H17812" s="42">
        <f t="shared" si="1"/>
        <v>3345</v>
      </c>
    </row>
    <row r="17813" ht="22.5" customHeight="1">
      <c r="B17813" s="42" t="str">
        <f>IFERROR(__xludf.DUMMYFUNCTION("""COMPUTED_VALUE"""),"")</f>
        <v/>
      </c>
      <c r="C17813" s="42" t="str">
        <f>IFERROR(__xludf.DUMMYFUNCTION("""COMPUTED_VALUE"""),"")</f>
        <v/>
      </c>
      <c r="D17813" s="42"/>
      <c r="E17813" s="42"/>
      <c r="F17813" s="48" t="str">
        <f>IFERROR(__xludf.DUMMYFUNCTION("""COMPUTED_VALUE"""),"")</f>
        <v/>
      </c>
      <c r="G17813" s="42" t="str">
        <f>IFERROR(__xludf.DUMMYFUNCTION("""COMPUTED_VALUE"""),"")</f>
        <v/>
      </c>
      <c r="H17813" s="42">
        <f t="shared" si="1"/>
        <v>3345</v>
      </c>
    </row>
    <row r="17814" ht="22.5" customHeight="1">
      <c r="B17814" s="42" t="str">
        <f>IFERROR(__xludf.DUMMYFUNCTION("""COMPUTED_VALUE"""),"")</f>
        <v/>
      </c>
      <c r="C17814" s="42" t="str">
        <f>IFERROR(__xludf.DUMMYFUNCTION("""COMPUTED_VALUE"""),"")</f>
        <v/>
      </c>
      <c r="D17814" s="42"/>
      <c r="E17814" s="42"/>
      <c r="F17814" s="48" t="str">
        <f>IFERROR(__xludf.DUMMYFUNCTION("""COMPUTED_VALUE"""),"")</f>
        <v/>
      </c>
      <c r="G17814" s="42" t="str">
        <f>IFERROR(__xludf.DUMMYFUNCTION("""COMPUTED_VALUE"""),"")</f>
        <v/>
      </c>
      <c r="H17814" s="42">
        <f t="shared" si="1"/>
        <v>3345</v>
      </c>
    </row>
    <row r="17815" ht="22.5" customHeight="1">
      <c r="B17815" s="42" t="str">
        <f>IFERROR(__xludf.DUMMYFUNCTION("""COMPUTED_VALUE"""),"")</f>
        <v/>
      </c>
      <c r="C17815" s="42" t="str">
        <f>IFERROR(__xludf.DUMMYFUNCTION("""COMPUTED_VALUE"""),"")</f>
        <v/>
      </c>
      <c r="D17815" s="42"/>
      <c r="E17815" s="42"/>
      <c r="F17815" s="48" t="str">
        <f>IFERROR(__xludf.DUMMYFUNCTION("""COMPUTED_VALUE"""),"")</f>
        <v/>
      </c>
      <c r="G17815" s="42" t="str">
        <f>IFERROR(__xludf.DUMMYFUNCTION("""COMPUTED_VALUE"""),"")</f>
        <v/>
      </c>
      <c r="H17815" s="42">
        <f t="shared" si="1"/>
        <v>3345</v>
      </c>
    </row>
    <row r="17816" ht="22.5" customHeight="1">
      <c r="B17816" s="42" t="str">
        <f>IFERROR(__xludf.DUMMYFUNCTION("""COMPUTED_VALUE"""),"")</f>
        <v/>
      </c>
      <c r="C17816" s="42" t="str">
        <f>IFERROR(__xludf.DUMMYFUNCTION("""COMPUTED_VALUE"""),"")</f>
        <v/>
      </c>
      <c r="D17816" s="42"/>
      <c r="E17816" s="42"/>
      <c r="F17816" s="48" t="str">
        <f>IFERROR(__xludf.DUMMYFUNCTION("""COMPUTED_VALUE"""),"")</f>
        <v/>
      </c>
      <c r="G17816" s="42" t="str">
        <f>IFERROR(__xludf.DUMMYFUNCTION("""COMPUTED_VALUE"""),"")</f>
        <v/>
      </c>
      <c r="H17816" s="42">
        <f t="shared" si="1"/>
        <v>3345</v>
      </c>
    </row>
    <row r="17817" ht="22.5" customHeight="1">
      <c r="B17817" s="42" t="str">
        <f>IFERROR(__xludf.DUMMYFUNCTION("""COMPUTED_VALUE"""),"")</f>
        <v/>
      </c>
      <c r="C17817" s="42" t="str">
        <f>IFERROR(__xludf.DUMMYFUNCTION("""COMPUTED_VALUE"""),"")</f>
        <v/>
      </c>
      <c r="D17817" s="42"/>
      <c r="E17817" s="42"/>
      <c r="F17817" s="48" t="str">
        <f>IFERROR(__xludf.DUMMYFUNCTION("""COMPUTED_VALUE"""),"")</f>
        <v/>
      </c>
      <c r="G17817" s="42" t="str">
        <f>IFERROR(__xludf.DUMMYFUNCTION("""COMPUTED_VALUE"""),"")</f>
        <v/>
      </c>
      <c r="H17817" s="42">
        <f t="shared" si="1"/>
        <v>3345</v>
      </c>
    </row>
    <row r="17818" ht="22.5" customHeight="1">
      <c r="B17818" s="42" t="str">
        <f>IFERROR(__xludf.DUMMYFUNCTION("""COMPUTED_VALUE"""),"")</f>
        <v/>
      </c>
      <c r="C17818" s="42" t="str">
        <f>IFERROR(__xludf.DUMMYFUNCTION("""COMPUTED_VALUE"""),"")</f>
        <v/>
      </c>
      <c r="D17818" s="42"/>
      <c r="E17818" s="42"/>
      <c r="F17818" s="48" t="str">
        <f>IFERROR(__xludf.DUMMYFUNCTION("""COMPUTED_VALUE"""),"")</f>
        <v/>
      </c>
      <c r="G17818" s="42" t="str">
        <f>IFERROR(__xludf.DUMMYFUNCTION("""COMPUTED_VALUE"""),"")</f>
        <v/>
      </c>
      <c r="H17818" s="42">
        <f t="shared" si="1"/>
        <v>3345</v>
      </c>
    </row>
    <row r="17819" ht="22.5" customHeight="1">
      <c r="B17819" s="42" t="str">
        <f>IFERROR(__xludf.DUMMYFUNCTION("""COMPUTED_VALUE"""),"")</f>
        <v/>
      </c>
      <c r="C17819" s="42" t="str">
        <f>IFERROR(__xludf.DUMMYFUNCTION("""COMPUTED_VALUE"""),"")</f>
        <v/>
      </c>
      <c r="D17819" s="42"/>
      <c r="E17819" s="42"/>
      <c r="F17819" s="48" t="str">
        <f>IFERROR(__xludf.DUMMYFUNCTION("""COMPUTED_VALUE"""),"")</f>
        <v/>
      </c>
      <c r="G17819" s="42" t="str">
        <f>IFERROR(__xludf.DUMMYFUNCTION("""COMPUTED_VALUE"""),"")</f>
        <v/>
      </c>
      <c r="H17819" s="42">
        <f t="shared" si="1"/>
        <v>3345</v>
      </c>
    </row>
    <row r="17820" ht="22.5" customHeight="1">
      <c r="B17820" s="42" t="str">
        <f>IFERROR(__xludf.DUMMYFUNCTION("""COMPUTED_VALUE"""),"")</f>
        <v/>
      </c>
      <c r="C17820" s="42" t="str">
        <f>IFERROR(__xludf.DUMMYFUNCTION("""COMPUTED_VALUE"""),"")</f>
        <v/>
      </c>
      <c r="D17820" s="42"/>
      <c r="E17820" s="42"/>
      <c r="F17820" s="48" t="str">
        <f>IFERROR(__xludf.DUMMYFUNCTION("""COMPUTED_VALUE"""),"")</f>
        <v/>
      </c>
      <c r="G17820" s="42" t="str">
        <f>IFERROR(__xludf.DUMMYFUNCTION("""COMPUTED_VALUE"""),"")</f>
        <v/>
      </c>
      <c r="H17820" s="42">
        <f t="shared" si="1"/>
        <v>3345</v>
      </c>
    </row>
    <row r="17821" ht="22.5" customHeight="1">
      <c r="B17821" s="42" t="str">
        <f>IFERROR(__xludf.DUMMYFUNCTION("""COMPUTED_VALUE"""),"")</f>
        <v/>
      </c>
      <c r="C17821" s="42" t="str">
        <f>IFERROR(__xludf.DUMMYFUNCTION("""COMPUTED_VALUE"""),"")</f>
        <v/>
      </c>
      <c r="D17821" s="42"/>
      <c r="E17821" s="42"/>
      <c r="F17821" s="48" t="str">
        <f>IFERROR(__xludf.DUMMYFUNCTION("""COMPUTED_VALUE"""),"")</f>
        <v/>
      </c>
      <c r="G17821" s="42" t="str">
        <f>IFERROR(__xludf.DUMMYFUNCTION("""COMPUTED_VALUE"""),"")</f>
        <v/>
      </c>
      <c r="H17821" s="42">
        <f t="shared" si="1"/>
        <v>3345</v>
      </c>
    </row>
    <row r="17822" ht="22.5" customHeight="1">
      <c r="B17822" s="42" t="str">
        <f>IFERROR(__xludf.DUMMYFUNCTION("""COMPUTED_VALUE"""),"")</f>
        <v/>
      </c>
      <c r="C17822" s="42" t="str">
        <f>IFERROR(__xludf.DUMMYFUNCTION("""COMPUTED_VALUE"""),"")</f>
        <v/>
      </c>
      <c r="D17822" s="42"/>
      <c r="E17822" s="42"/>
      <c r="F17822" s="48" t="str">
        <f>IFERROR(__xludf.DUMMYFUNCTION("""COMPUTED_VALUE"""),"")</f>
        <v/>
      </c>
      <c r="G17822" s="42" t="str">
        <f>IFERROR(__xludf.DUMMYFUNCTION("""COMPUTED_VALUE"""),"")</f>
        <v/>
      </c>
      <c r="H17822" s="42">
        <f t="shared" si="1"/>
        <v>3345</v>
      </c>
    </row>
    <row r="17823" ht="22.5" customHeight="1">
      <c r="B17823" s="42" t="str">
        <f>IFERROR(__xludf.DUMMYFUNCTION("""COMPUTED_VALUE"""),"")</f>
        <v/>
      </c>
      <c r="C17823" s="42" t="str">
        <f>IFERROR(__xludf.DUMMYFUNCTION("""COMPUTED_VALUE"""),"")</f>
        <v/>
      </c>
      <c r="D17823" s="42"/>
      <c r="E17823" s="42"/>
      <c r="F17823" s="48" t="str">
        <f>IFERROR(__xludf.DUMMYFUNCTION("""COMPUTED_VALUE"""),"")</f>
        <v/>
      </c>
      <c r="G17823" s="42" t="str">
        <f>IFERROR(__xludf.DUMMYFUNCTION("""COMPUTED_VALUE"""),"")</f>
        <v/>
      </c>
      <c r="H17823" s="42">
        <f t="shared" si="1"/>
        <v>3345</v>
      </c>
    </row>
    <row r="17824" ht="22.5" customHeight="1">
      <c r="B17824" s="42" t="str">
        <f>IFERROR(__xludf.DUMMYFUNCTION("""COMPUTED_VALUE"""),"")</f>
        <v/>
      </c>
      <c r="C17824" s="42" t="str">
        <f>IFERROR(__xludf.DUMMYFUNCTION("""COMPUTED_VALUE"""),"")</f>
        <v/>
      </c>
      <c r="D17824" s="42"/>
      <c r="E17824" s="42"/>
      <c r="F17824" s="48" t="str">
        <f>IFERROR(__xludf.DUMMYFUNCTION("""COMPUTED_VALUE"""),"")</f>
        <v/>
      </c>
      <c r="G17824" s="42" t="str">
        <f>IFERROR(__xludf.DUMMYFUNCTION("""COMPUTED_VALUE"""),"")</f>
        <v/>
      </c>
      <c r="H17824" s="42">
        <f t="shared" si="1"/>
        <v>3345</v>
      </c>
    </row>
    <row r="17825" ht="22.5" customHeight="1">
      <c r="B17825" s="42" t="str">
        <f>IFERROR(__xludf.DUMMYFUNCTION("""COMPUTED_VALUE"""),"")</f>
        <v/>
      </c>
      <c r="C17825" s="42" t="str">
        <f>IFERROR(__xludf.DUMMYFUNCTION("""COMPUTED_VALUE"""),"")</f>
        <v/>
      </c>
      <c r="D17825" s="42"/>
      <c r="E17825" s="42"/>
      <c r="F17825" s="48" t="str">
        <f>IFERROR(__xludf.DUMMYFUNCTION("""COMPUTED_VALUE"""),"")</f>
        <v/>
      </c>
      <c r="G17825" s="42" t="str">
        <f>IFERROR(__xludf.DUMMYFUNCTION("""COMPUTED_VALUE"""),"")</f>
        <v/>
      </c>
      <c r="H17825" s="42">
        <f t="shared" si="1"/>
        <v>3345</v>
      </c>
    </row>
    <row r="17826" ht="22.5" customHeight="1">
      <c r="B17826" s="42" t="str">
        <f>IFERROR(__xludf.DUMMYFUNCTION("""COMPUTED_VALUE"""),"")</f>
        <v/>
      </c>
      <c r="C17826" s="42" t="str">
        <f>IFERROR(__xludf.DUMMYFUNCTION("""COMPUTED_VALUE"""),"")</f>
        <v/>
      </c>
      <c r="D17826" s="42"/>
      <c r="E17826" s="42"/>
      <c r="F17826" s="48" t="str">
        <f>IFERROR(__xludf.DUMMYFUNCTION("""COMPUTED_VALUE"""),"")</f>
        <v/>
      </c>
      <c r="G17826" s="42" t="str">
        <f>IFERROR(__xludf.DUMMYFUNCTION("""COMPUTED_VALUE"""),"")</f>
        <v/>
      </c>
      <c r="H17826" s="42">
        <f t="shared" si="1"/>
        <v>3345</v>
      </c>
    </row>
    <row r="17827" ht="22.5" customHeight="1">
      <c r="B17827" s="42" t="str">
        <f>IFERROR(__xludf.DUMMYFUNCTION("""COMPUTED_VALUE"""),"")</f>
        <v/>
      </c>
      <c r="C17827" s="42" t="str">
        <f>IFERROR(__xludf.DUMMYFUNCTION("""COMPUTED_VALUE"""),"")</f>
        <v/>
      </c>
      <c r="D17827" s="42"/>
      <c r="E17827" s="42"/>
      <c r="F17827" s="48" t="str">
        <f>IFERROR(__xludf.DUMMYFUNCTION("""COMPUTED_VALUE"""),"")</f>
        <v/>
      </c>
      <c r="G17827" s="42" t="str">
        <f>IFERROR(__xludf.DUMMYFUNCTION("""COMPUTED_VALUE"""),"")</f>
        <v/>
      </c>
      <c r="H17827" s="42">
        <f t="shared" si="1"/>
        <v>3345</v>
      </c>
    </row>
    <row r="17828" ht="22.5" customHeight="1">
      <c r="B17828" s="42" t="str">
        <f>IFERROR(__xludf.DUMMYFUNCTION("""COMPUTED_VALUE"""),"")</f>
        <v/>
      </c>
      <c r="C17828" s="42" t="str">
        <f>IFERROR(__xludf.DUMMYFUNCTION("""COMPUTED_VALUE"""),"")</f>
        <v/>
      </c>
      <c r="D17828" s="42"/>
      <c r="E17828" s="42"/>
      <c r="F17828" s="48" t="str">
        <f>IFERROR(__xludf.DUMMYFUNCTION("""COMPUTED_VALUE"""),"")</f>
        <v/>
      </c>
      <c r="G17828" s="42" t="str">
        <f>IFERROR(__xludf.DUMMYFUNCTION("""COMPUTED_VALUE"""),"")</f>
        <v/>
      </c>
      <c r="H17828" s="42">
        <f t="shared" si="1"/>
        <v>3345</v>
      </c>
    </row>
    <row r="17829" ht="22.5" customHeight="1">
      <c r="B17829" s="42" t="str">
        <f>IFERROR(__xludf.DUMMYFUNCTION("""COMPUTED_VALUE"""),"")</f>
        <v/>
      </c>
      <c r="C17829" s="42" t="str">
        <f>IFERROR(__xludf.DUMMYFUNCTION("""COMPUTED_VALUE"""),"")</f>
        <v/>
      </c>
      <c r="D17829" s="42"/>
      <c r="E17829" s="42"/>
      <c r="F17829" s="48" t="str">
        <f>IFERROR(__xludf.DUMMYFUNCTION("""COMPUTED_VALUE"""),"")</f>
        <v/>
      </c>
      <c r="G17829" s="42" t="str">
        <f>IFERROR(__xludf.DUMMYFUNCTION("""COMPUTED_VALUE"""),"")</f>
        <v/>
      </c>
      <c r="H17829" s="42">
        <f t="shared" si="1"/>
        <v>3345</v>
      </c>
    </row>
    <row r="17830" ht="22.5" customHeight="1">
      <c r="B17830" s="42" t="str">
        <f>IFERROR(__xludf.DUMMYFUNCTION("""COMPUTED_VALUE"""),"")</f>
        <v/>
      </c>
      <c r="C17830" s="42" t="str">
        <f>IFERROR(__xludf.DUMMYFUNCTION("""COMPUTED_VALUE"""),"")</f>
        <v/>
      </c>
      <c r="D17830" s="42"/>
      <c r="E17830" s="42"/>
      <c r="F17830" s="48" t="str">
        <f>IFERROR(__xludf.DUMMYFUNCTION("""COMPUTED_VALUE"""),"")</f>
        <v/>
      </c>
      <c r="G17830" s="42" t="str">
        <f>IFERROR(__xludf.DUMMYFUNCTION("""COMPUTED_VALUE"""),"")</f>
        <v/>
      </c>
      <c r="H17830" s="42">
        <f t="shared" si="1"/>
        <v>3345</v>
      </c>
    </row>
    <row r="17831" ht="22.5" customHeight="1">
      <c r="B17831" s="42" t="str">
        <f>IFERROR(__xludf.DUMMYFUNCTION("""COMPUTED_VALUE"""),"")</f>
        <v/>
      </c>
      <c r="C17831" s="42" t="str">
        <f>IFERROR(__xludf.DUMMYFUNCTION("""COMPUTED_VALUE"""),"")</f>
        <v/>
      </c>
      <c r="D17831" s="42"/>
      <c r="E17831" s="42"/>
      <c r="F17831" s="48" t="str">
        <f>IFERROR(__xludf.DUMMYFUNCTION("""COMPUTED_VALUE"""),"")</f>
        <v/>
      </c>
      <c r="G17831" s="42" t="str">
        <f>IFERROR(__xludf.DUMMYFUNCTION("""COMPUTED_VALUE"""),"")</f>
        <v/>
      </c>
      <c r="H17831" s="42">
        <f t="shared" si="1"/>
        <v>3345</v>
      </c>
    </row>
    <row r="17832" ht="22.5" customHeight="1">
      <c r="B17832" s="42" t="str">
        <f>IFERROR(__xludf.DUMMYFUNCTION("""COMPUTED_VALUE"""),"")</f>
        <v/>
      </c>
      <c r="C17832" s="42" t="str">
        <f>IFERROR(__xludf.DUMMYFUNCTION("""COMPUTED_VALUE"""),"")</f>
        <v/>
      </c>
      <c r="D17832" s="42"/>
      <c r="E17832" s="42"/>
      <c r="F17832" s="48" t="str">
        <f>IFERROR(__xludf.DUMMYFUNCTION("""COMPUTED_VALUE"""),"")</f>
        <v/>
      </c>
      <c r="G17832" s="42" t="str">
        <f>IFERROR(__xludf.DUMMYFUNCTION("""COMPUTED_VALUE"""),"")</f>
        <v/>
      </c>
      <c r="H17832" s="42">
        <f t="shared" si="1"/>
        <v>3345</v>
      </c>
    </row>
    <row r="17833" ht="22.5" customHeight="1">
      <c r="B17833" s="42" t="str">
        <f>IFERROR(__xludf.DUMMYFUNCTION("""COMPUTED_VALUE"""),"")</f>
        <v/>
      </c>
      <c r="C17833" s="42" t="str">
        <f>IFERROR(__xludf.DUMMYFUNCTION("""COMPUTED_VALUE"""),"")</f>
        <v/>
      </c>
      <c r="D17833" s="42"/>
      <c r="E17833" s="42"/>
      <c r="F17833" s="48" t="str">
        <f>IFERROR(__xludf.DUMMYFUNCTION("""COMPUTED_VALUE"""),"")</f>
        <v/>
      </c>
      <c r="G17833" s="42" t="str">
        <f>IFERROR(__xludf.DUMMYFUNCTION("""COMPUTED_VALUE"""),"")</f>
        <v/>
      </c>
      <c r="H17833" s="42">
        <f t="shared" si="1"/>
        <v>3345</v>
      </c>
    </row>
    <row r="17834" ht="22.5" customHeight="1">
      <c r="B17834" s="42" t="str">
        <f>IFERROR(__xludf.DUMMYFUNCTION("""COMPUTED_VALUE"""),"")</f>
        <v/>
      </c>
      <c r="C17834" s="42" t="str">
        <f>IFERROR(__xludf.DUMMYFUNCTION("""COMPUTED_VALUE"""),"")</f>
        <v/>
      </c>
      <c r="D17834" s="42"/>
      <c r="E17834" s="42"/>
      <c r="F17834" s="48" t="str">
        <f>IFERROR(__xludf.DUMMYFUNCTION("""COMPUTED_VALUE"""),"")</f>
        <v/>
      </c>
      <c r="G17834" s="42" t="str">
        <f>IFERROR(__xludf.DUMMYFUNCTION("""COMPUTED_VALUE"""),"")</f>
        <v/>
      </c>
      <c r="H17834" s="42">
        <f t="shared" si="1"/>
        <v>3345</v>
      </c>
    </row>
    <row r="17835" ht="22.5" customHeight="1">
      <c r="B17835" s="42" t="str">
        <f>IFERROR(__xludf.DUMMYFUNCTION("""COMPUTED_VALUE"""),"")</f>
        <v/>
      </c>
      <c r="C17835" s="42" t="str">
        <f>IFERROR(__xludf.DUMMYFUNCTION("""COMPUTED_VALUE"""),"")</f>
        <v/>
      </c>
      <c r="D17835" s="42"/>
      <c r="E17835" s="42"/>
      <c r="F17835" s="48" t="str">
        <f>IFERROR(__xludf.DUMMYFUNCTION("""COMPUTED_VALUE"""),"")</f>
        <v/>
      </c>
      <c r="G17835" s="42" t="str">
        <f>IFERROR(__xludf.DUMMYFUNCTION("""COMPUTED_VALUE"""),"")</f>
        <v/>
      </c>
      <c r="H17835" s="42">
        <f t="shared" si="1"/>
        <v>3345</v>
      </c>
    </row>
    <row r="17836" ht="22.5" customHeight="1">
      <c r="B17836" s="42" t="str">
        <f>IFERROR(__xludf.DUMMYFUNCTION("""COMPUTED_VALUE"""),"")</f>
        <v/>
      </c>
      <c r="C17836" s="42" t="str">
        <f>IFERROR(__xludf.DUMMYFUNCTION("""COMPUTED_VALUE"""),"")</f>
        <v/>
      </c>
      <c r="D17836" s="42"/>
      <c r="E17836" s="42"/>
      <c r="F17836" s="48" t="str">
        <f>IFERROR(__xludf.DUMMYFUNCTION("""COMPUTED_VALUE"""),"")</f>
        <v/>
      </c>
      <c r="G17836" s="42" t="str">
        <f>IFERROR(__xludf.DUMMYFUNCTION("""COMPUTED_VALUE"""),"")</f>
        <v/>
      </c>
      <c r="H17836" s="42">
        <f t="shared" si="1"/>
        <v>3345</v>
      </c>
    </row>
    <row r="17837" ht="22.5" customHeight="1">
      <c r="B17837" s="42" t="str">
        <f>IFERROR(__xludf.DUMMYFUNCTION("""COMPUTED_VALUE"""),"")</f>
        <v/>
      </c>
      <c r="C17837" s="42" t="str">
        <f>IFERROR(__xludf.DUMMYFUNCTION("""COMPUTED_VALUE"""),"")</f>
        <v/>
      </c>
      <c r="D17837" s="42"/>
      <c r="E17837" s="42"/>
      <c r="F17837" s="48" t="str">
        <f>IFERROR(__xludf.DUMMYFUNCTION("""COMPUTED_VALUE"""),"")</f>
        <v/>
      </c>
      <c r="G17837" s="42" t="str">
        <f>IFERROR(__xludf.DUMMYFUNCTION("""COMPUTED_VALUE"""),"")</f>
        <v/>
      </c>
      <c r="H17837" s="42">
        <f t="shared" si="1"/>
        <v>3345</v>
      </c>
    </row>
    <row r="17838" ht="22.5" customHeight="1">
      <c r="B17838" s="42" t="str">
        <f>IFERROR(__xludf.DUMMYFUNCTION("""COMPUTED_VALUE"""),"")</f>
        <v/>
      </c>
      <c r="C17838" s="42" t="str">
        <f>IFERROR(__xludf.DUMMYFUNCTION("""COMPUTED_VALUE"""),"")</f>
        <v/>
      </c>
      <c r="D17838" s="42"/>
      <c r="E17838" s="42"/>
      <c r="F17838" s="48" t="str">
        <f>IFERROR(__xludf.DUMMYFUNCTION("""COMPUTED_VALUE"""),"")</f>
        <v/>
      </c>
      <c r="G17838" s="42" t="str">
        <f>IFERROR(__xludf.DUMMYFUNCTION("""COMPUTED_VALUE"""),"")</f>
        <v/>
      </c>
      <c r="H17838" s="42">
        <f t="shared" si="1"/>
        <v>3345</v>
      </c>
    </row>
    <row r="17839" ht="22.5" customHeight="1">
      <c r="B17839" s="42" t="str">
        <f>IFERROR(__xludf.DUMMYFUNCTION("""COMPUTED_VALUE"""),"")</f>
        <v/>
      </c>
      <c r="C17839" s="42" t="str">
        <f>IFERROR(__xludf.DUMMYFUNCTION("""COMPUTED_VALUE"""),"")</f>
        <v/>
      </c>
      <c r="D17839" s="42"/>
      <c r="E17839" s="42"/>
      <c r="F17839" s="48" t="str">
        <f>IFERROR(__xludf.DUMMYFUNCTION("""COMPUTED_VALUE"""),"")</f>
        <v/>
      </c>
      <c r="G17839" s="42" t="str">
        <f>IFERROR(__xludf.DUMMYFUNCTION("""COMPUTED_VALUE"""),"")</f>
        <v/>
      </c>
      <c r="H17839" s="42">
        <f t="shared" si="1"/>
        <v>3345</v>
      </c>
    </row>
    <row r="17840" ht="22.5" customHeight="1">
      <c r="B17840" s="42" t="str">
        <f>IFERROR(__xludf.DUMMYFUNCTION("""COMPUTED_VALUE"""),"")</f>
        <v/>
      </c>
      <c r="C17840" s="42" t="str">
        <f>IFERROR(__xludf.DUMMYFUNCTION("""COMPUTED_VALUE"""),"")</f>
        <v/>
      </c>
      <c r="D17840" s="42"/>
      <c r="E17840" s="42"/>
      <c r="F17840" s="48" t="str">
        <f>IFERROR(__xludf.DUMMYFUNCTION("""COMPUTED_VALUE"""),"")</f>
        <v/>
      </c>
      <c r="G17840" s="42" t="str">
        <f>IFERROR(__xludf.DUMMYFUNCTION("""COMPUTED_VALUE"""),"")</f>
        <v/>
      </c>
      <c r="H17840" s="42">
        <f t="shared" si="1"/>
        <v>3345</v>
      </c>
    </row>
    <row r="17841" ht="22.5" customHeight="1">
      <c r="B17841" s="42" t="str">
        <f>IFERROR(__xludf.DUMMYFUNCTION("""COMPUTED_VALUE"""),"")</f>
        <v/>
      </c>
      <c r="C17841" s="42" t="str">
        <f>IFERROR(__xludf.DUMMYFUNCTION("""COMPUTED_VALUE"""),"")</f>
        <v/>
      </c>
      <c r="D17841" s="42"/>
      <c r="E17841" s="42"/>
      <c r="F17841" s="48" t="str">
        <f>IFERROR(__xludf.DUMMYFUNCTION("""COMPUTED_VALUE"""),"")</f>
        <v/>
      </c>
      <c r="G17841" s="42" t="str">
        <f>IFERROR(__xludf.DUMMYFUNCTION("""COMPUTED_VALUE"""),"")</f>
        <v/>
      </c>
      <c r="H17841" s="42">
        <f t="shared" si="1"/>
        <v>3345</v>
      </c>
    </row>
    <row r="17842" ht="22.5" customHeight="1">
      <c r="B17842" s="42" t="str">
        <f>IFERROR(__xludf.DUMMYFUNCTION("""COMPUTED_VALUE"""),"")</f>
        <v/>
      </c>
      <c r="C17842" s="42" t="str">
        <f>IFERROR(__xludf.DUMMYFUNCTION("""COMPUTED_VALUE"""),"")</f>
        <v/>
      </c>
      <c r="D17842" s="42"/>
      <c r="E17842" s="42"/>
      <c r="F17842" s="48" t="str">
        <f>IFERROR(__xludf.DUMMYFUNCTION("""COMPUTED_VALUE"""),"")</f>
        <v/>
      </c>
      <c r="G17842" s="42" t="str">
        <f>IFERROR(__xludf.DUMMYFUNCTION("""COMPUTED_VALUE"""),"")</f>
        <v/>
      </c>
      <c r="H17842" s="42">
        <f t="shared" si="1"/>
        <v>3345</v>
      </c>
    </row>
    <row r="17843" ht="22.5" customHeight="1">
      <c r="B17843" s="42" t="str">
        <f>IFERROR(__xludf.DUMMYFUNCTION("""COMPUTED_VALUE"""),"")</f>
        <v/>
      </c>
      <c r="C17843" s="42" t="str">
        <f>IFERROR(__xludf.DUMMYFUNCTION("""COMPUTED_VALUE"""),"")</f>
        <v/>
      </c>
      <c r="D17843" s="42"/>
      <c r="E17843" s="42"/>
      <c r="F17843" s="48" t="str">
        <f>IFERROR(__xludf.DUMMYFUNCTION("""COMPUTED_VALUE"""),"")</f>
        <v/>
      </c>
      <c r="G17843" s="42" t="str">
        <f>IFERROR(__xludf.DUMMYFUNCTION("""COMPUTED_VALUE"""),"")</f>
        <v/>
      </c>
      <c r="H17843" s="42">
        <f t="shared" si="1"/>
        <v>3345</v>
      </c>
    </row>
    <row r="17844" ht="22.5" customHeight="1">
      <c r="B17844" s="42" t="str">
        <f>IFERROR(__xludf.DUMMYFUNCTION("""COMPUTED_VALUE"""),"")</f>
        <v/>
      </c>
      <c r="C17844" s="42" t="str">
        <f>IFERROR(__xludf.DUMMYFUNCTION("""COMPUTED_VALUE"""),"")</f>
        <v/>
      </c>
      <c r="D17844" s="42"/>
      <c r="E17844" s="42"/>
      <c r="F17844" s="48" t="str">
        <f>IFERROR(__xludf.DUMMYFUNCTION("""COMPUTED_VALUE"""),"")</f>
        <v/>
      </c>
      <c r="G17844" s="42" t="str">
        <f>IFERROR(__xludf.DUMMYFUNCTION("""COMPUTED_VALUE"""),"")</f>
        <v/>
      </c>
      <c r="H17844" s="42">
        <f t="shared" si="1"/>
        <v>3345</v>
      </c>
    </row>
    <row r="17845" ht="22.5" customHeight="1">
      <c r="B17845" s="42" t="str">
        <f>IFERROR(__xludf.DUMMYFUNCTION("""COMPUTED_VALUE"""),"")</f>
        <v/>
      </c>
      <c r="C17845" s="42" t="str">
        <f>IFERROR(__xludf.DUMMYFUNCTION("""COMPUTED_VALUE"""),"")</f>
        <v/>
      </c>
      <c r="D17845" s="42"/>
      <c r="E17845" s="42"/>
      <c r="F17845" s="48" t="str">
        <f>IFERROR(__xludf.DUMMYFUNCTION("""COMPUTED_VALUE"""),"")</f>
        <v/>
      </c>
      <c r="G17845" s="42" t="str">
        <f>IFERROR(__xludf.DUMMYFUNCTION("""COMPUTED_VALUE"""),"")</f>
        <v/>
      </c>
      <c r="H17845" s="42">
        <f t="shared" si="1"/>
        <v>3345</v>
      </c>
    </row>
    <row r="17846" ht="22.5" customHeight="1">
      <c r="B17846" s="42" t="str">
        <f>IFERROR(__xludf.DUMMYFUNCTION("""COMPUTED_VALUE"""),"")</f>
        <v/>
      </c>
      <c r="C17846" s="42" t="str">
        <f>IFERROR(__xludf.DUMMYFUNCTION("""COMPUTED_VALUE"""),"")</f>
        <v/>
      </c>
      <c r="D17846" s="42"/>
      <c r="E17846" s="42"/>
      <c r="F17846" s="48" t="str">
        <f>IFERROR(__xludf.DUMMYFUNCTION("""COMPUTED_VALUE"""),"")</f>
        <v/>
      </c>
      <c r="G17846" s="42" t="str">
        <f>IFERROR(__xludf.DUMMYFUNCTION("""COMPUTED_VALUE"""),"")</f>
        <v/>
      </c>
      <c r="H17846" s="42">
        <f t="shared" si="1"/>
        <v>3345</v>
      </c>
    </row>
    <row r="17847" ht="22.5" customHeight="1">
      <c r="B17847" s="42" t="str">
        <f>IFERROR(__xludf.DUMMYFUNCTION("""COMPUTED_VALUE"""),"")</f>
        <v/>
      </c>
      <c r="C17847" s="42" t="str">
        <f>IFERROR(__xludf.DUMMYFUNCTION("""COMPUTED_VALUE"""),"")</f>
        <v/>
      </c>
      <c r="D17847" s="42"/>
      <c r="E17847" s="42"/>
      <c r="F17847" s="48" t="str">
        <f>IFERROR(__xludf.DUMMYFUNCTION("""COMPUTED_VALUE"""),"")</f>
        <v/>
      </c>
      <c r="G17847" s="42" t="str">
        <f>IFERROR(__xludf.DUMMYFUNCTION("""COMPUTED_VALUE"""),"")</f>
        <v/>
      </c>
      <c r="H17847" s="42">
        <f t="shared" si="1"/>
        <v>3345</v>
      </c>
    </row>
    <row r="17848" ht="22.5" customHeight="1">
      <c r="B17848" s="42" t="str">
        <f>IFERROR(__xludf.DUMMYFUNCTION("""COMPUTED_VALUE"""),"")</f>
        <v/>
      </c>
      <c r="C17848" s="42" t="str">
        <f>IFERROR(__xludf.DUMMYFUNCTION("""COMPUTED_VALUE"""),"")</f>
        <v/>
      </c>
      <c r="D17848" s="42"/>
      <c r="E17848" s="42"/>
      <c r="F17848" s="48" t="str">
        <f>IFERROR(__xludf.DUMMYFUNCTION("""COMPUTED_VALUE"""),"")</f>
        <v/>
      </c>
      <c r="G17848" s="42" t="str">
        <f>IFERROR(__xludf.DUMMYFUNCTION("""COMPUTED_VALUE"""),"")</f>
        <v/>
      </c>
      <c r="H17848" s="42">
        <f t="shared" si="1"/>
        <v>3345</v>
      </c>
    </row>
    <row r="17849" ht="22.5" customHeight="1">
      <c r="B17849" s="42" t="str">
        <f>IFERROR(__xludf.DUMMYFUNCTION("""COMPUTED_VALUE"""),"")</f>
        <v/>
      </c>
      <c r="C17849" s="42" t="str">
        <f>IFERROR(__xludf.DUMMYFUNCTION("""COMPUTED_VALUE"""),"")</f>
        <v/>
      </c>
      <c r="D17849" s="42"/>
      <c r="E17849" s="42"/>
      <c r="F17849" s="48" t="str">
        <f>IFERROR(__xludf.DUMMYFUNCTION("""COMPUTED_VALUE"""),"")</f>
        <v/>
      </c>
      <c r="G17849" s="42" t="str">
        <f>IFERROR(__xludf.DUMMYFUNCTION("""COMPUTED_VALUE"""),"")</f>
        <v/>
      </c>
      <c r="H17849" s="42">
        <f t="shared" si="1"/>
        <v>3345</v>
      </c>
    </row>
    <row r="17850" ht="22.5" customHeight="1">
      <c r="B17850" s="42" t="str">
        <f>IFERROR(__xludf.DUMMYFUNCTION("""COMPUTED_VALUE"""),"")</f>
        <v/>
      </c>
      <c r="C17850" s="42" t="str">
        <f>IFERROR(__xludf.DUMMYFUNCTION("""COMPUTED_VALUE"""),"")</f>
        <v/>
      </c>
      <c r="D17850" s="42"/>
      <c r="E17850" s="42"/>
      <c r="F17850" s="48" t="str">
        <f>IFERROR(__xludf.DUMMYFUNCTION("""COMPUTED_VALUE"""),"")</f>
        <v/>
      </c>
      <c r="G17850" s="42" t="str">
        <f>IFERROR(__xludf.DUMMYFUNCTION("""COMPUTED_VALUE"""),"")</f>
        <v/>
      </c>
      <c r="H17850" s="42">
        <f t="shared" si="1"/>
        <v>3345</v>
      </c>
    </row>
    <row r="17851" ht="22.5" customHeight="1">
      <c r="B17851" s="42" t="str">
        <f>IFERROR(__xludf.DUMMYFUNCTION("""COMPUTED_VALUE"""),"")</f>
        <v/>
      </c>
      <c r="C17851" s="42" t="str">
        <f>IFERROR(__xludf.DUMMYFUNCTION("""COMPUTED_VALUE"""),"")</f>
        <v/>
      </c>
      <c r="D17851" s="42"/>
      <c r="E17851" s="42"/>
      <c r="F17851" s="48" t="str">
        <f>IFERROR(__xludf.DUMMYFUNCTION("""COMPUTED_VALUE"""),"")</f>
        <v/>
      </c>
      <c r="G17851" s="42" t="str">
        <f>IFERROR(__xludf.DUMMYFUNCTION("""COMPUTED_VALUE"""),"")</f>
        <v/>
      </c>
      <c r="H17851" s="42">
        <f t="shared" si="1"/>
        <v>3345</v>
      </c>
    </row>
    <row r="17852" ht="22.5" customHeight="1">
      <c r="B17852" s="42" t="str">
        <f>IFERROR(__xludf.DUMMYFUNCTION("""COMPUTED_VALUE"""),"")</f>
        <v/>
      </c>
      <c r="C17852" s="42" t="str">
        <f>IFERROR(__xludf.DUMMYFUNCTION("""COMPUTED_VALUE"""),"")</f>
        <v/>
      </c>
      <c r="D17852" s="42"/>
      <c r="E17852" s="42"/>
      <c r="F17852" s="48" t="str">
        <f>IFERROR(__xludf.DUMMYFUNCTION("""COMPUTED_VALUE"""),"")</f>
        <v/>
      </c>
      <c r="G17852" s="42" t="str">
        <f>IFERROR(__xludf.DUMMYFUNCTION("""COMPUTED_VALUE"""),"")</f>
        <v/>
      </c>
      <c r="H17852" s="42">
        <f t="shared" si="1"/>
        <v>3345</v>
      </c>
    </row>
    <row r="17853" ht="22.5" customHeight="1">
      <c r="B17853" s="42" t="str">
        <f>IFERROR(__xludf.DUMMYFUNCTION("""COMPUTED_VALUE"""),"")</f>
        <v/>
      </c>
      <c r="C17853" s="42" t="str">
        <f>IFERROR(__xludf.DUMMYFUNCTION("""COMPUTED_VALUE"""),"")</f>
        <v/>
      </c>
      <c r="D17853" s="42"/>
      <c r="E17853" s="42"/>
      <c r="F17853" s="48" t="str">
        <f>IFERROR(__xludf.DUMMYFUNCTION("""COMPUTED_VALUE"""),"")</f>
        <v/>
      </c>
      <c r="G17853" s="42" t="str">
        <f>IFERROR(__xludf.DUMMYFUNCTION("""COMPUTED_VALUE"""),"")</f>
        <v/>
      </c>
      <c r="H17853" s="42">
        <f t="shared" si="1"/>
        <v>3345</v>
      </c>
    </row>
    <row r="17854" ht="22.5" customHeight="1">
      <c r="B17854" s="42" t="str">
        <f>IFERROR(__xludf.DUMMYFUNCTION("""COMPUTED_VALUE"""),"")</f>
        <v/>
      </c>
      <c r="C17854" s="42" t="str">
        <f>IFERROR(__xludf.DUMMYFUNCTION("""COMPUTED_VALUE"""),"")</f>
        <v/>
      </c>
      <c r="D17854" s="42"/>
      <c r="E17854" s="42"/>
      <c r="F17854" s="48" t="str">
        <f>IFERROR(__xludf.DUMMYFUNCTION("""COMPUTED_VALUE"""),"")</f>
        <v/>
      </c>
      <c r="G17854" s="42" t="str">
        <f>IFERROR(__xludf.DUMMYFUNCTION("""COMPUTED_VALUE"""),"")</f>
        <v/>
      </c>
      <c r="H17854" s="42">
        <f t="shared" si="1"/>
        <v>3345</v>
      </c>
    </row>
    <row r="17855" ht="22.5" customHeight="1">
      <c r="B17855" s="42" t="str">
        <f>IFERROR(__xludf.DUMMYFUNCTION("""COMPUTED_VALUE"""),"")</f>
        <v/>
      </c>
      <c r="C17855" s="42" t="str">
        <f>IFERROR(__xludf.DUMMYFUNCTION("""COMPUTED_VALUE"""),"")</f>
        <v/>
      </c>
      <c r="D17855" s="42"/>
      <c r="E17855" s="42"/>
      <c r="F17855" s="48" t="str">
        <f>IFERROR(__xludf.DUMMYFUNCTION("""COMPUTED_VALUE"""),"")</f>
        <v/>
      </c>
      <c r="G17855" s="42" t="str">
        <f>IFERROR(__xludf.DUMMYFUNCTION("""COMPUTED_VALUE"""),"")</f>
        <v/>
      </c>
      <c r="H17855" s="42">
        <f t="shared" si="1"/>
        <v>3345</v>
      </c>
    </row>
    <row r="17856" ht="22.5" customHeight="1">
      <c r="B17856" s="42" t="str">
        <f>IFERROR(__xludf.DUMMYFUNCTION("""COMPUTED_VALUE"""),"")</f>
        <v/>
      </c>
      <c r="C17856" s="42" t="str">
        <f>IFERROR(__xludf.DUMMYFUNCTION("""COMPUTED_VALUE"""),"")</f>
        <v/>
      </c>
      <c r="D17856" s="42"/>
      <c r="E17856" s="42"/>
      <c r="F17856" s="48" t="str">
        <f>IFERROR(__xludf.DUMMYFUNCTION("""COMPUTED_VALUE"""),"")</f>
        <v/>
      </c>
      <c r="G17856" s="42" t="str">
        <f>IFERROR(__xludf.DUMMYFUNCTION("""COMPUTED_VALUE"""),"")</f>
        <v/>
      </c>
      <c r="H17856" s="42">
        <f t="shared" si="1"/>
        <v>3345</v>
      </c>
    </row>
    <row r="17857" ht="22.5" customHeight="1">
      <c r="B17857" s="42" t="str">
        <f>IFERROR(__xludf.DUMMYFUNCTION("""COMPUTED_VALUE"""),"")</f>
        <v/>
      </c>
      <c r="C17857" s="42" t="str">
        <f>IFERROR(__xludf.DUMMYFUNCTION("""COMPUTED_VALUE"""),"")</f>
        <v/>
      </c>
      <c r="D17857" s="42"/>
      <c r="E17857" s="42"/>
      <c r="F17857" s="48" t="str">
        <f>IFERROR(__xludf.DUMMYFUNCTION("""COMPUTED_VALUE"""),"")</f>
        <v/>
      </c>
      <c r="G17857" s="42" t="str">
        <f>IFERROR(__xludf.DUMMYFUNCTION("""COMPUTED_VALUE"""),"")</f>
        <v/>
      </c>
      <c r="H17857" s="42">
        <f t="shared" si="1"/>
        <v>3345</v>
      </c>
    </row>
    <row r="17858" ht="22.5" customHeight="1">
      <c r="B17858" s="42" t="str">
        <f>IFERROR(__xludf.DUMMYFUNCTION("""COMPUTED_VALUE"""),"")</f>
        <v/>
      </c>
      <c r="C17858" s="42" t="str">
        <f>IFERROR(__xludf.DUMMYFUNCTION("""COMPUTED_VALUE"""),"")</f>
        <v/>
      </c>
      <c r="D17858" s="42"/>
      <c r="E17858" s="42"/>
      <c r="F17858" s="48" t="str">
        <f>IFERROR(__xludf.DUMMYFUNCTION("""COMPUTED_VALUE"""),"")</f>
        <v/>
      </c>
      <c r="G17858" s="42" t="str">
        <f>IFERROR(__xludf.DUMMYFUNCTION("""COMPUTED_VALUE"""),"")</f>
        <v/>
      </c>
      <c r="H17858" s="42">
        <f t="shared" si="1"/>
        <v>3345</v>
      </c>
    </row>
    <row r="17859" ht="22.5" customHeight="1">
      <c r="B17859" s="42" t="str">
        <f>IFERROR(__xludf.DUMMYFUNCTION("""COMPUTED_VALUE"""),"")</f>
        <v/>
      </c>
      <c r="C17859" s="42" t="str">
        <f>IFERROR(__xludf.DUMMYFUNCTION("""COMPUTED_VALUE"""),"")</f>
        <v/>
      </c>
      <c r="D17859" s="42"/>
      <c r="E17859" s="42"/>
      <c r="F17859" s="48" t="str">
        <f>IFERROR(__xludf.DUMMYFUNCTION("""COMPUTED_VALUE"""),"")</f>
        <v/>
      </c>
      <c r="G17859" s="42" t="str">
        <f>IFERROR(__xludf.DUMMYFUNCTION("""COMPUTED_VALUE"""),"")</f>
        <v/>
      </c>
      <c r="H17859" s="42">
        <f t="shared" si="1"/>
        <v>3345</v>
      </c>
    </row>
    <row r="17860" ht="22.5" customHeight="1">
      <c r="B17860" s="42" t="str">
        <f>IFERROR(__xludf.DUMMYFUNCTION("""COMPUTED_VALUE"""),"")</f>
        <v/>
      </c>
      <c r="C17860" s="42" t="str">
        <f>IFERROR(__xludf.DUMMYFUNCTION("""COMPUTED_VALUE"""),"")</f>
        <v/>
      </c>
      <c r="D17860" s="42"/>
      <c r="E17860" s="42"/>
      <c r="F17860" s="48" t="str">
        <f>IFERROR(__xludf.DUMMYFUNCTION("""COMPUTED_VALUE"""),"")</f>
        <v/>
      </c>
      <c r="G17860" s="42" t="str">
        <f>IFERROR(__xludf.DUMMYFUNCTION("""COMPUTED_VALUE"""),"")</f>
        <v/>
      </c>
      <c r="H17860" s="42">
        <f t="shared" si="1"/>
        <v>3345</v>
      </c>
    </row>
    <row r="17861" ht="22.5" customHeight="1">
      <c r="B17861" s="42" t="str">
        <f>IFERROR(__xludf.DUMMYFUNCTION("""COMPUTED_VALUE"""),"")</f>
        <v/>
      </c>
      <c r="C17861" s="42" t="str">
        <f>IFERROR(__xludf.DUMMYFUNCTION("""COMPUTED_VALUE"""),"")</f>
        <v/>
      </c>
      <c r="D17861" s="42"/>
      <c r="E17861" s="42"/>
      <c r="F17861" s="48" t="str">
        <f>IFERROR(__xludf.DUMMYFUNCTION("""COMPUTED_VALUE"""),"")</f>
        <v/>
      </c>
      <c r="G17861" s="42" t="str">
        <f>IFERROR(__xludf.DUMMYFUNCTION("""COMPUTED_VALUE"""),"")</f>
        <v/>
      </c>
      <c r="H17861" s="42">
        <f t="shared" si="1"/>
        <v>3345</v>
      </c>
    </row>
    <row r="17862" ht="22.5" customHeight="1">
      <c r="B17862" s="42" t="str">
        <f>IFERROR(__xludf.DUMMYFUNCTION("""COMPUTED_VALUE"""),"")</f>
        <v/>
      </c>
      <c r="C17862" s="42" t="str">
        <f>IFERROR(__xludf.DUMMYFUNCTION("""COMPUTED_VALUE"""),"")</f>
        <v/>
      </c>
      <c r="D17862" s="42"/>
      <c r="E17862" s="42"/>
      <c r="F17862" s="48" t="str">
        <f>IFERROR(__xludf.DUMMYFUNCTION("""COMPUTED_VALUE"""),"")</f>
        <v/>
      </c>
      <c r="G17862" s="42" t="str">
        <f>IFERROR(__xludf.DUMMYFUNCTION("""COMPUTED_VALUE"""),"")</f>
        <v/>
      </c>
      <c r="H17862" s="42">
        <f t="shared" si="1"/>
        <v>3345</v>
      </c>
    </row>
    <row r="17863" ht="22.5" customHeight="1">
      <c r="B17863" s="42" t="str">
        <f>IFERROR(__xludf.DUMMYFUNCTION("""COMPUTED_VALUE"""),"")</f>
        <v/>
      </c>
      <c r="C17863" s="42" t="str">
        <f>IFERROR(__xludf.DUMMYFUNCTION("""COMPUTED_VALUE"""),"")</f>
        <v/>
      </c>
      <c r="D17863" s="42"/>
      <c r="E17863" s="42"/>
      <c r="F17863" s="48" t="str">
        <f>IFERROR(__xludf.DUMMYFUNCTION("""COMPUTED_VALUE"""),"")</f>
        <v/>
      </c>
      <c r="G17863" s="42" t="str">
        <f>IFERROR(__xludf.DUMMYFUNCTION("""COMPUTED_VALUE"""),"")</f>
        <v/>
      </c>
      <c r="H17863" s="42">
        <f t="shared" si="1"/>
        <v>3345</v>
      </c>
    </row>
    <row r="17864" ht="22.5" customHeight="1">
      <c r="B17864" s="42" t="str">
        <f>IFERROR(__xludf.DUMMYFUNCTION("""COMPUTED_VALUE"""),"")</f>
        <v/>
      </c>
      <c r="C17864" s="42" t="str">
        <f>IFERROR(__xludf.DUMMYFUNCTION("""COMPUTED_VALUE"""),"")</f>
        <v/>
      </c>
      <c r="D17864" s="42"/>
      <c r="E17864" s="42"/>
      <c r="F17864" s="48" t="str">
        <f>IFERROR(__xludf.DUMMYFUNCTION("""COMPUTED_VALUE"""),"")</f>
        <v/>
      </c>
      <c r="G17864" s="42" t="str">
        <f>IFERROR(__xludf.DUMMYFUNCTION("""COMPUTED_VALUE"""),"")</f>
        <v/>
      </c>
      <c r="H17864" s="42">
        <f t="shared" si="1"/>
        <v>3345</v>
      </c>
    </row>
    <row r="17865" ht="22.5" customHeight="1">
      <c r="B17865" s="42" t="str">
        <f>IFERROR(__xludf.DUMMYFUNCTION("""COMPUTED_VALUE"""),"")</f>
        <v/>
      </c>
      <c r="C17865" s="42" t="str">
        <f>IFERROR(__xludf.DUMMYFUNCTION("""COMPUTED_VALUE"""),"")</f>
        <v/>
      </c>
      <c r="D17865" s="42"/>
      <c r="E17865" s="42"/>
      <c r="F17865" s="48" t="str">
        <f>IFERROR(__xludf.DUMMYFUNCTION("""COMPUTED_VALUE"""),"")</f>
        <v/>
      </c>
      <c r="G17865" s="42" t="str">
        <f>IFERROR(__xludf.DUMMYFUNCTION("""COMPUTED_VALUE"""),"")</f>
        <v/>
      </c>
      <c r="H17865" s="42">
        <f t="shared" si="1"/>
        <v>3345</v>
      </c>
    </row>
    <row r="17866" ht="22.5" customHeight="1">
      <c r="B17866" s="42" t="str">
        <f>IFERROR(__xludf.DUMMYFUNCTION("""COMPUTED_VALUE"""),"")</f>
        <v/>
      </c>
      <c r="C17866" s="42" t="str">
        <f>IFERROR(__xludf.DUMMYFUNCTION("""COMPUTED_VALUE"""),"")</f>
        <v/>
      </c>
      <c r="D17866" s="42"/>
      <c r="E17866" s="42"/>
      <c r="F17866" s="48" t="str">
        <f>IFERROR(__xludf.DUMMYFUNCTION("""COMPUTED_VALUE"""),"")</f>
        <v/>
      </c>
      <c r="G17866" s="42" t="str">
        <f>IFERROR(__xludf.DUMMYFUNCTION("""COMPUTED_VALUE"""),"")</f>
        <v/>
      </c>
      <c r="H17866" s="42">
        <f t="shared" si="1"/>
        <v>3345</v>
      </c>
    </row>
    <row r="17867" ht="22.5" customHeight="1">
      <c r="B17867" s="42" t="str">
        <f>IFERROR(__xludf.DUMMYFUNCTION("""COMPUTED_VALUE"""),"")</f>
        <v/>
      </c>
      <c r="C17867" s="42" t="str">
        <f>IFERROR(__xludf.DUMMYFUNCTION("""COMPUTED_VALUE"""),"")</f>
        <v/>
      </c>
      <c r="D17867" s="42"/>
      <c r="E17867" s="42"/>
      <c r="F17867" s="48" t="str">
        <f>IFERROR(__xludf.DUMMYFUNCTION("""COMPUTED_VALUE"""),"")</f>
        <v/>
      </c>
      <c r="G17867" s="42" t="str">
        <f>IFERROR(__xludf.DUMMYFUNCTION("""COMPUTED_VALUE"""),"")</f>
        <v/>
      </c>
      <c r="H17867" s="42">
        <f t="shared" si="1"/>
        <v>3345</v>
      </c>
    </row>
    <row r="17868" ht="22.5" customHeight="1">
      <c r="B17868" s="42" t="str">
        <f>IFERROR(__xludf.DUMMYFUNCTION("""COMPUTED_VALUE"""),"")</f>
        <v/>
      </c>
      <c r="C17868" s="42" t="str">
        <f>IFERROR(__xludf.DUMMYFUNCTION("""COMPUTED_VALUE"""),"")</f>
        <v/>
      </c>
      <c r="D17868" s="42"/>
      <c r="E17868" s="42"/>
      <c r="F17868" s="48" t="str">
        <f>IFERROR(__xludf.DUMMYFUNCTION("""COMPUTED_VALUE"""),"")</f>
        <v/>
      </c>
      <c r="G17868" s="42" t="str">
        <f>IFERROR(__xludf.DUMMYFUNCTION("""COMPUTED_VALUE"""),"")</f>
        <v/>
      </c>
      <c r="H17868" s="42">
        <f t="shared" si="1"/>
        <v>3345</v>
      </c>
    </row>
    <row r="17869" ht="22.5" customHeight="1">
      <c r="B17869" s="42" t="str">
        <f>IFERROR(__xludf.DUMMYFUNCTION("""COMPUTED_VALUE"""),"")</f>
        <v/>
      </c>
      <c r="C17869" s="42" t="str">
        <f>IFERROR(__xludf.DUMMYFUNCTION("""COMPUTED_VALUE"""),"")</f>
        <v/>
      </c>
      <c r="D17869" s="42"/>
      <c r="E17869" s="42"/>
      <c r="F17869" s="48" t="str">
        <f>IFERROR(__xludf.DUMMYFUNCTION("""COMPUTED_VALUE"""),"")</f>
        <v/>
      </c>
      <c r="G17869" s="42" t="str">
        <f>IFERROR(__xludf.DUMMYFUNCTION("""COMPUTED_VALUE"""),"")</f>
        <v/>
      </c>
      <c r="H17869" s="42">
        <f t="shared" si="1"/>
        <v>3345</v>
      </c>
    </row>
    <row r="17870" ht="22.5" customHeight="1">
      <c r="B17870" s="42" t="str">
        <f>IFERROR(__xludf.DUMMYFUNCTION("""COMPUTED_VALUE"""),"")</f>
        <v/>
      </c>
      <c r="C17870" s="42" t="str">
        <f>IFERROR(__xludf.DUMMYFUNCTION("""COMPUTED_VALUE"""),"")</f>
        <v/>
      </c>
      <c r="D17870" s="42"/>
      <c r="E17870" s="42"/>
      <c r="F17870" s="48" t="str">
        <f>IFERROR(__xludf.DUMMYFUNCTION("""COMPUTED_VALUE"""),"")</f>
        <v/>
      </c>
      <c r="G17870" s="42" t="str">
        <f>IFERROR(__xludf.DUMMYFUNCTION("""COMPUTED_VALUE"""),"")</f>
        <v/>
      </c>
      <c r="H17870" s="42">
        <f t="shared" si="1"/>
        <v>3345</v>
      </c>
    </row>
    <row r="17871" ht="22.5" customHeight="1">
      <c r="B17871" s="42" t="str">
        <f>IFERROR(__xludf.DUMMYFUNCTION("""COMPUTED_VALUE"""),"")</f>
        <v/>
      </c>
      <c r="C17871" s="42" t="str">
        <f>IFERROR(__xludf.DUMMYFUNCTION("""COMPUTED_VALUE"""),"")</f>
        <v/>
      </c>
      <c r="D17871" s="42"/>
      <c r="E17871" s="42"/>
      <c r="F17871" s="48" t="str">
        <f>IFERROR(__xludf.DUMMYFUNCTION("""COMPUTED_VALUE"""),"")</f>
        <v/>
      </c>
      <c r="G17871" s="42" t="str">
        <f>IFERROR(__xludf.DUMMYFUNCTION("""COMPUTED_VALUE"""),"")</f>
        <v/>
      </c>
      <c r="H17871" s="42">
        <f t="shared" si="1"/>
        <v>3345</v>
      </c>
    </row>
    <row r="17872" ht="22.5" customHeight="1">
      <c r="B17872" s="42" t="str">
        <f>IFERROR(__xludf.DUMMYFUNCTION("""COMPUTED_VALUE"""),"")</f>
        <v/>
      </c>
      <c r="C17872" s="42" t="str">
        <f>IFERROR(__xludf.DUMMYFUNCTION("""COMPUTED_VALUE"""),"")</f>
        <v/>
      </c>
      <c r="D17872" s="42"/>
      <c r="E17872" s="42"/>
      <c r="F17872" s="48" t="str">
        <f>IFERROR(__xludf.DUMMYFUNCTION("""COMPUTED_VALUE"""),"")</f>
        <v/>
      </c>
      <c r="G17872" s="42" t="str">
        <f>IFERROR(__xludf.DUMMYFUNCTION("""COMPUTED_VALUE"""),"")</f>
        <v/>
      </c>
      <c r="H17872" s="42">
        <f t="shared" si="1"/>
        <v>3345</v>
      </c>
    </row>
    <row r="17873" ht="22.5" customHeight="1">
      <c r="B17873" s="42" t="str">
        <f>IFERROR(__xludf.DUMMYFUNCTION("""COMPUTED_VALUE"""),"")</f>
        <v/>
      </c>
      <c r="C17873" s="42" t="str">
        <f>IFERROR(__xludf.DUMMYFUNCTION("""COMPUTED_VALUE"""),"")</f>
        <v/>
      </c>
      <c r="D17873" s="42"/>
      <c r="E17873" s="42"/>
      <c r="F17873" s="48" t="str">
        <f>IFERROR(__xludf.DUMMYFUNCTION("""COMPUTED_VALUE"""),"")</f>
        <v/>
      </c>
      <c r="G17873" s="42" t="str">
        <f>IFERROR(__xludf.DUMMYFUNCTION("""COMPUTED_VALUE"""),"")</f>
        <v/>
      </c>
      <c r="H17873" s="42">
        <f t="shared" si="1"/>
        <v>3345</v>
      </c>
    </row>
    <row r="17874" ht="22.5" customHeight="1">
      <c r="B17874" s="42" t="str">
        <f>IFERROR(__xludf.DUMMYFUNCTION("""COMPUTED_VALUE"""),"")</f>
        <v/>
      </c>
      <c r="C17874" s="42" t="str">
        <f>IFERROR(__xludf.DUMMYFUNCTION("""COMPUTED_VALUE"""),"")</f>
        <v/>
      </c>
      <c r="D17874" s="42"/>
      <c r="E17874" s="42"/>
      <c r="F17874" s="48" t="str">
        <f>IFERROR(__xludf.DUMMYFUNCTION("""COMPUTED_VALUE"""),"")</f>
        <v/>
      </c>
      <c r="G17874" s="42" t="str">
        <f>IFERROR(__xludf.DUMMYFUNCTION("""COMPUTED_VALUE"""),"")</f>
        <v/>
      </c>
      <c r="H17874" s="42">
        <f t="shared" si="1"/>
        <v>3345</v>
      </c>
    </row>
    <row r="17875" ht="22.5" customHeight="1">
      <c r="B17875" s="42" t="str">
        <f>IFERROR(__xludf.DUMMYFUNCTION("""COMPUTED_VALUE"""),"")</f>
        <v/>
      </c>
      <c r="C17875" s="42" t="str">
        <f>IFERROR(__xludf.DUMMYFUNCTION("""COMPUTED_VALUE"""),"")</f>
        <v/>
      </c>
      <c r="D17875" s="42"/>
      <c r="E17875" s="42"/>
      <c r="F17875" s="48" t="str">
        <f>IFERROR(__xludf.DUMMYFUNCTION("""COMPUTED_VALUE"""),"")</f>
        <v/>
      </c>
      <c r="G17875" s="42" t="str">
        <f>IFERROR(__xludf.DUMMYFUNCTION("""COMPUTED_VALUE"""),"")</f>
        <v/>
      </c>
      <c r="H17875" s="42">
        <f t="shared" si="1"/>
        <v>3345</v>
      </c>
    </row>
    <row r="17876" ht="22.5" customHeight="1">
      <c r="B17876" s="42" t="str">
        <f>IFERROR(__xludf.DUMMYFUNCTION("""COMPUTED_VALUE"""),"")</f>
        <v/>
      </c>
      <c r="C17876" s="42" t="str">
        <f>IFERROR(__xludf.DUMMYFUNCTION("""COMPUTED_VALUE"""),"")</f>
        <v/>
      </c>
      <c r="D17876" s="42"/>
      <c r="E17876" s="42"/>
      <c r="F17876" s="48" t="str">
        <f>IFERROR(__xludf.DUMMYFUNCTION("""COMPUTED_VALUE"""),"")</f>
        <v/>
      </c>
      <c r="G17876" s="42" t="str">
        <f>IFERROR(__xludf.DUMMYFUNCTION("""COMPUTED_VALUE"""),"")</f>
        <v/>
      </c>
      <c r="H17876" s="42">
        <f t="shared" si="1"/>
        <v>3345</v>
      </c>
    </row>
    <row r="17877" ht="22.5" customHeight="1">
      <c r="B17877" s="42" t="str">
        <f>IFERROR(__xludf.DUMMYFUNCTION("""COMPUTED_VALUE"""),"")</f>
        <v/>
      </c>
      <c r="C17877" s="42" t="str">
        <f>IFERROR(__xludf.DUMMYFUNCTION("""COMPUTED_VALUE"""),"")</f>
        <v/>
      </c>
      <c r="D17877" s="42"/>
      <c r="E17877" s="42"/>
      <c r="F17877" s="48" t="str">
        <f>IFERROR(__xludf.DUMMYFUNCTION("""COMPUTED_VALUE"""),"")</f>
        <v/>
      </c>
      <c r="G17877" s="42" t="str">
        <f>IFERROR(__xludf.DUMMYFUNCTION("""COMPUTED_VALUE"""),"")</f>
        <v/>
      </c>
      <c r="H17877" s="42">
        <f t="shared" si="1"/>
        <v>3345</v>
      </c>
    </row>
    <row r="17878" ht="22.5" customHeight="1">
      <c r="B17878" s="42" t="str">
        <f>IFERROR(__xludf.DUMMYFUNCTION("""COMPUTED_VALUE"""),"")</f>
        <v/>
      </c>
      <c r="C17878" s="42" t="str">
        <f>IFERROR(__xludf.DUMMYFUNCTION("""COMPUTED_VALUE"""),"")</f>
        <v/>
      </c>
      <c r="D17878" s="42"/>
      <c r="E17878" s="42"/>
      <c r="F17878" s="48" t="str">
        <f>IFERROR(__xludf.DUMMYFUNCTION("""COMPUTED_VALUE"""),"")</f>
        <v/>
      </c>
      <c r="G17878" s="42" t="str">
        <f>IFERROR(__xludf.DUMMYFUNCTION("""COMPUTED_VALUE"""),"")</f>
        <v/>
      </c>
      <c r="H17878" s="42">
        <f t="shared" si="1"/>
        <v>3345</v>
      </c>
    </row>
    <row r="17879" ht="22.5" customHeight="1">
      <c r="B17879" s="42" t="str">
        <f>IFERROR(__xludf.DUMMYFUNCTION("""COMPUTED_VALUE"""),"")</f>
        <v/>
      </c>
      <c r="C17879" s="42" t="str">
        <f>IFERROR(__xludf.DUMMYFUNCTION("""COMPUTED_VALUE"""),"")</f>
        <v/>
      </c>
      <c r="D17879" s="42"/>
      <c r="E17879" s="42"/>
      <c r="F17879" s="48" t="str">
        <f>IFERROR(__xludf.DUMMYFUNCTION("""COMPUTED_VALUE"""),"")</f>
        <v/>
      </c>
      <c r="G17879" s="42" t="str">
        <f>IFERROR(__xludf.DUMMYFUNCTION("""COMPUTED_VALUE"""),"")</f>
        <v/>
      </c>
      <c r="H17879" s="42">
        <f t="shared" si="1"/>
        <v>3345</v>
      </c>
    </row>
    <row r="17880" ht="22.5" customHeight="1">
      <c r="B17880" s="42" t="str">
        <f>IFERROR(__xludf.DUMMYFUNCTION("""COMPUTED_VALUE"""),"")</f>
        <v/>
      </c>
      <c r="C17880" s="42" t="str">
        <f>IFERROR(__xludf.DUMMYFUNCTION("""COMPUTED_VALUE"""),"")</f>
        <v/>
      </c>
      <c r="D17880" s="42"/>
      <c r="E17880" s="42"/>
      <c r="F17880" s="48" t="str">
        <f>IFERROR(__xludf.DUMMYFUNCTION("""COMPUTED_VALUE"""),"")</f>
        <v/>
      </c>
      <c r="G17880" s="42" t="str">
        <f>IFERROR(__xludf.DUMMYFUNCTION("""COMPUTED_VALUE"""),"")</f>
        <v/>
      </c>
      <c r="H17880" s="42">
        <f t="shared" si="1"/>
        <v>3345</v>
      </c>
    </row>
    <row r="17881" ht="22.5" customHeight="1">
      <c r="B17881" s="42" t="str">
        <f>IFERROR(__xludf.DUMMYFUNCTION("""COMPUTED_VALUE"""),"")</f>
        <v/>
      </c>
      <c r="C17881" s="42" t="str">
        <f>IFERROR(__xludf.DUMMYFUNCTION("""COMPUTED_VALUE"""),"")</f>
        <v/>
      </c>
      <c r="D17881" s="42"/>
      <c r="E17881" s="42"/>
      <c r="F17881" s="48" t="str">
        <f>IFERROR(__xludf.DUMMYFUNCTION("""COMPUTED_VALUE"""),"")</f>
        <v/>
      </c>
      <c r="G17881" s="42" t="str">
        <f>IFERROR(__xludf.DUMMYFUNCTION("""COMPUTED_VALUE"""),"")</f>
        <v/>
      </c>
      <c r="H17881" s="42">
        <f t="shared" si="1"/>
        <v>3345</v>
      </c>
    </row>
    <row r="17882" ht="22.5" customHeight="1">
      <c r="B17882" s="42" t="str">
        <f>IFERROR(__xludf.DUMMYFUNCTION("""COMPUTED_VALUE"""),"")</f>
        <v/>
      </c>
      <c r="C17882" s="42" t="str">
        <f>IFERROR(__xludf.DUMMYFUNCTION("""COMPUTED_VALUE"""),"")</f>
        <v/>
      </c>
      <c r="D17882" s="42"/>
      <c r="E17882" s="42"/>
      <c r="F17882" s="48" t="str">
        <f>IFERROR(__xludf.DUMMYFUNCTION("""COMPUTED_VALUE"""),"")</f>
        <v/>
      </c>
      <c r="G17882" s="42" t="str">
        <f>IFERROR(__xludf.DUMMYFUNCTION("""COMPUTED_VALUE"""),"")</f>
        <v/>
      </c>
      <c r="H17882" s="42">
        <f t="shared" si="1"/>
        <v>3345</v>
      </c>
    </row>
    <row r="17883" ht="22.5" customHeight="1">
      <c r="B17883" s="42" t="str">
        <f>IFERROR(__xludf.DUMMYFUNCTION("""COMPUTED_VALUE"""),"")</f>
        <v/>
      </c>
      <c r="C17883" s="42" t="str">
        <f>IFERROR(__xludf.DUMMYFUNCTION("""COMPUTED_VALUE"""),"")</f>
        <v/>
      </c>
      <c r="D17883" s="42"/>
      <c r="E17883" s="42"/>
      <c r="F17883" s="48" t="str">
        <f>IFERROR(__xludf.DUMMYFUNCTION("""COMPUTED_VALUE"""),"")</f>
        <v/>
      </c>
      <c r="G17883" s="42" t="str">
        <f>IFERROR(__xludf.DUMMYFUNCTION("""COMPUTED_VALUE"""),"")</f>
        <v/>
      </c>
      <c r="H17883" s="42">
        <f t="shared" si="1"/>
        <v>3345</v>
      </c>
    </row>
    <row r="17884" ht="22.5" customHeight="1">
      <c r="B17884" s="42" t="str">
        <f>IFERROR(__xludf.DUMMYFUNCTION("""COMPUTED_VALUE"""),"")</f>
        <v/>
      </c>
      <c r="C17884" s="42" t="str">
        <f>IFERROR(__xludf.DUMMYFUNCTION("""COMPUTED_VALUE"""),"")</f>
        <v/>
      </c>
      <c r="D17884" s="42"/>
      <c r="E17884" s="42"/>
      <c r="F17884" s="48" t="str">
        <f>IFERROR(__xludf.DUMMYFUNCTION("""COMPUTED_VALUE"""),"")</f>
        <v/>
      </c>
      <c r="G17884" s="42" t="str">
        <f>IFERROR(__xludf.DUMMYFUNCTION("""COMPUTED_VALUE"""),"")</f>
        <v/>
      </c>
      <c r="H17884" s="42">
        <f t="shared" si="1"/>
        <v>3345</v>
      </c>
    </row>
    <row r="17885" ht="22.5" customHeight="1">
      <c r="B17885" s="42" t="str">
        <f>IFERROR(__xludf.DUMMYFUNCTION("""COMPUTED_VALUE"""),"")</f>
        <v/>
      </c>
      <c r="C17885" s="42" t="str">
        <f>IFERROR(__xludf.DUMMYFUNCTION("""COMPUTED_VALUE"""),"")</f>
        <v/>
      </c>
      <c r="D17885" s="42"/>
      <c r="E17885" s="42"/>
      <c r="F17885" s="48" t="str">
        <f>IFERROR(__xludf.DUMMYFUNCTION("""COMPUTED_VALUE"""),"")</f>
        <v/>
      </c>
      <c r="G17885" s="42" t="str">
        <f>IFERROR(__xludf.DUMMYFUNCTION("""COMPUTED_VALUE"""),"")</f>
        <v/>
      </c>
      <c r="H17885" s="42">
        <f t="shared" si="1"/>
        <v>3345</v>
      </c>
    </row>
    <row r="17886" ht="22.5" customHeight="1">
      <c r="B17886" s="42" t="str">
        <f>IFERROR(__xludf.DUMMYFUNCTION("""COMPUTED_VALUE"""),"")</f>
        <v/>
      </c>
      <c r="C17886" s="42" t="str">
        <f>IFERROR(__xludf.DUMMYFUNCTION("""COMPUTED_VALUE"""),"")</f>
        <v/>
      </c>
      <c r="D17886" s="42"/>
      <c r="E17886" s="42"/>
      <c r="F17886" s="48" t="str">
        <f>IFERROR(__xludf.DUMMYFUNCTION("""COMPUTED_VALUE"""),"")</f>
        <v/>
      </c>
      <c r="G17886" s="42" t="str">
        <f>IFERROR(__xludf.DUMMYFUNCTION("""COMPUTED_VALUE"""),"")</f>
        <v/>
      </c>
      <c r="H17886" s="42">
        <f t="shared" si="1"/>
        <v>3345</v>
      </c>
    </row>
    <row r="17887" ht="22.5" customHeight="1">
      <c r="B17887" s="42" t="str">
        <f>IFERROR(__xludf.DUMMYFUNCTION("""COMPUTED_VALUE"""),"")</f>
        <v/>
      </c>
      <c r="C17887" s="42" t="str">
        <f>IFERROR(__xludf.DUMMYFUNCTION("""COMPUTED_VALUE"""),"")</f>
        <v/>
      </c>
      <c r="D17887" s="42"/>
      <c r="E17887" s="42"/>
      <c r="F17887" s="48" t="str">
        <f>IFERROR(__xludf.DUMMYFUNCTION("""COMPUTED_VALUE"""),"")</f>
        <v/>
      </c>
      <c r="G17887" s="42" t="str">
        <f>IFERROR(__xludf.DUMMYFUNCTION("""COMPUTED_VALUE"""),"")</f>
        <v/>
      </c>
      <c r="H17887" s="42">
        <f t="shared" si="1"/>
        <v>3345</v>
      </c>
    </row>
    <row r="17888" ht="22.5" customHeight="1">
      <c r="B17888" s="42" t="str">
        <f>IFERROR(__xludf.DUMMYFUNCTION("""COMPUTED_VALUE"""),"")</f>
        <v/>
      </c>
      <c r="C17888" s="42" t="str">
        <f>IFERROR(__xludf.DUMMYFUNCTION("""COMPUTED_VALUE"""),"")</f>
        <v/>
      </c>
      <c r="D17888" s="42"/>
      <c r="E17888" s="42"/>
      <c r="F17888" s="48" t="str">
        <f>IFERROR(__xludf.DUMMYFUNCTION("""COMPUTED_VALUE"""),"")</f>
        <v/>
      </c>
      <c r="G17888" s="42" t="str">
        <f>IFERROR(__xludf.DUMMYFUNCTION("""COMPUTED_VALUE"""),"")</f>
        <v/>
      </c>
      <c r="H17888" s="42">
        <f t="shared" si="1"/>
        <v>3345</v>
      </c>
    </row>
    <row r="17889" ht="22.5" customHeight="1">
      <c r="B17889" s="42" t="str">
        <f>IFERROR(__xludf.DUMMYFUNCTION("""COMPUTED_VALUE"""),"")</f>
        <v/>
      </c>
      <c r="C17889" s="42" t="str">
        <f>IFERROR(__xludf.DUMMYFUNCTION("""COMPUTED_VALUE"""),"")</f>
        <v/>
      </c>
      <c r="D17889" s="42"/>
      <c r="E17889" s="42"/>
      <c r="F17889" s="48" t="str">
        <f>IFERROR(__xludf.DUMMYFUNCTION("""COMPUTED_VALUE"""),"")</f>
        <v/>
      </c>
      <c r="G17889" s="42" t="str">
        <f>IFERROR(__xludf.DUMMYFUNCTION("""COMPUTED_VALUE"""),"")</f>
        <v/>
      </c>
      <c r="H17889" s="42">
        <f t="shared" si="1"/>
        <v>3345</v>
      </c>
    </row>
    <row r="17890" ht="22.5" customHeight="1">
      <c r="B17890" s="42" t="str">
        <f>IFERROR(__xludf.DUMMYFUNCTION("""COMPUTED_VALUE"""),"")</f>
        <v/>
      </c>
      <c r="C17890" s="42" t="str">
        <f>IFERROR(__xludf.DUMMYFUNCTION("""COMPUTED_VALUE"""),"")</f>
        <v/>
      </c>
      <c r="D17890" s="42"/>
      <c r="E17890" s="42"/>
      <c r="F17890" s="48" t="str">
        <f>IFERROR(__xludf.DUMMYFUNCTION("""COMPUTED_VALUE"""),"")</f>
        <v/>
      </c>
      <c r="G17890" s="42" t="str">
        <f>IFERROR(__xludf.DUMMYFUNCTION("""COMPUTED_VALUE"""),"")</f>
        <v/>
      </c>
      <c r="H17890" s="42">
        <f t="shared" si="1"/>
        <v>3345</v>
      </c>
    </row>
    <row r="17891" ht="22.5" customHeight="1">
      <c r="B17891" s="42" t="str">
        <f>IFERROR(__xludf.DUMMYFUNCTION("""COMPUTED_VALUE"""),"")</f>
        <v/>
      </c>
      <c r="C17891" s="42" t="str">
        <f>IFERROR(__xludf.DUMMYFUNCTION("""COMPUTED_VALUE"""),"")</f>
        <v/>
      </c>
      <c r="D17891" s="42"/>
      <c r="E17891" s="42"/>
      <c r="F17891" s="48" t="str">
        <f>IFERROR(__xludf.DUMMYFUNCTION("""COMPUTED_VALUE"""),"")</f>
        <v/>
      </c>
      <c r="G17891" s="42" t="str">
        <f>IFERROR(__xludf.DUMMYFUNCTION("""COMPUTED_VALUE"""),"")</f>
        <v/>
      </c>
      <c r="H17891" s="42">
        <f t="shared" si="1"/>
        <v>3345</v>
      </c>
    </row>
    <row r="17892" ht="22.5" customHeight="1">
      <c r="B17892" s="42" t="str">
        <f>IFERROR(__xludf.DUMMYFUNCTION("""COMPUTED_VALUE"""),"")</f>
        <v/>
      </c>
      <c r="C17892" s="42" t="str">
        <f>IFERROR(__xludf.DUMMYFUNCTION("""COMPUTED_VALUE"""),"")</f>
        <v/>
      </c>
      <c r="D17892" s="42"/>
      <c r="E17892" s="42"/>
      <c r="F17892" s="48" t="str">
        <f>IFERROR(__xludf.DUMMYFUNCTION("""COMPUTED_VALUE"""),"")</f>
        <v/>
      </c>
      <c r="G17892" s="42" t="str">
        <f>IFERROR(__xludf.DUMMYFUNCTION("""COMPUTED_VALUE"""),"")</f>
        <v/>
      </c>
      <c r="H17892" s="42">
        <f t="shared" si="1"/>
        <v>3345</v>
      </c>
    </row>
    <row r="17893" ht="22.5" customHeight="1">
      <c r="B17893" s="42" t="str">
        <f>IFERROR(__xludf.DUMMYFUNCTION("""COMPUTED_VALUE"""),"")</f>
        <v/>
      </c>
      <c r="C17893" s="42" t="str">
        <f>IFERROR(__xludf.DUMMYFUNCTION("""COMPUTED_VALUE"""),"")</f>
        <v/>
      </c>
      <c r="D17893" s="42"/>
      <c r="E17893" s="42"/>
      <c r="F17893" s="48" t="str">
        <f>IFERROR(__xludf.DUMMYFUNCTION("""COMPUTED_VALUE"""),"")</f>
        <v/>
      </c>
      <c r="G17893" s="42" t="str">
        <f>IFERROR(__xludf.DUMMYFUNCTION("""COMPUTED_VALUE"""),"")</f>
        <v/>
      </c>
      <c r="H17893" s="42">
        <f t="shared" si="1"/>
        <v>3345</v>
      </c>
    </row>
    <row r="17894" ht="22.5" customHeight="1">
      <c r="B17894" s="42" t="str">
        <f>IFERROR(__xludf.DUMMYFUNCTION("""COMPUTED_VALUE"""),"")</f>
        <v/>
      </c>
      <c r="C17894" s="42" t="str">
        <f>IFERROR(__xludf.DUMMYFUNCTION("""COMPUTED_VALUE"""),"")</f>
        <v/>
      </c>
      <c r="D17894" s="42"/>
      <c r="E17894" s="42"/>
      <c r="F17894" s="48" t="str">
        <f>IFERROR(__xludf.DUMMYFUNCTION("""COMPUTED_VALUE"""),"")</f>
        <v/>
      </c>
      <c r="G17894" s="42" t="str">
        <f>IFERROR(__xludf.DUMMYFUNCTION("""COMPUTED_VALUE"""),"")</f>
        <v/>
      </c>
      <c r="H17894" s="42">
        <f t="shared" si="1"/>
        <v>3345</v>
      </c>
    </row>
    <row r="17895" ht="22.5" customHeight="1">
      <c r="B17895" s="42" t="str">
        <f>IFERROR(__xludf.DUMMYFUNCTION("""COMPUTED_VALUE"""),"")</f>
        <v/>
      </c>
      <c r="C17895" s="42" t="str">
        <f>IFERROR(__xludf.DUMMYFUNCTION("""COMPUTED_VALUE"""),"")</f>
        <v/>
      </c>
      <c r="D17895" s="42"/>
      <c r="E17895" s="42"/>
      <c r="F17895" s="48" t="str">
        <f>IFERROR(__xludf.DUMMYFUNCTION("""COMPUTED_VALUE"""),"")</f>
        <v/>
      </c>
      <c r="G17895" s="42" t="str">
        <f>IFERROR(__xludf.DUMMYFUNCTION("""COMPUTED_VALUE"""),"")</f>
        <v/>
      </c>
      <c r="H17895" s="42">
        <f t="shared" si="1"/>
        <v>3345</v>
      </c>
    </row>
    <row r="17896" ht="22.5" customHeight="1">
      <c r="B17896" s="42" t="str">
        <f>IFERROR(__xludf.DUMMYFUNCTION("""COMPUTED_VALUE"""),"")</f>
        <v/>
      </c>
      <c r="C17896" s="42" t="str">
        <f>IFERROR(__xludf.DUMMYFUNCTION("""COMPUTED_VALUE"""),"")</f>
        <v/>
      </c>
      <c r="D17896" s="42"/>
      <c r="E17896" s="42"/>
      <c r="F17896" s="48" t="str">
        <f>IFERROR(__xludf.DUMMYFUNCTION("""COMPUTED_VALUE"""),"")</f>
        <v/>
      </c>
      <c r="G17896" s="42" t="str">
        <f>IFERROR(__xludf.DUMMYFUNCTION("""COMPUTED_VALUE"""),"")</f>
        <v/>
      </c>
      <c r="H17896" s="42">
        <f t="shared" si="1"/>
        <v>3345</v>
      </c>
    </row>
    <row r="17897" ht="22.5" customHeight="1">
      <c r="B17897" s="42" t="str">
        <f>IFERROR(__xludf.DUMMYFUNCTION("""COMPUTED_VALUE"""),"")</f>
        <v/>
      </c>
      <c r="C17897" s="42" t="str">
        <f>IFERROR(__xludf.DUMMYFUNCTION("""COMPUTED_VALUE"""),"")</f>
        <v/>
      </c>
      <c r="D17897" s="42"/>
      <c r="E17897" s="42"/>
      <c r="F17897" s="48" t="str">
        <f>IFERROR(__xludf.DUMMYFUNCTION("""COMPUTED_VALUE"""),"")</f>
        <v/>
      </c>
      <c r="G17897" s="42" t="str">
        <f>IFERROR(__xludf.DUMMYFUNCTION("""COMPUTED_VALUE"""),"")</f>
        <v/>
      </c>
      <c r="H17897" s="42">
        <f t="shared" si="1"/>
        <v>3345</v>
      </c>
    </row>
    <row r="17898" ht="22.5" customHeight="1">
      <c r="B17898" s="42" t="str">
        <f>IFERROR(__xludf.DUMMYFUNCTION("""COMPUTED_VALUE"""),"")</f>
        <v/>
      </c>
      <c r="C17898" s="42" t="str">
        <f>IFERROR(__xludf.DUMMYFUNCTION("""COMPUTED_VALUE"""),"")</f>
        <v/>
      </c>
      <c r="D17898" s="42"/>
      <c r="E17898" s="42"/>
      <c r="F17898" s="48" t="str">
        <f>IFERROR(__xludf.DUMMYFUNCTION("""COMPUTED_VALUE"""),"")</f>
        <v/>
      </c>
      <c r="G17898" s="42" t="str">
        <f>IFERROR(__xludf.DUMMYFUNCTION("""COMPUTED_VALUE"""),"")</f>
        <v/>
      </c>
      <c r="H17898" s="42">
        <f t="shared" si="1"/>
        <v>3345</v>
      </c>
    </row>
    <row r="17899" ht="22.5" customHeight="1">
      <c r="B17899" s="42" t="str">
        <f>IFERROR(__xludf.DUMMYFUNCTION("""COMPUTED_VALUE"""),"")</f>
        <v/>
      </c>
      <c r="C17899" s="42" t="str">
        <f>IFERROR(__xludf.DUMMYFUNCTION("""COMPUTED_VALUE"""),"")</f>
        <v/>
      </c>
      <c r="D17899" s="42"/>
      <c r="E17899" s="42"/>
      <c r="F17899" s="48" t="str">
        <f>IFERROR(__xludf.DUMMYFUNCTION("""COMPUTED_VALUE"""),"")</f>
        <v/>
      </c>
      <c r="G17899" s="42" t="str">
        <f>IFERROR(__xludf.DUMMYFUNCTION("""COMPUTED_VALUE"""),"")</f>
        <v/>
      </c>
      <c r="H17899" s="42">
        <f t="shared" si="1"/>
        <v>3345</v>
      </c>
    </row>
    <row r="17900" ht="22.5" customHeight="1">
      <c r="B17900" s="42" t="str">
        <f>IFERROR(__xludf.DUMMYFUNCTION("""COMPUTED_VALUE"""),"")</f>
        <v/>
      </c>
      <c r="C17900" s="42" t="str">
        <f>IFERROR(__xludf.DUMMYFUNCTION("""COMPUTED_VALUE"""),"")</f>
        <v/>
      </c>
      <c r="D17900" s="42"/>
      <c r="E17900" s="42"/>
      <c r="F17900" s="48" t="str">
        <f>IFERROR(__xludf.DUMMYFUNCTION("""COMPUTED_VALUE"""),"")</f>
        <v/>
      </c>
      <c r="G17900" s="42" t="str">
        <f>IFERROR(__xludf.DUMMYFUNCTION("""COMPUTED_VALUE"""),"")</f>
        <v/>
      </c>
      <c r="H17900" s="42">
        <f t="shared" si="1"/>
        <v>3345</v>
      </c>
    </row>
    <row r="17901" ht="22.5" customHeight="1">
      <c r="B17901" s="42" t="str">
        <f>IFERROR(__xludf.DUMMYFUNCTION("""COMPUTED_VALUE"""),"")</f>
        <v/>
      </c>
      <c r="C17901" s="42" t="str">
        <f>IFERROR(__xludf.DUMMYFUNCTION("""COMPUTED_VALUE"""),"")</f>
        <v/>
      </c>
      <c r="D17901" s="42"/>
      <c r="E17901" s="42"/>
      <c r="F17901" s="48" t="str">
        <f>IFERROR(__xludf.DUMMYFUNCTION("""COMPUTED_VALUE"""),"")</f>
        <v/>
      </c>
      <c r="G17901" s="42" t="str">
        <f>IFERROR(__xludf.DUMMYFUNCTION("""COMPUTED_VALUE"""),"")</f>
        <v/>
      </c>
      <c r="H17901" s="42">
        <f t="shared" si="1"/>
        <v>3345</v>
      </c>
    </row>
    <row r="17902" ht="22.5" customHeight="1">
      <c r="B17902" s="42" t="str">
        <f>IFERROR(__xludf.DUMMYFUNCTION("""COMPUTED_VALUE"""),"")</f>
        <v/>
      </c>
      <c r="C17902" s="42" t="str">
        <f>IFERROR(__xludf.DUMMYFUNCTION("""COMPUTED_VALUE"""),"")</f>
        <v/>
      </c>
      <c r="D17902" s="42"/>
      <c r="E17902" s="42"/>
      <c r="F17902" s="48" t="str">
        <f>IFERROR(__xludf.DUMMYFUNCTION("""COMPUTED_VALUE"""),"")</f>
        <v/>
      </c>
      <c r="G17902" s="42" t="str">
        <f>IFERROR(__xludf.DUMMYFUNCTION("""COMPUTED_VALUE"""),"")</f>
        <v/>
      </c>
      <c r="H17902" s="42">
        <f t="shared" si="1"/>
        <v>3345</v>
      </c>
    </row>
    <row r="17903" ht="22.5" customHeight="1">
      <c r="B17903" s="42" t="str">
        <f>IFERROR(__xludf.DUMMYFUNCTION("""COMPUTED_VALUE"""),"")</f>
        <v/>
      </c>
      <c r="C17903" s="42" t="str">
        <f>IFERROR(__xludf.DUMMYFUNCTION("""COMPUTED_VALUE"""),"")</f>
        <v/>
      </c>
      <c r="D17903" s="42"/>
      <c r="E17903" s="42"/>
      <c r="F17903" s="48" t="str">
        <f>IFERROR(__xludf.DUMMYFUNCTION("""COMPUTED_VALUE"""),"")</f>
        <v/>
      </c>
      <c r="G17903" s="42" t="str">
        <f>IFERROR(__xludf.DUMMYFUNCTION("""COMPUTED_VALUE"""),"")</f>
        <v/>
      </c>
      <c r="H17903" s="42">
        <f t="shared" si="1"/>
        <v>3345</v>
      </c>
    </row>
    <row r="17904" ht="22.5" customHeight="1">
      <c r="B17904" s="42" t="str">
        <f>IFERROR(__xludf.DUMMYFUNCTION("""COMPUTED_VALUE"""),"")</f>
        <v/>
      </c>
      <c r="C17904" s="42" t="str">
        <f>IFERROR(__xludf.DUMMYFUNCTION("""COMPUTED_VALUE"""),"")</f>
        <v/>
      </c>
      <c r="D17904" s="42"/>
      <c r="E17904" s="42"/>
      <c r="F17904" s="48" t="str">
        <f>IFERROR(__xludf.DUMMYFUNCTION("""COMPUTED_VALUE"""),"")</f>
        <v/>
      </c>
      <c r="G17904" s="42" t="str">
        <f>IFERROR(__xludf.DUMMYFUNCTION("""COMPUTED_VALUE"""),"")</f>
        <v/>
      </c>
      <c r="H17904" s="42">
        <f t="shared" si="1"/>
        <v>3345</v>
      </c>
    </row>
    <row r="17905" ht="22.5" customHeight="1">
      <c r="B17905" s="42" t="str">
        <f>IFERROR(__xludf.DUMMYFUNCTION("""COMPUTED_VALUE"""),"")</f>
        <v/>
      </c>
      <c r="C17905" s="42" t="str">
        <f>IFERROR(__xludf.DUMMYFUNCTION("""COMPUTED_VALUE"""),"")</f>
        <v/>
      </c>
      <c r="D17905" s="42"/>
      <c r="E17905" s="42"/>
      <c r="F17905" s="48" t="str">
        <f>IFERROR(__xludf.DUMMYFUNCTION("""COMPUTED_VALUE"""),"")</f>
        <v/>
      </c>
      <c r="G17905" s="42" t="str">
        <f>IFERROR(__xludf.DUMMYFUNCTION("""COMPUTED_VALUE"""),"")</f>
        <v/>
      </c>
      <c r="H17905" s="42">
        <f t="shared" si="1"/>
        <v>3345</v>
      </c>
    </row>
    <row r="17906" ht="22.5" customHeight="1">
      <c r="B17906" s="42" t="str">
        <f>IFERROR(__xludf.DUMMYFUNCTION("""COMPUTED_VALUE"""),"")</f>
        <v/>
      </c>
      <c r="C17906" s="42" t="str">
        <f>IFERROR(__xludf.DUMMYFUNCTION("""COMPUTED_VALUE"""),"")</f>
        <v/>
      </c>
      <c r="D17906" s="42"/>
      <c r="E17906" s="42"/>
      <c r="F17906" s="48" t="str">
        <f>IFERROR(__xludf.DUMMYFUNCTION("""COMPUTED_VALUE"""),"")</f>
        <v/>
      </c>
      <c r="G17906" s="42" t="str">
        <f>IFERROR(__xludf.DUMMYFUNCTION("""COMPUTED_VALUE"""),"")</f>
        <v/>
      </c>
      <c r="H17906" s="42">
        <f t="shared" si="1"/>
        <v>3345</v>
      </c>
    </row>
    <row r="17907" ht="22.5" customHeight="1">
      <c r="B17907" s="42" t="str">
        <f>IFERROR(__xludf.DUMMYFUNCTION("""COMPUTED_VALUE"""),"")</f>
        <v/>
      </c>
      <c r="C17907" s="42" t="str">
        <f>IFERROR(__xludf.DUMMYFUNCTION("""COMPUTED_VALUE"""),"")</f>
        <v/>
      </c>
      <c r="D17907" s="42"/>
      <c r="E17907" s="42"/>
      <c r="F17907" s="48" t="str">
        <f>IFERROR(__xludf.DUMMYFUNCTION("""COMPUTED_VALUE"""),"")</f>
        <v/>
      </c>
      <c r="G17907" s="42" t="str">
        <f>IFERROR(__xludf.DUMMYFUNCTION("""COMPUTED_VALUE"""),"")</f>
        <v/>
      </c>
      <c r="H17907" s="42">
        <f t="shared" si="1"/>
        <v>3345</v>
      </c>
    </row>
    <row r="17908" ht="22.5" customHeight="1">
      <c r="B17908" s="42" t="str">
        <f>IFERROR(__xludf.DUMMYFUNCTION("""COMPUTED_VALUE"""),"")</f>
        <v/>
      </c>
      <c r="C17908" s="42" t="str">
        <f>IFERROR(__xludf.DUMMYFUNCTION("""COMPUTED_VALUE"""),"")</f>
        <v/>
      </c>
      <c r="D17908" s="42"/>
      <c r="E17908" s="42"/>
      <c r="F17908" s="48" t="str">
        <f>IFERROR(__xludf.DUMMYFUNCTION("""COMPUTED_VALUE"""),"")</f>
        <v/>
      </c>
      <c r="G17908" s="42" t="str">
        <f>IFERROR(__xludf.DUMMYFUNCTION("""COMPUTED_VALUE"""),"")</f>
        <v/>
      </c>
      <c r="H17908" s="42">
        <f t="shared" si="1"/>
        <v>3345</v>
      </c>
    </row>
    <row r="17909" ht="22.5" customHeight="1">
      <c r="B17909" s="42" t="str">
        <f>IFERROR(__xludf.DUMMYFUNCTION("""COMPUTED_VALUE"""),"")</f>
        <v/>
      </c>
      <c r="C17909" s="42" t="str">
        <f>IFERROR(__xludf.DUMMYFUNCTION("""COMPUTED_VALUE"""),"")</f>
        <v/>
      </c>
      <c r="D17909" s="42"/>
      <c r="E17909" s="42"/>
      <c r="F17909" s="48" t="str">
        <f>IFERROR(__xludf.DUMMYFUNCTION("""COMPUTED_VALUE"""),"")</f>
        <v/>
      </c>
      <c r="G17909" s="42" t="str">
        <f>IFERROR(__xludf.DUMMYFUNCTION("""COMPUTED_VALUE"""),"")</f>
        <v/>
      </c>
      <c r="H17909" s="42">
        <f t="shared" si="1"/>
        <v>3345</v>
      </c>
    </row>
    <row r="17910" ht="22.5" customHeight="1">
      <c r="B17910" s="42" t="str">
        <f>IFERROR(__xludf.DUMMYFUNCTION("""COMPUTED_VALUE"""),"")</f>
        <v/>
      </c>
      <c r="C17910" s="42" t="str">
        <f>IFERROR(__xludf.DUMMYFUNCTION("""COMPUTED_VALUE"""),"")</f>
        <v/>
      </c>
      <c r="D17910" s="42"/>
      <c r="E17910" s="42"/>
      <c r="F17910" s="48" t="str">
        <f>IFERROR(__xludf.DUMMYFUNCTION("""COMPUTED_VALUE"""),"")</f>
        <v/>
      </c>
      <c r="G17910" s="42" t="str">
        <f>IFERROR(__xludf.DUMMYFUNCTION("""COMPUTED_VALUE"""),"")</f>
        <v/>
      </c>
      <c r="H17910" s="42">
        <f t="shared" si="1"/>
        <v>3345</v>
      </c>
    </row>
    <row r="17911" ht="22.5" customHeight="1">
      <c r="B17911" s="42" t="str">
        <f>IFERROR(__xludf.DUMMYFUNCTION("""COMPUTED_VALUE"""),"")</f>
        <v/>
      </c>
      <c r="C17911" s="42" t="str">
        <f>IFERROR(__xludf.DUMMYFUNCTION("""COMPUTED_VALUE"""),"")</f>
        <v/>
      </c>
      <c r="D17911" s="42"/>
      <c r="E17911" s="42"/>
      <c r="F17911" s="48" t="str">
        <f>IFERROR(__xludf.DUMMYFUNCTION("""COMPUTED_VALUE"""),"")</f>
        <v/>
      </c>
      <c r="G17911" s="42" t="str">
        <f>IFERROR(__xludf.DUMMYFUNCTION("""COMPUTED_VALUE"""),"")</f>
        <v/>
      </c>
      <c r="H17911" s="42">
        <f t="shared" si="1"/>
        <v>3345</v>
      </c>
    </row>
    <row r="17912" ht="22.5" customHeight="1">
      <c r="B17912" s="42" t="str">
        <f>IFERROR(__xludf.DUMMYFUNCTION("""COMPUTED_VALUE"""),"")</f>
        <v/>
      </c>
      <c r="C17912" s="42" t="str">
        <f>IFERROR(__xludf.DUMMYFUNCTION("""COMPUTED_VALUE"""),"")</f>
        <v/>
      </c>
      <c r="D17912" s="42"/>
      <c r="E17912" s="42"/>
      <c r="F17912" s="48" t="str">
        <f>IFERROR(__xludf.DUMMYFUNCTION("""COMPUTED_VALUE"""),"")</f>
        <v/>
      </c>
      <c r="G17912" s="42" t="str">
        <f>IFERROR(__xludf.DUMMYFUNCTION("""COMPUTED_VALUE"""),"")</f>
        <v/>
      </c>
      <c r="H17912" s="42">
        <f t="shared" si="1"/>
        <v>3345</v>
      </c>
    </row>
    <row r="17913" ht="22.5" customHeight="1">
      <c r="B17913" s="42" t="str">
        <f>IFERROR(__xludf.DUMMYFUNCTION("""COMPUTED_VALUE"""),"")</f>
        <v/>
      </c>
      <c r="C17913" s="42" t="str">
        <f>IFERROR(__xludf.DUMMYFUNCTION("""COMPUTED_VALUE"""),"")</f>
        <v/>
      </c>
      <c r="D17913" s="42"/>
      <c r="E17913" s="42"/>
      <c r="F17913" s="48" t="str">
        <f>IFERROR(__xludf.DUMMYFUNCTION("""COMPUTED_VALUE"""),"")</f>
        <v/>
      </c>
      <c r="G17913" s="42" t="str">
        <f>IFERROR(__xludf.DUMMYFUNCTION("""COMPUTED_VALUE"""),"")</f>
        <v/>
      </c>
      <c r="H17913" s="42">
        <f t="shared" si="1"/>
        <v>3345</v>
      </c>
    </row>
    <row r="17914" ht="22.5" customHeight="1">
      <c r="B17914" s="42" t="str">
        <f>IFERROR(__xludf.DUMMYFUNCTION("""COMPUTED_VALUE"""),"")</f>
        <v/>
      </c>
      <c r="C17914" s="42" t="str">
        <f>IFERROR(__xludf.DUMMYFUNCTION("""COMPUTED_VALUE"""),"")</f>
        <v/>
      </c>
      <c r="D17914" s="42"/>
      <c r="E17914" s="42"/>
      <c r="F17914" s="48" t="str">
        <f>IFERROR(__xludf.DUMMYFUNCTION("""COMPUTED_VALUE"""),"")</f>
        <v/>
      </c>
      <c r="G17914" s="42" t="str">
        <f>IFERROR(__xludf.DUMMYFUNCTION("""COMPUTED_VALUE"""),"")</f>
        <v/>
      </c>
      <c r="H17914" s="42">
        <f t="shared" si="1"/>
        <v>3345</v>
      </c>
    </row>
    <row r="17915" ht="22.5" customHeight="1">
      <c r="B17915" s="42" t="str">
        <f>IFERROR(__xludf.DUMMYFUNCTION("""COMPUTED_VALUE"""),"")</f>
        <v/>
      </c>
      <c r="C17915" s="42" t="str">
        <f>IFERROR(__xludf.DUMMYFUNCTION("""COMPUTED_VALUE"""),"")</f>
        <v/>
      </c>
      <c r="D17915" s="42"/>
      <c r="E17915" s="42"/>
      <c r="F17915" s="48" t="str">
        <f>IFERROR(__xludf.DUMMYFUNCTION("""COMPUTED_VALUE"""),"")</f>
        <v/>
      </c>
      <c r="G17915" s="42" t="str">
        <f>IFERROR(__xludf.DUMMYFUNCTION("""COMPUTED_VALUE"""),"")</f>
        <v/>
      </c>
      <c r="H17915" s="42">
        <f t="shared" si="1"/>
        <v>3345</v>
      </c>
    </row>
    <row r="17916" ht="22.5" customHeight="1">
      <c r="B17916" s="42" t="str">
        <f>IFERROR(__xludf.DUMMYFUNCTION("""COMPUTED_VALUE"""),"")</f>
        <v/>
      </c>
      <c r="C17916" s="42" t="str">
        <f>IFERROR(__xludf.DUMMYFUNCTION("""COMPUTED_VALUE"""),"")</f>
        <v/>
      </c>
      <c r="D17916" s="42"/>
      <c r="E17916" s="42"/>
      <c r="F17916" s="48" t="str">
        <f>IFERROR(__xludf.DUMMYFUNCTION("""COMPUTED_VALUE"""),"")</f>
        <v/>
      </c>
      <c r="G17916" s="42" t="str">
        <f>IFERROR(__xludf.DUMMYFUNCTION("""COMPUTED_VALUE"""),"")</f>
        <v/>
      </c>
      <c r="H17916" s="42">
        <f t="shared" si="1"/>
        <v>3345</v>
      </c>
    </row>
    <row r="17917" ht="22.5" customHeight="1">
      <c r="B17917" s="42" t="str">
        <f>IFERROR(__xludf.DUMMYFUNCTION("""COMPUTED_VALUE"""),"")</f>
        <v/>
      </c>
      <c r="C17917" s="42" t="str">
        <f>IFERROR(__xludf.DUMMYFUNCTION("""COMPUTED_VALUE"""),"")</f>
        <v/>
      </c>
      <c r="D17917" s="42"/>
      <c r="E17917" s="42"/>
      <c r="F17917" s="48" t="str">
        <f>IFERROR(__xludf.DUMMYFUNCTION("""COMPUTED_VALUE"""),"")</f>
        <v/>
      </c>
      <c r="G17917" s="42" t="str">
        <f>IFERROR(__xludf.DUMMYFUNCTION("""COMPUTED_VALUE"""),"")</f>
        <v/>
      </c>
      <c r="H17917" s="42">
        <f t="shared" si="1"/>
        <v>3345</v>
      </c>
    </row>
    <row r="17918" ht="22.5" customHeight="1">
      <c r="B17918" s="42" t="str">
        <f>IFERROR(__xludf.DUMMYFUNCTION("""COMPUTED_VALUE"""),"")</f>
        <v/>
      </c>
      <c r="C17918" s="42" t="str">
        <f>IFERROR(__xludf.DUMMYFUNCTION("""COMPUTED_VALUE"""),"")</f>
        <v/>
      </c>
      <c r="D17918" s="42"/>
      <c r="E17918" s="42"/>
      <c r="F17918" s="48" t="str">
        <f>IFERROR(__xludf.DUMMYFUNCTION("""COMPUTED_VALUE"""),"")</f>
        <v/>
      </c>
      <c r="G17918" s="42" t="str">
        <f>IFERROR(__xludf.DUMMYFUNCTION("""COMPUTED_VALUE"""),"")</f>
        <v/>
      </c>
      <c r="H17918" s="42">
        <f t="shared" si="1"/>
        <v>3345</v>
      </c>
    </row>
    <row r="17919" ht="22.5" customHeight="1">
      <c r="B17919" s="42" t="str">
        <f>IFERROR(__xludf.DUMMYFUNCTION("""COMPUTED_VALUE"""),"")</f>
        <v/>
      </c>
      <c r="C17919" s="42" t="str">
        <f>IFERROR(__xludf.DUMMYFUNCTION("""COMPUTED_VALUE"""),"")</f>
        <v/>
      </c>
      <c r="D17919" s="42"/>
      <c r="E17919" s="42"/>
      <c r="F17919" s="48" t="str">
        <f>IFERROR(__xludf.DUMMYFUNCTION("""COMPUTED_VALUE"""),"")</f>
        <v/>
      </c>
      <c r="G17919" s="42" t="str">
        <f>IFERROR(__xludf.DUMMYFUNCTION("""COMPUTED_VALUE"""),"")</f>
        <v/>
      </c>
      <c r="H17919" s="42">
        <f t="shared" si="1"/>
        <v>3345</v>
      </c>
    </row>
    <row r="17920" ht="22.5" customHeight="1">
      <c r="B17920" s="42" t="str">
        <f>IFERROR(__xludf.DUMMYFUNCTION("""COMPUTED_VALUE"""),"")</f>
        <v/>
      </c>
      <c r="C17920" s="42" t="str">
        <f>IFERROR(__xludf.DUMMYFUNCTION("""COMPUTED_VALUE"""),"")</f>
        <v/>
      </c>
      <c r="D17920" s="42"/>
      <c r="E17920" s="42"/>
      <c r="F17920" s="48" t="str">
        <f>IFERROR(__xludf.DUMMYFUNCTION("""COMPUTED_VALUE"""),"")</f>
        <v/>
      </c>
      <c r="G17920" s="42" t="str">
        <f>IFERROR(__xludf.DUMMYFUNCTION("""COMPUTED_VALUE"""),"")</f>
        <v/>
      </c>
      <c r="H17920" s="42">
        <f t="shared" si="1"/>
        <v>3345</v>
      </c>
    </row>
    <row r="17921" ht="22.5" customHeight="1">
      <c r="B17921" s="42" t="str">
        <f>IFERROR(__xludf.DUMMYFUNCTION("""COMPUTED_VALUE"""),"")</f>
        <v/>
      </c>
      <c r="C17921" s="42" t="str">
        <f>IFERROR(__xludf.DUMMYFUNCTION("""COMPUTED_VALUE"""),"")</f>
        <v/>
      </c>
      <c r="D17921" s="42"/>
      <c r="E17921" s="42"/>
      <c r="F17921" s="48" t="str">
        <f>IFERROR(__xludf.DUMMYFUNCTION("""COMPUTED_VALUE"""),"")</f>
        <v/>
      </c>
      <c r="G17921" s="42" t="str">
        <f>IFERROR(__xludf.DUMMYFUNCTION("""COMPUTED_VALUE"""),"")</f>
        <v/>
      </c>
      <c r="H17921" s="42">
        <f t="shared" si="1"/>
        <v>3345</v>
      </c>
    </row>
    <row r="17922" ht="22.5" customHeight="1">
      <c r="B17922" s="42" t="str">
        <f>IFERROR(__xludf.DUMMYFUNCTION("""COMPUTED_VALUE"""),"")</f>
        <v/>
      </c>
      <c r="C17922" s="42" t="str">
        <f>IFERROR(__xludf.DUMMYFUNCTION("""COMPUTED_VALUE"""),"")</f>
        <v/>
      </c>
      <c r="D17922" s="42"/>
      <c r="E17922" s="42"/>
      <c r="F17922" s="48" t="str">
        <f>IFERROR(__xludf.DUMMYFUNCTION("""COMPUTED_VALUE"""),"")</f>
        <v/>
      </c>
      <c r="G17922" s="42" t="str">
        <f>IFERROR(__xludf.DUMMYFUNCTION("""COMPUTED_VALUE"""),"")</f>
        <v/>
      </c>
      <c r="H17922" s="42">
        <f t="shared" si="1"/>
        <v>3345</v>
      </c>
    </row>
    <row r="17923" ht="22.5" customHeight="1">
      <c r="B17923" s="42" t="str">
        <f>IFERROR(__xludf.DUMMYFUNCTION("""COMPUTED_VALUE"""),"")</f>
        <v/>
      </c>
      <c r="C17923" s="42" t="str">
        <f>IFERROR(__xludf.DUMMYFUNCTION("""COMPUTED_VALUE"""),"")</f>
        <v/>
      </c>
      <c r="D17923" s="42"/>
      <c r="E17923" s="42"/>
      <c r="F17923" s="48" t="str">
        <f>IFERROR(__xludf.DUMMYFUNCTION("""COMPUTED_VALUE"""),"")</f>
        <v/>
      </c>
      <c r="G17923" s="42" t="str">
        <f>IFERROR(__xludf.DUMMYFUNCTION("""COMPUTED_VALUE"""),"")</f>
        <v/>
      </c>
      <c r="H17923" s="42">
        <f t="shared" si="1"/>
        <v>3345</v>
      </c>
    </row>
    <row r="17924" ht="22.5" customHeight="1">
      <c r="B17924" s="42" t="str">
        <f>IFERROR(__xludf.DUMMYFUNCTION("""COMPUTED_VALUE"""),"")</f>
        <v/>
      </c>
      <c r="C17924" s="42" t="str">
        <f>IFERROR(__xludf.DUMMYFUNCTION("""COMPUTED_VALUE"""),"")</f>
        <v/>
      </c>
      <c r="D17924" s="42"/>
      <c r="E17924" s="42"/>
      <c r="F17924" s="48" t="str">
        <f>IFERROR(__xludf.DUMMYFUNCTION("""COMPUTED_VALUE"""),"")</f>
        <v/>
      </c>
      <c r="G17924" s="42" t="str">
        <f>IFERROR(__xludf.DUMMYFUNCTION("""COMPUTED_VALUE"""),"")</f>
        <v/>
      </c>
      <c r="H17924" s="42">
        <f t="shared" si="1"/>
        <v>3345</v>
      </c>
    </row>
    <row r="17925" ht="22.5" customHeight="1">
      <c r="B17925" s="42" t="str">
        <f>IFERROR(__xludf.DUMMYFUNCTION("""COMPUTED_VALUE"""),"")</f>
        <v/>
      </c>
      <c r="C17925" s="42" t="str">
        <f>IFERROR(__xludf.DUMMYFUNCTION("""COMPUTED_VALUE"""),"")</f>
        <v/>
      </c>
      <c r="D17925" s="42"/>
      <c r="E17925" s="42"/>
      <c r="F17925" s="48" t="str">
        <f>IFERROR(__xludf.DUMMYFUNCTION("""COMPUTED_VALUE"""),"")</f>
        <v/>
      </c>
      <c r="G17925" s="42" t="str">
        <f>IFERROR(__xludf.DUMMYFUNCTION("""COMPUTED_VALUE"""),"")</f>
        <v/>
      </c>
      <c r="H17925" s="42">
        <f t="shared" si="1"/>
        <v>3345</v>
      </c>
    </row>
    <row r="17926" ht="22.5" customHeight="1">
      <c r="B17926" s="42" t="str">
        <f>IFERROR(__xludf.DUMMYFUNCTION("""COMPUTED_VALUE"""),"")</f>
        <v/>
      </c>
      <c r="C17926" s="42" t="str">
        <f>IFERROR(__xludf.DUMMYFUNCTION("""COMPUTED_VALUE"""),"")</f>
        <v/>
      </c>
      <c r="D17926" s="42"/>
      <c r="E17926" s="42"/>
      <c r="F17926" s="48" t="str">
        <f>IFERROR(__xludf.DUMMYFUNCTION("""COMPUTED_VALUE"""),"")</f>
        <v/>
      </c>
      <c r="G17926" s="42" t="str">
        <f>IFERROR(__xludf.DUMMYFUNCTION("""COMPUTED_VALUE"""),"")</f>
        <v/>
      </c>
      <c r="H17926" s="42">
        <f t="shared" si="1"/>
        <v>3345</v>
      </c>
    </row>
    <row r="17927" ht="22.5" customHeight="1">
      <c r="B17927" s="42" t="str">
        <f>IFERROR(__xludf.DUMMYFUNCTION("""COMPUTED_VALUE"""),"")</f>
        <v/>
      </c>
      <c r="C17927" s="42" t="str">
        <f>IFERROR(__xludf.DUMMYFUNCTION("""COMPUTED_VALUE"""),"")</f>
        <v/>
      </c>
      <c r="D17927" s="42"/>
      <c r="E17927" s="42"/>
      <c r="F17927" s="48" t="str">
        <f>IFERROR(__xludf.DUMMYFUNCTION("""COMPUTED_VALUE"""),"")</f>
        <v/>
      </c>
      <c r="G17927" s="42" t="str">
        <f>IFERROR(__xludf.DUMMYFUNCTION("""COMPUTED_VALUE"""),"")</f>
        <v/>
      </c>
      <c r="H17927" s="42">
        <f t="shared" si="1"/>
        <v>3345</v>
      </c>
    </row>
    <row r="17928" ht="22.5" customHeight="1">
      <c r="B17928" s="42" t="str">
        <f>IFERROR(__xludf.DUMMYFUNCTION("""COMPUTED_VALUE"""),"")</f>
        <v/>
      </c>
      <c r="C17928" s="42" t="str">
        <f>IFERROR(__xludf.DUMMYFUNCTION("""COMPUTED_VALUE"""),"")</f>
        <v/>
      </c>
      <c r="D17928" s="42"/>
      <c r="E17928" s="42"/>
      <c r="F17928" s="48" t="str">
        <f>IFERROR(__xludf.DUMMYFUNCTION("""COMPUTED_VALUE"""),"")</f>
        <v/>
      </c>
      <c r="G17928" s="42" t="str">
        <f>IFERROR(__xludf.DUMMYFUNCTION("""COMPUTED_VALUE"""),"")</f>
        <v/>
      </c>
      <c r="H17928" s="42">
        <f t="shared" si="1"/>
        <v>3345</v>
      </c>
    </row>
    <row r="17929" ht="22.5" customHeight="1">
      <c r="B17929" s="42" t="str">
        <f>IFERROR(__xludf.DUMMYFUNCTION("""COMPUTED_VALUE"""),"")</f>
        <v/>
      </c>
      <c r="C17929" s="42" t="str">
        <f>IFERROR(__xludf.DUMMYFUNCTION("""COMPUTED_VALUE"""),"")</f>
        <v/>
      </c>
      <c r="D17929" s="42"/>
      <c r="E17929" s="42"/>
      <c r="F17929" s="48" t="str">
        <f>IFERROR(__xludf.DUMMYFUNCTION("""COMPUTED_VALUE"""),"")</f>
        <v/>
      </c>
      <c r="G17929" s="42" t="str">
        <f>IFERROR(__xludf.DUMMYFUNCTION("""COMPUTED_VALUE"""),"")</f>
        <v/>
      </c>
      <c r="H17929" s="42">
        <f t="shared" si="1"/>
        <v>3345</v>
      </c>
    </row>
    <row r="17930" ht="22.5" customHeight="1">
      <c r="B17930" s="42" t="str">
        <f>IFERROR(__xludf.DUMMYFUNCTION("""COMPUTED_VALUE"""),"")</f>
        <v/>
      </c>
      <c r="C17930" s="42" t="str">
        <f>IFERROR(__xludf.DUMMYFUNCTION("""COMPUTED_VALUE"""),"")</f>
        <v/>
      </c>
      <c r="D17930" s="42"/>
      <c r="E17930" s="42"/>
      <c r="F17930" s="48" t="str">
        <f>IFERROR(__xludf.DUMMYFUNCTION("""COMPUTED_VALUE"""),"")</f>
        <v/>
      </c>
      <c r="G17930" s="42" t="str">
        <f>IFERROR(__xludf.DUMMYFUNCTION("""COMPUTED_VALUE"""),"")</f>
        <v/>
      </c>
      <c r="H17930" s="42">
        <f t="shared" si="1"/>
        <v>3345</v>
      </c>
    </row>
    <row r="17931" ht="22.5" customHeight="1">
      <c r="B17931" s="42" t="str">
        <f>IFERROR(__xludf.DUMMYFUNCTION("""COMPUTED_VALUE"""),"")</f>
        <v/>
      </c>
      <c r="C17931" s="42" t="str">
        <f>IFERROR(__xludf.DUMMYFUNCTION("""COMPUTED_VALUE"""),"")</f>
        <v/>
      </c>
      <c r="D17931" s="42"/>
      <c r="E17931" s="42"/>
      <c r="F17931" s="48" t="str">
        <f>IFERROR(__xludf.DUMMYFUNCTION("""COMPUTED_VALUE"""),"")</f>
        <v/>
      </c>
      <c r="G17931" s="42" t="str">
        <f>IFERROR(__xludf.DUMMYFUNCTION("""COMPUTED_VALUE"""),"")</f>
        <v/>
      </c>
      <c r="H17931" s="42">
        <f t="shared" si="1"/>
        <v>3345</v>
      </c>
    </row>
    <row r="17932" ht="22.5" customHeight="1">
      <c r="B17932" s="42" t="str">
        <f>IFERROR(__xludf.DUMMYFUNCTION("""COMPUTED_VALUE"""),"")</f>
        <v/>
      </c>
      <c r="C17932" s="42" t="str">
        <f>IFERROR(__xludf.DUMMYFUNCTION("""COMPUTED_VALUE"""),"")</f>
        <v/>
      </c>
      <c r="D17932" s="42"/>
      <c r="E17932" s="42"/>
      <c r="F17932" s="48" t="str">
        <f>IFERROR(__xludf.DUMMYFUNCTION("""COMPUTED_VALUE"""),"")</f>
        <v/>
      </c>
      <c r="G17932" s="42" t="str">
        <f>IFERROR(__xludf.DUMMYFUNCTION("""COMPUTED_VALUE"""),"")</f>
        <v/>
      </c>
      <c r="H17932" s="42">
        <f t="shared" si="1"/>
        <v>3345</v>
      </c>
    </row>
    <row r="17933" ht="22.5" customHeight="1">
      <c r="B17933" s="42" t="str">
        <f>IFERROR(__xludf.DUMMYFUNCTION("""COMPUTED_VALUE"""),"")</f>
        <v/>
      </c>
      <c r="C17933" s="42" t="str">
        <f>IFERROR(__xludf.DUMMYFUNCTION("""COMPUTED_VALUE"""),"")</f>
        <v/>
      </c>
      <c r="D17933" s="42"/>
      <c r="E17933" s="42"/>
      <c r="F17933" s="48" t="str">
        <f>IFERROR(__xludf.DUMMYFUNCTION("""COMPUTED_VALUE"""),"")</f>
        <v/>
      </c>
      <c r="G17933" s="42" t="str">
        <f>IFERROR(__xludf.DUMMYFUNCTION("""COMPUTED_VALUE"""),"")</f>
        <v/>
      </c>
      <c r="H17933" s="42">
        <f t="shared" si="1"/>
        <v>3345</v>
      </c>
    </row>
    <row r="17934" ht="22.5" customHeight="1">
      <c r="B17934" s="42" t="str">
        <f>IFERROR(__xludf.DUMMYFUNCTION("""COMPUTED_VALUE"""),"")</f>
        <v/>
      </c>
      <c r="C17934" s="42" t="str">
        <f>IFERROR(__xludf.DUMMYFUNCTION("""COMPUTED_VALUE"""),"")</f>
        <v/>
      </c>
      <c r="D17934" s="42"/>
      <c r="E17934" s="42"/>
      <c r="F17934" s="48" t="str">
        <f>IFERROR(__xludf.DUMMYFUNCTION("""COMPUTED_VALUE"""),"")</f>
        <v/>
      </c>
      <c r="G17934" s="42" t="str">
        <f>IFERROR(__xludf.DUMMYFUNCTION("""COMPUTED_VALUE"""),"")</f>
        <v/>
      </c>
      <c r="H17934" s="42">
        <f t="shared" si="1"/>
        <v>3345</v>
      </c>
    </row>
    <row r="17935" ht="22.5" customHeight="1">
      <c r="B17935" s="42" t="str">
        <f>IFERROR(__xludf.DUMMYFUNCTION("""COMPUTED_VALUE"""),"")</f>
        <v/>
      </c>
      <c r="C17935" s="42" t="str">
        <f>IFERROR(__xludf.DUMMYFUNCTION("""COMPUTED_VALUE"""),"")</f>
        <v/>
      </c>
      <c r="D17935" s="42"/>
      <c r="E17935" s="42"/>
      <c r="F17935" s="48" t="str">
        <f>IFERROR(__xludf.DUMMYFUNCTION("""COMPUTED_VALUE"""),"")</f>
        <v/>
      </c>
      <c r="G17935" s="42" t="str">
        <f>IFERROR(__xludf.DUMMYFUNCTION("""COMPUTED_VALUE"""),"")</f>
        <v/>
      </c>
      <c r="H17935" s="42">
        <f t="shared" si="1"/>
        <v>3345</v>
      </c>
    </row>
    <row r="17936" ht="22.5" customHeight="1">
      <c r="B17936" s="42" t="str">
        <f>IFERROR(__xludf.DUMMYFUNCTION("""COMPUTED_VALUE"""),"")</f>
        <v/>
      </c>
      <c r="C17936" s="42" t="str">
        <f>IFERROR(__xludf.DUMMYFUNCTION("""COMPUTED_VALUE"""),"")</f>
        <v/>
      </c>
      <c r="D17936" s="42"/>
      <c r="E17936" s="42"/>
      <c r="F17936" s="48" t="str">
        <f>IFERROR(__xludf.DUMMYFUNCTION("""COMPUTED_VALUE"""),"")</f>
        <v/>
      </c>
      <c r="G17936" s="42" t="str">
        <f>IFERROR(__xludf.DUMMYFUNCTION("""COMPUTED_VALUE"""),"")</f>
        <v/>
      </c>
      <c r="H17936" s="42">
        <f t="shared" si="1"/>
        <v>3345</v>
      </c>
    </row>
    <row r="17937" ht="22.5" customHeight="1">
      <c r="B17937" s="42" t="str">
        <f>IFERROR(__xludf.DUMMYFUNCTION("""COMPUTED_VALUE"""),"")</f>
        <v/>
      </c>
      <c r="C17937" s="42" t="str">
        <f>IFERROR(__xludf.DUMMYFUNCTION("""COMPUTED_VALUE"""),"")</f>
        <v/>
      </c>
      <c r="D17937" s="42"/>
      <c r="E17937" s="42"/>
      <c r="F17937" s="48" t="str">
        <f>IFERROR(__xludf.DUMMYFUNCTION("""COMPUTED_VALUE"""),"")</f>
        <v/>
      </c>
      <c r="G17937" s="42" t="str">
        <f>IFERROR(__xludf.DUMMYFUNCTION("""COMPUTED_VALUE"""),"")</f>
        <v/>
      </c>
      <c r="H17937" s="42">
        <f t="shared" si="1"/>
        <v>3345</v>
      </c>
    </row>
    <row r="17938" ht="22.5" customHeight="1">
      <c r="B17938" s="42" t="str">
        <f>IFERROR(__xludf.DUMMYFUNCTION("""COMPUTED_VALUE"""),"")</f>
        <v/>
      </c>
      <c r="C17938" s="42" t="str">
        <f>IFERROR(__xludf.DUMMYFUNCTION("""COMPUTED_VALUE"""),"")</f>
        <v/>
      </c>
      <c r="D17938" s="42"/>
      <c r="E17938" s="42"/>
      <c r="F17938" s="48" t="str">
        <f>IFERROR(__xludf.DUMMYFUNCTION("""COMPUTED_VALUE"""),"")</f>
        <v/>
      </c>
      <c r="G17938" s="42" t="str">
        <f>IFERROR(__xludf.DUMMYFUNCTION("""COMPUTED_VALUE"""),"")</f>
        <v/>
      </c>
      <c r="H17938" s="42">
        <f t="shared" si="1"/>
        <v>3345</v>
      </c>
    </row>
    <row r="17939" ht="22.5" customHeight="1">
      <c r="B17939" s="42" t="str">
        <f>IFERROR(__xludf.DUMMYFUNCTION("""COMPUTED_VALUE"""),"")</f>
        <v/>
      </c>
      <c r="C17939" s="42" t="str">
        <f>IFERROR(__xludf.DUMMYFUNCTION("""COMPUTED_VALUE"""),"")</f>
        <v/>
      </c>
      <c r="D17939" s="42"/>
      <c r="E17939" s="42"/>
      <c r="F17939" s="48" t="str">
        <f>IFERROR(__xludf.DUMMYFUNCTION("""COMPUTED_VALUE"""),"")</f>
        <v/>
      </c>
      <c r="G17939" s="42" t="str">
        <f>IFERROR(__xludf.DUMMYFUNCTION("""COMPUTED_VALUE"""),"")</f>
        <v/>
      </c>
      <c r="H17939" s="42">
        <f t="shared" si="1"/>
        <v>3345</v>
      </c>
    </row>
    <row r="17940" ht="22.5" customHeight="1">
      <c r="B17940" s="42" t="str">
        <f>IFERROR(__xludf.DUMMYFUNCTION("""COMPUTED_VALUE"""),"")</f>
        <v/>
      </c>
      <c r="C17940" s="42" t="str">
        <f>IFERROR(__xludf.DUMMYFUNCTION("""COMPUTED_VALUE"""),"")</f>
        <v/>
      </c>
      <c r="D17940" s="42"/>
      <c r="E17940" s="42"/>
      <c r="F17940" s="48" t="str">
        <f>IFERROR(__xludf.DUMMYFUNCTION("""COMPUTED_VALUE"""),"")</f>
        <v/>
      </c>
      <c r="G17940" s="42" t="str">
        <f>IFERROR(__xludf.DUMMYFUNCTION("""COMPUTED_VALUE"""),"")</f>
        <v/>
      </c>
      <c r="H17940" s="42">
        <f t="shared" si="1"/>
        <v>3345</v>
      </c>
    </row>
    <row r="17941" ht="22.5" customHeight="1">
      <c r="B17941" s="42" t="str">
        <f>IFERROR(__xludf.DUMMYFUNCTION("""COMPUTED_VALUE"""),"")</f>
        <v/>
      </c>
      <c r="C17941" s="42" t="str">
        <f>IFERROR(__xludf.DUMMYFUNCTION("""COMPUTED_VALUE"""),"")</f>
        <v/>
      </c>
      <c r="D17941" s="42"/>
      <c r="E17941" s="42"/>
      <c r="F17941" s="48" t="str">
        <f>IFERROR(__xludf.DUMMYFUNCTION("""COMPUTED_VALUE"""),"")</f>
        <v/>
      </c>
      <c r="G17941" s="42" t="str">
        <f>IFERROR(__xludf.DUMMYFUNCTION("""COMPUTED_VALUE"""),"")</f>
        <v/>
      </c>
      <c r="H17941" s="42">
        <f t="shared" si="1"/>
        <v>3345</v>
      </c>
    </row>
    <row r="17942" ht="22.5" customHeight="1">
      <c r="B17942" s="42" t="str">
        <f>IFERROR(__xludf.DUMMYFUNCTION("""COMPUTED_VALUE"""),"")</f>
        <v/>
      </c>
      <c r="C17942" s="42" t="str">
        <f>IFERROR(__xludf.DUMMYFUNCTION("""COMPUTED_VALUE"""),"")</f>
        <v/>
      </c>
      <c r="D17942" s="42"/>
      <c r="E17942" s="42"/>
      <c r="F17942" s="48" t="str">
        <f>IFERROR(__xludf.DUMMYFUNCTION("""COMPUTED_VALUE"""),"")</f>
        <v/>
      </c>
      <c r="G17942" s="42" t="str">
        <f>IFERROR(__xludf.DUMMYFUNCTION("""COMPUTED_VALUE"""),"")</f>
        <v/>
      </c>
      <c r="H17942" s="42">
        <f t="shared" si="1"/>
        <v>3345</v>
      </c>
    </row>
    <row r="17943" ht="22.5" customHeight="1">
      <c r="B17943" s="42" t="str">
        <f>IFERROR(__xludf.DUMMYFUNCTION("""COMPUTED_VALUE"""),"")</f>
        <v/>
      </c>
      <c r="C17943" s="42" t="str">
        <f>IFERROR(__xludf.DUMMYFUNCTION("""COMPUTED_VALUE"""),"")</f>
        <v/>
      </c>
      <c r="D17943" s="42"/>
      <c r="E17943" s="42"/>
      <c r="F17943" s="48" t="str">
        <f>IFERROR(__xludf.DUMMYFUNCTION("""COMPUTED_VALUE"""),"")</f>
        <v/>
      </c>
      <c r="G17943" s="42" t="str">
        <f>IFERROR(__xludf.DUMMYFUNCTION("""COMPUTED_VALUE"""),"")</f>
        <v/>
      </c>
      <c r="H17943" s="42">
        <f t="shared" si="1"/>
        <v>3345</v>
      </c>
    </row>
    <row r="17944" ht="22.5" customHeight="1">
      <c r="B17944" s="42" t="str">
        <f>IFERROR(__xludf.DUMMYFUNCTION("""COMPUTED_VALUE"""),"")</f>
        <v/>
      </c>
      <c r="C17944" s="42" t="str">
        <f>IFERROR(__xludf.DUMMYFUNCTION("""COMPUTED_VALUE"""),"")</f>
        <v/>
      </c>
      <c r="D17944" s="42"/>
      <c r="E17944" s="42"/>
      <c r="F17944" s="48" t="str">
        <f>IFERROR(__xludf.DUMMYFUNCTION("""COMPUTED_VALUE"""),"")</f>
        <v/>
      </c>
      <c r="G17944" s="42" t="str">
        <f>IFERROR(__xludf.DUMMYFUNCTION("""COMPUTED_VALUE"""),"")</f>
        <v/>
      </c>
      <c r="H17944" s="42">
        <f t="shared" si="1"/>
        <v>3345</v>
      </c>
    </row>
    <row r="17945" ht="22.5" customHeight="1">
      <c r="B17945" s="42" t="str">
        <f>IFERROR(__xludf.DUMMYFUNCTION("""COMPUTED_VALUE"""),"")</f>
        <v/>
      </c>
      <c r="C17945" s="42" t="str">
        <f>IFERROR(__xludf.DUMMYFUNCTION("""COMPUTED_VALUE"""),"")</f>
        <v/>
      </c>
      <c r="D17945" s="42"/>
      <c r="E17945" s="42"/>
      <c r="F17945" s="48" t="str">
        <f>IFERROR(__xludf.DUMMYFUNCTION("""COMPUTED_VALUE"""),"")</f>
        <v/>
      </c>
      <c r="G17945" s="42" t="str">
        <f>IFERROR(__xludf.DUMMYFUNCTION("""COMPUTED_VALUE"""),"")</f>
        <v/>
      </c>
      <c r="H17945" s="42">
        <f t="shared" si="1"/>
        <v>3345</v>
      </c>
    </row>
    <row r="17946" ht="22.5" customHeight="1">
      <c r="B17946" s="42" t="str">
        <f>IFERROR(__xludf.DUMMYFUNCTION("""COMPUTED_VALUE"""),"")</f>
        <v/>
      </c>
      <c r="C17946" s="42" t="str">
        <f>IFERROR(__xludf.DUMMYFUNCTION("""COMPUTED_VALUE"""),"")</f>
        <v/>
      </c>
      <c r="D17946" s="42"/>
      <c r="E17946" s="42"/>
      <c r="F17946" s="48" t="str">
        <f>IFERROR(__xludf.DUMMYFUNCTION("""COMPUTED_VALUE"""),"")</f>
        <v/>
      </c>
      <c r="G17946" s="42" t="str">
        <f>IFERROR(__xludf.DUMMYFUNCTION("""COMPUTED_VALUE"""),"")</f>
        <v/>
      </c>
      <c r="H17946" s="42">
        <f t="shared" si="1"/>
        <v>3345</v>
      </c>
    </row>
    <row r="17947" ht="22.5" customHeight="1">
      <c r="B17947" s="42" t="str">
        <f>IFERROR(__xludf.DUMMYFUNCTION("""COMPUTED_VALUE"""),"")</f>
        <v/>
      </c>
      <c r="C17947" s="42" t="str">
        <f>IFERROR(__xludf.DUMMYFUNCTION("""COMPUTED_VALUE"""),"")</f>
        <v/>
      </c>
      <c r="D17947" s="42"/>
      <c r="E17947" s="42"/>
      <c r="F17947" s="48" t="str">
        <f>IFERROR(__xludf.DUMMYFUNCTION("""COMPUTED_VALUE"""),"")</f>
        <v/>
      </c>
      <c r="G17947" s="42" t="str">
        <f>IFERROR(__xludf.DUMMYFUNCTION("""COMPUTED_VALUE"""),"")</f>
        <v/>
      </c>
      <c r="H17947" s="42">
        <f t="shared" si="1"/>
        <v>3345</v>
      </c>
    </row>
    <row r="17948" ht="22.5" customHeight="1">
      <c r="B17948" s="42" t="str">
        <f>IFERROR(__xludf.DUMMYFUNCTION("""COMPUTED_VALUE"""),"")</f>
        <v/>
      </c>
      <c r="C17948" s="42" t="str">
        <f>IFERROR(__xludf.DUMMYFUNCTION("""COMPUTED_VALUE"""),"")</f>
        <v/>
      </c>
      <c r="D17948" s="42"/>
      <c r="E17948" s="42"/>
      <c r="F17948" s="48" t="str">
        <f>IFERROR(__xludf.DUMMYFUNCTION("""COMPUTED_VALUE"""),"")</f>
        <v/>
      </c>
      <c r="G17948" s="42" t="str">
        <f>IFERROR(__xludf.DUMMYFUNCTION("""COMPUTED_VALUE"""),"")</f>
        <v/>
      </c>
      <c r="H17948" s="42">
        <f t="shared" si="1"/>
        <v>3345</v>
      </c>
    </row>
    <row r="17949" ht="22.5" customHeight="1">
      <c r="B17949" s="42" t="str">
        <f>IFERROR(__xludf.DUMMYFUNCTION("""COMPUTED_VALUE"""),"")</f>
        <v/>
      </c>
      <c r="C17949" s="42" t="str">
        <f>IFERROR(__xludf.DUMMYFUNCTION("""COMPUTED_VALUE"""),"")</f>
        <v/>
      </c>
      <c r="D17949" s="42"/>
      <c r="E17949" s="42"/>
      <c r="F17949" s="48" t="str">
        <f>IFERROR(__xludf.DUMMYFUNCTION("""COMPUTED_VALUE"""),"")</f>
        <v/>
      </c>
      <c r="G17949" s="42" t="str">
        <f>IFERROR(__xludf.DUMMYFUNCTION("""COMPUTED_VALUE"""),"")</f>
        <v/>
      </c>
      <c r="H17949" s="42">
        <f t="shared" si="1"/>
        <v>3345</v>
      </c>
    </row>
    <row r="17950" ht="22.5" customHeight="1">
      <c r="B17950" s="42" t="str">
        <f>IFERROR(__xludf.DUMMYFUNCTION("""COMPUTED_VALUE"""),"")</f>
        <v/>
      </c>
      <c r="C17950" s="42" t="str">
        <f>IFERROR(__xludf.DUMMYFUNCTION("""COMPUTED_VALUE"""),"")</f>
        <v/>
      </c>
      <c r="D17950" s="42"/>
      <c r="E17950" s="42"/>
      <c r="F17950" s="48" t="str">
        <f>IFERROR(__xludf.DUMMYFUNCTION("""COMPUTED_VALUE"""),"")</f>
        <v/>
      </c>
      <c r="G17950" s="42" t="str">
        <f>IFERROR(__xludf.DUMMYFUNCTION("""COMPUTED_VALUE"""),"")</f>
        <v/>
      </c>
      <c r="H17950" s="42">
        <f t="shared" si="1"/>
        <v>3345</v>
      </c>
    </row>
    <row r="17951" ht="22.5" customHeight="1">
      <c r="B17951" s="42" t="str">
        <f>IFERROR(__xludf.DUMMYFUNCTION("""COMPUTED_VALUE"""),"")</f>
        <v/>
      </c>
      <c r="C17951" s="42" t="str">
        <f>IFERROR(__xludf.DUMMYFUNCTION("""COMPUTED_VALUE"""),"")</f>
        <v/>
      </c>
      <c r="D17951" s="42"/>
      <c r="E17951" s="42"/>
      <c r="F17951" s="48" t="str">
        <f>IFERROR(__xludf.DUMMYFUNCTION("""COMPUTED_VALUE"""),"")</f>
        <v/>
      </c>
      <c r="G17951" s="42" t="str">
        <f>IFERROR(__xludf.DUMMYFUNCTION("""COMPUTED_VALUE"""),"")</f>
        <v/>
      </c>
      <c r="H17951" s="42">
        <f t="shared" si="1"/>
        <v>3345</v>
      </c>
    </row>
    <row r="17952" ht="22.5" customHeight="1">
      <c r="B17952" s="42" t="str">
        <f>IFERROR(__xludf.DUMMYFUNCTION("""COMPUTED_VALUE"""),"")</f>
        <v/>
      </c>
      <c r="C17952" s="42" t="str">
        <f>IFERROR(__xludf.DUMMYFUNCTION("""COMPUTED_VALUE"""),"")</f>
        <v/>
      </c>
      <c r="D17952" s="42"/>
      <c r="E17952" s="42"/>
      <c r="F17952" s="48" t="str">
        <f>IFERROR(__xludf.DUMMYFUNCTION("""COMPUTED_VALUE"""),"")</f>
        <v/>
      </c>
      <c r="G17952" s="42" t="str">
        <f>IFERROR(__xludf.DUMMYFUNCTION("""COMPUTED_VALUE"""),"")</f>
        <v/>
      </c>
      <c r="H17952" s="42">
        <f t="shared" si="1"/>
        <v>3345</v>
      </c>
    </row>
    <row r="17953" ht="22.5" customHeight="1">
      <c r="B17953" s="42" t="str">
        <f>IFERROR(__xludf.DUMMYFUNCTION("""COMPUTED_VALUE"""),"")</f>
        <v/>
      </c>
      <c r="C17953" s="42" t="str">
        <f>IFERROR(__xludf.DUMMYFUNCTION("""COMPUTED_VALUE"""),"")</f>
        <v/>
      </c>
      <c r="D17953" s="42"/>
      <c r="E17953" s="42"/>
      <c r="F17953" s="48" t="str">
        <f>IFERROR(__xludf.DUMMYFUNCTION("""COMPUTED_VALUE"""),"")</f>
        <v/>
      </c>
      <c r="G17953" s="42" t="str">
        <f>IFERROR(__xludf.DUMMYFUNCTION("""COMPUTED_VALUE"""),"")</f>
        <v/>
      </c>
      <c r="H17953" s="42">
        <f t="shared" si="1"/>
        <v>3345</v>
      </c>
    </row>
    <row r="17954" ht="22.5" customHeight="1">
      <c r="B17954" s="42" t="str">
        <f>IFERROR(__xludf.DUMMYFUNCTION("""COMPUTED_VALUE"""),"")</f>
        <v/>
      </c>
      <c r="C17954" s="42" t="str">
        <f>IFERROR(__xludf.DUMMYFUNCTION("""COMPUTED_VALUE"""),"")</f>
        <v/>
      </c>
      <c r="D17954" s="42"/>
      <c r="E17954" s="42"/>
      <c r="F17954" s="48" t="str">
        <f>IFERROR(__xludf.DUMMYFUNCTION("""COMPUTED_VALUE"""),"")</f>
        <v/>
      </c>
      <c r="G17954" s="42" t="str">
        <f>IFERROR(__xludf.DUMMYFUNCTION("""COMPUTED_VALUE"""),"")</f>
        <v/>
      </c>
      <c r="H17954" s="42">
        <f t="shared" si="1"/>
        <v>3345</v>
      </c>
    </row>
    <row r="17955" ht="22.5" customHeight="1">
      <c r="B17955" s="42" t="str">
        <f>IFERROR(__xludf.DUMMYFUNCTION("""COMPUTED_VALUE"""),"")</f>
        <v/>
      </c>
      <c r="C17955" s="42" t="str">
        <f>IFERROR(__xludf.DUMMYFUNCTION("""COMPUTED_VALUE"""),"")</f>
        <v/>
      </c>
      <c r="D17955" s="42"/>
      <c r="E17955" s="42"/>
      <c r="F17955" s="48" t="str">
        <f>IFERROR(__xludf.DUMMYFUNCTION("""COMPUTED_VALUE"""),"")</f>
        <v/>
      </c>
      <c r="G17955" s="42" t="str">
        <f>IFERROR(__xludf.DUMMYFUNCTION("""COMPUTED_VALUE"""),"")</f>
        <v/>
      </c>
      <c r="H17955" s="42">
        <f t="shared" si="1"/>
        <v>3345</v>
      </c>
    </row>
    <row r="17956" ht="22.5" customHeight="1">
      <c r="B17956" s="42" t="str">
        <f>IFERROR(__xludf.DUMMYFUNCTION("""COMPUTED_VALUE"""),"")</f>
        <v/>
      </c>
      <c r="C17956" s="42" t="str">
        <f>IFERROR(__xludf.DUMMYFUNCTION("""COMPUTED_VALUE"""),"")</f>
        <v/>
      </c>
      <c r="D17956" s="42"/>
      <c r="E17956" s="42"/>
      <c r="F17956" s="48" t="str">
        <f>IFERROR(__xludf.DUMMYFUNCTION("""COMPUTED_VALUE"""),"")</f>
        <v/>
      </c>
      <c r="G17956" s="42" t="str">
        <f>IFERROR(__xludf.DUMMYFUNCTION("""COMPUTED_VALUE"""),"")</f>
        <v/>
      </c>
      <c r="H17956" s="42">
        <f t="shared" si="1"/>
        <v>3345</v>
      </c>
    </row>
    <row r="17957" ht="22.5" customHeight="1">
      <c r="B17957" s="42" t="str">
        <f>IFERROR(__xludf.DUMMYFUNCTION("""COMPUTED_VALUE"""),"")</f>
        <v/>
      </c>
      <c r="C17957" s="42" t="str">
        <f>IFERROR(__xludf.DUMMYFUNCTION("""COMPUTED_VALUE"""),"")</f>
        <v/>
      </c>
      <c r="D17957" s="42"/>
      <c r="E17957" s="42"/>
      <c r="F17957" s="48" t="str">
        <f>IFERROR(__xludf.DUMMYFUNCTION("""COMPUTED_VALUE"""),"")</f>
        <v/>
      </c>
      <c r="G17957" s="42" t="str">
        <f>IFERROR(__xludf.DUMMYFUNCTION("""COMPUTED_VALUE"""),"")</f>
        <v/>
      </c>
      <c r="H17957" s="42">
        <f t="shared" si="1"/>
        <v>3345</v>
      </c>
    </row>
    <row r="17958" ht="22.5" customHeight="1">
      <c r="B17958" s="42" t="str">
        <f>IFERROR(__xludf.DUMMYFUNCTION("""COMPUTED_VALUE"""),"")</f>
        <v/>
      </c>
      <c r="C17958" s="42" t="str">
        <f>IFERROR(__xludf.DUMMYFUNCTION("""COMPUTED_VALUE"""),"")</f>
        <v/>
      </c>
      <c r="D17958" s="42"/>
      <c r="E17958" s="42"/>
      <c r="F17958" s="48" t="str">
        <f>IFERROR(__xludf.DUMMYFUNCTION("""COMPUTED_VALUE"""),"")</f>
        <v/>
      </c>
      <c r="G17958" s="42" t="str">
        <f>IFERROR(__xludf.DUMMYFUNCTION("""COMPUTED_VALUE"""),"")</f>
        <v/>
      </c>
      <c r="H17958" s="42">
        <f t="shared" si="1"/>
        <v>3345</v>
      </c>
    </row>
    <row r="17959" ht="22.5" customHeight="1">
      <c r="B17959" s="42" t="str">
        <f>IFERROR(__xludf.DUMMYFUNCTION("""COMPUTED_VALUE"""),"")</f>
        <v/>
      </c>
      <c r="C17959" s="42" t="str">
        <f>IFERROR(__xludf.DUMMYFUNCTION("""COMPUTED_VALUE"""),"")</f>
        <v/>
      </c>
      <c r="D17959" s="42"/>
      <c r="E17959" s="42"/>
      <c r="F17959" s="48" t="str">
        <f>IFERROR(__xludf.DUMMYFUNCTION("""COMPUTED_VALUE"""),"")</f>
        <v/>
      </c>
      <c r="G17959" s="42" t="str">
        <f>IFERROR(__xludf.DUMMYFUNCTION("""COMPUTED_VALUE"""),"")</f>
        <v/>
      </c>
      <c r="H17959" s="42">
        <f t="shared" si="1"/>
        <v>3345</v>
      </c>
    </row>
    <row r="17960" ht="22.5" customHeight="1">
      <c r="B17960" s="42" t="str">
        <f>IFERROR(__xludf.DUMMYFUNCTION("""COMPUTED_VALUE"""),"")</f>
        <v/>
      </c>
      <c r="C17960" s="42" t="str">
        <f>IFERROR(__xludf.DUMMYFUNCTION("""COMPUTED_VALUE"""),"")</f>
        <v/>
      </c>
      <c r="D17960" s="42"/>
      <c r="E17960" s="42"/>
      <c r="F17960" s="48" t="str">
        <f>IFERROR(__xludf.DUMMYFUNCTION("""COMPUTED_VALUE"""),"")</f>
        <v/>
      </c>
      <c r="G17960" s="42" t="str">
        <f>IFERROR(__xludf.DUMMYFUNCTION("""COMPUTED_VALUE"""),"")</f>
        <v/>
      </c>
      <c r="H17960" s="42">
        <f t="shared" si="1"/>
        <v>3345</v>
      </c>
    </row>
    <row r="17961" ht="22.5" customHeight="1">
      <c r="B17961" s="42" t="str">
        <f>IFERROR(__xludf.DUMMYFUNCTION("""COMPUTED_VALUE"""),"")</f>
        <v/>
      </c>
      <c r="C17961" s="42" t="str">
        <f>IFERROR(__xludf.DUMMYFUNCTION("""COMPUTED_VALUE"""),"")</f>
        <v/>
      </c>
      <c r="D17961" s="42"/>
      <c r="E17961" s="42"/>
      <c r="F17961" s="48" t="str">
        <f>IFERROR(__xludf.DUMMYFUNCTION("""COMPUTED_VALUE"""),"")</f>
        <v/>
      </c>
      <c r="G17961" s="42" t="str">
        <f>IFERROR(__xludf.DUMMYFUNCTION("""COMPUTED_VALUE"""),"")</f>
        <v/>
      </c>
      <c r="H17961" s="42">
        <f t="shared" si="1"/>
        <v>3345</v>
      </c>
    </row>
    <row r="17962" ht="22.5" customHeight="1">
      <c r="B17962" s="42" t="str">
        <f>IFERROR(__xludf.DUMMYFUNCTION("""COMPUTED_VALUE"""),"")</f>
        <v/>
      </c>
      <c r="C17962" s="42" t="str">
        <f>IFERROR(__xludf.DUMMYFUNCTION("""COMPUTED_VALUE"""),"")</f>
        <v/>
      </c>
      <c r="D17962" s="42"/>
      <c r="E17962" s="42"/>
      <c r="F17962" s="48" t="str">
        <f>IFERROR(__xludf.DUMMYFUNCTION("""COMPUTED_VALUE"""),"")</f>
        <v/>
      </c>
      <c r="G17962" s="42" t="str">
        <f>IFERROR(__xludf.DUMMYFUNCTION("""COMPUTED_VALUE"""),"")</f>
        <v/>
      </c>
      <c r="H17962" s="42">
        <f t="shared" si="1"/>
        <v>3345</v>
      </c>
    </row>
    <row r="17963" ht="22.5" customHeight="1">
      <c r="B17963" s="42" t="str">
        <f>IFERROR(__xludf.DUMMYFUNCTION("""COMPUTED_VALUE"""),"")</f>
        <v/>
      </c>
      <c r="C17963" s="42" t="str">
        <f>IFERROR(__xludf.DUMMYFUNCTION("""COMPUTED_VALUE"""),"")</f>
        <v/>
      </c>
      <c r="D17963" s="42"/>
      <c r="E17963" s="42"/>
      <c r="F17963" s="48" t="str">
        <f>IFERROR(__xludf.DUMMYFUNCTION("""COMPUTED_VALUE"""),"")</f>
        <v/>
      </c>
      <c r="G17963" s="42" t="str">
        <f>IFERROR(__xludf.DUMMYFUNCTION("""COMPUTED_VALUE"""),"")</f>
        <v/>
      </c>
      <c r="H17963" s="42">
        <f t="shared" si="1"/>
        <v>3345</v>
      </c>
    </row>
    <row r="17964" ht="22.5" customHeight="1">
      <c r="B17964" s="42" t="str">
        <f>IFERROR(__xludf.DUMMYFUNCTION("""COMPUTED_VALUE"""),"")</f>
        <v/>
      </c>
      <c r="C17964" s="42" t="str">
        <f>IFERROR(__xludf.DUMMYFUNCTION("""COMPUTED_VALUE"""),"")</f>
        <v/>
      </c>
      <c r="D17964" s="42"/>
      <c r="E17964" s="42"/>
      <c r="F17964" s="48" t="str">
        <f>IFERROR(__xludf.DUMMYFUNCTION("""COMPUTED_VALUE"""),"")</f>
        <v/>
      </c>
      <c r="G17964" s="42" t="str">
        <f>IFERROR(__xludf.DUMMYFUNCTION("""COMPUTED_VALUE"""),"")</f>
        <v/>
      </c>
      <c r="H17964" s="42">
        <f t="shared" si="1"/>
        <v>3345</v>
      </c>
    </row>
    <row r="17965" ht="22.5" customHeight="1">
      <c r="B17965" s="42" t="str">
        <f>IFERROR(__xludf.DUMMYFUNCTION("""COMPUTED_VALUE"""),"")</f>
        <v/>
      </c>
      <c r="C17965" s="42" t="str">
        <f>IFERROR(__xludf.DUMMYFUNCTION("""COMPUTED_VALUE"""),"")</f>
        <v/>
      </c>
      <c r="D17965" s="42"/>
      <c r="E17965" s="42"/>
      <c r="F17965" s="48" t="str">
        <f>IFERROR(__xludf.DUMMYFUNCTION("""COMPUTED_VALUE"""),"")</f>
        <v/>
      </c>
      <c r="G17965" s="42" t="str">
        <f>IFERROR(__xludf.DUMMYFUNCTION("""COMPUTED_VALUE"""),"")</f>
        <v/>
      </c>
      <c r="H17965" s="42">
        <f t="shared" si="1"/>
        <v>3345</v>
      </c>
    </row>
    <row r="17966" ht="22.5" customHeight="1">
      <c r="B17966" s="42" t="str">
        <f>IFERROR(__xludf.DUMMYFUNCTION("""COMPUTED_VALUE"""),"")</f>
        <v/>
      </c>
      <c r="C17966" s="42" t="str">
        <f>IFERROR(__xludf.DUMMYFUNCTION("""COMPUTED_VALUE"""),"")</f>
        <v/>
      </c>
      <c r="D17966" s="42"/>
      <c r="E17966" s="42"/>
      <c r="F17966" s="48" t="str">
        <f>IFERROR(__xludf.DUMMYFUNCTION("""COMPUTED_VALUE"""),"")</f>
        <v/>
      </c>
      <c r="G17966" s="42" t="str">
        <f>IFERROR(__xludf.DUMMYFUNCTION("""COMPUTED_VALUE"""),"")</f>
        <v/>
      </c>
      <c r="H17966" s="42">
        <f t="shared" si="1"/>
        <v>3345</v>
      </c>
    </row>
    <row r="17967" ht="22.5" customHeight="1">
      <c r="B17967" s="42" t="str">
        <f>IFERROR(__xludf.DUMMYFUNCTION("""COMPUTED_VALUE"""),"")</f>
        <v/>
      </c>
      <c r="C17967" s="42" t="str">
        <f>IFERROR(__xludf.DUMMYFUNCTION("""COMPUTED_VALUE"""),"")</f>
        <v/>
      </c>
      <c r="D17967" s="42"/>
      <c r="E17967" s="42"/>
      <c r="F17967" s="48" t="str">
        <f>IFERROR(__xludf.DUMMYFUNCTION("""COMPUTED_VALUE"""),"")</f>
        <v/>
      </c>
      <c r="G17967" s="42" t="str">
        <f>IFERROR(__xludf.DUMMYFUNCTION("""COMPUTED_VALUE"""),"")</f>
        <v/>
      </c>
      <c r="H17967" s="42">
        <f t="shared" si="1"/>
        <v>3345</v>
      </c>
    </row>
    <row r="17968" ht="22.5" customHeight="1">
      <c r="B17968" s="42" t="str">
        <f>IFERROR(__xludf.DUMMYFUNCTION("""COMPUTED_VALUE"""),"")</f>
        <v/>
      </c>
      <c r="C17968" s="42" t="str">
        <f>IFERROR(__xludf.DUMMYFUNCTION("""COMPUTED_VALUE"""),"")</f>
        <v/>
      </c>
      <c r="D17968" s="42"/>
      <c r="E17968" s="42"/>
      <c r="F17968" s="48" t="str">
        <f>IFERROR(__xludf.DUMMYFUNCTION("""COMPUTED_VALUE"""),"")</f>
        <v/>
      </c>
      <c r="G17968" s="42" t="str">
        <f>IFERROR(__xludf.DUMMYFUNCTION("""COMPUTED_VALUE"""),"")</f>
        <v/>
      </c>
      <c r="H17968" s="42">
        <f t="shared" si="1"/>
        <v>3345</v>
      </c>
    </row>
    <row r="17969" ht="22.5" customHeight="1">
      <c r="B17969" s="42" t="str">
        <f>IFERROR(__xludf.DUMMYFUNCTION("""COMPUTED_VALUE"""),"")</f>
        <v/>
      </c>
      <c r="C17969" s="42" t="str">
        <f>IFERROR(__xludf.DUMMYFUNCTION("""COMPUTED_VALUE"""),"")</f>
        <v/>
      </c>
      <c r="D17969" s="42"/>
      <c r="E17969" s="42"/>
      <c r="F17969" s="48" t="str">
        <f>IFERROR(__xludf.DUMMYFUNCTION("""COMPUTED_VALUE"""),"")</f>
        <v/>
      </c>
      <c r="G17969" s="42" t="str">
        <f>IFERROR(__xludf.DUMMYFUNCTION("""COMPUTED_VALUE"""),"")</f>
        <v/>
      </c>
      <c r="H17969" s="42">
        <f t="shared" si="1"/>
        <v>3345</v>
      </c>
    </row>
    <row r="17970" ht="22.5" customHeight="1">
      <c r="B17970" s="42" t="str">
        <f>IFERROR(__xludf.DUMMYFUNCTION("""COMPUTED_VALUE"""),"")</f>
        <v/>
      </c>
      <c r="C17970" s="42" t="str">
        <f>IFERROR(__xludf.DUMMYFUNCTION("""COMPUTED_VALUE"""),"")</f>
        <v/>
      </c>
      <c r="D17970" s="42"/>
      <c r="E17970" s="42"/>
      <c r="F17970" s="48" t="str">
        <f>IFERROR(__xludf.DUMMYFUNCTION("""COMPUTED_VALUE"""),"")</f>
        <v/>
      </c>
      <c r="G17970" s="42" t="str">
        <f>IFERROR(__xludf.DUMMYFUNCTION("""COMPUTED_VALUE"""),"")</f>
        <v/>
      </c>
      <c r="H17970" s="42">
        <f t="shared" si="1"/>
        <v>3345</v>
      </c>
    </row>
    <row r="17971" ht="22.5" customHeight="1">
      <c r="B17971" s="42" t="str">
        <f>IFERROR(__xludf.DUMMYFUNCTION("""COMPUTED_VALUE"""),"")</f>
        <v/>
      </c>
      <c r="C17971" s="42" t="str">
        <f>IFERROR(__xludf.DUMMYFUNCTION("""COMPUTED_VALUE"""),"")</f>
        <v/>
      </c>
      <c r="D17971" s="42"/>
      <c r="E17971" s="42"/>
      <c r="F17971" s="48" t="str">
        <f>IFERROR(__xludf.DUMMYFUNCTION("""COMPUTED_VALUE"""),"")</f>
        <v/>
      </c>
      <c r="G17971" s="42" t="str">
        <f>IFERROR(__xludf.DUMMYFUNCTION("""COMPUTED_VALUE"""),"")</f>
        <v/>
      </c>
      <c r="H17971" s="42">
        <f t="shared" si="1"/>
        <v>3345</v>
      </c>
    </row>
    <row r="17972" ht="22.5" customHeight="1">
      <c r="B17972" s="42" t="str">
        <f>IFERROR(__xludf.DUMMYFUNCTION("""COMPUTED_VALUE"""),"")</f>
        <v/>
      </c>
      <c r="C17972" s="42" t="str">
        <f>IFERROR(__xludf.DUMMYFUNCTION("""COMPUTED_VALUE"""),"")</f>
        <v/>
      </c>
      <c r="D17972" s="42"/>
      <c r="E17972" s="42"/>
      <c r="F17972" s="48" t="str">
        <f>IFERROR(__xludf.DUMMYFUNCTION("""COMPUTED_VALUE"""),"")</f>
        <v/>
      </c>
      <c r="G17972" s="42" t="str">
        <f>IFERROR(__xludf.DUMMYFUNCTION("""COMPUTED_VALUE"""),"")</f>
        <v/>
      </c>
      <c r="H17972" s="42">
        <f t="shared" si="1"/>
        <v>3345</v>
      </c>
    </row>
    <row r="17973" ht="22.5" customHeight="1">
      <c r="B17973" s="42" t="str">
        <f>IFERROR(__xludf.DUMMYFUNCTION("""COMPUTED_VALUE"""),"")</f>
        <v/>
      </c>
      <c r="C17973" s="42" t="str">
        <f>IFERROR(__xludf.DUMMYFUNCTION("""COMPUTED_VALUE"""),"")</f>
        <v/>
      </c>
      <c r="D17973" s="42"/>
      <c r="E17973" s="42"/>
      <c r="F17973" s="48" t="str">
        <f>IFERROR(__xludf.DUMMYFUNCTION("""COMPUTED_VALUE"""),"")</f>
        <v/>
      </c>
      <c r="G17973" s="42" t="str">
        <f>IFERROR(__xludf.DUMMYFUNCTION("""COMPUTED_VALUE"""),"")</f>
        <v/>
      </c>
      <c r="H17973" s="42">
        <f t="shared" si="1"/>
        <v>3345</v>
      </c>
    </row>
    <row r="17974" ht="22.5" customHeight="1">
      <c r="B17974" s="42" t="str">
        <f>IFERROR(__xludf.DUMMYFUNCTION("""COMPUTED_VALUE"""),"")</f>
        <v/>
      </c>
      <c r="C17974" s="42" t="str">
        <f>IFERROR(__xludf.DUMMYFUNCTION("""COMPUTED_VALUE"""),"")</f>
        <v/>
      </c>
      <c r="D17974" s="42"/>
      <c r="E17974" s="42"/>
      <c r="F17974" s="48" t="str">
        <f>IFERROR(__xludf.DUMMYFUNCTION("""COMPUTED_VALUE"""),"")</f>
        <v/>
      </c>
      <c r="G17974" s="42" t="str">
        <f>IFERROR(__xludf.DUMMYFUNCTION("""COMPUTED_VALUE"""),"")</f>
        <v/>
      </c>
      <c r="H17974" s="42">
        <f t="shared" si="1"/>
        <v>3345</v>
      </c>
    </row>
    <row r="17975" ht="22.5" customHeight="1">
      <c r="B17975" s="42" t="str">
        <f>IFERROR(__xludf.DUMMYFUNCTION("""COMPUTED_VALUE"""),"")</f>
        <v/>
      </c>
      <c r="C17975" s="42" t="str">
        <f>IFERROR(__xludf.DUMMYFUNCTION("""COMPUTED_VALUE"""),"")</f>
        <v/>
      </c>
      <c r="D17975" s="42"/>
      <c r="E17975" s="42"/>
      <c r="F17975" s="48" t="str">
        <f>IFERROR(__xludf.DUMMYFUNCTION("""COMPUTED_VALUE"""),"")</f>
        <v/>
      </c>
      <c r="G17975" s="42" t="str">
        <f>IFERROR(__xludf.DUMMYFUNCTION("""COMPUTED_VALUE"""),"")</f>
        <v/>
      </c>
      <c r="H17975" s="42">
        <f t="shared" si="1"/>
        <v>3345</v>
      </c>
    </row>
    <row r="17976" ht="22.5" customHeight="1">
      <c r="B17976" s="42" t="str">
        <f>IFERROR(__xludf.DUMMYFUNCTION("""COMPUTED_VALUE"""),"")</f>
        <v/>
      </c>
      <c r="C17976" s="42" t="str">
        <f>IFERROR(__xludf.DUMMYFUNCTION("""COMPUTED_VALUE"""),"")</f>
        <v/>
      </c>
      <c r="D17976" s="42"/>
      <c r="E17976" s="42"/>
      <c r="F17976" s="48" t="str">
        <f>IFERROR(__xludf.DUMMYFUNCTION("""COMPUTED_VALUE"""),"")</f>
        <v/>
      </c>
      <c r="G17976" s="42" t="str">
        <f>IFERROR(__xludf.DUMMYFUNCTION("""COMPUTED_VALUE"""),"")</f>
        <v/>
      </c>
      <c r="H17976" s="42">
        <f t="shared" si="1"/>
        <v>3345</v>
      </c>
    </row>
    <row r="17977" ht="22.5" customHeight="1">
      <c r="B17977" s="42" t="str">
        <f>IFERROR(__xludf.DUMMYFUNCTION("""COMPUTED_VALUE"""),"")</f>
        <v/>
      </c>
      <c r="C17977" s="42" t="str">
        <f>IFERROR(__xludf.DUMMYFUNCTION("""COMPUTED_VALUE"""),"")</f>
        <v/>
      </c>
      <c r="D17977" s="42"/>
      <c r="E17977" s="42"/>
      <c r="F17977" s="48" t="str">
        <f>IFERROR(__xludf.DUMMYFUNCTION("""COMPUTED_VALUE"""),"")</f>
        <v/>
      </c>
      <c r="G17977" s="42" t="str">
        <f>IFERROR(__xludf.DUMMYFUNCTION("""COMPUTED_VALUE"""),"")</f>
        <v/>
      </c>
      <c r="H17977" s="42">
        <f t="shared" si="1"/>
        <v>3345</v>
      </c>
    </row>
    <row r="17978" ht="22.5" customHeight="1">
      <c r="B17978" s="42" t="str">
        <f>IFERROR(__xludf.DUMMYFUNCTION("""COMPUTED_VALUE"""),"")</f>
        <v/>
      </c>
      <c r="C17978" s="42" t="str">
        <f>IFERROR(__xludf.DUMMYFUNCTION("""COMPUTED_VALUE"""),"")</f>
        <v/>
      </c>
      <c r="D17978" s="42"/>
      <c r="E17978" s="42"/>
      <c r="F17978" s="48" t="str">
        <f>IFERROR(__xludf.DUMMYFUNCTION("""COMPUTED_VALUE"""),"")</f>
        <v/>
      </c>
      <c r="G17978" s="42" t="str">
        <f>IFERROR(__xludf.DUMMYFUNCTION("""COMPUTED_VALUE"""),"")</f>
        <v/>
      </c>
      <c r="H17978" s="42">
        <f t="shared" si="1"/>
        <v>3345</v>
      </c>
    </row>
    <row r="17979" ht="22.5" customHeight="1">
      <c r="B17979" s="42" t="str">
        <f>IFERROR(__xludf.DUMMYFUNCTION("""COMPUTED_VALUE"""),"")</f>
        <v/>
      </c>
      <c r="C17979" s="42" t="str">
        <f>IFERROR(__xludf.DUMMYFUNCTION("""COMPUTED_VALUE"""),"")</f>
        <v/>
      </c>
      <c r="D17979" s="42"/>
      <c r="E17979" s="42"/>
      <c r="F17979" s="48" t="str">
        <f>IFERROR(__xludf.DUMMYFUNCTION("""COMPUTED_VALUE"""),"")</f>
        <v/>
      </c>
      <c r="G17979" s="42" t="str">
        <f>IFERROR(__xludf.DUMMYFUNCTION("""COMPUTED_VALUE"""),"")</f>
        <v/>
      </c>
      <c r="H17979" s="42">
        <f t="shared" si="1"/>
        <v>3345</v>
      </c>
    </row>
    <row r="17980" ht="22.5" customHeight="1">
      <c r="B17980" s="42" t="str">
        <f>IFERROR(__xludf.DUMMYFUNCTION("""COMPUTED_VALUE"""),"")</f>
        <v/>
      </c>
      <c r="C17980" s="42" t="str">
        <f>IFERROR(__xludf.DUMMYFUNCTION("""COMPUTED_VALUE"""),"")</f>
        <v/>
      </c>
      <c r="D17980" s="42"/>
      <c r="E17980" s="42"/>
      <c r="F17980" s="48" t="str">
        <f>IFERROR(__xludf.DUMMYFUNCTION("""COMPUTED_VALUE"""),"")</f>
        <v/>
      </c>
      <c r="G17980" s="42" t="str">
        <f>IFERROR(__xludf.DUMMYFUNCTION("""COMPUTED_VALUE"""),"")</f>
        <v/>
      </c>
      <c r="H17980" s="42">
        <f t="shared" si="1"/>
        <v>3345</v>
      </c>
    </row>
    <row r="17981" ht="22.5" customHeight="1">
      <c r="B17981" s="42" t="str">
        <f>IFERROR(__xludf.DUMMYFUNCTION("""COMPUTED_VALUE"""),"")</f>
        <v/>
      </c>
      <c r="C17981" s="42" t="str">
        <f>IFERROR(__xludf.DUMMYFUNCTION("""COMPUTED_VALUE"""),"")</f>
        <v/>
      </c>
      <c r="D17981" s="42"/>
      <c r="E17981" s="42"/>
      <c r="F17981" s="48" t="str">
        <f>IFERROR(__xludf.DUMMYFUNCTION("""COMPUTED_VALUE"""),"")</f>
        <v/>
      </c>
      <c r="G17981" s="42" t="str">
        <f>IFERROR(__xludf.DUMMYFUNCTION("""COMPUTED_VALUE"""),"")</f>
        <v/>
      </c>
      <c r="H17981" s="42">
        <f t="shared" si="1"/>
        <v>3345</v>
      </c>
    </row>
    <row r="17982" ht="22.5" customHeight="1">
      <c r="B17982" s="42" t="str">
        <f>IFERROR(__xludf.DUMMYFUNCTION("""COMPUTED_VALUE"""),"")</f>
        <v/>
      </c>
      <c r="C17982" s="42" t="str">
        <f>IFERROR(__xludf.DUMMYFUNCTION("""COMPUTED_VALUE"""),"")</f>
        <v/>
      </c>
      <c r="D17982" s="42"/>
      <c r="E17982" s="42"/>
      <c r="F17982" s="48" t="str">
        <f>IFERROR(__xludf.DUMMYFUNCTION("""COMPUTED_VALUE"""),"")</f>
        <v/>
      </c>
      <c r="G17982" s="42" t="str">
        <f>IFERROR(__xludf.DUMMYFUNCTION("""COMPUTED_VALUE"""),"")</f>
        <v/>
      </c>
      <c r="H17982" s="42">
        <f t="shared" si="1"/>
        <v>3345</v>
      </c>
    </row>
    <row r="17983" ht="22.5" customHeight="1">
      <c r="B17983" s="42" t="str">
        <f>IFERROR(__xludf.DUMMYFUNCTION("""COMPUTED_VALUE"""),"")</f>
        <v/>
      </c>
      <c r="C17983" s="42" t="str">
        <f>IFERROR(__xludf.DUMMYFUNCTION("""COMPUTED_VALUE"""),"")</f>
        <v/>
      </c>
      <c r="D17983" s="42"/>
      <c r="E17983" s="42"/>
      <c r="F17983" s="48" t="str">
        <f>IFERROR(__xludf.DUMMYFUNCTION("""COMPUTED_VALUE"""),"")</f>
        <v/>
      </c>
      <c r="G17983" s="42" t="str">
        <f>IFERROR(__xludf.DUMMYFUNCTION("""COMPUTED_VALUE"""),"")</f>
        <v/>
      </c>
      <c r="H17983" s="42">
        <f t="shared" si="1"/>
        <v>3345</v>
      </c>
    </row>
    <row r="17984" ht="22.5" customHeight="1">
      <c r="B17984" s="42" t="str">
        <f>IFERROR(__xludf.DUMMYFUNCTION("""COMPUTED_VALUE"""),"")</f>
        <v/>
      </c>
      <c r="C17984" s="42" t="str">
        <f>IFERROR(__xludf.DUMMYFUNCTION("""COMPUTED_VALUE"""),"")</f>
        <v/>
      </c>
      <c r="D17984" s="42"/>
      <c r="E17984" s="42"/>
      <c r="F17984" s="48" t="str">
        <f>IFERROR(__xludf.DUMMYFUNCTION("""COMPUTED_VALUE"""),"")</f>
        <v/>
      </c>
      <c r="G17984" s="42" t="str">
        <f>IFERROR(__xludf.DUMMYFUNCTION("""COMPUTED_VALUE"""),"")</f>
        <v/>
      </c>
      <c r="H17984" s="42">
        <f t="shared" si="1"/>
        <v>3345</v>
      </c>
    </row>
    <row r="17985" ht="22.5" customHeight="1">
      <c r="B17985" s="42" t="str">
        <f>IFERROR(__xludf.DUMMYFUNCTION("""COMPUTED_VALUE"""),"")</f>
        <v/>
      </c>
      <c r="C17985" s="42" t="str">
        <f>IFERROR(__xludf.DUMMYFUNCTION("""COMPUTED_VALUE"""),"")</f>
        <v/>
      </c>
      <c r="D17985" s="42"/>
      <c r="E17985" s="42"/>
      <c r="F17985" s="48" t="str">
        <f>IFERROR(__xludf.DUMMYFUNCTION("""COMPUTED_VALUE"""),"")</f>
        <v/>
      </c>
      <c r="G17985" s="42" t="str">
        <f>IFERROR(__xludf.DUMMYFUNCTION("""COMPUTED_VALUE"""),"")</f>
        <v/>
      </c>
      <c r="H17985" s="42">
        <f t="shared" si="1"/>
        <v>3345</v>
      </c>
    </row>
    <row r="17986" ht="22.5" customHeight="1">
      <c r="B17986" s="42" t="str">
        <f>IFERROR(__xludf.DUMMYFUNCTION("""COMPUTED_VALUE"""),"")</f>
        <v/>
      </c>
      <c r="C17986" s="42" t="str">
        <f>IFERROR(__xludf.DUMMYFUNCTION("""COMPUTED_VALUE"""),"")</f>
        <v/>
      </c>
      <c r="D17986" s="42"/>
      <c r="E17986" s="42"/>
      <c r="F17986" s="48" t="str">
        <f>IFERROR(__xludf.DUMMYFUNCTION("""COMPUTED_VALUE"""),"")</f>
        <v/>
      </c>
      <c r="G17986" s="42" t="str">
        <f>IFERROR(__xludf.DUMMYFUNCTION("""COMPUTED_VALUE"""),"")</f>
        <v/>
      </c>
      <c r="H17986" s="42">
        <f t="shared" si="1"/>
        <v>3345</v>
      </c>
    </row>
    <row r="17987" ht="22.5" customHeight="1">
      <c r="B17987" s="42" t="str">
        <f>IFERROR(__xludf.DUMMYFUNCTION("""COMPUTED_VALUE"""),"")</f>
        <v/>
      </c>
      <c r="C17987" s="42" t="str">
        <f>IFERROR(__xludf.DUMMYFUNCTION("""COMPUTED_VALUE"""),"")</f>
        <v/>
      </c>
      <c r="D17987" s="42"/>
      <c r="E17987" s="42"/>
      <c r="F17987" s="48" t="str">
        <f>IFERROR(__xludf.DUMMYFUNCTION("""COMPUTED_VALUE"""),"")</f>
        <v/>
      </c>
      <c r="G17987" s="42" t="str">
        <f>IFERROR(__xludf.DUMMYFUNCTION("""COMPUTED_VALUE"""),"")</f>
        <v/>
      </c>
      <c r="H17987" s="42">
        <f t="shared" si="1"/>
        <v>3345</v>
      </c>
    </row>
    <row r="17988" ht="22.5" customHeight="1">
      <c r="B17988" s="42" t="str">
        <f>IFERROR(__xludf.DUMMYFUNCTION("""COMPUTED_VALUE"""),"")</f>
        <v/>
      </c>
      <c r="C17988" s="42" t="str">
        <f>IFERROR(__xludf.DUMMYFUNCTION("""COMPUTED_VALUE"""),"")</f>
        <v/>
      </c>
      <c r="D17988" s="42"/>
      <c r="E17988" s="42"/>
      <c r="F17988" s="48" t="str">
        <f>IFERROR(__xludf.DUMMYFUNCTION("""COMPUTED_VALUE"""),"")</f>
        <v/>
      </c>
      <c r="G17988" s="42" t="str">
        <f>IFERROR(__xludf.DUMMYFUNCTION("""COMPUTED_VALUE"""),"")</f>
        <v/>
      </c>
      <c r="H17988" s="42">
        <f t="shared" si="1"/>
        <v>3345</v>
      </c>
    </row>
    <row r="17989" ht="22.5" customHeight="1">
      <c r="B17989" s="42" t="str">
        <f>IFERROR(__xludf.DUMMYFUNCTION("""COMPUTED_VALUE"""),"")</f>
        <v/>
      </c>
      <c r="C17989" s="42" t="str">
        <f>IFERROR(__xludf.DUMMYFUNCTION("""COMPUTED_VALUE"""),"")</f>
        <v/>
      </c>
      <c r="D17989" s="42"/>
      <c r="E17989" s="42"/>
      <c r="F17989" s="48" t="str">
        <f>IFERROR(__xludf.DUMMYFUNCTION("""COMPUTED_VALUE"""),"")</f>
        <v/>
      </c>
      <c r="G17989" s="42" t="str">
        <f>IFERROR(__xludf.DUMMYFUNCTION("""COMPUTED_VALUE"""),"")</f>
        <v/>
      </c>
      <c r="H17989" s="42">
        <f t="shared" si="1"/>
        <v>3345</v>
      </c>
    </row>
    <row r="17990" ht="22.5" customHeight="1">
      <c r="B17990" s="42" t="str">
        <f>IFERROR(__xludf.DUMMYFUNCTION("""COMPUTED_VALUE"""),"")</f>
        <v/>
      </c>
      <c r="C17990" s="42" t="str">
        <f>IFERROR(__xludf.DUMMYFUNCTION("""COMPUTED_VALUE"""),"")</f>
        <v/>
      </c>
      <c r="D17990" s="42"/>
      <c r="E17990" s="42"/>
      <c r="F17990" s="48" t="str">
        <f>IFERROR(__xludf.DUMMYFUNCTION("""COMPUTED_VALUE"""),"")</f>
        <v/>
      </c>
      <c r="G17990" s="42" t="str">
        <f>IFERROR(__xludf.DUMMYFUNCTION("""COMPUTED_VALUE"""),"")</f>
        <v/>
      </c>
      <c r="H17990" s="42">
        <f t="shared" si="1"/>
        <v>3345</v>
      </c>
    </row>
    <row r="17991" ht="22.5" customHeight="1">
      <c r="B17991" s="42" t="str">
        <f>IFERROR(__xludf.DUMMYFUNCTION("""COMPUTED_VALUE"""),"")</f>
        <v/>
      </c>
      <c r="C17991" s="42" t="str">
        <f>IFERROR(__xludf.DUMMYFUNCTION("""COMPUTED_VALUE"""),"")</f>
        <v/>
      </c>
      <c r="D17991" s="42"/>
      <c r="E17991" s="42"/>
      <c r="F17991" s="48" t="str">
        <f>IFERROR(__xludf.DUMMYFUNCTION("""COMPUTED_VALUE"""),"")</f>
        <v/>
      </c>
      <c r="G17991" s="42" t="str">
        <f>IFERROR(__xludf.DUMMYFUNCTION("""COMPUTED_VALUE"""),"")</f>
        <v/>
      </c>
      <c r="H17991" s="42">
        <f t="shared" si="1"/>
        <v>3345</v>
      </c>
    </row>
    <row r="17992" ht="22.5" customHeight="1">
      <c r="B17992" s="42" t="str">
        <f>IFERROR(__xludf.DUMMYFUNCTION("""COMPUTED_VALUE"""),"")</f>
        <v/>
      </c>
      <c r="C17992" s="42" t="str">
        <f>IFERROR(__xludf.DUMMYFUNCTION("""COMPUTED_VALUE"""),"")</f>
        <v/>
      </c>
      <c r="D17992" s="42"/>
      <c r="E17992" s="42"/>
      <c r="F17992" s="48" t="str">
        <f>IFERROR(__xludf.DUMMYFUNCTION("""COMPUTED_VALUE"""),"")</f>
        <v/>
      </c>
      <c r="G17992" s="42" t="str">
        <f>IFERROR(__xludf.DUMMYFUNCTION("""COMPUTED_VALUE"""),"")</f>
        <v/>
      </c>
      <c r="H17992" s="42">
        <f t="shared" si="1"/>
        <v>3345</v>
      </c>
    </row>
    <row r="17993" ht="22.5" customHeight="1">
      <c r="B17993" s="42" t="str">
        <f>IFERROR(__xludf.DUMMYFUNCTION("""COMPUTED_VALUE"""),"")</f>
        <v/>
      </c>
      <c r="C17993" s="42" t="str">
        <f>IFERROR(__xludf.DUMMYFUNCTION("""COMPUTED_VALUE"""),"")</f>
        <v/>
      </c>
      <c r="D17993" s="42"/>
      <c r="E17993" s="42"/>
      <c r="F17993" s="48" t="str">
        <f>IFERROR(__xludf.DUMMYFUNCTION("""COMPUTED_VALUE"""),"")</f>
        <v/>
      </c>
      <c r="G17993" s="42" t="str">
        <f>IFERROR(__xludf.DUMMYFUNCTION("""COMPUTED_VALUE"""),"")</f>
        <v/>
      </c>
      <c r="H17993" s="42">
        <f t="shared" si="1"/>
        <v>3345</v>
      </c>
    </row>
    <row r="17994" ht="22.5" customHeight="1">
      <c r="B17994" s="42" t="str">
        <f>IFERROR(__xludf.DUMMYFUNCTION("""COMPUTED_VALUE"""),"")</f>
        <v/>
      </c>
      <c r="C17994" s="42" t="str">
        <f>IFERROR(__xludf.DUMMYFUNCTION("""COMPUTED_VALUE"""),"")</f>
        <v/>
      </c>
      <c r="D17994" s="42"/>
      <c r="E17994" s="42"/>
      <c r="F17994" s="48" t="str">
        <f>IFERROR(__xludf.DUMMYFUNCTION("""COMPUTED_VALUE"""),"")</f>
        <v/>
      </c>
      <c r="G17994" s="42" t="str">
        <f>IFERROR(__xludf.DUMMYFUNCTION("""COMPUTED_VALUE"""),"")</f>
        <v/>
      </c>
      <c r="H17994" s="42">
        <f t="shared" si="1"/>
        <v>3345</v>
      </c>
    </row>
    <row r="17995" ht="22.5" customHeight="1">
      <c r="B17995" s="42" t="str">
        <f>IFERROR(__xludf.DUMMYFUNCTION("""COMPUTED_VALUE"""),"")</f>
        <v/>
      </c>
      <c r="C17995" s="42" t="str">
        <f>IFERROR(__xludf.DUMMYFUNCTION("""COMPUTED_VALUE"""),"")</f>
        <v/>
      </c>
      <c r="D17995" s="42"/>
      <c r="E17995" s="42"/>
      <c r="F17995" s="48" t="str">
        <f>IFERROR(__xludf.DUMMYFUNCTION("""COMPUTED_VALUE"""),"")</f>
        <v/>
      </c>
      <c r="G17995" s="42" t="str">
        <f>IFERROR(__xludf.DUMMYFUNCTION("""COMPUTED_VALUE"""),"")</f>
        <v/>
      </c>
      <c r="H17995" s="42">
        <f t="shared" si="1"/>
        <v>3345</v>
      </c>
    </row>
    <row r="17996" ht="22.5" customHeight="1">
      <c r="B17996" s="42" t="str">
        <f>IFERROR(__xludf.DUMMYFUNCTION("""COMPUTED_VALUE"""),"")</f>
        <v/>
      </c>
      <c r="C17996" s="42" t="str">
        <f>IFERROR(__xludf.DUMMYFUNCTION("""COMPUTED_VALUE"""),"")</f>
        <v/>
      </c>
      <c r="D17996" s="42"/>
      <c r="E17996" s="42"/>
      <c r="F17996" s="48" t="str">
        <f>IFERROR(__xludf.DUMMYFUNCTION("""COMPUTED_VALUE"""),"")</f>
        <v/>
      </c>
      <c r="G17996" s="42" t="str">
        <f>IFERROR(__xludf.DUMMYFUNCTION("""COMPUTED_VALUE"""),"")</f>
        <v/>
      </c>
      <c r="H17996" s="42">
        <f t="shared" si="1"/>
        <v>3345</v>
      </c>
    </row>
    <row r="17997" ht="22.5" customHeight="1">
      <c r="B17997" s="42" t="str">
        <f>IFERROR(__xludf.DUMMYFUNCTION("""COMPUTED_VALUE"""),"")</f>
        <v/>
      </c>
      <c r="C17997" s="42" t="str">
        <f>IFERROR(__xludf.DUMMYFUNCTION("""COMPUTED_VALUE"""),"")</f>
        <v/>
      </c>
      <c r="D17997" s="42"/>
      <c r="E17997" s="42"/>
      <c r="F17997" s="48" t="str">
        <f>IFERROR(__xludf.DUMMYFUNCTION("""COMPUTED_VALUE"""),"")</f>
        <v/>
      </c>
      <c r="G17997" s="42" t="str">
        <f>IFERROR(__xludf.DUMMYFUNCTION("""COMPUTED_VALUE"""),"")</f>
        <v/>
      </c>
      <c r="H17997" s="42">
        <f t="shared" si="1"/>
        <v>3345</v>
      </c>
    </row>
    <row r="17998" ht="22.5" customHeight="1">
      <c r="B17998" s="42" t="str">
        <f>IFERROR(__xludf.DUMMYFUNCTION("""COMPUTED_VALUE"""),"")</f>
        <v/>
      </c>
      <c r="C17998" s="42" t="str">
        <f>IFERROR(__xludf.DUMMYFUNCTION("""COMPUTED_VALUE"""),"")</f>
        <v/>
      </c>
      <c r="D17998" s="42"/>
      <c r="E17998" s="42"/>
      <c r="F17998" s="48" t="str">
        <f>IFERROR(__xludf.DUMMYFUNCTION("""COMPUTED_VALUE"""),"")</f>
        <v/>
      </c>
      <c r="G17998" s="42" t="str">
        <f>IFERROR(__xludf.DUMMYFUNCTION("""COMPUTED_VALUE"""),"")</f>
        <v/>
      </c>
      <c r="H17998" s="42">
        <f t="shared" si="1"/>
        <v>3345</v>
      </c>
    </row>
    <row r="17999" ht="22.5" customHeight="1">
      <c r="B17999" s="42" t="str">
        <f>IFERROR(__xludf.DUMMYFUNCTION("""COMPUTED_VALUE"""),"")</f>
        <v/>
      </c>
      <c r="C17999" s="42" t="str">
        <f>IFERROR(__xludf.DUMMYFUNCTION("""COMPUTED_VALUE"""),"")</f>
        <v/>
      </c>
      <c r="D17999" s="42"/>
      <c r="E17999" s="42"/>
      <c r="F17999" s="48" t="str">
        <f>IFERROR(__xludf.DUMMYFUNCTION("""COMPUTED_VALUE"""),"")</f>
        <v/>
      </c>
      <c r="G17999" s="42" t="str">
        <f>IFERROR(__xludf.DUMMYFUNCTION("""COMPUTED_VALUE"""),"")</f>
        <v/>
      </c>
      <c r="H17999" s="42">
        <f t="shared" si="1"/>
        <v>3345</v>
      </c>
    </row>
    <row r="18000" ht="22.5" customHeight="1">
      <c r="B18000" s="42" t="str">
        <f>IFERROR(__xludf.DUMMYFUNCTION("""COMPUTED_VALUE"""),"")</f>
        <v/>
      </c>
      <c r="C18000" s="42" t="str">
        <f>IFERROR(__xludf.DUMMYFUNCTION("""COMPUTED_VALUE"""),"")</f>
        <v/>
      </c>
      <c r="D18000" s="42"/>
      <c r="E18000" s="42"/>
      <c r="F18000" s="48" t="str">
        <f>IFERROR(__xludf.DUMMYFUNCTION("""COMPUTED_VALUE"""),"")</f>
        <v/>
      </c>
      <c r="G18000" s="42" t="str">
        <f>IFERROR(__xludf.DUMMYFUNCTION("""COMPUTED_VALUE"""),"")</f>
        <v/>
      </c>
      <c r="H18000" s="42">
        <f t="shared" si="1"/>
        <v>3345</v>
      </c>
    </row>
    <row r="18001" ht="22.5" customHeight="1">
      <c r="B18001" s="42" t="str">
        <f>IFERROR(__xludf.DUMMYFUNCTION("""COMPUTED_VALUE"""),"")</f>
        <v/>
      </c>
      <c r="C18001" s="42" t="str">
        <f>IFERROR(__xludf.DUMMYFUNCTION("""COMPUTED_VALUE"""),"")</f>
        <v/>
      </c>
      <c r="D18001" s="42"/>
      <c r="E18001" s="42"/>
      <c r="F18001" s="48" t="str">
        <f>IFERROR(__xludf.DUMMYFUNCTION("""COMPUTED_VALUE"""),"")</f>
        <v/>
      </c>
      <c r="G18001" s="42" t="str">
        <f>IFERROR(__xludf.DUMMYFUNCTION("""COMPUTED_VALUE"""),"")</f>
        <v/>
      </c>
      <c r="H18001" s="42">
        <f t="shared" si="1"/>
        <v>3345</v>
      </c>
    </row>
    <row r="18002" ht="22.5" customHeight="1">
      <c r="B18002" s="42" t="str">
        <f>IFERROR(__xludf.DUMMYFUNCTION("""COMPUTED_VALUE"""),"")</f>
        <v/>
      </c>
      <c r="C18002" s="42" t="str">
        <f>IFERROR(__xludf.DUMMYFUNCTION("""COMPUTED_VALUE"""),"")</f>
        <v/>
      </c>
      <c r="D18002" s="42"/>
      <c r="E18002" s="42"/>
      <c r="F18002" s="48" t="str">
        <f>IFERROR(__xludf.DUMMYFUNCTION("""COMPUTED_VALUE"""),"")</f>
        <v/>
      </c>
      <c r="G18002" s="42" t="str">
        <f>IFERROR(__xludf.DUMMYFUNCTION("""COMPUTED_VALUE"""),"")</f>
        <v/>
      </c>
      <c r="H18002" s="42">
        <f t="shared" si="1"/>
        <v>3345</v>
      </c>
    </row>
    <row r="18003" ht="22.5" customHeight="1">
      <c r="B18003" s="42" t="str">
        <f>IFERROR(__xludf.DUMMYFUNCTION("""COMPUTED_VALUE"""),"")</f>
        <v/>
      </c>
      <c r="C18003" s="42" t="str">
        <f>IFERROR(__xludf.DUMMYFUNCTION("""COMPUTED_VALUE"""),"")</f>
        <v/>
      </c>
      <c r="D18003" s="42"/>
      <c r="E18003" s="42"/>
      <c r="F18003" s="48" t="str">
        <f>IFERROR(__xludf.DUMMYFUNCTION("""COMPUTED_VALUE"""),"")</f>
        <v/>
      </c>
      <c r="G18003" s="42" t="str">
        <f>IFERROR(__xludf.DUMMYFUNCTION("""COMPUTED_VALUE"""),"")</f>
        <v/>
      </c>
      <c r="H18003" s="42">
        <f t="shared" si="1"/>
        <v>3345</v>
      </c>
    </row>
    <row r="18004" ht="22.5" customHeight="1">
      <c r="B18004" s="42" t="str">
        <f>IFERROR(__xludf.DUMMYFUNCTION("""COMPUTED_VALUE"""),"")</f>
        <v/>
      </c>
      <c r="C18004" s="42" t="str">
        <f>IFERROR(__xludf.DUMMYFUNCTION("""COMPUTED_VALUE"""),"")</f>
        <v/>
      </c>
      <c r="D18004" s="42"/>
      <c r="E18004" s="42"/>
      <c r="F18004" s="48" t="str">
        <f>IFERROR(__xludf.DUMMYFUNCTION("""COMPUTED_VALUE"""),"")</f>
        <v/>
      </c>
      <c r="G18004" s="42" t="str">
        <f>IFERROR(__xludf.DUMMYFUNCTION("""COMPUTED_VALUE"""),"")</f>
        <v/>
      </c>
      <c r="H18004" s="42">
        <f t="shared" si="1"/>
        <v>3345</v>
      </c>
    </row>
    <row r="18005" ht="22.5" customHeight="1">
      <c r="B18005" s="42" t="str">
        <f>IFERROR(__xludf.DUMMYFUNCTION("""COMPUTED_VALUE"""),"")</f>
        <v/>
      </c>
      <c r="C18005" s="42" t="str">
        <f>IFERROR(__xludf.DUMMYFUNCTION("""COMPUTED_VALUE"""),"")</f>
        <v/>
      </c>
      <c r="D18005" s="42"/>
      <c r="E18005" s="42"/>
      <c r="F18005" s="48" t="str">
        <f>IFERROR(__xludf.DUMMYFUNCTION("""COMPUTED_VALUE"""),"")</f>
        <v/>
      </c>
      <c r="G18005" s="42" t="str">
        <f>IFERROR(__xludf.DUMMYFUNCTION("""COMPUTED_VALUE"""),"")</f>
        <v/>
      </c>
      <c r="H18005" s="42">
        <f t="shared" si="1"/>
        <v>3345</v>
      </c>
    </row>
    <row r="18006" ht="22.5" customHeight="1">
      <c r="B18006" s="42" t="str">
        <f>IFERROR(__xludf.DUMMYFUNCTION("""COMPUTED_VALUE"""),"")</f>
        <v/>
      </c>
      <c r="C18006" s="42" t="str">
        <f>IFERROR(__xludf.DUMMYFUNCTION("""COMPUTED_VALUE"""),"")</f>
        <v/>
      </c>
      <c r="D18006" s="42"/>
      <c r="E18006" s="42"/>
      <c r="F18006" s="48" t="str">
        <f>IFERROR(__xludf.DUMMYFUNCTION("""COMPUTED_VALUE"""),"")</f>
        <v/>
      </c>
      <c r="G18006" s="42" t="str">
        <f>IFERROR(__xludf.DUMMYFUNCTION("""COMPUTED_VALUE"""),"")</f>
        <v/>
      </c>
      <c r="H18006" s="42">
        <f t="shared" si="1"/>
        <v>3345</v>
      </c>
    </row>
    <row r="18007" ht="22.5" customHeight="1">
      <c r="B18007" s="42" t="str">
        <f>IFERROR(__xludf.DUMMYFUNCTION("""COMPUTED_VALUE"""),"")</f>
        <v/>
      </c>
      <c r="C18007" s="42" t="str">
        <f>IFERROR(__xludf.DUMMYFUNCTION("""COMPUTED_VALUE"""),"")</f>
        <v/>
      </c>
      <c r="D18007" s="42"/>
      <c r="E18007" s="42"/>
      <c r="F18007" s="48" t="str">
        <f>IFERROR(__xludf.DUMMYFUNCTION("""COMPUTED_VALUE"""),"")</f>
        <v/>
      </c>
      <c r="G18007" s="42" t="str">
        <f>IFERROR(__xludf.DUMMYFUNCTION("""COMPUTED_VALUE"""),"")</f>
        <v/>
      </c>
      <c r="H18007" s="42">
        <f t="shared" si="1"/>
        <v>3345</v>
      </c>
    </row>
    <row r="18008" ht="22.5" customHeight="1">
      <c r="B18008" s="42" t="str">
        <f>IFERROR(__xludf.DUMMYFUNCTION("""COMPUTED_VALUE"""),"")</f>
        <v/>
      </c>
      <c r="C18008" s="42" t="str">
        <f>IFERROR(__xludf.DUMMYFUNCTION("""COMPUTED_VALUE"""),"")</f>
        <v/>
      </c>
      <c r="D18008" s="42"/>
      <c r="E18008" s="42"/>
      <c r="F18008" s="48" t="str">
        <f>IFERROR(__xludf.DUMMYFUNCTION("""COMPUTED_VALUE"""),"")</f>
        <v/>
      </c>
      <c r="G18008" s="42" t="str">
        <f>IFERROR(__xludf.DUMMYFUNCTION("""COMPUTED_VALUE"""),"")</f>
        <v/>
      </c>
      <c r="H18008" s="42">
        <f t="shared" si="1"/>
        <v>3345</v>
      </c>
    </row>
    <row r="18009" ht="22.5" customHeight="1">
      <c r="B18009" s="42" t="str">
        <f>IFERROR(__xludf.DUMMYFUNCTION("""COMPUTED_VALUE"""),"")</f>
        <v/>
      </c>
      <c r="C18009" s="42" t="str">
        <f>IFERROR(__xludf.DUMMYFUNCTION("""COMPUTED_VALUE"""),"")</f>
        <v/>
      </c>
      <c r="D18009" s="42"/>
      <c r="E18009" s="42"/>
      <c r="F18009" s="48" t="str">
        <f>IFERROR(__xludf.DUMMYFUNCTION("""COMPUTED_VALUE"""),"")</f>
        <v/>
      </c>
      <c r="G18009" s="42" t="str">
        <f>IFERROR(__xludf.DUMMYFUNCTION("""COMPUTED_VALUE"""),"")</f>
        <v/>
      </c>
      <c r="H18009" s="42">
        <f t="shared" si="1"/>
        <v>3345</v>
      </c>
    </row>
    <row r="18010" ht="22.5" customHeight="1">
      <c r="B18010" s="42" t="str">
        <f>IFERROR(__xludf.DUMMYFUNCTION("""COMPUTED_VALUE"""),"")</f>
        <v/>
      </c>
      <c r="C18010" s="42" t="str">
        <f>IFERROR(__xludf.DUMMYFUNCTION("""COMPUTED_VALUE"""),"")</f>
        <v/>
      </c>
      <c r="D18010" s="42"/>
      <c r="E18010" s="42"/>
      <c r="F18010" s="48" t="str">
        <f>IFERROR(__xludf.DUMMYFUNCTION("""COMPUTED_VALUE"""),"")</f>
        <v/>
      </c>
      <c r="G18010" s="42" t="str">
        <f>IFERROR(__xludf.DUMMYFUNCTION("""COMPUTED_VALUE"""),"")</f>
        <v/>
      </c>
      <c r="H18010" s="42">
        <f t="shared" si="1"/>
        <v>3345</v>
      </c>
    </row>
    <row r="18011" ht="22.5" customHeight="1">
      <c r="B18011" s="42" t="str">
        <f>IFERROR(__xludf.DUMMYFUNCTION("""COMPUTED_VALUE"""),"")</f>
        <v/>
      </c>
      <c r="C18011" s="42" t="str">
        <f>IFERROR(__xludf.DUMMYFUNCTION("""COMPUTED_VALUE"""),"")</f>
        <v/>
      </c>
      <c r="D18011" s="42"/>
      <c r="E18011" s="42"/>
      <c r="F18011" s="48" t="str">
        <f>IFERROR(__xludf.DUMMYFUNCTION("""COMPUTED_VALUE"""),"")</f>
        <v/>
      </c>
      <c r="G18011" s="42" t="str">
        <f>IFERROR(__xludf.DUMMYFUNCTION("""COMPUTED_VALUE"""),"")</f>
        <v/>
      </c>
      <c r="H18011" s="42">
        <f t="shared" si="1"/>
        <v>3345</v>
      </c>
    </row>
    <row r="18012" ht="22.5" customHeight="1">
      <c r="B18012" s="42" t="str">
        <f>IFERROR(__xludf.DUMMYFUNCTION("""COMPUTED_VALUE"""),"")</f>
        <v/>
      </c>
      <c r="C18012" s="42" t="str">
        <f>IFERROR(__xludf.DUMMYFUNCTION("""COMPUTED_VALUE"""),"")</f>
        <v/>
      </c>
      <c r="D18012" s="42"/>
      <c r="E18012" s="42"/>
      <c r="F18012" s="48" t="str">
        <f>IFERROR(__xludf.DUMMYFUNCTION("""COMPUTED_VALUE"""),"")</f>
        <v/>
      </c>
      <c r="G18012" s="42" t="str">
        <f>IFERROR(__xludf.DUMMYFUNCTION("""COMPUTED_VALUE"""),"")</f>
        <v/>
      </c>
      <c r="H18012" s="42">
        <f t="shared" si="1"/>
        <v>3345</v>
      </c>
    </row>
    <row r="18013" ht="22.5" customHeight="1">
      <c r="B18013" s="42" t="str">
        <f>IFERROR(__xludf.DUMMYFUNCTION("""COMPUTED_VALUE"""),"")</f>
        <v/>
      </c>
      <c r="C18013" s="42" t="str">
        <f>IFERROR(__xludf.DUMMYFUNCTION("""COMPUTED_VALUE"""),"")</f>
        <v/>
      </c>
      <c r="D18013" s="42"/>
      <c r="E18013" s="42"/>
      <c r="F18013" s="48" t="str">
        <f>IFERROR(__xludf.DUMMYFUNCTION("""COMPUTED_VALUE"""),"")</f>
        <v/>
      </c>
      <c r="G18013" s="42" t="str">
        <f>IFERROR(__xludf.DUMMYFUNCTION("""COMPUTED_VALUE"""),"")</f>
        <v/>
      </c>
      <c r="H18013" s="42">
        <f t="shared" si="1"/>
        <v>3345</v>
      </c>
    </row>
    <row r="18014" ht="22.5" customHeight="1">
      <c r="B18014" s="42" t="str">
        <f>IFERROR(__xludf.DUMMYFUNCTION("""COMPUTED_VALUE"""),"")</f>
        <v/>
      </c>
      <c r="C18014" s="42" t="str">
        <f>IFERROR(__xludf.DUMMYFUNCTION("""COMPUTED_VALUE"""),"")</f>
        <v/>
      </c>
      <c r="D18014" s="42"/>
      <c r="E18014" s="42"/>
      <c r="F18014" s="48" t="str">
        <f>IFERROR(__xludf.DUMMYFUNCTION("""COMPUTED_VALUE"""),"")</f>
        <v/>
      </c>
      <c r="G18014" s="42" t="str">
        <f>IFERROR(__xludf.DUMMYFUNCTION("""COMPUTED_VALUE"""),"")</f>
        <v/>
      </c>
      <c r="H18014" s="42">
        <f t="shared" si="1"/>
        <v>3345</v>
      </c>
    </row>
    <row r="18015" ht="22.5" customHeight="1">
      <c r="B18015" s="42" t="str">
        <f>IFERROR(__xludf.DUMMYFUNCTION("""COMPUTED_VALUE"""),"")</f>
        <v/>
      </c>
      <c r="C18015" s="42" t="str">
        <f>IFERROR(__xludf.DUMMYFUNCTION("""COMPUTED_VALUE"""),"")</f>
        <v/>
      </c>
      <c r="D18015" s="42"/>
      <c r="E18015" s="42"/>
      <c r="F18015" s="48" t="str">
        <f>IFERROR(__xludf.DUMMYFUNCTION("""COMPUTED_VALUE"""),"")</f>
        <v/>
      </c>
      <c r="G18015" s="42" t="str">
        <f>IFERROR(__xludf.DUMMYFUNCTION("""COMPUTED_VALUE"""),"")</f>
        <v/>
      </c>
      <c r="H18015" s="42">
        <f t="shared" si="1"/>
        <v>3345</v>
      </c>
    </row>
    <row r="18016" ht="22.5" customHeight="1">
      <c r="B18016" s="42" t="str">
        <f>IFERROR(__xludf.DUMMYFUNCTION("""COMPUTED_VALUE"""),"")</f>
        <v/>
      </c>
      <c r="C18016" s="42" t="str">
        <f>IFERROR(__xludf.DUMMYFUNCTION("""COMPUTED_VALUE"""),"")</f>
        <v/>
      </c>
      <c r="D18016" s="42"/>
      <c r="E18016" s="42"/>
      <c r="F18016" s="48" t="str">
        <f>IFERROR(__xludf.DUMMYFUNCTION("""COMPUTED_VALUE"""),"")</f>
        <v/>
      </c>
      <c r="G18016" s="42" t="str">
        <f>IFERROR(__xludf.DUMMYFUNCTION("""COMPUTED_VALUE"""),"")</f>
        <v/>
      </c>
      <c r="H18016" s="42">
        <f t="shared" si="1"/>
        <v>3345</v>
      </c>
    </row>
    <row r="18017" ht="22.5" customHeight="1">
      <c r="B18017" s="42" t="str">
        <f>IFERROR(__xludf.DUMMYFUNCTION("""COMPUTED_VALUE"""),"")</f>
        <v/>
      </c>
      <c r="C18017" s="42" t="str">
        <f>IFERROR(__xludf.DUMMYFUNCTION("""COMPUTED_VALUE"""),"")</f>
        <v/>
      </c>
      <c r="D18017" s="42"/>
      <c r="E18017" s="42"/>
      <c r="F18017" s="48" t="str">
        <f>IFERROR(__xludf.DUMMYFUNCTION("""COMPUTED_VALUE"""),"")</f>
        <v/>
      </c>
      <c r="G18017" s="42" t="str">
        <f>IFERROR(__xludf.DUMMYFUNCTION("""COMPUTED_VALUE"""),"")</f>
        <v/>
      </c>
      <c r="H18017" s="42">
        <f t="shared" si="1"/>
        <v>3345</v>
      </c>
    </row>
    <row r="18018" ht="22.5" customHeight="1">
      <c r="B18018" s="42" t="str">
        <f>IFERROR(__xludf.DUMMYFUNCTION("""COMPUTED_VALUE"""),"")</f>
        <v/>
      </c>
      <c r="C18018" s="42" t="str">
        <f>IFERROR(__xludf.DUMMYFUNCTION("""COMPUTED_VALUE"""),"")</f>
        <v/>
      </c>
      <c r="D18018" s="42"/>
      <c r="E18018" s="42"/>
      <c r="F18018" s="48" t="str">
        <f>IFERROR(__xludf.DUMMYFUNCTION("""COMPUTED_VALUE"""),"")</f>
        <v/>
      </c>
      <c r="G18018" s="42" t="str">
        <f>IFERROR(__xludf.DUMMYFUNCTION("""COMPUTED_VALUE"""),"")</f>
        <v/>
      </c>
      <c r="H18018" s="42">
        <f t="shared" si="1"/>
        <v>3345</v>
      </c>
    </row>
    <row r="18019" ht="22.5" customHeight="1">
      <c r="B18019" s="42" t="str">
        <f>IFERROR(__xludf.DUMMYFUNCTION("""COMPUTED_VALUE"""),"")</f>
        <v/>
      </c>
      <c r="C18019" s="42" t="str">
        <f>IFERROR(__xludf.DUMMYFUNCTION("""COMPUTED_VALUE"""),"")</f>
        <v/>
      </c>
      <c r="D18019" s="42"/>
      <c r="E18019" s="42"/>
      <c r="F18019" s="48" t="str">
        <f>IFERROR(__xludf.DUMMYFUNCTION("""COMPUTED_VALUE"""),"")</f>
        <v/>
      </c>
      <c r="G18019" s="42" t="str">
        <f>IFERROR(__xludf.DUMMYFUNCTION("""COMPUTED_VALUE"""),"")</f>
        <v/>
      </c>
      <c r="H18019" s="42">
        <f t="shared" si="1"/>
        <v>3345</v>
      </c>
    </row>
    <row r="18020" ht="22.5" customHeight="1">
      <c r="B18020" s="42" t="str">
        <f>IFERROR(__xludf.DUMMYFUNCTION("""COMPUTED_VALUE"""),"")</f>
        <v/>
      </c>
      <c r="C18020" s="42" t="str">
        <f>IFERROR(__xludf.DUMMYFUNCTION("""COMPUTED_VALUE"""),"")</f>
        <v/>
      </c>
      <c r="D18020" s="42"/>
      <c r="E18020" s="42"/>
      <c r="F18020" s="48" t="str">
        <f>IFERROR(__xludf.DUMMYFUNCTION("""COMPUTED_VALUE"""),"")</f>
        <v/>
      </c>
      <c r="G18020" s="42" t="str">
        <f>IFERROR(__xludf.DUMMYFUNCTION("""COMPUTED_VALUE"""),"")</f>
        <v/>
      </c>
      <c r="H18020" s="42">
        <f t="shared" si="1"/>
        <v>3345</v>
      </c>
    </row>
    <row r="18021" ht="22.5" customHeight="1">
      <c r="B18021" s="42" t="str">
        <f>IFERROR(__xludf.DUMMYFUNCTION("""COMPUTED_VALUE"""),"")</f>
        <v/>
      </c>
      <c r="C18021" s="42" t="str">
        <f>IFERROR(__xludf.DUMMYFUNCTION("""COMPUTED_VALUE"""),"")</f>
        <v/>
      </c>
      <c r="D18021" s="42"/>
      <c r="E18021" s="42"/>
      <c r="F18021" s="48" t="str">
        <f>IFERROR(__xludf.DUMMYFUNCTION("""COMPUTED_VALUE"""),"")</f>
        <v/>
      </c>
      <c r="G18021" s="42" t="str">
        <f>IFERROR(__xludf.DUMMYFUNCTION("""COMPUTED_VALUE"""),"")</f>
        <v/>
      </c>
      <c r="H18021" s="42">
        <f t="shared" si="1"/>
        <v>3345</v>
      </c>
    </row>
    <row r="18022" ht="22.5" customHeight="1">
      <c r="B18022" s="42" t="str">
        <f>IFERROR(__xludf.DUMMYFUNCTION("""COMPUTED_VALUE"""),"")</f>
        <v/>
      </c>
      <c r="C18022" s="42" t="str">
        <f>IFERROR(__xludf.DUMMYFUNCTION("""COMPUTED_VALUE"""),"")</f>
        <v/>
      </c>
      <c r="D18022" s="42"/>
      <c r="E18022" s="42"/>
      <c r="F18022" s="48" t="str">
        <f>IFERROR(__xludf.DUMMYFUNCTION("""COMPUTED_VALUE"""),"")</f>
        <v/>
      </c>
      <c r="G18022" s="42" t="str">
        <f>IFERROR(__xludf.DUMMYFUNCTION("""COMPUTED_VALUE"""),"")</f>
        <v/>
      </c>
      <c r="H18022" s="42">
        <f t="shared" si="1"/>
        <v>3345</v>
      </c>
    </row>
    <row r="18023" ht="22.5" customHeight="1">
      <c r="B18023" s="42" t="str">
        <f>IFERROR(__xludf.DUMMYFUNCTION("""COMPUTED_VALUE"""),"")</f>
        <v/>
      </c>
      <c r="C18023" s="42" t="str">
        <f>IFERROR(__xludf.DUMMYFUNCTION("""COMPUTED_VALUE"""),"")</f>
        <v/>
      </c>
      <c r="D18023" s="42"/>
      <c r="E18023" s="42"/>
      <c r="F18023" s="48" t="str">
        <f>IFERROR(__xludf.DUMMYFUNCTION("""COMPUTED_VALUE"""),"")</f>
        <v/>
      </c>
      <c r="G18023" s="42" t="str">
        <f>IFERROR(__xludf.DUMMYFUNCTION("""COMPUTED_VALUE"""),"")</f>
        <v/>
      </c>
      <c r="H18023" s="42">
        <f t="shared" si="1"/>
        <v>3345</v>
      </c>
    </row>
    <row r="18024" ht="22.5" customHeight="1">
      <c r="B18024" s="42" t="str">
        <f>IFERROR(__xludf.DUMMYFUNCTION("""COMPUTED_VALUE"""),"")</f>
        <v/>
      </c>
      <c r="C18024" s="42" t="str">
        <f>IFERROR(__xludf.DUMMYFUNCTION("""COMPUTED_VALUE"""),"")</f>
        <v/>
      </c>
      <c r="D18024" s="42"/>
      <c r="E18024" s="42"/>
      <c r="F18024" s="48" t="str">
        <f>IFERROR(__xludf.DUMMYFUNCTION("""COMPUTED_VALUE"""),"")</f>
        <v/>
      </c>
      <c r="G18024" s="42" t="str">
        <f>IFERROR(__xludf.DUMMYFUNCTION("""COMPUTED_VALUE"""),"")</f>
        <v/>
      </c>
      <c r="H18024" s="42">
        <f t="shared" si="1"/>
        <v>3345</v>
      </c>
    </row>
    <row r="18025" ht="22.5" customHeight="1">
      <c r="B18025" s="42" t="str">
        <f>IFERROR(__xludf.DUMMYFUNCTION("""COMPUTED_VALUE"""),"")</f>
        <v/>
      </c>
      <c r="C18025" s="42" t="str">
        <f>IFERROR(__xludf.DUMMYFUNCTION("""COMPUTED_VALUE"""),"")</f>
        <v/>
      </c>
      <c r="D18025" s="42"/>
      <c r="E18025" s="42"/>
      <c r="F18025" s="48" t="str">
        <f>IFERROR(__xludf.DUMMYFUNCTION("""COMPUTED_VALUE"""),"")</f>
        <v/>
      </c>
      <c r="G18025" s="42" t="str">
        <f>IFERROR(__xludf.DUMMYFUNCTION("""COMPUTED_VALUE"""),"")</f>
        <v/>
      </c>
      <c r="H18025" s="42">
        <f t="shared" si="1"/>
        <v>3345</v>
      </c>
    </row>
    <row r="18026" ht="22.5" customHeight="1">
      <c r="B18026" s="42" t="str">
        <f>IFERROR(__xludf.DUMMYFUNCTION("""COMPUTED_VALUE"""),"")</f>
        <v/>
      </c>
      <c r="C18026" s="42" t="str">
        <f>IFERROR(__xludf.DUMMYFUNCTION("""COMPUTED_VALUE"""),"")</f>
        <v/>
      </c>
      <c r="D18026" s="42"/>
      <c r="E18026" s="42"/>
      <c r="F18026" s="48" t="str">
        <f>IFERROR(__xludf.DUMMYFUNCTION("""COMPUTED_VALUE"""),"")</f>
        <v/>
      </c>
      <c r="G18026" s="42" t="str">
        <f>IFERROR(__xludf.DUMMYFUNCTION("""COMPUTED_VALUE"""),"")</f>
        <v/>
      </c>
      <c r="H18026" s="42">
        <f t="shared" si="1"/>
        <v>3345</v>
      </c>
    </row>
    <row r="18027" ht="22.5" customHeight="1">
      <c r="B18027" s="42" t="str">
        <f>IFERROR(__xludf.DUMMYFUNCTION("""COMPUTED_VALUE"""),"")</f>
        <v/>
      </c>
      <c r="C18027" s="42" t="str">
        <f>IFERROR(__xludf.DUMMYFUNCTION("""COMPUTED_VALUE"""),"")</f>
        <v/>
      </c>
      <c r="D18027" s="42"/>
      <c r="E18027" s="42"/>
      <c r="F18027" s="48" t="str">
        <f>IFERROR(__xludf.DUMMYFUNCTION("""COMPUTED_VALUE"""),"")</f>
        <v/>
      </c>
      <c r="G18027" s="42" t="str">
        <f>IFERROR(__xludf.DUMMYFUNCTION("""COMPUTED_VALUE"""),"")</f>
        <v/>
      </c>
      <c r="H18027" s="42">
        <f t="shared" si="1"/>
        <v>3345</v>
      </c>
    </row>
    <row r="18028" ht="22.5" customHeight="1">
      <c r="B18028" s="42" t="str">
        <f>IFERROR(__xludf.DUMMYFUNCTION("""COMPUTED_VALUE"""),"")</f>
        <v/>
      </c>
      <c r="C18028" s="42" t="str">
        <f>IFERROR(__xludf.DUMMYFUNCTION("""COMPUTED_VALUE"""),"")</f>
        <v/>
      </c>
      <c r="D18028" s="42"/>
      <c r="E18028" s="42"/>
      <c r="F18028" s="48" t="str">
        <f>IFERROR(__xludf.DUMMYFUNCTION("""COMPUTED_VALUE"""),"")</f>
        <v/>
      </c>
      <c r="G18028" s="42" t="str">
        <f>IFERROR(__xludf.DUMMYFUNCTION("""COMPUTED_VALUE"""),"")</f>
        <v/>
      </c>
      <c r="H18028" s="42">
        <f t="shared" si="1"/>
        <v>3345</v>
      </c>
    </row>
    <row r="18029" ht="22.5" customHeight="1">
      <c r="B18029" s="42" t="str">
        <f>IFERROR(__xludf.DUMMYFUNCTION("""COMPUTED_VALUE"""),"")</f>
        <v/>
      </c>
      <c r="C18029" s="42" t="str">
        <f>IFERROR(__xludf.DUMMYFUNCTION("""COMPUTED_VALUE"""),"")</f>
        <v/>
      </c>
      <c r="D18029" s="42"/>
      <c r="E18029" s="42"/>
      <c r="F18029" s="48" t="str">
        <f>IFERROR(__xludf.DUMMYFUNCTION("""COMPUTED_VALUE"""),"")</f>
        <v/>
      </c>
      <c r="G18029" s="42" t="str">
        <f>IFERROR(__xludf.DUMMYFUNCTION("""COMPUTED_VALUE"""),"")</f>
        <v/>
      </c>
      <c r="H18029" s="42">
        <f t="shared" si="1"/>
        <v>3345</v>
      </c>
    </row>
    <row r="18030" ht="22.5" customHeight="1">
      <c r="B18030" s="42" t="str">
        <f>IFERROR(__xludf.DUMMYFUNCTION("""COMPUTED_VALUE"""),"")</f>
        <v/>
      </c>
      <c r="C18030" s="42" t="str">
        <f>IFERROR(__xludf.DUMMYFUNCTION("""COMPUTED_VALUE"""),"")</f>
        <v/>
      </c>
      <c r="D18030" s="42"/>
      <c r="E18030" s="42"/>
      <c r="F18030" s="48" t="str">
        <f>IFERROR(__xludf.DUMMYFUNCTION("""COMPUTED_VALUE"""),"")</f>
        <v/>
      </c>
      <c r="G18030" s="42" t="str">
        <f>IFERROR(__xludf.DUMMYFUNCTION("""COMPUTED_VALUE"""),"")</f>
        <v/>
      </c>
      <c r="H18030" s="42">
        <f t="shared" si="1"/>
        <v>3345</v>
      </c>
    </row>
    <row r="18031" ht="22.5" customHeight="1">
      <c r="B18031" s="42" t="str">
        <f>IFERROR(__xludf.DUMMYFUNCTION("""COMPUTED_VALUE"""),"")</f>
        <v/>
      </c>
      <c r="C18031" s="42" t="str">
        <f>IFERROR(__xludf.DUMMYFUNCTION("""COMPUTED_VALUE"""),"")</f>
        <v/>
      </c>
      <c r="D18031" s="42"/>
      <c r="E18031" s="42"/>
      <c r="F18031" s="48" t="str">
        <f>IFERROR(__xludf.DUMMYFUNCTION("""COMPUTED_VALUE"""),"")</f>
        <v/>
      </c>
      <c r="G18031" s="42" t="str">
        <f>IFERROR(__xludf.DUMMYFUNCTION("""COMPUTED_VALUE"""),"")</f>
        <v/>
      </c>
      <c r="H18031" s="42">
        <f t="shared" si="1"/>
        <v>3345</v>
      </c>
    </row>
    <row r="18032" ht="22.5" customHeight="1">
      <c r="B18032" s="42" t="str">
        <f>IFERROR(__xludf.DUMMYFUNCTION("""COMPUTED_VALUE"""),"")</f>
        <v/>
      </c>
      <c r="C18032" s="42" t="str">
        <f>IFERROR(__xludf.DUMMYFUNCTION("""COMPUTED_VALUE"""),"")</f>
        <v/>
      </c>
      <c r="D18032" s="42"/>
      <c r="E18032" s="42"/>
      <c r="F18032" s="48" t="str">
        <f>IFERROR(__xludf.DUMMYFUNCTION("""COMPUTED_VALUE"""),"")</f>
        <v/>
      </c>
      <c r="G18032" s="42" t="str">
        <f>IFERROR(__xludf.DUMMYFUNCTION("""COMPUTED_VALUE"""),"")</f>
        <v/>
      </c>
      <c r="H18032" s="42">
        <f t="shared" si="1"/>
        <v>3345</v>
      </c>
    </row>
    <row r="18033" ht="22.5" customHeight="1">
      <c r="B18033" s="42" t="str">
        <f>IFERROR(__xludf.DUMMYFUNCTION("""COMPUTED_VALUE"""),"")</f>
        <v/>
      </c>
      <c r="C18033" s="42" t="str">
        <f>IFERROR(__xludf.DUMMYFUNCTION("""COMPUTED_VALUE"""),"")</f>
        <v/>
      </c>
      <c r="D18033" s="42"/>
      <c r="E18033" s="42"/>
      <c r="F18033" s="48" t="str">
        <f>IFERROR(__xludf.DUMMYFUNCTION("""COMPUTED_VALUE"""),"")</f>
        <v/>
      </c>
      <c r="G18033" s="42" t="str">
        <f>IFERROR(__xludf.DUMMYFUNCTION("""COMPUTED_VALUE"""),"")</f>
        <v/>
      </c>
      <c r="H18033" s="42">
        <f t="shared" si="1"/>
        <v>3345</v>
      </c>
    </row>
    <row r="18034" ht="22.5" customHeight="1">
      <c r="B18034" s="42" t="str">
        <f>IFERROR(__xludf.DUMMYFUNCTION("""COMPUTED_VALUE"""),"")</f>
        <v/>
      </c>
      <c r="C18034" s="42" t="str">
        <f>IFERROR(__xludf.DUMMYFUNCTION("""COMPUTED_VALUE"""),"")</f>
        <v/>
      </c>
      <c r="D18034" s="42"/>
      <c r="E18034" s="42"/>
      <c r="F18034" s="48" t="str">
        <f>IFERROR(__xludf.DUMMYFUNCTION("""COMPUTED_VALUE"""),"")</f>
        <v/>
      </c>
      <c r="G18034" s="42" t="str">
        <f>IFERROR(__xludf.DUMMYFUNCTION("""COMPUTED_VALUE"""),"")</f>
        <v/>
      </c>
      <c r="H18034" s="42">
        <f t="shared" si="1"/>
        <v>3345</v>
      </c>
    </row>
    <row r="18035" ht="22.5" customHeight="1">
      <c r="B18035" s="42" t="str">
        <f>IFERROR(__xludf.DUMMYFUNCTION("""COMPUTED_VALUE"""),"")</f>
        <v/>
      </c>
      <c r="C18035" s="42" t="str">
        <f>IFERROR(__xludf.DUMMYFUNCTION("""COMPUTED_VALUE"""),"")</f>
        <v/>
      </c>
      <c r="D18035" s="42"/>
      <c r="E18035" s="42"/>
      <c r="F18035" s="48" t="str">
        <f>IFERROR(__xludf.DUMMYFUNCTION("""COMPUTED_VALUE"""),"")</f>
        <v/>
      </c>
      <c r="G18035" s="42" t="str">
        <f>IFERROR(__xludf.DUMMYFUNCTION("""COMPUTED_VALUE"""),"")</f>
        <v/>
      </c>
      <c r="H18035" s="42">
        <f t="shared" si="1"/>
        <v>3345</v>
      </c>
    </row>
    <row r="18036" ht="22.5" customHeight="1">
      <c r="B18036" s="42" t="str">
        <f>IFERROR(__xludf.DUMMYFUNCTION("""COMPUTED_VALUE"""),"")</f>
        <v/>
      </c>
      <c r="C18036" s="42" t="str">
        <f>IFERROR(__xludf.DUMMYFUNCTION("""COMPUTED_VALUE"""),"")</f>
        <v/>
      </c>
      <c r="D18036" s="42"/>
      <c r="E18036" s="42"/>
      <c r="F18036" s="48" t="str">
        <f>IFERROR(__xludf.DUMMYFUNCTION("""COMPUTED_VALUE"""),"")</f>
        <v/>
      </c>
      <c r="G18036" s="42" t="str">
        <f>IFERROR(__xludf.DUMMYFUNCTION("""COMPUTED_VALUE"""),"")</f>
        <v/>
      </c>
      <c r="H18036" s="42">
        <f t="shared" si="1"/>
        <v>3345</v>
      </c>
    </row>
    <row r="18037" ht="22.5" customHeight="1">
      <c r="B18037" s="42" t="str">
        <f>IFERROR(__xludf.DUMMYFUNCTION("""COMPUTED_VALUE"""),"")</f>
        <v/>
      </c>
      <c r="C18037" s="42" t="str">
        <f>IFERROR(__xludf.DUMMYFUNCTION("""COMPUTED_VALUE"""),"")</f>
        <v/>
      </c>
      <c r="D18037" s="42"/>
      <c r="E18037" s="42"/>
      <c r="F18037" s="48" t="str">
        <f>IFERROR(__xludf.DUMMYFUNCTION("""COMPUTED_VALUE"""),"")</f>
        <v/>
      </c>
      <c r="G18037" s="42" t="str">
        <f>IFERROR(__xludf.DUMMYFUNCTION("""COMPUTED_VALUE"""),"")</f>
        <v/>
      </c>
      <c r="H18037" s="42">
        <f t="shared" si="1"/>
        <v>3345</v>
      </c>
    </row>
    <row r="18038" ht="22.5" customHeight="1">
      <c r="B18038" s="42" t="str">
        <f>IFERROR(__xludf.DUMMYFUNCTION("""COMPUTED_VALUE"""),"")</f>
        <v/>
      </c>
      <c r="C18038" s="42" t="str">
        <f>IFERROR(__xludf.DUMMYFUNCTION("""COMPUTED_VALUE"""),"")</f>
        <v/>
      </c>
      <c r="D18038" s="42"/>
      <c r="E18038" s="42"/>
      <c r="F18038" s="48" t="str">
        <f>IFERROR(__xludf.DUMMYFUNCTION("""COMPUTED_VALUE"""),"")</f>
        <v/>
      </c>
      <c r="G18038" s="42" t="str">
        <f>IFERROR(__xludf.DUMMYFUNCTION("""COMPUTED_VALUE"""),"")</f>
        <v/>
      </c>
      <c r="H18038" s="42">
        <f t="shared" si="1"/>
        <v>3345</v>
      </c>
    </row>
    <row r="18039" ht="22.5" customHeight="1">
      <c r="B18039" s="42" t="str">
        <f>IFERROR(__xludf.DUMMYFUNCTION("""COMPUTED_VALUE"""),"")</f>
        <v/>
      </c>
      <c r="C18039" s="42" t="str">
        <f>IFERROR(__xludf.DUMMYFUNCTION("""COMPUTED_VALUE"""),"")</f>
        <v/>
      </c>
      <c r="D18039" s="42"/>
      <c r="E18039" s="42"/>
      <c r="F18039" s="48" t="str">
        <f>IFERROR(__xludf.DUMMYFUNCTION("""COMPUTED_VALUE"""),"")</f>
        <v/>
      </c>
      <c r="G18039" s="42" t="str">
        <f>IFERROR(__xludf.DUMMYFUNCTION("""COMPUTED_VALUE"""),"")</f>
        <v/>
      </c>
      <c r="H18039" s="42">
        <f t="shared" si="1"/>
        <v>3345</v>
      </c>
    </row>
    <row r="18040" ht="22.5" customHeight="1">
      <c r="B18040" s="42" t="str">
        <f>IFERROR(__xludf.DUMMYFUNCTION("""COMPUTED_VALUE"""),"")</f>
        <v/>
      </c>
      <c r="C18040" s="42" t="str">
        <f>IFERROR(__xludf.DUMMYFUNCTION("""COMPUTED_VALUE"""),"")</f>
        <v/>
      </c>
      <c r="D18040" s="42"/>
      <c r="E18040" s="42"/>
      <c r="F18040" s="48" t="str">
        <f>IFERROR(__xludf.DUMMYFUNCTION("""COMPUTED_VALUE"""),"")</f>
        <v/>
      </c>
      <c r="G18040" s="42" t="str">
        <f>IFERROR(__xludf.DUMMYFUNCTION("""COMPUTED_VALUE"""),"")</f>
        <v/>
      </c>
      <c r="H18040" s="42">
        <f t="shared" si="1"/>
        <v>3345</v>
      </c>
    </row>
    <row r="18041" ht="22.5" customHeight="1">
      <c r="B18041" s="42" t="str">
        <f>IFERROR(__xludf.DUMMYFUNCTION("""COMPUTED_VALUE"""),"")</f>
        <v/>
      </c>
      <c r="C18041" s="42" t="str">
        <f>IFERROR(__xludf.DUMMYFUNCTION("""COMPUTED_VALUE"""),"")</f>
        <v/>
      </c>
      <c r="D18041" s="42"/>
      <c r="E18041" s="42"/>
      <c r="F18041" s="48" t="str">
        <f>IFERROR(__xludf.DUMMYFUNCTION("""COMPUTED_VALUE"""),"")</f>
        <v/>
      </c>
      <c r="G18041" s="42" t="str">
        <f>IFERROR(__xludf.DUMMYFUNCTION("""COMPUTED_VALUE"""),"")</f>
        <v/>
      </c>
      <c r="H18041" s="42">
        <f t="shared" si="1"/>
        <v>3345</v>
      </c>
    </row>
    <row r="18042" ht="22.5" customHeight="1">
      <c r="B18042" s="42" t="str">
        <f>IFERROR(__xludf.DUMMYFUNCTION("""COMPUTED_VALUE"""),"")</f>
        <v/>
      </c>
      <c r="C18042" s="42" t="str">
        <f>IFERROR(__xludf.DUMMYFUNCTION("""COMPUTED_VALUE"""),"")</f>
        <v/>
      </c>
      <c r="D18042" s="42"/>
      <c r="E18042" s="42"/>
      <c r="F18042" s="48" t="str">
        <f>IFERROR(__xludf.DUMMYFUNCTION("""COMPUTED_VALUE"""),"")</f>
        <v/>
      </c>
      <c r="G18042" s="42" t="str">
        <f>IFERROR(__xludf.DUMMYFUNCTION("""COMPUTED_VALUE"""),"")</f>
        <v/>
      </c>
      <c r="H18042" s="42">
        <f t="shared" si="1"/>
        <v>3345</v>
      </c>
    </row>
    <row r="18043" ht="22.5" customHeight="1">
      <c r="B18043" s="42" t="str">
        <f>IFERROR(__xludf.DUMMYFUNCTION("""COMPUTED_VALUE"""),"")</f>
        <v/>
      </c>
      <c r="C18043" s="42" t="str">
        <f>IFERROR(__xludf.DUMMYFUNCTION("""COMPUTED_VALUE"""),"")</f>
        <v/>
      </c>
      <c r="D18043" s="42"/>
      <c r="E18043" s="42"/>
      <c r="F18043" s="48" t="str">
        <f>IFERROR(__xludf.DUMMYFUNCTION("""COMPUTED_VALUE"""),"")</f>
        <v/>
      </c>
      <c r="G18043" s="42" t="str">
        <f>IFERROR(__xludf.DUMMYFUNCTION("""COMPUTED_VALUE"""),"")</f>
        <v/>
      </c>
      <c r="H18043" s="42">
        <f t="shared" si="1"/>
        <v>3345</v>
      </c>
    </row>
    <row r="18044" ht="22.5" customHeight="1">
      <c r="B18044" s="42" t="str">
        <f>IFERROR(__xludf.DUMMYFUNCTION("""COMPUTED_VALUE"""),"")</f>
        <v/>
      </c>
      <c r="C18044" s="42" t="str">
        <f>IFERROR(__xludf.DUMMYFUNCTION("""COMPUTED_VALUE"""),"")</f>
        <v/>
      </c>
      <c r="D18044" s="42"/>
      <c r="E18044" s="42"/>
      <c r="F18044" s="48" t="str">
        <f>IFERROR(__xludf.DUMMYFUNCTION("""COMPUTED_VALUE"""),"")</f>
        <v/>
      </c>
      <c r="G18044" s="42" t="str">
        <f>IFERROR(__xludf.DUMMYFUNCTION("""COMPUTED_VALUE"""),"")</f>
        <v/>
      </c>
      <c r="H18044" s="42">
        <f t="shared" si="1"/>
        <v>3345</v>
      </c>
    </row>
    <row r="18045" ht="22.5" customHeight="1">
      <c r="B18045" s="42" t="str">
        <f>IFERROR(__xludf.DUMMYFUNCTION("""COMPUTED_VALUE"""),"")</f>
        <v/>
      </c>
      <c r="C18045" s="42" t="str">
        <f>IFERROR(__xludf.DUMMYFUNCTION("""COMPUTED_VALUE"""),"")</f>
        <v/>
      </c>
      <c r="D18045" s="42"/>
      <c r="E18045" s="42"/>
      <c r="F18045" s="48" t="str">
        <f>IFERROR(__xludf.DUMMYFUNCTION("""COMPUTED_VALUE"""),"")</f>
        <v/>
      </c>
      <c r="G18045" s="42" t="str">
        <f>IFERROR(__xludf.DUMMYFUNCTION("""COMPUTED_VALUE"""),"")</f>
        <v/>
      </c>
      <c r="H18045" s="42">
        <f t="shared" si="1"/>
        <v>3345</v>
      </c>
    </row>
    <row r="18046" ht="22.5" customHeight="1">
      <c r="B18046" s="42" t="str">
        <f>IFERROR(__xludf.DUMMYFUNCTION("""COMPUTED_VALUE"""),"")</f>
        <v/>
      </c>
      <c r="C18046" s="42" t="str">
        <f>IFERROR(__xludf.DUMMYFUNCTION("""COMPUTED_VALUE"""),"")</f>
        <v/>
      </c>
      <c r="D18046" s="42"/>
      <c r="E18046" s="42"/>
      <c r="F18046" s="48" t="str">
        <f>IFERROR(__xludf.DUMMYFUNCTION("""COMPUTED_VALUE"""),"")</f>
        <v/>
      </c>
      <c r="G18046" s="42" t="str">
        <f>IFERROR(__xludf.DUMMYFUNCTION("""COMPUTED_VALUE"""),"")</f>
        <v/>
      </c>
      <c r="H18046" s="42">
        <f t="shared" si="1"/>
        <v>3345</v>
      </c>
    </row>
    <row r="18047" ht="22.5" customHeight="1">
      <c r="B18047" s="42" t="str">
        <f>IFERROR(__xludf.DUMMYFUNCTION("""COMPUTED_VALUE"""),"")</f>
        <v/>
      </c>
      <c r="C18047" s="42" t="str">
        <f>IFERROR(__xludf.DUMMYFUNCTION("""COMPUTED_VALUE"""),"")</f>
        <v/>
      </c>
      <c r="D18047" s="42"/>
      <c r="E18047" s="42"/>
      <c r="F18047" s="48" t="str">
        <f>IFERROR(__xludf.DUMMYFUNCTION("""COMPUTED_VALUE"""),"")</f>
        <v/>
      </c>
      <c r="G18047" s="42" t="str">
        <f>IFERROR(__xludf.DUMMYFUNCTION("""COMPUTED_VALUE"""),"")</f>
        <v/>
      </c>
      <c r="H18047" s="42">
        <f t="shared" si="1"/>
        <v>3345</v>
      </c>
    </row>
    <row r="18048" ht="22.5" customHeight="1">
      <c r="B18048" s="42" t="str">
        <f>IFERROR(__xludf.DUMMYFUNCTION("""COMPUTED_VALUE"""),"")</f>
        <v/>
      </c>
      <c r="C18048" s="42" t="str">
        <f>IFERROR(__xludf.DUMMYFUNCTION("""COMPUTED_VALUE"""),"")</f>
        <v/>
      </c>
      <c r="D18048" s="42"/>
      <c r="E18048" s="42"/>
      <c r="F18048" s="48" t="str">
        <f>IFERROR(__xludf.DUMMYFUNCTION("""COMPUTED_VALUE"""),"")</f>
        <v/>
      </c>
      <c r="G18048" s="42" t="str">
        <f>IFERROR(__xludf.DUMMYFUNCTION("""COMPUTED_VALUE"""),"")</f>
        <v/>
      </c>
      <c r="H18048" s="42">
        <f t="shared" si="1"/>
        <v>3345</v>
      </c>
    </row>
    <row r="18049" ht="22.5" customHeight="1">
      <c r="B18049" s="42" t="str">
        <f>IFERROR(__xludf.DUMMYFUNCTION("""COMPUTED_VALUE"""),"")</f>
        <v/>
      </c>
      <c r="C18049" s="42" t="str">
        <f>IFERROR(__xludf.DUMMYFUNCTION("""COMPUTED_VALUE"""),"")</f>
        <v/>
      </c>
      <c r="D18049" s="42"/>
      <c r="E18049" s="42"/>
      <c r="F18049" s="48" t="str">
        <f>IFERROR(__xludf.DUMMYFUNCTION("""COMPUTED_VALUE"""),"")</f>
        <v/>
      </c>
      <c r="G18049" s="42" t="str">
        <f>IFERROR(__xludf.DUMMYFUNCTION("""COMPUTED_VALUE"""),"")</f>
        <v/>
      </c>
      <c r="H18049" s="42">
        <f t="shared" si="1"/>
        <v>3345</v>
      </c>
    </row>
    <row r="18050" ht="22.5" customHeight="1">
      <c r="B18050" s="42" t="str">
        <f>IFERROR(__xludf.DUMMYFUNCTION("""COMPUTED_VALUE"""),"")</f>
        <v/>
      </c>
      <c r="C18050" s="42" t="str">
        <f>IFERROR(__xludf.DUMMYFUNCTION("""COMPUTED_VALUE"""),"")</f>
        <v/>
      </c>
      <c r="D18050" s="42"/>
      <c r="E18050" s="42"/>
      <c r="F18050" s="48" t="str">
        <f>IFERROR(__xludf.DUMMYFUNCTION("""COMPUTED_VALUE"""),"")</f>
        <v/>
      </c>
      <c r="G18050" s="42" t="str">
        <f>IFERROR(__xludf.DUMMYFUNCTION("""COMPUTED_VALUE"""),"")</f>
        <v/>
      </c>
      <c r="H18050" s="42">
        <f t="shared" si="1"/>
        <v>3345</v>
      </c>
    </row>
    <row r="18051" ht="22.5" customHeight="1">
      <c r="B18051" s="42" t="str">
        <f>IFERROR(__xludf.DUMMYFUNCTION("""COMPUTED_VALUE"""),"")</f>
        <v/>
      </c>
      <c r="C18051" s="42" t="str">
        <f>IFERROR(__xludf.DUMMYFUNCTION("""COMPUTED_VALUE"""),"")</f>
        <v/>
      </c>
      <c r="D18051" s="42"/>
      <c r="E18051" s="42"/>
      <c r="F18051" s="48" t="str">
        <f>IFERROR(__xludf.DUMMYFUNCTION("""COMPUTED_VALUE"""),"")</f>
        <v/>
      </c>
      <c r="G18051" s="42" t="str">
        <f>IFERROR(__xludf.DUMMYFUNCTION("""COMPUTED_VALUE"""),"")</f>
        <v/>
      </c>
      <c r="H18051" s="42">
        <f t="shared" si="1"/>
        <v>3345</v>
      </c>
    </row>
    <row r="18052" ht="22.5" customHeight="1">
      <c r="B18052" s="42" t="str">
        <f>IFERROR(__xludf.DUMMYFUNCTION("""COMPUTED_VALUE"""),"")</f>
        <v/>
      </c>
      <c r="C18052" s="42" t="str">
        <f>IFERROR(__xludf.DUMMYFUNCTION("""COMPUTED_VALUE"""),"")</f>
        <v/>
      </c>
      <c r="D18052" s="42"/>
      <c r="E18052" s="42"/>
      <c r="F18052" s="48" t="str">
        <f>IFERROR(__xludf.DUMMYFUNCTION("""COMPUTED_VALUE"""),"")</f>
        <v/>
      </c>
      <c r="G18052" s="42" t="str">
        <f>IFERROR(__xludf.DUMMYFUNCTION("""COMPUTED_VALUE"""),"")</f>
        <v/>
      </c>
      <c r="H18052" s="42">
        <f t="shared" si="1"/>
        <v>3345</v>
      </c>
    </row>
    <row r="18053" ht="22.5" customHeight="1">
      <c r="B18053" s="42" t="str">
        <f>IFERROR(__xludf.DUMMYFUNCTION("""COMPUTED_VALUE"""),"")</f>
        <v/>
      </c>
      <c r="C18053" s="42" t="str">
        <f>IFERROR(__xludf.DUMMYFUNCTION("""COMPUTED_VALUE"""),"")</f>
        <v/>
      </c>
      <c r="D18053" s="42"/>
      <c r="E18053" s="42"/>
      <c r="F18053" s="48" t="str">
        <f>IFERROR(__xludf.DUMMYFUNCTION("""COMPUTED_VALUE"""),"")</f>
        <v/>
      </c>
      <c r="G18053" s="42" t="str">
        <f>IFERROR(__xludf.DUMMYFUNCTION("""COMPUTED_VALUE"""),"")</f>
        <v/>
      </c>
      <c r="H18053" s="42">
        <f t="shared" si="1"/>
        <v>3345</v>
      </c>
    </row>
    <row r="18054" ht="22.5" customHeight="1">
      <c r="B18054" s="42" t="str">
        <f>IFERROR(__xludf.DUMMYFUNCTION("""COMPUTED_VALUE"""),"")</f>
        <v/>
      </c>
      <c r="C18054" s="42" t="str">
        <f>IFERROR(__xludf.DUMMYFUNCTION("""COMPUTED_VALUE"""),"")</f>
        <v/>
      </c>
      <c r="D18054" s="42"/>
      <c r="E18054" s="42"/>
      <c r="F18054" s="48" t="str">
        <f>IFERROR(__xludf.DUMMYFUNCTION("""COMPUTED_VALUE"""),"")</f>
        <v/>
      </c>
      <c r="G18054" s="42" t="str">
        <f>IFERROR(__xludf.DUMMYFUNCTION("""COMPUTED_VALUE"""),"")</f>
        <v/>
      </c>
      <c r="H18054" s="42">
        <f t="shared" si="1"/>
        <v>3345</v>
      </c>
    </row>
    <row r="18055" ht="22.5" customHeight="1">
      <c r="B18055" s="42" t="str">
        <f>IFERROR(__xludf.DUMMYFUNCTION("""COMPUTED_VALUE"""),"")</f>
        <v/>
      </c>
      <c r="C18055" s="42" t="str">
        <f>IFERROR(__xludf.DUMMYFUNCTION("""COMPUTED_VALUE"""),"")</f>
        <v/>
      </c>
      <c r="D18055" s="42"/>
      <c r="E18055" s="42"/>
      <c r="F18055" s="48" t="str">
        <f>IFERROR(__xludf.DUMMYFUNCTION("""COMPUTED_VALUE"""),"")</f>
        <v/>
      </c>
      <c r="G18055" s="42" t="str">
        <f>IFERROR(__xludf.DUMMYFUNCTION("""COMPUTED_VALUE"""),"")</f>
        <v/>
      </c>
      <c r="H18055" s="42">
        <f t="shared" si="1"/>
        <v>3345</v>
      </c>
    </row>
    <row r="18056" ht="22.5" customHeight="1">
      <c r="B18056" s="42" t="str">
        <f>IFERROR(__xludf.DUMMYFUNCTION("""COMPUTED_VALUE"""),"")</f>
        <v/>
      </c>
      <c r="C18056" s="42" t="str">
        <f>IFERROR(__xludf.DUMMYFUNCTION("""COMPUTED_VALUE"""),"")</f>
        <v/>
      </c>
      <c r="D18056" s="42"/>
      <c r="E18056" s="42"/>
      <c r="F18056" s="48" t="str">
        <f>IFERROR(__xludf.DUMMYFUNCTION("""COMPUTED_VALUE"""),"")</f>
        <v/>
      </c>
      <c r="G18056" s="42" t="str">
        <f>IFERROR(__xludf.DUMMYFUNCTION("""COMPUTED_VALUE"""),"")</f>
        <v/>
      </c>
      <c r="H18056" s="42">
        <f t="shared" si="1"/>
        <v>3345</v>
      </c>
    </row>
    <row r="18057" ht="22.5" customHeight="1">
      <c r="B18057" s="42" t="str">
        <f>IFERROR(__xludf.DUMMYFUNCTION("""COMPUTED_VALUE"""),"")</f>
        <v/>
      </c>
      <c r="C18057" s="42" t="str">
        <f>IFERROR(__xludf.DUMMYFUNCTION("""COMPUTED_VALUE"""),"")</f>
        <v/>
      </c>
      <c r="D18057" s="42"/>
      <c r="E18057" s="42"/>
      <c r="F18057" s="48" t="str">
        <f>IFERROR(__xludf.DUMMYFUNCTION("""COMPUTED_VALUE"""),"")</f>
        <v/>
      </c>
      <c r="G18057" s="42" t="str">
        <f>IFERROR(__xludf.DUMMYFUNCTION("""COMPUTED_VALUE"""),"")</f>
        <v/>
      </c>
      <c r="H18057" s="42">
        <f t="shared" si="1"/>
        <v>3345</v>
      </c>
    </row>
    <row r="18058" ht="22.5" customHeight="1">
      <c r="B18058" s="42" t="str">
        <f>IFERROR(__xludf.DUMMYFUNCTION("""COMPUTED_VALUE"""),"")</f>
        <v/>
      </c>
      <c r="C18058" s="42" t="str">
        <f>IFERROR(__xludf.DUMMYFUNCTION("""COMPUTED_VALUE"""),"")</f>
        <v/>
      </c>
      <c r="D18058" s="42"/>
      <c r="E18058" s="42"/>
      <c r="F18058" s="48" t="str">
        <f>IFERROR(__xludf.DUMMYFUNCTION("""COMPUTED_VALUE"""),"")</f>
        <v/>
      </c>
      <c r="G18058" s="42" t="str">
        <f>IFERROR(__xludf.DUMMYFUNCTION("""COMPUTED_VALUE"""),"")</f>
        <v/>
      </c>
      <c r="H18058" s="42">
        <f t="shared" si="1"/>
        <v>3345</v>
      </c>
    </row>
    <row r="18059" ht="22.5" customHeight="1">
      <c r="B18059" s="42" t="str">
        <f>IFERROR(__xludf.DUMMYFUNCTION("""COMPUTED_VALUE"""),"")</f>
        <v/>
      </c>
      <c r="C18059" s="42" t="str">
        <f>IFERROR(__xludf.DUMMYFUNCTION("""COMPUTED_VALUE"""),"")</f>
        <v/>
      </c>
      <c r="D18059" s="42"/>
      <c r="E18059" s="42"/>
      <c r="F18059" s="48" t="str">
        <f>IFERROR(__xludf.DUMMYFUNCTION("""COMPUTED_VALUE"""),"")</f>
        <v/>
      </c>
      <c r="G18059" s="42" t="str">
        <f>IFERROR(__xludf.DUMMYFUNCTION("""COMPUTED_VALUE"""),"")</f>
        <v/>
      </c>
      <c r="H18059" s="42">
        <f t="shared" si="1"/>
        <v>3345</v>
      </c>
    </row>
    <row r="18060" ht="22.5" customHeight="1">
      <c r="B18060" s="42" t="str">
        <f>IFERROR(__xludf.DUMMYFUNCTION("""COMPUTED_VALUE"""),"")</f>
        <v/>
      </c>
      <c r="C18060" s="42" t="str">
        <f>IFERROR(__xludf.DUMMYFUNCTION("""COMPUTED_VALUE"""),"")</f>
        <v/>
      </c>
      <c r="D18060" s="42"/>
      <c r="E18060" s="42"/>
      <c r="F18060" s="48" t="str">
        <f>IFERROR(__xludf.DUMMYFUNCTION("""COMPUTED_VALUE"""),"")</f>
        <v/>
      </c>
      <c r="G18060" s="42" t="str">
        <f>IFERROR(__xludf.DUMMYFUNCTION("""COMPUTED_VALUE"""),"")</f>
        <v/>
      </c>
      <c r="H18060" s="42">
        <f t="shared" si="1"/>
        <v>3345</v>
      </c>
    </row>
    <row r="18061" ht="22.5" customHeight="1">
      <c r="B18061" s="42" t="str">
        <f>IFERROR(__xludf.DUMMYFUNCTION("""COMPUTED_VALUE"""),"")</f>
        <v/>
      </c>
      <c r="C18061" s="42" t="str">
        <f>IFERROR(__xludf.DUMMYFUNCTION("""COMPUTED_VALUE"""),"")</f>
        <v/>
      </c>
      <c r="D18061" s="42"/>
      <c r="E18061" s="42"/>
      <c r="F18061" s="48" t="str">
        <f>IFERROR(__xludf.DUMMYFUNCTION("""COMPUTED_VALUE"""),"")</f>
        <v/>
      </c>
      <c r="G18061" s="42" t="str">
        <f>IFERROR(__xludf.DUMMYFUNCTION("""COMPUTED_VALUE"""),"")</f>
        <v/>
      </c>
      <c r="H18061" s="42">
        <f t="shared" si="1"/>
        <v>3345</v>
      </c>
    </row>
    <row r="18062" ht="22.5" customHeight="1">
      <c r="B18062" s="42" t="str">
        <f>IFERROR(__xludf.DUMMYFUNCTION("""COMPUTED_VALUE"""),"")</f>
        <v/>
      </c>
      <c r="C18062" s="42" t="str">
        <f>IFERROR(__xludf.DUMMYFUNCTION("""COMPUTED_VALUE"""),"")</f>
        <v/>
      </c>
      <c r="D18062" s="42"/>
      <c r="E18062" s="42"/>
      <c r="F18062" s="48" t="str">
        <f>IFERROR(__xludf.DUMMYFUNCTION("""COMPUTED_VALUE"""),"")</f>
        <v/>
      </c>
      <c r="G18062" s="42" t="str">
        <f>IFERROR(__xludf.DUMMYFUNCTION("""COMPUTED_VALUE"""),"")</f>
        <v/>
      </c>
      <c r="H18062" s="42">
        <f t="shared" si="1"/>
        <v>3345</v>
      </c>
    </row>
    <row r="18063" ht="22.5" customHeight="1">
      <c r="B18063" s="42" t="str">
        <f>IFERROR(__xludf.DUMMYFUNCTION("""COMPUTED_VALUE"""),"")</f>
        <v/>
      </c>
      <c r="C18063" s="42" t="str">
        <f>IFERROR(__xludf.DUMMYFUNCTION("""COMPUTED_VALUE"""),"")</f>
        <v/>
      </c>
      <c r="D18063" s="42"/>
      <c r="E18063" s="42"/>
      <c r="F18063" s="48" t="str">
        <f>IFERROR(__xludf.DUMMYFUNCTION("""COMPUTED_VALUE"""),"")</f>
        <v/>
      </c>
      <c r="G18063" s="42" t="str">
        <f>IFERROR(__xludf.DUMMYFUNCTION("""COMPUTED_VALUE"""),"")</f>
        <v/>
      </c>
      <c r="H18063" s="42">
        <f t="shared" si="1"/>
        <v>3345</v>
      </c>
    </row>
    <row r="18064" ht="22.5" customHeight="1">
      <c r="B18064" s="42" t="str">
        <f>IFERROR(__xludf.DUMMYFUNCTION("""COMPUTED_VALUE"""),"")</f>
        <v/>
      </c>
      <c r="C18064" s="42" t="str">
        <f>IFERROR(__xludf.DUMMYFUNCTION("""COMPUTED_VALUE"""),"")</f>
        <v/>
      </c>
      <c r="D18064" s="42"/>
      <c r="E18064" s="42"/>
      <c r="F18064" s="48" t="str">
        <f>IFERROR(__xludf.DUMMYFUNCTION("""COMPUTED_VALUE"""),"")</f>
        <v/>
      </c>
      <c r="G18064" s="42" t="str">
        <f>IFERROR(__xludf.DUMMYFUNCTION("""COMPUTED_VALUE"""),"")</f>
        <v/>
      </c>
      <c r="H18064" s="42">
        <f t="shared" si="1"/>
        <v>3345</v>
      </c>
    </row>
    <row r="18065" ht="22.5" customHeight="1">
      <c r="B18065" s="42" t="str">
        <f>IFERROR(__xludf.DUMMYFUNCTION("""COMPUTED_VALUE"""),"")</f>
        <v/>
      </c>
      <c r="C18065" s="42" t="str">
        <f>IFERROR(__xludf.DUMMYFUNCTION("""COMPUTED_VALUE"""),"")</f>
        <v/>
      </c>
      <c r="D18065" s="42"/>
      <c r="E18065" s="42"/>
      <c r="F18065" s="48" t="str">
        <f>IFERROR(__xludf.DUMMYFUNCTION("""COMPUTED_VALUE"""),"")</f>
        <v/>
      </c>
      <c r="G18065" s="42" t="str">
        <f>IFERROR(__xludf.DUMMYFUNCTION("""COMPUTED_VALUE"""),"")</f>
        <v/>
      </c>
      <c r="H18065" s="42">
        <f t="shared" si="1"/>
        <v>3345</v>
      </c>
    </row>
    <row r="18066" ht="22.5" customHeight="1">
      <c r="B18066" s="42" t="str">
        <f>IFERROR(__xludf.DUMMYFUNCTION("""COMPUTED_VALUE"""),"")</f>
        <v/>
      </c>
      <c r="C18066" s="42" t="str">
        <f>IFERROR(__xludf.DUMMYFUNCTION("""COMPUTED_VALUE"""),"")</f>
        <v/>
      </c>
      <c r="D18066" s="42"/>
      <c r="E18066" s="42"/>
      <c r="F18066" s="48" t="str">
        <f>IFERROR(__xludf.DUMMYFUNCTION("""COMPUTED_VALUE"""),"")</f>
        <v/>
      </c>
      <c r="G18066" s="42" t="str">
        <f>IFERROR(__xludf.DUMMYFUNCTION("""COMPUTED_VALUE"""),"")</f>
        <v/>
      </c>
      <c r="H18066" s="42">
        <f t="shared" si="1"/>
        <v>3345</v>
      </c>
    </row>
    <row r="18067" ht="22.5" customHeight="1">
      <c r="B18067" s="42" t="str">
        <f>IFERROR(__xludf.DUMMYFUNCTION("""COMPUTED_VALUE"""),"")</f>
        <v/>
      </c>
      <c r="C18067" s="42" t="str">
        <f>IFERROR(__xludf.DUMMYFUNCTION("""COMPUTED_VALUE"""),"")</f>
        <v/>
      </c>
      <c r="D18067" s="42"/>
      <c r="E18067" s="42"/>
      <c r="F18067" s="48" t="str">
        <f>IFERROR(__xludf.DUMMYFUNCTION("""COMPUTED_VALUE"""),"")</f>
        <v/>
      </c>
      <c r="G18067" s="42" t="str">
        <f>IFERROR(__xludf.DUMMYFUNCTION("""COMPUTED_VALUE"""),"")</f>
        <v/>
      </c>
      <c r="H18067" s="42">
        <f t="shared" si="1"/>
        <v>3345</v>
      </c>
    </row>
    <row r="18068" ht="22.5" customHeight="1">
      <c r="B18068" s="42" t="str">
        <f>IFERROR(__xludf.DUMMYFUNCTION("""COMPUTED_VALUE"""),"")</f>
        <v/>
      </c>
      <c r="C18068" s="42" t="str">
        <f>IFERROR(__xludf.DUMMYFUNCTION("""COMPUTED_VALUE"""),"")</f>
        <v/>
      </c>
      <c r="D18068" s="42"/>
      <c r="E18068" s="42"/>
      <c r="F18068" s="48" t="str">
        <f>IFERROR(__xludf.DUMMYFUNCTION("""COMPUTED_VALUE"""),"")</f>
        <v/>
      </c>
      <c r="G18068" s="42" t="str">
        <f>IFERROR(__xludf.DUMMYFUNCTION("""COMPUTED_VALUE"""),"")</f>
        <v/>
      </c>
      <c r="H18068" s="42">
        <f t="shared" si="1"/>
        <v>3345</v>
      </c>
    </row>
    <row r="18069" ht="22.5" customHeight="1">
      <c r="B18069" s="42" t="str">
        <f>IFERROR(__xludf.DUMMYFUNCTION("""COMPUTED_VALUE"""),"")</f>
        <v/>
      </c>
      <c r="C18069" s="42" t="str">
        <f>IFERROR(__xludf.DUMMYFUNCTION("""COMPUTED_VALUE"""),"")</f>
        <v/>
      </c>
      <c r="D18069" s="42"/>
      <c r="E18069" s="42"/>
      <c r="F18069" s="48" t="str">
        <f>IFERROR(__xludf.DUMMYFUNCTION("""COMPUTED_VALUE"""),"")</f>
        <v/>
      </c>
      <c r="G18069" s="42" t="str">
        <f>IFERROR(__xludf.DUMMYFUNCTION("""COMPUTED_VALUE"""),"")</f>
        <v/>
      </c>
      <c r="H18069" s="42">
        <f t="shared" si="1"/>
        <v>3345</v>
      </c>
    </row>
    <row r="18070" ht="22.5" customHeight="1">
      <c r="B18070" s="42" t="str">
        <f>IFERROR(__xludf.DUMMYFUNCTION("""COMPUTED_VALUE"""),"")</f>
        <v/>
      </c>
      <c r="C18070" s="42" t="str">
        <f>IFERROR(__xludf.DUMMYFUNCTION("""COMPUTED_VALUE"""),"")</f>
        <v/>
      </c>
      <c r="D18070" s="42"/>
      <c r="E18070" s="42"/>
      <c r="F18070" s="48" t="str">
        <f>IFERROR(__xludf.DUMMYFUNCTION("""COMPUTED_VALUE"""),"")</f>
        <v/>
      </c>
      <c r="G18070" s="42" t="str">
        <f>IFERROR(__xludf.DUMMYFUNCTION("""COMPUTED_VALUE"""),"")</f>
        <v/>
      </c>
      <c r="H18070" s="42">
        <f t="shared" si="1"/>
        <v>3345</v>
      </c>
    </row>
    <row r="18071" ht="22.5" customHeight="1">
      <c r="B18071" s="42" t="str">
        <f>IFERROR(__xludf.DUMMYFUNCTION("""COMPUTED_VALUE"""),"")</f>
        <v/>
      </c>
      <c r="C18071" s="42" t="str">
        <f>IFERROR(__xludf.DUMMYFUNCTION("""COMPUTED_VALUE"""),"")</f>
        <v/>
      </c>
      <c r="D18071" s="42"/>
      <c r="E18071" s="42"/>
      <c r="F18071" s="48" t="str">
        <f>IFERROR(__xludf.DUMMYFUNCTION("""COMPUTED_VALUE"""),"")</f>
        <v/>
      </c>
      <c r="G18071" s="42" t="str">
        <f>IFERROR(__xludf.DUMMYFUNCTION("""COMPUTED_VALUE"""),"")</f>
        <v/>
      </c>
      <c r="H18071" s="42">
        <f t="shared" si="1"/>
        <v>3345</v>
      </c>
    </row>
    <row r="18072" ht="22.5" customHeight="1">
      <c r="B18072" s="42" t="str">
        <f>IFERROR(__xludf.DUMMYFUNCTION("""COMPUTED_VALUE"""),"")</f>
        <v/>
      </c>
      <c r="C18072" s="42" t="str">
        <f>IFERROR(__xludf.DUMMYFUNCTION("""COMPUTED_VALUE"""),"")</f>
        <v/>
      </c>
      <c r="D18072" s="42"/>
      <c r="E18072" s="42"/>
      <c r="F18072" s="48" t="str">
        <f>IFERROR(__xludf.DUMMYFUNCTION("""COMPUTED_VALUE"""),"")</f>
        <v/>
      </c>
      <c r="G18072" s="42" t="str">
        <f>IFERROR(__xludf.DUMMYFUNCTION("""COMPUTED_VALUE"""),"")</f>
        <v/>
      </c>
      <c r="H18072" s="42">
        <f t="shared" si="1"/>
        <v>3345</v>
      </c>
    </row>
    <row r="18073" ht="22.5" customHeight="1">
      <c r="B18073" s="42" t="str">
        <f>IFERROR(__xludf.DUMMYFUNCTION("""COMPUTED_VALUE"""),"")</f>
        <v/>
      </c>
      <c r="C18073" s="42" t="str">
        <f>IFERROR(__xludf.DUMMYFUNCTION("""COMPUTED_VALUE"""),"")</f>
        <v/>
      </c>
      <c r="D18073" s="42"/>
      <c r="E18073" s="42"/>
      <c r="F18073" s="48" t="str">
        <f>IFERROR(__xludf.DUMMYFUNCTION("""COMPUTED_VALUE"""),"")</f>
        <v/>
      </c>
      <c r="G18073" s="42" t="str">
        <f>IFERROR(__xludf.DUMMYFUNCTION("""COMPUTED_VALUE"""),"")</f>
        <v/>
      </c>
      <c r="H18073" s="42">
        <f t="shared" si="1"/>
        <v>3345</v>
      </c>
    </row>
    <row r="18074" ht="22.5" customHeight="1">
      <c r="B18074" s="42" t="str">
        <f>IFERROR(__xludf.DUMMYFUNCTION("""COMPUTED_VALUE"""),"")</f>
        <v/>
      </c>
      <c r="C18074" s="42" t="str">
        <f>IFERROR(__xludf.DUMMYFUNCTION("""COMPUTED_VALUE"""),"")</f>
        <v/>
      </c>
      <c r="D18074" s="42"/>
      <c r="E18074" s="42"/>
      <c r="F18074" s="48" t="str">
        <f>IFERROR(__xludf.DUMMYFUNCTION("""COMPUTED_VALUE"""),"")</f>
        <v/>
      </c>
      <c r="G18074" s="42" t="str">
        <f>IFERROR(__xludf.DUMMYFUNCTION("""COMPUTED_VALUE"""),"")</f>
        <v/>
      </c>
      <c r="H18074" s="42">
        <f t="shared" si="1"/>
        <v>3345</v>
      </c>
    </row>
    <row r="18075" ht="22.5" customHeight="1">
      <c r="B18075" s="42" t="str">
        <f>IFERROR(__xludf.DUMMYFUNCTION("""COMPUTED_VALUE"""),"")</f>
        <v/>
      </c>
      <c r="C18075" s="42" t="str">
        <f>IFERROR(__xludf.DUMMYFUNCTION("""COMPUTED_VALUE"""),"")</f>
        <v/>
      </c>
      <c r="D18075" s="42"/>
      <c r="E18075" s="42"/>
      <c r="F18075" s="48" t="str">
        <f>IFERROR(__xludf.DUMMYFUNCTION("""COMPUTED_VALUE"""),"")</f>
        <v/>
      </c>
      <c r="G18075" s="42" t="str">
        <f>IFERROR(__xludf.DUMMYFUNCTION("""COMPUTED_VALUE"""),"")</f>
        <v/>
      </c>
      <c r="H18075" s="42">
        <f t="shared" si="1"/>
        <v>3345</v>
      </c>
    </row>
    <row r="18076" ht="22.5" customHeight="1">
      <c r="B18076" s="42" t="str">
        <f>IFERROR(__xludf.DUMMYFUNCTION("""COMPUTED_VALUE"""),"")</f>
        <v/>
      </c>
      <c r="C18076" s="42" t="str">
        <f>IFERROR(__xludf.DUMMYFUNCTION("""COMPUTED_VALUE"""),"")</f>
        <v/>
      </c>
      <c r="D18076" s="42"/>
      <c r="E18076" s="42"/>
      <c r="F18076" s="48" t="str">
        <f>IFERROR(__xludf.DUMMYFUNCTION("""COMPUTED_VALUE"""),"")</f>
        <v/>
      </c>
      <c r="G18076" s="42" t="str">
        <f>IFERROR(__xludf.DUMMYFUNCTION("""COMPUTED_VALUE"""),"")</f>
        <v/>
      </c>
      <c r="H18076" s="42">
        <f t="shared" si="1"/>
        <v>3345</v>
      </c>
    </row>
    <row r="18077" ht="22.5" customHeight="1">
      <c r="B18077" s="42" t="str">
        <f>IFERROR(__xludf.DUMMYFUNCTION("""COMPUTED_VALUE"""),"")</f>
        <v/>
      </c>
      <c r="C18077" s="42" t="str">
        <f>IFERROR(__xludf.DUMMYFUNCTION("""COMPUTED_VALUE"""),"")</f>
        <v/>
      </c>
      <c r="D18077" s="42"/>
      <c r="E18077" s="42"/>
      <c r="F18077" s="48" t="str">
        <f>IFERROR(__xludf.DUMMYFUNCTION("""COMPUTED_VALUE"""),"")</f>
        <v/>
      </c>
      <c r="G18077" s="42" t="str">
        <f>IFERROR(__xludf.DUMMYFUNCTION("""COMPUTED_VALUE"""),"")</f>
        <v/>
      </c>
      <c r="H18077" s="42">
        <f t="shared" si="1"/>
        <v>3345</v>
      </c>
    </row>
    <row r="18078" ht="22.5" customHeight="1">
      <c r="B18078" s="42" t="str">
        <f>IFERROR(__xludf.DUMMYFUNCTION("""COMPUTED_VALUE"""),"")</f>
        <v/>
      </c>
      <c r="C18078" s="42" t="str">
        <f>IFERROR(__xludf.DUMMYFUNCTION("""COMPUTED_VALUE"""),"")</f>
        <v/>
      </c>
      <c r="D18078" s="42"/>
      <c r="E18078" s="42"/>
      <c r="F18078" s="48" t="str">
        <f>IFERROR(__xludf.DUMMYFUNCTION("""COMPUTED_VALUE"""),"")</f>
        <v/>
      </c>
      <c r="G18078" s="42" t="str">
        <f>IFERROR(__xludf.DUMMYFUNCTION("""COMPUTED_VALUE"""),"")</f>
        <v/>
      </c>
      <c r="H18078" s="42">
        <f t="shared" si="1"/>
        <v>3345</v>
      </c>
    </row>
    <row r="18079" ht="22.5" customHeight="1">
      <c r="B18079" s="42" t="str">
        <f>IFERROR(__xludf.DUMMYFUNCTION("""COMPUTED_VALUE"""),"")</f>
        <v/>
      </c>
      <c r="C18079" s="42" t="str">
        <f>IFERROR(__xludf.DUMMYFUNCTION("""COMPUTED_VALUE"""),"")</f>
        <v/>
      </c>
      <c r="D18079" s="42"/>
      <c r="E18079" s="42"/>
      <c r="F18079" s="48" t="str">
        <f>IFERROR(__xludf.DUMMYFUNCTION("""COMPUTED_VALUE"""),"")</f>
        <v/>
      </c>
      <c r="G18079" s="42" t="str">
        <f>IFERROR(__xludf.DUMMYFUNCTION("""COMPUTED_VALUE"""),"")</f>
        <v/>
      </c>
      <c r="H18079" s="42">
        <f t="shared" si="1"/>
        <v>3345</v>
      </c>
    </row>
    <row r="18080" ht="22.5" customHeight="1">
      <c r="B18080" s="42" t="str">
        <f>IFERROR(__xludf.DUMMYFUNCTION("""COMPUTED_VALUE"""),"")</f>
        <v/>
      </c>
      <c r="C18080" s="42" t="str">
        <f>IFERROR(__xludf.DUMMYFUNCTION("""COMPUTED_VALUE"""),"")</f>
        <v/>
      </c>
      <c r="D18080" s="42"/>
      <c r="E18080" s="42"/>
      <c r="F18080" s="48" t="str">
        <f>IFERROR(__xludf.DUMMYFUNCTION("""COMPUTED_VALUE"""),"")</f>
        <v/>
      </c>
      <c r="G18080" s="42" t="str">
        <f>IFERROR(__xludf.DUMMYFUNCTION("""COMPUTED_VALUE"""),"")</f>
        <v/>
      </c>
      <c r="H18080" s="42">
        <f t="shared" si="1"/>
        <v>3345</v>
      </c>
    </row>
    <row r="18081" ht="22.5" customHeight="1">
      <c r="B18081" s="42" t="str">
        <f>IFERROR(__xludf.DUMMYFUNCTION("""COMPUTED_VALUE"""),"")</f>
        <v/>
      </c>
      <c r="C18081" s="42" t="str">
        <f>IFERROR(__xludf.DUMMYFUNCTION("""COMPUTED_VALUE"""),"")</f>
        <v/>
      </c>
      <c r="D18081" s="42"/>
      <c r="E18081" s="42"/>
      <c r="F18081" s="48" t="str">
        <f>IFERROR(__xludf.DUMMYFUNCTION("""COMPUTED_VALUE"""),"")</f>
        <v/>
      </c>
      <c r="G18081" s="42" t="str">
        <f>IFERROR(__xludf.DUMMYFUNCTION("""COMPUTED_VALUE"""),"")</f>
        <v/>
      </c>
      <c r="H18081" s="42">
        <f t="shared" si="1"/>
        <v>3345</v>
      </c>
    </row>
    <row r="18082" ht="22.5" customHeight="1">
      <c r="B18082" s="42" t="str">
        <f>IFERROR(__xludf.DUMMYFUNCTION("""COMPUTED_VALUE"""),"")</f>
        <v/>
      </c>
      <c r="C18082" s="42" t="str">
        <f>IFERROR(__xludf.DUMMYFUNCTION("""COMPUTED_VALUE"""),"")</f>
        <v/>
      </c>
      <c r="D18082" s="42"/>
      <c r="E18082" s="42"/>
      <c r="F18082" s="48" t="str">
        <f>IFERROR(__xludf.DUMMYFUNCTION("""COMPUTED_VALUE"""),"")</f>
        <v/>
      </c>
      <c r="G18082" s="42" t="str">
        <f>IFERROR(__xludf.DUMMYFUNCTION("""COMPUTED_VALUE"""),"")</f>
        <v/>
      </c>
      <c r="H18082" s="42">
        <f t="shared" si="1"/>
        <v>3345</v>
      </c>
    </row>
    <row r="18083" ht="22.5" customHeight="1">
      <c r="B18083" s="42" t="str">
        <f>IFERROR(__xludf.DUMMYFUNCTION("""COMPUTED_VALUE"""),"")</f>
        <v/>
      </c>
      <c r="C18083" s="42" t="str">
        <f>IFERROR(__xludf.DUMMYFUNCTION("""COMPUTED_VALUE"""),"")</f>
        <v/>
      </c>
      <c r="D18083" s="42"/>
      <c r="E18083" s="42"/>
      <c r="F18083" s="48" t="str">
        <f>IFERROR(__xludf.DUMMYFUNCTION("""COMPUTED_VALUE"""),"")</f>
        <v/>
      </c>
      <c r="G18083" s="42" t="str">
        <f>IFERROR(__xludf.DUMMYFUNCTION("""COMPUTED_VALUE"""),"")</f>
        <v/>
      </c>
      <c r="H18083" s="42">
        <f t="shared" si="1"/>
        <v>3345</v>
      </c>
    </row>
    <row r="18084" ht="22.5" customHeight="1">
      <c r="B18084" s="42" t="str">
        <f>IFERROR(__xludf.DUMMYFUNCTION("""COMPUTED_VALUE"""),"")</f>
        <v/>
      </c>
      <c r="C18084" s="42" t="str">
        <f>IFERROR(__xludf.DUMMYFUNCTION("""COMPUTED_VALUE"""),"")</f>
        <v/>
      </c>
      <c r="D18084" s="42"/>
      <c r="E18084" s="42"/>
      <c r="F18084" s="48" t="str">
        <f>IFERROR(__xludf.DUMMYFUNCTION("""COMPUTED_VALUE"""),"")</f>
        <v/>
      </c>
      <c r="G18084" s="42" t="str">
        <f>IFERROR(__xludf.DUMMYFUNCTION("""COMPUTED_VALUE"""),"")</f>
        <v/>
      </c>
      <c r="H18084" s="42">
        <f t="shared" si="1"/>
        <v>3345</v>
      </c>
    </row>
    <row r="18085" ht="22.5" customHeight="1">
      <c r="B18085" s="42" t="str">
        <f>IFERROR(__xludf.DUMMYFUNCTION("""COMPUTED_VALUE"""),"")</f>
        <v/>
      </c>
      <c r="C18085" s="42" t="str">
        <f>IFERROR(__xludf.DUMMYFUNCTION("""COMPUTED_VALUE"""),"")</f>
        <v/>
      </c>
      <c r="D18085" s="42"/>
      <c r="E18085" s="42"/>
      <c r="F18085" s="48" t="str">
        <f>IFERROR(__xludf.DUMMYFUNCTION("""COMPUTED_VALUE"""),"")</f>
        <v/>
      </c>
      <c r="G18085" s="42" t="str">
        <f>IFERROR(__xludf.DUMMYFUNCTION("""COMPUTED_VALUE"""),"")</f>
        <v/>
      </c>
      <c r="H18085" s="42">
        <f t="shared" si="1"/>
        <v>3345</v>
      </c>
    </row>
    <row r="18086" ht="22.5" customHeight="1">
      <c r="B18086" s="42" t="str">
        <f>IFERROR(__xludf.DUMMYFUNCTION("""COMPUTED_VALUE"""),"")</f>
        <v/>
      </c>
      <c r="C18086" s="42" t="str">
        <f>IFERROR(__xludf.DUMMYFUNCTION("""COMPUTED_VALUE"""),"")</f>
        <v/>
      </c>
      <c r="D18086" s="42"/>
      <c r="E18086" s="42"/>
      <c r="F18086" s="48" t="str">
        <f>IFERROR(__xludf.DUMMYFUNCTION("""COMPUTED_VALUE"""),"")</f>
        <v/>
      </c>
      <c r="G18086" s="42" t="str">
        <f>IFERROR(__xludf.DUMMYFUNCTION("""COMPUTED_VALUE"""),"")</f>
        <v/>
      </c>
      <c r="H18086" s="42">
        <f t="shared" si="1"/>
        <v>3345</v>
      </c>
    </row>
    <row r="18087" ht="22.5" customHeight="1">
      <c r="B18087" s="42" t="str">
        <f>IFERROR(__xludf.DUMMYFUNCTION("""COMPUTED_VALUE"""),"")</f>
        <v/>
      </c>
      <c r="C18087" s="42" t="str">
        <f>IFERROR(__xludf.DUMMYFUNCTION("""COMPUTED_VALUE"""),"")</f>
        <v/>
      </c>
      <c r="D18087" s="42"/>
      <c r="E18087" s="42"/>
      <c r="F18087" s="48" t="str">
        <f>IFERROR(__xludf.DUMMYFUNCTION("""COMPUTED_VALUE"""),"")</f>
        <v/>
      </c>
      <c r="G18087" s="42" t="str">
        <f>IFERROR(__xludf.DUMMYFUNCTION("""COMPUTED_VALUE"""),"")</f>
        <v/>
      </c>
      <c r="H18087" s="42">
        <f t="shared" si="1"/>
        <v>3345</v>
      </c>
    </row>
    <row r="18088" ht="22.5" customHeight="1">
      <c r="B18088" s="42" t="str">
        <f>IFERROR(__xludf.DUMMYFUNCTION("""COMPUTED_VALUE"""),"")</f>
        <v/>
      </c>
      <c r="C18088" s="42" t="str">
        <f>IFERROR(__xludf.DUMMYFUNCTION("""COMPUTED_VALUE"""),"")</f>
        <v/>
      </c>
      <c r="D18088" s="42"/>
      <c r="E18088" s="42"/>
      <c r="F18088" s="48" t="str">
        <f>IFERROR(__xludf.DUMMYFUNCTION("""COMPUTED_VALUE"""),"")</f>
        <v/>
      </c>
      <c r="G18088" s="42" t="str">
        <f>IFERROR(__xludf.DUMMYFUNCTION("""COMPUTED_VALUE"""),"")</f>
        <v/>
      </c>
      <c r="H18088" s="42">
        <f t="shared" si="1"/>
        <v>3345</v>
      </c>
    </row>
    <row r="18089" ht="22.5" customHeight="1">
      <c r="B18089" s="42" t="str">
        <f>IFERROR(__xludf.DUMMYFUNCTION("""COMPUTED_VALUE"""),"")</f>
        <v/>
      </c>
      <c r="C18089" s="42" t="str">
        <f>IFERROR(__xludf.DUMMYFUNCTION("""COMPUTED_VALUE"""),"")</f>
        <v/>
      </c>
      <c r="D18089" s="42"/>
      <c r="E18089" s="42"/>
      <c r="F18089" s="48" t="str">
        <f>IFERROR(__xludf.DUMMYFUNCTION("""COMPUTED_VALUE"""),"")</f>
        <v/>
      </c>
      <c r="G18089" s="42" t="str">
        <f>IFERROR(__xludf.DUMMYFUNCTION("""COMPUTED_VALUE"""),"")</f>
        <v/>
      </c>
      <c r="H18089" s="42">
        <f t="shared" si="1"/>
        <v>3345</v>
      </c>
    </row>
    <row r="18090" ht="22.5" customHeight="1">
      <c r="B18090" s="42" t="str">
        <f>IFERROR(__xludf.DUMMYFUNCTION("""COMPUTED_VALUE"""),"")</f>
        <v/>
      </c>
      <c r="C18090" s="42" t="str">
        <f>IFERROR(__xludf.DUMMYFUNCTION("""COMPUTED_VALUE"""),"")</f>
        <v/>
      </c>
      <c r="D18090" s="42"/>
      <c r="E18090" s="42"/>
      <c r="F18090" s="48" t="str">
        <f>IFERROR(__xludf.DUMMYFUNCTION("""COMPUTED_VALUE"""),"")</f>
        <v/>
      </c>
      <c r="G18090" s="42" t="str">
        <f>IFERROR(__xludf.DUMMYFUNCTION("""COMPUTED_VALUE"""),"")</f>
        <v/>
      </c>
      <c r="H18090" s="42">
        <f t="shared" si="1"/>
        <v>3345</v>
      </c>
    </row>
    <row r="18091" ht="22.5" customHeight="1">
      <c r="B18091" s="42" t="str">
        <f>IFERROR(__xludf.DUMMYFUNCTION("""COMPUTED_VALUE"""),"")</f>
        <v/>
      </c>
      <c r="C18091" s="42" t="str">
        <f>IFERROR(__xludf.DUMMYFUNCTION("""COMPUTED_VALUE"""),"")</f>
        <v/>
      </c>
      <c r="D18091" s="42"/>
      <c r="E18091" s="42"/>
      <c r="F18091" s="48" t="str">
        <f>IFERROR(__xludf.DUMMYFUNCTION("""COMPUTED_VALUE"""),"")</f>
        <v/>
      </c>
      <c r="G18091" s="42" t="str">
        <f>IFERROR(__xludf.DUMMYFUNCTION("""COMPUTED_VALUE"""),"")</f>
        <v/>
      </c>
      <c r="H18091" s="42">
        <f t="shared" si="1"/>
        <v>3345</v>
      </c>
    </row>
    <row r="18092" ht="22.5" customHeight="1">
      <c r="B18092" s="42" t="str">
        <f>IFERROR(__xludf.DUMMYFUNCTION("""COMPUTED_VALUE"""),"")</f>
        <v/>
      </c>
      <c r="C18092" s="42" t="str">
        <f>IFERROR(__xludf.DUMMYFUNCTION("""COMPUTED_VALUE"""),"")</f>
        <v/>
      </c>
      <c r="D18092" s="42"/>
      <c r="E18092" s="42"/>
      <c r="F18092" s="48" t="str">
        <f>IFERROR(__xludf.DUMMYFUNCTION("""COMPUTED_VALUE"""),"")</f>
        <v/>
      </c>
      <c r="G18092" s="42" t="str">
        <f>IFERROR(__xludf.DUMMYFUNCTION("""COMPUTED_VALUE"""),"")</f>
        <v/>
      </c>
      <c r="H18092" s="42">
        <f t="shared" si="1"/>
        <v>3345</v>
      </c>
    </row>
    <row r="18093" ht="22.5" customHeight="1">
      <c r="B18093" s="42" t="str">
        <f>IFERROR(__xludf.DUMMYFUNCTION("""COMPUTED_VALUE"""),"")</f>
        <v/>
      </c>
      <c r="C18093" s="42" t="str">
        <f>IFERROR(__xludf.DUMMYFUNCTION("""COMPUTED_VALUE"""),"")</f>
        <v/>
      </c>
      <c r="D18093" s="42"/>
      <c r="E18093" s="42"/>
      <c r="F18093" s="48" t="str">
        <f>IFERROR(__xludf.DUMMYFUNCTION("""COMPUTED_VALUE"""),"")</f>
        <v/>
      </c>
      <c r="G18093" s="42" t="str">
        <f>IFERROR(__xludf.DUMMYFUNCTION("""COMPUTED_VALUE"""),"")</f>
        <v/>
      </c>
      <c r="H18093" s="42">
        <f t="shared" si="1"/>
        <v>3345</v>
      </c>
    </row>
    <row r="18094" ht="22.5" customHeight="1">
      <c r="B18094" s="42" t="str">
        <f>IFERROR(__xludf.DUMMYFUNCTION("""COMPUTED_VALUE"""),"")</f>
        <v/>
      </c>
      <c r="C18094" s="42" t="str">
        <f>IFERROR(__xludf.DUMMYFUNCTION("""COMPUTED_VALUE"""),"")</f>
        <v/>
      </c>
      <c r="D18094" s="42"/>
      <c r="E18094" s="42"/>
      <c r="F18094" s="48" t="str">
        <f>IFERROR(__xludf.DUMMYFUNCTION("""COMPUTED_VALUE"""),"")</f>
        <v/>
      </c>
      <c r="G18094" s="42" t="str">
        <f>IFERROR(__xludf.DUMMYFUNCTION("""COMPUTED_VALUE"""),"")</f>
        <v/>
      </c>
      <c r="H18094" s="42">
        <f t="shared" si="1"/>
        <v>3345</v>
      </c>
    </row>
    <row r="18095" ht="22.5" customHeight="1">
      <c r="B18095" s="42" t="str">
        <f>IFERROR(__xludf.DUMMYFUNCTION("""COMPUTED_VALUE"""),"")</f>
        <v/>
      </c>
      <c r="C18095" s="42" t="str">
        <f>IFERROR(__xludf.DUMMYFUNCTION("""COMPUTED_VALUE"""),"")</f>
        <v/>
      </c>
      <c r="D18095" s="42"/>
      <c r="E18095" s="42"/>
      <c r="F18095" s="48" t="str">
        <f>IFERROR(__xludf.DUMMYFUNCTION("""COMPUTED_VALUE"""),"")</f>
        <v/>
      </c>
      <c r="G18095" s="42" t="str">
        <f>IFERROR(__xludf.DUMMYFUNCTION("""COMPUTED_VALUE"""),"")</f>
        <v/>
      </c>
      <c r="H18095" s="42">
        <f t="shared" si="1"/>
        <v>3345</v>
      </c>
    </row>
    <row r="18096" ht="22.5" customHeight="1">
      <c r="B18096" s="42" t="str">
        <f>IFERROR(__xludf.DUMMYFUNCTION("""COMPUTED_VALUE"""),"")</f>
        <v/>
      </c>
      <c r="C18096" s="42" t="str">
        <f>IFERROR(__xludf.DUMMYFUNCTION("""COMPUTED_VALUE"""),"")</f>
        <v/>
      </c>
      <c r="D18096" s="42"/>
      <c r="E18096" s="42"/>
      <c r="F18096" s="48" t="str">
        <f>IFERROR(__xludf.DUMMYFUNCTION("""COMPUTED_VALUE"""),"")</f>
        <v/>
      </c>
      <c r="G18096" s="42" t="str">
        <f>IFERROR(__xludf.DUMMYFUNCTION("""COMPUTED_VALUE"""),"")</f>
        <v/>
      </c>
      <c r="H18096" s="42">
        <f t="shared" si="1"/>
        <v>3345</v>
      </c>
    </row>
    <row r="18097" ht="22.5" customHeight="1">
      <c r="B18097" s="42" t="str">
        <f>IFERROR(__xludf.DUMMYFUNCTION("""COMPUTED_VALUE"""),"")</f>
        <v/>
      </c>
      <c r="C18097" s="42" t="str">
        <f>IFERROR(__xludf.DUMMYFUNCTION("""COMPUTED_VALUE"""),"")</f>
        <v/>
      </c>
      <c r="D18097" s="42"/>
      <c r="E18097" s="42"/>
      <c r="F18097" s="48" t="str">
        <f>IFERROR(__xludf.DUMMYFUNCTION("""COMPUTED_VALUE"""),"")</f>
        <v/>
      </c>
      <c r="G18097" s="42" t="str">
        <f>IFERROR(__xludf.DUMMYFUNCTION("""COMPUTED_VALUE"""),"")</f>
        <v/>
      </c>
      <c r="H18097" s="42">
        <f t="shared" si="1"/>
        <v>3345</v>
      </c>
    </row>
    <row r="18098" ht="22.5" customHeight="1">
      <c r="B18098" s="42" t="str">
        <f>IFERROR(__xludf.DUMMYFUNCTION("""COMPUTED_VALUE"""),"")</f>
        <v/>
      </c>
      <c r="C18098" s="42" t="str">
        <f>IFERROR(__xludf.DUMMYFUNCTION("""COMPUTED_VALUE"""),"")</f>
        <v/>
      </c>
      <c r="D18098" s="42"/>
      <c r="E18098" s="42"/>
      <c r="F18098" s="48" t="str">
        <f>IFERROR(__xludf.DUMMYFUNCTION("""COMPUTED_VALUE"""),"")</f>
        <v/>
      </c>
      <c r="G18098" s="42" t="str">
        <f>IFERROR(__xludf.DUMMYFUNCTION("""COMPUTED_VALUE"""),"")</f>
        <v/>
      </c>
      <c r="H18098" s="42">
        <f t="shared" si="1"/>
        <v>3345</v>
      </c>
    </row>
    <row r="18099" ht="22.5" customHeight="1">
      <c r="B18099" s="42" t="str">
        <f>IFERROR(__xludf.DUMMYFUNCTION("""COMPUTED_VALUE"""),"")</f>
        <v/>
      </c>
      <c r="C18099" s="42" t="str">
        <f>IFERROR(__xludf.DUMMYFUNCTION("""COMPUTED_VALUE"""),"")</f>
        <v/>
      </c>
      <c r="D18099" s="42"/>
      <c r="E18099" s="42"/>
      <c r="F18099" s="48" t="str">
        <f>IFERROR(__xludf.DUMMYFUNCTION("""COMPUTED_VALUE"""),"")</f>
        <v/>
      </c>
      <c r="G18099" s="42" t="str">
        <f>IFERROR(__xludf.DUMMYFUNCTION("""COMPUTED_VALUE"""),"")</f>
        <v/>
      </c>
      <c r="H18099" s="42">
        <f t="shared" si="1"/>
        <v>3345</v>
      </c>
    </row>
    <row r="18100" ht="22.5" customHeight="1">
      <c r="B18100" s="42" t="str">
        <f>IFERROR(__xludf.DUMMYFUNCTION("""COMPUTED_VALUE"""),"")</f>
        <v/>
      </c>
      <c r="C18100" s="42" t="str">
        <f>IFERROR(__xludf.DUMMYFUNCTION("""COMPUTED_VALUE"""),"")</f>
        <v/>
      </c>
      <c r="D18100" s="42"/>
      <c r="E18100" s="42"/>
      <c r="F18100" s="48" t="str">
        <f>IFERROR(__xludf.DUMMYFUNCTION("""COMPUTED_VALUE"""),"")</f>
        <v/>
      </c>
      <c r="G18100" s="42" t="str">
        <f>IFERROR(__xludf.DUMMYFUNCTION("""COMPUTED_VALUE"""),"")</f>
        <v/>
      </c>
      <c r="H18100" s="42">
        <f t="shared" si="1"/>
        <v>3345</v>
      </c>
    </row>
    <row r="18101" ht="22.5" customHeight="1">
      <c r="B18101" s="42" t="str">
        <f>IFERROR(__xludf.DUMMYFUNCTION("""COMPUTED_VALUE"""),"")</f>
        <v/>
      </c>
      <c r="C18101" s="42" t="str">
        <f>IFERROR(__xludf.DUMMYFUNCTION("""COMPUTED_VALUE"""),"")</f>
        <v/>
      </c>
      <c r="D18101" s="42"/>
      <c r="E18101" s="42"/>
      <c r="F18101" s="48" t="str">
        <f>IFERROR(__xludf.DUMMYFUNCTION("""COMPUTED_VALUE"""),"")</f>
        <v/>
      </c>
      <c r="G18101" s="42" t="str">
        <f>IFERROR(__xludf.DUMMYFUNCTION("""COMPUTED_VALUE"""),"")</f>
        <v/>
      </c>
      <c r="H18101" s="42">
        <f t="shared" si="1"/>
        <v>3345</v>
      </c>
    </row>
    <row r="18102" ht="22.5" customHeight="1">
      <c r="B18102" s="42" t="str">
        <f>IFERROR(__xludf.DUMMYFUNCTION("""COMPUTED_VALUE"""),"")</f>
        <v/>
      </c>
      <c r="C18102" s="42" t="str">
        <f>IFERROR(__xludf.DUMMYFUNCTION("""COMPUTED_VALUE"""),"")</f>
        <v/>
      </c>
      <c r="D18102" s="42"/>
      <c r="E18102" s="42"/>
      <c r="F18102" s="48" t="str">
        <f>IFERROR(__xludf.DUMMYFUNCTION("""COMPUTED_VALUE"""),"")</f>
        <v/>
      </c>
      <c r="G18102" s="42" t="str">
        <f>IFERROR(__xludf.DUMMYFUNCTION("""COMPUTED_VALUE"""),"")</f>
        <v/>
      </c>
      <c r="H18102" s="42">
        <f t="shared" si="1"/>
        <v>3345</v>
      </c>
    </row>
    <row r="18103" ht="22.5" customHeight="1">
      <c r="B18103" s="42" t="str">
        <f>IFERROR(__xludf.DUMMYFUNCTION("""COMPUTED_VALUE"""),"")</f>
        <v/>
      </c>
      <c r="C18103" s="42" t="str">
        <f>IFERROR(__xludf.DUMMYFUNCTION("""COMPUTED_VALUE"""),"")</f>
        <v/>
      </c>
      <c r="D18103" s="42"/>
      <c r="E18103" s="42"/>
      <c r="F18103" s="48" t="str">
        <f>IFERROR(__xludf.DUMMYFUNCTION("""COMPUTED_VALUE"""),"")</f>
        <v/>
      </c>
      <c r="G18103" s="42" t="str">
        <f>IFERROR(__xludf.DUMMYFUNCTION("""COMPUTED_VALUE"""),"")</f>
        <v/>
      </c>
      <c r="H18103" s="42">
        <f t="shared" si="1"/>
        <v>3345</v>
      </c>
    </row>
    <row r="18104" ht="22.5" customHeight="1">
      <c r="B18104" s="42" t="str">
        <f>IFERROR(__xludf.DUMMYFUNCTION("""COMPUTED_VALUE"""),"")</f>
        <v/>
      </c>
      <c r="C18104" s="42" t="str">
        <f>IFERROR(__xludf.DUMMYFUNCTION("""COMPUTED_VALUE"""),"")</f>
        <v/>
      </c>
      <c r="D18104" s="42"/>
      <c r="E18104" s="42"/>
      <c r="F18104" s="48" t="str">
        <f>IFERROR(__xludf.DUMMYFUNCTION("""COMPUTED_VALUE"""),"")</f>
        <v/>
      </c>
      <c r="G18104" s="42" t="str">
        <f>IFERROR(__xludf.DUMMYFUNCTION("""COMPUTED_VALUE"""),"")</f>
        <v/>
      </c>
      <c r="H18104" s="42">
        <f t="shared" si="1"/>
        <v>3345</v>
      </c>
    </row>
    <row r="18105" ht="22.5" customHeight="1">
      <c r="B18105" s="42" t="str">
        <f>IFERROR(__xludf.DUMMYFUNCTION("""COMPUTED_VALUE"""),"")</f>
        <v/>
      </c>
      <c r="C18105" s="42" t="str">
        <f>IFERROR(__xludf.DUMMYFUNCTION("""COMPUTED_VALUE"""),"")</f>
        <v/>
      </c>
      <c r="D18105" s="42"/>
      <c r="E18105" s="42"/>
      <c r="F18105" s="48" t="str">
        <f>IFERROR(__xludf.DUMMYFUNCTION("""COMPUTED_VALUE"""),"")</f>
        <v/>
      </c>
      <c r="G18105" s="42" t="str">
        <f>IFERROR(__xludf.DUMMYFUNCTION("""COMPUTED_VALUE"""),"")</f>
        <v/>
      </c>
      <c r="H18105" s="42">
        <f t="shared" si="1"/>
        <v>3345</v>
      </c>
    </row>
    <row r="18106" ht="22.5" customHeight="1">
      <c r="B18106" s="42" t="str">
        <f>IFERROR(__xludf.DUMMYFUNCTION("""COMPUTED_VALUE"""),"")</f>
        <v/>
      </c>
      <c r="C18106" s="42" t="str">
        <f>IFERROR(__xludf.DUMMYFUNCTION("""COMPUTED_VALUE"""),"")</f>
        <v/>
      </c>
      <c r="D18106" s="42"/>
      <c r="E18106" s="42"/>
      <c r="F18106" s="48" t="str">
        <f>IFERROR(__xludf.DUMMYFUNCTION("""COMPUTED_VALUE"""),"")</f>
        <v/>
      </c>
      <c r="G18106" s="42" t="str">
        <f>IFERROR(__xludf.DUMMYFUNCTION("""COMPUTED_VALUE"""),"")</f>
        <v/>
      </c>
      <c r="H18106" s="42">
        <f t="shared" si="1"/>
        <v>3345</v>
      </c>
    </row>
    <row r="18107" ht="22.5" customHeight="1">
      <c r="B18107" s="42" t="str">
        <f>IFERROR(__xludf.DUMMYFUNCTION("""COMPUTED_VALUE"""),"")</f>
        <v/>
      </c>
      <c r="C18107" s="42" t="str">
        <f>IFERROR(__xludf.DUMMYFUNCTION("""COMPUTED_VALUE"""),"")</f>
        <v/>
      </c>
      <c r="D18107" s="42"/>
      <c r="E18107" s="42"/>
      <c r="F18107" s="48" t="str">
        <f>IFERROR(__xludf.DUMMYFUNCTION("""COMPUTED_VALUE"""),"")</f>
        <v/>
      </c>
      <c r="G18107" s="42" t="str">
        <f>IFERROR(__xludf.DUMMYFUNCTION("""COMPUTED_VALUE"""),"")</f>
        <v/>
      </c>
      <c r="H18107" s="42">
        <f t="shared" si="1"/>
        <v>3345</v>
      </c>
    </row>
    <row r="18108" ht="22.5" customHeight="1">
      <c r="B18108" s="42" t="str">
        <f>IFERROR(__xludf.DUMMYFUNCTION("""COMPUTED_VALUE"""),"")</f>
        <v/>
      </c>
      <c r="C18108" s="42" t="str">
        <f>IFERROR(__xludf.DUMMYFUNCTION("""COMPUTED_VALUE"""),"")</f>
        <v/>
      </c>
      <c r="D18108" s="42"/>
      <c r="E18108" s="42"/>
      <c r="F18108" s="48" t="str">
        <f>IFERROR(__xludf.DUMMYFUNCTION("""COMPUTED_VALUE"""),"")</f>
        <v/>
      </c>
      <c r="G18108" s="42" t="str">
        <f>IFERROR(__xludf.DUMMYFUNCTION("""COMPUTED_VALUE"""),"")</f>
        <v/>
      </c>
      <c r="H18108" s="42">
        <f t="shared" si="1"/>
        <v>3345</v>
      </c>
    </row>
    <row r="18109" ht="22.5" customHeight="1">
      <c r="B18109" s="42" t="str">
        <f>IFERROR(__xludf.DUMMYFUNCTION("""COMPUTED_VALUE"""),"")</f>
        <v/>
      </c>
      <c r="C18109" s="42" t="str">
        <f>IFERROR(__xludf.DUMMYFUNCTION("""COMPUTED_VALUE"""),"")</f>
        <v/>
      </c>
      <c r="D18109" s="42"/>
      <c r="E18109" s="42"/>
      <c r="F18109" s="48" t="str">
        <f>IFERROR(__xludf.DUMMYFUNCTION("""COMPUTED_VALUE"""),"")</f>
        <v/>
      </c>
      <c r="G18109" s="42" t="str">
        <f>IFERROR(__xludf.DUMMYFUNCTION("""COMPUTED_VALUE"""),"")</f>
        <v/>
      </c>
      <c r="H18109" s="42">
        <f t="shared" si="1"/>
        <v>3345</v>
      </c>
    </row>
    <row r="18110" ht="22.5" customHeight="1">
      <c r="B18110" s="42" t="str">
        <f>IFERROR(__xludf.DUMMYFUNCTION("""COMPUTED_VALUE"""),"")</f>
        <v/>
      </c>
      <c r="C18110" s="42" t="str">
        <f>IFERROR(__xludf.DUMMYFUNCTION("""COMPUTED_VALUE"""),"")</f>
        <v/>
      </c>
      <c r="D18110" s="42"/>
      <c r="E18110" s="42"/>
      <c r="F18110" s="48" t="str">
        <f>IFERROR(__xludf.DUMMYFUNCTION("""COMPUTED_VALUE"""),"")</f>
        <v/>
      </c>
      <c r="G18110" s="42" t="str">
        <f>IFERROR(__xludf.DUMMYFUNCTION("""COMPUTED_VALUE"""),"")</f>
        <v/>
      </c>
      <c r="H18110" s="42">
        <f t="shared" si="1"/>
        <v>3345</v>
      </c>
    </row>
    <row r="18111" ht="22.5" customHeight="1">
      <c r="B18111" s="42" t="str">
        <f>IFERROR(__xludf.DUMMYFUNCTION("""COMPUTED_VALUE"""),"")</f>
        <v/>
      </c>
      <c r="C18111" s="42" t="str">
        <f>IFERROR(__xludf.DUMMYFUNCTION("""COMPUTED_VALUE"""),"")</f>
        <v/>
      </c>
      <c r="D18111" s="42"/>
      <c r="E18111" s="42"/>
      <c r="F18111" s="48" t="str">
        <f>IFERROR(__xludf.DUMMYFUNCTION("""COMPUTED_VALUE"""),"")</f>
        <v/>
      </c>
      <c r="G18111" s="42" t="str">
        <f>IFERROR(__xludf.DUMMYFUNCTION("""COMPUTED_VALUE"""),"")</f>
        <v/>
      </c>
      <c r="H18111" s="42">
        <f t="shared" si="1"/>
        <v>3345</v>
      </c>
    </row>
    <row r="18112" ht="22.5" customHeight="1">
      <c r="B18112" s="42" t="str">
        <f>IFERROR(__xludf.DUMMYFUNCTION("""COMPUTED_VALUE"""),"")</f>
        <v/>
      </c>
      <c r="C18112" s="42" t="str">
        <f>IFERROR(__xludf.DUMMYFUNCTION("""COMPUTED_VALUE"""),"")</f>
        <v/>
      </c>
      <c r="D18112" s="42"/>
      <c r="E18112" s="42"/>
      <c r="F18112" s="48" t="str">
        <f>IFERROR(__xludf.DUMMYFUNCTION("""COMPUTED_VALUE"""),"")</f>
        <v/>
      </c>
      <c r="G18112" s="42" t="str">
        <f>IFERROR(__xludf.DUMMYFUNCTION("""COMPUTED_VALUE"""),"")</f>
        <v/>
      </c>
      <c r="H18112" s="42">
        <f t="shared" si="1"/>
        <v>3345</v>
      </c>
    </row>
    <row r="18113" ht="22.5" customHeight="1">
      <c r="B18113" s="42" t="str">
        <f>IFERROR(__xludf.DUMMYFUNCTION("""COMPUTED_VALUE"""),"")</f>
        <v/>
      </c>
      <c r="C18113" s="42" t="str">
        <f>IFERROR(__xludf.DUMMYFUNCTION("""COMPUTED_VALUE"""),"")</f>
        <v/>
      </c>
      <c r="D18113" s="42"/>
      <c r="E18113" s="42"/>
      <c r="F18113" s="48" t="str">
        <f>IFERROR(__xludf.DUMMYFUNCTION("""COMPUTED_VALUE"""),"")</f>
        <v/>
      </c>
      <c r="G18113" s="42" t="str">
        <f>IFERROR(__xludf.DUMMYFUNCTION("""COMPUTED_VALUE"""),"")</f>
        <v/>
      </c>
      <c r="H18113" s="42">
        <f t="shared" si="1"/>
        <v>3345</v>
      </c>
    </row>
    <row r="18114" ht="22.5" customHeight="1">
      <c r="B18114" s="42" t="str">
        <f>IFERROR(__xludf.DUMMYFUNCTION("""COMPUTED_VALUE"""),"")</f>
        <v/>
      </c>
      <c r="C18114" s="42" t="str">
        <f>IFERROR(__xludf.DUMMYFUNCTION("""COMPUTED_VALUE"""),"")</f>
        <v/>
      </c>
      <c r="D18114" s="42"/>
      <c r="E18114" s="42"/>
      <c r="F18114" s="48" t="str">
        <f>IFERROR(__xludf.DUMMYFUNCTION("""COMPUTED_VALUE"""),"")</f>
        <v/>
      </c>
      <c r="G18114" s="42" t="str">
        <f>IFERROR(__xludf.DUMMYFUNCTION("""COMPUTED_VALUE"""),"")</f>
        <v/>
      </c>
      <c r="H18114" s="42">
        <f t="shared" si="1"/>
        <v>3345</v>
      </c>
    </row>
    <row r="18115" ht="22.5" customHeight="1">
      <c r="B18115" s="42" t="str">
        <f>IFERROR(__xludf.DUMMYFUNCTION("""COMPUTED_VALUE"""),"")</f>
        <v/>
      </c>
      <c r="C18115" s="42" t="str">
        <f>IFERROR(__xludf.DUMMYFUNCTION("""COMPUTED_VALUE"""),"")</f>
        <v/>
      </c>
      <c r="D18115" s="42"/>
      <c r="E18115" s="42"/>
      <c r="F18115" s="48" t="str">
        <f>IFERROR(__xludf.DUMMYFUNCTION("""COMPUTED_VALUE"""),"")</f>
        <v/>
      </c>
      <c r="G18115" s="42" t="str">
        <f>IFERROR(__xludf.DUMMYFUNCTION("""COMPUTED_VALUE"""),"")</f>
        <v/>
      </c>
      <c r="H18115" s="42">
        <f t="shared" si="1"/>
        <v>3345</v>
      </c>
    </row>
    <row r="18116" ht="22.5" customHeight="1">
      <c r="B18116" s="42" t="str">
        <f>IFERROR(__xludf.DUMMYFUNCTION("""COMPUTED_VALUE"""),"")</f>
        <v/>
      </c>
      <c r="C18116" s="42" t="str">
        <f>IFERROR(__xludf.DUMMYFUNCTION("""COMPUTED_VALUE"""),"")</f>
        <v/>
      </c>
      <c r="D18116" s="42"/>
      <c r="E18116" s="42"/>
      <c r="F18116" s="48" t="str">
        <f>IFERROR(__xludf.DUMMYFUNCTION("""COMPUTED_VALUE"""),"")</f>
        <v/>
      </c>
      <c r="G18116" s="42" t="str">
        <f>IFERROR(__xludf.DUMMYFUNCTION("""COMPUTED_VALUE"""),"")</f>
        <v/>
      </c>
      <c r="H18116" s="42">
        <f t="shared" si="1"/>
        <v>3345</v>
      </c>
    </row>
    <row r="18117" ht="22.5" customHeight="1">
      <c r="B18117" s="42" t="str">
        <f>IFERROR(__xludf.DUMMYFUNCTION("""COMPUTED_VALUE"""),"")</f>
        <v/>
      </c>
      <c r="C18117" s="42" t="str">
        <f>IFERROR(__xludf.DUMMYFUNCTION("""COMPUTED_VALUE"""),"")</f>
        <v/>
      </c>
      <c r="D18117" s="42"/>
      <c r="E18117" s="42"/>
      <c r="F18117" s="48" t="str">
        <f>IFERROR(__xludf.DUMMYFUNCTION("""COMPUTED_VALUE"""),"")</f>
        <v/>
      </c>
      <c r="G18117" s="42" t="str">
        <f>IFERROR(__xludf.DUMMYFUNCTION("""COMPUTED_VALUE"""),"")</f>
        <v/>
      </c>
      <c r="H18117" s="42">
        <f t="shared" si="1"/>
        <v>3345</v>
      </c>
    </row>
    <row r="18118" ht="22.5" customHeight="1">
      <c r="B18118" s="42" t="str">
        <f>IFERROR(__xludf.DUMMYFUNCTION("""COMPUTED_VALUE"""),"")</f>
        <v/>
      </c>
      <c r="C18118" s="42" t="str">
        <f>IFERROR(__xludf.DUMMYFUNCTION("""COMPUTED_VALUE"""),"")</f>
        <v/>
      </c>
      <c r="D18118" s="42"/>
      <c r="E18118" s="42"/>
      <c r="F18118" s="48" t="str">
        <f>IFERROR(__xludf.DUMMYFUNCTION("""COMPUTED_VALUE"""),"")</f>
        <v/>
      </c>
      <c r="G18118" s="42" t="str">
        <f>IFERROR(__xludf.DUMMYFUNCTION("""COMPUTED_VALUE"""),"")</f>
        <v/>
      </c>
      <c r="H18118" s="42">
        <f t="shared" si="1"/>
        <v>3345</v>
      </c>
    </row>
    <row r="18119" ht="22.5" customHeight="1">
      <c r="B18119" s="42" t="str">
        <f>IFERROR(__xludf.DUMMYFUNCTION("""COMPUTED_VALUE"""),"")</f>
        <v/>
      </c>
      <c r="C18119" s="42" t="str">
        <f>IFERROR(__xludf.DUMMYFUNCTION("""COMPUTED_VALUE"""),"")</f>
        <v/>
      </c>
      <c r="D18119" s="42"/>
      <c r="E18119" s="42"/>
      <c r="F18119" s="48" t="str">
        <f>IFERROR(__xludf.DUMMYFUNCTION("""COMPUTED_VALUE"""),"")</f>
        <v/>
      </c>
      <c r="G18119" s="42" t="str">
        <f>IFERROR(__xludf.DUMMYFUNCTION("""COMPUTED_VALUE"""),"")</f>
        <v/>
      </c>
      <c r="H18119" s="42">
        <f t="shared" si="1"/>
        <v>3345</v>
      </c>
    </row>
    <row r="18120" ht="22.5" customHeight="1">
      <c r="B18120" s="42" t="str">
        <f>IFERROR(__xludf.DUMMYFUNCTION("""COMPUTED_VALUE"""),"")</f>
        <v/>
      </c>
      <c r="C18120" s="42" t="str">
        <f>IFERROR(__xludf.DUMMYFUNCTION("""COMPUTED_VALUE"""),"")</f>
        <v/>
      </c>
      <c r="D18120" s="42"/>
      <c r="E18120" s="42"/>
      <c r="F18120" s="48" t="str">
        <f>IFERROR(__xludf.DUMMYFUNCTION("""COMPUTED_VALUE"""),"")</f>
        <v/>
      </c>
      <c r="G18120" s="42" t="str">
        <f>IFERROR(__xludf.DUMMYFUNCTION("""COMPUTED_VALUE"""),"")</f>
        <v/>
      </c>
      <c r="H18120" s="42">
        <f t="shared" si="1"/>
        <v>3345</v>
      </c>
    </row>
    <row r="18121" ht="22.5" customHeight="1">
      <c r="B18121" s="42" t="str">
        <f>IFERROR(__xludf.DUMMYFUNCTION("""COMPUTED_VALUE"""),"")</f>
        <v/>
      </c>
      <c r="C18121" s="42" t="str">
        <f>IFERROR(__xludf.DUMMYFUNCTION("""COMPUTED_VALUE"""),"")</f>
        <v/>
      </c>
      <c r="D18121" s="42"/>
      <c r="E18121" s="42"/>
      <c r="F18121" s="48" t="str">
        <f>IFERROR(__xludf.DUMMYFUNCTION("""COMPUTED_VALUE"""),"")</f>
        <v/>
      </c>
      <c r="G18121" s="42" t="str">
        <f>IFERROR(__xludf.DUMMYFUNCTION("""COMPUTED_VALUE"""),"")</f>
        <v/>
      </c>
      <c r="H18121" s="42">
        <f t="shared" si="1"/>
        <v>3345</v>
      </c>
    </row>
    <row r="18122" ht="22.5" customHeight="1">
      <c r="B18122" s="42" t="str">
        <f>IFERROR(__xludf.DUMMYFUNCTION("""COMPUTED_VALUE"""),"")</f>
        <v/>
      </c>
      <c r="C18122" s="42" t="str">
        <f>IFERROR(__xludf.DUMMYFUNCTION("""COMPUTED_VALUE"""),"")</f>
        <v/>
      </c>
      <c r="D18122" s="42"/>
      <c r="E18122" s="42"/>
      <c r="F18122" s="48" t="str">
        <f>IFERROR(__xludf.DUMMYFUNCTION("""COMPUTED_VALUE"""),"")</f>
        <v/>
      </c>
      <c r="G18122" s="42" t="str">
        <f>IFERROR(__xludf.DUMMYFUNCTION("""COMPUTED_VALUE"""),"")</f>
        <v/>
      </c>
      <c r="H18122" s="42">
        <f t="shared" si="1"/>
        <v>3345</v>
      </c>
    </row>
    <row r="18123" ht="22.5" customHeight="1">
      <c r="B18123" s="42" t="str">
        <f>IFERROR(__xludf.DUMMYFUNCTION("""COMPUTED_VALUE"""),"")</f>
        <v/>
      </c>
      <c r="C18123" s="42" t="str">
        <f>IFERROR(__xludf.DUMMYFUNCTION("""COMPUTED_VALUE"""),"")</f>
        <v/>
      </c>
      <c r="D18123" s="42"/>
      <c r="E18123" s="42"/>
      <c r="F18123" s="48" t="str">
        <f>IFERROR(__xludf.DUMMYFUNCTION("""COMPUTED_VALUE"""),"")</f>
        <v/>
      </c>
      <c r="G18123" s="42" t="str">
        <f>IFERROR(__xludf.DUMMYFUNCTION("""COMPUTED_VALUE"""),"")</f>
        <v/>
      </c>
      <c r="H18123" s="42">
        <f t="shared" si="1"/>
        <v>3345</v>
      </c>
    </row>
    <row r="18124" ht="22.5" customHeight="1">
      <c r="B18124" s="42" t="str">
        <f>IFERROR(__xludf.DUMMYFUNCTION("""COMPUTED_VALUE"""),"")</f>
        <v/>
      </c>
      <c r="C18124" s="42" t="str">
        <f>IFERROR(__xludf.DUMMYFUNCTION("""COMPUTED_VALUE"""),"")</f>
        <v/>
      </c>
      <c r="D18124" s="42"/>
      <c r="E18124" s="42"/>
      <c r="F18124" s="48" t="str">
        <f>IFERROR(__xludf.DUMMYFUNCTION("""COMPUTED_VALUE"""),"")</f>
        <v/>
      </c>
      <c r="G18124" s="42" t="str">
        <f>IFERROR(__xludf.DUMMYFUNCTION("""COMPUTED_VALUE"""),"")</f>
        <v/>
      </c>
      <c r="H18124" s="42">
        <f t="shared" si="1"/>
        <v>3345</v>
      </c>
    </row>
    <row r="18125" ht="22.5" customHeight="1">
      <c r="B18125" s="42" t="str">
        <f>IFERROR(__xludf.DUMMYFUNCTION("""COMPUTED_VALUE"""),"")</f>
        <v/>
      </c>
      <c r="C18125" s="42" t="str">
        <f>IFERROR(__xludf.DUMMYFUNCTION("""COMPUTED_VALUE"""),"")</f>
        <v/>
      </c>
      <c r="D18125" s="42"/>
      <c r="E18125" s="42"/>
      <c r="F18125" s="48" t="str">
        <f>IFERROR(__xludf.DUMMYFUNCTION("""COMPUTED_VALUE"""),"")</f>
        <v/>
      </c>
      <c r="G18125" s="42" t="str">
        <f>IFERROR(__xludf.DUMMYFUNCTION("""COMPUTED_VALUE"""),"")</f>
        <v/>
      </c>
      <c r="H18125" s="42">
        <f t="shared" si="1"/>
        <v>3345</v>
      </c>
    </row>
    <row r="18126" ht="22.5" customHeight="1">
      <c r="B18126" s="42" t="str">
        <f>IFERROR(__xludf.DUMMYFUNCTION("""COMPUTED_VALUE"""),"")</f>
        <v/>
      </c>
      <c r="C18126" s="42" t="str">
        <f>IFERROR(__xludf.DUMMYFUNCTION("""COMPUTED_VALUE"""),"")</f>
        <v/>
      </c>
      <c r="D18126" s="42"/>
      <c r="E18126" s="42"/>
      <c r="F18126" s="48" t="str">
        <f>IFERROR(__xludf.DUMMYFUNCTION("""COMPUTED_VALUE"""),"")</f>
        <v/>
      </c>
      <c r="G18126" s="42" t="str">
        <f>IFERROR(__xludf.DUMMYFUNCTION("""COMPUTED_VALUE"""),"")</f>
        <v/>
      </c>
      <c r="H18126" s="42">
        <f t="shared" si="1"/>
        <v>3345</v>
      </c>
    </row>
    <row r="18127" ht="22.5" customHeight="1">
      <c r="B18127" s="42" t="str">
        <f>IFERROR(__xludf.DUMMYFUNCTION("""COMPUTED_VALUE"""),"")</f>
        <v/>
      </c>
      <c r="C18127" s="42" t="str">
        <f>IFERROR(__xludf.DUMMYFUNCTION("""COMPUTED_VALUE"""),"")</f>
        <v/>
      </c>
      <c r="D18127" s="42"/>
      <c r="E18127" s="42"/>
      <c r="F18127" s="48" t="str">
        <f>IFERROR(__xludf.DUMMYFUNCTION("""COMPUTED_VALUE"""),"")</f>
        <v/>
      </c>
      <c r="G18127" s="42" t="str">
        <f>IFERROR(__xludf.DUMMYFUNCTION("""COMPUTED_VALUE"""),"")</f>
        <v/>
      </c>
      <c r="H18127" s="42">
        <f t="shared" si="1"/>
        <v>3345</v>
      </c>
    </row>
    <row r="18128" ht="22.5" customHeight="1">
      <c r="B18128" s="42" t="str">
        <f>IFERROR(__xludf.DUMMYFUNCTION("""COMPUTED_VALUE"""),"")</f>
        <v/>
      </c>
      <c r="C18128" s="42" t="str">
        <f>IFERROR(__xludf.DUMMYFUNCTION("""COMPUTED_VALUE"""),"")</f>
        <v/>
      </c>
      <c r="D18128" s="42"/>
      <c r="E18128" s="42"/>
      <c r="F18128" s="48" t="str">
        <f>IFERROR(__xludf.DUMMYFUNCTION("""COMPUTED_VALUE"""),"")</f>
        <v/>
      </c>
      <c r="G18128" s="42" t="str">
        <f>IFERROR(__xludf.DUMMYFUNCTION("""COMPUTED_VALUE"""),"")</f>
        <v/>
      </c>
      <c r="H18128" s="42">
        <f t="shared" si="1"/>
        <v>3345</v>
      </c>
    </row>
    <row r="18129" ht="22.5" customHeight="1">
      <c r="B18129" s="42" t="str">
        <f>IFERROR(__xludf.DUMMYFUNCTION("""COMPUTED_VALUE"""),"")</f>
        <v/>
      </c>
      <c r="C18129" s="42" t="str">
        <f>IFERROR(__xludf.DUMMYFUNCTION("""COMPUTED_VALUE"""),"")</f>
        <v/>
      </c>
      <c r="D18129" s="42"/>
      <c r="E18129" s="42"/>
      <c r="F18129" s="48" t="str">
        <f>IFERROR(__xludf.DUMMYFUNCTION("""COMPUTED_VALUE"""),"")</f>
        <v/>
      </c>
      <c r="G18129" s="42" t="str">
        <f>IFERROR(__xludf.DUMMYFUNCTION("""COMPUTED_VALUE"""),"")</f>
        <v/>
      </c>
      <c r="H18129" s="42">
        <f t="shared" si="1"/>
        <v>3345</v>
      </c>
    </row>
    <row r="18130" ht="22.5" customHeight="1">
      <c r="B18130" s="42" t="str">
        <f>IFERROR(__xludf.DUMMYFUNCTION("""COMPUTED_VALUE"""),"")</f>
        <v/>
      </c>
      <c r="C18130" s="42" t="str">
        <f>IFERROR(__xludf.DUMMYFUNCTION("""COMPUTED_VALUE"""),"")</f>
        <v/>
      </c>
      <c r="D18130" s="42"/>
      <c r="E18130" s="42"/>
      <c r="F18130" s="48" t="str">
        <f>IFERROR(__xludf.DUMMYFUNCTION("""COMPUTED_VALUE"""),"")</f>
        <v/>
      </c>
      <c r="G18130" s="42" t="str">
        <f>IFERROR(__xludf.DUMMYFUNCTION("""COMPUTED_VALUE"""),"")</f>
        <v/>
      </c>
      <c r="H18130" s="42">
        <f t="shared" si="1"/>
        <v>3345</v>
      </c>
    </row>
    <row r="18131" ht="22.5" customHeight="1">
      <c r="B18131" s="42" t="str">
        <f>IFERROR(__xludf.DUMMYFUNCTION("""COMPUTED_VALUE"""),"")</f>
        <v/>
      </c>
      <c r="C18131" s="42" t="str">
        <f>IFERROR(__xludf.DUMMYFUNCTION("""COMPUTED_VALUE"""),"")</f>
        <v/>
      </c>
      <c r="D18131" s="42"/>
      <c r="E18131" s="42"/>
      <c r="F18131" s="48" t="str">
        <f>IFERROR(__xludf.DUMMYFUNCTION("""COMPUTED_VALUE"""),"")</f>
        <v/>
      </c>
      <c r="G18131" s="42" t="str">
        <f>IFERROR(__xludf.DUMMYFUNCTION("""COMPUTED_VALUE"""),"")</f>
        <v/>
      </c>
      <c r="H18131" s="42">
        <f t="shared" si="1"/>
        <v>3345</v>
      </c>
    </row>
    <row r="18132" ht="22.5" customHeight="1">
      <c r="B18132" s="42" t="str">
        <f>IFERROR(__xludf.DUMMYFUNCTION("""COMPUTED_VALUE"""),"")</f>
        <v/>
      </c>
      <c r="C18132" s="42" t="str">
        <f>IFERROR(__xludf.DUMMYFUNCTION("""COMPUTED_VALUE"""),"")</f>
        <v/>
      </c>
      <c r="D18132" s="42"/>
      <c r="E18132" s="42"/>
      <c r="F18132" s="48" t="str">
        <f>IFERROR(__xludf.DUMMYFUNCTION("""COMPUTED_VALUE"""),"")</f>
        <v/>
      </c>
      <c r="G18132" s="42" t="str">
        <f>IFERROR(__xludf.DUMMYFUNCTION("""COMPUTED_VALUE"""),"")</f>
        <v/>
      </c>
      <c r="H18132" s="42">
        <f t="shared" si="1"/>
        <v>3345</v>
      </c>
    </row>
    <row r="18133" ht="22.5" customHeight="1">
      <c r="B18133" s="42" t="str">
        <f>IFERROR(__xludf.DUMMYFUNCTION("""COMPUTED_VALUE"""),"")</f>
        <v/>
      </c>
      <c r="C18133" s="42" t="str">
        <f>IFERROR(__xludf.DUMMYFUNCTION("""COMPUTED_VALUE"""),"")</f>
        <v/>
      </c>
      <c r="D18133" s="42"/>
      <c r="E18133" s="42"/>
      <c r="F18133" s="48" t="str">
        <f>IFERROR(__xludf.DUMMYFUNCTION("""COMPUTED_VALUE"""),"")</f>
        <v/>
      </c>
      <c r="G18133" s="42" t="str">
        <f>IFERROR(__xludf.DUMMYFUNCTION("""COMPUTED_VALUE"""),"")</f>
        <v/>
      </c>
      <c r="H18133" s="42">
        <f t="shared" si="1"/>
        <v>3345</v>
      </c>
    </row>
    <row r="18134" ht="22.5" customHeight="1">
      <c r="B18134" s="42" t="str">
        <f>IFERROR(__xludf.DUMMYFUNCTION("""COMPUTED_VALUE"""),"")</f>
        <v/>
      </c>
      <c r="C18134" s="42" t="str">
        <f>IFERROR(__xludf.DUMMYFUNCTION("""COMPUTED_VALUE"""),"")</f>
        <v/>
      </c>
      <c r="D18134" s="42"/>
      <c r="E18134" s="42"/>
      <c r="F18134" s="48" t="str">
        <f>IFERROR(__xludf.DUMMYFUNCTION("""COMPUTED_VALUE"""),"")</f>
        <v/>
      </c>
      <c r="G18134" s="42" t="str">
        <f>IFERROR(__xludf.DUMMYFUNCTION("""COMPUTED_VALUE"""),"")</f>
        <v/>
      </c>
      <c r="H18134" s="42">
        <f t="shared" si="1"/>
        <v>3345</v>
      </c>
    </row>
    <row r="18135" ht="22.5" customHeight="1">
      <c r="B18135" s="42" t="str">
        <f>IFERROR(__xludf.DUMMYFUNCTION("""COMPUTED_VALUE"""),"")</f>
        <v/>
      </c>
      <c r="C18135" s="42" t="str">
        <f>IFERROR(__xludf.DUMMYFUNCTION("""COMPUTED_VALUE"""),"")</f>
        <v/>
      </c>
      <c r="D18135" s="42"/>
      <c r="E18135" s="42"/>
      <c r="F18135" s="48" t="str">
        <f>IFERROR(__xludf.DUMMYFUNCTION("""COMPUTED_VALUE"""),"")</f>
        <v/>
      </c>
      <c r="G18135" s="42" t="str">
        <f>IFERROR(__xludf.DUMMYFUNCTION("""COMPUTED_VALUE"""),"")</f>
        <v/>
      </c>
      <c r="H18135" s="42">
        <f t="shared" si="1"/>
        <v>3345</v>
      </c>
    </row>
    <row r="18136" ht="22.5" customHeight="1">
      <c r="B18136" s="42" t="str">
        <f>IFERROR(__xludf.DUMMYFUNCTION("""COMPUTED_VALUE"""),"")</f>
        <v/>
      </c>
      <c r="C18136" s="42" t="str">
        <f>IFERROR(__xludf.DUMMYFUNCTION("""COMPUTED_VALUE"""),"")</f>
        <v/>
      </c>
      <c r="D18136" s="42"/>
      <c r="E18136" s="42"/>
      <c r="F18136" s="48" t="str">
        <f>IFERROR(__xludf.DUMMYFUNCTION("""COMPUTED_VALUE"""),"")</f>
        <v/>
      </c>
      <c r="G18136" s="42" t="str">
        <f>IFERROR(__xludf.DUMMYFUNCTION("""COMPUTED_VALUE"""),"")</f>
        <v/>
      </c>
      <c r="H18136" s="42">
        <f t="shared" si="1"/>
        <v>3345</v>
      </c>
    </row>
    <row r="18137" ht="22.5" customHeight="1">
      <c r="B18137" s="42" t="str">
        <f>IFERROR(__xludf.DUMMYFUNCTION("""COMPUTED_VALUE"""),"")</f>
        <v/>
      </c>
      <c r="C18137" s="42" t="str">
        <f>IFERROR(__xludf.DUMMYFUNCTION("""COMPUTED_VALUE"""),"")</f>
        <v/>
      </c>
      <c r="D18137" s="42"/>
      <c r="E18137" s="42"/>
      <c r="F18137" s="48" t="str">
        <f>IFERROR(__xludf.DUMMYFUNCTION("""COMPUTED_VALUE"""),"")</f>
        <v/>
      </c>
      <c r="G18137" s="42" t="str">
        <f>IFERROR(__xludf.DUMMYFUNCTION("""COMPUTED_VALUE"""),"")</f>
        <v/>
      </c>
      <c r="H18137" s="42">
        <f t="shared" si="1"/>
        <v>3345</v>
      </c>
    </row>
    <row r="18138" ht="22.5" customHeight="1">
      <c r="B18138" s="42" t="str">
        <f>IFERROR(__xludf.DUMMYFUNCTION("""COMPUTED_VALUE"""),"")</f>
        <v/>
      </c>
      <c r="C18138" s="42" t="str">
        <f>IFERROR(__xludf.DUMMYFUNCTION("""COMPUTED_VALUE"""),"")</f>
        <v/>
      </c>
      <c r="D18138" s="42"/>
      <c r="E18138" s="42"/>
      <c r="F18138" s="48" t="str">
        <f>IFERROR(__xludf.DUMMYFUNCTION("""COMPUTED_VALUE"""),"")</f>
        <v/>
      </c>
      <c r="G18138" s="42" t="str">
        <f>IFERROR(__xludf.DUMMYFUNCTION("""COMPUTED_VALUE"""),"")</f>
        <v/>
      </c>
      <c r="H18138" s="42">
        <f t="shared" si="1"/>
        <v>3345</v>
      </c>
    </row>
    <row r="18139" ht="22.5" customHeight="1">
      <c r="B18139" s="42" t="str">
        <f>IFERROR(__xludf.DUMMYFUNCTION("""COMPUTED_VALUE"""),"")</f>
        <v/>
      </c>
      <c r="C18139" s="42" t="str">
        <f>IFERROR(__xludf.DUMMYFUNCTION("""COMPUTED_VALUE"""),"")</f>
        <v/>
      </c>
      <c r="D18139" s="42"/>
      <c r="E18139" s="42"/>
      <c r="F18139" s="48" t="str">
        <f>IFERROR(__xludf.DUMMYFUNCTION("""COMPUTED_VALUE"""),"")</f>
        <v/>
      </c>
      <c r="G18139" s="42" t="str">
        <f>IFERROR(__xludf.DUMMYFUNCTION("""COMPUTED_VALUE"""),"")</f>
        <v/>
      </c>
      <c r="H18139" s="42">
        <f t="shared" si="1"/>
        <v>3345</v>
      </c>
    </row>
    <row r="18140" ht="22.5" customHeight="1">
      <c r="B18140" s="42" t="str">
        <f>IFERROR(__xludf.DUMMYFUNCTION("""COMPUTED_VALUE"""),"")</f>
        <v/>
      </c>
      <c r="C18140" s="42" t="str">
        <f>IFERROR(__xludf.DUMMYFUNCTION("""COMPUTED_VALUE"""),"")</f>
        <v/>
      </c>
      <c r="D18140" s="42"/>
      <c r="E18140" s="42"/>
      <c r="F18140" s="48" t="str">
        <f>IFERROR(__xludf.DUMMYFUNCTION("""COMPUTED_VALUE"""),"")</f>
        <v/>
      </c>
      <c r="G18140" s="42" t="str">
        <f>IFERROR(__xludf.DUMMYFUNCTION("""COMPUTED_VALUE"""),"")</f>
        <v/>
      </c>
      <c r="H18140" s="42">
        <f t="shared" si="1"/>
        <v>3345</v>
      </c>
    </row>
    <row r="18141" ht="22.5" customHeight="1">
      <c r="B18141" s="42" t="str">
        <f>IFERROR(__xludf.DUMMYFUNCTION("""COMPUTED_VALUE"""),"")</f>
        <v/>
      </c>
      <c r="C18141" s="42" t="str">
        <f>IFERROR(__xludf.DUMMYFUNCTION("""COMPUTED_VALUE"""),"")</f>
        <v/>
      </c>
      <c r="D18141" s="42"/>
      <c r="E18141" s="42"/>
      <c r="F18141" s="48" t="str">
        <f>IFERROR(__xludf.DUMMYFUNCTION("""COMPUTED_VALUE"""),"")</f>
        <v/>
      </c>
      <c r="G18141" s="42" t="str">
        <f>IFERROR(__xludf.DUMMYFUNCTION("""COMPUTED_VALUE"""),"")</f>
        <v/>
      </c>
      <c r="H18141" s="42">
        <f t="shared" si="1"/>
        <v>3345</v>
      </c>
    </row>
    <row r="18142" ht="22.5" customHeight="1">
      <c r="B18142" s="42" t="str">
        <f>IFERROR(__xludf.DUMMYFUNCTION("""COMPUTED_VALUE"""),"")</f>
        <v/>
      </c>
      <c r="C18142" s="42" t="str">
        <f>IFERROR(__xludf.DUMMYFUNCTION("""COMPUTED_VALUE"""),"")</f>
        <v/>
      </c>
      <c r="D18142" s="42"/>
      <c r="E18142" s="42"/>
      <c r="F18142" s="48" t="str">
        <f>IFERROR(__xludf.DUMMYFUNCTION("""COMPUTED_VALUE"""),"")</f>
        <v/>
      </c>
      <c r="G18142" s="42" t="str">
        <f>IFERROR(__xludf.DUMMYFUNCTION("""COMPUTED_VALUE"""),"")</f>
        <v/>
      </c>
      <c r="H18142" s="42">
        <f t="shared" si="1"/>
        <v>3345</v>
      </c>
    </row>
    <row r="18143" ht="22.5" customHeight="1">
      <c r="B18143" s="42" t="str">
        <f>IFERROR(__xludf.DUMMYFUNCTION("""COMPUTED_VALUE"""),"")</f>
        <v/>
      </c>
      <c r="C18143" s="42" t="str">
        <f>IFERROR(__xludf.DUMMYFUNCTION("""COMPUTED_VALUE"""),"")</f>
        <v/>
      </c>
      <c r="D18143" s="42"/>
      <c r="E18143" s="42"/>
      <c r="F18143" s="48" t="str">
        <f>IFERROR(__xludf.DUMMYFUNCTION("""COMPUTED_VALUE"""),"")</f>
        <v/>
      </c>
      <c r="G18143" s="42" t="str">
        <f>IFERROR(__xludf.DUMMYFUNCTION("""COMPUTED_VALUE"""),"")</f>
        <v/>
      </c>
      <c r="H18143" s="42">
        <f t="shared" si="1"/>
        <v>3345</v>
      </c>
    </row>
    <row r="18144" ht="22.5" customHeight="1">
      <c r="B18144" s="42" t="str">
        <f>IFERROR(__xludf.DUMMYFUNCTION("""COMPUTED_VALUE"""),"")</f>
        <v/>
      </c>
      <c r="C18144" s="42" t="str">
        <f>IFERROR(__xludf.DUMMYFUNCTION("""COMPUTED_VALUE"""),"")</f>
        <v/>
      </c>
      <c r="D18144" s="42"/>
      <c r="E18144" s="42"/>
      <c r="F18144" s="48" t="str">
        <f>IFERROR(__xludf.DUMMYFUNCTION("""COMPUTED_VALUE"""),"")</f>
        <v/>
      </c>
      <c r="G18144" s="42" t="str">
        <f>IFERROR(__xludf.DUMMYFUNCTION("""COMPUTED_VALUE"""),"")</f>
        <v/>
      </c>
      <c r="H18144" s="42">
        <f t="shared" si="1"/>
        <v>3345</v>
      </c>
    </row>
    <row r="18145" ht="22.5" customHeight="1">
      <c r="B18145" s="42" t="str">
        <f>IFERROR(__xludf.DUMMYFUNCTION("""COMPUTED_VALUE"""),"")</f>
        <v/>
      </c>
      <c r="C18145" s="42" t="str">
        <f>IFERROR(__xludf.DUMMYFUNCTION("""COMPUTED_VALUE"""),"")</f>
        <v/>
      </c>
      <c r="D18145" s="42"/>
      <c r="E18145" s="42"/>
      <c r="F18145" s="48" t="str">
        <f>IFERROR(__xludf.DUMMYFUNCTION("""COMPUTED_VALUE"""),"")</f>
        <v/>
      </c>
      <c r="G18145" s="42" t="str">
        <f>IFERROR(__xludf.DUMMYFUNCTION("""COMPUTED_VALUE"""),"")</f>
        <v/>
      </c>
      <c r="H18145" s="42">
        <f t="shared" si="1"/>
        <v>3345</v>
      </c>
    </row>
    <row r="18146" ht="22.5" customHeight="1">
      <c r="B18146" s="42" t="str">
        <f>IFERROR(__xludf.DUMMYFUNCTION("""COMPUTED_VALUE"""),"")</f>
        <v/>
      </c>
      <c r="C18146" s="42" t="str">
        <f>IFERROR(__xludf.DUMMYFUNCTION("""COMPUTED_VALUE"""),"")</f>
        <v/>
      </c>
      <c r="D18146" s="42"/>
      <c r="E18146" s="42"/>
      <c r="F18146" s="48" t="str">
        <f>IFERROR(__xludf.DUMMYFUNCTION("""COMPUTED_VALUE"""),"")</f>
        <v/>
      </c>
      <c r="G18146" s="42" t="str">
        <f>IFERROR(__xludf.DUMMYFUNCTION("""COMPUTED_VALUE"""),"")</f>
        <v/>
      </c>
      <c r="H18146" s="42">
        <f t="shared" si="1"/>
        <v>3345</v>
      </c>
    </row>
    <row r="18147" ht="22.5" customHeight="1">
      <c r="B18147" s="42" t="str">
        <f>IFERROR(__xludf.DUMMYFUNCTION("""COMPUTED_VALUE"""),"")</f>
        <v/>
      </c>
      <c r="C18147" s="42" t="str">
        <f>IFERROR(__xludf.DUMMYFUNCTION("""COMPUTED_VALUE"""),"")</f>
        <v/>
      </c>
      <c r="D18147" s="42"/>
      <c r="E18147" s="42"/>
      <c r="F18147" s="48" t="str">
        <f>IFERROR(__xludf.DUMMYFUNCTION("""COMPUTED_VALUE"""),"")</f>
        <v/>
      </c>
      <c r="G18147" s="42" t="str">
        <f>IFERROR(__xludf.DUMMYFUNCTION("""COMPUTED_VALUE"""),"")</f>
        <v/>
      </c>
      <c r="H18147" s="42">
        <f t="shared" si="1"/>
        <v>3345</v>
      </c>
    </row>
    <row r="18148" ht="22.5" customHeight="1">
      <c r="B18148" s="42" t="str">
        <f>IFERROR(__xludf.DUMMYFUNCTION("""COMPUTED_VALUE"""),"")</f>
        <v/>
      </c>
      <c r="C18148" s="42" t="str">
        <f>IFERROR(__xludf.DUMMYFUNCTION("""COMPUTED_VALUE"""),"")</f>
        <v/>
      </c>
      <c r="D18148" s="42"/>
      <c r="E18148" s="42"/>
      <c r="F18148" s="48" t="str">
        <f>IFERROR(__xludf.DUMMYFUNCTION("""COMPUTED_VALUE"""),"")</f>
        <v/>
      </c>
      <c r="G18148" s="42" t="str">
        <f>IFERROR(__xludf.DUMMYFUNCTION("""COMPUTED_VALUE"""),"")</f>
        <v/>
      </c>
      <c r="H18148" s="42">
        <f t="shared" si="1"/>
        <v>3345</v>
      </c>
    </row>
    <row r="18149" ht="22.5" customHeight="1">
      <c r="B18149" s="42" t="str">
        <f>IFERROR(__xludf.DUMMYFUNCTION("""COMPUTED_VALUE"""),"")</f>
        <v/>
      </c>
      <c r="C18149" s="42" t="str">
        <f>IFERROR(__xludf.DUMMYFUNCTION("""COMPUTED_VALUE"""),"")</f>
        <v/>
      </c>
      <c r="D18149" s="42"/>
      <c r="E18149" s="42"/>
      <c r="F18149" s="48" t="str">
        <f>IFERROR(__xludf.DUMMYFUNCTION("""COMPUTED_VALUE"""),"")</f>
        <v/>
      </c>
      <c r="G18149" s="42" t="str">
        <f>IFERROR(__xludf.DUMMYFUNCTION("""COMPUTED_VALUE"""),"")</f>
        <v/>
      </c>
      <c r="H18149" s="42">
        <f t="shared" si="1"/>
        <v>3345</v>
      </c>
    </row>
    <row r="18150" ht="22.5" customHeight="1">
      <c r="B18150" s="42" t="str">
        <f>IFERROR(__xludf.DUMMYFUNCTION("""COMPUTED_VALUE"""),"")</f>
        <v/>
      </c>
      <c r="C18150" s="42" t="str">
        <f>IFERROR(__xludf.DUMMYFUNCTION("""COMPUTED_VALUE"""),"")</f>
        <v/>
      </c>
      <c r="D18150" s="42"/>
      <c r="E18150" s="42"/>
      <c r="F18150" s="48" t="str">
        <f>IFERROR(__xludf.DUMMYFUNCTION("""COMPUTED_VALUE"""),"")</f>
        <v/>
      </c>
      <c r="G18150" s="42" t="str">
        <f>IFERROR(__xludf.DUMMYFUNCTION("""COMPUTED_VALUE"""),"")</f>
        <v/>
      </c>
      <c r="H18150" s="42">
        <f t="shared" si="1"/>
        <v>3345</v>
      </c>
    </row>
    <row r="18151" ht="22.5" customHeight="1">
      <c r="B18151" s="42" t="str">
        <f>IFERROR(__xludf.DUMMYFUNCTION("""COMPUTED_VALUE"""),"")</f>
        <v/>
      </c>
      <c r="C18151" s="42" t="str">
        <f>IFERROR(__xludf.DUMMYFUNCTION("""COMPUTED_VALUE"""),"")</f>
        <v/>
      </c>
      <c r="D18151" s="42"/>
      <c r="E18151" s="42"/>
      <c r="F18151" s="48" t="str">
        <f>IFERROR(__xludf.DUMMYFUNCTION("""COMPUTED_VALUE"""),"")</f>
        <v/>
      </c>
      <c r="G18151" s="42" t="str">
        <f>IFERROR(__xludf.DUMMYFUNCTION("""COMPUTED_VALUE"""),"")</f>
        <v/>
      </c>
      <c r="H18151" s="42">
        <f t="shared" si="1"/>
        <v>3345</v>
      </c>
    </row>
    <row r="18152" ht="22.5" customHeight="1">
      <c r="B18152" s="42" t="str">
        <f>IFERROR(__xludf.DUMMYFUNCTION("""COMPUTED_VALUE"""),"")</f>
        <v/>
      </c>
      <c r="C18152" s="42" t="str">
        <f>IFERROR(__xludf.DUMMYFUNCTION("""COMPUTED_VALUE"""),"")</f>
        <v/>
      </c>
      <c r="D18152" s="42"/>
      <c r="E18152" s="42"/>
      <c r="F18152" s="48" t="str">
        <f>IFERROR(__xludf.DUMMYFUNCTION("""COMPUTED_VALUE"""),"")</f>
        <v/>
      </c>
      <c r="G18152" s="42" t="str">
        <f>IFERROR(__xludf.DUMMYFUNCTION("""COMPUTED_VALUE"""),"")</f>
        <v/>
      </c>
      <c r="H18152" s="42">
        <f t="shared" si="1"/>
        <v>3345</v>
      </c>
    </row>
    <row r="18153" ht="22.5" customHeight="1">
      <c r="B18153" s="42" t="str">
        <f>IFERROR(__xludf.DUMMYFUNCTION("""COMPUTED_VALUE"""),"")</f>
        <v/>
      </c>
      <c r="C18153" s="42" t="str">
        <f>IFERROR(__xludf.DUMMYFUNCTION("""COMPUTED_VALUE"""),"")</f>
        <v/>
      </c>
      <c r="D18153" s="42"/>
      <c r="E18153" s="42"/>
      <c r="F18153" s="48" t="str">
        <f>IFERROR(__xludf.DUMMYFUNCTION("""COMPUTED_VALUE"""),"")</f>
        <v/>
      </c>
      <c r="G18153" s="42" t="str">
        <f>IFERROR(__xludf.DUMMYFUNCTION("""COMPUTED_VALUE"""),"")</f>
        <v/>
      </c>
      <c r="H18153" s="42">
        <f t="shared" si="1"/>
        <v>3345</v>
      </c>
    </row>
    <row r="18154" ht="22.5" customHeight="1">
      <c r="B18154" s="42" t="str">
        <f>IFERROR(__xludf.DUMMYFUNCTION("""COMPUTED_VALUE"""),"")</f>
        <v/>
      </c>
      <c r="C18154" s="42" t="str">
        <f>IFERROR(__xludf.DUMMYFUNCTION("""COMPUTED_VALUE"""),"")</f>
        <v/>
      </c>
      <c r="D18154" s="42"/>
      <c r="E18154" s="42"/>
      <c r="F18154" s="48" t="str">
        <f>IFERROR(__xludf.DUMMYFUNCTION("""COMPUTED_VALUE"""),"")</f>
        <v/>
      </c>
      <c r="G18154" s="42" t="str">
        <f>IFERROR(__xludf.DUMMYFUNCTION("""COMPUTED_VALUE"""),"")</f>
        <v/>
      </c>
      <c r="H18154" s="42">
        <f t="shared" si="1"/>
        <v>3345</v>
      </c>
    </row>
    <row r="18155" ht="22.5" customHeight="1">
      <c r="B18155" s="42" t="str">
        <f>IFERROR(__xludf.DUMMYFUNCTION("""COMPUTED_VALUE"""),"")</f>
        <v/>
      </c>
      <c r="C18155" s="42" t="str">
        <f>IFERROR(__xludf.DUMMYFUNCTION("""COMPUTED_VALUE"""),"")</f>
        <v/>
      </c>
      <c r="D18155" s="42"/>
      <c r="E18155" s="42"/>
      <c r="F18155" s="48" t="str">
        <f>IFERROR(__xludf.DUMMYFUNCTION("""COMPUTED_VALUE"""),"")</f>
        <v/>
      </c>
      <c r="G18155" s="42" t="str">
        <f>IFERROR(__xludf.DUMMYFUNCTION("""COMPUTED_VALUE"""),"")</f>
        <v/>
      </c>
      <c r="H18155" s="42">
        <f t="shared" si="1"/>
        <v>3345</v>
      </c>
    </row>
    <row r="18156" ht="22.5" customHeight="1">
      <c r="B18156" s="42" t="str">
        <f>IFERROR(__xludf.DUMMYFUNCTION("""COMPUTED_VALUE"""),"")</f>
        <v/>
      </c>
      <c r="C18156" s="42" t="str">
        <f>IFERROR(__xludf.DUMMYFUNCTION("""COMPUTED_VALUE"""),"")</f>
        <v/>
      </c>
      <c r="D18156" s="42"/>
      <c r="E18156" s="42"/>
      <c r="F18156" s="48" t="str">
        <f>IFERROR(__xludf.DUMMYFUNCTION("""COMPUTED_VALUE"""),"")</f>
        <v/>
      </c>
      <c r="G18156" s="42" t="str">
        <f>IFERROR(__xludf.DUMMYFUNCTION("""COMPUTED_VALUE"""),"")</f>
        <v/>
      </c>
      <c r="H18156" s="42">
        <f t="shared" si="1"/>
        <v>3345</v>
      </c>
    </row>
    <row r="18157" ht="22.5" customHeight="1">
      <c r="B18157" s="42" t="str">
        <f>IFERROR(__xludf.DUMMYFUNCTION("""COMPUTED_VALUE"""),"")</f>
        <v/>
      </c>
      <c r="C18157" s="42" t="str">
        <f>IFERROR(__xludf.DUMMYFUNCTION("""COMPUTED_VALUE"""),"")</f>
        <v/>
      </c>
      <c r="D18157" s="42"/>
      <c r="E18157" s="42"/>
      <c r="F18157" s="48" t="str">
        <f>IFERROR(__xludf.DUMMYFUNCTION("""COMPUTED_VALUE"""),"")</f>
        <v/>
      </c>
      <c r="G18157" s="42" t="str">
        <f>IFERROR(__xludf.DUMMYFUNCTION("""COMPUTED_VALUE"""),"")</f>
        <v/>
      </c>
      <c r="H18157" s="42">
        <f t="shared" si="1"/>
        <v>3345</v>
      </c>
    </row>
    <row r="18158" ht="22.5" customHeight="1">
      <c r="B18158" s="42" t="str">
        <f>IFERROR(__xludf.DUMMYFUNCTION("""COMPUTED_VALUE"""),"")</f>
        <v/>
      </c>
      <c r="C18158" s="42" t="str">
        <f>IFERROR(__xludf.DUMMYFUNCTION("""COMPUTED_VALUE"""),"")</f>
        <v/>
      </c>
      <c r="D18158" s="42"/>
      <c r="E18158" s="42"/>
      <c r="F18158" s="48" t="str">
        <f>IFERROR(__xludf.DUMMYFUNCTION("""COMPUTED_VALUE"""),"")</f>
        <v/>
      </c>
      <c r="G18158" s="42" t="str">
        <f>IFERROR(__xludf.DUMMYFUNCTION("""COMPUTED_VALUE"""),"")</f>
        <v/>
      </c>
      <c r="H18158" s="42">
        <f t="shared" si="1"/>
        <v>3345</v>
      </c>
    </row>
    <row r="18159" ht="22.5" customHeight="1">
      <c r="B18159" s="42" t="str">
        <f>IFERROR(__xludf.DUMMYFUNCTION("""COMPUTED_VALUE"""),"")</f>
        <v/>
      </c>
      <c r="C18159" s="42" t="str">
        <f>IFERROR(__xludf.DUMMYFUNCTION("""COMPUTED_VALUE"""),"")</f>
        <v/>
      </c>
      <c r="D18159" s="42"/>
      <c r="E18159" s="42"/>
      <c r="F18159" s="48" t="str">
        <f>IFERROR(__xludf.DUMMYFUNCTION("""COMPUTED_VALUE"""),"")</f>
        <v/>
      </c>
      <c r="G18159" s="42" t="str">
        <f>IFERROR(__xludf.DUMMYFUNCTION("""COMPUTED_VALUE"""),"")</f>
        <v/>
      </c>
      <c r="H18159" s="42">
        <f t="shared" si="1"/>
        <v>3345</v>
      </c>
    </row>
    <row r="18160" ht="22.5" customHeight="1">
      <c r="B18160" s="42" t="str">
        <f>IFERROR(__xludf.DUMMYFUNCTION("""COMPUTED_VALUE"""),"")</f>
        <v/>
      </c>
      <c r="C18160" s="42" t="str">
        <f>IFERROR(__xludf.DUMMYFUNCTION("""COMPUTED_VALUE"""),"")</f>
        <v/>
      </c>
      <c r="D18160" s="42"/>
      <c r="E18160" s="42"/>
      <c r="F18160" s="48" t="str">
        <f>IFERROR(__xludf.DUMMYFUNCTION("""COMPUTED_VALUE"""),"")</f>
        <v/>
      </c>
      <c r="G18160" s="42" t="str">
        <f>IFERROR(__xludf.DUMMYFUNCTION("""COMPUTED_VALUE"""),"")</f>
        <v/>
      </c>
      <c r="H18160" s="42">
        <f t="shared" si="1"/>
        <v>3345</v>
      </c>
    </row>
    <row r="18161" ht="22.5" customHeight="1">
      <c r="B18161" s="42" t="str">
        <f>IFERROR(__xludf.DUMMYFUNCTION("""COMPUTED_VALUE"""),"")</f>
        <v/>
      </c>
      <c r="C18161" s="42" t="str">
        <f>IFERROR(__xludf.DUMMYFUNCTION("""COMPUTED_VALUE"""),"")</f>
        <v/>
      </c>
      <c r="D18161" s="42"/>
      <c r="E18161" s="42"/>
      <c r="F18161" s="48" t="str">
        <f>IFERROR(__xludf.DUMMYFUNCTION("""COMPUTED_VALUE"""),"")</f>
        <v/>
      </c>
      <c r="G18161" s="42" t="str">
        <f>IFERROR(__xludf.DUMMYFUNCTION("""COMPUTED_VALUE"""),"")</f>
        <v/>
      </c>
      <c r="H18161" s="42">
        <f t="shared" si="1"/>
        <v>3345</v>
      </c>
    </row>
    <row r="18162" ht="22.5" customHeight="1">
      <c r="B18162" s="42" t="str">
        <f>IFERROR(__xludf.DUMMYFUNCTION("""COMPUTED_VALUE"""),"")</f>
        <v/>
      </c>
      <c r="C18162" s="42" t="str">
        <f>IFERROR(__xludf.DUMMYFUNCTION("""COMPUTED_VALUE"""),"")</f>
        <v/>
      </c>
      <c r="D18162" s="42"/>
      <c r="E18162" s="42"/>
      <c r="F18162" s="48" t="str">
        <f>IFERROR(__xludf.DUMMYFUNCTION("""COMPUTED_VALUE"""),"")</f>
        <v/>
      </c>
      <c r="G18162" s="42" t="str">
        <f>IFERROR(__xludf.DUMMYFUNCTION("""COMPUTED_VALUE"""),"")</f>
        <v/>
      </c>
      <c r="H18162" s="42">
        <f t="shared" si="1"/>
        <v>3345</v>
      </c>
    </row>
    <row r="18163" ht="22.5" customHeight="1">
      <c r="B18163" s="42" t="str">
        <f>IFERROR(__xludf.DUMMYFUNCTION("""COMPUTED_VALUE"""),"")</f>
        <v/>
      </c>
      <c r="C18163" s="42" t="str">
        <f>IFERROR(__xludf.DUMMYFUNCTION("""COMPUTED_VALUE"""),"")</f>
        <v/>
      </c>
      <c r="D18163" s="42"/>
      <c r="E18163" s="42"/>
      <c r="F18163" s="48" t="str">
        <f>IFERROR(__xludf.DUMMYFUNCTION("""COMPUTED_VALUE"""),"")</f>
        <v/>
      </c>
      <c r="G18163" s="42" t="str">
        <f>IFERROR(__xludf.DUMMYFUNCTION("""COMPUTED_VALUE"""),"")</f>
        <v/>
      </c>
      <c r="H18163" s="42">
        <f t="shared" si="1"/>
        <v>3345</v>
      </c>
    </row>
    <row r="18164" ht="22.5" customHeight="1">
      <c r="B18164" s="42" t="str">
        <f>IFERROR(__xludf.DUMMYFUNCTION("""COMPUTED_VALUE"""),"")</f>
        <v/>
      </c>
      <c r="C18164" s="42" t="str">
        <f>IFERROR(__xludf.DUMMYFUNCTION("""COMPUTED_VALUE"""),"")</f>
        <v/>
      </c>
      <c r="D18164" s="42"/>
      <c r="E18164" s="42"/>
      <c r="F18164" s="48" t="str">
        <f>IFERROR(__xludf.DUMMYFUNCTION("""COMPUTED_VALUE"""),"")</f>
        <v/>
      </c>
      <c r="G18164" s="42" t="str">
        <f>IFERROR(__xludf.DUMMYFUNCTION("""COMPUTED_VALUE"""),"")</f>
        <v/>
      </c>
      <c r="H18164" s="42">
        <f t="shared" si="1"/>
        <v>3345</v>
      </c>
    </row>
    <row r="18165" ht="22.5" customHeight="1">
      <c r="B18165" s="42" t="str">
        <f>IFERROR(__xludf.DUMMYFUNCTION("""COMPUTED_VALUE"""),"")</f>
        <v/>
      </c>
      <c r="C18165" s="42" t="str">
        <f>IFERROR(__xludf.DUMMYFUNCTION("""COMPUTED_VALUE"""),"")</f>
        <v/>
      </c>
      <c r="D18165" s="42"/>
      <c r="E18165" s="42"/>
      <c r="F18165" s="48" t="str">
        <f>IFERROR(__xludf.DUMMYFUNCTION("""COMPUTED_VALUE"""),"")</f>
        <v/>
      </c>
      <c r="G18165" s="42" t="str">
        <f>IFERROR(__xludf.DUMMYFUNCTION("""COMPUTED_VALUE"""),"")</f>
        <v/>
      </c>
      <c r="H18165" s="42">
        <f t="shared" si="1"/>
        <v>3345</v>
      </c>
    </row>
    <row r="18166" ht="22.5" customHeight="1">
      <c r="B18166" s="42" t="str">
        <f>IFERROR(__xludf.DUMMYFUNCTION("""COMPUTED_VALUE"""),"")</f>
        <v/>
      </c>
      <c r="C18166" s="42" t="str">
        <f>IFERROR(__xludf.DUMMYFUNCTION("""COMPUTED_VALUE"""),"")</f>
        <v/>
      </c>
      <c r="D18166" s="42"/>
      <c r="E18166" s="42"/>
      <c r="F18166" s="48" t="str">
        <f>IFERROR(__xludf.DUMMYFUNCTION("""COMPUTED_VALUE"""),"")</f>
        <v/>
      </c>
      <c r="G18166" s="42" t="str">
        <f>IFERROR(__xludf.DUMMYFUNCTION("""COMPUTED_VALUE"""),"")</f>
        <v/>
      </c>
      <c r="H18166" s="42">
        <f t="shared" si="1"/>
        <v>3345</v>
      </c>
    </row>
    <row r="18167" ht="22.5" customHeight="1">
      <c r="B18167" s="42" t="str">
        <f>IFERROR(__xludf.DUMMYFUNCTION("""COMPUTED_VALUE"""),"")</f>
        <v/>
      </c>
      <c r="C18167" s="42" t="str">
        <f>IFERROR(__xludf.DUMMYFUNCTION("""COMPUTED_VALUE"""),"")</f>
        <v/>
      </c>
      <c r="D18167" s="42"/>
      <c r="E18167" s="42"/>
      <c r="F18167" s="48" t="str">
        <f>IFERROR(__xludf.DUMMYFUNCTION("""COMPUTED_VALUE"""),"")</f>
        <v/>
      </c>
      <c r="G18167" s="42" t="str">
        <f>IFERROR(__xludf.DUMMYFUNCTION("""COMPUTED_VALUE"""),"")</f>
        <v/>
      </c>
      <c r="H18167" s="42">
        <f t="shared" si="1"/>
        <v>3345</v>
      </c>
    </row>
    <row r="18168" ht="22.5" customHeight="1">
      <c r="B18168" s="42" t="str">
        <f>IFERROR(__xludf.DUMMYFUNCTION("""COMPUTED_VALUE"""),"")</f>
        <v/>
      </c>
      <c r="C18168" s="42" t="str">
        <f>IFERROR(__xludf.DUMMYFUNCTION("""COMPUTED_VALUE"""),"")</f>
        <v/>
      </c>
      <c r="D18168" s="42"/>
      <c r="E18168" s="42"/>
      <c r="F18168" s="48" t="str">
        <f>IFERROR(__xludf.DUMMYFUNCTION("""COMPUTED_VALUE"""),"")</f>
        <v/>
      </c>
      <c r="G18168" s="42" t="str">
        <f>IFERROR(__xludf.DUMMYFUNCTION("""COMPUTED_VALUE"""),"")</f>
        <v/>
      </c>
      <c r="H18168" s="42">
        <f t="shared" si="1"/>
        <v>3345</v>
      </c>
    </row>
    <row r="18169" ht="22.5" customHeight="1">
      <c r="B18169" s="42" t="str">
        <f>IFERROR(__xludf.DUMMYFUNCTION("""COMPUTED_VALUE"""),"")</f>
        <v/>
      </c>
      <c r="C18169" s="42" t="str">
        <f>IFERROR(__xludf.DUMMYFUNCTION("""COMPUTED_VALUE"""),"")</f>
        <v/>
      </c>
      <c r="D18169" s="42"/>
      <c r="E18169" s="42"/>
      <c r="F18169" s="48" t="str">
        <f>IFERROR(__xludf.DUMMYFUNCTION("""COMPUTED_VALUE"""),"")</f>
        <v/>
      </c>
      <c r="G18169" s="42" t="str">
        <f>IFERROR(__xludf.DUMMYFUNCTION("""COMPUTED_VALUE"""),"")</f>
        <v/>
      </c>
      <c r="H18169" s="42">
        <f t="shared" si="1"/>
        <v>3345</v>
      </c>
    </row>
    <row r="18170" ht="22.5" customHeight="1">
      <c r="B18170" s="42" t="str">
        <f>IFERROR(__xludf.DUMMYFUNCTION("""COMPUTED_VALUE"""),"")</f>
        <v/>
      </c>
      <c r="C18170" s="42" t="str">
        <f>IFERROR(__xludf.DUMMYFUNCTION("""COMPUTED_VALUE"""),"")</f>
        <v/>
      </c>
      <c r="D18170" s="42"/>
      <c r="E18170" s="42"/>
      <c r="F18170" s="48" t="str">
        <f>IFERROR(__xludf.DUMMYFUNCTION("""COMPUTED_VALUE"""),"")</f>
        <v/>
      </c>
      <c r="G18170" s="42" t="str">
        <f>IFERROR(__xludf.DUMMYFUNCTION("""COMPUTED_VALUE"""),"")</f>
        <v/>
      </c>
      <c r="H18170" s="42">
        <f t="shared" si="1"/>
        <v>3345</v>
      </c>
    </row>
    <row r="18171" ht="22.5" customHeight="1">
      <c r="B18171" s="42" t="str">
        <f>IFERROR(__xludf.DUMMYFUNCTION("""COMPUTED_VALUE"""),"")</f>
        <v/>
      </c>
      <c r="C18171" s="42" t="str">
        <f>IFERROR(__xludf.DUMMYFUNCTION("""COMPUTED_VALUE"""),"")</f>
        <v/>
      </c>
      <c r="D18171" s="42"/>
      <c r="E18171" s="42"/>
      <c r="F18171" s="48" t="str">
        <f>IFERROR(__xludf.DUMMYFUNCTION("""COMPUTED_VALUE"""),"")</f>
        <v/>
      </c>
      <c r="G18171" s="42" t="str">
        <f>IFERROR(__xludf.DUMMYFUNCTION("""COMPUTED_VALUE"""),"")</f>
        <v/>
      </c>
      <c r="H18171" s="42">
        <f t="shared" si="1"/>
        <v>3345</v>
      </c>
    </row>
    <row r="18172" ht="22.5" customHeight="1">
      <c r="B18172" s="42" t="str">
        <f>IFERROR(__xludf.DUMMYFUNCTION("""COMPUTED_VALUE"""),"")</f>
        <v/>
      </c>
      <c r="C18172" s="42" t="str">
        <f>IFERROR(__xludf.DUMMYFUNCTION("""COMPUTED_VALUE"""),"")</f>
        <v/>
      </c>
      <c r="D18172" s="42"/>
      <c r="E18172" s="42"/>
      <c r="F18172" s="48" t="str">
        <f>IFERROR(__xludf.DUMMYFUNCTION("""COMPUTED_VALUE"""),"")</f>
        <v/>
      </c>
      <c r="G18172" s="42" t="str">
        <f>IFERROR(__xludf.DUMMYFUNCTION("""COMPUTED_VALUE"""),"")</f>
        <v/>
      </c>
      <c r="H18172" s="42">
        <f t="shared" si="1"/>
        <v>3345</v>
      </c>
    </row>
    <row r="18173" ht="22.5" customHeight="1">
      <c r="B18173" s="42" t="str">
        <f>IFERROR(__xludf.DUMMYFUNCTION("""COMPUTED_VALUE"""),"")</f>
        <v/>
      </c>
      <c r="C18173" s="42" t="str">
        <f>IFERROR(__xludf.DUMMYFUNCTION("""COMPUTED_VALUE"""),"")</f>
        <v/>
      </c>
      <c r="D18173" s="42"/>
      <c r="E18173" s="42"/>
      <c r="F18173" s="48" t="str">
        <f>IFERROR(__xludf.DUMMYFUNCTION("""COMPUTED_VALUE"""),"")</f>
        <v/>
      </c>
      <c r="G18173" s="42" t="str">
        <f>IFERROR(__xludf.DUMMYFUNCTION("""COMPUTED_VALUE"""),"")</f>
        <v/>
      </c>
      <c r="H18173" s="42">
        <f t="shared" si="1"/>
        <v>3345</v>
      </c>
    </row>
    <row r="18174" ht="22.5" customHeight="1">
      <c r="B18174" s="42" t="str">
        <f>IFERROR(__xludf.DUMMYFUNCTION("""COMPUTED_VALUE"""),"")</f>
        <v/>
      </c>
      <c r="C18174" s="42" t="str">
        <f>IFERROR(__xludf.DUMMYFUNCTION("""COMPUTED_VALUE"""),"")</f>
        <v/>
      </c>
      <c r="D18174" s="42"/>
      <c r="E18174" s="42"/>
      <c r="F18174" s="48" t="str">
        <f>IFERROR(__xludf.DUMMYFUNCTION("""COMPUTED_VALUE"""),"")</f>
        <v/>
      </c>
      <c r="G18174" s="42" t="str">
        <f>IFERROR(__xludf.DUMMYFUNCTION("""COMPUTED_VALUE"""),"")</f>
        <v/>
      </c>
      <c r="H18174" s="42">
        <f t="shared" si="1"/>
        <v>3345</v>
      </c>
    </row>
    <row r="18175" ht="22.5" customHeight="1">
      <c r="B18175" s="42" t="str">
        <f>IFERROR(__xludf.DUMMYFUNCTION("""COMPUTED_VALUE"""),"")</f>
        <v/>
      </c>
      <c r="C18175" s="42" t="str">
        <f>IFERROR(__xludf.DUMMYFUNCTION("""COMPUTED_VALUE"""),"")</f>
        <v/>
      </c>
      <c r="D18175" s="42"/>
      <c r="E18175" s="42"/>
      <c r="F18175" s="48" t="str">
        <f>IFERROR(__xludf.DUMMYFUNCTION("""COMPUTED_VALUE"""),"")</f>
        <v/>
      </c>
      <c r="G18175" s="42" t="str">
        <f>IFERROR(__xludf.DUMMYFUNCTION("""COMPUTED_VALUE"""),"")</f>
        <v/>
      </c>
      <c r="H18175" s="42">
        <f t="shared" si="1"/>
        <v>3345</v>
      </c>
    </row>
    <row r="18176" ht="22.5" customHeight="1">
      <c r="B18176" s="42" t="str">
        <f>IFERROR(__xludf.DUMMYFUNCTION("""COMPUTED_VALUE"""),"")</f>
        <v/>
      </c>
      <c r="C18176" s="42" t="str">
        <f>IFERROR(__xludf.DUMMYFUNCTION("""COMPUTED_VALUE"""),"")</f>
        <v/>
      </c>
      <c r="D18176" s="42"/>
      <c r="E18176" s="42"/>
      <c r="F18176" s="48" t="str">
        <f>IFERROR(__xludf.DUMMYFUNCTION("""COMPUTED_VALUE"""),"")</f>
        <v/>
      </c>
      <c r="G18176" s="42" t="str">
        <f>IFERROR(__xludf.DUMMYFUNCTION("""COMPUTED_VALUE"""),"")</f>
        <v/>
      </c>
      <c r="H18176" s="42">
        <f t="shared" si="1"/>
        <v>3345</v>
      </c>
    </row>
    <row r="18177" ht="22.5" customHeight="1">
      <c r="B18177" s="42" t="str">
        <f>IFERROR(__xludf.DUMMYFUNCTION("""COMPUTED_VALUE"""),"")</f>
        <v/>
      </c>
      <c r="C18177" s="42" t="str">
        <f>IFERROR(__xludf.DUMMYFUNCTION("""COMPUTED_VALUE"""),"")</f>
        <v/>
      </c>
      <c r="D18177" s="42"/>
      <c r="E18177" s="42"/>
      <c r="F18177" s="48" t="str">
        <f>IFERROR(__xludf.DUMMYFUNCTION("""COMPUTED_VALUE"""),"")</f>
        <v/>
      </c>
      <c r="G18177" s="42" t="str">
        <f>IFERROR(__xludf.DUMMYFUNCTION("""COMPUTED_VALUE"""),"")</f>
        <v/>
      </c>
      <c r="H18177" s="42">
        <f t="shared" si="1"/>
        <v>3345</v>
      </c>
    </row>
    <row r="18178" ht="22.5" customHeight="1">
      <c r="B18178" s="42" t="str">
        <f>IFERROR(__xludf.DUMMYFUNCTION("""COMPUTED_VALUE"""),"")</f>
        <v/>
      </c>
      <c r="C18178" s="42" t="str">
        <f>IFERROR(__xludf.DUMMYFUNCTION("""COMPUTED_VALUE"""),"")</f>
        <v/>
      </c>
      <c r="D18178" s="42"/>
      <c r="E18178" s="42"/>
      <c r="F18178" s="48" t="str">
        <f>IFERROR(__xludf.DUMMYFUNCTION("""COMPUTED_VALUE"""),"")</f>
        <v/>
      </c>
      <c r="G18178" s="42" t="str">
        <f>IFERROR(__xludf.DUMMYFUNCTION("""COMPUTED_VALUE"""),"")</f>
        <v/>
      </c>
      <c r="H18178" s="42">
        <f t="shared" si="1"/>
        <v>3345</v>
      </c>
    </row>
    <row r="18179" ht="22.5" customHeight="1">
      <c r="B18179" s="42" t="str">
        <f>IFERROR(__xludf.DUMMYFUNCTION("""COMPUTED_VALUE"""),"")</f>
        <v/>
      </c>
      <c r="C18179" s="42" t="str">
        <f>IFERROR(__xludf.DUMMYFUNCTION("""COMPUTED_VALUE"""),"")</f>
        <v/>
      </c>
      <c r="D18179" s="42"/>
      <c r="E18179" s="42"/>
      <c r="F18179" s="48" t="str">
        <f>IFERROR(__xludf.DUMMYFUNCTION("""COMPUTED_VALUE"""),"")</f>
        <v/>
      </c>
      <c r="G18179" s="42" t="str">
        <f>IFERROR(__xludf.DUMMYFUNCTION("""COMPUTED_VALUE"""),"")</f>
        <v/>
      </c>
      <c r="H18179" s="42">
        <f t="shared" si="1"/>
        <v>3345</v>
      </c>
    </row>
    <row r="18180" ht="22.5" customHeight="1">
      <c r="B18180" s="42" t="str">
        <f>IFERROR(__xludf.DUMMYFUNCTION("""COMPUTED_VALUE"""),"")</f>
        <v/>
      </c>
      <c r="C18180" s="42" t="str">
        <f>IFERROR(__xludf.DUMMYFUNCTION("""COMPUTED_VALUE"""),"")</f>
        <v/>
      </c>
      <c r="D18180" s="42"/>
      <c r="E18180" s="42"/>
      <c r="F18180" s="48" t="str">
        <f>IFERROR(__xludf.DUMMYFUNCTION("""COMPUTED_VALUE"""),"")</f>
        <v/>
      </c>
      <c r="G18180" s="42" t="str">
        <f>IFERROR(__xludf.DUMMYFUNCTION("""COMPUTED_VALUE"""),"")</f>
        <v/>
      </c>
      <c r="H18180" s="42">
        <f t="shared" si="1"/>
        <v>3345</v>
      </c>
    </row>
    <row r="18181" ht="22.5" customHeight="1">
      <c r="B18181" s="42" t="str">
        <f>IFERROR(__xludf.DUMMYFUNCTION("""COMPUTED_VALUE"""),"")</f>
        <v/>
      </c>
      <c r="C18181" s="42" t="str">
        <f>IFERROR(__xludf.DUMMYFUNCTION("""COMPUTED_VALUE"""),"")</f>
        <v/>
      </c>
      <c r="D18181" s="42"/>
      <c r="E18181" s="42"/>
      <c r="F18181" s="48" t="str">
        <f>IFERROR(__xludf.DUMMYFUNCTION("""COMPUTED_VALUE"""),"")</f>
        <v/>
      </c>
      <c r="G18181" s="42" t="str">
        <f>IFERROR(__xludf.DUMMYFUNCTION("""COMPUTED_VALUE"""),"")</f>
        <v/>
      </c>
      <c r="H18181" s="42">
        <f t="shared" si="1"/>
        <v>3345</v>
      </c>
    </row>
    <row r="18182" ht="22.5" customHeight="1">
      <c r="B18182" s="42" t="str">
        <f>IFERROR(__xludf.DUMMYFUNCTION("""COMPUTED_VALUE"""),"")</f>
        <v/>
      </c>
      <c r="C18182" s="42" t="str">
        <f>IFERROR(__xludf.DUMMYFUNCTION("""COMPUTED_VALUE"""),"")</f>
        <v/>
      </c>
      <c r="D18182" s="42"/>
      <c r="E18182" s="42"/>
      <c r="F18182" s="48" t="str">
        <f>IFERROR(__xludf.DUMMYFUNCTION("""COMPUTED_VALUE"""),"")</f>
        <v/>
      </c>
      <c r="G18182" s="42" t="str">
        <f>IFERROR(__xludf.DUMMYFUNCTION("""COMPUTED_VALUE"""),"")</f>
        <v/>
      </c>
      <c r="H18182" s="42">
        <f t="shared" si="1"/>
        <v>3345</v>
      </c>
    </row>
    <row r="18183" ht="22.5" customHeight="1">
      <c r="B18183" s="42" t="str">
        <f>IFERROR(__xludf.DUMMYFUNCTION("""COMPUTED_VALUE"""),"")</f>
        <v/>
      </c>
      <c r="C18183" s="42" t="str">
        <f>IFERROR(__xludf.DUMMYFUNCTION("""COMPUTED_VALUE"""),"")</f>
        <v/>
      </c>
      <c r="D18183" s="42"/>
      <c r="E18183" s="42"/>
      <c r="F18183" s="48" t="str">
        <f>IFERROR(__xludf.DUMMYFUNCTION("""COMPUTED_VALUE"""),"")</f>
        <v/>
      </c>
      <c r="G18183" s="42" t="str">
        <f>IFERROR(__xludf.DUMMYFUNCTION("""COMPUTED_VALUE"""),"")</f>
        <v/>
      </c>
      <c r="H18183" s="42">
        <f t="shared" si="1"/>
        <v>3345</v>
      </c>
    </row>
    <row r="18184" ht="22.5" customHeight="1">
      <c r="B18184" s="42" t="str">
        <f>IFERROR(__xludf.DUMMYFUNCTION("""COMPUTED_VALUE"""),"")</f>
        <v/>
      </c>
      <c r="C18184" s="42" t="str">
        <f>IFERROR(__xludf.DUMMYFUNCTION("""COMPUTED_VALUE"""),"")</f>
        <v/>
      </c>
      <c r="D18184" s="42"/>
      <c r="E18184" s="42"/>
      <c r="F18184" s="48" t="str">
        <f>IFERROR(__xludf.DUMMYFUNCTION("""COMPUTED_VALUE"""),"")</f>
        <v/>
      </c>
      <c r="G18184" s="42" t="str">
        <f>IFERROR(__xludf.DUMMYFUNCTION("""COMPUTED_VALUE"""),"")</f>
        <v/>
      </c>
      <c r="H18184" s="42">
        <f t="shared" si="1"/>
        <v>3345</v>
      </c>
    </row>
    <row r="18185" ht="22.5" customHeight="1">
      <c r="B18185" s="42" t="str">
        <f>IFERROR(__xludf.DUMMYFUNCTION("""COMPUTED_VALUE"""),"")</f>
        <v/>
      </c>
      <c r="C18185" s="42" t="str">
        <f>IFERROR(__xludf.DUMMYFUNCTION("""COMPUTED_VALUE"""),"")</f>
        <v/>
      </c>
      <c r="D18185" s="42"/>
      <c r="E18185" s="42"/>
      <c r="F18185" s="48" t="str">
        <f>IFERROR(__xludf.DUMMYFUNCTION("""COMPUTED_VALUE"""),"")</f>
        <v/>
      </c>
      <c r="G18185" s="42" t="str">
        <f>IFERROR(__xludf.DUMMYFUNCTION("""COMPUTED_VALUE"""),"")</f>
        <v/>
      </c>
      <c r="H18185" s="42">
        <f t="shared" si="1"/>
        <v>3345</v>
      </c>
    </row>
    <row r="18186" ht="22.5" customHeight="1">
      <c r="B18186" s="42" t="str">
        <f>IFERROR(__xludf.DUMMYFUNCTION("""COMPUTED_VALUE"""),"")</f>
        <v/>
      </c>
      <c r="C18186" s="42" t="str">
        <f>IFERROR(__xludf.DUMMYFUNCTION("""COMPUTED_VALUE"""),"")</f>
        <v/>
      </c>
      <c r="D18186" s="42"/>
      <c r="E18186" s="42"/>
      <c r="F18186" s="48" t="str">
        <f>IFERROR(__xludf.DUMMYFUNCTION("""COMPUTED_VALUE"""),"")</f>
        <v/>
      </c>
      <c r="G18186" s="42" t="str">
        <f>IFERROR(__xludf.DUMMYFUNCTION("""COMPUTED_VALUE"""),"")</f>
        <v/>
      </c>
      <c r="H18186" s="42">
        <f t="shared" si="1"/>
        <v>3345</v>
      </c>
    </row>
    <row r="18187" ht="22.5" customHeight="1">
      <c r="B18187" s="42" t="str">
        <f>IFERROR(__xludf.DUMMYFUNCTION("""COMPUTED_VALUE"""),"")</f>
        <v/>
      </c>
      <c r="C18187" s="42" t="str">
        <f>IFERROR(__xludf.DUMMYFUNCTION("""COMPUTED_VALUE"""),"")</f>
        <v/>
      </c>
      <c r="D18187" s="42"/>
      <c r="E18187" s="42"/>
      <c r="F18187" s="48" t="str">
        <f>IFERROR(__xludf.DUMMYFUNCTION("""COMPUTED_VALUE"""),"")</f>
        <v/>
      </c>
      <c r="G18187" s="42" t="str">
        <f>IFERROR(__xludf.DUMMYFUNCTION("""COMPUTED_VALUE"""),"")</f>
        <v/>
      </c>
      <c r="H18187" s="42">
        <f t="shared" si="1"/>
        <v>3345</v>
      </c>
    </row>
    <row r="18188" ht="22.5" customHeight="1">
      <c r="B18188" s="42" t="str">
        <f>IFERROR(__xludf.DUMMYFUNCTION("""COMPUTED_VALUE"""),"")</f>
        <v/>
      </c>
      <c r="C18188" s="42" t="str">
        <f>IFERROR(__xludf.DUMMYFUNCTION("""COMPUTED_VALUE"""),"")</f>
        <v/>
      </c>
      <c r="D18188" s="42"/>
      <c r="E18188" s="42"/>
      <c r="F18188" s="48" t="str">
        <f>IFERROR(__xludf.DUMMYFUNCTION("""COMPUTED_VALUE"""),"")</f>
        <v/>
      </c>
      <c r="G18188" s="42" t="str">
        <f>IFERROR(__xludf.DUMMYFUNCTION("""COMPUTED_VALUE"""),"")</f>
        <v/>
      </c>
      <c r="H18188" s="42">
        <f t="shared" si="1"/>
        <v>3345</v>
      </c>
    </row>
    <row r="18189" ht="22.5" customHeight="1">
      <c r="B18189" s="42" t="str">
        <f>IFERROR(__xludf.DUMMYFUNCTION("""COMPUTED_VALUE"""),"")</f>
        <v/>
      </c>
      <c r="C18189" s="42" t="str">
        <f>IFERROR(__xludf.DUMMYFUNCTION("""COMPUTED_VALUE"""),"")</f>
        <v/>
      </c>
      <c r="D18189" s="42"/>
      <c r="E18189" s="42"/>
      <c r="F18189" s="48" t="str">
        <f>IFERROR(__xludf.DUMMYFUNCTION("""COMPUTED_VALUE"""),"")</f>
        <v/>
      </c>
      <c r="G18189" s="42" t="str">
        <f>IFERROR(__xludf.DUMMYFUNCTION("""COMPUTED_VALUE"""),"")</f>
        <v/>
      </c>
      <c r="H18189" s="42">
        <f t="shared" si="1"/>
        <v>3345</v>
      </c>
    </row>
    <row r="18190" ht="22.5" customHeight="1">
      <c r="B18190" s="42" t="str">
        <f>IFERROR(__xludf.DUMMYFUNCTION("""COMPUTED_VALUE"""),"")</f>
        <v/>
      </c>
      <c r="C18190" s="42" t="str">
        <f>IFERROR(__xludf.DUMMYFUNCTION("""COMPUTED_VALUE"""),"")</f>
        <v/>
      </c>
      <c r="D18190" s="42"/>
      <c r="E18190" s="42"/>
      <c r="F18190" s="48" t="str">
        <f>IFERROR(__xludf.DUMMYFUNCTION("""COMPUTED_VALUE"""),"")</f>
        <v/>
      </c>
      <c r="G18190" s="42" t="str">
        <f>IFERROR(__xludf.DUMMYFUNCTION("""COMPUTED_VALUE"""),"")</f>
        <v/>
      </c>
      <c r="H18190" s="42">
        <f t="shared" si="1"/>
        <v>3345</v>
      </c>
    </row>
    <row r="18191" ht="22.5" customHeight="1">
      <c r="B18191" s="42" t="str">
        <f>IFERROR(__xludf.DUMMYFUNCTION("""COMPUTED_VALUE"""),"")</f>
        <v/>
      </c>
      <c r="C18191" s="42" t="str">
        <f>IFERROR(__xludf.DUMMYFUNCTION("""COMPUTED_VALUE"""),"")</f>
        <v/>
      </c>
      <c r="D18191" s="42"/>
      <c r="E18191" s="42"/>
      <c r="F18191" s="48" t="str">
        <f>IFERROR(__xludf.DUMMYFUNCTION("""COMPUTED_VALUE"""),"")</f>
        <v/>
      </c>
      <c r="G18191" s="42" t="str">
        <f>IFERROR(__xludf.DUMMYFUNCTION("""COMPUTED_VALUE"""),"")</f>
        <v/>
      </c>
      <c r="H18191" s="42">
        <f t="shared" si="1"/>
        <v>3345</v>
      </c>
    </row>
    <row r="18192" ht="22.5" customHeight="1">
      <c r="B18192" s="42" t="str">
        <f>IFERROR(__xludf.DUMMYFUNCTION("""COMPUTED_VALUE"""),"")</f>
        <v/>
      </c>
      <c r="C18192" s="42" t="str">
        <f>IFERROR(__xludf.DUMMYFUNCTION("""COMPUTED_VALUE"""),"")</f>
        <v/>
      </c>
      <c r="D18192" s="42"/>
      <c r="E18192" s="42"/>
      <c r="F18192" s="48" t="str">
        <f>IFERROR(__xludf.DUMMYFUNCTION("""COMPUTED_VALUE"""),"")</f>
        <v/>
      </c>
      <c r="G18192" s="42" t="str">
        <f>IFERROR(__xludf.DUMMYFUNCTION("""COMPUTED_VALUE"""),"")</f>
        <v/>
      </c>
      <c r="H18192" s="42">
        <f t="shared" si="1"/>
        <v>3345</v>
      </c>
    </row>
    <row r="18193" ht="22.5" customHeight="1">
      <c r="B18193" s="42" t="str">
        <f>IFERROR(__xludf.DUMMYFUNCTION("""COMPUTED_VALUE"""),"")</f>
        <v/>
      </c>
      <c r="C18193" s="42" t="str">
        <f>IFERROR(__xludf.DUMMYFUNCTION("""COMPUTED_VALUE"""),"")</f>
        <v/>
      </c>
      <c r="D18193" s="42"/>
      <c r="E18193" s="42"/>
      <c r="F18193" s="48" t="str">
        <f>IFERROR(__xludf.DUMMYFUNCTION("""COMPUTED_VALUE"""),"")</f>
        <v/>
      </c>
      <c r="G18193" s="42" t="str">
        <f>IFERROR(__xludf.DUMMYFUNCTION("""COMPUTED_VALUE"""),"")</f>
        <v/>
      </c>
      <c r="H18193" s="42">
        <f t="shared" si="1"/>
        <v>3345</v>
      </c>
    </row>
    <row r="18194" ht="22.5" customHeight="1">
      <c r="B18194" s="42" t="str">
        <f>IFERROR(__xludf.DUMMYFUNCTION("""COMPUTED_VALUE"""),"")</f>
        <v/>
      </c>
      <c r="C18194" s="42" t="str">
        <f>IFERROR(__xludf.DUMMYFUNCTION("""COMPUTED_VALUE"""),"")</f>
        <v/>
      </c>
      <c r="D18194" s="42"/>
      <c r="E18194" s="42"/>
      <c r="F18194" s="48" t="str">
        <f>IFERROR(__xludf.DUMMYFUNCTION("""COMPUTED_VALUE"""),"")</f>
        <v/>
      </c>
      <c r="G18194" s="42" t="str">
        <f>IFERROR(__xludf.DUMMYFUNCTION("""COMPUTED_VALUE"""),"")</f>
        <v/>
      </c>
      <c r="H18194" s="42">
        <f t="shared" si="1"/>
        <v>3345</v>
      </c>
    </row>
    <row r="18195" ht="22.5" customHeight="1">
      <c r="B18195" s="42" t="str">
        <f>IFERROR(__xludf.DUMMYFUNCTION("""COMPUTED_VALUE"""),"")</f>
        <v/>
      </c>
      <c r="C18195" s="42" t="str">
        <f>IFERROR(__xludf.DUMMYFUNCTION("""COMPUTED_VALUE"""),"")</f>
        <v/>
      </c>
      <c r="D18195" s="42"/>
      <c r="E18195" s="42"/>
      <c r="F18195" s="48" t="str">
        <f>IFERROR(__xludf.DUMMYFUNCTION("""COMPUTED_VALUE"""),"")</f>
        <v/>
      </c>
      <c r="G18195" s="42" t="str">
        <f>IFERROR(__xludf.DUMMYFUNCTION("""COMPUTED_VALUE"""),"")</f>
        <v/>
      </c>
      <c r="H18195" s="42">
        <f t="shared" si="1"/>
        <v>3345</v>
      </c>
    </row>
    <row r="18196" ht="22.5" customHeight="1">
      <c r="B18196" s="42" t="str">
        <f>IFERROR(__xludf.DUMMYFUNCTION("""COMPUTED_VALUE"""),"")</f>
        <v/>
      </c>
      <c r="C18196" s="42" t="str">
        <f>IFERROR(__xludf.DUMMYFUNCTION("""COMPUTED_VALUE"""),"")</f>
        <v/>
      </c>
      <c r="D18196" s="42"/>
      <c r="E18196" s="42"/>
      <c r="F18196" s="48" t="str">
        <f>IFERROR(__xludf.DUMMYFUNCTION("""COMPUTED_VALUE"""),"")</f>
        <v/>
      </c>
      <c r="G18196" s="42" t="str">
        <f>IFERROR(__xludf.DUMMYFUNCTION("""COMPUTED_VALUE"""),"")</f>
        <v/>
      </c>
      <c r="H18196" s="42">
        <f t="shared" si="1"/>
        <v>3345</v>
      </c>
    </row>
    <row r="18197" ht="22.5" customHeight="1">
      <c r="B18197" s="42" t="str">
        <f>IFERROR(__xludf.DUMMYFUNCTION("""COMPUTED_VALUE"""),"")</f>
        <v/>
      </c>
      <c r="C18197" s="42" t="str">
        <f>IFERROR(__xludf.DUMMYFUNCTION("""COMPUTED_VALUE"""),"")</f>
        <v/>
      </c>
      <c r="D18197" s="42"/>
      <c r="E18197" s="42"/>
      <c r="F18197" s="48" t="str">
        <f>IFERROR(__xludf.DUMMYFUNCTION("""COMPUTED_VALUE"""),"")</f>
        <v/>
      </c>
      <c r="G18197" s="42" t="str">
        <f>IFERROR(__xludf.DUMMYFUNCTION("""COMPUTED_VALUE"""),"")</f>
        <v/>
      </c>
      <c r="H18197" s="42">
        <f t="shared" si="1"/>
        <v>3345</v>
      </c>
    </row>
    <row r="18198" ht="22.5" customHeight="1">
      <c r="B18198" s="42" t="str">
        <f>IFERROR(__xludf.DUMMYFUNCTION("""COMPUTED_VALUE"""),"")</f>
        <v/>
      </c>
      <c r="C18198" s="42" t="str">
        <f>IFERROR(__xludf.DUMMYFUNCTION("""COMPUTED_VALUE"""),"")</f>
        <v/>
      </c>
      <c r="D18198" s="42"/>
      <c r="E18198" s="42"/>
      <c r="F18198" s="48" t="str">
        <f>IFERROR(__xludf.DUMMYFUNCTION("""COMPUTED_VALUE"""),"")</f>
        <v/>
      </c>
      <c r="G18198" s="42" t="str">
        <f>IFERROR(__xludf.DUMMYFUNCTION("""COMPUTED_VALUE"""),"")</f>
        <v/>
      </c>
      <c r="H18198" s="42">
        <f t="shared" si="1"/>
        <v>3345</v>
      </c>
    </row>
    <row r="18199" ht="22.5" customHeight="1">
      <c r="B18199" s="42" t="str">
        <f>IFERROR(__xludf.DUMMYFUNCTION("""COMPUTED_VALUE"""),"")</f>
        <v/>
      </c>
      <c r="C18199" s="42" t="str">
        <f>IFERROR(__xludf.DUMMYFUNCTION("""COMPUTED_VALUE"""),"")</f>
        <v/>
      </c>
      <c r="D18199" s="42"/>
      <c r="E18199" s="42"/>
      <c r="F18199" s="48" t="str">
        <f>IFERROR(__xludf.DUMMYFUNCTION("""COMPUTED_VALUE"""),"")</f>
        <v/>
      </c>
      <c r="G18199" s="42" t="str">
        <f>IFERROR(__xludf.DUMMYFUNCTION("""COMPUTED_VALUE"""),"")</f>
        <v/>
      </c>
      <c r="H18199" s="42">
        <f t="shared" si="1"/>
        <v>3345</v>
      </c>
    </row>
    <row r="18200" ht="22.5" customHeight="1">
      <c r="B18200" s="42" t="str">
        <f>IFERROR(__xludf.DUMMYFUNCTION("""COMPUTED_VALUE"""),"")</f>
        <v/>
      </c>
      <c r="C18200" s="42" t="str">
        <f>IFERROR(__xludf.DUMMYFUNCTION("""COMPUTED_VALUE"""),"")</f>
        <v/>
      </c>
      <c r="D18200" s="42"/>
      <c r="E18200" s="42"/>
      <c r="F18200" s="48" t="str">
        <f>IFERROR(__xludf.DUMMYFUNCTION("""COMPUTED_VALUE"""),"")</f>
        <v/>
      </c>
      <c r="G18200" s="42" t="str">
        <f>IFERROR(__xludf.DUMMYFUNCTION("""COMPUTED_VALUE"""),"")</f>
        <v/>
      </c>
      <c r="H18200" s="42">
        <f t="shared" si="1"/>
        <v>3345</v>
      </c>
    </row>
    <row r="18201" ht="22.5" customHeight="1">
      <c r="B18201" s="42" t="str">
        <f>IFERROR(__xludf.DUMMYFUNCTION("""COMPUTED_VALUE"""),"")</f>
        <v/>
      </c>
      <c r="C18201" s="42" t="str">
        <f>IFERROR(__xludf.DUMMYFUNCTION("""COMPUTED_VALUE"""),"")</f>
        <v/>
      </c>
      <c r="D18201" s="42"/>
      <c r="E18201" s="42"/>
      <c r="F18201" s="48" t="str">
        <f>IFERROR(__xludf.DUMMYFUNCTION("""COMPUTED_VALUE"""),"")</f>
        <v/>
      </c>
      <c r="G18201" s="42" t="str">
        <f>IFERROR(__xludf.DUMMYFUNCTION("""COMPUTED_VALUE"""),"")</f>
        <v/>
      </c>
      <c r="H18201" s="42">
        <f t="shared" si="1"/>
        <v>3345</v>
      </c>
    </row>
    <row r="18202" ht="22.5" customHeight="1">
      <c r="B18202" s="42" t="str">
        <f>IFERROR(__xludf.DUMMYFUNCTION("""COMPUTED_VALUE"""),"")</f>
        <v/>
      </c>
      <c r="C18202" s="42" t="str">
        <f>IFERROR(__xludf.DUMMYFUNCTION("""COMPUTED_VALUE"""),"")</f>
        <v/>
      </c>
      <c r="D18202" s="42"/>
      <c r="E18202" s="42"/>
      <c r="F18202" s="48" t="str">
        <f>IFERROR(__xludf.DUMMYFUNCTION("""COMPUTED_VALUE"""),"")</f>
        <v/>
      </c>
      <c r="G18202" s="42" t="str">
        <f>IFERROR(__xludf.DUMMYFUNCTION("""COMPUTED_VALUE"""),"")</f>
        <v/>
      </c>
      <c r="H18202" s="42">
        <f t="shared" si="1"/>
        <v>3345</v>
      </c>
    </row>
    <row r="18203" ht="22.5" customHeight="1">
      <c r="B18203" s="42" t="str">
        <f>IFERROR(__xludf.DUMMYFUNCTION("""COMPUTED_VALUE"""),"")</f>
        <v/>
      </c>
      <c r="C18203" s="42" t="str">
        <f>IFERROR(__xludf.DUMMYFUNCTION("""COMPUTED_VALUE"""),"")</f>
        <v/>
      </c>
      <c r="D18203" s="42"/>
      <c r="E18203" s="42"/>
      <c r="F18203" s="48" t="str">
        <f>IFERROR(__xludf.DUMMYFUNCTION("""COMPUTED_VALUE"""),"")</f>
        <v/>
      </c>
      <c r="G18203" s="42" t="str">
        <f>IFERROR(__xludf.DUMMYFUNCTION("""COMPUTED_VALUE"""),"")</f>
        <v/>
      </c>
      <c r="H18203" s="42">
        <f t="shared" si="1"/>
        <v>3345</v>
      </c>
    </row>
    <row r="18204" ht="22.5" customHeight="1">
      <c r="B18204" s="42" t="str">
        <f>IFERROR(__xludf.DUMMYFUNCTION("""COMPUTED_VALUE"""),"")</f>
        <v/>
      </c>
      <c r="C18204" s="42" t="str">
        <f>IFERROR(__xludf.DUMMYFUNCTION("""COMPUTED_VALUE"""),"")</f>
        <v/>
      </c>
      <c r="D18204" s="42"/>
      <c r="E18204" s="42"/>
      <c r="F18204" s="48" t="str">
        <f>IFERROR(__xludf.DUMMYFUNCTION("""COMPUTED_VALUE"""),"")</f>
        <v/>
      </c>
      <c r="G18204" s="42" t="str">
        <f>IFERROR(__xludf.DUMMYFUNCTION("""COMPUTED_VALUE"""),"")</f>
        <v/>
      </c>
      <c r="H18204" s="42">
        <f t="shared" si="1"/>
        <v>3345</v>
      </c>
    </row>
    <row r="18205" ht="22.5" customHeight="1">
      <c r="B18205" s="42" t="str">
        <f>IFERROR(__xludf.DUMMYFUNCTION("""COMPUTED_VALUE"""),"")</f>
        <v/>
      </c>
      <c r="C18205" s="42" t="str">
        <f>IFERROR(__xludf.DUMMYFUNCTION("""COMPUTED_VALUE"""),"")</f>
        <v/>
      </c>
      <c r="D18205" s="42"/>
      <c r="E18205" s="42"/>
      <c r="F18205" s="48" t="str">
        <f>IFERROR(__xludf.DUMMYFUNCTION("""COMPUTED_VALUE"""),"")</f>
        <v/>
      </c>
      <c r="G18205" s="42" t="str">
        <f>IFERROR(__xludf.DUMMYFUNCTION("""COMPUTED_VALUE"""),"")</f>
        <v/>
      </c>
      <c r="H18205" s="42">
        <f t="shared" si="1"/>
        <v>3345</v>
      </c>
    </row>
    <row r="18206" ht="22.5" customHeight="1">
      <c r="B18206" s="42" t="str">
        <f>IFERROR(__xludf.DUMMYFUNCTION("""COMPUTED_VALUE"""),"")</f>
        <v/>
      </c>
      <c r="C18206" s="42" t="str">
        <f>IFERROR(__xludf.DUMMYFUNCTION("""COMPUTED_VALUE"""),"")</f>
        <v/>
      </c>
      <c r="D18206" s="42"/>
      <c r="E18206" s="42"/>
      <c r="F18206" s="48" t="str">
        <f>IFERROR(__xludf.DUMMYFUNCTION("""COMPUTED_VALUE"""),"")</f>
        <v/>
      </c>
      <c r="G18206" s="42" t="str">
        <f>IFERROR(__xludf.DUMMYFUNCTION("""COMPUTED_VALUE"""),"")</f>
        <v/>
      </c>
      <c r="H18206" s="42">
        <f t="shared" si="1"/>
        <v>3345</v>
      </c>
    </row>
    <row r="18207" ht="22.5" customHeight="1">
      <c r="B18207" s="42" t="str">
        <f>IFERROR(__xludf.DUMMYFUNCTION("""COMPUTED_VALUE"""),"")</f>
        <v/>
      </c>
      <c r="C18207" s="42" t="str">
        <f>IFERROR(__xludf.DUMMYFUNCTION("""COMPUTED_VALUE"""),"")</f>
        <v/>
      </c>
      <c r="D18207" s="42"/>
      <c r="E18207" s="42"/>
      <c r="F18207" s="48" t="str">
        <f>IFERROR(__xludf.DUMMYFUNCTION("""COMPUTED_VALUE"""),"")</f>
        <v/>
      </c>
      <c r="G18207" s="42" t="str">
        <f>IFERROR(__xludf.DUMMYFUNCTION("""COMPUTED_VALUE"""),"")</f>
        <v/>
      </c>
      <c r="H18207" s="42">
        <f t="shared" si="1"/>
        <v>3345</v>
      </c>
    </row>
    <row r="18208" ht="22.5" customHeight="1">
      <c r="B18208" s="42" t="str">
        <f>IFERROR(__xludf.DUMMYFUNCTION("""COMPUTED_VALUE"""),"")</f>
        <v/>
      </c>
      <c r="C18208" s="42" t="str">
        <f>IFERROR(__xludf.DUMMYFUNCTION("""COMPUTED_VALUE"""),"")</f>
        <v/>
      </c>
      <c r="D18208" s="42"/>
      <c r="E18208" s="42"/>
      <c r="F18208" s="48" t="str">
        <f>IFERROR(__xludf.DUMMYFUNCTION("""COMPUTED_VALUE"""),"")</f>
        <v/>
      </c>
      <c r="G18208" s="42" t="str">
        <f>IFERROR(__xludf.DUMMYFUNCTION("""COMPUTED_VALUE"""),"")</f>
        <v/>
      </c>
      <c r="H18208" s="42">
        <f t="shared" si="1"/>
        <v>3345</v>
      </c>
    </row>
    <row r="18209" ht="22.5" customHeight="1">
      <c r="B18209" s="42" t="str">
        <f>IFERROR(__xludf.DUMMYFUNCTION("""COMPUTED_VALUE"""),"")</f>
        <v/>
      </c>
      <c r="C18209" s="42" t="str">
        <f>IFERROR(__xludf.DUMMYFUNCTION("""COMPUTED_VALUE"""),"")</f>
        <v/>
      </c>
      <c r="D18209" s="42"/>
      <c r="E18209" s="42"/>
      <c r="F18209" s="48" t="str">
        <f>IFERROR(__xludf.DUMMYFUNCTION("""COMPUTED_VALUE"""),"")</f>
        <v/>
      </c>
      <c r="G18209" s="42" t="str">
        <f>IFERROR(__xludf.DUMMYFUNCTION("""COMPUTED_VALUE"""),"")</f>
        <v/>
      </c>
      <c r="H18209" s="42">
        <f t="shared" si="1"/>
        <v>3345</v>
      </c>
    </row>
    <row r="18210" ht="22.5" customHeight="1">
      <c r="B18210" s="42" t="str">
        <f>IFERROR(__xludf.DUMMYFUNCTION("""COMPUTED_VALUE"""),"")</f>
        <v/>
      </c>
      <c r="C18210" s="42" t="str">
        <f>IFERROR(__xludf.DUMMYFUNCTION("""COMPUTED_VALUE"""),"")</f>
        <v/>
      </c>
      <c r="D18210" s="42"/>
      <c r="E18210" s="42"/>
      <c r="F18210" s="48" t="str">
        <f>IFERROR(__xludf.DUMMYFUNCTION("""COMPUTED_VALUE"""),"")</f>
        <v/>
      </c>
      <c r="G18210" s="42" t="str">
        <f>IFERROR(__xludf.DUMMYFUNCTION("""COMPUTED_VALUE"""),"")</f>
        <v/>
      </c>
      <c r="H18210" s="42">
        <f t="shared" si="1"/>
        <v>3345</v>
      </c>
    </row>
    <row r="18211" ht="22.5" customHeight="1">
      <c r="B18211" s="42" t="str">
        <f>IFERROR(__xludf.DUMMYFUNCTION("""COMPUTED_VALUE"""),"")</f>
        <v/>
      </c>
      <c r="C18211" s="42" t="str">
        <f>IFERROR(__xludf.DUMMYFUNCTION("""COMPUTED_VALUE"""),"")</f>
        <v/>
      </c>
      <c r="D18211" s="42"/>
      <c r="E18211" s="42"/>
      <c r="F18211" s="48" t="str">
        <f>IFERROR(__xludf.DUMMYFUNCTION("""COMPUTED_VALUE"""),"")</f>
        <v/>
      </c>
      <c r="G18211" s="42" t="str">
        <f>IFERROR(__xludf.DUMMYFUNCTION("""COMPUTED_VALUE"""),"")</f>
        <v/>
      </c>
      <c r="H18211" s="42">
        <f t="shared" si="1"/>
        <v>3345</v>
      </c>
    </row>
    <row r="18212" ht="22.5" customHeight="1">
      <c r="B18212" s="42" t="str">
        <f>IFERROR(__xludf.DUMMYFUNCTION("""COMPUTED_VALUE"""),"")</f>
        <v/>
      </c>
      <c r="C18212" s="42" t="str">
        <f>IFERROR(__xludf.DUMMYFUNCTION("""COMPUTED_VALUE"""),"")</f>
        <v/>
      </c>
      <c r="D18212" s="42"/>
      <c r="E18212" s="42"/>
      <c r="F18212" s="48" t="str">
        <f>IFERROR(__xludf.DUMMYFUNCTION("""COMPUTED_VALUE"""),"")</f>
        <v/>
      </c>
      <c r="G18212" s="42" t="str">
        <f>IFERROR(__xludf.DUMMYFUNCTION("""COMPUTED_VALUE"""),"")</f>
        <v/>
      </c>
      <c r="H18212" s="42">
        <f t="shared" si="1"/>
        <v>3345</v>
      </c>
    </row>
    <row r="18213" ht="22.5" customHeight="1">
      <c r="B18213" s="42" t="str">
        <f>IFERROR(__xludf.DUMMYFUNCTION("""COMPUTED_VALUE"""),"")</f>
        <v/>
      </c>
      <c r="C18213" s="42" t="str">
        <f>IFERROR(__xludf.DUMMYFUNCTION("""COMPUTED_VALUE"""),"")</f>
        <v/>
      </c>
      <c r="D18213" s="42"/>
      <c r="E18213" s="42"/>
      <c r="F18213" s="48" t="str">
        <f>IFERROR(__xludf.DUMMYFUNCTION("""COMPUTED_VALUE"""),"")</f>
        <v/>
      </c>
      <c r="G18213" s="42" t="str">
        <f>IFERROR(__xludf.DUMMYFUNCTION("""COMPUTED_VALUE"""),"")</f>
        <v/>
      </c>
      <c r="H18213" s="42">
        <f t="shared" si="1"/>
        <v>3345</v>
      </c>
    </row>
    <row r="18214" ht="22.5" customHeight="1">
      <c r="B18214" s="42" t="str">
        <f>IFERROR(__xludf.DUMMYFUNCTION("""COMPUTED_VALUE"""),"")</f>
        <v/>
      </c>
      <c r="C18214" s="42" t="str">
        <f>IFERROR(__xludf.DUMMYFUNCTION("""COMPUTED_VALUE"""),"")</f>
        <v/>
      </c>
      <c r="D18214" s="42"/>
      <c r="E18214" s="42"/>
      <c r="F18214" s="48" t="str">
        <f>IFERROR(__xludf.DUMMYFUNCTION("""COMPUTED_VALUE"""),"")</f>
        <v/>
      </c>
      <c r="G18214" s="42" t="str">
        <f>IFERROR(__xludf.DUMMYFUNCTION("""COMPUTED_VALUE"""),"")</f>
        <v/>
      </c>
      <c r="H18214" s="42">
        <f t="shared" si="1"/>
        <v>3345</v>
      </c>
    </row>
    <row r="18215" ht="22.5" customHeight="1">
      <c r="B18215" s="42" t="str">
        <f>IFERROR(__xludf.DUMMYFUNCTION("""COMPUTED_VALUE"""),"")</f>
        <v/>
      </c>
      <c r="C18215" s="42" t="str">
        <f>IFERROR(__xludf.DUMMYFUNCTION("""COMPUTED_VALUE"""),"")</f>
        <v/>
      </c>
      <c r="D18215" s="42"/>
      <c r="E18215" s="42"/>
      <c r="F18215" s="48" t="str">
        <f>IFERROR(__xludf.DUMMYFUNCTION("""COMPUTED_VALUE"""),"")</f>
        <v/>
      </c>
      <c r="G18215" s="42" t="str">
        <f>IFERROR(__xludf.DUMMYFUNCTION("""COMPUTED_VALUE"""),"")</f>
        <v/>
      </c>
      <c r="H18215" s="42">
        <f t="shared" si="1"/>
        <v>3345</v>
      </c>
    </row>
    <row r="18216" ht="22.5" customHeight="1">
      <c r="B18216" s="42" t="str">
        <f>IFERROR(__xludf.DUMMYFUNCTION("""COMPUTED_VALUE"""),"")</f>
        <v/>
      </c>
      <c r="C18216" s="42" t="str">
        <f>IFERROR(__xludf.DUMMYFUNCTION("""COMPUTED_VALUE"""),"")</f>
        <v/>
      </c>
      <c r="D18216" s="42"/>
      <c r="E18216" s="42"/>
      <c r="F18216" s="48" t="str">
        <f>IFERROR(__xludf.DUMMYFUNCTION("""COMPUTED_VALUE"""),"")</f>
        <v/>
      </c>
      <c r="G18216" s="42" t="str">
        <f>IFERROR(__xludf.DUMMYFUNCTION("""COMPUTED_VALUE"""),"")</f>
        <v/>
      </c>
      <c r="H18216" s="42">
        <f t="shared" si="1"/>
        <v>3345</v>
      </c>
    </row>
    <row r="18217" ht="22.5" customHeight="1">
      <c r="B18217" s="42" t="str">
        <f>IFERROR(__xludf.DUMMYFUNCTION("""COMPUTED_VALUE"""),"")</f>
        <v/>
      </c>
      <c r="C18217" s="42" t="str">
        <f>IFERROR(__xludf.DUMMYFUNCTION("""COMPUTED_VALUE"""),"")</f>
        <v/>
      </c>
      <c r="D18217" s="42"/>
      <c r="E18217" s="42"/>
      <c r="F18217" s="48" t="str">
        <f>IFERROR(__xludf.DUMMYFUNCTION("""COMPUTED_VALUE"""),"")</f>
        <v/>
      </c>
      <c r="G18217" s="42" t="str">
        <f>IFERROR(__xludf.DUMMYFUNCTION("""COMPUTED_VALUE"""),"")</f>
        <v/>
      </c>
      <c r="H18217" s="42">
        <f t="shared" si="1"/>
        <v>3345</v>
      </c>
    </row>
    <row r="18218" ht="22.5" customHeight="1">
      <c r="B18218" s="42" t="str">
        <f>IFERROR(__xludf.DUMMYFUNCTION("""COMPUTED_VALUE"""),"")</f>
        <v/>
      </c>
      <c r="C18218" s="42" t="str">
        <f>IFERROR(__xludf.DUMMYFUNCTION("""COMPUTED_VALUE"""),"")</f>
        <v/>
      </c>
      <c r="D18218" s="42"/>
      <c r="E18218" s="42"/>
      <c r="F18218" s="48" t="str">
        <f>IFERROR(__xludf.DUMMYFUNCTION("""COMPUTED_VALUE"""),"")</f>
        <v/>
      </c>
      <c r="G18218" s="42" t="str">
        <f>IFERROR(__xludf.DUMMYFUNCTION("""COMPUTED_VALUE"""),"")</f>
        <v/>
      </c>
      <c r="H18218" s="42">
        <f t="shared" si="1"/>
        <v>3345</v>
      </c>
    </row>
    <row r="18219" ht="22.5" customHeight="1">
      <c r="B18219" s="42" t="str">
        <f>IFERROR(__xludf.DUMMYFUNCTION("""COMPUTED_VALUE"""),"")</f>
        <v/>
      </c>
      <c r="C18219" s="42" t="str">
        <f>IFERROR(__xludf.DUMMYFUNCTION("""COMPUTED_VALUE"""),"")</f>
        <v/>
      </c>
      <c r="D18219" s="42"/>
      <c r="E18219" s="42"/>
      <c r="F18219" s="48" t="str">
        <f>IFERROR(__xludf.DUMMYFUNCTION("""COMPUTED_VALUE"""),"")</f>
        <v/>
      </c>
      <c r="G18219" s="42" t="str">
        <f>IFERROR(__xludf.DUMMYFUNCTION("""COMPUTED_VALUE"""),"")</f>
        <v/>
      </c>
      <c r="H18219" s="42">
        <f t="shared" si="1"/>
        <v>3345</v>
      </c>
    </row>
    <row r="18220" ht="22.5" customHeight="1">
      <c r="B18220" s="42" t="str">
        <f>IFERROR(__xludf.DUMMYFUNCTION("""COMPUTED_VALUE"""),"")</f>
        <v/>
      </c>
      <c r="C18220" s="42" t="str">
        <f>IFERROR(__xludf.DUMMYFUNCTION("""COMPUTED_VALUE"""),"")</f>
        <v/>
      </c>
      <c r="D18220" s="42"/>
      <c r="E18220" s="42"/>
      <c r="F18220" s="48" t="str">
        <f>IFERROR(__xludf.DUMMYFUNCTION("""COMPUTED_VALUE"""),"")</f>
        <v/>
      </c>
      <c r="G18220" s="42" t="str">
        <f>IFERROR(__xludf.DUMMYFUNCTION("""COMPUTED_VALUE"""),"")</f>
        <v/>
      </c>
      <c r="H18220" s="42">
        <f t="shared" si="1"/>
        <v>3345</v>
      </c>
    </row>
    <row r="18221" ht="22.5" customHeight="1">
      <c r="B18221" s="42" t="str">
        <f>IFERROR(__xludf.DUMMYFUNCTION("""COMPUTED_VALUE"""),"")</f>
        <v/>
      </c>
      <c r="C18221" s="42" t="str">
        <f>IFERROR(__xludf.DUMMYFUNCTION("""COMPUTED_VALUE"""),"")</f>
        <v/>
      </c>
      <c r="D18221" s="42"/>
      <c r="E18221" s="42"/>
      <c r="F18221" s="48" t="str">
        <f>IFERROR(__xludf.DUMMYFUNCTION("""COMPUTED_VALUE"""),"")</f>
        <v/>
      </c>
      <c r="G18221" s="42" t="str">
        <f>IFERROR(__xludf.DUMMYFUNCTION("""COMPUTED_VALUE"""),"")</f>
        <v/>
      </c>
      <c r="H18221" s="42">
        <f t="shared" si="1"/>
        <v>3345</v>
      </c>
    </row>
    <row r="18222" ht="22.5" customHeight="1">
      <c r="B18222" s="42" t="str">
        <f>IFERROR(__xludf.DUMMYFUNCTION("""COMPUTED_VALUE"""),"")</f>
        <v/>
      </c>
      <c r="C18222" s="42" t="str">
        <f>IFERROR(__xludf.DUMMYFUNCTION("""COMPUTED_VALUE"""),"")</f>
        <v/>
      </c>
      <c r="D18222" s="42"/>
      <c r="E18222" s="42"/>
      <c r="F18222" s="48" t="str">
        <f>IFERROR(__xludf.DUMMYFUNCTION("""COMPUTED_VALUE"""),"")</f>
        <v/>
      </c>
      <c r="G18222" s="42" t="str">
        <f>IFERROR(__xludf.DUMMYFUNCTION("""COMPUTED_VALUE"""),"")</f>
        <v/>
      </c>
      <c r="H18222" s="42">
        <f t="shared" si="1"/>
        <v>3345</v>
      </c>
    </row>
    <row r="18223" ht="22.5" customHeight="1">
      <c r="B18223" s="42" t="str">
        <f>IFERROR(__xludf.DUMMYFUNCTION("""COMPUTED_VALUE"""),"")</f>
        <v/>
      </c>
      <c r="C18223" s="42" t="str">
        <f>IFERROR(__xludf.DUMMYFUNCTION("""COMPUTED_VALUE"""),"")</f>
        <v/>
      </c>
      <c r="D18223" s="42"/>
      <c r="E18223" s="42"/>
      <c r="F18223" s="48" t="str">
        <f>IFERROR(__xludf.DUMMYFUNCTION("""COMPUTED_VALUE"""),"")</f>
        <v/>
      </c>
      <c r="G18223" s="42" t="str">
        <f>IFERROR(__xludf.DUMMYFUNCTION("""COMPUTED_VALUE"""),"")</f>
        <v/>
      </c>
      <c r="H18223" s="42">
        <f t="shared" si="1"/>
        <v>3345</v>
      </c>
    </row>
    <row r="18224" ht="22.5" customHeight="1">
      <c r="B18224" s="42" t="str">
        <f>IFERROR(__xludf.DUMMYFUNCTION("""COMPUTED_VALUE"""),"")</f>
        <v/>
      </c>
      <c r="C18224" s="42" t="str">
        <f>IFERROR(__xludf.DUMMYFUNCTION("""COMPUTED_VALUE"""),"")</f>
        <v/>
      </c>
      <c r="D18224" s="42"/>
      <c r="E18224" s="42"/>
      <c r="F18224" s="48" t="str">
        <f>IFERROR(__xludf.DUMMYFUNCTION("""COMPUTED_VALUE"""),"")</f>
        <v/>
      </c>
      <c r="G18224" s="42" t="str">
        <f>IFERROR(__xludf.DUMMYFUNCTION("""COMPUTED_VALUE"""),"")</f>
        <v/>
      </c>
      <c r="H18224" s="42">
        <f t="shared" si="1"/>
        <v>3345</v>
      </c>
    </row>
    <row r="18225" ht="22.5" customHeight="1">
      <c r="B18225" s="42" t="str">
        <f>IFERROR(__xludf.DUMMYFUNCTION("""COMPUTED_VALUE"""),"")</f>
        <v/>
      </c>
      <c r="C18225" s="42" t="str">
        <f>IFERROR(__xludf.DUMMYFUNCTION("""COMPUTED_VALUE"""),"")</f>
        <v/>
      </c>
      <c r="D18225" s="42"/>
      <c r="E18225" s="42"/>
      <c r="F18225" s="48" t="str">
        <f>IFERROR(__xludf.DUMMYFUNCTION("""COMPUTED_VALUE"""),"")</f>
        <v/>
      </c>
      <c r="G18225" s="42" t="str">
        <f>IFERROR(__xludf.DUMMYFUNCTION("""COMPUTED_VALUE"""),"")</f>
        <v/>
      </c>
      <c r="H18225" s="42">
        <f t="shared" si="1"/>
        <v>3345</v>
      </c>
    </row>
    <row r="18226" ht="22.5" customHeight="1">
      <c r="B18226" s="42" t="str">
        <f>IFERROR(__xludf.DUMMYFUNCTION("""COMPUTED_VALUE"""),"")</f>
        <v/>
      </c>
      <c r="C18226" s="42" t="str">
        <f>IFERROR(__xludf.DUMMYFUNCTION("""COMPUTED_VALUE"""),"")</f>
        <v/>
      </c>
      <c r="D18226" s="42"/>
      <c r="E18226" s="42"/>
      <c r="F18226" s="48" t="str">
        <f>IFERROR(__xludf.DUMMYFUNCTION("""COMPUTED_VALUE"""),"")</f>
        <v/>
      </c>
      <c r="G18226" s="42" t="str">
        <f>IFERROR(__xludf.DUMMYFUNCTION("""COMPUTED_VALUE"""),"")</f>
        <v/>
      </c>
      <c r="H18226" s="42">
        <f t="shared" si="1"/>
        <v>3345</v>
      </c>
    </row>
    <row r="18227" ht="22.5" customHeight="1">
      <c r="B18227" s="42" t="str">
        <f>IFERROR(__xludf.DUMMYFUNCTION("""COMPUTED_VALUE"""),"")</f>
        <v/>
      </c>
      <c r="C18227" s="42" t="str">
        <f>IFERROR(__xludf.DUMMYFUNCTION("""COMPUTED_VALUE"""),"")</f>
        <v/>
      </c>
      <c r="D18227" s="42"/>
      <c r="E18227" s="42"/>
      <c r="F18227" s="48" t="str">
        <f>IFERROR(__xludf.DUMMYFUNCTION("""COMPUTED_VALUE"""),"")</f>
        <v/>
      </c>
      <c r="G18227" s="42" t="str">
        <f>IFERROR(__xludf.DUMMYFUNCTION("""COMPUTED_VALUE"""),"")</f>
        <v/>
      </c>
      <c r="H18227" s="42">
        <f t="shared" si="1"/>
        <v>3345</v>
      </c>
    </row>
    <row r="18228" ht="22.5" customHeight="1">
      <c r="B18228" s="42" t="str">
        <f>IFERROR(__xludf.DUMMYFUNCTION("""COMPUTED_VALUE"""),"")</f>
        <v/>
      </c>
      <c r="C18228" s="42" t="str">
        <f>IFERROR(__xludf.DUMMYFUNCTION("""COMPUTED_VALUE"""),"")</f>
        <v/>
      </c>
      <c r="D18228" s="42"/>
      <c r="E18228" s="42"/>
      <c r="F18228" s="48" t="str">
        <f>IFERROR(__xludf.DUMMYFUNCTION("""COMPUTED_VALUE"""),"")</f>
        <v/>
      </c>
      <c r="G18228" s="42" t="str">
        <f>IFERROR(__xludf.DUMMYFUNCTION("""COMPUTED_VALUE"""),"")</f>
        <v/>
      </c>
      <c r="H18228" s="42">
        <f t="shared" si="1"/>
        <v>3345</v>
      </c>
    </row>
    <row r="18229" ht="22.5" customHeight="1">
      <c r="B18229" s="42" t="str">
        <f>IFERROR(__xludf.DUMMYFUNCTION("""COMPUTED_VALUE"""),"")</f>
        <v/>
      </c>
      <c r="C18229" s="42" t="str">
        <f>IFERROR(__xludf.DUMMYFUNCTION("""COMPUTED_VALUE"""),"")</f>
        <v/>
      </c>
      <c r="D18229" s="42"/>
      <c r="E18229" s="42"/>
      <c r="F18229" s="48" t="str">
        <f>IFERROR(__xludf.DUMMYFUNCTION("""COMPUTED_VALUE"""),"")</f>
        <v/>
      </c>
      <c r="G18229" s="42" t="str">
        <f>IFERROR(__xludf.DUMMYFUNCTION("""COMPUTED_VALUE"""),"")</f>
        <v/>
      </c>
      <c r="H18229" s="42">
        <f t="shared" si="1"/>
        <v>3345</v>
      </c>
    </row>
    <row r="18230" ht="22.5" customHeight="1">
      <c r="B18230" s="42" t="str">
        <f>IFERROR(__xludf.DUMMYFUNCTION("""COMPUTED_VALUE"""),"")</f>
        <v/>
      </c>
      <c r="C18230" s="42" t="str">
        <f>IFERROR(__xludf.DUMMYFUNCTION("""COMPUTED_VALUE"""),"")</f>
        <v/>
      </c>
      <c r="D18230" s="42"/>
      <c r="E18230" s="42"/>
      <c r="F18230" s="48" t="str">
        <f>IFERROR(__xludf.DUMMYFUNCTION("""COMPUTED_VALUE"""),"")</f>
        <v/>
      </c>
      <c r="G18230" s="42" t="str">
        <f>IFERROR(__xludf.DUMMYFUNCTION("""COMPUTED_VALUE"""),"")</f>
        <v/>
      </c>
      <c r="H18230" s="42">
        <f t="shared" si="1"/>
        <v>3345</v>
      </c>
    </row>
    <row r="18231" ht="22.5" customHeight="1">
      <c r="B18231" s="42" t="str">
        <f>IFERROR(__xludf.DUMMYFUNCTION("""COMPUTED_VALUE"""),"")</f>
        <v/>
      </c>
      <c r="C18231" s="42" t="str">
        <f>IFERROR(__xludf.DUMMYFUNCTION("""COMPUTED_VALUE"""),"")</f>
        <v/>
      </c>
      <c r="D18231" s="42"/>
      <c r="E18231" s="42"/>
      <c r="F18231" s="48" t="str">
        <f>IFERROR(__xludf.DUMMYFUNCTION("""COMPUTED_VALUE"""),"")</f>
        <v/>
      </c>
      <c r="G18231" s="42" t="str">
        <f>IFERROR(__xludf.DUMMYFUNCTION("""COMPUTED_VALUE"""),"")</f>
        <v/>
      </c>
      <c r="H18231" s="42">
        <f t="shared" si="1"/>
        <v>3345</v>
      </c>
    </row>
    <row r="18232" ht="22.5" customHeight="1">
      <c r="B18232" s="42" t="str">
        <f>IFERROR(__xludf.DUMMYFUNCTION("""COMPUTED_VALUE"""),"")</f>
        <v/>
      </c>
      <c r="C18232" s="42" t="str">
        <f>IFERROR(__xludf.DUMMYFUNCTION("""COMPUTED_VALUE"""),"")</f>
        <v/>
      </c>
      <c r="D18232" s="42"/>
      <c r="E18232" s="42"/>
      <c r="F18232" s="48" t="str">
        <f>IFERROR(__xludf.DUMMYFUNCTION("""COMPUTED_VALUE"""),"")</f>
        <v/>
      </c>
      <c r="G18232" s="42" t="str">
        <f>IFERROR(__xludf.DUMMYFUNCTION("""COMPUTED_VALUE"""),"")</f>
        <v/>
      </c>
      <c r="H18232" s="42">
        <f t="shared" si="1"/>
        <v>3345</v>
      </c>
    </row>
    <row r="18233" ht="22.5" customHeight="1">
      <c r="B18233" s="42" t="str">
        <f>IFERROR(__xludf.DUMMYFUNCTION("""COMPUTED_VALUE"""),"")</f>
        <v/>
      </c>
      <c r="C18233" s="42" t="str">
        <f>IFERROR(__xludf.DUMMYFUNCTION("""COMPUTED_VALUE"""),"")</f>
        <v/>
      </c>
      <c r="D18233" s="42"/>
      <c r="E18233" s="42"/>
      <c r="F18233" s="48" t="str">
        <f>IFERROR(__xludf.DUMMYFUNCTION("""COMPUTED_VALUE"""),"")</f>
        <v/>
      </c>
      <c r="G18233" s="42" t="str">
        <f>IFERROR(__xludf.DUMMYFUNCTION("""COMPUTED_VALUE"""),"")</f>
        <v/>
      </c>
      <c r="H18233" s="42">
        <f t="shared" si="1"/>
        <v>3345</v>
      </c>
    </row>
    <row r="18234" ht="22.5" customHeight="1">
      <c r="B18234" s="42" t="str">
        <f>IFERROR(__xludf.DUMMYFUNCTION("""COMPUTED_VALUE"""),"")</f>
        <v/>
      </c>
      <c r="C18234" s="42" t="str">
        <f>IFERROR(__xludf.DUMMYFUNCTION("""COMPUTED_VALUE"""),"")</f>
        <v/>
      </c>
      <c r="D18234" s="42"/>
      <c r="E18234" s="42"/>
      <c r="F18234" s="48" t="str">
        <f>IFERROR(__xludf.DUMMYFUNCTION("""COMPUTED_VALUE"""),"")</f>
        <v/>
      </c>
      <c r="G18234" s="42" t="str">
        <f>IFERROR(__xludf.DUMMYFUNCTION("""COMPUTED_VALUE"""),"")</f>
        <v/>
      </c>
      <c r="H18234" s="42">
        <f t="shared" si="1"/>
        <v>3345</v>
      </c>
    </row>
    <row r="18235" ht="22.5" customHeight="1">
      <c r="B18235" s="42" t="str">
        <f>IFERROR(__xludf.DUMMYFUNCTION("""COMPUTED_VALUE"""),"")</f>
        <v/>
      </c>
      <c r="C18235" s="42" t="str">
        <f>IFERROR(__xludf.DUMMYFUNCTION("""COMPUTED_VALUE"""),"")</f>
        <v/>
      </c>
      <c r="D18235" s="42"/>
      <c r="E18235" s="42"/>
      <c r="F18235" s="48" t="str">
        <f>IFERROR(__xludf.DUMMYFUNCTION("""COMPUTED_VALUE"""),"")</f>
        <v/>
      </c>
      <c r="G18235" s="42" t="str">
        <f>IFERROR(__xludf.DUMMYFUNCTION("""COMPUTED_VALUE"""),"")</f>
        <v/>
      </c>
      <c r="H18235" s="42">
        <f t="shared" si="1"/>
        <v>3345</v>
      </c>
    </row>
    <row r="18236" ht="22.5" customHeight="1">
      <c r="B18236" s="42" t="str">
        <f>IFERROR(__xludf.DUMMYFUNCTION("""COMPUTED_VALUE"""),"")</f>
        <v/>
      </c>
      <c r="C18236" s="42" t="str">
        <f>IFERROR(__xludf.DUMMYFUNCTION("""COMPUTED_VALUE"""),"")</f>
        <v/>
      </c>
      <c r="D18236" s="42"/>
      <c r="E18236" s="42"/>
      <c r="F18236" s="48" t="str">
        <f>IFERROR(__xludf.DUMMYFUNCTION("""COMPUTED_VALUE"""),"")</f>
        <v/>
      </c>
      <c r="G18236" s="42" t="str">
        <f>IFERROR(__xludf.DUMMYFUNCTION("""COMPUTED_VALUE"""),"")</f>
        <v/>
      </c>
      <c r="H18236" s="42">
        <f t="shared" si="1"/>
        <v>3345</v>
      </c>
    </row>
    <row r="18237" ht="22.5" customHeight="1">
      <c r="B18237" s="42" t="str">
        <f>IFERROR(__xludf.DUMMYFUNCTION("""COMPUTED_VALUE"""),"")</f>
        <v/>
      </c>
      <c r="C18237" s="42" t="str">
        <f>IFERROR(__xludf.DUMMYFUNCTION("""COMPUTED_VALUE"""),"")</f>
        <v/>
      </c>
      <c r="D18237" s="42"/>
      <c r="E18237" s="42"/>
      <c r="F18237" s="48" t="str">
        <f>IFERROR(__xludf.DUMMYFUNCTION("""COMPUTED_VALUE"""),"")</f>
        <v/>
      </c>
      <c r="G18237" s="42" t="str">
        <f>IFERROR(__xludf.DUMMYFUNCTION("""COMPUTED_VALUE"""),"")</f>
        <v/>
      </c>
      <c r="H18237" s="42">
        <f t="shared" si="1"/>
        <v>3345</v>
      </c>
    </row>
    <row r="18238" ht="22.5" customHeight="1">
      <c r="B18238" s="42" t="str">
        <f>IFERROR(__xludf.DUMMYFUNCTION("""COMPUTED_VALUE"""),"")</f>
        <v/>
      </c>
      <c r="C18238" s="42" t="str">
        <f>IFERROR(__xludf.DUMMYFUNCTION("""COMPUTED_VALUE"""),"")</f>
        <v/>
      </c>
      <c r="D18238" s="42"/>
      <c r="E18238" s="42"/>
      <c r="F18238" s="48" t="str">
        <f>IFERROR(__xludf.DUMMYFUNCTION("""COMPUTED_VALUE"""),"")</f>
        <v/>
      </c>
      <c r="G18238" s="42" t="str">
        <f>IFERROR(__xludf.DUMMYFUNCTION("""COMPUTED_VALUE"""),"")</f>
        <v/>
      </c>
      <c r="H18238" s="42">
        <f t="shared" si="1"/>
        <v>3345</v>
      </c>
    </row>
    <row r="18239" ht="22.5" customHeight="1">
      <c r="B18239" s="42" t="str">
        <f>IFERROR(__xludf.DUMMYFUNCTION("""COMPUTED_VALUE"""),"")</f>
        <v/>
      </c>
      <c r="C18239" s="42" t="str">
        <f>IFERROR(__xludf.DUMMYFUNCTION("""COMPUTED_VALUE"""),"")</f>
        <v/>
      </c>
      <c r="D18239" s="42"/>
      <c r="E18239" s="42"/>
      <c r="F18239" s="48" t="str">
        <f>IFERROR(__xludf.DUMMYFUNCTION("""COMPUTED_VALUE"""),"")</f>
        <v/>
      </c>
      <c r="G18239" s="42" t="str">
        <f>IFERROR(__xludf.DUMMYFUNCTION("""COMPUTED_VALUE"""),"")</f>
        <v/>
      </c>
      <c r="H18239" s="42">
        <f t="shared" si="1"/>
        <v>3345</v>
      </c>
    </row>
    <row r="18240" ht="22.5" customHeight="1">
      <c r="B18240" s="42" t="str">
        <f>IFERROR(__xludf.DUMMYFUNCTION("""COMPUTED_VALUE"""),"")</f>
        <v/>
      </c>
      <c r="C18240" s="42" t="str">
        <f>IFERROR(__xludf.DUMMYFUNCTION("""COMPUTED_VALUE"""),"")</f>
        <v/>
      </c>
      <c r="D18240" s="42"/>
      <c r="E18240" s="42"/>
      <c r="F18240" s="48" t="str">
        <f>IFERROR(__xludf.DUMMYFUNCTION("""COMPUTED_VALUE"""),"")</f>
        <v/>
      </c>
      <c r="G18240" s="42" t="str">
        <f>IFERROR(__xludf.DUMMYFUNCTION("""COMPUTED_VALUE"""),"")</f>
        <v/>
      </c>
      <c r="H18240" s="42">
        <f t="shared" si="1"/>
        <v>3345</v>
      </c>
    </row>
    <row r="18241" ht="22.5" customHeight="1">
      <c r="B18241" s="42" t="str">
        <f>IFERROR(__xludf.DUMMYFUNCTION("""COMPUTED_VALUE"""),"")</f>
        <v/>
      </c>
      <c r="C18241" s="42" t="str">
        <f>IFERROR(__xludf.DUMMYFUNCTION("""COMPUTED_VALUE"""),"")</f>
        <v/>
      </c>
      <c r="D18241" s="42"/>
      <c r="E18241" s="42"/>
      <c r="F18241" s="48" t="str">
        <f>IFERROR(__xludf.DUMMYFUNCTION("""COMPUTED_VALUE"""),"")</f>
        <v/>
      </c>
      <c r="G18241" s="42" t="str">
        <f>IFERROR(__xludf.DUMMYFUNCTION("""COMPUTED_VALUE"""),"")</f>
        <v/>
      </c>
      <c r="H18241" s="42">
        <f t="shared" si="1"/>
        <v>3345</v>
      </c>
    </row>
    <row r="18242" ht="22.5" customHeight="1">
      <c r="B18242" s="42" t="str">
        <f>IFERROR(__xludf.DUMMYFUNCTION("""COMPUTED_VALUE"""),"")</f>
        <v/>
      </c>
      <c r="C18242" s="42" t="str">
        <f>IFERROR(__xludf.DUMMYFUNCTION("""COMPUTED_VALUE"""),"")</f>
        <v/>
      </c>
      <c r="D18242" s="42"/>
      <c r="E18242" s="42"/>
      <c r="F18242" s="48" t="str">
        <f>IFERROR(__xludf.DUMMYFUNCTION("""COMPUTED_VALUE"""),"")</f>
        <v/>
      </c>
      <c r="G18242" s="42" t="str">
        <f>IFERROR(__xludf.DUMMYFUNCTION("""COMPUTED_VALUE"""),"")</f>
        <v/>
      </c>
      <c r="H18242" s="42">
        <f t="shared" si="1"/>
        <v>3345</v>
      </c>
    </row>
    <row r="18243" ht="22.5" customHeight="1">
      <c r="B18243" s="42" t="str">
        <f>IFERROR(__xludf.DUMMYFUNCTION("""COMPUTED_VALUE"""),"")</f>
        <v/>
      </c>
      <c r="C18243" s="42" t="str">
        <f>IFERROR(__xludf.DUMMYFUNCTION("""COMPUTED_VALUE"""),"")</f>
        <v/>
      </c>
      <c r="D18243" s="42"/>
      <c r="E18243" s="42"/>
      <c r="F18243" s="48" t="str">
        <f>IFERROR(__xludf.DUMMYFUNCTION("""COMPUTED_VALUE"""),"")</f>
        <v/>
      </c>
      <c r="G18243" s="42" t="str">
        <f>IFERROR(__xludf.DUMMYFUNCTION("""COMPUTED_VALUE"""),"")</f>
        <v/>
      </c>
      <c r="H18243" s="42">
        <f t="shared" si="1"/>
        <v>3345</v>
      </c>
    </row>
    <row r="18244" ht="22.5" customHeight="1">
      <c r="B18244" s="42" t="str">
        <f>IFERROR(__xludf.DUMMYFUNCTION("""COMPUTED_VALUE"""),"")</f>
        <v/>
      </c>
      <c r="C18244" s="42" t="str">
        <f>IFERROR(__xludf.DUMMYFUNCTION("""COMPUTED_VALUE"""),"")</f>
        <v/>
      </c>
      <c r="D18244" s="42"/>
      <c r="E18244" s="42"/>
      <c r="F18244" s="48" t="str">
        <f>IFERROR(__xludf.DUMMYFUNCTION("""COMPUTED_VALUE"""),"")</f>
        <v/>
      </c>
      <c r="G18244" s="42" t="str">
        <f>IFERROR(__xludf.DUMMYFUNCTION("""COMPUTED_VALUE"""),"")</f>
        <v/>
      </c>
      <c r="H18244" s="42">
        <f t="shared" si="1"/>
        <v>3345</v>
      </c>
    </row>
    <row r="18245" ht="22.5" customHeight="1">
      <c r="B18245" s="42" t="str">
        <f>IFERROR(__xludf.DUMMYFUNCTION("""COMPUTED_VALUE"""),"")</f>
        <v/>
      </c>
      <c r="C18245" s="42" t="str">
        <f>IFERROR(__xludf.DUMMYFUNCTION("""COMPUTED_VALUE"""),"")</f>
        <v/>
      </c>
      <c r="D18245" s="42"/>
      <c r="E18245" s="42"/>
      <c r="F18245" s="48" t="str">
        <f>IFERROR(__xludf.DUMMYFUNCTION("""COMPUTED_VALUE"""),"")</f>
        <v/>
      </c>
      <c r="G18245" s="42" t="str">
        <f>IFERROR(__xludf.DUMMYFUNCTION("""COMPUTED_VALUE"""),"")</f>
        <v/>
      </c>
      <c r="H18245" s="42">
        <f t="shared" si="1"/>
        <v>3345</v>
      </c>
    </row>
    <row r="18246" ht="22.5" customHeight="1">
      <c r="B18246" s="42" t="str">
        <f>IFERROR(__xludf.DUMMYFUNCTION("""COMPUTED_VALUE"""),"")</f>
        <v/>
      </c>
      <c r="C18246" s="42" t="str">
        <f>IFERROR(__xludf.DUMMYFUNCTION("""COMPUTED_VALUE"""),"")</f>
        <v/>
      </c>
      <c r="D18246" s="42"/>
      <c r="E18246" s="42"/>
      <c r="F18246" s="48" t="str">
        <f>IFERROR(__xludf.DUMMYFUNCTION("""COMPUTED_VALUE"""),"")</f>
        <v/>
      </c>
      <c r="G18246" s="42" t="str">
        <f>IFERROR(__xludf.DUMMYFUNCTION("""COMPUTED_VALUE"""),"")</f>
        <v/>
      </c>
      <c r="H18246" s="42">
        <f t="shared" si="1"/>
        <v>3345</v>
      </c>
    </row>
    <row r="18247" ht="22.5" customHeight="1">
      <c r="B18247" s="42" t="str">
        <f>IFERROR(__xludf.DUMMYFUNCTION("""COMPUTED_VALUE"""),"")</f>
        <v/>
      </c>
      <c r="C18247" s="42" t="str">
        <f>IFERROR(__xludf.DUMMYFUNCTION("""COMPUTED_VALUE"""),"")</f>
        <v/>
      </c>
      <c r="D18247" s="42"/>
      <c r="E18247" s="42"/>
      <c r="F18247" s="48" t="str">
        <f>IFERROR(__xludf.DUMMYFUNCTION("""COMPUTED_VALUE"""),"")</f>
        <v/>
      </c>
      <c r="G18247" s="42" t="str">
        <f>IFERROR(__xludf.DUMMYFUNCTION("""COMPUTED_VALUE"""),"")</f>
        <v/>
      </c>
      <c r="H18247" s="42">
        <f t="shared" si="1"/>
        <v>3345</v>
      </c>
    </row>
    <row r="18248" ht="22.5" customHeight="1">
      <c r="B18248" s="42" t="str">
        <f>IFERROR(__xludf.DUMMYFUNCTION("""COMPUTED_VALUE"""),"")</f>
        <v/>
      </c>
      <c r="C18248" s="42" t="str">
        <f>IFERROR(__xludf.DUMMYFUNCTION("""COMPUTED_VALUE"""),"")</f>
        <v/>
      </c>
      <c r="D18248" s="42"/>
      <c r="E18248" s="42"/>
      <c r="F18248" s="48" t="str">
        <f>IFERROR(__xludf.DUMMYFUNCTION("""COMPUTED_VALUE"""),"")</f>
        <v/>
      </c>
      <c r="G18248" s="42" t="str">
        <f>IFERROR(__xludf.DUMMYFUNCTION("""COMPUTED_VALUE"""),"")</f>
        <v/>
      </c>
      <c r="H18248" s="42">
        <f t="shared" si="1"/>
        <v>3345</v>
      </c>
    </row>
    <row r="18249" ht="22.5" customHeight="1">
      <c r="B18249" s="42" t="str">
        <f>IFERROR(__xludf.DUMMYFUNCTION("""COMPUTED_VALUE"""),"")</f>
        <v/>
      </c>
      <c r="C18249" s="42" t="str">
        <f>IFERROR(__xludf.DUMMYFUNCTION("""COMPUTED_VALUE"""),"")</f>
        <v/>
      </c>
      <c r="D18249" s="42"/>
      <c r="E18249" s="42"/>
      <c r="F18249" s="48" t="str">
        <f>IFERROR(__xludf.DUMMYFUNCTION("""COMPUTED_VALUE"""),"")</f>
        <v/>
      </c>
      <c r="G18249" s="42" t="str">
        <f>IFERROR(__xludf.DUMMYFUNCTION("""COMPUTED_VALUE"""),"")</f>
        <v/>
      </c>
      <c r="H18249" s="42">
        <f t="shared" si="1"/>
        <v>3345</v>
      </c>
    </row>
    <row r="18250" ht="22.5" customHeight="1">
      <c r="B18250" s="42" t="str">
        <f>IFERROR(__xludf.DUMMYFUNCTION("""COMPUTED_VALUE"""),"")</f>
        <v/>
      </c>
      <c r="C18250" s="42" t="str">
        <f>IFERROR(__xludf.DUMMYFUNCTION("""COMPUTED_VALUE"""),"")</f>
        <v/>
      </c>
      <c r="D18250" s="42"/>
      <c r="E18250" s="42"/>
      <c r="F18250" s="48" t="str">
        <f>IFERROR(__xludf.DUMMYFUNCTION("""COMPUTED_VALUE"""),"")</f>
        <v/>
      </c>
      <c r="G18250" s="42" t="str">
        <f>IFERROR(__xludf.DUMMYFUNCTION("""COMPUTED_VALUE"""),"")</f>
        <v/>
      </c>
      <c r="H18250" s="42">
        <f t="shared" si="1"/>
        <v>3345</v>
      </c>
    </row>
    <row r="18251" ht="22.5" customHeight="1">
      <c r="B18251" s="42" t="str">
        <f>IFERROR(__xludf.DUMMYFUNCTION("""COMPUTED_VALUE"""),"")</f>
        <v/>
      </c>
      <c r="C18251" s="42" t="str">
        <f>IFERROR(__xludf.DUMMYFUNCTION("""COMPUTED_VALUE"""),"")</f>
        <v/>
      </c>
      <c r="D18251" s="42"/>
      <c r="E18251" s="42"/>
      <c r="F18251" s="48" t="str">
        <f>IFERROR(__xludf.DUMMYFUNCTION("""COMPUTED_VALUE"""),"")</f>
        <v/>
      </c>
      <c r="G18251" s="42" t="str">
        <f>IFERROR(__xludf.DUMMYFUNCTION("""COMPUTED_VALUE"""),"")</f>
        <v/>
      </c>
      <c r="H18251" s="42">
        <f t="shared" si="1"/>
        <v>3345</v>
      </c>
    </row>
    <row r="18252" ht="22.5" customHeight="1">
      <c r="B18252" s="42" t="str">
        <f>IFERROR(__xludf.DUMMYFUNCTION("""COMPUTED_VALUE"""),"")</f>
        <v/>
      </c>
      <c r="C18252" s="42" t="str">
        <f>IFERROR(__xludf.DUMMYFUNCTION("""COMPUTED_VALUE"""),"")</f>
        <v/>
      </c>
      <c r="D18252" s="42"/>
      <c r="E18252" s="42"/>
      <c r="F18252" s="48" t="str">
        <f>IFERROR(__xludf.DUMMYFUNCTION("""COMPUTED_VALUE"""),"")</f>
        <v/>
      </c>
      <c r="G18252" s="42" t="str">
        <f>IFERROR(__xludf.DUMMYFUNCTION("""COMPUTED_VALUE"""),"")</f>
        <v/>
      </c>
      <c r="H18252" s="42">
        <f t="shared" si="1"/>
        <v>3345</v>
      </c>
    </row>
    <row r="18253" ht="22.5" customHeight="1">
      <c r="B18253" s="42" t="str">
        <f>IFERROR(__xludf.DUMMYFUNCTION("""COMPUTED_VALUE"""),"")</f>
        <v/>
      </c>
      <c r="C18253" s="42" t="str">
        <f>IFERROR(__xludf.DUMMYFUNCTION("""COMPUTED_VALUE"""),"")</f>
        <v/>
      </c>
      <c r="D18253" s="42"/>
      <c r="E18253" s="42"/>
      <c r="F18253" s="48" t="str">
        <f>IFERROR(__xludf.DUMMYFUNCTION("""COMPUTED_VALUE"""),"")</f>
        <v/>
      </c>
      <c r="G18253" s="42" t="str">
        <f>IFERROR(__xludf.DUMMYFUNCTION("""COMPUTED_VALUE"""),"")</f>
        <v/>
      </c>
      <c r="H18253" s="42">
        <f t="shared" si="1"/>
        <v>3345</v>
      </c>
    </row>
    <row r="18254" ht="22.5" customHeight="1">
      <c r="B18254" s="42" t="str">
        <f>IFERROR(__xludf.DUMMYFUNCTION("""COMPUTED_VALUE"""),"")</f>
        <v/>
      </c>
      <c r="C18254" s="42" t="str">
        <f>IFERROR(__xludf.DUMMYFUNCTION("""COMPUTED_VALUE"""),"")</f>
        <v/>
      </c>
      <c r="D18254" s="42"/>
      <c r="E18254" s="42"/>
      <c r="F18254" s="48" t="str">
        <f>IFERROR(__xludf.DUMMYFUNCTION("""COMPUTED_VALUE"""),"")</f>
        <v/>
      </c>
      <c r="G18254" s="42" t="str">
        <f>IFERROR(__xludf.DUMMYFUNCTION("""COMPUTED_VALUE"""),"")</f>
        <v/>
      </c>
      <c r="H18254" s="42">
        <f t="shared" si="1"/>
        <v>3345</v>
      </c>
    </row>
    <row r="18255" ht="22.5" customHeight="1">
      <c r="B18255" s="42" t="str">
        <f>IFERROR(__xludf.DUMMYFUNCTION("""COMPUTED_VALUE"""),"")</f>
        <v/>
      </c>
      <c r="C18255" s="42" t="str">
        <f>IFERROR(__xludf.DUMMYFUNCTION("""COMPUTED_VALUE"""),"")</f>
        <v/>
      </c>
      <c r="D18255" s="42"/>
      <c r="E18255" s="42"/>
      <c r="F18255" s="48" t="str">
        <f>IFERROR(__xludf.DUMMYFUNCTION("""COMPUTED_VALUE"""),"")</f>
        <v/>
      </c>
      <c r="G18255" s="42" t="str">
        <f>IFERROR(__xludf.DUMMYFUNCTION("""COMPUTED_VALUE"""),"")</f>
        <v/>
      </c>
      <c r="H18255" s="42">
        <f t="shared" si="1"/>
        <v>3345</v>
      </c>
    </row>
    <row r="18256" ht="22.5" customHeight="1">
      <c r="B18256" s="42" t="str">
        <f>IFERROR(__xludf.DUMMYFUNCTION("""COMPUTED_VALUE"""),"")</f>
        <v/>
      </c>
      <c r="C18256" s="42" t="str">
        <f>IFERROR(__xludf.DUMMYFUNCTION("""COMPUTED_VALUE"""),"")</f>
        <v/>
      </c>
      <c r="D18256" s="42"/>
      <c r="E18256" s="42"/>
      <c r="F18256" s="48" t="str">
        <f>IFERROR(__xludf.DUMMYFUNCTION("""COMPUTED_VALUE"""),"")</f>
        <v/>
      </c>
      <c r="G18256" s="42" t="str">
        <f>IFERROR(__xludf.DUMMYFUNCTION("""COMPUTED_VALUE"""),"")</f>
        <v/>
      </c>
      <c r="H18256" s="42">
        <f t="shared" si="1"/>
        <v>3345</v>
      </c>
    </row>
    <row r="18257" ht="22.5" customHeight="1">
      <c r="B18257" s="42" t="str">
        <f>IFERROR(__xludf.DUMMYFUNCTION("""COMPUTED_VALUE"""),"")</f>
        <v/>
      </c>
      <c r="C18257" s="42" t="str">
        <f>IFERROR(__xludf.DUMMYFUNCTION("""COMPUTED_VALUE"""),"")</f>
        <v/>
      </c>
      <c r="D18257" s="42"/>
      <c r="E18257" s="42"/>
      <c r="F18257" s="48" t="str">
        <f>IFERROR(__xludf.DUMMYFUNCTION("""COMPUTED_VALUE"""),"")</f>
        <v/>
      </c>
      <c r="G18257" s="42" t="str">
        <f>IFERROR(__xludf.DUMMYFUNCTION("""COMPUTED_VALUE"""),"")</f>
        <v/>
      </c>
      <c r="H18257" s="42">
        <f t="shared" si="1"/>
        <v>3345</v>
      </c>
    </row>
    <row r="18258" ht="22.5" customHeight="1">
      <c r="B18258" s="42" t="str">
        <f>IFERROR(__xludf.DUMMYFUNCTION("""COMPUTED_VALUE"""),"")</f>
        <v/>
      </c>
      <c r="C18258" s="42" t="str">
        <f>IFERROR(__xludf.DUMMYFUNCTION("""COMPUTED_VALUE"""),"")</f>
        <v/>
      </c>
      <c r="D18258" s="42"/>
      <c r="E18258" s="42"/>
      <c r="F18258" s="48" t="str">
        <f>IFERROR(__xludf.DUMMYFUNCTION("""COMPUTED_VALUE"""),"")</f>
        <v/>
      </c>
      <c r="G18258" s="42" t="str">
        <f>IFERROR(__xludf.DUMMYFUNCTION("""COMPUTED_VALUE"""),"")</f>
        <v/>
      </c>
      <c r="H18258" s="42">
        <f t="shared" si="1"/>
        <v>3345</v>
      </c>
    </row>
    <row r="18259" ht="22.5" customHeight="1">
      <c r="B18259" s="42" t="str">
        <f>IFERROR(__xludf.DUMMYFUNCTION("""COMPUTED_VALUE"""),"")</f>
        <v/>
      </c>
      <c r="C18259" s="42" t="str">
        <f>IFERROR(__xludf.DUMMYFUNCTION("""COMPUTED_VALUE"""),"")</f>
        <v/>
      </c>
      <c r="D18259" s="42"/>
      <c r="E18259" s="42"/>
      <c r="F18259" s="48" t="str">
        <f>IFERROR(__xludf.DUMMYFUNCTION("""COMPUTED_VALUE"""),"")</f>
        <v/>
      </c>
      <c r="G18259" s="42" t="str">
        <f>IFERROR(__xludf.DUMMYFUNCTION("""COMPUTED_VALUE"""),"")</f>
        <v/>
      </c>
      <c r="H18259" s="42">
        <f t="shared" si="1"/>
        <v>3345</v>
      </c>
    </row>
    <row r="18260" ht="22.5" customHeight="1">
      <c r="B18260" s="42" t="str">
        <f>IFERROR(__xludf.DUMMYFUNCTION("""COMPUTED_VALUE"""),"")</f>
        <v/>
      </c>
      <c r="C18260" s="42" t="str">
        <f>IFERROR(__xludf.DUMMYFUNCTION("""COMPUTED_VALUE"""),"")</f>
        <v/>
      </c>
      <c r="D18260" s="42"/>
      <c r="E18260" s="42"/>
      <c r="F18260" s="48" t="str">
        <f>IFERROR(__xludf.DUMMYFUNCTION("""COMPUTED_VALUE"""),"")</f>
        <v/>
      </c>
      <c r="G18260" s="42" t="str">
        <f>IFERROR(__xludf.DUMMYFUNCTION("""COMPUTED_VALUE"""),"")</f>
        <v/>
      </c>
      <c r="H18260" s="42">
        <f t="shared" si="1"/>
        <v>3345</v>
      </c>
    </row>
    <row r="18261" ht="22.5" customHeight="1">
      <c r="B18261" s="42" t="str">
        <f>IFERROR(__xludf.DUMMYFUNCTION("""COMPUTED_VALUE"""),"")</f>
        <v/>
      </c>
      <c r="C18261" s="42" t="str">
        <f>IFERROR(__xludf.DUMMYFUNCTION("""COMPUTED_VALUE"""),"")</f>
        <v/>
      </c>
      <c r="D18261" s="42"/>
      <c r="E18261" s="42"/>
      <c r="F18261" s="48" t="str">
        <f>IFERROR(__xludf.DUMMYFUNCTION("""COMPUTED_VALUE"""),"")</f>
        <v/>
      </c>
      <c r="G18261" s="42" t="str">
        <f>IFERROR(__xludf.DUMMYFUNCTION("""COMPUTED_VALUE"""),"")</f>
        <v/>
      </c>
      <c r="H18261" s="42">
        <f t="shared" si="1"/>
        <v>3345</v>
      </c>
    </row>
    <row r="18262" ht="22.5" customHeight="1">
      <c r="B18262" s="42" t="str">
        <f>IFERROR(__xludf.DUMMYFUNCTION("""COMPUTED_VALUE"""),"")</f>
        <v/>
      </c>
      <c r="C18262" s="42" t="str">
        <f>IFERROR(__xludf.DUMMYFUNCTION("""COMPUTED_VALUE"""),"")</f>
        <v/>
      </c>
      <c r="D18262" s="42"/>
      <c r="E18262" s="42"/>
      <c r="F18262" s="48" t="str">
        <f>IFERROR(__xludf.DUMMYFUNCTION("""COMPUTED_VALUE"""),"")</f>
        <v/>
      </c>
      <c r="G18262" s="42" t="str">
        <f>IFERROR(__xludf.DUMMYFUNCTION("""COMPUTED_VALUE"""),"")</f>
        <v/>
      </c>
      <c r="H18262" s="42">
        <f t="shared" si="1"/>
        <v>3345</v>
      </c>
    </row>
    <row r="18263" ht="22.5" customHeight="1">
      <c r="B18263" s="42" t="str">
        <f>IFERROR(__xludf.DUMMYFUNCTION("""COMPUTED_VALUE"""),"")</f>
        <v/>
      </c>
      <c r="C18263" s="42" t="str">
        <f>IFERROR(__xludf.DUMMYFUNCTION("""COMPUTED_VALUE"""),"")</f>
        <v/>
      </c>
      <c r="D18263" s="42"/>
      <c r="E18263" s="42"/>
      <c r="F18263" s="48" t="str">
        <f>IFERROR(__xludf.DUMMYFUNCTION("""COMPUTED_VALUE"""),"")</f>
        <v/>
      </c>
      <c r="G18263" s="42" t="str">
        <f>IFERROR(__xludf.DUMMYFUNCTION("""COMPUTED_VALUE"""),"")</f>
        <v/>
      </c>
      <c r="H18263" s="42">
        <f t="shared" si="1"/>
        <v>3345</v>
      </c>
    </row>
    <row r="18264" ht="22.5" customHeight="1">
      <c r="B18264" s="42" t="str">
        <f>IFERROR(__xludf.DUMMYFUNCTION("""COMPUTED_VALUE"""),"")</f>
        <v/>
      </c>
      <c r="C18264" s="42" t="str">
        <f>IFERROR(__xludf.DUMMYFUNCTION("""COMPUTED_VALUE"""),"")</f>
        <v/>
      </c>
      <c r="D18264" s="42"/>
      <c r="E18264" s="42"/>
      <c r="F18264" s="48" t="str">
        <f>IFERROR(__xludf.DUMMYFUNCTION("""COMPUTED_VALUE"""),"")</f>
        <v/>
      </c>
      <c r="G18264" s="42" t="str">
        <f>IFERROR(__xludf.DUMMYFUNCTION("""COMPUTED_VALUE"""),"")</f>
        <v/>
      </c>
      <c r="H18264" s="42">
        <f t="shared" si="1"/>
        <v>3345</v>
      </c>
    </row>
    <row r="18265" ht="22.5" customHeight="1">
      <c r="B18265" s="42" t="str">
        <f>IFERROR(__xludf.DUMMYFUNCTION("""COMPUTED_VALUE"""),"")</f>
        <v/>
      </c>
      <c r="C18265" s="42" t="str">
        <f>IFERROR(__xludf.DUMMYFUNCTION("""COMPUTED_VALUE"""),"")</f>
        <v/>
      </c>
      <c r="D18265" s="42"/>
      <c r="E18265" s="42"/>
      <c r="F18265" s="48" t="str">
        <f>IFERROR(__xludf.DUMMYFUNCTION("""COMPUTED_VALUE"""),"")</f>
        <v/>
      </c>
      <c r="G18265" s="42" t="str">
        <f>IFERROR(__xludf.DUMMYFUNCTION("""COMPUTED_VALUE"""),"")</f>
        <v/>
      </c>
      <c r="H18265" s="42">
        <f t="shared" si="1"/>
        <v>3345</v>
      </c>
    </row>
    <row r="18266" ht="22.5" customHeight="1">
      <c r="B18266" s="42" t="str">
        <f>IFERROR(__xludf.DUMMYFUNCTION("""COMPUTED_VALUE"""),"")</f>
        <v/>
      </c>
      <c r="C18266" s="42" t="str">
        <f>IFERROR(__xludf.DUMMYFUNCTION("""COMPUTED_VALUE"""),"")</f>
        <v/>
      </c>
      <c r="D18266" s="42"/>
      <c r="E18266" s="42"/>
      <c r="F18266" s="48" t="str">
        <f>IFERROR(__xludf.DUMMYFUNCTION("""COMPUTED_VALUE"""),"")</f>
        <v/>
      </c>
      <c r="G18266" s="42" t="str">
        <f>IFERROR(__xludf.DUMMYFUNCTION("""COMPUTED_VALUE"""),"")</f>
        <v/>
      </c>
      <c r="H18266" s="42">
        <f t="shared" si="1"/>
        <v>3345</v>
      </c>
    </row>
    <row r="18267" ht="22.5" customHeight="1">
      <c r="B18267" s="42" t="str">
        <f>IFERROR(__xludf.DUMMYFUNCTION("""COMPUTED_VALUE"""),"")</f>
        <v/>
      </c>
      <c r="C18267" s="42" t="str">
        <f>IFERROR(__xludf.DUMMYFUNCTION("""COMPUTED_VALUE"""),"")</f>
        <v/>
      </c>
      <c r="D18267" s="42"/>
      <c r="E18267" s="42"/>
      <c r="F18267" s="48" t="str">
        <f>IFERROR(__xludf.DUMMYFUNCTION("""COMPUTED_VALUE"""),"")</f>
        <v/>
      </c>
      <c r="G18267" s="42" t="str">
        <f>IFERROR(__xludf.DUMMYFUNCTION("""COMPUTED_VALUE"""),"")</f>
        <v/>
      </c>
      <c r="H18267" s="42">
        <f t="shared" si="1"/>
        <v>3345</v>
      </c>
    </row>
    <row r="18268" ht="22.5" customHeight="1">
      <c r="B18268" s="42" t="str">
        <f>IFERROR(__xludf.DUMMYFUNCTION("""COMPUTED_VALUE"""),"")</f>
        <v/>
      </c>
      <c r="C18268" s="42" t="str">
        <f>IFERROR(__xludf.DUMMYFUNCTION("""COMPUTED_VALUE"""),"")</f>
        <v/>
      </c>
      <c r="D18268" s="42"/>
      <c r="E18268" s="42"/>
      <c r="F18268" s="48" t="str">
        <f>IFERROR(__xludf.DUMMYFUNCTION("""COMPUTED_VALUE"""),"")</f>
        <v/>
      </c>
      <c r="G18268" s="42" t="str">
        <f>IFERROR(__xludf.DUMMYFUNCTION("""COMPUTED_VALUE"""),"")</f>
        <v/>
      </c>
      <c r="H18268" s="42">
        <f t="shared" si="1"/>
        <v>3345</v>
      </c>
    </row>
    <row r="18269" ht="22.5" customHeight="1">
      <c r="B18269" s="42" t="str">
        <f>IFERROR(__xludf.DUMMYFUNCTION("""COMPUTED_VALUE"""),"")</f>
        <v/>
      </c>
      <c r="C18269" s="42" t="str">
        <f>IFERROR(__xludf.DUMMYFUNCTION("""COMPUTED_VALUE"""),"")</f>
        <v/>
      </c>
      <c r="D18269" s="42"/>
      <c r="E18269" s="42"/>
      <c r="F18269" s="48" t="str">
        <f>IFERROR(__xludf.DUMMYFUNCTION("""COMPUTED_VALUE"""),"")</f>
        <v/>
      </c>
      <c r="G18269" s="42" t="str">
        <f>IFERROR(__xludf.DUMMYFUNCTION("""COMPUTED_VALUE"""),"")</f>
        <v/>
      </c>
      <c r="H18269" s="42">
        <f t="shared" si="1"/>
        <v>3345</v>
      </c>
    </row>
    <row r="18270" ht="22.5" customHeight="1">
      <c r="B18270" s="42" t="str">
        <f>IFERROR(__xludf.DUMMYFUNCTION("""COMPUTED_VALUE"""),"")</f>
        <v/>
      </c>
      <c r="C18270" s="42" t="str">
        <f>IFERROR(__xludf.DUMMYFUNCTION("""COMPUTED_VALUE"""),"")</f>
        <v/>
      </c>
      <c r="D18270" s="42"/>
      <c r="E18270" s="42"/>
      <c r="F18270" s="48" t="str">
        <f>IFERROR(__xludf.DUMMYFUNCTION("""COMPUTED_VALUE"""),"")</f>
        <v/>
      </c>
      <c r="G18270" s="42" t="str">
        <f>IFERROR(__xludf.DUMMYFUNCTION("""COMPUTED_VALUE"""),"")</f>
        <v/>
      </c>
      <c r="H18270" s="42">
        <f t="shared" si="1"/>
        <v>3345</v>
      </c>
    </row>
    <row r="18271" ht="22.5" customHeight="1">
      <c r="B18271" s="42" t="str">
        <f>IFERROR(__xludf.DUMMYFUNCTION("""COMPUTED_VALUE"""),"")</f>
        <v/>
      </c>
      <c r="C18271" s="42" t="str">
        <f>IFERROR(__xludf.DUMMYFUNCTION("""COMPUTED_VALUE"""),"")</f>
        <v/>
      </c>
      <c r="D18271" s="42"/>
      <c r="E18271" s="42"/>
      <c r="F18271" s="48" t="str">
        <f>IFERROR(__xludf.DUMMYFUNCTION("""COMPUTED_VALUE"""),"")</f>
        <v/>
      </c>
      <c r="G18271" s="42" t="str">
        <f>IFERROR(__xludf.DUMMYFUNCTION("""COMPUTED_VALUE"""),"")</f>
        <v/>
      </c>
      <c r="H18271" s="42">
        <f t="shared" si="1"/>
        <v>3345</v>
      </c>
    </row>
    <row r="18272" ht="22.5" customHeight="1">
      <c r="B18272" s="42" t="str">
        <f>IFERROR(__xludf.DUMMYFUNCTION("""COMPUTED_VALUE"""),"")</f>
        <v/>
      </c>
      <c r="C18272" s="42" t="str">
        <f>IFERROR(__xludf.DUMMYFUNCTION("""COMPUTED_VALUE"""),"")</f>
        <v/>
      </c>
      <c r="D18272" s="42"/>
      <c r="E18272" s="42"/>
      <c r="F18272" s="48" t="str">
        <f>IFERROR(__xludf.DUMMYFUNCTION("""COMPUTED_VALUE"""),"")</f>
        <v/>
      </c>
      <c r="G18272" s="42" t="str">
        <f>IFERROR(__xludf.DUMMYFUNCTION("""COMPUTED_VALUE"""),"")</f>
        <v/>
      </c>
      <c r="H18272" s="42">
        <f t="shared" si="1"/>
        <v>3345</v>
      </c>
    </row>
    <row r="18273" ht="22.5" customHeight="1">
      <c r="B18273" s="42" t="str">
        <f>IFERROR(__xludf.DUMMYFUNCTION("""COMPUTED_VALUE"""),"")</f>
        <v/>
      </c>
      <c r="C18273" s="42" t="str">
        <f>IFERROR(__xludf.DUMMYFUNCTION("""COMPUTED_VALUE"""),"")</f>
        <v/>
      </c>
      <c r="D18273" s="42"/>
      <c r="E18273" s="42"/>
      <c r="F18273" s="48" t="str">
        <f>IFERROR(__xludf.DUMMYFUNCTION("""COMPUTED_VALUE"""),"")</f>
        <v/>
      </c>
      <c r="G18273" s="42" t="str">
        <f>IFERROR(__xludf.DUMMYFUNCTION("""COMPUTED_VALUE"""),"")</f>
        <v/>
      </c>
      <c r="H18273" s="42">
        <f t="shared" si="1"/>
        <v>3345</v>
      </c>
    </row>
    <row r="18274" ht="22.5" customHeight="1">
      <c r="B18274" s="42" t="str">
        <f>IFERROR(__xludf.DUMMYFUNCTION("""COMPUTED_VALUE"""),"")</f>
        <v/>
      </c>
      <c r="C18274" s="42" t="str">
        <f>IFERROR(__xludf.DUMMYFUNCTION("""COMPUTED_VALUE"""),"")</f>
        <v/>
      </c>
      <c r="D18274" s="42"/>
      <c r="E18274" s="42"/>
      <c r="F18274" s="48" t="str">
        <f>IFERROR(__xludf.DUMMYFUNCTION("""COMPUTED_VALUE"""),"")</f>
        <v/>
      </c>
      <c r="G18274" s="42" t="str">
        <f>IFERROR(__xludf.DUMMYFUNCTION("""COMPUTED_VALUE"""),"")</f>
        <v/>
      </c>
      <c r="H18274" s="42">
        <f t="shared" si="1"/>
        <v>3345</v>
      </c>
    </row>
    <row r="18275" ht="22.5" customHeight="1">
      <c r="B18275" s="42" t="str">
        <f>IFERROR(__xludf.DUMMYFUNCTION("""COMPUTED_VALUE"""),"")</f>
        <v/>
      </c>
      <c r="C18275" s="42" t="str">
        <f>IFERROR(__xludf.DUMMYFUNCTION("""COMPUTED_VALUE"""),"")</f>
        <v/>
      </c>
      <c r="D18275" s="42"/>
      <c r="E18275" s="42"/>
      <c r="F18275" s="48" t="str">
        <f>IFERROR(__xludf.DUMMYFUNCTION("""COMPUTED_VALUE"""),"")</f>
        <v/>
      </c>
      <c r="G18275" s="42" t="str">
        <f>IFERROR(__xludf.DUMMYFUNCTION("""COMPUTED_VALUE"""),"")</f>
        <v/>
      </c>
      <c r="H18275" s="42">
        <f t="shared" si="1"/>
        <v>3345</v>
      </c>
    </row>
    <row r="18276" ht="22.5" customHeight="1">
      <c r="B18276" s="42" t="str">
        <f>IFERROR(__xludf.DUMMYFUNCTION("""COMPUTED_VALUE"""),"")</f>
        <v/>
      </c>
      <c r="C18276" s="42" t="str">
        <f>IFERROR(__xludf.DUMMYFUNCTION("""COMPUTED_VALUE"""),"")</f>
        <v/>
      </c>
      <c r="D18276" s="42"/>
      <c r="E18276" s="42"/>
      <c r="F18276" s="48" t="str">
        <f>IFERROR(__xludf.DUMMYFUNCTION("""COMPUTED_VALUE"""),"")</f>
        <v/>
      </c>
      <c r="G18276" s="42" t="str">
        <f>IFERROR(__xludf.DUMMYFUNCTION("""COMPUTED_VALUE"""),"")</f>
        <v/>
      </c>
      <c r="H18276" s="42">
        <f t="shared" si="1"/>
        <v>3345</v>
      </c>
    </row>
    <row r="18277" ht="22.5" customHeight="1">
      <c r="B18277" s="42" t="str">
        <f>IFERROR(__xludf.DUMMYFUNCTION("""COMPUTED_VALUE"""),"")</f>
        <v/>
      </c>
      <c r="C18277" s="42" t="str">
        <f>IFERROR(__xludf.DUMMYFUNCTION("""COMPUTED_VALUE"""),"")</f>
        <v/>
      </c>
      <c r="D18277" s="42"/>
      <c r="E18277" s="42"/>
      <c r="F18277" s="48" t="str">
        <f>IFERROR(__xludf.DUMMYFUNCTION("""COMPUTED_VALUE"""),"")</f>
        <v/>
      </c>
      <c r="G18277" s="42" t="str">
        <f>IFERROR(__xludf.DUMMYFUNCTION("""COMPUTED_VALUE"""),"")</f>
        <v/>
      </c>
      <c r="H18277" s="42">
        <f t="shared" si="1"/>
        <v>3345</v>
      </c>
    </row>
    <row r="18278" ht="22.5" customHeight="1">
      <c r="B18278" s="42" t="str">
        <f>IFERROR(__xludf.DUMMYFUNCTION("""COMPUTED_VALUE"""),"")</f>
        <v/>
      </c>
      <c r="C18278" s="42" t="str">
        <f>IFERROR(__xludf.DUMMYFUNCTION("""COMPUTED_VALUE"""),"")</f>
        <v/>
      </c>
      <c r="D18278" s="42"/>
      <c r="E18278" s="42"/>
      <c r="F18278" s="48" t="str">
        <f>IFERROR(__xludf.DUMMYFUNCTION("""COMPUTED_VALUE"""),"")</f>
        <v/>
      </c>
      <c r="G18278" s="42" t="str">
        <f>IFERROR(__xludf.DUMMYFUNCTION("""COMPUTED_VALUE"""),"")</f>
        <v/>
      </c>
      <c r="H18278" s="42">
        <f t="shared" si="1"/>
        <v>3345</v>
      </c>
    </row>
    <row r="18279" ht="22.5" customHeight="1">
      <c r="B18279" s="42" t="str">
        <f>IFERROR(__xludf.DUMMYFUNCTION("""COMPUTED_VALUE"""),"")</f>
        <v/>
      </c>
      <c r="C18279" s="42" t="str">
        <f>IFERROR(__xludf.DUMMYFUNCTION("""COMPUTED_VALUE"""),"")</f>
        <v/>
      </c>
      <c r="D18279" s="42"/>
      <c r="E18279" s="42"/>
      <c r="F18279" s="48" t="str">
        <f>IFERROR(__xludf.DUMMYFUNCTION("""COMPUTED_VALUE"""),"")</f>
        <v/>
      </c>
      <c r="G18279" s="42" t="str">
        <f>IFERROR(__xludf.DUMMYFUNCTION("""COMPUTED_VALUE"""),"")</f>
        <v/>
      </c>
      <c r="H18279" s="42">
        <f t="shared" si="1"/>
        <v>3345</v>
      </c>
    </row>
    <row r="18280" ht="22.5" customHeight="1">
      <c r="B18280" s="42" t="str">
        <f>IFERROR(__xludf.DUMMYFUNCTION("""COMPUTED_VALUE"""),"")</f>
        <v/>
      </c>
      <c r="C18280" s="42" t="str">
        <f>IFERROR(__xludf.DUMMYFUNCTION("""COMPUTED_VALUE"""),"")</f>
        <v/>
      </c>
      <c r="D18280" s="42"/>
      <c r="E18280" s="42"/>
      <c r="F18280" s="48" t="str">
        <f>IFERROR(__xludf.DUMMYFUNCTION("""COMPUTED_VALUE"""),"")</f>
        <v/>
      </c>
      <c r="G18280" s="42" t="str">
        <f>IFERROR(__xludf.DUMMYFUNCTION("""COMPUTED_VALUE"""),"")</f>
        <v/>
      </c>
      <c r="H18280" s="42">
        <f t="shared" si="1"/>
        <v>3345</v>
      </c>
    </row>
    <row r="18281" ht="22.5" customHeight="1">
      <c r="B18281" s="42" t="str">
        <f>IFERROR(__xludf.DUMMYFUNCTION("""COMPUTED_VALUE"""),"")</f>
        <v/>
      </c>
      <c r="C18281" s="42" t="str">
        <f>IFERROR(__xludf.DUMMYFUNCTION("""COMPUTED_VALUE"""),"")</f>
        <v/>
      </c>
      <c r="D18281" s="42"/>
      <c r="E18281" s="42"/>
      <c r="F18281" s="48" t="str">
        <f>IFERROR(__xludf.DUMMYFUNCTION("""COMPUTED_VALUE"""),"")</f>
        <v/>
      </c>
      <c r="G18281" s="42" t="str">
        <f>IFERROR(__xludf.DUMMYFUNCTION("""COMPUTED_VALUE"""),"")</f>
        <v/>
      </c>
      <c r="H18281" s="42">
        <f t="shared" si="1"/>
        <v>3345</v>
      </c>
    </row>
    <row r="18282" ht="22.5" customHeight="1">
      <c r="B18282" s="42" t="str">
        <f>IFERROR(__xludf.DUMMYFUNCTION("""COMPUTED_VALUE"""),"")</f>
        <v/>
      </c>
      <c r="C18282" s="42" t="str">
        <f>IFERROR(__xludf.DUMMYFUNCTION("""COMPUTED_VALUE"""),"")</f>
        <v/>
      </c>
      <c r="D18282" s="42"/>
      <c r="E18282" s="42"/>
      <c r="F18282" s="48" t="str">
        <f>IFERROR(__xludf.DUMMYFUNCTION("""COMPUTED_VALUE"""),"")</f>
        <v/>
      </c>
      <c r="G18282" s="42" t="str">
        <f>IFERROR(__xludf.DUMMYFUNCTION("""COMPUTED_VALUE"""),"")</f>
        <v/>
      </c>
      <c r="H18282" s="42">
        <f t="shared" si="1"/>
        <v>3345</v>
      </c>
    </row>
    <row r="18283" ht="22.5" customHeight="1">
      <c r="B18283" s="42" t="str">
        <f>IFERROR(__xludf.DUMMYFUNCTION("""COMPUTED_VALUE"""),"")</f>
        <v/>
      </c>
      <c r="C18283" s="42" t="str">
        <f>IFERROR(__xludf.DUMMYFUNCTION("""COMPUTED_VALUE"""),"")</f>
        <v/>
      </c>
      <c r="D18283" s="42"/>
      <c r="E18283" s="42"/>
      <c r="F18283" s="48" t="str">
        <f>IFERROR(__xludf.DUMMYFUNCTION("""COMPUTED_VALUE"""),"")</f>
        <v/>
      </c>
      <c r="G18283" s="42" t="str">
        <f>IFERROR(__xludf.DUMMYFUNCTION("""COMPUTED_VALUE"""),"")</f>
        <v/>
      </c>
      <c r="H18283" s="42">
        <f t="shared" si="1"/>
        <v>3345</v>
      </c>
    </row>
    <row r="18284" ht="22.5" customHeight="1">
      <c r="B18284" s="42" t="str">
        <f>IFERROR(__xludf.DUMMYFUNCTION("""COMPUTED_VALUE"""),"")</f>
        <v/>
      </c>
      <c r="C18284" s="42" t="str">
        <f>IFERROR(__xludf.DUMMYFUNCTION("""COMPUTED_VALUE"""),"")</f>
        <v/>
      </c>
      <c r="D18284" s="42"/>
      <c r="E18284" s="42"/>
      <c r="F18284" s="48" t="str">
        <f>IFERROR(__xludf.DUMMYFUNCTION("""COMPUTED_VALUE"""),"")</f>
        <v/>
      </c>
      <c r="G18284" s="42" t="str">
        <f>IFERROR(__xludf.DUMMYFUNCTION("""COMPUTED_VALUE"""),"")</f>
        <v/>
      </c>
      <c r="H18284" s="42">
        <f t="shared" si="1"/>
        <v>3345</v>
      </c>
    </row>
    <row r="18285" ht="22.5" customHeight="1">
      <c r="B18285" s="42" t="str">
        <f>IFERROR(__xludf.DUMMYFUNCTION("""COMPUTED_VALUE"""),"")</f>
        <v/>
      </c>
      <c r="C18285" s="42" t="str">
        <f>IFERROR(__xludf.DUMMYFUNCTION("""COMPUTED_VALUE"""),"")</f>
        <v/>
      </c>
      <c r="D18285" s="42"/>
      <c r="E18285" s="42"/>
      <c r="F18285" s="48" t="str">
        <f>IFERROR(__xludf.DUMMYFUNCTION("""COMPUTED_VALUE"""),"")</f>
        <v/>
      </c>
      <c r="G18285" s="42" t="str">
        <f>IFERROR(__xludf.DUMMYFUNCTION("""COMPUTED_VALUE"""),"")</f>
        <v/>
      </c>
      <c r="H18285" s="42">
        <f t="shared" si="1"/>
        <v>3345</v>
      </c>
    </row>
    <row r="18286" ht="22.5" customHeight="1">
      <c r="B18286" s="42" t="str">
        <f>IFERROR(__xludf.DUMMYFUNCTION("""COMPUTED_VALUE"""),"")</f>
        <v/>
      </c>
      <c r="C18286" s="42" t="str">
        <f>IFERROR(__xludf.DUMMYFUNCTION("""COMPUTED_VALUE"""),"")</f>
        <v/>
      </c>
      <c r="D18286" s="42"/>
      <c r="E18286" s="42"/>
      <c r="F18286" s="48" t="str">
        <f>IFERROR(__xludf.DUMMYFUNCTION("""COMPUTED_VALUE"""),"")</f>
        <v/>
      </c>
      <c r="G18286" s="42" t="str">
        <f>IFERROR(__xludf.DUMMYFUNCTION("""COMPUTED_VALUE"""),"")</f>
        <v/>
      </c>
      <c r="H18286" s="42">
        <f t="shared" si="1"/>
        <v>3345</v>
      </c>
    </row>
    <row r="18287" ht="22.5" customHeight="1">
      <c r="B18287" s="42" t="str">
        <f>IFERROR(__xludf.DUMMYFUNCTION("""COMPUTED_VALUE"""),"")</f>
        <v/>
      </c>
      <c r="C18287" s="42" t="str">
        <f>IFERROR(__xludf.DUMMYFUNCTION("""COMPUTED_VALUE"""),"")</f>
        <v/>
      </c>
      <c r="D18287" s="42"/>
      <c r="E18287" s="42"/>
      <c r="F18287" s="48" t="str">
        <f>IFERROR(__xludf.DUMMYFUNCTION("""COMPUTED_VALUE"""),"")</f>
        <v/>
      </c>
      <c r="G18287" s="42" t="str">
        <f>IFERROR(__xludf.DUMMYFUNCTION("""COMPUTED_VALUE"""),"")</f>
        <v/>
      </c>
      <c r="H18287" s="42">
        <f t="shared" si="1"/>
        <v>3345</v>
      </c>
    </row>
    <row r="18288" ht="22.5" customHeight="1">
      <c r="B18288" s="42" t="str">
        <f>IFERROR(__xludf.DUMMYFUNCTION("""COMPUTED_VALUE"""),"")</f>
        <v/>
      </c>
      <c r="C18288" s="42" t="str">
        <f>IFERROR(__xludf.DUMMYFUNCTION("""COMPUTED_VALUE"""),"")</f>
        <v/>
      </c>
      <c r="D18288" s="42"/>
      <c r="E18288" s="42"/>
      <c r="F18288" s="48" t="str">
        <f>IFERROR(__xludf.DUMMYFUNCTION("""COMPUTED_VALUE"""),"")</f>
        <v/>
      </c>
      <c r="G18288" s="42" t="str">
        <f>IFERROR(__xludf.DUMMYFUNCTION("""COMPUTED_VALUE"""),"")</f>
        <v/>
      </c>
      <c r="H18288" s="42">
        <f t="shared" si="1"/>
        <v>3345</v>
      </c>
    </row>
    <row r="18289" ht="22.5" customHeight="1">
      <c r="B18289" s="42" t="str">
        <f>IFERROR(__xludf.DUMMYFUNCTION("""COMPUTED_VALUE"""),"")</f>
        <v/>
      </c>
      <c r="C18289" s="42" t="str">
        <f>IFERROR(__xludf.DUMMYFUNCTION("""COMPUTED_VALUE"""),"")</f>
        <v/>
      </c>
      <c r="D18289" s="42"/>
      <c r="E18289" s="42"/>
      <c r="F18289" s="48" t="str">
        <f>IFERROR(__xludf.DUMMYFUNCTION("""COMPUTED_VALUE"""),"")</f>
        <v/>
      </c>
      <c r="G18289" s="42" t="str">
        <f>IFERROR(__xludf.DUMMYFUNCTION("""COMPUTED_VALUE"""),"")</f>
        <v/>
      </c>
      <c r="H18289" s="42">
        <f t="shared" si="1"/>
        <v>3345</v>
      </c>
    </row>
    <row r="18290" ht="22.5" customHeight="1">
      <c r="B18290" s="42" t="str">
        <f>IFERROR(__xludf.DUMMYFUNCTION("""COMPUTED_VALUE"""),"")</f>
        <v/>
      </c>
      <c r="C18290" s="42" t="str">
        <f>IFERROR(__xludf.DUMMYFUNCTION("""COMPUTED_VALUE"""),"")</f>
        <v/>
      </c>
      <c r="D18290" s="42"/>
      <c r="E18290" s="42"/>
      <c r="F18290" s="48" t="str">
        <f>IFERROR(__xludf.DUMMYFUNCTION("""COMPUTED_VALUE"""),"")</f>
        <v/>
      </c>
      <c r="G18290" s="42" t="str">
        <f>IFERROR(__xludf.DUMMYFUNCTION("""COMPUTED_VALUE"""),"")</f>
        <v/>
      </c>
      <c r="H18290" s="42">
        <f t="shared" si="1"/>
        <v>3345</v>
      </c>
    </row>
    <row r="18291" ht="22.5" customHeight="1">
      <c r="B18291" s="42" t="str">
        <f>IFERROR(__xludf.DUMMYFUNCTION("""COMPUTED_VALUE"""),"")</f>
        <v/>
      </c>
      <c r="C18291" s="42" t="str">
        <f>IFERROR(__xludf.DUMMYFUNCTION("""COMPUTED_VALUE"""),"")</f>
        <v/>
      </c>
      <c r="D18291" s="42"/>
      <c r="E18291" s="42"/>
      <c r="F18291" s="48" t="str">
        <f>IFERROR(__xludf.DUMMYFUNCTION("""COMPUTED_VALUE"""),"")</f>
        <v/>
      </c>
      <c r="G18291" s="42" t="str">
        <f>IFERROR(__xludf.DUMMYFUNCTION("""COMPUTED_VALUE"""),"")</f>
        <v/>
      </c>
      <c r="H18291" s="42">
        <f t="shared" si="1"/>
        <v>3345</v>
      </c>
    </row>
    <row r="18292" ht="22.5" customHeight="1">
      <c r="B18292" s="42" t="str">
        <f>IFERROR(__xludf.DUMMYFUNCTION("""COMPUTED_VALUE"""),"")</f>
        <v/>
      </c>
      <c r="C18292" s="42" t="str">
        <f>IFERROR(__xludf.DUMMYFUNCTION("""COMPUTED_VALUE"""),"")</f>
        <v/>
      </c>
      <c r="D18292" s="42"/>
      <c r="E18292" s="42"/>
      <c r="F18292" s="48" t="str">
        <f>IFERROR(__xludf.DUMMYFUNCTION("""COMPUTED_VALUE"""),"")</f>
        <v/>
      </c>
      <c r="G18292" s="42" t="str">
        <f>IFERROR(__xludf.DUMMYFUNCTION("""COMPUTED_VALUE"""),"")</f>
        <v/>
      </c>
      <c r="H18292" s="42">
        <f t="shared" si="1"/>
        <v>3345</v>
      </c>
    </row>
    <row r="18293" ht="22.5" customHeight="1">
      <c r="B18293" s="42" t="str">
        <f>IFERROR(__xludf.DUMMYFUNCTION("""COMPUTED_VALUE"""),"")</f>
        <v/>
      </c>
      <c r="C18293" s="42" t="str">
        <f>IFERROR(__xludf.DUMMYFUNCTION("""COMPUTED_VALUE"""),"")</f>
        <v/>
      </c>
      <c r="D18293" s="42"/>
      <c r="E18293" s="42"/>
      <c r="F18293" s="48" t="str">
        <f>IFERROR(__xludf.DUMMYFUNCTION("""COMPUTED_VALUE"""),"")</f>
        <v/>
      </c>
      <c r="G18293" s="42" t="str">
        <f>IFERROR(__xludf.DUMMYFUNCTION("""COMPUTED_VALUE"""),"")</f>
        <v/>
      </c>
      <c r="H18293" s="42">
        <f t="shared" si="1"/>
        <v>3345</v>
      </c>
    </row>
    <row r="18294" ht="22.5" customHeight="1">
      <c r="B18294" s="42" t="str">
        <f>IFERROR(__xludf.DUMMYFUNCTION("""COMPUTED_VALUE"""),"")</f>
        <v/>
      </c>
      <c r="C18294" s="42" t="str">
        <f>IFERROR(__xludf.DUMMYFUNCTION("""COMPUTED_VALUE"""),"")</f>
        <v/>
      </c>
      <c r="D18294" s="42"/>
      <c r="E18294" s="42"/>
      <c r="F18294" s="48" t="str">
        <f>IFERROR(__xludf.DUMMYFUNCTION("""COMPUTED_VALUE"""),"")</f>
        <v/>
      </c>
      <c r="G18294" s="42" t="str">
        <f>IFERROR(__xludf.DUMMYFUNCTION("""COMPUTED_VALUE"""),"")</f>
        <v/>
      </c>
      <c r="H18294" s="42">
        <f t="shared" si="1"/>
        <v>3345</v>
      </c>
    </row>
    <row r="18295" ht="22.5" customHeight="1">
      <c r="B18295" s="42" t="str">
        <f>IFERROR(__xludf.DUMMYFUNCTION("""COMPUTED_VALUE"""),"")</f>
        <v/>
      </c>
      <c r="C18295" s="42" t="str">
        <f>IFERROR(__xludf.DUMMYFUNCTION("""COMPUTED_VALUE"""),"")</f>
        <v/>
      </c>
      <c r="D18295" s="42"/>
      <c r="E18295" s="42"/>
      <c r="F18295" s="48" t="str">
        <f>IFERROR(__xludf.DUMMYFUNCTION("""COMPUTED_VALUE"""),"")</f>
        <v/>
      </c>
      <c r="G18295" s="42" t="str">
        <f>IFERROR(__xludf.DUMMYFUNCTION("""COMPUTED_VALUE"""),"")</f>
        <v/>
      </c>
      <c r="H18295" s="42">
        <f t="shared" si="1"/>
        <v>3345</v>
      </c>
    </row>
    <row r="18296" ht="22.5" customHeight="1">
      <c r="B18296" s="42" t="str">
        <f>IFERROR(__xludf.DUMMYFUNCTION("""COMPUTED_VALUE"""),"")</f>
        <v/>
      </c>
      <c r="C18296" s="42" t="str">
        <f>IFERROR(__xludf.DUMMYFUNCTION("""COMPUTED_VALUE"""),"")</f>
        <v/>
      </c>
      <c r="D18296" s="42"/>
      <c r="E18296" s="42"/>
      <c r="F18296" s="48" t="str">
        <f>IFERROR(__xludf.DUMMYFUNCTION("""COMPUTED_VALUE"""),"")</f>
        <v/>
      </c>
      <c r="G18296" s="42" t="str">
        <f>IFERROR(__xludf.DUMMYFUNCTION("""COMPUTED_VALUE"""),"")</f>
        <v/>
      </c>
      <c r="H18296" s="42">
        <f t="shared" si="1"/>
        <v>3345</v>
      </c>
    </row>
    <row r="18297" ht="22.5" customHeight="1">
      <c r="B18297" s="42" t="str">
        <f>IFERROR(__xludf.DUMMYFUNCTION("""COMPUTED_VALUE"""),"")</f>
        <v/>
      </c>
      <c r="C18297" s="42" t="str">
        <f>IFERROR(__xludf.DUMMYFUNCTION("""COMPUTED_VALUE"""),"")</f>
        <v/>
      </c>
      <c r="D18297" s="42"/>
      <c r="E18297" s="42"/>
      <c r="F18297" s="48" t="str">
        <f>IFERROR(__xludf.DUMMYFUNCTION("""COMPUTED_VALUE"""),"")</f>
        <v/>
      </c>
      <c r="G18297" s="42" t="str">
        <f>IFERROR(__xludf.DUMMYFUNCTION("""COMPUTED_VALUE"""),"")</f>
        <v/>
      </c>
      <c r="H18297" s="42">
        <f t="shared" si="1"/>
        <v>3345</v>
      </c>
    </row>
    <row r="18298" ht="22.5" customHeight="1">
      <c r="B18298" s="42" t="str">
        <f>IFERROR(__xludf.DUMMYFUNCTION("""COMPUTED_VALUE"""),"")</f>
        <v/>
      </c>
      <c r="C18298" s="42" t="str">
        <f>IFERROR(__xludf.DUMMYFUNCTION("""COMPUTED_VALUE"""),"")</f>
        <v/>
      </c>
      <c r="D18298" s="42"/>
      <c r="E18298" s="42"/>
      <c r="F18298" s="48" t="str">
        <f>IFERROR(__xludf.DUMMYFUNCTION("""COMPUTED_VALUE"""),"")</f>
        <v/>
      </c>
      <c r="G18298" s="42" t="str">
        <f>IFERROR(__xludf.DUMMYFUNCTION("""COMPUTED_VALUE"""),"")</f>
        <v/>
      </c>
      <c r="H18298" s="42">
        <f t="shared" si="1"/>
        <v>3345</v>
      </c>
    </row>
    <row r="18299" ht="22.5" customHeight="1">
      <c r="B18299" s="42" t="str">
        <f>IFERROR(__xludf.DUMMYFUNCTION("""COMPUTED_VALUE"""),"")</f>
        <v/>
      </c>
      <c r="C18299" s="42" t="str">
        <f>IFERROR(__xludf.DUMMYFUNCTION("""COMPUTED_VALUE"""),"")</f>
        <v/>
      </c>
      <c r="D18299" s="42"/>
      <c r="E18299" s="42"/>
      <c r="F18299" s="48" t="str">
        <f>IFERROR(__xludf.DUMMYFUNCTION("""COMPUTED_VALUE"""),"")</f>
        <v/>
      </c>
      <c r="G18299" s="42" t="str">
        <f>IFERROR(__xludf.DUMMYFUNCTION("""COMPUTED_VALUE"""),"")</f>
        <v/>
      </c>
      <c r="H18299" s="42">
        <f t="shared" si="1"/>
        <v>3345</v>
      </c>
    </row>
    <row r="18300" ht="22.5" customHeight="1">
      <c r="B18300" s="42" t="str">
        <f>IFERROR(__xludf.DUMMYFUNCTION("""COMPUTED_VALUE"""),"")</f>
        <v/>
      </c>
      <c r="C18300" s="42" t="str">
        <f>IFERROR(__xludf.DUMMYFUNCTION("""COMPUTED_VALUE"""),"")</f>
        <v/>
      </c>
      <c r="D18300" s="42"/>
      <c r="E18300" s="42"/>
      <c r="F18300" s="48" t="str">
        <f>IFERROR(__xludf.DUMMYFUNCTION("""COMPUTED_VALUE"""),"")</f>
        <v/>
      </c>
      <c r="G18300" s="42" t="str">
        <f>IFERROR(__xludf.DUMMYFUNCTION("""COMPUTED_VALUE"""),"")</f>
        <v/>
      </c>
      <c r="H18300" s="42">
        <f t="shared" si="1"/>
        <v>3345</v>
      </c>
    </row>
    <row r="18301" ht="22.5" customHeight="1">
      <c r="B18301" s="42" t="str">
        <f>IFERROR(__xludf.DUMMYFUNCTION("""COMPUTED_VALUE"""),"")</f>
        <v/>
      </c>
      <c r="C18301" s="42" t="str">
        <f>IFERROR(__xludf.DUMMYFUNCTION("""COMPUTED_VALUE"""),"")</f>
        <v/>
      </c>
      <c r="D18301" s="42"/>
      <c r="E18301" s="42"/>
      <c r="F18301" s="48" t="str">
        <f>IFERROR(__xludf.DUMMYFUNCTION("""COMPUTED_VALUE"""),"")</f>
        <v/>
      </c>
      <c r="G18301" s="42" t="str">
        <f>IFERROR(__xludf.DUMMYFUNCTION("""COMPUTED_VALUE"""),"")</f>
        <v/>
      </c>
      <c r="H18301" s="42">
        <f t="shared" si="1"/>
        <v>3345</v>
      </c>
    </row>
    <row r="18302" ht="22.5" customHeight="1">
      <c r="B18302" s="42" t="str">
        <f>IFERROR(__xludf.DUMMYFUNCTION("""COMPUTED_VALUE"""),"")</f>
        <v/>
      </c>
      <c r="C18302" s="42" t="str">
        <f>IFERROR(__xludf.DUMMYFUNCTION("""COMPUTED_VALUE"""),"")</f>
        <v/>
      </c>
      <c r="D18302" s="42"/>
      <c r="E18302" s="42"/>
      <c r="F18302" s="48" t="str">
        <f>IFERROR(__xludf.DUMMYFUNCTION("""COMPUTED_VALUE"""),"")</f>
        <v/>
      </c>
      <c r="G18302" s="42" t="str">
        <f>IFERROR(__xludf.DUMMYFUNCTION("""COMPUTED_VALUE"""),"")</f>
        <v/>
      </c>
      <c r="H18302" s="42">
        <f t="shared" si="1"/>
        <v>3345</v>
      </c>
    </row>
    <row r="18303" ht="22.5" customHeight="1">
      <c r="B18303" s="42" t="str">
        <f>IFERROR(__xludf.DUMMYFUNCTION("""COMPUTED_VALUE"""),"")</f>
        <v/>
      </c>
      <c r="C18303" s="42" t="str">
        <f>IFERROR(__xludf.DUMMYFUNCTION("""COMPUTED_VALUE"""),"")</f>
        <v/>
      </c>
      <c r="D18303" s="42"/>
      <c r="E18303" s="42"/>
      <c r="F18303" s="48" t="str">
        <f>IFERROR(__xludf.DUMMYFUNCTION("""COMPUTED_VALUE"""),"")</f>
        <v/>
      </c>
      <c r="G18303" s="42" t="str">
        <f>IFERROR(__xludf.DUMMYFUNCTION("""COMPUTED_VALUE"""),"")</f>
        <v/>
      </c>
      <c r="H18303" s="42">
        <f t="shared" si="1"/>
        <v>3345</v>
      </c>
    </row>
    <row r="18304" ht="22.5" customHeight="1">
      <c r="B18304" s="42" t="str">
        <f>IFERROR(__xludf.DUMMYFUNCTION("""COMPUTED_VALUE"""),"")</f>
        <v/>
      </c>
      <c r="C18304" s="42" t="str">
        <f>IFERROR(__xludf.DUMMYFUNCTION("""COMPUTED_VALUE"""),"")</f>
        <v/>
      </c>
      <c r="D18304" s="42"/>
      <c r="E18304" s="42"/>
      <c r="F18304" s="48" t="str">
        <f>IFERROR(__xludf.DUMMYFUNCTION("""COMPUTED_VALUE"""),"")</f>
        <v/>
      </c>
      <c r="G18304" s="42" t="str">
        <f>IFERROR(__xludf.DUMMYFUNCTION("""COMPUTED_VALUE"""),"")</f>
        <v/>
      </c>
      <c r="H18304" s="42">
        <f t="shared" si="1"/>
        <v>3345</v>
      </c>
    </row>
    <row r="18305" ht="22.5" customHeight="1">
      <c r="B18305" s="42" t="str">
        <f>IFERROR(__xludf.DUMMYFUNCTION("""COMPUTED_VALUE"""),"")</f>
        <v/>
      </c>
      <c r="C18305" s="42" t="str">
        <f>IFERROR(__xludf.DUMMYFUNCTION("""COMPUTED_VALUE"""),"")</f>
        <v/>
      </c>
      <c r="D18305" s="42"/>
      <c r="E18305" s="42"/>
      <c r="F18305" s="48" t="str">
        <f>IFERROR(__xludf.DUMMYFUNCTION("""COMPUTED_VALUE"""),"")</f>
        <v/>
      </c>
      <c r="G18305" s="42" t="str">
        <f>IFERROR(__xludf.DUMMYFUNCTION("""COMPUTED_VALUE"""),"")</f>
        <v/>
      </c>
      <c r="H18305" s="42">
        <f t="shared" si="1"/>
        <v>3345</v>
      </c>
    </row>
    <row r="18306" ht="22.5" customHeight="1">
      <c r="B18306" s="42" t="str">
        <f>IFERROR(__xludf.DUMMYFUNCTION("""COMPUTED_VALUE"""),"")</f>
        <v/>
      </c>
      <c r="C18306" s="42" t="str">
        <f>IFERROR(__xludf.DUMMYFUNCTION("""COMPUTED_VALUE"""),"")</f>
        <v/>
      </c>
      <c r="D18306" s="42"/>
      <c r="E18306" s="42"/>
      <c r="F18306" s="48" t="str">
        <f>IFERROR(__xludf.DUMMYFUNCTION("""COMPUTED_VALUE"""),"")</f>
        <v/>
      </c>
      <c r="G18306" s="42" t="str">
        <f>IFERROR(__xludf.DUMMYFUNCTION("""COMPUTED_VALUE"""),"")</f>
        <v/>
      </c>
      <c r="H18306" s="42">
        <f t="shared" si="1"/>
        <v>3345</v>
      </c>
    </row>
    <row r="18307" ht="22.5" customHeight="1">
      <c r="B18307" s="42" t="str">
        <f>IFERROR(__xludf.DUMMYFUNCTION("""COMPUTED_VALUE"""),"")</f>
        <v/>
      </c>
      <c r="C18307" s="42" t="str">
        <f>IFERROR(__xludf.DUMMYFUNCTION("""COMPUTED_VALUE"""),"")</f>
        <v/>
      </c>
      <c r="D18307" s="42"/>
      <c r="E18307" s="42"/>
      <c r="F18307" s="48" t="str">
        <f>IFERROR(__xludf.DUMMYFUNCTION("""COMPUTED_VALUE"""),"")</f>
        <v/>
      </c>
      <c r="G18307" s="42" t="str">
        <f>IFERROR(__xludf.DUMMYFUNCTION("""COMPUTED_VALUE"""),"")</f>
        <v/>
      </c>
      <c r="H18307" s="42">
        <f t="shared" si="1"/>
        <v>3345</v>
      </c>
    </row>
    <row r="18308" ht="22.5" customHeight="1">
      <c r="B18308" s="42" t="str">
        <f>IFERROR(__xludf.DUMMYFUNCTION("""COMPUTED_VALUE"""),"")</f>
        <v/>
      </c>
      <c r="C18308" s="42" t="str">
        <f>IFERROR(__xludf.DUMMYFUNCTION("""COMPUTED_VALUE"""),"")</f>
        <v/>
      </c>
      <c r="D18308" s="42"/>
      <c r="E18308" s="42"/>
      <c r="F18308" s="48" t="str">
        <f>IFERROR(__xludf.DUMMYFUNCTION("""COMPUTED_VALUE"""),"")</f>
        <v/>
      </c>
      <c r="G18308" s="42" t="str">
        <f>IFERROR(__xludf.DUMMYFUNCTION("""COMPUTED_VALUE"""),"")</f>
        <v/>
      </c>
      <c r="H18308" s="42">
        <f t="shared" si="1"/>
        <v>3345</v>
      </c>
    </row>
    <row r="18309" ht="22.5" customHeight="1">
      <c r="B18309" s="42" t="str">
        <f>IFERROR(__xludf.DUMMYFUNCTION("""COMPUTED_VALUE"""),"")</f>
        <v/>
      </c>
      <c r="C18309" s="42" t="str">
        <f>IFERROR(__xludf.DUMMYFUNCTION("""COMPUTED_VALUE"""),"")</f>
        <v/>
      </c>
      <c r="D18309" s="42"/>
      <c r="E18309" s="42"/>
      <c r="F18309" s="48" t="str">
        <f>IFERROR(__xludf.DUMMYFUNCTION("""COMPUTED_VALUE"""),"")</f>
        <v/>
      </c>
      <c r="G18309" s="42" t="str">
        <f>IFERROR(__xludf.DUMMYFUNCTION("""COMPUTED_VALUE"""),"")</f>
        <v/>
      </c>
      <c r="H18309" s="42">
        <f t="shared" si="1"/>
        <v>3345</v>
      </c>
    </row>
    <row r="18310" ht="22.5" customHeight="1">
      <c r="B18310" s="42" t="str">
        <f>IFERROR(__xludf.DUMMYFUNCTION("""COMPUTED_VALUE"""),"")</f>
        <v/>
      </c>
      <c r="C18310" s="42" t="str">
        <f>IFERROR(__xludf.DUMMYFUNCTION("""COMPUTED_VALUE"""),"")</f>
        <v/>
      </c>
      <c r="D18310" s="42"/>
      <c r="E18310" s="42"/>
      <c r="F18310" s="48" t="str">
        <f>IFERROR(__xludf.DUMMYFUNCTION("""COMPUTED_VALUE"""),"")</f>
        <v/>
      </c>
      <c r="G18310" s="42" t="str">
        <f>IFERROR(__xludf.DUMMYFUNCTION("""COMPUTED_VALUE"""),"")</f>
        <v/>
      </c>
      <c r="H18310" s="42">
        <f t="shared" si="1"/>
        <v>3345</v>
      </c>
    </row>
    <row r="18311" ht="22.5" customHeight="1">
      <c r="B18311" s="42" t="str">
        <f>IFERROR(__xludf.DUMMYFUNCTION("""COMPUTED_VALUE"""),"")</f>
        <v/>
      </c>
      <c r="C18311" s="42" t="str">
        <f>IFERROR(__xludf.DUMMYFUNCTION("""COMPUTED_VALUE"""),"")</f>
        <v/>
      </c>
      <c r="D18311" s="42"/>
      <c r="E18311" s="42"/>
      <c r="F18311" s="48" t="str">
        <f>IFERROR(__xludf.DUMMYFUNCTION("""COMPUTED_VALUE"""),"")</f>
        <v/>
      </c>
      <c r="G18311" s="42" t="str">
        <f>IFERROR(__xludf.DUMMYFUNCTION("""COMPUTED_VALUE"""),"")</f>
        <v/>
      </c>
      <c r="H18311" s="42">
        <f t="shared" si="1"/>
        <v>3345</v>
      </c>
    </row>
    <row r="18312" ht="22.5" customHeight="1">
      <c r="B18312" s="42" t="str">
        <f>IFERROR(__xludf.DUMMYFUNCTION("""COMPUTED_VALUE"""),"")</f>
        <v/>
      </c>
      <c r="C18312" s="42" t="str">
        <f>IFERROR(__xludf.DUMMYFUNCTION("""COMPUTED_VALUE"""),"")</f>
        <v/>
      </c>
      <c r="D18312" s="42"/>
      <c r="E18312" s="42"/>
      <c r="F18312" s="48" t="str">
        <f>IFERROR(__xludf.DUMMYFUNCTION("""COMPUTED_VALUE"""),"")</f>
        <v/>
      </c>
      <c r="G18312" s="42" t="str">
        <f>IFERROR(__xludf.DUMMYFUNCTION("""COMPUTED_VALUE"""),"")</f>
        <v/>
      </c>
      <c r="H18312" s="42">
        <f t="shared" si="1"/>
        <v>3345</v>
      </c>
    </row>
    <row r="18313" ht="22.5" customHeight="1">
      <c r="B18313" s="42" t="str">
        <f>IFERROR(__xludf.DUMMYFUNCTION("""COMPUTED_VALUE"""),"")</f>
        <v/>
      </c>
      <c r="C18313" s="42" t="str">
        <f>IFERROR(__xludf.DUMMYFUNCTION("""COMPUTED_VALUE"""),"")</f>
        <v/>
      </c>
      <c r="D18313" s="42"/>
      <c r="E18313" s="42"/>
      <c r="F18313" s="48" t="str">
        <f>IFERROR(__xludf.DUMMYFUNCTION("""COMPUTED_VALUE"""),"")</f>
        <v/>
      </c>
      <c r="G18313" s="42" t="str">
        <f>IFERROR(__xludf.DUMMYFUNCTION("""COMPUTED_VALUE"""),"")</f>
        <v/>
      </c>
      <c r="H18313" s="42">
        <f t="shared" si="1"/>
        <v>3345</v>
      </c>
    </row>
    <row r="18314" ht="22.5" customHeight="1">
      <c r="B18314" s="42" t="str">
        <f>IFERROR(__xludf.DUMMYFUNCTION("""COMPUTED_VALUE"""),"")</f>
        <v/>
      </c>
      <c r="C18314" s="42" t="str">
        <f>IFERROR(__xludf.DUMMYFUNCTION("""COMPUTED_VALUE"""),"")</f>
        <v/>
      </c>
      <c r="D18314" s="42"/>
      <c r="E18314" s="42"/>
      <c r="F18314" s="48" t="str">
        <f>IFERROR(__xludf.DUMMYFUNCTION("""COMPUTED_VALUE"""),"")</f>
        <v/>
      </c>
      <c r="G18314" s="42" t="str">
        <f>IFERROR(__xludf.DUMMYFUNCTION("""COMPUTED_VALUE"""),"")</f>
        <v/>
      </c>
      <c r="H18314" s="42">
        <f t="shared" si="1"/>
        <v>3345</v>
      </c>
    </row>
    <row r="18315" ht="22.5" customHeight="1">
      <c r="B18315" s="42" t="str">
        <f>IFERROR(__xludf.DUMMYFUNCTION("""COMPUTED_VALUE"""),"")</f>
        <v/>
      </c>
      <c r="C18315" s="42" t="str">
        <f>IFERROR(__xludf.DUMMYFUNCTION("""COMPUTED_VALUE"""),"")</f>
        <v/>
      </c>
      <c r="D18315" s="42"/>
      <c r="E18315" s="42"/>
      <c r="F18315" s="48" t="str">
        <f>IFERROR(__xludf.DUMMYFUNCTION("""COMPUTED_VALUE"""),"")</f>
        <v/>
      </c>
      <c r="G18315" s="42" t="str">
        <f>IFERROR(__xludf.DUMMYFUNCTION("""COMPUTED_VALUE"""),"")</f>
        <v/>
      </c>
      <c r="H18315" s="42">
        <f t="shared" si="1"/>
        <v>3345</v>
      </c>
    </row>
    <row r="18316" ht="22.5" customHeight="1">
      <c r="B18316" s="42" t="str">
        <f>IFERROR(__xludf.DUMMYFUNCTION("""COMPUTED_VALUE"""),"")</f>
        <v/>
      </c>
      <c r="C18316" s="42" t="str">
        <f>IFERROR(__xludf.DUMMYFUNCTION("""COMPUTED_VALUE"""),"")</f>
        <v/>
      </c>
      <c r="D18316" s="42"/>
      <c r="E18316" s="42"/>
      <c r="F18316" s="48" t="str">
        <f>IFERROR(__xludf.DUMMYFUNCTION("""COMPUTED_VALUE"""),"")</f>
        <v/>
      </c>
      <c r="G18316" s="42" t="str">
        <f>IFERROR(__xludf.DUMMYFUNCTION("""COMPUTED_VALUE"""),"")</f>
        <v/>
      </c>
      <c r="H18316" s="42">
        <f t="shared" si="1"/>
        <v>3345</v>
      </c>
    </row>
    <row r="18317" ht="22.5" customHeight="1">
      <c r="B18317" s="42" t="str">
        <f>IFERROR(__xludf.DUMMYFUNCTION("""COMPUTED_VALUE"""),"")</f>
        <v/>
      </c>
      <c r="C18317" s="42" t="str">
        <f>IFERROR(__xludf.DUMMYFUNCTION("""COMPUTED_VALUE"""),"")</f>
        <v/>
      </c>
      <c r="D18317" s="42"/>
      <c r="E18317" s="42"/>
      <c r="F18317" s="48" t="str">
        <f>IFERROR(__xludf.DUMMYFUNCTION("""COMPUTED_VALUE"""),"")</f>
        <v/>
      </c>
      <c r="G18317" s="42" t="str">
        <f>IFERROR(__xludf.DUMMYFUNCTION("""COMPUTED_VALUE"""),"")</f>
        <v/>
      </c>
      <c r="H18317" s="42">
        <f t="shared" si="1"/>
        <v>3345</v>
      </c>
    </row>
    <row r="18318" ht="22.5" customHeight="1">
      <c r="B18318" s="42" t="str">
        <f>IFERROR(__xludf.DUMMYFUNCTION("""COMPUTED_VALUE"""),"")</f>
        <v/>
      </c>
      <c r="C18318" s="42" t="str">
        <f>IFERROR(__xludf.DUMMYFUNCTION("""COMPUTED_VALUE"""),"")</f>
        <v/>
      </c>
      <c r="D18318" s="42"/>
      <c r="E18318" s="42"/>
      <c r="F18318" s="48" t="str">
        <f>IFERROR(__xludf.DUMMYFUNCTION("""COMPUTED_VALUE"""),"")</f>
        <v/>
      </c>
      <c r="G18318" s="42" t="str">
        <f>IFERROR(__xludf.DUMMYFUNCTION("""COMPUTED_VALUE"""),"")</f>
        <v/>
      </c>
      <c r="H18318" s="42">
        <f t="shared" si="1"/>
        <v>3345</v>
      </c>
    </row>
    <row r="18319" ht="22.5" customHeight="1">
      <c r="B18319" s="42" t="str">
        <f>IFERROR(__xludf.DUMMYFUNCTION("""COMPUTED_VALUE"""),"")</f>
        <v/>
      </c>
      <c r="C18319" s="42" t="str">
        <f>IFERROR(__xludf.DUMMYFUNCTION("""COMPUTED_VALUE"""),"")</f>
        <v/>
      </c>
      <c r="D18319" s="42"/>
      <c r="E18319" s="42"/>
      <c r="F18319" s="48" t="str">
        <f>IFERROR(__xludf.DUMMYFUNCTION("""COMPUTED_VALUE"""),"")</f>
        <v/>
      </c>
      <c r="G18319" s="42" t="str">
        <f>IFERROR(__xludf.DUMMYFUNCTION("""COMPUTED_VALUE"""),"")</f>
        <v/>
      </c>
      <c r="H18319" s="42">
        <f t="shared" si="1"/>
        <v>3345</v>
      </c>
    </row>
    <row r="18320" ht="22.5" customHeight="1">
      <c r="B18320" s="42" t="str">
        <f>IFERROR(__xludf.DUMMYFUNCTION("""COMPUTED_VALUE"""),"")</f>
        <v/>
      </c>
      <c r="C18320" s="42" t="str">
        <f>IFERROR(__xludf.DUMMYFUNCTION("""COMPUTED_VALUE"""),"")</f>
        <v/>
      </c>
      <c r="D18320" s="42"/>
      <c r="E18320" s="42"/>
      <c r="F18320" s="48" t="str">
        <f>IFERROR(__xludf.DUMMYFUNCTION("""COMPUTED_VALUE"""),"")</f>
        <v/>
      </c>
      <c r="G18320" s="42" t="str">
        <f>IFERROR(__xludf.DUMMYFUNCTION("""COMPUTED_VALUE"""),"")</f>
        <v/>
      </c>
      <c r="H18320" s="42">
        <f t="shared" si="1"/>
        <v>3345</v>
      </c>
    </row>
    <row r="18321" ht="22.5" customHeight="1">
      <c r="B18321" s="42" t="str">
        <f>IFERROR(__xludf.DUMMYFUNCTION("""COMPUTED_VALUE"""),"")</f>
        <v/>
      </c>
      <c r="C18321" s="42" t="str">
        <f>IFERROR(__xludf.DUMMYFUNCTION("""COMPUTED_VALUE"""),"")</f>
        <v/>
      </c>
      <c r="D18321" s="42"/>
      <c r="E18321" s="42"/>
      <c r="F18321" s="48" t="str">
        <f>IFERROR(__xludf.DUMMYFUNCTION("""COMPUTED_VALUE"""),"")</f>
        <v/>
      </c>
      <c r="G18321" s="42" t="str">
        <f>IFERROR(__xludf.DUMMYFUNCTION("""COMPUTED_VALUE"""),"")</f>
        <v/>
      </c>
      <c r="H18321" s="42">
        <f t="shared" si="1"/>
        <v>3345</v>
      </c>
    </row>
    <row r="18322" ht="22.5" customHeight="1">
      <c r="B18322" s="42" t="str">
        <f>IFERROR(__xludf.DUMMYFUNCTION("""COMPUTED_VALUE"""),"")</f>
        <v/>
      </c>
      <c r="C18322" s="42" t="str">
        <f>IFERROR(__xludf.DUMMYFUNCTION("""COMPUTED_VALUE"""),"")</f>
        <v/>
      </c>
      <c r="D18322" s="42"/>
      <c r="E18322" s="42"/>
      <c r="F18322" s="48" t="str">
        <f>IFERROR(__xludf.DUMMYFUNCTION("""COMPUTED_VALUE"""),"")</f>
        <v/>
      </c>
      <c r="G18322" s="42" t="str">
        <f>IFERROR(__xludf.DUMMYFUNCTION("""COMPUTED_VALUE"""),"")</f>
        <v/>
      </c>
      <c r="H18322" s="42">
        <f t="shared" si="1"/>
        <v>3345</v>
      </c>
    </row>
    <row r="18323" ht="22.5" customHeight="1">
      <c r="B18323" s="42" t="str">
        <f>IFERROR(__xludf.DUMMYFUNCTION("""COMPUTED_VALUE"""),"")</f>
        <v/>
      </c>
      <c r="C18323" s="42" t="str">
        <f>IFERROR(__xludf.DUMMYFUNCTION("""COMPUTED_VALUE"""),"")</f>
        <v/>
      </c>
      <c r="D18323" s="42"/>
      <c r="E18323" s="42"/>
      <c r="F18323" s="48" t="str">
        <f>IFERROR(__xludf.DUMMYFUNCTION("""COMPUTED_VALUE"""),"")</f>
        <v/>
      </c>
      <c r="G18323" s="42" t="str">
        <f>IFERROR(__xludf.DUMMYFUNCTION("""COMPUTED_VALUE"""),"")</f>
        <v/>
      </c>
      <c r="H18323" s="42">
        <f t="shared" si="1"/>
        <v>3345</v>
      </c>
    </row>
    <row r="18324" ht="22.5" customHeight="1">
      <c r="B18324" s="42" t="str">
        <f>IFERROR(__xludf.DUMMYFUNCTION("""COMPUTED_VALUE"""),"")</f>
        <v/>
      </c>
      <c r="C18324" s="42" t="str">
        <f>IFERROR(__xludf.DUMMYFUNCTION("""COMPUTED_VALUE"""),"")</f>
        <v/>
      </c>
      <c r="D18324" s="42"/>
      <c r="E18324" s="42"/>
      <c r="F18324" s="48" t="str">
        <f>IFERROR(__xludf.DUMMYFUNCTION("""COMPUTED_VALUE"""),"")</f>
        <v/>
      </c>
      <c r="G18324" s="42" t="str">
        <f>IFERROR(__xludf.DUMMYFUNCTION("""COMPUTED_VALUE"""),"")</f>
        <v/>
      </c>
      <c r="H18324" s="42">
        <f t="shared" si="1"/>
        <v>3345</v>
      </c>
    </row>
    <row r="18325" ht="22.5" customHeight="1">
      <c r="B18325" s="42" t="str">
        <f>IFERROR(__xludf.DUMMYFUNCTION("""COMPUTED_VALUE"""),"")</f>
        <v/>
      </c>
      <c r="C18325" s="42" t="str">
        <f>IFERROR(__xludf.DUMMYFUNCTION("""COMPUTED_VALUE"""),"")</f>
        <v/>
      </c>
      <c r="D18325" s="42"/>
      <c r="E18325" s="42"/>
      <c r="F18325" s="48" t="str">
        <f>IFERROR(__xludf.DUMMYFUNCTION("""COMPUTED_VALUE"""),"")</f>
        <v/>
      </c>
      <c r="G18325" s="42" t="str">
        <f>IFERROR(__xludf.DUMMYFUNCTION("""COMPUTED_VALUE"""),"")</f>
        <v/>
      </c>
      <c r="H18325" s="42">
        <f t="shared" si="1"/>
        <v>3345</v>
      </c>
    </row>
    <row r="18326" ht="22.5" customHeight="1">
      <c r="B18326" s="42" t="str">
        <f>IFERROR(__xludf.DUMMYFUNCTION("""COMPUTED_VALUE"""),"")</f>
        <v/>
      </c>
      <c r="C18326" s="42" t="str">
        <f>IFERROR(__xludf.DUMMYFUNCTION("""COMPUTED_VALUE"""),"")</f>
        <v/>
      </c>
      <c r="D18326" s="42"/>
      <c r="E18326" s="42"/>
      <c r="F18326" s="48" t="str">
        <f>IFERROR(__xludf.DUMMYFUNCTION("""COMPUTED_VALUE"""),"")</f>
        <v/>
      </c>
      <c r="G18326" s="42" t="str">
        <f>IFERROR(__xludf.DUMMYFUNCTION("""COMPUTED_VALUE"""),"")</f>
        <v/>
      </c>
      <c r="H18326" s="42">
        <f t="shared" si="1"/>
        <v>3345</v>
      </c>
    </row>
    <row r="18327" ht="22.5" customHeight="1">
      <c r="B18327" s="42" t="str">
        <f>IFERROR(__xludf.DUMMYFUNCTION("""COMPUTED_VALUE"""),"")</f>
        <v/>
      </c>
      <c r="C18327" s="42" t="str">
        <f>IFERROR(__xludf.DUMMYFUNCTION("""COMPUTED_VALUE"""),"")</f>
        <v/>
      </c>
      <c r="D18327" s="42"/>
      <c r="E18327" s="42"/>
      <c r="F18327" s="48" t="str">
        <f>IFERROR(__xludf.DUMMYFUNCTION("""COMPUTED_VALUE"""),"")</f>
        <v/>
      </c>
      <c r="G18327" s="42" t="str">
        <f>IFERROR(__xludf.DUMMYFUNCTION("""COMPUTED_VALUE"""),"")</f>
        <v/>
      </c>
      <c r="H18327" s="42">
        <f t="shared" si="1"/>
        <v>3345</v>
      </c>
    </row>
    <row r="18328" ht="22.5" customHeight="1">
      <c r="B18328" s="42" t="str">
        <f>IFERROR(__xludf.DUMMYFUNCTION("""COMPUTED_VALUE"""),"")</f>
        <v/>
      </c>
      <c r="C18328" s="42" t="str">
        <f>IFERROR(__xludf.DUMMYFUNCTION("""COMPUTED_VALUE"""),"")</f>
        <v/>
      </c>
      <c r="D18328" s="42"/>
      <c r="E18328" s="42"/>
      <c r="F18328" s="48" t="str">
        <f>IFERROR(__xludf.DUMMYFUNCTION("""COMPUTED_VALUE"""),"")</f>
        <v/>
      </c>
      <c r="G18328" s="42" t="str">
        <f>IFERROR(__xludf.DUMMYFUNCTION("""COMPUTED_VALUE"""),"")</f>
        <v/>
      </c>
      <c r="H18328" s="42">
        <f t="shared" si="1"/>
        <v>3345</v>
      </c>
    </row>
    <row r="18329" ht="22.5" customHeight="1">
      <c r="B18329" s="42" t="str">
        <f>IFERROR(__xludf.DUMMYFUNCTION("""COMPUTED_VALUE"""),"")</f>
        <v/>
      </c>
      <c r="C18329" s="42" t="str">
        <f>IFERROR(__xludf.DUMMYFUNCTION("""COMPUTED_VALUE"""),"")</f>
        <v/>
      </c>
      <c r="D18329" s="42"/>
      <c r="E18329" s="42"/>
      <c r="F18329" s="48" t="str">
        <f>IFERROR(__xludf.DUMMYFUNCTION("""COMPUTED_VALUE"""),"")</f>
        <v/>
      </c>
      <c r="G18329" s="42" t="str">
        <f>IFERROR(__xludf.DUMMYFUNCTION("""COMPUTED_VALUE"""),"")</f>
        <v/>
      </c>
      <c r="H18329" s="42">
        <f t="shared" si="1"/>
        <v>3345</v>
      </c>
    </row>
    <row r="18330" ht="22.5" customHeight="1">
      <c r="B18330" s="42" t="str">
        <f>IFERROR(__xludf.DUMMYFUNCTION("""COMPUTED_VALUE"""),"")</f>
        <v/>
      </c>
      <c r="C18330" s="42" t="str">
        <f>IFERROR(__xludf.DUMMYFUNCTION("""COMPUTED_VALUE"""),"")</f>
        <v/>
      </c>
      <c r="D18330" s="42"/>
      <c r="E18330" s="42"/>
      <c r="F18330" s="48" t="str">
        <f>IFERROR(__xludf.DUMMYFUNCTION("""COMPUTED_VALUE"""),"")</f>
        <v/>
      </c>
      <c r="G18330" s="42" t="str">
        <f>IFERROR(__xludf.DUMMYFUNCTION("""COMPUTED_VALUE"""),"")</f>
        <v/>
      </c>
      <c r="H18330" s="42">
        <f t="shared" si="1"/>
        <v>3345</v>
      </c>
    </row>
    <row r="18331" ht="22.5" customHeight="1">
      <c r="B18331" s="42" t="str">
        <f>IFERROR(__xludf.DUMMYFUNCTION("""COMPUTED_VALUE"""),"")</f>
        <v/>
      </c>
      <c r="C18331" s="42" t="str">
        <f>IFERROR(__xludf.DUMMYFUNCTION("""COMPUTED_VALUE"""),"")</f>
        <v/>
      </c>
      <c r="D18331" s="42"/>
      <c r="E18331" s="42"/>
      <c r="F18331" s="48" t="str">
        <f>IFERROR(__xludf.DUMMYFUNCTION("""COMPUTED_VALUE"""),"")</f>
        <v/>
      </c>
      <c r="G18331" s="42" t="str">
        <f>IFERROR(__xludf.DUMMYFUNCTION("""COMPUTED_VALUE"""),"")</f>
        <v/>
      </c>
      <c r="H18331" s="42">
        <f t="shared" si="1"/>
        <v>3345</v>
      </c>
    </row>
    <row r="18332" ht="22.5" customHeight="1">
      <c r="B18332" s="42" t="str">
        <f>IFERROR(__xludf.DUMMYFUNCTION("""COMPUTED_VALUE"""),"")</f>
        <v/>
      </c>
      <c r="C18332" s="42" t="str">
        <f>IFERROR(__xludf.DUMMYFUNCTION("""COMPUTED_VALUE"""),"")</f>
        <v/>
      </c>
      <c r="D18332" s="42"/>
      <c r="E18332" s="42"/>
      <c r="F18332" s="48" t="str">
        <f>IFERROR(__xludf.DUMMYFUNCTION("""COMPUTED_VALUE"""),"")</f>
        <v/>
      </c>
      <c r="G18332" s="42" t="str">
        <f>IFERROR(__xludf.DUMMYFUNCTION("""COMPUTED_VALUE"""),"")</f>
        <v/>
      </c>
      <c r="H18332" s="42">
        <f t="shared" si="1"/>
        <v>3345</v>
      </c>
    </row>
    <row r="18333" ht="22.5" customHeight="1">
      <c r="B18333" s="42" t="str">
        <f>IFERROR(__xludf.DUMMYFUNCTION("""COMPUTED_VALUE"""),"")</f>
        <v/>
      </c>
      <c r="C18333" s="42" t="str">
        <f>IFERROR(__xludf.DUMMYFUNCTION("""COMPUTED_VALUE"""),"")</f>
        <v/>
      </c>
      <c r="D18333" s="42"/>
      <c r="E18333" s="42"/>
      <c r="F18333" s="48" t="str">
        <f>IFERROR(__xludf.DUMMYFUNCTION("""COMPUTED_VALUE"""),"")</f>
        <v/>
      </c>
      <c r="G18333" s="42" t="str">
        <f>IFERROR(__xludf.DUMMYFUNCTION("""COMPUTED_VALUE"""),"")</f>
        <v/>
      </c>
      <c r="H18333" s="42">
        <f t="shared" si="1"/>
        <v>3345</v>
      </c>
    </row>
    <row r="18334" ht="22.5" customHeight="1">
      <c r="B18334" s="42" t="str">
        <f>IFERROR(__xludf.DUMMYFUNCTION("""COMPUTED_VALUE"""),"")</f>
        <v/>
      </c>
      <c r="C18334" s="42" t="str">
        <f>IFERROR(__xludf.DUMMYFUNCTION("""COMPUTED_VALUE"""),"")</f>
        <v/>
      </c>
      <c r="D18334" s="42"/>
      <c r="E18334" s="42"/>
      <c r="F18334" s="48" t="str">
        <f>IFERROR(__xludf.DUMMYFUNCTION("""COMPUTED_VALUE"""),"")</f>
        <v/>
      </c>
      <c r="G18334" s="42" t="str">
        <f>IFERROR(__xludf.DUMMYFUNCTION("""COMPUTED_VALUE"""),"")</f>
        <v/>
      </c>
      <c r="H18334" s="42">
        <f t="shared" si="1"/>
        <v>3345</v>
      </c>
    </row>
    <row r="18335" ht="22.5" customHeight="1">
      <c r="B18335" s="42" t="str">
        <f>IFERROR(__xludf.DUMMYFUNCTION("""COMPUTED_VALUE"""),"")</f>
        <v/>
      </c>
      <c r="C18335" s="42" t="str">
        <f>IFERROR(__xludf.DUMMYFUNCTION("""COMPUTED_VALUE"""),"")</f>
        <v/>
      </c>
      <c r="D18335" s="42"/>
      <c r="E18335" s="42"/>
      <c r="F18335" s="48" t="str">
        <f>IFERROR(__xludf.DUMMYFUNCTION("""COMPUTED_VALUE"""),"")</f>
        <v/>
      </c>
      <c r="G18335" s="42" t="str">
        <f>IFERROR(__xludf.DUMMYFUNCTION("""COMPUTED_VALUE"""),"")</f>
        <v/>
      </c>
      <c r="H18335" s="42">
        <f t="shared" si="1"/>
        <v>3345</v>
      </c>
    </row>
    <row r="18336" ht="22.5" customHeight="1">
      <c r="B18336" s="42" t="str">
        <f>IFERROR(__xludf.DUMMYFUNCTION("""COMPUTED_VALUE"""),"")</f>
        <v/>
      </c>
      <c r="C18336" s="42" t="str">
        <f>IFERROR(__xludf.DUMMYFUNCTION("""COMPUTED_VALUE"""),"")</f>
        <v/>
      </c>
      <c r="D18336" s="42"/>
      <c r="E18336" s="42"/>
      <c r="F18336" s="48" t="str">
        <f>IFERROR(__xludf.DUMMYFUNCTION("""COMPUTED_VALUE"""),"")</f>
        <v/>
      </c>
      <c r="G18336" s="42" t="str">
        <f>IFERROR(__xludf.DUMMYFUNCTION("""COMPUTED_VALUE"""),"")</f>
        <v/>
      </c>
      <c r="H18336" s="42">
        <f t="shared" si="1"/>
        <v>3345</v>
      </c>
    </row>
    <row r="18337" ht="22.5" customHeight="1">
      <c r="B18337" s="42" t="str">
        <f>IFERROR(__xludf.DUMMYFUNCTION("""COMPUTED_VALUE"""),"")</f>
        <v/>
      </c>
      <c r="C18337" s="42" t="str">
        <f>IFERROR(__xludf.DUMMYFUNCTION("""COMPUTED_VALUE"""),"")</f>
        <v/>
      </c>
      <c r="D18337" s="42"/>
      <c r="E18337" s="42"/>
      <c r="F18337" s="48" t="str">
        <f>IFERROR(__xludf.DUMMYFUNCTION("""COMPUTED_VALUE"""),"")</f>
        <v/>
      </c>
      <c r="G18337" s="42" t="str">
        <f>IFERROR(__xludf.DUMMYFUNCTION("""COMPUTED_VALUE"""),"")</f>
        <v/>
      </c>
      <c r="H18337" s="42">
        <f t="shared" si="1"/>
        <v>3345</v>
      </c>
    </row>
    <row r="18338" ht="22.5" customHeight="1">
      <c r="B18338" s="42" t="str">
        <f>IFERROR(__xludf.DUMMYFUNCTION("""COMPUTED_VALUE"""),"")</f>
        <v/>
      </c>
      <c r="C18338" s="42" t="str">
        <f>IFERROR(__xludf.DUMMYFUNCTION("""COMPUTED_VALUE"""),"")</f>
        <v/>
      </c>
      <c r="D18338" s="42"/>
      <c r="E18338" s="42"/>
      <c r="F18338" s="48" t="str">
        <f>IFERROR(__xludf.DUMMYFUNCTION("""COMPUTED_VALUE"""),"")</f>
        <v/>
      </c>
      <c r="G18338" s="42" t="str">
        <f>IFERROR(__xludf.DUMMYFUNCTION("""COMPUTED_VALUE"""),"")</f>
        <v/>
      </c>
      <c r="H18338" s="42">
        <f t="shared" si="1"/>
        <v>3345</v>
      </c>
    </row>
    <row r="18339" ht="22.5" customHeight="1">
      <c r="B18339" s="42" t="str">
        <f>IFERROR(__xludf.DUMMYFUNCTION("""COMPUTED_VALUE"""),"")</f>
        <v/>
      </c>
      <c r="C18339" s="42" t="str">
        <f>IFERROR(__xludf.DUMMYFUNCTION("""COMPUTED_VALUE"""),"")</f>
        <v/>
      </c>
      <c r="D18339" s="42"/>
      <c r="E18339" s="42"/>
      <c r="F18339" s="48" t="str">
        <f>IFERROR(__xludf.DUMMYFUNCTION("""COMPUTED_VALUE"""),"")</f>
        <v/>
      </c>
      <c r="G18339" s="42" t="str">
        <f>IFERROR(__xludf.DUMMYFUNCTION("""COMPUTED_VALUE"""),"")</f>
        <v/>
      </c>
      <c r="H18339" s="42">
        <f t="shared" si="1"/>
        <v>3345</v>
      </c>
    </row>
    <row r="18340" ht="22.5" customHeight="1">
      <c r="B18340" s="42" t="str">
        <f>IFERROR(__xludf.DUMMYFUNCTION("""COMPUTED_VALUE"""),"")</f>
        <v/>
      </c>
      <c r="C18340" s="42" t="str">
        <f>IFERROR(__xludf.DUMMYFUNCTION("""COMPUTED_VALUE"""),"")</f>
        <v/>
      </c>
      <c r="D18340" s="42"/>
      <c r="E18340" s="42"/>
      <c r="F18340" s="48" t="str">
        <f>IFERROR(__xludf.DUMMYFUNCTION("""COMPUTED_VALUE"""),"")</f>
        <v/>
      </c>
      <c r="G18340" s="42" t="str">
        <f>IFERROR(__xludf.DUMMYFUNCTION("""COMPUTED_VALUE"""),"")</f>
        <v/>
      </c>
      <c r="H18340" s="42">
        <f t="shared" si="1"/>
        <v>3345</v>
      </c>
    </row>
    <row r="18341" ht="22.5" customHeight="1">
      <c r="B18341" s="42" t="str">
        <f>IFERROR(__xludf.DUMMYFUNCTION("""COMPUTED_VALUE"""),"")</f>
        <v/>
      </c>
      <c r="C18341" s="42" t="str">
        <f>IFERROR(__xludf.DUMMYFUNCTION("""COMPUTED_VALUE"""),"")</f>
        <v/>
      </c>
      <c r="D18341" s="42"/>
      <c r="E18341" s="42"/>
      <c r="F18341" s="48" t="str">
        <f>IFERROR(__xludf.DUMMYFUNCTION("""COMPUTED_VALUE"""),"")</f>
        <v/>
      </c>
      <c r="G18341" s="42" t="str">
        <f>IFERROR(__xludf.DUMMYFUNCTION("""COMPUTED_VALUE"""),"")</f>
        <v/>
      </c>
      <c r="H18341" s="42">
        <f t="shared" si="1"/>
        <v>3345</v>
      </c>
    </row>
    <row r="18342" ht="22.5" customHeight="1">
      <c r="B18342" s="42" t="str">
        <f>IFERROR(__xludf.DUMMYFUNCTION("""COMPUTED_VALUE"""),"")</f>
        <v/>
      </c>
      <c r="C18342" s="42" t="str">
        <f>IFERROR(__xludf.DUMMYFUNCTION("""COMPUTED_VALUE"""),"")</f>
        <v/>
      </c>
      <c r="D18342" s="42"/>
      <c r="E18342" s="42"/>
      <c r="F18342" s="48" t="str">
        <f>IFERROR(__xludf.DUMMYFUNCTION("""COMPUTED_VALUE"""),"")</f>
        <v/>
      </c>
      <c r="G18342" s="42" t="str">
        <f>IFERROR(__xludf.DUMMYFUNCTION("""COMPUTED_VALUE"""),"")</f>
        <v/>
      </c>
      <c r="H18342" s="42">
        <f t="shared" si="1"/>
        <v>3345</v>
      </c>
    </row>
    <row r="18343" ht="22.5" customHeight="1">
      <c r="B18343" s="42" t="str">
        <f>IFERROR(__xludf.DUMMYFUNCTION("""COMPUTED_VALUE"""),"")</f>
        <v/>
      </c>
      <c r="C18343" s="42" t="str">
        <f>IFERROR(__xludf.DUMMYFUNCTION("""COMPUTED_VALUE"""),"")</f>
        <v/>
      </c>
      <c r="D18343" s="42"/>
      <c r="E18343" s="42"/>
      <c r="F18343" s="48" t="str">
        <f>IFERROR(__xludf.DUMMYFUNCTION("""COMPUTED_VALUE"""),"")</f>
        <v/>
      </c>
      <c r="G18343" s="42" t="str">
        <f>IFERROR(__xludf.DUMMYFUNCTION("""COMPUTED_VALUE"""),"")</f>
        <v/>
      </c>
      <c r="H18343" s="42">
        <f t="shared" si="1"/>
        <v>3345</v>
      </c>
    </row>
    <row r="18344" ht="22.5" customHeight="1">
      <c r="B18344" s="42" t="str">
        <f>IFERROR(__xludf.DUMMYFUNCTION("""COMPUTED_VALUE"""),"")</f>
        <v/>
      </c>
      <c r="C18344" s="42" t="str">
        <f>IFERROR(__xludf.DUMMYFUNCTION("""COMPUTED_VALUE"""),"")</f>
        <v/>
      </c>
      <c r="D18344" s="42"/>
      <c r="E18344" s="42"/>
      <c r="F18344" s="48" t="str">
        <f>IFERROR(__xludf.DUMMYFUNCTION("""COMPUTED_VALUE"""),"")</f>
        <v/>
      </c>
      <c r="G18344" s="42" t="str">
        <f>IFERROR(__xludf.DUMMYFUNCTION("""COMPUTED_VALUE"""),"")</f>
        <v/>
      </c>
      <c r="H18344" s="42">
        <f t="shared" si="1"/>
        <v>3345</v>
      </c>
    </row>
    <row r="18345" ht="22.5" customHeight="1">
      <c r="B18345" s="42" t="str">
        <f>IFERROR(__xludf.DUMMYFUNCTION("""COMPUTED_VALUE"""),"")</f>
        <v/>
      </c>
      <c r="C18345" s="42" t="str">
        <f>IFERROR(__xludf.DUMMYFUNCTION("""COMPUTED_VALUE"""),"")</f>
        <v/>
      </c>
      <c r="D18345" s="42"/>
      <c r="E18345" s="42"/>
      <c r="F18345" s="48" t="str">
        <f>IFERROR(__xludf.DUMMYFUNCTION("""COMPUTED_VALUE"""),"")</f>
        <v/>
      </c>
      <c r="G18345" s="42" t="str">
        <f>IFERROR(__xludf.DUMMYFUNCTION("""COMPUTED_VALUE"""),"")</f>
        <v/>
      </c>
      <c r="H18345" s="42">
        <f t="shared" si="1"/>
        <v>3345</v>
      </c>
    </row>
    <row r="18346" ht="22.5" customHeight="1">
      <c r="B18346" s="42" t="str">
        <f>IFERROR(__xludf.DUMMYFUNCTION("""COMPUTED_VALUE"""),"")</f>
        <v/>
      </c>
      <c r="C18346" s="42" t="str">
        <f>IFERROR(__xludf.DUMMYFUNCTION("""COMPUTED_VALUE"""),"")</f>
        <v/>
      </c>
      <c r="D18346" s="42"/>
      <c r="E18346" s="42"/>
      <c r="F18346" s="48" t="str">
        <f>IFERROR(__xludf.DUMMYFUNCTION("""COMPUTED_VALUE"""),"")</f>
        <v/>
      </c>
      <c r="G18346" s="42" t="str">
        <f>IFERROR(__xludf.DUMMYFUNCTION("""COMPUTED_VALUE"""),"")</f>
        <v/>
      </c>
      <c r="H18346" s="42">
        <f t="shared" si="1"/>
        <v>3345</v>
      </c>
    </row>
    <row r="18347" ht="22.5" customHeight="1">
      <c r="B18347" s="42" t="str">
        <f>IFERROR(__xludf.DUMMYFUNCTION("""COMPUTED_VALUE"""),"")</f>
        <v/>
      </c>
      <c r="C18347" s="42" t="str">
        <f>IFERROR(__xludf.DUMMYFUNCTION("""COMPUTED_VALUE"""),"")</f>
        <v/>
      </c>
      <c r="D18347" s="42"/>
      <c r="E18347" s="42"/>
      <c r="F18347" s="48" t="str">
        <f>IFERROR(__xludf.DUMMYFUNCTION("""COMPUTED_VALUE"""),"")</f>
        <v/>
      </c>
      <c r="G18347" s="42" t="str">
        <f>IFERROR(__xludf.DUMMYFUNCTION("""COMPUTED_VALUE"""),"")</f>
        <v/>
      </c>
      <c r="H18347" s="42">
        <f t="shared" si="1"/>
        <v>3345</v>
      </c>
    </row>
    <row r="18348" ht="22.5" customHeight="1">
      <c r="B18348" s="42" t="str">
        <f>IFERROR(__xludf.DUMMYFUNCTION("""COMPUTED_VALUE"""),"")</f>
        <v/>
      </c>
      <c r="C18348" s="42" t="str">
        <f>IFERROR(__xludf.DUMMYFUNCTION("""COMPUTED_VALUE"""),"")</f>
        <v/>
      </c>
      <c r="D18348" s="42"/>
      <c r="E18348" s="42"/>
      <c r="F18348" s="48" t="str">
        <f>IFERROR(__xludf.DUMMYFUNCTION("""COMPUTED_VALUE"""),"")</f>
        <v/>
      </c>
      <c r="G18348" s="42" t="str">
        <f>IFERROR(__xludf.DUMMYFUNCTION("""COMPUTED_VALUE"""),"")</f>
        <v/>
      </c>
      <c r="H18348" s="42">
        <f t="shared" si="1"/>
        <v>3345</v>
      </c>
    </row>
    <row r="18349" ht="22.5" customHeight="1">
      <c r="B18349" s="42" t="str">
        <f>IFERROR(__xludf.DUMMYFUNCTION("""COMPUTED_VALUE"""),"")</f>
        <v/>
      </c>
      <c r="C18349" s="42" t="str">
        <f>IFERROR(__xludf.DUMMYFUNCTION("""COMPUTED_VALUE"""),"")</f>
        <v/>
      </c>
      <c r="D18349" s="42"/>
      <c r="E18349" s="42"/>
      <c r="F18349" s="48" t="str">
        <f>IFERROR(__xludf.DUMMYFUNCTION("""COMPUTED_VALUE"""),"")</f>
        <v/>
      </c>
      <c r="G18349" s="42" t="str">
        <f>IFERROR(__xludf.DUMMYFUNCTION("""COMPUTED_VALUE"""),"")</f>
        <v/>
      </c>
      <c r="H18349" s="42">
        <f t="shared" si="1"/>
        <v>3345</v>
      </c>
    </row>
    <row r="18350" ht="22.5" customHeight="1">
      <c r="B18350" s="42" t="str">
        <f>IFERROR(__xludf.DUMMYFUNCTION("""COMPUTED_VALUE"""),"")</f>
        <v/>
      </c>
      <c r="C18350" s="42" t="str">
        <f>IFERROR(__xludf.DUMMYFUNCTION("""COMPUTED_VALUE"""),"")</f>
        <v/>
      </c>
      <c r="D18350" s="42"/>
      <c r="E18350" s="42"/>
      <c r="F18350" s="48" t="str">
        <f>IFERROR(__xludf.DUMMYFUNCTION("""COMPUTED_VALUE"""),"")</f>
        <v/>
      </c>
      <c r="G18350" s="42" t="str">
        <f>IFERROR(__xludf.DUMMYFUNCTION("""COMPUTED_VALUE"""),"")</f>
        <v/>
      </c>
      <c r="H18350" s="42">
        <f t="shared" si="1"/>
        <v>3345</v>
      </c>
    </row>
    <row r="18351" ht="22.5" customHeight="1">
      <c r="B18351" s="42" t="str">
        <f>IFERROR(__xludf.DUMMYFUNCTION("""COMPUTED_VALUE"""),"")</f>
        <v/>
      </c>
      <c r="C18351" s="42" t="str">
        <f>IFERROR(__xludf.DUMMYFUNCTION("""COMPUTED_VALUE"""),"")</f>
        <v/>
      </c>
      <c r="D18351" s="42"/>
      <c r="E18351" s="42"/>
      <c r="F18351" s="48" t="str">
        <f>IFERROR(__xludf.DUMMYFUNCTION("""COMPUTED_VALUE"""),"")</f>
        <v/>
      </c>
      <c r="G18351" s="42" t="str">
        <f>IFERROR(__xludf.DUMMYFUNCTION("""COMPUTED_VALUE"""),"")</f>
        <v/>
      </c>
      <c r="H18351" s="42">
        <f t="shared" si="1"/>
        <v>3345</v>
      </c>
    </row>
    <row r="18352" ht="22.5" customHeight="1">
      <c r="B18352" s="42" t="str">
        <f>IFERROR(__xludf.DUMMYFUNCTION("""COMPUTED_VALUE"""),"")</f>
        <v/>
      </c>
      <c r="C18352" s="42" t="str">
        <f>IFERROR(__xludf.DUMMYFUNCTION("""COMPUTED_VALUE"""),"")</f>
        <v/>
      </c>
      <c r="D18352" s="42"/>
      <c r="E18352" s="42"/>
      <c r="F18352" s="48" t="str">
        <f>IFERROR(__xludf.DUMMYFUNCTION("""COMPUTED_VALUE"""),"")</f>
        <v/>
      </c>
      <c r="G18352" s="42" t="str">
        <f>IFERROR(__xludf.DUMMYFUNCTION("""COMPUTED_VALUE"""),"")</f>
        <v/>
      </c>
      <c r="H18352" s="42">
        <f t="shared" si="1"/>
        <v>3345</v>
      </c>
    </row>
    <row r="18353" ht="22.5" customHeight="1">
      <c r="B18353" s="42" t="str">
        <f>IFERROR(__xludf.DUMMYFUNCTION("""COMPUTED_VALUE"""),"")</f>
        <v/>
      </c>
      <c r="C18353" s="42" t="str">
        <f>IFERROR(__xludf.DUMMYFUNCTION("""COMPUTED_VALUE"""),"")</f>
        <v/>
      </c>
      <c r="D18353" s="42"/>
      <c r="E18353" s="42"/>
      <c r="F18353" s="48" t="str">
        <f>IFERROR(__xludf.DUMMYFUNCTION("""COMPUTED_VALUE"""),"")</f>
        <v/>
      </c>
      <c r="G18353" s="42" t="str">
        <f>IFERROR(__xludf.DUMMYFUNCTION("""COMPUTED_VALUE"""),"")</f>
        <v/>
      </c>
      <c r="H18353" s="42">
        <f t="shared" si="1"/>
        <v>3345</v>
      </c>
    </row>
    <row r="18354" ht="22.5" customHeight="1">
      <c r="B18354" s="42" t="str">
        <f>IFERROR(__xludf.DUMMYFUNCTION("""COMPUTED_VALUE"""),"")</f>
        <v/>
      </c>
      <c r="C18354" s="42" t="str">
        <f>IFERROR(__xludf.DUMMYFUNCTION("""COMPUTED_VALUE"""),"")</f>
        <v/>
      </c>
      <c r="D18354" s="42"/>
      <c r="E18354" s="42"/>
      <c r="F18354" s="48" t="str">
        <f>IFERROR(__xludf.DUMMYFUNCTION("""COMPUTED_VALUE"""),"")</f>
        <v/>
      </c>
      <c r="G18354" s="42" t="str">
        <f>IFERROR(__xludf.DUMMYFUNCTION("""COMPUTED_VALUE"""),"")</f>
        <v/>
      </c>
      <c r="H18354" s="42">
        <f t="shared" si="1"/>
        <v>3345</v>
      </c>
    </row>
    <row r="18355" ht="22.5" customHeight="1">
      <c r="B18355" s="42" t="str">
        <f>IFERROR(__xludf.DUMMYFUNCTION("""COMPUTED_VALUE"""),"")</f>
        <v/>
      </c>
      <c r="C18355" s="42" t="str">
        <f>IFERROR(__xludf.DUMMYFUNCTION("""COMPUTED_VALUE"""),"")</f>
        <v/>
      </c>
      <c r="D18355" s="42"/>
      <c r="E18355" s="42"/>
      <c r="F18355" s="48" t="str">
        <f>IFERROR(__xludf.DUMMYFUNCTION("""COMPUTED_VALUE"""),"")</f>
        <v/>
      </c>
      <c r="G18355" s="42" t="str">
        <f>IFERROR(__xludf.DUMMYFUNCTION("""COMPUTED_VALUE"""),"")</f>
        <v/>
      </c>
      <c r="H18355" s="42">
        <f t="shared" si="1"/>
        <v>3345</v>
      </c>
    </row>
    <row r="18356" ht="22.5" customHeight="1">
      <c r="B18356" s="42" t="str">
        <f>IFERROR(__xludf.DUMMYFUNCTION("""COMPUTED_VALUE"""),"")</f>
        <v/>
      </c>
      <c r="C18356" s="42" t="str">
        <f>IFERROR(__xludf.DUMMYFUNCTION("""COMPUTED_VALUE"""),"")</f>
        <v/>
      </c>
      <c r="D18356" s="42"/>
      <c r="E18356" s="42"/>
      <c r="F18356" s="48" t="str">
        <f>IFERROR(__xludf.DUMMYFUNCTION("""COMPUTED_VALUE"""),"")</f>
        <v/>
      </c>
      <c r="G18356" s="42" t="str">
        <f>IFERROR(__xludf.DUMMYFUNCTION("""COMPUTED_VALUE"""),"")</f>
        <v/>
      </c>
      <c r="H18356" s="42">
        <f t="shared" si="1"/>
        <v>3345</v>
      </c>
    </row>
    <row r="18357" ht="22.5" customHeight="1">
      <c r="B18357" s="42" t="str">
        <f>IFERROR(__xludf.DUMMYFUNCTION("""COMPUTED_VALUE"""),"")</f>
        <v/>
      </c>
      <c r="C18357" s="42" t="str">
        <f>IFERROR(__xludf.DUMMYFUNCTION("""COMPUTED_VALUE"""),"")</f>
        <v/>
      </c>
      <c r="D18357" s="42"/>
      <c r="E18357" s="42"/>
      <c r="F18357" s="48" t="str">
        <f>IFERROR(__xludf.DUMMYFUNCTION("""COMPUTED_VALUE"""),"")</f>
        <v/>
      </c>
      <c r="G18357" s="42" t="str">
        <f>IFERROR(__xludf.DUMMYFUNCTION("""COMPUTED_VALUE"""),"")</f>
        <v/>
      </c>
      <c r="H18357" s="42">
        <f t="shared" si="1"/>
        <v>3345</v>
      </c>
    </row>
    <row r="18358" ht="22.5" customHeight="1">
      <c r="B18358" s="42" t="str">
        <f>IFERROR(__xludf.DUMMYFUNCTION("""COMPUTED_VALUE"""),"")</f>
        <v/>
      </c>
      <c r="C18358" s="42" t="str">
        <f>IFERROR(__xludf.DUMMYFUNCTION("""COMPUTED_VALUE"""),"")</f>
        <v/>
      </c>
      <c r="D18358" s="42"/>
      <c r="E18358" s="42"/>
      <c r="F18358" s="48" t="str">
        <f>IFERROR(__xludf.DUMMYFUNCTION("""COMPUTED_VALUE"""),"")</f>
        <v/>
      </c>
      <c r="G18358" s="42" t="str">
        <f>IFERROR(__xludf.DUMMYFUNCTION("""COMPUTED_VALUE"""),"")</f>
        <v/>
      </c>
      <c r="H18358" s="42">
        <f t="shared" si="1"/>
        <v>3345</v>
      </c>
    </row>
    <row r="18359" ht="22.5" customHeight="1">
      <c r="B18359" s="42" t="str">
        <f>IFERROR(__xludf.DUMMYFUNCTION("""COMPUTED_VALUE"""),"")</f>
        <v/>
      </c>
      <c r="C18359" s="42" t="str">
        <f>IFERROR(__xludf.DUMMYFUNCTION("""COMPUTED_VALUE"""),"")</f>
        <v/>
      </c>
      <c r="D18359" s="42"/>
      <c r="E18359" s="42"/>
      <c r="F18359" s="48" t="str">
        <f>IFERROR(__xludf.DUMMYFUNCTION("""COMPUTED_VALUE"""),"")</f>
        <v/>
      </c>
      <c r="G18359" s="42" t="str">
        <f>IFERROR(__xludf.DUMMYFUNCTION("""COMPUTED_VALUE"""),"")</f>
        <v/>
      </c>
      <c r="H18359" s="42">
        <f t="shared" si="1"/>
        <v>3345</v>
      </c>
    </row>
    <row r="18360" ht="22.5" customHeight="1">
      <c r="B18360" s="42" t="str">
        <f>IFERROR(__xludf.DUMMYFUNCTION("""COMPUTED_VALUE"""),"")</f>
        <v/>
      </c>
      <c r="C18360" s="42" t="str">
        <f>IFERROR(__xludf.DUMMYFUNCTION("""COMPUTED_VALUE"""),"")</f>
        <v/>
      </c>
      <c r="D18360" s="42"/>
      <c r="E18360" s="42"/>
      <c r="F18360" s="48" t="str">
        <f>IFERROR(__xludf.DUMMYFUNCTION("""COMPUTED_VALUE"""),"")</f>
        <v/>
      </c>
      <c r="G18360" s="42" t="str">
        <f>IFERROR(__xludf.DUMMYFUNCTION("""COMPUTED_VALUE"""),"")</f>
        <v/>
      </c>
      <c r="H18360" s="42">
        <f t="shared" si="1"/>
        <v>3345</v>
      </c>
    </row>
    <row r="18361" ht="22.5" customHeight="1">
      <c r="B18361" s="42" t="str">
        <f>IFERROR(__xludf.DUMMYFUNCTION("""COMPUTED_VALUE"""),"")</f>
        <v/>
      </c>
      <c r="C18361" s="42" t="str">
        <f>IFERROR(__xludf.DUMMYFUNCTION("""COMPUTED_VALUE"""),"")</f>
        <v/>
      </c>
      <c r="D18361" s="42"/>
      <c r="E18361" s="42"/>
      <c r="F18361" s="48" t="str">
        <f>IFERROR(__xludf.DUMMYFUNCTION("""COMPUTED_VALUE"""),"")</f>
        <v/>
      </c>
      <c r="G18361" s="42" t="str">
        <f>IFERROR(__xludf.DUMMYFUNCTION("""COMPUTED_VALUE"""),"")</f>
        <v/>
      </c>
      <c r="H18361" s="42">
        <f t="shared" si="1"/>
        <v>3345</v>
      </c>
    </row>
    <row r="18362" ht="22.5" customHeight="1">
      <c r="B18362" s="42" t="str">
        <f>IFERROR(__xludf.DUMMYFUNCTION("""COMPUTED_VALUE"""),"")</f>
        <v/>
      </c>
      <c r="C18362" s="42" t="str">
        <f>IFERROR(__xludf.DUMMYFUNCTION("""COMPUTED_VALUE"""),"")</f>
        <v/>
      </c>
      <c r="D18362" s="42"/>
      <c r="E18362" s="42"/>
      <c r="F18362" s="48" t="str">
        <f>IFERROR(__xludf.DUMMYFUNCTION("""COMPUTED_VALUE"""),"")</f>
        <v/>
      </c>
      <c r="G18362" s="42" t="str">
        <f>IFERROR(__xludf.DUMMYFUNCTION("""COMPUTED_VALUE"""),"")</f>
        <v/>
      </c>
      <c r="H18362" s="42">
        <f t="shared" si="1"/>
        <v>3345</v>
      </c>
    </row>
    <row r="18363" ht="22.5" customHeight="1">
      <c r="B18363" s="42" t="str">
        <f>IFERROR(__xludf.DUMMYFUNCTION("""COMPUTED_VALUE"""),"")</f>
        <v/>
      </c>
      <c r="C18363" s="42" t="str">
        <f>IFERROR(__xludf.DUMMYFUNCTION("""COMPUTED_VALUE"""),"")</f>
        <v/>
      </c>
      <c r="D18363" s="42"/>
      <c r="E18363" s="42"/>
      <c r="F18363" s="48" t="str">
        <f>IFERROR(__xludf.DUMMYFUNCTION("""COMPUTED_VALUE"""),"")</f>
        <v/>
      </c>
      <c r="G18363" s="42" t="str">
        <f>IFERROR(__xludf.DUMMYFUNCTION("""COMPUTED_VALUE"""),"")</f>
        <v/>
      </c>
      <c r="H18363" s="42">
        <f t="shared" si="1"/>
        <v>3345</v>
      </c>
    </row>
    <row r="18364" ht="22.5" customHeight="1">
      <c r="B18364" s="42" t="str">
        <f>IFERROR(__xludf.DUMMYFUNCTION("""COMPUTED_VALUE"""),"")</f>
        <v/>
      </c>
      <c r="C18364" s="42" t="str">
        <f>IFERROR(__xludf.DUMMYFUNCTION("""COMPUTED_VALUE"""),"")</f>
        <v/>
      </c>
      <c r="D18364" s="42"/>
      <c r="E18364" s="42"/>
      <c r="F18364" s="48" t="str">
        <f>IFERROR(__xludf.DUMMYFUNCTION("""COMPUTED_VALUE"""),"")</f>
        <v/>
      </c>
      <c r="G18364" s="42" t="str">
        <f>IFERROR(__xludf.DUMMYFUNCTION("""COMPUTED_VALUE"""),"")</f>
        <v/>
      </c>
      <c r="H18364" s="42">
        <f t="shared" si="1"/>
        <v>3345</v>
      </c>
    </row>
    <row r="18365" ht="22.5" customHeight="1">
      <c r="B18365" s="42" t="str">
        <f>IFERROR(__xludf.DUMMYFUNCTION("""COMPUTED_VALUE"""),"")</f>
        <v/>
      </c>
      <c r="C18365" s="42" t="str">
        <f>IFERROR(__xludf.DUMMYFUNCTION("""COMPUTED_VALUE"""),"")</f>
        <v/>
      </c>
      <c r="D18365" s="42"/>
      <c r="E18365" s="42"/>
      <c r="F18365" s="48" t="str">
        <f>IFERROR(__xludf.DUMMYFUNCTION("""COMPUTED_VALUE"""),"")</f>
        <v/>
      </c>
      <c r="G18365" s="42" t="str">
        <f>IFERROR(__xludf.DUMMYFUNCTION("""COMPUTED_VALUE"""),"")</f>
        <v/>
      </c>
      <c r="H18365" s="42">
        <f t="shared" si="1"/>
        <v>3345</v>
      </c>
    </row>
    <row r="18366" ht="22.5" customHeight="1">
      <c r="B18366" s="42" t="str">
        <f>IFERROR(__xludf.DUMMYFUNCTION("""COMPUTED_VALUE"""),"")</f>
        <v/>
      </c>
      <c r="C18366" s="42" t="str">
        <f>IFERROR(__xludf.DUMMYFUNCTION("""COMPUTED_VALUE"""),"")</f>
        <v/>
      </c>
      <c r="D18366" s="42"/>
      <c r="E18366" s="42"/>
      <c r="F18366" s="48" t="str">
        <f>IFERROR(__xludf.DUMMYFUNCTION("""COMPUTED_VALUE"""),"")</f>
        <v/>
      </c>
      <c r="G18366" s="42" t="str">
        <f>IFERROR(__xludf.DUMMYFUNCTION("""COMPUTED_VALUE"""),"")</f>
        <v/>
      </c>
      <c r="H18366" s="42">
        <f t="shared" si="1"/>
        <v>3345</v>
      </c>
    </row>
    <row r="18367" ht="22.5" customHeight="1">
      <c r="B18367" s="42" t="str">
        <f>IFERROR(__xludf.DUMMYFUNCTION("""COMPUTED_VALUE"""),"")</f>
        <v/>
      </c>
      <c r="C18367" s="42" t="str">
        <f>IFERROR(__xludf.DUMMYFUNCTION("""COMPUTED_VALUE"""),"")</f>
        <v/>
      </c>
      <c r="D18367" s="42"/>
      <c r="E18367" s="42"/>
      <c r="F18367" s="48" t="str">
        <f>IFERROR(__xludf.DUMMYFUNCTION("""COMPUTED_VALUE"""),"")</f>
        <v/>
      </c>
      <c r="G18367" s="42" t="str">
        <f>IFERROR(__xludf.DUMMYFUNCTION("""COMPUTED_VALUE"""),"")</f>
        <v/>
      </c>
      <c r="H18367" s="42">
        <f t="shared" si="1"/>
        <v>3345</v>
      </c>
    </row>
    <row r="18368" ht="22.5" customHeight="1">
      <c r="B18368" s="42" t="str">
        <f>IFERROR(__xludf.DUMMYFUNCTION("""COMPUTED_VALUE"""),"")</f>
        <v/>
      </c>
      <c r="C18368" s="42" t="str">
        <f>IFERROR(__xludf.DUMMYFUNCTION("""COMPUTED_VALUE"""),"")</f>
        <v/>
      </c>
      <c r="D18368" s="42"/>
      <c r="E18368" s="42"/>
      <c r="F18368" s="48" t="str">
        <f>IFERROR(__xludf.DUMMYFUNCTION("""COMPUTED_VALUE"""),"")</f>
        <v/>
      </c>
      <c r="G18368" s="42" t="str">
        <f>IFERROR(__xludf.DUMMYFUNCTION("""COMPUTED_VALUE"""),"")</f>
        <v/>
      </c>
      <c r="H18368" s="42">
        <f t="shared" si="1"/>
        <v>3345</v>
      </c>
    </row>
    <row r="18369" ht="22.5" customHeight="1">
      <c r="B18369" s="42" t="str">
        <f>IFERROR(__xludf.DUMMYFUNCTION("""COMPUTED_VALUE"""),"")</f>
        <v/>
      </c>
      <c r="C18369" s="42" t="str">
        <f>IFERROR(__xludf.DUMMYFUNCTION("""COMPUTED_VALUE"""),"")</f>
        <v/>
      </c>
      <c r="D18369" s="42"/>
      <c r="E18369" s="42"/>
      <c r="F18369" s="48" t="str">
        <f>IFERROR(__xludf.DUMMYFUNCTION("""COMPUTED_VALUE"""),"")</f>
        <v/>
      </c>
      <c r="G18369" s="42" t="str">
        <f>IFERROR(__xludf.DUMMYFUNCTION("""COMPUTED_VALUE"""),"")</f>
        <v/>
      </c>
      <c r="H18369" s="42">
        <f t="shared" si="1"/>
        <v>3345</v>
      </c>
    </row>
    <row r="18370" ht="22.5" customHeight="1">
      <c r="B18370" s="42" t="str">
        <f>IFERROR(__xludf.DUMMYFUNCTION("""COMPUTED_VALUE"""),"")</f>
        <v/>
      </c>
      <c r="C18370" s="42" t="str">
        <f>IFERROR(__xludf.DUMMYFUNCTION("""COMPUTED_VALUE"""),"")</f>
        <v/>
      </c>
      <c r="D18370" s="42"/>
      <c r="E18370" s="42"/>
      <c r="F18370" s="48" t="str">
        <f>IFERROR(__xludf.DUMMYFUNCTION("""COMPUTED_VALUE"""),"")</f>
        <v/>
      </c>
      <c r="G18370" s="42" t="str">
        <f>IFERROR(__xludf.DUMMYFUNCTION("""COMPUTED_VALUE"""),"")</f>
        <v/>
      </c>
      <c r="H18370" s="42">
        <f t="shared" si="1"/>
        <v>3345</v>
      </c>
    </row>
    <row r="18371" ht="22.5" customHeight="1">
      <c r="B18371" s="42" t="str">
        <f>IFERROR(__xludf.DUMMYFUNCTION("""COMPUTED_VALUE"""),"")</f>
        <v/>
      </c>
      <c r="C18371" s="42" t="str">
        <f>IFERROR(__xludf.DUMMYFUNCTION("""COMPUTED_VALUE"""),"")</f>
        <v/>
      </c>
      <c r="D18371" s="42"/>
      <c r="E18371" s="42"/>
      <c r="F18371" s="48" t="str">
        <f>IFERROR(__xludf.DUMMYFUNCTION("""COMPUTED_VALUE"""),"")</f>
        <v/>
      </c>
      <c r="G18371" s="42" t="str">
        <f>IFERROR(__xludf.DUMMYFUNCTION("""COMPUTED_VALUE"""),"")</f>
        <v/>
      </c>
      <c r="H18371" s="42">
        <f t="shared" si="1"/>
        <v>3345</v>
      </c>
    </row>
    <row r="18372" ht="22.5" customHeight="1">
      <c r="B18372" s="42" t="str">
        <f>IFERROR(__xludf.DUMMYFUNCTION("""COMPUTED_VALUE"""),"")</f>
        <v/>
      </c>
      <c r="C18372" s="42" t="str">
        <f>IFERROR(__xludf.DUMMYFUNCTION("""COMPUTED_VALUE"""),"")</f>
        <v/>
      </c>
      <c r="D18372" s="42"/>
      <c r="E18372" s="42"/>
      <c r="F18372" s="48" t="str">
        <f>IFERROR(__xludf.DUMMYFUNCTION("""COMPUTED_VALUE"""),"")</f>
        <v/>
      </c>
      <c r="G18372" s="42" t="str">
        <f>IFERROR(__xludf.DUMMYFUNCTION("""COMPUTED_VALUE"""),"")</f>
        <v/>
      </c>
      <c r="H18372" s="42">
        <f t="shared" si="1"/>
        <v>3345</v>
      </c>
    </row>
    <row r="18373" ht="22.5" customHeight="1">
      <c r="B18373" s="42" t="str">
        <f>IFERROR(__xludf.DUMMYFUNCTION("""COMPUTED_VALUE"""),"")</f>
        <v/>
      </c>
      <c r="C18373" s="42" t="str">
        <f>IFERROR(__xludf.DUMMYFUNCTION("""COMPUTED_VALUE"""),"")</f>
        <v/>
      </c>
      <c r="D18373" s="42"/>
      <c r="E18373" s="42"/>
      <c r="F18373" s="48" t="str">
        <f>IFERROR(__xludf.DUMMYFUNCTION("""COMPUTED_VALUE"""),"")</f>
        <v/>
      </c>
      <c r="G18373" s="42" t="str">
        <f>IFERROR(__xludf.DUMMYFUNCTION("""COMPUTED_VALUE"""),"")</f>
        <v/>
      </c>
      <c r="H18373" s="42">
        <f t="shared" si="1"/>
        <v>3345</v>
      </c>
    </row>
    <row r="18374" ht="22.5" customHeight="1">
      <c r="B18374" s="42" t="str">
        <f>IFERROR(__xludf.DUMMYFUNCTION("""COMPUTED_VALUE"""),"")</f>
        <v/>
      </c>
      <c r="C18374" s="42" t="str">
        <f>IFERROR(__xludf.DUMMYFUNCTION("""COMPUTED_VALUE"""),"")</f>
        <v/>
      </c>
      <c r="D18374" s="42"/>
      <c r="E18374" s="42"/>
      <c r="F18374" s="48" t="str">
        <f>IFERROR(__xludf.DUMMYFUNCTION("""COMPUTED_VALUE"""),"")</f>
        <v/>
      </c>
      <c r="G18374" s="42" t="str">
        <f>IFERROR(__xludf.DUMMYFUNCTION("""COMPUTED_VALUE"""),"")</f>
        <v/>
      </c>
      <c r="H18374" s="42">
        <f t="shared" si="1"/>
        <v>3345</v>
      </c>
    </row>
    <row r="18375" ht="22.5" customHeight="1">
      <c r="B18375" s="42" t="str">
        <f>IFERROR(__xludf.DUMMYFUNCTION("""COMPUTED_VALUE"""),"")</f>
        <v/>
      </c>
      <c r="C18375" s="42" t="str">
        <f>IFERROR(__xludf.DUMMYFUNCTION("""COMPUTED_VALUE"""),"")</f>
        <v/>
      </c>
      <c r="D18375" s="42"/>
      <c r="E18375" s="42"/>
      <c r="F18375" s="48" t="str">
        <f>IFERROR(__xludf.DUMMYFUNCTION("""COMPUTED_VALUE"""),"")</f>
        <v/>
      </c>
      <c r="G18375" s="42" t="str">
        <f>IFERROR(__xludf.DUMMYFUNCTION("""COMPUTED_VALUE"""),"")</f>
        <v/>
      </c>
      <c r="H18375" s="42">
        <f t="shared" si="1"/>
        <v>3345</v>
      </c>
    </row>
    <row r="18376" ht="22.5" customHeight="1">
      <c r="B18376" s="42" t="str">
        <f>IFERROR(__xludf.DUMMYFUNCTION("""COMPUTED_VALUE"""),"")</f>
        <v/>
      </c>
      <c r="C18376" s="42" t="str">
        <f>IFERROR(__xludf.DUMMYFUNCTION("""COMPUTED_VALUE"""),"")</f>
        <v/>
      </c>
      <c r="D18376" s="42"/>
      <c r="E18376" s="42"/>
      <c r="F18376" s="48" t="str">
        <f>IFERROR(__xludf.DUMMYFUNCTION("""COMPUTED_VALUE"""),"")</f>
        <v/>
      </c>
      <c r="G18376" s="42" t="str">
        <f>IFERROR(__xludf.DUMMYFUNCTION("""COMPUTED_VALUE"""),"")</f>
        <v/>
      </c>
      <c r="H18376" s="42">
        <f t="shared" si="1"/>
        <v>3345</v>
      </c>
    </row>
    <row r="18377" ht="22.5" customHeight="1">
      <c r="B18377" s="42" t="str">
        <f>IFERROR(__xludf.DUMMYFUNCTION("""COMPUTED_VALUE"""),"")</f>
        <v/>
      </c>
      <c r="C18377" s="42" t="str">
        <f>IFERROR(__xludf.DUMMYFUNCTION("""COMPUTED_VALUE"""),"")</f>
        <v/>
      </c>
      <c r="D18377" s="42"/>
      <c r="E18377" s="42"/>
      <c r="F18377" s="48" t="str">
        <f>IFERROR(__xludf.DUMMYFUNCTION("""COMPUTED_VALUE"""),"")</f>
        <v/>
      </c>
      <c r="G18377" s="42" t="str">
        <f>IFERROR(__xludf.DUMMYFUNCTION("""COMPUTED_VALUE"""),"")</f>
        <v/>
      </c>
      <c r="H18377" s="42">
        <f t="shared" si="1"/>
        <v>3345</v>
      </c>
    </row>
    <row r="18378" ht="22.5" customHeight="1">
      <c r="B18378" s="42" t="str">
        <f>IFERROR(__xludf.DUMMYFUNCTION("""COMPUTED_VALUE"""),"")</f>
        <v/>
      </c>
      <c r="C18378" s="42" t="str">
        <f>IFERROR(__xludf.DUMMYFUNCTION("""COMPUTED_VALUE"""),"")</f>
        <v/>
      </c>
      <c r="D18378" s="42"/>
      <c r="E18378" s="42"/>
      <c r="F18378" s="48" t="str">
        <f>IFERROR(__xludf.DUMMYFUNCTION("""COMPUTED_VALUE"""),"")</f>
        <v/>
      </c>
      <c r="G18378" s="42" t="str">
        <f>IFERROR(__xludf.DUMMYFUNCTION("""COMPUTED_VALUE"""),"")</f>
        <v/>
      </c>
      <c r="H18378" s="42">
        <f t="shared" si="1"/>
        <v>3345</v>
      </c>
    </row>
    <row r="18379" ht="22.5" customHeight="1">
      <c r="B18379" s="42" t="str">
        <f>IFERROR(__xludf.DUMMYFUNCTION("""COMPUTED_VALUE"""),"")</f>
        <v/>
      </c>
      <c r="C18379" s="42" t="str">
        <f>IFERROR(__xludf.DUMMYFUNCTION("""COMPUTED_VALUE"""),"")</f>
        <v/>
      </c>
      <c r="D18379" s="42"/>
      <c r="E18379" s="42"/>
      <c r="F18379" s="48" t="str">
        <f>IFERROR(__xludf.DUMMYFUNCTION("""COMPUTED_VALUE"""),"")</f>
        <v/>
      </c>
      <c r="G18379" s="42" t="str">
        <f>IFERROR(__xludf.DUMMYFUNCTION("""COMPUTED_VALUE"""),"")</f>
        <v/>
      </c>
      <c r="H18379" s="42">
        <f t="shared" si="1"/>
        <v>3345</v>
      </c>
    </row>
    <row r="18380" ht="22.5" customHeight="1">
      <c r="B18380" s="42" t="str">
        <f>IFERROR(__xludf.DUMMYFUNCTION("""COMPUTED_VALUE"""),"")</f>
        <v/>
      </c>
      <c r="C18380" s="42" t="str">
        <f>IFERROR(__xludf.DUMMYFUNCTION("""COMPUTED_VALUE"""),"")</f>
        <v/>
      </c>
      <c r="D18380" s="42"/>
      <c r="E18380" s="42"/>
      <c r="F18380" s="48" t="str">
        <f>IFERROR(__xludf.DUMMYFUNCTION("""COMPUTED_VALUE"""),"")</f>
        <v/>
      </c>
      <c r="G18380" s="42" t="str">
        <f>IFERROR(__xludf.DUMMYFUNCTION("""COMPUTED_VALUE"""),"")</f>
        <v/>
      </c>
      <c r="H18380" s="42">
        <f t="shared" si="1"/>
        <v>3345</v>
      </c>
    </row>
    <row r="18381" ht="22.5" customHeight="1">
      <c r="B18381" s="42" t="str">
        <f>IFERROR(__xludf.DUMMYFUNCTION("""COMPUTED_VALUE"""),"")</f>
        <v/>
      </c>
      <c r="C18381" s="42" t="str">
        <f>IFERROR(__xludf.DUMMYFUNCTION("""COMPUTED_VALUE"""),"")</f>
        <v/>
      </c>
      <c r="D18381" s="42"/>
      <c r="E18381" s="42"/>
      <c r="F18381" s="48" t="str">
        <f>IFERROR(__xludf.DUMMYFUNCTION("""COMPUTED_VALUE"""),"")</f>
        <v/>
      </c>
      <c r="G18381" s="42" t="str">
        <f>IFERROR(__xludf.DUMMYFUNCTION("""COMPUTED_VALUE"""),"")</f>
        <v/>
      </c>
      <c r="H18381" s="42">
        <f t="shared" si="1"/>
        <v>3345</v>
      </c>
    </row>
    <row r="18382" ht="22.5" customHeight="1">
      <c r="B18382" s="42" t="str">
        <f>IFERROR(__xludf.DUMMYFUNCTION("""COMPUTED_VALUE"""),"")</f>
        <v/>
      </c>
      <c r="C18382" s="42" t="str">
        <f>IFERROR(__xludf.DUMMYFUNCTION("""COMPUTED_VALUE"""),"")</f>
        <v/>
      </c>
      <c r="D18382" s="42"/>
      <c r="E18382" s="42"/>
      <c r="F18382" s="48" t="str">
        <f>IFERROR(__xludf.DUMMYFUNCTION("""COMPUTED_VALUE"""),"")</f>
        <v/>
      </c>
      <c r="G18382" s="42" t="str">
        <f>IFERROR(__xludf.DUMMYFUNCTION("""COMPUTED_VALUE"""),"")</f>
        <v/>
      </c>
      <c r="H18382" s="42">
        <f t="shared" si="1"/>
        <v>3345</v>
      </c>
    </row>
    <row r="18383" ht="22.5" customHeight="1">
      <c r="B18383" s="42" t="str">
        <f>IFERROR(__xludf.DUMMYFUNCTION("""COMPUTED_VALUE"""),"")</f>
        <v/>
      </c>
      <c r="C18383" s="42" t="str">
        <f>IFERROR(__xludf.DUMMYFUNCTION("""COMPUTED_VALUE"""),"")</f>
        <v/>
      </c>
      <c r="D18383" s="42"/>
      <c r="E18383" s="42"/>
      <c r="F18383" s="48" t="str">
        <f>IFERROR(__xludf.DUMMYFUNCTION("""COMPUTED_VALUE"""),"")</f>
        <v/>
      </c>
      <c r="G18383" s="42" t="str">
        <f>IFERROR(__xludf.DUMMYFUNCTION("""COMPUTED_VALUE"""),"")</f>
        <v/>
      </c>
      <c r="H18383" s="42">
        <f t="shared" si="1"/>
        <v>3345</v>
      </c>
    </row>
    <row r="18384" ht="22.5" customHeight="1">
      <c r="B18384" s="42" t="str">
        <f>IFERROR(__xludf.DUMMYFUNCTION("""COMPUTED_VALUE"""),"")</f>
        <v/>
      </c>
      <c r="C18384" s="42" t="str">
        <f>IFERROR(__xludf.DUMMYFUNCTION("""COMPUTED_VALUE"""),"")</f>
        <v/>
      </c>
      <c r="D18384" s="42"/>
      <c r="E18384" s="42"/>
      <c r="F18384" s="48" t="str">
        <f>IFERROR(__xludf.DUMMYFUNCTION("""COMPUTED_VALUE"""),"")</f>
        <v/>
      </c>
      <c r="G18384" s="42" t="str">
        <f>IFERROR(__xludf.DUMMYFUNCTION("""COMPUTED_VALUE"""),"")</f>
        <v/>
      </c>
      <c r="H18384" s="42">
        <f t="shared" si="1"/>
        <v>3345</v>
      </c>
    </row>
    <row r="18385" ht="22.5" customHeight="1">
      <c r="B18385" s="42" t="str">
        <f>IFERROR(__xludf.DUMMYFUNCTION("""COMPUTED_VALUE"""),"")</f>
        <v/>
      </c>
      <c r="C18385" s="42" t="str">
        <f>IFERROR(__xludf.DUMMYFUNCTION("""COMPUTED_VALUE"""),"")</f>
        <v/>
      </c>
      <c r="D18385" s="42"/>
      <c r="E18385" s="42"/>
      <c r="F18385" s="48" t="str">
        <f>IFERROR(__xludf.DUMMYFUNCTION("""COMPUTED_VALUE"""),"")</f>
        <v/>
      </c>
      <c r="G18385" s="42" t="str">
        <f>IFERROR(__xludf.DUMMYFUNCTION("""COMPUTED_VALUE"""),"")</f>
        <v/>
      </c>
      <c r="H18385" s="42">
        <f t="shared" si="1"/>
        <v>3345</v>
      </c>
    </row>
    <row r="18386" ht="22.5" customHeight="1">
      <c r="B18386" s="42" t="str">
        <f>IFERROR(__xludf.DUMMYFUNCTION("""COMPUTED_VALUE"""),"")</f>
        <v/>
      </c>
      <c r="C18386" s="42" t="str">
        <f>IFERROR(__xludf.DUMMYFUNCTION("""COMPUTED_VALUE"""),"")</f>
        <v/>
      </c>
      <c r="D18386" s="42"/>
      <c r="E18386" s="42"/>
      <c r="F18386" s="48" t="str">
        <f>IFERROR(__xludf.DUMMYFUNCTION("""COMPUTED_VALUE"""),"")</f>
        <v/>
      </c>
      <c r="G18386" s="42" t="str">
        <f>IFERROR(__xludf.DUMMYFUNCTION("""COMPUTED_VALUE"""),"")</f>
        <v/>
      </c>
      <c r="H18386" s="42">
        <f t="shared" si="1"/>
        <v>3345</v>
      </c>
    </row>
    <row r="18387" ht="22.5" customHeight="1">
      <c r="B18387" s="42" t="str">
        <f>IFERROR(__xludf.DUMMYFUNCTION("""COMPUTED_VALUE"""),"")</f>
        <v/>
      </c>
      <c r="C18387" s="42" t="str">
        <f>IFERROR(__xludf.DUMMYFUNCTION("""COMPUTED_VALUE"""),"")</f>
        <v/>
      </c>
      <c r="D18387" s="42"/>
      <c r="E18387" s="42"/>
      <c r="F18387" s="48" t="str">
        <f>IFERROR(__xludf.DUMMYFUNCTION("""COMPUTED_VALUE"""),"")</f>
        <v/>
      </c>
      <c r="G18387" s="42" t="str">
        <f>IFERROR(__xludf.DUMMYFUNCTION("""COMPUTED_VALUE"""),"")</f>
        <v/>
      </c>
      <c r="H18387" s="42">
        <f t="shared" si="1"/>
        <v>3345</v>
      </c>
    </row>
    <row r="18388" ht="22.5" customHeight="1">
      <c r="B18388" s="42" t="str">
        <f>IFERROR(__xludf.DUMMYFUNCTION("""COMPUTED_VALUE"""),"")</f>
        <v/>
      </c>
      <c r="C18388" s="42" t="str">
        <f>IFERROR(__xludf.DUMMYFUNCTION("""COMPUTED_VALUE"""),"")</f>
        <v/>
      </c>
      <c r="D18388" s="42"/>
      <c r="E18388" s="42"/>
      <c r="F18388" s="48" t="str">
        <f>IFERROR(__xludf.DUMMYFUNCTION("""COMPUTED_VALUE"""),"")</f>
        <v/>
      </c>
      <c r="G18388" s="42" t="str">
        <f>IFERROR(__xludf.DUMMYFUNCTION("""COMPUTED_VALUE"""),"")</f>
        <v/>
      </c>
      <c r="H18388" s="42">
        <f t="shared" si="1"/>
        <v>3345</v>
      </c>
    </row>
    <row r="18389" ht="22.5" customHeight="1">
      <c r="B18389" s="42" t="str">
        <f>IFERROR(__xludf.DUMMYFUNCTION("""COMPUTED_VALUE"""),"")</f>
        <v/>
      </c>
      <c r="C18389" s="42" t="str">
        <f>IFERROR(__xludf.DUMMYFUNCTION("""COMPUTED_VALUE"""),"")</f>
        <v/>
      </c>
      <c r="D18389" s="42"/>
      <c r="E18389" s="42"/>
      <c r="F18389" s="48" t="str">
        <f>IFERROR(__xludf.DUMMYFUNCTION("""COMPUTED_VALUE"""),"")</f>
        <v/>
      </c>
      <c r="G18389" s="42" t="str">
        <f>IFERROR(__xludf.DUMMYFUNCTION("""COMPUTED_VALUE"""),"")</f>
        <v/>
      </c>
      <c r="H18389" s="42">
        <f t="shared" si="1"/>
        <v>3345</v>
      </c>
    </row>
    <row r="18390" ht="22.5" customHeight="1">
      <c r="B18390" s="42" t="str">
        <f>IFERROR(__xludf.DUMMYFUNCTION("""COMPUTED_VALUE"""),"")</f>
        <v/>
      </c>
      <c r="C18390" s="42" t="str">
        <f>IFERROR(__xludf.DUMMYFUNCTION("""COMPUTED_VALUE"""),"")</f>
        <v/>
      </c>
      <c r="D18390" s="42"/>
      <c r="E18390" s="42"/>
      <c r="F18390" s="48" t="str">
        <f>IFERROR(__xludf.DUMMYFUNCTION("""COMPUTED_VALUE"""),"")</f>
        <v/>
      </c>
      <c r="G18390" s="42" t="str">
        <f>IFERROR(__xludf.DUMMYFUNCTION("""COMPUTED_VALUE"""),"")</f>
        <v/>
      </c>
      <c r="H18390" s="42">
        <f t="shared" si="1"/>
        <v>3345</v>
      </c>
    </row>
    <row r="18391" ht="22.5" customHeight="1">
      <c r="B18391" s="42" t="str">
        <f>IFERROR(__xludf.DUMMYFUNCTION("""COMPUTED_VALUE"""),"")</f>
        <v/>
      </c>
      <c r="C18391" s="42" t="str">
        <f>IFERROR(__xludf.DUMMYFUNCTION("""COMPUTED_VALUE"""),"")</f>
        <v/>
      </c>
      <c r="D18391" s="42"/>
      <c r="E18391" s="42"/>
      <c r="F18391" s="48" t="str">
        <f>IFERROR(__xludf.DUMMYFUNCTION("""COMPUTED_VALUE"""),"")</f>
        <v/>
      </c>
      <c r="G18391" s="42" t="str">
        <f>IFERROR(__xludf.DUMMYFUNCTION("""COMPUTED_VALUE"""),"")</f>
        <v/>
      </c>
      <c r="H18391" s="42">
        <f t="shared" si="1"/>
        <v>3345</v>
      </c>
    </row>
    <row r="18392" ht="22.5" customHeight="1">
      <c r="B18392" s="42" t="str">
        <f>IFERROR(__xludf.DUMMYFUNCTION("""COMPUTED_VALUE"""),"")</f>
        <v/>
      </c>
      <c r="C18392" s="42" t="str">
        <f>IFERROR(__xludf.DUMMYFUNCTION("""COMPUTED_VALUE"""),"")</f>
        <v/>
      </c>
      <c r="D18392" s="42"/>
      <c r="E18392" s="42"/>
      <c r="F18392" s="48" t="str">
        <f>IFERROR(__xludf.DUMMYFUNCTION("""COMPUTED_VALUE"""),"")</f>
        <v/>
      </c>
      <c r="G18392" s="42" t="str">
        <f>IFERROR(__xludf.DUMMYFUNCTION("""COMPUTED_VALUE"""),"")</f>
        <v/>
      </c>
      <c r="H18392" s="42">
        <f t="shared" si="1"/>
        <v>3345</v>
      </c>
    </row>
    <row r="18393" ht="22.5" customHeight="1">
      <c r="B18393" s="42" t="str">
        <f>IFERROR(__xludf.DUMMYFUNCTION("""COMPUTED_VALUE"""),"")</f>
        <v/>
      </c>
      <c r="C18393" s="42" t="str">
        <f>IFERROR(__xludf.DUMMYFUNCTION("""COMPUTED_VALUE"""),"")</f>
        <v/>
      </c>
      <c r="D18393" s="42"/>
      <c r="E18393" s="42"/>
      <c r="F18393" s="48" t="str">
        <f>IFERROR(__xludf.DUMMYFUNCTION("""COMPUTED_VALUE"""),"")</f>
        <v/>
      </c>
      <c r="G18393" s="42" t="str">
        <f>IFERROR(__xludf.DUMMYFUNCTION("""COMPUTED_VALUE"""),"")</f>
        <v/>
      </c>
      <c r="H18393" s="42">
        <f t="shared" si="1"/>
        <v>3345</v>
      </c>
    </row>
    <row r="18394" ht="22.5" customHeight="1">
      <c r="B18394" s="42" t="str">
        <f>IFERROR(__xludf.DUMMYFUNCTION("""COMPUTED_VALUE"""),"")</f>
        <v/>
      </c>
      <c r="C18394" s="42" t="str">
        <f>IFERROR(__xludf.DUMMYFUNCTION("""COMPUTED_VALUE"""),"")</f>
        <v/>
      </c>
      <c r="D18394" s="42"/>
      <c r="E18394" s="42"/>
      <c r="F18394" s="48" t="str">
        <f>IFERROR(__xludf.DUMMYFUNCTION("""COMPUTED_VALUE"""),"")</f>
        <v/>
      </c>
      <c r="G18394" s="42" t="str">
        <f>IFERROR(__xludf.DUMMYFUNCTION("""COMPUTED_VALUE"""),"")</f>
        <v/>
      </c>
      <c r="H18394" s="42">
        <f t="shared" si="1"/>
        <v>3345</v>
      </c>
    </row>
    <row r="18395" ht="22.5" customHeight="1">
      <c r="B18395" s="42" t="str">
        <f>IFERROR(__xludf.DUMMYFUNCTION("""COMPUTED_VALUE"""),"")</f>
        <v/>
      </c>
      <c r="C18395" s="42" t="str">
        <f>IFERROR(__xludf.DUMMYFUNCTION("""COMPUTED_VALUE"""),"")</f>
        <v/>
      </c>
      <c r="D18395" s="42"/>
      <c r="E18395" s="42"/>
      <c r="F18395" s="48" t="str">
        <f>IFERROR(__xludf.DUMMYFUNCTION("""COMPUTED_VALUE"""),"")</f>
        <v/>
      </c>
      <c r="G18395" s="42" t="str">
        <f>IFERROR(__xludf.DUMMYFUNCTION("""COMPUTED_VALUE"""),"")</f>
        <v/>
      </c>
      <c r="H18395" s="42">
        <f t="shared" si="1"/>
        <v>3345</v>
      </c>
    </row>
    <row r="18396" ht="22.5" customHeight="1">
      <c r="B18396" s="42" t="str">
        <f>IFERROR(__xludf.DUMMYFUNCTION("""COMPUTED_VALUE"""),"")</f>
        <v/>
      </c>
      <c r="C18396" s="42" t="str">
        <f>IFERROR(__xludf.DUMMYFUNCTION("""COMPUTED_VALUE"""),"")</f>
        <v/>
      </c>
      <c r="D18396" s="42"/>
      <c r="E18396" s="42"/>
      <c r="F18396" s="48" t="str">
        <f>IFERROR(__xludf.DUMMYFUNCTION("""COMPUTED_VALUE"""),"")</f>
        <v/>
      </c>
      <c r="G18396" s="42" t="str">
        <f>IFERROR(__xludf.DUMMYFUNCTION("""COMPUTED_VALUE"""),"")</f>
        <v/>
      </c>
      <c r="H18396" s="42">
        <f t="shared" si="1"/>
        <v>3345</v>
      </c>
    </row>
    <row r="18397" ht="22.5" customHeight="1">
      <c r="B18397" s="42" t="str">
        <f>IFERROR(__xludf.DUMMYFUNCTION("""COMPUTED_VALUE"""),"")</f>
        <v/>
      </c>
      <c r="C18397" s="42" t="str">
        <f>IFERROR(__xludf.DUMMYFUNCTION("""COMPUTED_VALUE"""),"")</f>
        <v/>
      </c>
      <c r="D18397" s="42"/>
      <c r="E18397" s="42"/>
      <c r="F18397" s="48" t="str">
        <f>IFERROR(__xludf.DUMMYFUNCTION("""COMPUTED_VALUE"""),"")</f>
        <v/>
      </c>
      <c r="G18397" s="42" t="str">
        <f>IFERROR(__xludf.DUMMYFUNCTION("""COMPUTED_VALUE"""),"")</f>
        <v/>
      </c>
      <c r="H18397" s="42">
        <f t="shared" si="1"/>
        <v>3345</v>
      </c>
    </row>
    <row r="18398" ht="22.5" customHeight="1">
      <c r="B18398" s="42" t="str">
        <f>IFERROR(__xludf.DUMMYFUNCTION("""COMPUTED_VALUE"""),"")</f>
        <v/>
      </c>
      <c r="C18398" s="42" t="str">
        <f>IFERROR(__xludf.DUMMYFUNCTION("""COMPUTED_VALUE"""),"")</f>
        <v/>
      </c>
      <c r="D18398" s="42"/>
      <c r="E18398" s="42"/>
      <c r="F18398" s="48" t="str">
        <f>IFERROR(__xludf.DUMMYFUNCTION("""COMPUTED_VALUE"""),"")</f>
        <v/>
      </c>
      <c r="G18398" s="42" t="str">
        <f>IFERROR(__xludf.DUMMYFUNCTION("""COMPUTED_VALUE"""),"")</f>
        <v/>
      </c>
      <c r="H18398" s="42">
        <f t="shared" si="1"/>
        <v>3345</v>
      </c>
    </row>
    <row r="18399" ht="22.5" customHeight="1">
      <c r="B18399" s="42" t="str">
        <f>IFERROR(__xludf.DUMMYFUNCTION("""COMPUTED_VALUE"""),"")</f>
        <v/>
      </c>
      <c r="C18399" s="42" t="str">
        <f>IFERROR(__xludf.DUMMYFUNCTION("""COMPUTED_VALUE"""),"")</f>
        <v/>
      </c>
      <c r="D18399" s="42"/>
      <c r="E18399" s="42"/>
      <c r="F18399" s="48" t="str">
        <f>IFERROR(__xludf.DUMMYFUNCTION("""COMPUTED_VALUE"""),"")</f>
        <v/>
      </c>
      <c r="G18399" s="42" t="str">
        <f>IFERROR(__xludf.DUMMYFUNCTION("""COMPUTED_VALUE"""),"")</f>
        <v/>
      </c>
      <c r="H18399" s="42">
        <f t="shared" si="1"/>
        <v>3345</v>
      </c>
    </row>
    <row r="18400" ht="22.5" customHeight="1">
      <c r="B18400" s="42" t="str">
        <f>IFERROR(__xludf.DUMMYFUNCTION("""COMPUTED_VALUE"""),"")</f>
        <v/>
      </c>
      <c r="C18400" s="42" t="str">
        <f>IFERROR(__xludf.DUMMYFUNCTION("""COMPUTED_VALUE"""),"")</f>
        <v/>
      </c>
      <c r="D18400" s="42"/>
      <c r="E18400" s="42"/>
      <c r="F18400" s="48" t="str">
        <f>IFERROR(__xludf.DUMMYFUNCTION("""COMPUTED_VALUE"""),"")</f>
        <v/>
      </c>
      <c r="G18400" s="42" t="str">
        <f>IFERROR(__xludf.DUMMYFUNCTION("""COMPUTED_VALUE"""),"")</f>
        <v/>
      </c>
      <c r="H18400" s="42">
        <f t="shared" si="1"/>
        <v>3345</v>
      </c>
    </row>
    <row r="18401" ht="22.5" customHeight="1">
      <c r="B18401" s="42" t="str">
        <f>IFERROR(__xludf.DUMMYFUNCTION("""COMPUTED_VALUE"""),"")</f>
        <v/>
      </c>
      <c r="C18401" s="42" t="str">
        <f>IFERROR(__xludf.DUMMYFUNCTION("""COMPUTED_VALUE"""),"")</f>
        <v/>
      </c>
      <c r="D18401" s="42"/>
      <c r="E18401" s="42"/>
      <c r="F18401" s="48" t="str">
        <f>IFERROR(__xludf.DUMMYFUNCTION("""COMPUTED_VALUE"""),"")</f>
        <v/>
      </c>
      <c r="G18401" s="42" t="str">
        <f>IFERROR(__xludf.DUMMYFUNCTION("""COMPUTED_VALUE"""),"")</f>
        <v/>
      </c>
      <c r="H18401" s="42">
        <f t="shared" si="1"/>
        <v>3345</v>
      </c>
    </row>
    <row r="18402" ht="22.5" customHeight="1">
      <c r="B18402" s="42" t="str">
        <f>IFERROR(__xludf.DUMMYFUNCTION("""COMPUTED_VALUE"""),"")</f>
        <v/>
      </c>
      <c r="C18402" s="42" t="str">
        <f>IFERROR(__xludf.DUMMYFUNCTION("""COMPUTED_VALUE"""),"")</f>
        <v/>
      </c>
      <c r="D18402" s="42"/>
      <c r="E18402" s="42"/>
      <c r="F18402" s="48" t="str">
        <f>IFERROR(__xludf.DUMMYFUNCTION("""COMPUTED_VALUE"""),"")</f>
        <v/>
      </c>
      <c r="G18402" s="42" t="str">
        <f>IFERROR(__xludf.DUMMYFUNCTION("""COMPUTED_VALUE"""),"")</f>
        <v/>
      </c>
      <c r="H18402" s="42">
        <f t="shared" si="1"/>
        <v>3345</v>
      </c>
    </row>
    <row r="18403" ht="22.5" customHeight="1">
      <c r="B18403" s="42" t="str">
        <f>IFERROR(__xludf.DUMMYFUNCTION("""COMPUTED_VALUE"""),"")</f>
        <v/>
      </c>
      <c r="C18403" s="42" t="str">
        <f>IFERROR(__xludf.DUMMYFUNCTION("""COMPUTED_VALUE"""),"")</f>
        <v/>
      </c>
      <c r="D18403" s="42"/>
      <c r="E18403" s="42"/>
      <c r="F18403" s="48" t="str">
        <f>IFERROR(__xludf.DUMMYFUNCTION("""COMPUTED_VALUE"""),"")</f>
        <v/>
      </c>
      <c r="G18403" s="42" t="str">
        <f>IFERROR(__xludf.DUMMYFUNCTION("""COMPUTED_VALUE"""),"")</f>
        <v/>
      </c>
      <c r="H18403" s="42">
        <f t="shared" si="1"/>
        <v>3345</v>
      </c>
    </row>
    <row r="18404" ht="22.5" customHeight="1">
      <c r="B18404" s="42" t="str">
        <f>IFERROR(__xludf.DUMMYFUNCTION("""COMPUTED_VALUE"""),"")</f>
        <v/>
      </c>
      <c r="C18404" s="42" t="str">
        <f>IFERROR(__xludf.DUMMYFUNCTION("""COMPUTED_VALUE"""),"")</f>
        <v/>
      </c>
      <c r="D18404" s="42"/>
      <c r="E18404" s="42"/>
      <c r="F18404" s="48" t="str">
        <f>IFERROR(__xludf.DUMMYFUNCTION("""COMPUTED_VALUE"""),"")</f>
        <v/>
      </c>
      <c r="G18404" s="42" t="str">
        <f>IFERROR(__xludf.DUMMYFUNCTION("""COMPUTED_VALUE"""),"")</f>
        <v/>
      </c>
      <c r="H18404" s="42">
        <f t="shared" si="1"/>
        <v>3345</v>
      </c>
    </row>
    <row r="18405" ht="22.5" customHeight="1">
      <c r="B18405" s="42" t="str">
        <f>IFERROR(__xludf.DUMMYFUNCTION("""COMPUTED_VALUE"""),"")</f>
        <v/>
      </c>
      <c r="C18405" s="42" t="str">
        <f>IFERROR(__xludf.DUMMYFUNCTION("""COMPUTED_VALUE"""),"")</f>
        <v/>
      </c>
      <c r="D18405" s="42"/>
      <c r="E18405" s="42"/>
      <c r="F18405" s="48" t="str">
        <f>IFERROR(__xludf.DUMMYFUNCTION("""COMPUTED_VALUE"""),"")</f>
        <v/>
      </c>
      <c r="G18405" s="42" t="str">
        <f>IFERROR(__xludf.DUMMYFUNCTION("""COMPUTED_VALUE"""),"")</f>
        <v/>
      </c>
      <c r="H18405" s="42">
        <f t="shared" si="1"/>
        <v>3345</v>
      </c>
    </row>
    <row r="18406" ht="22.5" customHeight="1">
      <c r="B18406" s="42" t="str">
        <f>IFERROR(__xludf.DUMMYFUNCTION("""COMPUTED_VALUE"""),"")</f>
        <v/>
      </c>
      <c r="C18406" s="42" t="str">
        <f>IFERROR(__xludf.DUMMYFUNCTION("""COMPUTED_VALUE"""),"")</f>
        <v/>
      </c>
      <c r="D18406" s="42"/>
      <c r="E18406" s="42"/>
      <c r="F18406" s="48" t="str">
        <f>IFERROR(__xludf.DUMMYFUNCTION("""COMPUTED_VALUE"""),"")</f>
        <v/>
      </c>
      <c r="G18406" s="42" t="str">
        <f>IFERROR(__xludf.DUMMYFUNCTION("""COMPUTED_VALUE"""),"")</f>
        <v/>
      </c>
      <c r="H18406" s="42">
        <f t="shared" si="1"/>
        <v>3345</v>
      </c>
    </row>
    <row r="18407" ht="22.5" customHeight="1">
      <c r="B18407" s="42" t="str">
        <f>IFERROR(__xludf.DUMMYFUNCTION("""COMPUTED_VALUE"""),"")</f>
        <v/>
      </c>
      <c r="C18407" s="42" t="str">
        <f>IFERROR(__xludf.DUMMYFUNCTION("""COMPUTED_VALUE"""),"")</f>
        <v/>
      </c>
      <c r="D18407" s="42"/>
      <c r="E18407" s="42"/>
      <c r="F18407" s="48" t="str">
        <f>IFERROR(__xludf.DUMMYFUNCTION("""COMPUTED_VALUE"""),"")</f>
        <v/>
      </c>
      <c r="G18407" s="42" t="str">
        <f>IFERROR(__xludf.DUMMYFUNCTION("""COMPUTED_VALUE"""),"")</f>
        <v/>
      </c>
      <c r="H18407" s="42">
        <f t="shared" si="1"/>
        <v>3345</v>
      </c>
    </row>
    <row r="18408" ht="22.5" customHeight="1">
      <c r="B18408" s="42" t="str">
        <f>IFERROR(__xludf.DUMMYFUNCTION("""COMPUTED_VALUE"""),"")</f>
        <v/>
      </c>
      <c r="C18408" s="42" t="str">
        <f>IFERROR(__xludf.DUMMYFUNCTION("""COMPUTED_VALUE"""),"")</f>
        <v/>
      </c>
      <c r="D18408" s="42"/>
      <c r="E18408" s="42"/>
      <c r="F18408" s="48" t="str">
        <f>IFERROR(__xludf.DUMMYFUNCTION("""COMPUTED_VALUE"""),"")</f>
        <v/>
      </c>
      <c r="G18408" s="42" t="str">
        <f>IFERROR(__xludf.DUMMYFUNCTION("""COMPUTED_VALUE"""),"")</f>
        <v/>
      </c>
      <c r="H18408" s="42">
        <f t="shared" si="1"/>
        <v>3345</v>
      </c>
    </row>
    <row r="18409" ht="22.5" customHeight="1">
      <c r="B18409" s="42" t="str">
        <f>IFERROR(__xludf.DUMMYFUNCTION("""COMPUTED_VALUE"""),"")</f>
        <v/>
      </c>
      <c r="C18409" s="42" t="str">
        <f>IFERROR(__xludf.DUMMYFUNCTION("""COMPUTED_VALUE"""),"")</f>
        <v/>
      </c>
      <c r="D18409" s="42"/>
      <c r="E18409" s="42"/>
      <c r="F18409" s="48" t="str">
        <f>IFERROR(__xludf.DUMMYFUNCTION("""COMPUTED_VALUE"""),"")</f>
        <v/>
      </c>
      <c r="G18409" s="42" t="str">
        <f>IFERROR(__xludf.DUMMYFUNCTION("""COMPUTED_VALUE"""),"")</f>
        <v/>
      </c>
      <c r="H18409" s="42">
        <f t="shared" si="1"/>
        <v>3345</v>
      </c>
    </row>
    <row r="18410" ht="22.5" customHeight="1">
      <c r="B18410" s="42" t="str">
        <f>IFERROR(__xludf.DUMMYFUNCTION("""COMPUTED_VALUE"""),"")</f>
        <v/>
      </c>
      <c r="C18410" s="42" t="str">
        <f>IFERROR(__xludf.DUMMYFUNCTION("""COMPUTED_VALUE"""),"")</f>
        <v/>
      </c>
      <c r="D18410" s="42"/>
      <c r="E18410" s="42"/>
      <c r="F18410" s="48" t="str">
        <f>IFERROR(__xludf.DUMMYFUNCTION("""COMPUTED_VALUE"""),"")</f>
        <v/>
      </c>
      <c r="G18410" s="42" t="str">
        <f>IFERROR(__xludf.DUMMYFUNCTION("""COMPUTED_VALUE"""),"")</f>
        <v/>
      </c>
      <c r="H18410" s="42">
        <f t="shared" si="1"/>
        <v>3345</v>
      </c>
    </row>
    <row r="18411" ht="22.5" customHeight="1">
      <c r="B18411" s="42" t="str">
        <f>IFERROR(__xludf.DUMMYFUNCTION("""COMPUTED_VALUE"""),"")</f>
        <v/>
      </c>
      <c r="C18411" s="42" t="str">
        <f>IFERROR(__xludf.DUMMYFUNCTION("""COMPUTED_VALUE"""),"")</f>
        <v/>
      </c>
      <c r="D18411" s="42"/>
      <c r="E18411" s="42"/>
      <c r="F18411" s="48" t="str">
        <f>IFERROR(__xludf.DUMMYFUNCTION("""COMPUTED_VALUE"""),"")</f>
        <v/>
      </c>
      <c r="G18411" s="42" t="str">
        <f>IFERROR(__xludf.DUMMYFUNCTION("""COMPUTED_VALUE"""),"")</f>
        <v/>
      </c>
      <c r="H18411" s="42">
        <f t="shared" si="1"/>
        <v>3345</v>
      </c>
    </row>
    <row r="18412" ht="22.5" customHeight="1">
      <c r="B18412" s="42" t="str">
        <f>IFERROR(__xludf.DUMMYFUNCTION("""COMPUTED_VALUE"""),"")</f>
        <v/>
      </c>
      <c r="C18412" s="42" t="str">
        <f>IFERROR(__xludf.DUMMYFUNCTION("""COMPUTED_VALUE"""),"")</f>
        <v/>
      </c>
      <c r="D18412" s="42"/>
      <c r="E18412" s="42"/>
      <c r="F18412" s="48" t="str">
        <f>IFERROR(__xludf.DUMMYFUNCTION("""COMPUTED_VALUE"""),"")</f>
        <v/>
      </c>
      <c r="G18412" s="42" t="str">
        <f>IFERROR(__xludf.DUMMYFUNCTION("""COMPUTED_VALUE"""),"")</f>
        <v/>
      </c>
      <c r="H18412" s="42">
        <f t="shared" si="1"/>
        <v>3345</v>
      </c>
    </row>
    <row r="18413" ht="22.5" customHeight="1">
      <c r="B18413" s="42" t="str">
        <f>IFERROR(__xludf.DUMMYFUNCTION("""COMPUTED_VALUE"""),"")</f>
        <v/>
      </c>
      <c r="C18413" s="42" t="str">
        <f>IFERROR(__xludf.DUMMYFUNCTION("""COMPUTED_VALUE"""),"")</f>
        <v/>
      </c>
      <c r="D18413" s="42"/>
      <c r="E18413" s="42"/>
      <c r="F18413" s="48" t="str">
        <f>IFERROR(__xludf.DUMMYFUNCTION("""COMPUTED_VALUE"""),"")</f>
        <v/>
      </c>
      <c r="G18413" s="42" t="str">
        <f>IFERROR(__xludf.DUMMYFUNCTION("""COMPUTED_VALUE"""),"")</f>
        <v/>
      </c>
      <c r="H18413" s="42">
        <f t="shared" si="1"/>
        <v>3345</v>
      </c>
    </row>
    <row r="18414" ht="22.5" customHeight="1">
      <c r="B18414" s="42" t="str">
        <f>IFERROR(__xludf.DUMMYFUNCTION("""COMPUTED_VALUE"""),"")</f>
        <v/>
      </c>
      <c r="C18414" s="42" t="str">
        <f>IFERROR(__xludf.DUMMYFUNCTION("""COMPUTED_VALUE"""),"")</f>
        <v/>
      </c>
      <c r="D18414" s="42"/>
      <c r="E18414" s="42"/>
      <c r="F18414" s="48" t="str">
        <f>IFERROR(__xludf.DUMMYFUNCTION("""COMPUTED_VALUE"""),"")</f>
        <v/>
      </c>
      <c r="G18414" s="42" t="str">
        <f>IFERROR(__xludf.DUMMYFUNCTION("""COMPUTED_VALUE"""),"")</f>
        <v/>
      </c>
      <c r="H18414" s="42">
        <f t="shared" si="1"/>
        <v>3345</v>
      </c>
    </row>
    <row r="18415" ht="22.5" customHeight="1">
      <c r="B18415" s="42" t="str">
        <f>IFERROR(__xludf.DUMMYFUNCTION("""COMPUTED_VALUE"""),"")</f>
        <v/>
      </c>
      <c r="C18415" s="42" t="str">
        <f>IFERROR(__xludf.DUMMYFUNCTION("""COMPUTED_VALUE"""),"")</f>
        <v/>
      </c>
      <c r="D18415" s="42"/>
      <c r="E18415" s="42"/>
      <c r="F18415" s="48" t="str">
        <f>IFERROR(__xludf.DUMMYFUNCTION("""COMPUTED_VALUE"""),"")</f>
        <v/>
      </c>
      <c r="G18415" s="42" t="str">
        <f>IFERROR(__xludf.DUMMYFUNCTION("""COMPUTED_VALUE"""),"")</f>
        <v/>
      </c>
      <c r="H18415" s="42">
        <f t="shared" si="1"/>
        <v>3345</v>
      </c>
    </row>
    <row r="18416" ht="22.5" customHeight="1">
      <c r="B18416" s="42" t="str">
        <f>IFERROR(__xludf.DUMMYFUNCTION("""COMPUTED_VALUE"""),"")</f>
        <v/>
      </c>
      <c r="C18416" s="42" t="str">
        <f>IFERROR(__xludf.DUMMYFUNCTION("""COMPUTED_VALUE"""),"")</f>
        <v/>
      </c>
      <c r="D18416" s="42"/>
      <c r="E18416" s="42"/>
      <c r="F18416" s="48" t="str">
        <f>IFERROR(__xludf.DUMMYFUNCTION("""COMPUTED_VALUE"""),"")</f>
        <v/>
      </c>
      <c r="G18416" s="42" t="str">
        <f>IFERROR(__xludf.DUMMYFUNCTION("""COMPUTED_VALUE"""),"")</f>
        <v/>
      </c>
      <c r="H18416" s="42">
        <f t="shared" si="1"/>
        <v>3345</v>
      </c>
    </row>
    <row r="18417" ht="22.5" customHeight="1">
      <c r="B18417" s="42" t="str">
        <f>IFERROR(__xludf.DUMMYFUNCTION("""COMPUTED_VALUE"""),"")</f>
        <v/>
      </c>
      <c r="C18417" s="42" t="str">
        <f>IFERROR(__xludf.DUMMYFUNCTION("""COMPUTED_VALUE"""),"")</f>
        <v/>
      </c>
      <c r="D18417" s="42"/>
      <c r="E18417" s="42"/>
      <c r="F18417" s="48" t="str">
        <f>IFERROR(__xludf.DUMMYFUNCTION("""COMPUTED_VALUE"""),"")</f>
        <v/>
      </c>
      <c r="G18417" s="42" t="str">
        <f>IFERROR(__xludf.DUMMYFUNCTION("""COMPUTED_VALUE"""),"")</f>
        <v/>
      </c>
      <c r="H18417" s="42">
        <f t="shared" si="1"/>
        <v>3345</v>
      </c>
    </row>
    <row r="18418" ht="22.5" customHeight="1">
      <c r="B18418" s="42" t="str">
        <f>IFERROR(__xludf.DUMMYFUNCTION("""COMPUTED_VALUE"""),"")</f>
        <v/>
      </c>
      <c r="C18418" s="42" t="str">
        <f>IFERROR(__xludf.DUMMYFUNCTION("""COMPUTED_VALUE"""),"")</f>
        <v/>
      </c>
      <c r="D18418" s="42"/>
      <c r="E18418" s="42"/>
      <c r="F18418" s="48" t="str">
        <f>IFERROR(__xludf.DUMMYFUNCTION("""COMPUTED_VALUE"""),"")</f>
        <v/>
      </c>
      <c r="G18418" s="42" t="str">
        <f>IFERROR(__xludf.DUMMYFUNCTION("""COMPUTED_VALUE"""),"")</f>
        <v/>
      </c>
      <c r="H18418" s="42">
        <f t="shared" si="1"/>
        <v>3345</v>
      </c>
    </row>
    <row r="18419" ht="22.5" customHeight="1">
      <c r="B18419" s="42" t="str">
        <f>IFERROR(__xludf.DUMMYFUNCTION("""COMPUTED_VALUE"""),"")</f>
        <v/>
      </c>
      <c r="C18419" s="42" t="str">
        <f>IFERROR(__xludf.DUMMYFUNCTION("""COMPUTED_VALUE"""),"")</f>
        <v/>
      </c>
      <c r="D18419" s="42"/>
      <c r="E18419" s="42"/>
      <c r="F18419" s="48" t="str">
        <f>IFERROR(__xludf.DUMMYFUNCTION("""COMPUTED_VALUE"""),"")</f>
        <v/>
      </c>
      <c r="G18419" s="42" t="str">
        <f>IFERROR(__xludf.DUMMYFUNCTION("""COMPUTED_VALUE"""),"")</f>
        <v/>
      </c>
      <c r="H18419" s="42">
        <f t="shared" si="1"/>
        <v>3345</v>
      </c>
    </row>
    <row r="18420" ht="22.5" customHeight="1">
      <c r="B18420" s="42" t="str">
        <f>IFERROR(__xludf.DUMMYFUNCTION("""COMPUTED_VALUE"""),"")</f>
        <v/>
      </c>
      <c r="C18420" s="42" t="str">
        <f>IFERROR(__xludf.DUMMYFUNCTION("""COMPUTED_VALUE"""),"")</f>
        <v/>
      </c>
      <c r="D18420" s="42"/>
      <c r="E18420" s="42"/>
      <c r="F18420" s="48" t="str">
        <f>IFERROR(__xludf.DUMMYFUNCTION("""COMPUTED_VALUE"""),"")</f>
        <v/>
      </c>
      <c r="G18420" s="42" t="str">
        <f>IFERROR(__xludf.DUMMYFUNCTION("""COMPUTED_VALUE"""),"")</f>
        <v/>
      </c>
      <c r="H18420" s="42">
        <f t="shared" si="1"/>
        <v>3345</v>
      </c>
    </row>
    <row r="18421" ht="22.5" customHeight="1">
      <c r="B18421" s="42" t="str">
        <f>IFERROR(__xludf.DUMMYFUNCTION("""COMPUTED_VALUE"""),"")</f>
        <v/>
      </c>
      <c r="C18421" s="42" t="str">
        <f>IFERROR(__xludf.DUMMYFUNCTION("""COMPUTED_VALUE"""),"")</f>
        <v/>
      </c>
      <c r="D18421" s="42"/>
      <c r="E18421" s="42"/>
      <c r="F18421" s="48" t="str">
        <f>IFERROR(__xludf.DUMMYFUNCTION("""COMPUTED_VALUE"""),"")</f>
        <v/>
      </c>
      <c r="G18421" s="42" t="str">
        <f>IFERROR(__xludf.DUMMYFUNCTION("""COMPUTED_VALUE"""),"")</f>
        <v/>
      </c>
      <c r="H18421" s="42">
        <f t="shared" si="1"/>
        <v>3345</v>
      </c>
    </row>
    <row r="18422" ht="22.5" customHeight="1">
      <c r="B18422" s="42" t="str">
        <f>IFERROR(__xludf.DUMMYFUNCTION("""COMPUTED_VALUE"""),"")</f>
        <v/>
      </c>
      <c r="C18422" s="42" t="str">
        <f>IFERROR(__xludf.DUMMYFUNCTION("""COMPUTED_VALUE"""),"")</f>
        <v/>
      </c>
      <c r="D18422" s="42"/>
      <c r="E18422" s="42"/>
      <c r="F18422" s="48" t="str">
        <f>IFERROR(__xludf.DUMMYFUNCTION("""COMPUTED_VALUE"""),"")</f>
        <v/>
      </c>
      <c r="G18422" s="42" t="str">
        <f>IFERROR(__xludf.DUMMYFUNCTION("""COMPUTED_VALUE"""),"")</f>
        <v/>
      </c>
      <c r="H18422" s="42">
        <f t="shared" si="1"/>
        <v>3345</v>
      </c>
    </row>
    <row r="18423" ht="22.5" customHeight="1">
      <c r="B18423" s="42" t="str">
        <f>IFERROR(__xludf.DUMMYFUNCTION("""COMPUTED_VALUE"""),"")</f>
        <v/>
      </c>
      <c r="C18423" s="42" t="str">
        <f>IFERROR(__xludf.DUMMYFUNCTION("""COMPUTED_VALUE"""),"")</f>
        <v/>
      </c>
      <c r="D18423" s="42"/>
      <c r="E18423" s="42"/>
      <c r="F18423" s="48" t="str">
        <f>IFERROR(__xludf.DUMMYFUNCTION("""COMPUTED_VALUE"""),"")</f>
        <v/>
      </c>
      <c r="G18423" s="42" t="str">
        <f>IFERROR(__xludf.DUMMYFUNCTION("""COMPUTED_VALUE"""),"")</f>
        <v/>
      </c>
      <c r="H18423" s="42">
        <f t="shared" si="1"/>
        <v>3345</v>
      </c>
    </row>
    <row r="18424" ht="22.5" customHeight="1">
      <c r="B18424" s="42" t="str">
        <f>IFERROR(__xludf.DUMMYFUNCTION("""COMPUTED_VALUE"""),"")</f>
        <v/>
      </c>
      <c r="C18424" s="42" t="str">
        <f>IFERROR(__xludf.DUMMYFUNCTION("""COMPUTED_VALUE"""),"")</f>
        <v/>
      </c>
      <c r="D18424" s="42"/>
      <c r="E18424" s="42"/>
      <c r="F18424" s="48" t="str">
        <f>IFERROR(__xludf.DUMMYFUNCTION("""COMPUTED_VALUE"""),"")</f>
        <v/>
      </c>
      <c r="G18424" s="42" t="str">
        <f>IFERROR(__xludf.DUMMYFUNCTION("""COMPUTED_VALUE"""),"")</f>
        <v/>
      </c>
      <c r="H18424" s="42">
        <f t="shared" si="1"/>
        <v>3345</v>
      </c>
    </row>
    <row r="18425" ht="22.5" customHeight="1">
      <c r="B18425" s="42" t="str">
        <f>IFERROR(__xludf.DUMMYFUNCTION("""COMPUTED_VALUE"""),"")</f>
        <v/>
      </c>
      <c r="C18425" s="42" t="str">
        <f>IFERROR(__xludf.DUMMYFUNCTION("""COMPUTED_VALUE"""),"")</f>
        <v/>
      </c>
      <c r="D18425" s="42"/>
      <c r="E18425" s="42"/>
      <c r="F18425" s="48" t="str">
        <f>IFERROR(__xludf.DUMMYFUNCTION("""COMPUTED_VALUE"""),"")</f>
        <v/>
      </c>
      <c r="G18425" s="42" t="str">
        <f>IFERROR(__xludf.DUMMYFUNCTION("""COMPUTED_VALUE"""),"")</f>
        <v/>
      </c>
      <c r="H18425" s="42">
        <f t="shared" si="1"/>
        <v>3345</v>
      </c>
    </row>
    <row r="18426" ht="22.5" customHeight="1">
      <c r="B18426" s="42" t="str">
        <f>IFERROR(__xludf.DUMMYFUNCTION("""COMPUTED_VALUE"""),"")</f>
        <v/>
      </c>
      <c r="C18426" s="42" t="str">
        <f>IFERROR(__xludf.DUMMYFUNCTION("""COMPUTED_VALUE"""),"")</f>
        <v/>
      </c>
      <c r="D18426" s="42"/>
      <c r="E18426" s="42"/>
      <c r="F18426" s="48" t="str">
        <f>IFERROR(__xludf.DUMMYFUNCTION("""COMPUTED_VALUE"""),"")</f>
        <v/>
      </c>
      <c r="G18426" s="42" t="str">
        <f>IFERROR(__xludf.DUMMYFUNCTION("""COMPUTED_VALUE"""),"")</f>
        <v/>
      </c>
      <c r="H18426" s="42">
        <f t="shared" si="1"/>
        <v>3345</v>
      </c>
    </row>
    <row r="18427" ht="22.5" customHeight="1">
      <c r="B18427" s="42" t="str">
        <f>IFERROR(__xludf.DUMMYFUNCTION("""COMPUTED_VALUE"""),"")</f>
        <v/>
      </c>
      <c r="C18427" s="42" t="str">
        <f>IFERROR(__xludf.DUMMYFUNCTION("""COMPUTED_VALUE"""),"")</f>
        <v/>
      </c>
      <c r="D18427" s="42"/>
      <c r="E18427" s="42"/>
      <c r="F18427" s="48" t="str">
        <f>IFERROR(__xludf.DUMMYFUNCTION("""COMPUTED_VALUE"""),"")</f>
        <v/>
      </c>
      <c r="G18427" s="42" t="str">
        <f>IFERROR(__xludf.DUMMYFUNCTION("""COMPUTED_VALUE"""),"")</f>
        <v/>
      </c>
      <c r="H18427" s="42">
        <f t="shared" si="1"/>
        <v>3345</v>
      </c>
    </row>
    <row r="18428" ht="22.5" customHeight="1">
      <c r="B18428" s="42" t="str">
        <f>IFERROR(__xludf.DUMMYFUNCTION("""COMPUTED_VALUE"""),"")</f>
        <v/>
      </c>
      <c r="C18428" s="42" t="str">
        <f>IFERROR(__xludf.DUMMYFUNCTION("""COMPUTED_VALUE"""),"")</f>
        <v/>
      </c>
      <c r="D18428" s="42"/>
      <c r="E18428" s="42"/>
      <c r="F18428" s="48" t="str">
        <f>IFERROR(__xludf.DUMMYFUNCTION("""COMPUTED_VALUE"""),"")</f>
        <v/>
      </c>
      <c r="G18428" s="42" t="str">
        <f>IFERROR(__xludf.DUMMYFUNCTION("""COMPUTED_VALUE"""),"")</f>
        <v/>
      </c>
      <c r="H18428" s="42">
        <f t="shared" si="1"/>
        <v>3345</v>
      </c>
    </row>
    <row r="18429" ht="22.5" customHeight="1">
      <c r="B18429" s="42" t="str">
        <f>IFERROR(__xludf.DUMMYFUNCTION("""COMPUTED_VALUE"""),"")</f>
        <v/>
      </c>
      <c r="C18429" s="42" t="str">
        <f>IFERROR(__xludf.DUMMYFUNCTION("""COMPUTED_VALUE"""),"")</f>
        <v/>
      </c>
      <c r="D18429" s="42"/>
      <c r="E18429" s="42"/>
      <c r="F18429" s="48" t="str">
        <f>IFERROR(__xludf.DUMMYFUNCTION("""COMPUTED_VALUE"""),"")</f>
        <v/>
      </c>
      <c r="G18429" s="42" t="str">
        <f>IFERROR(__xludf.DUMMYFUNCTION("""COMPUTED_VALUE"""),"")</f>
        <v/>
      </c>
      <c r="H18429" s="42">
        <f t="shared" si="1"/>
        <v>3345</v>
      </c>
    </row>
    <row r="18430" ht="22.5" customHeight="1">
      <c r="B18430" s="42" t="str">
        <f>IFERROR(__xludf.DUMMYFUNCTION("""COMPUTED_VALUE"""),"")</f>
        <v/>
      </c>
      <c r="C18430" s="42" t="str">
        <f>IFERROR(__xludf.DUMMYFUNCTION("""COMPUTED_VALUE"""),"")</f>
        <v/>
      </c>
      <c r="D18430" s="42"/>
      <c r="E18430" s="42"/>
      <c r="F18430" s="48" t="str">
        <f>IFERROR(__xludf.DUMMYFUNCTION("""COMPUTED_VALUE"""),"")</f>
        <v/>
      </c>
      <c r="G18430" s="42" t="str">
        <f>IFERROR(__xludf.DUMMYFUNCTION("""COMPUTED_VALUE"""),"")</f>
        <v/>
      </c>
      <c r="H18430" s="42">
        <f t="shared" si="1"/>
        <v>3345</v>
      </c>
    </row>
    <row r="18431" ht="22.5" customHeight="1">
      <c r="B18431" s="42" t="str">
        <f>IFERROR(__xludf.DUMMYFUNCTION("""COMPUTED_VALUE"""),"")</f>
        <v/>
      </c>
      <c r="C18431" s="42" t="str">
        <f>IFERROR(__xludf.DUMMYFUNCTION("""COMPUTED_VALUE"""),"")</f>
        <v/>
      </c>
      <c r="D18431" s="42"/>
      <c r="E18431" s="42"/>
      <c r="F18431" s="48" t="str">
        <f>IFERROR(__xludf.DUMMYFUNCTION("""COMPUTED_VALUE"""),"")</f>
        <v/>
      </c>
      <c r="G18431" s="42" t="str">
        <f>IFERROR(__xludf.DUMMYFUNCTION("""COMPUTED_VALUE"""),"")</f>
        <v/>
      </c>
      <c r="H18431" s="42">
        <f t="shared" si="1"/>
        <v>3345</v>
      </c>
    </row>
    <row r="18432" ht="22.5" customHeight="1">
      <c r="B18432" s="42" t="str">
        <f>IFERROR(__xludf.DUMMYFUNCTION("""COMPUTED_VALUE"""),"")</f>
        <v/>
      </c>
      <c r="C18432" s="42" t="str">
        <f>IFERROR(__xludf.DUMMYFUNCTION("""COMPUTED_VALUE"""),"")</f>
        <v/>
      </c>
      <c r="D18432" s="42"/>
      <c r="E18432" s="42"/>
      <c r="F18432" s="48" t="str">
        <f>IFERROR(__xludf.DUMMYFUNCTION("""COMPUTED_VALUE"""),"")</f>
        <v/>
      </c>
      <c r="G18432" s="42" t="str">
        <f>IFERROR(__xludf.DUMMYFUNCTION("""COMPUTED_VALUE"""),"")</f>
        <v/>
      </c>
      <c r="H18432" s="42">
        <f t="shared" si="1"/>
        <v>3345</v>
      </c>
    </row>
    <row r="18433" ht="22.5" customHeight="1">
      <c r="B18433" s="42" t="str">
        <f>IFERROR(__xludf.DUMMYFUNCTION("""COMPUTED_VALUE"""),"")</f>
        <v/>
      </c>
      <c r="C18433" s="42" t="str">
        <f>IFERROR(__xludf.DUMMYFUNCTION("""COMPUTED_VALUE"""),"")</f>
        <v/>
      </c>
      <c r="D18433" s="42"/>
      <c r="E18433" s="42"/>
      <c r="F18433" s="48" t="str">
        <f>IFERROR(__xludf.DUMMYFUNCTION("""COMPUTED_VALUE"""),"")</f>
        <v/>
      </c>
      <c r="G18433" s="42" t="str">
        <f>IFERROR(__xludf.DUMMYFUNCTION("""COMPUTED_VALUE"""),"")</f>
        <v/>
      </c>
      <c r="H18433" s="42">
        <f t="shared" si="1"/>
        <v>3345</v>
      </c>
    </row>
    <row r="18434" ht="22.5" customHeight="1">
      <c r="B18434" s="42" t="str">
        <f>IFERROR(__xludf.DUMMYFUNCTION("""COMPUTED_VALUE"""),"")</f>
        <v/>
      </c>
      <c r="C18434" s="42" t="str">
        <f>IFERROR(__xludf.DUMMYFUNCTION("""COMPUTED_VALUE"""),"")</f>
        <v/>
      </c>
      <c r="D18434" s="42"/>
      <c r="E18434" s="42"/>
      <c r="F18434" s="48" t="str">
        <f>IFERROR(__xludf.DUMMYFUNCTION("""COMPUTED_VALUE"""),"")</f>
        <v/>
      </c>
      <c r="G18434" s="42" t="str">
        <f>IFERROR(__xludf.DUMMYFUNCTION("""COMPUTED_VALUE"""),"")</f>
        <v/>
      </c>
      <c r="H18434" s="42">
        <f t="shared" si="1"/>
        <v>3345</v>
      </c>
    </row>
    <row r="18435" ht="22.5" customHeight="1">
      <c r="B18435" s="42" t="str">
        <f>IFERROR(__xludf.DUMMYFUNCTION("""COMPUTED_VALUE"""),"")</f>
        <v/>
      </c>
      <c r="C18435" s="42" t="str">
        <f>IFERROR(__xludf.DUMMYFUNCTION("""COMPUTED_VALUE"""),"")</f>
        <v/>
      </c>
      <c r="D18435" s="42"/>
      <c r="E18435" s="42"/>
      <c r="F18435" s="48" t="str">
        <f>IFERROR(__xludf.DUMMYFUNCTION("""COMPUTED_VALUE"""),"")</f>
        <v/>
      </c>
      <c r="G18435" s="42" t="str">
        <f>IFERROR(__xludf.DUMMYFUNCTION("""COMPUTED_VALUE"""),"")</f>
        <v/>
      </c>
      <c r="H18435" s="42">
        <f t="shared" si="1"/>
        <v>3345</v>
      </c>
    </row>
    <row r="18436" ht="22.5" customHeight="1">
      <c r="B18436" s="42" t="str">
        <f>IFERROR(__xludf.DUMMYFUNCTION("""COMPUTED_VALUE"""),"")</f>
        <v/>
      </c>
      <c r="C18436" s="42" t="str">
        <f>IFERROR(__xludf.DUMMYFUNCTION("""COMPUTED_VALUE"""),"")</f>
        <v/>
      </c>
      <c r="D18436" s="42"/>
      <c r="E18436" s="42"/>
      <c r="F18436" s="48" t="str">
        <f>IFERROR(__xludf.DUMMYFUNCTION("""COMPUTED_VALUE"""),"")</f>
        <v/>
      </c>
      <c r="G18436" s="42" t="str">
        <f>IFERROR(__xludf.DUMMYFUNCTION("""COMPUTED_VALUE"""),"")</f>
        <v/>
      </c>
      <c r="H18436" s="42">
        <f t="shared" si="1"/>
        <v>3345</v>
      </c>
    </row>
    <row r="18437" ht="22.5" customHeight="1">
      <c r="B18437" s="42" t="str">
        <f>IFERROR(__xludf.DUMMYFUNCTION("""COMPUTED_VALUE"""),"")</f>
        <v/>
      </c>
      <c r="C18437" s="42" t="str">
        <f>IFERROR(__xludf.DUMMYFUNCTION("""COMPUTED_VALUE"""),"")</f>
        <v/>
      </c>
      <c r="D18437" s="42"/>
      <c r="E18437" s="42"/>
      <c r="F18437" s="48" t="str">
        <f>IFERROR(__xludf.DUMMYFUNCTION("""COMPUTED_VALUE"""),"")</f>
        <v/>
      </c>
      <c r="G18437" s="42" t="str">
        <f>IFERROR(__xludf.DUMMYFUNCTION("""COMPUTED_VALUE"""),"")</f>
        <v/>
      </c>
      <c r="H18437" s="42">
        <f t="shared" si="1"/>
        <v>3345</v>
      </c>
    </row>
    <row r="18438" ht="22.5" customHeight="1">
      <c r="B18438" s="42" t="str">
        <f>IFERROR(__xludf.DUMMYFUNCTION("""COMPUTED_VALUE"""),"")</f>
        <v/>
      </c>
      <c r="C18438" s="42" t="str">
        <f>IFERROR(__xludf.DUMMYFUNCTION("""COMPUTED_VALUE"""),"")</f>
        <v/>
      </c>
      <c r="D18438" s="42"/>
      <c r="E18438" s="42"/>
      <c r="F18438" s="48" t="str">
        <f>IFERROR(__xludf.DUMMYFUNCTION("""COMPUTED_VALUE"""),"")</f>
        <v/>
      </c>
      <c r="G18438" s="42" t="str">
        <f>IFERROR(__xludf.DUMMYFUNCTION("""COMPUTED_VALUE"""),"")</f>
        <v/>
      </c>
      <c r="H18438" s="42">
        <f t="shared" si="1"/>
        <v>3345</v>
      </c>
    </row>
    <row r="18439" ht="22.5" customHeight="1">
      <c r="B18439" s="42" t="str">
        <f>IFERROR(__xludf.DUMMYFUNCTION("""COMPUTED_VALUE"""),"")</f>
        <v/>
      </c>
      <c r="C18439" s="42" t="str">
        <f>IFERROR(__xludf.DUMMYFUNCTION("""COMPUTED_VALUE"""),"")</f>
        <v/>
      </c>
      <c r="D18439" s="42"/>
      <c r="E18439" s="42"/>
      <c r="F18439" s="48" t="str">
        <f>IFERROR(__xludf.DUMMYFUNCTION("""COMPUTED_VALUE"""),"")</f>
        <v/>
      </c>
      <c r="G18439" s="42" t="str">
        <f>IFERROR(__xludf.DUMMYFUNCTION("""COMPUTED_VALUE"""),"")</f>
        <v/>
      </c>
      <c r="H18439" s="42">
        <f t="shared" si="1"/>
        <v>3345</v>
      </c>
    </row>
    <row r="18440" ht="22.5" customHeight="1">
      <c r="B18440" s="42" t="str">
        <f>IFERROR(__xludf.DUMMYFUNCTION("""COMPUTED_VALUE"""),"")</f>
        <v/>
      </c>
      <c r="C18440" s="42" t="str">
        <f>IFERROR(__xludf.DUMMYFUNCTION("""COMPUTED_VALUE"""),"")</f>
        <v/>
      </c>
      <c r="D18440" s="42"/>
      <c r="E18440" s="42"/>
      <c r="F18440" s="48" t="str">
        <f>IFERROR(__xludf.DUMMYFUNCTION("""COMPUTED_VALUE"""),"")</f>
        <v/>
      </c>
      <c r="G18440" s="42" t="str">
        <f>IFERROR(__xludf.DUMMYFUNCTION("""COMPUTED_VALUE"""),"")</f>
        <v/>
      </c>
      <c r="H18440" s="42">
        <f t="shared" si="1"/>
        <v>3345</v>
      </c>
    </row>
    <row r="18441" ht="22.5" customHeight="1">
      <c r="B18441" s="42" t="str">
        <f>IFERROR(__xludf.DUMMYFUNCTION("""COMPUTED_VALUE"""),"")</f>
        <v/>
      </c>
      <c r="C18441" s="42" t="str">
        <f>IFERROR(__xludf.DUMMYFUNCTION("""COMPUTED_VALUE"""),"")</f>
        <v/>
      </c>
      <c r="D18441" s="42"/>
      <c r="E18441" s="42"/>
      <c r="F18441" s="48" t="str">
        <f>IFERROR(__xludf.DUMMYFUNCTION("""COMPUTED_VALUE"""),"")</f>
        <v/>
      </c>
      <c r="G18441" s="42" t="str">
        <f>IFERROR(__xludf.DUMMYFUNCTION("""COMPUTED_VALUE"""),"")</f>
        <v/>
      </c>
      <c r="H18441" s="42">
        <f t="shared" si="1"/>
        <v>3345</v>
      </c>
    </row>
    <row r="18442" ht="22.5" customHeight="1">
      <c r="B18442" s="42" t="str">
        <f>IFERROR(__xludf.DUMMYFUNCTION("""COMPUTED_VALUE"""),"")</f>
        <v/>
      </c>
      <c r="C18442" s="42" t="str">
        <f>IFERROR(__xludf.DUMMYFUNCTION("""COMPUTED_VALUE"""),"")</f>
        <v/>
      </c>
      <c r="D18442" s="42"/>
      <c r="E18442" s="42"/>
      <c r="F18442" s="48" t="str">
        <f>IFERROR(__xludf.DUMMYFUNCTION("""COMPUTED_VALUE"""),"")</f>
        <v/>
      </c>
      <c r="G18442" s="42" t="str">
        <f>IFERROR(__xludf.DUMMYFUNCTION("""COMPUTED_VALUE"""),"")</f>
        <v/>
      </c>
      <c r="H18442" s="42">
        <f t="shared" si="1"/>
        <v>3345</v>
      </c>
    </row>
    <row r="18443" ht="22.5" customHeight="1">
      <c r="B18443" s="42" t="str">
        <f>IFERROR(__xludf.DUMMYFUNCTION("""COMPUTED_VALUE"""),"")</f>
        <v/>
      </c>
      <c r="C18443" s="42" t="str">
        <f>IFERROR(__xludf.DUMMYFUNCTION("""COMPUTED_VALUE"""),"")</f>
        <v/>
      </c>
      <c r="D18443" s="42"/>
      <c r="E18443" s="42"/>
      <c r="F18443" s="48" t="str">
        <f>IFERROR(__xludf.DUMMYFUNCTION("""COMPUTED_VALUE"""),"")</f>
        <v/>
      </c>
      <c r="G18443" s="42" t="str">
        <f>IFERROR(__xludf.DUMMYFUNCTION("""COMPUTED_VALUE"""),"")</f>
        <v/>
      </c>
      <c r="H18443" s="42">
        <f t="shared" si="1"/>
        <v>3345</v>
      </c>
    </row>
    <row r="18444" ht="22.5" customHeight="1">
      <c r="B18444" s="42" t="str">
        <f>IFERROR(__xludf.DUMMYFUNCTION("""COMPUTED_VALUE"""),"")</f>
        <v/>
      </c>
      <c r="C18444" s="42" t="str">
        <f>IFERROR(__xludf.DUMMYFUNCTION("""COMPUTED_VALUE"""),"")</f>
        <v/>
      </c>
      <c r="D18444" s="42"/>
      <c r="E18444" s="42"/>
      <c r="F18444" s="48" t="str">
        <f>IFERROR(__xludf.DUMMYFUNCTION("""COMPUTED_VALUE"""),"")</f>
        <v/>
      </c>
      <c r="G18444" s="42" t="str">
        <f>IFERROR(__xludf.DUMMYFUNCTION("""COMPUTED_VALUE"""),"")</f>
        <v/>
      </c>
      <c r="H18444" s="42">
        <f t="shared" si="1"/>
        <v>3345</v>
      </c>
    </row>
    <row r="18445" ht="22.5" customHeight="1">
      <c r="B18445" s="42" t="str">
        <f>IFERROR(__xludf.DUMMYFUNCTION("""COMPUTED_VALUE"""),"")</f>
        <v/>
      </c>
      <c r="C18445" s="42" t="str">
        <f>IFERROR(__xludf.DUMMYFUNCTION("""COMPUTED_VALUE"""),"")</f>
        <v/>
      </c>
      <c r="D18445" s="42"/>
      <c r="E18445" s="42"/>
      <c r="F18445" s="48" t="str">
        <f>IFERROR(__xludf.DUMMYFUNCTION("""COMPUTED_VALUE"""),"")</f>
        <v/>
      </c>
      <c r="G18445" s="42" t="str">
        <f>IFERROR(__xludf.DUMMYFUNCTION("""COMPUTED_VALUE"""),"")</f>
        <v/>
      </c>
      <c r="H18445" s="42">
        <f t="shared" si="1"/>
        <v>3345</v>
      </c>
    </row>
    <row r="18446" ht="22.5" customHeight="1">
      <c r="B18446" s="42" t="str">
        <f>IFERROR(__xludf.DUMMYFUNCTION("""COMPUTED_VALUE"""),"")</f>
        <v/>
      </c>
      <c r="C18446" s="42" t="str">
        <f>IFERROR(__xludf.DUMMYFUNCTION("""COMPUTED_VALUE"""),"")</f>
        <v/>
      </c>
      <c r="D18446" s="42"/>
      <c r="E18446" s="42"/>
      <c r="F18446" s="48" t="str">
        <f>IFERROR(__xludf.DUMMYFUNCTION("""COMPUTED_VALUE"""),"")</f>
        <v/>
      </c>
      <c r="G18446" s="42" t="str">
        <f>IFERROR(__xludf.DUMMYFUNCTION("""COMPUTED_VALUE"""),"")</f>
        <v/>
      </c>
      <c r="H18446" s="42">
        <f t="shared" si="1"/>
        <v>3345</v>
      </c>
    </row>
    <row r="18447" ht="22.5" customHeight="1">
      <c r="B18447" s="42" t="str">
        <f>IFERROR(__xludf.DUMMYFUNCTION("""COMPUTED_VALUE"""),"")</f>
        <v/>
      </c>
      <c r="C18447" s="42" t="str">
        <f>IFERROR(__xludf.DUMMYFUNCTION("""COMPUTED_VALUE"""),"")</f>
        <v/>
      </c>
      <c r="D18447" s="42"/>
      <c r="E18447" s="42"/>
      <c r="F18447" s="48" t="str">
        <f>IFERROR(__xludf.DUMMYFUNCTION("""COMPUTED_VALUE"""),"")</f>
        <v/>
      </c>
      <c r="G18447" s="42" t="str">
        <f>IFERROR(__xludf.DUMMYFUNCTION("""COMPUTED_VALUE"""),"")</f>
        <v/>
      </c>
      <c r="H18447" s="42">
        <f t="shared" si="1"/>
        <v>3345</v>
      </c>
    </row>
    <row r="18448" ht="22.5" customHeight="1">
      <c r="B18448" s="42" t="str">
        <f>IFERROR(__xludf.DUMMYFUNCTION("""COMPUTED_VALUE"""),"")</f>
        <v/>
      </c>
      <c r="C18448" s="42" t="str">
        <f>IFERROR(__xludf.DUMMYFUNCTION("""COMPUTED_VALUE"""),"")</f>
        <v/>
      </c>
      <c r="D18448" s="42"/>
      <c r="E18448" s="42"/>
      <c r="F18448" s="48" t="str">
        <f>IFERROR(__xludf.DUMMYFUNCTION("""COMPUTED_VALUE"""),"")</f>
        <v/>
      </c>
      <c r="G18448" s="42" t="str">
        <f>IFERROR(__xludf.DUMMYFUNCTION("""COMPUTED_VALUE"""),"")</f>
        <v/>
      </c>
      <c r="H18448" s="42">
        <f t="shared" si="1"/>
        <v>3345</v>
      </c>
    </row>
    <row r="18449" ht="22.5" customHeight="1">
      <c r="B18449" s="42" t="str">
        <f>IFERROR(__xludf.DUMMYFUNCTION("""COMPUTED_VALUE"""),"")</f>
        <v/>
      </c>
      <c r="C18449" s="42" t="str">
        <f>IFERROR(__xludf.DUMMYFUNCTION("""COMPUTED_VALUE"""),"")</f>
        <v/>
      </c>
      <c r="D18449" s="42"/>
      <c r="E18449" s="42"/>
      <c r="F18449" s="48" t="str">
        <f>IFERROR(__xludf.DUMMYFUNCTION("""COMPUTED_VALUE"""),"")</f>
        <v/>
      </c>
      <c r="G18449" s="42" t="str">
        <f>IFERROR(__xludf.DUMMYFUNCTION("""COMPUTED_VALUE"""),"")</f>
        <v/>
      </c>
      <c r="H18449" s="42">
        <f t="shared" si="1"/>
        <v>3345</v>
      </c>
    </row>
    <row r="18450" ht="22.5" customHeight="1">
      <c r="B18450" s="42" t="str">
        <f>IFERROR(__xludf.DUMMYFUNCTION("""COMPUTED_VALUE"""),"")</f>
        <v/>
      </c>
      <c r="C18450" s="42" t="str">
        <f>IFERROR(__xludf.DUMMYFUNCTION("""COMPUTED_VALUE"""),"")</f>
        <v/>
      </c>
      <c r="D18450" s="42"/>
      <c r="E18450" s="42"/>
      <c r="F18450" s="48" t="str">
        <f>IFERROR(__xludf.DUMMYFUNCTION("""COMPUTED_VALUE"""),"")</f>
        <v/>
      </c>
      <c r="G18450" s="42" t="str">
        <f>IFERROR(__xludf.DUMMYFUNCTION("""COMPUTED_VALUE"""),"")</f>
        <v/>
      </c>
      <c r="H18450" s="42">
        <f t="shared" si="1"/>
        <v>3345</v>
      </c>
    </row>
    <row r="18451" ht="22.5" customHeight="1">
      <c r="B18451" s="42" t="str">
        <f>IFERROR(__xludf.DUMMYFUNCTION("""COMPUTED_VALUE"""),"")</f>
        <v/>
      </c>
      <c r="C18451" s="42" t="str">
        <f>IFERROR(__xludf.DUMMYFUNCTION("""COMPUTED_VALUE"""),"")</f>
        <v/>
      </c>
      <c r="D18451" s="42"/>
      <c r="E18451" s="42"/>
      <c r="F18451" s="48" t="str">
        <f>IFERROR(__xludf.DUMMYFUNCTION("""COMPUTED_VALUE"""),"")</f>
        <v/>
      </c>
      <c r="G18451" s="42" t="str">
        <f>IFERROR(__xludf.DUMMYFUNCTION("""COMPUTED_VALUE"""),"")</f>
        <v/>
      </c>
      <c r="H18451" s="42">
        <f t="shared" si="1"/>
        <v>3345</v>
      </c>
    </row>
    <row r="18452" ht="22.5" customHeight="1">
      <c r="B18452" s="42" t="str">
        <f>IFERROR(__xludf.DUMMYFUNCTION("""COMPUTED_VALUE"""),"")</f>
        <v/>
      </c>
      <c r="C18452" s="42" t="str">
        <f>IFERROR(__xludf.DUMMYFUNCTION("""COMPUTED_VALUE"""),"")</f>
        <v/>
      </c>
      <c r="D18452" s="42"/>
      <c r="E18452" s="42"/>
      <c r="F18452" s="48" t="str">
        <f>IFERROR(__xludf.DUMMYFUNCTION("""COMPUTED_VALUE"""),"")</f>
        <v/>
      </c>
      <c r="G18452" s="42" t="str">
        <f>IFERROR(__xludf.DUMMYFUNCTION("""COMPUTED_VALUE"""),"")</f>
        <v/>
      </c>
      <c r="H18452" s="42">
        <f t="shared" si="1"/>
        <v>3345</v>
      </c>
    </row>
    <row r="18453" ht="22.5" customHeight="1">
      <c r="B18453" s="42" t="str">
        <f>IFERROR(__xludf.DUMMYFUNCTION("""COMPUTED_VALUE"""),"")</f>
        <v/>
      </c>
      <c r="C18453" s="42" t="str">
        <f>IFERROR(__xludf.DUMMYFUNCTION("""COMPUTED_VALUE"""),"")</f>
        <v/>
      </c>
      <c r="D18453" s="42"/>
      <c r="E18453" s="42"/>
      <c r="F18453" s="48" t="str">
        <f>IFERROR(__xludf.DUMMYFUNCTION("""COMPUTED_VALUE"""),"")</f>
        <v/>
      </c>
      <c r="G18453" s="42" t="str">
        <f>IFERROR(__xludf.DUMMYFUNCTION("""COMPUTED_VALUE"""),"")</f>
        <v/>
      </c>
      <c r="H18453" s="42">
        <f t="shared" si="1"/>
        <v>3345</v>
      </c>
    </row>
    <row r="18454" ht="22.5" customHeight="1">
      <c r="B18454" s="42" t="str">
        <f>IFERROR(__xludf.DUMMYFUNCTION("""COMPUTED_VALUE"""),"")</f>
        <v/>
      </c>
      <c r="C18454" s="42" t="str">
        <f>IFERROR(__xludf.DUMMYFUNCTION("""COMPUTED_VALUE"""),"")</f>
        <v/>
      </c>
      <c r="D18454" s="42"/>
      <c r="E18454" s="42"/>
      <c r="F18454" s="48" t="str">
        <f>IFERROR(__xludf.DUMMYFUNCTION("""COMPUTED_VALUE"""),"")</f>
        <v/>
      </c>
      <c r="G18454" s="42" t="str">
        <f>IFERROR(__xludf.DUMMYFUNCTION("""COMPUTED_VALUE"""),"")</f>
        <v/>
      </c>
      <c r="H18454" s="42">
        <f t="shared" si="1"/>
        <v>3345</v>
      </c>
    </row>
    <row r="18455" ht="22.5" customHeight="1">
      <c r="B18455" s="42" t="str">
        <f>IFERROR(__xludf.DUMMYFUNCTION("""COMPUTED_VALUE"""),"")</f>
        <v/>
      </c>
      <c r="C18455" s="42" t="str">
        <f>IFERROR(__xludf.DUMMYFUNCTION("""COMPUTED_VALUE"""),"")</f>
        <v/>
      </c>
      <c r="D18455" s="42"/>
      <c r="E18455" s="42"/>
      <c r="F18455" s="48" t="str">
        <f>IFERROR(__xludf.DUMMYFUNCTION("""COMPUTED_VALUE"""),"")</f>
        <v/>
      </c>
      <c r="G18455" s="42" t="str">
        <f>IFERROR(__xludf.DUMMYFUNCTION("""COMPUTED_VALUE"""),"")</f>
        <v/>
      </c>
      <c r="H18455" s="42">
        <f t="shared" si="1"/>
        <v>3345</v>
      </c>
    </row>
    <row r="18456" ht="22.5" customHeight="1">
      <c r="B18456" s="42" t="str">
        <f>IFERROR(__xludf.DUMMYFUNCTION("""COMPUTED_VALUE"""),"")</f>
        <v/>
      </c>
      <c r="C18456" s="42" t="str">
        <f>IFERROR(__xludf.DUMMYFUNCTION("""COMPUTED_VALUE"""),"")</f>
        <v/>
      </c>
      <c r="D18456" s="42"/>
      <c r="E18456" s="42"/>
      <c r="F18456" s="48" t="str">
        <f>IFERROR(__xludf.DUMMYFUNCTION("""COMPUTED_VALUE"""),"")</f>
        <v/>
      </c>
      <c r="G18456" s="42" t="str">
        <f>IFERROR(__xludf.DUMMYFUNCTION("""COMPUTED_VALUE"""),"")</f>
        <v/>
      </c>
      <c r="H18456" s="42">
        <f t="shared" si="1"/>
        <v>3345</v>
      </c>
    </row>
    <row r="18457" ht="22.5" customHeight="1">
      <c r="B18457" s="42" t="str">
        <f>IFERROR(__xludf.DUMMYFUNCTION("""COMPUTED_VALUE"""),"")</f>
        <v/>
      </c>
      <c r="C18457" s="42" t="str">
        <f>IFERROR(__xludf.DUMMYFUNCTION("""COMPUTED_VALUE"""),"")</f>
        <v/>
      </c>
      <c r="D18457" s="42"/>
      <c r="E18457" s="42"/>
      <c r="F18457" s="48" t="str">
        <f>IFERROR(__xludf.DUMMYFUNCTION("""COMPUTED_VALUE"""),"")</f>
        <v/>
      </c>
      <c r="G18457" s="42" t="str">
        <f>IFERROR(__xludf.DUMMYFUNCTION("""COMPUTED_VALUE"""),"")</f>
        <v/>
      </c>
      <c r="H18457" s="42">
        <f t="shared" si="1"/>
        <v>3345</v>
      </c>
    </row>
    <row r="18458" ht="22.5" customHeight="1">
      <c r="B18458" s="42" t="str">
        <f>IFERROR(__xludf.DUMMYFUNCTION("""COMPUTED_VALUE"""),"")</f>
        <v/>
      </c>
      <c r="C18458" s="42" t="str">
        <f>IFERROR(__xludf.DUMMYFUNCTION("""COMPUTED_VALUE"""),"")</f>
        <v/>
      </c>
      <c r="D18458" s="42"/>
      <c r="E18458" s="42"/>
      <c r="F18458" s="48" t="str">
        <f>IFERROR(__xludf.DUMMYFUNCTION("""COMPUTED_VALUE"""),"")</f>
        <v/>
      </c>
      <c r="G18458" s="42" t="str">
        <f>IFERROR(__xludf.DUMMYFUNCTION("""COMPUTED_VALUE"""),"")</f>
        <v/>
      </c>
      <c r="H18458" s="42">
        <f t="shared" si="1"/>
        <v>3345</v>
      </c>
    </row>
    <row r="18459" ht="22.5" customHeight="1">
      <c r="B18459" s="42" t="str">
        <f>IFERROR(__xludf.DUMMYFUNCTION("""COMPUTED_VALUE"""),"")</f>
        <v/>
      </c>
      <c r="C18459" s="42" t="str">
        <f>IFERROR(__xludf.DUMMYFUNCTION("""COMPUTED_VALUE"""),"")</f>
        <v/>
      </c>
      <c r="D18459" s="42"/>
      <c r="E18459" s="42"/>
      <c r="F18459" s="48" t="str">
        <f>IFERROR(__xludf.DUMMYFUNCTION("""COMPUTED_VALUE"""),"")</f>
        <v/>
      </c>
      <c r="G18459" s="42" t="str">
        <f>IFERROR(__xludf.DUMMYFUNCTION("""COMPUTED_VALUE"""),"")</f>
        <v/>
      </c>
      <c r="H18459" s="42">
        <f t="shared" si="1"/>
        <v>3345</v>
      </c>
    </row>
    <row r="18460" ht="22.5" customHeight="1">
      <c r="B18460" s="42" t="str">
        <f>IFERROR(__xludf.DUMMYFUNCTION("""COMPUTED_VALUE"""),"")</f>
        <v/>
      </c>
      <c r="C18460" s="42" t="str">
        <f>IFERROR(__xludf.DUMMYFUNCTION("""COMPUTED_VALUE"""),"")</f>
        <v/>
      </c>
      <c r="D18460" s="42"/>
      <c r="E18460" s="42"/>
      <c r="F18460" s="48" t="str">
        <f>IFERROR(__xludf.DUMMYFUNCTION("""COMPUTED_VALUE"""),"")</f>
        <v/>
      </c>
      <c r="G18460" s="42" t="str">
        <f>IFERROR(__xludf.DUMMYFUNCTION("""COMPUTED_VALUE"""),"")</f>
        <v/>
      </c>
      <c r="H18460" s="42">
        <f t="shared" si="1"/>
        <v>3345</v>
      </c>
    </row>
    <row r="18461" ht="22.5" customHeight="1">
      <c r="B18461" s="42" t="str">
        <f>IFERROR(__xludf.DUMMYFUNCTION("""COMPUTED_VALUE"""),"")</f>
        <v/>
      </c>
      <c r="C18461" s="42" t="str">
        <f>IFERROR(__xludf.DUMMYFUNCTION("""COMPUTED_VALUE"""),"")</f>
        <v/>
      </c>
      <c r="D18461" s="42"/>
      <c r="E18461" s="42"/>
      <c r="F18461" s="48" t="str">
        <f>IFERROR(__xludf.DUMMYFUNCTION("""COMPUTED_VALUE"""),"")</f>
        <v/>
      </c>
      <c r="G18461" s="42" t="str">
        <f>IFERROR(__xludf.DUMMYFUNCTION("""COMPUTED_VALUE"""),"")</f>
        <v/>
      </c>
      <c r="H18461" s="42">
        <f t="shared" si="1"/>
        <v>3345</v>
      </c>
    </row>
    <row r="18462" ht="22.5" customHeight="1">
      <c r="B18462" s="42" t="str">
        <f>IFERROR(__xludf.DUMMYFUNCTION("""COMPUTED_VALUE"""),"")</f>
        <v/>
      </c>
      <c r="C18462" s="42" t="str">
        <f>IFERROR(__xludf.DUMMYFUNCTION("""COMPUTED_VALUE"""),"")</f>
        <v/>
      </c>
      <c r="D18462" s="42"/>
      <c r="E18462" s="42"/>
      <c r="F18462" s="48" t="str">
        <f>IFERROR(__xludf.DUMMYFUNCTION("""COMPUTED_VALUE"""),"")</f>
        <v/>
      </c>
      <c r="G18462" s="42" t="str">
        <f>IFERROR(__xludf.DUMMYFUNCTION("""COMPUTED_VALUE"""),"")</f>
        <v/>
      </c>
      <c r="H18462" s="42">
        <f t="shared" si="1"/>
        <v>3345</v>
      </c>
    </row>
    <row r="18463" ht="22.5" customHeight="1">
      <c r="B18463" s="42" t="str">
        <f>IFERROR(__xludf.DUMMYFUNCTION("""COMPUTED_VALUE"""),"")</f>
        <v/>
      </c>
      <c r="C18463" s="42" t="str">
        <f>IFERROR(__xludf.DUMMYFUNCTION("""COMPUTED_VALUE"""),"")</f>
        <v/>
      </c>
      <c r="D18463" s="42"/>
      <c r="E18463" s="42"/>
      <c r="F18463" s="48" t="str">
        <f>IFERROR(__xludf.DUMMYFUNCTION("""COMPUTED_VALUE"""),"")</f>
        <v/>
      </c>
      <c r="G18463" s="42" t="str">
        <f>IFERROR(__xludf.DUMMYFUNCTION("""COMPUTED_VALUE"""),"")</f>
        <v/>
      </c>
      <c r="H18463" s="42">
        <f t="shared" si="1"/>
        <v>3345</v>
      </c>
    </row>
    <row r="18464" ht="22.5" customHeight="1">
      <c r="B18464" s="42" t="str">
        <f>IFERROR(__xludf.DUMMYFUNCTION("""COMPUTED_VALUE"""),"")</f>
        <v/>
      </c>
      <c r="C18464" s="42" t="str">
        <f>IFERROR(__xludf.DUMMYFUNCTION("""COMPUTED_VALUE"""),"")</f>
        <v/>
      </c>
      <c r="D18464" s="42"/>
      <c r="E18464" s="42"/>
      <c r="F18464" s="48" t="str">
        <f>IFERROR(__xludf.DUMMYFUNCTION("""COMPUTED_VALUE"""),"")</f>
        <v/>
      </c>
      <c r="G18464" s="42" t="str">
        <f>IFERROR(__xludf.DUMMYFUNCTION("""COMPUTED_VALUE"""),"")</f>
        <v/>
      </c>
      <c r="H18464" s="42">
        <f t="shared" si="1"/>
        <v>3345</v>
      </c>
    </row>
    <row r="18465" ht="22.5" customHeight="1">
      <c r="B18465" s="42" t="str">
        <f>IFERROR(__xludf.DUMMYFUNCTION("""COMPUTED_VALUE"""),"")</f>
        <v/>
      </c>
      <c r="C18465" s="42" t="str">
        <f>IFERROR(__xludf.DUMMYFUNCTION("""COMPUTED_VALUE"""),"")</f>
        <v/>
      </c>
      <c r="D18465" s="42"/>
      <c r="E18465" s="42"/>
      <c r="F18465" s="48" t="str">
        <f>IFERROR(__xludf.DUMMYFUNCTION("""COMPUTED_VALUE"""),"")</f>
        <v/>
      </c>
      <c r="G18465" s="42" t="str">
        <f>IFERROR(__xludf.DUMMYFUNCTION("""COMPUTED_VALUE"""),"")</f>
        <v/>
      </c>
      <c r="H18465" s="42">
        <f t="shared" si="1"/>
        <v>3345</v>
      </c>
    </row>
    <row r="18466" ht="22.5" customHeight="1">
      <c r="B18466" s="42" t="str">
        <f>IFERROR(__xludf.DUMMYFUNCTION("""COMPUTED_VALUE"""),"")</f>
        <v/>
      </c>
      <c r="C18466" s="42" t="str">
        <f>IFERROR(__xludf.DUMMYFUNCTION("""COMPUTED_VALUE"""),"")</f>
        <v/>
      </c>
      <c r="D18466" s="42"/>
      <c r="E18466" s="42"/>
      <c r="F18466" s="48" t="str">
        <f>IFERROR(__xludf.DUMMYFUNCTION("""COMPUTED_VALUE"""),"")</f>
        <v/>
      </c>
      <c r="G18466" s="42" t="str">
        <f>IFERROR(__xludf.DUMMYFUNCTION("""COMPUTED_VALUE"""),"")</f>
        <v/>
      </c>
      <c r="H18466" s="42">
        <f t="shared" si="1"/>
        <v>3345</v>
      </c>
    </row>
    <row r="18467" ht="22.5" customHeight="1">
      <c r="B18467" s="42" t="str">
        <f>IFERROR(__xludf.DUMMYFUNCTION("""COMPUTED_VALUE"""),"")</f>
        <v/>
      </c>
      <c r="C18467" s="42" t="str">
        <f>IFERROR(__xludf.DUMMYFUNCTION("""COMPUTED_VALUE"""),"")</f>
        <v/>
      </c>
      <c r="D18467" s="42"/>
      <c r="E18467" s="42"/>
      <c r="F18467" s="48" t="str">
        <f>IFERROR(__xludf.DUMMYFUNCTION("""COMPUTED_VALUE"""),"")</f>
        <v/>
      </c>
      <c r="G18467" s="42" t="str">
        <f>IFERROR(__xludf.DUMMYFUNCTION("""COMPUTED_VALUE"""),"")</f>
        <v/>
      </c>
      <c r="H18467" s="42">
        <f t="shared" si="1"/>
        <v>3345</v>
      </c>
    </row>
    <row r="18468" ht="22.5" customHeight="1">
      <c r="B18468" s="42" t="str">
        <f>IFERROR(__xludf.DUMMYFUNCTION("""COMPUTED_VALUE"""),"")</f>
        <v/>
      </c>
      <c r="C18468" s="42" t="str">
        <f>IFERROR(__xludf.DUMMYFUNCTION("""COMPUTED_VALUE"""),"")</f>
        <v/>
      </c>
      <c r="D18468" s="42"/>
      <c r="E18468" s="42"/>
      <c r="F18468" s="48" t="str">
        <f>IFERROR(__xludf.DUMMYFUNCTION("""COMPUTED_VALUE"""),"")</f>
        <v/>
      </c>
      <c r="G18468" s="42" t="str">
        <f>IFERROR(__xludf.DUMMYFUNCTION("""COMPUTED_VALUE"""),"")</f>
        <v/>
      </c>
      <c r="H18468" s="42">
        <f t="shared" si="1"/>
        <v>3345</v>
      </c>
    </row>
    <row r="18469" ht="22.5" customHeight="1">
      <c r="B18469" s="42" t="str">
        <f>IFERROR(__xludf.DUMMYFUNCTION("""COMPUTED_VALUE"""),"")</f>
        <v/>
      </c>
      <c r="C18469" s="42" t="str">
        <f>IFERROR(__xludf.DUMMYFUNCTION("""COMPUTED_VALUE"""),"")</f>
        <v/>
      </c>
      <c r="D18469" s="42"/>
      <c r="E18469" s="42"/>
      <c r="F18469" s="48" t="str">
        <f>IFERROR(__xludf.DUMMYFUNCTION("""COMPUTED_VALUE"""),"")</f>
        <v/>
      </c>
      <c r="G18469" s="42" t="str">
        <f>IFERROR(__xludf.DUMMYFUNCTION("""COMPUTED_VALUE"""),"")</f>
        <v/>
      </c>
      <c r="H18469" s="42">
        <f t="shared" si="1"/>
        <v>3345</v>
      </c>
    </row>
    <row r="18470" ht="22.5" customHeight="1">
      <c r="B18470" s="42" t="str">
        <f>IFERROR(__xludf.DUMMYFUNCTION("""COMPUTED_VALUE"""),"")</f>
        <v/>
      </c>
      <c r="C18470" s="42" t="str">
        <f>IFERROR(__xludf.DUMMYFUNCTION("""COMPUTED_VALUE"""),"")</f>
        <v/>
      </c>
      <c r="D18470" s="42"/>
      <c r="E18470" s="42"/>
      <c r="F18470" s="48" t="str">
        <f>IFERROR(__xludf.DUMMYFUNCTION("""COMPUTED_VALUE"""),"")</f>
        <v/>
      </c>
      <c r="G18470" s="42" t="str">
        <f>IFERROR(__xludf.DUMMYFUNCTION("""COMPUTED_VALUE"""),"")</f>
        <v/>
      </c>
      <c r="H18470" s="42">
        <f t="shared" si="1"/>
        <v>3345</v>
      </c>
    </row>
    <row r="18471" ht="22.5" customHeight="1">
      <c r="B18471" s="42" t="str">
        <f>IFERROR(__xludf.DUMMYFUNCTION("""COMPUTED_VALUE"""),"")</f>
        <v/>
      </c>
      <c r="C18471" s="42" t="str">
        <f>IFERROR(__xludf.DUMMYFUNCTION("""COMPUTED_VALUE"""),"")</f>
        <v/>
      </c>
      <c r="D18471" s="42"/>
      <c r="E18471" s="42"/>
      <c r="F18471" s="48" t="str">
        <f>IFERROR(__xludf.DUMMYFUNCTION("""COMPUTED_VALUE"""),"")</f>
        <v/>
      </c>
      <c r="G18471" s="42" t="str">
        <f>IFERROR(__xludf.DUMMYFUNCTION("""COMPUTED_VALUE"""),"")</f>
        <v/>
      </c>
      <c r="H18471" s="42">
        <f t="shared" si="1"/>
        <v>3345</v>
      </c>
    </row>
    <row r="18472" ht="22.5" customHeight="1">
      <c r="B18472" s="42" t="str">
        <f>IFERROR(__xludf.DUMMYFUNCTION("""COMPUTED_VALUE"""),"")</f>
        <v/>
      </c>
      <c r="C18472" s="42" t="str">
        <f>IFERROR(__xludf.DUMMYFUNCTION("""COMPUTED_VALUE"""),"")</f>
        <v/>
      </c>
      <c r="D18472" s="42"/>
      <c r="E18472" s="42"/>
      <c r="F18472" s="48" t="str">
        <f>IFERROR(__xludf.DUMMYFUNCTION("""COMPUTED_VALUE"""),"")</f>
        <v/>
      </c>
      <c r="G18472" s="42" t="str">
        <f>IFERROR(__xludf.DUMMYFUNCTION("""COMPUTED_VALUE"""),"")</f>
        <v/>
      </c>
      <c r="H18472" s="42">
        <f t="shared" si="1"/>
        <v>3345</v>
      </c>
    </row>
    <row r="18473" ht="22.5" customHeight="1">
      <c r="B18473" s="42" t="str">
        <f>IFERROR(__xludf.DUMMYFUNCTION("""COMPUTED_VALUE"""),"")</f>
        <v/>
      </c>
      <c r="C18473" s="42" t="str">
        <f>IFERROR(__xludf.DUMMYFUNCTION("""COMPUTED_VALUE"""),"")</f>
        <v/>
      </c>
      <c r="D18473" s="42"/>
      <c r="E18473" s="42"/>
      <c r="F18473" s="48" t="str">
        <f>IFERROR(__xludf.DUMMYFUNCTION("""COMPUTED_VALUE"""),"")</f>
        <v/>
      </c>
      <c r="G18473" s="42" t="str">
        <f>IFERROR(__xludf.DUMMYFUNCTION("""COMPUTED_VALUE"""),"")</f>
        <v/>
      </c>
      <c r="H18473" s="42">
        <f t="shared" si="1"/>
        <v>3345</v>
      </c>
    </row>
    <row r="18474" ht="22.5" customHeight="1">
      <c r="B18474" s="42" t="str">
        <f>IFERROR(__xludf.DUMMYFUNCTION("""COMPUTED_VALUE"""),"")</f>
        <v/>
      </c>
      <c r="C18474" s="42" t="str">
        <f>IFERROR(__xludf.DUMMYFUNCTION("""COMPUTED_VALUE"""),"")</f>
        <v/>
      </c>
      <c r="D18474" s="42"/>
      <c r="E18474" s="42"/>
      <c r="F18474" s="48" t="str">
        <f>IFERROR(__xludf.DUMMYFUNCTION("""COMPUTED_VALUE"""),"")</f>
        <v/>
      </c>
      <c r="G18474" s="42" t="str">
        <f>IFERROR(__xludf.DUMMYFUNCTION("""COMPUTED_VALUE"""),"")</f>
        <v/>
      </c>
      <c r="H18474" s="42">
        <f t="shared" si="1"/>
        <v>3345</v>
      </c>
    </row>
    <row r="18475" ht="22.5" customHeight="1">
      <c r="B18475" s="42" t="str">
        <f>IFERROR(__xludf.DUMMYFUNCTION("""COMPUTED_VALUE"""),"")</f>
        <v/>
      </c>
      <c r="C18475" s="42" t="str">
        <f>IFERROR(__xludf.DUMMYFUNCTION("""COMPUTED_VALUE"""),"")</f>
        <v/>
      </c>
      <c r="D18475" s="42"/>
      <c r="E18475" s="42"/>
      <c r="F18475" s="48" t="str">
        <f>IFERROR(__xludf.DUMMYFUNCTION("""COMPUTED_VALUE"""),"")</f>
        <v/>
      </c>
      <c r="G18475" s="42" t="str">
        <f>IFERROR(__xludf.DUMMYFUNCTION("""COMPUTED_VALUE"""),"")</f>
        <v/>
      </c>
      <c r="H18475" s="42">
        <f t="shared" si="1"/>
        <v>3345</v>
      </c>
    </row>
    <row r="18476" ht="22.5" customHeight="1">
      <c r="B18476" s="42" t="str">
        <f>IFERROR(__xludf.DUMMYFUNCTION("""COMPUTED_VALUE"""),"")</f>
        <v/>
      </c>
      <c r="C18476" s="42" t="str">
        <f>IFERROR(__xludf.DUMMYFUNCTION("""COMPUTED_VALUE"""),"")</f>
        <v/>
      </c>
      <c r="D18476" s="42"/>
      <c r="E18476" s="42"/>
      <c r="F18476" s="48" t="str">
        <f>IFERROR(__xludf.DUMMYFUNCTION("""COMPUTED_VALUE"""),"")</f>
        <v/>
      </c>
      <c r="G18476" s="42" t="str">
        <f>IFERROR(__xludf.DUMMYFUNCTION("""COMPUTED_VALUE"""),"")</f>
        <v/>
      </c>
      <c r="H18476" s="42">
        <f t="shared" si="1"/>
        <v>3345</v>
      </c>
    </row>
    <row r="18477" ht="22.5" customHeight="1">
      <c r="B18477" s="42" t="str">
        <f>IFERROR(__xludf.DUMMYFUNCTION("""COMPUTED_VALUE"""),"")</f>
        <v/>
      </c>
      <c r="C18477" s="42" t="str">
        <f>IFERROR(__xludf.DUMMYFUNCTION("""COMPUTED_VALUE"""),"")</f>
        <v/>
      </c>
      <c r="D18477" s="42"/>
      <c r="E18477" s="42"/>
      <c r="F18477" s="48" t="str">
        <f>IFERROR(__xludf.DUMMYFUNCTION("""COMPUTED_VALUE"""),"")</f>
        <v/>
      </c>
      <c r="G18477" s="42" t="str">
        <f>IFERROR(__xludf.DUMMYFUNCTION("""COMPUTED_VALUE"""),"")</f>
        <v/>
      </c>
      <c r="H18477" s="42">
        <f t="shared" si="1"/>
        <v>3345</v>
      </c>
    </row>
    <row r="18478" ht="22.5" customHeight="1">
      <c r="B18478" s="42" t="str">
        <f>IFERROR(__xludf.DUMMYFUNCTION("""COMPUTED_VALUE"""),"")</f>
        <v/>
      </c>
      <c r="C18478" s="42" t="str">
        <f>IFERROR(__xludf.DUMMYFUNCTION("""COMPUTED_VALUE"""),"")</f>
        <v/>
      </c>
      <c r="D18478" s="42"/>
      <c r="E18478" s="42"/>
      <c r="F18478" s="48" t="str">
        <f>IFERROR(__xludf.DUMMYFUNCTION("""COMPUTED_VALUE"""),"")</f>
        <v/>
      </c>
      <c r="G18478" s="42" t="str">
        <f>IFERROR(__xludf.DUMMYFUNCTION("""COMPUTED_VALUE"""),"")</f>
        <v/>
      </c>
      <c r="H18478" s="42">
        <f t="shared" si="1"/>
        <v>3345</v>
      </c>
    </row>
    <row r="18479" ht="22.5" customHeight="1">
      <c r="B18479" s="42" t="str">
        <f>IFERROR(__xludf.DUMMYFUNCTION("""COMPUTED_VALUE"""),"")</f>
        <v/>
      </c>
      <c r="C18479" s="42" t="str">
        <f>IFERROR(__xludf.DUMMYFUNCTION("""COMPUTED_VALUE"""),"")</f>
        <v/>
      </c>
      <c r="D18479" s="42"/>
      <c r="E18479" s="42"/>
      <c r="F18479" s="48" t="str">
        <f>IFERROR(__xludf.DUMMYFUNCTION("""COMPUTED_VALUE"""),"")</f>
        <v/>
      </c>
      <c r="G18479" s="42" t="str">
        <f>IFERROR(__xludf.DUMMYFUNCTION("""COMPUTED_VALUE"""),"")</f>
        <v/>
      </c>
      <c r="H18479" s="42">
        <f t="shared" si="1"/>
        <v>3345</v>
      </c>
    </row>
    <row r="18480" ht="22.5" customHeight="1">
      <c r="B18480" s="42" t="str">
        <f>IFERROR(__xludf.DUMMYFUNCTION("""COMPUTED_VALUE"""),"")</f>
        <v/>
      </c>
      <c r="C18480" s="42" t="str">
        <f>IFERROR(__xludf.DUMMYFUNCTION("""COMPUTED_VALUE"""),"")</f>
        <v/>
      </c>
      <c r="D18480" s="42"/>
      <c r="E18480" s="42"/>
      <c r="F18480" s="48" t="str">
        <f>IFERROR(__xludf.DUMMYFUNCTION("""COMPUTED_VALUE"""),"")</f>
        <v/>
      </c>
      <c r="G18480" s="42" t="str">
        <f>IFERROR(__xludf.DUMMYFUNCTION("""COMPUTED_VALUE"""),"")</f>
        <v/>
      </c>
      <c r="H18480" s="42">
        <f t="shared" si="1"/>
        <v>3345</v>
      </c>
    </row>
    <row r="18481" ht="22.5" customHeight="1">
      <c r="B18481" s="42" t="str">
        <f>IFERROR(__xludf.DUMMYFUNCTION("""COMPUTED_VALUE"""),"")</f>
        <v/>
      </c>
      <c r="C18481" s="42" t="str">
        <f>IFERROR(__xludf.DUMMYFUNCTION("""COMPUTED_VALUE"""),"")</f>
        <v/>
      </c>
      <c r="D18481" s="42"/>
      <c r="E18481" s="42"/>
      <c r="F18481" s="48" t="str">
        <f>IFERROR(__xludf.DUMMYFUNCTION("""COMPUTED_VALUE"""),"")</f>
        <v/>
      </c>
      <c r="G18481" s="42" t="str">
        <f>IFERROR(__xludf.DUMMYFUNCTION("""COMPUTED_VALUE"""),"")</f>
        <v/>
      </c>
      <c r="H18481" s="42">
        <f t="shared" si="1"/>
        <v>3345</v>
      </c>
    </row>
    <row r="18482" ht="22.5" customHeight="1">
      <c r="B18482" s="42" t="str">
        <f>IFERROR(__xludf.DUMMYFUNCTION("""COMPUTED_VALUE"""),"")</f>
        <v/>
      </c>
      <c r="C18482" s="42" t="str">
        <f>IFERROR(__xludf.DUMMYFUNCTION("""COMPUTED_VALUE"""),"")</f>
        <v/>
      </c>
      <c r="D18482" s="42"/>
      <c r="E18482" s="42"/>
      <c r="F18482" s="48" t="str">
        <f>IFERROR(__xludf.DUMMYFUNCTION("""COMPUTED_VALUE"""),"")</f>
        <v/>
      </c>
      <c r="G18482" s="42" t="str">
        <f>IFERROR(__xludf.DUMMYFUNCTION("""COMPUTED_VALUE"""),"")</f>
        <v/>
      </c>
      <c r="H18482" s="42">
        <f t="shared" si="1"/>
        <v>3345</v>
      </c>
    </row>
    <row r="18483" ht="22.5" customHeight="1">
      <c r="B18483" s="42" t="str">
        <f>IFERROR(__xludf.DUMMYFUNCTION("""COMPUTED_VALUE"""),"")</f>
        <v/>
      </c>
      <c r="C18483" s="42" t="str">
        <f>IFERROR(__xludf.DUMMYFUNCTION("""COMPUTED_VALUE"""),"")</f>
        <v/>
      </c>
      <c r="D18483" s="42"/>
      <c r="E18483" s="42"/>
      <c r="F18483" s="48" t="str">
        <f>IFERROR(__xludf.DUMMYFUNCTION("""COMPUTED_VALUE"""),"")</f>
        <v/>
      </c>
      <c r="G18483" s="42" t="str">
        <f>IFERROR(__xludf.DUMMYFUNCTION("""COMPUTED_VALUE"""),"")</f>
        <v/>
      </c>
      <c r="H18483" s="42">
        <f t="shared" si="1"/>
        <v>3345</v>
      </c>
    </row>
    <row r="18484" ht="22.5" customHeight="1">
      <c r="B18484" s="42" t="str">
        <f>IFERROR(__xludf.DUMMYFUNCTION("""COMPUTED_VALUE"""),"")</f>
        <v/>
      </c>
      <c r="C18484" s="42" t="str">
        <f>IFERROR(__xludf.DUMMYFUNCTION("""COMPUTED_VALUE"""),"")</f>
        <v/>
      </c>
      <c r="D18484" s="42"/>
      <c r="E18484" s="42"/>
      <c r="F18484" s="48" t="str">
        <f>IFERROR(__xludf.DUMMYFUNCTION("""COMPUTED_VALUE"""),"")</f>
        <v/>
      </c>
      <c r="G18484" s="42" t="str">
        <f>IFERROR(__xludf.DUMMYFUNCTION("""COMPUTED_VALUE"""),"")</f>
        <v/>
      </c>
      <c r="H18484" s="42">
        <f t="shared" si="1"/>
        <v>3345</v>
      </c>
    </row>
    <row r="18485" ht="22.5" customHeight="1">
      <c r="B18485" s="42" t="str">
        <f>IFERROR(__xludf.DUMMYFUNCTION("""COMPUTED_VALUE"""),"")</f>
        <v/>
      </c>
      <c r="C18485" s="42" t="str">
        <f>IFERROR(__xludf.DUMMYFUNCTION("""COMPUTED_VALUE"""),"")</f>
        <v/>
      </c>
      <c r="D18485" s="42"/>
      <c r="E18485" s="42"/>
      <c r="F18485" s="48" t="str">
        <f>IFERROR(__xludf.DUMMYFUNCTION("""COMPUTED_VALUE"""),"")</f>
        <v/>
      </c>
      <c r="G18485" s="42" t="str">
        <f>IFERROR(__xludf.DUMMYFUNCTION("""COMPUTED_VALUE"""),"")</f>
        <v/>
      </c>
      <c r="H18485" s="42">
        <f t="shared" si="1"/>
        <v>3345</v>
      </c>
    </row>
    <row r="18486" ht="22.5" customHeight="1">
      <c r="B18486" s="42" t="str">
        <f>IFERROR(__xludf.DUMMYFUNCTION("""COMPUTED_VALUE"""),"")</f>
        <v/>
      </c>
      <c r="C18486" s="42" t="str">
        <f>IFERROR(__xludf.DUMMYFUNCTION("""COMPUTED_VALUE"""),"")</f>
        <v/>
      </c>
      <c r="D18486" s="42"/>
      <c r="E18486" s="42"/>
      <c r="F18486" s="48" t="str">
        <f>IFERROR(__xludf.DUMMYFUNCTION("""COMPUTED_VALUE"""),"")</f>
        <v/>
      </c>
      <c r="G18486" s="42" t="str">
        <f>IFERROR(__xludf.DUMMYFUNCTION("""COMPUTED_VALUE"""),"")</f>
        <v/>
      </c>
      <c r="H18486" s="42">
        <f t="shared" si="1"/>
        <v>3345</v>
      </c>
    </row>
    <row r="18487" ht="22.5" customHeight="1">
      <c r="B18487" s="42" t="str">
        <f>IFERROR(__xludf.DUMMYFUNCTION("""COMPUTED_VALUE"""),"")</f>
        <v/>
      </c>
      <c r="C18487" s="42" t="str">
        <f>IFERROR(__xludf.DUMMYFUNCTION("""COMPUTED_VALUE"""),"")</f>
        <v/>
      </c>
      <c r="D18487" s="42"/>
      <c r="E18487" s="42"/>
      <c r="F18487" s="48" t="str">
        <f>IFERROR(__xludf.DUMMYFUNCTION("""COMPUTED_VALUE"""),"")</f>
        <v/>
      </c>
      <c r="G18487" s="42" t="str">
        <f>IFERROR(__xludf.DUMMYFUNCTION("""COMPUTED_VALUE"""),"")</f>
        <v/>
      </c>
      <c r="H18487" s="42">
        <f t="shared" si="1"/>
        <v>3345</v>
      </c>
    </row>
    <row r="18488" ht="22.5" customHeight="1">
      <c r="B18488" s="42" t="str">
        <f>IFERROR(__xludf.DUMMYFUNCTION("""COMPUTED_VALUE"""),"")</f>
        <v/>
      </c>
      <c r="C18488" s="42" t="str">
        <f>IFERROR(__xludf.DUMMYFUNCTION("""COMPUTED_VALUE"""),"")</f>
        <v/>
      </c>
      <c r="D18488" s="42"/>
      <c r="E18488" s="42"/>
      <c r="F18488" s="48" t="str">
        <f>IFERROR(__xludf.DUMMYFUNCTION("""COMPUTED_VALUE"""),"")</f>
        <v/>
      </c>
      <c r="G18488" s="42" t="str">
        <f>IFERROR(__xludf.DUMMYFUNCTION("""COMPUTED_VALUE"""),"")</f>
        <v/>
      </c>
      <c r="H18488" s="42">
        <f t="shared" si="1"/>
        <v>3345</v>
      </c>
    </row>
    <row r="18489" ht="22.5" customHeight="1">
      <c r="B18489" s="42" t="str">
        <f>IFERROR(__xludf.DUMMYFUNCTION("""COMPUTED_VALUE"""),"")</f>
        <v/>
      </c>
      <c r="C18489" s="42" t="str">
        <f>IFERROR(__xludf.DUMMYFUNCTION("""COMPUTED_VALUE"""),"")</f>
        <v/>
      </c>
      <c r="D18489" s="42"/>
      <c r="E18489" s="42"/>
      <c r="F18489" s="48" t="str">
        <f>IFERROR(__xludf.DUMMYFUNCTION("""COMPUTED_VALUE"""),"")</f>
        <v/>
      </c>
      <c r="G18489" s="42" t="str">
        <f>IFERROR(__xludf.DUMMYFUNCTION("""COMPUTED_VALUE"""),"")</f>
        <v/>
      </c>
      <c r="H18489" s="42">
        <f t="shared" si="1"/>
        <v>3345</v>
      </c>
    </row>
    <row r="18490" ht="22.5" customHeight="1">
      <c r="B18490" s="42" t="str">
        <f>IFERROR(__xludf.DUMMYFUNCTION("""COMPUTED_VALUE"""),"")</f>
        <v/>
      </c>
      <c r="C18490" s="42" t="str">
        <f>IFERROR(__xludf.DUMMYFUNCTION("""COMPUTED_VALUE"""),"")</f>
        <v/>
      </c>
      <c r="D18490" s="42"/>
      <c r="E18490" s="42"/>
      <c r="F18490" s="48" t="str">
        <f>IFERROR(__xludf.DUMMYFUNCTION("""COMPUTED_VALUE"""),"")</f>
        <v/>
      </c>
      <c r="G18490" s="42" t="str">
        <f>IFERROR(__xludf.DUMMYFUNCTION("""COMPUTED_VALUE"""),"")</f>
        <v/>
      </c>
      <c r="H18490" s="42">
        <f t="shared" si="1"/>
        <v>3345</v>
      </c>
    </row>
    <row r="18491" ht="22.5" customHeight="1">
      <c r="B18491" s="42" t="str">
        <f>IFERROR(__xludf.DUMMYFUNCTION("""COMPUTED_VALUE"""),"")</f>
        <v/>
      </c>
      <c r="C18491" s="42" t="str">
        <f>IFERROR(__xludf.DUMMYFUNCTION("""COMPUTED_VALUE"""),"")</f>
        <v/>
      </c>
      <c r="D18491" s="42"/>
      <c r="E18491" s="42"/>
      <c r="F18491" s="48" t="str">
        <f>IFERROR(__xludf.DUMMYFUNCTION("""COMPUTED_VALUE"""),"")</f>
        <v/>
      </c>
      <c r="G18491" s="42" t="str">
        <f>IFERROR(__xludf.DUMMYFUNCTION("""COMPUTED_VALUE"""),"")</f>
        <v/>
      </c>
      <c r="H18491" s="42">
        <f t="shared" si="1"/>
        <v>3345</v>
      </c>
    </row>
    <row r="18492" ht="22.5" customHeight="1">
      <c r="B18492" s="42" t="str">
        <f>IFERROR(__xludf.DUMMYFUNCTION("""COMPUTED_VALUE"""),"")</f>
        <v/>
      </c>
      <c r="C18492" s="42" t="str">
        <f>IFERROR(__xludf.DUMMYFUNCTION("""COMPUTED_VALUE"""),"")</f>
        <v/>
      </c>
      <c r="D18492" s="42"/>
      <c r="E18492" s="42"/>
      <c r="F18492" s="48" t="str">
        <f>IFERROR(__xludf.DUMMYFUNCTION("""COMPUTED_VALUE"""),"")</f>
        <v/>
      </c>
      <c r="G18492" s="42" t="str">
        <f>IFERROR(__xludf.DUMMYFUNCTION("""COMPUTED_VALUE"""),"")</f>
        <v/>
      </c>
      <c r="H18492" s="42">
        <f t="shared" si="1"/>
        <v>3345</v>
      </c>
    </row>
    <row r="18493" ht="22.5" customHeight="1">
      <c r="B18493" s="42" t="str">
        <f>IFERROR(__xludf.DUMMYFUNCTION("""COMPUTED_VALUE"""),"")</f>
        <v/>
      </c>
      <c r="C18493" s="42" t="str">
        <f>IFERROR(__xludf.DUMMYFUNCTION("""COMPUTED_VALUE"""),"")</f>
        <v/>
      </c>
      <c r="D18493" s="42"/>
      <c r="E18493" s="42"/>
      <c r="F18493" s="48" t="str">
        <f>IFERROR(__xludf.DUMMYFUNCTION("""COMPUTED_VALUE"""),"")</f>
        <v/>
      </c>
      <c r="G18493" s="42" t="str">
        <f>IFERROR(__xludf.DUMMYFUNCTION("""COMPUTED_VALUE"""),"")</f>
        <v/>
      </c>
      <c r="H18493" s="42">
        <f t="shared" si="1"/>
        <v>3345</v>
      </c>
    </row>
    <row r="18494" ht="22.5" customHeight="1">
      <c r="B18494" s="42" t="str">
        <f>IFERROR(__xludf.DUMMYFUNCTION("""COMPUTED_VALUE"""),"")</f>
        <v/>
      </c>
      <c r="C18494" s="42" t="str">
        <f>IFERROR(__xludf.DUMMYFUNCTION("""COMPUTED_VALUE"""),"")</f>
        <v/>
      </c>
      <c r="D18494" s="42"/>
      <c r="E18494" s="42"/>
      <c r="F18494" s="48" t="str">
        <f>IFERROR(__xludf.DUMMYFUNCTION("""COMPUTED_VALUE"""),"")</f>
        <v/>
      </c>
      <c r="G18494" s="42" t="str">
        <f>IFERROR(__xludf.DUMMYFUNCTION("""COMPUTED_VALUE"""),"")</f>
        <v/>
      </c>
      <c r="H18494" s="42">
        <f t="shared" si="1"/>
        <v>3345</v>
      </c>
    </row>
    <row r="18495" ht="22.5" customHeight="1">
      <c r="B18495" s="42" t="str">
        <f>IFERROR(__xludf.DUMMYFUNCTION("""COMPUTED_VALUE"""),"")</f>
        <v/>
      </c>
      <c r="C18495" s="42" t="str">
        <f>IFERROR(__xludf.DUMMYFUNCTION("""COMPUTED_VALUE"""),"")</f>
        <v/>
      </c>
      <c r="D18495" s="42"/>
      <c r="E18495" s="42"/>
      <c r="F18495" s="48" t="str">
        <f>IFERROR(__xludf.DUMMYFUNCTION("""COMPUTED_VALUE"""),"")</f>
        <v/>
      </c>
      <c r="G18495" s="42" t="str">
        <f>IFERROR(__xludf.DUMMYFUNCTION("""COMPUTED_VALUE"""),"")</f>
        <v/>
      </c>
      <c r="H18495" s="42">
        <f t="shared" si="1"/>
        <v>3345</v>
      </c>
    </row>
    <row r="18496" ht="22.5" customHeight="1">
      <c r="B18496" s="42" t="str">
        <f>IFERROR(__xludf.DUMMYFUNCTION("""COMPUTED_VALUE"""),"")</f>
        <v/>
      </c>
      <c r="C18496" s="42" t="str">
        <f>IFERROR(__xludf.DUMMYFUNCTION("""COMPUTED_VALUE"""),"")</f>
        <v/>
      </c>
      <c r="D18496" s="42"/>
      <c r="E18496" s="42"/>
      <c r="F18496" s="48" t="str">
        <f>IFERROR(__xludf.DUMMYFUNCTION("""COMPUTED_VALUE"""),"")</f>
        <v/>
      </c>
      <c r="G18496" s="42" t="str">
        <f>IFERROR(__xludf.DUMMYFUNCTION("""COMPUTED_VALUE"""),"")</f>
        <v/>
      </c>
      <c r="H18496" s="42">
        <f t="shared" si="1"/>
        <v>3345</v>
      </c>
    </row>
    <row r="18497" ht="22.5" customHeight="1">
      <c r="B18497" s="42" t="str">
        <f>IFERROR(__xludf.DUMMYFUNCTION("""COMPUTED_VALUE"""),"")</f>
        <v/>
      </c>
      <c r="C18497" s="42" t="str">
        <f>IFERROR(__xludf.DUMMYFUNCTION("""COMPUTED_VALUE"""),"")</f>
        <v/>
      </c>
      <c r="D18497" s="42"/>
      <c r="E18497" s="42"/>
      <c r="F18497" s="48" t="str">
        <f>IFERROR(__xludf.DUMMYFUNCTION("""COMPUTED_VALUE"""),"")</f>
        <v/>
      </c>
      <c r="G18497" s="42" t="str">
        <f>IFERROR(__xludf.DUMMYFUNCTION("""COMPUTED_VALUE"""),"")</f>
        <v/>
      </c>
      <c r="H18497" s="42">
        <f t="shared" si="1"/>
        <v>3345</v>
      </c>
    </row>
    <row r="18498" ht="22.5" customHeight="1">
      <c r="B18498" s="42" t="str">
        <f>IFERROR(__xludf.DUMMYFUNCTION("""COMPUTED_VALUE"""),"")</f>
        <v/>
      </c>
      <c r="C18498" s="42" t="str">
        <f>IFERROR(__xludf.DUMMYFUNCTION("""COMPUTED_VALUE"""),"")</f>
        <v/>
      </c>
      <c r="D18498" s="42"/>
      <c r="E18498" s="42"/>
      <c r="F18498" s="48" t="str">
        <f>IFERROR(__xludf.DUMMYFUNCTION("""COMPUTED_VALUE"""),"")</f>
        <v/>
      </c>
      <c r="G18498" s="42" t="str">
        <f>IFERROR(__xludf.DUMMYFUNCTION("""COMPUTED_VALUE"""),"")</f>
        <v/>
      </c>
      <c r="H18498" s="42">
        <f t="shared" si="1"/>
        <v>3345</v>
      </c>
    </row>
    <row r="18499" ht="22.5" customHeight="1">
      <c r="B18499" s="42" t="str">
        <f>IFERROR(__xludf.DUMMYFUNCTION("""COMPUTED_VALUE"""),"")</f>
        <v/>
      </c>
      <c r="C18499" s="42" t="str">
        <f>IFERROR(__xludf.DUMMYFUNCTION("""COMPUTED_VALUE"""),"")</f>
        <v/>
      </c>
      <c r="D18499" s="42"/>
      <c r="E18499" s="42"/>
      <c r="F18499" s="48" t="str">
        <f>IFERROR(__xludf.DUMMYFUNCTION("""COMPUTED_VALUE"""),"")</f>
        <v/>
      </c>
      <c r="G18499" s="42" t="str">
        <f>IFERROR(__xludf.DUMMYFUNCTION("""COMPUTED_VALUE"""),"")</f>
        <v/>
      </c>
      <c r="H18499" s="42">
        <f t="shared" si="1"/>
        <v>3345</v>
      </c>
    </row>
    <row r="18500" ht="22.5" customHeight="1">
      <c r="B18500" s="42" t="str">
        <f>IFERROR(__xludf.DUMMYFUNCTION("""COMPUTED_VALUE"""),"")</f>
        <v/>
      </c>
      <c r="C18500" s="42" t="str">
        <f>IFERROR(__xludf.DUMMYFUNCTION("""COMPUTED_VALUE"""),"")</f>
        <v/>
      </c>
      <c r="D18500" s="42"/>
      <c r="E18500" s="42"/>
      <c r="F18500" s="48" t="str">
        <f>IFERROR(__xludf.DUMMYFUNCTION("""COMPUTED_VALUE"""),"")</f>
        <v/>
      </c>
      <c r="G18500" s="42" t="str">
        <f>IFERROR(__xludf.DUMMYFUNCTION("""COMPUTED_VALUE"""),"")</f>
        <v/>
      </c>
      <c r="H18500" s="42">
        <f t="shared" si="1"/>
        <v>3345</v>
      </c>
    </row>
    <row r="18501" ht="22.5" customHeight="1">
      <c r="B18501" s="42" t="str">
        <f>IFERROR(__xludf.DUMMYFUNCTION("""COMPUTED_VALUE"""),"")</f>
        <v/>
      </c>
      <c r="C18501" s="42" t="str">
        <f>IFERROR(__xludf.DUMMYFUNCTION("""COMPUTED_VALUE"""),"")</f>
        <v/>
      </c>
      <c r="D18501" s="42"/>
      <c r="E18501" s="42"/>
      <c r="F18501" s="48" t="str">
        <f>IFERROR(__xludf.DUMMYFUNCTION("""COMPUTED_VALUE"""),"")</f>
        <v/>
      </c>
      <c r="G18501" s="42" t="str">
        <f>IFERROR(__xludf.DUMMYFUNCTION("""COMPUTED_VALUE"""),"")</f>
        <v/>
      </c>
      <c r="H18501" s="42">
        <f t="shared" si="1"/>
        <v>3345</v>
      </c>
    </row>
    <row r="18502" ht="22.5" customHeight="1">
      <c r="B18502" s="42" t="str">
        <f>IFERROR(__xludf.DUMMYFUNCTION("""COMPUTED_VALUE"""),"")</f>
        <v/>
      </c>
      <c r="C18502" s="42" t="str">
        <f>IFERROR(__xludf.DUMMYFUNCTION("""COMPUTED_VALUE"""),"")</f>
        <v/>
      </c>
      <c r="D18502" s="42"/>
      <c r="E18502" s="42"/>
      <c r="F18502" s="48" t="str">
        <f>IFERROR(__xludf.DUMMYFUNCTION("""COMPUTED_VALUE"""),"")</f>
        <v/>
      </c>
      <c r="G18502" s="42" t="str">
        <f>IFERROR(__xludf.DUMMYFUNCTION("""COMPUTED_VALUE"""),"")</f>
        <v/>
      </c>
      <c r="H18502" s="42">
        <f t="shared" si="1"/>
        <v>3345</v>
      </c>
    </row>
    <row r="18503" ht="22.5" customHeight="1">
      <c r="B18503" s="42" t="str">
        <f>IFERROR(__xludf.DUMMYFUNCTION("""COMPUTED_VALUE"""),"")</f>
        <v/>
      </c>
      <c r="C18503" s="42" t="str">
        <f>IFERROR(__xludf.DUMMYFUNCTION("""COMPUTED_VALUE"""),"")</f>
        <v/>
      </c>
      <c r="D18503" s="42"/>
      <c r="E18503" s="42"/>
      <c r="F18503" s="48" t="str">
        <f>IFERROR(__xludf.DUMMYFUNCTION("""COMPUTED_VALUE"""),"")</f>
        <v/>
      </c>
      <c r="G18503" s="42" t="str">
        <f>IFERROR(__xludf.DUMMYFUNCTION("""COMPUTED_VALUE"""),"")</f>
        <v/>
      </c>
      <c r="H18503" s="42">
        <f t="shared" si="1"/>
        <v>3345</v>
      </c>
    </row>
    <row r="18504" ht="22.5" customHeight="1">
      <c r="B18504" s="42" t="str">
        <f>IFERROR(__xludf.DUMMYFUNCTION("""COMPUTED_VALUE"""),"")</f>
        <v/>
      </c>
      <c r="C18504" s="42" t="str">
        <f>IFERROR(__xludf.DUMMYFUNCTION("""COMPUTED_VALUE"""),"")</f>
        <v/>
      </c>
      <c r="D18504" s="42"/>
      <c r="E18504" s="42"/>
      <c r="F18504" s="48" t="str">
        <f>IFERROR(__xludf.DUMMYFUNCTION("""COMPUTED_VALUE"""),"")</f>
        <v/>
      </c>
      <c r="G18504" s="42" t="str">
        <f>IFERROR(__xludf.DUMMYFUNCTION("""COMPUTED_VALUE"""),"")</f>
        <v/>
      </c>
      <c r="H18504" s="42">
        <f t="shared" si="1"/>
        <v>3345</v>
      </c>
    </row>
    <row r="18505" ht="22.5" customHeight="1">
      <c r="B18505" s="42" t="str">
        <f>IFERROR(__xludf.DUMMYFUNCTION("""COMPUTED_VALUE"""),"")</f>
        <v/>
      </c>
      <c r="C18505" s="42" t="str">
        <f>IFERROR(__xludf.DUMMYFUNCTION("""COMPUTED_VALUE"""),"")</f>
        <v/>
      </c>
      <c r="D18505" s="42"/>
      <c r="E18505" s="42"/>
      <c r="F18505" s="48" t="str">
        <f>IFERROR(__xludf.DUMMYFUNCTION("""COMPUTED_VALUE"""),"")</f>
        <v/>
      </c>
      <c r="G18505" s="42" t="str">
        <f>IFERROR(__xludf.DUMMYFUNCTION("""COMPUTED_VALUE"""),"")</f>
        <v/>
      </c>
      <c r="H18505" s="42">
        <f t="shared" si="1"/>
        <v>3345</v>
      </c>
    </row>
    <row r="18506" ht="22.5" customHeight="1">
      <c r="B18506" s="42" t="str">
        <f>IFERROR(__xludf.DUMMYFUNCTION("""COMPUTED_VALUE"""),"")</f>
        <v/>
      </c>
      <c r="C18506" s="42" t="str">
        <f>IFERROR(__xludf.DUMMYFUNCTION("""COMPUTED_VALUE"""),"")</f>
        <v/>
      </c>
      <c r="D18506" s="42"/>
      <c r="E18506" s="42"/>
      <c r="F18506" s="48" t="str">
        <f>IFERROR(__xludf.DUMMYFUNCTION("""COMPUTED_VALUE"""),"")</f>
        <v/>
      </c>
      <c r="G18506" s="42" t="str">
        <f>IFERROR(__xludf.DUMMYFUNCTION("""COMPUTED_VALUE"""),"")</f>
        <v/>
      </c>
      <c r="H18506" s="42">
        <f t="shared" si="1"/>
        <v>3345</v>
      </c>
    </row>
    <row r="18507" ht="22.5" customHeight="1">
      <c r="B18507" s="42" t="str">
        <f>IFERROR(__xludf.DUMMYFUNCTION("""COMPUTED_VALUE"""),"")</f>
        <v/>
      </c>
      <c r="C18507" s="42" t="str">
        <f>IFERROR(__xludf.DUMMYFUNCTION("""COMPUTED_VALUE"""),"")</f>
        <v/>
      </c>
      <c r="D18507" s="42"/>
      <c r="E18507" s="42"/>
      <c r="F18507" s="48" t="str">
        <f>IFERROR(__xludf.DUMMYFUNCTION("""COMPUTED_VALUE"""),"")</f>
        <v/>
      </c>
      <c r="G18507" s="42" t="str">
        <f>IFERROR(__xludf.DUMMYFUNCTION("""COMPUTED_VALUE"""),"")</f>
        <v/>
      </c>
      <c r="H18507" s="42">
        <f t="shared" si="1"/>
        <v>3345</v>
      </c>
    </row>
    <row r="18508" ht="22.5" customHeight="1">
      <c r="B18508" s="42" t="str">
        <f>IFERROR(__xludf.DUMMYFUNCTION("""COMPUTED_VALUE"""),"")</f>
        <v/>
      </c>
      <c r="C18508" s="42" t="str">
        <f>IFERROR(__xludf.DUMMYFUNCTION("""COMPUTED_VALUE"""),"")</f>
        <v/>
      </c>
      <c r="D18508" s="42"/>
      <c r="E18508" s="42"/>
      <c r="F18508" s="48" t="str">
        <f>IFERROR(__xludf.DUMMYFUNCTION("""COMPUTED_VALUE"""),"")</f>
        <v/>
      </c>
      <c r="G18508" s="42" t="str">
        <f>IFERROR(__xludf.DUMMYFUNCTION("""COMPUTED_VALUE"""),"")</f>
        <v/>
      </c>
      <c r="H18508" s="42">
        <f t="shared" si="1"/>
        <v>3345</v>
      </c>
    </row>
    <row r="18509" ht="22.5" customHeight="1">
      <c r="B18509" s="42" t="str">
        <f>IFERROR(__xludf.DUMMYFUNCTION("""COMPUTED_VALUE"""),"")</f>
        <v/>
      </c>
      <c r="C18509" s="42" t="str">
        <f>IFERROR(__xludf.DUMMYFUNCTION("""COMPUTED_VALUE"""),"")</f>
        <v/>
      </c>
      <c r="D18509" s="42"/>
      <c r="E18509" s="42"/>
      <c r="F18509" s="48" t="str">
        <f>IFERROR(__xludf.DUMMYFUNCTION("""COMPUTED_VALUE"""),"")</f>
        <v/>
      </c>
      <c r="G18509" s="42" t="str">
        <f>IFERROR(__xludf.DUMMYFUNCTION("""COMPUTED_VALUE"""),"")</f>
        <v/>
      </c>
      <c r="H18509" s="42">
        <f t="shared" si="1"/>
        <v>3345</v>
      </c>
    </row>
    <row r="18510" ht="22.5" customHeight="1">
      <c r="B18510" s="42" t="str">
        <f>IFERROR(__xludf.DUMMYFUNCTION("""COMPUTED_VALUE"""),"")</f>
        <v/>
      </c>
      <c r="C18510" s="42" t="str">
        <f>IFERROR(__xludf.DUMMYFUNCTION("""COMPUTED_VALUE"""),"")</f>
        <v/>
      </c>
      <c r="D18510" s="42"/>
      <c r="E18510" s="42"/>
      <c r="F18510" s="48" t="str">
        <f>IFERROR(__xludf.DUMMYFUNCTION("""COMPUTED_VALUE"""),"")</f>
        <v/>
      </c>
      <c r="G18510" s="42" t="str">
        <f>IFERROR(__xludf.DUMMYFUNCTION("""COMPUTED_VALUE"""),"")</f>
        <v/>
      </c>
      <c r="H18510" s="42">
        <f t="shared" si="1"/>
        <v>3345</v>
      </c>
    </row>
    <row r="18511" ht="22.5" customHeight="1">
      <c r="B18511" s="42" t="str">
        <f>IFERROR(__xludf.DUMMYFUNCTION("""COMPUTED_VALUE"""),"")</f>
        <v/>
      </c>
      <c r="C18511" s="42" t="str">
        <f>IFERROR(__xludf.DUMMYFUNCTION("""COMPUTED_VALUE"""),"")</f>
        <v/>
      </c>
      <c r="D18511" s="42"/>
      <c r="E18511" s="42"/>
      <c r="F18511" s="48" t="str">
        <f>IFERROR(__xludf.DUMMYFUNCTION("""COMPUTED_VALUE"""),"")</f>
        <v/>
      </c>
      <c r="G18511" s="42" t="str">
        <f>IFERROR(__xludf.DUMMYFUNCTION("""COMPUTED_VALUE"""),"")</f>
        <v/>
      </c>
      <c r="H18511" s="42">
        <f t="shared" si="1"/>
        <v>3345</v>
      </c>
    </row>
    <row r="18512" ht="22.5" customHeight="1">
      <c r="B18512" s="42" t="str">
        <f>IFERROR(__xludf.DUMMYFUNCTION("""COMPUTED_VALUE"""),"")</f>
        <v/>
      </c>
      <c r="C18512" s="42" t="str">
        <f>IFERROR(__xludf.DUMMYFUNCTION("""COMPUTED_VALUE"""),"")</f>
        <v/>
      </c>
      <c r="D18512" s="42"/>
      <c r="E18512" s="42"/>
      <c r="F18512" s="48" t="str">
        <f>IFERROR(__xludf.DUMMYFUNCTION("""COMPUTED_VALUE"""),"")</f>
        <v/>
      </c>
      <c r="G18512" s="42" t="str">
        <f>IFERROR(__xludf.DUMMYFUNCTION("""COMPUTED_VALUE"""),"")</f>
        <v/>
      </c>
      <c r="H18512" s="42">
        <f t="shared" si="1"/>
        <v>3345</v>
      </c>
    </row>
    <row r="18513" ht="22.5" customHeight="1">
      <c r="B18513" s="42" t="str">
        <f>IFERROR(__xludf.DUMMYFUNCTION("""COMPUTED_VALUE"""),"")</f>
        <v/>
      </c>
      <c r="C18513" s="42" t="str">
        <f>IFERROR(__xludf.DUMMYFUNCTION("""COMPUTED_VALUE"""),"")</f>
        <v/>
      </c>
      <c r="D18513" s="42"/>
      <c r="E18513" s="42"/>
      <c r="F18513" s="48" t="str">
        <f>IFERROR(__xludf.DUMMYFUNCTION("""COMPUTED_VALUE"""),"")</f>
        <v/>
      </c>
      <c r="G18513" s="42" t="str">
        <f>IFERROR(__xludf.DUMMYFUNCTION("""COMPUTED_VALUE"""),"")</f>
        <v/>
      </c>
      <c r="H18513" s="42">
        <f t="shared" si="1"/>
        <v>3345</v>
      </c>
    </row>
    <row r="18514" ht="22.5" customHeight="1">
      <c r="B18514" s="42" t="str">
        <f>IFERROR(__xludf.DUMMYFUNCTION("""COMPUTED_VALUE"""),"")</f>
        <v/>
      </c>
      <c r="C18514" s="42" t="str">
        <f>IFERROR(__xludf.DUMMYFUNCTION("""COMPUTED_VALUE"""),"")</f>
        <v/>
      </c>
      <c r="D18514" s="42"/>
      <c r="E18514" s="42"/>
      <c r="F18514" s="48" t="str">
        <f>IFERROR(__xludf.DUMMYFUNCTION("""COMPUTED_VALUE"""),"")</f>
        <v/>
      </c>
      <c r="G18514" s="42" t="str">
        <f>IFERROR(__xludf.DUMMYFUNCTION("""COMPUTED_VALUE"""),"")</f>
        <v/>
      </c>
      <c r="H18514" s="42">
        <f t="shared" si="1"/>
        <v>3345</v>
      </c>
    </row>
    <row r="18515" ht="22.5" customHeight="1">
      <c r="B18515" s="42" t="str">
        <f>IFERROR(__xludf.DUMMYFUNCTION("""COMPUTED_VALUE"""),"")</f>
        <v/>
      </c>
      <c r="C18515" s="42" t="str">
        <f>IFERROR(__xludf.DUMMYFUNCTION("""COMPUTED_VALUE"""),"")</f>
        <v/>
      </c>
      <c r="D18515" s="42"/>
      <c r="E18515" s="42"/>
      <c r="F18515" s="48" t="str">
        <f>IFERROR(__xludf.DUMMYFUNCTION("""COMPUTED_VALUE"""),"")</f>
        <v/>
      </c>
      <c r="G18515" s="42" t="str">
        <f>IFERROR(__xludf.DUMMYFUNCTION("""COMPUTED_VALUE"""),"")</f>
        <v/>
      </c>
      <c r="H18515" s="42">
        <f t="shared" si="1"/>
        <v>3345</v>
      </c>
    </row>
    <row r="18516" ht="22.5" customHeight="1">
      <c r="B18516" s="42" t="str">
        <f>IFERROR(__xludf.DUMMYFUNCTION("""COMPUTED_VALUE"""),"")</f>
        <v/>
      </c>
      <c r="C18516" s="42" t="str">
        <f>IFERROR(__xludf.DUMMYFUNCTION("""COMPUTED_VALUE"""),"")</f>
        <v/>
      </c>
      <c r="D18516" s="42"/>
      <c r="E18516" s="42"/>
      <c r="F18516" s="48" t="str">
        <f>IFERROR(__xludf.DUMMYFUNCTION("""COMPUTED_VALUE"""),"")</f>
        <v/>
      </c>
      <c r="G18516" s="42" t="str">
        <f>IFERROR(__xludf.DUMMYFUNCTION("""COMPUTED_VALUE"""),"")</f>
        <v/>
      </c>
      <c r="H18516" s="42">
        <f t="shared" si="1"/>
        <v>3345</v>
      </c>
    </row>
    <row r="18517" ht="22.5" customHeight="1">
      <c r="B18517" s="42" t="str">
        <f>IFERROR(__xludf.DUMMYFUNCTION("""COMPUTED_VALUE"""),"")</f>
        <v/>
      </c>
      <c r="C18517" s="42" t="str">
        <f>IFERROR(__xludf.DUMMYFUNCTION("""COMPUTED_VALUE"""),"")</f>
        <v/>
      </c>
      <c r="D18517" s="42"/>
      <c r="E18517" s="42"/>
      <c r="F18517" s="48" t="str">
        <f>IFERROR(__xludf.DUMMYFUNCTION("""COMPUTED_VALUE"""),"")</f>
        <v/>
      </c>
      <c r="G18517" s="42" t="str">
        <f>IFERROR(__xludf.DUMMYFUNCTION("""COMPUTED_VALUE"""),"")</f>
        <v/>
      </c>
      <c r="H18517" s="42">
        <f t="shared" si="1"/>
        <v>3345</v>
      </c>
    </row>
    <row r="18518" ht="22.5" customHeight="1">
      <c r="B18518" s="42" t="str">
        <f>IFERROR(__xludf.DUMMYFUNCTION("""COMPUTED_VALUE"""),"")</f>
        <v/>
      </c>
      <c r="C18518" s="42" t="str">
        <f>IFERROR(__xludf.DUMMYFUNCTION("""COMPUTED_VALUE"""),"")</f>
        <v/>
      </c>
      <c r="D18518" s="42"/>
      <c r="E18518" s="42"/>
      <c r="F18518" s="48" t="str">
        <f>IFERROR(__xludf.DUMMYFUNCTION("""COMPUTED_VALUE"""),"")</f>
        <v/>
      </c>
      <c r="G18518" s="42" t="str">
        <f>IFERROR(__xludf.DUMMYFUNCTION("""COMPUTED_VALUE"""),"")</f>
        <v/>
      </c>
      <c r="H18518" s="42">
        <f t="shared" si="1"/>
        <v>3345</v>
      </c>
    </row>
    <row r="18519" ht="22.5" customHeight="1">
      <c r="B18519" s="42" t="str">
        <f>IFERROR(__xludf.DUMMYFUNCTION("""COMPUTED_VALUE"""),"")</f>
        <v/>
      </c>
      <c r="C18519" s="42" t="str">
        <f>IFERROR(__xludf.DUMMYFUNCTION("""COMPUTED_VALUE"""),"")</f>
        <v/>
      </c>
      <c r="D18519" s="42"/>
      <c r="E18519" s="42"/>
      <c r="F18519" s="48" t="str">
        <f>IFERROR(__xludf.DUMMYFUNCTION("""COMPUTED_VALUE"""),"")</f>
        <v/>
      </c>
      <c r="G18519" s="42" t="str">
        <f>IFERROR(__xludf.DUMMYFUNCTION("""COMPUTED_VALUE"""),"")</f>
        <v/>
      </c>
      <c r="H18519" s="42">
        <f t="shared" si="1"/>
        <v>3345</v>
      </c>
    </row>
    <row r="18520" ht="22.5" customHeight="1">
      <c r="B18520" s="42" t="str">
        <f>IFERROR(__xludf.DUMMYFUNCTION("""COMPUTED_VALUE"""),"")</f>
        <v/>
      </c>
      <c r="C18520" s="42" t="str">
        <f>IFERROR(__xludf.DUMMYFUNCTION("""COMPUTED_VALUE"""),"")</f>
        <v/>
      </c>
      <c r="D18520" s="42"/>
      <c r="E18520" s="42"/>
      <c r="F18520" s="48" t="str">
        <f>IFERROR(__xludf.DUMMYFUNCTION("""COMPUTED_VALUE"""),"")</f>
        <v/>
      </c>
      <c r="G18520" s="42" t="str">
        <f>IFERROR(__xludf.DUMMYFUNCTION("""COMPUTED_VALUE"""),"")</f>
        <v/>
      </c>
      <c r="H18520" s="42">
        <f t="shared" si="1"/>
        <v>3345</v>
      </c>
    </row>
    <row r="18521" ht="22.5" customHeight="1">
      <c r="B18521" s="42" t="str">
        <f>IFERROR(__xludf.DUMMYFUNCTION("""COMPUTED_VALUE"""),"")</f>
        <v/>
      </c>
      <c r="C18521" s="42" t="str">
        <f>IFERROR(__xludf.DUMMYFUNCTION("""COMPUTED_VALUE"""),"")</f>
        <v/>
      </c>
      <c r="D18521" s="42"/>
      <c r="E18521" s="42"/>
      <c r="F18521" s="48" t="str">
        <f>IFERROR(__xludf.DUMMYFUNCTION("""COMPUTED_VALUE"""),"")</f>
        <v/>
      </c>
      <c r="G18521" s="42" t="str">
        <f>IFERROR(__xludf.DUMMYFUNCTION("""COMPUTED_VALUE"""),"")</f>
        <v/>
      </c>
      <c r="H18521" s="42">
        <f t="shared" si="1"/>
        <v>3345</v>
      </c>
    </row>
    <row r="18522" ht="22.5" customHeight="1">
      <c r="B18522" s="42" t="str">
        <f>IFERROR(__xludf.DUMMYFUNCTION("""COMPUTED_VALUE"""),"")</f>
        <v/>
      </c>
      <c r="C18522" s="42" t="str">
        <f>IFERROR(__xludf.DUMMYFUNCTION("""COMPUTED_VALUE"""),"")</f>
        <v/>
      </c>
      <c r="D18522" s="42"/>
      <c r="E18522" s="42"/>
      <c r="F18522" s="48" t="str">
        <f>IFERROR(__xludf.DUMMYFUNCTION("""COMPUTED_VALUE"""),"")</f>
        <v/>
      </c>
      <c r="G18522" s="42" t="str">
        <f>IFERROR(__xludf.DUMMYFUNCTION("""COMPUTED_VALUE"""),"")</f>
        <v/>
      </c>
      <c r="H18522" s="42">
        <f t="shared" si="1"/>
        <v>3345</v>
      </c>
    </row>
    <row r="18523" ht="22.5" customHeight="1">
      <c r="B18523" s="42" t="str">
        <f>IFERROR(__xludf.DUMMYFUNCTION("""COMPUTED_VALUE"""),"")</f>
        <v/>
      </c>
      <c r="C18523" s="42" t="str">
        <f>IFERROR(__xludf.DUMMYFUNCTION("""COMPUTED_VALUE"""),"")</f>
        <v/>
      </c>
      <c r="D18523" s="42"/>
      <c r="E18523" s="42"/>
      <c r="F18523" s="48" t="str">
        <f>IFERROR(__xludf.DUMMYFUNCTION("""COMPUTED_VALUE"""),"")</f>
        <v/>
      </c>
      <c r="G18523" s="42" t="str">
        <f>IFERROR(__xludf.DUMMYFUNCTION("""COMPUTED_VALUE"""),"")</f>
        <v/>
      </c>
      <c r="H18523" s="42">
        <f t="shared" si="1"/>
        <v>3345</v>
      </c>
    </row>
    <row r="18524" ht="22.5" customHeight="1">
      <c r="B18524" s="42" t="str">
        <f>IFERROR(__xludf.DUMMYFUNCTION("""COMPUTED_VALUE"""),"")</f>
        <v/>
      </c>
      <c r="C18524" s="42" t="str">
        <f>IFERROR(__xludf.DUMMYFUNCTION("""COMPUTED_VALUE"""),"")</f>
        <v/>
      </c>
      <c r="D18524" s="42"/>
      <c r="E18524" s="42"/>
      <c r="F18524" s="48" t="str">
        <f>IFERROR(__xludf.DUMMYFUNCTION("""COMPUTED_VALUE"""),"")</f>
        <v/>
      </c>
      <c r="G18524" s="42" t="str">
        <f>IFERROR(__xludf.DUMMYFUNCTION("""COMPUTED_VALUE"""),"")</f>
        <v/>
      </c>
      <c r="H18524" s="42">
        <f t="shared" si="1"/>
        <v>3345</v>
      </c>
    </row>
    <row r="18525" ht="22.5" customHeight="1">
      <c r="B18525" s="42" t="str">
        <f>IFERROR(__xludf.DUMMYFUNCTION("""COMPUTED_VALUE"""),"")</f>
        <v/>
      </c>
      <c r="C18525" s="42" t="str">
        <f>IFERROR(__xludf.DUMMYFUNCTION("""COMPUTED_VALUE"""),"")</f>
        <v/>
      </c>
      <c r="D18525" s="42"/>
      <c r="E18525" s="42"/>
      <c r="F18525" s="48" t="str">
        <f>IFERROR(__xludf.DUMMYFUNCTION("""COMPUTED_VALUE"""),"")</f>
        <v/>
      </c>
      <c r="G18525" s="42" t="str">
        <f>IFERROR(__xludf.DUMMYFUNCTION("""COMPUTED_VALUE"""),"")</f>
        <v/>
      </c>
      <c r="H18525" s="42">
        <f t="shared" si="1"/>
        <v>3345</v>
      </c>
    </row>
    <row r="18526" ht="22.5" customHeight="1">
      <c r="B18526" s="42" t="str">
        <f>IFERROR(__xludf.DUMMYFUNCTION("""COMPUTED_VALUE"""),"")</f>
        <v/>
      </c>
      <c r="C18526" s="42" t="str">
        <f>IFERROR(__xludf.DUMMYFUNCTION("""COMPUTED_VALUE"""),"")</f>
        <v/>
      </c>
      <c r="D18526" s="42"/>
      <c r="E18526" s="42"/>
      <c r="F18526" s="48" t="str">
        <f>IFERROR(__xludf.DUMMYFUNCTION("""COMPUTED_VALUE"""),"")</f>
        <v/>
      </c>
      <c r="G18526" s="42" t="str">
        <f>IFERROR(__xludf.DUMMYFUNCTION("""COMPUTED_VALUE"""),"")</f>
        <v/>
      </c>
      <c r="H18526" s="42">
        <f t="shared" si="1"/>
        <v>3345</v>
      </c>
    </row>
    <row r="18527" ht="22.5" customHeight="1">
      <c r="B18527" s="42" t="str">
        <f>IFERROR(__xludf.DUMMYFUNCTION("""COMPUTED_VALUE"""),"")</f>
        <v/>
      </c>
      <c r="C18527" s="42" t="str">
        <f>IFERROR(__xludf.DUMMYFUNCTION("""COMPUTED_VALUE"""),"")</f>
        <v/>
      </c>
      <c r="D18527" s="42"/>
      <c r="E18527" s="42"/>
      <c r="F18527" s="48" t="str">
        <f>IFERROR(__xludf.DUMMYFUNCTION("""COMPUTED_VALUE"""),"")</f>
        <v/>
      </c>
      <c r="G18527" s="42" t="str">
        <f>IFERROR(__xludf.DUMMYFUNCTION("""COMPUTED_VALUE"""),"")</f>
        <v/>
      </c>
      <c r="H18527" s="42">
        <f t="shared" si="1"/>
        <v>3345</v>
      </c>
    </row>
    <row r="18528" ht="22.5" customHeight="1">
      <c r="B18528" s="42" t="str">
        <f>IFERROR(__xludf.DUMMYFUNCTION("""COMPUTED_VALUE"""),"")</f>
        <v/>
      </c>
      <c r="C18528" s="42" t="str">
        <f>IFERROR(__xludf.DUMMYFUNCTION("""COMPUTED_VALUE"""),"")</f>
        <v/>
      </c>
      <c r="D18528" s="42"/>
      <c r="E18528" s="42"/>
      <c r="F18528" s="48" t="str">
        <f>IFERROR(__xludf.DUMMYFUNCTION("""COMPUTED_VALUE"""),"")</f>
        <v/>
      </c>
      <c r="G18528" s="42" t="str">
        <f>IFERROR(__xludf.DUMMYFUNCTION("""COMPUTED_VALUE"""),"")</f>
        <v/>
      </c>
      <c r="H18528" s="42">
        <f t="shared" si="1"/>
        <v>3345</v>
      </c>
    </row>
    <row r="18529" ht="22.5" customHeight="1">
      <c r="B18529" s="42" t="str">
        <f>IFERROR(__xludf.DUMMYFUNCTION("""COMPUTED_VALUE"""),"")</f>
        <v/>
      </c>
      <c r="C18529" s="42" t="str">
        <f>IFERROR(__xludf.DUMMYFUNCTION("""COMPUTED_VALUE"""),"")</f>
        <v/>
      </c>
      <c r="D18529" s="42"/>
      <c r="E18529" s="42"/>
      <c r="F18529" s="48" t="str">
        <f>IFERROR(__xludf.DUMMYFUNCTION("""COMPUTED_VALUE"""),"")</f>
        <v/>
      </c>
      <c r="G18529" s="42" t="str">
        <f>IFERROR(__xludf.DUMMYFUNCTION("""COMPUTED_VALUE"""),"")</f>
        <v/>
      </c>
      <c r="H18529" s="42">
        <f t="shared" si="1"/>
        <v>3345</v>
      </c>
    </row>
    <row r="18530" ht="22.5" customHeight="1">
      <c r="B18530" s="42" t="str">
        <f>IFERROR(__xludf.DUMMYFUNCTION("""COMPUTED_VALUE"""),"")</f>
        <v/>
      </c>
      <c r="C18530" s="42" t="str">
        <f>IFERROR(__xludf.DUMMYFUNCTION("""COMPUTED_VALUE"""),"")</f>
        <v/>
      </c>
      <c r="D18530" s="42"/>
      <c r="E18530" s="42"/>
      <c r="F18530" s="48" t="str">
        <f>IFERROR(__xludf.DUMMYFUNCTION("""COMPUTED_VALUE"""),"")</f>
        <v/>
      </c>
      <c r="G18530" s="42" t="str">
        <f>IFERROR(__xludf.DUMMYFUNCTION("""COMPUTED_VALUE"""),"")</f>
        <v/>
      </c>
      <c r="H18530" s="42">
        <f t="shared" si="1"/>
        <v>3345</v>
      </c>
    </row>
    <row r="18531" ht="22.5" customHeight="1">
      <c r="B18531" s="42" t="str">
        <f>IFERROR(__xludf.DUMMYFUNCTION("""COMPUTED_VALUE"""),"")</f>
        <v/>
      </c>
      <c r="C18531" s="42" t="str">
        <f>IFERROR(__xludf.DUMMYFUNCTION("""COMPUTED_VALUE"""),"")</f>
        <v/>
      </c>
      <c r="D18531" s="42"/>
      <c r="E18531" s="42"/>
      <c r="F18531" s="48" t="str">
        <f>IFERROR(__xludf.DUMMYFUNCTION("""COMPUTED_VALUE"""),"")</f>
        <v/>
      </c>
      <c r="G18531" s="42" t="str">
        <f>IFERROR(__xludf.DUMMYFUNCTION("""COMPUTED_VALUE"""),"")</f>
        <v/>
      </c>
      <c r="H18531" s="42">
        <f t="shared" si="1"/>
        <v>3345</v>
      </c>
    </row>
    <row r="18532" ht="22.5" customHeight="1">
      <c r="B18532" s="42" t="str">
        <f>IFERROR(__xludf.DUMMYFUNCTION("""COMPUTED_VALUE"""),"")</f>
        <v/>
      </c>
      <c r="C18532" s="42" t="str">
        <f>IFERROR(__xludf.DUMMYFUNCTION("""COMPUTED_VALUE"""),"")</f>
        <v/>
      </c>
      <c r="D18532" s="42"/>
      <c r="E18532" s="42"/>
      <c r="F18532" s="48" t="str">
        <f>IFERROR(__xludf.DUMMYFUNCTION("""COMPUTED_VALUE"""),"")</f>
        <v/>
      </c>
      <c r="G18532" s="42" t="str">
        <f>IFERROR(__xludf.DUMMYFUNCTION("""COMPUTED_VALUE"""),"")</f>
        <v/>
      </c>
      <c r="H18532" s="42">
        <f t="shared" si="1"/>
        <v>3345</v>
      </c>
    </row>
    <row r="18533" ht="22.5" customHeight="1">
      <c r="B18533" s="42" t="str">
        <f>IFERROR(__xludf.DUMMYFUNCTION("""COMPUTED_VALUE"""),"")</f>
        <v/>
      </c>
      <c r="C18533" s="42" t="str">
        <f>IFERROR(__xludf.DUMMYFUNCTION("""COMPUTED_VALUE"""),"")</f>
        <v/>
      </c>
      <c r="D18533" s="42"/>
      <c r="E18533" s="42"/>
      <c r="F18533" s="48" t="str">
        <f>IFERROR(__xludf.DUMMYFUNCTION("""COMPUTED_VALUE"""),"")</f>
        <v/>
      </c>
      <c r="G18533" s="42" t="str">
        <f>IFERROR(__xludf.DUMMYFUNCTION("""COMPUTED_VALUE"""),"")</f>
        <v/>
      </c>
      <c r="H18533" s="42">
        <f t="shared" si="1"/>
        <v>3345</v>
      </c>
    </row>
    <row r="18534" ht="22.5" customHeight="1">
      <c r="B18534" s="42" t="str">
        <f>IFERROR(__xludf.DUMMYFUNCTION("""COMPUTED_VALUE"""),"")</f>
        <v/>
      </c>
      <c r="C18534" s="42" t="str">
        <f>IFERROR(__xludf.DUMMYFUNCTION("""COMPUTED_VALUE"""),"")</f>
        <v/>
      </c>
      <c r="D18534" s="42"/>
      <c r="E18534" s="42"/>
      <c r="F18534" s="48" t="str">
        <f>IFERROR(__xludf.DUMMYFUNCTION("""COMPUTED_VALUE"""),"")</f>
        <v/>
      </c>
      <c r="G18534" s="42" t="str">
        <f>IFERROR(__xludf.DUMMYFUNCTION("""COMPUTED_VALUE"""),"")</f>
        <v/>
      </c>
      <c r="H18534" s="42">
        <f t="shared" si="1"/>
        <v>3345</v>
      </c>
    </row>
    <row r="18535" ht="22.5" customHeight="1">
      <c r="B18535" s="42" t="str">
        <f>IFERROR(__xludf.DUMMYFUNCTION("""COMPUTED_VALUE"""),"")</f>
        <v/>
      </c>
      <c r="C18535" s="42" t="str">
        <f>IFERROR(__xludf.DUMMYFUNCTION("""COMPUTED_VALUE"""),"")</f>
        <v/>
      </c>
      <c r="D18535" s="42"/>
      <c r="E18535" s="42"/>
      <c r="F18535" s="48" t="str">
        <f>IFERROR(__xludf.DUMMYFUNCTION("""COMPUTED_VALUE"""),"")</f>
        <v/>
      </c>
      <c r="G18535" s="42" t="str">
        <f>IFERROR(__xludf.DUMMYFUNCTION("""COMPUTED_VALUE"""),"")</f>
        <v/>
      </c>
      <c r="H18535" s="42">
        <f t="shared" si="1"/>
        <v>3345</v>
      </c>
    </row>
    <row r="18536" ht="22.5" customHeight="1">
      <c r="B18536" s="42" t="str">
        <f>IFERROR(__xludf.DUMMYFUNCTION("""COMPUTED_VALUE"""),"")</f>
        <v/>
      </c>
      <c r="C18536" s="42" t="str">
        <f>IFERROR(__xludf.DUMMYFUNCTION("""COMPUTED_VALUE"""),"")</f>
        <v/>
      </c>
      <c r="D18536" s="42"/>
      <c r="E18536" s="42"/>
      <c r="F18536" s="48" t="str">
        <f>IFERROR(__xludf.DUMMYFUNCTION("""COMPUTED_VALUE"""),"")</f>
        <v/>
      </c>
      <c r="G18536" s="42" t="str">
        <f>IFERROR(__xludf.DUMMYFUNCTION("""COMPUTED_VALUE"""),"")</f>
        <v/>
      </c>
      <c r="H18536" s="42">
        <f t="shared" si="1"/>
        <v>3345</v>
      </c>
    </row>
    <row r="18537" ht="22.5" customHeight="1">
      <c r="B18537" s="42" t="str">
        <f>IFERROR(__xludf.DUMMYFUNCTION("""COMPUTED_VALUE"""),"")</f>
        <v/>
      </c>
      <c r="C18537" s="42" t="str">
        <f>IFERROR(__xludf.DUMMYFUNCTION("""COMPUTED_VALUE"""),"")</f>
        <v/>
      </c>
      <c r="D18537" s="42"/>
      <c r="E18537" s="42"/>
      <c r="F18537" s="48" t="str">
        <f>IFERROR(__xludf.DUMMYFUNCTION("""COMPUTED_VALUE"""),"")</f>
        <v/>
      </c>
      <c r="G18537" s="42" t="str">
        <f>IFERROR(__xludf.DUMMYFUNCTION("""COMPUTED_VALUE"""),"")</f>
        <v/>
      </c>
      <c r="H18537" s="42">
        <f t="shared" si="1"/>
        <v>3345</v>
      </c>
    </row>
    <row r="18538" ht="22.5" customHeight="1">
      <c r="B18538" s="42" t="str">
        <f>IFERROR(__xludf.DUMMYFUNCTION("""COMPUTED_VALUE"""),"")</f>
        <v/>
      </c>
      <c r="C18538" s="42" t="str">
        <f>IFERROR(__xludf.DUMMYFUNCTION("""COMPUTED_VALUE"""),"")</f>
        <v/>
      </c>
      <c r="D18538" s="42"/>
      <c r="E18538" s="42"/>
      <c r="F18538" s="48" t="str">
        <f>IFERROR(__xludf.DUMMYFUNCTION("""COMPUTED_VALUE"""),"")</f>
        <v/>
      </c>
      <c r="G18538" s="42" t="str">
        <f>IFERROR(__xludf.DUMMYFUNCTION("""COMPUTED_VALUE"""),"")</f>
        <v/>
      </c>
      <c r="H18538" s="42">
        <f t="shared" si="1"/>
        <v>3345</v>
      </c>
    </row>
    <row r="18539" ht="22.5" customHeight="1">
      <c r="B18539" s="42" t="str">
        <f>IFERROR(__xludf.DUMMYFUNCTION("""COMPUTED_VALUE"""),"")</f>
        <v/>
      </c>
      <c r="C18539" s="42" t="str">
        <f>IFERROR(__xludf.DUMMYFUNCTION("""COMPUTED_VALUE"""),"")</f>
        <v/>
      </c>
      <c r="D18539" s="42"/>
      <c r="E18539" s="42"/>
      <c r="F18539" s="48" t="str">
        <f>IFERROR(__xludf.DUMMYFUNCTION("""COMPUTED_VALUE"""),"")</f>
        <v/>
      </c>
      <c r="G18539" s="42" t="str">
        <f>IFERROR(__xludf.DUMMYFUNCTION("""COMPUTED_VALUE"""),"")</f>
        <v/>
      </c>
      <c r="H18539" s="42">
        <f t="shared" si="1"/>
        <v>3345</v>
      </c>
    </row>
    <row r="18540" ht="22.5" customHeight="1">
      <c r="B18540" s="42" t="str">
        <f>IFERROR(__xludf.DUMMYFUNCTION("""COMPUTED_VALUE"""),"")</f>
        <v/>
      </c>
      <c r="C18540" s="42" t="str">
        <f>IFERROR(__xludf.DUMMYFUNCTION("""COMPUTED_VALUE"""),"")</f>
        <v/>
      </c>
      <c r="D18540" s="42"/>
      <c r="E18540" s="42"/>
      <c r="F18540" s="48" t="str">
        <f>IFERROR(__xludf.DUMMYFUNCTION("""COMPUTED_VALUE"""),"")</f>
        <v/>
      </c>
      <c r="G18540" s="42" t="str">
        <f>IFERROR(__xludf.DUMMYFUNCTION("""COMPUTED_VALUE"""),"")</f>
        <v/>
      </c>
      <c r="H18540" s="42">
        <f t="shared" si="1"/>
        <v>3345</v>
      </c>
    </row>
    <row r="18541" ht="22.5" customHeight="1">
      <c r="B18541" s="42" t="str">
        <f>IFERROR(__xludf.DUMMYFUNCTION("""COMPUTED_VALUE"""),"")</f>
        <v/>
      </c>
      <c r="C18541" s="42" t="str">
        <f>IFERROR(__xludf.DUMMYFUNCTION("""COMPUTED_VALUE"""),"")</f>
        <v/>
      </c>
      <c r="D18541" s="42"/>
      <c r="E18541" s="42"/>
      <c r="F18541" s="48" t="str">
        <f>IFERROR(__xludf.DUMMYFUNCTION("""COMPUTED_VALUE"""),"")</f>
        <v/>
      </c>
      <c r="G18541" s="42" t="str">
        <f>IFERROR(__xludf.DUMMYFUNCTION("""COMPUTED_VALUE"""),"")</f>
        <v/>
      </c>
      <c r="H18541" s="42">
        <f t="shared" si="1"/>
        <v>3345</v>
      </c>
    </row>
    <row r="18542" ht="22.5" customHeight="1">
      <c r="B18542" s="42" t="str">
        <f>IFERROR(__xludf.DUMMYFUNCTION("""COMPUTED_VALUE"""),"")</f>
        <v/>
      </c>
      <c r="C18542" s="42" t="str">
        <f>IFERROR(__xludf.DUMMYFUNCTION("""COMPUTED_VALUE"""),"")</f>
        <v/>
      </c>
      <c r="D18542" s="42"/>
      <c r="E18542" s="42"/>
      <c r="F18542" s="48" t="str">
        <f>IFERROR(__xludf.DUMMYFUNCTION("""COMPUTED_VALUE"""),"")</f>
        <v/>
      </c>
      <c r="G18542" s="42" t="str">
        <f>IFERROR(__xludf.DUMMYFUNCTION("""COMPUTED_VALUE"""),"")</f>
        <v/>
      </c>
      <c r="H18542" s="42">
        <f t="shared" si="1"/>
        <v>3345</v>
      </c>
    </row>
    <row r="18543" ht="22.5" customHeight="1">
      <c r="B18543" s="42" t="str">
        <f>IFERROR(__xludf.DUMMYFUNCTION("""COMPUTED_VALUE"""),"")</f>
        <v/>
      </c>
      <c r="C18543" s="42" t="str">
        <f>IFERROR(__xludf.DUMMYFUNCTION("""COMPUTED_VALUE"""),"")</f>
        <v/>
      </c>
      <c r="D18543" s="42"/>
      <c r="E18543" s="42"/>
      <c r="F18543" s="48" t="str">
        <f>IFERROR(__xludf.DUMMYFUNCTION("""COMPUTED_VALUE"""),"")</f>
        <v/>
      </c>
      <c r="G18543" s="42" t="str">
        <f>IFERROR(__xludf.DUMMYFUNCTION("""COMPUTED_VALUE"""),"")</f>
        <v/>
      </c>
      <c r="H18543" s="42">
        <f t="shared" si="1"/>
        <v>3345</v>
      </c>
    </row>
    <row r="18544" ht="22.5" customHeight="1">
      <c r="B18544" s="42" t="str">
        <f>IFERROR(__xludf.DUMMYFUNCTION("""COMPUTED_VALUE"""),"")</f>
        <v/>
      </c>
      <c r="C18544" s="42" t="str">
        <f>IFERROR(__xludf.DUMMYFUNCTION("""COMPUTED_VALUE"""),"")</f>
        <v/>
      </c>
      <c r="D18544" s="42"/>
      <c r="E18544" s="42"/>
      <c r="F18544" s="48" t="str">
        <f>IFERROR(__xludf.DUMMYFUNCTION("""COMPUTED_VALUE"""),"")</f>
        <v/>
      </c>
      <c r="G18544" s="42" t="str">
        <f>IFERROR(__xludf.DUMMYFUNCTION("""COMPUTED_VALUE"""),"")</f>
        <v/>
      </c>
      <c r="H18544" s="42">
        <f t="shared" si="1"/>
        <v>3345</v>
      </c>
    </row>
    <row r="18545" ht="22.5" customHeight="1">
      <c r="B18545" s="42" t="str">
        <f>IFERROR(__xludf.DUMMYFUNCTION("""COMPUTED_VALUE"""),"")</f>
        <v/>
      </c>
      <c r="C18545" s="42" t="str">
        <f>IFERROR(__xludf.DUMMYFUNCTION("""COMPUTED_VALUE"""),"")</f>
        <v/>
      </c>
      <c r="D18545" s="42"/>
      <c r="E18545" s="42"/>
      <c r="F18545" s="48" t="str">
        <f>IFERROR(__xludf.DUMMYFUNCTION("""COMPUTED_VALUE"""),"")</f>
        <v/>
      </c>
      <c r="G18545" s="42" t="str">
        <f>IFERROR(__xludf.DUMMYFUNCTION("""COMPUTED_VALUE"""),"")</f>
        <v/>
      </c>
      <c r="H18545" s="42">
        <f t="shared" si="1"/>
        <v>3345</v>
      </c>
    </row>
    <row r="18546" ht="22.5" customHeight="1">
      <c r="B18546" s="42" t="str">
        <f>IFERROR(__xludf.DUMMYFUNCTION("""COMPUTED_VALUE"""),"")</f>
        <v/>
      </c>
      <c r="C18546" s="42" t="str">
        <f>IFERROR(__xludf.DUMMYFUNCTION("""COMPUTED_VALUE"""),"")</f>
        <v/>
      </c>
      <c r="D18546" s="42"/>
      <c r="E18546" s="42"/>
      <c r="F18546" s="48" t="str">
        <f>IFERROR(__xludf.DUMMYFUNCTION("""COMPUTED_VALUE"""),"")</f>
        <v/>
      </c>
      <c r="G18546" s="42" t="str">
        <f>IFERROR(__xludf.DUMMYFUNCTION("""COMPUTED_VALUE"""),"")</f>
        <v/>
      </c>
      <c r="H18546" s="42">
        <f t="shared" si="1"/>
        <v>3345</v>
      </c>
    </row>
    <row r="18547" ht="22.5" customHeight="1">
      <c r="B18547" s="42" t="str">
        <f>IFERROR(__xludf.DUMMYFUNCTION("""COMPUTED_VALUE"""),"")</f>
        <v/>
      </c>
      <c r="C18547" s="42" t="str">
        <f>IFERROR(__xludf.DUMMYFUNCTION("""COMPUTED_VALUE"""),"")</f>
        <v/>
      </c>
      <c r="D18547" s="42"/>
      <c r="E18547" s="42"/>
      <c r="F18547" s="48" t="str">
        <f>IFERROR(__xludf.DUMMYFUNCTION("""COMPUTED_VALUE"""),"")</f>
        <v/>
      </c>
      <c r="G18547" s="42" t="str">
        <f>IFERROR(__xludf.DUMMYFUNCTION("""COMPUTED_VALUE"""),"")</f>
        <v/>
      </c>
      <c r="H18547" s="42">
        <f t="shared" si="1"/>
        <v>3345</v>
      </c>
    </row>
    <row r="18548" ht="22.5" customHeight="1">
      <c r="B18548" s="42" t="str">
        <f>IFERROR(__xludf.DUMMYFUNCTION("""COMPUTED_VALUE"""),"")</f>
        <v/>
      </c>
      <c r="C18548" s="42" t="str">
        <f>IFERROR(__xludf.DUMMYFUNCTION("""COMPUTED_VALUE"""),"")</f>
        <v/>
      </c>
      <c r="D18548" s="42"/>
      <c r="E18548" s="42"/>
      <c r="F18548" s="48" t="str">
        <f>IFERROR(__xludf.DUMMYFUNCTION("""COMPUTED_VALUE"""),"")</f>
        <v/>
      </c>
      <c r="G18548" s="42" t="str">
        <f>IFERROR(__xludf.DUMMYFUNCTION("""COMPUTED_VALUE"""),"")</f>
        <v/>
      </c>
      <c r="H18548" s="42">
        <f t="shared" si="1"/>
        <v>3345</v>
      </c>
    </row>
    <row r="18549" ht="22.5" customHeight="1">
      <c r="B18549" s="42" t="str">
        <f>IFERROR(__xludf.DUMMYFUNCTION("""COMPUTED_VALUE"""),"")</f>
        <v/>
      </c>
      <c r="C18549" s="42" t="str">
        <f>IFERROR(__xludf.DUMMYFUNCTION("""COMPUTED_VALUE"""),"")</f>
        <v/>
      </c>
      <c r="D18549" s="42"/>
      <c r="E18549" s="42"/>
      <c r="F18549" s="48" t="str">
        <f>IFERROR(__xludf.DUMMYFUNCTION("""COMPUTED_VALUE"""),"")</f>
        <v/>
      </c>
      <c r="G18549" s="42" t="str">
        <f>IFERROR(__xludf.DUMMYFUNCTION("""COMPUTED_VALUE"""),"")</f>
        <v/>
      </c>
      <c r="H18549" s="42">
        <f t="shared" si="1"/>
        <v>3345</v>
      </c>
    </row>
    <row r="18550" ht="22.5" customHeight="1">
      <c r="B18550" s="42" t="str">
        <f>IFERROR(__xludf.DUMMYFUNCTION("""COMPUTED_VALUE"""),"")</f>
        <v/>
      </c>
      <c r="C18550" s="42" t="str">
        <f>IFERROR(__xludf.DUMMYFUNCTION("""COMPUTED_VALUE"""),"")</f>
        <v/>
      </c>
      <c r="D18550" s="42"/>
      <c r="E18550" s="42"/>
      <c r="F18550" s="48" t="str">
        <f>IFERROR(__xludf.DUMMYFUNCTION("""COMPUTED_VALUE"""),"")</f>
        <v/>
      </c>
      <c r="G18550" s="42" t="str">
        <f>IFERROR(__xludf.DUMMYFUNCTION("""COMPUTED_VALUE"""),"")</f>
        <v/>
      </c>
      <c r="H18550" s="42">
        <f t="shared" si="1"/>
        <v>3345</v>
      </c>
    </row>
    <row r="18551" ht="22.5" customHeight="1">
      <c r="B18551" s="42" t="str">
        <f>IFERROR(__xludf.DUMMYFUNCTION("""COMPUTED_VALUE"""),"")</f>
        <v/>
      </c>
      <c r="C18551" s="42" t="str">
        <f>IFERROR(__xludf.DUMMYFUNCTION("""COMPUTED_VALUE"""),"")</f>
        <v/>
      </c>
      <c r="D18551" s="42"/>
      <c r="E18551" s="42"/>
      <c r="F18551" s="48" t="str">
        <f>IFERROR(__xludf.DUMMYFUNCTION("""COMPUTED_VALUE"""),"")</f>
        <v/>
      </c>
      <c r="G18551" s="42" t="str">
        <f>IFERROR(__xludf.DUMMYFUNCTION("""COMPUTED_VALUE"""),"")</f>
        <v/>
      </c>
      <c r="H18551" s="42">
        <f t="shared" si="1"/>
        <v>3345</v>
      </c>
    </row>
    <row r="18552" ht="22.5" customHeight="1">
      <c r="B18552" s="42" t="str">
        <f>IFERROR(__xludf.DUMMYFUNCTION("""COMPUTED_VALUE"""),"")</f>
        <v/>
      </c>
      <c r="C18552" s="42" t="str">
        <f>IFERROR(__xludf.DUMMYFUNCTION("""COMPUTED_VALUE"""),"")</f>
        <v/>
      </c>
      <c r="D18552" s="42"/>
      <c r="E18552" s="42"/>
      <c r="F18552" s="48" t="str">
        <f>IFERROR(__xludf.DUMMYFUNCTION("""COMPUTED_VALUE"""),"")</f>
        <v/>
      </c>
      <c r="G18552" s="42" t="str">
        <f>IFERROR(__xludf.DUMMYFUNCTION("""COMPUTED_VALUE"""),"")</f>
        <v/>
      </c>
      <c r="H18552" s="42">
        <f t="shared" si="1"/>
        <v>3345</v>
      </c>
    </row>
    <row r="18553" ht="22.5" customHeight="1">
      <c r="B18553" s="42" t="str">
        <f>IFERROR(__xludf.DUMMYFUNCTION("""COMPUTED_VALUE"""),"")</f>
        <v/>
      </c>
      <c r="C18553" s="42" t="str">
        <f>IFERROR(__xludf.DUMMYFUNCTION("""COMPUTED_VALUE"""),"")</f>
        <v/>
      </c>
      <c r="D18553" s="42"/>
      <c r="E18553" s="42"/>
      <c r="F18553" s="48" t="str">
        <f>IFERROR(__xludf.DUMMYFUNCTION("""COMPUTED_VALUE"""),"")</f>
        <v/>
      </c>
      <c r="G18553" s="42" t="str">
        <f>IFERROR(__xludf.DUMMYFUNCTION("""COMPUTED_VALUE"""),"")</f>
        <v/>
      </c>
      <c r="H18553" s="42">
        <f t="shared" si="1"/>
        <v>3345</v>
      </c>
    </row>
    <row r="18554" ht="22.5" customHeight="1">
      <c r="B18554" s="42" t="str">
        <f>IFERROR(__xludf.DUMMYFUNCTION("""COMPUTED_VALUE"""),"")</f>
        <v/>
      </c>
      <c r="C18554" s="42" t="str">
        <f>IFERROR(__xludf.DUMMYFUNCTION("""COMPUTED_VALUE"""),"")</f>
        <v/>
      </c>
      <c r="D18554" s="42"/>
      <c r="E18554" s="42"/>
      <c r="F18554" s="48" t="str">
        <f>IFERROR(__xludf.DUMMYFUNCTION("""COMPUTED_VALUE"""),"")</f>
        <v/>
      </c>
      <c r="G18554" s="42" t="str">
        <f>IFERROR(__xludf.DUMMYFUNCTION("""COMPUTED_VALUE"""),"")</f>
        <v/>
      </c>
      <c r="H18554" s="42">
        <f t="shared" si="1"/>
        <v>3345</v>
      </c>
    </row>
    <row r="18555" ht="22.5" customHeight="1">
      <c r="B18555" s="42" t="str">
        <f>IFERROR(__xludf.DUMMYFUNCTION("""COMPUTED_VALUE"""),"")</f>
        <v/>
      </c>
      <c r="C18555" s="42" t="str">
        <f>IFERROR(__xludf.DUMMYFUNCTION("""COMPUTED_VALUE"""),"")</f>
        <v/>
      </c>
      <c r="D18555" s="42"/>
      <c r="E18555" s="42"/>
      <c r="F18555" s="48" t="str">
        <f>IFERROR(__xludf.DUMMYFUNCTION("""COMPUTED_VALUE"""),"")</f>
        <v/>
      </c>
      <c r="G18555" s="42" t="str">
        <f>IFERROR(__xludf.DUMMYFUNCTION("""COMPUTED_VALUE"""),"")</f>
        <v/>
      </c>
      <c r="H18555" s="42">
        <f t="shared" si="1"/>
        <v>3345</v>
      </c>
    </row>
    <row r="18556" ht="22.5" customHeight="1">
      <c r="B18556" s="42" t="str">
        <f>IFERROR(__xludf.DUMMYFUNCTION("""COMPUTED_VALUE"""),"")</f>
        <v/>
      </c>
      <c r="C18556" s="42" t="str">
        <f>IFERROR(__xludf.DUMMYFUNCTION("""COMPUTED_VALUE"""),"")</f>
        <v/>
      </c>
      <c r="D18556" s="42"/>
      <c r="E18556" s="42"/>
      <c r="F18556" s="48" t="str">
        <f>IFERROR(__xludf.DUMMYFUNCTION("""COMPUTED_VALUE"""),"")</f>
        <v/>
      </c>
      <c r="G18556" s="42" t="str">
        <f>IFERROR(__xludf.DUMMYFUNCTION("""COMPUTED_VALUE"""),"")</f>
        <v/>
      </c>
      <c r="H18556" s="42">
        <f t="shared" si="1"/>
        <v>3345</v>
      </c>
    </row>
    <row r="18557" ht="22.5" customHeight="1">
      <c r="B18557" s="42" t="str">
        <f>IFERROR(__xludf.DUMMYFUNCTION("""COMPUTED_VALUE"""),"")</f>
        <v/>
      </c>
      <c r="C18557" s="42" t="str">
        <f>IFERROR(__xludf.DUMMYFUNCTION("""COMPUTED_VALUE"""),"")</f>
        <v/>
      </c>
      <c r="D18557" s="42"/>
      <c r="E18557" s="42"/>
      <c r="F18557" s="48" t="str">
        <f>IFERROR(__xludf.DUMMYFUNCTION("""COMPUTED_VALUE"""),"")</f>
        <v/>
      </c>
      <c r="G18557" s="42" t="str">
        <f>IFERROR(__xludf.DUMMYFUNCTION("""COMPUTED_VALUE"""),"")</f>
        <v/>
      </c>
      <c r="H18557" s="42">
        <f t="shared" si="1"/>
        <v>3345</v>
      </c>
    </row>
    <row r="18558" ht="22.5" customHeight="1">
      <c r="B18558" s="42" t="str">
        <f>IFERROR(__xludf.DUMMYFUNCTION("""COMPUTED_VALUE"""),"")</f>
        <v/>
      </c>
      <c r="C18558" s="42" t="str">
        <f>IFERROR(__xludf.DUMMYFUNCTION("""COMPUTED_VALUE"""),"")</f>
        <v/>
      </c>
      <c r="D18558" s="42"/>
      <c r="E18558" s="42"/>
      <c r="F18558" s="48" t="str">
        <f>IFERROR(__xludf.DUMMYFUNCTION("""COMPUTED_VALUE"""),"")</f>
        <v/>
      </c>
      <c r="G18558" s="42" t="str">
        <f>IFERROR(__xludf.DUMMYFUNCTION("""COMPUTED_VALUE"""),"")</f>
        <v/>
      </c>
      <c r="H18558" s="42">
        <f t="shared" si="1"/>
        <v>3345</v>
      </c>
    </row>
    <row r="18559" ht="22.5" customHeight="1">
      <c r="B18559" s="42" t="str">
        <f>IFERROR(__xludf.DUMMYFUNCTION("""COMPUTED_VALUE"""),"")</f>
        <v/>
      </c>
      <c r="C18559" s="42" t="str">
        <f>IFERROR(__xludf.DUMMYFUNCTION("""COMPUTED_VALUE"""),"")</f>
        <v/>
      </c>
      <c r="D18559" s="42"/>
      <c r="E18559" s="42"/>
      <c r="F18559" s="48" t="str">
        <f>IFERROR(__xludf.DUMMYFUNCTION("""COMPUTED_VALUE"""),"")</f>
        <v/>
      </c>
      <c r="G18559" s="42" t="str">
        <f>IFERROR(__xludf.DUMMYFUNCTION("""COMPUTED_VALUE"""),"")</f>
        <v/>
      </c>
      <c r="H18559" s="42">
        <f t="shared" si="1"/>
        <v>3345</v>
      </c>
    </row>
    <row r="18560" ht="22.5" customHeight="1">
      <c r="B18560" s="42" t="str">
        <f>IFERROR(__xludf.DUMMYFUNCTION("""COMPUTED_VALUE"""),"")</f>
        <v/>
      </c>
      <c r="C18560" s="42" t="str">
        <f>IFERROR(__xludf.DUMMYFUNCTION("""COMPUTED_VALUE"""),"")</f>
        <v/>
      </c>
      <c r="D18560" s="42"/>
      <c r="E18560" s="42"/>
      <c r="F18560" s="48" t="str">
        <f>IFERROR(__xludf.DUMMYFUNCTION("""COMPUTED_VALUE"""),"")</f>
        <v/>
      </c>
      <c r="G18560" s="42" t="str">
        <f>IFERROR(__xludf.DUMMYFUNCTION("""COMPUTED_VALUE"""),"")</f>
        <v/>
      </c>
      <c r="H18560" s="42">
        <f t="shared" si="1"/>
        <v>3345</v>
      </c>
    </row>
    <row r="18561" ht="22.5" customHeight="1">
      <c r="B18561" s="42" t="str">
        <f>IFERROR(__xludf.DUMMYFUNCTION("""COMPUTED_VALUE"""),"")</f>
        <v/>
      </c>
      <c r="C18561" s="42" t="str">
        <f>IFERROR(__xludf.DUMMYFUNCTION("""COMPUTED_VALUE"""),"")</f>
        <v/>
      </c>
      <c r="D18561" s="42"/>
      <c r="E18561" s="42"/>
      <c r="F18561" s="48" t="str">
        <f>IFERROR(__xludf.DUMMYFUNCTION("""COMPUTED_VALUE"""),"")</f>
        <v/>
      </c>
      <c r="G18561" s="42" t="str">
        <f>IFERROR(__xludf.DUMMYFUNCTION("""COMPUTED_VALUE"""),"")</f>
        <v/>
      </c>
      <c r="H18561" s="42">
        <f t="shared" si="1"/>
        <v>3345</v>
      </c>
    </row>
    <row r="18562" ht="22.5" customHeight="1">
      <c r="B18562" s="42" t="str">
        <f>IFERROR(__xludf.DUMMYFUNCTION("""COMPUTED_VALUE"""),"")</f>
        <v/>
      </c>
      <c r="C18562" s="42" t="str">
        <f>IFERROR(__xludf.DUMMYFUNCTION("""COMPUTED_VALUE"""),"")</f>
        <v/>
      </c>
      <c r="D18562" s="42"/>
      <c r="E18562" s="42"/>
      <c r="F18562" s="48" t="str">
        <f>IFERROR(__xludf.DUMMYFUNCTION("""COMPUTED_VALUE"""),"")</f>
        <v/>
      </c>
      <c r="G18562" s="42" t="str">
        <f>IFERROR(__xludf.DUMMYFUNCTION("""COMPUTED_VALUE"""),"")</f>
        <v/>
      </c>
      <c r="H18562" s="42">
        <f t="shared" si="1"/>
        <v>3345</v>
      </c>
    </row>
    <row r="18563" ht="22.5" customHeight="1">
      <c r="B18563" s="42" t="str">
        <f>IFERROR(__xludf.DUMMYFUNCTION("""COMPUTED_VALUE"""),"")</f>
        <v/>
      </c>
      <c r="C18563" s="42" t="str">
        <f>IFERROR(__xludf.DUMMYFUNCTION("""COMPUTED_VALUE"""),"")</f>
        <v/>
      </c>
      <c r="D18563" s="42"/>
      <c r="E18563" s="42"/>
      <c r="F18563" s="48" t="str">
        <f>IFERROR(__xludf.DUMMYFUNCTION("""COMPUTED_VALUE"""),"")</f>
        <v/>
      </c>
      <c r="G18563" s="42" t="str">
        <f>IFERROR(__xludf.DUMMYFUNCTION("""COMPUTED_VALUE"""),"")</f>
        <v/>
      </c>
      <c r="H18563" s="42">
        <f t="shared" si="1"/>
        <v>3345</v>
      </c>
    </row>
    <row r="18564" ht="22.5" customHeight="1">
      <c r="B18564" s="42" t="str">
        <f>IFERROR(__xludf.DUMMYFUNCTION("""COMPUTED_VALUE"""),"")</f>
        <v/>
      </c>
      <c r="C18564" s="42" t="str">
        <f>IFERROR(__xludf.DUMMYFUNCTION("""COMPUTED_VALUE"""),"")</f>
        <v/>
      </c>
      <c r="D18564" s="42"/>
      <c r="E18564" s="42"/>
      <c r="F18564" s="48" t="str">
        <f>IFERROR(__xludf.DUMMYFUNCTION("""COMPUTED_VALUE"""),"")</f>
        <v/>
      </c>
      <c r="G18564" s="42" t="str">
        <f>IFERROR(__xludf.DUMMYFUNCTION("""COMPUTED_VALUE"""),"")</f>
        <v/>
      </c>
      <c r="H18564" s="42">
        <f t="shared" si="1"/>
        <v>3345</v>
      </c>
    </row>
    <row r="18565" ht="22.5" customHeight="1">
      <c r="B18565" s="42" t="str">
        <f>IFERROR(__xludf.DUMMYFUNCTION("""COMPUTED_VALUE"""),"")</f>
        <v/>
      </c>
      <c r="C18565" s="42" t="str">
        <f>IFERROR(__xludf.DUMMYFUNCTION("""COMPUTED_VALUE"""),"")</f>
        <v/>
      </c>
      <c r="D18565" s="42"/>
      <c r="E18565" s="42"/>
      <c r="F18565" s="48" t="str">
        <f>IFERROR(__xludf.DUMMYFUNCTION("""COMPUTED_VALUE"""),"")</f>
        <v/>
      </c>
      <c r="G18565" s="42" t="str">
        <f>IFERROR(__xludf.DUMMYFUNCTION("""COMPUTED_VALUE"""),"")</f>
        <v/>
      </c>
      <c r="H18565" s="42">
        <f t="shared" si="1"/>
        <v>3345</v>
      </c>
    </row>
    <row r="18566" ht="22.5" customHeight="1">
      <c r="B18566" s="42" t="str">
        <f>IFERROR(__xludf.DUMMYFUNCTION("""COMPUTED_VALUE"""),"")</f>
        <v/>
      </c>
      <c r="C18566" s="42" t="str">
        <f>IFERROR(__xludf.DUMMYFUNCTION("""COMPUTED_VALUE"""),"")</f>
        <v/>
      </c>
      <c r="D18566" s="42"/>
      <c r="E18566" s="42"/>
      <c r="F18566" s="48" t="str">
        <f>IFERROR(__xludf.DUMMYFUNCTION("""COMPUTED_VALUE"""),"")</f>
        <v/>
      </c>
      <c r="G18566" s="42" t="str">
        <f>IFERROR(__xludf.DUMMYFUNCTION("""COMPUTED_VALUE"""),"")</f>
        <v/>
      </c>
      <c r="H18566" s="42">
        <f t="shared" si="1"/>
        <v>3345</v>
      </c>
    </row>
    <row r="18567" ht="22.5" customHeight="1">
      <c r="B18567" s="42" t="str">
        <f>IFERROR(__xludf.DUMMYFUNCTION("""COMPUTED_VALUE"""),"")</f>
        <v/>
      </c>
      <c r="C18567" s="42" t="str">
        <f>IFERROR(__xludf.DUMMYFUNCTION("""COMPUTED_VALUE"""),"")</f>
        <v/>
      </c>
      <c r="D18567" s="42"/>
      <c r="E18567" s="42"/>
      <c r="F18567" s="48" t="str">
        <f>IFERROR(__xludf.DUMMYFUNCTION("""COMPUTED_VALUE"""),"")</f>
        <v/>
      </c>
      <c r="G18567" s="42" t="str">
        <f>IFERROR(__xludf.DUMMYFUNCTION("""COMPUTED_VALUE"""),"")</f>
        <v/>
      </c>
      <c r="H18567" s="42">
        <f t="shared" si="1"/>
        <v>3345</v>
      </c>
    </row>
    <row r="18568" ht="22.5" customHeight="1">
      <c r="B18568" s="42" t="str">
        <f>IFERROR(__xludf.DUMMYFUNCTION("""COMPUTED_VALUE"""),"")</f>
        <v/>
      </c>
      <c r="C18568" s="42" t="str">
        <f>IFERROR(__xludf.DUMMYFUNCTION("""COMPUTED_VALUE"""),"")</f>
        <v/>
      </c>
      <c r="D18568" s="42"/>
      <c r="E18568" s="42"/>
      <c r="F18568" s="48" t="str">
        <f>IFERROR(__xludf.DUMMYFUNCTION("""COMPUTED_VALUE"""),"")</f>
        <v/>
      </c>
      <c r="G18568" s="42" t="str">
        <f>IFERROR(__xludf.DUMMYFUNCTION("""COMPUTED_VALUE"""),"")</f>
        <v/>
      </c>
      <c r="H18568" s="42">
        <f t="shared" si="1"/>
        <v>3345</v>
      </c>
    </row>
    <row r="18569" ht="22.5" customHeight="1">
      <c r="B18569" s="42" t="str">
        <f>IFERROR(__xludf.DUMMYFUNCTION("""COMPUTED_VALUE"""),"")</f>
        <v/>
      </c>
      <c r="C18569" s="42" t="str">
        <f>IFERROR(__xludf.DUMMYFUNCTION("""COMPUTED_VALUE"""),"")</f>
        <v/>
      </c>
      <c r="D18569" s="42"/>
      <c r="E18569" s="42"/>
      <c r="F18569" s="48" t="str">
        <f>IFERROR(__xludf.DUMMYFUNCTION("""COMPUTED_VALUE"""),"")</f>
        <v/>
      </c>
      <c r="G18569" s="42" t="str">
        <f>IFERROR(__xludf.DUMMYFUNCTION("""COMPUTED_VALUE"""),"")</f>
        <v/>
      </c>
      <c r="H18569" s="42">
        <f t="shared" si="1"/>
        <v>3345</v>
      </c>
    </row>
    <row r="18570" ht="22.5" customHeight="1">
      <c r="B18570" s="42" t="str">
        <f>IFERROR(__xludf.DUMMYFUNCTION("""COMPUTED_VALUE"""),"")</f>
        <v/>
      </c>
      <c r="C18570" s="42" t="str">
        <f>IFERROR(__xludf.DUMMYFUNCTION("""COMPUTED_VALUE"""),"")</f>
        <v/>
      </c>
      <c r="D18570" s="42"/>
      <c r="E18570" s="42"/>
      <c r="F18570" s="48" t="str">
        <f>IFERROR(__xludf.DUMMYFUNCTION("""COMPUTED_VALUE"""),"")</f>
        <v/>
      </c>
      <c r="G18570" s="42" t="str">
        <f>IFERROR(__xludf.DUMMYFUNCTION("""COMPUTED_VALUE"""),"")</f>
        <v/>
      </c>
      <c r="H18570" s="42">
        <f t="shared" si="1"/>
        <v>3345</v>
      </c>
    </row>
    <row r="18571" ht="22.5" customHeight="1">
      <c r="B18571" s="42" t="str">
        <f>IFERROR(__xludf.DUMMYFUNCTION("""COMPUTED_VALUE"""),"")</f>
        <v/>
      </c>
      <c r="C18571" s="42" t="str">
        <f>IFERROR(__xludf.DUMMYFUNCTION("""COMPUTED_VALUE"""),"")</f>
        <v/>
      </c>
      <c r="D18571" s="42"/>
      <c r="E18571" s="42"/>
      <c r="F18571" s="48" t="str">
        <f>IFERROR(__xludf.DUMMYFUNCTION("""COMPUTED_VALUE"""),"")</f>
        <v/>
      </c>
      <c r="G18571" s="42" t="str">
        <f>IFERROR(__xludf.DUMMYFUNCTION("""COMPUTED_VALUE"""),"")</f>
        <v/>
      </c>
      <c r="H18571" s="42">
        <f t="shared" si="1"/>
        <v>3345</v>
      </c>
    </row>
    <row r="18572" ht="22.5" customHeight="1">
      <c r="B18572" s="42" t="str">
        <f>IFERROR(__xludf.DUMMYFUNCTION("""COMPUTED_VALUE"""),"")</f>
        <v/>
      </c>
      <c r="C18572" s="42" t="str">
        <f>IFERROR(__xludf.DUMMYFUNCTION("""COMPUTED_VALUE"""),"")</f>
        <v/>
      </c>
      <c r="D18572" s="42"/>
      <c r="E18572" s="42"/>
      <c r="F18572" s="48" t="str">
        <f>IFERROR(__xludf.DUMMYFUNCTION("""COMPUTED_VALUE"""),"")</f>
        <v/>
      </c>
      <c r="G18572" s="42" t="str">
        <f>IFERROR(__xludf.DUMMYFUNCTION("""COMPUTED_VALUE"""),"")</f>
        <v/>
      </c>
      <c r="H18572" s="42">
        <f t="shared" si="1"/>
        <v>3345</v>
      </c>
    </row>
    <row r="18573" ht="22.5" customHeight="1">
      <c r="B18573" s="42" t="str">
        <f>IFERROR(__xludf.DUMMYFUNCTION("""COMPUTED_VALUE"""),"")</f>
        <v/>
      </c>
      <c r="C18573" s="42" t="str">
        <f>IFERROR(__xludf.DUMMYFUNCTION("""COMPUTED_VALUE"""),"")</f>
        <v/>
      </c>
      <c r="D18573" s="42"/>
      <c r="E18573" s="42"/>
      <c r="F18573" s="48" t="str">
        <f>IFERROR(__xludf.DUMMYFUNCTION("""COMPUTED_VALUE"""),"")</f>
        <v/>
      </c>
      <c r="G18573" s="42" t="str">
        <f>IFERROR(__xludf.DUMMYFUNCTION("""COMPUTED_VALUE"""),"")</f>
        <v/>
      </c>
      <c r="H18573" s="42">
        <f t="shared" si="1"/>
        <v>3345</v>
      </c>
    </row>
    <row r="18574" ht="22.5" customHeight="1">
      <c r="B18574" s="42" t="str">
        <f>IFERROR(__xludf.DUMMYFUNCTION("""COMPUTED_VALUE"""),"")</f>
        <v/>
      </c>
      <c r="C18574" s="42" t="str">
        <f>IFERROR(__xludf.DUMMYFUNCTION("""COMPUTED_VALUE"""),"")</f>
        <v/>
      </c>
      <c r="D18574" s="42"/>
      <c r="E18574" s="42"/>
      <c r="F18574" s="48" t="str">
        <f>IFERROR(__xludf.DUMMYFUNCTION("""COMPUTED_VALUE"""),"")</f>
        <v/>
      </c>
      <c r="G18574" s="42" t="str">
        <f>IFERROR(__xludf.DUMMYFUNCTION("""COMPUTED_VALUE"""),"")</f>
        <v/>
      </c>
      <c r="H18574" s="42">
        <f t="shared" si="1"/>
        <v>3345</v>
      </c>
    </row>
    <row r="18575" ht="22.5" customHeight="1">
      <c r="B18575" s="42" t="str">
        <f>IFERROR(__xludf.DUMMYFUNCTION("""COMPUTED_VALUE"""),"")</f>
        <v/>
      </c>
      <c r="C18575" s="42" t="str">
        <f>IFERROR(__xludf.DUMMYFUNCTION("""COMPUTED_VALUE"""),"")</f>
        <v/>
      </c>
      <c r="D18575" s="42"/>
      <c r="E18575" s="42"/>
      <c r="F18575" s="48" t="str">
        <f>IFERROR(__xludf.DUMMYFUNCTION("""COMPUTED_VALUE"""),"")</f>
        <v/>
      </c>
      <c r="G18575" s="42" t="str">
        <f>IFERROR(__xludf.DUMMYFUNCTION("""COMPUTED_VALUE"""),"")</f>
        <v/>
      </c>
      <c r="H18575" s="42">
        <f t="shared" si="1"/>
        <v>3345</v>
      </c>
    </row>
    <row r="18576" ht="22.5" customHeight="1">
      <c r="B18576" s="42" t="str">
        <f>IFERROR(__xludf.DUMMYFUNCTION("""COMPUTED_VALUE"""),"")</f>
        <v/>
      </c>
      <c r="C18576" s="42" t="str">
        <f>IFERROR(__xludf.DUMMYFUNCTION("""COMPUTED_VALUE"""),"")</f>
        <v/>
      </c>
      <c r="D18576" s="42"/>
      <c r="E18576" s="42"/>
      <c r="F18576" s="48" t="str">
        <f>IFERROR(__xludf.DUMMYFUNCTION("""COMPUTED_VALUE"""),"")</f>
        <v/>
      </c>
      <c r="G18576" s="42" t="str">
        <f>IFERROR(__xludf.DUMMYFUNCTION("""COMPUTED_VALUE"""),"")</f>
        <v/>
      </c>
      <c r="H18576" s="42">
        <f t="shared" si="1"/>
        <v>3345</v>
      </c>
    </row>
    <row r="18577" ht="22.5" customHeight="1">
      <c r="B18577" s="42" t="str">
        <f>IFERROR(__xludf.DUMMYFUNCTION("""COMPUTED_VALUE"""),"")</f>
        <v/>
      </c>
      <c r="C18577" s="42" t="str">
        <f>IFERROR(__xludf.DUMMYFUNCTION("""COMPUTED_VALUE"""),"")</f>
        <v/>
      </c>
      <c r="D18577" s="42"/>
      <c r="E18577" s="42"/>
      <c r="F18577" s="48" t="str">
        <f>IFERROR(__xludf.DUMMYFUNCTION("""COMPUTED_VALUE"""),"")</f>
        <v/>
      </c>
      <c r="G18577" s="42" t="str">
        <f>IFERROR(__xludf.DUMMYFUNCTION("""COMPUTED_VALUE"""),"")</f>
        <v/>
      </c>
      <c r="H18577" s="42">
        <f t="shared" si="1"/>
        <v>3345</v>
      </c>
    </row>
    <row r="18578" ht="22.5" customHeight="1">
      <c r="B18578" s="42" t="str">
        <f>IFERROR(__xludf.DUMMYFUNCTION("""COMPUTED_VALUE"""),"")</f>
        <v/>
      </c>
      <c r="C18578" s="42" t="str">
        <f>IFERROR(__xludf.DUMMYFUNCTION("""COMPUTED_VALUE"""),"")</f>
        <v/>
      </c>
      <c r="D18578" s="42"/>
      <c r="E18578" s="42"/>
      <c r="F18578" s="48" t="str">
        <f>IFERROR(__xludf.DUMMYFUNCTION("""COMPUTED_VALUE"""),"")</f>
        <v/>
      </c>
      <c r="G18578" s="42" t="str">
        <f>IFERROR(__xludf.DUMMYFUNCTION("""COMPUTED_VALUE"""),"")</f>
        <v/>
      </c>
      <c r="H18578" s="42">
        <f t="shared" si="1"/>
        <v>3345</v>
      </c>
    </row>
    <row r="18579" ht="22.5" customHeight="1">
      <c r="B18579" s="42" t="str">
        <f>IFERROR(__xludf.DUMMYFUNCTION("""COMPUTED_VALUE"""),"")</f>
        <v/>
      </c>
      <c r="C18579" s="42" t="str">
        <f>IFERROR(__xludf.DUMMYFUNCTION("""COMPUTED_VALUE"""),"")</f>
        <v/>
      </c>
      <c r="D18579" s="42"/>
      <c r="E18579" s="42"/>
      <c r="F18579" s="48" t="str">
        <f>IFERROR(__xludf.DUMMYFUNCTION("""COMPUTED_VALUE"""),"")</f>
        <v/>
      </c>
      <c r="G18579" s="42" t="str">
        <f>IFERROR(__xludf.DUMMYFUNCTION("""COMPUTED_VALUE"""),"")</f>
        <v/>
      </c>
      <c r="H18579" s="42">
        <f t="shared" si="1"/>
        <v>3345</v>
      </c>
    </row>
    <row r="18580" ht="22.5" customHeight="1">
      <c r="B18580" s="42" t="str">
        <f>IFERROR(__xludf.DUMMYFUNCTION("""COMPUTED_VALUE"""),"")</f>
        <v/>
      </c>
      <c r="C18580" s="42" t="str">
        <f>IFERROR(__xludf.DUMMYFUNCTION("""COMPUTED_VALUE"""),"")</f>
        <v/>
      </c>
      <c r="D18580" s="42"/>
      <c r="E18580" s="42"/>
      <c r="F18580" s="48" t="str">
        <f>IFERROR(__xludf.DUMMYFUNCTION("""COMPUTED_VALUE"""),"")</f>
        <v/>
      </c>
      <c r="G18580" s="42" t="str">
        <f>IFERROR(__xludf.DUMMYFUNCTION("""COMPUTED_VALUE"""),"")</f>
        <v/>
      </c>
      <c r="H18580" s="42">
        <f t="shared" si="1"/>
        <v>3345</v>
      </c>
    </row>
    <row r="18581" ht="22.5" customHeight="1">
      <c r="B18581" s="42" t="str">
        <f>IFERROR(__xludf.DUMMYFUNCTION("""COMPUTED_VALUE"""),"")</f>
        <v/>
      </c>
      <c r="C18581" s="42" t="str">
        <f>IFERROR(__xludf.DUMMYFUNCTION("""COMPUTED_VALUE"""),"")</f>
        <v/>
      </c>
      <c r="D18581" s="42"/>
      <c r="E18581" s="42"/>
      <c r="F18581" s="48" t="str">
        <f>IFERROR(__xludf.DUMMYFUNCTION("""COMPUTED_VALUE"""),"")</f>
        <v/>
      </c>
      <c r="G18581" s="42" t="str">
        <f>IFERROR(__xludf.DUMMYFUNCTION("""COMPUTED_VALUE"""),"")</f>
        <v/>
      </c>
      <c r="H18581" s="42">
        <f t="shared" si="1"/>
        <v>3345</v>
      </c>
    </row>
    <row r="18582" ht="22.5" customHeight="1">
      <c r="B18582" s="42" t="str">
        <f>IFERROR(__xludf.DUMMYFUNCTION("""COMPUTED_VALUE"""),"")</f>
        <v/>
      </c>
      <c r="C18582" s="42" t="str">
        <f>IFERROR(__xludf.DUMMYFUNCTION("""COMPUTED_VALUE"""),"")</f>
        <v/>
      </c>
      <c r="D18582" s="42"/>
      <c r="E18582" s="42"/>
      <c r="F18582" s="48" t="str">
        <f>IFERROR(__xludf.DUMMYFUNCTION("""COMPUTED_VALUE"""),"")</f>
        <v/>
      </c>
      <c r="G18582" s="42" t="str">
        <f>IFERROR(__xludf.DUMMYFUNCTION("""COMPUTED_VALUE"""),"")</f>
        <v/>
      </c>
      <c r="H18582" s="42">
        <f t="shared" si="1"/>
        <v>3345</v>
      </c>
    </row>
    <row r="18583" ht="22.5" customHeight="1">
      <c r="B18583" s="42" t="str">
        <f>IFERROR(__xludf.DUMMYFUNCTION("""COMPUTED_VALUE"""),"")</f>
        <v/>
      </c>
      <c r="C18583" s="42" t="str">
        <f>IFERROR(__xludf.DUMMYFUNCTION("""COMPUTED_VALUE"""),"")</f>
        <v/>
      </c>
      <c r="D18583" s="42"/>
      <c r="E18583" s="42"/>
      <c r="F18583" s="48" t="str">
        <f>IFERROR(__xludf.DUMMYFUNCTION("""COMPUTED_VALUE"""),"")</f>
        <v/>
      </c>
      <c r="G18583" s="42" t="str">
        <f>IFERROR(__xludf.DUMMYFUNCTION("""COMPUTED_VALUE"""),"")</f>
        <v/>
      </c>
      <c r="H18583" s="42">
        <f t="shared" si="1"/>
        <v>3345</v>
      </c>
    </row>
    <row r="18584" ht="22.5" customHeight="1">
      <c r="B18584" s="42" t="str">
        <f>IFERROR(__xludf.DUMMYFUNCTION("""COMPUTED_VALUE"""),"")</f>
        <v/>
      </c>
      <c r="C18584" s="42" t="str">
        <f>IFERROR(__xludf.DUMMYFUNCTION("""COMPUTED_VALUE"""),"")</f>
        <v/>
      </c>
      <c r="D18584" s="42"/>
      <c r="E18584" s="42"/>
      <c r="F18584" s="48" t="str">
        <f>IFERROR(__xludf.DUMMYFUNCTION("""COMPUTED_VALUE"""),"")</f>
        <v/>
      </c>
      <c r="G18584" s="42" t="str">
        <f>IFERROR(__xludf.DUMMYFUNCTION("""COMPUTED_VALUE"""),"")</f>
        <v/>
      </c>
      <c r="H18584" s="42">
        <f t="shared" si="1"/>
        <v>3345</v>
      </c>
    </row>
    <row r="18585" ht="22.5" customHeight="1">
      <c r="B18585" s="42" t="str">
        <f>IFERROR(__xludf.DUMMYFUNCTION("""COMPUTED_VALUE"""),"")</f>
        <v/>
      </c>
      <c r="C18585" s="42" t="str">
        <f>IFERROR(__xludf.DUMMYFUNCTION("""COMPUTED_VALUE"""),"")</f>
        <v/>
      </c>
      <c r="D18585" s="42"/>
      <c r="E18585" s="42"/>
      <c r="F18585" s="48" t="str">
        <f>IFERROR(__xludf.DUMMYFUNCTION("""COMPUTED_VALUE"""),"")</f>
        <v/>
      </c>
      <c r="G18585" s="42" t="str">
        <f>IFERROR(__xludf.DUMMYFUNCTION("""COMPUTED_VALUE"""),"")</f>
        <v/>
      </c>
      <c r="H18585" s="42">
        <f t="shared" si="1"/>
        <v>3345</v>
      </c>
    </row>
    <row r="18586" ht="22.5" customHeight="1">
      <c r="B18586" s="42" t="str">
        <f>IFERROR(__xludf.DUMMYFUNCTION("""COMPUTED_VALUE"""),"")</f>
        <v/>
      </c>
      <c r="C18586" s="42" t="str">
        <f>IFERROR(__xludf.DUMMYFUNCTION("""COMPUTED_VALUE"""),"")</f>
        <v/>
      </c>
      <c r="D18586" s="42"/>
      <c r="E18586" s="42"/>
      <c r="F18586" s="48" t="str">
        <f>IFERROR(__xludf.DUMMYFUNCTION("""COMPUTED_VALUE"""),"")</f>
        <v/>
      </c>
      <c r="G18586" s="42" t="str">
        <f>IFERROR(__xludf.DUMMYFUNCTION("""COMPUTED_VALUE"""),"")</f>
        <v/>
      </c>
      <c r="H18586" s="42">
        <f t="shared" si="1"/>
        <v>3345</v>
      </c>
    </row>
    <row r="18587" ht="22.5" customHeight="1">
      <c r="B18587" s="42" t="str">
        <f>IFERROR(__xludf.DUMMYFUNCTION("""COMPUTED_VALUE"""),"")</f>
        <v/>
      </c>
      <c r="C18587" s="42" t="str">
        <f>IFERROR(__xludf.DUMMYFUNCTION("""COMPUTED_VALUE"""),"")</f>
        <v/>
      </c>
      <c r="D18587" s="42"/>
      <c r="E18587" s="42"/>
      <c r="F18587" s="48" t="str">
        <f>IFERROR(__xludf.DUMMYFUNCTION("""COMPUTED_VALUE"""),"")</f>
        <v/>
      </c>
      <c r="G18587" s="42" t="str">
        <f>IFERROR(__xludf.DUMMYFUNCTION("""COMPUTED_VALUE"""),"")</f>
        <v/>
      </c>
      <c r="H18587" s="42">
        <f t="shared" si="1"/>
        <v>3345</v>
      </c>
    </row>
    <row r="18588" ht="22.5" customHeight="1">
      <c r="B18588" s="42" t="str">
        <f>IFERROR(__xludf.DUMMYFUNCTION("""COMPUTED_VALUE"""),"")</f>
        <v/>
      </c>
      <c r="C18588" s="42" t="str">
        <f>IFERROR(__xludf.DUMMYFUNCTION("""COMPUTED_VALUE"""),"")</f>
        <v/>
      </c>
      <c r="D18588" s="42"/>
      <c r="E18588" s="42"/>
      <c r="F18588" s="48" t="str">
        <f>IFERROR(__xludf.DUMMYFUNCTION("""COMPUTED_VALUE"""),"")</f>
        <v/>
      </c>
      <c r="G18588" s="42" t="str">
        <f>IFERROR(__xludf.DUMMYFUNCTION("""COMPUTED_VALUE"""),"")</f>
        <v/>
      </c>
      <c r="H18588" s="42">
        <f t="shared" si="1"/>
        <v>3345</v>
      </c>
    </row>
    <row r="18589" ht="22.5" customHeight="1">
      <c r="B18589" s="42" t="str">
        <f>IFERROR(__xludf.DUMMYFUNCTION("""COMPUTED_VALUE"""),"")</f>
        <v/>
      </c>
      <c r="C18589" s="42" t="str">
        <f>IFERROR(__xludf.DUMMYFUNCTION("""COMPUTED_VALUE"""),"")</f>
        <v/>
      </c>
      <c r="D18589" s="42"/>
      <c r="E18589" s="42"/>
      <c r="F18589" s="48" t="str">
        <f>IFERROR(__xludf.DUMMYFUNCTION("""COMPUTED_VALUE"""),"")</f>
        <v/>
      </c>
      <c r="G18589" s="42" t="str">
        <f>IFERROR(__xludf.DUMMYFUNCTION("""COMPUTED_VALUE"""),"")</f>
        <v/>
      </c>
      <c r="H18589" s="42">
        <f t="shared" si="1"/>
        <v>3345</v>
      </c>
    </row>
    <row r="18590" ht="22.5" customHeight="1">
      <c r="B18590" s="42" t="str">
        <f>IFERROR(__xludf.DUMMYFUNCTION("""COMPUTED_VALUE"""),"")</f>
        <v/>
      </c>
      <c r="C18590" s="42" t="str">
        <f>IFERROR(__xludf.DUMMYFUNCTION("""COMPUTED_VALUE"""),"")</f>
        <v/>
      </c>
      <c r="D18590" s="42"/>
      <c r="E18590" s="42"/>
      <c r="F18590" s="48" t="str">
        <f>IFERROR(__xludf.DUMMYFUNCTION("""COMPUTED_VALUE"""),"")</f>
        <v/>
      </c>
      <c r="G18590" s="42" t="str">
        <f>IFERROR(__xludf.DUMMYFUNCTION("""COMPUTED_VALUE"""),"")</f>
        <v/>
      </c>
      <c r="H18590" s="42">
        <f t="shared" si="1"/>
        <v>3345</v>
      </c>
    </row>
    <row r="18591" ht="22.5" customHeight="1">
      <c r="B18591" s="42" t="str">
        <f>IFERROR(__xludf.DUMMYFUNCTION("""COMPUTED_VALUE"""),"")</f>
        <v/>
      </c>
      <c r="C18591" s="42" t="str">
        <f>IFERROR(__xludf.DUMMYFUNCTION("""COMPUTED_VALUE"""),"")</f>
        <v/>
      </c>
      <c r="D18591" s="42"/>
      <c r="E18591" s="42"/>
      <c r="F18591" s="48" t="str">
        <f>IFERROR(__xludf.DUMMYFUNCTION("""COMPUTED_VALUE"""),"")</f>
        <v/>
      </c>
      <c r="G18591" s="42" t="str">
        <f>IFERROR(__xludf.DUMMYFUNCTION("""COMPUTED_VALUE"""),"")</f>
        <v/>
      </c>
      <c r="H18591" s="42">
        <f t="shared" si="1"/>
        <v>3345</v>
      </c>
    </row>
    <row r="18592" ht="22.5" customHeight="1">
      <c r="B18592" s="42" t="str">
        <f>IFERROR(__xludf.DUMMYFUNCTION("""COMPUTED_VALUE"""),"")</f>
        <v/>
      </c>
      <c r="C18592" s="42" t="str">
        <f>IFERROR(__xludf.DUMMYFUNCTION("""COMPUTED_VALUE"""),"")</f>
        <v/>
      </c>
      <c r="D18592" s="42"/>
      <c r="E18592" s="42"/>
      <c r="F18592" s="48" t="str">
        <f>IFERROR(__xludf.DUMMYFUNCTION("""COMPUTED_VALUE"""),"")</f>
        <v/>
      </c>
      <c r="G18592" s="42" t="str">
        <f>IFERROR(__xludf.DUMMYFUNCTION("""COMPUTED_VALUE"""),"")</f>
        <v/>
      </c>
      <c r="H18592" s="42">
        <f t="shared" si="1"/>
        <v>3345</v>
      </c>
    </row>
    <row r="18593" ht="22.5" customHeight="1">
      <c r="B18593" s="42" t="str">
        <f>IFERROR(__xludf.DUMMYFUNCTION("""COMPUTED_VALUE"""),"")</f>
        <v/>
      </c>
      <c r="C18593" s="42" t="str">
        <f>IFERROR(__xludf.DUMMYFUNCTION("""COMPUTED_VALUE"""),"")</f>
        <v/>
      </c>
      <c r="D18593" s="42"/>
      <c r="E18593" s="42"/>
      <c r="F18593" s="48" t="str">
        <f>IFERROR(__xludf.DUMMYFUNCTION("""COMPUTED_VALUE"""),"")</f>
        <v/>
      </c>
      <c r="G18593" s="42" t="str">
        <f>IFERROR(__xludf.DUMMYFUNCTION("""COMPUTED_VALUE"""),"")</f>
        <v/>
      </c>
      <c r="H18593" s="42">
        <f t="shared" si="1"/>
        <v>3345</v>
      </c>
    </row>
    <row r="18594" ht="22.5" customHeight="1">
      <c r="B18594" s="42" t="str">
        <f>IFERROR(__xludf.DUMMYFUNCTION("""COMPUTED_VALUE"""),"")</f>
        <v/>
      </c>
      <c r="C18594" s="42" t="str">
        <f>IFERROR(__xludf.DUMMYFUNCTION("""COMPUTED_VALUE"""),"")</f>
        <v/>
      </c>
      <c r="D18594" s="42"/>
      <c r="E18594" s="42"/>
      <c r="F18594" s="48" t="str">
        <f>IFERROR(__xludf.DUMMYFUNCTION("""COMPUTED_VALUE"""),"")</f>
        <v/>
      </c>
      <c r="G18594" s="42" t="str">
        <f>IFERROR(__xludf.DUMMYFUNCTION("""COMPUTED_VALUE"""),"")</f>
        <v/>
      </c>
      <c r="H18594" s="42">
        <f t="shared" si="1"/>
        <v>3345</v>
      </c>
    </row>
    <row r="18595" ht="22.5" customHeight="1">
      <c r="B18595" s="42" t="str">
        <f>IFERROR(__xludf.DUMMYFUNCTION("""COMPUTED_VALUE"""),"")</f>
        <v/>
      </c>
      <c r="C18595" s="42" t="str">
        <f>IFERROR(__xludf.DUMMYFUNCTION("""COMPUTED_VALUE"""),"")</f>
        <v/>
      </c>
      <c r="D18595" s="42"/>
      <c r="E18595" s="42"/>
      <c r="F18595" s="48" t="str">
        <f>IFERROR(__xludf.DUMMYFUNCTION("""COMPUTED_VALUE"""),"")</f>
        <v/>
      </c>
      <c r="G18595" s="42" t="str">
        <f>IFERROR(__xludf.DUMMYFUNCTION("""COMPUTED_VALUE"""),"")</f>
        <v/>
      </c>
      <c r="H18595" s="42">
        <f t="shared" si="1"/>
        <v>3345</v>
      </c>
    </row>
    <row r="18596" ht="22.5" customHeight="1">
      <c r="B18596" s="42" t="str">
        <f>IFERROR(__xludf.DUMMYFUNCTION("""COMPUTED_VALUE"""),"")</f>
        <v/>
      </c>
      <c r="C18596" s="42" t="str">
        <f>IFERROR(__xludf.DUMMYFUNCTION("""COMPUTED_VALUE"""),"")</f>
        <v/>
      </c>
      <c r="D18596" s="42"/>
      <c r="E18596" s="42"/>
      <c r="F18596" s="48" t="str">
        <f>IFERROR(__xludf.DUMMYFUNCTION("""COMPUTED_VALUE"""),"")</f>
        <v/>
      </c>
      <c r="G18596" s="42" t="str">
        <f>IFERROR(__xludf.DUMMYFUNCTION("""COMPUTED_VALUE"""),"")</f>
        <v/>
      </c>
      <c r="H18596" s="42">
        <f t="shared" si="1"/>
        <v>3345</v>
      </c>
    </row>
    <row r="18597" ht="22.5" customHeight="1">
      <c r="B18597" s="42" t="str">
        <f>IFERROR(__xludf.DUMMYFUNCTION("""COMPUTED_VALUE"""),"")</f>
        <v/>
      </c>
      <c r="C18597" s="42" t="str">
        <f>IFERROR(__xludf.DUMMYFUNCTION("""COMPUTED_VALUE"""),"")</f>
        <v/>
      </c>
      <c r="D18597" s="42"/>
      <c r="E18597" s="42"/>
      <c r="F18597" s="48" t="str">
        <f>IFERROR(__xludf.DUMMYFUNCTION("""COMPUTED_VALUE"""),"")</f>
        <v/>
      </c>
      <c r="G18597" s="42" t="str">
        <f>IFERROR(__xludf.DUMMYFUNCTION("""COMPUTED_VALUE"""),"")</f>
        <v/>
      </c>
      <c r="H18597" s="42">
        <f t="shared" si="1"/>
        <v>3345</v>
      </c>
    </row>
    <row r="18598" ht="22.5" customHeight="1">
      <c r="B18598" s="42" t="str">
        <f>IFERROR(__xludf.DUMMYFUNCTION("""COMPUTED_VALUE"""),"")</f>
        <v/>
      </c>
      <c r="C18598" s="42" t="str">
        <f>IFERROR(__xludf.DUMMYFUNCTION("""COMPUTED_VALUE"""),"")</f>
        <v/>
      </c>
      <c r="D18598" s="42"/>
      <c r="E18598" s="42"/>
      <c r="F18598" s="48" t="str">
        <f>IFERROR(__xludf.DUMMYFUNCTION("""COMPUTED_VALUE"""),"")</f>
        <v/>
      </c>
      <c r="G18598" s="42" t="str">
        <f>IFERROR(__xludf.DUMMYFUNCTION("""COMPUTED_VALUE"""),"")</f>
        <v/>
      </c>
      <c r="H18598" s="42">
        <f t="shared" si="1"/>
        <v>3345</v>
      </c>
    </row>
    <row r="18599" ht="22.5" customHeight="1">
      <c r="B18599" s="42" t="str">
        <f>IFERROR(__xludf.DUMMYFUNCTION("""COMPUTED_VALUE"""),"")</f>
        <v/>
      </c>
      <c r="C18599" s="42" t="str">
        <f>IFERROR(__xludf.DUMMYFUNCTION("""COMPUTED_VALUE"""),"")</f>
        <v/>
      </c>
      <c r="D18599" s="42"/>
      <c r="E18599" s="42"/>
      <c r="F18599" s="48" t="str">
        <f>IFERROR(__xludf.DUMMYFUNCTION("""COMPUTED_VALUE"""),"")</f>
        <v/>
      </c>
      <c r="G18599" s="42" t="str">
        <f>IFERROR(__xludf.DUMMYFUNCTION("""COMPUTED_VALUE"""),"")</f>
        <v/>
      </c>
      <c r="H18599" s="42">
        <f t="shared" si="1"/>
        <v>3345</v>
      </c>
    </row>
    <row r="18600" ht="22.5" customHeight="1">
      <c r="B18600" s="42" t="str">
        <f>IFERROR(__xludf.DUMMYFUNCTION("""COMPUTED_VALUE"""),"")</f>
        <v/>
      </c>
      <c r="C18600" s="42" t="str">
        <f>IFERROR(__xludf.DUMMYFUNCTION("""COMPUTED_VALUE"""),"")</f>
        <v/>
      </c>
      <c r="D18600" s="42"/>
      <c r="E18600" s="42"/>
      <c r="F18600" s="48" t="str">
        <f>IFERROR(__xludf.DUMMYFUNCTION("""COMPUTED_VALUE"""),"")</f>
        <v/>
      </c>
      <c r="G18600" s="42" t="str">
        <f>IFERROR(__xludf.DUMMYFUNCTION("""COMPUTED_VALUE"""),"")</f>
        <v/>
      </c>
      <c r="H18600" s="42">
        <f t="shared" si="1"/>
        <v>3345</v>
      </c>
    </row>
    <row r="18601" ht="22.5" customHeight="1">
      <c r="B18601" s="42" t="str">
        <f>IFERROR(__xludf.DUMMYFUNCTION("""COMPUTED_VALUE"""),"")</f>
        <v/>
      </c>
      <c r="C18601" s="42" t="str">
        <f>IFERROR(__xludf.DUMMYFUNCTION("""COMPUTED_VALUE"""),"")</f>
        <v/>
      </c>
      <c r="D18601" s="42"/>
      <c r="E18601" s="42"/>
      <c r="F18601" s="48" t="str">
        <f>IFERROR(__xludf.DUMMYFUNCTION("""COMPUTED_VALUE"""),"")</f>
        <v/>
      </c>
      <c r="G18601" s="42" t="str">
        <f>IFERROR(__xludf.DUMMYFUNCTION("""COMPUTED_VALUE"""),"")</f>
        <v/>
      </c>
      <c r="H18601" s="42">
        <f t="shared" si="1"/>
        <v>3345</v>
      </c>
    </row>
    <row r="18602" ht="22.5" customHeight="1">
      <c r="B18602" s="42" t="str">
        <f>IFERROR(__xludf.DUMMYFUNCTION("""COMPUTED_VALUE"""),"")</f>
        <v/>
      </c>
      <c r="C18602" s="42" t="str">
        <f>IFERROR(__xludf.DUMMYFUNCTION("""COMPUTED_VALUE"""),"")</f>
        <v/>
      </c>
      <c r="D18602" s="42"/>
      <c r="E18602" s="42"/>
      <c r="F18602" s="48" t="str">
        <f>IFERROR(__xludf.DUMMYFUNCTION("""COMPUTED_VALUE"""),"")</f>
        <v/>
      </c>
      <c r="G18602" s="42" t="str">
        <f>IFERROR(__xludf.DUMMYFUNCTION("""COMPUTED_VALUE"""),"")</f>
        <v/>
      </c>
      <c r="H18602" s="42">
        <f t="shared" si="1"/>
        <v>3345</v>
      </c>
    </row>
    <row r="18603" ht="22.5" customHeight="1">
      <c r="B18603" s="42" t="str">
        <f>IFERROR(__xludf.DUMMYFUNCTION("""COMPUTED_VALUE"""),"")</f>
        <v/>
      </c>
      <c r="C18603" s="42" t="str">
        <f>IFERROR(__xludf.DUMMYFUNCTION("""COMPUTED_VALUE"""),"")</f>
        <v/>
      </c>
      <c r="D18603" s="42"/>
      <c r="E18603" s="42"/>
      <c r="F18603" s="48" t="str">
        <f>IFERROR(__xludf.DUMMYFUNCTION("""COMPUTED_VALUE"""),"")</f>
        <v/>
      </c>
      <c r="G18603" s="42" t="str">
        <f>IFERROR(__xludf.DUMMYFUNCTION("""COMPUTED_VALUE"""),"")</f>
        <v/>
      </c>
      <c r="H18603" s="42">
        <f t="shared" si="1"/>
        <v>3345</v>
      </c>
    </row>
    <row r="18604" ht="22.5" customHeight="1">
      <c r="B18604" s="42" t="str">
        <f>IFERROR(__xludf.DUMMYFUNCTION("""COMPUTED_VALUE"""),"")</f>
        <v/>
      </c>
      <c r="C18604" s="42" t="str">
        <f>IFERROR(__xludf.DUMMYFUNCTION("""COMPUTED_VALUE"""),"")</f>
        <v/>
      </c>
      <c r="D18604" s="42"/>
      <c r="E18604" s="42"/>
      <c r="F18604" s="48" t="str">
        <f>IFERROR(__xludf.DUMMYFUNCTION("""COMPUTED_VALUE"""),"")</f>
        <v/>
      </c>
      <c r="G18604" s="42" t="str">
        <f>IFERROR(__xludf.DUMMYFUNCTION("""COMPUTED_VALUE"""),"")</f>
        <v/>
      </c>
      <c r="H18604" s="42">
        <f t="shared" si="1"/>
        <v>3345</v>
      </c>
    </row>
    <row r="18605" ht="22.5" customHeight="1">
      <c r="B18605" s="42" t="str">
        <f>IFERROR(__xludf.DUMMYFUNCTION("""COMPUTED_VALUE"""),"")</f>
        <v/>
      </c>
      <c r="C18605" s="42" t="str">
        <f>IFERROR(__xludf.DUMMYFUNCTION("""COMPUTED_VALUE"""),"")</f>
        <v/>
      </c>
      <c r="D18605" s="42"/>
      <c r="E18605" s="42"/>
      <c r="F18605" s="48" t="str">
        <f>IFERROR(__xludf.DUMMYFUNCTION("""COMPUTED_VALUE"""),"")</f>
        <v/>
      </c>
      <c r="G18605" s="42" t="str">
        <f>IFERROR(__xludf.DUMMYFUNCTION("""COMPUTED_VALUE"""),"")</f>
        <v/>
      </c>
      <c r="H18605" s="42">
        <f t="shared" si="1"/>
        <v>3345</v>
      </c>
    </row>
    <row r="18606" ht="22.5" customHeight="1">
      <c r="B18606" s="42" t="str">
        <f>IFERROR(__xludf.DUMMYFUNCTION("""COMPUTED_VALUE"""),"")</f>
        <v/>
      </c>
      <c r="C18606" s="42" t="str">
        <f>IFERROR(__xludf.DUMMYFUNCTION("""COMPUTED_VALUE"""),"")</f>
        <v/>
      </c>
      <c r="D18606" s="42"/>
      <c r="E18606" s="42"/>
      <c r="F18606" s="48" t="str">
        <f>IFERROR(__xludf.DUMMYFUNCTION("""COMPUTED_VALUE"""),"")</f>
        <v/>
      </c>
      <c r="G18606" s="42" t="str">
        <f>IFERROR(__xludf.DUMMYFUNCTION("""COMPUTED_VALUE"""),"")</f>
        <v/>
      </c>
      <c r="H18606" s="42">
        <f t="shared" si="1"/>
        <v>3345</v>
      </c>
    </row>
    <row r="18607" ht="22.5" customHeight="1">
      <c r="B18607" s="42" t="str">
        <f>IFERROR(__xludf.DUMMYFUNCTION("""COMPUTED_VALUE"""),"")</f>
        <v/>
      </c>
      <c r="C18607" s="42" t="str">
        <f>IFERROR(__xludf.DUMMYFUNCTION("""COMPUTED_VALUE"""),"")</f>
        <v/>
      </c>
      <c r="D18607" s="42"/>
      <c r="E18607" s="42"/>
      <c r="F18607" s="48" t="str">
        <f>IFERROR(__xludf.DUMMYFUNCTION("""COMPUTED_VALUE"""),"")</f>
        <v/>
      </c>
      <c r="G18607" s="42" t="str">
        <f>IFERROR(__xludf.DUMMYFUNCTION("""COMPUTED_VALUE"""),"")</f>
        <v/>
      </c>
      <c r="H18607" s="42">
        <f t="shared" si="1"/>
        <v>3345</v>
      </c>
    </row>
    <row r="18608" ht="22.5" customHeight="1">
      <c r="B18608" s="42" t="str">
        <f>IFERROR(__xludf.DUMMYFUNCTION("""COMPUTED_VALUE"""),"")</f>
        <v/>
      </c>
      <c r="C18608" s="42" t="str">
        <f>IFERROR(__xludf.DUMMYFUNCTION("""COMPUTED_VALUE"""),"")</f>
        <v/>
      </c>
      <c r="D18608" s="42"/>
      <c r="E18608" s="42"/>
      <c r="F18608" s="48" t="str">
        <f>IFERROR(__xludf.DUMMYFUNCTION("""COMPUTED_VALUE"""),"")</f>
        <v/>
      </c>
      <c r="G18608" s="42" t="str">
        <f>IFERROR(__xludf.DUMMYFUNCTION("""COMPUTED_VALUE"""),"")</f>
        <v/>
      </c>
      <c r="H18608" s="42">
        <f t="shared" si="1"/>
        <v>3345</v>
      </c>
    </row>
    <row r="18609" ht="22.5" customHeight="1">
      <c r="B18609" s="42" t="str">
        <f>IFERROR(__xludf.DUMMYFUNCTION("""COMPUTED_VALUE"""),"")</f>
        <v/>
      </c>
      <c r="C18609" s="42" t="str">
        <f>IFERROR(__xludf.DUMMYFUNCTION("""COMPUTED_VALUE"""),"")</f>
        <v/>
      </c>
      <c r="D18609" s="42"/>
      <c r="E18609" s="42"/>
      <c r="F18609" s="48" t="str">
        <f>IFERROR(__xludf.DUMMYFUNCTION("""COMPUTED_VALUE"""),"")</f>
        <v/>
      </c>
      <c r="G18609" s="42" t="str">
        <f>IFERROR(__xludf.DUMMYFUNCTION("""COMPUTED_VALUE"""),"")</f>
        <v/>
      </c>
      <c r="H18609" s="42">
        <f t="shared" si="1"/>
        <v>3345</v>
      </c>
    </row>
    <row r="18610" ht="22.5" customHeight="1">
      <c r="B18610" s="42" t="str">
        <f>IFERROR(__xludf.DUMMYFUNCTION("""COMPUTED_VALUE"""),"")</f>
        <v/>
      </c>
      <c r="C18610" s="42" t="str">
        <f>IFERROR(__xludf.DUMMYFUNCTION("""COMPUTED_VALUE"""),"")</f>
        <v/>
      </c>
      <c r="D18610" s="42"/>
      <c r="E18610" s="42"/>
      <c r="F18610" s="48" t="str">
        <f>IFERROR(__xludf.DUMMYFUNCTION("""COMPUTED_VALUE"""),"")</f>
        <v/>
      </c>
      <c r="G18610" s="42" t="str">
        <f>IFERROR(__xludf.DUMMYFUNCTION("""COMPUTED_VALUE"""),"")</f>
        <v/>
      </c>
      <c r="H18610" s="42">
        <f t="shared" si="1"/>
        <v>3345</v>
      </c>
    </row>
    <row r="18611" ht="22.5" customHeight="1">
      <c r="B18611" s="42" t="str">
        <f>IFERROR(__xludf.DUMMYFUNCTION("""COMPUTED_VALUE"""),"")</f>
        <v/>
      </c>
      <c r="C18611" s="42" t="str">
        <f>IFERROR(__xludf.DUMMYFUNCTION("""COMPUTED_VALUE"""),"")</f>
        <v/>
      </c>
      <c r="D18611" s="42"/>
      <c r="E18611" s="42"/>
      <c r="F18611" s="48" t="str">
        <f>IFERROR(__xludf.DUMMYFUNCTION("""COMPUTED_VALUE"""),"")</f>
        <v/>
      </c>
      <c r="G18611" s="42" t="str">
        <f>IFERROR(__xludf.DUMMYFUNCTION("""COMPUTED_VALUE"""),"")</f>
        <v/>
      </c>
      <c r="H18611" s="42">
        <f t="shared" si="1"/>
        <v>3345</v>
      </c>
    </row>
    <row r="18612" ht="22.5" customHeight="1">
      <c r="B18612" s="42" t="str">
        <f>IFERROR(__xludf.DUMMYFUNCTION("""COMPUTED_VALUE"""),"")</f>
        <v/>
      </c>
      <c r="C18612" s="42" t="str">
        <f>IFERROR(__xludf.DUMMYFUNCTION("""COMPUTED_VALUE"""),"")</f>
        <v/>
      </c>
      <c r="D18612" s="42"/>
      <c r="E18612" s="42"/>
      <c r="F18612" s="48" t="str">
        <f>IFERROR(__xludf.DUMMYFUNCTION("""COMPUTED_VALUE"""),"")</f>
        <v/>
      </c>
      <c r="G18612" s="42" t="str">
        <f>IFERROR(__xludf.DUMMYFUNCTION("""COMPUTED_VALUE"""),"")</f>
        <v/>
      </c>
      <c r="H18612" s="42">
        <f t="shared" si="1"/>
        <v>3345</v>
      </c>
    </row>
    <row r="18613" ht="22.5" customHeight="1">
      <c r="B18613" s="42" t="str">
        <f>IFERROR(__xludf.DUMMYFUNCTION("""COMPUTED_VALUE"""),"")</f>
        <v/>
      </c>
      <c r="C18613" s="42" t="str">
        <f>IFERROR(__xludf.DUMMYFUNCTION("""COMPUTED_VALUE"""),"")</f>
        <v/>
      </c>
      <c r="D18613" s="42"/>
      <c r="E18613" s="42"/>
      <c r="F18613" s="48" t="str">
        <f>IFERROR(__xludf.DUMMYFUNCTION("""COMPUTED_VALUE"""),"")</f>
        <v/>
      </c>
      <c r="G18613" s="42" t="str">
        <f>IFERROR(__xludf.DUMMYFUNCTION("""COMPUTED_VALUE"""),"")</f>
        <v/>
      </c>
      <c r="H18613" s="42">
        <f t="shared" si="1"/>
        <v>3345</v>
      </c>
    </row>
    <row r="18614" ht="22.5" customHeight="1">
      <c r="B18614" s="42" t="str">
        <f>IFERROR(__xludf.DUMMYFUNCTION("""COMPUTED_VALUE"""),"")</f>
        <v/>
      </c>
      <c r="C18614" s="42" t="str">
        <f>IFERROR(__xludf.DUMMYFUNCTION("""COMPUTED_VALUE"""),"")</f>
        <v/>
      </c>
      <c r="D18614" s="42"/>
      <c r="E18614" s="42"/>
      <c r="F18614" s="48" t="str">
        <f>IFERROR(__xludf.DUMMYFUNCTION("""COMPUTED_VALUE"""),"")</f>
        <v/>
      </c>
      <c r="G18614" s="42" t="str">
        <f>IFERROR(__xludf.DUMMYFUNCTION("""COMPUTED_VALUE"""),"")</f>
        <v/>
      </c>
      <c r="H18614" s="42">
        <f t="shared" si="1"/>
        <v>3345</v>
      </c>
    </row>
    <row r="18615" ht="22.5" customHeight="1">
      <c r="B18615" s="42" t="str">
        <f>IFERROR(__xludf.DUMMYFUNCTION("""COMPUTED_VALUE"""),"")</f>
        <v/>
      </c>
      <c r="C18615" s="42" t="str">
        <f>IFERROR(__xludf.DUMMYFUNCTION("""COMPUTED_VALUE"""),"")</f>
        <v/>
      </c>
      <c r="D18615" s="42"/>
      <c r="E18615" s="42"/>
      <c r="F18615" s="48" t="str">
        <f>IFERROR(__xludf.DUMMYFUNCTION("""COMPUTED_VALUE"""),"")</f>
        <v/>
      </c>
      <c r="G18615" s="42" t="str">
        <f>IFERROR(__xludf.DUMMYFUNCTION("""COMPUTED_VALUE"""),"")</f>
        <v/>
      </c>
      <c r="H18615" s="42">
        <f t="shared" si="1"/>
        <v>3345</v>
      </c>
    </row>
    <row r="18616" ht="22.5" customHeight="1">
      <c r="B18616" s="42" t="str">
        <f>IFERROR(__xludf.DUMMYFUNCTION("""COMPUTED_VALUE"""),"")</f>
        <v/>
      </c>
      <c r="C18616" s="42" t="str">
        <f>IFERROR(__xludf.DUMMYFUNCTION("""COMPUTED_VALUE"""),"")</f>
        <v/>
      </c>
      <c r="D18616" s="42"/>
      <c r="E18616" s="42"/>
      <c r="F18616" s="48" t="str">
        <f>IFERROR(__xludf.DUMMYFUNCTION("""COMPUTED_VALUE"""),"")</f>
        <v/>
      </c>
      <c r="G18616" s="42" t="str">
        <f>IFERROR(__xludf.DUMMYFUNCTION("""COMPUTED_VALUE"""),"")</f>
        <v/>
      </c>
      <c r="H18616" s="42">
        <f t="shared" si="1"/>
        <v>3345</v>
      </c>
    </row>
    <row r="18617" ht="22.5" customHeight="1">
      <c r="B18617" s="42" t="str">
        <f>IFERROR(__xludf.DUMMYFUNCTION("""COMPUTED_VALUE"""),"")</f>
        <v/>
      </c>
      <c r="C18617" s="42" t="str">
        <f>IFERROR(__xludf.DUMMYFUNCTION("""COMPUTED_VALUE"""),"")</f>
        <v/>
      </c>
      <c r="D18617" s="42"/>
      <c r="E18617" s="42"/>
      <c r="F18617" s="48" t="str">
        <f>IFERROR(__xludf.DUMMYFUNCTION("""COMPUTED_VALUE"""),"")</f>
        <v/>
      </c>
      <c r="G18617" s="42" t="str">
        <f>IFERROR(__xludf.DUMMYFUNCTION("""COMPUTED_VALUE"""),"")</f>
        <v/>
      </c>
      <c r="H18617" s="42">
        <f t="shared" si="1"/>
        <v>3345</v>
      </c>
    </row>
    <row r="18618" ht="22.5" customHeight="1">
      <c r="B18618" s="42" t="str">
        <f>IFERROR(__xludf.DUMMYFUNCTION("""COMPUTED_VALUE"""),"")</f>
        <v/>
      </c>
      <c r="C18618" s="42" t="str">
        <f>IFERROR(__xludf.DUMMYFUNCTION("""COMPUTED_VALUE"""),"")</f>
        <v/>
      </c>
      <c r="D18618" s="42"/>
      <c r="E18618" s="42"/>
      <c r="F18618" s="48" t="str">
        <f>IFERROR(__xludf.DUMMYFUNCTION("""COMPUTED_VALUE"""),"")</f>
        <v/>
      </c>
      <c r="G18618" s="42" t="str">
        <f>IFERROR(__xludf.DUMMYFUNCTION("""COMPUTED_VALUE"""),"")</f>
        <v/>
      </c>
      <c r="H18618" s="42">
        <f t="shared" si="1"/>
        <v>3345</v>
      </c>
    </row>
    <row r="18619" ht="22.5" customHeight="1">
      <c r="B18619" s="42" t="str">
        <f>IFERROR(__xludf.DUMMYFUNCTION("""COMPUTED_VALUE"""),"")</f>
        <v/>
      </c>
      <c r="C18619" s="42" t="str">
        <f>IFERROR(__xludf.DUMMYFUNCTION("""COMPUTED_VALUE"""),"")</f>
        <v/>
      </c>
      <c r="D18619" s="42"/>
      <c r="E18619" s="42"/>
      <c r="F18619" s="48" t="str">
        <f>IFERROR(__xludf.DUMMYFUNCTION("""COMPUTED_VALUE"""),"")</f>
        <v/>
      </c>
      <c r="G18619" s="42" t="str">
        <f>IFERROR(__xludf.DUMMYFUNCTION("""COMPUTED_VALUE"""),"")</f>
        <v/>
      </c>
      <c r="H18619" s="42">
        <f t="shared" si="1"/>
        <v>3345</v>
      </c>
    </row>
    <row r="18620" ht="22.5" customHeight="1">
      <c r="B18620" s="42" t="str">
        <f>IFERROR(__xludf.DUMMYFUNCTION("""COMPUTED_VALUE"""),"")</f>
        <v/>
      </c>
      <c r="C18620" s="42" t="str">
        <f>IFERROR(__xludf.DUMMYFUNCTION("""COMPUTED_VALUE"""),"")</f>
        <v/>
      </c>
      <c r="D18620" s="42"/>
      <c r="E18620" s="42"/>
      <c r="F18620" s="48" t="str">
        <f>IFERROR(__xludf.DUMMYFUNCTION("""COMPUTED_VALUE"""),"")</f>
        <v/>
      </c>
      <c r="G18620" s="42" t="str">
        <f>IFERROR(__xludf.DUMMYFUNCTION("""COMPUTED_VALUE"""),"")</f>
        <v/>
      </c>
      <c r="H18620" s="42">
        <f t="shared" si="1"/>
        <v>3345</v>
      </c>
    </row>
    <row r="18621" ht="22.5" customHeight="1">
      <c r="B18621" s="42" t="str">
        <f>IFERROR(__xludf.DUMMYFUNCTION("""COMPUTED_VALUE"""),"")</f>
        <v/>
      </c>
      <c r="C18621" s="42" t="str">
        <f>IFERROR(__xludf.DUMMYFUNCTION("""COMPUTED_VALUE"""),"")</f>
        <v/>
      </c>
      <c r="D18621" s="42"/>
      <c r="E18621" s="42"/>
      <c r="F18621" s="48" t="str">
        <f>IFERROR(__xludf.DUMMYFUNCTION("""COMPUTED_VALUE"""),"")</f>
        <v/>
      </c>
      <c r="G18621" s="42" t="str">
        <f>IFERROR(__xludf.DUMMYFUNCTION("""COMPUTED_VALUE"""),"")</f>
        <v/>
      </c>
      <c r="H18621" s="42">
        <f t="shared" si="1"/>
        <v>3345</v>
      </c>
    </row>
    <row r="18622" ht="22.5" customHeight="1">
      <c r="B18622" s="42" t="str">
        <f>IFERROR(__xludf.DUMMYFUNCTION("""COMPUTED_VALUE"""),"")</f>
        <v/>
      </c>
      <c r="C18622" s="42" t="str">
        <f>IFERROR(__xludf.DUMMYFUNCTION("""COMPUTED_VALUE"""),"")</f>
        <v/>
      </c>
      <c r="D18622" s="42"/>
      <c r="E18622" s="42"/>
      <c r="F18622" s="48" t="str">
        <f>IFERROR(__xludf.DUMMYFUNCTION("""COMPUTED_VALUE"""),"")</f>
        <v/>
      </c>
      <c r="G18622" s="42" t="str">
        <f>IFERROR(__xludf.DUMMYFUNCTION("""COMPUTED_VALUE"""),"")</f>
        <v/>
      </c>
      <c r="H18622" s="42">
        <f t="shared" si="1"/>
        <v>3345</v>
      </c>
    </row>
    <row r="18623" ht="22.5" customHeight="1">
      <c r="B18623" s="42" t="str">
        <f>IFERROR(__xludf.DUMMYFUNCTION("""COMPUTED_VALUE"""),"")</f>
        <v/>
      </c>
      <c r="C18623" s="42" t="str">
        <f>IFERROR(__xludf.DUMMYFUNCTION("""COMPUTED_VALUE"""),"")</f>
        <v/>
      </c>
      <c r="D18623" s="42"/>
      <c r="E18623" s="42"/>
      <c r="F18623" s="48" t="str">
        <f>IFERROR(__xludf.DUMMYFUNCTION("""COMPUTED_VALUE"""),"")</f>
        <v/>
      </c>
      <c r="G18623" s="42" t="str">
        <f>IFERROR(__xludf.DUMMYFUNCTION("""COMPUTED_VALUE"""),"")</f>
        <v/>
      </c>
      <c r="H18623" s="42">
        <f t="shared" si="1"/>
        <v>3345</v>
      </c>
    </row>
    <row r="18624" ht="22.5" customHeight="1">
      <c r="B18624" s="42" t="str">
        <f>IFERROR(__xludf.DUMMYFUNCTION("""COMPUTED_VALUE"""),"")</f>
        <v/>
      </c>
      <c r="C18624" s="42" t="str">
        <f>IFERROR(__xludf.DUMMYFUNCTION("""COMPUTED_VALUE"""),"")</f>
        <v/>
      </c>
      <c r="D18624" s="42"/>
      <c r="E18624" s="42"/>
      <c r="F18624" s="48" t="str">
        <f>IFERROR(__xludf.DUMMYFUNCTION("""COMPUTED_VALUE"""),"")</f>
        <v/>
      </c>
      <c r="G18624" s="42" t="str">
        <f>IFERROR(__xludf.DUMMYFUNCTION("""COMPUTED_VALUE"""),"")</f>
        <v/>
      </c>
      <c r="H18624" s="42">
        <f t="shared" si="1"/>
        <v>3345</v>
      </c>
    </row>
    <row r="18625" ht="22.5" customHeight="1">
      <c r="B18625" s="42" t="str">
        <f>IFERROR(__xludf.DUMMYFUNCTION("""COMPUTED_VALUE"""),"")</f>
        <v/>
      </c>
      <c r="C18625" s="42" t="str">
        <f>IFERROR(__xludf.DUMMYFUNCTION("""COMPUTED_VALUE"""),"")</f>
        <v/>
      </c>
      <c r="D18625" s="42"/>
      <c r="E18625" s="42"/>
      <c r="F18625" s="48" t="str">
        <f>IFERROR(__xludf.DUMMYFUNCTION("""COMPUTED_VALUE"""),"")</f>
        <v/>
      </c>
      <c r="G18625" s="42" t="str">
        <f>IFERROR(__xludf.DUMMYFUNCTION("""COMPUTED_VALUE"""),"")</f>
        <v/>
      </c>
      <c r="H18625" s="42">
        <f t="shared" si="1"/>
        <v>3345</v>
      </c>
    </row>
    <row r="18626" ht="22.5" customHeight="1">
      <c r="B18626" s="42" t="str">
        <f>IFERROR(__xludf.DUMMYFUNCTION("""COMPUTED_VALUE"""),"")</f>
        <v/>
      </c>
      <c r="C18626" s="42" t="str">
        <f>IFERROR(__xludf.DUMMYFUNCTION("""COMPUTED_VALUE"""),"")</f>
        <v/>
      </c>
      <c r="D18626" s="42"/>
      <c r="E18626" s="42"/>
      <c r="F18626" s="48" t="str">
        <f>IFERROR(__xludf.DUMMYFUNCTION("""COMPUTED_VALUE"""),"")</f>
        <v/>
      </c>
      <c r="G18626" s="42" t="str">
        <f>IFERROR(__xludf.DUMMYFUNCTION("""COMPUTED_VALUE"""),"")</f>
        <v/>
      </c>
      <c r="H18626" s="42">
        <f t="shared" si="1"/>
        <v>3345</v>
      </c>
    </row>
    <row r="18627" ht="22.5" customHeight="1">
      <c r="B18627" s="42" t="str">
        <f>IFERROR(__xludf.DUMMYFUNCTION("""COMPUTED_VALUE"""),"")</f>
        <v/>
      </c>
      <c r="C18627" s="42" t="str">
        <f>IFERROR(__xludf.DUMMYFUNCTION("""COMPUTED_VALUE"""),"")</f>
        <v/>
      </c>
      <c r="D18627" s="42"/>
      <c r="E18627" s="42"/>
      <c r="F18627" s="48" t="str">
        <f>IFERROR(__xludf.DUMMYFUNCTION("""COMPUTED_VALUE"""),"")</f>
        <v/>
      </c>
      <c r="G18627" s="42" t="str">
        <f>IFERROR(__xludf.DUMMYFUNCTION("""COMPUTED_VALUE"""),"")</f>
        <v/>
      </c>
      <c r="H18627" s="42">
        <f t="shared" si="1"/>
        <v>3345</v>
      </c>
    </row>
    <row r="18628" ht="22.5" customHeight="1">
      <c r="B18628" s="42" t="str">
        <f>IFERROR(__xludf.DUMMYFUNCTION("""COMPUTED_VALUE"""),"")</f>
        <v/>
      </c>
      <c r="C18628" s="42" t="str">
        <f>IFERROR(__xludf.DUMMYFUNCTION("""COMPUTED_VALUE"""),"")</f>
        <v/>
      </c>
      <c r="D18628" s="42"/>
      <c r="E18628" s="42"/>
      <c r="F18628" s="48" t="str">
        <f>IFERROR(__xludf.DUMMYFUNCTION("""COMPUTED_VALUE"""),"")</f>
        <v/>
      </c>
      <c r="G18628" s="42" t="str">
        <f>IFERROR(__xludf.DUMMYFUNCTION("""COMPUTED_VALUE"""),"")</f>
        <v/>
      </c>
      <c r="H18628" s="42">
        <f t="shared" si="1"/>
        <v>3345</v>
      </c>
    </row>
    <row r="18629" ht="22.5" customHeight="1">
      <c r="B18629" s="42" t="str">
        <f>IFERROR(__xludf.DUMMYFUNCTION("""COMPUTED_VALUE"""),"")</f>
        <v/>
      </c>
      <c r="C18629" s="42" t="str">
        <f>IFERROR(__xludf.DUMMYFUNCTION("""COMPUTED_VALUE"""),"")</f>
        <v/>
      </c>
      <c r="D18629" s="42"/>
      <c r="E18629" s="42"/>
      <c r="F18629" s="48" t="str">
        <f>IFERROR(__xludf.DUMMYFUNCTION("""COMPUTED_VALUE"""),"")</f>
        <v/>
      </c>
      <c r="G18629" s="42" t="str">
        <f>IFERROR(__xludf.DUMMYFUNCTION("""COMPUTED_VALUE"""),"")</f>
        <v/>
      </c>
      <c r="H18629" s="42">
        <f t="shared" si="1"/>
        <v>3345</v>
      </c>
    </row>
    <row r="18630" ht="22.5" customHeight="1">
      <c r="B18630" s="42" t="str">
        <f>IFERROR(__xludf.DUMMYFUNCTION("""COMPUTED_VALUE"""),"")</f>
        <v/>
      </c>
      <c r="C18630" s="42" t="str">
        <f>IFERROR(__xludf.DUMMYFUNCTION("""COMPUTED_VALUE"""),"")</f>
        <v/>
      </c>
      <c r="D18630" s="42"/>
      <c r="E18630" s="42"/>
      <c r="F18630" s="48" t="str">
        <f>IFERROR(__xludf.DUMMYFUNCTION("""COMPUTED_VALUE"""),"")</f>
        <v/>
      </c>
      <c r="G18630" s="42" t="str">
        <f>IFERROR(__xludf.DUMMYFUNCTION("""COMPUTED_VALUE"""),"")</f>
        <v/>
      </c>
      <c r="H18630" s="42">
        <f t="shared" si="1"/>
        <v>3345</v>
      </c>
    </row>
    <row r="18631" ht="22.5" customHeight="1">
      <c r="B18631" s="42" t="str">
        <f>IFERROR(__xludf.DUMMYFUNCTION("""COMPUTED_VALUE"""),"")</f>
        <v/>
      </c>
      <c r="C18631" s="42" t="str">
        <f>IFERROR(__xludf.DUMMYFUNCTION("""COMPUTED_VALUE"""),"")</f>
        <v/>
      </c>
      <c r="D18631" s="42"/>
      <c r="E18631" s="42"/>
      <c r="F18631" s="48" t="str">
        <f>IFERROR(__xludf.DUMMYFUNCTION("""COMPUTED_VALUE"""),"")</f>
        <v/>
      </c>
      <c r="G18631" s="42" t="str">
        <f>IFERROR(__xludf.DUMMYFUNCTION("""COMPUTED_VALUE"""),"")</f>
        <v/>
      </c>
      <c r="H18631" s="42">
        <f t="shared" si="1"/>
        <v>3345</v>
      </c>
    </row>
    <row r="18632" ht="22.5" customHeight="1">
      <c r="B18632" s="42" t="str">
        <f>IFERROR(__xludf.DUMMYFUNCTION("""COMPUTED_VALUE"""),"")</f>
        <v/>
      </c>
      <c r="C18632" s="42" t="str">
        <f>IFERROR(__xludf.DUMMYFUNCTION("""COMPUTED_VALUE"""),"")</f>
        <v/>
      </c>
      <c r="D18632" s="42"/>
      <c r="E18632" s="42"/>
      <c r="F18632" s="48" t="str">
        <f>IFERROR(__xludf.DUMMYFUNCTION("""COMPUTED_VALUE"""),"")</f>
        <v/>
      </c>
      <c r="G18632" s="42" t="str">
        <f>IFERROR(__xludf.DUMMYFUNCTION("""COMPUTED_VALUE"""),"")</f>
        <v/>
      </c>
      <c r="H18632" s="42">
        <f t="shared" si="1"/>
        <v>3345</v>
      </c>
    </row>
    <row r="18633" ht="22.5" customHeight="1">
      <c r="B18633" s="42" t="str">
        <f>IFERROR(__xludf.DUMMYFUNCTION("""COMPUTED_VALUE"""),"")</f>
        <v/>
      </c>
      <c r="C18633" s="42" t="str">
        <f>IFERROR(__xludf.DUMMYFUNCTION("""COMPUTED_VALUE"""),"")</f>
        <v/>
      </c>
      <c r="D18633" s="42"/>
      <c r="E18633" s="42"/>
      <c r="F18633" s="48" t="str">
        <f>IFERROR(__xludf.DUMMYFUNCTION("""COMPUTED_VALUE"""),"")</f>
        <v/>
      </c>
      <c r="G18633" s="42" t="str">
        <f>IFERROR(__xludf.DUMMYFUNCTION("""COMPUTED_VALUE"""),"")</f>
        <v/>
      </c>
      <c r="H18633" s="42">
        <f t="shared" si="1"/>
        <v>3345</v>
      </c>
    </row>
    <row r="18634" ht="22.5" customHeight="1">
      <c r="B18634" s="42" t="str">
        <f>IFERROR(__xludf.DUMMYFUNCTION("""COMPUTED_VALUE"""),"")</f>
        <v/>
      </c>
      <c r="C18634" s="42" t="str">
        <f>IFERROR(__xludf.DUMMYFUNCTION("""COMPUTED_VALUE"""),"")</f>
        <v/>
      </c>
      <c r="D18634" s="42"/>
      <c r="E18634" s="42"/>
      <c r="F18634" s="48" t="str">
        <f>IFERROR(__xludf.DUMMYFUNCTION("""COMPUTED_VALUE"""),"")</f>
        <v/>
      </c>
      <c r="G18634" s="42" t="str">
        <f>IFERROR(__xludf.DUMMYFUNCTION("""COMPUTED_VALUE"""),"")</f>
        <v/>
      </c>
      <c r="H18634" s="42">
        <f t="shared" si="1"/>
        <v>3345</v>
      </c>
    </row>
    <row r="18635" ht="22.5" customHeight="1">
      <c r="B18635" s="42" t="str">
        <f>IFERROR(__xludf.DUMMYFUNCTION("""COMPUTED_VALUE"""),"")</f>
        <v/>
      </c>
      <c r="C18635" s="42" t="str">
        <f>IFERROR(__xludf.DUMMYFUNCTION("""COMPUTED_VALUE"""),"")</f>
        <v/>
      </c>
      <c r="D18635" s="42"/>
      <c r="E18635" s="42"/>
      <c r="F18635" s="48" t="str">
        <f>IFERROR(__xludf.DUMMYFUNCTION("""COMPUTED_VALUE"""),"")</f>
        <v/>
      </c>
      <c r="G18635" s="42" t="str">
        <f>IFERROR(__xludf.DUMMYFUNCTION("""COMPUTED_VALUE"""),"")</f>
        <v/>
      </c>
      <c r="H18635" s="42">
        <f t="shared" si="1"/>
        <v>3345</v>
      </c>
    </row>
    <row r="18636" ht="22.5" customHeight="1">
      <c r="B18636" s="42" t="str">
        <f>IFERROR(__xludf.DUMMYFUNCTION("""COMPUTED_VALUE"""),"")</f>
        <v/>
      </c>
      <c r="C18636" s="42" t="str">
        <f>IFERROR(__xludf.DUMMYFUNCTION("""COMPUTED_VALUE"""),"")</f>
        <v/>
      </c>
      <c r="D18636" s="42"/>
      <c r="E18636" s="42"/>
      <c r="F18636" s="48" t="str">
        <f>IFERROR(__xludf.DUMMYFUNCTION("""COMPUTED_VALUE"""),"")</f>
        <v/>
      </c>
      <c r="G18636" s="42" t="str">
        <f>IFERROR(__xludf.DUMMYFUNCTION("""COMPUTED_VALUE"""),"")</f>
        <v/>
      </c>
      <c r="H18636" s="42">
        <f t="shared" si="1"/>
        <v>3345</v>
      </c>
    </row>
    <row r="18637" ht="22.5" customHeight="1">
      <c r="B18637" s="42" t="str">
        <f>IFERROR(__xludf.DUMMYFUNCTION("""COMPUTED_VALUE"""),"")</f>
        <v/>
      </c>
      <c r="C18637" s="42" t="str">
        <f>IFERROR(__xludf.DUMMYFUNCTION("""COMPUTED_VALUE"""),"")</f>
        <v/>
      </c>
      <c r="D18637" s="42"/>
      <c r="E18637" s="42"/>
      <c r="F18637" s="48" t="str">
        <f>IFERROR(__xludf.DUMMYFUNCTION("""COMPUTED_VALUE"""),"")</f>
        <v/>
      </c>
      <c r="G18637" s="42" t="str">
        <f>IFERROR(__xludf.DUMMYFUNCTION("""COMPUTED_VALUE"""),"")</f>
        <v/>
      </c>
      <c r="H18637" s="42">
        <f t="shared" si="1"/>
        <v>3345</v>
      </c>
    </row>
    <row r="18638" ht="22.5" customHeight="1">
      <c r="B18638" s="42" t="str">
        <f>IFERROR(__xludf.DUMMYFUNCTION("""COMPUTED_VALUE"""),"")</f>
        <v/>
      </c>
      <c r="C18638" s="42" t="str">
        <f>IFERROR(__xludf.DUMMYFUNCTION("""COMPUTED_VALUE"""),"")</f>
        <v/>
      </c>
      <c r="D18638" s="42"/>
      <c r="E18638" s="42"/>
      <c r="F18638" s="48" t="str">
        <f>IFERROR(__xludf.DUMMYFUNCTION("""COMPUTED_VALUE"""),"")</f>
        <v/>
      </c>
      <c r="G18638" s="42" t="str">
        <f>IFERROR(__xludf.DUMMYFUNCTION("""COMPUTED_VALUE"""),"")</f>
        <v/>
      </c>
      <c r="H18638" s="42">
        <f t="shared" si="1"/>
        <v>3345</v>
      </c>
    </row>
    <row r="18639" ht="22.5" customHeight="1">
      <c r="B18639" s="42" t="str">
        <f>IFERROR(__xludf.DUMMYFUNCTION("""COMPUTED_VALUE"""),"")</f>
        <v/>
      </c>
      <c r="C18639" s="42" t="str">
        <f>IFERROR(__xludf.DUMMYFUNCTION("""COMPUTED_VALUE"""),"")</f>
        <v/>
      </c>
      <c r="D18639" s="42"/>
      <c r="E18639" s="42"/>
      <c r="F18639" s="48" t="str">
        <f>IFERROR(__xludf.DUMMYFUNCTION("""COMPUTED_VALUE"""),"")</f>
        <v/>
      </c>
      <c r="G18639" s="42" t="str">
        <f>IFERROR(__xludf.DUMMYFUNCTION("""COMPUTED_VALUE"""),"")</f>
        <v/>
      </c>
      <c r="H18639" s="42">
        <f t="shared" si="1"/>
        <v>3345</v>
      </c>
    </row>
    <row r="18640" ht="22.5" customHeight="1">
      <c r="B18640" s="42" t="str">
        <f>IFERROR(__xludf.DUMMYFUNCTION("""COMPUTED_VALUE"""),"")</f>
        <v/>
      </c>
      <c r="C18640" s="42" t="str">
        <f>IFERROR(__xludf.DUMMYFUNCTION("""COMPUTED_VALUE"""),"")</f>
        <v/>
      </c>
      <c r="D18640" s="42"/>
      <c r="E18640" s="42"/>
      <c r="F18640" s="48" t="str">
        <f>IFERROR(__xludf.DUMMYFUNCTION("""COMPUTED_VALUE"""),"")</f>
        <v/>
      </c>
      <c r="G18640" s="42" t="str">
        <f>IFERROR(__xludf.DUMMYFUNCTION("""COMPUTED_VALUE"""),"")</f>
        <v/>
      </c>
      <c r="H18640" s="42">
        <f t="shared" si="1"/>
        <v>3345</v>
      </c>
    </row>
    <row r="18641" ht="22.5" customHeight="1">
      <c r="B18641" s="42" t="str">
        <f>IFERROR(__xludf.DUMMYFUNCTION("""COMPUTED_VALUE"""),"")</f>
        <v/>
      </c>
      <c r="C18641" s="42" t="str">
        <f>IFERROR(__xludf.DUMMYFUNCTION("""COMPUTED_VALUE"""),"")</f>
        <v/>
      </c>
      <c r="D18641" s="42"/>
      <c r="E18641" s="42"/>
      <c r="F18641" s="48" t="str">
        <f>IFERROR(__xludf.DUMMYFUNCTION("""COMPUTED_VALUE"""),"")</f>
        <v/>
      </c>
      <c r="G18641" s="42" t="str">
        <f>IFERROR(__xludf.DUMMYFUNCTION("""COMPUTED_VALUE"""),"")</f>
        <v/>
      </c>
      <c r="H18641" s="42">
        <f t="shared" si="1"/>
        <v>3345</v>
      </c>
    </row>
    <row r="18642" ht="22.5" customHeight="1">
      <c r="B18642" s="42" t="str">
        <f>IFERROR(__xludf.DUMMYFUNCTION("""COMPUTED_VALUE"""),"")</f>
        <v/>
      </c>
      <c r="C18642" s="42" t="str">
        <f>IFERROR(__xludf.DUMMYFUNCTION("""COMPUTED_VALUE"""),"")</f>
        <v/>
      </c>
      <c r="D18642" s="42"/>
      <c r="E18642" s="42"/>
      <c r="F18642" s="48" t="str">
        <f>IFERROR(__xludf.DUMMYFUNCTION("""COMPUTED_VALUE"""),"")</f>
        <v/>
      </c>
      <c r="G18642" s="42" t="str">
        <f>IFERROR(__xludf.DUMMYFUNCTION("""COMPUTED_VALUE"""),"")</f>
        <v/>
      </c>
      <c r="H18642" s="42">
        <f t="shared" si="1"/>
        <v>3345</v>
      </c>
    </row>
    <row r="18643" ht="22.5" customHeight="1">
      <c r="B18643" s="42" t="str">
        <f>IFERROR(__xludf.DUMMYFUNCTION("""COMPUTED_VALUE"""),"")</f>
        <v/>
      </c>
      <c r="C18643" s="42" t="str">
        <f>IFERROR(__xludf.DUMMYFUNCTION("""COMPUTED_VALUE"""),"")</f>
        <v/>
      </c>
      <c r="D18643" s="42"/>
      <c r="E18643" s="42"/>
      <c r="F18643" s="48" t="str">
        <f>IFERROR(__xludf.DUMMYFUNCTION("""COMPUTED_VALUE"""),"")</f>
        <v/>
      </c>
      <c r="G18643" s="42" t="str">
        <f>IFERROR(__xludf.DUMMYFUNCTION("""COMPUTED_VALUE"""),"")</f>
        <v/>
      </c>
      <c r="H18643" s="42">
        <f t="shared" si="1"/>
        <v>3345</v>
      </c>
    </row>
    <row r="18644" ht="22.5" customHeight="1">
      <c r="B18644" s="42" t="str">
        <f>IFERROR(__xludf.DUMMYFUNCTION("""COMPUTED_VALUE"""),"")</f>
        <v/>
      </c>
      <c r="C18644" s="42" t="str">
        <f>IFERROR(__xludf.DUMMYFUNCTION("""COMPUTED_VALUE"""),"")</f>
        <v/>
      </c>
      <c r="D18644" s="42"/>
      <c r="E18644" s="42"/>
      <c r="F18644" s="48" t="str">
        <f>IFERROR(__xludf.DUMMYFUNCTION("""COMPUTED_VALUE"""),"")</f>
        <v/>
      </c>
      <c r="G18644" s="42" t="str">
        <f>IFERROR(__xludf.DUMMYFUNCTION("""COMPUTED_VALUE"""),"")</f>
        <v/>
      </c>
      <c r="H18644" s="42">
        <f t="shared" si="1"/>
        <v>3345</v>
      </c>
    </row>
    <row r="18645" ht="22.5" customHeight="1">
      <c r="B18645" s="42" t="str">
        <f>IFERROR(__xludf.DUMMYFUNCTION("""COMPUTED_VALUE"""),"")</f>
        <v/>
      </c>
      <c r="C18645" s="42" t="str">
        <f>IFERROR(__xludf.DUMMYFUNCTION("""COMPUTED_VALUE"""),"")</f>
        <v/>
      </c>
      <c r="D18645" s="42"/>
      <c r="E18645" s="42"/>
      <c r="F18645" s="48" t="str">
        <f>IFERROR(__xludf.DUMMYFUNCTION("""COMPUTED_VALUE"""),"")</f>
        <v/>
      </c>
      <c r="G18645" s="42" t="str">
        <f>IFERROR(__xludf.DUMMYFUNCTION("""COMPUTED_VALUE"""),"")</f>
        <v/>
      </c>
      <c r="H18645" s="42">
        <f t="shared" si="1"/>
        <v>3345</v>
      </c>
    </row>
    <row r="18646" ht="22.5" customHeight="1">
      <c r="B18646" s="42" t="str">
        <f>IFERROR(__xludf.DUMMYFUNCTION("""COMPUTED_VALUE"""),"")</f>
        <v/>
      </c>
      <c r="C18646" s="42" t="str">
        <f>IFERROR(__xludf.DUMMYFUNCTION("""COMPUTED_VALUE"""),"")</f>
        <v/>
      </c>
      <c r="D18646" s="42"/>
      <c r="E18646" s="42"/>
      <c r="F18646" s="48" t="str">
        <f>IFERROR(__xludf.DUMMYFUNCTION("""COMPUTED_VALUE"""),"")</f>
        <v/>
      </c>
      <c r="G18646" s="42" t="str">
        <f>IFERROR(__xludf.DUMMYFUNCTION("""COMPUTED_VALUE"""),"")</f>
        <v/>
      </c>
      <c r="H18646" s="42">
        <f t="shared" si="1"/>
        <v>3345</v>
      </c>
    </row>
    <row r="18647" ht="22.5" customHeight="1">
      <c r="B18647" s="42" t="str">
        <f>IFERROR(__xludf.DUMMYFUNCTION("""COMPUTED_VALUE"""),"")</f>
        <v/>
      </c>
      <c r="C18647" s="42" t="str">
        <f>IFERROR(__xludf.DUMMYFUNCTION("""COMPUTED_VALUE"""),"")</f>
        <v/>
      </c>
      <c r="D18647" s="42"/>
      <c r="E18647" s="42"/>
      <c r="F18647" s="48" t="str">
        <f>IFERROR(__xludf.DUMMYFUNCTION("""COMPUTED_VALUE"""),"")</f>
        <v/>
      </c>
      <c r="G18647" s="42" t="str">
        <f>IFERROR(__xludf.DUMMYFUNCTION("""COMPUTED_VALUE"""),"")</f>
        <v/>
      </c>
      <c r="H18647" s="42">
        <f t="shared" si="1"/>
        <v>3345</v>
      </c>
    </row>
    <row r="18648" ht="22.5" customHeight="1">
      <c r="B18648" s="42" t="str">
        <f>IFERROR(__xludf.DUMMYFUNCTION("""COMPUTED_VALUE"""),"")</f>
        <v/>
      </c>
      <c r="C18648" s="42" t="str">
        <f>IFERROR(__xludf.DUMMYFUNCTION("""COMPUTED_VALUE"""),"")</f>
        <v/>
      </c>
      <c r="D18648" s="42"/>
      <c r="E18648" s="42"/>
      <c r="F18648" s="48" t="str">
        <f>IFERROR(__xludf.DUMMYFUNCTION("""COMPUTED_VALUE"""),"")</f>
        <v/>
      </c>
      <c r="G18648" s="42" t="str">
        <f>IFERROR(__xludf.DUMMYFUNCTION("""COMPUTED_VALUE"""),"")</f>
        <v/>
      </c>
      <c r="H18648" s="42">
        <f t="shared" si="1"/>
        <v>3345</v>
      </c>
    </row>
    <row r="18649" ht="22.5" customHeight="1">
      <c r="B18649" s="42" t="str">
        <f>IFERROR(__xludf.DUMMYFUNCTION("""COMPUTED_VALUE"""),"")</f>
        <v/>
      </c>
      <c r="C18649" s="42" t="str">
        <f>IFERROR(__xludf.DUMMYFUNCTION("""COMPUTED_VALUE"""),"")</f>
        <v/>
      </c>
      <c r="D18649" s="42"/>
      <c r="E18649" s="42"/>
      <c r="F18649" s="48" t="str">
        <f>IFERROR(__xludf.DUMMYFUNCTION("""COMPUTED_VALUE"""),"")</f>
        <v/>
      </c>
      <c r="G18649" s="42" t="str">
        <f>IFERROR(__xludf.DUMMYFUNCTION("""COMPUTED_VALUE"""),"")</f>
        <v/>
      </c>
      <c r="H18649" s="42">
        <f t="shared" si="1"/>
        <v>3345</v>
      </c>
    </row>
    <row r="18650" ht="22.5" customHeight="1">
      <c r="B18650" s="42" t="str">
        <f>IFERROR(__xludf.DUMMYFUNCTION("""COMPUTED_VALUE"""),"")</f>
        <v/>
      </c>
      <c r="C18650" s="42" t="str">
        <f>IFERROR(__xludf.DUMMYFUNCTION("""COMPUTED_VALUE"""),"")</f>
        <v/>
      </c>
      <c r="D18650" s="42"/>
      <c r="E18650" s="42"/>
      <c r="F18650" s="48" t="str">
        <f>IFERROR(__xludf.DUMMYFUNCTION("""COMPUTED_VALUE"""),"")</f>
        <v/>
      </c>
      <c r="G18650" s="42" t="str">
        <f>IFERROR(__xludf.DUMMYFUNCTION("""COMPUTED_VALUE"""),"")</f>
        <v/>
      </c>
      <c r="H18650" s="42">
        <f t="shared" si="1"/>
        <v>3345</v>
      </c>
    </row>
    <row r="18651" ht="22.5" customHeight="1">
      <c r="B18651" s="42" t="str">
        <f>IFERROR(__xludf.DUMMYFUNCTION("""COMPUTED_VALUE"""),"")</f>
        <v/>
      </c>
      <c r="C18651" s="42" t="str">
        <f>IFERROR(__xludf.DUMMYFUNCTION("""COMPUTED_VALUE"""),"")</f>
        <v/>
      </c>
      <c r="D18651" s="42"/>
      <c r="E18651" s="42"/>
      <c r="F18651" s="48" t="str">
        <f>IFERROR(__xludf.DUMMYFUNCTION("""COMPUTED_VALUE"""),"")</f>
        <v/>
      </c>
      <c r="G18651" s="42" t="str">
        <f>IFERROR(__xludf.DUMMYFUNCTION("""COMPUTED_VALUE"""),"")</f>
        <v/>
      </c>
      <c r="H18651" s="42">
        <f t="shared" si="1"/>
        <v>3345</v>
      </c>
    </row>
    <row r="18652" ht="22.5" customHeight="1">
      <c r="B18652" s="42" t="str">
        <f>IFERROR(__xludf.DUMMYFUNCTION("""COMPUTED_VALUE"""),"")</f>
        <v/>
      </c>
      <c r="C18652" s="42" t="str">
        <f>IFERROR(__xludf.DUMMYFUNCTION("""COMPUTED_VALUE"""),"")</f>
        <v/>
      </c>
      <c r="D18652" s="42"/>
      <c r="E18652" s="42"/>
      <c r="F18652" s="48" t="str">
        <f>IFERROR(__xludf.DUMMYFUNCTION("""COMPUTED_VALUE"""),"")</f>
        <v/>
      </c>
      <c r="G18652" s="42" t="str">
        <f>IFERROR(__xludf.DUMMYFUNCTION("""COMPUTED_VALUE"""),"")</f>
        <v/>
      </c>
      <c r="H18652" s="42">
        <f t="shared" si="1"/>
        <v>3345</v>
      </c>
    </row>
    <row r="18653" ht="22.5" customHeight="1">
      <c r="B18653" s="42" t="str">
        <f>IFERROR(__xludf.DUMMYFUNCTION("""COMPUTED_VALUE"""),"")</f>
        <v/>
      </c>
      <c r="C18653" s="42" t="str">
        <f>IFERROR(__xludf.DUMMYFUNCTION("""COMPUTED_VALUE"""),"")</f>
        <v/>
      </c>
      <c r="D18653" s="42"/>
      <c r="E18653" s="42"/>
      <c r="F18653" s="48" t="str">
        <f>IFERROR(__xludf.DUMMYFUNCTION("""COMPUTED_VALUE"""),"")</f>
        <v/>
      </c>
      <c r="G18653" s="42" t="str">
        <f>IFERROR(__xludf.DUMMYFUNCTION("""COMPUTED_VALUE"""),"")</f>
        <v/>
      </c>
      <c r="H18653" s="42">
        <f t="shared" si="1"/>
        <v>3345</v>
      </c>
    </row>
    <row r="18654" ht="22.5" customHeight="1">
      <c r="B18654" s="42" t="str">
        <f>IFERROR(__xludf.DUMMYFUNCTION("""COMPUTED_VALUE"""),"")</f>
        <v/>
      </c>
      <c r="C18654" s="42" t="str">
        <f>IFERROR(__xludf.DUMMYFUNCTION("""COMPUTED_VALUE"""),"")</f>
        <v/>
      </c>
      <c r="D18654" s="42"/>
      <c r="E18654" s="42"/>
      <c r="F18654" s="48" t="str">
        <f>IFERROR(__xludf.DUMMYFUNCTION("""COMPUTED_VALUE"""),"")</f>
        <v/>
      </c>
      <c r="G18654" s="42" t="str">
        <f>IFERROR(__xludf.DUMMYFUNCTION("""COMPUTED_VALUE"""),"")</f>
        <v/>
      </c>
      <c r="H18654" s="42">
        <f t="shared" si="1"/>
        <v>3345</v>
      </c>
    </row>
    <row r="18655" ht="22.5" customHeight="1">
      <c r="B18655" s="42" t="str">
        <f>IFERROR(__xludf.DUMMYFUNCTION("""COMPUTED_VALUE"""),"")</f>
        <v/>
      </c>
      <c r="C18655" s="42" t="str">
        <f>IFERROR(__xludf.DUMMYFUNCTION("""COMPUTED_VALUE"""),"")</f>
        <v/>
      </c>
      <c r="D18655" s="42"/>
      <c r="E18655" s="42"/>
      <c r="F18655" s="48" t="str">
        <f>IFERROR(__xludf.DUMMYFUNCTION("""COMPUTED_VALUE"""),"")</f>
        <v/>
      </c>
      <c r="G18655" s="42" t="str">
        <f>IFERROR(__xludf.DUMMYFUNCTION("""COMPUTED_VALUE"""),"")</f>
        <v/>
      </c>
      <c r="H18655" s="42">
        <f t="shared" si="1"/>
        <v>3345</v>
      </c>
    </row>
    <row r="18656" ht="22.5" customHeight="1">
      <c r="B18656" s="42" t="str">
        <f>IFERROR(__xludf.DUMMYFUNCTION("""COMPUTED_VALUE"""),"")</f>
        <v/>
      </c>
      <c r="C18656" s="42" t="str">
        <f>IFERROR(__xludf.DUMMYFUNCTION("""COMPUTED_VALUE"""),"")</f>
        <v/>
      </c>
      <c r="D18656" s="42"/>
      <c r="E18656" s="42"/>
      <c r="F18656" s="48" t="str">
        <f>IFERROR(__xludf.DUMMYFUNCTION("""COMPUTED_VALUE"""),"")</f>
        <v/>
      </c>
      <c r="G18656" s="42" t="str">
        <f>IFERROR(__xludf.DUMMYFUNCTION("""COMPUTED_VALUE"""),"")</f>
        <v/>
      </c>
      <c r="H18656" s="42">
        <f t="shared" si="1"/>
        <v>3345</v>
      </c>
    </row>
    <row r="18657" ht="22.5" customHeight="1">
      <c r="B18657" s="42" t="str">
        <f>IFERROR(__xludf.DUMMYFUNCTION("""COMPUTED_VALUE"""),"")</f>
        <v/>
      </c>
      <c r="C18657" s="42" t="str">
        <f>IFERROR(__xludf.DUMMYFUNCTION("""COMPUTED_VALUE"""),"")</f>
        <v/>
      </c>
      <c r="D18657" s="42"/>
      <c r="E18657" s="42"/>
      <c r="F18657" s="48" t="str">
        <f>IFERROR(__xludf.DUMMYFUNCTION("""COMPUTED_VALUE"""),"")</f>
        <v/>
      </c>
      <c r="G18657" s="42" t="str">
        <f>IFERROR(__xludf.DUMMYFUNCTION("""COMPUTED_VALUE"""),"")</f>
        <v/>
      </c>
      <c r="H18657" s="42">
        <f t="shared" si="1"/>
        <v>3345</v>
      </c>
    </row>
    <row r="18658" ht="22.5" customHeight="1">
      <c r="B18658" s="42" t="str">
        <f>IFERROR(__xludf.DUMMYFUNCTION("""COMPUTED_VALUE"""),"")</f>
        <v/>
      </c>
      <c r="C18658" s="42" t="str">
        <f>IFERROR(__xludf.DUMMYFUNCTION("""COMPUTED_VALUE"""),"")</f>
        <v/>
      </c>
      <c r="D18658" s="42"/>
      <c r="E18658" s="42"/>
      <c r="F18658" s="48" t="str">
        <f>IFERROR(__xludf.DUMMYFUNCTION("""COMPUTED_VALUE"""),"")</f>
        <v/>
      </c>
      <c r="G18658" s="42" t="str">
        <f>IFERROR(__xludf.DUMMYFUNCTION("""COMPUTED_VALUE"""),"")</f>
        <v/>
      </c>
      <c r="H18658" s="42">
        <f t="shared" si="1"/>
        <v>3345</v>
      </c>
    </row>
    <row r="18659" ht="22.5" customHeight="1">
      <c r="B18659" s="42" t="str">
        <f>IFERROR(__xludf.DUMMYFUNCTION("""COMPUTED_VALUE"""),"")</f>
        <v/>
      </c>
      <c r="C18659" s="42" t="str">
        <f>IFERROR(__xludf.DUMMYFUNCTION("""COMPUTED_VALUE"""),"")</f>
        <v/>
      </c>
      <c r="D18659" s="42"/>
      <c r="E18659" s="42"/>
      <c r="F18659" s="48" t="str">
        <f>IFERROR(__xludf.DUMMYFUNCTION("""COMPUTED_VALUE"""),"")</f>
        <v/>
      </c>
      <c r="G18659" s="42" t="str">
        <f>IFERROR(__xludf.DUMMYFUNCTION("""COMPUTED_VALUE"""),"")</f>
        <v/>
      </c>
      <c r="H18659" s="42">
        <f t="shared" si="1"/>
        <v>3345</v>
      </c>
    </row>
    <row r="18660" ht="22.5" customHeight="1">
      <c r="B18660" s="42" t="str">
        <f>IFERROR(__xludf.DUMMYFUNCTION("""COMPUTED_VALUE"""),"")</f>
        <v/>
      </c>
      <c r="C18660" s="42" t="str">
        <f>IFERROR(__xludf.DUMMYFUNCTION("""COMPUTED_VALUE"""),"")</f>
        <v/>
      </c>
      <c r="D18660" s="42"/>
      <c r="E18660" s="42"/>
      <c r="F18660" s="48" t="str">
        <f>IFERROR(__xludf.DUMMYFUNCTION("""COMPUTED_VALUE"""),"")</f>
        <v/>
      </c>
      <c r="G18660" s="42" t="str">
        <f>IFERROR(__xludf.DUMMYFUNCTION("""COMPUTED_VALUE"""),"")</f>
        <v/>
      </c>
      <c r="H18660" s="42">
        <f t="shared" si="1"/>
        <v>3345</v>
      </c>
    </row>
    <row r="18661" ht="22.5" customHeight="1">
      <c r="B18661" s="42" t="str">
        <f>IFERROR(__xludf.DUMMYFUNCTION("""COMPUTED_VALUE"""),"")</f>
        <v/>
      </c>
      <c r="C18661" s="42" t="str">
        <f>IFERROR(__xludf.DUMMYFUNCTION("""COMPUTED_VALUE"""),"")</f>
        <v/>
      </c>
      <c r="D18661" s="42"/>
      <c r="E18661" s="42"/>
      <c r="F18661" s="48" t="str">
        <f>IFERROR(__xludf.DUMMYFUNCTION("""COMPUTED_VALUE"""),"")</f>
        <v/>
      </c>
      <c r="G18661" s="42" t="str">
        <f>IFERROR(__xludf.DUMMYFUNCTION("""COMPUTED_VALUE"""),"")</f>
        <v/>
      </c>
      <c r="H18661" s="42">
        <f t="shared" si="1"/>
        <v>3345</v>
      </c>
    </row>
    <row r="18662" ht="22.5" customHeight="1">
      <c r="B18662" s="42" t="str">
        <f>IFERROR(__xludf.DUMMYFUNCTION("""COMPUTED_VALUE"""),"")</f>
        <v/>
      </c>
      <c r="C18662" s="42" t="str">
        <f>IFERROR(__xludf.DUMMYFUNCTION("""COMPUTED_VALUE"""),"")</f>
        <v/>
      </c>
      <c r="D18662" s="42"/>
      <c r="E18662" s="42"/>
      <c r="F18662" s="48" t="str">
        <f>IFERROR(__xludf.DUMMYFUNCTION("""COMPUTED_VALUE"""),"")</f>
        <v/>
      </c>
      <c r="G18662" s="42" t="str">
        <f>IFERROR(__xludf.DUMMYFUNCTION("""COMPUTED_VALUE"""),"")</f>
        <v/>
      </c>
      <c r="H18662" s="42">
        <f t="shared" si="1"/>
        <v>3345</v>
      </c>
    </row>
    <row r="18663" ht="22.5" customHeight="1">
      <c r="B18663" s="42" t="str">
        <f>IFERROR(__xludf.DUMMYFUNCTION("""COMPUTED_VALUE"""),"")</f>
        <v/>
      </c>
      <c r="C18663" s="42" t="str">
        <f>IFERROR(__xludf.DUMMYFUNCTION("""COMPUTED_VALUE"""),"")</f>
        <v/>
      </c>
      <c r="D18663" s="42"/>
      <c r="E18663" s="42"/>
      <c r="F18663" s="48" t="str">
        <f>IFERROR(__xludf.DUMMYFUNCTION("""COMPUTED_VALUE"""),"")</f>
        <v/>
      </c>
      <c r="G18663" s="42" t="str">
        <f>IFERROR(__xludf.DUMMYFUNCTION("""COMPUTED_VALUE"""),"")</f>
        <v/>
      </c>
      <c r="H18663" s="42">
        <f t="shared" si="1"/>
        <v>3345</v>
      </c>
    </row>
    <row r="18664" ht="22.5" customHeight="1">
      <c r="B18664" s="42" t="str">
        <f>IFERROR(__xludf.DUMMYFUNCTION("""COMPUTED_VALUE"""),"")</f>
        <v/>
      </c>
      <c r="C18664" s="42" t="str">
        <f>IFERROR(__xludf.DUMMYFUNCTION("""COMPUTED_VALUE"""),"")</f>
        <v/>
      </c>
      <c r="D18664" s="42"/>
      <c r="E18664" s="42"/>
      <c r="F18664" s="48" t="str">
        <f>IFERROR(__xludf.DUMMYFUNCTION("""COMPUTED_VALUE"""),"")</f>
        <v/>
      </c>
      <c r="G18664" s="42" t="str">
        <f>IFERROR(__xludf.DUMMYFUNCTION("""COMPUTED_VALUE"""),"")</f>
        <v/>
      </c>
      <c r="H18664" s="42">
        <f t="shared" si="1"/>
        <v>3345</v>
      </c>
    </row>
    <row r="18665" ht="22.5" customHeight="1">
      <c r="B18665" s="42" t="str">
        <f>IFERROR(__xludf.DUMMYFUNCTION("""COMPUTED_VALUE"""),"")</f>
        <v/>
      </c>
      <c r="C18665" s="42" t="str">
        <f>IFERROR(__xludf.DUMMYFUNCTION("""COMPUTED_VALUE"""),"")</f>
        <v/>
      </c>
      <c r="D18665" s="42"/>
      <c r="E18665" s="42"/>
      <c r="F18665" s="48" t="str">
        <f>IFERROR(__xludf.DUMMYFUNCTION("""COMPUTED_VALUE"""),"")</f>
        <v/>
      </c>
      <c r="G18665" s="42" t="str">
        <f>IFERROR(__xludf.DUMMYFUNCTION("""COMPUTED_VALUE"""),"")</f>
        <v/>
      </c>
      <c r="H18665" s="42">
        <f t="shared" si="1"/>
        <v>3345</v>
      </c>
    </row>
    <row r="18666" ht="22.5" customHeight="1">
      <c r="B18666" s="42" t="str">
        <f>IFERROR(__xludf.DUMMYFUNCTION("""COMPUTED_VALUE"""),"")</f>
        <v/>
      </c>
      <c r="C18666" s="42" t="str">
        <f>IFERROR(__xludf.DUMMYFUNCTION("""COMPUTED_VALUE"""),"")</f>
        <v/>
      </c>
      <c r="D18666" s="42"/>
      <c r="E18666" s="42"/>
      <c r="F18666" s="48" t="str">
        <f>IFERROR(__xludf.DUMMYFUNCTION("""COMPUTED_VALUE"""),"")</f>
        <v/>
      </c>
      <c r="G18666" s="42" t="str">
        <f>IFERROR(__xludf.DUMMYFUNCTION("""COMPUTED_VALUE"""),"")</f>
        <v/>
      </c>
      <c r="H18666" s="42">
        <f t="shared" si="1"/>
        <v>3345</v>
      </c>
    </row>
    <row r="18667" ht="22.5" customHeight="1">
      <c r="B18667" s="42" t="str">
        <f>IFERROR(__xludf.DUMMYFUNCTION("""COMPUTED_VALUE"""),"")</f>
        <v/>
      </c>
      <c r="C18667" s="42" t="str">
        <f>IFERROR(__xludf.DUMMYFUNCTION("""COMPUTED_VALUE"""),"")</f>
        <v/>
      </c>
      <c r="D18667" s="42"/>
      <c r="E18667" s="42"/>
      <c r="F18667" s="48" t="str">
        <f>IFERROR(__xludf.DUMMYFUNCTION("""COMPUTED_VALUE"""),"")</f>
        <v/>
      </c>
      <c r="G18667" s="42" t="str">
        <f>IFERROR(__xludf.DUMMYFUNCTION("""COMPUTED_VALUE"""),"")</f>
        <v/>
      </c>
      <c r="H18667" s="42">
        <f t="shared" si="1"/>
        <v>3345</v>
      </c>
    </row>
    <row r="18668" ht="22.5" customHeight="1">
      <c r="B18668" s="42" t="str">
        <f>IFERROR(__xludf.DUMMYFUNCTION("""COMPUTED_VALUE"""),"")</f>
        <v/>
      </c>
      <c r="C18668" s="42" t="str">
        <f>IFERROR(__xludf.DUMMYFUNCTION("""COMPUTED_VALUE"""),"")</f>
        <v/>
      </c>
      <c r="D18668" s="42"/>
      <c r="E18668" s="42"/>
      <c r="F18668" s="48" t="str">
        <f>IFERROR(__xludf.DUMMYFUNCTION("""COMPUTED_VALUE"""),"")</f>
        <v/>
      </c>
      <c r="G18668" s="42" t="str">
        <f>IFERROR(__xludf.DUMMYFUNCTION("""COMPUTED_VALUE"""),"")</f>
        <v/>
      </c>
      <c r="H18668" s="42">
        <f t="shared" si="1"/>
        <v>3345</v>
      </c>
    </row>
    <row r="18669" ht="22.5" customHeight="1">
      <c r="B18669" s="42" t="str">
        <f>IFERROR(__xludf.DUMMYFUNCTION("""COMPUTED_VALUE"""),"")</f>
        <v/>
      </c>
      <c r="C18669" s="42" t="str">
        <f>IFERROR(__xludf.DUMMYFUNCTION("""COMPUTED_VALUE"""),"")</f>
        <v/>
      </c>
      <c r="D18669" s="42"/>
      <c r="E18669" s="42"/>
      <c r="F18669" s="48" t="str">
        <f>IFERROR(__xludf.DUMMYFUNCTION("""COMPUTED_VALUE"""),"")</f>
        <v/>
      </c>
      <c r="G18669" s="42" t="str">
        <f>IFERROR(__xludf.DUMMYFUNCTION("""COMPUTED_VALUE"""),"")</f>
        <v/>
      </c>
      <c r="H18669" s="42">
        <f t="shared" si="1"/>
        <v>3345</v>
      </c>
    </row>
    <row r="18670" ht="22.5" customHeight="1">
      <c r="B18670" s="42" t="str">
        <f>IFERROR(__xludf.DUMMYFUNCTION("""COMPUTED_VALUE"""),"")</f>
        <v/>
      </c>
      <c r="C18670" s="42" t="str">
        <f>IFERROR(__xludf.DUMMYFUNCTION("""COMPUTED_VALUE"""),"")</f>
        <v/>
      </c>
      <c r="D18670" s="42"/>
      <c r="E18670" s="42"/>
      <c r="F18670" s="48" t="str">
        <f>IFERROR(__xludf.DUMMYFUNCTION("""COMPUTED_VALUE"""),"")</f>
        <v/>
      </c>
      <c r="G18670" s="42" t="str">
        <f>IFERROR(__xludf.DUMMYFUNCTION("""COMPUTED_VALUE"""),"")</f>
        <v/>
      </c>
      <c r="H18670" s="42">
        <f t="shared" si="1"/>
        <v>3345</v>
      </c>
    </row>
    <row r="18671" ht="22.5" customHeight="1">
      <c r="B18671" s="42" t="str">
        <f>IFERROR(__xludf.DUMMYFUNCTION("""COMPUTED_VALUE"""),"")</f>
        <v/>
      </c>
      <c r="C18671" s="42" t="str">
        <f>IFERROR(__xludf.DUMMYFUNCTION("""COMPUTED_VALUE"""),"")</f>
        <v/>
      </c>
      <c r="D18671" s="42"/>
      <c r="E18671" s="42"/>
      <c r="F18671" s="48" t="str">
        <f>IFERROR(__xludf.DUMMYFUNCTION("""COMPUTED_VALUE"""),"")</f>
        <v/>
      </c>
      <c r="G18671" s="42" t="str">
        <f>IFERROR(__xludf.DUMMYFUNCTION("""COMPUTED_VALUE"""),"")</f>
        <v/>
      </c>
      <c r="H18671" s="42">
        <f t="shared" si="1"/>
        <v>3345</v>
      </c>
    </row>
    <row r="18672" ht="22.5" customHeight="1">
      <c r="B18672" s="42" t="str">
        <f>IFERROR(__xludf.DUMMYFUNCTION("""COMPUTED_VALUE"""),"")</f>
        <v/>
      </c>
      <c r="C18672" s="42" t="str">
        <f>IFERROR(__xludf.DUMMYFUNCTION("""COMPUTED_VALUE"""),"")</f>
        <v/>
      </c>
      <c r="D18672" s="42"/>
      <c r="E18672" s="42"/>
      <c r="F18672" s="48" t="str">
        <f>IFERROR(__xludf.DUMMYFUNCTION("""COMPUTED_VALUE"""),"")</f>
        <v/>
      </c>
      <c r="G18672" s="42" t="str">
        <f>IFERROR(__xludf.DUMMYFUNCTION("""COMPUTED_VALUE"""),"")</f>
        <v/>
      </c>
      <c r="H18672" s="42">
        <f t="shared" si="1"/>
        <v>3345</v>
      </c>
    </row>
    <row r="18673" ht="22.5" customHeight="1">
      <c r="B18673" s="42" t="str">
        <f>IFERROR(__xludf.DUMMYFUNCTION("""COMPUTED_VALUE"""),"")</f>
        <v/>
      </c>
      <c r="C18673" s="42" t="str">
        <f>IFERROR(__xludf.DUMMYFUNCTION("""COMPUTED_VALUE"""),"")</f>
        <v/>
      </c>
      <c r="D18673" s="42"/>
      <c r="E18673" s="42"/>
      <c r="F18673" s="48" t="str">
        <f>IFERROR(__xludf.DUMMYFUNCTION("""COMPUTED_VALUE"""),"")</f>
        <v/>
      </c>
      <c r="G18673" s="42" t="str">
        <f>IFERROR(__xludf.DUMMYFUNCTION("""COMPUTED_VALUE"""),"")</f>
        <v/>
      </c>
      <c r="H18673" s="42">
        <f t="shared" si="1"/>
        <v>3345</v>
      </c>
    </row>
    <row r="18674" ht="22.5" customHeight="1">
      <c r="B18674" s="42" t="str">
        <f>IFERROR(__xludf.DUMMYFUNCTION("""COMPUTED_VALUE"""),"")</f>
        <v/>
      </c>
      <c r="C18674" s="42" t="str">
        <f>IFERROR(__xludf.DUMMYFUNCTION("""COMPUTED_VALUE"""),"")</f>
        <v/>
      </c>
      <c r="D18674" s="42"/>
      <c r="E18674" s="42"/>
      <c r="F18674" s="48" t="str">
        <f>IFERROR(__xludf.DUMMYFUNCTION("""COMPUTED_VALUE"""),"")</f>
        <v/>
      </c>
      <c r="G18674" s="42" t="str">
        <f>IFERROR(__xludf.DUMMYFUNCTION("""COMPUTED_VALUE"""),"")</f>
        <v/>
      </c>
      <c r="H18674" s="42">
        <f t="shared" si="1"/>
        <v>3345</v>
      </c>
    </row>
    <row r="18675" ht="22.5" customHeight="1">
      <c r="B18675" s="42" t="str">
        <f>IFERROR(__xludf.DUMMYFUNCTION("""COMPUTED_VALUE"""),"")</f>
        <v/>
      </c>
      <c r="C18675" s="42" t="str">
        <f>IFERROR(__xludf.DUMMYFUNCTION("""COMPUTED_VALUE"""),"")</f>
        <v/>
      </c>
      <c r="D18675" s="42"/>
      <c r="E18675" s="42"/>
      <c r="F18675" s="48" t="str">
        <f>IFERROR(__xludf.DUMMYFUNCTION("""COMPUTED_VALUE"""),"")</f>
        <v/>
      </c>
      <c r="G18675" s="42" t="str">
        <f>IFERROR(__xludf.DUMMYFUNCTION("""COMPUTED_VALUE"""),"")</f>
        <v/>
      </c>
      <c r="H18675" s="42">
        <f t="shared" si="1"/>
        <v>3345</v>
      </c>
    </row>
    <row r="18676" ht="22.5" customHeight="1">
      <c r="B18676" s="42" t="str">
        <f>IFERROR(__xludf.DUMMYFUNCTION("""COMPUTED_VALUE"""),"")</f>
        <v/>
      </c>
      <c r="C18676" s="42" t="str">
        <f>IFERROR(__xludf.DUMMYFUNCTION("""COMPUTED_VALUE"""),"")</f>
        <v/>
      </c>
      <c r="D18676" s="42"/>
      <c r="E18676" s="42"/>
      <c r="F18676" s="48" t="str">
        <f>IFERROR(__xludf.DUMMYFUNCTION("""COMPUTED_VALUE"""),"")</f>
        <v/>
      </c>
      <c r="G18676" s="42" t="str">
        <f>IFERROR(__xludf.DUMMYFUNCTION("""COMPUTED_VALUE"""),"")</f>
        <v/>
      </c>
      <c r="H18676" s="42">
        <f t="shared" si="1"/>
        <v>3345</v>
      </c>
    </row>
    <row r="18677" ht="22.5" customHeight="1">
      <c r="B18677" s="42" t="str">
        <f>IFERROR(__xludf.DUMMYFUNCTION("""COMPUTED_VALUE"""),"")</f>
        <v/>
      </c>
      <c r="C18677" s="42" t="str">
        <f>IFERROR(__xludf.DUMMYFUNCTION("""COMPUTED_VALUE"""),"")</f>
        <v/>
      </c>
      <c r="D18677" s="42"/>
      <c r="E18677" s="42"/>
      <c r="F18677" s="48" t="str">
        <f>IFERROR(__xludf.DUMMYFUNCTION("""COMPUTED_VALUE"""),"")</f>
        <v/>
      </c>
      <c r="G18677" s="42" t="str">
        <f>IFERROR(__xludf.DUMMYFUNCTION("""COMPUTED_VALUE"""),"")</f>
        <v/>
      </c>
      <c r="H18677" s="42">
        <f t="shared" si="1"/>
        <v>3345</v>
      </c>
    </row>
    <row r="18678" ht="22.5" customHeight="1">
      <c r="B18678" s="42" t="str">
        <f>IFERROR(__xludf.DUMMYFUNCTION("""COMPUTED_VALUE"""),"")</f>
        <v/>
      </c>
      <c r="C18678" s="42" t="str">
        <f>IFERROR(__xludf.DUMMYFUNCTION("""COMPUTED_VALUE"""),"")</f>
        <v/>
      </c>
      <c r="D18678" s="42"/>
      <c r="E18678" s="42"/>
      <c r="F18678" s="48" t="str">
        <f>IFERROR(__xludf.DUMMYFUNCTION("""COMPUTED_VALUE"""),"")</f>
        <v/>
      </c>
      <c r="G18678" s="42" t="str">
        <f>IFERROR(__xludf.DUMMYFUNCTION("""COMPUTED_VALUE"""),"")</f>
        <v/>
      </c>
      <c r="H18678" s="42">
        <f t="shared" si="1"/>
        <v>3345</v>
      </c>
    </row>
    <row r="18679" ht="22.5" customHeight="1">
      <c r="B18679" s="42" t="str">
        <f>IFERROR(__xludf.DUMMYFUNCTION("""COMPUTED_VALUE"""),"")</f>
        <v/>
      </c>
      <c r="C18679" s="42" t="str">
        <f>IFERROR(__xludf.DUMMYFUNCTION("""COMPUTED_VALUE"""),"")</f>
        <v/>
      </c>
      <c r="D18679" s="42"/>
      <c r="E18679" s="42"/>
      <c r="F18679" s="48" t="str">
        <f>IFERROR(__xludf.DUMMYFUNCTION("""COMPUTED_VALUE"""),"")</f>
        <v/>
      </c>
      <c r="G18679" s="42" t="str">
        <f>IFERROR(__xludf.DUMMYFUNCTION("""COMPUTED_VALUE"""),"")</f>
        <v/>
      </c>
      <c r="H18679" s="42">
        <f t="shared" si="1"/>
        <v>3345</v>
      </c>
    </row>
    <row r="18680" ht="22.5" customHeight="1">
      <c r="B18680" s="42" t="str">
        <f>IFERROR(__xludf.DUMMYFUNCTION("""COMPUTED_VALUE"""),"")</f>
        <v/>
      </c>
      <c r="C18680" s="42" t="str">
        <f>IFERROR(__xludf.DUMMYFUNCTION("""COMPUTED_VALUE"""),"")</f>
        <v/>
      </c>
      <c r="D18680" s="42"/>
      <c r="E18680" s="42"/>
      <c r="F18680" s="48" t="str">
        <f>IFERROR(__xludf.DUMMYFUNCTION("""COMPUTED_VALUE"""),"")</f>
        <v/>
      </c>
      <c r="G18680" s="42" t="str">
        <f>IFERROR(__xludf.DUMMYFUNCTION("""COMPUTED_VALUE"""),"")</f>
        <v/>
      </c>
      <c r="H18680" s="42">
        <f t="shared" si="1"/>
        <v>3345</v>
      </c>
    </row>
    <row r="18681" ht="22.5" customHeight="1">
      <c r="B18681" s="42" t="str">
        <f>IFERROR(__xludf.DUMMYFUNCTION("""COMPUTED_VALUE"""),"")</f>
        <v/>
      </c>
      <c r="C18681" s="42" t="str">
        <f>IFERROR(__xludf.DUMMYFUNCTION("""COMPUTED_VALUE"""),"")</f>
        <v/>
      </c>
      <c r="D18681" s="42"/>
      <c r="E18681" s="42"/>
      <c r="F18681" s="48" t="str">
        <f>IFERROR(__xludf.DUMMYFUNCTION("""COMPUTED_VALUE"""),"")</f>
        <v/>
      </c>
      <c r="G18681" s="42" t="str">
        <f>IFERROR(__xludf.DUMMYFUNCTION("""COMPUTED_VALUE"""),"")</f>
        <v/>
      </c>
      <c r="H18681" s="42">
        <f t="shared" si="1"/>
        <v>3345</v>
      </c>
    </row>
    <row r="18682" ht="22.5" customHeight="1">
      <c r="B18682" s="42" t="str">
        <f>IFERROR(__xludf.DUMMYFUNCTION("""COMPUTED_VALUE"""),"")</f>
        <v/>
      </c>
      <c r="C18682" s="42" t="str">
        <f>IFERROR(__xludf.DUMMYFUNCTION("""COMPUTED_VALUE"""),"")</f>
        <v/>
      </c>
      <c r="D18682" s="42"/>
      <c r="E18682" s="42"/>
      <c r="F18682" s="48" t="str">
        <f>IFERROR(__xludf.DUMMYFUNCTION("""COMPUTED_VALUE"""),"")</f>
        <v/>
      </c>
      <c r="G18682" s="42" t="str">
        <f>IFERROR(__xludf.DUMMYFUNCTION("""COMPUTED_VALUE"""),"")</f>
        <v/>
      </c>
      <c r="H18682" s="42">
        <f t="shared" si="1"/>
        <v>3345</v>
      </c>
    </row>
    <row r="18683" ht="22.5" customHeight="1">
      <c r="B18683" s="42" t="str">
        <f>IFERROR(__xludf.DUMMYFUNCTION("""COMPUTED_VALUE"""),"")</f>
        <v/>
      </c>
      <c r="C18683" s="42" t="str">
        <f>IFERROR(__xludf.DUMMYFUNCTION("""COMPUTED_VALUE"""),"")</f>
        <v/>
      </c>
      <c r="D18683" s="42"/>
      <c r="E18683" s="42"/>
      <c r="F18683" s="48" t="str">
        <f>IFERROR(__xludf.DUMMYFUNCTION("""COMPUTED_VALUE"""),"")</f>
        <v/>
      </c>
      <c r="G18683" s="42" t="str">
        <f>IFERROR(__xludf.DUMMYFUNCTION("""COMPUTED_VALUE"""),"")</f>
        <v/>
      </c>
      <c r="H18683" s="42">
        <f t="shared" si="1"/>
        <v>3345</v>
      </c>
    </row>
    <row r="18684" ht="22.5" customHeight="1">
      <c r="B18684" s="42" t="str">
        <f>IFERROR(__xludf.DUMMYFUNCTION("""COMPUTED_VALUE"""),"")</f>
        <v/>
      </c>
      <c r="C18684" s="42" t="str">
        <f>IFERROR(__xludf.DUMMYFUNCTION("""COMPUTED_VALUE"""),"")</f>
        <v/>
      </c>
      <c r="D18684" s="42"/>
      <c r="E18684" s="42"/>
      <c r="F18684" s="48" t="str">
        <f>IFERROR(__xludf.DUMMYFUNCTION("""COMPUTED_VALUE"""),"")</f>
        <v/>
      </c>
      <c r="G18684" s="42" t="str">
        <f>IFERROR(__xludf.DUMMYFUNCTION("""COMPUTED_VALUE"""),"")</f>
        <v/>
      </c>
      <c r="H18684" s="42">
        <f t="shared" si="1"/>
        <v>3345</v>
      </c>
    </row>
    <row r="18685" ht="22.5" customHeight="1">
      <c r="B18685" s="42" t="str">
        <f>IFERROR(__xludf.DUMMYFUNCTION("""COMPUTED_VALUE"""),"")</f>
        <v/>
      </c>
      <c r="C18685" s="42" t="str">
        <f>IFERROR(__xludf.DUMMYFUNCTION("""COMPUTED_VALUE"""),"")</f>
        <v/>
      </c>
      <c r="D18685" s="42"/>
      <c r="E18685" s="42"/>
      <c r="F18685" s="48" t="str">
        <f>IFERROR(__xludf.DUMMYFUNCTION("""COMPUTED_VALUE"""),"")</f>
        <v/>
      </c>
      <c r="G18685" s="42" t="str">
        <f>IFERROR(__xludf.DUMMYFUNCTION("""COMPUTED_VALUE"""),"")</f>
        <v/>
      </c>
      <c r="H18685" s="42">
        <f t="shared" si="1"/>
        <v>3345</v>
      </c>
    </row>
    <row r="18686" ht="22.5" customHeight="1">
      <c r="B18686" s="42" t="str">
        <f>IFERROR(__xludf.DUMMYFUNCTION("""COMPUTED_VALUE"""),"")</f>
        <v/>
      </c>
      <c r="C18686" s="42" t="str">
        <f>IFERROR(__xludf.DUMMYFUNCTION("""COMPUTED_VALUE"""),"")</f>
        <v/>
      </c>
      <c r="D18686" s="42"/>
      <c r="E18686" s="42"/>
      <c r="F18686" s="48" t="str">
        <f>IFERROR(__xludf.DUMMYFUNCTION("""COMPUTED_VALUE"""),"")</f>
        <v/>
      </c>
      <c r="G18686" s="42" t="str">
        <f>IFERROR(__xludf.DUMMYFUNCTION("""COMPUTED_VALUE"""),"")</f>
        <v/>
      </c>
      <c r="H18686" s="42">
        <f t="shared" si="1"/>
        <v>3345</v>
      </c>
    </row>
    <row r="18687" ht="22.5" customHeight="1">
      <c r="B18687" s="42" t="str">
        <f>IFERROR(__xludf.DUMMYFUNCTION("""COMPUTED_VALUE"""),"")</f>
        <v/>
      </c>
      <c r="C18687" s="42" t="str">
        <f>IFERROR(__xludf.DUMMYFUNCTION("""COMPUTED_VALUE"""),"")</f>
        <v/>
      </c>
      <c r="D18687" s="42"/>
      <c r="E18687" s="42"/>
      <c r="F18687" s="48" t="str">
        <f>IFERROR(__xludf.DUMMYFUNCTION("""COMPUTED_VALUE"""),"")</f>
        <v/>
      </c>
      <c r="G18687" s="42" t="str">
        <f>IFERROR(__xludf.DUMMYFUNCTION("""COMPUTED_VALUE"""),"")</f>
        <v/>
      </c>
      <c r="H18687" s="42">
        <f t="shared" si="1"/>
        <v>3345</v>
      </c>
    </row>
    <row r="18688" ht="22.5" customHeight="1">
      <c r="B18688" s="42" t="str">
        <f>IFERROR(__xludf.DUMMYFUNCTION("""COMPUTED_VALUE"""),"")</f>
        <v/>
      </c>
      <c r="C18688" s="42" t="str">
        <f>IFERROR(__xludf.DUMMYFUNCTION("""COMPUTED_VALUE"""),"")</f>
        <v/>
      </c>
      <c r="D18688" s="42"/>
      <c r="E18688" s="42"/>
      <c r="F18688" s="48" t="str">
        <f>IFERROR(__xludf.DUMMYFUNCTION("""COMPUTED_VALUE"""),"")</f>
        <v/>
      </c>
      <c r="G18688" s="42" t="str">
        <f>IFERROR(__xludf.DUMMYFUNCTION("""COMPUTED_VALUE"""),"")</f>
        <v/>
      </c>
      <c r="H18688" s="42">
        <f t="shared" si="1"/>
        <v>3345</v>
      </c>
    </row>
    <row r="18689" ht="22.5" customHeight="1">
      <c r="B18689" s="42" t="str">
        <f>IFERROR(__xludf.DUMMYFUNCTION("""COMPUTED_VALUE"""),"")</f>
        <v/>
      </c>
      <c r="C18689" s="42" t="str">
        <f>IFERROR(__xludf.DUMMYFUNCTION("""COMPUTED_VALUE"""),"")</f>
        <v/>
      </c>
      <c r="D18689" s="42"/>
      <c r="E18689" s="42"/>
      <c r="F18689" s="48" t="str">
        <f>IFERROR(__xludf.DUMMYFUNCTION("""COMPUTED_VALUE"""),"")</f>
        <v/>
      </c>
      <c r="G18689" s="42" t="str">
        <f>IFERROR(__xludf.DUMMYFUNCTION("""COMPUTED_VALUE"""),"")</f>
        <v/>
      </c>
      <c r="H18689" s="42">
        <f t="shared" si="1"/>
        <v>3345</v>
      </c>
    </row>
    <row r="18690" ht="22.5" customHeight="1">
      <c r="B18690" s="42" t="str">
        <f>IFERROR(__xludf.DUMMYFUNCTION("""COMPUTED_VALUE"""),"")</f>
        <v/>
      </c>
      <c r="C18690" s="42" t="str">
        <f>IFERROR(__xludf.DUMMYFUNCTION("""COMPUTED_VALUE"""),"")</f>
        <v/>
      </c>
      <c r="D18690" s="42"/>
      <c r="E18690" s="42"/>
      <c r="F18690" s="48" t="str">
        <f>IFERROR(__xludf.DUMMYFUNCTION("""COMPUTED_VALUE"""),"")</f>
        <v/>
      </c>
      <c r="G18690" s="42" t="str">
        <f>IFERROR(__xludf.DUMMYFUNCTION("""COMPUTED_VALUE"""),"")</f>
        <v/>
      </c>
      <c r="H18690" s="42">
        <f t="shared" si="1"/>
        <v>3345</v>
      </c>
    </row>
    <row r="18691" ht="22.5" customHeight="1">
      <c r="B18691" s="42" t="str">
        <f>IFERROR(__xludf.DUMMYFUNCTION("""COMPUTED_VALUE"""),"")</f>
        <v/>
      </c>
      <c r="C18691" s="42" t="str">
        <f>IFERROR(__xludf.DUMMYFUNCTION("""COMPUTED_VALUE"""),"")</f>
        <v/>
      </c>
      <c r="D18691" s="42"/>
      <c r="E18691" s="42"/>
      <c r="F18691" s="48" t="str">
        <f>IFERROR(__xludf.DUMMYFUNCTION("""COMPUTED_VALUE"""),"")</f>
        <v/>
      </c>
      <c r="G18691" s="42" t="str">
        <f>IFERROR(__xludf.DUMMYFUNCTION("""COMPUTED_VALUE"""),"")</f>
        <v/>
      </c>
      <c r="H18691" s="42">
        <f t="shared" si="1"/>
        <v>3345</v>
      </c>
    </row>
    <row r="18692" ht="22.5" customHeight="1">
      <c r="B18692" s="42" t="str">
        <f>IFERROR(__xludf.DUMMYFUNCTION("""COMPUTED_VALUE"""),"")</f>
        <v/>
      </c>
      <c r="C18692" s="42" t="str">
        <f>IFERROR(__xludf.DUMMYFUNCTION("""COMPUTED_VALUE"""),"")</f>
        <v/>
      </c>
      <c r="D18692" s="42"/>
      <c r="E18692" s="42"/>
      <c r="F18692" s="48" t="str">
        <f>IFERROR(__xludf.DUMMYFUNCTION("""COMPUTED_VALUE"""),"")</f>
        <v/>
      </c>
      <c r="G18692" s="42" t="str">
        <f>IFERROR(__xludf.DUMMYFUNCTION("""COMPUTED_VALUE"""),"")</f>
        <v/>
      </c>
      <c r="H18692" s="42">
        <f t="shared" si="1"/>
        <v>3345</v>
      </c>
    </row>
    <row r="18693" ht="22.5" customHeight="1">
      <c r="B18693" s="42" t="str">
        <f>IFERROR(__xludf.DUMMYFUNCTION("""COMPUTED_VALUE"""),"")</f>
        <v/>
      </c>
      <c r="C18693" s="42" t="str">
        <f>IFERROR(__xludf.DUMMYFUNCTION("""COMPUTED_VALUE"""),"")</f>
        <v/>
      </c>
      <c r="D18693" s="42"/>
      <c r="E18693" s="42"/>
      <c r="F18693" s="48" t="str">
        <f>IFERROR(__xludf.DUMMYFUNCTION("""COMPUTED_VALUE"""),"")</f>
        <v/>
      </c>
      <c r="G18693" s="42" t="str">
        <f>IFERROR(__xludf.DUMMYFUNCTION("""COMPUTED_VALUE"""),"")</f>
        <v/>
      </c>
      <c r="H18693" s="42">
        <f t="shared" si="1"/>
        <v>3345</v>
      </c>
    </row>
    <row r="18694" ht="22.5" customHeight="1">
      <c r="B18694" s="42" t="str">
        <f>IFERROR(__xludf.DUMMYFUNCTION("""COMPUTED_VALUE"""),"")</f>
        <v/>
      </c>
      <c r="C18694" s="42" t="str">
        <f>IFERROR(__xludf.DUMMYFUNCTION("""COMPUTED_VALUE"""),"")</f>
        <v/>
      </c>
      <c r="D18694" s="42"/>
      <c r="E18694" s="42"/>
      <c r="F18694" s="48" t="str">
        <f>IFERROR(__xludf.DUMMYFUNCTION("""COMPUTED_VALUE"""),"")</f>
        <v/>
      </c>
      <c r="G18694" s="42" t="str">
        <f>IFERROR(__xludf.DUMMYFUNCTION("""COMPUTED_VALUE"""),"")</f>
        <v/>
      </c>
      <c r="H18694" s="42">
        <f t="shared" si="1"/>
        <v>3345</v>
      </c>
    </row>
    <row r="18695" ht="22.5" customHeight="1">
      <c r="B18695" s="42" t="str">
        <f>IFERROR(__xludf.DUMMYFUNCTION("""COMPUTED_VALUE"""),"")</f>
        <v/>
      </c>
      <c r="C18695" s="42" t="str">
        <f>IFERROR(__xludf.DUMMYFUNCTION("""COMPUTED_VALUE"""),"")</f>
        <v/>
      </c>
      <c r="D18695" s="42"/>
      <c r="E18695" s="42"/>
      <c r="F18695" s="48" t="str">
        <f>IFERROR(__xludf.DUMMYFUNCTION("""COMPUTED_VALUE"""),"")</f>
        <v/>
      </c>
      <c r="G18695" s="42" t="str">
        <f>IFERROR(__xludf.DUMMYFUNCTION("""COMPUTED_VALUE"""),"")</f>
        <v/>
      </c>
      <c r="H18695" s="42">
        <f t="shared" si="1"/>
        <v>3345</v>
      </c>
    </row>
    <row r="18696" ht="22.5" customHeight="1">
      <c r="B18696" s="42" t="str">
        <f>IFERROR(__xludf.DUMMYFUNCTION("""COMPUTED_VALUE"""),"")</f>
        <v/>
      </c>
      <c r="C18696" s="42" t="str">
        <f>IFERROR(__xludf.DUMMYFUNCTION("""COMPUTED_VALUE"""),"")</f>
        <v/>
      </c>
      <c r="D18696" s="42"/>
      <c r="E18696" s="42"/>
      <c r="F18696" s="48" t="str">
        <f>IFERROR(__xludf.DUMMYFUNCTION("""COMPUTED_VALUE"""),"")</f>
        <v/>
      </c>
      <c r="G18696" s="42" t="str">
        <f>IFERROR(__xludf.DUMMYFUNCTION("""COMPUTED_VALUE"""),"")</f>
        <v/>
      </c>
      <c r="H18696" s="42">
        <f t="shared" si="1"/>
        <v>3345</v>
      </c>
    </row>
    <row r="18697" ht="22.5" customHeight="1">
      <c r="B18697" s="42" t="str">
        <f>IFERROR(__xludf.DUMMYFUNCTION("""COMPUTED_VALUE"""),"")</f>
        <v/>
      </c>
      <c r="C18697" s="42" t="str">
        <f>IFERROR(__xludf.DUMMYFUNCTION("""COMPUTED_VALUE"""),"")</f>
        <v/>
      </c>
      <c r="D18697" s="42"/>
      <c r="E18697" s="42"/>
      <c r="F18697" s="48" t="str">
        <f>IFERROR(__xludf.DUMMYFUNCTION("""COMPUTED_VALUE"""),"")</f>
        <v/>
      </c>
      <c r="G18697" s="42" t="str">
        <f>IFERROR(__xludf.DUMMYFUNCTION("""COMPUTED_VALUE"""),"")</f>
        <v/>
      </c>
      <c r="H18697" s="42">
        <f t="shared" si="1"/>
        <v>3345</v>
      </c>
    </row>
    <row r="18698" ht="22.5" customHeight="1">
      <c r="B18698" s="42" t="str">
        <f>IFERROR(__xludf.DUMMYFUNCTION("""COMPUTED_VALUE"""),"")</f>
        <v/>
      </c>
      <c r="C18698" s="42" t="str">
        <f>IFERROR(__xludf.DUMMYFUNCTION("""COMPUTED_VALUE"""),"")</f>
        <v/>
      </c>
      <c r="D18698" s="42"/>
      <c r="E18698" s="42"/>
      <c r="F18698" s="48" t="str">
        <f>IFERROR(__xludf.DUMMYFUNCTION("""COMPUTED_VALUE"""),"")</f>
        <v/>
      </c>
      <c r="G18698" s="42" t="str">
        <f>IFERROR(__xludf.DUMMYFUNCTION("""COMPUTED_VALUE"""),"")</f>
        <v/>
      </c>
      <c r="H18698" s="42">
        <f t="shared" si="1"/>
        <v>3345</v>
      </c>
    </row>
    <row r="18699" ht="22.5" customHeight="1">
      <c r="B18699" s="42" t="str">
        <f>IFERROR(__xludf.DUMMYFUNCTION("""COMPUTED_VALUE"""),"")</f>
        <v/>
      </c>
      <c r="C18699" s="42" t="str">
        <f>IFERROR(__xludf.DUMMYFUNCTION("""COMPUTED_VALUE"""),"")</f>
        <v/>
      </c>
      <c r="D18699" s="42"/>
      <c r="E18699" s="42"/>
      <c r="F18699" s="48" t="str">
        <f>IFERROR(__xludf.DUMMYFUNCTION("""COMPUTED_VALUE"""),"")</f>
        <v/>
      </c>
      <c r="G18699" s="42" t="str">
        <f>IFERROR(__xludf.DUMMYFUNCTION("""COMPUTED_VALUE"""),"")</f>
        <v/>
      </c>
      <c r="H18699" s="42">
        <f t="shared" si="1"/>
        <v>3345</v>
      </c>
    </row>
    <row r="18700" ht="22.5" customHeight="1">
      <c r="B18700" s="42" t="str">
        <f>IFERROR(__xludf.DUMMYFUNCTION("""COMPUTED_VALUE"""),"")</f>
        <v/>
      </c>
      <c r="C18700" s="42" t="str">
        <f>IFERROR(__xludf.DUMMYFUNCTION("""COMPUTED_VALUE"""),"")</f>
        <v/>
      </c>
      <c r="D18700" s="42"/>
      <c r="E18700" s="42"/>
      <c r="F18700" s="48" t="str">
        <f>IFERROR(__xludf.DUMMYFUNCTION("""COMPUTED_VALUE"""),"")</f>
        <v/>
      </c>
      <c r="G18700" s="42" t="str">
        <f>IFERROR(__xludf.DUMMYFUNCTION("""COMPUTED_VALUE"""),"")</f>
        <v/>
      </c>
      <c r="H18700" s="42">
        <f t="shared" si="1"/>
        <v>3345</v>
      </c>
    </row>
    <row r="18701" ht="22.5" customHeight="1">
      <c r="B18701" s="42" t="str">
        <f>IFERROR(__xludf.DUMMYFUNCTION("""COMPUTED_VALUE"""),"")</f>
        <v/>
      </c>
      <c r="C18701" s="42" t="str">
        <f>IFERROR(__xludf.DUMMYFUNCTION("""COMPUTED_VALUE"""),"")</f>
        <v/>
      </c>
      <c r="D18701" s="42"/>
      <c r="E18701" s="42"/>
      <c r="F18701" s="48" t="str">
        <f>IFERROR(__xludf.DUMMYFUNCTION("""COMPUTED_VALUE"""),"")</f>
        <v/>
      </c>
      <c r="G18701" s="42" t="str">
        <f>IFERROR(__xludf.DUMMYFUNCTION("""COMPUTED_VALUE"""),"")</f>
        <v/>
      </c>
      <c r="H18701" s="42">
        <f t="shared" si="1"/>
        <v>3345</v>
      </c>
    </row>
    <row r="18702" ht="22.5" customHeight="1">
      <c r="B18702" s="42" t="str">
        <f>IFERROR(__xludf.DUMMYFUNCTION("""COMPUTED_VALUE"""),"")</f>
        <v/>
      </c>
      <c r="C18702" s="42" t="str">
        <f>IFERROR(__xludf.DUMMYFUNCTION("""COMPUTED_VALUE"""),"")</f>
        <v/>
      </c>
      <c r="D18702" s="42"/>
      <c r="E18702" s="42"/>
      <c r="F18702" s="48" t="str">
        <f>IFERROR(__xludf.DUMMYFUNCTION("""COMPUTED_VALUE"""),"")</f>
        <v/>
      </c>
      <c r="G18702" s="42" t="str">
        <f>IFERROR(__xludf.DUMMYFUNCTION("""COMPUTED_VALUE"""),"")</f>
        <v/>
      </c>
      <c r="H18702" s="42">
        <f t="shared" si="1"/>
        <v>3345</v>
      </c>
    </row>
    <row r="18703" ht="22.5" customHeight="1">
      <c r="B18703" s="42" t="str">
        <f>IFERROR(__xludf.DUMMYFUNCTION("""COMPUTED_VALUE"""),"")</f>
        <v/>
      </c>
      <c r="C18703" s="42" t="str">
        <f>IFERROR(__xludf.DUMMYFUNCTION("""COMPUTED_VALUE"""),"")</f>
        <v/>
      </c>
      <c r="D18703" s="42"/>
      <c r="E18703" s="42"/>
      <c r="F18703" s="48" t="str">
        <f>IFERROR(__xludf.DUMMYFUNCTION("""COMPUTED_VALUE"""),"")</f>
        <v/>
      </c>
      <c r="G18703" s="42" t="str">
        <f>IFERROR(__xludf.DUMMYFUNCTION("""COMPUTED_VALUE"""),"")</f>
        <v/>
      </c>
      <c r="H18703" s="42">
        <f t="shared" si="1"/>
        <v>3345</v>
      </c>
    </row>
    <row r="18704" ht="22.5" customHeight="1">
      <c r="B18704" s="42" t="str">
        <f>IFERROR(__xludf.DUMMYFUNCTION("""COMPUTED_VALUE"""),"")</f>
        <v/>
      </c>
      <c r="C18704" s="42" t="str">
        <f>IFERROR(__xludf.DUMMYFUNCTION("""COMPUTED_VALUE"""),"")</f>
        <v/>
      </c>
      <c r="D18704" s="42"/>
      <c r="E18704" s="42"/>
      <c r="F18704" s="48" t="str">
        <f>IFERROR(__xludf.DUMMYFUNCTION("""COMPUTED_VALUE"""),"")</f>
        <v/>
      </c>
      <c r="G18704" s="42" t="str">
        <f>IFERROR(__xludf.DUMMYFUNCTION("""COMPUTED_VALUE"""),"")</f>
        <v/>
      </c>
      <c r="H18704" s="42">
        <f t="shared" si="1"/>
        <v>3345</v>
      </c>
    </row>
    <row r="18705" ht="22.5" customHeight="1">
      <c r="B18705" s="42" t="str">
        <f>IFERROR(__xludf.DUMMYFUNCTION("""COMPUTED_VALUE"""),"")</f>
        <v/>
      </c>
      <c r="C18705" s="42" t="str">
        <f>IFERROR(__xludf.DUMMYFUNCTION("""COMPUTED_VALUE"""),"")</f>
        <v/>
      </c>
      <c r="D18705" s="42"/>
      <c r="E18705" s="42"/>
      <c r="F18705" s="48" t="str">
        <f>IFERROR(__xludf.DUMMYFUNCTION("""COMPUTED_VALUE"""),"")</f>
        <v/>
      </c>
      <c r="G18705" s="42" t="str">
        <f>IFERROR(__xludf.DUMMYFUNCTION("""COMPUTED_VALUE"""),"")</f>
        <v/>
      </c>
      <c r="H18705" s="42">
        <f t="shared" si="1"/>
        <v>3345</v>
      </c>
    </row>
    <row r="18706" ht="22.5" customHeight="1">
      <c r="B18706" s="42" t="str">
        <f>IFERROR(__xludf.DUMMYFUNCTION("""COMPUTED_VALUE"""),"")</f>
        <v/>
      </c>
      <c r="C18706" s="42" t="str">
        <f>IFERROR(__xludf.DUMMYFUNCTION("""COMPUTED_VALUE"""),"")</f>
        <v/>
      </c>
      <c r="D18706" s="42"/>
      <c r="E18706" s="42"/>
      <c r="F18706" s="48" t="str">
        <f>IFERROR(__xludf.DUMMYFUNCTION("""COMPUTED_VALUE"""),"")</f>
        <v/>
      </c>
      <c r="G18706" s="42" t="str">
        <f>IFERROR(__xludf.DUMMYFUNCTION("""COMPUTED_VALUE"""),"")</f>
        <v/>
      </c>
      <c r="H18706" s="42">
        <f t="shared" si="1"/>
        <v>3345</v>
      </c>
    </row>
    <row r="18707" ht="22.5" customHeight="1">
      <c r="B18707" s="42" t="str">
        <f>IFERROR(__xludf.DUMMYFUNCTION("""COMPUTED_VALUE"""),"")</f>
        <v/>
      </c>
      <c r="C18707" s="42" t="str">
        <f>IFERROR(__xludf.DUMMYFUNCTION("""COMPUTED_VALUE"""),"")</f>
        <v/>
      </c>
      <c r="D18707" s="42"/>
      <c r="E18707" s="42"/>
      <c r="F18707" s="48" t="str">
        <f>IFERROR(__xludf.DUMMYFUNCTION("""COMPUTED_VALUE"""),"")</f>
        <v/>
      </c>
      <c r="G18707" s="42" t="str">
        <f>IFERROR(__xludf.DUMMYFUNCTION("""COMPUTED_VALUE"""),"")</f>
        <v/>
      </c>
      <c r="H18707" s="42">
        <f t="shared" si="1"/>
        <v>3345</v>
      </c>
    </row>
    <row r="18708" ht="22.5" customHeight="1">
      <c r="B18708" s="42" t="str">
        <f>IFERROR(__xludf.DUMMYFUNCTION("""COMPUTED_VALUE"""),"")</f>
        <v/>
      </c>
      <c r="C18708" s="42" t="str">
        <f>IFERROR(__xludf.DUMMYFUNCTION("""COMPUTED_VALUE"""),"")</f>
        <v/>
      </c>
      <c r="D18708" s="42"/>
      <c r="E18708" s="42"/>
      <c r="F18708" s="48" t="str">
        <f>IFERROR(__xludf.DUMMYFUNCTION("""COMPUTED_VALUE"""),"")</f>
        <v/>
      </c>
      <c r="G18708" s="42" t="str">
        <f>IFERROR(__xludf.DUMMYFUNCTION("""COMPUTED_VALUE"""),"")</f>
        <v/>
      </c>
      <c r="H18708" s="42">
        <f t="shared" si="1"/>
        <v>3345</v>
      </c>
    </row>
    <row r="18709" ht="22.5" customHeight="1">
      <c r="B18709" s="42" t="str">
        <f>IFERROR(__xludf.DUMMYFUNCTION("""COMPUTED_VALUE"""),"")</f>
        <v/>
      </c>
      <c r="C18709" s="42" t="str">
        <f>IFERROR(__xludf.DUMMYFUNCTION("""COMPUTED_VALUE"""),"")</f>
        <v/>
      </c>
      <c r="D18709" s="42"/>
      <c r="E18709" s="42"/>
      <c r="F18709" s="48" t="str">
        <f>IFERROR(__xludf.DUMMYFUNCTION("""COMPUTED_VALUE"""),"")</f>
        <v/>
      </c>
      <c r="G18709" s="42" t="str">
        <f>IFERROR(__xludf.DUMMYFUNCTION("""COMPUTED_VALUE"""),"")</f>
        <v/>
      </c>
      <c r="H18709" s="42">
        <f t="shared" si="1"/>
        <v>3345</v>
      </c>
    </row>
    <row r="18710" ht="22.5" customHeight="1">
      <c r="B18710" s="42" t="str">
        <f>IFERROR(__xludf.DUMMYFUNCTION("""COMPUTED_VALUE"""),"")</f>
        <v/>
      </c>
      <c r="C18710" s="42" t="str">
        <f>IFERROR(__xludf.DUMMYFUNCTION("""COMPUTED_VALUE"""),"")</f>
        <v/>
      </c>
      <c r="D18710" s="42"/>
      <c r="E18710" s="42"/>
      <c r="F18710" s="48" t="str">
        <f>IFERROR(__xludf.DUMMYFUNCTION("""COMPUTED_VALUE"""),"")</f>
        <v/>
      </c>
      <c r="G18710" s="42" t="str">
        <f>IFERROR(__xludf.DUMMYFUNCTION("""COMPUTED_VALUE"""),"")</f>
        <v/>
      </c>
      <c r="H18710" s="42">
        <f t="shared" si="1"/>
        <v>3345</v>
      </c>
    </row>
    <row r="18711" ht="22.5" customHeight="1">
      <c r="B18711" s="42" t="str">
        <f>IFERROR(__xludf.DUMMYFUNCTION("""COMPUTED_VALUE"""),"")</f>
        <v/>
      </c>
      <c r="C18711" s="42" t="str">
        <f>IFERROR(__xludf.DUMMYFUNCTION("""COMPUTED_VALUE"""),"")</f>
        <v/>
      </c>
      <c r="D18711" s="42"/>
      <c r="E18711" s="42"/>
      <c r="F18711" s="48" t="str">
        <f>IFERROR(__xludf.DUMMYFUNCTION("""COMPUTED_VALUE"""),"")</f>
        <v/>
      </c>
      <c r="G18711" s="42" t="str">
        <f>IFERROR(__xludf.DUMMYFUNCTION("""COMPUTED_VALUE"""),"")</f>
        <v/>
      </c>
      <c r="H18711" s="42">
        <f t="shared" si="1"/>
        <v>3345</v>
      </c>
    </row>
    <row r="18712" ht="22.5" customHeight="1">
      <c r="B18712" s="42" t="str">
        <f>IFERROR(__xludf.DUMMYFUNCTION("""COMPUTED_VALUE"""),"")</f>
        <v/>
      </c>
      <c r="C18712" s="42" t="str">
        <f>IFERROR(__xludf.DUMMYFUNCTION("""COMPUTED_VALUE"""),"")</f>
        <v/>
      </c>
      <c r="D18712" s="42"/>
      <c r="E18712" s="42"/>
      <c r="F18712" s="48" t="str">
        <f>IFERROR(__xludf.DUMMYFUNCTION("""COMPUTED_VALUE"""),"")</f>
        <v/>
      </c>
      <c r="G18712" s="42" t="str">
        <f>IFERROR(__xludf.DUMMYFUNCTION("""COMPUTED_VALUE"""),"")</f>
        <v/>
      </c>
      <c r="H18712" s="42">
        <f t="shared" si="1"/>
        <v>3345</v>
      </c>
    </row>
    <row r="18713" ht="22.5" customHeight="1">
      <c r="B18713" s="42" t="str">
        <f>IFERROR(__xludf.DUMMYFUNCTION("""COMPUTED_VALUE"""),"")</f>
        <v/>
      </c>
      <c r="C18713" s="42" t="str">
        <f>IFERROR(__xludf.DUMMYFUNCTION("""COMPUTED_VALUE"""),"")</f>
        <v/>
      </c>
      <c r="D18713" s="42"/>
      <c r="E18713" s="42"/>
      <c r="F18713" s="48" t="str">
        <f>IFERROR(__xludf.DUMMYFUNCTION("""COMPUTED_VALUE"""),"")</f>
        <v/>
      </c>
      <c r="G18713" s="42" t="str">
        <f>IFERROR(__xludf.DUMMYFUNCTION("""COMPUTED_VALUE"""),"")</f>
        <v/>
      </c>
      <c r="H18713" s="42">
        <f t="shared" si="1"/>
        <v>3345</v>
      </c>
    </row>
    <row r="18714" ht="22.5" customHeight="1">
      <c r="B18714" s="42" t="str">
        <f>IFERROR(__xludf.DUMMYFUNCTION("""COMPUTED_VALUE"""),"")</f>
        <v/>
      </c>
      <c r="C18714" s="42" t="str">
        <f>IFERROR(__xludf.DUMMYFUNCTION("""COMPUTED_VALUE"""),"")</f>
        <v/>
      </c>
      <c r="D18714" s="42"/>
      <c r="E18714" s="42"/>
      <c r="F18714" s="48" t="str">
        <f>IFERROR(__xludf.DUMMYFUNCTION("""COMPUTED_VALUE"""),"")</f>
        <v/>
      </c>
      <c r="G18714" s="42" t="str">
        <f>IFERROR(__xludf.DUMMYFUNCTION("""COMPUTED_VALUE"""),"")</f>
        <v/>
      </c>
      <c r="H18714" s="42">
        <f t="shared" si="1"/>
        <v>3345</v>
      </c>
    </row>
    <row r="18715" ht="22.5" customHeight="1">
      <c r="B18715" s="42" t="str">
        <f>IFERROR(__xludf.DUMMYFUNCTION("""COMPUTED_VALUE"""),"")</f>
        <v/>
      </c>
      <c r="C18715" s="42" t="str">
        <f>IFERROR(__xludf.DUMMYFUNCTION("""COMPUTED_VALUE"""),"")</f>
        <v/>
      </c>
      <c r="D18715" s="42"/>
      <c r="E18715" s="42"/>
      <c r="F18715" s="48" t="str">
        <f>IFERROR(__xludf.DUMMYFUNCTION("""COMPUTED_VALUE"""),"")</f>
        <v/>
      </c>
      <c r="G18715" s="42" t="str">
        <f>IFERROR(__xludf.DUMMYFUNCTION("""COMPUTED_VALUE"""),"")</f>
        <v/>
      </c>
      <c r="H18715" s="42">
        <f t="shared" si="1"/>
        <v>3345</v>
      </c>
    </row>
    <row r="18716" ht="22.5" customHeight="1">
      <c r="B18716" s="42" t="str">
        <f>IFERROR(__xludf.DUMMYFUNCTION("""COMPUTED_VALUE"""),"")</f>
        <v/>
      </c>
      <c r="C18716" s="42" t="str">
        <f>IFERROR(__xludf.DUMMYFUNCTION("""COMPUTED_VALUE"""),"")</f>
        <v/>
      </c>
      <c r="D18716" s="42"/>
      <c r="E18716" s="42"/>
      <c r="F18716" s="48" t="str">
        <f>IFERROR(__xludf.DUMMYFUNCTION("""COMPUTED_VALUE"""),"")</f>
        <v/>
      </c>
      <c r="G18716" s="42" t="str">
        <f>IFERROR(__xludf.DUMMYFUNCTION("""COMPUTED_VALUE"""),"")</f>
        <v/>
      </c>
      <c r="H18716" s="42">
        <f t="shared" si="1"/>
        <v>3345</v>
      </c>
    </row>
    <row r="18717" ht="22.5" customHeight="1">
      <c r="B18717" s="42" t="str">
        <f>IFERROR(__xludf.DUMMYFUNCTION("""COMPUTED_VALUE"""),"")</f>
        <v/>
      </c>
      <c r="C18717" s="42" t="str">
        <f>IFERROR(__xludf.DUMMYFUNCTION("""COMPUTED_VALUE"""),"")</f>
        <v/>
      </c>
      <c r="D18717" s="42"/>
      <c r="E18717" s="42"/>
      <c r="F18717" s="48" t="str">
        <f>IFERROR(__xludf.DUMMYFUNCTION("""COMPUTED_VALUE"""),"")</f>
        <v/>
      </c>
      <c r="G18717" s="42" t="str">
        <f>IFERROR(__xludf.DUMMYFUNCTION("""COMPUTED_VALUE"""),"")</f>
        <v/>
      </c>
      <c r="H18717" s="42">
        <f t="shared" si="1"/>
        <v>3345</v>
      </c>
    </row>
    <row r="18718" ht="22.5" customHeight="1">
      <c r="B18718" s="42" t="str">
        <f>IFERROR(__xludf.DUMMYFUNCTION("""COMPUTED_VALUE"""),"")</f>
        <v/>
      </c>
      <c r="C18718" s="42" t="str">
        <f>IFERROR(__xludf.DUMMYFUNCTION("""COMPUTED_VALUE"""),"")</f>
        <v/>
      </c>
      <c r="D18718" s="42"/>
      <c r="E18718" s="42"/>
      <c r="F18718" s="48" t="str">
        <f>IFERROR(__xludf.DUMMYFUNCTION("""COMPUTED_VALUE"""),"")</f>
        <v/>
      </c>
      <c r="G18718" s="42" t="str">
        <f>IFERROR(__xludf.DUMMYFUNCTION("""COMPUTED_VALUE"""),"")</f>
        <v/>
      </c>
      <c r="H18718" s="42">
        <f t="shared" si="1"/>
        <v>3345</v>
      </c>
    </row>
    <row r="18719" ht="22.5" customHeight="1">
      <c r="B18719" s="42" t="str">
        <f>IFERROR(__xludf.DUMMYFUNCTION("""COMPUTED_VALUE"""),"")</f>
        <v/>
      </c>
      <c r="C18719" s="42" t="str">
        <f>IFERROR(__xludf.DUMMYFUNCTION("""COMPUTED_VALUE"""),"")</f>
        <v/>
      </c>
      <c r="D18719" s="42"/>
      <c r="E18719" s="42"/>
      <c r="F18719" s="48" t="str">
        <f>IFERROR(__xludf.DUMMYFUNCTION("""COMPUTED_VALUE"""),"")</f>
        <v/>
      </c>
      <c r="G18719" s="42" t="str">
        <f>IFERROR(__xludf.DUMMYFUNCTION("""COMPUTED_VALUE"""),"")</f>
        <v/>
      </c>
      <c r="H18719" s="42">
        <f t="shared" si="1"/>
        <v>3345</v>
      </c>
    </row>
    <row r="18720" ht="22.5" customHeight="1">
      <c r="B18720" s="42" t="str">
        <f>IFERROR(__xludf.DUMMYFUNCTION("""COMPUTED_VALUE"""),"")</f>
        <v/>
      </c>
      <c r="C18720" s="42" t="str">
        <f>IFERROR(__xludf.DUMMYFUNCTION("""COMPUTED_VALUE"""),"")</f>
        <v/>
      </c>
      <c r="D18720" s="42"/>
      <c r="E18720" s="42"/>
      <c r="F18720" s="48" t="str">
        <f>IFERROR(__xludf.DUMMYFUNCTION("""COMPUTED_VALUE"""),"")</f>
        <v/>
      </c>
      <c r="G18720" s="42" t="str">
        <f>IFERROR(__xludf.DUMMYFUNCTION("""COMPUTED_VALUE"""),"")</f>
        <v/>
      </c>
      <c r="H18720" s="42">
        <f t="shared" si="1"/>
        <v>3345</v>
      </c>
    </row>
    <row r="18721" ht="22.5" customHeight="1">
      <c r="B18721" s="42" t="str">
        <f>IFERROR(__xludf.DUMMYFUNCTION("""COMPUTED_VALUE"""),"")</f>
        <v/>
      </c>
      <c r="C18721" s="42" t="str">
        <f>IFERROR(__xludf.DUMMYFUNCTION("""COMPUTED_VALUE"""),"")</f>
        <v/>
      </c>
      <c r="D18721" s="42"/>
      <c r="E18721" s="42"/>
      <c r="F18721" s="48" t="str">
        <f>IFERROR(__xludf.DUMMYFUNCTION("""COMPUTED_VALUE"""),"")</f>
        <v/>
      </c>
      <c r="G18721" s="42" t="str">
        <f>IFERROR(__xludf.DUMMYFUNCTION("""COMPUTED_VALUE"""),"")</f>
        <v/>
      </c>
      <c r="H18721" s="42">
        <f t="shared" si="1"/>
        <v>3345</v>
      </c>
    </row>
    <row r="18722" ht="22.5" customHeight="1">
      <c r="B18722" s="42" t="str">
        <f>IFERROR(__xludf.DUMMYFUNCTION("""COMPUTED_VALUE"""),"")</f>
        <v/>
      </c>
      <c r="C18722" s="42" t="str">
        <f>IFERROR(__xludf.DUMMYFUNCTION("""COMPUTED_VALUE"""),"")</f>
        <v/>
      </c>
      <c r="D18722" s="42"/>
      <c r="E18722" s="42"/>
      <c r="F18722" s="48" t="str">
        <f>IFERROR(__xludf.DUMMYFUNCTION("""COMPUTED_VALUE"""),"")</f>
        <v/>
      </c>
      <c r="G18722" s="42" t="str">
        <f>IFERROR(__xludf.DUMMYFUNCTION("""COMPUTED_VALUE"""),"")</f>
        <v/>
      </c>
      <c r="H18722" s="42">
        <f t="shared" si="1"/>
        <v>3345</v>
      </c>
    </row>
    <row r="18723" ht="22.5" customHeight="1">
      <c r="B18723" s="42" t="str">
        <f>IFERROR(__xludf.DUMMYFUNCTION("""COMPUTED_VALUE"""),"")</f>
        <v/>
      </c>
      <c r="C18723" s="42" t="str">
        <f>IFERROR(__xludf.DUMMYFUNCTION("""COMPUTED_VALUE"""),"")</f>
        <v/>
      </c>
      <c r="D18723" s="42"/>
      <c r="E18723" s="42"/>
      <c r="F18723" s="48" t="str">
        <f>IFERROR(__xludf.DUMMYFUNCTION("""COMPUTED_VALUE"""),"")</f>
        <v/>
      </c>
      <c r="G18723" s="42" t="str">
        <f>IFERROR(__xludf.DUMMYFUNCTION("""COMPUTED_VALUE"""),"")</f>
        <v/>
      </c>
      <c r="H18723" s="42">
        <f t="shared" si="1"/>
        <v>3345</v>
      </c>
    </row>
    <row r="18724" ht="22.5" customHeight="1">
      <c r="B18724" s="42" t="str">
        <f>IFERROR(__xludf.DUMMYFUNCTION("""COMPUTED_VALUE"""),"")</f>
        <v/>
      </c>
      <c r="C18724" s="42" t="str">
        <f>IFERROR(__xludf.DUMMYFUNCTION("""COMPUTED_VALUE"""),"")</f>
        <v/>
      </c>
      <c r="D18724" s="42"/>
      <c r="E18724" s="42"/>
      <c r="F18724" s="48" t="str">
        <f>IFERROR(__xludf.DUMMYFUNCTION("""COMPUTED_VALUE"""),"")</f>
        <v/>
      </c>
      <c r="G18724" s="42" t="str">
        <f>IFERROR(__xludf.DUMMYFUNCTION("""COMPUTED_VALUE"""),"")</f>
        <v/>
      </c>
      <c r="H18724" s="42">
        <f t="shared" si="1"/>
        <v>3345</v>
      </c>
    </row>
    <row r="18725" ht="22.5" customHeight="1">
      <c r="B18725" s="42" t="str">
        <f>IFERROR(__xludf.DUMMYFUNCTION("""COMPUTED_VALUE"""),"")</f>
        <v/>
      </c>
      <c r="C18725" s="42" t="str">
        <f>IFERROR(__xludf.DUMMYFUNCTION("""COMPUTED_VALUE"""),"")</f>
        <v/>
      </c>
      <c r="D18725" s="42"/>
      <c r="E18725" s="42"/>
      <c r="F18725" s="48" t="str">
        <f>IFERROR(__xludf.DUMMYFUNCTION("""COMPUTED_VALUE"""),"")</f>
        <v/>
      </c>
      <c r="G18725" s="42" t="str">
        <f>IFERROR(__xludf.DUMMYFUNCTION("""COMPUTED_VALUE"""),"")</f>
        <v/>
      </c>
      <c r="H18725" s="42">
        <f t="shared" si="1"/>
        <v>3345</v>
      </c>
    </row>
    <row r="18726" ht="22.5" customHeight="1">
      <c r="B18726" s="42" t="str">
        <f>IFERROR(__xludf.DUMMYFUNCTION("""COMPUTED_VALUE"""),"")</f>
        <v/>
      </c>
      <c r="C18726" s="42" t="str">
        <f>IFERROR(__xludf.DUMMYFUNCTION("""COMPUTED_VALUE"""),"")</f>
        <v/>
      </c>
      <c r="D18726" s="42"/>
      <c r="E18726" s="42"/>
      <c r="F18726" s="48" t="str">
        <f>IFERROR(__xludf.DUMMYFUNCTION("""COMPUTED_VALUE"""),"")</f>
        <v/>
      </c>
      <c r="G18726" s="42" t="str">
        <f>IFERROR(__xludf.DUMMYFUNCTION("""COMPUTED_VALUE"""),"")</f>
        <v/>
      </c>
      <c r="H18726" s="42">
        <f t="shared" si="1"/>
        <v>3345</v>
      </c>
    </row>
    <row r="18727" ht="22.5" customHeight="1">
      <c r="B18727" s="42" t="str">
        <f>IFERROR(__xludf.DUMMYFUNCTION("""COMPUTED_VALUE"""),"")</f>
        <v/>
      </c>
      <c r="C18727" s="42" t="str">
        <f>IFERROR(__xludf.DUMMYFUNCTION("""COMPUTED_VALUE"""),"")</f>
        <v/>
      </c>
      <c r="D18727" s="42"/>
      <c r="E18727" s="42"/>
      <c r="F18727" s="48" t="str">
        <f>IFERROR(__xludf.DUMMYFUNCTION("""COMPUTED_VALUE"""),"")</f>
        <v/>
      </c>
      <c r="G18727" s="42" t="str">
        <f>IFERROR(__xludf.DUMMYFUNCTION("""COMPUTED_VALUE"""),"")</f>
        <v/>
      </c>
      <c r="H18727" s="42">
        <f t="shared" si="1"/>
        <v>3345</v>
      </c>
    </row>
    <row r="18728" ht="22.5" customHeight="1">
      <c r="B18728" s="42" t="str">
        <f>IFERROR(__xludf.DUMMYFUNCTION("""COMPUTED_VALUE"""),"")</f>
        <v/>
      </c>
      <c r="C18728" s="42" t="str">
        <f>IFERROR(__xludf.DUMMYFUNCTION("""COMPUTED_VALUE"""),"")</f>
        <v/>
      </c>
      <c r="D18728" s="42"/>
      <c r="E18728" s="42"/>
      <c r="F18728" s="48" t="str">
        <f>IFERROR(__xludf.DUMMYFUNCTION("""COMPUTED_VALUE"""),"")</f>
        <v/>
      </c>
      <c r="G18728" s="42" t="str">
        <f>IFERROR(__xludf.DUMMYFUNCTION("""COMPUTED_VALUE"""),"")</f>
        <v/>
      </c>
      <c r="H18728" s="42">
        <f t="shared" si="1"/>
        <v>3345</v>
      </c>
    </row>
    <row r="18729" ht="22.5" customHeight="1">
      <c r="B18729" s="42" t="str">
        <f>IFERROR(__xludf.DUMMYFUNCTION("""COMPUTED_VALUE"""),"")</f>
        <v/>
      </c>
      <c r="C18729" s="42" t="str">
        <f>IFERROR(__xludf.DUMMYFUNCTION("""COMPUTED_VALUE"""),"")</f>
        <v/>
      </c>
      <c r="D18729" s="42"/>
      <c r="E18729" s="42"/>
      <c r="F18729" s="48" t="str">
        <f>IFERROR(__xludf.DUMMYFUNCTION("""COMPUTED_VALUE"""),"")</f>
        <v/>
      </c>
      <c r="G18729" s="42" t="str">
        <f>IFERROR(__xludf.DUMMYFUNCTION("""COMPUTED_VALUE"""),"")</f>
        <v/>
      </c>
      <c r="H18729" s="42">
        <f t="shared" si="1"/>
        <v>3345</v>
      </c>
    </row>
    <row r="18730" ht="22.5" customHeight="1">
      <c r="B18730" s="42" t="str">
        <f>IFERROR(__xludf.DUMMYFUNCTION("""COMPUTED_VALUE"""),"")</f>
        <v/>
      </c>
      <c r="C18730" s="42" t="str">
        <f>IFERROR(__xludf.DUMMYFUNCTION("""COMPUTED_VALUE"""),"")</f>
        <v/>
      </c>
      <c r="D18730" s="42"/>
      <c r="E18730" s="42"/>
      <c r="F18730" s="48" t="str">
        <f>IFERROR(__xludf.DUMMYFUNCTION("""COMPUTED_VALUE"""),"")</f>
        <v/>
      </c>
      <c r="G18730" s="42" t="str">
        <f>IFERROR(__xludf.DUMMYFUNCTION("""COMPUTED_VALUE"""),"")</f>
        <v/>
      </c>
      <c r="H18730" s="42">
        <f t="shared" si="1"/>
        <v>3345</v>
      </c>
    </row>
    <row r="18731" ht="22.5" customHeight="1">
      <c r="B18731" s="42" t="str">
        <f>IFERROR(__xludf.DUMMYFUNCTION("""COMPUTED_VALUE"""),"")</f>
        <v/>
      </c>
      <c r="C18731" s="42" t="str">
        <f>IFERROR(__xludf.DUMMYFUNCTION("""COMPUTED_VALUE"""),"")</f>
        <v/>
      </c>
      <c r="D18731" s="42"/>
      <c r="E18731" s="42"/>
      <c r="F18731" s="48" t="str">
        <f>IFERROR(__xludf.DUMMYFUNCTION("""COMPUTED_VALUE"""),"")</f>
        <v/>
      </c>
      <c r="G18731" s="42" t="str">
        <f>IFERROR(__xludf.DUMMYFUNCTION("""COMPUTED_VALUE"""),"")</f>
        <v/>
      </c>
      <c r="H18731" s="42">
        <f t="shared" si="1"/>
        <v>3345</v>
      </c>
    </row>
    <row r="18732" ht="22.5" customHeight="1">
      <c r="B18732" s="42" t="str">
        <f>IFERROR(__xludf.DUMMYFUNCTION("""COMPUTED_VALUE"""),"")</f>
        <v/>
      </c>
      <c r="C18732" s="42" t="str">
        <f>IFERROR(__xludf.DUMMYFUNCTION("""COMPUTED_VALUE"""),"")</f>
        <v/>
      </c>
      <c r="D18732" s="42"/>
      <c r="E18732" s="42"/>
      <c r="F18732" s="48" t="str">
        <f>IFERROR(__xludf.DUMMYFUNCTION("""COMPUTED_VALUE"""),"")</f>
        <v/>
      </c>
      <c r="G18732" s="42" t="str">
        <f>IFERROR(__xludf.DUMMYFUNCTION("""COMPUTED_VALUE"""),"")</f>
        <v/>
      </c>
      <c r="H18732" s="42">
        <f t="shared" si="1"/>
        <v>3345</v>
      </c>
    </row>
    <row r="18733" ht="22.5" customHeight="1">
      <c r="B18733" s="42" t="str">
        <f>IFERROR(__xludf.DUMMYFUNCTION("""COMPUTED_VALUE"""),"")</f>
        <v/>
      </c>
      <c r="C18733" s="42" t="str">
        <f>IFERROR(__xludf.DUMMYFUNCTION("""COMPUTED_VALUE"""),"")</f>
        <v/>
      </c>
      <c r="D18733" s="42"/>
      <c r="E18733" s="42"/>
      <c r="F18733" s="48" t="str">
        <f>IFERROR(__xludf.DUMMYFUNCTION("""COMPUTED_VALUE"""),"")</f>
        <v/>
      </c>
      <c r="G18733" s="42" t="str">
        <f>IFERROR(__xludf.DUMMYFUNCTION("""COMPUTED_VALUE"""),"")</f>
        <v/>
      </c>
      <c r="H18733" s="42">
        <f t="shared" si="1"/>
        <v>3345</v>
      </c>
    </row>
    <row r="18734" ht="22.5" customHeight="1">
      <c r="B18734" s="42" t="str">
        <f>IFERROR(__xludf.DUMMYFUNCTION("""COMPUTED_VALUE"""),"")</f>
        <v/>
      </c>
      <c r="C18734" s="42" t="str">
        <f>IFERROR(__xludf.DUMMYFUNCTION("""COMPUTED_VALUE"""),"")</f>
        <v/>
      </c>
      <c r="D18734" s="42"/>
      <c r="E18734" s="42"/>
      <c r="F18734" s="48" t="str">
        <f>IFERROR(__xludf.DUMMYFUNCTION("""COMPUTED_VALUE"""),"")</f>
        <v/>
      </c>
      <c r="G18734" s="42" t="str">
        <f>IFERROR(__xludf.DUMMYFUNCTION("""COMPUTED_VALUE"""),"")</f>
        <v/>
      </c>
      <c r="H18734" s="42">
        <f t="shared" si="1"/>
        <v>3345</v>
      </c>
    </row>
    <row r="18735" ht="22.5" customHeight="1">
      <c r="B18735" s="42" t="str">
        <f>IFERROR(__xludf.DUMMYFUNCTION("""COMPUTED_VALUE"""),"")</f>
        <v/>
      </c>
      <c r="C18735" s="42" t="str">
        <f>IFERROR(__xludf.DUMMYFUNCTION("""COMPUTED_VALUE"""),"")</f>
        <v/>
      </c>
      <c r="D18735" s="42"/>
      <c r="E18735" s="42"/>
      <c r="F18735" s="48" t="str">
        <f>IFERROR(__xludf.DUMMYFUNCTION("""COMPUTED_VALUE"""),"")</f>
        <v/>
      </c>
      <c r="G18735" s="42" t="str">
        <f>IFERROR(__xludf.DUMMYFUNCTION("""COMPUTED_VALUE"""),"")</f>
        <v/>
      </c>
      <c r="H18735" s="42">
        <f t="shared" si="1"/>
        <v>3345</v>
      </c>
    </row>
    <row r="18736" ht="22.5" customHeight="1">
      <c r="B18736" s="42" t="str">
        <f>IFERROR(__xludf.DUMMYFUNCTION("""COMPUTED_VALUE"""),"")</f>
        <v/>
      </c>
      <c r="C18736" s="42" t="str">
        <f>IFERROR(__xludf.DUMMYFUNCTION("""COMPUTED_VALUE"""),"")</f>
        <v/>
      </c>
      <c r="D18736" s="42"/>
      <c r="E18736" s="42"/>
      <c r="F18736" s="48" t="str">
        <f>IFERROR(__xludf.DUMMYFUNCTION("""COMPUTED_VALUE"""),"")</f>
        <v/>
      </c>
      <c r="G18736" s="42" t="str">
        <f>IFERROR(__xludf.DUMMYFUNCTION("""COMPUTED_VALUE"""),"")</f>
        <v/>
      </c>
      <c r="H18736" s="42">
        <f t="shared" si="1"/>
        <v>3345</v>
      </c>
    </row>
    <row r="18737" ht="22.5" customHeight="1">
      <c r="B18737" s="42" t="str">
        <f>IFERROR(__xludf.DUMMYFUNCTION("""COMPUTED_VALUE"""),"")</f>
        <v/>
      </c>
      <c r="C18737" s="42" t="str">
        <f>IFERROR(__xludf.DUMMYFUNCTION("""COMPUTED_VALUE"""),"")</f>
        <v/>
      </c>
      <c r="D18737" s="42"/>
      <c r="E18737" s="42"/>
      <c r="F18737" s="48" t="str">
        <f>IFERROR(__xludf.DUMMYFUNCTION("""COMPUTED_VALUE"""),"")</f>
        <v/>
      </c>
      <c r="G18737" s="42" t="str">
        <f>IFERROR(__xludf.DUMMYFUNCTION("""COMPUTED_VALUE"""),"")</f>
        <v/>
      </c>
      <c r="H18737" s="42">
        <f t="shared" si="1"/>
        <v>3345</v>
      </c>
    </row>
    <row r="18738" ht="22.5" customHeight="1">
      <c r="B18738" s="42" t="str">
        <f>IFERROR(__xludf.DUMMYFUNCTION("""COMPUTED_VALUE"""),"")</f>
        <v/>
      </c>
      <c r="C18738" s="42" t="str">
        <f>IFERROR(__xludf.DUMMYFUNCTION("""COMPUTED_VALUE"""),"")</f>
        <v/>
      </c>
      <c r="D18738" s="42"/>
      <c r="E18738" s="42"/>
      <c r="F18738" s="48" t="str">
        <f>IFERROR(__xludf.DUMMYFUNCTION("""COMPUTED_VALUE"""),"")</f>
        <v/>
      </c>
      <c r="G18738" s="42" t="str">
        <f>IFERROR(__xludf.DUMMYFUNCTION("""COMPUTED_VALUE"""),"")</f>
        <v/>
      </c>
      <c r="H18738" s="42">
        <f t="shared" si="1"/>
        <v>3345</v>
      </c>
    </row>
    <row r="18739" ht="22.5" customHeight="1">
      <c r="B18739" s="42" t="str">
        <f>IFERROR(__xludf.DUMMYFUNCTION("""COMPUTED_VALUE"""),"")</f>
        <v/>
      </c>
      <c r="C18739" s="42" t="str">
        <f>IFERROR(__xludf.DUMMYFUNCTION("""COMPUTED_VALUE"""),"")</f>
        <v/>
      </c>
      <c r="D18739" s="42"/>
      <c r="E18739" s="42"/>
      <c r="F18739" s="48" t="str">
        <f>IFERROR(__xludf.DUMMYFUNCTION("""COMPUTED_VALUE"""),"")</f>
        <v/>
      </c>
      <c r="G18739" s="42" t="str">
        <f>IFERROR(__xludf.DUMMYFUNCTION("""COMPUTED_VALUE"""),"")</f>
        <v/>
      </c>
      <c r="H18739" s="42">
        <f t="shared" si="1"/>
        <v>3345</v>
      </c>
    </row>
    <row r="18740" ht="22.5" customHeight="1">
      <c r="B18740" s="42" t="str">
        <f>IFERROR(__xludf.DUMMYFUNCTION("""COMPUTED_VALUE"""),"")</f>
        <v/>
      </c>
      <c r="C18740" s="42" t="str">
        <f>IFERROR(__xludf.DUMMYFUNCTION("""COMPUTED_VALUE"""),"")</f>
        <v/>
      </c>
      <c r="D18740" s="42"/>
      <c r="E18740" s="42"/>
      <c r="F18740" s="48" t="str">
        <f>IFERROR(__xludf.DUMMYFUNCTION("""COMPUTED_VALUE"""),"")</f>
        <v/>
      </c>
      <c r="G18740" s="42" t="str">
        <f>IFERROR(__xludf.DUMMYFUNCTION("""COMPUTED_VALUE"""),"")</f>
        <v/>
      </c>
      <c r="H18740" s="42">
        <f t="shared" si="1"/>
        <v>3345</v>
      </c>
    </row>
    <row r="18741" ht="22.5" customHeight="1">
      <c r="B18741" s="42" t="str">
        <f>IFERROR(__xludf.DUMMYFUNCTION("""COMPUTED_VALUE"""),"")</f>
        <v/>
      </c>
      <c r="C18741" s="42" t="str">
        <f>IFERROR(__xludf.DUMMYFUNCTION("""COMPUTED_VALUE"""),"")</f>
        <v/>
      </c>
      <c r="D18741" s="42"/>
      <c r="E18741" s="42"/>
      <c r="F18741" s="48" t="str">
        <f>IFERROR(__xludf.DUMMYFUNCTION("""COMPUTED_VALUE"""),"")</f>
        <v/>
      </c>
      <c r="G18741" s="42" t="str">
        <f>IFERROR(__xludf.DUMMYFUNCTION("""COMPUTED_VALUE"""),"")</f>
        <v/>
      </c>
      <c r="H18741" s="42">
        <f t="shared" si="1"/>
        <v>3345</v>
      </c>
    </row>
    <row r="18742" ht="22.5" customHeight="1">
      <c r="B18742" s="42" t="str">
        <f>IFERROR(__xludf.DUMMYFUNCTION("""COMPUTED_VALUE"""),"")</f>
        <v/>
      </c>
      <c r="C18742" s="42" t="str">
        <f>IFERROR(__xludf.DUMMYFUNCTION("""COMPUTED_VALUE"""),"")</f>
        <v/>
      </c>
      <c r="D18742" s="42"/>
      <c r="E18742" s="42"/>
      <c r="F18742" s="48" t="str">
        <f>IFERROR(__xludf.DUMMYFUNCTION("""COMPUTED_VALUE"""),"")</f>
        <v/>
      </c>
      <c r="G18742" s="42" t="str">
        <f>IFERROR(__xludf.DUMMYFUNCTION("""COMPUTED_VALUE"""),"")</f>
        <v/>
      </c>
      <c r="H18742" s="42">
        <f t="shared" si="1"/>
        <v>3345</v>
      </c>
    </row>
    <row r="18743" ht="22.5" customHeight="1">
      <c r="B18743" s="42" t="str">
        <f>IFERROR(__xludf.DUMMYFUNCTION("""COMPUTED_VALUE"""),"")</f>
        <v/>
      </c>
      <c r="C18743" s="42" t="str">
        <f>IFERROR(__xludf.DUMMYFUNCTION("""COMPUTED_VALUE"""),"")</f>
        <v/>
      </c>
      <c r="D18743" s="42"/>
      <c r="E18743" s="42"/>
      <c r="F18743" s="48" t="str">
        <f>IFERROR(__xludf.DUMMYFUNCTION("""COMPUTED_VALUE"""),"")</f>
        <v/>
      </c>
      <c r="G18743" s="42" t="str">
        <f>IFERROR(__xludf.DUMMYFUNCTION("""COMPUTED_VALUE"""),"")</f>
        <v/>
      </c>
      <c r="H18743" s="42">
        <f t="shared" si="1"/>
        <v>3345</v>
      </c>
    </row>
    <row r="18744" ht="22.5" customHeight="1">
      <c r="B18744" s="42" t="str">
        <f>IFERROR(__xludf.DUMMYFUNCTION("""COMPUTED_VALUE"""),"")</f>
        <v/>
      </c>
      <c r="C18744" s="42" t="str">
        <f>IFERROR(__xludf.DUMMYFUNCTION("""COMPUTED_VALUE"""),"")</f>
        <v/>
      </c>
      <c r="D18744" s="42"/>
      <c r="E18744" s="42"/>
      <c r="F18744" s="48" t="str">
        <f>IFERROR(__xludf.DUMMYFUNCTION("""COMPUTED_VALUE"""),"")</f>
        <v/>
      </c>
      <c r="G18744" s="42" t="str">
        <f>IFERROR(__xludf.DUMMYFUNCTION("""COMPUTED_VALUE"""),"")</f>
        <v/>
      </c>
      <c r="H18744" s="42">
        <f t="shared" si="1"/>
        <v>3345</v>
      </c>
    </row>
    <row r="18745" ht="22.5" customHeight="1">
      <c r="B18745" s="42" t="str">
        <f>IFERROR(__xludf.DUMMYFUNCTION("""COMPUTED_VALUE"""),"")</f>
        <v/>
      </c>
      <c r="C18745" s="42" t="str">
        <f>IFERROR(__xludf.DUMMYFUNCTION("""COMPUTED_VALUE"""),"")</f>
        <v/>
      </c>
      <c r="D18745" s="42"/>
      <c r="E18745" s="42"/>
      <c r="F18745" s="48" t="str">
        <f>IFERROR(__xludf.DUMMYFUNCTION("""COMPUTED_VALUE"""),"")</f>
        <v/>
      </c>
      <c r="G18745" s="42" t="str">
        <f>IFERROR(__xludf.DUMMYFUNCTION("""COMPUTED_VALUE"""),"")</f>
        <v/>
      </c>
      <c r="H18745" s="42">
        <f t="shared" si="1"/>
        <v>3345</v>
      </c>
    </row>
    <row r="18746" ht="22.5" customHeight="1">
      <c r="B18746" s="42" t="str">
        <f>IFERROR(__xludf.DUMMYFUNCTION("""COMPUTED_VALUE"""),"")</f>
        <v/>
      </c>
      <c r="C18746" s="42" t="str">
        <f>IFERROR(__xludf.DUMMYFUNCTION("""COMPUTED_VALUE"""),"")</f>
        <v/>
      </c>
      <c r="D18746" s="42"/>
      <c r="E18746" s="42"/>
      <c r="F18746" s="48" t="str">
        <f>IFERROR(__xludf.DUMMYFUNCTION("""COMPUTED_VALUE"""),"")</f>
        <v/>
      </c>
      <c r="G18746" s="42" t="str">
        <f>IFERROR(__xludf.DUMMYFUNCTION("""COMPUTED_VALUE"""),"")</f>
        <v/>
      </c>
      <c r="H18746" s="42">
        <f t="shared" si="1"/>
        <v>3345</v>
      </c>
    </row>
    <row r="18747" ht="22.5" customHeight="1">
      <c r="B18747" s="42" t="str">
        <f>IFERROR(__xludf.DUMMYFUNCTION("""COMPUTED_VALUE"""),"")</f>
        <v/>
      </c>
      <c r="C18747" s="42" t="str">
        <f>IFERROR(__xludf.DUMMYFUNCTION("""COMPUTED_VALUE"""),"")</f>
        <v/>
      </c>
      <c r="D18747" s="42"/>
      <c r="E18747" s="42"/>
      <c r="F18747" s="48" t="str">
        <f>IFERROR(__xludf.DUMMYFUNCTION("""COMPUTED_VALUE"""),"")</f>
        <v/>
      </c>
      <c r="G18747" s="42" t="str">
        <f>IFERROR(__xludf.DUMMYFUNCTION("""COMPUTED_VALUE"""),"")</f>
        <v/>
      </c>
      <c r="H18747" s="42">
        <f t="shared" si="1"/>
        <v>3345</v>
      </c>
    </row>
    <row r="18748" ht="22.5" customHeight="1">
      <c r="B18748" s="42" t="str">
        <f>IFERROR(__xludf.DUMMYFUNCTION("""COMPUTED_VALUE"""),"")</f>
        <v/>
      </c>
      <c r="C18748" s="42" t="str">
        <f>IFERROR(__xludf.DUMMYFUNCTION("""COMPUTED_VALUE"""),"")</f>
        <v/>
      </c>
      <c r="D18748" s="42"/>
      <c r="E18748" s="42"/>
      <c r="F18748" s="48" t="str">
        <f>IFERROR(__xludf.DUMMYFUNCTION("""COMPUTED_VALUE"""),"")</f>
        <v/>
      </c>
      <c r="G18748" s="42" t="str">
        <f>IFERROR(__xludf.DUMMYFUNCTION("""COMPUTED_VALUE"""),"")</f>
        <v/>
      </c>
      <c r="H18748" s="42">
        <f t="shared" si="1"/>
        <v>3345</v>
      </c>
    </row>
    <row r="18749" ht="22.5" customHeight="1">
      <c r="B18749" s="42" t="str">
        <f>IFERROR(__xludf.DUMMYFUNCTION("""COMPUTED_VALUE"""),"")</f>
        <v/>
      </c>
      <c r="C18749" s="42" t="str">
        <f>IFERROR(__xludf.DUMMYFUNCTION("""COMPUTED_VALUE"""),"")</f>
        <v/>
      </c>
      <c r="D18749" s="42"/>
      <c r="E18749" s="42"/>
      <c r="F18749" s="48" t="str">
        <f>IFERROR(__xludf.DUMMYFUNCTION("""COMPUTED_VALUE"""),"")</f>
        <v/>
      </c>
      <c r="G18749" s="42" t="str">
        <f>IFERROR(__xludf.DUMMYFUNCTION("""COMPUTED_VALUE"""),"")</f>
        <v/>
      </c>
      <c r="H18749" s="42">
        <f t="shared" si="1"/>
        <v>3345</v>
      </c>
    </row>
    <row r="18750" ht="22.5" customHeight="1">
      <c r="B18750" s="42" t="str">
        <f>IFERROR(__xludf.DUMMYFUNCTION("""COMPUTED_VALUE"""),"")</f>
        <v/>
      </c>
      <c r="C18750" s="42" t="str">
        <f>IFERROR(__xludf.DUMMYFUNCTION("""COMPUTED_VALUE"""),"")</f>
        <v/>
      </c>
      <c r="D18750" s="42"/>
      <c r="E18750" s="42"/>
      <c r="F18750" s="48" t="str">
        <f>IFERROR(__xludf.DUMMYFUNCTION("""COMPUTED_VALUE"""),"")</f>
        <v/>
      </c>
      <c r="G18750" s="42" t="str">
        <f>IFERROR(__xludf.DUMMYFUNCTION("""COMPUTED_VALUE"""),"")</f>
        <v/>
      </c>
      <c r="H18750" s="42">
        <f t="shared" si="1"/>
        <v>3345</v>
      </c>
    </row>
    <row r="18751" ht="22.5" customHeight="1">
      <c r="B18751" s="42" t="str">
        <f>IFERROR(__xludf.DUMMYFUNCTION("""COMPUTED_VALUE"""),"")</f>
        <v/>
      </c>
      <c r="C18751" s="42" t="str">
        <f>IFERROR(__xludf.DUMMYFUNCTION("""COMPUTED_VALUE"""),"")</f>
        <v/>
      </c>
      <c r="D18751" s="42"/>
      <c r="E18751" s="42"/>
      <c r="F18751" s="48" t="str">
        <f>IFERROR(__xludf.DUMMYFUNCTION("""COMPUTED_VALUE"""),"")</f>
        <v/>
      </c>
      <c r="G18751" s="42" t="str">
        <f>IFERROR(__xludf.DUMMYFUNCTION("""COMPUTED_VALUE"""),"")</f>
        <v/>
      </c>
      <c r="H18751" s="42">
        <f t="shared" si="1"/>
        <v>3345</v>
      </c>
    </row>
    <row r="18752" ht="22.5" customHeight="1">
      <c r="B18752" s="42" t="str">
        <f>IFERROR(__xludf.DUMMYFUNCTION("""COMPUTED_VALUE"""),"")</f>
        <v/>
      </c>
      <c r="C18752" s="42" t="str">
        <f>IFERROR(__xludf.DUMMYFUNCTION("""COMPUTED_VALUE"""),"")</f>
        <v/>
      </c>
      <c r="D18752" s="42"/>
      <c r="E18752" s="42"/>
      <c r="F18752" s="48" t="str">
        <f>IFERROR(__xludf.DUMMYFUNCTION("""COMPUTED_VALUE"""),"")</f>
        <v/>
      </c>
      <c r="G18752" s="42" t="str">
        <f>IFERROR(__xludf.DUMMYFUNCTION("""COMPUTED_VALUE"""),"")</f>
        <v/>
      </c>
      <c r="H18752" s="42">
        <f t="shared" si="1"/>
        <v>3345</v>
      </c>
    </row>
    <row r="18753" ht="22.5" customHeight="1">
      <c r="B18753" s="42" t="str">
        <f>IFERROR(__xludf.DUMMYFUNCTION("""COMPUTED_VALUE"""),"")</f>
        <v/>
      </c>
      <c r="C18753" s="42" t="str">
        <f>IFERROR(__xludf.DUMMYFUNCTION("""COMPUTED_VALUE"""),"")</f>
        <v/>
      </c>
      <c r="D18753" s="42"/>
      <c r="E18753" s="42"/>
      <c r="F18753" s="48" t="str">
        <f>IFERROR(__xludf.DUMMYFUNCTION("""COMPUTED_VALUE"""),"")</f>
        <v/>
      </c>
      <c r="G18753" s="42" t="str">
        <f>IFERROR(__xludf.DUMMYFUNCTION("""COMPUTED_VALUE"""),"")</f>
        <v/>
      </c>
      <c r="H18753" s="42">
        <f t="shared" si="1"/>
        <v>3345</v>
      </c>
    </row>
    <row r="18754" ht="22.5" customHeight="1">
      <c r="B18754" s="42" t="str">
        <f>IFERROR(__xludf.DUMMYFUNCTION("""COMPUTED_VALUE"""),"")</f>
        <v/>
      </c>
      <c r="C18754" s="42" t="str">
        <f>IFERROR(__xludf.DUMMYFUNCTION("""COMPUTED_VALUE"""),"")</f>
        <v/>
      </c>
      <c r="D18754" s="42"/>
      <c r="E18754" s="42"/>
      <c r="F18754" s="48" t="str">
        <f>IFERROR(__xludf.DUMMYFUNCTION("""COMPUTED_VALUE"""),"")</f>
        <v/>
      </c>
      <c r="G18754" s="42" t="str">
        <f>IFERROR(__xludf.DUMMYFUNCTION("""COMPUTED_VALUE"""),"")</f>
        <v/>
      </c>
      <c r="H18754" s="42">
        <f t="shared" si="1"/>
        <v>3345</v>
      </c>
    </row>
    <row r="18755" ht="22.5" customHeight="1">
      <c r="B18755" s="42" t="str">
        <f>IFERROR(__xludf.DUMMYFUNCTION("""COMPUTED_VALUE"""),"")</f>
        <v/>
      </c>
      <c r="C18755" s="42" t="str">
        <f>IFERROR(__xludf.DUMMYFUNCTION("""COMPUTED_VALUE"""),"")</f>
        <v/>
      </c>
      <c r="D18755" s="42"/>
      <c r="E18755" s="42"/>
      <c r="F18755" s="48" t="str">
        <f>IFERROR(__xludf.DUMMYFUNCTION("""COMPUTED_VALUE"""),"")</f>
        <v/>
      </c>
      <c r="G18755" s="42" t="str">
        <f>IFERROR(__xludf.DUMMYFUNCTION("""COMPUTED_VALUE"""),"")</f>
        <v/>
      </c>
      <c r="H18755" s="42">
        <f t="shared" si="1"/>
        <v>3345</v>
      </c>
    </row>
    <row r="18756" ht="22.5" customHeight="1">
      <c r="B18756" s="42" t="str">
        <f>IFERROR(__xludf.DUMMYFUNCTION("""COMPUTED_VALUE"""),"")</f>
        <v/>
      </c>
      <c r="C18756" s="42" t="str">
        <f>IFERROR(__xludf.DUMMYFUNCTION("""COMPUTED_VALUE"""),"")</f>
        <v/>
      </c>
      <c r="D18756" s="42"/>
      <c r="E18756" s="42"/>
      <c r="F18756" s="48" t="str">
        <f>IFERROR(__xludf.DUMMYFUNCTION("""COMPUTED_VALUE"""),"")</f>
        <v/>
      </c>
      <c r="G18756" s="42" t="str">
        <f>IFERROR(__xludf.DUMMYFUNCTION("""COMPUTED_VALUE"""),"")</f>
        <v/>
      </c>
      <c r="H18756" s="42">
        <f t="shared" si="1"/>
        <v>3345</v>
      </c>
    </row>
    <row r="18757" ht="22.5" customHeight="1">
      <c r="B18757" s="42" t="str">
        <f>IFERROR(__xludf.DUMMYFUNCTION("""COMPUTED_VALUE"""),"")</f>
        <v/>
      </c>
      <c r="C18757" s="42" t="str">
        <f>IFERROR(__xludf.DUMMYFUNCTION("""COMPUTED_VALUE"""),"")</f>
        <v/>
      </c>
      <c r="D18757" s="42"/>
      <c r="E18757" s="42"/>
      <c r="F18757" s="48" t="str">
        <f>IFERROR(__xludf.DUMMYFUNCTION("""COMPUTED_VALUE"""),"")</f>
        <v/>
      </c>
      <c r="G18757" s="42" t="str">
        <f>IFERROR(__xludf.DUMMYFUNCTION("""COMPUTED_VALUE"""),"")</f>
        <v/>
      </c>
      <c r="H18757" s="42">
        <f t="shared" si="1"/>
        <v>3345</v>
      </c>
    </row>
    <row r="18758" ht="22.5" customHeight="1">
      <c r="B18758" s="42" t="str">
        <f>IFERROR(__xludf.DUMMYFUNCTION("""COMPUTED_VALUE"""),"")</f>
        <v/>
      </c>
      <c r="C18758" s="42" t="str">
        <f>IFERROR(__xludf.DUMMYFUNCTION("""COMPUTED_VALUE"""),"")</f>
        <v/>
      </c>
      <c r="D18758" s="42"/>
      <c r="E18758" s="42"/>
      <c r="F18758" s="48" t="str">
        <f>IFERROR(__xludf.DUMMYFUNCTION("""COMPUTED_VALUE"""),"")</f>
        <v/>
      </c>
      <c r="G18758" s="42" t="str">
        <f>IFERROR(__xludf.DUMMYFUNCTION("""COMPUTED_VALUE"""),"")</f>
        <v/>
      </c>
      <c r="H18758" s="42">
        <f t="shared" si="1"/>
        <v>3345</v>
      </c>
    </row>
    <row r="18759" ht="22.5" customHeight="1">
      <c r="B18759" s="42" t="str">
        <f>IFERROR(__xludf.DUMMYFUNCTION("""COMPUTED_VALUE"""),"")</f>
        <v/>
      </c>
      <c r="C18759" s="42" t="str">
        <f>IFERROR(__xludf.DUMMYFUNCTION("""COMPUTED_VALUE"""),"")</f>
        <v/>
      </c>
      <c r="D18759" s="42"/>
      <c r="E18759" s="42"/>
      <c r="F18759" s="48" t="str">
        <f>IFERROR(__xludf.DUMMYFUNCTION("""COMPUTED_VALUE"""),"")</f>
        <v/>
      </c>
      <c r="G18759" s="42" t="str">
        <f>IFERROR(__xludf.DUMMYFUNCTION("""COMPUTED_VALUE"""),"")</f>
        <v/>
      </c>
      <c r="H18759" s="42">
        <f t="shared" si="1"/>
        <v>3345</v>
      </c>
    </row>
    <row r="18760" ht="22.5" customHeight="1">
      <c r="B18760" s="42" t="str">
        <f>IFERROR(__xludf.DUMMYFUNCTION("""COMPUTED_VALUE"""),"")</f>
        <v/>
      </c>
      <c r="C18760" s="42" t="str">
        <f>IFERROR(__xludf.DUMMYFUNCTION("""COMPUTED_VALUE"""),"")</f>
        <v/>
      </c>
      <c r="D18760" s="42"/>
      <c r="E18760" s="42"/>
      <c r="F18760" s="48" t="str">
        <f>IFERROR(__xludf.DUMMYFUNCTION("""COMPUTED_VALUE"""),"")</f>
        <v/>
      </c>
      <c r="G18760" s="42" t="str">
        <f>IFERROR(__xludf.DUMMYFUNCTION("""COMPUTED_VALUE"""),"")</f>
        <v/>
      </c>
      <c r="H18760" s="42">
        <f t="shared" si="1"/>
        <v>3345</v>
      </c>
    </row>
    <row r="18761" ht="22.5" customHeight="1">
      <c r="B18761" s="42" t="str">
        <f>IFERROR(__xludf.DUMMYFUNCTION("""COMPUTED_VALUE"""),"")</f>
        <v/>
      </c>
      <c r="C18761" s="42" t="str">
        <f>IFERROR(__xludf.DUMMYFUNCTION("""COMPUTED_VALUE"""),"")</f>
        <v/>
      </c>
      <c r="D18761" s="42"/>
      <c r="E18761" s="42"/>
      <c r="F18761" s="48" t="str">
        <f>IFERROR(__xludf.DUMMYFUNCTION("""COMPUTED_VALUE"""),"")</f>
        <v/>
      </c>
      <c r="G18761" s="42" t="str">
        <f>IFERROR(__xludf.DUMMYFUNCTION("""COMPUTED_VALUE"""),"")</f>
        <v/>
      </c>
      <c r="H18761" s="42">
        <f t="shared" si="1"/>
        <v>3345</v>
      </c>
    </row>
    <row r="18762" ht="22.5" customHeight="1">
      <c r="B18762" s="42" t="str">
        <f>IFERROR(__xludf.DUMMYFUNCTION("""COMPUTED_VALUE"""),"")</f>
        <v/>
      </c>
      <c r="C18762" s="42" t="str">
        <f>IFERROR(__xludf.DUMMYFUNCTION("""COMPUTED_VALUE"""),"")</f>
        <v/>
      </c>
      <c r="D18762" s="42"/>
      <c r="E18762" s="42"/>
      <c r="F18762" s="48" t="str">
        <f>IFERROR(__xludf.DUMMYFUNCTION("""COMPUTED_VALUE"""),"")</f>
        <v/>
      </c>
      <c r="G18762" s="42" t="str">
        <f>IFERROR(__xludf.DUMMYFUNCTION("""COMPUTED_VALUE"""),"")</f>
        <v/>
      </c>
      <c r="H18762" s="42">
        <f t="shared" si="1"/>
        <v>3345</v>
      </c>
    </row>
    <row r="18763" ht="22.5" customHeight="1">
      <c r="B18763" s="42" t="str">
        <f>IFERROR(__xludf.DUMMYFUNCTION("""COMPUTED_VALUE"""),"")</f>
        <v/>
      </c>
      <c r="C18763" s="42" t="str">
        <f>IFERROR(__xludf.DUMMYFUNCTION("""COMPUTED_VALUE"""),"")</f>
        <v/>
      </c>
      <c r="D18763" s="42"/>
      <c r="E18763" s="42"/>
      <c r="F18763" s="48" t="str">
        <f>IFERROR(__xludf.DUMMYFUNCTION("""COMPUTED_VALUE"""),"")</f>
        <v/>
      </c>
      <c r="G18763" s="42" t="str">
        <f>IFERROR(__xludf.DUMMYFUNCTION("""COMPUTED_VALUE"""),"")</f>
        <v/>
      </c>
      <c r="H18763" s="42">
        <f t="shared" si="1"/>
        <v>3345</v>
      </c>
    </row>
    <row r="18764" ht="22.5" customHeight="1">
      <c r="B18764" s="42" t="str">
        <f>IFERROR(__xludf.DUMMYFUNCTION("""COMPUTED_VALUE"""),"")</f>
        <v/>
      </c>
      <c r="C18764" s="42" t="str">
        <f>IFERROR(__xludf.DUMMYFUNCTION("""COMPUTED_VALUE"""),"")</f>
        <v/>
      </c>
      <c r="D18764" s="42"/>
      <c r="E18764" s="42"/>
      <c r="F18764" s="48" t="str">
        <f>IFERROR(__xludf.DUMMYFUNCTION("""COMPUTED_VALUE"""),"")</f>
        <v/>
      </c>
      <c r="G18764" s="42" t="str">
        <f>IFERROR(__xludf.DUMMYFUNCTION("""COMPUTED_VALUE"""),"")</f>
        <v/>
      </c>
      <c r="H18764" s="42">
        <f t="shared" si="1"/>
        <v>3345</v>
      </c>
    </row>
    <row r="18765" ht="22.5" customHeight="1">
      <c r="B18765" s="42" t="str">
        <f>IFERROR(__xludf.DUMMYFUNCTION("""COMPUTED_VALUE"""),"")</f>
        <v/>
      </c>
      <c r="C18765" s="42" t="str">
        <f>IFERROR(__xludf.DUMMYFUNCTION("""COMPUTED_VALUE"""),"")</f>
        <v/>
      </c>
      <c r="D18765" s="42"/>
      <c r="E18765" s="42"/>
      <c r="F18765" s="48" t="str">
        <f>IFERROR(__xludf.DUMMYFUNCTION("""COMPUTED_VALUE"""),"")</f>
        <v/>
      </c>
      <c r="G18765" s="42" t="str">
        <f>IFERROR(__xludf.DUMMYFUNCTION("""COMPUTED_VALUE"""),"")</f>
        <v/>
      </c>
      <c r="H18765" s="42">
        <f t="shared" si="1"/>
        <v>3345</v>
      </c>
    </row>
    <row r="18766" ht="22.5" customHeight="1">
      <c r="B18766" s="42" t="str">
        <f>IFERROR(__xludf.DUMMYFUNCTION("""COMPUTED_VALUE"""),"")</f>
        <v/>
      </c>
      <c r="C18766" s="42" t="str">
        <f>IFERROR(__xludf.DUMMYFUNCTION("""COMPUTED_VALUE"""),"")</f>
        <v/>
      </c>
      <c r="D18766" s="42"/>
      <c r="E18766" s="42"/>
      <c r="F18766" s="48" t="str">
        <f>IFERROR(__xludf.DUMMYFUNCTION("""COMPUTED_VALUE"""),"")</f>
        <v/>
      </c>
      <c r="G18766" s="42" t="str">
        <f>IFERROR(__xludf.DUMMYFUNCTION("""COMPUTED_VALUE"""),"")</f>
        <v/>
      </c>
      <c r="H18766" s="42">
        <f t="shared" si="1"/>
        <v>3345</v>
      </c>
    </row>
    <row r="18767" ht="22.5" customHeight="1">
      <c r="B18767" s="42" t="str">
        <f>IFERROR(__xludf.DUMMYFUNCTION("""COMPUTED_VALUE"""),"")</f>
        <v/>
      </c>
      <c r="C18767" s="42" t="str">
        <f>IFERROR(__xludf.DUMMYFUNCTION("""COMPUTED_VALUE"""),"")</f>
        <v/>
      </c>
      <c r="D18767" s="42"/>
      <c r="E18767" s="42"/>
      <c r="F18767" s="48" t="str">
        <f>IFERROR(__xludf.DUMMYFUNCTION("""COMPUTED_VALUE"""),"")</f>
        <v/>
      </c>
      <c r="G18767" s="42" t="str">
        <f>IFERROR(__xludf.DUMMYFUNCTION("""COMPUTED_VALUE"""),"")</f>
        <v/>
      </c>
      <c r="H18767" s="42">
        <f t="shared" si="1"/>
        <v>3345</v>
      </c>
    </row>
    <row r="18768" ht="22.5" customHeight="1">
      <c r="B18768" s="42" t="str">
        <f>IFERROR(__xludf.DUMMYFUNCTION("""COMPUTED_VALUE"""),"")</f>
        <v/>
      </c>
      <c r="C18768" s="42" t="str">
        <f>IFERROR(__xludf.DUMMYFUNCTION("""COMPUTED_VALUE"""),"")</f>
        <v/>
      </c>
      <c r="D18768" s="42"/>
      <c r="E18768" s="42"/>
      <c r="F18768" s="48" t="str">
        <f>IFERROR(__xludf.DUMMYFUNCTION("""COMPUTED_VALUE"""),"")</f>
        <v/>
      </c>
      <c r="G18768" s="42" t="str">
        <f>IFERROR(__xludf.DUMMYFUNCTION("""COMPUTED_VALUE"""),"")</f>
        <v/>
      </c>
      <c r="H18768" s="42">
        <f t="shared" si="1"/>
        <v>3345</v>
      </c>
    </row>
    <row r="18769" ht="22.5" customHeight="1">
      <c r="B18769" s="42" t="str">
        <f>IFERROR(__xludf.DUMMYFUNCTION("""COMPUTED_VALUE"""),"")</f>
        <v/>
      </c>
      <c r="C18769" s="42" t="str">
        <f>IFERROR(__xludf.DUMMYFUNCTION("""COMPUTED_VALUE"""),"")</f>
        <v/>
      </c>
      <c r="D18769" s="42"/>
      <c r="E18769" s="42"/>
      <c r="F18769" s="48" t="str">
        <f>IFERROR(__xludf.DUMMYFUNCTION("""COMPUTED_VALUE"""),"")</f>
        <v/>
      </c>
      <c r="G18769" s="42" t="str">
        <f>IFERROR(__xludf.DUMMYFUNCTION("""COMPUTED_VALUE"""),"")</f>
        <v/>
      </c>
      <c r="H18769" s="42">
        <f t="shared" si="1"/>
        <v>3345</v>
      </c>
    </row>
    <row r="18770" ht="22.5" customHeight="1">
      <c r="B18770" s="42" t="str">
        <f>IFERROR(__xludf.DUMMYFUNCTION("""COMPUTED_VALUE"""),"")</f>
        <v/>
      </c>
      <c r="C18770" s="42" t="str">
        <f>IFERROR(__xludf.DUMMYFUNCTION("""COMPUTED_VALUE"""),"")</f>
        <v/>
      </c>
      <c r="D18770" s="42"/>
      <c r="E18770" s="42"/>
      <c r="F18770" s="48" t="str">
        <f>IFERROR(__xludf.DUMMYFUNCTION("""COMPUTED_VALUE"""),"")</f>
        <v/>
      </c>
      <c r="G18770" s="42" t="str">
        <f>IFERROR(__xludf.DUMMYFUNCTION("""COMPUTED_VALUE"""),"")</f>
        <v/>
      </c>
      <c r="H18770" s="42">
        <f t="shared" si="1"/>
        <v>3345</v>
      </c>
    </row>
    <row r="18771" ht="22.5" customHeight="1">
      <c r="B18771" s="42" t="str">
        <f>IFERROR(__xludf.DUMMYFUNCTION("""COMPUTED_VALUE"""),"")</f>
        <v/>
      </c>
      <c r="C18771" s="42" t="str">
        <f>IFERROR(__xludf.DUMMYFUNCTION("""COMPUTED_VALUE"""),"")</f>
        <v/>
      </c>
      <c r="D18771" s="42"/>
      <c r="E18771" s="42"/>
      <c r="F18771" s="48" t="str">
        <f>IFERROR(__xludf.DUMMYFUNCTION("""COMPUTED_VALUE"""),"")</f>
        <v/>
      </c>
      <c r="G18771" s="42" t="str">
        <f>IFERROR(__xludf.DUMMYFUNCTION("""COMPUTED_VALUE"""),"")</f>
        <v/>
      </c>
      <c r="H18771" s="42">
        <f t="shared" si="1"/>
        <v>3345</v>
      </c>
    </row>
    <row r="18772" ht="22.5" customHeight="1">
      <c r="B18772" s="42" t="str">
        <f>IFERROR(__xludf.DUMMYFUNCTION("""COMPUTED_VALUE"""),"")</f>
        <v/>
      </c>
      <c r="C18772" s="42" t="str">
        <f>IFERROR(__xludf.DUMMYFUNCTION("""COMPUTED_VALUE"""),"")</f>
        <v/>
      </c>
      <c r="D18772" s="42"/>
      <c r="E18772" s="42"/>
      <c r="F18772" s="48" t="str">
        <f>IFERROR(__xludf.DUMMYFUNCTION("""COMPUTED_VALUE"""),"")</f>
        <v/>
      </c>
      <c r="G18772" s="42" t="str">
        <f>IFERROR(__xludf.DUMMYFUNCTION("""COMPUTED_VALUE"""),"")</f>
        <v/>
      </c>
      <c r="H18772" s="42">
        <f t="shared" si="1"/>
        <v>3345</v>
      </c>
    </row>
    <row r="18773" ht="22.5" customHeight="1">
      <c r="B18773" s="42" t="str">
        <f>IFERROR(__xludf.DUMMYFUNCTION("""COMPUTED_VALUE"""),"")</f>
        <v/>
      </c>
      <c r="C18773" s="42" t="str">
        <f>IFERROR(__xludf.DUMMYFUNCTION("""COMPUTED_VALUE"""),"")</f>
        <v/>
      </c>
      <c r="D18773" s="42"/>
      <c r="E18773" s="42"/>
      <c r="F18773" s="48" t="str">
        <f>IFERROR(__xludf.DUMMYFUNCTION("""COMPUTED_VALUE"""),"")</f>
        <v/>
      </c>
      <c r="G18773" s="42" t="str">
        <f>IFERROR(__xludf.DUMMYFUNCTION("""COMPUTED_VALUE"""),"")</f>
        <v/>
      </c>
      <c r="H18773" s="42">
        <f t="shared" si="1"/>
        <v>3345</v>
      </c>
    </row>
    <row r="18774" ht="22.5" customHeight="1">
      <c r="B18774" s="42" t="str">
        <f>IFERROR(__xludf.DUMMYFUNCTION("""COMPUTED_VALUE"""),"")</f>
        <v/>
      </c>
      <c r="C18774" s="42" t="str">
        <f>IFERROR(__xludf.DUMMYFUNCTION("""COMPUTED_VALUE"""),"")</f>
        <v/>
      </c>
      <c r="D18774" s="42"/>
      <c r="E18774" s="42"/>
      <c r="F18774" s="48" t="str">
        <f>IFERROR(__xludf.DUMMYFUNCTION("""COMPUTED_VALUE"""),"")</f>
        <v/>
      </c>
      <c r="G18774" s="42" t="str">
        <f>IFERROR(__xludf.DUMMYFUNCTION("""COMPUTED_VALUE"""),"")</f>
        <v/>
      </c>
      <c r="H18774" s="42">
        <f t="shared" si="1"/>
        <v>3345</v>
      </c>
    </row>
    <row r="18775" ht="22.5" customHeight="1">
      <c r="B18775" s="42" t="str">
        <f>IFERROR(__xludf.DUMMYFUNCTION("""COMPUTED_VALUE"""),"")</f>
        <v/>
      </c>
      <c r="C18775" s="42" t="str">
        <f>IFERROR(__xludf.DUMMYFUNCTION("""COMPUTED_VALUE"""),"")</f>
        <v/>
      </c>
      <c r="D18775" s="42"/>
      <c r="E18775" s="42"/>
      <c r="F18775" s="48" t="str">
        <f>IFERROR(__xludf.DUMMYFUNCTION("""COMPUTED_VALUE"""),"")</f>
        <v/>
      </c>
      <c r="G18775" s="42" t="str">
        <f>IFERROR(__xludf.DUMMYFUNCTION("""COMPUTED_VALUE"""),"")</f>
        <v/>
      </c>
      <c r="H18775" s="42">
        <f t="shared" si="1"/>
        <v>3345</v>
      </c>
    </row>
    <row r="18776" ht="22.5" customHeight="1">
      <c r="B18776" s="42" t="str">
        <f>IFERROR(__xludf.DUMMYFUNCTION("""COMPUTED_VALUE"""),"")</f>
        <v/>
      </c>
      <c r="C18776" s="42" t="str">
        <f>IFERROR(__xludf.DUMMYFUNCTION("""COMPUTED_VALUE"""),"")</f>
        <v/>
      </c>
      <c r="D18776" s="42"/>
      <c r="E18776" s="42"/>
      <c r="F18776" s="48" t="str">
        <f>IFERROR(__xludf.DUMMYFUNCTION("""COMPUTED_VALUE"""),"")</f>
        <v/>
      </c>
      <c r="G18776" s="42" t="str">
        <f>IFERROR(__xludf.DUMMYFUNCTION("""COMPUTED_VALUE"""),"")</f>
        <v/>
      </c>
      <c r="H18776" s="42">
        <f t="shared" si="1"/>
        <v>3345</v>
      </c>
    </row>
    <row r="18777" ht="22.5" customHeight="1">
      <c r="B18777" s="42" t="str">
        <f>IFERROR(__xludf.DUMMYFUNCTION("""COMPUTED_VALUE"""),"")</f>
        <v/>
      </c>
      <c r="C18777" s="42" t="str">
        <f>IFERROR(__xludf.DUMMYFUNCTION("""COMPUTED_VALUE"""),"")</f>
        <v/>
      </c>
      <c r="D18777" s="42"/>
      <c r="E18777" s="42"/>
      <c r="F18777" s="48" t="str">
        <f>IFERROR(__xludf.DUMMYFUNCTION("""COMPUTED_VALUE"""),"")</f>
        <v/>
      </c>
      <c r="G18777" s="42" t="str">
        <f>IFERROR(__xludf.DUMMYFUNCTION("""COMPUTED_VALUE"""),"")</f>
        <v/>
      </c>
      <c r="H18777" s="42">
        <f t="shared" si="1"/>
        <v>3345</v>
      </c>
    </row>
    <row r="18778" ht="22.5" customHeight="1">
      <c r="B18778" s="42" t="str">
        <f>IFERROR(__xludf.DUMMYFUNCTION("""COMPUTED_VALUE"""),"")</f>
        <v/>
      </c>
      <c r="C18778" s="42" t="str">
        <f>IFERROR(__xludf.DUMMYFUNCTION("""COMPUTED_VALUE"""),"")</f>
        <v/>
      </c>
      <c r="D18778" s="42"/>
      <c r="E18778" s="42"/>
      <c r="F18778" s="48" t="str">
        <f>IFERROR(__xludf.DUMMYFUNCTION("""COMPUTED_VALUE"""),"")</f>
        <v/>
      </c>
      <c r="G18778" s="42" t="str">
        <f>IFERROR(__xludf.DUMMYFUNCTION("""COMPUTED_VALUE"""),"")</f>
        <v/>
      </c>
      <c r="H18778" s="42">
        <f t="shared" si="1"/>
        <v>3345</v>
      </c>
    </row>
    <row r="18779" ht="22.5" customHeight="1">
      <c r="B18779" s="42" t="str">
        <f>IFERROR(__xludf.DUMMYFUNCTION("""COMPUTED_VALUE"""),"")</f>
        <v/>
      </c>
      <c r="C18779" s="42" t="str">
        <f>IFERROR(__xludf.DUMMYFUNCTION("""COMPUTED_VALUE"""),"")</f>
        <v/>
      </c>
      <c r="D18779" s="42"/>
      <c r="E18779" s="42"/>
      <c r="F18779" s="48" t="str">
        <f>IFERROR(__xludf.DUMMYFUNCTION("""COMPUTED_VALUE"""),"")</f>
        <v/>
      </c>
      <c r="G18779" s="42" t="str">
        <f>IFERROR(__xludf.DUMMYFUNCTION("""COMPUTED_VALUE"""),"")</f>
        <v/>
      </c>
      <c r="H18779" s="42">
        <f t="shared" si="1"/>
        <v>3345</v>
      </c>
    </row>
    <row r="18780" ht="22.5" customHeight="1">
      <c r="B18780" s="42" t="str">
        <f>IFERROR(__xludf.DUMMYFUNCTION("""COMPUTED_VALUE"""),"")</f>
        <v/>
      </c>
      <c r="C18780" s="42" t="str">
        <f>IFERROR(__xludf.DUMMYFUNCTION("""COMPUTED_VALUE"""),"")</f>
        <v/>
      </c>
      <c r="D18780" s="42"/>
      <c r="E18780" s="42"/>
      <c r="F18780" s="48" t="str">
        <f>IFERROR(__xludf.DUMMYFUNCTION("""COMPUTED_VALUE"""),"")</f>
        <v/>
      </c>
      <c r="G18780" s="42" t="str">
        <f>IFERROR(__xludf.DUMMYFUNCTION("""COMPUTED_VALUE"""),"")</f>
        <v/>
      </c>
      <c r="H18780" s="42">
        <f t="shared" si="1"/>
        <v>3345</v>
      </c>
    </row>
    <row r="18781" ht="22.5" customHeight="1">
      <c r="B18781" s="42" t="str">
        <f>IFERROR(__xludf.DUMMYFUNCTION("""COMPUTED_VALUE"""),"")</f>
        <v/>
      </c>
      <c r="C18781" s="42" t="str">
        <f>IFERROR(__xludf.DUMMYFUNCTION("""COMPUTED_VALUE"""),"")</f>
        <v/>
      </c>
      <c r="D18781" s="42"/>
      <c r="E18781" s="42"/>
      <c r="F18781" s="48" t="str">
        <f>IFERROR(__xludf.DUMMYFUNCTION("""COMPUTED_VALUE"""),"")</f>
        <v/>
      </c>
      <c r="G18781" s="42" t="str">
        <f>IFERROR(__xludf.DUMMYFUNCTION("""COMPUTED_VALUE"""),"")</f>
        <v/>
      </c>
      <c r="H18781" s="42">
        <f t="shared" si="1"/>
        <v>3345</v>
      </c>
    </row>
    <row r="18782" ht="22.5" customHeight="1">
      <c r="B18782" s="42" t="str">
        <f>IFERROR(__xludf.DUMMYFUNCTION("""COMPUTED_VALUE"""),"")</f>
        <v/>
      </c>
      <c r="C18782" s="42" t="str">
        <f>IFERROR(__xludf.DUMMYFUNCTION("""COMPUTED_VALUE"""),"")</f>
        <v/>
      </c>
      <c r="D18782" s="42"/>
      <c r="E18782" s="42"/>
      <c r="F18782" s="48" t="str">
        <f>IFERROR(__xludf.DUMMYFUNCTION("""COMPUTED_VALUE"""),"")</f>
        <v/>
      </c>
      <c r="G18782" s="42" t="str">
        <f>IFERROR(__xludf.DUMMYFUNCTION("""COMPUTED_VALUE"""),"")</f>
        <v/>
      </c>
      <c r="H18782" s="42">
        <f t="shared" si="1"/>
        <v>3345</v>
      </c>
    </row>
    <row r="18783" ht="22.5" customHeight="1">
      <c r="B18783" s="42" t="str">
        <f>IFERROR(__xludf.DUMMYFUNCTION("""COMPUTED_VALUE"""),"")</f>
        <v/>
      </c>
      <c r="C18783" s="42" t="str">
        <f>IFERROR(__xludf.DUMMYFUNCTION("""COMPUTED_VALUE"""),"")</f>
        <v/>
      </c>
      <c r="D18783" s="42"/>
      <c r="E18783" s="42"/>
      <c r="F18783" s="48" t="str">
        <f>IFERROR(__xludf.DUMMYFUNCTION("""COMPUTED_VALUE"""),"")</f>
        <v/>
      </c>
      <c r="G18783" s="42" t="str">
        <f>IFERROR(__xludf.DUMMYFUNCTION("""COMPUTED_VALUE"""),"")</f>
        <v/>
      </c>
      <c r="H18783" s="42">
        <f t="shared" si="1"/>
        <v>3345</v>
      </c>
    </row>
    <row r="18784" ht="22.5" customHeight="1">
      <c r="B18784" s="42" t="str">
        <f>IFERROR(__xludf.DUMMYFUNCTION("""COMPUTED_VALUE"""),"")</f>
        <v/>
      </c>
      <c r="C18784" s="42" t="str">
        <f>IFERROR(__xludf.DUMMYFUNCTION("""COMPUTED_VALUE"""),"")</f>
        <v/>
      </c>
      <c r="D18784" s="42"/>
      <c r="E18784" s="42"/>
      <c r="F18784" s="48" t="str">
        <f>IFERROR(__xludf.DUMMYFUNCTION("""COMPUTED_VALUE"""),"")</f>
        <v/>
      </c>
      <c r="G18784" s="42" t="str">
        <f>IFERROR(__xludf.DUMMYFUNCTION("""COMPUTED_VALUE"""),"")</f>
        <v/>
      </c>
      <c r="H18784" s="42">
        <f t="shared" si="1"/>
        <v>3345</v>
      </c>
    </row>
    <row r="18785" ht="22.5" customHeight="1">
      <c r="B18785" s="42" t="str">
        <f>IFERROR(__xludf.DUMMYFUNCTION("""COMPUTED_VALUE"""),"")</f>
        <v/>
      </c>
      <c r="C18785" s="42" t="str">
        <f>IFERROR(__xludf.DUMMYFUNCTION("""COMPUTED_VALUE"""),"")</f>
        <v/>
      </c>
      <c r="D18785" s="42"/>
      <c r="E18785" s="42"/>
      <c r="F18785" s="48" t="str">
        <f>IFERROR(__xludf.DUMMYFUNCTION("""COMPUTED_VALUE"""),"")</f>
        <v/>
      </c>
      <c r="G18785" s="42" t="str">
        <f>IFERROR(__xludf.DUMMYFUNCTION("""COMPUTED_VALUE"""),"")</f>
        <v/>
      </c>
      <c r="H18785" s="42">
        <f t="shared" si="1"/>
        <v>3345</v>
      </c>
    </row>
    <row r="18786" ht="22.5" customHeight="1">
      <c r="B18786" s="42" t="str">
        <f>IFERROR(__xludf.DUMMYFUNCTION("""COMPUTED_VALUE"""),"")</f>
        <v/>
      </c>
      <c r="C18786" s="42" t="str">
        <f>IFERROR(__xludf.DUMMYFUNCTION("""COMPUTED_VALUE"""),"")</f>
        <v/>
      </c>
      <c r="D18786" s="42"/>
      <c r="E18786" s="42"/>
      <c r="F18786" s="48" t="str">
        <f>IFERROR(__xludf.DUMMYFUNCTION("""COMPUTED_VALUE"""),"")</f>
        <v/>
      </c>
      <c r="G18786" s="42" t="str">
        <f>IFERROR(__xludf.DUMMYFUNCTION("""COMPUTED_VALUE"""),"")</f>
        <v/>
      </c>
      <c r="H18786" s="42">
        <f t="shared" si="1"/>
        <v>3345</v>
      </c>
    </row>
    <row r="18787" ht="22.5" customHeight="1">
      <c r="B18787" s="42" t="str">
        <f>IFERROR(__xludf.DUMMYFUNCTION("""COMPUTED_VALUE"""),"")</f>
        <v/>
      </c>
      <c r="C18787" s="42" t="str">
        <f>IFERROR(__xludf.DUMMYFUNCTION("""COMPUTED_VALUE"""),"")</f>
        <v/>
      </c>
      <c r="D18787" s="42"/>
      <c r="E18787" s="42"/>
      <c r="F18787" s="48" t="str">
        <f>IFERROR(__xludf.DUMMYFUNCTION("""COMPUTED_VALUE"""),"")</f>
        <v/>
      </c>
      <c r="G18787" s="42" t="str">
        <f>IFERROR(__xludf.DUMMYFUNCTION("""COMPUTED_VALUE"""),"")</f>
        <v/>
      </c>
      <c r="H18787" s="42">
        <f t="shared" si="1"/>
        <v>3345</v>
      </c>
    </row>
    <row r="18788" ht="22.5" customHeight="1">
      <c r="B18788" s="42" t="str">
        <f>IFERROR(__xludf.DUMMYFUNCTION("""COMPUTED_VALUE"""),"")</f>
        <v/>
      </c>
      <c r="C18788" s="42" t="str">
        <f>IFERROR(__xludf.DUMMYFUNCTION("""COMPUTED_VALUE"""),"")</f>
        <v/>
      </c>
      <c r="D18788" s="42"/>
      <c r="E18788" s="42"/>
      <c r="F18788" s="48" t="str">
        <f>IFERROR(__xludf.DUMMYFUNCTION("""COMPUTED_VALUE"""),"")</f>
        <v/>
      </c>
      <c r="G18788" s="42" t="str">
        <f>IFERROR(__xludf.DUMMYFUNCTION("""COMPUTED_VALUE"""),"")</f>
        <v/>
      </c>
      <c r="H18788" s="42">
        <f t="shared" si="1"/>
        <v>3345</v>
      </c>
    </row>
    <row r="18789" ht="22.5" customHeight="1">
      <c r="B18789" s="42" t="str">
        <f>IFERROR(__xludf.DUMMYFUNCTION("""COMPUTED_VALUE"""),"")</f>
        <v/>
      </c>
      <c r="C18789" s="42" t="str">
        <f>IFERROR(__xludf.DUMMYFUNCTION("""COMPUTED_VALUE"""),"")</f>
        <v/>
      </c>
      <c r="D18789" s="42"/>
      <c r="E18789" s="42"/>
      <c r="F18789" s="48" t="str">
        <f>IFERROR(__xludf.DUMMYFUNCTION("""COMPUTED_VALUE"""),"")</f>
        <v/>
      </c>
      <c r="G18789" s="42" t="str">
        <f>IFERROR(__xludf.DUMMYFUNCTION("""COMPUTED_VALUE"""),"")</f>
        <v/>
      </c>
      <c r="H18789" s="42">
        <f t="shared" si="1"/>
        <v>3345</v>
      </c>
    </row>
    <row r="18790" ht="22.5" customHeight="1">
      <c r="B18790" s="42" t="str">
        <f>IFERROR(__xludf.DUMMYFUNCTION("""COMPUTED_VALUE"""),"")</f>
        <v/>
      </c>
      <c r="C18790" s="42" t="str">
        <f>IFERROR(__xludf.DUMMYFUNCTION("""COMPUTED_VALUE"""),"")</f>
        <v/>
      </c>
      <c r="D18790" s="42"/>
      <c r="E18790" s="42"/>
      <c r="F18790" s="48" t="str">
        <f>IFERROR(__xludf.DUMMYFUNCTION("""COMPUTED_VALUE"""),"")</f>
        <v/>
      </c>
      <c r="G18790" s="42" t="str">
        <f>IFERROR(__xludf.DUMMYFUNCTION("""COMPUTED_VALUE"""),"")</f>
        <v/>
      </c>
      <c r="H18790" s="42">
        <f t="shared" si="1"/>
        <v>3345</v>
      </c>
    </row>
    <row r="18791" ht="22.5" customHeight="1">
      <c r="B18791" s="42" t="str">
        <f>IFERROR(__xludf.DUMMYFUNCTION("""COMPUTED_VALUE"""),"")</f>
        <v/>
      </c>
      <c r="C18791" s="42" t="str">
        <f>IFERROR(__xludf.DUMMYFUNCTION("""COMPUTED_VALUE"""),"")</f>
        <v/>
      </c>
      <c r="D18791" s="42"/>
      <c r="E18791" s="42"/>
      <c r="F18791" s="48" t="str">
        <f>IFERROR(__xludf.DUMMYFUNCTION("""COMPUTED_VALUE"""),"")</f>
        <v/>
      </c>
      <c r="G18791" s="42" t="str">
        <f>IFERROR(__xludf.DUMMYFUNCTION("""COMPUTED_VALUE"""),"")</f>
        <v/>
      </c>
      <c r="H18791" s="42">
        <f t="shared" si="1"/>
        <v>3345</v>
      </c>
    </row>
    <row r="18792" ht="22.5" customHeight="1">
      <c r="B18792" s="42" t="str">
        <f>IFERROR(__xludf.DUMMYFUNCTION("""COMPUTED_VALUE"""),"")</f>
        <v/>
      </c>
      <c r="C18792" s="42" t="str">
        <f>IFERROR(__xludf.DUMMYFUNCTION("""COMPUTED_VALUE"""),"")</f>
        <v/>
      </c>
      <c r="D18792" s="42"/>
      <c r="E18792" s="42"/>
      <c r="F18792" s="48" t="str">
        <f>IFERROR(__xludf.DUMMYFUNCTION("""COMPUTED_VALUE"""),"")</f>
        <v/>
      </c>
      <c r="G18792" s="42" t="str">
        <f>IFERROR(__xludf.DUMMYFUNCTION("""COMPUTED_VALUE"""),"")</f>
        <v/>
      </c>
      <c r="H18792" s="42">
        <f t="shared" si="1"/>
        <v>3345</v>
      </c>
    </row>
    <row r="18793" ht="22.5" customHeight="1">
      <c r="B18793" s="42" t="str">
        <f>IFERROR(__xludf.DUMMYFUNCTION("""COMPUTED_VALUE"""),"")</f>
        <v/>
      </c>
      <c r="C18793" s="42" t="str">
        <f>IFERROR(__xludf.DUMMYFUNCTION("""COMPUTED_VALUE"""),"")</f>
        <v/>
      </c>
      <c r="D18793" s="42"/>
      <c r="E18793" s="42"/>
      <c r="F18793" s="48" t="str">
        <f>IFERROR(__xludf.DUMMYFUNCTION("""COMPUTED_VALUE"""),"")</f>
        <v/>
      </c>
      <c r="G18793" s="42" t="str">
        <f>IFERROR(__xludf.DUMMYFUNCTION("""COMPUTED_VALUE"""),"")</f>
        <v/>
      </c>
      <c r="H18793" s="42">
        <f t="shared" si="1"/>
        <v>3345</v>
      </c>
    </row>
    <row r="18794" ht="22.5" customHeight="1">
      <c r="B18794" s="42" t="str">
        <f>IFERROR(__xludf.DUMMYFUNCTION("""COMPUTED_VALUE"""),"")</f>
        <v/>
      </c>
      <c r="C18794" s="42" t="str">
        <f>IFERROR(__xludf.DUMMYFUNCTION("""COMPUTED_VALUE"""),"")</f>
        <v/>
      </c>
      <c r="D18794" s="42"/>
      <c r="E18794" s="42"/>
      <c r="F18794" s="48" t="str">
        <f>IFERROR(__xludf.DUMMYFUNCTION("""COMPUTED_VALUE"""),"")</f>
        <v/>
      </c>
      <c r="G18794" s="42" t="str">
        <f>IFERROR(__xludf.DUMMYFUNCTION("""COMPUTED_VALUE"""),"")</f>
        <v/>
      </c>
      <c r="H18794" s="42">
        <f t="shared" si="1"/>
        <v>3345</v>
      </c>
    </row>
    <row r="18795" ht="22.5" customHeight="1">
      <c r="B18795" s="42" t="str">
        <f>IFERROR(__xludf.DUMMYFUNCTION("""COMPUTED_VALUE"""),"")</f>
        <v/>
      </c>
      <c r="C18795" s="42" t="str">
        <f>IFERROR(__xludf.DUMMYFUNCTION("""COMPUTED_VALUE"""),"")</f>
        <v/>
      </c>
      <c r="D18795" s="42"/>
      <c r="E18795" s="42"/>
      <c r="F18795" s="48" t="str">
        <f>IFERROR(__xludf.DUMMYFUNCTION("""COMPUTED_VALUE"""),"")</f>
        <v/>
      </c>
      <c r="G18795" s="42" t="str">
        <f>IFERROR(__xludf.DUMMYFUNCTION("""COMPUTED_VALUE"""),"")</f>
        <v/>
      </c>
      <c r="H18795" s="42">
        <f t="shared" si="1"/>
        <v>3345</v>
      </c>
    </row>
    <row r="18796" ht="22.5" customHeight="1">
      <c r="B18796" s="42" t="str">
        <f>IFERROR(__xludf.DUMMYFUNCTION("""COMPUTED_VALUE"""),"")</f>
        <v/>
      </c>
      <c r="C18796" s="42" t="str">
        <f>IFERROR(__xludf.DUMMYFUNCTION("""COMPUTED_VALUE"""),"")</f>
        <v/>
      </c>
      <c r="D18796" s="42"/>
      <c r="E18796" s="42"/>
      <c r="F18796" s="48" t="str">
        <f>IFERROR(__xludf.DUMMYFUNCTION("""COMPUTED_VALUE"""),"")</f>
        <v/>
      </c>
      <c r="G18796" s="42" t="str">
        <f>IFERROR(__xludf.DUMMYFUNCTION("""COMPUTED_VALUE"""),"")</f>
        <v/>
      </c>
      <c r="H18796" s="42">
        <f t="shared" si="1"/>
        <v>3345</v>
      </c>
    </row>
    <row r="18797" ht="22.5" customHeight="1">
      <c r="B18797" s="42" t="str">
        <f>IFERROR(__xludf.DUMMYFUNCTION("""COMPUTED_VALUE"""),"")</f>
        <v/>
      </c>
      <c r="C18797" s="42" t="str">
        <f>IFERROR(__xludf.DUMMYFUNCTION("""COMPUTED_VALUE"""),"")</f>
        <v/>
      </c>
      <c r="D18797" s="42"/>
      <c r="E18797" s="42"/>
      <c r="F18797" s="48" t="str">
        <f>IFERROR(__xludf.DUMMYFUNCTION("""COMPUTED_VALUE"""),"")</f>
        <v/>
      </c>
      <c r="G18797" s="42" t="str">
        <f>IFERROR(__xludf.DUMMYFUNCTION("""COMPUTED_VALUE"""),"")</f>
        <v/>
      </c>
      <c r="H18797" s="42">
        <f t="shared" si="1"/>
        <v>3345</v>
      </c>
    </row>
    <row r="18798" ht="22.5" customHeight="1">
      <c r="B18798" s="42" t="str">
        <f>IFERROR(__xludf.DUMMYFUNCTION("""COMPUTED_VALUE"""),"")</f>
        <v/>
      </c>
      <c r="C18798" s="42" t="str">
        <f>IFERROR(__xludf.DUMMYFUNCTION("""COMPUTED_VALUE"""),"")</f>
        <v/>
      </c>
      <c r="D18798" s="42"/>
      <c r="E18798" s="42"/>
      <c r="F18798" s="48" t="str">
        <f>IFERROR(__xludf.DUMMYFUNCTION("""COMPUTED_VALUE"""),"")</f>
        <v/>
      </c>
      <c r="G18798" s="42" t="str">
        <f>IFERROR(__xludf.DUMMYFUNCTION("""COMPUTED_VALUE"""),"")</f>
        <v/>
      </c>
      <c r="H18798" s="42">
        <f t="shared" si="1"/>
        <v>3345</v>
      </c>
    </row>
    <row r="18799" ht="22.5" customHeight="1">
      <c r="B18799" s="42" t="str">
        <f>IFERROR(__xludf.DUMMYFUNCTION("""COMPUTED_VALUE"""),"")</f>
        <v/>
      </c>
      <c r="C18799" s="42" t="str">
        <f>IFERROR(__xludf.DUMMYFUNCTION("""COMPUTED_VALUE"""),"")</f>
        <v/>
      </c>
      <c r="D18799" s="42"/>
      <c r="E18799" s="42"/>
      <c r="F18799" s="48" t="str">
        <f>IFERROR(__xludf.DUMMYFUNCTION("""COMPUTED_VALUE"""),"")</f>
        <v/>
      </c>
      <c r="G18799" s="42" t="str">
        <f>IFERROR(__xludf.DUMMYFUNCTION("""COMPUTED_VALUE"""),"")</f>
        <v/>
      </c>
      <c r="H18799" s="42">
        <f t="shared" si="1"/>
        <v>3345</v>
      </c>
    </row>
    <row r="18800" ht="22.5" customHeight="1">
      <c r="B18800" s="42" t="str">
        <f>IFERROR(__xludf.DUMMYFUNCTION("""COMPUTED_VALUE"""),"")</f>
        <v/>
      </c>
      <c r="C18800" s="42" t="str">
        <f>IFERROR(__xludf.DUMMYFUNCTION("""COMPUTED_VALUE"""),"")</f>
        <v/>
      </c>
      <c r="D18800" s="42"/>
      <c r="E18800" s="42"/>
      <c r="F18800" s="48" t="str">
        <f>IFERROR(__xludf.DUMMYFUNCTION("""COMPUTED_VALUE"""),"")</f>
        <v/>
      </c>
      <c r="G18800" s="42" t="str">
        <f>IFERROR(__xludf.DUMMYFUNCTION("""COMPUTED_VALUE"""),"")</f>
        <v/>
      </c>
      <c r="H18800" s="42">
        <f t="shared" si="1"/>
        <v>3345</v>
      </c>
    </row>
    <row r="18801" ht="22.5" customHeight="1">
      <c r="B18801" s="42" t="str">
        <f>IFERROR(__xludf.DUMMYFUNCTION("""COMPUTED_VALUE"""),"")</f>
        <v/>
      </c>
      <c r="C18801" s="42" t="str">
        <f>IFERROR(__xludf.DUMMYFUNCTION("""COMPUTED_VALUE"""),"")</f>
        <v/>
      </c>
      <c r="D18801" s="42"/>
      <c r="E18801" s="42"/>
      <c r="F18801" s="48" t="str">
        <f>IFERROR(__xludf.DUMMYFUNCTION("""COMPUTED_VALUE"""),"")</f>
        <v/>
      </c>
      <c r="G18801" s="42" t="str">
        <f>IFERROR(__xludf.DUMMYFUNCTION("""COMPUTED_VALUE"""),"")</f>
        <v/>
      </c>
      <c r="H18801" s="42">
        <f t="shared" si="1"/>
        <v>3345</v>
      </c>
    </row>
    <row r="18802" ht="22.5" customHeight="1">
      <c r="B18802" s="42" t="str">
        <f>IFERROR(__xludf.DUMMYFUNCTION("""COMPUTED_VALUE"""),"")</f>
        <v/>
      </c>
      <c r="C18802" s="42" t="str">
        <f>IFERROR(__xludf.DUMMYFUNCTION("""COMPUTED_VALUE"""),"")</f>
        <v/>
      </c>
      <c r="D18802" s="42"/>
      <c r="E18802" s="42"/>
      <c r="F18802" s="48" t="str">
        <f>IFERROR(__xludf.DUMMYFUNCTION("""COMPUTED_VALUE"""),"")</f>
        <v/>
      </c>
      <c r="G18802" s="42" t="str">
        <f>IFERROR(__xludf.DUMMYFUNCTION("""COMPUTED_VALUE"""),"")</f>
        <v/>
      </c>
      <c r="H18802" s="42">
        <f t="shared" si="1"/>
        <v>3345</v>
      </c>
    </row>
    <row r="18803" ht="22.5" customHeight="1">
      <c r="B18803" s="42" t="str">
        <f>IFERROR(__xludf.DUMMYFUNCTION("""COMPUTED_VALUE"""),"")</f>
        <v/>
      </c>
      <c r="C18803" s="42" t="str">
        <f>IFERROR(__xludf.DUMMYFUNCTION("""COMPUTED_VALUE"""),"")</f>
        <v/>
      </c>
      <c r="D18803" s="42"/>
      <c r="E18803" s="42"/>
      <c r="F18803" s="48" t="str">
        <f>IFERROR(__xludf.DUMMYFUNCTION("""COMPUTED_VALUE"""),"")</f>
        <v/>
      </c>
      <c r="G18803" s="42" t="str">
        <f>IFERROR(__xludf.DUMMYFUNCTION("""COMPUTED_VALUE"""),"")</f>
        <v/>
      </c>
      <c r="H18803" s="42">
        <f t="shared" si="1"/>
        <v>3345</v>
      </c>
    </row>
    <row r="18804" ht="22.5" customHeight="1">
      <c r="B18804" s="42" t="str">
        <f>IFERROR(__xludf.DUMMYFUNCTION("""COMPUTED_VALUE"""),"")</f>
        <v/>
      </c>
      <c r="C18804" s="42" t="str">
        <f>IFERROR(__xludf.DUMMYFUNCTION("""COMPUTED_VALUE"""),"")</f>
        <v/>
      </c>
      <c r="D18804" s="42"/>
      <c r="E18804" s="42"/>
      <c r="F18804" s="48" t="str">
        <f>IFERROR(__xludf.DUMMYFUNCTION("""COMPUTED_VALUE"""),"")</f>
        <v/>
      </c>
      <c r="G18804" s="42" t="str">
        <f>IFERROR(__xludf.DUMMYFUNCTION("""COMPUTED_VALUE"""),"")</f>
        <v/>
      </c>
      <c r="H18804" s="42">
        <f t="shared" si="1"/>
        <v>3345</v>
      </c>
    </row>
    <row r="18805" ht="22.5" customHeight="1">
      <c r="B18805" s="42" t="str">
        <f>IFERROR(__xludf.DUMMYFUNCTION("""COMPUTED_VALUE"""),"")</f>
        <v/>
      </c>
      <c r="C18805" s="42" t="str">
        <f>IFERROR(__xludf.DUMMYFUNCTION("""COMPUTED_VALUE"""),"")</f>
        <v/>
      </c>
      <c r="D18805" s="42"/>
      <c r="E18805" s="42"/>
      <c r="F18805" s="48" t="str">
        <f>IFERROR(__xludf.DUMMYFUNCTION("""COMPUTED_VALUE"""),"")</f>
        <v/>
      </c>
      <c r="G18805" s="42" t="str">
        <f>IFERROR(__xludf.DUMMYFUNCTION("""COMPUTED_VALUE"""),"")</f>
        <v/>
      </c>
      <c r="H18805" s="42">
        <f t="shared" si="1"/>
        <v>3345</v>
      </c>
    </row>
    <row r="18806" ht="22.5" customHeight="1">
      <c r="B18806" s="42" t="str">
        <f>IFERROR(__xludf.DUMMYFUNCTION("""COMPUTED_VALUE"""),"")</f>
        <v/>
      </c>
      <c r="C18806" s="42" t="str">
        <f>IFERROR(__xludf.DUMMYFUNCTION("""COMPUTED_VALUE"""),"")</f>
        <v/>
      </c>
      <c r="D18806" s="42"/>
      <c r="E18806" s="42"/>
      <c r="F18806" s="48" t="str">
        <f>IFERROR(__xludf.DUMMYFUNCTION("""COMPUTED_VALUE"""),"")</f>
        <v/>
      </c>
      <c r="G18806" s="42" t="str">
        <f>IFERROR(__xludf.DUMMYFUNCTION("""COMPUTED_VALUE"""),"")</f>
        <v/>
      </c>
      <c r="H18806" s="42">
        <f t="shared" si="1"/>
        <v>3345</v>
      </c>
    </row>
    <row r="18807" ht="22.5" customHeight="1">
      <c r="B18807" s="42" t="str">
        <f>IFERROR(__xludf.DUMMYFUNCTION("""COMPUTED_VALUE"""),"")</f>
        <v/>
      </c>
      <c r="C18807" s="42" t="str">
        <f>IFERROR(__xludf.DUMMYFUNCTION("""COMPUTED_VALUE"""),"")</f>
        <v/>
      </c>
      <c r="D18807" s="42"/>
      <c r="E18807" s="42"/>
      <c r="F18807" s="48" t="str">
        <f>IFERROR(__xludf.DUMMYFUNCTION("""COMPUTED_VALUE"""),"")</f>
        <v/>
      </c>
      <c r="G18807" s="42" t="str">
        <f>IFERROR(__xludf.DUMMYFUNCTION("""COMPUTED_VALUE"""),"")</f>
        <v/>
      </c>
      <c r="H18807" s="42">
        <f t="shared" si="1"/>
        <v>3345</v>
      </c>
    </row>
    <row r="18808" ht="22.5" customHeight="1">
      <c r="B18808" s="42" t="str">
        <f>IFERROR(__xludf.DUMMYFUNCTION("""COMPUTED_VALUE"""),"")</f>
        <v/>
      </c>
      <c r="C18808" s="42" t="str">
        <f>IFERROR(__xludf.DUMMYFUNCTION("""COMPUTED_VALUE"""),"")</f>
        <v/>
      </c>
      <c r="D18808" s="42"/>
      <c r="E18808" s="42"/>
      <c r="F18808" s="48" t="str">
        <f>IFERROR(__xludf.DUMMYFUNCTION("""COMPUTED_VALUE"""),"")</f>
        <v/>
      </c>
      <c r="G18808" s="42" t="str">
        <f>IFERROR(__xludf.DUMMYFUNCTION("""COMPUTED_VALUE"""),"")</f>
        <v/>
      </c>
      <c r="H18808" s="42">
        <f t="shared" si="1"/>
        <v>3345</v>
      </c>
    </row>
    <row r="18809" ht="22.5" customHeight="1">
      <c r="B18809" s="42" t="str">
        <f>IFERROR(__xludf.DUMMYFUNCTION("""COMPUTED_VALUE"""),"")</f>
        <v/>
      </c>
      <c r="C18809" s="42" t="str">
        <f>IFERROR(__xludf.DUMMYFUNCTION("""COMPUTED_VALUE"""),"")</f>
        <v/>
      </c>
      <c r="D18809" s="42"/>
      <c r="E18809" s="42"/>
      <c r="F18809" s="48" t="str">
        <f>IFERROR(__xludf.DUMMYFUNCTION("""COMPUTED_VALUE"""),"")</f>
        <v/>
      </c>
      <c r="G18809" s="42" t="str">
        <f>IFERROR(__xludf.DUMMYFUNCTION("""COMPUTED_VALUE"""),"")</f>
        <v/>
      </c>
      <c r="H18809" s="42">
        <f t="shared" si="1"/>
        <v>3345</v>
      </c>
    </row>
    <row r="18810" ht="22.5" customHeight="1">
      <c r="B18810" s="42" t="str">
        <f>IFERROR(__xludf.DUMMYFUNCTION("""COMPUTED_VALUE"""),"")</f>
        <v/>
      </c>
      <c r="C18810" s="42" t="str">
        <f>IFERROR(__xludf.DUMMYFUNCTION("""COMPUTED_VALUE"""),"")</f>
        <v/>
      </c>
      <c r="D18810" s="42"/>
      <c r="E18810" s="42"/>
      <c r="F18810" s="48" t="str">
        <f>IFERROR(__xludf.DUMMYFUNCTION("""COMPUTED_VALUE"""),"")</f>
        <v/>
      </c>
      <c r="G18810" s="42" t="str">
        <f>IFERROR(__xludf.DUMMYFUNCTION("""COMPUTED_VALUE"""),"")</f>
        <v/>
      </c>
      <c r="H18810" s="42">
        <f t="shared" si="1"/>
        <v>3345</v>
      </c>
    </row>
    <row r="18811" ht="22.5" customHeight="1">
      <c r="B18811" s="42" t="str">
        <f>IFERROR(__xludf.DUMMYFUNCTION("""COMPUTED_VALUE"""),"")</f>
        <v/>
      </c>
      <c r="C18811" s="42" t="str">
        <f>IFERROR(__xludf.DUMMYFUNCTION("""COMPUTED_VALUE"""),"")</f>
        <v/>
      </c>
      <c r="D18811" s="42"/>
      <c r="E18811" s="42"/>
      <c r="F18811" s="48" t="str">
        <f>IFERROR(__xludf.DUMMYFUNCTION("""COMPUTED_VALUE"""),"")</f>
        <v/>
      </c>
      <c r="G18811" s="42" t="str">
        <f>IFERROR(__xludf.DUMMYFUNCTION("""COMPUTED_VALUE"""),"")</f>
        <v/>
      </c>
      <c r="H18811" s="42">
        <f t="shared" si="1"/>
        <v>3345</v>
      </c>
    </row>
    <row r="18812" ht="22.5" customHeight="1">
      <c r="B18812" s="42" t="str">
        <f>IFERROR(__xludf.DUMMYFUNCTION("""COMPUTED_VALUE"""),"")</f>
        <v/>
      </c>
      <c r="C18812" s="42" t="str">
        <f>IFERROR(__xludf.DUMMYFUNCTION("""COMPUTED_VALUE"""),"")</f>
        <v/>
      </c>
      <c r="D18812" s="42"/>
      <c r="E18812" s="42"/>
      <c r="F18812" s="48" t="str">
        <f>IFERROR(__xludf.DUMMYFUNCTION("""COMPUTED_VALUE"""),"")</f>
        <v/>
      </c>
      <c r="G18812" s="42" t="str">
        <f>IFERROR(__xludf.DUMMYFUNCTION("""COMPUTED_VALUE"""),"")</f>
        <v/>
      </c>
      <c r="H18812" s="42">
        <f t="shared" si="1"/>
        <v>3345</v>
      </c>
    </row>
    <row r="18813" ht="22.5" customHeight="1">
      <c r="B18813" s="42" t="str">
        <f>IFERROR(__xludf.DUMMYFUNCTION("""COMPUTED_VALUE"""),"")</f>
        <v/>
      </c>
      <c r="C18813" s="42" t="str">
        <f>IFERROR(__xludf.DUMMYFUNCTION("""COMPUTED_VALUE"""),"")</f>
        <v/>
      </c>
      <c r="D18813" s="42"/>
      <c r="E18813" s="42"/>
      <c r="F18813" s="48" t="str">
        <f>IFERROR(__xludf.DUMMYFUNCTION("""COMPUTED_VALUE"""),"")</f>
        <v/>
      </c>
      <c r="G18813" s="42" t="str">
        <f>IFERROR(__xludf.DUMMYFUNCTION("""COMPUTED_VALUE"""),"")</f>
        <v/>
      </c>
      <c r="H18813" s="42">
        <f t="shared" si="1"/>
        <v>3345</v>
      </c>
    </row>
    <row r="18814" ht="22.5" customHeight="1">
      <c r="B18814" s="42" t="str">
        <f>IFERROR(__xludf.DUMMYFUNCTION("""COMPUTED_VALUE"""),"")</f>
        <v/>
      </c>
      <c r="C18814" s="42" t="str">
        <f>IFERROR(__xludf.DUMMYFUNCTION("""COMPUTED_VALUE"""),"")</f>
        <v/>
      </c>
      <c r="D18814" s="42"/>
      <c r="E18814" s="42"/>
      <c r="F18814" s="48" t="str">
        <f>IFERROR(__xludf.DUMMYFUNCTION("""COMPUTED_VALUE"""),"")</f>
        <v/>
      </c>
      <c r="G18814" s="42" t="str">
        <f>IFERROR(__xludf.DUMMYFUNCTION("""COMPUTED_VALUE"""),"")</f>
        <v/>
      </c>
      <c r="H18814" s="42">
        <f t="shared" si="1"/>
        <v>3345</v>
      </c>
    </row>
    <row r="18815" ht="22.5" customHeight="1">
      <c r="B18815" s="42" t="str">
        <f>IFERROR(__xludf.DUMMYFUNCTION("""COMPUTED_VALUE"""),"")</f>
        <v/>
      </c>
      <c r="C18815" s="42" t="str">
        <f>IFERROR(__xludf.DUMMYFUNCTION("""COMPUTED_VALUE"""),"")</f>
        <v/>
      </c>
      <c r="D18815" s="42"/>
      <c r="E18815" s="42"/>
      <c r="F18815" s="48" t="str">
        <f>IFERROR(__xludf.DUMMYFUNCTION("""COMPUTED_VALUE"""),"")</f>
        <v/>
      </c>
      <c r="G18815" s="42" t="str">
        <f>IFERROR(__xludf.DUMMYFUNCTION("""COMPUTED_VALUE"""),"")</f>
        <v/>
      </c>
      <c r="H18815" s="42">
        <f t="shared" si="1"/>
        <v>3345</v>
      </c>
    </row>
    <row r="18816" ht="22.5" customHeight="1">
      <c r="B18816" s="42" t="str">
        <f>IFERROR(__xludf.DUMMYFUNCTION("""COMPUTED_VALUE"""),"")</f>
        <v/>
      </c>
      <c r="C18816" s="42" t="str">
        <f>IFERROR(__xludf.DUMMYFUNCTION("""COMPUTED_VALUE"""),"")</f>
        <v/>
      </c>
      <c r="D18816" s="42"/>
      <c r="E18816" s="42"/>
      <c r="F18816" s="48" t="str">
        <f>IFERROR(__xludf.DUMMYFUNCTION("""COMPUTED_VALUE"""),"")</f>
        <v/>
      </c>
      <c r="G18816" s="42" t="str">
        <f>IFERROR(__xludf.DUMMYFUNCTION("""COMPUTED_VALUE"""),"")</f>
        <v/>
      </c>
      <c r="H18816" s="42">
        <f t="shared" si="1"/>
        <v>3345</v>
      </c>
    </row>
    <row r="18817" ht="22.5" customHeight="1">
      <c r="B18817" s="42" t="str">
        <f>IFERROR(__xludf.DUMMYFUNCTION("""COMPUTED_VALUE"""),"")</f>
        <v/>
      </c>
      <c r="C18817" s="42" t="str">
        <f>IFERROR(__xludf.DUMMYFUNCTION("""COMPUTED_VALUE"""),"")</f>
        <v/>
      </c>
      <c r="D18817" s="42"/>
      <c r="E18817" s="42"/>
      <c r="F18817" s="48" t="str">
        <f>IFERROR(__xludf.DUMMYFUNCTION("""COMPUTED_VALUE"""),"")</f>
        <v/>
      </c>
      <c r="G18817" s="42" t="str">
        <f>IFERROR(__xludf.DUMMYFUNCTION("""COMPUTED_VALUE"""),"")</f>
        <v/>
      </c>
      <c r="H18817" s="42">
        <f t="shared" si="1"/>
        <v>3345</v>
      </c>
    </row>
    <row r="18818" ht="22.5" customHeight="1">
      <c r="B18818" s="42" t="str">
        <f>IFERROR(__xludf.DUMMYFUNCTION("""COMPUTED_VALUE"""),"")</f>
        <v/>
      </c>
      <c r="C18818" s="42" t="str">
        <f>IFERROR(__xludf.DUMMYFUNCTION("""COMPUTED_VALUE"""),"")</f>
        <v/>
      </c>
      <c r="D18818" s="42"/>
      <c r="E18818" s="42"/>
      <c r="F18818" s="48" t="str">
        <f>IFERROR(__xludf.DUMMYFUNCTION("""COMPUTED_VALUE"""),"")</f>
        <v/>
      </c>
      <c r="G18818" s="42" t="str">
        <f>IFERROR(__xludf.DUMMYFUNCTION("""COMPUTED_VALUE"""),"")</f>
        <v/>
      </c>
      <c r="H18818" s="42">
        <f t="shared" si="1"/>
        <v>3345</v>
      </c>
    </row>
    <row r="18819" ht="22.5" customHeight="1">
      <c r="B18819" s="42" t="str">
        <f>IFERROR(__xludf.DUMMYFUNCTION("""COMPUTED_VALUE"""),"")</f>
        <v/>
      </c>
      <c r="C18819" s="42" t="str">
        <f>IFERROR(__xludf.DUMMYFUNCTION("""COMPUTED_VALUE"""),"")</f>
        <v/>
      </c>
      <c r="D18819" s="42"/>
      <c r="E18819" s="42"/>
      <c r="F18819" s="48" t="str">
        <f>IFERROR(__xludf.DUMMYFUNCTION("""COMPUTED_VALUE"""),"")</f>
        <v/>
      </c>
      <c r="G18819" s="42" t="str">
        <f>IFERROR(__xludf.DUMMYFUNCTION("""COMPUTED_VALUE"""),"")</f>
        <v/>
      </c>
      <c r="H18819" s="42">
        <f t="shared" si="1"/>
        <v>3345</v>
      </c>
    </row>
    <row r="18820" ht="22.5" customHeight="1">
      <c r="B18820" s="42" t="str">
        <f>IFERROR(__xludf.DUMMYFUNCTION("""COMPUTED_VALUE"""),"")</f>
        <v/>
      </c>
      <c r="C18820" s="42" t="str">
        <f>IFERROR(__xludf.DUMMYFUNCTION("""COMPUTED_VALUE"""),"")</f>
        <v/>
      </c>
      <c r="D18820" s="42"/>
      <c r="E18820" s="42"/>
      <c r="F18820" s="48" t="str">
        <f>IFERROR(__xludf.DUMMYFUNCTION("""COMPUTED_VALUE"""),"")</f>
        <v/>
      </c>
      <c r="G18820" s="42" t="str">
        <f>IFERROR(__xludf.DUMMYFUNCTION("""COMPUTED_VALUE"""),"")</f>
        <v/>
      </c>
      <c r="H18820" s="42">
        <f t="shared" si="1"/>
        <v>3345</v>
      </c>
    </row>
    <row r="18821" ht="22.5" customHeight="1">
      <c r="B18821" s="42" t="str">
        <f>IFERROR(__xludf.DUMMYFUNCTION("""COMPUTED_VALUE"""),"")</f>
        <v/>
      </c>
      <c r="C18821" s="42" t="str">
        <f>IFERROR(__xludf.DUMMYFUNCTION("""COMPUTED_VALUE"""),"")</f>
        <v/>
      </c>
      <c r="D18821" s="42"/>
      <c r="E18821" s="42"/>
      <c r="F18821" s="48" t="str">
        <f>IFERROR(__xludf.DUMMYFUNCTION("""COMPUTED_VALUE"""),"")</f>
        <v/>
      </c>
      <c r="G18821" s="42" t="str">
        <f>IFERROR(__xludf.DUMMYFUNCTION("""COMPUTED_VALUE"""),"")</f>
        <v/>
      </c>
      <c r="H18821" s="42">
        <f t="shared" si="1"/>
        <v>3345</v>
      </c>
    </row>
    <row r="18822" ht="22.5" customHeight="1">
      <c r="B18822" s="42" t="str">
        <f>IFERROR(__xludf.DUMMYFUNCTION("""COMPUTED_VALUE"""),"")</f>
        <v/>
      </c>
      <c r="C18822" s="42" t="str">
        <f>IFERROR(__xludf.DUMMYFUNCTION("""COMPUTED_VALUE"""),"")</f>
        <v/>
      </c>
      <c r="D18822" s="42"/>
      <c r="E18822" s="42"/>
      <c r="F18822" s="48" t="str">
        <f>IFERROR(__xludf.DUMMYFUNCTION("""COMPUTED_VALUE"""),"")</f>
        <v/>
      </c>
      <c r="G18822" s="42" t="str">
        <f>IFERROR(__xludf.DUMMYFUNCTION("""COMPUTED_VALUE"""),"")</f>
        <v/>
      </c>
      <c r="H18822" s="42">
        <f t="shared" si="1"/>
        <v>3345</v>
      </c>
    </row>
    <row r="18823" ht="22.5" customHeight="1">
      <c r="B18823" s="42" t="str">
        <f>IFERROR(__xludf.DUMMYFUNCTION("""COMPUTED_VALUE"""),"")</f>
        <v/>
      </c>
      <c r="C18823" s="42" t="str">
        <f>IFERROR(__xludf.DUMMYFUNCTION("""COMPUTED_VALUE"""),"")</f>
        <v/>
      </c>
      <c r="D18823" s="42"/>
      <c r="E18823" s="42"/>
      <c r="F18823" s="48" t="str">
        <f>IFERROR(__xludf.DUMMYFUNCTION("""COMPUTED_VALUE"""),"")</f>
        <v/>
      </c>
      <c r="G18823" s="42" t="str">
        <f>IFERROR(__xludf.DUMMYFUNCTION("""COMPUTED_VALUE"""),"")</f>
        <v/>
      </c>
      <c r="H18823" s="42">
        <f t="shared" si="1"/>
        <v>3345</v>
      </c>
    </row>
    <row r="18824" ht="22.5" customHeight="1">
      <c r="B18824" s="42" t="str">
        <f>IFERROR(__xludf.DUMMYFUNCTION("""COMPUTED_VALUE"""),"")</f>
        <v/>
      </c>
      <c r="C18824" s="42" t="str">
        <f>IFERROR(__xludf.DUMMYFUNCTION("""COMPUTED_VALUE"""),"")</f>
        <v/>
      </c>
      <c r="D18824" s="42"/>
      <c r="E18824" s="42"/>
      <c r="F18824" s="48" t="str">
        <f>IFERROR(__xludf.DUMMYFUNCTION("""COMPUTED_VALUE"""),"")</f>
        <v/>
      </c>
      <c r="G18824" s="42" t="str">
        <f>IFERROR(__xludf.DUMMYFUNCTION("""COMPUTED_VALUE"""),"")</f>
        <v/>
      </c>
      <c r="H18824" s="42">
        <f t="shared" si="1"/>
        <v>3345</v>
      </c>
    </row>
    <row r="18825" ht="22.5" customHeight="1">
      <c r="B18825" s="42" t="str">
        <f>IFERROR(__xludf.DUMMYFUNCTION("""COMPUTED_VALUE"""),"")</f>
        <v/>
      </c>
      <c r="C18825" s="42" t="str">
        <f>IFERROR(__xludf.DUMMYFUNCTION("""COMPUTED_VALUE"""),"")</f>
        <v/>
      </c>
      <c r="D18825" s="42"/>
      <c r="E18825" s="42"/>
      <c r="F18825" s="48" t="str">
        <f>IFERROR(__xludf.DUMMYFUNCTION("""COMPUTED_VALUE"""),"")</f>
        <v/>
      </c>
      <c r="G18825" s="42" t="str">
        <f>IFERROR(__xludf.DUMMYFUNCTION("""COMPUTED_VALUE"""),"")</f>
        <v/>
      </c>
      <c r="H18825" s="42">
        <f t="shared" si="1"/>
        <v>3345</v>
      </c>
    </row>
    <row r="18826" ht="22.5" customHeight="1">
      <c r="B18826" s="42" t="str">
        <f>IFERROR(__xludf.DUMMYFUNCTION("""COMPUTED_VALUE"""),"")</f>
        <v/>
      </c>
      <c r="C18826" s="42" t="str">
        <f>IFERROR(__xludf.DUMMYFUNCTION("""COMPUTED_VALUE"""),"")</f>
        <v/>
      </c>
      <c r="D18826" s="42"/>
      <c r="E18826" s="42"/>
      <c r="F18826" s="48" t="str">
        <f>IFERROR(__xludf.DUMMYFUNCTION("""COMPUTED_VALUE"""),"")</f>
        <v/>
      </c>
      <c r="G18826" s="42" t="str">
        <f>IFERROR(__xludf.DUMMYFUNCTION("""COMPUTED_VALUE"""),"")</f>
        <v/>
      </c>
      <c r="H18826" s="42">
        <f t="shared" si="1"/>
        <v>3345</v>
      </c>
    </row>
    <row r="18827" ht="22.5" customHeight="1">
      <c r="B18827" s="42" t="str">
        <f>IFERROR(__xludf.DUMMYFUNCTION("""COMPUTED_VALUE"""),"")</f>
        <v/>
      </c>
      <c r="C18827" s="42" t="str">
        <f>IFERROR(__xludf.DUMMYFUNCTION("""COMPUTED_VALUE"""),"")</f>
        <v/>
      </c>
      <c r="D18827" s="42"/>
      <c r="E18827" s="42"/>
      <c r="F18827" s="48" t="str">
        <f>IFERROR(__xludf.DUMMYFUNCTION("""COMPUTED_VALUE"""),"")</f>
        <v/>
      </c>
      <c r="G18827" s="42" t="str">
        <f>IFERROR(__xludf.DUMMYFUNCTION("""COMPUTED_VALUE"""),"")</f>
        <v/>
      </c>
      <c r="H18827" s="42">
        <f t="shared" si="1"/>
        <v>3345</v>
      </c>
    </row>
    <row r="18828" ht="22.5" customHeight="1">
      <c r="B18828" s="42" t="str">
        <f>IFERROR(__xludf.DUMMYFUNCTION("""COMPUTED_VALUE"""),"")</f>
        <v/>
      </c>
      <c r="C18828" s="42" t="str">
        <f>IFERROR(__xludf.DUMMYFUNCTION("""COMPUTED_VALUE"""),"")</f>
        <v/>
      </c>
      <c r="D18828" s="42"/>
      <c r="E18828" s="42"/>
      <c r="F18828" s="48" t="str">
        <f>IFERROR(__xludf.DUMMYFUNCTION("""COMPUTED_VALUE"""),"")</f>
        <v/>
      </c>
      <c r="G18828" s="42" t="str">
        <f>IFERROR(__xludf.DUMMYFUNCTION("""COMPUTED_VALUE"""),"")</f>
        <v/>
      </c>
      <c r="H18828" s="42">
        <f t="shared" si="1"/>
        <v>3345</v>
      </c>
    </row>
    <row r="18829" ht="22.5" customHeight="1">
      <c r="B18829" s="42" t="str">
        <f>IFERROR(__xludf.DUMMYFUNCTION("""COMPUTED_VALUE"""),"")</f>
        <v/>
      </c>
      <c r="C18829" s="42" t="str">
        <f>IFERROR(__xludf.DUMMYFUNCTION("""COMPUTED_VALUE"""),"")</f>
        <v/>
      </c>
      <c r="D18829" s="42"/>
      <c r="E18829" s="42"/>
      <c r="F18829" s="48" t="str">
        <f>IFERROR(__xludf.DUMMYFUNCTION("""COMPUTED_VALUE"""),"")</f>
        <v/>
      </c>
      <c r="G18829" s="42" t="str">
        <f>IFERROR(__xludf.DUMMYFUNCTION("""COMPUTED_VALUE"""),"")</f>
        <v/>
      </c>
      <c r="H18829" s="42">
        <f t="shared" si="1"/>
        <v>3345</v>
      </c>
    </row>
    <row r="18830" ht="22.5" customHeight="1">
      <c r="B18830" s="42" t="str">
        <f>IFERROR(__xludf.DUMMYFUNCTION("""COMPUTED_VALUE"""),"")</f>
        <v/>
      </c>
      <c r="C18830" s="42" t="str">
        <f>IFERROR(__xludf.DUMMYFUNCTION("""COMPUTED_VALUE"""),"")</f>
        <v/>
      </c>
      <c r="D18830" s="42"/>
      <c r="E18830" s="42"/>
      <c r="F18830" s="48" t="str">
        <f>IFERROR(__xludf.DUMMYFUNCTION("""COMPUTED_VALUE"""),"")</f>
        <v/>
      </c>
      <c r="G18830" s="42" t="str">
        <f>IFERROR(__xludf.DUMMYFUNCTION("""COMPUTED_VALUE"""),"")</f>
        <v/>
      </c>
      <c r="H18830" s="42">
        <f t="shared" si="1"/>
        <v>3345</v>
      </c>
    </row>
    <row r="18831" ht="22.5" customHeight="1">
      <c r="B18831" s="42" t="str">
        <f>IFERROR(__xludf.DUMMYFUNCTION("""COMPUTED_VALUE"""),"")</f>
        <v/>
      </c>
      <c r="C18831" s="42" t="str">
        <f>IFERROR(__xludf.DUMMYFUNCTION("""COMPUTED_VALUE"""),"")</f>
        <v/>
      </c>
      <c r="D18831" s="42"/>
      <c r="E18831" s="42"/>
      <c r="F18831" s="48" t="str">
        <f>IFERROR(__xludf.DUMMYFUNCTION("""COMPUTED_VALUE"""),"")</f>
        <v/>
      </c>
      <c r="G18831" s="42" t="str">
        <f>IFERROR(__xludf.DUMMYFUNCTION("""COMPUTED_VALUE"""),"")</f>
        <v/>
      </c>
      <c r="H18831" s="42">
        <f t="shared" si="1"/>
        <v>3345</v>
      </c>
    </row>
    <row r="18832" ht="22.5" customHeight="1">
      <c r="B18832" s="42" t="str">
        <f>IFERROR(__xludf.DUMMYFUNCTION("""COMPUTED_VALUE"""),"")</f>
        <v/>
      </c>
      <c r="C18832" s="42" t="str">
        <f>IFERROR(__xludf.DUMMYFUNCTION("""COMPUTED_VALUE"""),"")</f>
        <v/>
      </c>
      <c r="D18832" s="42"/>
      <c r="E18832" s="42"/>
      <c r="F18832" s="48" t="str">
        <f>IFERROR(__xludf.DUMMYFUNCTION("""COMPUTED_VALUE"""),"")</f>
        <v/>
      </c>
      <c r="G18832" s="42" t="str">
        <f>IFERROR(__xludf.DUMMYFUNCTION("""COMPUTED_VALUE"""),"")</f>
        <v/>
      </c>
      <c r="H18832" s="42">
        <f t="shared" si="1"/>
        <v>3345</v>
      </c>
    </row>
    <row r="18833" ht="22.5" customHeight="1">
      <c r="B18833" s="42" t="str">
        <f>IFERROR(__xludf.DUMMYFUNCTION("""COMPUTED_VALUE"""),"")</f>
        <v/>
      </c>
      <c r="C18833" s="42" t="str">
        <f>IFERROR(__xludf.DUMMYFUNCTION("""COMPUTED_VALUE"""),"")</f>
        <v/>
      </c>
      <c r="D18833" s="42"/>
      <c r="E18833" s="42"/>
      <c r="F18833" s="48" t="str">
        <f>IFERROR(__xludf.DUMMYFUNCTION("""COMPUTED_VALUE"""),"")</f>
        <v/>
      </c>
      <c r="G18833" s="42" t="str">
        <f>IFERROR(__xludf.DUMMYFUNCTION("""COMPUTED_VALUE"""),"")</f>
        <v/>
      </c>
      <c r="H18833" s="42">
        <f t="shared" si="1"/>
        <v>3345</v>
      </c>
    </row>
    <row r="18834" ht="22.5" customHeight="1">
      <c r="B18834" s="42" t="str">
        <f>IFERROR(__xludf.DUMMYFUNCTION("""COMPUTED_VALUE"""),"")</f>
        <v/>
      </c>
      <c r="C18834" s="42" t="str">
        <f>IFERROR(__xludf.DUMMYFUNCTION("""COMPUTED_VALUE"""),"")</f>
        <v/>
      </c>
      <c r="D18834" s="42"/>
      <c r="E18834" s="42"/>
      <c r="F18834" s="48" t="str">
        <f>IFERROR(__xludf.DUMMYFUNCTION("""COMPUTED_VALUE"""),"")</f>
        <v/>
      </c>
      <c r="G18834" s="42" t="str">
        <f>IFERROR(__xludf.DUMMYFUNCTION("""COMPUTED_VALUE"""),"")</f>
        <v/>
      </c>
      <c r="H18834" s="42">
        <f t="shared" si="1"/>
        <v>3345</v>
      </c>
    </row>
    <row r="18835" ht="22.5" customHeight="1">
      <c r="B18835" s="42" t="str">
        <f>IFERROR(__xludf.DUMMYFUNCTION("""COMPUTED_VALUE"""),"")</f>
        <v/>
      </c>
      <c r="C18835" s="42" t="str">
        <f>IFERROR(__xludf.DUMMYFUNCTION("""COMPUTED_VALUE"""),"")</f>
        <v/>
      </c>
      <c r="D18835" s="42"/>
      <c r="E18835" s="42"/>
      <c r="F18835" s="48" t="str">
        <f>IFERROR(__xludf.DUMMYFUNCTION("""COMPUTED_VALUE"""),"")</f>
        <v/>
      </c>
      <c r="G18835" s="42" t="str">
        <f>IFERROR(__xludf.DUMMYFUNCTION("""COMPUTED_VALUE"""),"")</f>
        <v/>
      </c>
      <c r="H18835" s="42">
        <f t="shared" si="1"/>
        <v>3345</v>
      </c>
    </row>
    <row r="18836" ht="22.5" customHeight="1">
      <c r="B18836" s="42" t="str">
        <f>IFERROR(__xludf.DUMMYFUNCTION("""COMPUTED_VALUE"""),"")</f>
        <v/>
      </c>
      <c r="C18836" s="42" t="str">
        <f>IFERROR(__xludf.DUMMYFUNCTION("""COMPUTED_VALUE"""),"")</f>
        <v/>
      </c>
      <c r="D18836" s="42"/>
      <c r="E18836" s="42"/>
      <c r="F18836" s="48" t="str">
        <f>IFERROR(__xludf.DUMMYFUNCTION("""COMPUTED_VALUE"""),"")</f>
        <v/>
      </c>
      <c r="G18836" s="42" t="str">
        <f>IFERROR(__xludf.DUMMYFUNCTION("""COMPUTED_VALUE"""),"")</f>
        <v/>
      </c>
      <c r="H18836" s="42">
        <f t="shared" si="1"/>
        <v>3345</v>
      </c>
    </row>
    <row r="18837" ht="22.5" customHeight="1">
      <c r="B18837" s="42" t="str">
        <f>IFERROR(__xludf.DUMMYFUNCTION("""COMPUTED_VALUE"""),"")</f>
        <v/>
      </c>
      <c r="C18837" s="42" t="str">
        <f>IFERROR(__xludf.DUMMYFUNCTION("""COMPUTED_VALUE"""),"")</f>
        <v/>
      </c>
      <c r="D18837" s="42"/>
      <c r="E18837" s="42"/>
      <c r="F18837" s="48" t="str">
        <f>IFERROR(__xludf.DUMMYFUNCTION("""COMPUTED_VALUE"""),"")</f>
        <v/>
      </c>
      <c r="G18837" s="42" t="str">
        <f>IFERROR(__xludf.DUMMYFUNCTION("""COMPUTED_VALUE"""),"")</f>
        <v/>
      </c>
      <c r="H18837" s="42">
        <f t="shared" si="1"/>
        <v>3345</v>
      </c>
    </row>
    <row r="18838" ht="22.5" customHeight="1">
      <c r="B18838" s="42" t="str">
        <f>IFERROR(__xludf.DUMMYFUNCTION("""COMPUTED_VALUE"""),"")</f>
        <v/>
      </c>
      <c r="C18838" s="42" t="str">
        <f>IFERROR(__xludf.DUMMYFUNCTION("""COMPUTED_VALUE"""),"")</f>
        <v/>
      </c>
      <c r="D18838" s="42"/>
      <c r="E18838" s="42"/>
      <c r="F18838" s="48" t="str">
        <f>IFERROR(__xludf.DUMMYFUNCTION("""COMPUTED_VALUE"""),"")</f>
        <v/>
      </c>
      <c r="G18838" s="42" t="str">
        <f>IFERROR(__xludf.DUMMYFUNCTION("""COMPUTED_VALUE"""),"")</f>
        <v/>
      </c>
      <c r="H18838" s="42">
        <f t="shared" si="1"/>
        <v>3345</v>
      </c>
    </row>
    <row r="18839" ht="22.5" customHeight="1">
      <c r="B18839" s="42" t="str">
        <f>IFERROR(__xludf.DUMMYFUNCTION("""COMPUTED_VALUE"""),"")</f>
        <v/>
      </c>
      <c r="C18839" s="42" t="str">
        <f>IFERROR(__xludf.DUMMYFUNCTION("""COMPUTED_VALUE"""),"")</f>
        <v/>
      </c>
      <c r="D18839" s="42"/>
      <c r="E18839" s="42"/>
      <c r="F18839" s="48" t="str">
        <f>IFERROR(__xludf.DUMMYFUNCTION("""COMPUTED_VALUE"""),"")</f>
        <v/>
      </c>
      <c r="G18839" s="42" t="str">
        <f>IFERROR(__xludf.DUMMYFUNCTION("""COMPUTED_VALUE"""),"")</f>
        <v/>
      </c>
      <c r="H18839" s="42">
        <f t="shared" si="1"/>
        <v>3345</v>
      </c>
    </row>
    <row r="18840" ht="22.5" customHeight="1">
      <c r="B18840" s="42" t="str">
        <f>IFERROR(__xludf.DUMMYFUNCTION("""COMPUTED_VALUE"""),"")</f>
        <v/>
      </c>
      <c r="C18840" s="42" t="str">
        <f>IFERROR(__xludf.DUMMYFUNCTION("""COMPUTED_VALUE"""),"")</f>
        <v/>
      </c>
      <c r="D18840" s="42"/>
      <c r="E18840" s="42"/>
      <c r="F18840" s="48" t="str">
        <f>IFERROR(__xludf.DUMMYFUNCTION("""COMPUTED_VALUE"""),"")</f>
        <v/>
      </c>
      <c r="G18840" s="42" t="str">
        <f>IFERROR(__xludf.DUMMYFUNCTION("""COMPUTED_VALUE"""),"")</f>
        <v/>
      </c>
      <c r="H18840" s="42">
        <f t="shared" si="1"/>
        <v>3345</v>
      </c>
    </row>
    <row r="18841" ht="22.5" customHeight="1">
      <c r="B18841" s="42" t="str">
        <f>IFERROR(__xludf.DUMMYFUNCTION("""COMPUTED_VALUE"""),"")</f>
        <v/>
      </c>
      <c r="C18841" s="42" t="str">
        <f>IFERROR(__xludf.DUMMYFUNCTION("""COMPUTED_VALUE"""),"")</f>
        <v/>
      </c>
      <c r="D18841" s="42"/>
      <c r="E18841" s="42"/>
      <c r="F18841" s="48" t="str">
        <f>IFERROR(__xludf.DUMMYFUNCTION("""COMPUTED_VALUE"""),"")</f>
        <v/>
      </c>
      <c r="G18841" s="42" t="str">
        <f>IFERROR(__xludf.DUMMYFUNCTION("""COMPUTED_VALUE"""),"")</f>
        <v/>
      </c>
      <c r="H18841" s="42">
        <f t="shared" si="1"/>
        <v>3345</v>
      </c>
    </row>
    <row r="18842" ht="22.5" customHeight="1">
      <c r="B18842" s="42" t="str">
        <f>IFERROR(__xludf.DUMMYFUNCTION("""COMPUTED_VALUE"""),"")</f>
        <v/>
      </c>
      <c r="C18842" s="42" t="str">
        <f>IFERROR(__xludf.DUMMYFUNCTION("""COMPUTED_VALUE"""),"")</f>
        <v/>
      </c>
      <c r="D18842" s="42"/>
      <c r="E18842" s="42"/>
      <c r="F18842" s="48" t="str">
        <f>IFERROR(__xludf.DUMMYFUNCTION("""COMPUTED_VALUE"""),"")</f>
        <v/>
      </c>
      <c r="G18842" s="42" t="str">
        <f>IFERROR(__xludf.DUMMYFUNCTION("""COMPUTED_VALUE"""),"")</f>
        <v/>
      </c>
      <c r="H18842" s="42">
        <f t="shared" si="1"/>
        <v>3345</v>
      </c>
    </row>
    <row r="18843" ht="22.5" customHeight="1">
      <c r="B18843" s="42" t="str">
        <f>IFERROR(__xludf.DUMMYFUNCTION("""COMPUTED_VALUE"""),"")</f>
        <v/>
      </c>
      <c r="C18843" s="42" t="str">
        <f>IFERROR(__xludf.DUMMYFUNCTION("""COMPUTED_VALUE"""),"")</f>
        <v/>
      </c>
      <c r="D18843" s="42"/>
      <c r="E18843" s="42"/>
      <c r="F18843" s="48" t="str">
        <f>IFERROR(__xludf.DUMMYFUNCTION("""COMPUTED_VALUE"""),"")</f>
        <v/>
      </c>
      <c r="G18843" s="42" t="str">
        <f>IFERROR(__xludf.DUMMYFUNCTION("""COMPUTED_VALUE"""),"")</f>
        <v/>
      </c>
      <c r="H18843" s="42">
        <f t="shared" si="1"/>
        <v>3345</v>
      </c>
    </row>
    <row r="18844" ht="22.5" customHeight="1">
      <c r="B18844" s="42" t="str">
        <f>IFERROR(__xludf.DUMMYFUNCTION("""COMPUTED_VALUE"""),"")</f>
        <v/>
      </c>
      <c r="C18844" s="42" t="str">
        <f>IFERROR(__xludf.DUMMYFUNCTION("""COMPUTED_VALUE"""),"")</f>
        <v/>
      </c>
      <c r="D18844" s="42"/>
      <c r="E18844" s="42"/>
      <c r="F18844" s="48" t="str">
        <f>IFERROR(__xludf.DUMMYFUNCTION("""COMPUTED_VALUE"""),"")</f>
        <v/>
      </c>
      <c r="G18844" s="42" t="str">
        <f>IFERROR(__xludf.DUMMYFUNCTION("""COMPUTED_VALUE"""),"")</f>
        <v/>
      </c>
      <c r="H18844" s="42">
        <f t="shared" si="1"/>
        <v>3345</v>
      </c>
    </row>
    <row r="18845" ht="22.5" customHeight="1">
      <c r="B18845" s="42" t="str">
        <f>IFERROR(__xludf.DUMMYFUNCTION("""COMPUTED_VALUE"""),"")</f>
        <v/>
      </c>
      <c r="C18845" s="42" t="str">
        <f>IFERROR(__xludf.DUMMYFUNCTION("""COMPUTED_VALUE"""),"")</f>
        <v/>
      </c>
      <c r="D18845" s="42"/>
      <c r="E18845" s="42"/>
      <c r="F18845" s="48" t="str">
        <f>IFERROR(__xludf.DUMMYFUNCTION("""COMPUTED_VALUE"""),"")</f>
        <v/>
      </c>
      <c r="G18845" s="42" t="str">
        <f>IFERROR(__xludf.DUMMYFUNCTION("""COMPUTED_VALUE"""),"")</f>
        <v/>
      </c>
      <c r="H18845" s="42">
        <f t="shared" si="1"/>
        <v>3345</v>
      </c>
    </row>
    <row r="18846" ht="22.5" customHeight="1">
      <c r="B18846" s="42" t="str">
        <f>IFERROR(__xludf.DUMMYFUNCTION("""COMPUTED_VALUE"""),"")</f>
        <v/>
      </c>
      <c r="C18846" s="42" t="str">
        <f>IFERROR(__xludf.DUMMYFUNCTION("""COMPUTED_VALUE"""),"")</f>
        <v/>
      </c>
      <c r="D18846" s="42"/>
      <c r="E18846" s="42"/>
      <c r="F18846" s="48" t="str">
        <f>IFERROR(__xludf.DUMMYFUNCTION("""COMPUTED_VALUE"""),"")</f>
        <v/>
      </c>
      <c r="G18846" s="42" t="str">
        <f>IFERROR(__xludf.DUMMYFUNCTION("""COMPUTED_VALUE"""),"")</f>
        <v/>
      </c>
      <c r="H18846" s="42">
        <f t="shared" si="1"/>
        <v>3345</v>
      </c>
    </row>
    <row r="18847" ht="22.5" customHeight="1">
      <c r="B18847" s="42" t="str">
        <f>IFERROR(__xludf.DUMMYFUNCTION("""COMPUTED_VALUE"""),"")</f>
        <v/>
      </c>
      <c r="C18847" s="42" t="str">
        <f>IFERROR(__xludf.DUMMYFUNCTION("""COMPUTED_VALUE"""),"")</f>
        <v/>
      </c>
      <c r="D18847" s="42"/>
      <c r="E18847" s="42"/>
      <c r="F18847" s="48" t="str">
        <f>IFERROR(__xludf.DUMMYFUNCTION("""COMPUTED_VALUE"""),"")</f>
        <v/>
      </c>
      <c r="G18847" s="42" t="str">
        <f>IFERROR(__xludf.DUMMYFUNCTION("""COMPUTED_VALUE"""),"")</f>
        <v/>
      </c>
      <c r="H18847" s="42">
        <f t="shared" si="1"/>
        <v>3345</v>
      </c>
    </row>
    <row r="18848" ht="22.5" customHeight="1">
      <c r="B18848" s="42" t="str">
        <f>IFERROR(__xludf.DUMMYFUNCTION("""COMPUTED_VALUE"""),"")</f>
        <v/>
      </c>
      <c r="C18848" s="42" t="str">
        <f>IFERROR(__xludf.DUMMYFUNCTION("""COMPUTED_VALUE"""),"")</f>
        <v/>
      </c>
      <c r="D18848" s="42"/>
      <c r="E18848" s="42"/>
      <c r="F18848" s="48" t="str">
        <f>IFERROR(__xludf.DUMMYFUNCTION("""COMPUTED_VALUE"""),"")</f>
        <v/>
      </c>
      <c r="G18848" s="42" t="str">
        <f>IFERROR(__xludf.DUMMYFUNCTION("""COMPUTED_VALUE"""),"")</f>
        <v/>
      </c>
      <c r="H18848" s="42">
        <f t="shared" si="1"/>
        <v>3345</v>
      </c>
    </row>
    <row r="18849" ht="22.5" customHeight="1">
      <c r="B18849" s="42" t="str">
        <f>IFERROR(__xludf.DUMMYFUNCTION("""COMPUTED_VALUE"""),"")</f>
        <v/>
      </c>
      <c r="C18849" s="42" t="str">
        <f>IFERROR(__xludf.DUMMYFUNCTION("""COMPUTED_VALUE"""),"")</f>
        <v/>
      </c>
      <c r="D18849" s="42"/>
      <c r="E18849" s="42"/>
      <c r="F18849" s="48" t="str">
        <f>IFERROR(__xludf.DUMMYFUNCTION("""COMPUTED_VALUE"""),"")</f>
        <v/>
      </c>
      <c r="G18849" s="42" t="str">
        <f>IFERROR(__xludf.DUMMYFUNCTION("""COMPUTED_VALUE"""),"")</f>
        <v/>
      </c>
      <c r="H18849" s="42">
        <f t="shared" si="1"/>
        <v>3345</v>
      </c>
    </row>
    <row r="18850" ht="22.5" customHeight="1">
      <c r="B18850" s="42" t="str">
        <f>IFERROR(__xludf.DUMMYFUNCTION("""COMPUTED_VALUE"""),"")</f>
        <v/>
      </c>
      <c r="C18850" s="42" t="str">
        <f>IFERROR(__xludf.DUMMYFUNCTION("""COMPUTED_VALUE"""),"")</f>
        <v/>
      </c>
      <c r="D18850" s="42"/>
      <c r="E18850" s="42"/>
      <c r="F18850" s="48" t="str">
        <f>IFERROR(__xludf.DUMMYFUNCTION("""COMPUTED_VALUE"""),"")</f>
        <v/>
      </c>
      <c r="G18850" s="42" t="str">
        <f>IFERROR(__xludf.DUMMYFUNCTION("""COMPUTED_VALUE"""),"")</f>
        <v/>
      </c>
      <c r="H18850" s="42">
        <f t="shared" si="1"/>
        <v>3345</v>
      </c>
    </row>
    <row r="18851" ht="22.5" customHeight="1">
      <c r="B18851" s="42" t="str">
        <f>IFERROR(__xludf.DUMMYFUNCTION("""COMPUTED_VALUE"""),"")</f>
        <v/>
      </c>
      <c r="C18851" s="42" t="str">
        <f>IFERROR(__xludf.DUMMYFUNCTION("""COMPUTED_VALUE"""),"")</f>
        <v/>
      </c>
      <c r="D18851" s="42"/>
      <c r="E18851" s="42"/>
      <c r="F18851" s="48" t="str">
        <f>IFERROR(__xludf.DUMMYFUNCTION("""COMPUTED_VALUE"""),"")</f>
        <v/>
      </c>
      <c r="G18851" s="42" t="str">
        <f>IFERROR(__xludf.DUMMYFUNCTION("""COMPUTED_VALUE"""),"")</f>
        <v/>
      </c>
      <c r="H18851" s="42">
        <f t="shared" si="1"/>
        <v>3345</v>
      </c>
    </row>
    <row r="18852" ht="22.5" customHeight="1">
      <c r="B18852" s="42" t="str">
        <f>IFERROR(__xludf.DUMMYFUNCTION("""COMPUTED_VALUE"""),"")</f>
        <v/>
      </c>
      <c r="C18852" s="42" t="str">
        <f>IFERROR(__xludf.DUMMYFUNCTION("""COMPUTED_VALUE"""),"")</f>
        <v/>
      </c>
      <c r="D18852" s="42"/>
      <c r="E18852" s="42"/>
      <c r="F18852" s="48" t="str">
        <f>IFERROR(__xludf.DUMMYFUNCTION("""COMPUTED_VALUE"""),"")</f>
        <v/>
      </c>
      <c r="G18852" s="42" t="str">
        <f>IFERROR(__xludf.DUMMYFUNCTION("""COMPUTED_VALUE"""),"")</f>
        <v/>
      </c>
      <c r="H18852" s="42">
        <f t="shared" si="1"/>
        <v>3345</v>
      </c>
    </row>
    <row r="18853" ht="22.5" customHeight="1">
      <c r="B18853" s="42" t="str">
        <f>IFERROR(__xludf.DUMMYFUNCTION("""COMPUTED_VALUE"""),"")</f>
        <v/>
      </c>
      <c r="C18853" s="42" t="str">
        <f>IFERROR(__xludf.DUMMYFUNCTION("""COMPUTED_VALUE"""),"")</f>
        <v/>
      </c>
      <c r="D18853" s="42"/>
      <c r="E18853" s="42"/>
      <c r="F18853" s="48" t="str">
        <f>IFERROR(__xludf.DUMMYFUNCTION("""COMPUTED_VALUE"""),"")</f>
        <v/>
      </c>
      <c r="G18853" s="42" t="str">
        <f>IFERROR(__xludf.DUMMYFUNCTION("""COMPUTED_VALUE"""),"")</f>
        <v/>
      </c>
      <c r="H18853" s="42">
        <f t="shared" si="1"/>
        <v>3345</v>
      </c>
    </row>
    <row r="18854" ht="22.5" customHeight="1">
      <c r="B18854" s="42" t="str">
        <f>IFERROR(__xludf.DUMMYFUNCTION("""COMPUTED_VALUE"""),"")</f>
        <v/>
      </c>
      <c r="C18854" s="42" t="str">
        <f>IFERROR(__xludf.DUMMYFUNCTION("""COMPUTED_VALUE"""),"")</f>
        <v/>
      </c>
      <c r="D18854" s="42"/>
      <c r="E18854" s="42"/>
      <c r="F18854" s="48" t="str">
        <f>IFERROR(__xludf.DUMMYFUNCTION("""COMPUTED_VALUE"""),"")</f>
        <v/>
      </c>
      <c r="G18854" s="42" t="str">
        <f>IFERROR(__xludf.DUMMYFUNCTION("""COMPUTED_VALUE"""),"")</f>
        <v/>
      </c>
      <c r="H18854" s="42">
        <f t="shared" si="1"/>
        <v>3345</v>
      </c>
    </row>
    <row r="18855" ht="22.5" customHeight="1">
      <c r="B18855" s="42" t="str">
        <f>IFERROR(__xludf.DUMMYFUNCTION("""COMPUTED_VALUE"""),"")</f>
        <v/>
      </c>
      <c r="C18855" s="42" t="str">
        <f>IFERROR(__xludf.DUMMYFUNCTION("""COMPUTED_VALUE"""),"")</f>
        <v/>
      </c>
      <c r="D18855" s="42"/>
      <c r="E18855" s="42"/>
      <c r="F18855" s="48" t="str">
        <f>IFERROR(__xludf.DUMMYFUNCTION("""COMPUTED_VALUE"""),"")</f>
        <v/>
      </c>
      <c r="G18855" s="42" t="str">
        <f>IFERROR(__xludf.DUMMYFUNCTION("""COMPUTED_VALUE"""),"")</f>
        <v/>
      </c>
      <c r="H18855" s="42">
        <f t="shared" si="1"/>
        <v>3345</v>
      </c>
    </row>
    <row r="18856" ht="22.5" customHeight="1">
      <c r="B18856" s="42" t="str">
        <f>IFERROR(__xludf.DUMMYFUNCTION("""COMPUTED_VALUE"""),"")</f>
        <v/>
      </c>
      <c r="C18856" s="42" t="str">
        <f>IFERROR(__xludf.DUMMYFUNCTION("""COMPUTED_VALUE"""),"")</f>
        <v/>
      </c>
      <c r="D18856" s="42"/>
      <c r="E18856" s="42"/>
      <c r="F18856" s="48" t="str">
        <f>IFERROR(__xludf.DUMMYFUNCTION("""COMPUTED_VALUE"""),"")</f>
        <v/>
      </c>
      <c r="G18856" s="42" t="str">
        <f>IFERROR(__xludf.DUMMYFUNCTION("""COMPUTED_VALUE"""),"")</f>
        <v/>
      </c>
      <c r="H18856" s="42">
        <f t="shared" si="1"/>
        <v>3345</v>
      </c>
    </row>
    <row r="18857" ht="22.5" customHeight="1">
      <c r="B18857" s="42" t="str">
        <f>IFERROR(__xludf.DUMMYFUNCTION("""COMPUTED_VALUE"""),"")</f>
        <v/>
      </c>
      <c r="C18857" s="42" t="str">
        <f>IFERROR(__xludf.DUMMYFUNCTION("""COMPUTED_VALUE"""),"")</f>
        <v/>
      </c>
      <c r="D18857" s="42"/>
      <c r="E18857" s="42"/>
      <c r="F18857" s="48" t="str">
        <f>IFERROR(__xludf.DUMMYFUNCTION("""COMPUTED_VALUE"""),"")</f>
        <v/>
      </c>
      <c r="G18857" s="42" t="str">
        <f>IFERROR(__xludf.DUMMYFUNCTION("""COMPUTED_VALUE"""),"")</f>
        <v/>
      </c>
      <c r="H18857" s="42">
        <f t="shared" si="1"/>
        <v>3345</v>
      </c>
    </row>
    <row r="18858" ht="22.5" customHeight="1">
      <c r="B18858" s="42" t="str">
        <f>IFERROR(__xludf.DUMMYFUNCTION("""COMPUTED_VALUE"""),"")</f>
        <v/>
      </c>
      <c r="C18858" s="42" t="str">
        <f>IFERROR(__xludf.DUMMYFUNCTION("""COMPUTED_VALUE"""),"")</f>
        <v/>
      </c>
      <c r="D18858" s="42"/>
      <c r="E18858" s="42"/>
      <c r="F18858" s="48" t="str">
        <f>IFERROR(__xludf.DUMMYFUNCTION("""COMPUTED_VALUE"""),"")</f>
        <v/>
      </c>
      <c r="G18858" s="42" t="str">
        <f>IFERROR(__xludf.DUMMYFUNCTION("""COMPUTED_VALUE"""),"")</f>
        <v/>
      </c>
      <c r="H18858" s="42">
        <f t="shared" si="1"/>
        <v>3345</v>
      </c>
    </row>
    <row r="18859" ht="22.5" customHeight="1">
      <c r="B18859" s="42" t="str">
        <f>IFERROR(__xludf.DUMMYFUNCTION("""COMPUTED_VALUE"""),"")</f>
        <v/>
      </c>
      <c r="C18859" s="42" t="str">
        <f>IFERROR(__xludf.DUMMYFUNCTION("""COMPUTED_VALUE"""),"")</f>
        <v/>
      </c>
      <c r="D18859" s="42"/>
      <c r="E18859" s="42"/>
      <c r="F18859" s="48" t="str">
        <f>IFERROR(__xludf.DUMMYFUNCTION("""COMPUTED_VALUE"""),"")</f>
        <v/>
      </c>
      <c r="G18859" s="42" t="str">
        <f>IFERROR(__xludf.DUMMYFUNCTION("""COMPUTED_VALUE"""),"")</f>
        <v/>
      </c>
      <c r="H18859" s="42">
        <f t="shared" si="1"/>
        <v>3345</v>
      </c>
    </row>
    <row r="18860" ht="22.5" customHeight="1">
      <c r="B18860" s="42" t="str">
        <f>IFERROR(__xludf.DUMMYFUNCTION("""COMPUTED_VALUE"""),"")</f>
        <v/>
      </c>
      <c r="C18860" s="42" t="str">
        <f>IFERROR(__xludf.DUMMYFUNCTION("""COMPUTED_VALUE"""),"")</f>
        <v/>
      </c>
      <c r="D18860" s="42"/>
      <c r="E18860" s="42"/>
      <c r="F18860" s="48" t="str">
        <f>IFERROR(__xludf.DUMMYFUNCTION("""COMPUTED_VALUE"""),"")</f>
        <v/>
      </c>
      <c r="G18860" s="42" t="str">
        <f>IFERROR(__xludf.DUMMYFUNCTION("""COMPUTED_VALUE"""),"")</f>
        <v/>
      </c>
      <c r="H18860" s="42">
        <f t="shared" si="1"/>
        <v>3345</v>
      </c>
    </row>
    <row r="18861" ht="22.5" customHeight="1">
      <c r="B18861" s="42" t="str">
        <f>IFERROR(__xludf.DUMMYFUNCTION("""COMPUTED_VALUE"""),"")</f>
        <v/>
      </c>
      <c r="C18861" s="42" t="str">
        <f>IFERROR(__xludf.DUMMYFUNCTION("""COMPUTED_VALUE"""),"")</f>
        <v/>
      </c>
      <c r="D18861" s="42"/>
      <c r="E18861" s="42"/>
      <c r="F18861" s="48" t="str">
        <f>IFERROR(__xludf.DUMMYFUNCTION("""COMPUTED_VALUE"""),"")</f>
        <v/>
      </c>
      <c r="G18861" s="42" t="str">
        <f>IFERROR(__xludf.DUMMYFUNCTION("""COMPUTED_VALUE"""),"")</f>
        <v/>
      </c>
      <c r="H18861" s="42">
        <f t="shared" si="1"/>
        <v>3345</v>
      </c>
    </row>
    <row r="18862" ht="22.5" customHeight="1">
      <c r="B18862" s="42" t="str">
        <f>IFERROR(__xludf.DUMMYFUNCTION("""COMPUTED_VALUE"""),"")</f>
        <v/>
      </c>
      <c r="C18862" s="42" t="str">
        <f>IFERROR(__xludf.DUMMYFUNCTION("""COMPUTED_VALUE"""),"")</f>
        <v/>
      </c>
      <c r="D18862" s="42"/>
      <c r="E18862" s="42"/>
      <c r="F18862" s="48" t="str">
        <f>IFERROR(__xludf.DUMMYFUNCTION("""COMPUTED_VALUE"""),"")</f>
        <v/>
      </c>
      <c r="G18862" s="42" t="str">
        <f>IFERROR(__xludf.DUMMYFUNCTION("""COMPUTED_VALUE"""),"")</f>
        <v/>
      </c>
      <c r="H18862" s="42">
        <f t="shared" si="1"/>
        <v>3345</v>
      </c>
    </row>
    <row r="18863" ht="22.5" customHeight="1">
      <c r="B18863" s="42" t="str">
        <f>IFERROR(__xludf.DUMMYFUNCTION("""COMPUTED_VALUE"""),"")</f>
        <v/>
      </c>
      <c r="C18863" s="42" t="str">
        <f>IFERROR(__xludf.DUMMYFUNCTION("""COMPUTED_VALUE"""),"")</f>
        <v/>
      </c>
      <c r="D18863" s="42"/>
      <c r="E18863" s="42"/>
      <c r="F18863" s="48" t="str">
        <f>IFERROR(__xludf.DUMMYFUNCTION("""COMPUTED_VALUE"""),"")</f>
        <v/>
      </c>
      <c r="G18863" s="42" t="str">
        <f>IFERROR(__xludf.DUMMYFUNCTION("""COMPUTED_VALUE"""),"")</f>
        <v/>
      </c>
      <c r="H18863" s="42">
        <f t="shared" si="1"/>
        <v>3345</v>
      </c>
    </row>
    <row r="18864" ht="22.5" customHeight="1">
      <c r="B18864" s="42" t="str">
        <f>IFERROR(__xludf.DUMMYFUNCTION("""COMPUTED_VALUE"""),"")</f>
        <v/>
      </c>
      <c r="C18864" s="42" t="str">
        <f>IFERROR(__xludf.DUMMYFUNCTION("""COMPUTED_VALUE"""),"")</f>
        <v/>
      </c>
      <c r="D18864" s="42"/>
      <c r="E18864" s="42"/>
      <c r="F18864" s="48" t="str">
        <f>IFERROR(__xludf.DUMMYFUNCTION("""COMPUTED_VALUE"""),"")</f>
        <v/>
      </c>
      <c r="G18864" s="42" t="str">
        <f>IFERROR(__xludf.DUMMYFUNCTION("""COMPUTED_VALUE"""),"")</f>
        <v/>
      </c>
      <c r="H18864" s="42">
        <f t="shared" si="1"/>
        <v>3345</v>
      </c>
    </row>
    <row r="18865" ht="22.5" customHeight="1">
      <c r="B18865" s="42" t="str">
        <f>IFERROR(__xludf.DUMMYFUNCTION("""COMPUTED_VALUE"""),"")</f>
        <v/>
      </c>
      <c r="C18865" s="42" t="str">
        <f>IFERROR(__xludf.DUMMYFUNCTION("""COMPUTED_VALUE"""),"")</f>
        <v/>
      </c>
      <c r="D18865" s="42"/>
      <c r="E18865" s="42"/>
      <c r="F18865" s="48" t="str">
        <f>IFERROR(__xludf.DUMMYFUNCTION("""COMPUTED_VALUE"""),"")</f>
        <v/>
      </c>
      <c r="G18865" s="42" t="str">
        <f>IFERROR(__xludf.DUMMYFUNCTION("""COMPUTED_VALUE"""),"")</f>
        <v/>
      </c>
      <c r="H18865" s="42">
        <f t="shared" si="1"/>
        <v>3345</v>
      </c>
    </row>
    <row r="18866" ht="22.5" customHeight="1">
      <c r="B18866" s="42" t="str">
        <f>IFERROR(__xludf.DUMMYFUNCTION("""COMPUTED_VALUE"""),"")</f>
        <v/>
      </c>
      <c r="C18866" s="42" t="str">
        <f>IFERROR(__xludf.DUMMYFUNCTION("""COMPUTED_VALUE"""),"")</f>
        <v/>
      </c>
      <c r="D18866" s="42"/>
      <c r="E18866" s="42"/>
      <c r="F18866" s="48" t="str">
        <f>IFERROR(__xludf.DUMMYFUNCTION("""COMPUTED_VALUE"""),"")</f>
        <v/>
      </c>
      <c r="G18866" s="42" t="str">
        <f>IFERROR(__xludf.DUMMYFUNCTION("""COMPUTED_VALUE"""),"")</f>
        <v/>
      </c>
      <c r="H18866" s="42">
        <f t="shared" si="1"/>
        <v>3345</v>
      </c>
    </row>
    <row r="18867" ht="22.5" customHeight="1">
      <c r="B18867" s="42" t="str">
        <f>IFERROR(__xludf.DUMMYFUNCTION("""COMPUTED_VALUE"""),"")</f>
        <v/>
      </c>
      <c r="C18867" s="42" t="str">
        <f>IFERROR(__xludf.DUMMYFUNCTION("""COMPUTED_VALUE"""),"")</f>
        <v/>
      </c>
      <c r="D18867" s="42"/>
      <c r="E18867" s="42"/>
      <c r="F18867" s="48" t="str">
        <f>IFERROR(__xludf.DUMMYFUNCTION("""COMPUTED_VALUE"""),"")</f>
        <v/>
      </c>
      <c r="G18867" s="42" t="str">
        <f>IFERROR(__xludf.DUMMYFUNCTION("""COMPUTED_VALUE"""),"")</f>
        <v/>
      </c>
      <c r="H18867" s="42">
        <f t="shared" si="1"/>
        <v>3345</v>
      </c>
    </row>
    <row r="18868" ht="22.5" customHeight="1">
      <c r="B18868" s="42" t="str">
        <f>IFERROR(__xludf.DUMMYFUNCTION("""COMPUTED_VALUE"""),"")</f>
        <v/>
      </c>
      <c r="C18868" s="42" t="str">
        <f>IFERROR(__xludf.DUMMYFUNCTION("""COMPUTED_VALUE"""),"")</f>
        <v/>
      </c>
      <c r="D18868" s="42"/>
      <c r="E18868" s="42"/>
      <c r="F18868" s="48" t="str">
        <f>IFERROR(__xludf.DUMMYFUNCTION("""COMPUTED_VALUE"""),"")</f>
        <v/>
      </c>
      <c r="G18868" s="42" t="str">
        <f>IFERROR(__xludf.DUMMYFUNCTION("""COMPUTED_VALUE"""),"")</f>
        <v/>
      </c>
      <c r="H18868" s="42">
        <f t="shared" si="1"/>
        <v>3345</v>
      </c>
    </row>
    <row r="18869" ht="22.5" customHeight="1">
      <c r="B18869" s="42" t="str">
        <f>IFERROR(__xludf.DUMMYFUNCTION("""COMPUTED_VALUE"""),"")</f>
        <v/>
      </c>
      <c r="C18869" s="42" t="str">
        <f>IFERROR(__xludf.DUMMYFUNCTION("""COMPUTED_VALUE"""),"")</f>
        <v/>
      </c>
      <c r="D18869" s="42"/>
      <c r="E18869" s="42"/>
      <c r="F18869" s="48" t="str">
        <f>IFERROR(__xludf.DUMMYFUNCTION("""COMPUTED_VALUE"""),"")</f>
        <v/>
      </c>
      <c r="G18869" s="42" t="str">
        <f>IFERROR(__xludf.DUMMYFUNCTION("""COMPUTED_VALUE"""),"")</f>
        <v/>
      </c>
      <c r="H18869" s="42">
        <f t="shared" si="1"/>
        <v>3345</v>
      </c>
    </row>
    <row r="18870" ht="22.5" customHeight="1">
      <c r="B18870" s="42" t="str">
        <f>IFERROR(__xludf.DUMMYFUNCTION("""COMPUTED_VALUE"""),"")</f>
        <v/>
      </c>
      <c r="C18870" s="42" t="str">
        <f>IFERROR(__xludf.DUMMYFUNCTION("""COMPUTED_VALUE"""),"")</f>
        <v/>
      </c>
      <c r="D18870" s="42"/>
      <c r="E18870" s="42"/>
      <c r="F18870" s="48" t="str">
        <f>IFERROR(__xludf.DUMMYFUNCTION("""COMPUTED_VALUE"""),"")</f>
        <v/>
      </c>
      <c r="G18870" s="42" t="str">
        <f>IFERROR(__xludf.DUMMYFUNCTION("""COMPUTED_VALUE"""),"")</f>
        <v/>
      </c>
      <c r="H18870" s="42">
        <f t="shared" si="1"/>
        <v>3345</v>
      </c>
    </row>
    <row r="18871" ht="22.5" customHeight="1">
      <c r="B18871" s="42" t="str">
        <f>IFERROR(__xludf.DUMMYFUNCTION("""COMPUTED_VALUE"""),"")</f>
        <v/>
      </c>
      <c r="C18871" s="42" t="str">
        <f>IFERROR(__xludf.DUMMYFUNCTION("""COMPUTED_VALUE"""),"")</f>
        <v/>
      </c>
      <c r="D18871" s="42"/>
      <c r="E18871" s="42"/>
      <c r="F18871" s="48" t="str">
        <f>IFERROR(__xludf.DUMMYFUNCTION("""COMPUTED_VALUE"""),"")</f>
        <v/>
      </c>
      <c r="G18871" s="42" t="str">
        <f>IFERROR(__xludf.DUMMYFUNCTION("""COMPUTED_VALUE"""),"")</f>
        <v/>
      </c>
      <c r="H18871" s="42">
        <f t="shared" si="1"/>
        <v>3345</v>
      </c>
    </row>
    <row r="18872" ht="22.5" customHeight="1">
      <c r="B18872" s="42" t="str">
        <f>IFERROR(__xludf.DUMMYFUNCTION("""COMPUTED_VALUE"""),"")</f>
        <v/>
      </c>
      <c r="C18872" s="42" t="str">
        <f>IFERROR(__xludf.DUMMYFUNCTION("""COMPUTED_VALUE"""),"")</f>
        <v/>
      </c>
      <c r="D18872" s="42"/>
      <c r="E18872" s="42"/>
      <c r="F18872" s="48" t="str">
        <f>IFERROR(__xludf.DUMMYFUNCTION("""COMPUTED_VALUE"""),"")</f>
        <v/>
      </c>
      <c r="G18872" s="42" t="str">
        <f>IFERROR(__xludf.DUMMYFUNCTION("""COMPUTED_VALUE"""),"")</f>
        <v/>
      </c>
      <c r="H18872" s="42">
        <f t="shared" si="1"/>
        <v>3345</v>
      </c>
    </row>
    <row r="18873" ht="22.5" customHeight="1">
      <c r="B18873" s="42" t="str">
        <f>IFERROR(__xludf.DUMMYFUNCTION("""COMPUTED_VALUE"""),"")</f>
        <v/>
      </c>
      <c r="C18873" s="42" t="str">
        <f>IFERROR(__xludf.DUMMYFUNCTION("""COMPUTED_VALUE"""),"")</f>
        <v/>
      </c>
      <c r="D18873" s="42"/>
      <c r="E18873" s="42"/>
      <c r="F18873" s="48" t="str">
        <f>IFERROR(__xludf.DUMMYFUNCTION("""COMPUTED_VALUE"""),"")</f>
        <v/>
      </c>
      <c r="G18873" s="42" t="str">
        <f>IFERROR(__xludf.DUMMYFUNCTION("""COMPUTED_VALUE"""),"")</f>
        <v/>
      </c>
      <c r="H18873" s="42">
        <f t="shared" si="1"/>
        <v>3345</v>
      </c>
    </row>
    <row r="18874" ht="22.5" customHeight="1">
      <c r="B18874" s="42" t="str">
        <f>IFERROR(__xludf.DUMMYFUNCTION("""COMPUTED_VALUE"""),"")</f>
        <v/>
      </c>
      <c r="C18874" s="42" t="str">
        <f>IFERROR(__xludf.DUMMYFUNCTION("""COMPUTED_VALUE"""),"")</f>
        <v/>
      </c>
      <c r="D18874" s="42"/>
      <c r="E18874" s="42"/>
      <c r="F18874" s="48" t="str">
        <f>IFERROR(__xludf.DUMMYFUNCTION("""COMPUTED_VALUE"""),"")</f>
        <v/>
      </c>
      <c r="G18874" s="42" t="str">
        <f>IFERROR(__xludf.DUMMYFUNCTION("""COMPUTED_VALUE"""),"")</f>
        <v/>
      </c>
      <c r="H18874" s="42">
        <f t="shared" si="1"/>
        <v>3345</v>
      </c>
    </row>
    <row r="18875" ht="22.5" customHeight="1">
      <c r="B18875" s="42" t="str">
        <f>IFERROR(__xludf.DUMMYFUNCTION("""COMPUTED_VALUE"""),"")</f>
        <v/>
      </c>
      <c r="C18875" s="42" t="str">
        <f>IFERROR(__xludf.DUMMYFUNCTION("""COMPUTED_VALUE"""),"")</f>
        <v/>
      </c>
      <c r="D18875" s="42"/>
      <c r="E18875" s="42"/>
      <c r="F18875" s="48" t="str">
        <f>IFERROR(__xludf.DUMMYFUNCTION("""COMPUTED_VALUE"""),"")</f>
        <v/>
      </c>
      <c r="G18875" s="42" t="str">
        <f>IFERROR(__xludf.DUMMYFUNCTION("""COMPUTED_VALUE"""),"")</f>
        <v/>
      </c>
      <c r="H18875" s="42">
        <f t="shared" si="1"/>
        <v>3345</v>
      </c>
    </row>
    <row r="18876" ht="22.5" customHeight="1">
      <c r="B18876" s="42" t="str">
        <f>IFERROR(__xludf.DUMMYFUNCTION("""COMPUTED_VALUE"""),"")</f>
        <v/>
      </c>
      <c r="C18876" s="42" t="str">
        <f>IFERROR(__xludf.DUMMYFUNCTION("""COMPUTED_VALUE"""),"")</f>
        <v/>
      </c>
      <c r="D18876" s="42"/>
      <c r="E18876" s="42"/>
      <c r="F18876" s="48" t="str">
        <f>IFERROR(__xludf.DUMMYFUNCTION("""COMPUTED_VALUE"""),"")</f>
        <v/>
      </c>
      <c r="G18876" s="42" t="str">
        <f>IFERROR(__xludf.DUMMYFUNCTION("""COMPUTED_VALUE"""),"")</f>
        <v/>
      </c>
      <c r="H18876" s="42">
        <f t="shared" si="1"/>
        <v>3345</v>
      </c>
    </row>
    <row r="18877" ht="22.5" customHeight="1">
      <c r="B18877" s="42" t="str">
        <f>IFERROR(__xludf.DUMMYFUNCTION("""COMPUTED_VALUE"""),"")</f>
        <v/>
      </c>
      <c r="C18877" s="42" t="str">
        <f>IFERROR(__xludf.DUMMYFUNCTION("""COMPUTED_VALUE"""),"")</f>
        <v/>
      </c>
      <c r="D18877" s="42"/>
      <c r="E18877" s="42"/>
      <c r="F18877" s="48" t="str">
        <f>IFERROR(__xludf.DUMMYFUNCTION("""COMPUTED_VALUE"""),"")</f>
        <v/>
      </c>
      <c r="G18877" s="42" t="str">
        <f>IFERROR(__xludf.DUMMYFUNCTION("""COMPUTED_VALUE"""),"")</f>
        <v/>
      </c>
      <c r="H18877" s="42">
        <f t="shared" si="1"/>
        <v>3345</v>
      </c>
    </row>
    <row r="18878" ht="22.5" customHeight="1">
      <c r="B18878" s="42" t="str">
        <f>IFERROR(__xludf.DUMMYFUNCTION("""COMPUTED_VALUE"""),"")</f>
        <v/>
      </c>
      <c r="C18878" s="42" t="str">
        <f>IFERROR(__xludf.DUMMYFUNCTION("""COMPUTED_VALUE"""),"")</f>
        <v/>
      </c>
      <c r="D18878" s="42"/>
      <c r="E18878" s="42"/>
      <c r="F18878" s="48" t="str">
        <f>IFERROR(__xludf.DUMMYFUNCTION("""COMPUTED_VALUE"""),"")</f>
        <v/>
      </c>
      <c r="G18878" s="42" t="str">
        <f>IFERROR(__xludf.DUMMYFUNCTION("""COMPUTED_VALUE"""),"")</f>
        <v/>
      </c>
      <c r="H18878" s="42">
        <f t="shared" si="1"/>
        <v>3345</v>
      </c>
    </row>
    <row r="18879" ht="22.5" customHeight="1">
      <c r="B18879" s="42" t="str">
        <f>IFERROR(__xludf.DUMMYFUNCTION("""COMPUTED_VALUE"""),"")</f>
        <v/>
      </c>
      <c r="C18879" s="42" t="str">
        <f>IFERROR(__xludf.DUMMYFUNCTION("""COMPUTED_VALUE"""),"")</f>
        <v/>
      </c>
      <c r="D18879" s="42"/>
      <c r="E18879" s="42"/>
      <c r="F18879" s="48" t="str">
        <f>IFERROR(__xludf.DUMMYFUNCTION("""COMPUTED_VALUE"""),"")</f>
        <v/>
      </c>
      <c r="G18879" s="42" t="str">
        <f>IFERROR(__xludf.DUMMYFUNCTION("""COMPUTED_VALUE"""),"")</f>
        <v/>
      </c>
      <c r="H18879" s="42">
        <f t="shared" si="1"/>
        <v>3345</v>
      </c>
    </row>
    <row r="18880" ht="22.5" customHeight="1">
      <c r="B18880" s="42" t="str">
        <f>IFERROR(__xludf.DUMMYFUNCTION("""COMPUTED_VALUE"""),"")</f>
        <v/>
      </c>
      <c r="C18880" s="42" t="str">
        <f>IFERROR(__xludf.DUMMYFUNCTION("""COMPUTED_VALUE"""),"")</f>
        <v/>
      </c>
      <c r="D18880" s="42"/>
      <c r="E18880" s="42"/>
      <c r="F18880" s="48" t="str">
        <f>IFERROR(__xludf.DUMMYFUNCTION("""COMPUTED_VALUE"""),"")</f>
        <v/>
      </c>
      <c r="G18880" s="42" t="str">
        <f>IFERROR(__xludf.DUMMYFUNCTION("""COMPUTED_VALUE"""),"")</f>
        <v/>
      </c>
      <c r="H18880" s="42">
        <f t="shared" si="1"/>
        <v>3345</v>
      </c>
    </row>
    <row r="18881" ht="22.5" customHeight="1">
      <c r="B18881" s="42" t="str">
        <f>IFERROR(__xludf.DUMMYFUNCTION("""COMPUTED_VALUE"""),"")</f>
        <v/>
      </c>
      <c r="C18881" s="42" t="str">
        <f>IFERROR(__xludf.DUMMYFUNCTION("""COMPUTED_VALUE"""),"")</f>
        <v/>
      </c>
      <c r="D18881" s="42"/>
      <c r="E18881" s="42"/>
      <c r="F18881" s="48" t="str">
        <f>IFERROR(__xludf.DUMMYFUNCTION("""COMPUTED_VALUE"""),"")</f>
        <v/>
      </c>
      <c r="G18881" s="42" t="str">
        <f>IFERROR(__xludf.DUMMYFUNCTION("""COMPUTED_VALUE"""),"")</f>
        <v/>
      </c>
      <c r="H18881" s="42">
        <f t="shared" si="1"/>
        <v>3345</v>
      </c>
    </row>
    <row r="18882" ht="22.5" customHeight="1">
      <c r="B18882" s="42" t="str">
        <f>IFERROR(__xludf.DUMMYFUNCTION("""COMPUTED_VALUE"""),"")</f>
        <v/>
      </c>
      <c r="C18882" s="42" t="str">
        <f>IFERROR(__xludf.DUMMYFUNCTION("""COMPUTED_VALUE"""),"")</f>
        <v/>
      </c>
      <c r="D18882" s="42"/>
      <c r="E18882" s="42"/>
      <c r="F18882" s="48" t="str">
        <f>IFERROR(__xludf.DUMMYFUNCTION("""COMPUTED_VALUE"""),"")</f>
        <v/>
      </c>
      <c r="G18882" s="42" t="str">
        <f>IFERROR(__xludf.DUMMYFUNCTION("""COMPUTED_VALUE"""),"")</f>
        <v/>
      </c>
      <c r="H18882" s="42">
        <f t="shared" si="1"/>
        <v>3345</v>
      </c>
    </row>
    <row r="18883" ht="22.5" customHeight="1">
      <c r="B18883" s="42" t="str">
        <f>IFERROR(__xludf.DUMMYFUNCTION("""COMPUTED_VALUE"""),"")</f>
        <v/>
      </c>
      <c r="C18883" s="42" t="str">
        <f>IFERROR(__xludf.DUMMYFUNCTION("""COMPUTED_VALUE"""),"")</f>
        <v/>
      </c>
      <c r="D18883" s="42"/>
      <c r="E18883" s="42"/>
      <c r="F18883" s="48" t="str">
        <f>IFERROR(__xludf.DUMMYFUNCTION("""COMPUTED_VALUE"""),"")</f>
        <v/>
      </c>
      <c r="G18883" s="42" t="str">
        <f>IFERROR(__xludf.DUMMYFUNCTION("""COMPUTED_VALUE"""),"")</f>
        <v/>
      </c>
      <c r="H18883" s="42">
        <f t="shared" si="1"/>
        <v>3345</v>
      </c>
    </row>
    <row r="18884" ht="22.5" customHeight="1">
      <c r="B18884" s="42" t="str">
        <f>IFERROR(__xludf.DUMMYFUNCTION("""COMPUTED_VALUE"""),"")</f>
        <v/>
      </c>
      <c r="C18884" s="42" t="str">
        <f>IFERROR(__xludf.DUMMYFUNCTION("""COMPUTED_VALUE"""),"")</f>
        <v/>
      </c>
      <c r="D18884" s="42"/>
      <c r="E18884" s="42"/>
      <c r="F18884" s="48" t="str">
        <f>IFERROR(__xludf.DUMMYFUNCTION("""COMPUTED_VALUE"""),"")</f>
        <v/>
      </c>
      <c r="G18884" s="42" t="str">
        <f>IFERROR(__xludf.DUMMYFUNCTION("""COMPUTED_VALUE"""),"")</f>
        <v/>
      </c>
      <c r="H18884" s="42">
        <f t="shared" si="1"/>
        <v>3345</v>
      </c>
    </row>
    <row r="18885" ht="22.5" customHeight="1">
      <c r="B18885" s="42" t="str">
        <f>IFERROR(__xludf.DUMMYFUNCTION("""COMPUTED_VALUE"""),"")</f>
        <v/>
      </c>
      <c r="C18885" s="42" t="str">
        <f>IFERROR(__xludf.DUMMYFUNCTION("""COMPUTED_VALUE"""),"")</f>
        <v/>
      </c>
      <c r="D18885" s="42"/>
      <c r="E18885" s="42"/>
      <c r="F18885" s="48" t="str">
        <f>IFERROR(__xludf.DUMMYFUNCTION("""COMPUTED_VALUE"""),"")</f>
        <v/>
      </c>
      <c r="G18885" s="42" t="str">
        <f>IFERROR(__xludf.DUMMYFUNCTION("""COMPUTED_VALUE"""),"")</f>
        <v/>
      </c>
      <c r="H18885" s="42">
        <f t="shared" si="1"/>
        <v>3345</v>
      </c>
    </row>
    <row r="18886" ht="22.5" customHeight="1">
      <c r="B18886" s="42" t="str">
        <f>IFERROR(__xludf.DUMMYFUNCTION("""COMPUTED_VALUE"""),"")</f>
        <v/>
      </c>
      <c r="C18886" s="42" t="str">
        <f>IFERROR(__xludf.DUMMYFUNCTION("""COMPUTED_VALUE"""),"")</f>
        <v/>
      </c>
      <c r="D18886" s="42"/>
      <c r="E18886" s="42"/>
      <c r="F18886" s="48" t="str">
        <f>IFERROR(__xludf.DUMMYFUNCTION("""COMPUTED_VALUE"""),"")</f>
        <v/>
      </c>
      <c r="G18886" s="42" t="str">
        <f>IFERROR(__xludf.DUMMYFUNCTION("""COMPUTED_VALUE"""),"")</f>
        <v/>
      </c>
      <c r="H18886" s="42">
        <f t="shared" si="1"/>
        <v>3345</v>
      </c>
    </row>
    <row r="18887" ht="22.5" customHeight="1">
      <c r="B18887" s="42" t="str">
        <f>IFERROR(__xludf.DUMMYFUNCTION("""COMPUTED_VALUE"""),"")</f>
        <v/>
      </c>
      <c r="C18887" s="42" t="str">
        <f>IFERROR(__xludf.DUMMYFUNCTION("""COMPUTED_VALUE"""),"")</f>
        <v/>
      </c>
      <c r="D18887" s="42"/>
      <c r="E18887" s="42"/>
      <c r="F18887" s="48" t="str">
        <f>IFERROR(__xludf.DUMMYFUNCTION("""COMPUTED_VALUE"""),"")</f>
        <v/>
      </c>
      <c r="G18887" s="42" t="str">
        <f>IFERROR(__xludf.DUMMYFUNCTION("""COMPUTED_VALUE"""),"")</f>
        <v/>
      </c>
      <c r="H18887" s="42">
        <f t="shared" si="1"/>
        <v>3345</v>
      </c>
    </row>
    <row r="18888" ht="22.5" customHeight="1">
      <c r="B18888" s="42" t="str">
        <f>IFERROR(__xludf.DUMMYFUNCTION("""COMPUTED_VALUE"""),"")</f>
        <v/>
      </c>
      <c r="C18888" s="42" t="str">
        <f>IFERROR(__xludf.DUMMYFUNCTION("""COMPUTED_VALUE"""),"")</f>
        <v/>
      </c>
      <c r="D18888" s="42"/>
      <c r="E18888" s="42"/>
      <c r="F18888" s="48" t="str">
        <f>IFERROR(__xludf.DUMMYFUNCTION("""COMPUTED_VALUE"""),"")</f>
        <v/>
      </c>
      <c r="G18888" s="42" t="str">
        <f>IFERROR(__xludf.DUMMYFUNCTION("""COMPUTED_VALUE"""),"")</f>
        <v/>
      </c>
      <c r="H18888" s="42">
        <f t="shared" si="1"/>
        <v>3345</v>
      </c>
    </row>
    <row r="18889" ht="22.5" customHeight="1">
      <c r="B18889" s="42" t="str">
        <f>IFERROR(__xludf.DUMMYFUNCTION("""COMPUTED_VALUE"""),"")</f>
        <v/>
      </c>
      <c r="C18889" s="42" t="str">
        <f>IFERROR(__xludf.DUMMYFUNCTION("""COMPUTED_VALUE"""),"")</f>
        <v/>
      </c>
      <c r="D18889" s="42"/>
      <c r="E18889" s="42"/>
      <c r="F18889" s="48" t="str">
        <f>IFERROR(__xludf.DUMMYFUNCTION("""COMPUTED_VALUE"""),"")</f>
        <v/>
      </c>
      <c r="G18889" s="42" t="str">
        <f>IFERROR(__xludf.DUMMYFUNCTION("""COMPUTED_VALUE"""),"")</f>
        <v/>
      </c>
      <c r="H18889" s="42">
        <f t="shared" si="1"/>
        <v>3345</v>
      </c>
    </row>
    <row r="18890" ht="22.5" customHeight="1">
      <c r="B18890" s="42" t="str">
        <f>IFERROR(__xludf.DUMMYFUNCTION("""COMPUTED_VALUE"""),"")</f>
        <v/>
      </c>
      <c r="C18890" s="42" t="str">
        <f>IFERROR(__xludf.DUMMYFUNCTION("""COMPUTED_VALUE"""),"")</f>
        <v/>
      </c>
      <c r="D18890" s="42"/>
      <c r="E18890" s="42"/>
      <c r="F18890" s="48" t="str">
        <f>IFERROR(__xludf.DUMMYFUNCTION("""COMPUTED_VALUE"""),"")</f>
        <v/>
      </c>
      <c r="G18890" s="42" t="str">
        <f>IFERROR(__xludf.DUMMYFUNCTION("""COMPUTED_VALUE"""),"")</f>
        <v/>
      </c>
      <c r="H18890" s="42">
        <f t="shared" si="1"/>
        <v>3345</v>
      </c>
    </row>
    <row r="18891" ht="22.5" customHeight="1">
      <c r="B18891" s="42" t="str">
        <f>IFERROR(__xludf.DUMMYFUNCTION("""COMPUTED_VALUE"""),"")</f>
        <v/>
      </c>
      <c r="C18891" s="42" t="str">
        <f>IFERROR(__xludf.DUMMYFUNCTION("""COMPUTED_VALUE"""),"")</f>
        <v/>
      </c>
      <c r="D18891" s="42"/>
      <c r="E18891" s="42"/>
      <c r="F18891" s="48" t="str">
        <f>IFERROR(__xludf.DUMMYFUNCTION("""COMPUTED_VALUE"""),"")</f>
        <v/>
      </c>
      <c r="G18891" s="42" t="str">
        <f>IFERROR(__xludf.DUMMYFUNCTION("""COMPUTED_VALUE"""),"")</f>
        <v/>
      </c>
      <c r="H18891" s="42">
        <f t="shared" si="1"/>
        <v>3345</v>
      </c>
    </row>
    <row r="18892" ht="22.5" customHeight="1">
      <c r="B18892" s="42" t="str">
        <f>IFERROR(__xludf.DUMMYFUNCTION("""COMPUTED_VALUE"""),"")</f>
        <v/>
      </c>
      <c r="C18892" s="42" t="str">
        <f>IFERROR(__xludf.DUMMYFUNCTION("""COMPUTED_VALUE"""),"")</f>
        <v/>
      </c>
      <c r="D18892" s="42"/>
      <c r="E18892" s="42"/>
      <c r="F18892" s="48" t="str">
        <f>IFERROR(__xludf.DUMMYFUNCTION("""COMPUTED_VALUE"""),"")</f>
        <v/>
      </c>
      <c r="G18892" s="42" t="str">
        <f>IFERROR(__xludf.DUMMYFUNCTION("""COMPUTED_VALUE"""),"")</f>
        <v/>
      </c>
      <c r="H18892" s="42">
        <f t="shared" si="1"/>
        <v>3345</v>
      </c>
    </row>
    <row r="18893" ht="22.5" customHeight="1">
      <c r="B18893" s="42" t="str">
        <f>IFERROR(__xludf.DUMMYFUNCTION("""COMPUTED_VALUE"""),"")</f>
        <v/>
      </c>
      <c r="C18893" s="42" t="str">
        <f>IFERROR(__xludf.DUMMYFUNCTION("""COMPUTED_VALUE"""),"")</f>
        <v/>
      </c>
      <c r="D18893" s="42"/>
      <c r="E18893" s="42"/>
      <c r="F18893" s="48" t="str">
        <f>IFERROR(__xludf.DUMMYFUNCTION("""COMPUTED_VALUE"""),"")</f>
        <v/>
      </c>
      <c r="G18893" s="42" t="str">
        <f>IFERROR(__xludf.DUMMYFUNCTION("""COMPUTED_VALUE"""),"")</f>
        <v/>
      </c>
      <c r="H18893" s="42">
        <f t="shared" si="1"/>
        <v>3345</v>
      </c>
    </row>
    <row r="18894" ht="22.5" customHeight="1">
      <c r="B18894" s="42" t="str">
        <f>IFERROR(__xludf.DUMMYFUNCTION("""COMPUTED_VALUE"""),"")</f>
        <v/>
      </c>
      <c r="C18894" s="42" t="str">
        <f>IFERROR(__xludf.DUMMYFUNCTION("""COMPUTED_VALUE"""),"")</f>
        <v/>
      </c>
      <c r="D18894" s="42"/>
      <c r="E18894" s="42"/>
      <c r="F18894" s="48" t="str">
        <f>IFERROR(__xludf.DUMMYFUNCTION("""COMPUTED_VALUE"""),"")</f>
        <v/>
      </c>
      <c r="G18894" s="42" t="str">
        <f>IFERROR(__xludf.DUMMYFUNCTION("""COMPUTED_VALUE"""),"")</f>
        <v/>
      </c>
      <c r="H18894" s="42">
        <f t="shared" si="1"/>
        <v>3345</v>
      </c>
    </row>
    <row r="18895" ht="22.5" customHeight="1">
      <c r="B18895" s="42" t="str">
        <f>IFERROR(__xludf.DUMMYFUNCTION("""COMPUTED_VALUE"""),"")</f>
        <v/>
      </c>
      <c r="C18895" s="42" t="str">
        <f>IFERROR(__xludf.DUMMYFUNCTION("""COMPUTED_VALUE"""),"")</f>
        <v/>
      </c>
      <c r="D18895" s="42"/>
      <c r="E18895" s="42"/>
      <c r="F18895" s="48" t="str">
        <f>IFERROR(__xludf.DUMMYFUNCTION("""COMPUTED_VALUE"""),"")</f>
        <v/>
      </c>
      <c r="G18895" s="42" t="str">
        <f>IFERROR(__xludf.DUMMYFUNCTION("""COMPUTED_VALUE"""),"")</f>
        <v/>
      </c>
      <c r="H18895" s="42">
        <f t="shared" si="1"/>
        <v>3345</v>
      </c>
    </row>
    <row r="18896" ht="22.5" customHeight="1">
      <c r="B18896" s="42" t="str">
        <f>IFERROR(__xludf.DUMMYFUNCTION("""COMPUTED_VALUE"""),"")</f>
        <v/>
      </c>
      <c r="C18896" s="42" t="str">
        <f>IFERROR(__xludf.DUMMYFUNCTION("""COMPUTED_VALUE"""),"")</f>
        <v/>
      </c>
      <c r="D18896" s="42"/>
      <c r="E18896" s="42"/>
      <c r="F18896" s="48" t="str">
        <f>IFERROR(__xludf.DUMMYFUNCTION("""COMPUTED_VALUE"""),"")</f>
        <v/>
      </c>
      <c r="G18896" s="42" t="str">
        <f>IFERROR(__xludf.DUMMYFUNCTION("""COMPUTED_VALUE"""),"")</f>
        <v/>
      </c>
      <c r="H18896" s="42">
        <f t="shared" si="1"/>
        <v>3345</v>
      </c>
    </row>
    <row r="18897" ht="22.5" customHeight="1">
      <c r="B18897" s="42" t="str">
        <f>IFERROR(__xludf.DUMMYFUNCTION("""COMPUTED_VALUE"""),"")</f>
        <v/>
      </c>
      <c r="C18897" s="42" t="str">
        <f>IFERROR(__xludf.DUMMYFUNCTION("""COMPUTED_VALUE"""),"")</f>
        <v/>
      </c>
      <c r="D18897" s="42"/>
      <c r="E18897" s="42"/>
      <c r="F18897" s="48" t="str">
        <f>IFERROR(__xludf.DUMMYFUNCTION("""COMPUTED_VALUE"""),"")</f>
        <v/>
      </c>
      <c r="G18897" s="42" t="str">
        <f>IFERROR(__xludf.DUMMYFUNCTION("""COMPUTED_VALUE"""),"")</f>
        <v/>
      </c>
      <c r="H18897" s="42">
        <f t="shared" si="1"/>
        <v>3345</v>
      </c>
    </row>
    <row r="18898" ht="22.5" customHeight="1">
      <c r="B18898" s="42" t="str">
        <f>IFERROR(__xludf.DUMMYFUNCTION("""COMPUTED_VALUE"""),"")</f>
        <v/>
      </c>
      <c r="C18898" s="42" t="str">
        <f>IFERROR(__xludf.DUMMYFUNCTION("""COMPUTED_VALUE"""),"")</f>
        <v/>
      </c>
      <c r="D18898" s="42"/>
      <c r="E18898" s="42"/>
      <c r="F18898" s="48" t="str">
        <f>IFERROR(__xludf.DUMMYFUNCTION("""COMPUTED_VALUE"""),"")</f>
        <v/>
      </c>
      <c r="G18898" s="42" t="str">
        <f>IFERROR(__xludf.DUMMYFUNCTION("""COMPUTED_VALUE"""),"")</f>
        <v/>
      </c>
      <c r="H18898" s="42">
        <f t="shared" si="1"/>
        <v>3345</v>
      </c>
    </row>
    <row r="18899" ht="22.5" customHeight="1">
      <c r="B18899" s="42" t="str">
        <f>IFERROR(__xludf.DUMMYFUNCTION("""COMPUTED_VALUE"""),"")</f>
        <v/>
      </c>
      <c r="C18899" s="42" t="str">
        <f>IFERROR(__xludf.DUMMYFUNCTION("""COMPUTED_VALUE"""),"")</f>
        <v/>
      </c>
      <c r="D18899" s="42"/>
      <c r="E18899" s="42"/>
      <c r="F18899" s="48" t="str">
        <f>IFERROR(__xludf.DUMMYFUNCTION("""COMPUTED_VALUE"""),"")</f>
        <v/>
      </c>
      <c r="G18899" s="42" t="str">
        <f>IFERROR(__xludf.DUMMYFUNCTION("""COMPUTED_VALUE"""),"")</f>
        <v/>
      </c>
      <c r="H18899" s="42">
        <f t="shared" si="1"/>
        <v>3345</v>
      </c>
    </row>
    <row r="18900" ht="22.5" customHeight="1">
      <c r="B18900" s="42" t="str">
        <f>IFERROR(__xludf.DUMMYFUNCTION("""COMPUTED_VALUE"""),"")</f>
        <v/>
      </c>
      <c r="C18900" s="42" t="str">
        <f>IFERROR(__xludf.DUMMYFUNCTION("""COMPUTED_VALUE"""),"")</f>
        <v/>
      </c>
      <c r="D18900" s="42"/>
      <c r="E18900" s="42"/>
      <c r="F18900" s="48" t="str">
        <f>IFERROR(__xludf.DUMMYFUNCTION("""COMPUTED_VALUE"""),"")</f>
        <v/>
      </c>
      <c r="G18900" s="42" t="str">
        <f>IFERROR(__xludf.DUMMYFUNCTION("""COMPUTED_VALUE"""),"")</f>
        <v/>
      </c>
      <c r="H18900" s="42">
        <f t="shared" si="1"/>
        <v>3345</v>
      </c>
    </row>
    <row r="18901" ht="22.5" customHeight="1">
      <c r="B18901" s="42" t="str">
        <f>IFERROR(__xludf.DUMMYFUNCTION("""COMPUTED_VALUE"""),"")</f>
        <v/>
      </c>
      <c r="C18901" s="42" t="str">
        <f>IFERROR(__xludf.DUMMYFUNCTION("""COMPUTED_VALUE"""),"")</f>
        <v/>
      </c>
      <c r="D18901" s="42"/>
      <c r="E18901" s="42"/>
      <c r="F18901" s="48" t="str">
        <f>IFERROR(__xludf.DUMMYFUNCTION("""COMPUTED_VALUE"""),"")</f>
        <v/>
      </c>
      <c r="G18901" s="42" t="str">
        <f>IFERROR(__xludf.DUMMYFUNCTION("""COMPUTED_VALUE"""),"")</f>
        <v/>
      </c>
      <c r="H18901" s="42">
        <f t="shared" si="1"/>
        <v>3345</v>
      </c>
    </row>
    <row r="18902" ht="22.5" customHeight="1">
      <c r="B18902" s="42" t="str">
        <f>IFERROR(__xludf.DUMMYFUNCTION("""COMPUTED_VALUE"""),"")</f>
        <v/>
      </c>
      <c r="C18902" s="42" t="str">
        <f>IFERROR(__xludf.DUMMYFUNCTION("""COMPUTED_VALUE"""),"")</f>
        <v/>
      </c>
      <c r="D18902" s="42"/>
      <c r="E18902" s="42"/>
      <c r="F18902" s="48" t="str">
        <f>IFERROR(__xludf.DUMMYFUNCTION("""COMPUTED_VALUE"""),"")</f>
        <v/>
      </c>
      <c r="G18902" s="42" t="str">
        <f>IFERROR(__xludf.DUMMYFUNCTION("""COMPUTED_VALUE"""),"")</f>
        <v/>
      </c>
      <c r="H18902" s="42">
        <f t="shared" si="1"/>
        <v>3345</v>
      </c>
    </row>
    <row r="18903" ht="22.5" customHeight="1">
      <c r="B18903" s="42" t="str">
        <f>IFERROR(__xludf.DUMMYFUNCTION("""COMPUTED_VALUE"""),"")</f>
        <v/>
      </c>
      <c r="C18903" s="42" t="str">
        <f>IFERROR(__xludf.DUMMYFUNCTION("""COMPUTED_VALUE"""),"")</f>
        <v/>
      </c>
      <c r="D18903" s="42"/>
      <c r="E18903" s="42"/>
      <c r="F18903" s="48" t="str">
        <f>IFERROR(__xludf.DUMMYFUNCTION("""COMPUTED_VALUE"""),"")</f>
        <v/>
      </c>
      <c r="G18903" s="42" t="str">
        <f>IFERROR(__xludf.DUMMYFUNCTION("""COMPUTED_VALUE"""),"")</f>
        <v/>
      </c>
      <c r="H18903" s="42">
        <f t="shared" si="1"/>
        <v>3345</v>
      </c>
    </row>
    <row r="18904" ht="22.5" customHeight="1">
      <c r="B18904" s="42" t="str">
        <f>IFERROR(__xludf.DUMMYFUNCTION("""COMPUTED_VALUE"""),"")</f>
        <v/>
      </c>
      <c r="C18904" s="42" t="str">
        <f>IFERROR(__xludf.DUMMYFUNCTION("""COMPUTED_VALUE"""),"")</f>
        <v/>
      </c>
      <c r="D18904" s="42"/>
      <c r="E18904" s="42"/>
      <c r="F18904" s="48" t="str">
        <f>IFERROR(__xludf.DUMMYFUNCTION("""COMPUTED_VALUE"""),"")</f>
        <v/>
      </c>
      <c r="G18904" s="42" t="str">
        <f>IFERROR(__xludf.DUMMYFUNCTION("""COMPUTED_VALUE"""),"")</f>
        <v/>
      </c>
      <c r="H18904" s="42">
        <f t="shared" si="1"/>
        <v>3345</v>
      </c>
    </row>
    <row r="18905" ht="22.5" customHeight="1">
      <c r="B18905" s="42" t="str">
        <f>IFERROR(__xludf.DUMMYFUNCTION("""COMPUTED_VALUE"""),"")</f>
        <v/>
      </c>
      <c r="C18905" s="42" t="str">
        <f>IFERROR(__xludf.DUMMYFUNCTION("""COMPUTED_VALUE"""),"")</f>
        <v/>
      </c>
      <c r="D18905" s="42"/>
      <c r="E18905" s="42"/>
      <c r="F18905" s="48" t="str">
        <f>IFERROR(__xludf.DUMMYFUNCTION("""COMPUTED_VALUE"""),"")</f>
        <v/>
      </c>
      <c r="G18905" s="42" t="str">
        <f>IFERROR(__xludf.DUMMYFUNCTION("""COMPUTED_VALUE"""),"")</f>
        <v/>
      </c>
      <c r="H18905" s="42">
        <f t="shared" si="1"/>
        <v>3345</v>
      </c>
    </row>
    <row r="18906" ht="22.5" customHeight="1">
      <c r="B18906" s="42" t="str">
        <f>IFERROR(__xludf.DUMMYFUNCTION("""COMPUTED_VALUE"""),"")</f>
        <v/>
      </c>
      <c r="C18906" s="42" t="str">
        <f>IFERROR(__xludf.DUMMYFUNCTION("""COMPUTED_VALUE"""),"")</f>
        <v/>
      </c>
      <c r="D18906" s="42"/>
      <c r="E18906" s="42"/>
      <c r="F18906" s="48" t="str">
        <f>IFERROR(__xludf.DUMMYFUNCTION("""COMPUTED_VALUE"""),"")</f>
        <v/>
      </c>
      <c r="G18906" s="42" t="str">
        <f>IFERROR(__xludf.DUMMYFUNCTION("""COMPUTED_VALUE"""),"")</f>
        <v/>
      </c>
      <c r="H18906" s="42">
        <f t="shared" si="1"/>
        <v>3345</v>
      </c>
    </row>
    <row r="18907" ht="22.5" customHeight="1">
      <c r="B18907" s="42" t="str">
        <f>IFERROR(__xludf.DUMMYFUNCTION("""COMPUTED_VALUE"""),"")</f>
        <v/>
      </c>
      <c r="C18907" s="42" t="str">
        <f>IFERROR(__xludf.DUMMYFUNCTION("""COMPUTED_VALUE"""),"")</f>
        <v/>
      </c>
      <c r="D18907" s="42"/>
      <c r="E18907" s="42"/>
      <c r="F18907" s="48" t="str">
        <f>IFERROR(__xludf.DUMMYFUNCTION("""COMPUTED_VALUE"""),"")</f>
        <v/>
      </c>
      <c r="G18907" s="42" t="str">
        <f>IFERROR(__xludf.DUMMYFUNCTION("""COMPUTED_VALUE"""),"")</f>
        <v/>
      </c>
      <c r="H18907" s="42">
        <f t="shared" si="1"/>
        <v>3345</v>
      </c>
    </row>
    <row r="18908" ht="22.5" customHeight="1">
      <c r="B18908" s="42" t="str">
        <f>IFERROR(__xludf.DUMMYFUNCTION("""COMPUTED_VALUE"""),"")</f>
        <v/>
      </c>
      <c r="C18908" s="42" t="str">
        <f>IFERROR(__xludf.DUMMYFUNCTION("""COMPUTED_VALUE"""),"")</f>
        <v/>
      </c>
      <c r="D18908" s="42"/>
      <c r="E18908" s="42"/>
      <c r="F18908" s="48" t="str">
        <f>IFERROR(__xludf.DUMMYFUNCTION("""COMPUTED_VALUE"""),"")</f>
        <v/>
      </c>
      <c r="G18908" s="42" t="str">
        <f>IFERROR(__xludf.DUMMYFUNCTION("""COMPUTED_VALUE"""),"")</f>
        <v/>
      </c>
      <c r="H18908" s="42">
        <f t="shared" si="1"/>
        <v>3345</v>
      </c>
    </row>
    <row r="18909" ht="22.5" customHeight="1">
      <c r="B18909" s="42" t="str">
        <f>IFERROR(__xludf.DUMMYFUNCTION("""COMPUTED_VALUE"""),"")</f>
        <v/>
      </c>
      <c r="C18909" s="42" t="str">
        <f>IFERROR(__xludf.DUMMYFUNCTION("""COMPUTED_VALUE"""),"")</f>
        <v/>
      </c>
      <c r="D18909" s="42"/>
      <c r="E18909" s="42"/>
      <c r="F18909" s="48" t="str">
        <f>IFERROR(__xludf.DUMMYFUNCTION("""COMPUTED_VALUE"""),"")</f>
        <v/>
      </c>
      <c r="G18909" s="42" t="str">
        <f>IFERROR(__xludf.DUMMYFUNCTION("""COMPUTED_VALUE"""),"")</f>
        <v/>
      </c>
      <c r="H18909" s="42">
        <f t="shared" si="1"/>
        <v>3345</v>
      </c>
    </row>
    <row r="18910" ht="22.5" customHeight="1">
      <c r="B18910" s="42" t="str">
        <f>IFERROR(__xludf.DUMMYFUNCTION("""COMPUTED_VALUE"""),"")</f>
        <v/>
      </c>
      <c r="C18910" s="42" t="str">
        <f>IFERROR(__xludf.DUMMYFUNCTION("""COMPUTED_VALUE"""),"")</f>
        <v/>
      </c>
      <c r="D18910" s="42"/>
      <c r="E18910" s="42"/>
      <c r="F18910" s="48" t="str">
        <f>IFERROR(__xludf.DUMMYFUNCTION("""COMPUTED_VALUE"""),"")</f>
        <v/>
      </c>
      <c r="G18910" s="42" t="str">
        <f>IFERROR(__xludf.DUMMYFUNCTION("""COMPUTED_VALUE"""),"")</f>
        <v/>
      </c>
      <c r="H18910" s="42">
        <f t="shared" si="1"/>
        <v>3345</v>
      </c>
    </row>
    <row r="18911" ht="22.5" customHeight="1">
      <c r="B18911" s="42" t="str">
        <f>IFERROR(__xludf.DUMMYFUNCTION("""COMPUTED_VALUE"""),"")</f>
        <v/>
      </c>
      <c r="C18911" s="42" t="str">
        <f>IFERROR(__xludf.DUMMYFUNCTION("""COMPUTED_VALUE"""),"")</f>
        <v/>
      </c>
      <c r="D18911" s="42"/>
      <c r="E18911" s="42"/>
      <c r="F18911" s="48" t="str">
        <f>IFERROR(__xludf.DUMMYFUNCTION("""COMPUTED_VALUE"""),"")</f>
        <v/>
      </c>
      <c r="G18911" s="42" t="str">
        <f>IFERROR(__xludf.DUMMYFUNCTION("""COMPUTED_VALUE"""),"")</f>
        <v/>
      </c>
      <c r="H18911" s="42">
        <f t="shared" si="1"/>
        <v>3345</v>
      </c>
    </row>
    <row r="18912" ht="22.5" customHeight="1">
      <c r="B18912" s="42" t="str">
        <f>IFERROR(__xludf.DUMMYFUNCTION("""COMPUTED_VALUE"""),"")</f>
        <v/>
      </c>
      <c r="C18912" s="42" t="str">
        <f>IFERROR(__xludf.DUMMYFUNCTION("""COMPUTED_VALUE"""),"")</f>
        <v/>
      </c>
      <c r="D18912" s="42"/>
      <c r="E18912" s="42"/>
      <c r="F18912" s="48" t="str">
        <f>IFERROR(__xludf.DUMMYFUNCTION("""COMPUTED_VALUE"""),"")</f>
        <v/>
      </c>
      <c r="G18912" s="42" t="str">
        <f>IFERROR(__xludf.DUMMYFUNCTION("""COMPUTED_VALUE"""),"")</f>
        <v/>
      </c>
      <c r="H18912" s="42">
        <f t="shared" si="1"/>
        <v>3345</v>
      </c>
    </row>
    <row r="18913" ht="22.5" customHeight="1">
      <c r="B18913" s="42" t="str">
        <f>IFERROR(__xludf.DUMMYFUNCTION("""COMPUTED_VALUE"""),"")</f>
        <v/>
      </c>
      <c r="C18913" s="42" t="str">
        <f>IFERROR(__xludf.DUMMYFUNCTION("""COMPUTED_VALUE"""),"")</f>
        <v/>
      </c>
      <c r="D18913" s="42"/>
      <c r="E18913" s="42"/>
      <c r="F18913" s="48" t="str">
        <f>IFERROR(__xludf.DUMMYFUNCTION("""COMPUTED_VALUE"""),"")</f>
        <v/>
      </c>
      <c r="G18913" s="42" t="str">
        <f>IFERROR(__xludf.DUMMYFUNCTION("""COMPUTED_VALUE"""),"")</f>
        <v/>
      </c>
      <c r="H18913" s="42">
        <f t="shared" si="1"/>
        <v>3345</v>
      </c>
    </row>
    <row r="18914" ht="22.5" customHeight="1">
      <c r="B18914" s="42" t="str">
        <f>IFERROR(__xludf.DUMMYFUNCTION("""COMPUTED_VALUE"""),"")</f>
        <v/>
      </c>
      <c r="C18914" s="42" t="str">
        <f>IFERROR(__xludf.DUMMYFUNCTION("""COMPUTED_VALUE"""),"")</f>
        <v/>
      </c>
      <c r="D18914" s="42"/>
      <c r="E18914" s="42"/>
      <c r="F18914" s="48" t="str">
        <f>IFERROR(__xludf.DUMMYFUNCTION("""COMPUTED_VALUE"""),"")</f>
        <v/>
      </c>
      <c r="G18914" s="42" t="str">
        <f>IFERROR(__xludf.DUMMYFUNCTION("""COMPUTED_VALUE"""),"")</f>
        <v/>
      </c>
      <c r="H18914" s="42">
        <f t="shared" si="1"/>
        <v>3345</v>
      </c>
    </row>
    <row r="18915" ht="22.5" customHeight="1">
      <c r="B18915" s="42" t="str">
        <f>IFERROR(__xludf.DUMMYFUNCTION("""COMPUTED_VALUE"""),"")</f>
        <v/>
      </c>
      <c r="C18915" s="42" t="str">
        <f>IFERROR(__xludf.DUMMYFUNCTION("""COMPUTED_VALUE"""),"")</f>
        <v/>
      </c>
      <c r="D18915" s="42"/>
      <c r="E18915" s="42"/>
      <c r="F18915" s="48" t="str">
        <f>IFERROR(__xludf.DUMMYFUNCTION("""COMPUTED_VALUE"""),"")</f>
        <v/>
      </c>
      <c r="G18915" s="42" t="str">
        <f>IFERROR(__xludf.DUMMYFUNCTION("""COMPUTED_VALUE"""),"")</f>
        <v/>
      </c>
      <c r="H18915" s="42">
        <f t="shared" si="1"/>
        <v>3345</v>
      </c>
    </row>
    <row r="18916" ht="22.5" customHeight="1">
      <c r="B18916" s="42" t="str">
        <f>IFERROR(__xludf.DUMMYFUNCTION("""COMPUTED_VALUE"""),"")</f>
        <v/>
      </c>
      <c r="C18916" s="42" t="str">
        <f>IFERROR(__xludf.DUMMYFUNCTION("""COMPUTED_VALUE"""),"")</f>
        <v/>
      </c>
      <c r="D18916" s="42"/>
      <c r="E18916" s="42"/>
      <c r="F18916" s="48" t="str">
        <f>IFERROR(__xludf.DUMMYFUNCTION("""COMPUTED_VALUE"""),"")</f>
        <v/>
      </c>
      <c r="G18916" s="42" t="str">
        <f>IFERROR(__xludf.DUMMYFUNCTION("""COMPUTED_VALUE"""),"")</f>
        <v/>
      </c>
      <c r="H18916" s="42">
        <f t="shared" si="1"/>
        <v>3345</v>
      </c>
    </row>
    <row r="18917" ht="22.5" customHeight="1">
      <c r="B18917" s="42" t="str">
        <f>IFERROR(__xludf.DUMMYFUNCTION("""COMPUTED_VALUE"""),"")</f>
        <v/>
      </c>
      <c r="C18917" s="42" t="str">
        <f>IFERROR(__xludf.DUMMYFUNCTION("""COMPUTED_VALUE"""),"")</f>
        <v/>
      </c>
      <c r="D18917" s="42"/>
      <c r="E18917" s="42"/>
      <c r="F18917" s="48" t="str">
        <f>IFERROR(__xludf.DUMMYFUNCTION("""COMPUTED_VALUE"""),"")</f>
        <v/>
      </c>
      <c r="G18917" s="42" t="str">
        <f>IFERROR(__xludf.DUMMYFUNCTION("""COMPUTED_VALUE"""),"")</f>
        <v/>
      </c>
      <c r="H18917" s="42">
        <f t="shared" si="1"/>
        <v>3345</v>
      </c>
    </row>
    <row r="18918" ht="22.5" customHeight="1">
      <c r="B18918" s="42" t="str">
        <f>IFERROR(__xludf.DUMMYFUNCTION("""COMPUTED_VALUE"""),"")</f>
        <v/>
      </c>
      <c r="C18918" s="42" t="str">
        <f>IFERROR(__xludf.DUMMYFUNCTION("""COMPUTED_VALUE"""),"")</f>
        <v/>
      </c>
      <c r="D18918" s="42"/>
      <c r="E18918" s="42"/>
      <c r="F18918" s="48" t="str">
        <f>IFERROR(__xludf.DUMMYFUNCTION("""COMPUTED_VALUE"""),"")</f>
        <v/>
      </c>
      <c r="G18918" s="42" t="str">
        <f>IFERROR(__xludf.DUMMYFUNCTION("""COMPUTED_VALUE"""),"")</f>
        <v/>
      </c>
      <c r="H18918" s="42">
        <f t="shared" si="1"/>
        <v>3345</v>
      </c>
    </row>
    <row r="18919" ht="22.5" customHeight="1">
      <c r="B18919" s="42" t="str">
        <f>IFERROR(__xludf.DUMMYFUNCTION("""COMPUTED_VALUE"""),"")</f>
        <v/>
      </c>
      <c r="C18919" s="42" t="str">
        <f>IFERROR(__xludf.DUMMYFUNCTION("""COMPUTED_VALUE"""),"")</f>
        <v/>
      </c>
      <c r="D18919" s="42"/>
      <c r="E18919" s="42"/>
      <c r="F18919" s="48" t="str">
        <f>IFERROR(__xludf.DUMMYFUNCTION("""COMPUTED_VALUE"""),"")</f>
        <v/>
      </c>
      <c r="G18919" s="42" t="str">
        <f>IFERROR(__xludf.DUMMYFUNCTION("""COMPUTED_VALUE"""),"")</f>
        <v/>
      </c>
      <c r="H18919" s="42">
        <f t="shared" si="1"/>
        <v>3345</v>
      </c>
    </row>
    <row r="18920" ht="22.5" customHeight="1">
      <c r="B18920" s="42" t="str">
        <f>IFERROR(__xludf.DUMMYFUNCTION("""COMPUTED_VALUE"""),"")</f>
        <v/>
      </c>
      <c r="C18920" s="42" t="str">
        <f>IFERROR(__xludf.DUMMYFUNCTION("""COMPUTED_VALUE"""),"")</f>
        <v/>
      </c>
      <c r="D18920" s="42"/>
      <c r="E18920" s="42"/>
      <c r="F18920" s="48" t="str">
        <f>IFERROR(__xludf.DUMMYFUNCTION("""COMPUTED_VALUE"""),"")</f>
        <v/>
      </c>
      <c r="G18920" s="42" t="str">
        <f>IFERROR(__xludf.DUMMYFUNCTION("""COMPUTED_VALUE"""),"")</f>
        <v/>
      </c>
      <c r="H18920" s="42">
        <f t="shared" si="1"/>
        <v>3345</v>
      </c>
    </row>
    <row r="18921" ht="22.5" customHeight="1">
      <c r="B18921" s="42" t="str">
        <f>IFERROR(__xludf.DUMMYFUNCTION("""COMPUTED_VALUE"""),"")</f>
        <v/>
      </c>
      <c r="C18921" s="42" t="str">
        <f>IFERROR(__xludf.DUMMYFUNCTION("""COMPUTED_VALUE"""),"")</f>
        <v/>
      </c>
      <c r="D18921" s="42"/>
      <c r="E18921" s="42"/>
      <c r="F18921" s="48" t="str">
        <f>IFERROR(__xludf.DUMMYFUNCTION("""COMPUTED_VALUE"""),"")</f>
        <v/>
      </c>
      <c r="G18921" s="42" t="str">
        <f>IFERROR(__xludf.DUMMYFUNCTION("""COMPUTED_VALUE"""),"")</f>
        <v/>
      </c>
      <c r="H18921" s="42">
        <f t="shared" si="1"/>
        <v>3345</v>
      </c>
    </row>
    <row r="18922" ht="22.5" customHeight="1">
      <c r="B18922" s="42" t="str">
        <f>IFERROR(__xludf.DUMMYFUNCTION("""COMPUTED_VALUE"""),"")</f>
        <v/>
      </c>
      <c r="C18922" s="42" t="str">
        <f>IFERROR(__xludf.DUMMYFUNCTION("""COMPUTED_VALUE"""),"")</f>
        <v/>
      </c>
      <c r="D18922" s="42"/>
      <c r="E18922" s="42"/>
      <c r="F18922" s="48" t="str">
        <f>IFERROR(__xludf.DUMMYFUNCTION("""COMPUTED_VALUE"""),"")</f>
        <v/>
      </c>
      <c r="G18922" s="42" t="str">
        <f>IFERROR(__xludf.DUMMYFUNCTION("""COMPUTED_VALUE"""),"")</f>
        <v/>
      </c>
      <c r="H18922" s="42">
        <f t="shared" si="1"/>
        <v>3345</v>
      </c>
    </row>
    <row r="18923" ht="22.5" customHeight="1">
      <c r="B18923" s="42" t="str">
        <f>IFERROR(__xludf.DUMMYFUNCTION("""COMPUTED_VALUE"""),"")</f>
        <v/>
      </c>
      <c r="C18923" s="42" t="str">
        <f>IFERROR(__xludf.DUMMYFUNCTION("""COMPUTED_VALUE"""),"")</f>
        <v/>
      </c>
      <c r="D18923" s="42"/>
      <c r="E18923" s="42"/>
      <c r="F18923" s="48" t="str">
        <f>IFERROR(__xludf.DUMMYFUNCTION("""COMPUTED_VALUE"""),"")</f>
        <v/>
      </c>
      <c r="G18923" s="42" t="str">
        <f>IFERROR(__xludf.DUMMYFUNCTION("""COMPUTED_VALUE"""),"")</f>
        <v/>
      </c>
      <c r="H18923" s="42">
        <f t="shared" si="1"/>
        <v>3345</v>
      </c>
    </row>
    <row r="18924" ht="22.5" customHeight="1">
      <c r="B18924" s="42" t="str">
        <f>IFERROR(__xludf.DUMMYFUNCTION("""COMPUTED_VALUE"""),"")</f>
        <v/>
      </c>
      <c r="C18924" s="42" t="str">
        <f>IFERROR(__xludf.DUMMYFUNCTION("""COMPUTED_VALUE"""),"")</f>
        <v/>
      </c>
      <c r="D18924" s="42"/>
      <c r="E18924" s="42"/>
      <c r="F18924" s="48" t="str">
        <f>IFERROR(__xludf.DUMMYFUNCTION("""COMPUTED_VALUE"""),"")</f>
        <v/>
      </c>
      <c r="G18924" s="42" t="str">
        <f>IFERROR(__xludf.DUMMYFUNCTION("""COMPUTED_VALUE"""),"")</f>
        <v/>
      </c>
      <c r="H18924" s="42">
        <f t="shared" si="1"/>
        <v>3345</v>
      </c>
    </row>
    <row r="18925" ht="22.5" customHeight="1">
      <c r="B18925" s="42" t="str">
        <f>IFERROR(__xludf.DUMMYFUNCTION("""COMPUTED_VALUE"""),"")</f>
        <v/>
      </c>
      <c r="C18925" s="42" t="str">
        <f>IFERROR(__xludf.DUMMYFUNCTION("""COMPUTED_VALUE"""),"")</f>
        <v/>
      </c>
      <c r="D18925" s="42"/>
      <c r="E18925" s="42"/>
      <c r="F18925" s="48" t="str">
        <f>IFERROR(__xludf.DUMMYFUNCTION("""COMPUTED_VALUE"""),"")</f>
        <v/>
      </c>
      <c r="G18925" s="42" t="str">
        <f>IFERROR(__xludf.DUMMYFUNCTION("""COMPUTED_VALUE"""),"")</f>
        <v/>
      </c>
      <c r="H18925" s="42">
        <f t="shared" si="1"/>
        <v>3345</v>
      </c>
    </row>
    <row r="18926" ht="22.5" customHeight="1">
      <c r="B18926" s="42" t="str">
        <f>IFERROR(__xludf.DUMMYFUNCTION("""COMPUTED_VALUE"""),"")</f>
        <v/>
      </c>
      <c r="C18926" s="42" t="str">
        <f>IFERROR(__xludf.DUMMYFUNCTION("""COMPUTED_VALUE"""),"")</f>
        <v/>
      </c>
      <c r="D18926" s="42"/>
      <c r="E18926" s="42"/>
      <c r="F18926" s="48" t="str">
        <f>IFERROR(__xludf.DUMMYFUNCTION("""COMPUTED_VALUE"""),"")</f>
        <v/>
      </c>
      <c r="G18926" s="42" t="str">
        <f>IFERROR(__xludf.DUMMYFUNCTION("""COMPUTED_VALUE"""),"")</f>
        <v/>
      </c>
      <c r="H18926" s="42">
        <f t="shared" si="1"/>
        <v>3345</v>
      </c>
    </row>
    <row r="18927" ht="22.5" customHeight="1">
      <c r="B18927" s="42" t="str">
        <f>IFERROR(__xludf.DUMMYFUNCTION("""COMPUTED_VALUE"""),"")</f>
        <v/>
      </c>
      <c r="C18927" s="42" t="str">
        <f>IFERROR(__xludf.DUMMYFUNCTION("""COMPUTED_VALUE"""),"")</f>
        <v/>
      </c>
      <c r="D18927" s="42"/>
      <c r="E18927" s="42"/>
      <c r="F18927" s="48" t="str">
        <f>IFERROR(__xludf.DUMMYFUNCTION("""COMPUTED_VALUE"""),"")</f>
        <v/>
      </c>
      <c r="G18927" s="42" t="str">
        <f>IFERROR(__xludf.DUMMYFUNCTION("""COMPUTED_VALUE"""),"")</f>
        <v/>
      </c>
      <c r="H18927" s="42">
        <f t="shared" si="1"/>
        <v>3345</v>
      </c>
    </row>
    <row r="18928" ht="22.5" customHeight="1">
      <c r="B18928" s="42" t="str">
        <f>IFERROR(__xludf.DUMMYFUNCTION("""COMPUTED_VALUE"""),"")</f>
        <v/>
      </c>
      <c r="C18928" s="42" t="str">
        <f>IFERROR(__xludf.DUMMYFUNCTION("""COMPUTED_VALUE"""),"")</f>
        <v/>
      </c>
      <c r="D18928" s="42"/>
      <c r="E18928" s="42"/>
      <c r="F18928" s="48" t="str">
        <f>IFERROR(__xludf.DUMMYFUNCTION("""COMPUTED_VALUE"""),"")</f>
        <v/>
      </c>
      <c r="G18928" s="42" t="str">
        <f>IFERROR(__xludf.DUMMYFUNCTION("""COMPUTED_VALUE"""),"")</f>
        <v/>
      </c>
      <c r="H18928" s="42">
        <f t="shared" si="1"/>
        <v>3345</v>
      </c>
    </row>
    <row r="18929" ht="22.5" customHeight="1">
      <c r="B18929" s="42" t="str">
        <f>IFERROR(__xludf.DUMMYFUNCTION("""COMPUTED_VALUE"""),"")</f>
        <v/>
      </c>
      <c r="C18929" s="42" t="str">
        <f>IFERROR(__xludf.DUMMYFUNCTION("""COMPUTED_VALUE"""),"")</f>
        <v/>
      </c>
      <c r="D18929" s="42"/>
      <c r="E18929" s="42"/>
      <c r="F18929" s="48" t="str">
        <f>IFERROR(__xludf.DUMMYFUNCTION("""COMPUTED_VALUE"""),"")</f>
        <v/>
      </c>
      <c r="G18929" s="42" t="str">
        <f>IFERROR(__xludf.DUMMYFUNCTION("""COMPUTED_VALUE"""),"")</f>
        <v/>
      </c>
      <c r="H18929" s="42">
        <f t="shared" si="1"/>
        <v>3345</v>
      </c>
    </row>
    <row r="18930" ht="22.5" customHeight="1">
      <c r="B18930" s="42" t="str">
        <f>IFERROR(__xludf.DUMMYFUNCTION("""COMPUTED_VALUE"""),"")</f>
        <v/>
      </c>
      <c r="C18930" s="42" t="str">
        <f>IFERROR(__xludf.DUMMYFUNCTION("""COMPUTED_VALUE"""),"")</f>
        <v/>
      </c>
      <c r="D18930" s="42"/>
      <c r="E18930" s="42"/>
      <c r="F18930" s="48" t="str">
        <f>IFERROR(__xludf.DUMMYFUNCTION("""COMPUTED_VALUE"""),"")</f>
        <v/>
      </c>
      <c r="G18930" s="42" t="str">
        <f>IFERROR(__xludf.DUMMYFUNCTION("""COMPUTED_VALUE"""),"")</f>
        <v/>
      </c>
      <c r="H18930" s="42">
        <f t="shared" si="1"/>
        <v>3345</v>
      </c>
    </row>
    <row r="18931" ht="22.5" customHeight="1">
      <c r="B18931" s="42" t="str">
        <f>IFERROR(__xludf.DUMMYFUNCTION("""COMPUTED_VALUE"""),"")</f>
        <v/>
      </c>
      <c r="C18931" s="42" t="str">
        <f>IFERROR(__xludf.DUMMYFUNCTION("""COMPUTED_VALUE"""),"")</f>
        <v/>
      </c>
      <c r="D18931" s="42"/>
      <c r="E18931" s="42"/>
      <c r="F18931" s="48" t="str">
        <f>IFERROR(__xludf.DUMMYFUNCTION("""COMPUTED_VALUE"""),"")</f>
        <v/>
      </c>
      <c r="G18931" s="42" t="str">
        <f>IFERROR(__xludf.DUMMYFUNCTION("""COMPUTED_VALUE"""),"")</f>
        <v/>
      </c>
      <c r="H18931" s="42">
        <f t="shared" si="1"/>
        <v>3345</v>
      </c>
    </row>
    <row r="18932" ht="22.5" customHeight="1">
      <c r="B18932" s="42" t="str">
        <f>IFERROR(__xludf.DUMMYFUNCTION("""COMPUTED_VALUE"""),"")</f>
        <v/>
      </c>
      <c r="C18932" s="42" t="str">
        <f>IFERROR(__xludf.DUMMYFUNCTION("""COMPUTED_VALUE"""),"")</f>
        <v/>
      </c>
      <c r="D18932" s="42"/>
      <c r="E18932" s="42"/>
      <c r="F18932" s="48" t="str">
        <f>IFERROR(__xludf.DUMMYFUNCTION("""COMPUTED_VALUE"""),"")</f>
        <v/>
      </c>
      <c r="G18932" s="42" t="str">
        <f>IFERROR(__xludf.DUMMYFUNCTION("""COMPUTED_VALUE"""),"")</f>
        <v/>
      </c>
      <c r="H18932" s="42">
        <f t="shared" si="1"/>
        <v>3345</v>
      </c>
    </row>
    <row r="18933" ht="22.5" customHeight="1">
      <c r="B18933" s="42" t="str">
        <f>IFERROR(__xludf.DUMMYFUNCTION("""COMPUTED_VALUE"""),"")</f>
        <v/>
      </c>
      <c r="C18933" s="42" t="str">
        <f>IFERROR(__xludf.DUMMYFUNCTION("""COMPUTED_VALUE"""),"")</f>
        <v/>
      </c>
      <c r="D18933" s="42"/>
      <c r="E18933" s="42"/>
      <c r="F18933" s="48" t="str">
        <f>IFERROR(__xludf.DUMMYFUNCTION("""COMPUTED_VALUE"""),"")</f>
        <v/>
      </c>
      <c r="G18933" s="42" t="str">
        <f>IFERROR(__xludf.DUMMYFUNCTION("""COMPUTED_VALUE"""),"")</f>
        <v/>
      </c>
      <c r="H18933" s="42">
        <f t="shared" si="1"/>
        <v>3345</v>
      </c>
    </row>
    <row r="18934" ht="22.5" customHeight="1">
      <c r="B18934" s="42" t="str">
        <f>IFERROR(__xludf.DUMMYFUNCTION("""COMPUTED_VALUE"""),"")</f>
        <v/>
      </c>
      <c r="C18934" s="42" t="str">
        <f>IFERROR(__xludf.DUMMYFUNCTION("""COMPUTED_VALUE"""),"")</f>
        <v/>
      </c>
      <c r="D18934" s="42"/>
      <c r="E18934" s="42"/>
      <c r="F18934" s="48" t="str">
        <f>IFERROR(__xludf.DUMMYFUNCTION("""COMPUTED_VALUE"""),"")</f>
        <v/>
      </c>
      <c r="G18934" s="42" t="str">
        <f>IFERROR(__xludf.DUMMYFUNCTION("""COMPUTED_VALUE"""),"")</f>
        <v/>
      </c>
      <c r="H18934" s="42">
        <f t="shared" si="1"/>
        <v>3345</v>
      </c>
    </row>
    <row r="18935" ht="22.5" customHeight="1">
      <c r="B18935" s="42" t="str">
        <f>IFERROR(__xludf.DUMMYFUNCTION("""COMPUTED_VALUE"""),"")</f>
        <v/>
      </c>
      <c r="C18935" s="42" t="str">
        <f>IFERROR(__xludf.DUMMYFUNCTION("""COMPUTED_VALUE"""),"")</f>
        <v/>
      </c>
      <c r="D18935" s="42"/>
      <c r="E18935" s="42"/>
      <c r="F18935" s="48" t="str">
        <f>IFERROR(__xludf.DUMMYFUNCTION("""COMPUTED_VALUE"""),"")</f>
        <v/>
      </c>
      <c r="G18935" s="42" t="str">
        <f>IFERROR(__xludf.DUMMYFUNCTION("""COMPUTED_VALUE"""),"")</f>
        <v/>
      </c>
      <c r="H18935" s="42">
        <f t="shared" si="1"/>
        <v>3345</v>
      </c>
    </row>
    <row r="18936" ht="22.5" customHeight="1">
      <c r="B18936" s="42" t="str">
        <f>IFERROR(__xludf.DUMMYFUNCTION("""COMPUTED_VALUE"""),"")</f>
        <v/>
      </c>
      <c r="C18936" s="42" t="str">
        <f>IFERROR(__xludf.DUMMYFUNCTION("""COMPUTED_VALUE"""),"")</f>
        <v/>
      </c>
      <c r="D18936" s="42"/>
      <c r="E18936" s="42"/>
      <c r="F18936" s="48" t="str">
        <f>IFERROR(__xludf.DUMMYFUNCTION("""COMPUTED_VALUE"""),"")</f>
        <v/>
      </c>
      <c r="G18936" s="42" t="str">
        <f>IFERROR(__xludf.DUMMYFUNCTION("""COMPUTED_VALUE"""),"")</f>
        <v/>
      </c>
      <c r="H18936" s="42">
        <f t="shared" si="1"/>
        <v>3345</v>
      </c>
    </row>
    <row r="18937" ht="22.5" customHeight="1">
      <c r="B18937" s="42" t="str">
        <f>IFERROR(__xludf.DUMMYFUNCTION("""COMPUTED_VALUE"""),"")</f>
        <v/>
      </c>
      <c r="C18937" s="42" t="str">
        <f>IFERROR(__xludf.DUMMYFUNCTION("""COMPUTED_VALUE"""),"")</f>
        <v/>
      </c>
      <c r="D18937" s="42"/>
      <c r="E18937" s="42"/>
      <c r="F18937" s="48" t="str">
        <f>IFERROR(__xludf.DUMMYFUNCTION("""COMPUTED_VALUE"""),"")</f>
        <v/>
      </c>
      <c r="G18937" s="42" t="str">
        <f>IFERROR(__xludf.DUMMYFUNCTION("""COMPUTED_VALUE"""),"")</f>
        <v/>
      </c>
      <c r="H18937" s="42">
        <f t="shared" si="1"/>
        <v>3345</v>
      </c>
    </row>
    <row r="18938" ht="22.5" customHeight="1">
      <c r="B18938" s="42" t="str">
        <f>IFERROR(__xludf.DUMMYFUNCTION("""COMPUTED_VALUE"""),"")</f>
        <v/>
      </c>
      <c r="C18938" s="42" t="str">
        <f>IFERROR(__xludf.DUMMYFUNCTION("""COMPUTED_VALUE"""),"")</f>
        <v/>
      </c>
      <c r="D18938" s="42"/>
      <c r="E18938" s="42"/>
      <c r="F18938" s="48" t="str">
        <f>IFERROR(__xludf.DUMMYFUNCTION("""COMPUTED_VALUE"""),"")</f>
        <v/>
      </c>
      <c r="G18938" s="42" t="str">
        <f>IFERROR(__xludf.DUMMYFUNCTION("""COMPUTED_VALUE"""),"")</f>
        <v/>
      </c>
      <c r="H18938" s="42">
        <f t="shared" si="1"/>
        <v>3345</v>
      </c>
    </row>
    <row r="18939" ht="22.5" customHeight="1">
      <c r="B18939" s="42" t="str">
        <f>IFERROR(__xludf.DUMMYFUNCTION("""COMPUTED_VALUE"""),"")</f>
        <v/>
      </c>
      <c r="C18939" s="42" t="str">
        <f>IFERROR(__xludf.DUMMYFUNCTION("""COMPUTED_VALUE"""),"")</f>
        <v/>
      </c>
      <c r="D18939" s="42"/>
      <c r="E18939" s="42"/>
      <c r="F18939" s="48" t="str">
        <f>IFERROR(__xludf.DUMMYFUNCTION("""COMPUTED_VALUE"""),"")</f>
        <v/>
      </c>
      <c r="G18939" s="42" t="str">
        <f>IFERROR(__xludf.DUMMYFUNCTION("""COMPUTED_VALUE"""),"")</f>
        <v/>
      </c>
      <c r="H18939" s="42">
        <f t="shared" si="1"/>
        <v>3345</v>
      </c>
    </row>
    <row r="18940" ht="22.5" customHeight="1">
      <c r="B18940" s="42" t="str">
        <f>IFERROR(__xludf.DUMMYFUNCTION("""COMPUTED_VALUE"""),"")</f>
        <v/>
      </c>
      <c r="C18940" s="42" t="str">
        <f>IFERROR(__xludf.DUMMYFUNCTION("""COMPUTED_VALUE"""),"")</f>
        <v/>
      </c>
      <c r="D18940" s="42"/>
      <c r="E18940" s="42"/>
      <c r="F18940" s="48" t="str">
        <f>IFERROR(__xludf.DUMMYFUNCTION("""COMPUTED_VALUE"""),"")</f>
        <v/>
      </c>
      <c r="G18940" s="42" t="str">
        <f>IFERROR(__xludf.DUMMYFUNCTION("""COMPUTED_VALUE"""),"")</f>
        <v/>
      </c>
      <c r="H18940" s="42">
        <f t="shared" si="1"/>
        <v>3345</v>
      </c>
    </row>
    <row r="18941" ht="22.5" customHeight="1">
      <c r="B18941" s="42" t="str">
        <f>IFERROR(__xludf.DUMMYFUNCTION("""COMPUTED_VALUE"""),"")</f>
        <v/>
      </c>
      <c r="C18941" s="42" t="str">
        <f>IFERROR(__xludf.DUMMYFUNCTION("""COMPUTED_VALUE"""),"")</f>
        <v/>
      </c>
      <c r="D18941" s="42"/>
      <c r="E18941" s="42"/>
      <c r="F18941" s="48" t="str">
        <f>IFERROR(__xludf.DUMMYFUNCTION("""COMPUTED_VALUE"""),"")</f>
        <v/>
      </c>
      <c r="G18941" s="42" t="str">
        <f>IFERROR(__xludf.DUMMYFUNCTION("""COMPUTED_VALUE"""),"")</f>
        <v/>
      </c>
      <c r="H18941" s="42">
        <f t="shared" si="1"/>
        <v>3345</v>
      </c>
    </row>
    <row r="18942" ht="22.5" customHeight="1">
      <c r="B18942" s="42" t="str">
        <f>IFERROR(__xludf.DUMMYFUNCTION("""COMPUTED_VALUE"""),"")</f>
        <v/>
      </c>
      <c r="C18942" s="42" t="str">
        <f>IFERROR(__xludf.DUMMYFUNCTION("""COMPUTED_VALUE"""),"")</f>
        <v/>
      </c>
      <c r="D18942" s="42"/>
      <c r="E18942" s="42"/>
      <c r="F18942" s="48" t="str">
        <f>IFERROR(__xludf.DUMMYFUNCTION("""COMPUTED_VALUE"""),"")</f>
        <v/>
      </c>
      <c r="G18942" s="42" t="str">
        <f>IFERROR(__xludf.DUMMYFUNCTION("""COMPUTED_VALUE"""),"")</f>
        <v/>
      </c>
      <c r="H18942" s="42">
        <f t="shared" si="1"/>
        <v>3345</v>
      </c>
    </row>
    <row r="18943" ht="22.5" customHeight="1">
      <c r="B18943" s="42" t="str">
        <f>IFERROR(__xludf.DUMMYFUNCTION("""COMPUTED_VALUE"""),"")</f>
        <v/>
      </c>
      <c r="C18943" s="42" t="str">
        <f>IFERROR(__xludf.DUMMYFUNCTION("""COMPUTED_VALUE"""),"")</f>
        <v/>
      </c>
      <c r="D18943" s="42"/>
      <c r="E18943" s="42"/>
      <c r="F18943" s="48" t="str">
        <f>IFERROR(__xludf.DUMMYFUNCTION("""COMPUTED_VALUE"""),"")</f>
        <v/>
      </c>
      <c r="G18943" s="42" t="str">
        <f>IFERROR(__xludf.DUMMYFUNCTION("""COMPUTED_VALUE"""),"")</f>
        <v/>
      </c>
      <c r="H18943" s="42">
        <f t="shared" si="1"/>
        <v>3345</v>
      </c>
    </row>
    <row r="18944" ht="22.5" customHeight="1">
      <c r="B18944" s="42" t="str">
        <f>IFERROR(__xludf.DUMMYFUNCTION("""COMPUTED_VALUE"""),"")</f>
        <v/>
      </c>
      <c r="C18944" s="42" t="str">
        <f>IFERROR(__xludf.DUMMYFUNCTION("""COMPUTED_VALUE"""),"")</f>
        <v/>
      </c>
      <c r="D18944" s="42"/>
      <c r="E18944" s="42"/>
      <c r="F18944" s="48" t="str">
        <f>IFERROR(__xludf.DUMMYFUNCTION("""COMPUTED_VALUE"""),"")</f>
        <v/>
      </c>
      <c r="G18944" s="42" t="str">
        <f>IFERROR(__xludf.DUMMYFUNCTION("""COMPUTED_VALUE"""),"")</f>
        <v/>
      </c>
      <c r="H18944" s="42">
        <f t="shared" si="1"/>
        <v>3345</v>
      </c>
    </row>
    <row r="18945" ht="22.5" customHeight="1">
      <c r="B18945" s="42" t="str">
        <f>IFERROR(__xludf.DUMMYFUNCTION("""COMPUTED_VALUE"""),"")</f>
        <v/>
      </c>
      <c r="C18945" s="42" t="str">
        <f>IFERROR(__xludf.DUMMYFUNCTION("""COMPUTED_VALUE"""),"")</f>
        <v/>
      </c>
      <c r="D18945" s="42"/>
      <c r="E18945" s="42"/>
      <c r="F18945" s="48" t="str">
        <f>IFERROR(__xludf.DUMMYFUNCTION("""COMPUTED_VALUE"""),"")</f>
        <v/>
      </c>
      <c r="G18945" s="42" t="str">
        <f>IFERROR(__xludf.DUMMYFUNCTION("""COMPUTED_VALUE"""),"")</f>
        <v/>
      </c>
      <c r="H18945" s="42">
        <f t="shared" si="1"/>
        <v>3345</v>
      </c>
    </row>
    <row r="18946" ht="22.5" customHeight="1">
      <c r="B18946" s="42" t="str">
        <f>IFERROR(__xludf.DUMMYFUNCTION("""COMPUTED_VALUE"""),"")</f>
        <v/>
      </c>
      <c r="C18946" s="42" t="str">
        <f>IFERROR(__xludf.DUMMYFUNCTION("""COMPUTED_VALUE"""),"")</f>
        <v/>
      </c>
      <c r="D18946" s="42"/>
      <c r="E18946" s="42"/>
      <c r="F18946" s="48" t="str">
        <f>IFERROR(__xludf.DUMMYFUNCTION("""COMPUTED_VALUE"""),"")</f>
        <v/>
      </c>
      <c r="G18946" s="42" t="str">
        <f>IFERROR(__xludf.DUMMYFUNCTION("""COMPUTED_VALUE"""),"")</f>
        <v/>
      </c>
      <c r="H18946" s="42">
        <f t="shared" si="1"/>
        <v>3345</v>
      </c>
    </row>
    <row r="18947" ht="22.5" customHeight="1">
      <c r="B18947" s="42" t="str">
        <f>IFERROR(__xludf.DUMMYFUNCTION("""COMPUTED_VALUE"""),"")</f>
        <v/>
      </c>
      <c r="C18947" s="42" t="str">
        <f>IFERROR(__xludf.DUMMYFUNCTION("""COMPUTED_VALUE"""),"")</f>
        <v/>
      </c>
      <c r="D18947" s="42"/>
      <c r="E18947" s="42"/>
      <c r="F18947" s="48" t="str">
        <f>IFERROR(__xludf.DUMMYFUNCTION("""COMPUTED_VALUE"""),"")</f>
        <v/>
      </c>
      <c r="G18947" s="42" t="str">
        <f>IFERROR(__xludf.DUMMYFUNCTION("""COMPUTED_VALUE"""),"")</f>
        <v/>
      </c>
      <c r="H18947" s="42">
        <f t="shared" si="1"/>
        <v>3345</v>
      </c>
    </row>
    <row r="18948" ht="22.5" customHeight="1">
      <c r="B18948" s="42" t="str">
        <f>IFERROR(__xludf.DUMMYFUNCTION("""COMPUTED_VALUE"""),"")</f>
        <v/>
      </c>
      <c r="C18948" s="42" t="str">
        <f>IFERROR(__xludf.DUMMYFUNCTION("""COMPUTED_VALUE"""),"")</f>
        <v/>
      </c>
      <c r="D18948" s="42"/>
      <c r="E18948" s="42"/>
      <c r="F18948" s="48" t="str">
        <f>IFERROR(__xludf.DUMMYFUNCTION("""COMPUTED_VALUE"""),"")</f>
        <v/>
      </c>
      <c r="G18948" s="42" t="str">
        <f>IFERROR(__xludf.DUMMYFUNCTION("""COMPUTED_VALUE"""),"")</f>
        <v/>
      </c>
      <c r="H18948" s="42">
        <f t="shared" si="1"/>
        <v>3345</v>
      </c>
    </row>
    <row r="18949" ht="22.5" customHeight="1">
      <c r="B18949" s="42" t="str">
        <f>IFERROR(__xludf.DUMMYFUNCTION("""COMPUTED_VALUE"""),"")</f>
        <v/>
      </c>
      <c r="C18949" s="42" t="str">
        <f>IFERROR(__xludf.DUMMYFUNCTION("""COMPUTED_VALUE"""),"")</f>
        <v/>
      </c>
      <c r="D18949" s="42"/>
      <c r="E18949" s="42"/>
      <c r="F18949" s="48" t="str">
        <f>IFERROR(__xludf.DUMMYFUNCTION("""COMPUTED_VALUE"""),"")</f>
        <v/>
      </c>
      <c r="G18949" s="42" t="str">
        <f>IFERROR(__xludf.DUMMYFUNCTION("""COMPUTED_VALUE"""),"")</f>
        <v/>
      </c>
      <c r="H18949" s="42">
        <f t="shared" si="1"/>
        <v>3345</v>
      </c>
    </row>
    <row r="18950" ht="22.5" customHeight="1">
      <c r="B18950" s="42" t="str">
        <f>IFERROR(__xludf.DUMMYFUNCTION("""COMPUTED_VALUE"""),"")</f>
        <v/>
      </c>
      <c r="C18950" s="42" t="str">
        <f>IFERROR(__xludf.DUMMYFUNCTION("""COMPUTED_VALUE"""),"")</f>
        <v/>
      </c>
      <c r="D18950" s="42"/>
      <c r="E18950" s="42"/>
      <c r="F18950" s="48" t="str">
        <f>IFERROR(__xludf.DUMMYFUNCTION("""COMPUTED_VALUE"""),"")</f>
        <v/>
      </c>
      <c r="G18950" s="42" t="str">
        <f>IFERROR(__xludf.DUMMYFUNCTION("""COMPUTED_VALUE"""),"")</f>
        <v/>
      </c>
      <c r="H18950" s="42">
        <f t="shared" si="1"/>
        <v>3345</v>
      </c>
    </row>
    <row r="18951" ht="22.5" customHeight="1">
      <c r="B18951" s="42" t="str">
        <f>IFERROR(__xludf.DUMMYFUNCTION("""COMPUTED_VALUE"""),"")</f>
        <v/>
      </c>
      <c r="C18951" s="42" t="str">
        <f>IFERROR(__xludf.DUMMYFUNCTION("""COMPUTED_VALUE"""),"")</f>
        <v/>
      </c>
      <c r="D18951" s="42"/>
      <c r="E18951" s="42"/>
      <c r="F18951" s="48" t="str">
        <f>IFERROR(__xludf.DUMMYFUNCTION("""COMPUTED_VALUE"""),"")</f>
        <v/>
      </c>
      <c r="G18951" s="42" t="str">
        <f>IFERROR(__xludf.DUMMYFUNCTION("""COMPUTED_VALUE"""),"")</f>
        <v/>
      </c>
      <c r="H18951" s="42">
        <f t="shared" si="1"/>
        <v>3345</v>
      </c>
    </row>
    <row r="18952" ht="22.5" customHeight="1">
      <c r="B18952" s="42" t="str">
        <f>IFERROR(__xludf.DUMMYFUNCTION("""COMPUTED_VALUE"""),"")</f>
        <v/>
      </c>
      <c r="C18952" s="42" t="str">
        <f>IFERROR(__xludf.DUMMYFUNCTION("""COMPUTED_VALUE"""),"")</f>
        <v/>
      </c>
      <c r="D18952" s="42"/>
      <c r="E18952" s="42"/>
      <c r="F18952" s="48" t="str">
        <f>IFERROR(__xludf.DUMMYFUNCTION("""COMPUTED_VALUE"""),"")</f>
        <v/>
      </c>
      <c r="G18952" s="42" t="str">
        <f>IFERROR(__xludf.DUMMYFUNCTION("""COMPUTED_VALUE"""),"")</f>
        <v/>
      </c>
      <c r="H18952" s="42">
        <f t="shared" si="1"/>
        <v>3345</v>
      </c>
    </row>
    <row r="18953" ht="22.5" customHeight="1">
      <c r="B18953" s="42" t="str">
        <f>IFERROR(__xludf.DUMMYFUNCTION("""COMPUTED_VALUE"""),"")</f>
        <v/>
      </c>
      <c r="C18953" s="42" t="str">
        <f>IFERROR(__xludf.DUMMYFUNCTION("""COMPUTED_VALUE"""),"")</f>
        <v/>
      </c>
      <c r="D18953" s="42"/>
      <c r="E18953" s="42"/>
      <c r="F18953" s="48" t="str">
        <f>IFERROR(__xludf.DUMMYFUNCTION("""COMPUTED_VALUE"""),"")</f>
        <v/>
      </c>
      <c r="G18953" s="42" t="str">
        <f>IFERROR(__xludf.DUMMYFUNCTION("""COMPUTED_VALUE"""),"")</f>
        <v/>
      </c>
      <c r="H18953" s="42">
        <f t="shared" si="1"/>
        <v>3345</v>
      </c>
    </row>
    <row r="18954" ht="22.5" customHeight="1">
      <c r="B18954" s="42" t="str">
        <f>IFERROR(__xludf.DUMMYFUNCTION("""COMPUTED_VALUE"""),"")</f>
        <v/>
      </c>
      <c r="C18954" s="42" t="str">
        <f>IFERROR(__xludf.DUMMYFUNCTION("""COMPUTED_VALUE"""),"")</f>
        <v/>
      </c>
      <c r="D18954" s="42"/>
      <c r="E18954" s="42"/>
      <c r="F18954" s="48" t="str">
        <f>IFERROR(__xludf.DUMMYFUNCTION("""COMPUTED_VALUE"""),"")</f>
        <v/>
      </c>
      <c r="G18954" s="42" t="str">
        <f>IFERROR(__xludf.DUMMYFUNCTION("""COMPUTED_VALUE"""),"")</f>
        <v/>
      </c>
      <c r="H18954" s="42">
        <f t="shared" si="1"/>
        <v>3345</v>
      </c>
    </row>
    <row r="18955" ht="22.5" customHeight="1">
      <c r="B18955" s="42" t="str">
        <f>IFERROR(__xludf.DUMMYFUNCTION("""COMPUTED_VALUE"""),"")</f>
        <v/>
      </c>
      <c r="C18955" s="42" t="str">
        <f>IFERROR(__xludf.DUMMYFUNCTION("""COMPUTED_VALUE"""),"")</f>
        <v/>
      </c>
      <c r="D18955" s="42"/>
      <c r="E18955" s="42"/>
      <c r="F18955" s="48" t="str">
        <f>IFERROR(__xludf.DUMMYFUNCTION("""COMPUTED_VALUE"""),"")</f>
        <v/>
      </c>
      <c r="G18955" s="42" t="str">
        <f>IFERROR(__xludf.DUMMYFUNCTION("""COMPUTED_VALUE"""),"")</f>
        <v/>
      </c>
      <c r="H18955" s="42">
        <f t="shared" si="1"/>
        <v>3345</v>
      </c>
    </row>
    <row r="18956" ht="22.5" customHeight="1">
      <c r="B18956" s="42" t="str">
        <f>IFERROR(__xludf.DUMMYFUNCTION("""COMPUTED_VALUE"""),"")</f>
        <v/>
      </c>
      <c r="C18956" s="42" t="str">
        <f>IFERROR(__xludf.DUMMYFUNCTION("""COMPUTED_VALUE"""),"")</f>
        <v/>
      </c>
      <c r="D18956" s="42"/>
      <c r="E18956" s="42"/>
      <c r="F18956" s="48" t="str">
        <f>IFERROR(__xludf.DUMMYFUNCTION("""COMPUTED_VALUE"""),"")</f>
        <v/>
      </c>
      <c r="G18956" s="42" t="str">
        <f>IFERROR(__xludf.DUMMYFUNCTION("""COMPUTED_VALUE"""),"")</f>
        <v/>
      </c>
      <c r="H18956" s="42">
        <f t="shared" si="1"/>
        <v>3345</v>
      </c>
    </row>
    <row r="18957" ht="22.5" customHeight="1">
      <c r="B18957" s="42" t="str">
        <f>IFERROR(__xludf.DUMMYFUNCTION("""COMPUTED_VALUE"""),"")</f>
        <v/>
      </c>
      <c r="C18957" s="42" t="str">
        <f>IFERROR(__xludf.DUMMYFUNCTION("""COMPUTED_VALUE"""),"")</f>
        <v/>
      </c>
      <c r="D18957" s="42"/>
      <c r="E18957" s="42"/>
      <c r="F18957" s="48" t="str">
        <f>IFERROR(__xludf.DUMMYFUNCTION("""COMPUTED_VALUE"""),"")</f>
        <v/>
      </c>
      <c r="G18957" s="42" t="str">
        <f>IFERROR(__xludf.DUMMYFUNCTION("""COMPUTED_VALUE"""),"")</f>
        <v/>
      </c>
      <c r="H18957" s="42">
        <f t="shared" si="1"/>
        <v>3345</v>
      </c>
    </row>
    <row r="18958" ht="22.5" customHeight="1">
      <c r="B18958" s="42" t="str">
        <f>IFERROR(__xludf.DUMMYFUNCTION("""COMPUTED_VALUE"""),"")</f>
        <v/>
      </c>
      <c r="C18958" s="42" t="str">
        <f>IFERROR(__xludf.DUMMYFUNCTION("""COMPUTED_VALUE"""),"")</f>
        <v/>
      </c>
      <c r="D18958" s="42"/>
      <c r="E18958" s="42"/>
      <c r="F18958" s="48" t="str">
        <f>IFERROR(__xludf.DUMMYFUNCTION("""COMPUTED_VALUE"""),"")</f>
        <v/>
      </c>
      <c r="G18958" s="42" t="str">
        <f>IFERROR(__xludf.DUMMYFUNCTION("""COMPUTED_VALUE"""),"")</f>
        <v/>
      </c>
      <c r="H18958" s="42">
        <f t="shared" si="1"/>
        <v>3345</v>
      </c>
    </row>
    <row r="18959" ht="22.5" customHeight="1">
      <c r="B18959" s="42" t="str">
        <f>IFERROR(__xludf.DUMMYFUNCTION("""COMPUTED_VALUE"""),"")</f>
        <v/>
      </c>
      <c r="C18959" s="42" t="str">
        <f>IFERROR(__xludf.DUMMYFUNCTION("""COMPUTED_VALUE"""),"")</f>
        <v/>
      </c>
      <c r="D18959" s="42"/>
      <c r="E18959" s="42"/>
      <c r="F18959" s="48" t="str">
        <f>IFERROR(__xludf.DUMMYFUNCTION("""COMPUTED_VALUE"""),"")</f>
        <v/>
      </c>
      <c r="G18959" s="42" t="str">
        <f>IFERROR(__xludf.DUMMYFUNCTION("""COMPUTED_VALUE"""),"")</f>
        <v/>
      </c>
      <c r="H18959" s="42">
        <f t="shared" si="1"/>
        <v>3345</v>
      </c>
    </row>
    <row r="18960" ht="22.5" customHeight="1">
      <c r="B18960" s="42" t="str">
        <f>IFERROR(__xludf.DUMMYFUNCTION("""COMPUTED_VALUE"""),"")</f>
        <v/>
      </c>
      <c r="C18960" s="42" t="str">
        <f>IFERROR(__xludf.DUMMYFUNCTION("""COMPUTED_VALUE"""),"")</f>
        <v/>
      </c>
      <c r="D18960" s="42"/>
      <c r="E18960" s="42"/>
      <c r="F18960" s="48" t="str">
        <f>IFERROR(__xludf.DUMMYFUNCTION("""COMPUTED_VALUE"""),"")</f>
        <v/>
      </c>
      <c r="G18960" s="42" t="str">
        <f>IFERROR(__xludf.DUMMYFUNCTION("""COMPUTED_VALUE"""),"")</f>
        <v/>
      </c>
      <c r="H18960" s="42">
        <f t="shared" si="1"/>
        <v>3345</v>
      </c>
    </row>
    <row r="18961" ht="22.5" customHeight="1">
      <c r="B18961" s="42" t="str">
        <f>IFERROR(__xludf.DUMMYFUNCTION("""COMPUTED_VALUE"""),"")</f>
        <v/>
      </c>
      <c r="C18961" s="42" t="str">
        <f>IFERROR(__xludf.DUMMYFUNCTION("""COMPUTED_VALUE"""),"")</f>
        <v/>
      </c>
      <c r="D18961" s="42"/>
      <c r="E18961" s="42"/>
      <c r="F18961" s="48" t="str">
        <f>IFERROR(__xludf.DUMMYFUNCTION("""COMPUTED_VALUE"""),"")</f>
        <v/>
      </c>
      <c r="G18961" s="42" t="str">
        <f>IFERROR(__xludf.DUMMYFUNCTION("""COMPUTED_VALUE"""),"")</f>
        <v/>
      </c>
      <c r="H18961" s="42">
        <f t="shared" si="1"/>
        <v>3345</v>
      </c>
    </row>
    <row r="18962" ht="22.5" customHeight="1">
      <c r="B18962" s="42" t="str">
        <f>IFERROR(__xludf.DUMMYFUNCTION("""COMPUTED_VALUE"""),"")</f>
        <v/>
      </c>
      <c r="C18962" s="42" t="str">
        <f>IFERROR(__xludf.DUMMYFUNCTION("""COMPUTED_VALUE"""),"")</f>
        <v/>
      </c>
      <c r="D18962" s="42"/>
      <c r="E18962" s="42"/>
      <c r="F18962" s="48" t="str">
        <f>IFERROR(__xludf.DUMMYFUNCTION("""COMPUTED_VALUE"""),"")</f>
        <v/>
      </c>
      <c r="G18962" s="42" t="str">
        <f>IFERROR(__xludf.DUMMYFUNCTION("""COMPUTED_VALUE"""),"")</f>
        <v/>
      </c>
      <c r="H18962" s="42">
        <f t="shared" si="1"/>
        <v>3345</v>
      </c>
    </row>
    <row r="18963" ht="22.5" customHeight="1">
      <c r="B18963" s="42" t="str">
        <f>IFERROR(__xludf.DUMMYFUNCTION("""COMPUTED_VALUE"""),"")</f>
        <v/>
      </c>
      <c r="C18963" s="42" t="str">
        <f>IFERROR(__xludf.DUMMYFUNCTION("""COMPUTED_VALUE"""),"")</f>
        <v/>
      </c>
      <c r="D18963" s="42"/>
      <c r="E18963" s="42"/>
      <c r="F18963" s="48" t="str">
        <f>IFERROR(__xludf.DUMMYFUNCTION("""COMPUTED_VALUE"""),"")</f>
        <v/>
      </c>
      <c r="G18963" s="42" t="str">
        <f>IFERROR(__xludf.DUMMYFUNCTION("""COMPUTED_VALUE"""),"")</f>
        <v/>
      </c>
      <c r="H18963" s="42">
        <f t="shared" si="1"/>
        <v>3345</v>
      </c>
    </row>
    <row r="18964" ht="22.5" customHeight="1">
      <c r="B18964" s="42" t="str">
        <f>IFERROR(__xludf.DUMMYFUNCTION("""COMPUTED_VALUE"""),"")</f>
        <v/>
      </c>
      <c r="C18964" s="42" t="str">
        <f>IFERROR(__xludf.DUMMYFUNCTION("""COMPUTED_VALUE"""),"")</f>
        <v/>
      </c>
      <c r="D18964" s="42"/>
      <c r="E18964" s="42"/>
      <c r="F18964" s="48" t="str">
        <f>IFERROR(__xludf.DUMMYFUNCTION("""COMPUTED_VALUE"""),"")</f>
        <v/>
      </c>
      <c r="G18964" s="42" t="str">
        <f>IFERROR(__xludf.DUMMYFUNCTION("""COMPUTED_VALUE"""),"")</f>
        <v/>
      </c>
      <c r="H18964" s="42">
        <f t="shared" si="1"/>
        <v>3345</v>
      </c>
    </row>
    <row r="18965" ht="22.5" customHeight="1">
      <c r="B18965" s="42" t="str">
        <f>IFERROR(__xludf.DUMMYFUNCTION("""COMPUTED_VALUE"""),"")</f>
        <v/>
      </c>
      <c r="C18965" s="42" t="str">
        <f>IFERROR(__xludf.DUMMYFUNCTION("""COMPUTED_VALUE"""),"")</f>
        <v/>
      </c>
      <c r="D18965" s="42"/>
      <c r="E18965" s="42"/>
      <c r="F18965" s="48" t="str">
        <f>IFERROR(__xludf.DUMMYFUNCTION("""COMPUTED_VALUE"""),"")</f>
        <v/>
      </c>
      <c r="G18965" s="42" t="str">
        <f>IFERROR(__xludf.DUMMYFUNCTION("""COMPUTED_VALUE"""),"")</f>
        <v/>
      </c>
      <c r="H18965" s="42">
        <f t="shared" si="1"/>
        <v>3345</v>
      </c>
    </row>
    <row r="18966" ht="22.5" customHeight="1">
      <c r="B18966" s="42" t="str">
        <f>IFERROR(__xludf.DUMMYFUNCTION("""COMPUTED_VALUE"""),"")</f>
        <v/>
      </c>
      <c r="C18966" s="42" t="str">
        <f>IFERROR(__xludf.DUMMYFUNCTION("""COMPUTED_VALUE"""),"")</f>
        <v/>
      </c>
      <c r="D18966" s="42"/>
      <c r="E18966" s="42"/>
      <c r="F18966" s="48" t="str">
        <f>IFERROR(__xludf.DUMMYFUNCTION("""COMPUTED_VALUE"""),"")</f>
        <v/>
      </c>
      <c r="G18966" s="42" t="str">
        <f>IFERROR(__xludf.DUMMYFUNCTION("""COMPUTED_VALUE"""),"")</f>
        <v/>
      </c>
      <c r="H18966" s="42">
        <f t="shared" si="1"/>
        <v>3345</v>
      </c>
    </row>
    <row r="18967" ht="22.5" customHeight="1">
      <c r="B18967" s="42" t="str">
        <f>IFERROR(__xludf.DUMMYFUNCTION("""COMPUTED_VALUE"""),"")</f>
        <v/>
      </c>
      <c r="C18967" s="42" t="str">
        <f>IFERROR(__xludf.DUMMYFUNCTION("""COMPUTED_VALUE"""),"")</f>
        <v/>
      </c>
      <c r="D18967" s="42"/>
      <c r="E18967" s="42"/>
      <c r="F18967" s="48" t="str">
        <f>IFERROR(__xludf.DUMMYFUNCTION("""COMPUTED_VALUE"""),"")</f>
        <v/>
      </c>
      <c r="G18967" s="42" t="str">
        <f>IFERROR(__xludf.DUMMYFUNCTION("""COMPUTED_VALUE"""),"")</f>
        <v/>
      </c>
      <c r="H18967" s="42">
        <f t="shared" si="1"/>
        <v>3345</v>
      </c>
    </row>
    <row r="18968" ht="22.5" customHeight="1">
      <c r="B18968" s="42" t="str">
        <f>IFERROR(__xludf.DUMMYFUNCTION("""COMPUTED_VALUE"""),"")</f>
        <v/>
      </c>
      <c r="C18968" s="42" t="str">
        <f>IFERROR(__xludf.DUMMYFUNCTION("""COMPUTED_VALUE"""),"")</f>
        <v/>
      </c>
      <c r="D18968" s="42"/>
      <c r="E18968" s="42"/>
      <c r="F18968" s="48" t="str">
        <f>IFERROR(__xludf.DUMMYFUNCTION("""COMPUTED_VALUE"""),"")</f>
        <v/>
      </c>
      <c r="G18968" s="42" t="str">
        <f>IFERROR(__xludf.DUMMYFUNCTION("""COMPUTED_VALUE"""),"")</f>
        <v/>
      </c>
      <c r="H18968" s="42">
        <f t="shared" si="1"/>
        <v>3345</v>
      </c>
    </row>
    <row r="18969" ht="22.5" customHeight="1">
      <c r="B18969" s="42" t="str">
        <f>IFERROR(__xludf.DUMMYFUNCTION("""COMPUTED_VALUE"""),"")</f>
        <v/>
      </c>
      <c r="C18969" s="42" t="str">
        <f>IFERROR(__xludf.DUMMYFUNCTION("""COMPUTED_VALUE"""),"")</f>
        <v/>
      </c>
      <c r="D18969" s="42"/>
      <c r="E18969" s="42"/>
      <c r="F18969" s="48" t="str">
        <f>IFERROR(__xludf.DUMMYFUNCTION("""COMPUTED_VALUE"""),"")</f>
        <v/>
      </c>
      <c r="G18969" s="42" t="str">
        <f>IFERROR(__xludf.DUMMYFUNCTION("""COMPUTED_VALUE"""),"")</f>
        <v/>
      </c>
      <c r="H18969" s="42">
        <f t="shared" si="1"/>
        <v>3345</v>
      </c>
    </row>
    <row r="18970" ht="22.5" customHeight="1">
      <c r="B18970" s="42" t="str">
        <f>IFERROR(__xludf.DUMMYFUNCTION("""COMPUTED_VALUE"""),"")</f>
        <v/>
      </c>
      <c r="C18970" s="42" t="str">
        <f>IFERROR(__xludf.DUMMYFUNCTION("""COMPUTED_VALUE"""),"")</f>
        <v/>
      </c>
      <c r="D18970" s="42"/>
      <c r="E18970" s="42"/>
      <c r="F18970" s="48" t="str">
        <f>IFERROR(__xludf.DUMMYFUNCTION("""COMPUTED_VALUE"""),"")</f>
        <v/>
      </c>
      <c r="G18970" s="42" t="str">
        <f>IFERROR(__xludf.DUMMYFUNCTION("""COMPUTED_VALUE"""),"")</f>
        <v/>
      </c>
      <c r="H18970" s="42">
        <f t="shared" si="1"/>
        <v>3345</v>
      </c>
    </row>
    <row r="18971" ht="22.5" customHeight="1">
      <c r="B18971" s="42" t="str">
        <f>IFERROR(__xludf.DUMMYFUNCTION("""COMPUTED_VALUE"""),"")</f>
        <v/>
      </c>
      <c r="C18971" s="42" t="str">
        <f>IFERROR(__xludf.DUMMYFUNCTION("""COMPUTED_VALUE"""),"")</f>
        <v/>
      </c>
      <c r="D18971" s="42"/>
      <c r="E18971" s="42"/>
      <c r="F18971" s="48" t="str">
        <f>IFERROR(__xludf.DUMMYFUNCTION("""COMPUTED_VALUE"""),"")</f>
        <v/>
      </c>
      <c r="G18971" s="42" t="str">
        <f>IFERROR(__xludf.DUMMYFUNCTION("""COMPUTED_VALUE"""),"")</f>
        <v/>
      </c>
      <c r="H18971" s="42">
        <f t="shared" si="1"/>
        <v>3345</v>
      </c>
    </row>
    <row r="18972" ht="22.5" customHeight="1">
      <c r="B18972" s="42" t="str">
        <f>IFERROR(__xludf.DUMMYFUNCTION("""COMPUTED_VALUE"""),"")</f>
        <v/>
      </c>
      <c r="C18972" s="42" t="str">
        <f>IFERROR(__xludf.DUMMYFUNCTION("""COMPUTED_VALUE"""),"")</f>
        <v/>
      </c>
      <c r="D18972" s="42"/>
      <c r="E18972" s="42"/>
      <c r="F18972" s="48" t="str">
        <f>IFERROR(__xludf.DUMMYFUNCTION("""COMPUTED_VALUE"""),"")</f>
        <v/>
      </c>
      <c r="G18972" s="42" t="str">
        <f>IFERROR(__xludf.DUMMYFUNCTION("""COMPUTED_VALUE"""),"")</f>
        <v/>
      </c>
      <c r="H18972" s="42">
        <f t="shared" si="1"/>
        <v>3345</v>
      </c>
    </row>
    <row r="18973" ht="22.5" customHeight="1">
      <c r="B18973" s="42" t="str">
        <f>IFERROR(__xludf.DUMMYFUNCTION("""COMPUTED_VALUE"""),"")</f>
        <v/>
      </c>
      <c r="C18973" s="42" t="str">
        <f>IFERROR(__xludf.DUMMYFUNCTION("""COMPUTED_VALUE"""),"")</f>
        <v/>
      </c>
      <c r="D18973" s="42"/>
      <c r="E18973" s="42"/>
      <c r="F18973" s="48" t="str">
        <f>IFERROR(__xludf.DUMMYFUNCTION("""COMPUTED_VALUE"""),"")</f>
        <v/>
      </c>
      <c r="G18973" s="42" t="str">
        <f>IFERROR(__xludf.DUMMYFUNCTION("""COMPUTED_VALUE"""),"")</f>
        <v/>
      </c>
      <c r="H18973" s="42">
        <f t="shared" si="1"/>
        <v>3345</v>
      </c>
    </row>
    <row r="18974" ht="22.5" customHeight="1">
      <c r="B18974" s="42" t="str">
        <f>IFERROR(__xludf.DUMMYFUNCTION("""COMPUTED_VALUE"""),"")</f>
        <v/>
      </c>
      <c r="C18974" s="42" t="str">
        <f>IFERROR(__xludf.DUMMYFUNCTION("""COMPUTED_VALUE"""),"")</f>
        <v/>
      </c>
      <c r="D18974" s="42"/>
      <c r="E18974" s="42"/>
      <c r="F18974" s="48" t="str">
        <f>IFERROR(__xludf.DUMMYFUNCTION("""COMPUTED_VALUE"""),"")</f>
        <v/>
      </c>
      <c r="G18974" s="42" t="str">
        <f>IFERROR(__xludf.DUMMYFUNCTION("""COMPUTED_VALUE"""),"")</f>
        <v/>
      </c>
      <c r="H18974" s="42">
        <f t="shared" si="1"/>
        <v>3345</v>
      </c>
    </row>
    <row r="18975" ht="22.5" customHeight="1">
      <c r="B18975" s="42" t="str">
        <f>IFERROR(__xludf.DUMMYFUNCTION("""COMPUTED_VALUE"""),"")</f>
        <v/>
      </c>
      <c r="C18975" s="42" t="str">
        <f>IFERROR(__xludf.DUMMYFUNCTION("""COMPUTED_VALUE"""),"")</f>
        <v/>
      </c>
      <c r="D18975" s="42"/>
      <c r="E18975" s="42"/>
      <c r="F18975" s="48" t="str">
        <f>IFERROR(__xludf.DUMMYFUNCTION("""COMPUTED_VALUE"""),"")</f>
        <v/>
      </c>
      <c r="G18975" s="42" t="str">
        <f>IFERROR(__xludf.DUMMYFUNCTION("""COMPUTED_VALUE"""),"")</f>
        <v/>
      </c>
      <c r="H18975" s="42">
        <f t="shared" si="1"/>
        <v>3345</v>
      </c>
    </row>
    <row r="18976" ht="22.5" customHeight="1">
      <c r="B18976" s="42" t="str">
        <f>IFERROR(__xludf.DUMMYFUNCTION("""COMPUTED_VALUE"""),"")</f>
        <v/>
      </c>
      <c r="C18976" s="42" t="str">
        <f>IFERROR(__xludf.DUMMYFUNCTION("""COMPUTED_VALUE"""),"")</f>
        <v/>
      </c>
      <c r="D18976" s="42"/>
      <c r="E18976" s="42"/>
      <c r="F18976" s="48" t="str">
        <f>IFERROR(__xludf.DUMMYFUNCTION("""COMPUTED_VALUE"""),"")</f>
        <v/>
      </c>
      <c r="G18976" s="42" t="str">
        <f>IFERROR(__xludf.DUMMYFUNCTION("""COMPUTED_VALUE"""),"")</f>
        <v/>
      </c>
      <c r="H18976" s="42">
        <f t="shared" si="1"/>
        <v>3345</v>
      </c>
    </row>
    <row r="18977" ht="22.5" customHeight="1">
      <c r="B18977" s="42" t="str">
        <f>IFERROR(__xludf.DUMMYFUNCTION("""COMPUTED_VALUE"""),"")</f>
        <v/>
      </c>
      <c r="C18977" s="42" t="str">
        <f>IFERROR(__xludf.DUMMYFUNCTION("""COMPUTED_VALUE"""),"")</f>
        <v/>
      </c>
      <c r="D18977" s="42"/>
      <c r="E18977" s="42"/>
      <c r="F18977" s="48" t="str">
        <f>IFERROR(__xludf.DUMMYFUNCTION("""COMPUTED_VALUE"""),"")</f>
        <v/>
      </c>
      <c r="G18977" s="42" t="str">
        <f>IFERROR(__xludf.DUMMYFUNCTION("""COMPUTED_VALUE"""),"")</f>
        <v/>
      </c>
      <c r="H18977" s="42">
        <f t="shared" si="1"/>
        <v>3345</v>
      </c>
    </row>
    <row r="18978" ht="22.5" customHeight="1">
      <c r="B18978" s="42" t="str">
        <f>IFERROR(__xludf.DUMMYFUNCTION("""COMPUTED_VALUE"""),"")</f>
        <v/>
      </c>
      <c r="C18978" s="42" t="str">
        <f>IFERROR(__xludf.DUMMYFUNCTION("""COMPUTED_VALUE"""),"")</f>
        <v/>
      </c>
      <c r="D18978" s="42"/>
      <c r="E18978" s="42"/>
      <c r="F18978" s="48" t="str">
        <f>IFERROR(__xludf.DUMMYFUNCTION("""COMPUTED_VALUE"""),"")</f>
        <v/>
      </c>
      <c r="G18978" s="42" t="str">
        <f>IFERROR(__xludf.DUMMYFUNCTION("""COMPUTED_VALUE"""),"")</f>
        <v/>
      </c>
      <c r="H18978" s="42">
        <f t="shared" si="1"/>
        <v>3345</v>
      </c>
    </row>
    <row r="18979" ht="22.5" customHeight="1">
      <c r="B18979" s="42" t="str">
        <f>IFERROR(__xludf.DUMMYFUNCTION("""COMPUTED_VALUE"""),"")</f>
        <v/>
      </c>
      <c r="C18979" s="42" t="str">
        <f>IFERROR(__xludf.DUMMYFUNCTION("""COMPUTED_VALUE"""),"")</f>
        <v/>
      </c>
      <c r="D18979" s="42"/>
      <c r="E18979" s="42"/>
      <c r="F18979" s="48" t="str">
        <f>IFERROR(__xludf.DUMMYFUNCTION("""COMPUTED_VALUE"""),"")</f>
        <v/>
      </c>
      <c r="G18979" s="42" t="str">
        <f>IFERROR(__xludf.DUMMYFUNCTION("""COMPUTED_VALUE"""),"")</f>
        <v/>
      </c>
      <c r="H18979" s="42">
        <f t="shared" si="1"/>
        <v>3345</v>
      </c>
    </row>
    <row r="18980" ht="22.5" customHeight="1">
      <c r="B18980" s="42" t="str">
        <f>IFERROR(__xludf.DUMMYFUNCTION("""COMPUTED_VALUE"""),"")</f>
        <v/>
      </c>
      <c r="C18980" s="42" t="str">
        <f>IFERROR(__xludf.DUMMYFUNCTION("""COMPUTED_VALUE"""),"")</f>
        <v/>
      </c>
      <c r="D18980" s="42"/>
      <c r="E18980" s="42"/>
      <c r="F18980" s="48" t="str">
        <f>IFERROR(__xludf.DUMMYFUNCTION("""COMPUTED_VALUE"""),"")</f>
        <v/>
      </c>
      <c r="G18980" s="42" t="str">
        <f>IFERROR(__xludf.DUMMYFUNCTION("""COMPUTED_VALUE"""),"")</f>
        <v/>
      </c>
      <c r="H18980" s="42">
        <f t="shared" si="1"/>
        <v>3345</v>
      </c>
    </row>
    <row r="18981" ht="22.5" customHeight="1">
      <c r="B18981" s="42" t="str">
        <f>IFERROR(__xludf.DUMMYFUNCTION("""COMPUTED_VALUE"""),"")</f>
        <v/>
      </c>
      <c r="C18981" s="42" t="str">
        <f>IFERROR(__xludf.DUMMYFUNCTION("""COMPUTED_VALUE"""),"")</f>
        <v/>
      </c>
      <c r="D18981" s="42"/>
      <c r="E18981" s="42"/>
      <c r="F18981" s="48" t="str">
        <f>IFERROR(__xludf.DUMMYFUNCTION("""COMPUTED_VALUE"""),"")</f>
        <v/>
      </c>
      <c r="G18981" s="42" t="str">
        <f>IFERROR(__xludf.DUMMYFUNCTION("""COMPUTED_VALUE"""),"")</f>
        <v/>
      </c>
      <c r="H18981" s="42">
        <f t="shared" si="1"/>
        <v>3345</v>
      </c>
    </row>
    <row r="18982" ht="22.5" customHeight="1">
      <c r="B18982" s="42" t="str">
        <f>IFERROR(__xludf.DUMMYFUNCTION("""COMPUTED_VALUE"""),"")</f>
        <v/>
      </c>
      <c r="C18982" s="42" t="str">
        <f>IFERROR(__xludf.DUMMYFUNCTION("""COMPUTED_VALUE"""),"")</f>
        <v/>
      </c>
      <c r="D18982" s="42"/>
      <c r="E18982" s="42"/>
      <c r="F18982" s="48" t="str">
        <f>IFERROR(__xludf.DUMMYFUNCTION("""COMPUTED_VALUE"""),"")</f>
        <v/>
      </c>
      <c r="G18982" s="42" t="str">
        <f>IFERROR(__xludf.DUMMYFUNCTION("""COMPUTED_VALUE"""),"")</f>
        <v/>
      </c>
      <c r="H18982" s="42">
        <f t="shared" si="1"/>
        <v>3345</v>
      </c>
    </row>
    <row r="18983" ht="22.5" customHeight="1">
      <c r="B18983" s="42" t="str">
        <f>IFERROR(__xludf.DUMMYFUNCTION("""COMPUTED_VALUE"""),"")</f>
        <v/>
      </c>
      <c r="C18983" s="42" t="str">
        <f>IFERROR(__xludf.DUMMYFUNCTION("""COMPUTED_VALUE"""),"")</f>
        <v/>
      </c>
      <c r="D18983" s="42"/>
      <c r="E18983" s="42"/>
      <c r="F18983" s="48" t="str">
        <f>IFERROR(__xludf.DUMMYFUNCTION("""COMPUTED_VALUE"""),"")</f>
        <v/>
      </c>
      <c r="G18983" s="42" t="str">
        <f>IFERROR(__xludf.DUMMYFUNCTION("""COMPUTED_VALUE"""),"")</f>
        <v/>
      </c>
      <c r="H18983" s="42">
        <f t="shared" si="1"/>
        <v>3345</v>
      </c>
    </row>
    <row r="18984" ht="22.5" customHeight="1">
      <c r="B18984" s="42" t="str">
        <f>IFERROR(__xludf.DUMMYFUNCTION("""COMPUTED_VALUE"""),"")</f>
        <v/>
      </c>
      <c r="C18984" s="42" t="str">
        <f>IFERROR(__xludf.DUMMYFUNCTION("""COMPUTED_VALUE"""),"")</f>
        <v/>
      </c>
      <c r="D18984" s="42"/>
      <c r="E18984" s="42"/>
      <c r="F18984" s="48" t="str">
        <f>IFERROR(__xludf.DUMMYFUNCTION("""COMPUTED_VALUE"""),"")</f>
        <v/>
      </c>
      <c r="G18984" s="42" t="str">
        <f>IFERROR(__xludf.DUMMYFUNCTION("""COMPUTED_VALUE"""),"")</f>
        <v/>
      </c>
      <c r="H18984" s="42">
        <f t="shared" si="1"/>
        <v>3345</v>
      </c>
    </row>
    <row r="18985" ht="22.5" customHeight="1">
      <c r="B18985" s="42" t="str">
        <f>IFERROR(__xludf.DUMMYFUNCTION("""COMPUTED_VALUE"""),"")</f>
        <v/>
      </c>
      <c r="C18985" s="42" t="str">
        <f>IFERROR(__xludf.DUMMYFUNCTION("""COMPUTED_VALUE"""),"")</f>
        <v/>
      </c>
      <c r="D18985" s="42"/>
      <c r="E18985" s="42"/>
      <c r="F18985" s="48" t="str">
        <f>IFERROR(__xludf.DUMMYFUNCTION("""COMPUTED_VALUE"""),"")</f>
        <v/>
      </c>
      <c r="G18985" s="42" t="str">
        <f>IFERROR(__xludf.DUMMYFUNCTION("""COMPUTED_VALUE"""),"")</f>
        <v/>
      </c>
      <c r="H18985" s="42">
        <f t="shared" si="1"/>
        <v>3345</v>
      </c>
    </row>
    <row r="18986" ht="22.5" customHeight="1">
      <c r="B18986" s="42" t="str">
        <f>IFERROR(__xludf.DUMMYFUNCTION("""COMPUTED_VALUE"""),"")</f>
        <v/>
      </c>
      <c r="C18986" s="42" t="str">
        <f>IFERROR(__xludf.DUMMYFUNCTION("""COMPUTED_VALUE"""),"")</f>
        <v/>
      </c>
      <c r="D18986" s="42"/>
      <c r="E18986" s="42"/>
      <c r="F18986" s="48" t="str">
        <f>IFERROR(__xludf.DUMMYFUNCTION("""COMPUTED_VALUE"""),"")</f>
        <v/>
      </c>
      <c r="G18986" s="42" t="str">
        <f>IFERROR(__xludf.DUMMYFUNCTION("""COMPUTED_VALUE"""),"")</f>
        <v/>
      </c>
      <c r="H18986" s="42">
        <f t="shared" si="1"/>
        <v>3345</v>
      </c>
    </row>
    <row r="18987" ht="22.5" customHeight="1">
      <c r="B18987" s="42" t="str">
        <f>IFERROR(__xludf.DUMMYFUNCTION("""COMPUTED_VALUE"""),"")</f>
        <v/>
      </c>
      <c r="C18987" s="42" t="str">
        <f>IFERROR(__xludf.DUMMYFUNCTION("""COMPUTED_VALUE"""),"")</f>
        <v/>
      </c>
      <c r="D18987" s="42"/>
      <c r="E18987" s="42"/>
      <c r="F18987" s="48" t="str">
        <f>IFERROR(__xludf.DUMMYFUNCTION("""COMPUTED_VALUE"""),"")</f>
        <v/>
      </c>
      <c r="G18987" s="42" t="str">
        <f>IFERROR(__xludf.DUMMYFUNCTION("""COMPUTED_VALUE"""),"")</f>
        <v/>
      </c>
      <c r="H18987" s="42">
        <f t="shared" si="1"/>
        <v>3345</v>
      </c>
    </row>
    <row r="18988" ht="22.5" customHeight="1">
      <c r="B18988" s="42" t="str">
        <f>IFERROR(__xludf.DUMMYFUNCTION("""COMPUTED_VALUE"""),"")</f>
        <v/>
      </c>
      <c r="C18988" s="42" t="str">
        <f>IFERROR(__xludf.DUMMYFUNCTION("""COMPUTED_VALUE"""),"")</f>
        <v/>
      </c>
      <c r="D18988" s="42"/>
      <c r="E18988" s="42"/>
      <c r="F18988" s="48" t="str">
        <f>IFERROR(__xludf.DUMMYFUNCTION("""COMPUTED_VALUE"""),"")</f>
        <v/>
      </c>
      <c r="G18988" s="42" t="str">
        <f>IFERROR(__xludf.DUMMYFUNCTION("""COMPUTED_VALUE"""),"")</f>
        <v/>
      </c>
      <c r="H18988" s="42">
        <f t="shared" si="1"/>
        <v>3345</v>
      </c>
    </row>
    <row r="18989" ht="22.5" customHeight="1">
      <c r="B18989" s="42" t="str">
        <f>IFERROR(__xludf.DUMMYFUNCTION("""COMPUTED_VALUE"""),"")</f>
        <v/>
      </c>
      <c r="C18989" s="42" t="str">
        <f>IFERROR(__xludf.DUMMYFUNCTION("""COMPUTED_VALUE"""),"")</f>
        <v/>
      </c>
      <c r="D18989" s="42"/>
      <c r="E18989" s="42"/>
      <c r="F18989" s="48" t="str">
        <f>IFERROR(__xludf.DUMMYFUNCTION("""COMPUTED_VALUE"""),"")</f>
        <v/>
      </c>
      <c r="G18989" s="42" t="str">
        <f>IFERROR(__xludf.DUMMYFUNCTION("""COMPUTED_VALUE"""),"")</f>
        <v/>
      </c>
      <c r="H18989" s="42">
        <f t="shared" si="1"/>
        <v>3345</v>
      </c>
    </row>
    <row r="18990" ht="22.5" customHeight="1">
      <c r="B18990" s="42" t="str">
        <f>IFERROR(__xludf.DUMMYFUNCTION("""COMPUTED_VALUE"""),"")</f>
        <v/>
      </c>
      <c r="C18990" s="42" t="str">
        <f>IFERROR(__xludf.DUMMYFUNCTION("""COMPUTED_VALUE"""),"")</f>
        <v/>
      </c>
      <c r="D18990" s="42"/>
      <c r="E18990" s="42"/>
      <c r="F18990" s="48" t="str">
        <f>IFERROR(__xludf.DUMMYFUNCTION("""COMPUTED_VALUE"""),"")</f>
        <v/>
      </c>
      <c r="G18990" s="42" t="str">
        <f>IFERROR(__xludf.DUMMYFUNCTION("""COMPUTED_VALUE"""),"")</f>
        <v/>
      </c>
      <c r="H18990" s="42">
        <f t="shared" si="1"/>
        <v>3345</v>
      </c>
    </row>
    <row r="18991" ht="22.5" customHeight="1">
      <c r="B18991" s="42" t="str">
        <f>IFERROR(__xludf.DUMMYFUNCTION("""COMPUTED_VALUE"""),"")</f>
        <v/>
      </c>
      <c r="C18991" s="42" t="str">
        <f>IFERROR(__xludf.DUMMYFUNCTION("""COMPUTED_VALUE"""),"")</f>
        <v/>
      </c>
      <c r="D18991" s="42"/>
      <c r="E18991" s="42"/>
      <c r="F18991" s="48" t="str">
        <f>IFERROR(__xludf.DUMMYFUNCTION("""COMPUTED_VALUE"""),"")</f>
        <v/>
      </c>
      <c r="G18991" s="42" t="str">
        <f>IFERROR(__xludf.DUMMYFUNCTION("""COMPUTED_VALUE"""),"")</f>
        <v/>
      </c>
      <c r="H18991" s="42">
        <f t="shared" si="1"/>
        <v>3345</v>
      </c>
    </row>
    <row r="18992" ht="22.5" customHeight="1">
      <c r="B18992" s="42" t="str">
        <f>IFERROR(__xludf.DUMMYFUNCTION("""COMPUTED_VALUE"""),"")</f>
        <v/>
      </c>
      <c r="C18992" s="42" t="str">
        <f>IFERROR(__xludf.DUMMYFUNCTION("""COMPUTED_VALUE"""),"")</f>
        <v/>
      </c>
      <c r="D18992" s="42"/>
      <c r="E18992" s="42"/>
      <c r="F18992" s="48" t="str">
        <f>IFERROR(__xludf.DUMMYFUNCTION("""COMPUTED_VALUE"""),"")</f>
        <v/>
      </c>
      <c r="G18992" s="42" t="str">
        <f>IFERROR(__xludf.DUMMYFUNCTION("""COMPUTED_VALUE"""),"")</f>
        <v/>
      </c>
      <c r="H18992" s="42">
        <f t="shared" si="1"/>
        <v>3345</v>
      </c>
    </row>
    <row r="18993" ht="22.5" customHeight="1">
      <c r="B18993" s="42" t="str">
        <f>IFERROR(__xludf.DUMMYFUNCTION("""COMPUTED_VALUE"""),"")</f>
        <v/>
      </c>
      <c r="C18993" s="42" t="str">
        <f>IFERROR(__xludf.DUMMYFUNCTION("""COMPUTED_VALUE"""),"")</f>
        <v/>
      </c>
      <c r="D18993" s="42"/>
      <c r="E18993" s="42"/>
      <c r="F18993" s="48" t="str">
        <f>IFERROR(__xludf.DUMMYFUNCTION("""COMPUTED_VALUE"""),"")</f>
        <v/>
      </c>
      <c r="G18993" s="42" t="str">
        <f>IFERROR(__xludf.DUMMYFUNCTION("""COMPUTED_VALUE"""),"")</f>
        <v/>
      </c>
      <c r="H18993" s="42">
        <f t="shared" si="1"/>
        <v>3345</v>
      </c>
    </row>
    <row r="18994" ht="22.5" customHeight="1">
      <c r="B18994" s="42" t="str">
        <f>IFERROR(__xludf.DUMMYFUNCTION("""COMPUTED_VALUE"""),"")</f>
        <v/>
      </c>
      <c r="C18994" s="42" t="str">
        <f>IFERROR(__xludf.DUMMYFUNCTION("""COMPUTED_VALUE"""),"")</f>
        <v/>
      </c>
      <c r="D18994" s="42"/>
      <c r="E18994" s="42"/>
      <c r="F18994" s="48" t="str">
        <f>IFERROR(__xludf.DUMMYFUNCTION("""COMPUTED_VALUE"""),"")</f>
        <v/>
      </c>
      <c r="G18994" s="42" t="str">
        <f>IFERROR(__xludf.DUMMYFUNCTION("""COMPUTED_VALUE"""),"")</f>
        <v/>
      </c>
      <c r="H18994" s="42">
        <f t="shared" si="1"/>
        <v>3345</v>
      </c>
    </row>
    <row r="18995" ht="22.5" customHeight="1">
      <c r="B18995" s="42" t="str">
        <f>IFERROR(__xludf.DUMMYFUNCTION("""COMPUTED_VALUE"""),"")</f>
        <v/>
      </c>
      <c r="C18995" s="42" t="str">
        <f>IFERROR(__xludf.DUMMYFUNCTION("""COMPUTED_VALUE"""),"")</f>
        <v/>
      </c>
      <c r="D18995" s="42"/>
      <c r="E18995" s="42"/>
      <c r="F18995" s="48" t="str">
        <f>IFERROR(__xludf.DUMMYFUNCTION("""COMPUTED_VALUE"""),"")</f>
        <v/>
      </c>
      <c r="G18995" s="42" t="str">
        <f>IFERROR(__xludf.DUMMYFUNCTION("""COMPUTED_VALUE"""),"")</f>
        <v/>
      </c>
      <c r="H18995" s="42">
        <f t="shared" si="1"/>
        <v>3345</v>
      </c>
    </row>
    <row r="18996" ht="22.5" customHeight="1">
      <c r="B18996" s="42" t="str">
        <f>IFERROR(__xludf.DUMMYFUNCTION("""COMPUTED_VALUE"""),"")</f>
        <v/>
      </c>
      <c r="C18996" s="42" t="str">
        <f>IFERROR(__xludf.DUMMYFUNCTION("""COMPUTED_VALUE"""),"")</f>
        <v/>
      </c>
      <c r="D18996" s="42"/>
      <c r="E18996" s="42"/>
      <c r="F18996" s="48" t="str">
        <f>IFERROR(__xludf.DUMMYFUNCTION("""COMPUTED_VALUE"""),"")</f>
        <v/>
      </c>
      <c r="G18996" s="42" t="str">
        <f>IFERROR(__xludf.DUMMYFUNCTION("""COMPUTED_VALUE"""),"")</f>
        <v/>
      </c>
      <c r="H18996" s="42">
        <f t="shared" si="1"/>
        <v>3345</v>
      </c>
    </row>
    <row r="18997" ht="22.5" customHeight="1">
      <c r="B18997" s="42" t="str">
        <f>IFERROR(__xludf.DUMMYFUNCTION("""COMPUTED_VALUE"""),"")</f>
        <v/>
      </c>
      <c r="C18997" s="42" t="str">
        <f>IFERROR(__xludf.DUMMYFUNCTION("""COMPUTED_VALUE"""),"")</f>
        <v/>
      </c>
      <c r="D18997" s="42"/>
      <c r="E18997" s="42"/>
      <c r="F18997" s="48" t="str">
        <f>IFERROR(__xludf.DUMMYFUNCTION("""COMPUTED_VALUE"""),"")</f>
        <v/>
      </c>
      <c r="G18997" s="42" t="str">
        <f>IFERROR(__xludf.DUMMYFUNCTION("""COMPUTED_VALUE"""),"")</f>
        <v/>
      </c>
      <c r="H18997" s="42">
        <f t="shared" si="1"/>
        <v>3345</v>
      </c>
    </row>
    <row r="18998" ht="22.5" customHeight="1">
      <c r="B18998" s="42" t="str">
        <f>IFERROR(__xludf.DUMMYFUNCTION("""COMPUTED_VALUE"""),"")</f>
        <v/>
      </c>
      <c r="C18998" s="42" t="str">
        <f>IFERROR(__xludf.DUMMYFUNCTION("""COMPUTED_VALUE"""),"")</f>
        <v/>
      </c>
      <c r="D18998" s="42"/>
      <c r="E18998" s="42"/>
      <c r="F18998" s="48" t="str">
        <f>IFERROR(__xludf.DUMMYFUNCTION("""COMPUTED_VALUE"""),"")</f>
        <v/>
      </c>
      <c r="G18998" s="42" t="str">
        <f>IFERROR(__xludf.DUMMYFUNCTION("""COMPUTED_VALUE"""),"")</f>
        <v/>
      </c>
      <c r="H18998" s="42">
        <f t="shared" si="1"/>
        <v>3345</v>
      </c>
    </row>
    <row r="18999" ht="22.5" customHeight="1">
      <c r="B18999" s="42" t="str">
        <f>IFERROR(__xludf.DUMMYFUNCTION("""COMPUTED_VALUE"""),"")</f>
        <v/>
      </c>
      <c r="C18999" s="42" t="str">
        <f>IFERROR(__xludf.DUMMYFUNCTION("""COMPUTED_VALUE"""),"")</f>
        <v/>
      </c>
      <c r="D18999" s="42"/>
      <c r="E18999" s="42"/>
      <c r="F18999" s="48" t="str">
        <f>IFERROR(__xludf.DUMMYFUNCTION("""COMPUTED_VALUE"""),"")</f>
        <v/>
      </c>
      <c r="G18999" s="42" t="str">
        <f>IFERROR(__xludf.DUMMYFUNCTION("""COMPUTED_VALUE"""),"")</f>
        <v/>
      </c>
      <c r="H18999" s="42">
        <f t="shared" si="1"/>
        <v>3345</v>
      </c>
    </row>
    <row r="19000" ht="22.5" customHeight="1">
      <c r="B19000" s="42" t="str">
        <f>IFERROR(__xludf.DUMMYFUNCTION("""COMPUTED_VALUE"""),"")</f>
        <v/>
      </c>
      <c r="C19000" s="42" t="str">
        <f>IFERROR(__xludf.DUMMYFUNCTION("""COMPUTED_VALUE"""),"")</f>
        <v/>
      </c>
      <c r="D19000" s="42"/>
      <c r="E19000" s="42"/>
      <c r="F19000" s="48" t="str">
        <f>IFERROR(__xludf.DUMMYFUNCTION("""COMPUTED_VALUE"""),"")</f>
        <v/>
      </c>
      <c r="G19000" s="42" t="str">
        <f>IFERROR(__xludf.DUMMYFUNCTION("""COMPUTED_VALUE"""),"")</f>
        <v/>
      </c>
      <c r="H19000" s="42">
        <f t="shared" si="1"/>
        <v>3345</v>
      </c>
    </row>
    <row r="19001" ht="22.5" customHeight="1">
      <c r="B19001" s="42" t="str">
        <f>IFERROR(__xludf.DUMMYFUNCTION("""COMPUTED_VALUE"""),"")</f>
        <v/>
      </c>
      <c r="C19001" s="42" t="str">
        <f>IFERROR(__xludf.DUMMYFUNCTION("""COMPUTED_VALUE"""),"")</f>
        <v/>
      </c>
      <c r="D19001" s="42"/>
      <c r="E19001" s="42"/>
      <c r="F19001" s="48" t="str">
        <f>IFERROR(__xludf.DUMMYFUNCTION("""COMPUTED_VALUE"""),"")</f>
        <v/>
      </c>
      <c r="G19001" s="42" t="str">
        <f>IFERROR(__xludf.DUMMYFUNCTION("""COMPUTED_VALUE"""),"")</f>
        <v/>
      </c>
      <c r="H19001" s="42">
        <f t="shared" si="1"/>
        <v>3345</v>
      </c>
    </row>
    <row r="19002" ht="22.5" customHeight="1">
      <c r="B19002" s="42" t="str">
        <f>IFERROR(__xludf.DUMMYFUNCTION("""COMPUTED_VALUE"""),"")</f>
        <v/>
      </c>
      <c r="C19002" s="42" t="str">
        <f>IFERROR(__xludf.DUMMYFUNCTION("""COMPUTED_VALUE"""),"")</f>
        <v/>
      </c>
      <c r="D19002" s="42"/>
      <c r="E19002" s="42"/>
      <c r="F19002" s="48" t="str">
        <f>IFERROR(__xludf.DUMMYFUNCTION("""COMPUTED_VALUE"""),"")</f>
        <v/>
      </c>
      <c r="G19002" s="42" t="str">
        <f>IFERROR(__xludf.DUMMYFUNCTION("""COMPUTED_VALUE"""),"")</f>
        <v/>
      </c>
      <c r="H19002" s="42">
        <f t="shared" si="1"/>
        <v>3345</v>
      </c>
    </row>
    <row r="19003" ht="22.5" customHeight="1">
      <c r="B19003" s="42" t="str">
        <f>IFERROR(__xludf.DUMMYFUNCTION("""COMPUTED_VALUE"""),"")</f>
        <v/>
      </c>
      <c r="C19003" s="42" t="str">
        <f>IFERROR(__xludf.DUMMYFUNCTION("""COMPUTED_VALUE"""),"")</f>
        <v/>
      </c>
      <c r="D19003" s="42"/>
      <c r="E19003" s="42"/>
      <c r="F19003" s="48" t="str">
        <f>IFERROR(__xludf.DUMMYFUNCTION("""COMPUTED_VALUE"""),"")</f>
        <v/>
      </c>
      <c r="G19003" s="42" t="str">
        <f>IFERROR(__xludf.DUMMYFUNCTION("""COMPUTED_VALUE"""),"")</f>
        <v/>
      </c>
      <c r="H19003" s="42">
        <f t="shared" si="1"/>
        <v>3345</v>
      </c>
    </row>
    <row r="19004" ht="22.5" customHeight="1">
      <c r="B19004" s="42" t="str">
        <f>IFERROR(__xludf.DUMMYFUNCTION("""COMPUTED_VALUE"""),"")</f>
        <v/>
      </c>
      <c r="C19004" s="42" t="str">
        <f>IFERROR(__xludf.DUMMYFUNCTION("""COMPUTED_VALUE"""),"")</f>
        <v/>
      </c>
      <c r="D19004" s="42"/>
      <c r="E19004" s="42"/>
      <c r="F19004" s="48" t="str">
        <f>IFERROR(__xludf.DUMMYFUNCTION("""COMPUTED_VALUE"""),"")</f>
        <v/>
      </c>
      <c r="G19004" s="42" t="str">
        <f>IFERROR(__xludf.DUMMYFUNCTION("""COMPUTED_VALUE"""),"")</f>
        <v/>
      </c>
      <c r="H19004" s="42">
        <f t="shared" si="1"/>
        <v>3345</v>
      </c>
    </row>
    <row r="19005" ht="22.5" customHeight="1">
      <c r="B19005" s="42" t="str">
        <f>IFERROR(__xludf.DUMMYFUNCTION("""COMPUTED_VALUE"""),"")</f>
        <v/>
      </c>
      <c r="C19005" s="42" t="str">
        <f>IFERROR(__xludf.DUMMYFUNCTION("""COMPUTED_VALUE"""),"")</f>
        <v/>
      </c>
      <c r="D19005" s="42"/>
      <c r="E19005" s="42"/>
      <c r="F19005" s="48" t="str">
        <f>IFERROR(__xludf.DUMMYFUNCTION("""COMPUTED_VALUE"""),"")</f>
        <v/>
      </c>
      <c r="G19005" s="42" t="str">
        <f>IFERROR(__xludf.DUMMYFUNCTION("""COMPUTED_VALUE"""),"")</f>
        <v/>
      </c>
      <c r="H19005" s="42">
        <f t="shared" si="1"/>
        <v>3345</v>
      </c>
    </row>
    <row r="19006" ht="22.5" customHeight="1">
      <c r="B19006" s="42" t="str">
        <f>IFERROR(__xludf.DUMMYFUNCTION("""COMPUTED_VALUE"""),"")</f>
        <v/>
      </c>
      <c r="C19006" s="42" t="str">
        <f>IFERROR(__xludf.DUMMYFUNCTION("""COMPUTED_VALUE"""),"")</f>
        <v/>
      </c>
      <c r="D19006" s="42"/>
      <c r="E19006" s="42"/>
      <c r="F19006" s="48" t="str">
        <f>IFERROR(__xludf.DUMMYFUNCTION("""COMPUTED_VALUE"""),"")</f>
        <v/>
      </c>
      <c r="G19006" s="42" t="str">
        <f>IFERROR(__xludf.DUMMYFUNCTION("""COMPUTED_VALUE"""),"")</f>
        <v/>
      </c>
      <c r="H19006" s="42">
        <f t="shared" si="1"/>
        <v>3345</v>
      </c>
    </row>
    <row r="19007" ht="22.5" customHeight="1">
      <c r="B19007" s="42" t="str">
        <f>IFERROR(__xludf.DUMMYFUNCTION("""COMPUTED_VALUE"""),"")</f>
        <v/>
      </c>
      <c r="C19007" s="42" t="str">
        <f>IFERROR(__xludf.DUMMYFUNCTION("""COMPUTED_VALUE"""),"")</f>
        <v/>
      </c>
      <c r="D19007" s="42"/>
      <c r="E19007" s="42"/>
      <c r="F19007" s="48" t="str">
        <f>IFERROR(__xludf.DUMMYFUNCTION("""COMPUTED_VALUE"""),"")</f>
        <v/>
      </c>
      <c r="G19007" s="42" t="str">
        <f>IFERROR(__xludf.DUMMYFUNCTION("""COMPUTED_VALUE"""),"")</f>
        <v/>
      </c>
      <c r="H19007" s="42">
        <f t="shared" si="1"/>
        <v>3345</v>
      </c>
    </row>
    <row r="19008" ht="22.5" customHeight="1">
      <c r="B19008" s="42" t="str">
        <f>IFERROR(__xludf.DUMMYFUNCTION("""COMPUTED_VALUE"""),"")</f>
        <v/>
      </c>
      <c r="C19008" s="42" t="str">
        <f>IFERROR(__xludf.DUMMYFUNCTION("""COMPUTED_VALUE"""),"")</f>
        <v/>
      </c>
      <c r="D19008" s="42"/>
      <c r="E19008" s="42"/>
      <c r="F19008" s="48" t="str">
        <f>IFERROR(__xludf.DUMMYFUNCTION("""COMPUTED_VALUE"""),"")</f>
        <v/>
      </c>
      <c r="G19008" s="42" t="str">
        <f>IFERROR(__xludf.DUMMYFUNCTION("""COMPUTED_VALUE"""),"")</f>
        <v/>
      </c>
      <c r="H19008" s="42">
        <f t="shared" si="1"/>
        <v>3345</v>
      </c>
    </row>
    <row r="19009" ht="22.5" customHeight="1">
      <c r="B19009" s="42" t="str">
        <f>IFERROR(__xludf.DUMMYFUNCTION("""COMPUTED_VALUE"""),"")</f>
        <v/>
      </c>
      <c r="C19009" s="42" t="str">
        <f>IFERROR(__xludf.DUMMYFUNCTION("""COMPUTED_VALUE"""),"")</f>
        <v/>
      </c>
      <c r="D19009" s="42"/>
      <c r="E19009" s="42"/>
      <c r="F19009" s="48" t="str">
        <f>IFERROR(__xludf.DUMMYFUNCTION("""COMPUTED_VALUE"""),"")</f>
        <v/>
      </c>
      <c r="G19009" s="42" t="str">
        <f>IFERROR(__xludf.DUMMYFUNCTION("""COMPUTED_VALUE"""),"")</f>
        <v/>
      </c>
      <c r="H19009" s="42">
        <f t="shared" si="1"/>
        <v>3345</v>
      </c>
    </row>
    <row r="19010" ht="22.5" customHeight="1">
      <c r="B19010" s="42" t="str">
        <f>IFERROR(__xludf.DUMMYFUNCTION("""COMPUTED_VALUE"""),"")</f>
        <v/>
      </c>
      <c r="C19010" s="42" t="str">
        <f>IFERROR(__xludf.DUMMYFUNCTION("""COMPUTED_VALUE"""),"")</f>
        <v/>
      </c>
      <c r="D19010" s="42"/>
      <c r="E19010" s="42"/>
      <c r="F19010" s="48" t="str">
        <f>IFERROR(__xludf.DUMMYFUNCTION("""COMPUTED_VALUE"""),"")</f>
        <v/>
      </c>
      <c r="G19010" s="42" t="str">
        <f>IFERROR(__xludf.DUMMYFUNCTION("""COMPUTED_VALUE"""),"")</f>
        <v/>
      </c>
      <c r="H19010" s="42">
        <f t="shared" si="1"/>
        <v>3345</v>
      </c>
    </row>
    <row r="19011" ht="22.5" customHeight="1">
      <c r="B19011" s="42" t="str">
        <f>IFERROR(__xludf.DUMMYFUNCTION("""COMPUTED_VALUE"""),"")</f>
        <v/>
      </c>
      <c r="C19011" s="42" t="str">
        <f>IFERROR(__xludf.DUMMYFUNCTION("""COMPUTED_VALUE"""),"")</f>
        <v/>
      </c>
      <c r="D19011" s="42"/>
      <c r="E19011" s="42"/>
      <c r="F19011" s="48" t="str">
        <f>IFERROR(__xludf.DUMMYFUNCTION("""COMPUTED_VALUE"""),"")</f>
        <v/>
      </c>
      <c r="G19011" s="42" t="str">
        <f>IFERROR(__xludf.DUMMYFUNCTION("""COMPUTED_VALUE"""),"")</f>
        <v/>
      </c>
      <c r="H19011" s="42">
        <f t="shared" si="1"/>
        <v>3345</v>
      </c>
    </row>
    <row r="19012" ht="22.5" customHeight="1">
      <c r="B19012" s="42" t="str">
        <f>IFERROR(__xludf.DUMMYFUNCTION("""COMPUTED_VALUE"""),"")</f>
        <v/>
      </c>
      <c r="C19012" s="42" t="str">
        <f>IFERROR(__xludf.DUMMYFUNCTION("""COMPUTED_VALUE"""),"")</f>
        <v/>
      </c>
      <c r="D19012" s="42"/>
      <c r="E19012" s="42"/>
      <c r="F19012" s="48" t="str">
        <f>IFERROR(__xludf.DUMMYFUNCTION("""COMPUTED_VALUE"""),"")</f>
        <v/>
      </c>
      <c r="G19012" s="42" t="str">
        <f>IFERROR(__xludf.DUMMYFUNCTION("""COMPUTED_VALUE"""),"")</f>
        <v/>
      </c>
      <c r="H19012" s="42">
        <f t="shared" si="1"/>
        <v>3345</v>
      </c>
    </row>
    <row r="19013" ht="22.5" customHeight="1">
      <c r="B19013" s="42" t="str">
        <f>IFERROR(__xludf.DUMMYFUNCTION("""COMPUTED_VALUE"""),"")</f>
        <v/>
      </c>
      <c r="C19013" s="42" t="str">
        <f>IFERROR(__xludf.DUMMYFUNCTION("""COMPUTED_VALUE"""),"")</f>
        <v/>
      </c>
      <c r="D19013" s="42"/>
      <c r="E19013" s="42"/>
      <c r="F19013" s="48" t="str">
        <f>IFERROR(__xludf.DUMMYFUNCTION("""COMPUTED_VALUE"""),"")</f>
        <v/>
      </c>
      <c r="G19013" s="42" t="str">
        <f>IFERROR(__xludf.DUMMYFUNCTION("""COMPUTED_VALUE"""),"")</f>
        <v/>
      </c>
      <c r="H19013" s="42">
        <f t="shared" si="1"/>
        <v>3345</v>
      </c>
    </row>
    <row r="19014" ht="22.5" customHeight="1">
      <c r="B19014" s="42" t="str">
        <f>IFERROR(__xludf.DUMMYFUNCTION("""COMPUTED_VALUE"""),"")</f>
        <v/>
      </c>
      <c r="C19014" s="42" t="str">
        <f>IFERROR(__xludf.DUMMYFUNCTION("""COMPUTED_VALUE"""),"")</f>
        <v/>
      </c>
      <c r="D19014" s="42"/>
      <c r="E19014" s="42"/>
      <c r="F19014" s="48" t="str">
        <f>IFERROR(__xludf.DUMMYFUNCTION("""COMPUTED_VALUE"""),"")</f>
        <v/>
      </c>
      <c r="G19014" s="42" t="str">
        <f>IFERROR(__xludf.DUMMYFUNCTION("""COMPUTED_VALUE"""),"")</f>
        <v/>
      </c>
      <c r="H19014" s="42">
        <f t="shared" si="1"/>
        <v>3345</v>
      </c>
    </row>
    <row r="19015" ht="22.5" customHeight="1">
      <c r="B19015" s="42" t="str">
        <f>IFERROR(__xludf.DUMMYFUNCTION("""COMPUTED_VALUE"""),"")</f>
        <v/>
      </c>
      <c r="C19015" s="42" t="str">
        <f>IFERROR(__xludf.DUMMYFUNCTION("""COMPUTED_VALUE"""),"")</f>
        <v/>
      </c>
      <c r="D19015" s="42"/>
      <c r="E19015" s="42"/>
      <c r="F19015" s="48" t="str">
        <f>IFERROR(__xludf.DUMMYFUNCTION("""COMPUTED_VALUE"""),"")</f>
        <v/>
      </c>
      <c r="G19015" s="42" t="str">
        <f>IFERROR(__xludf.DUMMYFUNCTION("""COMPUTED_VALUE"""),"")</f>
        <v/>
      </c>
      <c r="H19015" s="42">
        <f t="shared" si="1"/>
        <v>3345</v>
      </c>
    </row>
    <row r="19016" ht="22.5" customHeight="1">
      <c r="B19016" s="42" t="str">
        <f>IFERROR(__xludf.DUMMYFUNCTION("""COMPUTED_VALUE"""),"")</f>
        <v/>
      </c>
      <c r="C19016" s="42" t="str">
        <f>IFERROR(__xludf.DUMMYFUNCTION("""COMPUTED_VALUE"""),"")</f>
        <v/>
      </c>
      <c r="D19016" s="42"/>
      <c r="E19016" s="42"/>
      <c r="F19016" s="48" t="str">
        <f>IFERROR(__xludf.DUMMYFUNCTION("""COMPUTED_VALUE"""),"")</f>
        <v/>
      </c>
      <c r="G19016" s="42" t="str">
        <f>IFERROR(__xludf.DUMMYFUNCTION("""COMPUTED_VALUE"""),"")</f>
        <v/>
      </c>
      <c r="H19016" s="42">
        <f t="shared" si="1"/>
        <v>3345</v>
      </c>
    </row>
    <row r="19017" ht="22.5" customHeight="1">
      <c r="B19017" s="42" t="str">
        <f>IFERROR(__xludf.DUMMYFUNCTION("""COMPUTED_VALUE"""),"")</f>
        <v/>
      </c>
      <c r="C19017" s="42" t="str">
        <f>IFERROR(__xludf.DUMMYFUNCTION("""COMPUTED_VALUE"""),"")</f>
        <v/>
      </c>
      <c r="D19017" s="42"/>
      <c r="E19017" s="42"/>
      <c r="F19017" s="48" t="str">
        <f>IFERROR(__xludf.DUMMYFUNCTION("""COMPUTED_VALUE"""),"")</f>
        <v/>
      </c>
      <c r="G19017" s="42" t="str">
        <f>IFERROR(__xludf.DUMMYFUNCTION("""COMPUTED_VALUE"""),"")</f>
        <v/>
      </c>
      <c r="H19017" s="42">
        <f t="shared" si="1"/>
        <v>3345</v>
      </c>
    </row>
    <row r="19018" ht="22.5" customHeight="1">
      <c r="B19018" s="42" t="str">
        <f>IFERROR(__xludf.DUMMYFUNCTION("""COMPUTED_VALUE"""),"")</f>
        <v/>
      </c>
      <c r="C19018" s="42" t="str">
        <f>IFERROR(__xludf.DUMMYFUNCTION("""COMPUTED_VALUE"""),"")</f>
        <v/>
      </c>
      <c r="D19018" s="42"/>
      <c r="E19018" s="42"/>
      <c r="F19018" s="48" t="str">
        <f>IFERROR(__xludf.DUMMYFUNCTION("""COMPUTED_VALUE"""),"")</f>
        <v/>
      </c>
      <c r="G19018" s="42" t="str">
        <f>IFERROR(__xludf.DUMMYFUNCTION("""COMPUTED_VALUE"""),"")</f>
        <v/>
      </c>
      <c r="H19018" s="42">
        <f t="shared" si="1"/>
        <v>3345</v>
      </c>
    </row>
    <row r="19019" ht="22.5" customHeight="1">
      <c r="B19019" s="42" t="str">
        <f>IFERROR(__xludf.DUMMYFUNCTION("""COMPUTED_VALUE"""),"")</f>
        <v/>
      </c>
      <c r="C19019" s="42" t="str">
        <f>IFERROR(__xludf.DUMMYFUNCTION("""COMPUTED_VALUE"""),"")</f>
        <v/>
      </c>
      <c r="D19019" s="42"/>
      <c r="E19019" s="42"/>
      <c r="F19019" s="48" t="str">
        <f>IFERROR(__xludf.DUMMYFUNCTION("""COMPUTED_VALUE"""),"")</f>
        <v/>
      </c>
      <c r="G19019" s="42" t="str">
        <f>IFERROR(__xludf.DUMMYFUNCTION("""COMPUTED_VALUE"""),"")</f>
        <v/>
      </c>
      <c r="H19019" s="42">
        <f t="shared" si="1"/>
        <v>3345</v>
      </c>
    </row>
    <row r="19020" ht="22.5" customHeight="1">
      <c r="B19020" s="42" t="str">
        <f>IFERROR(__xludf.DUMMYFUNCTION("""COMPUTED_VALUE"""),"")</f>
        <v/>
      </c>
      <c r="C19020" s="42" t="str">
        <f>IFERROR(__xludf.DUMMYFUNCTION("""COMPUTED_VALUE"""),"")</f>
        <v/>
      </c>
      <c r="D19020" s="42"/>
      <c r="E19020" s="42"/>
      <c r="F19020" s="48" t="str">
        <f>IFERROR(__xludf.DUMMYFUNCTION("""COMPUTED_VALUE"""),"")</f>
        <v/>
      </c>
      <c r="G19020" s="42" t="str">
        <f>IFERROR(__xludf.DUMMYFUNCTION("""COMPUTED_VALUE"""),"")</f>
        <v/>
      </c>
      <c r="H19020" s="42">
        <f t="shared" si="1"/>
        <v>3345</v>
      </c>
    </row>
    <row r="19021" ht="22.5" customHeight="1">
      <c r="B19021" s="42" t="str">
        <f>IFERROR(__xludf.DUMMYFUNCTION("""COMPUTED_VALUE"""),"")</f>
        <v/>
      </c>
      <c r="C19021" s="42" t="str">
        <f>IFERROR(__xludf.DUMMYFUNCTION("""COMPUTED_VALUE"""),"")</f>
        <v/>
      </c>
      <c r="D19021" s="42"/>
      <c r="E19021" s="42"/>
      <c r="F19021" s="48" t="str">
        <f>IFERROR(__xludf.DUMMYFUNCTION("""COMPUTED_VALUE"""),"")</f>
        <v/>
      </c>
      <c r="G19021" s="42" t="str">
        <f>IFERROR(__xludf.DUMMYFUNCTION("""COMPUTED_VALUE"""),"")</f>
        <v/>
      </c>
      <c r="H19021" s="42">
        <f t="shared" si="1"/>
        <v>3345</v>
      </c>
    </row>
    <row r="19022" ht="22.5" customHeight="1">
      <c r="B19022" s="42" t="str">
        <f>IFERROR(__xludf.DUMMYFUNCTION("""COMPUTED_VALUE"""),"")</f>
        <v/>
      </c>
      <c r="C19022" s="42" t="str">
        <f>IFERROR(__xludf.DUMMYFUNCTION("""COMPUTED_VALUE"""),"")</f>
        <v/>
      </c>
      <c r="D19022" s="42"/>
      <c r="E19022" s="42"/>
      <c r="F19022" s="48" t="str">
        <f>IFERROR(__xludf.DUMMYFUNCTION("""COMPUTED_VALUE"""),"")</f>
        <v/>
      </c>
      <c r="G19022" s="42" t="str">
        <f>IFERROR(__xludf.DUMMYFUNCTION("""COMPUTED_VALUE"""),"")</f>
        <v/>
      </c>
      <c r="H19022" s="42">
        <f t="shared" si="1"/>
        <v>3345</v>
      </c>
    </row>
    <row r="19023" ht="22.5" customHeight="1">
      <c r="B19023" s="42" t="str">
        <f>IFERROR(__xludf.DUMMYFUNCTION("""COMPUTED_VALUE"""),"")</f>
        <v/>
      </c>
      <c r="C19023" s="42" t="str">
        <f>IFERROR(__xludf.DUMMYFUNCTION("""COMPUTED_VALUE"""),"")</f>
        <v/>
      </c>
      <c r="D19023" s="42"/>
      <c r="E19023" s="42"/>
      <c r="F19023" s="48" t="str">
        <f>IFERROR(__xludf.DUMMYFUNCTION("""COMPUTED_VALUE"""),"")</f>
        <v/>
      </c>
      <c r="G19023" s="42" t="str">
        <f>IFERROR(__xludf.DUMMYFUNCTION("""COMPUTED_VALUE"""),"")</f>
        <v/>
      </c>
      <c r="H19023" s="42">
        <f t="shared" si="1"/>
        <v>3345</v>
      </c>
    </row>
    <row r="19024" ht="22.5" customHeight="1">
      <c r="B19024" s="42" t="str">
        <f>IFERROR(__xludf.DUMMYFUNCTION("""COMPUTED_VALUE"""),"")</f>
        <v/>
      </c>
      <c r="C19024" s="42" t="str">
        <f>IFERROR(__xludf.DUMMYFUNCTION("""COMPUTED_VALUE"""),"")</f>
        <v/>
      </c>
      <c r="D19024" s="42"/>
      <c r="E19024" s="42"/>
      <c r="F19024" s="48" t="str">
        <f>IFERROR(__xludf.DUMMYFUNCTION("""COMPUTED_VALUE"""),"")</f>
        <v/>
      </c>
      <c r="G19024" s="42" t="str">
        <f>IFERROR(__xludf.DUMMYFUNCTION("""COMPUTED_VALUE"""),"")</f>
        <v/>
      </c>
      <c r="H19024" s="42">
        <f t="shared" si="1"/>
        <v>3345</v>
      </c>
    </row>
    <row r="19025" ht="22.5" customHeight="1">
      <c r="B19025" s="42" t="str">
        <f>IFERROR(__xludf.DUMMYFUNCTION("""COMPUTED_VALUE"""),"")</f>
        <v/>
      </c>
      <c r="C19025" s="42" t="str">
        <f>IFERROR(__xludf.DUMMYFUNCTION("""COMPUTED_VALUE"""),"")</f>
        <v/>
      </c>
      <c r="D19025" s="42"/>
      <c r="E19025" s="42"/>
      <c r="F19025" s="48" t="str">
        <f>IFERROR(__xludf.DUMMYFUNCTION("""COMPUTED_VALUE"""),"")</f>
        <v/>
      </c>
      <c r="G19025" s="42" t="str">
        <f>IFERROR(__xludf.DUMMYFUNCTION("""COMPUTED_VALUE"""),"")</f>
        <v/>
      </c>
      <c r="H19025" s="42">
        <f t="shared" si="1"/>
        <v>3345</v>
      </c>
    </row>
    <row r="19026" ht="22.5" customHeight="1">
      <c r="B19026" s="42" t="str">
        <f>IFERROR(__xludf.DUMMYFUNCTION("""COMPUTED_VALUE"""),"")</f>
        <v/>
      </c>
      <c r="C19026" s="42" t="str">
        <f>IFERROR(__xludf.DUMMYFUNCTION("""COMPUTED_VALUE"""),"")</f>
        <v/>
      </c>
      <c r="D19026" s="42"/>
      <c r="E19026" s="42"/>
      <c r="F19026" s="48" t="str">
        <f>IFERROR(__xludf.DUMMYFUNCTION("""COMPUTED_VALUE"""),"")</f>
        <v/>
      </c>
      <c r="G19026" s="42" t="str">
        <f>IFERROR(__xludf.DUMMYFUNCTION("""COMPUTED_VALUE"""),"")</f>
        <v/>
      </c>
      <c r="H19026" s="42">
        <f t="shared" si="1"/>
        <v>3345</v>
      </c>
    </row>
    <row r="19027" ht="22.5" customHeight="1">
      <c r="B19027" s="42" t="str">
        <f>IFERROR(__xludf.DUMMYFUNCTION("""COMPUTED_VALUE"""),"")</f>
        <v/>
      </c>
      <c r="C19027" s="42" t="str">
        <f>IFERROR(__xludf.DUMMYFUNCTION("""COMPUTED_VALUE"""),"")</f>
        <v/>
      </c>
      <c r="D19027" s="42"/>
      <c r="E19027" s="42"/>
      <c r="F19027" s="48" t="str">
        <f>IFERROR(__xludf.DUMMYFUNCTION("""COMPUTED_VALUE"""),"")</f>
        <v/>
      </c>
      <c r="G19027" s="42" t="str">
        <f>IFERROR(__xludf.DUMMYFUNCTION("""COMPUTED_VALUE"""),"")</f>
        <v/>
      </c>
      <c r="H19027" s="42">
        <f t="shared" si="1"/>
        <v>3345</v>
      </c>
    </row>
    <row r="19028" ht="22.5" customHeight="1">
      <c r="B19028" s="42" t="str">
        <f>IFERROR(__xludf.DUMMYFUNCTION("""COMPUTED_VALUE"""),"")</f>
        <v/>
      </c>
      <c r="C19028" s="42" t="str">
        <f>IFERROR(__xludf.DUMMYFUNCTION("""COMPUTED_VALUE"""),"")</f>
        <v/>
      </c>
      <c r="D19028" s="42"/>
      <c r="E19028" s="42"/>
      <c r="F19028" s="48" t="str">
        <f>IFERROR(__xludf.DUMMYFUNCTION("""COMPUTED_VALUE"""),"")</f>
        <v/>
      </c>
      <c r="G19028" s="42" t="str">
        <f>IFERROR(__xludf.DUMMYFUNCTION("""COMPUTED_VALUE"""),"")</f>
        <v/>
      </c>
      <c r="H19028" s="42">
        <f t="shared" si="1"/>
        <v>3345</v>
      </c>
    </row>
    <row r="19029" ht="22.5" customHeight="1">
      <c r="B19029" s="42" t="str">
        <f>IFERROR(__xludf.DUMMYFUNCTION("""COMPUTED_VALUE"""),"")</f>
        <v/>
      </c>
      <c r="C19029" s="42" t="str">
        <f>IFERROR(__xludf.DUMMYFUNCTION("""COMPUTED_VALUE"""),"")</f>
        <v/>
      </c>
      <c r="D19029" s="42"/>
      <c r="E19029" s="42"/>
      <c r="F19029" s="48" t="str">
        <f>IFERROR(__xludf.DUMMYFUNCTION("""COMPUTED_VALUE"""),"")</f>
        <v/>
      </c>
      <c r="G19029" s="42" t="str">
        <f>IFERROR(__xludf.DUMMYFUNCTION("""COMPUTED_VALUE"""),"")</f>
        <v/>
      </c>
      <c r="H19029" s="42">
        <f t="shared" si="1"/>
        <v>3345</v>
      </c>
    </row>
    <row r="19030" ht="22.5" customHeight="1">
      <c r="B19030" s="42" t="str">
        <f>IFERROR(__xludf.DUMMYFUNCTION("""COMPUTED_VALUE"""),"")</f>
        <v/>
      </c>
      <c r="C19030" s="42" t="str">
        <f>IFERROR(__xludf.DUMMYFUNCTION("""COMPUTED_VALUE"""),"")</f>
        <v/>
      </c>
      <c r="D19030" s="42"/>
      <c r="E19030" s="42"/>
      <c r="F19030" s="48" t="str">
        <f>IFERROR(__xludf.DUMMYFUNCTION("""COMPUTED_VALUE"""),"")</f>
        <v/>
      </c>
      <c r="G19030" s="42" t="str">
        <f>IFERROR(__xludf.DUMMYFUNCTION("""COMPUTED_VALUE"""),"")</f>
        <v/>
      </c>
      <c r="H19030" s="42">
        <f t="shared" si="1"/>
        <v>3345</v>
      </c>
    </row>
    <row r="19031" ht="22.5" customHeight="1">
      <c r="B19031" s="42" t="str">
        <f>IFERROR(__xludf.DUMMYFUNCTION("""COMPUTED_VALUE"""),"")</f>
        <v/>
      </c>
      <c r="C19031" s="42" t="str">
        <f>IFERROR(__xludf.DUMMYFUNCTION("""COMPUTED_VALUE"""),"")</f>
        <v/>
      </c>
      <c r="D19031" s="42"/>
      <c r="E19031" s="42"/>
      <c r="F19031" s="48" t="str">
        <f>IFERROR(__xludf.DUMMYFUNCTION("""COMPUTED_VALUE"""),"")</f>
        <v/>
      </c>
      <c r="G19031" s="42" t="str">
        <f>IFERROR(__xludf.DUMMYFUNCTION("""COMPUTED_VALUE"""),"")</f>
        <v/>
      </c>
      <c r="H19031" s="42">
        <f t="shared" si="1"/>
        <v>3345</v>
      </c>
    </row>
    <row r="19032" ht="22.5" customHeight="1">
      <c r="B19032" s="42" t="str">
        <f>IFERROR(__xludf.DUMMYFUNCTION("""COMPUTED_VALUE"""),"")</f>
        <v/>
      </c>
      <c r="C19032" s="42" t="str">
        <f>IFERROR(__xludf.DUMMYFUNCTION("""COMPUTED_VALUE"""),"")</f>
        <v/>
      </c>
      <c r="D19032" s="42"/>
      <c r="E19032" s="42"/>
      <c r="F19032" s="48" t="str">
        <f>IFERROR(__xludf.DUMMYFUNCTION("""COMPUTED_VALUE"""),"")</f>
        <v/>
      </c>
      <c r="G19032" s="42" t="str">
        <f>IFERROR(__xludf.DUMMYFUNCTION("""COMPUTED_VALUE"""),"")</f>
        <v/>
      </c>
      <c r="H19032" s="42">
        <f t="shared" si="1"/>
        <v>3345</v>
      </c>
    </row>
    <row r="19033" ht="22.5" customHeight="1">
      <c r="B19033" s="42" t="str">
        <f>IFERROR(__xludf.DUMMYFUNCTION("""COMPUTED_VALUE"""),"")</f>
        <v/>
      </c>
      <c r="C19033" s="42" t="str">
        <f>IFERROR(__xludf.DUMMYFUNCTION("""COMPUTED_VALUE"""),"")</f>
        <v/>
      </c>
      <c r="D19033" s="42"/>
      <c r="E19033" s="42"/>
      <c r="F19033" s="48" t="str">
        <f>IFERROR(__xludf.DUMMYFUNCTION("""COMPUTED_VALUE"""),"")</f>
        <v/>
      </c>
      <c r="G19033" s="42" t="str">
        <f>IFERROR(__xludf.DUMMYFUNCTION("""COMPUTED_VALUE"""),"")</f>
        <v/>
      </c>
      <c r="H19033" s="42">
        <f t="shared" si="1"/>
        <v>3345</v>
      </c>
    </row>
    <row r="19034" ht="22.5" customHeight="1">
      <c r="B19034" s="42" t="str">
        <f>IFERROR(__xludf.DUMMYFUNCTION("""COMPUTED_VALUE"""),"")</f>
        <v/>
      </c>
      <c r="C19034" s="42" t="str">
        <f>IFERROR(__xludf.DUMMYFUNCTION("""COMPUTED_VALUE"""),"")</f>
        <v/>
      </c>
      <c r="D19034" s="42"/>
      <c r="E19034" s="42"/>
      <c r="F19034" s="48" t="str">
        <f>IFERROR(__xludf.DUMMYFUNCTION("""COMPUTED_VALUE"""),"")</f>
        <v/>
      </c>
      <c r="G19034" s="42" t="str">
        <f>IFERROR(__xludf.DUMMYFUNCTION("""COMPUTED_VALUE"""),"")</f>
        <v/>
      </c>
      <c r="H19034" s="42">
        <f t="shared" si="1"/>
        <v>3345</v>
      </c>
    </row>
    <row r="19035" ht="22.5" customHeight="1">
      <c r="B19035" s="42" t="str">
        <f>IFERROR(__xludf.DUMMYFUNCTION("""COMPUTED_VALUE"""),"")</f>
        <v/>
      </c>
      <c r="C19035" s="42" t="str">
        <f>IFERROR(__xludf.DUMMYFUNCTION("""COMPUTED_VALUE"""),"")</f>
        <v/>
      </c>
      <c r="D19035" s="42"/>
      <c r="E19035" s="42"/>
      <c r="F19035" s="48" t="str">
        <f>IFERROR(__xludf.DUMMYFUNCTION("""COMPUTED_VALUE"""),"")</f>
        <v/>
      </c>
      <c r="G19035" s="42" t="str">
        <f>IFERROR(__xludf.DUMMYFUNCTION("""COMPUTED_VALUE"""),"")</f>
        <v/>
      </c>
      <c r="H19035" s="42">
        <f t="shared" si="1"/>
        <v>3345</v>
      </c>
    </row>
    <row r="19036" ht="22.5" customHeight="1">
      <c r="B19036" s="42" t="str">
        <f>IFERROR(__xludf.DUMMYFUNCTION("""COMPUTED_VALUE"""),"")</f>
        <v/>
      </c>
      <c r="C19036" s="42" t="str">
        <f>IFERROR(__xludf.DUMMYFUNCTION("""COMPUTED_VALUE"""),"")</f>
        <v/>
      </c>
      <c r="D19036" s="42"/>
      <c r="E19036" s="42"/>
      <c r="F19036" s="48" t="str">
        <f>IFERROR(__xludf.DUMMYFUNCTION("""COMPUTED_VALUE"""),"")</f>
        <v/>
      </c>
      <c r="G19036" s="42" t="str">
        <f>IFERROR(__xludf.DUMMYFUNCTION("""COMPUTED_VALUE"""),"")</f>
        <v/>
      </c>
      <c r="H19036" s="42">
        <f t="shared" si="1"/>
        <v>3345</v>
      </c>
    </row>
    <row r="19037" ht="22.5" customHeight="1">
      <c r="B19037" s="42" t="str">
        <f>IFERROR(__xludf.DUMMYFUNCTION("""COMPUTED_VALUE"""),"")</f>
        <v/>
      </c>
      <c r="C19037" s="42" t="str">
        <f>IFERROR(__xludf.DUMMYFUNCTION("""COMPUTED_VALUE"""),"")</f>
        <v/>
      </c>
      <c r="D19037" s="42"/>
      <c r="E19037" s="42"/>
      <c r="F19037" s="48" t="str">
        <f>IFERROR(__xludf.DUMMYFUNCTION("""COMPUTED_VALUE"""),"")</f>
        <v/>
      </c>
      <c r="G19037" s="42" t="str">
        <f>IFERROR(__xludf.DUMMYFUNCTION("""COMPUTED_VALUE"""),"")</f>
        <v/>
      </c>
      <c r="H19037" s="42">
        <f t="shared" si="1"/>
        <v>3345</v>
      </c>
    </row>
    <row r="19038" ht="22.5" customHeight="1">
      <c r="B19038" s="42" t="str">
        <f>IFERROR(__xludf.DUMMYFUNCTION("""COMPUTED_VALUE"""),"")</f>
        <v/>
      </c>
      <c r="C19038" s="42" t="str">
        <f>IFERROR(__xludf.DUMMYFUNCTION("""COMPUTED_VALUE"""),"")</f>
        <v/>
      </c>
      <c r="D19038" s="42"/>
      <c r="E19038" s="42"/>
      <c r="F19038" s="48" t="str">
        <f>IFERROR(__xludf.DUMMYFUNCTION("""COMPUTED_VALUE"""),"")</f>
        <v/>
      </c>
      <c r="G19038" s="42" t="str">
        <f>IFERROR(__xludf.DUMMYFUNCTION("""COMPUTED_VALUE"""),"")</f>
        <v/>
      </c>
      <c r="H19038" s="42">
        <f t="shared" si="1"/>
        <v>3345</v>
      </c>
    </row>
    <row r="19039" ht="22.5" customHeight="1">
      <c r="B19039" s="42" t="str">
        <f>IFERROR(__xludf.DUMMYFUNCTION("""COMPUTED_VALUE"""),"")</f>
        <v/>
      </c>
      <c r="C19039" s="42" t="str">
        <f>IFERROR(__xludf.DUMMYFUNCTION("""COMPUTED_VALUE"""),"")</f>
        <v/>
      </c>
      <c r="D19039" s="42"/>
      <c r="E19039" s="42"/>
      <c r="F19039" s="48" t="str">
        <f>IFERROR(__xludf.DUMMYFUNCTION("""COMPUTED_VALUE"""),"")</f>
        <v/>
      </c>
      <c r="G19039" s="42" t="str">
        <f>IFERROR(__xludf.DUMMYFUNCTION("""COMPUTED_VALUE"""),"")</f>
        <v/>
      </c>
      <c r="H19039" s="42">
        <f t="shared" si="1"/>
        <v>3345</v>
      </c>
    </row>
    <row r="19040" ht="22.5" customHeight="1">
      <c r="B19040" s="42" t="str">
        <f>IFERROR(__xludf.DUMMYFUNCTION("""COMPUTED_VALUE"""),"")</f>
        <v/>
      </c>
      <c r="C19040" s="42" t="str">
        <f>IFERROR(__xludf.DUMMYFUNCTION("""COMPUTED_VALUE"""),"")</f>
        <v/>
      </c>
      <c r="D19040" s="42"/>
      <c r="E19040" s="42"/>
      <c r="F19040" s="48" t="str">
        <f>IFERROR(__xludf.DUMMYFUNCTION("""COMPUTED_VALUE"""),"")</f>
        <v/>
      </c>
      <c r="G19040" s="42" t="str">
        <f>IFERROR(__xludf.DUMMYFUNCTION("""COMPUTED_VALUE"""),"")</f>
        <v/>
      </c>
      <c r="H19040" s="42">
        <f t="shared" si="1"/>
        <v>3345</v>
      </c>
    </row>
    <row r="19041" ht="22.5" customHeight="1">
      <c r="B19041" s="42" t="str">
        <f>IFERROR(__xludf.DUMMYFUNCTION("""COMPUTED_VALUE"""),"")</f>
        <v/>
      </c>
      <c r="C19041" s="42" t="str">
        <f>IFERROR(__xludf.DUMMYFUNCTION("""COMPUTED_VALUE"""),"")</f>
        <v/>
      </c>
      <c r="D19041" s="42"/>
      <c r="E19041" s="42"/>
      <c r="F19041" s="48" t="str">
        <f>IFERROR(__xludf.DUMMYFUNCTION("""COMPUTED_VALUE"""),"")</f>
        <v/>
      </c>
      <c r="G19041" s="42" t="str">
        <f>IFERROR(__xludf.DUMMYFUNCTION("""COMPUTED_VALUE"""),"")</f>
        <v/>
      </c>
      <c r="H19041" s="42">
        <f t="shared" si="1"/>
        <v>3345</v>
      </c>
    </row>
    <row r="19042" ht="22.5" customHeight="1">
      <c r="B19042" s="42" t="str">
        <f>IFERROR(__xludf.DUMMYFUNCTION("""COMPUTED_VALUE"""),"")</f>
        <v/>
      </c>
      <c r="C19042" s="42" t="str">
        <f>IFERROR(__xludf.DUMMYFUNCTION("""COMPUTED_VALUE"""),"")</f>
        <v/>
      </c>
      <c r="D19042" s="42"/>
      <c r="E19042" s="42"/>
      <c r="F19042" s="48" t="str">
        <f>IFERROR(__xludf.DUMMYFUNCTION("""COMPUTED_VALUE"""),"")</f>
        <v/>
      </c>
      <c r="G19042" s="42" t="str">
        <f>IFERROR(__xludf.DUMMYFUNCTION("""COMPUTED_VALUE"""),"")</f>
        <v/>
      </c>
      <c r="H19042" s="42">
        <f t="shared" si="1"/>
        <v>3345</v>
      </c>
    </row>
    <row r="19043" ht="22.5" customHeight="1">
      <c r="B19043" s="42" t="str">
        <f>IFERROR(__xludf.DUMMYFUNCTION("""COMPUTED_VALUE"""),"")</f>
        <v/>
      </c>
      <c r="C19043" s="42" t="str">
        <f>IFERROR(__xludf.DUMMYFUNCTION("""COMPUTED_VALUE"""),"")</f>
        <v/>
      </c>
      <c r="D19043" s="42"/>
      <c r="E19043" s="42"/>
      <c r="F19043" s="48" t="str">
        <f>IFERROR(__xludf.DUMMYFUNCTION("""COMPUTED_VALUE"""),"")</f>
        <v/>
      </c>
      <c r="G19043" s="42" t="str">
        <f>IFERROR(__xludf.DUMMYFUNCTION("""COMPUTED_VALUE"""),"")</f>
        <v/>
      </c>
      <c r="H19043" s="42">
        <f t="shared" si="1"/>
        <v>3345</v>
      </c>
    </row>
    <row r="19044" ht="22.5" customHeight="1">
      <c r="B19044" s="42" t="str">
        <f>IFERROR(__xludf.DUMMYFUNCTION("""COMPUTED_VALUE"""),"")</f>
        <v/>
      </c>
      <c r="C19044" s="42" t="str">
        <f>IFERROR(__xludf.DUMMYFUNCTION("""COMPUTED_VALUE"""),"")</f>
        <v/>
      </c>
      <c r="D19044" s="42"/>
      <c r="E19044" s="42"/>
      <c r="F19044" s="48" t="str">
        <f>IFERROR(__xludf.DUMMYFUNCTION("""COMPUTED_VALUE"""),"")</f>
        <v/>
      </c>
      <c r="G19044" s="42" t="str">
        <f>IFERROR(__xludf.DUMMYFUNCTION("""COMPUTED_VALUE"""),"")</f>
        <v/>
      </c>
      <c r="H19044" s="42">
        <f t="shared" si="1"/>
        <v>3345</v>
      </c>
    </row>
    <row r="19045" ht="22.5" customHeight="1">
      <c r="B19045" s="42" t="str">
        <f>IFERROR(__xludf.DUMMYFUNCTION("""COMPUTED_VALUE"""),"")</f>
        <v/>
      </c>
      <c r="C19045" s="42" t="str">
        <f>IFERROR(__xludf.DUMMYFUNCTION("""COMPUTED_VALUE"""),"")</f>
        <v/>
      </c>
      <c r="D19045" s="42"/>
      <c r="E19045" s="42"/>
      <c r="F19045" s="48" t="str">
        <f>IFERROR(__xludf.DUMMYFUNCTION("""COMPUTED_VALUE"""),"")</f>
        <v/>
      </c>
      <c r="G19045" s="42" t="str">
        <f>IFERROR(__xludf.DUMMYFUNCTION("""COMPUTED_VALUE"""),"")</f>
        <v/>
      </c>
      <c r="H19045" s="42">
        <f t="shared" si="1"/>
        <v>3345</v>
      </c>
    </row>
    <row r="19046" ht="22.5" customHeight="1">
      <c r="B19046" s="42" t="str">
        <f>IFERROR(__xludf.DUMMYFUNCTION("""COMPUTED_VALUE"""),"")</f>
        <v/>
      </c>
      <c r="C19046" s="42" t="str">
        <f>IFERROR(__xludf.DUMMYFUNCTION("""COMPUTED_VALUE"""),"")</f>
        <v/>
      </c>
      <c r="D19046" s="42"/>
      <c r="E19046" s="42"/>
      <c r="F19046" s="48" t="str">
        <f>IFERROR(__xludf.DUMMYFUNCTION("""COMPUTED_VALUE"""),"")</f>
        <v/>
      </c>
      <c r="G19046" s="42" t="str">
        <f>IFERROR(__xludf.DUMMYFUNCTION("""COMPUTED_VALUE"""),"")</f>
        <v/>
      </c>
      <c r="H19046" s="42">
        <f t="shared" si="1"/>
        <v>3345</v>
      </c>
    </row>
    <row r="19047" ht="22.5" customHeight="1">
      <c r="B19047" s="42" t="str">
        <f>IFERROR(__xludf.DUMMYFUNCTION("""COMPUTED_VALUE"""),"")</f>
        <v/>
      </c>
      <c r="C19047" s="42" t="str">
        <f>IFERROR(__xludf.DUMMYFUNCTION("""COMPUTED_VALUE"""),"")</f>
        <v/>
      </c>
      <c r="D19047" s="42"/>
      <c r="E19047" s="42"/>
      <c r="F19047" s="48" t="str">
        <f>IFERROR(__xludf.DUMMYFUNCTION("""COMPUTED_VALUE"""),"")</f>
        <v/>
      </c>
      <c r="G19047" s="42" t="str">
        <f>IFERROR(__xludf.DUMMYFUNCTION("""COMPUTED_VALUE"""),"")</f>
        <v/>
      </c>
      <c r="H19047" s="42">
        <f t="shared" si="1"/>
        <v>3345</v>
      </c>
    </row>
    <row r="19048" ht="22.5" customHeight="1">
      <c r="B19048" s="42" t="str">
        <f>IFERROR(__xludf.DUMMYFUNCTION("""COMPUTED_VALUE"""),"")</f>
        <v/>
      </c>
      <c r="C19048" s="42" t="str">
        <f>IFERROR(__xludf.DUMMYFUNCTION("""COMPUTED_VALUE"""),"")</f>
        <v/>
      </c>
      <c r="D19048" s="42"/>
      <c r="E19048" s="42"/>
      <c r="F19048" s="48" t="str">
        <f>IFERROR(__xludf.DUMMYFUNCTION("""COMPUTED_VALUE"""),"")</f>
        <v/>
      </c>
      <c r="G19048" s="42" t="str">
        <f>IFERROR(__xludf.DUMMYFUNCTION("""COMPUTED_VALUE"""),"")</f>
        <v/>
      </c>
      <c r="H19048" s="42">
        <f t="shared" si="1"/>
        <v>3345</v>
      </c>
    </row>
    <row r="19049" ht="22.5" customHeight="1">
      <c r="B19049" s="42" t="str">
        <f>IFERROR(__xludf.DUMMYFUNCTION("""COMPUTED_VALUE"""),"")</f>
        <v/>
      </c>
      <c r="C19049" s="42" t="str">
        <f>IFERROR(__xludf.DUMMYFUNCTION("""COMPUTED_VALUE"""),"")</f>
        <v/>
      </c>
      <c r="D19049" s="42"/>
      <c r="E19049" s="42"/>
      <c r="F19049" s="48" t="str">
        <f>IFERROR(__xludf.DUMMYFUNCTION("""COMPUTED_VALUE"""),"")</f>
        <v/>
      </c>
      <c r="G19049" s="42" t="str">
        <f>IFERROR(__xludf.DUMMYFUNCTION("""COMPUTED_VALUE"""),"")</f>
        <v/>
      </c>
      <c r="H19049" s="42">
        <f t="shared" si="1"/>
        <v>3345</v>
      </c>
    </row>
    <row r="19050" ht="22.5" customHeight="1">
      <c r="B19050" s="42" t="str">
        <f>IFERROR(__xludf.DUMMYFUNCTION("""COMPUTED_VALUE"""),"")</f>
        <v/>
      </c>
      <c r="C19050" s="42" t="str">
        <f>IFERROR(__xludf.DUMMYFUNCTION("""COMPUTED_VALUE"""),"")</f>
        <v/>
      </c>
      <c r="D19050" s="42"/>
      <c r="E19050" s="42"/>
      <c r="F19050" s="48" t="str">
        <f>IFERROR(__xludf.DUMMYFUNCTION("""COMPUTED_VALUE"""),"")</f>
        <v/>
      </c>
      <c r="G19050" s="42" t="str">
        <f>IFERROR(__xludf.DUMMYFUNCTION("""COMPUTED_VALUE"""),"")</f>
        <v/>
      </c>
      <c r="H19050" s="42">
        <f t="shared" si="1"/>
        <v>3345</v>
      </c>
    </row>
    <row r="19051" ht="22.5" customHeight="1">
      <c r="B19051" s="42" t="str">
        <f>IFERROR(__xludf.DUMMYFUNCTION("""COMPUTED_VALUE"""),"")</f>
        <v/>
      </c>
      <c r="C19051" s="42" t="str">
        <f>IFERROR(__xludf.DUMMYFUNCTION("""COMPUTED_VALUE"""),"")</f>
        <v/>
      </c>
      <c r="D19051" s="42"/>
      <c r="E19051" s="42"/>
      <c r="F19051" s="48" t="str">
        <f>IFERROR(__xludf.DUMMYFUNCTION("""COMPUTED_VALUE"""),"")</f>
        <v/>
      </c>
      <c r="G19051" s="42" t="str">
        <f>IFERROR(__xludf.DUMMYFUNCTION("""COMPUTED_VALUE"""),"")</f>
        <v/>
      </c>
      <c r="H19051" s="42">
        <f t="shared" si="1"/>
        <v>3345</v>
      </c>
    </row>
    <row r="19052" ht="22.5" customHeight="1">
      <c r="B19052" s="42" t="str">
        <f>IFERROR(__xludf.DUMMYFUNCTION("""COMPUTED_VALUE"""),"")</f>
        <v/>
      </c>
      <c r="C19052" s="42" t="str">
        <f>IFERROR(__xludf.DUMMYFUNCTION("""COMPUTED_VALUE"""),"")</f>
        <v/>
      </c>
      <c r="D19052" s="42"/>
      <c r="E19052" s="42"/>
      <c r="F19052" s="48" t="str">
        <f>IFERROR(__xludf.DUMMYFUNCTION("""COMPUTED_VALUE"""),"")</f>
        <v/>
      </c>
      <c r="G19052" s="42" t="str">
        <f>IFERROR(__xludf.DUMMYFUNCTION("""COMPUTED_VALUE"""),"")</f>
        <v/>
      </c>
      <c r="H19052" s="42">
        <f t="shared" si="1"/>
        <v>3345</v>
      </c>
    </row>
    <row r="19053" ht="22.5" customHeight="1">
      <c r="B19053" s="42" t="str">
        <f>IFERROR(__xludf.DUMMYFUNCTION("""COMPUTED_VALUE"""),"")</f>
        <v/>
      </c>
      <c r="C19053" s="42" t="str">
        <f>IFERROR(__xludf.DUMMYFUNCTION("""COMPUTED_VALUE"""),"")</f>
        <v/>
      </c>
      <c r="D19053" s="42"/>
      <c r="E19053" s="42"/>
      <c r="F19053" s="48" t="str">
        <f>IFERROR(__xludf.DUMMYFUNCTION("""COMPUTED_VALUE"""),"")</f>
        <v/>
      </c>
      <c r="G19053" s="42" t="str">
        <f>IFERROR(__xludf.DUMMYFUNCTION("""COMPUTED_VALUE"""),"")</f>
        <v/>
      </c>
      <c r="H19053" s="42">
        <f t="shared" si="1"/>
        <v>3345</v>
      </c>
    </row>
    <row r="19054" ht="22.5" customHeight="1">
      <c r="B19054" s="42" t="str">
        <f>IFERROR(__xludf.DUMMYFUNCTION("""COMPUTED_VALUE"""),"")</f>
        <v/>
      </c>
      <c r="C19054" s="42" t="str">
        <f>IFERROR(__xludf.DUMMYFUNCTION("""COMPUTED_VALUE"""),"")</f>
        <v/>
      </c>
      <c r="D19054" s="42"/>
      <c r="E19054" s="42"/>
      <c r="F19054" s="48" t="str">
        <f>IFERROR(__xludf.DUMMYFUNCTION("""COMPUTED_VALUE"""),"")</f>
        <v/>
      </c>
      <c r="G19054" s="42" t="str">
        <f>IFERROR(__xludf.DUMMYFUNCTION("""COMPUTED_VALUE"""),"")</f>
        <v/>
      </c>
      <c r="H19054" s="42">
        <f t="shared" si="1"/>
        <v>3345</v>
      </c>
    </row>
    <row r="19055" ht="22.5" customHeight="1">
      <c r="B19055" s="42" t="str">
        <f>IFERROR(__xludf.DUMMYFUNCTION("""COMPUTED_VALUE"""),"")</f>
        <v/>
      </c>
      <c r="C19055" s="42" t="str">
        <f>IFERROR(__xludf.DUMMYFUNCTION("""COMPUTED_VALUE"""),"")</f>
        <v/>
      </c>
      <c r="D19055" s="42"/>
      <c r="E19055" s="42"/>
      <c r="F19055" s="48" t="str">
        <f>IFERROR(__xludf.DUMMYFUNCTION("""COMPUTED_VALUE"""),"")</f>
        <v/>
      </c>
      <c r="G19055" s="42" t="str">
        <f>IFERROR(__xludf.DUMMYFUNCTION("""COMPUTED_VALUE"""),"")</f>
        <v/>
      </c>
      <c r="H19055" s="42">
        <f t="shared" si="1"/>
        <v>3345</v>
      </c>
    </row>
    <row r="19056" ht="22.5" customHeight="1">
      <c r="B19056" s="42" t="str">
        <f>IFERROR(__xludf.DUMMYFUNCTION("""COMPUTED_VALUE"""),"")</f>
        <v/>
      </c>
      <c r="C19056" s="42" t="str">
        <f>IFERROR(__xludf.DUMMYFUNCTION("""COMPUTED_VALUE"""),"")</f>
        <v/>
      </c>
      <c r="D19056" s="42"/>
      <c r="E19056" s="42"/>
      <c r="F19056" s="48" t="str">
        <f>IFERROR(__xludf.DUMMYFUNCTION("""COMPUTED_VALUE"""),"")</f>
        <v/>
      </c>
      <c r="G19056" s="42" t="str">
        <f>IFERROR(__xludf.DUMMYFUNCTION("""COMPUTED_VALUE"""),"")</f>
        <v/>
      </c>
      <c r="H19056" s="42">
        <f t="shared" si="1"/>
        <v>3345</v>
      </c>
    </row>
    <row r="19057" ht="22.5" customHeight="1">
      <c r="B19057" s="42" t="str">
        <f>IFERROR(__xludf.DUMMYFUNCTION("""COMPUTED_VALUE"""),"")</f>
        <v/>
      </c>
      <c r="C19057" s="42" t="str">
        <f>IFERROR(__xludf.DUMMYFUNCTION("""COMPUTED_VALUE"""),"")</f>
        <v/>
      </c>
      <c r="D19057" s="42"/>
      <c r="E19057" s="42"/>
      <c r="F19057" s="48" t="str">
        <f>IFERROR(__xludf.DUMMYFUNCTION("""COMPUTED_VALUE"""),"")</f>
        <v/>
      </c>
      <c r="G19057" s="42" t="str">
        <f>IFERROR(__xludf.DUMMYFUNCTION("""COMPUTED_VALUE"""),"")</f>
        <v/>
      </c>
      <c r="H19057" s="42">
        <f t="shared" si="1"/>
        <v>3345</v>
      </c>
    </row>
    <row r="19058" ht="22.5" customHeight="1">
      <c r="B19058" s="42" t="str">
        <f>IFERROR(__xludf.DUMMYFUNCTION("""COMPUTED_VALUE"""),"")</f>
        <v/>
      </c>
      <c r="C19058" s="42" t="str">
        <f>IFERROR(__xludf.DUMMYFUNCTION("""COMPUTED_VALUE"""),"")</f>
        <v/>
      </c>
      <c r="D19058" s="42"/>
      <c r="E19058" s="42"/>
      <c r="F19058" s="48" t="str">
        <f>IFERROR(__xludf.DUMMYFUNCTION("""COMPUTED_VALUE"""),"")</f>
        <v/>
      </c>
      <c r="G19058" s="42" t="str">
        <f>IFERROR(__xludf.DUMMYFUNCTION("""COMPUTED_VALUE"""),"")</f>
        <v/>
      </c>
      <c r="H19058" s="42">
        <f t="shared" si="1"/>
        <v>3345</v>
      </c>
    </row>
    <row r="19059" ht="22.5" customHeight="1">
      <c r="B19059" s="42" t="str">
        <f>IFERROR(__xludf.DUMMYFUNCTION("""COMPUTED_VALUE"""),"")</f>
        <v/>
      </c>
      <c r="C19059" s="42" t="str">
        <f>IFERROR(__xludf.DUMMYFUNCTION("""COMPUTED_VALUE"""),"")</f>
        <v/>
      </c>
      <c r="D19059" s="42"/>
      <c r="E19059" s="42"/>
      <c r="F19059" s="48" t="str">
        <f>IFERROR(__xludf.DUMMYFUNCTION("""COMPUTED_VALUE"""),"")</f>
        <v/>
      </c>
      <c r="G19059" s="42" t="str">
        <f>IFERROR(__xludf.DUMMYFUNCTION("""COMPUTED_VALUE"""),"")</f>
        <v/>
      </c>
      <c r="H19059" s="42">
        <f t="shared" si="1"/>
        <v>3345</v>
      </c>
    </row>
    <row r="19060" ht="22.5" customHeight="1">
      <c r="B19060" s="42" t="str">
        <f>IFERROR(__xludf.DUMMYFUNCTION("""COMPUTED_VALUE"""),"")</f>
        <v/>
      </c>
      <c r="C19060" s="42" t="str">
        <f>IFERROR(__xludf.DUMMYFUNCTION("""COMPUTED_VALUE"""),"")</f>
        <v/>
      </c>
      <c r="D19060" s="42"/>
      <c r="E19060" s="42"/>
      <c r="F19060" s="48" t="str">
        <f>IFERROR(__xludf.DUMMYFUNCTION("""COMPUTED_VALUE"""),"")</f>
        <v/>
      </c>
      <c r="G19060" s="42" t="str">
        <f>IFERROR(__xludf.DUMMYFUNCTION("""COMPUTED_VALUE"""),"")</f>
        <v/>
      </c>
      <c r="H19060" s="42">
        <f t="shared" si="1"/>
        <v>3345</v>
      </c>
    </row>
    <row r="19061" ht="22.5" customHeight="1">
      <c r="B19061" s="42" t="str">
        <f>IFERROR(__xludf.DUMMYFUNCTION("""COMPUTED_VALUE"""),"")</f>
        <v/>
      </c>
      <c r="C19061" s="42" t="str">
        <f>IFERROR(__xludf.DUMMYFUNCTION("""COMPUTED_VALUE"""),"")</f>
        <v/>
      </c>
      <c r="D19061" s="42"/>
      <c r="E19061" s="42"/>
      <c r="F19061" s="48" t="str">
        <f>IFERROR(__xludf.DUMMYFUNCTION("""COMPUTED_VALUE"""),"")</f>
        <v/>
      </c>
      <c r="G19061" s="42" t="str">
        <f>IFERROR(__xludf.DUMMYFUNCTION("""COMPUTED_VALUE"""),"")</f>
        <v/>
      </c>
      <c r="H19061" s="42">
        <f t="shared" si="1"/>
        <v>3345</v>
      </c>
    </row>
    <row r="19062" ht="22.5" customHeight="1">
      <c r="B19062" s="42" t="str">
        <f>IFERROR(__xludf.DUMMYFUNCTION("""COMPUTED_VALUE"""),"")</f>
        <v/>
      </c>
      <c r="C19062" s="42" t="str">
        <f>IFERROR(__xludf.DUMMYFUNCTION("""COMPUTED_VALUE"""),"")</f>
        <v/>
      </c>
      <c r="D19062" s="42"/>
      <c r="E19062" s="42"/>
      <c r="F19062" s="48" t="str">
        <f>IFERROR(__xludf.DUMMYFUNCTION("""COMPUTED_VALUE"""),"")</f>
        <v/>
      </c>
      <c r="G19062" s="42" t="str">
        <f>IFERROR(__xludf.DUMMYFUNCTION("""COMPUTED_VALUE"""),"")</f>
        <v/>
      </c>
      <c r="H19062" s="42">
        <f t="shared" si="1"/>
        <v>3345</v>
      </c>
    </row>
    <row r="19063" ht="22.5" customHeight="1">
      <c r="B19063" s="42" t="str">
        <f>IFERROR(__xludf.DUMMYFUNCTION("""COMPUTED_VALUE"""),"")</f>
        <v/>
      </c>
      <c r="C19063" s="42" t="str">
        <f>IFERROR(__xludf.DUMMYFUNCTION("""COMPUTED_VALUE"""),"")</f>
        <v/>
      </c>
      <c r="D19063" s="42"/>
      <c r="E19063" s="42"/>
      <c r="F19063" s="48" t="str">
        <f>IFERROR(__xludf.DUMMYFUNCTION("""COMPUTED_VALUE"""),"")</f>
        <v/>
      </c>
      <c r="G19063" s="42" t="str">
        <f>IFERROR(__xludf.DUMMYFUNCTION("""COMPUTED_VALUE"""),"")</f>
        <v/>
      </c>
      <c r="H19063" s="42">
        <f t="shared" si="1"/>
        <v>3345</v>
      </c>
    </row>
    <row r="19064" ht="22.5" customHeight="1">
      <c r="B19064" s="42" t="str">
        <f>IFERROR(__xludf.DUMMYFUNCTION("""COMPUTED_VALUE"""),"")</f>
        <v/>
      </c>
      <c r="C19064" s="42" t="str">
        <f>IFERROR(__xludf.DUMMYFUNCTION("""COMPUTED_VALUE"""),"")</f>
        <v/>
      </c>
      <c r="D19064" s="42"/>
      <c r="E19064" s="42"/>
      <c r="F19064" s="48" t="str">
        <f>IFERROR(__xludf.DUMMYFUNCTION("""COMPUTED_VALUE"""),"")</f>
        <v/>
      </c>
      <c r="G19064" s="42" t="str">
        <f>IFERROR(__xludf.DUMMYFUNCTION("""COMPUTED_VALUE"""),"")</f>
        <v/>
      </c>
      <c r="H19064" s="42">
        <f t="shared" si="1"/>
        <v>3345</v>
      </c>
    </row>
    <row r="19065" ht="22.5" customHeight="1">
      <c r="B19065" s="42" t="str">
        <f>IFERROR(__xludf.DUMMYFUNCTION("""COMPUTED_VALUE"""),"")</f>
        <v/>
      </c>
      <c r="C19065" s="42" t="str">
        <f>IFERROR(__xludf.DUMMYFUNCTION("""COMPUTED_VALUE"""),"")</f>
        <v/>
      </c>
      <c r="D19065" s="42"/>
      <c r="E19065" s="42"/>
      <c r="F19065" s="48" t="str">
        <f>IFERROR(__xludf.DUMMYFUNCTION("""COMPUTED_VALUE"""),"")</f>
        <v/>
      </c>
      <c r="G19065" s="42" t="str">
        <f>IFERROR(__xludf.DUMMYFUNCTION("""COMPUTED_VALUE"""),"")</f>
        <v/>
      </c>
      <c r="H19065" s="42">
        <f t="shared" si="1"/>
        <v>3345</v>
      </c>
    </row>
    <row r="19066" ht="22.5" customHeight="1">
      <c r="B19066" s="42" t="str">
        <f>IFERROR(__xludf.DUMMYFUNCTION("""COMPUTED_VALUE"""),"")</f>
        <v/>
      </c>
      <c r="C19066" s="42" t="str">
        <f>IFERROR(__xludf.DUMMYFUNCTION("""COMPUTED_VALUE"""),"")</f>
        <v/>
      </c>
      <c r="D19066" s="42"/>
      <c r="E19066" s="42"/>
      <c r="F19066" s="48" t="str">
        <f>IFERROR(__xludf.DUMMYFUNCTION("""COMPUTED_VALUE"""),"")</f>
        <v/>
      </c>
      <c r="G19066" s="42" t="str">
        <f>IFERROR(__xludf.DUMMYFUNCTION("""COMPUTED_VALUE"""),"")</f>
        <v/>
      </c>
      <c r="H19066" s="42">
        <f t="shared" si="1"/>
        <v>3345</v>
      </c>
    </row>
    <row r="19067" ht="22.5" customHeight="1">
      <c r="B19067" s="42" t="str">
        <f>IFERROR(__xludf.DUMMYFUNCTION("""COMPUTED_VALUE"""),"")</f>
        <v/>
      </c>
      <c r="C19067" s="42" t="str">
        <f>IFERROR(__xludf.DUMMYFUNCTION("""COMPUTED_VALUE"""),"")</f>
        <v/>
      </c>
      <c r="D19067" s="42"/>
      <c r="E19067" s="42"/>
      <c r="F19067" s="48" t="str">
        <f>IFERROR(__xludf.DUMMYFUNCTION("""COMPUTED_VALUE"""),"")</f>
        <v/>
      </c>
      <c r="G19067" s="42" t="str">
        <f>IFERROR(__xludf.DUMMYFUNCTION("""COMPUTED_VALUE"""),"")</f>
        <v/>
      </c>
      <c r="H19067" s="42">
        <f t="shared" si="1"/>
        <v>3345</v>
      </c>
    </row>
    <row r="19068" ht="22.5" customHeight="1">
      <c r="B19068" s="42" t="str">
        <f>IFERROR(__xludf.DUMMYFUNCTION("""COMPUTED_VALUE"""),"")</f>
        <v/>
      </c>
      <c r="C19068" s="42" t="str">
        <f>IFERROR(__xludf.DUMMYFUNCTION("""COMPUTED_VALUE"""),"")</f>
        <v/>
      </c>
      <c r="D19068" s="42"/>
      <c r="E19068" s="42"/>
      <c r="F19068" s="48" t="str">
        <f>IFERROR(__xludf.DUMMYFUNCTION("""COMPUTED_VALUE"""),"")</f>
        <v/>
      </c>
      <c r="G19068" s="42" t="str">
        <f>IFERROR(__xludf.DUMMYFUNCTION("""COMPUTED_VALUE"""),"")</f>
        <v/>
      </c>
      <c r="H19068" s="42">
        <f t="shared" si="1"/>
        <v>3345</v>
      </c>
    </row>
    <row r="19069" ht="22.5" customHeight="1">
      <c r="B19069" s="42" t="str">
        <f>IFERROR(__xludf.DUMMYFUNCTION("""COMPUTED_VALUE"""),"")</f>
        <v/>
      </c>
      <c r="C19069" s="42" t="str">
        <f>IFERROR(__xludf.DUMMYFUNCTION("""COMPUTED_VALUE"""),"")</f>
        <v/>
      </c>
      <c r="D19069" s="42"/>
      <c r="E19069" s="42"/>
      <c r="F19069" s="48" t="str">
        <f>IFERROR(__xludf.DUMMYFUNCTION("""COMPUTED_VALUE"""),"")</f>
        <v/>
      </c>
      <c r="G19069" s="42" t="str">
        <f>IFERROR(__xludf.DUMMYFUNCTION("""COMPUTED_VALUE"""),"")</f>
        <v/>
      </c>
      <c r="H19069" s="42">
        <f t="shared" si="1"/>
        <v>3345</v>
      </c>
    </row>
    <row r="19070" ht="22.5" customHeight="1">
      <c r="B19070" s="42" t="str">
        <f>IFERROR(__xludf.DUMMYFUNCTION("""COMPUTED_VALUE"""),"")</f>
        <v/>
      </c>
      <c r="C19070" s="42" t="str">
        <f>IFERROR(__xludf.DUMMYFUNCTION("""COMPUTED_VALUE"""),"")</f>
        <v/>
      </c>
      <c r="D19070" s="42"/>
      <c r="E19070" s="42"/>
      <c r="F19070" s="48" t="str">
        <f>IFERROR(__xludf.DUMMYFUNCTION("""COMPUTED_VALUE"""),"")</f>
        <v/>
      </c>
      <c r="G19070" s="42" t="str">
        <f>IFERROR(__xludf.DUMMYFUNCTION("""COMPUTED_VALUE"""),"")</f>
        <v/>
      </c>
      <c r="H19070" s="42">
        <f t="shared" si="1"/>
        <v>3345</v>
      </c>
    </row>
    <row r="19071" ht="22.5" customHeight="1">
      <c r="B19071" s="42" t="str">
        <f>IFERROR(__xludf.DUMMYFUNCTION("""COMPUTED_VALUE"""),"")</f>
        <v/>
      </c>
      <c r="C19071" s="42" t="str">
        <f>IFERROR(__xludf.DUMMYFUNCTION("""COMPUTED_VALUE"""),"")</f>
        <v/>
      </c>
      <c r="D19071" s="42"/>
      <c r="E19071" s="42"/>
      <c r="F19071" s="48" t="str">
        <f>IFERROR(__xludf.DUMMYFUNCTION("""COMPUTED_VALUE"""),"")</f>
        <v/>
      </c>
      <c r="G19071" s="42" t="str">
        <f>IFERROR(__xludf.DUMMYFUNCTION("""COMPUTED_VALUE"""),"")</f>
        <v/>
      </c>
      <c r="H19071" s="42">
        <f t="shared" si="1"/>
        <v>3345</v>
      </c>
    </row>
    <row r="19072" ht="22.5" customHeight="1">
      <c r="B19072" s="42" t="str">
        <f>IFERROR(__xludf.DUMMYFUNCTION("""COMPUTED_VALUE"""),"")</f>
        <v/>
      </c>
      <c r="C19072" s="42" t="str">
        <f>IFERROR(__xludf.DUMMYFUNCTION("""COMPUTED_VALUE"""),"")</f>
        <v/>
      </c>
      <c r="D19072" s="42"/>
      <c r="E19072" s="42"/>
      <c r="F19072" s="48" t="str">
        <f>IFERROR(__xludf.DUMMYFUNCTION("""COMPUTED_VALUE"""),"")</f>
        <v/>
      </c>
      <c r="G19072" s="42" t="str">
        <f>IFERROR(__xludf.DUMMYFUNCTION("""COMPUTED_VALUE"""),"")</f>
        <v/>
      </c>
      <c r="H19072" s="42">
        <f t="shared" si="1"/>
        <v>3345</v>
      </c>
    </row>
    <row r="19073" ht="22.5" customHeight="1">
      <c r="B19073" s="42" t="str">
        <f>IFERROR(__xludf.DUMMYFUNCTION("""COMPUTED_VALUE"""),"")</f>
        <v/>
      </c>
      <c r="C19073" s="42" t="str">
        <f>IFERROR(__xludf.DUMMYFUNCTION("""COMPUTED_VALUE"""),"")</f>
        <v/>
      </c>
      <c r="D19073" s="42"/>
      <c r="E19073" s="42"/>
      <c r="F19073" s="48" t="str">
        <f>IFERROR(__xludf.DUMMYFUNCTION("""COMPUTED_VALUE"""),"")</f>
        <v/>
      </c>
      <c r="G19073" s="42" t="str">
        <f>IFERROR(__xludf.DUMMYFUNCTION("""COMPUTED_VALUE"""),"")</f>
        <v/>
      </c>
      <c r="H19073" s="42">
        <f t="shared" si="1"/>
        <v>3345</v>
      </c>
    </row>
    <row r="19074" ht="22.5" customHeight="1">
      <c r="B19074" s="42" t="str">
        <f>IFERROR(__xludf.DUMMYFUNCTION("""COMPUTED_VALUE"""),"")</f>
        <v/>
      </c>
      <c r="C19074" s="42" t="str">
        <f>IFERROR(__xludf.DUMMYFUNCTION("""COMPUTED_VALUE"""),"")</f>
        <v/>
      </c>
      <c r="D19074" s="42"/>
      <c r="E19074" s="42"/>
      <c r="F19074" s="48" t="str">
        <f>IFERROR(__xludf.DUMMYFUNCTION("""COMPUTED_VALUE"""),"")</f>
        <v/>
      </c>
      <c r="G19074" s="42" t="str">
        <f>IFERROR(__xludf.DUMMYFUNCTION("""COMPUTED_VALUE"""),"")</f>
        <v/>
      </c>
      <c r="H19074" s="42">
        <f t="shared" si="1"/>
        <v>3345</v>
      </c>
    </row>
    <row r="19075" ht="22.5" customHeight="1">
      <c r="B19075" s="42" t="str">
        <f>IFERROR(__xludf.DUMMYFUNCTION("""COMPUTED_VALUE"""),"")</f>
        <v/>
      </c>
      <c r="C19075" s="42" t="str">
        <f>IFERROR(__xludf.DUMMYFUNCTION("""COMPUTED_VALUE"""),"")</f>
        <v/>
      </c>
      <c r="D19075" s="42"/>
      <c r="E19075" s="42"/>
      <c r="F19075" s="48" t="str">
        <f>IFERROR(__xludf.DUMMYFUNCTION("""COMPUTED_VALUE"""),"")</f>
        <v/>
      </c>
      <c r="G19075" s="42" t="str">
        <f>IFERROR(__xludf.DUMMYFUNCTION("""COMPUTED_VALUE"""),"")</f>
        <v/>
      </c>
      <c r="H19075" s="42">
        <f t="shared" si="1"/>
        <v>3345</v>
      </c>
    </row>
    <row r="19076" ht="22.5" customHeight="1">
      <c r="B19076" s="42" t="str">
        <f>IFERROR(__xludf.DUMMYFUNCTION("""COMPUTED_VALUE"""),"")</f>
        <v/>
      </c>
      <c r="C19076" s="42" t="str">
        <f>IFERROR(__xludf.DUMMYFUNCTION("""COMPUTED_VALUE"""),"")</f>
        <v/>
      </c>
      <c r="D19076" s="42"/>
      <c r="E19076" s="42"/>
      <c r="F19076" s="48" t="str">
        <f>IFERROR(__xludf.DUMMYFUNCTION("""COMPUTED_VALUE"""),"")</f>
        <v/>
      </c>
      <c r="G19076" s="42" t="str">
        <f>IFERROR(__xludf.DUMMYFUNCTION("""COMPUTED_VALUE"""),"")</f>
        <v/>
      </c>
      <c r="H19076" s="42">
        <f t="shared" si="1"/>
        <v>3345</v>
      </c>
    </row>
    <row r="19077" ht="22.5" customHeight="1">
      <c r="B19077" s="42" t="str">
        <f>IFERROR(__xludf.DUMMYFUNCTION("""COMPUTED_VALUE"""),"")</f>
        <v/>
      </c>
      <c r="C19077" s="42" t="str">
        <f>IFERROR(__xludf.DUMMYFUNCTION("""COMPUTED_VALUE"""),"")</f>
        <v/>
      </c>
      <c r="D19077" s="42"/>
      <c r="E19077" s="42"/>
      <c r="F19077" s="48" t="str">
        <f>IFERROR(__xludf.DUMMYFUNCTION("""COMPUTED_VALUE"""),"")</f>
        <v/>
      </c>
      <c r="G19077" s="42" t="str">
        <f>IFERROR(__xludf.DUMMYFUNCTION("""COMPUTED_VALUE"""),"")</f>
        <v/>
      </c>
      <c r="H19077" s="42">
        <f t="shared" si="1"/>
        <v>3345</v>
      </c>
    </row>
    <row r="19078" ht="22.5" customHeight="1">
      <c r="B19078" s="42" t="str">
        <f>IFERROR(__xludf.DUMMYFUNCTION("""COMPUTED_VALUE"""),"")</f>
        <v/>
      </c>
      <c r="C19078" s="42" t="str">
        <f>IFERROR(__xludf.DUMMYFUNCTION("""COMPUTED_VALUE"""),"")</f>
        <v/>
      </c>
      <c r="D19078" s="42"/>
      <c r="E19078" s="42"/>
      <c r="F19078" s="48" t="str">
        <f>IFERROR(__xludf.DUMMYFUNCTION("""COMPUTED_VALUE"""),"")</f>
        <v/>
      </c>
      <c r="G19078" s="42" t="str">
        <f>IFERROR(__xludf.DUMMYFUNCTION("""COMPUTED_VALUE"""),"")</f>
        <v/>
      </c>
      <c r="H19078" s="42">
        <f t="shared" si="1"/>
        <v>3345</v>
      </c>
    </row>
    <row r="19079" ht="22.5" customHeight="1">
      <c r="B19079" s="42" t="str">
        <f>IFERROR(__xludf.DUMMYFUNCTION("""COMPUTED_VALUE"""),"")</f>
        <v/>
      </c>
      <c r="C19079" s="42" t="str">
        <f>IFERROR(__xludf.DUMMYFUNCTION("""COMPUTED_VALUE"""),"")</f>
        <v/>
      </c>
      <c r="D19079" s="42"/>
      <c r="E19079" s="42"/>
      <c r="F19079" s="48" t="str">
        <f>IFERROR(__xludf.DUMMYFUNCTION("""COMPUTED_VALUE"""),"")</f>
        <v/>
      </c>
      <c r="G19079" s="42" t="str">
        <f>IFERROR(__xludf.DUMMYFUNCTION("""COMPUTED_VALUE"""),"")</f>
        <v/>
      </c>
      <c r="H19079" s="42">
        <f t="shared" si="1"/>
        <v>3345</v>
      </c>
    </row>
    <row r="19080" ht="22.5" customHeight="1">
      <c r="B19080" s="42" t="str">
        <f>IFERROR(__xludf.DUMMYFUNCTION("""COMPUTED_VALUE"""),"")</f>
        <v/>
      </c>
      <c r="C19080" s="42" t="str">
        <f>IFERROR(__xludf.DUMMYFUNCTION("""COMPUTED_VALUE"""),"")</f>
        <v/>
      </c>
      <c r="D19080" s="42"/>
      <c r="E19080" s="42"/>
      <c r="F19080" s="48" t="str">
        <f>IFERROR(__xludf.DUMMYFUNCTION("""COMPUTED_VALUE"""),"")</f>
        <v/>
      </c>
      <c r="G19080" s="42" t="str">
        <f>IFERROR(__xludf.DUMMYFUNCTION("""COMPUTED_VALUE"""),"")</f>
        <v/>
      </c>
      <c r="H19080" s="42">
        <f t="shared" si="1"/>
        <v>3345</v>
      </c>
    </row>
    <row r="19081" ht="22.5" customHeight="1">
      <c r="B19081" s="42" t="str">
        <f>IFERROR(__xludf.DUMMYFUNCTION("""COMPUTED_VALUE"""),"")</f>
        <v/>
      </c>
      <c r="C19081" s="42" t="str">
        <f>IFERROR(__xludf.DUMMYFUNCTION("""COMPUTED_VALUE"""),"")</f>
        <v/>
      </c>
      <c r="D19081" s="42"/>
      <c r="E19081" s="42"/>
      <c r="F19081" s="48" t="str">
        <f>IFERROR(__xludf.DUMMYFUNCTION("""COMPUTED_VALUE"""),"")</f>
        <v/>
      </c>
      <c r="G19081" s="42" t="str">
        <f>IFERROR(__xludf.DUMMYFUNCTION("""COMPUTED_VALUE"""),"")</f>
        <v/>
      </c>
      <c r="H19081" s="42">
        <f t="shared" si="1"/>
        <v>3345</v>
      </c>
    </row>
    <row r="19082" ht="22.5" customHeight="1">
      <c r="B19082" s="42" t="str">
        <f>IFERROR(__xludf.DUMMYFUNCTION("""COMPUTED_VALUE"""),"")</f>
        <v/>
      </c>
      <c r="C19082" s="42" t="str">
        <f>IFERROR(__xludf.DUMMYFUNCTION("""COMPUTED_VALUE"""),"")</f>
        <v/>
      </c>
      <c r="D19082" s="42"/>
      <c r="E19082" s="42"/>
      <c r="F19082" s="48" t="str">
        <f>IFERROR(__xludf.DUMMYFUNCTION("""COMPUTED_VALUE"""),"")</f>
        <v/>
      </c>
      <c r="G19082" s="42" t="str">
        <f>IFERROR(__xludf.DUMMYFUNCTION("""COMPUTED_VALUE"""),"")</f>
        <v/>
      </c>
      <c r="H19082" s="42">
        <f t="shared" si="1"/>
        <v>3345</v>
      </c>
    </row>
    <row r="19083" ht="22.5" customHeight="1">
      <c r="B19083" s="42" t="str">
        <f>IFERROR(__xludf.DUMMYFUNCTION("""COMPUTED_VALUE"""),"")</f>
        <v/>
      </c>
      <c r="C19083" s="42" t="str">
        <f>IFERROR(__xludf.DUMMYFUNCTION("""COMPUTED_VALUE"""),"")</f>
        <v/>
      </c>
      <c r="D19083" s="42"/>
      <c r="E19083" s="42"/>
      <c r="F19083" s="48" t="str">
        <f>IFERROR(__xludf.DUMMYFUNCTION("""COMPUTED_VALUE"""),"")</f>
        <v/>
      </c>
      <c r="G19083" s="42" t="str">
        <f>IFERROR(__xludf.DUMMYFUNCTION("""COMPUTED_VALUE"""),"")</f>
        <v/>
      </c>
      <c r="H19083" s="42">
        <f t="shared" si="1"/>
        <v>3345</v>
      </c>
    </row>
    <row r="19084" ht="22.5" customHeight="1">
      <c r="B19084" s="42" t="str">
        <f>IFERROR(__xludf.DUMMYFUNCTION("""COMPUTED_VALUE"""),"")</f>
        <v/>
      </c>
      <c r="C19084" s="42" t="str">
        <f>IFERROR(__xludf.DUMMYFUNCTION("""COMPUTED_VALUE"""),"")</f>
        <v/>
      </c>
      <c r="D19084" s="42"/>
      <c r="E19084" s="42"/>
      <c r="F19084" s="48" t="str">
        <f>IFERROR(__xludf.DUMMYFUNCTION("""COMPUTED_VALUE"""),"")</f>
        <v/>
      </c>
      <c r="G19084" s="42" t="str">
        <f>IFERROR(__xludf.DUMMYFUNCTION("""COMPUTED_VALUE"""),"")</f>
        <v/>
      </c>
      <c r="H19084" s="42">
        <f t="shared" si="1"/>
        <v>3345</v>
      </c>
    </row>
    <row r="19085" ht="22.5" customHeight="1">
      <c r="B19085" s="42" t="str">
        <f>IFERROR(__xludf.DUMMYFUNCTION("""COMPUTED_VALUE"""),"")</f>
        <v/>
      </c>
      <c r="C19085" s="42" t="str">
        <f>IFERROR(__xludf.DUMMYFUNCTION("""COMPUTED_VALUE"""),"")</f>
        <v/>
      </c>
      <c r="D19085" s="42"/>
      <c r="E19085" s="42"/>
      <c r="F19085" s="48" t="str">
        <f>IFERROR(__xludf.DUMMYFUNCTION("""COMPUTED_VALUE"""),"")</f>
        <v/>
      </c>
      <c r="G19085" s="42" t="str">
        <f>IFERROR(__xludf.DUMMYFUNCTION("""COMPUTED_VALUE"""),"")</f>
        <v/>
      </c>
      <c r="H19085" s="42">
        <f t="shared" si="1"/>
        <v>3345</v>
      </c>
    </row>
    <row r="19086" ht="22.5" customHeight="1">
      <c r="B19086" s="42" t="str">
        <f>IFERROR(__xludf.DUMMYFUNCTION("""COMPUTED_VALUE"""),"")</f>
        <v/>
      </c>
      <c r="C19086" s="42" t="str">
        <f>IFERROR(__xludf.DUMMYFUNCTION("""COMPUTED_VALUE"""),"")</f>
        <v/>
      </c>
      <c r="D19086" s="42"/>
      <c r="E19086" s="42"/>
      <c r="F19086" s="48" t="str">
        <f>IFERROR(__xludf.DUMMYFUNCTION("""COMPUTED_VALUE"""),"")</f>
        <v/>
      </c>
      <c r="G19086" s="42" t="str">
        <f>IFERROR(__xludf.DUMMYFUNCTION("""COMPUTED_VALUE"""),"")</f>
        <v/>
      </c>
      <c r="H19086" s="42">
        <f t="shared" si="1"/>
        <v>3345</v>
      </c>
    </row>
    <row r="19087" ht="22.5" customHeight="1">
      <c r="B19087" s="42" t="str">
        <f>IFERROR(__xludf.DUMMYFUNCTION("""COMPUTED_VALUE"""),"")</f>
        <v/>
      </c>
      <c r="C19087" s="42" t="str">
        <f>IFERROR(__xludf.DUMMYFUNCTION("""COMPUTED_VALUE"""),"")</f>
        <v/>
      </c>
      <c r="D19087" s="42"/>
      <c r="E19087" s="42"/>
      <c r="F19087" s="48" t="str">
        <f>IFERROR(__xludf.DUMMYFUNCTION("""COMPUTED_VALUE"""),"")</f>
        <v/>
      </c>
      <c r="G19087" s="42" t="str">
        <f>IFERROR(__xludf.DUMMYFUNCTION("""COMPUTED_VALUE"""),"")</f>
        <v/>
      </c>
      <c r="H19087" s="42">
        <f t="shared" si="1"/>
        <v>3345</v>
      </c>
    </row>
    <row r="19088" ht="22.5" customHeight="1">
      <c r="B19088" s="42" t="str">
        <f>IFERROR(__xludf.DUMMYFUNCTION("""COMPUTED_VALUE"""),"")</f>
        <v/>
      </c>
      <c r="C19088" s="42" t="str">
        <f>IFERROR(__xludf.DUMMYFUNCTION("""COMPUTED_VALUE"""),"")</f>
        <v/>
      </c>
      <c r="D19088" s="42"/>
      <c r="E19088" s="42"/>
      <c r="F19088" s="48" t="str">
        <f>IFERROR(__xludf.DUMMYFUNCTION("""COMPUTED_VALUE"""),"")</f>
        <v/>
      </c>
      <c r="G19088" s="42" t="str">
        <f>IFERROR(__xludf.DUMMYFUNCTION("""COMPUTED_VALUE"""),"")</f>
        <v/>
      </c>
      <c r="H19088" s="42">
        <f t="shared" si="1"/>
        <v>3345</v>
      </c>
    </row>
    <row r="19089" ht="22.5" customHeight="1">
      <c r="B19089" s="42" t="str">
        <f>IFERROR(__xludf.DUMMYFUNCTION("""COMPUTED_VALUE"""),"")</f>
        <v/>
      </c>
      <c r="C19089" s="42" t="str">
        <f>IFERROR(__xludf.DUMMYFUNCTION("""COMPUTED_VALUE"""),"")</f>
        <v/>
      </c>
      <c r="D19089" s="42"/>
      <c r="E19089" s="42"/>
      <c r="F19089" s="48" t="str">
        <f>IFERROR(__xludf.DUMMYFUNCTION("""COMPUTED_VALUE"""),"")</f>
        <v/>
      </c>
      <c r="G19089" s="42" t="str">
        <f>IFERROR(__xludf.DUMMYFUNCTION("""COMPUTED_VALUE"""),"")</f>
        <v/>
      </c>
      <c r="H19089" s="42">
        <f t="shared" si="1"/>
        <v>3345</v>
      </c>
    </row>
    <row r="19090" ht="22.5" customHeight="1">
      <c r="B19090" s="42" t="str">
        <f>IFERROR(__xludf.DUMMYFUNCTION("""COMPUTED_VALUE"""),"")</f>
        <v/>
      </c>
      <c r="C19090" s="42" t="str">
        <f>IFERROR(__xludf.DUMMYFUNCTION("""COMPUTED_VALUE"""),"")</f>
        <v/>
      </c>
      <c r="D19090" s="42"/>
      <c r="E19090" s="42"/>
      <c r="F19090" s="48" t="str">
        <f>IFERROR(__xludf.DUMMYFUNCTION("""COMPUTED_VALUE"""),"")</f>
        <v/>
      </c>
      <c r="G19090" s="42" t="str">
        <f>IFERROR(__xludf.DUMMYFUNCTION("""COMPUTED_VALUE"""),"")</f>
        <v/>
      </c>
      <c r="H19090" s="42">
        <f t="shared" si="1"/>
        <v>3345</v>
      </c>
    </row>
    <row r="19091" ht="22.5" customHeight="1">
      <c r="B19091" s="42" t="str">
        <f>IFERROR(__xludf.DUMMYFUNCTION("""COMPUTED_VALUE"""),"")</f>
        <v/>
      </c>
      <c r="C19091" s="42" t="str">
        <f>IFERROR(__xludf.DUMMYFUNCTION("""COMPUTED_VALUE"""),"")</f>
        <v/>
      </c>
      <c r="D19091" s="42"/>
      <c r="E19091" s="42"/>
      <c r="F19091" s="48" t="str">
        <f>IFERROR(__xludf.DUMMYFUNCTION("""COMPUTED_VALUE"""),"")</f>
        <v/>
      </c>
      <c r="G19091" s="42" t="str">
        <f>IFERROR(__xludf.DUMMYFUNCTION("""COMPUTED_VALUE"""),"")</f>
        <v/>
      </c>
      <c r="H19091" s="42">
        <f t="shared" si="1"/>
        <v>3345</v>
      </c>
    </row>
    <row r="19092" ht="22.5" customHeight="1">
      <c r="B19092" s="42" t="str">
        <f>IFERROR(__xludf.DUMMYFUNCTION("""COMPUTED_VALUE"""),"")</f>
        <v/>
      </c>
      <c r="C19092" s="42" t="str">
        <f>IFERROR(__xludf.DUMMYFUNCTION("""COMPUTED_VALUE"""),"")</f>
        <v/>
      </c>
      <c r="D19092" s="42"/>
      <c r="E19092" s="42"/>
      <c r="F19092" s="48" t="str">
        <f>IFERROR(__xludf.DUMMYFUNCTION("""COMPUTED_VALUE"""),"")</f>
        <v/>
      </c>
      <c r="G19092" s="42" t="str">
        <f>IFERROR(__xludf.DUMMYFUNCTION("""COMPUTED_VALUE"""),"")</f>
        <v/>
      </c>
      <c r="H19092" s="42">
        <f t="shared" si="1"/>
        <v>3345</v>
      </c>
    </row>
    <row r="19093" ht="22.5" customHeight="1">
      <c r="B19093" s="42" t="str">
        <f>IFERROR(__xludf.DUMMYFUNCTION("""COMPUTED_VALUE"""),"")</f>
        <v/>
      </c>
      <c r="C19093" s="42" t="str">
        <f>IFERROR(__xludf.DUMMYFUNCTION("""COMPUTED_VALUE"""),"")</f>
        <v/>
      </c>
      <c r="D19093" s="42"/>
      <c r="E19093" s="42"/>
      <c r="F19093" s="48" t="str">
        <f>IFERROR(__xludf.DUMMYFUNCTION("""COMPUTED_VALUE"""),"")</f>
        <v/>
      </c>
      <c r="G19093" s="42" t="str">
        <f>IFERROR(__xludf.DUMMYFUNCTION("""COMPUTED_VALUE"""),"")</f>
        <v/>
      </c>
      <c r="H19093" s="42">
        <f t="shared" si="1"/>
        <v>3345</v>
      </c>
    </row>
    <row r="19094" ht="22.5" customHeight="1">
      <c r="B19094" s="42" t="str">
        <f>IFERROR(__xludf.DUMMYFUNCTION("""COMPUTED_VALUE"""),"")</f>
        <v/>
      </c>
      <c r="C19094" s="42" t="str">
        <f>IFERROR(__xludf.DUMMYFUNCTION("""COMPUTED_VALUE"""),"")</f>
        <v/>
      </c>
      <c r="D19094" s="42"/>
      <c r="E19094" s="42"/>
      <c r="F19094" s="48" t="str">
        <f>IFERROR(__xludf.DUMMYFUNCTION("""COMPUTED_VALUE"""),"")</f>
        <v/>
      </c>
      <c r="G19094" s="42" t="str">
        <f>IFERROR(__xludf.DUMMYFUNCTION("""COMPUTED_VALUE"""),"")</f>
        <v/>
      </c>
      <c r="H19094" s="42">
        <f t="shared" si="1"/>
        <v>3345</v>
      </c>
    </row>
    <row r="19095" ht="22.5" customHeight="1">
      <c r="B19095" s="42" t="str">
        <f>IFERROR(__xludf.DUMMYFUNCTION("""COMPUTED_VALUE"""),"")</f>
        <v/>
      </c>
      <c r="C19095" s="42" t="str">
        <f>IFERROR(__xludf.DUMMYFUNCTION("""COMPUTED_VALUE"""),"")</f>
        <v/>
      </c>
      <c r="D19095" s="42"/>
      <c r="E19095" s="42"/>
      <c r="F19095" s="48" t="str">
        <f>IFERROR(__xludf.DUMMYFUNCTION("""COMPUTED_VALUE"""),"")</f>
        <v/>
      </c>
      <c r="G19095" s="42" t="str">
        <f>IFERROR(__xludf.DUMMYFUNCTION("""COMPUTED_VALUE"""),"")</f>
        <v/>
      </c>
      <c r="H19095" s="42">
        <f t="shared" si="1"/>
        <v>3345</v>
      </c>
    </row>
    <row r="19096" ht="22.5" customHeight="1">
      <c r="B19096" s="42" t="str">
        <f>IFERROR(__xludf.DUMMYFUNCTION("""COMPUTED_VALUE"""),"")</f>
        <v/>
      </c>
      <c r="C19096" s="42" t="str">
        <f>IFERROR(__xludf.DUMMYFUNCTION("""COMPUTED_VALUE"""),"")</f>
        <v/>
      </c>
      <c r="D19096" s="42"/>
      <c r="E19096" s="42"/>
      <c r="F19096" s="48" t="str">
        <f>IFERROR(__xludf.DUMMYFUNCTION("""COMPUTED_VALUE"""),"")</f>
        <v/>
      </c>
      <c r="G19096" s="42" t="str">
        <f>IFERROR(__xludf.DUMMYFUNCTION("""COMPUTED_VALUE"""),"")</f>
        <v/>
      </c>
      <c r="H19096" s="42">
        <f t="shared" si="1"/>
        <v>3345</v>
      </c>
    </row>
    <row r="19097" ht="22.5" customHeight="1">
      <c r="B19097" s="42" t="str">
        <f>IFERROR(__xludf.DUMMYFUNCTION("""COMPUTED_VALUE"""),"")</f>
        <v/>
      </c>
      <c r="C19097" s="42" t="str">
        <f>IFERROR(__xludf.DUMMYFUNCTION("""COMPUTED_VALUE"""),"")</f>
        <v/>
      </c>
      <c r="D19097" s="42"/>
      <c r="E19097" s="42"/>
      <c r="F19097" s="48" t="str">
        <f>IFERROR(__xludf.DUMMYFUNCTION("""COMPUTED_VALUE"""),"")</f>
        <v/>
      </c>
      <c r="G19097" s="42" t="str">
        <f>IFERROR(__xludf.DUMMYFUNCTION("""COMPUTED_VALUE"""),"")</f>
        <v/>
      </c>
      <c r="H19097" s="42">
        <f t="shared" si="1"/>
        <v>3345</v>
      </c>
    </row>
    <row r="19098" ht="22.5" customHeight="1">
      <c r="B19098" s="42" t="str">
        <f>IFERROR(__xludf.DUMMYFUNCTION("""COMPUTED_VALUE"""),"")</f>
        <v/>
      </c>
      <c r="C19098" s="42" t="str">
        <f>IFERROR(__xludf.DUMMYFUNCTION("""COMPUTED_VALUE"""),"")</f>
        <v/>
      </c>
      <c r="D19098" s="42"/>
      <c r="E19098" s="42"/>
      <c r="F19098" s="48" t="str">
        <f>IFERROR(__xludf.DUMMYFUNCTION("""COMPUTED_VALUE"""),"")</f>
        <v/>
      </c>
      <c r="G19098" s="42" t="str">
        <f>IFERROR(__xludf.DUMMYFUNCTION("""COMPUTED_VALUE"""),"")</f>
        <v/>
      </c>
      <c r="H19098" s="42">
        <f t="shared" si="1"/>
        <v>3345</v>
      </c>
    </row>
    <row r="19099" ht="22.5" customHeight="1">
      <c r="B19099" s="42" t="str">
        <f>IFERROR(__xludf.DUMMYFUNCTION("""COMPUTED_VALUE"""),"")</f>
        <v/>
      </c>
      <c r="C19099" s="42" t="str">
        <f>IFERROR(__xludf.DUMMYFUNCTION("""COMPUTED_VALUE"""),"")</f>
        <v/>
      </c>
      <c r="D19099" s="42"/>
      <c r="E19099" s="42"/>
      <c r="F19099" s="48" t="str">
        <f>IFERROR(__xludf.DUMMYFUNCTION("""COMPUTED_VALUE"""),"")</f>
        <v/>
      </c>
      <c r="G19099" s="42" t="str">
        <f>IFERROR(__xludf.DUMMYFUNCTION("""COMPUTED_VALUE"""),"")</f>
        <v/>
      </c>
      <c r="H19099" s="42">
        <f t="shared" si="1"/>
        <v>3345</v>
      </c>
    </row>
    <row r="19100" ht="22.5" customHeight="1">
      <c r="B19100" s="42" t="str">
        <f>IFERROR(__xludf.DUMMYFUNCTION("""COMPUTED_VALUE"""),"")</f>
        <v/>
      </c>
      <c r="C19100" s="42" t="str">
        <f>IFERROR(__xludf.DUMMYFUNCTION("""COMPUTED_VALUE"""),"")</f>
        <v/>
      </c>
      <c r="D19100" s="42"/>
      <c r="E19100" s="42"/>
      <c r="F19100" s="48" t="str">
        <f>IFERROR(__xludf.DUMMYFUNCTION("""COMPUTED_VALUE"""),"")</f>
        <v/>
      </c>
      <c r="G19100" s="42" t="str">
        <f>IFERROR(__xludf.DUMMYFUNCTION("""COMPUTED_VALUE"""),"")</f>
        <v/>
      </c>
      <c r="H19100" s="42">
        <f t="shared" si="1"/>
        <v>3345</v>
      </c>
    </row>
    <row r="19101" ht="22.5" customHeight="1">
      <c r="B19101" s="42" t="str">
        <f>IFERROR(__xludf.DUMMYFUNCTION("""COMPUTED_VALUE"""),"")</f>
        <v/>
      </c>
      <c r="C19101" s="42" t="str">
        <f>IFERROR(__xludf.DUMMYFUNCTION("""COMPUTED_VALUE"""),"")</f>
        <v/>
      </c>
      <c r="D19101" s="42"/>
      <c r="E19101" s="42"/>
      <c r="F19101" s="48" t="str">
        <f>IFERROR(__xludf.DUMMYFUNCTION("""COMPUTED_VALUE"""),"")</f>
        <v/>
      </c>
      <c r="G19101" s="42" t="str">
        <f>IFERROR(__xludf.DUMMYFUNCTION("""COMPUTED_VALUE"""),"")</f>
        <v/>
      </c>
      <c r="H19101" s="42">
        <f t="shared" si="1"/>
        <v>3345</v>
      </c>
    </row>
    <row r="19102" ht="22.5" customHeight="1">
      <c r="B19102" s="42" t="str">
        <f>IFERROR(__xludf.DUMMYFUNCTION("""COMPUTED_VALUE"""),"")</f>
        <v/>
      </c>
      <c r="C19102" s="42" t="str">
        <f>IFERROR(__xludf.DUMMYFUNCTION("""COMPUTED_VALUE"""),"")</f>
        <v/>
      </c>
      <c r="D19102" s="42"/>
      <c r="E19102" s="42"/>
      <c r="F19102" s="48" t="str">
        <f>IFERROR(__xludf.DUMMYFUNCTION("""COMPUTED_VALUE"""),"")</f>
        <v/>
      </c>
      <c r="G19102" s="42" t="str">
        <f>IFERROR(__xludf.DUMMYFUNCTION("""COMPUTED_VALUE"""),"")</f>
        <v/>
      </c>
      <c r="H19102" s="42">
        <f t="shared" si="1"/>
        <v>3345</v>
      </c>
    </row>
    <row r="19103" ht="22.5" customHeight="1">
      <c r="B19103" s="42" t="str">
        <f>IFERROR(__xludf.DUMMYFUNCTION("""COMPUTED_VALUE"""),"")</f>
        <v/>
      </c>
      <c r="C19103" s="42" t="str">
        <f>IFERROR(__xludf.DUMMYFUNCTION("""COMPUTED_VALUE"""),"")</f>
        <v/>
      </c>
      <c r="D19103" s="42"/>
      <c r="E19103" s="42"/>
      <c r="F19103" s="48" t="str">
        <f>IFERROR(__xludf.DUMMYFUNCTION("""COMPUTED_VALUE"""),"")</f>
        <v/>
      </c>
      <c r="G19103" s="42" t="str">
        <f>IFERROR(__xludf.DUMMYFUNCTION("""COMPUTED_VALUE"""),"")</f>
        <v/>
      </c>
      <c r="H19103" s="42">
        <f t="shared" si="1"/>
        <v>3345</v>
      </c>
    </row>
    <row r="19104" ht="22.5" customHeight="1">
      <c r="B19104" s="42" t="str">
        <f>IFERROR(__xludf.DUMMYFUNCTION("""COMPUTED_VALUE"""),"")</f>
        <v/>
      </c>
      <c r="C19104" s="42" t="str">
        <f>IFERROR(__xludf.DUMMYFUNCTION("""COMPUTED_VALUE"""),"")</f>
        <v/>
      </c>
      <c r="D19104" s="42"/>
      <c r="E19104" s="42"/>
      <c r="F19104" s="48" t="str">
        <f>IFERROR(__xludf.DUMMYFUNCTION("""COMPUTED_VALUE"""),"")</f>
        <v/>
      </c>
      <c r="G19104" s="42" t="str">
        <f>IFERROR(__xludf.DUMMYFUNCTION("""COMPUTED_VALUE"""),"")</f>
        <v/>
      </c>
      <c r="H19104" s="42">
        <f t="shared" si="1"/>
        <v>3345</v>
      </c>
    </row>
    <row r="19105" ht="22.5" customHeight="1">
      <c r="B19105" s="42" t="str">
        <f>IFERROR(__xludf.DUMMYFUNCTION("""COMPUTED_VALUE"""),"")</f>
        <v/>
      </c>
      <c r="C19105" s="42" t="str">
        <f>IFERROR(__xludf.DUMMYFUNCTION("""COMPUTED_VALUE"""),"")</f>
        <v/>
      </c>
      <c r="D19105" s="42"/>
      <c r="E19105" s="42"/>
      <c r="F19105" s="48" t="str">
        <f>IFERROR(__xludf.DUMMYFUNCTION("""COMPUTED_VALUE"""),"")</f>
        <v/>
      </c>
      <c r="G19105" s="42" t="str">
        <f>IFERROR(__xludf.DUMMYFUNCTION("""COMPUTED_VALUE"""),"")</f>
        <v/>
      </c>
      <c r="H19105" s="42">
        <f t="shared" si="1"/>
        <v>3345</v>
      </c>
    </row>
    <row r="19106" ht="22.5" customHeight="1">
      <c r="B19106" s="42" t="str">
        <f>IFERROR(__xludf.DUMMYFUNCTION("""COMPUTED_VALUE"""),"")</f>
        <v/>
      </c>
      <c r="C19106" s="42" t="str">
        <f>IFERROR(__xludf.DUMMYFUNCTION("""COMPUTED_VALUE"""),"")</f>
        <v/>
      </c>
      <c r="D19106" s="42"/>
      <c r="E19106" s="42"/>
      <c r="F19106" s="48" t="str">
        <f>IFERROR(__xludf.DUMMYFUNCTION("""COMPUTED_VALUE"""),"")</f>
        <v/>
      </c>
      <c r="G19106" s="42" t="str">
        <f>IFERROR(__xludf.DUMMYFUNCTION("""COMPUTED_VALUE"""),"")</f>
        <v/>
      </c>
      <c r="H19106" s="42">
        <f t="shared" si="1"/>
        <v>3345</v>
      </c>
    </row>
    <row r="19107" ht="22.5" customHeight="1">
      <c r="B19107" s="42" t="str">
        <f>IFERROR(__xludf.DUMMYFUNCTION("""COMPUTED_VALUE"""),"")</f>
        <v/>
      </c>
      <c r="C19107" s="42" t="str">
        <f>IFERROR(__xludf.DUMMYFUNCTION("""COMPUTED_VALUE"""),"")</f>
        <v/>
      </c>
      <c r="D19107" s="42"/>
      <c r="E19107" s="42"/>
      <c r="F19107" s="48" t="str">
        <f>IFERROR(__xludf.DUMMYFUNCTION("""COMPUTED_VALUE"""),"")</f>
        <v/>
      </c>
      <c r="G19107" s="42" t="str">
        <f>IFERROR(__xludf.DUMMYFUNCTION("""COMPUTED_VALUE"""),"")</f>
        <v/>
      </c>
      <c r="H19107" s="42">
        <f t="shared" si="1"/>
        <v>3345</v>
      </c>
    </row>
    <row r="19108" ht="22.5" customHeight="1">
      <c r="B19108" s="42" t="str">
        <f>IFERROR(__xludf.DUMMYFUNCTION("""COMPUTED_VALUE"""),"")</f>
        <v/>
      </c>
      <c r="C19108" s="42" t="str">
        <f>IFERROR(__xludf.DUMMYFUNCTION("""COMPUTED_VALUE"""),"")</f>
        <v/>
      </c>
      <c r="D19108" s="42"/>
      <c r="E19108" s="42"/>
      <c r="F19108" s="48" t="str">
        <f>IFERROR(__xludf.DUMMYFUNCTION("""COMPUTED_VALUE"""),"")</f>
        <v/>
      </c>
      <c r="G19108" s="42" t="str">
        <f>IFERROR(__xludf.DUMMYFUNCTION("""COMPUTED_VALUE"""),"")</f>
        <v/>
      </c>
      <c r="H19108" s="42">
        <f t="shared" si="1"/>
        <v>3345</v>
      </c>
    </row>
    <row r="19109" ht="22.5" customHeight="1">
      <c r="B19109" s="42" t="str">
        <f>IFERROR(__xludf.DUMMYFUNCTION("""COMPUTED_VALUE"""),"")</f>
        <v/>
      </c>
      <c r="C19109" s="42" t="str">
        <f>IFERROR(__xludf.DUMMYFUNCTION("""COMPUTED_VALUE"""),"")</f>
        <v/>
      </c>
      <c r="D19109" s="42"/>
      <c r="E19109" s="42"/>
      <c r="F19109" s="48" t="str">
        <f>IFERROR(__xludf.DUMMYFUNCTION("""COMPUTED_VALUE"""),"")</f>
        <v/>
      </c>
      <c r="G19109" s="42" t="str">
        <f>IFERROR(__xludf.DUMMYFUNCTION("""COMPUTED_VALUE"""),"")</f>
        <v/>
      </c>
      <c r="H19109" s="42">
        <f t="shared" si="1"/>
        <v>3345</v>
      </c>
    </row>
    <row r="19110" ht="22.5" customHeight="1">
      <c r="B19110" s="42" t="str">
        <f>IFERROR(__xludf.DUMMYFUNCTION("""COMPUTED_VALUE"""),"")</f>
        <v/>
      </c>
      <c r="C19110" s="42" t="str">
        <f>IFERROR(__xludf.DUMMYFUNCTION("""COMPUTED_VALUE"""),"")</f>
        <v/>
      </c>
      <c r="D19110" s="42"/>
      <c r="E19110" s="42"/>
      <c r="F19110" s="48" t="str">
        <f>IFERROR(__xludf.DUMMYFUNCTION("""COMPUTED_VALUE"""),"")</f>
        <v/>
      </c>
      <c r="G19110" s="42" t="str">
        <f>IFERROR(__xludf.DUMMYFUNCTION("""COMPUTED_VALUE"""),"")</f>
        <v/>
      </c>
      <c r="H19110" s="42">
        <f t="shared" si="1"/>
        <v>3345</v>
      </c>
    </row>
    <row r="19111" ht="22.5" customHeight="1">
      <c r="B19111" s="42" t="str">
        <f>IFERROR(__xludf.DUMMYFUNCTION("""COMPUTED_VALUE"""),"")</f>
        <v/>
      </c>
      <c r="C19111" s="42" t="str">
        <f>IFERROR(__xludf.DUMMYFUNCTION("""COMPUTED_VALUE"""),"")</f>
        <v/>
      </c>
      <c r="D19111" s="42"/>
      <c r="E19111" s="42"/>
      <c r="F19111" s="48" t="str">
        <f>IFERROR(__xludf.DUMMYFUNCTION("""COMPUTED_VALUE"""),"")</f>
        <v/>
      </c>
      <c r="G19111" s="42" t="str">
        <f>IFERROR(__xludf.DUMMYFUNCTION("""COMPUTED_VALUE"""),"")</f>
        <v/>
      </c>
      <c r="H19111" s="42">
        <f t="shared" si="1"/>
        <v>3345</v>
      </c>
    </row>
    <row r="19112" ht="22.5" customHeight="1">
      <c r="B19112" s="42" t="str">
        <f>IFERROR(__xludf.DUMMYFUNCTION("""COMPUTED_VALUE"""),"")</f>
        <v/>
      </c>
      <c r="C19112" s="42" t="str">
        <f>IFERROR(__xludf.DUMMYFUNCTION("""COMPUTED_VALUE"""),"")</f>
        <v/>
      </c>
      <c r="D19112" s="42"/>
      <c r="E19112" s="42"/>
      <c r="F19112" s="48" t="str">
        <f>IFERROR(__xludf.DUMMYFUNCTION("""COMPUTED_VALUE"""),"")</f>
        <v/>
      </c>
      <c r="G19112" s="42" t="str">
        <f>IFERROR(__xludf.DUMMYFUNCTION("""COMPUTED_VALUE"""),"")</f>
        <v/>
      </c>
      <c r="H19112" s="42">
        <f t="shared" si="1"/>
        <v>3345</v>
      </c>
    </row>
    <row r="19113" ht="22.5" customHeight="1">
      <c r="B19113" s="42" t="str">
        <f>IFERROR(__xludf.DUMMYFUNCTION("""COMPUTED_VALUE"""),"")</f>
        <v/>
      </c>
      <c r="C19113" s="42" t="str">
        <f>IFERROR(__xludf.DUMMYFUNCTION("""COMPUTED_VALUE"""),"")</f>
        <v/>
      </c>
      <c r="D19113" s="42"/>
      <c r="E19113" s="42"/>
      <c r="F19113" s="48" t="str">
        <f>IFERROR(__xludf.DUMMYFUNCTION("""COMPUTED_VALUE"""),"")</f>
        <v/>
      </c>
      <c r="G19113" s="42" t="str">
        <f>IFERROR(__xludf.DUMMYFUNCTION("""COMPUTED_VALUE"""),"")</f>
        <v/>
      </c>
      <c r="H19113" s="42">
        <f t="shared" si="1"/>
        <v>3345</v>
      </c>
    </row>
    <row r="19114" ht="22.5" customHeight="1">
      <c r="B19114" s="42" t="str">
        <f>IFERROR(__xludf.DUMMYFUNCTION("""COMPUTED_VALUE"""),"")</f>
        <v/>
      </c>
      <c r="C19114" s="42" t="str">
        <f>IFERROR(__xludf.DUMMYFUNCTION("""COMPUTED_VALUE"""),"")</f>
        <v/>
      </c>
      <c r="D19114" s="42"/>
      <c r="E19114" s="42"/>
      <c r="F19114" s="48" t="str">
        <f>IFERROR(__xludf.DUMMYFUNCTION("""COMPUTED_VALUE"""),"")</f>
        <v/>
      </c>
      <c r="G19114" s="42" t="str">
        <f>IFERROR(__xludf.DUMMYFUNCTION("""COMPUTED_VALUE"""),"")</f>
        <v/>
      </c>
      <c r="H19114" s="42">
        <f t="shared" si="1"/>
        <v>3345</v>
      </c>
    </row>
    <row r="19115" ht="22.5" customHeight="1">
      <c r="B19115" s="42" t="str">
        <f>IFERROR(__xludf.DUMMYFUNCTION("""COMPUTED_VALUE"""),"")</f>
        <v/>
      </c>
      <c r="C19115" s="42" t="str">
        <f>IFERROR(__xludf.DUMMYFUNCTION("""COMPUTED_VALUE"""),"")</f>
        <v/>
      </c>
      <c r="D19115" s="42"/>
      <c r="E19115" s="42"/>
      <c r="F19115" s="48" t="str">
        <f>IFERROR(__xludf.DUMMYFUNCTION("""COMPUTED_VALUE"""),"")</f>
        <v/>
      </c>
      <c r="G19115" s="42" t="str">
        <f>IFERROR(__xludf.DUMMYFUNCTION("""COMPUTED_VALUE"""),"")</f>
        <v/>
      </c>
      <c r="H19115" s="42">
        <f t="shared" si="1"/>
        <v>3345</v>
      </c>
    </row>
    <row r="19116" ht="22.5" customHeight="1">
      <c r="B19116" s="42" t="str">
        <f>IFERROR(__xludf.DUMMYFUNCTION("""COMPUTED_VALUE"""),"")</f>
        <v/>
      </c>
      <c r="C19116" s="42" t="str">
        <f>IFERROR(__xludf.DUMMYFUNCTION("""COMPUTED_VALUE"""),"")</f>
        <v/>
      </c>
      <c r="D19116" s="42"/>
      <c r="E19116" s="42"/>
      <c r="F19116" s="48" t="str">
        <f>IFERROR(__xludf.DUMMYFUNCTION("""COMPUTED_VALUE"""),"")</f>
        <v/>
      </c>
      <c r="G19116" s="42" t="str">
        <f>IFERROR(__xludf.DUMMYFUNCTION("""COMPUTED_VALUE"""),"")</f>
        <v/>
      </c>
      <c r="H19116" s="42">
        <f t="shared" si="1"/>
        <v>3345</v>
      </c>
    </row>
    <row r="19117" ht="22.5" customHeight="1">
      <c r="B19117" s="42" t="str">
        <f>IFERROR(__xludf.DUMMYFUNCTION("""COMPUTED_VALUE"""),"")</f>
        <v/>
      </c>
      <c r="C19117" s="42" t="str">
        <f>IFERROR(__xludf.DUMMYFUNCTION("""COMPUTED_VALUE"""),"")</f>
        <v/>
      </c>
      <c r="D19117" s="42"/>
      <c r="E19117" s="42"/>
      <c r="F19117" s="48" t="str">
        <f>IFERROR(__xludf.DUMMYFUNCTION("""COMPUTED_VALUE"""),"")</f>
        <v/>
      </c>
      <c r="G19117" s="42" t="str">
        <f>IFERROR(__xludf.DUMMYFUNCTION("""COMPUTED_VALUE"""),"")</f>
        <v/>
      </c>
      <c r="H19117" s="42">
        <f t="shared" si="1"/>
        <v>3345</v>
      </c>
    </row>
    <row r="19118" ht="22.5" customHeight="1">
      <c r="B19118" s="42" t="str">
        <f>IFERROR(__xludf.DUMMYFUNCTION("""COMPUTED_VALUE"""),"")</f>
        <v/>
      </c>
      <c r="C19118" s="42" t="str">
        <f>IFERROR(__xludf.DUMMYFUNCTION("""COMPUTED_VALUE"""),"")</f>
        <v/>
      </c>
      <c r="D19118" s="42"/>
      <c r="E19118" s="42"/>
      <c r="F19118" s="48" t="str">
        <f>IFERROR(__xludf.DUMMYFUNCTION("""COMPUTED_VALUE"""),"")</f>
        <v/>
      </c>
      <c r="G19118" s="42" t="str">
        <f>IFERROR(__xludf.DUMMYFUNCTION("""COMPUTED_VALUE"""),"")</f>
        <v/>
      </c>
      <c r="H19118" s="42">
        <f t="shared" si="1"/>
        <v>3345</v>
      </c>
    </row>
    <row r="19119" ht="22.5" customHeight="1">
      <c r="B19119" s="42" t="str">
        <f>IFERROR(__xludf.DUMMYFUNCTION("""COMPUTED_VALUE"""),"")</f>
        <v/>
      </c>
      <c r="C19119" s="42" t="str">
        <f>IFERROR(__xludf.DUMMYFUNCTION("""COMPUTED_VALUE"""),"")</f>
        <v/>
      </c>
      <c r="D19119" s="42"/>
      <c r="E19119" s="42"/>
      <c r="F19119" s="48" t="str">
        <f>IFERROR(__xludf.DUMMYFUNCTION("""COMPUTED_VALUE"""),"")</f>
        <v/>
      </c>
      <c r="G19119" s="42" t="str">
        <f>IFERROR(__xludf.DUMMYFUNCTION("""COMPUTED_VALUE"""),"")</f>
        <v/>
      </c>
      <c r="H19119" s="42">
        <f t="shared" si="1"/>
        <v>3345</v>
      </c>
    </row>
    <row r="19120" ht="22.5" customHeight="1">
      <c r="B19120" s="42" t="str">
        <f>IFERROR(__xludf.DUMMYFUNCTION("""COMPUTED_VALUE"""),"")</f>
        <v/>
      </c>
      <c r="C19120" s="42" t="str">
        <f>IFERROR(__xludf.DUMMYFUNCTION("""COMPUTED_VALUE"""),"")</f>
        <v/>
      </c>
      <c r="D19120" s="42"/>
      <c r="E19120" s="42"/>
      <c r="F19120" s="48" t="str">
        <f>IFERROR(__xludf.DUMMYFUNCTION("""COMPUTED_VALUE"""),"")</f>
        <v/>
      </c>
      <c r="G19120" s="42" t="str">
        <f>IFERROR(__xludf.DUMMYFUNCTION("""COMPUTED_VALUE"""),"")</f>
        <v/>
      </c>
      <c r="H19120" s="42">
        <f t="shared" si="1"/>
        <v>3345</v>
      </c>
    </row>
    <row r="19121" ht="22.5" customHeight="1">
      <c r="B19121" s="42" t="str">
        <f>IFERROR(__xludf.DUMMYFUNCTION("""COMPUTED_VALUE"""),"")</f>
        <v/>
      </c>
      <c r="C19121" s="42" t="str">
        <f>IFERROR(__xludf.DUMMYFUNCTION("""COMPUTED_VALUE"""),"")</f>
        <v/>
      </c>
      <c r="D19121" s="42"/>
      <c r="E19121" s="42"/>
      <c r="F19121" s="48" t="str">
        <f>IFERROR(__xludf.DUMMYFUNCTION("""COMPUTED_VALUE"""),"")</f>
        <v/>
      </c>
      <c r="G19121" s="42" t="str">
        <f>IFERROR(__xludf.DUMMYFUNCTION("""COMPUTED_VALUE"""),"")</f>
        <v/>
      </c>
      <c r="H19121" s="42">
        <f t="shared" si="1"/>
        <v>3345</v>
      </c>
    </row>
    <row r="19122" ht="22.5" customHeight="1">
      <c r="B19122" s="42" t="str">
        <f>IFERROR(__xludf.DUMMYFUNCTION("""COMPUTED_VALUE"""),"")</f>
        <v/>
      </c>
      <c r="C19122" s="42" t="str">
        <f>IFERROR(__xludf.DUMMYFUNCTION("""COMPUTED_VALUE"""),"")</f>
        <v/>
      </c>
      <c r="D19122" s="42"/>
      <c r="E19122" s="42"/>
      <c r="F19122" s="48" t="str">
        <f>IFERROR(__xludf.DUMMYFUNCTION("""COMPUTED_VALUE"""),"")</f>
        <v/>
      </c>
      <c r="G19122" s="42" t="str">
        <f>IFERROR(__xludf.DUMMYFUNCTION("""COMPUTED_VALUE"""),"")</f>
        <v/>
      </c>
      <c r="H19122" s="42">
        <f t="shared" si="1"/>
        <v>3345</v>
      </c>
    </row>
    <row r="19123" ht="22.5" customHeight="1">
      <c r="B19123" s="42" t="str">
        <f>IFERROR(__xludf.DUMMYFUNCTION("""COMPUTED_VALUE"""),"")</f>
        <v/>
      </c>
      <c r="C19123" s="42" t="str">
        <f>IFERROR(__xludf.DUMMYFUNCTION("""COMPUTED_VALUE"""),"")</f>
        <v/>
      </c>
      <c r="D19123" s="42"/>
      <c r="E19123" s="42"/>
      <c r="F19123" s="48" t="str">
        <f>IFERROR(__xludf.DUMMYFUNCTION("""COMPUTED_VALUE"""),"")</f>
        <v/>
      </c>
      <c r="G19123" s="42" t="str">
        <f>IFERROR(__xludf.DUMMYFUNCTION("""COMPUTED_VALUE"""),"")</f>
        <v/>
      </c>
      <c r="H19123" s="42">
        <f t="shared" si="1"/>
        <v>3345</v>
      </c>
    </row>
    <row r="19124" ht="22.5" customHeight="1">
      <c r="B19124" s="42" t="str">
        <f>IFERROR(__xludf.DUMMYFUNCTION("""COMPUTED_VALUE"""),"")</f>
        <v/>
      </c>
      <c r="C19124" s="42" t="str">
        <f>IFERROR(__xludf.DUMMYFUNCTION("""COMPUTED_VALUE"""),"")</f>
        <v/>
      </c>
      <c r="D19124" s="42"/>
      <c r="E19124" s="42"/>
      <c r="F19124" s="48" t="str">
        <f>IFERROR(__xludf.DUMMYFUNCTION("""COMPUTED_VALUE"""),"")</f>
        <v/>
      </c>
      <c r="G19124" s="42" t="str">
        <f>IFERROR(__xludf.DUMMYFUNCTION("""COMPUTED_VALUE"""),"")</f>
        <v/>
      </c>
      <c r="H19124" s="42">
        <f t="shared" si="1"/>
        <v>3345</v>
      </c>
    </row>
    <row r="19125" ht="22.5" customHeight="1">
      <c r="B19125" s="42" t="str">
        <f>IFERROR(__xludf.DUMMYFUNCTION("""COMPUTED_VALUE"""),"")</f>
        <v/>
      </c>
      <c r="C19125" s="42" t="str">
        <f>IFERROR(__xludf.DUMMYFUNCTION("""COMPUTED_VALUE"""),"")</f>
        <v/>
      </c>
      <c r="D19125" s="42"/>
      <c r="E19125" s="42"/>
      <c r="F19125" s="48" t="str">
        <f>IFERROR(__xludf.DUMMYFUNCTION("""COMPUTED_VALUE"""),"")</f>
        <v/>
      </c>
      <c r="G19125" s="42" t="str">
        <f>IFERROR(__xludf.DUMMYFUNCTION("""COMPUTED_VALUE"""),"")</f>
        <v/>
      </c>
      <c r="H19125" s="42">
        <f t="shared" si="1"/>
        <v>3345</v>
      </c>
    </row>
    <row r="19126" ht="22.5" customHeight="1">
      <c r="B19126" s="42" t="str">
        <f>IFERROR(__xludf.DUMMYFUNCTION("""COMPUTED_VALUE"""),"")</f>
        <v/>
      </c>
      <c r="C19126" s="42" t="str">
        <f>IFERROR(__xludf.DUMMYFUNCTION("""COMPUTED_VALUE"""),"")</f>
        <v/>
      </c>
      <c r="D19126" s="42"/>
      <c r="E19126" s="42"/>
      <c r="F19126" s="48" t="str">
        <f>IFERROR(__xludf.DUMMYFUNCTION("""COMPUTED_VALUE"""),"")</f>
        <v/>
      </c>
      <c r="G19126" s="42" t="str">
        <f>IFERROR(__xludf.DUMMYFUNCTION("""COMPUTED_VALUE"""),"")</f>
        <v/>
      </c>
      <c r="H19126" s="42">
        <f t="shared" si="1"/>
        <v>3345</v>
      </c>
    </row>
    <row r="19127" ht="22.5" customHeight="1">
      <c r="B19127" s="42" t="str">
        <f>IFERROR(__xludf.DUMMYFUNCTION("""COMPUTED_VALUE"""),"")</f>
        <v/>
      </c>
      <c r="C19127" s="42" t="str">
        <f>IFERROR(__xludf.DUMMYFUNCTION("""COMPUTED_VALUE"""),"")</f>
        <v/>
      </c>
      <c r="D19127" s="42"/>
      <c r="E19127" s="42"/>
      <c r="F19127" s="48" t="str">
        <f>IFERROR(__xludf.DUMMYFUNCTION("""COMPUTED_VALUE"""),"")</f>
        <v/>
      </c>
      <c r="G19127" s="42" t="str">
        <f>IFERROR(__xludf.DUMMYFUNCTION("""COMPUTED_VALUE"""),"")</f>
        <v/>
      </c>
      <c r="H19127" s="42">
        <f t="shared" si="1"/>
        <v>3345</v>
      </c>
    </row>
    <row r="19128" ht="22.5" customHeight="1">
      <c r="B19128" s="42" t="str">
        <f>IFERROR(__xludf.DUMMYFUNCTION("""COMPUTED_VALUE"""),"")</f>
        <v/>
      </c>
      <c r="C19128" s="42" t="str">
        <f>IFERROR(__xludf.DUMMYFUNCTION("""COMPUTED_VALUE"""),"")</f>
        <v/>
      </c>
      <c r="D19128" s="42"/>
      <c r="E19128" s="42"/>
      <c r="F19128" s="48" t="str">
        <f>IFERROR(__xludf.DUMMYFUNCTION("""COMPUTED_VALUE"""),"")</f>
        <v/>
      </c>
      <c r="G19128" s="42" t="str">
        <f>IFERROR(__xludf.DUMMYFUNCTION("""COMPUTED_VALUE"""),"")</f>
        <v/>
      </c>
      <c r="H19128" s="42">
        <f t="shared" si="1"/>
        <v>3345</v>
      </c>
    </row>
    <row r="19129" ht="22.5" customHeight="1">
      <c r="B19129" s="42" t="str">
        <f>IFERROR(__xludf.DUMMYFUNCTION("""COMPUTED_VALUE"""),"")</f>
        <v/>
      </c>
      <c r="C19129" s="42" t="str">
        <f>IFERROR(__xludf.DUMMYFUNCTION("""COMPUTED_VALUE"""),"")</f>
        <v/>
      </c>
      <c r="D19129" s="42"/>
      <c r="E19129" s="42"/>
      <c r="F19129" s="48" t="str">
        <f>IFERROR(__xludf.DUMMYFUNCTION("""COMPUTED_VALUE"""),"")</f>
        <v/>
      </c>
      <c r="G19129" s="42" t="str">
        <f>IFERROR(__xludf.DUMMYFUNCTION("""COMPUTED_VALUE"""),"")</f>
        <v/>
      </c>
      <c r="H19129" s="42">
        <f t="shared" si="1"/>
        <v>3345</v>
      </c>
    </row>
    <row r="19130" ht="22.5" customHeight="1">
      <c r="B19130" s="42" t="str">
        <f>IFERROR(__xludf.DUMMYFUNCTION("""COMPUTED_VALUE"""),"")</f>
        <v/>
      </c>
      <c r="C19130" s="42" t="str">
        <f>IFERROR(__xludf.DUMMYFUNCTION("""COMPUTED_VALUE"""),"")</f>
        <v/>
      </c>
      <c r="D19130" s="42"/>
      <c r="E19130" s="42"/>
      <c r="F19130" s="48" t="str">
        <f>IFERROR(__xludf.DUMMYFUNCTION("""COMPUTED_VALUE"""),"")</f>
        <v/>
      </c>
      <c r="G19130" s="42" t="str">
        <f>IFERROR(__xludf.DUMMYFUNCTION("""COMPUTED_VALUE"""),"")</f>
        <v/>
      </c>
      <c r="H19130" s="42">
        <f t="shared" si="1"/>
        <v>3345</v>
      </c>
    </row>
    <row r="19131" ht="22.5" customHeight="1">
      <c r="B19131" s="42" t="str">
        <f>IFERROR(__xludf.DUMMYFUNCTION("""COMPUTED_VALUE"""),"")</f>
        <v/>
      </c>
      <c r="C19131" s="42" t="str">
        <f>IFERROR(__xludf.DUMMYFUNCTION("""COMPUTED_VALUE"""),"")</f>
        <v/>
      </c>
      <c r="D19131" s="42"/>
      <c r="E19131" s="42"/>
      <c r="F19131" s="48" t="str">
        <f>IFERROR(__xludf.DUMMYFUNCTION("""COMPUTED_VALUE"""),"")</f>
        <v/>
      </c>
      <c r="G19131" s="42" t="str">
        <f>IFERROR(__xludf.DUMMYFUNCTION("""COMPUTED_VALUE"""),"")</f>
        <v/>
      </c>
      <c r="H19131" s="42">
        <f t="shared" si="1"/>
        <v>3345</v>
      </c>
    </row>
    <row r="19132" ht="22.5" customHeight="1">
      <c r="B19132" s="42" t="str">
        <f>IFERROR(__xludf.DUMMYFUNCTION("""COMPUTED_VALUE"""),"")</f>
        <v/>
      </c>
      <c r="C19132" s="42" t="str">
        <f>IFERROR(__xludf.DUMMYFUNCTION("""COMPUTED_VALUE"""),"")</f>
        <v/>
      </c>
      <c r="D19132" s="42"/>
      <c r="E19132" s="42"/>
      <c r="F19132" s="48" t="str">
        <f>IFERROR(__xludf.DUMMYFUNCTION("""COMPUTED_VALUE"""),"")</f>
        <v/>
      </c>
      <c r="G19132" s="42" t="str">
        <f>IFERROR(__xludf.DUMMYFUNCTION("""COMPUTED_VALUE"""),"")</f>
        <v/>
      </c>
      <c r="H19132" s="42">
        <f t="shared" si="1"/>
        <v>3345</v>
      </c>
    </row>
    <row r="19133" ht="22.5" customHeight="1">
      <c r="B19133" s="42" t="str">
        <f>IFERROR(__xludf.DUMMYFUNCTION("""COMPUTED_VALUE"""),"")</f>
        <v/>
      </c>
      <c r="C19133" s="42" t="str">
        <f>IFERROR(__xludf.DUMMYFUNCTION("""COMPUTED_VALUE"""),"")</f>
        <v/>
      </c>
      <c r="D19133" s="42"/>
      <c r="E19133" s="42"/>
      <c r="F19133" s="48" t="str">
        <f>IFERROR(__xludf.DUMMYFUNCTION("""COMPUTED_VALUE"""),"")</f>
        <v/>
      </c>
      <c r="G19133" s="42" t="str">
        <f>IFERROR(__xludf.DUMMYFUNCTION("""COMPUTED_VALUE"""),"")</f>
        <v/>
      </c>
      <c r="H19133" s="42">
        <f t="shared" si="1"/>
        <v>3345</v>
      </c>
    </row>
    <row r="19134" ht="22.5" customHeight="1">
      <c r="B19134" s="42" t="str">
        <f>IFERROR(__xludf.DUMMYFUNCTION("""COMPUTED_VALUE"""),"")</f>
        <v/>
      </c>
      <c r="C19134" s="42" t="str">
        <f>IFERROR(__xludf.DUMMYFUNCTION("""COMPUTED_VALUE"""),"")</f>
        <v/>
      </c>
      <c r="D19134" s="42"/>
      <c r="E19134" s="42"/>
      <c r="F19134" s="48" t="str">
        <f>IFERROR(__xludf.DUMMYFUNCTION("""COMPUTED_VALUE"""),"")</f>
        <v/>
      </c>
      <c r="G19134" s="42" t="str">
        <f>IFERROR(__xludf.DUMMYFUNCTION("""COMPUTED_VALUE"""),"")</f>
        <v/>
      </c>
      <c r="H19134" s="42">
        <f t="shared" si="1"/>
        <v>3345</v>
      </c>
    </row>
    <row r="19135" ht="22.5" customHeight="1">
      <c r="B19135" s="42" t="str">
        <f>IFERROR(__xludf.DUMMYFUNCTION("""COMPUTED_VALUE"""),"")</f>
        <v/>
      </c>
      <c r="C19135" s="42" t="str">
        <f>IFERROR(__xludf.DUMMYFUNCTION("""COMPUTED_VALUE"""),"")</f>
        <v/>
      </c>
      <c r="D19135" s="42"/>
      <c r="E19135" s="42"/>
      <c r="F19135" s="48" t="str">
        <f>IFERROR(__xludf.DUMMYFUNCTION("""COMPUTED_VALUE"""),"")</f>
        <v/>
      </c>
      <c r="G19135" s="42" t="str">
        <f>IFERROR(__xludf.DUMMYFUNCTION("""COMPUTED_VALUE"""),"")</f>
        <v/>
      </c>
      <c r="H19135" s="42">
        <f t="shared" si="1"/>
        <v>3345</v>
      </c>
    </row>
    <row r="19136" ht="22.5" customHeight="1">
      <c r="B19136" s="42" t="str">
        <f>IFERROR(__xludf.DUMMYFUNCTION("""COMPUTED_VALUE"""),"")</f>
        <v/>
      </c>
      <c r="C19136" s="42" t="str">
        <f>IFERROR(__xludf.DUMMYFUNCTION("""COMPUTED_VALUE"""),"")</f>
        <v/>
      </c>
      <c r="D19136" s="42"/>
      <c r="E19136" s="42"/>
      <c r="F19136" s="48" t="str">
        <f>IFERROR(__xludf.DUMMYFUNCTION("""COMPUTED_VALUE"""),"")</f>
        <v/>
      </c>
      <c r="G19136" s="42" t="str">
        <f>IFERROR(__xludf.DUMMYFUNCTION("""COMPUTED_VALUE"""),"")</f>
        <v/>
      </c>
      <c r="H19136" s="42">
        <f t="shared" si="1"/>
        <v>3345</v>
      </c>
    </row>
    <row r="19137" ht="22.5" customHeight="1">
      <c r="B19137" s="42" t="str">
        <f>IFERROR(__xludf.DUMMYFUNCTION("""COMPUTED_VALUE"""),"")</f>
        <v/>
      </c>
      <c r="C19137" s="42" t="str">
        <f>IFERROR(__xludf.DUMMYFUNCTION("""COMPUTED_VALUE"""),"")</f>
        <v/>
      </c>
      <c r="D19137" s="42"/>
      <c r="E19137" s="42"/>
      <c r="F19137" s="48" t="str">
        <f>IFERROR(__xludf.DUMMYFUNCTION("""COMPUTED_VALUE"""),"")</f>
        <v/>
      </c>
      <c r="G19137" s="42" t="str">
        <f>IFERROR(__xludf.DUMMYFUNCTION("""COMPUTED_VALUE"""),"")</f>
        <v/>
      </c>
      <c r="H19137" s="42">
        <f t="shared" si="1"/>
        <v>3345</v>
      </c>
    </row>
    <row r="19138" ht="22.5" customHeight="1">
      <c r="B19138" s="42" t="str">
        <f>IFERROR(__xludf.DUMMYFUNCTION("""COMPUTED_VALUE"""),"")</f>
        <v/>
      </c>
      <c r="C19138" s="42" t="str">
        <f>IFERROR(__xludf.DUMMYFUNCTION("""COMPUTED_VALUE"""),"")</f>
        <v/>
      </c>
      <c r="D19138" s="42"/>
      <c r="E19138" s="42"/>
      <c r="F19138" s="48" t="str">
        <f>IFERROR(__xludf.DUMMYFUNCTION("""COMPUTED_VALUE"""),"")</f>
        <v/>
      </c>
      <c r="G19138" s="42" t="str">
        <f>IFERROR(__xludf.DUMMYFUNCTION("""COMPUTED_VALUE"""),"")</f>
        <v/>
      </c>
      <c r="H19138" s="42">
        <f t="shared" si="1"/>
        <v>3345</v>
      </c>
    </row>
    <row r="19139" ht="22.5" customHeight="1">
      <c r="B19139" s="42" t="str">
        <f>IFERROR(__xludf.DUMMYFUNCTION("""COMPUTED_VALUE"""),"")</f>
        <v/>
      </c>
      <c r="C19139" s="42" t="str">
        <f>IFERROR(__xludf.DUMMYFUNCTION("""COMPUTED_VALUE"""),"")</f>
        <v/>
      </c>
      <c r="D19139" s="42"/>
      <c r="E19139" s="42"/>
      <c r="F19139" s="48" t="str">
        <f>IFERROR(__xludf.DUMMYFUNCTION("""COMPUTED_VALUE"""),"")</f>
        <v/>
      </c>
      <c r="G19139" s="42" t="str">
        <f>IFERROR(__xludf.DUMMYFUNCTION("""COMPUTED_VALUE"""),"")</f>
        <v/>
      </c>
      <c r="H19139" s="42">
        <f t="shared" si="1"/>
        <v>3345</v>
      </c>
    </row>
    <row r="19140" ht="22.5" customHeight="1">
      <c r="B19140" s="42" t="str">
        <f>IFERROR(__xludf.DUMMYFUNCTION("""COMPUTED_VALUE"""),"")</f>
        <v/>
      </c>
      <c r="C19140" s="42" t="str">
        <f>IFERROR(__xludf.DUMMYFUNCTION("""COMPUTED_VALUE"""),"")</f>
        <v/>
      </c>
      <c r="D19140" s="42"/>
      <c r="E19140" s="42"/>
      <c r="F19140" s="48" t="str">
        <f>IFERROR(__xludf.DUMMYFUNCTION("""COMPUTED_VALUE"""),"")</f>
        <v/>
      </c>
      <c r="G19140" s="42" t="str">
        <f>IFERROR(__xludf.DUMMYFUNCTION("""COMPUTED_VALUE"""),"")</f>
        <v/>
      </c>
      <c r="H19140" s="42">
        <f t="shared" si="1"/>
        <v>3345</v>
      </c>
    </row>
    <row r="19141" ht="22.5" customHeight="1">
      <c r="B19141" s="42" t="str">
        <f>IFERROR(__xludf.DUMMYFUNCTION("""COMPUTED_VALUE"""),"")</f>
        <v/>
      </c>
      <c r="C19141" s="42" t="str">
        <f>IFERROR(__xludf.DUMMYFUNCTION("""COMPUTED_VALUE"""),"")</f>
        <v/>
      </c>
      <c r="D19141" s="42"/>
      <c r="E19141" s="42"/>
      <c r="F19141" s="48" t="str">
        <f>IFERROR(__xludf.DUMMYFUNCTION("""COMPUTED_VALUE"""),"")</f>
        <v/>
      </c>
      <c r="G19141" s="42" t="str">
        <f>IFERROR(__xludf.DUMMYFUNCTION("""COMPUTED_VALUE"""),"")</f>
        <v/>
      </c>
      <c r="H19141" s="42">
        <f t="shared" si="1"/>
        <v>3345</v>
      </c>
    </row>
    <row r="19142" ht="22.5" customHeight="1">
      <c r="B19142" s="42" t="str">
        <f>IFERROR(__xludf.DUMMYFUNCTION("""COMPUTED_VALUE"""),"")</f>
        <v/>
      </c>
      <c r="C19142" s="42" t="str">
        <f>IFERROR(__xludf.DUMMYFUNCTION("""COMPUTED_VALUE"""),"")</f>
        <v/>
      </c>
      <c r="D19142" s="42"/>
      <c r="E19142" s="42"/>
      <c r="F19142" s="48" t="str">
        <f>IFERROR(__xludf.DUMMYFUNCTION("""COMPUTED_VALUE"""),"")</f>
        <v/>
      </c>
      <c r="G19142" s="42" t="str">
        <f>IFERROR(__xludf.DUMMYFUNCTION("""COMPUTED_VALUE"""),"")</f>
        <v/>
      </c>
      <c r="H19142" s="42">
        <f t="shared" si="1"/>
        <v>3345</v>
      </c>
    </row>
    <row r="19143" ht="22.5" customHeight="1">
      <c r="B19143" s="42" t="str">
        <f>IFERROR(__xludf.DUMMYFUNCTION("""COMPUTED_VALUE"""),"")</f>
        <v/>
      </c>
      <c r="C19143" s="42" t="str">
        <f>IFERROR(__xludf.DUMMYFUNCTION("""COMPUTED_VALUE"""),"")</f>
        <v/>
      </c>
      <c r="D19143" s="42"/>
      <c r="E19143" s="42"/>
      <c r="F19143" s="48" t="str">
        <f>IFERROR(__xludf.DUMMYFUNCTION("""COMPUTED_VALUE"""),"")</f>
        <v/>
      </c>
      <c r="G19143" s="42" t="str">
        <f>IFERROR(__xludf.DUMMYFUNCTION("""COMPUTED_VALUE"""),"")</f>
        <v/>
      </c>
      <c r="H19143" s="42">
        <f t="shared" si="1"/>
        <v>3345</v>
      </c>
    </row>
    <row r="19144" ht="22.5" customHeight="1">
      <c r="B19144" s="42" t="str">
        <f>IFERROR(__xludf.DUMMYFUNCTION("""COMPUTED_VALUE"""),"")</f>
        <v/>
      </c>
      <c r="C19144" s="42" t="str">
        <f>IFERROR(__xludf.DUMMYFUNCTION("""COMPUTED_VALUE"""),"")</f>
        <v/>
      </c>
      <c r="D19144" s="42"/>
      <c r="E19144" s="42"/>
      <c r="F19144" s="48" t="str">
        <f>IFERROR(__xludf.DUMMYFUNCTION("""COMPUTED_VALUE"""),"")</f>
        <v/>
      </c>
      <c r="G19144" s="42" t="str">
        <f>IFERROR(__xludf.DUMMYFUNCTION("""COMPUTED_VALUE"""),"")</f>
        <v/>
      </c>
      <c r="H19144" s="42">
        <f t="shared" si="1"/>
        <v>3345</v>
      </c>
    </row>
    <row r="19145" ht="22.5" customHeight="1">
      <c r="B19145" s="42" t="str">
        <f>IFERROR(__xludf.DUMMYFUNCTION("""COMPUTED_VALUE"""),"")</f>
        <v/>
      </c>
      <c r="C19145" s="42" t="str">
        <f>IFERROR(__xludf.DUMMYFUNCTION("""COMPUTED_VALUE"""),"")</f>
        <v/>
      </c>
      <c r="D19145" s="42"/>
      <c r="E19145" s="42"/>
      <c r="F19145" s="48" t="str">
        <f>IFERROR(__xludf.DUMMYFUNCTION("""COMPUTED_VALUE"""),"")</f>
        <v/>
      </c>
      <c r="G19145" s="42" t="str">
        <f>IFERROR(__xludf.DUMMYFUNCTION("""COMPUTED_VALUE"""),"")</f>
        <v/>
      </c>
      <c r="H19145" s="42">
        <f t="shared" si="1"/>
        <v>3345</v>
      </c>
    </row>
    <row r="19146" ht="22.5" customHeight="1">
      <c r="B19146" s="42" t="str">
        <f>IFERROR(__xludf.DUMMYFUNCTION("""COMPUTED_VALUE"""),"")</f>
        <v/>
      </c>
      <c r="C19146" s="42" t="str">
        <f>IFERROR(__xludf.DUMMYFUNCTION("""COMPUTED_VALUE"""),"")</f>
        <v/>
      </c>
      <c r="D19146" s="42"/>
      <c r="E19146" s="42"/>
      <c r="F19146" s="48" t="str">
        <f>IFERROR(__xludf.DUMMYFUNCTION("""COMPUTED_VALUE"""),"")</f>
        <v/>
      </c>
      <c r="G19146" s="42" t="str">
        <f>IFERROR(__xludf.DUMMYFUNCTION("""COMPUTED_VALUE"""),"")</f>
        <v/>
      </c>
      <c r="H19146" s="42">
        <f t="shared" si="1"/>
        <v>3345</v>
      </c>
    </row>
    <row r="19147" ht="22.5" customHeight="1">
      <c r="B19147" s="42" t="str">
        <f>IFERROR(__xludf.DUMMYFUNCTION("""COMPUTED_VALUE"""),"")</f>
        <v/>
      </c>
      <c r="C19147" s="42" t="str">
        <f>IFERROR(__xludf.DUMMYFUNCTION("""COMPUTED_VALUE"""),"")</f>
        <v/>
      </c>
      <c r="D19147" s="42"/>
      <c r="E19147" s="42"/>
      <c r="F19147" s="48" t="str">
        <f>IFERROR(__xludf.DUMMYFUNCTION("""COMPUTED_VALUE"""),"")</f>
        <v/>
      </c>
      <c r="G19147" s="42" t="str">
        <f>IFERROR(__xludf.DUMMYFUNCTION("""COMPUTED_VALUE"""),"")</f>
        <v/>
      </c>
      <c r="H19147" s="42">
        <f t="shared" si="1"/>
        <v>3345</v>
      </c>
    </row>
    <row r="19148" ht="22.5" customHeight="1">
      <c r="B19148" s="42" t="str">
        <f>IFERROR(__xludf.DUMMYFUNCTION("""COMPUTED_VALUE"""),"")</f>
        <v/>
      </c>
      <c r="C19148" s="42" t="str">
        <f>IFERROR(__xludf.DUMMYFUNCTION("""COMPUTED_VALUE"""),"")</f>
        <v/>
      </c>
      <c r="D19148" s="42"/>
      <c r="E19148" s="42"/>
      <c r="F19148" s="48" t="str">
        <f>IFERROR(__xludf.DUMMYFUNCTION("""COMPUTED_VALUE"""),"")</f>
        <v/>
      </c>
      <c r="G19148" s="42" t="str">
        <f>IFERROR(__xludf.DUMMYFUNCTION("""COMPUTED_VALUE"""),"")</f>
        <v/>
      </c>
      <c r="H19148" s="42">
        <f t="shared" si="1"/>
        <v>3345</v>
      </c>
    </row>
    <row r="19149" ht="22.5" customHeight="1">
      <c r="B19149" s="42" t="str">
        <f>IFERROR(__xludf.DUMMYFUNCTION("""COMPUTED_VALUE"""),"")</f>
        <v/>
      </c>
      <c r="C19149" s="42" t="str">
        <f>IFERROR(__xludf.DUMMYFUNCTION("""COMPUTED_VALUE"""),"")</f>
        <v/>
      </c>
      <c r="D19149" s="42"/>
      <c r="E19149" s="42"/>
      <c r="F19149" s="48" t="str">
        <f>IFERROR(__xludf.DUMMYFUNCTION("""COMPUTED_VALUE"""),"")</f>
        <v/>
      </c>
      <c r="G19149" s="42" t="str">
        <f>IFERROR(__xludf.DUMMYFUNCTION("""COMPUTED_VALUE"""),"")</f>
        <v/>
      </c>
      <c r="H19149" s="42">
        <f t="shared" si="1"/>
        <v>3345</v>
      </c>
    </row>
    <row r="19150" ht="22.5" customHeight="1">
      <c r="B19150" s="42" t="str">
        <f>IFERROR(__xludf.DUMMYFUNCTION("""COMPUTED_VALUE"""),"")</f>
        <v/>
      </c>
      <c r="C19150" s="42" t="str">
        <f>IFERROR(__xludf.DUMMYFUNCTION("""COMPUTED_VALUE"""),"")</f>
        <v/>
      </c>
      <c r="D19150" s="42"/>
      <c r="E19150" s="42"/>
      <c r="F19150" s="48" t="str">
        <f>IFERROR(__xludf.DUMMYFUNCTION("""COMPUTED_VALUE"""),"")</f>
        <v/>
      </c>
      <c r="G19150" s="42" t="str">
        <f>IFERROR(__xludf.DUMMYFUNCTION("""COMPUTED_VALUE"""),"")</f>
        <v/>
      </c>
      <c r="H19150" s="42">
        <f t="shared" si="1"/>
        <v>3345</v>
      </c>
    </row>
    <row r="19151" ht="22.5" customHeight="1">
      <c r="B19151" s="42" t="str">
        <f>IFERROR(__xludf.DUMMYFUNCTION("""COMPUTED_VALUE"""),"")</f>
        <v/>
      </c>
      <c r="C19151" s="42" t="str">
        <f>IFERROR(__xludf.DUMMYFUNCTION("""COMPUTED_VALUE"""),"")</f>
        <v/>
      </c>
      <c r="D19151" s="42"/>
      <c r="E19151" s="42"/>
      <c r="F19151" s="48" t="str">
        <f>IFERROR(__xludf.DUMMYFUNCTION("""COMPUTED_VALUE"""),"")</f>
        <v/>
      </c>
      <c r="G19151" s="42" t="str">
        <f>IFERROR(__xludf.DUMMYFUNCTION("""COMPUTED_VALUE"""),"")</f>
        <v/>
      </c>
      <c r="H19151" s="42">
        <f t="shared" si="1"/>
        <v>3345</v>
      </c>
    </row>
    <row r="19152" ht="22.5" customHeight="1">
      <c r="B19152" s="42" t="str">
        <f>IFERROR(__xludf.DUMMYFUNCTION("""COMPUTED_VALUE"""),"")</f>
        <v/>
      </c>
      <c r="C19152" s="42" t="str">
        <f>IFERROR(__xludf.DUMMYFUNCTION("""COMPUTED_VALUE"""),"")</f>
        <v/>
      </c>
      <c r="D19152" s="42"/>
      <c r="E19152" s="42"/>
      <c r="F19152" s="48" t="str">
        <f>IFERROR(__xludf.DUMMYFUNCTION("""COMPUTED_VALUE"""),"")</f>
        <v/>
      </c>
      <c r="G19152" s="42" t="str">
        <f>IFERROR(__xludf.DUMMYFUNCTION("""COMPUTED_VALUE"""),"")</f>
        <v/>
      </c>
      <c r="H19152" s="42">
        <f t="shared" si="1"/>
        <v>3345</v>
      </c>
    </row>
    <row r="19153" ht="22.5" customHeight="1">
      <c r="B19153" s="42" t="str">
        <f>IFERROR(__xludf.DUMMYFUNCTION("""COMPUTED_VALUE"""),"")</f>
        <v/>
      </c>
      <c r="C19153" s="42" t="str">
        <f>IFERROR(__xludf.DUMMYFUNCTION("""COMPUTED_VALUE"""),"")</f>
        <v/>
      </c>
      <c r="D19153" s="42"/>
      <c r="E19153" s="42"/>
      <c r="F19153" s="48" t="str">
        <f>IFERROR(__xludf.DUMMYFUNCTION("""COMPUTED_VALUE"""),"")</f>
        <v/>
      </c>
      <c r="G19153" s="42" t="str">
        <f>IFERROR(__xludf.DUMMYFUNCTION("""COMPUTED_VALUE"""),"")</f>
        <v/>
      </c>
      <c r="H19153" s="42">
        <f t="shared" si="1"/>
        <v>3345</v>
      </c>
    </row>
    <row r="19154" ht="22.5" customHeight="1">
      <c r="B19154" s="42" t="str">
        <f>IFERROR(__xludf.DUMMYFUNCTION("""COMPUTED_VALUE"""),"")</f>
        <v/>
      </c>
      <c r="C19154" s="42" t="str">
        <f>IFERROR(__xludf.DUMMYFUNCTION("""COMPUTED_VALUE"""),"")</f>
        <v/>
      </c>
      <c r="D19154" s="42"/>
      <c r="E19154" s="42"/>
      <c r="F19154" s="48" t="str">
        <f>IFERROR(__xludf.DUMMYFUNCTION("""COMPUTED_VALUE"""),"")</f>
        <v/>
      </c>
      <c r="G19154" s="42" t="str">
        <f>IFERROR(__xludf.DUMMYFUNCTION("""COMPUTED_VALUE"""),"")</f>
        <v/>
      </c>
      <c r="H19154" s="42">
        <f t="shared" si="1"/>
        <v>3345</v>
      </c>
    </row>
    <row r="19155" ht="22.5" customHeight="1">
      <c r="B19155" s="42" t="str">
        <f>IFERROR(__xludf.DUMMYFUNCTION("""COMPUTED_VALUE"""),"")</f>
        <v/>
      </c>
      <c r="C19155" s="42" t="str">
        <f>IFERROR(__xludf.DUMMYFUNCTION("""COMPUTED_VALUE"""),"")</f>
        <v/>
      </c>
      <c r="D19155" s="42"/>
      <c r="E19155" s="42"/>
      <c r="F19155" s="48" t="str">
        <f>IFERROR(__xludf.DUMMYFUNCTION("""COMPUTED_VALUE"""),"")</f>
        <v/>
      </c>
      <c r="G19155" s="42" t="str">
        <f>IFERROR(__xludf.DUMMYFUNCTION("""COMPUTED_VALUE"""),"")</f>
        <v/>
      </c>
      <c r="H19155" s="42">
        <f t="shared" si="1"/>
        <v>3345</v>
      </c>
    </row>
    <row r="19156" ht="22.5" customHeight="1">
      <c r="B19156" s="42" t="str">
        <f>IFERROR(__xludf.DUMMYFUNCTION("""COMPUTED_VALUE"""),"")</f>
        <v/>
      </c>
      <c r="C19156" s="42" t="str">
        <f>IFERROR(__xludf.DUMMYFUNCTION("""COMPUTED_VALUE"""),"")</f>
        <v/>
      </c>
      <c r="D19156" s="42"/>
      <c r="E19156" s="42"/>
      <c r="F19156" s="48" t="str">
        <f>IFERROR(__xludf.DUMMYFUNCTION("""COMPUTED_VALUE"""),"")</f>
        <v/>
      </c>
      <c r="G19156" s="42" t="str">
        <f>IFERROR(__xludf.DUMMYFUNCTION("""COMPUTED_VALUE"""),"")</f>
        <v/>
      </c>
      <c r="H19156" s="42">
        <f t="shared" si="1"/>
        <v>3345</v>
      </c>
    </row>
    <row r="19157" ht="22.5" customHeight="1">
      <c r="B19157" s="42" t="str">
        <f>IFERROR(__xludf.DUMMYFUNCTION("""COMPUTED_VALUE"""),"")</f>
        <v/>
      </c>
      <c r="C19157" s="42" t="str">
        <f>IFERROR(__xludf.DUMMYFUNCTION("""COMPUTED_VALUE"""),"")</f>
        <v/>
      </c>
      <c r="D19157" s="42"/>
      <c r="E19157" s="42"/>
      <c r="F19157" s="48" t="str">
        <f>IFERROR(__xludf.DUMMYFUNCTION("""COMPUTED_VALUE"""),"")</f>
        <v/>
      </c>
      <c r="G19157" s="42" t="str">
        <f>IFERROR(__xludf.DUMMYFUNCTION("""COMPUTED_VALUE"""),"")</f>
        <v/>
      </c>
      <c r="H19157" s="42">
        <f t="shared" si="1"/>
        <v>3345</v>
      </c>
    </row>
    <row r="19158" ht="22.5" customHeight="1">
      <c r="B19158" s="42" t="str">
        <f>IFERROR(__xludf.DUMMYFUNCTION("""COMPUTED_VALUE"""),"")</f>
        <v/>
      </c>
      <c r="C19158" s="42" t="str">
        <f>IFERROR(__xludf.DUMMYFUNCTION("""COMPUTED_VALUE"""),"")</f>
        <v/>
      </c>
      <c r="D19158" s="42"/>
      <c r="E19158" s="42"/>
      <c r="F19158" s="48" t="str">
        <f>IFERROR(__xludf.DUMMYFUNCTION("""COMPUTED_VALUE"""),"")</f>
        <v/>
      </c>
      <c r="G19158" s="42" t="str">
        <f>IFERROR(__xludf.DUMMYFUNCTION("""COMPUTED_VALUE"""),"")</f>
        <v/>
      </c>
      <c r="H19158" s="42">
        <f t="shared" si="1"/>
        <v>3345</v>
      </c>
    </row>
    <row r="19159" ht="22.5" customHeight="1">
      <c r="B19159" s="42" t="str">
        <f>IFERROR(__xludf.DUMMYFUNCTION("""COMPUTED_VALUE"""),"")</f>
        <v/>
      </c>
      <c r="C19159" s="42" t="str">
        <f>IFERROR(__xludf.DUMMYFUNCTION("""COMPUTED_VALUE"""),"")</f>
        <v/>
      </c>
      <c r="D19159" s="42"/>
      <c r="E19159" s="42"/>
      <c r="F19159" s="48" t="str">
        <f>IFERROR(__xludf.DUMMYFUNCTION("""COMPUTED_VALUE"""),"")</f>
        <v/>
      </c>
      <c r="G19159" s="42" t="str">
        <f>IFERROR(__xludf.DUMMYFUNCTION("""COMPUTED_VALUE"""),"")</f>
        <v/>
      </c>
      <c r="H19159" s="42">
        <f t="shared" si="1"/>
        <v>3345</v>
      </c>
    </row>
    <row r="19160" ht="22.5" customHeight="1">
      <c r="B19160" s="42" t="str">
        <f>IFERROR(__xludf.DUMMYFUNCTION("""COMPUTED_VALUE"""),"")</f>
        <v/>
      </c>
      <c r="C19160" s="42" t="str">
        <f>IFERROR(__xludf.DUMMYFUNCTION("""COMPUTED_VALUE"""),"")</f>
        <v/>
      </c>
      <c r="D19160" s="42"/>
      <c r="E19160" s="42"/>
      <c r="F19160" s="48" t="str">
        <f>IFERROR(__xludf.DUMMYFUNCTION("""COMPUTED_VALUE"""),"")</f>
        <v/>
      </c>
      <c r="G19160" s="42" t="str">
        <f>IFERROR(__xludf.DUMMYFUNCTION("""COMPUTED_VALUE"""),"")</f>
        <v/>
      </c>
      <c r="H19160" s="42">
        <f t="shared" si="1"/>
        <v>3345</v>
      </c>
    </row>
    <row r="19161" ht="22.5" customHeight="1">
      <c r="B19161" s="42" t="str">
        <f>IFERROR(__xludf.DUMMYFUNCTION("""COMPUTED_VALUE"""),"")</f>
        <v/>
      </c>
      <c r="C19161" s="42" t="str">
        <f>IFERROR(__xludf.DUMMYFUNCTION("""COMPUTED_VALUE"""),"")</f>
        <v/>
      </c>
      <c r="D19161" s="42"/>
      <c r="E19161" s="42"/>
      <c r="F19161" s="48" t="str">
        <f>IFERROR(__xludf.DUMMYFUNCTION("""COMPUTED_VALUE"""),"")</f>
        <v/>
      </c>
      <c r="G19161" s="42" t="str">
        <f>IFERROR(__xludf.DUMMYFUNCTION("""COMPUTED_VALUE"""),"")</f>
        <v/>
      </c>
      <c r="H19161" s="42">
        <f t="shared" si="1"/>
        <v>3345</v>
      </c>
    </row>
    <row r="19162" ht="22.5" customHeight="1">
      <c r="B19162" s="42" t="str">
        <f>IFERROR(__xludf.DUMMYFUNCTION("""COMPUTED_VALUE"""),"")</f>
        <v/>
      </c>
      <c r="C19162" s="42" t="str">
        <f>IFERROR(__xludf.DUMMYFUNCTION("""COMPUTED_VALUE"""),"")</f>
        <v/>
      </c>
      <c r="D19162" s="42"/>
      <c r="E19162" s="42"/>
      <c r="F19162" s="48" t="str">
        <f>IFERROR(__xludf.DUMMYFUNCTION("""COMPUTED_VALUE"""),"")</f>
        <v/>
      </c>
      <c r="G19162" s="42" t="str">
        <f>IFERROR(__xludf.DUMMYFUNCTION("""COMPUTED_VALUE"""),"")</f>
        <v/>
      </c>
      <c r="H19162" s="42">
        <f t="shared" si="1"/>
        <v>3345</v>
      </c>
    </row>
    <row r="19163" ht="22.5" customHeight="1">
      <c r="B19163" s="42" t="str">
        <f>IFERROR(__xludf.DUMMYFUNCTION("""COMPUTED_VALUE"""),"")</f>
        <v/>
      </c>
      <c r="C19163" s="42" t="str">
        <f>IFERROR(__xludf.DUMMYFUNCTION("""COMPUTED_VALUE"""),"")</f>
        <v/>
      </c>
      <c r="D19163" s="42"/>
      <c r="E19163" s="42"/>
      <c r="F19163" s="48" t="str">
        <f>IFERROR(__xludf.DUMMYFUNCTION("""COMPUTED_VALUE"""),"")</f>
        <v/>
      </c>
      <c r="G19163" s="42" t="str">
        <f>IFERROR(__xludf.DUMMYFUNCTION("""COMPUTED_VALUE"""),"")</f>
        <v/>
      </c>
      <c r="H19163" s="42">
        <f t="shared" si="1"/>
        <v>3345</v>
      </c>
    </row>
    <row r="19164" ht="22.5" customHeight="1">
      <c r="B19164" s="42" t="str">
        <f>IFERROR(__xludf.DUMMYFUNCTION("""COMPUTED_VALUE"""),"")</f>
        <v/>
      </c>
      <c r="C19164" s="42" t="str">
        <f>IFERROR(__xludf.DUMMYFUNCTION("""COMPUTED_VALUE"""),"")</f>
        <v/>
      </c>
      <c r="D19164" s="42"/>
      <c r="E19164" s="42"/>
      <c r="F19164" s="48" t="str">
        <f>IFERROR(__xludf.DUMMYFUNCTION("""COMPUTED_VALUE"""),"")</f>
        <v/>
      </c>
      <c r="G19164" s="42" t="str">
        <f>IFERROR(__xludf.DUMMYFUNCTION("""COMPUTED_VALUE"""),"")</f>
        <v/>
      </c>
      <c r="H19164" s="42">
        <f t="shared" si="1"/>
        <v>3345</v>
      </c>
    </row>
    <row r="19165" ht="22.5" customHeight="1">
      <c r="B19165" s="42" t="str">
        <f>IFERROR(__xludf.DUMMYFUNCTION("""COMPUTED_VALUE"""),"")</f>
        <v/>
      </c>
      <c r="C19165" s="42" t="str">
        <f>IFERROR(__xludf.DUMMYFUNCTION("""COMPUTED_VALUE"""),"")</f>
        <v/>
      </c>
      <c r="D19165" s="42"/>
      <c r="E19165" s="42"/>
      <c r="F19165" s="48" t="str">
        <f>IFERROR(__xludf.DUMMYFUNCTION("""COMPUTED_VALUE"""),"")</f>
        <v/>
      </c>
      <c r="G19165" s="42" t="str">
        <f>IFERROR(__xludf.DUMMYFUNCTION("""COMPUTED_VALUE"""),"")</f>
        <v/>
      </c>
      <c r="H19165" s="42">
        <f t="shared" si="1"/>
        <v>3345</v>
      </c>
    </row>
    <row r="19166" ht="22.5" customHeight="1">
      <c r="B19166" s="42" t="str">
        <f>IFERROR(__xludf.DUMMYFUNCTION("""COMPUTED_VALUE"""),"")</f>
        <v/>
      </c>
      <c r="C19166" s="42" t="str">
        <f>IFERROR(__xludf.DUMMYFUNCTION("""COMPUTED_VALUE"""),"")</f>
        <v/>
      </c>
      <c r="D19166" s="42"/>
      <c r="E19166" s="42"/>
      <c r="F19166" s="48" t="str">
        <f>IFERROR(__xludf.DUMMYFUNCTION("""COMPUTED_VALUE"""),"")</f>
        <v/>
      </c>
      <c r="G19166" s="42" t="str">
        <f>IFERROR(__xludf.DUMMYFUNCTION("""COMPUTED_VALUE"""),"")</f>
        <v/>
      </c>
      <c r="H19166" s="42">
        <f t="shared" si="1"/>
        <v>3345</v>
      </c>
    </row>
    <row r="19167" ht="22.5" customHeight="1">
      <c r="B19167" s="42" t="str">
        <f>IFERROR(__xludf.DUMMYFUNCTION("""COMPUTED_VALUE"""),"")</f>
        <v/>
      </c>
      <c r="C19167" s="42" t="str">
        <f>IFERROR(__xludf.DUMMYFUNCTION("""COMPUTED_VALUE"""),"")</f>
        <v/>
      </c>
      <c r="D19167" s="42"/>
      <c r="E19167" s="42"/>
      <c r="F19167" s="48" t="str">
        <f>IFERROR(__xludf.DUMMYFUNCTION("""COMPUTED_VALUE"""),"")</f>
        <v/>
      </c>
      <c r="G19167" s="42" t="str">
        <f>IFERROR(__xludf.DUMMYFUNCTION("""COMPUTED_VALUE"""),"")</f>
        <v/>
      </c>
      <c r="H19167" s="42">
        <f t="shared" si="1"/>
        <v>3345</v>
      </c>
    </row>
    <row r="19168" ht="22.5" customHeight="1">
      <c r="B19168" s="42" t="str">
        <f>IFERROR(__xludf.DUMMYFUNCTION("""COMPUTED_VALUE"""),"")</f>
        <v/>
      </c>
      <c r="C19168" s="42" t="str">
        <f>IFERROR(__xludf.DUMMYFUNCTION("""COMPUTED_VALUE"""),"")</f>
        <v/>
      </c>
      <c r="D19168" s="42"/>
      <c r="E19168" s="42"/>
      <c r="F19168" s="48" t="str">
        <f>IFERROR(__xludf.DUMMYFUNCTION("""COMPUTED_VALUE"""),"")</f>
        <v/>
      </c>
      <c r="G19168" s="42" t="str">
        <f>IFERROR(__xludf.DUMMYFUNCTION("""COMPUTED_VALUE"""),"")</f>
        <v/>
      </c>
      <c r="H19168" s="42">
        <f t="shared" si="1"/>
        <v>3345</v>
      </c>
    </row>
    <row r="19169" ht="22.5" customHeight="1">
      <c r="B19169" s="42" t="str">
        <f>IFERROR(__xludf.DUMMYFUNCTION("""COMPUTED_VALUE"""),"")</f>
        <v/>
      </c>
      <c r="C19169" s="42" t="str">
        <f>IFERROR(__xludf.DUMMYFUNCTION("""COMPUTED_VALUE"""),"")</f>
        <v/>
      </c>
      <c r="D19169" s="42"/>
      <c r="E19169" s="42"/>
      <c r="F19169" s="48" t="str">
        <f>IFERROR(__xludf.DUMMYFUNCTION("""COMPUTED_VALUE"""),"")</f>
        <v/>
      </c>
      <c r="G19169" s="42" t="str">
        <f>IFERROR(__xludf.DUMMYFUNCTION("""COMPUTED_VALUE"""),"")</f>
        <v/>
      </c>
      <c r="H19169" s="42">
        <f t="shared" si="1"/>
        <v>3345</v>
      </c>
    </row>
    <row r="19170" ht="22.5" customHeight="1">
      <c r="B19170" s="42" t="str">
        <f>IFERROR(__xludf.DUMMYFUNCTION("""COMPUTED_VALUE"""),"")</f>
        <v/>
      </c>
      <c r="C19170" s="42" t="str">
        <f>IFERROR(__xludf.DUMMYFUNCTION("""COMPUTED_VALUE"""),"")</f>
        <v/>
      </c>
      <c r="D19170" s="42"/>
      <c r="E19170" s="42"/>
      <c r="F19170" s="48" t="str">
        <f>IFERROR(__xludf.DUMMYFUNCTION("""COMPUTED_VALUE"""),"")</f>
        <v/>
      </c>
      <c r="G19170" s="42" t="str">
        <f>IFERROR(__xludf.DUMMYFUNCTION("""COMPUTED_VALUE"""),"")</f>
        <v/>
      </c>
      <c r="H19170" s="42">
        <f t="shared" si="1"/>
        <v>3345</v>
      </c>
    </row>
    <row r="19171" ht="22.5" customHeight="1">
      <c r="B19171" s="42" t="str">
        <f>IFERROR(__xludf.DUMMYFUNCTION("""COMPUTED_VALUE"""),"")</f>
        <v/>
      </c>
      <c r="C19171" s="42" t="str">
        <f>IFERROR(__xludf.DUMMYFUNCTION("""COMPUTED_VALUE"""),"")</f>
        <v/>
      </c>
      <c r="D19171" s="42"/>
      <c r="E19171" s="42"/>
      <c r="F19171" s="48" t="str">
        <f>IFERROR(__xludf.DUMMYFUNCTION("""COMPUTED_VALUE"""),"")</f>
        <v/>
      </c>
      <c r="G19171" s="42" t="str">
        <f>IFERROR(__xludf.DUMMYFUNCTION("""COMPUTED_VALUE"""),"")</f>
        <v/>
      </c>
      <c r="H19171" s="42">
        <f t="shared" si="1"/>
        <v>3345</v>
      </c>
    </row>
    <row r="19172" ht="22.5" customHeight="1">
      <c r="B19172" s="42" t="str">
        <f>IFERROR(__xludf.DUMMYFUNCTION("""COMPUTED_VALUE"""),"")</f>
        <v/>
      </c>
      <c r="C19172" s="42" t="str">
        <f>IFERROR(__xludf.DUMMYFUNCTION("""COMPUTED_VALUE"""),"")</f>
        <v/>
      </c>
      <c r="D19172" s="42"/>
      <c r="E19172" s="42"/>
      <c r="F19172" s="48" t="str">
        <f>IFERROR(__xludf.DUMMYFUNCTION("""COMPUTED_VALUE"""),"")</f>
        <v/>
      </c>
      <c r="G19172" s="42" t="str">
        <f>IFERROR(__xludf.DUMMYFUNCTION("""COMPUTED_VALUE"""),"")</f>
        <v/>
      </c>
      <c r="H19172" s="42">
        <f t="shared" si="1"/>
        <v>3345</v>
      </c>
    </row>
    <row r="19173" ht="22.5" customHeight="1">
      <c r="B19173" s="42" t="str">
        <f>IFERROR(__xludf.DUMMYFUNCTION("""COMPUTED_VALUE"""),"")</f>
        <v/>
      </c>
      <c r="C19173" s="42" t="str">
        <f>IFERROR(__xludf.DUMMYFUNCTION("""COMPUTED_VALUE"""),"")</f>
        <v/>
      </c>
      <c r="D19173" s="42"/>
      <c r="E19173" s="42"/>
      <c r="F19173" s="48" t="str">
        <f>IFERROR(__xludf.DUMMYFUNCTION("""COMPUTED_VALUE"""),"")</f>
        <v/>
      </c>
      <c r="G19173" s="42" t="str">
        <f>IFERROR(__xludf.DUMMYFUNCTION("""COMPUTED_VALUE"""),"")</f>
        <v/>
      </c>
      <c r="H19173" s="42">
        <f t="shared" si="1"/>
        <v>3345</v>
      </c>
    </row>
    <row r="19174" ht="22.5" customHeight="1">
      <c r="B19174" s="42" t="str">
        <f>IFERROR(__xludf.DUMMYFUNCTION("""COMPUTED_VALUE"""),"")</f>
        <v/>
      </c>
      <c r="C19174" s="42" t="str">
        <f>IFERROR(__xludf.DUMMYFUNCTION("""COMPUTED_VALUE"""),"")</f>
        <v/>
      </c>
      <c r="D19174" s="42"/>
      <c r="E19174" s="42"/>
      <c r="F19174" s="48" t="str">
        <f>IFERROR(__xludf.DUMMYFUNCTION("""COMPUTED_VALUE"""),"")</f>
        <v/>
      </c>
      <c r="G19174" s="42" t="str">
        <f>IFERROR(__xludf.DUMMYFUNCTION("""COMPUTED_VALUE"""),"")</f>
        <v/>
      </c>
      <c r="H19174" s="42">
        <f t="shared" si="1"/>
        <v>3345</v>
      </c>
    </row>
    <row r="19175" ht="22.5" customHeight="1">
      <c r="B19175" s="42" t="str">
        <f>IFERROR(__xludf.DUMMYFUNCTION("""COMPUTED_VALUE"""),"")</f>
        <v/>
      </c>
      <c r="C19175" s="42" t="str">
        <f>IFERROR(__xludf.DUMMYFUNCTION("""COMPUTED_VALUE"""),"")</f>
        <v/>
      </c>
      <c r="D19175" s="42"/>
      <c r="E19175" s="42"/>
      <c r="F19175" s="48" t="str">
        <f>IFERROR(__xludf.DUMMYFUNCTION("""COMPUTED_VALUE"""),"")</f>
        <v/>
      </c>
      <c r="G19175" s="42" t="str">
        <f>IFERROR(__xludf.DUMMYFUNCTION("""COMPUTED_VALUE"""),"")</f>
        <v/>
      </c>
      <c r="H19175" s="42">
        <f t="shared" si="1"/>
        <v>3345</v>
      </c>
    </row>
    <row r="19176" ht="22.5" customHeight="1">
      <c r="B19176" s="42" t="str">
        <f>IFERROR(__xludf.DUMMYFUNCTION("""COMPUTED_VALUE"""),"")</f>
        <v/>
      </c>
      <c r="C19176" s="42" t="str">
        <f>IFERROR(__xludf.DUMMYFUNCTION("""COMPUTED_VALUE"""),"")</f>
        <v/>
      </c>
      <c r="D19176" s="42"/>
      <c r="E19176" s="42"/>
      <c r="F19176" s="48" t="str">
        <f>IFERROR(__xludf.DUMMYFUNCTION("""COMPUTED_VALUE"""),"")</f>
        <v/>
      </c>
      <c r="G19176" s="42" t="str">
        <f>IFERROR(__xludf.DUMMYFUNCTION("""COMPUTED_VALUE"""),"")</f>
        <v/>
      </c>
      <c r="H19176" s="42">
        <f t="shared" si="1"/>
        <v>3345</v>
      </c>
    </row>
    <row r="19177" ht="22.5" customHeight="1">
      <c r="B19177" s="42" t="str">
        <f>IFERROR(__xludf.DUMMYFUNCTION("""COMPUTED_VALUE"""),"")</f>
        <v/>
      </c>
      <c r="C19177" s="42" t="str">
        <f>IFERROR(__xludf.DUMMYFUNCTION("""COMPUTED_VALUE"""),"")</f>
        <v/>
      </c>
      <c r="D19177" s="42"/>
      <c r="E19177" s="42"/>
      <c r="F19177" s="48" t="str">
        <f>IFERROR(__xludf.DUMMYFUNCTION("""COMPUTED_VALUE"""),"")</f>
        <v/>
      </c>
      <c r="G19177" s="42" t="str">
        <f>IFERROR(__xludf.DUMMYFUNCTION("""COMPUTED_VALUE"""),"")</f>
        <v/>
      </c>
      <c r="H19177" s="42">
        <f t="shared" si="1"/>
        <v>3345</v>
      </c>
    </row>
    <row r="19178" ht="22.5" customHeight="1">
      <c r="B19178" s="42" t="str">
        <f>IFERROR(__xludf.DUMMYFUNCTION("""COMPUTED_VALUE"""),"")</f>
        <v/>
      </c>
      <c r="C19178" s="42" t="str">
        <f>IFERROR(__xludf.DUMMYFUNCTION("""COMPUTED_VALUE"""),"")</f>
        <v/>
      </c>
      <c r="D19178" s="42"/>
      <c r="E19178" s="42"/>
      <c r="F19178" s="48" t="str">
        <f>IFERROR(__xludf.DUMMYFUNCTION("""COMPUTED_VALUE"""),"")</f>
        <v/>
      </c>
      <c r="G19178" s="42" t="str">
        <f>IFERROR(__xludf.DUMMYFUNCTION("""COMPUTED_VALUE"""),"")</f>
        <v/>
      </c>
      <c r="H19178" s="42">
        <f t="shared" si="1"/>
        <v>3345</v>
      </c>
    </row>
    <row r="19179" ht="22.5" customHeight="1">
      <c r="B19179" s="42" t="str">
        <f>IFERROR(__xludf.DUMMYFUNCTION("""COMPUTED_VALUE"""),"")</f>
        <v/>
      </c>
      <c r="C19179" s="42" t="str">
        <f>IFERROR(__xludf.DUMMYFUNCTION("""COMPUTED_VALUE"""),"")</f>
        <v/>
      </c>
      <c r="D19179" s="42"/>
      <c r="E19179" s="42"/>
      <c r="F19179" s="48" t="str">
        <f>IFERROR(__xludf.DUMMYFUNCTION("""COMPUTED_VALUE"""),"")</f>
        <v/>
      </c>
      <c r="G19179" s="42" t="str">
        <f>IFERROR(__xludf.DUMMYFUNCTION("""COMPUTED_VALUE"""),"")</f>
        <v/>
      </c>
      <c r="H19179" s="42">
        <f t="shared" si="1"/>
        <v>3345</v>
      </c>
    </row>
    <row r="19180" ht="22.5" customHeight="1">
      <c r="B19180" s="42" t="str">
        <f>IFERROR(__xludf.DUMMYFUNCTION("""COMPUTED_VALUE"""),"")</f>
        <v/>
      </c>
      <c r="C19180" s="42" t="str">
        <f>IFERROR(__xludf.DUMMYFUNCTION("""COMPUTED_VALUE"""),"")</f>
        <v/>
      </c>
      <c r="D19180" s="42"/>
      <c r="E19180" s="42"/>
      <c r="F19180" s="48" t="str">
        <f>IFERROR(__xludf.DUMMYFUNCTION("""COMPUTED_VALUE"""),"")</f>
        <v/>
      </c>
      <c r="G19180" s="42" t="str">
        <f>IFERROR(__xludf.DUMMYFUNCTION("""COMPUTED_VALUE"""),"")</f>
        <v/>
      </c>
      <c r="H19180" s="42">
        <f t="shared" si="1"/>
        <v>3345</v>
      </c>
    </row>
    <row r="19181" ht="22.5" customHeight="1">
      <c r="B19181" s="42" t="str">
        <f>IFERROR(__xludf.DUMMYFUNCTION("""COMPUTED_VALUE"""),"")</f>
        <v/>
      </c>
      <c r="C19181" s="42" t="str">
        <f>IFERROR(__xludf.DUMMYFUNCTION("""COMPUTED_VALUE"""),"")</f>
        <v/>
      </c>
      <c r="D19181" s="42"/>
      <c r="E19181" s="42"/>
      <c r="F19181" s="48" t="str">
        <f>IFERROR(__xludf.DUMMYFUNCTION("""COMPUTED_VALUE"""),"")</f>
        <v/>
      </c>
      <c r="G19181" s="42" t="str">
        <f>IFERROR(__xludf.DUMMYFUNCTION("""COMPUTED_VALUE"""),"")</f>
        <v/>
      </c>
      <c r="H19181" s="42">
        <f t="shared" si="1"/>
        <v>3345</v>
      </c>
    </row>
    <row r="19182" ht="22.5" customHeight="1">
      <c r="B19182" s="42" t="str">
        <f>IFERROR(__xludf.DUMMYFUNCTION("""COMPUTED_VALUE"""),"")</f>
        <v/>
      </c>
      <c r="C19182" s="42" t="str">
        <f>IFERROR(__xludf.DUMMYFUNCTION("""COMPUTED_VALUE"""),"")</f>
        <v/>
      </c>
      <c r="D19182" s="42"/>
      <c r="E19182" s="42"/>
      <c r="F19182" s="48" t="str">
        <f>IFERROR(__xludf.DUMMYFUNCTION("""COMPUTED_VALUE"""),"")</f>
        <v/>
      </c>
      <c r="G19182" s="42" t="str">
        <f>IFERROR(__xludf.DUMMYFUNCTION("""COMPUTED_VALUE"""),"")</f>
        <v/>
      </c>
      <c r="H19182" s="42">
        <f t="shared" si="1"/>
        <v>3345</v>
      </c>
    </row>
    <row r="19183" ht="22.5" customHeight="1">
      <c r="B19183" s="42" t="str">
        <f>IFERROR(__xludf.DUMMYFUNCTION("""COMPUTED_VALUE"""),"")</f>
        <v/>
      </c>
      <c r="C19183" s="42" t="str">
        <f>IFERROR(__xludf.DUMMYFUNCTION("""COMPUTED_VALUE"""),"")</f>
        <v/>
      </c>
      <c r="D19183" s="42"/>
      <c r="E19183" s="42"/>
      <c r="F19183" s="48" t="str">
        <f>IFERROR(__xludf.DUMMYFUNCTION("""COMPUTED_VALUE"""),"")</f>
        <v/>
      </c>
      <c r="G19183" s="42" t="str">
        <f>IFERROR(__xludf.DUMMYFUNCTION("""COMPUTED_VALUE"""),"")</f>
        <v/>
      </c>
      <c r="H19183" s="42">
        <f t="shared" si="1"/>
        <v>3345</v>
      </c>
    </row>
    <row r="19184" ht="22.5" customHeight="1">
      <c r="B19184" s="42" t="str">
        <f>IFERROR(__xludf.DUMMYFUNCTION("""COMPUTED_VALUE"""),"")</f>
        <v/>
      </c>
      <c r="C19184" s="42" t="str">
        <f>IFERROR(__xludf.DUMMYFUNCTION("""COMPUTED_VALUE"""),"")</f>
        <v/>
      </c>
      <c r="D19184" s="42"/>
      <c r="E19184" s="42"/>
      <c r="F19184" s="48" t="str">
        <f>IFERROR(__xludf.DUMMYFUNCTION("""COMPUTED_VALUE"""),"")</f>
        <v/>
      </c>
      <c r="G19184" s="42" t="str">
        <f>IFERROR(__xludf.DUMMYFUNCTION("""COMPUTED_VALUE"""),"")</f>
        <v/>
      </c>
      <c r="H19184" s="42">
        <f t="shared" si="1"/>
        <v>3345</v>
      </c>
    </row>
    <row r="19185" ht="22.5" customHeight="1">
      <c r="B19185" s="42" t="str">
        <f>IFERROR(__xludf.DUMMYFUNCTION("""COMPUTED_VALUE"""),"")</f>
        <v/>
      </c>
      <c r="C19185" s="42" t="str">
        <f>IFERROR(__xludf.DUMMYFUNCTION("""COMPUTED_VALUE"""),"")</f>
        <v/>
      </c>
      <c r="D19185" s="42"/>
      <c r="E19185" s="42"/>
      <c r="F19185" s="48" t="str">
        <f>IFERROR(__xludf.DUMMYFUNCTION("""COMPUTED_VALUE"""),"")</f>
        <v/>
      </c>
      <c r="G19185" s="42" t="str">
        <f>IFERROR(__xludf.DUMMYFUNCTION("""COMPUTED_VALUE"""),"")</f>
        <v/>
      </c>
      <c r="H19185" s="42">
        <f t="shared" si="1"/>
        <v>3345</v>
      </c>
    </row>
    <row r="19186" ht="22.5" customHeight="1">
      <c r="B19186" s="42" t="str">
        <f>IFERROR(__xludf.DUMMYFUNCTION("""COMPUTED_VALUE"""),"")</f>
        <v/>
      </c>
      <c r="C19186" s="42" t="str">
        <f>IFERROR(__xludf.DUMMYFUNCTION("""COMPUTED_VALUE"""),"")</f>
        <v/>
      </c>
      <c r="D19186" s="42"/>
      <c r="E19186" s="42"/>
      <c r="F19186" s="48" t="str">
        <f>IFERROR(__xludf.DUMMYFUNCTION("""COMPUTED_VALUE"""),"")</f>
        <v/>
      </c>
      <c r="G19186" s="42" t="str">
        <f>IFERROR(__xludf.DUMMYFUNCTION("""COMPUTED_VALUE"""),"")</f>
        <v/>
      </c>
      <c r="H19186" s="42">
        <f t="shared" si="1"/>
        <v>3345</v>
      </c>
    </row>
    <row r="19187" ht="22.5" customHeight="1">
      <c r="B19187" s="42" t="str">
        <f>IFERROR(__xludf.DUMMYFUNCTION("""COMPUTED_VALUE"""),"")</f>
        <v/>
      </c>
      <c r="C19187" s="42" t="str">
        <f>IFERROR(__xludf.DUMMYFUNCTION("""COMPUTED_VALUE"""),"")</f>
        <v/>
      </c>
      <c r="D19187" s="42"/>
      <c r="E19187" s="42"/>
      <c r="F19187" s="48" t="str">
        <f>IFERROR(__xludf.DUMMYFUNCTION("""COMPUTED_VALUE"""),"")</f>
        <v/>
      </c>
      <c r="G19187" s="42" t="str">
        <f>IFERROR(__xludf.DUMMYFUNCTION("""COMPUTED_VALUE"""),"")</f>
        <v/>
      </c>
      <c r="H19187" s="42">
        <f t="shared" si="1"/>
        <v>3345</v>
      </c>
    </row>
    <row r="19188" ht="22.5" customHeight="1">
      <c r="B19188" s="42" t="str">
        <f>IFERROR(__xludf.DUMMYFUNCTION("""COMPUTED_VALUE"""),"")</f>
        <v/>
      </c>
      <c r="C19188" s="42" t="str">
        <f>IFERROR(__xludf.DUMMYFUNCTION("""COMPUTED_VALUE"""),"")</f>
        <v/>
      </c>
      <c r="D19188" s="42"/>
      <c r="E19188" s="42"/>
      <c r="F19188" s="48" t="str">
        <f>IFERROR(__xludf.DUMMYFUNCTION("""COMPUTED_VALUE"""),"")</f>
        <v/>
      </c>
      <c r="G19188" s="42" t="str">
        <f>IFERROR(__xludf.DUMMYFUNCTION("""COMPUTED_VALUE"""),"")</f>
        <v/>
      </c>
      <c r="H19188" s="42">
        <f t="shared" si="1"/>
        <v>3345</v>
      </c>
    </row>
    <row r="19189" ht="22.5" customHeight="1">
      <c r="B19189" s="42" t="str">
        <f>IFERROR(__xludf.DUMMYFUNCTION("""COMPUTED_VALUE"""),"")</f>
        <v/>
      </c>
      <c r="C19189" s="42" t="str">
        <f>IFERROR(__xludf.DUMMYFUNCTION("""COMPUTED_VALUE"""),"")</f>
        <v/>
      </c>
      <c r="D19189" s="42"/>
      <c r="E19189" s="42"/>
      <c r="F19189" s="48" t="str">
        <f>IFERROR(__xludf.DUMMYFUNCTION("""COMPUTED_VALUE"""),"")</f>
        <v/>
      </c>
      <c r="G19189" s="42" t="str">
        <f>IFERROR(__xludf.DUMMYFUNCTION("""COMPUTED_VALUE"""),"")</f>
        <v/>
      </c>
      <c r="H19189" s="42">
        <f t="shared" si="1"/>
        <v>3345</v>
      </c>
    </row>
    <row r="19190" ht="22.5" customHeight="1">
      <c r="B19190" s="42" t="str">
        <f>IFERROR(__xludf.DUMMYFUNCTION("""COMPUTED_VALUE"""),"")</f>
        <v/>
      </c>
      <c r="C19190" s="42" t="str">
        <f>IFERROR(__xludf.DUMMYFUNCTION("""COMPUTED_VALUE"""),"")</f>
        <v/>
      </c>
      <c r="D19190" s="42"/>
      <c r="E19190" s="42"/>
      <c r="F19190" s="48" t="str">
        <f>IFERROR(__xludf.DUMMYFUNCTION("""COMPUTED_VALUE"""),"")</f>
        <v/>
      </c>
      <c r="G19190" s="42" t="str">
        <f>IFERROR(__xludf.DUMMYFUNCTION("""COMPUTED_VALUE"""),"")</f>
        <v/>
      </c>
      <c r="H19190" s="42">
        <f t="shared" si="1"/>
        <v>3345</v>
      </c>
    </row>
    <row r="19191" ht="22.5" customHeight="1">
      <c r="B19191" s="42" t="str">
        <f>IFERROR(__xludf.DUMMYFUNCTION("""COMPUTED_VALUE"""),"")</f>
        <v/>
      </c>
      <c r="C19191" s="42" t="str">
        <f>IFERROR(__xludf.DUMMYFUNCTION("""COMPUTED_VALUE"""),"")</f>
        <v/>
      </c>
      <c r="D19191" s="42"/>
      <c r="E19191" s="42"/>
      <c r="F19191" s="48" t="str">
        <f>IFERROR(__xludf.DUMMYFUNCTION("""COMPUTED_VALUE"""),"")</f>
        <v/>
      </c>
      <c r="G19191" s="42" t="str">
        <f>IFERROR(__xludf.DUMMYFUNCTION("""COMPUTED_VALUE"""),"")</f>
        <v/>
      </c>
      <c r="H19191" s="42">
        <f t="shared" si="1"/>
        <v>3345</v>
      </c>
    </row>
    <row r="19192" ht="22.5" customHeight="1">
      <c r="B19192" s="42" t="str">
        <f>IFERROR(__xludf.DUMMYFUNCTION("""COMPUTED_VALUE"""),"")</f>
        <v/>
      </c>
      <c r="C19192" s="42" t="str">
        <f>IFERROR(__xludf.DUMMYFUNCTION("""COMPUTED_VALUE"""),"")</f>
        <v/>
      </c>
      <c r="D19192" s="42"/>
      <c r="E19192" s="42"/>
      <c r="F19192" s="48" t="str">
        <f>IFERROR(__xludf.DUMMYFUNCTION("""COMPUTED_VALUE"""),"")</f>
        <v/>
      </c>
      <c r="G19192" s="42" t="str">
        <f>IFERROR(__xludf.DUMMYFUNCTION("""COMPUTED_VALUE"""),"")</f>
        <v/>
      </c>
      <c r="H19192" s="42">
        <f t="shared" si="1"/>
        <v>3345</v>
      </c>
    </row>
    <row r="19193" ht="22.5" customHeight="1">
      <c r="B19193" s="42" t="str">
        <f>IFERROR(__xludf.DUMMYFUNCTION("""COMPUTED_VALUE"""),"")</f>
        <v/>
      </c>
      <c r="C19193" s="42" t="str">
        <f>IFERROR(__xludf.DUMMYFUNCTION("""COMPUTED_VALUE"""),"")</f>
        <v/>
      </c>
      <c r="D19193" s="42"/>
      <c r="E19193" s="42"/>
      <c r="F19193" s="48" t="str">
        <f>IFERROR(__xludf.DUMMYFUNCTION("""COMPUTED_VALUE"""),"")</f>
        <v/>
      </c>
      <c r="G19193" s="42" t="str">
        <f>IFERROR(__xludf.DUMMYFUNCTION("""COMPUTED_VALUE"""),"")</f>
        <v/>
      </c>
      <c r="H19193" s="42">
        <f t="shared" si="1"/>
        <v>3345</v>
      </c>
    </row>
    <row r="19194" ht="22.5" customHeight="1">
      <c r="B19194" s="42" t="str">
        <f>IFERROR(__xludf.DUMMYFUNCTION("""COMPUTED_VALUE"""),"")</f>
        <v/>
      </c>
      <c r="C19194" s="42" t="str">
        <f>IFERROR(__xludf.DUMMYFUNCTION("""COMPUTED_VALUE"""),"")</f>
        <v/>
      </c>
      <c r="D19194" s="42"/>
      <c r="E19194" s="42"/>
      <c r="F19194" s="48" t="str">
        <f>IFERROR(__xludf.DUMMYFUNCTION("""COMPUTED_VALUE"""),"")</f>
        <v/>
      </c>
      <c r="G19194" s="42" t="str">
        <f>IFERROR(__xludf.DUMMYFUNCTION("""COMPUTED_VALUE"""),"")</f>
        <v/>
      </c>
      <c r="H19194" s="42">
        <f t="shared" si="1"/>
        <v>3345</v>
      </c>
    </row>
    <row r="19195" ht="22.5" customHeight="1">
      <c r="B19195" s="42" t="str">
        <f>IFERROR(__xludf.DUMMYFUNCTION("""COMPUTED_VALUE"""),"")</f>
        <v/>
      </c>
      <c r="C19195" s="42" t="str">
        <f>IFERROR(__xludf.DUMMYFUNCTION("""COMPUTED_VALUE"""),"")</f>
        <v/>
      </c>
      <c r="D19195" s="42"/>
      <c r="E19195" s="42"/>
      <c r="F19195" s="48" t="str">
        <f>IFERROR(__xludf.DUMMYFUNCTION("""COMPUTED_VALUE"""),"")</f>
        <v/>
      </c>
      <c r="G19195" s="42" t="str">
        <f>IFERROR(__xludf.DUMMYFUNCTION("""COMPUTED_VALUE"""),"")</f>
        <v/>
      </c>
      <c r="H19195" s="42">
        <f t="shared" si="1"/>
        <v>3345</v>
      </c>
    </row>
    <row r="19196" ht="22.5" customHeight="1">
      <c r="B19196" s="42" t="str">
        <f>IFERROR(__xludf.DUMMYFUNCTION("""COMPUTED_VALUE"""),"")</f>
        <v/>
      </c>
      <c r="C19196" s="42" t="str">
        <f>IFERROR(__xludf.DUMMYFUNCTION("""COMPUTED_VALUE"""),"")</f>
        <v/>
      </c>
      <c r="D19196" s="42"/>
      <c r="E19196" s="42"/>
      <c r="F19196" s="48" t="str">
        <f>IFERROR(__xludf.DUMMYFUNCTION("""COMPUTED_VALUE"""),"")</f>
        <v/>
      </c>
      <c r="G19196" s="42" t="str">
        <f>IFERROR(__xludf.DUMMYFUNCTION("""COMPUTED_VALUE"""),"")</f>
        <v/>
      </c>
      <c r="H19196" s="42">
        <f t="shared" si="1"/>
        <v>3345</v>
      </c>
    </row>
    <row r="19197" ht="22.5" customHeight="1">
      <c r="B19197" s="42" t="str">
        <f>IFERROR(__xludf.DUMMYFUNCTION("""COMPUTED_VALUE"""),"")</f>
        <v/>
      </c>
      <c r="C19197" s="42" t="str">
        <f>IFERROR(__xludf.DUMMYFUNCTION("""COMPUTED_VALUE"""),"")</f>
        <v/>
      </c>
      <c r="D19197" s="42"/>
      <c r="E19197" s="42"/>
      <c r="F19197" s="48" t="str">
        <f>IFERROR(__xludf.DUMMYFUNCTION("""COMPUTED_VALUE"""),"")</f>
        <v/>
      </c>
      <c r="G19197" s="42" t="str">
        <f>IFERROR(__xludf.DUMMYFUNCTION("""COMPUTED_VALUE"""),"")</f>
        <v/>
      </c>
      <c r="H19197" s="42">
        <f t="shared" si="1"/>
        <v>3345</v>
      </c>
    </row>
    <row r="19198" ht="22.5" customHeight="1">
      <c r="B19198" s="42" t="str">
        <f>IFERROR(__xludf.DUMMYFUNCTION("""COMPUTED_VALUE"""),"")</f>
        <v/>
      </c>
      <c r="C19198" s="42" t="str">
        <f>IFERROR(__xludf.DUMMYFUNCTION("""COMPUTED_VALUE"""),"")</f>
        <v/>
      </c>
      <c r="D19198" s="42"/>
      <c r="E19198" s="42"/>
      <c r="F19198" s="48" t="str">
        <f>IFERROR(__xludf.DUMMYFUNCTION("""COMPUTED_VALUE"""),"")</f>
        <v/>
      </c>
      <c r="G19198" s="42" t="str">
        <f>IFERROR(__xludf.DUMMYFUNCTION("""COMPUTED_VALUE"""),"")</f>
        <v/>
      </c>
      <c r="H19198" s="42">
        <f t="shared" si="1"/>
        <v>3345</v>
      </c>
    </row>
    <row r="19199" ht="22.5" customHeight="1">
      <c r="B19199" s="42" t="str">
        <f>IFERROR(__xludf.DUMMYFUNCTION("""COMPUTED_VALUE"""),"")</f>
        <v/>
      </c>
      <c r="C19199" s="42" t="str">
        <f>IFERROR(__xludf.DUMMYFUNCTION("""COMPUTED_VALUE"""),"")</f>
        <v/>
      </c>
      <c r="D19199" s="42"/>
      <c r="E19199" s="42"/>
      <c r="F19199" s="48" t="str">
        <f>IFERROR(__xludf.DUMMYFUNCTION("""COMPUTED_VALUE"""),"")</f>
        <v/>
      </c>
      <c r="G19199" s="42" t="str">
        <f>IFERROR(__xludf.DUMMYFUNCTION("""COMPUTED_VALUE"""),"")</f>
        <v/>
      </c>
      <c r="H19199" s="42">
        <f t="shared" si="1"/>
        <v>3345</v>
      </c>
    </row>
    <row r="19200" ht="22.5" customHeight="1">
      <c r="B19200" s="42" t="str">
        <f>IFERROR(__xludf.DUMMYFUNCTION("""COMPUTED_VALUE"""),"")</f>
        <v/>
      </c>
      <c r="C19200" s="42" t="str">
        <f>IFERROR(__xludf.DUMMYFUNCTION("""COMPUTED_VALUE"""),"")</f>
        <v/>
      </c>
      <c r="D19200" s="42"/>
      <c r="E19200" s="42"/>
      <c r="F19200" s="48" t="str">
        <f>IFERROR(__xludf.DUMMYFUNCTION("""COMPUTED_VALUE"""),"")</f>
        <v/>
      </c>
      <c r="G19200" s="42" t="str">
        <f>IFERROR(__xludf.DUMMYFUNCTION("""COMPUTED_VALUE"""),"")</f>
        <v/>
      </c>
      <c r="H19200" s="42">
        <f t="shared" si="1"/>
        <v>3345</v>
      </c>
    </row>
    <row r="19201" ht="22.5" customHeight="1">
      <c r="B19201" s="42" t="str">
        <f>IFERROR(__xludf.DUMMYFUNCTION("""COMPUTED_VALUE"""),"")</f>
        <v/>
      </c>
      <c r="C19201" s="42" t="str">
        <f>IFERROR(__xludf.DUMMYFUNCTION("""COMPUTED_VALUE"""),"")</f>
        <v/>
      </c>
      <c r="D19201" s="42"/>
      <c r="E19201" s="42"/>
      <c r="F19201" s="48" t="str">
        <f>IFERROR(__xludf.DUMMYFUNCTION("""COMPUTED_VALUE"""),"")</f>
        <v/>
      </c>
      <c r="G19201" s="42" t="str">
        <f>IFERROR(__xludf.DUMMYFUNCTION("""COMPUTED_VALUE"""),"")</f>
        <v/>
      </c>
      <c r="H19201" s="42">
        <f t="shared" si="1"/>
        <v>3345</v>
      </c>
    </row>
    <row r="19202" ht="22.5" customHeight="1">
      <c r="B19202" s="42" t="str">
        <f>IFERROR(__xludf.DUMMYFUNCTION("""COMPUTED_VALUE"""),"")</f>
        <v/>
      </c>
      <c r="C19202" s="42" t="str">
        <f>IFERROR(__xludf.DUMMYFUNCTION("""COMPUTED_VALUE"""),"")</f>
        <v/>
      </c>
      <c r="D19202" s="42"/>
      <c r="E19202" s="42"/>
      <c r="F19202" s="48" t="str">
        <f>IFERROR(__xludf.DUMMYFUNCTION("""COMPUTED_VALUE"""),"")</f>
        <v/>
      </c>
      <c r="G19202" s="42" t="str">
        <f>IFERROR(__xludf.DUMMYFUNCTION("""COMPUTED_VALUE"""),"")</f>
        <v/>
      </c>
      <c r="H19202" s="42">
        <f t="shared" si="1"/>
        <v>3345</v>
      </c>
    </row>
    <row r="19203" ht="22.5" customHeight="1">
      <c r="B19203" s="42" t="str">
        <f>IFERROR(__xludf.DUMMYFUNCTION("""COMPUTED_VALUE"""),"")</f>
        <v/>
      </c>
      <c r="C19203" s="42" t="str">
        <f>IFERROR(__xludf.DUMMYFUNCTION("""COMPUTED_VALUE"""),"")</f>
        <v/>
      </c>
      <c r="D19203" s="42"/>
      <c r="E19203" s="42"/>
      <c r="F19203" s="48" t="str">
        <f>IFERROR(__xludf.DUMMYFUNCTION("""COMPUTED_VALUE"""),"")</f>
        <v/>
      </c>
      <c r="G19203" s="42" t="str">
        <f>IFERROR(__xludf.DUMMYFUNCTION("""COMPUTED_VALUE"""),"")</f>
        <v/>
      </c>
      <c r="H19203" s="42">
        <f t="shared" si="1"/>
        <v>3345</v>
      </c>
    </row>
    <row r="19204" ht="22.5" customHeight="1">
      <c r="B19204" s="42" t="str">
        <f>IFERROR(__xludf.DUMMYFUNCTION("""COMPUTED_VALUE"""),"")</f>
        <v/>
      </c>
      <c r="C19204" s="42" t="str">
        <f>IFERROR(__xludf.DUMMYFUNCTION("""COMPUTED_VALUE"""),"")</f>
        <v/>
      </c>
      <c r="D19204" s="42"/>
      <c r="E19204" s="42"/>
      <c r="F19204" s="48" t="str">
        <f>IFERROR(__xludf.DUMMYFUNCTION("""COMPUTED_VALUE"""),"")</f>
        <v/>
      </c>
      <c r="G19204" s="42" t="str">
        <f>IFERROR(__xludf.DUMMYFUNCTION("""COMPUTED_VALUE"""),"")</f>
        <v/>
      </c>
      <c r="H19204" s="42">
        <f t="shared" si="1"/>
        <v>3345</v>
      </c>
    </row>
    <row r="19205" ht="22.5" customHeight="1">
      <c r="B19205" s="42"/>
      <c r="C19205" s="42"/>
      <c r="D19205" s="42"/>
      <c r="E19205" s="42"/>
      <c r="F19205" s="42"/>
      <c r="G19205" s="42"/>
      <c r="H19205" s="42">
        <f t="shared" si="1"/>
        <v>3345</v>
      </c>
    </row>
    <row r="19206" ht="22.5" customHeight="1">
      <c r="B19206" s="42"/>
      <c r="C19206" s="42"/>
      <c r="D19206" s="42"/>
      <c r="E19206" s="42"/>
      <c r="F19206" s="42"/>
      <c r="G19206" s="42"/>
      <c r="H19206" s="42">
        <f t="shared" si="1"/>
        <v>3345</v>
      </c>
    </row>
    <row r="19207" ht="22.5" customHeight="1">
      <c r="B19207" s="42"/>
      <c r="C19207" s="42"/>
      <c r="D19207" s="42"/>
      <c r="E19207" s="42"/>
      <c r="F19207" s="42"/>
      <c r="G19207" s="42"/>
      <c r="H19207" s="42">
        <f t="shared" si="1"/>
        <v>3345</v>
      </c>
    </row>
    <row r="19208" ht="22.5" customHeight="1">
      <c r="B19208" s="42"/>
      <c r="C19208" s="42"/>
      <c r="D19208" s="42"/>
      <c r="E19208" s="42"/>
      <c r="F19208" s="42"/>
      <c r="G19208" s="42"/>
      <c r="H19208" s="42">
        <f t="shared" si="1"/>
        <v>3345</v>
      </c>
    </row>
    <row r="19209" ht="22.5" customHeight="1">
      <c r="B19209" s="42"/>
      <c r="C19209" s="42"/>
      <c r="D19209" s="42"/>
      <c r="E19209" s="42"/>
      <c r="F19209" s="42"/>
      <c r="G19209" s="42"/>
      <c r="H19209" s="42">
        <f t="shared" si="1"/>
        <v>3345</v>
      </c>
    </row>
    <row r="19210" ht="22.5" customHeight="1">
      <c r="B19210" s="42"/>
      <c r="C19210" s="42"/>
      <c r="D19210" s="42"/>
      <c r="E19210" s="42"/>
      <c r="F19210" s="42"/>
      <c r="G19210" s="42"/>
      <c r="H19210" s="42">
        <f t="shared" si="1"/>
        <v>3345</v>
      </c>
    </row>
    <row r="19211" ht="22.5" customHeight="1">
      <c r="B19211" s="42"/>
      <c r="C19211" s="42"/>
      <c r="D19211" s="42"/>
      <c r="E19211" s="42"/>
      <c r="F19211" s="42"/>
      <c r="G19211" s="42"/>
      <c r="H19211" s="42">
        <f t="shared" si="1"/>
        <v>3345</v>
      </c>
    </row>
    <row r="19212" ht="22.5" customHeight="1">
      <c r="B19212" s="42"/>
      <c r="C19212" s="42"/>
      <c r="D19212" s="42"/>
      <c r="E19212" s="42"/>
      <c r="F19212" s="42"/>
      <c r="G19212" s="42"/>
      <c r="H19212" s="42">
        <f t="shared" si="1"/>
        <v>3345</v>
      </c>
    </row>
    <row r="19213" ht="22.5" customHeight="1">
      <c r="B19213" s="42"/>
      <c r="C19213" s="42"/>
      <c r="D19213" s="42"/>
      <c r="E19213" s="42"/>
      <c r="F19213" s="42"/>
      <c r="G19213" s="42"/>
      <c r="H19213" s="42">
        <f t="shared" si="1"/>
        <v>3345</v>
      </c>
    </row>
    <row r="19214" ht="22.5" customHeight="1">
      <c r="B19214" s="42"/>
      <c r="C19214" s="42"/>
      <c r="D19214" s="42"/>
      <c r="E19214" s="42"/>
      <c r="F19214" s="42"/>
      <c r="G19214" s="42"/>
      <c r="H19214" s="42">
        <f t="shared" si="1"/>
        <v>3345</v>
      </c>
    </row>
    <row r="19215" ht="22.5" customHeight="1">
      <c r="B19215" s="42"/>
      <c r="C19215" s="42"/>
      <c r="D19215" s="42"/>
      <c r="E19215" s="42"/>
      <c r="F19215" s="42"/>
      <c r="G19215" s="42"/>
      <c r="H19215" s="42">
        <f t="shared" si="1"/>
        <v>3345</v>
      </c>
    </row>
    <row r="19216" ht="22.5" customHeight="1">
      <c r="B19216" s="42"/>
      <c r="C19216" s="42"/>
      <c r="D19216" s="42"/>
      <c r="E19216" s="42"/>
      <c r="F19216" s="42"/>
      <c r="G19216" s="42"/>
      <c r="H19216" s="42">
        <f t="shared" si="1"/>
        <v>3345</v>
      </c>
    </row>
    <row r="19217" ht="22.5" customHeight="1">
      <c r="B19217" s="42"/>
      <c r="C19217" s="42"/>
      <c r="D19217" s="42"/>
      <c r="E19217" s="42"/>
      <c r="F19217" s="42"/>
      <c r="G19217" s="42"/>
      <c r="H19217" s="42">
        <f t="shared" si="1"/>
        <v>3345</v>
      </c>
    </row>
    <row r="19218" ht="22.5" customHeight="1">
      <c r="B19218" s="42"/>
      <c r="C19218" s="42"/>
      <c r="D19218" s="42"/>
      <c r="E19218" s="42"/>
      <c r="F19218" s="42"/>
      <c r="G19218" s="42"/>
      <c r="H19218" s="42">
        <f t="shared" si="1"/>
        <v>3345</v>
      </c>
    </row>
    <row r="19219" ht="22.5" customHeight="1">
      <c r="B19219" s="42"/>
      <c r="C19219" s="42"/>
      <c r="D19219" s="42"/>
      <c r="E19219" s="42"/>
      <c r="F19219" s="42"/>
      <c r="G19219" s="42"/>
      <c r="H19219" s="42">
        <f t="shared" si="1"/>
        <v>3345</v>
      </c>
    </row>
    <row r="19220" ht="22.5" customHeight="1">
      <c r="B19220" s="42"/>
      <c r="C19220" s="42"/>
      <c r="D19220" s="42"/>
      <c r="E19220" s="42"/>
      <c r="F19220" s="42"/>
      <c r="G19220" s="42"/>
      <c r="H19220" s="42">
        <f t="shared" si="1"/>
        <v>3345</v>
      </c>
    </row>
    <row r="19221" ht="22.5" customHeight="1">
      <c r="B19221" s="42"/>
      <c r="C19221" s="42"/>
      <c r="D19221" s="42"/>
      <c r="E19221" s="42"/>
      <c r="F19221" s="42"/>
      <c r="G19221" s="42"/>
      <c r="H19221" s="42">
        <f t="shared" si="1"/>
        <v>3345</v>
      </c>
    </row>
    <row r="19222" ht="22.5" customHeight="1">
      <c r="B19222" s="42"/>
      <c r="C19222" s="42"/>
      <c r="D19222" s="42"/>
      <c r="E19222" s="42"/>
      <c r="F19222" s="42"/>
      <c r="G19222" s="42"/>
      <c r="H19222" s="42">
        <f t="shared" si="1"/>
        <v>3345</v>
      </c>
    </row>
    <row r="19223" ht="22.5" customHeight="1">
      <c r="B19223" s="42"/>
      <c r="C19223" s="42"/>
      <c r="D19223" s="42"/>
      <c r="E19223" s="42"/>
      <c r="F19223" s="42"/>
      <c r="G19223" s="42"/>
      <c r="H19223" s="42">
        <f t="shared" si="1"/>
        <v>3345</v>
      </c>
    </row>
    <row r="19224" ht="22.5" customHeight="1">
      <c r="B19224" s="42"/>
      <c r="C19224" s="42"/>
      <c r="D19224" s="42"/>
      <c r="E19224" s="42"/>
      <c r="F19224" s="42"/>
      <c r="G19224" s="42"/>
      <c r="H19224" s="42">
        <f t="shared" si="1"/>
        <v>3345</v>
      </c>
    </row>
    <row r="19225" ht="22.5" customHeight="1">
      <c r="B19225" s="42"/>
      <c r="C19225" s="42"/>
      <c r="D19225" s="42"/>
      <c r="E19225" s="42"/>
      <c r="F19225" s="42"/>
      <c r="G19225" s="42"/>
      <c r="H19225" s="42">
        <f t="shared" si="1"/>
        <v>3345</v>
      </c>
    </row>
    <row r="19226" ht="22.5" customHeight="1">
      <c r="B19226" s="42"/>
      <c r="C19226" s="42"/>
      <c r="D19226" s="42"/>
      <c r="E19226" s="42"/>
      <c r="F19226" s="42"/>
      <c r="G19226" s="42"/>
      <c r="H19226" s="42">
        <f t="shared" si="1"/>
        <v>3345</v>
      </c>
    </row>
    <row r="19227" ht="22.5" customHeight="1">
      <c r="B19227" s="42"/>
      <c r="C19227" s="42"/>
      <c r="D19227" s="42"/>
      <c r="E19227" s="42"/>
      <c r="F19227" s="42"/>
      <c r="G19227" s="42"/>
      <c r="H19227" s="42">
        <f t="shared" si="1"/>
        <v>3345</v>
      </c>
    </row>
    <row r="19228" ht="22.5" customHeight="1">
      <c r="B19228" s="42"/>
      <c r="C19228" s="42"/>
      <c r="D19228" s="42"/>
      <c r="E19228" s="42"/>
      <c r="F19228" s="42"/>
      <c r="G19228" s="42"/>
      <c r="H19228" s="42">
        <f t="shared" si="1"/>
        <v>3345</v>
      </c>
    </row>
    <row r="19229" ht="22.5" customHeight="1">
      <c r="B19229" s="42"/>
      <c r="C19229" s="42"/>
      <c r="D19229" s="42"/>
      <c r="E19229" s="42"/>
      <c r="F19229" s="42"/>
      <c r="G19229" s="42"/>
      <c r="H19229" s="42">
        <f t="shared" si="1"/>
        <v>3345</v>
      </c>
    </row>
    <row r="19230" ht="22.5" customHeight="1">
      <c r="B19230" s="42"/>
      <c r="C19230" s="42"/>
      <c r="D19230" s="42"/>
      <c r="E19230" s="42"/>
      <c r="F19230" s="42"/>
      <c r="G19230" s="42"/>
      <c r="H19230" s="42">
        <f t="shared" si="1"/>
        <v>3345</v>
      </c>
    </row>
    <row r="19231" ht="22.5" customHeight="1">
      <c r="B19231" s="42"/>
      <c r="C19231" s="42"/>
      <c r="D19231" s="42"/>
      <c r="E19231" s="42"/>
      <c r="F19231" s="42"/>
      <c r="G19231" s="42"/>
      <c r="H19231" s="42">
        <f t="shared" si="1"/>
        <v>3345</v>
      </c>
    </row>
    <row r="19232" ht="22.5" customHeight="1">
      <c r="B19232" s="42"/>
      <c r="C19232" s="42"/>
      <c r="D19232" s="42"/>
      <c r="E19232" s="42"/>
      <c r="F19232" s="42"/>
      <c r="G19232" s="42"/>
      <c r="H19232" s="42">
        <f t="shared" si="1"/>
        <v>3345</v>
      </c>
    </row>
    <row r="19233" ht="22.5" customHeight="1">
      <c r="B19233" s="42"/>
      <c r="C19233" s="42"/>
      <c r="D19233" s="42"/>
      <c r="E19233" s="42"/>
      <c r="F19233" s="42"/>
      <c r="G19233" s="42"/>
      <c r="H19233" s="42">
        <f t="shared" si="1"/>
        <v>3345</v>
      </c>
    </row>
    <row r="19234" ht="22.5" customHeight="1">
      <c r="B19234" s="42"/>
      <c r="C19234" s="42"/>
      <c r="D19234" s="42"/>
      <c r="E19234" s="42"/>
      <c r="F19234" s="42"/>
      <c r="G19234" s="42"/>
      <c r="H19234" s="42">
        <f t="shared" si="1"/>
        <v>3345</v>
      </c>
    </row>
    <row r="19235" ht="22.5" customHeight="1">
      <c r="B19235" s="42"/>
      <c r="C19235" s="42"/>
      <c r="D19235" s="42"/>
      <c r="E19235" s="42"/>
      <c r="F19235" s="42"/>
      <c r="G19235" s="42"/>
      <c r="H19235" s="42">
        <f t="shared" si="1"/>
        <v>3345</v>
      </c>
    </row>
    <row r="19236" ht="22.5" customHeight="1">
      <c r="B19236" s="42"/>
      <c r="C19236" s="42"/>
      <c r="D19236" s="42"/>
      <c r="E19236" s="42"/>
      <c r="F19236" s="42"/>
      <c r="G19236" s="42"/>
      <c r="H19236" s="42">
        <f t="shared" si="1"/>
        <v>3345</v>
      </c>
    </row>
    <row r="19237" ht="22.5" customHeight="1">
      <c r="B19237" s="42"/>
      <c r="C19237" s="42"/>
      <c r="D19237" s="42"/>
      <c r="E19237" s="42"/>
      <c r="F19237" s="42"/>
      <c r="G19237" s="42"/>
      <c r="H19237" s="42">
        <f t="shared" si="1"/>
        <v>3345</v>
      </c>
    </row>
    <row r="19238" ht="22.5" customHeight="1">
      <c r="B19238" s="42"/>
      <c r="C19238" s="42"/>
      <c r="D19238" s="42"/>
      <c r="E19238" s="42"/>
      <c r="F19238" s="42"/>
      <c r="G19238" s="42"/>
      <c r="H19238" s="42">
        <f t="shared" si="1"/>
        <v>3345</v>
      </c>
    </row>
    <row r="19239" ht="22.5" customHeight="1">
      <c r="B19239" s="42"/>
      <c r="C19239" s="42"/>
      <c r="D19239" s="42"/>
      <c r="E19239" s="42"/>
      <c r="F19239" s="42"/>
      <c r="G19239" s="42"/>
      <c r="H19239" s="42">
        <f t="shared" si="1"/>
        <v>3345</v>
      </c>
    </row>
    <row r="19240" ht="22.5" customHeight="1">
      <c r="B19240" s="42"/>
      <c r="C19240" s="42"/>
      <c r="D19240" s="42"/>
      <c r="E19240" s="42"/>
      <c r="F19240" s="42"/>
      <c r="G19240" s="42"/>
      <c r="H19240" s="42">
        <f t="shared" si="1"/>
        <v>3345</v>
      </c>
    </row>
    <row r="19241" ht="22.5" customHeight="1">
      <c r="B19241" s="42"/>
      <c r="C19241" s="42"/>
      <c r="D19241" s="42"/>
      <c r="E19241" s="42"/>
      <c r="F19241" s="42"/>
      <c r="G19241" s="42"/>
      <c r="H19241" s="42">
        <f t="shared" si="1"/>
        <v>3345</v>
      </c>
    </row>
    <row r="19242" ht="22.5" customHeight="1">
      <c r="B19242" s="42"/>
      <c r="C19242" s="42"/>
      <c r="D19242" s="42"/>
      <c r="E19242" s="42"/>
      <c r="F19242" s="42"/>
      <c r="G19242" s="42"/>
      <c r="H19242" s="42">
        <f t="shared" si="1"/>
        <v>3345</v>
      </c>
    </row>
    <row r="19243" ht="22.5" customHeight="1">
      <c r="B19243" s="42"/>
      <c r="C19243" s="42"/>
      <c r="D19243" s="42"/>
      <c r="E19243" s="42"/>
      <c r="F19243" s="42"/>
      <c r="G19243" s="42"/>
      <c r="H19243" s="42">
        <f t="shared" si="1"/>
        <v>3345</v>
      </c>
    </row>
    <row r="19244" ht="22.5" customHeight="1">
      <c r="B19244" s="42"/>
      <c r="C19244" s="42"/>
      <c r="D19244" s="42"/>
      <c r="E19244" s="42"/>
      <c r="F19244" s="42"/>
      <c r="G19244" s="42"/>
      <c r="H19244" s="42">
        <f t="shared" si="1"/>
        <v>3345</v>
      </c>
    </row>
    <row r="19245" ht="22.5" customHeight="1">
      <c r="B19245" s="42"/>
      <c r="C19245" s="42"/>
      <c r="D19245" s="42"/>
      <c r="E19245" s="42"/>
      <c r="F19245" s="42"/>
      <c r="G19245" s="42"/>
      <c r="H19245" s="42">
        <f t="shared" si="1"/>
        <v>3345</v>
      </c>
    </row>
    <row r="19246" ht="22.5" customHeight="1">
      <c r="B19246" s="42"/>
      <c r="C19246" s="42"/>
      <c r="D19246" s="42"/>
      <c r="E19246" s="42"/>
      <c r="F19246" s="42"/>
      <c r="G19246" s="42"/>
      <c r="H19246" s="42">
        <f t="shared" si="1"/>
        <v>3345</v>
      </c>
    </row>
    <row r="19247" ht="22.5" customHeight="1">
      <c r="B19247" s="42"/>
      <c r="C19247" s="42"/>
      <c r="D19247" s="42"/>
      <c r="E19247" s="42"/>
      <c r="F19247" s="42"/>
      <c r="G19247" s="42"/>
      <c r="H19247" s="42">
        <f t="shared" si="1"/>
        <v>3345</v>
      </c>
    </row>
    <row r="19248" ht="22.5" customHeight="1">
      <c r="B19248" s="42"/>
      <c r="C19248" s="42"/>
      <c r="D19248" s="42"/>
      <c r="E19248" s="42"/>
      <c r="F19248" s="42"/>
      <c r="G19248" s="42"/>
      <c r="H19248" s="42">
        <f t="shared" si="1"/>
        <v>3345</v>
      </c>
    </row>
    <row r="19249" ht="22.5" customHeight="1">
      <c r="B19249" s="42"/>
      <c r="C19249" s="42"/>
      <c r="D19249" s="42"/>
      <c r="E19249" s="42"/>
      <c r="F19249" s="42"/>
      <c r="G19249" s="42"/>
      <c r="H19249" s="42">
        <f t="shared" si="1"/>
        <v>3345</v>
      </c>
    </row>
    <row r="19250" ht="22.5" customHeight="1">
      <c r="B19250" s="42"/>
      <c r="C19250" s="42"/>
      <c r="D19250" s="42"/>
      <c r="E19250" s="42"/>
      <c r="F19250" s="42"/>
      <c r="G19250" s="42"/>
      <c r="H19250" s="42">
        <f t="shared" si="1"/>
        <v>3345</v>
      </c>
    </row>
    <row r="19251" ht="22.5" customHeight="1">
      <c r="B19251" s="42"/>
      <c r="C19251" s="42"/>
      <c r="D19251" s="42"/>
      <c r="E19251" s="42"/>
      <c r="F19251" s="42"/>
      <c r="G19251" s="42"/>
      <c r="H19251" s="42">
        <f t="shared" si="1"/>
        <v>3345</v>
      </c>
    </row>
    <row r="19252" ht="22.5" customHeight="1">
      <c r="B19252" s="42"/>
      <c r="C19252" s="42"/>
      <c r="D19252" s="42"/>
      <c r="E19252" s="42"/>
      <c r="F19252" s="42"/>
      <c r="G19252" s="42"/>
      <c r="H19252" s="42">
        <f t="shared" si="1"/>
        <v>3345</v>
      </c>
    </row>
    <row r="19253" ht="22.5" customHeight="1">
      <c r="B19253" s="42"/>
      <c r="C19253" s="42"/>
      <c r="D19253" s="42"/>
      <c r="E19253" s="42"/>
      <c r="F19253" s="42"/>
      <c r="G19253" s="42"/>
      <c r="H19253" s="42">
        <f t="shared" si="1"/>
        <v>3345</v>
      </c>
    </row>
    <row r="19254" ht="22.5" customHeight="1">
      <c r="B19254" s="42"/>
      <c r="C19254" s="42"/>
      <c r="D19254" s="42"/>
      <c r="E19254" s="42"/>
      <c r="F19254" s="42"/>
      <c r="G19254" s="42"/>
      <c r="H19254" s="42">
        <f t="shared" si="1"/>
        <v>3345</v>
      </c>
    </row>
    <row r="19255" ht="22.5" customHeight="1">
      <c r="B19255" s="42"/>
      <c r="C19255" s="42"/>
      <c r="D19255" s="42"/>
      <c r="E19255" s="42"/>
      <c r="F19255" s="42"/>
      <c r="G19255" s="42"/>
      <c r="H19255" s="42">
        <f t="shared" si="1"/>
        <v>3345</v>
      </c>
    </row>
    <row r="19256" ht="22.5" customHeight="1">
      <c r="B19256" s="42"/>
      <c r="C19256" s="42"/>
      <c r="D19256" s="42"/>
      <c r="E19256" s="42"/>
      <c r="F19256" s="42"/>
      <c r="G19256" s="42"/>
      <c r="H19256" s="42">
        <f t="shared" si="1"/>
        <v>3345</v>
      </c>
    </row>
    <row r="19257" ht="22.5" customHeight="1">
      <c r="B19257" s="42"/>
      <c r="C19257" s="42"/>
      <c r="D19257" s="42"/>
      <c r="E19257" s="42"/>
      <c r="F19257" s="42"/>
      <c r="G19257" s="42"/>
      <c r="H19257" s="42">
        <f t="shared" si="1"/>
        <v>3345</v>
      </c>
    </row>
    <row r="19258" ht="22.5" customHeight="1">
      <c r="B19258" s="42"/>
      <c r="C19258" s="42"/>
      <c r="D19258" s="42"/>
      <c r="E19258" s="42"/>
      <c r="F19258" s="42"/>
      <c r="G19258" s="42"/>
      <c r="H19258" s="42">
        <f t="shared" si="1"/>
        <v>3345</v>
      </c>
    </row>
    <row r="19259" ht="22.5" customHeight="1">
      <c r="B19259" s="42"/>
      <c r="C19259" s="42"/>
      <c r="D19259" s="42"/>
      <c r="E19259" s="42"/>
      <c r="F19259" s="42"/>
      <c r="G19259" s="42"/>
      <c r="H19259" s="42">
        <f t="shared" si="1"/>
        <v>3345</v>
      </c>
    </row>
    <row r="19260" ht="22.5" customHeight="1">
      <c r="B19260" s="42"/>
      <c r="C19260" s="42"/>
      <c r="D19260" s="42"/>
      <c r="E19260" s="42"/>
      <c r="F19260" s="42"/>
      <c r="G19260" s="42"/>
      <c r="H19260" s="42">
        <f t="shared" si="1"/>
        <v>3345</v>
      </c>
    </row>
    <row r="19261" ht="22.5" customHeight="1">
      <c r="B19261" s="42"/>
      <c r="C19261" s="42"/>
      <c r="D19261" s="42"/>
      <c r="E19261" s="42"/>
      <c r="F19261" s="42"/>
      <c r="G19261" s="42"/>
      <c r="H19261" s="42">
        <f t="shared" si="1"/>
        <v>3345</v>
      </c>
    </row>
    <row r="19262" ht="22.5" customHeight="1">
      <c r="B19262" s="42"/>
      <c r="C19262" s="42"/>
      <c r="D19262" s="42"/>
      <c r="E19262" s="42"/>
      <c r="F19262" s="42"/>
      <c r="G19262" s="42"/>
      <c r="H19262" s="42">
        <f t="shared" si="1"/>
        <v>3345</v>
      </c>
    </row>
    <row r="19263" ht="22.5" customHeight="1">
      <c r="B19263" s="42"/>
      <c r="C19263" s="42"/>
      <c r="D19263" s="42"/>
      <c r="E19263" s="42"/>
      <c r="F19263" s="42"/>
      <c r="G19263" s="42"/>
      <c r="H19263" s="42">
        <f t="shared" si="1"/>
        <v>3345</v>
      </c>
    </row>
    <row r="19264" ht="22.5" customHeight="1">
      <c r="B19264" s="42"/>
      <c r="C19264" s="42"/>
      <c r="D19264" s="42"/>
      <c r="E19264" s="42"/>
      <c r="F19264" s="42"/>
      <c r="G19264" s="42"/>
      <c r="H19264" s="42">
        <f t="shared" si="1"/>
        <v>3345</v>
      </c>
    </row>
    <row r="19265" ht="22.5" customHeight="1">
      <c r="B19265" s="42"/>
      <c r="C19265" s="42"/>
      <c r="D19265" s="42"/>
      <c r="E19265" s="42"/>
      <c r="F19265" s="42"/>
      <c r="G19265" s="42"/>
      <c r="H19265" s="42">
        <f t="shared" si="1"/>
        <v>3345</v>
      </c>
    </row>
    <row r="19266" ht="22.5" customHeight="1">
      <c r="B19266" s="42"/>
      <c r="C19266" s="42"/>
      <c r="D19266" s="42"/>
      <c r="E19266" s="42"/>
      <c r="F19266" s="42"/>
      <c r="G19266" s="42"/>
      <c r="H19266" s="42">
        <f t="shared" si="1"/>
        <v>3345</v>
      </c>
    </row>
    <row r="19267" ht="22.5" customHeight="1">
      <c r="B19267" s="42"/>
      <c r="C19267" s="42"/>
      <c r="D19267" s="42"/>
      <c r="E19267" s="42"/>
      <c r="F19267" s="42"/>
      <c r="G19267" s="42"/>
      <c r="H19267" s="42">
        <f t="shared" si="1"/>
        <v>3345</v>
      </c>
    </row>
    <row r="19268" ht="22.5" customHeight="1">
      <c r="B19268" s="42"/>
      <c r="C19268" s="42"/>
      <c r="D19268" s="42"/>
      <c r="E19268" s="42"/>
      <c r="F19268" s="42"/>
      <c r="G19268" s="42"/>
      <c r="H19268" s="42">
        <f t="shared" si="1"/>
        <v>3345</v>
      </c>
    </row>
    <row r="19269" ht="22.5" customHeight="1">
      <c r="B19269" s="42"/>
      <c r="C19269" s="42"/>
      <c r="D19269" s="42"/>
      <c r="E19269" s="42"/>
      <c r="F19269" s="42"/>
      <c r="G19269" s="42"/>
      <c r="H19269" s="42">
        <f t="shared" si="1"/>
        <v>3345</v>
      </c>
    </row>
    <row r="19270" ht="22.5" customHeight="1">
      <c r="B19270" s="42"/>
      <c r="C19270" s="42"/>
      <c r="D19270" s="42"/>
      <c r="E19270" s="42"/>
      <c r="F19270" s="42"/>
      <c r="G19270" s="42"/>
      <c r="H19270" s="42">
        <f t="shared" si="1"/>
        <v>3345</v>
      </c>
    </row>
    <row r="19271" ht="22.5" customHeight="1">
      <c r="B19271" s="42"/>
      <c r="C19271" s="42"/>
      <c r="D19271" s="42"/>
      <c r="E19271" s="42"/>
      <c r="F19271" s="42"/>
      <c r="G19271" s="42"/>
      <c r="H19271" s="42">
        <f t="shared" si="1"/>
        <v>3345</v>
      </c>
    </row>
    <row r="19272" ht="22.5" customHeight="1">
      <c r="B19272" s="42"/>
      <c r="C19272" s="42"/>
      <c r="D19272" s="42"/>
      <c r="E19272" s="42"/>
      <c r="F19272" s="42"/>
      <c r="G19272" s="42"/>
      <c r="H19272" s="42">
        <f t="shared" si="1"/>
        <v>3345</v>
      </c>
    </row>
    <row r="19273" ht="22.5" customHeight="1">
      <c r="B19273" s="42"/>
      <c r="C19273" s="42"/>
      <c r="D19273" s="42"/>
      <c r="E19273" s="42"/>
      <c r="F19273" s="42"/>
      <c r="G19273" s="42"/>
      <c r="H19273" s="42">
        <f t="shared" si="1"/>
        <v>3345</v>
      </c>
    </row>
    <row r="19274" ht="22.5" customHeight="1">
      <c r="B19274" s="42"/>
      <c r="C19274" s="42"/>
      <c r="D19274" s="42"/>
      <c r="E19274" s="42"/>
      <c r="F19274" s="42"/>
      <c r="G19274" s="42"/>
      <c r="H19274" s="42">
        <f t="shared" si="1"/>
        <v>3345</v>
      </c>
    </row>
    <row r="19275" ht="22.5" customHeight="1">
      <c r="B19275" s="42"/>
      <c r="C19275" s="42"/>
      <c r="D19275" s="42"/>
      <c r="E19275" s="42"/>
      <c r="F19275" s="42"/>
      <c r="G19275" s="42"/>
      <c r="H19275" s="42">
        <f t="shared" si="1"/>
        <v>3345</v>
      </c>
    </row>
    <row r="19276" ht="22.5" customHeight="1">
      <c r="B19276" s="42"/>
      <c r="C19276" s="42"/>
      <c r="D19276" s="42"/>
      <c r="E19276" s="42"/>
      <c r="F19276" s="42"/>
      <c r="G19276" s="42"/>
      <c r="H19276" s="42">
        <f t="shared" si="1"/>
        <v>3345</v>
      </c>
    </row>
    <row r="19277" ht="22.5" customHeight="1">
      <c r="B19277" s="42"/>
      <c r="C19277" s="42"/>
      <c r="D19277" s="42"/>
      <c r="E19277" s="42"/>
      <c r="F19277" s="42"/>
      <c r="G19277" s="42"/>
      <c r="H19277" s="42">
        <f t="shared" si="1"/>
        <v>3345</v>
      </c>
    </row>
    <row r="19278" ht="22.5" customHeight="1">
      <c r="B19278" s="42"/>
      <c r="C19278" s="42"/>
      <c r="D19278" s="42"/>
      <c r="E19278" s="42"/>
      <c r="F19278" s="42"/>
      <c r="G19278" s="42"/>
      <c r="H19278" s="42">
        <f t="shared" si="1"/>
        <v>3345</v>
      </c>
    </row>
    <row r="19279" ht="22.5" customHeight="1">
      <c r="B19279" s="42"/>
      <c r="C19279" s="42"/>
      <c r="D19279" s="42"/>
      <c r="E19279" s="42"/>
      <c r="F19279" s="42"/>
      <c r="G19279" s="42"/>
      <c r="H19279" s="42">
        <f t="shared" si="1"/>
        <v>3345</v>
      </c>
    </row>
    <row r="19280" ht="22.5" customHeight="1">
      <c r="B19280" s="42"/>
      <c r="C19280" s="42"/>
      <c r="D19280" s="42"/>
      <c r="E19280" s="42"/>
      <c r="F19280" s="42"/>
      <c r="G19280" s="42"/>
      <c r="H19280" s="42">
        <f t="shared" si="1"/>
        <v>3345</v>
      </c>
    </row>
    <row r="19281" ht="22.5" customHeight="1">
      <c r="B19281" s="42"/>
      <c r="C19281" s="42"/>
      <c r="D19281" s="42"/>
      <c r="E19281" s="42"/>
      <c r="F19281" s="42"/>
      <c r="G19281" s="42"/>
      <c r="H19281" s="42">
        <f t="shared" si="1"/>
        <v>3345</v>
      </c>
    </row>
    <row r="19282" ht="22.5" customHeight="1">
      <c r="B19282" s="42"/>
      <c r="C19282" s="42"/>
      <c r="D19282" s="42"/>
      <c r="E19282" s="42"/>
      <c r="F19282" s="42"/>
      <c r="G19282" s="42"/>
      <c r="H19282" s="42">
        <f t="shared" si="1"/>
        <v>3345</v>
      </c>
    </row>
    <row r="19283" ht="22.5" customHeight="1">
      <c r="B19283" s="42"/>
      <c r="C19283" s="42"/>
      <c r="D19283" s="42"/>
      <c r="E19283" s="42"/>
      <c r="F19283" s="42"/>
      <c r="G19283" s="42"/>
      <c r="H19283" s="42">
        <f t="shared" si="1"/>
        <v>3345</v>
      </c>
    </row>
    <row r="19284" ht="22.5" customHeight="1">
      <c r="B19284" s="42"/>
      <c r="C19284" s="42"/>
      <c r="D19284" s="42"/>
      <c r="E19284" s="42"/>
      <c r="F19284" s="42"/>
      <c r="G19284" s="42"/>
      <c r="H19284" s="42">
        <f t="shared" si="1"/>
        <v>3345</v>
      </c>
    </row>
    <row r="19285" ht="22.5" customHeight="1">
      <c r="B19285" s="42"/>
      <c r="C19285" s="42"/>
      <c r="D19285" s="42"/>
      <c r="E19285" s="42"/>
      <c r="F19285" s="42"/>
      <c r="G19285" s="42"/>
      <c r="H19285" s="42">
        <f t="shared" si="1"/>
        <v>3345</v>
      </c>
    </row>
    <row r="19286" ht="22.5" customHeight="1">
      <c r="B19286" s="42"/>
      <c r="C19286" s="42"/>
      <c r="D19286" s="42"/>
      <c r="E19286" s="42"/>
      <c r="F19286" s="42"/>
      <c r="G19286" s="42"/>
      <c r="H19286" s="42">
        <f t="shared" si="1"/>
        <v>3345</v>
      </c>
    </row>
    <row r="19287" ht="22.5" customHeight="1">
      <c r="B19287" s="42"/>
      <c r="C19287" s="42"/>
      <c r="D19287" s="42"/>
      <c r="E19287" s="42"/>
      <c r="F19287" s="42"/>
      <c r="G19287" s="42"/>
      <c r="H19287" s="42">
        <f t="shared" si="1"/>
        <v>3345</v>
      </c>
    </row>
    <row r="19288" ht="22.5" customHeight="1">
      <c r="B19288" s="42"/>
      <c r="C19288" s="42"/>
      <c r="D19288" s="42"/>
      <c r="E19288" s="42"/>
      <c r="F19288" s="42"/>
      <c r="G19288" s="42"/>
      <c r="H19288" s="42">
        <f t="shared" si="1"/>
        <v>3345</v>
      </c>
    </row>
    <row r="19289" ht="22.5" customHeight="1">
      <c r="B19289" s="42"/>
      <c r="C19289" s="42"/>
      <c r="D19289" s="42"/>
      <c r="E19289" s="42"/>
      <c r="F19289" s="42"/>
      <c r="G19289" s="42"/>
      <c r="H19289" s="42">
        <f t="shared" si="1"/>
        <v>3345</v>
      </c>
    </row>
    <row r="19290" ht="22.5" customHeight="1">
      <c r="B19290" s="42"/>
      <c r="C19290" s="42"/>
      <c r="D19290" s="42"/>
      <c r="E19290" s="42"/>
      <c r="F19290" s="42"/>
      <c r="G19290" s="42"/>
      <c r="H19290" s="42">
        <f t="shared" si="1"/>
        <v>3345</v>
      </c>
    </row>
    <row r="19291" ht="22.5" customHeight="1">
      <c r="B19291" s="42"/>
      <c r="C19291" s="42"/>
      <c r="D19291" s="42"/>
      <c r="E19291" s="42"/>
      <c r="F19291" s="42"/>
      <c r="G19291" s="42"/>
      <c r="H19291" s="42">
        <f t="shared" si="1"/>
        <v>3345</v>
      </c>
    </row>
    <row r="19292" ht="22.5" customHeight="1">
      <c r="B19292" s="42"/>
      <c r="C19292" s="42"/>
      <c r="D19292" s="42"/>
      <c r="E19292" s="42"/>
      <c r="F19292" s="42"/>
      <c r="G19292" s="42"/>
      <c r="H19292" s="42">
        <f t="shared" si="1"/>
        <v>3345</v>
      </c>
    </row>
    <row r="19293" ht="22.5" customHeight="1">
      <c r="B19293" s="42"/>
      <c r="C19293" s="42"/>
      <c r="D19293" s="42"/>
      <c r="E19293" s="42"/>
      <c r="F19293" s="42"/>
      <c r="G19293" s="42"/>
      <c r="H19293" s="42">
        <f t="shared" si="1"/>
        <v>3345</v>
      </c>
    </row>
    <row r="19294" ht="22.5" customHeight="1">
      <c r="B19294" s="42"/>
      <c r="C19294" s="42"/>
      <c r="D19294" s="42"/>
      <c r="E19294" s="42"/>
      <c r="F19294" s="42"/>
      <c r="G19294" s="42"/>
      <c r="H19294" s="42">
        <f t="shared" si="1"/>
        <v>3345</v>
      </c>
    </row>
    <row r="19295" ht="22.5" customHeight="1">
      <c r="B19295" s="42"/>
      <c r="C19295" s="42"/>
      <c r="D19295" s="42"/>
      <c r="E19295" s="42"/>
      <c r="F19295" s="42"/>
      <c r="G19295" s="42"/>
      <c r="H19295" s="42">
        <f t="shared" si="1"/>
        <v>3345</v>
      </c>
    </row>
    <row r="19296" ht="22.5" customHeight="1">
      <c r="B19296" s="42"/>
      <c r="C19296" s="42"/>
      <c r="D19296" s="42"/>
      <c r="E19296" s="42"/>
      <c r="F19296" s="42"/>
      <c r="G19296" s="42"/>
      <c r="H19296" s="42">
        <f t="shared" si="1"/>
        <v>3345</v>
      </c>
    </row>
    <row r="19297" ht="22.5" customHeight="1">
      <c r="B19297" s="42"/>
      <c r="C19297" s="42"/>
      <c r="D19297" s="42"/>
      <c r="E19297" s="42"/>
      <c r="F19297" s="42"/>
      <c r="G19297" s="42"/>
      <c r="H19297" s="42">
        <f t="shared" si="1"/>
        <v>3345</v>
      </c>
    </row>
    <row r="19298" ht="22.5" customHeight="1">
      <c r="B19298" s="42"/>
      <c r="C19298" s="42"/>
      <c r="D19298" s="42"/>
      <c r="E19298" s="42"/>
      <c r="F19298" s="42"/>
      <c r="G19298" s="42"/>
      <c r="H19298" s="42">
        <f t="shared" si="1"/>
        <v>3345</v>
      </c>
    </row>
    <row r="19299" ht="22.5" customHeight="1">
      <c r="B19299" s="42"/>
      <c r="C19299" s="42"/>
      <c r="D19299" s="42"/>
      <c r="E19299" s="42"/>
      <c r="F19299" s="42"/>
      <c r="G19299" s="42"/>
      <c r="H19299" s="42">
        <f t="shared" si="1"/>
        <v>3345</v>
      </c>
    </row>
    <row r="19300" ht="22.5" customHeight="1">
      <c r="B19300" s="42"/>
      <c r="C19300" s="42"/>
      <c r="D19300" s="42"/>
      <c r="E19300" s="42"/>
      <c r="F19300" s="42"/>
      <c r="G19300" s="42"/>
      <c r="H19300" s="42">
        <f t="shared" si="1"/>
        <v>3345</v>
      </c>
    </row>
    <row r="19301" ht="22.5" customHeight="1">
      <c r="B19301" s="42"/>
      <c r="C19301" s="42"/>
      <c r="D19301" s="42"/>
      <c r="E19301" s="42"/>
      <c r="F19301" s="42"/>
      <c r="G19301" s="42"/>
      <c r="H19301" s="42">
        <f t="shared" si="1"/>
        <v>3345</v>
      </c>
    </row>
    <row r="19302" ht="22.5" customHeight="1">
      <c r="B19302" s="42"/>
      <c r="C19302" s="42"/>
      <c r="D19302" s="42"/>
      <c r="E19302" s="42"/>
      <c r="F19302" s="42"/>
      <c r="G19302" s="42"/>
      <c r="H19302" s="42">
        <f t="shared" si="1"/>
        <v>3345</v>
      </c>
    </row>
    <row r="19303" ht="22.5" customHeight="1">
      <c r="B19303" s="42"/>
      <c r="C19303" s="42"/>
      <c r="D19303" s="42"/>
      <c r="E19303" s="42"/>
      <c r="F19303" s="42"/>
      <c r="G19303" s="42"/>
      <c r="H19303" s="42">
        <f t="shared" si="1"/>
        <v>3345</v>
      </c>
    </row>
    <row r="19304" ht="22.5" customHeight="1">
      <c r="B19304" s="42"/>
      <c r="C19304" s="42"/>
      <c r="D19304" s="42"/>
      <c r="E19304" s="42"/>
      <c r="F19304" s="42"/>
      <c r="G19304" s="42"/>
      <c r="H19304" s="42">
        <f t="shared" si="1"/>
        <v>3345</v>
      </c>
    </row>
    <row r="19305" ht="22.5" customHeight="1">
      <c r="B19305" s="42"/>
      <c r="C19305" s="42"/>
      <c r="D19305" s="42"/>
      <c r="E19305" s="42"/>
      <c r="F19305" s="42"/>
      <c r="G19305" s="42"/>
      <c r="H19305" s="42">
        <f t="shared" si="1"/>
        <v>3345</v>
      </c>
    </row>
    <row r="19306" ht="22.5" customHeight="1">
      <c r="B19306" s="42"/>
      <c r="C19306" s="42"/>
      <c r="D19306" s="42"/>
      <c r="E19306" s="42"/>
      <c r="F19306" s="42"/>
      <c r="G19306" s="42"/>
      <c r="H19306" s="42">
        <f t="shared" si="1"/>
        <v>3345</v>
      </c>
    </row>
    <row r="19307" ht="22.5" customHeight="1">
      <c r="B19307" s="42"/>
      <c r="C19307" s="42"/>
      <c r="D19307" s="42"/>
      <c r="E19307" s="42"/>
      <c r="F19307" s="42"/>
      <c r="G19307" s="42"/>
      <c r="H19307" s="42">
        <f t="shared" si="1"/>
        <v>3345</v>
      </c>
    </row>
    <row r="19308" ht="22.5" customHeight="1">
      <c r="B19308" s="42"/>
      <c r="C19308" s="42"/>
      <c r="D19308" s="42"/>
      <c r="E19308" s="42"/>
      <c r="F19308" s="42"/>
      <c r="G19308" s="42"/>
      <c r="H19308" s="42">
        <f t="shared" si="1"/>
        <v>3345</v>
      </c>
    </row>
    <row r="19309" ht="22.5" customHeight="1">
      <c r="B19309" s="42"/>
      <c r="C19309" s="42"/>
      <c r="D19309" s="42"/>
      <c r="E19309" s="42"/>
      <c r="F19309" s="42"/>
      <c r="G19309" s="42"/>
      <c r="H19309" s="42">
        <f t="shared" si="1"/>
        <v>3345</v>
      </c>
    </row>
    <row r="19310" ht="22.5" customHeight="1">
      <c r="B19310" s="42"/>
      <c r="C19310" s="42"/>
      <c r="D19310" s="42"/>
      <c r="E19310" s="42"/>
      <c r="F19310" s="42"/>
      <c r="G19310" s="42"/>
      <c r="H19310" s="42">
        <f t="shared" si="1"/>
        <v>3345</v>
      </c>
    </row>
    <row r="19311" ht="22.5" customHeight="1">
      <c r="B19311" s="42"/>
      <c r="C19311" s="42"/>
      <c r="D19311" s="42"/>
      <c r="E19311" s="42"/>
      <c r="F19311" s="42"/>
      <c r="G19311" s="42"/>
      <c r="H19311" s="42">
        <f t="shared" si="1"/>
        <v>3345</v>
      </c>
    </row>
    <row r="19312" ht="22.5" customHeight="1">
      <c r="B19312" s="42"/>
      <c r="C19312" s="42"/>
      <c r="D19312" s="42"/>
      <c r="E19312" s="42"/>
      <c r="F19312" s="42"/>
      <c r="G19312" s="42"/>
      <c r="H19312" s="42">
        <f t="shared" si="1"/>
        <v>3345</v>
      </c>
    </row>
    <row r="19313" ht="22.5" customHeight="1">
      <c r="B19313" s="42"/>
      <c r="C19313" s="42"/>
      <c r="D19313" s="42"/>
      <c r="E19313" s="42"/>
      <c r="F19313" s="42"/>
      <c r="G19313" s="42"/>
      <c r="H19313" s="42">
        <f t="shared" si="1"/>
        <v>3345</v>
      </c>
    </row>
    <row r="19314" ht="22.5" customHeight="1">
      <c r="B19314" s="42"/>
      <c r="C19314" s="42"/>
      <c r="D19314" s="42"/>
      <c r="E19314" s="42"/>
      <c r="F19314" s="42"/>
      <c r="G19314" s="42"/>
      <c r="H19314" s="42">
        <f t="shared" si="1"/>
        <v>3345</v>
      </c>
    </row>
    <row r="19315" ht="22.5" customHeight="1">
      <c r="B19315" s="42"/>
      <c r="C19315" s="42"/>
      <c r="D19315" s="42"/>
      <c r="E19315" s="42"/>
      <c r="F19315" s="42"/>
      <c r="G19315" s="42"/>
      <c r="H19315" s="42">
        <f t="shared" si="1"/>
        <v>3345</v>
      </c>
    </row>
    <row r="19316" ht="22.5" customHeight="1">
      <c r="B19316" s="42"/>
      <c r="C19316" s="42"/>
      <c r="D19316" s="42"/>
      <c r="E19316" s="42"/>
      <c r="F19316" s="42"/>
      <c r="G19316" s="42"/>
      <c r="H19316" s="42">
        <f t="shared" si="1"/>
        <v>3345</v>
      </c>
    </row>
    <row r="19317" ht="22.5" customHeight="1">
      <c r="B19317" s="42"/>
      <c r="C19317" s="42"/>
      <c r="D19317" s="42"/>
      <c r="E19317" s="42"/>
      <c r="F19317" s="42"/>
      <c r="G19317" s="42"/>
      <c r="H19317" s="42">
        <f t="shared" si="1"/>
        <v>3345</v>
      </c>
    </row>
    <row r="19318" ht="22.5" customHeight="1">
      <c r="B19318" s="42"/>
      <c r="C19318" s="42"/>
      <c r="D19318" s="42"/>
      <c r="E19318" s="42"/>
      <c r="F19318" s="42"/>
      <c r="G19318" s="42"/>
      <c r="H19318" s="42">
        <f t="shared" si="1"/>
        <v>3345</v>
      </c>
    </row>
    <row r="19319" ht="22.5" customHeight="1">
      <c r="B19319" s="42"/>
      <c r="C19319" s="42"/>
      <c r="D19319" s="42"/>
      <c r="E19319" s="42"/>
      <c r="F19319" s="42"/>
      <c r="G19319" s="42"/>
      <c r="H19319" s="42">
        <f t="shared" si="1"/>
        <v>3345</v>
      </c>
    </row>
    <row r="19320" ht="22.5" customHeight="1">
      <c r="B19320" s="42"/>
      <c r="C19320" s="42"/>
      <c r="D19320" s="42"/>
      <c r="E19320" s="42"/>
      <c r="F19320" s="42"/>
      <c r="G19320" s="42"/>
      <c r="H19320" s="42">
        <f t="shared" si="1"/>
        <v>3345</v>
      </c>
    </row>
    <row r="19321" ht="22.5" customHeight="1">
      <c r="B19321" s="42"/>
      <c r="C19321" s="42"/>
      <c r="D19321" s="42"/>
      <c r="E19321" s="42"/>
      <c r="F19321" s="42"/>
      <c r="G19321" s="42"/>
      <c r="H19321" s="42">
        <f t="shared" si="1"/>
        <v>3345</v>
      </c>
    </row>
    <row r="19322" ht="22.5" customHeight="1">
      <c r="B19322" s="42"/>
      <c r="C19322" s="42"/>
      <c r="D19322" s="42"/>
      <c r="E19322" s="42"/>
      <c r="F19322" s="42"/>
      <c r="G19322" s="42"/>
      <c r="H19322" s="42">
        <f t="shared" si="1"/>
        <v>3345</v>
      </c>
    </row>
    <row r="19323" ht="22.5" customHeight="1">
      <c r="B19323" s="42"/>
      <c r="C19323" s="42"/>
      <c r="D19323" s="42"/>
      <c r="E19323" s="42"/>
      <c r="F19323" s="42"/>
      <c r="G19323" s="42"/>
      <c r="H19323" s="42">
        <f t="shared" si="1"/>
        <v>3345</v>
      </c>
    </row>
    <row r="19324" ht="22.5" customHeight="1">
      <c r="B19324" s="42"/>
      <c r="C19324" s="42"/>
      <c r="D19324" s="42"/>
      <c r="E19324" s="42"/>
      <c r="F19324" s="42"/>
      <c r="G19324" s="42"/>
      <c r="H19324" s="42">
        <f t="shared" si="1"/>
        <v>3345</v>
      </c>
    </row>
    <row r="19325" ht="22.5" customHeight="1">
      <c r="B19325" s="42"/>
      <c r="C19325" s="42"/>
      <c r="D19325" s="42"/>
      <c r="E19325" s="42"/>
      <c r="F19325" s="42"/>
      <c r="G19325" s="42"/>
      <c r="H19325" s="42">
        <f t="shared" si="1"/>
        <v>3345</v>
      </c>
    </row>
    <row r="19326" ht="22.5" customHeight="1">
      <c r="B19326" s="42"/>
      <c r="C19326" s="42"/>
      <c r="D19326" s="42"/>
      <c r="E19326" s="42"/>
      <c r="F19326" s="42"/>
      <c r="G19326" s="42"/>
      <c r="H19326" s="42">
        <f t="shared" si="1"/>
        <v>3345</v>
      </c>
    </row>
    <row r="19327" ht="22.5" customHeight="1">
      <c r="B19327" s="42"/>
      <c r="C19327" s="42"/>
      <c r="D19327" s="42"/>
      <c r="E19327" s="42"/>
      <c r="F19327" s="42"/>
      <c r="G19327" s="42"/>
      <c r="H19327" s="42">
        <f t="shared" si="1"/>
        <v>3345</v>
      </c>
    </row>
    <row r="19328" ht="22.5" customHeight="1">
      <c r="B19328" s="42"/>
      <c r="C19328" s="42"/>
      <c r="D19328" s="42"/>
      <c r="E19328" s="42"/>
      <c r="F19328" s="42"/>
      <c r="G19328" s="42"/>
      <c r="H19328" s="42">
        <f t="shared" si="1"/>
        <v>3345</v>
      </c>
    </row>
    <row r="19329" ht="22.5" customHeight="1">
      <c r="B19329" s="42"/>
      <c r="C19329" s="42"/>
      <c r="D19329" s="42"/>
      <c r="E19329" s="42"/>
      <c r="F19329" s="42"/>
      <c r="G19329" s="42"/>
      <c r="H19329" s="42">
        <f t="shared" si="1"/>
        <v>3345</v>
      </c>
    </row>
    <row r="19330" ht="22.5" customHeight="1">
      <c r="B19330" s="42"/>
      <c r="C19330" s="42"/>
      <c r="D19330" s="42"/>
      <c r="E19330" s="42"/>
      <c r="F19330" s="42"/>
      <c r="G19330" s="42"/>
      <c r="H19330" s="42">
        <f t="shared" si="1"/>
        <v>3345</v>
      </c>
    </row>
    <row r="19331" ht="22.5" customHeight="1">
      <c r="B19331" s="42"/>
      <c r="C19331" s="42"/>
      <c r="D19331" s="42"/>
      <c r="E19331" s="42"/>
      <c r="F19331" s="42"/>
      <c r="G19331" s="42"/>
      <c r="H19331" s="42">
        <f t="shared" si="1"/>
        <v>3345</v>
      </c>
    </row>
    <row r="19332" ht="22.5" customHeight="1">
      <c r="B19332" s="42"/>
      <c r="C19332" s="42"/>
      <c r="D19332" s="42"/>
      <c r="E19332" s="42"/>
      <c r="F19332" s="42"/>
      <c r="G19332" s="42"/>
      <c r="H19332" s="42">
        <f t="shared" si="1"/>
        <v>3345</v>
      </c>
    </row>
    <row r="19333" ht="22.5" customHeight="1">
      <c r="B19333" s="42"/>
      <c r="C19333" s="42"/>
      <c r="D19333" s="42"/>
      <c r="E19333" s="42"/>
      <c r="F19333" s="42"/>
      <c r="G19333" s="42"/>
      <c r="H19333" s="42">
        <f t="shared" si="1"/>
        <v>3345</v>
      </c>
    </row>
    <row r="19334" ht="22.5" customHeight="1">
      <c r="B19334" s="42"/>
      <c r="C19334" s="42"/>
      <c r="D19334" s="42"/>
      <c r="E19334" s="42"/>
      <c r="F19334" s="42"/>
      <c r="G19334" s="42"/>
      <c r="H19334" s="42">
        <f t="shared" si="1"/>
        <v>3345</v>
      </c>
    </row>
    <row r="19335" ht="22.5" customHeight="1">
      <c r="B19335" s="42"/>
      <c r="C19335" s="42"/>
      <c r="D19335" s="42"/>
      <c r="E19335" s="42"/>
      <c r="F19335" s="42"/>
      <c r="G19335" s="42"/>
      <c r="H19335" s="42">
        <f t="shared" si="1"/>
        <v>3345</v>
      </c>
    </row>
    <row r="19336" ht="22.5" customHeight="1">
      <c r="B19336" s="42"/>
      <c r="C19336" s="42"/>
      <c r="D19336" s="42"/>
      <c r="E19336" s="42"/>
      <c r="F19336" s="42"/>
      <c r="G19336" s="42"/>
      <c r="H19336" s="42">
        <f t="shared" si="1"/>
        <v>3345</v>
      </c>
    </row>
    <row r="19337" ht="22.5" customHeight="1">
      <c r="B19337" s="42"/>
      <c r="C19337" s="42"/>
      <c r="D19337" s="42"/>
      <c r="E19337" s="42"/>
      <c r="F19337" s="42"/>
      <c r="G19337" s="42"/>
      <c r="H19337" s="42">
        <f t="shared" si="1"/>
        <v>3345</v>
      </c>
    </row>
    <row r="19338" ht="22.5" customHeight="1">
      <c r="B19338" s="42"/>
      <c r="C19338" s="42"/>
      <c r="D19338" s="42"/>
      <c r="E19338" s="42"/>
      <c r="F19338" s="42"/>
      <c r="G19338" s="42"/>
      <c r="H19338" s="42">
        <f t="shared" si="1"/>
        <v>3345</v>
      </c>
    </row>
    <row r="19339" ht="22.5" customHeight="1">
      <c r="B19339" s="42"/>
      <c r="C19339" s="42"/>
      <c r="D19339" s="42"/>
      <c r="E19339" s="42"/>
      <c r="F19339" s="42"/>
      <c r="G19339" s="42"/>
      <c r="H19339" s="42">
        <f t="shared" si="1"/>
        <v>3345</v>
      </c>
    </row>
    <row r="19340" ht="22.5" customHeight="1">
      <c r="B19340" s="42"/>
      <c r="C19340" s="42"/>
      <c r="D19340" s="42"/>
      <c r="E19340" s="42"/>
      <c r="F19340" s="42"/>
      <c r="G19340" s="42"/>
      <c r="H19340" s="42">
        <f t="shared" si="1"/>
        <v>3345</v>
      </c>
    </row>
    <row r="19341" ht="22.5" customHeight="1">
      <c r="B19341" s="42"/>
      <c r="C19341" s="42"/>
      <c r="D19341" s="42"/>
      <c r="E19341" s="42"/>
      <c r="F19341" s="42"/>
      <c r="G19341" s="42"/>
      <c r="H19341" s="42">
        <f t="shared" si="1"/>
        <v>3345</v>
      </c>
    </row>
    <row r="19342" ht="22.5" customHeight="1">
      <c r="B19342" s="42"/>
      <c r="C19342" s="42"/>
      <c r="D19342" s="42"/>
      <c r="E19342" s="42"/>
      <c r="F19342" s="42"/>
      <c r="G19342" s="42"/>
      <c r="H19342" s="42">
        <f t="shared" si="1"/>
        <v>3345</v>
      </c>
    </row>
    <row r="19343" ht="22.5" customHeight="1">
      <c r="B19343" s="42"/>
      <c r="C19343" s="42"/>
      <c r="D19343" s="42"/>
      <c r="E19343" s="42"/>
      <c r="F19343" s="42"/>
      <c r="G19343" s="42"/>
      <c r="H19343" s="42">
        <f t="shared" si="1"/>
        <v>3345</v>
      </c>
    </row>
    <row r="19344" ht="22.5" customHeight="1">
      <c r="B19344" s="42"/>
      <c r="C19344" s="42"/>
      <c r="D19344" s="42"/>
      <c r="E19344" s="42"/>
      <c r="F19344" s="42"/>
      <c r="G19344" s="42"/>
      <c r="H19344" s="42">
        <f t="shared" si="1"/>
        <v>3345</v>
      </c>
    </row>
    <row r="19345" ht="22.5" customHeight="1">
      <c r="B19345" s="42"/>
      <c r="C19345" s="42"/>
      <c r="D19345" s="42"/>
      <c r="E19345" s="42"/>
      <c r="F19345" s="42"/>
      <c r="G19345" s="42"/>
      <c r="H19345" s="42">
        <f t="shared" si="1"/>
        <v>3345</v>
      </c>
    </row>
    <row r="19346" ht="22.5" customHeight="1">
      <c r="B19346" s="42"/>
      <c r="C19346" s="42"/>
      <c r="D19346" s="42"/>
      <c r="E19346" s="42"/>
      <c r="F19346" s="42"/>
      <c r="G19346" s="42"/>
      <c r="H19346" s="42">
        <f t="shared" si="1"/>
        <v>3345</v>
      </c>
    </row>
    <row r="19347" ht="22.5" customHeight="1">
      <c r="B19347" s="42"/>
      <c r="C19347" s="42"/>
      <c r="D19347" s="42"/>
      <c r="E19347" s="42"/>
      <c r="F19347" s="42"/>
      <c r="G19347" s="42"/>
      <c r="H19347" s="42">
        <f t="shared" si="1"/>
        <v>3345</v>
      </c>
    </row>
    <row r="19348" ht="22.5" customHeight="1">
      <c r="B19348" s="42"/>
      <c r="C19348" s="42"/>
      <c r="D19348" s="42"/>
      <c r="E19348" s="42"/>
      <c r="F19348" s="42"/>
      <c r="G19348" s="42"/>
      <c r="H19348" s="42">
        <f t="shared" si="1"/>
        <v>3345</v>
      </c>
    </row>
    <row r="19349" ht="22.5" customHeight="1">
      <c r="B19349" s="42"/>
      <c r="C19349" s="42"/>
      <c r="D19349" s="42"/>
      <c r="E19349" s="42"/>
      <c r="F19349" s="42"/>
      <c r="G19349" s="42"/>
      <c r="H19349" s="42">
        <f t="shared" si="1"/>
        <v>3345</v>
      </c>
    </row>
    <row r="19350" ht="22.5" customHeight="1">
      <c r="B19350" s="42"/>
      <c r="C19350" s="42"/>
      <c r="D19350" s="42"/>
      <c r="E19350" s="42"/>
      <c r="F19350" s="42"/>
      <c r="G19350" s="42"/>
      <c r="H19350" s="42">
        <f t="shared" si="1"/>
        <v>3345</v>
      </c>
    </row>
    <row r="19351" ht="22.5" customHeight="1">
      <c r="B19351" s="42"/>
      <c r="C19351" s="42"/>
      <c r="D19351" s="42"/>
      <c r="E19351" s="42"/>
      <c r="F19351" s="42"/>
      <c r="G19351" s="42"/>
      <c r="H19351" s="42">
        <f t="shared" si="1"/>
        <v>3345</v>
      </c>
    </row>
    <row r="19352" ht="22.5" customHeight="1">
      <c r="B19352" s="42"/>
      <c r="C19352" s="42"/>
      <c r="D19352" s="42"/>
      <c r="E19352" s="42"/>
      <c r="F19352" s="42"/>
      <c r="G19352" s="42"/>
      <c r="H19352" s="42">
        <f t="shared" si="1"/>
        <v>3345</v>
      </c>
    </row>
    <row r="19353" ht="22.5" customHeight="1">
      <c r="B19353" s="42"/>
      <c r="C19353" s="42"/>
      <c r="D19353" s="42"/>
      <c r="E19353" s="42"/>
      <c r="F19353" s="42"/>
      <c r="G19353" s="42"/>
      <c r="H19353" s="42">
        <f t="shared" si="1"/>
        <v>3345</v>
      </c>
    </row>
    <row r="19354" ht="22.5" customHeight="1">
      <c r="B19354" s="42"/>
      <c r="C19354" s="42"/>
      <c r="D19354" s="42"/>
      <c r="E19354" s="42"/>
      <c r="F19354" s="42"/>
      <c r="G19354" s="42"/>
      <c r="H19354" s="42">
        <f t="shared" si="1"/>
        <v>3345</v>
      </c>
    </row>
    <row r="19355" ht="22.5" customHeight="1">
      <c r="B19355" s="42"/>
      <c r="C19355" s="42"/>
      <c r="D19355" s="42"/>
      <c r="E19355" s="42"/>
      <c r="F19355" s="42"/>
      <c r="G19355" s="42"/>
      <c r="H19355" s="42">
        <f t="shared" si="1"/>
        <v>3345</v>
      </c>
    </row>
    <row r="19356" ht="22.5" customHeight="1">
      <c r="B19356" s="42"/>
      <c r="C19356" s="42"/>
      <c r="D19356" s="42"/>
      <c r="E19356" s="42"/>
      <c r="F19356" s="42"/>
      <c r="G19356" s="42"/>
      <c r="H19356" s="42">
        <f t="shared" si="1"/>
        <v>3345</v>
      </c>
    </row>
    <row r="19357" ht="22.5" customHeight="1">
      <c r="B19357" s="42"/>
      <c r="C19357" s="42"/>
      <c r="D19357" s="42"/>
      <c r="E19357" s="42"/>
      <c r="F19357" s="42"/>
      <c r="G19357" s="42"/>
      <c r="H19357" s="42">
        <f t="shared" si="1"/>
        <v>3345</v>
      </c>
    </row>
    <row r="19358" ht="22.5" customHeight="1">
      <c r="B19358" s="42"/>
      <c r="C19358" s="42"/>
      <c r="D19358" s="42"/>
      <c r="E19358" s="42"/>
      <c r="F19358" s="42"/>
      <c r="G19358" s="42"/>
      <c r="H19358" s="42">
        <f t="shared" si="1"/>
        <v>3345</v>
      </c>
    </row>
    <row r="19359" ht="22.5" customHeight="1">
      <c r="B19359" s="42"/>
      <c r="C19359" s="42"/>
      <c r="D19359" s="42"/>
      <c r="E19359" s="42"/>
      <c r="F19359" s="42"/>
      <c r="G19359" s="42"/>
      <c r="H19359" s="42">
        <f t="shared" si="1"/>
        <v>3345</v>
      </c>
    </row>
    <row r="19360" ht="22.5" customHeight="1">
      <c r="B19360" s="42"/>
      <c r="C19360" s="42"/>
      <c r="D19360" s="42"/>
      <c r="E19360" s="42"/>
      <c r="F19360" s="42"/>
      <c r="G19360" s="42"/>
      <c r="H19360" s="42">
        <f t="shared" si="1"/>
        <v>3345</v>
      </c>
    </row>
    <row r="19361" ht="22.5" customHeight="1">
      <c r="B19361" s="42"/>
      <c r="C19361" s="42"/>
      <c r="D19361" s="42"/>
      <c r="E19361" s="42"/>
      <c r="F19361" s="42"/>
      <c r="G19361" s="42"/>
      <c r="H19361" s="42">
        <f t="shared" si="1"/>
        <v>3345</v>
      </c>
    </row>
    <row r="19362" ht="22.5" customHeight="1">
      <c r="B19362" s="42"/>
      <c r="C19362" s="42"/>
      <c r="D19362" s="42"/>
      <c r="E19362" s="42"/>
      <c r="F19362" s="42"/>
      <c r="G19362" s="42"/>
      <c r="H19362" s="42">
        <f t="shared" si="1"/>
        <v>3345</v>
      </c>
    </row>
    <row r="19363" ht="22.5" customHeight="1">
      <c r="B19363" s="42"/>
      <c r="C19363" s="42"/>
      <c r="D19363" s="42"/>
      <c r="E19363" s="42"/>
      <c r="F19363" s="42"/>
      <c r="G19363" s="42"/>
      <c r="H19363" s="42">
        <f t="shared" si="1"/>
        <v>3345</v>
      </c>
    </row>
    <row r="19364" ht="22.5" customHeight="1">
      <c r="B19364" s="42"/>
      <c r="C19364" s="42"/>
      <c r="D19364" s="42"/>
      <c r="E19364" s="42"/>
      <c r="F19364" s="42"/>
      <c r="G19364" s="42"/>
      <c r="H19364" s="42">
        <f t="shared" si="1"/>
        <v>3345</v>
      </c>
    </row>
    <row r="19365" ht="22.5" customHeight="1">
      <c r="B19365" s="42"/>
      <c r="C19365" s="42"/>
      <c r="D19365" s="42"/>
      <c r="E19365" s="42"/>
      <c r="F19365" s="42"/>
      <c r="G19365" s="42"/>
      <c r="H19365" s="42">
        <f t="shared" si="1"/>
        <v>3345</v>
      </c>
    </row>
    <row r="19366" ht="22.5" customHeight="1">
      <c r="B19366" s="42"/>
      <c r="C19366" s="42"/>
      <c r="D19366" s="42"/>
      <c r="E19366" s="42"/>
      <c r="F19366" s="42"/>
      <c r="G19366" s="42"/>
      <c r="H19366" s="42">
        <f t="shared" si="1"/>
        <v>3345</v>
      </c>
    </row>
    <row r="19367" ht="22.5" customHeight="1">
      <c r="B19367" s="42"/>
      <c r="C19367" s="42"/>
      <c r="D19367" s="42"/>
      <c r="E19367" s="42"/>
      <c r="F19367" s="42"/>
      <c r="G19367" s="42"/>
      <c r="H19367" s="42">
        <f t="shared" si="1"/>
        <v>3345</v>
      </c>
    </row>
    <row r="19368" ht="22.5" customHeight="1">
      <c r="B19368" s="42"/>
      <c r="C19368" s="42"/>
      <c r="D19368" s="42"/>
      <c r="E19368" s="42"/>
      <c r="F19368" s="42"/>
      <c r="G19368" s="42"/>
      <c r="H19368" s="42">
        <f t="shared" si="1"/>
        <v>3345</v>
      </c>
    </row>
    <row r="19369" ht="22.5" customHeight="1">
      <c r="B19369" s="42"/>
      <c r="C19369" s="42"/>
      <c r="D19369" s="42"/>
      <c r="E19369" s="42"/>
      <c r="F19369" s="42"/>
      <c r="G19369" s="42"/>
      <c r="H19369" s="42">
        <f t="shared" si="1"/>
        <v>3345</v>
      </c>
    </row>
    <row r="19370" ht="22.5" customHeight="1">
      <c r="B19370" s="42"/>
      <c r="C19370" s="42"/>
      <c r="D19370" s="42"/>
      <c r="E19370" s="42"/>
      <c r="F19370" s="42"/>
      <c r="G19370" s="42"/>
      <c r="H19370" s="42">
        <f t="shared" si="1"/>
        <v>3345</v>
      </c>
    </row>
    <row r="19371" ht="22.5" customHeight="1">
      <c r="B19371" s="42"/>
      <c r="C19371" s="42"/>
      <c r="D19371" s="42"/>
      <c r="E19371" s="42"/>
      <c r="F19371" s="42"/>
      <c r="G19371" s="42"/>
      <c r="H19371" s="42">
        <f t="shared" si="1"/>
        <v>3345</v>
      </c>
    </row>
    <row r="19372" ht="22.5" customHeight="1">
      <c r="B19372" s="42"/>
      <c r="C19372" s="42"/>
      <c r="D19372" s="42"/>
      <c r="E19372" s="42"/>
      <c r="F19372" s="42"/>
      <c r="G19372" s="42"/>
      <c r="H19372" s="42">
        <f t="shared" si="1"/>
        <v>3345</v>
      </c>
    </row>
    <row r="19373" ht="22.5" customHeight="1">
      <c r="B19373" s="42"/>
      <c r="C19373" s="42"/>
      <c r="D19373" s="42"/>
      <c r="E19373" s="42"/>
      <c r="F19373" s="42"/>
      <c r="G19373" s="42"/>
      <c r="H19373" s="42">
        <f t="shared" si="1"/>
        <v>3345</v>
      </c>
    </row>
    <row r="19374" ht="22.5" customHeight="1">
      <c r="B19374" s="42"/>
      <c r="C19374" s="42"/>
      <c r="D19374" s="42"/>
      <c r="E19374" s="42"/>
      <c r="F19374" s="42"/>
      <c r="G19374" s="42"/>
      <c r="H19374" s="42">
        <f t="shared" si="1"/>
        <v>3345</v>
      </c>
    </row>
    <row r="19375" ht="22.5" customHeight="1">
      <c r="B19375" s="42"/>
      <c r="C19375" s="42"/>
      <c r="D19375" s="42"/>
      <c r="E19375" s="42"/>
      <c r="F19375" s="42"/>
      <c r="G19375" s="42"/>
      <c r="H19375" s="42">
        <f t="shared" si="1"/>
        <v>3345</v>
      </c>
    </row>
    <row r="19376" ht="22.5" customHeight="1">
      <c r="B19376" s="42"/>
      <c r="C19376" s="42"/>
      <c r="D19376" s="42"/>
      <c r="E19376" s="42"/>
      <c r="F19376" s="42"/>
      <c r="G19376" s="42"/>
      <c r="H19376" s="42">
        <f t="shared" si="1"/>
        <v>3345</v>
      </c>
    </row>
    <row r="19377" ht="22.5" customHeight="1">
      <c r="B19377" s="42"/>
      <c r="C19377" s="42"/>
      <c r="D19377" s="42"/>
      <c r="E19377" s="42"/>
      <c r="F19377" s="42"/>
      <c r="G19377" s="42"/>
      <c r="H19377" s="42">
        <f t="shared" si="1"/>
        <v>3345</v>
      </c>
    </row>
    <row r="19378" ht="22.5" customHeight="1">
      <c r="B19378" s="42"/>
      <c r="C19378" s="42"/>
      <c r="D19378" s="42"/>
      <c r="E19378" s="42"/>
      <c r="F19378" s="42"/>
      <c r="G19378" s="42"/>
      <c r="H19378" s="42">
        <f t="shared" si="1"/>
        <v>3345</v>
      </c>
    </row>
    <row r="19379" ht="22.5" customHeight="1">
      <c r="B19379" s="42"/>
      <c r="C19379" s="42"/>
      <c r="D19379" s="42"/>
      <c r="E19379" s="42"/>
      <c r="F19379" s="42"/>
      <c r="G19379" s="42"/>
      <c r="H19379" s="42">
        <f t="shared" si="1"/>
        <v>3345</v>
      </c>
    </row>
    <row r="19380" ht="22.5" customHeight="1">
      <c r="B19380" s="42"/>
      <c r="C19380" s="42"/>
      <c r="D19380" s="42"/>
      <c r="E19380" s="42"/>
      <c r="F19380" s="42"/>
      <c r="G19380" s="42"/>
      <c r="H19380" s="42">
        <f t="shared" si="1"/>
        <v>3345</v>
      </c>
    </row>
    <row r="19381" ht="22.5" customHeight="1">
      <c r="B19381" s="42"/>
      <c r="C19381" s="42"/>
      <c r="D19381" s="42"/>
      <c r="E19381" s="42"/>
      <c r="F19381" s="42"/>
      <c r="G19381" s="42"/>
      <c r="H19381" s="42">
        <f t="shared" si="1"/>
        <v>3345</v>
      </c>
    </row>
    <row r="19382" ht="22.5" customHeight="1">
      <c r="B19382" s="42"/>
      <c r="C19382" s="42"/>
      <c r="D19382" s="42"/>
      <c r="E19382" s="42"/>
      <c r="F19382" s="42"/>
      <c r="G19382" s="42"/>
      <c r="H19382" s="42">
        <f t="shared" si="1"/>
        <v>3345</v>
      </c>
    </row>
    <row r="19383" ht="22.5" customHeight="1">
      <c r="B19383" s="42"/>
      <c r="C19383" s="42"/>
      <c r="D19383" s="42"/>
      <c r="E19383" s="42"/>
      <c r="F19383" s="42"/>
      <c r="G19383" s="42"/>
      <c r="H19383" s="42">
        <f t="shared" si="1"/>
        <v>3345</v>
      </c>
    </row>
    <row r="19384" ht="22.5" customHeight="1">
      <c r="B19384" s="42"/>
      <c r="C19384" s="42"/>
      <c r="D19384" s="42"/>
      <c r="E19384" s="42"/>
      <c r="F19384" s="42"/>
      <c r="G19384" s="42"/>
      <c r="H19384" s="42">
        <f t="shared" si="1"/>
        <v>3345</v>
      </c>
    </row>
    <row r="19385" ht="22.5" customHeight="1">
      <c r="B19385" s="42"/>
      <c r="C19385" s="42"/>
      <c r="D19385" s="42"/>
      <c r="E19385" s="42"/>
      <c r="F19385" s="42"/>
      <c r="G19385" s="42"/>
      <c r="H19385" s="42">
        <f t="shared" si="1"/>
        <v>3345</v>
      </c>
    </row>
    <row r="19386" ht="22.5" customHeight="1">
      <c r="B19386" s="42"/>
      <c r="C19386" s="42"/>
      <c r="D19386" s="42"/>
      <c r="E19386" s="42"/>
      <c r="F19386" s="42"/>
      <c r="G19386" s="42"/>
      <c r="H19386" s="42">
        <f t="shared" si="1"/>
        <v>3345</v>
      </c>
    </row>
    <row r="19387" ht="22.5" customHeight="1">
      <c r="B19387" s="42"/>
      <c r="C19387" s="42"/>
      <c r="D19387" s="42"/>
      <c r="E19387" s="42"/>
      <c r="F19387" s="42"/>
      <c r="G19387" s="42"/>
      <c r="H19387" s="42">
        <f t="shared" si="1"/>
        <v>3345</v>
      </c>
    </row>
    <row r="19388" ht="22.5" customHeight="1">
      <c r="B19388" s="42"/>
      <c r="C19388" s="42"/>
      <c r="D19388" s="42"/>
      <c r="E19388" s="42"/>
      <c r="F19388" s="42"/>
      <c r="G19388" s="42"/>
      <c r="H19388" s="42">
        <f t="shared" si="1"/>
        <v>3345</v>
      </c>
    </row>
    <row r="19389" ht="22.5" customHeight="1">
      <c r="B19389" s="42"/>
      <c r="C19389" s="42"/>
      <c r="D19389" s="42"/>
      <c r="E19389" s="42"/>
      <c r="F19389" s="42"/>
      <c r="G19389" s="42"/>
      <c r="H19389" s="42">
        <f t="shared" si="1"/>
        <v>3345</v>
      </c>
    </row>
    <row r="19390" ht="22.5" customHeight="1">
      <c r="B19390" s="42"/>
      <c r="C19390" s="42"/>
      <c r="D19390" s="42"/>
      <c r="E19390" s="42"/>
      <c r="F19390" s="42"/>
      <c r="G19390" s="42"/>
      <c r="H19390" s="42">
        <f t="shared" si="1"/>
        <v>3345</v>
      </c>
    </row>
    <row r="19391" ht="22.5" customHeight="1">
      <c r="B19391" s="42"/>
      <c r="C19391" s="42"/>
      <c r="D19391" s="42"/>
      <c r="E19391" s="42"/>
      <c r="F19391" s="42"/>
      <c r="G19391" s="42"/>
      <c r="H19391" s="42">
        <f t="shared" si="1"/>
        <v>3345</v>
      </c>
    </row>
    <row r="19392" ht="22.5" customHeight="1">
      <c r="B19392" s="42"/>
      <c r="C19392" s="42"/>
      <c r="D19392" s="42"/>
      <c r="E19392" s="42"/>
      <c r="F19392" s="42"/>
      <c r="G19392" s="42"/>
      <c r="H19392" s="42">
        <f t="shared" si="1"/>
        <v>3345</v>
      </c>
    </row>
    <row r="19393" ht="22.5" customHeight="1">
      <c r="B19393" s="42"/>
      <c r="C19393" s="42"/>
      <c r="D19393" s="42"/>
      <c r="E19393" s="42"/>
      <c r="F19393" s="42"/>
      <c r="G19393" s="42"/>
      <c r="H19393" s="42">
        <f t="shared" si="1"/>
        <v>3345</v>
      </c>
    </row>
    <row r="19394" ht="22.5" customHeight="1">
      <c r="B19394" s="42"/>
      <c r="C19394" s="42"/>
      <c r="D19394" s="42"/>
      <c r="E19394" s="42"/>
      <c r="F19394" s="42"/>
      <c r="G19394" s="42"/>
      <c r="H19394" s="42">
        <f t="shared" si="1"/>
        <v>3345</v>
      </c>
    </row>
    <row r="19395" ht="22.5" customHeight="1">
      <c r="B19395" s="42"/>
      <c r="C19395" s="42"/>
      <c r="D19395" s="42"/>
      <c r="E19395" s="42"/>
      <c r="F19395" s="42"/>
      <c r="G19395" s="42"/>
      <c r="H19395" s="42">
        <f t="shared" si="1"/>
        <v>3345</v>
      </c>
    </row>
    <row r="19396" ht="22.5" customHeight="1">
      <c r="B19396" s="42"/>
      <c r="C19396" s="42"/>
      <c r="D19396" s="42"/>
      <c r="E19396" s="42"/>
      <c r="F19396" s="42"/>
      <c r="G19396" s="42"/>
      <c r="H19396" s="42">
        <f t="shared" si="1"/>
        <v>3345</v>
      </c>
    </row>
    <row r="19397" ht="22.5" customHeight="1">
      <c r="B19397" s="42"/>
      <c r="C19397" s="42"/>
      <c r="D19397" s="42"/>
      <c r="E19397" s="42"/>
      <c r="F19397" s="42"/>
      <c r="G19397" s="42"/>
      <c r="H19397" s="42">
        <f t="shared" si="1"/>
        <v>3345</v>
      </c>
    </row>
    <row r="19398" ht="22.5" customHeight="1">
      <c r="B19398" s="42"/>
      <c r="C19398" s="42"/>
      <c r="D19398" s="42"/>
      <c r="E19398" s="42"/>
      <c r="F19398" s="42"/>
      <c r="G19398" s="42"/>
      <c r="H19398" s="42">
        <f t="shared" si="1"/>
        <v>3345</v>
      </c>
    </row>
    <row r="19399" ht="22.5" customHeight="1">
      <c r="B19399" s="42"/>
      <c r="C19399" s="42"/>
      <c r="D19399" s="42"/>
      <c r="E19399" s="42"/>
      <c r="F19399" s="42"/>
      <c r="G19399" s="42"/>
      <c r="H19399" s="42">
        <f t="shared" si="1"/>
        <v>3345</v>
      </c>
    </row>
    <row r="19400" ht="22.5" customHeight="1">
      <c r="B19400" s="42"/>
      <c r="C19400" s="42"/>
      <c r="D19400" s="42"/>
      <c r="E19400" s="42"/>
      <c r="F19400" s="42"/>
      <c r="G19400" s="42"/>
      <c r="H19400" s="42">
        <f t="shared" si="1"/>
        <v>3345</v>
      </c>
    </row>
    <row r="19401" ht="22.5" customHeight="1">
      <c r="B19401" s="42"/>
      <c r="C19401" s="42"/>
      <c r="D19401" s="42"/>
      <c r="E19401" s="42"/>
      <c r="F19401" s="42"/>
      <c r="G19401" s="42"/>
      <c r="H19401" s="42">
        <f t="shared" si="1"/>
        <v>3345</v>
      </c>
    </row>
    <row r="19402" ht="22.5" customHeight="1">
      <c r="B19402" s="42"/>
      <c r="C19402" s="42"/>
      <c r="D19402" s="42"/>
      <c r="E19402" s="42"/>
      <c r="F19402" s="42"/>
      <c r="G19402" s="42"/>
      <c r="H19402" s="42">
        <f t="shared" si="1"/>
        <v>3345</v>
      </c>
    </row>
    <row r="19403" ht="22.5" customHeight="1">
      <c r="B19403" s="42"/>
      <c r="C19403" s="42"/>
      <c r="D19403" s="42"/>
      <c r="E19403" s="42"/>
      <c r="F19403" s="42"/>
      <c r="G19403" s="42"/>
      <c r="H19403" s="42">
        <f t="shared" si="1"/>
        <v>3345</v>
      </c>
    </row>
    <row r="19404" ht="22.5" customHeight="1">
      <c r="B19404" s="42"/>
      <c r="C19404" s="42"/>
      <c r="D19404" s="42"/>
      <c r="E19404" s="42"/>
      <c r="F19404" s="42"/>
      <c r="G19404" s="42"/>
      <c r="H19404" s="42">
        <f t="shared" si="1"/>
        <v>3345</v>
      </c>
    </row>
    <row r="19405" ht="22.5" customHeight="1">
      <c r="B19405" s="42"/>
      <c r="C19405" s="42"/>
      <c r="D19405" s="42"/>
      <c r="E19405" s="42"/>
      <c r="F19405" s="42"/>
      <c r="G19405" s="42"/>
      <c r="H19405" s="42">
        <f t="shared" si="1"/>
        <v>3345</v>
      </c>
    </row>
    <row r="19406" ht="22.5" customHeight="1">
      <c r="B19406" s="42"/>
      <c r="C19406" s="42"/>
      <c r="D19406" s="42"/>
      <c r="E19406" s="42"/>
      <c r="F19406" s="42"/>
      <c r="G19406" s="42"/>
      <c r="H19406" s="42">
        <f t="shared" si="1"/>
        <v>3345</v>
      </c>
    </row>
    <row r="19407" ht="22.5" customHeight="1">
      <c r="B19407" s="42"/>
      <c r="C19407" s="42"/>
      <c r="D19407" s="42"/>
      <c r="E19407" s="42"/>
      <c r="F19407" s="42"/>
      <c r="G19407" s="42"/>
      <c r="H19407" s="42">
        <f t="shared" si="1"/>
        <v>3345</v>
      </c>
    </row>
    <row r="19408" ht="22.5" customHeight="1">
      <c r="B19408" s="42"/>
      <c r="C19408" s="42"/>
      <c r="D19408" s="42"/>
      <c r="E19408" s="42"/>
      <c r="F19408" s="42"/>
      <c r="G19408" s="42"/>
      <c r="H19408" s="42">
        <f t="shared" si="1"/>
        <v>3345</v>
      </c>
    </row>
    <row r="19409" ht="22.5" customHeight="1">
      <c r="B19409" s="42"/>
      <c r="C19409" s="42"/>
      <c r="D19409" s="42"/>
      <c r="E19409" s="42"/>
      <c r="F19409" s="42"/>
      <c r="G19409" s="42"/>
      <c r="H19409" s="42">
        <f t="shared" si="1"/>
        <v>3345</v>
      </c>
    </row>
    <row r="19410" ht="22.5" customHeight="1">
      <c r="B19410" s="42"/>
      <c r="C19410" s="42"/>
      <c r="D19410" s="42"/>
      <c r="E19410" s="42"/>
      <c r="F19410" s="42"/>
      <c r="G19410" s="42"/>
      <c r="H19410" s="42">
        <f t="shared" si="1"/>
        <v>3345</v>
      </c>
    </row>
    <row r="19411" ht="22.5" customHeight="1">
      <c r="B19411" s="42"/>
      <c r="C19411" s="42"/>
      <c r="D19411" s="42"/>
      <c r="E19411" s="42"/>
      <c r="F19411" s="42"/>
      <c r="G19411" s="42"/>
      <c r="H19411" s="42">
        <f t="shared" si="1"/>
        <v>3345</v>
      </c>
    </row>
    <row r="19412" ht="22.5" customHeight="1">
      <c r="B19412" s="42"/>
      <c r="C19412" s="42"/>
      <c r="D19412" s="42"/>
      <c r="E19412" s="42"/>
      <c r="F19412" s="42"/>
      <c r="G19412" s="42"/>
      <c r="H19412" s="42">
        <f t="shared" si="1"/>
        <v>3345</v>
      </c>
    </row>
    <row r="19413" ht="22.5" customHeight="1">
      <c r="B19413" s="42"/>
      <c r="C19413" s="42"/>
      <c r="D19413" s="42"/>
      <c r="E19413" s="42"/>
      <c r="F19413" s="42"/>
      <c r="G19413" s="42"/>
      <c r="H19413" s="42">
        <f t="shared" si="1"/>
        <v>3345</v>
      </c>
    </row>
    <row r="19414" ht="22.5" customHeight="1">
      <c r="B19414" s="42"/>
      <c r="C19414" s="42"/>
      <c r="D19414" s="42"/>
      <c r="E19414" s="42"/>
      <c r="F19414" s="42"/>
      <c r="G19414" s="42"/>
      <c r="H19414" s="42">
        <f t="shared" si="1"/>
        <v>3345</v>
      </c>
    </row>
    <row r="19415" ht="22.5" customHeight="1">
      <c r="B19415" s="42"/>
      <c r="C19415" s="42"/>
      <c r="D19415" s="42"/>
      <c r="E19415" s="42"/>
      <c r="F19415" s="42"/>
      <c r="G19415" s="42"/>
      <c r="H19415" s="42">
        <f t="shared" si="1"/>
        <v>3345</v>
      </c>
    </row>
    <row r="19416" ht="22.5" customHeight="1">
      <c r="B19416" s="42"/>
      <c r="C19416" s="42"/>
      <c r="D19416" s="42"/>
      <c r="E19416" s="42"/>
      <c r="F19416" s="42"/>
      <c r="G19416" s="42"/>
      <c r="H19416" s="42">
        <f t="shared" si="1"/>
        <v>3345</v>
      </c>
    </row>
    <row r="19417" ht="22.5" customHeight="1">
      <c r="B19417" s="42"/>
      <c r="C19417" s="42"/>
      <c r="D19417" s="42"/>
      <c r="E19417" s="42"/>
      <c r="F19417" s="42"/>
      <c r="G19417" s="42"/>
      <c r="H19417" s="42">
        <f t="shared" si="1"/>
        <v>3345</v>
      </c>
    </row>
    <row r="19418" ht="22.5" customHeight="1">
      <c r="B19418" s="42"/>
      <c r="C19418" s="42"/>
      <c r="D19418" s="42"/>
      <c r="E19418" s="42"/>
      <c r="F19418" s="42"/>
      <c r="G19418" s="42"/>
      <c r="H19418" s="42">
        <f t="shared" si="1"/>
        <v>3345</v>
      </c>
    </row>
    <row r="19419" ht="22.5" customHeight="1">
      <c r="B19419" s="42"/>
      <c r="C19419" s="42"/>
      <c r="D19419" s="42"/>
      <c r="E19419" s="42"/>
      <c r="F19419" s="42"/>
      <c r="G19419" s="42"/>
      <c r="H19419" s="42">
        <f t="shared" si="1"/>
        <v>3345</v>
      </c>
    </row>
    <row r="19420" ht="22.5" customHeight="1">
      <c r="B19420" s="42"/>
      <c r="C19420" s="42"/>
      <c r="D19420" s="42"/>
      <c r="E19420" s="42"/>
      <c r="F19420" s="42"/>
      <c r="G19420" s="42"/>
      <c r="H19420" s="42">
        <f t="shared" si="1"/>
        <v>3345</v>
      </c>
    </row>
    <row r="19421" ht="22.5" customHeight="1">
      <c r="B19421" s="42"/>
      <c r="C19421" s="42"/>
      <c r="D19421" s="42"/>
      <c r="E19421" s="42"/>
      <c r="F19421" s="42"/>
      <c r="G19421" s="42"/>
      <c r="H19421" s="42">
        <f t="shared" si="1"/>
        <v>3345</v>
      </c>
    </row>
    <row r="19422" ht="22.5" customHeight="1">
      <c r="B19422" s="42"/>
      <c r="C19422" s="42"/>
      <c r="D19422" s="42"/>
      <c r="E19422" s="42"/>
      <c r="F19422" s="42"/>
      <c r="G19422" s="42"/>
      <c r="H19422" s="42">
        <f t="shared" si="1"/>
        <v>3345</v>
      </c>
    </row>
    <row r="19423" ht="22.5" customHeight="1">
      <c r="B19423" s="42"/>
      <c r="C19423" s="42"/>
      <c r="D19423" s="42"/>
      <c r="E19423" s="42"/>
      <c r="F19423" s="42"/>
      <c r="G19423" s="42"/>
      <c r="H19423" s="42">
        <f t="shared" si="1"/>
        <v>3345</v>
      </c>
    </row>
    <row r="19424" ht="22.5" customHeight="1">
      <c r="B19424" s="42"/>
      <c r="C19424" s="42"/>
      <c r="D19424" s="42"/>
      <c r="E19424" s="42"/>
      <c r="F19424" s="42"/>
      <c r="G19424" s="42"/>
      <c r="H19424" s="42">
        <f t="shared" si="1"/>
        <v>3345</v>
      </c>
    </row>
    <row r="19425" ht="22.5" customHeight="1">
      <c r="B19425" s="42"/>
      <c r="C19425" s="42"/>
      <c r="D19425" s="42"/>
      <c r="E19425" s="42"/>
      <c r="F19425" s="42"/>
      <c r="G19425" s="42"/>
      <c r="H19425" s="42">
        <f t="shared" si="1"/>
        <v>3345</v>
      </c>
    </row>
    <row r="19426" ht="22.5" customHeight="1">
      <c r="B19426" s="42"/>
      <c r="C19426" s="42"/>
      <c r="D19426" s="42"/>
      <c r="E19426" s="42"/>
      <c r="F19426" s="42"/>
      <c r="G19426" s="42"/>
      <c r="H19426" s="42">
        <f t="shared" si="1"/>
        <v>3345</v>
      </c>
    </row>
    <row r="19427" ht="22.5" customHeight="1">
      <c r="B19427" s="42"/>
      <c r="C19427" s="42"/>
      <c r="D19427" s="42"/>
      <c r="E19427" s="42"/>
      <c r="F19427" s="42"/>
      <c r="G19427" s="42"/>
      <c r="H19427" s="42">
        <f t="shared" si="1"/>
        <v>3345</v>
      </c>
    </row>
    <row r="19428" ht="22.5" customHeight="1">
      <c r="B19428" s="42"/>
      <c r="C19428" s="42"/>
      <c r="D19428" s="42"/>
      <c r="E19428" s="42"/>
      <c r="F19428" s="42"/>
      <c r="G19428" s="42"/>
      <c r="H19428" s="42">
        <f t="shared" si="1"/>
        <v>3345</v>
      </c>
    </row>
    <row r="19429" ht="22.5" customHeight="1">
      <c r="B19429" s="42"/>
      <c r="C19429" s="42"/>
      <c r="D19429" s="42"/>
      <c r="E19429" s="42"/>
      <c r="F19429" s="42"/>
      <c r="G19429" s="42"/>
      <c r="H19429" s="42">
        <f t="shared" si="1"/>
        <v>3345</v>
      </c>
    </row>
    <row r="19430" ht="22.5" customHeight="1">
      <c r="B19430" s="42"/>
      <c r="C19430" s="42"/>
      <c r="D19430" s="42"/>
      <c r="E19430" s="42"/>
      <c r="F19430" s="42"/>
      <c r="G19430" s="42"/>
      <c r="H19430" s="42">
        <f t="shared" si="1"/>
        <v>3345</v>
      </c>
    </row>
    <row r="19431" ht="22.5" customHeight="1">
      <c r="B19431" s="42"/>
      <c r="C19431" s="42"/>
      <c r="D19431" s="42"/>
      <c r="E19431" s="42"/>
      <c r="F19431" s="42"/>
      <c r="G19431" s="42"/>
      <c r="H19431" s="42">
        <f t="shared" si="1"/>
        <v>3345</v>
      </c>
    </row>
    <row r="19432" ht="22.5" customHeight="1">
      <c r="B19432" s="42"/>
      <c r="C19432" s="42"/>
      <c r="D19432" s="42"/>
      <c r="E19432" s="42"/>
      <c r="F19432" s="42"/>
      <c r="G19432" s="42"/>
      <c r="H19432" s="42">
        <f t="shared" si="1"/>
        <v>3345</v>
      </c>
    </row>
    <row r="19433" ht="22.5" customHeight="1">
      <c r="B19433" s="42"/>
      <c r="C19433" s="42"/>
      <c r="D19433" s="42"/>
      <c r="E19433" s="42"/>
      <c r="F19433" s="42"/>
      <c r="G19433" s="42"/>
      <c r="H19433" s="42">
        <f t="shared" si="1"/>
        <v>3345</v>
      </c>
    </row>
    <row r="19434" ht="22.5" customHeight="1">
      <c r="B19434" s="42"/>
      <c r="C19434" s="42"/>
      <c r="D19434" s="42"/>
      <c r="E19434" s="42"/>
      <c r="F19434" s="42"/>
      <c r="G19434" s="42"/>
      <c r="H19434" s="42">
        <f t="shared" si="1"/>
        <v>3345</v>
      </c>
    </row>
    <row r="19435" ht="22.5" customHeight="1">
      <c r="B19435" s="42"/>
      <c r="C19435" s="42"/>
      <c r="D19435" s="42"/>
      <c r="E19435" s="42"/>
      <c r="F19435" s="42"/>
      <c r="G19435" s="42"/>
      <c r="H19435" s="42">
        <f t="shared" si="1"/>
        <v>3345</v>
      </c>
    </row>
    <row r="19436" ht="22.5" customHeight="1">
      <c r="B19436" s="42"/>
      <c r="C19436" s="42"/>
      <c r="D19436" s="42"/>
      <c r="E19436" s="42"/>
      <c r="F19436" s="42"/>
      <c r="G19436" s="42"/>
      <c r="H19436" s="42">
        <f t="shared" si="1"/>
        <v>3345</v>
      </c>
    </row>
    <row r="19437" ht="22.5" customHeight="1">
      <c r="B19437" s="42"/>
      <c r="C19437" s="42"/>
      <c r="D19437" s="42"/>
      <c r="E19437" s="42"/>
      <c r="F19437" s="42"/>
      <c r="G19437" s="42"/>
      <c r="H19437" s="42">
        <f t="shared" si="1"/>
        <v>3345</v>
      </c>
    </row>
    <row r="19438" ht="22.5" customHeight="1">
      <c r="B19438" s="42"/>
      <c r="C19438" s="42"/>
      <c r="D19438" s="42"/>
      <c r="E19438" s="42"/>
      <c r="F19438" s="42"/>
      <c r="G19438" s="42"/>
      <c r="H19438" s="42">
        <f t="shared" si="1"/>
        <v>3345</v>
      </c>
    </row>
    <row r="19439" ht="22.5" customHeight="1">
      <c r="B19439" s="42"/>
      <c r="C19439" s="42"/>
      <c r="D19439" s="42"/>
      <c r="E19439" s="42"/>
      <c r="F19439" s="42"/>
      <c r="G19439" s="42"/>
      <c r="H19439" s="42">
        <f t="shared" si="1"/>
        <v>3345</v>
      </c>
    </row>
    <row r="19440" ht="22.5" customHeight="1">
      <c r="B19440" s="42"/>
      <c r="C19440" s="42"/>
      <c r="D19440" s="42"/>
      <c r="E19440" s="42"/>
      <c r="F19440" s="42"/>
      <c r="G19440" s="42"/>
      <c r="H19440" s="42">
        <f t="shared" si="1"/>
        <v>3345</v>
      </c>
    </row>
    <row r="19441" ht="22.5" customHeight="1">
      <c r="B19441" s="42"/>
      <c r="C19441" s="42"/>
      <c r="D19441" s="42"/>
      <c r="E19441" s="42"/>
      <c r="F19441" s="42"/>
      <c r="G19441" s="42"/>
      <c r="H19441" s="42">
        <f t="shared" si="1"/>
        <v>3345</v>
      </c>
    </row>
    <row r="19442" ht="22.5" customHeight="1">
      <c r="B19442" s="42"/>
      <c r="C19442" s="42"/>
      <c r="D19442" s="42"/>
      <c r="E19442" s="42"/>
      <c r="F19442" s="42"/>
      <c r="G19442" s="42"/>
      <c r="H19442" s="42">
        <f t="shared" si="1"/>
        <v>3345</v>
      </c>
    </row>
    <row r="19443" ht="22.5" customHeight="1">
      <c r="B19443" s="42"/>
      <c r="C19443" s="42"/>
      <c r="D19443" s="42"/>
      <c r="E19443" s="42"/>
      <c r="F19443" s="42"/>
      <c r="G19443" s="42"/>
      <c r="H19443" s="42">
        <f t="shared" si="1"/>
        <v>3345</v>
      </c>
    </row>
    <row r="19444" ht="22.5" customHeight="1">
      <c r="B19444" s="42"/>
      <c r="C19444" s="42"/>
      <c r="D19444" s="42"/>
      <c r="E19444" s="42"/>
      <c r="F19444" s="42"/>
      <c r="G19444" s="42"/>
      <c r="H19444" s="42">
        <f t="shared" si="1"/>
        <v>3345</v>
      </c>
    </row>
    <row r="19445" ht="22.5" customHeight="1">
      <c r="B19445" s="42"/>
      <c r="C19445" s="42"/>
      <c r="D19445" s="42"/>
      <c r="E19445" s="42"/>
      <c r="F19445" s="42"/>
      <c r="G19445" s="42"/>
      <c r="H19445" s="42">
        <f t="shared" si="1"/>
        <v>3345</v>
      </c>
    </row>
    <row r="19446" ht="22.5" customHeight="1">
      <c r="B19446" s="42"/>
      <c r="C19446" s="42"/>
      <c r="D19446" s="42"/>
      <c r="E19446" s="42"/>
      <c r="F19446" s="42"/>
      <c r="G19446" s="42"/>
      <c r="H19446" s="42">
        <f t="shared" si="1"/>
        <v>3345</v>
      </c>
    </row>
    <row r="19447" ht="22.5" customHeight="1">
      <c r="B19447" s="42"/>
      <c r="C19447" s="42"/>
      <c r="D19447" s="42"/>
      <c r="E19447" s="42"/>
      <c r="F19447" s="42"/>
      <c r="G19447" s="42"/>
      <c r="H19447" s="42">
        <f t="shared" si="1"/>
        <v>3345</v>
      </c>
    </row>
    <row r="19448" ht="22.5" customHeight="1">
      <c r="B19448" s="42"/>
      <c r="C19448" s="42"/>
      <c r="D19448" s="42"/>
      <c r="E19448" s="42"/>
      <c r="F19448" s="42"/>
      <c r="G19448" s="42"/>
      <c r="H19448" s="42">
        <f t="shared" si="1"/>
        <v>3345</v>
      </c>
    </row>
    <row r="19449" ht="22.5" customHeight="1">
      <c r="B19449" s="42"/>
      <c r="C19449" s="42"/>
      <c r="D19449" s="42"/>
      <c r="E19449" s="42"/>
      <c r="F19449" s="42"/>
      <c r="G19449" s="42"/>
      <c r="H19449" s="42">
        <f t="shared" si="1"/>
        <v>3345</v>
      </c>
    </row>
    <row r="19450" ht="22.5" customHeight="1">
      <c r="B19450" s="42"/>
      <c r="C19450" s="42"/>
      <c r="D19450" s="42"/>
      <c r="E19450" s="42"/>
      <c r="F19450" s="42"/>
      <c r="G19450" s="42"/>
      <c r="H19450" s="42">
        <f t="shared" si="1"/>
        <v>3345</v>
      </c>
    </row>
    <row r="19451" ht="22.5" customHeight="1">
      <c r="B19451" s="42"/>
      <c r="C19451" s="42"/>
      <c r="D19451" s="42"/>
      <c r="E19451" s="42"/>
      <c r="F19451" s="42"/>
      <c r="G19451" s="42"/>
      <c r="H19451" s="42">
        <f t="shared" si="1"/>
        <v>3345</v>
      </c>
    </row>
    <row r="19452" ht="22.5" customHeight="1">
      <c r="B19452" s="42"/>
      <c r="C19452" s="42"/>
      <c r="D19452" s="42"/>
      <c r="E19452" s="42"/>
      <c r="F19452" s="42"/>
      <c r="G19452" s="42"/>
      <c r="H19452" s="42">
        <f t="shared" si="1"/>
        <v>3345</v>
      </c>
    </row>
    <row r="19453" ht="22.5" customHeight="1">
      <c r="B19453" s="42"/>
      <c r="C19453" s="42"/>
      <c r="D19453" s="42"/>
      <c r="E19453" s="42"/>
      <c r="F19453" s="42"/>
      <c r="G19453" s="42"/>
      <c r="H19453" s="42">
        <f t="shared" si="1"/>
        <v>3345</v>
      </c>
    </row>
    <row r="19454" ht="22.5" customHeight="1">
      <c r="B19454" s="42"/>
      <c r="C19454" s="42"/>
      <c r="D19454" s="42"/>
      <c r="E19454" s="42"/>
      <c r="F19454" s="42"/>
      <c r="G19454" s="42"/>
      <c r="H19454" s="42">
        <f t="shared" si="1"/>
        <v>3345</v>
      </c>
    </row>
    <row r="19455" ht="22.5" customHeight="1">
      <c r="B19455" s="42"/>
      <c r="C19455" s="42"/>
      <c r="D19455" s="42"/>
      <c r="E19455" s="42"/>
      <c r="F19455" s="42"/>
      <c r="G19455" s="42"/>
      <c r="H19455" s="42">
        <f t="shared" si="1"/>
        <v>3345</v>
      </c>
    </row>
    <row r="19456" ht="22.5" customHeight="1">
      <c r="B19456" s="42"/>
      <c r="C19456" s="42"/>
      <c r="D19456" s="42"/>
      <c r="E19456" s="42"/>
      <c r="F19456" s="42"/>
      <c r="G19456" s="42"/>
      <c r="H19456" s="42">
        <f t="shared" si="1"/>
        <v>3345</v>
      </c>
    </row>
    <row r="19457" ht="22.5" customHeight="1">
      <c r="B19457" s="42"/>
      <c r="C19457" s="42"/>
      <c r="D19457" s="42"/>
      <c r="E19457" s="42"/>
      <c r="F19457" s="42"/>
      <c r="G19457" s="42"/>
      <c r="H19457" s="42">
        <f t="shared" si="1"/>
        <v>3345</v>
      </c>
    </row>
    <row r="19458" ht="22.5" customHeight="1">
      <c r="B19458" s="42"/>
      <c r="C19458" s="42"/>
      <c r="D19458" s="42"/>
      <c r="E19458" s="42"/>
      <c r="F19458" s="42"/>
      <c r="G19458" s="42"/>
      <c r="H19458" s="42">
        <f t="shared" si="1"/>
        <v>3345</v>
      </c>
    </row>
    <row r="19459" ht="22.5" customHeight="1">
      <c r="B19459" s="42"/>
      <c r="C19459" s="42"/>
      <c r="D19459" s="42"/>
      <c r="E19459" s="42"/>
      <c r="F19459" s="42"/>
      <c r="G19459" s="42"/>
      <c r="H19459" s="42">
        <f t="shared" si="1"/>
        <v>3345</v>
      </c>
    </row>
    <row r="19460" ht="22.5" customHeight="1">
      <c r="B19460" s="42"/>
      <c r="C19460" s="42"/>
      <c r="D19460" s="42"/>
      <c r="E19460" s="42"/>
      <c r="F19460" s="42"/>
      <c r="G19460" s="42"/>
      <c r="H19460" s="42">
        <f t="shared" si="1"/>
        <v>3345</v>
      </c>
    </row>
    <row r="19461" ht="22.5" customHeight="1">
      <c r="B19461" s="42"/>
      <c r="C19461" s="42"/>
      <c r="D19461" s="42"/>
      <c r="E19461" s="42"/>
      <c r="F19461" s="42"/>
      <c r="G19461" s="42"/>
      <c r="H19461" s="42">
        <f t="shared" si="1"/>
        <v>3345</v>
      </c>
    </row>
    <row r="19462" ht="22.5" customHeight="1">
      <c r="B19462" s="42"/>
      <c r="C19462" s="42"/>
      <c r="D19462" s="42"/>
      <c r="E19462" s="42"/>
      <c r="F19462" s="42"/>
      <c r="G19462" s="42"/>
      <c r="H19462" s="42">
        <f t="shared" si="1"/>
        <v>3345</v>
      </c>
    </row>
    <row r="19463" ht="22.5" customHeight="1">
      <c r="B19463" s="42"/>
      <c r="C19463" s="42"/>
      <c r="D19463" s="42"/>
      <c r="E19463" s="42"/>
      <c r="F19463" s="42"/>
      <c r="G19463" s="42"/>
      <c r="H19463" s="42">
        <f t="shared" si="1"/>
        <v>3345</v>
      </c>
    </row>
    <row r="19464" ht="22.5" customHeight="1">
      <c r="B19464" s="42"/>
      <c r="C19464" s="42"/>
      <c r="D19464" s="42"/>
      <c r="E19464" s="42"/>
      <c r="F19464" s="42"/>
      <c r="G19464" s="42"/>
      <c r="H19464" s="42">
        <f t="shared" si="1"/>
        <v>3345</v>
      </c>
    </row>
    <row r="19465" ht="22.5" customHeight="1">
      <c r="B19465" s="42"/>
      <c r="C19465" s="42"/>
      <c r="D19465" s="42"/>
      <c r="E19465" s="42"/>
      <c r="F19465" s="42"/>
      <c r="G19465" s="42"/>
      <c r="H19465" s="42">
        <f t="shared" si="1"/>
        <v>3345</v>
      </c>
    </row>
    <row r="19466" ht="22.5" customHeight="1">
      <c r="B19466" s="42"/>
      <c r="C19466" s="42"/>
      <c r="D19466" s="42"/>
      <c r="E19466" s="42"/>
      <c r="F19466" s="42"/>
      <c r="G19466" s="42"/>
      <c r="H19466" s="42">
        <f t="shared" si="1"/>
        <v>3345</v>
      </c>
    </row>
    <row r="19467" ht="22.5" customHeight="1">
      <c r="B19467" s="42"/>
      <c r="C19467" s="42"/>
      <c r="D19467" s="42"/>
      <c r="E19467" s="42"/>
      <c r="F19467" s="42"/>
      <c r="G19467" s="42"/>
      <c r="H19467" s="42">
        <f t="shared" si="1"/>
        <v>3345</v>
      </c>
    </row>
    <row r="19468" ht="22.5" customHeight="1">
      <c r="B19468" s="42"/>
      <c r="C19468" s="42"/>
      <c r="D19468" s="42"/>
      <c r="E19468" s="42"/>
      <c r="F19468" s="42"/>
      <c r="G19468" s="42"/>
      <c r="H19468" s="42">
        <f t="shared" si="1"/>
        <v>3345</v>
      </c>
    </row>
    <row r="19469" ht="22.5" customHeight="1">
      <c r="B19469" s="42"/>
      <c r="C19469" s="42"/>
      <c r="D19469" s="42"/>
      <c r="E19469" s="42"/>
      <c r="F19469" s="42"/>
      <c r="G19469" s="42"/>
      <c r="H19469" s="42">
        <f t="shared" si="1"/>
        <v>3345</v>
      </c>
    </row>
    <row r="19470" ht="22.5" customHeight="1">
      <c r="B19470" s="42"/>
      <c r="C19470" s="42"/>
      <c r="D19470" s="42"/>
      <c r="E19470" s="42"/>
      <c r="F19470" s="42"/>
      <c r="G19470" s="42"/>
      <c r="H19470" s="42">
        <f t="shared" si="1"/>
        <v>3345</v>
      </c>
    </row>
    <row r="19471" ht="22.5" customHeight="1">
      <c r="B19471" s="42"/>
      <c r="C19471" s="42"/>
      <c r="D19471" s="42"/>
      <c r="E19471" s="42"/>
      <c r="F19471" s="42"/>
      <c r="G19471" s="42"/>
      <c r="H19471" s="42">
        <f t="shared" si="1"/>
        <v>3345</v>
      </c>
    </row>
    <row r="19472" ht="22.5" customHeight="1">
      <c r="B19472" s="42"/>
      <c r="C19472" s="42"/>
      <c r="D19472" s="42"/>
      <c r="E19472" s="42"/>
      <c r="F19472" s="42"/>
      <c r="G19472" s="42"/>
      <c r="H19472" s="42">
        <f t="shared" si="1"/>
        <v>3345</v>
      </c>
    </row>
    <row r="19473" ht="22.5" customHeight="1">
      <c r="B19473" s="42"/>
      <c r="C19473" s="42"/>
      <c r="D19473" s="42"/>
      <c r="E19473" s="42"/>
      <c r="F19473" s="42"/>
      <c r="G19473" s="42"/>
      <c r="H19473" s="42">
        <f t="shared" si="1"/>
        <v>3345</v>
      </c>
    </row>
    <row r="19474" ht="22.5" customHeight="1">
      <c r="B19474" s="42"/>
      <c r="C19474" s="42"/>
      <c r="D19474" s="42"/>
      <c r="E19474" s="42"/>
      <c r="F19474" s="42"/>
      <c r="G19474" s="42"/>
      <c r="H19474" s="42">
        <f t="shared" si="1"/>
        <v>3345</v>
      </c>
    </row>
    <row r="19475" ht="22.5" customHeight="1">
      <c r="B19475" s="42"/>
      <c r="C19475" s="42"/>
      <c r="D19475" s="42"/>
      <c r="E19475" s="42"/>
      <c r="F19475" s="42"/>
      <c r="G19475" s="42"/>
      <c r="H19475" s="42">
        <f t="shared" si="1"/>
        <v>3345</v>
      </c>
    </row>
    <row r="19476" ht="22.5" customHeight="1">
      <c r="B19476" s="42"/>
      <c r="C19476" s="42"/>
      <c r="D19476" s="42"/>
      <c r="E19476" s="42"/>
      <c r="F19476" s="42"/>
      <c r="G19476" s="42"/>
      <c r="H19476" s="42">
        <f t="shared" si="1"/>
        <v>3345</v>
      </c>
    </row>
    <row r="19477" ht="22.5" customHeight="1">
      <c r="B19477" s="42"/>
      <c r="C19477" s="42"/>
      <c r="D19477" s="42"/>
      <c r="E19477" s="42"/>
      <c r="F19477" s="42"/>
      <c r="G19477" s="42"/>
      <c r="H19477" s="42">
        <f t="shared" si="1"/>
        <v>3345</v>
      </c>
    </row>
    <row r="19478" ht="22.5" customHeight="1">
      <c r="B19478" s="42"/>
      <c r="C19478" s="42"/>
      <c r="D19478" s="42"/>
      <c r="E19478" s="42"/>
      <c r="F19478" s="42"/>
      <c r="G19478" s="42"/>
      <c r="H19478" s="42">
        <f t="shared" si="1"/>
        <v>3345</v>
      </c>
    </row>
    <row r="19479" ht="22.5" customHeight="1">
      <c r="B19479" s="42"/>
      <c r="C19479" s="42"/>
      <c r="D19479" s="42"/>
      <c r="E19479" s="42"/>
      <c r="F19479" s="42"/>
      <c r="G19479" s="42"/>
      <c r="H19479" s="42">
        <f t="shared" si="1"/>
        <v>3345</v>
      </c>
    </row>
    <row r="19480" ht="22.5" customHeight="1">
      <c r="B19480" s="42"/>
      <c r="C19480" s="42"/>
      <c r="D19480" s="42"/>
      <c r="E19480" s="42"/>
      <c r="F19480" s="42"/>
      <c r="G19480" s="42"/>
      <c r="H19480" s="42">
        <f t="shared" si="1"/>
        <v>3345</v>
      </c>
    </row>
    <row r="19481" ht="22.5" customHeight="1">
      <c r="B19481" s="42"/>
      <c r="C19481" s="42"/>
      <c r="D19481" s="42"/>
      <c r="E19481" s="42"/>
      <c r="F19481" s="42"/>
      <c r="G19481" s="42"/>
      <c r="H19481" s="42">
        <f t="shared" si="1"/>
        <v>3345</v>
      </c>
    </row>
    <row r="19482" ht="22.5" customHeight="1">
      <c r="B19482" s="42"/>
      <c r="C19482" s="42"/>
      <c r="D19482" s="42"/>
      <c r="E19482" s="42"/>
      <c r="F19482" s="42"/>
      <c r="G19482" s="42"/>
      <c r="H19482" s="42">
        <f t="shared" si="1"/>
        <v>3345</v>
      </c>
    </row>
    <row r="19483" ht="22.5" customHeight="1">
      <c r="B19483" s="42"/>
      <c r="C19483" s="42"/>
      <c r="D19483" s="42"/>
      <c r="E19483" s="42"/>
      <c r="F19483" s="42"/>
      <c r="G19483" s="42"/>
      <c r="H19483" s="42">
        <f t="shared" si="1"/>
        <v>3345</v>
      </c>
    </row>
    <row r="19484" ht="22.5" customHeight="1">
      <c r="B19484" s="42"/>
      <c r="C19484" s="42"/>
      <c r="D19484" s="42"/>
      <c r="E19484" s="42"/>
      <c r="F19484" s="42"/>
      <c r="G19484" s="42"/>
      <c r="H19484" s="42">
        <f t="shared" si="1"/>
        <v>3345</v>
      </c>
    </row>
    <row r="19485" ht="22.5" customHeight="1">
      <c r="B19485" s="42"/>
      <c r="C19485" s="42"/>
      <c r="D19485" s="42"/>
      <c r="E19485" s="42"/>
      <c r="F19485" s="42"/>
      <c r="G19485" s="42"/>
      <c r="H19485" s="42">
        <f t="shared" si="1"/>
        <v>3345</v>
      </c>
    </row>
    <row r="19486" ht="22.5" customHeight="1">
      <c r="B19486" s="42"/>
      <c r="C19486" s="42"/>
      <c r="D19486" s="42"/>
      <c r="E19486" s="42"/>
      <c r="F19486" s="42"/>
      <c r="G19486" s="42"/>
      <c r="H19486" s="42">
        <f t="shared" si="1"/>
        <v>3345</v>
      </c>
    </row>
    <row r="19487" ht="22.5" customHeight="1">
      <c r="B19487" s="42"/>
      <c r="C19487" s="42"/>
      <c r="D19487" s="42"/>
      <c r="E19487" s="42"/>
      <c r="F19487" s="42"/>
      <c r="G19487" s="42"/>
      <c r="H19487" s="42">
        <f t="shared" si="1"/>
        <v>3345</v>
      </c>
    </row>
    <row r="19488" ht="22.5" customHeight="1">
      <c r="B19488" s="42"/>
      <c r="C19488" s="42"/>
      <c r="D19488" s="42"/>
      <c r="E19488" s="42"/>
      <c r="F19488" s="42"/>
      <c r="G19488" s="42"/>
      <c r="H19488" s="42">
        <f t="shared" si="1"/>
        <v>3345</v>
      </c>
    </row>
    <row r="19489" ht="22.5" customHeight="1">
      <c r="B19489" s="42"/>
      <c r="C19489" s="42"/>
      <c r="D19489" s="42"/>
      <c r="E19489" s="42"/>
      <c r="F19489" s="42"/>
      <c r="G19489" s="42"/>
      <c r="H19489" s="42">
        <f t="shared" si="1"/>
        <v>3345</v>
      </c>
    </row>
    <row r="19490" ht="22.5" customHeight="1">
      <c r="B19490" s="42"/>
      <c r="C19490" s="42"/>
      <c r="D19490" s="42"/>
      <c r="E19490" s="42"/>
      <c r="F19490" s="42"/>
      <c r="G19490" s="42"/>
      <c r="H19490" s="42">
        <f t="shared" si="1"/>
        <v>3345</v>
      </c>
    </row>
    <row r="19491" ht="22.5" customHeight="1">
      <c r="B19491" s="42"/>
      <c r="C19491" s="42"/>
      <c r="D19491" s="42"/>
      <c r="E19491" s="42"/>
      <c r="F19491" s="42"/>
      <c r="G19491" s="42"/>
      <c r="H19491" s="42">
        <f t="shared" si="1"/>
        <v>3345</v>
      </c>
    </row>
    <row r="19492" ht="22.5" customHeight="1">
      <c r="B19492" s="42"/>
      <c r="C19492" s="42"/>
      <c r="D19492" s="42"/>
      <c r="E19492" s="42"/>
      <c r="F19492" s="42"/>
      <c r="G19492" s="42"/>
      <c r="H19492" s="42">
        <f t="shared" si="1"/>
        <v>3345</v>
      </c>
    </row>
    <row r="19493" ht="22.5" customHeight="1">
      <c r="B19493" s="42"/>
      <c r="C19493" s="42"/>
      <c r="D19493" s="42"/>
      <c r="E19493" s="42"/>
      <c r="F19493" s="42"/>
      <c r="G19493" s="42"/>
      <c r="H19493" s="42">
        <f t="shared" si="1"/>
        <v>3345</v>
      </c>
    </row>
    <row r="19494" ht="22.5" customHeight="1">
      <c r="B19494" s="42"/>
      <c r="C19494" s="42"/>
      <c r="D19494" s="42"/>
      <c r="E19494" s="42"/>
      <c r="F19494" s="42"/>
      <c r="G19494" s="42"/>
      <c r="H19494" s="42">
        <f t="shared" si="1"/>
        <v>3345</v>
      </c>
    </row>
    <row r="19495" ht="22.5" customHeight="1">
      <c r="B19495" s="42"/>
      <c r="C19495" s="42"/>
      <c r="D19495" s="42"/>
      <c r="E19495" s="42"/>
      <c r="F19495" s="42"/>
      <c r="G19495" s="42"/>
      <c r="H19495" s="42">
        <f t="shared" si="1"/>
        <v>3345</v>
      </c>
    </row>
    <row r="19496" ht="22.5" customHeight="1">
      <c r="B19496" s="42"/>
      <c r="C19496" s="42"/>
      <c r="D19496" s="42"/>
      <c r="E19496" s="42"/>
      <c r="F19496" s="42"/>
      <c r="G19496" s="42"/>
      <c r="H19496" s="42">
        <f t="shared" si="1"/>
        <v>3345</v>
      </c>
    </row>
    <row r="19497" ht="22.5" customHeight="1">
      <c r="B19497" s="42"/>
      <c r="C19497" s="42"/>
      <c r="D19497" s="42"/>
      <c r="E19497" s="42"/>
      <c r="F19497" s="42"/>
      <c r="G19497" s="42"/>
      <c r="H19497" s="42">
        <f t="shared" si="1"/>
        <v>3345</v>
      </c>
    </row>
    <row r="19498" ht="22.5" customHeight="1">
      <c r="B19498" s="42"/>
      <c r="C19498" s="42"/>
      <c r="D19498" s="42"/>
      <c r="E19498" s="42"/>
      <c r="F19498" s="42"/>
      <c r="G19498" s="42"/>
      <c r="H19498" s="42">
        <f t="shared" si="1"/>
        <v>3345</v>
      </c>
    </row>
    <row r="19499" ht="22.5" customHeight="1">
      <c r="B19499" s="42"/>
      <c r="C19499" s="42"/>
      <c r="D19499" s="42"/>
      <c r="E19499" s="42"/>
      <c r="F19499" s="42"/>
      <c r="G19499" s="42"/>
      <c r="H19499" s="42">
        <f t="shared" si="1"/>
        <v>3345</v>
      </c>
    </row>
    <row r="19500" ht="22.5" customHeight="1">
      <c r="B19500" s="42"/>
      <c r="C19500" s="42"/>
      <c r="D19500" s="42"/>
      <c r="E19500" s="42"/>
      <c r="F19500" s="42"/>
      <c r="G19500" s="42"/>
      <c r="H19500" s="42">
        <f t="shared" si="1"/>
        <v>3345</v>
      </c>
    </row>
    <row r="19501" ht="22.5" customHeight="1">
      <c r="B19501" s="42"/>
      <c r="C19501" s="42"/>
      <c r="D19501" s="42"/>
      <c r="E19501" s="42"/>
      <c r="F19501" s="42"/>
      <c r="G19501" s="42"/>
      <c r="H19501" s="42">
        <f t="shared" si="1"/>
        <v>3345</v>
      </c>
    </row>
    <row r="19502" ht="22.5" customHeight="1">
      <c r="B19502" s="42"/>
      <c r="C19502" s="42"/>
      <c r="D19502" s="42"/>
      <c r="E19502" s="42"/>
      <c r="F19502" s="42"/>
      <c r="G19502" s="42"/>
      <c r="H19502" s="42">
        <f t="shared" si="1"/>
        <v>3345</v>
      </c>
    </row>
    <row r="19503" ht="22.5" customHeight="1">
      <c r="B19503" s="42"/>
      <c r="C19503" s="42"/>
      <c r="D19503" s="42"/>
      <c r="E19503" s="42"/>
      <c r="F19503" s="42"/>
      <c r="G19503" s="42"/>
      <c r="H19503" s="42">
        <f t="shared" si="1"/>
        <v>3345</v>
      </c>
    </row>
    <row r="19504" ht="22.5" customHeight="1">
      <c r="B19504" s="42"/>
      <c r="C19504" s="42"/>
      <c r="D19504" s="42"/>
      <c r="E19504" s="42"/>
      <c r="F19504" s="42"/>
      <c r="G19504" s="42"/>
      <c r="H19504" s="42">
        <f t="shared" si="1"/>
        <v>3345</v>
      </c>
    </row>
    <row r="19505" ht="22.5" customHeight="1">
      <c r="B19505" s="42"/>
      <c r="C19505" s="42"/>
      <c r="D19505" s="42"/>
      <c r="E19505" s="42"/>
      <c r="F19505" s="42"/>
      <c r="G19505" s="42"/>
      <c r="H19505" s="42">
        <f t="shared" si="1"/>
        <v>3345</v>
      </c>
    </row>
    <row r="19506" ht="22.5" customHeight="1">
      <c r="B19506" s="42"/>
      <c r="C19506" s="42"/>
      <c r="D19506" s="42"/>
      <c r="E19506" s="42"/>
      <c r="F19506" s="42"/>
      <c r="G19506" s="42"/>
      <c r="H19506" s="42">
        <f t="shared" si="1"/>
        <v>3345</v>
      </c>
    </row>
    <row r="19507" ht="22.5" customHeight="1">
      <c r="B19507" s="42"/>
      <c r="C19507" s="42"/>
      <c r="D19507" s="42"/>
      <c r="E19507" s="42"/>
      <c r="F19507" s="42"/>
      <c r="G19507" s="42"/>
      <c r="H19507" s="42">
        <f t="shared" si="1"/>
        <v>3345</v>
      </c>
    </row>
    <row r="19508" ht="22.5" customHeight="1">
      <c r="B19508" s="42"/>
      <c r="C19508" s="42"/>
      <c r="D19508" s="42"/>
      <c r="E19508" s="42"/>
      <c r="F19508" s="42"/>
      <c r="G19508" s="42"/>
      <c r="H19508" s="42">
        <f t="shared" si="1"/>
        <v>3345</v>
      </c>
    </row>
    <row r="19509" ht="22.5" customHeight="1">
      <c r="B19509" s="42"/>
      <c r="C19509" s="42"/>
      <c r="D19509" s="42"/>
      <c r="E19509" s="42"/>
      <c r="F19509" s="42"/>
      <c r="G19509" s="42"/>
      <c r="H19509" s="42">
        <f t="shared" si="1"/>
        <v>3345</v>
      </c>
    </row>
    <row r="19510" ht="22.5" customHeight="1">
      <c r="B19510" s="42"/>
      <c r="C19510" s="42"/>
      <c r="D19510" s="42"/>
      <c r="E19510" s="42"/>
      <c r="F19510" s="42"/>
      <c r="G19510" s="42"/>
      <c r="H19510" s="42">
        <f t="shared" si="1"/>
        <v>3345</v>
      </c>
    </row>
    <row r="19511" ht="22.5" customHeight="1">
      <c r="B19511" s="42"/>
      <c r="C19511" s="42"/>
      <c r="D19511" s="42"/>
      <c r="E19511" s="42"/>
      <c r="F19511" s="42"/>
      <c r="G19511" s="42"/>
      <c r="H19511" s="42">
        <f t="shared" si="1"/>
        <v>3345</v>
      </c>
    </row>
    <row r="19512" ht="22.5" customHeight="1">
      <c r="B19512" s="42"/>
      <c r="C19512" s="42"/>
      <c r="D19512" s="42"/>
      <c r="E19512" s="42"/>
      <c r="F19512" s="42"/>
      <c r="G19512" s="42"/>
      <c r="H19512" s="42">
        <f t="shared" si="1"/>
        <v>3345</v>
      </c>
    </row>
    <row r="19513" ht="22.5" customHeight="1">
      <c r="B19513" s="42"/>
      <c r="C19513" s="42"/>
      <c r="D19513" s="42"/>
      <c r="E19513" s="42"/>
      <c r="F19513" s="42"/>
      <c r="G19513" s="42"/>
      <c r="H19513" s="42">
        <f t="shared" si="1"/>
        <v>3345</v>
      </c>
    </row>
    <row r="19514" ht="22.5" customHeight="1">
      <c r="B19514" s="42"/>
      <c r="C19514" s="42"/>
      <c r="D19514" s="42"/>
      <c r="E19514" s="42"/>
      <c r="F19514" s="42"/>
      <c r="G19514" s="42"/>
      <c r="H19514" s="42">
        <f t="shared" si="1"/>
        <v>3345</v>
      </c>
    </row>
    <row r="19515" ht="22.5" customHeight="1">
      <c r="B19515" s="42"/>
      <c r="C19515" s="42"/>
      <c r="D19515" s="42"/>
      <c r="E19515" s="42"/>
      <c r="F19515" s="42"/>
      <c r="G19515" s="42"/>
      <c r="H19515" s="42">
        <f t="shared" si="1"/>
        <v>3345</v>
      </c>
    </row>
    <row r="19516" ht="22.5" customHeight="1">
      <c r="B19516" s="42"/>
      <c r="C19516" s="42"/>
      <c r="D19516" s="42"/>
      <c r="E19516" s="42"/>
      <c r="F19516" s="42"/>
      <c r="G19516" s="42"/>
      <c r="H19516" s="42">
        <f t="shared" si="1"/>
        <v>3345</v>
      </c>
    </row>
    <row r="19517" ht="22.5" customHeight="1">
      <c r="B19517" s="42"/>
      <c r="C19517" s="42"/>
      <c r="D19517" s="42"/>
      <c r="E19517" s="42"/>
      <c r="F19517" s="42"/>
      <c r="G19517" s="42"/>
      <c r="H19517" s="42">
        <f t="shared" si="1"/>
        <v>3345</v>
      </c>
    </row>
    <row r="19518" ht="22.5" customHeight="1">
      <c r="B19518" s="42"/>
      <c r="C19518" s="42"/>
      <c r="D19518" s="42"/>
      <c r="E19518" s="42"/>
      <c r="F19518" s="42"/>
      <c r="G19518" s="42"/>
      <c r="H19518" s="42">
        <f t="shared" si="1"/>
        <v>3345</v>
      </c>
    </row>
    <row r="19519" ht="22.5" customHeight="1">
      <c r="B19519" s="42"/>
      <c r="C19519" s="42"/>
      <c r="D19519" s="42"/>
      <c r="E19519" s="42"/>
      <c r="F19519" s="42"/>
      <c r="G19519" s="42"/>
      <c r="H19519" s="42">
        <f t="shared" si="1"/>
        <v>3345</v>
      </c>
    </row>
    <row r="19520" ht="22.5" customHeight="1">
      <c r="B19520" s="42"/>
      <c r="C19520" s="42"/>
      <c r="D19520" s="42"/>
      <c r="E19520" s="42"/>
      <c r="F19520" s="42"/>
      <c r="G19520" s="42"/>
      <c r="H19520" s="42">
        <f t="shared" si="1"/>
        <v>3345</v>
      </c>
    </row>
    <row r="19521" ht="22.5" customHeight="1">
      <c r="B19521" s="42"/>
      <c r="C19521" s="42"/>
      <c r="D19521" s="42"/>
      <c r="E19521" s="42"/>
      <c r="F19521" s="42"/>
      <c r="G19521" s="42"/>
      <c r="H19521" s="42">
        <f t="shared" si="1"/>
        <v>3345</v>
      </c>
    </row>
    <row r="19522" ht="22.5" customHeight="1">
      <c r="B19522" s="42"/>
      <c r="C19522" s="42"/>
      <c r="D19522" s="42"/>
      <c r="E19522" s="42"/>
      <c r="F19522" s="42"/>
      <c r="G19522" s="42"/>
      <c r="H19522" s="42">
        <f t="shared" si="1"/>
        <v>3345</v>
      </c>
    </row>
    <row r="19523" ht="22.5" customHeight="1">
      <c r="B19523" s="42"/>
      <c r="C19523" s="42"/>
      <c r="D19523" s="42"/>
      <c r="E19523" s="42"/>
      <c r="F19523" s="42"/>
      <c r="G19523" s="42"/>
      <c r="H19523" s="42">
        <f t="shared" si="1"/>
        <v>3345</v>
      </c>
    </row>
    <row r="19524" ht="22.5" customHeight="1">
      <c r="B19524" s="42"/>
      <c r="C19524" s="42"/>
      <c r="D19524" s="42"/>
      <c r="E19524" s="42"/>
      <c r="F19524" s="42"/>
      <c r="G19524" s="42"/>
      <c r="H19524" s="42">
        <f t="shared" si="1"/>
        <v>3345</v>
      </c>
    </row>
    <row r="19525" ht="22.5" customHeight="1">
      <c r="B19525" s="42"/>
      <c r="C19525" s="42"/>
      <c r="D19525" s="42"/>
      <c r="E19525" s="42"/>
      <c r="F19525" s="42"/>
      <c r="G19525" s="42"/>
      <c r="H19525" s="42">
        <f t="shared" si="1"/>
        <v>3345</v>
      </c>
    </row>
    <row r="19526" ht="22.5" customHeight="1">
      <c r="B19526" s="42"/>
      <c r="C19526" s="42"/>
      <c r="D19526" s="42"/>
      <c r="E19526" s="42"/>
      <c r="F19526" s="42"/>
      <c r="G19526" s="42"/>
      <c r="H19526" s="42">
        <f t="shared" si="1"/>
        <v>3345</v>
      </c>
    </row>
    <row r="19527" ht="22.5" customHeight="1">
      <c r="B19527" s="42"/>
      <c r="C19527" s="42"/>
      <c r="D19527" s="42"/>
      <c r="E19527" s="42"/>
      <c r="F19527" s="42"/>
      <c r="G19527" s="42"/>
      <c r="H19527" s="42">
        <f t="shared" si="1"/>
        <v>3345</v>
      </c>
    </row>
    <row r="19528" ht="22.5" customHeight="1">
      <c r="B19528" s="42"/>
      <c r="C19528" s="42"/>
      <c r="D19528" s="42"/>
      <c r="E19528" s="42"/>
      <c r="F19528" s="42"/>
      <c r="G19528" s="42"/>
      <c r="H19528" s="42">
        <f t="shared" si="1"/>
        <v>3345</v>
      </c>
    </row>
    <row r="19529" ht="22.5" customHeight="1">
      <c r="B19529" s="42"/>
      <c r="C19529" s="42"/>
      <c r="D19529" s="42"/>
      <c r="E19529" s="42"/>
      <c r="F19529" s="42"/>
      <c r="G19529" s="42"/>
      <c r="H19529" s="42">
        <f t="shared" si="1"/>
        <v>3345</v>
      </c>
    </row>
    <row r="19530" ht="22.5" customHeight="1">
      <c r="B19530" s="42"/>
      <c r="C19530" s="42"/>
      <c r="D19530" s="42"/>
      <c r="E19530" s="42"/>
      <c r="F19530" s="42"/>
      <c r="G19530" s="42"/>
      <c r="H19530" s="42">
        <f t="shared" si="1"/>
        <v>3345</v>
      </c>
    </row>
    <row r="19531" ht="22.5" customHeight="1">
      <c r="B19531" s="42"/>
      <c r="C19531" s="42"/>
      <c r="D19531" s="42"/>
      <c r="E19531" s="42"/>
      <c r="F19531" s="42"/>
      <c r="G19531" s="42"/>
      <c r="H19531" s="42">
        <f t="shared" si="1"/>
        <v>3345</v>
      </c>
    </row>
    <row r="19532" ht="22.5" customHeight="1">
      <c r="B19532" s="42"/>
      <c r="C19532" s="42"/>
      <c r="D19532" s="42"/>
      <c r="E19532" s="42"/>
      <c r="F19532" s="42"/>
      <c r="G19532" s="42"/>
      <c r="H19532" s="42">
        <f t="shared" si="1"/>
        <v>3345</v>
      </c>
    </row>
    <row r="19533" ht="22.5" customHeight="1">
      <c r="B19533" s="42"/>
      <c r="C19533" s="42"/>
      <c r="D19533" s="42"/>
      <c r="E19533" s="42"/>
      <c r="F19533" s="42"/>
      <c r="G19533" s="42"/>
      <c r="H19533" s="42">
        <f t="shared" si="1"/>
        <v>3345</v>
      </c>
    </row>
    <row r="19534" ht="22.5" customHeight="1">
      <c r="B19534" s="42"/>
      <c r="C19534" s="42"/>
      <c r="D19534" s="42"/>
      <c r="E19534" s="42"/>
      <c r="F19534" s="42"/>
      <c r="G19534" s="42"/>
      <c r="H19534" s="42">
        <f t="shared" si="1"/>
        <v>3345</v>
      </c>
    </row>
    <row r="19535" ht="22.5" customHeight="1">
      <c r="B19535" s="42"/>
      <c r="C19535" s="42"/>
      <c r="D19535" s="42"/>
      <c r="E19535" s="42"/>
      <c r="F19535" s="42"/>
      <c r="G19535" s="42"/>
      <c r="H19535" s="42">
        <f t="shared" si="1"/>
        <v>3345</v>
      </c>
    </row>
    <row r="19536" ht="22.5" customHeight="1">
      <c r="B19536" s="42"/>
      <c r="C19536" s="42"/>
      <c r="D19536" s="42"/>
      <c r="E19536" s="42"/>
      <c r="F19536" s="42"/>
      <c r="G19536" s="42"/>
      <c r="H19536" s="42">
        <f t="shared" si="1"/>
        <v>3345</v>
      </c>
    </row>
    <row r="19537" ht="22.5" customHeight="1">
      <c r="B19537" s="42"/>
      <c r="C19537" s="42"/>
      <c r="D19537" s="42"/>
      <c r="E19537" s="42"/>
      <c r="F19537" s="42"/>
      <c r="G19537" s="42"/>
      <c r="H19537" s="42">
        <f t="shared" si="1"/>
        <v>3345</v>
      </c>
    </row>
    <row r="19538" ht="22.5" customHeight="1">
      <c r="B19538" s="42"/>
      <c r="C19538" s="42"/>
      <c r="D19538" s="42"/>
      <c r="E19538" s="42"/>
      <c r="F19538" s="42"/>
      <c r="G19538" s="42"/>
      <c r="H19538" s="42">
        <f t="shared" si="1"/>
        <v>3345</v>
      </c>
    </row>
    <row r="19539" ht="22.5" customHeight="1">
      <c r="B19539" s="42"/>
      <c r="C19539" s="42"/>
      <c r="D19539" s="42"/>
      <c r="E19539" s="42"/>
      <c r="F19539" s="42"/>
      <c r="G19539" s="42"/>
      <c r="H19539" s="42">
        <f t="shared" si="1"/>
        <v>3345</v>
      </c>
    </row>
    <row r="19540" ht="22.5" customHeight="1">
      <c r="B19540" s="42"/>
      <c r="C19540" s="42"/>
      <c r="D19540" s="42"/>
      <c r="E19540" s="42"/>
      <c r="F19540" s="42"/>
      <c r="G19540" s="42"/>
      <c r="H19540" s="42">
        <f t="shared" si="1"/>
        <v>3345</v>
      </c>
    </row>
    <row r="19541" ht="22.5" customHeight="1">
      <c r="B19541" s="42"/>
      <c r="C19541" s="42"/>
      <c r="D19541" s="42"/>
      <c r="E19541" s="42"/>
      <c r="F19541" s="42"/>
      <c r="G19541" s="42"/>
      <c r="H19541" s="42">
        <f t="shared" si="1"/>
        <v>3345</v>
      </c>
    </row>
    <row r="19542" ht="22.5" customHeight="1">
      <c r="B19542" s="42"/>
      <c r="C19542" s="42"/>
      <c r="D19542" s="42"/>
      <c r="E19542" s="42"/>
      <c r="F19542" s="42"/>
      <c r="G19542" s="42"/>
      <c r="H19542" s="42">
        <f t="shared" si="1"/>
        <v>3345</v>
      </c>
    </row>
    <row r="19543" ht="22.5" customHeight="1">
      <c r="B19543" s="42"/>
      <c r="C19543" s="42"/>
      <c r="D19543" s="42"/>
      <c r="E19543" s="42"/>
      <c r="F19543" s="42"/>
      <c r="G19543" s="42"/>
      <c r="H19543" s="42">
        <f t="shared" si="1"/>
        <v>3345</v>
      </c>
    </row>
    <row r="19544" ht="22.5" customHeight="1">
      <c r="B19544" s="42"/>
      <c r="C19544" s="42"/>
      <c r="D19544" s="42"/>
      <c r="E19544" s="42"/>
      <c r="F19544" s="42"/>
      <c r="G19544" s="42"/>
      <c r="H19544" s="42">
        <f t="shared" si="1"/>
        <v>3345</v>
      </c>
    </row>
    <row r="19545" ht="22.5" customHeight="1">
      <c r="B19545" s="42"/>
      <c r="C19545" s="42"/>
      <c r="D19545" s="42"/>
      <c r="E19545" s="42"/>
      <c r="F19545" s="42"/>
      <c r="G19545" s="42"/>
      <c r="H19545" s="42">
        <f t="shared" si="1"/>
        <v>3345</v>
      </c>
    </row>
    <row r="19546" ht="22.5" customHeight="1">
      <c r="B19546" s="42"/>
      <c r="C19546" s="42"/>
      <c r="D19546" s="42"/>
      <c r="E19546" s="42"/>
      <c r="F19546" s="42"/>
      <c r="G19546" s="42"/>
      <c r="H19546" s="42">
        <f t="shared" si="1"/>
        <v>3345</v>
      </c>
    </row>
    <row r="19547" ht="22.5" customHeight="1">
      <c r="B19547" s="42"/>
      <c r="C19547" s="42"/>
      <c r="D19547" s="42"/>
      <c r="E19547" s="42"/>
      <c r="F19547" s="42"/>
      <c r="G19547" s="42"/>
      <c r="H19547" s="42">
        <f t="shared" si="1"/>
        <v>3345</v>
      </c>
    </row>
    <row r="19548" ht="22.5" customHeight="1">
      <c r="B19548" s="42"/>
      <c r="C19548" s="42"/>
      <c r="D19548" s="42"/>
      <c r="E19548" s="42"/>
      <c r="F19548" s="42"/>
      <c r="G19548" s="42"/>
      <c r="H19548" s="42">
        <f t="shared" si="1"/>
        <v>3345</v>
      </c>
    </row>
    <row r="19549" ht="22.5" customHeight="1">
      <c r="B19549" s="42"/>
      <c r="C19549" s="42"/>
      <c r="D19549" s="42"/>
      <c r="E19549" s="42"/>
      <c r="F19549" s="42"/>
      <c r="G19549" s="42"/>
      <c r="H19549" s="42">
        <f t="shared" si="1"/>
        <v>3345</v>
      </c>
    </row>
    <row r="19550" ht="22.5" customHeight="1">
      <c r="B19550" s="42"/>
      <c r="C19550" s="42"/>
      <c r="D19550" s="42"/>
      <c r="E19550" s="42"/>
      <c r="F19550" s="42"/>
      <c r="G19550" s="42"/>
      <c r="H19550" s="42">
        <f t="shared" si="1"/>
        <v>3345</v>
      </c>
    </row>
    <row r="19551" ht="22.5" customHeight="1">
      <c r="B19551" s="42"/>
      <c r="C19551" s="42"/>
      <c r="D19551" s="42"/>
      <c r="E19551" s="42"/>
      <c r="F19551" s="42"/>
      <c r="G19551" s="42"/>
      <c r="H19551" s="42">
        <f t="shared" si="1"/>
        <v>3345</v>
      </c>
    </row>
    <row r="19552" ht="22.5" customHeight="1">
      <c r="B19552" s="42"/>
      <c r="C19552" s="42"/>
      <c r="D19552" s="42"/>
      <c r="E19552" s="42"/>
      <c r="F19552" s="42"/>
      <c r="G19552" s="42"/>
      <c r="H19552" s="42">
        <f t="shared" si="1"/>
        <v>3345</v>
      </c>
    </row>
    <row r="19553" ht="22.5" customHeight="1">
      <c r="B19553" s="42"/>
      <c r="C19553" s="42"/>
      <c r="D19553" s="42"/>
      <c r="E19553" s="42"/>
      <c r="F19553" s="42"/>
      <c r="G19553" s="42"/>
      <c r="H19553" s="42">
        <f t="shared" si="1"/>
        <v>3345</v>
      </c>
    </row>
    <row r="19554" ht="22.5" customHeight="1">
      <c r="B19554" s="42"/>
      <c r="C19554" s="42"/>
      <c r="D19554" s="42"/>
      <c r="E19554" s="42"/>
      <c r="F19554" s="42"/>
      <c r="G19554" s="42"/>
      <c r="H19554" s="42">
        <f t="shared" si="1"/>
        <v>3345</v>
      </c>
    </row>
    <row r="19555" ht="22.5" customHeight="1">
      <c r="B19555" s="42"/>
      <c r="C19555" s="42"/>
      <c r="D19555" s="42"/>
      <c r="E19555" s="42"/>
      <c r="F19555" s="42"/>
      <c r="G19555" s="42"/>
      <c r="H19555" s="42">
        <f t="shared" si="1"/>
        <v>3345</v>
      </c>
    </row>
    <row r="19556" ht="22.5" customHeight="1">
      <c r="B19556" s="42"/>
      <c r="C19556" s="42"/>
      <c r="D19556" s="42"/>
      <c r="E19556" s="42"/>
      <c r="F19556" s="42"/>
      <c r="G19556" s="42"/>
      <c r="H19556" s="42">
        <f t="shared" si="1"/>
        <v>3345</v>
      </c>
    </row>
    <row r="19557" ht="22.5" customHeight="1">
      <c r="B19557" s="42"/>
      <c r="C19557" s="42"/>
      <c r="D19557" s="42"/>
      <c r="E19557" s="42"/>
      <c r="F19557" s="42"/>
      <c r="G19557" s="42"/>
      <c r="H19557" s="42">
        <f t="shared" si="1"/>
        <v>3345</v>
      </c>
    </row>
    <row r="19558" ht="22.5" customHeight="1">
      <c r="B19558" s="42"/>
      <c r="C19558" s="42"/>
      <c r="D19558" s="42"/>
      <c r="E19558" s="42"/>
      <c r="F19558" s="42"/>
      <c r="G19558" s="42"/>
      <c r="H19558" s="42">
        <f t="shared" si="1"/>
        <v>3345</v>
      </c>
    </row>
    <row r="19559" ht="22.5" customHeight="1">
      <c r="B19559" s="42"/>
      <c r="C19559" s="42"/>
      <c r="D19559" s="42"/>
      <c r="E19559" s="42"/>
      <c r="F19559" s="42"/>
      <c r="G19559" s="42"/>
      <c r="H19559" s="42">
        <f t="shared" si="1"/>
        <v>3345</v>
      </c>
    </row>
    <row r="19560" ht="22.5" customHeight="1">
      <c r="B19560" s="42"/>
      <c r="C19560" s="42"/>
      <c r="D19560" s="42"/>
      <c r="E19560" s="42"/>
      <c r="F19560" s="42"/>
      <c r="G19560" s="42"/>
      <c r="H19560" s="42">
        <f t="shared" si="1"/>
        <v>3345</v>
      </c>
    </row>
    <row r="19561" ht="22.5" customHeight="1">
      <c r="B19561" s="42"/>
      <c r="C19561" s="42"/>
      <c r="D19561" s="42"/>
      <c r="E19561" s="42"/>
      <c r="F19561" s="42"/>
      <c r="G19561" s="42"/>
      <c r="H19561" s="42">
        <f t="shared" si="1"/>
        <v>3345</v>
      </c>
    </row>
    <row r="19562" ht="22.5" customHeight="1">
      <c r="B19562" s="42"/>
      <c r="C19562" s="42"/>
      <c r="D19562" s="42"/>
      <c r="E19562" s="42"/>
      <c r="F19562" s="42"/>
      <c r="G19562" s="42"/>
      <c r="H19562" s="42">
        <f t="shared" si="1"/>
        <v>3345</v>
      </c>
    </row>
    <row r="19563" ht="22.5" customHeight="1">
      <c r="B19563" s="42"/>
      <c r="C19563" s="42"/>
      <c r="D19563" s="42"/>
      <c r="E19563" s="42"/>
      <c r="F19563" s="42"/>
      <c r="G19563" s="42"/>
      <c r="H19563" s="42">
        <f t="shared" si="1"/>
        <v>3345</v>
      </c>
    </row>
    <row r="19564" ht="22.5" customHeight="1">
      <c r="B19564" s="42"/>
      <c r="C19564" s="42"/>
      <c r="D19564" s="42"/>
      <c r="E19564" s="42"/>
      <c r="F19564" s="42"/>
      <c r="G19564" s="42"/>
      <c r="H19564" s="42">
        <f t="shared" si="1"/>
        <v>3345</v>
      </c>
    </row>
    <row r="19565" ht="22.5" customHeight="1">
      <c r="B19565" s="42"/>
      <c r="C19565" s="42"/>
      <c r="D19565" s="42"/>
      <c r="E19565" s="42"/>
      <c r="F19565" s="42"/>
      <c r="G19565" s="42"/>
      <c r="H19565" s="42">
        <f t="shared" si="1"/>
        <v>3345</v>
      </c>
    </row>
    <row r="19566" ht="22.5" customHeight="1">
      <c r="B19566" s="42"/>
      <c r="C19566" s="42"/>
      <c r="D19566" s="42"/>
      <c r="E19566" s="42"/>
      <c r="F19566" s="42"/>
      <c r="G19566" s="42"/>
      <c r="H19566" s="42">
        <f t="shared" si="1"/>
        <v>3345</v>
      </c>
    </row>
    <row r="19567" ht="22.5" customHeight="1">
      <c r="B19567" s="42"/>
      <c r="C19567" s="42"/>
      <c r="D19567" s="42"/>
      <c r="E19567" s="42"/>
      <c r="F19567" s="42"/>
      <c r="G19567" s="42"/>
      <c r="H19567" s="42">
        <f t="shared" si="1"/>
        <v>3345</v>
      </c>
    </row>
    <row r="19568" ht="22.5" customHeight="1">
      <c r="B19568" s="42"/>
      <c r="C19568" s="42"/>
      <c r="D19568" s="42"/>
      <c r="E19568" s="42"/>
      <c r="F19568" s="42"/>
      <c r="G19568" s="42"/>
      <c r="H19568" s="42">
        <f t="shared" si="1"/>
        <v>3345</v>
      </c>
    </row>
    <row r="19569" ht="22.5" customHeight="1">
      <c r="B19569" s="42"/>
      <c r="C19569" s="42"/>
      <c r="D19569" s="42"/>
      <c r="E19569" s="42"/>
      <c r="F19569" s="42"/>
      <c r="G19569" s="42"/>
      <c r="H19569" s="42">
        <f t="shared" si="1"/>
        <v>3345</v>
      </c>
    </row>
    <row r="19570" ht="22.5" customHeight="1">
      <c r="B19570" s="42"/>
      <c r="C19570" s="42"/>
      <c r="D19570" s="42"/>
      <c r="E19570" s="42"/>
      <c r="F19570" s="42"/>
      <c r="G19570" s="42"/>
      <c r="H19570" s="42">
        <f t="shared" si="1"/>
        <v>3345</v>
      </c>
    </row>
    <row r="19571" ht="22.5" customHeight="1">
      <c r="B19571" s="42"/>
      <c r="C19571" s="42"/>
      <c r="D19571" s="42"/>
      <c r="E19571" s="42"/>
      <c r="F19571" s="42"/>
      <c r="G19571" s="42"/>
      <c r="H19571" s="42">
        <f t="shared" si="1"/>
        <v>3345</v>
      </c>
    </row>
    <row r="19572" ht="22.5" customHeight="1">
      <c r="B19572" s="42"/>
      <c r="C19572" s="42"/>
      <c r="D19572" s="42"/>
      <c r="E19572" s="42"/>
      <c r="F19572" s="42"/>
      <c r="G19572" s="42"/>
      <c r="H19572" s="42">
        <f t="shared" si="1"/>
        <v>3345</v>
      </c>
    </row>
    <row r="19573" ht="22.5" customHeight="1">
      <c r="B19573" s="42"/>
      <c r="C19573" s="42"/>
      <c r="D19573" s="42"/>
      <c r="E19573" s="42"/>
      <c r="F19573" s="42"/>
      <c r="G19573" s="42"/>
      <c r="H19573" s="42">
        <f t="shared" si="1"/>
        <v>3345</v>
      </c>
    </row>
    <row r="19574" ht="22.5" customHeight="1">
      <c r="B19574" s="42"/>
      <c r="C19574" s="42"/>
      <c r="D19574" s="42"/>
      <c r="E19574" s="42"/>
      <c r="F19574" s="42"/>
      <c r="G19574" s="42"/>
      <c r="H19574" s="42">
        <f t="shared" si="1"/>
        <v>3345</v>
      </c>
    </row>
    <row r="19575" ht="22.5" customHeight="1">
      <c r="B19575" s="42"/>
      <c r="C19575" s="42"/>
      <c r="D19575" s="42"/>
      <c r="E19575" s="42"/>
      <c r="F19575" s="42"/>
      <c r="G19575" s="42"/>
      <c r="H19575" s="42">
        <f t="shared" si="1"/>
        <v>3345</v>
      </c>
    </row>
    <row r="19576" ht="22.5" customHeight="1">
      <c r="B19576" s="42"/>
      <c r="C19576" s="42"/>
      <c r="D19576" s="42"/>
      <c r="E19576" s="42"/>
      <c r="F19576" s="42"/>
      <c r="G19576" s="42"/>
      <c r="H19576" s="42">
        <f t="shared" si="1"/>
        <v>3345</v>
      </c>
    </row>
    <row r="19577" ht="22.5" customHeight="1">
      <c r="B19577" s="42"/>
      <c r="C19577" s="42"/>
      <c r="D19577" s="42"/>
      <c r="E19577" s="42"/>
      <c r="F19577" s="42"/>
      <c r="G19577" s="42"/>
      <c r="H19577" s="42">
        <f t="shared" si="1"/>
        <v>3345</v>
      </c>
    </row>
    <row r="19578" ht="22.5" customHeight="1">
      <c r="B19578" s="42"/>
      <c r="C19578" s="42"/>
      <c r="D19578" s="42"/>
      <c r="E19578" s="42"/>
      <c r="F19578" s="42"/>
      <c r="G19578" s="42"/>
      <c r="H19578" s="42">
        <f t="shared" si="1"/>
        <v>3345</v>
      </c>
    </row>
    <row r="19579" ht="22.5" customHeight="1">
      <c r="B19579" s="42"/>
      <c r="C19579" s="42"/>
      <c r="D19579" s="42"/>
      <c r="E19579" s="42"/>
      <c r="F19579" s="42"/>
      <c r="G19579" s="42"/>
      <c r="H19579" s="42">
        <f t="shared" si="1"/>
        <v>3345</v>
      </c>
    </row>
    <row r="19580" ht="22.5" customHeight="1">
      <c r="B19580" s="42"/>
      <c r="C19580" s="42"/>
      <c r="D19580" s="42"/>
      <c r="E19580" s="42"/>
      <c r="F19580" s="42"/>
      <c r="G19580" s="42"/>
      <c r="H19580" s="42">
        <f t="shared" si="1"/>
        <v>3345</v>
      </c>
    </row>
    <row r="19581" ht="22.5" customHeight="1">
      <c r="B19581" s="42"/>
      <c r="C19581" s="42"/>
      <c r="D19581" s="42"/>
      <c r="E19581" s="42"/>
      <c r="F19581" s="42"/>
      <c r="G19581" s="42"/>
      <c r="H19581" s="42">
        <f t="shared" si="1"/>
        <v>3345</v>
      </c>
    </row>
    <row r="19582" ht="22.5" customHeight="1">
      <c r="B19582" s="42"/>
      <c r="C19582" s="42"/>
      <c r="D19582" s="42"/>
      <c r="E19582" s="42"/>
      <c r="F19582" s="42"/>
      <c r="G19582" s="42"/>
      <c r="H19582" s="42">
        <f t="shared" si="1"/>
        <v>3345</v>
      </c>
    </row>
    <row r="19583" ht="22.5" customHeight="1">
      <c r="B19583" s="42"/>
      <c r="C19583" s="42"/>
      <c r="D19583" s="42"/>
      <c r="E19583" s="42"/>
      <c r="F19583" s="42"/>
      <c r="G19583" s="42"/>
      <c r="H19583" s="42">
        <f t="shared" si="1"/>
        <v>3345</v>
      </c>
    </row>
    <row r="19584" ht="22.5" customHeight="1">
      <c r="B19584" s="42"/>
      <c r="C19584" s="42"/>
      <c r="D19584" s="42"/>
      <c r="E19584" s="42"/>
      <c r="F19584" s="42"/>
      <c r="G19584" s="42"/>
      <c r="H19584" s="42">
        <f t="shared" si="1"/>
        <v>3345</v>
      </c>
    </row>
    <row r="19585" ht="22.5" customHeight="1">
      <c r="B19585" s="42"/>
      <c r="C19585" s="42"/>
      <c r="D19585" s="42"/>
      <c r="E19585" s="42"/>
      <c r="F19585" s="42"/>
      <c r="G19585" s="42"/>
      <c r="H19585" s="42">
        <f t="shared" si="1"/>
        <v>3345</v>
      </c>
    </row>
    <row r="19586" ht="22.5" customHeight="1">
      <c r="B19586" s="42"/>
      <c r="C19586" s="42"/>
      <c r="D19586" s="42"/>
      <c r="E19586" s="42"/>
      <c r="F19586" s="42"/>
      <c r="G19586" s="42"/>
      <c r="H19586" s="42">
        <f t="shared" si="1"/>
        <v>3345</v>
      </c>
    </row>
    <row r="19587" ht="22.5" customHeight="1">
      <c r="B19587" s="42"/>
      <c r="C19587" s="42"/>
      <c r="D19587" s="42"/>
      <c r="E19587" s="42"/>
      <c r="F19587" s="42"/>
      <c r="G19587" s="42"/>
      <c r="H19587" s="42">
        <f t="shared" si="1"/>
        <v>3345</v>
      </c>
    </row>
    <row r="19588" ht="22.5" customHeight="1">
      <c r="B19588" s="42"/>
      <c r="C19588" s="42"/>
      <c r="D19588" s="42"/>
      <c r="E19588" s="42"/>
      <c r="F19588" s="42"/>
      <c r="G19588" s="42"/>
      <c r="H19588" s="42">
        <f t="shared" si="1"/>
        <v>3345</v>
      </c>
    </row>
    <row r="19589" ht="22.5" customHeight="1">
      <c r="B19589" s="42"/>
      <c r="C19589" s="42"/>
      <c r="D19589" s="42"/>
      <c r="E19589" s="42"/>
      <c r="F19589" s="42"/>
      <c r="G19589" s="42"/>
      <c r="H19589" s="42">
        <f t="shared" si="1"/>
        <v>3345</v>
      </c>
    </row>
    <row r="19590" ht="22.5" customHeight="1">
      <c r="B19590" s="42"/>
      <c r="C19590" s="42"/>
      <c r="D19590" s="42"/>
      <c r="E19590" s="42"/>
      <c r="F19590" s="42"/>
      <c r="G19590" s="42"/>
      <c r="H19590" s="42">
        <f t="shared" si="1"/>
        <v>3345</v>
      </c>
    </row>
    <row r="19591" ht="22.5" customHeight="1">
      <c r="B19591" s="42"/>
      <c r="C19591" s="42"/>
      <c r="D19591" s="42"/>
      <c r="E19591" s="42"/>
      <c r="F19591" s="42"/>
      <c r="G19591" s="42"/>
      <c r="H19591" s="42">
        <f t="shared" si="1"/>
        <v>3345</v>
      </c>
    </row>
    <row r="19592" ht="22.5" customHeight="1">
      <c r="B19592" s="42"/>
      <c r="C19592" s="42"/>
      <c r="D19592" s="42"/>
      <c r="E19592" s="42"/>
      <c r="F19592" s="42"/>
      <c r="G19592" s="42"/>
      <c r="H19592" s="42">
        <f t="shared" si="1"/>
        <v>3345</v>
      </c>
    </row>
    <row r="19593" ht="22.5" customHeight="1">
      <c r="B19593" s="42"/>
      <c r="C19593" s="42"/>
      <c r="D19593" s="42"/>
      <c r="E19593" s="42"/>
      <c r="F19593" s="42"/>
      <c r="G19593" s="42"/>
      <c r="H19593" s="42">
        <f t="shared" si="1"/>
        <v>3345</v>
      </c>
    </row>
    <row r="19594" ht="22.5" customHeight="1">
      <c r="B19594" s="42"/>
      <c r="C19594" s="42"/>
      <c r="D19594" s="42"/>
      <c r="E19594" s="42"/>
      <c r="F19594" s="42"/>
      <c r="G19594" s="42"/>
      <c r="H19594" s="42">
        <f t="shared" si="1"/>
        <v>3345</v>
      </c>
    </row>
    <row r="19595" ht="22.5" customHeight="1">
      <c r="B19595" s="42"/>
      <c r="C19595" s="42"/>
      <c r="D19595" s="42"/>
      <c r="E19595" s="42"/>
      <c r="F19595" s="42"/>
      <c r="G19595" s="42"/>
      <c r="H19595" s="42">
        <f t="shared" si="1"/>
        <v>3345</v>
      </c>
    </row>
    <row r="19596" ht="22.5" customHeight="1">
      <c r="B19596" s="42"/>
      <c r="C19596" s="42"/>
      <c r="D19596" s="42"/>
      <c r="E19596" s="42"/>
      <c r="F19596" s="42"/>
      <c r="G19596" s="42"/>
      <c r="H19596" s="42">
        <f t="shared" si="1"/>
        <v>3345</v>
      </c>
    </row>
    <row r="19597" ht="22.5" customHeight="1">
      <c r="B19597" s="42"/>
      <c r="C19597" s="42"/>
      <c r="D19597" s="42"/>
      <c r="E19597" s="42"/>
      <c r="F19597" s="42"/>
      <c r="G19597" s="42"/>
      <c r="H19597" s="42">
        <f t="shared" si="1"/>
        <v>3345</v>
      </c>
    </row>
    <row r="19598" ht="22.5" customHeight="1">
      <c r="B19598" s="42"/>
      <c r="C19598" s="42"/>
      <c r="D19598" s="42"/>
      <c r="E19598" s="42"/>
      <c r="F19598" s="42"/>
      <c r="G19598" s="42"/>
      <c r="H19598" s="42">
        <f t="shared" si="1"/>
        <v>3345</v>
      </c>
    </row>
    <row r="19599" ht="22.5" customHeight="1">
      <c r="B19599" s="42"/>
      <c r="C19599" s="42"/>
      <c r="D19599" s="42"/>
      <c r="E19599" s="42"/>
      <c r="F19599" s="42"/>
      <c r="G19599" s="42"/>
      <c r="H19599" s="42">
        <f t="shared" si="1"/>
        <v>3345</v>
      </c>
    </row>
    <row r="19600" ht="22.5" customHeight="1">
      <c r="B19600" s="42"/>
      <c r="C19600" s="42"/>
      <c r="D19600" s="42"/>
      <c r="E19600" s="42"/>
      <c r="F19600" s="42"/>
      <c r="G19600" s="42"/>
      <c r="H19600" s="42">
        <f t="shared" si="1"/>
        <v>3345</v>
      </c>
    </row>
    <row r="19601" ht="22.5" customHeight="1">
      <c r="B19601" s="42"/>
      <c r="C19601" s="42"/>
      <c r="D19601" s="42"/>
      <c r="E19601" s="42"/>
      <c r="F19601" s="42"/>
      <c r="G19601" s="42"/>
      <c r="H19601" s="42">
        <f t="shared" si="1"/>
        <v>3345</v>
      </c>
    </row>
    <row r="19602" ht="22.5" customHeight="1">
      <c r="B19602" s="42"/>
      <c r="C19602" s="42"/>
      <c r="D19602" s="42"/>
      <c r="E19602" s="42"/>
      <c r="F19602" s="42"/>
      <c r="G19602" s="42"/>
      <c r="H19602" s="42">
        <f t="shared" si="1"/>
        <v>3345</v>
      </c>
    </row>
    <row r="19603" ht="22.5" customHeight="1">
      <c r="B19603" s="42"/>
      <c r="C19603" s="42"/>
      <c r="D19603" s="42"/>
      <c r="E19603" s="42"/>
      <c r="F19603" s="42"/>
      <c r="G19603" s="42"/>
      <c r="H19603" s="42">
        <f t="shared" si="1"/>
        <v>3345</v>
      </c>
    </row>
    <row r="19604" ht="22.5" customHeight="1">
      <c r="B19604" s="42"/>
      <c r="C19604" s="42"/>
      <c r="D19604" s="42"/>
      <c r="E19604" s="42"/>
      <c r="F19604" s="42"/>
      <c r="G19604" s="42"/>
      <c r="H19604" s="42">
        <f t="shared" si="1"/>
        <v>3345</v>
      </c>
    </row>
    <row r="19605" ht="22.5" customHeight="1">
      <c r="B19605" s="42"/>
      <c r="C19605" s="42"/>
      <c r="D19605" s="42"/>
      <c r="E19605" s="42"/>
      <c r="F19605" s="42"/>
      <c r="G19605" s="42"/>
      <c r="H19605" s="42">
        <f t="shared" si="1"/>
        <v>3345</v>
      </c>
    </row>
    <row r="19606" ht="22.5" customHeight="1">
      <c r="B19606" s="42"/>
      <c r="C19606" s="42"/>
      <c r="D19606" s="42"/>
      <c r="E19606" s="42"/>
      <c r="F19606" s="42"/>
      <c r="G19606" s="42"/>
      <c r="H19606" s="42">
        <f t="shared" si="1"/>
        <v>3345</v>
      </c>
    </row>
    <row r="19607" ht="22.5" customHeight="1">
      <c r="B19607" s="42"/>
      <c r="C19607" s="42"/>
      <c r="D19607" s="42"/>
      <c r="E19607" s="42"/>
      <c r="F19607" s="42"/>
      <c r="G19607" s="42"/>
      <c r="H19607" s="42">
        <f t="shared" si="1"/>
        <v>3345</v>
      </c>
    </row>
    <row r="19608" ht="22.5" customHeight="1">
      <c r="B19608" s="42"/>
      <c r="C19608" s="42"/>
      <c r="D19608" s="42"/>
      <c r="E19608" s="42"/>
      <c r="F19608" s="42"/>
      <c r="G19608" s="42"/>
      <c r="H19608" s="42">
        <f t="shared" si="1"/>
        <v>3345</v>
      </c>
    </row>
    <row r="19609" ht="22.5" customHeight="1">
      <c r="B19609" s="42"/>
      <c r="C19609" s="42"/>
      <c r="D19609" s="42"/>
      <c r="E19609" s="42"/>
      <c r="F19609" s="42"/>
      <c r="G19609" s="42"/>
      <c r="H19609" s="42">
        <f t="shared" si="1"/>
        <v>3345</v>
      </c>
    </row>
    <row r="19610" ht="22.5" customHeight="1">
      <c r="B19610" s="42"/>
      <c r="C19610" s="42"/>
      <c r="D19610" s="42"/>
      <c r="E19610" s="42"/>
      <c r="F19610" s="42"/>
      <c r="G19610" s="42"/>
      <c r="H19610" s="42">
        <f t="shared" si="1"/>
        <v>3345</v>
      </c>
    </row>
    <row r="19611" ht="22.5" customHeight="1">
      <c r="B19611" s="42"/>
      <c r="C19611" s="42"/>
      <c r="D19611" s="42"/>
      <c r="E19611" s="42"/>
      <c r="F19611" s="42"/>
      <c r="G19611" s="42"/>
      <c r="H19611" s="42">
        <f t="shared" si="1"/>
        <v>3345</v>
      </c>
    </row>
    <row r="19612" ht="22.5" customHeight="1">
      <c r="B19612" s="42"/>
      <c r="C19612" s="42"/>
      <c r="D19612" s="42"/>
      <c r="E19612" s="42"/>
      <c r="F19612" s="42"/>
      <c r="G19612" s="42"/>
      <c r="H19612" s="42">
        <f t="shared" si="1"/>
        <v>3345</v>
      </c>
    </row>
    <row r="19613" ht="22.5" customHeight="1">
      <c r="B19613" s="42"/>
      <c r="C19613" s="42"/>
      <c r="D19613" s="42"/>
      <c r="E19613" s="42"/>
      <c r="F19613" s="42"/>
      <c r="G19613" s="42"/>
      <c r="H19613" s="42">
        <f t="shared" si="1"/>
        <v>3345</v>
      </c>
    </row>
    <row r="19614" ht="22.5" customHeight="1">
      <c r="B19614" s="42"/>
      <c r="C19614" s="42"/>
      <c r="D19614" s="42"/>
      <c r="E19614" s="42"/>
      <c r="F19614" s="42"/>
      <c r="G19614" s="42"/>
      <c r="H19614" s="42">
        <f t="shared" si="1"/>
        <v>3345</v>
      </c>
    </row>
    <row r="19615" ht="22.5" customHeight="1">
      <c r="B19615" s="42"/>
      <c r="C19615" s="42"/>
      <c r="D19615" s="42"/>
      <c r="E19615" s="42"/>
      <c r="F19615" s="42"/>
      <c r="G19615" s="42"/>
      <c r="H19615" s="42">
        <f t="shared" si="1"/>
        <v>3345</v>
      </c>
    </row>
    <row r="19616" ht="22.5" customHeight="1">
      <c r="B19616" s="42"/>
      <c r="C19616" s="42"/>
      <c r="D19616" s="42"/>
      <c r="E19616" s="42"/>
      <c r="F19616" s="42"/>
      <c r="G19616" s="42"/>
      <c r="H19616" s="42">
        <f t="shared" si="1"/>
        <v>3345</v>
      </c>
    </row>
    <row r="19617" ht="22.5" customHeight="1">
      <c r="B19617" s="42"/>
      <c r="C19617" s="42"/>
      <c r="D19617" s="42"/>
      <c r="E19617" s="42"/>
      <c r="F19617" s="42"/>
      <c r="G19617" s="42"/>
      <c r="H19617" s="42">
        <f t="shared" si="1"/>
        <v>3345</v>
      </c>
    </row>
    <row r="19618" ht="22.5" customHeight="1">
      <c r="B19618" s="42"/>
      <c r="C19618" s="42"/>
      <c r="D19618" s="42"/>
      <c r="E19618" s="42"/>
      <c r="F19618" s="42"/>
      <c r="G19618" s="42"/>
      <c r="H19618" s="42">
        <f t="shared" si="1"/>
        <v>3345</v>
      </c>
    </row>
    <row r="19619" ht="22.5" customHeight="1">
      <c r="B19619" s="42"/>
      <c r="C19619" s="42"/>
      <c r="D19619" s="42"/>
      <c r="E19619" s="42"/>
      <c r="F19619" s="42"/>
      <c r="G19619" s="42"/>
      <c r="H19619" s="42">
        <f t="shared" si="1"/>
        <v>3345</v>
      </c>
    </row>
    <row r="19620" ht="22.5" customHeight="1">
      <c r="B19620" s="42"/>
      <c r="C19620" s="42"/>
      <c r="D19620" s="42"/>
      <c r="E19620" s="42"/>
      <c r="F19620" s="42"/>
      <c r="G19620" s="42"/>
      <c r="H19620" s="42">
        <f t="shared" si="1"/>
        <v>3345</v>
      </c>
    </row>
    <row r="19621" ht="22.5" customHeight="1">
      <c r="B19621" s="42"/>
      <c r="C19621" s="42"/>
      <c r="D19621" s="42"/>
      <c r="E19621" s="42"/>
      <c r="F19621" s="42"/>
      <c r="G19621" s="42"/>
      <c r="H19621" s="42">
        <f t="shared" si="1"/>
        <v>3345</v>
      </c>
    </row>
    <row r="19622" ht="22.5" customHeight="1">
      <c r="B19622" s="42"/>
      <c r="C19622" s="42"/>
      <c r="D19622" s="42"/>
      <c r="E19622" s="42"/>
      <c r="F19622" s="42"/>
      <c r="G19622" s="42"/>
      <c r="H19622" s="42">
        <f t="shared" si="1"/>
        <v>3345</v>
      </c>
    </row>
    <row r="19623" ht="22.5" customHeight="1">
      <c r="B19623" s="42"/>
      <c r="C19623" s="42"/>
      <c r="D19623" s="42"/>
      <c r="E19623" s="42"/>
      <c r="F19623" s="42"/>
      <c r="G19623" s="42"/>
      <c r="H19623" s="42">
        <f t="shared" si="1"/>
        <v>3345</v>
      </c>
    </row>
    <row r="19624" ht="22.5" customHeight="1">
      <c r="B19624" s="42"/>
      <c r="C19624" s="42"/>
      <c r="D19624" s="42"/>
      <c r="E19624" s="42"/>
      <c r="F19624" s="42"/>
      <c r="G19624" s="42"/>
      <c r="H19624" s="42">
        <f t="shared" si="1"/>
        <v>3345</v>
      </c>
    </row>
    <row r="19625" ht="22.5" customHeight="1">
      <c r="B19625" s="42"/>
      <c r="C19625" s="42"/>
      <c r="D19625" s="42"/>
      <c r="E19625" s="42"/>
      <c r="F19625" s="42"/>
      <c r="G19625" s="42"/>
      <c r="H19625" s="42">
        <f t="shared" si="1"/>
        <v>3345</v>
      </c>
    </row>
    <row r="19626" ht="22.5" customHeight="1">
      <c r="B19626" s="42"/>
      <c r="C19626" s="42"/>
      <c r="D19626" s="42"/>
      <c r="E19626" s="42"/>
      <c r="F19626" s="42"/>
      <c r="G19626" s="42"/>
      <c r="H19626" s="42">
        <f t="shared" si="1"/>
        <v>3345</v>
      </c>
    </row>
    <row r="19627" ht="22.5" customHeight="1">
      <c r="B19627" s="42"/>
      <c r="C19627" s="42"/>
      <c r="D19627" s="42"/>
      <c r="E19627" s="42"/>
      <c r="F19627" s="42"/>
      <c r="G19627" s="42"/>
      <c r="H19627" s="42">
        <f t="shared" si="1"/>
        <v>3345</v>
      </c>
    </row>
    <row r="19628" ht="22.5" customHeight="1">
      <c r="B19628" s="42"/>
      <c r="C19628" s="42"/>
      <c r="D19628" s="42"/>
      <c r="E19628" s="42"/>
      <c r="F19628" s="42"/>
      <c r="G19628" s="42"/>
      <c r="H19628" s="42">
        <f t="shared" si="1"/>
        <v>3345</v>
      </c>
    </row>
    <row r="19629" ht="22.5" customHeight="1">
      <c r="B19629" s="42"/>
      <c r="C19629" s="42"/>
      <c r="D19629" s="42"/>
      <c r="E19629" s="42"/>
      <c r="F19629" s="42"/>
      <c r="G19629" s="42"/>
      <c r="H19629" s="42">
        <f t="shared" si="1"/>
        <v>3345</v>
      </c>
    </row>
    <row r="19630" ht="22.5" customHeight="1">
      <c r="B19630" s="42"/>
      <c r="C19630" s="42"/>
      <c r="D19630" s="42"/>
      <c r="E19630" s="42"/>
      <c r="F19630" s="42"/>
      <c r="G19630" s="42"/>
      <c r="H19630" s="42">
        <f t="shared" si="1"/>
        <v>3345</v>
      </c>
    </row>
    <row r="19631" ht="22.5" customHeight="1">
      <c r="B19631" s="42"/>
      <c r="C19631" s="42"/>
      <c r="D19631" s="42"/>
      <c r="E19631" s="42"/>
      <c r="F19631" s="42"/>
      <c r="G19631" s="42"/>
      <c r="H19631" s="42">
        <f t="shared" si="1"/>
        <v>3345</v>
      </c>
    </row>
    <row r="19632" ht="22.5" customHeight="1">
      <c r="B19632" s="42"/>
      <c r="C19632" s="42"/>
      <c r="D19632" s="42"/>
      <c r="E19632" s="42"/>
      <c r="F19632" s="42"/>
      <c r="G19632" s="42"/>
      <c r="H19632" s="42">
        <f t="shared" si="1"/>
        <v>3345</v>
      </c>
    </row>
    <row r="19633" ht="22.5" customHeight="1">
      <c r="B19633" s="42"/>
      <c r="C19633" s="42"/>
      <c r="D19633" s="42"/>
      <c r="E19633" s="42"/>
      <c r="F19633" s="42"/>
      <c r="G19633" s="42"/>
      <c r="H19633" s="42">
        <f t="shared" si="1"/>
        <v>3345</v>
      </c>
    </row>
    <row r="19634" ht="22.5" customHeight="1">
      <c r="B19634" s="42"/>
      <c r="C19634" s="42"/>
      <c r="D19634" s="42"/>
      <c r="E19634" s="42"/>
      <c r="F19634" s="42"/>
      <c r="G19634" s="42"/>
      <c r="H19634" s="42">
        <f t="shared" si="1"/>
        <v>3345</v>
      </c>
    </row>
    <row r="19635" ht="22.5" customHeight="1">
      <c r="B19635" s="42"/>
      <c r="C19635" s="42"/>
      <c r="D19635" s="42"/>
      <c r="E19635" s="42"/>
      <c r="F19635" s="42"/>
      <c r="G19635" s="42"/>
      <c r="H19635" s="42">
        <f t="shared" si="1"/>
        <v>3345</v>
      </c>
    </row>
    <row r="19636" ht="22.5" customHeight="1">
      <c r="B19636" s="42"/>
      <c r="C19636" s="42"/>
      <c r="D19636" s="42"/>
      <c r="E19636" s="42"/>
      <c r="F19636" s="42"/>
      <c r="G19636" s="42"/>
      <c r="H19636" s="42">
        <f t="shared" si="1"/>
        <v>3345</v>
      </c>
    </row>
    <row r="19637" ht="22.5" customHeight="1">
      <c r="B19637" s="42"/>
      <c r="C19637" s="42"/>
      <c r="D19637" s="42"/>
      <c r="E19637" s="42"/>
      <c r="F19637" s="42"/>
      <c r="G19637" s="42"/>
      <c r="H19637" s="42">
        <f t="shared" si="1"/>
        <v>3345</v>
      </c>
    </row>
    <row r="19638" ht="22.5" customHeight="1">
      <c r="B19638" s="42"/>
      <c r="C19638" s="42"/>
      <c r="D19638" s="42"/>
      <c r="E19638" s="42"/>
      <c r="F19638" s="42"/>
      <c r="G19638" s="42"/>
      <c r="H19638" s="42">
        <f t="shared" si="1"/>
        <v>3345</v>
      </c>
    </row>
    <row r="19639" ht="22.5" customHeight="1">
      <c r="B19639" s="42"/>
      <c r="C19639" s="42"/>
      <c r="D19639" s="42"/>
      <c r="E19639" s="42"/>
      <c r="F19639" s="42"/>
      <c r="G19639" s="42"/>
      <c r="H19639" s="42">
        <f t="shared" si="1"/>
        <v>3345</v>
      </c>
    </row>
    <row r="19640" ht="22.5" customHeight="1">
      <c r="B19640" s="42"/>
      <c r="C19640" s="42"/>
      <c r="D19640" s="42"/>
      <c r="E19640" s="42"/>
      <c r="F19640" s="42"/>
      <c r="G19640" s="42"/>
      <c r="H19640" s="42">
        <f t="shared" si="1"/>
        <v>3345</v>
      </c>
    </row>
    <row r="19641" ht="22.5" customHeight="1">
      <c r="B19641" s="42"/>
      <c r="C19641" s="42"/>
      <c r="D19641" s="42"/>
      <c r="E19641" s="42"/>
      <c r="F19641" s="42"/>
      <c r="G19641" s="42"/>
      <c r="H19641" s="42">
        <f t="shared" si="1"/>
        <v>3345</v>
      </c>
    </row>
    <row r="19642" ht="22.5" customHeight="1">
      <c r="B19642" s="42"/>
      <c r="C19642" s="42"/>
      <c r="D19642" s="42"/>
      <c r="E19642" s="42"/>
      <c r="F19642" s="42"/>
      <c r="G19642" s="42"/>
      <c r="H19642" s="42">
        <f t="shared" si="1"/>
        <v>3345</v>
      </c>
    </row>
    <row r="19643" ht="22.5" customHeight="1">
      <c r="B19643" s="42"/>
      <c r="C19643" s="42"/>
      <c r="D19643" s="42"/>
      <c r="E19643" s="42"/>
      <c r="F19643" s="42"/>
      <c r="G19643" s="42"/>
      <c r="H19643" s="42">
        <f t="shared" si="1"/>
        <v>3345</v>
      </c>
    </row>
    <row r="19644" ht="22.5" customHeight="1">
      <c r="B19644" s="42"/>
      <c r="C19644" s="42"/>
      <c r="D19644" s="42"/>
      <c r="E19644" s="42"/>
      <c r="F19644" s="42"/>
      <c r="G19644" s="42"/>
      <c r="H19644" s="42">
        <f t="shared" si="1"/>
        <v>3345</v>
      </c>
    </row>
    <row r="19645" ht="22.5" customHeight="1">
      <c r="B19645" s="42"/>
      <c r="C19645" s="42"/>
      <c r="D19645" s="42"/>
      <c r="E19645" s="42"/>
      <c r="F19645" s="42"/>
      <c r="G19645" s="42"/>
      <c r="H19645" s="42">
        <f t="shared" si="1"/>
        <v>3345</v>
      </c>
    </row>
    <row r="19646" ht="22.5" customHeight="1">
      <c r="B19646" s="42"/>
      <c r="C19646" s="42"/>
      <c r="D19646" s="42"/>
      <c r="E19646" s="42"/>
      <c r="F19646" s="42"/>
      <c r="G19646" s="42"/>
      <c r="H19646" s="42">
        <f t="shared" si="1"/>
        <v>3345</v>
      </c>
    </row>
    <row r="19647" ht="22.5" customHeight="1">
      <c r="B19647" s="42"/>
      <c r="C19647" s="42"/>
      <c r="D19647" s="42"/>
      <c r="E19647" s="42"/>
      <c r="F19647" s="42"/>
      <c r="G19647" s="42"/>
      <c r="H19647" s="42">
        <f t="shared" si="1"/>
        <v>3345</v>
      </c>
    </row>
    <row r="19648" ht="22.5" customHeight="1">
      <c r="B19648" s="42"/>
      <c r="C19648" s="42"/>
      <c r="D19648" s="42"/>
      <c r="E19648" s="42"/>
      <c r="F19648" s="42"/>
      <c r="G19648" s="42"/>
      <c r="H19648" s="42">
        <f t="shared" si="1"/>
        <v>3345</v>
      </c>
    </row>
    <row r="19649" ht="22.5" customHeight="1">
      <c r="B19649" s="42"/>
      <c r="C19649" s="42"/>
      <c r="D19649" s="42"/>
      <c r="E19649" s="42"/>
      <c r="F19649" s="42"/>
      <c r="G19649" s="42"/>
      <c r="H19649" s="42">
        <f t="shared" si="1"/>
        <v>3345</v>
      </c>
    </row>
    <row r="19650" ht="22.5" customHeight="1">
      <c r="B19650" s="42"/>
      <c r="C19650" s="42"/>
      <c r="D19650" s="42"/>
      <c r="E19650" s="42"/>
      <c r="F19650" s="42"/>
      <c r="G19650" s="42"/>
      <c r="H19650" s="42">
        <f t="shared" si="1"/>
        <v>3345</v>
      </c>
    </row>
    <row r="19651" ht="22.5" customHeight="1">
      <c r="B19651" s="42"/>
      <c r="C19651" s="42"/>
      <c r="D19651" s="42"/>
      <c r="E19651" s="42"/>
      <c r="F19651" s="42"/>
      <c r="G19651" s="42"/>
      <c r="H19651" s="42">
        <f t="shared" si="1"/>
        <v>3345</v>
      </c>
    </row>
    <row r="19652" ht="22.5" customHeight="1">
      <c r="B19652" s="42"/>
      <c r="C19652" s="42"/>
      <c r="D19652" s="42"/>
      <c r="E19652" s="42"/>
      <c r="F19652" s="42"/>
      <c r="G19652" s="42"/>
      <c r="H19652" s="42">
        <f t="shared" si="1"/>
        <v>3345</v>
      </c>
    </row>
    <row r="19653" ht="22.5" customHeight="1">
      <c r="B19653" s="42"/>
      <c r="C19653" s="42"/>
      <c r="D19653" s="42"/>
      <c r="E19653" s="42"/>
      <c r="F19653" s="42"/>
      <c r="G19653" s="42"/>
      <c r="H19653" s="42">
        <f t="shared" si="1"/>
        <v>3345</v>
      </c>
    </row>
    <row r="19654" ht="22.5" customHeight="1">
      <c r="B19654" s="42"/>
      <c r="C19654" s="42"/>
      <c r="D19654" s="42"/>
      <c r="E19654" s="42"/>
      <c r="F19654" s="42"/>
      <c r="G19654" s="42"/>
      <c r="H19654" s="42">
        <f t="shared" si="1"/>
        <v>3345</v>
      </c>
    </row>
    <row r="19655" ht="22.5" customHeight="1">
      <c r="B19655" s="42"/>
      <c r="C19655" s="42"/>
      <c r="D19655" s="42"/>
      <c r="E19655" s="42"/>
      <c r="F19655" s="42"/>
      <c r="G19655" s="42"/>
      <c r="H19655" s="42">
        <f t="shared" si="1"/>
        <v>3345</v>
      </c>
    </row>
    <row r="19656" ht="22.5" customHeight="1">
      <c r="B19656" s="42"/>
      <c r="C19656" s="42"/>
      <c r="D19656" s="42"/>
      <c r="E19656" s="42"/>
      <c r="F19656" s="42"/>
      <c r="G19656" s="42"/>
      <c r="H19656" s="42">
        <f t="shared" si="1"/>
        <v>3345</v>
      </c>
    </row>
    <row r="19657" ht="22.5" customHeight="1">
      <c r="B19657" s="42"/>
      <c r="C19657" s="42"/>
      <c r="D19657" s="42"/>
      <c r="E19657" s="42"/>
      <c r="F19657" s="42"/>
      <c r="G19657" s="42"/>
      <c r="H19657" s="42">
        <f t="shared" si="1"/>
        <v>3345</v>
      </c>
    </row>
    <row r="19658" ht="22.5" customHeight="1">
      <c r="B19658" s="42"/>
      <c r="C19658" s="42"/>
      <c r="D19658" s="42"/>
      <c r="E19658" s="42"/>
      <c r="F19658" s="42"/>
      <c r="G19658" s="42"/>
      <c r="H19658" s="42">
        <f t="shared" si="1"/>
        <v>3345</v>
      </c>
    </row>
    <row r="19659" ht="22.5" customHeight="1">
      <c r="B19659" s="42"/>
      <c r="C19659" s="42"/>
      <c r="D19659" s="42"/>
      <c r="E19659" s="42"/>
      <c r="F19659" s="42"/>
      <c r="G19659" s="42"/>
      <c r="H19659" s="42">
        <f t="shared" si="1"/>
        <v>3345</v>
      </c>
    </row>
    <row r="19660" ht="22.5" customHeight="1">
      <c r="B19660" s="42"/>
      <c r="C19660" s="42"/>
      <c r="D19660" s="42"/>
      <c r="E19660" s="42"/>
      <c r="F19660" s="42"/>
      <c r="G19660" s="42"/>
      <c r="H19660" s="42">
        <f t="shared" si="1"/>
        <v>3345</v>
      </c>
    </row>
    <row r="19661" ht="22.5" customHeight="1">
      <c r="B19661" s="42"/>
      <c r="C19661" s="42"/>
      <c r="D19661" s="42"/>
      <c r="E19661" s="42"/>
      <c r="F19661" s="42"/>
      <c r="G19661" s="42"/>
      <c r="H19661" s="42">
        <f t="shared" si="1"/>
        <v>3345</v>
      </c>
    </row>
    <row r="19662" ht="22.5" customHeight="1">
      <c r="B19662" s="42"/>
      <c r="C19662" s="42"/>
      <c r="D19662" s="42"/>
      <c r="E19662" s="42"/>
      <c r="F19662" s="42"/>
      <c r="G19662" s="42"/>
      <c r="H19662" s="42">
        <f t="shared" si="1"/>
        <v>3345</v>
      </c>
    </row>
    <row r="19663" ht="22.5" customHeight="1">
      <c r="B19663" s="42"/>
      <c r="C19663" s="42"/>
      <c r="D19663" s="42"/>
      <c r="E19663" s="42"/>
      <c r="F19663" s="42"/>
      <c r="G19663" s="42"/>
      <c r="H19663" s="42">
        <f t="shared" si="1"/>
        <v>3345</v>
      </c>
    </row>
    <row r="19664" ht="22.5" customHeight="1">
      <c r="B19664" s="42"/>
      <c r="C19664" s="42"/>
      <c r="D19664" s="42"/>
      <c r="E19664" s="42"/>
      <c r="F19664" s="42"/>
      <c r="G19664" s="42"/>
      <c r="H19664" s="42">
        <f t="shared" si="1"/>
        <v>3345</v>
      </c>
    </row>
    <row r="19665" ht="22.5" customHeight="1">
      <c r="B19665" s="42"/>
      <c r="C19665" s="42"/>
      <c r="D19665" s="42"/>
      <c r="E19665" s="42"/>
      <c r="F19665" s="42"/>
      <c r="G19665" s="42"/>
      <c r="H19665" s="42">
        <f t="shared" si="1"/>
        <v>3345</v>
      </c>
    </row>
    <row r="19666" ht="22.5" customHeight="1">
      <c r="B19666" s="42"/>
      <c r="C19666" s="42"/>
      <c r="D19666" s="42"/>
      <c r="E19666" s="42"/>
      <c r="F19666" s="42"/>
      <c r="G19666" s="42"/>
      <c r="H19666" s="42">
        <f t="shared" si="1"/>
        <v>3345</v>
      </c>
    </row>
    <row r="19667" ht="22.5" customHeight="1">
      <c r="B19667" s="42"/>
      <c r="C19667" s="42"/>
      <c r="D19667" s="42"/>
      <c r="E19667" s="42"/>
      <c r="F19667" s="42"/>
      <c r="G19667" s="42"/>
      <c r="H19667" s="42">
        <f t="shared" si="1"/>
        <v>3345</v>
      </c>
    </row>
    <row r="19668" ht="22.5" customHeight="1">
      <c r="B19668" s="42"/>
      <c r="C19668" s="42"/>
      <c r="D19668" s="42"/>
      <c r="E19668" s="42"/>
      <c r="F19668" s="42"/>
      <c r="G19668" s="42"/>
      <c r="H19668" s="42">
        <f t="shared" si="1"/>
        <v>3345</v>
      </c>
    </row>
    <row r="19669" ht="22.5" customHeight="1">
      <c r="B19669" s="42"/>
      <c r="C19669" s="42"/>
      <c r="D19669" s="42"/>
      <c r="E19669" s="42"/>
      <c r="F19669" s="42"/>
      <c r="G19669" s="42"/>
      <c r="H19669" s="42">
        <f t="shared" si="1"/>
        <v>3345</v>
      </c>
    </row>
    <row r="19670" ht="22.5" customHeight="1">
      <c r="B19670" s="42"/>
      <c r="C19670" s="42"/>
      <c r="D19670" s="42"/>
      <c r="E19670" s="42"/>
      <c r="F19670" s="42"/>
      <c r="G19670" s="42"/>
      <c r="H19670" s="42">
        <f t="shared" si="1"/>
        <v>3345</v>
      </c>
    </row>
    <row r="19671" ht="22.5" customHeight="1">
      <c r="B19671" s="42"/>
      <c r="C19671" s="42"/>
      <c r="D19671" s="42"/>
      <c r="E19671" s="42"/>
      <c r="F19671" s="42"/>
      <c r="G19671" s="42"/>
      <c r="H19671" s="42">
        <f t="shared" si="1"/>
        <v>3345</v>
      </c>
    </row>
    <row r="19672" ht="22.5" customHeight="1">
      <c r="B19672" s="42"/>
      <c r="C19672" s="42"/>
      <c r="D19672" s="42"/>
      <c r="E19672" s="42"/>
      <c r="F19672" s="42"/>
      <c r="G19672" s="42"/>
      <c r="H19672" s="42">
        <f t="shared" si="1"/>
        <v>3345</v>
      </c>
    </row>
    <row r="19673" ht="22.5" customHeight="1">
      <c r="B19673" s="42"/>
      <c r="C19673" s="42"/>
      <c r="D19673" s="42"/>
      <c r="E19673" s="42"/>
      <c r="F19673" s="42"/>
      <c r="G19673" s="42"/>
      <c r="H19673" s="42">
        <f t="shared" si="1"/>
        <v>3345</v>
      </c>
    </row>
    <row r="19674" ht="22.5" customHeight="1">
      <c r="B19674" s="42"/>
      <c r="C19674" s="42"/>
      <c r="D19674" s="42"/>
      <c r="E19674" s="42"/>
      <c r="F19674" s="42"/>
      <c r="G19674" s="42"/>
      <c r="H19674" s="42">
        <f t="shared" si="1"/>
        <v>3345</v>
      </c>
    </row>
    <row r="19675" ht="22.5" customHeight="1">
      <c r="B19675" s="42"/>
      <c r="C19675" s="42"/>
      <c r="D19675" s="42"/>
      <c r="E19675" s="42"/>
      <c r="F19675" s="42"/>
      <c r="G19675" s="42"/>
      <c r="H19675" s="42">
        <f t="shared" si="1"/>
        <v>3345</v>
      </c>
    </row>
    <row r="19676" ht="22.5" customHeight="1">
      <c r="B19676" s="42"/>
      <c r="C19676" s="42"/>
      <c r="D19676" s="42"/>
      <c r="E19676" s="42"/>
      <c r="F19676" s="42"/>
      <c r="G19676" s="42"/>
      <c r="H19676" s="42">
        <f t="shared" si="1"/>
        <v>3345</v>
      </c>
    </row>
    <row r="19677" ht="22.5" customHeight="1">
      <c r="B19677" s="42"/>
      <c r="C19677" s="42"/>
      <c r="D19677" s="42"/>
      <c r="E19677" s="42"/>
      <c r="F19677" s="42"/>
      <c r="G19677" s="42"/>
      <c r="H19677" s="42">
        <f t="shared" si="1"/>
        <v>3345</v>
      </c>
    </row>
    <row r="19678" ht="22.5" customHeight="1">
      <c r="B19678" s="42"/>
      <c r="C19678" s="42"/>
      <c r="D19678" s="42"/>
      <c r="E19678" s="42"/>
      <c r="F19678" s="42"/>
      <c r="G19678" s="42"/>
      <c r="H19678" s="42">
        <f t="shared" si="1"/>
        <v>3345</v>
      </c>
    </row>
    <row r="19679" ht="22.5" customHeight="1">
      <c r="B19679" s="42"/>
      <c r="C19679" s="42"/>
      <c r="D19679" s="42"/>
      <c r="E19679" s="42"/>
      <c r="F19679" s="42"/>
      <c r="G19679" s="42"/>
      <c r="H19679" s="42">
        <f t="shared" si="1"/>
        <v>3345</v>
      </c>
    </row>
    <row r="19680" ht="22.5" customHeight="1">
      <c r="B19680" s="42"/>
      <c r="C19680" s="42"/>
      <c r="D19680" s="42"/>
      <c r="E19680" s="42"/>
      <c r="F19680" s="42"/>
      <c r="G19680" s="42"/>
      <c r="H19680" s="42">
        <f t="shared" si="1"/>
        <v>3345</v>
      </c>
    </row>
    <row r="19681" ht="22.5" customHeight="1">
      <c r="B19681" s="42"/>
      <c r="C19681" s="42"/>
      <c r="D19681" s="42"/>
      <c r="E19681" s="42"/>
      <c r="F19681" s="42"/>
      <c r="G19681" s="42"/>
      <c r="H19681" s="42">
        <f t="shared" si="1"/>
        <v>3345</v>
      </c>
    </row>
    <row r="19682" ht="22.5" customHeight="1">
      <c r="B19682" s="42"/>
      <c r="C19682" s="42"/>
      <c r="D19682" s="42"/>
      <c r="E19682" s="42"/>
      <c r="F19682" s="42"/>
      <c r="G19682" s="42"/>
      <c r="H19682" s="42">
        <f t="shared" si="1"/>
        <v>3345</v>
      </c>
    </row>
    <row r="19683" ht="22.5" customHeight="1">
      <c r="B19683" s="42"/>
      <c r="C19683" s="42"/>
      <c r="D19683" s="42"/>
      <c r="E19683" s="42"/>
      <c r="F19683" s="42"/>
      <c r="G19683" s="42"/>
      <c r="H19683" s="42">
        <f t="shared" si="1"/>
        <v>3345</v>
      </c>
    </row>
    <row r="19684" ht="22.5" customHeight="1">
      <c r="B19684" s="42"/>
      <c r="C19684" s="42"/>
      <c r="D19684" s="42"/>
      <c r="E19684" s="42"/>
      <c r="F19684" s="42"/>
      <c r="G19684" s="42"/>
      <c r="H19684" s="42">
        <f t="shared" si="1"/>
        <v>3345</v>
      </c>
    </row>
    <row r="19685" ht="22.5" customHeight="1">
      <c r="B19685" s="42"/>
      <c r="C19685" s="42"/>
      <c r="D19685" s="42"/>
      <c r="E19685" s="42"/>
      <c r="F19685" s="42"/>
      <c r="G19685" s="42"/>
      <c r="H19685" s="42">
        <f t="shared" si="1"/>
        <v>3345</v>
      </c>
    </row>
    <row r="19686" ht="22.5" customHeight="1">
      <c r="B19686" s="42"/>
      <c r="C19686" s="42"/>
      <c r="D19686" s="42"/>
      <c r="E19686" s="42"/>
      <c r="F19686" s="42"/>
      <c r="G19686" s="42"/>
      <c r="H19686" s="42">
        <f t="shared" si="1"/>
        <v>3345</v>
      </c>
    </row>
    <row r="19687" ht="22.5" customHeight="1">
      <c r="B19687" s="42"/>
      <c r="C19687" s="42"/>
      <c r="D19687" s="42"/>
      <c r="E19687" s="42"/>
      <c r="F19687" s="42"/>
      <c r="G19687" s="42"/>
      <c r="H19687" s="42">
        <f t="shared" si="1"/>
        <v>3345</v>
      </c>
    </row>
    <row r="19688" ht="22.5" customHeight="1">
      <c r="B19688" s="42"/>
      <c r="C19688" s="42"/>
      <c r="D19688" s="42"/>
      <c r="E19688" s="42"/>
      <c r="F19688" s="42"/>
      <c r="G19688" s="42"/>
      <c r="H19688" s="42">
        <f t="shared" si="1"/>
        <v>3345</v>
      </c>
    </row>
    <row r="19689" ht="22.5" customHeight="1">
      <c r="B19689" s="42"/>
      <c r="C19689" s="42"/>
      <c r="D19689" s="42"/>
      <c r="E19689" s="42"/>
      <c r="F19689" s="42"/>
      <c r="G19689" s="42"/>
      <c r="H19689" s="42">
        <f t="shared" si="1"/>
        <v>3345</v>
      </c>
    </row>
    <row r="19690" ht="22.5" customHeight="1">
      <c r="B19690" s="42"/>
      <c r="C19690" s="42"/>
      <c r="D19690" s="42"/>
      <c r="E19690" s="42"/>
      <c r="F19690" s="42"/>
      <c r="G19690" s="42"/>
      <c r="H19690" s="42">
        <f t="shared" si="1"/>
        <v>3345</v>
      </c>
    </row>
    <row r="19691" ht="22.5" customHeight="1">
      <c r="B19691" s="42"/>
      <c r="C19691" s="42"/>
      <c r="D19691" s="42"/>
      <c r="E19691" s="42"/>
      <c r="F19691" s="42"/>
      <c r="G19691" s="42"/>
      <c r="H19691" s="42">
        <f t="shared" si="1"/>
        <v>3345</v>
      </c>
    </row>
    <row r="19692" ht="22.5" customHeight="1">
      <c r="B19692" s="42"/>
      <c r="C19692" s="42"/>
      <c r="D19692" s="42"/>
      <c r="E19692" s="42"/>
      <c r="F19692" s="42"/>
      <c r="G19692" s="42"/>
      <c r="H19692" s="42">
        <f t="shared" si="1"/>
        <v>3345</v>
      </c>
    </row>
    <row r="19693" ht="22.5" customHeight="1">
      <c r="B19693" s="42"/>
      <c r="C19693" s="42"/>
      <c r="D19693" s="42"/>
      <c r="E19693" s="42"/>
      <c r="F19693" s="42"/>
      <c r="G19693" s="42"/>
      <c r="H19693" s="42">
        <f t="shared" si="1"/>
        <v>3345</v>
      </c>
    </row>
    <row r="19694" ht="22.5" customHeight="1">
      <c r="B19694" s="42"/>
      <c r="C19694" s="42"/>
      <c r="D19694" s="42"/>
      <c r="E19694" s="42"/>
      <c r="F19694" s="42"/>
      <c r="G19694" s="42"/>
      <c r="H19694" s="42">
        <f t="shared" si="1"/>
        <v>3345</v>
      </c>
    </row>
    <row r="19695" ht="22.5" customHeight="1">
      <c r="B19695" s="42"/>
      <c r="C19695" s="42"/>
      <c r="D19695" s="42"/>
      <c r="E19695" s="42"/>
      <c r="F19695" s="42"/>
      <c r="G19695" s="42"/>
      <c r="H19695" s="42">
        <f t="shared" si="1"/>
        <v>3345</v>
      </c>
    </row>
    <row r="19696" ht="22.5" customHeight="1">
      <c r="B19696" s="42"/>
      <c r="C19696" s="42"/>
      <c r="D19696" s="42"/>
      <c r="E19696" s="42"/>
      <c r="F19696" s="42"/>
      <c r="G19696" s="42"/>
      <c r="H19696" s="42">
        <f t="shared" si="1"/>
        <v>3345</v>
      </c>
    </row>
    <row r="19697" ht="22.5" customHeight="1">
      <c r="B19697" s="42"/>
      <c r="C19697" s="42"/>
      <c r="D19697" s="42"/>
      <c r="E19697" s="42"/>
      <c r="F19697" s="42"/>
      <c r="G19697" s="42"/>
      <c r="H19697" s="42">
        <f t="shared" si="1"/>
        <v>3345</v>
      </c>
    </row>
    <row r="19698" ht="22.5" customHeight="1">
      <c r="B19698" s="42"/>
      <c r="C19698" s="42"/>
      <c r="D19698" s="42"/>
      <c r="E19698" s="42"/>
      <c r="F19698" s="42"/>
      <c r="G19698" s="42"/>
      <c r="H19698" s="42">
        <f t="shared" si="1"/>
        <v>3345</v>
      </c>
    </row>
    <row r="19699" ht="22.5" customHeight="1">
      <c r="B19699" s="42"/>
      <c r="C19699" s="42"/>
      <c r="D19699" s="42"/>
      <c r="E19699" s="42"/>
      <c r="F19699" s="42"/>
      <c r="G19699" s="42"/>
      <c r="H19699" s="42">
        <f t="shared" si="1"/>
        <v>3345</v>
      </c>
    </row>
    <row r="19700" ht="22.5" customHeight="1">
      <c r="B19700" s="42"/>
      <c r="C19700" s="42"/>
      <c r="D19700" s="42"/>
      <c r="E19700" s="42"/>
      <c r="F19700" s="42"/>
      <c r="G19700" s="42"/>
      <c r="H19700" s="42">
        <f t="shared" si="1"/>
        <v>3345</v>
      </c>
    </row>
    <row r="19701" ht="22.5" customHeight="1">
      <c r="B19701" s="42"/>
      <c r="C19701" s="42"/>
      <c r="D19701" s="42"/>
      <c r="E19701" s="42"/>
      <c r="F19701" s="42"/>
      <c r="G19701" s="42"/>
      <c r="H19701" s="42">
        <f t="shared" si="1"/>
        <v>3345</v>
      </c>
    </row>
    <row r="19702" ht="22.5" customHeight="1">
      <c r="B19702" s="42"/>
      <c r="C19702" s="42"/>
      <c r="D19702" s="42"/>
      <c r="E19702" s="42"/>
      <c r="F19702" s="42"/>
      <c r="G19702" s="42"/>
      <c r="H19702" s="42">
        <f t="shared" si="1"/>
        <v>3345</v>
      </c>
    </row>
    <row r="19703" ht="22.5" customHeight="1">
      <c r="B19703" s="42"/>
      <c r="C19703" s="42"/>
      <c r="D19703" s="42"/>
      <c r="E19703" s="42"/>
      <c r="F19703" s="42"/>
      <c r="G19703" s="42"/>
      <c r="H19703" s="42">
        <f t="shared" si="1"/>
        <v>3345</v>
      </c>
    </row>
    <row r="19704" ht="22.5" customHeight="1">
      <c r="B19704" s="42"/>
      <c r="C19704" s="42"/>
      <c r="D19704" s="42"/>
      <c r="E19704" s="42"/>
      <c r="F19704" s="42"/>
      <c r="G19704" s="42"/>
      <c r="H19704" s="42">
        <f t="shared" si="1"/>
        <v>3345</v>
      </c>
    </row>
  </sheetData>
  <hyperlinks>
    <hyperlink r:id="rId1" ref="C1"/>
    <hyperlink r:id="rId2" ref="L5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25"/>
    <col customWidth="1" min="2" max="2" width="5.13"/>
    <col customWidth="1" min="3" max="3" width="27.75"/>
    <col customWidth="1" min="4" max="4" width="14.13"/>
    <col customWidth="1" min="5" max="5" width="18.63"/>
    <col customWidth="1" min="6" max="6" width="12.25"/>
    <col customWidth="1" min="7" max="8" width="17.0"/>
    <col customWidth="1" min="9" max="9" width="15.75"/>
    <col customWidth="1" min="10" max="10" width="15.88"/>
    <col customWidth="1" min="11" max="11" width="17.88"/>
    <col customWidth="1" min="12" max="12" width="20.13"/>
    <col customWidth="1" min="13" max="13" width="11.5"/>
    <col customWidth="1" min="14" max="14" width="16.5"/>
    <col customWidth="1" min="15" max="16" width="13.38"/>
    <col customWidth="1" min="17" max="17" width="16.88"/>
    <col customWidth="1" min="18" max="18" width="18.38"/>
    <col customWidth="1" min="19" max="19" width="14.25"/>
    <col customWidth="1" min="20" max="20" width="19.38"/>
  </cols>
  <sheetData>
    <row r="1" ht="8.25" customHeight="1">
      <c r="A1" s="21" t="s">
        <v>34</v>
      </c>
    </row>
    <row r="2" ht="1.5" customHeight="1"/>
    <row r="3">
      <c r="B3" s="22" t="s">
        <v>37</v>
      </c>
      <c r="E3" s="23" t="s">
        <v>40</v>
      </c>
      <c r="F3" s="23" t="s">
        <v>41</v>
      </c>
      <c r="G3" s="24"/>
      <c r="H3" s="24"/>
      <c r="I3" s="24"/>
      <c r="J3" s="24"/>
      <c r="K3" s="24"/>
    </row>
    <row r="4">
      <c r="B4" s="25" t="s">
        <v>44</v>
      </c>
      <c r="E4" s="26" t="s">
        <v>46</v>
      </c>
    </row>
    <row r="5" ht="25.5" customHeight="1"/>
    <row r="6" ht="22.5" customHeight="1">
      <c r="B6" s="27" t="s">
        <v>48</v>
      </c>
      <c r="C6" s="28" t="s">
        <v>0</v>
      </c>
      <c r="D6" s="27" t="s">
        <v>1</v>
      </c>
      <c r="E6" s="29" t="s">
        <v>55</v>
      </c>
      <c r="F6" s="29" t="s">
        <v>56</v>
      </c>
      <c r="G6" s="28" t="s">
        <v>57</v>
      </c>
      <c r="H6" s="28" t="s">
        <v>2</v>
      </c>
      <c r="I6" s="29" t="s">
        <v>3</v>
      </c>
      <c r="J6" s="29" t="s">
        <v>4</v>
      </c>
      <c r="K6" s="29" t="s">
        <v>5</v>
      </c>
      <c r="L6" s="29" t="s">
        <v>60</v>
      </c>
      <c r="M6" s="29" t="s">
        <v>61</v>
      </c>
      <c r="N6" s="29" t="s">
        <v>62</v>
      </c>
      <c r="O6" s="29" t="s">
        <v>64</v>
      </c>
      <c r="P6" s="29" t="s">
        <v>66</v>
      </c>
      <c r="Q6" s="29" t="s">
        <v>67</v>
      </c>
      <c r="R6" s="29" t="s">
        <v>6</v>
      </c>
      <c r="S6" s="29" t="s">
        <v>7</v>
      </c>
      <c r="T6" s="29" t="s">
        <v>8</v>
      </c>
    </row>
    <row r="7" ht="22.5" customHeight="1">
      <c r="B7" s="30">
        <v>1.0</v>
      </c>
      <c r="C7" s="31" t="s">
        <v>72</v>
      </c>
      <c r="D7" s="34" t="str">
        <f t="array" ref="D7">IFNA(_xlfn.XLOOKUP(C7,Table_Tarikan_Warkah[Nomor Sertipikat],Table_Tarikan_Warkah[Nomor Tiket]),"")</f>
        <v>K/28/141024/1</v>
      </c>
      <c r="E7" s="36" t="str">
        <f t="array" ref="E7">IFNA(_xlfn.XLOOKUP(C7,Table_Tarikan_Warkah[Nomor Sertipikat],Table_Tarikan_Warkah[Tanggal diserahkan kepada Validator]),"")</f>
        <v>14/10/2024 15.07</v>
      </c>
      <c r="F7" s="36" t="str">
        <f t="array" ref="F7">IFNA(_xlfn.XLOOKUP(C7,Table_Tarikan_Warkah[Nomor Sertipikat],Table_Tarikan_Warkah[Nama Petugas Warkah]),"")</f>
        <v>Berry</v>
      </c>
      <c r="G7" s="39" t="str">
        <f t="array" ref="G7">IFNA(_xlfn.XLOOKUP(C7,Table_Tarikan_Warkah[Nomor Sertipikat],Table_Tarikan_Warkah[Jenis Permohonan]),"")</f>
        <v>PERALIHAN JUAL BELI</v>
      </c>
      <c r="H7" s="41" t="s">
        <v>20</v>
      </c>
      <c r="I7" s="41" t="s">
        <v>12</v>
      </c>
      <c r="J7" s="36">
        <f t="shared" ref="J7:J59" si="1">IF(I7="Selesai",IF(J7&lt;&gt;"",J7,NOW()),"")</f>
        <v>45580.701</v>
      </c>
      <c r="K7" s="41" t="s">
        <v>26</v>
      </c>
      <c r="L7" s="41" t="s">
        <v>12</v>
      </c>
      <c r="M7" s="36">
        <f t="shared" ref="M7:M59" si="2">IF(L7="Selesai",IF(M7&lt;&gt;"",M7,NOW()),"")</f>
        <v>45580.72457</v>
      </c>
      <c r="N7" s="30" t="str">
        <f t="shared" ref="N7:N719" si="3">if(D7="","", IF(AND(I7="Selesai",L7="Selesai"),"SELESAI",if(and(I7="Selesai (Via Permohonan)",L7="Selesai (Via Permohonan)"),"Selesai",if(and(I7="Selesai (Via Permohonan)",L7="Selesai"),"Selesai",if(and(I7="Selesai",L7="Selesai (Via Permohonan)"),"Selesai","BT atau SU Belum Valid")))))</f>
        <v>SELESAI</v>
      </c>
      <c r="O7" s="45">
        <f t="shared" ref="O7:O11" si="4">IF(and(L7="Selesai",I7="Selesai"),IF(M7&lt;&gt;"",M7,NOW()),"")</f>
        <v>45580.72457</v>
      </c>
      <c r="P7" s="47" t="b">
        <v>0</v>
      </c>
      <c r="Q7" s="36" t="str">
        <f t="shared" ref="Q7:Q215" si="5">IF(P7=TRUE,IF(Q7&lt;&gt;"",Q7,NOW()),"")</f>
        <v/>
      </c>
      <c r="R7" s="47" t="b">
        <v>1</v>
      </c>
      <c r="S7" s="36">
        <f t="shared" ref="S7:S719" si="6">IF(R7=TRUE,IF(S7&lt;&gt;"",S7,NOW()),"")</f>
        <v>45581.4198</v>
      </c>
      <c r="T7" s="42"/>
    </row>
    <row r="8" ht="22.5" customHeight="1">
      <c r="B8" s="42">
        <f t="shared" ref="B8:B5241" si="7">B7+1</f>
        <v>2</v>
      </c>
      <c r="C8" s="31" t="s">
        <v>139</v>
      </c>
      <c r="D8" s="34" t="str">
        <f t="array" ref="D8">IFNA(_xlfn.XLOOKUP(C8,Table_Tarikan_Warkah[Nomor Sertipikat],Table_Tarikan_Warkah[Nomor Tiket]),"")</f>
        <v>K/9/141024/1</v>
      </c>
      <c r="E8" s="36" t="str">
        <f t="array" ref="E8">IFNA(_xlfn.XLOOKUP(C8,Table_Tarikan_Warkah[Nomor Sertipikat],Table_Tarikan_Warkah[Tanggal diserahkan kepada Validator]),"")</f>
        <v/>
      </c>
      <c r="F8" s="36" t="str">
        <f t="array" ref="F8">IFNA(_xlfn.XLOOKUP(C8,Table_Tarikan_Warkah[Nomor Sertipikat],Table_Tarikan_Warkah[Nama Petugas Warkah]),"")</f>
        <v/>
      </c>
      <c r="G8" s="39" t="str">
        <f t="array" ref="G8">IFNA(_xlfn.XLOOKUP(C8,Table_Tarikan_Warkah[Nomor Sertipikat],Table_Tarikan_Warkah[Jenis Permohonan]),"")</f>
        <v>ROYA</v>
      </c>
      <c r="H8" s="41" t="s">
        <v>20</v>
      </c>
      <c r="I8" s="41" t="s">
        <v>12</v>
      </c>
      <c r="J8" s="36">
        <f t="shared" si="1"/>
        <v>45580.701</v>
      </c>
      <c r="K8" s="41" t="s">
        <v>26</v>
      </c>
      <c r="L8" s="41" t="s">
        <v>12</v>
      </c>
      <c r="M8" s="36">
        <f t="shared" si="2"/>
        <v>45580.72457</v>
      </c>
      <c r="N8" s="30" t="str">
        <f t="shared" si="3"/>
        <v>SELESAI</v>
      </c>
      <c r="O8" s="45">
        <f t="shared" si="4"/>
        <v>45580.72457</v>
      </c>
      <c r="P8" s="47" t="b">
        <v>0</v>
      </c>
      <c r="Q8" s="36" t="str">
        <f t="shared" si="5"/>
        <v/>
      </c>
      <c r="R8" s="47" t="b">
        <v>1</v>
      </c>
      <c r="S8" s="36">
        <f t="shared" si="6"/>
        <v>45581.41975</v>
      </c>
      <c r="T8" s="42"/>
    </row>
    <row r="9" ht="22.5" customHeight="1">
      <c r="B9" s="42">
        <f t="shared" si="7"/>
        <v>3</v>
      </c>
      <c r="C9" s="31" t="s">
        <v>161</v>
      </c>
      <c r="D9" s="34" t="str">
        <f t="array" ref="D9">IFNA(_xlfn.XLOOKUP(C9,Table_Tarikan_Warkah[Nomor Sertipikat],Table_Tarikan_Warkah[Nomor Tiket]),"")</f>
        <v>L/18/151024/1</v>
      </c>
      <c r="E9" s="36" t="str">
        <f t="array" ref="E9">IFNA(_xlfn.XLOOKUP(C9,Table_Tarikan_Warkah[Nomor Sertipikat],Table_Tarikan_Warkah[Tanggal diserahkan kepada Validator]),"")</f>
        <v>16/10/2024 08.23</v>
      </c>
      <c r="F9" s="36" t="str">
        <f t="array" ref="F9">IFNA(_xlfn.XLOOKUP(C9,Table_Tarikan_Warkah[Nomor Sertipikat],Table_Tarikan_Warkah[Nama Petugas Warkah]),"")</f>
        <v>Berry</v>
      </c>
      <c r="G9" s="39" t="str">
        <f t="array" ref="G9">IFNA(_xlfn.XLOOKUP(C9,Table_Tarikan_Warkah[Nomor Sertipikat],Table_Tarikan_Warkah[Jenis Permohonan]),"")</f>
        <v>BN JUAL BELI</v>
      </c>
      <c r="H9" s="41" t="s">
        <v>20</v>
      </c>
      <c r="I9" s="41" t="s">
        <v>12</v>
      </c>
      <c r="J9" s="36">
        <f t="shared" si="1"/>
        <v>45581.48616</v>
      </c>
      <c r="K9" s="41" t="s">
        <v>26</v>
      </c>
      <c r="L9" s="41" t="s">
        <v>12</v>
      </c>
      <c r="M9" s="36">
        <f t="shared" si="2"/>
        <v>45581.48315</v>
      </c>
      <c r="N9" s="30" t="str">
        <f t="shared" si="3"/>
        <v>SELESAI</v>
      </c>
      <c r="O9" s="45">
        <f t="shared" si="4"/>
        <v>45581.48315</v>
      </c>
      <c r="P9" s="47" t="b">
        <v>1</v>
      </c>
      <c r="Q9" s="36">
        <f t="shared" si="5"/>
        <v>45581.48323</v>
      </c>
      <c r="R9" s="47" t="b">
        <v>0</v>
      </c>
      <c r="S9" s="42" t="str">
        <f t="shared" si="6"/>
        <v/>
      </c>
      <c r="T9" s="42"/>
    </row>
    <row r="10" ht="22.5" customHeight="1">
      <c r="B10" s="42">
        <f t="shared" si="7"/>
        <v>4</v>
      </c>
      <c r="C10" s="31" t="s">
        <v>194</v>
      </c>
      <c r="D10" s="34" t="str">
        <f t="array" ref="D10">IFNA(_xlfn.XLOOKUP(C10,Table_Tarikan_Warkah[Nomor Sertipikat],Table_Tarikan_Warkah[Nomor Tiket]),"")</f>
        <v>L/43/151024/1</v>
      </c>
      <c r="E10" s="36" t="str">
        <f t="array" ref="E10">IFNA(_xlfn.XLOOKUP(C10,Table_Tarikan_Warkah[Nomor Sertipikat],Table_Tarikan_Warkah[Tanggal diserahkan kepada Validator]),"")</f>
        <v>16/10/2024 08.23</v>
      </c>
      <c r="F10" s="36" t="str">
        <f t="array" ref="F10">IFNA(_xlfn.XLOOKUP(C10,Table_Tarikan_Warkah[Nomor Sertipikat],Table_Tarikan_Warkah[Nama Petugas Warkah]),"")</f>
        <v>Berry</v>
      </c>
      <c r="G10" s="39" t="str">
        <f t="array" ref="G10">IFNA(_xlfn.XLOOKUP(C10,Table_Tarikan_Warkah[Nomor Sertipikat],Table_Tarikan_Warkah[Jenis Permohonan]),"")</f>
        <v>ROYA</v>
      </c>
      <c r="H10" s="41" t="s">
        <v>20</v>
      </c>
      <c r="I10" s="41" t="s">
        <v>12</v>
      </c>
      <c r="J10" s="36">
        <f t="shared" si="1"/>
        <v>45581.58696</v>
      </c>
      <c r="K10" s="41" t="s">
        <v>197</v>
      </c>
      <c r="L10" s="41" t="s">
        <v>12</v>
      </c>
      <c r="M10" s="36">
        <f t="shared" si="2"/>
        <v>45582.61318</v>
      </c>
      <c r="N10" s="30" t="str">
        <f t="shared" si="3"/>
        <v>SELESAI</v>
      </c>
      <c r="O10" s="45">
        <f t="shared" si="4"/>
        <v>45582.61318</v>
      </c>
      <c r="P10" s="47" t="b">
        <v>0</v>
      </c>
      <c r="Q10" s="36" t="str">
        <f t="shared" si="5"/>
        <v/>
      </c>
      <c r="R10" s="47" t="b">
        <v>1</v>
      </c>
      <c r="S10" s="36">
        <f t="shared" si="6"/>
        <v>45582.61318</v>
      </c>
      <c r="T10" s="42"/>
    </row>
    <row r="11" ht="22.5" customHeight="1">
      <c r="B11" s="42">
        <f t="shared" si="7"/>
        <v>5</v>
      </c>
      <c r="C11" s="31" t="s">
        <v>198</v>
      </c>
      <c r="D11" s="34" t="str">
        <f t="array" ref="D11">IFNA(_xlfn.XLOOKUP(C11,Table_Tarikan_Warkah[Nomor Sertipikat],Table_Tarikan_Warkah[Nomor Tiket]),"")</f>
        <v>K/42/151024/3</v>
      </c>
      <c r="E11" s="36" t="str">
        <f t="array" ref="E11">IFNA(_xlfn.XLOOKUP(C11,Table_Tarikan_Warkah[Nomor Sertipikat],Table_Tarikan_Warkah[Tanggal diserahkan kepada Validator]),"")</f>
        <v>16/10/2024 08.23</v>
      </c>
      <c r="F11" s="36" t="str">
        <f t="array" ref="F11">IFNA(_xlfn.XLOOKUP(C11,Table_Tarikan_Warkah[Nomor Sertipikat],Table_Tarikan_Warkah[Nama Petugas Warkah]),"")</f>
        <v>Berry</v>
      </c>
      <c r="G11" s="39" t="str">
        <f t="array" ref="G11">IFNA(_xlfn.XLOOKUP(C11,Table_Tarikan_Warkah[Nomor Sertipikat],Table_Tarikan_Warkah[Jenis Permohonan]),"")</f>
        <v>BN Kewarisan</v>
      </c>
      <c r="H11" s="41" t="s">
        <v>20</v>
      </c>
      <c r="I11" s="41" t="s">
        <v>12</v>
      </c>
      <c r="J11" s="36">
        <f t="shared" si="1"/>
        <v>45581.58894</v>
      </c>
      <c r="K11" s="41" t="s">
        <v>197</v>
      </c>
      <c r="L11" s="41" t="s">
        <v>12</v>
      </c>
      <c r="M11" s="36">
        <f t="shared" si="2"/>
        <v>45582.61318</v>
      </c>
      <c r="N11" s="30" t="str">
        <f t="shared" si="3"/>
        <v>SELESAI</v>
      </c>
      <c r="O11" s="45">
        <f t="shared" si="4"/>
        <v>45582.61318</v>
      </c>
      <c r="P11" s="47" t="b">
        <v>0</v>
      </c>
      <c r="Q11" s="36" t="str">
        <f t="shared" si="5"/>
        <v/>
      </c>
      <c r="R11" s="47" t="b">
        <v>1</v>
      </c>
      <c r="S11" s="36">
        <f t="shared" si="6"/>
        <v>45582.61318</v>
      </c>
      <c r="T11" s="42"/>
    </row>
    <row r="12" ht="22.5" customHeight="1">
      <c r="B12" s="42">
        <f t="shared" si="7"/>
        <v>6</v>
      </c>
      <c r="C12" s="31" t="s">
        <v>199</v>
      </c>
      <c r="D12" s="34" t="str">
        <f t="array" ref="D12">IFNA(_xlfn.XLOOKUP(C12,Table_Tarikan_Warkah[Nomor Sertipikat],Table_Tarikan_Warkah[Nomor Tiket]),"")</f>
        <v>L/26/151024/1</v>
      </c>
      <c r="E12" s="36" t="str">
        <f t="array" ref="E12">IFNA(_xlfn.XLOOKUP(C12,Table_Tarikan_Warkah[Nomor Sertipikat],Table_Tarikan_Warkah[Tanggal diserahkan kepada Validator]),"")</f>
        <v>16/10/2024 08.24</v>
      </c>
      <c r="F12" s="36" t="str">
        <f t="array" ref="F12">IFNA(_xlfn.XLOOKUP(C12,Table_Tarikan_Warkah[Nomor Sertipikat],Table_Tarikan_Warkah[Nama Petugas Warkah]),"")</f>
        <v>Berry</v>
      </c>
      <c r="G12" s="39" t="str">
        <f t="array" ref="G12">IFNA(_xlfn.XLOOKUP(C12,Table_Tarikan_Warkah[Nomor Sertipikat],Table_Tarikan_Warkah[Jenis Permohonan]),"")</f>
        <v>ROYA</v>
      </c>
      <c r="H12" s="41" t="s">
        <v>20</v>
      </c>
      <c r="I12" s="41" t="s">
        <v>12</v>
      </c>
      <c r="J12" s="36">
        <f t="shared" si="1"/>
        <v>45581.62427</v>
      </c>
      <c r="K12" s="41" t="s">
        <v>197</v>
      </c>
      <c r="L12" s="41" t="s">
        <v>12</v>
      </c>
      <c r="M12" s="36">
        <f t="shared" si="2"/>
        <v>45594.40357</v>
      </c>
      <c r="N12" s="30" t="str">
        <f t="shared" si="3"/>
        <v>SELESAI</v>
      </c>
      <c r="O12" s="45">
        <f>IF(N12="Selesai",IF(M12&lt;&gt;"",M12,NOW()),"")</f>
        <v>45594.40357</v>
      </c>
      <c r="P12" s="47" t="b">
        <v>0</v>
      </c>
      <c r="Q12" s="36" t="str">
        <f t="shared" si="5"/>
        <v/>
      </c>
      <c r="R12" s="47" t="b">
        <v>0</v>
      </c>
      <c r="S12" s="42" t="str">
        <f t="shared" si="6"/>
        <v/>
      </c>
      <c r="T12" s="42"/>
    </row>
    <row r="13" ht="22.5" customHeight="1">
      <c r="B13" s="42">
        <f t="shared" si="7"/>
        <v>7</v>
      </c>
      <c r="C13" s="31" t="s">
        <v>200</v>
      </c>
      <c r="D13" s="34" t="str">
        <f t="array" ref="D13">IFNA(_xlfn.XLOOKUP(C13,Table_Tarikan_Warkah[Nomor Sertipikat],Table_Tarikan_Warkah[Nomor Tiket]),"")</f>
        <v>K/41/151024/2</v>
      </c>
      <c r="E13" s="36" t="str">
        <f t="array" ref="E13">IFNA(_xlfn.XLOOKUP(C13,Table_Tarikan_Warkah[Nomor Sertipikat],Table_Tarikan_Warkah[Tanggal diserahkan kepada Validator]),"")</f>
        <v>16/10/2024 08.22</v>
      </c>
      <c r="F13" s="36" t="str">
        <f t="array" ref="F13">IFNA(_xlfn.XLOOKUP(C13,Table_Tarikan_Warkah[Nomor Sertipikat],Table_Tarikan_Warkah[Nama Petugas Warkah]),"")</f>
        <v>David</v>
      </c>
      <c r="G13" s="39" t="str">
        <f t="array" ref="G13">IFNA(_xlfn.XLOOKUP(C13,Table_Tarikan_Warkah[Nomor Sertipikat],Table_Tarikan_Warkah[Jenis Permohonan]),"")</f>
        <v>BN Jual Beli</v>
      </c>
      <c r="H13" s="41" t="s">
        <v>11</v>
      </c>
      <c r="I13" s="41" t="s">
        <v>12</v>
      </c>
      <c r="J13" s="36">
        <f t="shared" si="1"/>
        <v>45581.64832</v>
      </c>
      <c r="K13" s="41" t="s">
        <v>197</v>
      </c>
      <c r="L13" s="41" t="s">
        <v>12</v>
      </c>
      <c r="M13" s="36">
        <f t="shared" si="2"/>
        <v>45582.61377</v>
      </c>
      <c r="N13" s="30" t="str">
        <f t="shared" si="3"/>
        <v>SELESAI</v>
      </c>
      <c r="O13" s="45">
        <f t="shared" ref="O13:O18" si="8">IF(and(L13="Selesai",I13="Selesai"),IF(M13&lt;&gt;"",M13,NOW()),"")</f>
        <v>45582.61377</v>
      </c>
      <c r="P13" s="47" t="b">
        <v>0</v>
      </c>
      <c r="Q13" s="36" t="str">
        <f t="shared" si="5"/>
        <v/>
      </c>
      <c r="R13" s="47" t="b">
        <v>1</v>
      </c>
      <c r="S13" s="36">
        <f t="shared" si="6"/>
        <v>45582.61379</v>
      </c>
      <c r="T13" s="42"/>
    </row>
    <row r="14" ht="22.5" customHeight="1">
      <c r="B14" s="42">
        <f t="shared" si="7"/>
        <v>8</v>
      </c>
      <c r="C14" s="31" t="s">
        <v>201</v>
      </c>
      <c r="D14" s="34" t="str">
        <f t="array" ref="D14">IFNA(_xlfn.XLOOKUP(C14,Table_Tarikan_Warkah[Nomor Sertipikat],Table_Tarikan_Warkah[Nomor Tiket]),"")</f>
        <v>K/12/151024/2</v>
      </c>
      <c r="E14" s="36" t="str">
        <f t="array" ref="E14">IFNA(_xlfn.XLOOKUP(C14,Table_Tarikan_Warkah[Nomor Sertipikat],Table_Tarikan_Warkah[Tanggal diserahkan kepada Validator]),"")</f>
        <v>22/10/2024 15.24</v>
      </c>
      <c r="F14" s="36" t="str">
        <f t="array" ref="F14">IFNA(_xlfn.XLOOKUP(C14,Table_Tarikan_Warkah[Nomor Sertipikat],Table_Tarikan_Warkah[Nama Petugas Warkah]),"")</f>
        <v>David</v>
      </c>
      <c r="G14" s="39" t="str">
        <f t="array" ref="G14">IFNA(_xlfn.XLOOKUP(C14,Table_Tarikan_Warkah[Nomor Sertipikat],Table_Tarikan_Warkah[Jenis Permohonan]),"")</f>
        <v>BN Jual Beli</v>
      </c>
      <c r="H14" s="41" t="s">
        <v>20</v>
      </c>
      <c r="I14" s="41" t="s">
        <v>12</v>
      </c>
      <c r="J14" s="36">
        <f t="shared" si="1"/>
        <v>45582.48803</v>
      </c>
      <c r="K14" s="41" t="s">
        <v>197</v>
      </c>
      <c r="L14" s="41" t="s">
        <v>12</v>
      </c>
      <c r="M14" s="36">
        <f t="shared" si="2"/>
        <v>45587.66803</v>
      </c>
      <c r="N14" s="30" t="str">
        <f t="shared" si="3"/>
        <v>SELESAI</v>
      </c>
      <c r="O14" s="45">
        <f t="shared" si="8"/>
        <v>45587.66803</v>
      </c>
      <c r="P14" s="47" t="b">
        <v>0</v>
      </c>
      <c r="Q14" s="36" t="str">
        <f t="shared" si="5"/>
        <v/>
      </c>
      <c r="R14" s="47" t="b">
        <v>1</v>
      </c>
      <c r="S14" s="36">
        <f t="shared" si="6"/>
        <v>45587.66803</v>
      </c>
      <c r="T14" s="30" t="s">
        <v>202</v>
      </c>
    </row>
    <row r="15" ht="22.5" customHeight="1">
      <c r="B15" s="42">
        <f t="shared" si="7"/>
        <v>9</v>
      </c>
      <c r="C15" s="31" t="s">
        <v>203</v>
      </c>
      <c r="D15" s="34" t="str">
        <f t="array" ref="D15">IFNA(_xlfn.XLOOKUP(C15,Table_Tarikan_Warkah[Nomor Sertipikat],Table_Tarikan_Warkah[Nomor Tiket]),"")</f>
        <v>K/13/161024/1</v>
      </c>
      <c r="E15" s="36" t="str">
        <f t="array" ref="E15">IFNA(_xlfn.XLOOKUP(C15,Table_Tarikan_Warkah[Nomor Sertipikat],Table_Tarikan_Warkah[Tanggal diserahkan kepada Validator]),"")</f>
        <v>17/10/2024 14.03</v>
      </c>
      <c r="F15" s="36" t="str">
        <f t="array" ref="F15">IFNA(_xlfn.XLOOKUP(C15,Table_Tarikan_Warkah[Nomor Sertipikat],Table_Tarikan_Warkah[Nama Petugas Warkah]),"")</f>
        <v>David</v>
      </c>
      <c r="G15" s="39" t="str">
        <f t="array" ref="G15">IFNA(_xlfn.XLOOKUP(C15,Table_Tarikan_Warkah[Nomor Sertipikat],Table_Tarikan_Warkah[Jenis Permohonan]),"")</f>
        <v>BN Jual Beli</v>
      </c>
      <c r="H15" s="41" t="s">
        <v>11</v>
      </c>
      <c r="I15" s="41" t="s">
        <v>12</v>
      </c>
      <c r="J15" s="36">
        <f t="shared" si="1"/>
        <v>45582.61777</v>
      </c>
      <c r="K15" s="41" t="s">
        <v>197</v>
      </c>
      <c r="L15" s="41" t="s">
        <v>12</v>
      </c>
      <c r="M15" s="36">
        <f t="shared" si="2"/>
        <v>45583.71007</v>
      </c>
      <c r="N15" s="30" t="str">
        <f t="shared" si="3"/>
        <v>SELESAI</v>
      </c>
      <c r="O15" s="45">
        <f t="shared" si="8"/>
        <v>45583.71007</v>
      </c>
      <c r="P15" s="47" t="b">
        <v>0</v>
      </c>
      <c r="Q15" s="36" t="str">
        <f t="shared" si="5"/>
        <v/>
      </c>
      <c r="R15" s="47" t="b">
        <v>1</v>
      </c>
      <c r="S15" s="36">
        <f t="shared" si="6"/>
        <v>45583.71011</v>
      </c>
      <c r="T15" s="42"/>
    </row>
    <row r="16" ht="22.5" customHeight="1">
      <c r="B16" s="42">
        <f t="shared" si="7"/>
        <v>10</v>
      </c>
      <c r="C16" s="31" t="s">
        <v>204</v>
      </c>
      <c r="D16" s="34" t="str">
        <f t="array" ref="D16">IFNA(_xlfn.XLOOKUP(C16,Table_Tarikan_Warkah[Nomor Sertipikat],Table_Tarikan_Warkah[Nomor Tiket]),"")</f>
        <v>L/16/161024/1</v>
      </c>
      <c r="E16" s="36" t="str">
        <f t="array" ref="E16">IFNA(_xlfn.XLOOKUP(C16,Table_Tarikan_Warkah[Nomor Sertipikat],Table_Tarikan_Warkah[Tanggal diserahkan kepada Validator]),"")</f>
        <v>17/10/2024 10.00</v>
      </c>
      <c r="F16" s="36" t="str">
        <f t="array" ref="F16">IFNA(_xlfn.XLOOKUP(C16,Table_Tarikan_Warkah[Nomor Sertipikat],Table_Tarikan_Warkah[Nama Petugas Warkah]),"")</f>
        <v>David</v>
      </c>
      <c r="G16" s="39" t="str">
        <f t="array" ref="G16">IFNA(_xlfn.XLOOKUP(C16,Table_Tarikan_Warkah[Nomor Sertipikat],Table_Tarikan_Warkah[Jenis Permohonan]),"")</f>
        <v>ROYA</v>
      </c>
      <c r="H16" s="41" t="s">
        <v>11</v>
      </c>
      <c r="I16" s="41" t="s">
        <v>12</v>
      </c>
      <c r="J16" s="36">
        <f t="shared" si="1"/>
        <v>45582.61887</v>
      </c>
      <c r="K16" s="41" t="s">
        <v>197</v>
      </c>
      <c r="L16" s="41" t="s">
        <v>12</v>
      </c>
      <c r="M16" s="36">
        <f t="shared" si="2"/>
        <v>45583.71037</v>
      </c>
      <c r="N16" s="30" t="str">
        <f t="shared" si="3"/>
        <v>SELESAI</v>
      </c>
      <c r="O16" s="45">
        <f t="shared" si="8"/>
        <v>45583.71037</v>
      </c>
      <c r="P16" s="47" t="b">
        <v>0</v>
      </c>
      <c r="Q16" s="36" t="str">
        <f t="shared" si="5"/>
        <v/>
      </c>
      <c r="R16" s="47" t="b">
        <v>0</v>
      </c>
      <c r="S16" s="42" t="str">
        <f t="shared" si="6"/>
        <v/>
      </c>
      <c r="T16" s="42"/>
    </row>
    <row r="17" ht="22.5" customHeight="1">
      <c r="B17" s="42">
        <f t="shared" si="7"/>
        <v>11</v>
      </c>
      <c r="C17" s="31" t="s">
        <v>205</v>
      </c>
      <c r="D17" s="34" t="str">
        <f t="array" ref="D17">IFNA(_xlfn.XLOOKUP(C17,Table_Tarikan_Warkah[Nomor Sertipikat],Table_Tarikan_Warkah[Nomor Tiket]),"")</f>
        <v>L/6/171024/1</v>
      </c>
      <c r="E17" s="36" t="str">
        <f t="array" ref="E17">IFNA(_xlfn.XLOOKUP(C17,Table_Tarikan_Warkah[Nomor Sertipikat],Table_Tarikan_Warkah[Tanggal diserahkan kepada Validator]),"")</f>
        <v>17/10/2024 15.15</v>
      </c>
      <c r="F17" s="36" t="str">
        <f t="array" ref="F17">IFNA(_xlfn.XLOOKUP(C17,Table_Tarikan_Warkah[Nomor Sertipikat],Table_Tarikan_Warkah[Nama Petugas Warkah]),"")</f>
        <v>Berry</v>
      </c>
      <c r="G17" s="39" t="str">
        <f t="array" ref="G17">IFNA(_xlfn.XLOOKUP(C17,Table_Tarikan_Warkah[Nomor Sertipikat],Table_Tarikan_Warkah[Jenis Permohonan]),"")</f>
        <v>ROYA</v>
      </c>
      <c r="H17" s="41" t="s">
        <v>11</v>
      </c>
      <c r="I17" s="41" t="s">
        <v>12</v>
      </c>
      <c r="J17" s="36">
        <f t="shared" si="1"/>
        <v>45582.68904</v>
      </c>
      <c r="K17" s="41" t="s">
        <v>197</v>
      </c>
      <c r="L17" s="41" t="s">
        <v>12</v>
      </c>
      <c r="M17" s="36">
        <f t="shared" si="2"/>
        <v>45583.71007</v>
      </c>
      <c r="N17" s="30" t="str">
        <f t="shared" si="3"/>
        <v>SELESAI</v>
      </c>
      <c r="O17" s="45">
        <f t="shared" si="8"/>
        <v>45583.71007</v>
      </c>
      <c r="P17" s="47" t="b">
        <v>0</v>
      </c>
      <c r="Q17" s="36" t="str">
        <f t="shared" si="5"/>
        <v/>
      </c>
      <c r="R17" s="47" t="b">
        <v>1</v>
      </c>
      <c r="S17" s="36">
        <f t="shared" si="6"/>
        <v>45583.71007</v>
      </c>
      <c r="T17" s="42"/>
    </row>
    <row r="18" ht="22.5" customHeight="1">
      <c r="B18" s="42">
        <f t="shared" si="7"/>
        <v>12</v>
      </c>
      <c r="C18" s="31" t="s">
        <v>206</v>
      </c>
      <c r="D18" s="34" t="str">
        <f t="array" ref="D18">IFNA(_xlfn.XLOOKUP(C18,Table_Tarikan_Warkah[Nomor Sertipikat],Table_Tarikan_Warkah[Nomor Tiket]),"")</f>
        <v>L/11/171024/1</v>
      </c>
      <c r="E18" s="36" t="str">
        <f t="array" ref="E18">IFNA(_xlfn.XLOOKUP(C18,Table_Tarikan_Warkah[Nomor Sertipikat],Table_Tarikan_Warkah[Tanggal diserahkan kepada Validator]),"")</f>
        <v>17/10/2024 15.15</v>
      </c>
      <c r="F18" s="36" t="str">
        <f t="array" ref="F18">IFNA(_xlfn.XLOOKUP(C18,Table_Tarikan_Warkah[Nomor Sertipikat],Table_Tarikan_Warkah[Nama Petugas Warkah]),"")</f>
        <v>Berry</v>
      </c>
      <c r="G18" s="39" t="str">
        <f t="array" ref="G18">IFNA(_xlfn.XLOOKUP(C18,Table_Tarikan_Warkah[Nomor Sertipikat],Table_Tarikan_Warkah[Jenis Permohonan]),"")</f>
        <v>ROYA</v>
      </c>
      <c r="H18" s="41" t="s">
        <v>11</v>
      </c>
      <c r="I18" s="41" t="s">
        <v>12</v>
      </c>
      <c r="J18" s="36">
        <f t="shared" si="1"/>
        <v>45582.68917</v>
      </c>
      <c r="K18" s="41" t="s">
        <v>197</v>
      </c>
      <c r="L18" s="41" t="s">
        <v>12</v>
      </c>
      <c r="M18" s="36">
        <f t="shared" si="2"/>
        <v>45583.71007</v>
      </c>
      <c r="N18" s="30" t="str">
        <f t="shared" si="3"/>
        <v>SELESAI</v>
      </c>
      <c r="O18" s="45">
        <f t="shared" si="8"/>
        <v>45583.71007</v>
      </c>
      <c r="P18" s="47" t="b">
        <v>0</v>
      </c>
      <c r="Q18" s="36" t="str">
        <f t="shared" si="5"/>
        <v/>
      </c>
      <c r="R18" s="47" t="b">
        <v>1</v>
      </c>
      <c r="S18" s="36">
        <f t="shared" si="6"/>
        <v>45583.71007</v>
      </c>
      <c r="T18" s="42"/>
    </row>
    <row r="19" ht="22.5" customHeight="1">
      <c r="B19" s="42">
        <f t="shared" si="7"/>
        <v>13</v>
      </c>
      <c r="C19" s="31" t="s">
        <v>207</v>
      </c>
      <c r="D19" s="34" t="str">
        <f t="array" ref="D19">IFNA(_xlfn.XLOOKUP(C19,Table_Tarikan_Warkah[Nomor Sertipikat],Table_Tarikan_Warkah[Nomor Tiket]),"")</f>
        <v>K/14/171024/5</v>
      </c>
      <c r="E19" s="36" t="str">
        <f t="array" ref="E19">IFNA(_xlfn.XLOOKUP(C19,Table_Tarikan_Warkah[Nomor Sertipikat],Table_Tarikan_Warkah[Tanggal diserahkan kepada Validator]),"")</f>
        <v>17/10/2024 15.19</v>
      </c>
      <c r="F19" s="36" t="str">
        <f t="array" ref="F19">IFNA(_xlfn.XLOOKUP(C19,Table_Tarikan_Warkah[Nomor Sertipikat],Table_Tarikan_Warkah[Nama Petugas Warkah]),"")</f>
        <v>David</v>
      </c>
      <c r="G19" s="39" t="str">
        <f t="array" ref="G19">IFNA(_xlfn.XLOOKUP(C19,Table_Tarikan_Warkah[Nomor Sertipikat],Table_Tarikan_Warkah[Jenis Permohonan]),"")</f>
        <v>BN Jual Beli</v>
      </c>
      <c r="H19" s="41" t="s">
        <v>11</v>
      </c>
      <c r="I19" s="41" t="s">
        <v>12</v>
      </c>
      <c r="J19" s="36">
        <f t="shared" si="1"/>
        <v>45582.68931</v>
      </c>
      <c r="K19" s="41" t="s">
        <v>197</v>
      </c>
      <c r="L19" s="41" t="s">
        <v>12</v>
      </c>
      <c r="M19" s="36">
        <f t="shared" si="2"/>
        <v>45594.40397</v>
      </c>
      <c r="N19" s="30" t="str">
        <f t="shared" si="3"/>
        <v>SELESAI</v>
      </c>
      <c r="O19" s="45">
        <f>IF(N19="Selesai",IF(M19&lt;&gt;"",M19,NOW()),"")</f>
        <v>45594.40397</v>
      </c>
      <c r="P19" s="47" t="b">
        <v>0</v>
      </c>
      <c r="Q19" s="36" t="str">
        <f t="shared" si="5"/>
        <v/>
      </c>
      <c r="R19" s="47" t="b">
        <v>0</v>
      </c>
      <c r="S19" s="42" t="str">
        <f t="shared" si="6"/>
        <v/>
      </c>
      <c r="T19" s="42"/>
    </row>
    <row r="20" ht="22.5" customHeight="1">
      <c r="B20" s="42">
        <f t="shared" si="7"/>
        <v>14</v>
      </c>
      <c r="C20" s="31" t="s">
        <v>208</v>
      </c>
      <c r="D20" s="34" t="str">
        <f t="array" ref="D20">IFNA(_xlfn.XLOOKUP(C20,Table_Tarikan_Warkah[Nomor Sertipikat],Table_Tarikan_Warkah[Nomor Tiket]),"")</f>
        <v>K/34/181024/2</v>
      </c>
      <c r="E20" s="36" t="str">
        <f t="array" ref="E20">IFNA(_xlfn.XLOOKUP(C20,Table_Tarikan_Warkah[Nomor Sertipikat],Table_Tarikan_Warkah[Tanggal diserahkan kepada Validator]),"")</f>
        <v>21/10/2024 11.42</v>
      </c>
      <c r="F20" s="36" t="str">
        <f t="array" ref="F20">IFNA(_xlfn.XLOOKUP(C20,Table_Tarikan_Warkah[Nomor Sertipikat],Table_Tarikan_Warkah[Nama Petugas Warkah]),"")</f>
        <v>David</v>
      </c>
      <c r="G20" s="39" t="str">
        <f t="array" ref="G20">IFNA(_xlfn.XLOOKUP(C20,Table_Tarikan_Warkah[Nomor Sertipikat],Table_Tarikan_Warkah[Jenis Permohonan]),"")</f>
        <v>PERALIHAN JUAL BELI</v>
      </c>
      <c r="H20" s="41" t="s">
        <v>20</v>
      </c>
      <c r="I20" s="41" t="s">
        <v>12</v>
      </c>
      <c r="J20" s="36">
        <f t="shared" si="1"/>
        <v>45586.5969</v>
      </c>
      <c r="K20" s="41" t="s">
        <v>197</v>
      </c>
      <c r="L20" s="41" t="s">
        <v>12</v>
      </c>
      <c r="M20" s="36">
        <f t="shared" si="2"/>
        <v>45587.69142</v>
      </c>
      <c r="N20" s="30" t="str">
        <f t="shared" si="3"/>
        <v>SELESAI</v>
      </c>
      <c r="O20" s="45">
        <f t="shared" ref="O20:O44" si="9">IF(and(L20="Selesai",I20="Selesai"),IF(M20&lt;&gt;"",M20,NOW()),"")</f>
        <v>45587.69142</v>
      </c>
      <c r="P20" s="47" t="b">
        <v>0</v>
      </c>
      <c r="Q20" s="36" t="str">
        <f t="shared" si="5"/>
        <v/>
      </c>
      <c r="R20" s="47" t="b">
        <v>1</v>
      </c>
      <c r="S20" s="36">
        <f t="shared" si="6"/>
        <v>45587.69147</v>
      </c>
      <c r="T20" s="42"/>
    </row>
    <row r="21" ht="22.5" customHeight="1">
      <c r="B21" s="42">
        <f t="shared" si="7"/>
        <v>15</v>
      </c>
      <c r="C21" s="31" t="s">
        <v>209</v>
      </c>
      <c r="D21" s="34" t="str">
        <f t="array" ref="D21">IFNA(_xlfn.XLOOKUP(C21,Table_Tarikan_Warkah[Nomor Sertipikat],Table_Tarikan_Warkah[Nomor Tiket]),"")</f>
        <v>K/6/181024/1</v>
      </c>
      <c r="E21" s="36" t="str">
        <f t="array" ref="E21">IFNA(_xlfn.XLOOKUP(C21,Table_Tarikan_Warkah[Nomor Sertipikat],Table_Tarikan_Warkah[Tanggal diserahkan kepada Validator]),"")</f>
        <v>21/10/2024 11.42</v>
      </c>
      <c r="F21" s="36" t="str">
        <f t="array" ref="F21">IFNA(_xlfn.XLOOKUP(C21,Table_Tarikan_Warkah[Nomor Sertipikat],Table_Tarikan_Warkah[Nama Petugas Warkah]),"")</f>
        <v>David</v>
      </c>
      <c r="G21" s="39" t="str">
        <f t="array" ref="G21">IFNA(_xlfn.XLOOKUP(C21,Table_Tarikan_Warkah[Nomor Sertipikat],Table_Tarikan_Warkah[Jenis Permohonan]),"")</f>
        <v>Roya</v>
      </c>
      <c r="H21" s="41" t="s">
        <v>20</v>
      </c>
      <c r="I21" s="41" t="s">
        <v>12</v>
      </c>
      <c r="J21" s="36">
        <f t="shared" si="1"/>
        <v>45586.60736</v>
      </c>
      <c r="K21" s="41" t="s">
        <v>197</v>
      </c>
      <c r="L21" s="41" t="s">
        <v>12</v>
      </c>
      <c r="M21" s="36">
        <f t="shared" si="2"/>
        <v>45587.69121</v>
      </c>
      <c r="N21" s="30" t="str">
        <f t="shared" si="3"/>
        <v>SELESAI</v>
      </c>
      <c r="O21" s="45">
        <f t="shared" si="9"/>
        <v>45587.69121</v>
      </c>
      <c r="P21" s="47" t="b">
        <v>0</v>
      </c>
      <c r="Q21" s="36" t="str">
        <f t="shared" si="5"/>
        <v/>
      </c>
      <c r="R21" s="47" t="b">
        <v>1</v>
      </c>
      <c r="S21" s="36">
        <f t="shared" si="6"/>
        <v>45587.69124</v>
      </c>
      <c r="T21" s="42"/>
    </row>
    <row r="22" ht="22.5" customHeight="1">
      <c r="B22" s="42">
        <f t="shared" si="7"/>
        <v>16</v>
      </c>
      <c r="C22" s="31" t="s">
        <v>210</v>
      </c>
      <c r="D22" s="34" t="str">
        <f t="array" ref="D22">IFNA(_xlfn.XLOOKUP(C22,Table_Tarikan_Warkah[Nomor Sertipikat],Table_Tarikan_Warkah[Nomor Tiket]),"")</f>
        <v>L/40/171024/1</v>
      </c>
      <c r="E22" s="36" t="str">
        <f t="array" ref="E22">IFNA(_xlfn.XLOOKUP(C22,Table_Tarikan_Warkah[Nomor Sertipikat],Table_Tarikan_Warkah[Tanggal diserahkan kepada Validator]),"")</f>
        <v>21/10/2024 11.42</v>
      </c>
      <c r="F22" s="36" t="str">
        <f t="array" ref="F22">IFNA(_xlfn.XLOOKUP(C22,Table_Tarikan_Warkah[Nomor Sertipikat],Table_Tarikan_Warkah[Nama Petugas Warkah]),"")</f>
        <v>Berry</v>
      </c>
      <c r="G22" s="39" t="str">
        <f t="array" ref="G22">IFNA(_xlfn.XLOOKUP(C22,Table_Tarikan_Warkah[Nomor Sertipikat],Table_Tarikan_Warkah[Jenis Permohonan]),"")</f>
        <v>ROYA</v>
      </c>
      <c r="H22" s="41" t="s">
        <v>11</v>
      </c>
      <c r="I22" s="41" t="s">
        <v>12</v>
      </c>
      <c r="J22" s="36">
        <f t="shared" si="1"/>
        <v>45586.63064</v>
      </c>
      <c r="K22" s="41" t="s">
        <v>197</v>
      </c>
      <c r="L22" s="41" t="s">
        <v>12</v>
      </c>
      <c r="M22" s="36">
        <f t="shared" si="2"/>
        <v>45587.66803</v>
      </c>
      <c r="N22" s="30" t="str">
        <f t="shared" si="3"/>
        <v>SELESAI</v>
      </c>
      <c r="O22" s="45">
        <f t="shared" si="9"/>
        <v>45587.66803</v>
      </c>
      <c r="P22" s="47" t="b">
        <v>0</v>
      </c>
      <c r="Q22" s="36" t="str">
        <f t="shared" si="5"/>
        <v/>
      </c>
      <c r="R22" s="47" t="b">
        <v>1</v>
      </c>
      <c r="S22" s="36">
        <f t="shared" si="6"/>
        <v>45587.66803</v>
      </c>
      <c r="T22" s="42"/>
    </row>
    <row r="23" ht="22.5" customHeight="1">
      <c r="B23" s="42">
        <f t="shared" si="7"/>
        <v>17</v>
      </c>
      <c r="C23" s="31" t="s">
        <v>211</v>
      </c>
      <c r="D23" s="34" t="str">
        <f t="array" ref="D23">IFNA(_xlfn.XLOOKUP(C23,Table_Tarikan_Warkah[Nomor Sertipikat],Table_Tarikan_Warkah[Nomor Tiket]),"")</f>
        <v>L/44/171024/1</v>
      </c>
      <c r="E23" s="36" t="str">
        <f t="array" ref="E23">IFNA(_xlfn.XLOOKUP(C23,Table_Tarikan_Warkah[Nomor Sertipikat],Table_Tarikan_Warkah[Tanggal diserahkan kepada Validator]),"")</f>
        <v>21/10/2024 11.42</v>
      </c>
      <c r="F23" s="36" t="str">
        <f t="array" ref="F23">IFNA(_xlfn.XLOOKUP(C23,Table_Tarikan_Warkah[Nomor Sertipikat],Table_Tarikan_Warkah[Nama Petugas Warkah]),"")</f>
        <v>Berry</v>
      </c>
      <c r="G23" s="39" t="str">
        <f t="array" ref="G23">IFNA(_xlfn.XLOOKUP(C23,Table_Tarikan_Warkah[Nomor Sertipikat],Table_Tarikan_Warkah[Jenis Permohonan]),"")</f>
        <v>ROYA</v>
      </c>
      <c r="H23" s="41" t="s">
        <v>11</v>
      </c>
      <c r="I23" s="41" t="s">
        <v>12</v>
      </c>
      <c r="J23" s="36">
        <f t="shared" si="1"/>
        <v>45586.63057</v>
      </c>
      <c r="K23" s="41" t="s">
        <v>197</v>
      </c>
      <c r="L23" s="41" t="s">
        <v>12</v>
      </c>
      <c r="M23" s="36">
        <f t="shared" si="2"/>
        <v>45587.66803</v>
      </c>
      <c r="N23" s="30" t="str">
        <f t="shared" si="3"/>
        <v>SELESAI</v>
      </c>
      <c r="O23" s="45">
        <f t="shared" si="9"/>
        <v>45587.66803</v>
      </c>
      <c r="P23" s="47" t="b">
        <v>0</v>
      </c>
      <c r="Q23" s="36" t="str">
        <f t="shared" si="5"/>
        <v/>
      </c>
      <c r="R23" s="47" t="b">
        <v>1</v>
      </c>
      <c r="S23" s="36">
        <f t="shared" si="6"/>
        <v>45587.66803</v>
      </c>
      <c r="T23" s="30" t="s">
        <v>212</v>
      </c>
    </row>
    <row r="24" ht="22.5" customHeight="1">
      <c r="B24" s="42">
        <f t="shared" si="7"/>
        <v>18</v>
      </c>
      <c r="C24" s="31" t="s">
        <v>213</v>
      </c>
      <c r="D24" s="34" t="str">
        <f t="array" ref="D24">IFNA(_xlfn.XLOOKUP(C24,Table_Tarikan_Warkah[Nomor Sertipikat],Table_Tarikan_Warkah[Nomor Tiket]),"")</f>
        <v>K/56/171024/1</v>
      </c>
      <c r="E24" s="36" t="str">
        <f t="array" ref="E24">IFNA(_xlfn.XLOOKUP(C24,Table_Tarikan_Warkah[Nomor Sertipikat],Table_Tarikan_Warkah[Tanggal diserahkan kepada Validator]),"")</f>
        <v>21/10/2024 11.42</v>
      </c>
      <c r="F24" s="36" t="str">
        <f t="array" ref="F24">IFNA(_xlfn.XLOOKUP(C24,Table_Tarikan_Warkah[Nomor Sertipikat],Table_Tarikan_Warkah[Nama Petugas Warkah]),"")</f>
        <v>Berry</v>
      </c>
      <c r="G24" s="39" t="str">
        <f t="array" ref="G24">IFNA(_xlfn.XLOOKUP(C24,Table_Tarikan_Warkah[Nomor Sertipikat],Table_Tarikan_Warkah[Jenis Permohonan]),"")</f>
        <v>ROYA</v>
      </c>
      <c r="H24" s="41" t="s">
        <v>11</v>
      </c>
      <c r="I24" s="41" t="s">
        <v>12</v>
      </c>
      <c r="J24" s="36">
        <f t="shared" si="1"/>
        <v>45586.63051</v>
      </c>
      <c r="K24" s="41" t="s">
        <v>197</v>
      </c>
      <c r="L24" s="41" t="s">
        <v>12</v>
      </c>
      <c r="M24" s="36">
        <f t="shared" si="2"/>
        <v>45587.66803</v>
      </c>
      <c r="N24" s="30" t="str">
        <f t="shared" si="3"/>
        <v>SELESAI</v>
      </c>
      <c r="O24" s="45">
        <f t="shared" si="9"/>
        <v>45587.66803</v>
      </c>
      <c r="P24" s="47" t="b">
        <v>0</v>
      </c>
      <c r="Q24" s="36" t="str">
        <f t="shared" si="5"/>
        <v/>
      </c>
      <c r="R24" s="47" t="b">
        <v>1</v>
      </c>
      <c r="S24" s="36">
        <f t="shared" si="6"/>
        <v>45587.66803</v>
      </c>
      <c r="T24" s="42"/>
    </row>
    <row r="25" ht="22.5" customHeight="1">
      <c r="B25" s="42">
        <f t="shared" si="7"/>
        <v>19</v>
      </c>
      <c r="C25" s="31" t="s">
        <v>214</v>
      </c>
      <c r="D25" s="34" t="str">
        <f t="array" ref="D25">IFNA(_xlfn.XLOOKUP(C25,Table_Tarikan_Warkah[Nomor Sertipikat],Table_Tarikan_Warkah[Nomor Tiket]),"")</f>
        <v>K/42/171024/1</v>
      </c>
      <c r="E25" s="36" t="str">
        <f t="array" ref="E25">IFNA(_xlfn.XLOOKUP(C25,Table_Tarikan_Warkah[Nomor Sertipikat],Table_Tarikan_Warkah[Tanggal diserahkan kepada Validator]),"")</f>
        <v>21/10/2024 11.42</v>
      </c>
      <c r="F25" s="36" t="str">
        <f t="array" ref="F25">IFNA(_xlfn.XLOOKUP(C25,Table_Tarikan_Warkah[Nomor Sertipikat],Table_Tarikan_Warkah[Nama Petugas Warkah]),"")</f>
        <v>Berry</v>
      </c>
      <c r="G25" s="39" t="str">
        <f t="array" ref="G25">IFNA(_xlfn.XLOOKUP(C25,Table_Tarikan_Warkah[Nomor Sertipikat],Table_Tarikan_Warkah[Jenis Permohonan]),"")</f>
        <v>BN Jual Beli</v>
      </c>
      <c r="H25" s="41" t="s">
        <v>11</v>
      </c>
      <c r="I25" s="41" t="s">
        <v>12</v>
      </c>
      <c r="J25" s="36">
        <f t="shared" si="1"/>
        <v>45586.63041</v>
      </c>
      <c r="K25" s="41" t="s">
        <v>197</v>
      </c>
      <c r="L25" s="41" t="s">
        <v>12</v>
      </c>
      <c r="M25" s="36">
        <f t="shared" si="2"/>
        <v>45587.66803</v>
      </c>
      <c r="N25" s="30" t="str">
        <f t="shared" si="3"/>
        <v>SELESAI</v>
      </c>
      <c r="O25" s="45">
        <f t="shared" si="9"/>
        <v>45587.66803</v>
      </c>
      <c r="P25" s="47" t="b">
        <v>0</v>
      </c>
      <c r="Q25" s="36" t="str">
        <f t="shared" si="5"/>
        <v/>
      </c>
      <c r="R25" s="47" t="b">
        <v>1</v>
      </c>
      <c r="S25" s="36">
        <f t="shared" si="6"/>
        <v>45587.66803</v>
      </c>
      <c r="T25" s="42"/>
    </row>
    <row r="26" ht="22.5" customHeight="1">
      <c r="B26" s="42">
        <f t="shared" si="7"/>
        <v>20</v>
      </c>
      <c r="C26" s="31" t="s">
        <v>215</v>
      </c>
      <c r="D26" s="34" t="str">
        <f t="array" ref="D26">IFNA(_xlfn.XLOOKUP(C26,Table_Tarikan_Warkah[Nomor Sertipikat],Table_Tarikan_Warkah[Nomor Tiket]),"")</f>
        <v>L/35/171024/1</v>
      </c>
      <c r="E26" s="36" t="str">
        <f t="array" ref="E26">IFNA(_xlfn.XLOOKUP(C26,Table_Tarikan_Warkah[Nomor Sertipikat],Table_Tarikan_Warkah[Tanggal diserahkan kepada Validator]),"")</f>
        <v>21/10/2024 11.42</v>
      </c>
      <c r="F26" s="36" t="str">
        <f t="array" ref="F26">IFNA(_xlfn.XLOOKUP(C26,Table_Tarikan_Warkah[Nomor Sertipikat],Table_Tarikan_Warkah[Nama Petugas Warkah]),"")</f>
        <v>Berry</v>
      </c>
      <c r="G26" s="39" t="str">
        <f t="array" ref="G26">IFNA(_xlfn.XLOOKUP(C26,Table_Tarikan_Warkah[Nomor Sertipikat],Table_Tarikan_Warkah[Jenis Permohonan]),"")</f>
        <v>ROYA</v>
      </c>
      <c r="H26" s="41" t="s">
        <v>11</v>
      </c>
      <c r="I26" s="41" t="s">
        <v>12</v>
      </c>
      <c r="J26" s="36">
        <f t="shared" si="1"/>
        <v>45586.6303</v>
      </c>
      <c r="K26" s="41" t="s">
        <v>197</v>
      </c>
      <c r="L26" s="41" t="s">
        <v>12</v>
      </c>
      <c r="M26" s="36">
        <f t="shared" si="2"/>
        <v>45587.66803</v>
      </c>
      <c r="N26" s="30" t="str">
        <f t="shared" si="3"/>
        <v>SELESAI</v>
      </c>
      <c r="O26" s="45">
        <f t="shared" si="9"/>
        <v>45587.66803</v>
      </c>
      <c r="P26" s="47" t="b">
        <v>0</v>
      </c>
      <c r="Q26" s="36" t="str">
        <f t="shared" si="5"/>
        <v/>
      </c>
      <c r="R26" s="47" t="b">
        <v>1</v>
      </c>
      <c r="S26" s="36">
        <f t="shared" si="6"/>
        <v>45587.66803</v>
      </c>
      <c r="T26" s="42"/>
    </row>
    <row r="27" ht="22.5" customHeight="1">
      <c r="B27" s="42">
        <f t="shared" si="7"/>
        <v>21</v>
      </c>
      <c r="C27" s="31" t="s">
        <v>216</v>
      </c>
      <c r="D27" s="34" t="str">
        <f t="array" ref="D27">IFNA(_xlfn.XLOOKUP(C27,Table_Tarikan_Warkah[Nomor Sertipikat],Table_Tarikan_Warkah[Nomor Tiket]),"")</f>
        <v>L/57/181024/1</v>
      </c>
      <c r="E27" s="36" t="str">
        <f t="array" ref="E27">IFNA(_xlfn.XLOOKUP(C27,Table_Tarikan_Warkah[Nomor Sertipikat],Table_Tarikan_Warkah[Tanggal diserahkan kepada Validator]),"")</f>
        <v>21/10/2024 11.42</v>
      </c>
      <c r="F27" s="36" t="str">
        <f t="array" ref="F27">IFNA(_xlfn.XLOOKUP(C27,Table_Tarikan_Warkah[Nomor Sertipikat],Table_Tarikan_Warkah[Nama Petugas Warkah]),"")</f>
        <v>Berry</v>
      </c>
      <c r="G27" s="39" t="str">
        <f t="array" ref="G27">IFNA(_xlfn.XLOOKUP(C27,Table_Tarikan_Warkah[Nomor Sertipikat],Table_Tarikan_Warkah[Jenis Permohonan]),"")</f>
        <v>ROYA</v>
      </c>
      <c r="H27" s="41" t="s">
        <v>20</v>
      </c>
      <c r="I27" s="41" t="s">
        <v>12</v>
      </c>
      <c r="J27" s="36">
        <f t="shared" si="1"/>
        <v>45587.48331</v>
      </c>
      <c r="K27" s="41" t="s">
        <v>197</v>
      </c>
      <c r="L27" s="41" t="s">
        <v>12</v>
      </c>
      <c r="M27" s="36">
        <f t="shared" si="2"/>
        <v>45587.69071</v>
      </c>
      <c r="N27" s="30" t="str">
        <f t="shared" si="3"/>
        <v>SELESAI</v>
      </c>
      <c r="O27" s="45">
        <f t="shared" si="9"/>
        <v>45587.69071</v>
      </c>
      <c r="P27" s="47" t="b">
        <v>0</v>
      </c>
      <c r="Q27" s="36" t="str">
        <f t="shared" si="5"/>
        <v/>
      </c>
      <c r="R27" s="47" t="b">
        <v>1</v>
      </c>
      <c r="S27" s="36">
        <f t="shared" si="6"/>
        <v>45587.69078</v>
      </c>
      <c r="T27" s="42"/>
    </row>
    <row r="28" ht="22.5" customHeight="1">
      <c r="B28" s="42">
        <f t="shared" si="7"/>
        <v>22</v>
      </c>
      <c r="C28" s="31" t="s">
        <v>217</v>
      </c>
      <c r="D28" s="34" t="str">
        <f t="array" ref="D28">IFNA(_xlfn.XLOOKUP(C28,Table_Tarikan_Warkah[Nomor Sertipikat],Table_Tarikan_Warkah[Nomor Tiket]),"")</f>
        <v>K/46/181024/2</v>
      </c>
      <c r="E28" s="36" t="str">
        <f t="array" ref="E28">IFNA(_xlfn.XLOOKUP(C28,Table_Tarikan_Warkah[Nomor Sertipikat],Table_Tarikan_Warkah[Tanggal diserahkan kepada Validator]),"")</f>
        <v>22/10/2024 09.02</v>
      </c>
      <c r="F28" s="36" t="str">
        <f t="array" ref="F28">IFNA(_xlfn.XLOOKUP(C28,Table_Tarikan_Warkah[Nomor Sertipikat],Table_Tarikan_Warkah[Nama Petugas Warkah]),"")</f>
        <v>Bayu</v>
      </c>
      <c r="G28" s="39" t="str">
        <f t="array" ref="G28">IFNA(_xlfn.XLOOKUP(C28,Table_Tarikan_Warkah[Nomor Sertipikat],Table_Tarikan_Warkah[Jenis Permohonan]),"")</f>
        <v>KEWARISAN</v>
      </c>
      <c r="H28" s="41" t="s">
        <v>20</v>
      </c>
      <c r="I28" s="41" t="s">
        <v>12</v>
      </c>
      <c r="J28" s="36">
        <f t="shared" si="1"/>
        <v>45587.66803</v>
      </c>
      <c r="K28" s="41" t="s">
        <v>26</v>
      </c>
      <c r="L28" s="41" t="s">
        <v>12</v>
      </c>
      <c r="M28" s="36">
        <f t="shared" si="2"/>
        <v>45588.39084</v>
      </c>
      <c r="N28" s="30" t="str">
        <f t="shared" si="3"/>
        <v>SELESAI</v>
      </c>
      <c r="O28" s="45">
        <f t="shared" si="9"/>
        <v>45588.39084</v>
      </c>
      <c r="P28" s="47" t="b">
        <v>0</v>
      </c>
      <c r="Q28" s="36" t="str">
        <f t="shared" si="5"/>
        <v/>
      </c>
      <c r="R28" s="47" t="b">
        <v>1</v>
      </c>
      <c r="S28" s="36">
        <f t="shared" si="6"/>
        <v>45588.39087</v>
      </c>
      <c r="T28" s="42"/>
    </row>
    <row r="29" ht="22.5" customHeight="1">
      <c r="B29" s="42">
        <f t="shared" si="7"/>
        <v>23</v>
      </c>
      <c r="C29" s="31" t="s">
        <v>218</v>
      </c>
      <c r="D29" s="34" t="str">
        <f t="array" ref="D29">IFNA(_xlfn.XLOOKUP(C29,Table_Tarikan_Warkah[Nomor Sertipikat],Table_Tarikan_Warkah[Nomor Tiket]),"")</f>
        <v>K/45/181024/1</v>
      </c>
      <c r="E29" s="36" t="str">
        <f t="array" ref="E29">IFNA(_xlfn.XLOOKUP(C29,Table_Tarikan_Warkah[Nomor Sertipikat],Table_Tarikan_Warkah[Tanggal diserahkan kepada Validator]),"")</f>
        <v>22/10/2024 09.02</v>
      </c>
      <c r="F29" s="36" t="str">
        <f t="array" ref="F29">IFNA(_xlfn.XLOOKUP(C29,Table_Tarikan_Warkah[Nomor Sertipikat],Table_Tarikan_Warkah[Nama Petugas Warkah]),"")</f>
        <v>Bayu</v>
      </c>
      <c r="G29" s="39" t="str">
        <f t="array" ref="G29">IFNA(_xlfn.XLOOKUP(C29,Table_Tarikan_Warkah[Nomor Sertipikat],Table_Tarikan_Warkah[Jenis Permohonan]),"")</f>
        <v>KEWARISAN</v>
      </c>
      <c r="H29" s="41" t="s">
        <v>20</v>
      </c>
      <c r="I29" s="41" t="s">
        <v>12</v>
      </c>
      <c r="J29" s="36">
        <f t="shared" si="1"/>
        <v>45587.66803</v>
      </c>
      <c r="K29" s="41" t="s">
        <v>197</v>
      </c>
      <c r="L29" s="41" t="s">
        <v>12</v>
      </c>
      <c r="M29" s="36">
        <f t="shared" si="2"/>
        <v>45587.68955</v>
      </c>
      <c r="N29" s="30" t="str">
        <f t="shared" si="3"/>
        <v>SELESAI</v>
      </c>
      <c r="O29" s="45">
        <f t="shared" si="9"/>
        <v>45587.68955</v>
      </c>
      <c r="P29" s="47" t="b">
        <v>0</v>
      </c>
      <c r="Q29" s="36" t="str">
        <f t="shared" si="5"/>
        <v/>
      </c>
      <c r="R29" s="47" t="b">
        <v>1</v>
      </c>
      <c r="S29" s="36">
        <f t="shared" si="6"/>
        <v>45587.6896</v>
      </c>
      <c r="T29" s="42"/>
    </row>
    <row r="30" ht="22.5" customHeight="1">
      <c r="B30" s="42">
        <f t="shared" si="7"/>
        <v>24</v>
      </c>
      <c r="C30" s="31" t="s">
        <v>219</v>
      </c>
      <c r="D30" s="34" t="str">
        <f t="array" ref="D30">IFNA(_xlfn.XLOOKUP(C30,Table_Tarikan_Warkah[Nomor Sertipikat],Table_Tarikan_Warkah[Nomor Tiket]),"")</f>
        <v>L/33/211024/1</v>
      </c>
      <c r="E30" s="36" t="str">
        <f t="array" ref="E30">IFNA(_xlfn.XLOOKUP(C30,Table_Tarikan_Warkah[Nomor Sertipikat],Table_Tarikan_Warkah[Tanggal diserahkan kepada Validator]),"")</f>
        <v>22/10/2024 10.05</v>
      </c>
      <c r="F30" s="36" t="str">
        <f t="array" ref="F30">IFNA(_xlfn.XLOOKUP(C30,Table_Tarikan_Warkah[Nomor Sertipikat],Table_Tarikan_Warkah[Nama Petugas Warkah]),"")</f>
        <v>David</v>
      </c>
      <c r="G30" s="39" t="str">
        <f t="array" ref="G30">IFNA(_xlfn.XLOOKUP(C30,Table_Tarikan_Warkah[Nomor Sertipikat],Table_Tarikan_Warkah[Jenis Permohonan]),"")</f>
        <v>ROYA</v>
      </c>
      <c r="H30" s="41" t="s">
        <v>11</v>
      </c>
      <c r="I30" s="41" t="s">
        <v>12</v>
      </c>
      <c r="J30" s="36">
        <f t="shared" si="1"/>
        <v>45587.68926</v>
      </c>
      <c r="K30" s="41" t="s">
        <v>197</v>
      </c>
      <c r="L30" s="41" t="s">
        <v>12</v>
      </c>
      <c r="M30" s="36">
        <f t="shared" si="2"/>
        <v>45588.46065</v>
      </c>
      <c r="N30" s="30" t="str">
        <f t="shared" si="3"/>
        <v>SELESAI</v>
      </c>
      <c r="O30" s="45">
        <f t="shared" si="9"/>
        <v>45588.46065</v>
      </c>
      <c r="P30" s="47" t="b">
        <v>0</v>
      </c>
      <c r="Q30" s="36" t="str">
        <f t="shared" si="5"/>
        <v/>
      </c>
      <c r="R30" s="47" t="b">
        <v>1</v>
      </c>
      <c r="S30" s="36">
        <f t="shared" si="6"/>
        <v>45588.46069</v>
      </c>
      <c r="T30" s="42"/>
    </row>
    <row r="31" ht="22.5" customHeight="1">
      <c r="B31" s="42">
        <f t="shared" si="7"/>
        <v>25</v>
      </c>
      <c r="C31" s="31" t="s">
        <v>220</v>
      </c>
      <c r="D31" s="34" t="str">
        <f t="array" ref="D31">IFNA(_xlfn.XLOOKUP(C31,Table_Tarikan_Warkah[Nomor Sertipikat],Table_Tarikan_Warkah[Nomor Tiket]),"")</f>
        <v>L/28/211024/1</v>
      </c>
      <c r="E31" s="36" t="str">
        <f t="array" ref="E31">IFNA(_xlfn.XLOOKUP(C31,Table_Tarikan_Warkah[Nomor Sertipikat],Table_Tarikan_Warkah[Tanggal diserahkan kepada Validator]),"")</f>
        <v>22/10/2024 10.03</v>
      </c>
      <c r="F31" s="36" t="str">
        <f t="array" ref="F31">IFNA(_xlfn.XLOOKUP(C31,Table_Tarikan_Warkah[Nomor Sertipikat],Table_Tarikan_Warkah[Nama Petugas Warkah]),"")</f>
        <v>David</v>
      </c>
      <c r="G31" s="39" t="str">
        <f t="array" ref="G31">IFNA(_xlfn.XLOOKUP(C31,Table_Tarikan_Warkah[Nomor Sertipikat],Table_Tarikan_Warkah[Jenis Permohonan]),"")</f>
        <v>ROYA</v>
      </c>
      <c r="H31" s="41" t="s">
        <v>11</v>
      </c>
      <c r="I31" s="41" t="s">
        <v>12</v>
      </c>
      <c r="J31" s="36">
        <f t="shared" si="1"/>
        <v>45587.68946</v>
      </c>
      <c r="K31" s="41" t="s">
        <v>197</v>
      </c>
      <c r="L31" s="41" t="s">
        <v>12</v>
      </c>
      <c r="M31" s="36">
        <f t="shared" si="2"/>
        <v>45588.46036</v>
      </c>
      <c r="N31" s="30" t="str">
        <f t="shared" si="3"/>
        <v>SELESAI</v>
      </c>
      <c r="O31" s="45">
        <f t="shared" si="9"/>
        <v>45588.46036</v>
      </c>
      <c r="P31" s="47" t="b">
        <v>0</v>
      </c>
      <c r="Q31" s="36" t="str">
        <f t="shared" si="5"/>
        <v/>
      </c>
      <c r="R31" s="47" t="b">
        <v>1</v>
      </c>
      <c r="S31" s="36">
        <f t="shared" si="6"/>
        <v>45588.46039</v>
      </c>
      <c r="T31" s="42"/>
    </row>
    <row r="32" ht="22.5" customHeight="1">
      <c r="B32" s="42">
        <f t="shared" si="7"/>
        <v>26</v>
      </c>
      <c r="C32" s="31" t="s">
        <v>221</v>
      </c>
      <c r="D32" s="34" t="str">
        <f t="array" ref="D32">IFNA(_xlfn.XLOOKUP(C32,Table_Tarikan_Warkah[Nomor Sertipikat],Table_Tarikan_Warkah[Nomor Tiket]),"")</f>
        <v>K/16/211024/2</v>
      </c>
      <c r="E32" s="36" t="str">
        <f t="array" ref="E32">IFNA(_xlfn.XLOOKUP(C32,Table_Tarikan_Warkah[Nomor Sertipikat],Table_Tarikan_Warkah[Tanggal diserahkan kepada Validator]),"")</f>
        <v>22/10/2024 09.55</v>
      </c>
      <c r="F32" s="36" t="str">
        <f t="array" ref="F32">IFNA(_xlfn.XLOOKUP(C32,Table_Tarikan_Warkah[Nomor Sertipikat],Table_Tarikan_Warkah[Nama Petugas Warkah]),"")</f>
        <v>Berry</v>
      </c>
      <c r="G32" s="39" t="str">
        <f t="array" ref="G32">IFNA(_xlfn.XLOOKUP(C32,Table_Tarikan_Warkah[Nomor Sertipikat],Table_Tarikan_Warkah[Jenis Permohonan]),"")</f>
        <v>BN Jual Beli</v>
      </c>
      <c r="H32" s="41" t="s">
        <v>11</v>
      </c>
      <c r="I32" s="41" t="s">
        <v>12</v>
      </c>
      <c r="J32" s="36">
        <f t="shared" si="1"/>
        <v>45587.68965</v>
      </c>
      <c r="K32" s="41" t="s">
        <v>26</v>
      </c>
      <c r="L32" s="41" t="s">
        <v>12</v>
      </c>
      <c r="M32" s="36">
        <f t="shared" si="2"/>
        <v>45588.46005</v>
      </c>
      <c r="N32" s="30" t="str">
        <f t="shared" si="3"/>
        <v>SELESAI</v>
      </c>
      <c r="O32" s="45">
        <f t="shared" si="9"/>
        <v>45588.46005</v>
      </c>
      <c r="P32" s="47" t="b">
        <v>0</v>
      </c>
      <c r="Q32" s="36" t="str">
        <f t="shared" si="5"/>
        <v/>
      </c>
      <c r="R32" s="47" t="b">
        <v>1</v>
      </c>
      <c r="S32" s="36">
        <f t="shared" si="6"/>
        <v>45588.46011</v>
      </c>
      <c r="T32" s="42"/>
    </row>
    <row r="33" ht="22.5" customHeight="1">
      <c r="B33" s="42">
        <f t="shared" si="7"/>
        <v>27</v>
      </c>
      <c r="C33" s="31" t="s">
        <v>222</v>
      </c>
      <c r="D33" s="34" t="str">
        <f t="array" ref="D33">IFNA(_xlfn.XLOOKUP(C33,Table_Tarikan_Warkah[Nomor Sertipikat],Table_Tarikan_Warkah[Nomor Tiket]),"")</f>
        <v>K/47/211024/1</v>
      </c>
      <c r="E33" s="36" t="str">
        <f t="array" ref="E33">IFNA(_xlfn.XLOOKUP(C33,Table_Tarikan_Warkah[Nomor Sertipikat],Table_Tarikan_Warkah[Tanggal diserahkan kepada Validator]),"")</f>
        <v>22/10/2024 10.07</v>
      </c>
      <c r="F33" s="36" t="str">
        <f t="array" ref="F33">IFNA(_xlfn.XLOOKUP(C33,Table_Tarikan_Warkah[Nomor Sertipikat],Table_Tarikan_Warkah[Nama Petugas Warkah]),"")</f>
        <v>David</v>
      </c>
      <c r="G33" s="39" t="str">
        <f t="array" ref="G33">IFNA(_xlfn.XLOOKUP(C33,Table_Tarikan_Warkah[Nomor Sertipikat],Table_Tarikan_Warkah[Jenis Permohonan]),"")</f>
        <v>PERALIHAN JUAL BELI</v>
      </c>
      <c r="H33" s="41" t="s">
        <v>11</v>
      </c>
      <c r="I33" s="41" t="s">
        <v>12</v>
      </c>
      <c r="J33" s="36">
        <f t="shared" si="1"/>
        <v>45587.6898</v>
      </c>
      <c r="K33" s="41" t="s">
        <v>197</v>
      </c>
      <c r="L33" s="41" t="s">
        <v>12</v>
      </c>
      <c r="M33" s="36">
        <f t="shared" si="2"/>
        <v>45588.46086</v>
      </c>
      <c r="N33" s="30" t="str">
        <f t="shared" si="3"/>
        <v>SELESAI</v>
      </c>
      <c r="O33" s="45">
        <f t="shared" si="9"/>
        <v>45588.46086</v>
      </c>
      <c r="P33" s="47" t="b">
        <v>0</v>
      </c>
      <c r="Q33" s="36" t="str">
        <f t="shared" si="5"/>
        <v/>
      </c>
      <c r="R33" s="47" t="b">
        <v>1</v>
      </c>
      <c r="S33" s="36">
        <f t="shared" si="6"/>
        <v>45588.46089</v>
      </c>
      <c r="T33" s="42"/>
    </row>
    <row r="34" ht="22.5" customHeight="1">
      <c r="B34" s="42">
        <f t="shared" si="7"/>
        <v>28</v>
      </c>
      <c r="C34" s="31" t="s">
        <v>223</v>
      </c>
      <c r="D34" s="34" t="str">
        <f t="array" ref="D34">IFNA(_xlfn.XLOOKUP(C34,Table_Tarikan_Warkah[Nomor Sertipikat],Table_Tarikan_Warkah[Nomor Tiket]),"")</f>
        <v>L/40/211024/1</v>
      </c>
      <c r="E34" s="36" t="str">
        <f t="array" ref="E34">IFNA(_xlfn.XLOOKUP(C34,Table_Tarikan_Warkah[Nomor Sertipikat],Table_Tarikan_Warkah[Tanggal diserahkan kepada Validator]),"")</f>
        <v>22/10/2024 10.05</v>
      </c>
      <c r="F34" s="36" t="str">
        <f t="array" ref="F34">IFNA(_xlfn.XLOOKUP(C34,Table_Tarikan_Warkah[Nomor Sertipikat],Table_Tarikan_Warkah[Nama Petugas Warkah]),"")</f>
        <v>David</v>
      </c>
      <c r="G34" s="39" t="str">
        <f t="array" ref="G34">IFNA(_xlfn.XLOOKUP(C34,Table_Tarikan_Warkah[Nomor Sertipikat],Table_Tarikan_Warkah[Jenis Permohonan]),"")</f>
        <v>ROYA LELANG</v>
      </c>
      <c r="H34" s="41" t="s">
        <v>11</v>
      </c>
      <c r="I34" s="41" t="s">
        <v>12</v>
      </c>
      <c r="J34" s="36">
        <f t="shared" si="1"/>
        <v>45587.69008</v>
      </c>
      <c r="K34" s="41" t="s">
        <v>197</v>
      </c>
      <c r="L34" s="41" t="s">
        <v>12</v>
      </c>
      <c r="M34" s="36">
        <f t="shared" si="2"/>
        <v>45588.46157</v>
      </c>
      <c r="N34" s="30" t="str">
        <f t="shared" si="3"/>
        <v>SELESAI</v>
      </c>
      <c r="O34" s="45">
        <f t="shared" si="9"/>
        <v>45588.46157</v>
      </c>
      <c r="P34" s="47" t="b">
        <v>0</v>
      </c>
      <c r="Q34" s="36" t="str">
        <f t="shared" si="5"/>
        <v/>
      </c>
      <c r="R34" s="47" t="b">
        <v>1</v>
      </c>
      <c r="S34" s="36">
        <f t="shared" si="6"/>
        <v>45588.4616</v>
      </c>
      <c r="T34" s="42"/>
    </row>
    <row r="35" ht="22.5" customHeight="1">
      <c r="B35" s="42">
        <f t="shared" si="7"/>
        <v>29</v>
      </c>
      <c r="C35" s="31" t="s">
        <v>224</v>
      </c>
      <c r="D35" s="34" t="str">
        <f t="array" ref="D35">IFNA(_xlfn.XLOOKUP(C35,Table_Tarikan_Warkah[Nomor Sertipikat],Table_Tarikan_Warkah[Nomor Tiket]),"")</f>
        <v>L/23/211024/1</v>
      </c>
      <c r="E35" s="36" t="str">
        <f t="array" ref="E35">IFNA(_xlfn.XLOOKUP(C35,Table_Tarikan_Warkah[Nomor Sertipikat],Table_Tarikan_Warkah[Tanggal diserahkan kepada Validator]),"")</f>
        <v>22/10/2024 10.08</v>
      </c>
      <c r="F35" s="36" t="str">
        <f t="array" ref="F35">IFNA(_xlfn.XLOOKUP(C35,Table_Tarikan_Warkah[Nomor Sertipikat],Table_Tarikan_Warkah[Nama Petugas Warkah]),"")</f>
        <v>David</v>
      </c>
      <c r="G35" s="39" t="str">
        <f t="array" ref="G35">IFNA(_xlfn.XLOOKUP(C35,Table_Tarikan_Warkah[Nomor Sertipikat],Table_Tarikan_Warkah[Jenis Permohonan]),"")</f>
        <v>PH</v>
      </c>
      <c r="H35" s="41" t="s">
        <v>11</v>
      </c>
      <c r="I35" s="41" t="s">
        <v>12</v>
      </c>
      <c r="J35" s="36">
        <f t="shared" si="1"/>
        <v>45587.69033</v>
      </c>
      <c r="K35" s="41" t="s">
        <v>26</v>
      </c>
      <c r="L35" s="41" t="s">
        <v>12</v>
      </c>
      <c r="M35" s="36">
        <f t="shared" si="2"/>
        <v>45588.45916</v>
      </c>
      <c r="N35" s="30" t="str">
        <f t="shared" si="3"/>
        <v>SELESAI</v>
      </c>
      <c r="O35" s="45">
        <f t="shared" si="9"/>
        <v>45588.45916</v>
      </c>
      <c r="P35" s="47" t="b">
        <v>0</v>
      </c>
      <c r="Q35" s="36" t="str">
        <f t="shared" si="5"/>
        <v/>
      </c>
      <c r="R35" s="47" t="b">
        <v>1</v>
      </c>
      <c r="S35" s="36">
        <f t="shared" si="6"/>
        <v>45588.45919</v>
      </c>
      <c r="T35" s="42"/>
    </row>
    <row r="36" ht="22.5" customHeight="1">
      <c r="B36" s="42">
        <f t="shared" si="7"/>
        <v>30</v>
      </c>
      <c r="C36" s="31" t="s">
        <v>225</v>
      </c>
      <c r="D36" s="34" t="str">
        <f t="array" ref="D36">IFNA(_xlfn.XLOOKUP(C36,Table_Tarikan_Warkah[Nomor Sertipikat],Table_Tarikan_Warkah[Nomor Tiket]),"")</f>
        <v>K/48/211024/1</v>
      </c>
      <c r="E36" s="36" t="str">
        <f t="array" ref="E36">IFNA(_xlfn.XLOOKUP(C36,Table_Tarikan_Warkah[Nomor Sertipikat],Table_Tarikan_Warkah[Tanggal diserahkan kepada Validator]),"")</f>
        <v>22/10/2024 10.07</v>
      </c>
      <c r="F36" s="36" t="str">
        <f t="array" ref="F36">IFNA(_xlfn.XLOOKUP(C36,Table_Tarikan_Warkah[Nomor Sertipikat],Table_Tarikan_Warkah[Nama Petugas Warkah]),"")</f>
        <v>David</v>
      </c>
      <c r="G36" s="39" t="str">
        <f t="array" ref="G36">IFNA(_xlfn.XLOOKUP(C36,Table_Tarikan_Warkah[Nomor Sertipikat],Table_Tarikan_Warkah[Jenis Permohonan]),"")</f>
        <v>BN Jual Beli</v>
      </c>
      <c r="H36" s="41" t="s">
        <v>11</v>
      </c>
      <c r="I36" s="41" t="s">
        <v>12</v>
      </c>
      <c r="J36" s="36">
        <f t="shared" si="1"/>
        <v>45587.69061</v>
      </c>
      <c r="K36" s="41" t="s">
        <v>197</v>
      </c>
      <c r="L36" s="41" t="s">
        <v>12</v>
      </c>
      <c r="M36" s="36">
        <f t="shared" si="2"/>
        <v>45588.46133</v>
      </c>
      <c r="N36" s="30" t="str">
        <f t="shared" si="3"/>
        <v>SELESAI</v>
      </c>
      <c r="O36" s="45">
        <f t="shared" si="9"/>
        <v>45588.46133</v>
      </c>
      <c r="P36" s="47" t="b">
        <v>0</v>
      </c>
      <c r="Q36" s="36" t="str">
        <f t="shared" si="5"/>
        <v/>
      </c>
      <c r="R36" s="47" t="b">
        <v>1</v>
      </c>
      <c r="S36" s="36">
        <f t="shared" si="6"/>
        <v>45588.46139</v>
      </c>
      <c r="T36" s="42"/>
    </row>
    <row r="37" ht="22.5" customHeight="1">
      <c r="B37" s="42">
        <f t="shared" si="7"/>
        <v>31</v>
      </c>
      <c r="C37" s="31" t="s">
        <v>226</v>
      </c>
      <c r="D37" s="34" t="str">
        <f t="array" ref="D37">IFNA(_xlfn.XLOOKUP(C37,Table_Tarikan_Warkah[Nomor Sertipikat],Table_Tarikan_Warkah[Nomor Tiket]),"")</f>
        <v>L/8/211024/1</v>
      </c>
      <c r="E37" s="36" t="str">
        <f t="array" ref="E37">IFNA(_xlfn.XLOOKUP(C37,Table_Tarikan_Warkah[Nomor Sertipikat],Table_Tarikan_Warkah[Tanggal diserahkan kepada Validator]),"")</f>
        <v>22/10/2024 09.52</v>
      </c>
      <c r="F37" s="36" t="str">
        <f t="array" ref="F37">IFNA(_xlfn.XLOOKUP(C37,Table_Tarikan_Warkah[Nomor Sertipikat],Table_Tarikan_Warkah[Nama Petugas Warkah]),"")</f>
        <v>Berry</v>
      </c>
      <c r="G37" s="39" t="str">
        <f t="array" ref="G37">IFNA(_xlfn.XLOOKUP(C37,Table_Tarikan_Warkah[Nomor Sertipikat],Table_Tarikan_Warkah[Jenis Permohonan]),"")</f>
        <v>ROYA</v>
      </c>
      <c r="H37" s="41" t="s">
        <v>20</v>
      </c>
      <c r="I37" s="41" t="s">
        <v>12</v>
      </c>
      <c r="J37" s="36">
        <f t="shared" si="1"/>
        <v>45587.74088</v>
      </c>
      <c r="K37" s="41" t="s">
        <v>197</v>
      </c>
      <c r="L37" s="41" t="s">
        <v>12</v>
      </c>
      <c r="M37" s="36">
        <f t="shared" si="2"/>
        <v>45588.61665</v>
      </c>
      <c r="N37" s="30" t="str">
        <f t="shared" si="3"/>
        <v>SELESAI</v>
      </c>
      <c r="O37" s="45">
        <f t="shared" si="9"/>
        <v>45588.61665</v>
      </c>
      <c r="P37" s="47" t="b">
        <v>0</v>
      </c>
      <c r="Q37" s="36" t="str">
        <f t="shared" si="5"/>
        <v/>
      </c>
      <c r="R37" s="47" t="b">
        <v>1</v>
      </c>
      <c r="S37" s="36">
        <f t="shared" si="6"/>
        <v>45588.6167</v>
      </c>
      <c r="T37" s="42"/>
    </row>
    <row r="38" ht="22.5" customHeight="1">
      <c r="B38" s="42">
        <f t="shared" si="7"/>
        <v>32</v>
      </c>
      <c r="C38" s="31" t="s">
        <v>227</v>
      </c>
      <c r="D38" s="34" t="str">
        <f t="array" ref="D38">IFNA(_xlfn.XLOOKUP(C38,Table_Tarikan_Warkah[Nomor Sertipikat],Table_Tarikan_Warkah[Nomor Tiket]),"")</f>
        <v>L/9/211024/1</v>
      </c>
      <c r="E38" s="36" t="str">
        <f t="array" ref="E38">IFNA(_xlfn.XLOOKUP(C38,Table_Tarikan_Warkah[Nomor Sertipikat],Table_Tarikan_Warkah[Tanggal diserahkan kepada Validator]),"")</f>
        <v>22/10/2024 09.53</v>
      </c>
      <c r="F38" s="36" t="str">
        <f t="array" ref="F38">IFNA(_xlfn.XLOOKUP(C38,Table_Tarikan_Warkah[Nomor Sertipikat],Table_Tarikan_Warkah[Nama Petugas Warkah]),"")</f>
        <v>Berry</v>
      </c>
      <c r="G38" s="39" t="str">
        <f t="array" ref="G38">IFNA(_xlfn.XLOOKUP(C38,Table_Tarikan_Warkah[Nomor Sertipikat],Table_Tarikan_Warkah[Jenis Permohonan]),"")</f>
        <v>ROYA</v>
      </c>
      <c r="H38" s="41" t="s">
        <v>20</v>
      </c>
      <c r="I38" s="41" t="s">
        <v>12</v>
      </c>
      <c r="J38" s="36">
        <f t="shared" si="1"/>
        <v>45587.74213</v>
      </c>
      <c r="K38" s="41" t="s">
        <v>197</v>
      </c>
      <c r="L38" s="41" t="s">
        <v>12</v>
      </c>
      <c r="M38" s="36">
        <f t="shared" si="2"/>
        <v>45588.6206</v>
      </c>
      <c r="N38" s="30" t="str">
        <f t="shared" si="3"/>
        <v>SELESAI</v>
      </c>
      <c r="O38" s="45">
        <f t="shared" si="9"/>
        <v>45588.6206</v>
      </c>
      <c r="P38" s="47" t="b">
        <v>0</v>
      </c>
      <c r="Q38" s="36" t="str">
        <f t="shared" si="5"/>
        <v/>
      </c>
      <c r="R38" s="47" t="b">
        <v>1</v>
      </c>
      <c r="S38" s="36">
        <f t="shared" si="6"/>
        <v>45588.62065</v>
      </c>
      <c r="T38" s="42"/>
    </row>
    <row r="39" ht="22.5" customHeight="1">
      <c r="B39" s="42">
        <f t="shared" si="7"/>
        <v>33</v>
      </c>
      <c r="C39" s="31" t="s">
        <v>228</v>
      </c>
      <c r="D39" s="34" t="str">
        <f t="array" ref="D39">IFNA(_xlfn.XLOOKUP(C39,Table_Tarikan_Warkah[Nomor Sertipikat],Table_Tarikan_Warkah[Nomor Tiket]),"")</f>
        <v>K/14/211024/1</v>
      </c>
      <c r="E39" s="36" t="str">
        <f t="array" ref="E39">IFNA(_xlfn.XLOOKUP(C39,Table_Tarikan_Warkah[Nomor Sertipikat],Table_Tarikan_Warkah[Tanggal diserahkan kepada Validator]),"")</f>
        <v>22/10/2024 09.55</v>
      </c>
      <c r="F39" s="36" t="str">
        <f t="array" ref="F39">IFNA(_xlfn.XLOOKUP(C39,Table_Tarikan_Warkah[Nomor Sertipikat],Table_Tarikan_Warkah[Nama Petugas Warkah]),"")</f>
        <v>Berry</v>
      </c>
      <c r="G39" s="39" t="str">
        <f t="array" ref="G39">IFNA(_xlfn.XLOOKUP(C39,Table_Tarikan_Warkah[Nomor Sertipikat],Table_Tarikan_Warkah[Jenis Permohonan]),"")</f>
        <v>BN Jual Beli</v>
      </c>
      <c r="H39" s="41" t="s">
        <v>20</v>
      </c>
      <c r="I39" s="41" t="s">
        <v>12</v>
      </c>
      <c r="J39" s="36">
        <f t="shared" si="1"/>
        <v>45587.74594</v>
      </c>
      <c r="K39" s="41" t="s">
        <v>197</v>
      </c>
      <c r="L39" s="41" t="s">
        <v>12</v>
      </c>
      <c r="M39" s="36">
        <f t="shared" si="2"/>
        <v>45588.61692</v>
      </c>
      <c r="N39" s="30" t="str">
        <f t="shared" si="3"/>
        <v>SELESAI</v>
      </c>
      <c r="O39" s="45">
        <f t="shared" si="9"/>
        <v>45588.61692</v>
      </c>
      <c r="P39" s="47" t="b">
        <v>0</v>
      </c>
      <c r="Q39" s="36" t="str">
        <f t="shared" si="5"/>
        <v/>
      </c>
      <c r="R39" s="47" t="b">
        <v>1</v>
      </c>
      <c r="S39" s="36">
        <f t="shared" si="6"/>
        <v>45588.61685</v>
      </c>
      <c r="T39" s="42"/>
    </row>
    <row r="40" ht="22.5" customHeight="1">
      <c r="B40" s="42">
        <f t="shared" si="7"/>
        <v>34</v>
      </c>
      <c r="C40" s="31" t="s">
        <v>229</v>
      </c>
      <c r="D40" s="34" t="str">
        <f t="array" ref="D40">IFNA(_xlfn.XLOOKUP(C40,Table_Tarikan_Warkah[Nomor Sertipikat],Table_Tarikan_Warkah[Nomor Tiket]),"")</f>
        <v>K/20/211024/3</v>
      </c>
      <c r="E40" s="36" t="str">
        <f t="array" ref="E40">IFNA(_xlfn.XLOOKUP(C40,Table_Tarikan_Warkah[Nomor Sertipikat],Table_Tarikan_Warkah[Tanggal diserahkan kepada Validator]),"")</f>
        <v>22/10/2024 09.58</v>
      </c>
      <c r="F40" s="36" t="str">
        <f t="array" ref="F40">IFNA(_xlfn.XLOOKUP(C40,Table_Tarikan_Warkah[Nomor Sertipikat],Table_Tarikan_Warkah[Nama Petugas Warkah]),"")</f>
        <v>Berry</v>
      </c>
      <c r="G40" s="39" t="str">
        <f t="array" ref="G40">IFNA(_xlfn.XLOOKUP(C40,Table_Tarikan_Warkah[Nomor Sertipikat],Table_Tarikan_Warkah[Jenis Permohonan]),"")</f>
        <v>BN Jual Beli</v>
      </c>
      <c r="H40" s="41" t="s">
        <v>20</v>
      </c>
      <c r="I40" s="41" t="s">
        <v>12</v>
      </c>
      <c r="J40" s="36">
        <f t="shared" si="1"/>
        <v>45588.59941</v>
      </c>
      <c r="K40" s="41" t="s">
        <v>197</v>
      </c>
      <c r="L40" s="41" t="s">
        <v>12</v>
      </c>
      <c r="M40" s="36">
        <f t="shared" si="2"/>
        <v>45588.61865</v>
      </c>
      <c r="N40" s="30" t="str">
        <f t="shared" si="3"/>
        <v>SELESAI</v>
      </c>
      <c r="O40" s="45">
        <f t="shared" si="9"/>
        <v>45588.61865</v>
      </c>
      <c r="P40" s="47" t="b">
        <v>0</v>
      </c>
      <c r="Q40" s="36" t="str">
        <f t="shared" si="5"/>
        <v/>
      </c>
      <c r="R40" s="47" t="b">
        <v>1</v>
      </c>
      <c r="S40" s="36">
        <f t="shared" si="6"/>
        <v>45588.61979</v>
      </c>
      <c r="T40" s="42"/>
    </row>
    <row r="41" ht="22.5" customHeight="1">
      <c r="B41" s="42">
        <f t="shared" si="7"/>
        <v>35</v>
      </c>
      <c r="C41" s="31" t="s">
        <v>230</v>
      </c>
      <c r="D41" s="34" t="str">
        <f t="array" ref="D41">IFNA(_xlfn.XLOOKUP(C41,Table_Tarikan_Warkah[Nomor Sertipikat],Table_Tarikan_Warkah[Nomor Tiket]),"")</f>
        <v>K/53/221024/3</v>
      </c>
      <c r="E41" s="36" t="str">
        <f t="array" ref="E41">IFNA(_xlfn.XLOOKUP(C41,Table_Tarikan_Warkah[Nomor Sertipikat],Table_Tarikan_Warkah[Tanggal diserahkan kepada Validator]),"")</f>
        <v/>
      </c>
      <c r="F41" s="36" t="str">
        <f t="array" ref="F41">IFNA(_xlfn.XLOOKUP(C41,Table_Tarikan_Warkah[Nomor Sertipikat],Table_Tarikan_Warkah[Nama Petugas Warkah]),"")</f>
        <v/>
      </c>
      <c r="G41" s="39" t="str">
        <f t="array" ref="G41">IFNA(_xlfn.XLOOKUP(C41,Table_Tarikan_Warkah[Nomor Sertipikat],Table_Tarikan_Warkah[Jenis Permohonan]),"")</f>
        <v>BN Jual Beli</v>
      </c>
      <c r="H41" s="41" t="s">
        <v>20</v>
      </c>
      <c r="I41" s="41" t="s">
        <v>12</v>
      </c>
      <c r="J41" s="36">
        <f t="shared" si="1"/>
        <v>45588.78778</v>
      </c>
      <c r="K41" s="41" t="s">
        <v>197</v>
      </c>
      <c r="L41" s="41" t="s">
        <v>12</v>
      </c>
      <c r="M41" s="36">
        <f t="shared" si="2"/>
        <v>45589.476</v>
      </c>
      <c r="N41" s="30" t="str">
        <f t="shared" si="3"/>
        <v>SELESAI</v>
      </c>
      <c r="O41" s="45">
        <f t="shared" si="9"/>
        <v>45589.476</v>
      </c>
      <c r="P41" s="47" t="b">
        <v>0</v>
      </c>
      <c r="Q41" s="36" t="str">
        <f t="shared" si="5"/>
        <v/>
      </c>
      <c r="R41" s="47" t="b">
        <v>1</v>
      </c>
      <c r="S41" s="36">
        <f t="shared" si="6"/>
        <v>45589.47603</v>
      </c>
      <c r="T41" s="42"/>
    </row>
    <row r="42" ht="22.5" customHeight="1">
      <c r="B42" s="42">
        <f t="shared" si="7"/>
        <v>36</v>
      </c>
      <c r="C42" s="31" t="s">
        <v>231</v>
      </c>
      <c r="D42" s="34" t="str">
        <f t="array" ref="D42">IFNA(_xlfn.XLOOKUP(C42,Table_Tarikan_Warkah[Nomor Sertipikat],Table_Tarikan_Warkah[Nomor Tiket]),"")</f>
        <v>K/45/221024/1</v>
      </c>
      <c r="E42" s="36" t="str">
        <f t="array" ref="E42">IFNA(_xlfn.XLOOKUP(C42,Table_Tarikan_Warkah[Nomor Sertipikat],Table_Tarikan_Warkah[Tanggal diserahkan kepada Validator]),"")</f>
        <v>23/10/2024 09.13</v>
      </c>
      <c r="F42" s="36" t="str">
        <f t="array" ref="F42">IFNA(_xlfn.XLOOKUP(C42,Table_Tarikan_Warkah[Nomor Sertipikat],Table_Tarikan_Warkah[Nama Petugas Warkah]),"")</f>
        <v>David</v>
      </c>
      <c r="G42" s="39" t="str">
        <f t="array" ref="G42">IFNA(_xlfn.XLOOKUP(C42,Table_Tarikan_Warkah[Nomor Sertipikat],Table_Tarikan_Warkah[Jenis Permohonan]),"")</f>
        <v>Roya</v>
      </c>
      <c r="H42" s="41" t="s">
        <v>20</v>
      </c>
      <c r="I42" s="41" t="s">
        <v>12</v>
      </c>
      <c r="J42" s="36">
        <f t="shared" si="1"/>
        <v>45588.78825</v>
      </c>
      <c r="K42" s="41" t="s">
        <v>26</v>
      </c>
      <c r="L42" s="41" t="s">
        <v>12</v>
      </c>
      <c r="M42" s="36">
        <f t="shared" si="2"/>
        <v>45589.47153</v>
      </c>
      <c r="N42" s="30" t="str">
        <f t="shared" si="3"/>
        <v>SELESAI</v>
      </c>
      <c r="O42" s="45">
        <f t="shared" si="9"/>
        <v>45589.47153</v>
      </c>
      <c r="P42" s="47" t="b">
        <v>0</v>
      </c>
      <c r="Q42" s="36" t="str">
        <f t="shared" si="5"/>
        <v/>
      </c>
      <c r="R42" s="47" t="b">
        <v>1</v>
      </c>
      <c r="S42" s="36">
        <f t="shared" si="6"/>
        <v>45589.47159</v>
      </c>
      <c r="T42" s="42"/>
    </row>
    <row r="43" ht="22.5" customHeight="1">
      <c r="B43" s="42">
        <f t="shared" si="7"/>
        <v>37</v>
      </c>
      <c r="C43" s="31" t="s">
        <v>232</v>
      </c>
      <c r="D43" s="34" t="str">
        <f t="array" ref="D43">IFNA(_xlfn.XLOOKUP(C43,Table_Tarikan_Warkah[Nomor Sertipikat],Table_Tarikan_Warkah[Nomor Tiket]),"")</f>
        <v>K/15/231024/1</v>
      </c>
      <c r="E43" s="36" t="str">
        <f t="array" ref="E43">IFNA(_xlfn.XLOOKUP(C43,Table_Tarikan_Warkah[Nomor Sertipikat],Table_Tarikan_Warkah[Tanggal diserahkan kepada Validator]),"")</f>
        <v>23/10/2024 14.35</v>
      </c>
      <c r="F43" s="36" t="str">
        <f t="array" ref="F43">IFNA(_xlfn.XLOOKUP(C43,Table_Tarikan_Warkah[Nomor Sertipikat],Table_Tarikan_Warkah[Nama Petugas Warkah]),"")</f>
        <v>Rahma</v>
      </c>
      <c r="G43" s="39" t="str">
        <f t="array" ref="G43">IFNA(_xlfn.XLOOKUP(C43,Table_Tarikan_Warkah[Nomor Sertipikat],Table_Tarikan_Warkah[Jenis Permohonan]),"")</f>
        <v>BN Jual Beli</v>
      </c>
      <c r="H43" s="41" t="s">
        <v>20</v>
      </c>
      <c r="I43" s="41" t="s">
        <v>12</v>
      </c>
      <c r="J43" s="36">
        <f t="shared" si="1"/>
        <v>45588.7894</v>
      </c>
      <c r="K43" s="41" t="s">
        <v>26</v>
      </c>
      <c r="L43" s="41" t="s">
        <v>12</v>
      </c>
      <c r="M43" s="36">
        <f t="shared" si="2"/>
        <v>45589.47326</v>
      </c>
      <c r="N43" s="30" t="str">
        <f t="shared" si="3"/>
        <v>SELESAI</v>
      </c>
      <c r="O43" s="45">
        <f t="shared" si="9"/>
        <v>45589.47326</v>
      </c>
      <c r="P43" s="47" t="b">
        <v>0</v>
      </c>
      <c r="Q43" s="36" t="str">
        <f t="shared" si="5"/>
        <v/>
      </c>
      <c r="R43" s="47" t="b">
        <v>1</v>
      </c>
      <c r="S43" s="36">
        <f t="shared" si="6"/>
        <v>45589.4733</v>
      </c>
      <c r="T43" s="42"/>
    </row>
    <row r="44" ht="22.5" customHeight="1">
      <c r="B44" s="42">
        <f t="shared" si="7"/>
        <v>38</v>
      </c>
      <c r="C44" s="31" t="s">
        <v>233</v>
      </c>
      <c r="D44" s="34" t="str">
        <f t="array" ref="D44">IFNA(_xlfn.XLOOKUP(C44,Table_Tarikan_Warkah[Nomor Sertipikat],Table_Tarikan_Warkah[Nomor Tiket]),"")</f>
        <v>K/5/231024/1</v>
      </c>
      <c r="E44" s="36" t="str">
        <f t="array" ref="E44">IFNA(_xlfn.XLOOKUP(C44,Table_Tarikan_Warkah[Nomor Sertipikat],Table_Tarikan_Warkah[Tanggal diserahkan kepada Validator]),"")</f>
        <v>23/10/2024 14.15</v>
      </c>
      <c r="F44" s="36" t="str">
        <f t="array" ref="F44">IFNA(_xlfn.XLOOKUP(C44,Table_Tarikan_Warkah[Nomor Sertipikat],Table_Tarikan_Warkah[Nama Petugas Warkah]),"")</f>
        <v>Rahma</v>
      </c>
      <c r="G44" s="39" t="str">
        <f t="array" ref="G44">IFNA(_xlfn.XLOOKUP(C44,Table_Tarikan_Warkah[Nomor Sertipikat],Table_Tarikan_Warkah[Jenis Permohonan]),"")</f>
        <v>Roya</v>
      </c>
      <c r="H44" s="41" t="s">
        <v>20</v>
      </c>
      <c r="I44" s="41" t="s">
        <v>12</v>
      </c>
      <c r="J44" s="36">
        <f t="shared" si="1"/>
        <v>45588.78994</v>
      </c>
      <c r="K44" s="41" t="s">
        <v>26</v>
      </c>
      <c r="L44" s="41" t="s">
        <v>12</v>
      </c>
      <c r="M44" s="36">
        <f t="shared" si="2"/>
        <v>45589.47206</v>
      </c>
      <c r="N44" s="30" t="str">
        <f t="shared" si="3"/>
        <v>SELESAI</v>
      </c>
      <c r="O44" s="45">
        <f t="shared" si="9"/>
        <v>45589.47206</v>
      </c>
      <c r="P44" s="47" t="b">
        <v>0</v>
      </c>
      <c r="Q44" s="36" t="str">
        <f t="shared" si="5"/>
        <v/>
      </c>
      <c r="R44" s="47" t="b">
        <v>1</v>
      </c>
      <c r="S44" s="36">
        <f t="shared" si="6"/>
        <v>45589.4721</v>
      </c>
      <c r="T44" s="30" t="s">
        <v>234</v>
      </c>
    </row>
    <row r="45" ht="22.5" customHeight="1">
      <c r="B45" s="42">
        <f t="shared" si="7"/>
        <v>39</v>
      </c>
      <c r="C45" s="31" t="s">
        <v>235</v>
      </c>
      <c r="D45" s="34" t="str">
        <f t="array" ref="D45">IFNA(_xlfn.XLOOKUP(C45,Table_Tarikan_Warkah[Nomor Sertipikat],Table_Tarikan_Warkah[Nomor Tiket]),"")</f>
        <v>K/3/231024/1</v>
      </c>
      <c r="E45" s="36" t="str">
        <f t="array" ref="E45">IFNA(_xlfn.XLOOKUP(C45,Table_Tarikan_Warkah[Nomor Sertipikat],Table_Tarikan_Warkah[Tanggal diserahkan kepada Validator]),"")</f>
        <v>23/10/2024 14.14</v>
      </c>
      <c r="F45" s="36" t="str">
        <f t="array" ref="F45">IFNA(_xlfn.XLOOKUP(C45,Table_Tarikan_Warkah[Nomor Sertipikat],Table_Tarikan_Warkah[Nama Petugas Warkah]),"")</f>
        <v>Rahma</v>
      </c>
      <c r="G45" s="39" t="str">
        <f t="array" ref="G45">IFNA(_xlfn.XLOOKUP(C45,Table_Tarikan_Warkah[Nomor Sertipikat],Table_Tarikan_Warkah[Jenis Permohonan]),"")</f>
        <v>BN Hibah</v>
      </c>
      <c r="H45" s="41" t="s">
        <v>20</v>
      </c>
      <c r="I45" s="41" t="s">
        <v>12</v>
      </c>
      <c r="J45" s="36">
        <f t="shared" si="1"/>
        <v>45589.45624</v>
      </c>
      <c r="K45" s="41" t="s">
        <v>197</v>
      </c>
      <c r="L45" s="41" t="s">
        <v>12</v>
      </c>
      <c r="M45" s="36">
        <f t="shared" si="2"/>
        <v>45594.38959</v>
      </c>
      <c r="N45" s="30" t="str">
        <f t="shared" si="3"/>
        <v>SELESAI</v>
      </c>
      <c r="O45" s="45">
        <f t="shared" ref="O45:O53" si="10">IF(N45="Selesai",IF(M45&lt;&gt;"",M45,NOW()),"")</f>
        <v>45594.38959</v>
      </c>
      <c r="P45" s="47" t="b">
        <v>0</v>
      </c>
      <c r="Q45" s="36" t="str">
        <f t="shared" si="5"/>
        <v/>
      </c>
      <c r="R45" s="47" t="b">
        <v>1</v>
      </c>
      <c r="S45" s="36">
        <f t="shared" si="6"/>
        <v>45594.38964</v>
      </c>
      <c r="T45" s="42"/>
    </row>
    <row r="46" ht="22.5" customHeight="1">
      <c r="B46" s="42">
        <f t="shared" si="7"/>
        <v>40</v>
      </c>
      <c r="C46" s="31" t="s">
        <v>236</v>
      </c>
      <c r="D46" s="34" t="str">
        <f t="array" ref="D46">IFNA(_xlfn.XLOOKUP(C46,Table_Tarikan_Warkah[Nomor Sertipikat],Table_Tarikan_Warkah[Nomor Tiket]),"")</f>
        <v>L/17/231024/2</v>
      </c>
      <c r="E46" s="36" t="str">
        <f t="array" ref="E46">IFNA(_xlfn.XLOOKUP(C46,Table_Tarikan_Warkah[Nomor Sertipikat],Table_Tarikan_Warkah[Tanggal diserahkan kepada Validator]),"")</f>
        <v>23/10/2024 14.26</v>
      </c>
      <c r="F46" s="36" t="str">
        <f t="array" ref="F46">IFNA(_xlfn.XLOOKUP(C46,Table_Tarikan_Warkah[Nomor Sertipikat],Table_Tarikan_Warkah[Nama Petugas Warkah]),"")</f>
        <v>Rahma</v>
      </c>
      <c r="G46" s="39" t="str">
        <f t="array" ref="G46">IFNA(_xlfn.XLOOKUP(C46,Table_Tarikan_Warkah[Nomor Sertipikat],Table_Tarikan_Warkah[Jenis Permohonan]),"")</f>
        <v>SERTIPIKAT HILANG</v>
      </c>
      <c r="H46" s="41" t="s">
        <v>20</v>
      </c>
      <c r="I46" s="41" t="s">
        <v>12</v>
      </c>
      <c r="J46" s="36">
        <f t="shared" si="1"/>
        <v>45589.47706</v>
      </c>
      <c r="K46" s="41" t="s">
        <v>197</v>
      </c>
      <c r="L46" s="41" t="s">
        <v>12</v>
      </c>
      <c r="M46" s="36">
        <f t="shared" si="2"/>
        <v>45594.38423</v>
      </c>
      <c r="N46" s="30" t="str">
        <f t="shared" si="3"/>
        <v>SELESAI</v>
      </c>
      <c r="O46" s="45">
        <f t="shared" si="10"/>
        <v>45594.38423</v>
      </c>
      <c r="P46" s="47" t="b">
        <v>0</v>
      </c>
      <c r="Q46" s="36" t="str">
        <f t="shared" si="5"/>
        <v/>
      </c>
      <c r="R46" s="47" t="b">
        <v>1</v>
      </c>
      <c r="S46" s="36">
        <f t="shared" si="6"/>
        <v>45594.38433</v>
      </c>
      <c r="T46" s="42"/>
    </row>
    <row r="47" ht="22.5" customHeight="1">
      <c r="B47" s="42">
        <f t="shared" si="7"/>
        <v>41</v>
      </c>
      <c r="C47" s="31" t="s">
        <v>237</v>
      </c>
      <c r="D47" s="34" t="str">
        <f t="array" ref="D47">IFNA(_xlfn.XLOOKUP(C47,Table_Tarikan_Warkah[Nomor Sertipikat],Table_Tarikan_Warkah[Nomor Tiket]),"")</f>
        <v>L/16/231024/1</v>
      </c>
      <c r="E47" s="36" t="str">
        <f t="array" ref="E47">IFNA(_xlfn.XLOOKUP(C47,Table_Tarikan_Warkah[Nomor Sertipikat],Table_Tarikan_Warkah[Tanggal diserahkan kepada Validator]),"")</f>
        <v>23/10/2024 14.26</v>
      </c>
      <c r="F47" s="36" t="str">
        <f t="array" ref="F47">IFNA(_xlfn.XLOOKUP(C47,Table_Tarikan_Warkah[Nomor Sertipikat],Table_Tarikan_Warkah[Nama Petugas Warkah]),"")</f>
        <v>Rahma</v>
      </c>
      <c r="G47" s="39" t="str">
        <f t="array" ref="G47">IFNA(_xlfn.XLOOKUP(C47,Table_Tarikan_Warkah[Nomor Sertipikat],Table_Tarikan_Warkah[Jenis Permohonan]),"")</f>
        <v>SERTIPIKAT HILANG</v>
      </c>
      <c r="H47" s="41" t="s">
        <v>20</v>
      </c>
      <c r="I47" s="41" t="s">
        <v>12</v>
      </c>
      <c r="J47" s="36">
        <f t="shared" si="1"/>
        <v>45589.47707</v>
      </c>
      <c r="K47" s="41" t="s">
        <v>197</v>
      </c>
      <c r="L47" s="41" t="s">
        <v>12</v>
      </c>
      <c r="M47" s="36">
        <f t="shared" si="2"/>
        <v>45594.38425</v>
      </c>
      <c r="N47" s="30" t="str">
        <f t="shared" si="3"/>
        <v>SELESAI</v>
      </c>
      <c r="O47" s="45">
        <f t="shared" si="10"/>
        <v>45594.38425</v>
      </c>
      <c r="P47" s="47" t="b">
        <v>0</v>
      </c>
      <c r="Q47" s="36" t="str">
        <f t="shared" si="5"/>
        <v/>
      </c>
      <c r="R47" s="47" t="b">
        <v>1</v>
      </c>
      <c r="S47" s="36">
        <f t="shared" si="6"/>
        <v>45594.38434</v>
      </c>
      <c r="T47" s="42"/>
    </row>
    <row r="48" ht="22.5" customHeight="1">
      <c r="B48" s="42">
        <f t="shared" si="7"/>
        <v>42</v>
      </c>
      <c r="C48" s="31" t="s">
        <v>238</v>
      </c>
      <c r="D48" s="34" t="str">
        <f t="array" ref="D48">IFNA(_xlfn.XLOOKUP(C48,Table_Tarikan_Warkah[Nomor Sertipikat],Table_Tarikan_Warkah[Nomor Tiket]),"")</f>
        <v>K/2/221024/2</v>
      </c>
      <c r="E48" s="36" t="str">
        <f t="array" ref="E48">IFNA(_xlfn.XLOOKUP(C48,Table_Tarikan_Warkah[Nomor Sertipikat],Table_Tarikan_Warkah[Tanggal diserahkan kepada Validator]),"")</f>
        <v>23/10/2024 09.03</v>
      </c>
      <c r="F48" s="36" t="str">
        <f t="array" ref="F48">IFNA(_xlfn.XLOOKUP(C48,Table_Tarikan_Warkah[Nomor Sertipikat],Table_Tarikan_Warkah[Nama Petugas Warkah]),"")</f>
        <v>Berry</v>
      </c>
      <c r="G48" s="39" t="str">
        <f t="array" ref="G48">IFNA(_xlfn.XLOOKUP(C48,Table_Tarikan_Warkah[Nomor Sertipikat],Table_Tarikan_Warkah[Jenis Permohonan]),"")</f>
        <v>Roya</v>
      </c>
      <c r="H48" s="41" t="s">
        <v>20</v>
      </c>
      <c r="I48" s="41" t="s">
        <v>12</v>
      </c>
      <c r="J48" s="36">
        <f t="shared" si="1"/>
        <v>45589.61625</v>
      </c>
      <c r="K48" s="41" t="s">
        <v>26</v>
      </c>
      <c r="L48" s="41" t="s">
        <v>12</v>
      </c>
      <c r="M48" s="36">
        <f t="shared" si="2"/>
        <v>45594.4001</v>
      </c>
      <c r="N48" s="30" t="str">
        <f t="shared" si="3"/>
        <v>SELESAI</v>
      </c>
      <c r="O48" s="45">
        <f t="shared" si="10"/>
        <v>45594.4001</v>
      </c>
      <c r="P48" s="47" t="b">
        <v>0</v>
      </c>
      <c r="Q48" s="36" t="str">
        <f t="shared" si="5"/>
        <v/>
      </c>
      <c r="R48" s="47" t="b">
        <v>1</v>
      </c>
      <c r="S48" s="36">
        <f t="shared" si="6"/>
        <v>45594.40014</v>
      </c>
      <c r="T48" s="42"/>
    </row>
    <row r="49" ht="22.5" customHeight="1">
      <c r="B49" s="42">
        <f t="shared" si="7"/>
        <v>43</v>
      </c>
      <c r="C49" s="31" t="s">
        <v>239</v>
      </c>
      <c r="D49" s="34" t="str">
        <f t="array" ref="D49">IFNA(_xlfn.XLOOKUP(C49,Table_Tarikan_Warkah[Nomor Sertipikat],Table_Tarikan_Warkah[Nomor Tiket]),"")</f>
        <v>L/4/221024/1</v>
      </c>
      <c r="E49" s="36" t="str">
        <f t="array" ref="E49">IFNA(_xlfn.XLOOKUP(C49,Table_Tarikan_Warkah[Nomor Sertipikat],Table_Tarikan_Warkah[Tanggal diserahkan kepada Validator]),"")</f>
        <v>23/10/2024 09.03</v>
      </c>
      <c r="F49" s="36" t="str">
        <f t="array" ref="F49">IFNA(_xlfn.XLOOKUP(C49,Table_Tarikan_Warkah[Nomor Sertipikat],Table_Tarikan_Warkah[Nama Petugas Warkah]),"")</f>
        <v>Berry</v>
      </c>
      <c r="G49" s="39" t="str">
        <f t="array" ref="G49">IFNA(_xlfn.XLOOKUP(C49,Table_Tarikan_Warkah[Nomor Sertipikat],Table_Tarikan_Warkah[Jenis Permohonan]),"")</f>
        <v>BN WARIS</v>
      </c>
      <c r="H49" s="41" t="s">
        <v>20</v>
      </c>
      <c r="I49" s="41" t="s">
        <v>12</v>
      </c>
      <c r="J49" s="36">
        <f t="shared" si="1"/>
        <v>45589.617</v>
      </c>
      <c r="K49" s="41" t="s">
        <v>197</v>
      </c>
      <c r="L49" s="41" t="s">
        <v>12</v>
      </c>
      <c r="M49" s="36">
        <f t="shared" si="2"/>
        <v>45594.38562</v>
      </c>
      <c r="N49" s="30" t="str">
        <f t="shared" si="3"/>
        <v>SELESAI</v>
      </c>
      <c r="O49" s="45">
        <f t="shared" si="10"/>
        <v>45594.38562</v>
      </c>
      <c r="P49" s="47" t="b">
        <v>0</v>
      </c>
      <c r="Q49" s="36" t="str">
        <f t="shared" si="5"/>
        <v/>
      </c>
      <c r="R49" s="47" t="b">
        <v>1</v>
      </c>
      <c r="S49" s="36">
        <f t="shared" si="6"/>
        <v>45594.38607</v>
      </c>
      <c r="T49" s="42"/>
    </row>
    <row r="50" ht="22.5" customHeight="1">
      <c r="B50" s="42">
        <f t="shared" si="7"/>
        <v>44</v>
      </c>
      <c r="C50" s="31" t="s">
        <v>240</v>
      </c>
      <c r="D50" s="34" t="str">
        <f t="array" ref="D50">IFNA(_xlfn.XLOOKUP(C50,Table_Tarikan_Warkah[Nomor Sertipikat],Table_Tarikan_Warkah[Nomor Tiket]),"")</f>
        <v>L/8/221024/1</v>
      </c>
      <c r="E50" s="36" t="str">
        <f t="array" ref="E50">IFNA(_xlfn.XLOOKUP(C50,Table_Tarikan_Warkah[Nomor Sertipikat],Table_Tarikan_Warkah[Tanggal diserahkan kepada Validator]),"")</f>
        <v>23/10/2024 09.03</v>
      </c>
      <c r="F50" s="36" t="str">
        <f t="array" ref="F50">IFNA(_xlfn.XLOOKUP(C50,Table_Tarikan_Warkah[Nomor Sertipikat],Table_Tarikan_Warkah[Nama Petugas Warkah]),"")</f>
        <v>Berry</v>
      </c>
      <c r="G50" s="39" t="str">
        <f t="array" ref="G50">IFNA(_xlfn.XLOOKUP(C50,Table_Tarikan_Warkah[Nomor Sertipikat],Table_Tarikan_Warkah[Jenis Permohonan]),"")</f>
        <v>ROYA</v>
      </c>
      <c r="H50" s="41" t="s">
        <v>20</v>
      </c>
      <c r="I50" s="41" t="s">
        <v>12</v>
      </c>
      <c r="J50" s="36">
        <f t="shared" si="1"/>
        <v>45589.62433</v>
      </c>
      <c r="K50" s="41" t="s">
        <v>197</v>
      </c>
      <c r="L50" s="41" t="s">
        <v>12</v>
      </c>
      <c r="M50" s="36">
        <f t="shared" si="2"/>
        <v>45594.37943</v>
      </c>
      <c r="N50" s="30" t="str">
        <f t="shared" si="3"/>
        <v>SELESAI</v>
      </c>
      <c r="O50" s="45">
        <f t="shared" si="10"/>
        <v>45594.37943</v>
      </c>
      <c r="P50" s="47" t="b">
        <v>0</v>
      </c>
      <c r="Q50" s="36" t="str">
        <f t="shared" si="5"/>
        <v/>
      </c>
      <c r="R50" s="47" t="b">
        <v>1</v>
      </c>
      <c r="S50" s="36">
        <f t="shared" si="6"/>
        <v>45594.37948</v>
      </c>
      <c r="T50" s="42"/>
    </row>
    <row r="51" ht="22.5" customHeight="1">
      <c r="B51" s="42">
        <f t="shared" si="7"/>
        <v>45</v>
      </c>
      <c r="C51" s="31" t="s">
        <v>241</v>
      </c>
      <c r="D51" s="34" t="str">
        <f t="array" ref="D51">IFNA(_xlfn.XLOOKUP(C51,Table_Tarikan_Warkah[Nomor Sertipikat],Table_Tarikan_Warkah[Nomor Tiket]),"")</f>
        <v>K/9/221024/1</v>
      </c>
      <c r="E51" s="36" t="str">
        <f t="array" ref="E51">IFNA(_xlfn.XLOOKUP(C51,Table_Tarikan_Warkah[Nomor Sertipikat],Table_Tarikan_Warkah[Tanggal diserahkan kepada Validator]),"")</f>
        <v>23/10/2024 09.06</v>
      </c>
      <c r="F51" s="36" t="str">
        <f t="array" ref="F51">IFNA(_xlfn.XLOOKUP(C51,Table_Tarikan_Warkah[Nomor Sertipikat],Table_Tarikan_Warkah[Nama Petugas Warkah]),"")</f>
        <v>David</v>
      </c>
      <c r="G51" s="39" t="str">
        <f t="array" ref="G51">IFNA(_xlfn.XLOOKUP(C51,Table_Tarikan_Warkah[Nomor Sertipikat],Table_Tarikan_Warkah[Jenis Permohonan]),"")</f>
        <v>ROYA</v>
      </c>
      <c r="H51" s="41" t="s">
        <v>20</v>
      </c>
      <c r="I51" s="41" t="s">
        <v>12</v>
      </c>
      <c r="J51" s="36">
        <f t="shared" si="1"/>
        <v>45589.6269</v>
      </c>
      <c r="K51" s="41" t="s">
        <v>26</v>
      </c>
      <c r="L51" s="41" t="s">
        <v>12</v>
      </c>
      <c r="M51" s="36">
        <f t="shared" si="2"/>
        <v>45594.40261</v>
      </c>
      <c r="N51" s="30" t="str">
        <f t="shared" si="3"/>
        <v>SELESAI</v>
      </c>
      <c r="O51" s="45">
        <f t="shared" si="10"/>
        <v>45594.40261</v>
      </c>
      <c r="P51" s="47" t="b">
        <v>0</v>
      </c>
      <c r="Q51" s="36" t="str">
        <f t="shared" si="5"/>
        <v/>
      </c>
      <c r="R51" s="47" t="b">
        <v>1</v>
      </c>
      <c r="S51" s="36">
        <f t="shared" si="6"/>
        <v>45594.40265</v>
      </c>
      <c r="T51" s="42"/>
    </row>
    <row r="52" ht="22.5" customHeight="1">
      <c r="B52" s="42">
        <f t="shared" si="7"/>
        <v>46</v>
      </c>
      <c r="C52" s="31" t="s">
        <v>242</v>
      </c>
      <c r="D52" s="34" t="str">
        <f t="array" ref="D52">IFNA(_xlfn.XLOOKUP(C52,Table_Tarikan_Warkah[Nomor Sertipikat],Table_Tarikan_Warkah[Nomor Tiket]),"")</f>
        <v>L/11/221024/1</v>
      </c>
      <c r="E52" s="36" t="str">
        <f t="array" ref="E52">IFNA(_xlfn.XLOOKUP(C52,Table_Tarikan_Warkah[Nomor Sertipikat],Table_Tarikan_Warkah[Tanggal diserahkan kepada Validator]),"")</f>
        <v>23/10/2024 09.08</v>
      </c>
      <c r="F52" s="36" t="str">
        <f t="array" ref="F52">IFNA(_xlfn.XLOOKUP(C52,Table_Tarikan_Warkah[Nomor Sertipikat],Table_Tarikan_Warkah[Nama Petugas Warkah]),"")</f>
        <v>David</v>
      </c>
      <c r="G52" s="39" t="str">
        <f t="array" ref="G52">IFNA(_xlfn.XLOOKUP(C52,Table_Tarikan_Warkah[Nomor Sertipikat],Table_Tarikan_Warkah[Jenis Permohonan]),"")</f>
        <v>ROYA</v>
      </c>
      <c r="H52" s="41" t="s">
        <v>20</v>
      </c>
      <c r="I52" s="41" t="s">
        <v>12</v>
      </c>
      <c r="J52" s="36">
        <f t="shared" si="1"/>
        <v>45589.63371</v>
      </c>
      <c r="K52" s="41" t="s">
        <v>197</v>
      </c>
      <c r="L52" s="41" t="s">
        <v>12</v>
      </c>
      <c r="M52" s="36">
        <f t="shared" si="2"/>
        <v>45594.38001</v>
      </c>
      <c r="N52" s="30" t="str">
        <f t="shared" si="3"/>
        <v>SELESAI</v>
      </c>
      <c r="O52" s="45">
        <f t="shared" si="10"/>
        <v>45594.38001</v>
      </c>
      <c r="P52" s="47" t="b">
        <v>0</v>
      </c>
      <c r="Q52" s="36" t="str">
        <f t="shared" si="5"/>
        <v/>
      </c>
      <c r="R52" s="47" t="b">
        <v>1</v>
      </c>
      <c r="S52" s="36">
        <f t="shared" si="6"/>
        <v>45594.38007</v>
      </c>
      <c r="T52" s="42"/>
    </row>
    <row r="53" ht="22.5" customHeight="1">
      <c r="B53" s="42">
        <f t="shared" si="7"/>
        <v>47</v>
      </c>
      <c r="C53" s="31" t="s">
        <v>243</v>
      </c>
      <c r="D53" s="34" t="str">
        <f t="array" ref="D53">IFNA(_xlfn.XLOOKUP(C53,Table_Tarikan_Warkah[Nomor Sertipikat],Table_Tarikan_Warkah[Nomor Tiket]),"")</f>
        <v>K/14/221024/2</v>
      </c>
      <c r="E53" s="36" t="str">
        <f t="array" ref="E53">IFNA(_xlfn.XLOOKUP(C53,Table_Tarikan_Warkah[Nomor Sertipikat],Table_Tarikan_Warkah[Tanggal diserahkan kepada Validator]),"")</f>
        <v>23/10/2024 09.08</v>
      </c>
      <c r="F53" s="36" t="str">
        <f t="array" ref="F53">IFNA(_xlfn.XLOOKUP(C53,Table_Tarikan_Warkah[Nomor Sertipikat],Table_Tarikan_Warkah[Nama Petugas Warkah]),"")</f>
        <v>David</v>
      </c>
      <c r="G53" s="39" t="str">
        <f t="array" ref="G53">IFNA(_xlfn.XLOOKUP(C53,Table_Tarikan_Warkah[Nomor Sertipikat],Table_Tarikan_Warkah[Jenis Permohonan]),"")</f>
        <v>BN Waris</v>
      </c>
      <c r="H53" s="41" t="s">
        <v>20</v>
      </c>
      <c r="I53" s="41" t="s">
        <v>12</v>
      </c>
      <c r="J53" s="36">
        <f t="shared" si="1"/>
        <v>45589.63632</v>
      </c>
      <c r="K53" s="41" t="s">
        <v>197</v>
      </c>
      <c r="L53" s="41" t="s">
        <v>12</v>
      </c>
      <c r="M53" s="36">
        <f t="shared" si="2"/>
        <v>45594.3892</v>
      </c>
      <c r="N53" s="30" t="str">
        <f t="shared" si="3"/>
        <v>SELESAI</v>
      </c>
      <c r="O53" s="45">
        <f t="shared" si="10"/>
        <v>45594.3892</v>
      </c>
      <c r="P53" s="47" t="b">
        <v>0</v>
      </c>
      <c r="Q53" s="36" t="str">
        <f t="shared" si="5"/>
        <v/>
      </c>
      <c r="R53" s="47" t="b">
        <v>1</v>
      </c>
      <c r="S53" s="36">
        <f t="shared" si="6"/>
        <v>45594.38921</v>
      </c>
      <c r="T53" s="42"/>
    </row>
    <row r="54" ht="22.5" customHeight="1">
      <c r="B54" s="42">
        <f t="shared" si="7"/>
        <v>48</v>
      </c>
      <c r="C54" s="31" t="s">
        <v>244</v>
      </c>
      <c r="D54" s="34" t="str">
        <f t="array" ref="D54">IFNA(_xlfn.XLOOKUP(C54,Table_Tarikan_Warkah[Nomor Sertipikat],Table_Tarikan_Warkah[Nomor Tiket]),"")</f>
        <v>K/44/231024/1</v>
      </c>
      <c r="E54" s="36" t="str">
        <f t="array" ref="E54">IFNA(_xlfn.XLOOKUP(C54,Table_Tarikan_Warkah[Nomor Sertipikat],Table_Tarikan_Warkah[Tanggal diserahkan kepada Validator]),"")</f>
        <v/>
      </c>
      <c r="F54" s="36" t="str">
        <f t="array" ref="F54">IFNA(_xlfn.XLOOKUP(C54,Table_Tarikan_Warkah[Nomor Sertipikat],Table_Tarikan_Warkah[Nama Petugas Warkah]),"")</f>
        <v/>
      </c>
      <c r="G54" s="39" t="str">
        <f t="array" ref="G54">IFNA(_xlfn.XLOOKUP(C54,Table_Tarikan_Warkah[Nomor Sertipikat],Table_Tarikan_Warkah[Jenis Permohonan]),"")</f>
        <v>Roya</v>
      </c>
      <c r="H54" s="41" t="s">
        <v>11</v>
      </c>
      <c r="I54" s="41" t="s">
        <v>12</v>
      </c>
      <c r="J54" s="36">
        <f t="shared" si="1"/>
        <v>45589.63712</v>
      </c>
      <c r="K54" s="41" t="s">
        <v>197</v>
      </c>
      <c r="L54" s="41" t="s">
        <v>12</v>
      </c>
      <c r="M54" s="36">
        <f t="shared" si="2"/>
        <v>45589.71108</v>
      </c>
      <c r="N54" s="30" t="str">
        <f t="shared" si="3"/>
        <v>SELESAI</v>
      </c>
      <c r="O54" s="45">
        <f t="shared" ref="O54:O57" si="11">IF(and(L54="Selesai",I54="Selesai"),IF(M54&lt;&gt;"",M54,NOW()),"")</f>
        <v>45589.71108</v>
      </c>
      <c r="P54" s="47" t="b">
        <v>0</v>
      </c>
      <c r="Q54" s="36" t="str">
        <f t="shared" si="5"/>
        <v/>
      </c>
      <c r="R54" s="47" t="b">
        <v>1</v>
      </c>
      <c r="S54" s="36">
        <f t="shared" si="6"/>
        <v>45589.71112</v>
      </c>
      <c r="T54" s="42"/>
    </row>
    <row r="55" ht="22.5" customHeight="1">
      <c r="B55" s="42">
        <f t="shared" si="7"/>
        <v>49</v>
      </c>
      <c r="C55" s="31" t="s">
        <v>245</v>
      </c>
      <c r="D55" s="34" t="str">
        <f t="array" ref="D55">IFNA(_xlfn.XLOOKUP(C55,Table_Tarikan_Warkah[Nomor Sertipikat],Table_Tarikan_Warkah[Nomor Tiket]),"")</f>
        <v>K/49/231024/1</v>
      </c>
      <c r="E55" s="36" t="str">
        <f t="array" ref="E55">IFNA(_xlfn.XLOOKUP(C55,Table_Tarikan_Warkah[Nomor Sertipikat],Table_Tarikan_Warkah[Tanggal diserahkan kepada Validator]),"")</f>
        <v/>
      </c>
      <c r="F55" s="36" t="str">
        <f t="array" ref="F55">IFNA(_xlfn.XLOOKUP(C55,Table_Tarikan_Warkah[Nomor Sertipikat],Table_Tarikan_Warkah[Nama Petugas Warkah]),"")</f>
        <v/>
      </c>
      <c r="G55" s="39" t="str">
        <f t="array" ref="G55">IFNA(_xlfn.XLOOKUP(C55,Table_Tarikan_Warkah[Nomor Sertipikat],Table_Tarikan_Warkah[Jenis Permohonan]),"")</f>
        <v>BN JUAL BELI</v>
      </c>
      <c r="H55" s="41" t="s">
        <v>11</v>
      </c>
      <c r="I55" s="41" t="s">
        <v>12</v>
      </c>
      <c r="J55" s="36">
        <f t="shared" si="1"/>
        <v>45589.63726</v>
      </c>
      <c r="K55" s="41" t="s">
        <v>197</v>
      </c>
      <c r="L55" s="41" t="s">
        <v>12</v>
      </c>
      <c r="M55" s="36">
        <f t="shared" si="2"/>
        <v>45589.70826</v>
      </c>
      <c r="N55" s="30" t="str">
        <f t="shared" si="3"/>
        <v>SELESAI</v>
      </c>
      <c r="O55" s="45">
        <f t="shared" si="11"/>
        <v>45589.70826</v>
      </c>
      <c r="P55" s="47" t="b">
        <v>0</v>
      </c>
      <c r="Q55" s="36" t="str">
        <f t="shared" si="5"/>
        <v/>
      </c>
      <c r="R55" s="47" t="b">
        <v>1</v>
      </c>
      <c r="S55" s="36">
        <f t="shared" si="6"/>
        <v>45589.70831</v>
      </c>
      <c r="T55" s="42"/>
    </row>
    <row r="56" ht="22.5" customHeight="1">
      <c r="B56" s="42">
        <f t="shared" si="7"/>
        <v>50</v>
      </c>
      <c r="C56" s="31" t="s">
        <v>246</v>
      </c>
      <c r="D56" s="34" t="str">
        <f t="array" ref="D56">IFNA(_xlfn.XLOOKUP(C56,Table_Tarikan_Warkah[Nomor Sertipikat],Table_Tarikan_Warkah[Nomor Tiket]),"")</f>
        <v>L/37/231024/1</v>
      </c>
      <c r="E56" s="36" t="str">
        <f t="array" ref="E56">IFNA(_xlfn.XLOOKUP(C56,Table_Tarikan_Warkah[Nomor Sertipikat],Table_Tarikan_Warkah[Tanggal diserahkan kepada Validator]),"")</f>
        <v>23/10/2024 16.40</v>
      </c>
      <c r="F56" s="36" t="str">
        <f t="array" ref="F56">IFNA(_xlfn.XLOOKUP(C56,Table_Tarikan_Warkah[Nomor Sertipikat],Table_Tarikan_Warkah[Nama Petugas Warkah]),"")</f>
        <v>Rahma</v>
      </c>
      <c r="G56" s="39" t="str">
        <f t="array" ref="G56">IFNA(_xlfn.XLOOKUP(C56,Table_Tarikan_Warkah[Nomor Sertipikat],Table_Tarikan_Warkah[Jenis Permohonan]),"")</f>
        <v>ROYA</v>
      </c>
      <c r="H56" s="41" t="s">
        <v>11</v>
      </c>
      <c r="I56" s="41" t="s">
        <v>12</v>
      </c>
      <c r="J56" s="36">
        <f t="shared" si="1"/>
        <v>45589.63745</v>
      </c>
      <c r="K56" s="41" t="s">
        <v>197</v>
      </c>
      <c r="L56" s="41" t="s">
        <v>12</v>
      </c>
      <c r="M56" s="36">
        <f t="shared" si="2"/>
        <v>45589.71083</v>
      </c>
      <c r="N56" s="30" t="str">
        <f t="shared" si="3"/>
        <v>SELESAI</v>
      </c>
      <c r="O56" s="45">
        <f t="shared" si="11"/>
        <v>45589.71083</v>
      </c>
      <c r="P56" s="47" t="b">
        <v>0</v>
      </c>
      <c r="Q56" s="36" t="str">
        <f t="shared" si="5"/>
        <v/>
      </c>
      <c r="R56" s="47" t="b">
        <v>1</v>
      </c>
      <c r="S56" s="36">
        <f t="shared" si="6"/>
        <v>45589.71086</v>
      </c>
      <c r="T56" s="42"/>
    </row>
    <row r="57" ht="22.5" customHeight="1">
      <c r="B57" s="42">
        <f t="shared" si="7"/>
        <v>51</v>
      </c>
      <c r="C57" s="31" t="s">
        <v>247</v>
      </c>
      <c r="D57" s="34" t="str">
        <f t="array" ref="D57">IFNA(_xlfn.XLOOKUP(C57,Table_Tarikan_Warkah[Nomor Sertipikat],Table_Tarikan_Warkah[Nomor Tiket]),"")</f>
        <v>K/42/231024/1</v>
      </c>
      <c r="E57" s="36" t="str">
        <f t="array" ref="E57">IFNA(_xlfn.XLOOKUP(C57,Table_Tarikan_Warkah[Nomor Sertipikat],Table_Tarikan_Warkah[Tanggal diserahkan kepada Validator]),"")</f>
        <v>23/10/2024 16.41</v>
      </c>
      <c r="F57" s="36" t="str">
        <f t="array" ref="F57">IFNA(_xlfn.XLOOKUP(C57,Table_Tarikan_Warkah[Nomor Sertipikat],Table_Tarikan_Warkah[Nama Petugas Warkah]),"")</f>
        <v>Rahma</v>
      </c>
      <c r="G57" s="39" t="str">
        <f t="array" ref="G57">IFNA(_xlfn.XLOOKUP(C57,Table_Tarikan_Warkah[Nomor Sertipikat],Table_Tarikan_Warkah[Jenis Permohonan]),"")</f>
        <v>BN JUAL BELI</v>
      </c>
      <c r="H57" s="41" t="s">
        <v>11</v>
      </c>
      <c r="I57" s="41" t="s">
        <v>12</v>
      </c>
      <c r="J57" s="36">
        <f t="shared" si="1"/>
        <v>45589.6379</v>
      </c>
      <c r="K57" s="41" t="s">
        <v>197</v>
      </c>
      <c r="L57" s="41" t="s">
        <v>12</v>
      </c>
      <c r="M57" s="36">
        <f t="shared" si="2"/>
        <v>45589.70942</v>
      </c>
      <c r="N57" s="30" t="str">
        <f t="shared" si="3"/>
        <v>SELESAI</v>
      </c>
      <c r="O57" s="45">
        <f t="shared" si="11"/>
        <v>45589.70942</v>
      </c>
      <c r="P57" s="47" t="b">
        <v>0</v>
      </c>
      <c r="Q57" s="36" t="str">
        <f t="shared" si="5"/>
        <v/>
      </c>
      <c r="R57" s="47" t="b">
        <v>1</v>
      </c>
      <c r="S57" s="36">
        <f t="shared" si="6"/>
        <v>45589.70945</v>
      </c>
      <c r="T57" s="42"/>
    </row>
    <row r="58" ht="22.5" customHeight="1">
      <c r="B58" s="42">
        <f t="shared" si="7"/>
        <v>52</v>
      </c>
      <c r="C58" s="31" t="s">
        <v>248</v>
      </c>
      <c r="D58" s="34" t="str">
        <f t="array" ref="D58">IFNA(_xlfn.XLOOKUP(C58,Table_Tarikan_Warkah[Nomor Sertipikat],Table_Tarikan_Warkah[Nomor Tiket]),"")</f>
        <v>L/22/241024/1</v>
      </c>
      <c r="E58" s="36" t="str">
        <f t="array" ref="E58">IFNA(_xlfn.XLOOKUP(C58,Table_Tarikan_Warkah[Nomor Sertipikat],Table_Tarikan_Warkah[Tanggal diserahkan kepada Validator]),"")</f>
        <v>24/10/2024 16.09</v>
      </c>
      <c r="F58" s="36" t="str">
        <f t="array" ref="F58">IFNA(_xlfn.XLOOKUP(C58,Table_Tarikan_Warkah[Nomor Sertipikat],Table_Tarikan_Warkah[Nama Petugas Warkah]),"")</f>
        <v>David</v>
      </c>
      <c r="G58" s="39" t="str">
        <f t="array" ref="G58">IFNA(_xlfn.XLOOKUP(C58,Table_Tarikan_Warkah[Nomor Sertipikat],Table_Tarikan_Warkah[Jenis Permohonan]),"")</f>
        <v>ROYA</v>
      </c>
      <c r="H58" s="41" t="s">
        <v>20</v>
      </c>
      <c r="I58" s="41" t="s">
        <v>12</v>
      </c>
      <c r="J58" s="36">
        <f t="shared" si="1"/>
        <v>45590.46938</v>
      </c>
      <c r="K58" s="41" t="s">
        <v>197</v>
      </c>
      <c r="L58" s="41" t="s">
        <v>12</v>
      </c>
      <c r="M58" s="36">
        <f t="shared" si="2"/>
        <v>45594.36648</v>
      </c>
      <c r="N58" s="30" t="str">
        <f t="shared" si="3"/>
        <v>SELESAI</v>
      </c>
      <c r="O58" s="45">
        <f t="shared" ref="O58:O719" si="12">IF(N58="Selesai",IF(M58&lt;&gt;"",M58,NOW()),"")</f>
        <v>45594.36648</v>
      </c>
      <c r="P58" s="47" t="b">
        <v>0</v>
      </c>
      <c r="Q58" s="36" t="str">
        <f t="shared" si="5"/>
        <v/>
      </c>
      <c r="R58" s="47" t="b">
        <v>1</v>
      </c>
      <c r="S58" s="36">
        <f t="shared" si="6"/>
        <v>45594.36658</v>
      </c>
      <c r="T58" s="42"/>
    </row>
    <row r="59" ht="22.5" customHeight="1">
      <c r="B59" s="42">
        <f t="shared" si="7"/>
        <v>53</v>
      </c>
      <c r="C59" s="31" t="s">
        <v>249</v>
      </c>
      <c r="D59" s="34" t="str">
        <f t="array" ref="D59">IFNA(_xlfn.XLOOKUP(C59,Table_Tarikan_Warkah[Nomor Sertipikat],Table_Tarikan_Warkah[Nomor Tiket]),"")</f>
        <v>L/14/241024/1</v>
      </c>
      <c r="E59" s="36" t="str">
        <f t="array" ref="E59">IFNA(_xlfn.XLOOKUP(C59,Table_Tarikan_Warkah[Nomor Sertipikat],Table_Tarikan_Warkah[Tanggal diserahkan kepada Validator]),"")</f>
        <v>24/10/2024 16.08</v>
      </c>
      <c r="F59" s="36" t="str">
        <f t="array" ref="F59">IFNA(_xlfn.XLOOKUP(C59,Table_Tarikan_Warkah[Nomor Sertipikat],Table_Tarikan_Warkah[Nama Petugas Warkah]),"")</f>
        <v>David</v>
      </c>
      <c r="G59" s="39" t="str">
        <f t="array" ref="G59">IFNA(_xlfn.XLOOKUP(C59,Table_Tarikan_Warkah[Nomor Sertipikat],Table_Tarikan_Warkah[Jenis Permohonan]),"")</f>
        <v>ROYA</v>
      </c>
      <c r="H59" s="41" t="s">
        <v>20</v>
      </c>
      <c r="I59" s="41" t="s">
        <v>12</v>
      </c>
      <c r="J59" s="36">
        <f t="shared" si="1"/>
        <v>45590.61641</v>
      </c>
      <c r="K59" s="41" t="s">
        <v>197</v>
      </c>
      <c r="L59" s="41" t="s">
        <v>12</v>
      </c>
      <c r="M59" s="36">
        <f t="shared" si="2"/>
        <v>45594.36806</v>
      </c>
      <c r="N59" s="30" t="str">
        <f t="shared" si="3"/>
        <v>SELESAI</v>
      </c>
      <c r="O59" s="45">
        <f t="shared" si="12"/>
        <v>45594.36806</v>
      </c>
      <c r="P59" s="47" t="b">
        <v>0</v>
      </c>
      <c r="Q59" s="36" t="str">
        <f t="shared" si="5"/>
        <v/>
      </c>
      <c r="R59" s="47" t="b">
        <v>1</v>
      </c>
      <c r="S59" s="36">
        <f t="shared" si="6"/>
        <v>45594.36811</v>
      </c>
      <c r="T59" s="42"/>
    </row>
    <row r="60" ht="22.5" customHeight="1">
      <c r="B60" s="42">
        <f t="shared" si="7"/>
        <v>54</v>
      </c>
      <c r="C60" s="31" t="s">
        <v>250</v>
      </c>
      <c r="D60" s="34" t="str">
        <f t="array" ref="D60">IFNA(_xlfn.XLOOKUP(C60,Table_Tarikan_Warkah[Nomor Sertipikat],Table_Tarikan_Warkah[Nomor Tiket]),"")</f>
        <v>K/36/151024/1</v>
      </c>
      <c r="E60" s="36" t="str">
        <f t="array" ref="E60">IFNA(_xlfn.XLOOKUP(C60,Table_Tarikan_Warkah[Nomor Sertipikat],Table_Tarikan_Warkah[Tanggal diserahkan kepada Validator]),"")</f>
        <v/>
      </c>
      <c r="F60" s="36" t="str">
        <f t="array" ref="F60">IFNA(_xlfn.XLOOKUP(C60,Table_Tarikan_Warkah[Nomor Sertipikat],Table_Tarikan_Warkah[Nama Petugas Warkah]),"")</f>
        <v/>
      </c>
      <c r="G60" s="39" t="str">
        <f t="array" ref="G60">IFNA(_xlfn.XLOOKUP(C60,Table_Tarikan_Warkah[Nomor Sertipikat],Table_Tarikan_Warkah[Jenis Permohonan]),"")</f>
        <v>PERALIHAN LELANG</v>
      </c>
      <c r="H60" s="41" t="s">
        <v>11</v>
      </c>
      <c r="I60" s="41" t="s">
        <v>23</v>
      </c>
      <c r="J60" s="36">
        <f t="shared" ref="J60:J61" si="13">IF(OR(I60="Selesai",I60="SELESAI (VIA PERMOHONAN)"),IF(J60&lt;&gt;"",J60,NOW()),"")</f>
        <v>45591.37109</v>
      </c>
      <c r="K60" s="41" t="s">
        <v>26</v>
      </c>
      <c r="L60" s="41" t="s">
        <v>23</v>
      </c>
      <c r="M60" s="36">
        <f t="shared" ref="M60:M61" si="14">IF(OR(L60="Selesai",L60="SELESAI (VIA PERMOHONAN)"),IF(M60&lt;&gt;"",M60,NOW()),"")</f>
        <v>45593.68708</v>
      </c>
      <c r="N60" s="30" t="str">
        <f t="shared" si="3"/>
        <v>Selesai</v>
      </c>
      <c r="O60" s="45">
        <f t="shared" si="12"/>
        <v>45593.68708</v>
      </c>
      <c r="P60" s="47" t="b">
        <v>1</v>
      </c>
      <c r="Q60" s="36">
        <f t="shared" si="5"/>
        <v>45593.68715</v>
      </c>
      <c r="R60" s="47" t="b">
        <v>0</v>
      </c>
      <c r="S60" s="42" t="str">
        <f t="shared" si="6"/>
        <v/>
      </c>
      <c r="T60" s="42"/>
    </row>
    <row r="61" ht="22.5" customHeight="1">
      <c r="B61" s="42">
        <f t="shared" si="7"/>
        <v>55</v>
      </c>
      <c r="C61" s="31" t="s">
        <v>251</v>
      </c>
      <c r="D61" s="34" t="str">
        <f t="array" ref="D61">IFNA(_xlfn.XLOOKUP(C61,Table_Tarikan_Warkah[Nomor Sertipikat],Table_Tarikan_Warkah[Nomor Tiket]),"")</f>
        <v>K/23/181024/1</v>
      </c>
      <c r="E61" s="36" t="str">
        <f t="array" ref="E61">IFNA(_xlfn.XLOOKUP(C61,Table_Tarikan_Warkah[Nomor Sertipikat],Table_Tarikan_Warkah[Tanggal diserahkan kepada Validator]),"")</f>
        <v/>
      </c>
      <c r="F61" s="36" t="str">
        <f t="array" ref="F61">IFNA(_xlfn.XLOOKUP(C61,Table_Tarikan_Warkah[Nomor Sertipikat],Table_Tarikan_Warkah[Nama Petugas Warkah]),"")</f>
        <v/>
      </c>
      <c r="G61" s="39" t="str">
        <f t="array" ref="G61">IFNA(_xlfn.XLOOKUP(C61,Table_Tarikan_Warkah[Nomor Sertipikat],Table_Tarikan_Warkah[Jenis Permohonan]),"")</f>
        <v>BN Jual Beli</v>
      </c>
      <c r="H61" s="41" t="s">
        <v>11</v>
      </c>
      <c r="I61" s="41" t="s">
        <v>23</v>
      </c>
      <c r="J61" s="36">
        <f t="shared" si="13"/>
        <v>45591.3711</v>
      </c>
      <c r="K61" s="41" t="s">
        <v>26</v>
      </c>
      <c r="L61" s="41" t="s">
        <v>23</v>
      </c>
      <c r="M61" s="36">
        <f t="shared" si="14"/>
        <v>45593.70638</v>
      </c>
      <c r="N61" s="30" t="str">
        <f t="shared" si="3"/>
        <v>Selesai</v>
      </c>
      <c r="O61" s="45">
        <f t="shared" si="12"/>
        <v>45593.70638</v>
      </c>
      <c r="P61" s="47" t="b">
        <v>1</v>
      </c>
      <c r="Q61" s="36">
        <f t="shared" si="5"/>
        <v>45593.70646</v>
      </c>
      <c r="R61" s="47" t="b">
        <v>0</v>
      </c>
      <c r="S61" s="42" t="str">
        <f t="shared" si="6"/>
        <v/>
      </c>
      <c r="T61" s="42"/>
    </row>
    <row r="62" ht="22.5" customHeight="1">
      <c r="B62" s="42">
        <f t="shared" si="7"/>
        <v>56</v>
      </c>
      <c r="C62" s="31" t="s">
        <v>252</v>
      </c>
      <c r="D62" s="34" t="str">
        <f t="array" ref="D62">IFNA(_xlfn.XLOOKUP(C62,Table_Tarikan_Warkah[Nomor Sertipikat],Table_Tarikan_Warkah[Nomor Tiket]),"")</f>
        <v>L/31/241024/1</v>
      </c>
      <c r="E62" s="36" t="str">
        <f t="array" ref="E62">IFNA(_xlfn.XLOOKUP(C62,Table_Tarikan_Warkah[Nomor Sertipikat],Table_Tarikan_Warkah[Tanggal diserahkan kepada Validator]),"")</f>
        <v>24/10/2024 16.11</v>
      </c>
      <c r="F62" s="36" t="str">
        <f t="array" ref="F62">IFNA(_xlfn.XLOOKUP(C62,Table_Tarikan_Warkah[Nomor Sertipikat],Table_Tarikan_Warkah[Nama Petugas Warkah]),"")</f>
        <v>David</v>
      </c>
      <c r="G62" s="39" t="str">
        <f t="array" ref="G62">IFNA(_xlfn.XLOOKUP(C62,Table_Tarikan_Warkah[Nomor Sertipikat],Table_Tarikan_Warkah[Jenis Permohonan]),"")</f>
        <v>PERUBAHAN HAK</v>
      </c>
      <c r="H62" s="41" t="s">
        <v>11</v>
      </c>
      <c r="I62" s="41" t="s">
        <v>12</v>
      </c>
      <c r="J62" s="36">
        <f t="shared" ref="J62:J66" si="15">IF(I62="Selesai",IF(J62&lt;&gt;"",J62,NOW()),"")</f>
        <v>45590.62214</v>
      </c>
      <c r="K62" s="41" t="s">
        <v>197</v>
      </c>
      <c r="L62" s="41" t="s">
        <v>12</v>
      </c>
      <c r="M62" s="36">
        <f t="shared" ref="M62:M66" si="16">IF(L62="Selesai",IF(M62&lt;&gt;"",M62,NOW()),"")</f>
        <v>45594.40488</v>
      </c>
      <c r="N62" s="30" t="str">
        <f t="shared" si="3"/>
        <v>SELESAI</v>
      </c>
      <c r="O62" s="45">
        <f t="shared" si="12"/>
        <v>45594.40488</v>
      </c>
      <c r="P62" s="47" t="b">
        <v>0</v>
      </c>
      <c r="Q62" s="36" t="str">
        <f t="shared" si="5"/>
        <v/>
      </c>
      <c r="R62" s="47" t="b">
        <v>1</v>
      </c>
      <c r="S62" s="36">
        <f t="shared" si="6"/>
        <v>45595.38266</v>
      </c>
      <c r="T62" s="42"/>
    </row>
    <row r="63" ht="22.5" customHeight="1">
      <c r="B63" s="42">
        <f t="shared" si="7"/>
        <v>57</v>
      </c>
      <c r="C63" s="31" t="s">
        <v>253</v>
      </c>
      <c r="D63" s="34" t="str">
        <f t="array" ref="D63">IFNA(_xlfn.XLOOKUP(C63,Table_Tarikan_Warkah[Nomor Sertipikat],Table_Tarikan_Warkah[Nomor Tiket]),"")</f>
        <v>K/32/241024/1</v>
      </c>
      <c r="E63" s="36" t="str">
        <f t="array" ref="E63">IFNA(_xlfn.XLOOKUP(C63,Table_Tarikan_Warkah[Nomor Sertipikat],Table_Tarikan_Warkah[Tanggal diserahkan kepada Validator]),"")</f>
        <v>24/10/2024 16.12</v>
      </c>
      <c r="F63" s="36" t="str">
        <f t="array" ref="F63">IFNA(_xlfn.XLOOKUP(C63,Table_Tarikan_Warkah[Nomor Sertipikat],Table_Tarikan_Warkah[Nama Petugas Warkah]),"")</f>
        <v>David</v>
      </c>
      <c r="G63" s="39" t="str">
        <f t="array" ref="G63">IFNA(_xlfn.XLOOKUP(C63,Table_Tarikan_Warkah[Nomor Sertipikat],Table_Tarikan_Warkah[Jenis Permohonan]),"")</f>
        <v>roya</v>
      </c>
      <c r="H63" s="41" t="s">
        <v>11</v>
      </c>
      <c r="I63" s="41" t="s">
        <v>12</v>
      </c>
      <c r="J63" s="36">
        <f t="shared" si="15"/>
        <v>45590.62227</v>
      </c>
      <c r="K63" s="41" t="s">
        <v>197</v>
      </c>
      <c r="L63" s="41" t="s">
        <v>12</v>
      </c>
      <c r="M63" s="36">
        <f t="shared" si="16"/>
        <v>45594.40492</v>
      </c>
      <c r="N63" s="30" t="str">
        <f t="shared" si="3"/>
        <v>SELESAI</v>
      </c>
      <c r="O63" s="45">
        <f t="shared" si="12"/>
        <v>45594.40492</v>
      </c>
      <c r="P63" s="47" t="b">
        <v>0</v>
      </c>
      <c r="Q63" s="36" t="str">
        <f t="shared" si="5"/>
        <v/>
      </c>
      <c r="R63" s="47" t="b">
        <v>1</v>
      </c>
      <c r="S63" s="36">
        <f t="shared" si="6"/>
        <v>45595.3823</v>
      </c>
      <c r="T63" s="42"/>
    </row>
    <row r="64" ht="22.5" customHeight="1">
      <c r="B64" s="42">
        <f t="shared" si="7"/>
        <v>58</v>
      </c>
      <c r="C64" s="31" t="s">
        <v>254</v>
      </c>
      <c r="D64" s="34" t="str">
        <f t="array" ref="D64">IFNA(_xlfn.XLOOKUP(C64,Table_Tarikan_Warkah[Nomor Sertipikat],Table_Tarikan_Warkah[Nomor Tiket]),"")</f>
        <v>K/49/241024/2</v>
      </c>
      <c r="E64" s="36" t="str">
        <f t="array" ref="E64">IFNA(_xlfn.XLOOKUP(C64,Table_Tarikan_Warkah[Nomor Sertipikat],Table_Tarikan_Warkah[Tanggal diserahkan kepada Validator]),"")</f>
        <v>24/10/2024 16.21</v>
      </c>
      <c r="F64" s="36" t="str">
        <f t="array" ref="F64">IFNA(_xlfn.XLOOKUP(C64,Table_Tarikan_Warkah[Nomor Sertipikat],Table_Tarikan_Warkah[Nama Petugas Warkah]),"")</f>
        <v>David</v>
      </c>
      <c r="G64" s="39" t="str">
        <f t="array" ref="G64">IFNA(_xlfn.XLOOKUP(C64,Table_Tarikan_Warkah[Nomor Sertipikat],Table_Tarikan_Warkah[Jenis Permohonan]),"")</f>
        <v>BN Jual Beli</v>
      </c>
      <c r="H64" s="41" t="s">
        <v>11</v>
      </c>
      <c r="I64" s="41" t="s">
        <v>12</v>
      </c>
      <c r="J64" s="36">
        <f t="shared" si="15"/>
        <v>45590.6224</v>
      </c>
      <c r="K64" s="41" t="s">
        <v>197</v>
      </c>
      <c r="L64" s="41" t="s">
        <v>12</v>
      </c>
      <c r="M64" s="36">
        <f t="shared" si="16"/>
        <v>45594.40496</v>
      </c>
      <c r="N64" s="30" t="str">
        <f t="shared" si="3"/>
        <v>SELESAI</v>
      </c>
      <c r="O64" s="45">
        <f t="shared" si="12"/>
        <v>45594.40496</v>
      </c>
      <c r="P64" s="47" t="b">
        <v>0</v>
      </c>
      <c r="Q64" s="36" t="str">
        <f t="shared" si="5"/>
        <v/>
      </c>
      <c r="R64" s="47" t="b">
        <v>1</v>
      </c>
      <c r="S64" s="36">
        <f t="shared" si="6"/>
        <v>45595.38088</v>
      </c>
      <c r="T64" s="42"/>
    </row>
    <row r="65" ht="22.5" customHeight="1">
      <c r="B65" s="42">
        <f t="shared" si="7"/>
        <v>59</v>
      </c>
      <c r="C65" s="31" t="s">
        <v>255</v>
      </c>
      <c r="D65" s="34" t="str">
        <f t="array" ref="D65">IFNA(_xlfn.XLOOKUP(C65,Table_Tarikan_Warkah[Nomor Sertipikat],Table_Tarikan_Warkah[Nomor Tiket]),"")</f>
        <v>K/9/241024/1</v>
      </c>
      <c r="E65" s="36" t="str">
        <f t="array" ref="E65">IFNA(_xlfn.XLOOKUP(C65,Table_Tarikan_Warkah[Nomor Sertipikat],Table_Tarikan_Warkah[Tanggal diserahkan kepada Validator]),"")</f>
        <v>24/10/2024 15.51</v>
      </c>
      <c r="F65" s="36" t="str">
        <f t="array" ref="F65">IFNA(_xlfn.XLOOKUP(C65,Table_Tarikan_Warkah[Nomor Sertipikat],Table_Tarikan_Warkah[Nama Petugas Warkah]),"")</f>
        <v>Berry</v>
      </c>
      <c r="G65" s="39" t="str">
        <f t="array" ref="G65">IFNA(_xlfn.XLOOKUP(C65,Table_Tarikan_Warkah[Nomor Sertipikat],Table_Tarikan_Warkah[Jenis Permohonan]),"")</f>
        <v>Roya</v>
      </c>
      <c r="H65" s="41" t="s">
        <v>20</v>
      </c>
      <c r="I65" s="41" t="s">
        <v>12</v>
      </c>
      <c r="J65" s="36">
        <f t="shared" si="15"/>
        <v>45590.62866</v>
      </c>
      <c r="K65" s="41" t="s">
        <v>197</v>
      </c>
      <c r="L65" s="41" t="s">
        <v>12</v>
      </c>
      <c r="M65" s="36">
        <f t="shared" si="16"/>
        <v>45594.36857</v>
      </c>
      <c r="N65" s="30" t="str">
        <f t="shared" si="3"/>
        <v>SELESAI</v>
      </c>
      <c r="O65" s="45">
        <f t="shared" si="12"/>
        <v>45594.36857</v>
      </c>
      <c r="P65" s="47" t="b">
        <v>0</v>
      </c>
      <c r="Q65" s="36" t="str">
        <f t="shared" si="5"/>
        <v/>
      </c>
      <c r="R65" s="47" t="b">
        <v>1</v>
      </c>
      <c r="S65" s="36">
        <f t="shared" si="6"/>
        <v>45594.36861</v>
      </c>
      <c r="T65" s="42"/>
    </row>
    <row r="66" ht="22.5" customHeight="1">
      <c r="B66" s="42">
        <f t="shared" si="7"/>
        <v>60</v>
      </c>
      <c r="C66" s="31" t="s">
        <v>256</v>
      </c>
      <c r="D66" s="34" t="str">
        <f t="array" ref="D66">IFNA(_xlfn.XLOOKUP(C66,Table_Tarikan_Warkah[Nomor Sertipikat],Table_Tarikan_Warkah[Nomor Tiket]),"")</f>
        <v>K/41/241024/1</v>
      </c>
      <c r="E66" s="36" t="str">
        <f t="array" ref="E66">IFNA(_xlfn.XLOOKUP(C66,Table_Tarikan_Warkah[Nomor Sertipikat],Table_Tarikan_Warkah[Tanggal diserahkan kepada Validator]),"")</f>
        <v>24/10/2024 16.23</v>
      </c>
      <c r="F66" s="36" t="str">
        <f t="array" ref="F66">IFNA(_xlfn.XLOOKUP(C66,Table_Tarikan_Warkah[Nomor Sertipikat],Table_Tarikan_Warkah[Nama Petugas Warkah]),"")</f>
        <v>Berry</v>
      </c>
      <c r="G66" s="39" t="str">
        <f t="array" ref="G66">IFNA(_xlfn.XLOOKUP(C66,Table_Tarikan_Warkah[Nomor Sertipikat],Table_Tarikan_Warkah[Jenis Permohonan]),"")</f>
        <v>BN Waris</v>
      </c>
      <c r="H66" s="41" t="s">
        <v>20</v>
      </c>
      <c r="I66" s="41" t="s">
        <v>12</v>
      </c>
      <c r="J66" s="36">
        <f t="shared" si="15"/>
        <v>45590.64153</v>
      </c>
      <c r="K66" s="41" t="s">
        <v>26</v>
      </c>
      <c r="L66" s="41" t="s">
        <v>12</v>
      </c>
      <c r="M66" s="36">
        <f t="shared" si="16"/>
        <v>45594.37221</v>
      </c>
      <c r="N66" s="30" t="str">
        <f t="shared" si="3"/>
        <v>SELESAI</v>
      </c>
      <c r="O66" s="45">
        <f t="shared" si="12"/>
        <v>45594.37221</v>
      </c>
      <c r="P66" s="47" t="b">
        <v>0</v>
      </c>
      <c r="Q66" s="36" t="str">
        <f t="shared" si="5"/>
        <v/>
      </c>
      <c r="R66" s="47" t="b">
        <v>1</v>
      </c>
      <c r="S66" s="36">
        <f t="shared" si="6"/>
        <v>45594.37225</v>
      </c>
      <c r="T66" s="42"/>
    </row>
    <row r="67" ht="22.5" customHeight="1">
      <c r="B67" s="42">
        <f t="shared" si="7"/>
        <v>61</v>
      </c>
      <c r="C67" s="31" t="s">
        <v>257</v>
      </c>
      <c r="D67" s="34" t="str">
        <f t="array" ref="D67">IFNA(_xlfn.XLOOKUP(C67,Table_Tarikan_Warkah[Nomor Sertipikat],Table_Tarikan_Warkah[Nomor Tiket]),"")</f>
        <v>K/33/181024/1</v>
      </c>
      <c r="E67" s="36" t="str">
        <f t="array" ref="E67">IFNA(_xlfn.XLOOKUP(C67,Table_Tarikan_Warkah[Nomor Sertipikat],Table_Tarikan_Warkah[Tanggal diserahkan kepada Validator]),"")</f>
        <v>07/11/2024 14.13</v>
      </c>
      <c r="F67" s="36" t="str">
        <f t="array" ref="F67">IFNA(_xlfn.XLOOKUP(C67,Table_Tarikan_Warkah[Nomor Sertipikat],Table_Tarikan_Warkah[Nama Petugas Warkah]),"")</f>
        <v>Sahelia</v>
      </c>
      <c r="G67" s="39" t="str">
        <f t="array" ref="G67">IFNA(_xlfn.XLOOKUP(C67,Table_Tarikan_Warkah[Nomor Sertipikat],Table_Tarikan_Warkah[Jenis Permohonan]),"")</f>
        <v>PERALIHAN JUAL BELI</v>
      </c>
      <c r="H67" s="41" t="s">
        <v>20</v>
      </c>
      <c r="I67" s="41" t="s">
        <v>23</v>
      </c>
      <c r="J67" s="36">
        <f t="shared" ref="J67:J719" si="17">IF(OR(I67="Selesai",I67="SELESAI (VIA PERMOHONAN)"),IF(J67&lt;&gt;"",J67,NOW()),"")</f>
        <v>45591.3712</v>
      </c>
      <c r="K67" s="41" t="s">
        <v>26</v>
      </c>
      <c r="L67" s="41" t="s">
        <v>23</v>
      </c>
      <c r="M67" s="36">
        <f t="shared" ref="M67:M719" si="18">IF(OR(L67="Selesai",L67="SELESAI (VIA PERMOHONAN)"),IF(M67&lt;&gt;"",M67,NOW()),"")</f>
        <v>45594.40556</v>
      </c>
      <c r="N67" s="30" t="str">
        <f t="shared" si="3"/>
        <v>Selesai</v>
      </c>
      <c r="O67" s="45">
        <f t="shared" si="12"/>
        <v>45594.40556</v>
      </c>
      <c r="P67" s="47" t="b">
        <v>1</v>
      </c>
      <c r="Q67" s="36">
        <f t="shared" si="5"/>
        <v>45594.40559</v>
      </c>
      <c r="R67" s="47" t="b">
        <v>0</v>
      </c>
      <c r="S67" s="42" t="str">
        <f t="shared" si="6"/>
        <v/>
      </c>
      <c r="T67" s="42"/>
    </row>
    <row r="68" ht="22.5" customHeight="1">
      <c r="B68" s="42">
        <f t="shared" si="7"/>
        <v>62</v>
      </c>
      <c r="C68" s="31" t="s">
        <v>258</v>
      </c>
      <c r="D68" s="34" t="str">
        <f t="array" ref="D68">IFNA(_xlfn.XLOOKUP(C68,Table_Tarikan_Warkah[Nomor Sertipikat],Table_Tarikan_Warkah[Nomor Tiket]),"")</f>
        <v>L/10/251024/1</v>
      </c>
      <c r="E68" s="36" t="str">
        <f t="array" ref="E68">IFNA(_xlfn.XLOOKUP(C68,Table_Tarikan_Warkah[Nomor Sertipikat],Table_Tarikan_Warkah[Tanggal diserahkan kepada Validator]),"")</f>
        <v>28/10/2024 10.09</v>
      </c>
      <c r="F68" s="36" t="str">
        <f t="array" ref="F68">IFNA(_xlfn.XLOOKUP(C68,Table_Tarikan_Warkah[Nomor Sertipikat],Table_Tarikan_Warkah[Nama Petugas Warkah]),"")</f>
        <v>Berry</v>
      </c>
      <c r="G68" s="39" t="str">
        <f t="array" ref="G68">IFNA(_xlfn.XLOOKUP(C68,Table_Tarikan_Warkah[Nomor Sertipikat],Table_Tarikan_Warkah[Jenis Permohonan]),"")</f>
        <v>PEMECAHAN</v>
      </c>
      <c r="H68" s="41" t="s">
        <v>20</v>
      </c>
      <c r="I68" s="41" t="s">
        <v>12</v>
      </c>
      <c r="J68" s="36">
        <f t="shared" si="17"/>
        <v>45593.52076</v>
      </c>
      <c r="K68" s="49" t="s">
        <v>197</v>
      </c>
      <c r="L68" s="49" t="s">
        <v>12</v>
      </c>
      <c r="M68" s="36">
        <f t="shared" si="18"/>
        <v>45595.57029</v>
      </c>
      <c r="N68" s="30" t="str">
        <f t="shared" si="3"/>
        <v>SELESAI</v>
      </c>
      <c r="O68" s="45">
        <f t="shared" si="12"/>
        <v>45595.57029</v>
      </c>
      <c r="P68" s="47" t="b">
        <v>0</v>
      </c>
      <c r="Q68" s="36" t="str">
        <f t="shared" si="5"/>
        <v/>
      </c>
      <c r="R68" s="47" t="b">
        <v>1</v>
      </c>
      <c r="S68" s="36">
        <f t="shared" si="6"/>
        <v>45595.57032</v>
      </c>
      <c r="T68" s="42"/>
    </row>
    <row r="69" ht="22.5" customHeight="1">
      <c r="B69" s="42">
        <f t="shared" si="7"/>
        <v>63</v>
      </c>
      <c r="C69" s="31" t="s">
        <v>259</v>
      </c>
      <c r="D69" s="34" t="str">
        <f t="array" ref="D69">IFNA(_xlfn.XLOOKUP(C69,Table_Tarikan_Warkah[Nomor Sertipikat],Table_Tarikan_Warkah[Nomor Tiket]),"")</f>
        <v>K/31/251024/2</v>
      </c>
      <c r="E69" s="36" t="str">
        <f t="array" ref="E69">IFNA(_xlfn.XLOOKUP(C69,Table_Tarikan_Warkah[Nomor Sertipikat],Table_Tarikan_Warkah[Tanggal diserahkan kepada Validator]),"")</f>
        <v>28/10/2024 13.05</v>
      </c>
      <c r="F69" s="36" t="str">
        <f t="array" ref="F69">IFNA(_xlfn.XLOOKUP(C69,Table_Tarikan_Warkah[Nomor Sertipikat],Table_Tarikan_Warkah[Nama Petugas Warkah]),"")</f>
        <v>David</v>
      </c>
      <c r="G69" s="39" t="str">
        <f t="array" ref="G69">IFNA(_xlfn.XLOOKUP(C69,Table_Tarikan_Warkah[Nomor Sertipikat],Table_Tarikan_Warkah[Jenis Permohonan]),"")</f>
        <v>Perubahan Hak</v>
      </c>
      <c r="H69" s="41" t="s">
        <v>20</v>
      </c>
      <c r="I69" s="41" t="s">
        <v>12</v>
      </c>
      <c r="J69" s="36">
        <f t="shared" si="17"/>
        <v>45593.55364</v>
      </c>
      <c r="K69" s="41" t="s">
        <v>26</v>
      </c>
      <c r="L69" s="41" t="s">
        <v>12</v>
      </c>
      <c r="M69" s="36">
        <f t="shared" si="18"/>
        <v>45595.54839</v>
      </c>
      <c r="N69" s="30" t="str">
        <f t="shared" si="3"/>
        <v>SELESAI</v>
      </c>
      <c r="O69" s="45">
        <f t="shared" si="12"/>
        <v>45595.54839</v>
      </c>
      <c r="P69" s="47" t="b">
        <v>0</v>
      </c>
      <c r="Q69" s="36" t="str">
        <f t="shared" si="5"/>
        <v/>
      </c>
      <c r="R69" s="47" t="b">
        <v>1</v>
      </c>
      <c r="S69" s="36">
        <f t="shared" si="6"/>
        <v>45595.54842</v>
      </c>
      <c r="T69" s="42"/>
    </row>
    <row r="70" ht="22.5" customHeight="1">
      <c r="B70" s="42">
        <f t="shared" si="7"/>
        <v>64</v>
      </c>
      <c r="C70" s="31" t="s">
        <v>260</v>
      </c>
      <c r="D70" s="34" t="str">
        <f t="array" ref="D70">IFNA(_xlfn.XLOOKUP(C70,Table_Tarikan_Warkah[Nomor Sertipikat],Table_Tarikan_Warkah[Nomor Tiket]),"")</f>
        <v>L/9/251024/1</v>
      </c>
      <c r="E70" s="36" t="str">
        <f t="array" ref="E70">IFNA(_xlfn.XLOOKUP(C70,Table_Tarikan_Warkah[Nomor Sertipikat],Table_Tarikan_Warkah[Tanggal diserahkan kepada Validator]),"")</f>
        <v>28/10/2024 10.07</v>
      </c>
      <c r="F70" s="36" t="str">
        <f t="array" ref="F70">IFNA(_xlfn.XLOOKUP(C70,Table_Tarikan_Warkah[Nomor Sertipikat],Table_Tarikan_Warkah[Nama Petugas Warkah]),"")</f>
        <v>Berry</v>
      </c>
      <c r="G70" s="39" t="str">
        <f t="array" ref="G70">IFNA(_xlfn.XLOOKUP(C70,Table_Tarikan_Warkah[Nomor Sertipikat],Table_Tarikan_Warkah[Jenis Permohonan]),"")</f>
        <v>ROYA</v>
      </c>
      <c r="H70" s="41" t="s">
        <v>20</v>
      </c>
      <c r="I70" s="41" t="s">
        <v>12</v>
      </c>
      <c r="J70" s="36">
        <f t="shared" si="17"/>
        <v>45593.58533</v>
      </c>
      <c r="K70" s="41" t="s">
        <v>197</v>
      </c>
      <c r="L70" s="41" t="s">
        <v>12</v>
      </c>
      <c r="M70" s="36">
        <f t="shared" si="18"/>
        <v>45595.56651</v>
      </c>
      <c r="N70" s="30" t="str">
        <f t="shared" si="3"/>
        <v>SELESAI</v>
      </c>
      <c r="O70" s="45">
        <f t="shared" si="12"/>
        <v>45595.56651</v>
      </c>
      <c r="P70" s="47" t="b">
        <v>0</v>
      </c>
      <c r="Q70" s="36" t="str">
        <f t="shared" si="5"/>
        <v/>
      </c>
      <c r="R70" s="47" t="b">
        <v>1</v>
      </c>
      <c r="S70" s="36">
        <f t="shared" si="6"/>
        <v>45595.56656</v>
      </c>
      <c r="T70" s="42"/>
    </row>
    <row r="71" ht="22.5" customHeight="1">
      <c r="B71" s="42">
        <f t="shared" si="7"/>
        <v>65</v>
      </c>
      <c r="C71" s="31" t="s">
        <v>261</v>
      </c>
      <c r="D71" s="34" t="str">
        <f t="array" ref="D71">IFNA(_xlfn.XLOOKUP(C71,Table_Tarikan_Warkah[Nomor Sertipikat],Table_Tarikan_Warkah[Nomor Tiket]),"")</f>
        <v>K/13/251024/1</v>
      </c>
      <c r="E71" s="36" t="str">
        <f t="array" ref="E71">IFNA(_xlfn.XLOOKUP(C71,Table_Tarikan_Warkah[Nomor Sertipikat],Table_Tarikan_Warkah[Tanggal diserahkan kepada Validator]),"")</f>
        <v>28/10/2024 10.10</v>
      </c>
      <c r="F71" s="36" t="str">
        <f t="array" ref="F71">IFNA(_xlfn.XLOOKUP(C71,Table_Tarikan_Warkah[Nomor Sertipikat],Table_Tarikan_Warkah[Nama Petugas Warkah]),"")</f>
        <v>Berry</v>
      </c>
      <c r="G71" s="39" t="str">
        <f t="array" ref="G71">IFNA(_xlfn.XLOOKUP(C71,Table_Tarikan_Warkah[Nomor Sertipikat],Table_Tarikan_Warkah[Jenis Permohonan]),"")</f>
        <v>ROYA</v>
      </c>
      <c r="H71" s="41" t="s">
        <v>20</v>
      </c>
      <c r="I71" s="41" t="s">
        <v>12</v>
      </c>
      <c r="J71" s="36">
        <f t="shared" si="17"/>
        <v>45593.59668</v>
      </c>
      <c r="K71" s="41" t="s">
        <v>197</v>
      </c>
      <c r="L71" s="41" t="s">
        <v>12</v>
      </c>
      <c r="M71" s="36">
        <f t="shared" si="18"/>
        <v>45595.56528</v>
      </c>
      <c r="N71" s="30" t="str">
        <f t="shared" si="3"/>
        <v>SELESAI</v>
      </c>
      <c r="O71" s="45">
        <f t="shared" si="12"/>
        <v>45595.56528</v>
      </c>
      <c r="P71" s="47" t="b">
        <v>0</v>
      </c>
      <c r="Q71" s="36" t="str">
        <f t="shared" si="5"/>
        <v/>
      </c>
      <c r="R71" s="47" t="b">
        <v>1</v>
      </c>
      <c r="S71" s="36">
        <f t="shared" si="6"/>
        <v>45595.56531</v>
      </c>
      <c r="T71" s="42"/>
    </row>
    <row r="72" ht="22.5" customHeight="1">
      <c r="B72" s="42">
        <f t="shared" si="7"/>
        <v>66</v>
      </c>
      <c r="C72" s="31" t="s">
        <v>262</v>
      </c>
      <c r="D72" s="34" t="str">
        <f t="array" ref="D72">IFNA(_xlfn.XLOOKUP(C72,Table_Tarikan_Warkah[Nomor Sertipikat],Table_Tarikan_Warkah[Nomor Tiket]),"")</f>
        <v>L/34/251024/1</v>
      </c>
      <c r="E72" s="36" t="str">
        <f t="array" ref="E72">IFNA(_xlfn.XLOOKUP(C72,Table_Tarikan_Warkah[Nomor Sertipikat],Table_Tarikan_Warkah[Tanggal diserahkan kepada Validator]),"")</f>
        <v>28/10/2024 10.12</v>
      </c>
      <c r="F72" s="36" t="str">
        <f t="array" ref="F72">IFNA(_xlfn.XLOOKUP(C72,Table_Tarikan_Warkah[Nomor Sertipikat],Table_Tarikan_Warkah[Nama Petugas Warkah]),"")</f>
        <v>David</v>
      </c>
      <c r="G72" s="39" t="str">
        <f t="array" ref="G72">IFNA(_xlfn.XLOOKUP(C72,Table_Tarikan_Warkah[Nomor Sertipikat],Table_Tarikan_Warkah[Jenis Permohonan]),"")</f>
        <v>ROYA</v>
      </c>
      <c r="H72" s="41" t="s">
        <v>20</v>
      </c>
      <c r="I72" s="41" t="s">
        <v>12</v>
      </c>
      <c r="J72" s="36">
        <f t="shared" si="17"/>
        <v>45593.63023</v>
      </c>
      <c r="K72" s="41" t="s">
        <v>197</v>
      </c>
      <c r="L72" s="41" t="s">
        <v>12</v>
      </c>
      <c r="M72" s="36">
        <f t="shared" si="18"/>
        <v>45595.54945</v>
      </c>
      <c r="N72" s="30" t="str">
        <f t="shared" si="3"/>
        <v>SELESAI</v>
      </c>
      <c r="O72" s="45">
        <f t="shared" si="12"/>
        <v>45595.54945</v>
      </c>
      <c r="P72" s="47" t="b">
        <v>0</v>
      </c>
      <c r="Q72" s="36" t="str">
        <f t="shared" si="5"/>
        <v/>
      </c>
      <c r="R72" s="47" t="b">
        <v>1</v>
      </c>
      <c r="S72" s="36">
        <f t="shared" si="6"/>
        <v>45595.5495</v>
      </c>
      <c r="T72" s="42"/>
    </row>
    <row r="73" ht="22.5" customHeight="1">
      <c r="B73" s="42">
        <f t="shared" si="7"/>
        <v>67</v>
      </c>
      <c r="C73" s="31" t="s">
        <v>263</v>
      </c>
      <c r="D73" s="34" t="str">
        <f t="array" ref="D73">IFNA(_xlfn.XLOOKUP(C73,Table_Tarikan_Warkah[Nomor Sertipikat],Table_Tarikan_Warkah[Nomor Tiket]),"")</f>
        <v>K/37/251024/1</v>
      </c>
      <c r="E73" s="36" t="str">
        <f t="array" ref="E73">IFNA(_xlfn.XLOOKUP(C73,Table_Tarikan_Warkah[Nomor Sertipikat],Table_Tarikan_Warkah[Tanggal diserahkan kepada Validator]),"")</f>
        <v>29/10/2024 10.02</v>
      </c>
      <c r="F73" s="36" t="str">
        <f t="array" ref="F73">IFNA(_xlfn.XLOOKUP(C73,Table_Tarikan_Warkah[Nomor Sertipikat],Table_Tarikan_Warkah[Nama Petugas Warkah]),"")</f>
        <v>David</v>
      </c>
      <c r="G73" s="39" t="str">
        <f t="array" ref="G73">IFNA(_xlfn.XLOOKUP(C73,Table_Tarikan_Warkah[Nomor Sertipikat],Table_Tarikan_Warkah[Jenis Permohonan]),"")</f>
        <v>BN Jual Beli</v>
      </c>
      <c r="H73" s="41" t="s">
        <v>20</v>
      </c>
      <c r="I73" s="41" t="s">
        <v>12</v>
      </c>
      <c r="J73" s="36">
        <f t="shared" si="17"/>
        <v>45594.61529</v>
      </c>
      <c r="K73" s="41" t="s">
        <v>197</v>
      </c>
      <c r="L73" s="41" t="s">
        <v>12</v>
      </c>
      <c r="M73" s="36">
        <f t="shared" si="18"/>
        <v>45595.48599</v>
      </c>
      <c r="N73" s="30" t="str">
        <f t="shared" si="3"/>
        <v>SELESAI</v>
      </c>
      <c r="O73" s="45">
        <f t="shared" si="12"/>
        <v>45595.48599</v>
      </c>
      <c r="P73" s="47" t="b">
        <v>0</v>
      </c>
      <c r="Q73" s="36" t="str">
        <f t="shared" si="5"/>
        <v/>
      </c>
      <c r="R73" s="47" t="b">
        <v>1</v>
      </c>
      <c r="S73" s="36">
        <f t="shared" si="6"/>
        <v>45595.48602</v>
      </c>
      <c r="T73" s="42"/>
    </row>
    <row r="74" ht="22.5" customHeight="1">
      <c r="B74" s="42">
        <f t="shared" si="7"/>
        <v>68</v>
      </c>
      <c r="C74" s="31" t="s">
        <v>264</v>
      </c>
      <c r="D74" s="34" t="str">
        <f t="array" ref="D74">IFNA(_xlfn.XLOOKUP(C74,Table_Tarikan_Warkah[Nomor Sertipikat],Table_Tarikan_Warkah[Nomor Tiket]),"")</f>
        <v>K/15/281024/1</v>
      </c>
      <c r="E74" s="36" t="str">
        <f t="array" ref="E74">IFNA(_xlfn.XLOOKUP(C74,Table_Tarikan_Warkah[Nomor Sertipikat],Table_Tarikan_Warkah[Tanggal diserahkan kepada Validator]),"")</f>
        <v>29/10/2024 09.53</v>
      </c>
      <c r="F74" s="36" t="str">
        <f t="array" ref="F74">IFNA(_xlfn.XLOOKUP(C74,Table_Tarikan_Warkah[Nomor Sertipikat],Table_Tarikan_Warkah[Nama Petugas Warkah]),"")</f>
        <v>David</v>
      </c>
      <c r="G74" s="39" t="str">
        <f t="array" ref="G74">IFNA(_xlfn.XLOOKUP(C74,Table_Tarikan_Warkah[Nomor Sertipikat],Table_Tarikan_Warkah[Jenis Permohonan]),"")</f>
        <v>BN WARIS</v>
      </c>
      <c r="H74" s="41" t="s">
        <v>20</v>
      </c>
      <c r="I74" s="41" t="s">
        <v>12</v>
      </c>
      <c r="J74" s="36">
        <f t="shared" si="17"/>
        <v>45594.61537</v>
      </c>
      <c r="K74" s="41" t="s">
        <v>197</v>
      </c>
      <c r="L74" s="41" t="s">
        <v>12</v>
      </c>
      <c r="M74" s="36">
        <f t="shared" si="18"/>
        <v>45595.4879</v>
      </c>
      <c r="N74" s="30" t="str">
        <f t="shared" si="3"/>
        <v>SELESAI</v>
      </c>
      <c r="O74" s="45">
        <f t="shared" si="12"/>
        <v>45595.4879</v>
      </c>
      <c r="P74" s="47" t="b">
        <v>0</v>
      </c>
      <c r="Q74" s="36" t="str">
        <f t="shared" si="5"/>
        <v/>
      </c>
      <c r="R74" s="47" t="b">
        <v>1</v>
      </c>
      <c r="S74" s="36">
        <f t="shared" si="6"/>
        <v>45595.48828</v>
      </c>
      <c r="T74" s="42"/>
    </row>
    <row r="75" ht="22.5" customHeight="1">
      <c r="B75" s="42">
        <f t="shared" si="7"/>
        <v>69</v>
      </c>
      <c r="C75" s="31" t="s">
        <v>265</v>
      </c>
      <c r="D75" s="34" t="str">
        <f t="array" ref="D75">IFNA(_xlfn.XLOOKUP(C75,Table_Tarikan_Warkah[Nomor Sertipikat],Table_Tarikan_Warkah[Nomor Tiket]),"")</f>
        <v>L/16/281024/1</v>
      </c>
      <c r="E75" s="36" t="str">
        <f t="array" ref="E75">IFNA(_xlfn.XLOOKUP(C75,Table_Tarikan_Warkah[Nomor Sertipikat],Table_Tarikan_Warkah[Tanggal diserahkan kepada Validator]),"")</f>
        <v>29/10/2024 09.52</v>
      </c>
      <c r="F75" s="36" t="str">
        <f t="array" ref="F75">IFNA(_xlfn.XLOOKUP(C75,Table_Tarikan_Warkah[Nomor Sertipikat],Table_Tarikan_Warkah[Nama Petugas Warkah]),"")</f>
        <v>David</v>
      </c>
      <c r="G75" s="39" t="str">
        <f t="array" ref="G75">IFNA(_xlfn.XLOOKUP(C75,Table_Tarikan_Warkah[Nomor Sertipikat],Table_Tarikan_Warkah[Jenis Permohonan]),"")</f>
        <v>ROYA</v>
      </c>
      <c r="H75" s="41" t="s">
        <v>20</v>
      </c>
      <c r="I75" s="41" t="s">
        <v>12</v>
      </c>
      <c r="J75" s="36">
        <f t="shared" si="17"/>
        <v>45594.61549</v>
      </c>
      <c r="K75" s="41" t="s">
        <v>197</v>
      </c>
      <c r="L75" s="41" t="s">
        <v>12</v>
      </c>
      <c r="M75" s="36">
        <f t="shared" si="18"/>
        <v>45595.48856</v>
      </c>
      <c r="N75" s="30" t="str">
        <f t="shared" si="3"/>
        <v>SELESAI</v>
      </c>
      <c r="O75" s="45">
        <f t="shared" si="12"/>
        <v>45595.48856</v>
      </c>
      <c r="P75" s="47" t="b">
        <v>0</v>
      </c>
      <c r="Q75" s="36" t="str">
        <f t="shared" si="5"/>
        <v/>
      </c>
      <c r="R75" s="47" t="b">
        <v>1</v>
      </c>
      <c r="S75" s="36">
        <f t="shared" si="6"/>
        <v>45595.48858</v>
      </c>
      <c r="T75" s="42"/>
    </row>
    <row r="76" ht="22.5" customHeight="1">
      <c r="B76" s="42">
        <f t="shared" si="7"/>
        <v>70</v>
      </c>
      <c r="C76" s="31" t="s">
        <v>266</v>
      </c>
      <c r="D76" s="50" t="s">
        <v>267</v>
      </c>
      <c r="E76" s="48">
        <v>45594.41597862268</v>
      </c>
      <c r="F76" s="42" t="s">
        <v>268</v>
      </c>
      <c r="G76" s="42" t="s">
        <v>269</v>
      </c>
      <c r="H76" s="41" t="s">
        <v>20</v>
      </c>
      <c r="I76" s="41" t="s">
        <v>12</v>
      </c>
      <c r="J76" s="36">
        <f t="shared" si="17"/>
        <v>45594.61587</v>
      </c>
      <c r="K76" s="41" t="s">
        <v>197</v>
      </c>
      <c r="L76" s="41" t="s">
        <v>12</v>
      </c>
      <c r="M76" s="36">
        <f t="shared" si="18"/>
        <v>45595.48633</v>
      </c>
      <c r="N76" s="30" t="str">
        <f t="shared" si="3"/>
        <v>SELESAI</v>
      </c>
      <c r="O76" s="45">
        <f t="shared" si="12"/>
        <v>45595.48633</v>
      </c>
      <c r="P76" s="47" t="b">
        <v>1</v>
      </c>
      <c r="Q76" s="36">
        <f t="shared" si="5"/>
        <v>45603.41693</v>
      </c>
      <c r="R76" s="47" t="b">
        <v>1</v>
      </c>
      <c r="S76" s="36">
        <f t="shared" si="6"/>
        <v>45595.48637</v>
      </c>
      <c r="T76" s="42"/>
    </row>
    <row r="77" ht="22.5" customHeight="1">
      <c r="B77" s="42">
        <f t="shared" si="7"/>
        <v>71</v>
      </c>
      <c r="C77" s="31" t="s">
        <v>270</v>
      </c>
      <c r="D77" s="34" t="str">
        <f t="array" ref="D77">IFNA(_xlfn.XLOOKUP(C77,Table_Tarikan_Warkah[Nomor Sertipikat],Table_Tarikan_Warkah[Nomor Tiket]),"")</f>
        <v>K/21/151024/1</v>
      </c>
      <c r="E77" s="36" t="str">
        <f t="array" ref="E77">IFNA(_xlfn.XLOOKUP(C77,Table_Tarikan_Warkah[Nomor Sertipikat],Table_Tarikan_Warkah[Tanggal diserahkan kepada Validator]),"")</f>
        <v/>
      </c>
      <c r="F77" s="36" t="str">
        <f t="array" ref="F77">IFNA(_xlfn.XLOOKUP(C77,Table_Tarikan_Warkah[Nomor Sertipikat],Table_Tarikan_Warkah[Nama Petugas Warkah]),"")</f>
        <v/>
      </c>
      <c r="G77" s="39" t="str">
        <f t="array" ref="G77">IFNA(_xlfn.XLOOKUP(C77,Table_Tarikan_Warkah[Nomor Sertipikat],Table_Tarikan_Warkah[Jenis Permohonan]),"")</f>
        <v>BN JUAL BELI</v>
      </c>
      <c r="H77" s="41" t="s">
        <v>20</v>
      </c>
      <c r="I77" s="41" t="s">
        <v>23</v>
      </c>
      <c r="J77" s="36">
        <f t="shared" si="17"/>
        <v>45594.66284</v>
      </c>
      <c r="K77" s="41" t="s">
        <v>197</v>
      </c>
      <c r="L77" s="41" t="s">
        <v>23</v>
      </c>
      <c r="M77" s="36">
        <f t="shared" si="18"/>
        <v>45594.70446</v>
      </c>
      <c r="N77" s="30" t="str">
        <f t="shared" si="3"/>
        <v>Selesai</v>
      </c>
      <c r="O77" s="45">
        <f t="shared" si="12"/>
        <v>45594.70446</v>
      </c>
      <c r="P77" s="47" t="b">
        <v>1</v>
      </c>
      <c r="Q77" s="36">
        <f t="shared" si="5"/>
        <v>45594.7045</v>
      </c>
      <c r="R77" s="47" t="b">
        <v>0</v>
      </c>
      <c r="S77" s="42" t="str">
        <f t="shared" si="6"/>
        <v/>
      </c>
      <c r="T77" s="42"/>
    </row>
    <row r="78" ht="22.5" customHeight="1">
      <c r="B78" s="42">
        <f t="shared" si="7"/>
        <v>72</v>
      </c>
      <c r="C78" s="31" t="s">
        <v>271</v>
      </c>
      <c r="D78" s="34" t="str">
        <f t="array" ref="D78">IFNA(_xlfn.XLOOKUP(C78,Table_Tarikan_Warkah[Nomor Sertipikat],Table_Tarikan_Warkah[Nomor Tiket]),"")</f>
        <v>L/32/231024/1</v>
      </c>
      <c r="E78" s="36" t="str">
        <f t="array" ref="E78">IFNA(_xlfn.XLOOKUP(C78,Table_Tarikan_Warkah[Nomor Sertipikat],Table_Tarikan_Warkah[Tanggal diserahkan kepada Validator]),"")</f>
        <v/>
      </c>
      <c r="F78" s="36" t="str">
        <f t="array" ref="F78">IFNA(_xlfn.XLOOKUP(C78,Table_Tarikan_Warkah[Nomor Sertipikat],Table_Tarikan_Warkah[Nama Petugas Warkah]),"")</f>
        <v/>
      </c>
      <c r="G78" s="39" t="str">
        <f t="array" ref="G78">IFNA(_xlfn.XLOOKUP(C78,Table_Tarikan_Warkah[Nomor Sertipikat],Table_Tarikan_Warkah[Jenis Permohonan]),"")</f>
        <v>PERUBAHAN HAK</v>
      </c>
      <c r="H78" s="41" t="s">
        <v>20</v>
      </c>
      <c r="I78" s="41" t="s">
        <v>23</v>
      </c>
      <c r="J78" s="36">
        <f t="shared" si="17"/>
        <v>45594.6644</v>
      </c>
      <c r="K78" s="49" t="s">
        <v>26</v>
      </c>
      <c r="L78" s="49" t="s">
        <v>23</v>
      </c>
      <c r="M78" s="36">
        <f t="shared" si="18"/>
        <v>45595.57008</v>
      </c>
      <c r="N78" s="30" t="str">
        <f t="shared" si="3"/>
        <v>Selesai</v>
      </c>
      <c r="O78" s="45">
        <f t="shared" si="12"/>
        <v>45595.57008</v>
      </c>
      <c r="P78" s="47" t="b">
        <v>1</v>
      </c>
      <c r="Q78" s="36">
        <f t="shared" si="5"/>
        <v>45595.57009</v>
      </c>
      <c r="R78" s="47" t="b">
        <v>0</v>
      </c>
      <c r="S78" s="42" t="str">
        <f t="shared" si="6"/>
        <v/>
      </c>
      <c r="T78" s="42"/>
    </row>
    <row r="79" ht="22.5" customHeight="1">
      <c r="B79" s="42">
        <f t="shared" si="7"/>
        <v>73</v>
      </c>
      <c r="C79" s="31" t="s">
        <v>272</v>
      </c>
      <c r="D79" s="34" t="str">
        <f t="array" ref="D79">IFNA(_xlfn.XLOOKUP(C79,Table_Tarikan_Warkah[Nomor Sertipikat],Table_Tarikan_Warkah[Nomor Tiket]),"")</f>
        <v>L/31/281024/1</v>
      </c>
      <c r="E79" s="36" t="str">
        <f t="array" ref="E79">IFNA(_xlfn.XLOOKUP(C79,Table_Tarikan_Warkah[Nomor Sertipikat],Table_Tarikan_Warkah[Tanggal diserahkan kepada Validator]),"")</f>
        <v>29/10/2024 09.56</v>
      </c>
      <c r="F79" s="36" t="str">
        <f t="array" ref="F79">IFNA(_xlfn.XLOOKUP(C79,Table_Tarikan_Warkah[Nomor Sertipikat],Table_Tarikan_Warkah[Nama Petugas Warkah]),"")</f>
        <v>Berry</v>
      </c>
      <c r="G79" s="39" t="str">
        <f t="array" ref="G79">IFNA(_xlfn.XLOOKUP(C79,Table_Tarikan_Warkah[Nomor Sertipikat],Table_Tarikan_Warkah[Jenis Permohonan]),"")</f>
        <v>ROYA</v>
      </c>
      <c r="H79" s="41" t="s">
        <v>11</v>
      </c>
      <c r="I79" s="41" t="s">
        <v>12</v>
      </c>
      <c r="J79" s="36">
        <f t="shared" si="17"/>
        <v>45594.67372</v>
      </c>
      <c r="K79" s="41" t="s">
        <v>26</v>
      </c>
      <c r="L79" s="41" t="s">
        <v>12</v>
      </c>
      <c r="M79" s="36">
        <f t="shared" si="18"/>
        <v>45595.49148</v>
      </c>
      <c r="N79" s="30" t="str">
        <f t="shared" si="3"/>
        <v>SELESAI</v>
      </c>
      <c r="O79" s="45">
        <f t="shared" si="12"/>
        <v>45595.49148</v>
      </c>
      <c r="P79" s="47" t="b">
        <v>0</v>
      </c>
      <c r="Q79" s="36" t="str">
        <f t="shared" si="5"/>
        <v/>
      </c>
      <c r="R79" s="47" t="b">
        <v>1</v>
      </c>
      <c r="S79" s="36">
        <f t="shared" si="6"/>
        <v>45595.49152</v>
      </c>
      <c r="T79" s="42"/>
    </row>
    <row r="80" ht="22.5" customHeight="1">
      <c r="B80" s="42">
        <f t="shared" si="7"/>
        <v>74</v>
      </c>
      <c r="C80" s="31" t="s">
        <v>273</v>
      </c>
      <c r="D80" s="34" t="str">
        <f t="array" ref="D80">IFNA(_xlfn.XLOOKUP(C80,Table_Tarikan_Warkah[Nomor Sertipikat],Table_Tarikan_Warkah[Nomor Tiket]),"")</f>
        <v>L/32/281024/1</v>
      </c>
      <c r="E80" s="36" t="str">
        <f t="array" ref="E80">IFNA(_xlfn.XLOOKUP(C80,Table_Tarikan_Warkah[Nomor Sertipikat],Table_Tarikan_Warkah[Tanggal diserahkan kepada Validator]),"")</f>
        <v>29/10/2024 09.57</v>
      </c>
      <c r="F80" s="36" t="str">
        <f t="array" ref="F80">IFNA(_xlfn.XLOOKUP(C80,Table_Tarikan_Warkah[Nomor Sertipikat],Table_Tarikan_Warkah[Nama Petugas Warkah]),"")</f>
        <v>Berry</v>
      </c>
      <c r="G80" s="39" t="str">
        <f t="array" ref="G80">IFNA(_xlfn.XLOOKUP(C80,Table_Tarikan_Warkah[Nomor Sertipikat],Table_Tarikan_Warkah[Jenis Permohonan]),"")</f>
        <v>PERUBAHAN HAK</v>
      </c>
      <c r="H80" s="41" t="s">
        <v>11</v>
      </c>
      <c r="I80" s="41" t="s">
        <v>12</v>
      </c>
      <c r="J80" s="36">
        <f t="shared" si="17"/>
        <v>45594.67392</v>
      </c>
      <c r="K80" s="41" t="s">
        <v>26</v>
      </c>
      <c r="L80" s="41" t="s">
        <v>12</v>
      </c>
      <c r="M80" s="36">
        <f t="shared" si="18"/>
        <v>45595.4945</v>
      </c>
      <c r="N80" s="30" t="str">
        <f t="shared" si="3"/>
        <v>SELESAI</v>
      </c>
      <c r="O80" s="45">
        <f t="shared" si="12"/>
        <v>45595.4945</v>
      </c>
      <c r="P80" s="47" t="b">
        <v>0</v>
      </c>
      <c r="Q80" s="36" t="str">
        <f t="shared" si="5"/>
        <v/>
      </c>
      <c r="R80" s="47" t="b">
        <v>1</v>
      </c>
      <c r="S80" s="36">
        <f t="shared" si="6"/>
        <v>45595.49453</v>
      </c>
      <c r="T80" s="42"/>
    </row>
    <row r="81" ht="22.5" customHeight="1">
      <c r="B81" s="42">
        <f t="shared" si="7"/>
        <v>75</v>
      </c>
      <c r="C81" s="31" t="s">
        <v>274</v>
      </c>
      <c r="D81" s="34" t="str">
        <f t="array" ref="D81">IFNA(_xlfn.XLOOKUP(C81,Table_Tarikan_Warkah[Nomor Sertipikat],Table_Tarikan_Warkah[Nomor Tiket]),"")</f>
        <v>L/33/281024/2</v>
      </c>
      <c r="E81" s="36" t="str">
        <f t="array" ref="E81">IFNA(_xlfn.XLOOKUP(C81,Table_Tarikan_Warkah[Nomor Sertipikat],Table_Tarikan_Warkah[Tanggal diserahkan kepada Validator]),"")</f>
        <v>29/10/2024 09.58</v>
      </c>
      <c r="F81" s="36" t="str">
        <f t="array" ref="F81">IFNA(_xlfn.XLOOKUP(C81,Table_Tarikan_Warkah[Nomor Sertipikat],Table_Tarikan_Warkah[Nama Petugas Warkah]),"")</f>
        <v>Berry</v>
      </c>
      <c r="G81" s="39" t="str">
        <f t="array" ref="G81">IFNA(_xlfn.XLOOKUP(C81,Table_Tarikan_Warkah[Nomor Sertipikat],Table_Tarikan_Warkah[Jenis Permohonan]),"")</f>
        <v>PERUBAHAN HAK</v>
      </c>
      <c r="H81" s="41" t="s">
        <v>11</v>
      </c>
      <c r="I81" s="41" t="s">
        <v>12</v>
      </c>
      <c r="J81" s="36">
        <f t="shared" si="17"/>
        <v>45594.67406</v>
      </c>
      <c r="K81" s="41" t="s">
        <v>26</v>
      </c>
      <c r="L81" s="41" t="s">
        <v>12</v>
      </c>
      <c r="M81" s="36">
        <f t="shared" si="18"/>
        <v>45595.49257</v>
      </c>
      <c r="N81" s="30" t="str">
        <f t="shared" si="3"/>
        <v>SELESAI</v>
      </c>
      <c r="O81" s="45">
        <f t="shared" si="12"/>
        <v>45595.49257</v>
      </c>
      <c r="P81" s="47" t="b">
        <v>0</v>
      </c>
      <c r="Q81" s="36" t="str">
        <f t="shared" si="5"/>
        <v/>
      </c>
      <c r="R81" s="47" t="b">
        <v>1</v>
      </c>
      <c r="S81" s="36">
        <f t="shared" si="6"/>
        <v>45595.4926</v>
      </c>
      <c r="T81" s="42"/>
    </row>
    <row r="82" ht="22.5" customHeight="1">
      <c r="B82" s="42">
        <f t="shared" si="7"/>
        <v>76</v>
      </c>
      <c r="C82" s="31" t="s">
        <v>275</v>
      </c>
      <c r="D82" s="34" t="str">
        <f t="array" ref="D82">IFNA(_xlfn.XLOOKUP(C82,Table_Tarikan_Warkah[Nomor Sertipikat],Table_Tarikan_Warkah[Nomor Tiket]),"")</f>
        <v>L/26/251024/1</v>
      </c>
      <c r="E82" s="36" t="str">
        <f t="array" ref="E82">IFNA(_xlfn.XLOOKUP(C82,Table_Tarikan_Warkah[Nomor Sertipikat],Table_Tarikan_Warkah[Tanggal diserahkan kepada Validator]),"")</f>
        <v>29/10/2024 09.47</v>
      </c>
      <c r="F82" s="36" t="str">
        <f t="array" ref="F82">IFNA(_xlfn.XLOOKUP(C82,Table_Tarikan_Warkah[Nomor Sertipikat],Table_Tarikan_Warkah[Nama Petugas Warkah]),"")</f>
        <v>David</v>
      </c>
      <c r="G82" s="39" t="str">
        <f t="array" ref="G82">IFNA(_xlfn.XLOOKUP(C82,Table_Tarikan_Warkah[Nomor Sertipikat],Table_Tarikan_Warkah[Jenis Permohonan]),"")</f>
        <v>ROYA</v>
      </c>
      <c r="H82" s="41" t="s">
        <v>11</v>
      </c>
      <c r="I82" s="41" t="s">
        <v>12</v>
      </c>
      <c r="J82" s="36">
        <f t="shared" si="17"/>
        <v>45594.67428</v>
      </c>
      <c r="K82" s="41" t="s">
        <v>26</v>
      </c>
      <c r="L82" s="41" t="s">
        <v>12</v>
      </c>
      <c r="M82" s="36">
        <f t="shared" si="18"/>
        <v>45595.49601</v>
      </c>
      <c r="N82" s="30" t="str">
        <f t="shared" si="3"/>
        <v>SELESAI</v>
      </c>
      <c r="O82" s="45">
        <f t="shared" si="12"/>
        <v>45595.49601</v>
      </c>
      <c r="P82" s="47" t="b">
        <v>0</v>
      </c>
      <c r="Q82" s="36" t="str">
        <f t="shared" si="5"/>
        <v/>
      </c>
      <c r="R82" s="47" t="b">
        <v>1</v>
      </c>
      <c r="S82" s="36">
        <f t="shared" si="6"/>
        <v>45595.49606</v>
      </c>
      <c r="T82" s="42"/>
    </row>
    <row r="83" ht="22.5" customHeight="1">
      <c r="B83" s="42">
        <f t="shared" si="7"/>
        <v>77</v>
      </c>
      <c r="C83" s="31" t="s">
        <v>276</v>
      </c>
      <c r="D83" s="34" t="str">
        <f t="array" ref="D83">IFNA(_xlfn.XLOOKUP(C83,Table_Tarikan_Warkah[Nomor Sertipikat],Table_Tarikan_Warkah[Nomor Tiket]),"")</f>
        <v>L/1/261024/1</v>
      </c>
      <c r="E83" s="36" t="str">
        <f t="array" ref="E83">IFNA(_xlfn.XLOOKUP(C83,Table_Tarikan_Warkah[Nomor Sertipikat],Table_Tarikan_Warkah[Tanggal diserahkan kepada Validator]),"")</f>
        <v>29/10/2024 09.47</v>
      </c>
      <c r="F83" s="36" t="str">
        <f t="array" ref="F83">IFNA(_xlfn.XLOOKUP(C83,Table_Tarikan_Warkah[Nomor Sertipikat],Table_Tarikan_Warkah[Nama Petugas Warkah]),"")</f>
        <v>David</v>
      </c>
      <c r="G83" s="39" t="str">
        <f t="array" ref="G83">IFNA(_xlfn.XLOOKUP(C83,Table_Tarikan_Warkah[Nomor Sertipikat],Table_Tarikan_Warkah[Jenis Permohonan]),"")</f>
        <v>ROYA</v>
      </c>
      <c r="H83" s="41" t="s">
        <v>11</v>
      </c>
      <c r="I83" s="41" t="s">
        <v>12</v>
      </c>
      <c r="J83" s="36">
        <f t="shared" si="17"/>
        <v>45594.67444</v>
      </c>
      <c r="K83" s="41" t="s">
        <v>26</v>
      </c>
      <c r="L83" s="41" t="s">
        <v>12</v>
      </c>
      <c r="M83" s="36">
        <f t="shared" si="18"/>
        <v>45595.49636</v>
      </c>
      <c r="N83" s="30" t="str">
        <f t="shared" si="3"/>
        <v>SELESAI</v>
      </c>
      <c r="O83" s="45">
        <f t="shared" si="12"/>
        <v>45595.49636</v>
      </c>
      <c r="P83" s="47" t="b">
        <v>0</v>
      </c>
      <c r="Q83" s="36" t="str">
        <f t="shared" si="5"/>
        <v/>
      </c>
      <c r="R83" s="47" t="b">
        <v>1</v>
      </c>
      <c r="S83" s="36">
        <f t="shared" si="6"/>
        <v>45595.49642</v>
      </c>
      <c r="T83" s="42"/>
    </row>
    <row r="84" ht="22.5" customHeight="1">
      <c r="B84" s="42">
        <f t="shared" si="7"/>
        <v>78</v>
      </c>
      <c r="C84" s="31" t="s">
        <v>277</v>
      </c>
      <c r="D84" s="34" t="str">
        <f t="array" ref="D84">IFNA(_xlfn.XLOOKUP(C84,Table_Tarikan_Warkah[Nomor Sertipikat],Table_Tarikan_Warkah[Nomor Tiket]),"")</f>
        <v>K/19/281024/1</v>
      </c>
      <c r="E84" s="36" t="str">
        <f t="array" ref="E84">IFNA(_xlfn.XLOOKUP(C84,Table_Tarikan_Warkah[Nomor Sertipikat],Table_Tarikan_Warkah[Tanggal diserahkan kepada Validator]),"")</f>
        <v>29/10/2024 09.53</v>
      </c>
      <c r="F84" s="36" t="str">
        <f t="array" ref="F84">IFNA(_xlfn.XLOOKUP(C84,Table_Tarikan_Warkah[Nomor Sertipikat],Table_Tarikan_Warkah[Nama Petugas Warkah]),"")</f>
        <v>David</v>
      </c>
      <c r="G84" s="39" t="str">
        <f t="array" ref="G84">IFNA(_xlfn.XLOOKUP(C84,Table_Tarikan_Warkah[Nomor Sertipikat],Table_Tarikan_Warkah[Jenis Permohonan]),"")</f>
        <v>BN JUAL BELI</v>
      </c>
      <c r="H84" s="41" t="s">
        <v>11</v>
      </c>
      <c r="I84" s="41" t="s">
        <v>12</v>
      </c>
      <c r="J84" s="36">
        <f t="shared" si="17"/>
        <v>45594.67486</v>
      </c>
      <c r="K84" s="41" t="s">
        <v>26</v>
      </c>
      <c r="L84" s="41" t="s">
        <v>12</v>
      </c>
      <c r="M84" s="36">
        <f t="shared" si="18"/>
        <v>45595.49118</v>
      </c>
      <c r="N84" s="30" t="str">
        <f t="shared" si="3"/>
        <v>SELESAI</v>
      </c>
      <c r="O84" s="45">
        <f t="shared" si="12"/>
        <v>45595.49118</v>
      </c>
      <c r="P84" s="47" t="b">
        <v>0</v>
      </c>
      <c r="Q84" s="36" t="str">
        <f t="shared" si="5"/>
        <v/>
      </c>
      <c r="R84" s="47" t="b">
        <v>1</v>
      </c>
      <c r="S84" s="36">
        <f t="shared" si="6"/>
        <v>45595.49122</v>
      </c>
      <c r="T84" s="42"/>
    </row>
    <row r="85" ht="22.5" customHeight="1">
      <c r="B85" s="42">
        <f t="shared" si="7"/>
        <v>79</v>
      </c>
      <c r="C85" s="31" t="s">
        <v>278</v>
      </c>
      <c r="D85" s="34" t="str">
        <f t="array" ref="D85">IFNA(_xlfn.XLOOKUP(C85,Table_Tarikan_Warkah[Nomor Sertipikat],Table_Tarikan_Warkah[Nomor Tiket]),"")</f>
        <v>L/22/281024/1</v>
      </c>
      <c r="E85" s="36" t="str">
        <f t="array" ref="E85">IFNA(_xlfn.XLOOKUP(C85,Table_Tarikan_Warkah[Nomor Sertipikat],Table_Tarikan_Warkah[Tanggal diserahkan kepada Validator]),"")</f>
        <v>29/10/2024 09.55</v>
      </c>
      <c r="F85" s="36" t="str">
        <f t="array" ref="F85">IFNA(_xlfn.XLOOKUP(C85,Table_Tarikan_Warkah[Nomor Sertipikat],Table_Tarikan_Warkah[Nama Petugas Warkah]),"")</f>
        <v>Berry</v>
      </c>
      <c r="G85" s="39" t="str">
        <f t="array" ref="G85">IFNA(_xlfn.XLOOKUP(C85,Table_Tarikan_Warkah[Nomor Sertipikat],Table_Tarikan_Warkah[Jenis Permohonan]),"")</f>
        <v>PH</v>
      </c>
      <c r="H85" s="41" t="s">
        <v>11</v>
      </c>
      <c r="I85" s="41" t="s">
        <v>12</v>
      </c>
      <c r="J85" s="36">
        <f t="shared" si="17"/>
        <v>45594.67508</v>
      </c>
      <c r="K85" s="41" t="s">
        <v>26</v>
      </c>
      <c r="L85" s="41" t="s">
        <v>12</v>
      </c>
      <c r="M85" s="36">
        <f t="shared" si="18"/>
        <v>45595.49509</v>
      </c>
      <c r="N85" s="30" t="str">
        <f t="shared" si="3"/>
        <v>SELESAI</v>
      </c>
      <c r="O85" s="45">
        <f t="shared" si="12"/>
        <v>45595.49509</v>
      </c>
      <c r="P85" s="47" t="b">
        <v>0</v>
      </c>
      <c r="Q85" s="36" t="str">
        <f t="shared" si="5"/>
        <v/>
      </c>
      <c r="R85" s="47" t="b">
        <v>1</v>
      </c>
      <c r="S85" s="36">
        <f t="shared" si="6"/>
        <v>45595.49513</v>
      </c>
      <c r="T85" s="42"/>
    </row>
    <row r="86" ht="22.5" customHeight="1">
      <c r="B86" s="42">
        <f t="shared" si="7"/>
        <v>80</v>
      </c>
      <c r="C86" s="31" t="s">
        <v>279</v>
      </c>
      <c r="D86" s="34" t="str">
        <f t="array" ref="D86">IFNA(_xlfn.XLOOKUP(C86,Table_Tarikan_Warkah[Nomor Sertipikat],Table_Tarikan_Warkah[Nomor Tiket]),"")</f>
        <v>K/27/281024/1</v>
      </c>
      <c r="E86" s="36" t="str">
        <f t="array" ref="E86">IFNA(_xlfn.XLOOKUP(C86,Table_Tarikan_Warkah[Nomor Sertipikat],Table_Tarikan_Warkah[Tanggal diserahkan kepada Validator]),"")</f>
        <v>29/10/2024 09.56</v>
      </c>
      <c r="F86" s="36" t="str">
        <f t="array" ref="F86">IFNA(_xlfn.XLOOKUP(C86,Table_Tarikan_Warkah[Nomor Sertipikat],Table_Tarikan_Warkah[Nama Petugas Warkah]),"")</f>
        <v>Berry</v>
      </c>
      <c r="G86" s="39" t="str">
        <f t="array" ref="G86">IFNA(_xlfn.XLOOKUP(C86,Table_Tarikan_Warkah[Nomor Sertipikat],Table_Tarikan_Warkah[Jenis Permohonan]),"")</f>
        <v>Perubahan Hak</v>
      </c>
      <c r="H86" s="41" t="s">
        <v>11</v>
      </c>
      <c r="I86" s="41" t="s">
        <v>12</v>
      </c>
      <c r="J86" s="36">
        <f t="shared" si="17"/>
        <v>45594.67524</v>
      </c>
      <c r="K86" s="41" t="s">
        <v>26</v>
      </c>
      <c r="L86" s="41" t="s">
        <v>12</v>
      </c>
      <c r="M86" s="36">
        <f t="shared" si="18"/>
        <v>45595.49368</v>
      </c>
      <c r="N86" s="30" t="str">
        <f t="shared" si="3"/>
        <v>SELESAI</v>
      </c>
      <c r="O86" s="45">
        <f t="shared" si="12"/>
        <v>45595.49368</v>
      </c>
      <c r="P86" s="47" t="b">
        <v>0</v>
      </c>
      <c r="Q86" s="36" t="str">
        <f t="shared" si="5"/>
        <v/>
      </c>
      <c r="R86" s="47" t="b">
        <v>1</v>
      </c>
      <c r="S86" s="36">
        <f t="shared" si="6"/>
        <v>45595.49537</v>
      </c>
      <c r="T86" s="42"/>
    </row>
    <row r="87" ht="22.5" customHeight="1">
      <c r="B87" s="42">
        <f t="shared" si="7"/>
        <v>81</v>
      </c>
      <c r="C87" s="31" t="s">
        <v>280</v>
      </c>
      <c r="D87" s="34" t="str">
        <f t="array" ref="D87">IFNA(_xlfn.XLOOKUP(C87,Table_Tarikan_Warkah[Nomor Sertipikat],Table_Tarikan_Warkah[Nomor Tiket]),"")</f>
        <v>K/27/161024/1</v>
      </c>
      <c r="E87" s="36" t="str">
        <f t="array" ref="E87">IFNA(_xlfn.XLOOKUP(C87,Table_Tarikan_Warkah[Nomor Sertipikat],Table_Tarikan_Warkah[Tanggal diserahkan kepada Validator]),"")</f>
        <v>05/11/2024 10.06</v>
      </c>
      <c r="F87" s="36" t="str">
        <f t="array" ref="F87">IFNA(_xlfn.XLOOKUP(C87,Table_Tarikan_Warkah[Nomor Sertipikat],Table_Tarikan_Warkah[Nama Petugas Warkah]),"")</f>
        <v>Sahelia</v>
      </c>
      <c r="G87" s="39" t="str">
        <f t="array" ref="G87">IFNA(_xlfn.XLOOKUP(C87,Table_Tarikan_Warkah[Nomor Sertipikat],Table_Tarikan_Warkah[Jenis Permohonan]),"")</f>
        <v>BN Jual Beli</v>
      </c>
      <c r="H87" s="41" t="s">
        <v>11</v>
      </c>
      <c r="I87" s="41" t="s">
        <v>23</v>
      </c>
      <c r="J87" s="36">
        <f t="shared" si="17"/>
        <v>45594.67579</v>
      </c>
      <c r="K87" s="41" t="s">
        <v>26</v>
      </c>
      <c r="L87" s="41" t="s">
        <v>23</v>
      </c>
      <c r="M87" s="36">
        <f t="shared" si="18"/>
        <v>45596.55515</v>
      </c>
      <c r="N87" s="30" t="str">
        <f t="shared" si="3"/>
        <v>Selesai</v>
      </c>
      <c r="O87" s="45">
        <f t="shared" si="12"/>
        <v>45596.55515</v>
      </c>
      <c r="P87" s="47" t="b">
        <v>1</v>
      </c>
      <c r="Q87" s="36">
        <f t="shared" si="5"/>
        <v>45596.55577</v>
      </c>
      <c r="R87" s="47" t="b">
        <v>0</v>
      </c>
      <c r="S87" s="42" t="str">
        <f t="shared" si="6"/>
        <v/>
      </c>
      <c r="T87" s="42"/>
    </row>
    <row r="88" ht="22.5" customHeight="1">
      <c r="B88" s="42">
        <f t="shared" si="7"/>
        <v>82</v>
      </c>
      <c r="C88" s="31" t="s">
        <v>244</v>
      </c>
      <c r="D88" s="34" t="str">
        <f t="array" ref="D88">IFNA(_xlfn.XLOOKUP(C88,Table_Tarikan_Warkah[Nomor Sertipikat],Table_Tarikan_Warkah[Nomor Tiket]),"")</f>
        <v>K/44/231024/1</v>
      </c>
      <c r="E88" s="36" t="str">
        <f t="array" ref="E88">IFNA(_xlfn.XLOOKUP(C88,Table_Tarikan_Warkah[Nomor Sertipikat],Table_Tarikan_Warkah[Tanggal diserahkan kepada Validator]),"")</f>
        <v/>
      </c>
      <c r="F88" s="36" t="str">
        <f t="array" ref="F88">IFNA(_xlfn.XLOOKUP(C88,Table_Tarikan_Warkah[Nomor Sertipikat],Table_Tarikan_Warkah[Nama Petugas Warkah]),"")</f>
        <v/>
      </c>
      <c r="G88" s="39" t="str">
        <f t="array" ref="G88">IFNA(_xlfn.XLOOKUP(C88,Table_Tarikan_Warkah[Nomor Sertipikat],Table_Tarikan_Warkah[Jenis Permohonan]),"")</f>
        <v>Roya</v>
      </c>
      <c r="H88" s="41" t="s">
        <v>11</v>
      </c>
      <c r="I88" s="41" t="s">
        <v>12</v>
      </c>
      <c r="J88" s="36">
        <f t="shared" si="17"/>
        <v>45594.67651</v>
      </c>
      <c r="K88" s="41" t="s">
        <v>26</v>
      </c>
      <c r="L88" s="41" t="s">
        <v>23</v>
      </c>
      <c r="M88" s="36">
        <f t="shared" si="18"/>
        <v>45596.5555</v>
      </c>
      <c r="N88" s="30" t="str">
        <f t="shared" si="3"/>
        <v>Selesai</v>
      </c>
      <c r="O88" s="45">
        <f t="shared" si="12"/>
        <v>45596.5555</v>
      </c>
      <c r="P88" s="47" t="b">
        <v>1</v>
      </c>
      <c r="Q88" s="36">
        <f t="shared" si="5"/>
        <v>45596.55579</v>
      </c>
      <c r="R88" s="47" t="b">
        <v>0</v>
      </c>
      <c r="S88" s="42" t="str">
        <f t="shared" si="6"/>
        <v/>
      </c>
      <c r="T88" s="42"/>
    </row>
    <row r="89" ht="22.5" customHeight="1">
      <c r="B89" s="42">
        <f t="shared" si="7"/>
        <v>83</v>
      </c>
      <c r="C89" s="31" t="s">
        <v>281</v>
      </c>
      <c r="D89" s="34" t="str">
        <f t="array" ref="D89">IFNA(_xlfn.XLOOKUP(C89,Table_Tarikan_Warkah[Nomor Sertipikat],Table_Tarikan_Warkah[Nomor Tiket]),"")</f>
        <v>K/50/211024/1</v>
      </c>
      <c r="E89" s="36" t="str">
        <f t="array" ref="E89">IFNA(_xlfn.XLOOKUP(C89,Table_Tarikan_Warkah[Nomor Sertipikat],Table_Tarikan_Warkah[Tanggal diserahkan kepada Validator]),"")</f>
        <v/>
      </c>
      <c r="F89" s="36" t="str">
        <f t="array" ref="F89">IFNA(_xlfn.XLOOKUP(C89,Table_Tarikan_Warkah[Nomor Sertipikat],Table_Tarikan_Warkah[Nama Petugas Warkah]),"")</f>
        <v/>
      </c>
      <c r="G89" s="39" t="str">
        <f t="array" ref="G89">IFNA(_xlfn.XLOOKUP(C89,Table_Tarikan_Warkah[Nomor Sertipikat],Table_Tarikan_Warkah[Jenis Permohonan]),"")</f>
        <v>Roya</v>
      </c>
      <c r="H89" s="41" t="s">
        <v>20</v>
      </c>
      <c r="I89" s="41" t="s">
        <v>12</v>
      </c>
      <c r="J89" s="36">
        <f t="shared" si="17"/>
        <v>45595.58892</v>
      </c>
      <c r="K89" s="49" t="s">
        <v>26</v>
      </c>
      <c r="L89" s="49" t="s">
        <v>23</v>
      </c>
      <c r="M89" s="36">
        <f t="shared" si="18"/>
        <v>45597.57568</v>
      </c>
      <c r="N89" s="30" t="str">
        <f t="shared" si="3"/>
        <v>Selesai</v>
      </c>
      <c r="O89" s="45">
        <f t="shared" si="12"/>
        <v>45597.57568</v>
      </c>
      <c r="P89" s="47" t="b">
        <v>1</v>
      </c>
      <c r="Q89" s="36">
        <f t="shared" si="5"/>
        <v>45597.57578</v>
      </c>
      <c r="R89" s="47" t="b">
        <v>1</v>
      </c>
      <c r="S89" s="36">
        <f t="shared" si="6"/>
        <v>45609.47586</v>
      </c>
      <c r="T89" s="42"/>
    </row>
    <row r="90" ht="22.5" customHeight="1">
      <c r="B90" s="42">
        <f t="shared" si="7"/>
        <v>84</v>
      </c>
      <c r="C90" s="31" t="s">
        <v>282</v>
      </c>
      <c r="D90" s="34" t="str">
        <f t="array" ref="D90">IFNA(_xlfn.XLOOKUP(C90,Table_Tarikan_Warkah[Nomor Sertipikat],Table_Tarikan_Warkah[Nomor Tiket]),"")</f>
        <v>L/23/291024/1</v>
      </c>
      <c r="E90" s="36" t="str">
        <f t="array" ref="E90">IFNA(_xlfn.XLOOKUP(C90,Table_Tarikan_Warkah[Nomor Sertipikat],Table_Tarikan_Warkah[Tanggal diserahkan kepada Validator]),"")</f>
        <v>30/10/2024 11.00</v>
      </c>
      <c r="F90" s="36" t="str">
        <f t="array" ref="F90">IFNA(_xlfn.XLOOKUP(C90,Table_Tarikan_Warkah[Nomor Sertipikat],Table_Tarikan_Warkah[Nama Petugas Warkah]),"")</f>
        <v>David</v>
      </c>
      <c r="G90" s="39" t="str">
        <f t="array" ref="G90">IFNA(_xlfn.XLOOKUP(C90,Table_Tarikan_Warkah[Nomor Sertipikat],Table_Tarikan_Warkah[Jenis Permohonan]),"")</f>
        <v>ROYA</v>
      </c>
      <c r="H90" s="41" t="s">
        <v>11</v>
      </c>
      <c r="I90" s="41" t="s">
        <v>12</v>
      </c>
      <c r="J90" s="36">
        <f t="shared" si="17"/>
        <v>45595.66858</v>
      </c>
      <c r="K90" s="41" t="s">
        <v>197</v>
      </c>
      <c r="L90" s="41" t="s">
        <v>12</v>
      </c>
      <c r="M90" s="36">
        <f t="shared" si="18"/>
        <v>45596.55688</v>
      </c>
      <c r="N90" s="30" t="str">
        <f t="shared" si="3"/>
        <v>SELESAI</v>
      </c>
      <c r="O90" s="45">
        <f t="shared" si="12"/>
        <v>45596.55688</v>
      </c>
      <c r="P90" s="47" t="b">
        <v>0</v>
      </c>
      <c r="Q90" s="36" t="str">
        <f t="shared" si="5"/>
        <v/>
      </c>
      <c r="R90" s="47" t="b">
        <v>1</v>
      </c>
      <c r="S90" s="36">
        <f t="shared" si="6"/>
        <v>45596.55734</v>
      </c>
      <c r="T90" s="42"/>
    </row>
    <row r="91" ht="22.5" customHeight="1">
      <c r="B91" s="42">
        <f t="shared" si="7"/>
        <v>85</v>
      </c>
      <c r="C91" s="31" t="s">
        <v>283</v>
      </c>
      <c r="D91" s="34" t="str">
        <f t="array" ref="D91">IFNA(_xlfn.XLOOKUP(C91,Table_Tarikan_Warkah[Nomor Sertipikat],Table_Tarikan_Warkah[Nomor Tiket]),"")</f>
        <v>L/2/291024/1</v>
      </c>
      <c r="E91" s="36" t="str">
        <f t="array" ref="E91">IFNA(_xlfn.XLOOKUP(C91,Table_Tarikan_Warkah[Nomor Sertipikat],Table_Tarikan_Warkah[Tanggal diserahkan kepada Validator]),"")</f>
        <v>30/10/2024 10.54</v>
      </c>
      <c r="F91" s="36" t="str">
        <f t="array" ref="F91">IFNA(_xlfn.XLOOKUP(C91,Table_Tarikan_Warkah[Nomor Sertipikat],Table_Tarikan_Warkah[Nama Petugas Warkah]),"")</f>
        <v>David</v>
      </c>
      <c r="G91" s="39" t="str">
        <f t="array" ref="G91">IFNA(_xlfn.XLOOKUP(C91,Table_Tarikan_Warkah[Nomor Sertipikat],Table_Tarikan_Warkah[Jenis Permohonan]),"")</f>
        <v>ROYA</v>
      </c>
      <c r="H91" s="41" t="s">
        <v>11</v>
      </c>
      <c r="I91" s="41" t="s">
        <v>12</v>
      </c>
      <c r="J91" s="36">
        <f t="shared" si="17"/>
        <v>45595.6693</v>
      </c>
      <c r="K91" s="41" t="s">
        <v>197</v>
      </c>
      <c r="L91" s="41" t="s">
        <v>12</v>
      </c>
      <c r="M91" s="36">
        <f t="shared" si="18"/>
        <v>45596.55713</v>
      </c>
      <c r="N91" s="30" t="str">
        <f t="shared" si="3"/>
        <v>SELESAI</v>
      </c>
      <c r="O91" s="45">
        <f t="shared" si="12"/>
        <v>45596.55713</v>
      </c>
      <c r="P91" s="47" t="b">
        <v>0</v>
      </c>
      <c r="Q91" s="36" t="str">
        <f t="shared" si="5"/>
        <v/>
      </c>
      <c r="R91" s="47" t="b">
        <v>1</v>
      </c>
      <c r="S91" s="36">
        <f t="shared" si="6"/>
        <v>45596.55728</v>
      </c>
      <c r="T91" s="42"/>
    </row>
    <row r="92" ht="22.5" customHeight="1">
      <c r="B92" s="42">
        <f t="shared" si="7"/>
        <v>86</v>
      </c>
      <c r="C92" s="31" t="s">
        <v>284</v>
      </c>
      <c r="D92" s="34" t="str">
        <f t="array" ref="D92">IFNA(_xlfn.XLOOKUP(C92,Table_Tarikan_Warkah[Nomor Sertipikat],Table_Tarikan_Warkah[Nomor Tiket]),"")</f>
        <v>K/21/251024/1</v>
      </c>
      <c r="E92" s="36" t="str">
        <f t="array" ref="E92">IFNA(_xlfn.XLOOKUP(C92,Table_Tarikan_Warkah[Nomor Sertipikat],Table_Tarikan_Warkah[Tanggal diserahkan kepada Validator]),"")</f>
        <v/>
      </c>
      <c r="F92" s="36" t="str">
        <f t="array" ref="F92">IFNA(_xlfn.XLOOKUP(C92,Table_Tarikan_Warkah[Nomor Sertipikat],Table_Tarikan_Warkah[Nama Petugas Warkah]),"")</f>
        <v/>
      </c>
      <c r="G92" s="39" t="str">
        <f t="array" ref="G92">IFNA(_xlfn.XLOOKUP(C92,Table_Tarikan_Warkah[Nomor Sertipikat],Table_Tarikan_Warkah[Jenis Permohonan]),"")</f>
        <v>SKPT LELANG</v>
      </c>
      <c r="H92" s="41" t="s">
        <v>11</v>
      </c>
      <c r="I92" s="41" t="s">
        <v>12</v>
      </c>
      <c r="J92" s="36">
        <f t="shared" si="17"/>
        <v>45595.67097</v>
      </c>
      <c r="K92" s="41" t="s">
        <v>197</v>
      </c>
      <c r="L92" s="41" t="s">
        <v>23</v>
      </c>
      <c r="M92" s="36">
        <f t="shared" si="18"/>
        <v>45596.55457</v>
      </c>
      <c r="N92" s="30" t="str">
        <f t="shared" si="3"/>
        <v>Selesai</v>
      </c>
      <c r="O92" s="45">
        <f t="shared" si="12"/>
        <v>45596.55457</v>
      </c>
      <c r="P92" s="47" t="b">
        <v>1</v>
      </c>
      <c r="Q92" s="36">
        <f t="shared" si="5"/>
        <v>45597.57595</v>
      </c>
      <c r="R92" s="47" t="b">
        <v>0</v>
      </c>
      <c r="S92" s="42" t="str">
        <f t="shared" si="6"/>
        <v/>
      </c>
      <c r="T92" s="42"/>
    </row>
    <row r="93" ht="22.5" customHeight="1">
      <c r="B93" s="42">
        <f t="shared" si="7"/>
        <v>87</v>
      </c>
      <c r="C93" s="31" t="s">
        <v>257</v>
      </c>
      <c r="D93" s="34" t="str">
        <f t="array" ref="D93">IFNA(_xlfn.XLOOKUP(C93,Table_Tarikan_Warkah[Nomor Sertipikat],Table_Tarikan_Warkah[Nomor Tiket]),"")</f>
        <v>K/33/181024/1</v>
      </c>
      <c r="E93" s="36" t="str">
        <f t="array" ref="E93">IFNA(_xlfn.XLOOKUP(C93,Table_Tarikan_Warkah[Nomor Sertipikat],Table_Tarikan_Warkah[Tanggal diserahkan kepada Validator]),"")</f>
        <v>07/11/2024 14.13</v>
      </c>
      <c r="F93" s="36" t="str">
        <f t="array" ref="F93">IFNA(_xlfn.XLOOKUP(C93,Table_Tarikan_Warkah[Nomor Sertipikat],Table_Tarikan_Warkah[Nama Petugas Warkah]),"")</f>
        <v>Sahelia</v>
      </c>
      <c r="G93" s="39" t="str">
        <f t="array" ref="G93">IFNA(_xlfn.XLOOKUP(C93,Table_Tarikan_Warkah[Nomor Sertipikat],Table_Tarikan_Warkah[Jenis Permohonan]),"")</f>
        <v>PERALIHAN JUAL BELI</v>
      </c>
      <c r="H93" s="41" t="s">
        <v>11</v>
      </c>
      <c r="I93" s="41" t="s">
        <v>12</v>
      </c>
      <c r="J93" s="36">
        <f t="shared" si="17"/>
        <v>45595.67127</v>
      </c>
      <c r="K93" s="41" t="s">
        <v>197</v>
      </c>
      <c r="L93" s="41" t="s">
        <v>23</v>
      </c>
      <c r="M93" s="36">
        <f t="shared" si="18"/>
        <v>45596.55467</v>
      </c>
      <c r="N93" s="30" t="str">
        <f t="shared" si="3"/>
        <v>Selesai</v>
      </c>
      <c r="O93" s="45">
        <f t="shared" si="12"/>
        <v>45596.55467</v>
      </c>
      <c r="P93" s="47" t="b">
        <v>1</v>
      </c>
      <c r="Q93" s="36">
        <f t="shared" si="5"/>
        <v>45597.57595</v>
      </c>
      <c r="R93" s="47" t="b">
        <v>0</v>
      </c>
      <c r="S93" s="42" t="str">
        <f t="shared" si="6"/>
        <v/>
      </c>
      <c r="T93" s="42"/>
    </row>
    <row r="94" ht="22.5" customHeight="1">
      <c r="B94" s="42">
        <f t="shared" si="7"/>
        <v>88</v>
      </c>
      <c r="C94" s="31" t="s">
        <v>285</v>
      </c>
      <c r="D94" s="34" t="str">
        <f t="array" ref="D94">IFNA(_xlfn.XLOOKUP(C94,Table_Tarikan_Warkah[Nomor Sertipikat],Table_Tarikan_Warkah[Nomor Tiket]),"")</f>
        <v>L/38/301024/1</v>
      </c>
      <c r="E94" s="36" t="str">
        <f t="array" ref="E94">IFNA(_xlfn.XLOOKUP(C94,Table_Tarikan_Warkah[Nomor Sertipikat],Table_Tarikan_Warkah[Tanggal diserahkan kepada Validator]),"")</f>
        <v>31/10/2024 09.46</v>
      </c>
      <c r="F94" s="36" t="str">
        <f t="array" ref="F94">IFNA(_xlfn.XLOOKUP(C94,Table_Tarikan_Warkah[Nomor Sertipikat],Table_Tarikan_Warkah[Nama Petugas Warkah]),"")</f>
        <v>Berry</v>
      </c>
      <c r="G94" s="39" t="str">
        <f t="array" ref="G94">IFNA(_xlfn.XLOOKUP(C94,Table_Tarikan_Warkah[Nomor Sertipikat],Table_Tarikan_Warkah[Jenis Permohonan]),"")</f>
        <v>ROYA</v>
      </c>
      <c r="H94" s="41" t="s">
        <v>11</v>
      </c>
      <c r="I94" s="41" t="s">
        <v>12</v>
      </c>
      <c r="J94" s="36">
        <f t="shared" si="17"/>
        <v>45596.68803</v>
      </c>
      <c r="K94" s="49" t="s">
        <v>197</v>
      </c>
      <c r="L94" s="49" t="s">
        <v>12</v>
      </c>
      <c r="M94" s="36">
        <f t="shared" si="18"/>
        <v>45597.57849</v>
      </c>
      <c r="N94" s="30" t="str">
        <f t="shared" si="3"/>
        <v>SELESAI</v>
      </c>
      <c r="O94" s="45">
        <f t="shared" si="12"/>
        <v>45597.57849</v>
      </c>
      <c r="P94" s="47" t="b">
        <v>0</v>
      </c>
      <c r="Q94" s="36" t="str">
        <f t="shared" si="5"/>
        <v/>
      </c>
      <c r="R94" s="47" t="b">
        <v>1</v>
      </c>
      <c r="S94" s="36">
        <f t="shared" si="6"/>
        <v>45600.37451</v>
      </c>
      <c r="T94" s="42"/>
    </row>
    <row r="95" ht="22.5" customHeight="1">
      <c r="B95" s="42">
        <f t="shared" si="7"/>
        <v>89</v>
      </c>
      <c r="C95" s="31" t="s">
        <v>286</v>
      </c>
      <c r="D95" s="34" t="str">
        <f t="array" ref="D95">IFNA(_xlfn.XLOOKUP(C95,Table_Tarikan_Warkah[Nomor Sertipikat],Table_Tarikan_Warkah[Nomor Tiket]),"")</f>
        <v>L/22/301024/1</v>
      </c>
      <c r="E95" s="36" t="str">
        <f t="array" ref="E95">IFNA(_xlfn.XLOOKUP(C95,Table_Tarikan_Warkah[Nomor Sertipikat],Table_Tarikan_Warkah[Tanggal diserahkan kepada Validator]),"")</f>
        <v>31/10/2024 09.43</v>
      </c>
      <c r="F95" s="36" t="str">
        <f t="array" ref="F95">IFNA(_xlfn.XLOOKUP(C95,Table_Tarikan_Warkah[Nomor Sertipikat],Table_Tarikan_Warkah[Nama Petugas Warkah]),"")</f>
        <v>Berry</v>
      </c>
      <c r="G95" s="39" t="str">
        <f t="array" ref="G95">IFNA(_xlfn.XLOOKUP(C95,Table_Tarikan_Warkah[Nomor Sertipikat],Table_Tarikan_Warkah[Jenis Permohonan]),"")</f>
        <v>ROYA</v>
      </c>
      <c r="H95" s="41" t="s">
        <v>11</v>
      </c>
      <c r="I95" s="41" t="s">
        <v>12</v>
      </c>
      <c r="J95" s="36">
        <f t="shared" si="17"/>
        <v>45596.68803</v>
      </c>
      <c r="K95" s="49" t="s">
        <v>197</v>
      </c>
      <c r="L95" s="49" t="s">
        <v>12</v>
      </c>
      <c r="M95" s="36">
        <f t="shared" si="18"/>
        <v>45597.57853</v>
      </c>
      <c r="N95" s="30" t="str">
        <f t="shared" si="3"/>
        <v>SELESAI</v>
      </c>
      <c r="O95" s="45">
        <f t="shared" si="12"/>
        <v>45597.57853</v>
      </c>
      <c r="P95" s="47" t="b">
        <v>0</v>
      </c>
      <c r="Q95" s="36" t="str">
        <f t="shared" si="5"/>
        <v/>
      </c>
      <c r="R95" s="47" t="b">
        <v>1</v>
      </c>
      <c r="S95" s="36">
        <f t="shared" si="6"/>
        <v>45600.37453</v>
      </c>
      <c r="T95" s="42"/>
    </row>
    <row r="96" ht="22.5" customHeight="1">
      <c r="B96" s="42">
        <f t="shared" si="7"/>
        <v>90</v>
      </c>
      <c r="C96" s="31" t="s">
        <v>287</v>
      </c>
      <c r="D96" s="34" t="str">
        <f t="array" ref="D96">IFNA(_xlfn.XLOOKUP(C96,Table_Tarikan_Warkah[Nomor Sertipikat],Table_Tarikan_Warkah[Nomor Tiket]),"")</f>
        <v>L/16/301024/1</v>
      </c>
      <c r="E96" s="36" t="str">
        <f t="array" ref="E96">IFNA(_xlfn.XLOOKUP(C96,Table_Tarikan_Warkah[Nomor Sertipikat],Table_Tarikan_Warkah[Tanggal diserahkan kepada Validator]),"")</f>
        <v>31/10/2024 09.41</v>
      </c>
      <c r="F96" s="36" t="str">
        <f t="array" ref="F96">IFNA(_xlfn.XLOOKUP(C96,Table_Tarikan_Warkah[Nomor Sertipikat],Table_Tarikan_Warkah[Nama Petugas Warkah]),"")</f>
        <v>Berry</v>
      </c>
      <c r="G96" s="39" t="str">
        <f t="array" ref="G96">IFNA(_xlfn.XLOOKUP(C96,Table_Tarikan_Warkah[Nomor Sertipikat],Table_Tarikan_Warkah[Jenis Permohonan]),"")</f>
        <v>ROYA</v>
      </c>
      <c r="H96" s="41" t="s">
        <v>11</v>
      </c>
      <c r="I96" s="41" t="s">
        <v>12</v>
      </c>
      <c r="J96" s="36">
        <f t="shared" si="17"/>
        <v>45596.68812</v>
      </c>
      <c r="K96" s="49" t="s">
        <v>197</v>
      </c>
      <c r="L96" s="49" t="s">
        <v>12</v>
      </c>
      <c r="M96" s="36">
        <f t="shared" si="18"/>
        <v>45597.5786</v>
      </c>
      <c r="N96" s="30" t="str">
        <f t="shared" si="3"/>
        <v>SELESAI</v>
      </c>
      <c r="O96" s="45">
        <f t="shared" si="12"/>
        <v>45597.5786</v>
      </c>
      <c r="P96" s="47" t="b">
        <v>0</v>
      </c>
      <c r="Q96" s="36" t="str">
        <f t="shared" si="5"/>
        <v/>
      </c>
      <c r="R96" s="47" t="b">
        <v>1</v>
      </c>
      <c r="S96" s="36">
        <f t="shared" si="6"/>
        <v>45600.37455</v>
      </c>
      <c r="T96" s="42"/>
    </row>
    <row r="97" ht="22.5" customHeight="1">
      <c r="B97" s="42">
        <f t="shared" si="7"/>
        <v>91</v>
      </c>
      <c r="C97" s="31" t="s">
        <v>288</v>
      </c>
      <c r="D97" s="34" t="str">
        <f t="array" ref="D97">IFNA(_xlfn.XLOOKUP(C97,Table_Tarikan_Warkah[Nomor Sertipikat],Table_Tarikan_Warkah[Nomor Tiket]),"")</f>
        <v>L/15/301024/1</v>
      </c>
      <c r="E97" s="36" t="str">
        <f t="array" ref="E97">IFNA(_xlfn.XLOOKUP(C97,Table_Tarikan_Warkah[Nomor Sertipikat],Table_Tarikan_Warkah[Tanggal diserahkan kepada Validator]),"")</f>
        <v>31/10/2024 09.40</v>
      </c>
      <c r="F97" s="36" t="str">
        <f t="array" ref="F97">IFNA(_xlfn.XLOOKUP(C97,Table_Tarikan_Warkah[Nomor Sertipikat],Table_Tarikan_Warkah[Nama Petugas Warkah]),"")</f>
        <v>David</v>
      </c>
      <c r="G97" s="39" t="str">
        <f t="array" ref="G97">IFNA(_xlfn.XLOOKUP(C97,Table_Tarikan_Warkah[Nomor Sertipikat],Table_Tarikan_Warkah[Jenis Permohonan]),"")</f>
        <v>ROYA LELANG</v>
      </c>
      <c r="H97" s="41" t="s">
        <v>11</v>
      </c>
      <c r="I97" s="41" t="s">
        <v>12</v>
      </c>
      <c r="J97" s="36">
        <f t="shared" si="17"/>
        <v>45596.6883</v>
      </c>
      <c r="K97" s="49" t="s">
        <v>197</v>
      </c>
      <c r="L97" s="49" t="s">
        <v>12</v>
      </c>
      <c r="M97" s="36">
        <f t="shared" si="18"/>
        <v>45597.57873</v>
      </c>
      <c r="N97" s="30" t="str">
        <f t="shared" si="3"/>
        <v>SELESAI</v>
      </c>
      <c r="O97" s="45">
        <f t="shared" si="12"/>
        <v>45597.57873</v>
      </c>
      <c r="P97" s="47" t="b">
        <v>0</v>
      </c>
      <c r="Q97" s="36" t="str">
        <f t="shared" si="5"/>
        <v/>
      </c>
      <c r="R97" s="47" t="b">
        <v>1</v>
      </c>
      <c r="S97" s="36">
        <f t="shared" si="6"/>
        <v>45600.37456</v>
      </c>
      <c r="T97" s="42"/>
    </row>
    <row r="98" ht="22.5" customHeight="1">
      <c r="B98" s="42">
        <f t="shared" si="7"/>
        <v>92</v>
      </c>
      <c r="C98" s="31" t="s">
        <v>289</v>
      </c>
      <c r="D98" s="34" t="str">
        <f t="array" ref="D98">IFNA(_xlfn.XLOOKUP(C98,Table_Tarikan_Warkah[Nomor Sertipikat],Table_Tarikan_Warkah[Nomor Tiket]),"")</f>
        <v>L/39/301024/1</v>
      </c>
      <c r="E98" s="36" t="str">
        <f t="array" ref="E98">IFNA(_xlfn.XLOOKUP(C98,Table_Tarikan_Warkah[Nomor Sertipikat],Table_Tarikan_Warkah[Tanggal diserahkan kepada Validator]),"")</f>
        <v>31/10/2024 09.46</v>
      </c>
      <c r="F98" s="36" t="str">
        <f t="array" ref="F98">IFNA(_xlfn.XLOOKUP(C98,Table_Tarikan_Warkah[Nomor Sertipikat],Table_Tarikan_Warkah[Nama Petugas Warkah]),"")</f>
        <v>Berry</v>
      </c>
      <c r="G98" s="39" t="str">
        <f t="array" ref="G98">IFNA(_xlfn.XLOOKUP(C98,Table_Tarikan_Warkah[Nomor Sertipikat],Table_Tarikan_Warkah[Jenis Permohonan]),"")</f>
        <v>ROYA</v>
      </c>
      <c r="H98" s="41" t="s">
        <v>11</v>
      </c>
      <c r="I98" s="41" t="s">
        <v>12</v>
      </c>
      <c r="J98" s="36">
        <f t="shared" si="17"/>
        <v>45596.68881</v>
      </c>
      <c r="K98" s="49" t="s">
        <v>197</v>
      </c>
      <c r="L98" s="49" t="s">
        <v>12</v>
      </c>
      <c r="M98" s="36">
        <f t="shared" si="18"/>
        <v>45597.57884</v>
      </c>
      <c r="N98" s="30" t="str">
        <f t="shared" si="3"/>
        <v>SELESAI</v>
      </c>
      <c r="O98" s="45">
        <f t="shared" si="12"/>
        <v>45597.57884</v>
      </c>
      <c r="P98" s="47" t="b">
        <v>0</v>
      </c>
      <c r="Q98" s="36" t="str">
        <f t="shared" si="5"/>
        <v/>
      </c>
      <c r="R98" s="47" t="b">
        <v>1</v>
      </c>
      <c r="S98" s="36">
        <f t="shared" si="6"/>
        <v>45600.37459</v>
      </c>
      <c r="T98" s="42"/>
    </row>
    <row r="99" ht="22.5" customHeight="1">
      <c r="B99" s="42">
        <f t="shared" si="7"/>
        <v>93</v>
      </c>
      <c r="C99" s="31" t="s">
        <v>290</v>
      </c>
      <c r="D99" s="34" t="str">
        <f t="array" ref="D99">IFNA(_xlfn.XLOOKUP(C99,Table_Tarikan_Warkah[Nomor Sertipikat],Table_Tarikan_Warkah[Nomor Tiket]),"")</f>
        <v>L/1/301024/1</v>
      </c>
      <c r="E99" s="36" t="str">
        <f t="array" ref="E99">IFNA(_xlfn.XLOOKUP(C99,Table_Tarikan_Warkah[Nomor Sertipikat],Table_Tarikan_Warkah[Tanggal diserahkan kepada Validator]),"")</f>
        <v>31/10/2024 09.37</v>
      </c>
      <c r="F99" s="36" t="str">
        <f t="array" ref="F99">IFNA(_xlfn.XLOOKUP(C99,Table_Tarikan_Warkah[Nomor Sertipikat],Table_Tarikan_Warkah[Nama Petugas Warkah]),"")</f>
        <v>David</v>
      </c>
      <c r="G99" s="39" t="str">
        <f t="array" ref="G99">IFNA(_xlfn.XLOOKUP(C99,Table_Tarikan_Warkah[Nomor Sertipikat],Table_Tarikan_Warkah[Jenis Permohonan]),"")</f>
        <v>ROYA</v>
      </c>
      <c r="H99" s="41" t="s">
        <v>11</v>
      </c>
      <c r="I99" s="41" t="s">
        <v>12</v>
      </c>
      <c r="J99" s="36">
        <f t="shared" si="17"/>
        <v>45596.68983</v>
      </c>
      <c r="K99" s="49" t="s">
        <v>197</v>
      </c>
      <c r="L99" s="49" t="s">
        <v>12</v>
      </c>
      <c r="M99" s="36">
        <f t="shared" si="18"/>
        <v>45597.57917</v>
      </c>
      <c r="N99" s="30" t="str">
        <f t="shared" si="3"/>
        <v>SELESAI</v>
      </c>
      <c r="O99" s="45">
        <f t="shared" si="12"/>
        <v>45597.57917</v>
      </c>
      <c r="P99" s="47" t="b">
        <v>0</v>
      </c>
      <c r="Q99" s="36" t="str">
        <f t="shared" si="5"/>
        <v/>
      </c>
      <c r="R99" s="47" t="b">
        <v>1</v>
      </c>
      <c r="S99" s="36">
        <f t="shared" si="6"/>
        <v>45600.3747</v>
      </c>
      <c r="T99" s="42"/>
    </row>
    <row r="100" ht="22.5" customHeight="1">
      <c r="B100" s="42">
        <f t="shared" si="7"/>
        <v>94</v>
      </c>
      <c r="C100" s="31" t="s">
        <v>291</v>
      </c>
      <c r="D100" s="34" t="str">
        <f t="array" ref="D100">IFNA(_xlfn.XLOOKUP(C100,Table_Tarikan_Warkah[Nomor Sertipikat],Table_Tarikan_Warkah[Nomor Tiket]),"")</f>
        <v>L/1/301024/2</v>
      </c>
      <c r="E100" s="36" t="str">
        <f t="array" ref="E100">IFNA(_xlfn.XLOOKUP(C100,Table_Tarikan_Warkah[Nomor Sertipikat],Table_Tarikan_Warkah[Tanggal diserahkan kepada Validator]),"")</f>
        <v>31/10/2024 09.37</v>
      </c>
      <c r="F100" s="36" t="str">
        <f t="array" ref="F100">IFNA(_xlfn.XLOOKUP(C100,Table_Tarikan_Warkah[Nomor Sertipikat],Table_Tarikan_Warkah[Nama Petugas Warkah]),"")</f>
        <v>David</v>
      </c>
      <c r="G100" s="39" t="str">
        <f t="array" ref="G100">IFNA(_xlfn.XLOOKUP(C100,Table_Tarikan_Warkah[Nomor Sertipikat],Table_Tarikan_Warkah[Jenis Permohonan]),"")</f>
        <v>ROYA</v>
      </c>
      <c r="H100" s="41" t="s">
        <v>11</v>
      </c>
      <c r="I100" s="41" t="s">
        <v>12</v>
      </c>
      <c r="J100" s="36">
        <f t="shared" si="17"/>
        <v>45596.68991</v>
      </c>
      <c r="K100" s="49" t="s">
        <v>197</v>
      </c>
      <c r="L100" s="49" t="s">
        <v>12</v>
      </c>
      <c r="M100" s="36">
        <f t="shared" si="18"/>
        <v>45597.57918</v>
      </c>
      <c r="N100" s="30" t="str">
        <f t="shared" si="3"/>
        <v>SELESAI</v>
      </c>
      <c r="O100" s="45">
        <f t="shared" si="12"/>
        <v>45597.57918</v>
      </c>
      <c r="P100" s="47" t="b">
        <v>0</v>
      </c>
      <c r="Q100" s="36" t="str">
        <f t="shared" si="5"/>
        <v/>
      </c>
      <c r="R100" s="47" t="b">
        <v>1</v>
      </c>
      <c r="S100" s="36">
        <f t="shared" si="6"/>
        <v>45600.37471</v>
      </c>
      <c r="T100" s="42"/>
    </row>
    <row r="101" ht="22.5" customHeight="1">
      <c r="B101" s="42">
        <f t="shared" si="7"/>
        <v>95</v>
      </c>
      <c r="C101" s="31" t="s">
        <v>292</v>
      </c>
      <c r="D101" s="34" t="str">
        <f t="array" ref="D101">IFNA(_xlfn.XLOOKUP(C101,Table_Tarikan_Warkah[Nomor Sertipikat],Table_Tarikan_Warkah[Nomor Tiket]),"")</f>
        <v>K/11/181024/1</v>
      </c>
      <c r="E101" s="36" t="str">
        <f t="array" ref="E101">IFNA(_xlfn.XLOOKUP(C101,Table_Tarikan_Warkah[Nomor Sertipikat],Table_Tarikan_Warkah[Tanggal diserahkan kepada Validator]),"")</f>
        <v/>
      </c>
      <c r="F101" s="36" t="str">
        <f t="array" ref="F101">IFNA(_xlfn.XLOOKUP(C101,Table_Tarikan_Warkah[Nomor Sertipikat],Table_Tarikan_Warkah[Nama Petugas Warkah]),"")</f>
        <v/>
      </c>
      <c r="G101" s="39" t="str">
        <f t="array" ref="G101">IFNA(_xlfn.XLOOKUP(C101,Table_Tarikan_Warkah[Nomor Sertipikat],Table_Tarikan_Warkah[Jenis Permohonan]),"")</f>
        <v>PEMECAHAN</v>
      </c>
      <c r="H101" s="41" t="s">
        <v>11</v>
      </c>
      <c r="I101" s="41" t="s">
        <v>12</v>
      </c>
      <c r="J101" s="36">
        <f t="shared" si="17"/>
        <v>45596.69041</v>
      </c>
      <c r="K101" s="49" t="s">
        <v>197</v>
      </c>
      <c r="L101" s="49" t="s">
        <v>23</v>
      </c>
      <c r="M101" s="36">
        <f t="shared" si="18"/>
        <v>45597.58008</v>
      </c>
      <c r="N101" s="30" t="str">
        <f t="shared" si="3"/>
        <v>Selesai</v>
      </c>
      <c r="O101" s="45">
        <f t="shared" si="12"/>
        <v>45597.58008</v>
      </c>
      <c r="P101" s="47" t="b">
        <v>1</v>
      </c>
      <c r="Q101" s="36">
        <f t="shared" si="5"/>
        <v>45600.37477</v>
      </c>
      <c r="R101" s="47" t="b">
        <v>0</v>
      </c>
      <c r="S101" s="42" t="str">
        <f t="shared" si="6"/>
        <v/>
      </c>
      <c r="T101" s="42"/>
    </row>
    <row r="102" ht="22.5" customHeight="1">
      <c r="B102" s="42">
        <f t="shared" si="7"/>
        <v>96</v>
      </c>
      <c r="C102" s="31" t="s">
        <v>293</v>
      </c>
      <c r="D102" s="34" t="str">
        <f t="array" ref="D102">IFNA(_xlfn.XLOOKUP(C102,Table_Tarikan_Warkah[Nomor Sertipikat],Table_Tarikan_Warkah[Nomor Tiket]),"")</f>
        <v>L/27/291024/1</v>
      </c>
      <c r="E102" s="36" t="str">
        <f t="array" ref="E102">IFNA(_xlfn.XLOOKUP(C102,Table_Tarikan_Warkah[Nomor Sertipikat],Table_Tarikan_Warkah[Tanggal diserahkan kepada Validator]),"")</f>
        <v>30/10/2024 11.03</v>
      </c>
      <c r="F102" s="36" t="str">
        <f t="array" ref="F102">IFNA(_xlfn.XLOOKUP(C102,Table_Tarikan_Warkah[Nomor Sertipikat],Table_Tarikan_Warkah[Nama Petugas Warkah]),"")</f>
        <v>Berry</v>
      </c>
      <c r="G102" s="39" t="str">
        <f t="array" ref="G102">IFNA(_xlfn.XLOOKUP(C102,Table_Tarikan_Warkah[Nomor Sertipikat],Table_Tarikan_Warkah[Jenis Permohonan]),"")</f>
        <v>ROYA</v>
      </c>
      <c r="H102" s="41" t="s">
        <v>20</v>
      </c>
      <c r="I102" s="41" t="s">
        <v>12</v>
      </c>
      <c r="J102" s="36">
        <f t="shared" si="17"/>
        <v>45597.36601</v>
      </c>
      <c r="K102" s="49" t="s">
        <v>26</v>
      </c>
      <c r="L102" s="49" t="s">
        <v>12</v>
      </c>
      <c r="M102" s="36">
        <f t="shared" si="18"/>
        <v>45597.58099</v>
      </c>
      <c r="N102" s="30" t="str">
        <f t="shared" si="3"/>
        <v>SELESAI</v>
      </c>
      <c r="O102" s="45">
        <f t="shared" si="12"/>
        <v>45597.58099</v>
      </c>
      <c r="P102" s="47" t="b">
        <v>0</v>
      </c>
      <c r="Q102" s="36" t="str">
        <f t="shared" si="5"/>
        <v/>
      </c>
      <c r="R102" s="47" t="b">
        <v>1</v>
      </c>
      <c r="S102" s="36">
        <f t="shared" si="6"/>
        <v>45600.3686</v>
      </c>
      <c r="T102" s="42"/>
    </row>
    <row r="103" ht="22.5" customHeight="1">
      <c r="B103" s="42">
        <f t="shared" si="7"/>
        <v>97</v>
      </c>
      <c r="C103" s="31" t="s">
        <v>294</v>
      </c>
      <c r="D103" s="34" t="str">
        <f t="array" ref="D103">IFNA(_xlfn.XLOOKUP(C103,Table_Tarikan_Warkah[Nomor Sertipikat],Table_Tarikan_Warkah[Nomor Tiket]),"")</f>
        <v>K/29/291024/1</v>
      </c>
      <c r="E103" s="36" t="str">
        <f t="array" ref="E103">IFNA(_xlfn.XLOOKUP(C103,Table_Tarikan_Warkah[Nomor Sertipikat],Table_Tarikan_Warkah[Tanggal diserahkan kepada Validator]),"")</f>
        <v/>
      </c>
      <c r="F103" s="36" t="str">
        <f t="array" ref="F103">IFNA(_xlfn.XLOOKUP(C103,Table_Tarikan_Warkah[Nomor Sertipikat],Table_Tarikan_Warkah[Nama Petugas Warkah]),"")</f>
        <v/>
      </c>
      <c r="G103" s="39" t="str">
        <f t="array" ref="G103">IFNA(_xlfn.XLOOKUP(C103,Table_Tarikan_Warkah[Nomor Sertipikat],Table_Tarikan_Warkah[Jenis Permohonan]),"")</f>
        <v>Roya</v>
      </c>
      <c r="H103" s="41" t="s">
        <v>20</v>
      </c>
      <c r="I103" s="41" t="s">
        <v>12</v>
      </c>
      <c r="J103" s="36">
        <f t="shared" si="17"/>
        <v>45597.36627</v>
      </c>
      <c r="K103" s="49" t="s">
        <v>26</v>
      </c>
      <c r="L103" s="49" t="s">
        <v>12</v>
      </c>
      <c r="M103" s="36">
        <f t="shared" si="18"/>
        <v>45597.58101</v>
      </c>
      <c r="N103" s="30" t="str">
        <f t="shared" si="3"/>
        <v>SELESAI</v>
      </c>
      <c r="O103" s="45">
        <f t="shared" si="12"/>
        <v>45597.58101</v>
      </c>
      <c r="P103" s="47" t="b">
        <v>0</v>
      </c>
      <c r="Q103" s="36" t="str">
        <f t="shared" si="5"/>
        <v/>
      </c>
      <c r="R103" s="47" t="b">
        <v>1</v>
      </c>
      <c r="S103" s="36">
        <f t="shared" si="6"/>
        <v>45600.36633</v>
      </c>
      <c r="T103" s="42"/>
    </row>
    <row r="104" ht="22.5" customHeight="1">
      <c r="B104" s="42">
        <f t="shared" si="7"/>
        <v>98</v>
      </c>
      <c r="C104" s="31" t="s">
        <v>295</v>
      </c>
      <c r="D104" s="34" t="str">
        <f t="array" ref="D104">IFNA(_xlfn.XLOOKUP(C104,Table_Tarikan_Warkah[Nomor Sertipikat],Table_Tarikan_Warkah[Nomor Tiket]),"")</f>
        <v>K/33/291024/1</v>
      </c>
      <c r="E104" s="36" t="str">
        <f t="array" ref="E104">IFNA(_xlfn.XLOOKUP(C104,Table_Tarikan_Warkah[Nomor Sertipikat],Table_Tarikan_Warkah[Tanggal diserahkan kepada Validator]),"")</f>
        <v>30/10/2024 11.04</v>
      </c>
      <c r="F104" s="36" t="str">
        <f t="array" ref="F104">IFNA(_xlfn.XLOOKUP(C104,Table_Tarikan_Warkah[Nomor Sertipikat],Table_Tarikan_Warkah[Nama Petugas Warkah]),"")</f>
        <v>Berry</v>
      </c>
      <c r="G104" s="39" t="str">
        <f t="array" ref="G104">IFNA(_xlfn.XLOOKUP(C104,Table_Tarikan_Warkah[Nomor Sertipikat],Table_Tarikan_Warkah[Jenis Permohonan]),"")</f>
        <v>BN Waris</v>
      </c>
      <c r="H104" s="41" t="s">
        <v>20</v>
      </c>
      <c r="I104" s="41" t="s">
        <v>12</v>
      </c>
      <c r="J104" s="36">
        <f t="shared" si="17"/>
        <v>45597.36645</v>
      </c>
      <c r="K104" s="49" t="s">
        <v>26</v>
      </c>
      <c r="L104" s="49" t="s">
        <v>12</v>
      </c>
      <c r="M104" s="36">
        <f t="shared" si="18"/>
        <v>45597.58103</v>
      </c>
      <c r="N104" s="30" t="str">
        <f t="shared" si="3"/>
        <v>SELESAI</v>
      </c>
      <c r="O104" s="45">
        <f t="shared" si="12"/>
        <v>45597.58103</v>
      </c>
      <c r="P104" s="47" t="b">
        <v>0</v>
      </c>
      <c r="Q104" s="36" t="str">
        <f t="shared" si="5"/>
        <v/>
      </c>
      <c r="R104" s="47" t="b">
        <v>1</v>
      </c>
      <c r="S104" s="36">
        <f t="shared" si="6"/>
        <v>45600.36931</v>
      </c>
      <c r="T104" s="42"/>
    </row>
    <row r="105" ht="22.5" customHeight="1">
      <c r="B105" s="42">
        <f t="shared" si="7"/>
        <v>99</v>
      </c>
      <c r="C105" s="31" t="s">
        <v>296</v>
      </c>
      <c r="D105" s="34" t="str">
        <f t="array" ref="D105">IFNA(_xlfn.XLOOKUP(C105,Table_Tarikan_Warkah[Nomor Sertipikat],Table_Tarikan_Warkah[Nomor Tiket]),"")</f>
        <v>K/34/291024/1</v>
      </c>
      <c r="E105" s="36" t="str">
        <f t="array" ref="E105">IFNA(_xlfn.XLOOKUP(C105,Table_Tarikan_Warkah[Nomor Sertipikat],Table_Tarikan_Warkah[Tanggal diserahkan kepada Validator]),"")</f>
        <v>30/10/2024 11.04</v>
      </c>
      <c r="F105" s="36" t="str">
        <f t="array" ref="F105">IFNA(_xlfn.XLOOKUP(C105,Table_Tarikan_Warkah[Nomor Sertipikat],Table_Tarikan_Warkah[Nama Petugas Warkah]),"")</f>
        <v>Berry</v>
      </c>
      <c r="G105" s="39" t="str">
        <f t="array" ref="G105">IFNA(_xlfn.XLOOKUP(C105,Table_Tarikan_Warkah[Nomor Sertipikat],Table_Tarikan_Warkah[Jenis Permohonan]),"")</f>
        <v>ROYA</v>
      </c>
      <c r="H105" s="41" t="s">
        <v>20</v>
      </c>
      <c r="I105" s="41" t="s">
        <v>12</v>
      </c>
      <c r="J105" s="36">
        <f t="shared" si="17"/>
        <v>45597.36658</v>
      </c>
      <c r="K105" s="49" t="s">
        <v>26</v>
      </c>
      <c r="L105" s="49" t="s">
        <v>12</v>
      </c>
      <c r="M105" s="36">
        <f t="shared" si="18"/>
        <v>45597.58105</v>
      </c>
      <c r="N105" s="30" t="str">
        <f t="shared" si="3"/>
        <v>SELESAI</v>
      </c>
      <c r="O105" s="45">
        <f t="shared" si="12"/>
        <v>45597.58105</v>
      </c>
      <c r="P105" s="47" t="b">
        <v>0</v>
      </c>
      <c r="Q105" s="36" t="str">
        <f t="shared" si="5"/>
        <v/>
      </c>
      <c r="R105" s="47" t="b">
        <v>1</v>
      </c>
      <c r="S105" s="36">
        <f t="shared" si="6"/>
        <v>45600.36579</v>
      </c>
      <c r="T105" s="42"/>
    </row>
    <row r="106" ht="22.5" customHeight="1">
      <c r="B106" s="42">
        <f t="shared" si="7"/>
        <v>100</v>
      </c>
      <c r="C106" s="31" t="s">
        <v>297</v>
      </c>
      <c r="D106" s="34" t="str">
        <f t="array" ref="D106">IFNA(_xlfn.XLOOKUP(C106,Table_Tarikan_Warkah[Nomor Sertipikat],Table_Tarikan_Warkah[Nomor Tiket]),"")</f>
        <v>L/48/291024/1</v>
      </c>
      <c r="E106" s="36" t="str">
        <f t="array" ref="E106">IFNA(_xlfn.XLOOKUP(C106,Table_Tarikan_Warkah[Nomor Sertipikat],Table_Tarikan_Warkah[Tanggal diserahkan kepada Validator]),"")</f>
        <v>30/10/2024 11.06</v>
      </c>
      <c r="F106" s="36" t="str">
        <f t="array" ref="F106">IFNA(_xlfn.XLOOKUP(C106,Table_Tarikan_Warkah[Nomor Sertipikat],Table_Tarikan_Warkah[Nama Petugas Warkah]),"")</f>
        <v>Berry</v>
      </c>
      <c r="G106" s="39" t="str">
        <f t="array" ref="G106">IFNA(_xlfn.XLOOKUP(C106,Table_Tarikan_Warkah[Nomor Sertipikat],Table_Tarikan_Warkah[Jenis Permohonan]),"")</f>
        <v>ROYA</v>
      </c>
      <c r="H106" s="41" t="s">
        <v>20</v>
      </c>
      <c r="I106" s="41" t="s">
        <v>12</v>
      </c>
      <c r="J106" s="36">
        <f t="shared" si="17"/>
        <v>45597.36689</v>
      </c>
      <c r="K106" s="49" t="s">
        <v>26</v>
      </c>
      <c r="L106" s="49" t="s">
        <v>12</v>
      </c>
      <c r="M106" s="36">
        <f t="shared" si="18"/>
        <v>45597.58111</v>
      </c>
      <c r="N106" s="30" t="str">
        <f t="shared" si="3"/>
        <v>SELESAI</v>
      </c>
      <c r="O106" s="45">
        <f t="shared" si="12"/>
        <v>45597.58111</v>
      </c>
      <c r="P106" s="47" t="b">
        <v>0</v>
      </c>
      <c r="Q106" s="36" t="str">
        <f t="shared" si="5"/>
        <v/>
      </c>
      <c r="R106" s="47" t="b">
        <v>1</v>
      </c>
      <c r="S106" s="36">
        <f t="shared" si="6"/>
        <v>45600.36942</v>
      </c>
      <c r="T106" s="42"/>
    </row>
    <row r="107" ht="22.5" customHeight="1">
      <c r="B107" s="42">
        <f t="shared" si="7"/>
        <v>101</v>
      </c>
      <c r="C107" s="31" t="s">
        <v>298</v>
      </c>
      <c r="D107" s="34" t="str">
        <f t="array" ref="D107">IFNA(_xlfn.XLOOKUP(C107,Table_Tarikan_Warkah[Nomor Sertipikat],Table_Tarikan_Warkah[Nomor Tiket]),"")</f>
        <v>K/42/291024/4</v>
      </c>
      <c r="E107" s="36" t="str">
        <f t="array" ref="E107">IFNA(_xlfn.XLOOKUP(C107,Table_Tarikan_Warkah[Nomor Sertipikat],Table_Tarikan_Warkah[Tanggal diserahkan kepada Validator]),"")</f>
        <v>30/10/2024 11.06</v>
      </c>
      <c r="F107" s="36" t="str">
        <f t="array" ref="F107">IFNA(_xlfn.XLOOKUP(C107,Table_Tarikan_Warkah[Nomor Sertipikat],Table_Tarikan_Warkah[Nama Petugas Warkah]),"")</f>
        <v>Berry</v>
      </c>
      <c r="G107" s="39" t="str">
        <f t="array" ref="G107">IFNA(_xlfn.XLOOKUP(C107,Table_Tarikan_Warkah[Nomor Sertipikat],Table_Tarikan_Warkah[Jenis Permohonan]),"")</f>
        <v>BN LELANG</v>
      </c>
      <c r="H107" s="41" t="s">
        <v>20</v>
      </c>
      <c r="I107" s="41" t="s">
        <v>12</v>
      </c>
      <c r="J107" s="36">
        <f t="shared" si="17"/>
        <v>45597.36708</v>
      </c>
      <c r="K107" s="49" t="s">
        <v>26</v>
      </c>
      <c r="L107" s="49" t="s">
        <v>12</v>
      </c>
      <c r="M107" s="36">
        <f t="shared" si="18"/>
        <v>45597.58115</v>
      </c>
      <c r="N107" s="30" t="str">
        <f t="shared" si="3"/>
        <v>SELESAI</v>
      </c>
      <c r="O107" s="45">
        <f t="shared" si="12"/>
        <v>45597.58115</v>
      </c>
      <c r="P107" s="47" t="b">
        <v>0</v>
      </c>
      <c r="Q107" s="36" t="str">
        <f t="shared" si="5"/>
        <v/>
      </c>
      <c r="R107" s="47" t="b">
        <v>1</v>
      </c>
      <c r="S107" s="36">
        <f t="shared" si="6"/>
        <v>45600.36964</v>
      </c>
      <c r="T107" s="42"/>
    </row>
    <row r="108" ht="22.5" customHeight="1">
      <c r="B108" s="42">
        <f t="shared" si="7"/>
        <v>102</v>
      </c>
      <c r="C108" s="31" t="s">
        <v>299</v>
      </c>
      <c r="D108" s="34" t="str">
        <f t="array" ref="D108">IFNA(_xlfn.XLOOKUP(C108,Table_Tarikan_Warkah[Nomor Sertipikat],Table_Tarikan_Warkah[Nomor Tiket]),"")</f>
        <v>L/38/291024/1</v>
      </c>
      <c r="E108" s="36" t="str">
        <f t="array" ref="E108">IFNA(_xlfn.XLOOKUP(C108,Table_Tarikan_Warkah[Nomor Sertipikat],Table_Tarikan_Warkah[Tanggal diserahkan kepada Validator]),"")</f>
        <v>30/10/2024 11.05</v>
      </c>
      <c r="F108" s="36" t="str">
        <f t="array" ref="F108">IFNA(_xlfn.XLOOKUP(C108,Table_Tarikan_Warkah[Nomor Sertipikat],Table_Tarikan_Warkah[Nama Petugas Warkah]),"")</f>
        <v>Berry</v>
      </c>
      <c r="G108" s="39" t="str">
        <f t="array" ref="G108">IFNA(_xlfn.XLOOKUP(C108,Table_Tarikan_Warkah[Nomor Sertipikat],Table_Tarikan_Warkah[Jenis Permohonan]),"")</f>
        <v>ROYA</v>
      </c>
      <c r="H108" s="41" t="s">
        <v>20</v>
      </c>
      <c r="I108" s="41" t="s">
        <v>12</v>
      </c>
      <c r="J108" s="36">
        <f t="shared" si="17"/>
        <v>45597.36724</v>
      </c>
      <c r="K108" s="49" t="s">
        <v>26</v>
      </c>
      <c r="L108" s="49" t="s">
        <v>12</v>
      </c>
      <c r="M108" s="36">
        <f t="shared" si="18"/>
        <v>45597.58117</v>
      </c>
      <c r="N108" s="30" t="str">
        <f t="shared" si="3"/>
        <v>SELESAI</v>
      </c>
      <c r="O108" s="45">
        <f t="shared" si="12"/>
        <v>45597.58117</v>
      </c>
      <c r="P108" s="47" t="b">
        <v>0</v>
      </c>
      <c r="Q108" s="36" t="str">
        <f t="shared" si="5"/>
        <v/>
      </c>
      <c r="R108" s="47" t="b">
        <v>1</v>
      </c>
      <c r="S108" s="36">
        <f t="shared" si="6"/>
        <v>45600.37061</v>
      </c>
      <c r="T108" s="42"/>
    </row>
    <row r="109" ht="22.5" customHeight="1">
      <c r="B109" s="42">
        <f t="shared" si="7"/>
        <v>103</v>
      </c>
      <c r="C109" s="31" t="s">
        <v>300</v>
      </c>
      <c r="D109" s="34" t="str">
        <f t="array" ref="D109">IFNA(_xlfn.XLOOKUP(C109,Table_Tarikan_Warkah[Nomor Sertipikat],Table_Tarikan_Warkah[Nomor Tiket]),"")</f>
        <v>L/16/291024/1</v>
      </c>
      <c r="E109" s="36" t="str">
        <f t="array" ref="E109">IFNA(_xlfn.XLOOKUP(C109,Table_Tarikan_Warkah[Nomor Sertipikat],Table_Tarikan_Warkah[Tanggal diserahkan kepada Validator]),"")</f>
        <v>30/10/2024 11.00</v>
      </c>
      <c r="F109" s="36" t="str">
        <f t="array" ref="F109">IFNA(_xlfn.XLOOKUP(C109,Table_Tarikan_Warkah[Nomor Sertipikat],Table_Tarikan_Warkah[Nama Petugas Warkah]),"")</f>
        <v>David</v>
      </c>
      <c r="G109" s="39" t="str">
        <f t="array" ref="G109">IFNA(_xlfn.XLOOKUP(C109,Table_Tarikan_Warkah[Nomor Sertipikat],Table_Tarikan_Warkah[Jenis Permohonan]),"")</f>
        <v>ROYA</v>
      </c>
      <c r="H109" s="41" t="s">
        <v>20</v>
      </c>
      <c r="I109" s="41" t="s">
        <v>12</v>
      </c>
      <c r="J109" s="36">
        <f t="shared" si="17"/>
        <v>45597.36753</v>
      </c>
      <c r="K109" s="49" t="s">
        <v>26</v>
      </c>
      <c r="L109" s="49" t="s">
        <v>12</v>
      </c>
      <c r="M109" s="36">
        <f t="shared" si="18"/>
        <v>45597.58123</v>
      </c>
      <c r="N109" s="30" t="str">
        <f t="shared" si="3"/>
        <v>SELESAI</v>
      </c>
      <c r="O109" s="45">
        <f t="shared" si="12"/>
        <v>45597.58123</v>
      </c>
      <c r="P109" s="47" t="b">
        <v>0</v>
      </c>
      <c r="Q109" s="36" t="str">
        <f t="shared" si="5"/>
        <v/>
      </c>
      <c r="R109" s="47" t="b">
        <v>1</v>
      </c>
      <c r="S109" s="36">
        <f t="shared" si="6"/>
        <v>45600.36912</v>
      </c>
      <c r="T109" s="42"/>
    </row>
    <row r="110" ht="22.5" customHeight="1">
      <c r="B110" s="42">
        <f t="shared" si="7"/>
        <v>104</v>
      </c>
      <c r="C110" s="31" t="s">
        <v>301</v>
      </c>
      <c r="D110" s="34" t="str">
        <f t="array" ref="D110">IFNA(_xlfn.XLOOKUP(C110,Table_Tarikan_Warkah[Nomor Sertipikat],Table_Tarikan_Warkah[Nomor Tiket]),"")</f>
        <v>K/38/011124/2</v>
      </c>
      <c r="E110" s="36" t="str">
        <f t="array" ref="E110">IFNA(_xlfn.XLOOKUP(C110,Table_Tarikan_Warkah[Nomor Sertipikat],Table_Tarikan_Warkah[Tanggal diserahkan kepada Validator]),"")</f>
        <v>04/11/2024 15.48</v>
      </c>
      <c r="F110" s="36" t="str">
        <f t="array" ref="F110">IFNA(_xlfn.XLOOKUP(C110,Table_Tarikan_Warkah[Nomor Sertipikat],Table_Tarikan_Warkah[Nama Petugas Warkah]),"")</f>
        <v>David</v>
      </c>
      <c r="G110" s="39" t="str">
        <f t="array" ref="G110">IFNA(_xlfn.XLOOKUP(C110,Table_Tarikan_Warkah[Nomor Sertipikat],Table_Tarikan_Warkah[Jenis Permohonan]),"")</f>
        <v>BN Jual Beli</v>
      </c>
      <c r="H110" s="41" t="s">
        <v>20</v>
      </c>
      <c r="I110" s="41" t="s">
        <v>12</v>
      </c>
      <c r="J110" s="36">
        <f t="shared" si="17"/>
        <v>45600.44658</v>
      </c>
      <c r="K110" s="49" t="s">
        <v>26</v>
      </c>
      <c r="L110" s="49" t="s">
        <v>12</v>
      </c>
      <c r="M110" s="36">
        <f t="shared" si="18"/>
        <v>45601.37457</v>
      </c>
      <c r="N110" s="30" t="str">
        <f t="shared" si="3"/>
        <v>SELESAI</v>
      </c>
      <c r="O110" s="45">
        <f t="shared" si="12"/>
        <v>45601.37457</v>
      </c>
      <c r="P110" s="47" t="b">
        <v>0</v>
      </c>
      <c r="Q110" s="36" t="str">
        <f t="shared" si="5"/>
        <v/>
      </c>
      <c r="R110" s="47" t="b">
        <v>1</v>
      </c>
      <c r="S110" s="36">
        <f t="shared" si="6"/>
        <v>45601.37501</v>
      </c>
      <c r="T110" s="42"/>
    </row>
    <row r="111" ht="22.5" customHeight="1">
      <c r="B111" s="42">
        <f t="shared" si="7"/>
        <v>105</v>
      </c>
      <c r="C111" s="31" t="s">
        <v>302</v>
      </c>
      <c r="D111" s="34" t="str">
        <f t="array" ref="D111">IFNA(_xlfn.XLOOKUP(C111,Table_Tarikan_Warkah[Nomor Sertipikat],Table_Tarikan_Warkah[Nomor Tiket]),"")</f>
        <v>K/23/311024/1</v>
      </c>
      <c r="E111" s="36" t="str">
        <f t="array" ref="E111">IFNA(_xlfn.XLOOKUP(C111,Table_Tarikan_Warkah[Nomor Sertipikat],Table_Tarikan_Warkah[Tanggal diserahkan kepada Validator]),"")</f>
        <v>01/11/2024 15.42</v>
      </c>
      <c r="F111" s="36" t="str">
        <f t="array" ref="F111">IFNA(_xlfn.XLOOKUP(C111,Table_Tarikan_Warkah[Nomor Sertipikat],Table_Tarikan_Warkah[Nama Petugas Warkah]),"")</f>
        <v>Bayu</v>
      </c>
      <c r="G111" s="39" t="str">
        <f t="array" ref="G111">IFNA(_xlfn.XLOOKUP(C111,Table_Tarikan_Warkah[Nomor Sertipikat],Table_Tarikan_Warkah[Jenis Permohonan]),"")</f>
        <v>ROYA</v>
      </c>
      <c r="H111" s="41" t="s">
        <v>20</v>
      </c>
      <c r="I111" s="41" t="s">
        <v>12</v>
      </c>
      <c r="J111" s="36">
        <f t="shared" si="17"/>
        <v>45600.4468</v>
      </c>
      <c r="K111" s="49" t="s">
        <v>26</v>
      </c>
      <c r="L111" s="49" t="s">
        <v>12</v>
      </c>
      <c r="M111" s="36">
        <f t="shared" si="18"/>
        <v>45601.37461</v>
      </c>
      <c r="N111" s="30" t="str">
        <f t="shared" si="3"/>
        <v>SELESAI</v>
      </c>
      <c r="O111" s="45">
        <f t="shared" si="12"/>
        <v>45601.37461</v>
      </c>
      <c r="P111" s="47" t="b">
        <v>0</v>
      </c>
      <c r="Q111" s="36" t="str">
        <f t="shared" si="5"/>
        <v/>
      </c>
      <c r="R111" s="47" t="b">
        <v>1</v>
      </c>
      <c r="S111" s="36">
        <f t="shared" si="6"/>
        <v>45601.37503</v>
      </c>
      <c r="T111" s="42"/>
    </row>
    <row r="112" ht="22.5" customHeight="1">
      <c r="B112" s="42">
        <f t="shared" si="7"/>
        <v>106</v>
      </c>
      <c r="C112" s="31" t="s">
        <v>303</v>
      </c>
      <c r="D112" s="34" t="str">
        <f t="array" ref="D112">IFNA(_xlfn.XLOOKUP(C112,Table_Tarikan_Warkah[Nomor Sertipikat],Table_Tarikan_Warkah[Nomor Tiket]),"")</f>
        <v>K/39/011124/3</v>
      </c>
      <c r="E112" s="36" t="str">
        <f t="array" ref="E112">IFNA(_xlfn.XLOOKUP(C112,Table_Tarikan_Warkah[Nomor Sertipikat],Table_Tarikan_Warkah[Tanggal diserahkan kepada Validator]),"")</f>
        <v/>
      </c>
      <c r="F112" s="36" t="str">
        <f t="array" ref="F112">IFNA(_xlfn.XLOOKUP(C112,Table_Tarikan_Warkah[Nomor Sertipikat],Table_Tarikan_Warkah[Nama Petugas Warkah]),"")</f>
        <v/>
      </c>
      <c r="G112" s="39" t="str">
        <f t="array" ref="G112">IFNA(_xlfn.XLOOKUP(C112,Table_Tarikan_Warkah[Nomor Sertipikat],Table_Tarikan_Warkah[Jenis Permohonan]),"")</f>
        <v>Roya</v>
      </c>
      <c r="H112" s="41" t="s">
        <v>11</v>
      </c>
      <c r="I112" s="41" t="s">
        <v>12</v>
      </c>
      <c r="J112" s="36">
        <f t="shared" si="17"/>
        <v>45600.63816</v>
      </c>
      <c r="K112" s="49" t="s">
        <v>197</v>
      </c>
      <c r="L112" s="49" t="s">
        <v>12</v>
      </c>
      <c r="M112" s="36">
        <f t="shared" si="18"/>
        <v>45602.58426</v>
      </c>
      <c r="N112" s="30" t="str">
        <f t="shared" si="3"/>
        <v>SELESAI</v>
      </c>
      <c r="O112" s="45">
        <f t="shared" si="12"/>
        <v>45602.58426</v>
      </c>
      <c r="P112" s="47" t="b">
        <v>0</v>
      </c>
      <c r="Q112" s="36" t="str">
        <f t="shared" si="5"/>
        <v/>
      </c>
      <c r="R112" s="47" t="b">
        <v>1</v>
      </c>
      <c r="S112" s="36">
        <f t="shared" si="6"/>
        <v>45603.61224</v>
      </c>
      <c r="T112" s="42"/>
    </row>
    <row r="113" ht="22.5" customHeight="1">
      <c r="B113" s="42">
        <f t="shared" si="7"/>
        <v>107</v>
      </c>
      <c r="C113" s="31" t="s">
        <v>304</v>
      </c>
      <c r="D113" s="34" t="str">
        <f t="array" ref="D113">IFNA(_xlfn.XLOOKUP(C113,Table_Tarikan_Warkah[Nomor Sertipikat],Table_Tarikan_Warkah[Nomor Tiket]),"")</f>
        <v>K/26/011124/1</v>
      </c>
      <c r="E113" s="36" t="str">
        <f t="array" ref="E113">IFNA(_xlfn.XLOOKUP(C113,Table_Tarikan_Warkah[Nomor Sertipikat],Table_Tarikan_Warkah[Tanggal diserahkan kepada Validator]),"")</f>
        <v>04/11/2024 11.13</v>
      </c>
      <c r="F113" s="36" t="str">
        <f t="array" ref="F113">IFNA(_xlfn.XLOOKUP(C113,Table_Tarikan_Warkah[Nomor Sertipikat],Table_Tarikan_Warkah[Nama Petugas Warkah]),"")</f>
        <v>David</v>
      </c>
      <c r="G113" s="39" t="str">
        <f t="array" ref="G113">IFNA(_xlfn.XLOOKUP(C113,Table_Tarikan_Warkah[Nomor Sertipikat],Table_Tarikan_Warkah[Jenis Permohonan]),"")</f>
        <v>BN JUAL BELI</v>
      </c>
      <c r="H113" s="41" t="s">
        <v>11</v>
      </c>
      <c r="I113" s="41" t="s">
        <v>12</v>
      </c>
      <c r="J113" s="36">
        <f t="shared" si="17"/>
        <v>45600.6383</v>
      </c>
      <c r="K113" s="49" t="s">
        <v>197</v>
      </c>
      <c r="L113" s="49" t="s">
        <v>12</v>
      </c>
      <c r="M113" s="36">
        <f t="shared" si="18"/>
        <v>45602.58433</v>
      </c>
      <c r="N113" s="30" t="str">
        <f t="shared" si="3"/>
        <v>SELESAI</v>
      </c>
      <c r="O113" s="45">
        <f t="shared" si="12"/>
        <v>45602.58433</v>
      </c>
      <c r="P113" s="47" t="b">
        <v>0</v>
      </c>
      <c r="Q113" s="36" t="str">
        <f t="shared" si="5"/>
        <v/>
      </c>
      <c r="R113" s="47" t="b">
        <v>1</v>
      </c>
      <c r="S113" s="36">
        <f t="shared" si="6"/>
        <v>45603.61224</v>
      </c>
      <c r="T113" s="42"/>
    </row>
    <row r="114" ht="22.5" customHeight="1">
      <c r="B114" s="42">
        <f t="shared" si="7"/>
        <v>108</v>
      </c>
      <c r="C114" s="31" t="s">
        <v>305</v>
      </c>
      <c r="D114" s="34" t="str">
        <f t="array" ref="D114">IFNA(_xlfn.XLOOKUP(C114,Table_Tarikan_Warkah[Nomor Sertipikat],Table_Tarikan_Warkah[Nomor Tiket]),"")</f>
        <v>L/2/11124/1</v>
      </c>
      <c r="E114" s="36" t="str">
        <f t="array" ref="E114">IFNA(_xlfn.XLOOKUP(C114,Table_Tarikan_Warkah[Nomor Sertipikat],Table_Tarikan_Warkah[Tanggal diserahkan kepada Validator]),"")</f>
        <v>04/11/2024 11.08</v>
      </c>
      <c r="F114" s="36" t="str">
        <f t="array" ref="F114">IFNA(_xlfn.XLOOKUP(C114,Table_Tarikan_Warkah[Nomor Sertipikat],Table_Tarikan_Warkah[Nama Petugas Warkah]),"")</f>
        <v>Berry</v>
      </c>
      <c r="G114" s="39" t="str">
        <f t="array" ref="G114">IFNA(_xlfn.XLOOKUP(C114,Table_Tarikan_Warkah[Nomor Sertipikat],Table_Tarikan_Warkah[Jenis Permohonan]),"")</f>
        <v>PERUBAHAN HAK</v>
      </c>
      <c r="H114" s="41" t="s">
        <v>11</v>
      </c>
      <c r="I114" s="41" t="s">
        <v>12</v>
      </c>
      <c r="J114" s="36">
        <f t="shared" si="17"/>
        <v>45600.63874</v>
      </c>
      <c r="K114" s="49" t="s">
        <v>197</v>
      </c>
      <c r="L114" s="49" t="s">
        <v>12</v>
      </c>
      <c r="M114" s="36">
        <f t="shared" si="18"/>
        <v>45602.58464</v>
      </c>
      <c r="N114" s="30" t="str">
        <f t="shared" si="3"/>
        <v>SELESAI</v>
      </c>
      <c r="O114" s="45">
        <f t="shared" si="12"/>
        <v>45602.58464</v>
      </c>
      <c r="P114" s="47" t="b">
        <v>0</v>
      </c>
      <c r="Q114" s="36" t="str">
        <f t="shared" si="5"/>
        <v/>
      </c>
      <c r="R114" s="47" t="b">
        <v>1</v>
      </c>
      <c r="S114" s="36">
        <f t="shared" si="6"/>
        <v>45603.61224</v>
      </c>
      <c r="T114" s="42"/>
    </row>
    <row r="115" ht="22.5" customHeight="1">
      <c r="B115" s="42">
        <f t="shared" si="7"/>
        <v>109</v>
      </c>
      <c r="C115" s="31" t="s">
        <v>306</v>
      </c>
      <c r="D115" s="34" t="str">
        <f t="array" ref="D115">IFNA(_xlfn.XLOOKUP(C115,Table_Tarikan_Warkah[Nomor Sertipikat],Table_Tarikan_Warkah[Nomor Tiket]),"")</f>
        <v>L/18/311024/1</v>
      </c>
      <c r="E115" s="36" t="str">
        <f t="array" ref="E115">IFNA(_xlfn.XLOOKUP(C115,Table_Tarikan_Warkah[Nomor Sertipikat],Table_Tarikan_Warkah[Tanggal diserahkan kepada Validator]),"")</f>
        <v>04/11/2024 09.10</v>
      </c>
      <c r="F115" s="36" t="str">
        <f t="array" ref="F115">IFNA(_xlfn.XLOOKUP(C115,Table_Tarikan_Warkah[Nomor Sertipikat],Table_Tarikan_Warkah[Nama Petugas Warkah]),"")</f>
        <v>Berry</v>
      </c>
      <c r="G115" s="39" t="str">
        <f t="array" ref="G115">IFNA(_xlfn.XLOOKUP(C115,Table_Tarikan_Warkah[Nomor Sertipikat],Table_Tarikan_Warkah[Jenis Permohonan]),"")</f>
        <v>ROYA</v>
      </c>
      <c r="H115" s="41" t="s">
        <v>11</v>
      </c>
      <c r="I115" s="41" t="s">
        <v>12</v>
      </c>
      <c r="J115" s="36">
        <f t="shared" si="17"/>
        <v>45600.63972</v>
      </c>
      <c r="K115" s="49" t="s">
        <v>197</v>
      </c>
      <c r="L115" s="49" t="s">
        <v>12</v>
      </c>
      <c r="M115" s="36">
        <f t="shared" si="18"/>
        <v>45602.58505</v>
      </c>
      <c r="N115" s="30" t="str">
        <f t="shared" si="3"/>
        <v>SELESAI</v>
      </c>
      <c r="O115" s="45">
        <f t="shared" si="12"/>
        <v>45602.58505</v>
      </c>
      <c r="P115" s="47" t="b">
        <v>0</v>
      </c>
      <c r="Q115" s="36" t="str">
        <f t="shared" si="5"/>
        <v/>
      </c>
      <c r="R115" s="47" t="b">
        <v>1</v>
      </c>
      <c r="S115" s="36">
        <f t="shared" si="6"/>
        <v>45603.61224</v>
      </c>
      <c r="T115" s="42"/>
    </row>
    <row r="116" ht="22.5" customHeight="1">
      <c r="B116" s="42">
        <f t="shared" si="7"/>
        <v>110</v>
      </c>
      <c r="C116" s="31" t="s">
        <v>307</v>
      </c>
      <c r="D116" s="34" t="str">
        <f t="array" ref="D116">IFNA(_xlfn.XLOOKUP(C116,Table_Tarikan_Warkah[Nomor Sertipikat],Table_Tarikan_Warkah[Nomor Tiket]),"")</f>
        <v>L/1/311024/1</v>
      </c>
      <c r="E116" s="36" t="str">
        <f t="array" ref="E116">IFNA(_xlfn.XLOOKUP(C116,Table_Tarikan_Warkah[Nomor Sertipikat],Table_Tarikan_Warkah[Tanggal diserahkan kepada Validator]),"")</f>
        <v>04/11/2024 09.08</v>
      </c>
      <c r="F116" s="36" t="str">
        <f t="array" ref="F116">IFNA(_xlfn.XLOOKUP(C116,Table_Tarikan_Warkah[Nomor Sertipikat],Table_Tarikan_Warkah[Nama Petugas Warkah]),"")</f>
        <v>Berry</v>
      </c>
      <c r="G116" s="39" t="str">
        <f t="array" ref="G116">IFNA(_xlfn.XLOOKUP(C116,Table_Tarikan_Warkah[Nomor Sertipikat],Table_Tarikan_Warkah[Jenis Permohonan]),"")</f>
        <v>PERUBAHAN HAK</v>
      </c>
      <c r="H116" s="41" t="s">
        <v>11</v>
      </c>
      <c r="I116" s="41" t="s">
        <v>12</v>
      </c>
      <c r="J116" s="36">
        <f t="shared" si="17"/>
        <v>45600.64</v>
      </c>
      <c r="K116" s="49" t="s">
        <v>197</v>
      </c>
      <c r="L116" s="49" t="s">
        <v>12</v>
      </c>
      <c r="M116" s="36">
        <f t="shared" si="18"/>
        <v>45602.58514</v>
      </c>
      <c r="N116" s="30" t="str">
        <f t="shared" si="3"/>
        <v>SELESAI</v>
      </c>
      <c r="O116" s="45">
        <f t="shared" si="12"/>
        <v>45602.58514</v>
      </c>
      <c r="P116" s="47" t="b">
        <v>0</v>
      </c>
      <c r="Q116" s="36" t="str">
        <f t="shared" si="5"/>
        <v/>
      </c>
      <c r="R116" s="47" t="b">
        <v>1</v>
      </c>
      <c r="S116" s="36">
        <f t="shared" si="6"/>
        <v>45603.61224</v>
      </c>
      <c r="T116" s="42"/>
    </row>
    <row r="117" ht="22.5" customHeight="1">
      <c r="B117" s="42">
        <f t="shared" si="7"/>
        <v>111</v>
      </c>
      <c r="C117" s="31" t="s">
        <v>308</v>
      </c>
      <c r="D117" s="34" t="str">
        <f t="array" ref="D117">IFNA(_xlfn.XLOOKUP(C117,Table_Tarikan_Warkah[Nomor Sertipikat],Table_Tarikan_Warkah[Nomor Tiket]),"")</f>
        <v>L/27/311024/1</v>
      </c>
      <c r="E117" s="36" t="str">
        <f t="array" ref="E117">IFNA(_xlfn.XLOOKUP(C117,Table_Tarikan_Warkah[Nomor Sertipikat],Table_Tarikan_Warkah[Tanggal diserahkan kepada Validator]),"")</f>
        <v>04/11/2024 09.12</v>
      </c>
      <c r="F117" s="36" t="str">
        <f t="array" ref="F117">IFNA(_xlfn.XLOOKUP(C117,Table_Tarikan_Warkah[Nomor Sertipikat],Table_Tarikan_Warkah[Nama Petugas Warkah]),"")</f>
        <v>Berry</v>
      </c>
      <c r="G117" s="39" t="str">
        <f t="array" ref="G117">IFNA(_xlfn.XLOOKUP(C117,Table_Tarikan_Warkah[Nomor Sertipikat],Table_Tarikan_Warkah[Jenis Permohonan]),"")</f>
        <v>ROYA</v>
      </c>
      <c r="H117" s="41" t="s">
        <v>11</v>
      </c>
      <c r="I117" s="41" t="s">
        <v>12</v>
      </c>
      <c r="J117" s="36">
        <f t="shared" si="17"/>
        <v>45600.64034</v>
      </c>
      <c r="K117" s="49" t="s">
        <v>197</v>
      </c>
      <c r="L117" s="49" t="s">
        <v>12</v>
      </c>
      <c r="M117" s="36">
        <f t="shared" si="18"/>
        <v>45602.5853</v>
      </c>
      <c r="N117" s="30" t="str">
        <f t="shared" si="3"/>
        <v>SELESAI</v>
      </c>
      <c r="O117" s="45">
        <f t="shared" si="12"/>
        <v>45602.5853</v>
      </c>
      <c r="P117" s="47" t="b">
        <v>0</v>
      </c>
      <c r="Q117" s="36" t="str">
        <f t="shared" si="5"/>
        <v/>
      </c>
      <c r="R117" s="47" t="b">
        <v>1</v>
      </c>
      <c r="S117" s="36">
        <f t="shared" si="6"/>
        <v>45603.61224</v>
      </c>
      <c r="T117" s="42"/>
    </row>
    <row r="118" ht="22.5" customHeight="1">
      <c r="B118" s="42">
        <f t="shared" si="7"/>
        <v>112</v>
      </c>
      <c r="C118" s="31" t="s">
        <v>309</v>
      </c>
      <c r="D118" s="34" t="str">
        <f t="array" ref="D118">IFNA(_xlfn.XLOOKUP(C118,Table_Tarikan_Warkah[Nomor Sertipikat],Table_Tarikan_Warkah[Nomor Tiket]),"")</f>
        <v>K/36/311024/1</v>
      </c>
      <c r="E118" s="36" t="str">
        <f t="array" ref="E118">IFNA(_xlfn.XLOOKUP(C118,Table_Tarikan_Warkah[Nomor Sertipikat],Table_Tarikan_Warkah[Tanggal diserahkan kepada Validator]),"")</f>
        <v>04/11/2024 09.17</v>
      </c>
      <c r="F118" s="36" t="str">
        <f t="array" ref="F118">IFNA(_xlfn.XLOOKUP(C118,Table_Tarikan_Warkah[Nomor Sertipikat],Table_Tarikan_Warkah[Nama Petugas Warkah]),"")</f>
        <v>David</v>
      </c>
      <c r="G118" s="39" t="str">
        <f t="array" ref="G118">IFNA(_xlfn.XLOOKUP(C118,Table_Tarikan_Warkah[Nomor Sertipikat],Table_Tarikan_Warkah[Jenis Permohonan]),"")</f>
        <v>PENINGKATAN</v>
      </c>
      <c r="H118" s="41" t="s">
        <v>11</v>
      </c>
      <c r="I118" s="41" t="s">
        <v>12</v>
      </c>
      <c r="J118" s="36">
        <f t="shared" si="17"/>
        <v>45600.64071</v>
      </c>
      <c r="K118" s="49" t="s">
        <v>197</v>
      </c>
      <c r="L118" s="49" t="s">
        <v>12</v>
      </c>
      <c r="M118" s="36">
        <f t="shared" si="18"/>
        <v>45602.58548</v>
      </c>
      <c r="N118" s="30" t="str">
        <f t="shared" si="3"/>
        <v>SELESAI</v>
      </c>
      <c r="O118" s="45">
        <f t="shared" si="12"/>
        <v>45602.58548</v>
      </c>
      <c r="P118" s="47" t="b">
        <v>0</v>
      </c>
      <c r="Q118" s="36" t="str">
        <f t="shared" si="5"/>
        <v/>
      </c>
      <c r="R118" s="47" t="b">
        <v>1</v>
      </c>
      <c r="S118" s="36">
        <f t="shared" si="6"/>
        <v>45603.61224</v>
      </c>
      <c r="T118" s="42"/>
    </row>
    <row r="119" ht="22.5" customHeight="1">
      <c r="B119" s="42">
        <f t="shared" si="7"/>
        <v>113</v>
      </c>
      <c r="C119" s="31" t="s">
        <v>310</v>
      </c>
      <c r="D119" s="34" t="str">
        <f t="array" ref="D119">IFNA(_xlfn.XLOOKUP(C119,Table_Tarikan_Warkah[Nomor Sertipikat],Table_Tarikan_Warkah[Nomor Tiket]),"")</f>
        <v>K/39/311024/1</v>
      </c>
      <c r="E119" s="36" t="str">
        <f t="array" ref="E119">IFNA(_xlfn.XLOOKUP(C119,Table_Tarikan_Warkah[Nomor Sertipikat],Table_Tarikan_Warkah[Tanggal diserahkan kepada Validator]),"")</f>
        <v>04/11/2024 09.20</v>
      </c>
      <c r="F119" s="36" t="str">
        <f t="array" ref="F119">IFNA(_xlfn.XLOOKUP(C119,Table_Tarikan_Warkah[Nomor Sertipikat],Table_Tarikan_Warkah[Nama Petugas Warkah]),"")</f>
        <v>David</v>
      </c>
      <c r="G119" s="39" t="str">
        <f t="array" ref="G119">IFNA(_xlfn.XLOOKUP(C119,Table_Tarikan_Warkah[Nomor Sertipikat],Table_Tarikan_Warkah[Jenis Permohonan]),"")</f>
        <v>BN JUAL BELI</v>
      </c>
      <c r="H119" s="41" t="s">
        <v>11</v>
      </c>
      <c r="I119" s="41" t="s">
        <v>12</v>
      </c>
      <c r="J119" s="36">
        <f t="shared" si="17"/>
        <v>45600.64088</v>
      </c>
      <c r="K119" s="49" t="s">
        <v>197</v>
      </c>
      <c r="L119" s="49" t="s">
        <v>12</v>
      </c>
      <c r="M119" s="36">
        <f t="shared" si="18"/>
        <v>45602.58555</v>
      </c>
      <c r="N119" s="30" t="str">
        <f t="shared" si="3"/>
        <v>SELESAI</v>
      </c>
      <c r="O119" s="45">
        <f t="shared" si="12"/>
        <v>45602.58555</v>
      </c>
      <c r="P119" s="47" t="b">
        <v>0</v>
      </c>
      <c r="Q119" s="36" t="str">
        <f t="shared" si="5"/>
        <v/>
      </c>
      <c r="R119" s="47" t="b">
        <v>1</v>
      </c>
      <c r="S119" s="36">
        <f t="shared" si="6"/>
        <v>45603.61224</v>
      </c>
      <c r="T119" s="42"/>
    </row>
    <row r="120" ht="22.5" customHeight="1">
      <c r="B120" s="42">
        <f t="shared" si="7"/>
        <v>114</v>
      </c>
      <c r="C120" s="31" t="s">
        <v>311</v>
      </c>
      <c r="D120" s="34" t="str">
        <f t="array" ref="D120">IFNA(_xlfn.XLOOKUP(C120,Table_Tarikan_Warkah[Nomor Sertipikat],Table_Tarikan_Warkah[Nomor Tiket]),"")</f>
        <v>K/40/311024/2</v>
      </c>
      <c r="E120" s="36" t="str">
        <f t="array" ref="E120">IFNA(_xlfn.XLOOKUP(C120,Table_Tarikan_Warkah[Nomor Sertipikat],Table_Tarikan_Warkah[Tanggal diserahkan kepada Validator]),"")</f>
        <v>04/11/2024 09.22</v>
      </c>
      <c r="F120" s="36" t="str">
        <f t="array" ref="F120">IFNA(_xlfn.XLOOKUP(C120,Table_Tarikan_Warkah[Nomor Sertipikat],Table_Tarikan_Warkah[Nama Petugas Warkah]),"")</f>
        <v>David</v>
      </c>
      <c r="G120" s="39" t="str">
        <f t="array" ref="G120">IFNA(_xlfn.XLOOKUP(C120,Table_Tarikan_Warkah[Nomor Sertipikat],Table_Tarikan_Warkah[Jenis Permohonan]),"")</f>
        <v>BN JUAL BELI</v>
      </c>
      <c r="H120" s="41" t="s">
        <v>11</v>
      </c>
      <c r="I120" s="41" t="s">
        <v>12</v>
      </c>
      <c r="J120" s="36">
        <f t="shared" si="17"/>
        <v>45600.64109</v>
      </c>
      <c r="K120" s="49" t="s">
        <v>197</v>
      </c>
      <c r="L120" s="49" t="s">
        <v>12</v>
      </c>
      <c r="M120" s="36">
        <f t="shared" si="18"/>
        <v>45602.58559</v>
      </c>
      <c r="N120" s="30" t="str">
        <f t="shared" si="3"/>
        <v>SELESAI</v>
      </c>
      <c r="O120" s="45">
        <f t="shared" si="12"/>
        <v>45602.58559</v>
      </c>
      <c r="P120" s="47" t="b">
        <v>0</v>
      </c>
      <c r="Q120" s="36" t="str">
        <f t="shared" si="5"/>
        <v/>
      </c>
      <c r="R120" s="47" t="b">
        <v>1</v>
      </c>
      <c r="S120" s="36">
        <f t="shared" si="6"/>
        <v>45603.61224</v>
      </c>
      <c r="T120" s="42"/>
    </row>
    <row r="121" ht="22.5" customHeight="1">
      <c r="B121" s="42">
        <f t="shared" si="7"/>
        <v>115</v>
      </c>
      <c r="C121" s="31" t="s">
        <v>312</v>
      </c>
      <c r="D121" s="34" t="str">
        <f t="array" ref="D121">IFNA(_xlfn.XLOOKUP(C121,Table_Tarikan_Warkah[Nomor Sertipikat],Table_Tarikan_Warkah[Nomor Tiket]),"")</f>
        <v>K/42/311024/1</v>
      </c>
      <c r="E121" s="36" t="str">
        <f t="array" ref="E121">IFNA(_xlfn.XLOOKUP(C121,Table_Tarikan_Warkah[Nomor Sertipikat],Table_Tarikan_Warkah[Tanggal diserahkan kepada Validator]),"")</f>
        <v>04/11/2024 09.23</v>
      </c>
      <c r="F121" s="36" t="str">
        <f t="array" ref="F121">IFNA(_xlfn.XLOOKUP(C121,Table_Tarikan_Warkah[Nomor Sertipikat],Table_Tarikan_Warkah[Nama Petugas Warkah]),"")</f>
        <v>David</v>
      </c>
      <c r="G121" s="39" t="str">
        <f t="array" ref="G121">IFNA(_xlfn.XLOOKUP(C121,Table_Tarikan_Warkah[Nomor Sertipikat],Table_Tarikan_Warkah[Jenis Permohonan]),"")</f>
        <v>ROYA</v>
      </c>
      <c r="H121" s="41" t="s">
        <v>11</v>
      </c>
      <c r="I121" s="41" t="s">
        <v>12</v>
      </c>
      <c r="J121" s="36">
        <f t="shared" si="17"/>
        <v>45600.64122</v>
      </c>
      <c r="K121" s="49" t="s">
        <v>197</v>
      </c>
      <c r="L121" s="49" t="s">
        <v>12</v>
      </c>
      <c r="M121" s="36">
        <f t="shared" si="18"/>
        <v>45602.58563</v>
      </c>
      <c r="N121" s="30" t="str">
        <f t="shared" si="3"/>
        <v>SELESAI</v>
      </c>
      <c r="O121" s="45">
        <f t="shared" si="12"/>
        <v>45602.58563</v>
      </c>
      <c r="P121" s="47" t="b">
        <v>0</v>
      </c>
      <c r="Q121" s="36" t="str">
        <f t="shared" si="5"/>
        <v/>
      </c>
      <c r="R121" s="47" t="b">
        <v>1</v>
      </c>
      <c r="S121" s="36">
        <f t="shared" si="6"/>
        <v>45603.61224</v>
      </c>
      <c r="T121" s="42"/>
    </row>
    <row r="122" ht="22.5" customHeight="1">
      <c r="B122" s="42">
        <f t="shared" si="7"/>
        <v>116</v>
      </c>
      <c r="C122" s="31" t="s">
        <v>313</v>
      </c>
      <c r="D122" s="34" t="str">
        <f t="array" ref="D122">IFNA(_xlfn.XLOOKUP(C122,Table_Tarikan_Warkah[Nomor Sertipikat],Table_Tarikan_Warkah[Nomor Tiket]),"")</f>
        <v>K/22/311024/1</v>
      </c>
      <c r="E122" s="36" t="str">
        <f t="array" ref="E122">IFNA(_xlfn.XLOOKUP(C122,Table_Tarikan_Warkah[Nomor Sertipikat],Table_Tarikan_Warkah[Tanggal diserahkan kepada Validator]),"")</f>
        <v>04/11/2024 09.11</v>
      </c>
      <c r="F122" s="36" t="str">
        <f t="array" ref="F122">IFNA(_xlfn.XLOOKUP(C122,Table_Tarikan_Warkah[Nomor Sertipikat],Table_Tarikan_Warkah[Nama Petugas Warkah]),"")</f>
        <v>Berry</v>
      </c>
      <c r="G122" s="39" t="str">
        <f t="array" ref="G122">IFNA(_xlfn.XLOOKUP(C122,Table_Tarikan_Warkah[Nomor Sertipikat],Table_Tarikan_Warkah[Jenis Permohonan]),"")</f>
        <v>PENINGKATAN</v>
      </c>
      <c r="H122" s="41" t="s">
        <v>11</v>
      </c>
      <c r="I122" s="41" t="s">
        <v>12</v>
      </c>
      <c r="J122" s="36">
        <f t="shared" si="17"/>
        <v>45600.64146</v>
      </c>
      <c r="K122" s="49" t="s">
        <v>197</v>
      </c>
      <c r="L122" s="49" t="s">
        <v>12</v>
      </c>
      <c r="M122" s="36">
        <f t="shared" si="18"/>
        <v>45602.58581</v>
      </c>
      <c r="N122" s="30" t="str">
        <f t="shared" si="3"/>
        <v>SELESAI</v>
      </c>
      <c r="O122" s="45">
        <f t="shared" si="12"/>
        <v>45602.58581</v>
      </c>
      <c r="P122" s="47" t="b">
        <v>0</v>
      </c>
      <c r="Q122" s="36" t="str">
        <f t="shared" si="5"/>
        <v/>
      </c>
      <c r="R122" s="47" t="b">
        <v>1</v>
      </c>
      <c r="S122" s="36">
        <f t="shared" si="6"/>
        <v>45603.61224</v>
      </c>
      <c r="T122" s="42"/>
    </row>
    <row r="123" ht="22.5" customHeight="1">
      <c r="B123" s="42">
        <f t="shared" si="7"/>
        <v>117</v>
      </c>
      <c r="C123" s="31" t="s">
        <v>314</v>
      </c>
      <c r="D123" s="34" t="str">
        <f t="array" ref="D123">IFNA(_xlfn.XLOOKUP(C123,Table_Tarikan_Warkah[Nomor Sertipikat],Table_Tarikan_Warkah[Nomor Tiket]),"")</f>
        <v>K/66/311024/1</v>
      </c>
      <c r="E123" s="36" t="str">
        <f t="array" ref="E123">IFNA(_xlfn.XLOOKUP(C123,Table_Tarikan_Warkah[Nomor Sertipikat],Table_Tarikan_Warkah[Tanggal diserahkan kepada Validator]),"")</f>
        <v/>
      </c>
      <c r="F123" s="36" t="str">
        <f t="array" ref="F123">IFNA(_xlfn.XLOOKUP(C123,Table_Tarikan_Warkah[Nomor Sertipikat],Table_Tarikan_Warkah[Nama Petugas Warkah]),"")</f>
        <v>David</v>
      </c>
      <c r="G123" s="39" t="str">
        <f t="array" ref="G123">IFNA(_xlfn.XLOOKUP(C123,Table_Tarikan_Warkah[Nomor Sertipikat],Table_Tarikan_Warkah[Jenis Permohonan]),"")</f>
        <v>BN LELANG</v>
      </c>
      <c r="H123" s="41" t="s">
        <v>11</v>
      </c>
      <c r="I123" s="41" t="s">
        <v>12</v>
      </c>
      <c r="J123" s="36">
        <f t="shared" si="17"/>
        <v>45600.64161</v>
      </c>
      <c r="K123" s="49" t="s">
        <v>197</v>
      </c>
      <c r="L123" s="49" t="s">
        <v>23</v>
      </c>
      <c r="M123" s="36">
        <f t="shared" si="18"/>
        <v>45601.37984</v>
      </c>
      <c r="N123" s="30" t="str">
        <f t="shared" si="3"/>
        <v>Selesai</v>
      </c>
      <c r="O123" s="45">
        <f t="shared" si="12"/>
        <v>45601.37984</v>
      </c>
      <c r="P123" s="47" t="b">
        <v>1</v>
      </c>
      <c r="Q123" s="36">
        <f t="shared" si="5"/>
        <v>45601.3799</v>
      </c>
      <c r="R123" s="47" t="b">
        <v>0</v>
      </c>
      <c r="S123" s="42" t="str">
        <f t="shared" si="6"/>
        <v/>
      </c>
      <c r="T123" s="42"/>
    </row>
    <row r="124" ht="22.5" customHeight="1">
      <c r="B124" s="42">
        <f t="shared" si="7"/>
        <v>118</v>
      </c>
      <c r="C124" s="31" t="s">
        <v>315</v>
      </c>
      <c r="D124" s="34" t="str">
        <f t="array" ref="D124">IFNA(_xlfn.XLOOKUP(C124,Table_Tarikan_Warkah[Nomor Sertipikat],Table_Tarikan_Warkah[Nomor Tiket]),"")</f>
        <v>K/23/241024/1</v>
      </c>
      <c r="E124" s="36" t="str">
        <f t="array" ref="E124">IFNA(_xlfn.XLOOKUP(C124,Table_Tarikan_Warkah[Nomor Sertipikat],Table_Tarikan_Warkah[Tanggal diserahkan kepada Validator]),"")</f>
        <v/>
      </c>
      <c r="F124" s="36" t="str">
        <f t="array" ref="F124">IFNA(_xlfn.XLOOKUP(C124,Table_Tarikan_Warkah[Nomor Sertipikat],Table_Tarikan_Warkah[Nama Petugas Warkah]),"")</f>
        <v/>
      </c>
      <c r="G124" s="39" t="str">
        <f t="array" ref="G124">IFNA(_xlfn.XLOOKUP(C124,Table_Tarikan_Warkah[Nomor Sertipikat],Table_Tarikan_Warkah[Jenis Permohonan]),"")</f>
        <v>BN Jual Beli</v>
      </c>
      <c r="H124" s="41" t="s">
        <v>20</v>
      </c>
      <c r="I124" s="41" t="s">
        <v>12</v>
      </c>
      <c r="J124" s="36">
        <f t="shared" si="17"/>
        <v>45600.64779</v>
      </c>
      <c r="K124" s="49" t="s">
        <v>197</v>
      </c>
      <c r="L124" s="49" t="s">
        <v>23</v>
      </c>
      <c r="M124" s="36">
        <f t="shared" si="18"/>
        <v>45602.58593</v>
      </c>
      <c r="N124" s="30" t="str">
        <f t="shared" si="3"/>
        <v>Selesai</v>
      </c>
      <c r="O124" s="45">
        <f t="shared" si="12"/>
        <v>45602.58593</v>
      </c>
      <c r="P124" s="47" t="b">
        <v>1</v>
      </c>
      <c r="Q124" s="36">
        <f t="shared" si="5"/>
        <v>45603.61224</v>
      </c>
      <c r="R124" s="47" t="b">
        <v>0</v>
      </c>
      <c r="S124" s="42" t="str">
        <f t="shared" si="6"/>
        <v/>
      </c>
      <c r="T124" s="42"/>
    </row>
    <row r="125" ht="22.5" customHeight="1">
      <c r="B125" s="42">
        <f t="shared" si="7"/>
        <v>119</v>
      </c>
      <c r="C125" s="31" t="s">
        <v>316</v>
      </c>
      <c r="D125" s="34" t="str">
        <f t="array" ref="D125">IFNA(_xlfn.XLOOKUP(C125,Table_Tarikan_Warkah[Nomor Sertipikat],Table_Tarikan_Warkah[Nomor Tiket]),"")</f>
        <v>K/30/161024/1</v>
      </c>
      <c r="E125" s="36" t="str">
        <f t="array" ref="E125">IFNA(_xlfn.XLOOKUP(C125,Table_Tarikan_Warkah[Nomor Sertipikat],Table_Tarikan_Warkah[Tanggal diserahkan kepada Validator]),"")</f>
        <v>12/11/2024 13.59</v>
      </c>
      <c r="F125" s="36" t="str">
        <f t="array" ref="F125">IFNA(_xlfn.XLOOKUP(C125,Table_Tarikan_Warkah[Nomor Sertipikat],Table_Tarikan_Warkah[Nama Petugas Warkah]),"")</f>
        <v>Sahelia</v>
      </c>
      <c r="G125" s="39" t="str">
        <f t="array" ref="G125">IFNA(_xlfn.XLOOKUP(C125,Table_Tarikan_Warkah[Nomor Sertipikat],Table_Tarikan_Warkah[Jenis Permohonan]),"")</f>
        <v>BN Jual Beli</v>
      </c>
      <c r="H125" s="41" t="s">
        <v>20</v>
      </c>
      <c r="I125" s="41" t="s">
        <v>12</v>
      </c>
      <c r="J125" s="36">
        <f t="shared" si="17"/>
        <v>45601.37782</v>
      </c>
      <c r="K125" s="49" t="s">
        <v>197</v>
      </c>
      <c r="L125" s="49" t="s">
        <v>23</v>
      </c>
      <c r="M125" s="36">
        <f t="shared" si="18"/>
        <v>45602.58629</v>
      </c>
      <c r="N125" s="30" t="str">
        <f t="shared" si="3"/>
        <v>Selesai</v>
      </c>
      <c r="O125" s="45">
        <f t="shared" si="12"/>
        <v>45602.58629</v>
      </c>
      <c r="P125" s="47" t="b">
        <v>1</v>
      </c>
      <c r="Q125" s="36">
        <f t="shared" si="5"/>
        <v>45603.61224</v>
      </c>
      <c r="R125" s="47" t="b">
        <v>0</v>
      </c>
      <c r="S125" s="42" t="str">
        <f t="shared" si="6"/>
        <v/>
      </c>
      <c r="T125" s="42"/>
    </row>
    <row r="126" ht="22.5" customHeight="1">
      <c r="B126" s="42">
        <f t="shared" si="7"/>
        <v>120</v>
      </c>
      <c r="C126" s="31" t="s">
        <v>317</v>
      </c>
      <c r="D126" s="34" t="str">
        <f t="array" ref="D126">IFNA(_xlfn.XLOOKUP(C126,Table_Tarikan_Warkah[Nomor Sertipikat],Table_Tarikan_Warkah[Nomor Tiket]),"")</f>
        <v>K/15/011124/2</v>
      </c>
      <c r="E126" s="36" t="str">
        <f t="array" ref="E126">IFNA(_xlfn.XLOOKUP(C126,Table_Tarikan_Warkah[Nomor Sertipikat],Table_Tarikan_Warkah[Tanggal diserahkan kepada Validator]),"")</f>
        <v>04/11/2024 11.11</v>
      </c>
      <c r="F126" s="36" t="str">
        <f t="array" ref="F126">IFNA(_xlfn.XLOOKUP(C126,Table_Tarikan_Warkah[Nomor Sertipikat],Table_Tarikan_Warkah[Nama Petugas Warkah]),"")</f>
        <v>Berry</v>
      </c>
      <c r="G126" s="39" t="str">
        <f t="array" ref="G126">IFNA(_xlfn.XLOOKUP(C126,Table_Tarikan_Warkah[Nomor Sertipikat],Table_Tarikan_Warkah[Jenis Permohonan]),"")</f>
        <v>BN Jual Beli</v>
      </c>
      <c r="H126" s="41" t="s">
        <v>20</v>
      </c>
      <c r="I126" s="41" t="s">
        <v>12</v>
      </c>
      <c r="J126" s="36">
        <f t="shared" si="17"/>
        <v>45601.44204</v>
      </c>
      <c r="K126" s="49" t="s">
        <v>197</v>
      </c>
      <c r="L126" s="49" t="s">
        <v>12</v>
      </c>
      <c r="M126" s="36">
        <f t="shared" si="18"/>
        <v>45602.58642</v>
      </c>
      <c r="N126" s="30" t="str">
        <f t="shared" si="3"/>
        <v>SELESAI</v>
      </c>
      <c r="O126" s="45">
        <f t="shared" si="12"/>
        <v>45602.58642</v>
      </c>
      <c r="P126" s="47" t="b">
        <v>0</v>
      </c>
      <c r="Q126" s="36" t="str">
        <f t="shared" si="5"/>
        <v/>
      </c>
      <c r="R126" s="47" t="b">
        <v>1</v>
      </c>
      <c r="S126" s="36">
        <f t="shared" si="6"/>
        <v>45603.61224</v>
      </c>
      <c r="T126" s="42"/>
    </row>
    <row r="127" ht="22.5" customHeight="1">
      <c r="B127" s="42">
        <f t="shared" si="7"/>
        <v>121</v>
      </c>
      <c r="C127" s="31" t="s">
        <v>318</v>
      </c>
      <c r="D127" s="34" t="str">
        <f t="array" ref="D127">IFNA(_xlfn.XLOOKUP(C127,Table_Tarikan_Warkah[Nomor Sertipikat],Table_Tarikan_Warkah[Nomor Tiket]),"")</f>
        <v>L/18/011124/1</v>
      </c>
      <c r="E127" s="36" t="str">
        <f t="array" ref="E127">IFNA(_xlfn.XLOOKUP(C127,Table_Tarikan_Warkah[Nomor Sertipikat],Table_Tarikan_Warkah[Tanggal diserahkan kepada Validator]),"")</f>
        <v>04/11/2024 11.11</v>
      </c>
      <c r="F127" s="36" t="str">
        <f t="array" ref="F127">IFNA(_xlfn.XLOOKUP(C127,Table_Tarikan_Warkah[Nomor Sertipikat],Table_Tarikan_Warkah[Nama Petugas Warkah]),"")</f>
        <v>Berry</v>
      </c>
      <c r="G127" s="39" t="str">
        <f t="array" ref="G127">IFNA(_xlfn.XLOOKUP(C127,Table_Tarikan_Warkah[Nomor Sertipikat],Table_Tarikan_Warkah[Jenis Permohonan]),"")</f>
        <v>ROYA</v>
      </c>
      <c r="H127" s="41" t="s">
        <v>20</v>
      </c>
      <c r="I127" s="41" t="s">
        <v>12</v>
      </c>
      <c r="J127" s="36">
        <f t="shared" si="17"/>
        <v>45601.4423</v>
      </c>
      <c r="K127" s="49" t="s">
        <v>197</v>
      </c>
      <c r="L127" s="49" t="s">
        <v>12</v>
      </c>
      <c r="M127" s="36">
        <f t="shared" si="18"/>
        <v>45602.58671</v>
      </c>
      <c r="N127" s="30" t="str">
        <f t="shared" si="3"/>
        <v>SELESAI</v>
      </c>
      <c r="O127" s="45">
        <f t="shared" si="12"/>
        <v>45602.58671</v>
      </c>
      <c r="P127" s="47" t="b">
        <v>0</v>
      </c>
      <c r="Q127" s="36" t="str">
        <f t="shared" si="5"/>
        <v/>
      </c>
      <c r="R127" s="47" t="b">
        <v>1</v>
      </c>
      <c r="S127" s="36">
        <f t="shared" si="6"/>
        <v>45603.61224</v>
      </c>
      <c r="T127" s="42"/>
    </row>
    <row r="128" ht="22.5" customHeight="1">
      <c r="B128" s="42">
        <f t="shared" si="7"/>
        <v>122</v>
      </c>
      <c r="C128" s="31" t="s">
        <v>319</v>
      </c>
      <c r="D128" s="34" t="str">
        <f t="array" ref="D128">IFNA(_xlfn.XLOOKUP(C128,Table_Tarikan_Warkah[Nomor Sertipikat],Table_Tarikan_Warkah[Nomor Tiket]),"")</f>
        <v>L/13/301024/1</v>
      </c>
      <c r="E128" s="36" t="str">
        <f t="array" ref="E128">IFNA(_xlfn.XLOOKUP(C128,Table_Tarikan_Warkah[Nomor Sertipikat],Table_Tarikan_Warkah[Tanggal diserahkan kepada Validator]),"")</f>
        <v>04/11/2024 11.12</v>
      </c>
      <c r="F128" s="36" t="str">
        <f t="array" ref="F128">IFNA(_xlfn.XLOOKUP(C128,Table_Tarikan_Warkah[Nomor Sertipikat],Table_Tarikan_Warkah[Nama Petugas Warkah]),"")</f>
        <v>Berry</v>
      </c>
      <c r="G128" s="39" t="str">
        <f t="array" ref="G128">IFNA(_xlfn.XLOOKUP(C128,Table_Tarikan_Warkah[Nomor Sertipikat],Table_Tarikan_Warkah[Jenis Permohonan]),"")</f>
        <v>ROYA</v>
      </c>
      <c r="H128" s="41" t="s">
        <v>20</v>
      </c>
      <c r="I128" s="41" t="s">
        <v>12</v>
      </c>
      <c r="J128" s="36">
        <f t="shared" si="17"/>
        <v>45601.44242</v>
      </c>
      <c r="K128" s="41" t="s">
        <v>197</v>
      </c>
      <c r="L128" s="41" t="s">
        <v>12</v>
      </c>
      <c r="M128" s="36">
        <f t="shared" si="18"/>
        <v>45602.58671</v>
      </c>
      <c r="N128" s="30" t="str">
        <f t="shared" si="3"/>
        <v>SELESAI</v>
      </c>
      <c r="O128" s="45">
        <f t="shared" si="12"/>
        <v>45602.58671</v>
      </c>
      <c r="P128" s="47" t="b">
        <v>0</v>
      </c>
      <c r="Q128" s="36" t="str">
        <f t="shared" si="5"/>
        <v/>
      </c>
      <c r="R128" s="47" t="b">
        <v>1</v>
      </c>
      <c r="S128" s="36">
        <f t="shared" si="6"/>
        <v>45603.61224</v>
      </c>
      <c r="T128" s="42"/>
    </row>
    <row r="129" ht="22.5" customHeight="1">
      <c r="B129" s="42">
        <f t="shared" si="7"/>
        <v>123</v>
      </c>
      <c r="C129" s="31" t="s">
        <v>320</v>
      </c>
      <c r="D129" s="34" t="s">
        <v>321</v>
      </c>
      <c r="E129" s="48">
        <v>45600.46784814815</v>
      </c>
      <c r="F129" s="42" t="s">
        <v>322</v>
      </c>
      <c r="G129" s="42" t="s">
        <v>269</v>
      </c>
      <c r="H129" s="41" t="s">
        <v>20</v>
      </c>
      <c r="I129" s="41" t="s">
        <v>12</v>
      </c>
      <c r="J129" s="36">
        <f t="shared" si="17"/>
        <v>45601.44259</v>
      </c>
      <c r="K129" s="49" t="s">
        <v>197</v>
      </c>
      <c r="L129" s="49" t="s">
        <v>12</v>
      </c>
      <c r="M129" s="36">
        <f t="shared" si="18"/>
        <v>45602.58682</v>
      </c>
      <c r="N129" s="30" t="str">
        <f t="shared" si="3"/>
        <v>SELESAI</v>
      </c>
      <c r="O129" s="45">
        <f t="shared" si="12"/>
        <v>45602.58682</v>
      </c>
      <c r="P129" s="47" t="b">
        <v>0</v>
      </c>
      <c r="Q129" s="36" t="str">
        <f t="shared" si="5"/>
        <v/>
      </c>
      <c r="R129" s="47" t="b">
        <v>1</v>
      </c>
      <c r="S129" s="36">
        <f t="shared" si="6"/>
        <v>45603.61224</v>
      </c>
      <c r="T129" s="42"/>
    </row>
    <row r="130" ht="22.5" customHeight="1">
      <c r="B130" s="42">
        <f t="shared" si="7"/>
        <v>124</v>
      </c>
      <c r="C130" s="31" t="s">
        <v>323</v>
      </c>
      <c r="D130" s="34" t="str">
        <f t="array" ref="D130">IFNA(_xlfn.XLOOKUP(C130,Table_Tarikan_Warkah[Nomor Sertipikat],Table_Tarikan_Warkah[Nomor Tiket]),"")</f>
        <v>K/32/011124/1</v>
      </c>
      <c r="E130" s="36" t="str">
        <f t="array" ref="E130">IFNA(_xlfn.XLOOKUP(C130,Table_Tarikan_Warkah[Nomor Sertipikat],Table_Tarikan_Warkah[Tanggal diserahkan kepada Validator]),"")</f>
        <v>04/11/2024 11.14</v>
      </c>
      <c r="F130" s="36" t="str">
        <f t="array" ref="F130">IFNA(_xlfn.XLOOKUP(C130,Table_Tarikan_Warkah[Nomor Sertipikat],Table_Tarikan_Warkah[Nama Petugas Warkah]),"")</f>
        <v>David</v>
      </c>
      <c r="G130" s="39" t="str">
        <f t="array" ref="G130">IFNA(_xlfn.XLOOKUP(C130,Table_Tarikan_Warkah[Nomor Sertipikat],Table_Tarikan_Warkah[Jenis Permohonan]),"")</f>
        <v>BN JUAL BELI</v>
      </c>
      <c r="H130" s="41" t="s">
        <v>20</v>
      </c>
      <c r="I130" s="41" t="s">
        <v>12</v>
      </c>
      <c r="J130" s="36">
        <f t="shared" si="17"/>
        <v>45601.44282</v>
      </c>
      <c r="K130" s="49" t="s">
        <v>197</v>
      </c>
      <c r="L130" s="49" t="s">
        <v>12</v>
      </c>
      <c r="M130" s="36">
        <f t="shared" si="18"/>
        <v>45602.58682</v>
      </c>
      <c r="N130" s="30" t="str">
        <f t="shared" si="3"/>
        <v>SELESAI</v>
      </c>
      <c r="O130" s="45">
        <f t="shared" si="12"/>
        <v>45602.58682</v>
      </c>
      <c r="P130" s="47" t="b">
        <v>0</v>
      </c>
      <c r="Q130" s="36" t="str">
        <f t="shared" si="5"/>
        <v/>
      </c>
      <c r="R130" s="47" t="b">
        <v>1</v>
      </c>
      <c r="S130" s="36">
        <f t="shared" si="6"/>
        <v>45603.61224</v>
      </c>
      <c r="T130" s="42"/>
    </row>
    <row r="131" ht="22.5" customHeight="1">
      <c r="B131" s="42">
        <f t="shared" si="7"/>
        <v>125</v>
      </c>
      <c r="C131" s="31" t="s">
        <v>324</v>
      </c>
      <c r="D131" s="34" t="str">
        <f t="array" ref="D131">IFNA(_xlfn.XLOOKUP(C131,Table_Tarikan_Warkah[Nomor Sertipikat],Table_Tarikan_Warkah[Nomor Tiket]),"")</f>
        <v>K/10/311024/4</v>
      </c>
      <c r="E131" s="36" t="str">
        <f t="array" ref="E131">IFNA(_xlfn.XLOOKUP(C131,Table_Tarikan_Warkah[Nomor Sertipikat],Table_Tarikan_Warkah[Tanggal diserahkan kepada Validator]),"")</f>
        <v/>
      </c>
      <c r="F131" s="36" t="str">
        <f t="array" ref="F131">IFNA(_xlfn.XLOOKUP(C131,Table_Tarikan_Warkah[Nomor Sertipikat],Table_Tarikan_Warkah[Nama Petugas Warkah]),"")</f>
        <v/>
      </c>
      <c r="G131" s="39" t="str">
        <f t="array" ref="G131">IFNA(_xlfn.XLOOKUP(C131,Table_Tarikan_Warkah[Nomor Sertipikat],Table_Tarikan_Warkah[Jenis Permohonan]),"")</f>
        <v>KEWARISAN</v>
      </c>
      <c r="H131" s="41" t="s">
        <v>20</v>
      </c>
      <c r="I131" s="41" t="s">
        <v>12</v>
      </c>
      <c r="J131" s="36">
        <f t="shared" si="17"/>
        <v>45601.44331</v>
      </c>
      <c r="K131" s="49" t="s">
        <v>197</v>
      </c>
      <c r="L131" s="49" t="s">
        <v>12</v>
      </c>
      <c r="M131" s="36">
        <f t="shared" si="18"/>
        <v>45602.58686</v>
      </c>
      <c r="N131" s="30" t="str">
        <f t="shared" si="3"/>
        <v>SELESAI</v>
      </c>
      <c r="O131" s="45">
        <f t="shared" si="12"/>
        <v>45602.58686</v>
      </c>
      <c r="P131" s="47" t="b">
        <v>0</v>
      </c>
      <c r="Q131" s="36" t="str">
        <f t="shared" si="5"/>
        <v/>
      </c>
      <c r="R131" s="47" t="b">
        <v>1</v>
      </c>
      <c r="S131" s="36">
        <f t="shared" si="6"/>
        <v>45603.61224</v>
      </c>
      <c r="T131" s="42"/>
    </row>
    <row r="132" ht="22.5" customHeight="1">
      <c r="B132" s="42">
        <f t="shared" si="7"/>
        <v>126</v>
      </c>
      <c r="C132" s="31" t="s">
        <v>325</v>
      </c>
      <c r="D132" s="34" t="str">
        <f t="array" ref="D132">IFNA(_xlfn.XLOOKUP(C132,Table_Tarikan_Warkah[Nomor Sertipikat],Table_Tarikan_Warkah[Nomor Tiket]),"")</f>
        <v>K/30/311024/2</v>
      </c>
      <c r="E132" s="36" t="str">
        <f t="array" ref="E132">IFNA(_xlfn.XLOOKUP(C132,Table_Tarikan_Warkah[Nomor Sertipikat],Table_Tarikan_Warkah[Tanggal diserahkan kepada Validator]),"")</f>
        <v>04/11/2024 09.14</v>
      </c>
      <c r="F132" s="36" t="str">
        <f t="array" ref="F132">IFNA(_xlfn.XLOOKUP(C132,Table_Tarikan_Warkah[Nomor Sertipikat],Table_Tarikan_Warkah[Nama Petugas Warkah]),"")</f>
        <v>Berry</v>
      </c>
      <c r="G132" s="39" t="str">
        <f t="array" ref="G132">IFNA(_xlfn.XLOOKUP(C132,Table_Tarikan_Warkah[Nomor Sertipikat],Table_Tarikan_Warkah[Jenis Permohonan]),"")</f>
        <v>BN JUAL BELI</v>
      </c>
      <c r="H132" s="41" t="s">
        <v>20</v>
      </c>
      <c r="I132" s="41" t="s">
        <v>12</v>
      </c>
      <c r="J132" s="36">
        <f t="shared" si="17"/>
        <v>45601.44344</v>
      </c>
      <c r="K132" s="41" t="s">
        <v>197</v>
      </c>
      <c r="L132" s="41" t="s">
        <v>12</v>
      </c>
      <c r="M132" s="36">
        <f t="shared" si="18"/>
        <v>45602.58686</v>
      </c>
      <c r="N132" s="30" t="str">
        <f t="shared" si="3"/>
        <v>SELESAI</v>
      </c>
      <c r="O132" s="45">
        <f t="shared" si="12"/>
        <v>45602.58686</v>
      </c>
      <c r="P132" s="47" t="b">
        <v>0</v>
      </c>
      <c r="Q132" s="36" t="str">
        <f t="shared" si="5"/>
        <v/>
      </c>
      <c r="R132" s="47" t="b">
        <v>1</v>
      </c>
      <c r="S132" s="36">
        <f t="shared" si="6"/>
        <v>45603.61224</v>
      </c>
      <c r="T132" s="42"/>
    </row>
    <row r="133" ht="22.5" customHeight="1">
      <c r="B133" s="42">
        <f t="shared" si="7"/>
        <v>127</v>
      </c>
      <c r="C133" s="31" t="s">
        <v>326</v>
      </c>
      <c r="D133" s="34" t="str">
        <f t="array" ref="D133">IFNA(_xlfn.XLOOKUP(C133,Table_Tarikan_Warkah[Nomor Sertipikat],Table_Tarikan_Warkah[Nomor Tiket]),"")</f>
        <v>K/62/311024/3</v>
      </c>
      <c r="E133" s="36" t="str">
        <f t="array" ref="E133">IFNA(_xlfn.XLOOKUP(C133,Table_Tarikan_Warkah[Nomor Sertipikat],Table_Tarikan_Warkah[Tanggal diserahkan kepada Validator]),"")</f>
        <v>04/11/2024 09.29</v>
      </c>
      <c r="F133" s="36" t="str">
        <f t="array" ref="F133">IFNA(_xlfn.XLOOKUP(C133,Table_Tarikan_Warkah[Nomor Sertipikat],Table_Tarikan_Warkah[Nama Petugas Warkah]),"")</f>
        <v>David</v>
      </c>
      <c r="G133" s="39" t="str">
        <f t="array" ref="G133">IFNA(_xlfn.XLOOKUP(C133,Table_Tarikan_Warkah[Nomor Sertipikat],Table_Tarikan_Warkah[Jenis Permohonan]),"")</f>
        <v>bn jual beli</v>
      </c>
      <c r="H133" s="41" t="s">
        <v>20</v>
      </c>
      <c r="I133" s="41" t="s">
        <v>12</v>
      </c>
      <c r="J133" s="36">
        <f t="shared" si="17"/>
        <v>45601.44411</v>
      </c>
      <c r="K133" s="49" t="s">
        <v>197</v>
      </c>
      <c r="L133" s="49" t="s">
        <v>12</v>
      </c>
      <c r="M133" s="36">
        <f t="shared" si="18"/>
        <v>45602.58699</v>
      </c>
      <c r="N133" s="30" t="str">
        <f t="shared" si="3"/>
        <v>SELESAI</v>
      </c>
      <c r="O133" s="45">
        <f t="shared" si="12"/>
        <v>45602.58699</v>
      </c>
      <c r="P133" s="47" t="b">
        <v>0</v>
      </c>
      <c r="Q133" s="36" t="str">
        <f t="shared" si="5"/>
        <v/>
      </c>
      <c r="R133" s="47" t="b">
        <v>1</v>
      </c>
      <c r="S133" s="36">
        <f t="shared" si="6"/>
        <v>45603.61224</v>
      </c>
      <c r="T133" s="42"/>
    </row>
    <row r="134" ht="22.5" customHeight="1">
      <c r="B134" s="42">
        <f t="shared" si="7"/>
        <v>128</v>
      </c>
      <c r="C134" s="31" t="s">
        <v>327</v>
      </c>
      <c r="D134" s="34" t="str">
        <f t="array" ref="D134">IFNA(_xlfn.XLOOKUP(C134,Table_Tarikan_Warkah[Nomor Sertipikat],Table_Tarikan_Warkah[Nomor Tiket]),"")</f>
        <v>K/57/311024/1</v>
      </c>
      <c r="E134" s="36" t="str">
        <f t="array" ref="E134">IFNA(_xlfn.XLOOKUP(C134,Table_Tarikan_Warkah[Nomor Sertipikat],Table_Tarikan_Warkah[Tanggal diserahkan kepada Validator]),"")</f>
        <v>04/11/2024 09.27</v>
      </c>
      <c r="F134" s="36" t="str">
        <f t="array" ref="F134">IFNA(_xlfn.XLOOKUP(C134,Table_Tarikan_Warkah[Nomor Sertipikat],Table_Tarikan_Warkah[Nama Petugas Warkah]),"")</f>
        <v>David</v>
      </c>
      <c r="G134" s="39" t="str">
        <f t="array" ref="G134">IFNA(_xlfn.XLOOKUP(C134,Table_Tarikan_Warkah[Nomor Sertipikat],Table_Tarikan_Warkah[Jenis Permohonan]),"")</f>
        <v>BN JUAL BELI</v>
      </c>
      <c r="H134" s="41" t="s">
        <v>20</v>
      </c>
      <c r="I134" s="41" t="s">
        <v>12</v>
      </c>
      <c r="J134" s="36">
        <f t="shared" si="17"/>
        <v>45601.44422</v>
      </c>
      <c r="K134" s="41" t="s">
        <v>197</v>
      </c>
      <c r="L134" s="41" t="s">
        <v>12</v>
      </c>
      <c r="M134" s="36">
        <f t="shared" si="18"/>
        <v>45602.58699</v>
      </c>
      <c r="N134" s="30" t="str">
        <f t="shared" si="3"/>
        <v>SELESAI</v>
      </c>
      <c r="O134" s="45">
        <f t="shared" si="12"/>
        <v>45602.58699</v>
      </c>
      <c r="P134" s="47" t="b">
        <v>0</v>
      </c>
      <c r="Q134" s="36" t="str">
        <f t="shared" si="5"/>
        <v/>
      </c>
      <c r="R134" s="47" t="b">
        <v>1</v>
      </c>
      <c r="S134" s="36">
        <f t="shared" si="6"/>
        <v>45603.61224</v>
      </c>
      <c r="T134" s="42"/>
    </row>
    <row r="135" ht="22.5" customHeight="1">
      <c r="B135" s="42">
        <f t="shared" si="7"/>
        <v>129</v>
      </c>
      <c r="C135" s="31" t="s">
        <v>328</v>
      </c>
      <c r="D135" s="34" t="str">
        <f t="array" ref="D135">IFNA(_xlfn.XLOOKUP(C135,Table_Tarikan_Warkah[Nomor Sertipikat],Table_Tarikan_Warkah[Nomor Tiket]),"")</f>
        <v>K/67/311024/1</v>
      </c>
      <c r="E135" s="36" t="str">
        <f t="array" ref="E135">IFNA(_xlfn.XLOOKUP(C135,Table_Tarikan_Warkah[Nomor Sertipikat],Table_Tarikan_Warkah[Tanggal diserahkan kepada Validator]),"")</f>
        <v>04/11/2024 09.31</v>
      </c>
      <c r="F135" s="36" t="str">
        <f t="array" ref="F135">IFNA(_xlfn.XLOOKUP(C135,Table_Tarikan_Warkah[Nomor Sertipikat],Table_Tarikan_Warkah[Nama Petugas Warkah]),"")</f>
        <v>David</v>
      </c>
      <c r="G135" s="39" t="str">
        <f t="array" ref="G135">IFNA(_xlfn.XLOOKUP(C135,Table_Tarikan_Warkah[Nomor Sertipikat],Table_Tarikan_Warkah[Jenis Permohonan]),"")</f>
        <v>BN JUAL BELI</v>
      </c>
      <c r="H135" s="41" t="s">
        <v>20</v>
      </c>
      <c r="I135" s="41" t="s">
        <v>12</v>
      </c>
      <c r="J135" s="36">
        <f t="shared" si="17"/>
        <v>45601.44435</v>
      </c>
      <c r="K135" s="49" t="s">
        <v>197</v>
      </c>
      <c r="L135" s="49" t="s">
        <v>12</v>
      </c>
      <c r="M135" s="36">
        <f t="shared" si="18"/>
        <v>45602.58707</v>
      </c>
      <c r="N135" s="30" t="str">
        <f t="shared" si="3"/>
        <v>SELESAI</v>
      </c>
      <c r="O135" s="45">
        <f t="shared" si="12"/>
        <v>45602.58707</v>
      </c>
      <c r="P135" s="47" t="b">
        <v>0</v>
      </c>
      <c r="Q135" s="36" t="str">
        <f t="shared" si="5"/>
        <v/>
      </c>
      <c r="R135" s="47" t="b">
        <v>1</v>
      </c>
      <c r="S135" s="36">
        <f t="shared" si="6"/>
        <v>45603.61224</v>
      </c>
      <c r="T135" s="42"/>
    </row>
    <row r="136" ht="22.5" customHeight="1">
      <c r="B136" s="42">
        <f t="shared" si="7"/>
        <v>130</v>
      </c>
      <c r="C136" s="31" t="s">
        <v>329</v>
      </c>
      <c r="D136" s="34" t="str">
        <f t="array" ref="D136">IFNA(_xlfn.XLOOKUP(C136,Table_Tarikan_Warkah[Nomor Sertipikat],Table_Tarikan_Warkah[Nomor Tiket]),"")</f>
        <v>L/46/311024/1</v>
      </c>
      <c r="E136" s="36" t="str">
        <f t="array" ref="E136">IFNA(_xlfn.XLOOKUP(C136,Table_Tarikan_Warkah[Nomor Sertipikat],Table_Tarikan_Warkah[Tanggal diserahkan kepada Validator]),"")</f>
        <v>04/11/2024 09.24</v>
      </c>
      <c r="F136" s="36" t="str">
        <f t="array" ref="F136">IFNA(_xlfn.XLOOKUP(C136,Table_Tarikan_Warkah[Nomor Sertipikat],Table_Tarikan_Warkah[Nama Petugas Warkah]),"")</f>
        <v>David</v>
      </c>
      <c r="G136" s="39" t="str">
        <f t="array" ref="G136">IFNA(_xlfn.XLOOKUP(C136,Table_Tarikan_Warkah[Nomor Sertipikat],Table_Tarikan_Warkah[Jenis Permohonan]),"")</f>
        <v>ROYA</v>
      </c>
      <c r="H136" s="41" t="s">
        <v>20</v>
      </c>
      <c r="I136" s="41" t="s">
        <v>12</v>
      </c>
      <c r="J136" s="36">
        <f t="shared" si="17"/>
        <v>45601.44466</v>
      </c>
      <c r="K136" s="41" t="s">
        <v>197</v>
      </c>
      <c r="L136" s="41" t="s">
        <v>12</v>
      </c>
      <c r="M136" s="36">
        <f t="shared" si="18"/>
        <v>45602.58707</v>
      </c>
      <c r="N136" s="30" t="str">
        <f t="shared" si="3"/>
        <v>SELESAI</v>
      </c>
      <c r="O136" s="45">
        <f t="shared" si="12"/>
        <v>45602.58707</v>
      </c>
      <c r="P136" s="47" t="b">
        <v>0</v>
      </c>
      <c r="Q136" s="36" t="str">
        <f t="shared" si="5"/>
        <v/>
      </c>
      <c r="R136" s="47" t="b">
        <v>1</v>
      </c>
      <c r="S136" s="36">
        <f t="shared" si="6"/>
        <v>45603.61224</v>
      </c>
      <c r="T136" s="42"/>
    </row>
    <row r="137" ht="22.5" customHeight="1">
      <c r="B137" s="42">
        <f t="shared" si="7"/>
        <v>131</v>
      </c>
      <c r="C137" s="31" t="s">
        <v>303</v>
      </c>
      <c r="D137" s="34" t="str">
        <f t="array" ref="D137">IFNA(_xlfn.XLOOKUP(C137,Table_Tarikan_Warkah[Nomor Sertipikat],Table_Tarikan_Warkah[Nomor Tiket]),"")</f>
        <v>K/39/011124/3</v>
      </c>
      <c r="E137" s="36" t="str">
        <f t="array" ref="E137">IFNA(_xlfn.XLOOKUP(C137,Table_Tarikan_Warkah[Nomor Sertipikat],Table_Tarikan_Warkah[Tanggal diserahkan kepada Validator]),"")</f>
        <v/>
      </c>
      <c r="F137" s="36" t="str">
        <f t="array" ref="F137">IFNA(_xlfn.XLOOKUP(C137,Table_Tarikan_Warkah[Nomor Sertipikat],Table_Tarikan_Warkah[Nama Petugas Warkah]),"")</f>
        <v/>
      </c>
      <c r="G137" s="39" t="str">
        <f t="array" ref="G137">IFNA(_xlfn.XLOOKUP(C137,Table_Tarikan_Warkah[Nomor Sertipikat],Table_Tarikan_Warkah[Jenis Permohonan]),"")</f>
        <v>Roya</v>
      </c>
      <c r="H137" s="41" t="s">
        <v>20</v>
      </c>
      <c r="I137" s="41" t="s">
        <v>12</v>
      </c>
      <c r="J137" s="36">
        <f t="shared" si="17"/>
        <v>45601.44549</v>
      </c>
      <c r="K137" s="41" t="s">
        <v>197</v>
      </c>
      <c r="L137" s="41" t="s">
        <v>12</v>
      </c>
      <c r="M137" s="36">
        <f t="shared" si="18"/>
        <v>45602.58725</v>
      </c>
      <c r="N137" s="30" t="str">
        <f t="shared" si="3"/>
        <v>SELESAI</v>
      </c>
      <c r="O137" s="45">
        <f t="shared" si="12"/>
        <v>45602.58725</v>
      </c>
      <c r="P137" s="47" t="b">
        <v>0</v>
      </c>
      <c r="Q137" s="36" t="str">
        <f t="shared" si="5"/>
        <v/>
      </c>
      <c r="R137" s="47" t="b">
        <v>1</v>
      </c>
      <c r="S137" s="36">
        <f t="shared" si="6"/>
        <v>45603.61224</v>
      </c>
      <c r="T137" s="42"/>
    </row>
    <row r="138" ht="22.5" customHeight="1">
      <c r="B138" s="42">
        <f t="shared" si="7"/>
        <v>132</v>
      </c>
      <c r="C138" s="31" t="s">
        <v>280</v>
      </c>
      <c r="D138" s="34" t="str">
        <f t="array" ref="D138">IFNA(_xlfn.XLOOKUP(C138,Table_Tarikan_Warkah[Nomor Sertipikat],Table_Tarikan_Warkah[Nomor Tiket]),"")</f>
        <v>K/27/161024/1</v>
      </c>
      <c r="E138" s="36" t="str">
        <f t="array" ref="E138">IFNA(_xlfn.XLOOKUP(C138,Table_Tarikan_Warkah[Nomor Sertipikat],Table_Tarikan_Warkah[Tanggal diserahkan kepada Validator]),"")</f>
        <v>05/11/2024 10.06</v>
      </c>
      <c r="F138" s="36" t="str">
        <f t="array" ref="F138">IFNA(_xlfn.XLOOKUP(C138,Table_Tarikan_Warkah[Nomor Sertipikat],Table_Tarikan_Warkah[Nama Petugas Warkah]),"")</f>
        <v>Sahelia</v>
      </c>
      <c r="G138" s="39" t="str">
        <f t="array" ref="G138">IFNA(_xlfn.XLOOKUP(C138,Table_Tarikan_Warkah[Nomor Sertipikat],Table_Tarikan_Warkah[Jenis Permohonan]),"")</f>
        <v>BN Jual Beli</v>
      </c>
      <c r="H138" s="41" t="s">
        <v>11</v>
      </c>
      <c r="I138" s="41" t="s">
        <v>12</v>
      </c>
      <c r="J138" s="36">
        <f t="shared" si="17"/>
        <v>45601.47705</v>
      </c>
      <c r="K138" s="49" t="s">
        <v>26</v>
      </c>
      <c r="L138" s="49" t="s">
        <v>12</v>
      </c>
      <c r="M138" s="36">
        <f t="shared" si="18"/>
        <v>45602.61868</v>
      </c>
      <c r="N138" s="30" t="str">
        <f t="shared" si="3"/>
        <v>SELESAI</v>
      </c>
      <c r="O138" s="45">
        <f t="shared" si="12"/>
        <v>45602.61868</v>
      </c>
      <c r="P138" s="47" t="b">
        <v>0</v>
      </c>
      <c r="Q138" s="36" t="str">
        <f t="shared" si="5"/>
        <v/>
      </c>
      <c r="R138" s="47" t="b">
        <v>1</v>
      </c>
      <c r="S138" s="36">
        <f t="shared" si="6"/>
        <v>45603.61224</v>
      </c>
      <c r="T138" s="42"/>
    </row>
    <row r="139" ht="22.5" customHeight="1">
      <c r="B139" s="42">
        <f t="shared" si="7"/>
        <v>133</v>
      </c>
      <c r="C139" s="31" t="s">
        <v>315</v>
      </c>
      <c r="D139" s="34" t="str">
        <f t="array" ref="D139">IFNA(_xlfn.XLOOKUP(C139,Table_Tarikan_Warkah[Nomor Sertipikat],Table_Tarikan_Warkah[Nomor Tiket]),"")</f>
        <v>K/23/241024/1</v>
      </c>
      <c r="E139" s="36" t="str">
        <f t="array" ref="E139">IFNA(_xlfn.XLOOKUP(C139,Table_Tarikan_Warkah[Nomor Sertipikat],Table_Tarikan_Warkah[Tanggal diserahkan kepada Validator]),"")</f>
        <v/>
      </c>
      <c r="F139" s="36" t="str">
        <f t="array" ref="F139">IFNA(_xlfn.XLOOKUP(C139,Table_Tarikan_Warkah[Nomor Sertipikat],Table_Tarikan_Warkah[Nama Petugas Warkah]),"")</f>
        <v/>
      </c>
      <c r="G139" s="39" t="str">
        <f t="array" ref="G139">IFNA(_xlfn.XLOOKUP(C139,Table_Tarikan_Warkah[Nomor Sertipikat],Table_Tarikan_Warkah[Jenis Permohonan]),"")</f>
        <v>BN Jual Beli</v>
      </c>
      <c r="H139" s="41" t="s">
        <v>11</v>
      </c>
      <c r="I139" s="41" t="s">
        <v>12</v>
      </c>
      <c r="J139" s="36">
        <f t="shared" si="17"/>
        <v>45601.47708</v>
      </c>
      <c r="K139" s="49" t="s">
        <v>26</v>
      </c>
      <c r="L139" s="49" t="s">
        <v>12</v>
      </c>
      <c r="M139" s="36">
        <f t="shared" si="18"/>
        <v>45602.61871</v>
      </c>
      <c r="N139" s="30" t="str">
        <f t="shared" si="3"/>
        <v>SELESAI</v>
      </c>
      <c r="O139" s="45">
        <f t="shared" si="12"/>
        <v>45602.61871</v>
      </c>
      <c r="P139" s="47" t="b">
        <v>0</v>
      </c>
      <c r="Q139" s="36" t="str">
        <f t="shared" si="5"/>
        <v/>
      </c>
      <c r="R139" s="47" t="b">
        <v>1</v>
      </c>
      <c r="S139" s="36">
        <f t="shared" si="6"/>
        <v>45603.61224</v>
      </c>
      <c r="T139" s="42"/>
    </row>
    <row r="140" ht="22.5" customHeight="1">
      <c r="B140" s="42">
        <f t="shared" si="7"/>
        <v>134</v>
      </c>
      <c r="C140" s="31" t="s">
        <v>330</v>
      </c>
      <c r="D140" s="34" t="str">
        <f t="array" ref="D140">IFNA(_xlfn.XLOOKUP(C140,Table_Tarikan_Warkah[Nomor Sertipikat],Table_Tarikan_Warkah[Nomor Tiket]),"")</f>
        <v>L/12/221024/1</v>
      </c>
      <c r="E140" s="36" t="str">
        <f t="array" ref="E140">IFNA(_xlfn.XLOOKUP(C140,Table_Tarikan_Warkah[Nomor Sertipikat],Table_Tarikan_Warkah[Tanggal diserahkan kepada Validator]),"")</f>
        <v>05/11/2024 16.33</v>
      </c>
      <c r="F140" s="36" t="str">
        <f t="array" ref="F140">IFNA(_xlfn.XLOOKUP(C140,Table_Tarikan_Warkah[Nomor Sertipikat],Table_Tarikan_Warkah[Nama Petugas Warkah]),"")</f>
        <v>Sahelia</v>
      </c>
      <c r="G140" s="39" t="str">
        <f t="array" ref="G140">IFNA(_xlfn.XLOOKUP(C140,Table_Tarikan_Warkah[Nomor Sertipikat],Table_Tarikan_Warkah[Jenis Permohonan]),"")</f>
        <v>ROYA</v>
      </c>
      <c r="H140" s="41" t="s">
        <v>11</v>
      </c>
      <c r="I140" s="41" t="s">
        <v>12</v>
      </c>
      <c r="J140" s="36">
        <f t="shared" si="17"/>
        <v>45602.56108</v>
      </c>
      <c r="K140" s="49" t="s">
        <v>26</v>
      </c>
      <c r="L140" s="49" t="s">
        <v>12</v>
      </c>
      <c r="M140" s="36">
        <f t="shared" si="18"/>
        <v>45603.61224</v>
      </c>
      <c r="N140" s="30" t="str">
        <f t="shared" si="3"/>
        <v>SELESAI</v>
      </c>
      <c r="O140" s="45">
        <f t="shared" si="12"/>
        <v>45603.61224</v>
      </c>
      <c r="P140" s="47" t="b">
        <v>0</v>
      </c>
      <c r="Q140" s="36" t="str">
        <f t="shared" si="5"/>
        <v/>
      </c>
      <c r="R140" s="47" t="b">
        <v>1</v>
      </c>
      <c r="S140" s="36">
        <f t="shared" si="6"/>
        <v>45603.61245</v>
      </c>
      <c r="T140" s="42"/>
    </row>
    <row r="141" ht="22.5" customHeight="1">
      <c r="B141" s="42">
        <f t="shared" si="7"/>
        <v>135</v>
      </c>
      <c r="C141" s="31" t="s">
        <v>331</v>
      </c>
      <c r="D141" s="34" t="str">
        <f t="array" ref="D141">IFNA(_xlfn.XLOOKUP(C141,Table_Tarikan_Warkah[Nomor Sertipikat],Table_Tarikan_Warkah[Nomor Tiket]),"")</f>
        <v>L/63/311024/1</v>
      </c>
      <c r="E141" s="36" t="str">
        <f t="array" ref="E141">IFNA(_xlfn.XLOOKUP(C141,Table_Tarikan_Warkah[Nomor Sertipikat],Table_Tarikan_Warkah[Tanggal diserahkan kepada Validator]),"")</f>
        <v>05/11/2024 16.21</v>
      </c>
      <c r="F141" s="36" t="str">
        <f t="array" ref="F141">IFNA(_xlfn.XLOOKUP(C141,Table_Tarikan_Warkah[Nomor Sertipikat],Table_Tarikan_Warkah[Nama Petugas Warkah]),"")</f>
        <v>Berry</v>
      </c>
      <c r="G141" s="39" t="str">
        <f t="array" ref="G141">IFNA(_xlfn.XLOOKUP(C141,Table_Tarikan_Warkah[Nomor Sertipikat],Table_Tarikan_Warkah[Jenis Permohonan]),"")</f>
        <v>ROYA</v>
      </c>
      <c r="H141" s="41" t="s">
        <v>11</v>
      </c>
      <c r="I141" s="41" t="s">
        <v>12</v>
      </c>
      <c r="J141" s="36">
        <f t="shared" si="17"/>
        <v>45602.56162</v>
      </c>
      <c r="K141" s="49" t="s">
        <v>26</v>
      </c>
      <c r="L141" s="49" t="s">
        <v>12</v>
      </c>
      <c r="M141" s="36">
        <f t="shared" si="18"/>
        <v>45603.61224</v>
      </c>
      <c r="N141" s="30" t="str">
        <f t="shared" si="3"/>
        <v>SELESAI</v>
      </c>
      <c r="O141" s="45">
        <f t="shared" si="12"/>
        <v>45603.61224</v>
      </c>
      <c r="P141" s="47" t="b">
        <v>0</v>
      </c>
      <c r="Q141" s="36" t="str">
        <f t="shared" si="5"/>
        <v/>
      </c>
      <c r="R141" s="47" t="b">
        <v>1</v>
      </c>
      <c r="S141" s="36">
        <f t="shared" si="6"/>
        <v>45603.61237</v>
      </c>
      <c r="T141" s="42"/>
    </row>
    <row r="142" ht="22.5" customHeight="1">
      <c r="B142" s="42">
        <f t="shared" si="7"/>
        <v>136</v>
      </c>
      <c r="C142" s="31" t="s">
        <v>332</v>
      </c>
      <c r="D142" s="34" t="str">
        <f t="array" ref="D142">IFNA(_xlfn.XLOOKUP(C142,Table_Tarikan_Warkah[Nomor Sertipikat],Table_Tarikan_Warkah[Nomor Tiket]),"")</f>
        <v>L/24/041124/1</v>
      </c>
      <c r="E142" s="36" t="str">
        <f t="array" ref="E142">IFNA(_xlfn.XLOOKUP(C142,Table_Tarikan_Warkah[Nomor Sertipikat],Table_Tarikan_Warkah[Tanggal diserahkan kepada Validator]),"")</f>
        <v>05/11/2024 16.24</v>
      </c>
      <c r="F142" s="36" t="str">
        <f t="array" ref="F142">IFNA(_xlfn.XLOOKUP(C142,Table_Tarikan_Warkah[Nomor Sertipikat],Table_Tarikan_Warkah[Nama Petugas Warkah]),"")</f>
        <v>Berry</v>
      </c>
      <c r="G142" s="39" t="str">
        <f t="array" ref="G142">IFNA(_xlfn.XLOOKUP(C142,Table_Tarikan_Warkah[Nomor Sertipikat],Table_Tarikan_Warkah[Jenis Permohonan]),"")</f>
        <v>ROYA</v>
      </c>
      <c r="H142" s="41" t="s">
        <v>11</v>
      </c>
      <c r="I142" s="41" t="s">
        <v>12</v>
      </c>
      <c r="J142" s="36">
        <f t="shared" si="17"/>
        <v>45602.562</v>
      </c>
      <c r="K142" s="49" t="s">
        <v>26</v>
      </c>
      <c r="L142" s="49" t="s">
        <v>12</v>
      </c>
      <c r="M142" s="36">
        <f t="shared" si="18"/>
        <v>45603.61224</v>
      </c>
      <c r="N142" s="30" t="str">
        <f t="shared" si="3"/>
        <v>SELESAI</v>
      </c>
      <c r="O142" s="45">
        <f t="shared" si="12"/>
        <v>45603.61224</v>
      </c>
      <c r="P142" s="47" t="b">
        <v>0</v>
      </c>
      <c r="Q142" s="36" t="str">
        <f t="shared" si="5"/>
        <v/>
      </c>
      <c r="R142" s="47" t="b">
        <v>1</v>
      </c>
      <c r="S142" s="36">
        <f t="shared" si="6"/>
        <v>45603.61235</v>
      </c>
      <c r="T142" s="42"/>
    </row>
    <row r="143" ht="22.5" customHeight="1">
      <c r="B143" s="42">
        <f t="shared" si="7"/>
        <v>137</v>
      </c>
      <c r="C143" s="31" t="s">
        <v>333</v>
      </c>
      <c r="D143" s="34" t="str">
        <f t="array" ref="D143">IFNA(_xlfn.XLOOKUP(C143,Table_Tarikan_Warkah[Nomor Sertipikat],Table_Tarikan_Warkah[Nomor Tiket]),"")</f>
        <v>L/30/041124/1</v>
      </c>
      <c r="E143" s="36" t="str">
        <f t="array" ref="E143">IFNA(_xlfn.XLOOKUP(C143,Table_Tarikan_Warkah[Nomor Sertipikat],Table_Tarikan_Warkah[Tanggal diserahkan kepada Validator]),"")</f>
        <v>05/11/2024 16.25</v>
      </c>
      <c r="F143" s="36" t="str">
        <f t="array" ref="F143">IFNA(_xlfn.XLOOKUP(C143,Table_Tarikan_Warkah[Nomor Sertipikat],Table_Tarikan_Warkah[Nama Petugas Warkah]),"")</f>
        <v>Berry</v>
      </c>
      <c r="G143" s="39" t="str">
        <f t="array" ref="G143">IFNA(_xlfn.XLOOKUP(C143,Table_Tarikan_Warkah[Nomor Sertipikat],Table_Tarikan_Warkah[Jenis Permohonan]),"")</f>
        <v>ROYA</v>
      </c>
      <c r="H143" s="41" t="s">
        <v>11</v>
      </c>
      <c r="I143" s="41" t="s">
        <v>12</v>
      </c>
      <c r="J143" s="36">
        <f t="shared" si="17"/>
        <v>45602.56212</v>
      </c>
      <c r="K143" s="49" t="s">
        <v>26</v>
      </c>
      <c r="L143" s="49" t="s">
        <v>12</v>
      </c>
      <c r="M143" s="36">
        <f t="shared" si="18"/>
        <v>45603.61224</v>
      </c>
      <c r="N143" s="30" t="str">
        <f t="shared" si="3"/>
        <v>SELESAI</v>
      </c>
      <c r="O143" s="45">
        <f t="shared" si="12"/>
        <v>45603.61224</v>
      </c>
      <c r="P143" s="47" t="b">
        <v>0</v>
      </c>
      <c r="Q143" s="36" t="str">
        <f t="shared" si="5"/>
        <v/>
      </c>
      <c r="R143" s="47" t="b">
        <v>1</v>
      </c>
      <c r="S143" s="36">
        <f t="shared" si="6"/>
        <v>45603.61224</v>
      </c>
      <c r="T143" s="42"/>
    </row>
    <row r="144" ht="22.5" customHeight="1">
      <c r="B144" s="42">
        <f t="shared" si="7"/>
        <v>138</v>
      </c>
      <c r="C144" s="31" t="s">
        <v>334</v>
      </c>
      <c r="D144" s="34" t="str">
        <f t="array" ref="D144">IFNA(_xlfn.XLOOKUP(C144,Table_Tarikan_Warkah[Nomor Sertipikat],Table_Tarikan_Warkah[Nomor Tiket]),"")</f>
        <v>K/29/311024/1</v>
      </c>
      <c r="E144" s="36" t="str">
        <f t="array" ref="E144">IFNA(_xlfn.XLOOKUP(C144,Table_Tarikan_Warkah[Nomor Sertipikat],Table_Tarikan_Warkah[Tanggal diserahkan kepada Validator]),"")</f>
        <v>08/11/2024 14.43</v>
      </c>
      <c r="F144" s="36" t="str">
        <f t="array" ref="F144">IFNA(_xlfn.XLOOKUP(C144,Table_Tarikan_Warkah[Nomor Sertipikat],Table_Tarikan_Warkah[Nama Petugas Warkah]),"")</f>
        <v>Sahelia</v>
      </c>
      <c r="G144" s="39" t="str">
        <f t="array" ref="G144">IFNA(_xlfn.XLOOKUP(C144,Table_Tarikan_Warkah[Nomor Sertipikat],Table_Tarikan_Warkah[Jenis Permohonan]),"")</f>
        <v>BN PHB</v>
      </c>
      <c r="H144" s="41" t="s">
        <v>11</v>
      </c>
      <c r="I144" s="41" t="s">
        <v>12</v>
      </c>
      <c r="J144" s="36">
        <f t="shared" si="17"/>
        <v>45602.56255</v>
      </c>
      <c r="K144" s="49" t="s">
        <v>26</v>
      </c>
      <c r="L144" s="49" t="s">
        <v>23</v>
      </c>
      <c r="M144" s="36">
        <f t="shared" si="18"/>
        <v>45603.61224</v>
      </c>
      <c r="N144" s="30" t="str">
        <f t="shared" si="3"/>
        <v>Selesai</v>
      </c>
      <c r="O144" s="45">
        <f t="shared" si="12"/>
        <v>45603.61224</v>
      </c>
      <c r="P144" s="47" t="b">
        <v>1</v>
      </c>
      <c r="Q144" s="36">
        <f t="shared" si="5"/>
        <v>45603.61224</v>
      </c>
      <c r="R144" s="47" t="b">
        <v>0</v>
      </c>
      <c r="S144" s="42" t="str">
        <f t="shared" si="6"/>
        <v/>
      </c>
      <c r="T144" s="42"/>
    </row>
    <row r="145" ht="22.5" customHeight="1">
      <c r="B145" s="42">
        <f t="shared" si="7"/>
        <v>139</v>
      </c>
      <c r="C145" s="31" t="s">
        <v>335</v>
      </c>
      <c r="D145" s="34" t="str">
        <f t="array" ref="D145">IFNA(_xlfn.XLOOKUP(C145,Table_Tarikan_Warkah[Nomor Sertipikat],Table_Tarikan_Warkah[Nomor Tiket]),"")</f>
        <v>K/45/211024/1</v>
      </c>
      <c r="E145" s="36" t="str">
        <f t="array" ref="E145">IFNA(_xlfn.XLOOKUP(C145,Table_Tarikan_Warkah[Nomor Sertipikat],Table_Tarikan_Warkah[Tanggal diserahkan kepada Validator]),"")</f>
        <v>19/11/2024 13.41</v>
      </c>
      <c r="F145" s="36" t="str">
        <f t="array" ref="F145">IFNA(_xlfn.XLOOKUP(C145,Table_Tarikan_Warkah[Nomor Sertipikat],Table_Tarikan_Warkah[Nama Petugas Warkah]),"")</f>
        <v/>
      </c>
      <c r="G145" s="39" t="str">
        <f t="array" ref="G145">IFNA(_xlfn.XLOOKUP(C145,Table_Tarikan_Warkah[Nomor Sertipikat],Table_Tarikan_Warkah[Jenis Permohonan]),"")</f>
        <v>BN Jual Beli</v>
      </c>
      <c r="H145" s="41" t="s">
        <v>11</v>
      </c>
      <c r="I145" s="41" t="s">
        <v>12</v>
      </c>
      <c r="J145" s="36">
        <f t="shared" si="17"/>
        <v>45602.56319</v>
      </c>
      <c r="K145" s="49" t="s">
        <v>26</v>
      </c>
      <c r="L145" s="49" t="s">
        <v>23</v>
      </c>
      <c r="M145" s="36">
        <f t="shared" si="18"/>
        <v>45603.6139</v>
      </c>
      <c r="N145" s="30" t="str">
        <f t="shared" si="3"/>
        <v>Selesai</v>
      </c>
      <c r="O145" s="45">
        <f t="shared" si="12"/>
        <v>45603.6139</v>
      </c>
      <c r="P145" s="47" t="b">
        <v>1</v>
      </c>
      <c r="Q145" s="36">
        <f t="shared" si="5"/>
        <v>45603.61415</v>
      </c>
      <c r="R145" s="47" t="b">
        <v>0</v>
      </c>
      <c r="S145" s="42" t="str">
        <f t="shared" si="6"/>
        <v/>
      </c>
      <c r="T145" s="42"/>
    </row>
    <row r="146" ht="22.5" customHeight="1">
      <c r="B146" s="42">
        <f t="shared" si="7"/>
        <v>140</v>
      </c>
      <c r="C146" s="31" t="s">
        <v>262</v>
      </c>
      <c r="D146" s="34" t="str">
        <f t="array" ref="D146">IFNA(_xlfn.XLOOKUP(C146,Table_Tarikan_Warkah[Nomor Sertipikat],Table_Tarikan_Warkah[Nomor Tiket]),"")</f>
        <v>L/34/251024/1</v>
      </c>
      <c r="E146" s="36" t="str">
        <f t="array" ref="E146">IFNA(_xlfn.XLOOKUP(C146,Table_Tarikan_Warkah[Nomor Sertipikat],Table_Tarikan_Warkah[Tanggal diserahkan kepada Validator]),"")</f>
        <v>28/10/2024 10.12</v>
      </c>
      <c r="F146" s="36" t="str">
        <f t="array" ref="F146">IFNA(_xlfn.XLOOKUP(C146,Table_Tarikan_Warkah[Nomor Sertipikat],Table_Tarikan_Warkah[Nama Petugas Warkah]),"")</f>
        <v>David</v>
      </c>
      <c r="G146" s="39" t="str">
        <f t="array" ref="G146">IFNA(_xlfn.XLOOKUP(C146,Table_Tarikan_Warkah[Nomor Sertipikat],Table_Tarikan_Warkah[Jenis Permohonan]),"")</f>
        <v>ROYA</v>
      </c>
      <c r="H146" s="41" t="s">
        <v>11</v>
      </c>
      <c r="I146" s="41" t="s">
        <v>12</v>
      </c>
      <c r="J146" s="36">
        <f t="shared" si="17"/>
        <v>45602.56334</v>
      </c>
      <c r="K146" s="49" t="s">
        <v>26</v>
      </c>
      <c r="L146" s="49" t="s">
        <v>23</v>
      </c>
      <c r="M146" s="36">
        <f t="shared" si="18"/>
        <v>45603.61392</v>
      </c>
      <c r="N146" s="30" t="str">
        <f t="shared" si="3"/>
        <v>Selesai</v>
      </c>
      <c r="O146" s="45">
        <f t="shared" si="12"/>
        <v>45603.61392</v>
      </c>
      <c r="P146" s="47" t="b">
        <v>1</v>
      </c>
      <c r="Q146" s="36">
        <f t="shared" si="5"/>
        <v>45603.61416</v>
      </c>
      <c r="R146" s="47" t="b">
        <v>0</v>
      </c>
      <c r="S146" s="42" t="str">
        <f t="shared" si="6"/>
        <v/>
      </c>
      <c r="T146" s="42"/>
    </row>
    <row r="147" ht="22.5" customHeight="1">
      <c r="B147" s="42">
        <f t="shared" si="7"/>
        <v>141</v>
      </c>
      <c r="C147" s="31" t="s">
        <v>336</v>
      </c>
      <c r="D147" s="34" t="str">
        <f t="array" ref="D147">IFNA(_xlfn.XLOOKUP(C147,Table_Tarikan_Warkah[Nomor Sertipikat],Table_Tarikan_Warkah[Nomor Tiket]),"")</f>
        <v>L/42/041124/1</v>
      </c>
      <c r="E147" s="36" t="str">
        <f t="array" ref="E147">IFNA(_xlfn.XLOOKUP(C147,Table_Tarikan_Warkah[Nomor Sertipikat],Table_Tarikan_Warkah[Tanggal diserahkan kepada Validator]),"")</f>
        <v>05/11/2024 16.29</v>
      </c>
      <c r="F147" s="36" t="str">
        <f t="array" ref="F147">IFNA(_xlfn.XLOOKUP(C147,Table_Tarikan_Warkah[Nomor Sertipikat],Table_Tarikan_Warkah[Nama Petugas Warkah]),"")</f>
        <v>David</v>
      </c>
      <c r="G147" s="39" t="str">
        <f t="array" ref="G147">IFNA(_xlfn.XLOOKUP(C147,Table_Tarikan_Warkah[Nomor Sertipikat],Table_Tarikan_Warkah[Jenis Permohonan]),"")</f>
        <v>ROYA</v>
      </c>
      <c r="H147" s="41" t="s">
        <v>20</v>
      </c>
      <c r="I147" s="41" t="s">
        <v>12</v>
      </c>
      <c r="J147" s="36">
        <f t="shared" si="17"/>
        <v>45602.61337</v>
      </c>
      <c r="K147" s="49" t="s">
        <v>26</v>
      </c>
      <c r="L147" s="49" t="s">
        <v>12</v>
      </c>
      <c r="M147" s="36">
        <f t="shared" si="18"/>
        <v>45603.61224</v>
      </c>
      <c r="N147" s="30" t="str">
        <f t="shared" si="3"/>
        <v>SELESAI</v>
      </c>
      <c r="O147" s="45">
        <f t="shared" si="12"/>
        <v>45603.61224</v>
      </c>
      <c r="P147" s="47" t="b">
        <v>0</v>
      </c>
      <c r="Q147" s="36" t="str">
        <f t="shared" si="5"/>
        <v/>
      </c>
      <c r="R147" s="47" t="b">
        <v>1</v>
      </c>
      <c r="S147" s="36">
        <f t="shared" si="6"/>
        <v>45603.61433</v>
      </c>
      <c r="T147" s="42"/>
    </row>
    <row r="148" ht="22.5" customHeight="1">
      <c r="B148" s="42">
        <f t="shared" si="7"/>
        <v>142</v>
      </c>
      <c r="C148" s="31" t="s">
        <v>337</v>
      </c>
      <c r="D148" s="34" t="str">
        <f t="array" ref="D148">IFNA(_xlfn.XLOOKUP(C148,Table_Tarikan_Warkah[Nomor Sertipikat],Table_Tarikan_Warkah[Nomor Tiket]),"")</f>
        <v>K/39/041124/1</v>
      </c>
      <c r="E148" s="36" t="str">
        <f t="array" ref="E148">IFNA(_xlfn.XLOOKUP(C148,Table_Tarikan_Warkah[Nomor Sertipikat],Table_Tarikan_Warkah[Tanggal diserahkan kepada Validator]),"")</f>
        <v>05/11/2024 16.29</v>
      </c>
      <c r="F148" s="36" t="str">
        <f t="array" ref="F148">IFNA(_xlfn.XLOOKUP(C148,Table_Tarikan_Warkah[Nomor Sertipikat],Table_Tarikan_Warkah[Nama Petugas Warkah]),"")</f>
        <v>David</v>
      </c>
      <c r="G148" s="39" t="str">
        <f t="array" ref="G148">IFNA(_xlfn.XLOOKUP(C148,Table_Tarikan_Warkah[Nomor Sertipikat],Table_Tarikan_Warkah[Jenis Permohonan]),"")</f>
        <v>BN JUAL BELI</v>
      </c>
      <c r="H148" s="41" t="s">
        <v>20</v>
      </c>
      <c r="I148" s="41" t="s">
        <v>12</v>
      </c>
      <c r="J148" s="36">
        <f t="shared" si="17"/>
        <v>45602.61347</v>
      </c>
      <c r="K148" s="49" t="s">
        <v>26</v>
      </c>
      <c r="L148" s="49" t="s">
        <v>12</v>
      </c>
      <c r="M148" s="36">
        <f t="shared" si="18"/>
        <v>45603.61224</v>
      </c>
      <c r="N148" s="30" t="str">
        <f t="shared" si="3"/>
        <v>SELESAI</v>
      </c>
      <c r="O148" s="45">
        <f t="shared" si="12"/>
        <v>45603.61224</v>
      </c>
      <c r="P148" s="47" t="b">
        <v>0</v>
      </c>
      <c r="Q148" s="36" t="str">
        <f t="shared" si="5"/>
        <v/>
      </c>
      <c r="R148" s="47" t="b">
        <v>1</v>
      </c>
      <c r="S148" s="36">
        <f t="shared" si="6"/>
        <v>45603.61435</v>
      </c>
      <c r="T148" s="42"/>
    </row>
    <row r="149" ht="22.5" customHeight="1">
      <c r="B149" s="42">
        <f t="shared" si="7"/>
        <v>143</v>
      </c>
      <c r="C149" s="31" t="s">
        <v>338</v>
      </c>
      <c r="D149" s="34" t="str">
        <f t="array" ref="D149">IFNA(_xlfn.XLOOKUP(C149,Table_Tarikan_Warkah[Nomor Sertipikat],Table_Tarikan_Warkah[Nomor Tiket]),"")</f>
        <v>K/50/041124/1</v>
      </c>
      <c r="E149" s="36" t="str">
        <f t="array" ref="E149">IFNA(_xlfn.XLOOKUP(C149,Table_Tarikan_Warkah[Nomor Sertipikat],Table_Tarikan_Warkah[Tanggal diserahkan kepada Validator]),"")</f>
        <v/>
      </c>
      <c r="F149" s="36" t="str">
        <f t="array" ref="F149">IFNA(_xlfn.XLOOKUP(C149,Table_Tarikan_Warkah[Nomor Sertipikat],Table_Tarikan_Warkah[Nama Petugas Warkah]),"")</f>
        <v/>
      </c>
      <c r="G149" s="39" t="str">
        <f t="array" ref="G149">IFNA(_xlfn.XLOOKUP(C149,Table_Tarikan_Warkah[Nomor Sertipikat],Table_Tarikan_Warkah[Jenis Permohonan]),"")</f>
        <v>BN JUAL BELI</v>
      </c>
      <c r="H149" s="41" t="s">
        <v>20</v>
      </c>
      <c r="I149" s="41" t="s">
        <v>12</v>
      </c>
      <c r="J149" s="36">
        <f t="shared" si="17"/>
        <v>45602.6137</v>
      </c>
      <c r="K149" s="49" t="s">
        <v>26</v>
      </c>
      <c r="L149" s="49" t="s">
        <v>12</v>
      </c>
      <c r="M149" s="36">
        <f t="shared" si="18"/>
        <v>45603.61224</v>
      </c>
      <c r="N149" s="30" t="str">
        <f t="shared" si="3"/>
        <v>SELESAI</v>
      </c>
      <c r="O149" s="45">
        <f t="shared" si="12"/>
        <v>45603.61224</v>
      </c>
      <c r="P149" s="47" t="b">
        <v>0</v>
      </c>
      <c r="Q149" s="36" t="str">
        <f t="shared" si="5"/>
        <v/>
      </c>
      <c r="R149" s="47" t="b">
        <v>1</v>
      </c>
      <c r="S149" s="36">
        <f t="shared" si="6"/>
        <v>45603.61436</v>
      </c>
      <c r="T149" s="42"/>
    </row>
    <row r="150" ht="22.5" customHeight="1">
      <c r="B150" s="42">
        <f t="shared" si="7"/>
        <v>144</v>
      </c>
      <c r="C150" s="31" t="s">
        <v>339</v>
      </c>
      <c r="D150" s="34" t="str">
        <f t="array" ref="D150">IFNA(_xlfn.XLOOKUP(C150,Table_Tarikan_Warkah[Nomor Sertipikat],Table_Tarikan_Warkah[Nomor Tiket]),"")</f>
        <v>K/36/041124/2</v>
      </c>
      <c r="E150" s="36" t="str">
        <f t="array" ref="E150">IFNA(_xlfn.XLOOKUP(C150,Table_Tarikan_Warkah[Nomor Sertipikat],Table_Tarikan_Warkah[Tanggal diserahkan kepada Validator]),"")</f>
        <v>05/11/2024 16.28</v>
      </c>
      <c r="F150" s="36" t="str">
        <f t="array" ref="F150">IFNA(_xlfn.XLOOKUP(C150,Table_Tarikan_Warkah[Nomor Sertipikat],Table_Tarikan_Warkah[Nama Petugas Warkah]),"")</f>
        <v>David</v>
      </c>
      <c r="G150" s="39" t="str">
        <f t="array" ref="G150">IFNA(_xlfn.XLOOKUP(C150,Table_Tarikan_Warkah[Nomor Sertipikat],Table_Tarikan_Warkah[Jenis Permohonan]),"")</f>
        <v>roya</v>
      </c>
      <c r="H150" s="41" t="s">
        <v>20</v>
      </c>
      <c r="I150" s="41" t="s">
        <v>12</v>
      </c>
      <c r="J150" s="36">
        <f t="shared" si="17"/>
        <v>45602.6138</v>
      </c>
      <c r="K150" s="49" t="s">
        <v>26</v>
      </c>
      <c r="L150" s="49" t="s">
        <v>12</v>
      </c>
      <c r="M150" s="36">
        <f t="shared" si="18"/>
        <v>45603.61224</v>
      </c>
      <c r="N150" s="30" t="str">
        <f t="shared" si="3"/>
        <v>SELESAI</v>
      </c>
      <c r="O150" s="45">
        <f t="shared" si="12"/>
        <v>45603.61224</v>
      </c>
      <c r="P150" s="47" t="b">
        <v>0</v>
      </c>
      <c r="Q150" s="36" t="str">
        <f t="shared" si="5"/>
        <v/>
      </c>
      <c r="R150" s="47" t="b">
        <v>1</v>
      </c>
      <c r="S150" s="36">
        <f t="shared" si="6"/>
        <v>45603.61436</v>
      </c>
      <c r="T150" s="42"/>
    </row>
    <row r="151" ht="22.5" customHeight="1">
      <c r="B151" s="42">
        <f t="shared" si="7"/>
        <v>145</v>
      </c>
      <c r="C151" s="31" t="s">
        <v>340</v>
      </c>
      <c r="D151" s="34" t="str">
        <f t="array" ref="D151">IFNA(_xlfn.XLOOKUP(C151,Table_Tarikan_Warkah[Nomor Sertipikat],Table_Tarikan_Warkah[Nomor Tiket]),"")</f>
        <v>K/35/041124/1</v>
      </c>
      <c r="E151" s="36" t="str">
        <f t="array" ref="E151">IFNA(_xlfn.XLOOKUP(C151,Table_Tarikan_Warkah[Nomor Sertipikat],Table_Tarikan_Warkah[Tanggal diserahkan kepada Validator]),"")</f>
        <v>05/11/2024 16.27</v>
      </c>
      <c r="F151" s="36" t="str">
        <f t="array" ref="F151">IFNA(_xlfn.XLOOKUP(C151,Table_Tarikan_Warkah[Nomor Sertipikat],Table_Tarikan_Warkah[Nama Petugas Warkah]),"")</f>
        <v>David</v>
      </c>
      <c r="G151" s="39" t="str">
        <f t="array" ref="G151">IFNA(_xlfn.XLOOKUP(C151,Table_Tarikan_Warkah[Nomor Sertipikat],Table_Tarikan_Warkah[Jenis Permohonan]),"")</f>
        <v>roya</v>
      </c>
      <c r="H151" s="41" t="s">
        <v>20</v>
      </c>
      <c r="I151" s="41" t="s">
        <v>12</v>
      </c>
      <c r="J151" s="36">
        <f t="shared" si="17"/>
        <v>45602.61401</v>
      </c>
      <c r="K151" s="49" t="s">
        <v>26</v>
      </c>
      <c r="L151" s="49" t="s">
        <v>12</v>
      </c>
      <c r="M151" s="36">
        <f t="shared" si="18"/>
        <v>45603.61224</v>
      </c>
      <c r="N151" s="30" t="str">
        <f t="shared" si="3"/>
        <v>SELESAI</v>
      </c>
      <c r="O151" s="45">
        <f t="shared" si="12"/>
        <v>45603.61224</v>
      </c>
      <c r="P151" s="47" t="b">
        <v>0</v>
      </c>
      <c r="Q151" s="36" t="str">
        <f t="shared" si="5"/>
        <v/>
      </c>
      <c r="R151" s="47" t="b">
        <v>1</v>
      </c>
      <c r="S151" s="36">
        <f t="shared" si="6"/>
        <v>45603.61439</v>
      </c>
      <c r="T151" s="42"/>
    </row>
    <row r="152" ht="22.5" customHeight="1">
      <c r="B152" s="42">
        <f t="shared" si="7"/>
        <v>146</v>
      </c>
      <c r="C152" s="31" t="s">
        <v>341</v>
      </c>
      <c r="D152" s="34" t="str">
        <f t="array" ref="D152">IFNA(_xlfn.XLOOKUP(C152,Table_Tarikan_Warkah[Nomor Sertipikat],Table_Tarikan_Warkah[Nomor Tiket]),"")</f>
        <v>K/60/311024/1</v>
      </c>
      <c r="E152" s="36" t="str">
        <f t="array" ref="E152">IFNA(_xlfn.XLOOKUP(C152,Table_Tarikan_Warkah[Nomor Sertipikat],Table_Tarikan_Warkah[Tanggal diserahkan kepada Validator]),"")</f>
        <v>04/11/2024 09.29</v>
      </c>
      <c r="F152" s="36" t="str">
        <f t="array" ref="F152">IFNA(_xlfn.XLOOKUP(C152,Table_Tarikan_Warkah[Nomor Sertipikat],Table_Tarikan_Warkah[Nama Petugas Warkah]),"")</f>
        <v>David</v>
      </c>
      <c r="G152" s="39" t="str">
        <f t="array" ref="G152">IFNA(_xlfn.XLOOKUP(C152,Table_Tarikan_Warkah[Nomor Sertipikat],Table_Tarikan_Warkah[Jenis Permohonan]),"")</f>
        <v>BN Jual Beli</v>
      </c>
      <c r="H152" s="41" t="s">
        <v>20</v>
      </c>
      <c r="I152" s="41" t="s">
        <v>12</v>
      </c>
      <c r="J152" s="36">
        <f t="shared" si="17"/>
        <v>45602.61418</v>
      </c>
      <c r="K152" s="49" t="s">
        <v>26</v>
      </c>
      <c r="L152" s="49" t="s">
        <v>12</v>
      </c>
      <c r="M152" s="36">
        <f t="shared" si="18"/>
        <v>45603.61224</v>
      </c>
      <c r="N152" s="30" t="str">
        <f t="shared" si="3"/>
        <v>SELESAI</v>
      </c>
      <c r="O152" s="45">
        <f t="shared" si="12"/>
        <v>45603.61224</v>
      </c>
      <c r="P152" s="47" t="b">
        <v>0</v>
      </c>
      <c r="Q152" s="36" t="str">
        <f t="shared" si="5"/>
        <v/>
      </c>
      <c r="R152" s="47" t="b">
        <v>1</v>
      </c>
      <c r="S152" s="36">
        <f t="shared" si="6"/>
        <v>45603.6144</v>
      </c>
      <c r="T152" s="42"/>
    </row>
    <row r="153" ht="22.5" customHeight="1">
      <c r="B153" s="42">
        <f t="shared" si="7"/>
        <v>147</v>
      </c>
      <c r="C153" s="31" t="s">
        <v>342</v>
      </c>
      <c r="D153" s="34" t="str">
        <f t="array" ref="D153">IFNA(_xlfn.XLOOKUP(C153,Table_Tarikan_Warkah[Nomor Sertipikat],Table_Tarikan_Warkah[Nomor Tiket]),"")</f>
        <v>L/18/051124/1</v>
      </c>
      <c r="E153" s="36" t="str">
        <f t="array" ref="E153">IFNA(_xlfn.XLOOKUP(C153,Table_Tarikan_Warkah[Nomor Sertipikat],Table_Tarikan_Warkah[Tanggal diserahkan kepada Validator]),"")</f>
        <v>06/11/2024 13.38</v>
      </c>
      <c r="F153" s="36" t="str">
        <f t="array" ref="F153">IFNA(_xlfn.XLOOKUP(C153,Table_Tarikan_Warkah[Nomor Sertipikat],Table_Tarikan_Warkah[Nama Petugas Warkah]),"")</f>
        <v>David</v>
      </c>
      <c r="G153" s="39" t="str">
        <f t="array" ref="G153">IFNA(_xlfn.XLOOKUP(C153,Table_Tarikan_Warkah[Nomor Sertipikat],Table_Tarikan_Warkah[Jenis Permohonan]),"")</f>
        <v>ROYA</v>
      </c>
      <c r="H153" s="41" t="s">
        <v>11</v>
      </c>
      <c r="I153" s="41" t="s">
        <v>12</v>
      </c>
      <c r="J153" s="36">
        <f t="shared" si="17"/>
        <v>45602.65536</v>
      </c>
      <c r="K153" s="49" t="s">
        <v>26</v>
      </c>
      <c r="L153" s="49" t="s">
        <v>12</v>
      </c>
      <c r="M153" s="36">
        <f t="shared" si="18"/>
        <v>45603.61224</v>
      </c>
      <c r="N153" s="30" t="str">
        <f t="shared" si="3"/>
        <v>SELESAI</v>
      </c>
      <c r="O153" s="45">
        <f t="shared" si="12"/>
        <v>45603.61224</v>
      </c>
      <c r="P153" s="47" t="b">
        <v>0</v>
      </c>
      <c r="Q153" s="36" t="str">
        <f t="shared" si="5"/>
        <v/>
      </c>
      <c r="R153" s="47" t="b">
        <v>1</v>
      </c>
      <c r="S153" s="36">
        <f t="shared" si="6"/>
        <v>45603.61458</v>
      </c>
      <c r="T153" s="42"/>
    </row>
    <row r="154" ht="22.5" customHeight="1">
      <c r="B154" s="42">
        <f t="shared" si="7"/>
        <v>148</v>
      </c>
      <c r="C154" s="31" t="s">
        <v>343</v>
      </c>
      <c r="D154" s="34" t="str">
        <f t="array" ref="D154">IFNA(_xlfn.XLOOKUP(C154,Table_Tarikan_Warkah[Nomor Sertipikat],Table_Tarikan_Warkah[Nomor Tiket]),"")</f>
        <v>L/31/041124/1</v>
      </c>
      <c r="E154" s="36" t="str">
        <f t="array" ref="E154">IFNA(_xlfn.XLOOKUP(C154,Table_Tarikan_Warkah[Nomor Sertipikat],Table_Tarikan_Warkah[Tanggal diserahkan kepada Validator]),"")</f>
        <v>06/11/2024 13.33</v>
      </c>
      <c r="F154" s="36" t="str">
        <f t="array" ref="F154">IFNA(_xlfn.XLOOKUP(C154,Table_Tarikan_Warkah[Nomor Sertipikat],Table_Tarikan_Warkah[Nama Petugas Warkah]),"")</f>
        <v>David</v>
      </c>
      <c r="G154" s="39" t="str">
        <f t="array" ref="G154">IFNA(_xlfn.XLOOKUP(C154,Table_Tarikan_Warkah[Nomor Sertipikat],Table_Tarikan_Warkah[Jenis Permohonan]),"")</f>
        <v>PERUBAHAN HAK</v>
      </c>
      <c r="H154" s="41" t="s">
        <v>11</v>
      </c>
      <c r="I154" s="41" t="s">
        <v>12</v>
      </c>
      <c r="J154" s="36">
        <f t="shared" si="17"/>
        <v>45602.65558</v>
      </c>
      <c r="K154" s="49" t="s">
        <v>26</v>
      </c>
      <c r="L154" s="49" t="s">
        <v>12</v>
      </c>
      <c r="M154" s="36">
        <f t="shared" si="18"/>
        <v>45603.61224</v>
      </c>
      <c r="N154" s="30" t="str">
        <f t="shared" si="3"/>
        <v>SELESAI</v>
      </c>
      <c r="O154" s="45">
        <f t="shared" si="12"/>
        <v>45603.61224</v>
      </c>
      <c r="P154" s="47" t="b">
        <v>0</v>
      </c>
      <c r="Q154" s="36" t="str">
        <f t="shared" si="5"/>
        <v/>
      </c>
      <c r="R154" s="47" t="b">
        <v>1</v>
      </c>
      <c r="S154" s="36">
        <f t="shared" si="6"/>
        <v>45603.6146</v>
      </c>
      <c r="T154" s="42"/>
    </row>
    <row r="155" ht="22.5" customHeight="1">
      <c r="B155" s="42">
        <f t="shared" si="7"/>
        <v>149</v>
      </c>
      <c r="C155" s="31" t="s">
        <v>344</v>
      </c>
      <c r="D155" s="34" t="str">
        <f t="array" ref="D155">IFNA(_xlfn.XLOOKUP(C155,Table_Tarikan_Warkah[Nomor Sertipikat],Table_Tarikan_Warkah[Nomor Tiket]),"")</f>
        <v>K/37/041124/3</v>
      </c>
      <c r="E155" s="36" t="str">
        <f t="array" ref="E155">IFNA(_xlfn.XLOOKUP(C155,Table_Tarikan_Warkah[Nomor Sertipikat],Table_Tarikan_Warkah[Tanggal diserahkan kepada Validator]),"")</f>
        <v>06/11/2024 13.46</v>
      </c>
      <c r="F155" s="36" t="str">
        <f t="array" ref="F155">IFNA(_xlfn.XLOOKUP(C155,Table_Tarikan_Warkah[Nomor Sertipikat],Table_Tarikan_Warkah[Nama Petugas Warkah]),"")</f>
        <v>Pras</v>
      </c>
      <c r="G155" s="39" t="str">
        <f t="array" ref="G155">IFNA(_xlfn.XLOOKUP(C155,Table_Tarikan_Warkah[Nomor Sertipikat],Table_Tarikan_Warkah[Jenis Permohonan]),"")</f>
        <v>PENATAAN BATAS</v>
      </c>
      <c r="H155" s="41" t="s">
        <v>11</v>
      </c>
      <c r="I155" s="41" t="s">
        <v>12</v>
      </c>
      <c r="J155" s="36">
        <f t="shared" si="17"/>
        <v>45602.65673</v>
      </c>
      <c r="K155" s="49" t="s">
        <v>26</v>
      </c>
      <c r="L155" s="49" t="s">
        <v>12</v>
      </c>
      <c r="M155" s="36">
        <f t="shared" si="18"/>
        <v>45603.61224</v>
      </c>
      <c r="N155" s="30" t="str">
        <f t="shared" si="3"/>
        <v>SELESAI</v>
      </c>
      <c r="O155" s="45">
        <f t="shared" si="12"/>
        <v>45603.61224</v>
      </c>
      <c r="P155" s="47" t="b">
        <v>0</v>
      </c>
      <c r="Q155" s="36" t="str">
        <f t="shared" si="5"/>
        <v/>
      </c>
      <c r="R155" s="47" t="b">
        <v>1</v>
      </c>
      <c r="S155" s="36">
        <f t="shared" si="6"/>
        <v>45603.61224</v>
      </c>
      <c r="T155" s="42"/>
    </row>
    <row r="156" ht="22.5" customHeight="1">
      <c r="B156" s="42">
        <f t="shared" si="7"/>
        <v>150</v>
      </c>
      <c r="C156" s="31" t="s">
        <v>345</v>
      </c>
      <c r="D156" s="34" t="str">
        <f t="array" ref="D156">IFNA(_xlfn.XLOOKUP(C156,Table_Tarikan_Warkah[Nomor Sertipikat],Table_Tarikan_Warkah[Nomor Tiket]),"")</f>
        <v>L/40/041124/1</v>
      </c>
      <c r="E156" s="36" t="str">
        <f t="array" ref="E156">IFNA(_xlfn.XLOOKUP(C156,Table_Tarikan_Warkah[Nomor Sertipikat],Table_Tarikan_Warkah[Tanggal diserahkan kepada Validator]),"")</f>
        <v/>
      </c>
      <c r="F156" s="36" t="str">
        <f t="array" ref="F156">IFNA(_xlfn.XLOOKUP(C156,Table_Tarikan_Warkah[Nomor Sertipikat],Table_Tarikan_Warkah[Nama Petugas Warkah]),"")</f>
        <v>David</v>
      </c>
      <c r="G156" s="39" t="str">
        <f t="array" ref="G156">IFNA(_xlfn.XLOOKUP(C156,Table_Tarikan_Warkah[Nomor Sertipikat],Table_Tarikan_Warkah[Jenis Permohonan]),"")</f>
        <v>ROYA</v>
      </c>
      <c r="H156" s="41" t="s">
        <v>20</v>
      </c>
      <c r="I156" s="41" t="s">
        <v>12</v>
      </c>
      <c r="J156" s="36">
        <f t="shared" si="17"/>
        <v>45603.42472</v>
      </c>
      <c r="K156" s="49" t="s">
        <v>197</v>
      </c>
      <c r="L156" s="49" t="s">
        <v>23</v>
      </c>
      <c r="M156" s="36">
        <f t="shared" si="18"/>
        <v>45604.61886</v>
      </c>
      <c r="N156" s="30" t="str">
        <f t="shared" si="3"/>
        <v>Selesai</v>
      </c>
      <c r="O156" s="45">
        <f t="shared" si="12"/>
        <v>45604.61886</v>
      </c>
      <c r="P156" s="47" t="b">
        <v>1</v>
      </c>
      <c r="Q156" s="36">
        <f t="shared" si="5"/>
        <v>45604.62008</v>
      </c>
      <c r="R156" s="47" t="b">
        <v>0</v>
      </c>
      <c r="S156" s="42" t="str">
        <f t="shared" si="6"/>
        <v/>
      </c>
      <c r="T156" s="42"/>
    </row>
    <row r="157" ht="22.5" customHeight="1">
      <c r="B157" s="42">
        <f t="shared" si="7"/>
        <v>151</v>
      </c>
      <c r="C157" s="31" t="s">
        <v>346</v>
      </c>
      <c r="D157" s="34" t="str">
        <f t="array" ref="D157">IFNA(_xlfn.XLOOKUP(C157,Table_Tarikan_Warkah[Nomor Sertipikat],Table_Tarikan_Warkah[Nomor Tiket]),"")</f>
        <v>L/49/051124/1</v>
      </c>
      <c r="E157" s="36" t="str">
        <f t="array" ref="E157">IFNA(_xlfn.XLOOKUP(C157,Table_Tarikan_Warkah[Nomor Sertipikat],Table_Tarikan_Warkah[Tanggal diserahkan kepada Validator]),"")</f>
        <v>06/11/2024 13.43</v>
      </c>
      <c r="F157" s="36" t="str">
        <f t="array" ref="F157">IFNA(_xlfn.XLOOKUP(C157,Table_Tarikan_Warkah[Nomor Sertipikat],Table_Tarikan_Warkah[Nama Petugas Warkah]),"")</f>
        <v>Berry</v>
      </c>
      <c r="G157" s="39" t="str">
        <f t="array" ref="G157">IFNA(_xlfn.XLOOKUP(C157,Table_Tarikan_Warkah[Nomor Sertipikat],Table_Tarikan_Warkah[Jenis Permohonan]),"")</f>
        <v>ROYA</v>
      </c>
      <c r="H157" s="41" t="s">
        <v>20</v>
      </c>
      <c r="I157" s="41" t="s">
        <v>12</v>
      </c>
      <c r="J157" s="36">
        <f t="shared" si="17"/>
        <v>45603.49461</v>
      </c>
      <c r="K157" s="49" t="s">
        <v>197</v>
      </c>
      <c r="L157" s="49" t="s">
        <v>12</v>
      </c>
      <c r="M157" s="36">
        <f t="shared" si="18"/>
        <v>45604.61908</v>
      </c>
      <c r="N157" s="30" t="str">
        <f t="shared" si="3"/>
        <v>SELESAI</v>
      </c>
      <c r="O157" s="45">
        <f t="shared" si="12"/>
        <v>45604.61908</v>
      </c>
      <c r="P157" s="47" t="b">
        <v>0</v>
      </c>
      <c r="Q157" s="36" t="str">
        <f t="shared" si="5"/>
        <v/>
      </c>
      <c r="R157" s="47" t="b">
        <v>1</v>
      </c>
      <c r="S157" s="36">
        <f t="shared" si="6"/>
        <v>45604.62013</v>
      </c>
      <c r="T157" s="42"/>
    </row>
    <row r="158" ht="22.5" customHeight="1">
      <c r="B158" s="42">
        <f t="shared" si="7"/>
        <v>152</v>
      </c>
      <c r="C158" s="31" t="s">
        <v>347</v>
      </c>
      <c r="D158" s="34" t="str">
        <f t="array" ref="D158">IFNA(_xlfn.XLOOKUP(C158,Table_Tarikan_Warkah[Nomor Sertipikat],Table_Tarikan_Warkah[Nomor Tiket]),"")</f>
        <v>L/31/051124/1</v>
      </c>
      <c r="E158" s="36" t="str">
        <f t="array" ref="E158">IFNA(_xlfn.XLOOKUP(C158,Table_Tarikan_Warkah[Nomor Sertipikat],Table_Tarikan_Warkah[Tanggal diserahkan kepada Validator]),"")</f>
        <v>06/11/2024 13.42</v>
      </c>
      <c r="F158" s="36" t="str">
        <f t="array" ref="F158">IFNA(_xlfn.XLOOKUP(C158,Table_Tarikan_Warkah[Nomor Sertipikat],Table_Tarikan_Warkah[Nama Petugas Warkah]),"")</f>
        <v>Berry</v>
      </c>
      <c r="G158" s="39" t="str">
        <f t="array" ref="G158">IFNA(_xlfn.XLOOKUP(C158,Table_Tarikan_Warkah[Nomor Sertipikat],Table_Tarikan_Warkah[Jenis Permohonan]),"")</f>
        <v>ROYA</v>
      </c>
      <c r="H158" s="41" t="s">
        <v>20</v>
      </c>
      <c r="I158" s="41" t="s">
        <v>12</v>
      </c>
      <c r="J158" s="36">
        <f t="shared" si="17"/>
        <v>45603.49493</v>
      </c>
      <c r="K158" s="49" t="s">
        <v>197</v>
      </c>
      <c r="L158" s="49" t="s">
        <v>12</v>
      </c>
      <c r="M158" s="36">
        <f t="shared" si="18"/>
        <v>45604.61911</v>
      </c>
      <c r="N158" s="30" t="str">
        <f t="shared" si="3"/>
        <v>SELESAI</v>
      </c>
      <c r="O158" s="45">
        <f t="shared" si="12"/>
        <v>45604.61911</v>
      </c>
      <c r="P158" s="47" t="b">
        <v>0</v>
      </c>
      <c r="Q158" s="36" t="str">
        <f t="shared" si="5"/>
        <v/>
      </c>
      <c r="R158" s="47" t="b">
        <v>1</v>
      </c>
      <c r="S158" s="36">
        <f t="shared" si="6"/>
        <v>45604.62015</v>
      </c>
      <c r="T158" s="42"/>
    </row>
    <row r="159" ht="22.5" customHeight="1">
      <c r="B159" s="42">
        <f t="shared" si="7"/>
        <v>153</v>
      </c>
      <c r="C159" s="31" t="s">
        <v>348</v>
      </c>
      <c r="D159" s="34" t="str">
        <f t="array" ref="D159">IFNA(_xlfn.XLOOKUP(C159,Table_Tarikan_Warkah[Nomor Sertipikat],Table_Tarikan_Warkah[Nomor Tiket]),"")</f>
        <v>K/48/041124/2</v>
      </c>
      <c r="E159" s="36" t="str">
        <f t="array" ref="E159">IFNA(_xlfn.XLOOKUP(C159,Table_Tarikan_Warkah[Nomor Sertipikat],Table_Tarikan_Warkah[Tanggal diserahkan kepada Validator]),"")</f>
        <v>12/11/2024 13.58</v>
      </c>
      <c r="F159" s="36" t="str">
        <f t="array" ref="F159">IFNA(_xlfn.XLOOKUP(C159,Table_Tarikan_Warkah[Nomor Sertipikat],Table_Tarikan_Warkah[Nama Petugas Warkah]),"")</f>
        <v>David</v>
      </c>
      <c r="G159" s="39" t="str">
        <f t="array" ref="G159">IFNA(_xlfn.XLOOKUP(C159,Table_Tarikan_Warkah[Nomor Sertipikat],Table_Tarikan_Warkah[Jenis Permohonan]),"")</f>
        <v>BN Jual Beli</v>
      </c>
      <c r="H159" s="41" t="s">
        <v>20</v>
      </c>
      <c r="I159" s="41" t="s">
        <v>12</v>
      </c>
      <c r="J159" s="36">
        <f t="shared" si="17"/>
        <v>45603.61548</v>
      </c>
      <c r="K159" s="49" t="s">
        <v>26</v>
      </c>
      <c r="L159" s="49" t="s">
        <v>23</v>
      </c>
      <c r="M159" s="36">
        <f t="shared" si="18"/>
        <v>45604.61956</v>
      </c>
      <c r="N159" s="30" t="str">
        <f t="shared" si="3"/>
        <v>Selesai</v>
      </c>
      <c r="O159" s="45">
        <f t="shared" si="12"/>
        <v>45604.61956</v>
      </c>
      <c r="P159" s="47" t="b">
        <v>1</v>
      </c>
      <c r="Q159" s="36">
        <f t="shared" si="5"/>
        <v>45604.61997</v>
      </c>
      <c r="R159" s="47" t="b">
        <v>0</v>
      </c>
      <c r="S159" s="42" t="str">
        <f t="shared" si="6"/>
        <v/>
      </c>
      <c r="T159" s="42"/>
    </row>
    <row r="160" ht="22.5" customHeight="1">
      <c r="B160" s="42">
        <f t="shared" si="7"/>
        <v>154</v>
      </c>
      <c r="C160" s="31" t="s">
        <v>349</v>
      </c>
      <c r="D160" s="34" t="str">
        <f t="array" ref="D160">IFNA(_xlfn.XLOOKUP(C160,Table_Tarikan_Warkah[Nomor Sertipikat],Table_Tarikan_Warkah[Nomor Tiket]),"")</f>
        <v>K/38/311024/1</v>
      </c>
      <c r="E160" s="36" t="str">
        <f t="array" ref="E160">IFNA(_xlfn.XLOOKUP(C160,Table_Tarikan_Warkah[Nomor Sertipikat],Table_Tarikan_Warkah[Tanggal diserahkan kepada Validator]),"")</f>
        <v>13/11/2024 14.14</v>
      </c>
      <c r="F160" s="36" t="str">
        <f t="array" ref="F160">IFNA(_xlfn.XLOOKUP(C160,Table_Tarikan_Warkah[Nomor Sertipikat],Table_Tarikan_Warkah[Nama Petugas Warkah]),"")</f>
        <v>David</v>
      </c>
      <c r="G160" s="39" t="str">
        <f t="array" ref="G160">IFNA(_xlfn.XLOOKUP(C160,Table_Tarikan_Warkah[Nomor Sertipikat],Table_Tarikan_Warkah[Jenis Permohonan]),"")</f>
        <v>Ganti Nama Kreditur</v>
      </c>
      <c r="H160" s="41" t="s">
        <v>20</v>
      </c>
      <c r="I160" s="41" t="s">
        <v>12</v>
      </c>
      <c r="J160" s="36">
        <f t="shared" si="17"/>
        <v>45603.61585</v>
      </c>
      <c r="K160" s="49" t="s">
        <v>26</v>
      </c>
      <c r="L160" s="49" t="s">
        <v>23</v>
      </c>
      <c r="M160" s="36">
        <f t="shared" si="18"/>
        <v>45604.61961</v>
      </c>
      <c r="N160" s="30" t="str">
        <f t="shared" si="3"/>
        <v>Selesai</v>
      </c>
      <c r="O160" s="45">
        <f t="shared" si="12"/>
        <v>45604.61961</v>
      </c>
      <c r="P160" s="47" t="b">
        <v>1</v>
      </c>
      <c r="Q160" s="36">
        <f t="shared" si="5"/>
        <v>45604.61994</v>
      </c>
      <c r="R160" s="47" t="b">
        <v>1</v>
      </c>
      <c r="S160" s="36">
        <f t="shared" si="6"/>
        <v>45609.64436</v>
      </c>
      <c r="T160" s="42"/>
    </row>
    <row r="161" ht="22.5" customHeight="1">
      <c r="B161" s="42">
        <f t="shared" si="7"/>
        <v>155</v>
      </c>
      <c r="C161" s="31" t="s">
        <v>350</v>
      </c>
      <c r="D161" s="34" t="str">
        <f t="array" ref="D161">IFNA(_xlfn.XLOOKUP(C161,Table_Tarikan_Warkah[Nomor Sertipikat],Table_Tarikan_Warkah[Nomor Tiket]),"")</f>
        <v>K/39/221024/1</v>
      </c>
      <c r="E161" s="36" t="str">
        <f t="array" ref="E161">IFNA(_xlfn.XLOOKUP(C161,Table_Tarikan_Warkah[Nomor Sertipikat],Table_Tarikan_Warkah[Tanggal diserahkan kepada Validator]),"")</f>
        <v>12/11/2024 14.00</v>
      </c>
      <c r="F161" s="36" t="str">
        <f t="array" ref="F161">IFNA(_xlfn.XLOOKUP(C161,Table_Tarikan_Warkah[Nomor Sertipikat],Table_Tarikan_Warkah[Nama Petugas Warkah]),"")</f>
        <v>Sahelia</v>
      </c>
      <c r="G161" s="39" t="str">
        <f t="array" ref="G161">IFNA(_xlfn.XLOOKUP(C161,Table_Tarikan_Warkah[Nomor Sertipikat],Table_Tarikan_Warkah[Jenis Permohonan]),"")</f>
        <v>BN Jual Beli</v>
      </c>
      <c r="H161" s="41" t="s">
        <v>20</v>
      </c>
      <c r="I161" s="41" t="s">
        <v>12</v>
      </c>
      <c r="J161" s="36">
        <f t="shared" si="17"/>
        <v>45603.61701</v>
      </c>
      <c r="K161" s="49" t="s">
        <v>26</v>
      </c>
      <c r="L161" s="49" t="s">
        <v>23</v>
      </c>
      <c r="M161" s="36">
        <f t="shared" si="18"/>
        <v>45604.61974</v>
      </c>
      <c r="N161" s="30" t="str">
        <f t="shared" si="3"/>
        <v>Selesai</v>
      </c>
      <c r="O161" s="45">
        <f t="shared" si="12"/>
        <v>45604.61974</v>
      </c>
      <c r="P161" s="47" t="b">
        <v>1</v>
      </c>
      <c r="Q161" s="36">
        <f t="shared" si="5"/>
        <v>45604.61989</v>
      </c>
      <c r="R161" s="47" t="b">
        <v>0</v>
      </c>
      <c r="S161" s="42" t="str">
        <f t="shared" si="6"/>
        <v/>
      </c>
      <c r="T161" s="42"/>
    </row>
    <row r="162" ht="22.5" customHeight="1">
      <c r="B162" s="42">
        <f t="shared" si="7"/>
        <v>156</v>
      </c>
      <c r="C162" s="31" t="s">
        <v>351</v>
      </c>
      <c r="D162" s="34" t="str">
        <f t="array" ref="D162">IFNA(_xlfn.XLOOKUP(C162,Table_Tarikan_Warkah[Nomor Sertipikat],Table_Tarikan_Warkah[Nomor Tiket]),"")</f>
        <v>K/7/051124/2</v>
      </c>
      <c r="E162" s="36" t="str">
        <f t="array" ref="E162">IFNA(_xlfn.XLOOKUP(C162,Table_Tarikan_Warkah[Nomor Sertipikat],Table_Tarikan_Warkah[Tanggal diserahkan kepada Validator]),"")</f>
        <v>13/11/2024 10.45</v>
      </c>
      <c r="F162" s="36" t="str">
        <f t="array" ref="F162">IFNA(_xlfn.XLOOKUP(C162,Table_Tarikan_Warkah[Nomor Sertipikat],Table_Tarikan_Warkah[Nama Petugas Warkah]),"")</f>
        <v>David</v>
      </c>
      <c r="G162" s="39" t="str">
        <f t="array" ref="G162">IFNA(_xlfn.XLOOKUP(C162,Table_Tarikan_Warkah[Nomor Sertipikat],Table_Tarikan_Warkah[Jenis Permohonan]),"")</f>
        <v>BN JUAL BELI</v>
      </c>
      <c r="H162" s="41" t="s">
        <v>20</v>
      </c>
      <c r="I162" s="41" t="s">
        <v>12</v>
      </c>
      <c r="J162" s="36">
        <f t="shared" si="17"/>
        <v>45604.4788</v>
      </c>
      <c r="K162" s="49" t="s">
        <v>26</v>
      </c>
      <c r="L162" s="49" t="s">
        <v>23</v>
      </c>
      <c r="M162" s="36">
        <f t="shared" si="18"/>
        <v>45607.64716</v>
      </c>
      <c r="N162" s="30" t="str">
        <f t="shared" si="3"/>
        <v>Selesai</v>
      </c>
      <c r="O162" s="45">
        <f t="shared" si="12"/>
        <v>45607.64716</v>
      </c>
      <c r="P162" s="47" t="b">
        <v>1</v>
      </c>
      <c r="Q162" s="36">
        <f t="shared" si="5"/>
        <v>45607.64776</v>
      </c>
      <c r="R162" s="47" t="b">
        <v>1</v>
      </c>
      <c r="S162" s="36">
        <f t="shared" si="6"/>
        <v>45609.45319</v>
      </c>
      <c r="T162" s="42"/>
    </row>
    <row r="163" ht="22.5" customHeight="1">
      <c r="B163" s="42">
        <f t="shared" si="7"/>
        <v>157</v>
      </c>
      <c r="C163" s="31" t="s">
        <v>352</v>
      </c>
      <c r="D163" s="34" t="str">
        <f t="array" ref="D163">IFNA(_xlfn.XLOOKUP(C163,Table_Tarikan_Warkah[Nomor Sertipikat],Table_Tarikan_Warkah[Nomor Tiket]),"")</f>
        <v>K/43/041124/1</v>
      </c>
      <c r="E163" s="36" t="str">
        <f t="array" ref="E163">IFNA(_xlfn.XLOOKUP(C163,Table_Tarikan_Warkah[Nomor Sertipikat],Table_Tarikan_Warkah[Tanggal diserahkan kepada Validator]),"")</f>
        <v>13/11/2024 10.45</v>
      </c>
      <c r="F163" s="36" t="str">
        <f t="array" ref="F163">IFNA(_xlfn.XLOOKUP(C163,Table_Tarikan_Warkah[Nomor Sertipikat],Table_Tarikan_Warkah[Nama Petugas Warkah]),"")</f>
        <v>David</v>
      </c>
      <c r="G163" s="39" t="str">
        <f t="array" ref="G163">IFNA(_xlfn.XLOOKUP(C163,Table_Tarikan_Warkah[Nomor Sertipikat],Table_Tarikan_Warkah[Jenis Permohonan]),"")</f>
        <v>BN Lelang</v>
      </c>
      <c r="H163" s="41" t="s">
        <v>20</v>
      </c>
      <c r="I163" s="41" t="s">
        <v>12</v>
      </c>
      <c r="J163" s="36">
        <f t="shared" si="17"/>
        <v>45604.53358</v>
      </c>
      <c r="K163" s="49" t="s">
        <v>26</v>
      </c>
      <c r="L163" s="49" t="s">
        <v>23</v>
      </c>
      <c r="M163" s="36">
        <f t="shared" si="18"/>
        <v>45607.64721</v>
      </c>
      <c r="N163" s="30" t="str">
        <f t="shared" si="3"/>
        <v>Selesai</v>
      </c>
      <c r="O163" s="45">
        <f t="shared" si="12"/>
        <v>45607.64721</v>
      </c>
      <c r="P163" s="47" t="b">
        <v>1</v>
      </c>
      <c r="Q163" s="36">
        <f t="shared" si="5"/>
        <v>45607.64779</v>
      </c>
      <c r="R163" s="47" t="b">
        <v>1</v>
      </c>
      <c r="S163" s="36">
        <f t="shared" si="6"/>
        <v>45609.45332</v>
      </c>
      <c r="T163" s="42"/>
    </row>
    <row r="164" ht="22.5" customHeight="1">
      <c r="B164" s="42">
        <f t="shared" si="7"/>
        <v>158</v>
      </c>
      <c r="C164" s="31" t="s">
        <v>353</v>
      </c>
      <c r="D164" s="34" t="str">
        <f t="array" ref="D164">IFNA(_xlfn.XLOOKUP(C164,Table_Tarikan_Warkah[Nomor Sertipikat],Table_Tarikan_Warkah[Nomor Tiket]),"")</f>
        <v>K/33/071124/2</v>
      </c>
      <c r="E164" s="36" t="str">
        <f t="array" ref="E164">IFNA(_xlfn.XLOOKUP(C164,Table_Tarikan_Warkah[Nomor Sertipikat],Table_Tarikan_Warkah[Tanggal diserahkan kepada Validator]),"")</f>
        <v>18/12/2024 10.55</v>
      </c>
      <c r="F164" s="36" t="str">
        <f t="array" ref="F164">IFNA(_xlfn.XLOOKUP(C164,Table_Tarikan_Warkah[Nomor Sertipikat],Table_Tarikan_Warkah[Nama Petugas Warkah]),"")</f>
        <v>David</v>
      </c>
      <c r="G164" s="39" t="str">
        <f t="array" ref="G164">IFNA(_xlfn.XLOOKUP(C164,Table_Tarikan_Warkah[Nomor Sertipikat],Table_Tarikan_Warkah[Jenis Permohonan]),"")</f>
        <v>BN WARIS</v>
      </c>
      <c r="H164" s="41" t="s">
        <v>20</v>
      </c>
      <c r="I164" s="41" t="s">
        <v>12</v>
      </c>
      <c r="J164" s="36">
        <f t="shared" si="17"/>
        <v>45607.35337</v>
      </c>
      <c r="K164" s="49" t="s">
        <v>26</v>
      </c>
      <c r="L164" s="49" t="s">
        <v>23</v>
      </c>
      <c r="M164" s="36">
        <f t="shared" si="18"/>
        <v>45607.64721</v>
      </c>
      <c r="N164" s="30" t="str">
        <f t="shared" si="3"/>
        <v>Selesai</v>
      </c>
      <c r="O164" s="45">
        <f t="shared" si="12"/>
        <v>45607.64721</v>
      </c>
      <c r="P164" s="47" t="b">
        <v>1</v>
      </c>
      <c r="Q164" s="36">
        <f t="shared" si="5"/>
        <v>45607.64781</v>
      </c>
      <c r="R164" s="47" t="b">
        <v>0</v>
      </c>
      <c r="S164" s="42" t="str">
        <f t="shared" si="6"/>
        <v/>
      </c>
      <c r="T164" s="42"/>
    </row>
    <row r="165" ht="22.5" customHeight="1">
      <c r="B165" s="42">
        <f t="shared" si="7"/>
        <v>159</v>
      </c>
      <c r="C165" s="31" t="s">
        <v>354</v>
      </c>
      <c r="D165" s="34" t="str">
        <f t="array" ref="D165">IFNA(_xlfn.XLOOKUP(C165,Table_Tarikan_Warkah[Nomor Sertipikat],Table_Tarikan_Warkah[Nomor Tiket]),"")</f>
        <v>K/26/051124/1</v>
      </c>
      <c r="E165" s="36" t="str">
        <f t="array" ref="E165">IFNA(_xlfn.XLOOKUP(C165,Table_Tarikan_Warkah[Nomor Sertipikat],Table_Tarikan_Warkah[Tanggal diserahkan kepada Validator]),"")</f>
        <v/>
      </c>
      <c r="F165" s="36" t="str">
        <f t="array" ref="F165">IFNA(_xlfn.XLOOKUP(C165,Table_Tarikan_Warkah[Nomor Sertipikat],Table_Tarikan_Warkah[Nama Petugas Warkah]),"")</f>
        <v>David</v>
      </c>
      <c r="G165" s="39" t="str">
        <f t="array" ref="G165">IFNA(_xlfn.XLOOKUP(C165,Table_Tarikan_Warkah[Nomor Sertipikat],Table_Tarikan_Warkah[Jenis Permohonan]),"")</f>
        <v>Roya</v>
      </c>
      <c r="H165" s="41" t="s">
        <v>20</v>
      </c>
      <c r="I165" s="41" t="s">
        <v>12</v>
      </c>
      <c r="J165" s="36">
        <f t="shared" si="17"/>
        <v>45607.36244</v>
      </c>
      <c r="K165" s="49" t="s">
        <v>26</v>
      </c>
      <c r="L165" s="49" t="s">
        <v>23</v>
      </c>
      <c r="M165" s="36">
        <f t="shared" si="18"/>
        <v>45607.64723</v>
      </c>
      <c r="N165" s="30" t="str">
        <f t="shared" si="3"/>
        <v>Selesai</v>
      </c>
      <c r="O165" s="45">
        <f t="shared" si="12"/>
        <v>45607.64723</v>
      </c>
      <c r="P165" s="47" t="b">
        <v>1</v>
      </c>
      <c r="Q165" s="36">
        <f t="shared" si="5"/>
        <v>45607.64781</v>
      </c>
      <c r="R165" s="47" t="b">
        <v>0</v>
      </c>
      <c r="S165" s="42" t="str">
        <f t="shared" si="6"/>
        <v/>
      </c>
      <c r="T165" s="42"/>
    </row>
    <row r="166" ht="22.5" customHeight="1">
      <c r="B166" s="42">
        <f t="shared" si="7"/>
        <v>160</v>
      </c>
      <c r="C166" s="31" t="s">
        <v>355</v>
      </c>
      <c r="D166" s="50" t="s">
        <v>356</v>
      </c>
      <c r="E166" s="48">
        <v>45604.624152592594</v>
      </c>
      <c r="F166" s="42" t="s">
        <v>268</v>
      </c>
      <c r="G166" s="42" t="s">
        <v>357</v>
      </c>
      <c r="H166" s="41" t="s">
        <v>20</v>
      </c>
      <c r="I166" s="41" t="s">
        <v>12</v>
      </c>
      <c r="J166" s="36">
        <f t="shared" si="17"/>
        <v>45607.39703</v>
      </c>
      <c r="K166" s="49" t="s">
        <v>26</v>
      </c>
      <c r="L166" s="49" t="s">
        <v>23</v>
      </c>
      <c r="M166" s="36">
        <f t="shared" si="18"/>
        <v>45607.64738</v>
      </c>
      <c r="N166" s="30" t="str">
        <f t="shared" si="3"/>
        <v>Selesai</v>
      </c>
      <c r="O166" s="45">
        <f t="shared" si="12"/>
        <v>45607.64738</v>
      </c>
      <c r="P166" s="47" t="b">
        <v>1</v>
      </c>
      <c r="Q166" s="36">
        <f t="shared" si="5"/>
        <v>45607.64796</v>
      </c>
      <c r="R166" s="47" t="b">
        <v>0</v>
      </c>
      <c r="S166" s="42" t="str">
        <f t="shared" si="6"/>
        <v/>
      </c>
      <c r="T166" s="42"/>
    </row>
    <row r="167" ht="22.5" customHeight="1">
      <c r="B167" s="42">
        <f t="shared" si="7"/>
        <v>161</v>
      </c>
      <c r="C167" s="31" t="s">
        <v>358</v>
      </c>
      <c r="D167" s="34" t="str">
        <f t="array" ref="D167">IFNA(_xlfn.XLOOKUP(C167,Table_Tarikan_Warkah[Nomor Sertipikat],Table_Tarikan_Warkah[Nomor Tiket]),"")</f>
        <v>K/49/061124/3</v>
      </c>
      <c r="E167" s="36" t="str">
        <f t="array" ref="E167">IFNA(_xlfn.XLOOKUP(C167,Table_Tarikan_Warkah[Nomor Sertipikat],Table_Tarikan_Warkah[Tanggal diserahkan kepada Validator]),"")</f>
        <v>08/11/2024 15.06</v>
      </c>
      <c r="F167" s="36" t="str">
        <f t="array" ref="F167">IFNA(_xlfn.XLOOKUP(C167,Table_Tarikan_Warkah[Nomor Sertipikat],Table_Tarikan_Warkah[Nama Petugas Warkah]),"")</f>
        <v>David</v>
      </c>
      <c r="G167" s="39" t="str">
        <f t="array" ref="G167">IFNA(_xlfn.XLOOKUP(C167,Table_Tarikan_Warkah[Nomor Sertipikat],Table_Tarikan_Warkah[Jenis Permohonan]),"")</f>
        <v>PH</v>
      </c>
      <c r="H167" s="41" t="s">
        <v>20</v>
      </c>
      <c r="I167" s="41" t="s">
        <v>12</v>
      </c>
      <c r="J167" s="36">
        <f t="shared" si="17"/>
        <v>45607.44077</v>
      </c>
      <c r="K167" s="49" t="s">
        <v>197</v>
      </c>
      <c r="L167" s="49" t="s">
        <v>12</v>
      </c>
      <c r="M167" s="36">
        <f t="shared" si="18"/>
        <v>45607.64752</v>
      </c>
      <c r="N167" s="30" t="str">
        <f t="shared" si="3"/>
        <v>SELESAI</v>
      </c>
      <c r="O167" s="45">
        <f t="shared" si="12"/>
        <v>45607.64752</v>
      </c>
      <c r="P167" s="47" t="b">
        <v>0</v>
      </c>
      <c r="Q167" s="36" t="str">
        <f t="shared" si="5"/>
        <v/>
      </c>
      <c r="R167" s="47" t="b">
        <v>1</v>
      </c>
      <c r="S167" s="36">
        <f t="shared" si="6"/>
        <v>45607.64801</v>
      </c>
      <c r="T167" s="42"/>
    </row>
    <row r="168" ht="22.5" customHeight="1">
      <c r="B168" s="42">
        <f t="shared" si="7"/>
        <v>162</v>
      </c>
      <c r="C168" s="31" t="s">
        <v>359</v>
      </c>
      <c r="D168" s="34" t="str">
        <f t="array" ref="D168">IFNA(_xlfn.XLOOKUP(C168,Table_Tarikan_Warkah[Nomor Sertipikat],Table_Tarikan_Warkah[Nomor Tiket]),"")</f>
        <v>K/6/071124/1</v>
      </c>
      <c r="E168" s="36" t="str">
        <f t="array" ref="E168">IFNA(_xlfn.XLOOKUP(C168,Table_Tarikan_Warkah[Nomor Sertipikat],Table_Tarikan_Warkah[Tanggal diserahkan kepada Validator]),"")</f>
        <v>08/11/2024 15.09</v>
      </c>
      <c r="F168" s="36" t="str">
        <f t="array" ref="F168">IFNA(_xlfn.XLOOKUP(C168,Table_Tarikan_Warkah[Nomor Sertipikat],Table_Tarikan_Warkah[Nama Petugas Warkah]),"")</f>
        <v>David</v>
      </c>
      <c r="G168" s="39" t="str">
        <f t="array" ref="G168">IFNA(_xlfn.XLOOKUP(C168,Table_Tarikan_Warkah[Nomor Sertipikat],Table_Tarikan_Warkah[Jenis Permohonan]),"")</f>
        <v>BN JUAL BELI</v>
      </c>
      <c r="H168" s="41" t="s">
        <v>20</v>
      </c>
      <c r="I168" s="41" t="s">
        <v>12</v>
      </c>
      <c r="J168" s="36">
        <f t="shared" si="17"/>
        <v>45607.44238</v>
      </c>
      <c r="K168" s="49" t="s">
        <v>197</v>
      </c>
      <c r="L168" s="49" t="s">
        <v>12</v>
      </c>
      <c r="M168" s="36">
        <f t="shared" si="18"/>
        <v>45607.64755</v>
      </c>
      <c r="N168" s="30" t="str">
        <f t="shared" si="3"/>
        <v>SELESAI</v>
      </c>
      <c r="O168" s="45">
        <f t="shared" si="12"/>
        <v>45607.64755</v>
      </c>
      <c r="P168" s="47" t="b">
        <v>0</v>
      </c>
      <c r="Q168" s="36" t="str">
        <f t="shared" si="5"/>
        <v/>
      </c>
      <c r="R168" s="47" t="b">
        <v>1</v>
      </c>
      <c r="S168" s="36">
        <f t="shared" si="6"/>
        <v>45607.64803</v>
      </c>
      <c r="T168" s="42"/>
    </row>
    <row r="169" ht="22.5" customHeight="1">
      <c r="B169" s="42">
        <f t="shared" si="7"/>
        <v>163</v>
      </c>
      <c r="C169" s="31" t="s">
        <v>360</v>
      </c>
      <c r="D169" s="34" t="str">
        <f t="array" ref="D169">IFNA(_xlfn.XLOOKUP(C169,Table_Tarikan_Warkah[Nomor Sertipikat],Table_Tarikan_Warkah[Nomor Tiket]),"")</f>
        <v>K/23/071124/1</v>
      </c>
      <c r="E169" s="36" t="str">
        <f t="array" ref="E169">IFNA(_xlfn.XLOOKUP(C169,Table_Tarikan_Warkah[Nomor Sertipikat],Table_Tarikan_Warkah[Tanggal diserahkan kepada Validator]),"")</f>
        <v>08/11/2024 15.14</v>
      </c>
      <c r="F169" s="36" t="str">
        <f t="array" ref="F169">IFNA(_xlfn.XLOOKUP(C169,Table_Tarikan_Warkah[Nomor Sertipikat],Table_Tarikan_Warkah[Nama Petugas Warkah]),"")</f>
        <v>David</v>
      </c>
      <c r="G169" s="39" t="str">
        <f t="array" ref="G169">IFNA(_xlfn.XLOOKUP(C169,Table_Tarikan_Warkah[Nomor Sertipikat],Table_Tarikan_Warkah[Jenis Permohonan]),"")</f>
        <v>ROYA</v>
      </c>
      <c r="H169" s="41" t="s">
        <v>20</v>
      </c>
      <c r="I169" s="41" t="s">
        <v>12</v>
      </c>
      <c r="J169" s="36">
        <f t="shared" si="17"/>
        <v>45607.44275</v>
      </c>
      <c r="K169" s="49" t="s">
        <v>197</v>
      </c>
      <c r="L169" s="49" t="s">
        <v>12</v>
      </c>
      <c r="M169" s="36">
        <f t="shared" si="18"/>
        <v>45607.6476</v>
      </c>
      <c r="N169" s="30" t="str">
        <f t="shared" si="3"/>
        <v>SELESAI</v>
      </c>
      <c r="O169" s="45">
        <f t="shared" si="12"/>
        <v>45607.6476</v>
      </c>
      <c r="P169" s="47" t="b">
        <v>0</v>
      </c>
      <c r="Q169" s="36" t="str">
        <f t="shared" si="5"/>
        <v/>
      </c>
      <c r="R169" s="47" t="b">
        <v>1</v>
      </c>
      <c r="S169" s="36">
        <f t="shared" si="6"/>
        <v>45607.64808</v>
      </c>
      <c r="T169" s="42"/>
    </row>
    <row r="170" ht="22.5" customHeight="1">
      <c r="B170" s="42">
        <f t="shared" si="7"/>
        <v>164</v>
      </c>
      <c r="C170" s="31" t="s">
        <v>361</v>
      </c>
      <c r="D170" s="34" t="str">
        <f t="array" ref="D170">IFNA(_xlfn.XLOOKUP(C170,Table_Tarikan_Warkah[Nomor Sertipikat],Table_Tarikan_Warkah[Nomor Tiket]),"")</f>
        <v>K/16/071124/2</v>
      </c>
      <c r="E170" s="36" t="str">
        <f t="array" ref="E170">IFNA(_xlfn.XLOOKUP(C170,Table_Tarikan_Warkah[Nomor Sertipikat],Table_Tarikan_Warkah[Tanggal diserahkan kepada Validator]),"")</f>
        <v>08/11/2024 15.12</v>
      </c>
      <c r="F170" s="36" t="str">
        <f t="array" ref="F170">IFNA(_xlfn.XLOOKUP(C170,Table_Tarikan_Warkah[Nomor Sertipikat],Table_Tarikan_Warkah[Nama Petugas Warkah]),"")</f>
        <v>David</v>
      </c>
      <c r="G170" s="39" t="str">
        <f t="array" ref="G170">IFNA(_xlfn.XLOOKUP(C170,Table_Tarikan_Warkah[Nomor Sertipikat],Table_Tarikan_Warkah[Jenis Permohonan]),"")</f>
        <v>BN JUAL BELI</v>
      </c>
      <c r="H170" s="41" t="s">
        <v>20</v>
      </c>
      <c r="I170" s="41" t="s">
        <v>12</v>
      </c>
      <c r="J170" s="36">
        <f t="shared" si="17"/>
        <v>45607.44298</v>
      </c>
      <c r="K170" s="49" t="s">
        <v>197</v>
      </c>
      <c r="L170" s="49" t="s">
        <v>12</v>
      </c>
      <c r="M170" s="36">
        <f t="shared" si="18"/>
        <v>45607.64767</v>
      </c>
      <c r="N170" s="30" t="str">
        <f t="shared" si="3"/>
        <v>SELESAI</v>
      </c>
      <c r="O170" s="45">
        <f t="shared" si="12"/>
        <v>45607.64767</v>
      </c>
      <c r="P170" s="47" t="b">
        <v>0</v>
      </c>
      <c r="Q170" s="36" t="str">
        <f t="shared" si="5"/>
        <v/>
      </c>
      <c r="R170" s="47" t="b">
        <v>1</v>
      </c>
      <c r="S170" s="36">
        <f t="shared" si="6"/>
        <v>45607.64827</v>
      </c>
      <c r="T170" s="42"/>
    </row>
    <row r="171" ht="22.5" customHeight="1">
      <c r="B171" s="42">
        <f t="shared" si="7"/>
        <v>165</v>
      </c>
      <c r="C171" s="31" t="s">
        <v>362</v>
      </c>
      <c r="D171" s="34" t="str">
        <f t="array" ref="D171">IFNA(_xlfn.XLOOKUP(C171,Table_Tarikan_Warkah[Nomor Sertipikat],Table_Tarikan_Warkah[Nomor Tiket]),"")</f>
        <v>K/18/071124/4</v>
      </c>
      <c r="E171" s="36" t="str">
        <f t="array" ref="E171">IFNA(_xlfn.XLOOKUP(C171,Table_Tarikan_Warkah[Nomor Sertipikat],Table_Tarikan_Warkah[Tanggal diserahkan kepada Validator]),"")</f>
        <v>08/11/2024 15.13</v>
      </c>
      <c r="F171" s="36" t="str">
        <f t="array" ref="F171">IFNA(_xlfn.XLOOKUP(C171,Table_Tarikan_Warkah[Nomor Sertipikat],Table_Tarikan_Warkah[Nama Petugas Warkah]),"")</f>
        <v>David</v>
      </c>
      <c r="G171" s="39" t="str">
        <f t="array" ref="G171">IFNA(_xlfn.XLOOKUP(C171,Table_Tarikan_Warkah[Nomor Sertipikat],Table_Tarikan_Warkah[Jenis Permohonan]),"")</f>
        <v>BN JUAL BELI</v>
      </c>
      <c r="H171" s="41" t="s">
        <v>20</v>
      </c>
      <c r="I171" s="41" t="s">
        <v>12</v>
      </c>
      <c r="J171" s="36">
        <f t="shared" si="17"/>
        <v>45607.44319</v>
      </c>
      <c r="K171" s="41" t="s">
        <v>197</v>
      </c>
      <c r="L171" s="41" t="s">
        <v>12</v>
      </c>
      <c r="M171" s="36">
        <f t="shared" si="18"/>
        <v>45607.64283</v>
      </c>
      <c r="N171" s="30" t="str">
        <f t="shared" si="3"/>
        <v>SELESAI</v>
      </c>
      <c r="O171" s="45">
        <f t="shared" si="12"/>
        <v>45607.64283</v>
      </c>
      <c r="P171" s="47" t="b">
        <v>0</v>
      </c>
      <c r="Q171" s="36" t="str">
        <f t="shared" si="5"/>
        <v/>
      </c>
      <c r="R171" s="47" t="b">
        <v>1</v>
      </c>
      <c r="S171" s="36">
        <f t="shared" si="6"/>
        <v>45607.64828</v>
      </c>
      <c r="T171" s="42"/>
    </row>
    <row r="172" ht="22.5" customHeight="1">
      <c r="B172" s="42">
        <f t="shared" si="7"/>
        <v>166</v>
      </c>
      <c r="C172" s="31" t="s">
        <v>363</v>
      </c>
      <c r="D172" s="34" t="str">
        <f t="array" ref="D172">IFNA(_xlfn.XLOOKUP(C172,Table_Tarikan_Warkah[Nomor Sertipikat],Table_Tarikan_Warkah[Nomor Tiket]),"")</f>
        <v>L/22/071124/1</v>
      </c>
      <c r="E172" s="36" t="str">
        <f t="array" ref="E172">IFNA(_xlfn.XLOOKUP(C172,Table_Tarikan_Warkah[Nomor Sertipikat],Table_Tarikan_Warkah[Tanggal diserahkan kepada Validator]),"")</f>
        <v>08/11/2024 15.14</v>
      </c>
      <c r="F172" s="36" t="str">
        <f t="array" ref="F172">IFNA(_xlfn.XLOOKUP(C172,Table_Tarikan_Warkah[Nomor Sertipikat],Table_Tarikan_Warkah[Nama Petugas Warkah]),"")</f>
        <v>David</v>
      </c>
      <c r="G172" s="39" t="str">
        <f t="array" ref="G172">IFNA(_xlfn.XLOOKUP(C172,Table_Tarikan_Warkah[Nomor Sertipikat],Table_Tarikan_Warkah[Jenis Permohonan]),"")</f>
        <v>BN HIBAH</v>
      </c>
      <c r="H172" s="41" t="s">
        <v>20</v>
      </c>
      <c r="I172" s="41" t="s">
        <v>12</v>
      </c>
      <c r="J172" s="36">
        <f t="shared" si="17"/>
        <v>45607.44509</v>
      </c>
      <c r="K172" s="41" t="s">
        <v>197</v>
      </c>
      <c r="L172" s="41" t="s">
        <v>12</v>
      </c>
      <c r="M172" s="36">
        <f t="shared" si="18"/>
        <v>45607.64267</v>
      </c>
      <c r="N172" s="30" t="str">
        <f t="shared" si="3"/>
        <v>SELESAI</v>
      </c>
      <c r="O172" s="45">
        <f t="shared" si="12"/>
        <v>45607.64267</v>
      </c>
      <c r="P172" s="47" t="b">
        <v>0</v>
      </c>
      <c r="Q172" s="36" t="str">
        <f t="shared" si="5"/>
        <v/>
      </c>
      <c r="R172" s="47" t="b">
        <v>1</v>
      </c>
      <c r="S172" s="36">
        <f t="shared" si="6"/>
        <v>45607.64829</v>
      </c>
      <c r="T172" s="42"/>
    </row>
    <row r="173" ht="22.5" customHeight="1">
      <c r="B173" s="42">
        <f t="shared" si="7"/>
        <v>167</v>
      </c>
      <c r="C173" s="31" t="s">
        <v>364</v>
      </c>
      <c r="D173" s="34" t="str">
        <f t="array" ref="D173">IFNA(_xlfn.XLOOKUP(C173,Table_Tarikan_Warkah[Nomor Sertipikat],Table_Tarikan_Warkah[Nomor Tiket]),"")</f>
        <v>K/35/071124/1</v>
      </c>
      <c r="E173" s="36" t="str">
        <f t="array" ref="E173">IFNA(_xlfn.XLOOKUP(C173,Table_Tarikan_Warkah[Nomor Sertipikat],Table_Tarikan_Warkah[Tanggal diserahkan kepada Validator]),"")</f>
        <v>08/11/2024 15.17</v>
      </c>
      <c r="F173" s="36" t="str">
        <f t="array" ref="F173">IFNA(_xlfn.XLOOKUP(C173,Table_Tarikan_Warkah[Nomor Sertipikat],Table_Tarikan_Warkah[Nama Petugas Warkah]),"")</f>
        <v>David</v>
      </c>
      <c r="G173" s="39" t="str">
        <f t="array" ref="G173">IFNA(_xlfn.XLOOKUP(C173,Table_Tarikan_Warkah[Nomor Sertipikat],Table_Tarikan_Warkah[Jenis Permohonan]),"")</f>
        <v>MUHAMMAD ARFAN</v>
      </c>
      <c r="H173" s="41" t="s">
        <v>20</v>
      </c>
      <c r="I173" s="41" t="s">
        <v>12</v>
      </c>
      <c r="J173" s="36">
        <f t="shared" si="17"/>
        <v>45607.46119</v>
      </c>
      <c r="K173" s="41" t="s">
        <v>197</v>
      </c>
      <c r="L173" s="41" t="s">
        <v>12</v>
      </c>
      <c r="M173" s="36">
        <f t="shared" si="18"/>
        <v>45607.64251</v>
      </c>
      <c r="N173" s="30" t="str">
        <f t="shared" si="3"/>
        <v>SELESAI</v>
      </c>
      <c r="O173" s="45">
        <f t="shared" si="12"/>
        <v>45607.64251</v>
      </c>
      <c r="P173" s="47" t="b">
        <v>0</v>
      </c>
      <c r="Q173" s="36" t="str">
        <f t="shared" si="5"/>
        <v/>
      </c>
      <c r="R173" s="47" t="b">
        <v>1</v>
      </c>
      <c r="S173" s="36">
        <f t="shared" si="6"/>
        <v>45607.64831</v>
      </c>
      <c r="T173" s="42"/>
    </row>
    <row r="174" ht="22.5" customHeight="1">
      <c r="B174" s="42">
        <f t="shared" si="7"/>
        <v>168</v>
      </c>
      <c r="C174" s="31" t="s">
        <v>365</v>
      </c>
      <c r="D174" s="42" t="s">
        <v>366</v>
      </c>
      <c r="E174" s="36" t="str">
        <f t="array" ref="E174">IFNA(_xlfn.XLOOKUP(D174,Table_Tarikan_Warkah[Nomor Tiket],Table_Tarikan_Warkah[Tanggal diserahkan kepada Validator]),"")</f>
        <v/>
      </c>
      <c r="F174" s="36" t="str">
        <f t="array" ref="F174">IFNA(_xlfn.XLOOKUP(D174,Table_Tarikan_Warkah[Nomor Tiket],Table_Tarikan_Warkah[Nama Petugas Warkah]),"")</f>
        <v/>
      </c>
      <c r="G174" s="39" t="str">
        <f t="array" ref="G174">IFNA(_xlfn.XLOOKUP(D174,Table_Tarikan_Warkah[Nomor Tiket],Table_Tarikan_Warkah[Jenis Permohonan]),"")</f>
        <v/>
      </c>
      <c r="H174" s="41" t="s">
        <v>11</v>
      </c>
      <c r="I174" s="41" t="s">
        <v>12</v>
      </c>
      <c r="J174" s="36">
        <f t="shared" si="17"/>
        <v>45607.61952</v>
      </c>
      <c r="K174" s="41" t="s">
        <v>197</v>
      </c>
      <c r="L174" s="41" t="s">
        <v>12</v>
      </c>
      <c r="M174" s="36">
        <f t="shared" si="18"/>
        <v>45609.47083</v>
      </c>
      <c r="N174" s="30" t="str">
        <f t="shared" si="3"/>
        <v>SELESAI</v>
      </c>
      <c r="O174" s="45">
        <f t="shared" si="12"/>
        <v>45609.47083</v>
      </c>
      <c r="P174" s="47" t="b">
        <v>1</v>
      </c>
      <c r="Q174" s="36">
        <f t="shared" si="5"/>
        <v>45615.72928</v>
      </c>
      <c r="R174" s="47" t="b">
        <v>1</v>
      </c>
      <c r="S174" s="36">
        <f t="shared" si="6"/>
        <v>45609.48608</v>
      </c>
      <c r="T174" s="42"/>
    </row>
    <row r="175" ht="22.5" customHeight="1">
      <c r="B175" s="42">
        <f t="shared" si="7"/>
        <v>169</v>
      </c>
      <c r="C175" s="31" t="s">
        <v>367</v>
      </c>
      <c r="D175" s="34" t="str">
        <f t="array" ref="D175">IFNA(_xlfn.XLOOKUP(C175,Table_Tarikan_Warkah[Nomor Sertipikat],Table_Tarikan_Warkah[Nomor Tiket]),"")</f>
        <v>K/48/061124/2</v>
      </c>
      <c r="E175" s="36" t="str">
        <f t="array" ref="E175">IFNA(_xlfn.XLOOKUP(D175,Table_Tarikan_Warkah[Nomor Tiket],Table_Tarikan_Warkah[Tanggal diserahkan kepada Validator]),"")</f>
        <v>08/11/2024 15.02</v>
      </c>
      <c r="F175" s="36" t="str">
        <f t="array" ref="F175">IFNA(_xlfn.XLOOKUP(D175,Table_Tarikan_Warkah[Nomor Tiket],Table_Tarikan_Warkah[Nama Petugas Warkah]),"")</f>
        <v>Berry</v>
      </c>
      <c r="G175" s="39" t="str">
        <f t="array" ref="G175">IFNA(_xlfn.XLOOKUP(D175,Table_Tarikan_Warkah[Nomor Tiket],Table_Tarikan_Warkah[Jenis Permohonan]),"")</f>
        <v>BN JUAL BELI</v>
      </c>
      <c r="H175" s="41" t="s">
        <v>11</v>
      </c>
      <c r="I175" s="41" t="s">
        <v>12</v>
      </c>
      <c r="J175" s="36">
        <f t="shared" si="17"/>
        <v>45607.62051</v>
      </c>
      <c r="K175" s="41" t="s">
        <v>197</v>
      </c>
      <c r="L175" s="41" t="s">
        <v>12</v>
      </c>
      <c r="M175" s="36">
        <f t="shared" si="18"/>
        <v>45609.47832</v>
      </c>
      <c r="N175" s="30" t="str">
        <f t="shared" si="3"/>
        <v>SELESAI</v>
      </c>
      <c r="O175" s="45">
        <f t="shared" si="12"/>
        <v>45609.47832</v>
      </c>
      <c r="P175" s="47" t="b">
        <v>0</v>
      </c>
      <c r="Q175" s="36" t="str">
        <f t="shared" si="5"/>
        <v/>
      </c>
      <c r="R175" s="47" t="b">
        <v>1</v>
      </c>
      <c r="S175" s="36">
        <f t="shared" si="6"/>
        <v>45609.48609</v>
      </c>
      <c r="T175" s="42"/>
    </row>
    <row r="176" ht="22.5" customHeight="1">
      <c r="B176" s="42">
        <f t="shared" si="7"/>
        <v>170</v>
      </c>
      <c r="C176" s="31" t="s">
        <v>9</v>
      </c>
      <c r="D176" s="34" t="str">
        <f t="array" ref="D176">IFNA(_xlfn.XLOOKUP(C176,Table_Tarikan_Warkah[Nomor Sertipikat],Table_Tarikan_Warkah[Nomor Tiket]),"")</f>
        <v>K/42/061124/1</v>
      </c>
      <c r="E176" s="36" t="str">
        <f t="array" ref="E176">IFNA(_xlfn.XLOOKUP(D176,Table_Tarikan_Warkah[Nomor Tiket],Table_Tarikan_Warkah[Tanggal diserahkan kepada Validator]),"")</f>
        <v>08/11/2024 15.01</v>
      </c>
      <c r="F176" s="36" t="str">
        <f t="array" ref="F176">IFNA(_xlfn.XLOOKUP(D176,Table_Tarikan_Warkah[Nomor Tiket],Table_Tarikan_Warkah[Nama Petugas Warkah]),"")</f>
        <v>Berry</v>
      </c>
      <c r="G176" s="39" t="str">
        <f t="array" ref="G176">IFNA(_xlfn.XLOOKUP(D176,Table_Tarikan_Warkah[Nomor Tiket],Table_Tarikan_Warkah[Jenis Permohonan]),"")</f>
        <v>BN JUAL BELI</v>
      </c>
      <c r="H176" s="41" t="s">
        <v>11</v>
      </c>
      <c r="I176" s="41" t="s">
        <v>12</v>
      </c>
      <c r="J176" s="36">
        <f t="shared" si="17"/>
        <v>45607.62051</v>
      </c>
      <c r="K176" s="51"/>
      <c r="L176" s="51"/>
      <c r="M176" s="36" t="str">
        <f t="shared" si="18"/>
        <v/>
      </c>
      <c r="N176" s="30" t="str">
        <f t="shared" si="3"/>
        <v>BT atau SU Belum Valid</v>
      </c>
      <c r="O176" s="39" t="str">
        <f t="shared" si="12"/>
        <v/>
      </c>
      <c r="P176" s="47" t="b">
        <v>0</v>
      </c>
      <c r="Q176" s="36" t="str">
        <f t="shared" si="5"/>
        <v/>
      </c>
      <c r="R176" s="47" t="b">
        <v>0</v>
      </c>
      <c r="S176" s="42" t="str">
        <f t="shared" si="6"/>
        <v/>
      </c>
      <c r="T176" s="42"/>
    </row>
    <row r="177" ht="22.5" customHeight="1">
      <c r="B177" s="42">
        <f t="shared" si="7"/>
        <v>171</v>
      </c>
      <c r="C177" s="31" t="s">
        <v>14</v>
      </c>
      <c r="D177" s="34" t="str">
        <f t="array" ref="D177">IFNA(_xlfn.XLOOKUP(C177,Table_Tarikan_Warkah[Nomor Sertipikat],Table_Tarikan_Warkah[Nomor Tiket]),"")</f>
        <v>L/37/061124/1</v>
      </c>
      <c r="E177" s="36" t="str">
        <f t="array" ref="E177">IFNA(_xlfn.XLOOKUP(D177,Table_Tarikan_Warkah[Nomor Tiket],Table_Tarikan_Warkah[Tanggal diserahkan kepada Validator]),"")</f>
        <v>08/11/2024 15.00</v>
      </c>
      <c r="F177" s="36" t="str">
        <f t="array" ref="F177">IFNA(_xlfn.XLOOKUP(D177,Table_Tarikan_Warkah[Nomor Tiket],Table_Tarikan_Warkah[Nama Petugas Warkah]),"")</f>
        <v>Berry</v>
      </c>
      <c r="G177" s="39" t="str">
        <f t="array" ref="G177">IFNA(_xlfn.XLOOKUP(D177,Table_Tarikan_Warkah[Nomor Tiket],Table_Tarikan_Warkah[Jenis Permohonan]),"")</f>
        <v>PH</v>
      </c>
      <c r="H177" s="41" t="s">
        <v>11</v>
      </c>
      <c r="I177" s="41" t="s">
        <v>12</v>
      </c>
      <c r="J177" s="36">
        <f t="shared" si="17"/>
        <v>45607.62051</v>
      </c>
      <c r="K177" s="51"/>
      <c r="L177" s="51"/>
      <c r="M177" s="36" t="str">
        <f t="shared" si="18"/>
        <v/>
      </c>
      <c r="N177" s="30" t="str">
        <f t="shared" si="3"/>
        <v>BT atau SU Belum Valid</v>
      </c>
      <c r="O177" s="39" t="str">
        <f t="shared" si="12"/>
        <v/>
      </c>
      <c r="P177" s="47" t="b">
        <v>0</v>
      </c>
      <c r="Q177" s="36" t="str">
        <f t="shared" si="5"/>
        <v/>
      </c>
      <c r="R177" s="47" t="b">
        <v>0</v>
      </c>
      <c r="S177" s="42" t="str">
        <f t="shared" si="6"/>
        <v/>
      </c>
      <c r="T177" s="42"/>
    </row>
    <row r="178" ht="22.5" customHeight="1">
      <c r="B178" s="42">
        <f t="shared" si="7"/>
        <v>172</v>
      </c>
      <c r="C178" s="31" t="s">
        <v>368</v>
      </c>
      <c r="D178" s="34" t="str">
        <f t="array" ref="D178">IFNA(_xlfn.XLOOKUP(C178,Table_Tarikan_Warkah[Nomor Sertipikat],Table_Tarikan_Warkah[Nomor Tiket]),"")</f>
        <v>K/24/061124/1</v>
      </c>
      <c r="E178" s="36" t="str">
        <f t="array" ref="E178">IFNA(_xlfn.XLOOKUP(D178,Table_Tarikan_Warkah[Nomor Tiket],Table_Tarikan_Warkah[Tanggal diserahkan kepada Validator]),"")</f>
        <v>08/11/2024 14.58</v>
      </c>
      <c r="F178" s="36" t="str">
        <f t="array" ref="F178">IFNA(_xlfn.XLOOKUP(D178,Table_Tarikan_Warkah[Nomor Tiket],Table_Tarikan_Warkah[Nama Petugas Warkah]),"")</f>
        <v>Berry</v>
      </c>
      <c r="G178" s="39" t="str">
        <f t="array" ref="G178">IFNA(_xlfn.XLOOKUP(D178,Table_Tarikan_Warkah[Nomor Tiket],Table_Tarikan_Warkah[Jenis Permohonan]),"")</f>
        <v>PERUBAHAN HAK</v>
      </c>
      <c r="H178" s="41" t="s">
        <v>11</v>
      </c>
      <c r="I178" s="41" t="s">
        <v>12</v>
      </c>
      <c r="J178" s="36">
        <f t="shared" si="17"/>
        <v>45607.62051</v>
      </c>
      <c r="K178" s="41" t="s">
        <v>197</v>
      </c>
      <c r="L178" s="41" t="s">
        <v>12</v>
      </c>
      <c r="M178" s="36">
        <f t="shared" si="18"/>
        <v>45609.47761</v>
      </c>
      <c r="N178" s="30" t="str">
        <f t="shared" si="3"/>
        <v>SELESAI</v>
      </c>
      <c r="O178" s="45">
        <f t="shared" si="12"/>
        <v>45609.47761</v>
      </c>
      <c r="P178" s="47" t="b">
        <v>0</v>
      </c>
      <c r="Q178" s="36" t="str">
        <f t="shared" si="5"/>
        <v/>
      </c>
      <c r="R178" s="47" t="b">
        <v>1</v>
      </c>
      <c r="S178" s="36">
        <f t="shared" si="6"/>
        <v>45609.48613</v>
      </c>
      <c r="T178" s="42"/>
    </row>
    <row r="179" ht="22.5" customHeight="1">
      <c r="B179" s="42">
        <f t="shared" si="7"/>
        <v>173</v>
      </c>
      <c r="C179" s="31" t="s">
        <v>334</v>
      </c>
      <c r="D179" s="34" t="str">
        <f t="array" ref="D179">IFNA(_xlfn.XLOOKUP(C179,Table_Tarikan_Warkah[Nomor Sertipikat],Table_Tarikan_Warkah[Nomor Tiket]),"")</f>
        <v>K/29/311024/1</v>
      </c>
      <c r="E179" s="36" t="str">
        <f t="array" ref="E179">IFNA(_xlfn.XLOOKUP(D179,Table_Tarikan_Warkah[Nomor Tiket],Table_Tarikan_Warkah[Tanggal diserahkan kepada Validator]),"")</f>
        <v>08/11/2024 14.43</v>
      </c>
      <c r="F179" s="36" t="str">
        <f t="array" ref="F179">IFNA(_xlfn.XLOOKUP(D179,Table_Tarikan_Warkah[Nomor Tiket],Table_Tarikan_Warkah[Nama Petugas Warkah]),"")</f>
        <v>Sahelia</v>
      </c>
      <c r="G179" s="39" t="str">
        <f t="array" ref="G179">IFNA(_xlfn.XLOOKUP(D179,Table_Tarikan_Warkah[Nomor Tiket],Table_Tarikan_Warkah[Jenis Permohonan]),"")</f>
        <v>BN PHB</v>
      </c>
      <c r="H179" s="41" t="s">
        <v>11</v>
      </c>
      <c r="I179" s="41" t="s">
        <v>12</v>
      </c>
      <c r="J179" s="36">
        <f t="shared" si="17"/>
        <v>45607.62051</v>
      </c>
      <c r="K179" s="41" t="s">
        <v>197</v>
      </c>
      <c r="L179" s="41" t="s">
        <v>12</v>
      </c>
      <c r="M179" s="36">
        <f t="shared" si="18"/>
        <v>45609.47297</v>
      </c>
      <c r="N179" s="30" t="str">
        <f t="shared" si="3"/>
        <v>SELESAI</v>
      </c>
      <c r="O179" s="45">
        <f t="shared" si="12"/>
        <v>45609.47297</v>
      </c>
      <c r="P179" s="47" t="b">
        <v>0</v>
      </c>
      <c r="Q179" s="36" t="str">
        <f t="shared" si="5"/>
        <v/>
      </c>
      <c r="R179" s="47" t="b">
        <v>1</v>
      </c>
      <c r="S179" s="36">
        <f t="shared" si="6"/>
        <v>45609.48633</v>
      </c>
      <c r="T179" s="42"/>
    </row>
    <row r="180" ht="22.5" customHeight="1">
      <c r="B180" s="42">
        <f t="shared" si="7"/>
        <v>174</v>
      </c>
      <c r="C180" s="31" t="s">
        <v>362</v>
      </c>
      <c r="D180" s="34" t="str">
        <f t="array" ref="D180">IFNA(_xlfn.XLOOKUP(C180,Table_Tarikan_Warkah[Nomor Sertipikat],Table_Tarikan_Warkah[Nomor Tiket]),"")</f>
        <v>K/18/071124/4</v>
      </c>
      <c r="E180" s="36" t="str">
        <f t="array" ref="E180">IFNA(_xlfn.XLOOKUP(D180,Table_Tarikan_Warkah[Nomor Tiket],Table_Tarikan_Warkah[Tanggal diserahkan kepada Validator]),"")</f>
        <v>08/11/2024 15.13</v>
      </c>
      <c r="F180" s="36" t="str">
        <f t="array" ref="F180">IFNA(_xlfn.XLOOKUP(D180,Table_Tarikan_Warkah[Nomor Tiket],Table_Tarikan_Warkah[Nama Petugas Warkah]),"")</f>
        <v>David</v>
      </c>
      <c r="G180" s="39" t="str">
        <f t="array" ref="G180">IFNA(_xlfn.XLOOKUP(D180,Table_Tarikan_Warkah[Nomor Tiket],Table_Tarikan_Warkah[Jenis Permohonan]),"")</f>
        <v>BN JUAL BELI</v>
      </c>
      <c r="H180" s="41" t="s">
        <v>11</v>
      </c>
      <c r="I180" s="41" t="s">
        <v>12</v>
      </c>
      <c r="J180" s="36">
        <f t="shared" si="17"/>
        <v>45607.62051</v>
      </c>
      <c r="K180" s="49" t="s">
        <v>26</v>
      </c>
      <c r="L180" s="49" t="s">
        <v>23</v>
      </c>
      <c r="M180" s="36">
        <f t="shared" si="18"/>
        <v>45609.52932</v>
      </c>
      <c r="N180" s="30" t="str">
        <f t="shared" si="3"/>
        <v>Selesai</v>
      </c>
      <c r="O180" s="45">
        <f t="shared" si="12"/>
        <v>45609.52932</v>
      </c>
      <c r="P180" s="47" t="b">
        <v>1</v>
      </c>
      <c r="Q180" s="36">
        <f t="shared" si="5"/>
        <v>45609.52932</v>
      </c>
      <c r="R180" s="47" t="b">
        <v>0</v>
      </c>
      <c r="S180" s="42" t="str">
        <f t="shared" si="6"/>
        <v/>
      </c>
      <c r="T180" s="42"/>
    </row>
    <row r="181" ht="22.5" customHeight="1">
      <c r="B181" s="42">
        <f t="shared" si="7"/>
        <v>175</v>
      </c>
      <c r="C181" s="31" t="s">
        <v>369</v>
      </c>
      <c r="D181" s="34" t="str">
        <f t="array" ref="D181">IFNA(_xlfn.XLOOKUP(C181,Table_Tarikan_Warkah[Nomor Sertipikat],Table_Tarikan_Warkah[Nomor Tiket]),"")</f>
        <v>K/12/161024/3</v>
      </c>
      <c r="E181" s="36" t="str">
        <f t="array" ref="E181">IFNA(_xlfn.XLOOKUP(D181,Table_Tarikan_Warkah[Nomor Tiket],Table_Tarikan_Warkah[Tanggal diserahkan kepada Validator]),"")</f>
        <v/>
      </c>
      <c r="F181" s="36" t="str">
        <f t="array" ref="F181">IFNA(_xlfn.XLOOKUP(D181,Table_Tarikan_Warkah[Nomor Tiket],Table_Tarikan_Warkah[Nama Petugas Warkah]),"")</f>
        <v/>
      </c>
      <c r="G181" s="39" t="str">
        <f t="array" ref="G181">IFNA(_xlfn.XLOOKUP(D181,Table_Tarikan_Warkah[Nomor Tiket],Table_Tarikan_Warkah[Jenis Permohonan]),"")</f>
        <v>PERALIHAN JUAL BELI</v>
      </c>
      <c r="H181" s="41" t="s">
        <v>11</v>
      </c>
      <c r="I181" s="41" t="s">
        <v>12</v>
      </c>
      <c r="J181" s="36">
        <f t="shared" si="17"/>
        <v>45607.62051</v>
      </c>
      <c r="K181" s="49" t="s">
        <v>26</v>
      </c>
      <c r="L181" s="49" t="s">
        <v>23</v>
      </c>
      <c r="M181" s="36">
        <f t="shared" si="18"/>
        <v>45609.52932</v>
      </c>
      <c r="N181" s="30" t="str">
        <f t="shared" si="3"/>
        <v>Selesai</v>
      </c>
      <c r="O181" s="45">
        <f t="shared" si="12"/>
        <v>45609.52932</v>
      </c>
      <c r="P181" s="47" t="b">
        <v>1</v>
      </c>
      <c r="Q181" s="36">
        <f t="shared" si="5"/>
        <v>45609.52932</v>
      </c>
      <c r="R181" s="47" t="b">
        <v>0</v>
      </c>
      <c r="S181" s="42" t="str">
        <f t="shared" si="6"/>
        <v/>
      </c>
      <c r="T181" s="42"/>
    </row>
    <row r="182" ht="22.5" customHeight="1">
      <c r="B182" s="42">
        <f t="shared" si="7"/>
        <v>176</v>
      </c>
      <c r="C182" s="31" t="s">
        <v>370</v>
      </c>
      <c r="D182" s="34" t="str">
        <f t="array" ref="D182">IFNA(_xlfn.XLOOKUP(C182,Table_Tarikan_Warkah[Nomor Sertipikat],Table_Tarikan_Warkah[Nomor Tiket]),"")</f>
        <v>K/53/061124/1</v>
      </c>
      <c r="E182" s="36" t="str">
        <f t="array" ref="E182">IFNA(_xlfn.XLOOKUP(D182,Table_Tarikan_Warkah[Nomor Tiket],Table_Tarikan_Warkah[Tanggal diserahkan kepada Validator]),"")</f>
        <v>08/11/2024 15.06</v>
      </c>
      <c r="F182" s="36" t="str">
        <f t="array" ref="F182">IFNA(_xlfn.XLOOKUP(D182,Table_Tarikan_Warkah[Nomor Tiket],Table_Tarikan_Warkah[Nama Petugas Warkah]),"")</f>
        <v>David</v>
      </c>
      <c r="G182" s="39" t="str">
        <f t="array" ref="G182">IFNA(_xlfn.XLOOKUP(D182,Table_Tarikan_Warkah[Nomor Tiket],Table_Tarikan_Warkah[Jenis Permohonan]),"")</f>
        <v>ROYA</v>
      </c>
      <c r="H182" s="41" t="s">
        <v>11</v>
      </c>
      <c r="I182" s="41" t="s">
        <v>12</v>
      </c>
      <c r="J182" s="36">
        <f t="shared" si="17"/>
        <v>45607.62051</v>
      </c>
      <c r="K182" s="49" t="s">
        <v>26</v>
      </c>
      <c r="L182" s="49" t="s">
        <v>23</v>
      </c>
      <c r="M182" s="36">
        <f t="shared" si="18"/>
        <v>45609.52932</v>
      </c>
      <c r="N182" s="30" t="str">
        <f t="shared" si="3"/>
        <v>Selesai</v>
      </c>
      <c r="O182" s="45">
        <f t="shared" si="12"/>
        <v>45609.52932</v>
      </c>
      <c r="P182" s="47" t="b">
        <v>1</v>
      </c>
      <c r="Q182" s="36">
        <f t="shared" si="5"/>
        <v>45609.52932</v>
      </c>
      <c r="R182" s="47" t="b">
        <v>0</v>
      </c>
      <c r="S182" s="42" t="str">
        <f t="shared" si="6"/>
        <v/>
      </c>
      <c r="T182" s="42"/>
    </row>
    <row r="183" ht="22.5" customHeight="1">
      <c r="B183" s="42">
        <f t="shared" si="7"/>
        <v>177</v>
      </c>
      <c r="C183" s="31" t="s">
        <v>371</v>
      </c>
      <c r="D183" s="34" t="str">
        <f t="array" ref="D183">IFNA(_xlfn.XLOOKUP(C183,Table_Tarikan_Warkah[Nomor Sertipikat],Table_Tarikan_Warkah[Nomor Tiket]),"")</f>
        <v>L/9/081124/1</v>
      </c>
      <c r="E183" s="36" t="str">
        <f t="array" ref="E183">IFNA(_xlfn.XLOOKUP(D183,Table_Tarikan_Warkah[Nomor Tiket],Table_Tarikan_Warkah[Tanggal diserahkan kepada Validator]),"")</f>
        <v>11/11/2024 15.13</v>
      </c>
      <c r="F183" s="36" t="str">
        <f t="array" ref="F183">IFNA(_xlfn.XLOOKUP(D183,Table_Tarikan_Warkah[Nomor Tiket],Table_Tarikan_Warkah[Nama Petugas Warkah]),"")</f>
        <v>David</v>
      </c>
      <c r="G183" s="39" t="str">
        <f t="array" ref="G183">IFNA(_xlfn.XLOOKUP(D183,Table_Tarikan_Warkah[Nomor Tiket],Table_Tarikan_Warkah[Jenis Permohonan]),"")</f>
        <v>SULYA YENTY</v>
      </c>
      <c r="H183" s="41" t="s">
        <v>11</v>
      </c>
      <c r="I183" s="41" t="s">
        <v>12</v>
      </c>
      <c r="J183" s="36">
        <f t="shared" si="17"/>
        <v>45608.67291</v>
      </c>
      <c r="K183" s="49" t="s">
        <v>197</v>
      </c>
      <c r="L183" s="49" t="s">
        <v>12</v>
      </c>
      <c r="M183" s="36">
        <f t="shared" si="18"/>
        <v>45609.64436</v>
      </c>
      <c r="N183" s="30" t="str">
        <f t="shared" si="3"/>
        <v>SELESAI</v>
      </c>
      <c r="O183" s="45">
        <f t="shared" si="12"/>
        <v>45609.64436</v>
      </c>
      <c r="P183" s="47" t="b">
        <v>0</v>
      </c>
      <c r="Q183" s="36" t="str">
        <f t="shared" si="5"/>
        <v/>
      </c>
      <c r="R183" s="47" t="b">
        <v>1</v>
      </c>
      <c r="S183" s="36">
        <f t="shared" si="6"/>
        <v>45614.6095</v>
      </c>
      <c r="T183" s="42"/>
    </row>
    <row r="184" ht="22.5" customHeight="1">
      <c r="B184" s="42">
        <f t="shared" si="7"/>
        <v>178</v>
      </c>
      <c r="C184" s="31" t="s">
        <v>372</v>
      </c>
      <c r="D184" s="34" t="str">
        <f t="array" ref="D184">IFNA(_xlfn.XLOOKUP(C184,Table_Tarikan_Warkah[Nomor Sertipikat],Table_Tarikan_Warkah[Nomor Tiket]),"")</f>
        <v>K/46/081124/1</v>
      </c>
      <c r="E184" s="36" t="str">
        <f t="array" ref="E184">IFNA(_xlfn.XLOOKUP(D184,Table_Tarikan_Warkah[Nomor Tiket],Table_Tarikan_Warkah[Tanggal diserahkan kepada Validator]),"")</f>
        <v>11/11/2024 15.27</v>
      </c>
      <c r="F184" s="36" t="str">
        <f t="array" ref="F184">IFNA(_xlfn.XLOOKUP(D184,Table_Tarikan_Warkah[Nomor Tiket],Table_Tarikan_Warkah[Nama Petugas Warkah]),"")</f>
        <v>Berry</v>
      </c>
      <c r="G184" s="39" t="str">
        <f t="array" ref="G184">IFNA(_xlfn.XLOOKUP(D184,Table_Tarikan_Warkah[Nomor Tiket],Table_Tarikan_Warkah[Jenis Permohonan]),"")</f>
        <v>BN Jual Beli</v>
      </c>
      <c r="H184" s="41" t="s">
        <v>11</v>
      </c>
      <c r="I184" s="41" t="s">
        <v>12</v>
      </c>
      <c r="J184" s="36">
        <f t="shared" si="17"/>
        <v>45608.67344</v>
      </c>
      <c r="K184" s="49" t="s">
        <v>197</v>
      </c>
      <c r="L184" s="49" t="s">
        <v>12</v>
      </c>
      <c r="M184" s="36">
        <f t="shared" si="18"/>
        <v>45609.64436</v>
      </c>
      <c r="N184" s="30" t="str">
        <f t="shared" si="3"/>
        <v>SELESAI</v>
      </c>
      <c r="O184" s="45">
        <f t="shared" si="12"/>
        <v>45609.64436</v>
      </c>
      <c r="P184" s="47" t="b">
        <v>0</v>
      </c>
      <c r="Q184" s="36" t="str">
        <f t="shared" si="5"/>
        <v/>
      </c>
      <c r="R184" s="47" t="b">
        <v>1</v>
      </c>
      <c r="S184" s="36">
        <f t="shared" si="6"/>
        <v>45614.60953</v>
      </c>
      <c r="T184" s="42"/>
    </row>
    <row r="185" ht="22.5" customHeight="1">
      <c r="B185" s="42">
        <f t="shared" si="7"/>
        <v>179</v>
      </c>
      <c r="C185" s="31" t="s">
        <v>373</v>
      </c>
      <c r="D185" s="34" t="str">
        <f t="array" ref="D185">IFNA(_xlfn.XLOOKUP(C185,Table_Tarikan_Warkah[Nomor Sertipikat],Table_Tarikan_Warkah[Nomor Tiket]),"")</f>
        <v>K/51/081124/1</v>
      </c>
      <c r="E185" s="36" t="str">
        <f t="array" ref="E185">IFNA(_xlfn.XLOOKUP(D185,Table_Tarikan_Warkah[Nomor Tiket],Table_Tarikan_Warkah[Tanggal diserahkan kepada Validator]),"")</f>
        <v>11/11/2024 15.28</v>
      </c>
      <c r="F185" s="36" t="str">
        <f t="array" ref="F185">IFNA(_xlfn.XLOOKUP(D185,Table_Tarikan_Warkah[Nomor Tiket],Table_Tarikan_Warkah[Nama Petugas Warkah]),"")</f>
        <v>Berry</v>
      </c>
      <c r="G185" s="39" t="str">
        <f t="array" ref="G185">IFNA(_xlfn.XLOOKUP(D185,Table_Tarikan_Warkah[Nomor Tiket],Table_Tarikan_Warkah[Jenis Permohonan]),"")</f>
        <v>BN HIBAH</v>
      </c>
      <c r="H185" s="41" t="s">
        <v>11</v>
      </c>
      <c r="I185" s="41" t="s">
        <v>12</v>
      </c>
      <c r="J185" s="36">
        <f t="shared" si="17"/>
        <v>45608.67373</v>
      </c>
      <c r="K185" s="49" t="s">
        <v>197</v>
      </c>
      <c r="L185" s="49" t="s">
        <v>12</v>
      </c>
      <c r="M185" s="36">
        <f t="shared" si="18"/>
        <v>45609.64436</v>
      </c>
      <c r="N185" s="30" t="str">
        <f t="shared" si="3"/>
        <v>SELESAI</v>
      </c>
      <c r="O185" s="45">
        <f t="shared" si="12"/>
        <v>45609.64436</v>
      </c>
      <c r="P185" s="47" t="b">
        <v>0</v>
      </c>
      <c r="Q185" s="36" t="str">
        <f t="shared" si="5"/>
        <v/>
      </c>
      <c r="R185" s="47" t="b">
        <v>1</v>
      </c>
      <c r="S185" s="36">
        <f t="shared" si="6"/>
        <v>45614.60954</v>
      </c>
      <c r="T185" s="42"/>
    </row>
    <row r="186" ht="22.5" customHeight="1">
      <c r="B186" s="42">
        <f t="shared" si="7"/>
        <v>180</v>
      </c>
      <c r="C186" s="31" t="s">
        <v>374</v>
      </c>
      <c r="D186" s="42" t="s">
        <v>375</v>
      </c>
      <c r="E186" s="36" t="str">
        <f t="array" ref="E186">IFNA(_xlfn.XLOOKUP(D186,Table_Tarikan_Warkah[Nomor Tiket],Table_Tarikan_Warkah[Tanggal diserahkan kepada Validator]),"")</f>
        <v/>
      </c>
      <c r="F186" s="36" t="str">
        <f t="array" ref="F186">IFNA(_xlfn.XLOOKUP(D186,Table_Tarikan_Warkah[Nomor Tiket],Table_Tarikan_Warkah[Nama Petugas Warkah]),"")</f>
        <v/>
      </c>
      <c r="G186" s="39" t="str">
        <f t="array" ref="G186">IFNA(_xlfn.XLOOKUP(D186,Table_Tarikan_Warkah[Nomor Tiket],Table_Tarikan_Warkah[Jenis Permohonan]),"")</f>
        <v>KEWARISAN</v>
      </c>
      <c r="H186" s="41" t="s">
        <v>11</v>
      </c>
      <c r="I186" s="41" t="s">
        <v>12</v>
      </c>
      <c r="J186" s="36">
        <f t="shared" si="17"/>
        <v>45608.67409</v>
      </c>
      <c r="K186" s="49" t="s">
        <v>197</v>
      </c>
      <c r="L186" s="49" t="s">
        <v>12</v>
      </c>
      <c r="M186" s="36">
        <f t="shared" si="18"/>
        <v>45609.64436</v>
      </c>
      <c r="N186" s="30" t="str">
        <f t="shared" si="3"/>
        <v>SELESAI</v>
      </c>
      <c r="O186" s="45">
        <f t="shared" si="12"/>
        <v>45609.64436</v>
      </c>
      <c r="P186" s="47" t="b">
        <v>0</v>
      </c>
      <c r="Q186" s="36" t="str">
        <f t="shared" si="5"/>
        <v/>
      </c>
      <c r="R186" s="47" t="b">
        <v>1</v>
      </c>
      <c r="S186" s="36">
        <f t="shared" si="6"/>
        <v>45614.60966</v>
      </c>
      <c r="T186" s="42"/>
    </row>
    <row r="187" ht="22.5" customHeight="1">
      <c r="B187" s="42">
        <f t="shared" si="7"/>
        <v>181</v>
      </c>
      <c r="C187" s="31" t="s">
        <v>376</v>
      </c>
      <c r="D187" s="34" t="str">
        <f t="array" ref="D187">IFNA(_xlfn.XLOOKUP(C187,Table_Tarikan_Warkah[Nomor Sertipikat],Table_Tarikan_Warkah[Nomor Tiket]),"")</f>
        <v>K/36/081124/1</v>
      </c>
      <c r="E187" s="36" t="str">
        <f t="array" ref="E187">IFNA(_xlfn.XLOOKUP(D187,Table_Tarikan_Warkah[Nomor Tiket],Table_Tarikan_Warkah[Tanggal diserahkan kepada Validator]),"")</f>
        <v>11/11/2024 15.25</v>
      </c>
      <c r="F187" s="36" t="str">
        <f t="array" ref="F187">IFNA(_xlfn.XLOOKUP(D187,Table_Tarikan_Warkah[Nomor Tiket],Table_Tarikan_Warkah[Nama Petugas Warkah]),"")</f>
        <v>Berry</v>
      </c>
      <c r="G187" s="39" t="str">
        <f t="array" ref="G187">IFNA(_xlfn.XLOOKUP(D187,Table_Tarikan_Warkah[Nomor Tiket],Table_Tarikan_Warkah[Jenis Permohonan]),"")</f>
        <v>BN JUAL BELI</v>
      </c>
      <c r="H187" s="41" t="s">
        <v>11</v>
      </c>
      <c r="I187" s="41" t="s">
        <v>12</v>
      </c>
      <c r="J187" s="36">
        <f t="shared" si="17"/>
        <v>45608.6742</v>
      </c>
      <c r="K187" s="49" t="s">
        <v>197</v>
      </c>
      <c r="L187" s="49" t="s">
        <v>12</v>
      </c>
      <c r="M187" s="36">
        <f t="shared" si="18"/>
        <v>45609.64436</v>
      </c>
      <c r="N187" s="30" t="str">
        <f t="shared" si="3"/>
        <v>SELESAI</v>
      </c>
      <c r="O187" s="45">
        <f t="shared" si="12"/>
        <v>45609.64436</v>
      </c>
      <c r="P187" s="47" t="b">
        <v>0</v>
      </c>
      <c r="Q187" s="36" t="str">
        <f t="shared" si="5"/>
        <v/>
      </c>
      <c r="R187" s="47" t="b">
        <v>1</v>
      </c>
      <c r="S187" s="36">
        <f t="shared" si="6"/>
        <v>45614.60967</v>
      </c>
      <c r="T187" s="42"/>
    </row>
    <row r="188" ht="22.5" customHeight="1">
      <c r="B188" s="42">
        <f t="shared" si="7"/>
        <v>182</v>
      </c>
      <c r="C188" s="31" t="s">
        <v>377</v>
      </c>
      <c r="D188" s="34" t="str">
        <f t="array" ref="D188">IFNA(_xlfn.XLOOKUP(C188,Table_Tarikan_Warkah[Nomor Sertipikat],Table_Tarikan_Warkah[Nomor Tiket]),"")</f>
        <v>L/27/081124/1</v>
      </c>
      <c r="E188" s="36" t="str">
        <f t="array" ref="E188">IFNA(_xlfn.XLOOKUP(D188,Table_Tarikan_Warkah[Nomor Tiket],Table_Tarikan_Warkah[Tanggal diserahkan kepada Validator]),"")</f>
        <v>11/11/2024 15.20</v>
      </c>
      <c r="F188" s="36" t="str">
        <f t="array" ref="F188">IFNA(_xlfn.XLOOKUP(D188,Table_Tarikan_Warkah[Nomor Tiket],Table_Tarikan_Warkah[Nama Petugas Warkah]),"")</f>
        <v>Berry</v>
      </c>
      <c r="G188" s="39" t="str">
        <f t="array" ref="G188">IFNA(_xlfn.XLOOKUP(D188,Table_Tarikan_Warkah[Nomor Tiket],Table_Tarikan_Warkah[Jenis Permohonan]),"")</f>
        <v>ROYA</v>
      </c>
      <c r="H188" s="41" t="s">
        <v>11</v>
      </c>
      <c r="I188" s="41" t="s">
        <v>12</v>
      </c>
      <c r="J188" s="36">
        <f t="shared" si="17"/>
        <v>45608.67443</v>
      </c>
      <c r="K188" s="49" t="s">
        <v>197</v>
      </c>
      <c r="L188" s="49" t="s">
        <v>12</v>
      </c>
      <c r="M188" s="36">
        <f t="shared" si="18"/>
        <v>45614.60982</v>
      </c>
      <c r="N188" s="30" t="str">
        <f t="shared" si="3"/>
        <v>SELESAI</v>
      </c>
      <c r="O188" s="45">
        <f t="shared" si="12"/>
        <v>45614.60982</v>
      </c>
      <c r="P188" s="47" t="b">
        <v>0</v>
      </c>
      <c r="Q188" s="36" t="str">
        <f t="shared" si="5"/>
        <v/>
      </c>
      <c r="R188" s="47" t="b">
        <v>1</v>
      </c>
      <c r="S188" s="36">
        <f t="shared" si="6"/>
        <v>45614.60969</v>
      </c>
      <c r="T188" s="42"/>
    </row>
    <row r="189" ht="22.5" customHeight="1">
      <c r="B189" s="42">
        <f t="shared" si="7"/>
        <v>183</v>
      </c>
      <c r="C189" s="31" t="s">
        <v>378</v>
      </c>
      <c r="D189" s="34" t="str">
        <f t="array" ref="D189">IFNA(_xlfn.XLOOKUP(C189,Table_Tarikan_Warkah[Nomor Sertipikat],Table_Tarikan_Warkah[Nomor Tiket]),"")</f>
        <v>L/13/081124/1</v>
      </c>
      <c r="E189" s="36" t="str">
        <f t="array" ref="E189">IFNA(_xlfn.XLOOKUP(D189,Table_Tarikan_Warkah[Nomor Tiket],Table_Tarikan_Warkah[Tanggal diserahkan kepada Validator]),"")</f>
        <v>11/11/2024 15.17</v>
      </c>
      <c r="F189" s="36" t="str">
        <f t="array" ref="F189">IFNA(_xlfn.XLOOKUP(D189,Table_Tarikan_Warkah[Nomor Tiket],Table_Tarikan_Warkah[Nama Petugas Warkah]),"")</f>
        <v>David</v>
      </c>
      <c r="G189" s="39" t="str">
        <f t="array" ref="G189">IFNA(_xlfn.XLOOKUP(D189,Table_Tarikan_Warkah[Nomor Tiket],Table_Tarikan_Warkah[Jenis Permohonan]),"")</f>
        <v>ROYA</v>
      </c>
      <c r="H189" s="41" t="s">
        <v>11</v>
      </c>
      <c r="I189" s="41" t="s">
        <v>12</v>
      </c>
      <c r="J189" s="36">
        <f t="shared" si="17"/>
        <v>45608.67477</v>
      </c>
      <c r="K189" s="49" t="s">
        <v>197</v>
      </c>
      <c r="L189" s="49" t="s">
        <v>12</v>
      </c>
      <c r="M189" s="36">
        <f t="shared" si="18"/>
        <v>45614.60984</v>
      </c>
      <c r="N189" s="30" t="str">
        <f t="shared" si="3"/>
        <v>SELESAI</v>
      </c>
      <c r="O189" s="45">
        <f t="shared" si="12"/>
        <v>45614.60984</v>
      </c>
      <c r="P189" s="47" t="b">
        <v>0</v>
      </c>
      <c r="Q189" s="36" t="str">
        <f t="shared" si="5"/>
        <v/>
      </c>
      <c r="R189" s="47" t="b">
        <v>1</v>
      </c>
      <c r="S189" s="36">
        <f t="shared" si="6"/>
        <v>45614.60976</v>
      </c>
      <c r="T189" s="42"/>
    </row>
    <row r="190" ht="22.5" customHeight="1">
      <c r="B190" s="42">
        <f t="shared" si="7"/>
        <v>184</v>
      </c>
      <c r="C190" s="31" t="s">
        <v>379</v>
      </c>
      <c r="D190" s="34" t="str">
        <f t="array" ref="D190">IFNA(_xlfn.XLOOKUP(C190,Table_Tarikan_Warkah[Nomor Sertipikat],Table_Tarikan_Warkah[Nomor Tiket]),"")</f>
        <v>K/3/061124/2</v>
      </c>
      <c r="E190" s="36" t="str">
        <f t="array" ref="E190">IFNA(_xlfn.XLOOKUP(D190,Table_Tarikan_Warkah[Nomor Tiket],Table_Tarikan_Warkah[Tanggal diserahkan kepada Validator]),"")</f>
        <v/>
      </c>
      <c r="F190" s="36" t="str">
        <f t="array" ref="F190">IFNA(_xlfn.XLOOKUP(D190,Table_Tarikan_Warkah[Nomor Tiket],Table_Tarikan_Warkah[Nama Petugas Warkah]),"")</f>
        <v/>
      </c>
      <c r="G190" s="39" t="str">
        <f t="array" ref="G190">IFNA(_xlfn.XLOOKUP(D190,Table_Tarikan_Warkah[Nomor Tiket],Table_Tarikan_Warkah[Jenis Permohonan]),"")</f>
        <v>PENGUKURAN ULANG</v>
      </c>
      <c r="H190" s="41" t="s">
        <v>11</v>
      </c>
      <c r="I190" s="41" t="s">
        <v>12</v>
      </c>
      <c r="J190" s="36">
        <f t="shared" si="17"/>
        <v>45608.67596</v>
      </c>
      <c r="K190" s="49" t="s">
        <v>26</v>
      </c>
      <c r="L190" s="49" t="s">
        <v>23</v>
      </c>
      <c r="M190" s="36">
        <f t="shared" si="18"/>
        <v>45609.52932</v>
      </c>
      <c r="N190" s="30" t="str">
        <f t="shared" si="3"/>
        <v>Selesai</v>
      </c>
      <c r="O190" s="45">
        <f t="shared" si="12"/>
        <v>45609.52932</v>
      </c>
      <c r="P190" s="47" t="b">
        <v>1</v>
      </c>
      <c r="Q190" s="36">
        <f t="shared" si="5"/>
        <v>45609.52932</v>
      </c>
      <c r="R190" s="47" t="b">
        <v>0</v>
      </c>
      <c r="S190" s="42" t="str">
        <f t="shared" si="6"/>
        <v/>
      </c>
      <c r="T190" s="42"/>
    </row>
    <row r="191" ht="22.5" customHeight="1">
      <c r="B191" s="42">
        <f t="shared" si="7"/>
        <v>185</v>
      </c>
      <c r="C191" s="31" t="s">
        <v>380</v>
      </c>
      <c r="D191" s="34" t="str">
        <f t="array" ref="D191">IFNA(_xlfn.XLOOKUP(C191,Table_Tarikan_Warkah[Nomor Sertipikat],Table_Tarikan_Warkah[Nomor Tiket]),"")</f>
        <v>K/1/081124/1</v>
      </c>
      <c r="E191" s="36" t="str">
        <f t="array" ref="E191">IFNA(_xlfn.XLOOKUP(D191,Table_Tarikan_Warkah[Nomor Tiket],Table_Tarikan_Warkah[Tanggal diserahkan kepada Validator]),"")</f>
        <v/>
      </c>
      <c r="F191" s="36" t="str">
        <f t="array" ref="F191">IFNA(_xlfn.XLOOKUP(D191,Table_Tarikan_Warkah[Nomor Tiket],Table_Tarikan_Warkah[Nama Petugas Warkah]),"")</f>
        <v>David</v>
      </c>
      <c r="G191" s="39" t="str">
        <f t="array" ref="G191">IFNA(_xlfn.XLOOKUP(D191,Table_Tarikan_Warkah[Nomor Tiket],Table_Tarikan_Warkah[Jenis Permohonan]),"")</f>
        <v>BN JUAL BELI</v>
      </c>
      <c r="H191" s="41" t="s">
        <v>11</v>
      </c>
      <c r="I191" s="41" t="s">
        <v>12</v>
      </c>
      <c r="J191" s="36">
        <f t="shared" si="17"/>
        <v>45608.67628</v>
      </c>
      <c r="K191" s="49" t="s">
        <v>26</v>
      </c>
      <c r="L191" s="49" t="s">
        <v>23</v>
      </c>
      <c r="M191" s="36">
        <f t="shared" si="18"/>
        <v>45609.52932</v>
      </c>
      <c r="N191" s="30" t="str">
        <f t="shared" si="3"/>
        <v>Selesai</v>
      </c>
      <c r="O191" s="45">
        <f t="shared" si="12"/>
        <v>45609.52932</v>
      </c>
      <c r="P191" s="47" t="b">
        <v>1</v>
      </c>
      <c r="Q191" s="36">
        <f t="shared" si="5"/>
        <v>45609.52932</v>
      </c>
      <c r="R191" s="47" t="b">
        <v>0</v>
      </c>
      <c r="S191" s="42" t="str">
        <f t="shared" si="6"/>
        <v/>
      </c>
      <c r="T191" s="42"/>
    </row>
    <row r="192" ht="22.5" customHeight="1">
      <c r="B192" s="42">
        <f t="shared" si="7"/>
        <v>186</v>
      </c>
      <c r="C192" s="31" t="s">
        <v>376</v>
      </c>
      <c r="D192" s="34" t="str">
        <f t="array" ref="D192">IFNA(_xlfn.XLOOKUP(C192,Table_Tarikan_Warkah[Nomor Sertipikat],Table_Tarikan_Warkah[Nomor Tiket]),"")</f>
        <v>K/36/081124/1</v>
      </c>
      <c r="E192" s="36" t="str">
        <f t="array" ref="E192">IFNA(_xlfn.XLOOKUP(D192,Table_Tarikan_Warkah[Nomor Tiket],Table_Tarikan_Warkah[Tanggal diserahkan kepada Validator]),"")</f>
        <v>11/11/2024 15.25</v>
      </c>
      <c r="F192" s="36" t="str">
        <f t="array" ref="F192">IFNA(_xlfn.XLOOKUP(D192,Table_Tarikan_Warkah[Nomor Tiket],Table_Tarikan_Warkah[Nama Petugas Warkah]),"")</f>
        <v>Berry</v>
      </c>
      <c r="G192" s="39" t="str">
        <f t="array" ref="G192">IFNA(_xlfn.XLOOKUP(D192,Table_Tarikan_Warkah[Nomor Tiket],Table_Tarikan_Warkah[Jenis Permohonan]),"")</f>
        <v>BN JUAL BELI</v>
      </c>
      <c r="H192" s="41" t="s">
        <v>11</v>
      </c>
      <c r="I192" s="41" t="s">
        <v>12</v>
      </c>
      <c r="J192" s="36">
        <f t="shared" si="17"/>
        <v>45608.67643</v>
      </c>
      <c r="K192" s="49" t="s">
        <v>26</v>
      </c>
      <c r="L192" s="49" t="s">
        <v>23</v>
      </c>
      <c r="M192" s="36">
        <f t="shared" si="18"/>
        <v>45609.52932</v>
      </c>
      <c r="N192" s="30" t="str">
        <f t="shared" si="3"/>
        <v>Selesai</v>
      </c>
      <c r="O192" s="45">
        <f t="shared" si="12"/>
        <v>45609.52932</v>
      </c>
      <c r="P192" s="47" t="b">
        <v>1</v>
      </c>
      <c r="Q192" s="36">
        <f t="shared" si="5"/>
        <v>45609.52932</v>
      </c>
      <c r="R192" s="47" t="b">
        <v>0</v>
      </c>
      <c r="S192" s="42" t="str">
        <f t="shared" si="6"/>
        <v/>
      </c>
      <c r="T192" s="42"/>
    </row>
    <row r="193" ht="22.5" customHeight="1">
      <c r="B193" s="42">
        <f t="shared" si="7"/>
        <v>187</v>
      </c>
      <c r="C193" s="31" t="s">
        <v>373</v>
      </c>
      <c r="D193" s="34" t="str">
        <f t="array" ref="D193">IFNA(_xlfn.XLOOKUP(C193,Table_Tarikan_Warkah[Nomor Sertipikat],Table_Tarikan_Warkah[Nomor Tiket]),"")</f>
        <v>K/51/081124/1</v>
      </c>
      <c r="E193" s="36" t="str">
        <f t="array" ref="E193">IFNA(_xlfn.XLOOKUP(D193,Table_Tarikan_Warkah[Nomor Tiket],Table_Tarikan_Warkah[Tanggal diserahkan kepada Validator]),"")</f>
        <v>11/11/2024 15.28</v>
      </c>
      <c r="F193" s="36" t="str">
        <f t="array" ref="F193">IFNA(_xlfn.XLOOKUP(D193,Table_Tarikan_Warkah[Nomor Tiket],Table_Tarikan_Warkah[Nama Petugas Warkah]),"")</f>
        <v>Berry</v>
      </c>
      <c r="G193" s="39" t="str">
        <f t="array" ref="G193">IFNA(_xlfn.XLOOKUP(D193,Table_Tarikan_Warkah[Nomor Tiket],Table_Tarikan_Warkah[Jenis Permohonan]),"")</f>
        <v>BN HIBAH</v>
      </c>
      <c r="H193" s="41" t="s">
        <v>11</v>
      </c>
      <c r="I193" s="41" t="s">
        <v>12</v>
      </c>
      <c r="J193" s="36">
        <f t="shared" si="17"/>
        <v>45608.67653</v>
      </c>
      <c r="K193" s="49" t="s">
        <v>26</v>
      </c>
      <c r="L193" s="49" t="s">
        <v>23</v>
      </c>
      <c r="M193" s="36">
        <f t="shared" si="18"/>
        <v>45609.48724</v>
      </c>
      <c r="N193" s="30" t="str">
        <f t="shared" si="3"/>
        <v>Selesai</v>
      </c>
      <c r="O193" s="45">
        <f t="shared" si="12"/>
        <v>45609.48724</v>
      </c>
      <c r="P193" s="47" t="b">
        <v>1</v>
      </c>
      <c r="Q193" s="36">
        <f t="shared" si="5"/>
        <v>45614.60892</v>
      </c>
      <c r="R193" s="47" t="b">
        <v>0</v>
      </c>
      <c r="S193" s="42" t="str">
        <f t="shared" si="6"/>
        <v/>
      </c>
      <c r="T193" s="42"/>
    </row>
    <row r="194" ht="22.5" customHeight="1">
      <c r="B194" s="42">
        <f t="shared" si="7"/>
        <v>188</v>
      </c>
      <c r="C194" s="31" t="s">
        <v>381</v>
      </c>
      <c r="D194" s="34" t="str">
        <f t="array" ref="D194">IFNA(_xlfn.XLOOKUP(C194,Table_Tarikan_Warkah[Nomor Sertipikat],Table_Tarikan_Warkah[Nomor Tiket]),"")</f>
        <v>L/17/081124/1</v>
      </c>
      <c r="E194" s="36" t="str">
        <f t="array" ref="E194">IFNA(_xlfn.XLOOKUP(D194,Table_Tarikan_Warkah[Nomor Tiket],Table_Tarikan_Warkah[Tanggal diserahkan kepada Validator]),"")</f>
        <v>12/11/2024 10.44</v>
      </c>
      <c r="F194" s="36" t="str">
        <f t="array" ref="F194">IFNA(_xlfn.XLOOKUP(D194,Table_Tarikan_Warkah[Nomor Tiket],Table_Tarikan_Warkah[Nama Petugas Warkah]),"")</f>
        <v>David</v>
      </c>
      <c r="G194" s="39" t="str">
        <f t="array" ref="G194">IFNA(_xlfn.XLOOKUP(D194,Table_Tarikan_Warkah[Nomor Tiket],Table_Tarikan_Warkah[Jenis Permohonan]),"")</f>
        <v>PENATAAN BATAS</v>
      </c>
      <c r="H194" s="41" t="s">
        <v>20</v>
      </c>
      <c r="I194" s="41" t="s">
        <v>12</v>
      </c>
      <c r="J194" s="36">
        <f t="shared" si="17"/>
        <v>45608.71888</v>
      </c>
      <c r="K194" s="49" t="s">
        <v>197</v>
      </c>
      <c r="L194" s="49" t="s">
        <v>12</v>
      </c>
      <c r="M194" s="36">
        <f t="shared" si="18"/>
        <v>45611.63256</v>
      </c>
      <c r="N194" s="30" t="str">
        <f t="shared" si="3"/>
        <v>SELESAI</v>
      </c>
      <c r="O194" s="45">
        <f t="shared" si="12"/>
        <v>45611.63256</v>
      </c>
      <c r="P194" s="47" t="b">
        <v>0</v>
      </c>
      <c r="Q194" s="36" t="str">
        <f t="shared" si="5"/>
        <v/>
      </c>
      <c r="R194" s="47" t="b">
        <v>1</v>
      </c>
      <c r="S194" s="36">
        <f t="shared" si="6"/>
        <v>45614.60896</v>
      </c>
      <c r="T194" s="42"/>
    </row>
    <row r="195" ht="22.5" customHeight="1">
      <c r="B195" s="42">
        <f t="shared" si="7"/>
        <v>189</v>
      </c>
      <c r="C195" s="31" t="s">
        <v>382</v>
      </c>
      <c r="D195" s="34" t="str">
        <f t="array" ref="D195">IFNA(_xlfn.XLOOKUP(C195,Table_Tarikan_Warkah[Nomor Sertipikat],Table_Tarikan_Warkah[Nomor Tiket]),"")</f>
        <v>K/28/111124/1</v>
      </c>
      <c r="E195" s="36" t="str">
        <f t="array" ref="E195">IFNA(_xlfn.XLOOKUP(D195,Table_Tarikan_Warkah[Nomor Tiket],Table_Tarikan_Warkah[Tanggal diserahkan kepada Validator]),"")</f>
        <v>12/11/2024 10.39</v>
      </c>
      <c r="F195" s="36" t="str">
        <f t="array" ref="F195">IFNA(_xlfn.XLOOKUP(D195,Table_Tarikan_Warkah[Nomor Tiket],Table_Tarikan_Warkah[Nama Petugas Warkah]),"")</f>
        <v>David</v>
      </c>
      <c r="G195" s="39" t="str">
        <f t="array" ref="G195">IFNA(_xlfn.XLOOKUP(D195,Table_Tarikan_Warkah[Nomor Tiket],Table_Tarikan_Warkah[Jenis Permohonan]),"")</f>
        <v>KEWARISAN</v>
      </c>
      <c r="H195" s="41" t="s">
        <v>20</v>
      </c>
      <c r="I195" s="41" t="s">
        <v>12</v>
      </c>
      <c r="J195" s="36">
        <f t="shared" si="17"/>
        <v>45608.71962</v>
      </c>
      <c r="K195" s="49" t="s">
        <v>197</v>
      </c>
      <c r="L195" s="49" t="s">
        <v>12</v>
      </c>
      <c r="M195" s="36">
        <f t="shared" si="18"/>
        <v>45611.63312</v>
      </c>
      <c r="N195" s="30" t="str">
        <f t="shared" si="3"/>
        <v>SELESAI</v>
      </c>
      <c r="O195" s="45">
        <f t="shared" si="12"/>
        <v>45611.63312</v>
      </c>
      <c r="P195" s="47" t="b">
        <v>0</v>
      </c>
      <c r="Q195" s="36" t="str">
        <f t="shared" si="5"/>
        <v/>
      </c>
      <c r="R195" s="47" t="b">
        <v>1</v>
      </c>
      <c r="S195" s="36">
        <f t="shared" si="6"/>
        <v>45614.60907</v>
      </c>
      <c r="T195" s="42"/>
    </row>
    <row r="196" ht="22.5" customHeight="1">
      <c r="B196" s="42">
        <f t="shared" si="7"/>
        <v>190</v>
      </c>
      <c r="C196" s="31" t="s">
        <v>383</v>
      </c>
      <c r="D196" s="34" t="str">
        <f t="array" ref="D196">IFNA(_xlfn.XLOOKUP(C196,Table_Tarikan_Warkah[Nomor Sertipikat],Table_Tarikan_Warkah[Nomor Tiket]),"")</f>
        <v>L/36/111124/1</v>
      </c>
      <c r="E196" s="36" t="str">
        <f t="array" ref="E196">IFNA(_xlfn.XLOOKUP(D196,Table_Tarikan_Warkah[Nomor Tiket],Table_Tarikan_Warkah[Tanggal diserahkan kepada Validator]),"")</f>
        <v>12/11/2024 10.41</v>
      </c>
      <c r="F196" s="36" t="str">
        <f t="array" ref="F196">IFNA(_xlfn.XLOOKUP(D196,Table_Tarikan_Warkah[Nomor Tiket],Table_Tarikan_Warkah[Nama Petugas Warkah]),"")</f>
        <v>David</v>
      </c>
      <c r="G196" s="39" t="str">
        <f t="array" ref="G196">IFNA(_xlfn.XLOOKUP(D196,Table_Tarikan_Warkah[Nomor Tiket],Table_Tarikan_Warkah[Jenis Permohonan]),"")</f>
        <v>BN WARIS</v>
      </c>
      <c r="H196" s="41" t="s">
        <v>20</v>
      </c>
      <c r="I196" s="41" t="s">
        <v>12</v>
      </c>
      <c r="J196" s="36">
        <f t="shared" si="17"/>
        <v>45608.71984</v>
      </c>
      <c r="K196" s="49" t="s">
        <v>197</v>
      </c>
      <c r="L196" s="49" t="s">
        <v>12</v>
      </c>
      <c r="M196" s="36">
        <f t="shared" si="18"/>
        <v>45611.63314</v>
      </c>
      <c r="N196" s="30" t="str">
        <f t="shared" si="3"/>
        <v>SELESAI</v>
      </c>
      <c r="O196" s="45">
        <f t="shared" si="12"/>
        <v>45611.63314</v>
      </c>
      <c r="P196" s="47" t="b">
        <v>0</v>
      </c>
      <c r="Q196" s="36" t="str">
        <f t="shared" si="5"/>
        <v/>
      </c>
      <c r="R196" s="47" t="b">
        <v>1</v>
      </c>
      <c r="S196" s="36">
        <f t="shared" si="6"/>
        <v>45614.60909</v>
      </c>
      <c r="T196" s="42"/>
    </row>
    <row r="197" ht="22.5" customHeight="1">
      <c r="B197" s="42">
        <f t="shared" si="7"/>
        <v>191</v>
      </c>
      <c r="C197" s="31" t="s">
        <v>384</v>
      </c>
      <c r="D197" s="34" t="str">
        <f t="array" ref="D197">IFNA(_xlfn.XLOOKUP(C197,Table_Tarikan_Warkah[Nomor Sertipikat],Table_Tarikan_Warkah[Nomor Tiket]),"")</f>
        <v>L/3/081124/1</v>
      </c>
      <c r="E197" s="36" t="str">
        <f t="array" ref="E197">IFNA(_xlfn.XLOOKUP(D197,Table_Tarikan_Warkah[Nomor Tiket],Table_Tarikan_Warkah[Tanggal diserahkan kepada Validator]),"")</f>
        <v>11/11/2024 15.10</v>
      </c>
      <c r="F197" s="36" t="str">
        <f t="array" ref="F197">IFNA(_xlfn.XLOOKUP(D197,Table_Tarikan_Warkah[Nomor Tiket],Table_Tarikan_Warkah[Nama Petugas Warkah]),"")</f>
        <v>David</v>
      </c>
      <c r="G197" s="39" t="str">
        <f t="array" ref="G197">IFNA(_xlfn.XLOOKUP(D197,Table_Tarikan_Warkah[Nomor Tiket],Table_Tarikan_Warkah[Jenis Permohonan]),"")</f>
        <v>SERTIPIKAT HILANG</v>
      </c>
      <c r="H197" s="41" t="s">
        <v>20</v>
      </c>
      <c r="I197" s="41" t="s">
        <v>12</v>
      </c>
      <c r="J197" s="36">
        <f t="shared" si="17"/>
        <v>45608.72</v>
      </c>
      <c r="K197" s="49" t="s">
        <v>197</v>
      </c>
      <c r="L197" s="49" t="s">
        <v>12</v>
      </c>
      <c r="M197" s="36">
        <f t="shared" si="18"/>
        <v>45611.63314</v>
      </c>
      <c r="N197" s="30" t="str">
        <f t="shared" si="3"/>
        <v>SELESAI</v>
      </c>
      <c r="O197" s="45">
        <f t="shared" si="12"/>
        <v>45611.63314</v>
      </c>
      <c r="P197" s="47" t="b">
        <v>0</v>
      </c>
      <c r="Q197" s="36" t="str">
        <f t="shared" si="5"/>
        <v/>
      </c>
      <c r="R197" s="47" t="b">
        <v>1</v>
      </c>
      <c r="S197" s="36">
        <f t="shared" si="6"/>
        <v>45614.6091</v>
      </c>
      <c r="T197" s="42"/>
    </row>
    <row r="198" ht="22.5" customHeight="1">
      <c r="B198" s="42">
        <f t="shared" si="7"/>
        <v>192</v>
      </c>
      <c r="C198" s="31" t="s">
        <v>385</v>
      </c>
      <c r="D198" s="34" t="str">
        <f t="array" ref="D198">IFNA(_xlfn.XLOOKUP(C198,Table_Tarikan_Warkah[Nomor Sertipikat],Table_Tarikan_Warkah[Nomor Tiket]),"")</f>
        <v>K/40/111124/1</v>
      </c>
      <c r="E198" s="36" t="str">
        <f t="array" ref="E198">IFNA(_xlfn.XLOOKUP(D198,Table_Tarikan_Warkah[Nomor Tiket],Table_Tarikan_Warkah[Tanggal diserahkan kepada Validator]),"")</f>
        <v>12/11/2024 10.42</v>
      </c>
      <c r="F198" s="36" t="str">
        <f t="array" ref="F198">IFNA(_xlfn.XLOOKUP(D198,Table_Tarikan_Warkah[Nomor Tiket],Table_Tarikan_Warkah[Nama Petugas Warkah]),"")</f>
        <v>David</v>
      </c>
      <c r="G198" s="39" t="str">
        <f t="array" ref="G198">IFNA(_xlfn.XLOOKUP(D198,Table_Tarikan_Warkah[Nomor Tiket],Table_Tarikan_Warkah[Jenis Permohonan]),"")</f>
        <v>KEWARISAN</v>
      </c>
      <c r="H198" s="41" t="s">
        <v>20</v>
      </c>
      <c r="I198" s="41" t="s">
        <v>12</v>
      </c>
      <c r="J198" s="36">
        <f t="shared" si="17"/>
        <v>45608.7206</v>
      </c>
      <c r="K198" s="49" t="s">
        <v>197</v>
      </c>
      <c r="L198" s="49" t="s">
        <v>12</v>
      </c>
      <c r="M198" s="36">
        <f t="shared" si="18"/>
        <v>45611.6332</v>
      </c>
      <c r="N198" s="30" t="str">
        <f t="shared" si="3"/>
        <v>SELESAI</v>
      </c>
      <c r="O198" s="45">
        <f t="shared" si="12"/>
        <v>45611.6332</v>
      </c>
      <c r="P198" s="47" t="b">
        <v>0</v>
      </c>
      <c r="Q198" s="36" t="str">
        <f t="shared" si="5"/>
        <v/>
      </c>
      <c r="R198" s="47" t="b">
        <v>1</v>
      </c>
      <c r="S198" s="36">
        <f t="shared" si="6"/>
        <v>45614.60917</v>
      </c>
      <c r="T198" s="42"/>
    </row>
    <row r="199" ht="22.5" customHeight="1">
      <c r="B199" s="42">
        <f t="shared" si="7"/>
        <v>193</v>
      </c>
      <c r="C199" s="31" t="s">
        <v>386</v>
      </c>
      <c r="D199" s="34" t="str">
        <f t="array" ref="D199">IFNA(_xlfn.XLOOKUP(C199,Table_Tarikan_Warkah[Nomor Sertipikat],Table_Tarikan_Warkah[Nomor Tiket]),"")</f>
        <v>K/23/111124/1</v>
      </c>
      <c r="E199" s="36" t="str">
        <f t="array" ref="E199">IFNA(_xlfn.XLOOKUP(D199,Table_Tarikan_Warkah[Nomor Tiket],Table_Tarikan_Warkah[Tanggal diserahkan kepada Validator]),"")</f>
        <v>12/11/2024 10.44</v>
      </c>
      <c r="F199" s="36" t="str">
        <f t="array" ref="F199">IFNA(_xlfn.XLOOKUP(D199,Table_Tarikan_Warkah[Nomor Tiket],Table_Tarikan_Warkah[Nama Petugas Warkah]),"")</f>
        <v>David</v>
      </c>
      <c r="G199" s="39" t="str">
        <f t="array" ref="G199">IFNA(_xlfn.XLOOKUP(D199,Table_Tarikan_Warkah[Nomor Tiket],Table_Tarikan_Warkah[Jenis Permohonan]),"")</f>
        <v>BN JUAL BELI</v>
      </c>
      <c r="H199" s="41" t="s">
        <v>20</v>
      </c>
      <c r="I199" s="41" t="s">
        <v>12</v>
      </c>
      <c r="J199" s="36">
        <f t="shared" si="17"/>
        <v>45608.7207</v>
      </c>
      <c r="K199" s="49" t="s">
        <v>197</v>
      </c>
      <c r="L199" s="49" t="s">
        <v>12</v>
      </c>
      <c r="M199" s="36">
        <f t="shared" si="18"/>
        <v>45611.6332</v>
      </c>
      <c r="N199" s="30" t="str">
        <f t="shared" si="3"/>
        <v>SELESAI</v>
      </c>
      <c r="O199" s="45">
        <f t="shared" si="12"/>
        <v>45611.6332</v>
      </c>
      <c r="P199" s="47" t="b">
        <v>0</v>
      </c>
      <c r="Q199" s="36" t="str">
        <f t="shared" si="5"/>
        <v/>
      </c>
      <c r="R199" s="47" t="b">
        <v>1</v>
      </c>
      <c r="S199" s="36">
        <f t="shared" si="6"/>
        <v>45614.60918</v>
      </c>
      <c r="T199" s="42"/>
    </row>
    <row r="200" ht="22.5" customHeight="1">
      <c r="B200" s="42">
        <f t="shared" si="7"/>
        <v>194</v>
      </c>
      <c r="C200" s="31" t="s">
        <v>387</v>
      </c>
      <c r="D200" s="42" t="s">
        <v>388</v>
      </c>
      <c r="E200" s="36" t="str">
        <f t="array" ref="E200">IFNA(_xlfn.XLOOKUP(D200,Table_Tarikan_Warkah[Nomor Tiket],Table_Tarikan_Warkah[Tanggal diserahkan kepada Validator]),"")</f>
        <v/>
      </c>
      <c r="F200" s="36" t="str">
        <f t="array" ref="F200">IFNA(_xlfn.XLOOKUP(D200,Table_Tarikan_Warkah[Nomor Tiket],Table_Tarikan_Warkah[Nama Petugas Warkah]),"")</f>
        <v/>
      </c>
      <c r="G200" s="39" t="str">
        <f t="array" ref="G200">IFNA(_xlfn.XLOOKUP(D200,Table_Tarikan_Warkah[Nomor Tiket],Table_Tarikan_Warkah[Jenis Permohonan]),"")</f>
        <v/>
      </c>
      <c r="H200" s="41" t="s">
        <v>20</v>
      </c>
      <c r="I200" s="41" t="s">
        <v>12</v>
      </c>
      <c r="J200" s="36">
        <f t="shared" si="17"/>
        <v>45609.52932</v>
      </c>
      <c r="K200" s="49" t="s">
        <v>26</v>
      </c>
      <c r="L200" s="49" t="s">
        <v>23</v>
      </c>
      <c r="M200" s="36">
        <f t="shared" si="18"/>
        <v>45611.63336</v>
      </c>
      <c r="N200" s="30" t="str">
        <f t="shared" si="3"/>
        <v>Selesai</v>
      </c>
      <c r="O200" s="45">
        <f t="shared" si="12"/>
        <v>45611.63336</v>
      </c>
      <c r="P200" s="47" t="b">
        <v>1</v>
      </c>
      <c r="Q200" s="36">
        <f t="shared" si="5"/>
        <v>45611.63338</v>
      </c>
      <c r="R200" s="47" t="b">
        <v>0</v>
      </c>
      <c r="S200" s="42" t="str">
        <f t="shared" si="6"/>
        <v/>
      </c>
      <c r="T200" s="42"/>
    </row>
    <row r="201" ht="22.5" customHeight="1">
      <c r="B201" s="42">
        <f t="shared" si="7"/>
        <v>195</v>
      </c>
      <c r="C201" s="31" t="s">
        <v>389</v>
      </c>
      <c r="D201" s="34" t="str">
        <f t="array" ref="D201">IFNA(_xlfn.XLOOKUP(C201,Table_Tarikan_Warkah[Nomor Sertipikat],Table_Tarikan_Warkah[Nomor Tiket]),"")</f>
        <v>K/32/071124/1</v>
      </c>
      <c r="E201" s="36" t="str">
        <f t="array" ref="E201">IFNA(_xlfn.XLOOKUP(D201,Table_Tarikan_Warkah[Nomor Tiket],Table_Tarikan_Warkah[Tanggal diserahkan kepada Validator]),"")</f>
        <v>08/11/2024 15.20</v>
      </c>
      <c r="F201" s="36" t="str">
        <f t="array" ref="F201">IFNA(_xlfn.XLOOKUP(D201,Table_Tarikan_Warkah[Nomor Tiket],Table_Tarikan_Warkah[Nama Petugas Warkah]),"")</f>
        <v>David</v>
      </c>
      <c r="G201" s="39" t="str">
        <f t="array" ref="G201">IFNA(_xlfn.XLOOKUP(D201,Table_Tarikan_Warkah[Nomor Tiket],Table_Tarikan_Warkah[Jenis Permohonan]),"")</f>
        <v>ROYA</v>
      </c>
      <c r="H201" s="41" t="s">
        <v>20</v>
      </c>
      <c r="I201" s="41" t="s">
        <v>12</v>
      </c>
      <c r="J201" s="36">
        <f t="shared" si="17"/>
        <v>45610.48244</v>
      </c>
      <c r="K201" s="49" t="s">
        <v>197</v>
      </c>
      <c r="L201" s="49" t="s">
        <v>12</v>
      </c>
      <c r="M201" s="36">
        <f t="shared" si="18"/>
        <v>45611.63396</v>
      </c>
      <c r="N201" s="30" t="str">
        <f t="shared" si="3"/>
        <v>SELESAI</v>
      </c>
      <c r="O201" s="45">
        <f t="shared" si="12"/>
        <v>45611.63396</v>
      </c>
      <c r="P201" s="47" t="b">
        <v>0</v>
      </c>
      <c r="Q201" s="36" t="str">
        <f t="shared" si="5"/>
        <v/>
      </c>
      <c r="R201" s="47" t="b">
        <v>1</v>
      </c>
      <c r="S201" s="36">
        <f t="shared" si="6"/>
        <v>45614.60874</v>
      </c>
      <c r="T201" s="42"/>
    </row>
    <row r="202" ht="22.5" customHeight="1">
      <c r="B202" s="42">
        <f t="shared" si="7"/>
        <v>196</v>
      </c>
      <c r="C202" s="31" t="s">
        <v>390</v>
      </c>
      <c r="D202" s="34" t="str">
        <f t="array" ref="D202">IFNA(_xlfn.XLOOKUP(C202,Table_Tarikan_Warkah[Nomor Sertipikat],Table_Tarikan_Warkah[Nomor Tiket]),"")</f>
        <v>L/33/121124/1</v>
      </c>
      <c r="E202" s="36" t="str">
        <f t="array" ref="E202">IFNA(_xlfn.XLOOKUP(D202,Table_Tarikan_Warkah[Nomor Tiket],Table_Tarikan_Warkah[Tanggal diserahkan kepada Validator]),"")</f>
        <v>13/11/2024 16.09</v>
      </c>
      <c r="F202" s="36" t="str">
        <f t="array" ref="F202">IFNA(_xlfn.XLOOKUP(D202,Table_Tarikan_Warkah[Nomor Tiket],Table_Tarikan_Warkah[Nama Petugas Warkah]),"")</f>
        <v>Berry</v>
      </c>
      <c r="G202" s="39" t="str">
        <f t="array" ref="G202">IFNA(_xlfn.XLOOKUP(D202,Table_Tarikan_Warkah[Nomor Tiket],Table_Tarikan_Warkah[Jenis Permohonan]),"")</f>
        <v>ROYA</v>
      </c>
      <c r="H202" s="41" t="s">
        <v>20</v>
      </c>
      <c r="I202" s="41" t="s">
        <v>12</v>
      </c>
      <c r="J202" s="36">
        <f t="shared" si="17"/>
        <v>45610.48273</v>
      </c>
      <c r="K202" s="49" t="s">
        <v>197</v>
      </c>
      <c r="L202" s="49" t="s">
        <v>12</v>
      </c>
      <c r="M202" s="36">
        <f t="shared" si="18"/>
        <v>45611.634</v>
      </c>
      <c r="N202" s="30" t="str">
        <f t="shared" si="3"/>
        <v>SELESAI</v>
      </c>
      <c r="O202" s="45">
        <f t="shared" si="12"/>
        <v>45611.634</v>
      </c>
      <c r="P202" s="47" t="b">
        <v>0</v>
      </c>
      <c r="Q202" s="36" t="str">
        <f t="shared" si="5"/>
        <v/>
      </c>
      <c r="R202" s="47" t="b">
        <v>1</v>
      </c>
      <c r="S202" s="36">
        <f t="shared" si="6"/>
        <v>45614.60877</v>
      </c>
      <c r="T202" s="42"/>
    </row>
    <row r="203" ht="22.5" customHeight="1">
      <c r="B203" s="42">
        <f t="shared" si="7"/>
        <v>197</v>
      </c>
      <c r="C203" s="31" t="s">
        <v>391</v>
      </c>
      <c r="D203" s="34" t="str">
        <f t="array" ref="D203">IFNA(_xlfn.XLOOKUP(C203,Table_Tarikan_Warkah[Nomor Sertipikat],Table_Tarikan_Warkah[Nomor Tiket]),"")</f>
        <v>L/39/121124/1</v>
      </c>
      <c r="E203" s="36" t="str">
        <f t="array" ref="E203">IFNA(_xlfn.XLOOKUP(D203,Table_Tarikan_Warkah[Nomor Tiket],Table_Tarikan_Warkah[Tanggal diserahkan kepada Validator]),"")</f>
        <v>13/11/2024 16.10</v>
      </c>
      <c r="F203" s="36" t="str">
        <f t="array" ref="F203">IFNA(_xlfn.XLOOKUP(D203,Table_Tarikan_Warkah[Nomor Tiket],Table_Tarikan_Warkah[Nama Petugas Warkah]),"")</f>
        <v>Berry</v>
      </c>
      <c r="G203" s="39" t="str">
        <f t="array" ref="G203">IFNA(_xlfn.XLOOKUP(D203,Table_Tarikan_Warkah[Nomor Tiket],Table_Tarikan_Warkah[Jenis Permohonan]),"")</f>
        <v>ROYA</v>
      </c>
      <c r="H203" s="41" t="s">
        <v>20</v>
      </c>
      <c r="I203" s="41" t="s">
        <v>12</v>
      </c>
      <c r="J203" s="36">
        <f t="shared" si="17"/>
        <v>45610.48301</v>
      </c>
      <c r="K203" s="49" t="s">
        <v>197</v>
      </c>
      <c r="L203" s="49" t="s">
        <v>12</v>
      </c>
      <c r="M203" s="36">
        <f t="shared" si="18"/>
        <v>45611.63405</v>
      </c>
      <c r="N203" s="30" t="str">
        <f t="shared" si="3"/>
        <v>SELESAI</v>
      </c>
      <c r="O203" s="45">
        <f t="shared" si="12"/>
        <v>45611.63405</v>
      </c>
      <c r="P203" s="47" t="b">
        <v>0</v>
      </c>
      <c r="Q203" s="36" t="str">
        <f t="shared" si="5"/>
        <v/>
      </c>
      <c r="R203" s="47" t="b">
        <v>1</v>
      </c>
      <c r="S203" s="36">
        <f t="shared" si="6"/>
        <v>45614.6088</v>
      </c>
      <c r="T203" s="42"/>
    </row>
    <row r="204" ht="22.5" customHeight="1">
      <c r="B204" s="42">
        <f t="shared" si="7"/>
        <v>198</v>
      </c>
      <c r="C204" s="31" t="s">
        <v>392</v>
      </c>
      <c r="D204" s="34" t="str">
        <f t="array" ref="D204">IFNA(_xlfn.XLOOKUP(C204,Table_Tarikan_Warkah[Nomor Sertipikat],Table_Tarikan_Warkah[Nomor Tiket]),"")</f>
        <v>L/46/121124/1</v>
      </c>
      <c r="E204" s="36" t="str">
        <f t="array" ref="E204">IFNA(_xlfn.XLOOKUP(D204,Table_Tarikan_Warkah[Nomor Tiket],Table_Tarikan_Warkah[Tanggal diserahkan kepada Validator]),"")</f>
        <v>14/11/2024 08.37</v>
      </c>
      <c r="F204" s="36" t="str">
        <f t="array" ref="F204">IFNA(_xlfn.XLOOKUP(D204,Table_Tarikan_Warkah[Nomor Tiket],Table_Tarikan_Warkah[Nama Petugas Warkah]),"")</f>
        <v>Berry</v>
      </c>
      <c r="G204" s="39" t="str">
        <f t="array" ref="G204">IFNA(_xlfn.XLOOKUP(D204,Table_Tarikan_Warkah[Nomor Tiket],Table_Tarikan_Warkah[Jenis Permohonan]),"")</f>
        <v>ROYA</v>
      </c>
      <c r="H204" s="41" t="s">
        <v>20</v>
      </c>
      <c r="I204" s="41" t="s">
        <v>12</v>
      </c>
      <c r="J204" s="36">
        <f t="shared" si="17"/>
        <v>45610.48315</v>
      </c>
      <c r="K204" s="49" t="s">
        <v>197</v>
      </c>
      <c r="L204" s="49" t="s">
        <v>12</v>
      </c>
      <c r="M204" s="36">
        <f t="shared" si="18"/>
        <v>45611.63405</v>
      </c>
      <c r="N204" s="30" t="str">
        <f t="shared" si="3"/>
        <v>SELESAI</v>
      </c>
      <c r="O204" s="45">
        <f t="shared" si="12"/>
        <v>45611.63405</v>
      </c>
      <c r="P204" s="47" t="b">
        <v>0</v>
      </c>
      <c r="Q204" s="36" t="str">
        <f t="shared" si="5"/>
        <v/>
      </c>
      <c r="R204" s="47" t="b">
        <v>1</v>
      </c>
      <c r="S204" s="36">
        <f t="shared" si="6"/>
        <v>45614.60881</v>
      </c>
      <c r="T204" s="42"/>
    </row>
    <row r="205" ht="22.5" customHeight="1">
      <c r="B205" s="42">
        <f t="shared" si="7"/>
        <v>199</v>
      </c>
      <c r="C205" s="31" t="s">
        <v>393</v>
      </c>
      <c r="D205" s="34" t="str">
        <f t="array" ref="D205">IFNA(_xlfn.XLOOKUP(C205,Table_Tarikan_Warkah[Nomor Sertipikat],Table_Tarikan_Warkah[Nomor Tiket]),"")</f>
        <v>K/47/121124/1</v>
      </c>
      <c r="E205" s="36" t="str">
        <f t="array" ref="E205">IFNA(_xlfn.XLOOKUP(D205,Table_Tarikan_Warkah[Nomor Tiket],Table_Tarikan_Warkah[Tanggal diserahkan kepada Validator]),"")</f>
        <v>14/11/2024 08.37</v>
      </c>
      <c r="F205" s="36" t="str">
        <f t="array" ref="F205">IFNA(_xlfn.XLOOKUP(D205,Table_Tarikan_Warkah[Nomor Tiket],Table_Tarikan_Warkah[Nama Petugas Warkah]),"")</f>
        <v>Berry</v>
      </c>
      <c r="G205" s="39" t="str">
        <f t="array" ref="G205">IFNA(_xlfn.XLOOKUP(D205,Table_Tarikan_Warkah[Nomor Tiket],Table_Tarikan_Warkah[Jenis Permohonan]),"")</f>
        <v>BN JUAL BELI</v>
      </c>
      <c r="H205" s="41" t="s">
        <v>20</v>
      </c>
      <c r="I205" s="41" t="s">
        <v>12</v>
      </c>
      <c r="J205" s="36">
        <f t="shared" si="17"/>
        <v>45610.48327</v>
      </c>
      <c r="K205" s="49" t="s">
        <v>197</v>
      </c>
      <c r="L205" s="49" t="s">
        <v>12</v>
      </c>
      <c r="M205" s="36">
        <f t="shared" si="18"/>
        <v>45611.63407</v>
      </c>
      <c r="N205" s="30" t="str">
        <f t="shared" si="3"/>
        <v>SELESAI</v>
      </c>
      <c r="O205" s="45">
        <f t="shared" si="12"/>
        <v>45611.63407</v>
      </c>
      <c r="P205" s="47" t="b">
        <v>0</v>
      </c>
      <c r="Q205" s="36" t="str">
        <f t="shared" si="5"/>
        <v/>
      </c>
      <c r="R205" s="47" t="b">
        <v>1</v>
      </c>
      <c r="S205" s="36">
        <f t="shared" si="6"/>
        <v>45614.60882</v>
      </c>
      <c r="T205" s="42"/>
    </row>
    <row r="206" ht="22.5" customHeight="1">
      <c r="B206" s="42">
        <f t="shared" si="7"/>
        <v>200</v>
      </c>
      <c r="C206" s="31" t="s">
        <v>394</v>
      </c>
      <c r="D206" s="34" t="str">
        <f t="array" ref="D206">IFNA(_xlfn.XLOOKUP(C206,Table_Tarikan_Warkah[Nomor Sertipikat],Table_Tarikan_Warkah[Nomor Tiket]),"")</f>
        <v>K/10/111124/1</v>
      </c>
      <c r="E206" s="36" t="str">
        <f t="array" ref="E206">IFNA(_xlfn.XLOOKUP(D206,Table_Tarikan_Warkah[Nomor Tiket],Table_Tarikan_Warkah[Tanggal diserahkan kepada Validator]),"")</f>
        <v>12/11/2024 10.35</v>
      </c>
      <c r="F206" s="36" t="str">
        <f t="array" ref="F206">IFNA(_xlfn.XLOOKUP(D206,Table_Tarikan_Warkah[Nomor Tiket],Table_Tarikan_Warkah[Nama Petugas Warkah]),"")</f>
        <v>Berry</v>
      </c>
      <c r="G206" s="39" t="str">
        <f t="array" ref="G206">IFNA(_xlfn.XLOOKUP(D206,Table_Tarikan_Warkah[Nomor Tiket],Table_Tarikan_Warkah[Jenis Permohonan]),"")</f>
        <v>ROYA</v>
      </c>
      <c r="H206" s="41" t="s">
        <v>20</v>
      </c>
      <c r="I206" s="41" t="s">
        <v>12</v>
      </c>
      <c r="J206" s="36">
        <f t="shared" si="17"/>
        <v>45610.48355</v>
      </c>
      <c r="K206" s="49" t="s">
        <v>197</v>
      </c>
      <c r="L206" s="49" t="s">
        <v>12</v>
      </c>
      <c r="M206" s="36">
        <f t="shared" si="18"/>
        <v>45611.6341</v>
      </c>
      <c r="N206" s="30" t="str">
        <f t="shared" si="3"/>
        <v>SELESAI</v>
      </c>
      <c r="O206" s="45">
        <f t="shared" si="12"/>
        <v>45611.6341</v>
      </c>
      <c r="P206" s="47" t="b">
        <v>0</v>
      </c>
      <c r="Q206" s="36" t="str">
        <f t="shared" si="5"/>
        <v/>
      </c>
      <c r="R206" s="47" t="b">
        <v>1</v>
      </c>
      <c r="S206" s="36">
        <f t="shared" si="6"/>
        <v>45614.60886</v>
      </c>
      <c r="T206" s="42"/>
    </row>
    <row r="207" ht="22.5" customHeight="1">
      <c r="B207" s="42">
        <f t="shared" si="7"/>
        <v>201</v>
      </c>
      <c r="C207" s="31" t="s">
        <v>395</v>
      </c>
      <c r="D207" s="34" t="str">
        <f t="array" ref="D207">IFNA(_xlfn.XLOOKUP(C207,Table_Tarikan_Warkah[Nomor Sertipikat],Table_Tarikan_Warkah[Nomor Tiket]),"")</f>
        <v>K/41/071124/1</v>
      </c>
      <c r="E207" s="36" t="str">
        <f t="array" ref="E207">IFNA(_xlfn.XLOOKUP(D207,Table_Tarikan_Warkah[Nomor Tiket],Table_Tarikan_Warkah[Tanggal diserahkan kepada Validator]),"")</f>
        <v/>
      </c>
      <c r="F207" s="36" t="str">
        <f t="array" ref="F207">IFNA(_xlfn.XLOOKUP(D207,Table_Tarikan_Warkah[Nomor Tiket],Table_Tarikan_Warkah[Nama Petugas Warkah]),"")</f>
        <v>David</v>
      </c>
      <c r="G207" s="39" t="str">
        <f t="array" ref="G207">IFNA(_xlfn.XLOOKUP(D207,Table_Tarikan_Warkah[Nomor Tiket],Table_Tarikan_Warkah[Jenis Permohonan]),"")</f>
        <v>BN JUAL BELI</v>
      </c>
      <c r="H207" s="41" t="s">
        <v>20</v>
      </c>
      <c r="I207" s="41" t="s">
        <v>12</v>
      </c>
      <c r="J207" s="36">
        <f t="shared" si="17"/>
        <v>45610.48432</v>
      </c>
      <c r="K207" s="52" t="s">
        <v>26</v>
      </c>
      <c r="L207" s="53" t="s">
        <v>23</v>
      </c>
      <c r="M207" s="36">
        <f t="shared" si="18"/>
        <v>45611.63133</v>
      </c>
      <c r="N207" s="30" t="str">
        <f t="shared" si="3"/>
        <v>Selesai</v>
      </c>
      <c r="O207" s="45">
        <f t="shared" si="12"/>
        <v>45611.63133</v>
      </c>
      <c r="P207" s="47" t="b">
        <v>1</v>
      </c>
      <c r="Q207" s="36">
        <f t="shared" si="5"/>
        <v>45611.63269</v>
      </c>
      <c r="R207" s="47" t="b">
        <v>0</v>
      </c>
      <c r="S207" s="42" t="str">
        <f t="shared" si="6"/>
        <v/>
      </c>
      <c r="T207" s="42"/>
    </row>
    <row r="208" ht="22.5" customHeight="1">
      <c r="B208" s="42">
        <f t="shared" si="7"/>
        <v>202</v>
      </c>
      <c r="C208" s="31" t="s">
        <v>396</v>
      </c>
      <c r="D208" s="34" t="str">
        <f t="array" ref="D208">IFNA(_xlfn.XLOOKUP(C208,Table_Tarikan_Warkah[Nomor Sertipikat],Table_Tarikan_Warkah[Nomor Tiket]),"")</f>
        <v>K/14/121124/1</v>
      </c>
      <c r="E208" s="36" t="str">
        <f t="array" ref="E208">IFNA(_xlfn.XLOOKUP(D208,Table_Tarikan_Warkah[Nomor Tiket],Table_Tarikan_Warkah[Tanggal diserahkan kepada Validator]),"")</f>
        <v/>
      </c>
      <c r="F208" s="36" t="str">
        <f t="array" ref="F208">IFNA(_xlfn.XLOOKUP(D208,Table_Tarikan_Warkah[Nomor Tiket],Table_Tarikan_Warkah[Nama Petugas Warkah]),"")</f>
        <v>David</v>
      </c>
      <c r="G208" s="39" t="str">
        <f t="array" ref="G208">IFNA(_xlfn.XLOOKUP(D208,Table_Tarikan_Warkah[Nomor Tiket],Table_Tarikan_Warkah[Jenis Permohonan]),"")</f>
        <v>BN HIBAH</v>
      </c>
      <c r="H208" s="41" t="s">
        <v>20</v>
      </c>
      <c r="I208" s="41" t="s">
        <v>12</v>
      </c>
      <c r="J208" s="36">
        <f t="shared" si="17"/>
        <v>45610.48485</v>
      </c>
      <c r="K208" s="54" t="s">
        <v>26</v>
      </c>
      <c r="L208" s="55" t="s">
        <v>23</v>
      </c>
      <c r="M208" s="36">
        <f t="shared" si="18"/>
        <v>45611.63135</v>
      </c>
      <c r="N208" s="30" t="str">
        <f t="shared" si="3"/>
        <v>Selesai</v>
      </c>
      <c r="O208" s="45">
        <f t="shared" si="12"/>
        <v>45611.63135</v>
      </c>
      <c r="P208" s="47" t="b">
        <v>1</v>
      </c>
      <c r="Q208" s="36">
        <f t="shared" si="5"/>
        <v>45611.63274</v>
      </c>
      <c r="R208" s="47" t="b">
        <v>0</v>
      </c>
      <c r="S208" s="42" t="str">
        <f t="shared" si="6"/>
        <v/>
      </c>
      <c r="T208" s="42"/>
    </row>
    <row r="209" ht="22.5" customHeight="1">
      <c r="B209" s="42">
        <f t="shared" si="7"/>
        <v>203</v>
      </c>
      <c r="C209" s="31" t="s">
        <v>397</v>
      </c>
      <c r="D209" s="42" t="s">
        <v>398</v>
      </c>
      <c r="E209" s="36" t="str">
        <f t="array" ref="E209">IFNA(_xlfn.XLOOKUP(D209,Table_Tarikan_Warkah[Nomor Tiket],Table_Tarikan_Warkah[Tanggal diserahkan kepada Validator]),"")</f>
        <v/>
      </c>
      <c r="F209" s="36" t="str">
        <f t="array" ref="F209">IFNA(_xlfn.XLOOKUP(D209,Table_Tarikan_Warkah[Nomor Tiket],Table_Tarikan_Warkah[Nama Petugas Warkah]),"")</f>
        <v/>
      </c>
      <c r="G209" s="39" t="str">
        <f t="array" ref="G209">IFNA(_xlfn.XLOOKUP(D209,Table_Tarikan_Warkah[Nomor Tiket],Table_Tarikan_Warkah[Jenis Permohonan]),"")</f>
        <v/>
      </c>
      <c r="H209" s="41" t="s">
        <v>20</v>
      </c>
      <c r="I209" s="41" t="s">
        <v>12</v>
      </c>
      <c r="J209" s="36">
        <f t="shared" si="17"/>
        <v>45610.48497</v>
      </c>
      <c r="K209" s="52" t="s">
        <v>26</v>
      </c>
      <c r="L209" s="53" t="s">
        <v>23</v>
      </c>
      <c r="M209" s="36">
        <f t="shared" si="18"/>
        <v>45611.63137</v>
      </c>
      <c r="N209" s="30" t="str">
        <f t="shared" si="3"/>
        <v>Selesai</v>
      </c>
      <c r="O209" s="45">
        <f t="shared" si="12"/>
        <v>45611.63137</v>
      </c>
      <c r="P209" s="47" t="b">
        <v>1</v>
      </c>
      <c r="Q209" s="36">
        <f t="shared" si="5"/>
        <v>45611.63274</v>
      </c>
      <c r="R209" s="47" t="b">
        <v>0</v>
      </c>
      <c r="S209" s="42" t="str">
        <f t="shared" si="6"/>
        <v/>
      </c>
      <c r="T209" s="42"/>
    </row>
    <row r="210" ht="22.5" customHeight="1">
      <c r="B210" s="42">
        <f t="shared" si="7"/>
        <v>204</v>
      </c>
      <c r="C210" s="31" t="s">
        <v>399</v>
      </c>
      <c r="D210" s="34" t="str">
        <f t="array" ref="D210">IFNA(_xlfn.XLOOKUP(C210,Table_Tarikan_Warkah[Nomor Sertipikat],Table_Tarikan_Warkah[Nomor Tiket]),"")</f>
        <v>K/34/111124/1</v>
      </c>
      <c r="E210" s="36" t="str">
        <f t="array" ref="E210">IFNA(_xlfn.XLOOKUP(D210,Table_Tarikan_Warkah[Nomor Tiket],Table_Tarikan_Warkah[Tanggal diserahkan kepada Validator]),"")</f>
        <v>13/11/2024 15.57</v>
      </c>
      <c r="F210" s="36" t="str">
        <f t="array" ref="F210">IFNA(_xlfn.XLOOKUP(D210,Table_Tarikan_Warkah[Nomor Tiket],Table_Tarikan_Warkah[Nama Petugas Warkah]),"")</f>
        <v>David</v>
      </c>
      <c r="G210" s="39" t="str">
        <f t="array" ref="G210">IFNA(_xlfn.XLOOKUP(D210,Table_Tarikan_Warkah[Nomor Tiket],Table_Tarikan_Warkah[Jenis Permohonan]),"")</f>
        <v>BN Jual Beli</v>
      </c>
      <c r="H210" s="41" t="s">
        <v>11</v>
      </c>
      <c r="I210" s="41" t="s">
        <v>12</v>
      </c>
      <c r="J210" s="36">
        <f t="shared" si="17"/>
        <v>45610.57982</v>
      </c>
      <c r="K210" s="49" t="s">
        <v>197</v>
      </c>
      <c r="L210" s="49" t="s">
        <v>12</v>
      </c>
      <c r="M210" s="36">
        <f t="shared" si="18"/>
        <v>45611.63415</v>
      </c>
      <c r="N210" s="30" t="str">
        <f t="shared" si="3"/>
        <v>SELESAI</v>
      </c>
      <c r="O210" s="45">
        <f t="shared" si="12"/>
        <v>45611.63415</v>
      </c>
      <c r="P210" s="47" t="b">
        <v>0</v>
      </c>
      <c r="Q210" s="36" t="str">
        <f t="shared" si="5"/>
        <v/>
      </c>
      <c r="R210" s="47" t="b">
        <v>1</v>
      </c>
      <c r="S210" s="36">
        <f t="shared" si="6"/>
        <v>45614.60855</v>
      </c>
      <c r="T210" s="42"/>
    </row>
    <row r="211" ht="22.5" customHeight="1">
      <c r="B211" s="42">
        <f t="shared" si="7"/>
        <v>205</v>
      </c>
      <c r="C211" s="31" t="s">
        <v>400</v>
      </c>
      <c r="D211" s="34" t="str">
        <f t="array" ref="D211">IFNA(_xlfn.XLOOKUP(C211,Table_Tarikan_Warkah[Nomor Sertipikat],Table_Tarikan_Warkah[Nomor Tiket]),"")</f>
        <v>K/69/311024/3</v>
      </c>
      <c r="E211" s="36" t="str">
        <f t="array" ref="E211">IFNA(_xlfn.XLOOKUP(D211,Table_Tarikan_Warkah[Nomor Tiket],Table_Tarikan_Warkah[Tanggal diserahkan kepada Validator]),"")</f>
        <v/>
      </c>
      <c r="F211" s="36" t="str">
        <f t="array" ref="F211">IFNA(_xlfn.XLOOKUP(D211,Table_Tarikan_Warkah[Nomor Tiket],Table_Tarikan_Warkah[Nama Petugas Warkah]),"")</f>
        <v>David</v>
      </c>
      <c r="G211" s="39" t="str">
        <f t="array" ref="G211">IFNA(_xlfn.XLOOKUP(D211,Table_Tarikan_Warkah[Nomor Tiket],Table_Tarikan_Warkah[Jenis Permohonan]),"")</f>
        <v>BN JUAL BELI</v>
      </c>
      <c r="H211" s="41" t="s">
        <v>11</v>
      </c>
      <c r="I211" s="41" t="s">
        <v>12</v>
      </c>
      <c r="J211" s="36">
        <f t="shared" si="17"/>
        <v>45610.5809</v>
      </c>
      <c r="K211" s="49" t="s">
        <v>26</v>
      </c>
      <c r="L211" s="49" t="s">
        <v>23</v>
      </c>
      <c r="M211" s="36">
        <f t="shared" si="18"/>
        <v>45611.63099</v>
      </c>
      <c r="N211" s="30" t="str">
        <f t="shared" si="3"/>
        <v>Selesai</v>
      </c>
      <c r="O211" s="45">
        <f t="shared" si="12"/>
        <v>45611.63099</v>
      </c>
      <c r="P211" s="47" t="b">
        <v>1</v>
      </c>
      <c r="Q211" s="36">
        <f t="shared" si="5"/>
        <v>45611.63104</v>
      </c>
      <c r="R211" s="47" t="b">
        <v>0</v>
      </c>
      <c r="S211" s="42" t="str">
        <f t="shared" si="6"/>
        <v/>
      </c>
      <c r="T211" s="42"/>
    </row>
    <row r="212" ht="22.5" customHeight="1">
      <c r="B212" s="42">
        <f t="shared" si="7"/>
        <v>206</v>
      </c>
      <c r="C212" s="31" t="s">
        <v>401</v>
      </c>
      <c r="D212" s="34" t="str">
        <f t="array" ref="D212">IFNA(_xlfn.XLOOKUP(C212,Table_Tarikan_Warkah[Nomor Sertipikat],Table_Tarikan_Warkah[Nomor Tiket]),"")</f>
        <v>K/25/121124/1</v>
      </c>
      <c r="E212" s="36" t="str">
        <f t="array" ref="E212">IFNA(_xlfn.XLOOKUP(D212,Table_Tarikan_Warkah[Nomor Tiket],Table_Tarikan_Warkah[Tanggal diserahkan kepada Validator]),"")</f>
        <v>14/11/2024 08.37</v>
      </c>
      <c r="F212" s="36" t="str">
        <f t="array" ref="F212">IFNA(_xlfn.XLOOKUP(D212,Table_Tarikan_Warkah[Nomor Tiket],Table_Tarikan_Warkah[Nama Petugas Warkah]),"")</f>
        <v>David</v>
      </c>
      <c r="G212" s="39" t="str">
        <f t="array" ref="G212">IFNA(_xlfn.XLOOKUP(D212,Table_Tarikan_Warkah[Nomor Tiket],Table_Tarikan_Warkah[Jenis Permohonan]),"")</f>
        <v>ROYA</v>
      </c>
      <c r="H212" s="41" t="s">
        <v>20</v>
      </c>
      <c r="I212" s="41" t="s">
        <v>12</v>
      </c>
      <c r="J212" s="36">
        <f t="shared" si="17"/>
        <v>45611.37654</v>
      </c>
      <c r="K212" s="49" t="s">
        <v>197</v>
      </c>
      <c r="L212" s="49" t="s">
        <v>12</v>
      </c>
      <c r="M212" s="36">
        <f t="shared" si="18"/>
        <v>45614.61052</v>
      </c>
      <c r="N212" s="30" t="str">
        <f t="shared" si="3"/>
        <v>SELESAI</v>
      </c>
      <c r="O212" s="45">
        <f t="shared" si="12"/>
        <v>45614.61052</v>
      </c>
      <c r="P212" s="47" t="b">
        <v>0</v>
      </c>
      <c r="Q212" s="36" t="str">
        <f t="shared" si="5"/>
        <v/>
      </c>
      <c r="R212" s="47" t="b">
        <v>1</v>
      </c>
      <c r="S212" s="36">
        <f t="shared" si="6"/>
        <v>45614.61054</v>
      </c>
      <c r="T212" s="42"/>
    </row>
    <row r="213" ht="22.5" customHeight="1">
      <c r="B213" s="42">
        <f t="shared" si="7"/>
        <v>207</v>
      </c>
      <c r="C213" s="31" t="s">
        <v>402</v>
      </c>
      <c r="D213" s="34" t="str">
        <f t="array" ref="D213">IFNA(_xlfn.XLOOKUP(C213,Table_Tarikan_Warkah[Nomor Sertipikat],Table_Tarikan_Warkah[Nomor Tiket]),"")</f>
        <v>K/29/131124/1</v>
      </c>
      <c r="E213" s="36" t="str">
        <f t="array" ref="E213">IFNA(_xlfn.XLOOKUP(D213,Table_Tarikan_Warkah[Nomor Tiket],Table_Tarikan_Warkah[Tanggal diserahkan kepada Validator]),"")</f>
        <v/>
      </c>
      <c r="F213" s="36" t="str">
        <f t="array" ref="F213">IFNA(_xlfn.XLOOKUP(D213,Table_Tarikan_Warkah[Nomor Tiket],Table_Tarikan_Warkah[Nama Petugas Warkah]),"")</f>
        <v>David</v>
      </c>
      <c r="G213" s="39" t="str">
        <f t="array" ref="G213">IFNA(_xlfn.XLOOKUP(D213,Table_Tarikan_Warkah[Nomor Tiket],Table_Tarikan_Warkah[Jenis Permohonan]),"")</f>
        <v>BN JUAL BELI</v>
      </c>
      <c r="H213" s="41" t="s">
        <v>20</v>
      </c>
      <c r="I213" s="41" t="s">
        <v>12</v>
      </c>
      <c r="J213" s="36">
        <f t="shared" si="17"/>
        <v>45611.37682</v>
      </c>
      <c r="K213" s="49" t="s">
        <v>26</v>
      </c>
      <c r="L213" s="49" t="s">
        <v>23</v>
      </c>
      <c r="M213" s="36">
        <f t="shared" si="18"/>
        <v>45614.6109</v>
      </c>
      <c r="N213" s="30" t="str">
        <f t="shared" si="3"/>
        <v>Selesai</v>
      </c>
      <c r="O213" s="45">
        <f t="shared" si="12"/>
        <v>45614.6109</v>
      </c>
      <c r="P213" s="47" t="b">
        <v>1</v>
      </c>
      <c r="Q213" s="36">
        <f t="shared" si="5"/>
        <v>45614.70828</v>
      </c>
      <c r="R213" s="47" t="b">
        <v>0</v>
      </c>
      <c r="S213" s="42" t="str">
        <f t="shared" si="6"/>
        <v/>
      </c>
      <c r="T213" s="42"/>
    </row>
    <row r="214" ht="22.5" customHeight="1">
      <c r="B214" s="42">
        <f t="shared" si="7"/>
        <v>208</v>
      </c>
      <c r="C214" s="31" t="s">
        <v>403</v>
      </c>
      <c r="D214" s="34" t="str">
        <f t="array" ref="D214">IFNA(_xlfn.XLOOKUP(C214,Table_Tarikan_Warkah[Nomor Sertipikat],Table_Tarikan_Warkah[Nomor Tiket]),"")</f>
        <v>K/29/071124/1</v>
      </c>
      <c r="E214" s="36" t="str">
        <f t="array" ref="E214">IFNA(_xlfn.XLOOKUP(D214,Table_Tarikan_Warkah[Nomor Tiket],Table_Tarikan_Warkah[Tanggal diserahkan kepada Validator]),"")</f>
        <v/>
      </c>
      <c r="F214" s="36" t="str">
        <f t="array" ref="F214">IFNA(_xlfn.XLOOKUP(D214,Table_Tarikan_Warkah[Nomor Tiket],Table_Tarikan_Warkah[Nama Petugas Warkah]),"")</f>
        <v>David</v>
      </c>
      <c r="G214" s="39" t="str">
        <f t="array" ref="G214">IFNA(_xlfn.XLOOKUP(D214,Table_Tarikan_Warkah[Nomor Tiket],Table_Tarikan_Warkah[Jenis Permohonan]),"")</f>
        <v>BN JUAL BELI</v>
      </c>
      <c r="H214" s="41" t="s">
        <v>20</v>
      </c>
      <c r="I214" s="41" t="s">
        <v>12</v>
      </c>
      <c r="J214" s="36">
        <f t="shared" si="17"/>
        <v>45611.37716</v>
      </c>
      <c r="K214" s="49" t="s">
        <v>26</v>
      </c>
      <c r="L214" s="49" t="s">
        <v>23</v>
      </c>
      <c r="M214" s="36">
        <f t="shared" si="18"/>
        <v>45614.61092</v>
      </c>
      <c r="N214" s="30" t="str">
        <f t="shared" si="3"/>
        <v>Selesai</v>
      </c>
      <c r="O214" s="45">
        <f t="shared" si="12"/>
        <v>45614.61092</v>
      </c>
      <c r="P214" s="47" t="b">
        <v>1</v>
      </c>
      <c r="Q214" s="36">
        <f t="shared" si="5"/>
        <v>45614.68429</v>
      </c>
      <c r="R214" s="47" t="b">
        <v>0</v>
      </c>
      <c r="S214" s="42" t="str">
        <f t="shared" si="6"/>
        <v/>
      </c>
      <c r="T214" s="42"/>
    </row>
    <row r="215" ht="22.5" customHeight="1">
      <c r="B215" s="42">
        <f t="shared" si="7"/>
        <v>209</v>
      </c>
      <c r="C215" s="31" t="s">
        <v>404</v>
      </c>
      <c r="D215" s="34" t="str">
        <f t="array" ref="D215">IFNA(_xlfn.XLOOKUP(C215,Table_Tarikan_Warkah[Nomor Sertipikat],Table_Tarikan_Warkah[Nomor Tiket]),"")</f>
        <v>K/17/111124/1</v>
      </c>
      <c r="E215" s="36" t="str">
        <f t="array" ref="E215">IFNA(_xlfn.XLOOKUP(D215,Table_Tarikan_Warkah[Nomor Tiket],Table_Tarikan_Warkah[Tanggal diserahkan kepada Validator]),"")</f>
        <v/>
      </c>
      <c r="F215" s="36" t="str">
        <f t="array" ref="F215">IFNA(_xlfn.XLOOKUP(D215,Table_Tarikan_Warkah[Nomor Tiket],Table_Tarikan_Warkah[Nama Petugas Warkah]),"")</f>
        <v>Berry</v>
      </c>
      <c r="G215" s="39" t="str">
        <f t="array" ref="G215">IFNA(_xlfn.XLOOKUP(D215,Table_Tarikan_Warkah[Nomor Tiket],Table_Tarikan_Warkah[Jenis Permohonan]),"")</f>
        <v>BN Jual Beli</v>
      </c>
      <c r="H215" s="41" t="s">
        <v>20</v>
      </c>
      <c r="I215" s="41" t="s">
        <v>12</v>
      </c>
      <c r="J215" s="36">
        <f t="shared" si="17"/>
        <v>45614.47889</v>
      </c>
      <c r="K215" s="49" t="s">
        <v>26</v>
      </c>
      <c r="L215" s="49" t="s">
        <v>23</v>
      </c>
      <c r="M215" s="36">
        <f t="shared" si="18"/>
        <v>45614.61109</v>
      </c>
      <c r="N215" s="30" t="str">
        <f t="shared" si="3"/>
        <v>Selesai</v>
      </c>
      <c r="O215" s="45">
        <f t="shared" si="12"/>
        <v>45614.61109</v>
      </c>
      <c r="P215" s="47" t="b">
        <v>1</v>
      </c>
      <c r="Q215" s="36">
        <f t="shared" si="5"/>
        <v>45614.68429</v>
      </c>
      <c r="R215" s="47" t="b">
        <v>0</v>
      </c>
      <c r="S215" s="42" t="str">
        <f t="shared" si="6"/>
        <v/>
      </c>
      <c r="T215" s="42"/>
    </row>
    <row r="216" ht="22.5" customHeight="1">
      <c r="B216" s="42">
        <f t="shared" si="7"/>
        <v>210</v>
      </c>
      <c r="C216" s="31" t="s">
        <v>405</v>
      </c>
      <c r="D216" s="34" t="str">
        <f t="array" ref="D216">IFNA(_xlfn.XLOOKUP(C216,Table_Tarikan_Warkah[Nomor Sertipikat],Table_Tarikan_Warkah[Nomor Tiket]),"")</f>
        <v>K/6/141124/1</v>
      </c>
      <c r="E216" s="36" t="str">
        <f t="array" ref="E216">IFNA(_xlfn.XLOOKUP(D216,Table_Tarikan_Warkah[Nomor Tiket],Table_Tarikan_Warkah[Tanggal diserahkan kepada Validator]),"")</f>
        <v>18/11/2024 10.52</v>
      </c>
      <c r="F216" s="36" t="str">
        <f t="array" ref="F216">IFNA(_xlfn.XLOOKUP(D216,Table_Tarikan_Warkah[Nomor Tiket],Table_Tarikan_Warkah[Nama Petugas Warkah]),"")</f>
        <v>David</v>
      </c>
      <c r="G216" s="39" t="str">
        <f t="array" ref="G216">IFNA(_xlfn.XLOOKUP(D216,Table_Tarikan_Warkah[Nomor Tiket],Table_Tarikan_Warkah[Jenis Permohonan]),"")</f>
        <v>BN JUAL BELI</v>
      </c>
      <c r="H216" s="41" t="s">
        <v>20</v>
      </c>
      <c r="I216" s="41" t="s">
        <v>12</v>
      </c>
      <c r="J216" s="36">
        <f t="shared" si="17"/>
        <v>45614.47974</v>
      </c>
      <c r="K216" s="49" t="s">
        <v>26</v>
      </c>
      <c r="L216" s="49" t="s">
        <v>23</v>
      </c>
      <c r="M216" s="36">
        <f t="shared" si="18"/>
        <v>45614.61114</v>
      </c>
      <c r="N216" s="30" t="str">
        <f t="shared" si="3"/>
        <v>Selesai</v>
      </c>
      <c r="O216" s="45">
        <f t="shared" si="12"/>
        <v>45614.61114</v>
      </c>
      <c r="P216" s="47" t="b">
        <v>1</v>
      </c>
      <c r="Q216" s="36" t="str">
        <f>IF(#REF!=TRUE,IF(Q216&lt;&gt;"",Q216,NOW()),"")</f>
        <v>#REF!</v>
      </c>
      <c r="R216" s="47" t="b">
        <v>0</v>
      </c>
      <c r="S216" s="42" t="str">
        <f t="shared" si="6"/>
        <v/>
      </c>
      <c r="T216" s="42"/>
    </row>
    <row r="217" ht="22.5" customHeight="1">
      <c r="B217" s="42">
        <f t="shared" si="7"/>
        <v>211</v>
      </c>
      <c r="C217" s="31" t="s">
        <v>406</v>
      </c>
      <c r="D217" s="34" t="str">
        <f t="array" ref="D217">IFNA(_xlfn.XLOOKUP(C217,Table_Tarikan_Warkah[Nomor Sertipikat],Table_Tarikan_Warkah[Nomor Tiket]),"")</f>
        <v>K/27/111124/1</v>
      </c>
      <c r="E217" s="36" t="str">
        <f t="array" ref="E217">IFNA(_xlfn.XLOOKUP(D217,Table_Tarikan_Warkah[Nomor Tiket],Table_Tarikan_Warkah[Tanggal diserahkan kepada Validator]),"")</f>
        <v/>
      </c>
      <c r="F217" s="36" t="str">
        <f t="array" ref="F217">IFNA(_xlfn.XLOOKUP(D217,Table_Tarikan_Warkah[Nomor Tiket],Table_Tarikan_Warkah[Nama Petugas Warkah]),"")</f>
        <v/>
      </c>
      <c r="G217" s="39" t="str">
        <f t="array" ref="G217">IFNA(_xlfn.XLOOKUP(D217,Table_Tarikan_Warkah[Nomor Tiket],Table_Tarikan_Warkah[Jenis Permohonan]),"")</f>
        <v>Ganti Nama Kreditur</v>
      </c>
      <c r="H217" s="41" t="s">
        <v>20</v>
      </c>
      <c r="I217" s="41" t="s">
        <v>12</v>
      </c>
      <c r="J217" s="36">
        <f t="shared" si="17"/>
        <v>45614.48049</v>
      </c>
      <c r="K217" s="49" t="s">
        <v>26</v>
      </c>
      <c r="L217" s="49" t="s">
        <v>23</v>
      </c>
      <c r="M217" s="36">
        <f t="shared" si="18"/>
        <v>45614.61118</v>
      </c>
      <c r="N217" s="30" t="str">
        <f t="shared" si="3"/>
        <v>Selesai</v>
      </c>
      <c r="O217" s="45">
        <f t="shared" si="12"/>
        <v>45614.61118</v>
      </c>
      <c r="P217" s="47" t="b">
        <v>1</v>
      </c>
      <c r="Q217" s="36">
        <f t="shared" ref="Q217:Q719" si="19">IF(P217=TRUE,IF(Q217&lt;&gt;"",Q217,NOW()),"")</f>
        <v>45614.68429</v>
      </c>
      <c r="R217" s="47" t="b">
        <v>1</v>
      </c>
      <c r="S217" s="36">
        <f t="shared" si="6"/>
        <v>45616.43263</v>
      </c>
      <c r="T217" s="42"/>
    </row>
    <row r="218" ht="22.5" customHeight="1">
      <c r="B218" s="42">
        <f t="shared" si="7"/>
        <v>212</v>
      </c>
      <c r="C218" s="31" t="s">
        <v>407</v>
      </c>
      <c r="D218" s="34" t="str">
        <f t="array" ref="D218">IFNA(_xlfn.XLOOKUP(C218,Table_Tarikan_Warkah[Nomor Sertipikat],Table_Tarikan_Warkah[Nomor Tiket]),"")</f>
        <v>K/45/141124/2</v>
      </c>
      <c r="E218" s="36" t="str">
        <f t="array" ref="E218">IFNA(_xlfn.XLOOKUP(D218,Table_Tarikan_Warkah[Nomor Tiket],Table_Tarikan_Warkah[Tanggal diserahkan kepada Validator]),"")</f>
        <v>18/11/2024 11.05</v>
      </c>
      <c r="F218" s="36" t="str">
        <f t="array" ref="F218">IFNA(_xlfn.XLOOKUP(D218,Table_Tarikan_Warkah[Nomor Tiket],Table_Tarikan_Warkah[Nama Petugas Warkah]),"")</f>
        <v>Berry</v>
      </c>
      <c r="G218" s="39" t="str">
        <f t="array" ref="G218">IFNA(_xlfn.XLOOKUP(D218,Table_Tarikan_Warkah[Nomor Tiket],Table_Tarikan_Warkah[Jenis Permohonan]),"")</f>
        <v>ROYA</v>
      </c>
      <c r="H218" s="41" t="s">
        <v>20</v>
      </c>
      <c r="I218" s="41" t="s">
        <v>12</v>
      </c>
      <c r="J218" s="36">
        <f t="shared" si="17"/>
        <v>45614.67459</v>
      </c>
      <c r="K218" s="49" t="s">
        <v>197</v>
      </c>
      <c r="L218" s="49" t="s">
        <v>12</v>
      </c>
      <c r="M218" s="36">
        <f t="shared" si="18"/>
        <v>45615.67703</v>
      </c>
      <c r="N218" s="30" t="str">
        <f t="shared" si="3"/>
        <v>SELESAI</v>
      </c>
      <c r="O218" s="45">
        <f t="shared" si="12"/>
        <v>45615.67703</v>
      </c>
      <c r="P218" s="47" t="b">
        <v>0</v>
      </c>
      <c r="Q218" s="36" t="str">
        <f t="shared" si="19"/>
        <v/>
      </c>
      <c r="R218" s="47" t="b">
        <v>1</v>
      </c>
      <c r="S218" s="36">
        <f t="shared" si="6"/>
        <v>45616.37848</v>
      </c>
      <c r="T218" s="42"/>
    </row>
    <row r="219" ht="22.5" customHeight="1">
      <c r="B219" s="42">
        <f t="shared" si="7"/>
        <v>213</v>
      </c>
      <c r="C219" s="31" t="s">
        <v>408</v>
      </c>
      <c r="D219" s="42" t="s">
        <v>409</v>
      </c>
      <c r="E219" s="36" t="str">
        <f t="array" ref="E219">IFNA(_xlfn.XLOOKUP(D219,Table_Tarikan_Warkah[Nomor Tiket],Table_Tarikan_Warkah[Tanggal diserahkan kepada Validator]),"")</f>
        <v/>
      </c>
      <c r="F219" s="36" t="str">
        <f t="array" ref="F219">IFNA(_xlfn.XLOOKUP(D219,Table_Tarikan_Warkah[Nomor Tiket],Table_Tarikan_Warkah[Nama Petugas Warkah]),"")</f>
        <v/>
      </c>
      <c r="G219" s="39" t="str">
        <f t="array" ref="G219">IFNA(_xlfn.XLOOKUP(D219,Table_Tarikan_Warkah[Nomor Tiket],Table_Tarikan_Warkah[Jenis Permohonan]),"")</f>
        <v/>
      </c>
      <c r="H219" s="41" t="s">
        <v>20</v>
      </c>
      <c r="I219" s="41" t="s">
        <v>12</v>
      </c>
      <c r="J219" s="36">
        <f t="shared" si="17"/>
        <v>45614.67555</v>
      </c>
      <c r="K219" s="49" t="s">
        <v>197</v>
      </c>
      <c r="L219" s="49" t="s">
        <v>12</v>
      </c>
      <c r="M219" s="36">
        <f t="shared" si="18"/>
        <v>45615.67715</v>
      </c>
      <c r="N219" s="30" t="str">
        <f t="shared" si="3"/>
        <v>SELESAI</v>
      </c>
      <c r="O219" s="45">
        <f t="shared" si="12"/>
        <v>45615.67715</v>
      </c>
      <c r="P219" s="47" t="b">
        <v>1</v>
      </c>
      <c r="Q219" s="36">
        <f t="shared" si="19"/>
        <v>45616.43216</v>
      </c>
      <c r="R219" s="47" t="b">
        <v>1</v>
      </c>
      <c r="S219" s="36">
        <f t="shared" si="6"/>
        <v>45616.3785</v>
      </c>
      <c r="T219" s="42"/>
    </row>
    <row r="220" ht="22.5" customHeight="1">
      <c r="B220" s="42">
        <f t="shared" si="7"/>
        <v>214</v>
      </c>
      <c r="C220" s="31" t="s">
        <v>410</v>
      </c>
      <c r="D220" s="34" t="str">
        <f t="array" ref="D220">IFNA(_xlfn.XLOOKUP(C220,Table_Tarikan_Warkah[Nomor Sertipikat],Table_Tarikan_Warkah[Nomor Tiket]),"")</f>
        <v>K/4/151124/1</v>
      </c>
      <c r="E220" s="36" t="str">
        <f t="array" ref="E220">IFNA(_xlfn.XLOOKUP(D220,Table_Tarikan_Warkah[Nomor Tiket],Table_Tarikan_Warkah[Tanggal diserahkan kepada Validator]),"")</f>
        <v>18/11/2024 11.07</v>
      </c>
      <c r="F220" s="36" t="str">
        <f t="array" ref="F220">IFNA(_xlfn.XLOOKUP(D220,Table_Tarikan_Warkah[Nomor Tiket],Table_Tarikan_Warkah[Nama Petugas Warkah]),"")</f>
        <v>Berry</v>
      </c>
      <c r="G220" s="39" t="str">
        <f t="array" ref="G220">IFNA(_xlfn.XLOOKUP(D220,Table_Tarikan_Warkah[Nomor Tiket],Table_Tarikan_Warkah[Jenis Permohonan]),"")</f>
        <v>ROYA</v>
      </c>
      <c r="H220" s="41" t="s">
        <v>20</v>
      </c>
      <c r="I220" s="41" t="s">
        <v>12</v>
      </c>
      <c r="J220" s="36">
        <f t="shared" si="17"/>
        <v>45614.6758</v>
      </c>
      <c r="K220" s="49" t="s">
        <v>197</v>
      </c>
      <c r="L220" s="49" t="s">
        <v>12</v>
      </c>
      <c r="M220" s="36">
        <f t="shared" si="18"/>
        <v>45615.67715</v>
      </c>
      <c r="N220" s="30" t="str">
        <f t="shared" si="3"/>
        <v>SELESAI</v>
      </c>
      <c r="O220" s="45">
        <f t="shared" si="12"/>
        <v>45615.67715</v>
      </c>
      <c r="P220" s="47" t="b">
        <v>0</v>
      </c>
      <c r="Q220" s="36" t="str">
        <f t="shared" si="19"/>
        <v/>
      </c>
      <c r="R220" s="47" t="b">
        <v>1</v>
      </c>
      <c r="S220" s="36">
        <f t="shared" si="6"/>
        <v>45616.37629</v>
      </c>
      <c r="T220" s="42"/>
    </row>
    <row r="221" ht="22.5" customHeight="1">
      <c r="B221" s="42">
        <f t="shared" si="7"/>
        <v>215</v>
      </c>
      <c r="C221" s="31" t="s">
        <v>411</v>
      </c>
      <c r="D221" s="34" t="str">
        <f t="array" ref="D221">IFNA(_xlfn.XLOOKUP(C221,Table_Tarikan_Warkah[Nomor Sertipikat],Table_Tarikan_Warkah[Nomor Tiket]),"")</f>
        <v>L/3/151124/1</v>
      </c>
      <c r="E221" s="36" t="str">
        <f t="array" ref="E221">IFNA(_xlfn.XLOOKUP(D221,Table_Tarikan_Warkah[Nomor Tiket],Table_Tarikan_Warkah[Tanggal diserahkan kepada Validator]),"")</f>
        <v>18/11/2024 11.07</v>
      </c>
      <c r="F221" s="36" t="str">
        <f t="array" ref="F221">IFNA(_xlfn.XLOOKUP(D221,Table_Tarikan_Warkah[Nomor Tiket],Table_Tarikan_Warkah[Nama Petugas Warkah]),"")</f>
        <v>Berry</v>
      </c>
      <c r="G221" s="39" t="str">
        <f t="array" ref="G221">IFNA(_xlfn.XLOOKUP(D221,Table_Tarikan_Warkah[Nomor Tiket],Table_Tarikan_Warkah[Jenis Permohonan]),"")</f>
        <v>ROYA</v>
      </c>
      <c r="H221" s="41" t="s">
        <v>20</v>
      </c>
      <c r="I221" s="41" t="s">
        <v>12</v>
      </c>
      <c r="J221" s="36">
        <f t="shared" si="17"/>
        <v>45614.6759</v>
      </c>
      <c r="K221" s="49" t="s">
        <v>197</v>
      </c>
      <c r="L221" s="49" t="s">
        <v>12</v>
      </c>
      <c r="M221" s="36">
        <f t="shared" si="18"/>
        <v>45615.6772</v>
      </c>
      <c r="N221" s="30" t="str">
        <f t="shared" si="3"/>
        <v>SELESAI</v>
      </c>
      <c r="O221" s="45">
        <f t="shared" si="12"/>
        <v>45615.6772</v>
      </c>
      <c r="P221" s="47" t="b">
        <v>1</v>
      </c>
      <c r="Q221" s="36">
        <f t="shared" si="19"/>
        <v>45616.43093</v>
      </c>
      <c r="R221" s="47" t="b">
        <v>1</v>
      </c>
      <c r="S221" s="36">
        <f t="shared" si="6"/>
        <v>45616.37626</v>
      </c>
      <c r="T221" s="42"/>
    </row>
    <row r="222" ht="22.5" customHeight="1">
      <c r="B222" s="42">
        <f t="shared" si="7"/>
        <v>216</v>
      </c>
      <c r="C222" s="31" t="s">
        <v>412</v>
      </c>
      <c r="D222" s="34" t="str">
        <f t="array" ref="D222">IFNA(_xlfn.XLOOKUP(C222,Table_Tarikan_Warkah[Nomor Sertipikat],Table_Tarikan_Warkah[Nomor Tiket]),"")</f>
        <v>K/25/141124/1</v>
      </c>
      <c r="E222" s="36" t="str">
        <f t="array" ref="E222">IFNA(_xlfn.XLOOKUP(D222,Table_Tarikan_Warkah[Nomor Tiket],Table_Tarikan_Warkah[Tanggal diserahkan kepada Validator]),"")</f>
        <v>18/11/2024 10.59</v>
      </c>
      <c r="F222" s="36" t="str">
        <f t="array" ref="F222">IFNA(_xlfn.XLOOKUP(D222,Table_Tarikan_Warkah[Nomor Tiket],Table_Tarikan_Warkah[Nama Petugas Warkah]),"")</f>
        <v>Berry</v>
      </c>
      <c r="G222" s="39" t="str">
        <f t="array" ref="G222">IFNA(_xlfn.XLOOKUP(D222,Table_Tarikan_Warkah[Nomor Tiket],Table_Tarikan_Warkah[Jenis Permohonan]),"")</f>
        <v>BN JUAL BELI</v>
      </c>
      <c r="H222" s="41" t="s">
        <v>20</v>
      </c>
      <c r="I222" s="41" t="s">
        <v>12</v>
      </c>
      <c r="J222" s="36">
        <f t="shared" si="17"/>
        <v>45614.68429</v>
      </c>
      <c r="K222" s="49" t="s">
        <v>197</v>
      </c>
      <c r="L222" s="49" t="s">
        <v>12</v>
      </c>
      <c r="M222" s="36">
        <f t="shared" si="18"/>
        <v>45615.6772</v>
      </c>
      <c r="N222" s="30" t="str">
        <f t="shared" si="3"/>
        <v>SELESAI</v>
      </c>
      <c r="O222" s="45">
        <f t="shared" si="12"/>
        <v>45615.6772</v>
      </c>
      <c r="P222" s="47" t="b">
        <v>0</v>
      </c>
      <c r="Q222" s="36" t="str">
        <f t="shared" si="19"/>
        <v/>
      </c>
      <c r="R222" s="47" t="b">
        <v>1</v>
      </c>
      <c r="S222" s="36">
        <f t="shared" si="6"/>
        <v>45616.37622</v>
      </c>
      <c r="T222" s="42"/>
    </row>
    <row r="223" ht="22.5" customHeight="1">
      <c r="B223" s="42">
        <f t="shared" si="7"/>
        <v>217</v>
      </c>
      <c r="C223" s="31" t="s">
        <v>413</v>
      </c>
      <c r="D223" s="34" t="str">
        <f t="array" ref="D223">IFNA(_xlfn.XLOOKUP(C223,Table_Tarikan_Warkah[Nomor Sertipikat],Table_Tarikan_Warkah[Nomor Tiket]),"")</f>
        <v>L/26/141124/1</v>
      </c>
      <c r="E223" s="36" t="str">
        <f t="array" ref="E223">IFNA(_xlfn.XLOOKUP(D223,Table_Tarikan_Warkah[Nomor Tiket],Table_Tarikan_Warkah[Tanggal diserahkan kepada Validator]),"")</f>
        <v>18/11/2024 11.00</v>
      </c>
      <c r="F223" s="36" t="str">
        <f t="array" ref="F223">IFNA(_xlfn.XLOOKUP(D223,Table_Tarikan_Warkah[Nomor Tiket],Table_Tarikan_Warkah[Nama Petugas Warkah]),"")</f>
        <v>Berry</v>
      </c>
      <c r="G223" s="39" t="str">
        <f t="array" ref="G223">IFNA(_xlfn.XLOOKUP(D223,Table_Tarikan_Warkah[Nomor Tiket],Table_Tarikan_Warkah[Jenis Permohonan]),"")</f>
        <v>ROYA</v>
      </c>
      <c r="H223" s="41" t="s">
        <v>20</v>
      </c>
      <c r="I223" s="41" t="s">
        <v>12</v>
      </c>
      <c r="J223" s="36">
        <f t="shared" si="17"/>
        <v>45614.68429</v>
      </c>
      <c r="K223" s="49" t="s">
        <v>197</v>
      </c>
      <c r="L223" s="49" t="s">
        <v>12</v>
      </c>
      <c r="M223" s="36">
        <f t="shared" si="18"/>
        <v>45615.67726</v>
      </c>
      <c r="N223" s="30" t="str">
        <f t="shared" si="3"/>
        <v>SELESAI</v>
      </c>
      <c r="O223" s="45">
        <f t="shared" si="12"/>
        <v>45615.67726</v>
      </c>
      <c r="P223" s="47" t="b">
        <v>0</v>
      </c>
      <c r="Q223" s="36" t="str">
        <f t="shared" si="19"/>
        <v/>
      </c>
      <c r="R223" s="47" t="b">
        <v>1</v>
      </c>
      <c r="S223" s="36">
        <f t="shared" si="6"/>
        <v>45616.37621</v>
      </c>
      <c r="T223" s="42"/>
    </row>
    <row r="224" ht="22.5" customHeight="1">
      <c r="B224" s="42">
        <f t="shared" si="7"/>
        <v>218</v>
      </c>
      <c r="C224" s="31" t="s">
        <v>414</v>
      </c>
      <c r="D224" s="34" t="str">
        <f t="array" ref="D224">IFNA(_xlfn.XLOOKUP(C224,Table_Tarikan_Warkah[Nomor Sertipikat],Table_Tarikan_Warkah[Nomor Tiket]),"")</f>
        <v>K/44/141124/1</v>
      </c>
      <c r="E224" s="36" t="str">
        <f t="array" ref="E224">IFNA(_xlfn.XLOOKUP(D224,Table_Tarikan_Warkah[Nomor Tiket],Table_Tarikan_Warkah[Tanggal diserahkan kepada Validator]),"")</f>
        <v>18/11/2024 11.05</v>
      </c>
      <c r="F224" s="36" t="str">
        <f t="array" ref="F224">IFNA(_xlfn.XLOOKUP(D224,Table_Tarikan_Warkah[Nomor Tiket],Table_Tarikan_Warkah[Nama Petugas Warkah]),"")</f>
        <v>Berry</v>
      </c>
      <c r="G224" s="39" t="str">
        <f t="array" ref="G224">IFNA(_xlfn.XLOOKUP(D224,Table_Tarikan_Warkah[Nomor Tiket],Table_Tarikan_Warkah[Jenis Permohonan]),"")</f>
        <v>ROYA</v>
      </c>
      <c r="H224" s="41" t="s">
        <v>20</v>
      </c>
      <c r="I224" s="41" t="s">
        <v>12</v>
      </c>
      <c r="J224" s="36">
        <f t="shared" si="17"/>
        <v>45614.68429</v>
      </c>
      <c r="K224" s="49" t="s">
        <v>197</v>
      </c>
      <c r="L224" s="49" t="s">
        <v>12</v>
      </c>
      <c r="M224" s="36">
        <f t="shared" si="18"/>
        <v>45615.67726</v>
      </c>
      <c r="N224" s="30" t="str">
        <f t="shared" si="3"/>
        <v>SELESAI</v>
      </c>
      <c r="O224" s="45">
        <f t="shared" si="12"/>
        <v>45615.67726</v>
      </c>
      <c r="P224" s="47" t="b">
        <v>0</v>
      </c>
      <c r="Q224" s="36" t="str">
        <f t="shared" si="19"/>
        <v/>
      </c>
      <c r="R224" s="47" t="b">
        <v>1</v>
      </c>
      <c r="S224" s="36">
        <f t="shared" si="6"/>
        <v>45616.37609</v>
      </c>
      <c r="T224" s="42"/>
    </row>
    <row r="225" ht="22.5" customHeight="1">
      <c r="B225" s="42">
        <f t="shared" si="7"/>
        <v>219</v>
      </c>
      <c r="C225" s="31" t="s">
        <v>415</v>
      </c>
      <c r="D225" s="34" t="str">
        <f t="array" ref="D225">IFNA(_xlfn.XLOOKUP(C225,Table_Tarikan_Warkah[Nomor Sertipikat],Table_Tarikan_Warkah[Nomor Tiket]),"")</f>
        <v>L/6/151124/1</v>
      </c>
      <c r="E225" s="36" t="str">
        <f t="array" ref="E225">IFNA(_xlfn.XLOOKUP(D225,Table_Tarikan_Warkah[Nomor Tiket],Table_Tarikan_Warkah[Tanggal diserahkan kepada Validator]),"")</f>
        <v>18/11/2024 11.08</v>
      </c>
      <c r="F225" s="36" t="str">
        <f t="array" ref="F225">IFNA(_xlfn.XLOOKUP(D225,Table_Tarikan_Warkah[Nomor Tiket],Table_Tarikan_Warkah[Nama Petugas Warkah]),"")</f>
        <v>Berry</v>
      </c>
      <c r="G225" s="39" t="str">
        <f t="array" ref="G225">IFNA(_xlfn.XLOOKUP(D225,Table_Tarikan_Warkah[Nomor Tiket],Table_Tarikan_Warkah[Jenis Permohonan]),"")</f>
        <v>ROYA</v>
      </c>
      <c r="H225" s="41" t="s">
        <v>20</v>
      </c>
      <c r="I225" s="41" t="s">
        <v>12</v>
      </c>
      <c r="J225" s="36">
        <f t="shared" si="17"/>
        <v>45614.68429</v>
      </c>
      <c r="K225" s="49" t="s">
        <v>197</v>
      </c>
      <c r="L225" s="49" t="s">
        <v>12</v>
      </c>
      <c r="M225" s="36">
        <f t="shared" si="18"/>
        <v>45615.67726</v>
      </c>
      <c r="N225" s="30" t="str">
        <f t="shared" si="3"/>
        <v>SELESAI</v>
      </c>
      <c r="O225" s="45">
        <f t="shared" si="12"/>
        <v>45615.67726</v>
      </c>
      <c r="P225" s="47" t="b">
        <v>0</v>
      </c>
      <c r="Q225" s="36" t="str">
        <f t="shared" si="19"/>
        <v/>
      </c>
      <c r="R225" s="47" t="b">
        <v>1</v>
      </c>
      <c r="S225" s="36">
        <f t="shared" si="6"/>
        <v>45616.37607</v>
      </c>
      <c r="T225" s="42"/>
    </row>
    <row r="226" ht="22.5" customHeight="1">
      <c r="B226" s="42">
        <f t="shared" si="7"/>
        <v>220</v>
      </c>
      <c r="C226" s="31" t="s">
        <v>416</v>
      </c>
      <c r="D226" s="34" t="str">
        <f t="array" ref="D226">IFNA(_xlfn.XLOOKUP(C226,Table_Tarikan_Warkah[Nomor Sertipikat],Table_Tarikan_Warkah[Nomor Tiket]),"")</f>
        <v>L/6/281024/1</v>
      </c>
      <c r="E226" s="36" t="str">
        <f t="array" ref="E226">IFNA(_xlfn.XLOOKUP(D226,Table_Tarikan_Warkah[Nomor Tiket],Table_Tarikan_Warkah[Tanggal diserahkan kepada Validator]),"")</f>
        <v>29/10/2024 09.49</v>
      </c>
      <c r="F226" s="36" t="str">
        <f t="array" ref="F226">IFNA(_xlfn.XLOOKUP(D226,Table_Tarikan_Warkah[Nomor Tiket],Table_Tarikan_Warkah[Nama Petugas Warkah]),"")</f>
        <v>David</v>
      </c>
      <c r="G226" s="39" t="str">
        <f t="array" ref="G226">IFNA(_xlfn.XLOOKUP(D226,Table_Tarikan_Warkah[Nomor Tiket],Table_Tarikan_Warkah[Jenis Permohonan]),"")</f>
        <v>BN LELANG</v>
      </c>
      <c r="H226" s="41" t="s">
        <v>20</v>
      </c>
      <c r="I226" s="41" t="s">
        <v>12</v>
      </c>
      <c r="J226" s="36">
        <f t="shared" si="17"/>
        <v>45614.68429</v>
      </c>
      <c r="K226" s="49" t="s">
        <v>197</v>
      </c>
      <c r="L226" s="49" t="s">
        <v>12</v>
      </c>
      <c r="M226" s="36">
        <f t="shared" si="18"/>
        <v>45615.67729</v>
      </c>
      <c r="N226" s="30" t="str">
        <f t="shared" si="3"/>
        <v>SELESAI</v>
      </c>
      <c r="O226" s="45">
        <f t="shared" si="12"/>
        <v>45615.67729</v>
      </c>
      <c r="P226" s="47" t="b">
        <v>0</v>
      </c>
      <c r="Q226" s="36" t="str">
        <f t="shared" si="19"/>
        <v/>
      </c>
      <c r="R226" s="47" t="b">
        <v>1</v>
      </c>
      <c r="S226" s="36">
        <f t="shared" si="6"/>
        <v>45616.37598</v>
      </c>
      <c r="T226" s="42"/>
    </row>
    <row r="227" ht="22.5" customHeight="1">
      <c r="B227" s="42">
        <f t="shared" si="7"/>
        <v>221</v>
      </c>
      <c r="C227" s="31" t="s">
        <v>417</v>
      </c>
      <c r="D227" s="34" t="str">
        <f t="array" ref="D227">IFNA(_xlfn.XLOOKUP(C227,Table_Tarikan_Warkah[Nomor Sertipikat],Table_Tarikan_Warkah[Nomor Tiket]),"")</f>
        <v>L/12/131124/1</v>
      </c>
      <c r="E227" s="36" t="str">
        <f t="array" ref="E227">IFNA(_xlfn.XLOOKUP(D227,Table_Tarikan_Warkah[Nomor Tiket],Table_Tarikan_Warkah[Tanggal diserahkan kepada Validator]),"")</f>
        <v>18/11/2024 10.34</v>
      </c>
      <c r="F227" s="36" t="str">
        <f t="array" ref="F227">IFNA(_xlfn.XLOOKUP(D227,Table_Tarikan_Warkah[Nomor Tiket],Table_Tarikan_Warkah[Nama Petugas Warkah]),"")</f>
        <v>David</v>
      </c>
      <c r="G227" s="39" t="str">
        <f t="array" ref="G227">IFNA(_xlfn.XLOOKUP(D227,Table_Tarikan_Warkah[Nomor Tiket],Table_Tarikan_Warkah[Jenis Permohonan]),"")</f>
        <v>ROYA</v>
      </c>
      <c r="H227" s="41" t="s">
        <v>11</v>
      </c>
      <c r="I227" s="41" t="s">
        <v>12</v>
      </c>
      <c r="J227" s="36">
        <f t="shared" si="17"/>
        <v>45614.68551</v>
      </c>
      <c r="K227" s="49" t="s">
        <v>197</v>
      </c>
      <c r="L227" s="49" t="s">
        <v>12</v>
      </c>
      <c r="M227" s="36">
        <f t="shared" si="18"/>
        <v>45615.67729</v>
      </c>
      <c r="N227" s="30" t="str">
        <f t="shared" si="3"/>
        <v>SELESAI</v>
      </c>
      <c r="O227" s="45">
        <f t="shared" si="12"/>
        <v>45615.67729</v>
      </c>
      <c r="P227" s="47" t="b">
        <v>0</v>
      </c>
      <c r="Q227" s="36" t="str">
        <f t="shared" si="19"/>
        <v/>
      </c>
      <c r="R227" s="47" t="b">
        <v>1</v>
      </c>
      <c r="S227" s="36">
        <f t="shared" si="6"/>
        <v>45616.37595</v>
      </c>
      <c r="T227" s="42"/>
    </row>
    <row r="228" ht="22.5" customHeight="1">
      <c r="B228" s="42">
        <f t="shared" si="7"/>
        <v>222</v>
      </c>
      <c r="C228" s="31" t="s">
        <v>418</v>
      </c>
      <c r="D228" s="42" t="s">
        <v>419</v>
      </c>
      <c r="E228" s="36" t="str">
        <f t="array" ref="E228">IFNA(_xlfn.XLOOKUP(D228,Table_Tarikan_Warkah[Nomor Tiket],Table_Tarikan_Warkah[Tanggal diserahkan kepada Validator]),"")</f>
        <v/>
      </c>
      <c r="F228" s="36" t="str">
        <f t="array" ref="F228">IFNA(_xlfn.XLOOKUP(D228,Table_Tarikan_Warkah[Nomor Tiket],Table_Tarikan_Warkah[Nama Petugas Warkah]),"")</f>
        <v>David</v>
      </c>
      <c r="G228" s="39" t="str">
        <f t="array" ref="G228">IFNA(_xlfn.XLOOKUP(D228,Table_Tarikan_Warkah[Nomor Tiket],Table_Tarikan_Warkah[Jenis Permohonan]),"")</f>
        <v>BN JUAL BELI</v>
      </c>
      <c r="H228" s="41" t="s">
        <v>11</v>
      </c>
      <c r="I228" s="41" t="s">
        <v>12</v>
      </c>
      <c r="J228" s="36">
        <f t="shared" si="17"/>
        <v>45614.68588</v>
      </c>
      <c r="K228" s="49" t="s">
        <v>197</v>
      </c>
      <c r="L228" s="49" t="s">
        <v>12</v>
      </c>
      <c r="M228" s="36">
        <f t="shared" si="18"/>
        <v>45615.67741</v>
      </c>
      <c r="N228" s="30" t="str">
        <f t="shared" si="3"/>
        <v>SELESAI</v>
      </c>
      <c r="O228" s="45">
        <f t="shared" si="12"/>
        <v>45615.67741</v>
      </c>
      <c r="P228" s="47" t="b">
        <v>0</v>
      </c>
      <c r="Q228" s="36" t="str">
        <f t="shared" si="19"/>
        <v/>
      </c>
      <c r="R228" s="47" t="b">
        <v>1</v>
      </c>
      <c r="S228" s="36">
        <f t="shared" si="6"/>
        <v>45616.37594</v>
      </c>
      <c r="T228" s="42"/>
    </row>
    <row r="229" ht="22.5" customHeight="1">
      <c r="B229" s="42">
        <f t="shared" si="7"/>
        <v>223</v>
      </c>
      <c r="C229" s="31" t="s">
        <v>420</v>
      </c>
      <c r="D229" s="34" t="str">
        <f t="array" ref="D229">IFNA(_xlfn.XLOOKUP(C229,Table_Tarikan_Warkah[Nomor Sertipikat],Table_Tarikan_Warkah[Nomor Tiket]),"")</f>
        <v>K/14/131124/2</v>
      </c>
      <c r="E229" s="36" t="str">
        <f t="array" ref="E229">IFNA(_xlfn.XLOOKUP(D229,Table_Tarikan_Warkah[Nomor Tiket],Table_Tarikan_Warkah[Tanggal diserahkan kepada Validator]),"")</f>
        <v>18/11/2024 10.37</v>
      </c>
      <c r="F229" s="36" t="str">
        <f t="array" ref="F229">IFNA(_xlfn.XLOOKUP(D229,Table_Tarikan_Warkah[Nomor Tiket],Table_Tarikan_Warkah[Nama Petugas Warkah]),"")</f>
        <v>David</v>
      </c>
      <c r="G229" s="39" t="str">
        <f t="array" ref="G229">IFNA(_xlfn.XLOOKUP(D229,Table_Tarikan_Warkah[Nomor Tiket],Table_Tarikan_Warkah[Jenis Permohonan]),"")</f>
        <v>BN JUAL JUAL BELI</v>
      </c>
      <c r="H229" s="41" t="s">
        <v>11</v>
      </c>
      <c r="I229" s="41" t="s">
        <v>12</v>
      </c>
      <c r="J229" s="36">
        <f t="shared" si="17"/>
        <v>45614.68588</v>
      </c>
      <c r="K229" s="49" t="s">
        <v>197</v>
      </c>
      <c r="L229" s="49" t="s">
        <v>12</v>
      </c>
      <c r="M229" s="36">
        <f t="shared" si="18"/>
        <v>45615.67741</v>
      </c>
      <c r="N229" s="30" t="str">
        <f t="shared" si="3"/>
        <v>SELESAI</v>
      </c>
      <c r="O229" s="45">
        <f t="shared" si="12"/>
        <v>45615.67741</v>
      </c>
      <c r="P229" s="47" t="b">
        <v>0</v>
      </c>
      <c r="Q229" s="36" t="str">
        <f t="shared" si="19"/>
        <v/>
      </c>
      <c r="R229" s="47" t="b">
        <v>1</v>
      </c>
      <c r="S229" s="36">
        <f t="shared" si="6"/>
        <v>45616.37593</v>
      </c>
      <c r="T229" s="42"/>
    </row>
    <row r="230" ht="22.5" customHeight="1">
      <c r="B230" s="42">
        <f t="shared" si="7"/>
        <v>224</v>
      </c>
      <c r="C230" s="31" t="s">
        <v>421</v>
      </c>
      <c r="D230" s="34" t="str">
        <f t="array" ref="D230">IFNA(_xlfn.XLOOKUP(C230,Table_Tarikan_Warkah[Nomor Sertipikat],Table_Tarikan_Warkah[Nomor Tiket]),"")</f>
        <v>K/10/131124/1</v>
      </c>
      <c r="E230" s="36" t="str">
        <f t="array" ref="E230">IFNA(_xlfn.XLOOKUP(D230,Table_Tarikan_Warkah[Nomor Tiket],Table_Tarikan_Warkah[Tanggal diserahkan kepada Validator]),"")</f>
        <v>18/11/2024 10.31</v>
      </c>
      <c r="F230" s="36" t="str">
        <f t="array" ref="F230">IFNA(_xlfn.XLOOKUP(D230,Table_Tarikan_Warkah[Nomor Tiket],Table_Tarikan_Warkah[Nama Petugas Warkah]),"")</f>
        <v>David</v>
      </c>
      <c r="G230" s="39" t="str">
        <f t="array" ref="G230">IFNA(_xlfn.XLOOKUP(D230,Table_Tarikan_Warkah[Nomor Tiket],Table_Tarikan_Warkah[Jenis Permohonan]),"")</f>
        <v>BN Jual Beli</v>
      </c>
      <c r="H230" s="41" t="s">
        <v>11</v>
      </c>
      <c r="I230" s="41" t="s">
        <v>12</v>
      </c>
      <c r="J230" s="36">
        <f t="shared" si="17"/>
        <v>45614.68588</v>
      </c>
      <c r="K230" s="49" t="s">
        <v>197</v>
      </c>
      <c r="L230" s="49" t="s">
        <v>12</v>
      </c>
      <c r="M230" s="36">
        <f t="shared" si="18"/>
        <v>45615.67741</v>
      </c>
      <c r="N230" s="30" t="str">
        <f t="shared" si="3"/>
        <v>SELESAI</v>
      </c>
      <c r="O230" s="45">
        <f t="shared" si="12"/>
        <v>45615.67741</v>
      </c>
      <c r="P230" s="47" t="b">
        <v>0</v>
      </c>
      <c r="Q230" s="36" t="str">
        <f t="shared" si="19"/>
        <v/>
      </c>
      <c r="R230" s="47" t="b">
        <v>1</v>
      </c>
      <c r="S230" s="36">
        <f t="shared" si="6"/>
        <v>45616.37593</v>
      </c>
      <c r="T230" s="42"/>
    </row>
    <row r="231" ht="22.5" customHeight="1">
      <c r="B231" s="42">
        <f t="shared" si="7"/>
        <v>225</v>
      </c>
      <c r="C231" s="31" t="s">
        <v>422</v>
      </c>
      <c r="D231" s="34" t="str">
        <f t="array" ref="D231">IFNA(_xlfn.XLOOKUP(C231,Table_Tarikan_Warkah[Nomor Sertipikat],Table_Tarikan_Warkah[Nomor Tiket]),"")</f>
        <v>K/19/131124/1</v>
      </c>
      <c r="E231" s="36" t="str">
        <f t="array" ref="E231">IFNA(_xlfn.XLOOKUP(D231,Table_Tarikan_Warkah[Nomor Tiket],Table_Tarikan_Warkah[Tanggal diserahkan kepada Validator]),"")</f>
        <v>18/11/2024 09.52</v>
      </c>
      <c r="F231" s="36" t="str">
        <f t="array" ref="F231">IFNA(_xlfn.XLOOKUP(D231,Table_Tarikan_Warkah[Nomor Tiket],Table_Tarikan_Warkah[Nama Petugas Warkah]),"")</f>
        <v>David</v>
      </c>
      <c r="G231" s="39" t="str">
        <f t="array" ref="G231">IFNA(_xlfn.XLOOKUP(D231,Table_Tarikan_Warkah[Nomor Tiket],Table_Tarikan_Warkah[Jenis Permohonan]),"")</f>
        <v>BN Waris</v>
      </c>
      <c r="H231" s="41" t="s">
        <v>11</v>
      </c>
      <c r="I231" s="41" t="s">
        <v>12</v>
      </c>
      <c r="J231" s="36">
        <f t="shared" si="17"/>
        <v>45614.68588</v>
      </c>
      <c r="K231" s="49" t="s">
        <v>197</v>
      </c>
      <c r="L231" s="49" t="s">
        <v>12</v>
      </c>
      <c r="M231" s="36">
        <f t="shared" si="18"/>
        <v>45615.67741</v>
      </c>
      <c r="N231" s="30" t="str">
        <f t="shared" si="3"/>
        <v>SELESAI</v>
      </c>
      <c r="O231" s="45">
        <f t="shared" si="12"/>
        <v>45615.67741</v>
      </c>
      <c r="P231" s="47" t="b">
        <v>0</v>
      </c>
      <c r="Q231" s="36" t="str">
        <f t="shared" si="19"/>
        <v/>
      </c>
      <c r="R231" s="47" t="b">
        <v>1</v>
      </c>
      <c r="S231" s="36">
        <f t="shared" si="6"/>
        <v>45616.37591</v>
      </c>
      <c r="T231" s="42"/>
    </row>
    <row r="232" ht="22.5" customHeight="1">
      <c r="B232" s="42">
        <f t="shared" si="7"/>
        <v>226</v>
      </c>
      <c r="C232" s="31" t="s">
        <v>423</v>
      </c>
      <c r="D232" s="34" t="str">
        <f t="array" ref="D232">IFNA(_xlfn.XLOOKUP(C232,Table_Tarikan_Warkah[Nomor Sertipikat],Table_Tarikan_Warkah[Nomor Tiket]),"")</f>
        <v>K/20/131124/1</v>
      </c>
      <c r="E232" s="36" t="str">
        <f t="array" ref="E232">IFNA(_xlfn.XLOOKUP(D232,Table_Tarikan_Warkah[Nomor Tiket],Table_Tarikan_Warkah[Tanggal diserahkan kepada Validator]),"")</f>
        <v/>
      </c>
      <c r="F232" s="36" t="str">
        <f t="array" ref="F232">IFNA(_xlfn.XLOOKUP(D232,Table_Tarikan_Warkah[Nomor Tiket],Table_Tarikan_Warkah[Nama Petugas Warkah]),"")</f>
        <v/>
      </c>
      <c r="G232" s="39" t="str">
        <f t="array" ref="G232">IFNA(_xlfn.XLOOKUP(D232,Table_Tarikan_Warkah[Nomor Tiket],Table_Tarikan_Warkah[Jenis Permohonan]),"")</f>
        <v>BN JUAL BELI</v>
      </c>
      <c r="H232" s="41" t="s">
        <v>11</v>
      </c>
      <c r="I232" s="41" t="s">
        <v>12</v>
      </c>
      <c r="J232" s="36">
        <f t="shared" si="17"/>
        <v>45614.68588</v>
      </c>
      <c r="K232" s="49" t="s">
        <v>197</v>
      </c>
      <c r="L232" s="49" t="s">
        <v>12</v>
      </c>
      <c r="M232" s="36">
        <f t="shared" si="18"/>
        <v>45615.67741</v>
      </c>
      <c r="N232" s="30" t="str">
        <f t="shared" si="3"/>
        <v>SELESAI</v>
      </c>
      <c r="O232" s="45">
        <f t="shared" si="12"/>
        <v>45615.67741</v>
      </c>
      <c r="P232" s="47" t="b">
        <v>0</v>
      </c>
      <c r="Q232" s="36" t="str">
        <f t="shared" si="19"/>
        <v/>
      </c>
      <c r="R232" s="47" t="b">
        <v>1</v>
      </c>
      <c r="S232" s="36">
        <f t="shared" si="6"/>
        <v>45616.3759</v>
      </c>
      <c r="T232" s="42"/>
    </row>
    <row r="233" ht="22.5" customHeight="1">
      <c r="B233" s="42">
        <f t="shared" si="7"/>
        <v>227</v>
      </c>
      <c r="C233" s="31" t="s">
        <v>424</v>
      </c>
      <c r="D233" s="34" t="str">
        <f t="array" ref="D233">IFNA(_xlfn.XLOOKUP(C233,Table_Tarikan_Warkah[Nomor Sertipikat],Table_Tarikan_Warkah[Nomor Tiket]),"")</f>
        <v>L/10/141124/1</v>
      </c>
      <c r="E233" s="36" t="str">
        <f t="array" ref="E233">IFNA(_xlfn.XLOOKUP(D233,Table_Tarikan_Warkah[Nomor Tiket],Table_Tarikan_Warkah[Tanggal diserahkan kepada Validator]),"")</f>
        <v>18/11/2024 10.52</v>
      </c>
      <c r="F233" s="36" t="str">
        <f t="array" ref="F233">IFNA(_xlfn.XLOOKUP(D233,Table_Tarikan_Warkah[Nomor Tiket],Table_Tarikan_Warkah[Nama Petugas Warkah]),"")</f>
        <v>David</v>
      </c>
      <c r="G233" s="39" t="str">
        <f t="array" ref="G233">IFNA(_xlfn.XLOOKUP(D233,Table_Tarikan_Warkah[Nomor Tiket],Table_Tarikan_Warkah[Jenis Permohonan]),"")</f>
        <v>ROYA</v>
      </c>
      <c r="H233" s="41" t="s">
        <v>11</v>
      </c>
      <c r="I233" s="41" t="s">
        <v>12</v>
      </c>
      <c r="J233" s="36">
        <f t="shared" si="17"/>
        <v>45614.68588</v>
      </c>
      <c r="K233" s="49" t="s">
        <v>197</v>
      </c>
      <c r="L233" s="49" t="s">
        <v>12</v>
      </c>
      <c r="M233" s="36">
        <f t="shared" si="18"/>
        <v>45615.67741</v>
      </c>
      <c r="N233" s="30" t="str">
        <f t="shared" si="3"/>
        <v>SELESAI</v>
      </c>
      <c r="O233" s="45">
        <f t="shared" si="12"/>
        <v>45615.67741</v>
      </c>
      <c r="P233" s="47" t="b">
        <v>0</v>
      </c>
      <c r="Q233" s="36" t="str">
        <f t="shared" si="19"/>
        <v/>
      </c>
      <c r="R233" s="47" t="b">
        <v>1</v>
      </c>
      <c r="S233" s="36">
        <f t="shared" si="6"/>
        <v>45616.37568</v>
      </c>
      <c r="T233" s="42"/>
    </row>
    <row r="234" ht="22.5" customHeight="1">
      <c r="B234" s="42">
        <f t="shared" si="7"/>
        <v>228</v>
      </c>
      <c r="C234" s="31" t="s">
        <v>405</v>
      </c>
      <c r="D234" s="34" t="str">
        <f t="array" ref="D234">IFNA(_xlfn.XLOOKUP(C234,Table_Tarikan_Warkah[Nomor Sertipikat],Table_Tarikan_Warkah[Nomor Tiket]),"")</f>
        <v>K/6/141124/1</v>
      </c>
      <c r="E234" s="36" t="str">
        <f t="array" ref="E234">IFNA(_xlfn.XLOOKUP(D234,Table_Tarikan_Warkah[Nomor Tiket],Table_Tarikan_Warkah[Tanggal diserahkan kepada Validator]),"")</f>
        <v>18/11/2024 10.52</v>
      </c>
      <c r="F234" s="36" t="str">
        <f t="array" ref="F234">IFNA(_xlfn.XLOOKUP(D234,Table_Tarikan_Warkah[Nomor Tiket],Table_Tarikan_Warkah[Nama Petugas Warkah]),"")</f>
        <v>David</v>
      </c>
      <c r="G234" s="39" t="str">
        <f t="array" ref="G234">IFNA(_xlfn.XLOOKUP(D234,Table_Tarikan_Warkah[Nomor Tiket],Table_Tarikan_Warkah[Jenis Permohonan]),"")</f>
        <v>BN JUAL BELI</v>
      </c>
      <c r="H234" s="41" t="s">
        <v>11</v>
      </c>
      <c r="I234" s="41" t="s">
        <v>12</v>
      </c>
      <c r="J234" s="36">
        <f t="shared" si="17"/>
        <v>45614.68588</v>
      </c>
      <c r="K234" s="49" t="s">
        <v>197</v>
      </c>
      <c r="L234" s="49" t="s">
        <v>12</v>
      </c>
      <c r="M234" s="36">
        <f t="shared" si="18"/>
        <v>45615.67741</v>
      </c>
      <c r="N234" s="30" t="str">
        <f t="shared" si="3"/>
        <v>SELESAI</v>
      </c>
      <c r="O234" s="45">
        <f t="shared" si="12"/>
        <v>45615.67741</v>
      </c>
      <c r="P234" s="47" t="b">
        <v>0</v>
      </c>
      <c r="Q234" s="36" t="str">
        <f t="shared" si="19"/>
        <v/>
      </c>
      <c r="R234" s="47" t="b">
        <v>1</v>
      </c>
      <c r="S234" s="36">
        <f t="shared" si="6"/>
        <v>45616.35414</v>
      </c>
      <c r="T234" s="42"/>
    </row>
    <row r="235" ht="22.5" customHeight="1">
      <c r="B235" s="42">
        <f t="shared" si="7"/>
        <v>229</v>
      </c>
      <c r="C235" s="31" t="s">
        <v>425</v>
      </c>
      <c r="D235" s="34" t="str">
        <f t="array" ref="D235">IFNA(_xlfn.XLOOKUP(C235,Table_Tarikan_Warkah[Nomor Sertipikat],Table_Tarikan_Warkah[Nomor Tiket]),"")</f>
        <v>L/5/141124/1</v>
      </c>
      <c r="E235" s="36" t="str">
        <f t="array" ref="E235">IFNA(_xlfn.XLOOKUP(D235,Table_Tarikan_Warkah[Nomor Tiket],Table_Tarikan_Warkah[Tanggal diserahkan kepada Validator]),"")</f>
        <v>18/11/2024 10.50</v>
      </c>
      <c r="F235" s="36" t="str">
        <f t="array" ref="F235">IFNA(_xlfn.XLOOKUP(D235,Table_Tarikan_Warkah[Nomor Tiket],Table_Tarikan_Warkah[Nama Petugas Warkah]),"")</f>
        <v>David</v>
      </c>
      <c r="G235" s="39" t="str">
        <f t="array" ref="G235">IFNA(_xlfn.XLOOKUP(D235,Table_Tarikan_Warkah[Nomor Tiket],Table_Tarikan_Warkah[Jenis Permohonan]),"")</f>
        <v>ROYA WARIS</v>
      </c>
      <c r="H235" s="41" t="s">
        <v>11</v>
      </c>
      <c r="I235" s="41" t="s">
        <v>12</v>
      </c>
      <c r="J235" s="36">
        <f t="shared" si="17"/>
        <v>45614.68588</v>
      </c>
      <c r="K235" s="49" t="s">
        <v>197</v>
      </c>
      <c r="L235" s="49" t="s">
        <v>12</v>
      </c>
      <c r="M235" s="36">
        <f t="shared" si="18"/>
        <v>45615.67741</v>
      </c>
      <c r="N235" s="30" t="str">
        <f t="shared" si="3"/>
        <v>SELESAI</v>
      </c>
      <c r="O235" s="45">
        <f t="shared" si="12"/>
        <v>45615.67741</v>
      </c>
      <c r="P235" s="47" t="b">
        <v>0</v>
      </c>
      <c r="Q235" s="36" t="str">
        <f t="shared" si="19"/>
        <v/>
      </c>
      <c r="R235" s="47" t="b">
        <v>1</v>
      </c>
      <c r="S235" s="36">
        <f t="shared" si="6"/>
        <v>45616.35408</v>
      </c>
      <c r="T235" s="42"/>
    </row>
    <row r="236" ht="22.5" customHeight="1">
      <c r="B236" s="42">
        <f t="shared" si="7"/>
        <v>230</v>
      </c>
      <c r="C236" s="31" t="s">
        <v>426</v>
      </c>
      <c r="D236" s="34" t="str">
        <f t="array" ref="D236">IFNA(_xlfn.XLOOKUP(C236,Table_Tarikan_Warkah[Nomor Sertipikat],Table_Tarikan_Warkah[Nomor Tiket]),"")</f>
        <v>K/13/131124/1</v>
      </c>
      <c r="E236" s="36" t="str">
        <f t="array" ref="E236">IFNA(_xlfn.XLOOKUP(D236,Table_Tarikan_Warkah[Nomor Tiket],Table_Tarikan_Warkah[Tanggal diserahkan kepada Validator]),"")</f>
        <v>18/11/2024 10.36</v>
      </c>
      <c r="F236" s="36" t="str">
        <f t="array" ref="F236">IFNA(_xlfn.XLOOKUP(D236,Table_Tarikan_Warkah[Nomor Tiket],Table_Tarikan_Warkah[Nama Petugas Warkah]),"")</f>
        <v>David</v>
      </c>
      <c r="G236" s="39" t="str">
        <f t="array" ref="G236">IFNA(_xlfn.XLOOKUP(D236,Table_Tarikan_Warkah[Nomor Tiket],Table_Tarikan_Warkah[Jenis Permohonan]),"")</f>
        <v>BN JUAL BELI</v>
      </c>
      <c r="H236" s="41" t="s">
        <v>11</v>
      </c>
      <c r="I236" s="41" t="s">
        <v>12</v>
      </c>
      <c r="J236" s="36">
        <f t="shared" si="17"/>
        <v>45614.68588</v>
      </c>
      <c r="K236" s="49" t="s">
        <v>197</v>
      </c>
      <c r="L236" s="49" t="s">
        <v>12</v>
      </c>
      <c r="M236" s="36">
        <f t="shared" si="18"/>
        <v>45615.67741</v>
      </c>
      <c r="N236" s="30" t="str">
        <f t="shared" si="3"/>
        <v>SELESAI</v>
      </c>
      <c r="O236" s="45">
        <f t="shared" si="12"/>
        <v>45615.67741</v>
      </c>
      <c r="P236" s="47" t="b">
        <v>0</v>
      </c>
      <c r="Q236" s="36" t="str">
        <f t="shared" si="19"/>
        <v/>
      </c>
      <c r="R236" s="47" t="b">
        <v>1</v>
      </c>
      <c r="S236" s="36">
        <f t="shared" si="6"/>
        <v>45615.67636</v>
      </c>
      <c r="T236" s="42"/>
    </row>
    <row r="237" ht="22.5" customHeight="1">
      <c r="B237" s="42">
        <f t="shared" si="7"/>
        <v>231</v>
      </c>
      <c r="C237" s="31" t="s">
        <v>427</v>
      </c>
      <c r="D237" s="34" t="str">
        <f t="array" ref="D237">IFNA(_xlfn.XLOOKUP(C237,Table_Tarikan_Warkah[Nomor Sertipikat],Table_Tarikan_Warkah[Nomor Tiket]),"")</f>
        <v>K/28/131124/2</v>
      </c>
      <c r="E237" s="36" t="str">
        <f t="array" ref="E237">IFNA(_xlfn.XLOOKUP(D237,Table_Tarikan_Warkah[Nomor Tiket],Table_Tarikan_Warkah[Tanggal diserahkan kepada Validator]),"")</f>
        <v/>
      </c>
      <c r="F237" s="36" t="str">
        <f t="array" ref="F237">IFNA(_xlfn.XLOOKUP(D237,Table_Tarikan_Warkah[Nomor Tiket],Table_Tarikan_Warkah[Nama Petugas Warkah]),"")</f>
        <v>David</v>
      </c>
      <c r="G237" s="39" t="str">
        <f t="array" ref="G237">IFNA(_xlfn.XLOOKUP(D237,Table_Tarikan_Warkah[Nomor Tiket],Table_Tarikan_Warkah[Jenis Permohonan]),"")</f>
        <v>ROYA</v>
      </c>
      <c r="H237" s="41" t="s">
        <v>11</v>
      </c>
      <c r="I237" s="41" t="s">
        <v>23</v>
      </c>
      <c r="J237" s="36">
        <f t="shared" si="17"/>
        <v>45614.68597</v>
      </c>
      <c r="K237" s="49" t="s">
        <v>26</v>
      </c>
      <c r="L237" s="49" t="s">
        <v>23</v>
      </c>
      <c r="M237" s="36">
        <f t="shared" si="18"/>
        <v>45615.67665</v>
      </c>
      <c r="N237" s="30" t="str">
        <f t="shared" si="3"/>
        <v>Selesai</v>
      </c>
      <c r="O237" s="45">
        <f t="shared" si="12"/>
        <v>45615.67665</v>
      </c>
      <c r="P237" s="47" t="b">
        <v>1</v>
      </c>
      <c r="Q237" s="36">
        <f t="shared" si="19"/>
        <v>45615.67628</v>
      </c>
      <c r="R237" s="47" t="b">
        <v>0</v>
      </c>
      <c r="S237" s="42" t="str">
        <f t="shared" si="6"/>
        <v/>
      </c>
      <c r="T237" s="42"/>
    </row>
    <row r="238" ht="22.5" customHeight="1">
      <c r="B238" s="42">
        <f t="shared" si="7"/>
        <v>232</v>
      </c>
      <c r="C238" s="31" t="s">
        <v>412</v>
      </c>
      <c r="D238" s="34" t="str">
        <f t="array" ref="D238">IFNA(_xlfn.XLOOKUP(C238,Table_Tarikan_Warkah[Nomor Sertipikat],Table_Tarikan_Warkah[Nomor Tiket]),"")</f>
        <v>K/25/141124/1</v>
      </c>
      <c r="E238" s="36" t="str">
        <f t="array" ref="E238">IFNA(_xlfn.XLOOKUP(D238,Table_Tarikan_Warkah[Nomor Tiket],Table_Tarikan_Warkah[Tanggal diserahkan kepada Validator]),"")</f>
        <v>18/11/2024 10.59</v>
      </c>
      <c r="F238" s="36" t="str">
        <f t="array" ref="F238">IFNA(_xlfn.XLOOKUP(D238,Table_Tarikan_Warkah[Nomor Tiket],Table_Tarikan_Warkah[Nama Petugas Warkah]),"")</f>
        <v>Berry</v>
      </c>
      <c r="G238" s="39" t="str">
        <f t="array" ref="G238">IFNA(_xlfn.XLOOKUP(D238,Table_Tarikan_Warkah[Nomor Tiket],Table_Tarikan_Warkah[Jenis Permohonan]),"")</f>
        <v>BN JUAL BELI</v>
      </c>
      <c r="H238" s="41" t="s">
        <v>11</v>
      </c>
      <c r="I238" s="41" t="s">
        <v>23</v>
      </c>
      <c r="J238" s="36">
        <f t="shared" si="17"/>
        <v>45614.68597</v>
      </c>
      <c r="K238" s="49" t="s">
        <v>26</v>
      </c>
      <c r="L238" s="49" t="s">
        <v>23</v>
      </c>
      <c r="M238" s="36">
        <f t="shared" si="18"/>
        <v>45615.67667</v>
      </c>
      <c r="N238" s="30" t="str">
        <f t="shared" si="3"/>
        <v>Selesai</v>
      </c>
      <c r="O238" s="45">
        <f t="shared" si="12"/>
        <v>45615.67667</v>
      </c>
      <c r="P238" s="47" t="b">
        <v>1</v>
      </c>
      <c r="Q238" s="36">
        <f t="shared" si="19"/>
        <v>45615.67629</v>
      </c>
      <c r="R238" s="47" t="b">
        <v>0</v>
      </c>
      <c r="S238" s="42" t="str">
        <f t="shared" si="6"/>
        <v/>
      </c>
      <c r="T238" s="42"/>
    </row>
    <row r="239" ht="22.5" customHeight="1">
      <c r="B239" s="42">
        <f t="shared" si="7"/>
        <v>233</v>
      </c>
      <c r="C239" s="31" t="s">
        <v>428</v>
      </c>
      <c r="D239" s="34" t="str">
        <f t="array" ref="D239">IFNA(_xlfn.XLOOKUP(C239,Table_Tarikan_Warkah[Nomor Sertipikat],Table_Tarikan_Warkah[Nomor Tiket]),"")</f>
        <v>K/31/151124/1</v>
      </c>
      <c r="E239" s="36" t="str">
        <f t="array" ref="E239">IFNA(_xlfn.XLOOKUP(D239,Table_Tarikan_Warkah[Nomor Tiket],Table_Tarikan_Warkah[Tanggal diserahkan kepada Validator]),"")</f>
        <v>18/11/2024 11.11</v>
      </c>
      <c r="F239" s="36" t="str">
        <f t="array" ref="F239">IFNA(_xlfn.XLOOKUP(D239,Table_Tarikan_Warkah[Nomor Tiket],Table_Tarikan_Warkah[Nama Petugas Warkah]),"")</f>
        <v>Bayu</v>
      </c>
      <c r="G239" s="39" t="str">
        <f t="array" ref="G239">IFNA(_xlfn.XLOOKUP(D239,Table_Tarikan_Warkah[Nomor Tiket],Table_Tarikan_Warkah[Jenis Permohonan]),"")</f>
        <v>BN Waris</v>
      </c>
      <c r="H239" s="41" t="s">
        <v>20</v>
      </c>
      <c r="I239" s="41" t="s">
        <v>12</v>
      </c>
      <c r="J239" s="36">
        <f t="shared" si="17"/>
        <v>45614.6945</v>
      </c>
      <c r="K239" s="49" t="s">
        <v>197</v>
      </c>
      <c r="L239" s="49" t="s">
        <v>12</v>
      </c>
      <c r="M239" s="36">
        <f t="shared" si="18"/>
        <v>45615.6769</v>
      </c>
      <c r="N239" s="30" t="str">
        <f t="shared" si="3"/>
        <v>SELESAI</v>
      </c>
      <c r="O239" s="45">
        <f t="shared" si="12"/>
        <v>45615.6769</v>
      </c>
      <c r="P239" s="47" t="b">
        <v>0</v>
      </c>
      <c r="Q239" s="36" t="str">
        <f t="shared" si="19"/>
        <v/>
      </c>
      <c r="R239" s="47" t="b">
        <v>1</v>
      </c>
      <c r="S239" s="36">
        <f t="shared" si="6"/>
        <v>45615.6762</v>
      </c>
      <c r="T239" s="42"/>
    </row>
    <row r="240" ht="22.5" customHeight="1">
      <c r="B240" s="42">
        <f t="shared" si="7"/>
        <v>234</v>
      </c>
      <c r="C240" s="31" t="s">
        <v>429</v>
      </c>
      <c r="D240" s="34" t="str">
        <f t="array" ref="D240">IFNA(_xlfn.XLOOKUP(C240,Table_Tarikan_Warkah[Nomor Sertipikat],Table_Tarikan_Warkah[Nomor Tiket]),"")</f>
        <v>L/5/181124/1</v>
      </c>
      <c r="E240" s="36" t="str">
        <f t="array" ref="E240">IFNA(_xlfn.XLOOKUP(D240,Table_Tarikan_Warkah[Nomor Tiket],Table_Tarikan_Warkah[Tanggal diserahkan kepada Validator]),"")</f>
        <v>19/11/2024 10.57</v>
      </c>
      <c r="F240" s="36" t="str">
        <f t="array" ref="F240">IFNA(_xlfn.XLOOKUP(D240,Table_Tarikan_Warkah[Nomor Tiket],Table_Tarikan_Warkah[Nama Petugas Warkah]),"")</f>
        <v>Berry</v>
      </c>
      <c r="G240" s="39" t="str">
        <f t="array" ref="G240">IFNA(_xlfn.XLOOKUP(D240,Table_Tarikan_Warkah[Nomor Tiket],Table_Tarikan_Warkah[Jenis Permohonan]),"")</f>
        <v>ROYA</v>
      </c>
      <c r="H240" s="41" t="s">
        <v>11</v>
      </c>
      <c r="I240" s="41" t="s">
        <v>12</v>
      </c>
      <c r="J240" s="36">
        <f t="shared" si="17"/>
        <v>45615.68653</v>
      </c>
      <c r="K240" s="49" t="s">
        <v>197</v>
      </c>
      <c r="L240" s="49" t="s">
        <v>12</v>
      </c>
      <c r="M240" s="36">
        <f t="shared" si="18"/>
        <v>45616.63157</v>
      </c>
      <c r="N240" s="30" t="str">
        <f t="shared" si="3"/>
        <v>SELESAI</v>
      </c>
      <c r="O240" s="45">
        <f t="shared" si="12"/>
        <v>45616.63157</v>
      </c>
      <c r="P240" s="47" t="b">
        <v>0</v>
      </c>
      <c r="Q240" s="36" t="str">
        <f t="shared" si="19"/>
        <v/>
      </c>
      <c r="R240" s="47" t="b">
        <v>1</v>
      </c>
      <c r="S240" s="36">
        <f t="shared" si="6"/>
        <v>45617.59262</v>
      </c>
      <c r="T240" s="42"/>
    </row>
    <row r="241" ht="22.5" customHeight="1">
      <c r="B241" s="42">
        <f t="shared" si="7"/>
        <v>235</v>
      </c>
      <c r="C241" s="31" t="s">
        <v>430</v>
      </c>
      <c r="D241" s="34" t="str">
        <f t="array" ref="D241">IFNA(_xlfn.XLOOKUP(C241,Table_Tarikan_Warkah[Nomor Sertipikat],Table_Tarikan_Warkah[Nomor Tiket]),"")</f>
        <v>K/3/181124/1</v>
      </c>
      <c r="E241" s="36" t="str">
        <f t="array" ref="E241">IFNA(_xlfn.XLOOKUP(D241,Table_Tarikan_Warkah[Nomor Tiket],Table_Tarikan_Warkah[Tanggal diserahkan kepada Validator]),"")</f>
        <v>19/11/2024 10.58</v>
      </c>
      <c r="F241" s="36" t="str">
        <f t="array" ref="F241">IFNA(_xlfn.XLOOKUP(D241,Table_Tarikan_Warkah[Nomor Tiket],Table_Tarikan_Warkah[Nama Petugas Warkah]),"")</f>
        <v>Berry</v>
      </c>
      <c r="G241" s="39" t="str">
        <f t="array" ref="G241">IFNA(_xlfn.XLOOKUP(D241,Table_Tarikan_Warkah[Nomor Tiket],Table_Tarikan_Warkah[Jenis Permohonan]),"")</f>
        <v>BN WARIS</v>
      </c>
      <c r="H241" s="41" t="s">
        <v>11</v>
      </c>
      <c r="I241" s="41" t="s">
        <v>12</v>
      </c>
      <c r="J241" s="36">
        <f t="shared" si="17"/>
        <v>45615.6866</v>
      </c>
      <c r="K241" s="49" t="s">
        <v>197</v>
      </c>
      <c r="L241" s="49" t="s">
        <v>12</v>
      </c>
      <c r="M241" s="36">
        <f t="shared" si="18"/>
        <v>45616.63157</v>
      </c>
      <c r="N241" s="30" t="str">
        <f t="shared" si="3"/>
        <v>SELESAI</v>
      </c>
      <c r="O241" s="45">
        <f t="shared" si="12"/>
        <v>45616.63157</v>
      </c>
      <c r="P241" s="47" t="b">
        <v>0</v>
      </c>
      <c r="Q241" s="36" t="str">
        <f t="shared" si="19"/>
        <v/>
      </c>
      <c r="R241" s="47" t="b">
        <v>1</v>
      </c>
      <c r="S241" s="36">
        <f t="shared" si="6"/>
        <v>45617.59263</v>
      </c>
      <c r="T241" s="42"/>
    </row>
    <row r="242" ht="22.5" customHeight="1">
      <c r="B242" s="42">
        <f t="shared" si="7"/>
        <v>236</v>
      </c>
      <c r="C242" s="31" t="s">
        <v>431</v>
      </c>
      <c r="D242" s="34" t="s">
        <v>432</v>
      </c>
      <c r="E242" s="36" t="str">
        <f t="array" ref="E242">IFNA(_xlfn.XLOOKUP(D242,Table_Tarikan_Warkah[Nomor Tiket],Table_Tarikan_Warkah[Tanggal diserahkan kepada Validator]),"")</f>
        <v/>
      </c>
      <c r="F242" s="36" t="str">
        <f t="array" ref="F242">IFNA(_xlfn.XLOOKUP(D242,Table_Tarikan_Warkah[Nomor Tiket],Table_Tarikan_Warkah[Nama Petugas Warkah]),"")</f>
        <v/>
      </c>
      <c r="G242" s="39" t="str">
        <f t="array" ref="G242">IFNA(_xlfn.XLOOKUP(D242,Table_Tarikan_Warkah[Nomor Tiket],Table_Tarikan_Warkah[Jenis Permohonan]),"")</f>
        <v/>
      </c>
      <c r="H242" s="41" t="s">
        <v>11</v>
      </c>
      <c r="I242" s="41" t="s">
        <v>12</v>
      </c>
      <c r="J242" s="36">
        <f t="shared" si="17"/>
        <v>45615.6866</v>
      </c>
      <c r="K242" s="49" t="s">
        <v>197</v>
      </c>
      <c r="L242" s="49" t="s">
        <v>12</v>
      </c>
      <c r="M242" s="36">
        <f t="shared" si="18"/>
        <v>45616.63157</v>
      </c>
      <c r="N242" s="30" t="str">
        <f t="shared" si="3"/>
        <v>SELESAI</v>
      </c>
      <c r="O242" s="45">
        <f t="shared" si="12"/>
        <v>45616.63157</v>
      </c>
      <c r="P242" s="47" t="b">
        <v>1</v>
      </c>
      <c r="Q242" s="36">
        <f t="shared" si="19"/>
        <v>45639.64579</v>
      </c>
      <c r="R242" s="47" t="b">
        <v>1</v>
      </c>
      <c r="S242" s="36">
        <f t="shared" si="6"/>
        <v>45617.59264</v>
      </c>
      <c r="T242" s="42"/>
    </row>
    <row r="243" ht="22.5" customHeight="1">
      <c r="B243" s="42">
        <f t="shared" si="7"/>
        <v>237</v>
      </c>
      <c r="C243" s="31" t="s">
        <v>433</v>
      </c>
      <c r="D243" s="34" t="str">
        <f t="array" ref="D243">IFNA(_xlfn.XLOOKUP(C243,Table_Tarikan_Warkah[Nomor Sertipikat],Table_Tarikan_Warkah[Nomor Tiket]),"")</f>
        <v>L/39/151124/1</v>
      </c>
      <c r="E243" s="36" t="str">
        <f t="array" ref="E243">IFNA(_xlfn.XLOOKUP(D243,Table_Tarikan_Warkah[Nomor Tiket],Table_Tarikan_Warkah[Tanggal diserahkan kepada Validator]),"")</f>
        <v>19/11/2024 10.48</v>
      </c>
      <c r="F243" s="36" t="str">
        <f t="array" ref="F243">IFNA(_xlfn.XLOOKUP(D243,Table_Tarikan_Warkah[Nomor Tiket],Table_Tarikan_Warkah[Nama Petugas Warkah]),"")</f>
        <v>Berry</v>
      </c>
      <c r="G243" s="39" t="str">
        <f t="array" ref="G243">IFNA(_xlfn.XLOOKUP(D243,Table_Tarikan_Warkah[Nomor Tiket],Table_Tarikan_Warkah[Jenis Permohonan]),"")</f>
        <v>ROYA</v>
      </c>
      <c r="H243" s="41" t="s">
        <v>11</v>
      </c>
      <c r="I243" s="41" t="s">
        <v>12</v>
      </c>
      <c r="J243" s="36">
        <f t="shared" si="17"/>
        <v>45615.6866</v>
      </c>
      <c r="K243" s="49" t="s">
        <v>197</v>
      </c>
      <c r="L243" s="49" t="s">
        <v>12</v>
      </c>
      <c r="M243" s="36">
        <f t="shared" si="18"/>
        <v>45616.63159</v>
      </c>
      <c r="N243" s="30" t="str">
        <f t="shared" si="3"/>
        <v>SELESAI</v>
      </c>
      <c r="O243" s="45">
        <f t="shared" si="12"/>
        <v>45616.63159</v>
      </c>
      <c r="P243" s="47" t="b">
        <v>0</v>
      </c>
      <c r="Q243" s="36" t="str">
        <f t="shared" si="19"/>
        <v/>
      </c>
      <c r="R243" s="47" t="b">
        <v>1</v>
      </c>
      <c r="S243" s="36">
        <f t="shared" si="6"/>
        <v>45617.59269</v>
      </c>
      <c r="T243" s="42"/>
    </row>
    <row r="244" ht="22.5" customHeight="1">
      <c r="B244" s="42">
        <f t="shared" si="7"/>
        <v>238</v>
      </c>
      <c r="C244" s="31" t="s">
        <v>434</v>
      </c>
      <c r="D244" s="34" t="str">
        <f t="array" ref="D244">IFNA(_xlfn.XLOOKUP(C244,Table_Tarikan_Warkah[Nomor Sertipikat],Table_Tarikan_Warkah[Nomor Tiket]),"")</f>
        <v>L/45/151124/1</v>
      </c>
      <c r="E244" s="36" t="str">
        <f t="array" ref="E244">IFNA(_xlfn.XLOOKUP(D244,Table_Tarikan_Warkah[Nomor Tiket],Table_Tarikan_Warkah[Tanggal diserahkan kepada Validator]),"")</f>
        <v>19/11/2024 10.50</v>
      </c>
      <c r="F244" s="36" t="str">
        <f t="array" ref="F244">IFNA(_xlfn.XLOOKUP(D244,Table_Tarikan_Warkah[Nomor Tiket],Table_Tarikan_Warkah[Nama Petugas Warkah]),"")</f>
        <v>Berry</v>
      </c>
      <c r="G244" s="39" t="str">
        <f t="array" ref="G244">IFNA(_xlfn.XLOOKUP(D244,Table_Tarikan_Warkah[Nomor Tiket],Table_Tarikan_Warkah[Jenis Permohonan]),"")</f>
        <v>B JUAL - BELI</v>
      </c>
      <c r="H244" s="41" t="s">
        <v>11</v>
      </c>
      <c r="I244" s="41" t="s">
        <v>12</v>
      </c>
      <c r="J244" s="36">
        <f t="shared" si="17"/>
        <v>45615.6866</v>
      </c>
      <c r="K244" s="49" t="s">
        <v>197</v>
      </c>
      <c r="L244" s="49" t="s">
        <v>12</v>
      </c>
      <c r="M244" s="36">
        <f t="shared" si="18"/>
        <v>45616.63159</v>
      </c>
      <c r="N244" s="30" t="str">
        <f t="shared" si="3"/>
        <v>SELESAI</v>
      </c>
      <c r="O244" s="45">
        <f t="shared" si="12"/>
        <v>45616.63159</v>
      </c>
      <c r="P244" s="47" t="b">
        <v>0</v>
      </c>
      <c r="Q244" s="36" t="str">
        <f t="shared" si="19"/>
        <v/>
      </c>
      <c r="R244" s="47" t="b">
        <v>1</v>
      </c>
      <c r="S244" s="36">
        <f t="shared" si="6"/>
        <v>45617.59269</v>
      </c>
      <c r="T244" s="42"/>
    </row>
    <row r="245" ht="22.5" customHeight="1">
      <c r="B245" s="42">
        <f t="shared" si="7"/>
        <v>239</v>
      </c>
      <c r="C245" s="31" t="s">
        <v>435</v>
      </c>
      <c r="D245" s="34" t="str">
        <f t="array" ref="D245">IFNA(_xlfn.XLOOKUP(C245,Table_Tarikan_Warkah[Nomor Sertipikat],Table_Tarikan_Warkah[Nomor Tiket]),"")</f>
        <v>K/17/131124/1</v>
      </c>
      <c r="E245" s="36" t="str">
        <f t="array" ref="E245">IFNA(_xlfn.XLOOKUP(D245,Table_Tarikan_Warkah[Nomor Tiket],Table_Tarikan_Warkah[Tanggal diserahkan kepada Validator]),"")</f>
        <v/>
      </c>
      <c r="F245" s="36" t="str">
        <f t="array" ref="F245">IFNA(_xlfn.XLOOKUP(D245,Table_Tarikan_Warkah[Nomor Tiket],Table_Tarikan_Warkah[Nama Petugas Warkah]),"")</f>
        <v>David</v>
      </c>
      <c r="G245" s="39" t="str">
        <f t="array" ref="G245">IFNA(_xlfn.XLOOKUP(D245,Table_Tarikan_Warkah[Nomor Tiket],Table_Tarikan_Warkah[Jenis Permohonan]),"")</f>
        <v>BN JUAL BELI</v>
      </c>
      <c r="H245" s="41" t="s">
        <v>11</v>
      </c>
      <c r="I245" s="41" t="s">
        <v>12</v>
      </c>
      <c r="J245" s="36">
        <f t="shared" si="17"/>
        <v>45615.6866</v>
      </c>
      <c r="K245" s="49" t="s">
        <v>197</v>
      </c>
      <c r="L245" s="49" t="s">
        <v>12</v>
      </c>
      <c r="M245" s="36">
        <f t="shared" si="18"/>
        <v>45616.63159</v>
      </c>
      <c r="N245" s="30" t="str">
        <f t="shared" si="3"/>
        <v>SELESAI</v>
      </c>
      <c r="O245" s="45">
        <f t="shared" si="12"/>
        <v>45616.63159</v>
      </c>
      <c r="P245" s="47" t="b">
        <v>0</v>
      </c>
      <c r="Q245" s="36" t="str">
        <f t="shared" si="19"/>
        <v/>
      </c>
      <c r="R245" s="47" t="b">
        <v>1</v>
      </c>
      <c r="S245" s="36">
        <f t="shared" si="6"/>
        <v>45617.59269</v>
      </c>
      <c r="T245" s="42"/>
    </row>
    <row r="246" ht="22.5" customHeight="1">
      <c r="B246" s="42">
        <f t="shared" si="7"/>
        <v>240</v>
      </c>
      <c r="C246" s="31" t="s">
        <v>436</v>
      </c>
      <c r="D246" s="34" t="str">
        <f t="array" ref="D246">IFNA(_xlfn.XLOOKUP(C246,Table_Tarikan_Warkah[Nomor Sertipikat],Table_Tarikan_Warkah[Nomor Tiket]),"")</f>
        <v>K/56/181124/1</v>
      </c>
      <c r="E246" s="36" t="str">
        <f t="array" ref="E246">IFNA(_xlfn.XLOOKUP(D246,Table_Tarikan_Warkah[Nomor Tiket],Table_Tarikan_Warkah[Tanggal diserahkan kepada Validator]),"")</f>
        <v>19/11/2024 11.14</v>
      </c>
      <c r="F246" s="36" t="str">
        <f t="array" ref="F246">IFNA(_xlfn.XLOOKUP(D246,Table_Tarikan_Warkah[Nomor Tiket],Table_Tarikan_Warkah[Nama Petugas Warkah]),"")</f>
        <v>David</v>
      </c>
      <c r="G246" s="39" t="str">
        <f t="array" ref="G246">IFNA(_xlfn.XLOOKUP(D246,Table_Tarikan_Warkah[Nomor Tiket],Table_Tarikan_Warkah[Jenis Permohonan]),"")</f>
        <v>BN JUAL BELI</v>
      </c>
      <c r="H246" s="41" t="s">
        <v>11</v>
      </c>
      <c r="I246" s="41" t="s">
        <v>12</v>
      </c>
      <c r="J246" s="36">
        <f t="shared" si="17"/>
        <v>45615.6866</v>
      </c>
      <c r="K246" s="49" t="s">
        <v>197</v>
      </c>
      <c r="L246" s="49" t="s">
        <v>12</v>
      </c>
      <c r="M246" s="36">
        <f t="shared" si="18"/>
        <v>45616.63162</v>
      </c>
      <c r="N246" s="30" t="str">
        <f t="shared" si="3"/>
        <v>SELESAI</v>
      </c>
      <c r="O246" s="45">
        <f t="shared" si="12"/>
        <v>45616.63162</v>
      </c>
      <c r="P246" s="47" t="b">
        <v>0</v>
      </c>
      <c r="Q246" s="36" t="str">
        <f t="shared" si="19"/>
        <v/>
      </c>
      <c r="R246" s="47" t="b">
        <v>1</v>
      </c>
      <c r="S246" s="36">
        <f t="shared" si="6"/>
        <v>45617.59276</v>
      </c>
      <c r="T246" s="42"/>
    </row>
    <row r="247" ht="22.5" customHeight="1">
      <c r="B247" s="42">
        <f t="shared" si="7"/>
        <v>241</v>
      </c>
      <c r="C247" s="31" t="s">
        <v>437</v>
      </c>
      <c r="D247" s="34" t="str">
        <f t="array" ref="D247">IFNA(_xlfn.XLOOKUP(C247,Table_Tarikan_Warkah[Nomor Sertipikat],Table_Tarikan_Warkah[Nomor Tiket]),"")</f>
        <v>K/52/181124/2</v>
      </c>
      <c r="E247" s="36" t="str">
        <f t="array" ref="E247">IFNA(_xlfn.XLOOKUP(D247,Table_Tarikan_Warkah[Nomor Tiket],Table_Tarikan_Warkah[Tanggal diserahkan kepada Validator]),"")</f>
        <v/>
      </c>
      <c r="F247" s="36" t="str">
        <f t="array" ref="F247">IFNA(_xlfn.XLOOKUP(D247,Table_Tarikan_Warkah[Nomor Tiket],Table_Tarikan_Warkah[Nama Petugas Warkah]),"")</f>
        <v/>
      </c>
      <c r="G247" s="39" t="str">
        <f t="array" ref="G247">IFNA(_xlfn.XLOOKUP(D247,Table_Tarikan_Warkah[Nomor Tiket],Table_Tarikan_Warkah[Jenis Permohonan]),"")</f>
        <v>BN JUAL BELI</v>
      </c>
      <c r="H247" s="41" t="s">
        <v>11</v>
      </c>
      <c r="I247" s="41" t="s">
        <v>12</v>
      </c>
      <c r="J247" s="36">
        <f t="shared" si="17"/>
        <v>45615.6866</v>
      </c>
      <c r="K247" s="49" t="s">
        <v>197</v>
      </c>
      <c r="L247" s="49" t="s">
        <v>12</v>
      </c>
      <c r="M247" s="36">
        <f t="shared" si="18"/>
        <v>45616.63162</v>
      </c>
      <c r="N247" s="30" t="str">
        <f t="shared" si="3"/>
        <v>SELESAI</v>
      </c>
      <c r="O247" s="45">
        <f t="shared" si="12"/>
        <v>45616.63162</v>
      </c>
      <c r="P247" s="47" t="b">
        <v>0</v>
      </c>
      <c r="Q247" s="36" t="str">
        <f t="shared" si="19"/>
        <v/>
      </c>
      <c r="R247" s="47" t="b">
        <v>1</v>
      </c>
      <c r="S247" s="36">
        <f t="shared" si="6"/>
        <v>45617.59276</v>
      </c>
      <c r="T247" s="42"/>
    </row>
    <row r="248" ht="22.5" customHeight="1">
      <c r="B248" s="42">
        <f t="shared" si="7"/>
        <v>242</v>
      </c>
      <c r="C248" s="31" t="s">
        <v>438</v>
      </c>
      <c r="D248" s="34" t="str">
        <f t="array" ref="D248">IFNA(_xlfn.XLOOKUP(C248,Table_Tarikan_Warkah[Nomor Sertipikat],Table_Tarikan_Warkah[Nomor Tiket]),"")</f>
        <v>K/49/181124/1</v>
      </c>
      <c r="E248" s="36" t="str">
        <f t="array" ref="E248">IFNA(_xlfn.XLOOKUP(D248,Table_Tarikan_Warkah[Nomor Tiket],Table_Tarikan_Warkah[Tanggal diserahkan kepada Validator]),"")</f>
        <v>19/11/2024 11.12</v>
      </c>
      <c r="F248" s="36" t="str">
        <f t="array" ref="F248">IFNA(_xlfn.XLOOKUP(D248,Table_Tarikan_Warkah[Nomor Tiket],Table_Tarikan_Warkah[Nama Petugas Warkah]),"")</f>
        <v>David</v>
      </c>
      <c r="G248" s="39" t="str">
        <f t="array" ref="G248">IFNA(_xlfn.XLOOKUP(D248,Table_Tarikan_Warkah[Nomor Tiket],Table_Tarikan_Warkah[Jenis Permohonan]),"")</f>
        <v>BN LELANG</v>
      </c>
      <c r="H248" s="41" t="s">
        <v>11</v>
      </c>
      <c r="I248" s="41" t="s">
        <v>12</v>
      </c>
      <c r="J248" s="36">
        <f t="shared" si="17"/>
        <v>45615.6866</v>
      </c>
      <c r="K248" s="49" t="s">
        <v>197</v>
      </c>
      <c r="L248" s="49" t="s">
        <v>12</v>
      </c>
      <c r="M248" s="36">
        <f t="shared" si="18"/>
        <v>45616.63164</v>
      </c>
      <c r="N248" s="30" t="str">
        <f t="shared" si="3"/>
        <v>SELESAI</v>
      </c>
      <c r="O248" s="45">
        <f t="shared" si="12"/>
        <v>45616.63164</v>
      </c>
      <c r="P248" s="47" t="b">
        <v>0</v>
      </c>
      <c r="Q248" s="36" t="str">
        <f t="shared" si="19"/>
        <v/>
      </c>
      <c r="R248" s="47" t="b">
        <v>1</v>
      </c>
      <c r="S248" s="36">
        <f t="shared" si="6"/>
        <v>45617.59276</v>
      </c>
      <c r="T248" s="42"/>
    </row>
    <row r="249" ht="22.5" customHeight="1">
      <c r="B249" s="42">
        <f t="shared" si="7"/>
        <v>243</v>
      </c>
      <c r="C249" s="31" t="s">
        <v>439</v>
      </c>
      <c r="D249" s="34" t="str">
        <f t="array" ref="D249">IFNA(_xlfn.XLOOKUP(C249,Table_Tarikan_Warkah[Nomor Sertipikat],Table_Tarikan_Warkah[Nomor Tiket]),"")</f>
        <v>L/14/181124/1</v>
      </c>
      <c r="E249" s="36" t="str">
        <f t="array" ref="E249">IFNA(_xlfn.XLOOKUP(D249,Table_Tarikan_Warkah[Nomor Tiket],Table_Tarikan_Warkah[Tanggal diserahkan kepada Validator]),"")</f>
        <v>19/11/2024 11.05</v>
      </c>
      <c r="F249" s="36" t="str">
        <f t="array" ref="F249">IFNA(_xlfn.XLOOKUP(D249,Table_Tarikan_Warkah[Nomor Tiket],Table_Tarikan_Warkah[Nama Petugas Warkah]),"")</f>
        <v>David</v>
      </c>
      <c r="G249" s="39" t="str">
        <f t="array" ref="G249">IFNA(_xlfn.XLOOKUP(D249,Table_Tarikan_Warkah[Nomor Tiket],Table_Tarikan_Warkah[Jenis Permohonan]),"")</f>
        <v>ROYA</v>
      </c>
      <c r="H249" s="41" t="s">
        <v>11</v>
      </c>
      <c r="I249" s="41" t="s">
        <v>12</v>
      </c>
      <c r="J249" s="36">
        <f t="shared" si="17"/>
        <v>45615.6866</v>
      </c>
      <c r="K249" s="49" t="s">
        <v>197</v>
      </c>
      <c r="L249" s="49" t="s">
        <v>12</v>
      </c>
      <c r="M249" s="36">
        <f t="shared" si="18"/>
        <v>45616.63167</v>
      </c>
      <c r="N249" s="30" t="str">
        <f t="shared" si="3"/>
        <v>SELESAI</v>
      </c>
      <c r="O249" s="45">
        <f t="shared" si="12"/>
        <v>45616.63167</v>
      </c>
      <c r="P249" s="47" t="b">
        <v>0</v>
      </c>
      <c r="Q249" s="36" t="str">
        <f t="shared" si="19"/>
        <v/>
      </c>
      <c r="R249" s="47" t="b">
        <v>1</v>
      </c>
      <c r="S249" s="36">
        <f t="shared" si="6"/>
        <v>45617.59281</v>
      </c>
      <c r="T249" s="42"/>
    </row>
    <row r="250" ht="22.5" customHeight="1">
      <c r="B250" s="42">
        <f t="shared" si="7"/>
        <v>244</v>
      </c>
      <c r="C250" s="31" t="s">
        <v>396</v>
      </c>
      <c r="D250" s="34" t="str">
        <f t="array" ref="D250">IFNA(_xlfn.XLOOKUP(C250,Table_Tarikan_Warkah[Nomor Sertipikat],Table_Tarikan_Warkah[Nomor Tiket]),"")</f>
        <v>K/14/121124/1</v>
      </c>
      <c r="E250" s="36" t="str">
        <f t="array" ref="E250">IFNA(_xlfn.XLOOKUP(D250,Table_Tarikan_Warkah[Nomor Tiket],Table_Tarikan_Warkah[Tanggal diserahkan kepada Validator]),"")</f>
        <v/>
      </c>
      <c r="F250" s="36" t="str">
        <f t="array" ref="F250">IFNA(_xlfn.XLOOKUP(D250,Table_Tarikan_Warkah[Nomor Tiket],Table_Tarikan_Warkah[Nama Petugas Warkah]),"")</f>
        <v>David</v>
      </c>
      <c r="G250" s="39" t="str">
        <f t="array" ref="G250">IFNA(_xlfn.XLOOKUP(D250,Table_Tarikan_Warkah[Nomor Tiket],Table_Tarikan_Warkah[Jenis Permohonan]),"")</f>
        <v>BN HIBAH</v>
      </c>
      <c r="H250" s="41" t="s">
        <v>11</v>
      </c>
      <c r="I250" s="41" t="s">
        <v>12</v>
      </c>
      <c r="J250" s="36">
        <f t="shared" si="17"/>
        <v>45615.6866</v>
      </c>
      <c r="K250" s="49" t="s">
        <v>197</v>
      </c>
      <c r="L250" s="49" t="s">
        <v>12</v>
      </c>
      <c r="M250" s="36">
        <f t="shared" si="18"/>
        <v>45616.63171</v>
      </c>
      <c r="N250" s="30" t="str">
        <f t="shared" si="3"/>
        <v>SELESAI</v>
      </c>
      <c r="O250" s="45">
        <f t="shared" si="12"/>
        <v>45616.63171</v>
      </c>
      <c r="P250" s="47" t="b">
        <v>0</v>
      </c>
      <c r="Q250" s="36" t="str">
        <f t="shared" si="19"/>
        <v/>
      </c>
      <c r="R250" s="47" t="b">
        <v>1</v>
      </c>
      <c r="S250" s="36">
        <f t="shared" si="6"/>
        <v>45617.59285</v>
      </c>
      <c r="T250" s="42"/>
    </row>
    <row r="251" ht="22.5" customHeight="1">
      <c r="B251" s="42">
        <f t="shared" si="7"/>
        <v>245</v>
      </c>
      <c r="C251" s="31" t="s">
        <v>427</v>
      </c>
      <c r="D251" s="34" t="str">
        <f t="array" ref="D251">IFNA(_xlfn.XLOOKUP(C251,Table_Tarikan_Warkah[Nomor Sertipikat],Table_Tarikan_Warkah[Nomor Tiket]),"")</f>
        <v>K/28/131124/2</v>
      </c>
      <c r="E251" s="36" t="str">
        <f t="array" ref="E251">IFNA(_xlfn.XLOOKUP(D251,Table_Tarikan_Warkah[Nomor Tiket],Table_Tarikan_Warkah[Tanggal diserahkan kepada Validator]),"")</f>
        <v/>
      </c>
      <c r="F251" s="36" t="str">
        <f t="array" ref="F251">IFNA(_xlfn.XLOOKUP(D251,Table_Tarikan_Warkah[Nomor Tiket],Table_Tarikan_Warkah[Nama Petugas Warkah]),"")</f>
        <v>David</v>
      </c>
      <c r="G251" s="39" t="str">
        <f t="array" ref="G251">IFNA(_xlfn.XLOOKUP(D251,Table_Tarikan_Warkah[Nomor Tiket],Table_Tarikan_Warkah[Jenis Permohonan]),"")</f>
        <v>ROYA</v>
      </c>
      <c r="H251" s="41" t="s">
        <v>11</v>
      </c>
      <c r="I251" s="41" t="s">
        <v>12</v>
      </c>
      <c r="J251" s="36">
        <f t="shared" si="17"/>
        <v>45615.6866</v>
      </c>
      <c r="K251" s="49" t="s">
        <v>197</v>
      </c>
      <c r="L251" s="49" t="s">
        <v>12</v>
      </c>
      <c r="M251" s="36">
        <f t="shared" si="18"/>
        <v>45616.63176</v>
      </c>
      <c r="N251" s="30" t="str">
        <f t="shared" si="3"/>
        <v>SELESAI</v>
      </c>
      <c r="O251" s="45">
        <f t="shared" si="12"/>
        <v>45616.63176</v>
      </c>
      <c r="P251" s="47" t="b">
        <v>0</v>
      </c>
      <c r="Q251" s="36" t="str">
        <f t="shared" si="19"/>
        <v/>
      </c>
      <c r="R251" s="47" t="b">
        <v>1</v>
      </c>
      <c r="S251" s="36">
        <f t="shared" si="6"/>
        <v>45617.59287</v>
      </c>
      <c r="T251" s="42"/>
    </row>
    <row r="252" ht="22.5" customHeight="1">
      <c r="B252" s="42">
        <f t="shared" si="7"/>
        <v>246</v>
      </c>
      <c r="C252" s="31" t="s">
        <v>440</v>
      </c>
      <c r="D252" s="34" t="str">
        <f t="array" ref="D252">IFNA(_xlfn.XLOOKUP(C252,Table_Tarikan_Warkah[Nomor Sertipikat],Table_Tarikan_Warkah[Nomor Tiket]),"")</f>
        <v>K/37/131124/1</v>
      </c>
      <c r="E252" s="36" t="str">
        <f t="array" ref="E252">IFNA(_xlfn.XLOOKUP(D252,Table_Tarikan_Warkah[Nomor Tiket],Table_Tarikan_Warkah[Tanggal diserahkan kepada Validator]),"")</f>
        <v/>
      </c>
      <c r="F252" s="36" t="str">
        <f t="array" ref="F252">IFNA(_xlfn.XLOOKUP(D252,Table_Tarikan_Warkah[Nomor Tiket],Table_Tarikan_Warkah[Nama Petugas Warkah]),"")</f>
        <v>David</v>
      </c>
      <c r="G252" s="39" t="str">
        <f t="array" ref="G252">IFNA(_xlfn.XLOOKUP(D252,Table_Tarikan_Warkah[Nomor Tiket],Table_Tarikan_Warkah[Jenis Permohonan]),"")</f>
        <v>BN JUAL BELI</v>
      </c>
      <c r="H252" s="41" t="s">
        <v>11</v>
      </c>
      <c r="I252" s="41" t="s">
        <v>12</v>
      </c>
      <c r="J252" s="36">
        <f t="shared" si="17"/>
        <v>45615.6866</v>
      </c>
      <c r="K252" s="49" t="s">
        <v>197</v>
      </c>
      <c r="L252" s="49" t="s">
        <v>12</v>
      </c>
      <c r="M252" s="36">
        <f t="shared" si="18"/>
        <v>45616.63176</v>
      </c>
      <c r="N252" s="30" t="str">
        <f t="shared" si="3"/>
        <v>SELESAI</v>
      </c>
      <c r="O252" s="45">
        <f t="shared" si="12"/>
        <v>45616.63176</v>
      </c>
      <c r="P252" s="47" t="b">
        <v>0</v>
      </c>
      <c r="Q252" s="36" t="str">
        <f t="shared" si="19"/>
        <v/>
      </c>
      <c r="R252" s="47" t="b">
        <v>1</v>
      </c>
      <c r="S252" s="36">
        <f t="shared" si="6"/>
        <v>45617.59288</v>
      </c>
      <c r="T252" s="42"/>
    </row>
    <row r="253" ht="22.5" customHeight="1">
      <c r="B253" s="42">
        <f t="shared" si="7"/>
        <v>247</v>
      </c>
      <c r="C253" s="31" t="s">
        <v>441</v>
      </c>
      <c r="D253" s="34" t="str">
        <f t="array" ref="D253">IFNA(_xlfn.XLOOKUP(C253,Table_Tarikan_Warkah[Nomor Sertipikat],Table_Tarikan_Warkah[Nomor Tiket]),"")</f>
        <v>K/7/121124/1</v>
      </c>
      <c r="E253" s="36" t="str">
        <f t="array" ref="E253">IFNA(_xlfn.XLOOKUP(D253,Table_Tarikan_Warkah[Nomor Tiket],Table_Tarikan_Warkah[Tanggal diserahkan kepada Validator]),"")</f>
        <v/>
      </c>
      <c r="F253" s="36" t="str">
        <f t="array" ref="F253">IFNA(_xlfn.XLOOKUP(D253,Table_Tarikan_Warkah[Nomor Tiket],Table_Tarikan_Warkah[Nama Petugas Warkah]),"")</f>
        <v>David</v>
      </c>
      <c r="G253" s="39" t="str">
        <f t="array" ref="G253">IFNA(_xlfn.XLOOKUP(D253,Table_Tarikan_Warkah[Nomor Tiket],Table_Tarikan_Warkah[Jenis Permohonan]),"")</f>
        <v>BN Waris</v>
      </c>
      <c r="H253" s="41" t="s">
        <v>11</v>
      </c>
      <c r="I253" s="41" t="s">
        <v>12</v>
      </c>
      <c r="J253" s="36">
        <f t="shared" si="17"/>
        <v>45615.6866</v>
      </c>
      <c r="K253" s="49" t="s">
        <v>197</v>
      </c>
      <c r="L253" s="49" t="s">
        <v>12</v>
      </c>
      <c r="M253" s="36">
        <f t="shared" si="18"/>
        <v>45616.63176</v>
      </c>
      <c r="N253" s="30" t="str">
        <f t="shared" si="3"/>
        <v>SELESAI</v>
      </c>
      <c r="O253" s="45">
        <f t="shared" si="12"/>
        <v>45616.63176</v>
      </c>
      <c r="P253" s="47" t="b">
        <v>1</v>
      </c>
      <c r="Q253" s="36">
        <f t="shared" si="19"/>
        <v>45643.62753</v>
      </c>
      <c r="R253" s="47" t="b">
        <v>1</v>
      </c>
      <c r="S253" s="36">
        <f t="shared" si="6"/>
        <v>45617.59289</v>
      </c>
      <c r="T253" s="42"/>
    </row>
    <row r="254" ht="22.5" customHeight="1">
      <c r="B254" s="42">
        <f t="shared" si="7"/>
        <v>248</v>
      </c>
      <c r="C254" s="31" t="s">
        <v>442</v>
      </c>
      <c r="D254" s="34" t="str">
        <f t="array" ref="D254">IFNA(_xlfn.XLOOKUP(C254,Table_Tarikan_Warkah[Nomor Sertipikat],Table_Tarikan_Warkah[Nomor Tiket]),"")</f>
        <v>K/5/041124/1</v>
      </c>
      <c r="E254" s="36" t="str">
        <f t="array" ref="E254">IFNA(_xlfn.XLOOKUP(D254,Table_Tarikan_Warkah[Nomor Tiket],Table_Tarikan_Warkah[Tanggal diserahkan kepada Validator]),"")</f>
        <v/>
      </c>
      <c r="F254" s="36" t="str">
        <f t="array" ref="F254">IFNA(_xlfn.XLOOKUP(D254,Table_Tarikan_Warkah[Nomor Tiket],Table_Tarikan_Warkah[Nama Petugas Warkah]),"")</f>
        <v>Berry</v>
      </c>
      <c r="G254" s="39" t="str">
        <f t="array" ref="G254">IFNA(_xlfn.XLOOKUP(D254,Table_Tarikan_Warkah[Nomor Tiket],Table_Tarikan_Warkah[Jenis Permohonan]),"")</f>
        <v>BN Waris</v>
      </c>
      <c r="H254" s="41" t="s">
        <v>11</v>
      </c>
      <c r="I254" s="41" t="s">
        <v>23</v>
      </c>
      <c r="J254" s="36">
        <f t="shared" si="17"/>
        <v>45615.68642</v>
      </c>
      <c r="K254" s="49" t="s">
        <v>26</v>
      </c>
      <c r="L254" s="49" t="s">
        <v>23</v>
      </c>
      <c r="M254" s="36">
        <f t="shared" si="18"/>
        <v>45616.37891</v>
      </c>
      <c r="N254" s="30" t="str">
        <f t="shared" si="3"/>
        <v>Selesai</v>
      </c>
      <c r="O254" s="45">
        <f t="shared" si="12"/>
        <v>45616.37891</v>
      </c>
      <c r="P254" s="47" t="b">
        <v>1</v>
      </c>
      <c r="Q254" s="36">
        <f t="shared" si="19"/>
        <v>45617.59292</v>
      </c>
      <c r="R254" s="47" t="b">
        <v>0</v>
      </c>
      <c r="S254" s="42" t="str">
        <f t="shared" si="6"/>
        <v/>
      </c>
      <c r="T254" s="42"/>
    </row>
    <row r="255" ht="22.5" customHeight="1">
      <c r="B255" s="42">
        <f t="shared" si="7"/>
        <v>249</v>
      </c>
      <c r="C255" s="31" t="s">
        <v>443</v>
      </c>
      <c r="D255" s="34" t="str">
        <f t="array" ref="D255">IFNA(_xlfn.XLOOKUP(C255,Table_Tarikan_Warkah[Nomor Sertipikat],Table_Tarikan_Warkah[Nomor Tiket]),"")</f>
        <v>K/13/181124/1</v>
      </c>
      <c r="E255" s="36" t="str">
        <f t="array" ref="E255">IFNA(_xlfn.XLOOKUP(D255,Table_Tarikan_Warkah[Nomor Tiket],Table_Tarikan_Warkah[Tanggal diserahkan kepada Validator]),"")</f>
        <v>19/11/2024 11.04</v>
      </c>
      <c r="F255" s="36" t="str">
        <f t="array" ref="F255">IFNA(_xlfn.XLOOKUP(D255,Table_Tarikan_Warkah[Nomor Tiket],Table_Tarikan_Warkah[Nama Petugas Warkah]),"")</f>
        <v>David</v>
      </c>
      <c r="G255" s="39" t="str">
        <f t="array" ref="G255">IFNA(_xlfn.XLOOKUP(D255,Table_Tarikan_Warkah[Nomor Tiket],Table_Tarikan_Warkah[Jenis Permohonan]),"")</f>
        <v>BN Jual Beli</v>
      </c>
      <c r="H255" s="41" t="s">
        <v>20</v>
      </c>
      <c r="I255" s="41" t="s">
        <v>12</v>
      </c>
      <c r="J255" s="36">
        <f t="shared" si="17"/>
        <v>45615.71628</v>
      </c>
      <c r="K255" s="49" t="s">
        <v>197</v>
      </c>
      <c r="L255" s="49" t="s">
        <v>12</v>
      </c>
      <c r="M255" s="36">
        <f t="shared" si="18"/>
        <v>45616.63182</v>
      </c>
      <c r="N255" s="30" t="str">
        <f t="shared" si="3"/>
        <v>SELESAI</v>
      </c>
      <c r="O255" s="45">
        <f t="shared" si="12"/>
        <v>45616.63182</v>
      </c>
      <c r="P255" s="47" t="b">
        <v>0</v>
      </c>
      <c r="Q255" s="36" t="str">
        <f t="shared" si="19"/>
        <v/>
      </c>
      <c r="R255" s="47" t="b">
        <v>1</v>
      </c>
      <c r="S255" s="36">
        <f t="shared" si="6"/>
        <v>45617.59298</v>
      </c>
      <c r="T255" s="42"/>
    </row>
    <row r="256" ht="22.5" customHeight="1">
      <c r="B256" s="42">
        <f t="shared" si="7"/>
        <v>250</v>
      </c>
      <c r="C256" s="31" t="s">
        <v>444</v>
      </c>
      <c r="D256" s="34" t="str">
        <f t="array" ref="D256">IFNA(_xlfn.XLOOKUP(C256,Table_Tarikan_Warkah[Nomor Sertipikat],Table_Tarikan_Warkah[Nomor Tiket]),"")</f>
        <v>K/4/181124/2</v>
      </c>
      <c r="E256" s="36" t="str">
        <f t="array" ref="E256">IFNA(_xlfn.XLOOKUP(D256,Table_Tarikan_Warkah[Nomor Tiket],Table_Tarikan_Warkah[Tanggal diserahkan kepada Validator]),"")</f>
        <v>19/11/2024 11.02</v>
      </c>
      <c r="F256" s="36" t="str">
        <f t="array" ref="F256">IFNA(_xlfn.XLOOKUP(D256,Table_Tarikan_Warkah[Nomor Tiket],Table_Tarikan_Warkah[Nama Petugas Warkah]),"")</f>
        <v>Berry</v>
      </c>
      <c r="G256" s="39" t="str">
        <f t="array" ref="G256">IFNA(_xlfn.XLOOKUP(D256,Table_Tarikan_Warkah[Nomor Tiket],Table_Tarikan_Warkah[Jenis Permohonan]),"")</f>
        <v>BN WARIS</v>
      </c>
      <c r="H256" s="41" t="s">
        <v>20</v>
      </c>
      <c r="I256" s="41" t="s">
        <v>12</v>
      </c>
      <c r="J256" s="36">
        <f t="shared" si="17"/>
        <v>45615.71648</v>
      </c>
      <c r="K256" s="49" t="s">
        <v>197</v>
      </c>
      <c r="L256" s="49" t="s">
        <v>12</v>
      </c>
      <c r="M256" s="36">
        <f t="shared" si="18"/>
        <v>45616.63185</v>
      </c>
      <c r="N256" s="30" t="str">
        <f t="shared" si="3"/>
        <v>SELESAI</v>
      </c>
      <c r="O256" s="45">
        <f t="shared" si="12"/>
        <v>45616.63185</v>
      </c>
      <c r="P256" s="47" t="b">
        <v>0</v>
      </c>
      <c r="Q256" s="36" t="str">
        <f t="shared" si="19"/>
        <v/>
      </c>
      <c r="R256" s="47" t="b">
        <v>1</v>
      </c>
      <c r="S256" s="36">
        <f t="shared" si="6"/>
        <v>45617.59298</v>
      </c>
      <c r="T256" s="42"/>
    </row>
    <row r="257" ht="22.5" customHeight="1">
      <c r="B257" s="42">
        <f t="shared" si="7"/>
        <v>251</v>
      </c>
      <c r="C257" s="31" t="s">
        <v>445</v>
      </c>
      <c r="D257" s="42" t="s">
        <v>446</v>
      </c>
      <c r="E257" s="36" t="str">
        <f t="array" ref="E257">IFNA(_xlfn.XLOOKUP(D257,Table_Tarikan_Warkah[Nomor Tiket],Table_Tarikan_Warkah[Tanggal diserahkan kepada Validator]),"")</f>
        <v/>
      </c>
      <c r="F257" s="36" t="str">
        <f t="array" ref="F257">IFNA(_xlfn.XLOOKUP(D257,Table_Tarikan_Warkah[Nomor Tiket],Table_Tarikan_Warkah[Nama Petugas Warkah]),"")</f>
        <v/>
      </c>
      <c r="G257" s="39" t="str">
        <f t="array" ref="G257">IFNA(_xlfn.XLOOKUP(D257,Table_Tarikan_Warkah[Nomor Tiket],Table_Tarikan_Warkah[Jenis Permohonan]),"")</f>
        <v/>
      </c>
      <c r="H257" s="41" t="s">
        <v>20</v>
      </c>
      <c r="I257" s="41" t="s">
        <v>12</v>
      </c>
      <c r="J257" s="36">
        <f t="shared" si="17"/>
        <v>45615.7166</v>
      </c>
      <c r="K257" s="49" t="s">
        <v>197</v>
      </c>
      <c r="L257" s="49" t="s">
        <v>12</v>
      </c>
      <c r="M257" s="36">
        <f t="shared" si="18"/>
        <v>45616.63185</v>
      </c>
      <c r="N257" s="30" t="str">
        <f t="shared" si="3"/>
        <v>SELESAI</v>
      </c>
      <c r="O257" s="45">
        <f t="shared" si="12"/>
        <v>45616.63185</v>
      </c>
      <c r="P257" s="47" t="b">
        <v>1</v>
      </c>
      <c r="Q257" s="36">
        <f t="shared" si="19"/>
        <v>45624.70305</v>
      </c>
      <c r="R257" s="47" t="b">
        <v>1</v>
      </c>
      <c r="S257" s="36">
        <f t="shared" si="6"/>
        <v>45617.59298</v>
      </c>
      <c r="T257" s="42"/>
    </row>
    <row r="258" ht="22.5" customHeight="1">
      <c r="B258" s="42">
        <f t="shared" si="7"/>
        <v>252</v>
      </c>
      <c r="C258" s="31" t="s">
        <v>447</v>
      </c>
      <c r="D258" s="34" t="str">
        <f t="array" ref="D258">IFNA(_xlfn.XLOOKUP(C258,Table_Tarikan_Warkah[Nomor Sertipikat],Table_Tarikan_Warkah[Nomor Tiket]),"")</f>
        <v>K/2/181124/2</v>
      </c>
      <c r="E258" s="36" t="str">
        <f t="array" ref="E258">IFNA(_xlfn.XLOOKUP(D258,Table_Tarikan_Warkah[Nomor Tiket],Table_Tarikan_Warkah[Tanggal diserahkan kepada Validator]),"")</f>
        <v>19/11/2024 10.57</v>
      </c>
      <c r="F258" s="36" t="str">
        <f t="array" ref="F258">IFNA(_xlfn.XLOOKUP(D258,Table_Tarikan_Warkah[Nomor Tiket],Table_Tarikan_Warkah[Nama Petugas Warkah]),"")</f>
        <v>Berry</v>
      </c>
      <c r="G258" s="39" t="str">
        <f t="array" ref="G258">IFNA(_xlfn.XLOOKUP(D258,Table_Tarikan_Warkah[Nomor Tiket],Table_Tarikan_Warkah[Jenis Permohonan]),"")</f>
        <v>ROYA</v>
      </c>
      <c r="H258" s="41" t="s">
        <v>20</v>
      </c>
      <c r="I258" s="41" t="s">
        <v>12</v>
      </c>
      <c r="J258" s="36">
        <f t="shared" si="17"/>
        <v>45615.71672</v>
      </c>
      <c r="K258" s="49" t="s">
        <v>197</v>
      </c>
      <c r="L258" s="49" t="s">
        <v>12</v>
      </c>
      <c r="M258" s="36">
        <f t="shared" si="18"/>
        <v>45616.63185</v>
      </c>
      <c r="N258" s="30" t="str">
        <f t="shared" si="3"/>
        <v>SELESAI</v>
      </c>
      <c r="O258" s="45">
        <f t="shared" si="12"/>
        <v>45616.63185</v>
      </c>
      <c r="P258" s="47" t="b">
        <v>0</v>
      </c>
      <c r="Q258" s="36" t="str">
        <f t="shared" si="19"/>
        <v/>
      </c>
      <c r="R258" s="47" t="b">
        <v>1</v>
      </c>
      <c r="S258" s="36">
        <f t="shared" si="6"/>
        <v>45617.59302</v>
      </c>
      <c r="T258" s="42"/>
    </row>
    <row r="259" ht="22.5" customHeight="1">
      <c r="B259" s="42">
        <f t="shared" si="7"/>
        <v>253</v>
      </c>
      <c r="C259" s="31" t="s">
        <v>448</v>
      </c>
      <c r="D259" s="34" t="str">
        <f t="array" ref="D259">IFNA(_xlfn.XLOOKUP(C259,Table_Tarikan_Warkah[Nomor Sertipikat],Table_Tarikan_Warkah[Nomor Tiket]),"")</f>
        <v>K/26/191124/1</v>
      </c>
      <c r="E259" s="36" t="str">
        <f t="array" ref="E259">IFNA(_xlfn.XLOOKUP(D259,Table_Tarikan_Warkah[Nomor Tiket],Table_Tarikan_Warkah[Tanggal diserahkan kepada Validator]),"")</f>
        <v>19/11/2024 15.00</v>
      </c>
      <c r="F259" s="36" t="str">
        <f t="array" ref="F259">IFNA(_xlfn.XLOOKUP(D259,Table_Tarikan_Warkah[Nomor Tiket],Table_Tarikan_Warkah[Nama Petugas Warkah]),"")</f>
        <v/>
      </c>
      <c r="G259" s="39" t="str">
        <f t="array" ref="G259">IFNA(_xlfn.XLOOKUP(D259,Table_Tarikan_Warkah[Nomor Tiket],Table_Tarikan_Warkah[Jenis Permohonan]),"")</f>
        <v>KEWARISAN</v>
      </c>
      <c r="H259" s="41" t="s">
        <v>20</v>
      </c>
      <c r="I259" s="41" t="s">
        <v>12</v>
      </c>
      <c r="J259" s="36">
        <f t="shared" si="17"/>
        <v>45615.71747</v>
      </c>
      <c r="K259" s="49" t="s">
        <v>197</v>
      </c>
      <c r="L259" s="49" t="s">
        <v>12</v>
      </c>
      <c r="M259" s="36">
        <f t="shared" si="18"/>
        <v>45616.63191</v>
      </c>
      <c r="N259" s="30" t="str">
        <f t="shared" si="3"/>
        <v>SELESAI</v>
      </c>
      <c r="O259" s="45">
        <f t="shared" si="12"/>
        <v>45616.63191</v>
      </c>
      <c r="P259" s="47" t="b">
        <v>0</v>
      </c>
      <c r="Q259" s="36" t="str">
        <f t="shared" si="19"/>
        <v/>
      </c>
      <c r="R259" s="47" t="b">
        <v>1</v>
      </c>
      <c r="S259" s="36">
        <f t="shared" si="6"/>
        <v>45617.59306</v>
      </c>
      <c r="T259" s="42"/>
    </row>
    <row r="260" ht="22.5" customHeight="1">
      <c r="B260" s="42">
        <f t="shared" si="7"/>
        <v>254</v>
      </c>
      <c r="C260" s="31" t="s">
        <v>449</v>
      </c>
      <c r="D260" s="34" t="str">
        <f t="array" ref="D260">IFNA(_xlfn.XLOOKUP(C260,Table_Tarikan_Warkah[Nomor Sertipikat],Table_Tarikan_Warkah[Nomor Tiket]),"")</f>
        <v>K/23/181124/1</v>
      </c>
      <c r="E260" s="36" t="str">
        <f t="array" ref="E260">IFNA(_xlfn.XLOOKUP(D260,Table_Tarikan_Warkah[Nomor Tiket],Table_Tarikan_Warkah[Tanggal diserahkan kepada Validator]),"")</f>
        <v>19/11/2024 11.08</v>
      </c>
      <c r="F260" s="36" t="str">
        <f t="array" ref="F260">IFNA(_xlfn.XLOOKUP(D260,Table_Tarikan_Warkah[Nomor Tiket],Table_Tarikan_Warkah[Nama Petugas Warkah]),"")</f>
        <v>David</v>
      </c>
      <c r="G260" s="39" t="str">
        <f t="array" ref="G260">IFNA(_xlfn.XLOOKUP(D260,Table_Tarikan_Warkah[Nomor Tiket],Table_Tarikan_Warkah[Jenis Permohonan]),"")</f>
        <v>BN JUAL BELI</v>
      </c>
      <c r="H260" s="41" t="s">
        <v>20</v>
      </c>
      <c r="I260" s="41" t="s">
        <v>12</v>
      </c>
      <c r="J260" s="36">
        <f t="shared" si="17"/>
        <v>45616.68352</v>
      </c>
      <c r="K260" s="56" t="s">
        <v>197</v>
      </c>
      <c r="L260" s="57" t="s">
        <v>12</v>
      </c>
      <c r="M260" s="36">
        <f t="shared" si="18"/>
        <v>45617.59231</v>
      </c>
      <c r="N260" s="30" t="str">
        <f t="shared" si="3"/>
        <v>SELESAI</v>
      </c>
      <c r="O260" s="45">
        <f t="shared" si="12"/>
        <v>45617.59231</v>
      </c>
      <c r="P260" s="47" t="b">
        <v>0</v>
      </c>
      <c r="Q260" s="36" t="str">
        <f t="shared" si="19"/>
        <v/>
      </c>
      <c r="R260" s="47" t="b">
        <v>1</v>
      </c>
      <c r="S260" s="36">
        <f t="shared" si="6"/>
        <v>45617.59321</v>
      </c>
      <c r="T260" s="42"/>
    </row>
    <row r="261" ht="22.5" customHeight="1">
      <c r="B261" s="42">
        <f t="shared" si="7"/>
        <v>255</v>
      </c>
      <c r="C261" s="31" t="s">
        <v>450</v>
      </c>
      <c r="D261" s="34" t="str">
        <f t="array" ref="D261">IFNA(_xlfn.XLOOKUP(C261,Table_Tarikan_Warkah[Nomor Sertipikat],Table_Tarikan_Warkah[Nomor Tiket]),"")</f>
        <v>K/24/181124/2</v>
      </c>
      <c r="E261" s="36" t="str">
        <f t="array" ref="E261">IFNA(_xlfn.XLOOKUP(D261,Table_Tarikan_Warkah[Nomor Tiket],Table_Tarikan_Warkah[Tanggal diserahkan kepada Validator]),"")</f>
        <v>19/11/2024 11.08</v>
      </c>
      <c r="F261" s="36" t="str">
        <f t="array" ref="F261">IFNA(_xlfn.XLOOKUP(D261,Table_Tarikan_Warkah[Nomor Tiket],Table_Tarikan_Warkah[Nama Petugas Warkah]),"")</f>
        <v>David</v>
      </c>
      <c r="G261" s="39" t="str">
        <f t="array" ref="G261">IFNA(_xlfn.XLOOKUP(D261,Table_Tarikan_Warkah[Nomor Tiket],Table_Tarikan_Warkah[Jenis Permohonan]),"")</f>
        <v>BN JUAL BELI</v>
      </c>
      <c r="H261" s="41" t="s">
        <v>20</v>
      </c>
      <c r="I261" s="41" t="s">
        <v>12</v>
      </c>
      <c r="J261" s="36">
        <f t="shared" si="17"/>
        <v>45616.68365</v>
      </c>
      <c r="K261" s="58" t="s">
        <v>197</v>
      </c>
      <c r="L261" s="59" t="s">
        <v>12</v>
      </c>
      <c r="M261" s="36">
        <f t="shared" si="18"/>
        <v>45617.59231</v>
      </c>
      <c r="N261" s="30" t="str">
        <f t="shared" si="3"/>
        <v>SELESAI</v>
      </c>
      <c r="O261" s="45">
        <f t="shared" si="12"/>
        <v>45617.59231</v>
      </c>
      <c r="P261" s="47" t="b">
        <v>0</v>
      </c>
      <c r="Q261" s="36" t="str">
        <f t="shared" si="19"/>
        <v/>
      </c>
      <c r="R261" s="47" t="b">
        <v>1</v>
      </c>
      <c r="S261" s="36">
        <f t="shared" si="6"/>
        <v>45617.59321</v>
      </c>
      <c r="T261" s="42"/>
    </row>
    <row r="262" ht="22.5" customHeight="1">
      <c r="B262" s="42">
        <f t="shared" si="7"/>
        <v>256</v>
      </c>
      <c r="C262" s="31" t="s">
        <v>451</v>
      </c>
      <c r="D262" s="34" t="str">
        <f t="array" ref="D262">IFNA(_xlfn.XLOOKUP(C262,Table_Tarikan_Warkah[Nomor Sertipikat],Table_Tarikan_Warkah[Nomor Tiket]),"")</f>
        <v>L/38/181124/1</v>
      </c>
      <c r="E262" s="36" t="str">
        <f t="array" ref="E262">IFNA(_xlfn.XLOOKUP(D262,Table_Tarikan_Warkah[Nomor Tiket],Table_Tarikan_Warkah[Tanggal diserahkan kepada Validator]),"")</f>
        <v>19/11/2024 11.10</v>
      </c>
      <c r="F262" s="36" t="str">
        <f t="array" ref="F262">IFNA(_xlfn.XLOOKUP(D262,Table_Tarikan_Warkah[Nomor Tiket],Table_Tarikan_Warkah[Nama Petugas Warkah]),"")</f>
        <v>David</v>
      </c>
      <c r="G262" s="39" t="str">
        <f t="array" ref="G262">IFNA(_xlfn.XLOOKUP(D262,Table_Tarikan_Warkah[Nomor Tiket],Table_Tarikan_Warkah[Jenis Permohonan]),"")</f>
        <v>SUPRIYANTO</v>
      </c>
      <c r="H262" s="41" t="s">
        <v>20</v>
      </c>
      <c r="I262" s="41" t="s">
        <v>12</v>
      </c>
      <c r="J262" s="36">
        <f t="shared" si="17"/>
        <v>45616.68375</v>
      </c>
      <c r="K262" s="56" t="s">
        <v>197</v>
      </c>
      <c r="L262" s="57" t="s">
        <v>12</v>
      </c>
      <c r="M262" s="36">
        <f t="shared" si="18"/>
        <v>45617.59231</v>
      </c>
      <c r="N262" s="30" t="str">
        <f t="shared" si="3"/>
        <v>SELESAI</v>
      </c>
      <c r="O262" s="45">
        <f t="shared" si="12"/>
        <v>45617.59231</v>
      </c>
      <c r="P262" s="47" t="b">
        <v>0</v>
      </c>
      <c r="Q262" s="36" t="str">
        <f t="shared" si="19"/>
        <v/>
      </c>
      <c r="R262" s="47" t="b">
        <v>1</v>
      </c>
      <c r="S262" s="36">
        <f t="shared" si="6"/>
        <v>45617.59321</v>
      </c>
      <c r="T262" s="42"/>
    </row>
    <row r="263" ht="22.5" customHeight="1">
      <c r="B263" s="42">
        <f t="shared" si="7"/>
        <v>257</v>
      </c>
      <c r="C263" s="31" t="s">
        <v>452</v>
      </c>
      <c r="D263" s="34" t="str">
        <f t="array" ref="D263">IFNA(_xlfn.XLOOKUP(C263,Table_Tarikan_Warkah[Nomor Sertipikat],Table_Tarikan_Warkah[Nomor Tiket]),"")</f>
        <v>K/14/191124/2</v>
      </c>
      <c r="E263" s="36" t="str">
        <f t="array" ref="E263">IFNA(_xlfn.XLOOKUP(D263,Table_Tarikan_Warkah[Nomor Tiket],Table_Tarikan_Warkah[Tanggal diserahkan kepada Validator]),"")</f>
        <v>20/11/2024 15.12</v>
      </c>
      <c r="F263" s="36" t="str">
        <f t="array" ref="F263">IFNA(_xlfn.XLOOKUP(D263,Table_Tarikan_Warkah[Nomor Tiket],Table_Tarikan_Warkah[Nama Petugas Warkah]),"")</f>
        <v>David</v>
      </c>
      <c r="G263" s="39" t="str">
        <f t="array" ref="G263">IFNA(_xlfn.XLOOKUP(D263,Table_Tarikan_Warkah[Nomor Tiket],Table_Tarikan_Warkah[Jenis Permohonan]),"")</f>
        <v>Roya</v>
      </c>
      <c r="H263" s="41" t="s">
        <v>20</v>
      </c>
      <c r="I263" s="41" t="s">
        <v>12</v>
      </c>
      <c r="J263" s="36">
        <f t="shared" si="17"/>
        <v>45616.68417</v>
      </c>
      <c r="K263" s="58" t="s">
        <v>197</v>
      </c>
      <c r="L263" s="59" t="s">
        <v>12</v>
      </c>
      <c r="M263" s="36">
        <f t="shared" si="18"/>
        <v>45617.59234</v>
      </c>
      <c r="N263" s="30" t="str">
        <f t="shared" si="3"/>
        <v>SELESAI</v>
      </c>
      <c r="O263" s="45">
        <f t="shared" si="12"/>
        <v>45617.59234</v>
      </c>
      <c r="P263" s="47" t="b">
        <v>1</v>
      </c>
      <c r="Q263" s="36">
        <f t="shared" si="19"/>
        <v>45635.70106</v>
      </c>
      <c r="R263" s="47" t="b">
        <v>1</v>
      </c>
      <c r="S263" s="36">
        <f t="shared" si="6"/>
        <v>45617.59321</v>
      </c>
      <c r="T263" s="42"/>
    </row>
    <row r="264" ht="22.5" customHeight="1">
      <c r="B264" s="42">
        <f t="shared" si="7"/>
        <v>258</v>
      </c>
      <c r="C264" s="31" t="s">
        <v>453</v>
      </c>
      <c r="D264" s="34" t="str">
        <f t="array" ref="D264">IFNA(_xlfn.XLOOKUP(C264,Table_Tarikan_Warkah[Nomor Sertipikat],Table_Tarikan_Warkah[Nomor Tiket]),"")</f>
        <v>L/28/181124/1</v>
      </c>
      <c r="E264" s="36" t="str">
        <f t="array" ref="E264">IFNA(_xlfn.XLOOKUP(D264,Table_Tarikan_Warkah[Nomor Tiket],Table_Tarikan_Warkah[Tanggal diserahkan kepada Validator]),"")</f>
        <v>19/11/2024 11.09</v>
      </c>
      <c r="F264" s="36" t="str">
        <f t="array" ref="F264">IFNA(_xlfn.XLOOKUP(D264,Table_Tarikan_Warkah[Nomor Tiket],Table_Tarikan_Warkah[Nama Petugas Warkah]),"")</f>
        <v>David</v>
      </c>
      <c r="G264" s="39" t="str">
        <f t="array" ref="G264">IFNA(_xlfn.XLOOKUP(D264,Table_Tarikan_Warkah[Nomor Tiket],Table_Tarikan_Warkah[Jenis Permohonan]),"")</f>
        <v>PH</v>
      </c>
      <c r="H264" s="41" t="s">
        <v>20</v>
      </c>
      <c r="I264" s="41" t="s">
        <v>12</v>
      </c>
      <c r="J264" s="36">
        <f t="shared" si="17"/>
        <v>45616.68461</v>
      </c>
      <c r="K264" s="58" t="s">
        <v>197</v>
      </c>
      <c r="L264" s="59" t="s">
        <v>12</v>
      </c>
      <c r="M264" s="36">
        <f t="shared" si="18"/>
        <v>45617.59234</v>
      </c>
      <c r="N264" s="30" t="str">
        <f t="shared" si="3"/>
        <v>SELESAI</v>
      </c>
      <c r="O264" s="45">
        <f t="shared" si="12"/>
        <v>45617.59234</v>
      </c>
      <c r="P264" s="47" t="b">
        <v>0</v>
      </c>
      <c r="Q264" s="36" t="str">
        <f t="shared" si="19"/>
        <v/>
      </c>
      <c r="R264" s="47" t="b">
        <v>1</v>
      </c>
      <c r="S264" s="36">
        <f t="shared" si="6"/>
        <v>45617.59323</v>
      </c>
      <c r="T264" s="42"/>
    </row>
    <row r="265" ht="22.5" customHeight="1">
      <c r="B265" s="42">
        <f t="shared" si="7"/>
        <v>259</v>
      </c>
      <c r="C265" s="31" t="s">
        <v>454</v>
      </c>
      <c r="D265" s="34" t="str">
        <f t="array" ref="D265">IFNA(_xlfn.XLOOKUP(C265,Table_Tarikan_Warkah[Nomor Sertipikat],Table_Tarikan_Warkah[Nomor Tiket]),"")</f>
        <v>L/4/161124/1</v>
      </c>
      <c r="E265" s="36" t="str">
        <f t="array" ref="E265">IFNA(_xlfn.XLOOKUP(D265,Table_Tarikan_Warkah[Nomor Tiket],Table_Tarikan_Warkah[Tanggal diserahkan kepada Validator]),"")</f>
        <v>19/11/2024 10.56</v>
      </c>
      <c r="F265" s="36" t="str">
        <f t="array" ref="F265">IFNA(_xlfn.XLOOKUP(D265,Table_Tarikan_Warkah[Nomor Tiket],Table_Tarikan_Warkah[Nama Petugas Warkah]),"")</f>
        <v>Berry</v>
      </c>
      <c r="G265" s="39" t="str">
        <f t="array" ref="G265">IFNA(_xlfn.XLOOKUP(D265,Table_Tarikan_Warkah[Nomor Tiket],Table_Tarikan_Warkah[Jenis Permohonan]),"")</f>
        <v>ROYA</v>
      </c>
      <c r="H265" s="41" t="s">
        <v>20</v>
      </c>
      <c r="I265" s="41" t="s">
        <v>12</v>
      </c>
      <c r="J265" s="36">
        <f t="shared" si="17"/>
        <v>45616.68469</v>
      </c>
      <c r="K265" s="49" t="s">
        <v>197</v>
      </c>
      <c r="L265" s="49" t="s">
        <v>12</v>
      </c>
      <c r="M265" s="36">
        <f t="shared" si="18"/>
        <v>45617.59241</v>
      </c>
      <c r="N265" s="30" t="str">
        <f t="shared" si="3"/>
        <v>SELESAI</v>
      </c>
      <c r="O265" s="45">
        <f t="shared" si="12"/>
        <v>45617.59241</v>
      </c>
      <c r="P265" s="47" t="b">
        <v>0</v>
      </c>
      <c r="Q265" s="36" t="str">
        <f t="shared" si="19"/>
        <v/>
      </c>
      <c r="R265" s="47" t="b">
        <v>1</v>
      </c>
      <c r="S265" s="36">
        <f t="shared" si="6"/>
        <v>45617.59324</v>
      </c>
      <c r="T265" s="42"/>
    </row>
    <row r="266" ht="22.5" customHeight="1">
      <c r="B266" s="42">
        <f t="shared" si="7"/>
        <v>260</v>
      </c>
      <c r="C266" s="31" t="s">
        <v>455</v>
      </c>
      <c r="D266" s="34" t="str">
        <f t="array" ref="D266">IFNA(_xlfn.XLOOKUP(C266,Table_Tarikan_Warkah[Nomor Sertipikat],Table_Tarikan_Warkah[Nomor Tiket]),"")</f>
        <v>K/35/131124/2</v>
      </c>
      <c r="E266" s="36" t="str">
        <f t="array" ref="E266">IFNA(_xlfn.XLOOKUP(D266,Table_Tarikan_Warkah[Nomor Tiket],Table_Tarikan_Warkah[Tanggal diserahkan kepada Validator]),"")</f>
        <v/>
      </c>
      <c r="F266" s="36" t="str">
        <f t="array" ref="F266">IFNA(_xlfn.XLOOKUP(D266,Table_Tarikan_Warkah[Nomor Tiket],Table_Tarikan_Warkah[Nama Petugas Warkah]),"")</f>
        <v>David</v>
      </c>
      <c r="G266" s="39" t="str">
        <f t="array" ref="G266">IFNA(_xlfn.XLOOKUP(D266,Table_Tarikan_Warkah[Nomor Tiket],Table_Tarikan_Warkah[Jenis Permohonan]),"")</f>
        <v>BN HIBAH</v>
      </c>
      <c r="H266" s="41" t="s">
        <v>11</v>
      </c>
      <c r="I266" s="41" t="s">
        <v>23</v>
      </c>
      <c r="J266" s="36">
        <f t="shared" si="17"/>
        <v>45617.35878</v>
      </c>
      <c r="K266" s="49" t="s">
        <v>26</v>
      </c>
      <c r="L266" s="49" t="s">
        <v>23</v>
      </c>
      <c r="M266" s="36">
        <f t="shared" si="18"/>
        <v>45617.59188</v>
      </c>
      <c r="N266" s="30" t="str">
        <f t="shared" si="3"/>
        <v>Selesai</v>
      </c>
      <c r="O266" s="45">
        <f t="shared" si="12"/>
        <v>45617.59188</v>
      </c>
      <c r="P266" s="47" t="b">
        <v>1</v>
      </c>
      <c r="Q266" s="36">
        <f t="shared" si="19"/>
        <v>45617.59333</v>
      </c>
      <c r="R266" s="47" t="b">
        <v>0</v>
      </c>
      <c r="S266" s="42" t="str">
        <f t="shared" si="6"/>
        <v/>
      </c>
      <c r="T266" s="42"/>
    </row>
    <row r="267" ht="22.5" customHeight="1">
      <c r="B267" s="42">
        <f t="shared" si="7"/>
        <v>261</v>
      </c>
      <c r="C267" s="31" t="s">
        <v>456</v>
      </c>
      <c r="D267" s="34" t="str">
        <f t="array" ref="D267">IFNA(_xlfn.XLOOKUP(C267,Table_Tarikan_Warkah[Nomor Sertipikat],Table_Tarikan_Warkah[Nomor Tiket]),"")</f>
        <v>K/9/141124/1</v>
      </c>
      <c r="E267" s="36" t="str">
        <f t="array" ref="E267">IFNA(_xlfn.XLOOKUP(D267,Table_Tarikan_Warkah[Nomor Tiket],Table_Tarikan_Warkah[Tanggal diserahkan kepada Validator]),"")</f>
        <v/>
      </c>
      <c r="F267" s="36" t="str">
        <f t="array" ref="F267">IFNA(_xlfn.XLOOKUP(D267,Table_Tarikan_Warkah[Nomor Tiket],Table_Tarikan_Warkah[Nama Petugas Warkah]),"")</f>
        <v>David</v>
      </c>
      <c r="G267" s="39" t="str">
        <f t="array" ref="G267">IFNA(_xlfn.XLOOKUP(D267,Table_Tarikan_Warkah[Nomor Tiket],Table_Tarikan_Warkah[Jenis Permohonan]),"")</f>
        <v>BN JUAL BELI</v>
      </c>
      <c r="H267" s="41" t="s">
        <v>11</v>
      </c>
      <c r="I267" s="41" t="s">
        <v>23</v>
      </c>
      <c r="J267" s="36">
        <f t="shared" si="17"/>
        <v>45617.35882</v>
      </c>
      <c r="K267" s="49" t="s">
        <v>26</v>
      </c>
      <c r="L267" s="49" t="s">
        <v>23</v>
      </c>
      <c r="M267" s="36">
        <f t="shared" si="18"/>
        <v>45617.59188</v>
      </c>
      <c r="N267" s="30" t="str">
        <f t="shared" si="3"/>
        <v>Selesai</v>
      </c>
      <c r="O267" s="45">
        <f t="shared" si="12"/>
        <v>45617.59188</v>
      </c>
      <c r="P267" s="47" t="b">
        <v>1</v>
      </c>
      <c r="Q267" s="36">
        <f t="shared" si="19"/>
        <v>45617.59333</v>
      </c>
      <c r="R267" s="47" t="b">
        <v>0</v>
      </c>
      <c r="S267" s="42" t="str">
        <f t="shared" si="6"/>
        <v/>
      </c>
      <c r="T267" s="42"/>
    </row>
    <row r="268" ht="22.5" customHeight="1">
      <c r="B268" s="42">
        <f t="shared" si="7"/>
        <v>262</v>
      </c>
      <c r="C268" s="31" t="s">
        <v>457</v>
      </c>
      <c r="D268" s="34" t="str">
        <f t="array" ref="D268">IFNA(_xlfn.XLOOKUP(C268,Table_Tarikan_Warkah[Nomor Sertipikat],Table_Tarikan_Warkah[Nomor Tiket]),"")</f>
        <v>K/1/281024/1</v>
      </c>
      <c r="E268" s="36" t="str">
        <f t="array" ref="E268">IFNA(_xlfn.XLOOKUP(D268,Table_Tarikan_Warkah[Nomor Tiket],Table_Tarikan_Warkah[Tanggal diserahkan kepada Validator]),"")</f>
        <v/>
      </c>
      <c r="F268" s="36" t="str">
        <f t="array" ref="F268">IFNA(_xlfn.XLOOKUP(D268,Table_Tarikan_Warkah[Nomor Tiket],Table_Tarikan_Warkah[Nama Petugas Warkah]),"")</f>
        <v>David</v>
      </c>
      <c r="G268" s="39" t="str">
        <f t="array" ref="G268">IFNA(_xlfn.XLOOKUP(D268,Table_Tarikan_Warkah[Nomor Tiket],Table_Tarikan_Warkah[Jenis Permohonan]),"")</f>
        <v>BN JUAL BELI</v>
      </c>
      <c r="H268" s="41" t="s">
        <v>11</v>
      </c>
      <c r="I268" s="41" t="s">
        <v>23</v>
      </c>
      <c r="J268" s="36">
        <f t="shared" si="17"/>
        <v>45617.35882</v>
      </c>
      <c r="K268" s="49" t="s">
        <v>26</v>
      </c>
      <c r="L268" s="49" t="s">
        <v>23</v>
      </c>
      <c r="M268" s="36">
        <f t="shared" si="18"/>
        <v>45617.5919</v>
      </c>
      <c r="N268" s="30" t="str">
        <f t="shared" si="3"/>
        <v>Selesai</v>
      </c>
      <c r="O268" s="45">
        <f t="shared" si="12"/>
        <v>45617.5919</v>
      </c>
      <c r="P268" s="47" t="b">
        <v>1</v>
      </c>
      <c r="Q268" s="36">
        <f t="shared" si="19"/>
        <v>45617.59333</v>
      </c>
      <c r="R268" s="47" t="b">
        <v>0</v>
      </c>
      <c r="S268" s="42" t="str">
        <f t="shared" si="6"/>
        <v/>
      </c>
      <c r="T268" s="42"/>
    </row>
    <row r="269" ht="22.5" customHeight="1">
      <c r="B269" s="42">
        <f t="shared" si="7"/>
        <v>263</v>
      </c>
      <c r="C269" s="31" t="s">
        <v>458</v>
      </c>
      <c r="D269" s="34" t="str">
        <f t="array" ref="D269">IFNA(_xlfn.XLOOKUP(C269,Table_Tarikan_Warkah[Nomor Sertipikat],Table_Tarikan_Warkah[Nomor Tiket]),"")</f>
        <v>K/39/111124/1</v>
      </c>
      <c r="E269" s="36" t="str">
        <f t="array" ref="E269">IFNA(_xlfn.XLOOKUP(D269,Table_Tarikan_Warkah[Nomor Tiket],Table_Tarikan_Warkah[Tanggal diserahkan kepada Validator]),"")</f>
        <v>28/11/2024 13.50</v>
      </c>
      <c r="F269" s="36" t="str">
        <f t="array" ref="F269">IFNA(_xlfn.XLOOKUP(D269,Table_Tarikan_Warkah[Nomor Tiket],Table_Tarikan_Warkah[Nama Petugas Warkah]),"")</f>
        <v>David</v>
      </c>
      <c r="G269" s="39" t="str">
        <f t="array" ref="G269">IFNA(_xlfn.XLOOKUP(D269,Table_Tarikan_Warkah[Nomor Tiket],Table_Tarikan_Warkah[Jenis Permohonan]),"")</f>
        <v>BN JUAL BELI</v>
      </c>
      <c r="H269" s="41" t="s">
        <v>11</v>
      </c>
      <c r="I269" s="41" t="s">
        <v>23</v>
      </c>
      <c r="J269" s="36">
        <f t="shared" si="17"/>
        <v>45617.35882</v>
      </c>
      <c r="K269" s="49" t="s">
        <v>26</v>
      </c>
      <c r="L269" s="49" t="s">
        <v>23</v>
      </c>
      <c r="M269" s="36">
        <f t="shared" si="18"/>
        <v>45617.59196</v>
      </c>
      <c r="N269" s="30" t="str">
        <f t="shared" si="3"/>
        <v>Selesai</v>
      </c>
      <c r="O269" s="45">
        <f t="shared" si="12"/>
        <v>45617.59196</v>
      </c>
      <c r="P269" s="47" t="b">
        <v>1</v>
      </c>
      <c r="Q269" s="36">
        <f t="shared" si="19"/>
        <v>45617.59336</v>
      </c>
      <c r="R269" s="47" t="b">
        <v>0</v>
      </c>
      <c r="S269" s="42" t="str">
        <f t="shared" si="6"/>
        <v/>
      </c>
      <c r="T269" s="42"/>
    </row>
    <row r="270" ht="22.5" customHeight="1">
      <c r="B270" s="42">
        <f t="shared" si="7"/>
        <v>264</v>
      </c>
      <c r="C270" s="31" t="s">
        <v>440</v>
      </c>
      <c r="D270" s="34" t="str">
        <f t="array" ref="D270">IFNA(_xlfn.XLOOKUP(C270,Table_Tarikan_Warkah[Nomor Sertipikat],Table_Tarikan_Warkah[Nomor Tiket]),"")</f>
        <v>K/37/131124/1</v>
      </c>
      <c r="E270" s="36" t="str">
        <f t="array" ref="E270">IFNA(_xlfn.XLOOKUP(D270,Table_Tarikan_Warkah[Nomor Tiket],Table_Tarikan_Warkah[Tanggal diserahkan kepada Validator]),"")</f>
        <v/>
      </c>
      <c r="F270" s="36" t="str">
        <f t="array" ref="F270">IFNA(_xlfn.XLOOKUP(D270,Table_Tarikan_Warkah[Nomor Tiket],Table_Tarikan_Warkah[Nama Petugas Warkah]),"")</f>
        <v>David</v>
      </c>
      <c r="G270" s="39" t="str">
        <f t="array" ref="G270">IFNA(_xlfn.XLOOKUP(D270,Table_Tarikan_Warkah[Nomor Tiket],Table_Tarikan_Warkah[Jenis Permohonan]),"")</f>
        <v>BN JUAL BELI</v>
      </c>
      <c r="H270" s="41" t="s">
        <v>11</v>
      </c>
      <c r="I270" s="41" t="s">
        <v>23</v>
      </c>
      <c r="J270" s="36">
        <f t="shared" si="17"/>
        <v>45617.35882</v>
      </c>
      <c r="K270" s="49" t="s">
        <v>26</v>
      </c>
      <c r="L270" s="49" t="s">
        <v>23</v>
      </c>
      <c r="M270" s="36">
        <f t="shared" si="18"/>
        <v>45617.59196</v>
      </c>
      <c r="N270" s="30" t="str">
        <f t="shared" si="3"/>
        <v>Selesai</v>
      </c>
      <c r="O270" s="45">
        <f t="shared" si="12"/>
        <v>45617.59196</v>
      </c>
      <c r="P270" s="47" t="b">
        <v>1</v>
      </c>
      <c r="Q270" s="36">
        <f t="shared" si="19"/>
        <v>45617.59336</v>
      </c>
      <c r="R270" s="47" t="b">
        <v>0</v>
      </c>
      <c r="S270" s="42" t="str">
        <f t="shared" si="6"/>
        <v/>
      </c>
      <c r="T270" s="42"/>
    </row>
    <row r="271" ht="22.5" customHeight="1">
      <c r="B271" s="42">
        <f t="shared" si="7"/>
        <v>265</v>
      </c>
      <c r="C271" s="31" t="s">
        <v>416</v>
      </c>
      <c r="D271" s="34" t="str">
        <f t="array" ref="D271">IFNA(_xlfn.XLOOKUP(C271,Table_Tarikan_Warkah[Nomor Sertipikat],Table_Tarikan_Warkah[Nomor Tiket]),"")</f>
        <v>L/6/281024/1</v>
      </c>
      <c r="E271" s="36" t="str">
        <f t="array" ref="E271">IFNA(_xlfn.XLOOKUP(D271,Table_Tarikan_Warkah[Nomor Tiket],Table_Tarikan_Warkah[Tanggal diserahkan kepada Validator]),"")</f>
        <v>29/10/2024 09.49</v>
      </c>
      <c r="F271" s="36" t="str">
        <f t="array" ref="F271">IFNA(_xlfn.XLOOKUP(D271,Table_Tarikan_Warkah[Nomor Tiket],Table_Tarikan_Warkah[Nama Petugas Warkah]),"")</f>
        <v>David</v>
      </c>
      <c r="G271" s="39" t="str">
        <f t="array" ref="G271">IFNA(_xlfn.XLOOKUP(D271,Table_Tarikan_Warkah[Nomor Tiket],Table_Tarikan_Warkah[Jenis Permohonan]),"")</f>
        <v>BN LELANG</v>
      </c>
      <c r="H271" s="41" t="s">
        <v>11</v>
      </c>
      <c r="I271" s="41" t="s">
        <v>23</v>
      </c>
      <c r="J271" s="36">
        <f t="shared" si="17"/>
        <v>45617.35882</v>
      </c>
      <c r="K271" s="49" t="s">
        <v>26</v>
      </c>
      <c r="L271" s="49" t="s">
        <v>23</v>
      </c>
      <c r="M271" s="36">
        <f t="shared" si="18"/>
        <v>45617.59202</v>
      </c>
      <c r="N271" s="30" t="str">
        <f t="shared" si="3"/>
        <v>Selesai</v>
      </c>
      <c r="O271" s="45">
        <f t="shared" si="12"/>
        <v>45617.59202</v>
      </c>
      <c r="P271" s="47" t="b">
        <v>1</v>
      </c>
      <c r="Q271" s="36">
        <f t="shared" si="19"/>
        <v>45617.59338</v>
      </c>
      <c r="R271" s="47" t="b">
        <v>0</v>
      </c>
      <c r="S271" s="42" t="str">
        <f t="shared" si="6"/>
        <v/>
      </c>
      <c r="T271" s="42"/>
    </row>
    <row r="272" ht="22.5" customHeight="1">
      <c r="B272" s="42">
        <f t="shared" si="7"/>
        <v>266</v>
      </c>
      <c r="C272" s="31" t="s">
        <v>459</v>
      </c>
      <c r="D272" s="34" t="str">
        <f t="array" ref="D272">IFNA(_xlfn.XLOOKUP(C272,Table_Tarikan_Warkah[Nomor Sertipikat],Table_Tarikan_Warkah[Nomor Tiket]),"")</f>
        <v>L/29/121124/1</v>
      </c>
      <c r="E272" s="36" t="str">
        <f t="array" ref="E272">IFNA(_xlfn.XLOOKUP(D272,Table_Tarikan_Warkah[Nomor Tiket],Table_Tarikan_Warkah[Tanggal diserahkan kepada Validator]),"")</f>
        <v>20/11/2024 15.12</v>
      </c>
      <c r="F272" s="36" t="str">
        <f t="array" ref="F272">IFNA(_xlfn.XLOOKUP(D272,Table_Tarikan_Warkah[Nomor Tiket],Table_Tarikan_Warkah[Nama Petugas Warkah]),"")</f>
        <v>Berry</v>
      </c>
      <c r="G272" s="39" t="str">
        <f t="array" ref="G272">IFNA(_xlfn.XLOOKUP(D272,Table_Tarikan_Warkah[Nomor Tiket],Table_Tarikan_Warkah[Jenis Permohonan]),"")</f>
        <v>ROYA</v>
      </c>
      <c r="H272" s="41" t="s">
        <v>20</v>
      </c>
      <c r="I272" s="41" t="s">
        <v>12</v>
      </c>
      <c r="J272" s="36">
        <f t="shared" si="17"/>
        <v>45617.46122</v>
      </c>
      <c r="K272" s="49" t="s">
        <v>197</v>
      </c>
      <c r="L272" s="49" t="s">
        <v>12</v>
      </c>
      <c r="M272" s="36">
        <f t="shared" si="18"/>
        <v>45617.5921</v>
      </c>
      <c r="N272" s="30" t="str">
        <f t="shared" si="3"/>
        <v>SELESAI</v>
      </c>
      <c r="O272" s="45">
        <f t="shared" si="12"/>
        <v>45617.5921</v>
      </c>
      <c r="P272" s="47" t="b">
        <v>0</v>
      </c>
      <c r="Q272" s="36" t="str">
        <f t="shared" si="19"/>
        <v/>
      </c>
      <c r="R272" s="47" t="b">
        <v>1</v>
      </c>
      <c r="S272" s="36">
        <f t="shared" si="6"/>
        <v>45617.59342</v>
      </c>
      <c r="T272" s="42"/>
    </row>
    <row r="273" ht="22.5" customHeight="1">
      <c r="B273" s="42">
        <f t="shared" si="7"/>
        <v>267</v>
      </c>
      <c r="C273" s="31" t="s">
        <v>460</v>
      </c>
      <c r="D273" s="34" t="str">
        <f t="array" ref="D273">IFNA(_xlfn.XLOOKUP(C273,Table_Tarikan_Warkah[Nomor Sertipikat],Table_Tarikan_Warkah[Nomor Tiket]),"")</f>
        <v>L/37/111124/1</v>
      </c>
      <c r="E273" s="36" t="str">
        <f t="array" ref="E273">IFNA(_xlfn.XLOOKUP(D273,Table_Tarikan_Warkah[Nomor Tiket],Table_Tarikan_Warkah[Tanggal diserahkan kepada Validator]),"")</f>
        <v>20/11/2024 11.17</v>
      </c>
      <c r="F273" s="36" t="str">
        <f t="array" ref="F273">IFNA(_xlfn.XLOOKUP(D273,Table_Tarikan_Warkah[Nomor Tiket],Table_Tarikan_Warkah[Nama Petugas Warkah]),"")</f>
        <v>David</v>
      </c>
      <c r="G273" s="39" t="str">
        <f t="array" ref="G273">IFNA(_xlfn.XLOOKUP(D273,Table_Tarikan_Warkah[Nomor Tiket],Table_Tarikan_Warkah[Jenis Permohonan]),"")</f>
        <v>ROYA</v>
      </c>
      <c r="H273" s="41" t="s">
        <v>20</v>
      </c>
      <c r="I273" s="41" t="s">
        <v>12</v>
      </c>
      <c r="J273" s="36">
        <f t="shared" si="17"/>
        <v>45617.46134</v>
      </c>
      <c r="K273" s="49" t="s">
        <v>197</v>
      </c>
      <c r="L273" s="49" t="s">
        <v>12</v>
      </c>
      <c r="M273" s="36">
        <f t="shared" si="18"/>
        <v>45617.5921</v>
      </c>
      <c r="N273" s="30" t="str">
        <f t="shared" si="3"/>
        <v>SELESAI</v>
      </c>
      <c r="O273" s="45">
        <f t="shared" si="12"/>
        <v>45617.5921</v>
      </c>
      <c r="P273" s="47" t="b">
        <v>0</v>
      </c>
      <c r="Q273" s="36" t="str">
        <f t="shared" si="19"/>
        <v/>
      </c>
      <c r="R273" s="47" t="b">
        <v>1</v>
      </c>
      <c r="S273" s="36">
        <f t="shared" si="6"/>
        <v>45617.59342</v>
      </c>
      <c r="T273" s="42"/>
    </row>
    <row r="274" ht="22.5" customHeight="1">
      <c r="B274" s="42">
        <f t="shared" si="7"/>
        <v>268</v>
      </c>
      <c r="C274" s="31" t="s">
        <v>461</v>
      </c>
      <c r="D274" s="34" t="str">
        <f t="array" ref="D274">IFNA(_xlfn.XLOOKUP(C274,Table_Tarikan_Warkah[Nomor Sertipikat],Table_Tarikan_Warkah[Nomor Tiket]),"")</f>
        <v>L/3/111124/1</v>
      </c>
      <c r="E274" s="36" t="str">
        <f t="array" ref="E274">IFNA(_xlfn.XLOOKUP(D274,Table_Tarikan_Warkah[Nomor Tiket],Table_Tarikan_Warkah[Tanggal diserahkan kepada Validator]),"")</f>
        <v>20/11/2024 11.17</v>
      </c>
      <c r="F274" s="36" t="str">
        <f t="array" ref="F274">IFNA(_xlfn.XLOOKUP(D274,Table_Tarikan_Warkah[Nomor Tiket],Table_Tarikan_Warkah[Nama Petugas Warkah]),"")</f>
        <v>Berry</v>
      </c>
      <c r="G274" s="39" t="str">
        <f t="array" ref="G274">IFNA(_xlfn.XLOOKUP(D274,Table_Tarikan_Warkah[Nomor Tiket],Table_Tarikan_Warkah[Jenis Permohonan]),"")</f>
        <v>ROYA</v>
      </c>
      <c r="H274" s="41" t="s">
        <v>20</v>
      </c>
      <c r="I274" s="41" t="s">
        <v>12</v>
      </c>
      <c r="J274" s="36">
        <f t="shared" si="17"/>
        <v>45617.46144</v>
      </c>
      <c r="K274" s="49" t="s">
        <v>197</v>
      </c>
      <c r="L274" s="49" t="s">
        <v>12</v>
      </c>
      <c r="M274" s="36">
        <f t="shared" si="18"/>
        <v>45617.5921</v>
      </c>
      <c r="N274" s="30" t="str">
        <f t="shared" si="3"/>
        <v>SELESAI</v>
      </c>
      <c r="O274" s="45">
        <f t="shared" si="12"/>
        <v>45617.5921</v>
      </c>
      <c r="P274" s="47" t="b">
        <v>0</v>
      </c>
      <c r="Q274" s="36" t="str">
        <f t="shared" si="19"/>
        <v/>
      </c>
      <c r="R274" s="47" t="b">
        <v>1</v>
      </c>
      <c r="S274" s="36">
        <f t="shared" si="6"/>
        <v>45617.59342</v>
      </c>
      <c r="T274" s="42"/>
    </row>
    <row r="275" ht="22.5" customHeight="1">
      <c r="B275" s="42">
        <f t="shared" si="7"/>
        <v>269</v>
      </c>
      <c r="C275" s="31" t="s">
        <v>462</v>
      </c>
      <c r="D275" s="34" t="str">
        <f t="array" ref="D275">IFNA(_xlfn.XLOOKUP(C275,Table_Tarikan_Warkah[Nomor Sertipikat],Table_Tarikan_Warkah[Nomor Tiket]),"")</f>
        <v>K/18/191124/1</v>
      </c>
      <c r="E275" s="36" t="str">
        <f t="array" ref="E275">IFNA(_xlfn.XLOOKUP(D275,Table_Tarikan_Warkah[Nomor Tiket],Table_Tarikan_Warkah[Tanggal diserahkan kepada Validator]),"")</f>
        <v>20/11/2024 15.12</v>
      </c>
      <c r="F275" s="36" t="str">
        <f t="array" ref="F275">IFNA(_xlfn.XLOOKUP(D275,Table_Tarikan_Warkah[Nomor Tiket],Table_Tarikan_Warkah[Nama Petugas Warkah]),"")</f>
        <v>David</v>
      </c>
      <c r="G275" s="39" t="str">
        <f t="array" ref="G275">IFNA(_xlfn.XLOOKUP(D275,Table_Tarikan_Warkah[Nomor Tiket],Table_Tarikan_Warkah[Jenis Permohonan]),"")</f>
        <v>BN JUAL BELI</v>
      </c>
      <c r="H275" s="41" t="s">
        <v>20</v>
      </c>
      <c r="I275" s="41" t="s">
        <v>12</v>
      </c>
      <c r="J275" s="36">
        <f t="shared" si="17"/>
        <v>45617.46166</v>
      </c>
      <c r="K275" s="49" t="s">
        <v>197</v>
      </c>
      <c r="L275" s="49" t="s">
        <v>12</v>
      </c>
      <c r="M275" s="36">
        <f t="shared" si="18"/>
        <v>45617.59212</v>
      </c>
      <c r="N275" s="30" t="str">
        <f t="shared" si="3"/>
        <v>SELESAI</v>
      </c>
      <c r="O275" s="45">
        <f t="shared" si="12"/>
        <v>45617.59212</v>
      </c>
      <c r="P275" s="47" t="b">
        <v>0</v>
      </c>
      <c r="Q275" s="36" t="str">
        <f t="shared" si="19"/>
        <v/>
      </c>
      <c r="R275" s="47" t="b">
        <v>1</v>
      </c>
      <c r="S275" s="36">
        <f t="shared" si="6"/>
        <v>45617.59342</v>
      </c>
      <c r="T275" s="42"/>
    </row>
    <row r="276" ht="22.5" customHeight="1">
      <c r="B276" s="42">
        <f t="shared" si="7"/>
        <v>270</v>
      </c>
      <c r="C276" s="31" t="s">
        <v>463</v>
      </c>
      <c r="D276" s="34" t="str">
        <f t="array" ref="D276">IFNA(_xlfn.XLOOKUP(C276,Table_Tarikan_Warkah[Nomor Sertipikat],Table_Tarikan_Warkah[Nomor Tiket]),"")</f>
        <v>K/13/191124/1</v>
      </c>
      <c r="E276" s="36" t="str">
        <f t="array" ref="E276">IFNA(_xlfn.XLOOKUP(D276,Table_Tarikan_Warkah[Nomor Tiket],Table_Tarikan_Warkah[Tanggal diserahkan kepada Validator]),"")</f>
        <v>20/11/2024 15.12</v>
      </c>
      <c r="F276" s="36" t="str">
        <f t="array" ref="F276">IFNA(_xlfn.XLOOKUP(D276,Table_Tarikan_Warkah[Nomor Tiket],Table_Tarikan_Warkah[Nama Petugas Warkah]),"")</f>
        <v>David</v>
      </c>
      <c r="G276" s="39" t="str">
        <f t="array" ref="G276">IFNA(_xlfn.XLOOKUP(D276,Table_Tarikan_Warkah[Nomor Tiket],Table_Tarikan_Warkah[Jenis Permohonan]),"")</f>
        <v>BN Jual Beli</v>
      </c>
      <c r="H276" s="41" t="s">
        <v>20</v>
      </c>
      <c r="I276" s="41" t="s">
        <v>12</v>
      </c>
      <c r="J276" s="36">
        <f t="shared" si="17"/>
        <v>45617.46175</v>
      </c>
      <c r="K276" s="49" t="s">
        <v>197</v>
      </c>
      <c r="L276" s="49" t="s">
        <v>12</v>
      </c>
      <c r="M276" s="36">
        <f t="shared" si="18"/>
        <v>45617.59212</v>
      </c>
      <c r="N276" s="30" t="str">
        <f t="shared" si="3"/>
        <v>SELESAI</v>
      </c>
      <c r="O276" s="45">
        <f t="shared" si="12"/>
        <v>45617.59212</v>
      </c>
      <c r="P276" s="47" t="b">
        <v>0</v>
      </c>
      <c r="Q276" s="36" t="str">
        <f t="shared" si="19"/>
        <v/>
      </c>
      <c r="R276" s="47" t="b">
        <v>1</v>
      </c>
      <c r="S276" s="36">
        <f t="shared" si="6"/>
        <v>45617.59342</v>
      </c>
      <c r="T276" s="42"/>
    </row>
    <row r="277" ht="22.5" customHeight="1">
      <c r="B277" s="42">
        <f t="shared" si="7"/>
        <v>271</v>
      </c>
      <c r="C277" s="31" t="s">
        <v>464</v>
      </c>
      <c r="D277" s="34" t="str">
        <f t="array" ref="D277">IFNA(_xlfn.XLOOKUP(C277,Table_Tarikan_Warkah[Nomor Sertipikat],Table_Tarikan_Warkah[Nomor Tiket]),"")</f>
        <v>K/40/191124/1</v>
      </c>
      <c r="E277" s="36" t="str">
        <f t="array" ref="E277">IFNA(_xlfn.XLOOKUP(D277,Table_Tarikan_Warkah[Nomor Tiket],Table_Tarikan_Warkah[Tanggal diserahkan kepada Validator]),"")</f>
        <v>20/11/2024 15.12</v>
      </c>
      <c r="F277" s="36" t="str">
        <f t="array" ref="F277">IFNA(_xlfn.XLOOKUP(D277,Table_Tarikan_Warkah[Nomor Tiket],Table_Tarikan_Warkah[Nama Petugas Warkah]),"")</f>
        <v>Berry</v>
      </c>
      <c r="G277" s="39" t="str">
        <f t="array" ref="G277">IFNA(_xlfn.XLOOKUP(D277,Table_Tarikan_Warkah[Nomor Tiket],Table_Tarikan_Warkah[Jenis Permohonan]),"")</f>
        <v>BN Waris</v>
      </c>
      <c r="H277" s="41" t="s">
        <v>11</v>
      </c>
      <c r="I277" s="41" t="s">
        <v>12</v>
      </c>
      <c r="J277" s="36">
        <f t="shared" si="17"/>
        <v>45617.57768</v>
      </c>
      <c r="K277" s="49" t="s">
        <v>197</v>
      </c>
      <c r="L277" s="49" t="s">
        <v>12</v>
      </c>
      <c r="M277" s="36">
        <f t="shared" si="18"/>
        <v>45617.58924</v>
      </c>
      <c r="N277" s="30" t="str">
        <f t="shared" si="3"/>
        <v>SELESAI</v>
      </c>
      <c r="O277" s="45">
        <f t="shared" si="12"/>
        <v>45617.58924</v>
      </c>
      <c r="P277" s="47" t="b">
        <v>0</v>
      </c>
      <c r="Q277" s="36" t="str">
        <f t="shared" si="19"/>
        <v/>
      </c>
      <c r="R277" s="47" t="b">
        <v>1</v>
      </c>
      <c r="S277" s="36">
        <f t="shared" si="6"/>
        <v>45617.59345</v>
      </c>
      <c r="T277" s="42"/>
    </row>
    <row r="278" ht="22.5" customHeight="1">
      <c r="B278" s="42">
        <f t="shared" si="7"/>
        <v>272</v>
      </c>
      <c r="C278" s="31" t="s">
        <v>465</v>
      </c>
      <c r="D278" s="34" t="str">
        <f t="array" ref="D278">IFNA(_xlfn.XLOOKUP(C278,Table_Tarikan_Warkah[Nomor Sertipikat],Table_Tarikan_Warkah[Nomor Tiket]),"")</f>
        <v>K/41/191124/2</v>
      </c>
      <c r="E278" s="36" t="str">
        <f t="array" ref="E278">IFNA(_xlfn.XLOOKUP(D278,Table_Tarikan_Warkah[Nomor Tiket],Table_Tarikan_Warkah[Tanggal diserahkan kepada Validator]),"")</f>
        <v>20/11/2024 15.12</v>
      </c>
      <c r="F278" s="36" t="str">
        <f t="array" ref="F278">IFNA(_xlfn.XLOOKUP(D278,Table_Tarikan_Warkah[Nomor Tiket],Table_Tarikan_Warkah[Nama Petugas Warkah]),"")</f>
        <v>Berry</v>
      </c>
      <c r="G278" s="39" t="str">
        <f t="array" ref="G278">IFNA(_xlfn.XLOOKUP(D278,Table_Tarikan_Warkah[Nomor Tiket],Table_Tarikan_Warkah[Jenis Permohonan]),"")</f>
        <v>Roya</v>
      </c>
      <c r="H278" s="41" t="s">
        <v>11</v>
      </c>
      <c r="I278" s="41" t="s">
        <v>12</v>
      </c>
      <c r="J278" s="36">
        <f t="shared" si="17"/>
        <v>45617.57768</v>
      </c>
      <c r="K278" s="49" t="s">
        <v>197</v>
      </c>
      <c r="L278" s="49" t="s">
        <v>12</v>
      </c>
      <c r="M278" s="36">
        <f t="shared" si="18"/>
        <v>45617.58928</v>
      </c>
      <c r="N278" s="30" t="str">
        <f t="shared" si="3"/>
        <v>SELESAI</v>
      </c>
      <c r="O278" s="45">
        <f t="shared" si="12"/>
        <v>45617.58928</v>
      </c>
      <c r="P278" s="47" t="b">
        <v>0</v>
      </c>
      <c r="Q278" s="36" t="str">
        <f t="shared" si="19"/>
        <v/>
      </c>
      <c r="R278" s="47" t="b">
        <v>1</v>
      </c>
      <c r="S278" s="36">
        <f t="shared" si="6"/>
        <v>45617.59345</v>
      </c>
      <c r="T278" s="42"/>
    </row>
    <row r="279" ht="22.5" customHeight="1">
      <c r="B279" s="42">
        <f t="shared" si="7"/>
        <v>273</v>
      </c>
      <c r="C279" s="31" t="s">
        <v>466</v>
      </c>
      <c r="D279" s="34" t="str">
        <f t="array" ref="D279">IFNA(_xlfn.XLOOKUP(C279,Table_Tarikan_Warkah[Nomor Sertipikat],Table_Tarikan_Warkah[Nomor Tiket]),"")</f>
        <v>L/51/191124/1</v>
      </c>
      <c r="E279" s="36" t="str">
        <f t="array" ref="E279">IFNA(_xlfn.XLOOKUP(D279,Table_Tarikan_Warkah[Nomor Tiket],Table_Tarikan_Warkah[Tanggal diserahkan kepada Validator]),"")</f>
        <v>20/11/2024 15.12</v>
      </c>
      <c r="F279" s="36" t="str">
        <f t="array" ref="F279">IFNA(_xlfn.XLOOKUP(D279,Table_Tarikan_Warkah[Nomor Tiket],Table_Tarikan_Warkah[Nama Petugas Warkah]),"")</f>
        <v>Berry</v>
      </c>
      <c r="G279" s="39" t="str">
        <f t="array" ref="G279">IFNA(_xlfn.XLOOKUP(D279,Table_Tarikan_Warkah[Nomor Tiket],Table_Tarikan_Warkah[Jenis Permohonan]),"")</f>
        <v>ROYA</v>
      </c>
      <c r="H279" s="41" t="s">
        <v>11</v>
      </c>
      <c r="I279" s="41" t="s">
        <v>12</v>
      </c>
      <c r="J279" s="36">
        <f t="shared" si="17"/>
        <v>45617.57768</v>
      </c>
      <c r="K279" s="49" t="s">
        <v>197</v>
      </c>
      <c r="L279" s="49" t="s">
        <v>12</v>
      </c>
      <c r="M279" s="36">
        <f t="shared" si="18"/>
        <v>45617.58928</v>
      </c>
      <c r="N279" s="30" t="str">
        <f t="shared" si="3"/>
        <v>SELESAI</v>
      </c>
      <c r="O279" s="45">
        <f t="shared" si="12"/>
        <v>45617.58928</v>
      </c>
      <c r="P279" s="47" t="b">
        <v>0</v>
      </c>
      <c r="Q279" s="36" t="str">
        <f t="shared" si="19"/>
        <v/>
      </c>
      <c r="R279" s="47" t="b">
        <v>1</v>
      </c>
      <c r="S279" s="36">
        <f t="shared" si="6"/>
        <v>45617.59345</v>
      </c>
      <c r="T279" s="42"/>
    </row>
    <row r="280" ht="22.5" customHeight="1">
      <c r="B280" s="42">
        <f t="shared" si="7"/>
        <v>274</v>
      </c>
      <c r="C280" s="31" t="s">
        <v>467</v>
      </c>
      <c r="D280" s="34" t="str">
        <f t="array" ref="D280">IFNA(_xlfn.XLOOKUP(C280,Table_Tarikan_Warkah[Nomor Sertipikat],Table_Tarikan_Warkah[Nomor Tiket]),"")</f>
        <v>L/52/191124/1</v>
      </c>
      <c r="E280" s="36" t="str">
        <f t="array" ref="E280">IFNA(_xlfn.XLOOKUP(D280,Table_Tarikan_Warkah[Nomor Tiket],Table_Tarikan_Warkah[Tanggal diserahkan kepada Validator]),"")</f>
        <v>20/11/2024 15.12</v>
      </c>
      <c r="F280" s="36" t="str">
        <f t="array" ref="F280">IFNA(_xlfn.XLOOKUP(D280,Table_Tarikan_Warkah[Nomor Tiket],Table_Tarikan_Warkah[Nama Petugas Warkah]),"")</f>
        <v>Berry</v>
      </c>
      <c r="G280" s="39" t="str">
        <f t="array" ref="G280">IFNA(_xlfn.XLOOKUP(D280,Table_Tarikan_Warkah[Nomor Tiket],Table_Tarikan_Warkah[Jenis Permohonan]),"")</f>
        <v>ROYA</v>
      </c>
      <c r="H280" s="41" t="s">
        <v>11</v>
      </c>
      <c r="I280" s="41" t="s">
        <v>12</v>
      </c>
      <c r="J280" s="36">
        <f t="shared" si="17"/>
        <v>45617.57768</v>
      </c>
      <c r="K280" s="49" t="s">
        <v>197</v>
      </c>
      <c r="L280" s="49" t="s">
        <v>12</v>
      </c>
      <c r="M280" s="36">
        <f t="shared" si="18"/>
        <v>45617.58936</v>
      </c>
      <c r="N280" s="30" t="str">
        <f t="shared" si="3"/>
        <v>SELESAI</v>
      </c>
      <c r="O280" s="45">
        <f t="shared" si="12"/>
        <v>45617.58936</v>
      </c>
      <c r="P280" s="47" t="b">
        <v>0</v>
      </c>
      <c r="Q280" s="36" t="str">
        <f t="shared" si="19"/>
        <v/>
      </c>
      <c r="R280" s="47" t="b">
        <v>1</v>
      </c>
      <c r="S280" s="36">
        <f t="shared" si="6"/>
        <v>45617.59345</v>
      </c>
      <c r="T280" s="42"/>
    </row>
    <row r="281" ht="22.5" customHeight="1">
      <c r="B281" s="42">
        <f t="shared" si="7"/>
        <v>275</v>
      </c>
      <c r="C281" s="31" t="s">
        <v>468</v>
      </c>
      <c r="D281" s="34" t="str">
        <f t="array" ref="D281">IFNA(_xlfn.XLOOKUP(C281,Table_Tarikan_Warkah[Nomor Sertipikat],Table_Tarikan_Warkah[Nomor Tiket]),"")</f>
        <v>K/55/191124/1</v>
      </c>
      <c r="E281" s="36" t="str">
        <f t="array" ref="E281">IFNA(_xlfn.XLOOKUP(D281,Table_Tarikan_Warkah[Nomor Tiket],Table_Tarikan_Warkah[Tanggal diserahkan kepada Validator]),"")</f>
        <v>20/11/2024 15.12</v>
      </c>
      <c r="F281" s="36" t="str">
        <f t="array" ref="F281">IFNA(_xlfn.XLOOKUP(D281,Table_Tarikan_Warkah[Nomor Tiket],Table_Tarikan_Warkah[Nama Petugas Warkah]),"")</f>
        <v>Berry</v>
      </c>
      <c r="G281" s="39" t="str">
        <f t="array" ref="G281">IFNA(_xlfn.XLOOKUP(D281,Table_Tarikan_Warkah[Nomor Tiket],Table_Tarikan_Warkah[Jenis Permohonan]),"")</f>
        <v>BN JUAL BELI</v>
      </c>
      <c r="H281" s="41" t="s">
        <v>11</v>
      </c>
      <c r="I281" s="41" t="s">
        <v>12</v>
      </c>
      <c r="J281" s="36">
        <f t="shared" si="17"/>
        <v>45617.57768</v>
      </c>
      <c r="K281" s="49" t="s">
        <v>197</v>
      </c>
      <c r="L281" s="49" t="s">
        <v>12</v>
      </c>
      <c r="M281" s="36">
        <f t="shared" si="18"/>
        <v>45617.58936</v>
      </c>
      <c r="N281" s="30" t="str">
        <f t="shared" si="3"/>
        <v>SELESAI</v>
      </c>
      <c r="O281" s="45">
        <f t="shared" si="12"/>
        <v>45617.58936</v>
      </c>
      <c r="P281" s="47" t="b">
        <v>0</v>
      </c>
      <c r="Q281" s="36" t="str">
        <f t="shared" si="19"/>
        <v/>
      </c>
      <c r="R281" s="47" t="b">
        <v>1</v>
      </c>
      <c r="S281" s="36">
        <f t="shared" si="6"/>
        <v>45617.59345</v>
      </c>
      <c r="T281" s="42"/>
    </row>
    <row r="282" ht="22.5" customHeight="1">
      <c r="B282" s="42">
        <f t="shared" si="7"/>
        <v>276</v>
      </c>
      <c r="C282" s="31" t="s">
        <v>469</v>
      </c>
      <c r="D282" s="34" t="str">
        <f t="array" ref="D282">IFNA(_xlfn.XLOOKUP(C282,Table_Tarikan_Warkah[Nomor Sertipikat],Table_Tarikan_Warkah[Nomor Tiket]),"")</f>
        <v>K/50/191124/2</v>
      </c>
      <c r="E282" s="36" t="str">
        <f t="array" ref="E282">IFNA(_xlfn.XLOOKUP(D282,Table_Tarikan_Warkah[Nomor Tiket],Table_Tarikan_Warkah[Tanggal diserahkan kepada Validator]),"")</f>
        <v>20/11/2024 15.12</v>
      </c>
      <c r="F282" s="36" t="str">
        <f t="array" ref="F282">IFNA(_xlfn.XLOOKUP(D282,Table_Tarikan_Warkah[Nomor Tiket],Table_Tarikan_Warkah[Nama Petugas Warkah]),"")</f>
        <v>Berry</v>
      </c>
      <c r="G282" s="39" t="str">
        <f t="array" ref="G282">IFNA(_xlfn.XLOOKUP(D282,Table_Tarikan_Warkah[Nomor Tiket],Table_Tarikan_Warkah[Jenis Permohonan]),"")</f>
        <v>BN JUAL BELI</v>
      </c>
      <c r="H282" s="41" t="s">
        <v>11</v>
      </c>
      <c r="I282" s="41" t="s">
        <v>12</v>
      </c>
      <c r="J282" s="36">
        <f t="shared" si="17"/>
        <v>45617.57768</v>
      </c>
      <c r="K282" s="49" t="s">
        <v>197</v>
      </c>
      <c r="L282" s="49" t="s">
        <v>12</v>
      </c>
      <c r="M282" s="36">
        <f t="shared" si="18"/>
        <v>45617.58936</v>
      </c>
      <c r="N282" s="30" t="str">
        <f t="shared" si="3"/>
        <v>SELESAI</v>
      </c>
      <c r="O282" s="45">
        <f t="shared" si="12"/>
        <v>45617.58936</v>
      </c>
      <c r="P282" s="47" t="b">
        <v>0</v>
      </c>
      <c r="Q282" s="36" t="str">
        <f t="shared" si="19"/>
        <v/>
      </c>
      <c r="R282" s="47" t="b">
        <v>1</v>
      </c>
      <c r="S282" s="36">
        <f t="shared" si="6"/>
        <v>45617.59345</v>
      </c>
      <c r="T282" s="42"/>
    </row>
    <row r="283" ht="22.5" customHeight="1">
      <c r="B283" s="42">
        <f t="shared" si="7"/>
        <v>277</v>
      </c>
      <c r="C283" s="31" t="s">
        <v>470</v>
      </c>
      <c r="D283" s="42" t="s">
        <v>471</v>
      </c>
      <c r="E283" s="36" t="str">
        <f t="array" ref="E283">IFNA(_xlfn.XLOOKUP(D283,Table_Tarikan_Warkah[Nomor Tiket],Table_Tarikan_Warkah[Tanggal diserahkan kepada Validator]),"")</f>
        <v>20/11/2024 15.12</v>
      </c>
      <c r="F283" s="36" t="str">
        <f t="array" ref="F283">IFNA(_xlfn.XLOOKUP(D283,Table_Tarikan_Warkah[Nomor Tiket],Table_Tarikan_Warkah[Nama Petugas Warkah]),"")</f>
        <v>Berry</v>
      </c>
      <c r="G283" s="39" t="str">
        <f t="array" ref="G283">IFNA(_xlfn.XLOOKUP(D283,Table_Tarikan_Warkah[Nomor Tiket],Table_Tarikan_Warkah[Jenis Permohonan]),"")</f>
        <v>KEWARISAN</v>
      </c>
      <c r="H283" s="41" t="s">
        <v>11</v>
      </c>
      <c r="I283" s="41" t="s">
        <v>12</v>
      </c>
      <c r="J283" s="36">
        <f t="shared" si="17"/>
        <v>45617.57768</v>
      </c>
      <c r="K283" s="49" t="s">
        <v>197</v>
      </c>
      <c r="L283" s="49" t="s">
        <v>12</v>
      </c>
      <c r="M283" s="36">
        <f t="shared" si="18"/>
        <v>45617.58938</v>
      </c>
      <c r="N283" s="30" t="str">
        <f t="shared" si="3"/>
        <v>SELESAI</v>
      </c>
      <c r="O283" s="45">
        <f t="shared" si="12"/>
        <v>45617.58938</v>
      </c>
      <c r="P283" s="47" t="b">
        <v>0</v>
      </c>
      <c r="Q283" s="36" t="str">
        <f t="shared" si="19"/>
        <v/>
      </c>
      <c r="R283" s="47" t="b">
        <v>1</v>
      </c>
      <c r="S283" s="36">
        <f t="shared" si="6"/>
        <v>45617.5935</v>
      </c>
      <c r="T283" s="42"/>
    </row>
    <row r="284" ht="22.5" customHeight="1">
      <c r="B284" s="42">
        <f t="shared" si="7"/>
        <v>278</v>
      </c>
      <c r="C284" s="31" t="s">
        <v>472</v>
      </c>
      <c r="D284" s="42" t="s">
        <v>473</v>
      </c>
      <c r="E284" s="36" t="str">
        <f t="array" ref="E284">IFNA(_xlfn.XLOOKUP(D284,Table_Tarikan_Warkah[Nomor Tiket],Table_Tarikan_Warkah[Tanggal diserahkan kepada Validator]),"")</f>
        <v/>
      </c>
      <c r="F284" s="36" t="str">
        <f t="array" ref="F284">IFNA(_xlfn.XLOOKUP(D284,Table_Tarikan_Warkah[Nomor Tiket],Table_Tarikan_Warkah[Nama Petugas Warkah]),"")</f>
        <v/>
      </c>
      <c r="G284" s="39" t="str">
        <f t="array" ref="G284">IFNA(_xlfn.XLOOKUP(D284,Table_Tarikan_Warkah[Nomor Tiket],Table_Tarikan_Warkah[Jenis Permohonan]),"")</f>
        <v/>
      </c>
      <c r="H284" s="41" t="s">
        <v>11</v>
      </c>
      <c r="I284" s="41" t="s">
        <v>12</v>
      </c>
      <c r="J284" s="36">
        <f t="shared" si="17"/>
        <v>45617.57768</v>
      </c>
      <c r="K284" s="49" t="s">
        <v>197</v>
      </c>
      <c r="L284" s="49" t="s">
        <v>12</v>
      </c>
      <c r="M284" s="36">
        <f t="shared" si="18"/>
        <v>45617.58938</v>
      </c>
      <c r="N284" s="30" t="str">
        <f t="shared" si="3"/>
        <v>SELESAI</v>
      </c>
      <c r="O284" s="45">
        <f t="shared" si="12"/>
        <v>45617.58938</v>
      </c>
      <c r="P284" s="47" t="b">
        <v>1</v>
      </c>
      <c r="Q284" s="36">
        <f t="shared" si="19"/>
        <v>45656.44325</v>
      </c>
      <c r="R284" s="47" t="b">
        <v>1</v>
      </c>
      <c r="S284" s="36">
        <f t="shared" si="6"/>
        <v>45617.5936</v>
      </c>
      <c r="T284" s="42"/>
    </row>
    <row r="285" ht="22.5" customHeight="1">
      <c r="B285" s="42">
        <f t="shared" si="7"/>
        <v>279</v>
      </c>
      <c r="C285" s="31" t="s">
        <v>474</v>
      </c>
      <c r="D285" s="34" t="str">
        <f t="array" ref="D285">IFNA(_xlfn.XLOOKUP(C285,Table_Tarikan_Warkah[Nomor Sertipikat],Table_Tarikan_Warkah[Nomor Tiket]),"")</f>
        <v>K/3/141124/2</v>
      </c>
      <c r="E285" s="36" t="str">
        <f t="array" ref="E285">IFNA(_xlfn.XLOOKUP(D285,Table_Tarikan_Warkah[Nomor Tiket],Table_Tarikan_Warkah[Tanggal diserahkan kepada Validator]),"")</f>
        <v>20/11/2024 15.12</v>
      </c>
      <c r="F285" s="36" t="str">
        <f t="array" ref="F285">IFNA(_xlfn.XLOOKUP(D285,Table_Tarikan_Warkah[Nomor Tiket],Table_Tarikan_Warkah[Nama Petugas Warkah]),"")</f>
        <v>David</v>
      </c>
      <c r="G285" s="39" t="str">
        <f t="array" ref="G285">IFNA(_xlfn.XLOOKUP(D285,Table_Tarikan_Warkah[Nomor Tiket],Table_Tarikan_Warkah[Jenis Permohonan]),"")</f>
        <v>ROYA</v>
      </c>
      <c r="H285" s="41" t="s">
        <v>20</v>
      </c>
      <c r="I285" s="41" t="s">
        <v>12</v>
      </c>
      <c r="J285" s="36">
        <f t="shared" si="17"/>
        <v>45618.43531</v>
      </c>
      <c r="K285" s="41" t="s">
        <v>26</v>
      </c>
      <c r="L285" s="41" t="s">
        <v>12</v>
      </c>
      <c r="M285" s="36">
        <f t="shared" si="18"/>
        <v>45618.4354</v>
      </c>
      <c r="N285" s="30" t="str">
        <f t="shared" si="3"/>
        <v>SELESAI</v>
      </c>
      <c r="O285" s="45">
        <f t="shared" si="12"/>
        <v>45618.4354</v>
      </c>
      <c r="P285" s="47" t="b">
        <v>0</v>
      </c>
      <c r="Q285" s="36" t="str">
        <f t="shared" si="19"/>
        <v/>
      </c>
      <c r="R285" s="47" t="b">
        <v>0</v>
      </c>
      <c r="S285" s="42" t="str">
        <f t="shared" si="6"/>
        <v/>
      </c>
      <c r="T285" s="42"/>
    </row>
    <row r="286" ht="22.5" customHeight="1">
      <c r="B286" s="42">
        <f t="shared" si="7"/>
        <v>280</v>
      </c>
      <c r="C286" s="31" t="s">
        <v>450</v>
      </c>
      <c r="D286" s="34" t="str">
        <f t="array" ref="D286">IFNA(_xlfn.XLOOKUP(C286,Table_Tarikan_Warkah[Nomor Sertipikat],Table_Tarikan_Warkah[Nomor Tiket]),"")</f>
        <v>K/24/181124/2</v>
      </c>
      <c r="E286" s="36" t="str">
        <f t="array" ref="E286">IFNA(_xlfn.XLOOKUP(D286,Table_Tarikan_Warkah[Nomor Tiket],Table_Tarikan_Warkah[Tanggal diserahkan kepada Validator]),"")</f>
        <v>19/11/2024 11.08</v>
      </c>
      <c r="F286" s="36" t="str">
        <f t="array" ref="F286">IFNA(_xlfn.XLOOKUP(D286,Table_Tarikan_Warkah[Nomor Tiket],Table_Tarikan_Warkah[Nama Petugas Warkah]),"")</f>
        <v>David</v>
      </c>
      <c r="G286" s="39" t="str">
        <f t="array" ref="G286">IFNA(_xlfn.XLOOKUP(D286,Table_Tarikan_Warkah[Nomor Tiket],Table_Tarikan_Warkah[Jenis Permohonan]),"")</f>
        <v>BN JUAL BELI</v>
      </c>
      <c r="H286" s="41" t="s">
        <v>11</v>
      </c>
      <c r="I286" s="41" t="s">
        <v>23</v>
      </c>
      <c r="J286" s="36">
        <f t="shared" si="17"/>
        <v>45618.63562</v>
      </c>
      <c r="K286" s="41" t="s">
        <v>26</v>
      </c>
      <c r="L286" s="41" t="s">
        <v>23</v>
      </c>
      <c r="M286" s="36">
        <f t="shared" si="18"/>
        <v>45621.70535</v>
      </c>
      <c r="N286" s="30" t="str">
        <f t="shared" si="3"/>
        <v>Selesai</v>
      </c>
      <c r="O286" s="45">
        <f t="shared" si="12"/>
        <v>45621.70535</v>
      </c>
      <c r="P286" s="47" t="b">
        <v>1</v>
      </c>
      <c r="Q286" s="36">
        <f t="shared" si="19"/>
        <v>45621.70535</v>
      </c>
      <c r="R286" s="47" t="b">
        <v>0</v>
      </c>
      <c r="S286" s="42" t="str">
        <f t="shared" si="6"/>
        <v/>
      </c>
      <c r="T286" s="42"/>
    </row>
    <row r="287" ht="22.5" customHeight="1">
      <c r="B287" s="42">
        <f t="shared" si="7"/>
        <v>281</v>
      </c>
      <c r="C287" s="31" t="s">
        <v>449</v>
      </c>
      <c r="D287" s="34" t="str">
        <f t="array" ref="D287">IFNA(_xlfn.XLOOKUP(C287,Table_Tarikan_Warkah[Nomor Sertipikat],Table_Tarikan_Warkah[Nomor Tiket]),"")</f>
        <v>K/23/181124/1</v>
      </c>
      <c r="E287" s="36" t="str">
        <f t="array" ref="E287">IFNA(_xlfn.XLOOKUP(D287,Table_Tarikan_Warkah[Nomor Tiket],Table_Tarikan_Warkah[Tanggal diserahkan kepada Validator]),"")</f>
        <v>19/11/2024 11.08</v>
      </c>
      <c r="F287" s="36" t="str">
        <f t="array" ref="F287">IFNA(_xlfn.XLOOKUP(D287,Table_Tarikan_Warkah[Nomor Tiket],Table_Tarikan_Warkah[Nama Petugas Warkah]),"")</f>
        <v>David</v>
      </c>
      <c r="G287" s="39" t="str">
        <f t="array" ref="G287">IFNA(_xlfn.XLOOKUP(D287,Table_Tarikan_Warkah[Nomor Tiket],Table_Tarikan_Warkah[Jenis Permohonan]),"")</f>
        <v>BN JUAL BELI</v>
      </c>
      <c r="H287" s="41" t="s">
        <v>11</v>
      </c>
      <c r="I287" s="41" t="s">
        <v>23</v>
      </c>
      <c r="J287" s="36">
        <f t="shared" si="17"/>
        <v>45618.63594</v>
      </c>
      <c r="K287" s="41" t="s">
        <v>26</v>
      </c>
      <c r="L287" s="41" t="s">
        <v>23</v>
      </c>
      <c r="M287" s="36">
        <f t="shared" si="18"/>
        <v>45621.70535</v>
      </c>
      <c r="N287" s="30" t="str">
        <f t="shared" si="3"/>
        <v>Selesai</v>
      </c>
      <c r="O287" s="45">
        <f t="shared" si="12"/>
        <v>45621.70535</v>
      </c>
      <c r="P287" s="47" t="b">
        <v>1</v>
      </c>
      <c r="Q287" s="36">
        <f t="shared" si="19"/>
        <v>45621.70535</v>
      </c>
      <c r="R287" s="47" t="b">
        <v>0</v>
      </c>
      <c r="S287" s="42" t="str">
        <f t="shared" si="6"/>
        <v/>
      </c>
      <c r="T287" s="42"/>
    </row>
    <row r="288" ht="22.5" customHeight="1">
      <c r="B288" s="42">
        <f t="shared" si="7"/>
        <v>282</v>
      </c>
      <c r="C288" s="31" t="s">
        <v>475</v>
      </c>
      <c r="D288" s="34" t="str">
        <f t="array" ref="D288">IFNA(_xlfn.XLOOKUP(C288,Table_Tarikan_Warkah[Nomor Sertipikat],Table_Tarikan_Warkah[Nomor Tiket]),"")</f>
        <v>L/22/201124/1</v>
      </c>
      <c r="E288" s="36" t="str">
        <f t="array" ref="E288">IFNA(_xlfn.XLOOKUP(D288,Table_Tarikan_Warkah[Nomor Tiket],Table_Tarikan_Warkah[Tanggal diserahkan kepada Validator]),"")</f>
        <v>21/11/2024 16.22</v>
      </c>
      <c r="F288" s="36" t="str">
        <f t="array" ref="F288">IFNA(_xlfn.XLOOKUP(D288,Table_Tarikan_Warkah[Nomor Tiket],Table_Tarikan_Warkah[Nama Petugas Warkah]),"")</f>
        <v>Berry</v>
      </c>
      <c r="G288" s="39" t="str">
        <f t="array" ref="G288">IFNA(_xlfn.XLOOKUP(D288,Table_Tarikan_Warkah[Nomor Tiket],Table_Tarikan_Warkah[Jenis Permohonan]),"")</f>
        <v>SERTIPIKAT HILANG</v>
      </c>
      <c r="H288" s="41" t="s">
        <v>11</v>
      </c>
      <c r="I288" s="41" t="s">
        <v>12</v>
      </c>
      <c r="J288" s="36">
        <f t="shared" si="17"/>
        <v>45618.63594</v>
      </c>
      <c r="K288" s="49" t="s">
        <v>197</v>
      </c>
      <c r="L288" s="49" t="s">
        <v>12</v>
      </c>
      <c r="M288" s="36">
        <f t="shared" si="18"/>
        <v>45621.70535</v>
      </c>
      <c r="N288" s="30" t="str">
        <f t="shared" si="3"/>
        <v>SELESAI</v>
      </c>
      <c r="O288" s="45">
        <f t="shared" si="12"/>
        <v>45621.70535</v>
      </c>
      <c r="P288" s="47" t="b">
        <v>0</v>
      </c>
      <c r="Q288" s="36" t="str">
        <f t="shared" si="19"/>
        <v/>
      </c>
      <c r="R288" s="47" t="b">
        <v>1</v>
      </c>
      <c r="S288" s="36">
        <f t="shared" si="6"/>
        <v>45621.70535</v>
      </c>
      <c r="T288" s="42"/>
    </row>
    <row r="289" ht="22.5" customHeight="1">
      <c r="B289" s="42">
        <f t="shared" si="7"/>
        <v>283</v>
      </c>
      <c r="C289" s="31" t="s">
        <v>476</v>
      </c>
      <c r="D289" s="34" t="str">
        <f t="array" ref="D289">IFNA(_xlfn.XLOOKUP(C289,Table_Tarikan_Warkah[Nomor Sertipikat],Table_Tarikan_Warkah[Nomor Tiket]),"")</f>
        <v>K/24/201124/1</v>
      </c>
      <c r="E289" s="36" t="str">
        <f t="array" ref="E289">IFNA(_xlfn.XLOOKUP(D289,Table_Tarikan_Warkah[Nomor Tiket],Table_Tarikan_Warkah[Tanggal diserahkan kepada Validator]),"")</f>
        <v>21/11/2024 16.23</v>
      </c>
      <c r="F289" s="36" t="str">
        <f t="array" ref="F289">IFNA(_xlfn.XLOOKUP(D289,Table_Tarikan_Warkah[Nomor Tiket],Table_Tarikan_Warkah[Nama Petugas Warkah]),"")</f>
        <v>David</v>
      </c>
      <c r="G289" s="39" t="str">
        <f t="array" ref="G289">IFNA(_xlfn.XLOOKUP(D289,Table_Tarikan_Warkah[Nomor Tiket],Table_Tarikan_Warkah[Jenis Permohonan]),"")</f>
        <v>BN WARIS</v>
      </c>
      <c r="H289" s="41" t="s">
        <v>11</v>
      </c>
      <c r="I289" s="41" t="s">
        <v>12</v>
      </c>
      <c r="J289" s="36">
        <f t="shared" si="17"/>
        <v>45618.63602</v>
      </c>
      <c r="K289" s="49" t="s">
        <v>197</v>
      </c>
      <c r="L289" s="49" t="s">
        <v>12</v>
      </c>
      <c r="M289" s="36">
        <f t="shared" si="18"/>
        <v>45621.70535</v>
      </c>
      <c r="N289" s="30" t="str">
        <f t="shared" si="3"/>
        <v>SELESAI</v>
      </c>
      <c r="O289" s="45">
        <f t="shared" si="12"/>
        <v>45621.70535</v>
      </c>
      <c r="P289" s="47" t="b">
        <v>0</v>
      </c>
      <c r="Q289" s="36" t="str">
        <f t="shared" si="19"/>
        <v/>
      </c>
      <c r="R289" s="47" t="b">
        <v>1</v>
      </c>
      <c r="S289" s="36">
        <f t="shared" si="6"/>
        <v>45621.70535</v>
      </c>
      <c r="T289" s="42"/>
    </row>
    <row r="290" ht="22.5" customHeight="1">
      <c r="B290" s="42">
        <f t="shared" si="7"/>
        <v>284</v>
      </c>
      <c r="C290" s="31" t="s">
        <v>477</v>
      </c>
      <c r="D290" s="34" t="str">
        <f t="array" ref="D290">IFNA(_xlfn.XLOOKUP(C290,Table_Tarikan_Warkah[Nomor Sertipikat],Table_Tarikan_Warkah[Nomor Tiket]),"")</f>
        <v>K/1/211124/1</v>
      </c>
      <c r="E290" s="36" t="str">
        <f t="array" ref="E290">IFNA(_xlfn.XLOOKUP(D290,Table_Tarikan_Warkah[Nomor Tiket],Table_Tarikan_Warkah[Tanggal diserahkan kepada Validator]),"")</f>
        <v/>
      </c>
      <c r="F290" s="36" t="str">
        <f t="array" ref="F290">IFNA(_xlfn.XLOOKUP(D290,Table_Tarikan_Warkah[Nomor Tiket],Table_Tarikan_Warkah[Nama Petugas Warkah]),"")</f>
        <v/>
      </c>
      <c r="G290" s="39" t="str">
        <f t="array" ref="G290">IFNA(_xlfn.XLOOKUP(D290,Table_Tarikan_Warkah[Nomor Tiket],Table_Tarikan_Warkah[Jenis Permohonan]),"")</f>
        <v>BN JUAL BELI</v>
      </c>
      <c r="H290" s="41" t="s">
        <v>11</v>
      </c>
      <c r="I290" s="41" t="s">
        <v>12</v>
      </c>
      <c r="J290" s="36">
        <f t="shared" si="17"/>
        <v>45618.63602</v>
      </c>
      <c r="K290" s="49" t="s">
        <v>197</v>
      </c>
      <c r="L290" s="49" t="s">
        <v>12</v>
      </c>
      <c r="M290" s="36">
        <f t="shared" si="18"/>
        <v>45621.70535</v>
      </c>
      <c r="N290" s="30" t="str">
        <f t="shared" si="3"/>
        <v>SELESAI</v>
      </c>
      <c r="O290" s="45">
        <f t="shared" si="12"/>
        <v>45621.70535</v>
      </c>
      <c r="P290" s="47" t="b">
        <v>0</v>
      </c>
      <c r="Q290" s="36" t="str">
        <f t="shared" si="19"/>
        <v/>
      </c>
      <c r="R290" s="47" t="b">
        <v>1</v>
      </c>
      <c r="S290" s="36">
        <f t="shared" si="6"/>
        <v>45621.70535</v>
      </c>
      <c r="T290" s="42"/>
    </row>
    <row r="291" ht="22.5" customHeight="1">
      <c r="B291" s="42">
        <f t="shared" si="7"/>
        <v>285</v>
      </c>
      <c r="C291" s="31" t="s">
        <v>478</v>
      </c>
      <c r="D291" s="34" t="str">
        <f t="array" ref="D291">IFNA(_xlfn.XLOOKUP(C291,Table_Tarikan_Warkah[Nomor Sertipikat],Table_Tarikan_Warkah[Nomor Tiket]),"")</f>
        <v>K/42/201124/1</v>
      </c>
      <c r="E291" s="36" t="str">
        <f t="array" ref="E291">IFNA(_xlfn.XLOOKUP(D291,Table_Tarikan_Warkah[Nomor Tiket],Table_Tarikan_Warkah[Tanggal diserahkan kepada Validator]),"")</f>
        <v>21/11/2024 16.27</v>
      </c>
      <c r="F291" s="36" t="str">
        <f t="array" ref="F291">IFNA(_xlfn.XLOOKUP(D291,Table_Tarikan_Warkah[Nomor Tiket],Table_Tarikan_Warkah[Nama Petugas Warkah]),"")</f>
        <v>David</v>
      </c>
      <c r="G291" s="39" t="str">
        <f t="array" ref="G291">IFNA(_xlfn.XLOOKUP(D291,Table_Tarikan_Warkah[Nomor Tiket],Table_Tarikan_Warkah[Jenis Permohonan]),"")</f>
        <v>KEWARISAN</v>
      </c>
      <c r="H291" s="41" t="s">
        <v>11</v>
      </c>
      <c r="I291" s="41" t="s">
        <v>12</v>
      </c>
      <c r="J291" s="36">
        <f t="shared" si="17"/>
        <v>45618.63602</v>
      </c>
      <c r="K291" s="49" t="s">
        <v>197</v>
      </c>
      <c r="L291" s="49" t="s">
        <v>12</v>
      </c>
      <c r="M291" s="36">
        <f t="shared" si="18"/>
        <v>45621.70535</v>
      </c>
      <c r="N291" s="30" t="str">
        <f t="shared" si="3"/>
        <v>SELESAI</v>
      </c>
      <c r="O291" s="45">
        <f t="shared" si="12"/>
        <v>45621.70535</v>
      </c>
      <c r="P291" s="47" t="b">
        <v>0</v>
      </c>
      <c r="Q291" s="36" t="str">
        <f t="shared" si="19"/>
        <v/>
      </c>
      <c r="R291" s="47" t="b">
        <v>1</v>
      </c>
      <c r="S291" s="36">
        <f t="shared" si="6"/>
        <v>45621.70535</v>
      </c>
      <c r="T291" s="42"/>
    </row>
    <row r="292" ht="22.5" customHeight="1">
      <c r="B292" s="42">
        <f t="shared" si="7"/>
        <v>286</v>
      </c>
      <c r="C292" s="31" t="s">
        <v>479</v>
      </c>
      <c r="D292" s="34" t="str">
        <f t="array" ref="D292">IFNA(_xlfn.XLOOKUP(C292,Table_Tarikan_Warkah[Nomor Sertipikat],Table_Tarikan_Warkah[Nomor Tiket]),"")</f>
        <v>K/34/201124/2</v>
      </c>
      <c r="E292" s="36" t="str">
        <f t="array" ref="E292">IFNA(_xlfn.XLOOKUP(D292,Table_Tarikan_Warkah[Nomor Tiket],Table_Tarikan_Warkah[Tanggal diserahkan kepada Validator]),"")</f>
        <v>21/11/2024 16.25</v>
      </c>
      <c r="F292" s="36" t="str">
        <f t="array" ref="F292">IFNA(_xlfn.XLOOKUP(D292,Table_Tarikan_Warkah[Nomor Tiket],Table_Tarikan_Warkah[Nama Petugas Warkah]),"")</f>
        <v>David</v>
      </c>
      <c r="G292" s="39" t="str">
        <f t="array" ref="G292">IFNA(_xlfn.XLOOKUP(D292,Table_Tarikan_Warkah[Nomor Tiket],Table_Tarikan_Warkah[Jenis Permohonan]),"")</f>
        <v>BN JUAL BELI</v>
      </c>
      <c r="H292" s="41" t="s">
        <v>11</v>
      </c>
      <c r="I292" s="41" t="s">
        <v>12</v>
      </c>
      <c r="J292" s="36">
        <f t="shared" si="17"/>
        <v>45618.63602</v>
      </c>
      <c r="K292" s="49" t="s">
        <v>197</v>
      </c>
      <c r="L292" s="49" t="s">
        <v>12</v>
      </c>
      <c r="M292" s="36">
        <f t="shared" si="18"/>
        <v>45621.70535</v>
      </c>
      <c r="N292" s="30" t="str">
        <f t="shared" si="3"/>
        <v>SELESAI</v>
      </c>
      <c r="O292" s="45">
        <f t="shared" si="12"/>
        <v>45621.70535</v>
      </c>
      <c r="P292" s="47" t="b">
        <v>0</v>
      </c>
      <c r="Q292" s="36" t="str">
        <f t="shared" si="19"/>
        <v/>
      </c>
      <c r="R292" s="47" t="b">
        <v>1</v>
      </c>
      <c r="S292" s="36">
        <f t="shared" si="6"/>
        <v>45621.70535</v>
      </c>
      <c r="T292" s="42"/>
    </row>
    <row r="293" ht="22.5" customHeight="1">
      <c r="B293" s="42">
        <f t="shared" si="7"/>
        <v>287</v>
      </c>
      <c r="C293" s="31" t="s">
        <v>480</v>
      </c>
      <c r="D293" s="42" t="s">
        <v>481</v>
      </c>
      <c r="E293" s="36" t="str">
        <f t="array" ref="E293">IFNA(_xlfn.XLOOKUP(D293,Table_Tarikan_Warkah[Nomor Tiket],Table_Tarikan_Warkah[Tanggal diserahkan kepada Validator]),"")</f>
        <v>21/11/2024 16.23</v>
      </c>
      <c r="F293" s="36" t="str">
        <f t="array" ref="F293">IFNA(_xlfn.XLOOKUP(D293,Table_Tarikan_Warkah[Nomor Tiket],Table_Tarikan_Warkah[Nama Petugas Warkah]),"")</f>
        <v>Berry</v>
      </c>
      <c r="G293" s="39" t="str">
        <f t="array" ref="G293">IFNA(_xlfn.XLOOKUP(D293,Table_Tarikan_Warkah[Nomor Tiket],Table_Tarikan_Warkah[Jenis Permohonan]),"")</f>
        <v>BN Jual Beli</v>
      </c>
      <c r="H293" s="41" t="s">
        <v>11</v>
      </c>
      <c r="I293" s="41" t="s">
        <v>12</v>
      </c>
      <c r="J293" s="36">
        <f t="shared" si="17"/>
        <v>45618.63602</v>
      </c>
      <c r="K293" s="49" t="s">
        <v>197</v>
      </c>
      <c r="L293" s="49" t="s">
        <v>12</v>
      </c>
      <c r="M293" s="36">
        <f t="shared" si="18"/>
        <v>45621.70535</v>
      </c>
      <c r="N293" s="30" t="str">
        <f t="shared" si="3"/>
        <v>SELESAI</v>
      </c>
      <c r="O293" s="45">
        <f t="shared" si="12"/>
        <v>45621.70535</v>
      </c>
      <c r="P293" s="47" t="b">
        <v>0</v>
      </c>
      <c r="Q293" s="36" t="str">
        <f t="shared" si="19"/>
        <v/>
      </c>
      <c r="R293" s="47" t="b">
        <v>1</v>
      </c>
      <c r="S293" s="36">
        <f t="shared" si="6"/>
        <v>45621.70535</v>
      </c>
      <c r="T293" s="42"/>
    </row>
    <row r="294" ht="22.5" customHeight="1">
      <c r="B294" s="42">
        <f t="shared" si="7"/>
        <v>288</v>
      </c>
      <c r="C294" s="31" t="s">
        <v>482</v>
      </c>
      <c r="D294" s="42" t="s">
        <v>483</v>
      </c>
      <c r="E294" s="36" t="str">
        <f t="array" ref="E294">IFNA(_xlfn.XLOOKUP(D294,Table_Tarikan_Warkah[Nomor Tiket],Table_Tarikan_Warkah[Tanggal diserahkan kepada Validator]),"")</f>
        <v>21/11/2024 16.19</v>
      </c>
      <c r="F294" s="36" t="str">
        <f t="array" ref="F294">IFNA(_xlfn.XLOOKUP(D294,Table_Tarikan_Warkah[Nomor Tiket],Table_Tarikan_Warkah[Nama Petugas Warkah]),"")</f>
        <v>Berry</v>
      </c>
      <c r="G294" s="39" t="str">
        <f t="array" ref="G294">IFNA(_xlfn.XLOOKUP(D294,Table_Tarikan_Warkah[Nomor Tiket],Table_Tarikan_Warkah[Jenis Permohonan]),"")</f>
        <v>HM 2606/WAY KANDIS</v>
      </c>
      <c r="H294" s="41" t="s">
        <v>11</v>
      </c>
      <c r="I294" s="41" t="s">
        <v>12</v>
      </c>
      <c r="J294" s="36">
        <f t="shared" si="17"/>
        <v>45618.63602</v>
      </c>
      <c r="K294" s="41" t="s">
        <v>197</v>
      </c>
      <c r="L294" s="41" t="s">
        <v>12</v>
      </c>
      <c r="M294" s="36">
        <f t="shared" si="18"/>
        <v>45621.70535</v>
      </c>
      <c r="N294" s="30" t="str">
        <f t="shared" si="3"/>
        <v>SELESAI</v>
      </c>
      <c r="O294" s="45">
        <f t="shared" si="12"/>
        <v>45621.70535</v>
      </c>
      <c r="P294" s="47" t="b">
        <v>0</v>
      </c>
      <c r="Q294" s="36" t="str">
        <f t="shared" si="19"/>
        <v/>
      </c>
      <c r="R294" s="47" t="b">
        <v>1</v>
      </c>
      <c r="S294" s="36">
        <f t="shared" si="6"/>
        <v>45621.70535</v>
      </c>
      <c r="T294" s="42"/>
    </row>
    <row r="295" ht="22.5" customHeight="1">
      <c r="B295" s="42">
        <f t="shared" si="7"/>
        <v>289</v>
      </c>
      <c r="C295" s="31" t="s">
        <v>484</v>
      </c>
      <c r="D295" s="34" t="str">
        <f t="array" ref="D295">IFNA(_xlfn.XLOOKUP(C295,Table_Tarikan_Warkah[Nomor Sertipikat],Table_Tarikan_Warkah[Nomor Tiket]),"")</f>
        <v>K/20/071124/1</v>
      </c>
      <c r="E295" s="36" t="str">
        <f t="array" ref="E295">IFNA(_xlfn.XLOOKUP(D295,Table_Tarikan_Warkah[Nomor Tiket],Table_Tarikan_Warkah[Tanggal diserahkan kepada Validator]),"")</f>
        <v/>
      </c>
      <c r="F295" s="36" t="str">
        <f t="array" ref="F295">IFNA(_xlfn.XLOOKUP(D295,Table_Tarikan_Warkah[Nomor Tiket],Table_Tarikan_Warkah[Nama Petugas Warkah]),"")</f>
        <v>David</v>
      </c>
      <c r="G295" s="39" t="str">
        <f t="array" ref="G295">IFNA(_xlfn.XLOOKUP(D295,Table_Tarikan_Warkah[Nomor Tiket],Table_Tarikan_Warkah[Jenis Permohonan]),"")</f>
        <v>BN JUAL BELI</v>
      </c>
      <c r="H295" s="41" t="s">
        <v>20</v>
      </c>
      <c r="I295" s="41" t="s">
        <v>23</v>
      </c>
      <c r="J295" s="36">
        <f t="shared" si="17"/>
        <v>45621.35939</v>
      </c>
      <c r="K295" s="49" t="s">
        <v>26</v>
      </c>
      <c r="L295" s="49" t="s">
        <v>23</v>
      </c>
      <c r="M295" s="36">
        <f t="shared" si="18"/>
        <v>45622.64663</v>
      </c>
      <c r="N295" s="30" t="str">
        <f t="shared" si="3"/>
        <v>Selesai</v>
      </c>
      <c r="O295" s="45">
        <f t="shared" si="12"/>
        <v>45622.64663</v>
      </c>
      <c r="P295" s="47" t="b">
        <v>1</v>
      </c>
      <c r="Q295" s="36">
        <f t="shared" si="19"/>
        <v>45622.64667</v>
      </c>
      <c r="R295" s="47" t="b">
        <v>0</v>
      </c>
      <c r="S295" s="42" t="str">
        <f t="shared" si="6"/>
        <v/>
      </c>
      <c r="T295" s="42"/>
    </row>
    <row r="296" ht="22.5" customHeight="1">
      <c r="B296" s="42">
        <f t="shared" si="7"/>
        <v>290</v>
      </c>
      <c r="C296" s="31" t="s">
        <v>485</v>
      </c>
      <c r="D296" s="34" t="str">
        <f t="array" ref="D296">IFNA(_xlfn.XLOOKUP(C296,Table_Tarikan_Warkah[Nomor Sertipikat],Table_Tarikan_Warkah[Nomor Tiket]),"")</f>
        <v>L/9/191124/1</v>
      </c>
      <c r="E296" s="36" t="str">
        <f t="array" ref="E296">IFNA(_xlfn.XLOOKUP(D296,Table_Tarikan_Warkah[Nomor Tiket],Table_Tarikan_Warkah[Tanggal diserahkan kepada Validator]),"")</f>
        <v>16/12/2024 16.00</v>
      </c>
      <c r="F296" s="36" t="str">
        <f t="array" ref="F296">IFNA(_xlfn.XLOOKUP(D296,Table_Tarikan_Warkah[Nomor Tiket],Table_Tarikan_Warkah[Nama Petugas Warkah]),"")</f>
        <v>David</v>
      </c>
      <c r="G296" s="39" t="str">
        <f t="array" ref="G296">IFNA(_xlfn.XLOOKUP(D296,Table_Tarikan_Warkah[Nomor Tiket],Table_Tarikan_Warkah[Jenis Permohonan]),"")</f>
        <v>PH</v>
      </c>
      <c r="H296" s="41" t="s">
        <v>20</v>
      </c>
      <c r="I296" s="41" t="s">
        <v>23</v>
      </c>
      <c r="J296" s="36">
        <f t="shared" si="17"/>
        <v>45621.39323</v>
      </c>
      <c r="K296" s="49" t="s">
        <v>26</v>
      </c>
      <c r="L296" s="49" t="s">
        <v>23</v>
      </c>
      <c r="M296" s="36">
        <f t="shared" si="18"/>
        <v>45622.64665</v>
      </c>
      <c r="N296" s="30" t="str">
        <f t="shared" si="3"/>
        <v>Selesai</v>
      </c>
      <c r="O296" s="45">
        <f t="shared" si="12"/>
        <v>45622.64665</v>
      </c>
      <c r="P296" s="47" t="b">
        <v>1</v>
      </c>
      <c r="Q296" s="36">
        <f t="shared" si="19"/>
        <v>45622.64668</v>
      </c>
      <c r="R296" s="47" t="b">
        <v>0</v>
      </c>
      <c r="S296" s="42" t="str">
        <f t="shared" si="6"/>
        <v/>
      </c>
      <c r="T296" s="42"/>
    </row>
    <row r="297" ht="22.5" customHeight="1">
      <c r="B297" s="42">
        <f t="shared" si="7"/>
        <v>291</v>
      </c>
      <c r="C297" s="31" t="s">
        <v>486</v>
      </c>
      <c r="D297" s="34" t="str">
        <f t="array" ref="D297">IFNA(_xlfn.XLOOKUP(C297,Table_Tarikan_Warkah[Nomor Sertipikat],Table_Tarikan_Warkah[Nomor Tiket]),"")</f>
        <v>K/30/211124/1</v>
      </c>
      <c r="E297" s="36" t="str">
        <f t="array" ref="E297">IFNA(_xlfn.XLOOKUP(D297,Table_Tarikan_Warkah[Nomor Tiket],Table_Tarikan_Warkah[Tanggal diserahkan kepada Validator]),"")</f>
        <v>25/11/2024 11.02</v>
      </c>
      <c r="F297" s="36" t="str">
        <f t="array" ref="F297">IFNA(_xlfn.XLOOKUP(D297,Table_Tarikan_Warkah[Nomor Tiket],Table_Tarikan_Warkah[Nama Petugas Warkah]),"")</f>
        <v>David</v>
      </c>
      <c r="G297" s="39" t="str">
        <f t="array" ref="G297">IFNA(_xlfn.XLOOKUP(D297,Table_Tarikan_Warkah[Nomor Tiket],Table_Tarikan_Warkah[Jenis Permohonan]),"")</f>
        <v>BN JUAL BELI</v>
      </c>
      <c r="H297" s="41" t="s">
        <v>20</v>
      </c>
      <c r="I297" s="41" t="s">
        <v>12</v>
      </c>
      <c r="J297" s="36">
        <f t="shared" si="17"/>
        <v>45621.70535</v>
      </c>
      <c r="K297" s="41" t="s">
        <v>197</v>
      </c>
      <c r="L297" s="41" t="s">
        <v>12</v>
      </c>
      <c r="M297" s="36">
        <f t="shared" si="18"/>
        <v>45622.64674</v>
      </c>
      <c r="N297" s="30" t="str">
        <f t="shared" si="3"/>
        <v>SELESAI</v>
      </c>
      <c r="O297" s="45">
        <f t="shared" si="12"/>
        <v>45622.64674</v>
      </c>
      <c r="P297" s="47" t="b">
        <v>0</v>
      </c>
      <c r="Q297" s="36" t="str">
        <f t="shared" si="19"/>
        <v/>
      </c>
      <c r="R297" s="47" t="b">
        <v>0</v>
      </c>
      <c r="S297" s="42" t="str">
        <f t="shared" si="6"/>
        <v/>
      </c>
      <c r="T297" s="42"/>
    </row>
    <row r="298" ht="22.5" customHeight="1">
      <c r="B298" s="42">
        <f t="shared" si="7"/>
        <v>292</v>
      </c>
      <c r="C298" s="31" t="s">
        <v>487</v>
      </c>
      <c r="D298" s="34" t="str">
        <f t="array" ref="D298">IFNA(_xlfn.XLOOKUP(C298,Table_Tarikan_Warkah[Nomor Sertipikat],Table_Tarikan_Warkah[Nomor Tiket]),"")</f>
        <v>K/46/211124/1</v>
      </c>
      <c r="E298" s="36" t="str">
        <f t="array" ref="E298">IFNA(_xlfn.XLOOKUP(D298,Table_Tarikan_Warkah[Nomor Tiket],Table_Tarikan_Warkah[Tanggal diserahkan kepada Validator]),"")</f>
        <v>25/11/2024 11.02</v>
      </c>
      <c r="F298" s="36" t="str">
        <f t="array" ref="F298">IFNA(_xlfn.XLOOKUP(D298,Table_Tarikan_Warkah[Nomor Tiket],Table_Tarikan_Warkah[Nama Petugas Warkah]),"")</f>
        <v>David</v>
      </c>
      <c r="G298" s="39" t="str">
        <f t="array" ref="G298">IFNA(_xlfn.XLOOKUP(D298,Table_Tarikan_Warkah[Nomor Tiket],Table_Tarikan_Warkah[Jenis Permohonan]),"")</f>
        <v>BN WARIS</v>
      </c>
      <c r="H298" s="41" t="s">
        <v>20</v>
      </c>
      <c r="I298" s="41" t="s">
        <v>12</v>
      </c>
      <c r="J298" s="36">
        <f t="shared" si="17"/>
        <v>45621.70535</v>
      </c>
      <c r="K298" s="49" t="s">
        <v>197</v>
      </c>
      <c r="L298" s="49" t="s">
        <v>12</v>
      </c>
      <c r="M298" s="36">
        <f t="shared" si="18"/>
        <v>45622.64726</v>
      </c>
      <c r="N298" s="30" t="str">
        <f t="shared" si="3"/>
        <v>SELESAI</v>
      </c>
      <c r="O298" s="45">
        <f t="shared" si="12"/>
        <v>45622.64726</v>
      </c>
      <c r="P298" s="47" t="b">
        <v>0</v>
      </c>
      <c r="Q298" s="36" t="str">
        <f t="shared" si="19"/>
        <v/>
      </c>
      <c r="R298" s="47" t="b">
        <v>0</v>
      </c>
      <c r="S298" s="42" t="str">
        <f t="shared" si="6"/>
        <v/>
      </c>
      <c r="T298" s="42"/>
    </row>
    <row r="299" ht="22.5" customHeight="1">
      <c r="B299" s="42">
        <f t="shared" si="7"/>
        <v>293</v>
      </c>
      <c r="C299" s="31" t="s">
        <v>488</v>
      </c>
      <c r="D299" s="42" t="s">
        <v>489</v>
      </c>
      <c r="E299" s="36" t="str">
        <f t="array" ref="E299">IFNA(_xlfn.XLOOKUP(D299,Table_Tarikan_Warkah[Nomor Tiket],Table_Tarikan_Warkah[Tanggal diserahkan kepada Validator]),"")</f>
        <v/>
      </c>
      <c r="F299" s="36" t="str">
        <f t="array" ref="F299">IFNA(_xlfn.XLOOKUP(D299,Table_Tarikan_Warkah[Nomor Tiket],Table_Tarikan_Warkah[Nama Petugas Warkah]),"")</f>
        <v/>
      </c>
      <c r="G299" s="39" t="str">
        <f t="array" ref="G299">IFNA(_xlfn.XLOOKUP(D299,Table_Tarikan_Warkah[Nomor Tiket],Table_Tarikan_Warkah[Jenis Permohonan]),"")</f>
        <v/>
      </c>
      <c r="H299" s="41" t="s">
        <v>20</v>
      </c>
      <c r="I299" s="41" t="s">
        <v>12</v>
      </c>
      <c r="J299" s="36">
        <f t="shared" si="17"/>
        <v>45621.70535</v>
      </c>
      <c r="K299" s="41" t="s">
        <v>197</v>
      </c>
      <c r="L299" s="41" t="s">
        <v>12</v>
      </c>
      <c r="M299" s="36">
        <f t="shared" si="18"/>
        <v>45622.64726</v>
      </c>
      <c r="N299" s="30" t="str">
        <f t="shared" si="3"/>
        <v>SELESAI</v>
      </c>
      <c r="O299" s="45">
        <f t="shared" si="12"/>
        <v>45622.64726</v>
      </c>
      <c r="P299" s="47" t="b">
        <v>0</v>
      </c>
      <c r="Q299" s="36" t="str">
        <f t="shared" si="19"/>
        <v/>
      </c>
      <c r="R299" s="47" t="b">
        <v>0</v>
      </c>
      <c r="S299" s="42" t="str">
        <f t="shared" si="6"/>
        <v/>
      </c>
      <c r="T299" s="42"/>
    </row>
    <row r="300" ht="22.5" customHeight="1">
      <c r="B300" s="42">
        <f t="shared" si="7"/>
        <v>294</v>
      </c>
      <c r="C300" s="31" t="s">
        <v>490</v>
      </c>
      <c r="D300" s="34" t="str">
        <f t="array" ref="D300">IFNA(_xlfn.XLOOKUP(C300,Table_Tarikan_Warkah[Nomor Sertipikat],Table_Tarikan_Warkah[Nomor Tiket]),"")</f>
        <v>L/10/211124/1</v>
      </c>
      <c r="E300" s="36" t="str">
        <f t="array" ref="E300">IFNA(_xlfn.XLOOKUP(D300,Table_Tarikan_Warkah[Nomor Tiket],Table_Tarikan_Warkah[Tanggal diserahkan kepada Validator]),"")</f>
        <v>25/11/2024 11.02</v>
      </c>
      <c r="F300" s="36" t="str">
        <f t="array" ref="F300">IFNA(_xlfn.XLOOKUP(D300,Table_Tarikan_Warkah[Nomor Tiket],Table_Tarikan_Warkah[Nama Petugas Warkah]),"")</f>
        <v>David</v>
      </c>
      <c r="G300" s="39" t="str">
        <f t="array" ref="G300">IFNA(_xlfn.XLOOKUP(D300,Table_Tarikan_Warkah[Nomor Tiket],Table_Tarikan_Warkah[Jenis Permohonan]),"")</f>
        <v>ROYA</v>
      </c>
      <c r="H300" s="41" t="s">
        <v>20</v>
      </c>
      <c r="I300" s="41" t="s">
        <v>12</v>
      </c>
      <c r="J300" s="36">
        <f t="shared" si="17"/>
        <v>45621.70535</v>
      </c>
      <c r="K300" s="41" t="s">
        <v>197</v>
      </c>
      <c r="L300" s="41" t="s">
        <v>12</v>
      </c>
      <c r="M300" s="36">
        <f t="shared" si="18"/>
        <v>45622.6474</v>
      </c>
      <c r="N300" s="30" t="str">
        <f t="shared" si="3"/>
        <v>SELESAI</v>
      </c>
      <c r="O300" s="45">
        <f t="shared" si="12"/>
        <v>45622.6474</v>
      </c>
      <c r="P300" s="47" t="b">
        <v>0</v>
      </c>
      <c r="Q300" s="36" t="str">
        <f t="shared" si="19"/>
        <v/>
      </c>
      <c r="R300" s="47" t="b">
        <v>0</v>
      </c>
      <c r="S300" s="42" t="str">
        <f t="shared" si="6"/>
        <v/>
      </c>
      <c r="T300" s="42"/>
    </row>
    <row r="301" ht="22.5" customHeight="1">
      <c r="B301" s="42">
        <f t="shared" si="7"/>
        <v>295</v>
      </c>
      <c r="C301" s="31" t="s">
        <v>491</v>
      </c>
      <c r="D301" s="34" t="str">
        <f t="array" ref="D301">IFNA(_xlfn.XLOOKUP(C301,Table_Tarikan_Warkah[Nomor Sertipikat],Table_Tarikan_Warkah[Nomor Tiket]),"")</f>
        <v>L/3/211124/1</v>
      </c>
      <c r="E301" s="36" t="str">
        <f t="array" ref="E301">IFNA(_xlfn.XLOOKUP(D301,Table_Tarikan_Warkah[Nomor Tiket],Table_Tarikan_Warkah[Tanggal diserahkan kepada Validator]),"")</f>
        <v>25/11/2024 11.02</v>
      </c>
      <c r="F301" s="36" t="str">
        <f t="array" ref="F301">IFNA(_xlfn.XLOOKUP(D301,Table_Tarikan_Warkah[Nomor Tiket],Table_Tarikan_Warkah[Nama Petugas Warkah]),"")</f>
        <v>David</v>
      </c>
      <c r="G301" s="39" t="str">
        <f t="array" ref="G301">IFNA(_xlfn.XLOOKUP(D301,Table_Tarikan_Warkah[Nomor Tiket],Table_Tarikan_Warkah[Jenis Permohonan]),"")</f>
        <v>ROYA</v>
      </c>
      <c r="H301" s="41" t="s">
        <v>20</v>
      </c>
      <c r="I301" s="41" t="s">
        <v>12</v>
      </c>
      <c r="J301" s="36">
        <f t="shared" si="17"/>
        <v>45621.70535</v>
      </c>
      <c r="K301" s="41" t="s">
        <v>197</v>
      </c>
      <c r="L301" s="41" t="s">
        <v>12</v>
      </c>
      <c r="M301" s="36">
        <f t="shared" si="18"/>
        <v>45622.6474</v>
      </c>
      <c r="N301" s="30" t="str">
        <f t="shared" si="3"/>
        <v>SELESAI</v>
      </c>
      <c r="O301" s="45">
        <f t="shared" si="12"/>
        <v>45622.6474</v>
      </c>
      <c r="P301" s="47" t="b">
        <v>0</v>
      </c>
      <c r="Q301" s="36" t="str">
        <f t="shared" si="19"/>
        <v/>
      </c>
      <c r="R301" s="47" t="b">
        <v>0</v>
      </c>
      <c r="S301" s="42" t="str">
        <f t="shared" si="6"/>
        <v/>
      </c>
      <c r="T301" s="42"/>
    </row>
    <row r="302" ht="22.5" customHeight="1">
      <c r="B302" s="42">
        <f t="shared" si="7"/>
        <v>296</v>
      </c>
      <c r="C302" s="31" t="s">
        <v>492</v>
      </c>
      <c r="D302" s="34" t="str">
        <f t="array" ref="D302">IFNA(_xlfn.XLOOKUP(C302,Table_Tarikan_Warkah[Nomor Sertipikat],Table_Tarikan_Warkah[Nomor Tiket]),"")</f>
        <v>L/37/211124/1</v>
      </c>
      <c r="E302" s="36" t="str">
        <f t="array" ref="E302">IFNA(_xlfn.XLOOKUP(D302,Table_Tarikan_Warkah[Nomor Tiket],Table_Tarikan_Warkah[Tanggal diserahkan kepada Validator]),"")</f>
        <v>25/11/2024 11.02</v>
      </c>
      <c r="F302" s="36" t="str">
        <f t="array" ref="F302">IFNA(_xlfn.XLOOKUP(D302,Table_Tarikan_Warkah[Nomor Tiket],Table_Tarikan_Warkah[Nama Petugas Warkah]),"")</f>
        <v>David</v>
      </c>
      <c r="G302" s="39" t="str">
        <f t="array" ref="G302">IFNA(_xlfn.XLOOKUP(D302,Table_Tarikan_Warkah[Nomor Tiket],Table_Tarikan_Warkah[Jenis Permohonan]),"")</f>
        <v>ROYA</v>
      </c>
      <c r="H302" s="41" t="s">
        <v>20</v>
      </c>
      <c r="I302" s="41" t="s">
        <v>12</v>
      </c>
      <c r="J302" s="36">
        <f t="shared" si="17"/>
        <v>45621.70535</v>
      </c>
      <c r="K302" s="49" t="s">
        <v>197</v>
      </c>
      <c r="L302" s="49" t="s">
        <v>12</v>
      </c>
      <c r="M302" s="36">
        <f t="shared" si="18"/>
        <v>45622.6474</v>
      </c>
      <c r="N302" s="30" t="str">
        <f t="shared" si="3"/>
        <v>SELESAI</v>
      </c>
      <c r="O302" s="45">
        <f t="shared" si="12"/>
        <v>45622.6474</v>
      </c>
      <c r="P302" s="47" t="b">
        <v>0</v>
      </c>
      <c r="Q302" s="36" t="str">
        <f t="shared" si="19"/>
        <v/>
      </c>
      <c r="R302" s="47" t="b">
        <v>0</v>
      </c>
      <c r="S302" s="42" t="str">
        <f t="shared" si="6"/>
        <v/>
      </c>
      <c r="T302" s="42"/>
    </row>
    <row r="303" ht="22.5" customHeight="1">
      <c r="B303" s="42">
        <f t="shared" si="7"/>
        <v>297</v>
      </c>
      <c r="C303" s="31" t="s">
        <v>493</v>
      </c>
      <c r="D303" s="34" t="str">
        <f t="array" ref="D303">IFNA(_xlfn.XLOOKUP(C303,Table_Tarikan_Warkah[Nomor Sertipikat],Table_Tarikan_Warkah[Nomor Tiket]),"")</f>
        <v>K/41/211124/1</v>
      </c>
      <c r="E303" s="36" t="str">
        <f t="array" ref="E303">IFNA(_xlfn.XLOOKUP(D303,Table_Tarikan_Warkah[Nomor Tiket],Table_Tarikan_Warkah[Tanggal diserahkan kepada Validator]),"")</f>
        <v>25/11/2024 11.02</v>
      </c>
      <c r="F303" s="36" t="str">
        <f t="array" ref="F303">IFNA(_xlfn.XLOOKUP(D303,Table_Tarikan_Warkah[Nomor Tiket],Table_Tarikan_Warkah[Nama Petugas Warkah]),"")</f>
        <v>David</v>
      </c>
      <c r="G303" s="39" t="str">
        <f t="array" ref="G303">IFNA(_xlfn.XLOOKUP(D303,Table_Tarikan_Warkah[Nomor Tiket],Table_Tarikan_Warkah[Jenis Permohonan]),"")</f>
        <v>BN Jual Beli</v>
      </c>
      <c r="H303" s="41" t="s">
        <v>20</v>
      </c>
      <c r="I303" s="41" t="s">
        <v>12</v>
      </c>
      <c r="J303" s="36">
        <f t="shared" si="17"/>
        <v>45621.70535</v>
      </c>
      <c r="K303" s="41" t="s">
        <v>197</v>
      </c>
      <c r="L303" s="41" t="s">
        <v>12</v>
      </c>
      <c r="M303" s="36">
        <f t="shared" si="18"/>
        <v>45622.6474</v>
      </c>
      <c r="N303" s="30" t="str">
        <f t="shared" si="3"/>
        <v>SELESAI</v>
      </c>
      <c r="O303" s="45">
        <f t="shared" si="12"/>
        <v>45622.6474</v>
      </c>
      <c r="P303" s="47" t="b">
        <v>0</v>
      </c>
      <c r="Q303" s="36" t="str">
        <f t="shared" si="19"/>
        <v/>
      </c>
      <c r="R303" s="47" t="b">
        <v>0</v>
      </c>
      <c r="S303" s="42" t="str">
        <f t="shared" si="6"/>
        <v/>
      </c>
      <c r="T303" s="42"/>
    </row>
    <row r="304" ht="22.5" customHeight="1">
      <c r="B304" s="42">
        <f t="shared" si="7"/>
        <v>298</v>
      </c>
      <c r="C304" s="31" t="s">
        <v>494</v>
      </c>
      <c r="D304" s="34" t="str">
        <f t="array" ref="D304">IFNA(_xlfn.XLOOKUP(C304,Table_Tarikan_Warkah[Nomor Sertipikat],Table_Tarikan_Warkah[Nomor Tiket]),"")</f>
        <v>K/8/111124/1</v>
      </c>
      <c r="E304" s="36" t="str">
        <f t="array" ref="E304">IFNA(_xlfn.XLOOKUP(D304,Table_Tarikan_Warkah[Nomor Tiket],Table_Tarikan_Warkah[Tanggal diserahkan kepada Validator]),"")</f>
        <v/>
      </c>
      <c r="F304" s="36" t="str">
        <f t="array" ref="F304">IFNA(_xlfn.XLOOKUP(D304,Table_Tarikan_Warkah[Nomor Tiket],Table_Tarikan_Warkah[Nama Petugas Warkah]),"")</f>
        <v>Berry</v>
      </c>
      <c r="G304" s="39" t="str">
        <f t="array" ref="G304">IFNA(_xlfn.XLOOKUP(D304,Table_Tarikan_Warkah[Nomor Tiket],Table_Tarikan_Warkah[Jenis Permohonan]),"")</f>
        <v>BN Jual Beli</v>
      </c>
      <c r="H304" s="41" t="s">
        <v>11</v>
      </c>
      <c r="I304" s="41" t="s">
        <v>23</v>
      </c>
      <c r="J304" s="36">
        <f t="shared" si="17"/>
        <v>45621.70535</v>
      </c>
      <c r="K304" s="49" t="s">
        <v>26</v>
      </c>
      <c r="L304" s="49" t="s">
        <v>23</v>
      </c>
      <c r="M304" s="36">
        <f t="shared" si="18"/>
        <v>45622.64876</v>
      </c>
      <c r="N304" s="30" t="str">
        <f t="shared" si="3"/>
        <v>Selesai</v>
      </c>
      <c r="O304" s="45">
        <f t="shared" si="12"/>
        <v>45622.64876</v>
      </c>
      <c r="P304" s="47" t="b">
        <v>1</v>
      </c>
      <c r="Q304" s="36">
        <f t="shared" si="19"/>
        <v>45622.64889</v>
      </c>
      <c r="R304" s="47" t="b">
        <v>0</v>
      </c>
      <c r="S304" s="42" t="str">
        <f t="shared" si="6"/>
        <v/>
      </c>
      <c r="T304" s="42"/>
    </row>
    <row r="305" ht="22.5" customHeight="1">
      <c r="B305" s="42">
        <f t="shared" si="7"/>
        <v>299</v>
      </c>
      <c r="C305" s="31" t="s">
        <v>436</v>
      </c>
      <c r="D305" s="34" t="str">
        <f t="array" ref="D305">IFNA(_xlfn.XLOOKUP(C305,Table_Tarikan_Warkah[Nomor Sertipikat],Table_Tarikan_Warkah[Nomor Tiket]),"")</f>
        <v>K/56/181124/1</v>
      </c>
      <c r="E305" s="36" t="str">
        <f t="array" ref="E305">IFNA(_xlfn.XLOOKUP(D305,Table_Tarikan_Warkah[Nomor Tiket],Table_Tarikan_Warkah[Tanggal diserahkan kepada Validator]),"")</f>
        <v>19/11/2024 11.14</v>
      </c>
      <c r="F305" s="36" t="str">
        <f t="array" ref="F305">IFNA(_xlfn.XLOOKUP(D305,Table_Tarikan_Warkah[Nomor Tiket],Table_Tarikan_Warkah[Nama Petugas Warkah]),"")</f>
        <v>David</v>
      </c>
      <c r="G305" s="39" t="str">
        <f t="array" ref="G305">IFNA(_xlfn.XLOOKUP(D305,Table_Tarikan_Warkah[Nomor Tiket],Table_Tarikan_Warkah[Jenis Permohonan]),"")</f>
        <v>BN JUAL BELI</v>
      </c>
      <c r="H305" s="41" t="s">
        <v>11</v>
      </c>
      <c r="I305" s="41" t="s">
        <v>23</v>
      </c>
      <c r="J305" s="36">
        <f t="shared" si="17"/>
        <v>45621.70535</v>
      </c>
      <c r="K305" s="49" t="s">
        <v>26</v>
      </c>
      <c r="L305" s="49" t="s">
        <v>23</v>
      </c>
      <c r="M305" s="36">
        <f t="shared" si="18"/>
        <v>45622.64878</v>
      </c>
      <c r="N305" s="30" t="str">
        <f t="shared" si="3"/>
        <v>Selesai</v>
      </c>
      <c r="O305" s="45">
        <f t="shared" si="12"/>
        <v>45622.64878</v>
      </c>
      <c r="P305" s="47" t="b">
        <v>1</v>
      </c>
      <c r="Q305" s="36">
        <f t="shared" si="19"/>
        <v>45622.64892</v>
      </c>
      <c r="R305" s="47" t="b">
        <v>0</v>
      </c>
      <c r="S305" s="42" t="str">
        <f t="shared" si="6"/>
        <v/>
      </c>
      <c r="T305" s="42"/>
    </row>
    <row r="306" ht="22.5" customHeight="1">
      <c r="B306" s="42">
        <f t="shared" si="7"/>
        <v>300</v>
      </c>
      <c r="C306" s="31" t="s">
        <v>16</v>
      </c>
      <c r="D306" s="34" t="str">
        <f t="array" ref="D306">IFNA(_xlfn.XLOOKUP(C306,Table_Tarikan_Warkah[Nomor Sertipikat],Table_Tarikan_Warkah[Nomor Tiket]),"")</f>
        <v>K/34/131124/1</v>
      </c>
      <c r="E306" s="36" t="str">
        <f t="array" ref="E306">IFNA(_xlfn.XLOOKUP(D306,Table_Tarikan_Warkah[Nomor Tiket],Table_Tarikan_Warkah[Tanggal diserahkan kepada Validator]),"")</f>
        <v>18/11/2024 10.48</v>
      </c>
      <c r="F306" s="36" t="str">
        <f t="array" ref="F306">IFNA(_xlfn.XLOOKUP(D306,Table_Tarikan_Warkah[Nomor Tiket],Table_Tarikan_Warkah[Nama Petugas Warkah]),"")</f>
        <v>David</v>
      </c>
      <c r="G306" s="39" t="str">
        <f t="array" ref="G306">IFNA(_xlfn.XLOOKUP(D306,Table_Tarikan_Warkah[Nomor Tiket],Table_Tarikan_Warkah[Jenis Permohonan]),"")</f>
        <v>BN JUAL BELI</v>
      </c>
      <c r="H306" s="41" t="s">
        <v>11</v>
      </c>
      <c r="I306" s="51"/>
      <c r="J306" s="36" t="str">
        <f t="shared" si="17"/>
        <v/>
      </c>
      <c r="K306" s="51"/>
      <c r="L306" s="51"/>
      <c r="M306" s="36" t="str">
        <f t="shared" si="18"/>
        <v/>
      </c>
      <c r="N306" s="30" t="str">
        <f t="shared" si="3"/>
        <v>BT atau SU Belum Valid</v>
      </c>
      <c r="O306" s="39" t="str">
        <f t="shared" si="12"/>
        <v/>
      </c>
      <c r="P306" s="47" t="b">
        <v>0</v>
      </c>
      <c r="Q306" s="36" t="str">
        <f t="shared" si="19"/>
        <v/>
      </c>
      <c r="R306" s="47" t="b">
        <v>0</v>
      </c>
      <c r="S306" s="42" t="str">
        <f t="shared" si="6"/>
        <v/>
      </c>
      <c r="T306" s="42"/>
    </row>
    <row r="307" ht="22.5" customHeight="1">
      <c r="B307" s="42">
        <f t="shared" si="7"/>
        <v>301</v>
      </c>
      <c r="C307" s="31" t="s">
        <v>495</v>
      </c>
      <c r="D307" s="34" t="str">
        <f t="array" ref="D307">IFNA(_xlfn.XLOOKUP(C307,Table_Tarikan_Warkah[Nomor Sertipikat],Table_Tarikan_Warkah[Nomor Tiket]),"")</f>
        <v>K/47/211124/1</v>
      </c>
      <c r="E307" s="36" t="str">
        <f t="array" ref="E307">IFNA(_xlfn.XLOOKUP(D307,Table_Tarikan_Warkah[Nomor Tiket],Table_Tarikan_Warkah[Tanggal diserahkan kepada Validator]),"")</f>
        <v>25/11/2024 11.02</v>
      </c>
      <c r="F307" s="36" t="str">
        <f t="array" ref="F307">IFNA(_xlfn.XLOOKUP(D307,Table_Tarikan_Warkah[Nomor Tiket],Table_Tarikan_Warkah[Nama Petugas Warkah]),"")</f>
        <v>David</v>
      </c>
      <c r="G307" s="39" t="str">
        <f t="array" ref="G307">IFNA(_xlfn.XLOOKUP(D307,Table_Tarikan_Warkah[Nomor Tiket],Table_Tarikan_Warkah[Jenis Permohonan]),"")</f>
        <v>BN Jual Beli</v>
      </c>
      <c r="H307" s="41" t="s">
        <v>20</v>
      </c>
      <c r="I307" s="41" t="s">
        <v>12</v>
      </c>
      <c r="J307" s="36">
        <f t="shared" si="17"/>
        <v>45622.47924</v>
      </c>
      <c r="K307" s="41" t="s">
        <v>26</v>
      </c>
      <c r="L307" s="41" t="s">
        <v>12</v>
      </c>
      <c r="M307" s="36">
        <f t="shared" si="18"/>
        <v>45622.47931</v>
      </c>
      <c r="N307" s="30" t="str">
        <f t="shared" si="3"/>
        <v>SELESAI</v>
      </c>
      <c r="O307" s="45">
        <f t="shared" si="12"/>
        <v>45622.47931</v>
      </c>
      <c r="P307" s="47" t="b">
        <v>0</v>
      </c>
      <c r="Q307" s="36" t="str">
        <f t="shared" si="19"/>
        <v/>
      </c>
      <c r="R307" s="47" t="b">
        <v>1</v>
      </c>
      <c r="S307" s="36">
        <f t="shared" si="6"/>
        <v>45624.65004</v>
      </c>
      <c r="T307" s="30" t="s">
        <v>496</v>
      </c>
    </row>
    <row r="308" ht="22.5" customHeight="1">
      <c r="B308" s="42">
        <f t="shared" si="7"/>
        <v>302</v>
      </c>
      <c r="C308" s="31" t="s">
        <v>497</v>
      </c>
      <c r="D308" s="34" t="str">
        <f t="array" ref="D308">IFNA(_xlfn.XLOOKUP(C308,Table_Tarikan_Warkah[Nomor Sertipikat],Table_Tarikan_Warkah[Nomor Tiket]),"")</f>
        <v>K/29/201124/2</v>
      </c>
      <c r="E308" s="36" t="str">
        <f t="array" ref="E308">IFNA(_xlfn.XLOOKUP(D308,Table_Tarikan_Warkah[Nomor Tiket],Table_Tarikan_Warkah[Tanggal diserahkan kepada Validator]),"")</f>
        <v>26/11/2024 12.03</v>
      </c>
      <c r="F308" s="36" t="str">
        <f t="array" ref="F308">IFNA(_xlfn.XLOOKUP(D308,Table_Tarikan_Warkah[Nomor Tiket],Table_Tarikan_Warkah[Nama Petugas Warkah]),"")</f>
        <v>David</v>
      </c>
      <c r="G308" s="39" t="str">
        <f t="array" ref="G308">IFNA(_xlfn.XLOOKUP(D308,Table_Tarikan_Warkah[Nomor Tiket],Table_Tarikan_Warkah[Jenis Permohonan]),"")</f>
        <v>BN JUAL BELI</v>
      </c>
      <c r="H308" s="41" t="s">
        <v>11</v>
      </c>
      <c r="I308" s="41" t="s">
        <v>12</v>
      </c>
      <c r="J308" s="36">
        <f t="shared" si="17"/>
        <v>45622.59712</v>
      </c>
      <c r="K308" s="41" t="s">
        <v>197</v>
      </c>
      <c r="L308" s="41" t="s">
        <v>12</v>
      </c>
      <c r="M308" s="36">
        <f t="shared" si="18"/>
        <v>45624.65004</v>
      </c>
      <c r="N308" s="30" t="str">
        <f t="shared" si="3"/>
        <v>SELESAI</v>
      </c>
      <c r="O308" s="45">
        <f t="shared" si="12"/>
        <v>45624.65004</v>
      </c>
      <c r="P308" s="47" t="b">
        <v>0</v>
      </c>
      <c r="Q308" s="36" t="str">
        <f t="shared" si="19"/>
        <v/>
      </c>
      <c r="R308" s="47" t="b">
        <v>1</v>
      </c>
      <c r="S308" s="36">
        <f t="shared" si="6"/>
        <v>45624.65004</v>
      </c>
      <c r="T308" s="42"/>
    </row>
    <row r="309" ht="22.5" customHeight="1">
      <c r="B309" s="42">
        <f t="shared" si="7"/>
        <v>303</v>
      </c>
      <c r="C309" s="31" t="s">
        <v>498</v>
      </c>
      <c r="D309" s="34" t="str">
        <f t="array" ref="D309">IFNA(_xlfn.XLOOKUP(C309,Table_Tarikan_Warkah[Nomor Sertipikat],Table_Tarikan_Warkah[Nomor Tiket]),"")</f>
        <v>K/56/251124/2</v>
      </c>
      <c r="E309" s="36" t="str">
        <f t="array" ref="E309">IFNA(_xlfn.XLOOKUP(D309,Table_Tarikan_Warkah[Nomor Tiket],Table_Tarikan_Warkah[Tanggal diserahkan kepada Validator]),"")</f>
        <v>26/11/2024 12.03</v>
      </c>
      <c r="F309" s="36" t="str">
        <f t="array" ref="F309">IFNA(_xlfn.XLOOKUP(D309,Table_Tarikan_Warkah[Nomor Tiket],Table_Tarikan_Warkah[Nama Petugas Warkah]),"")</f>
        <v>Berry</v>
      </c>
      <c r="G309" s="39" t="str">
        <f t="array" ref="G309">IFNA(_xlfn.XLOOKUP(D309,Table_Tarikan_Warkah[Nomor Tiket],Table_Tarikan_Warkah[Jenis Permohonan]),"")</f>
        <v>BN JUAL BELI</v>
      </c>
      <c r="H309" s="41" t="s">
        <v>11</v>
      </c>
      <c r="I309" s="41" t="s">
        <v>12</v>
      </c>
      <c r="J309" s="36">
        <f t="shared" si="17"/>
        <v>45622.59733</v>
      </c>
      <c r="K309" s="49" t="s">
        <v>197</v>
      </c>
      <c r="L309" s="49" t="s">
        <v>12</v>
      </c>
      <c r="M309" s="36">
        <f t="shared" si="18"/>
        <v>45624.65004</v>
      </c>
      <c r="N309" s="30" t="str">
        <f t="shared" si="3"/>
        <v>SELESAI</v>
      </c>
      <c r="O309" s="45">
        <f t="shared" si="12"/>
        <v>45624.65004</v>
      </c>
      <c r="P309" s="47" t="b">
        <v>0</v>
      </c>
      <c r="Q309" s="36" t="str">
        <f t="shared" si="19"/>
        <v/>
      </c>
      <c r="R309" s="47" t="b">
        <v>1</v>
      </c>
      <c r="S309" s="36">
        <f t="shared" si="6"/>
        <v>45624.65004</v>
      </c>
      <c r="T309" s="42"/>
    </row>
    <row r="310" ht="22.5" customHeight="1">
      <c r="B310" s="42">
        <f t="shared" si="7"/>
        <v>304</v>
      </c>
      <c r="C310" s="31" t="s">
        <v>499</v>
      </c>
      <c r="D310" s="34" t="str">
        <f t="array" ref="D310">IFNA(_xlfn.XLOOKUP(C310,Table_Tarikan_Warkah[Nomor Sertipikat],Table_Tarikan_Warkah[Nomor Tiket]),"")</f>
        <v>L/39/251124/1</v>
      </c>
      <c r="E310" s="36" t="str">
        <f t="array" ref="E310">IFNA(_xlfn.XLOOKUP(D310,Table_Tarikan_Warkah[Nomor Tiket],Table_Tarikan_Warkah[Tanggal diserahkan kepada Validator]),"")</f>
        <v>26/11/2024 12.03</v>
      </c>
      <c r="F310" s="36" t="str">
        <f t="array" ref="F310">IFNA(_xlfn.XLOOKUP(D310,Table_Tarikan_Warkah[Nomor Tiket],Table_Tarikan_Warkah[Nama Petugas Warkah]),"")</f>
        <v>Berry</v>
      </c>
      <c r="G310" s="39" t="str">
        <f t="array" ref="G310">IFNA(_xlfn.XLOOKUP(D310,Table_Tarikan_Warkah[Nomor Tiket],Table_Tarikan_Warkah[Jenis Permohonan]),"")</f>
        <v>SERTIPIKAT HILANG</v>
      </c>
      <c r="H310" s="41" t="s">
        <v>11</v>
      </c>
      <c r="I310" s="41" t="s">
        <v>12</v>
      </c>
      <c r="J310" s="36">
        <f t="shared" si="17"/>
        <v>45622.59733</v>
      </c>
      <c r="K310" s="41" t="s">
        <v>197</v>
      </c>
      <c r="L310" s="41" t="s">
        <v>12</v>
      </c>
      <c r="M310" s="36">
        <f t="shared" si="18"/>
        <v>45624.65004</v>
      </c>
      <c r="N310" s="30" t="str">
        <f t="shared" si="3"/>
        <v>SELESAI</v>
      </c>
      <c r="O310" s="45">
        <f t="shared" si="12"/>
        <v>45624.65004</v>
      </c>
      <c r="P310" s="47" t="b">
        <v>0</v>
      </c>
      <c r="Q310" s="36" t="str">
        <f t="shared" si="19"/>
        <v/>
      </c>
      <c r="R310" s="47" t="b">
        <v>1</v>
      </c>
      <c r="S310" s="36">
        <f t="shared" si="6"/>
        <v>45624.65004</v>
      </c>
      <c r="T310" s="42"/>
    </row>
    <row r="311" ht="22.5" customHeight="1">
      <c r="B311" s="42">
        <f t="shared" si="7"/>
        <v>305</v>
      </c>
      <c r="C311" s="31" t="s">
        <v>500</v>
      </c>
      <c r="D311" s="34" t="str">
        <f t="array" ref="D311">IFNA(_xlfn.XLOOKUP(C311,Table_Tarikan_Warkah[Nomor Sertipikat],Table_Tarikan_Warkah[Nomor Tiket]),"")</f>
        <v>K/24/211124/2</v>
      </c>
      <c r="E311" s="36" t="str">
        <f t="array" ref="E311">IFNA(_xlfn.XLOOKUP(D311,Table_Tarikan_Warkah[Nomor Tiket],Table_Tarikan_Warkah[Tanggal diserahkan kepada Validator]),"")</f>
        <v>26/11/2024 12.03</v>
      </c>
      <c r="F311" s="36" t="str">
        <f t="array" ref="F311">IFNA(_xlfn.XLOOKUP(D311,Table_Tarikan_Warkah[Nomor Tiket],Table_Tarikan_Warkah[Nama Petugas Warkah]),"")</f>
        <v>David</v>
      </c>
      <c r="G311" s="39" t="str">
        <f t="array" ref="G311">IFNA(_xlfn.XLOOKUP(D311,Table_Tarikan_Warkah[Nomor Tiket],Table_Tarikan_Warkah[Jenis Permohonan]),"")</f>
        <v>BN JUAL BELI</v>
      </c>
      <c r="H311" s="41" t="s">
        <v>11</v>
      </c>
      <c r="I311" s="41" t="s">
        <v>12</v>
      </c>
      <c r="J311" s="36">
        <f t="shared" si="17"/>
        <v>45622.59733</v>
      </c>
      <c r="K311" s="41" t="s">
        <v>197</v>
      </c>
      <c r="L311" s="41" t="s">
        <v>12</v>
      </c>
      <c r="M311" s="36">
        <f t="shared" si="18"/>
        <v>45624.65004</v>
      </c>
      <c r="N311" s="30" t="str">
        <f t="shared" si="3"/>
        <v>SELESAI</v>
      </c>
      <c r="O311" s="45">
        <f t="shared" si="12"/>
        <v>45624.65004</v>
      </c>
      <c r="P311" s="47" t="b">
        <v>0</v>
      </c>
      <c r="Q311" s="36" t="str">
        <f t="shared" si="19"/>
        <v/>
      </c>
      <c r="R311" s="47" t="b">
        <v>1</v>
      </c>
      <c r="S311" s="36">
        <f t="shared" si="6"/>
        <v>45624.65004</v>
      </c>
      <c r="T311" s="42"/>
    </row>
    <row r="312" ht="22.5" customHeight="1">
      <c r="B312" s="42">
        <f t="shared" si="7"/>
        <v>306</v>
      </c>
      <c r="C312" s="31" t="s">
        <v>491</v>
      </c>
      <c r="D312" s="34" t="str">
        <f t="array" ref="D312">IFNA(_xlfn.XLOOKUP(C312,Table_Tarikan_Warkah[Nomor Sertipikat],Table_Tarikan_Warkah[Nomor Tiket]),"")</f>
        <v>L/3/211124/1</v>
      </c>
      <c r="E312" s="36" t="str">
        <f t="array" ref="E312">IFNA(_xlfn.XLOOKUP(D312,Table_Tarikan_Warkah[Nomor Tiket],Table_Tarikan_Warkah[Tanggal diserahkan kepada Validator]),"")</f>
        <v>25/11/2024 11.02</v>
      </c>
      <c r="F312" s="36" t="str">
        <f t="array" ref="F312">IFNA(_xlfn.XLOOKUP(D312,Table_Tarikan_Warkah[Nomor Tiket],Table_Tarikan_Warkah[Nama Petugas Warkah]),"")</f>
        <v>David</v>
      </c>
      <c r="G312" s="39" t="str">
        <f t="array" ref="G312">IFNA(_xlfn.XLOOKUP(D312,Table_Tarikan_Warkah[Nomor Tiket],Table_Tarikan_Warkah[Jenis Permohonan]),"")</f>
        <v>ROYA</v>
      </c>
      <c r="H312" s="41" t="s">
        <v>11</v>
      </c>
      <c r="I312" s="41" t="s">
        <v>12</v>
      </c>
      <c r="J312" s="36">
        <f t="shared" si="17"/>
        <v>45622.59733</v>
      </c>
      <c r="K312" s="41" t="s">
        <v>197</v>
      </c>
      <c r="L312" s="41" t="s">
        <v>12</v>
      </c>
      <c r="M312" s="36">
        <f t="shared" si="18"/>
        <v>45624.65004</v>
      </c>
      <c r="N312" s="30" t="str">
        <f t="shared" si="3"/>
        <v>SELESAI</v>
      </c>
      <c r="O312" s="45">
        <f t="shared" si="12"/>
        <v>45624.65004</v>
      </c>
      <c r="P312" s="47" t="b">
        <v>0</v>
      </c>
      <c r="Q312" s="36" t="str">
        <f t="shared" si="19"/>
        <v/>
      </c>
      <c r="R312" s="47" t="b">
        <v>1</v>
      </c>
      <c r="S312" s="36">
        <f t="shared" si="6"/>
        <v>45624.65004</v>
      </c>
      <c r="T312" s="42"/>
    </row>
    <row r="313" ht="22.5" customHeight="1">
      <c r="B313" s="42">
        <f t="shared" si="7"/>
        <v>307</v>
      </c>
      <c r="C313" s="31" t="s">
        <v>501</v>
      </c>
      <c r="D313" s="34" t="str">
        <f t="array" ref="D313">IFNA(_xlfn.XLOOKUP(C313,Table_Tarikan_Warkah[Nomor Sertipikat],Table_Tarikan_Warkah[Nomor Tiket]),"")</f>
        <v>K/5/211124/2</v>
      </c>
      <c r="E313" s="36" t="str">
        <f t="array" ref="E313">IFNA(_xlfn.XLOOKUP(D313,Table_Tarikan_Warkah[Nomor Tiket],Table_Tarikan_Warkah[Tanggal diserahkan kepada Validator]),"")</f>
        <v>26/11/2024 12.03</v>
      </c>
      <c r="F313" s="36" t="str">
        <f t="array" ref="F313">IFNA(_xlfn.XLOOKUP(D313,Table_Tarikan_Warkah[Nomor Tiket],Table_Tarikan_Warkah[Nama Petugas Warkah]),"")</f>
        <v>David</v>
      </c>
      <c r="G313" s="39" t="str">
        <f t="array" ref="G313">IFNA(_xlfn.XLOOKUP(D313,Table_Tarikan_Warkah[Nomor Tiket],Table_Tarikan_Warkah[Jenis Permohonan]),"")</f>
        <v>BN Jual Beli</v>
      </c>
      <c r="H313" s="41" t="s">
        <v>11</v>
      </c>
      <c r="I313" s="41" t="s">
        <v>12</v>
      </c>
      <c r="J313" s="36">
        <f t="shared" si="17"/>
        <v>45622.59733</v>
      </c>
      <c r="K313" s="41" t="s">
        <v>197</v>
      </c>
      <c r="L313" s="41" t="s">
        <v>12</v>
      </c>
      <c r="M313" s="36">
        <f t="shared" si="18"/>
        <v>45624.65004</v>
      </c>
      <c r="N313" s="30" t="str">
        <f t="shared" si="3"/>
        <v>SELESAI</v>
      </c>
      <c r="O313" s="45">
        <f t="shared" si="12"/>
        <v>45624.65004</v>
      </c>
      <c r="P313" s="47" t="b">
        <v>0</v>
      </c>
      <c r="Q313" s="36" t="str">
        <f t="shared" si="19"/>
        <v/>
      </c>
      <c r="R313" s="47" t="b">
        <v>1</v>
      </c>
      <c r="S313" s="36">
        <f t="shared" si="6"/>
        <v>45624.65004</v>
      </c>
      <c r="T313" s="42"/>
    </row>
    <row r="314" ht="22.5" customHeight="1">
      <c r="B314" s="42">
        <f t="shared" si="7"/>
        <v>308</v>
      </c>
      <c r="C314" s="31" t="s">
        <v>502</v>
      </c>
      <c r="D314" s="34" t="str">
        <f t="array" ref="D314">IFNA(_xlfn.XLOOKUP(C314,Table_Tarikan_Warkah[Nomor Sertipikat],Table_Tarikan_Warkah[Nomor Tiket]),"")</f>
        <v>K/65/251124/1</v>
      </c>
      <c r="E314" s="36" t="str">
        <f t="array" ref="E314">IFNA(_xlfn.XLOOKUP(D314,Table_Tarikan_Warkah[Nomor Tiket],Table_Tarikan_Warkah[Tanggal diserahkan kepada Validator]),"")</f>
        <v>26/11/2024 12.03</v>
      </c>
      <c r="F314" s="36" t="str">
        <f t="array" ref="F314">IFNA(_xlfn.XLOOKUP(D314,Table_Tarikan_Warkah[Nomor Tiket],Table_Tarikan_Warkah[Nama Petugas Warkah]),"")</f>
        <v>Berry</v>
      </c>
      <c r="G314" s="39" t="str">
        <f t="array" ref="G314">IFNA(_xlfn.XLOOKUP(D314,Table_Tarikan_Warkah[Nomor Tiket],Table_Tarikan_Warkah[Jenis Permohonan]),"")</f>
        <v>ROYA</v>
      </c>
      <c r="H314" s="41" t="s">
        <v>11</v>
      </c>
      <c r="I314" s="41" t="s">
        <v>12</v>
      </c>
      <c r="J314" s="36">
        <f t="shared" si="17"/>
        <v>45622.59733</v>
      </c>
      <c r="K314" s="41" t="s">
        <v>197</v>
      </c>
      <c r="L314" s="41" t="s">
        <v>12</v>
      </c>
      <c r="M314" s="36">
        <f t="shared" si="18"/>
        <v>45624.65004</v>
      </c>
      <c r="N314" s="30" t="str">
        <f t="shared" si="3"/>
        <v>SELESAI</v>
      </c>
      <c r="O314" s="45">
        <f t="shared" si="12"/>
        <v>45624.65004</v>
      </c>
      <c r="P314" s="47" t="b">
        <v>0</v>
      </c>
      <c r="Q314" s="36" t="str">
        <f t="shared" si="19"/>
        <v/>
      </c>
      <c r="R314" s="47" t="b">
        <v>1</v>
      </c>
      <c r="S314" s="36">
        <f t="shared" si="6"/>
        <v>45624.65004</v>
      </c>
      <c r="T314" s="42"/>
    </row>
    <row r="315" ht="22.5" customHeight="1">
      <c r="B315" s="42">
        <f t="shared" si="7"/>
        <v>309</v>
      </c>
      <c r="C315" s="31" t="s">
        <v>503</v>
      </c>
      <c r="D315" s="34" t="str">
        <f t="array" ref="D315">IFNA(_xlfn.XLOOKUP(C315,Table_Tarikan_Warkah[Nomor Sertipikat],Table_Tarikan_Warkah[Nomor Tiket]),"")</f>
        <v>K/57/251124/3</v>
      </c>
      <c r="E315" s="36" t="str">
        <f t="array" ref="E315">IFNA(_xlfn.XLOOKUP(D315,Table_Tarikan_Warkah[Nomor Tiket],Table_Tarikan_Warkah[Tanggal diserahkan kepada Validator]),"")</f>
        <v>26/11/2024 12.03</v>
      </c>
      <c r="F315" s="36" t="str">
        <f t="array" ref="F315">IFNA(_xlfn.XLOOKUP(D315,Table_Tarikan_Warkah[Nomor Tiket],Table_Tarikan_Warkah[Nama Petugas Warkah]),"")</f>
        <v>Berry</v>
      </c>
      <c r="G315" s="39" t="str">
        <f t="array" ref="G315">IFNA(_xlfn.XLOOKUP(D315,Table_Tarikan_Warkah[Nomor Tiket],Table_Tarikan_Warkah[Jenis Permohonan]),"")</f>
        <v>BN JUAL BELI</v>
      </c>
      <c r="H315" s="41" t="s">
        <v>11</v>
      </c>
      <c r="I315" s="41" t="s">
        <v>12</v>
      </c>
      <c r="J315" s="36">
        <f t="shared" si="17"/>
        <v>45622.59733</v>
      </c>
      <c r="K315" s="49" t="s">
        <v>197</v>
      </c>
      <c r="L315" s="49" t="s">
        <v>12</v>
      </c>
      <c r="M315" s="36">
        <f t="shared" si="18"/>
        <v>45624.65004</v>
      </c>
      <c r="N315" s="30" t="str">
        <f t="shared" si="3"/>
        <v>SELESAI</v>
      </c>
      <c r="O315" s="45">
        <f t="shared" si="12"/>
        <v>45624.65004</v>
      </c>
      <c r="P315" s="47" t="b">
        <v>0</v>
      </c>
      <c r="Q315" s="36" t="str">
        <f t="shared" si="19"/>
        <v/>
      </c>
      <c r="R315" s="47" t="b">
        <v>1</v>
      </c>
      <c r="S315" s="36">
        <f t="shared" si="6"/>
        <v>45624.65004</v>
      </c>
      <c r="T315" s="42"/>
    </row>
    <row r="316" ht="22.5" customHeight="1">
      <c r="B316" s="42">
        <f t="shared" si="7"/>
        <v>310</v>
      </c>
      <c r="C316" s="31" t="s">
        <v>504</v>
      </c>
      <c r="D316" s="34" t="str">
        <f t="array" ref="D316">IFNA(_xlfn.XLOOKUP(C316,Table_Tarikan_Warkah[Nomor Sertipikat],Table_Tarikan_Warkah[Nomor Tiket]),"")</f>
        <v>K/59/251124/1</v>
      </c>
      <c r="E316" s="36" t="str">
        <f t="array" ref="E316">IFNA(_xlfn.XLOOKUP(D316,Table_Tarikan_Warkah[Nomor Tiket],Table_Tarikan_Warkah[Tanggal diserahkan kepada Validator]),"")</f>
        <v>26/11/2024 12.03</v>
      </c>
      <c r="F316" s="36" t="str">
        <f t="array" ref="F316">IFNA(_xlfn.XLOOKUP(D316,Table_Tarikan_Warkah[Nomor Tiket],Table_Tarikan_Warkah[Nama Petugas Warkah]),"")</f>
        <v>Berry</v>
      </c>
      <c r="G316" s="39" t="str">
        <f t="array" ref="G316">IFNA(_xlfn.XLOOKUP(D316,Table_Tarikan_Warkah[Nomor Tiket],Table_Tarikan_Warkah[Jenis Permohonan]),"")</f>
        <v>BN JUAL BELI</v>
      </c>
      <c r="H316" s="41" t="s">
        <v>11</v>
      </c>
      <c r="I316" s="41" t="s">
        <v>12</v>
      </c>
      <c r="J316" s="36">
        <f t="shared" si="17"/>
        <v>45622.59733</v>
      </c>
      <c r="K316" s="41" t="s">
        <v>197</v>
      </c>
      <c r="L316" s="41" t="s">
        <v>12</v>
      </c>
      <c r="M316" s="36">
        <f t="shared" si="18"/>
        <v>45624.65004</v>
      </c>
      <c r="N316" s="30" t="str">
        <f t="shared" si="3"/>
        <v>SELESAI</v>
      </c>
      <c r="O316" s="45">
        <f t="shared" si="12"/>
        <v>45624.65004</v>
      </c>
      <c r="P316" s="47" t="b">
        <v>0</v>
      </c>
      <c r="Q316" s="36" t="str">
        <f t="shared" si="19"/>
        <v/>
      </c>
      <c r="R316" s="47" t="b">
        <v>1</v>
      </c>
      <c r="S316" s="36">
        <f t="shared" si="6"/>
        <v>45624.65004</v>
      </c>
      <c r="T316" s="42"/>
    </row>
    <row r="317" ht="22.5" customHeight="1">
      <c r="B317" s="42">
        <f t="shared" si="7"/>
        <v>311</v>
      </c>
      <c r="C317" s="31" t="s">
        <v>505</v>
      </c>
      <c r="D317" s="34" t="str">
        <f t="array" ref="D317">IFNA(_xlfn.XLOOKUP(C317,Table_Tarikan_Warkah[Nomor Sertipikat],Table_Tarikan_Warkah[Nomor Tiket]),"")</f>
        <v/>
      </c>
      <c r="E317" s="36" t="str">
        <f t="array" ref="E317">IFNA(_xlfn.XLOOKUP(D317,Table_Tarikan_Warkah[Nomor Tiket],Table_Tarikan_Warkah[Tanggal diserahkan kepada Validator]),"")</f>
        <v/>
      </c>
      <c r="F317" s="36" t="str">
        <f t="array" ref="F317">IFNA(_xlfn.XLOOKUP(D317,Table_Tarikan_Warkah[Nomor Tiket],Table_Tarikan_Warkah[Nama Petugas Warkah]),"")</f>
        <v/>
      </c>
      <c r="G317" s="39" t="str">
        <f t="array" ref="G317">IFNA(_xlfn.XLOOKUP(D317,Table_Tarikan_Warkah[Nomor Tiket],Table_Tarikan_Warkah[Jenis Permohonan]),"")</f>
        <v/>
      </c>
      <c r="H317" s="41" t="s">
        <v>11</v>
      </c>
      <c r="I317" s="41" t="s">
        <v>12</v>
      </c>
      <c r="J317" s="36">
        <f t="shared" si="17"/>
        <v>45622.59733</v>
      </c>
      <c r="K317" s="41" t="s">
        <v>197</v>
      </c>
      <c r="L317" s="41" t="s">
        <v>12</v>
      </c>
      <c r="M317" s="36">
        <f t="shared" si="18"/>
        <v>45624.65004</v>
      </c>
      <c r="N317" s="30" t="str">
        <f t="shared" si="3"/>
        <v/>
      </c>
      <c r="O317" s="39" t="str">
        <f t="shared" si="12"/>
        <v/>
      </c>
      <c r="P317" s="47" t="b">
        <v>0</v>
      </c>
      <c r="Q317" s="36" t="str">
        <f t="shared" si="19"/>
        <v/>
      </c>
      <c r="R317" s="47" t="b">
        <v>1</v>
      </c>
      <c r="S317" s="36">
        <f t="shared" si="6"/>
        <v>45624.65004</v>
      </c>
      <c r="T317" s="42"/>
    </row>
    <row r="318" ht="22.5" customHeight="1">
      <c r="B318" s="42">
        <f t="shared" si="7"/>
        <v>312</v>
      </c>
      <c r="C318" s="31" t="s">
        <v>506</v>
      </c>
      <c r="D318" s="34" t="str">
        <f t="array" ref="D318">IFNA(_xlfn.XLOOKUP(C318,Table_Tarikan_Warkah[Nomor Sertipikat],Table_Tarikan_Warkah[Nomor Tiket]),"")</f>
        <v>K/27/191124/2</v>
      </c>
      <c r="E318" s="36" t="str">
        <f t="array" ref="E318">IFNA(_xlfn.XLOOKUP(D318,Table_Tarikan_Warkah[Nomor Tiket],Table_Tarikan_Warkah[Tanggal diserahkan kepada Validator]),"")</f>
        <v/>
      </c>
      <c r="F318" s="36" t="str">
        <f t="array" ref="F318">IFNA(_xlfn.XLOOKUP(D318,Table_Tarikan_Warkah[Nomor Tiket],Table_Tarikan_Warkah[Nama Petugas Warkah]),"")</f>
        <v>David</v>
      </c>
      <c r="G318" s="39" t="str">
        <f t="array" ref="G318">IFNA(_xlfn.XLOOKUP(D318,Table_Tarikan_Warkah[Nomor Tiket],Table_Tarikan_Warkah[Jenis Permohonan]),"")</f>
        <v>KEWARISAN</v>
      </c>
      <c r="H318" s="41" t="s">
        <v>11</v>
      </c>
      <c r="I318" s="41" t="s">
        <v>23</v>
      </c>
      <c r="J318" s="36">
        <f t="shared" si="17"/>
        <v>45622.59743</v>
      </c>
      <c r="K318" s="49" t="s">
        <v>26</v>
      </c>
      <c r="L318" s="49" t="s">
        <v>23</v>
      </c>
      <c r="M318" s="36">
        <f t="shared" si="18"/>
        <v>45624.65004</v>
      </c>
      <c r="N318" s="30" t="str">
        <f t="shared" si="3"/>
        <v>Selesai</v>
      </c>
      <c r="O318" s="45">
        <f t="shared" si="12"/>
        <v>45624.65004</v>
      </c>
      <c r="P318" s="47" t="b">
        <v>1</v>
      </c>
      <c r="Q318" s="36">
        <f t="shared" si="19"/>
        <v>45624.65004</v>
      </c>
      <c r="R318" s="47" t="b">
        <v>0</v>
      </c>
      <c r="S318" s="42" t="str">
        <f t="shared" si="6"/>
        <v/>
      </c>
      <c r="T318" s="42"/>
    </row>
    <row r="319" ht="22.5" customHeight="1">
      <c r="B319" s="42">
        <f t="shared" si="7"/>
        <v>313</v>
      </c>
      <c r="C319" s="31" t="s">
        <v>507</v>
      </c>
      <c r="D319" s="34" t="str">
        <f t="array" ref="D319">IFNA(_xlfn.XLOOKUP(C319,Table_Tarikan_Warkah[Nomor Sertipikat],Table_Tarikan_Warkah[Nomor Tiket]),"")</f>
        <v>L/45/191124/1</v>
      </c>
      <c r="E319" s="36" t="str">
        <f t="array" ref="E319">IFNA(_xlfn.XLOOKUP(D319,Table_Tarikan_Warkah[Nomor Tiket],Table_Tarikan_Warkah[Tanggal diserahkan kepada Validator]),"")</f>
        <v>26/11/2024 12.03</v>
      </c>
      <c r="F319" s="36" t="str">
        <f t="array" ref="F319">IFNA(_xlfn.XLOOKUP(D319,Table_Tarikan_Warkah[Nomor Tiket],Table_Tarikan_Warkah[Nama Petugas Warkah]),"")</f>
        <v>Berry</v>
      </c>
      <c r="G319" s="39" t="str">
        <f t="array" ref="G319">IFNA(_xlfn.XLOOKUP(D319,Table_Tarikan_Warkah[Nomor Tiket],Table_Tarikan_Warkah[Jenis Permohonan]),"")</f>
        <v>ROYA</v>
      </c>
      <c r="H319" s="41" t="s">
        <v>20</v>
      </c>
      <c r="I319" s="41" t="s">
        <v>12</v>
      </c>
      <c r="J319" s="36">
        <f t="shared" si="17"/>
        <v>45622.66638</v>
      </c>
      <c r="K319" s="41" t="s">
        <v>197</v>
      </c>
      <c r="L319" s="41" t="s">
        <v>12</v>
      </c>
      <c r="M319" s="36">
        <f t="shared" si="18"/>
        <v>45624.65004</v>
      </c>
      <c r="N319" s="30" t="str">
        <f t="shared" si="3"/>
        <v>SELESAI</v>
      </c>
      <c r="O319" s="45">
        <f t="shared" si="12"/>
        <v>45624.65004</v>
      </c>
      <c r="P319" s="47" t="b">
        <v>0</v>
      </c>
      <c r="Q319" s="36" t="str">
        <f t="shared" si="19"/>
        <v/>
      </c>
      <c r="R319" s="47" t="b">
        <v>1</v>
      </c>
      <c r="S319" s="36">
        <f t="shared" si="6"/>
        <v>45625.43931</v>
      </c>
      <c r="T319" s="42"/>
    </row>
    <row r="320" ht="22.5" customHeight="1">
      <c r="B320" s="42">
        <f t="shared" si="7"/>
        <v>314</v>
      </c>
      <c r="C320" s="31" t="s">
        <v>508</v>
      </c>
      <c r="D320" s="34" t="str">
        <f t="array" ref="D320">IFNA(_xlfn.XLOOKUP(C320,Table_Tarikan_Warkah[Nomor Sertipikat],Table_Tarikan_Warkah[Nomor Tiket]),"")</f>
        <v>K/7/221124/1</v>
      </c>
      <c r="E320" s="36" t="str">
        <f t="array" ref="E320">IFNA(_xlfn.XLOOKUP(D320,Table_Tarikan_Warkah[Nomor Tiket],Table_Tarikan_Warkah[Tanggal diserahkan kepada Validator]),"")</f>
        <v>26/11/2024 10.14</v>
      </c>
      <c r="F320" s="36" t="str">
        <f t="array" ref="F320">IFNA(_xlfn.XLOOKUP(D320,Table_Tarikan_Warkah[Nomor Tiket],Table_Tarikan_Warkah[Nama Petugas Warkah]),"")</f>
        <v>David</v>
      </c>
      <c r="G320" s="39" t="str">
        <f t="array" ref="G320">IFNA(_xlfn.XLOOKUP(D320,Table_Tarikan_Warkah[Nomor Tiket],Table_Tarikan_Warkah[Jenis Permohonan]),"")</f>
        <v>ROYA</v>
      </c>
      <c r="H320" s="41" t="s">
        <v>20</v>
      </c>
      <c r="I320" s="41" t="s">
        <v>12</v>
      </c>
      <c r="J320" s="36">
        <f t="shared" si="17"/>
        <v>45622.6674</v>
      </c>
      <c r="K320" s="41" t="s">
        <v>197</v>
      </c>
      <c r="L320" s="41" t="s">
        <v>12</v>
      </c>
      <c r="M320" s="36">
        <f t="shared" si="18"/>
        <v>45624.65004</v>
      </c>
      <c r="N320" s="30" t="str">
        <f t="shared" si="3"/>
        <v>SELESAI</v>
      </c>
      <c r="O320" s="45">
        <f t="shared" si="12"/>
        <v>45624.65004</v>
      </c>
      <c r="P320" s="47" t="b">
        <v>0</v>
      </c>
      <c r="Q320" s="36" t="str">
        <f t="shared" si="19"/>
        <v/>
      </c>
      <c r="R320" s="47" t="b">
        <v>1</v>
      </c>
      <c r="S320" s="36">
        <f t="shared" si="6"/>
        <v>45625.43937</v>
      </c>
      <c r="T320" s="42"/>
    </row>
    <row r="321" ht="22.5" customHeight="1">
      <c r="B321" s="42">
        <f t="shared" si="7"/>
        <v>315</v>
      </c>
      <c r="C321" s="31" t="s">
        <v>509</v>
      </c>
      <c r="D321" s="34" t="str">
        <f t="array" ref="D321">IFNA(_xlfn.XLOOKUP(C321,Table_Tarikan_Warkah[Nomor Sertipikat],Table_Tarikan_Warkah[Nomor Tiket]),"")</f>
        <v>K/11/221124/1</v>
      </c>
      <c r="E321" s="36" t="str">
        <f t="array" ref="E321">IFNA(_xlfn.XLOOKUP(D321,Table_Tarikan_Warkah[Nomor Tiket],Table_Tarikan_Warkah[Tanggal diserahkan kepada Validator]),"")</f>
        <v>26/11/2024 10.15</v>
      </c>
      <c r="F321" s="36" t="str">
        <f t="array" ref="F321">IFNA(_xlfn.XLOOKUP(D321,Table_Tarikan_Warkah[Nomor Tiket],Table_Tarikan_Warkah[Nama Petugas Warkah]),"")</f>
        <v>David</v>
      </c>
      <c r="G321" s="39" t="str">
        <f t="array" ref="G321">IFNA(_xlfn.XLOOKUP(D321,Table_Tarikan_Warkah[Nomor Tiket],Table_Tarikan_Warkah[Jenis Permohonan]),"")</f>
        <v>BN JUAL BELI</v>
      </c>
      <c r="H321" s="41" t="s">
        <v>20</v>
      </c>
      <c r="I321" s="41" t="s">
        <v>12</v>
      </c>
      <c r="J321" s="36">
        <f t="shared" si="17"/>
        <v>45622.66751</v>
      </c>
      <c r="K321" s="41" t="s">
        <v>197</v>
      </c>
      <c r="L321" s="41" t="s">
        <v>12</v>
      </c>
      <c r="M321" s="36">
        <f t="shared" si="18"/>
        <v>45624.65004</v>
      </c>
      <c r="N321" s="30" t="str">
        <f t="shared" si="3"/>
        <v>SELESAI</v>
      </c>
      <c r="O321" s="45">
        <f t="shared" si="12"/>
        <v>45624.65004</v>
      </c>
      <c r="P321" s="47" t="b">
        <v>0</v>
      </c>
      <c r="Q321" s="36" t="str">
        <f t="shared" si="19"/>
        <v/>
      </c>
      <c r="R321" s="47" t="b">
        <v>1</v>
      </c>
      <c r="S321" s="36">
        <f t="shared" si="6"/>
        <v>45625.43937</v>
      </c>
      <c r="T321" s="42"/>
    </row>
    <row r="322" ht="22.5" customHeight="1">
      <c r="B322" s="42">
        <f t="shared" si="7"/>
        <v>316</v>
      </c>
      <c r="C322" s="31" t="s">
        <v>510</v>
      </c>
      <c r="D322" s="34" t="str">
        <f t="array" ref="D322">IFNA(_xlfn.XLOOKUP(C322,Table_Tarikan_Warkah[Nomor Sertipikat],Table_Tarikan_Warkah[Nomor Tiket]),"")</f>
        <v>K/12/221124/2</v>
      </c>
      <c r="E322" s="36" t="str">
        <f t="array" ref="E322">IFNA(_xlfn.XLOOKUP(D322,Table_Tarikan_Warkah[Nomor Tiket],Table_Tarikan_Warkah[Tanggal diserahkan kepada Validator]),"")</f>
        <v>26/11/2024 10.15</v>
      </c>
      <c r="F322" s="36" t="str">
        <f t="array" ref="F322">IFNA(_xlfn.XLOOKUP(D322,Table_Tarikan_Warkah[Nomor Tiket],Table_Tarikan_Warkah[Nama Petugas Warkah]),"")</f>
        <v>David</v>
      </c>
      <c r="G322" s="39" t="str">
        <f t="array" ref="G322">IFNA(_xlfn.XLOOKUP(D322,Table_Tarikan_Warkah[Nomor Tiket],Table_Tarikan_Warkah[Jenis Permohonan]),"")</f>
        <v>BN JUAL BELI</v>
      </c>
      <c r="H322" s="41" t="s">
        <v>20</v>
      </c>
      <c r="I322" s="41" t="s">
        <v>12</v>
      </c>
      <c r="J322" s="36">
        <f t="shared" si="17"/>
        <v>45622.6676</v>
      </c>
      <c r="K322" s="41" t="s">
        <v>197</v>
      </c>
      <c r="L322" s="41" t="s">
        <v>12</v>
      </c>
      <c r="M322" s="36">
        <f t="shared" si="18"/>
        <v>45624.65004</v>
      </c>
      <c r="N322" s="30" t="str">
        <f t="shared" si="3"/>
        <v>SELESAI</v>
      </c>
      <c r="O322" s="45">
        <f t="shared" si="12"/>
        <v>45624.65004</v>
      </c>
      <c r="P322" s="47" t="b">
        <v>0</v>
      </c>
      <c r="Q322" s="36" t="str">
        <f t="shared" si="19"/>
        <v/>
      </c>
      <c r="R322" s="47" t="b">
        <v>1</v>
      </c>
      <c r="S322" s="36">
        <f t="shared" si="6"/>
        <v>45625.43946</v>
      </c>
      <c r="T322" s="42"/>
    </row>
    <row r="323" ht="22.5" customHeight="1">
      <c r="B323" s="42">
        <f t="shared" si="7"/>
        <v>317</v>
      </c>
      <c r="C323" s="31" t="s">
        <v>511</v>
      </c>
      <c r="D323" s="34" t="str">
        <f t="array" ref="D323">IFNA(_xlfn.XLOOKUP(C323,Table_Tarikan_Warkah[Nomor Sertipikat],Table_Tarikan_Warkah[Nomor Tiket]),"")</f>
        <v>L/20/221124/1</v>
      </c>
      <c r="E323" s="36" t="str">
        <f t="array" ref="E323">IFNA(_xlfn.XLOOKUP(D323,Table_Tarikan_Warkah[Nomor Tiket],Table_Tarikan_Warkah[Tanggal diserahkan kepada Validator]),"")</f>
        <v>26/11/2024 10.16</v>
      </c>
      <c r="F323" s="36" t="str">
        <f t="array" ref="F323">IFNA(_xlfn.XLOOKUP(D323,Table_Tarikan_Warkah[Nomor Tiket],Table_Tarikan_Warkah[Nama Petugas Warkah]),"")</f>
        <v>David</v>
      </c>
      <c r="G323" s="39" t="str">
        <f t="array" ref="G323">IFNA(_xlfn.XLOOKUP(D323,Table_Tarikan_Warkah[Nomor Tiket],Table_Tarikan_Warkah[Jenis Permohonan]),"")</f>
        <v>ROYA</v>
      </c>
      <c r="H323" s="41" t="s">
        <v>20</v>
      </c>
      <c r="I323" s="41" t="s">
        <v>12</v>
      </c>
      <c r="J323" s="36">
        <f t="shared" si="17"/>
        <v>45622.66768</v>
      </c>
      <c r="K323" s="41" t="s">
        <v>197</v>
      </c>
      <c r="L323" s="41" t="s">
        <v>12</v>
      </c>
      <c r="M323" s="36">
        <f t="shared" si="18"/>
        <v>45624.65004</v>
      </c>
      <c r="N323" s="30" t="str">
        <f t="shared" si="3"/>
        <v>SELESAI</v>
      </c>
      <c r="O323" s="45">
        <f t="shared" si="12"/>
        <v>45624.65004</v>
      </c>
      <c r="P323" s="47" t="b">
        <v>0</v>
      </c>
      <c r="Q323" s="36" t="str">
        <f t="shared" si="19"/>
        <v/>
      </c>
      <c r="R323" s="47" t="b">
        <v>1</v>
      </c>
      <c r="S323" s="36">
        <f t="shared" si="6"/>
        <v>45625.43946</v>
      </c>
      <c r="T323" s="42"/>
    </row>
    <row r="324" ht="22.5" customHeight="1">
      <c r="B324" s="42">
        <f t="shared" si="7"/>
        <v>318</v>
      </c>
      <c r="C324" s="31" t="s">
        <v>512</v>
      </c>
      <c r="D324" s="34" t="str">
        <f t="array" ref="D324">IFNA(_xlfn.XLOOKUP(C324,Table_Tarikan_Warkah[Nomor Sertipikat],Table_Tarikan_Warkah[Nomor Tiket]),"")</f>
        <v>K/34/221124/1</v>
      </c>
      <c r="E324" s="36" t="str">
        <f t="array" ref="E324">IFNA(_xlfn.XLOOKUP(D324,Table_Tarikan_Warkah[Nomor Tiket],Table_Tarikan_Warkah[Tanggal diserahkan kepada Validator]),"")</f>
        <v>26/11/2024 10.20</v>
      </c>
      <c r="F324" s="36" t="str">
        <f t="array" ref="F324">IFNA(_xlfn.XLOOKUP(D324,Table_Tarikan_Warkah[Nomor Tiket],Table_Tarikan_Warkah[Nama Petugas Warkah]),"")</f>
        <v>David</v>
      </c>
      <c r="G324" s="39" t="str">
        <f t="array" ref="G324">IFNA(_xlfn.XLOOKUP(D324,Table_Tarikan_Warkah[Nomor Tiket],Table_Tarikan_Warkah[Jenis Permohonan]),"")</f>
        <v>BN JUAL BELI</v>
      </c>
      <c r="H324" s="41" t="s">
        <v>20</v>
      </c>
      <c r="I324" s="41" t="s">
        <v>12</v>
      </c>
      <c r="J324" s="36">
        <f t="shared" si="17"/>
        <v>45622.66815</v>
      </c>
      <c r="K324" s="41" t="s">
        <v>197</v>
      </c>
      <c r="L324" s="41" t="s">
        <v>12</v>
      </c>
      <c r="M324" s="36">
        <f t="shared" si="18"/>
        <v>45624.65004</v>
      </c>
      <c r="N324" s="30" t="str">
        <f t="shared" si="3"/>
        <v>SELESAI</v>
      </c>
      <c r="O324" s="45">
        <f t="shared" si="12"/>
        <v>45624.65004</v>
      </c>
      <c r="P324" s="47" t="b">
        <v>0</v>
      </c>
      <c r="Q324" s="36" t="str">
        <f t="shared" si="19"/>
        <v/>
      </c>
      <c r="R324" s="47" t="b">
        <v>1</v>
      </c>
      <c r="S324" s="36">
        <f t="shared" si="6"/>
        <v>45625.44138</v>
      </c>
      <c r="T324" s="42"/>
    </row>
    <row r="325" ht="22.5" customHeight="1">
      <c r="B325" s="42">
        <f t="shared" si="7"/>
        <v>319</v>
      </c>
      <c r="C325" s="31" t="s">
        <v>513</v>
      </c>
      <c r="D325" s="34" t="str">
        <f t="array" ref="D325">IFNA(_xlfn.XLOOKUP(C325,Table_Tarikan_Warkah[Nomor Sertipikat],Table_Tarikan_Warkah[Nomor Tiket]),"")</f>
        <v>K/39/221124/1</v>
      </c>
      <c r="E325" s="36" t="str">
        <f t="array" ref="E325">IFNA(_xlfn.XLOOKUP(D325,Table_Tarikan_Warkah[Nomor Tiket],Table_Tarikan_Warkah[Tanggal diserahkan kepada Validator]),"")</f>
        <v>26/11/2024 10.20</v>
      </c>
      <c r="F325" s="36" t="str">
        <f t="array" ref="F325">IFNA(_xlfn.XLOOKUP(D325,Table_Tarikan_Warkah[Nomor Tiket],Table_Tarikan_Warkah[Nama Petugas Warkah]),"")</f>
        <v>David</v>
      </c>
      <c r="G325" s="39" t="str">
        <f t="array" ref="G325">IFNA(_xlfn.XLOOKUP(D325,Table_Tarikan_Warkah[Nomor Tiket],Table_Tarikan_Warkah[Jenis Permohonan]),"")</f>
        <v>Roya</v>
      </c>
      <c r="H325" s="41" t="s">
        <v>20</v>
      </c>
      <c r="I325" s="41" t="s">
        <v>12</v>
      </c>
      <c r="J325" s="36">
        <f t="shared" si="17"/>
        <v>45622.66825</v>
      </c>
      <c r="K325" s="41" t="s">
        <v>197</v>
      </c>
      <c r="L325" s="41" t="s">
        <v>12</v>
      </c>
      <c r="M325" s="36">
        <f t="shared" si="18"/>
        <v>45624.65004</v>
      </c>
      <c r="N325" s="30" t="str">
        <f t="shared" si="3"/>
        <v>SELESAI</v>
      </c>
      <c r="O325" s="45">
        <f t="shared" si="12"/>
        <v>45624.65004</v>
      </c>
      <c r="P325" s="47" t="b">
        <v>0</v>
      </c>
      <c r="Q325" s="36" t="str">
        <f t="shared" si="19"/>
        <v/>
      </c>
      <c r="R325" s="47" t="b">
        <v>1</v>
      </c>
      <c r="S325" s="36">
        <f t="shared" si="6"/>
        <v>45625.44138</v>
      </c>
      <c r="T325" s="42"/>
    </row>
    <row r="326" ht="22.5" customHeight="1">
      <c r="B326" s="42">
        <f t="shared" si="7"/>
        <v>320</v>
      </c>
      <c r="C326" s="31" t="s">
        <v>514</v>
      </c>
      <c r="D326" s="34" t="str">
        <f t="array" ref="D326">IFNA(_xlfn.XLOOKUP(C326,Table_Tarikan_Warkah[Nomor Sertipikat],Table_Tarikan_Warkah[Nomor Tiket]),"")</f>
        <v>L/24/251124/2</v>
      </c>
      <c r="E326" s="36" t="str">
        <f t="array" ref="E326">IFNA(_xlfn.XLOOKUP(D326,Table_Tarikan_Warkah[Nomor Tiket],Table_Tarikan_Warkah[Tanggal diserahkan kepada Validator]),"")</f>
        <v>26/11/2024 12.03</v>
      </c>
      <c r="F326" s="36" t="str">
        <f t="array" ref="F326">IFNA(_xlfn.XLOOKUP(D326,Table_Tarikan_Warkah[Nomor Tiket],Table_Tarikan_Warkah[Nama Petugas Warkah]),"")</f>
        <v>Berry</v>
      </c>
      <c r="G326" s="39" t="str">
        <f t="array" ref="G326">IFNA(_xlfn.XLOOKUP(D326,Table_Tarikan_Warkah[Nomor Tiket],Table_Tarikan_Warkah[Jenis Permohonan]),"")</f>
        <v>ROYA LELANG</v>
      </c>
      <c r="H326" s="41" t="s">
        <v>20</v>
      </c>
      <c r="I326" s="41" t="s">
        <v>12</v>
      </c>
      <c r="J326" s="36">
        <f t="shared" si="17"/>
        <v>45622.66887</v>
      </c>
      <c r="K326" s="41" t="s">
        <v>197</v>
      </c>
      <c r="L326" s="41" t="s">
        <v>12</v>
      </c>
      <c r="M326" s="36">
        <f t="shared" si="18"/>
        <v>45624.65004</v>
      </c>
      <c r="N326" s="30" t="str">
        <f t="shared" si="3"/>
        <v>SELESAI</v>
      </c>
      <c r="O326" s="45">
        <f t="shared" si="12"/>
        <v>45624.65004</v>
      </c>
      <c r="P326" s="47" t="b">
        <v>0</v>
      </c>
      <c r="Q326" s="36" t="str">
        <f t="shared" si="19"/>
        <v/>
      </c>
      <c r="R326" s="47" t="b">
        <v>1</v>
      </c>
      <c r="S326" s="36">
        <f t="shared" si="6"/>
        <v>45625.44141</v>
      </c>
      <c r="T326" s="42"/>
    </row>
    <row r="327" ht="22.5" customHeight="1">
      <c r="B327" s="42">
        <f t="shared" si="7"/>
        <v>321</v>
      </c>
      <c r="C327" s="31" t="s">
        <v>515</v>
      </c>
      <c r="D327" s="34" t="str">
        <f t="array" ref="D327">IFNA(_xlfn.XLOOKUP(C327,Table_Tarikan_Warkah[Nomor Sertipikat],Table_Tarikan_Warkah[Nomor Tiket]),"")</f>
        <v>L/29/251124/1</v>
      </c>
      <c r="E327" s="36" t="str">
        <f t="array" ref="E327">IFNA(_xlfn.XLOOKUP(D327,Table_Tarikan_Warkah[Nomor Tiket],Table_Tarikan_Warkah[Tanggal diserahkan kepada Validator]),"")</f>
        <v>26/11/2024 12.03</v>
      </c>
      <c r="F327" s="36" t="str">
        <f t="array" ref="F327">IFNA(_xlfn.XLOOKUP(D327,Table_Tarikan_Warkah[Nomor Tiket],Table_Tarikan_Warkah[Nama Petugas Warkah]),"")</f>
        <v>Berry</v>
      </c>
      <c r="G327" s="39" t="str">
        <f t="array" ref="G327">IFNA(_xlfn.XLOOKUP(D327,Table_Tarikan_Warkah[Nomor Tiket],Table_Tarikan_Warkah[Jenis Permohonan]),"")</f>
        <v>BN LELANG</v>
      </c>
      <c r="H327" s="41" t="s">
        <v>20</v>
      </c>
      <c r="I327" s="41" t="s">
        <v>12</v>
      </c>
      <c r="J327" s="36">
        <f t="shared" si="17"/>
        <v>45622.66914</v>
      </c>
      <c r="K327" s="41" t="s">
        <v>197</v>
      </c>
      <c r="L327" s="41" t="s">
        <v>12</v>
      </c>
      <c r="M327" s="36">
        <f t="shared" si="18"/>
        <v>45624.65004</v>
      </c>
      <c r="N327" s="30" t="str">
        <f t="shared" si="3"/>
        <v>SELESAI</v>
      </c>
      <c r="O327" s="45">
        <f t="shared" si="12"/>
        <v>45624.65004</v>
      </c>
      <c r="P327" s="47" t="b">
        <v>0</v>
      </c>
      <c r="Q327" s="36" t="str">
        <f t="shared" si="19"/>
        <v/>
      </c>
      <c r="R327" s="47" t="b">
        <v>1</v>
      </c>
      <c r="S327" s="36">
        <f t="shared" si="6"/>
        <v>45625.44141</v>
      </c>
      <c r="T327" s="42"/>
    </row>
    <row r="328" ht="22.5" customHeight="1">
      <c r="B328" s="42">
        <f t="shared" si="7"/>
        <v>322</v>
      </c>
      <c r="C328" s="31" t="s">
        <v>516</v>
      </c>
      <c r="D328" s="34" t="str">
        <f t="array" ref="D328">IFNA(_xlfn.XLOOKUP(C328,Table_Tarikan_Warkah[Nomor Sertipikat],Table_Tarikan_Warkah[Nomor Tiket]),"")</f>
        <v>K/2/221124/2</v>
      </c>
      <c r="E328" s="36" t="str">
        <f t="array" ref="E328">IFNA(_xlfn.XLOOKUP(D328,Table_Tarikan_Warkah[Nomor Tiket],Table_Tarikan_Warkah[Tanggal diserahkan kepada Validator]),"")</f>
        <v>26/11/2024 10.13</v>
      </c>
      <c r="F328" s="36" t="str">
        <f t="array" ref="F328">IFNA(_xlfn.XLOOKUP(D328,Table_Tarikan_Warkah[Nomor Tiket],Table_Tarikan_Warkah[Nama Petugas Warkah]),"")</f>
        <v>David</v>
      </c>
      <c r="G328" s="39" t="str">
        <f t="array" ref="G328">IFNA(_xlfn.XLOOKUP(D328,Table_Tarikan_Warkah[Nomor Tiket],Table_Tarikan_Warkah[Jenis Permohonan]),"")</f>
        <v>BN JUAL BELI</v>
      </c>
      <c r="H328" s="41" t="s">
        <v>20</v>
      </c>
      <c r="I328" s="41" t="s">
        <v>23</v>
      </c>
      <c r="J328" s="36">
        <f t="shared" si="17"/>
        <v>45624.41115</v>
      </c>
      <c r="K328" s="49" t="s">
        <v>26</v>
      </c>
      <c r="L328" s="49" t="s">
        <v>23</v>
      </c>
      <c r="M328" s="36">
        <f t="shared" si="18"/>
        <v>45624.65004</v>
      </c>
      <c r="N328" s="30" t="str">
        <f t="shared" si="3"/>
        <v>Selesai</v>
      </c>
      <c r="O328" s="45">
        <f t="shared" si="12"/>
        <v>45624.65004</v>
      </c>
      <c r="P328" s="47" t="b">
        <v>1</v>
      </c>
      <c r="Q328" s="36">
        <f t="shared" si="19"/>
        <v>45625.44161</v>
      </c>
      <c r="R328" s="47" t="b">
        <v>0</v>
      </c>
      <c r="S328" s="42" t="str">
        <f t="shared" si="6"/>
        <v/>
      </c>
      <c r="T328" s="42"/>
    </row>
    <row r="329" ht="22.5" customHeight="1">
      <c r="B329" s="42">
        <f t="shared" si="7"/>
        <v>323</v>
      </c>
      <c r="C329" s="31" t="s">
        <v>517</v>
      </c>
      <c r="D329" s="34" t="str">
        <f t="array" ref="D329">IFNA(_xlfn.XLOOKUP(C329,Table_Tarikan_Warkah[Nomor Sertipikat],Table_Tarikan_Warkah[Nomor Tiket]),"")</f>
        <v>K/28/191124/1</v>
      </c>
      <c r="E329" s="36" t="str">
        <f t="array" ref="E329">IFNA(_xlfn.XLOOKUP(D329,Table_Tarikan_Warkah[Nomor Tiket],Table_Tarikan_Warkah[Tanggal diserahkan kepada Validator]),"")</f>
        <v/>
      </c>
      <c r="F329" s="36" t="str">
        <f t="array" ref="F329">IFNA(_xlfn.XLOOKUP(D329,Table_Tarikan_Warkah[Nomor Tiket],Table_Tarikan_Warkah[Nama Petugas Warkah]),"")</f>
        <v/>
      </c>
      <c r="G329" s="39" t="str">
        <f t="array" ref="G329">IFNA(_xlfn.XLOOKUP(D329,Table_Tarikan_Warkah[Nomor Tiket],Table_Tarikan_Warkah[Jenis Permohonan]),"")</f>
        <v>Ganti Nama</v>
      </c>
      <c r="H329" s="41" t="s">
        <v>20</v>
      </c>
      <c r="I329" s="41" t="s">
        <v>23</v>
      </c>
      <c r="J329" s="36">
        <f t="shared" si="17"/>
        <v>45624.41154</v>
      </c>
      <c r="K329" s="49" t="s">
        <v>26</v>
      </c>
      <c r="L329" s="49" t="s">
        <v>23</v>
      </c>
      <c r="M329" s="36">
        <f t="shared" si="18"/>
        <v>45624.65004</v>
      </c>
      <c r="N329" s="30" t="str">
        <f t="shared" si="3"/>
        <v>Selesai</v>
      </c>
      <c r="O329" s="45">
        <f t="shared" si="12"/>
        <v>45624.65004</v>
      </c>
      <c r="P329" s="47" t="b">
        <v>1</v>
      </c>
      <c r="Q329" s="36">
        <f t="shared" si="19"/>
        <v>45625.44163</v>
      </c>
      <c r="R329" s="47" t="b">
        <v>0</v>
      </c>
      <c r="S329" s="42" t="str">
        <f t="shared" si="6"/>
        <v/>
      </c>
      <c r="T329" s="42"/>
    </row>
    <row r="330" ht="22.5" customHeight="1">
      <c r="B330" s="42">
        <f t="shared" si="7"/>
        <v>324</v>
      </c>
      <c r="C330" s="31" t="s">
        <v>518</v>
      </c>
      <c r="D330" s="34" t="str">
        <f t="array" ref="D330">IFNA(_xlfn.XLOOKUP(C330,Table_Tarikan_Warkah[Nomor Sertipikat],Table_Tarikan_Warkah[Nomor Tiket]),"")</f>
        <v>K/22/221124/1</v>
      </c>
      <c r="E330" s="36" t="str">
        <f t="array" ref="E330">IFNA(_xlfn.XLOOKUP(D330,Table_Tarikan_Warkah[Nomor Tiket],Table_Tarikan_Warkah[Tanggal diserahkan kepada Validator]),"")</f>
        <v>02/12/2024 09.58</v>
      </c>
      <c r="F330" s="36" t="str">
        <f t="array" ref="F330">IFNA(_xlfn.XLOOKUP(D330,Table_Tarikan_Warkah[Nomor Tiket],Table_Tarikan_Warkah[Nama Petugas Warkah]),"")</f>
        <v>David</v>
      </c>
      <c r="G330" s="39" t="str">
        <f t="array" ref="G330">IFNA(_xlfn.XLOOKUP(D330,Table_Tarikan_Warkah[Nomor Tiket],Table_Tarikan_Warkah[Jenis Permohonan]),"")</f>
        <v>BN HIBAH</v>
      </c>
      <c r="H330" s="41" t="s">
        <v>20</v>
      </c>
      <c r="I330" s="41" t="s">
        <v>23</v>
      </c>
      <c r="J330" s="36">
        <f t="shared" si="17"/>
        <v>45624.41165</v>
      </c>
      <c r="K330" s="49" t="s">
        <v>26</v>
      </c>
      <c r="L330" s="49" t="s">
        <v>23</v>
      </c>
      <c r="M330" s="36">
        <f t="shared" si="18"/>
        <v>45624.65004</v>
      </c>
      <c r="N330" s="30" t="str">
        <f t="shared" si="3"/>
        <v>Selesai</v>
      </c>
      <c r="O330" s="45">
        <f t="shared" si="12"/>
        <v>45624.65004</v>
      </c>
      <c r="P330" s="47" t="b">
        <v>1</v>
      </c>
      <c r="Q330" s="36">
        <f t="shared" si="19"/>
        <v>45625.44165</v>
      </c>
      <c r="R330" s="47" t="b">
        <v>0</v>
      </c>
      <c r="S330" s="42" t="str">
        <f t="shared" si="6"/>
        <v/>
      </c>
      <c r="T330" s="42"/>
    </row>
    <row r="331" ht="22.5" customHeight="1">
      <c r="B331" s="42">
        <f t="shared" si="7"/>
        <v>325</v>
      </c>
      <c r="C331" s="31" t="s">
        <v>519</v>
      </c>
      <c r="D331" s="34" t="str">
        <f t="array" ref="D331">IFNA(_xlfn.XLOOKUP(C331,Table_Tarikan_Warkah[Nomor Sertipikat],Table_Tarikan_Warkah[Nomor Tiket]),"")</f>
        <v>K/25/261124/3</v>
      </c>
      <c r="E331" s="36" t="str">
        <f t="array" ref="E331">IFNA(_xlfn.XLOOKUP(D331,Table_Tarikan_Warkah[Nomor Tiket],Table_Tarikan_Warkah[Tanggal diserahkan kepada Validator]),"")</f>
        <v>28/11/2024 14.09</v>
      </c>
      <c r="F331" s="36" t="str">
        <f t="array" ref="F331">IFNA(_xlfn.XLOOKUP(D331,Table_Tarikan_Warkah[Nomor Tiket],Table_Tarikan_Warkah[Nama Petugas Warkah]),"")</f>
        <v>David</v>
      </c>
      <c r="G331" s="39" t="str">
        <f t="array" ref="G331">IFNA(_xlfn.XLOOKUP(D331,Table_Tarikan_Warkah[Nomor Tiket],Table_Tarikan_Warkah[Jenis Permohonan]),"")</f>
        <v>PERUBAHAN HAK</v>
      </c>
      <c r="H331" s="41" t="s">
        <v>11</v>
      </c>
      <c r="I331" s="41" t="s">
        <v>12</v>
      </c>
      <c r="J331" s="36">
        <f t="shared" si="17"/>
        <v>45624.68076</v>
      </c>
      <c r="K331" s="49" t="s">
        <v>197</v>
      </c>
      <c r="L331" s="49" t="s">
        <v>12</v>
      </c>
      <c r="M331" s="36">
        <f t="shared" si="18"/>
        <v>45625.46185</v>
      </c>
      <c r="N331" s="30" t="str">
        <f t="shared" si="3"/>
        <v>SELESAI</v>
      </c>
      <c r="O331" s="45">
        <f t="shared" si="12"/>
        <v>45625.46185</v>
      </c>
      <c r="P331" s="47" t="b">
        <v>0</v>
      </c>
      <c r="Q331" s="36" t="str">
        <f t="shared" si="19"/>
        <v/>
      </c>
      <c r="R331" s="47" t="b">
        <v>1</v>
      </c>
      <c r="S331" s="36">
        <f t="shared" si="6"/>
        <v>45625.44185</v>
      </c>
      <c r="T331" s="42"/>
    </row>
    <row r="332" ht="22.5" customHeight="1">
      <c r="B332" s="42">
        <f t="shared" si="7"/>
        <v>326</v>
      </c>
      <c r="C332" s="31" t="s">
        <v>520</v>
      </c>
      <c r="D332" s="34" t="str">
        <f t="array" ref="D332">IFNA(_xlfn.XLOOKUP(C332,Table_Tarikan_Warkah[Nomor Sertipikat],Table_Tarikan_Warkah[Nomor Tiket]),"")</f>
        <v>K/26/221124/1</v>
      </c>
      <c r="E332" s="36" t="str">
        <f t="array" ref="E332">IFNA(_xlfn.XLOOKUP(D332,Table_Tarikan_Warkah[Nomor Tiket],Table_Tarikan_Warkah[Tanggal diserahkan kepada Validator]),"")</f>
        <v>02/12/2024 09.56</v>
      </c>
      <c r="F332" s="36" t="str">
        <f t="array" ref="F332">IFNA(_xlfn.XLOOKUP(D332,Table_Tarikan_Warkah[Nomor Tiket],Table_Tarikan_Warkah[Nama Petugas Warkah]),"")</f>
        <v>David</v>
      </c>
      <c r="G332" s="39" t="str">
        <f t="array" ref="G332">IFNA(_xlfn.XLOOKUP(D332,Table_Tarikan_Warkah[Nomor Tiket],Table_Tarikan_Warkah[Jenis Permohonan]),"")</f>
        <v>BN JUAL BELI</v>
      </c>
      <c r="H332" s="41" t="s">
        <v>11</v>
      </c>
      <c r="I332" s="41" t="s">
        <v>23</v>
      </c>
      <c r="J332" s="36">
        <f t="shared" si="17"/>
        <v>45624.68079</v>
      </c>
      <c r="K332" s="49" t="s">
        <v>26</v>
      </c>
      <c r="L332" s="49" t="s">
        <v>23</v>
      </c>
      <c r="M332" s="36">
        <f t="shared" si="18"/>
        <v>45625.44216</v>
      </c>
      <c r="N332" s="30" t="str">
        <f t="shared" si="3"/>
        <v>Selesai</v>
      </c>
      <c r="O332" s="45">
        <f t="shared" si="12"/>
        <v>45625.44216</v>
      </c>
      <c r="P332" s="47" t="b">
        <v>1</v>
      </c>
      <c r="Q332" s="36">
        <f t="shared" si="19"/>
        <v>45625.44193</v>
      </c>
      <c r="R332" s="47" t="b">
        <v>0</v>
      </c>
      <c r="S332" s="42" t="str">
        <f t="shared" si="6"/>
        <v/>
      </c>
      <c r="T332" s="42"/>
    </row>
    <row r="333" ht="22.5" customHeight="1">
      <c r="B333" s="42">
        <f t="shared" si="7"/>
        <v>327</v>
      </c>
      <c r="C333" s="31" t="s">
        <v>510</v>
      </c>
      <c r="D333" s="34" t="str">
        <f t="array" ref="D333">IFNA(_xlfn.XLOOKUP(C333,Table_Tarikan_Warkah[Nomor Sertipikat],Table_Tarikan_Warkah[Nomor Tiket]),"")</f>
        <v>K/12/221124/2</v>
      </c>
      <c r="E333" s="36" t="str">
        <f t="array" ref="E333">IFNA(_xlfn.XLOOKUP(D333,Table_Tarikan_Warkah[Nomor Tiket],Table_Tarikan_Warkah[Tanggal diserahkan kepada Validator]),"")</f>
        <v>26/11/2024 10.15</v>
      </c>
      <c r="F333" s="36" t="str">
        <f t="array" ref="F333">IFNA(_xlfn.XLOOKUP(D333,Table_Tarikan_Warkah[Nomor Tiket],Table_Tarikan_Warkah[Nama Petugas Warkah]),"")</f>
        <v>David</v>
      </c>
      <c r="G333" s="39" t="str">
        <f t="array" ref="G333">IFNA(_xlfn.XLOOKUP(D333,Table_Tarikan_Warkah[Nomor Tiket],Table_Tarikan_Warkah[Jenis Permohonan]),"")</f>
        <v>BN JUAL BELI</v>
      </c>
      <c r="H333" s="41" t="s">
        <v>11</v>
      </c>
      <c r="I333" s="41" t="s">
        <v>23</v>
      </c>
      <c r="J333" s="36">
        <f t="shared" si="17"/>
        <v>45624.68081</v>
      </c>
      <c r="K333" s="49" t="s">
        <v>26</v>
      </c>
      <c r="L333" s="49" t="s">
        <v>23</v>
      </c>
      <c r="M333" s="36">
        <f t="shared" si="18"/>
        <v>45625.44216</v>
      </c>
      <c r="N333" s="30" t="str">
        <f t="shared" si="3"/>
        <v>Selesai</v>
      </c>
      <c r="O333" s="45">
        <f t="shared" si="12"/>
        <v>45625.44216</v>
      </c>
      <c r="P333" s="47" t="b">
        <v>1</v>
      </c>
      <c r="Q333" s="36">
        <f t="shared" si="19"/>
        <v>45625.44195</v>
      </c>
      <c r="R333" s="47" t="b">
        <v>0</v>
      </c>
      <c r="S333" s="42" t="str">
        <f t="shared" si="6"/>
        <v/>
      </c>
      <c r="T333" s="42"/>
    </row>
    <row r="334" ht="22.5" customHeight="1">
      <c r="B334" s="42">
        <f t="shared" si="7"/>
        <v>328</v>
      </c>
      <c r="C334" s="31" t="s">
        <v>521</v>
      </c>
      <c r="D334" s="42" t="s">
        <v>481</v>
      </c>
      <c r="E334" s="36" t="str">
        <f t="array" ref="E334">IFNA(_xlfn.XLOOKUP(D334,Table_Tarikan_Warkah[Nomor Tiket],Table_Tarikan_Warkah[Tanggal diserahkan kepada Validator]),"")</f>
        <v>21/11/2024 16.23</v>
      </c>
      <c r="F334" s="36" t="str">
        <f t="array" ref="F334">IFNA(_xlfn.XLOOKUP(D334,Table_Tarikan_Warkah[Nomor Tiket],Table_Tarikan_Warkah[Nama Petugas Warkah]),"")</f>
        <v>Berry</v>
      </c>
      <c r="G334" s="39" t="str">
        <f t="array" ref="G334">IFNA(_xlfn.XLOOKUP(D334,Table_Tarikan_Warkah[Nomor Tiket],Table_Tarikan_Warkah[Jenis Permohonan]),"")</f>
        <v>BN Jual Beli</v>
      </c>
      <c r="H334" s="41" t="s">
        <v>11</v>
      </c>
      <c r="I334" s="41" t="s">
        <v>23</v>
      </c>
      <c r="J334" s="36">
        <f t="shared" si="17"/>
        <v>45624.68081</v>
      </c>
      <c r="K334" s="49" t="s">
        <v>26</v>
      </c>
      <c r="L334" s="49" t="s">
        <v>23</v>
      </c>
      <c r="M334" s="36">
        <f t="shared" si="18"/>
        <v>45625.44216</v>
      </c>
      <c r="N334" s="30" t="str">
        <f t="shared" si="3"/>
        <v>Selesai</v>
      </c>
      <c r="O334" s="45">
        <f t="shared" si="12"/>
        <v>45625.44216</v>
      </c>
      <c r="P334" s="47" t="b">
        <v>1</v>
      </c>
      <c r="Q334" s="36">
        <f t="shared" si="19"/>
        <v>45625.44197</v>
      </c>
      <c r="R334" s="47" t="b">
        <v>0</v>
      </c>
      <c r="S334" s="42" t="str">
        <f t="shared" si="6"/>
        <v/>
      </c>
      <c r="T334" s="42"/>
    </row>
    <row r="335" ht="22.5" customHeight="1">
      <c r="B335" s="42">
        <f t="shared" si="7"/>
        <v>329</v>
      </c>
      <c r="C335" s="31" t="s">
        <v>522</v>
      </c>
      <c r="D335" s="34" t="str">
        <f t="array" ref="D335">IFNA(_xlfn.XLOOKUP(C335,Table_Tarikan_Warkah[Nomor Sertipikat],Table_Tarikan_Warkah[Nomor Tiket]),"")</f>
        <v>K/2/261124/1</v>
      </c>
      <c r="E335" s="36" t="str">
        <f t="array" ref="E335">IFNA(_xlfn.XLOOKUP(D335,Table_Tarikan_Warkah[Nomor Tiket],Table_Tarikan_Warkah[Tanggal diserahkan kepada Validator]),"")</f>
        <v>28/11/2024 14.05</v>
      </c>
      <c r="F335" s="36" t="str">
        <f t="array" ref="F335">IFNA(_xlfn.XLOOKUP(D335,Table_Tarikan_Warkah[Nomor Tiket],Table_Tarikan_Warkah[Nama Petugas Warkah]),"")</f>
        <v>David</v>
      </c>
      <c r="G335" s="39" t="str">
        <f t="array" ref="G335">IFNA(_xlfn.XLOOKUP(D335,Table_Tarikan_Warkah[Nomor Tiket],Table_Tarikan_Warkah[Jenis Permohonan]),"")</f>
        <v>BN JUAL BELI</v>
      </c>
      <c r="H335" s="41" t="s">
        <v>20</v>
      </c>
      <c r="I335" s="41" t="s">
        <v>12</v>
      </c>
      <c r="J335" s="36">
        <f t="shared" si="17"/>
        <v>45625.45251</v>
      </c>
      <c r="K335" s="41" t="s">
        <v>197</v>
      </c>
      <c r="L335" s="41" t="s">
        <v>12</v>
      </c>
      <c r="M335" s="36">
        <f t="shared" si="18"/>
        <v>45625.61984</v>
      </c>
      <c r="N335" s="30" t="str">
        <f t="shared" si="3"/>
        <v>SELESAI</v>
      </c>
      <c r="O335" s="45">
        <f t="shared" si="12"/>
        <v>45625.61984</v>
      </c>
      <c r="P335" s="47" t="b">
        <v>0</v>
      </c>
      <c r="Q335" s="36" t="str">
        <f t="shared" si="19"/>
        <v/>
      </c>
      <c r="R335" s="47" t="b">
        <v>1</v>
      </c>
      <c r="S335" s="36">
        <f t="shared" si="6"/>
        <v>45625.6203</v>
      </c>
      <c r="T335" s="42"/>
    </row>
    <row r="336" ht="22.5" customHeight="1">
      <c r="B336" s="42">
        <f t="shared" si="7"/>
        <v>330</v>
      </c>
      <c r="C336" s="31" t="s">
        <v>523</v>
      </c>
      <c r="D336" s="34" t="str">
        <f t="array" ref="D336">IFNA(_xlfn.XLOOKUP(C336,Table_Tarikan_Warkah[Nomor Sertipikat],Table_Tarikan_Warkah[Nomor Tiket]),"")</f>
        <v>K/18/261124/1</v>
      </c>
      <c r="E336" s="36" t="str">
        <f t="array" ref="E336">IFNA(_xlfn.XLOOKUP(D336,Table_Tarikan_Warkah[Nomor Tiket],Table_Tarikan_Warkah[Tanggal diserahkan kepada Validator]),"")</f>
        <v>28/11/2024 14.07</v>
      </c>
      <c r="F336" s="36" t="str">
        <f t="array" ref="F336">IFNA(_xlfn.XLOOKUP(D336,Table_Tarikan_Warkah[Nomor Tiket],Table_Tarikan_Warkah[Nama Petugas Warkah]),"")</f>
        <v>David</v>
      </c>
      <c r="G336" s="39" t="str">
        <f t="array" ref="G336">IFNA(_xlfn.XLOOKUP(D336,Table_Tarikan_Warkah[Nomor Tiket],Table_Tarikan_Warkah[Jenis Permohonan]),"")</f>
        <v>BN Jual Beli</v>
      </c>
      <c r="H336" s="41" t="s">
        <v>20</v>
      </c>
      <c r="I336" s="41" t="s">
        <v>12</v>
      </c>
      <c r="J336" s="36">
        <f t="shared" si="17"/>
        <v>45625.4526</v>
      </c>
      <c r="K336" s="41" t="s">
        <v>197</v>
      </c>
      <c r="L336" s="41" t="s">
        <v>12</v>
      </c>
      <c r="M336" s="36">
        <f t="shared" si="18"/>
        <v>45625.61984</v>
      </c>
      <c r="N336" s="30" t="str">
        <f t="shared" si="3"/>
        <v>SELESAI</v>
      </c>
      <c r="O336" s="45">
        <f t="shared" si="12"/>
        <v>45625.61984</v>
      </c>
      <c r="P336" s="47" t="b">
        <v>0</v>
      </c>
      <c r="Q336" s="36" t="str">
        <f t="shared" si="19"/>
        <v/>
      </c>
      <c r="R336" s="47" t="b">
        <v>1</v>
      </c>
      <c r="S336" s="36">
        <f t="shared" si="6"/>
        <v>45625.6203</v>
      </c>
      <c r="T336" s="42"/>
    </row>
    <row r="337" ht="22.5" customHeight="1">
      <c r="B337" s="42">
        <f t="shared" si="7"/>
        <v>331</v>
      </c>
      <c r="C337" s="31" t="s">
        <v>524</v>
      </c>
      <c r="D337" s="34" t="str">
        <f t="array" ref="D337">IFNA(_xlfn.XLOOKUP(C337,Table_Tarikan_Warkah[Nomor Sertipikat],Table_Tarikan_Warkah[Nomor Tiket]),"")</f>
        <v>K/66/261124/1</v>
      </c>
      <c r="E337" s="36" t="str">
        <f t="array" ref="E337">IFNA(_xlfn.XLOOKUP(D337,Table_Tarikan_Warkah[Nomor Tiket],Table_Tarikan_Warkah[Tanggal diserahkan kepada Validator]),"")</f>
        <v>28/11/2024 14.14</v>
      </c>
      <c r="F337" s="36" t="str">
        <f t="array" ref="F337">IFNA(_xlfn.XLOOKUP(D337,Table_Tarikan_Warkah[Nomor Tiket],Table_Tarikan_Warkah[Nama Petugas Warkah]),"")</f>
        <v>Berry</v>
      </c>
      <c r="G337" s="39" t="str">
        <f t="array" ref="G337">IFNA(_xlfn.XLOOKUP(D337,Table_Tarikan_Warkah[Nomor Tiket],Table_Tarikan_Warkah[Jenis Permohonan]),"")</f>
        <v>BN JUAL BELI</v>
      </c>
      <c r="H337" s="41" t="s">
        <v>20</v>
      </c>
      <c r="I337" s="41" t="s">
        <v>12</v>
      </c>
      <c r="J337" s="36">
        <f t="shared" si="17"/>
        <v>45625.4527</v>
      </c>
      <c r="K337" s="49" t="s">
        <v>197</v>
      </c>
      <c r="L337" s="49" t="s">
        <v>12</v>
      </c>
      <c r="M337" s="36">
        <f t="shared" si="18"/>
        <v>45625.61984</v>
      </c>
      <c r="N337" s="30" t="str">
        <f t="shared" si="3"/>
        <v>SELESAI</v>
      </c>
      <c r="O337" s="45">
        <f t="shared" si="12"/>
        <v>45625.61984</v>
      </c>
      <c r="P337" s="47" t="b">
        <v>0</v>
      </c>
      <c r="Q337" s="36" t="str">
        <f t="shared" si="19"/>
        <v/>
      </c>
      <c r="R337" s="47" t="b">
        <v>1</v>
      </c>
      <c r="S337" s="36">
        <f t="shared" si="6"/>
        <v>45625.6203</v>
      </c>
      <c r="T337" s="42"/>
    </row>
    <row r="338" ht="22.5" customHeight="1">
      <c r="B338" s="42">
        <f t="shared" si="7"/>
        <v>332</v>
      </c>
      <c r="C338" s="31" t="s">
        <v>525</v>
      </c>
      <c r="D338" s="34" t="str">
        <f t="array" ref="D338">IFNA(_xlfn.XLOOKUP(C338,Table_Tarikan_Warkah[Nomor Sertipikat],Table_Tarikan_Warkah[Nomor Tiket]),"")</f>
        <v>K/65/261124/3</v>
      </c>
      <c r="E338" s="36" t="str">
        <f t="array" ref="E338">IFNA(_xlfn.XLOOKUP(D338,Table_Tarikan_Warkah[Nomor Tiket],Table_Tarikan_Warkah[Tanggal diserahkan kepada Validator]),"")</f>
        <v>28/11/2024 14.15</v>
      </c>
      <c r="F338" s="36" t="str">
        <f t="array" ref="F338">IFNA(_xlfn.XLOOKUP(D338,Table_Tarikan_Warkah[Nomor Tiket],Table_Tarikan_Warkah[Nama Petugas Warkah]),"")</f>
        <v>Berry</v>
      </c>
      <c r="G338" s="39" t="str">
        <f t="array" ref="G338">IFNA(_xlfn.XLOOKUP(D338,Table_Tarikan_Warkah[Nomor Tiket],Table_Tarikan_Warkah[Jenis Permohonan]),"")</f>
        <v>BN JUAL BELI</v>
      </c>
      <c r="H338" s="41" t="s">
        <v>20</v>
      </c>
      <c r="I338" s="41" t="s">
        <v>12</v>
      </c>
      <c r="J338" s="36">
        <f t="shared" si="17"/>
        <v>45625.4531</v>
      </c>
      <c r="K338" s="41" t="s">
        <v>197</v>
      </c>
      <c r="L338" s="41" t="s">
        <v>12</v>
      </c>
      <c r="M338" s="36">
        <f t="shared" si="18"/>
        <v>45625.61984</v>
      </c>
      <c r="N338" s="30" t="str">
        <f t="shared" si="3"/>
        <v>SELESAI</v>
      </c>
      <c r="O338" s="45">
        <f t="shared" si="12"/>
        <v>45625.61984</v>
      </c>
      <c r="P338" s="47" t="b">
        <v>0</v>
      </c>
      <c r="Q338" s="36" t="str">
        <f t="shared" si="19"/>
        <v/>
      </c>
      <c r="R338" s="47" t="b">
        <v>1</v>
      </c>
      <c r="S338" s="36">
        <f t="shared" si="6"/>
        <v>45625.6203</v>
      </c>
      <c r="T338" s="42"/>
    </row>
    <row r="339" ht="22.5" customHeight="1">
      <c r="B339" s="42">
        <f t="shared" si="7"/>
        <v>333</v>
      </c>
      <c r="C339" s="31" t="s">
        <v>526</v>
      </c>
      <c r="D339" s="34" t="str">
        <f t="array" ref="D339">IFNA(_xlfn.XLOOKUP(C339,Table_Tarikan_Warkah[Nomor Sertipikat],Table_Tarikan_Warkah[Nomor Tiket]),"")</f>
        <v>L/54/261124/2</v>
      </c>
      <c r="E339" s="36" t="str">
        <f t="array" ref="E339">IFNA(_xlfn.XLOOKUP(D339,Table_Tarikan_Warkah[Nomor Tiket],Table_Tarikan_Warkah[Tanggal diserahkan kepada Validator]),"")</f>
        <v>28/11/2024 14.15</v>
      </c>
      <c r="F339" s="36" t="str">
        <f t="array" ref="F339">IFNA(_xlfn.XLOOKUP(D339,Table_Tarikan_Warkah[Nomor Tiket],Table_Tarikan_Warkah[Nama Petugas Warkah]),"")</f>
        <v>Berry</v>
      </c>
      <c r="G339" s="39" t="str">
        <f t="array" ref="G339">IFNA(_xlfn.XLOOKUP(D339,Table_Tarikan_Warkah[Nomor Tiket],Table_Tarikan_Warkah[Jenis Permohonan]),"")</f>
        <v>ROYA</v>
      </c>
      <c r="H339" s="41" t="s">
        <v>20</v>
      </c>
      <c r="I339" s="41" t="s">
        <v>12</v>
      </c>
      <c r="J339" s="36">
        <f t="shared" si="17"/>
        <v>45625.45319</v>
      </c>
      <c r="K339" s="41" t="s">
        <v>197</v>
      </c>
      <c r="L339" s="41" t="s">
        <v>12</v>
      </c>
      <c r="M339" s="36">
        <f t="shared" si="18"/>
        <v>45625.61984</v>
      </c>
      <c r="N339" s="30" t="str">
        <f t="shared" si="3"/>
        <v>SELESAI</v>
      </c>
      <c r="O339" s="45">
        <f t="shared" si="12"/>
        <v>45625.61984</v>
      </c>
      <c r="P339" s="47" t="b">
        <v>0</v>
      </c>
      <c r="Q339" s="36" t="str">
        <f t="shared" si="19"/>
        <v/>
      </c>
      <c r="R339" s="47" t="b">
        <v>1</v>
      </c>
      <c r="S339" s="36">
        <f t="shared" si="6"/>
        <v>45625.62034</v>
      </c>
      <c r="T339" s="42"/>
    </row>
    <row r="340" ht="22.5" customHeight="1">
      <c r="B340" s="42">
        <f t="shared" si="7"/>
        <v>334</v>
      </c>
      <c r="C340" s="31" t="s">
        <v>527</v>
      </c>
      <c r="D340" s="34" t="str">
        <f t="array" ref="D340">IFNA(_xlfn.XLOOKUP(C340,Table_Tarikan_Warkah[Nomor Sertipikat],Table_Tarikan_Warkah[Nomor Tiket]),"")</f>
        <v>K/68/261124/1</v>
      </c>
      <c r="E340" s="36" t="str">
        <f t="array" ref="E340">IFNA(_xlfn.XLOOKUP(D340,Table_Tarikan_Warkah[Nomor Tiket],Table_Tarikan_Warkah[Tanggal diserahkan kepada Validator]),"")</f>
        <v>28/11/2024 14.15</v>
      </c>
      <c r="F340" s="36" t="str">
        <f t="array" ref="F340">IFNA(_xlfn.XLOOKUP(D340,Table_Tarikan_Warkah[Nomor Tiket],Table_Tarikan_Warkah[Nama Petugas Warkah]),"")</f>
        <v>Berry</v>
      </c>
      <c r="G340" s="39" t="str">
        <f t="array" ref="G340">IFNA(_xlfn.XLOOKUP(D340,Table_Tarikan_Warkah[Nomor Tiket],Table_Tarikan_Warkah[Jenis Permohonan]),"")</f>
        <v>BN JUAL BELI</v>
      </c>
      <c r="H340" s="41" t="s">
        <v>20</v>
      </c>
      <c r="I340" s="41" t="s">
        <v>12</v>
      </c>
      <c r="J340" s="36">
        <f t="shared" si="17"/>
        <v>45625.45331</v>
      </c>
      <c r="K340" s="49" t="s">
        <v>197</v>
      </c>
      <c r="L340" s="49" t="s">
        <v>12</v>
      </c>
      <c r="M340" s="36">
        <f t="shared" si="18"/>
        <v>45625.61995</v>
      </c>
      <c r="N340" s="30" t="str">
        <f t="shared" si="3"/>
        <v>SELESAI</v>
      </c>
      <c r="O340" s="45">
        <f t="shared" si="12"/>
        <v>45625.61995</v>
      </c>
      <c r="P340" s="47" t="b">
        <v>0</v>
      </c>
      <c r="Q340" s="36" t="str">
        <f t="shared" si="19"/>
        <v/>
      </c>
      <c r="R340" s="47" t="b">
        <v>1</v>
      </c>
      <c r="S340" s="36">
        <f t="shared" si="6"/>
        <v>45625.62034</v>
      </c>
      <c r="T340" s="42"/>
    </row>
    <row r="341" ht="22.5" customHeight="1">
      <c r="B341" s="42">
        <f t="shared" si="7"/>
        <v>335</v>
      </c>
      <c r="C341" s="31" t="s">
        <v>528</v>
      </c>
      <c r="D341" s="34" t="str">
        <f t="array" ref="D341">IFNA(_xlfn.XLOOKUP(C341,Table_Tarikan_Warkah[Nomor Sertipikat],Table_Tarikan_Warkah[Nomor Tiket]),"")</f>
        <v>L/41/261124/1</v>
      </c>
      <c r="E341" s="36" t="str">
        <f t="array" ref="E341">IFNA(_xlfn.XLOOKUP(D341,Table_Tarikan_Warkah[Nomor Tiket],Table_Tarikan_Warkah[Tanggal diserahkan kepada Validator]),"")</f>
        <v>28/11/2024 14.10</v>
      </c>
      <c r="F341" s="36" t="str">
        <f t="array" ref="F341">IFNA(_xlfn.XLOOKUP(D341,Table_Tarikan_Warkah[Nomor Tiket],Table_Tarikan_Warkah[Nama Petugas Warkah]),"")</f>
        <v>David</v>
      </c>
      <c r="G341" s="39" t="str">
        <f t="array" ref="G341">IFNA(_xlfn.XLOOKUP(D341,Table_Tarikan_Warkah[Nomor Tiket],Table_Tarikan_Warkah[Jenis Permohonan]),"")</f>
        <v>BN WARIS</v>
      </c>
      <c r="H341" s="41" t="s">
        <v>20</v>
      </c>
      <c r="I341" s="41" t="s">
        <v>12</v>
      </c>
      <c r="J341" s="36">
        <f t="shared" si="17"/>
        <v>45625.45378</v>
      </c>
      <c r="K341" s="49" t="s">
        <v>197</v>
      </c>
      <c r="L341" s="49" t="s">
        <v>12</v>
      </c>
      <c r="M341" s="36">
        <f t="shared" si="18"/>
        <v>45625.61995</v>
      </c>
      <c r="N341" s="30" t="str">
        <f t="shared" si="3"/>
        <v>SELESAI</v>
      </c>
      <c r="O341" s="45">
        <f t="shared" si="12"/>
        <v>45625.61995</v>
      </c>
      <c r="P341" s="47" t="b">
        <v>0</v>
      </c>
      <c r="Q341" s="36" t="str">
        <f t="shared" si="19"/>
        <v/>
      </c>
      <c r="R341" s="47" t="b">
        <v>1</v>
      </c>
      <c r="S341" s="36">
        <f t="shared" si="6"/>
        <v>45625.62034</v>
      </c>
      <c r="T341" s="42"/>
    </row>
    <row r="342" ht="22.5" customHeight="1">
      <c r="B342" s="42">
        <f t="shared" si="7"/>
        <v>336</v>
      </c>
      <c r="C342" s="31" t="s">
        <v>529</v>
      </c>
      <c r="D342" s="34" t="str">
        <f t="array" ref="D342">IFNA(_xlfn.XLOOKUP(C342,Table_Tarikan_Warkah[Nomor Sertipikat],Table_Tarikan_Warkah[Nomor Tiket]),"")</f>
        <v>K/60/261124/1</v>
      </c>
      <c r="E342" s="36" t="str">
        <f t="array" ref="E342">IFNA(_xlfn.XLOOKUP(D342,Table_Tarikan_Warkah[Nomor Tiket],Table_Tarikan_Warkah[Tanggal diserahkan kepada Validator]),"")</f>
        <v>28/11/2024 14.13</v>
      </c>
      <c r="F342" s="36" t="str">
        <f t="array" ref="F342">IFNA(_xlfn.XLOOKUP(D342,Table_Tarikan_Warkah[Nomor Tiket],Table_Tarikan_Warkah[Nama Petugas Warkah]),"")</f>
        <v>Berry</v>
      </c>
      <c r="G342" s="39" t="str">
        <f t="array" ref="G342">IFNA(_xlfn.XLOOKUP(D342,Table_Tarikan_Warkah[Nomor Tiket],Table_Tarikan_Warkah[Jenis Permohonan]),"")</f>
        <v>BN JUAL BELI</v>
      </c>
      <c r="H342" s="41" t="s">
        <v>20</v>
      </c>
      <c r="I342" s="41" t="s">
        <v>12</v>
      </c>
      <c r="J342" s="36">
        <f t="shared" si="17"/>
        <v>45625.4538</v>
      </c>
      <c r="K342" s="41" t="s">
        <v>197</v>
      </c>
      <c r="L342" s="41" t="s">
        <v>12</v>
      </c>
      <c r="M342" s="36">
        <f t="shared" si="18"/>
        <v>45625.61995</v>
      </c>
      <c r="N342" s="30" t="str">
        <f t="shared" si="3"/>
        <v>SELESAI</v>
      </c>
      <c r="O342" s="45">
        <f t="shared" si="12"/>
        <v>45625.61995</v>
      </c>
      <c r="P342" s="47" t="b">
        <v>0</v>
      </c>
      <c r="Q342" s="36" t="str">
        <f t="shared" si="19"/>
        <v/>
      </c>
      <c r="R342" s="47" t="b">
        <v>1</v>
      </c>
      <c r="S342" s="36">
        <f t="shared" si="6"/>
        <v>45625.62034</v>
      </c>
      <c r="T342" s="42"/>
    </row>
    <row r="343" ht="22.5" customHeight="1">
      <c r="B343" s="42">
        <f t="shared" si="7"/>
        <v>337</v>
      </c>
      <c r="C343" s="31" t="s">
        <v>530</v>
      </c>
      <c r="D343" s="34" t="str">
        <f t="array" ref="D343">IFNA(_xlfn.XLOOKUP(C343,Table_Tarikan_Warkah[Nomor Sertipikat],Table_Tarikan_Warkah[Nomor Tiket]),"")</f>
        <v>L/16/251124/1</v>
      </c>
      <c r="E343" s="36" t="str">
        <f t="array" ref="E343">IFNA(_xlfn.XLOOKUP(D343,Table_Tarikan_Warkah[Nomor Tiket],Table_Tarikan_Warkah[Tanggal diserahkan kepada Validator]),"")</f>
        <v>29/11/2024 16.01</v>
      </c>
      <c r="F343" s="36" t="str">
        <f t="array" ref="F343">IFNA(_xlfn.XLOOKUP(D343,Table_Tarikan_Warkah[Nomor Tiket],Table_Tarikan_Warkah[Nama Petugas Warkah]),"")</f>
        <v/>
      </c>
      <c r="G343" s="39" t="str">
        <f t="array" ref="G343">IFNA(_xlfn.XLOOKUP(D343,Table_Tarikan_Warkah[Nomor Tiket],Table_Tarikan_Warkah[Jenis Permohonan]),"")</f>
        <v>ROYA</v>
      </c>
      <c r="H343" s="41" t="s">
        <v>20</v>
      </c>
      <c r="I343" s="41" t="s">
        <v>12</v>
      </c>
      <c r="J343" s="36">
        <f t="shared" si="17"/>
        <v>45625.67191</v>
      </c>
      <c r="K343" s="49" t="s">
        <v>197</v>
      </c>
      <c r="L343" s="49" t="s">
        <v>12</v>
      </c>
      <c r="M343" s="36">
        <f t="shared" si="18"/>
        <v>45628.35457</v>
      </c>
      <c r="N343" s="30" t="str">
        <f t="shared" si="3"/>
        <v>SELESAI</v>
      </c>
      <c r="O343" s="45">
        <f t="shared" si="12"/>
        <v>45628.35457</v>
      </c>
      <c r="P343" s="47" t="b">
        <v>0</v>
      </c>
      <c r="Q343" s="36" t="str">
        <f t="shared" si="19"/>
        <v/>
      </c>
      <c r="R343" s="47" t="b">
        <v>1</v>
      </c>
      <c r="S343" s="36">
        <f t="shared" si="6"/>
        <v>45628.69367</v>
      </c>
      <c r="T343" s="42"/>
    </row>
    <row r="344" ht="22.5" customHeight="1">
      <c r="B344" s="42">
        <f t="shared" si="7"/>
        <v>338</v>
      </c>
      <c r="C344" s="31" t="s">
        <v>531</v>
      </c>
      <c r="D344" s="34" t="str">
        <f t="array" ref="D344">IFNA(_xlfn.XLOOKUP(C344,Table_Tarikan_Warkah[Nomor Sertipikat],Table_Tarikan_Warkah[Nomor Tiket]),"")</f>
        <v>K/45/211124/1</v>
      </c>
      <c r="E344" s="36" t="str">
        <f t="array" ref="E344">IFNA(_xlfn.XLOOKUP(D344,Table_Tarikan_Warkah[Nomor Tiket],Table_Tarikan_Warkah[Tanggal diserahkan kepada Validator]),"")</f>
        <v>29/11/2024 16.01</v>
      </c>
      <c r="F344" s="36" t="str">
        <f t="array" ref="F344">IFNA(_xlfn.XLOOKUP(D344,Table_Tarikan_Warkah[Nomor Tiket],Table_Tarikan_Warkah[Nama Petugas Warkah]),"")</f>
        <v>David</v>
      </c>
      <c r="G344" s="39" t="str">
        <f t="array" ref="G344">IFNA(_xlfn.XLOOKUP(D344,Table_Tarikan_Warkah[Nomor Tiket],Table_Tarikan_Warkah[Jenis Permohonan]),"")</f>
        <v>ROYA</v>
      </c>
      <c r="H344" s="41" t="s">
        <v>20</v>
      </c>
      <c r="I344" s="41" t="s">
        <v>12</v>
      </c>
      <c r="J344" s="36">
        <f t="shared" si="17"/>
        <v>45625.67207</v>
      </c>
      <c r="K344" s="41" t="s">
        <v>197</v>
      </c>
      <c r="L344" s="41" t="s">
        <v>12</v>
      </c>
      <c r="M344" s="36">
        <f t="shared" si="18"/>
        <v>45628.35457</v>
      </c>
      <c r="N344" s="30" t="str">
        <f t="shared" si="3"/>
        <v>SELESAI</v>
      </c>
      <c r="O344" s="45">
        <f t="shared" si="12"/>
        <v>45628.35457</v>
      </c>
      <c r="P344" s="47" t="b">
        <v>0</v>
      </c>
      <c r="Q344" s="36" t="str">
        <f t="shared" si="19"/>
        <v/>
      </c>
      <c r="R344" s="47" t="b">
        <v>1</v>
      </c>
      <c r="S344" s="36">
        <f t="shared" si="6"/>
        <v>45628.69367</v>
      </c>
      <c r="T344" s="42"/>
    </row>
    <row r="345" ht="22.5" customHeight="1">
      <c r="B345" s="42">
        <f t="shared" si="7"/>
        <v>339</v>
      </c>
      <c r="C345" s="31" t="s">
        <v>532</v>
      </c>
      <c r="D345" s="34" t="str">
        <f t="array" ref="D345">IFNA(_xlfn.XLOOKUP(C345,Table_Tarikan_Warkah[Nomor Sertipikat],Table_Tarikan_Warkah[Nomor Tiket]),"")</f>
        <v>L/42/211124/1</v>
      </c>
      <c r="E345" s="36" t="str">
        <f t="array" ref="E345">IFNA(_xlfn.XLOOKUP(D345,Table_Tarikan_Warkah[Nomor Tiket],Table_Tarikan_Warkah[Tanggal diserahkan kepada Validator]),"")</f>
        <v>29/11/2024 16.01</v>
      </c>
      <c r="F345" s="36" t="str">
        <f t="array" ref="F345">IFNA(_xlfn.XLOOKUP(D345,Table_Tarikan_Warkah[Nomor Tiket],Table_Tarikan_Warkah[Nama Petugas Warkah]),"")</f>
        <v>David</v>
      </c>
      <c r="G345" s="39" t="str">
        <f t="array" ref="G345">IFNA(_xlfn.XLOOKUP(D345,Table_Tarikan_Warkah[Nomor Tiket],Table_Tarikan_Warkah[Jenis Permohonan]),"")</f>
        <v>ROYA</v>
      </c>
      <c r="H345" s="41" t="s">
        <v>20</v>
      </c>
      <c r="I345" s="41" t="s">
        <v>12</v>
      </c>
      <c r="J345" s="36">
        <f t="shared" si="17"/>
        <v>45625.67219</v>
      </c>
      <c r="K345" s="49" t="s">
        <v>197</v>
      </c>
      <c r="L345" s="49" t="s">
        <v>12</v>
      </c>
      <c r="M345" s="36">
        <f t="shared" si="18"/>
        <v>45628.35462</v>
      </c>
      <c r="N345" s="30" t="str">
        <f t="shared" si="3"/>
        <v>SELESAI</v>
      </c>
      <c r="O345" s="45">
        <f t="shared" si="12"/>
        <v>45628.35462</v>
      </c>
      <c r="P345" s="47" t="b">
        <v>0</v>
      </c>
      <c r="Q345" s="36" t="str">
        <f t="shared" si="19"/>
        <v/>
      </c>
      <c r="R345" s="47" t="b">
        <v>1</v>
      </c>
      <c r="S345" s="36">
        <f t="shared" si="6"/>
        <v>45628.69367</v>
      </c>
      <c r="T345" s="42"/>
    </row>
    <row r="346" ht="22.5" customHeight="1">
      <c r="B346" s="42">
        <f t="shared" si="7"/>
        <v>340</v>
      </c>
      <c r="C346" s="31" t="s">
        <v>533</v>
      </c>
      <c r="D346" s="34" t="str">
        <f t="array" ref="D346">IFNA(_xlfn.XLOOKUP(C346,Table_Tarikan_Warkah[Nomor Sertipikat],Table_Tarikan_Warkah[Nomor Tiket]),"")</f>
        <v>L/4/251124/1</v>
      </c>
      <c r="E346" s="36" t="str">
        <f t="array" ref="E346">IFNA(_xlfn.XLOOKUP(D346,Table_Tarikan_Warkah[Nomor Tiket],Table_Tarikan_Warkah[Tanggal diserahkan kepada Validator]),"")</f>
        <v/>
      </c>
      <c r="F346" s="36" t="str">
        <f t="array" ref="F346">IFNA(_xlfn.XLOOKUP(D346,Table_Tarikan_Warkah[Nomor Tiket],Table_Tarikan_Warkah[Nama Petugas Warkah]),"")</f>
        <v>David</v>
      </c>
      <c r="G346" s="39" t="str">
        <f t="array" ref="G346">IFNA(_xlfn.XLOOKUP(D346,Table_Tarikan_Warkah[Nomor Tiket],Table_Tarikan_Warkah[Jenis Permohonan]),"")</f>
        <v>GANTI BALNGKO</v>
      </c>
      <c r="H346" s="41" t="s">
        <v>20</v>
      </c>
      <c r="I346" s="41" t="s">
        <v>23</v>
      </c>
      <c r="J346" s="36">
        <f t="shared" si="17"/>
        <v>45625.67232</v>
      </c>
      <c r="K346" s="49" t="s">
        <v>26</v>
      </c>
      <c r="L346" s="49" t="s">
        <v>23</v>
      </c>
      <c r="M346" s="36">
        <f t="shared" si="18"/>
        <v>45628.35474</v>
      </c>
      <c r="N346" s="30" t="str">
        <f t="shared" si="3"/>
        <v>Selesai</v>
      </c>
      <c r="O346" s="45">
        <f t="shared" si="12"/>
        <v>45628.35474</v>
      </c>
      <c r="P346" s="47" t="b">
        <v>1</v>
      </c>
      <c r="Q346" s="36">
        <f t="shared" si="19"/>
        <v>45628.59095</v>
      </c>
      <c r="R346" s="47" t="b">
        <v>0</v>
      </c>
      <c r="S346" s="42" t="str">
        <f t="shared" si="6"/>
        <v/>
      </c>
      <c r="T346" s="42"/>
    </row>
    <row r="347" ht="22.5" customHeight="1">
      <c r="B347" s="42">
        <f t="shared" si="7"/>
        <v>341</v>
      </c>
      <c r="C347" s="31" t="s">
        <v>497</v>
      </c>
      <c r="D347" s="34" t="str">
        <f t="array" ref="D347">IFNA(_xlfn.XLOOKUP(C347,Table_Tarikan_Warkah[Nomor Sertipikat],Table_Tarikan_Warkah[Nomor Tiket]),"")</f>
        <v>K/29/201124/2</v>
      </c>
      <c r="E347" s="36" t="str">
        <f t="array" ref="E347">IFNA(_xlfn.XLOOKUP(D347,Table_Tarikan_Warkah[Nomor Tiket],Table_Tarikan_Warkah[Tanggal diserahkan kepada Validator]),"")</f>
        <v>26/11/2024 12.03</v>
      </c>
      <c r="F347" s="36" t="str">
        <f t="array" ref="F347">IFNA(_xlfn.XLOOKUP(D347,Table_Tarikan_Warkah[Nomor Tiket],Table_Tarikan_Warkah[Nama Petugas Warkah]),"")</f>
        <v>David</v>
      </c>
      <c r="G347" s="39" t="str">
        <f t="array" ref="G347">IFNA(_xlfn.XLOOKUP(D347,Table_Tarikan_Warkah[Nomor Tiket],Table_Tarikan_Warkah[Jenis Permohonan]),"")</f>
        <v>BN JUAL BELI</v>
      </c>
      <c r="H347" s="41" t="s">
        <v>11</v>
      </c>
      <c r="I347" s="41" t="s">
        <v>23</v>
      </c>
      <c r="J347" s="36">
        <f t="shared" si="17"/>
        <v>45625.68618</v>
      </c>
      <c r="K347" s="49" t="s">
        <v>26</v>
      </c>
      <c r="L347" s="49" t="s">
        <v>23</v>
      </c>
      <c r="M347" s="36">
        <f t="shared" si="18"/>
        <v>45628.35474</v>
      </c>
      <c r="N347" s="30" t="str">
        <f t="shared" si="3"/>
        <v>Selesai</v>
      </c>
      <c r="O347" s="45">
        <f t="shared" si="12"/>
        <v>45628.35474</v>
      </c>
      <c r="P347" s="47" t="b">
        <v>1</v>
      </c>
      <c r="Q347" s="36">
        <f t="shared" si="19"/>
        <v>45628.59099</v>
      </c>
      <c r="R347" s="47" t="b">
        <v>0</v>
      </c>
      <c r="S347" s="42" t="str">
        <f t="shared" si="6"/>
        <v/>
      </c>
      <c r="T347" s="42"/>
    </row>
    <row r="348" ht="22.5" customHeight="1">
      <c r="B348" s="42">
        <f t="shared" si="7"/>
        <v>342</v>
      </c>
      <c r="C348" s="31" t="s">
        <v>519</v>
      </c>
      <c r="D348" s="34" t="str">
        <f t="array" ref="D348">IFNA(_xlfn.XLOOKUP(C348,Table_Tarikan_Warkah[Nomor Sertipikat],Table_Tarikan_Warkah[Nomor Tiket]),"")</f>
        <v>K/25/261124/3</v>
      </c>
      <c r="E348" s="36" t="str">
        <f t="array" ref="E348">IFNA(_xlfn.XLOOKUP(D348,Table_Tarikan_Warkah[Nomor Tiket],Table_Tarikan_Warkah[Tanggal diserahkan kepada Validator]),"")</f>
        <v>28/11/2024 14.09</v>
      </c>
      <c r="F348" s="36" t="str">
        <f t="array" ref="F348">IFNA(_xlfn.XLOOKUP(D348,Table_Tarikan_Warkah[Nomor Tiket],Table_Tarikan_Warkah[Nama Petugas Warkah]),"")</f>
        <v>David</v>
      </c>
      <c r="G348" s="39" t="str">
        <f t="array" ref="G348">IFNA(_xlfn.XLOOKUP(D348,Table_Tarikan_Warkah[Nomor Tiket],Table_Tarikan_Warkah[Jenis Permohonan]),"")</f>
        <v>PERUBAHAN HAK</v>
      </c>
      <c r="H348" s="41" t="s">
        <v>11</v>
      </c>
      <c r="I348" s="41" t="s">
        <v>23</v>
      </c>
      <c r="J348" s="36">
        <f t="shared" si="17"/>
        <v>45625.6862</v>
      </c>
      <c r="K348" s="49" t="s">
        <v>26</v>
      </c>
      <c r="L348" s="49" t="s">
        <v>23</v>
      </c>
      <c r="M348" s="36">
        <f t="shared" si="18"/>
        <v>45628.3548</v>
      </c>
      <c r="N348" s="30" t="str">
        <f t="shared" si="3"/>
        <v>Selesai</v>
      </c>
      <c r="O348" s="45">
        <f t="shared" si="12"/>
        <v>45628.3548</v>
      </c>
      <c r="P348" s="47" t="b">
        <v>1</v>
      </c>
      <c r="Q348" s="36">
        <f t="shared" si="19"/>
        <v>45628.59108</v>
      </c>
      <c r="R348" s="47" t="b">
        <v>0</v>
      </c>
      <c r="S348" s="42" t="str">
        <f t="shared" si="6"/>
        <v/>
      </c>
      <c r="T348" s="42"/>
    </row>
    <row r="349" ht="22.5" customHeight="1">
      <c r="B349" s="42">
        <f t="shared" si="7"/>
        <v>343</v>
      </c>
      <c r="C349" s="31" t="s">
        <v>534</v>
      </c>
      <c r="D349" s="34" t="str">
        <f t="array" ref="D349">IFNA(_xlfn.XLOOKUP(C349,Table_Tarikan_Warkah[Nomor Sertipikat],Table_Tarikan_Warkah[Nomor Tiket]),"")</f>
        <v>K/15/251124/3</v>
      </c>
      <c r="E349" s="36">
        <f t="array" ref="E349">IFNA(_xlfn.XLOOKUP(D349,Table_Tarikan_Warkah[Nomor Tiket],Table_Tarikan_Warkah[Tanggal diserahkan kepada Validator]),"")</f>
        <v>45709.69178</v>
      </c>
      <c r="F349" s="36" t="str">
        <f t="array" ref="F349">IFNA(_xlfn.XLOOKUP(D349,Table_Tarikan_Warkah[Nomor Tiket],Table_Tarikan_Warkah[Nama Petugas Warkah]),"")</f>
        <v/>
      </c>
      <c r="G349" s="39" t="str">
        <f t="array" ref="G349">IFNA(_xlfn.XLOOKUP(D349,Table_Tarikan_Warkah[Nomor Tiket],Table_Tarikan_Warkah[Jenis Permohonan]),"")</f>
        <v>GANTI NAMA +ROYA</v>
      </c>
      <c r="H349" s="41" t="s">
        <v>20</v>
      </c>
      <c r="I349" s="41" t="s">
        <v>23</v>
      </c>
      <c r="J349" s="36">
        <f t="shared" si="17"/>
        <v>45628.48</v>
      </c>
      <c r="K349" s="49" t="s">
        <v>26</v>
      </c>
      <c r="L349" s="49" t="s">
        <v>23</v>
      </c>
      <c r="M349" s="36">
        <f t="shared" si="18"/>
        <v>45628.69367</v>
      </c>
      <c r="N349" s="30" t="str">
        <f t="shared" si="3"/>
        <v>Selesai</v>
      </c>
      <c r="O349" s="45">
        <f t="shared" si="12"/>
        <v>45628.69367</v>
      </c>
      <c r="P349" s="47" t="b">
        <v>1</v>
      </c>
      <c r="Q349" s="36">
        <f t="shared" si="19"/>
        <v>45628.69367</v>
      </c>
      <c r="R349" s="47" t="b">
        <v>0</v>
      </c>
      <c r="S349" s="42" t="str">
        <f t="shared" si="6"/>
        <v/>
      </c>
      <c r="T349" s="42"/>
    </row>
    <row r="350" ht="22.5" customHeight="1">
      <c r="B350" s="42">
        <f t="shared" si="7"/>
        <v>344</v>
      </c>
      <c r="C350" s="31" t="s">
        <v>535</v>
      </c>
      <c r="D350" s="34" t="str">
        <f t="array" ref="D350">IFNA(_xlfn.XLOOKUP(C350,Table_Tarikan_Warkah[Nomor Sertipikat],Table_Tarikan_Warkah[Nomor Tiket]),"")</f>
        <v>L/44/281124/1</v>
      </c>
      <c r="E350" s="36" t="str">
        <f t="array" ref="E350">IFNA(_xlfn.XLOOKUP(D350,Table_Tarikan_Warkah[Nomor Tiket],Table_Tarikan_Warkah[Tanggal diserahkan kepada Validator]),"")</f>
        <v>02/12/2024 09.44</v>
      </c>
      <c r="F350" s="36" t="str">
        <f t="array" ref="F350">IFNA(_xlfn.XLOOKUP(D350,Table_Tarikan_Warkah[Nomor Tiket],Table_Tarikan_Warkah[Nama Petugas Warkah]),"")</f>
        <v>David</v>
      </c>
      <c r="G350" s="39" t="str">
        <f t="array" ref="G350">IFNA(_xlfn.XLOOKUP(D350,Table_Tarikan_Warkah[Nomor Tiket],Table_Tarikan_Warkah[Jenis Permohonan]),"")</f>
        <v>ROYA</v>
      </c>
      <c r="H350" s="41" t="s">
        <v>20</v>
      </c>
      <c r="I350" s="41" t="s">
        <v>12</v>
      </c>
      <c r="J350" s="36">
        <f t="shared" si="17"/>
        <v>45628.57524</v>
      </c>
      <c r="K350" s="41" t="s">
        <v>197</v>
      </c>
      <c r="L350" s="41" t="s">
        <v>12</v>
      </c>
      <c r="M350" s="36">
        <f t="shared" si="18"/>
        <v>45628.69367</v>
      </c>
      <c r="N350" s="30" t="str">
        <f t="shared" si="3"/>
        <v>SELESAI</v>
      </c>
      <c r="O350" s="45">
        <f t="shared" si="12"/>
        <v>45628.69367</v>
      </c>
      <c r="P350" s="47" t="b">
        <v>0</v>
      </c>
      <c r="Q350" s="36" t="str">
        <f t="shared" si="19"/>
        <v/>
      </c>
      <c r="R350" s="47" t="b">
        <v>1</v>
      </c>
      <c r="S350" s="36">
        <f t="shared" si="6"/>
        <v>45628.69367</v>
      </c>
      <c r="T350" s="42"/>
    </row>
    <row r="351" ht="22.5" customHeight="1">
      <c r="B351" s="42">
        <f t="shared" si="7"/>
        <v>345</v>
      </c>
      <c r="C351" s="31" t="s">
        <v>536</v>
      </c>
      <c r="D351" s="34" t="str">
        <f t="array" ref="D351">IFNA(_xlfn.XLOOKUP(C351,Table_Tarikan_Warkah[Nomor Sertipikat],Table_Tarikan_Warkah[Nomor Tiket]),"")</f>
        <v>K/7/281124/1</v>
      </c>
      <c r="E351" s="36" t="str">
        <f t="array" ref="E351">IFNA(_xlfn.XLOOKUP(D351,Table_Tarikan_Warkah[Nomor Tiket],Table_Tarikan_Warkah[Tanggal diserahkan kepada Validator]),"")</f>
        <v>02/12/2024 09.29</v>
      </c>
      <c r="F351" s="36" t="str">
        <f t="array" ref="F351">IFNA(_xlfn.XLOOKUP(D351,Table_Tarikan_Warkah[Nomor Tiket],Table_Tarikan_Warkah[Nama Petugas Warkah]),"")</f>
        <v>Berry</v>
      </c>
      <c r="G351" s="39" t="str">
        <f t="array" ref="G351">IFNA(_xlfn.XLOOKUP(D351,Table_Tarikan_Warkah[Nomor Tiket],Table_Tarikan_Warkah[Jenis Permohonan]),"")</f>
        <v>BN WARIS</v>
      </c>
      <c r="H351" s="41" t="s">
        <v>20</v>
      </c>
      <c r="I351" s="41" t="s">
        <v>12</v>
      </c>
      <c r="J351" s="36">
        <f t="shared" si="17"/>
        <v>45628.57532</v>
      </c>
      <c r="K351" s="49" t="s">
        <v>197</v>
      </c>
      <c r="L351" s="49" t="s">
        <v>12</v>
      </c>
      <c r="M351" s="36">
        <f t="shared" si="18"/>
        <v>45628.69367</v>
      </c>
      <c r="N351" s="30" t="str">
        <f t="shared" si="3"/>
        <v>SELESAI</v>
      </c>
      <c r="O351" s="45">
        <f t="shared" si="12"/>
        <v>45628.69367</v>
      </c>
      <c r="P351" s="47" t="b">
        <v>0</v>
      </c>
      <c r="Q351" s="36" t="str">
        <f t="shared" si="19"/>
        <v/>
      </c>
      <c r="R351" s="47" t="b">
        <v>1</v>
      </c>
      <c r="S351" s="36">
        <f t="shared" si="6"/>
        <v>45628.69367</v>
      </c>
      <c r="T351" s="42"/>
    </row>
    <row r="352" ht="22.5" customHeight="1">
      <c r="B352" s="42">
        <f t="shared" si="7"/>
        <v>346</v>
      </c>
      <c r="C352" s="31" t="s">
        <v>537</v>
      </c>
      <c r="D352" s="34" t="str">
        <f t="array" ref="D352">IFNA(_xlfn.XLOOKUP(C352,Table_Tarikan_Warkah[Nomor Sertipikat],Table_Tarikan_Warkah[Nomor Tiket]),"")</f>
        <v>K/15/281124/1</v>
      </c>
      <c r="E352" s="36" t="str">
        <f t="array" ref="E352">IFNA(_xlfn.XLOOKUP(D352,Table_Tarikan_Warkah[Nomor Tiket],Table_Tarikan_Warkah[Tanggal diserahkan kepada Validator]),"")</f>
        <v>02/12/2024 09.33</v>
      </c>
      <c r="F352" s="36" t="str">
        <f t="array" ref="F352">IFNA(_xlfn.XLOOKUP(D352,Table_Tarikan_Warkah[Nomor Tiket],Table_Tarikan_Warkah[Nama Petugas Warkah]),"")</f>
        <v>Berry</v>
      </c>
      <c r="G352" s="39" t="str">
        <f t="array" ref="G352">IFNA(_xlfn.XLOOKUP(D352,Table_Tarikan_Warkah[Nomor Tiket],Table_Tarikan_Warkah[Jenis Permohonan]),"")</f>
        <v>BN Waris</v>
      </c>
      <c r="H352" s="41" t="s">
        <v>20</v>
      </c>
      <c r="I352" s="41" t="s">
        <v>12</v>
      </c>
      <c r="J352" s="36">
        <f t="shared" si="17"/>
        <v>45628.57563</v>
      </c>
      <c r="K352" s="41" t="s">
        <v>197</v>
      </c>
      <c r="L352" s="41" t="s">
        <v>12</v>
      </c>
      <c r="M352" s="36">
        <f t="shared" si="18"/>
        <v>45628.69367</v>
      </c>
      <c r="N352" s="30" t="str">
        <f t="shared" si="3"/>
        <v>SELESAI</v>
      </c>
      <c r="O352" s="45">
        <f t="shared" si="12"/>
        <v>45628.69367</v>
      </c>
      <c r="P352" s="47" t="b">
        <v>0</v>
      </c>
      <c r="Q352" s="36" t="str">
        <f t="shared" si="19"/>
        <v/>
      </c>
      <c r="R352" s="47" t="b">
        <v>1</v>
      </c>
      <c r="S352" s="36">
        <f t="shared" si="6"/>
        <v>45628.69367</v>
      </c>
      <c r="T352" s="42"/>
    </row>
    <row r="353" ht="22.5" customHeight="1">
      <c r="B353" s="42">
        <f t="shared" si="7"/>
        <v>347</v>
      </c>
      <c r="C353" s="31" t="s">
        <v>538</v>
      </c>
      <c r="D353" s="34" t="str">
        <f t="array" ref="D353">IFNA(_xlfn.XLOOKUP(C353,Table_Tarikan_Warkah[Nomor Sertipikat],Table_Tarikan_Warkah[Nomor Tiket]),"")</f>
        <v>K/16/281124/2</v>
      </c>
      <c r="E353" s="36" t="str">
        <f t="array" ref="E353">IFNA(_xlfn.XLOOKUP(D353,Table_Tarikan_Warkah[Nomor Tiket],Table_Tarikan_Warkah[Tanggal diserahkan kepada Validator]),"")</f>
        <v>02/12/2024 09.34</v>
      </c>
      <c r="F353" s="36" t="str">
        <f t="array" ref="F353">IFNA(_xlfn.XLOOKUP(D353,Table_Tarikan_Warkah[Nomor Tiket],Table_Tarikan_Warkah[Nama Petugas Warkah]),"")</f>
        <v>Berry</v>
      </c>
      <c r="G353" s="39" t="str">
        <f t="array" ref="G353">IFNA(_xlfn.XLOOKUP(D353,Table_Tarikan_Warkah[Nomor Tiket],Table_Tarikan_Warkah[Jenis Permohonan]),"")</f>
        <v>BN Waris</v>
      </c>
      <c r="H353" s="41" t="s">
        <v>20</v>
      </c>
      <c r="I353" s="41" t="s">
        <v>12</v>
      </c>
      <c r="J353" s="36">
        <f t="shared" si="17"/>
        <v>45628.57573</v>
      </c>
      <c r="K353" s="49" t="s">
        <v>197</v>
      </c>
      <c r="L353" s="49" t="s">
        <v>12</v>
      </c>
      <c r="M353" s="36">
        <f t="shared" si="18"/>
        <v>45628.69367</v>
      </c>
      <c r="N353" s="30" t="str">
        <f t="shared" si="3"/>
        <v>SELESAI</v>
      </c>
      <c r="O353" s="45">
        <f t="shared" si="12"/>
        <v>45628.69367</v>
      </c>
      <c r="P353" s="47" t="b">
        <v>0</v>
      </c>
      <c r="Q353" s="36" t="str">
        <f t="shared" si="19"/>
        <v/>
      </c>
      <c r="R353" s="47" t="b">
        <v>1</v>
      </c>
      <c r="S353" s="36">
        <f t="shared" si="6"/>
        <v>45628.69367</v>
      </c>
      <c r="T353" s="42"/>
    </row>
    <row r="354" ht="22.5" customHeight="1">
      <c r="B354" s="42">
        <f t="shared" si="7"/>
        <v>348</v>
      </c>
      <c r="C354" s="31" t="s">
        <v>539</v>
      </c>
      <c r="D354" s="34" t="str">
        <f t="array" ref="D354">IFNA(_xlfn.XLOOKUP(C354,Table_Tarikan_Warkah[Nomor Sertipikat],Table_Tarikan_Warkah[Nomor Tiket]),"")</f>
        <v>K/17/281124/1</v>
      </c>
      <c r="E354" s="36" t="str">
        <f t="array" ref="E354">IFNA(_xlfn.XLOOKUP(D354,Table_Tarikan_Warkah[Nomor Tiket],Table_Tarikan_Warkah[Tanggal diserahkan kepada Validator]),"")</f>
        <v>02/12/2024 09.35</v>
      </c>
      <c r="F354" s="36" t="str">
        <f t="array" ref="F354">IFNA(_xlfn.XLOOKUP(D354,Table_Tarikan_Warkah[Nomor Tiket],Table_Tarikan_Warkah[Nama Petugas Warkah]),"")</f>
        <v>Berry</v>
      </c>
      <c r="G354" s="39" t="str">
        <f t="array" ref="G354">IFNA(_xlfn.XLOOKUP(D354,Table_Tarikan_Warkah[Nomor Tiket],Table_Tarikan_Warkah[Jenis Permohonan]),"")</f>
        <v>BN JUAL BELI</v>
      </c>
      <c r="H354" s="41" t="s">
        <v>20</v>
      </c>
      <c r="I354" s="41" t="s">
        <v>12</v>
      </c>
      <c r="J354" s="36">
        <f t="shared" si="17"/>
        <v>45628.57582</v>
      </c>
      <c r="K354" s="41" t="s">
        <v>197</v>
      </c>
      <c r="L354" s="41" t="s">
        <v>12</v>
      </c>
      <c r="M354" s="36">
        <f t="shared" si="18"/>
        <v>45628.69367</v>
      </c>
      <c r="N354" s="30" t="str">
        <f t="shared" si="3"/>
        <v>SELESAI</v>
      </c>
      <c r="O354" s="45">
        <f t="shared" si="12"/>
        <v>45628.69367</v>
      </c>
      <c r="P354" s="47" t="b">
        <v>0</v>
      </c>
      <c r="Q354" s="36" t="str">
        <f t="shared" si="19"/>
        <v/>
      </c>
      <c r="R354" s="47" t="b">
        <v>1</v>
      </c>
      <c r="S354" s="36">
        <f t="shared" si="6"/>
        <v>45628.69367</v>
      </c>
      <c r="T354" s="42"/>
    </row>
    <row r="355" ht="22.5" customHeight="1">
      <c r="B355" s="42">
        <f t="shared" si="7"/>
        <v>349</v>
      </c>
      <c r="C355" s="31" t="s">
        <v>540</v>
      </c>
      <c r="D355" s="34" t="str">
        <f t="array" ref="D355">IFNA(_xlfn.XLOOKUP(C355,Table_Tarikan_Warkah[Nomor Sertipikat],Table_Tarikan_Warkah[Nomor Tiket]),"")</f>
        <v>K/19/281124/3</v>
      </c>
      <c r="E355" s="36" t="str">
        <f t="array" ref="E355">IFNA(_xlfn.XLOOKUP(D355,Table_Tarikan_Warkah[Nomor Tiket],Table_Tarikan_Warkah[Tanggal diserahkan kepada Validator]),"")</f>
        <v>02/12/2024 09.38</v>
      </c>
      <c r="F355" s="36" t="str">
        <f t="array" ref="F355">IFNA(_xlfn.XLOOKUP(D355,Table_Tarikan_Warkah[Nomor Tiket],Table_Tarikan_Warkah[Nama Petugas Warkah]),"")</f>
        <v>David</v>
      </c>
      <c r="G355" s="39" t="str">
        <f t="array" ref="G355">IFNA(_xlfn.XLOOKUP(D355,Table_Tarikan_Warkah[Nomor Tiket],Table_Tarikan_Warkah[Jenis Permohonan]),"")</f>
        <v>BN JUAL BELI</v>
      </c>
      <c r="H355" s="41" t="s">
        <v>20</v>
      </c>
      <c r="I355" s="41" t="s">
        <v>12</v>
      </c>
      <c r="J355" s="36">
        <f t="shared" si="17"/>
        <v>45628.57613</v>
      </c>
      <c r="K355" s="41" t="s">
        <v>197</v>
      </c>
      <c r="L355" s="41" t="s">
        <v>12</v>
      </c>
      <c r="M355" s="36">
        <f t="shared" si="18"/>
        <v>45628.69367</v>
      </c>
      <c r="N355" s="30" t="str">
        <f t="shared" si="3"/>
        <v>SELESAI</v>
      </c>
      <c r="O355" s="45">
        <f t="shared" si="12"/>
        <v>45628.69367</v>
      </c>
      <c r="P355" s="47" t="b">
        <v>0</v>
      </c>
      <c r="Q355" s="36" t="str">
        <f t="shared" si="19"/>
        <v/>
      </c>
      <c r="R355" s="47" t="b">
        <v>1</v>
      </c>
      <c r="S355" s="36">
        <f t="shared" si="6"/>
        <v>45628.69367</v>
      </c>
      <c r="T355" s="42"/>
    </row>
    <row r="356" ht="22.5" customHeight="1">
      <c r="B356" s="42">
        <f t="shared" si="7"/>
        <v>350</v>
      </c>
      <c r="C356" s="31" t="s">
        <v>541</v>
      </c>
      <c r="D356" s="34" t="str">
        <f t="array" ref="D356">IFNA(_xlfn.XLOOKUP(C356,Table_Tarikan_Warkah[Nomor Sertipikat],Table_Tarikan_Warkah[Nomor Tiket]),"")</f>
        <v>K/26/281124/1</v>
      </c>
      <c r="E356" s="36" t="str">
        <f t="array" ref="E356">IFNA(_xlfn.XLOOKUP(D356,Table_Tarikan_Warkah[Nomor Tiket],Table_Tarikan_Warkah[Tanggal diserahkan kepada Validator]),"")</f>
        <v>02/12/2024 09.39</v>
      </c>
      <c r="F356" s="36" t="str">
        <f t="array" ref="F356">IFNA(_xlfn.XLOOKUP(D356,Table_Tarikan_Warkah[Nomor Tiket],Table_Tarikan_Warkah[Nama Petugas Warkah]),"")</f>
        <v>David</v>
      </c>
      <c r="G356" s="39" t="str">
        <f t="array" ref="G356">IFNA(_xlfn.XLOOKUP(D356,Table_Tarikan_Warkah[Nomor Tiket],Table_Tarikan_Warkah[Jenis Permohonan]),"")</f>
        <v>BN Jual Beli</v>
      </c>
      <c r="H356" s="41" t="s">
        <v>20</v>
      </c>
      <c r="I356" s="41" t="s">
        <v>12</v>
      </c>
      <c r="J356" s="36">
        <f t="shared" si="17"/>
        <v>45628.57621</v>
      </c>
      <c r="K356" s="41" t="s">
        <v>197</v>
      </c>
      <c r="L356" s="41" t="s">
        <v>12</v>
      </c>
      <c r="M356" s="36">
        <f t="shared" si="18"/>
        <v>45628.69367</v>
      </c>
      <c r="N356" s="30" t="str">
        <f t="shared" si="3"/>
        <v>SELESAI</v>
      </c>
      <c r="O356" s="45">
        <f t="shared" si="12"/>
        <v>45628.69367</v>
      </c>
      <c r="P356" s="47" t="b">
        <v>0</v>
      </c>
      <c r="Q356" s="36" t="str">
        <f t="shared" si="19"/>
        <v/>
      </c>
      <c r="R356" s="47" t="b">
        <v>1</v>
      </c>
      <c r="S356" s="36">
        <f t="shared" si="6"/>
        <v>45628.69367</v>
      </c>
      <c r="T356" s="42"/>
    </row>
    <row r="357" ht="22.5" customHeight="1">
      <c r="B357" s="42">
        <f t="shared" si="7"/>
        <v>351</v>
      </c>
      <c r="C357" s="31" t="s">
        <v>542</v>
      </c>
      <c r="D357" s="34" t="str">
        <f t="array" ref="D357">IFNA(_xlfn.XLOOKUP(C357,Table_Tarikan_Warkah[Nomor Sertipikat],Table_Tarikan_Warkah[Nomor Tiket]),"")</f>
        <v>K/34/281124/2</v>
      </c>
      <c r="E357" s="36" t="str">
        <f t="array" ref="E357">IFNA(_xlfn.XLOOKUP(D357,Table_Tarikan_Warkah[Nomor Tiket],Table_Tarikan_Warkah[Tanggal diserahkan kepada Validator]),"")</f>
        <v>02/12/2024 09.40</v>
      </c>
      <c r="F357" s="36" t="str">
        <f t="array" ref="F357">IFNA(_xlfn.XLOOKUP(D357,Table_Tarikan_Warkah[Nomor Tiket],Table_Tarikan_Warkah[Nama Petugas Warkah]),"")</f>
        <v>David</v>
      </c>
      <c r="G357" s="39" t="str">
        <f t="array" ref="G357">IFNA(_xlfn.XLOOKUP(D357,Table_Tarikan_Warkah[Nomor Tiket],Table_Tarikan_Warkah[Jenis Permohonan]),"")</f>
        <v>KEWARISAN</v>
      </c>
      <c r="H357" s="41" t="s">
        <v>20</v>
      </c>
      <c r="I357" s="41" t="s">
        <v>12</v>
      </c>
      <c r="J357" s="36">
        <f t="shared" si="17"/>
        <v>45628.5764</v>
      </c>
      <c r="K357" s="49" t="s">
        <v>197</v>
      </c>
      <c r="L357" s="49" t="s">
        <v>12</v>
      </c>
      <c r="M357" s="36">
        <f t="shared" si="18"/>
        <v>45628.69367</v>
      </c>
      <c r="N357" s="30" t="str">
        <f t="shared" si="3"/>
        <v>SELESAI</v>
      </c>
      <c r="O357" s="45">
        <f t="shared" si="12"/>
        <v>45628.69367</v>
      </c>
      <c r="P357" s="47" t="b">
        <v>0</v>
      </c>
      <c r="Q357" s="36" t="str">
        <f t="shared" si="19"/>
        <v/>
      </c>
      <c r="R357" s="47" t="b">
        <v>1</v>
      </c>
      <c r="S357" s="36">
        <f t="shared" si="6"/>
        <v>45628.69367</v>
      </c>
      <c r="T357" s="42"/>
    </row>
    <row r="358" ht="22.5" customHeight="1">
      <c r="B358" s="42">
        <f t="shared" si="7"/>
        <v>352</v>
      </c>
      <c r="C358" s="31" t="s">
        <v>543</v>
      </c>
      <c r="D358" s="34" t="str">
        <f t="array" ref="D358">IFNA(_xlfn.XLOOKUP(C358,Table_Tarikan_Warkah[Nomor Sertipikat],Table_Tarikan_Warkah[Nomor Tiket]),"")</f>
        <v>L/36/261124/1</v>
      </c>
      <c r="E358" s="36" t="str">
        <f t="array" ref="E358">IFNA(_xlfn.XLOOKUP(D358,Table_Tarikan_Warkah[Nomor Tiket],Table_Tarikan_Warkah[Tanggal diserahkan kepada Validator]),"")</f>
        <v>28/11/2024 14.10</v>
      </c>
      <c r="F358" s="36" t="str">
        <f t="array" ref="F358">IFNA(_xlfn.XLOOKUP(D358,Table_Tarikan_Warkah[Nomor Tiket],Table_Tarikan_Warkah[Nama Petugas Warkah]),"")</f>
        <v>David</v>
      </c>
      <c r="G358" s="39" t="str">
        <f t="array" ref="G358">IFNA(_xlfn.XLOOKUP(D358,Table_Tarikan_Warkah[Nomor Tiket],Table_Tarikan_Warkah[Jenis Permohonan]),"")</f>
        <v>ROYA</v>
      </c>
      <c r="H358" s="41" t="s">
        <v>11</v>
      </c>
      <c r="I358" s="41" t="s">
        <v>12</v>
      </c>
      <c r="J358" s="36">
        <f t="shared" si="17"/>
        <v>45628.74287</v>
      </c>
      <c r="K358" s="41" t="s">
        <v>197</v>
      </c>
      <c r="L358" s="41" t="s">
        <v>12</v>
      </c>
      <c r="M358" s="36">
        <f t="shared" si="18"/>
        <v>45630.6326</v>
      </c>
      <c r="N358" s="30" t="str">
        <f t="shared" si="3"/>
        <v>SELESAI</v>
      </c>
      <c r="O358" s="45">
        <f t="shared" si="12"/>
        <v>45630.6326</v>
      </c>
      <c r="P358" s="47" t="b">
        <v>0</v>
      </c>
      <c r="Q358" s="36" t="str">
        <f t="shared" si="19"/>
        <v/>
      </c>
      <c r="R358" s="47" t="b">
        <v>1</v>
      </c>
      <c r="S358" s="36">
        <f t="shared" si="6"/>
        <v>45630.63345</v>
      </c>
      <c r="T358" s="42"/>
    </row>
    <row r="359" ht="22.5" customHeight="1">
      <c r="B359" s="42">
        <f t="shared" si="7"/>
        <v>353</v>
      </c>
      <c r="C359" s="31" t="s">
        <v>544</v>
      </c>
      <c r="D359" s="34" t="str">
        <f t="array" ref="D359">IFNA(_xlfn.XLOOKUP(C359,Table_Tarikan_Warkah[Nomor Sertipikat],Table_Tarikan_Warkah[Nomor Tiket]),"")</f>
        <v>L/32/261124/1</v>
      </c>
      <c r="E359" s="36" t="str">
        <f t="array" ref="E359">IFNA(_xlfn.XLOOKUP(D359,Table_Tarikan_Warkah[Nomor Tiket],Table_Tarikan_Warkah[Tanggal diserahkan kepada Validator]),"")</f>
        <v>28/11/2024 14.09</v>
      </c>
      <c r="F359" s="36" t="str">
        <f t="array" ref="F359">IFNA(_xlfn.XLOOKUP(D359,Table_Tarikan_Warkah[Nomor Tiket],Table_Tarikan_Warkah[Nama Petugas Warkah]),"")</f>
        <v>David</v>
      </c>
      <c r="G359" s="39" t="str">
        <f t="array" ref="G359">IFNA(_xlfn.XLOOKUP(D359,Table_Tarikan_Warkah[Nomor Tiket],Table_Tarikan_Warkah[Jenis Permohonan]),"")</f>
        <v>ROYA</v>
      </c>
      <c r="H359" s="41" t="s">
        <v>11</v>
      </c>
      <c r="I359" s="41" t="s">
        <v>12</v>
      </c>
      <c r="J359" s="36">
        <f t="shared" si="17"/>
        <v>45628.7429</v>
      </c>
      <c r="K359" s="41" t="s">
        <v>197</v>
      </c>
      <c r="L359" s="41" t="s">
        <v>12</v>
      </c>
      <c r="M359" s="36">
        <f t="shared" si="18"/>
        <v>45630.6326</v>
      </c>
      <c r="N359" s="30" t="str">
        <f t="shared" si="3"/>
        <v>SELESAI</v>
      </c>
      <c r="O359" s="45">
        <f t="shared" si="12"/>
        <v>45630.6326</v>
      </c>
      <c r="P359" s="47" t="b">
        <v>0</v>
      </c>
      <c r="Q359" s="36" t="str">
        <f t="shared" si="19"/>
        <v/>
      </c>
      <c r="R359" s="47" t="b">
        <v>1</v>
      </c>
      <c r="S359" s="36">
        <f t="shared" si="6"/>
        <v>45630.63346</v>
      </c>
      <c r="T359" s="42"/>
    </row>
    <row r="360" ht="22.5" customHeight="1">
      <c r="B360" s="42">
        <f t="shared" si="7"/>
        <v>354</v>
      </c>
      <c r="C360" s="31" t="s">
        <v>545</v>
      </c>
      <c r="D360" s="34" t="str">
        <f t="array" ref="D360">IFNA(_xlfn.XLOOKUP(C360,Table_Tarikan_Warkah[Nomor Sertipikat],Table_Tarikan_Warkah[Nomor Tiket]),"")</f>
        <v>K/25/281124/1</v>
      </c>
      <c r="E360" s="36" t="str">
        <f t="array" ref="E360">IFNA(_xlfn.XLOOKUP(D360,Table_Tarikan_Warkah[Nomor Tiket],Table_Tarikan_Warkah[Tanggal diserahkan kepada Validator]),"")</f>
        <v>02/12/2024 09.38</v>
      </c>
      <c r="F360" s="36" t="str">
        <f t="array" ref="F360">IFNA(_xlfn.XLOOKUP(D360,Table_Tarikan_Warkah[Nomor Tiket],Table_Tarikan_Warkah[Nama Petugas Warkah]),"")</f>
        <v>David</v>
      </c>
      <c r="G360" s="39" t="str">
        <f t="array" ref="G360">IFNA(_xlfn.XLOOKUP(D360,Table_Tarikan_Warkah[Nomor Tiket],Table_Tarikan_Warkah[Jenis Permohonan]),"")</f>
        <v>ROYA</v>
      </c>
      <c r="H360" s="41" t="s">
        <v>11</v>
      </c>
      <c r="I360" s="41" t="s">
        <v>12</v>
      </c>
      <c r="J360" s="36">
        <f t="shared" si="17"/>
        <v>45628.7429</v>
      </c>
      <c r="K360" s="41" t="s">
        <v>197</v>
      </c>
      <c r="L360" s="41" t="s">
        <v>12</v>
      </c>
      <c r="M360" s="36">
        <f t="shared" si="18"/>
        <v>45630.6326</v>
      </c>
      <c r="N360" s="30" t="str">
        <f t="shared" si="3"/>
        <v>SELESAI</v>
      </c>
      <c r="O360" s="45">
        <f t="shared" si="12"/>
        <v>45630.6326</v>
      </c>
      <c r="P360" s="47" t="b">
        <v>0</v>
      </c>
      <c r="Q360" s="36" t="str">
        <f t="shared" si="19"/>
        <v/>
      </c>
      <c r="R360" s="47" t="b">
        <v>1</v>
      </c>
      <c r="S360" s="36">
        <f t="shared" si="6"/>
        <v>45630.63347</v>
      </c>
      <c r="T360" s="42"/>
    </row>
    <row r="361" ht="22.5" customHeight="1">
      <c r="B361" s="42">
        <f t="shared" si="7"/>
        <v>355</v>
      </c>
      <c r="C361" s="31" t="s">
        <v>546</v>
      </c>
      <c r="D361" s="34" t="str">
        <f t="array" ref="D361">IFNA(_xlfn.XLOOKUP(C361,Table_Tarikan_Warkah[Nomor Sertipikat],Table_Tarikan_Warkah[Nomor Tiket]),"")</f>
        <v>L/5/281124/1</v>
      </c>
      <c r="E361" s="36" t="str">
        <f t="array" ref="E361">IFNA(_xlfn.XLOOKUP(D361,Table_Tarikan_Warkah[Nomor Tiket],Table_Tarikan_Warkah[Tanggal diserahkan kepada Validator]),"")</f>
        <v>02/12/2024 09.27</v>
      </c>
      <c r="F361" s="36" t="str">
        <f t="array" ref="F361">IFNA(_xlfn.XLOOKUP(D361,Table_Tarikan_Warkah[Nomor Tiket],Table_Tarikan_Warkah[Nama Petugas Warkah]),"")</f>
        <v>Berry</v>
      </c>
      <c r="G361" s="39" t="str">
        <f t="array" ref="G361">IFNA(_xlfn.XLOOKUP(D361,Table_Tarikan_Warkah[Nomor Tiket],Table_Tarikan_Warkah[Jenis Permohonan]),"")</f>
        <v>PH</v>
      </c>
      <c r="H361" s="41" t="s">
        <v>11</v>
      </c>
      <c r="I361" s="41" t="s">
        <v>12</v>
      </c>
      <c r="J361" s="36">
        <f t="shared" si="17"/>
        <v>45628.7429</v>
      </c>
      <c r="K361" s="41" t="s">
        <v>197</v>
      </c>
      <c r="L361" s="41" t="s">
        <v>12</v>
      </c>
      <c r="M361" s="36">
        <f t="shared" si="18"/>
        <v>45630.6326</v>
      </c>
      <c r="N361" s="30" t="str">
        <f t="shared" si="3"/>
        <v>SELESAI</v>
      </c>
      <c r="O361" s="45">
        <f t="shared" si="12"/>
        <v>45630.6326</v>
      </c>
      <c r="P361" s="47" t="b">
        <v>0</v>
      </c>
      <c r="Q361" s="36" t="str">
        <f t="shared" si="19"/>
        <v/>
      </c>
      <c r="R361" s="47" t="b">
        <v>1</v>
      </c>
      <c r="S361" s="36">
        <f t="shared" si="6"/>
        <v>45630.63352</v>
      </c>
      <c r="T361" s="42"/>
    </row>
    <row r="362" ht="22.5" customHeight="1">
      <c r="B362" s="42">
        <f t="shared" si="7"/>
        <v>356</v>
      </c>
      <c r="C362" s="31" t="s">
        <v>547</v>
      </c>
      <c r="D362" s="34" t="str">
        <f t="array" ref="D362">IFNA(_xlfn.XLOOKUP(C362,Table_Tarikan_Warkah[Nomor Sertipikat],Table_Tarikan_Warkah[Nomor Tiket]),"")</f>
        <v>K/28/261124/1</v>
      </c>
      <c r="E362" s="36" t="str">
        <f t="array" ref="E362">IFNA(_xlfn.XLOOKUP(D362,Table_Tarikan_Warkah[Nomor Tiket],Table_Tarikan_Warkah[Tanggal diserahkan kepada Validator]),"")</f>
        <v>02/12/2024 09.57</v>
      </c>
      <c r="F362" s="36" t="str">
        <f t="array" ref="F362">IFNA(_xlfn.XLOOKUP(D362,Table_Tarikan_Warkah[Nomor Tiket],Table_Tarikan_Warkah[Nama Petugas Warkah]),"")</f>
        <v>David</v>
      </c>
      <c r="G362" s="39" t="str">
        <f t="array" ref="G362">IFNA(_xlfn.XLOOKUP(D362,Table_Tarikan_Warkah[Nomor Tiket],Table_Tarikan_Warkah[Jenis Permohonan]),"")</f>
        <v>BN JUAL BELI</v>
      </c>
      <c r="H362" s="41" t="s">
        <v>11</v>
      </c>
      <c r="I362" s="41" t="s">
        <v>12</v>
      </c>
      <c r="J362" s="36">
        <f t="shared" si="17"/>
        <v>45628.7429</v>
      </c>
      <c r="K362" s="49" t="s">
        <v>197</v>
      </c>
      <c r="L362" s="49" t="s">
        <v>12</v>
      </c>
      <c r="M362" s="36">
        <f t="shared" si="18"/>
        <v>45630.6326</v>
      </c>
      <c r="N362" s="30" t="str">
        <f t="shared" si="3"/>
        <v>SELESAI</v>
      </c>
      <c r="O362" s="45">
        <f t="shared" si="12"/>
        <v>45630.6326</v>
      </c>
      <c r="P362" s="47" t="b">
        <v>0</v>
      </c>
      <c r="Q362" s="36" t="str">
        <f t="shared" si="19"/>
        <v/>
      </c>
      <c r="R362" s="47" t="b">
        <v>1</v>
      </c>
      <c r="S362" s="36">
        <f t="shared" si="6"/>
        <v>45630.63352</v>
      </c>
      <c r="T362" s="42"/>
    </row>
    <row r="363" ht="22.5" customHeight="1">
      <c r="B363" s="42">
        <f t="shared" si="7"/>
        <v>357</v>
      </c>
      <c r="C363" s="31" t="s">
        <v>548</v>
      </c>
      <c r="D363" s="34" t="str">
        <f t="array" ref="D363">IFNA(_xlfn.XLOOKUP(C363,Table_Tarikan_Warkah[Nomor Sertipikat],Table_Tarikan_Warkah[Nomor Tiket]),"")</f>
        <v>K/28/281124/2</v>
      </c>
      <c r="E363" s="36" t="str">
        <f t="array" ref="E363">IFNA(_xlfn.XLOOKUP(D363,Table_Tarikan_Warkah[Nomor Tiket],Table_Tarikan_Warkah[Tanggal diserahkan kepada Validator]),"")</f>
        <v>02/12/2024 09.41</v>
      </c>
      <c r="F363" s="36" t="str">
        <f t="array" ref="F363">IFNA(_xlfn.XLOOKUP(D363,Table_Tarikan_Warkah[Nomor Tiket],Table_Tarikan_Warkah[Nama Petugas Warkah]),"")</f>
        <v>David</v>
      </c>
      <c r="G363" s="39" t="str">
        <f t="array" ref="G363">IFNA(_xlfn.XLOOKUP(D363,Table_Tarikan_Warkah[Nomor Tiket],Table_Tarikan_Warkah[Jenis Permohonan]),"")</f>
        <v>ROYA</v>
      </c>
      <c r="H363" s="41" t="s">
        <v>11</v>
      </c>
      <c r="I363" s="41" t="s">
        <v>12</v>
      </c>
      <c r="J363" s="36">
        <f t="shared" si="17"/>
        <v>45628.7429</v>
      </c>
      <c r="K363" s="41" t="s">
        <v>197</v>
      </c>
      <c r="L363" s="41" t="s">
        <v>12</v>
      </c>
      <c r="M363" s="36">
        <f t="shared" si="18"/>
        <v>45630.63263</v>
      </c>
      <c r="N363" s="30" t="str">
        <f t="shared" si="3"/>
        <v>SELESAI</v>
      </c>
      <c r="O363" s="45">
        <f t="shared" si="12"/>
        <v>45630.63263</v>
      </c>
      <c r="P363" s="47" t="b">
        <v>0</v>
      </c>
      <c r="Q363" s="36" t="str">
        <f t="shared" si="19"/>
        <v/>
      </c>
      <c r="R363" s="47" t="b">
        <v>1</v>
      </c>
      <c r="S363" s="36">
        <f t="shared" si="6"/>
        <v>45630.63358</v>
      </c>
      <c r="T363" s="42"/>
    </row>
    <row r="364" ht="22.5" customHeight="1">
      <c r="B364" s="42">
        <f t="shared" si="7"/>
        <v>358</v>
      </c>
      <c r="C364" s="31" t="s">
        <v>549</v>
      </c>
      <c r="D364" s="34" t="str">
        <f t="array" ref="D364">IFNA(_xlfn.XLOOKUP(C364,Table_Tarikan_Warkah[Nomor Sertipikat],Table_Tarikan_Warkah[Nomor Tiket]),"")</f>
        <v>K/43/281124/1</v>
      </c>
      <c r="E364" s="36" t="str">
        <f t="array" ref="E364">IFNA(_xlfn.XLOOKUP(D364,Table_Tarikan_Warkah[Nomor Tiket],Table_Tarikan_Warkah[Tanggal diserahkan kepada Validator]),"")</f>
        <v>02/12/2024 09.44</v>
      </c>
      <c r="F364" s="36" t="str">
        <f t="array" ref="F364">IFNA(_xlfn.XLOOKUP(D364,Table_Tarikan_Warkah[Nomor Tiket],Table_Tarikan_Warkah[Nama Petugas Warkah]),"")</f>
        <v>David</v>
      </c>
      <c r="G364" s="39" t="str">
        <f t="array" ref="G364">IFNA(_xlfn.XLOOKUP(D364,Table_Tarikan_Warkah[Nomor Tiket],Table_Tarikan_Warkah[Jenis Permohonan]),"")</f>
        <v>BN JUAL BELI</v>
      </c>
      <c r="H364" s="41" t="s">
        <v>11</v>
      </c>
      <c r="I364" s="41" t="s">
        <v>12</v>
      </c>
      <c r="J364" s="36">
        <f t="shared" si="17"/>
        <v>45628.7429</v>
      </c>
      <c r="K364" s="49" t="s">
        <v>197</v>
      </c>
      <c r="L364" s="49" t="s">
        <v>12</v>
      </c>
      <c r="M364" s="36">
        <f t="shared" si="18"/>
        <v>45630.63263</v>
      </c>
      <c r="N364" s="30" t="str">
        <f t="shared" si="3"/>
        <v>SELESAI</v>
      </c>
      <c r="O364" s="45">
        <f t="shared" si="12"/>
        <v>45630.63263</v>
      </c>
      <c r="P364" s="47" t="b">
        <v>0</v>
      </c>
      <c r="Q364" s="36" t="str">
        <f t="shared" si="19"/>
        <v/>
      </c>
      <c r="R364" s="47" t="b">
        <v>1</v>
      </c>
      <c r="S364" s="36">
        <f t="shared" si="6"/>
        <v>45630.63358</v>
      </c>
      <c r="T364" s="42"/>
    </row>
    <row r="365" ht="22.5" customHeight="1">
      <c r="B365" s="42">
        <f t="shared" si="7"/>
        <v>359</v>
      </c>
      <c r="C365" s="31" t="s">
        <v>550</v>
      </c>
      <c r="D365" s="42" t="s">
        <v>551</v>
      </c>
      <c r="E365" s="36" t="str">
        <f t="array" ref="E365">IFNA(_xlfn.XLOOKUP(D365,Table_Tarikan_Warkah[Nomor Tiket],Table_Tarikan_Warkah[Tanggal diserahkan kepada Validator]),"")</f>
        <v>02/12/2024 09.51</v>
      </c>
      <c r="F365" s="36" t="str">
        <f t="array" ref="F365">IFNA(_xlfn.XLOOKUP(D365,Table_Tarikan_Warkah[Nomor Tiket],Table_Tarikan_Warkah[Nama Petugas Warkah]),"")</f>
        <v>David</v>
      </c>
      <c r="G365" s="39" t="str">
        <f t="array" ref="G365">IFNA(_xlfn.XLOOKUP(D365,Table_Tarikan_Warkah[Nomor Tiket],Table_Tarikan_Warkah[Jenis Permohonan]),"")</f>
        <v>BN waris</v>
      </c>
      <c r="H365" s="41" t="s">
        <v>11</v>
      </c>
      <c r="I365" s="41" t="s">
        <v>12</v>
      </c>
      <c r="J365" s="36">
        <f t="shared" si="17"/>
        <v>45628.7429</v>
      </c>
      <c r="K365" s="41" t="s">
        <v>197</v>
      </c>
      <c r="L365" s="41" t="s">
        <v>12</v>
      </c>
      <c r="M365" s="36">
        <f t="shared" si="18"/>
        <v>45630.63263</v>
      </c>
      <c r="N365" s="30" t="str">
        <f t="shared" si="3"/>
        <v>SELESAI</v>
      </c>
      <c r="O365" s="45">
        <f t="shared" si="12"/>
        <v>45630.63263</v>
      </c>
      <c r="P365" s="47" t="b">
        <v>0</v>
      </c>
      <c r="Q365" s="36" t="str">
        <f t="shared" si="19"/>
        <v/>
      </c>
      <c r="R365" s="47" t="b">
        <v>1</v>
      </c>
      <c r="S365" s="36">
        <f t="shared" si="6"/>
        <v>45630.63358</v>
      </c>
      <c r="T365" s="42"/>
    </row>
    <row r="366" ht="22.5" customHeight="1">
      <c r="B366" s="42">
        <f t="shared" si="7"/>
        <v>360</v>
      </c>
      <c r="C366" s="31" t="s">
        <v>552</v>
      </c>
      <c r="D366" s="34" t="str">
        <f t="array" ref="D366">IFNA(_xlfn.XLOOKUP(C366,Table_Tarikan_Warkah[Nomor Sertipikat],Table_Tarikan_Warkah[Nomor Tiket]),"")</f>
        <v>K/47/291124/1</v>
      </c>
      <c r="E366" s="36" t="str">
        <f t="array" ref="E366">IFNA(_xlfn.XLOOKUP(D366,Table_Tarikan_Warkah[Nomor Tiket],Table_Tarikan_Warkah[Tanggal diserahkan kepada Validator]),"")</f>
        <v>02/12/2024 15.06</v>
      </c>
      <c r="F366" s="36" t="str">
        <f t="array" ref="F366">IFNA(_xlfn.XLOOKUP(D366,Table_Tarikan_Warkah[Nomor Tiket],Table_Tarikan_Warkah[Nama Petugas Warkah]),"")</f>
        <v>Berry</v>
      </c>
      <c r="G366" s="39" t="str">
        <f t="array" ref="G366">IFNA(_xlfn.XLOOKUP(D366,Table_Tarikan_Warkah[Nomor Tiket],Table_Tarikan_Warkah[Jenis Permohonan]),"")</f>
        <v>BN Jual Beli</v>
      </c>
      <c r="H366" s="41" t="s">
        <v>11</v>
      </c>
      <c r="I366" s="41" t="s">
        <v>12</v>
      </c>
      <c r="J366" s="36">
        <f t="shared" si="17"/>
        <v>45628.7429</v>
      </c>
      <c r="K366" s="41" t="s">
        <v>197</v>
      </c>
      <c r="L366" s="41" t="s">
        <v>12</v>
      </c>
      <c r="M366" s="36">
        <f t="shared" si="18"/>
        <v>45630.63268</v>
      </c>
      <c r="N366" s="30" t="str">
        <f t="shared" si="3"/>
        <v>SELESAI</v>
      </c>
      <c r="O366" s="45">
        <f t="shared" si="12"/>
        <v>45630.63268</v>
      </c>
      <c r="P366" s="47" t="b">
        <v>0</v>
      </c>
      <c r="Q366" s="36" t="str">
        <f t="shared" si="19"/>
        <v/>
      </c>
      <c r="R366" s="47" t="b">
        <v>1</v>
      </c>
      <c r="S366" s="36">
        <f t="shared" si="6"/>
        <v>45630.63361</v>
      </c>
      <c r="T366" s="42"/>
    </row>
    <row r="367" ht="22.5" customHeight="1">
      <c r="B367" s="42">
        <f t="shared" si="7"/>
        <v>361</v>
      </c>
      <c r="C367" s="31" t="s">
        <v>553</v>
      </c>
      <c r="D367" s="34" t="str">
        <f t="array" ref="D367">IFNA(_xlfn.XLOOKUP(C367,Table_Tarikan_Warkah[Nomor Sertipikat],Table_Tarikan_Warkah[Nomor Tiket]),"")</f>
        <v>K/29/291124/3</v>
      </c>
      <c r="E367" s="36" t="str">
        <f t="array" ref="E367">IFNA(_xlfn.XLOOKUP(D367,Table_Tarikan_Warkah[Nomor Tiket],Table_Tarikan_Warkah[Tanggal diserahkan kepada Validator]),"")</f>
        <v>02/12/2024 15.04</v>
      </c>
      <c r="F367" s="36" t="str">
        <f t="array" ref="F367">IFNA(_xlfn.XLOOKUP(D367,Table_Tarikan_Warkah[Nomor Tiket],Table_Tarikan_Warkah[Nama Petugas Warkah]),"")</f>
        <v>Berry</v>
      </c>
      <c r="G367" s="39" t="str">
        <f t="array" ref="G367">IFNA(_xlfn.XLOOKUP(D367,Table_Tarikan_Warkah[Nomor Tiket],Table_Tarikan_Warkah[Jenis Permohonan]),"")</f>
        <v>BN JUAL BELI</v>
      </c>
      <c r="H367" s="41" t="s">
        <v>20</v>
      </c>
      <c r="I367" s="41" t="s">
        <v>12</v>
      </c>
      <c r="J367" s="36">
        <f t="shared" si="17"/>
        <v>45629.44766</v>
      </c>
      <c r="K367" s="41" t="s">
        <v>197</v>
      </c>
      <c r="L367" s="41" t="s">
        <v>12</v>
      </c>
      <c r="M367" s="36">
        <f t="shared" si="18"/>
        <v>45630.63278</v>
      </c>
      <c r="N367" s="30" t="str">
        <f t="shared" si="3"/>
        <v>SELESAI</v>
      </c>
      <c r="O367" s="45">
        <f t="shared" si="12"/>
        <v>45630.63278</v>
      </c>
      <c r="P367" s="47" t="b">
        <v>0</v>
      </c>
      <c r="Q367" s="36" t="str">
        <f t="shared" si="19"/>
        <v/>
      </c>
      <c r="R367" s="47" t="b">
        <v>1</v>
      </c>
      <c r="S367" s="36">
        <f t="shared" si="6"/>
        <v>45630.63361</v>
      </c>
      <c r="T367" s="42"/>
    </row>
    <row r="368" ht="22.5" customHeight="1">
      <c r="B368" s="42">
        <f t="shared" si="7"/>
        <v>362</v>
      </c>
      <c r="C368" s="31" t="s">
        <v>554</v>
      </c>
      <c r="D368" s="34" t="str">
        <f t="array" ref="D368">IFNA(_xlfn.XLOOKUP(C368,Table_Tarikan_Warkah[Nomor Sertipikat],Table_Tarikan_Warkah[Nomor Tiket]),"")</f>
        <v>K/8/291124/1</v>
      </c>
      <c r="E368" s="36" t="str">
        <f t="array" ref="E368">IFNA(_xlfn.XLOOKUP(D368,Table_Tarikan_Warkah[Nomor Tiket],Table_Tarikan_Warkah[Tanggal diserahkan kepada Validator]),"")</f>
        <v>02/12/2024 15.02</v>
      </c>
      <c r="F368" s="36" t="str">
        <f t="array" ref="F368">IFNA(_xlfn.XLOOKUP(D368,Table_Tarikan_Warkah[Nomor Tiket],Table_Tarikan_Warkah[Nama Petugas Warkah]),"")</f>
        <v>Berry</v>
      </c>
      <c r="G368" s="39" t="str">
        <f t="array" ref="G368">IFNA(_xlfn.XLOOKUP(D368,Table_Tarikan_Warkah[Nomor Tiket],Table_Tarikan_Warkah[Jenis Permohonan]),"")</f>
        <v>BN JUAL BELI</v>
      </c>
      <c r="H368" s="41" t="s">
        <v>20</v>
      </c>
      <c r="I368" s="41" t="s">
        <v>12</v>
      </c>
      <c r="J368" s="36">
        <f t="shared" si="17"/>
        <v>45629.44766</v>
      </c>
      <c r="K368" s="41" t="s">
        <v>197</v>
      </c>
      <c r="L368" s="41" t="s">
        <v>12</v>
      </c>
      <c r="M368" s="36">
        <f t="shared" si="18"/>
        <v>45630.63278</v>
      </c>
      <c r="N368" s="30" t="str">
        <f t="shared" si="3"/>
        <v>SELESAI</v>
      </c>
      <c r="O368" s="45">
        <f t="shared" si="12"/>
        <v>45630.63278</v>
      </c>
      <c r="P368" s="47" t="b">
        <v>0</v>
      </c>
      <c r="Q368" s="36" t="str">
        <f t="shared" si="19"/>
        <v/>
      </c>
      <c r="R368" s="47" t="b">
        <v>1</v>
      </c>
      <c r="S368" s="36">
        <f t="shared" si="6"/>
        <v>45630.63361</v>
      </c>
      <c r="T368" s="42"/>
    </row>
    <row r="369" ht="22.5" customHeight="1">
      <c r="B369" s="42">
        <f t="shared" si="7"/>
        <v>363</v>
      </c>
      <c r="C369" s="31" t="s">
        <v>555</v>
      </c>
      <c r="D369" s="34" t="str">
        <f t="array" ref="D369">IFNA(_xlfn.XLOOKUP(C369,Table_Tarikan_Warkah[Nomor Sertipikat],Table_Tarikan_Warkah[Nomor Tiket]),"")</f>
        <v>K/27/291124/1</v>
      </c>
      <c r="E369" s="36" t="str">
        <f t="array" ref="E369">IFNA(_xlfn.XLOOKUP(D369,Table_Tarikan_Warkah[Nomor Tiket],Table_Tarikan_Warkah[Tanggal diserahkan kepada Validator]),"")</f>
        <v>02/12/2024 15.04</v>
      </c>
      <c r="F369" s="36" t="str">
        <f t="array" ref="F369">IFNA(_xlfn.XLOOKUP(D369,Table_Tarikan_Warkah[Nomor Tiket],Table_Tarikan_Warkah[Nama Petugas Warkah]),"")</f>
        <v>Berry</v>
      </c>
      <c r="G369" s="39" t="str">
        <f t="array" ref="G369">IFNA(_xlfn.XLOOKUP(D369,Table_Tarikan_Warkah[Nomor Tiket],Table_Tarikan_Warkah[Jenis Permohonan]),"")</f>
        <v>BN JUAL BELI</v>
      </c>
      <c r="H369" s="41" t="s">
        <v>20</v>
      </c>
      <c r="I369" s="41" t="s">
        <v>12</v>
      </c>
      <c r="J369" s="36">
        <f t="shared" si="17"/>
        <v>45629.44766</v>
      </c>
      <c r="K369" s="41" t="s">
        <v>197</v>
      </c>
      <c r="L369" s="41" t="s">
        <v>12</v>
      </c>
      <c r="M369" s="36">
        <f t="shared" si="18"/>
        <v>45630.63278</v>
      </c>
      <c r="N369" s="30" t="str">
        <f t="shared" si="3"/>
        <v>SELESAI</v>
      </c>
      <c r="O369" s="45">
        <f t="shared" si="12"/>
        <v>45630.63278</v>
      </c>
      <c r="P369" s="47" t="b">
        <v>0</v>
      </c>
      <c r="Q369" s="36" t="str">
        <f t="shared" si="19"/>
        <v/>
      </c>
      <c r="R369" s="47" t="b">
        <v>1</v>
      </c>
      <c r="S369" s="36">
        <f t="shared" si="6"/>
        <v>45630.63365</v>
      </c>
      <c r="T369" s="42"/>
    </row>
    <row r="370" ht="22.5" customHeight="1">
      <c r="B370" s="42">
        <f t="shared" si="7"/>
        <v>364</v>
      </c>
      <c r="C370" s="31" t="s">
        <v>556</v>
      </c>
      <c r="D370" s="34" t="str">
        <f t="array" ref="D370">IFNA(_xlfn.XLOOKUP(C370,Table_Tarikan_Warkah[Nomor Sertipikat],Table_Tarikan_Warkah[Nomor Tiket]),"")</f>
        <v>L/19/291124/1</v>
      </c>
      <c r="E370" s="36" t="str">
        <f t="array" ref="E370">IFNA(_xlfn.XLOOKUP(D370,Table_Tarikan_Warkah[Nomor Tiket],Table_Tarikan_Warkah[Tanggal diserahkan kepada Validator]),"")</f>
        <v>02/12/2024 15.03</v>
      </c>
      <c r="F370" s="36" t="str">
        <f t="array" ref="F370">IFNA(_xlfn.XLOOKUP(D370,Table_Tarikan_Warkah[Nomor Tiket],Table_Tarikan_Warkah[Nama Petugas Warkah]),"")</f>
        <v>Pras</v>
      </c>
      <c r="G370" s="39" t="str">
        <f t="array" ref="G370">IFNA(_xlfn.XLOOKUP(D370,Table_Tarikan_Warkah[Nomor Tiket],Table_Tarikan_Warkah[Jenis Permohonan]),"")</f>
        <v>BN WARIS</v>
      </c>
      <c r="H370" s="41" t="s">
        <v>20</v>
      </c>
      <c r="I370" s="41" t="s">
        <v>12</v>
      </c>
      <c r="J370" s="36">
        <f t="shared" si="17"/>
        <v>45629.44766</v>
      </c>
      <c r="K370" s="49" t="s">
        <v>197</v>
      </c>
      <c r="L370" s="49" t="s">
        <v>12</v>
      </c>
      <c r="M370" s="36">
        <f t="shared" si="18"/>
        <v>45630.63278</v>
      </c>
      <c r="N370" s="30" t="str">
        <f t="shared" si="3"/>
        <v>SELESAI</v>
      </c>
      <c r="O370" s="45">
        <f t="shared" si="12"/>
        <v>45630.63278</v>
      </c>
      <c r="P370" s="47" t="b">
        <v>0</v>
      </c>
      <c r="Q370" s="36" t="str">
        <f t="shared" si="19"/>
        <v/>
      </c>
      <c r="R370" s="47" t="b">
        <v>1</v>
      </c>
      <c r="S370" s="36">
        <f t="shared" si="6"/>
        <v>45630.63365</v>
      </c>
      <c r="T370" s="42"/>
    </row>
    <row r="371" ht="22.5" customHeight="1">
      <c r="B371" s="42">
        <f t="shared" si="7"/>
        <v>365</v>
      </c>
      <c r="C371" s="31" t="s">
        <v>557</v>
      </c>
      <c r="D371" s="34" t="str">
        <f t="array" ref="D371">IFNA(_xlfn.XLOOKUP(C371,Table_Tarikan_Warkah[Nomor Sertipikat],Table_Tarikan_Warkah[Nomor Tiket]),"")</f>
        <v>K/13/291124/2</v>
      </c>
      <c r="E371" s="36" t="str">
        <f t="array" ref="E371">IFNA(_xlfn.XLOOKUP(D371,Table_Tarikan_Warkah[Nomor Tiket],Table_Tarikan_Warkah[Tanggal diserahkan kepada Validator]),"")</f>
        <v>02/12/2024 15.03</v>
      </c>
      <c r="F371" s="36" t="str">
        <f t="array" ref="F371">IFNA(_xlfn.XLOOKUP(D371,Table_Tarikan_Warkah[Nomor Tiket],Table_Tarikan_Warkah[Nama Petugas Warkah]),"")</f>
        <v>Berry</v>
      </c>
      <c r="G371" s="39" t="str">
        <f t="array" ref="G371">IFNA(_xlfn.XLOOKUP(D371,Table_Tarikan_Warkah[Nomor Tiket],Table_Tarikan_Warkah[Jenis Permohonan]),"")</f>
        <v>ROYA</v>
      </c>
      <c r="H371" s="41" t="s">
        <v>20</v>
      </c>
      <c r="I371" s="41" t="s">
        <v>12</v>
      </c>
      <c r="J371" s="36">
        <f t="shared" si="17"/>
        <v>45629.44766</v>
      </c>
      <c r="K371" s="41" t="s">
        <v>197</v>
      </c>
      <c r="L371" s="41" t="s">
        <v>12</v>
      </c>
      <c r="M371" s="36">
        <f t="shared" si="18"/>
        <v>45630.63278</v>
      </c>
      <c r="N371" s="30" t="str">
        <f t="shared" si="3"/>
        <v>SELESAI</v>
      </c>
      <c r="O371" s="45">
        <f t="shared" si="12"/>
        <v>45630.63278</v>
      </c>
      <c r="P371" s="47" t="b">
        <v>0</v>
      </c>
      <c r="Q371" s="36" t="str">
        <f t="shared" si="19"/>
        <v/>
      </c>
      <c r="R371" s="47" t="b">
        <v>1</v>
      </c>
      <c r="S371" s="36">
        <f t="shared" si="6"/>
        <v>45630.63369</v>
      </c>
      <c r="T371" s="42"/>
    </row>
    <row r="372" ht="22.5" customHeight="1">
      <c r="B372" s="42">
        <f t="shared" si="7"/>
        <v>366</v>
      </c>
      <c r="C372" s="31" t="s">
        <v>558</v>
      </c>
      <c r="D372" s="34" t="str">
        <f t="array" ref="D372">IFNA(_xlfn.XLOOKUP(C372,Table_Tarikan_Warkah[Nomor Sertipikat],Table_Tarikan_Warkah[Nomor Tiket]),"")</f>
        <v>K/11/291124/1</v>
      </c>
      <c r="E372" s="36" t="str">
        <f t="array" ref="E372">IFNA(_xlfn.XLOOKUP(D372,Table_Tarikan_Warkah[Nomor Tiket],Table_Tarikan_Warkah[Tanggal diserahkan kepada Validator]),"")</f>
        <v>02/12/2024 15.02</v>
      </c>
      <c r="F372" s="36" t="str">
        <f t="array" ref="F372">IFNA(_xlfn.XLOOKUP(D372,Table_Tarikan_Warkah[Nomor Tiket],Table_Tarikan_Warkah[Nama Petugas Warkah]),"")</f>
        <v>Berry</v>
      </c>
      <c r="G372" s="39" t="str">
        <f t="array" ref="G372">IFNA(_xlfn.XLOOKUP(D372,Table_Tarikan_Warkah[Nomor Tiket],Table_Tarikan_Warkah[Jenis Permohonan]),"")</f>
        <v>BN Jual Beli</v>
      </c>
      <c r="H372" s="41" t="s">
        <v>20</v>
      </c>
      <c r="I372" s="41" t="s">
        <v>12</v>
      </c>
      <c r="J372" s="36">
        <f t="shared" si="17"/>
        <v>45629.44766</v>
      </c>
      <c r="K372" s="49" t="s">
        <v>197</v>
      </c>
      <c r="L372" s="49" t="s">
        <v>12</v>
      </c>
      <c r="M372" s="36">
        <f t="shared" si="18"/>
        <v>45630.63278</v>
      </c>
      <c r="N372" s="30" t="str">
        <f t="shared" si="3"/>
        <v>SELESAI</v>
      </c>
      <c r="O372" s="45">
        <f t="shared" si="12"/>
        <v>45630.63278</v>
      </c>
      <c r="P372" s="47" t="b">
        <v>0</v>
      </c>
      <c r="Q372" s="36" t="str">
        <f t="shared" si="19"/>
        <v/>
      </c>
      <c r="R372" s="47" t="b">
        <v>1</v>
      </c>
      <c r="S372" s="36">
        <f t="shared" si="6"/>
        <v>45630.63369</v>
      </c>
      <c r="T372" s="42"/>
    </row>
    <row r="373" ht="22.5" customHeight="1">
      <c r="B373" s="42">
        <f t="shared" si="7"/>
        <v>367</v>
      </c>
      <c r="C373" s="31" t="s">
        <v>559</v>
      </c>
      <c r="D373" s="34" t="str">
        <f t="array" ref="D373">IFNA(_xlfn.XLOOKUP(C373,Table_Tarikan_Warkah[Nomor Sertipikat],Table_Tarikan_Warkah[Nomor Tiket]),"")</f>
        <v>L/5/161124/1</v>
      </c>
      <c r="E373" s="36" t="str">
        <f t="array" ref="E373">IFNA(_xlfn.XLOOKUP(D373,Table_Tarikan_Warkah[Nomor Tiket],Table_Tarikan_Warkah[Tanggal diserahkan kepada Validator]),"")</f>
        <v/>
      </c>
      <c r="F373" s="36" t="str">
        <f t="array" ref="F373">IFNA(_xlfn.XLOOKUP(D373,Table_Tarikan_Warkah[Nomor Tiket],Table_Tarikan_Warkah[Nama Petugas Warkah]),"")</f>
        <v>Berry</v>
      </c>
      <c r="G373" s="39" t="str">
        <f t="array" ref="G373">IFNA(_xlfn.XLOOKUP(D373,Table_Tarikan_Warkah[Nomor Tiket],Table_Tarikan_Warkah[Jenis Permohonan]),"")</f>
        <v>ROYA</v>
      </c>
      <c r="H373" s="41" t="s">
        <v>20</v>
      </c>
      <c r="I373" s="41" t="s">
        <v>23</v>
      </c>
      <c r="J373" s="36">
        <f t="shared" si="17"/>
        <v>45629.44766</v>
      </c>
      <c r="K373" s="49" t="s">
        <v>26</v>
      </c>
      <c r="L373" s="49" t="s">
        <v>23</v>
      </c>
      <c r="M373" s="36">
        <f t="shared" si="18"/>
        <v>45630.63321</v>
      </c>
      <c r="N373" s="30" t="str">
        <f t="shared" si="3"/>
        <v>Selesai</v>
      </c>
      <c r="O373" s="45">
        <f t="shared" si="12"/>
        <v>45630.63321</v>
      </c>
      <c r="P373" s="47" t="b">
        <v>1</v>
      </c>
      <c r="Q373" s="36">
        <f t="shared" si="19"/>
        <v>45630.63339</v>
      </c>
      <c r="R373" s="47" t="b">
        <v>0</v>
      </c>
      <c r="S373" s="42" t="str">
        <f t="shared" si="6"/>
        <v/>
      </c>
      <c r="T373" s="42"/>
    </row>
    <row r="374" ht="22.5" customHeight="1">
      <c r="B374" s="42">
        <f t="shared" si="7"/>
        <v>368</v>
      </c>
      <c r="C374" s="31" t="s">
        <v>560</v>
      </c>
      <c r="D374" s="34" t="str">
        <f t="array" ref="D374">IFNA(_xlfn.XLOOKUP(C374,Table_Tarikan_Warkah[Nomor Sertipikat],Table_Tarikan_Warkah[Nomor Tiket]),"")</f>
        <v>K/14/281124/2</v>
      </c>
      <c r="E374" s="36" t="str">
        <f t="array" ref="E374">IFNA(_xlfn.XLOOKUP(D374,Table_Tarikan_Warkah[Nomor Tiket],Table_Tarikan_Warkah[Tanggal diserahkan kepada Validator]),"")</f>
        <v/>
      </c>
      <c r="F374" s="36" t="str">
        <f t="array" ref="F374">IFNA(_xlfn.XLOOKUP(D374,Table_Tarikan_Warkah[Nomor Tiket],Table_Tarikan_Warkah[Nama Petugas Warkah]),"")</f>
        <v>Berry</v>
      </c>
      <c r="G374" s="39" t="str">
        <f t="array" ref="G374">IFNA(_xlfn.XLOOKUP(D374,Table_Tarikan_Warkah[Nomor Tiket],Table_Tarikan_Warkah[Jenis Permohonan]),"")</f>
        <v>BN Hibah</v>
      </c>
      <c r="H374" s="41" t="s">
        <v>20</v>
      </c>
      <c r="I374" s="41" t="s">
        <v>23</v>
      </c>
      <c r="J374" s="36">
        <f t="shared" si="17"/>
        <v>45629.44766</v>
      </c>
      <c r="K374" s="49" t="s">
        <v>26</v>
      </c>
      <c r="L374" s="49" t="s">
        <v>23</v>
      </c>
      <c r="M374" s="36">
        <f t="shared" si="18"/>
        <v>45630.63323</v>
      </c>
      <c r="N374" s="30" t="str">
        <f t="shared" si="3"/>
        <v>Selesai</v>
      </c>
      <c r="O374" s="45">
        <f t="shared" si="12"/>
        <v>45630.63323</v>
      </c>
      <c r="P374" s="47" t="b">
        <v>1</v>
      </c>
      <c r="Q374" s="36">
        <f t="shared" si="19"/>
        <v>45630.63338</v>
      </c>
      <c r="R374" s="47" t="b">
        <v>0</v>
      </c>
      <c r="S374" s="42" t="str">
        <f t="shared" si="6"/>
        <v/>
      </c>
      <c r="T374" s="42"/>
    </row>
    <row r="375" ht="22.5" customHeight="1">
      <c r="B375" s="42">
        <f t="shared" si="7"/>
        <v>369</v>
      </c>
      <c r="C375" s="31" t="s">
        <v>561</v>
      </c>
      <c r="D375" s="34" t="str">
        <f t="array" ref="D375">IFNA(_xlfn.XLOOKUP(C375,Table_Tarikan_Warkah[Nomor Sertipikat],Table_Tarikan_Warkah[Nomor Tiket]),"")</f>
        <v>K/12/211124/2</v>
      </c>
      <c r="E375" s="36" t="str">
        <f t="array" ref="E375">IFNA(_xlfn.XLOOKUP(D375,Table_Tarikan_Warkah[Nomor Tiket],Table_Tarikan_Warkah[Tanggal diserahkan kepada Validator]),"")</f>
        <v/>
      </c>
      <c r="F375" s="36" t="str">
        <f t="array" ref="F375">IFNA(_xlfn.XLOOKUP(D375,Table_Tarikan_Warkah[Nomor Tiket],Table_Tarikan_Warkah[Nama Petugas Warkah]),"")</f>
        <v>David</v>
      </c>
      <c r="G375" s="39" t="str">
        <f t="array" ref="G375">IFNA(_xlfn.XLOOKUP(D375,Table_Tarikan_Warkah[Nomor Tiket],Table_Tarikan_Warkah[Jenis Permohonan]),"")</f>
        <v>BN JUAL BELI</v>
      </c>
      <c r="H375" s="41" t="s">
        <v>20</v>
      </c>
      <c r="I375" s="41" t="s">
        <v>23</v>
      </c>
      <c r="J375" s="36">
        <f t="shared" si="17"/>
        <v>45629.66763</v>
      </c>
      <c r="K375" s="49" t="s">
        <v>26</v>
      </c>
      <c r="L375" s="49" t="s">
        <v>23</v>
      </c>
      <c r="M375" s="36">
        <f t="shared" si="18"/>
        <v>45630.63333</v>
      </c>
      <c r="N375" s="30" t="str">
        <f t="shared" si="3"/>
        <v>Selesai</v>
      </c>
      <c r="O375" s="45">
        <f t="shared" si="12"/>
        <v>45630.63333</v>
      </c>
      <c r="P375" s="47" t="b">
        <v>1</v>
      </c>
      <c r="Q375" s="36">
        <f t="shared" si="19"/>
        <v>45630.63335</v>
      </c>
      <c r="R375" s="47" t="b">
        <v>0</v>
      </c>
      <c r="S375" s="42" t="str">
        <f t="shared" si="6"/>
        <v/>
      </c>
      <c r="T375" s="42"/>
    </row>
    <row r="376" ht="22.5" customHeight="1">
      <c r="B376" s="42">
        <f t="shared" si="7"/>
        <v>370</v>
      </c>
      <c r="C376" s="31" t="s">
        <v>562</v>
      </c>
      <c r="D376" s="34" t="str">
        <f t="array" ref="D376">IFNA(_xlfn.XLOOKUP(C376,Table_Tarikan_Warkah[Nomor Sertipikat],Table_Tarikan_Warkah[Nomor Tiket]),"")</f>
        <v>K/7/201124/1</v>
      </c>
      <c r="E376" s="36" t="str">
        <f t="array" ref="E376">IFNA(_xlfn.XLOOKUP(D376,Table_Tarikan_Warkah[Nomor Tiket],Table_Tarikan_Warkah[Tanggal diserahkan kepada Validator]),"")</f>
        <v/>
      </c>
      <c r="F376" s="36" t="str">
        <f t="array" ref="F376">IFNA(_xlfn.XLOOKUP(D376,Table_Tarikan_Warkah[Nomor Tiket],Table_Tarikan_Warkah[Nama Petugas Warkah]),"")</f>
        <v>Berry</v>
      </c>
      <c r="G376" s="39" t="str">
        <f t="array" ref="G376">IFNA(_xlfn.XLOOKUP(D376,Table_Tarikan_Warkah[Nomor Tiket],Table_Tarikan_Warkah[Jenis Permohonan]),"")</f>
        <v>BN JUAL BELI</v>
      </c>
      <c r="H376" s="41" t="s">
        <v>20</v>
      </c>
      <c r="I376" s="41" t="s">
        <v>23</v>
      </c>
      <c r="J376" s="36">
        <f t="shared" si="17"/>
        <v>45630.41595</v>
      </c>
      <c r="K376" s="49" t="s">
        <v>26</v>
      </c>
      <c r="L376" s="49" t="s">
        <v>23</v>
      </c>
      <c r="M376" s="36">
        <f t="shared" si="18"/>
        <v>0</v>
      </c>
      <c r="N376" s="30" t="str">
        <f t="shared" si="3"/>
        <v>Selesai</v>
      </c>
      <c r="O376" s="45">
        <f t="shared" si="12"/>
        <v>0</v>
      </c>
      <c r="P376" s="47" t="b">
        <v>1</v>
      </c>
      <c r="Q376" s="36">
        <f t="shared" si="19"/>
        <v>0</v>
      </c>
      <c r="R376" s="47" t="b">
        <v>0</v>
      </c>
      <c r="S376" s="42" t="str">
        <f t="shared" si="6"/>
        <v/>
      </c>
      <c r="T376" s="42"/>
    </row>
    <row r="377" ht="22.5" customHeight="1">
      <c r="B377" s="42">
        <f t="shared" si="7"/>
        <v>371</v>
      </c>
      <c r="C377" s="31" t="s">
        <v>563</v>
      </c>
      <c r="D377" s="34" t="str">
        <f t="array" ref="D377">IFNA(_xlfn.XLOOKUP(C377,Table_Tarikan_Warkah[Nomor Sertipikat],Table_Tarikan_Warkah[Nomor Tiket]),"")</f>
        <v>K/25/181124/3</v>
      </c>
      <c r="E377" s="36" t="str">
        <f t="array" ref="E377">IFNA(_xlfn.XLOOKUP(D377,Table_Tarikan_Warkah[Nomor Tiket],Table_Tarikan_Warkah[Tanggal diserahkan kepada Validator]),"")</f>
        <v/>
      </c>
      <c r="F377" s="36" t="str">
        <f t="array" ref="F377">IFNA(_xlfn.XLOOKUP(D377,Table_Tarikan_Warkah[Nomor Tiket],Table_Tarikan_Warkah[Nama Petugas Warkah]),"")</f>
        <v>David</v>
      </c>
      <c r="G377" s="39" t="str">
        <f t="array" ref="G377">IFNA(_xlfn.XLOOKUP(D377,Table_Tarikan_Warkah[Nomor Tiket],Table_Tarikan_Warkah[Jenis Permohonan]),"")</f>
        <v>BN JUAL BELI</v>
      </c>
      <c r="H377" s="41" t="s">
        <v>20</v>
      </c>
      <c r="I377" s="41" t="s">
        <v>23</v>
      </c>
      <c r="J377" s="36">
        <f t="shared" si="17"/>
        <v>45630.41751</v>
      </c>
      <c r="K377" s="49" t="s">
        <v>26</v>
      </c>
      <c r="L377" s="49" t="s">
        <v>23</v>
      </c>
      <c r="M377" s="36">
        <f t="shared" si="18"/>
        <v>0</v>
      </c>
      <c r="N377" s="30" t="str">
        <f t="shared" si="3"/>
        <v>Selesai</v>
      </c>
      <c r="O377" s="45">
        <f t="shared" si="12"/>
        <v>0</v>
      </c>
      <c r="P377" s="47" t="b">
        <v>1</v>
      </c>
      <c r="Q377" s="36">
        <f t="shared" si="19"/>
        <v>0</v>
      </c>
      <c r="R377" s="47" t="b">
        <v>0</v>
      </c>
      <c r="S377" s="42" t="str">
        <f t="shared" si="6"/>
        <v/>
      </c>
      <c r="T377" s="42"/>
    </row>
    <row r="378" ht="22.5" customHeight="1">
      <c r="B378" s="42">
        <f t="shared" si="7"/>
        <v>372</v>
      </c>
      <c r="C378" s="31" t="s">
        <v>564</v>
      </c>
      <c r="D378" s="34" t="str">
        <f t="array" ref="D378">IFNA(_xlfn.XLOOKUP(C378,Table_Tarikan_Warkah[Nomor Sertipikat],Table_Tarikan_Warkah[Nomor Tiket]),"")</f>
        <v>K/22/021224/1</v>
      </c>
      <c r="E378" s="36" t="str">
        <f t="array" ref="E378">IFNA(_xlfn.XLOOKUP(D378,Table_Tarikan_Warkah[Nomor Tiket],Table_Tarikan_Warkah[Tanggal diserahkan kepada Validator]),"")</f>
        <v>04/12/2024 09.30</v>
      </c>
      <c r="F378" s="36" t="str">
        <f t="array" ref="F378">IFNA(_xlfn.XLOOKUP(D378,Table_Tarikan_Warkah[Nomor Tiket],Table_Tarikan_Warkah[Nama Petugas Warkah]),"")</f>
        <v>Berry</v>
      </c>
      <c r="G378" s="39" t="str">
        <f t="array" ref="G378">IFNA(_xlfn.XLOOKUP(D378,Table_Tarikan_Warkah[Nomor Tiket],Table_Tarikan_Warkah[Jenis Permohonan]),"")</f>
        <v>BN JUAL BELI</v>
      </c>
      <c r="H378" s="41" t="s">
        <v>20</v>
      </c>
      <c r="I378" s="41" t="s">
        <v>23</v>
      </c>
      <c r="J378" s="36">
        <f t="shared" si="17"/>
        <v>45630.49575</v>
      </c>
      <c r="K378" s="49" t="s">
        <v>26</v>
      </c>
      <c r="L378" s="49" t="s">
        <v>23</v>
      </c>
      <c r="M378" s="36">
        <f t="shared" si="18"/>
        <v>0</v>
      </c>
      <c r="N378" s="30" t="str">
        <f t="shared" si="3"/>
        <v>Selesai</v>
      </c>
      <c r="O378" s="45">
        <f t="shared" si="12"/>
        <v>0</v>
      </c>
      <c r="P378" s="47" t="b">
        <v>1</v>
      </c>
      <c r="Q378" s="36">
        <f t="shared" si="19"/>
        <v>0</v>
      </c>
      <c r="R378" s="47" t="b">
        <v>1</v>
      </c>
      <c r="S378" s="36">
        <f t="shared" si="6"/>
        <v>45637.43503</v>
      </c>
      <c r="T378" s="42"/>
    </row>
    <row r="379" ht="22.5" customHeight="1">
      <c r="B379" s="42">
        <f t="shared" si="7"/>
        <v>373</v>
      </c>
      <c r="C379" s="31" t="s">
        <v>565</v>
      </c>
      <c r="D379" s="34" t="str">
        <f t="array" ref="D379">IFNA(_xlfn.XLOOKUP(C379,Table_Tarikan_Warkah[Nomor Sertipikat],Table_Tarikan_Warkah[Nomor Tiket]),"")</f>
        <v>K/61/251124/1</v>
      </c>
      <c r="E379" s="36">
        <f t="array" ref="E379">IFNA(_xlfn.XLOOKUP(D379,Table_Tarikan_Warkah[Nomor Tiket],Table_Tarikan_Warkah[Tanggal diserahkan kepada Validator]),"")</f>
        <v>45673.43404</v>
      </c>
      <c r="F379" s="36" t="str">
        <f t="array" ref="F379">IFNA(_xlfn.XLOOKUP(D379,Table_Tarikan_Warkah[Nomor Tiket],Table_Tarikan_Warkah[Nama Petugas Warkah]),"")</f>
        <v>Berry</v>
      </c>
      <c r="G379" s="39" t="str">
        <f t="array" ref="G379">IFNA(_xlfn.XLOOKUP(D379,Table_Tarikan_Warkah[Nomor Tiket],Table_Tarikan_Warkah[Jenis Permohonan]),"")</f>
        <v>BN JUAL BELI</v>
      </c>
      <c r="H379" s="41" t="s">
        <v>20</v>
      </c>
      <c r="I379" s="41" t="s">
        <v>23</v>
      </c>
      <c r="J379" s="36">
        <f t="shared" si="17"/>
        <v>45630.59701</v>
      </c>
      <c r="K379" s="49" t="s">
        <v>26</v>
      </c>
      <c r="L379" s="49" t="s">
        <v>23</v>
      </c>
      <c r="M379" s="36">
        <f t="shared" si="18"/>
        <v>45636.62783</v>
      </c>
      <c r="N379" s="30" t="str">
        <f t="shared" si="3"/>
        <v>Selesai</v>
      </c>
      <c r="O379" s="45">
        <f t="shared" si="12"/>
        <v>45636.62783</v>
      </c>
      <c r="P379" s="47" t="b">
        <v>1</v>
      </c>
      <c r="Q379" s="36">
        <f t="shared" si="19"/>
        <v>45636.62784</v>
      </c>
      <c r="R379" s="47" t="b">
        <v>0</v>
      </c>
      <c r="S379" s="42" t="str">
        <f t="shared" si="6"/>
        <v/>
      </c>
      <c r="T379" s="42"/>
    </row>
    <row r="380" ht="22.5" customHeight="1">
      <c r="B380" s="42">
        <f t="shared" si="7"/>
        <v>374</v>
      </c>
      <c r="C380" s="31" t="s">
        <v>566</v>
      </c>
      <c r="D380" s="34" t="str">
        <f t="array" ref="D380">IFNA(_xlfn.XLOOKUP(C380,Table_Tarikan_Warkah[Nomor Sertipikat],Table_Tarikan_Warkah[Nomor Tiket]),"")</f>
        <v>K/12/291124/1</v>
      </c>
      <c r="E380" s="36" t="str">
        <f t="array" ref="E380">IFNA(_xlfn.XLOOKUP(D380,Table_Tarikan_Warkah[Nomor Tiket],Table_Tarikan_Warkah[Tanggal diserahkan kepada Validator]),"")</f>
        <v>02/12/2024 15.02</v>
      </c>
      <c r="F380" s="36" t="str">
        <f t="array" ref="F380">IFNA(_xlfn.XLOOKUP(D380,Table_Tarikan_Warkah[Nomor Tiket],Table_Tarikan_Warkah[Nama Petugas Warkah]),"")</f>
        <v>Berry</v>
      </c>
      <c r="G380" s="39" t="str">
        <f t="array" ref="G380">IFNA(_xlfn.XLOOKUP(D380,Table_Tarikan_Warkah[Nomor Tiket],Table_Tarikan_Warkah[Jenis Permohonan]),"")</f>
        <v>ROYA</v>
      </c>
      <c r="H380" s="41" t="s">
        <v>11</v>
      </c>
      <c r="I380" s="41" t="s">
        <v>12</v>
      </c>
      <c r="J380" s="36">
        <f t="shared" si="17"/>
        <v>45630.67349</v>
      </c>
      <c r="K380" s="49" t="s">
        <v>197</v>
      </c>
      <c r="L380" s="49" t="s">
        <v>12</v>
      </c>
      <c r="M380" s="36">
        <f t="shared" si="18"/>
        <v>45636.66859</v>
      </c>
      <c r="N380" s="30" t="str">
        <f t="shared" si="3"/>
        <v>SELESAI</v>
      </c>
      <c r="O380" s="45">
        <f t="shared" si="12"/>
        <v>45636.66859</v>
      </c>
      <c r="P380" s="47" t="b">
        <v>0</v>
      </c>
      <c r="Q380" s="36" t="str">
        <f t="shared" si="19"/>
        <v/>
      </c>
      <c r="R380" s="47" t="b">
        <v>1</v>
      </c>
      <c r="S380" s="36">
        <f t="shared" si="6"/>
        <v>45637.4348</v>
      </c>
      <c r="T380" s="42"/>
    </row>
    <row r="381" ht="22.5" customHeight="1">
      <c r="B381" s="42">
        <f t="shared" si="7"/>
        <v>375</v>
      </c>
      <c r="C381" s="31" t="s">
        <v>567</v>
      </c>
      <c r="D381" s="34" t="str">
        <f t="array" ref="D381">IFNA(_xlfn.XLOOKUP(C381,Table_Tarikan_Warkah[Nomor Sertipikat],Table_Tarikan_Warkah[Nomor Tiket]),"")</f>
        <v>K/2/021224/1</v>
      </c>
      <c r="E381" s="36" t="str">
        <f t="array" ref="E381">IFNA(_xlfn.XLOOKUP(D381,Table_Tarikan_Warkah[Nomor Tiket],Table_Tarikan_Warkah[Tanggal diserahkan kepada Validator]),"")</f>
        <v>02/12/2024 15.07</v>
      </c>
      <c r="F381" s="36" t="str">
        <f t="array" ref="F381">IFNA(_xlfn.XLOOKUP(D381,Table_Tarikan_Warkah[Nomor Tiket],Table_Tarikan_Warkah[Nama Petugas Warkah]),"")</f>
        <v>Berry</v>
      </c>
      <c r="G381" s="39" t="str">
        <f t="array" ref="G381">IFNA(_xlfn.XLOOKUP(D381,Table_Tarikan_Warkah[Nomor Tiket],Table_Tarikan_Warkah[Jenis Permohonan]),"")</f>
        <v>ROYA</v>
      </c>
      <c r="H381" s="41" t="s">
        <v>11</v>
      </c>
      <c r="I381" s="41" t="s">
        <v>12</v>
      </c>
      <c r="J381" s="36">
        <f t="shared" si="17"/>
        <v>45630.67361</v>
      </c>
      <c r="K381" s="49" t="s">
        <v>197</v>
      </c>
      <c r="L381" s="49" t="s">
        <v>12</v>
      </c>
      <c r="M381" s="36">
        <f t="shared" si="18"/>
        <v>45636.66864</v>
      </c>
      <c r="N381" s="30" t="str">
        <f t="shared" si="3"/>
        <v>SELESAI</v>
      </c>
      <c r="O381" s="45">
        <f t="shared" si="12"/>
        <v>45636.66864</v>
      </c>
      <c r="P381" s="47" t="b">
        <v>0</v>
      </c>
      <c r="Q381" s="36" t="str">
        <f t="shared" si="19"/>
        <v/>
      </c>
      <c r="R381" s="47" t="b">
        <v>1</v>
      </c>
      <c r="S381" s="36">
        <f t="shared" si="6"/>
        <v>45637.43321</v>
      </c>
      <c r="T381" s="42"/>
    </row>
    <row r="382" ht="22.5" customHeight="1">
      <c r="B382" s="42">
        <f t="shared" si="7"/>
        <v>376</v>
      </c>
      <c r="C382" s="31" t="s">
        <v>568</v>
      </c>
      <c r="D382" s="34" t="str">
        <f t="array" ref="D382">IFNA(_xlfn.XLOOKUP(C382,Table_Tarikan_Warkah[Nomor Sertipikat],Table_Tarikan_Warkah[Nomor Tiket]),"")</f>
        <v>L/18/021224/1</v>
      </c>
      <c r="E382" s="36" t="str">
        <f t="array" ref="E382">IFNA(_xlfn.XLOOKUP(D382,Table_Tarikan_Warkah[Nomor Tiket],Table_Tarikan_Warkah[Tanggal diserahkan kepada Validator]),"")</f>
        <v>04/12/2024 09.27</v>
      </c>
      <c r="F382" s="36" t="str">
        <f t="array" ref="F382">IFNA(_xlfn.XLOOKUP(D382,Table_Tarikan_Warkah[Nomor Tiket],Table_Tarikan_Warkah[Nama Petugas Warkah]),"")</f>
        <v>Berry</v>
      </c>
      <c r="G382" s="39" t="str">
        <f t="array" ref="G382">IFNA(_xlfn.XLOOKUP(D382,Table_Tarikan_Warkah[Nomor Tiket],Table_Tarikan_Warkah[Jenis Permohonan]),"")</f>
        <v>ROYA</v>
      </c>
      <c r="H382" s="41" t="s">
        <v>11</v>
      </c>
      <c r="I382" s="41" t="s">
        <v>12</v>
      </c>
      <c r="J382" s="36">
        <f t="shared" si="17"/>
        <v>45630.67361</v>
      </c>
      <c r="K382" s="49" t="s">
        <v>197</v>
      </c>
      <c r="L382" s="49" t="s">
        <v>12</v>
      </c>
      <c r="M382" s="36">
        <f t="shared" si="18"/>
        <v>45636.66879</v>
      </c>
      <c r="N382" s="30" t="str">
        <f t="shared" si="3"/>
        <v>SELESAI</v>
      </c>
      <c r="O382" s="45">
        <f t="shared" si="12"/>
        <v>45636.66879</v>
      </c>
      <c r="P382" s="47" t="b">
        <v>0</v>
      </c>
      <c r="Q382" s="36" t="str">
        <f t="shared" si="19"/>
        <v/>
      </c>
      <c r="R382" s="47" t="b">
        <v>1</v>
      </c>
      <c r="S382" s="36">
        <f t="shared" si="6"/>
        <v>45637.43355</v>
      </c>
      <c r="T382" s="42"/>
    </row>
    <row r="383" ht="22.5" customHeight="1">
      <c r="B383" s="42">
        <f t="shared" si="7"/>
        <v>377</v>
      </c>
      <c r="C383" s="31" t="s">
        <v>569</v>
      </c>
      <c r="D383" s="34" t="str">
        <f t="array" ref="D383">IFNA(_xlfn.XLOOKUP(C383,Table_Tarikan_Warkah[Nomor Sertipikat],Table_Tarikan_Warkah[Nomor Tiket]),"")</f>
        <v>L/13/021224/1</v>
      </c>
      <c r="E383" s="36" t="str">
        <f t="array" ref="E383">IFNA(_xlfn.XLOOKUP(D383,Table_Tarikan_Warkah[Nomor Tiket],Table_Tarikan_Warkah[Tanggal diserahkan kepada Validator]),"")</f>
        <v>04/12/2024 09.26</v>
      </c>
      <c r="F383" s="36" t="str">
        <f t="array" ref="F383">IFNA(_xlfn.XLOOKUP(D383,Table_Tarikan_Warkah[Nomor Tiket],Table_Tarikan_Warkah[Nama Petugas Warkah]),"")</f>
        <v>Berry</v>
      </c>
      <c r="G383" s="39" t="str">
        <f t="array" ref="G383">IFNA(_xlfn.XLOOKUP(D383,Table_Tarikan_Warkah[Nomor Tiket],Table_Tarikan_Warkah[Jenis Permohonan]),"")</f>
        <v>BN WARIS</v>
      </c>
      <c r="H383" s="41" t="s">
        <v>11</v>
      </c>
      <c r="I383" s="41" t="s">
        <v>12</v>
      </c>
      <c r="J383" s="36">
        <f t="shared" si="17"/>
        <v>45630.67361</v>
      </c>
      <c r="K383" s="49" t="s">
        <v>197</v>
      </c>
      <c r="L383" s="49" t="s">
        <v>12</v>
      </c>
      <c r="M383" s="36">
        <f t="shared" si="18"/>
        <v>45636.66896</v>
      </c>
      <c r="N383" s="30" t="str">
        <f t="shared" si="3"/>
        <v>SELESAI</v>
      </c>
      <c r="O383" s="45">
        <f t="shared" si="12"/>
        <v>45636.66896</v>
      </c>
      <c r="P383" s="47" t="b">
        <v>0</v>
      </c>
      <c r="Q383" s="36" t="str">
        <f t="shared" si="19"/>
        <v/>
      </c>
      <c r="R383" s="47" t="b">
        <v>1</v>
      </c>
      <c r="S383" s="36">
        <f t="shared" si="6"/>
        <v>45637.4284</v>
      </c>
      <c r="T383" s="42"/>
    </row>
    <row r="384" ht="22.5" customHeight="1">
      <c r="B384" s="42">
        <f t="shared" si="7"/>
        <v>378</v>
      </c>
      <c r="C384" s="31" t="s">
        <v>570</v>
      </c>
      <c r="D384" s="34" t="str">
        <f t="array" ref="D384">IFNA(_xlfn.XLOOKUP(C384,Table_Tarikan_Warkah[Nomor Sertipikat],Table_Tarikan_Warkah[Nomor Tiket]),"")</f>
        <v>K/28/021224/2</v>
      </c>
      <c r="E384" s="36" t="str">
        <f t="array" ref="E384">IFNA(_xlfn.XLOOKUP(D384,Table_Tarikan_Warkah[Nomor Tiket],Table_Tarikan_Warkah[Tanggal diserahkan kepada Validator]),"")</f>
        <v>04/12/2024 09.32</v>
      </c>
      <c r="F384" s="36" t="str">
        <f t="array" ref="F384">IFNA(_xlfn.XLOOKUP(D384,Table_Tarikan_Warkah[Nomor Tiket],Table_Tarikan_Warkah[Nama Petugas Warkah]),"")</f>
        <v>Berry</v>
      </c>
      <c r="G384" s="39" t="str">
        <f t="array" ref="G384">IFNA(_xlfn.XLOOKUP(D384,Table_Tarikan_Warkah[Nomor Tiket],Table_Tarikan_Warkah[Jenis Permohonan]),"")</f>
        <v>BN Waris</v>
      </c>
      <c r="H384" s="41" t="s">
        <v>11</v>
      </c>
      <c r="I384" s="41" t="s">
        <v>12</v>
      </c>
      <c r="J384" s="36">
        <f t="shared" si="17"/>
        <v>45630.67361</v>
      </c>
      <c r="K384" s="49" t="s">
        <v>197</v>
      </c>
      <c r="L384" s="49" t="s">
        <v>12</v>
      </c>
      <c r="M384" s="36">
        <f t="shared" si="18"/>
        <v>45636.66896</v>
      </c>
      <c r="N384" s="30" t="str">
        <f t="shared" si="3"/>
        <v>SELESAI</v>
      </c>
      <c r="O384" s="45">
        <f t="shared" si="12"/>
        <v>45636.66896</v>
      </c>
      <c r="P384" s="47" t="b">
        <v>0</v>
      </c>
      <c r="Q384" s="36" t="str">
        <f t="shared" si="19"/>
        <v/>
      </c>
      <c r="R384" s="47" t="b">
        <v>1</v>
      </c>
      <c r="S384" s="36">
        <f t="shared" si="6"/>
        <v>45637.42816</v>
      </c>
      <c r="T384" s="42"/>
    </row>
    <row r="385" ht="22.5" customHeight="1">
      <c r="B385" s="42">
        <f t="shared" si="7"/>
        <v>379</v>
      </c>
      <c r="C385" s="31" t="s">
        <v>571</v>
      </c>
      <c r="D385" s="34" t="str">
        <f t="array" ref="D385">IFNA(_xlfn.XLOOKUP(C385,Table_Tarikan_Warkah[Nomor Sertipikat],Table_Tarikan_Warkah[Nomor Tiket]),"")</f>
        <v>K/27/021224/1</v>
      </c>
      <c r="E385" s="36" t="str">
        <f t="array" ref="E385">IFNA(_xlfn.XLOOKUP(D385,Table_Tarikan_Warkah[Nomor Tiket],Table_Tarikan_Warkah[Tanggal diserahkan kepada Validator]),"")</f>
        <v>04/12/2024 09.31</v>
      </c>
      <c r="F385" s="36" t="str">
        <f t="array" ref="F385">IFNA(_xlfn.XLOOKUP(D385,Table_Tarikan_Warkah[Nomor Tiket],Table_Tarikan_Warkah[Nama Petugas Warkah]),"")</f>
        <v>Berry</v>
      </c>
      <c r="G385" s="39" t="str">
        <f t="array" ref="G385">IFNA(_xlfn.XLOOKUP(D385,Table_Tarikan_Warkah[Nomor Tiket],Table_Tarikan_Warkah[Jenis Permohonan]),"")</f>
        <v>BN Waris</v>
      </c>
      <c r="H385" s="41" t="s">
        <v>11</v>
      </c>
      <c r="I385" s="41" t="s">
        <v>12</v>
      </c>
      <c r="J385" s="36">
        <f t="shared" si="17"/>
        <v>45630.67361</v>
      </c>
      <c r="K385" s="49" t="s">
        <v>197</v>
      </c>
      <c r="L385" s="49" t="s">
        <v>12</v>
      </c>
      <c r="M385" s="36">
        <f t="shared" si="18"/>
        <v>45636.66899</v>
      </c>
      <c r="N385" s="30" t="str">
        <f t="shared" si="3"/>
        <v>SELESAI</v>
      </c>
      <c r="O385" s="45">
        <f t="shared" si="12"/>
        <v>45636.66899</v>
      </c>
      <c r="P385" s="47" t="b">
        <v>0</v>
      </c>
      <c r="Q385" s="36" t="str">
        <f t="shared" si="19"/>
        <v/>
      </c>
      <c r="R385" s="47" t="b">
        <v>1</v>
      </c>
      <c r="S385" s="36">
        <f t="shared" si="6"/>
        <v>45637.4361</v>
      </c>
      <c r="T385" s="42"/>
    </row>
    <row r="386" ht="22.5" customHeight="1">
      <c r="B386" s="42">
        <f t="shared" si="7"/>
        <v>380</v>
      </c>
      <c r="C386" s="31" t="s">
        <v>572</v>
      </c>
      <c r="D386" s="34" t="str">
        <f t="array" ref="D386">IFNA(_xlfn.XLOOKUP(C386,Table_Tarikan_Warkah[Nomor Sertipikat],Table_Tarikan_Warkah[Nomor Tiket]),"")</f>
        <v>L/19/021224/1</v>
      </c>
      <c r="E386" s="36" t="str">
        <f t="array" ref="E386">IFNA(_xlfn.XLOOKUP(D386,Table_Tarikan_Warkah[Nomor Tiket],Table_Tarikan_Warkah[Tanggal diserahkan kepada Validator]),"")</f>
        <v/>
      </c>
      <c r="F386" s="36" t="str">
        <f t="array" ref="F386">IFNA(_xlfn.XLOOKUP(D386,Table_Tarikan_Warkah[Nomor Tiket],Table_Tarikan_Warkah[Nama Petugas Warkah]),"")</f>
        <v>Berry</v>
      </c>
      <c r="G386" s="39" t="str">
        <f t="array" ref="G386">IFNA(_xlfn.XLOOKUP(D386,Table_Tarikan_Warkah[Nomor Tiket],Table_Tarikan_Warkah[Jenis Permohonan]),"")</f>
        <v>ROYA</v>
      </c>
      <c r="H386" s="41" t="s">
        <v>20</v>
      </c>
      <c r="I386" s="41" t="s">
        <v>23</v>
      </c>
      <c r="J386" s="36">
        <f t="shared" si="17"/>
        <v>45631.39463</v>
      </c>
      <c r="K386" s="49" t="s">
        <v>26</v>
      </c>
      <c r="L386" s="49" t="s">
        <v>23</v>
      </c>
      <c r="M386" s="36">
        <f t="shared" si="18"/>
        <v>45636.66943</v>
      </c>
      <c r="N386" s="30" t="str">
        <f t="shared" si="3"/>
        <v>Selesai</v>
      </c>
      <c r="O386" s="45">
        <f t="shared" si="12"/>
        <v>45636.66943</v>
      </c>
      <c r="P386" s="47" t="b">
        <v>0</v>
      </c>
      <c r="Q386" s="36" t="str">
        <f t="shared" si="19"/>
        <v/>
      </c>
      <c r="R386" s="47" t="b">
        <v>0</v>
      </c>
      <c r="S386" s="42" t="str">
        <f t="shared" si="6"/>
        <v/>
      </c>
      <c r="T386" s="42"/>
    </row>
    <row r="387" ht="22.5" customHeight="1">
      <c r="B387" s="42">
        <f t="shared" si="7"/>
        <v>381</v>
      </c>
      <c r="C387" s="31" t="s">
        <v>573</v>
      </c>
      <c r="D387" s="34" t="str">
        <f t="array" ref="D387">IFNA(_xlfn.XLOOKUP(C387,Table_Tarikan_Warkah[Nomor Sertipikat],Table_Tarikan_Warkah[Nomor Tiket]),"")</f>
        <v>L/4/301124/4</v>
      </c>
      <c r="E387" s="36" t="str">
        <f t="array" ref="E387">IFNA(_xlfn.XLOOKUP(D387,Table_Tarikan_Warkah[Nomor Tiket],Table_Tarikan_Warkah[Tanggal diserahkan kepada Validator]),"")</f>
        <v/>
      </c>
      <c r="F387" s="36" t="str">
        <f t="array" ref="F387">IFNA(_xlfn.XLOOKUP(D387,Table_Tarikan_Warkah[Nomor Tiket],Table_Tarikan_Warkah[Nama Petugas Warkah]),"")</f>
        <v>Berry</v>
      </c>
      <c r="G387" s="39" t="str">
        <f t="array" ref="G387">IFNA(_xlfn.XLOOKUP(D387,Table_Tarikan_Warkah[Nomor Tiket],Table_Tarikan_Warkah[Jenis Permohonan]),"")</f>
        <v>ROYA</v>
      </c>
      <c r="H387" s="41" t="s">
        <v>20</v>
      </c>
      <c r="I387" s="41" t="s">
        <v>23</v>
      </c>
      <c r="J387" s="36">
        <f t="shared" si="17"/>
        <v>45631.42266</v>
      </c>
      <c r="K387" s="49" t="s">
        <v>26</v>
      </c>
      <c r="L387" s="49" t="s">
        <v>23</v>
      </c>
      <c r="M387" s="36">
        <f t="shared" si="18"/>
        <v>45636.66944</v>
      </c>
      <c r="N387" s="30" t="str">
        <f t="shared" si="3"/>
        <v>Selesai</v>
      </c>
      <c r="O387" s="45">
        <f t="shared" si="12"/>
        <v>45636.66944</v>
      </c>
      <c r="P387" s="47" t="b">
        <v>1</v>
      </c>
      <c r="Q387" s="36">
        <f t="shared" si="19"/>
        <v>45636.66245</v>
      </c>
      <c r="R387" s="47" t="b">
        <v>0</v>
      </c>
      <c r="S387" s="42" t="str">
        <f t="shared" si="6"/>
        <v/>
      </c>
      <c r="T387" s="42"/>
    </row>
    <row r="388" ht="22.5" customHeight="1">
      <c r="B388" s="42">
        <f t="shared" si="7"/>
        <v>382</v>
      </c>
      <c r="C388" s="31" t="s">
        <v>574</v>
      </c>
      <c r="D388" s="34" t="str">
        <f t="array" ref="D388">IFNA(_xlfn.XLOOKUP(C388,Table_Tarikan_Warkah[Nomor Sertipikat],Table_Tarikan_Warkah[Nomor Tiket]),"")</f>
        <v>K/38/031224/2</v>
      </c>
      <c r="E388" s="36" t="str">
        <f t="array" ref="E388">IFNA(_xlfn.XLOOKUP(D388,Table_Tarikan_Warkah[Nomor Tiket],Table_Tarikan_Warkah[Tanggal diserahkan kepada Validator]),"")</f>
        <v/>
      </c>
      <c r="F388" s="36" t="str">
        <f t="array" ref="F388">IFNA(_xlfn.XLOOKUP(D388,Table_Tarikan_Warkah[Nomor Tiket],Table_Tarikan_Warkah[Nama Petugas Warkah]),"")</f>
        <v>Berry</v>
      </c>
      <c r="G388" s="39" t="str">
        <f t="array" ref="G388">IFNA(_xlfn.XLOOKUP(D388,Table_Tarikan_Warkah[Nomor Tiket],Table_Tarikan_Warkah[Jenis Permohonan]),"")</f>
        <v>BN Jual Beli</v>
      </c>
      <c r="H388" s="41" t="s">
        <v>11</v>
      </c>
      <c r="I388" s="41" t="s">
        <v>23</v>
      </c>
      <c r="J388" s="36">
        <f t="shared" si="17"/>
        <v>45631.66761</v>
      </c>
      <c r="K388" s="49" t="s">
        <v>26</v>
      </c>
      <c r="L388" s="49" t="s">
        <v>23</v>
      </c>
      <c r="M388" s="36">
        <f t="shared" si="18"/>
        <v>45636.66955</v>
      </c>
      <c r="N388" s="30" t="str">
        <f t="shared" si="3"/>
        <v>Selesai</v>
      </c>
      <c r="O388" s="45">
        <f t="shared" si="12"/>
        <v>45636.66955</v>
      </c>
      <c r="P388" s="47" t="b">
        <v>0</v>
      </c>
      <c r="Q388" s="36" t="str">
        <f t="shared" si="19"/>
        <v/>
      </c>
      <c r="R388" s="47" t="b">
        <v>0</v>
      </c>
      <c r="S388" s="42" t="str">
        <f t="shared" si="6"/>
        <v/>
      </c>
      <c r="T388" s="42"/>
    </row>
    <row r="389" ht="22.5" customHeight="1">
      <c r="B389" s="42">
        <f t="shared" si="7"/>
        <v>383</v>
      </c>
      <c r="C389" s="31" t="s">
        <v>575</v>
      </c>
      <c r="D389" s="34" t="str">
        <f t="array" ref="D389">IFNA(_xlfn.XLOOKUP(C389,Table_Tarikan_Warkah[Nomor Sertipikat],Table_Tarikan_Warkah[Nomor Tiket]),"")</f>
        <v>K/2/031224/1</v>
      </c>
      <c r="E389" s="36" t="str">
        <f t="array" ref="E389">IFNA(_xlfn.XLOOKUP(D389,Table_Tarikan_Warkah[Nomor Tiket],Table_Tarikan_Warkah[Tanggal diserahkan kepada Validator]),"")</f>
        <v>05/12/2024 08.17</v>
      </c>
      <c r="F389" s="36" t="str">
        <f t="array" ref="F389">IFNA(_xlfn.XLOOKUP(D389,Table_Tarikan_Warkah[Nomor Tiket],Table_Tarikan_Warkah[Nama Petugas Warkah]),"")</f>
        <v>Berry</v>
      </c>
      <c r="G389" s="39" t="str">
        <f t="array" ref="G389">IFNA(_xlfn.XLOOKUP(D389,Table_Tarikan_Warkah[Nomor Tiket],Table_Tarikan_Warkah[Jenis Permohonan]),"")</f>
        <v>ROYA</v>
      </c>
      <c r="H389" s="41" t="s">
        <v>11</v>
      </c>
      <c r="I389" s="41" t="s">
        <v>12</v>
      </c>
      <c r="J389" s="36">
        <f t="shared" si="17"/>
        <v>45631.67051</v>
      </c>
      <c r="K389" s="49" t="s">
        <v>197</v>
      </c>
      <c r="L389" s="49" t="s">
        <v>12</v>
      </c>
      <c r="M389" s="36">
        <f t="shared" si="18"/>
        <v>45636.66965</v>
      </c>
      <c r="N389" s="30" t="str">
        <f t="shared" si="3"/>
        <v>SELESAI</v>
      </c>
      <c r="O389" s="45">
        <f t="shared" si="12"/>
        <v>45636.66965</v>
      </c>
      <c r="P389" s="47" t="b">
        <v>0</v>
      </c>
      <c r="Q389" s="36" t="str">
        <f t="shared" si="19"/>
        <v/>
      </c>
      <c r="R389" s="47" t="b">
        <v>1</v>
      </c>
      <c r="S389" s="36">
        <f t="shared" si="6"/>
        <v>45637.43539</v>
      </c>
      <c r="T389" s="42"/>
    </row>
    <row r="390" ht="22.5" customHeight="1">
      <c r="B390" s="42">
        <f t="shared" si="7"/>
        <v>384</v>
      </c>
      <c r="C390" s="31" t="s">
        <v>576</v>
      </c>
      <c r="D390" s="34" t="str">
        <f t="array" ref="D390">IFNA(_xlfn.XLOOKUP(C390,Table_Tarikan_Warkah[Nomor Sertipikat],Table_Tarikan_Warkah[Nomor Tiket]),"")</f>
        <v>K/11/031224/3</v>
      </c>
      <c r="E390" s="36" t="str">
        <f t="array" ref="E390">IFNA(_xlfn.XLOOKUP(D390,Table_Tarikan_Warkah[Nomor Tiket],Table_Tarikan_Warkah[Tanggal diserahkan kepada Validator]),"")</f>
        <v>05/12/2024 08.17</v>
      </c>
      <c r="F390" s="36" t="str">
        <f t="array" ref="F390">IFNA(_xlfn.XLOOKUP(D390,Table_Tarikan_Warkah[Nomor Tiket],Table_Tarikan_Warkah[Nama Petugas Warkah]),"")</f>
        <v>Berry</v>
      </c>
      <c r="G390" s="39" t="str">
        <f t="array" ref="G390">IFNA(_xlfn.XLOOKUP(D390,Table_Tarikan_Warkah[Nomor Tiket],Table_Tarikan_Warkah[Jenis Permohonan]),"")</f>
        <v>ROYA</v>
      </c>
      <c r="H390" s="41" t="s">
        <v>11</v>
      </c>
      <c r="I390" s="41" t="s">
        <v>12</v>
      </c>
      <c r="J390" s="36">
        <f t="shared" si="17"/>
        <v>45631.67051</v>
      </c>
      <c r="K390" s="49" t="s">
        <v>197</v>
      </c>
      <c r="L390" s="49" t="s">
        <v>12</v>
      </c>
      <c r="M390" s="36">
        <f t="shared" si="18"/>
        <v>45636.66965</v>
      </c>
      <c r="N390" s="30" t="str">
        <f t="shared" si="3"/>
        <v>SELESAI</v>
      </c>
      <c r="O390" s="45">
        <f t="shared" si="12"/>
        <v>45636.66965</v>
      </c>
      <c r="P390" s="47" t="b">
        <v>0</v>
      </c>
      <c r="Q390" s="36" t="str">
        <f t="shared" si="19"/>
        <v/>
      </c>
      <c r="R390" s="47" t="b">
        <v>1</v>
      </c>
      <c r="S390" s="36">
        <f t="shared" si="6"/>
        <v>45637.42898</v>
      </c>
      <c r="T390" s="42"/>
    </row>
    <row r="391" ht="22.5" customHeight="1">
      <c r="B391" s="42">
        <f t="shared" si="7"/>
        <v>385</v>
      </c>
      <c r="C391" s="31" t="s">
        <v>577</v>
      </c>
      <c r="D391" s="34" t="str">
        <f t="array" ref="D391">IFNA(_xlfn.XLOOKUP(C391,Table_Tarikan_Warkah[Nomor Sertipikat],Table_Tarikan_Warkah[Nomor Tiket]),"")</f>
        <v>K/19/031224/1</v>
      </c>
      <c r="E391" s="36" t="str">
        <f t="array" ref="E391">IFNA(_xlfn.XLOOKUP(D391,Table_Tarikan_Warkah[Nomor Tiket],Table_Tarikan_Warkah[Tanggal diserahkan kepada Validator]),"")</f>
        <v>05/12/2024 08.17</v>
      </c>
      <c r="F391" s="36" t="str">
        <f t="array" ref="F391">IFNA(_xlfn.XLOOKUP(D391,Table_Tarikan_Warkah[Nomor Tiket],Table_Tarikan_Warkah[Nama Petugas Warkah]),"")</f>
        <v>Berry</v>
      </c>
      <c r="G391" s="39" t="str">
        <f t="array" ref="G391">IFNA(_xlfn.XLOOKUP(D391,Table_Tarikan_Warkah[Nomor Tiket],Table_Tarikan_Warkah[Jenis Permohonan]),"")</f>
        <v>KEWARISAN</v>
      </c>
      <c r="H391" s="41" t="s">
        <v>11</v>
      </c>
      <c r="I391" s="41" t="s">
        <v>12</v>
      </c>
      <c r="J391" s="36">
        <f t="shared" si="17"/>
        <v>45631.67051</v>
      </c>
      <c r="K391" s="49" t="s">
        <v>197</v>
      </c>
      <c r="L391" s="49" t="s">
        <v>12</v>
      </c>
      <c r="M391" s="36">
        <f t="shared" si="18"/>
        <v>45636.66965</v>
      </c>
      <c r="N391" s="30" t="str">
        <f t="shared" si="3"/>
        <v>SELESAI</v>
      </c>
      <c r="O391" s="45">
        <f t="shared" si="12"/>
        <v>45636.66965</v>
      </c>
      <c r="P391" s="47" t="b">
        <v>1</v>
      </c>
      <c r="Q391" s="36">
        <f t="shared" si="19"/>
        <v>45637.69027</v>
      </c>
      <c r="R391" s="47" t="b">
        <v>1</v>
      </c>
      <c r="S391" s="36">
        <f t="shared" si="6"/>
        <v>45637.42877</v>
      </c>
      <c r="T391" s="42"/>
    </row>
    <row r="392" ht="22.5" customHeight="1">
      <c r="B392" s="42">
        <f t="shared" si="7"/>
        <v>386</v>
      </c>
      <c r="C392" s="31" t="s">
        <v>578</v>
      </c>
      <c r="D392" s="42" t="s">
        <v>579</v>
      </c>
      <c r="E392" s="36" t="str">
        <f t="array" ref="E392">IFNA(_xlfn.XLOOKUP(D392,Table_Tarikan_Warkah[Nomor Tiket],Table_Tarikan_Warkah[Tanggal diserahkan kepada Validator]),"")</f>
        <v>05/12/2024 08.17</v>
      </c>
      <c r="F392" s="36" t="str">
        <f t="array" ref="F392">IFNA(_xlfn.XLOOKUP(D392,Table_Tarikan_Warkah[Nomor Tiket],Table_Tarikan_Warkah[Nama Petugas Warkah]),"")</f>
        <v>Berry</v>
      </c>
      <c r="G392" s="39" t="str">
        <f t="array" ref="G392">IFNA(_xlfn.XLOOKUP(D392,Table_Tarikan_Warkah[Nomor Tiket],Table_Tarikan_Warkah[Jenis Permohonan]),"")</f>
        <v>ROYA KEWARISAN</v>
      </c>
      <c r="H392" s="41" t="s">
        <v>11</v>
      </c>
      <c r="I392" s="41" t="s">
        <v>12</v>
      </c>
      <c r="J392" s="36">
        <f t="shared" si="17"/>
        <v>45631.67051</v>
      </c>
      <c r="K392" s="49" t="s">
        <v>197</v>
      </c>
      <c r="L392" s="49" t="s">
        <v>12</v>
      </c>
      <c r="M392" s="36">
        <f t="shared" si="18"/>
        <v>45636.66406</v>
      </c>
      <c r="N392" s="30" t="str">
        <f t="shared" si="3"/>
        <v>SELESAI</v>
      </c>
      <c r="O392" s="45">
        <f t="shared" si="12"/>
        <v>45636.66406</v>
      </c>
      <c r="P392" s="47" t="b">
        <v>1</v>
      </c>
      <c r="Q392" s="36">
        <f t="shared" si="19"/>
        <v>45636.6641</v>
      </c>
      <c r="R392" s="47" t="b">
        <v>1</v>
      </c>
      <c r="S392" s="36">
        <f t="shared" si="6"/>
        <v>45637.43567</v>
      </c>
      <c r="T392" s="42"/>
    </row>
    <row r="393" ht="22.5" customHeight="1">
      <c r="B393" s="42">
        <f t="shared" si="7"/>
        <v>387</v>
      </c>
      <c r="C393" s="31" t="s">
        <v>580</v>
      </c>
      <c r="D393" s="34" t="str">
        <f t="array" ref="D393">IFNA(_xlfn.XLOOKUP(C393,Table_Tarikan_Warkah[Nomor Sertipikat],Table_Tarikan_Warkah[Nomor Tiket]),"")</f>
        <v>K/09/031224/2</v>
      </c>
      <c r="E393" s="36" t="str">
        <f t="array" ref="E393">IFNA(_xlfn.XLOOKUP(D393,Table_Tarikan_Warkah[Nomor Tiket],Table_Tarikan_Warkah[Tanggal diserahkan kepada Validator]),"")</f>
        <v>05/12/2024 08.17</v>
      </c>
      <c r="F393" s="36" t="str">
        <f t="array" ref="F393">IFNA(_xlfn.XLOOKUP(D393,Table_Tarikan_Warkah[Nomor Tiket],Table_Tarikan_Warkah[Nama Petugas Warkah]),"")</f>
        <v>Berry</v>
      </c>
      <c r="G393" s="39" t="str">
        <f t="array" ref="G393">IFNA(_xlfn.XLOOKUP(D393,Table_Tarikan_Warkah[Nomor Tiket],Table_Tarikan_Warkah[Jenis Permohonan]),"")</f>
        <v>BN JUAL BELI</v>
      </c>
      <c r="H393" s="41" t="s">
        <v>11</v>
      </c>
      <c r="I393" s="41" t="s">
        <v>12</v>
      </c>
      <c r="J393" s="36">
        <f t="shared" si="17"/>
        <v>45631.67051</v>
      </c>
      <c r="K393" s="49" t="s">
        <v>197</v>
      </c>
      <c r="L393" s="49" t="s">
        <v>12</v>
      </c>
      <c r="M393" s="36">
        <f t="shared" si="18"/>
        <v>45636.70676</v>
      </c>
      <c r="N393" s="30" t="str">
        <f t="shared" si="3"/>
        <v>SELESAI</v>
      </c>
      <c r="O393" s="45">
        <f t="shared" si="12"/>
        <v>45636.70676</v>
      </c>
      <c r="P393" s="47" t="b">
        <v>1</v>
      </c>
      <c r="Q393" s="36">
        <f t="shared" si="19"/>
        <v>45636.70676</v>
      </c>
      <c r="R393" s="47" t="b">
        <v>1</v>
      </c>
      <c r="S393" s="36">
        <f t="shared" si="6"/>
        <v>45637.43118</v>
      </c>
      <c r="T393" s="42"/>
    </row>
    <row r="394" ht="22.5" customHeight="1">
      <c r="B394" s="42">
        <f t="shared" si="7"/>
        <v>388</v>
      </c>
      <c r="C394" s="31" t="s">
        <v>581</v>
      </c>
      <c r="D394" s="42" t="s">
        <v>582</v>
      </c>
      <c r="E394" s="36" t="str">
        <f t="array" ref="E394">IFNA(_xlfn.XLOOKUP(D394,Table_Tarikan_Warkah[Nomor Tiket],Table_Tarikan_Warkah[Tanggal diserahkan kepada Validator]),"")</f>
        <v>05/12/2024 08.17</v>
      </c>
      <c r="F394" s="36" t="str">
        <f t="array" ref="F394">IFNA(_xlfn.XLOOKUP(D394,Table_Tarikan_Warkah[Nomor Tiket],Table_Tarikan_Warkah[Nama Petugas Warkah]),"")</f>
        <v>Berry</v>
      </c>
      <c r="G394" s="39" t="str">
        <f t="array" ref="G394">IFNA(_xlfn.XLOOKUP(D394,Table_Tarikan_Warkah[Nomor Tiket],Table_Tarikan_Warkah[Jenis Permohonan]),"")</f>
        <v>PEMECAHAN</v>
      </c>
      <c r="H394" s="41" t="s">
        <v>11</v>
      </c>
      <c r="I394" s="41" t="s">
        <v>12</v>
      </c>
      <c r="J394" s="36">
        <f t="shared" si="17"/>
        <v>45631.67055</v>
      </c>
      <c r="K394" s="49" t="s">
        <v>197</v>
      </c>
      <c r="L394" s="49" t="s">
        <v>12</v>
      </c>
      <c r="M394" s="36">
        <f t="shared" si="18"/>
        <v>45636.70676</v>
      </c>
      <c r="N394" s="30" t="str">
        <f t="shared" si="3"/>
        <v>SELESAI</v>
      </c>
      <c r="O394" s="45">
        <f t="shared" si="12"/>
        <v>45636.70676</v>
      </c>
      <c r="P394" s="47" t="b">
        <v>0</v>
      </c>
      <c r="Q394" s="36" t="str">
        <f t="shared" si="19"/>
        <v/>
      </c>
      <c r="R394" s="47" t="b">
        <v>1</v>
      </c>
      <c r="S394" s="36">
        <f t="shared" si="6"/>
        <v>45637.42959</v>
      </c>
      <c r="T394" s="42"/>
    </row>
    <row r="395" ht="22.5" customHeight="1">
      <c r="B395" s="42">
        <f t="shared" si="7"/>
        <v>389</v>
      </c>
      <c r="C395" s="31" t="s">
        <v>583</v>
      </c>
      <c r="D395" s="34" t="str">
        <f t="array" ref="D395">IFNA(_xlfn.XLOOKUP(C395,Table_Tarikan_Warkah[Nomor Sertipikat],Table_Tarikan_Warkah[Nomor Tiket]),"")</f>
        <v>K/4/041224/1</v>
      </c>
      <c r="E395" s="36" t="str">
        <f t="array" ref="E395">IFNA(_xlfn.XLOOKUP(D395,Table_Tarikan_Warkah[Nomor Tiket],Table_Tarikan_Warkah[Tanggal diserahkan kepada Validator]),"")</f>
        <v>05/12/2024 08.17</v>
      </c>
      <c r="F395" s="36" t="str">
        <f t="array" ref="F395">IFNA(_xlfn.XLOOKUP(D395,Table_Tarikan_Warkah[Nomor Tiket],Table_Tarikan_Warkah[Nama Petugas Warkah]),"")</f>
        <v>Berry</v>
      </c>
      <c r="G395" s="39" t="str">
        <f t="array" ref="G395">IFNA(_xlfn.XLOOKUP(D395,Table_Tarikan_Warkah[Nomor Tiket],Table_Tarikan_Warkah[Jenis Permohonan]),"")</f>
        <v>ROYA</v>
      </c>
      <c r="H395" s="41" t="s">
        <v>20</v>
      </c>
      <c r="I395" s="41" t="s">
        <v>12</v>
      </c>
      <c r="J395" s="36">
        <f t="shared" si="17"/>
        <v>45631.67547</v>
      </c>
      <c r="K395" s="49" t="s">
        <v>197</v>
      </c>
      <c r="L395" s="49" t="s">
        <v>12</v>
      </c>
      <c r="M395" s="36">
        <f t="shared" si="18"/>
        <v>45636.70676</v>
      </c>
      <c r="N395" s="30" t="str">
        <f t="shared" si="3"/>
        <v>SELESAI</v>
      </c>
      <c r="O395" s="45">
        <f t="shared" si="12"/>
        <v>45636.70676</v>
      </c>
      <c r="P395" s="47" t="b">
        <v>0</v>
      </c>
      <c r="Q395" s="36" t="str">
        <f t="shared" si="19"/>
        <v/>
      </c>
      <c r="R395" s="47" t="b">
        <v>1</v>
      </c>
      <c r="S395" s="36">
        <f t="shared" si="6"/>
        <v>45637.43275</v>
      </c>
      <c r="T395" s="42"/>
    </row>
    <row r="396" ht="22.5" customHeight="1">
      <c r="B396" s="42">
        <f t="shared" si="7"/>
        <v>390</v>
      </c>
      <c r="C396" s="31" t="s">
        <v>584</v>
      </c>
      <c r="D396" s="34" t="str">
        <f t="array" ref="D396">IFNA(_xlfn.XLOOKUP(C396,Table_Tarikan_Warkah[Nomor Sertipikat],Table_Tarikan_Warkah[Nomor Tiket]),"")</f>
        <v>K/44/031224/1</v>
      </c>
      <c r="E396" s="36" t="str">
        <f t="array" ref="E396">IFNA(_xlfn.XLOOKUP(D396,Table_Tarikan_Warkah[Nomor Tiket],Table_Tarikan_Warkah[Tanggal diserahkan kepada Validator]),"")</f>
        <v>05/12/2024 08.17</v>
      </c>
      <c r="F396" s="36" t="str">
        <f t="array" ref="F396">IFNA(_xlfn.XLOOKUP(D396,Table_Tarikan_Warkah[Nomor Tiket],Table_Tarikan_Warkah[Nama Petugas Warkah]),"")</f>
        <v>Berry</v>
      </c>
      <c r="G396" s="39" t="str">
        <f t="array" ref="G396">IFNA(_xlfn.XLOOKUP(D396,Table_Tarikan_Warkah[Nomor Tiket],Table_Tarikan_Warkah[Jenis Permohonan]),"")</f>
        <v>BN JUAL BELI</v>
      </c>
      <c r="H396" s="41" t="s">
        <v>20</v>
      </c>
      <c r="I396" s="41" t="s">
        <v>12</v>
      </c>
      <c r="J396" s="36">
        <f t="shared" si="17"/>
        <v>45631.67569</v>
      </c>
      <c r="K396" s="49" t="s">
        <v>197</v>
      </c>
      <c r="L396" s="49" t="s">
        <v>12</v>
      </c>
      <c r="M396" s="36">
        <f t="shared" si="18"/>
        <v>45636.70676</v>
      </c>
      <c r="N396" s="30" t="str">
        <f t="shared" si="3"/>
        <v>SELESAI</v>
      </c>
      <c r="O396" s="45">
        <f t="shared" si="12"/>
        <v>45636.70676</v>
      </c>
      <c r="P396" s="47" t="b">
        <v>1</v>
      </c>
      <c r="Q396" s="36">
        <f t="shared" si="19"/>
        <v>45637.69036</v>
      </c>
      <c r="R396" s="47" t="b">
        <v>1</v>
      </c>
      <c r="S396" s="36">
        <f t="shared" si="6"/>
        <v>45637.41251</v>
      </c>
      <c r="T396" s="42"/>
    </row>
    <row r="397" ht="22.5" customHeight="1">
      <c r="B397" s="42">
        <f t="shared" si="7"/>
        <v>391</v>
      </c>
      <c r="C397" s="31" t="s">
        <v>585</v>
      </c>
      <c r="D397" s="34" t="str">
        <f t="array" ref="D397">IFNA(_xlfn.XLOOKUP(C397,Table_Tarikan_Warkah[Nomor Sertipikat],Table_Tarikan_Warkah[Nomor Tiket]),"")</f>
        <v>K/26/031224/3</v>
      </c>
      <c r="E397" s="36" t="str">
        <f t="array" ref="E397">IFNA(_xlfn.XLOOKUP(D397,Table_Tarikan_Warkah[Nomor Tiket],Table_Tarikan_Warkah[Tanggal diserahkan kepada Validator]),"")</f>
        <v>05/12/2024 08.17</v>
      </c>
      <c r="F397" s="36" t="str">
        <f t="array" ref="F397">IFNA(_xlfn.XLOOKUP(D397,Table_Tarikan_Warkah[Nomor Tiket],Table_Tarikan_Warkah[Nama Petugas Warkah]),"")</f>
        <v>Berry</v>
      </c>
      <c r="G397" s="39" t="str">
        <f t="array" ref="G397">IFNA(_xlfn.XLOOKUP(D397,Table_Tarikan_Warkah[Nomor Tiket],Table_Tarikan_Warkah[Jenis Permohonan]),"")</f>
        <v>BN JUAL BELI</v>
      </c>
      <c r="H397" s="41" t="s">
        <v>20</v>
      </c>
      <c r="I397" s="41" t="s">
        <v>12</v>
      </c>
      <c r="J397" s="36">
        <f t="shared" si="17"/>
        <v>45631.67618</v>
      </c>
      <c r="K397" s="49" t="s">
        <v>197</v>
      </c>
      <c r="L397" s="49" t="s">
        <v>12</v>
      </c>
      <c r="M397" s="36">
        <f t="shared" si="18"/>
        <v>45636.70676</v>
      </c>
      <c r="N397" s="30" t="str">
        <f t="shared" si="3"/>
        <v>SELESAI</v>
      </c>
      <c r="O397" s="45">
        <f t="shared" si="12"/>
        <v>45636.70676</v>
      </c>
      <c r="P397" s="47" t="b">
        <v>0</v>
      </c>
      <c r="Q397" s="36" t="str">
        <f t="shared" si="19"/>
        <v/>
      </c>
      <c r="R397" s="47" t="b">
        <v>1</v>
      </c>
      <c r="S397" s="36">
        <f t="shared" si="6"/>
        <v>45637.43255</v>
      </c>
      <c r="T397" s="42"/>
    </row>
    <row r="398" ht="22.5" customHeight="1">
      <c r="B398" s="42">
        <f t="shared" si="7"/>
        <v>392</v>
      </c>
      <c r="C398" s="31" t="s">
        <v>586</v>
      </c>
      <c r="D398" s="34" t="str">
        <f t="array" ref="D398">IFNA(_xlfn.XLOOKUP(C398,Table_Tarikan_Warkah[Nomor Sertipikat],Table_Tarikan_Warkah[Nomor Tiket]),"")</f>
        <v>K/8/281124/1</v>
      </c>
      <c r="E398" s="36" t="str">
        <f t="array" ref="E398">IFNA(_xlfn.XLOOKUP(D398,Table_Tarikan_Warkah[Nomor Tiket],Table_Tarikan_Warkah[Tanggal diserahkan kepada Validator]),"")</f>
        <v/>
      </c>
      <c r="F398" s="36" t="str">
        <f t="array" ref="F398">IFNA(_xlfn.XLOOKUP(D398,Table_Tarikan_Warkah[Nomor Tiket],Table_Tarikan_Warkah[Nama Petugas Warkah]),"")</f>
        <v>Berry</v>
      </c>
      <c r="G398" s="39" t="str">
        <f t="array" ref="G398">IFNA(_xlfn.XLOOKUP(D398,Table_Tarikan_Warkah[Nomor Tiket],Table_Tarikan_Warkah[Jenis Permohonan]),"")</f>
        <v>BN Jual Beli</v>
      </c>
      <c r="H398" s="41" t="s">
        <v>20</v>
      </c>
      <c r="I398" s="41" t="s">
        <v>23</v>
      </c>
      <c r="J398" s="36">
        <f t="shared" si="17"/>
        <v>45631.6792</v>
      </c>
      <c r="K398" s="49" t="s">
        <v>26</v>
      </c>
      <c r="L398" s="49" t="s">
        <v>23</v>
      </c>
      <c r="M398" s="36">
        <f t="shared" si="18"/>
        <v>45636.70676</v>
      </c>
      <c r="N398" s="30" t="str">
        <f t="shared" si="3"/>
        <v>Selesai</v>
      </c>
      <c r="O398" s="45">
        <f t="shared" si="12"/>
        <v>45636.70676</v>
      </c>
      <c r="P398" s="47" t="b">
        <v>1</v>
      </c>
      <c r="Q398" s="36">
        <f t="shared" si="19"/>
        <v>45636.70676</v>
      </c>
      <c r="R398" s="47" t="b">
        <v>0</v>
      </c>
      <c r="S398" s="42" t="str">
        <f t="shared" si="6"/>
        <v/>
      </c>
      <c r="T398" s="42"/>
    </row>
    <row r="399" ht="22.5" customHeight="1">
      <c r="B399" s="42">
        <f t="shared" si="7"/>
        <v>393</v>
      </c>
      <c r="C399" s="31" t="s">
        <v>587</v>
      </c>
      <c r="D399" s="34" t="str">
        <f t="array" ref="D399">IFNA(_xlfn.XLOOKUP(C399,Table_Tarikan_Warkah[Nomor Sertipikat],Table_Tarikan_Warkah[Nomor Tiket]),"")</f>
        <v>K/8/021224/1</v>
      </c>
      <c r="E399" s="36" t="str">
        <f t="array" ref="E399">IFNA(_xlfn.XLOOKUP(D399,Table_Tarikan_Warkah[Nomor Tiket],Table_Tarikan_Warkah[Tanggal diserahkan kepada Validator]),"")</f>
        <v/>
      </c>
      <c r="F399" s="36" t="str">
        <f t="array" ref="F399">IFNA(_xlfn.XLOOKUP(D399,Table_Tarikan_Warkah[Nomor Tiket],Table_Tarikan_Warkah[Nama Petugas Warkah]),"")</f>
        <v>Berry</v>
      </c>
      <c r="G399" s="39" t="str">
        <f t="array" ref="G399">IFNA(_xlfn.XLOOKUP(D399,Table_Tarikan_Warkah[Nomor Tiket],Table_Tarikan_Warkah[Jenis Permohonan]),"")</f>
        <v>BN HIBAH</v>
      </c>
      <c r="H399" s="41" t="s">
        <v>20</v>
      </c>
      <c r="I399" s="41" t="s">
        <v>23</v>
      </c>
      <c r="J399" s="36">
        <f t="shared" si="17"/>
        <v>45632.64093</v>
      </c>
      <c r="K399" s="49" t="s">
        <v>26</v>
      </c>
      <c r="L399" s="49" t="s">
        <v>23</v>
      </c>
      <c r="M399" s="36">
        <f t="shared" si="18"/>
        <v>45636.70676</v>
      </c>
      <c r="N399" s="30" t="str">
        <f t="shared" si="3"/>
        <v>Selesai</v>
      </c>
      <c r="O399" s="45">
        <f t="shared" si="12"/>
        <v>45636.70676</v>
      </c>
      <c r="P399" s="47" t="b">
        <v>1</v>
      </c>
      <c r="Q399" s="36">
        <f t="shared" si="19"/>
        <v>45636.70676</v>
      </c>
      <c r="R399" s="47" t="b">
        <v>0</v>
      </c>
      <c r="S399" s="42" t="str">
        <f t="shared" si="6"/>
        <v/>
      </c>
      <c r="T399" s="42"/>
    </row>
    <row r="400" ht="22.5" customHeight="1">
      <c r="B400" s="42">
        <f t="shared" si="7"/>
        <v>394</v>
      </c>
      <c r="C400" s="31" t="s">
        <v>588</v>
      </c>
      <c r="D400" s="34" t="str">
        <f t="array" ref="D400">IFNA(_xlfn.XLOOKUP(C400,Table_Tarikan_Warkah[Nomor Sertipikat],Table_Tarikan_Warkah[Nomor Tiket]),"")</f>
        <v>K/21/041224/1</v>
      </c>
      <c r="E400" s="36" t="str">
        <f t="array" ref="E400">IFNA(_xlfn.XLOOKUP(D400,Table_Tarikan_Warkah[Nomor Tiket],Table_Tarikan_Warkah[Tanggal diserahkan kepada Validator]),"")</f>
        <v>05/12/2024 16.50</v>
      </c>
      <c r="F400" s="36" t="str">
        <f t="array" ref="F400">IFNA(_xlfn.XLOOKUP(D400,Table_Tarikan_Warkah[Nomor Tiket],Table_Tarikan_Warkah[Nama Petugas Warkah]),"")</f>
        <v>Berry</v>
      </c>
      <c r="G400" s="39" t="str">
        <f t="array" ref="G400">IFNA(_xlfn.XLOOKUP(D400,Table_Tarikan_Warkah[Nomor Tiket],Table_Tarikan_Warkah[Jenis Permohonan]),"")</f>
        <v>BN JUAL BELI</v>
      </c>
      <c r="H400" s="41" t="s">
        <v>20</v>
      </c>
      <c r="I400" s="41" t="s">
        <v>12</v>
      </c>
      <c r="J400" s="36">
        <f t="shared" si="17"/>
        <v>45632.65824</v>
      </c>
      <c r="K400" s="49" t="s">
        <v>197</v>
      </c>
      <c r="L400" s="49" t="s">
        <v>12</v>
      </c>
      <c r="M400" s="36">
        <f t="shared" si="18"/>
        <v>45636.70676</v>
      </c>
      <c r="N400" s="30" t="str">
        <f t="shared" si="3"/>
        <v>SELESAI</v>
      </c>
      <c r="O400" s="45">
        <f t="shared" si="12"/>
        <v>45636.70676</v>
      </c>
      <c r="P400" s="47" t="b">
        <v>0</v>
      </c>
      <c r="Q400" s="36" t="str">
        <f t="shared" si="19"/>
        <v/>
      </c>
      <c r="R400" s="47" t="b">
        <v>1</v>
      </c>
      <c r="S400" s="36">
        <f t="shared" si="6"/>
        <v>45637.43038</v>
      </c>
      <c r="T400" s="42"/>
    </row>
    <row r="401" ht="22.5" customHeight="1">
      <c r="B401" s="42">
        <f t="shared" si="7"/>
        <v>395</v>
      </c>
      <c r="C401" s="31" t="s">
        <v>589</v>
      </c>
      <c r="D401" s="34" t="str">
        <f t="array" ref="D401">IFNA(_xlfn.XLOOKUP(C401,Table_Tarikan_Warkah[Nomor Sertipikat],Table_Tarikan_Warkah[Nomor Tiket]),"")</f>
        <v>K/10/041224/2</v>
      </c>
      <c r="E401" s="36" t="str">
        <f t="array" ref="E401">IFNA(_xlfn.XLOOKUP(D401,Table_Tarikan_Warkah[Nomor Tiket],Table_Tarikan_Warkah[Tanggal diserahkan kepada Validator]),"")</f>
        <v>05/12/2024 16.48</v>
      </c>
      <c r="F401" s="36" t="str">
        <f t="array" ref="F401">IFNA(_xlfn.XLOOKUP(D401,Table_Tarikan_Warkah[Nomor Tiket],Table_Tarikan_Warkah[Nama Petugas Warkah]),"")</f>
        <v>Berry</v>
      </c>
      <c r="G401" s="39" t="str">
        <f t="array" ref="G401">IFNA(_xlfn.XLOOKUP(D401,Table_Tarikan_Warkah[Nomor Tiket],Table_Tarikan_Warkah[Jenis Permohonan]),"")</f>
        <v>BN JUAL BELI</v>
      </c>
      <c r="H401" s="41" t="s">
        <v>20</v>
      </c>
      <c r="I401" s="41" t="s">
        <v>12</v>
      </c>
      <c r="J401" s="36">
        <f t="shared" si="17"/>
        <v>45632.65835</v>
      </c>
      <c r="K401" s="49" t="s">
        <v>197</v>
      </c>
      <c r="L401" s="49" t="s">
        <v>12</v>
      </c>
      <c r="M401" s="36">
        <f t="shared" si="18"/>
        <v>45636.70676</v>
      </c>
      <c r="N401" s="30" t="str">
        <f t="shared" si="3"/>
        <v>SELESAI</v>
      </c>
      <c r="O401" s="45">
        <f t="shared" si="12"/>
        <v>45636.70676</v>
      </c>
      <c r="P401" s="47" t="b">
        <v>0</v>
      </c>
      <c r="Q401" s="36" t="str">
        <f t="shared" si="19"/>
        <v/>
      </c>
      <c r="R401" s="47" t="b">
        <v>1</v>
      </c>
      <c r="S401" s="36">
        <f t="shared" si="6"/>
        <v>45637.41132</v>
      </c>
      <c r="T401" s="42"/>
    </row>
    <row r="402" ht="22.5" customHeight="1">
      <c r="B402" s="42">
        <f t="shared" si="7"/>
        <v>396</v>
      </c>
      <c r="C402" s="31" t="s">
        <v>590</v>
      </c>
      <c r="D402" s="34" t="str">
        <f t="array" ref="D402">IFNA(_xlfn.XLOOKUP(C402,Table_Tarikan_Warkah[Nomor Sertipikat],Table_Tarikan_Warkah[Nomor Tiket]),"")</f>
        <v>K/27/221124/1</v>
      </c>
      <c r="E402" s="36" t="str">
        <f t="array" ref="E402">IFNA(_xlfn.XLOOKUP(D402,Table_Tarikan_Warkah[Nomor Tiket],Table_Tarikan_Warkah[Tanggal diserahkan kepada Validator]),"")</f>
        <v/>
      </c>
      <c r="F402" s="36" t="str">
        <f t="array" ref="F402">IFNA(_xlfn.XLOOKUP(D402,Table_Tarikan_Warkah[Nomor Tiket],Table_Tarikan_Warkah[Nama Petugas Warkah]),"")</f>
        <v>David</v>
      </c>
      <c r="G402" s="39" t="str">
        <f t="array" ref="G402">IFNA(_xlfn.XLOOKUP(D402,Table_Tarikan_Warkah[Nomor Tiket],Table_Tarikan_Warkah[Jenis Permohonan]),"")</f>
        <v>BN Jual Beli</v>
      </c>
      <c r="H402" s="41" t="s">
        <v>20</v>
      </c>
      <c r="I402" s="41" t="s">
        <v>23</v>
      </c>
      <c r="J402" s="36">
        <f t="shared" si="17"/>
        <v>45632.65983</v>
      </c>
      <c r="K402" s="49" t="s">
        <v>26</v>
      </c>
      <c r="L402" s="49" t="s">
        <v>23</v>
      </c>
      <c r="M402" s="36">
        <f t="shared" si="18"/>
        <v>45636.70676</v>
      </c>
      <c r="N402" s="30" t="str">
        <f t="shared" si="3"/>
        <v>Selesai</v>
      </c>
      <c r="O402" s="45">
        <f t="shared" si="12"/>
        <v>45636.70676</v>
      </c>
      <c r="P402" s="47" t="b">
        <v>1</v>
      </c>
      <c r="Q402" s="36">
        <f t="shared" si="19"/>
        <v>45636.70676</v>
      </c>
      <c r="R402" s="47" t="b">
        <v>0</v>
      </c>
      <c r="S402" s="42" t="str">
        <f t="shared" si="6"/>
        <v/>
      </c>
      <c r="T402" s="42"/>
    </row>
    <row r="403" ht="22.5" customHeight="1">
      <c r="B403" s="42">
        <f t="shared" si="7"/>
        <v>397</v>
      </c>
      <c r="C403" s="31" t="s">
        <v>591</v>
      </c>
      <c r="D403" s="34" t="str">
        <f t="array" ref="D403">IFNA(_xlfn.XLOOKUP(C403,Table_Tarikan_Warkah[Nomor Sertipikat],Table_Tarikan_Warkah[Nomor Tiket]),"")</f>
        <v>K/19/261124/2</v>
      </c>
      <c r="E403" s="36" t="str">
        <f t="array" ref="E403">IFNA(_xlfn.XLOOKUP(D403,Table_Tarikan_Warkah[Nomor Tiket],Table_Tarikan_Warkah[Tanggal diserahkan kepada Validator]),"")</f>
        <v>23/12/2024 10.39</v>
      </c>
      <c r="F403" s="36" t="str">
        <f t="array" ref="F403">IFNA(_xlfn.XLOOKUP(D403,Table_Tarikan_Warkah[Nomor Tiket],Table_Tarikan_Warkah[Nama Petugas Warkah]),"")</f>
        <v>David</v>
      </c>
      <c r="G403" s="39" t="str">
        <f t="array" ref="G403">IFNA(_xlfn.XLOOKUP(D403,Table_Tarikan_Warkah[Nomor Tiket],Table_Tarikan_Warkah[Jenis Permohonan]),"")</f>
        <v>BN PHB</v>
      </c>
      <c r="H403" s="41" t="s">
        <v>20</v>
      </c>
      <c r="I403" s="41" t="s">
        <v>23</v>
      </c>
      <c r="J403" s="36">
        <f t="shared" si="17"/>
        <v>45632.66062</v>
      </c>
      <c r="K403" s="49" t="s">
        <v>26</v>
      </c>
      <c r="L403" s="49" t="s">
        <v>23</v>
      </c>
      <c r="M403" s="36">
        <f t="shared" si="18"/>
        <v>45636.70676</v>
      </c>
      <c r="N403" s="30" t="str">
        <f t="shared" si="3"/>
        <v>Selesai</v>
      </c>
      <c r="O403" s="45">
        <f t="shared" si="12"/>
        <v>45636.70676</v>
      </c>
      <c r="P403" s="47" t="b">
        <v>1</v>
      </c>
      <c r="Q403" s="36">
        <f t="shared" si="19"/>
        <v>45636.70676</v>
      </c>
      <c r="R403" s="47" t="b">
        <v>0</v>
      </c>
      <c r="S403" s="42" t="str">
        <f t="shared" si="6"/>
        <v/>
      </c>
      <c r="T403" s="42"/>
    </row>
    <row r="404" ht="22.5" customHeight="1">
      <c r="B404" s="42">
        <f t="shared" si="7"/>
        <v>398</v>
      </c>
      <c r="C404" s="31" t="s">
        <v>592</v>
      </c>
      <c r="D404" s="34" t="str">
        <f t="array" ref="D404">IFNA(_xlfn.XLOOKUP(C404,Table_Tarikan_Warkah[Nomor Sertipikat],Table_Tarikan_Warkah[Nomor Tiket]),"")</f>
        <v>K/24/141124/1</v>
      </c>
      <c r="E404" s="36" t="str">
        <f t="array" ref="E404">IFNA(_xlfn.XLOOKUP(D404,Table_Tarikan_Warkah[Nomor Tiket],Table_Tarikan_Warkah[Tanggal diserahkan kepada Validator]),"")</f>
        <v/>
      </c>
      <c r="F404" s="36" t="str">
        <f t="array" ref="F404">IFNA(_xlfn.XLOOKUP(D404,Table_Tarikan_Warkah[Nomor Tiket],Table_Tarikan_Warkah[Nama Petugas Warkah]),"")</f>
        <v>Berry</v>
      </c>
      <c r="G404" s="39" t="str">
        <f t="array" ref="G404">IFNA(_xlfn.XLOOKUP(D404,Table_Tarikan_Warkah[Nomor Tiket],Table_Tarikan_Warkah[Jenis Permohonan]),"")</f>
        <v>BN Jual Beli</v>
      </c>
      <c r="H404" s="41" t="s">
        <v>20</v>
      </c>
      <c r="I404" s="41" t="s">
        <v>23</v>
      </c>
      <c r="J404" s="36">
        <f t="shared" si="17"/>
        <v>45632.66155</v>
      </c>
      <c r="K404" s="49" t="s">
        <v>26</v>
      </c>
      <c r="L404" s="49" t="s">
        <v>23</v>
      </c>
      <c r="M404" s="36">
        <f t="shared" si="18"/>
        <v>45636.70676</v>
      </c>
      <c r="N404" s="30" t="str">
        <f t="shared" si="3"/>
        <v>Selesai</v>
      </c>
      <c r="O404" s="45">
        <f t="shared" si="12"/>
        <v>45636.70676</v>
      </c>
      <c r="P404" s="47" t="b">
        <v>1</v>
      </c>
      <c r="Q404" s="36">
        <f t="shared" si="19"/>
        <v>45636.70676</v>
      </c>
      <c r="R404" s="47" t="b">
        <v>0</v>
      </c>
      <c r="S404" s="42" t="str">
        <f t="shared" si="6"/>
        <v/>
      </c>
      <c r="T404" s="42"/>
    </row>
    <row r="405" ht="22.5" customHeight="1">
      <c r="B405" s="42">
        <f t="shared" si="7"/>
        <v>399</v>
      </c>
      <c r="C405" s="31" t="s">
        <v>593</v>
      </c>
      <c r="D405" s="34" t="str">
        <f t="array" ref="D405">IFNA(_xlfn.XLOOKUP(C405,Table_Tarikan_Warkah[Nomor Sertipikat],Table_Tarikan_Warkah[Nomor Tiket]),"")</f>
        <v>K/7/041224/1</v>
      </c>
      <c r="E405" s="36" t="str">
        <f t="array" ref="E405">IFNA(_xlfn.XLOOKUP(D405,Table_Tarikan_Warkah[Nomor Tiket],Table_Tarikan_Warkah[Tanggal diserahkan kepada Validator]),"")</f>
        <v/>
      </c>
      <c r="F405" s="36" t="str">
        <f t="array" ref="F405">IFNA(_xlfn.XLOOKUP(D405,Table_Tarikan_Warkah[Nomor Tiket],Table_Tarikan_Warkah[Nama Petugas Warkah]),"")</f>
        <v>Berry</v>
      </c>
      <c r="G405" s="39" t="str">
        <f t="array" ref="G405">IFNA(_xlfn.XLOOKUP(D405,Table_Tarikan_Warkah[Nomor Tiket],Table_Tarikan_Warkah[Jenis Permohonan]),"")</f>
        <v>BN JUAL BELI</v>
      </c>
      <c r="H405" s="41" t="s">
        <v>20</v>
      </c>
      <c r="I405" s="41" t="s">
        <v>23</v>
      </c>
      <c r="J405" s="36">
        <f t="shared" si="17"/>
        <v>45635.46828</v>
      </c>
      <c r="K405" s="49" t="s">
        <v>26</v>
      </c>
      <c r="L405" s="49" t="s">
        <v>23</v>
      </c>
      <c r="M405" s="36">
        <f t="shared" si="18"/>
        <v>45636.70676</v>
      </c>
      <c r="N405" s="30" t="str">
        <f t="shared" si="3"/>
        <v>Selesai</v>
      </c>
      <c r="O405" s="45">
        <f t="shared" si="12"/>
        <v>45636.70676</v>
      </c>
      <c r="P405" s="47" t="b">
        <v>1</v>
      </c>
      <c r="Q405" s="36">
        <f t="shared" si="19"/>
        <v>45636.70676</v>
      </c>
      <c r="R405" s="47" t="b">
        <v>0</v>
      </c>
      <c r="S405" s="42" t="str">
        <f t="shared" si="6"/>
        <v/>
      </c>
      <c r="T405" s="42"/>
    </row>
    <row r="406" ht="22.5" customHeight="1">
      <c r="B406" s="42">
        <f t="shared" si="7"/>
        <v>400</v>
      </c>
      <c r="C406" s="31" t="s">
        <v>594</v>
      </c>
      <c r="D406" s="34" t="str">
        <f t="array" ref="D406">IFNA(_xlfn.XLOOKUP(C406,Table_Tarikan_Warkah[Nomor Sertipikat],Table_Tarikan_Warkah[Nomor Tiket]),"")</f>
        <v>K/35/051224/3</v>
      </c>
      <c r="E406" s="36" t="str">
        <f t="array" ref="E406">IFNA(_xlfn.XLOOKUP(D406,Table_Tarikan_Warkah[Nomor Tiket],Table_Tarikan_Warkah[Tanggal diserahkan kepada Validator]),"")</f>
        <v>09/12/2024 10.03</v>
      </c>
      <c r="F406" s="36" t="str">
        <f t="array" ref="F406">IFNA(_xlfn.XLOOKUP(D406,Table_Tarikan_Warkah[Nomor Tiket],Table_Tarikan_Warkah[Nama Petugas Warkah]),"")</f>
        <v>Berry</v>
      </c>
      <c r="G406" s="39" t="str">
        <f t="array" ref="G406">IFNA(_xlfn.XLOOKUP(D406,Table_Tarikan_Warkah[Nomor Tiket],Table_Tarikan_Warkah[Jenis Permohonan]),"")</f>
        <v>BN JUAL BELI</v>
      </c>
      <c r="H406" s="41" t="s">
        <v>20</v>
      </c>
      <c r="I406" s="41" t="s">
        <v>12</v>
      </c>
      <c r="J406" s="36">
        <f t="shared" si="17"/>
        <v>45635.46828</v>
      </c>
      <c r="K406" s="49" t="s">
        <v>197</v>
      </c>
      <c r="L406" s="49" t="s">
        <v>12</v>
      </c>
      <c r="M406" s="36">
        <f t="shared" si="18"/>
        <v>45636.70676</v>
      </c>
      <c r="N406" s="30" t="str">
        <f t="shared" si="3"/>
        <v>SELESAI</v>
      </c>
      <c r="O406" s="45">
        <f t="shared" si="12"/>
        <v>45636.70676</v>
      </c>
      <c r="P406" s="47" t="b">
        <v>0</v>
      </c>
      <c r="Q406" s="36" t="str">
        <f t="shared" si="19"/>
        <v/>
      </c>
      <c r="R406" s="47" t="b">
        <v>0</v>
      </c>
      <c r="S406" s="42" t="str">
        <f t="shared" si="6"/>
        <v/>
      </c>
      <c r="T406" s="42"/>
    </row>
    <row r="407" ht="22.5" customHeight="1">
      <c r="B407" s="42">
        <f t="shared" si="7"/>
        <v>401</v>
      </c>
      <c r="C407" s="31" t="s">
        <v>595</v>
      </c>
      <c r="D407" s="34" t="str">
        <f t="array" ref="D407">IFNA(_xlfn.XLOOKUP(C407,Table_Tarikan_Warkah[Nomor Sertipikat],Table_Tarikan_Warkah[Nomor Tiket]),"")</f>
        <v>L/7/051224/2</v>
      </c>
      <c r="E407" s="36" t="str">
        <f t="array" ref="E407">IFNA(_xlfn.XLOOKUP(D407,Table_Tarikan_Warkah[Nomor Tiket],Table_Tarikan_Warkah[Tanggal diserahkan kepada Validator]),"")</f>
        <v>09/12/2024 09.59</v>
      </c>
      <c r="F407" s="36" t="str">
        <f t="array" ref="F407">IFNA(_xlfn.XLOOKUP(D407,Table_Tarikan_Warkah[Nomor Tiket],Table_Tarikan_Warkah[Nama Petugas Warkah]),"")</f>
        <v>Berry</v>
      </c>
      <c r="G407" s="39" t="str">
        <f t="array" ref="G407">IFNA(_xlfn.XLOOKUP(D407,Table_Tarikan_Warkah[Nomor Tiket],Table_Tarikan_Warkah[Jenis Permohonan]),"")</f>
        <v>PH</v>
      </c>
      <c r="H407" s="41" t="s">
        <v>20</v>
      </c>
      <c r="I407" s="41" t="s">
        <v>12</v>
      </c>
      <c r="J407" s="36">
        <f t="shared" si="17"/>
        <v>45635.46828</v>
      </c>
      <c r="K407" s="49" t="s">
        <v>197</v>
      </c>
      <c r="L407" s="49" t="s">
        <v>12</v>
      </c>
      <c r="M407" s="36">
        <f t="shared" si="18"/>
        <v>45636.70676</v>
      </c>
      <c r="N407" s="30" t="str">
        <f t="shared" si="3"/>
        <v>SELESAI</v>
      </c>
      <c r="O407" s="45">
        <f t="shared" si="12"/>
        <v>45636.70676</v>
      </c>
      <c r="P407" s="47" t="b">
        <v>0</v>
      </c>
      <c r="Q407" s="36" t="str">
        <f t="shared" si="19"/>
        <v/>
      </c>
      <c r="R407" s="47" t="b">
        <v>1</v>
      </c>
      <c r="S407" s="36">
        <f t="shared" si="6"/>
        <v>45637.43408</v>
      </c>
      <c r="T407" s="42"/>
    </row>
    <row r="408" ht="22.5" customHeight="1">
      <c r="B408" s="42">
        <f t="shared" si="7"/>
        <v>402</v>
      </c>
      <c r="C408" s="31" t="s">
        <v>596</v>
      </c>
      <c r="D408" s="34" t="str">
        <f t="array" ref="D408">IFNA(_xlfn.XLOOKUP(C408,Table_Tarikan_Warkah[Nomor Sertipikat],Table_Tarikan_Warkah[Nomor Tiket]),"")</f>
        <v>K/9/051224/2</v>
      </c>
      <c r="E408" s="36" t="str">
        <f t="array" ref="E408">IFNA(_xlfn.XLOOKUP(D408,Table_Tarikan_Warkah[Nomor Tiket],Table_Tarikan_Warkah[Tanggal diserahkan kepada Validator]),"")</f>
        <v>09/12/2024 09.59</v>
      </c>
      <c r="F408" s="36" t="str">
        <f t="array" ref="F408">IFNA(_xlfn.XLOOKUP(D408,Table_Tarikan_Warkah[Nomor Tiket],Table_Tarikan_Warkah[Nama Petugas Warkah]),"")</f>
        <v>Berry</v>
      </c>
      <c r="G408" s="39" t="str">
        <f t="array" ref="G408">IFNA(_xlfn.XLOOKUP(D408,Table_Tarikan_Warkah[Nomor Tiket],Table_Tarikan_Warkah[Jenis Permohonan]),"")</f>
        <v>BN JUAL BELI</v>
      </c>
      <c r="H408" s="41" t="s">
        <v>20</v>
      </c>
      <c r="I408" s="41" t="s">
        <v>12</v>
      </c>
      <c r="J408" s="36">
        <f t="shared" si="17"/>
        <v>45635.46828</v>
      </c>
      <c r="K408" s="49" t="s">
        <v>197</v>
      </c>
      <c r="L408" s="49" t="s">
        <v>12</v>
      </c>
      <c r="M408" s="36">
        <f t="shared" si="18"/>
        <v>45636.70676</v>
      </c>
      <c r="N408" s="30" t="str">
        <f t="shared" si="3"/>
        <v>SELESAI</v>
      </c>
      <c r="O408" s="45">
        <f t="shared" si="12"/>
        <v>45636.70676</v>
      </c>
      <c r="P408" s="47" t="b">
        <v>0</v>
      </c>
      <c r="Q408" s="36" t="str">
        <f t="shared" si="19"/>
        <v/>
      </c>
      <c r="R408" s="47" t="b">
        <v>1</v>
      </c>
      <c r="S408" s="36">
        <f t="shared" si="6"/>
        <v>45637.42502</v>
      </c>
      <c r="T408" s="42"/>
    </row>
    <row r="409" ht="22.5" customHeight="1">
      <c r="B409" s="42">
        <f t="shared" si="7"/>
        <v>403</v>
      </c>
      <c r="C409" s="31" t="s">
        <v>597</v>
      </c>
      <c r="D409" s="34" t="str">
        <f t="array" ref="D409">IFNA(_xlfn.XLOOKUP(C409,Table_Tarikan_Warkah[Nomor Sertipikat],Table_Tarikan_Warkah[Nomor Tiket]),"")</f>
        <v>K/34/051224/2</v>
      </c>
      <c r="E409" s="36" t="str">
        <f t="array" ref="E409">IFNA(_xlfn.XLOOKUP(D409,Table_Tarikan_Warkah[Nomor Tiket],Table_Tarikan_Warkah[Tanggal diserahkan kepada Validator]),"")</f>
        <v>09/12/2024 10.03</v>
      </c>
      <c r="F409" s="36" t="str">
        <f t="array" ref="F409">IFNA(_xlfn.XLOOKUP(D409,Table_Tarikan_Warkah[Nomor Tiket],Table_Tarikan_Warkah[Nama Petugas Warkah]),"")</f>
        <v>Berry</v>
      </c>
      <c r="G409" s="39" t="str">
        <f t="array" ref="G409">IFNA(_xlfn.XLOOKUP(D409,Table_Tarikan_Warkah[Nomor Tiket],Table_Tarikan_Warkah[Jenis Permohonan]),"")</f>
        <v>BN JUAL BELI</v>
      </c>
      <c r="H409" s="41" t="s">
        <v>20</v>
      </c>
      <c r="I409" s="41" t="s">
        <v>12</v>
      </c>
      <c r="J409" s="36">
        <f t="shared" si="17"/>
        <v>45635.46828</v>
      </c>
      <c r="K409" s="49" t="s">
        <v>197</v>
      </c>
      <c r="L409" s="49" t="s">
        <v>12</v>
      </c>
      <c r="M409" s="36">
        <f t="shared" si="18"/>
        <v>45636.70676</v>
      </c>
      <c r="N409" s="30" t="str">
        <f t="shared" si="3"/>
        <v>SELESAI</v>
      </c>
      <c r="O409" s="45">
        <f t="shared" si="12"/>
        <v>45636.70676</v>
      </c>
      <c r="P409" s="47" t="b">
        <v>0</v>
      </c>
      <c r="Q409" s="36" t="str">
        <f t="shared" si="19"/>
        <v/>
      </c>
      <c r="R409" s="47" t="b">
        <v>1</v>
      </c>
      <c r="S409" s="36">
        <f t="shared" si="6"/>
        <v>45637.42513</v>
      </c>
      <c r="T409" s="42"/>
    </row>
    <row r="410" ht="22.5" customHeight="1">
      <c r="B410" s="42">
        <f t="shared" si="7"/>
        <v>404</v>
      </c>
      <c r="C410" s="31" t="s">
        <v>598</v>
      </c>
      <c r="D410" s="34" t="str">
        <f t="array" ref="D410">IFNA(_xlfn.XLOOKUP(C410,Table_Tarikan_Warkah[Nomor Sertipikat],Table_Tarikan_Warkah[Nomor Tiket]),"")</f>
        <v>K/47/041224/2</v>
      </c>
      <c r="E410" s="36" t="str">
        <f t="array" ref="E410">IFNA(_xlfn.XLOOKUP(D410,Table_Tarikan_Warkah[Nomor Tiket],Table_Tarikan_Warkah[Tanggal diserahkan kepada Validator]),"")</f>
        <v>05/12/2024 16.53</v>
      </c>
      <c r="F410" s="36" t="str">
        <f t="array" ref="F410">IFNA(_xlfn.XLOOKUP(D410,Table_Tarikan_Warkah[Nomor Tiket],Table_Tarikan_Warkah[Nama Petugas Warkah]),"")</f>
        <v>Berry</v>
      </c>
      <c r="G410" s="39" t="str">
        <f t="array" ref="G410">IFNA(_xlfn.XLOOKUP(D410,Table_Tarikan_Warkah[Nomor Tiket],Table_Tarikan_Warkah[Jenis Permohonan]),"")</f>
        <v>BN JUAL BELI</v>
      </c>
      <c r="H410" s="41" t="s">
        <v>20</v>
      </c>
      <c r="I410" s="41" t="s">
        <v>23</v>
      </c>
      <c r="J410" s="36">
        <f t="shared" si="17"/>
        <v>45635.46828</v>
      </c>
      <c r="K410" s="49" t="s">
        <v>26</v>
      </c>
      <c r="L410" s="49" t="s">
        <v>23</v>
      </c>
      <c r="M410" s="36">
        <f t="shared" si="18"/>
        <v>45636.70676</v>
      </c>
      <c r="N410" s="30" t="str">
        <f t="shared" si="3"/>
        <v>Selesai</v>
      </c>
      <c r="O410" s="45">
        <f t="shared" si="12"/>
        <v>45636.70676</v>
      </c>
      <c r="P410" s="47" t="b">
        <v>1</v>
      </c>
      <c r="Q410" s="36">
        <f t="shared" si="19"/>
        <v>45636.70676</v>
      </c>
      <c r="R410" s="47" t="b">
        <v>1</v>
      </c>
      <c r="S410" s="36">
        <f t="shared" si="6"/>
        <v>45637.43442</v>
      </c>
      <c r="T410" s="42"/>
    </row>
    <row r="411" ht="22.5" customHeight="1">
      <c r="B411" s="42">
        <f t="shared" si="7"/>
        <v>405</v>
      </c>
      <c r="C411" s="31" t="s">
        <v>599</v>
      </c>
      <c r="D411" s="34" t="str">
        <f t="array" ref="D411">IFNA(_xlfn.XLOOKUP(C411,Table_Tarikan_Warkah[Nomor Sertipikat],Table_Tarikan_Warkah[Nomor Tiket]),"")</f>
        <v>K/12/051224/1</v>
      </c>
      <c r="E411" s="36" t="str">
        <f t="array" ref="E411">IFNA(_xlfn.XLOOKUP(D411,Table_Tarikan_Warkah[Nomor Tiket],Table_Tarikan_Warkah[Tanggal diserahkan kepada Validator]),"")</f>
        <v>09/12/2024 10.00</v>
      </c>
      <c r="F411" s="36" t="str">
        <f t="array" ref="F411">IFNA(_xlfn.XLOOKUP(D411,Table_Tarikan_Warkah[Nomor Tiket],Table_Tarikan_Warkah[Nama Petugas Warkah]),"")</f>
        <v>Berry</v>
      </c>
      <c r="G411" s="39" t="str">
        <f t="array" ref="G411">IFNA(_xlfn.XLOOKUP(D411,Table_Tarikan_Warkah[Nomor Tiket],Table_Tarikan_Warkah[Jenis Permohonan]),"")</f>
        <v>BN Jual Beli</v>
      </c>
      <c r="H411" s="41" t="s">
        <v>20</v>
      </c>
      <c r="I411" s="41" t="s">
        <v>12</v>
      </c>
      <c r="J411" s="36">
        <f t="shared" si="17"/>
        <v>45635.47796</v>
      </c>
      <c r="K411" s="49" t="s">
        <v>197</v>
      </c>
      <c r="L411" s="49" t="s">
        <v>12</v>
      </c>
      <c r="M411" s="36">
        <f t="shared" si="18"/>
        <v>45636.70676</v>
      </c>
      <c r="N411" s="30" t="str">
        <f t="shared" si="3"/>
        <v>SELESAI</v>
      </c>
      <c r="O411" s="45">
        <f t="shared" si="12"/>
        <v>45636.70676</v>
      </c>
      <c r="P411" s="47" t="b">
        <v>0</v>
      </c>
      <c r="Q411" s="36" t="str">
        <f t="shared" si="19"/>
        <v/>
      </c>
      <c r="R411" s="47" t="b">
        <v>1</v>
      </c>
      <c r="S411" s="36">
        <f t="shared" si="6"/>
        <v>45637.42528</v>
      </c>
      <c r="T411" s="42"/>
    </row>
    <row r="412" ht="22.5" customHeight="1">
      <c r="B412" s="42">
        <f t="shared" si="7"/>
        <v>406</v>
      </c>
      <c r="C412" s="31" t="s">
        <v>600</v>
      </c>
      <c r="D412" s="34" t="str">
        <f t="array" ref="D412">IFNA(_xlfn.XLOOKUP(C412,Table_Tarikan_Warkah[Nomor Sertipikat],Table_Tarikan_Warkah[Nomor Tiket]),"")</f>
        <v>L/16/051224/1</v>
      </c>
      <c r="E412" s="36" t="str">
        <f t="array" ref="E412">IFNA(_xlfn.XLOOKUP(D412,Table_Tarikan_Warkah[Nomor Tiket],Table_Tarikan_Warkah[Tanggal diserahkan kepada Validator]),"")</f>
        <v>09/12/2024 10.00</v>
      </c>
      <c r="F412" s="36" t="str">
        <f t="array" ref="F412">IFNA(_xlfn.XLOOKUP(D412,Table_Tarikan_Warkah[Nomor Tiket],Table_Tarikan_Warkah[Nama Petugas Warkah]),"")</f>
        <v>Berry</v>
      </c>
      <c r="G412" s="39" t="str">
        <f t="array" ref="G412">IFNA(_xlfn.XLOOKUP(D412,Table_Tarikan_Warkah[Nomor Tiket],Table_Tarikan_Warkah[Jenis Permohonan]),"")</f>
        <v>ROYA</v>
      </c>
      <c r="H412" s="41" t="s">
        <v>11</v>
      </c>
      <c r="I412" s="41" t="s">
        <v>12</v>
      </c>
      <c r="J412" s="36">
        <f t="shared" si="17"/>
        <v>45635.70106</v>
      </c>
      <c r="K412" s="49" t="s">
        <v>197</v>
      </c>
      <c r="L412" s="49" t="s">
        <v>12</v>
      </c>
      <c r="M412" s="36">
        <f t="shared" si="18"/>
        <v>45636.70676</v>
      </c>
      <c r="N412" s="30" t="str">
        <f t="shared" si="3"/>
        <v>SELESAI</v>
      </c>
      <c r="O412" s="45">
        <f t="shared" si="12"/>
        <v>45636.70676</v>
      </c>
      <c r="P412" s="47" t="b">
        <v>0</v>
      </c>
      <c r="Q412" s="36" t="str">
        <f t="shared" si="19"/>
        <v/>
      </c>
      <c r="R412" s="47" t="b">
        <v>0</v>
      </c>
      <c r="S412" s="42" t="str">
        <f t="shared" si="6"/>
        <v/>
      </c>
      <c r="T412" s="42"/>
    </row>
    <row r="413" ht="22.5" customHeight="1">
      <c r="B413" s="42">
        <f t="shared" si="7"/>
        <v>407</v>
      </c>
      <c r="C413" s="31" t="s">
        <v>601</v>
      </c>
      <c r="D413" s="34" t="str">
        <f t="array" ref="D413">IFNA(_xlfn.XLOOKUP(C413,Table_Tarikan_Warkah[Nomor Sertipikat],Table_Tarikan_Warkah[Nomor Tiket]),"")</f>
        <v>L/18/051224/1</v>
      </c>
      <c r="E413" s="36" t="str">
        <f t="array" ref="E413">IFNA(_xlfn.XLOOKUP(D413,Table_Tarikan_Warkah[Nomor Tiket],Table_Tarikan_Warkah[Tanggal diserahkan kepada Validator]),"")</f>
        <v>09/12/2024 10.01</v>
      </c>
      <c r="F413" s="36" t="str">
        <f t="array" ref="F413">IFNA(_xlfn.XLOOKUP(D413,Table_Tarikan_Warkah[Nomor Tiket],Table_Tarikan_Warkah[Nama Petugas Warkah]),"")</f>
        <v>Berry</v>
      </c>
      <c r="G413" s="39" t="str">
        <f t="array" ref="G413">IFNA(_xlfn.XLOOKUP(D413,Table_Tarikan_Warkah[Nomor Tiket],Table_Tarikan_Warkah[Jenis Permohonan]),"")</f>
        <v>ROYA</v>
      </c>
      <c r="H413" s="41" t="s">
        <v>11</v>
      </c>
      <c r="I413" s="41" t="s">
        <v>12</v>
      </c>
      <c r="J413" s="36">
        <f t="shared" si="17"/>
        <v>45635.70106</v>
      </c>
      <c r="K413" s="49" t="s">
        <v>197</v>
      </c>
      <c r="L413" s="49" t="s">
        <v>12</v>
      </c>
      <c r="M413" s="36">
        <f t="shared" si="18"/>
        <v>45636.70676</v>
      </c>
      <c r="N413" s="30" t="str">
        <f t="shared" si="3"/>
        <v>SELESAI</v>
      </c>
      <c r="O413" s="45">
        <f t="shared" si="12"/>
        <v>45636.70676</v>
      </c>
      <c r="P413" s="47" t="b">
        <v>0</v>
      </c>
      <c r="Q413" s="36" t="str">
        <f t="shared" si="19"/>
        <v/>
      </c>
      <c r="R413" s="47" t="b">
        <v>1</v>
      </c>
      <c r="S413" s="36">
        <f t="shared" si="6"/>
        <v>45637.4273</v>
      </c>
      <c r="T413" s="42"/>
    </row>
    <row r="414" ht="22.5" customHeight="1">
      <c r="B414" s="42">
        <f t="shared" si="7"/>
        <v>408</v>
      </c>
      <c r="C414" s="31" t="s">
        <v>602</v>
      </c>
      <c r="D414" s="34" t="str">
        <f t="array" ref="D414">IFNA(_xlfn.XLOOKUP(C414,Table_Tarikan_Warkah[Nomor Sertipikat],Table_Tarikan_Warkah[Nomor Tiket]),"")</f>
        <v>K/36/051224/1</v>
      </c>
      <c r="E414" s="36" t="str">
        <f t="array" ref="E414">IFNA(_xlfn.XLOOKUP(D414,Table_Tarikan_Warkah[Nomor Tiket],Table_Tarikan_Warkah[Tanggal diserahkan kepada Validator]),"")</f>
        <v>09/12/2024 10.04</v>
      </c>
      <c r="F414" s="36" t="str">
        <f t="array" ref="F414">IFNA(_xlfn.XLOOKUP(D414,Table_Tarikan_Warkah[Nomor Tiket],Table_Tarikan_Warkah[Nama Petugas Warkah]),"")</f>
        <v>Berry</v>
      </c>
      <c r="G414" s="39" t="str">
        <f t="array" ref="G414">IFNA(_xlfn.XLOOKUP(D414,Table_Tarikan_Warkah[Nomor Tiket],Table_Tarikan_Warkah[Jenis Permohonan]),"")</f>
        <v>BN JUAL BELI</v>
      </c>
      <c r="H414" s="41" t="s">
        <v>11</v>
      </c>
      <c r="I414" s="41" t="s">
        <v>12</v>
      </c>
      <c r="J414" s="36">
        <f t="shared" si="17"/>
        <v>45635.70106</v>
      </c>
      <c r="K414" s="49" t="s">
        <v>197</v>
      </c>
      <c r="L414" s="49" t="s">
        <v>12</v>
      </c>
      <c r="M414" s="36">
        <f t="shared" si="18"/>
        <v>45636.70676</v>
      </c>
      <c r="N414" s="30" t="str">
        <f t="shared" si="3"/>
        <v>SELESAI</v>
      </c>
      <c r="O414" s="45">
        <f t="shared" si="12"/>
        <v>45636.70676</v>
      </c>
      <c r="P414" s="47" t="b">
        <v>0</v>
      </c>
      <c r="Q414" s="36" t="str">
        <f t="shared" si="19"/>
        <v/>
      </c>
      <c r="R414" s="47" t="b">
        <v>1</v>
      </c>
      <c r="S414" s="36">
        <f t="shared" si="6"/>
        <v>45637.42575</v>
      </c>
      <c r="T414" s="42"/>
    </row>
    <row r="415" ht="22.5" customHeight="1">
      <c r="B415" s="42">
        <f t="shared" si="7"/>
        <v>409</v>
      </c>
      <c r="C415" s="31" t="s">
        <v>603</v>
      </c>
      <c r="D415" s="34" t="str">
        <f t="array" ref="D415">IFNA(_xlfn.XLOOKUP(C415,Table_Tarikan_Warkah[Nomor Sertipikat],Table_Tarikan_Warkah[Nomor Tiket]),"")</f>
        <v>L/21/051224/1</v>
      </c>
      <c r="E415" s="36" t="str">
        <f t="array" ref="E415">IFNA(_xlfn.XLOOKUP(D415,Table_Tarikan_Warkah[Nomor Tiket],Table_Tarikan_Warkah[Tanggal diserahkan kepada Validator]),"")</f>
        <v>09/12/2024 10.02</v>
      </c>
      <c r="F415" s="36" t="str">
        <f t="array" ref="F415">IFNA(_xlfn.XLOOKUP(D415,Table_Tarikan_Warkah[Nomor Tiket],Table_Tarikan_Warkah[Nama Petugas Warkah]),"")</f>
        <v>Berry</v>
      </c>
      <c r="G415" s="39" t="str">
        <f t="array" ref="G415">IFNA(_xlfn.XLOOKUP(D415,Table_Tarikan_Warkah[Nomor Tiket],Table_Tarikan_Warkah[Jenis Permohonan]),"")</f>
        <v>ROYA</v>
      </c>
      <c r="H415" s="41" t="s">
        <v>11</v>
      </c>
      <c r="I415" s="41" t="s">
        <v>12</v>
      </c>
      <c r="J415" s="36">
        <f t="shared" si="17"/>
        <v>45635.70106</v>
      </c>
      <c r="K415" s="49" t="s">
        <v>197</v>
      </c>
      <c r="L415" s="49" t="s">
        <v>12</v>
      </c>
      <c r="M415" s="36">
        <f t="shared" si="18"/>
        <v>45636.70676</v>
      </c>
      <c r="N415" s="30" t="str">
        <f t="shared" si="3"/>
        <v>SELESAI</v>
      </c>
      <c r="O415" s="45">
        <f t="shared" si="12"/>
        <v>45636.70676</v>
      </c>
      <c r="P415" s="47" t="b">
        <v>0</v>
      </c>
      <c r="Q415" s="36" t="str">
        <f t="shared" si="19"/>
        <v/>
      </c>
      <c r="R415" s="47" t="b">
        <v>1</v>
      </c>
      <c r="S415" s="36">
        <f t="shared" si="6"/>
        <v>45637.42745</v>
      </c>
      <c r="T415" s="42"/>
    </row>
    <row r="416" ht="22.5" customHeight="1">
      <c r="B416" s="42">
        <f t="shared" si="7"/>
        <v>410</v>
      </c>
      <c r="C416" s="31" t="s">
        <v>604</v>
      </c>
      <c r="D416" s="34" t="str">
        <f t="array" ref="D416">IFNA(_xlfn.XLOOKUP(C416,Table_Tarikan_Warkah[Nomor Sertipikat],Table_Tarikan_Warkah[Nomor Tiket]),"")</f>
        <v>K/17/051224/1</v>
      </c>
      <c r="E416" s="36" t="str">
        <f t="array" ref="E416">IFNA(_xlfn.XLOOKUP(D416,Table_Tarikan_Warkah[Nomor Tiket],Table_Tarikan_Warkah[Tanggal diserahkan kepada Validator]),"")</f>
        <v>09/12/2024 10.02</v>
      </c>
      <c r="F416" s="36" t="str">
        <f t="array" ref="F416">IFNA(_xlfn.XLOOKUP(D416,Table_Tarikan_Warkah[Nomor Tiket],Table_Tarikan_Warkah[Nama Petugas Warkah]),"")</f>
        <v>Berry</v>
      </c>
      <c r="G416" s="39" t="str">
        <f t="array" ref="G416">IFNA(_xlfn.XLOOKUP(D416,Table_Tarikan_Warkah[Nomor Tiket],Table_Tarikan_Warkah[Jenis Permohonan]),"")</f>
        <v>BN Jual Beli</v>
      </c>
      <c r="H416" s="41" t="s">
        <v>11</v>
      </c>
      <c r="I416" s="41" t="s">
        <v>12</v>
      </c>
      <c r="J416" s="36">
        <f t="shared" si="17"/>
        <v>45635.70106</v>
      </c>
      <c r="K416" s="49" t="s">
        <v>197</v>
      </c>
      <c r="L416" s="49" t="s">
        <v>12</v>
      </c>
      <c r="M416" s="36">
        <f t="shared" si="18"/>
        <v>45636.70676</v>
      </c>
      <c r="N416" s="30" t="str">
        <f t="shared" si="3"/>
        <v>SELESAI</v>
      </c>
      <c r="O416" s="45">
        <f t="shared" si="12"/>
        <v>45636.70676</v>
      </c>
      <c r="P416" s="47" t="b">
        <v>0</v>
      </c>
      <c r="Q416" s="36" t="str">
        <f t="shared" si="19"/>
        <v/>
      </c>
      <c r="R416" s="47" t="b">
        <v>1</v>
      </c>
      <c r="S416" s="36">
        <f t="shared" si="6"/>
        <v>45637.42756</v>
      </c>
      <c r="T416" s="42"/>
    </row>
    <row r="417" ht="22.5" customHeight="1">
      <c r="B417" s="42">
        <f t="shared" si="7"/>
        <v>411</v>
      </c>
      <c r="C417" s="31" t="s">
        <v>605</v>
      </c>
      <c r="D417" s="34" t="str">
        <f t="array" ref="D417">IFNA(_xlfn.XLOOKUP(C417,Table_Tarikan_Warkah[Nomor Sertipikat],Table_Tarikan_Warkah[Nomor Tiket]),"")</f>
        <v>K/30/041224/2</v>
      </c>
      <c r="E417" s="36" t="str">
        <f t="array" ref="E417">IFNA(_xlfn.XLOOKUP(D417,Table_Tarikan_Warkah[Nomor Tiket],Table_Tarikan_Warkah[Tanggal diserahkan kepada Validator]),"")</f>
        <v>05/12/2024 16.51</v>
      </c>
      <c r="F417" s="36" t="str">
        <f t="array" ref="F417">IFNA(_xlfn.XLOOKUP(D417,Table_Tarikan_Warkah[Nomor Tiket],Table_Tarikan_Warkah[Nama Petugas Warkah]),"")</f>
        <v>Berry</v>
      </c>
      <c r="G417" s="39" t="str">
        <f t="array" ref="G417">IFNA(_xlfn.XLOOKUP(D417,Table_Tarikan_Warkah[Nomor Tiket],Table_Tarikan_Warkah[Jenis Permohonan]),"")</f>
        <v>BN Jual Beli</v>
      </c>
      <c r="H417" s="41" t="s">
        <v>11</v>
      </c>
      <c r="I417" s="41" t="s">
        <v>12</v>
      </c>
      <c r="J417" s="36">
        <f t="shared" si="17"/>
        <v>45635.70106</v>
      </c>
      <c r="K417" s="49" t="s">
        <v>197</v>
      </c>
      <c r="L417" s="49" t="s">
        <v>12</v>
      </c>
      <c r="M417" s="36">
        <f t="shared" si="18"/>
        <v>45636.70676</v>
      </c>
      <c r="N417" s="30" t="str">
        <f t="shared" si="3"/>
        <v>SELESAI</v>
      </c>
      <c r="O417" s="45">
        <f t="shared" si="12"/>
        <v>45636.70676</v>
      </c>
      <c r="P417" s="47" t="b">
        <v>0</v>
      </c>
      <c r="Q417" s="36" t="str">
        <f t="shared" si="19"/>
        <v/>
      </c>
      <c r="R417" s="47" t="b">
        <v>1</v>
      </c>
      <c r="S417" s="36">
        <f t="shared" si="6"/>
        <v>45637.42773</v>
      </c>
      <c r="T417" s="42"/>
    </row>
    <row r="418" ht="22.5" customHeight="1">
      <c r="B418" s="42">
        <f t="shared" si="7"/>
        <v>412</v>
      </c>
      <c r="C418" s="31" t="s">
        <v>606</v>
      </c>
      <c r="D418" s="34" t="str">
        <f t="array" ref="D418">IFNA(_xlfn.XLOOKUP(C418,Table_Tarikan_Warkah[Nomor Sertipikat],Table_Tarikan_Warkah[Nomor Tiket]),"")</f>
        <v>K/46/041224/1</v>
      </c>
      <c r="E418" s="36" t="str">
        <f t="array" ref="E418">IFNA(_xlfn.XLOOKUP(D418,Table_Tarikan_Warkah[Nomor Tiket],Table_Tarikan_Warkah[Tanggal diserahkan kepada Validator]),"")</f>
        <v>05/12/2024 16.53</v>
      </c>
      <c r="F418" s="36" t="str">
        <f t="array" ref="F418">IFNA(_xlfn.XLOOKUP(D418,Table_Tarikan_Warkah[Nomor Tiket],Table_Tarikan_Warkah[Nama Petugas Warkah]),"")</f>
        <v>Berry</v>
      </c>
      <c r="G418" s="39" t="str">
        <f t="array" ref="G418">IFNA(_xlfn.XLOOKUP(D418,Table_Tarikan_Warkah[Nomor Tiket],Table_Tarikan_Warkah[Jenis Permohonan]),"")</f>
        <v>BN JUAL BELI</v>
      </c>
      <c r="H418" s="41" t="s">
        <v>11</v>
      </c>
      <c r="I418" s="41" t="s">
        <v>12</v>
      </c>
      <c r="J418" s="36">
        <f t="shared" si="17"/>
        <v>45635.70106</v>
      </c>
      <c r="K418" s="49" t="s">
        <v>197</v>
      </c>
      <c r="L418" s="49" t="s">
        <v>12</v>
      </c>
      <c r="M418" s="36">
        <f t="shared" si="18"/>
        <v>45636.70676</v>
      </c>
      <c r="N418" s="30" t="str">
        <f t="shared" si="3"/>
        <v>SELESAI</v>
      </c>
      <c r="O418" s="45">
        <f t="shared" si="12"/>
        <v>45636.70676</v>
      </c>
      <c r="P418" s="47" t="b">
        <v>0</v>
      </c>
      <c r="Q418" s="36" t="str">
        <f t="shared" si="19"/>
        <v/>
      </c>
      <c r="R418" s="47" t="b">
        <v>1</v>
      </c>
      <c r="S418" s="36">
        <f t="shared" si="6"/>
        <v>45637.42623</v>
      </c>
      <c r="T418" s="42"/>
    </row>
    <row r="419" ht="22.5" customHeight="1">
      <c r="B419" s="42">
        <f t="shared" si="7"/>
        <v>413</v>
      </c>
      <c r="C419" s="31" t="s">
        <v>598</v>
      </c>
      <c r="D419" s="34" t="str">
        <f t="array" ref="D419">IFNA(_xlfn.XLOOKUP(C419,Table_Tarikan_Warkah[Nomor Sertipikat],Table_Tarikan_Warkah[Nomor Tiket]),"")</f>
        <v>K/47/041224/2</v>
      </c>
      <c r="E419" s="36" t="str">
        <f t="array" ref="E419">IFNA(_xlfn.XLOOKUP(D419,Table_Tarikan_Warkah[Nomor Tiket],Table_Tarikan_Warkah[Tanggal diserahkan kepada Validator]),"")</f>
        <v>05/12/2024 16.53</v>
      </c>
      <c r="F419" s="36" t="str">
        <f t="array" ref="F419">IFNA(_xlfn.XLOOKUP(D419,Table_Tarikan_Warkah[Nomor Tiket],Table_Tarikan_Warkah[Nama Petugas Warkah]),"")</f>
        <v>Berry</v>
      </c>
      <c r="G419" s="39" t="str">
        <f t="array" ref="G419">IFNA(_xlfn.XLOOKUP(D419,Table_Tarikan_Warkah[Nomor Tiket],Table_Tarikan_Warkah[Jenis Permohonan]),"")</f>
        <v>BN JUAL BELI</v>
      </c>
      <c r="H419" s="41" t="s">
        <v>11</v>
      </c>
      <c r="I419" s="41" t="s">
        <v>12</v>
      </c>
      <c r="J419" s="36">
        <f t="shared" si="17"/>
        <v>45635.70106</v>
      </c>
      <c r="K419" s="49" t="s">
        <v>197</v>
      </c>
      <c r="L419" s="49" t="s">
        <v>12</v>
      </c>
      <c r="M419" s="36">
        <f t="shared" si="18"/>
        <v>45636.70676</v>
      </c>
      <c r="N419" s="30" t="str">
        <f t="shared" si="3"/>
        <v>SELESAI</v>
      </c>
      <c r="O419" s="45">
        <f t="shared" si="12"/>
        <v>45636.70676</v>
      </c>
      <c r="P419" s="47" t="b">
        <v>0</v>
      </c>
      <c r="Q419" s="36" t="str">
        <f t="shared" si="19"/>
        <v/>
      </c>
      <c r="R419" s="47" t="b">
        <v>1</v>
      </c>
      <c r="S419" s="36">
        <f t="shared" si="6"/>
        <v>45637.43449</v>
      </c>
      <c r="T419" s="42"/>
    </row>
    <row r="420" ht="22.5" customHeight="1">
      <c r="B420" s="42">
        <f t="shared" si="7"/>
        <v>414</v>
      </c>
      <c r="C420" s="31" t="s">
        <v>607</v>
      </c>
      <c r="D420" s="34" t="str">
        <f t="array" ref="D420">IFNA(_xlfn.XLOOKUP(C420,Table_Tarikan_Warkah[Nomor Sertipikat],Table_Tarikan_Warkah[Nomor Tiket]),"")</f>
        <v>K/15/021224/1</v>
      </c>
      <c r="E420" s="36">
        <f t="array" ref="E420">IFNA(_xlfn.XLOOKUP(D420,Table_Tarikan_Warkah[Nomor Tiket],Table_Tarikan_Warkah[Tanggal diserahkan kepada Validator]),"")</f>
        <v>45719.63329</v>
      </c>
      <c r="F420" s="36" t="str">
        <f t="array" ref="F420">IFNA(_xlfn.XLOOKUP(D420,Table_Tarikan_Warkah[Nomor Tiket],Table_Tarikan_Warkah[Nama Petugas Warkah]),"")</f>
        <v>Berry</v>
      </c>
      <c r="G420" s="39" t="str">
        <f t="array" ref="G420">IFNA(_xlfn.XLOOKUP(D420,Table_Tarikan_Warkah[Nomor Tiket],Table_Tarikan_Warkah[Jenis Permohonan]),"")</f>
        <v>Roya</v>
      </c>
      <c r="H420" s="41" t="s">
        <v>11</v>
      </c>
      <c r="I420" s="41" t="s">
        <v>23</v>
      </c>
      <c r="J420" s="36">
        <f t="shared" si="17"/>
        <v>45635.70106</v>
      </c>
      <c r="K420" s="49" t="s">
        <v>26</v>
      </c>
      <c r="L420" s="49" t="s">
        <v>23</v>
      </c>
      <c r="M420" s="36">
        <f t="shared" si="18"/>
        <v>45636.70676</v>
      </c>
      <c r="N420" s="30" t="str">
        <f t="shared" si="3"/>
        <v>Selesai</v>
      </c>
      <c r="O420" s="45">
        <f t="shared" si="12"/>
        <v>45636.70676</v>
      </c>
      <c r="P420" s="47" t="b">
        <v>1</v>
      </c>
      <c r="Q420" s="36">
        <f t="shared" si="19"/>
        <v>45636.70676</v>
      </c>
      <c r="R420" s="47" t="b">
        <v>0</v>
      </c>
      <c r="S420" s="42" t="str">
        <f t="shared" si="6"/>
        <v/>
      </c>
      <c r="T420" s="42"/>
    </row>
    <row r="421" ht="22.5" customHeight="1">
      <c r="B421" s="42">
        <f t="shared" si="7"/>
        <v>415</v>
      </c>
      <c r="C421" s="31" t="s">
        <v>608</v>
      </c>
      <c r="D421" s="34" t="str">
        <f t="array" ref="D421">IFNA(_xlfn.XLOOKUP(C421,Table_Tarikan_Warkah[Nomor Sertipikat],Table_Tarikan_Warkah[Nomor Tiket]),"")</f>
        <v>K/25/041224/1</v>
      </c>
      <c r="E421" s="36" t="str">
        <f t="array" ref="E421">IFNA(_xlfn.XLOOKUP(D421,Table_Tarikan_Warkah[Nomor Tiket],Table_Tarikan_Warkah[Tanggal diserahkan kepada Validator]),"")</f>
        <v/>
      </c>
      <c r="F421" s="36" t="str">
        <f t="array" ref="F421">IFNA(_xlfn.XLOOKUP(D421,Table_Tarikan_Warkah[Nomor Tiket],Table_Tarikan_Warkah[Nama Petugas Warkah]),"")</f>
        <v>Berry</v>
      </c>
      <c r="G421" s="39" t="str">
        <f t="array" ref="G421">IFNA(_xlfn.XLOOKUP(D421,Table_Tarikan_Warkah[Nomor Tiket],Table_Tarikan_Warkah[Jenis Permohonan]),"")</f>
        <v>BN JUAL BELI</v>
      </c>
      <c r="H421" s="41" t="s">
        <v>11</v>
      </c>
      <c r="I421" s="41" t="s">
        <v>23</v>
      </c>
      <c r="J421" s="36">
        <f t="shared" si="17"/>
        <v>45635.70106</v>
      </c>
      <c r="K421" s="49" t="s">
        <v>26</v>
      </c>
      <c r="L421" s="49" t="s">
        <v>23</v>
      </c>
      <c r="M421" s="36">
        <f t="shared" si="18"/>
        <v>45636.70676</v>
      </c>
      <c r="N421" s="30" t="str">
        <f t="shared" si="3"/>
        <v>Selesai</v>
      </c>
      <c r="O421" s="45">
        <f t="shared" si="12"/>
        <v>45636.70676</v>
      </c>
      <c r="P421" s="47" t="b">
        <v>1</v>
      </c>
      <c r="Q421" s="36">
        <f t="shared" si="19"/>
        <v>45636.70676</v>
      </c>
      <c r="R421" s="47" t="b">
        <v>0</v>
      </c>
      <c r="S421" s="42" t="str">
        <f t="shared" si="6"/>
        <v/>
      </c>
      <c r="T421" s="42"/>
    </row>
    <row r="422" ht="22.5" customHeight="1">
      <c r="B422" s="42">
        <f t="shared" si="7"/>
        <v>416</v>
      </c>
      <c r="C422" s="31" t="s">
        <v>468</v>
      </c>
      <c r="D422" s="34" t="str">
        <f t="array" ref="D422">IFNA(_xlfn.XLOOKUP(C422,Table_Tarikan_Warkah[Nomor Sertipikat],Table_Tarikan_Warkah[Nomor Tiket]),"")</f>
        <v>K/55/191124/1</v>
      </c>
      <c r="E422" s="36" t="str">
        <f t="array" ref="E422">IFNA(_xlfn.XLOOKUP(D422,Table_Tarikan_Warkah[Nomor Tiket],Table_Tarikan_Warkah[Tanggal diserahkan kepada Validator]),"")</f>
        <v>20/11/2024 15.12</v>
      </c>
      <c r="F422" s="36" t="str">
        <f t="array" ref="F422">IFNA(_xlfn.XLOOKUP(D422,Table_Tarikan_Warkah[Nomor Tiket],Table_Tarikan_Warkah[Nama Petugas Warkah]),"")</f>
        <v>Berry</v>
      </c>
      <c r="G422" s="39" t="str">
        <f t="array" ref="G422">IFNA(_xlfn.XLOOKUP(D422,Table_Tarikan_Warkah[Nomor Tiket],Table_Tarikan_Warkah[Jenis Permohonan]),"")</f>
        <v>BN JUAL BELI</v>
      </c>
      <c r="H422" s="41" t="s">
        <v>11</v>
      </c>
      <c r="I422" s="41" t="s">
        <v>23</v>
      </c>
      <c r="J422" s="36">
        <f t="shared" si="17"/>
        <v>45635.70106</v>
      </c>
      <c r="K422" s="49" t="s">
        <v>26</v>
      </c>
      <c r="L422" s="49" t="s">
        <v>23</v>
      </c>
      <c r="M422" s="36">
        <f t="shared" si="18"/>
        <v>45636.70676</v>
      </c>
      <c r="N422" s="30" t="str">
        <f t="shared" si="3"/>
        <v>Selesai</v>
      </c>
      <c r="O422" s="45">
        <f t="shared" si="12"/>
        <v>45636.70676</v>
      </c>
      <c r="P422" s="47" t="b">
        <v>1</v>
      </c>
      <c r="Q422" s="36">
        <f t="shared" si="19"/>
        <v>45636.70676</v>
      </c>
      <c r="R422" s="47" t="b">
        <v>0</v>
      </c>
      <c r="S422" s="42" t="str">
        <f t="shared" si="6"/>
        <v/>
      </c>
      <c r="T422" s="42"/>
    </row>
    <row r="423" ht="22.5" customHeight="1">
      <c r="B423" s="42">
        <f t="shared" si="7"/>
        <v>417</v>
      </c>
      <c r="C423" s="31" t="s">
        <v>609</v>
      </c>
      <c r="D423" s="34" t="str">
        <f t="array" ref="D423">IFNA(_xlfn.XLOOKUP(C423,Table_Tarikan_Warkah[Nomor Sertipikat],Table_Tarikan_Warkah[Nomor Tiket]),"")</f>
        <v>K/3/071124/1</v>
      </c>
      <c r="E423" s="36" t="str">
        <f t="array" ref="E423">IFNA(_xlfn.XLOOKUP(D423,Table_Tarikan_Warkah[Nomor Tiket],Table_Tarikan_Warkah[Tanggal diserahkan kepada Validator]),"")</f>
        <v>09/12/2024 14.08</v>
      </c>
      <c r="F423" s="36" t="str">
        <f t="array" ref="F423">IFNA(_xlfn.XLOOKUP(D423,Table_Tarikan_Warkah[Nomor Tiket],Table_Tarikan_Warkah[Nama Petugas Warkah]),"")</f>
        <v>David</v>
      </c>
      <c r="G423" s="39" t="str">
        <f t="array" ref="G423">IFNA(_xlfn.XLOOKUP(D423,Table_Tarikan_Warkah[Nomor Tiket],Table_Tarikan_Warkah[Jenis Permohonan]),"")</f>
        <v>BN AKTA JUAL BELI</v>
      </c>
      <c r="H423" s="41" t="s">
        <v>11</v>
      </c>
      <c r="I423" s="41" t="s">
        <v>23</v>
      </c>
      <c r="J423" s="36">
        <f t="shared" si="17"/>
        <v>45635.70106</v>
      </c>
      <c r="K423" s="41" t="s">
        <v>26</v>
      </c>
      <c r="L423" s="41" t="s">
        <v>23</v>
      </c>
      <c r="M423" s="36">
        <f t="shared" si="18"/>
        <v>45635.70106</v>
      </c>
      <c r="N423" s="30" t="str">
        <f t="shared" si="3"/>
        <v>Selesai</v>
      </c>
      <c r="O423" s="45">
        <f t="shared" si="12"/>
        <v>45635.70106</v>
      </c>
      <c r="P423" s="47" t="b">
        <v>1</v>
      </c>
      <c r="Q423" s="36">
        <f t="shared" si="19"/>
        <v>45635.70106</v>
      </c>
      <c r="R423" s="47" t="b">
        <v>0</v>
      </c>
      <c r="S423" s="42" t="str">
        <f t="shared" si="6"/>
        <v/>
      </c>
      <c r="T423" s="42"/>
    </row>
    <row r="424" ht="22.5" customHeight="1">
      <c r="B424" s="42">
        <f t="shared" si="7"/>
        <v>418</v>
      </c>
      <c r="C424" s="31" t="s">
        <v>610</v>
      </c>
      <c r="D424" s="34" t="str">
        <f t="array" ref="D424">IFNA(_xlfn.XLOOKUP(C424,Table_Tarikan_Warkah[Nomor Sertipikat],Table_Tarikan_Warkah[Nomor Tiket]),"")</f>
        <v>K/30/061224/1</v>
      </c>
      <c r="E424" s="36" t="str">
        <f t="array" ref="E424">IFNA(_xlfn.XLOOKUP(D424,Table_Tarikan_Warkah[Nomor Tiket],Table_Tarikan_Warkah[Tanggal diserahkan kepada Validator]),"")</f>
        <v>09/12/2024 16.14</v>
      </c>
      <c r="F424" s="36" t="str">
        <f t="array" ref="F424">IFNA(_xlfn.XLOOKUP(D424,Table_Tarikan_Warkah[Nomor Tiket],Table_Tarikan_Warkah[Nama Petugas Warkah]),"")</f>
        <v>Berry</v>
      </c>
      <c r="G424" s="39" t="str">
        <f t="array" ref="G424">IFNA(_xlfn.XLOOKUP(D424,Table_Tarikan_Warkah[Nomor Tiket],Table_Tarikan_Warkah[Jenis Permohonan]),"")</f>
        <v>ROYA</v>
      </c>
      <c r="H424" s="41" t="s">
        <v>20</v>
      </c>
      <c r="I424" s="41" t="s">
        <v>12</v>
      </c>
      <c r="J424" s="36">
        <f t="shared" si="17"/>
        <v>45635.70106</v>
      </c>
      <c r="K424" s="49" t="s">
        <v>197</v>
      </c>
      <c r="L424" s="49" t="s">
        <v>12</v>
      </c>
      <c r="M424" s="36">
        <f t="shared" si="18"/>
        <v>45636.70676</v>
      </c>
      <c r="N424" s="30" t="str">
        <f t="shared" si="3"/>
        <v>SELESAI</v>
      </c>
      <c r="O424" s="45">
        <f t="shared" si="12"/>
        <v>45636.70676</v>
      </c>
      <c r="P424" s="47" t="b">
        <v>0</v>
      </c>
      <c r="Q424" s="36" t="str">
        <f t="shared" si="19"/>
        <v/>
      </c>
      <c r="R424" s="47" t="b">
        <v>1</v>
      </c>
      <c r="S424" s="36">
        <f t="shared" si="6"/>
        <v>45637.43681</v>
      </c>
      <c r="T424" s="42"/>
    </row>
    <row r="425" ht="22.5" customHeight="1">
      <c r="B425" s="42">
        <f t="shared" si="7"/>
        <v>419</v>
      </c>
      <c r="C425" s="31" t="s">
        <v>611</v>
      </c>
      <c r="D425" s="34" t="str">
        <f t="array" ref="D425">IFNA(_xlfn.XLOOKUP(C425,Table_Tarikan_Warkah[Nomor Sertipikat],Table_Tarikan_Warkah[Nomor Tiket]),"")</f>
        <v>K/3/061224/1</v>
      </c>
      <c r="E425" s="36" t="str">
        <f t="array" ref="E425">IFNA(_xlfn.XLOOKUP(D425,Table_Tarikan_Warkah[Nomor Tiket],Table_Tarikan_Warkah[Tanggal diserahkan kepada Validator]),"")</f>
        <v>09/12/2024 16.09</v>
      </c>
      <c r="F425" s="36" t="str">
        <f t="array" ref="F425">IFNA(_xlfn.XLOOKUP(D425,Table_Tarikan_Warkah[Nomor Tiket],Table_Tarikan_Warkah[Nama Petugas Warkah]),"")</f>
        <v>Berry</v>
      </c>
      <c r="G425" s="39" t="str">
        <f t="array" ref="G425">IFNA(_xlfn.XLOOKUP(D425,Table_Tarikan_Warkah[Nomor Tiket],Table_Tarikan_Warkah[Jenis Permohonan]),"")</f>
        <v>BN JUAL BELI</v>
      </c>
      <c r="H425" s="41" t="s">
        <v>20</v>
      </c>
      <c r="I425" s="41" t="s">
        <v>12</v>
      </c>
      <c r="J425" s="36">
        <f t="shared" si="17"/>
        <v>45635.70109</v>
      </c>
      <c r="K425" s="49" t="s">
        <v>197</v>
      </c>
      <c r="L425" s="49" t="s">
        <v>12</v>
      </c>
      <c r="M425" s="36">
        <f t="shared" si="18"/>
        <v>45636.70676</v>
      </c>
      <c r="N425" s="30" t="str">
        <f t="shared" si="3"/>
        <v>SELESAI</v>
      </c>
      <c r="O425" s="45">
        <f t="shared" si="12"/>
        <v>45636.70676</v>
      </c>
      <c r="P425" s="47" t="b">
        <v>0</v>
      </c>
      <c r="Q425" s="36" t="str">
        <f t="shared" si="19"/>
        <v/>
      </c>
      <c r="R425" s="47" t="b">
        <v>1</v>
      </c>
      <c r="S425" s="36">
        <f t="shared" si="6"/>
        <v>45637.43674</v>
      </c>
      <c r="T425" s="42"/>
    </row>
    <row r="426" ht="22.5" customHeight="1">
      <c r="B426" s="42">
        <f t="shared" si="7"/>
        <v>420</v>
      </c>
      <c r="C426" s="31" t="s">
        <v>612</v>
      </c>
      <c r="D426" s="34" t="str">
        <f t="array" ref="D426">IFNA(_xlfn.XLOOKUP(C426,Table_Tarikan_Warkah[Nomor Sertipikat],Table_Tarikan_Warkah[Nomor Tiket]),"")</f>
        <v>K/15/061224/1</v>
      </c>
      <c r="E426" s="36" t="str">
        <f t="array" ref="E426">IFNA(_xlfn.XLOOKUP(D426,Table_Tarikan_Warkah[Nomor Tiket],Table_Tarikan_Warkah[Tanggal diserahkan kepada Validator]),"")</f>
        <v>09/12/2024 16.11</v>
      </c>
      <c r="F426" s="36" t="str">
        <f t="array" ref="F426">IFNA(_xlfn.XLOOKUP(D426,Table_Tarikan_Warkah[Nomor Tiket],Table_Tarikan_Warkah[Nama Petugas Warkah]),"")</f>
        <v>Berry</v>
      </c>
      <c r="G426" s="39" t="str">
        <f t="array" ref="G426">IFNA(_xlfn.XLOOKUP(D426,Table_Tarikan_Warkah[Nomor Tiket],Table_Tarikan_Warkah[Jenis Permohonan]),"")</f>
        <v>BN JUAL BELI</v>
      </c>
      <c r="H426" s="41" t="s">
        <v>20</v>
      </c>
      <c r="I426" s="41" t="s">
        <v>12</v>
      </c>
      <c r="J426" s="36">
        <f t="shared" si="17"/>
        <v>45635.70117</v>
      </c>
      <c r="K426" s="49" t="s">
        <v>197</v>
      </c>
      <c r="L426" s="49" t="s">
        <v>12</v>
      </c>
      <c r="M426" s="36">
        <f t="shared" si="18"/>
        <v>45636.70676</v>
      </c>
      <c r="N426" s="30" t="str">
        <f t="shared" si="3"/>
        <v>SELESAI</v>
      </c>
      <c r="O426" s="45">
        <f t="shared" si="12"/>
        <v>45636.70676</v>
      </c>
      <c r="P426" s="47" t="b">
        <v>0</v>
      </c>
      <c r="Q426" s="36" t="str">
        <f t="shared" si="19"/>
        <v/>
      </c>
      <c r="R426" s="47" t="b">
        <v>1</v>
      </c>
      <c r="S426" s="36">
        <f t="shared" si="6"/>
        <v>45637.43664</v>
      </c>
      <c r="T426" s="42"/>
    </row>
    <row r="427" ht="22.5" customHeight="1">
      <c r="B427" s="42">
        <f t="shared" si="7"/>
        <v>421</v>
      </c>
      <c r="C427" s="31" t="s">
        <v>613</v>
      </c>
      <c r="D427" s="34" t="str">
        <f t="array" ref="D427">IFNA(_xlfn.XLOOKUP(C427,Table_Tarikan_Warkah[Nomor Sertipikat],Table_Tarikan_Warkah[Nomor Tiket]),"")</f>
        <v>K/19/061224/1</v>
      </c>
      <c r="E427" s="36" t="str">
        <f t="array" ref="E427">IFNA(_xlfn.XLOOKUP(D427,Table_Tarikan_Warkah[Nomor Tiket],Table_Tarikan_Warkah[Tanggal diserahkan kepada Validator]),"")</f>
        <v>09/12/2024 16.12</v>
      </c>
      <c r="F427" s="36" t="str">
        <f t="array" ref="F427">IFNA(_xlfn.XLOOKUP(D427,Table_Tarikan_Warkah[Nomor Tiket],Table_Tarikan_Warkah[Nama Petugas Warkah]),"")</f>
        <v>Berry</v>
      </c>
      <c r="G427" s="39" t="str">
        <f t="array" ref="G427">IFNA(_xlfn.XLOOKUP(D427,Table_Tarikan_Warkah[Nomor Tiket],Table_Tarikan_Warkah[Jenis Permohonan]),"")</f>
        <v>BN Jual Beli</v>
      </c>
      <c r="H427" s="41" t="s">
        <v>20</v>
      </c>
      <c r="I427" s="41" t="s">
        <v>12</v>
      </c>
      <c r="J427" s="36">
        <f t="shared" si="17"/>
        <v>45635.70127</v>
      </c>
      <c r="K427" s="49" t="s">
        <v>197</v>
      </c>
      <c r="L427" s="49" t="s">
        <v>12</v>
      </c>
      <c r="M427" s="36">
        <f t="shared" si="18"/>
        <v>45636.70676</v>
      </c>
      <c r="N427" s="30" t="str">
        <f t="shared" si="3"/>
        <v>SELESAI</v>
      </c>
      <c r="O427" s="45">
        <f t="shared" si="12"/>
        <v>45636.70676</v>
      </c>
      <c r="P427" s="47" t="b">
        <v>0</v>
      </c>
      <c r="Q427" s="36" t="str">
        <f t="shared" si="19"/>
        <v/>
      </c>
      <c r="R427" s="47" t="b">
        <v>1</v>
      </c>
      <c r="S427" s="36">
        <f t="shared" si="6"/>
        <v>45637.43655</v>
      </c>
      <c r="T427" s="42"/>
    </row>
    <row r="428" ht="22.5" customHeight="1">
      <c r="B428" s="42">
        <f t="shared" si="7"/>
        <v>422</v>
      </c>
      <c r="C428" s="31" t="s">
        <v>614</v>
      </c>
      <c r="D428" s="34" t="str">
        <f t="array" ref="D428">IFNA(_xlfn.XLOOKUP(C428,Table_Tarikan_Warkah[Nomor Sertipikat],Table_Tarikan_Warkah[Nomor Tiket]),"")</f>
        <v>K/23/061224/2</v>
      </c>
      <c r="E428" s="36" t="str">
        <f t="array" ref="E428">IFNA(_xlfn.XLOOKUP(D428,Table_Tarikan_Warkah[Nomor Tiket],Table_Tarikan_Warkah[Tanggal diserahkan kepada Validator]),"")</f>
        <v>09/12/2024 16.12</v>
      </c>
      <c r="F428" s="36" t="str">
        <f t="array" ref="F428">IFNA(_xlfn.XLOOKUP(D428,Table_Tarikan_Warkah[Nomor Tiket],Table_Tarikan_Warkah[Nama Petugas Warkah]),"")</f>
        <v>Berry</v>
      </c>
      <c r="G428" s="39" t="str">
        <f t="array" ref="G428">IFNA(_xlfn.XLOOKUP(D428,Table_Tarikan_Warkah[Nomor Tiket],Table_Tarikan_Warkah[Jenis Permohonan]),"")</f>
        <v>BN Jual Beli</v>
      </c>
      <c r="H428" s="41" t="s">
        <v>20</v>
      </c>
      <c r="I428" s="41" t="s">
        <v>12</v>
      </c>
      <c r="J428" s="36">
        <f t="shared" si="17"/>
        <v>45635.70136</v>
      </c>
      <c r="K428" s="49" t="s">
        <v>197</v>
      </c>
      <c r="L428" s="49" t="s">
        <v>12</v>
      </c>
      <c r="M428" s="36">
        <f t="shared" si="18"/>
        <v>45636.70676</v>
      </c>
      <c r="N428" s="30" t="str">
        <f t="shared" si="3"/>
        <v>SELESAI</v>
      </c>
      <c r="O428" s="45">
        <f t="shared" si="12"/>
        <v>45636.70676</v>
      </c>
      <c r="P428" s="47" t="b">
        <v>0</v>
      </c>
      <c r="Q428" s="36" t="str">
        <f t="shared" si="19"/>
        <v/>
      </c>
      <c r="R428" s="47" t="b">
        <v>1</v>
      </c>
      <c r="S428" s="36">
        <f t="shared" si="6"/>
        <v>45637.437</v>
      </c>
      <c r="T428" s="42"/>
    </row>
    <row r="429" ht="22.5" customHeight="1">
      <c r="B429" s="42">
        <f t="shared" si="7"/>
        <v>423</v>
      </c>
      <c r="C429" s="31" t="s">
        <v>615</v>
      </c>
      <c r="D429" s="34" t="str">
        <f t="array" ref="D429">IFNA(_xlfn.XLOOKUP(C429,Table_Tarikan_Warkah[Nomor Sertipikat],Table_Tarikan_Warkah[Nomor Tiket]),"")</f>
        <v>K/25/061224/1</v>
      </c>
      <c r="E429" s="36" t="str">
        <f t="array" ref="E429">IFNA(_xlfn.XLOOKUP(D429,Table_Tarikan_Warkah[Nomor Tiket],Table_Tarikan_Warkah[Tanggal diserahkan kepada Validator]),"")</f>
        <v>09/12/2024 16.13</v>
      </c>
      <c r="F429" s="36" t="str">
        <f t="array" ref="F429">IFNA(_xlfn.XLOOKUP(D429,Table_Tarikan_Warkah[Nomor Tiket],Table_Tarikan_Warkah[Nama Petugas Warkah]),"")</f>
        <v>Berry</v>
      </c>
      <c r="G429" s="39" t="str">
        <f t="array" ref="G429">IFNA(_xlfn.XLOOKUP(D429,Table_Tarikan_Warkah[Nomor Tiket],Table_Tarikan_Warkah[Jenis Permohonan]),"")</f>
        <v>BN Waris</v>
      </c>
      <c r="H429" s="41" t="s">
        <v>20</v>
      </c>
      <c r="I429" s="41" t="s">
        <v>12</v>
      </c>
      <c r="J429" s="36">
        <f t="shared" si="17"/>
        <v>45635.70145</v>
      </c>
      <c r="K429" s="49" t="s">
        <v>197</v>
      </c>
      <c r="L429" s="49" t="s">
        <v>12</v>
      </c>
      <c r="M429" s="36">
        <f t="shared" si="18"/>
        <v>45636.70676</v>
      </c>
      <c r="N429" s="30" t="str">
        <f t="shared" si="3"/>
        <v>SELESAI</v>
      </c>
      <c r="O429" s="45">
        <f t="shared" si="12"/>
        <v>45636.70676</v>
      </c>
      <c r="P429" s="47" t="b">
        <v>0</v>
      </c>
      <c r="Q429" s="36" t="str">
        <f t="shared" si="19"/>
        <v/>
      </c>
      <c r="R429" s="47" t="b">
        <v>1</v>
      </c>
      <c r="S429" s="36">
        <f t="shared" si="6"/>
        <v>45637.43629</v>
      </c>
      <c r="T429" s="42"/>
    </row>
    <row r="430" ht="22.5" customHeight="1">
      <c r="B430" s="42">
        <f t="shared" si="7"/>
        <v>424</v>
      </c>
      <c r="C430" s="31" t="s">
        <v>616</v>
      </c>
      <c r="D430" s="34" t="str">
        <f t="array" ref="D430">IFNA(_xlfn.XLOOKUP(C430,Table_Tarikan_Warkah[Nomor Sertipikat],Table_Tarikan_Warkah[Nomor Tiket]),"")</f>
        <v>K/27/061224/2</v>
      </c>
      <c r="E430" s="36" t="str">
        <f t="array" ref="E430">IFNA(_xlfn.XLOOKUP(D430,Table_Tarikan_Warkah[Nomor Tiket],Table_Tarikan_Warkah[Tanggal diserahkan kepada Validator]),"")</f>
        <v>09/12/2024 16.14</v>
      </c>
      <c r="F430" s="36" t="str">
        <f t="array" ref="F430">IFNA(_xlfn.XLOOKUP(D430,Table_Tarikan_Warkah[Nomor Tiket],Table_Tarikan_Warkah[Nama Petugas Warkah]),"")</f>
        <v>Berry</v>
      </c>
      <c r="G430" s="39" t="str">
        <f t="array" ref="G430">IFNA(_xlfn.XLOOKUP(D430,Table_Tarikan_Warkah[Nomor Tiket],Table_Tarikan_Warkah[Jenis Permohonan]),"")</f>
        <v>BN Waris</v>
      </c>
      <c r="H430" s="41" t="s">
        <v>20</v>
      </c>
      <c r="I430" s="41" t="s">
        <v>12</v>
      </c>
      <c r="J430" s="36">
        <f t="shared" si="17"/>
        <v>45635.70153</v>
      </c>
      <c r="K430" s="49" t="s">
        <v>197</v>
      </c>
      <c r="L430" s="49" t="s">
        <v>12</v>
      </c>
      <c r="M430" s="36">
        <f t="shared" si="18"/>
        <v>45636.70676</v>
      </c>
      <c r="N430" s="30" t="str">
        <f t="shared" si="3"/>
        <v>SELESAI</v>
      </c>
      <c r="O430" s="45">
        <f t="shared" si="12"/>
        <v>45636.70676</v>
      </c>
      <c r="P430" s="47" t="b">
        <v>0</v>
      </c>
      <c r="Q430" s="36" t="str">
        <f t="shared" si="19"/>
        <v/>
      </c>
      <c r="R430" s="47" t="b">
        <v>1</v>
      </c>
      <c r="S430" s="36">
        <f t="shared" si="6"/>
        <v>45637.43695</v>
      </c>
      <c r="T430" s="42"/>
    </row>
    <row r="431" ht="22.5" customHeight="1">
      <c r="B431" s="42">
        <f t="shared" si="7"/>
        <v>425</v>
      </c>
      <c r="C431" s="31" t="s">
        <v>617</v>
      </c>
      <c r="D431" s="34" t="str">
        <f t="array" ref="D431">IFNA(_xlfn.XLOOKUP(C431,Table_Tarikan_Warkah[Nomor Sertipikat],Table_Tarikan_Warkah[Nomor Tiket]),"")</f>
        <v>K/8/091224/1</v>
      </c>
      <c r="E431" s="36" t="str">
        <f t="array" ref="E431">IFNA(_xlfn.XLOOKUP(D431,Table_Tarikan_Warkah[Nomor Tiket],Table_Tarikan_Warkah[Tanggal diserahkan kepada Validator]),"")</f>
        <v>09/12/2024 16.18</v>
      </c>
      <c r="F431" s="36" t="str">
        <f t="array" ref="F431">IFNA(_xlfn.XLOOKUP(D431,Table_Tarikan_Warkah[Nomor Tiket],Table_Tarikan_Warkah[Nama Petugas Warkah]),"")</f>
        <v>David</v>
      </c>
      <c r="G431" s="39" t="str">
        <f t="array" ref="G431">IFNA(_xlfn.XLOOKUP(D431,Table_Tarikan_Warkah[Nomor Tiket],Table_Tarikan_Warkah[Jenis Permohonan]),"")</f>
        <v>BN JUAL BELI</v>
      </c>
      <c r="H431" s="41" t="s">
        <v>11</v>
      </c>
      <c r="I431" s="41" t="s">
        <v>12</v>
      </c>
      <c r="J431" s="36">
        <f t="shared" si="17"/>
        <v>45636.62239</v>
      </c>
      <c r="K431" s="49" t="s">
        <v>197</v>
      </c>
      <c r="L431" s="49" t="s">
        <v>12</v>
      </c>
      <c r="M431" s="36">
        <f t="shared" si="18"/>
        <v>45636.70676</v>
      </c>
      <c r="N431" s="30" t="str">
        <f t="shared" si="3"/>
        <v>SELESAI</v>
      </c>
      <c r="O431" s="45">
        <f t="shared" si="12"/>
        <v>45636.70676</v>
      </c>
      <c r="P431" s="47" t="b">
        <v>0</v>
      </c>
      <c r="Q431" s="36" t="str">
        <f t="shared" si="19"/>
        <v/>
      </c>
      <c r="R431" s="47" t="b">
        <v>1</v>
      </c>
      <c r="S431" s="36">
        <f t="shared" si="6"/>
        <v>45637.40957</v>
      </c>
      <c r="T431" s="42"/>
    </row>
    <row r="432" ht="22.5" customHeight="1">
      <c r="B432" s="42">
        <f t="shared" si="7"/>
        <v>426</v>
      </c>
      <c r="C432" s="31" t="s">
        <v>618</v>
      </c>
      <c r="D432" s="34" t="str">
        <f t="array" ref="D432">IFNA(_xlfn.XLOOKUP(C432,Table_Tarikan_Warkah[Nomor Sertipikat],Table_Tarikan_Warkah[Nomor Tiket]),"")</f>
        <v>K/39/061224/1</v>
      </c>
      <c r="E432" s="36" t="str">
        <f t="array" ref="E432">IFNA(_xlfn.XLOOKUP(D432,Table_Tarikan_Warkah[Nomor Tiket],Table_Tarikan_Warkah[Tanggal diserahkan kepada Validator]),"")</f>
        <v>09/12/2024 16.16</v>
      </c>
      <c r="F432" s="36" t="str">
        <f t="array" ref="F432">IFNA(_xlfn.XLOOKUP(D432,Table_Tarikan_Warkah[Nomor Tiket],Table_Tarikan_Warkah[Nama Petugas Warkah]),"")</f>
        <v>David</v>
      </c>
      <c r="G432" s="39" t="str">
        <f t="array" ref="G432">IFNA(_xlfn.XLOOKUP(D432,Table_Tarikan_Warkah[Nomor Tiket],Table_Tarikan_Warkah[Jenis Permohonan]),"")</f>
        <v>BN JUAL BELI</v>
      </c>
      <c r="H432" s="41" t="s">
        <v>11</v>
      </c>
      <c r="I432" s="41" t="s">
        <v>12</v>
      </c>
      <c r="J432" s="36">
        <f t="shared" si="17"/>
        <v>45636.62243</v>
      </c>
      <c r="K432" s="49" t="s">
        <v>197</v>
      </c>
      <c r="L432" s="49" t="s">
        <v>12</v>
      </c>
      <c r="M432" s="36">
        <f t="shared" si="18"/>
        <v>45636.70676</v>
      </c>
      <c r="N432" s="30" t="str">
        <f t="shared" si="3"/>
        <v>SELESAI</v>
      </c>
      <c r="O432" s="45">
        <f t="shared" si="12"/>
        <v>45636.70676</v>
      </c>
      <c r="P432" s="47" t="b">
        <v>0</v>
      </c>
      <c r="Q432" s="36" t="str">
        <f t="shared" si="19"/>
        <v/>
      </c>
      <c r="R432" s="47" t="b">
        <v>1</v>
      </c>
      <c r="S432" s="36">
        <f t="shared" si="6"/>
        <v>45637.40979</v>
      </c>
      <c r="T432" s="42"/>
    </row>
    <row r="433" ht="22.5" customHeight="1">
      <c r="B433" s="42">
        <f t="shared" si="7"/>
        <v>427</v>
      </c>
      <c r="C433" s="31" t="s">
        <v>619</v>
      </c>
      <c r="D433" s="34" t="str">
        <f t="array" ref="D433">IFNA(_xlfn.XLOOKUP(C433,Table_Tarikan_Warkah[Nomor Sertipikat],Table_Tarikan_Warkah[Nomor Tiket]),"")</f>
        <v>K/40/061224/2</v>
      </c>
      <c r="E433" s="36" t="str">
        <f t="array" ref="E433">IFNA(_xlfn.XLOOKUP(D433,Table_Tarikan_Warkah[Nomor Tiket],Table_Tarikan_Warkah[Tanggal diserahkan kepada Validator]),"")</f>
        <v>09/12/2024 16.16</v>
      </c>
      <c r="F433" s="36" t="str">
        <f t="array" ref="F433">IFNA(_xlfn.XLOOKUP(D433,Table_Tarikan_Warkah[Nomor Tiket],Table_Tarikan_Warkah[Nama Petugas Warkah]),"")</f>
        <v>David</v>
      </c>
      <c r="G433" s="39" t="str">
        <f t="array" ref="G433">IFNA(_xlfn.XLOOKUP(D433,Table_Tarikan_Warkah[Nomor Tiket],Table_Tarikan_Warkah[Jenis Permohonan]),"")</f>
        <v>BN JUAL BELI</v>
      </c>
      <c r="H433" s="41" t="s">
        <v>11</v>
      </c>
      <c r="I433" s="41" t="s">
        <v>12</v>
      </c>
      <c r="J433" s="36">
        <f t="shared" si="17"/>
        <v>45636.62243</v>
      </c>
      <c r="K433" s="49" t="s">
        <v>197</v>
      </c>
      <c r="L433" s="49" t="s">
        <v>12</v>
      </c>
      <c r="M433" s="36">
        <f t="shared" si="18"/>
        <v>45636.70676</v>
      </c>
      <c r="N433" s="30" t="str">
        <f t="shared" si="3"/>
        <v>SELESAI</v>
      </c>
      <c r="O433" s="45">
        <f t="shared" si="12"/>
        <v>45636.70676</v>
      </c>
      <c r="P433" s="47" t="b">
        <v>0</v>
      </c>
      <c r="Q433" s="36" t="str">
        <f t="shared" si="19"/>
        <v/>
      </c>
      <c r="R433" s="47" t="b">
        <v>1</v>
      </c>
      <c r="S433" s="36">
        <f t="shared" si="6"/>
        <v>45637.40988</v>
      </c>
      <c r="T433" s="42"/>
    </row>
    <row r="434" ht="22.5" customHeight="1">
      <c r="B434" s="42">
        <f t="shared" si="7"/>
        <v>428</v>
      </c>
      <c r="C434" s="31" t="s">
        <v>620</v>
      </c>
      <c r="D434" s="34" t="str">
        <f t="array" ref="D434">IFNA(_xlfn.XLOOKUP(C434,Table_Tarikan_Warkah[Nomor Sertipikat],Table_Tarikan_Warkah[Nomor Tiket]),"")</f>
        <v>K/35/061224/2</v>
      </c>
      <c r="E434" s="36" t="str">
        <f t="array" ref="E434">IFNA(_xlfn.XLOOKUP(D434,Table_Tarikan_Warkah[Nomor Tiket],Table_Tarikan_Warkah[Tanggal diserahkan kepada Validator]),"")</f>
        <v>09/12/2024 16.15</v>
      </c>
      <c r="F434" s="36" t="str">
        <f t="array" ref="F434">IFNA(_xlfn.XLOOKUP(D434,Table_Tarikan_Warkah[Nomor Tiket],Table_Tarikan_Warkah[Nama Petugas Warkah]),"")</f>
        <v>David</v>
      </c>
      <c r="G434" s="39" t="str">
        <f t="array" ref="G434">IFNA(_xlfn.XLOOKUP(D434,Table_Tarikan_Warkah[Nomor Tiket],Table_Tarikan_Warkah[Jenis Permohonan]),"")</f>
        <v>BN Jual Beli</v>
      </c>
      <c r="H434" s="41" t="s">
        <v>11</v>
      </c>
      <c r="I434" s="41" t="s">
        <v>12</v>
      </c>
      <c r="J434" s="36">
        <f t="shared" si="17"/>
        <v>45636.62243</v>
      </c>
      <c r="K434" s="49" t="s">
        <v>197</v>
      </c>
      <c r="L434" s="49" t="s">
        <v>12</v>
      </c>
      <c r="M434" s="36">
        <f t="shared" si="18"/>
        <v>45636.70676</v>
      </c>
      <c r="N434" s="30" t="str">
        <f t="shared" si="3"/>
        <v>SELESAI</v>
      </c>
      <c r="O434" s="45">
        <f t="shared" si="12"/>
        <v>45636.70676</v>
      </c>
      <c r="P434" s="47" t="b">
        <v>0</v>
      </c>
      <c r="Q434" s="36" t="str">
        <f t="shared" si="19"/>
        <v/>
      </c>
      <c r="R434" s="47" t="b">
        <v>1</v>
      </c>
      <c r="S434" s="36">
        <f t="shared" si="6"/>
        <v>45637.4092</v>
      </c>
      <c r="T434" s="42"/>
    </row>
    <row r="435" ht="22.5" customHeight="1">
      <c r="B435" s="42">
        <f t="shared" si="7"/>
        <v>429</v>
      </c>
      <c r="C435" s="31" t="s">
        <v>621</v>
      </c>
      <c r="D435" s="34" t="str">
        <f t="array" ref="D435">IFNA(_xlfn.XLOOKUP(C435,Table_Tarikan_Warkah[Nomor Sertipikat],Table_Tarikan_Warkah[Nomor Tiket]),"")</f>
        <v>K/32/061224/2</v>
      </c>
      <c r="E435" s="36" t="str">
        <f t="array" ref="E435">IFNA(_xlfn.XLOOKUP(D435,Table_Tarikan_Warkah[Nomor Tiket],Table_Tarikan_Warkah[Tanggal diserahkan kepada Validator]),"")</f>
        <v>09/12/2024 16.14</v>
      </c>
      <c r="F435" s="36" t="str">
        <f t="array" ref="F435">IFNA(_xlfn.XLOOKUP(D435,Table_Tarikan_Warkah[Nomor Tiket],Table_Tarikan_Warkah[Nama Petugas Warkah]),"")</f>
        <v>David</v>
      </c>
      <c r="G435" s="39" t="str">
        <f t="array" ref="G435">IFNA(_xlfn.XLOOKUP(D435,Table_Tarikan_Warkah[Nomor Tiket],Table_Tarikan_Warkah[Jenis Permohonan]),"")</f>
        <v>BN JUAL BELI</v>
      </c>
      <c r="H435" s="41" t="s">
        <v>11</v>
      </c>
      <c r="I435" s="41" t="s">
        <v>12</v>
      </c>
      <c r="J435" s="36">
        <f t="shared" si="17"/>
        <v>45636.62243</v>
      </c>
      <c r="K435" s="49" t="s">
        <v>197</v>
      </c>
      <c r="L435" s="49" t="s">
        <v>12</v>
      </c>
      <c r="M435" s="36">
        <f t="shared" si="18"/>
        <v>45636.70676</v>
      </c>
      <c r="N435" s="30" t="str">
        <f t="shared" si="3"/>
        <v>SELESAI</v>
      </c>
      <c r="O435" s="45">
        <f t="shared" si="12"/>
        <v>45636.70676</v>
      </c>
      <c r="P435" s="47" t="b">
        <v>0</v>
      </c>
      <c r="Q435" s="36" t="str">
        <f t="shared" si="19"/>
        <v/>
      </c>
      <c r="R435" s="47" t="b">
        <v>1</v>
      </c>
      <c r="S435" s="36">
        <f t="shared" si="6"/>
        <v>45637.41002</v>
      </c>
      <c r="T435" s="42"/>
    </row>
    <row r="436" ht="22.5" customHeight="1">
      <c r="B436" s="42">
        <f t="shared" si="7"/>
        <v>430</v>
      </c>
      <c r="C436" s="31" t="s">
        <v>622</v>
      </c>
      <c r="D436" s="34" t="str">
        <f t="array" ref="D436">IFNA(_xlfn.XLOOKUP(C436,Table_Tarikan_Warkah[Nomor Sertipikat],Table_Tarikan_Warkah[Nomor Tiket]),"")</f>
        <v>K/43/251124/1</v>
      </c>
      <c r="E436" s="36" t="str">
        <f t="array" ref="E436">IFNA(_xlfn.XLOOKUP(D436,Table_Tarikan_Warkah[Nomor Tiket],Table_Tarikan_Warkah[Tanggal diserahkan kepada Validator]),"")</f>
        <v/>
      </c>
      <c r="F436" s="36" t="str">
        <f t="array" ref="F436">IFNA(_xlfn.XLOOKUP(D436,Table_Tarikan_Warkah[Nomor Tiket],Table_Tarikan_Warkah[Nama Petugas Warkah]),"")</f>
        <v>Berry</v>
      </c>
      <c r="G436" s="39" t="str">
        <f t="array" ref="G436">IFNA(_xlfn.XLOOKUP(D436,Table_Tarikan_Warkah[Nomor Tiket],Table_Tarikan_Warkah[Jenis Permohonan]),"")</f>
        <v>BN JUAL BELI</v>
      </c>
      <c r="H436" s="41" t="s">
        <v>11</v>
      </c>
      <c r="I436" s="41" t="s">
        <v>23</v>
      </c>
      <c r="J436" s="36">
        <f t="shared" si="17"/>
        <v>45636.62251</v>
      </c>
      <c r="K436" s="49" t="s">
        <v>26</v>
      </c>
      <c r="L436" s="49" t="s">
        <v>23</v>
      </c>
      <c r="M436" s="36">
        <f t="shared" si="18"/>
        <v>45636.70676</v>
      </c>
      <c r="N436" s="30" t="str">
        <f t="shared" si="3"/>
        <v>Selesai</v>
      </c>
      <c r="O436" s="45">
        <f t="shared" si="12"/>
        <v>45636.70676</v>
      </c>
      <c r="P436" s="47" t="b">
        <v>1</v>
      </c>
      <c r="Q436" s="36">
        <f t="shared" si="19"/>
        <v>45636.70676</v>
      </c>
      <c r="R436" s="47" t="b">
        <v>0</v>
      </c>
      <c r="S436" s="42" t="str">
        <f t="shared" si="6"/>
        <v/>
      </c>
      <c r="T436" s="42"/>
    </row>
    <row r="437" ht="22.5" customHeight="1">
      <c r="B437" s="42">
        <f t="shared" si="7"/>
        <v>431</v>
      </c>
      <c r="C437" s="31" t="s">
        <v>623</v>
      </c>
      <c r="D437" s="34" t="str">
        <f t="array" ref="D437">IFNA(_xlfn.XLOOKUP(C437,Table_Tarikan_Warkah[Nomor Sertipikat],Table_Tarikan_Warkah[Nomor Tiket]),"")</f>
        <v>K/49/031224/1</v>
      </c>
      <c r="E437" s="36" t="str">
        <f t="array" ref="E437">IFNA(_xlfn.XLOOKUP(D437,Table_Tarikan_Warkah[Nomor Tiket],Table_Tarikan_Warkah[Tanggal diserahkan kepada Validator]),"")</f>
        <v/>
      </c>
      <c r="F437" s="36" t="str">
        <f t="array" ref="F437">IFNA(_xlfn.XLOOKUP(D437,Table_Tarikan_Warkah[Nomor Tiket],Table_Tarikan_Warkah[Nama Petugas Warkah]),"")</f>
        <v>Berry</v>
      </c>
      <c r="G437" s="39" t="str">
        <f t="array" ref="G437">IFNA(_xlfn.XLOOKUP(D437,Table_Tarikan_Warkah[Nomor Tiket],Table_Tarikan_Warkah[Jenis Permohonan]),"")</f>
        <v>BN JUAL BELI</v>
      </c>
      <c r="H437" s="41" t="s">
        <v>11</v>
      </c>
      <c r="I437" s="41" t="s">
        <v>23</v>
      </c>
      <c r="J437" s="36">
        <f t="shared" si="17"/>
        <v>45636.62255</v>
      </c>
      <c r="K437" s="49" t="s">
        <v>26</v>
      </c>
      <c r="L437" s="49" t="s">
        <v>23</v>
      </c>
      <c r="M437" s="36">
        <f t="shared" si="18"/>
        <v>45636.70676</v>
      </c>
      <c r="N437" s="30" t="str">
        <f t="shared" si="3"/>
        <v>Selesai</v>
      </c>
      <c r="O437" s="45">
        <f t="shared" si="12"/>
        <v>45636.70676</v>
      </c>
      <c r="P437" s="47" t="b">
        <v>1</v>
      </c>
      <c r="Q437" s="36">
        <f t="shared" si="19"/>
        <v>45636.70676</v>
      </c>
      <c r="R437" s="47" t="b">
        <v>0</v>
      </c>
      <c r="S437" s="42" t="str">
        <f t="shared" si="6"/>
        <v/>
      </c>
      <c r="T437" s="42"/>
    </row>
    <row r="438" ht="22.5" customHeight="1">
      <c r="B438" s="42">
        <f t="shared" si="7"/>
        <v>432</v>
      </c>
      <c r="C438" s="31" t="s">
        <v>624</v>
      </c>
      <c r="D438" s="34" t="str">
        <f t="array" ref="D438">IFNA(_xlfn.XLOOKUP(C438,Table_Tarikan_Warkah[Nomor Sertipikat],Table_Tarikan_Warkah[Nomor Tiket]),"")</f>
        <v>K/31/061224/1</v>
      </c>
      <c r="E438" s="36" t="str">
        <f t="array" ref="E438">IFNA(_xlfn.XLOOKUP(D438,Table_Tarikan_Warkah[Nomor Tiket],Table_Tarikan_Warkah[Tanggal diserahkan kepada Validator]),"")</f>
        <v/>
      </c>
      <c r="F438" s="36" t="str">
        <f t="array" ref="F438">IFNA(_xlfn.XLOOKUP(D438,Table_Tarikan_Warkah[Nomor Tiket],Table_Tarikan_Warkah[Nama Petugas Warkah]),"")</f>
        <v>David</v>
      </c>
      <c r="G438" s="39" t="str">
        <f t="array" ref="G438">IFNA(_xlfn.XLOOKUP(D438,Table_Tarikan_Warkah[Nomor Tiket],Table_Tarikan_Warkah[Jenis Permohonan]),"")</f>
        <v>BN JUAL BELI</v>
      </c>
      <c r="H438" s="41" t="s">
        <v>11</v>
      </c>
      <c r="I438" s="41" t="s">
        <v>23</v>
      </c>
      <c r="J438" s="36">
        <f t="shared" si="17"/>
        <v>45636.62255</v>
      </c>
      <c r="K438" s="49" t="s">
        <v>26</v>
      </c>
      <c r="L438" s="49" t="s">
        <v>23</v>
      </c>
      <c r="M438" s="36">
        <f t="shared" si="18"/>
        <v>45636.70676</v>
      </c>
      <c r="N438" s="30" t="str">
        <f t="shared" si="3"/>
        <v>Selesai</v>
      </c>
      <c r="O438" s="45">
        <f t="shared" si="12"/>
        <v>45636.70676</v>
      </c>
      <c r="P438" s="47" t="b">
        <v>1</v>
      </c>
      <c r="Q438" s="36">
        <f t="shared" si="19"/>
        <v>45636.70676</v>
      </c>
      <c r="R438" s="47" t="b">
        <v>0</v>
      </c>
      <c r="S438" s="42" t="str">
        <f t="shared" si="6"/>
        <v/>
      </c>
      <c r="T438" s="42"/>
    </row>
    <row r="439" ht="22.5" customHeight="1">
      <c r="B439" s="42">
        <f t="shared" si="7"/>
        <v>433</v>
      </c>
      <c r="C439" s="31" t="s">
        <v>625</v>
      </c>
      <c r="D439" s="34" t="str">
        <f t="array" ref="D439">IFNA(_xlfn.XLOOKUP(C439,Table_Tarikan_Warkah[Nomor Sertipikat],Table_Tarikan_Warkah[Nomor Tiket]),"")</f>
        <v>K/6/291124/1</v>
      </c>
      <c r="E439" s="36" t="str">
        <f t="array" ref="E439">IFNA(_xlfn.XLOOKUP(D439,Table_Tarikan_Warkah[Nomor Tiket],Table_Tarikan_Warkah[Tanggal diserahkan kepada Validator]),"")</f>
        <v>02/12/2024 15.01</v>
      </c>
      <c r="F439" s="36" t="str">
        <f t="array" ref="F439">IFNA(_xlfn.XLOOKUP(D439,Table_Tarikan_Warkah[Nomor Tiket],Table_Tarikan_Warkah[Nama Petugas Warkah]),"")</f>
        <v>Berry</v>
      </c>
      <c r="G439" s="39" t="str">
        <f t="array" ref="G439">IFNA(_xlfn.XLOOKUP(D439,Table_Tarikan_Warkah[Nomor Tiket],Table_Tarikan_Warkah[Jenis Permohonan]),"")</f>
        <v>ROYA</v>
      </c>
      <c r="H439" s="41" t="s">
        <v>20</v>
      </c>
      <c r="I439" s="41" t="s">
        <v>23</v>
      </c>
      <c r="J439" s="36">
        <f t="shared" si="17"/>
        <v>45636.61062</v>
      </c>
      <c r="K439" s="49" t="s">
        <v>26</v>
      </c>
      <c r="L439" s="49" t="s">
        <v>23</v>
      </c>
      <c r="M439" s="36">
        <f t="shared" si="18"/>
        <v>45636.70676</v>
      </c>
      <c r="N439" s="30" t="str">
        <f t="shared" si="3"/>
        <v>Selesai</v>
      </c>
      <c r="O439" s="45">
        <f t="shared" si="12"/>
        <v>45636.70676</v>
      </c>
      <c r="P439" s="47" t="b">
        <v>1</v>
      </c>
      <c r="Q439" s="36">
        <f t="shared" si="19"/>
        <v>45636.70676</v>
      </c>
      <c r="R439" s="47" t="b">
        <v>0</v>
      </c>
      <c r="S439" s="42" t="str">
        <f t="shared" si="6"/>
        <v/>
      </c>
      <c r="T439" s="42"/>
    </row>
    <row r="440" ht="22.5" customHeight="1">
      <c r="B440" s="42">
        <f t="shared" si="7"/>
        <v>434</v>
      </c>
      <c r="C440" s="31" t="s">
        <v>626</v>
      </c>
      <c r="D440" s="34" t="str">
        <f t="array" ref="D440">IFNA(_xlfn.XLOOKUP(C440,Table_Tarikan_Warkah[Nomor Sertipikat],Table_Tarikan_Warkah[Nomor Tiket]),"")</f>
        <v>K/42/041224/1</v>
      </c>
      <c r="E440" s="36" t="str">
        <f t="array" ref="E440">IFNA(_xlfn.XLOOKUP(D440,Table_Tarikan_Warkah[Nomor Tiket],Table_Tarikan_Warkah[Tanggal diserahkan kepada Validator]),"")</f>
        <v/>
      </c>
      <c r="F440" s="36" t="str">
        <f t="array" ref="F440">IFNA(_xlfn.XLOOKUP(D440,Table_Tarikan_Warkah[Nomor Tiket],Table_Tarikan_Warkah[Nama Petugas Warkah]),"")</f>
        <v>Berry</v>
      </c>
      <c r="G440" s="39" t="str">
        <f t="array" ref="G440">IFNA(_xlfn.XLOOKUP(D440,Table_Tarikan_Warkah[Nomor Tiket],Table_Tarikan_Warkah[Jenis Permohonan]),"")</f>
        <v>BN JUAL BELI</v>
      </c>
      <c r="H440" s="41" t="s">
        <v>20</v>
      </c>
      <c r="I440" s="41" t="s">
        <v>23</v>
      </c>
      <c r="J440" s="36">
        <f t="shared" si="17"/>
        <v>45636.61079</v>
      </c>
      <c r="K440" s="49" t="s">
        <v>26</v>
      </c>
      <c r="L440" s="49" t="s">
        <v>23</v>
      </c>
      <c r="M440" s="36">
        <f t="shared" si="18"/>
        <v>45636.70676</v>
      </c>
      <c r="N440" s="30" t="str">
        <f t="shared" si="3"/>
        <v>Selesai</v>
      </c>
      <c r="O440" s="45">
        <f t="shared" si="12"/>
        <v>45636.70676</v>
      </c>
      <c r="P440" s="47" t="b">
        <v>1</v>
      </c>
      <c r="Q440" s="36">
        <f t="shared" si="19"/>
        <v>45636.70676</v>
      </c>
      <c r="R440" s="47" t="b">
        <v>0</v>
      </c>
      <c r="S440" s="42" t="str">
        <f t="shared" si="6"/>
        <v/>
      </c>
      <c r="T440" s="42"/>
    </row>
    <row r="441" ht="22.5" customHeight="1">
      <c r="B441" s="42">
        <f t="shared" si="7"/>
        <v>435</v>
      </c>
      <c r="C441" s="31" t="s">
        <v>627</v>
      </c>
      <c r="D441" s="34" t="str">
        <f t="array" ref="D441">IFNA(_xlfn.XLOOKUP(C441,Table_Tarikan_Warkah[Nomor Sertipikat],Table_Tarikan_Warkah[Nomor Tiket]),"")</f>
        <v>K/13/061224/1</v>
      </c>
      <c r="E441" s="36" t="str">
        <f t="array" ref="E441">IFNA(_xlfn.XLOOKUP(D441,Table_Tarikan_Warkah[Nomor Tiket],Table_Tarikan_Warkah[Tanggal diserahkan kepada Validator]),"")</f>
        <v>09/12/2024 16.11</v>
      </c>
      <c r="F441" s="36" t="str">
        <f t="array" ref="F441">IFNA(_xlfn.XLOOKUP(D441,Table_Tarikan_Warkah[Nomor Tiket],Table_Tarikan_Warkah[Nama Petugas Warkah]),"")</f>
        <v>Berry</v>
      </c>
      <c r="G441" s="39" t="str">
        <f t="array" ref="G441">IFNA(_xlfn.XLOOKUP(D441,Table_Tarikan_Warkah[Nomor Tiket],Table_Tarikan_Warkah[Jenis Permohonan]),"")</f>
        <v>Roya</v>
      </c>
      <c r="H441" s="41" t="s">
        <v>20</v>
      </c>
      <c r="I441" s="41" t="s">
        <v>12</v>
      </c>
      <c r="J441" s="36">
        <f t="shared" si="17"/>
        <v>45636.61116</v>
      </c>
      <c r="K441" s="49" t="s">
        <v>197</v>
      </c>
      <c r="L441" s="49" t="s">
        <v>12</v>
      </c>
      <c r="M441" s="36">
        <f t="shared" si="18"/>
        <v>45636.70676</v>
      </c>
      <c r="N441" s="30" t="str">
        <f t="shared" si="3"/>
        <v>SELESAI</v>
      </c>
      <c r="O441" s="45">
        <f t="shared" si="12"/>
        <v>45636.70676</v>
      </c>
      <c r="P441" s="47" t="b">
        <v>0</v>
      </c>
      <c r="Q441" s="36" t="str">
        <f t="shared" si="19"/>
        <v/>
      </c>
      <c r="R441" s="47" t="b">
        <v>0</v>
      </c>
      <c r="S441" s="42" t="str">
        <f t="shared" si="6"/>
        <v/>
      </c>
      <c r="T441" s="42"/>
    </row>
    <row r="442" ht="22.5" customHeight="1">
      <c r="B442" s="42">
        <f t="shared" si="7"/>
        <v>436</v>
      </c>
      <c r="C442" s="31" t="s">
        <v>628</v>
      </c>
      <c r="D442" s="34" t="str">
        <f t="array" ref="D442">IFNA(_xlfn.XLOOKUP(C442,Table_Tarikan_Warkah[Nomor Sertipikat],Table_Tarikan_Warkah[Nomor Tiket]),"")</f>
        <v>K/49/061224/2</v>
      </c>
      <c r="E442" s="36" t="str">
        <f t="array" ref="E442">IFNA(_xlfn.XLOOKUP(D442,Table_Tarikan_Warkah[Nomor Tiket],Table_Tarikan_Warkah[Tanggal diserahkan kepada Validator]),"")</f>
        <v/>
      </c>
      <c r="F442" s="36" t="str">
        <f t="array" ref="F442">IFNA(_xlfn.XLOOKUP(D442,Table_Tarikan_Warkah[Nomor Tiket],Table_Tarikan_Warkah[Nama Petugas Warkah]),"")</f>
        <v>David</v>
      </c>
      <c r="G442" s="39" t="str">
        <f t="array" ref="G442">IFNA(_xlfn.XLOOKUP(D442,Table_Tarikan_Warkah[Nomor Tiket],Table_Tarikan_Warkah[Jenis Permohonan]),"")</f>
        <v>BN Jual Beli</v>
      </c>
      <c r="H442" s="41" t="s">
        <v>20</v>
      </c>
      <c r="I442" s="41" t="s">
        <v>23</v>
      </c>
      <c r="J442" s="36">
        <f t="shared" si="17"/>
        <v>45636.63057</v>
      </c>
      <c r="K442" s="49" t="s">
        <v>26</v>
      </c>
      <c r="L442" s="49" t="s">
        <v>23</v>
      </c>
      <c r="M442" s="36">
        <f t="shared" si="18"/>
        <v>45636.70676</v>
      </c>
      <c r="N442" s="30" t="str">
        <f t="shared" si="3"/>
        <v>Selesai</v>
      </c>
      <c r="O442" s="45">
        <f t="shared" si="12"/>
        <v>45636.70676</v>
      </c>
      <c r="P442" s="47" t="b">
        <v>1</v>
      </c>
      <c r="Q442" s="36">
        <f t="shared" si="19"/>
        <v>45636.70676</v>
      </c>
      <c r="R442" s="47" t="b">
        <v>0</v>
      </c>
      <c r="S442" s="42" t="str">
        <f t="shared" si="6"/>
        <v/>
      </c>
      <c r="T442" s="42"/>
    </row>
    <row r="443" ht="22.5" customHeight="1">
      <c r="B443" s="42">
        <f t="shared" si="7"/>
        <v>437</v>
      </c>
      <c r="C443" s="31" t="s">
        <v>629</v>
      </c>
      <c r="D443" s="34" t="str">
        <f t="array" ref="D443">IFNA(_xlfn.XLOOKUP(C443,Table_Tarikan_Warkah[Nomor Sertipikat],Table_Tarikan_Warkah[Nomor Tiket]),"")</f>
        <v>L/48/121124/1</v>
      </c>
      <c r="E443" s="36" t="str">
        <f t="array" ref="E443">IFNA(_xlfn.XLOOKUP(D443,Table_Tarikan_Warkah[Nomor Tiket],Table_Tarikan_Warkah[Tanggal diserahkan kepada Validator]),"")</f>
        <v/>
      </c>
      <c r="F443" s="36" t="str">
        <f t="array" ref="F443">IFNA(_xlfn.XLOOKUP(D443,Table_Tarikan_Warkah[Nomor Tiket],Table_Tarikan_Warkah[Nama Petugas Warkah]),"")</f>
        <v>Berry</v>
      </c>
      <c r="G443" s="39" t="str">
        <f t="array" ref="G443">IFNA(_xlfn.XLOOKUP(D443,Table_Tarikan_Warkah[Nomor Tiket],Table_Tarikan_Warkah[Jenis Permohonan]),"")</f>
        <v>PERUBAHAN HAK</v>
      </c>
      <c r="H443" s="41" t="s">
        <v>20</v>
      </c>
      <c r="I443" s="41" t="s">
        <v>23</v>
      </c>
      <c r="J443" s="36">
        <f t="shared" si="17"/>
        <v>45636.70676</v>
      </c>
      <c r="K443" s="41" t="s">
        <v>26</v>
      </c>
      <c r="L443" s="41" t="s">
        <v>23</v>
      </c>
      <c r="M443" s="36">
        <f t="shared" si="18"/>
        <v>45636.70676</v>
      </c>
      <c r="N443" s="30" t="str">
        <f t="shared" si="3"/>
        <v>Selesai</v>
      </c>
      <c r="O443" s="45">
        <f t="shared" si="12"/>
        <v>45636.70676</v>
      </c>
      <c r="P443" s="47" t="b">
        <v>1</v>
      </c>
      <c r="Q443" s="36">
        <f t="shared" si="19"/>
        <v>45636.70676</v>
      </c>
      <c r="R443" s="47" t="b">
        <v>0</v>
      </c>
      <c r="S443" s="42" t="str">
        <f t="shared" si="6"/>
        <v/>
      </c>
      <c r="T443" s="42"/>
    </row>
    <row r="444" ht="22.5" customHeight="1">
      <c r="B444" s="42">
        <f t="shared" si="7"/>
        <v>438</v>
      </c>
      <c r="C444" s="31" t="s">
        <v>630</v>
      </c>
      <c r="D444" s="34" t="str">
        <f t="array" ref="D444">IFNA(_xlfn.XLOOKUP(C444,Table_Tarikan_Warkah[Nomor Sertipikat],Table_Tarikan_Warkah[Nomor Tiket]),"")</f>
        <v>K/4/061224/1</v>
      </c>
      <c r="E444" s="36" t="str">
        <f t="array" ref="E444">IFNA(_xlfn.XLOOKUP(D444,Table_Tarikan_Warkah[Nomor Tiket],Table_Tarikan_Warkah[Tanggal diserahkan kepada Validator]),"")</f>
        <v>13/12/2024 14.19</v>
      </c>
      <c r="F444" s="36" t="str">
        <f t="array" ref="F444">IFNA(_xlfn.XLOOKUP(D444,Table_Tarikan_Warkah[Nomor Tiket],Table_Tarikan_Warkah[Nama Petugas Warkah]),"")</f>
        <v>Berry</v>
      </c>
      <c r="G444" s="39" t="str">
        <f t="array" ref="G444">IFNA(_xlfn.XLOOKUP(D444,Table_Tarikan_Warkah[Nomor Tiket],Table_Tarikan_Warkah[Jenis Permohonan]),"")</f>
        <v>BN Jual Beli</v>
      </c>
      <c r="H444" s="41" t="s">
        <v>20</v>
      </c>
      <c r="I444" s="41" t="s">
        <v>23</v>
      </c>
      <c r="J444" s="36">
        <f t="shared" si="17"/>
        <v>45636.70677</v>
      </c>
      <c r="K444" s="49" t="s">
        <v>26</v>
      </c>
      <c r="L444" s="49" t="s">
        <v>23</v>
      </c>
      <c r="M444" s="36">
        <f t="shared" si="18"/>
        <v>45637.67995</v>
      </c>
      <c r="N444" s="30" t="str">
        <f t="shared" si="3"/>
        <v>Selesai</v>
      </c>
      <c r="O444" s="45">
        <f t="shared" si="12"/>
        <v>45637.67995</v>
      </c>
      <c r="P444" s="47" t="b">
        <v>1</v>
      </c>
      <c r="Q444" s="36">
        <f t="shared" si="19"/>
        <v>45637.68045</v>
      </c>
      <c r="R444" s="47" t="b">
        <v>1</v>
      </c>
      <c r="S444" s="36">
        <f t="shared" si="6"/>
        <v>45650.39623</v>
      </c>
      <c r="T444" s="60">
        <v>45645.0</v>
      </c>
    </row>
    <row r="445" ht="22.5" customHeight="1">
      <c r="B445" s="42">
        <f t="shared" si="7"/>
        <v>439</v>
      </c>
      <c r="C445" s="31" t="s">
        <v>631</v>
      </c>
      <c r="D445" s="34" t="str">
        <f t="array" ref="D445">IFNA(_xlfn.XLOOKUP(C445,Table_Tarikan_Warkah[Nomor Sertipikat],Table_Tarikan_Warkah[Nomor Tiket]),"")</f>
        <v>K/5/091224/1</v>
      </c>
      <c r="E445" s="36" t="str">
        <f t="array" ref="E445">IFNA(_xlfn.XLOOKUP(D445,Table_Tarikan_Warkah[Nomor Tiket],Table_Tarikan_Warkah[Tanggal diserahkan kepada Validator]),"")</f>
        <v/>
      </c>
      <c r="F445" s="36" t="str">
        <f t="array" ref="F445">IFNA(_xlfn.XLOOKUP(D445,Table_Tarikan_Warkah[Nomor Tiket],Table_Tarikan_Warkah[Nama Petugas Warkah]),"")</f>
        <v>David</v>
      </c>
      <c r="G445" s="39" t="str">
        <f t="array" ref="G445">IFNA(_xlfn.XLOOKUP(D445,Table_Tarikan_Warkah[Nomor Tiket],Table_Tarikan_Warkah[Jenis Permohonan]),"")</f>
        <v>BN Waris</v>
      </c>
      <c r="H445" s="41" t="s">
        <v>20</v>
      </c>
      <c r="I445" s="41" t="s">
        <v>23</v>
      </c>
      <c r="J445" s="36">
        <f t="shared" si="17"/>
        <v>45637.41049</v>
      </c>
      <c r="K445" s="49" t="s">
        <v>26</v>
      </c>
      <c r="L445" s="49" t="s">
        <v>23</v>
      </c>
      <c r="M445" s="36">
        <f t="shared" si="18"/>
        <v>45637.68</v>
      </c>
      <c r="N445" s="30" t="str">
        <f t="shared" si="3"/>
        <v>Selesai</v>
      </c>
      <c r="O445" s="45">
        <f t="shared" si="12"/>
        <v>45637.68</v>
      </c>
      <c r="P445" s="47" t="b">
        <v>1</v>
      </c>
      <c r="Q445" s="36">
        <f t="shared" si="19"/>
        <v>45637.68048</v>
      </c>
      <c r="R445" s="47" t="b">
        <v>0</v>
      </c>
      <c r="S445" s="42" t="str">
        <f t="shared" si="6"/>
        <v/>
      </c>
      <c r="T445" s="60">
        <v>45645.0</v>
      </c>
    </row>
    <row r="446" ht="22.5" customHeight="1">
      <c r="B446" s="42">
        <f t="shared" si="7"/>
        <v>440</v>
      </c>
      <c r="C446" s="31" t="s">
        <v>632</v>
      </c>
      <c r="D446" s="34" t="str">
        <f t="array" ref="D446">IFNA(_xlfn.XLOOKUP(C446,Table_Tarikan_Warkah[Nomor Sertipikat],Table_Tarikan_Warkah[Nomor Tiket]),"")</f>
        <v>K/15/091224/3</v>
      </c>
      <c r="E446" s="36" t="str">
        <f t="array" ref="E446">IFNA(_xlfn.XLOOKUP(D446,Table_Tarikan_Warkah[Nomor Tiket],Table_Tarikan_Warkah[Tanggal diserahkan kepada Validator]),"")</f>
        <v>10/12/2024 16.19</v>
      </c>
      <c r="F446" s="36" t="str">
        <f t="array" ref="F446">IFNA(_xlfn.XLOOKUP(D446,Table_Tarikan_Warkah[Nomor Tiket],Table_Tarikan_Warkah[Nama Petugas Warkah]),"")</f>
        <v>Berry</v>
      </c>
      <c r="G446" s="39" t="str">
        <f t="array" ref="G446">IFNA(_xlfn.XLOOKUP(D446,Table_Tarikan_Warkah[Nomor Tiket],Table_Tarikan_Warkah[Jenis Permohonan]),"")</f>
        <v>Roya</v>
      </c>
      <c r="H446" s="41" t="s">
        <v>20</v>
      </c>
      <c r="I446" s="41" t="s">
        <v>23</v>
      </c>
      <c r="J446" s="36">
        <f t="shared" si="17"/>
        <v>45637.41509</v>
      </c>
      <c r="K446" s="41" t="s">
        <v>26</v>
      </c>
      <c r="L446" s="41" t="s">
        <v>23</v>
      </c>
      <c r="M446" s="36">
        <f t="shared" si="18"/>
        <v>45637.68</v>
      </c>
      <c r="N446" s="30" t="str">
        <f t="shared" si="3"/>
        <v>Selesai</v>
      </c>
      <c r="O446" s="45">
        <f t="shared" si="12"/>
        <v>45637.68</v>
      </c>
      <c r="P446" s="47" t="b">
        <v>1</v>
      </c>
      <c r="Q446" s="36">
        <f t="shared" si="19"/>
        <v>45637.68047</v>
      </c>
      <c r="R446" s="47" t="b">
        <v>1</v>
      </c>
      <c r="S446" s="36">
        <f t="shared" si="6"/>
        <v>45650.39378</v>
      </c>
      <c r="T446" s="60">
        <v>45645.0</v>
      </c>
    </row>
    <row r="447" ht="22.5" customHeight="1">
      <c r="B447" s="42">
        <f t="shared" si="7"/>
        <v>441</v>
      </c>
      <c r="C447" s="31" t="s">
        <v>633</v>
      </c>
      <c r="D447" s="34" t="str">
        <f t="array" ref="D447">IFNA(_xlfn.XLOOKUP(C447,Table_Tarikan_Warkah[Nomor Sertipikat],Table_Tarikan_Warkah[Nomor Tiket]),"")</f>
        <v>L/21/021224/1</v>
      </c>
      <c r="E447" s="36" t="str">
        <f t="array" ref="E447">IFNA(_xlfn.XLOOKUP(D447,Table_Tarikan_Warkah[Nomor Tiket],Table_Tarikan_Warkah[Tanggal diserahkan kepada Validator]),"")</f>
        <v/>
      </c>
      <c r="F447" s="36" t="str">
        <f t="array" ref="F447">IFNA(_xlfn.XLOOKUP(D447,Table_Tarikan_Warkah[Nomor Tiket],Table_Tarikan_Warkah[Nama Petugas Warkah]),"")</f>
        <v>Berry</v>
      </c>
      <c r="G447" s="39" t="str">
        <f t="array" ref="G447">IFNA(_xlfn.XLOOKUP(D447,Table_Tarikan_Warkah[Nomor Tiket],Table_Tarikan_Warkah[Jenis Permohonan]),"")</f>
        <v>BN WARIS</v>
      </c>
      <c r="H447" s="41" t="s">
        <v>20</v>
      </c>
      <c r="I447" s="41" t="s">
        <v>23</v>
      </c>
      <c r="J447" s="36">
        <f t="shared" si="17"/>
        <v>45637.41727</v>
      </c>
      <c r="K447" s="49" t="s">
        <v>26</v>
      </c>
      <c r="L447" s="49" t="s">
        <v>23</v>
      </c>
      <c r="M447" s="36">
        <f t="shared" si="18"/>
        <v>45637.68</v>
      </c>
      <c r="N447" s="30" t="str">
        <f t="shared" si="3"/>
        <v>Selesai</v>
      </c>
      <c r="O447" s="45">
        <f t="shared" si="12"/>
        <v>45637.68</v>
      </c>
      <c r="P447" s="47" t="b">
        <v>1</v>
      </c>
      <c r="Q447" s="36">
        <f t="shared" si="19"/>
        <v>45637.68049</v>
      </c>
      <c r="R447" s="47" t="b">
        <v>0</v>
      </c>
      <c r="S447" s="42" t="str">
        <f t="shared" si="6"/>
        <v/>
      </c>
      <c r="T447" s="42"/>
    </row>
    <row r="448" ht="22.5" customHeight="1">
      <c r="B448" s="42">
        <f t="shared" si="7"/>
        <v>442</v>
      </c>
      <c r="C448" s="31" t="s">
        <v>634</v>
      </c>
      <c r="D448" s="34" t="str">
        <f t="array" ref="D448">IFNA(_xlfn.XLOOKUP(C448,Table_Tarikan_Warkah[Nomor Sertipikat],Table_Tarikan_Warkah[Nomor Tiket]),"")</f>
        <v>K/14/091224/2</v>
      </c>
      <c r="E448" s="36" t="str">
        <f t="array" ref="E448">IFNA(_xlfn.XLOOKUP(D448,Table_Tarikan_Warkah[Nomor Tiket],Table_Tarikan_Warkah[Tanggal diserahkan kepada Validator]),"")</f>
        <v>10/12/2024 16.19</v>
      </c>
      <c r="F448" s="36" t="str">
        <f t="array" ref="F448">IFNA(_xlfn.XLOOKUP(D448,Table_Tarikan_Warkah[Nomor Tiket],Table_Tarikan_Warkah[Nama Petugas Warkah]),"")</f>
        <v>Berry</v>
      </c>
      <c r="G448" s="39" t="str">
        <f t="array" ref="G448">IFNA(_xlfn.XLOOKUP(D448,Table_Tarikan_Warkah[Nomor Tiket],Table_Tarikan_Warkah[Jenis Permohonan]),"")</f>
        <v>Roya</v>
      </c>
      <c r="H448" s="41" t="s">
        <v>20</v>
      </c>
      <c r="I448" s="41" t="s">
        <v>12</v>
      </c>
      <c r="J448" s="36">
        <f t="shared" si="17"/>
        <v>45637.47148</v>
      </c>
      <c r="K448" s="49" t="s">
        <v>197</v>
      </c>
      <c r="L448" s="49" t="s">
        <v>12</v>
      </c>
      <c r="M448" s="36">
        <f t="shared" si="18"/>
        <v>45637.68034</v>
      </c>
      <c r="N448" s="30" t="str">
        <f t="shared" si="3"/>
        <v>SELESAI</v>
      </c>
      <c r="O448" s="45">
        <f t="shared" si="12"/>
        <v>45637.68034</v>
      </c>
      <c r="P448" s="47" t="b">
        <v>0</v>
      </c>
      <c r="Q448" s="36" t="str">
        <f t="shared" si="19"/>
        <v/>
      </c>
      <c r="R448" s="47" t="b">
        <v>1</v>
      </c>
      <c r="S448" s="36">
        <f t="shared" si="6"/>
        <v>45650.39328</v>
      </c>
      <c r="T448" s="60">
        <v>45645.0</v>
      </c>
    </row>
    <row r="449" ht="22.5" customHeight="1">
      <c r="B449" s="42">
        <f t="shared" si="7"/>
        <v>443</v>
      </c>
      <c r="C449" s="31" t="s">
        <v>635</v>
      </c>
      <c r="D449" s="34" t="str">
        <f t="array" ref="D449">IFNA(_xlfn.XLOOKUP(C449,Table_Tarikan_Warkah[Nomor Sertipikat],Table_Tarikan_Warkah[Nomor Tiket]),"")</f>
        <v>K/22/091224/1</v>
      </c>
      <c r="E449" s="36" t="str">
        <f t="array" ref="E449">IFNA(_xlfn.XLOOKUP(D449,Table_Tarikan_Warkah[Nomor Tiket],Table_Tarikan_Warkah[Tanggal diserahkan kepada Validator]),"")</f>
        <v>10/12/2024 16.20</v>
      </c>
      <c r="F449" s="36" t="str">
        <f t="array" ref="F449">IFNA(_xlfn.XLOOKUP(D449,Table_Tarikan_Warkah[Nomor Tiket],Table_Tarikan_Warkah[Nama Petugas Warkah]),"")</f>
        <v>Berry</v>
      </c>
      <c r="G449" s="39" t="str">
        <f t="array" ref="G449">IFNA(_xlfn.XLOOKUP(D449,Table_Tarikan_Warkah[Nomor Tiket],Table_Tarikan_Warkah[Jenis Permohonan]),"")</f>
        <v>BN JUAL BELI</v>
      </c>
      <c r="H449" s="41" t="s">
        <v>20</v>
      </c>
      <c r="I449" s="41" t="s">
        <v>12</v>
      </c>
      <c r="J449" s="36">
        <f t="shared" si="17"/>
        <v>45637.47161</v>
      </c>
      <c r="K449" s="49" t="s">
        <v>197</v>
      </c>
      <c r="L449" s="49" t="s">
        <v>12</v>
      </c>
      <c r="M449" s="36">
        <f t="shared" si="18"/>
        <v>45637.68034</v>
      </c>
      <c r="N449" s="30" t="str">
        <f t="shared" si="3"/>
        <v>SELESAI</v>
      </c>
      <c r="O449" s="45">
        <f t="shared" si="12"/>
        <v>45637.68034</v>
      </c>
      <c r="P449" s="47" t="b">
        <v>0</v>
      </c>
      <c r="Q449" s="36" t="str">
        <f t="shared" si="19"/>
        <v/>
      </c>
      <c r="R449" s="47" t="b">
        <v>1</v>
      </c>
      <c r="S449" s="36">
        <f t="shared" si="6"/>
        <v>45650.39396</v>
      </c>
      <c r="T449" s="60">
        <v>45645.0</v>
      </c>
    </row>
    <row r="450" ht="22.5" customHeight="1">
      <c r="B450" s="42">
        <f t="shared" si="7"/>
        <v>444</v>
      </c>
      <c r="C450" s="31" t="s">
        <v>636</v>
      </c>
      <c r="D450" s="34" t="str">
        <f t="array" ref="D450">IFNA(_xlfn.XLOOKUP(C450,Table_Tarikan_Warkah[Nomor Sertipikat],Table_Tarikan_Warkah[Nomor Tiket]),"")</f>
        <v>K/34/091224/3</v>
      </c>
      <c r="E450" s="36"/>
      <c r="F450" s="36" t="str">
        <f t="array" ref="F450">IFNA(_xlfn.XLOOKUP(D450,Table_Tarikan_Warkah[Nomor Tiket],Table_Tarikan_Warkah[Nama Petugas Warkah]),"")</f>
        <v>David</v>
      </c>
      <c r="G450" s="39" t="str">
        <f t="array" ref="G450">IFNA(_xlfn.XLOOKUP(D450,Table_Tarikan_Warkah[Nomor Tiket],Table_Tarikan_Warkah[Jenis Permohonan]),"")</f>
        <v>BN JUAL BELI</v>
      </c>
      <c r="H450" s="41" t="s">
        <v>20</v>
      </c>
      <c r="I450" s="41" t="s">
        <v>12</v>
      </c>
      <c r="J450" s="36">
        <f t="shared" si="17"/>
        <v>45637.47193</v>
      </c>
      <c r="K450" s="49" t="s">
        <v>197</v>
      </c>
      <c r="L450" s="49" t="s">
        <v>12</v>
      </c>
      <c r="M450" s="36">
        <f t="shared" si="18"/>
        <v>45637.68038</v>
      </c>
      <c r="N450" s="30" t="str">
        <f t="shared" si="3"/>
        <v>SELESAI</v>
      </c>
      <c r="O450" s="45">
        <f t="shared" si="12"/>
        <v>45637.68038</v>
      </c>
      <c r="P450" s="47" t="b">
        <v>0</v>
      </c>
      <c r="Q450" s="36" t="str">
        <f t="shared" si="19"/>
        <v/>
      </c>
      <c r="R450" s="47" t="b">
        <v>1</v>
      </c>
      <c r="S450" s="36">
        <f t="shared" si="6"/>
        <v>45650.39541</v>
      </c>
      <c r="T450" s="60">
        <v>45645.0</v>
      </c>
    </row>
    <row r="451" ht="22.5" customHeight="1">
      <c r="B451" s="42">
        <f t="shared" si="7"/>
        <v>445</v>
      </c>
      <c r="C451" s="31" t="s">
        <v>637</v>
      </c>
      <c r="D451" s="34" t="str">
        <f t="array" ref="D451">IFNA(_xlfn.XLOOKUP(C451,Table_Tarikan_Warkah[Nomor Sertipikat],Table_Tarikan_Warkah[Nomor Tiket]),"")</f>
        <v>L/10/091224/1</v>
      </c>
      <c r="E451" s="36" t="str">
        <f t="array" ref="E451">IFNA(_xlfn.XLOOKUP(D451,Table_Tarikan_Warkah[Nomor Tiket],Table_Tarikan_Warkah[Tanggal diserahkan kepada Validator]),"")</f>
        <v>10/12/2024 16.18</v>
      </c>
      <c r="F451" s="36" t="str">
        <f t="array" ref="F451">IFNA(_xlfn.XLOOKUP(D451,Table_Tarikan_Warkah[Nomor Tiket],Table_Tarikan_Warkah[Nama Petugas Warkah]),"")</f>
        <v>Berry</v>
      </c>
      <c r="G451" s="39" t="str">
        <f t="array" ref="G451">IFNA(_xlfn.XLOOKUP(D451,Table_Tarikan_Warkah[Nomor Tiket],Table_Tarikan_Warkah[Jenis Permohonan]),"")</f>
        <v>BN WARIS</v>
      </c>
      <c r="H451" s="41" t="s">
        <v>11</v>
      </c>
      <c r="I451" s="41" t="s">
        <v>12</v>
      </c>
      <c r="J451" s="36">
        <f t="shared" si="17"/>
        <v>45637.57103</v>
      </c>
      <c r="K451" s="49" t="s">
        <v>197</v>
      </c>
      <c r="L451" s="49" t="s">
        <v>12</v>
      </c>
      <c r="M451" s="36">
        <f t="shared" si="18"/>
        <v>45637.68041</v>
      </c>
      <c r="N451" s="30" t="str">
        <f t="shared" si="3"/>
        <v>SELESAI</v>
      </c>
      <c r="O451" s="45">
        <f t="shared" si="12"/>
        <v>45637.68041</v>
      </c>
      <c r="P451" s="47" t="b">
        <v>1</v>
      </c>
      <c r="Q451" s="36">
        <f t="shared" si="19"/>
        <v>45643.64309</v>
      </c>
      <c r="R451" s="47" t="b">
        <v>1</v>
      </c>
      <c r="S451" s="36">
        <f t="shared" si="6"/>
        <v>45650.39542</v>
      </c>
      <c r="T451" s="60">
        <v>45645.0</v>
      </c>
    </row>
    <row r="452" ht="22.5" customHeight="1">
      <c r="B452" s="42">
        <f t="shared" si="7"/>
        <v>446</v>
      </c>
      <c r="C452" s="31" t="s">
        <v>638</v>
      </c>
      <c r="D452" s="34" t="str">
        <f t="array" ref="D452">IFNA(_xlfn.XLOOKUP(C452,Table_Tarikan_Warkah[Nomor Sertipikat],Table_Tarikan_Warkah[Nomor Tiket]),"")</f>
        <v>K/16/091224/4</v>
      </c>
      <c r="E452" s="36" t="str">
        <f t="array" ref="E452">IFNA(_xlfn.XLOOKUP(D452,Table_Tarikan_Warkah[Nomor Tiket],Table_Tarikan_Warkah[Tanggal diserahkan kepada Validator]),"")</f>
        <v>10/12/2024 16.19</v>
      </c>
      <c r="F452" s="36" t="str">
        <f t="array" ref="F452">IFNA(_xlfn.XLOOKUP(D452,Table_Tarikan_Warkah[Nomor Tiket],Table_Tarikan_Warkah[Nama Petugas Warkah]),"")</f>
        <v>Berry</v>
      </c>
      <c r="G452" s="39" t="str">
        <f t="array" ref="G452">IFNA(_xlfn.XLOOKUP(D452,Table_Tarikan_Warkah[Nomor Tiket],Table_Tarikan_Warkah[Jenis Permohonan]),"")</f>
        <v>Roya</v>
      </c>
      <c r="H452" s="41" t="s">
        <v>11</v>
      </c>
      <c r="I452" s="41" t="s">
        <v>12</v>
      </c>
      <c r="J452" s="36">
        <f t="shared" si="17"/>
        <v>45637.57106</v>
      </c>
      <c r="K452" s="49" t="s">
        <v>197</v>
      </c>
      <c r="L452" s="49" t="s">
        <v>12</v>
      </c>
      <c r="M452" s="36">
        <f t="shared" si="18"/>
        <v>45637.68041</v>
      </c>
      <c r="N452" s="30" t="str">
        <f t="shared" si="3"/>
        <v>SELESAI</v>
      </c>
      <c r="O452" s="45">
        <f t="shared" si="12"/>
        <v>45637.68041</v>
      </c>
      <c r="P452" s="47" t="b">
        <v>0</v>
      </c>
      <c r="Q452" s="36" t="str">
        <f t="shared" si="19"/>
        <v/>
      </c>
      <c r="R452" s="47" t="b">
        <v>1</v>
      </c>
      <c r="S452" s="36">
        <f t="shared" si="6"/>
        <v>45650.3935</v>
      </c>
      <c r="T452" s="60">
        <v>45645.0</v>
      </c>
    </row>
    <row r="453" ht="22.5" customHeight="1">
      <c r="B453" s="42">
        <f t="shared" si="7"/>
        <v>447</v>
      </c>
      <c r="C453" s="31" t="s">
        <v>639</v>
      </c>
      <c r="D453" s="34" t="str">
        <f t="array" ref="D453">IFNA(_xlfn.XLOOKUP(C453,Table_Tarikan_Warkah[Nomor Sertipikat],Table_Tarikan_Warkah[Nomor Tiket]),"")</f>
        <v>K/34/061224/1</v>
      </c>
      <c r="E453" s="36" t="str">
        <f t="array" ref="E453">IFNA(_xlfn.XLOOKUP(D453,Table_Tarikan_Warkah[Nomor Tiket],Table_Tarikan_Warkah[Tanggal diserahkan kepada Validator]),"")</f>
        <v>10/12/2024 16.24</v>
      </c>
      <c r="F453" s="36" t="str">
        <f t="array" ref="F453">IFNA(_xlfn.XLOOKUP(D453,Table_Tarikan_Warkah[Nomor Tiket],Table_Tarikan_Warkah[Nama Petugas Warkah]),"")</f>
        <v>David</v>
      </c>
      <c r="G453" s="39" t="str">
        <f t="array" ref="G453">IFNA(_xlfn.XLOOKUP(D453,Table_Tarikan_Warkah[Nomor Tiket],Table_Tarikan_Warkah[Jenis Permohonan]),"")</f>
        <v>BN Jual Beli</v>
      </c>
      <c r="H453" s="41" t="s">
        <v>11</v>
      </c>
      <c r="I453" s="41" t="s">
        <v>12</v>
      </c>
      <c r="J453" s="36">
        <f t="shared" si="17"/>
        <v>45637.57106</v>
      </c>
      <c r="K453" s="49" t="s">
        <v>197</v>
      </c>
      <c r="L453" s="49" t="s">
        <v>12</v>
      </c>
      <c r="M453" s="36">
        <f t="shared" si="18"/>
        <v>45637.68043</v>
      </c>
      <c r="N453" s="30" t="str">
        <f t="shared" si="3"/>
        <v>SELESAI</v>
      </c>
      <c r="O453" s="45">
        <f t="shared" si="12"/>
        <v>45637.68043</v>
      </c>
      <c r="P453" s="47" t="b">
        <v>0</v>
      </c>
      <c r="Q453" s="36" t="str">
        <f t="shared" si="19"/>
        <v/>
      </c>
      <c r="R453" s="47" t="b">
        <v>1</v>
      </c>
      <c r="S453" s="36">
        <f t="shared" si="6"/>
        <v>45650.39525</v>
      </c>
      <c r="T453" s="42"/>
    </row>
    <row r="454" ht="22.5" customHeight="1">
      <c r="B454" s="42">
        <f t="shared" si="7"/>
        <v>448</v>
      </c>
      <c r="C454" s="31" t="s">
        <v>640</v>
      </c>
      <c r="D454" s="34" t="str">
        <f t="array" ref="D454">IFNA(_xlfn.XLOOKUP(C454,Table_Tarikan_Warkah[Nomor Sertipikat],Table_Tarikan_Warkah[Nomor Tiket]),"")</f>
        <v>K/39/091224/1</v>
      </c>
      <c r="E454" s="36" t="str">
        <f t="array" ref="E454">IFNA(_xlfn.XLOOKUP(D454,Table_Tarikan_Warkah[Nomor Tiket],Table_Tarikan_Warkah[Tanggal diserahkan kepada Validator]),"")</f>
        <v>10/12/2024 16.23</v>
      </c>
      <c r="F454" s="36" t="str">
        <f t="array" ref="F454">IFNA(_xlfn.XLOOKUP(D454,Table_Tarikan_Warkah[Nomor Tiket],Table_Tarikan_Warkah[Nama Petugas Warkah]),"")</f>
        <v>David</v>
      </c>
      <c r="G454" s="39" t="str">
        <f t="array" ref="G454">IFNA(_xlfn.XLOOKUP(D454,Table_Tarikan_Warkah[Nomor Tiket],Table_Tarikan_Warkah[Jenis Permohonan]),"")</f>
        <v>BN JUAL BELI</v>
      </c>
      <c r="H454" s="41" t="s">
        <v>11</v>
      </c>
      <c r="I454" s="41" t="s">
        <v>12</v>
      </c>
      <c r="J454" s="36">
        <f t="shared" si="17"/>
        <v>45637.57106</v>
      </c>
      <c r="K454" s="49" t="s">
        <v>197</v>
      </c>
      <c r="L454" s="49" t="s">
        <v>12</v>
      </c>
      <c r="M454" s="36">
        <f t="shared" si="18"/>
        <v>45637.68043</v>
      </c>
      <c r="N454" s="30" t="str">
        <f t="shared" si="3"/>
        <v>SELESAI</v>
      </c>
      <c r="O454" s="45">
        <f t="shared" si="12"/>
        <v>45637.68043</v>
      </c>
      <c r="P454" s="47" t="b">
        <v>0</v>
      </c>
      <c r="Q454" s="36" t="str">
        <f t="shared" si="19"/>
        <v/>
      </c>
      <c r="R454" s="47" t="b">
        <v>1</v>
      </c>
      <c r="S454" s="36">
        <f t="shared" si="6"/>
        <v>45650.39523</v>
      </c>
      <c r="T454" s="60">
        <v>45645.0</v>
      </c>
    </row>
    <row r="455" ht="22.5" customHeight="1">
      <c r="B455" s="42">
        <f t="shared" si="7"/>
        <v>449</v>
      </c>
      <c r="C455" s="31" t="s">
        <v>641</v>
      </c>
      <c r="D455" s="34" t="str">
        <f t="array" ref="D455">IFNA(_xlfn.XLOOKUP(C455,Table_Tarikan_Warkah[Nomor Sertipikat],Table_Tarikan_Warkah[Nomor Tiket]),"")</f>
        <v>K/3/051224/1</v>
      </c>
      <c r="E455" s="36">
        <f t="array" ref="E455">IFNA(_xlfn.XLOOKUP(D455,Table_Tarikan_Warkah[Nomor Tiket],Table_Tarikan_Warkah[Tanggal diserahkan kepada Validator]),"")</f>
        <v>45673.43404</v>
      </c>
      <c r="F455" s="36" t="str">
        <f t="array" ref="F455">IFNA(_xlfn.XLOOKUP(D455,Table_Tarikan_Warkah[Nomor Tiket],Table_Tarikan_Warkah[Nama Petugas Warkah]),"")</f>
        <v>Berry</v>
      </c>
      <c r="G455" s="39" t="str">
        <f t="array" ref="G455">IFNA(_xlfn.XLOOKUP(D455,Table_Tarikan_Warkah[Nomor Tiket],Table_Tarikan_Warkah[Jenis Permohonan]),"")</f>
        <v>BN Jual Beli</v>
      </c>
      <c r="H455" s="41" t="s">
        <v>11</v>
      </c>
      <c r="I455" s="41" t="s">
        <v>23</v>
      </c>
      <c r="J455" s="36">
        <f t="shared" si="17"/>
        <v>45637.5711</v>
      </c>
      <c r="K455" s="49" t="s">
        <v>26</v>
      </c>
      <c r="L455" s="49" t="s">
        <v>23</v>
      </c>
      <c r="M455" s="36">
        <f t="shared" si="18"/>
        <v>45637.68024</v>
      </c>
      <c r="N455" s="30" t="str">
        <f t="shared" si="3"/>
        <v>Selesai</v>
      </c>
      <c r="O455" s="45">
        <f t="shared" si="12"/>
        <v>45637.68024</v>
      </c>
      <c r="P455" s="47" t="b">
        <v>1</v>
      </c>
      <c r="Q455" s="36">
        <f t="shared" si="19"/>
        <v>45637.68053</v>
      </c>
      <c r="R455" s="47" t="b">
        <v>0</v>
      </c>
      <c r="S455" s="42" t="str">
        <f t="shared" si="6"/>
        <v/>
      </c>
      <c r="T455" s="42"/>
    </row>
    <row r="456" ht="22.5" customHeight="1">
      <c r="B456" s="42">
        <f t="shared" si="7"/>
        <v>450</v>
      </c>
      <c r="C456" s="31" t="s">
        <v>642</v>
      </c>
      <c r="D456" s="34" t="str">
        <f t="array" ref="D456">IFNA(_xlfn.XLOOKUP(C456,Table_Tarikan_Warkah[Nomor Sertipikat],Table_Tarikan_Warkah[Nomor Tiket]),"")</f>
        <v>K/2/061224/2</v>
      </c>
      <c r="E456" s="36">
        <f t="array" ref="E456">IFNA(_xlfn.XLOOKUP(D456,Table_Tarikan_Warkah[Nomor Tiket],Table_Tarikan_Warkah[Tanggal diserahkan kepada Validator]),"")</f>
        <v>45673.43404</v>
      </c>
      <c r="F456" s="36" t="str">
        <f t="array" ref="F456">IFNA(_xlfn.XLOOKUP(D456,Table_Tarikan_Warkah[Nomor Tiket],Table_Tarikan_Warkah[Nama Petugas Warkah]),"")</f>
        <v>Berry</v>
      </c>
      <c r="G456" s="39" t="str">
        <f t="array" ref="G456">IFNA(_xlfn.XLOOKUP(D456,Table_Tarikan_Warkah[Nomor Tiket],Table_Tarikan_Warkah[Jenis Permohonan]),"")</f>
        <v>BN JUAL BELI</v>
      </c>
      <c r="H456" s="41" t="s">
        <v>20</v>
      </c>
      <c r="I456" s="41" t="s">
        <v>23</v>
      </c>
      <c r="J456" s="36">
        <f t="shared" si="17"/>
        <v>45637.64346</v>
      </c>
      <c r="K456" s="49" t="s">
        <v>26</v>
      </c>
      <c r="L456" s="49" t="s">
        <v>23</v>
      </c>
      <c r="M456" s="36">
        <f t="shared" si="18"/>
        <v>45637.68024</v>
      </c>
      <c r="N456" s="30" t="str">
        <f t="shared" si="3"/>
        <v>Selesai</v>
      </c>
      <c r="O456" s="45">
        <f t="shared" si="12"/>
        <v>45637.68024</v>
      </c>
      <c r="P456" s="47" t="b">
        <v>1</v>
      </c>
      <c r="Q456" s="36">
        <f t="shared" si="19"/>
        <v>45637.68054</v>
      </c>
      <c r="R456" s="47" t="b">
        <v>0</v>
      </c>
      <c r="S456" s="42" t="str">
        <f t="shared" si="6"/>
        <v/>
      </c>
      <c r="T456" s="42"/>
    </row>
    <row r="457" ht="22.5" customHeight="1">
      <c r="B457" s="42">
        <f t="shared" si="7"/>
        <v>451</v>
      </c>
      <c r="C457" s="31" t="s">
        <v>643</v>
      </c>
      <c r="D457" s="34" t="str">
        <f t="array" ref="D457">IFNA(_xlfn.XLOOKUP(C457,Table_Tarikan_Warkah[Nomor Sertipikat],Table_Tarikan_Warkah[Nomor Tiket]),"")</f>
        <v>L/24/091224/1</v>
      </c>
      <c r="E457" s="36" t="str">
        <f t="array" ref="E457">IFNA(_xlfn.XLOOKUP(D457,Table_Tarikan_Warkah[Nomor Tiket],Table_Tarikan_Warkah[Tanggal diserahkan kepada Validator]),"")</f>
        <v>10/12/2024 16.20</v>
      </c>
      <c r="F457" s="36" t="str">
        <f t="array" ref="F457">IFNA(_xlfn.XLOOKUP(D457,Table_Tarikan_Warkah[Nomor Tiket],Table_Tarikan_Warkah[Nama Petugas Warkah]),"")</f>
        <v>Berry</v>
      </c>
      <c r="G457" s="39" t="str">
        <f t="array" ref="G457">IFNA(_xlfn.XLOOKUP(D457,Table_Tarikan_Warkah[Nomor Tiket],Table_Tarikan_Warkah[Jenis Permohonan]),"")</f>
        <v>PH</v>
      </c>
      <c r="H457" s="41" t="s">
        <v>20</v>
      </c>
      <c r="I457" s="41" t="s">
        <v>12</v>
      </c>
      <c r="J457" s="36">
        <f t="shared" si="17"/>
        <v>45639.64579</v>
      </c>
      <c r="K457" s="49" t="s">
        <v>197</v>
      </c>
      <c r="L457" s="49" t="s">
        <v>12</v>
      </c>
      <c r="M457" s="36">
        <f t="shared" si="18"/>
        <v>45642.58759</v>
      </c>
      <c r="N457" s="30" t="str">
        <f t="shared" si="3"/>
        <v>SELESAI</v>
      </c>
      <c r="O457" s="45">
        <f t="shared" si="12"/>
        <v>45642.58759</v>
      </c>
      <c r="P457" s="47" t="b">
        <v>0</v>
      </c>
      <c r="Q457" s="36" t="str">
        <f t="shared" si="19"/>
        <v/>
      </c>
      <c r="R457" s="47" t="b">
        <v>0</v>
      </c>
      <c r="S457" s="42" t="str">
        <f t="shared" si="6"/>
        <v/>
      </c>
      <c r="T457" s="42"/>
    </row>
    <row r="458" ht="22.5" customHeight="1">
      <c r="B458" s="42">
        <f t="shared" si="7"/>
        <v>452</v>
      </c>
      <c r="C458" s="31" t="s">
        <v>644</v>
      </c>
      <c r="D458" s="34" t="str">
        <f t="array" ref="D458">IFNA(_xlfn.XLOOKUP(C458,Table_Tarikan_Warkah[Nomor Sertipikat],Table_Tarikan_Warkah[Nomor Tiket]),"")</f>
        <v>K/32/111224/1</v>
      </c>
      <c r="E458" s="36" t="str">
        <f t="array" ref="E458">IFNA(_xlfn.XLOOKUP(D458,Table_Tarikan_Warkah[Nomor Tiket],Table_Tarikan_Warkah[Tanggal diserahkan kepada Validator]),"")</f>
        <v>16/12/2024 16.58</v>
      </c>
      <c r="F458" s="36" t="str">
        <f t="array" ref="F458">IFNA(_xlfn.XLOOKUP(D458,Table_Tarikan_Warkah[Nomor Tiket],Table_Tarikan_Warkah[Nama Petugas Warkah]),"")</f>
        <v>David</v>
      </c>
      <c r="G458" s="39" t="str">
        <f t="array" ref="G458">IFNA(_xlfn.XLOOKUP(D458,Table_Tarikan_Warkah[Nomor Tiket],Table_Tarikan_Warkah[Jenis Permohonan]),"")</f>
        <v>BN Jual Beli</v>
      </c>
      <c r="H458" s="41" t="s">
        <v>11</v>
      </c>
      <c r="I458" s="41" t="s">
        <v>23</v>
      </c>
      <c r="J458" s="36">
        <f t="shared" si="17"/>
        <v>45639.64749</v>
      </c>
      <c r="K458" s="49" t="s">
        <v>26</v>
      </c>
      <c r="L458" s="49" t="s">
        <v>23</v>
      </c>
      <c r="M458" s="36">
        <f t="shared" si="18"/>
        <v>45642.58741</v>
      </c>
      <c r="N458" s="30" t="str">
        <f t="shared" si="3"/>
        <v>Selesai</v>
      </c>
      <c r="O458" s="45">
        <f t="shared" si="12"/>
        <v>45642.58741</v>
      </c>
      <c r="P458" s="47" t="b">
        <v>1</v>
      </c>
      <c r="Q458" s="36">
        <f t="shared" si="19"/>
        <v>45642.66742</v>
      </c>
      <c r="R458" s="47" t="b">
        <v>1</v>
      </c>
      <c r="S458" s="36">
        <f t="shared" si="6"/>
        <v>45650.40313</v>
      </c>
      <c r="T458" s="60">
        <v>45645.0</v>
      </c>
    </row>
    <row r="459" ht="22.5" customHeight="1">
      <c r="B459" s="42">
        <f t="shared" si="7"/>
        <v>453</v>
      </c>
      <c r="C459" s="31" t="s">
        <v>645</v>
      </c>
      <c r="D459" s="34" t="str">
        <f t="array" ref="D459">IFNA(_xlfn.XLOOKUP(C459,Table_Tarikan_Warkah[Nomor Sertipikat],Table_Tarikan_Warkah[Nomor Tiket]),"")</f>
        <v>K/4/201124/1</v>
      </c>
      <c r="E459" s="36" t="str">
        <f t="array" ref="E459">IFNA(_xlfn.XLOOKUP(D459,Table_Tarikan_Warkah[Nomor Tiket],Table_Tarikan_Warkah[Tanggal diserahkan kepada Validator]),"")</f>
        <v/>
      </c>
      <c r="F459" s="36" t="str">
        <f t="array" ref="F459">IFNA(_xlfn.XLOOKUP(D459,Table_Tarikan_Warkah[Nomor Tiket],Table_Tarikan_Warkah[Nama Petugas Warkah]),"")</f>
        <v>Berry</v>
      </c>
      <c r="G459" s="39" t="str">
        <f t="array" ref="G459">IFNA(_xlfn.XLOOKUP(D459,Table_Tarikan_Warkah[Nomor Tiket],Table_Tarikan_Warkah[Jenis Permohonan]),"")</f>
        <v>BN JUAL BELI</v>
      </c>
      <c r="H459" s="41" t="s">
        <v>11</v>
      </c>
      <c r="I459" s="41" t="s">
        <v>23</v>
      </c>
      <c r="J459" s="36">
        <f t="shared" si="17"/>
        <v>45639.64756</v>
      </c>
      <c r="K459" s="49" t="s">
        <v>26</v>
      </c>
      <c r="L459" s="49" t="s">
        <v>23</v>
      </c>
      <c r="M459" s="36">
        <f t="shared" si="18"/>
        <v>45642.58741</v>
      </c>
      <c r="N459" s="30" t="str">
        <f t="shared" si="3"/>
        <v>Selesai</v>
      </c>
      <c r="O459" s="45">
        <f t="shared" si="12"/>
        <v>45642.58741</v>
      </c>
      <c r="P459" s="47" t="b">
        <v>1</v>
      </c>
      <c r="Q459" s="36">
        <f t="shared" si="19"/>
        <v>45642.66743</v>
      </c>
      <c r="R459" s="47" t="b">
        <v>0</v>
      </c>
      <c r="S459" s="42" t="str">
        <f t="shared" si="6"/>
        <v/>
      </c>
      <c r="T459" s="42"/>
    </row>
    <row r="460" ht="22.5" customHeight="1">
      <c r="B460" s="42">
        <f t="shared" si="7"/>
        <v>454</v>
      </c>
      <c r="C460" s="31" t="s">
        <v>646</v>
      </c>
      <c r="D460" s="34" t="str">
        <f t="array" ref="D460">IFNA(_xlfn.XLOOKUP(C460,Table_Tarikan_Warkah[Nomor Sertipikat],Table_Tarikan_Warkah[Nomor Tiket]),"")</f>
        <v>K/35/101224/1</v>
      </c>
      <c r="E460" s="36" t="str">
        <f t="array" ref="E460">IFNA(_xlfn.XLOOKUP(D460,Table_Tarikan_Warkah[Nomor Tiket],Table_Tarikan_Warkah[Tanggal diserahkan kepada Validator]),"")</f>
        <v>13/12/2024 14.14</v>
      </c>
      <c r="F460" s="36" t="str">
        <f t="array" ref="F460">IFNA(_xlfn.XLOOKUP(D460,Table_Tarikan_Warkah[Nomor Tiket],Table_Tarikan_Warkah[Nama Petugas Warkah]),"")</f>
        <v>David</v>
      </c>
      <c r="G460" s="39" t="str">
        <f t="array" ref="G460">IFNA(_xlfn.XLOOKUP(D460,Table_Tarikan_Warkah[Nomor Tiket],Table_Tarikan_Warkah[Jenis Permohonan]),"")</f>
        <v>BN JUAL BELI</v>
      </c>
      <c r="H460" s="41" t="s">
        <v>11</v>
      </c>
      <c r="I460" s="41" t="s">
        <v>23</v>
      </c>
      <c r="J460" s="36">
        <f t="shared" si="17"/>
        <v>45639.64756</v>
      </c>
      <c r="K460" s="49" t="s">
        <v>26</v>
      </c>
      <c r="L460" s="49" t="s">
        <v>23</v>
      </c>
      <c r="M460" s="36">
        <f t="shared" si="18"/>
        <v>45642.58741</v>
      </c>
      <c r="N460" s="30" t="str">
        <f t="shared" si="3"/>
        <v>Selesai</v>
      </c>
      <c r="O460" s="45">
        <f t="shared" si="12"/>
        <v>45642.58741</v>
      </c>
      <c r="P460" s="47" t="b">
        <v>1</v>
      </c>
      <c r="Q460" s="36">
        <f t="shared" si="19"/>
        <v>45642.66745</v>
      </c>
      <c r="R460" s="47" t="b">
        <v>0</v>
      </c>
      <c r="S460" s="42" t="str">
        <f t="shared" si="6"/>
        <v/>
      </c>
      <c r="T460" s="42"/>
    </row>
    <row r="461" ht="22.5" customHeight="1">
      <c r="B461" s="42">
        <f t="shared" si="7"/>
        <v>455</v>
      </c>
      <c r="C461" s="31" t="s">
        <v>647</v>
      </c>
      <c r="D461" s="34" t="str">
        <f t="array" ref="D461">IFNA(_xlfn.XLOOKUP(C461,Table_Tarikan_Warkah[Nomor Sertipikat],Table_Tarikan_Warkah[Nomor Tiket]),"")</f>
        <v>K/4/031224/1</v>
      </c>
      <c r="E461" s="36" t="str">
        <f t="array" ref="E461">IFNA(_xlfn.XLOOKUP(D461,Table_Tarikan_Warkah[Nomor Tiket],Table_Tarikan_Warkah[Tanggal diserahkan kepada Validator]),"")</f>
        <v/>
      </c>
      <c r="F461" s="36" t="str">
        <f t="array" ref="F461">IFNA(_xlfn.XLOOKUP(D461,Table_Tarikan_Warkah[Nomor Tiket],Table_Tarikan_Warkah[Nama Petugas Warkah]),"")</f>
        <v>Berry</v>
      </c>
      <c r="G461" s="39" t="str">
        <f t="array" ref="G461">IFNA(_xlfn.XLOOKUP(D461,Table_Tarikan_Warkah[Nomor Tiket],Table_Tarikan_Warkah[Jenis Permohonan]),"")</f>
        <v>BN JUAL BELI</v>
      </c>
      <c r="H461" s="41" t="s">
        <v>11</v>
      </c>
      <c r="I461" s="41" t="s">
        <v>23</v>
      </c>
      <c r="J461" s="36">
        <f t="shared" si="17"/>
        <v>45639.64756</v>
      </c>
      <c r="K461" s="49" t="s">
        <v>26</v>
      </c>
      <c r="L461" s="49" t="s">
        <v>23</v>
      </c>
      <c r="M461" s="36">
        <f t="shared" si="18"/>
        <v>45642.58744</v>
      </c>
      <c r="N461" s="30" t="str">
        <f t="shared" si="3"/>
        <v>Selesai</v>
      </c>
      <c r="O461" s="45">
        <f t="shared" si="12"/>
        <v>45642.58744</v>
      </c>
      <c r="P461" s="47" t="b">
        <v>1</v>
      </c>
      <c r="Q461" s="36">
        <f t="shared" si="19"/>
        <v>45642.6674</v>
      </c>
      <c r="R461" s="47" t="b">
        <v>0</v>
      </c>
      <c r="S461" s="42" t="str">
        <f t="shared" si="6"/>
        <v/>
      </c>
      <c r="T461" s="42"/>
    </row>
    <row r="462" ht="22.5" customHeight="1">
      <c r="B462" s="42">
        <f t="shared" si="7"/>
        <v>456</v>
      </c>
      <c r="C462" s="31" t="s">
        <v>648</v>
      </c>
      <c r="D462" s="34" t="str">
        <f t="array" ref="D462">IFNA(_xlfn.XLOOKUP(C462,Table_Tarikan_Warkah[Nomor Sertipikat],Table_Tarikan_Warkah[Nomor Tiket]),"")</f>
        <v>K/42/221124/1</v>
      </c>
      <c r="E462" s="36">
        <f t="array" ref="E462">IFNA(_xlfn.XLOOKUP(D462,Table_Tarikan_Warkah[Nomor Tiket],Table_Tarikan_Warkah[Tanggal diserahkan kepada Validator]),"")</f>
        <v>45673.43404</v>
      </c>
      <c r="F462" s="36" t="str">
        <f t="array" ref="F462">IFNA(_xlfn.XLOOKUP(D462,Table_Tarikan_Warkah[Nomor Tiket],Table_Tarikan_Warkah[Nama Petugas Warkah]),"")</f>
        <v>David</v>
      </c>
      <c r="G462" s="39" t="str">
        <f t="array" ref="G462">IFNA(_xlfn.XLOOKUP(D462,Table_Tarikan_Warkah[Nomor Tiket],Table_Tarikan_Warkah[Jenis Permohonan]),"")</f>
        <v>BN JUAL BELI</v>
      </c>
      <c r="H462" s="41" t="s">
        <v>11</v>
      </c>
      <c r="I462" s="41" t="s">
        <v>23</v>
      </c>
      <c r="J462" s="36">
        <f t="shared" si="17"/>
        <v>45639.64756</v>
      </c>
      <c r="K462" s="49" t="s">
        <v>26</v>
      </c>
      <c r="L462" s="49" t="s">
        <v>23</v>
      </c>
      <c r="M462" s="36">
        <f t="shared" si="18"/>
        <v>45642.5875</v>
      </c>
      <c r="N462" s="30" t="str">
        <f t="shared" si="3"/>
        <v>Selesai</v>
      </c>
      <c r="O462" s="45">
        <f t="shared" si="12"/>
        <v>45642.5875</v>
      </c>
      <c r="P462" s="47" t="b">
        <v>1</v>
      </c>
      <c r="Q462" s="36">
        <f t="shared" si="19"/>
        <v>45642.66735</v>
      </c>
      <c r="R462" s="47" t="b">
        <v>0</v>
      </c>
      <c r="S462" s="42" t="str">
        <f t="shared" si="6"/>
        <v/>
      </c>
      <c r="T462" s="42"/>
    </row>
    <row r="463" ht="22.5" customHeight="1">
      <c r="B463" s="42">
        <f t="shared" si="7"/>
        <v>457</v>
      </c>
      <c r="C463" s="31" t="s">
        <v>649</v>
      </c>
      <c r="D463" s="34" t="str">
        <f t="array" ref="D463">IFNA(_xlfn.XLOOKUP(C463,Table_Tarikan_Warkah[Nomor Sertipikat],Table_Tarikan_Warkah[Nomor Tiket]),"")</f>
        <v>K/41/091224/1</v>
      </c>
      <c r="E463" s="36" t="str">
        <f t="array" ref="E463">IFNA(_xlfn.XLOOKUP(D463,Table_Tarikan_Warkah[Nomor Tiket],Table_Tarikan_Warkah[Tanggal diserahkan kepada Validator]),"")</f>
        <v>13/12/2024 14.20</v>
      </c>
      <c r="F463" s="36" t="str">
        <f t="array" ref="F463">IFNA(_xlfn.XLOOKUP(D463,Table_Tarikan_Warkah[Nomor Tiket],Table_Tarikan_Warkah[Nama Petugas Warkah]),"")</f>
        <v>David</v>
      </c>
      <c r="G463" s="39" t="str">
        <f t="array" ref="G463">IFNA(_xlfn.XLOOKUP(D463,Table_Tarikan_Warkah[Nomor Tiket],Table_Tarikan_Warkah[Jenis Permohonan]),"")</f>
        <v>BN JUAL BELI</v>
      </c>
      <c r="H463" s="41" t="s">
        <v>11</v>
      </c>
      <c r="I463" s="41" t="s">
        <v>12</v>
      </c>
      <c r="J463" s="36">
        <f t="shared" si="17"/>
        <v>45639.64758</v>
      </c>
      <c r="K463" s="49" t="s">
        <v>197</v>
      </c>
      <c r="L463" s="49" t="s">
        <v>12</v>
      </c>
      <c r="M463" s="36">
        <f t="shared" si="18"/>
        <v>45642.58726</v>
      </c>
      <c r="N463" s="30" t="str">
        <f t="shared" si="3"/>
        <v>SELESAI</v>
      </c>
      <c r="O463" s="45">
        <f t="shared" si="12"/>
        <v>45642.58726</v>
      </c>
      <c r="P463" s="47" t="b">
        <v>0</v>
      </c>
      <c r="Q463" s="36" t="str">
        <f t="shared" si="19"/>
        <v/>
      </c>
      <c r="R463" s="47" t="b">
        <v>0</v>
      </c>
      <c r="S463" s="42" t="str">
        <f t="shared" si="6"/>
        <v/>
      </c>
      <c r="T463" s="42"/>
    </row>
    <row r="464" ht="22.5" customHeight="1">
      <c r="B464" s="42">
        <f t="shared" si="7"/>
        <v>458</v>
      </c>
      <c r="C464" s="31" t="s">
        <v>650</v>
      </c>
      <c r="D464" s="34" t="str">
        <f t="array" ref="D464">IFNA(_xlfn.XLOOKUP(C464,Table_Tarikan_Warkah[Nomor Sertipikat],Table_Tarikan_Warkah[Nomor Tiket]),"")</f>
        <v>K/37/101224/2</v>
      </c>
      <c r="E464" s="36" t="str">
        <f t="array" ref="E464">IFNA(_xlfn.XLOOKUP(D464,Table_Tarikan_Warkah[Nomor Tiket],Table_Tarikan_Warkah[Tanggal diserahkan kepada Validator]),"")</f>
        <v>13/12/2024 14.17</v>
      </c>
      <c r="F464" s="36" t="str">
        <f t="array" ref="F464">IFNA(_xlfn.XLOOKUP(D464,Table_Tarikan_Warkah[Nomor Tiket],Table_Tarikan_Warkah[Nama Petugas Warkah]),"")</f>
        <v>David</v>
      </c>
      <c r="G464" s="39" t="str">
        <f t="array" ref="G464">IFNA(_xlfn.XLOOKUP(D464,Table_Tarikan_Warkah[Nomor Tiket],Table_Tarikan_Warkah[Jenis Permohonan]),"")</f>
        <v>BN JUAL BELI</v>
      </c>
      <c r="H464" s="41" t="s">
        <v>11</v>
      </c>
      <c r="I464" s="41" t="s">
        <v>12</v>
      </c>
      <c r="J464" s="36">
        <f t="shared" si="17"/>
        <v>45639.6476</v>
      </c>
      <c r="K464" s="49" t="s">
        <v>197</v>
      </c>
      <c r="L464" s="49" t="s">
        <v>12</v>
      </c>
      <c r="M464" s="36">
        <f t="shared" si="18"/>
        <v>45642.58726</v>
      </c>
      <c r="N464" s="30" t="str">
        <f t="shared" si="3"/>
        <v>SELESAI</v>
      </c>
      <c r="O464" s="45">
        <f t="shared" si="12"/>
        <v>45642.58726</v>
      </c>
      <c r="P464" s="47" t="b">
        <v>0</v>
      </c>
      <c r="Q464" s="36" t="str">
        <f t="shared" si="19"/>
        <v/>
      </c>
      <c r="R464" s="47" t="b">
        <v>1</v>
      </c>
      <c r="S464" s="36">
        <f t="shared" si="6"/>
        <v>45650.39645</v>
      </c>
      <c r="T464" s="60">
        <v>45645.0</v>
      </c>
    </row>
    <row r="465" ht="22.5" customHeight="1">
      <c r="B465" s="42">
        <f t="shared" si="7"/>
        <v>459</v>
      </c>
      <c r="C465" s="31" t="s">
        <v>651</v>
      </c>
      <c r="D465" s="34" t="str">
        <f t="array" ref="D465">IFNA(_xlfn.XLOOKUP(C465,Table_Tarikan_Warkah[Nomor Sertipikat],Table_Tarikan_Warkah[Nomor Tiket]),"")</f>
        <v>L/38/101224/1</v>
      </c>
      <c r="E465" s="36" t="str">
        <f t="array" ref="E465">IFNA(_xlfn.XLOOKUP(D465,Table_Tarikan_Warkah[Nomor Tiket],Table_Tarikan_Warkah[Tanggal diserahkan kepada Validator]),"")</f>
        <v>13/12/2024 14.15</v>
      </c>
      <c r="F465" s="36" t="str">
        <f t="array" ref="F465">IFNA(_xlfn.XLOOKUP(D465,Table_Tarikan_Warkah[Nomor Tiket],Table_Tarikan_Warkah[Nama Petugas Warkah]),"")</f>
        <v>David</v>
      </c>
      <c r="G465" s="39" t="str">
        <f t="array" ref="G465">IFNA(_xlfn.XLOOKUP(D465,Table_Tarikan_Warkah[Nomor Tiket],Table_Tarikan_Warkah[Jenis Permohonan]),"")</f>
        <v>PENATAAN BATAS</v>
      </c>
      <c r="H465" s="41" t="s">
        <v>11</v>
      </c>
      <c r="I465" s="41" t="s">
        <v>12</v>
      </c>
      <c r="J465" s="36">
        <f t="shared" si="17"/>
        <v>45639.6476</v>
      </c>
      <c r="K465" s="49" t="s">
        <v>197</v>
      </c>
      <c r="L465" s="49" t="s">
        <v>12</v>
      </c>
      <c r="M465" s="36">
        <f t="shared" si="18"/>
        <v>45642.58726</v>
      </c>
      <c r="N465" s="30" t="str">
        <f t="shared" si="3"/>
        <v>SELESAI</v>
      </c>
      <c r="O465" s="45">
        <f t="shared" si="12"/>
        <v>45642.58726</v>
      </c>
      <c r="P465" s="47" t="b">
        <v>0</v>
      </c>
      <c r="Q465" s="36" t="str">
        <f t="shared" si="19"/>
        <v/>
      </c>
      <c r="R465" s="47" t="b">
        <v>1</v>
      </c>
      <c r="S465" s="36">
        <f t="shared" si="6"/>
        <v>45650.39297</v>
      </c>
      <c r="T465" s="60">
        <v>45645.0</v>
      </c>
    </row>
    <row r="466" ht="22.5" customHeight="1">
      <c r="B466" s="42">
        <f t="shared" si="7"/>
        <v>460</v>
      </c>
      <c r="C466" s="31" t="s">
        <v>652</v>
      </c>
      <c r="D466" s="34" t="str">
        <f t="array" ref="D466">IFNA(_xlfn.XLOOKUP(C466,Table_Tarikan_Warkah[Nomor Sertipikat],Table_Tarikan_Warkah[Nomor Tiket]),"")</f>
        <v>L/39/101224/2</v>
      </c>
      <c r="E466" s="36" t="str">
        <f t="array" ref="E466">IFNA(_xlfn.XLOOKUP(D466,Table_Tarikan_Warkah[Nomor Tiket],Table_Tarikan_Warkah[Tanggal diserahkan kepada Validator]),"")</f>
        <v>13/12/2024 14.16</v>
      </c>
      <c r="F466" s="36" t="str">
        <f t="array" ref="F466">IFNA(_xlfn.XLOOKUP(D466,Table_Tarikan_Warkah[Nomor Tiket],Table_Tarikan_Warkah[Nama Petugas Warkah]),"")</f>
        <v>David</v>
      </c>
      <c r="G466" s="39" t="str">
        <f t="array" ref="G466">IFNA(_xlfn.XLOOKUP(D466,Table_Tarikan_Warkah[Nomor Tiket],Table_Tarikan_Warkah[Jenis Permohonan]),"")</f>
        <v>PENATAAN BATAS</v>
      </c>
      <c r="H466" s="41" t="s">
        <v>11</v>
      </c>
      <c r="I466" s="41" t="s">
        <v>12</v>
      </c>
      <c r="J466" s="36">
        <f t="shared" si="17"/>
        <v>45639.6476</v>
      </c>
      <c r="K466" s="49" t="s">
        <v>197</v>
      </c>
      <c r="L466" s="49" t="s">
        <v>12</v>
      </c>
      <c r="M466" s="36">
        <f t="shared" si="18"/>
        <v>45642.58732</v>
      </c>
      <c r="N466" s="30" t="str">
        <f t="shared" si="3"/>
        <v>SELESAI</v>
      </c>
      <c r="O466" s="45">
        <f t="shared" si="12"/>
        <v>45642.58732</v>
      </c>
      <c r="P466" s="47" t="b">
        <v>0</v>
      </c>
      <c r="Q466" s="36" t="str">
        <f t="shared" si="19"/>
        <v/>
      </c>
      <c r="R466" s="47" t="b">
        <v>1</v>
      </c>
      <c r="S466" s="36">
        <f t="shared" si="6"/>
        <v>45650.39298</v>
      </c>
      <c r="T466" s="60">
        <v>45645.0</v>
      </c>
    </row>
    <row r="467" ht="22.5" customHeight="1">
      <c r="B467" s="42">
        <f t="shared" si="7"/>
        <v>461</v>
      </c>
      <c r="C467" s="31" t="s">
        <v>653</v>
      </c>
      <c r="D467" s="34" t="str">
        <f t="array" ref="D467">IFNA(_xlfn.XLOOKUP(C467,Table_Tarikan_Warkah[Nomor Sertipikat],Table_Tarikan_Warkah[Nomor Tiket]),"")</f>
        <v>L/31/211124/1</v>
      </c>
      <c r="E467" s="36">
        <f t="array" ref="E467">IFNA(_xlfn.XLOOKUP(D467,Table_Tarikan_Warkah[Nomor Tiket],Table_Tarikan_Warkah[Tanggal diserahkan kepada Validator]),"")</f>
        <v>45687.41319</v>
      </c>
      <c r="F467" s="36" t="str">
        <f t="array" ref="F467">IFNA(_xlfn.XLOOKUP(D467,Table_Tarikan_Warkah[Nomor Tiket],Table_Tarikan_Warkah[Nama Petugas Warkah]),"")</f>
        <v>David</v>
      </c>
      <c r="G467" s="39" t="str">
        <f t="array" ref="G467">IFNA(_xlfn.XLOOKUP(D467,Table_Tarikan_Warkah[Nomor Tiket],Table_Tarikan_Warkah[Jenis Permohonan]),"")</f>
        <v>ROYA</v>
      </c>
      <c r="H467" s="41" t="s">
        <v>20</v>
      </c>
      <c r="I467" s="41" t="s">
        <v>23</v>
      </c>
      <c r="J467" s="36">
        <f t="shared" si="17"/>
        <v>45642.37257</v>
      </c>
      <c r="K467" s="49" t="s">
        <v>26</v>
      </c>
      <c r="L467" s="49" t="s">
        <v>23</v>
      </c>
      <c r="M467" s="36">
        <f t="shared" si="18"/>
        <v>45642.58686</v>
      </c>
      <c r="N467" s="30" t="str">
        <f t="shared" si="3"/>
        <v>Selesai</v>
      </c>
      <c r="O467" s="45">
        <f t="shared" si="12"/>
        <v>45642.58686</v>
      </c>
      <c r="P467" s="47" t="b">
        <v>1</v>
      </c>
      <c r="Q467" s="36">
        <f t="shared" si="19"/>
        <v>45642.66732</v>
      </c>
      <c r="R467" s="47" t="b">
        <v>0</v>
      </c>
      <c r="S467" s="42" t="str">
        <f t="shared" si="6"/>
        <v/>
      </c>
      <c r="T467" s="42"/>
    </row>
    <row r="468" ht="22.5" customHeight="1">
      <c r="B468" s="42">
        <f t="shared" si="7"/>
        <v>462</v>
      </c>
      <c r="C468" s="31" t="s">
        <v>654</v>
      </c>
      <c r="D468" s="34" t="str">
        <f t="array" ref="D468">IFNA(_xlfn.XLOOKUP(C468,Table_Tarikan_Warkah[Nomor Sertipikat],Table_Tarikan_Warkah[Nomor Tiket]),"")</f>
        <v>K/27/121224/1</v>
      </c>
      <c r="E468" s="36" t="str">
        <f t="array" ref="E468">IFNA(_xlfn.XLOOKUP(D468,Table_Tarikan_Warkah[Nomor Tiket],Table_Tarikan_Warkah[Tanggal diserahkan kepada Validator]),"")</f>
        <v>16/12/2024 17.04</v>
      </c>
      <c r="F468" s="36" t="str">
        <f t="array" ref="F468">IFNA(_xlfn.XLOOKUP(D468,Table_Tarikan_Warkah[Nomor Tiket],Table_Tarikan_Warkah[Nama Petugas Warkah]),"")</f>
        <v>Berry</v>
      </c>
      <c r="G468" s="39" t="str">
        <f t="array" ref="G468">IFNA(_xlfn.XLOOKUP(D468,Table_Tarikan_Warkah[Nomor Tiket],Table_Tarikan_Warkah[Jenis Permohonan]),"")</f>
        <v>BN Jual Beli</v>
      </c>
      <c r="H468" s="41" t="s">
        <v>20</v>
      </c>
      <c r="I468" s="41" t="s">
        <v>23</v>
      </c>
      <c r="J468" s="36">
        <f t="shared" si="17"/>
        <v>45642.4183</v>
      </c>
      <c r="K468" s="49" t="s">
        <v>26</v>
      </c>
      <c r="L468" s="49" t="s">
        <v>23</v>
      </c>
      <c r="M468" s="36">
        <f t="shared" si="18"/>
        <v>45642.58693</v>
      </c>
      <c r="N468" s="30" t="str">
        <f t="shared" si="3"/>
        <v>Selesai</v>
      </c>
      <c r="O468" s="45">
        <f t="shared" si="12"/>
        <v>45642.58693</v>
      </c>
      <c r="P468" s="47" t="b">
        <v>1</v>
      </c>
      <c r="Q468" s="36">
        <f t="shared" si="19"/>
        <v>45642.66731</v>
      </c>
      <c r="R468" s="47" t="b">
        <v>1</v>
      </c>
      <c r="S468" s="36">
        <f t="shared" si="6"/>
        <v>45650.40467</v>
      </c>
      <c r="T468" s="60">
        <v>45645.0</v>
      </c>
    </row>
    <row r="469" ht="22.5" customHeight="1">
      <c r="B469" s="42">
        <f t="shared" si="7"/>
        <v>463</v>
      </c>
      <c r="C469" s="31" t="s">
        <v>655</v>
      </c>
      <c r="D469" s="34" t="str">
        <f t="array" ref="D469">IFNA(_xlfn.XLOOKUP(C469,Table_Tarikan_Warkah[Nomor Sertipikat],Table_Tarikan_Warkah[Nomor Tiket]),"")</f>
        <v>K/12/101224/2</v>
      </c>
      <c r="E469" s="36" t="str">
        <f t="array" ref="E469">IFNA(_xlfn.XLOOKUP(D469,Table_Tarikan_Warkah[Nomor Tiket],Table_Tarikan_Warkah[Tanggal diserahkan kepada Validator]),"")</f>
        <v>13/12/2024 14.10</v>
      </c>
      <c r="F469" s="36" t="str">
        <f t="array" ref="F469">IFNA(_xlfn.XLOOKUP(D469,Table_Tarikan_Warkah[Nomor Tiket],Table_Tarikan_Warkah[Nama Petugas Warkah]),"")</f>
        <v>David</v>
      </c>
      <c r="G469" s="39" t="str">
        <f t="array" ref="G469">IFNA(_xlfn.XLOOKUP(D469,Table_Tarikan_Warkah[Nomor Tiket],Table_Tarikan_Warkah[Jenis Permohonan]),"")</f>
        <v>BN JUAL BELI</v>
      </c>
      <c r="H469" s="41" t="s">
        <v>20</v>
      </c>
      <c r="I469" s="41" t="s">
        <v>12</v>
      </c>
      <c r="J469" s="36">
        <f t="shared" si="17"/>
        <v>45642.42518</v>
      </c>
      <c r="K469" s="49" t="s">
        <v>197</v>
      </c>
      <c r="L469" s="49" t="s">
        <v>12</v>
      </c>
      <c r="M469" s="36">
        <f t="shared" si="18"/>
        <v>45642.58664</v>
      </c>
      <c r="N469" s="30" t="str">
        <f t="shared" si="3"/>
        <v>SELESAI</v>
      </c>
      <c r="O469" s="45">
        <f t="shared" si="12"/>
        <v>45642.58664</v>
      </c>
      <c r="P469" s="47" t="b">
        <v>0</v>
      </c>
      <c r="Q469" s="36" t="str">
        <f t="shared" si="19"/>
        <v/>
      </c>
      <c r="R469" s="47" t="b">
        <v>1</v>
      </c>
      <c r="S469" s="36">
        <f t="shared" si="6"/>
        <v>45650.40105</v>
      </c>
      <c r="T469" s="60">
        <v>45645.0</v>
      </c>
    </row>
    <row r="470" ht="22.5" customHeight="1">
      <c r="B470" s="42">
        <f t="shared" si="7"/>
        <v>464</v>
      </c>
      <c r="C470" s="31" t="s">
        <v>656</v>
      </c>
      <c r="D470" s="34" t="str">
        <f t="array" ref="D470">IFNA(_xlfn.XLOOKUP(C470,Table_Tarikan_Warkah[Nomor Sertipikat],Table_Tarikan_Warkah[Nomor Tiket]),"")</f>
        <v>K/19/101224/1</v>
      </c>
      <c r="E470" s="36" t="str">
        <f t="array" ref="E470">IFNA(_xlfn.XLOOKUP(D470,Table_Tarikan_Warkah[Nomor Tiket],Table_Tarikan_Warkah[Tanggal diserahkan kepada Validator]),"")</f>
        <v>13/12/2024 14.12</v>
      </c>
      <c r="F470" s="36" t="str">
        <f t="array" ref="F470">IFNA(_xlfn.XLOOKUP(D470,Table_Tarikan_Warkah[Nomor Tiket],Table_Tarikan_Warkah[Nama Petugas Warkah]),"")</f>
        <v>David</v>
      </c>
      <c r="G470" s="39" t="str">
        <f t="array" ref="G470">IFNA(_xlfn.XLOOKUP(D470,Table_Tarikan_Warkah[Nomor Tiket],Table_Tarikan_Warkah[Jenis Permohonan]),"")</f>
        <v>BN Jual Beli</v>
      </c>
      <c r="H470" s="41" t="s">
        <v>20</v>
      </c>
      <c r="I470" s="41" t="s">
        <v>12</v>
      </c>
      <c r="J470" s="36">
        <f t="shared" si="17"/>
        <v>45642.46203</v>
      </c>
      <c r="K470" s="49" t="s">
        <v>197</v>
      </c>
      <c r="L470" s="49" t="s">
        <v>12</v>
      </c>
      <c r="M470" s="36">
        <f t="shared" si="18"/>
        <v>45642.5867</v>
      </c>
      <c r="N470" s="30" t="str">
        <f t="shared" si="3"/>
        <v>SELESAI</v>
      </c>
      <c r="O470" s="45">
        <f t="shared" si="12"/>
        <v>45642.5867</v>
      </c>
      <c r="P470" s="47" t="b">
        <v>0</v>
      </c>
      <c r="Q470" s="36" t="str">
        <f t="shared" si="19"/>
        <v/>
      </c>
      <c r="R470" s="47" t="b">
        <v>0</v>
      </c>
      <c r="S470" s="42" t="str">
        <f t="shared" si="6"/>
        <v/>
      </c>
      <c r="T470" s="42"/>
    </row>
    <row r="471" ht="22.5" customHeight="1">
      <c r="B471" s="42">
        <f t="shared" si="7"/>
        <v>465</v>
      </c>
      <c r="C471" s="31" t="s">
        <v>657</v>
      </c>
      <c r="D471" s="34" t="str">
        <f t="array" ref="D471">IFNA(_xlfn.XLOOKUP(C471,Table_Tarikan_Warkah[Nomor Sertipikat],Table_Tarikan_Warkah[Nomor Tiket]),"")</f>
        <v>K/13/101224/3</v>
      </c>
      <c r="E471" s="36" t="str">
        <f t="array" ref="E471">IFNA(_xlfn.XLOOKUP(D471,Table_Tarikan_Warkah[Nomor Tiket],Table_Tarikan_Warkah[Tanggal diserahkan kepada Validator]),"")</f>
        <v>13/12/2024 14.10</v>
      </c>
      <c r="F471" s="36" t="str">
        <f t="array" ref="F471">IFNA(_xlfn.XLOOKUP(D471,Table_Tarikan_Warkah[Nomor Tiket],Table_Tarikan_Warkah[Nama Petugas Warkah]),"")</f>
        <v>David</v>
      </c>
      <c r="G471" s="39" t="str">
        <f t="array" ref="G471">IFNA(_xlfn.XLOOKUP(D471,Table_Tarikan_Warkah[Nomor Tiket],Table_Tarikan_Warkah[Jenis Permohonan]),"")</f>
        <v>KEWARISAN</v>
      </c>
      <c r="H471" s="41" t="s">
        <v>20</v>
      </c>
      <c r="I471" s="41" t="s">
        <v>12</v>
      </c>
      <c r="J471" s="36">
        <f t="shared" si="17"/>
        <v>45642.47142</v>
      </c>
      <c r="K471" s="49" t="s">
        <v>197</v>
      </c>
      <c r="L471" s="49" t="s">
        <v>12</v>
      </c>
      <c r="M471" s="36">
        <f t="shared" si="18"/>
        <v>45642.5867</v>
      </c>
      <c r="N471" s="30" t="str">
        <f t="shared" si="3"/>
        <v>SELESAI</v>
      </c>
      <c r="O471" s="45">
        <f t="shared" si="12"/>
        <v>45642.5867</v>
      </c>
      <c r="P471" s="47" t="b">
        <v>0</v>
      </c>
      <c r="Q471" s="36" t="str">
        <f t="shared" si="19"/>
        <v/>
      </c>
      <c r="R471" s="47" t="b">
        <v>1</v>
      </c>
      <c r="S471" s="36">
        <f t="shared" si="6"/>
        <v>45650.40063</v>
      </c>
      <c r="T471" s="60">
        <v>45645.0</v>
      </c>
    </row>
    <row r="472" ht="22.5" customHeight="1">
      <c r="B472" s="42">
        <f t="shared" si="7"/>
        <v>466</v>
      </c>
      <c r="C472" s="31" t="s">
        <v>658</v>
      </c>
      <c r="D472" s="34" t="str">
        <f t="array" ref="D472">IFNA(_xlfn.XLOOKUP(C472,Table_Tarikan_Warkah[Nomor Sertipikat],Table_Tarikan_Warkah[Nomor Tiket]),"")</f>
        <v>K/8/101224/1</v>
      </c>
      <c r="E472" s="36" t="str">
        <f t="array" ref="E472">IFNA(_xlfn.XLOOKUP(D472,Table_Tarikan_Warkah[Nomor Tiket],Table_Tarikan_Warkah[Tanggal diserahkan kepada Validator]),"")</f>
        <v>13/12/2024 14.09</v>
      </c>
      <c r="F472" s="36" t="str">
        <f t="array" ref="F472">IFNA(_xlfn.XLOOKUP(D472,Table_Tarikan_Warkah[Nomor Tiket],Table_Tarikan_Warkah[Nama Petugas Warkah]),"")</f>
        <v>David</v>
      </c>
      <c r="G472" s="39" t="str">
        <f t="array" ref="G472">IFNA(_xlfn.XLOOKUP(D472,Table_Tarikan_Warkah[Nomor Tiket],Table_Tarikan_Warkah[Jenis Permohonan]),"")</f>
        <v>BN Jual Beli</v>
      </c>
      <c r="H472" s="41" t="s">
        <v>20</v>
      </c>
      <c r="I472" s="41" t="s">
        <v>12</v>
      </c>
      <c r="J472" s="36">
        <f t="shared" si="17"/>
        <v>45642.47236</v>
      </c>
      <c r="K472" s="49" t="s">
        <v>197</v>
      </c>
      <c r="L472" s="49" t="s">
        <v>12</v>
      </c>
      <c r="M472" s="36">
        <f t="shared" si="18"/>
        <v>45642.58674</v>
      </c>
      <c r="N472" s="30" t="str">
        <f t="shared" si="3"/>
        <v>SELESAI</v>
      </c>
      <c r="O472" s="45">
        <f t="shared" si="12"/>
        <v>45642.58674</v>
      </c>
      <c r="P472" s="47" t="b">
        <v>0</v>
      </c>
      <c r="Q472" s="36" t="str">
        <f t="shared" si="19"/>
        <v/>
      </c>
      <c r="R472" s="47" t="b">
        <v>1</v>
      </c>
      <c r="S472" s="36">
        <f t="shared" si="6"/>
        <v>45650.40024</v>
      </c>
      <c r="T472" s="60">
        <v>45645.0</v>
      </c>
    </row>
    <row r="473" ht="22.5" customHeight="1">
      <c r="B473" s="42">
        <f t="shared" si="7"/>
        <v>467</v>
      </c>
      <c r="C473" s="31" t="s">
        <v>659</v>
      </c>
      <c r="D473" s="34" t="str">
        <f t="array" ref="D473">IFNA(_xlfn.XLOOKUP(C473,Table_Tarikan_Warkah[Nomor Sertipikat],Table_Tarikan_Warkah[Nomor Tiket]),"")</f>
        <v>L/1/151224/1</v>
      </c>
      <c r="E473" s="36" t="str">
        <f t="array" ref="E473">IFNA(_xlfn.XLOOKUP(D473,Table_Tarikan_Warkah[Nomor Tiket],Table_Tarikan_Warkah[Tanggal diserahkan kepada Validator]),"")</f>
        <v/>
      </c>
      <c r="F473" s="36" t="str">
        <f t="array" ref="F473">IFNA(_xlfn.XLOOKUP(D473,Table_Tarikan_Warkah[Nomor Tiket],Table_Tarikan_Warkah[Nama Petugas Warkah]),"")</f>
        <v>Berry</v>
      </c>
      <c r="G473" s="39" t="str">
        <f t="array" ref="G473">IFNA(_xlfn.XLOOKUP(D473,Table_Tarikan_Warkah[Nomor Tiket],Table_Tarikan_Warkah[Jenis Permohonan]),"")</f>
        <v>Roya</v>
      </c>
      <c r="H473" s="41" t="s">
        <v>20</v>
      </c>
      <c r="I473" s="41" t="s">
        <v>23</v>
      </c>
      <c r="J473" s="36">
        <f t="shared" si="17"/>
        <v>45642.48627</v>
      </c>
      <c r="K473" s="49" t="s">
        <v>26</v>
      </c>
      <c r="L473" s="49" t="s">
        <v>23</v>
      </c>
      <c r="M473" s="36">
        <f t="shared" si="18"/>
        <v>45642.58648</v>
      </c>
      <c r="N473" s="30" t="str">
        <f t="shared" si="3"/>
        <v>Selesai</v>
      </c>
      <c r="O473" s="45">
        <f t="shared" si="12"/>
        <v>45642.58648</v>
      </c>
      <c r="P473" s="47" t="b">
        <v>1</v>
      </c>
      <c r="Q473" s="36">
        <f t="shared" si="19"/>
        <v>45642.66728</v>
      </c>
      <c r="R473" s="47" t="b">
        <v>0</v>
      </c>
      <c r="S473" s="42" t="str">
        <f t="shared" si="6"/>
        <v/>
      </c>
      <c r="T473" s="42"/>
    </row>
    <row r="474" ht="22.5" customHeight="1">
      <c r="B474" s="42">
        <f t="shared" si="7"/>
        <v>468</v>
      </c>
      <c r="C474" s="31" t="s">
        <v>660</v>
      </c>
      <c r="D474" s="34" t="str">
        <f t="array" ref="D474">IFNA(_xlfn.XLOOKUP(C474,Table_Tarikan_Warkah[Nomor Sertipikat],Table_Tarikan_Warkah[Nomor Tiket]),"")</f>
        <v>K/1/101224/1</v>
      </c>
      <c r="E474" s="36" t="str">
        <f t="array" ref="E474">IFNA(_xlfn.XLOOKUP(D474,Table_Tarikan_Warkah[Nomor Tiket],Table_Tarikan_Warkah[Tanggal diserahkan kepada Validator]),"")</f>
        <v>13/12/2024 14.08</v>
      </c>
      <c r="F474" s="36" t="str">
        <f t="array" ref="F474">IFNA(_xlfn.XLOOKUP(D474,Table_Tarikan_Warkah[Nomor Tiket],Table_Tarikan_Warkah[Nama Petugas Warkah]),"")</f>
        <v>David</v>
      </c>
      <c r="G474" s="39" t="str">
        <f t="array" ref="G474">IFNA(_xlfn.XLOOKUP(D474,Table_Tarikan_Warkah[Nomor Tiket],Table_Tarikan_Warkah[Jenis Permohonan]),"")</f>
        <v>ROYA</v>
      </c>
      <c r="H474" s="41" t="s">
        <v>20</v>
      </c>
      <c r="I474" s="41" t="s">
        <v>12</v>
      </c>
      <c r="J474" s="36">
        <f t="shared" si="17"/>
        <v>45642.56804</v>
      </c>
      <c r="K474" s="49" t="s">
        <v>197</v>
      </c>
      <c r="L474" s="49" t="s">
        <v>12</v>
      </c>
      <c r="M474" s="36">
        <f t="shared" si="18"/>
        <v>45642.58638</v>
      </c>
      <c r="N474" s="30" t="str">
        <f t="shared" si="3"/>
        <v>SELESAI</v>
      </c>
      <c r="O474" s="45">
        <f t="shared" si="12"/>
        <v>45642.58638</v>
      </c>
      <c r="P474" s="47" t="b">
        <v>0</v>
      </c>
      <c r="Q474" s="36" t="str">
        <f t="shared" si="19"/>
        <v/>
      </c>
      <c r="R474" s="47" t="b">
        <v>1</v>
      </c>
      <c r="S474" s="36">
        <f t="shared" si="6"/>
        <v>45650.39708</v>
      </c>
      <c r="T474" s="60">
        <v>45645.0</v>
      </c>
    </row>
    <row r="475" ht="22.5" customHeight="1">
      <c r="B475" s="42">
        <f t="shared" si="7"/>
        <v>469</v>
      </c>
      <c r="C475" s="31" t="s">
        <v>661</v>
      </c>
      <c r="D475" s="34" t="str">
        <f t="array" ref="D475">IFNA(_xlfn.XLOOKUP(C475,Table_Tarikan_Warkah[Nomor Sertipikat],Table_Tarikan_Warkah[Nomor Tiket]),"")</f>
        <v>K/30/111224/1</v>
      </c>
      <c r="E475" s="36" t="str">
        <f t="array" ref="E475">IFNA(_xlfn.XLOOKUP(D475,Table_Tarikan_Warkah[Nomor Tiket],Table_Tarikan_Warkah[Tanggal diserahkan kepada Validator]),"")</f>
        <v/>
      </c>
      <c r="F475" s="36" t="str">
        <f t="array" ref="F475">IFNA(_xlfn.XLOOKUP(D475,Table_Tarikan_Warkah[Nomor Tiket],Table_Tarikan_Warkah[Nama Petugas Warkah]),"")</f>
        <v>David</v>
      </c>
      <c r="G475" s="39" t="str">
        <f t="array" ref="G475">IFNA(_xlfn.XLOOKUP(D475,Table_Tarikan_Warkah[Nomor Tiket],Table_Tarikan_Warkah[Jenis Permohonan]),"")</f>
        <v>BN JUAL HIBAH</v>
      </c>
      <c r="H475" s="41" t="s">
        <v>11</v>
      </c>
      <c r="I475" s="41" t="s">
        <v>23</v>
      </c>
      <c r="J475" s="36">
        <f t="shared" si="17"/>
        <v>45642.68115</v>
      </c>
      <c r="K475" s="49" t="s">
        <v>26</v>
      </c>
      <c r="L475" s="49" t="s">
        <v>23</v>
      </c>
      <c r="M475" s="36">
        <f t="shared" si="18"/>
        <v>45642.71275</v>
      </c>
      <c r="N475" s="30" t="str">
        <f t="shared" si="3"/>
        <v>Selesai</v>
      </c>
      <c r="O475" s="45">
        <f t="shared" si="12"/>
        <v>45642.71275</v>
      </c>
      <c r="P475" s="47" t="b">
        <v>1</v>
      </c>
      <c r="Q475" s="36">
        <f t="shared" si="19"/>
        <v>45642.71289</v>
      </c>
      <c r="R475" s="47" t="b">
        <v>0</v>
      </c>
      <c r="S475" s="42" t="str">
        <f t="shared" si="6"/>
        <v/>
      </c>
      <c r="T475" s="42"/>
    </row>
    <row r="476" ht="22.5" customHeight="1">
      <c r="B476" s="42">
        <f t="shared" si="7"/>
        <v>470</v>
      </c>
      <c r="C476" s="31" t="s">
        <v>662</v>
      </c>
      <c r="D476" s="34" t="str">
        <f t="array" ref="D476">IFNA(_xlfn.XLOOKUP(C476,Table_Tarikan_Warkah[Nomor Sertipikat],Table_Tarikan_Warkah[Nomor Tiket]),"")</f>
        <v>K/29/051224/1</v>
      </c>
      <c r="E476" s="36" t="str">
        <f t="array" ref="E476">IFNA(_xlfn.XLOOKUP(D476,Table_Tarikan_Warkah[Nomor Tiket],Table_Tarikan_Warkah[Tanggal diserahkan kepada Validator]),"")</f>
        <v/>
      </c>
      <c r="F476" s="36" t="str">
        <f t="array" ref="F476">IFNA(_xlfn.XLOOKUP(D476,Table_Tarikan_Warkah[Nomor Tiket],Table_Tarikan_Warkah[Nama Petugas Warkah]),"")</f>
        <v>Berry</v>
      </c>
      <c r="G476" s="39" t="str">
        <f t="array" ref="G476">IFNA(_xlfn.XLOOKUP(D476,Table_Tarikan_Warkah[Nomor Tiket],Table_Tarikan_Warkah[Jenis Permohonan]),"")</f>
        <v>BN Hibah</v>
      </c>
      <c r="H476" s="41" t="s">
        <v>11</v>
      </c>
      <c r="I476" s="41" t="s">
        <v>23</v>
      </c>
      <c r="J476" s="36">
        <f t="shared" si="17"/>
        <v>45642.68122</v>
      </c>
      <c r="K476" s="49" t="s">
        <v>26</v>
      </c>
      <c r="L476" s="49" t="s">
        <v>23</v>
      </c>
      <c r="M476" s="36">
        <f t="shared" si="18"/>
        <v>45642.71275</v>
      </c>
      <c r="N476" s="30" t="str">
        <f t="shared" si="3"/>
        <v>Selesai</v>
      </c>
      <c r="O476" s="45">
        <f t="shared" si="12"/>
        <v>45642.71275</v>
      </c>
      <c r="P476" s="47" t="b">
        <v>1</v>
      </c>
      <c r="Q476" s="36">
        <f t="shared" si="19"/>
        <v>45642.7129</v>
      </c>
      <c r="R476" s="47" t="b">
        <v>0</v>
      </c>
      <c r="S476" s="42" t="str">
        <f t="shared" si="6"/>
        <v/>
      </c>
      <c r="T476" s="42"/>
    </row>
    <row r="477" ht="22.5" customHeight="1">
      <c r="B477" s="42">
        <f t="shared" si="7"/>
        <v>471</v>
      </c>
      <c r="C477" s="31" t="s">
        <v>663</v>
      </c>
      <c r="D477" s="34" t="str">
        <f t="array" ref="D477">IFNA(_xlfn.XLOOKUP(C477,Table_Tarikan_Warkah[Nomor Sertipikat],Table_Tarikan_Warkah[Nomor Tiket]),"")</f>
        <v>K/21/121224/1</v>
      </c>
      <c r="E477" s="36" t="str">
        <f t="array" ref="E477">IFNA(_xlfn.XLOOKUP(D477,Table_Tarikan_Warkah[Nomor Tiket],Table_Tarikan_Warkah[Tanggal diserahkan kepada Validator]),"")</f>
        <v/>
      </c>
      <c r="F477" s="36" t="str">
        <f t="array" ref="F477">IFNA(_xlfn.XLOOKUP(D477,Table_Tarikan_Warkah[Nomor Tiket],Table_Tarikan_Warkah[Nama Petugas Warkah]),"")</f>
        <v>David</v>
      </c>
      <c r="G477" s="39" t="str">
        <f t="array" ref="G477">IFNA(_xlfn.XLOOKUP(D477,Table_Tarikan_Warkah[Nomor Tiket],Table_Tarikan_Warkah[Jenis Permohonan]),"")</f>
        <v>Perubahan Hak</v>
      </c>
      <c r="H477" s="41" t="s">
        <v>11</v>
      </c>
      <c r="I477" s="41" t="s">
        <v>23</v>
      </c>
      <c r="J477" s="36">
        <f t="shared" si="17"/>
        <v>45642.68122</v>
      </c>
      <c r="K477" s="49" t="s">
        <v>26</v>
      </c>
      <c r="L477" s="49" t="s">
        <v>23</v>
      </c>
      <c r="M477" s="36">
        <f t="shared" si="18"/>
        <v>45642.71277</v>
      </c>
      <c r="N477" s="30" t="str">
        <f t="shared" si="3"/>
        <v>Selesai</v>
      </c>
      <c r="O477" s="45">
        <f t="shared" si="12"/>
        <v>45642.71277</v>
      </c>
      <c r="P477" s="47" t="b">
        <v>1</v>
      </c>
      <c r="Q477" s="36">
        <f t="shared" si="19"/>
        <v>45642.71291</v>
      </c>
      <c r="R477" s="47" t="b">
        <v>0</v>
      </c>
      <c r="S477" s="42" t="str">
        <f t="shared" si="6"/>
        <v/>
      </c>
      <c r="T477" s="42"/>
    </row>
    <row r="478" ht="22.5" customHeight="1">
      <c r="B478" s="42">
        <f t="shared" si="7"/>
        <v>472</v>
      </c>
      <c r="C478" s="31" t="s">
        <v>664</v>
      </c>
      <c r="D478" s="34" t="str">
        <f t="array" ref="D478">IFNA(_xlfn.XLOOKUP(C478,Table_Tarikan_Warkah[Nomor Sertipikat],Table_Tarikan_Warkah[Nomor Tiket]),"")</f>
        <v>K/9/101224/1</v>
      </c>
      <c r="E478" s="36">
        <f t="array" ref="E478">IFNA(_xlfn.XLOOKUP(D478,Table_Tarikan_Warkah[Nomor Tiket],Table_Tarikan_Warkah[Tanggal diserahkan kepada Validator]),"")</f>
        <v>45702.61824</v>
      </c>
      <c r="F478" s="36" t="str">
        <f t="array" ref="F478">IFNA(_xlfn.XLOOKUP(D478,Table_Tarikan_Warkah[Nomor Tiket],Table_Tarikan_Warkah[Nama Petugas Warkah]),"")</f>
        <v>David</v>
      </c>
      <c r="G478" s="39" t="str">
        <f t="array" ref="G478">IFNA(_xlfn.XLOOKUP(D478,Table_Tarikan_Warkah[Nomor Tiket],Table_Tarikan_Warkah[Jenis Permohonan]),"")</f>
        <v>Roya</v>
      </c>
      <c r="H478" s="41" t="s">
        <v>11</v>
      </c>
      <c r="I478" s="41" t="s">
        <v>23</v>
      </c>
      <c r="J478" s="36">
        <f t="shared" si="17"/>
        <v>45642.68122</v>
      </c>
      <c r="K478" s="49" t="s">
        <v>26</v>
      </c>
      <c r="L478" s="49" t="s">
        <v>23</v>
      </c>
      <c r="M478" s="36">
        <f t="shared" si="18"/>
        <v>45642.71277</v>
      </c>
      <c r="N478" s="30" t="str">
        <f t="shared" si="3"/>
        <v>Selesai</v>
      </c>
      <c r="O478" s="45">
        <f t="shared" si="12"/>
        <v>45642.71277</v>
      </c>
      <c r="P478" s="47" t="b">
        <v>1</v>
      </c>
      <c r="Q478" s="36">
        <f t="shared" si="19"/>
        <v>45642.71292</v>
      </c>
      <c r="R478" s="47" t="b">
        <v>0</v>
      </c>
      <c r="S478" s="42" t="str">
        <f t="shared" si="6"/>
        <v/>
      </c>
      <c r="T478" s="42"/>
    </row>
    <row r="479" ht="22.5" customHeight="1">
      <c r="B479" s="42">
        <f t="shared" si="7"/>
        <v>473</v>
      </c>
      <c r="C479" s="31" t="s">
        <v>665</v>
      </c>
      <c r="D479" s="34" t="str">
        <f t="array" ref="D479">IFNA(_xlfn.XLOOKUP(C479,Table_Tarikan_Warkah[Nomor Sertipikat],Table_Tarikan_Warkah[Nomor Tiket]),"")</f>
        <v>L/26/061224/1</v>
      </c>
      <c r="E479" s="36" t="str">
        <f t="array" ref="E479">IFNA(_xlfn.XLOOKUP(D479,Table_Tarikan_Warkah[Nomor Tiket],Table_Tarikan_Warkah[Tanggal diserahkan kepada Validator]),"")</f>
        <v>13/12/2024 14.18</v>
      </c>
      <c r="F479" s="36" t="str">
        <f t="array" ref="F479">IFNA(_xlfn.XLOOKUP(D479,Table_Tarikan_Warkah[Nomor Tiket],Table_Tarikan_Warkah[Nama Petugas Warkah]),"")</f>
        <v>Berry</v>
      </c>
      <c r="G479" s="39" t="str">
        <f t="array" ref="G479">IFNA(_xlfn.XLOOKUP(D479,Table_Tarikan_Warkah[Nomor Tiket],Table_Tarikan_Warkah[Jenis Permohonan]),"")</f>
        <v>ROYA</v>
      </c>
      <c r="H479" s="41" t="s">
        <v>11</v>
      </c>
      <c r="I479" s="41" t="s">
        <v>12</v>
      </c>
      <c r="J479" s="36">
        <f t="shared" si="17"/>
        <v>45642.68124</v>
      </c>
      <c r="K479" s="49" t="s">
        <v>197</v>
      </c>
      <c r="L479" s="49" t="s">
        <v>12</v>
      </c>
      <c r="M479" s="36">
        <f t="shared" si="18"/>
        <v>45650.47758</v>
      </c>
      <c r="N479" s="30" t="str">
        <f t="shared" si="3"/>
        <v>SELESAI</v>
      </c>
      <c r="O479" s="45">
        <f t="shared" si="12"/>
        <v>45650.47758</v>
      </c>
      <c r="P479" s="47" t="b">
        <v>0</v>
      </c>
      <c r="Q479" s="36" t="str">
        <f t="shared" si="19"/>
        <v/>
      </c>
      <c r="R479" s="47" t="b">
        <v>1</v>
      </c>
      <c r="S479" s="36">
        <f t="shared" si="6"/>
        <v>45650.39777</v>
      </c>
      <c r="T479" s="60">
        <v>45645.0</v>
      </c>
    </row>
    <row r="480" ht="22.5" customHeight="1">
      <c r="B480" s="42">
        <f t="shared" si="7"/>
        <v>474</v>
      </c>
      <c r="C480" s="31" t="s">
        <v>666</v>
      </c>
      <c r="D480" s="34" t="str">
        <f t="array" ref="D480">IFNA(_xlfn.XLOOKUP(C480,Table_Tarikan_Warkah[Nomor Sertipikat],Table_Tarikan_Warkah[Nomor Tiket]),"")</f>
        <v>K/30/101224/1</v>
      </c>
      <c r="E480" s="36" t="str">
        <f t="array" ref="E480">IFNA(_xlfn.XLOOKUP(D480,Table_Tarikan_Warkah[Nomor Tiket],Table_Tarikan_Warkah[Tanggal diserahkan kepada Validator]),"")</f>
        <v>13/12/2024 14.16</v>
      </c>
      <c r="F480" s="36" t="str">
        <f t="array" ref="F480">IFNA(_xlfn.XLOOKUP(D480,Table_Tarikan_Warkah[Nomor Tiket],Table_Tarikan_Warkah[Nama Petugas Warkah]),"")</f>
        <v>David</v>
      </c>
      <c r="G480" s="39" t="str">
        <f t="array" ref="G480">IFNA(_xlfn.XLOOKUP(D480,Table_Tarikan_Warkah[Nomor Tiket],Table_Tarikan_Warkah[Jenis Permohonan]),"")</f>
        <v>Roya</v>
      </c>
      <c r="H480" s="41" t="s">
        <v>11</v>
      </c>
      <c r="I480" s="41" t="s">
        <v>12</v>
      </c>
      <c r="J480" s="36">
        <f t="shared" si="17"/>
        <v>45642.6813</v>
      </c>
      <c r="K480" s="49" t="s">
        <v>197</v>
      </c>
      <c r="L480" s="49" t="s">
        <v>12</v>
      </c>
      <c r="M480" s="36">
        <f t="shared" si="18"/>
        <v>45650.47758</v>
      </c>
      <c r="N480" s="30" t="str">
        <f t="shared" si="3"/>
        <v>SELESAI</v>
      </c>
      <c r="O480" s="45">
        <f t="shared" si="12"/>
        <v>45650.47758</v>
      </c>
      <c r="P480" s="47" t="b">
        <v>0</v>
      </c>
      <c r="Q480" s="36" t="str">
        <f t="shared" si="19"/>
        <v/>
      </c>
      <c r="R480" s="47" t="b">
        <v>1</v>
      </c>
      <c r="S480" s="36">
        <f t="shared" si="6"/>
        <v>45650.39778</v>
      </c>
      <c r="T480" s="60">
        <v>45645.0</v>
      </c>
    </row>
    <row r="481" ht="22.5" customHeight="1">
      <c r="B481" s="42">
        <f t="shared" si="7"/>
        <v>475</v>
      </c>
      <c r="C481" s="31" t="s">
        <v>667</v>
      </c>
      <c r="D481" s="34" t="str">
        <f t="array" ref="D481">IFNA(_xlfn.XLOOKUP(C481,Table_Tarikan_Warkah[Nomor Sertipikat],Table_Tarikan_Warkah[Nomor Tiket]),"")</f>
        <v>K/44/061224/1</v>
      </c>
      <c r="E481" s="36" t="str">
        <f t="array" ref="E481">IFNA(_xlfn.XLOOKUP(D481,Table_Tarikan_Warkah[Nomor Tiket],Table_Tarikan_Warkah[Tanggal diserahkan kepada Validator]),"")</f>
        <v>13/12/2024 14.19</v>
      </c>
      <c r="F481" s="36" t="str">
        <f t="array" ref="F481">IFNA(_xlfn.XLOOKUP(D481,Table_Tarikan_Warkah[Nomor Tiket],Table_Tarikan_Warkah[Nama Petugas Warkah]),"")</f>
        <v>David</v>
      </c>
      <c r="G481" s="39" t="str">
        <f t="array" ref="G481">IFNA(_xlfn.XLOOKUP(D481,Table_Tarikan_Warkah[Nomor Tiket],Table_Tarikan_Warkah[Jenis Permohonan]),"")</f>
        <v>BN Jual Beli</v>
      </c>
      <c r="H481" s="41" t="s">
        <v>11</v>
      </c>
      <c r="I481" s="41" t="s">
        <v>12</v>
      </c>
      <c r="J481" s="36">
        <f t="shared" si="17"/>
        <v>45642.6813</v>
      </c>
      <c r="K481" s="49" t="s">
        <v>197</v>
      </c>
      <c r="L481" s="49" t="s">
        <v>12</v>
      </c>
      <c r="M481" s="36">
        <f t="shared" si="18"/>
        <v>45650.47758</v>
      </c>
      <c r="N481" s="30" t="str">
        <f t="shared" si="3"/>
        <v>SELESAI</v>
      </c>
      <c r="O481" s="45">
        <f t="shared" si="12"/>
        <v>45650.47758</v>
      </c>
      <c r="P481" s="47" t="b">
        <v>0</v>
      </c>
      <c r="Q481" s="36" t="str">
        <f t="shared" si="19"/>
        <v/>
      </c>
      <c r="R481" s="47" t="b">
        <v>1</v>
      </c>
      <c r="S481" s="36">
        <f t="shared" si="6"/>
        <v>45650.40157</v>
      </c>
      <c r="T481" s="60">
        <v>45645.0</v>
      </c>
    </row>
    <row r="482" ht="22.5" customHeight="1">
      <c r="B482" s="42">
        <f t="shared" si="7"/>
        <v>476</v>
      </c>
      <c r="C482" s="31" t="s">
        <v>668</v>
      </c>
      <c r="D482" s="34" t="str">
        <f t="array" ref="D482">IFNA(_xlfn.XLOOKUP(C482,Table_Tarikan_Warkah[Nomor Sertipikat],Table_Tarikan_Warkah[Nomor Tiket]),"")</f>
        <v>K/30/121224/3</v>
      </c>
      <c r="E482" s="36" t="str">
        <f t="array" ref="E482">IFNA(_xlfn.XLOOKUP(D482,Table_Tarikan_Warkah[Nomor Tiket],Table_Tarikan_Warkah[Tanggal diserahkan kepada Validator]),"")</f>
        <v>16/12/2024 17.03</v>
      </c>
      <c r="F482" s="36" t="str">
        <f t="array" ref="F482">IFNA(_xlfn.XLOOKUP(D482,Table_Tarikan_Warkah[Nomor Tiket],Table_Tarikan_Warkah[Nama Petugas Warkah]),"")</f>
        <v>David</v>
      </c>
      <c r="G482" s="39" t="str">
        <f t="array" ref="G482">IFNA(_xlfn.XLOOKUP(D482,Table_Tarikan_Warkah[Nomor Tiket],Table_Tarikan_Warkah[Jenis Permohonan]),"")</f>
        <v>BN JUAL BELI</v>
      </c>
      <c r="H482" s="41" t="s">
        <v>20</v>
      </c>
      <c r="I482" s="41" t="s">
        <v>12</v>
      </c>
      <c r="J482" s="36">
        <f t="shared" si="17"/>
        <v>45643.59683</v>
      </c>
      <c r="K482" s="49" t="s">
        <v>197</v>
      </c>
      <c r="L482" s="49" t="s">
        <v>12</v>
      </c>
      <c r="M482" s="36">
        <f t="shared" si="18"/>
        <v>45650.47758</v>
      </c>
      <c r="N482" s="30" t="str">
        <f t="shared" si="3"/>
        <v>SELESAI</v>
      </c>
      <c r="O482" s="45">
        <f t="shared" si="12"/>
        <v>45650.47758</v>
      </c>
      <c r="P482" s="47" t="b">
        <v>0</v>
      </c>
      <c r="Q482" s="36" t="str">
        <f t="shared" si="19"/>
        <v/>
      </c>
      <c r="R482" s="47" t="b">
        <v>1</v>
      </c>
      <c r="S482" s="36">
        <f t="shared" si="6"/>
        <v>45650.40406</v>
      </c>
      <c r="T482" s="60">
        <v>45645.0</v>
      </c>
    </row>
    <row r="483" ht="22.5" customHeight="1">
      <c r="B483" s="42">
        <f t="shared" si="7"/>
        <v>477</v>
      </c>
      <c r="C483" s="31" t="s">
        <v>669</v>
      </c>
      <c r="D483" s="34" t="str">
        <f t="array" ref="D483">IFNA(_xlfn.XLOOKUP(C483,Table_Tarikan_Warkah[Nomor Sertipikat],Table_Tarikan_Warkah[Nomor Tiket]),"")</f>
        <v>K/31/121224/4</v>
      </c>
      <c r="E483" s="36" t="str">
        <f t="array" ref="E483">IFNA(_xlfn.XLOOKUP(D483,Table_Tarikan_Warkah[Nomor Tiket],Table_Tarikan_Warkah[Tanggal diserahkan kepada Validator]),"")</f>
        <v>16/12/2024 17.04</v>
      </c>
      <c r="F483" s="36" t="str">
        <f t="array" ref="F483">IFNA(_xlfn.XLOOKUP(D483,Table_Tarikan_Warkah[Nomor Tiket],Table_Tarikan_Warkah[Nama Petugas Warkah]),"")</f>
        <v>Berry</v>
      </c>
      <c r="G483" s="39" t="str">
        <f t="array" ref="G483">IFNA(_xlfn.XLOOKUP(D483,Table_Tarikan_Warkah[Nomor Tiket],Table_Tarikan_Warkah[Jenis Permohonan]),"")</f>
        <v>BN JUAL BELI</v>
      </c>
      <c r="H483" s="41" t="s">
        <v>20</v>
      </c>
      <c r="I483" s="41" t="s">
        <v>12</v>
      </c>
      <c r="J483" s="36">
        <f t="shared" si="17"/>
        <v>45643.59683</v>
      </c>
      <c r="K483" s="49" t="s">
        <v>197</v>
      </c>
      <c r="L483" s="49" t="s">
        <v>12</v>
      </c>
      <c r="M483" s="36">
        <f t="shared" si="18"/>
        <v>45650.47758</v>
      </c>
      <c r="N483" s="30" t="str">
        <f t="shared" si="3"/>
        <v>SELESAI</v>
      </c>
      <c r="O483" s="45">
        <f t="shared" si="12"/>
        <v>45650.47758</v>
      </c>
      <c r="P483" s="47" t="b">
        <v>0</v>
      </c>
      <c r="Q483" s="36" t="str">
        <f t="shared" si="19"/>
        <v/>
      </c>
      <c r="R483" s="47" t="b">
        <v>1</v>
      </c>
      <c r="S483" s="36">
        <f t="shared" si="6"/>
        <v>45650.47758</v>
      </c>
      <c r="T483" s="60">
        <v>45645.0</v>
      </c>
    </row>
    <row r="484" ht="22.5" customHeight="1">
      <c r="B484" s="42">
        <f t="shared" si="7"/>
        <v>478</v>
      </c>
      <c r="C484" s="31" t="s">
        <v>670</v>
      </c>
      <c r="D484" s="34" t="str">
        <f t="array" ref="D484">IFNA(_xlfn.XLOOKUP(C484,Table_Tarikan_Warkah[Nomor Sertipikat],Table_Tarikan_Warkah[Nomor Tiket]),"")</f>
        <v>K/10/131224/2</v>
      </c>
      <c r="E484" s="36" t="str">
        <f t="array" ref="E484">IFNA(_xlfn.XLOOKUP(D484,Table_Tarikan_Warkah[Nomor Tiket],Table_Tarikan_Warkah[Tanggal diserahkan kepada Validator]),"")</f>
        <v>16/12/2024 17.05</v>
      </c>
      <c r="F484" s="36" t="str">
        <f t="array" ref="F484">IFNA(_xlfn.XLOOKUP(D484,Table_Tarikan_Warkah[Nomor Tiket],Table_Tarikan_Warkah[Nama Petugas Warkah]),"")</f>
        <v>Berry</v>
      </c>
      <c r="G484" s="39" t="str">
        <f t="array" ref="G484">IFNA(_xlfn.XLOOKUP(D484,Table_Tarikan_Warkah[Nomor Tiket],Table_Tarikan_Warkah[Jenis Permohonan]),"")</f>
        <v>BN Jual Beli</v>
      </c>
      <c r="H484" s="41" t="s">
        <v>20</v>
      </c>
      <c r="I484" s="41" t="s">
        <v>12</v>
      </c>
      <c r="J484" s="36">
        <f t="shared" si="17"/>
        <v>45643.59683</v>
      </c>
      <c r="K484" s="49" t="s">
        <v>197</v>
      </c>
      <c r="L484" s="49" t="s">
        <v>12</v>
      </c>
      <c r="M484" s="36">
        <f t="shared" si="18"/>
        <v>45650.47758</v>
      </c>
      <c r="N484" s="30" t="str">
        <f t="shared" si="3"/>
        <v>SELESAI</v>
      </c>
      <c r="O484" s="45">
        <f t="shared" si="12"/>
        <v>45650.47758</v>
      </c>
      <c r="P484" s="47" t="b">
        <v>0</v>
      </c>
      <c r="Q484" s="36" t="str">
        <f t="shared" si="19"/>
        <v/>
      </c>
      <c r="R484" s="47" t="b">
        <v>1</v>
      </c>
      <c r="S484" s="36">
        <f t="shared" si="6"/>
        <v>45650.40482</v>
      </c>
      <c r="T484" s="60">
        <v>45645.0</v>
      </c>
    </row>
    <row r="485" ht="22.5" customHeight="1">
      <c r="B485" s="42">
        <f t="shared" si="7"/>
        <v>479</v>
      </c>
      <c r="C485" s="31" t="s">
        <v>671</v>
      </c>
      <c r="D485" s="34" t="str">
        <f t="array" ref="D485">IFNA(_xlfn.XLOOKUP(C485,Table_Tarikan_Warkah[Nomor Sertipikat],Table_Tarikan_Warkah[Nomor Tiket]),"")</f>
        <v>K/14/131224/2</v>
      </c>
      <c r="E485" s="36" t="str">
        <f t="array" ref="E485">IFNA(_xlfn.XLOOKUP(D485,Table_Tarikan_Warkah[Nomor Tiket],Table_Tarikan_Warkah[Tanggal diserahkan kepada Validator]),"")</f>
        <v>16/12/2024 17.06</v>
      </c>
      <c r="F485" s="36" t="str">
        <f t="array" ref="F485">IFNA(_xlfn.XLOOKUP(D485,Table_Tarikan_Warkah[Nomor Tiket],Table_Tarikan_Warkah[Nama Petugas Warkah]),"")</f>
        <v>Berry</v>
      </c>
      <c r="G485" s="39" t="str">
        <f t="array" ref="G485">IFNA(_xlfn.XLOOKUP(D485,Table_Tarikan_Warkah[Nomor Tiket],Table_Tarikan_Warkah[Jenis Permohonan]),"")</f>
        <v>BN JUAL BELI</v>
      </c>
      <c r="H485" s="41" t="s">
        <v>20</v>
      </c>
      <c r="I485" s="41" t="s">
        <v>12</v>
      </c>
      <c r="J485" s="36">
        <f t="shared" si="17"/>
        <v>45643.59683</v>
      </c>
      <c r="K485" s="49" t="s">
        <v>197</v>
      </c>
      <c r="L485" s="49" t="s">
        <v>12</v>
      </c>
      <c r="M485" s="36">
        <f t="shared" si="18"/>
        <v>45650.47758</v>
      </c>
      <c r="N485" s="30" t="str">
        <f t="shared" si="3"/>
        <v>SELESAI</v>
      </c>
      <c r="O485" s="45">
        <f t="shared" si="12"/>
        <v>45650.47758</v>
      </c>
      <c r="P485" s="47" t="b">
        <v>0</v>
      </c>
      <c r="Q485" s="36" t="str">
        <f t="shared" si="19"/>
        <v/>
      </c>
      <c r="R485" s="47" t="b">
        <v>1</v>
      </c>
      <c r="S485" s="36">
        <f t="shared" si="6"/>
        <v>45650.40496</v>
      </c>
      <c r="T485" s="60">
        <v>45645.0</v>
      </c>
    </row>
    <row r="486" ht="22.5" customHeight="1">
      <c r="B486" s="42">
        <f t="shared" si="7"/>
        <v>480</v>
      </c>
      <c r="C486" s="31" t="s">
        <v>672</v>
      </c>
      <c r="D486" s="34" t="str">
        <f t="array" ref="D486">IFNA(_xlfn.XLOOKUP(C486,Table_Tarikan_Warkah[Nomor Sertipikat],Table_Tarikan_Warkah[Nomor Tiket]),"")</f>
        <v>K/17/131224/2</v>
      </c>
      <c r="E486" s="36" t="str">
        <f t="array" ref="E486">IFNA(_xlfn.XLOOKUP(D486,Table_Tarikan_Warkah[Nomor Tiket],Table_Tarikan_Warkah[Tanggal diserahkan kepada Validator]),"")</f>
        <v>16/12/2024 17.07</v>
      </c>
      <c r="F486" s="36" t="str">
        <f t="array" ref="F486">IFNA(_xlfn.XLOOKUP(D486,Table_Tarikan_Warkah[Nomor Tiket],Table_Tarikan_Warkah[Nama Petugas Warkah]),"")</f>
        <v>Berry</v>
      </c>
      <c r="G486" s="39" t="str">
        <f t="array" ref="G486">IFNA(_xlfn.XLOOKUP(D486,Table_Tarikan_Warkah[Nomor Tiket],Table_Tarikan_Warkah[Jenis Permohonan]),"")</f>
        <v>BN JUAL BELI</v>
      </c>
      <c r="H486" s="41" t="s">
        <v>20</v>
      </c>
      <c r="I486" s="41" t="s">
        <v>12</v>
      </c>
      <c r="J486" s="36">
        <f t="shared" si="17"/>
        <v>45643.59683</v>
      </c>
      <c r="K486" s="49" t="s">
        <v>197</v>
      </c>
      <c r="L486" s="49" t="s">
        <v>12</v>
      </c>
      <c r="M486" s="36">
        <f t="shared" si="18"/>
        <v>45650.47758</v>
      </c>
      <c r="N486" s="30" t="str">
        <f t="shared" si="3"/>
        <v>SELESAI</v>
      </c>
      <c r="O486" s="45">
        <f t="shared" si="12"/>
        <v>45650.47758</v>
      </c>
      <c r="P486" s="47" t="b">
        <v>0</v>
      </c>
      <c r="Q486" s="36" t="str">
        <f t="shared" si="19"/>
        <v/>
      </c>
      <c r="R486" s="47" t="b">
        <v>1</v>
      </c>
      <c r="S486" s="36">
        <f t="shared" si="6"/>
        <v>45650.40514</v>
      </c>
      <c r="T486" s="60">
        <v>45645.0</v>
      </c>
    </row>
    <row r="487" ht="22.5" customHeight="1">
      <c r="B487" s="42">
        <f t="shared" si="7"/>
        <v>481</v>
      </c>
      <c r="C487" s="31" t="s">
        <v>673</v>
      </c>
      <c r="D487" s="34" t="str">
        <f t="array" ref="D487">IFNA(_xlfn.XLOOKUP(C487,Table_Tarikan_Warkah[Nomor Sertipikat],Table_Tarikan_Warkah[Nomor Tiket]),"")</f>
        <v>K/28/131224/3</v>
      </c>
      <c r="E487" s="36" t="str">
        <f t="array" ref="E487">IFNA(_xlfn.XLOOKUP(D487,Table_Tarikan_Warkah[Nomor Tiket],Table_Tarikan_Warkah[Tanggal diserahkan kepada Validator]),"")</f>
        <v>16/12/2024 17.11</v>
      </c>
      <c r="F487" s="36" t="str">
        <f t="array" ref="F487">IFNA(_xlfn.XLOOKUP(D487,Table_Tarikan_Warkah[Nomor Tiket],Table_Tarikan_Warkah[Nama Petugas Warkah]),"")</f>
        <v>Berry</v>
      </c>
      <c r="G487" s="39" t="str">
        <f t="array" ref="G487">IFNA(_xlfn.XLOOKUP(D487,Table_Tarikan_Warkah[Nomor Tiket],Table_Tarikan_Warkah[Jenis Permohonan]),"")</f>
        <v>BN Jual Beli</v>
      </c>
      <c r="H487" s="41" t="s">
        <v>20</v>
      </c>
      <c r="I487" s="41" t="s">
        <v>12</v>
      </c>
      <c r="J487" s="36">
        <f t="shared" si="17"/>
        <v>45643.59683</v>
      </c>
      <c r="K487" s="49" t="s">
        <v>197</v>
      </c>
      <c r="L487" s="49" t="s">
        <v>12</v>
      </c>
      <c r="M487" s="36">
        <f t="shared" si="18"/>
        <v>45650.47758</v>
      </c>
      <c r="N487" s="30" t="str">
        <f t="shared" si="3"/>
        <v>SELESAI</v>
      </c>
      <c r="O487" s="45">
        <f t="shared" si="12"/>
        <v>45650.47758</v>
      </c>
      <c r="P487" s="47" t="b">
        <v>0</v>
      </c>
      <c r="Q487" s="36" t="str">
        <f t="shared" si="19"/>
        <v/>
      </c>
      <c r="R487" s="47" t="b">
        <v>1</v>
      </c>
      <c r="S487" s="36">
        <f t="shared" si="6"/>
        <v>45650.40527</v>
      </c>
      <c r="T487" s="60">
        <v>45645.0</v>
      </c>
    </row>
    <row r="488" ht="22.5" customHeight="1">
      <c r="B488" s="42">
        <f t="shared" si="7"/>
        <v>482</v>
      </c>
      <c r="C488" s="31" t="s">
        <v>674</v>
      </c>
      <c r="D488" s="34" t="str">
        <f t="array" ref="D488">IFNA(_xlfn.XLOOKUP(C488,Table_Tarikan_Warkah[Nomor Sertipikat],Table_Tarikan_Warkah[Nomor Tiket]),"")</f>
        <v>K/35/131224/2</v>
      </c>
      <c r="E488" s="36" t="str">
        <f t="array" ref="E488">IFNA(_xlfn.XLOOKUP(D488,Table_Tarikan_Warkah[Nomor Tiket],Table_Tarikan_Warkah[Tanggal diserahkan kepada Validator]),"")</f>
        <v>16/12/2024 17.12</v>
      </c>
      <c r="F488" s="36" t="str">
        <f t="array" ref="F488">IFNA(_xlfn.XLOOKUP(D488,Table_Tarikan_Warkah[Nomor Tiket],Table_Tarikan_Warkah[Nama Petugas Warkah]),"")</f>
        <v>Berry</v>
      </c>
      <c r="G488" s="39" t="str">
        <f t="array" ref="G488">IFNA(_xlfn.XLOOKUP(D488,Table_Tarikan_Warkah[Nomor Tiket],Table_Tarikan_Warkah[Jenis Permohonan]),"")</f>
        <v>BN JUAL BELI</v>
      </c>
      <c r="H488" s="41" t="s">
        <v>20</v>
      </c>
      <c r="I488" s="41" t="s">
        <v>12</v>
      </c>
      <c r="J488" s="36">
        <f t="shared" si="17"/>
        <v>45643.59683</v>
      </c>
      <c r="K488" s="49" t="s">
        <v>197</v>
      </c>
      <c r="L488" s="49" t="s">
        <v>12</v>
      </c>
      <c r="M488" s="36">
        <f t="shared" si="18"/>
        <v>45650.47758</v>
      </c>
      <c r="N488" s="30" t="str">
        <f t="shared" si="3"/>
        <v>SELESAI</v>
      </c>
      <c r="O488" s="45">
        <f t="shared" si="12"/>
        <v>45650.47758</v>
      </c>
      <c r="P488" s="47" t="b">
        <v>0</v>
      </c>
      <c r="Q488" s="36" t="str">
        <f t="shared" si="19"/>
        <v/>
      </c>
      <c r="R488" s="47" t="b">
        <v>1</v>
      </c>
      <c r="S488" s="36">
        <f t="shared" si="6"/>
        <v>45650.40545</v>
      </c>
      <c r="T488" s="60">
        <v>45645.0</v>
      </c>
    </row>
    <row r="489" ht="22.5" customHeight="1">
      <c r="B489" s="42">
        <f t="shared" si="7"/>
        <v>483</v>
      </c>
      <c r="C489" s="31" t="s">
        <v>675</v>
      </c>
      <c r="D489" s="34" t="str">
        <f t="array" ref="D489">IFNA(_xlfn.XLOOKUP(C489,Table_Tarikan_Warkah[Nomor Sertipikat],Table_Tarikan_Warkah[Nomor Tiket]),"")</f>
        <v>L/1/161224/1</v>
      </c>
      <c r="E489" s="36" t="str">
        <f t="array" ref="E489">IFNA(_xlfn.XLOOKUP(D489,Table_Tarikan_Warkah[Nomor Tiket],Table_Tarikan_Warkah[Tanggal diserahkan kepada Validator]),"")</f>
        <v>16/12/2024 17.14</v>
      </c>
      <c r="F489" s="36" t="str">
        <f t="array" ref="F489">IFNA(_xlfn.XLOOKUP(D489,Table_Tarikan_Warkah[Nomor Tiket],Table_Tarikan_Warkah[Nama Petugas Warkah]),"")</f>
        <v>Berry</v>
      </c>
      <c r="G489" s="39" t="str">
        <f t="array" ref="G489">IFNA(_xlfn.XLOOKUP(D489,Table_Tarikan_Warkah[Nomor Tiket],Table_Tarikan_Warkah[Jenis Permohonan]),"")</f>
        <v>ROYA</v>
      </c>
      <c r="H489" s="41" t="s">
        <v>20</v>
      </c>
      <c r="I489" s="41" t="s">
        <v>12</v>
      </c>
      <c r="J489" s="36">
        <f t="shared" si="17"/>
        <v>45643.59683</v>
      </c>
      <c r="K489" s="49" t="s">
        <v>197</v>
      </c>
      <c r="L489" s="49" t="s">
        <v>12</v>
      </c>
      <c r="M489" s="36">
        <f t="shared" si="18"/>
        <v>45650.47758</v>
      </c>
      <c r="N489" s="30" t="str">
        <f t="shared" si="3"/>
        <v>SELESAI</v>
      </c>
      <c r="O489" s="45">
        <f t="shared" si="12"/>
        <v>45650.47758</v>
      </c>
      <c r="P489" s="47" t="b">
        <v>0</v>
      </c>
      <c r="Q489" s="36" t="str">
        <f t="shared" si="19"/>
        <v/>
      </c>
      <c r="R489" s="47" t="b">
        <v>1</v>
      </c>
      <c r="S489" s="36">
        <f t="shared" si="6"/>
        <v>45650.39919</v>
      </c>
      <c r="T489" s="60">
        <v>45645.0</v>
      </c>
    </row>
    <row r="490" ht="22.5" customHeight="1">
      <c r="B490" s="42">
        <f t="shared" si="7"/>
        <v>484</v>
      </c>
      <c r="C490" s="31" t="s">
        <v>676</v>
      </c>
      <c r="D490" s="34" t="str">
        <f t="array" ref="D490">IFNA(_xlfn.XLOOKUP(C490,Table_Tarikan_Warkah[Nomor Sertipikat],Table_Tarikan_Warkah[Nomor Tiket]),"")</f>
        <v>L/13/111224/1</v>
      </c>
      <c r="E490" s="36" t="str">
        <f t="array" ref="E490">IFNA(_xlfn.XLOOKUP(D490,Table_Tarikan_Warkah[Nomor Tiket],Table_Tarikan_Warkah[Tanggal diserahkan kepada Validator]),"")</f>
        <v>16/12/2024 17.15</v>
      </c>
      <c r="F490" s="36" t="str">
        <f t="array" ref="F490">IFNA(_xlfn.XLOOKUP(D490,Table_Tarikan_Warkah[Nomor Tiket],Table_Tarikan_Warkah[Nama Petugas Warkah]),"")</f>
        <v>David</v>
      </c>
      <c r="G490" s="39" t="str">
        <f t="array" ref="G490">IFNA(_xlfn.XLOOKUP(D490,Table_Tarikan_Warkah[Nomor Tiket],Table_Tarikan_Warkah[Jenis Permohonan]),"")</f>
        <v>ROYA</v>
      </c>
      <c r="H490" s="41" t="s">
        <v>20</v>
      </c>
      <c r="I490" s="41" t="s">
        <v>12</v>
      </c>
      <c r="J490" s="36">
        <f t="shared" si="17"/>
        <v>45643.59683</v>
      </c>
      <c r="K490" s="49" t="s">
        <v>197</v>
      </c>
      <c r="L490" s="49" t="s">
        <v>12</v>
      </c>
      <c r="M490" s="36">
        <f t="shared" si="18"/>
        <v>45650.47758</v>
      </c>
      <c r="N490" s="30" t="str">
        <f t="shared" si="3"/>
        <v>SELESAI</v>
      </c>
      <c r="O490" s="45">
        <f t="shared" si="12"/>
        <v>45650.47758</v>
      </c>
      <c r="P490" s="47" t="b">
        <v>0</v>
      </c>
      <c r="Q490" s="36" t="str">
        <f t="shared" si="19"/>
        <v/>
      </c>
      <c r="R490" s="47" t="b">
        <v>1</v>
      </c>
      <c r="S490" s="36">
        <f t="shared" si="6"/>
        <v>45650.39993</v>
      </c>
      <c r="T490" s="60">
        <v>45645.0</v>
      </c>
    </row>
    <row r="491" ht="22.5" customHeight="1">
      <c r="B491" s="42">
        <f t="shared" si="7"/>
        <v>485</v>
      </c>
      <c r="C491" s="31" t="s">
        <v>677</v>
      </c>
      <c r="D491" s="34" t="str">
        <f t="array" ref="D491">IFNA(_xlfn.XLOOKUP(C491,Table_Tarikan_Warkah[Nomor Sertipikat],Table_Tarikan_Warkah[Nomor Tiket]),"")</f>
        <v>K/20/131224/1</v>
      </c>
      <c r="E491" s="36" t="str">
        <f t="array" ref="E491">IFNA(_xlfn.XLOOKUP(D491,Table_Tarikan_Warkah[Nomor Tiket],Table_Tarikan_Warkah[Tanggal diserahkan kepada Validator]),"")</f>
        <v>16/12/2024 17.09</v>
      </c>
      <c r="F491" s="36" t="str">
        <f t="array" ref="F491">IFNA(_xlfn.XLOOKUP(D491,Table_Tarikan_Warkah[Nomor Tiket],Table_Tarikan_Warkah[Nama Petugas Warkah]),"")</f>
        <v>Berry</v>
      </c>
      <c r="G491" s="39" t="str">
        <f t="array" ref="G491">IFNA(_xlfn.XLOOKUP(D491,Table_Tarikan_Warkah[Nomor Tiket],Table_Tarikan_Warkah[Jenis Permohonan]),"")</f>
        <v>BN Jual Beli</v>
      </c>
      <c r="H491" s="41" t="s">
        <v>20</v>
      </c>
      <c r="I491" s="41" t="s">
        <v>12</v>
      </c>
      <c r="J491" s="36">
        <f t="shared" si="17"/>
        <v>45643.59683</v>
      </c>
      <c r="K491" s="49" t="s">
        <v>197</v>
      </c>
      <c r="L491" s="49" t="s">
        <v>12</v>
      </c>
      <c r="M491" s="36">
        <f t="shared" si="18"/>
        <v>45650.47758</v>
      </c>
      <c r="N491" s="30" t="str">
        <f t="shared" si="3"/>
        <v>SELESAI</v>
      </c>
      <c r="O491" s="45">
        <f t="shared" si="12"/>
        <v>45650.47758</v>
      </c>
      <c r="P491" s="47" t="b">
        <v>0</v>
      </c>
      <c r="Q491" s="36" t="str">
        <f t="shared" si="19"/>
        <v/>
      </c>
      <c r="R491" s="47" t="b">
        <v>1</v>
      </c>
      <c r="S491" s="36">
        <f t="shared" si="6"/>
        <v>45650.40556</v>
      </c>
      <c r="T491" s="60">
        <v>45645.0</v>
      </c>
    </row>
    <row r="492" ht="22.5" customHeight="1">
      <c r="B492" s="42">
        <f t="shared" si="7"/>
        <v>486</v>
      </c>
      <c r="C492" s="31" t="s">
        <v>678</v>
      </c>
      <c r="D492" s="34" t="str">
        <f t="array" ref="D492">IFNA(_xlfn.XLOOKUP(C492,Table_Tarikan_Warkah[Nomor Sertipikat],Table_Tarikan_Warkah[Nomor Tiket]),"")</f>
        <v>K/23/131224/1</v>
      </c>
      <c r="E492" s="36" t="str">
        <f t="array" ref="E492">IFNA(_xlfn.XLOOKUP(D492,Table_Tarikan_Warkah[Nomor Tiket],Table_Tarikan_Warkah[Tanggal diserahkan kepada Validator]),"")</f>
        <v>16/12/2024 17.10</v>
      </c>
      <c r="F492" s="36" t="str">
        <f t="array" ref="F492">IFNA(_xlfn.XLOOKUP(D492,Table_Tarikan_Warkah[Nomor Tiket],Table_Tarikan_Warkah[Nama Petugas Warkah]),"")</f>
        <v>Berry</v>
      </c>
      <c r="G492" s="39" t="str">
        <f t="array" ref="G492">IFNA(_xlfn.XLOOKUP(D492,Table_Tarikan_Warkah[Nomor Tiket],Table_Tarikan_Warkah[Jenis Permohonan]),"")</f>
        <v>BN JUAL BELI</v>
      </c>
      <c r="H492" s="41" t="s">
        <v>20</v>
      </c>
      <c r="I492" s="41" t="s">
        <v>12</v>
      </c>
      <c r="J492" s="36">
        <f t="shared" si="17"/>
        <v>45643.59683</v>
      </c>
      <c r="K492" s="49" t="s">
        <v>197</v>
      </c>
      <c r="L492" s="49" t="s">
        <v>12</v>
      </c>
      <c r="M492" s="36">
        <f t="shared" si="18"/>
        <v>45650.47758</v>
      </c>
      <c r="N492" s="30" t="str">
        <f t="shared" si="3"/>
        <v>SELESAI</v>
      </c>
      <c r="O492" s="45">
        <f t="shared" si="12"/>
        <v>45650.47758</v>
      </c>
      <c r="P492" s="47" t="b">
        <v>0</v>
      </c>
      <c r="Q492" s="36" t="str">
        <f t="shared" si="19"/>
        <v/>
      </c>
      <c r="R492" s="47" t="b">
        <v>1</v>
      </c>
      <c r="S492" s="36">
        <f t="shared" si="6"/>
        <v>45650.47758</v>
      </c>
      <c r="T492" s="60">
        <v>45645.0</v>
      </c>
    </row>
    <row r="493" ht="22.5" customHeight="1">
      <c r="B493" s="42">
        <f t="shared" si="7"/>
        <v>487</v>
      </c>
      <c r="C493" s="31" t="s">
        <v>679</v>
      </c>
      <c r="D493" s="34" t="str">
        <f t="array" ref="D493">IFNA(_xlfn.XLOOKUP(C493,Table_Tarikan_Warkah[Nomor Sertipikat],Table_Tarikan_Warkah[Nomor Tiket]),"")</f>
        <v>K/26/131224/1</v>
      </c>
      <c r="E493" s="36" t="str">
        <f t="array" ref="E493">IFNA(_xlfn.XLOOKUP(D493,Table_Tarikan_Warkah[Nomor Tiket],Table_Tarikan_Warkah[Tanggal diserahkan kepada Validator]),"")</f>
        <v>16/12/2024 17.10</v>
      </c>
      <c r="F493" s="36" t="str">
        <f t="array" ref="F493">IFNA(_xlfn.XLOOKUP(D493,Table_Tarikan_Warkah[Nomor Tiket],Table_Tarikan_Warkah[Nama Petugas Warkah]),"")</f>
        <v>Berry</v>
      </c>
      <c r="G493" s="39" t="str">
        <f t="array" ref="G493">IFNA(_xlfn.XLOOKUP(D493,Table_Tarikan_Warkah[Nomor Tiket],Table_Tarikan_Warkah[Jenis Permohonan]),"")</f>
        <v>BN Jual Beli</v>
      </c>
      <c r="H493" s="41" t="s">
        <v>20</v>
      </c>
      <c r="I493" s="41" t="s">
        <v>12</v>
      </c>
      <c r="J493" s="36">
        <f t="shared" si="17"/>
        <v>45643.59683</v>
      </c>
      <c r="K493" s="49" t="s">
        <v>197</v>
      </c>
      <c r="L493" s="49" t="s">
        <v>12</v>
      </c>
      <c r="M493" s="36">
        <f t="shared" si="18"/>
        <v>45650.47758</v>
      </c>
      <c r="N493" s="30" t="str">
        <f t="shared" si="3"/>
        <v>SELESAI</v>
      </c>
      <c r="O493" s="45">
        <f t="shared" si="12"/>
        <v>45650.47758</v>
      </c>
      <c r="P493" s="47" t="b">
        <v>0</v>
      </c>
      <c r="Q493" s="36" t="str">
        <f t="shared" si="19"/>
        <v/>
      </c>
      <c r="R493" s="47" t="b">
        <v>1</v>
      </c>
      <c r="S493" s="36">
        <f t="shared" si="6"/>
        <v>45650.40594</v>
      </c>
      <c r="T493" s="60">
        <v>45645.0</v>
      </c>
    </row>
    <row r="494" ht="22.5" customHeight="1">
      <c r="B494" s="42">
        <f t="shared" si="7"/>
        <v>488</v>
      </c>
      <c r="C494" s="31" t="s">
        <v>680</v>
      </c>
      <c r="D494" s="34" t="str">
        <f t="array" ref="D494">IFNA(_xlfn.XLOOKUP(C494,Table_Tarikan_Warkah[Nomor Sertipikat],Table_Tarikan_Warkah[Nomor Tiket]),"")</f>
        <v>K/33/131224/1</v>
      </c>
      <c r="E494" s="36" t="str">
        <f t="array" ref="E494">IFNA(_xlfn.XLOOKUP(D494,Table_Tarikan_Warkah[Nomor Tiket],Table_Tarikan_Warkah[Tanggal diserahkan kepada Validator]),"")</f>
        <v>16/12/2024 17.12</v>
      </c>
      <c r="F494" s="36" t="str">
        <f t="array" ref="F494">IFNA(_xlfn.XLOOKUP(D494,Table_Tarikan_Warkah[Nomor Tiket],Table_Tarikan_Warkah[Nama Petugas Warkah]),"")</f>
        <v>Berry</v>
      </c>
      <c r="G494" s="39" t="str">
        <f t="array" ref="G494">IFNA(_xlfn.XLOOKUP(D494,Table_Tarikan_Warkah[Nomor Tiket],Table_Tarikan_Warkah[Jenis Permohonan]),"")</f>
        <v>BN Jual Beli</v>
      </c>
      <c r="H494" s="41" t="s">
        <v>20</v>
      </c>
      <c r="I494" s="41" t="s">
        <v>12</v>
      </c>
      <c r="J494" s="36">
        <f t="shared" si="17"/>
        <v>45643.59683</v>
      </c>
      <c r="K494" s="49" t="s">
        <v>197</v>
      </c>
      <c r="L494" s="49" t="s">
        <v>12</v>
      </c>
      <c r="M494" s="36">
        <f t="shared" si="18"/>
        <v>45650.47758</v>
      </c>
      <c r="N494" s="30" t="str">
        <f t="shared" si="3"/>
        <v>SELESAI</v>
      </c>
      <c r="O494" s="45">
        <f t="shared" si="12"/>
        <v>45650.47758</v>
      </c>
      <c r="P494" s="47" t="b">
        <v>0</v>
      </c>
      <c r="Q494" s="36" t="str">
        <f t="shared" si="19"/>
        <v/>
      </c>
      <c r="R494" s="47" t="b">
        <v>1</v>
      </c>
      <c r="S494" s="36">
        <f t="shared" si="6"/>
        <v>45650.40574</v>
      </c>
      <c r="T494" s="60">
        <v>45645.0</v>
      </c>
    </row>
    <row r="495" ht="22.5" customHeight="1">
      <c r="B495" s="42">
        <f t="shared" si="7"/>
        <v>489</v>
      </c>
      <c r="C495" s="31" t="s">
        <v>681</v>
      </c>
      <c r="D495" s="34" t="str">
        <f t="array" ref="D495">IFNA(_xlfn.XLOOKUP(C495,Table_Tarikan_Warkah[Nomor Sertipikat],Table_Tarikan_Warkah[Nomor Tiket]),"")</f>
        <v>K/31/131224/2</v>
      </c>
      <c r="E495" s="36" t="str">
        <f t="array" ref="E495">IFNA(_xlfn.XLOOKUP(D495,Table_Tarikan_Warkah[Nomor Tiket],Table_Tarikan_Warkah[Tanggal diserahkan kepada Validator]),"")</f>
        <v>16/12/2024 17.11</v>
      </c>
      <c r="F495" s="36" t="str">
        <f t="array" ref="F495">IFNA(_xlfn.XLOOKUP(D495,Table_Tarikan_Warkah[Nomor Tiket],Table_Tarikan_Warkah[Nama Petugas Warkah]),"")</f>
        <v>Berry</v>
      </c>
      <c r="G495" s="39" t="str">
        <f t="array" ref="G495">IFNA(_xlfn.XLOOKUP(D495,Table_Tarikan_Warkah[Nomor Tiket],Table_Tarikan_Warkah[Jenis Permohonan]),"")</f>
        <v>BN JUAL BELI</v>
      </c>
      <c r="H495" s="41" t="s">
        <v>20</v>
      </c>
      <c r="I495" s="41" t="s">
        <v>12</v>
      </c>
      <c r="J495" s="36">
        <f t="shared" si="17"/>
        <v>45643.59683</v>
      </c>
      <c r="K495" s="49" t="s">
        <v>197</v>
      </c>
      <c r="L495" s="49" t="s">
        <v>12</v>
      </c>
      <c r="M495" s="36">
        <f t="shared" si="18"/>
        <v>45650.47758</v>
      </c>
      <c r="N495" s="30" t="str">
        <f t="shared" si="3"/>
        <v>SELESAI</v>
      </c>
      <c r="O495" s="45">
        <f t="shared" si="12"/>
        <v>45650.47758</v>
      </c>
      <c r="P495" s="47" t="b">
        <v>0</v>
      </c>
      <c r="Q495" s="36" t="str">
        <f t="shared" si="19"/>
        <v/>
      </c>
      <c r="R495" s="47" t="b">
        <v>1</v>
      </c>
      <c r="S495" s="36">
        <f t="shared" si="6"/>
        <v>45650.40624</v>
      </c>
      <c r="T495" s="60">
        <v>45645.0</v>
      </c>
    </row>
    <row r="496" ht="22.5" customHeight="1">
      <c r="B496" s="42">
        <f t="shared" si="7"/>
        <v>490</v>
      </c>
      <c r="C496" s="31" t="s">
        <v>682</v>
      </c>
      <c r="D496" s="34" t="str">
        <f t="array" ref="D496">IFNA(_xlfn.XLOOKUP(C496,Table_Tarikan_Warkah[Nomor Sertipikat],Table_Tarikan_Warkah[Nomor Tiket]),"")</f>
        <v>K/46/111224/2</v>
      </c>
      <c r="E496" s="36" t="str">
        <f t="array" ref="E496">IFNA(_xlfn.XLOOKUP(D496,Table_Tarikan_Warkah[Nomor Tiket],Table_Tarikan_Warkah[Tanggal diserahkan kepada Validator]),"")</f>
        <v>16/12/2024 16.59</v>
      </c>
      <c r="F496" s="36" t="str">
        <f t="array" ref="F496">IFNA(_xlfn.XLOOKUP(D496,Table_Tarikan_Warkah[Nomor Tiket],Table_Tarikan_Warkah[Nama Petugas Warkah]),"")</f>
        <v>David</v>
      </c>
      <c r="G496" s="39" t="str">
        <f t="array" ref="G496">IFNA(_xlfn.XLOOKUP(D496,Table_Tarikan_Warkah[Nomor Tiket],Table_Tarikan_Warkah[Jenis Permohonan]),"")</f>
        <v>BN JUAL BELI</v>
      </c>
      <c r="H496" s="41" t="s">
        <v>20</v>
      </c>
      <c r="I496" s="41" t="s">
        <v>23</v>
      </c>
      <c r="J496" s="36">
        <f t="shared" si="17"/>
        <v>45643.59683</v>
      </c>
      <c r="K496" s="49" t="s">
        <v>26</v>
      </c>
      <c r="L496" s="49" t="s">
        <v>23</v>
      </c>
      <c r="M496" s="36">
        <f t="shared" si="18"/>
        <v>45643.66556</v>
      </c>
      <c r="N496" s="30" t="str">
        <f t="shared" si="3"/>
        <v>Selesai</v>
      </c>
      <c r="O496" s="45">
        <f t="shared" si="12"/>
        <v>45643.66556</v>
      </c>
      <c r="P496" s="47" t="b">
        <v>1</v>
      </c>
      <c r="Q496" s="36">
        <f t="shared" si="19"/>
        <v>45643.69108</v>
      </c>
      <c r="R496" s="47" t="b">
        <v>1</v>
      </c>
      <c r="S496" s="36">
        <f t="shared" si="6"/>
        <v>45650.40199</v>
      </c>
      <c r="T496" s="60">
        <v>45645.0</v>
      </c>
    </row>
    <row r="497" ht="22.5" customHeight="1">
      <c r="B497" s="42">
        <f t="shared" si="7"/>
        <v>491</v>
      </c>
      <c r="C497" s="31" t="s">
        <v>683</v>
      </c>
      <c r="D497" s="34" t="str">
        <f t="array" ref="D497">IFNA(_xlfn.XLOOKUP(C497,Table_Tarikan_Warkah[Nomor Sertipikat],Table_Tarikan_Warkah[Nomor Tiket]),"")</f>
        <v>K/31/091224/1</v>
      </c>
      <c r="E497" s="36" t="str">
        <f t="array" ref="E497">IFNA(_xlfn.XLOOKUP(D497,Table_Tarikan_Warkah[Nomor Tiket],Table_Tarikan_Warkah[Tanggal diserahkan kepada Validator]),"")</f>
        <v/>
      </c>
      <c r="F497" s="36" t="str">
        <f t="array" ref="F497">IFNA(_xlfn.XLOOKUP(D497,Table_Tarikan_Warkah[Nomor Tiket],Table_Tarikan_Warkah[Nama Petugas Warkah]),"")</f>
        <v>David</v>
      </c>
      <c r="G497" s="39" t="str">
        <f t="array" ref="G497">IFNA(_xlfn.XLOOKUP(D497,Table_Tarikan_Warkah[Nomor Tiket],Table_Tarikan_Warkah[Jenis Permohonan]),"")</f>
        <v>BN Jual Beli</v>
      </c>
      <c r="H497" s="41" t="s">
        <v>20</v>
      </c>
      <c r="I497" s="41" t="s">
        <v>23</v>
      </c>
      <c r="J497" s="36">
        <f t="shared" si="17"/>
        <v>45643.59683</v>
      </c>
      <c r="K497" s="49" t="s">
        <v>26</v>
      </c>
      <c r="L497" s="49" t="s">
        <v>23</v>
      </c>
      <c r="M497" s="36">
        <f t="shared" si="18"/>
        <v>45643.66556</v>
      </c>
      <c r="N497" s="30" t="str">
        <f t="shared" si="3"/>
        <v>Selesai</v>
      </c>
      <c r="O497" s="45">
        <f t="shared" si="12"/>
        <v>45643.66556</v>
      </c>
      <c r="P497" s="47" t="b">
        <v>1</v>
      </c>
      <c r="Q497" s="36">
        <f t="shared" si="19"/>
        <v>45643.69108</v>
      </c>
      <c r="R497" s="47" t="b">
        <v>0</v>
      </c>
      <c r="S497" s="42" t="str">
        <f t="shared" si="6"/>
        <v/>
      </c>
      <c r="T497" s="42"/>
    </row>
    <row r="498" ht="22.5" customHeight="1">
      <c r="B498" s="42">
        <f t="shared" si="7"/>
        <v>492</v>
      </c>
      <c r="C498" s="31" t="s">
        <v>684</v>
      </c>
      <c r="D498" s="34" t="str">
        <f t="array" ref="D498">IFNA(_xlfn.XLOOKUP(C498,Table_Tarikan_Warkah[Nomor Sertipikat],Table_Tarikan_Warkah[Nomor Tiket]),"")</f>
        <v>K/14/111224/1</v>
      </c>
      <c r="E498" s="36" t="str">
        <f t="array" ref="E498">IFNA(_xlfn.XLOOKUP(D498,Table_Tarikan_Warkah[Nomor Tiket],Table_Tarikan_Warkah[Tanggal diserahkan kepada Validator]),"")</f>
        <v/>
      </c>
      <c r="F498" s="36" t="str">
        <f t="array" ref="F498">IFNA(_xlfn.XLOOKUP(D498,Table_Tarikan_Warkah[Nomor Tiket],Table_Tarikan_Warkah[Nama Petugas Warkah]),"")</f>
        <v>David</v>
      </c>
      <c r="G498" s="39" t="str">
        <f t="array" ref="G498">IFNA(_xlfn.XLOOKUP(D498,Table_Tarikan_Warkah[Nomor Tiket],Table_Tarikan_Warkah[Jenis Permohonan]),"")</f>
        <v>ROYA</v>
      </c>
      <c r="H498" s="41" t="s">
        <v>20</v>
      </c>
      <c r="I498" s="41" t="s">
        <v>23</v>
      </c>
      <c r="J498" s="36">
        <f t="shared" si="17"/>
        <v>45643.59683</v>
      </c>
      <c r="K498" s="49" t="s">
        <v>26</v>
      </c>
      <c r="L498" s="49" t="s">
        <v>23</v>
      </c>
      <c r="M498" s="36">
        <f t="shared" si="18"/>
        <v>45643.66556</v>
      </c>
      <c r="N498" s="30" t="str">
        <f t="shared" si="3"/>
        <v>Selesai</v>
      </c>
      <c r="O498" s="45">
        <f t="shared" si="12"/>
        <v>45643.66556</v>
      </c>
      <c r="P498" s="47" t="b">
        <v>1</v>
      </c>
      <c r="Q498" s="36">
        <f t="shared" si="19"/>
        <v>45643.69108</v>
      </c>
      <c r="R498" s="47" t="b">
        <v>0</v>
      </c>
      <c r="S498" s="42" t="str">
        <f t="shared" si="6"/>
        <v/>
      </c>
      <c r="T498" s="42"/>
    </row>
    <row r="499" ht="22.5" customHeight="1">
      <c r="B499" s="42">
        <f t="shared" si="7"/>
        <v>493</v>
      </c>
      <c r="C499" s="31" t="s">
        <v>685</v>
      </c>
      <c r="D499" s="34" t="str">
        <f t="array" ref="D499">IFNA(_xlfn.XLOOKUP(C499,Table_Tarikan_Warkah[Nomor Sertipikat],Table_Tarikan_Warkah[Nomor Tiket]),"")</f>
        <v>K/3/121224/2</v>
      </c>
      <c r="E499" s="36" t="str">
        <f t="array" ref="E499">IFNA(_xlfn.XLOOKUP(D499,Table_Tarikan_Warkah[Nomor Tiket],Table_Tarikan_Warkah[Tanggal diserahkan kepada Validator]),"")</f>
        <v/>
      </c>
      <c r="F499" s="36" t="str">
        <f t="array" ref="F499">IFNA(_xlfn.XLOOKUP(D499,Table_Tarikan_Warkah[Nomor Tiket],Table_Tarikan_Warkah[Nama Petugas Warkah]),"")</f>
        <v>David</v>
      </c>
      <c r="G499" s="39" t="str">
        <f t="array" ref="G499">IFNA(_xlfn.XLOOKUP(D499,Table_Tarikan_Warkah[Nomor Tiket],Table_Tarikan_Warkah[Jenis Permohonan]),"")</f>
        <v>BN JUAL BELI</v>
      </c>
      <c r="H499" s="41" t="s">
        <v>20</v>
      </c>
      <c r="I499" s="41" t="s">
        <v>23</v>
      </c>
      <c r="J499" s="36">
        <f t="shared" si="17"/>
        <v>45643.59683</v>
      </c>
      <c r="K499" s="49" t="s">
        <v>26</v>
      </c>
      <c r="L499" s="49" t="s">
        <v>23</v>
      </c>
      <c r="M499" s="36">
        <f t="shared" si="18"/>
        <v>45643.66556</v>
      </c>
      <c r="N499" s="30" t="str">
        <f t="shared" si="3"/>
        <v>Selesai</v>
      </c>
      <c r="O499" s="45">
        <f t="shared" si="12"/>
        <v>45643.66556</v>
      </c>
      <c r="P499" s="47" t="b">
        <v>1</v>
      </c>
      <c r="Q499" s="36">
        <f t="shared" si="19"/>
        <v>45643.69111</v>
      </c>
      <c r="R499" s="47" t="b">
        <v>0</v>
      </c>
      <c r="S499" s="42" t="str">
        <f t="shared" si="6"/>
        <v/>
      </c>
      <c r="T499" s="42"/>
    </row>
    <row r="500" ht="22.5" customHeight="1">
      <c r="B500" s="42">
        <f t="shared" si="7"/>
        <v>494</v>
      </c>
      <c r="C500" s="31" t="s">
        <v>686</v>
      </c>
      <c r="D500" s="34" t="str">
        <f t="array" ref="D500">IFNA(_xlfn.XLOOKUP(C500,Table_Tarikan_Warkah[Nomor Sertipikat],Table_Tarikan_Warkah[Nomor Tiket]),"")</f>
        <v>K/2/121224/1</v>
      </c>
      <c r="E500" s="36" t="str">
        <f t="array" ref="E500">IFNA(_xlfn.XLOOKUP(D500,Table_Tarikan_Warkah[Nomor Tiket],Table_Tarikan_Warkah[Tanggal diserahkan kepada Validator]),"")</f>
        <v>16/12/2024 17.00</v>
      </c>
      <c r="F500" s="36" t="str">
        <f t="array" ref="F500">IFNA(_xlfn.XLOOKUP(D500,Table_Tarikan_Warkah[Nomor Tiket],Table_Tarikan_Warkah[Nama Petugas Warkah]),"")</f>
        <v>David</v>
      </c>
      <c r="G500" s="39" t="str">
        <f t="array" ref="G500">IFNA(_xlfn.XLOOKUP(D500,Table_Tarikan_Warkah[Nomor Tiket],Table_Tarikan_Warkah[Jenis Permohonan]),"")</f>
        <v>BN JUAL BELI</v>
      </c>
      <c r="H500" s="41" t="s">
        <v>20</v>
      </c>
      <c r="I500" s="41" t="s">
        <v>23</v>
      </c>
      <c r="J500" s="36">
        <f t="shared" si="17"/>
        <v>45643.59683</v>
      </c>
      <c r="K500" s="49" t="s">
        <v>26</v>
      </c>
      <c r="L500" s="49" t="s">
        <v>23</v>
      </c>
      <c r="M500" s="36">
        <f t="shared" si="18"/>
        <v>45643.66556</v>
      </c>
      <c r="N500" s="30" t="str">
        <f t="shared" si="3"/>
        <v>Selesai</v>
      </c>
      <c r="O500" s="45">
        <f t="shared" si="12"/>
        <v>45643.66556</v>
      </c>
      <c r="P500" s="47" t="b">
        <v>1</v>
      </c>
      <c r="Q500" s="36">
        <f t="shared" si="19"/>
        <v>45643.69111</v>
      </c>
      <c r="R500" s="47" t="b">
        <v>1</v>
      </c>
      <c r="S500" s="36">
        <f t="shared" si="6"/>
        <v>45650.40172</v>
      </c>
      <c r="T500" s="60">
        <v>45645.0</v>
      </c>
    </row>
    <row r="501" ht="22.5" customHeight="1">
      <c r="B501" s="42">
        <f t="shared" si="7"/>
        <v>495</v>
      </c>
      <c r="C501" s="31" t="s">
        <v>687</v>
      </c>
      <c r="D501" s="34" t="str">
        <f t="array" ref="D501">IFNA(_xlfn.XLOOKUP(C501,Table_Tarikan_Warkah[Nomor Sertipikat],Table_Tarikan_Warkah[Nomor Tiket]),"")</f>
        <v>K/19/121124/1</v>
      </c>
      <c r="E501" s="36" t="str">
        <f t="array" ref="E501">IFNA(_xlfn.XLOOKUP(D501,Table_Tarikan_Warkah[Nomor Tiket],Table_Tarikan_Warkah[Tanggal diserahkan kepada Validator]),"")</f>
        <v/>
      </c>
      <c r="F501" s="36" t="str">
        <f t="array" ref="F501">IFNA(_xlfn.XLOOKUP(D501,Table_Tarikan_Warkah[Nomor Tiket],Table_Tarikan_Warkah[Nama Petugas Warkah]),"")</f>
        <v>David</v>
      </c>
      <c r="G501" s="39" t="str">
        <f t="array" ref="G501">IFNA(_xlfn.XLOOKUP(D501,Table_Tarikan_Warkah[Nomor Tiket],Table_Tarikan_Warkah[Jenis Permohonan]),"")</f>
        <v>PH</v>
      </c>
      <c r="H501" s="41" t="s">
        <v>20</v>
      </c>
      <c r="I501" s="41" t="s">
        <v>23</v>
      </c>
      <c r="J501" s="36">
        <f t="shared" si="17"/>
        <v>45643.59683</v>
      </c>
      <c r="K501" s="49" t="s">
        <v>26</v>
      </c>
      <c r="L501" s="49" t="s">
        <v>23</v>
      </c>
      <c r="M501" s="36">
        <f t="shared" si="18"/>
        <v>45643.66569</v>
      </c>
      <c r="N501" s="30" t="str">
        <f t="shared" si="3"/>
        <v>Selesai</v>
      </c>
      <c r="O501" s="45">
        <f t="shared" si="12"/>
        <v>45643.66569</v>
      </c>
      <c r="P501" s="47" t="b">
        <v>1</v>
      </c>
      <c r="Q501" s="36">
        <f t="shared" si="19"/>
        <v>45643.69095</v>
      </c>
      <c r="R501" s="47" t="b">
        <v>0</v>
      </c>
      <c r="S501" s="42" t="str">
        <f t="shared" si="6"/>
        <v/>
      </c>
      <c r="T501" s="42"/>
    </row>
    <row r="502" ht="22.5" customHeight="1">
      <c r="B502" s="42">
        <f t="shared" si="7"/>
        <v>496</v>
      </c>
      <c r="C502" s="31" t="s">
        <v>688</v>
      </c>
      <c r="D502" s="34" t="str">
        <f t="array" ref="D502">IFNA(_xlfn.XLOOKUP(C502,Table_Tarikan_Warkah[Nomor Sertipikat],Table_Tarikan_Warkah[Nomor Tiket]),"")</f>
        <v>K/13/041224/2</v>
      </c>
      <c r="E502" s="36" t="str">
        <f t="array" ref="E502">IFNA(_xlfn.XLOOKUP(D502,Table_Tarikan_Warkah[Nomor Tiket],Table_Tarikan_Warkah[Tanggal diserahkan kepada Validator]),"")</f>
        <v/>
      </c>
      <c r="F502" s="36" t="str">
        <f t="array" ref="F502">IFNA(_xlfn.XLOOKUP(D502,Table_Tarikan_Warkah[Nomor Tiket],Table_Tarikan_Warkah[Nama Petugas Warkah]),"")</f>
        <v>Berry</v>
      </c>
      <c r="G502" s="39" t="str">
        <f t="array" ref="G502">IFNA(_xlfn.XLOOKUP(D502,Table_Tarikan_Warkah[Nomor Tiket],Table_Tarikan_Warkah[Jenis Permohonan]),"")</f>
        <v>BN Hibah</v>
      </c>
      <c r="H502" s="41" t="s">
        <v>20</v>
      </c>
      <c r="I502" s="41" t="s">
        <v>23</v>
      </c>
      <c r="J502" s="36">
        <f t="shared" si="17"/>
        <v>45643.59683</v>
      </c>
      <c r="K502" s="49" t="s">
        <v>26</v>
      </c>
      <c r="L502" s="49" t="s">
        <v>23</v>
      </c>
      <c r="M502" s="36">
        <f t="shared" si="18"/>
        <v>45643.66569</v>
      </c>
      <c r="N502" s="30" t="str">
        <f t="shared" si="3"/>
        <v>Selesai</v>
      </c>
      <c r="O502" s="45">
        <f t="shared" si="12"/>
        <v>45643.66569</v>
      </c>
      <c r="P502" s="47" t="b">
        <v>1</v>
      </c>
      <c r="Q502" s="36">
        <f t="shared" si="19"/>
        <v>45643.69095</v>
      </c>
      <c r="R502" s="47" t="b">
        <v>0</v>
      </c>
      <c r="S502" s="42" t="str">
        <f t="shared" si="6"/>
        <v/>
      </c>
      <c r="T502" s="42"/>
    </row>
    <row r="503" ht="22.5" customHeight="1">
      <c r="B503" s="42">
        <f t="shared" si="7"/>
        <v>497</v>
      </c>
      <c r="C503" s="31" t="s">
        <v>689</v>
      </c>
      <c r="D503" s="34" t="str">
        <f t="array" ref="D503">IFNA(_xlfn.XLOOKUP(C503,Table_Tarikan_Warkah[Nomor Sertipikat],Table_Tarikan_Warkah[Nomor Tiket]),"")</f>
        <v>K/15/041224/4</v>
      </c>
      <c r="E503" s="36" t="str">
        <f t="array" ref="E503">IFNA(_xlfn.XLOOKUP(D503,Table_Tarikan_Warkah[Nomor Tiket],Table_Tarikan_Warkah[Tanggal diserahkan kepada Validator]),"")</f>
        <v/>
      </c>
      <c r="F503" s="36" t="str">
        <f t="array" ref="F503">IFNA(_xlfn.XLOOKUP(D503,Table_Tarikan_Warkah[Nomor Tiket],Table_Tarikan_Warkah[Nama Petugas Warkah]),"")</f>
        <v>Berry</v>
      </c>
      <c r="G503" s="39" t="str">
        <f t="array" ref="G503">IFNA(_xlfn.XLOOKUP(D503,Table_Tarikan_Warkah[Nomor Tiket],Table_Tarikan_Warkah[Jenis Permohonan]),"")</f>
        <v>BN Hibah</v>
      </c>
      <c r="H503" s="41" t="s">
        <v>20</v>
      </c>
      <c r="I503" s="41" t="s">
        <v>23</v>
      </c>
      <c r="J503" s="36">
        <f t="shared" si="17"/>
        <v>45643.59683</v>
      </c>
      <c r="K503" s="49" t="s">
        <v>26</v>
      </c>
      <c r="L503" s="49" t="s">
        <v>23</v>
      </c>
      <c r="M503" s="36">
        <f t="shared" si="18"/>
        <v>45643.66569</v>
      </c>
      <c r="N503" s="30" t="str">
        <f t="shared" si="3"/>
        <v>Selesai</v>
      </c>
      <c r="O503" s="45">
        <f t="shared" si="12"/>
        <v>45643.66569</v>
      </c>
      <c r="P503" s="47" t="b">
        <v>1</v>
      </c>
      <c r="Q503" s="36">
        <f t="shared" si="19"/>
        <v>45643.69095</v>
      </c>
      <c r="R503" s="47" t="b">
        <v>0</v>
      </c>
      <c r="S503" s="42" t="str">
        <f t="shared" si="6"/>
        <v/>
      </c>
      <c r="T503" s="42"/>
    </row>
    <row r="504" ht="22.5" customHeight="1">
      <c r="B504" s="42">
        <f t="shared" si="7"/>
        <v>498</v>
      </c>
      <c r="C504" s="31" t="s">
        <v>690</v>
      </c>
      <c r="D504" s="34" t="str">
        <f t="array" ref="D504">IFNA(_xlfn.XLOOKUP(C504,Table_Tarikan_Warkah[Nomor Sertipikat],Table_Tarikan_Warkah[Nomor Tiket]),"")</f>
        <v>K/8/131224/2</v>
      </c>
      <c r="E504" s="36" t="str">
        <f t="array" ref="E504">IFNA(_xlfn.XLOOKUP(D504,Table_Tarikan_Warkah[Nomor Tiket],Table_Tarikan_Warkah[Tanggal diserahkan kepada Validator]),"")</f>
        <v/>
      </c>
      <c r="F504" s="36" t="str">
        <f t="array" ref="F504">IFNA(_xlfn.XLOOKUP(D504,Table_Tarikan_Warkah[Nomor Tiket],Table_Tarikan_Warkah[Nama Petugas Warkah]),"")</f>
        <v>Berry</v>
      </c>
      <c r="G504" s="39" t="str">
        <f t="array" ref="G504">IFNA(_xlfn.XLOOKUP(D504,Table_Tarikan_Warkah[Nomor Tiket],Table_Tarikan_Warkah[Jenis Permohonan]),"")</f>
        <v>Bn Waris</v>
      </c>
      <c r="H504" s="41" t="s">
        <v>20</v>
      </c>
      <c r="I504" s="41" t="s">
        <v>23</v>
      </c>
      <c r="J504" s="36">
        <f t="shared" si="17"/>
        <v>45643.59683</v>
      </c>
      <c r="K504" s="49" t="s">
        <v>26</v>
      </c>
      <c r="L504" s="49" t="s">
        <v>23</v>
      </c>
      <c r="M504" s="36">
        <f t="shared" si="18"/>
        <v>45643.66569</v>
      </c>
      <c r="N504" s="30" t="str">
        <f t="shared" si="3"/>
        <v>Selesai</v>
      </c>
      <c r="O504" s="45">
        <f t="shared" si="12"/>
        <v>45643.66569</v>
      </c>
      <c r="P504" s="47" t="b">
        <v>1</v>
      </c>
      <c r="Q504" s="36">
        <f t="shared" si="19"/>
        <v>45643.69095</v>
      </c>
      <c r="R504" s="47" t="b">
        <v>0</v>
      </c>
      <c r="S504" s="42" t="str">
        <f t="shared" si="6"/>
        <v/>
      </c>
      <c r="T504" s="42"/>
    </row>
    <row r="505" ht="22.5" customHeight="1">
      <c r="B505" s="42">
        <f t="shared" si="7"/>
        <v>499</v>
      </c>
      <c r="C505" s="31" t="s">
        <v>18</v>
      </c>
      <c r="D505" s="34" t="str">
        <f t="array" ref="D505">IFNA(_xlfn.XLOOKUP(C505,Table_Tarikan_Warkah[Nomor Sertipikat],Table_Tarikan_Warkah[Nomor Tiket]),"")</f>
        <v>K/14/101224/4</v>
      </c>
      <c r="E505" s="36" t="str">
        <f t="array" ref="E505">IFNA(_xlfn.XLOOKUP(D505,Table_Tarikan_Warkah[Nomor Tiket],Table_Tarikan_Warkah[Tanggal diserahkan kepada Validator]),"")</f>
        <v>13/12/2024 14.11</v>
      </c>
      <c r="F505" s="36" t="str">
        <f t="array" ref="F505">IFNA(_xlfn.XLOOKUP(D505,Table_Tarikan_Warkah[Nomor Tiket],Table_Tarikan_Warkah[Nama Petugas Warkah]),"")</f>
        <v>David</v>
      </c>
      <c r="G505" s="39" t="str">
        <f t="array" ref="G505">IFNA(_xlfn.XLOOKUP(D505,Table_Tarikan_Warkah[Nomor Tiket],Table_Tarikan_Warkah[Jenis Permohonan]),"")</f>
        <v>ROYA</v>
      </c>
      <c r="H505" s="41" t="s">
        <v>20</v>
      </c>
      <c r="I505" s="41" t="s">
        <v>12</v>
      </c>
      <c r="J505" s="36">
        <f t="shared" si="17"/>
        <v>45643.59683</v>
      </c>
      <c r="K505" s="51"/>
      <c r="L505" s="51"/>
      <c r="M505" s="36" t="str">
        <f t="shared" si="18"/>
        <v/>
      </c>
      <c r="N505" s="30" t="str">
        <f t="shared" si="3"/>
        <v>BT atau SU Belum Valid</v>
      </c>
      <c r="O505" s="39" t="str">
        <f t="shared" si="12"/>
        <v/>
      </c>
      <c r="P505" s="47" t="b">
        <v>0</v>
      </c>
      <c r="Q505" s="36" t="str">
        <f t="shared" si="19"/>
        <v/>
      </c>
      <c r="R505" s="47" t="b">
        <v>1</v>
      </c>
      <c r="S505" s="36">
        <f t="shared" si="6"/>
        <v>45650.39724</v>
      </c>
      <c r="T505" s="60">
        <v>45645.0</v>
      </c>
    </row>
    <row r="506" ht="22.5" customHeight="1">
      <c r="B506" s="42">
        <f t="shared" si="7"/>
        <v>500</v>
      </c>
      <c r="C506" s="31" t="s">
        <v>691</v>
      </c>
      <c r="D506" s="34" t="str">
        <f t="array" ref="D506">IFNA(_xlfn.XLOOKUP(C506,Table_Tarikan_Warkah[Nomor Sertipikat],Table_Tarikan_Warkah[Nomor Tiket]),"")</f>
        <v>K/51/111224/1</v>
      </c>
      <c r="E506" s="36" t="str">
        <f t="array" ref="E506">IFNA(_xlfn.XLOOKUP(D506,Table_Tarikan_Warkah[Nomor Tiket],Table_Tarikan_Warkah[Tanggal diserahkan kepada Validator]),"")</f>
        <v>16/12/2024 17.00</v>
      </c>
      <c r="F506" s="36" t="str">
        <f t="array" ref="F506">IFNA(_xlfn.XLOOKUP(D506,Table_Tarikan_Warkah[Nomor Tiket],Table_Tarikan_Warkah[Nama Petugas Warkah]),"")</f>
        <v>David</v>
      </c>
      <c r="G506" s="39" t="str">
        <f t="array" ref="G506">IFNA(_xlfn.XLOOKUP(D506,Table_Tarikan_Warkah[Nomor Tiket],Table_Tarikan_Warkah[Jenis Permohonan]),"")</f>
        <v>KEWARISAN</v>
      </c>
      <c r="H506" s="41" t="s">
        <v>20</v>
      </c>
      <c r="I506" s="41" t="s">
        <v>23</v>
      </c>
      <c r="J506" s="36">
        <f t="shared" si="17"/>
        <v>45643.59683</v>
      </c>
      <c r="K506" s="49" t="s">
        <v>26</v>
      </c>
      <c r="L506" s="49" t="s">
        <v>23</v>
      </c>
      <c r="M506" s="36">
        <f t="shared" si="18"/>
        <v>45643.66587</v>
      </c>
      <c r="N506" s="30" t="str">
        <f t="shared" si="3"/>
        <v>Selesai</v>
      </c>
      <c r="O506" s="45">
        <f t="shared" si="12"/>
        <v>45643.66587</v>
      </c>
      <c r="P506" s="47" t="b">
        <v>1</v>
      </c>
      <c r="Q506" s="36">
        <f t="shared" si="19"/>
        <v>45643.69103</v>
      </c>
      <c r="R506" s="47" t="b">
        <v>1</v>
      </c>
      <c r="S506" s="36">
        <f t="shared" si="6"/>
        <v>45650.47758</v>
      </c>
      <c r="T506" s="42"/>
    </row>
    <row r="507" ht="22.5" customHeight="1">
      <c r="B507" s="42">
        <f t="shared" si="7"/>
        <v>501</v>
      </c>
      <c r="C507" s="31" t="s">
        <v>692</v>
      </c>
      <c r="D507" s="34" t="str">
        <f t="array" ref="D507">IFNA(_xlfn.XLOOKUP(C507,Table_Tarikan_Warkah[Nomor Sertipikat],Table_Tarikan_Warkah[Nomor Tiket]),"")</f>
        <v>K/24/291024/1</v>
      </c>
      <c r="E507" s="36" t="str">
        <f t="array" ref="E507">IFNA(_xlfn.XLOOKUP(D507,Table_Tarikan_Warkah[Nomor Tiket],Table_Tarikan_Warkah[Tanggal diserahkan kepada Validator]),"")</f>
        <v>30/10/2024 11.01</v>
      </c>
      <c r="F507" s="36" t="str">
        <f t="array" ref="F507">IFNA(_xlfn.XLOOKUP(D507,Table_Tarikan_Warkah[Nomor Tiket],Table_Tarikan_Warkah[Nama Petugas Warkah]),"")</f>
        <v>David</v>
      </c>
      <c r="G507" s="39" t="str">
        <f t="array" ref="G507">IFNA(_xlfn.XLOOKUP(D507,Table_Tarikan_Warkah[Nomor Tiket],Table_Tarikan_Warkah[Jenis Permohonan]),"")</f>
        <v>BN JUAL BELI</v>
      </c>
      <c r="H507" s="41" t="s">
        <v>20</v>
      </c>
      <c r="I507" s="41" t="s">
        <v>23</v>
      </c>
      <c r="J507" s="36">
        <f t="shared" si="17"/>
        <v>45643.59683</v>
      </c>
      <c r="K507" s="49" t="s">
        <v>26</v>
      </c>
      <c r="L507" s="49" t="s">
        <v>23</v>
      </c>
      <c r="M507" s="36">
        <f t="shared" si="18"/>
        <v>45643.66587</v>
      </c>
      <c r="N507" s="30" t="str">
        <f t="shared" si="3"/>
        <v>Selesai</v>
      </c>
      <c r="O507" s="45">
        <f t="shared" si="12"/>
        <v>45643.66587</v>
      </c>
      <c r="P507" s="47" t="b">
        <v>1</v>
      </c>
      <c r="Q507" s="36">
        <f t="shared" si="19"/>
        <v>45643.69103</v>
      </c>
      <c r="R507" s="47" t="b">
        <v>0</v>
      </c>
      <c r="S507" s="42" t="str">
        <f t="shared" si="6"/>
        <v/>
      </c>
      <c r="T507" s="42"/>
    </row>
    <row r="508" ht="22.5" customHeight="1">
      <c r="B508" s="42">
        <f t="shared" si="7"/>
        <v>502</v>
      </c>
      <c r="C508" s="31" t="s">
        <v>693</v>
      </c>
      <c r="D508" s="42" t="s">
        <v>694</v>
      </c>
      <c r="E508" s="36" t="str">
        <f t="array" ref="E508">IFNA(_xlfn.XLOOKUP(D508,Table_Tarikan_Warkah[Nomor Tiket],Table_Tarikan_Warkah[Tanggal diserahkan kepada Validator]),"")</f>
        <v>16/12/2024 17.02</v>
      </c>
      <c r="F508" s="36" t="str">
        <f t="array" ref="F508">IFNA(_xlfn.XLOOKUP(D508,Table_Tarikan_Warkah[Nomor Tiket],Table_Tarikan_Warkah[Nama Petugas Warkah]),"")</f>
        <v>David</v>
      </c>
      <c r="G508" s="39" t="str">
        <f t="array" ref="G508">IFNA(_xlfn.XLOOKUP(D508,Table_Tarikan_Warkah[Nomor Tiket],Table_Tarikan_Warkah[Jenis Permohonan]),"")</f>
        <v>BN JUAL BELI</v>
      </c>
      <c r="H508" s="41" t="s">
        <v>20</v>
      </c>
      <c r="I508" s="41" t="s">
        <v>23</v>
      </c>
      <c r="J508" s="36">
        <f t="shared" si="17"/>
        <v>45643.59683</v>
      </c>
      <c r="K508" s="49" t="s">
        <v>26</v>
      </c>
      <c r="L508" s="49" t="s">
        <v>23</v>
      </c>
      <c r="M508" s="36">
        <f t="shared" si="18"/>
        <v>45643.66587</v>
      </c>
      <c r="N508" s="30" t="str">
        <f t="shared" si="3"/>
        <v>Selesai</v>
      </c>
      <c r="O508" s="45">
        <f t="shared" si="12"/>
        <v>45643.66587</v>
      </c>
      <c r="P508" s="47" t="b">
        <v>1</v>
      </c>
      <c r="Q508" s="36">
        <f t="shared" si="19"/>
        <v>45643.69103</v>
      </c>
      <c r="R508" s="47" t="b">
        <v>1</v>
      </c>
      <c r="S508" s="36">
        <f t="shared" si="6"/>
        <v>45650.40646</v>
      </c>
      <c r="T508" s="60">
        <v>45645.0</v>
      </c>
    </row>
    <row r="509" ht="22.5" customHeight="1">
      <c r="B509" s="42">
        <f t="shared" si="7"/>
        <v>503</v>
      </c>
      <c r="C509" s="31" t="s">
        <v>695</v>
      </c>
      <c r="D509" s="34" t="str">
        <f t="array" ref="D509">IFNA(_xlfn.XLOOKUP(C509,Table_Tarikan_Warkah[Nomor Sertipikat],Table_Tarikan_Warkah[Nomor Tiket]),"")</f>
        <v>L/44/111224/1</v>
      </c>
      <c r="E509" s="36" t="str">
        <f t="array" ref="E509">IFNA(_xlfn.XLOOKUP(D509,Table_Tarikan_Warkah[Nomor Tiket],Table_Tarikan_Warkah[Tanggal diserahkan kepada Validator]),"")</f>
        <v>16/12/2024 16.58</v>
      </c>
      <c r="F509" s="36" t="str">
        <f t="array" ref="F509">IFNA(_xlfn.XLOOKUP(D509,Table_Tarikan_Warkah[Nomor Tiket],Table_Tarikan_Warkah[Nama Petugas Warkah]),"")</f>
        <v>David</v>
      </c>
      <c r="G509" s="39" t="str">
        <f t="array" ref="G509">IFNA(_xlfn.XLOOKUP(D509,Table_Tarikan_Warkah[Nomor Tiket],Table_Tarikan_Warkah[Jenis Permohonan]),"")</f>
        <v>PH</v>
      </c>
      <c r="H509" s="41" t="s">
        <v>11</v>
      </c>
      <c r="I509" s="41" t="s">
        <v>12</v>
      </c>
      <c r="J509" s="36">
        <f t="shared" si="17"/>
        <v>45643.61369</v>
      </c>
      <c r="K509" s="49" t="s">
        <v>197</v>
      </c>
      <c r="L509" s="49" t="s">
        <v>12</v>
      </c>
      <c r="M509" s="36">
        <f t="shared" si="18"/>
        <v>45650.47758</v>
      </c>
      <c r="N509" s="30" t="str">
        <f t="shared" si="3"/>
        <v>SELESAI</v>
      </c>
      <c r="O509" s="45">
        <f t="shared" si="12"/>
        <v>45650.47758</v>
      </c>
      <c r="P509" s="47" t="b">
        <v>0</v>
      </c>
      <c r="Q509" s="36" t="str">
        <f t="shared" si="19"/>
        <v/>
      </c>
      <c r="R509" s="47" t="b">
        <v>1</v>
      </c>
      <c r="S509" s="36">
        <f t="shared" si="6"/>
        <v>45650.39673</v>
      </c>
      <c r="T509" s="60">
        <v>45645.0</v>
      </c>
    </row>
    <row r="510" ht="22.5" customHeight="1">
      <c r="B510" s="42">
        <f t="shared" si="7"/>
        <v>504</v>
      </c>
      <c r="C510" s="31" t="s">
        <v>696</v>
      </c>
      <c r="D510" s="34" t="str">
        <f t="array" ref="D510">IFNA(_xlfn.XLOOKUP(C510,Table_Tarikan_Warkah[Nomor Sertipikat],Table_Tarikan_Warkah[Nomor Tiket]),"")</f>
        <v>L/25/111224/1</v>
      </c>
      <c r="E510" s="36" t="str">
        <f t="array" ref="E510">IFNA(_xlfn.XLOOKUP(D510,Table_Tarikan_Warkah[Nomor Tiket],Table_Tarikan_Warkah[Tanggal diserahkan kepada Validator]),"")</f>
        <v>16/12/2024 16.57</v>
      </c>
      <c r="F510" s="36" t="str">
        <f t="array" ref="F510">IFNA(_xlfn.XLOOKUP(D510,Table_Tarikan_Warkah[Nomor Tiket],Table_Tarikan_Warkah[Nama Petugas Warkah]),"")</f>
        <v>David</v>
      </c>
      <c r="G510" s="39" t="str">
        <f t="array" ref="G510">IFNA(_xlfn.XLOOKUP(D510,Table_Tarikan_Warkah[Nomor Tiket],Table_Tarikan_Warkah[Jenis Permohonan]),"")</f>
        <v>ROYA</v>
      </c>
      <c r="H510" s="41" t="s">
        <v>11</v>
      </c>
      <c r="I510" s="41" t="s">
        <v>12</v>
      </c>
      <c r="J510" s="36">
        <f t="shared" si="17"/>
        <v>45643.61371</v>
      </c>
      <c r="K510" s="49" t="s">
        <v>197</v>
      </c>
      <c r="L510" s="49" t="s">
        <v>12</v>
      </c>
      <c r="M510" s="36">
        <f t="shared" si="18"/>
        <v>45650.47758</v>
      </c>
      <c r="N510" s="30" t="str">
        <f t="shared" si="3"/>
        <v>SELESAI</v>
      </c>
      <c r="O510" s="45">
        <f t="shared" si="12"/>
        <v>45650.47758</v>
      </c>
      <c r="P510" s="47" t="b">
        <v>0</v>
      </c>
      <c r="Q510" s="36" t="str">
        <f t="shared" si="19"/>
        <v/>
      </c>
      <c r="R510" s="47" t="b">
        <v>1</v>
      </c>
      <c r="S510" s="36">
        <f t="shared" si="6"/>
        <v>45650.39966</v>
      </c>
      <c r="T510" s="60">
        <v>45645.0</v>
      </c>
    </row>
    <row r="511" ht="22.5" customHeight="1">
      <c r="B511" s="42">
        <f t="shared" si="7"/>
        <v>505</v>
      </c>
      <c r="C511" s="31" t="s">
        <v>697</v>
      </c>
      <c r="D511" s="34" t="str">
        <f t="array" ref="D511">IFNA(_xlfn.XLOOKUP(C511,Table_Tarikan_Warkah[Nomor Sertipikat],Table_Tarikan_Warkah[Nomor Tiket]),"")</f>
        <v>K/3/111224/2</v>
      </c>
      <c r="E511" s="36" t="str">
        <f t="array" ref="E511">IFNA(_xlfn.XLOOKUP(D511,Table_Tarikan_Warkah[Nomor Tiket],Table_Tarikan_Warkah[Tanggal diserahkan kepada Validator]),"")</f>
        <v>16/12/2024 16.54</v>
      </c>
      <c r="F511" s="36" t="str">
        <f t="array" ref="F511">IFNA(_xlfn.XLOOKUP(D511,Table_Tarikan_Warkah[Nomor Tiket],Table_Tarikan_Warkah[Nama Petugas Warkah]),"")</f>
        <v>David</v>
      </c>
      <c r="G511" s="39" t="str">
        <f t="array" ref="G511">IFNA(_xlfn.XLOOKUP(D511,Table_Tarikan_Warkah[Nomor Tiket],Table_Tarikan_Warkah[Jenis Permohonan]),"")</f>
        <v>Roya</v>
      </c>
      <c r="H511" s="41" t="s">
        <v>11</v>
      </c>
      <c r="I511" s="41" t="s">
        <v>12</v>
      </c>
      <c r="J511" s="36">
        <f t="shared" si="17"/>
        <v>45643.61371</v>
      </c>
      <c r="K511" s="49" t="s">
        <v>197</v>
      </c>
      <c r="L511" s="49" t="s">
        <v>12</v>
      </c>
      <c r="M511" s="36">
        <f t="shared" si="18"/>
        <v>45650.47758</v>
      </c>
      <c r="N511" s="30" t="str">
        <f t="shared" si="3"/>
        <v>SELESAI</v>
      </c>
      <c r="O511" s="45">
        <f t="shared" si="12"/>
        <v>45650.47758</v>
      </c>
      <c r="P511" s="47" t="b">
        <v>0</v>
      </c>
      <c r="Q511" s="36" t="str">
        <f t="shared" si="19"/>
        <v/>
      </c>
      <c r="R511" s="47" t="b">
        <v>1</v>
      </c>
      <c r="S511" s="36">
        <f t="shared" si="6"/>
        <v>45650.39966</v>
      </c>
      <c r="T511" s="60">
        <v>45645.0</v>
      </c>
    </row>
    <row r="512" ht="22.5" customHeight="1">
      <c r="B512" s="42">
        <f t="shared" si="7"/>
        <v>506</v>
      </c>
      <c r="C512" s="31" t="s">
        <v>698</v>
      </c>
      <c r="D512" s="34" t="str">
        <f t="array" ref="D512">IFNA(_xlfn.XLOOKUP(C512,Table_Tarikan_Warkah[Nomor Sertipikat],Table_Tarikan_Warkah[Nomor Tiket]),"")</f>
        <v>L/19/121224/1</v>
      </c>
      <c r="E512" s="36" t="str">
        <f t="array" ref="E512">IFNA(_xlfn.XLOOKUP(D512,Table_Tarikan_Warkah[Nomor Tiket],Table_Tarikan_Warkah[Tanggal diserahkan kepada Validator]),"")</f>
        <v>16/12/2024 17.02</v>
      </c>
      <c r="F512" s="36" t="str">
        <f t="array" ref="F512">IFNA(_xlfn.XLOOKUP(D512,Table_Tarikan_Warkah[Nomor Tiket],Table_Tarikan_Warkah[Nama Petugas Warkah]),"")</f>
        <v>David</v>
      </c>
      <c r="G512" s="39" t="str">
        <f t="array" ref="G512">IFNA(_xlfn.XLOOKUP(D512,Table_Tarikan_Warkah[Nomor Tiket],Table_Tarikan_Warkah[Jenis Permohonan]),"")</f>
        <v>ROYA</v>
      </c>
      <c r="H512" s="41" t="s">
        <v>11</v>
      </c>
      <c r="I512" s="41" t="s">
        <v>12</v>
      </c>
      <c r="J512" s="36">
        <f t="shared" si="17"/>
        <v>45643.61371</v>
      </c>
      <c r="K512" s="49" t="s">
        <v>197</v>
      </c>
      <c r="L512" s="49" t="s">
        <v>12</v>
      </c>
      <c r="M512" s="36">
        <f t="shared" si="18"/>
        <v>45650.47758</v>
      </c>
      <c r="N512" s="30" t="str">
        <f t="shared" si="3"/>
        <v>SELESAI</v>
      </c>
      <c r="O512" s="45">
        <f t="shared" si="12"/>
        <v>45650.47758</v>
      </c>
      <c r="P512" s="47" t="b">
        <v>0</v>
      </c>
      <c r="Q512" s="36" t="str">
        <f t="shared" si="19"/>
        <v/>
      </c>
      <c r="R512" s="47" t="b">
        <v>1</v>
      </c>
      <c r="S512" s="36">
        <f t="shared" si="6"/>
        <v>45650.39858</v>
      </c>
      <c r="T512" s="60">
        <v>45645.0</v>
      </c>
    </row>
    <row r="513" ht="22.5" customHeight="1">
      <c r="B513" s="42">
        <f t="shared" si="7"/>
        <v>507</v>
      </c>
      <c r="C513" s="31" t="s">
        <v>699</v>
      </c>
      <c r="D513" s="34" t="str">
        <f t="array" ref="D513">IFNA(_xlfn.XLOOKUP(C513,Table_Tarikan_Warkah[Nomor Sertipikat],Table_Tarikan_Warkah[Nomor Tiket]),"")</f>
        <v>K/16/121224/1</v>
      </c>
      <c r="E513" s="36" t="str">
        <f t="array" ref="E513">IFNA(_xlfn.XLOOKUP(D513,Table_Tarikan_Warkah[Nomor Tiket],Table_Tarikan_Warkah[Tanggal diserahkan kepada Validator]),"")</f>
        <v>16/12/2024 17.01</v>
      </c>
      <c r="F513" s="36" t="str">
        <f t="array" ref="F513">IFNA(_xlfn.XLOOKUP(D513,Table_Tarikan_Warkah[Nomor Tiket],Table_Tarikan_Warkah[Nama Petugas Warkah]),"")</f>
        <v>David</v>
      </c>
      <c r="G513" s="39" t="str">
        <f t="array" ref="G513">IFNA(_xlfn.XLOOKUP(D513,Table_Tarikan_Warkah[Nomor Tiket],Table_Tarikan_Warkah[Jenis Permohonan]),"")</f>
        <v>BN JUAL BELI</v>
      </c>
      <c r="H513" s="41" t="s">
        <v>11</v>
      </c>
      <c r="I513" s="41" t="s">
        <v>12</v>
      </c>
      <c r="J513" s="36">
        <f t="shared" si="17"/>
        <v>45643.61371</v>
      </c>
      <c r="K513" s="49" t="s">
        <v>197</v>
      </c>
      <c r="L513" s="49" t="s">
        <v>12</v>
      </c>
      <c r="M513" s="36">
        <f t="shared" si="18"/>
        <v>45650.47758</v>
      </c>
      <c r="N513" s="30" t="str">
        <f t="shared" si="3"/>
        <v>SELESAI</v>
      </c>
      <c r="O513" s="45">
        <f t="shared" si="12"/>
        <v>45650.47758</v>
      </c>
      <c r="P513" s="47" t="b">
        <v>0</v>
      </c>
      <c r="Q513" s="36" t="str">
        <f t="shared" si="19"/>
        <v/>
      </c>
      <c r="R513" s="47" t="b">
        <v>1</v>
      </c>
      <c r="S513" s="36">
        <f t="shared" si="6"/>
        <v>45650.47758</v>
      </c>
      <c r="T513" s="60">
        <v>45645.0</v>
      </c>
    </row>
    <row r="514" ht="22.5" customHeight="1">
      <c r="B514" s="42">
        <f t="shared" si="7"/>
        <v>508</v>
      </c>
      <c r="C514" s="31" t="s">
        <v>700</v>
      </c>
      <c r="D514" s="34" t="str">
        <f t="array" ref="D514">IFNA(_xlfn.XLOOKUP(C514,Table_Tarikan_Warkah[Nomor Sertipikat],Table_Tarikan_Warkah[Nomor Tiket]),"")</f>
        <v>K/33/111224/2</v>
      </c>
      <c r="E514" s="36" t="str">
        <f t="array" ref="E514">IFNA(_xlfn.XLOOKUP(D514,Table_Tarikan_Warkah[Nomor Tiket],Table_Tarikan_Warkah[Tanggal diserahkan kepada Validator]),"")</f>
        <v>16/12/2024 16.58</v>
      </c>
      <c r="F514" s="36" t="str">
        <f t="array" ref="F514">IFNA(_xlfn.XLOOKUP(D514,Table_Tarikan_Warkah[Nomor Tiket],Table_Tarikan_Warkah[Nama Petugas Warkah]),"")</f>
        <v>David</v>
      </c>
      <c r="G514" s="39" t="str">
        <f t="array" ref="G514">IFNA(_xlfn.XLOOKUP(D514,Table_Tarikan_Warkah[Nomor Tiket],Table_Tarikan_Warkah[Jenis Permohonan]),"")</f>
        <v>BN Jual Beli</v>
      </c>
      <c r="H514" s="41" t="s">
        <v>11</v>
      </c>
      <c r="I514" s="41" t="s">
        <v>12</v>
      </c>
      <c r="J514" s="36">
        <f t="shared" si="17"/>
        <v>45643.61371</v>
      </c>
      <c r="K514" s="49" t="s">
        <v>197</v>
      </c>
      <c r="L514" s="49" t="s">
        <v>12</v>
      </c>
      <c r="M514" s="36">
        <f t="shared" si="18"/>
        <v>45650.47758</v>
      </c>
      <c r="N514" s="30" t="str">
        <f t="shared" si="3"/>
        <v>SELESAI</v>
      </c>
      <c r="O514" s="45">
        <f t="shared" si="12"/>
        <v>45650.47758</v>
      </c>
      <c r="P514" s="47" t="b">
        <v>0</v>
      </c>
      <c r="Q514" s="36" t="str">
        <f t="shared" si="19"/>
        <v/>
      </c>
      <c r="R514" s="47" t="b">
        <v>1</v>
      </c>
      <c r="S514" s="36">
        <f t="shared" si="6"/>
        <v>45650.40291</v>
      </c>
      <c r="T514" s="60">
        <v>45645.0</v>
      </c>
    </row>
    <row r="515" ht="22.5" customHeight="1">
      <c r="B515" s="42">
        <f t="shared" si="7"/>
        <v>509</v>
      </c>
      <c r="C515" s="31" t="s">
        <v>701</v>
      </c>
      <c r="D515" s="34" t="str">
        <f t="array" ref="D515">IFNA(_xlfn.XLOOKUP(C515,Table_Tarikan_Warkah[Nomor Sertipikat],Table_Tarikan_Warkah[Nomor Tiket]),"")</f>
        <v>K/6/111224/3</v>
      </c>
      <c r="E515" s="36" t="str">
        <f t="array" ref="E515">IFNA(_xlfn.XLOOKUP(D515,Table_Tarikan_Warkah[Nomor Tiket],Table_Tarikan_Warkah[Tanggal diserahkan kepada Validator]),"")</f>
        <v>16/12/2024 16.55</v>
      </c>
      <c r="F515" s="36" t="str">
        <f t="array" ref="F515">IFNA(_xlfn.XLOOKUP(D515,Table_Tarikan_Warkah[Nomor Tiket],Table_Tarikan_Warkah[Nama Petugas Warkah]),"")</f>
        <v>David</v>
      </c>
      <c r="G515" s="39" t="str">
        <f t="array" ref="G515">IFNA(_xlfn.XLOOKUP(D515,Table_Tarikan_Warkah[Nomor Tiket],Table_Tarikan_Warkah[Jenis Permohonan]),"")</f>
        <v>BN Jual Beli</v>
      </c>
      <c r="H515" s="41" t="s">
        <v>11</v>
      </c>
      <c r="I515" s="41" t="s">
        <v>12</v>
      </c>
      <c r="J515" s="36">
        <f t="shared" si="17"/>
        <v>45643.61363</v>
      </c>
      <c r="K515" s="49" t="s">
        <v>197</v>
      </c>
      <c r="L515" s="49" t="s">
        <v>12</v>
      </c>
      <c r="M515" s="36">
        <f t="shared" si="18"/>
        <v>45650.47758</v>
      </c>
      <c r="N515" s="30" t="str">
        <f t="shared" si="3"/>
        <v>SELESAI</v>
      </c>
      <c r="O515" s="45">
        <f t="shared" si="12"/>
        <v>45650.47758</v>
      </c>
      <c r="P515" s="47" t="b">
        <v>0</v>
      </c>
      <c r="Q515" s="36" t="str">
        <f t="shared" si="19"/>
        <v/>
      </c>
      <c r="R515" s="47" t="b">
        <v>1</v>
      </c>
      <c r="S515" s="36">
        <f t="shared" si="6"/>
        <v>45650.40339</v>
      </c>
      <c r="T515" s="60">
        <v>45645.0</v>
      </c>
    </row>
    <row r="516" ht="22.5" customHeight="1">
      <c r="B516" s="42">
        <f t="shared" si="7"/>
        <v>510</v>
      </c>
      <c r="C516" s="31" t="s">
        <v>702</v>
      </c>
      <c r="D516" s="34" t="str">
        <f t="array" ref="D516">IFNA(_xlfn.XLOOKUP(C516,Table_Tarikan_Warkah[Nomor Sertipikat],Table_Tarikan_Warkah[Nomor Tiket]),"")</f>
        <v>K/5/111224/1</v>
      </c>
      <c r="E516" s="36" t="str">
        <f t="array" ref="E516">IFNA(_xlfn.XLOOKUP(D516,Table_Tarikan_Warkah[Nomor Tiket],Table_Tarikan_Warkah[Tanggal diserahkan kepada Validator]),"")</f>
        <v>16/12/2024 16.54</v>
      </c>
      <c r="F516" s="36" t="str">
        <f t="array" ref="F516">IFNA(_xlfn.XLOOKUP(D516,Table_Tarikan_Warkah[Nomor Tiket],Table_Tarikan_Warkah[Nama Petugas Warkah]),"")</f>
        <v>David</v>
      </c>
      <c r="G516" s="39" t="str">
        <f t="array" ref="G516">IFNA(_xlfn.XLOOKUP(D516,Table_Tarikan_Warkah[Nomor Tiket],Table_Tarikan_Warkah[Jenis Permohonan]),"")</f>
        <v>BN HIBAH</v>
      </c>
      <c r="H516" s="41" t="s">
        <v>11</v>
      </c>
      <c r="I516" s="41" t="s">
        <v>23</v>
      </c>
      <c r="J516" s="36">
        <f t="shared" si="17"/>
        <v>45643.61375</v>
      </c>
      <c r="K516" s="49" t="s">
        <v>26</v>
      </c>
      <c r="L516" s="49" t="s">
        <v>23</v>
      </c>
      <c r="M516" s="36">
        <f t="shared" si="18"/>
        <v>45643.66517</v>
      </c>
      <c r="N516" s="30" t="str">
        <f t="shared" si="3"/>
        <v>Selesai</v>
      </c>
      <c r="O516" s="45">
        <f t="shared" si="12"/>
        <v>45643.66517</v>
      </c>
      <c r="P516" s="47" t="b">
        <v>1</v>
      </c>
      <c r="Q516" s="36">
        <f t="shared" si="19"/>
        <v>45643.69084</v>
      </c>
      <c r="R516" s="47" t="b">
        <v>1</v>
      </c>
      <c r="S516" s="36">
        <f t="shared" si="6"/>
        <v>45650.40339</v>
      </c>
      <c r="T516" s="60">
        <v>45645.0</v>
      </c>
    </row>
    <row r="517" ht="22.5" customHeight="1">
      <c r="B517" s="42">
        <f t="shared" si="7"/>
        <v>511</v>
      </c>
      <c r="C517" s="31" t="s">
        <v>703</v>
      </c>
      <c r="D517" s="34" t="str">
        <f t="array" ref="D517">IFNA(_xlfn.XLOOKUP(C517,Table_Tarikan_Warkah[Nomor Sertipikat],Table_Tarikan_Warkah[Nomor Tiket]),"")</f>
        <v>K/29/091224/1</v>
      </c>
      <c r="E517" s="36" t="str">
        <f t="array" ref="E517">IFNA(_xlfn.XLOOKUP(D517,Table_Tarikan_Warkah[Nomor Tiket],Table_Tarikan_Warkah[Tanggal diserahkan kepada Validator]),"")</f>
        <v>10/12/2024 16.23</v>
      </c>
      <c r="F517" s="36" t="str">
        <f t="array" ref="F517">IFNA(_xlfn.XLOOKUP(D517,Table_Tarikan_Warkah[Nomor Tiket],Table_Tarikan_Warkah[Nama Petugas Warkah]),"")</f>
        <v>David</v>
      </c>
      <c r="G517" s="39" t="str">
        <f t="array" ref="G517">IFNA(_xlfn.XLOOKUP(D517,Table_Tarikan_Warkah[Nomor Tiket],Table_Tarikan_Warkah[Jenis Permohonan]),"")</f>
        <v>BN JUAL BELI</v>
      </c>
      <c r="H517" s="41" t="s">
        <v>11</v>
      </c>
      <c r="I517" s="41" t="s">
        <v>23</v>
      </c>
      <c r="J517" s="36">
        <f t="shared" si="17"/>
        <v>45643.61377</v>
      </c>
      <c r="K517" s="49" t="s">
        <v>26</v>
      </c>
      <c r="L517" s="49" t="s">
        <v>23</v>
      </c>
      <c r="M517" s="36">
        <f t="shared" si="18"/>
        <v>45643.66525</v>
      </c>
      <c r="N517" s="30" t="str">
        <f t="shared" si="3"/>
        <v>Selesai</v>
      </c>
      <c r="O517" s="45">
        <f t="shared" si="12"/>
        <v>45643.66525</v>
      </c>
      <c r="P517" s="47" t="b">
        <v>1</v>
      </c>
      <c r="Q517" s="36">
        <f t="shared" si="19"/>
        <v>45643.69084</v>
      </c>
      <c r="R517" s="47" t="b">
        <v>1</v>
      </c>
      <c r="S517" s="36">
        <f t="shared" si="6"/>
        <v>45653.60235</v>
      </c>
      <c r="T517" s="30" t="s">
        <v>27</v>
      </c>
    </row>
    <row r="518" ht="22.5" customHeight="1">
      <c r="B518" s="42">
        <f t="shared" si="7"/>
        <v>512</v>
      </c>
      <c r="C518" s="31" t="s">
        <v>704</v>
      </c>
      <c r="D518" s="34" t="str">
        <f t="array" ref="D518">IFNA(_xlfn.XLOOKUP(C518,Table_Tarikan_Warkah[Nomor Sertipikat],Table_Tarikan_Warkah[Nomor Tiket]),"")</f>
        <v>K/15/111224/1</v>
      </c>
      <c r="E518" s="36" t="str">
        <f t="array" ref="E518">IFNA(_xlfn.XLOOKUP(D518,Table_Tarikan_Warkah[Nomor Tiket],Table_Tarikan_Warkah[Tanggal diserahkan kepada Validator]),"")</f>
        <v>16/12/2024 16.55</v>
      </c>
      <c r="F518" s="36" t="str">
        <f t="array" ref="F518">IFNA(_xlfn.XLOOKUP(D518,Table_Tarikan_Warkah[Nomor Tiket],Table_Tarikan_Warkah[Nama Petugas Warkah]),"")</f>
        <v>David</v>
      </c>
      <c r="G518" s="39" t="str">
        <f t="array" ref="G518">IFNA(_xlfn.XLOOKUP(D518,Table_Tarikan_Warkah[Nomor Tiket],Table_Tarikan_Warkah[Jenis Permohonan]),"")</f>
        <v>BN JUAL BELI</v>
      </c>
      <c r="H518" s="41" t="s">
        <v>11</v>
      </c>
      <c r="I518" s="41" t="s">
        <v>23</v>
      </c>
      <c r="J518" s="36">
        <f t="shared" si="17"/>
        <v>45643.61377</v>
      </c>
      <c r="K518" s="49" t="s">
        <v>26</v>
      </c>
      <c r="L518" s="49" t="s">
        <v>23</v>
      </c>
      <c r="M518" s="36">
        <f t="shared" si="18"/>
        <v>45643.66528</v>
      </c>
      <c r="N518" s="30" t="str">
        <f t="shared" si="3"/>
        <v>Selesai</v>
      </c>
      <c r="O518" s="45">
        <f t="shared" si="12"/>
        <v>45643.66528</v>
      </c>
      <c r="P518" s="47" t="b">
        <v>1</v>
      </c>
      <c r="Q518" s="36">
        <f t="shared" si="19"/>
        <v>45643.69084</v>
      </c>
      <c r="R518" s="47" t="b">
        <v>0</v>
      </c>
      <c r="S518" s="42" t="str">
        <f t="shared" si="6"/>
        <v/>
      </c>
      <c r="T518" s="42"/>
    </row>
    <row r="519" ht="22.5" customHeight="1">
      <c r="B519" s="42">
        <f t="shared" si="7"/>
        <v>513</v>
      </c>
      <c r="C519" s="31" t="s">
        <v>705</v>
      </c>
      <c r="D519" s="34" t="str">
        <f t="array" ref="D519">IFNA(_xlfn.XLOOKUP(C519,Table_Tarikan_Warkah[Nomor Sertipikat],Table_Tarikan_Warkah[Nomor Tiket]),"")</f>
        <v>K/31/051224/1</v>
      </c>
      <c r="E519" s="36" t="str">
        <f t="array" ref="E519">IFNA(_xlfn.XLOOKUP(D519,Table_Tarikan_Warkah[Nomor Tiket],Table_Tarikan_Warkah[Tanggal diserahkan kepada Validator]),"")</f>
        <v/>
      </c>
      <c r="F519" s="36" t="str">
        <f t="array" ref="F519">IFNA(_xlfn.XLOOKUP(D519,Table_Tarikan_Warkah[Nomor Tiket],Table_Tarikan_Warkah[Nama Petugas Warkah]),"")</f>
        <v>Berry</v>
      </c>
      <c r="G519" s="39" t="str">
        <f t="array" ref="G519">IFNA(_xlfn.XLOOKUP(D519,Table_Tarikan_Warkah[Nomor Tiket],Table_Tarikan_Warkah[Jenis Permohonan]),"")</f>
        <v>BN Hibah</v>
      </c>
      <c r="H519" s="41" t="s">
        <v>11</v>
      </c>
      <c r="I519" s="41" t="s">
        <v>23</v>
      </c>
      <c r="J519" s="36">
        <f t="shared" si="17"/>
        <v>45643.61377</v>
      </c>
      <c r="K519" s="49" t="s">
        <v>26</v>
      </c>
      <c r="L519" s="49" t="s">
        <v>23</v>
      </c>
      <c r="M519" s="36">
        <f t="shared" si="18"/>
        <v>45643.66534</v>
      </c>
      <c r="N519" s="30" t="str">
        <f t="shared" si="3"/>
        <v>Selesai</v>
      </c>
      <c r="O519" s="45">
        <f t="shared" si="12"/>
        <v>45643.66534</v>
      </c>
      <c r="P519" s="47" t="b">
        <v>1</v>
      </c>
      <c r="Q519" s="36">
        <f t="shared" si="19"/>
        <v>45643.69084</v>
      </c>
      <c r="R519" s="47" t="b">
        <v>0</v>
      </c>
      <c r="S519" s="42" t="str">
        <f t="shared" si="6"/>
        <v/>
      </c>
      <c r="T519" s="42"/>
    </row>
    <row r="520" ht="22.5" customHeight="1">
      <c r="B520" s="42">
        <f t="shared" si="7"/>
        <v>514</v>
      </c>
      <c r="C520" s="31" t="s">
        <v>706</v>
      </c>
      <c r="D520" s="34" t="str">
        <f t="array" ref="D520">IFNA(_xlfn.XLOOKUP(C520,Table_Tarikan_Warkah[Nomor Sertipikat],Table_Tarikan_Warkah[Nomor Tiket]),"")</f>
        <v>K/16/041224/5</v>
      </c>
      <c r="E520" s="36" t="str">
        <f t="array" ref="E520">IFNA(_xlfn.XLOOKUP(D520,Table_Tarikan_Warkah[Nomor Tiket],Table_Tarikan_Warkah[Tanggal diserahkan kepada Validator]),"")</f>
        <v/>
      </c>
      <c r="F520" s="36" t="str">
        <f t="array" ref="F520">IFNA(_xlfn.XLOOKUP(D520,Table_Tarikan_Warkah[Nomor Tiket],Table_Tarikan_Warkah[Nama Petugas Warkah]),"")</f>
        <v>Berry</v>
      </c>
      <c r="G520" s="39" t="str">
        <f t="array" ref="G520">IFNA(_xlfn.XLOOKUP(D520,Table_Tarikan_Warkah[Nomor Tiket],Table_Tarikan_Warkah[Jenis Permohonan]),"")</f>
        <v>BN Hibah</v>
      </c>
      <c r="H520" s="41" t="s">
        <v>11</v>
      </c>
      <c r="I520" s="41" t="s">
        <v>23</v>
      </c>
      <c r="J520" s="36">
        <f t="shared" si="17"/>
        <v>45643.61377</v>
      </c>
      <c r="K520" s="49" t="s">
        <v>26</v>
      </c>
      <c r="L520" s="49" t="s">
        <v>23</v>
      </c>
      <c r="M520" s="36">
        <f t="shared" si="18"/>
        <v>45643.66534</v>
      </c>
      <c r="N520" s="30" t="str">
        <f t="shared" si="3"/>
        <v>Selesai</v>
      </c>
      <c r="O520" s="45">
        <f t="shared" si="12"/>
        <v>45643.66534</v>
      </c>
      <c r="P520" s="47" t="b">
        <v>1</v>
      </c>
      <c r="Q520" s="36">
        <f t="shared" si="19"/>
        <v>45643.69087</v>
      </c>
      <c r="R520" s="47" t="b">
        <v>0</v>
      </c>
      <c r="S520" s="42" t="str">
        <f t="shared" si="6"/>
        <v/>
      </c>
      <c r="T520" s="42"/>
    </row>
    <row r="521" ht="22.5" customHeight="1">
      <c r="B521" s="42">
        <f t="shared" si="7"/>
        <v>515</v>
      </c>
      <c r="C521" s="31" t="s">
        <v>707</v>
      </c>
      <c r="D521" s="34" t="str">
        <f t="array" ref="D521">IFNA(_xlfn.XLOOKUP(C521,Table_Tarikan_Warkah[Nomor Sertipikat],Table_Tarikan_Warkah[Nomor Tiket]),"")</f>
        <v>K/2/051224/1</v>
      </c>
      <c r="E521" s="36" t="str">
        <f t="array" ref="E521">IFNA(_xlfn.XLOOKUP(D521,Table_Tarikan_Warkah[Nomor Tiket],Table_Tarikan_Warkah[Tanggal diserahkan kepada Validator]),"")</f>
        <v/>
      </c>
      <c r="F521" s="36" t="str">
        <f t="array" ref="F521">IFNA(_xlfn.XLOOKUP(D521,Table_Tarikan_Warkah[Nomor Tiket],Table_Tarikan_Warkah[Nama Petugas Warkah]),"")</f>
        <v>Berry</v>
      </c>
      <c r="G521" s="39" t="str">
        <f t="array" ref="G521">IFNA(_xlfn.XLOOKUP(D521,Table_Tarikan_Warkah[Nomor Tiket],Table_Tarikan_Warkah[Jenis Permohonan]),"")</f>
        <v>Perubahan Hak</v>
      </c>
      <c r="H521" s="41" t="s">
        <v>11</v>
      </c>
      <c r="I521" s="41" t="s">
        <v>23</v>
      </c>
      <c r="J521" s="36">
        <f t="shared" si="17"/>
        <v>45643.61377</v>
      </c>
      <c r="K521" s="49" t="s">
        <v>26</v>
      </c>
      <c r="L521" s="49" t="s">
        <v>23</v>
      </c>
      <c r="M521" s="36">
        <f t="shared" si="18"/>
        <v>45643.66534</v>
      </c>
      <c r="N521" s="30" t="str">
        <f t="shared" si="3"/>
        <v>Selesai</v>
      </c>
      <c r="O521" s="45">
        <f t="shared" si="12"/>
        <v>45643.66534</v>
      </c>
      <c r="P521" s="47" t="b">
        <v>1</v>
      </c>
      <c r="Q521" s="36">
        <f t="shared" si="19"/>
        <v>45643.69087</v>
      </c>
      <c r="R521" s="47" t="b">
        <v>0</v>
      </c>
      <c r="S521" s="42" t="str">
        <f t="shared" si="6"/>
        <v/>
      </c>
      <c r="T521" s="42"/>
    </row>
    <row r="522" ht="22.5" customHeight="1">
      <c r="B522" s="42">
        <f t="shared" si="7"/>
        <v>516</v>
      </c>
      <c r="C522" s="31" t="s">
        <v>708</v>
      </c>
      <c r="D522" s="34" t="str">
        <f t="array" ref="D522">IFNA(_xlfn.XLOOKUP(C522,Table_Tarikan_Warkah[Nomor Sertipikat],Table_Tarikan_Warkah[Nomor Tiket]),"")</f>
        <v>K/12/041224/1</v>
      </c>
      <c r="E522" s="36" t="str">
        <f t="array" ref="E522">IFNA(_xlfn.XLOOKUP(D522,Table_Tarikan_Warkah[Nomor Tiket],Table_Tarikan_Warkah[Tanggal diserahkan kepada Validator]),"")</f>
        <v/>
      </c>
      <c r="F522" s="36" t="str">
        <f t="array" ref="F522">IFNA(_xlfn.XLOOKUP(D522,Table_Tarikan_Warkah[Nomor Tiket],Table_Tarikan_Warkah[Nama Petugas Warkah]),"")</f>
        <v>Berry</v>
      </c>
      <c r="G522" s="39" t="str">
        <f t="array" ref="G522">IFNA(_xlfn.XLOOKUP(D522,Table_Tarikan_Warkah[Nomor Tiket],Table_Tarikan_Warkah[Jenis Permohonan]),"")</f>
        <v>BN Hibah</v>
      </c>
      <c r="H522" s="41" t="s">
        <v>11</v>
      </c>
      <c r="I522" s="41" t="s">
        <v>23</v>
      </c>
      <c r="J522" s="36">
        <f t="shared" si="17"/>
        <v>45643.61377</v>
      </c>
      <c r="K522" s="49" t="s">
        <v>26</v>
      </c>
      <c r="L522" s="49" t="s">
        <v>23</v>
      </c>
      <c r="M522" s="36">
        <f t="shared" si="18"/>
        <v>45643.66542</v>
      </c>
      <c r="N522" s="30" t="str">
        <f t="shared" si="3"/>
        <v>Selesai</v>
      </c>
      <c r="O522" s="45">
        <f t="shared" si="12"/>
        <v>45643.66542</v>
      </c>
      <c r="P522" s="47" t="b">
        <v>1</v>
      </c>
      <c r="Q522" s="36">
        <f t="shared" si="19"/>
        <v>45643.69065</v>
      </c>
      <c r="R522" s="47" t="b">
        <v>0</v>
      </c>
      <c r="S522" s="42" t="str">
        <f t="shared" si="6"/>
        <v/>
      </c>
      <c r="T522" s="42"/>
    </row>
    <row r="523" ht="22.5" customHeight="1">
      <c r="B523" s="42">
        <f t="shared" si="7"/>
        <v>517</v>
      </c>
      <c r="C523" s="31" t="s">
        <v>709</v>
      </c>
      <c r="D523" s="34" t="str">
        <f t="array" ref="D523">IFNA(_xlfn.XLOOKUP(C523,Table_Tarikan_Warkah[Nomor Sertipikat],Table_Tarikan_Warkah[Nomor Tiket]),"")</f>
        <v>K/32/051224/4</v>
      </c>
      <c r="E523" s="36" t="str">
        <f t="array" ref="E523">IFNA(_xlfn.XLOOKUP(D523,Table_Tarikan_Warkah[Nomor Tiket],Table_Tarikan_Warkah[Tanggal diserahkan kepada Validator]),"")</f>
        <v/>
      </c>
      <c r="F523" s="36" t="str">
        <f t="array" ref="F523">IFNA(_xlfn.XLOOKUP(D523,Table_Tarikan_Warkah[Nomor Tiket],Table_Tarikan_Warkah[Nama Petugas Warkah]),"")</f>
        <v>Berry</v>
      </c>
      <c r="G523" s="39" t="str">
        <f t="array" ref="G523">IFNA(_xlfn.XLOOKUP(D523,Table_Tarikan_Warkah[Nomor Tiket],Table_Tarikan_Warkah[Jenis Permohonan]),"")</f>
        <v>BN Hibah</v>
      </c>
      <c r="H523" s="41" t="s">
        <v>11</v>
      </c>
      <c r="I523" s="41" t="s">
        <v>23</v>
      </c>
      <c r="J523" s="36">
        <f t="shared" si="17"/>
        <v>45643.61377</v>
      </c>
      <c r="K523" s="49" t="s">
        <v>26</v>
      </c>
      <c r="L523" s="49" t="s">
        <v>23</v>
      </c>
      <c r="M523" s="36">
        <f t="shared" si="18"/>
        <v>45643.66542</v>
      </c>
      <c r="N523" s="30" t="str">
        <f t="shared" si="3"/>
        <v>Selesai</v>
      </c>
      <c r="O523" s="45">
        <f t="shared" si="12"/>
        <v>45643.66542</v>
      </c>
      <c r="P523" s="47" t="b">
        <v>1</v>
      </c>
      <c r="Q523" s="36">
        <f t="shared" si="19"/>
        <v>45643.69061</v>
      </c>
      <c r="R523" s="47" t="b">
        <v>0</v>
      </c>
      <c r="S523" s="42" t="str">
        <f t="shared" si="6"/>
        <v/>
      </c>
      <c r="T523" s="42"/>
    </row>
    <row r="524" ht="22.5" customHeight="1">
      <c r="B524" s="42">
        <f t="shared" si="7"/>
        <v>518</v>
      </c>
      <c r="C524" s="31" t="s">
        <v>710</v>
      </c>
      <c r="D524" s="34" t="str">
        <f t="array" ref="D524">IFNA(_xlfn.XLOOKUP(C524,Table_Tarikan_Warkah[Nomor Sertipikat],Table_Tarikan_Warkah[Nomor Tiket]),"")</f>
        <v>L/23/091224/1</v>
      </c>
      <c r="E524" s="36" t="str">
        <f t="array" ref="E524">IFNA(_xlfn.XLOOKUP(D524,Table_Tarikan_Warkah[Nomor Tiket],Table_Tarikan_Warkah[Tanggal diserahkan kepada Validator]),"")</f>
        <v/>
      </c>
      <c r="F524" s="36" t="str">
        <f t="array" ref="F524">IFNA(_xlfn.XLOOKUP(D524,Table_Tarikan_Warkah[Nomor Tiket],Table_Tarikan_Warkah[Nama Petugas Warkah]),"")</f>
        <v>Berry</v>
      </c>
      <c r="G524" s="39" t="str">
        <f t="array" ref="G524">IFNA(_xlfn.XLOOKUP(D524,Table_Tarikan_Warkah[Nomor Tiket],Table_Tarikan_Warkah[Jenis Permohonan]),"")</f>
        <v>BN LELANG</v>
      </c>
      <c r="H524" s="41" t="s">
        <v>20</v>
      </c>
      <c r="I524" s="41" t="s">
        <v>23</v>
      </c>
      <c r="J524" s="36">
        <f t="shared" si="17"/>
        <v>45643.6713</v>
      </c>
      <c r="K524" s="49" t="s">
        <v>26</v>
      </c>
      <c r="L524" s="49" t="s">
        <v>23</v>
      </c>
      <c r="M524" s="36">
        <f t="shared" si="18"/>
        <v>45643.69058</v>
      </c>
      <c r="N524" s="30" t="str">
        <f t="shared" si="3"/>
        <v>Selesai</v>
      </c>
      <c r="O524" s="45">
        <f t="shared" si="12"/>
        <v>45643.69058</v>
      </c>
      <c r="P524" s="47" t="b">
        <v>1</v>
      </c>
      <c r="Q524" s="36">
        <f t="shared" si="19"/>
        <v>45643.6906</v>
      </c>
      <c r="R524" s="47" t="b">
        <v>0</v>
      </c>
      <c r="S524" s="42" t="str">
        <f t="shared" si="6"/>
        <v/>
      </c>
      <c r="T524" s="42"/>
    </row>
    <row r="525" ht="22.5" customHeight="1">
      <c r="B525" s="42">
        <f t="shared" si="7"/>
        <v>519</v>
      </c>
      <c r="C525" s="31" t="s">
        <v>711</v>
      </c>
      <c r="D525" s="34" t="str">
        <f t="array" ref="D525">IFNA(_xlfn.XLOOKUP(C525,Table_Tarikan_Warkah[Nomor Sertipikat],Table_Tarikan_Warkah[Nomor Tiket]),"")</f>
        <v>K/3/291124/1</v>
      </c>
      <c r="E525" s="36" t="str">
        <f t="array" ref="E525">IFNA(_xlfn.XLOOKUP(D525,Table_Tarikan_Warkah[Nomor Tiket],Table_Tarikan_Warkah[Tanggal diserahkan kepada Validator]),"")</f>
        <v/>
      </c>
      <c r="F525" s="36" t="str">
        <f t="array" ref="F525">IFNA(_xlfn.XLOOKUP(D525,Table_Tarikan_Warkah[Nomor Tiket],Table_Tarikan_Warkah[Nama Petugas Warkah]),"")</f>
        <v/>
      </c>
      <c r="G525" s="39" t="str">
        <f t="array" ref="G525">IFNA(_xlfn.XLOOKUP(D525,Table_Tarikan_Warkah[Nomor Tiket],Table_Tarikan_Warkah[Jenis Permohonan]),"")</f>
        <v>GANTI NAMA</v>
      </c>
      <c r="H525" s="41" t="s">
        <v>11</v>
      </c>
      <c r="I525" s="41" t="s">
        <v>23</v>
      </c>
      <c r="J525" s="36">
        <f t="shared" si="17"/>
        <v>45644.59192</v>
      </c>
      <c r="K525" s="49" t="s">
        <v>197</v>
      </c>
      <c r="L525" s="49" t="s">
        <v>23</v>
      </c>
      <c r="M525" s="36">
        <f t="shared" si="18"/>
        <v>45644.64772</v>
      </c>
      <c r="N525" s="30" t="str">
        <f t="shared" si="3"/>
        <v>Selesai</v>
      </c>
      <c r="O525" s="45">
        <f t="shared" si="12"/>
        <v>45644.64772</v>
      </c>
      <c r="P525" s="47" t="b">
        <v>1</v>
      </c>
      <c r="Q525" s="36">
        <f t="shared" si="19"/>
        <v>45644.64803</v>
      </c>
      <c r="R525" s="47" t="b">
        <v>0</v>
      </c>
      <c r="S525" s="42" t="str">
        <f t="shared" si="6"/>
        <v/>
      </c>
      <c r="T525" s="42"/>
    </row>
    <row r="526" ht="22.5" customHeight="1">
      <c r="B526" s="42">
        <f t="shared" si="7"/>
        <v>520</v>
      </c>
      <c r="C526" s="31" t="s">
        <v>712</v>
      </c>
      <c r="D526" s="34" t="str">
        <f t="array" ref="D526">IFNA(_xlfn.XLOOKUP(C526,Table_Tarikan_Warkah[Nomor Sertipikat],Table_Tarikan_Warkah[Nomor Tiket]),"")</f>
        <v>K/38/131224/3</v>
      </c>
      <c r="E526" s="36" t="str">
        <f t="array" ref="E526">IFNA(_xlfn.XLOOKUP(D526,Table_Tarikan_Warkah[Nomor Tiket],Table_Tarikan_Warkah[Tanggal diserahkan kepada Validator]),"")</f>
        <v/>
      </c>
      <c r="F526" s="36" t="str">
        <f t="array" ref="F526">IFNA(_xlfn.XLOOKUP(D526,Table_Tarikan_Warkah[Nomor Tiket],Table_Tarikan_Warkah[Nama Petugas Warkah]),"")</f>
        <v>Berry</v>
      </c>
      <c r="G526" s="39" t="str">
        <f t="array" ref="G526">IFNA(_xlfn.XLOOKUP(D526,Table_Tarikan_Warkah[Nomor Tiket],Table_Tarikan_Warkah[Jenis Permohonan]),"")</f>
        <v>BN JUAL BELI</v>
      </c>
      <c r="H526" s="41" t="s">
        <v>11</v>
      </c>
      <c r="I526" s="41" t="s">
        <v>23</v>
      </c>
      <c r="J526" s="36">
        <f t="shared" si="17"/>
        <v>45644.59196</v>
      </c>
      <c r="K526" s="49" t="s">
        <v>197</v>
      </c>
      <c r="L526" s="49" t="s">
        <v>23</v>
      </c>
      <c r="M526" s="36">
        <f t="shared" si="18"/>
        <v>45644.64778</v>
      </c>
      <c r="N526" s="30" t="str">
        <f t="shared" si="3"/>
        <v>Selesai</v>
      </c>
      <c r="O526" s="45">
        <f t="shared" si="12"/>
        <v>45644.64778</v>
      </c>
      <c r="P526" s="47" t="b">
        <v>1</v>
      </c>
      <c r="Q526" s="36">
        <f t="shared" si="19"/>
        <v>45644.64804</v>
      </c>
      <c r="R526" s="47" t="b">
        <v>0</v>
      </c>
      <c r="S526" s="42" t="str">
        <f t="shared" si="6"/>
        <v/>
      </c>
      <c r="T526" s="42"/>
    </row>
    <row r="527" ht="22.5" customHeight="1">
      <c r="B527" s="42">
        <f t="shared" si="7"/>
        <v>521</v>
      </c>
      <c r="C527" s="31" t="s">
        <v>713</v>
      </c>
      <c r="D527" s="34" t="str">
        <f t="array" ref="D527">IFNA(_xlfn.XLOOKUP(C527,Table_Tarikan_Warkah[Nomor Sertipikat],Table_Tarikan_Warkah[Nomor Tiket]),"")</f>
        <v>K/41/161224/1</v>
      </c>
      <c r="E527" s="36" t="str">
        <f t="array" ref="E527">IFNA(_xlfn.XLOOKUP(D527,Table_Tarikan_Warkah[Nomor Tiket],Table_Tarikan_Warkah[Tanggal diserahkan kepada Validator]),"")</f>
        <v>18/12/2024 16.35</v>
      </c>
      <c r="F527" s="36" t="str">
        <f t="array" ref="F527">IFNA(_xlfn.XLOOKUP(D527,Table_Tarikan_Warkah[Nomor Tiket],Table_Tarikan_Warkah[Nama Petugas Warkah]),"")</f>
        <v>Berry</v>
      </c>
      <c r="G527" s="39" t="str">
        <f t="array" ref="G527">IFNA(_xlfn.XLOOKUP(D527,Table_Tarikan_Warkah[Nomor Tiket],Table_Tarikan_Warkah[Jenis Permohonan]),"")</f>
        <v>BN JUAL BELI</v>
      </c>
      <c r="H527" s="41" t="s">
        <v>11</v>
      </c>
      <c r="I527" s="41" t="s">
        <v>23</v>
      </c>
      <c r="J527" s="36">
        <f t="shared" si="17"/>
        <v>45644.59196</v>
      </c>
      <c r="K527" s="49" t="s">
        <v>197</v>
      </c>
      <c r="L527" s="49" t="s">
        <v>23</v>
      </c>
      <c r="M527" s="36">
        <f t="shared" si="18"/>
        <v>45644.64785</v>
      </c>
      <c r="N527" s="30" t="str">
        <f t="shared" si="3"/>
        <v>Selesai</v>
      </c>
      <c r="O527" s="45">
        <f t="shared" si="12"/>
        <v>45644.64785</v>
      </c>
      <c r="P527" s="47" t="b">
        <v>1</v>
      </c>
      <c r="Q527" s="36">
        <f t="shared" si="19"/>
        <v>45644.64805</v>
      </c>
      <c r="R527" s="47" t="b">
        <v>1</v>
      </c>
      <c r="S527" s="36">
        <f t="shared" si="6"/>
        <v>45653.59094</v>
      </c>
      <c r="T527" s="30" t="s">
        <v>27</v>
      </c>
    </row>
    <row r="528" ht="22.5" customHeight="1">
      <c r="B528" s="42">
        <f t="shared" si="7"/>
        <v>522</v>
      </c>
      <c r="C528" s="31" t="s">
        <v>714</v>
      </c>
      <c r="D528" s="34" t="str">
        <f t="array" ref="D528">IFNA(_xlfn.XLOOKUP(C528,Table_Tarikan_Warkah[Nomor Sertipikat],Table_Tarikan_Warkah[Nomor Tiket]),"")</f>
        <v>K/14/021224/1</v>
      </c>
      <c r="E528" s="36" t="str">
        <f t="array" ref="E528">IFNA(_xlfn.XLOOKUP(D528,Table_Tarikan_Warkah[Nomor Tiket],Table_Tarikan_Warkah[Tanggal diserahkan kepada Validator]),"")</f>
        <v/>
      </c>
      <c r="F528" s="36" t="str">
        <f t="array" ref="F528">IFNA(_xlfn.XLOOKUP(D528,Table_Tarikan_Warkah[Nomor Tiket],Table_Tarikan_Warkah[Nama Petugas Warkah]),"")</f>
        <v/>
      </c>
      <c r="G528" s="39" t="str">
        <f t="array" ref="G528">IFNA(_xlfn.XLOOKUP(D528,Table_Tarikan_Warkah[Nomor Tiket],Table_Tarikan_Warkah[Jenis Permohonan]),"")</f>
        <v>PEMECAHAN</v>
      </c>
      <c r="H528" s="41" t="s">
        <v>11</v>
      </c>
      <c r="I528" s="41" t="s">
        <v>23</v>
      </c>
      <c r="J528" s="36">
        <f t="shared" si="17"/>
        <v>45644.59196</v>
      </c>
      <c r="K528" s="49" t="s">
        <v>197</v>
      </c>
      <c r="L528" s="49" t="s">
        <v>23</v>
      </c>
      <c r="M528" s="36">
        <f t="shared" si="18"/>
        <v>45644.6479</v>
      </c>
      <c r="N528" s="30" t="str">
        <f t="shared" si="3"/>
        <v>Selesai</v>
      </c>
      <c r="O528" s="45">
        <f t="shared" si="12"/>
        <v>45644.6479</v>
      </c>
      <c r="P528" s="47" t="b">
        <v>1</v>
      </c>
      <c r="Q528" s="36">
        <f t="shared" si="19"/>
        <v>45644.64806</v>
      </c>
      <c r="R528" s="47" t="b">
        <v>0</v>
      </c>
      <c r="S528" s="42" t="str">
        <f t="shared" si="6"/>
        <v/>
      </c>
      <c r="T528" s="42"/>
    </row>
    <row r="529" ht="22.5" customHeight="1">
      <c r="B529" s="42">
        <f t="shared" si="7"/>
        <v>523</v>
      </c>
      <c r="C529" s="31" t="s">
        <v>715</v>
      </c>
      <c r="D529" s="34" t="str">
        <f t="array" ref="D529">IFNA(_xlfn.XLOOKUP(C529,Table_Tarikan_Warkah[Nomor Sertipikat],Table_Tarikan_Warkah[Nomor Tiket]),"")</f>
        <v>K/6/161224/4</v>
      </c>
      <c r="E529" s="36" t="str">
        <f t="array" ref="E529">IFNA(_xlfn.XLOOKUP(D529,Table_Tarikan_Warkah[Nomor Tiket],Table_Tarikan_Warkah[Tanggal diserahkan kepada Validator]),"")</f>
        <v/>
      </c>
      <c r="F529" s="36" t="str">
        <f t="array" ref="F529">IFNA(_xlfn.XLOOKUP(D529,Table_Tarikan_Warkah[Nomor Tiket],Table_Tarikan_Warkah[Nama Petugas Warkah]),"")</f>
        <v>Berry</v>
      </c>
      <c r="G529" s="39" t="str">
        <f t="array" ref="G529">IFNA(_xlfn.XLOOKUP(D529,Table_Tarikan_Warkah[Nomor Tiket],Table_Tarikan_Warkah[Jenis Permohonan]),"")</f>
        <v>BN APHB</v>
      </c>
      <c r="H529" s="41" t="s">
        <v>11</v>
      </c>
      <c r="I529" s="41" t="s">
        <v>23</v>
      </c>
      <c r="J529" s="36">
        <f t="shared" si="17"/>
        <v>45644.59196</v>
      </c>
      <c r="K529" s="49" t="s">
        <v>197</v>
      </c>
      <c r="L529" s="49" t="s">
        <v>23</v>
      </c>
      <c r="M529" s="36">
        <f t="shared" si="18"/>
        <v>45644.6479</v>
      </c>
      <c r="N529" s="30" t="str">
        <f t="shared" si="3"/>
        <v>Selesai</v>
      </c>
      <c r="O529" s="45">
        <f t="shared" si="12"/>
        <v>45644.6479</v>
      </c>
      <c r="P529" s="47" t="b">
        <v>1</v>
      </c>
      <c r="Q529" s="36">
        <f t="shared" si="19"/>
        <v>45644.64807</v>
      </c>
      <c r="R529" s="47" t="b">
        <v>0</v>
      </c>
      <c r="S529" s="42" t="str">
        <f t="shared" si="6"/>
        <v/>
      </c>
      <c r="T529" s="42"/>
    </row>
    <row r="530" ht="22.5" customHeight="1">
      <c r="B530" s="42">
        <f t="shared" si="7"/>
        <v>524</v>
      </c>
      <c r="C530" s="31" t="s">
        <v>716</v>
      </c>
      <c r="D530" s="34" t="str">
        <f t="array" ref="D530">IFNA(_xlfn.XLOOKUP(C530,Table_Tarikan_Warkah[Nomor Sertipikat],Table_Tarikan_Warkah[Nomor Tiket]),"")</f>
        <v>K/28/161224/1</v>
      </c>
      <c r="E530" s="36" t="str">
        <f t="array" ref="E530">IFNA(_xlfn.XLOOKUP(D530,Table_Tarikan_Warkah[Nomor Tiket],Table_Tarikan_Warkah[Tanggal diserahkan kepada Validator]),"")</f>
        <v/>
      </c>
      <c r="F530" s="36" t="str">
        <f t="array" ref="F530">IFNA(_xlfn.XLOOKUP(D530,Table_Tarikan_Warkah[Nomor Tiket],Table_Tarikan_Warkah[Nama Petugas Warkah]),"")</f>
        <v>Berry</v>
      </c>
      <c r="G530" s="39" t="str">
        <f t="array" ref="G530">IFNA(_xlfn.XLOOKUP(D530,Table_Tarikan_Warkah[Nomor Tiket],Table_Tarikan_Warkah[Jenis Permohonan]),"")</f>
        <v>BN JUAL BELI</v>
      </c>
      <c r="H530" s="41" t="s">
        <v>11</v>
      </c>
      <c r="I530" s="41" t="s">
        <v>23</v>
      </c>
      <c r="J530" s="36">
        <f t="shared" si="17"/>
        <v>45644.59196</v>
      </c>
      <c r="K530" s="49" t="s">
        <v>197</v>
      </c>
      <c r="L530" s="49" t="s">
        <v>23</v>
      </c>
      <c r="M530" s="36">
        <f t="shared" si="18"/>
        <v>45644.64792</v>
      </c>
      <c r="N530" s="30" t="str">
        <f t="shared" si="3"/>
        <v>Selesai</v>
      </c>
      <c r="O530" s="45">
        <f t="shared" si="12"/>
        <v>45644.64792</v>
      </c>
      <c r="P530" s="47" t="b">
        <v>1</v>
      </c>
      <c r="Q530" s="36">
        <f t="shared" si="19"/>
        <v>45644.64807</v>
      </c>
      <c r="R530" s="47" t="b">
        <v>0</v>
      </c>
      <c r="S530" s="42" t="str">
        <f t="shared" si="6"/>
        <v/>
      </c>
      <c r="T530" s="42"/>
    </row>
    <row r="531" ht="22.5" customHeight="1">
      <c r="B531" s="42">
        <f t="shared" si="7"/>
        <v>525</v>
      </c>
      <c r="C531" s="31" t="s">
        <v>717</v>
      </c>
      <c r="D531" s="34" t="str">
        <f t="array" ref="D531">IFNA(_xlfn.XLOOKUP(C531,Table_Tarikan_Warkah[Nomor Sertipikat],Table_Tarikan_Warkah[Nomor Tiket]),"")</f>
        <v>K/27/251124/1</v>
      </c>
      <c r="E531" s="36">
        <f t="array" ref="E531">IFNA(_xlfn.XLOOKUP(D531,Table_Tarikan_Warkah[Nomor Tiket],Table_Tarikan_Warkah[Tanggal diserahkan kepada Validator]),"")</f>
        <v>45673.455</v>
      </c>
      <c r="F531" s="36" t="str">
        <f t="array" ref="F531">IFNA(_xlfn.XLOOKUP(D531,Table_Tarikan_Warkah[Nomor Tiket],Table_Tarikan_Warkah[Nama Petugas Warkah]),"")</f>
        <v>Berry</v>
      </c>
      <c r="G531" s="39" t="str">
        <f t="array" ref="G531">IFNA(_xlfn.XLOOKUP(D531,Table_Tarikan_Warkah[Nomor Tiket],Table_Tarikan_Warkah[Jenis Permohonan]),"")</f>
        <v>BN JUAL BELI</v>
      </c>
      <c r="H531" s="41" t="s">
        <v>11</v>
      </c>
      <c r="I531" s="41" t="s">
        <v>23</v>
      </c>
      <c r="J531" s="36">
        <f t="shared" si="17"/>
        <v>45644.59196</v>
      </c>
      <c r="K531" s="49" t="s">
        <v>197</v>
      </c>
      <c r="L531" s="49" t="s">
        <v>23</v>
      </c>
      <c r="M531" s="36">
        <f t="shared" si="18"/>
        <v>45644.64792</v>
      </c>
      <c r="N531" s="30" t="str">
        <f t="shared" si="3"/>
        <v>Selesai</v>
      </c>
      <c r="O531" s="45">
        <f t="shared" si="12"/>
        <v>45644.64792</v>
      </c>
      <c r="P531" s="47" t="b">
        <v>1</v>
      </c>
      <c r="Q531" s="36">
        <f t="shared" si="19"/>
        <v>45644.64808</v>
      </c>
      <c r="R531" s="47" t="b">
        <v>0</v>
      </c>
      <c r="S531" s="42" t="str">
        <f t="shared" si="6"/>
        <v/>
      </c>
      <c r="T531" s="42"/>
    </row>
    <row r="532" ht="22.5" customHeight="1">
      <c r="B532" s="42">
        <f t="shared" si="7"/>
        <v>526</v>
      </c>
      <c r="C532" s="31" t="s">
        <v>718</v>
      </c>
      <c r="D532" s="34" t="str">
        <f t="array" ref="D532">IFNA(_xlfn.XLOOKUP(C532,Table_Tarikan_Warkah[Nomor Sertipikat],Table_Tarikan_Warkah[Nomor Tiket]),"")</f>
        <v>K/4/161224/2</v>
      </c>
      <c r="E532" s="36" t="str">
        <f t="array" ref="E532">IFNA(_xlfn.XLOOKUP(D532,Table_Tarikan_Warkah[Nomor Tiket],Table_Tarikan_Warkah[Tanggal diserahkan kepada Validator]),"")</f>
        <v/>
      </c>
      <c r="F532" s="36" t="str">
        <f t="array" ref="F532">IFNA(_xlfn.XLOOKUP(D532,Table_Tarikan_Warkah[Nomor Tiket],Table_Tarikan_Warkah[Nama Petugas Warkah]),"")</f>
        <v>Berry</v>
      </c>
      <c r="G532" s="39" t="str">
        <f t="array" ref="G532">IFNA(_xlfn.XLOOKUP(D532,Table_Tarikan_Warkah[Nomor Tiket],Table_Tarikan_Warkah[Jenis Permohonan]),"")</f>
        <v>BN APHB</v>
      </c>
      <c r="H532" s="41" t="s">
        <v>11</v>
      </c>
      <c r="I532" s="41" t="s">
        <v>23</v>
      </c>
      <c r="J532" s="36">
        <f t="shared" si="17"/>
        <v>45644.59196</v>
      </c>
      <c r="K532" s="49" t="s">
        <v>197</v>
      </c>
      <c r="L532" s="49" t="s">
        <v>23</v>
      </c>
      <c r="M532" s="36">
        <f t="shared" si="18"/>
        <v>45644.64799</v>
      </c>
      <c r="N532" s="30" t="str">
        <f t="shared" si="3"/>
        <v>Selesai</v>
      </c>
      <c r="O532" s="45">
        <f t="shared" si="12"/>
        <v>45644.64799</v>
      </c>
      <c r="P532" s="47" t="b">
        <v>1</v>
      </c>
      <c r="Q532" s="36">
        <f t="shared" si="19"/>
        <v>45644.64809</v>
      </c>
      <c r="R532" s="47" t="b">
        <v>0</v>
      </c>
      <c r="S532" s="42" t="str">
        <f t="shared" si="6"/>
        <v/>
      </c>
      <c r="T532" s="42"/>
    </row>
    <row r="533" ht="22.5" customHeight="1">
      <c r="B533" s="42">
        <f t="shared" si="7"/>
        <v>527</v>
      </c>
      <c r="C533" s="31" t="s">
        <v>21</v>
      </c>
      <c r="D533" s="34" t="str">
        <f t="array" ref="D533">IFNA(_xlfn.XLOOKUP(C533,Table_Tarikan_Warkah[Nomor Sertipikat],Table_Tarikan_Warkah[Nomor Tiket]),"")</f>
        <v>K/22/061224/2</v>
      </c>
      <c r="E533" s="36" t="str">
        <f t="array" ref="E533">IFNA(_xlfn.XLOOKUP(D533,Table_Tarikan_Warkah[Nomor Tiket],Table_Tarikan_Warkah[Tanggal diserahkan kepada Validator]),"")</f>
        <v/>
      </c>
      <c r="F533" s="36" t="str">
        <f t="array" ref="F533">IFNA(_xlfn.XLOOKUP(D533,Table_Tarikan_Warkah[Nomor Tiket],Table_Tarikan_Warkah[Nama Petugas Warkah]),"")</f>
        <v>Berry</v>
      </c>
      <c r="G533" s="39" t="str">
        <f t="array" ref="G533">IFNA(_xlfn.XLOOKUP(D533,Table_Tarikan_Warkah[Nomor Tiket],Table_Tarikan_Warkah[Jenis Permohonan]),"")</f>
        <v>BN JUAL BELI</v>
      </c>
      <c r="H533" s="41" t="s">
        <v>11</v>
      </c>
      <c r="I533" s="41" t="s">
        <v>23</v>
      </c>
      <c r="J533" s="36">
        <f t="shared" si="17"/>
        <v>45645.70159</v>
      </c>
      <c r="K533" s="41" t="s">
        <v>26</v>
      </c>
      <c r="L533" s="41" t="s">
        <v>23</v>
      </c>
      <c r="M533" s="36">
        <f t="shared" si="18"/>
        <v>45664.36161</v>
      </c>
      <c r="N533" s="30" t="str">
        <f t="shared" si="3"/>
        <v>Selesai</v>
      </c>
      <c r="O533" s="45">
        <f t="shared" si="12"/>
        <v>45664.36161</v>
      </c>
      <c r="P533" s="47" t="b">
        <v>1</v>
      </c>
      <c r="Q533" s="36">
        <f t="shared" si="19"/>
        <v>45664.36163</v>
      </c>
      <c r="R533" s="47" t="b">
        <v>0</v>
      </c>
      <c r="S533" s="42" t="str">
        <f t="shared" si="6"/>
        <v/>
      </c>
      <c r="T533" s="42"/>
    </row>
    <row r="534" ht="22.5" customHeight="1">
      <c r="B534" s="42">
        <f t="shared" si="7"/>
        <v>528</v>
      </c>
      <c r="C534" s="31" t="s">
        <v>24</v>
      </c>
      <c r="D534" s="34" t="str">
        <f t="array" ref="D534">IFNA(_xlfn.XLOOKUP(C534,Table_Tarikan_Warkah[Nomor Sertipikat],Table_Tarikan_Warkah[Nomor Tiket]),"")</f>
        <v>K/22/161224/3</v>
      </c>
      <c r="E534" s="36" t="str">
        <f t="array" ref="E534">IFNA(_xlfn.XLOOKUP(D534,Table_Tarikan_Warkah[Nomor Tiket],Table_Tarikan_Warkah[Tanggal diserahkan kepada Validator]),"")</f>
        <v>18/12/2024 16.32</v>
      </c>
      <c r="F534" s="36" t="str">
        <f t="array" ref="F534">IFNA(_xlfn.XLOOKUP(D534,Table_Tarikan_Warkah[Nomor Tiket],Table_Tarikan_Warkah[Nama Petugas Warkah]),"")</f>
        <v>Berry</v>
      </c>
      <c r="G534" s="39" t="str">
        <f t="array" ref="G534">IFNA(_xlfn.XLOOKUP(D534,Table_Tarikan_Warkah[Nomor Tiket],Table_Tarikan_Warkah[Jenis Permohonan]),"")</f>
        <v>BN WARIS</v>
      </c>
      <c r="H534" s="41" t="s">
        <v>11</v>
      </c>
      <c r="I534" s="41" t="s">
        <v>23</v>
      </c>
      <c r="J534" s="36">
        <f t="shared" si="17"/>
        <v>45645.70159</v>
      </c>
      <c r="K534" s="41" t="s">
        <v>26</v>
      </c>
      <c r="L534" s="41" t="s">
        <v>23</v>
      </c>
      <c r="M534" s="36">
        <f t="shared" si="18"/>
        <v>45664.36161</v>
      </c>
      <c r="N534" s="30" t="str">
        <f t="shared" si="3"/>
        <v>Selesai</v>
      </c>
      <c r="O534" s="45">
        <f t="shared" si="12"/>
        <v>45664.36161</v>
      </c>
      <c r="P534" s="47" t="b">
        <v>1</v>
      </c>
      <c r="Q534" s="36">
        <f t="shared" si="19"/>
        <v>45664.36164</v>
      </c>
      <c r="R534" s="47" t="b">
        <v>1</v>
      </c>
      <c r="S534" s="36">
        <f t="shared" si="6"/>
        <v>45653.59913</v>
      </c>
      <c r="T534" s="30" t="s">
        <v>27</v>
      </c>
    </row>
    <row r="535" ht="22.5" customHeight="1">
      <c r="B535" s="42">
        <f t="shared" si="7"/>
        <v>529</v>
      </c>
      <c r="C535" s="31" t="s">
        <v>28</v>
      </c>
      <c r="D535" s="34" t="str">
        <f t="array" ref="D535">IFNA(_xlfn.XLOOKUP(C535,Table_Tarikan_Warkah[Nomor Sertipikat],Table_Tarikan_Warkah[Nomor Tiket]),"")</f>
        <v>K/1/061224/1</v>
      </c>
      <c r="E535" s="36">
        <f t="array" ref="E535">IFNA(_xlfn.XLOOKUP(D535,Table_Tarikan_Warkah[Nomor Tiket],Table_Tarikan_Warkah[Tanggal diserahkan kepada Validator]),"")</f>
        <v>45673.43404</v>
      </c>
      <c r="F535" s="36" t="str">
        <f t="array" ref="F535">IFNA(_xlfn.XLOOKUP(D535,Table_Tarikan_Warkah[Nomor Tiket],Table_Tarikan_Warkah[Nama Petugas Warkah]),"")</f>
        <v>Berry</v>
      </c>
      <c r="G535" s="39" t="str">
        <f t="array" ref="G535">IFNA(_xlfn.XLOOKUP(D535,Table_Tarikan_Warkah[Nomor Tiket],Table_Tarikan_Warkah[Jenis Permohonan]),"")</f>
        <v>BN JUAL BELI</v>
      </c>
      <c r="H535" s="41" t="s">
        <v>11</v>
      </c>
      <c r="I535" s="41" t="s">
        <v>23</v>
      </c>
      <c r="J535" s="36">
        <f t="shared" si="17"/>
        <v>45645.70159</v>
      </c>
      <c r="K535" s="41" t="s">
        <v>26</v>
      </c>
      <c r="L535" s="41" t="s">
        <v>23</v>
      </c>
      <c r="M535" s="36">
        <f t="shared" si="18"/>
        <v>45664.36161</v>
      </c>
      <c r="N535" s="30" t="str">
        <f t="shared" si="3"/>
        <v>Selesai</v>
      </c>
      <c r="O535" s="45">
        <f t="shared" si="12"/>
        <v>45664.36161</v>
      </c>
      <c r="P535" s="47" t="b">
        <v>1</v>
      </c>
      <c r="Q535" s="36">
        <f t="shared" si="19"/>
        <v>45664.36165</v>
      </c>
      <c r="R535" s="47" t="b">
        <v>0</v>
      </c>
      <c r="S535" s="42" t="str">
        <f t="shared" si="6"/>
        <v/>
      </c>
      <c r="T535" s="42"/>
    </row>
    <row r="536" ht="22.5" customHeight="1">
      <c r="B536" s="42">
        <f t="shared" si="7"/>
        <v>530</v>
      </c>
      <c r="C536" s="31" t="s">
        <v>30</v>
      </c>
      <c r="D536" s="34" t="str">
        <f t="array" ref="D536">IFNA(_xlfn.XLOOKUP(C536,Table_Tarikan_Warkah[Nomor Sertipikat],Table_Tarikan_Warkah[Nomor Tiket]),"")</f>
        <v>K/4/131224/1</v>
      </c>
      <c r="E536" s="36">
        <f t="array" ref="E536">IFNA(_xlfn.XLOOKUP(D536,Table_Tarikan_Warkah[Nomor Tiket],Table_Tarikan_Warkah[Tanggal diserahkan kepada Validator]),"")</f>
        <v>45673.43404</v>
      </c>
      <c r="F536" s="36" t="str">
        <f t="array" ref="F536">IFNA(_xlfn.XLOOKUP(D536,Table_Tarikan_Warkah[Nomor Tiket],Table_Tarikan_Warkah[Nama Petugas Warkah]),"")</f>
        <v>Berry</v>
      </c>
      <c r="G536" s="39" t="str">
        <f t="array" ref="G536">IFNA(_xlfn.XLOOKUP(D536,Table_Tarikan_Warkah[Nomor Tiket],Table_Tarikan_Warkah[Jenis Permohonan]),"")</f>
        <v>BN Jual Beli</v>
      </c>
      <c r="H536" s="41" t="s">
        <v>11</v>
      </c>
      <c r="I536" s="41" t="s">
        <v>23</v>
      </c>
      <c r="J536" s="36">
        <f t="shared" si="17"/>
        <v>45645.70159</v>
      </c>
      <c r="K536" s="41" t="s">
        <v>26</v>
      </c>
      <c r="L536" s="41" t="s">
        <v>23</v>
      </c>
      <c r="M536" s="36">
        <f t="shared" si="18"/>
        <v>45664.36161</v>
      </c>
      <c r="N536" s="30" t="str">
        <f t="shared" si="3"/>
        <v>Selesai</v>
      </c>
      <c r="O536" s="45">
        <f t="shared" si="12"/>
        <v>45664.36161</v>
      </c>
      <c r="P536" s="47" t="b">
        <v>1</v>
      </c>
      <c r="Q536" s="36">
        <f t="shared" si="19"/>
        <v>45664.36166</v>
      </c>
      <c r="R536" s="47" t="b">
        <v>0</v>
      </c>
      <c r="S536" s="42" t="str">
        <f t="shared" si="6"/>
        <v/>
      </c>
      <c r="T536" s="42"/>
    </row>
    <row r="537" ht="22.5" customHeight="1">
      <c r="B537" s="42">
        <f t="shared" si="7"/>
        <v>531</v>
      </c>
      <c r="C537" s="31" t="s">
        <v>719</v>
      </c>
      <c r="D537" s="34" t="str">
        <f t="array" ref="D537">IFNA(_xlfn.XLOOKUP(C537,Table_Tarikan_Warkah[Nomor Sertipikat],Table_Tarikan_Warkah[Nomor Tiket]),"")</f>
        <v>K/8/181224/1</v>
      </c>
      <c r="E537" s="36" t="str">
        <f t="array" ref="E537">IFNA(_xlfn.XLOOKUP(D537,Table_Tarikan_Warkah[Nomor Tiket],Table_Tarikan_Warkah[Tanggal diserahkan kepada Validator]),"")</f>
        <v/>
      </c>
      <c r="F537" s="36" t="str">
        <f t="array" ref="F537">IFNA(_xlfn.XLOOKUP(D537,Table_Tarikan_Warkah[Nomor Tiket],Table_Tarikan_Warkah[Nama Petugas Warkah]),"")</f>
        <v/>
      </c>
      <c r="G537" s="39" t="str">
        <f t="array" ref="G537">IFNA(_xlfn.XLOOKUP(D537,Table_Tarikan_Warkah[Nomor Tiket],Table_Tarikan_Warkah[Jenis Permohonan]),"")</f>
        <v>BN Jual Beli</v>
      </c>
      <c r="H537" s="41" t="s">
        <v>11</v>
      </c>
      <c r="I537" s="41" t="s">
        <v>12</v>
      </c>
      <c r="J537" s="36">
        <f t="shared" si="17"/>
        <v>45645.7041</v>
      </c>
      <c r="K537" s="41" t="s">
        <v>197</v>
      </c>
      <c r="L537" s="41" t="s">
        <v>12</v>
      </c>
      <c r="M537" s="36">
        <f t="shared" si="18"/>
        <v>45653.60263</v>
      </c>
      <c r="N537" s="30" t="str">
        <f t="shared" si="3"/>
        <v>SELESAI</v>
      </c>
      <c r="O537" s="45">
        <f t="shared" si="12"/>
        <v>45653.60263</v>
      </c>
      <c r="P537" s="47" t="b">
        <v>0</v>
      </c>
      <c r="Q537" s="36" t="str">
        <f t="shared" si="19"/>
        <v/>
      </c>
      <c r="R537" s="47" t="b">
        <v>1</v>
      </c>
      <c r="S537" s="36">
        <f t="shared" si="6"/>
        <v>45653.60266</v>
      </c>
      <c r="T537" s="42"/>
    </row>
    <row r="538" ht="22.5" customHeight="1">
      <c r="B538" s="42">
        <f t="shared" si="7"/>
        <v>532</v>
      </c>
      <c r="C538" s="31" t="s">
        <v>720</v>
      </c>
      <c r="D538" s="34" t="str">
        <f t="array" ref="D538">IFNA(_xlfn.XLOOKUP(C538,Table_Tarikan_Warkah[Nomor Sertipikat],Table_Tarikan_Warkah[Nomor Tiket]),"")</f>
        <v>L/3/171224/1</v>
      </c>
      <c r="E538" s="36" t="str">
        <f t="array" ref="E538">IFNA(_xlfn.XLOOKUP(D538,Table_Tarikan_Warkah[Nomor Tiket],Table_Tarikan_Warkah[Tanggal diserahkan kepada Validator]),"")</f>
        <v>18/12/2024 16.37</v>
      </c>
      <c r="F538" s="36" t="str">
        <f t="array" ref="F538">IFNA(_xlfn.XLOOKUP(D538,Table_Tarikan_Warkah[Nomor Tiket],Table_Tarikan_Warkah[Nama Petugas Warkah]),"")</f>
        <v>David</v>
      </c>
      <c r="G538" s="39" t="str">
        <f t="array" ref="G538">IFNA(_xlfn.XLOOKUP(D538,Table_Tarikan_Warkah[Nomor Tiket],Table_Tarikan_Warkah[Jenis Permohonan]),"")</f>
        <v>ROYA</v>
      </c>
      <c r="H538" s="41" t="s">
        <v>11</v>
      </c>
      <c r="I538" s="41" t="s">
        <v>12</v>
      </c>
      <c r="J538" s="36">
        <f t="shared" si="17"/>
        <v>45645.70446</v>
      </c>
      <c r="K538" s="41" t="s">
        <v>197</v>
      </c>
      <c r="L538" s="41" t="s">
        <v>12</v>
      </c>
      <c r="M538" s="36">
        <f t="shared" si="18"/>
        <v>45653.59913</v>
      </c>
      <c r="N538" s="30" t="str">
        <f t="shared" si="3"/>
        <v>SELESAI</v>
      </c>
      <c r="O538" s="45">
        <f t="shared" si="12"/>
        <v>45653.59913</v>
      </c>
      <c r="P538" s="47" t="b">
        <v>0</v>
      </c>
      <c r="Q538" s="36" t="str">
        <f t="shared" si="19"/>
        <v/>
      </c>
      <c r="R538" s="47" t="b">
        <v>1</v>
      </c>
      <c r="S538" s="36">
        <f t="shared" si="6"/>
        <v>45653.59913</v>
      </c>
      <c r="T538" s="42"/>
    </row>
    <row r="539" ht="22.5" customHeight="1">
      <c r="B539" s="42">
        <f t="shared" si="7"/>
        <v>533</v>
      </c>
      <c r="C539" s="31" t="s">
        <v>721</v>
      </c>
      <c r="D539" s="34" t="str">
        <f t="array" ref="D539">IFNA(_xlfn.XLOOKUP(C539,Table_Tarikan_Warkah[Nomor Sertipikat],Table_Tarikan_Warkah[Nomor Tiket]),"")</f>
        <v>K/43/161224/1</v>
      </c>
      <c r="E539" s="36" t="str">
        <f t="array" ref="E539">IFNA(_xlfn.XLOOKUP(D539,Table_Tarikan_Warkah[Nomor Tiket],Table_Tarikan_Warkah[Tanggal diserahkan kepada Validator]),"")</f>
        <v>18/12/2024 16.36</v>
      </c>
      <c r="F539" s="36" t="str">
        <f t="array" ref="F539">IFNA(_xlfn.XLOOKUP(D539,Table_Tarikan_Warkah[Nomor Tiket],Table_Tarikan_Warkah[Nama Petugas Warkah]),"")</f>
        <v>Berry</v>
      </c>
      <c r="G539" s="39" t="str">
        <f t="array" ref="G539">IFNA(_xlfn.XLOOKUP(D539,Table_Tarikan_Warkah[Nomor Tiket],Table_Tarikan_Warkah[Jenis Permohonan]),"")</f>
        <v>BN JUAL BELI</v>
      </c>
      <c r="H539" s="41" t="s">
        <v>11</v>
      </c>
      <c r="I539" s="41" t="s">
        <v>12</v>
      </c>
      <c r="J539" s="36">
        <f t="shared" si="17"/>
        <v>45645.70446</v>
      </c>
      <c r="K539" s="41" t="s">
        <v>197</v>
      </c>
      <c r="L539" s="41" t="s">
        <v>12</v>
      </c>
      <c r="M539" s="36">
        <f t="shared" si="18"/>
        <v>45653.59913</v>
      </c>
      <c r="N539" s="30" t="str">
        <f t="shared" si="3"/>
        <v>SELESAI</v>
      </c>
      <c r="O539" s="45">
        <f t="shared" si="12"/>
        <v>45653.59913</v>
      </c>
      <c r="P539" s="47" t="b">
        <v>0</v>
      </c>
      <c r="Q539" s="36" t="str">
        <f t="shared" si="19"/>
        <v/>
      </c>
      <c r="R539" s="47" t="b">
        <v>1</v>
      </c>
      <c r="S539" s="36">
        <f t="shared" si="6"/>
        <v>45653.59913</v>
      </c>
      <c r="T539" s="42"/>
    </row>
    <row r="540" ht="22.5" customHeight="1">
      <c r="B540" s="42">
        <f t="shared" si="7"/>
        <v>534</v>
      </c>
      <c r="C540" s="31" t="s">
        <v>722</v>
      </c>
      <c r="D540" s="34" t="str">
        <f t="array" ref="D540">IFNA(_xlfn.XLOOKUP(C540,Table_Tarikan_Warkah[Nomor Sertipikat],Table_Tarikan_Warkah[Nomor Tiket]),"")</f>
        <v>K/1/171224/1</v>
      </c>
      <c r="E540" s="36" t="str">
        <f t="array" ref="E540">IFNA(_xlfn.XLOOKUP(D540,Table_Tarikan_Warkah[Nomor Tiket],Table_Tarikan_Warkah[Tanggal diserahkan kepada Validator]),"")</f>
        <v>18/12/2024 16.36</v>
      </c>
      <c r="F540" s="36" t="str">
        <f t="array" ref="F540">IFNA(_xlfn.XLOOKUP(D540,Table_Tarikan_Warkah[Nomor Tiket],Table_Tarikan_Warkah[Nama Petugas Warkah]),"")</f>
        <v>Berry</v>
      </c>
      <c r="G540" s="39" t="str">
        <f t="array" ref="G540">IFNA(_xlfn.XLOOKUP(D540,Table_Tarikan_Warkah[Nomor Tiket],Table_Tarikan_Warkah[Jenis Permohonan]),"")</f>
        <v>ROYA</v>
      </c>
      <c r="H540" s="41" t="s">
        <v>11</v>
      </c>
      <c r="I540" s="41" t="s">
        <v>12</v>
      </c>
      <c r="J540" s="36">
        <f t="shared" si="17"/>
        <v>45645.70446</v>
      </c>
      <c r="K540" s="41" t="s">
        <v>197</v>
      </c>
      <c r="L540" s="41" t="s">
        <v>12</v>
      </c>
      <c r="M540" s="36">
        <f t="shared" si="18"/>
        <v>45653.59913</v>
      </c>
      <c r="N540" s="30" t="str">
        <f t="shared" si="3"/>
        <v>SELESAI</v>
      </c>
      <c r="O540" s="45">
        <f t="shared" si="12"/>
        <v>45653.59913</v>
      </c>
      <c r="P540" s="47" t="b">
        <v>0</v>
      </c>
      <c r="Q540" s="36" t="str">
        <f t="shared" si="19"/>
        <v/>
      </c>
      <c r="R540" s="47" t="b">
        <v>1</v>
      </c>
      <c r="S540" s="36">
        <f t="shared" si="6"/>
        <v>45653.59915</v>
      </c>
      <c r="T540" s="42"/>
    </row>
    <row r="541" ht="22.5" customHeight="1">
      <c r="B541" s="42">
        <f t="shared" si="7"/>
        <v>535</v>
      </c>
      <c r="C541" s="31" t="s">
        <v>723</v>
      </c>
      <c r="D541" s="34" t="str">
        <f t="array" ref="D541">IFNA(_xlfn.XLOOKUP(C541,Table_Tarikan_Warkah[Nomor Sertipikat],Table_Tarikan_Warkah[Nomor Tiket]),"")</f>
        <v>L/40/161224/1</v>
      </c>
      <c r="E541" s="36" t="str">
        <f t="array" ref="E541">IFNA(_xlfn.XLOOKUP(D541,Table_Tarikan_Warkah[Nomor Tiket],Table_Tarikan_Warkah[Tanggal diserahkan kepada Validator]),"")</f>
        <v>18/12/2024 16.34</v>
      </c>
      <c r="F541" s="36" t="str">
        <f t="array" ref="F541">IFNA(_xlfn.XLOOKUP(D541,Table_Tarikan_Warkah[Nomor Tiket],Table_Tarikan_Warkah[Nama Petugas Warkah]),"")</f>
        <v>Berry</v>
      </c>
      <c r="G541" s="39" t="str">
        <f t="array" ref="G541">IFNA(_xlfn.XLOOKUP(D541,Table_Tarikan_Warkah[Nomor Tiket],Table_Tarikan_Warkah[Jenis Permohonan]),"")</f>
        <v>ROYA</v>
      </c>
      <c r="H541" s="41" t="s">
        <v>11</v>
      </c>
      <c r="I541" s="41" t="s">
        <v>12</v>
      </c>
      <c r="J541" s="36">
        <f t="shared" si="17"/>
        <v>45645.70446</v>
      </c>
      <c r="K541" s="41" t="s">
        <v>197</v>
      </c>
      <c r="L541" s="41" t="s">
        <v>12</v>
      </c>
      <c r="M541" s="36">
        <f t="shared" si="18"/>
        <v>45653.59933</v>
      </c>
      <c r="N541" s="30" t="str">
        <f t="shared" si="3"/>
        <v>SELESAI</v>
      </c>
      <c r="O541" s="45">
        <f t="shared" si="12"/>
        <v>45653.59933</v>
      </c>
      <c r="P541" s="47" t="b">
        <v>0</v>
      </c>
      <c r="Q541" s="36" t="str">
        <f t="shared" si="19"/>
        <v/>
      </c>
      <c r="R541" s="47" t="b">
        <v>1</v>
      </c>
      <c r="S541" s="36">
        <f t="shared" si="6"/>
        <v>45653.59936</v>
      </c>
      <c r="T541" s="42"/>
    </row>
    <row r="542" ht="22.5" customHeight="1">
      <c r="B542" s="42">
        <f t="shared" si="7"/>
        <v>536</v>
      </c>
      <c r="C542" s="31" t="s">
        <v>724</v>
      </c>
      <c r="D542" s="34" t="str">
        <f t="array" ref="D542">IFNA(_xlfn.XLOOKUP(C542,Table_Tarikan_Warkah[Nomor Sertipikat],Table_Tarikan_Warkah[Nomor Tiket]),"")</f>
        <v>K/2/161224/1</v>
      </c>
      <c r="E542" s="36" t="str">
        <f t="array" ref="E542">IFNA(_xlfn.XLOOKUP(D542,Table_Tarikan_Warkah[Nomor Tiket],Table_Tarikan_Warkah[Tanggal diserahkan kepada Validator]),"")</f>
        <v>18/12/2024 16.29</v>
      </c>
      <c r="F542" s="36" t="str">
        <f t="array" ref="F542">IFNA(_xlfn.XLOOKUP(D542,Table_Tarikan_Warkah[Nomor Tiket],Table_Tarikan_Warkah[Nama Petugas Warkah]),"")</f>
        <v>Berry</v>
      </c>
      <c r="G542" s="39" t="str">
        <f t="array" ref="G542">IFNA(_xlfn.XLOOKUP(D542,Table_Tarikan_Warkah[Nomor Tiket],Table_Tarikan_Warkah[Jenis Permohonan]),"")</f>
        <v>ROYA</v>
      </c>
      <c r="H542" s="41" t="s">
        <v>11</v>
      </c>
      <c r="I542" s="41" t="s">
        <v>12</v>
      </c>
      <c r="J542" s="36">
        <f t="shared" si="17"/>
        <v>45645.70446</v>
      </c>
      <c r="K542" s="41" t="s">
        <v>197</v>
      </c>
      <c r="L542" s="41" t="s">
        <v>12</v>
      </c>
      <c r="M542" s="36">
        <f t="shared" si="18"/>
        <v>45653.59913</v>
      </c>
      <c r="N542" s="30" t="str">
        <f t="shared" si="3"/>
        <v>SELESAI</v>
      </c>
      <c r="O542" s="45">
        <f t="shared" si="12"/>
        <v>45653.59913</v>
      </c>
      <c r="P542" s="47" t="b">
        <v>0</v>
      </c>
      <c r="Q542" s="36" t="str">
        <f t="shared" si="19"/>
        <v/>
      </c>
      <c r="R542" s="47" t="b">
        <v>1</v>
      </c>
      <c r="S542" s="36">
        <f t="shared" si="6"/>
        <v>45653.59913</v>
      </c>
      <c r="T542" s="42"/>
    </row>
    <row r="543" ht="22.5" customHeight="1">
      <c r="B543" s="42">
        <f t="shared" si="7"/>
        <v>537</v>
      </c>
      <c r="C543" s="31" t="s">
        <v>725</v>
      </c>
      <c r="D543" s="34" t="str">
        <f t="array" ref="D543">IFNA(_xlfn.XLOOKUP(C543,Table_Tarikan_Warkah[Nomor Sertipikat],Table_Tarikan_Warkah[Nomor Tiket]),"")</f>
        <v>K/10/181224/2</v>
      </c>
      <c r="E543" s="36" t="str">
        <f t="array" ref="E543">IFNA(_xlfn.XLOOKUP(D543,Table_Tarikan_Warkah[Nomor Tiket],Table_Tarikan_Warkah[Tanggal diserahkan kepada Validator]),"")</f>
        <v/>
      </c>
      <c r="F543" s="36" t="str">
        <f t="array" ref="F543">IFNA(_xlfn.XLOOKUP(D543,Table_Tarikan_Warkah[Nomor Tiket],Table_Tarikan_Warkah[Nama Petugas Warkah]),"")</f>
        <v/>
      </c>
      <c r="G543" s="39" t="str">
        <f t="array" ref="G543">IFNA(_xlfn.XLOOKUP(D543,Table_Tarikan_Warkah[Nomor Tiket],Table_Tarikan_Warkah[Jenis Permohonan]),"")</f>
        <v>BN JUAL BELI</v>
      </c>
      <c r="H543" s="41" t="s">
        <v>11</v>
      </c>
      <c r="I543" s="41" t="s">
        <v>12</v>
      </c>
      <c r="J543" s="36">
        <f t="shared" si="17"/>
        <v>45645.70446</v>
      </c>
      <c r="K543" s="41" t="s">
        <v>197</v>
      </c>
      <c r="L543" s="41" t="s">
        <v>12</v>
      </c>
      <c r="M543" s="36">
        <f t="shared" si="18"/>
        <v>45653.595</v>
      </c>
      <c r="N543" s="30" t="str">
        <f t="shared" si="3"/>
        <v>SELESAI</v>
      </c>
      <c r="O543" s="45">
        <f t="shared" si="12"/>
        <v>45653.595</v>
      </c>
      <c r="P543" s="47" t="b">
        <v>0</v>
      </c>
      <c r="Q543" s="36" t="str">
        <f t="shared" si="19"/>
        <v/>
      </c>
      <c r="R543" s="47" t="b">
        <v>1</v>
      </c>
      <c r="S543" s="36">
        <f t="shared" si="6"/>
        <v>45653.59913</v>
      </c>
      <c r="T543" s="42"/>
    </row>
    <row r="544" ht="22.5" customHeight="1">
      <c r="B544" s="42">
        <f t="shared" si="7"/>
        <v>538</v>
      </c>
      <c r="C544" s="31" t="s">
        <v>726</v>
      </c>
      <c r="D544" s="34" t="str">
        <f t="array" ref="D544">IFNA(_xlfn.XLOOKUP(C544,Table_Tarikan_Warkah[Nomor Sertipikat],Table_Tarikan_Warkah[Nomor Tiket]),"")</f>
        <v>K/9/181224/1</v>
      </c>
      <c r="E544" s="36" t="str">
        <f t="array" ref="E544">IFNA(_xlfn.XLOOKUP(D544,Table_Tarikan_Warkah[Nomor Tiket],Table_Tarikan_Warkah[Tanggal diserahkan kepada Validator]),"")</f>
        <v/>
      </c>
      <c r="F544" s="36" t="str">
        <f t="array" ref="F544">IFNA(_xlfn.XLOOKUP(D544,Table_Tarikan_Warkah[Nomor Tiket],Table_Tarikan_Warkah[Nama Petugas Warkah]),"")</f>
        <v/>
      </c>
      <c r="G544" s="39" t="str">
        <f t="array" ref="G544">IFNA(_xlfn.XLOOKUP(D544,Table_Tarikan_Warkah[Nomor Tiket],Table_Tarikan_Warkah[Jenis Permohonan]),"")</f>
        <v>BN JUAL BELI</v>
      </c>
      <c r="H544" s="41" t="s">
        <v>11</v>
      </c>
      <c r="I544" s="41" t="s">
        <v>12</v>
      </c>
      <c r="J544" s="36">
        <f t="shared" si="17"/>
        <v>45645.70446</v>
      </c>
      <c r="K544" s="41" t="s">
        <v>197</v>
      </c>
      <c r="L544" s="41" t="s">
        <v>12</v>
      </c>
      <c r="M544" s="36">
        <f t="shared" si="18"/>
        <v>45653.59478</v>
      </c>
      <c r="N544" s="30" t="str">
        <f t="shared" si="3"/>
        <v>SELESAI</v>
      </c>
      <c r="O544" s="45">
        <f t="shared" si="12"/>
        <v>45653.59478</v>
      </c>
      <c r="P544" s="47" t="b">
        <v>0</v>
      </c>
      <c r="Q544" s="36" t="str">
        <f t="shared" si="19"/>
        <v/>
      </c>
      <c r="R544" s="47" t="b">
        <v>1</v>
      </c>
      <c r="S544" s="36">
        <f t="shared" si="6"/>
        <v>45653.59483</v>
      </c>
      <c r="T544" s="42"/>
    </row>
    <row r="545" ht="22.5" customHeight="1">
      <c r="B545" s="42">
        <f t="shared" si="7"/>
        <v>539</v>
      </c>
      <c r="C545" s="31" t="s">
        <v>727</v>
      </c>
      <c r="D545" s="34" t="str">
        <f t="array" ref="D545">IFNA(_xlfn.XLOOKUP(C545,Table_Tarikan_Warkah[Nomor Sertipikat],Table_Tarikan_Warkah[Nomor Tiket]),"")</f>
        <v>K/32/171224/2</v>
      </c>
      <c r="E545" s="36" t="str">
        <f t="array" ref="E545">IFNA(_xlfn.XLOOKUP(D545,Table_Tarikan_Warkah[Nomor Tiket],Table_Tarikan_Warkah[Tanggal diserahkan kepada Validator]),"")</f>
        <v>18/12/2024 16.44</v>
      </c>
      <c r="F545" s="36" t="str">
        <f t="array" ref="F545">IFNA(_xlfn.XLOOKUP(D545,Table_Tarikan_Warkah[Nomor Tiket],Table_Tarikan_Warkah[Nama Petugas Warkah]),"")</f>
        <v>David</v>
      </c>
      <c r="G545" s="39" t="str">
        <f t="array" ref="G545">IFNA(_xlfn.XLOOKUP(D545,Table_Tarikan_Warkah[Nomor Tiket],Table_Tarikan_Warkah[Jenis Permohonan]),"")</f>
        <v>BN JUAL BELI</v>
      </c>
      <c r="H545" s="41" t="s">
        <v>11</v>
      </c>
      <c r="I545" s="41" t="s">
        <v>12</v>
      </c>
      <c r="J545" s="36">
        <f t="shared" si="17"/>
        <v>45645.70446</v>
      </c>
      <c r="K545" s="41" t="s">
        <v>197</v>
      </c>
      <c r="L545" s="41" t="s">
        <v>12</v>
      </c>
      <c r="M545" s="36">
        <f t="shared" si="18"/>
        <v>45653.59456</v>
      </c>
      <c r="N545" s="30" t="str">
        <f t="shared" si="3"/>
        <v>SELESAI</v>
      </c>
      <c r="O545" s="45">
        <f t="shared" si="12"/>
        <v>45653.59456</v>
      </c>
      <c r="P545" s="47" t="b">
        <v>0</v>
      </c>
      <c r="Q545" s="36" t="str">
        <f t="shared" si="19"/>
        <v/>
      </c>
      <c r="R545" s="47" t="b">
        <v>1</v>
      </c>
      <c r="S545" s="36">
        <f t="shared" si="6"/>
        <v>45653.59461</v>
      </c>
      <c r="T545" s="42"/>
    </row>
    <row r="546" ht="22.5" customHeight="1">
      <c r="B546" s="42">
        <f t="shared" si="7"/>
        <v>540</v>
      </c>
      <c r="C546" s="31" t="s">
        <v>728</v>
      </c>
      <c r="D546" s="34" t="str">
        <f t="array" ref="D546">IFNA(_xlfn.XLOOKUP(C546,Table_Tarikan_Warkah[Nomor Sertipikat],Table_Tarikan_Warkah[Nomor Tiket]),"")</f>
        <v>K/15/171224/1</v>
      </c>
      <c r="E546" s="36" t="str">
        <f t="array" ref="E546">IFNA(_xlfn.XLOOKUP(D546,Table_Tarikan_Warkah[Nomor Tiket],Table_Tarikan_Warkah[Tanggal diserahkan kepada Validator]),"")</f>
        <v>18/12/2024 16.40</v>
      </c>
      <c r="F546" s="36" t="str">
        <f t="array" ref="F546">IFNA(_xlfn.XLOOKUP(D546,Table_Tarikan_Warkah[Nomor Tiket],Table_Tarikan_Warkah[Nama Petugas Warkah]),"")</f>
        <v>David</v>
      </c>
      <c r="G546" s="39" t="str">
        <f t="array" ref="G546">IFNA(_xlfn.XLOOKUP(D546,Table_Tarikan_Warkah[Nomor Tiket],Table_Tarikan_Warkah[Jenis Permohonan]),"")</f>
        <v>BN JUAL BELI</v>
      </c>
      <c r="H546" s="41" t="s">
        <v>11</v>
      </c>
      <c r="I546" s="41" t="s">
        <v>12</v>
      </c>
      <c r="J546" s="36">
        <f t="shared" si="17"/>
        <v>45645.70446</v>
      </c>
      <c r="K546" s="41" t="s">
        <v>197</v>
      </c>
      <c r="L546" s="41" t="s">
        <v>12</v>
      </c>
      <c r="M546" s="36">
        <f t="shared" si="18"/>
        <v>45653.59381</v>
      </c>
      <c r="N546" s="30" t="str">
        <f t="shared" si="3"/>
        <v>SELESAI</v>
      </c>
      <c r="O546" s="45">
        <f t="shared" si="12"/>
        <v>45653.59381</v>
      </c>
      <c r="P546" s="47" t="b">
        <v>0</v>
      </c>
      <c r="Q546" s="36" t="str">
        <f t="shared" si="19"/>
        <v/>
      </c>
      <c r="R546" s="47" t="b">
        <v>1</v>
      </c>
      <c r="S546" s="36">
        <f t="shared" si="6"/>
        <v>45653.59383</v>
      </c>
      <c r="T546" s="42"/>
    </row>
    <row r="547" ht="22.5" customHeight="1">
      <c r="B547" s="42">
        <f t="shared" si="7"/>
        <v>541</v>
      </c>
      <c r="C547" s="31" t="s">
        <v>729</v>
      </c>
      <c r="D547" s="34" t="str">
        <f t="array" ref="D547">IFNA(_xlfn.XLOOKUP(C547,Table_Tarikan_Warkah[Nomor Sertipikat],Table_Tarikan_Warkah[Nomor Tiket]),"")</f>
        <v>K/45/161224/1</v>
      </c>
      <c r="E547" s="36" t="str">
        <f t="array" ref="E547">IFNA(_xlfn.XLOOKUP(D547,Table_Tarikan_Warkah[Nomor Tiket],Table_Tarikan_Warkah[Tanggal diserahkan kepada Validator]),"")</f>
        <v>18/12/2024 16.36</v>
      </c>
      <c r="F547" s="36" t="str">
        <f t="array" ref="F547">IFNA(_xlfn.XLOOKUP(D547,Table_Tarikan_Warkah[Nomor Tiket],Table_Tarikan_Warkah[Nama Petugas Warkah]),"")</f>
        <v>Berry</v>
      </c>
      <c r="G547" s="39" t="str">
        <f t="array" ref="G547">IFNA(_xlfn.XLOOKUP(D547,Table_Tarikan_Warkah[Nomor Tiket],Table_Tarikan_Warkah[Jenis Permohonan]),"")</f>
        <v>BN JUAL BELI</v>
      </c>
      <c r="H547" s="41" t="s">
        <v>11</v>
      </c>
      <c r="I547" s="41" t="s">
        <v>12</v>
      </c>
      <c r="J547" s="36">
        <f t="shared" si="17"/>
        <v>45645.70446</v>
      </c>
      <c r="K547" s="41" t="s">
        <v>197</v>
      </c>
      <c r="L547" s="41" t="s">
        <v>12</v>
      </c>
      <c r="M547" s="36">
        <f t="shared" si="18"/>
        <v>45653.59952</v>
      </c>
      <c r="N547" s="30" t="str">
        <f t="shared" si="3"/>
        <v>SELESAI</v>
      </c>
      <c r="O547" s="45">
        <f t="shared" si="12"/>
        <v>45653.59952</v>
      </c>
      <c r="P547" s="47" t="b">
        <v>0</v>
      </c>
      <c r="Q547" s="36" t="str">
        <f t="shared" si="19"/>
        <v/>
      </c>
      <c r="R547" s="47" t="b">
        <v>1</v>
      </c>
      <c r="S547" s="36">
        <f t="shared" si="6"/>
        <v>45653.59955</v>
      </c>
      <c r="T547" s="42"/>
    </row>
    <row r="548" ht="22.5" customHeight="1">
      <c r="B548" s="42">
        <f t="shared" si="7"/>
        <v>542</v>
      </c>
      <c r="C548" s="31" t="s">
        <v>730</v>
      </c>
      <c r="D548" s="34" t="str">
        <f t="array" ref="D548">IFNA(_xlfn.XLOOKUP(C548,Table_Tarikan_Warkah[Nomor Sertipikat],Table_Tarikan_Warkah[Nomor Tiket]),"")</f>
        <v>K/44/161224/1</v>
      </c>
      <c r="E548" s="36" t="str">
        <f t="array" ref="E548">IFNA(_xlfn.XLOOKUP(D548,Table_Tarikan_Warkah[Nomor Tiket],Table_Tarikan_Warkah[Tanggal diserahkan kepada Validator]),"")</f>
        <v>18/12/2024 16.35</v>
      </c>
      <c r="F548" s="36" t="str">
        <f t="array" ref="F548">IFNA(_xlfn.XLOOKUP(D548,Table_Tarikan_Warkah[Nomor Tiket],Table_Tarikan_Warkah[Nama Petugas Warkah]),"")</f>
        <v>Berry</v>
      </c>
      <c r="G548" s="39" t="str">
        <f t="array" ref="G548">IFNA(_xlfn.XLOOKUP(D548,Table_Tarikan_Warkah[Nomor Tiket],Table_Tarikan_Warkah[Jenis Permohonan]),"")</f>
        <v>Roya</v>
      </c>
      <c r="H548" s="41" t="s">
        <v>11</v>
      </c>
      <c r="I548" s="41" t="s">
        <v>12</v>
      </c>
      <c r="J548" s="36">
        <f t="shared" si="17"/>
        <v>45645.70446</v>
      </c>
      <c r="K548" s="41" t="s">
        <v>197</v>
      </c>
      <c r="L548" s="41" t="s">
        <v>12</v>
      </c>
      <c r="M548" s="36">
        <f t="shared" si="18"/>
        <v>45653.59115</v>
      </c>
      <c r="N548" s="30" t="str">
        <f t="shared" si="3"/>
        <v>SELESAI</v>
      </c>
      <c r="O548" s="45">
        <f t="shared" si="12"/>
        <v>45653.59115</v>
      </c>
      <c r="P548" s="47" t="b">
        <v>1</v>
      </c>
      <c r="Q548" s="36">
        <f t="shared" si="19"/>
        <v>45664.44129</v>
      </c>
      <c r="R548" s="47" t="b">
        <v>1</v>
      </c>
      <c r="S548" s="36">
        <f t="shared" si="6"/>
        <v>45653.59118</v>
      </c>
      <c r="T548" s="42"/>
    </row>
    <row r="549" ht="22.5" customHeight="1">
      <c r="B549" s="42">
        <f t="shared" si="7"/>
        <v>543</v>
      </c>
      <c r="C549" s="31" t="s">
        <v>731</v>
      </c>
      <c r="D549" s="34" t="str">
        <f t="array" ref="D549">IFNA(_xlfn.XLOOKUP(C549,Table_Tarikan_Warkah[Nomor Sertipikat],Table_Tarikan_Warkah[Nomor Tiket]),"")</f>
        <v>K/38/161224/2</v>
      </c>
      <c r="E549" s="36" t="str">
        <f t="array" ref="E549">IFNA(_xlfn.XLOOKUP(D549,Table_Tarikan_Warkah[Nomor Tiket],Table_Tarikan_Warkah[Tanggal diserahkan kepada Validator]),"")</f>
        <v>18/12/2024 16.34</v>
      </c>
      <c r="F549" s="36" t="str">
        <f t="array" ref="F549">IFNA(_xlfn.XLOOKUP(D549,Table_Tarikan_Warkah[Nomor Tiket],Table_Tarikan_Warkah[Nama Petugas Warkah]),"")</f>
        <v>Berry</v>
      </c>
      <c r="G549" s="39" t="str">
        <f t="array" ref="G549">IFNA(_xlfn.XLOOKUP(D549,Table_Tarikan_Warkah[Nomor Tiket],Table_Tarikan_Warkah[Jenis Permohonan]),"")</f>
        <v>BN JUAL BELI</v>
      </c>
      <c r="H549" s="41" t="s">
        <v>11</v>
      </c>
      <c r="I549" s="41" t="s">
        <v>12</v>
      </c>
      <c r="J549" s="36">
        <f t="shared" si="17"/>
        <v>45645.70446</v>
      </c>
      <c r="K549" s="41" t="s">
        <v>197</v>
      </c>
      <c r="L549" s="41" t="s">
        <v>12</v>
      </c>
      <c r="M549" s="36">
        <f t="shared" si="18"/>
        <v>45653.59988</v>
      </c>
      <c r="N549" s="30" t="str">
        <f t="shared" si="3"/>
        <v>SELESAI</v>
      </c>
      <c r="O549" s="45">
        <f t="shared" si="12"/>
        <v>45653.59988</v>
      </c>
      <c r="P549" s="47" t="b">
        <v>0</v>
      </c>
      <c r="Q549" s="36" t="str">
        <f t="shared" si="19"/>
        <v/>
      </c>
      <c r="R549" s="47" t="b">
        <v>1</v>
      </c>
      <c r="S549" s="36">
        <f t="shared" si="6"/>
        <v>45653.59991</v>
      </c>
      <c r="T549" s="42"/>
    </row>
    <row r="550" ht="22.5" customHeight="1">
      <c r="B550" s="42">
        <f t="shared" si="7"/>
        <v>544</v>
      </c>
      <c r="C550" s="31" t="s">
        <v>732</v>
      </c>
      <c r="D550" s="34" t="str">
        <f t="array" ref="D550">IFNA(_xlfn.XLOOKUP(C550,Table_Tarikan_Warkah[Nomor Sertipikat],Table_Tarikan_Warkah[Nomor Tiket]),"")</f>
        <v>K/23/161224/4</v>
      </c>
      <c r="E550" s="36" t="str">
        <f t="array" ref="E550">IFNA(_xlfn.XLOOKUP(D550,Table_Tarikan_Warkah[Nomor Tiket],Table_Tarikan_Warkah[Tanggal diserahkan kepada Validator]),"")</f>
        <v>18/12/2024 16.32</v>
      </c>
      <c r="F550" s="36" t="str">
        <f t="array" ref="F550">IFNA(_xlfn.XLOOKUP(D550,Table_Tarikan_Warkah[Nomor Tiket],Table_Tarikan_Warkah[Nama Petugas Warkah]),"")</f>
        <v>Berry</v>
      </c>
      <c r="G550" s="39" t="str">
        <f t="array" ref="G550">IFNA(_xlfn.XLOOKUP(D550,Table_Tarikan_Warkah[Nomor Tiket],Table_Tarikan_Warkah[Jenis Permohonan]),"")</f>
        <v>BN HIBAH</v>
      </c>
      <c r="H550" s="41" t="s">
        <v>11</v>
      </c>
      <c r="I550" s="41" t="s">
        <v>12</v>
      </c>
      <c r="J550" s="36">
        <f t="shared" si="17"/>
        <v>45645.70446</v>
      </c>
      <c r="K550" s="41" t="s">
        <v>197</v>
      </c>
      <c r="L550" s="41" t="s">
        <v>12</v>
      </c>
      <c r="M550" s="36">
        <f t="shared" si="18"/>
        <v>45653.60087</v>
      </c>
      <c r="N550" s="30" t="str">
        <f t="shared" si="3"/>
        <v>SELESAI</v>
      </c>
      <c r="O550" s="45">
        <f t="shared" si="12"/>
        <v>45653.60087</v>
      </c>
      <c r="P550" s="47" t="b">
        <v>0</v>
      </c>
      <c r="Q550" s="36" t="str">
        <f t="shared" si="19"/>
        <v/>
      </c>
      <c r="R550" s="47" t="b">
        <v>1</v>
      </c>
      <c r="S550" s="36">
        <f t="shared" si="6"/>
        <v>45653.60093</v>
      </c>
      <c r="T550" s="42"/>
    </row>
    <row r="551" ht="22.5" customHeight="1">
      <c r="B551" s="42">
        <f t="shared" si="7"/>
        <v>545</v>
      </c>
      <c r="C551" s="31" t="s">
        <v>733</v>
      </c>
      <c r="D551" s="34" t="str">
        <f t="array" ref="D551">IFNA(_xlfn.XLOOKUP(C551,Table_Tarikan_Warkah[Nomor Sertipikat],Table_Tarikan_Warkah[Nomor Tiket]),"")</f>
        <v>K/16/161224/2</v>
      </c>
      <c r="E551" s="36" t="str">
        <f t="array" ref="E551">IFNA(_xlfn.XLOOKUP(D551,Table_Tarikan_Warkah[Nomor Tiket],Table_Tarikan_Warkah[Tanggal diserahkan kepada Validator]),"")</f>
        <v>18/12/2024 16.32</v>
      </c>
      <c r="F551" s="36" t="str">
        <f t="array" ref="F551">IFNA(_xlfn.XLOOKUP(D551,Table_Tarikan_Warkah[Nomor Tiket],Table_Tarikan_Warkah[Nama Petugas Warkah]),"")</f>
        <v>Berry</v>
      </c>
      <c r="G551" s="39" t="str">
        <f t="array" ref="G551">IFNA(_xlfn.XLOOKUP(D551,Table_Tarikan_Warkah[Nomor Tiket],Table_Tarikan_Warkah[Jenis Permohonan]),"")</f>
        <v>BN HIBAH</v>
      </c>
      <c r="H551" s="41" t="s">
        <v>11</v>
      </c>
      <c r="I551" s="41" t="s">
        <v>12</v>
      </c>
      <c r="J551" s="36">
        <f t="shared" si="17"/>
        <v>45645.70446</v>
      </c>
      <c r="K551" s="41" t="s">
        <v>197</v>
      </c>
      <c r="L551" s="41" t="s">
        <v>12</v>
      </c>
      <c r="M551" s="36">
        <f t="shared" si="18"/>
        <v>45653.60111</v>
      </c>
      <c r="N551" s="30" t="str">
        <f t="shared" si="3"/>
        <v>SELESAI</v>
      </c>
      <c r="O551" s="45">
        <f t="shared" si="12"/>
        <v>45653.60111</v>
      </c>
      <c r="P551" s="47" t="b">
        <v>0</v>
      </c>
      <c r="Q551" s="36" t="str">
        <f t="shared" si="19"/>
        <v/>
      </c>
      <c r="R551" s="47" t="b">
        <v>1</v>
      </c>
      <c r="S551" s="36">
        <f t="shared" si="6"/>
        <v>45653.60115</v>
      </c>
      <c r="T551" s="42"/>
    </row>
    <row r="552" ht="22.5" customHeight="1">
      <c r="B552" s="42">
        <f t="shared" si="7"/>
        <v>546</v>
      </c>
      <c r="C552" s="31" t="s">
        <v>734</v>
      </c>
      <c r="D552" s="34" t="str">
        <f t="array" ref="D552">IFNA(_xlfn.XLOOKUP(C552,Table_Tarikan_Warkah[Nomor Sertipikat],Table_Tarikan_Warkah[Nomor Tiket]),"")</f>
        <v>K/15/161224/1</v>
      </c>
      <c r="E552" s="36" t="str">
        <f t="array" ref="E552">IFNA(_xlfn.XLOOKUP(D552,Table_Tarikan_Warkah[Nomor Tiket],Table_Tarikan_Warkah[Tanggal diserahkan kepada Validator]),"")</f>
        <v>18/12/2024 16.31</v>
      </c>
      <c r="F552" s="36" t="str">
        <f t="array" ref="F552">IFNA(_xlfn.XLOOKUP(D552,Table_Tarikan_Warkah[Nomor Tiket],Table_Tarikan_Warkah[Nama Petugas Warkah]),"")</f>
        <v>Berry</v>
      </c>
      <c r="G552" s="39" t="str">
        <f t="array" ref="G552">IFNA(_xlfn.XLOOKUP(D552,Table_Tarikan_Warkah[Nomor Tiket],Table_Tarikan_Warkah[Jenis Permohonan]),"")</f>
        <v>BN HIBAH</v>
      </c>
      <c r="H552" s="41" t="s">
        <v>11</v>
      </c>
      <c r="I552" s="41" t="s">
        <v>12</v>
      </c>
      <c r="J552" s="36">
        <f t="shared" si="17"/>
        <v>45645.70446</v>
      </c>
      <c r="K552" s="41" t="s">
        <v>197</v>
      </c>
      <c r="L552" s="41" t="s">
        <v>12</v>
      </c>
      <c r="M552" s="36">
        <f t="shared" si="18"/>
        <v>45653.59009</v>
      </c>
      <c r="N552" s="30" t="str">
        <f t="shared" si="3"/>
        <v>SELESAI</v>
      </c>
      <c r="O552" s="45">
        <f t="shared" si="12"/>
        <v>45653.59009</v>
      </c>
      <c r="P552" s="47" t="b">
        <v>0</v>
      </c>
      <c r="Q552" s="36" t="str">
        <f t="shared" si="19"/>
        <v/>
      </c>
      <c r="R552" s="47" t="b">
        <v>1</v>
      </c>
      <c r="S552" s="36">
        <f t="shared" si="6"/>
        <v>45653.59011</v>
      </c>
      <c r="T552" s="42"/>
    </row>
    <row r="553" ht="22.5" customHeight="1">
      <c r="B553" s="42">
        <f t="shared" si="7"/>
        <v>547</v>
      </c>
      <c r="C553" s="31" t="s">
        <v>735</v>
      </c>
      <c r="D553" s="34" t="str">
        <f t="array" ref="D553">IFNA(_xlfn.XLOOKUP(C553,Table_Tarikan_Warkah[Nomor Sertipikat],Table_Tarikan_Warkah[Nomor Tiket]),"")</f>
        <v>L/12/161224/</v>
      </c>
      <c r="E553" s="36" t="str">
        <f t="array" ref="E553">IFNA(_xlfn.XLOOKUP(D553,Table_Tarikan_Warkah[Nomor Tiket],Table_Tarikan_Warkah[Tanggal diserahkan kepada Validator]),"")</f>
        <v>18/12/2024 16.30</v>
      </c>
      <c r="F553" s="36" t="str">
        <f t="array" ref="F553">IFNA(_xlfn.XLOOKUP(D553,Table_Tarikan_Warkah[Nomor Tiket],Table_Tarikan_Warkah[Nama Petugas Warkah]),"")</f>
        <v>Berry</v>
      </c>
      <c r="G553" s="39" t="str">
        <f t="array" ref="G553">IFNA(_xlfn.XLOOKUP(D553,Table_Tarikan_Warkah[Nomor Tiket],Table_Tarikan_Warkah[Jenis Permohonan]),"")</f>
        <v>ROYA</v>
      </c>
      <c r="H553" s="41" t="s">
        <v>11</v>
      </c>
      <c r="I553" s="41" t="s">
        <v>12</v>
      </c>
      <c r="J553" s="36">
        <f t="shared" si="17"/>
        <v>45645.70446</v>
      </c>
      <c r="K553" s="41" t="s">
        <v>197</v>
      </c>
      <c r="L553" s="41" t="s">
        <v>12</v>
      </c>
      <c r="M553" s="36">
        <f t="shared" si="18"/>
        <v>45653.60131</v>
      </c>
      <c r="N553" s="30" t="str">
        <f t="shared" si="3"/>
        <v>SELESAI</v>
      </c>
      <c r="O553" s="45">
        <f t="shared" si="12"/>
        <v>45653.60131</v>
      </c>
      <c r="P553" s="47" t="b">
        <v>0</v>
      </c>
      <c r="Q553" s="36" t="str">
        <f t="shared" si="19"/>
        <v/>
      </c>
      <c r="R553" s="47" t="b">
        <v>1</v>
      </c>
      <c r="S553" s="36">
        <f t="shared" si="6"/>
        <v>45653.60134</v>
      </c>
      <c r="T553" s="42"/>
    </row>
    <row r="554" ht="22.5" customHeight="1">
      <c r="B554" s="42">
        <f t="shared" si="7"/>
        <v>548</v>
      </c>
      <c r="C554" s="31" t="s">
        <v>32</v>
      </c>
      <c r="D554" s="34" t="str">
        <f t="array" ref="D554">IFNA(_xlfn.XLOOKUP(C554,Table_Tarikan_Warkah[Nomor Sertipikat],Table_Tarikan_Warkah[Nomor Tiket]),"")</f>
        <v>K/2/171224/2</v>
      </c>
      <c r="E554" s="36" t="str">
        <f t="array" ref="E554">IFNA(_xlfn.XLOOKUP(D554,Table_Tarikan_Warkah[Nomor Tiket],Table_Tarikan_Warkah[Tanggal diserahkan kepada Validator]),"")</f>
        <v/>
      </c>
      <c r="F554" s="36" t="str">
        <f t="array" ref="F554">IFNA(_xlfn.XLOOKUP(D554,Table_Tarikan_Warkah[Nomor Tiket],Table_Tarikan_Warkah[Nama Petugas Warkah]),"")</f>
        <v>Berry</v>
      </c>
      <c r="G554" s="39" t="str">
        <f t="array" ref="G554">IFNA(_xlfn.XLOOKUP(D554,Table_Tarikan_Warkah[Nomor Tiket],Table_Tarikan_Warkah[Jenis Permohonan]),"")</f>
        <v>ROYA</v>
      </c>
      <c r="H554" s="41" t="s">
        <v>11</v>
      </c>
      <c r="I554" s="41" t="s">
        <v>23</v>
      </c>
      <c r="J554" s="36">
        <f t="shared" si="17"/>
        <v>45645.70663</v>
      </c>
      <c r="K554" s="41" t="s">
        <v>26</v>
      </c>
      <c r="L554" s="41" t="s">
        <v>23</v>
      </c>
      <c r="M554" s="36">
        <f t="shared" si="18"/>
        <v>45664.36144</v>
      </c>
      <c r="N554" s="30" t="str">
        <f t="shared" si="3"/>
        <v>Selesai</v>
      </c>
      <c r="O554" s="45">
        <f t="shared" si="12"/>
        <v>45664.36144</v>
      </c>
      <c r="P554" s="47" t="b">
        <v>1</v>
      </c>
      <c r="Q554" s="36">
        <f t="shared" si="19"/>
        <v>45664.36144</v>
      </c>
      <c r="R554" s="47" t="b">
        <v>0</v>
      </c>
      <c r="S554" s="42" t="str">
        <f t="shared" si="6"/>
        <v/>
      </c>
      <c r="T554" s="42"/>
    </row>
    <row r="555" ht="22.5" customHeight="1">
      <c r="B555" s="42">
        <f t="shared" si="7"/>
        <v>549</v>
      </c>
      <c r="C555" s="31" t="s">
        <v>35</v>
      </c>
      <c r="D555" s="34" t="str">
        <f t="array" ref="D555">IFNA(_xlfn.XLOOKUP(C555,Table_Tarikan_Warkah[Nomor Sertipikat],Table_Tarikan_Warkah[Nomor Tiket]),"")</f>
        <v>K/15/131224/3</v>
      </c>
      <c r="E555" s="36" t="str">
        <f t="array" ref="E555">IFNA(_xlfn.XLOOKUP(D555,Table_Tarikan_Warkah[Nomor Tiket],Table_Tarikan_Warkah[Tanggal diserahkan kepada Validator]),"")</f>
        <v/>
      </c>
      <c r="F555" s="36" t="str">
        <f t="array" ref="F555">IFNA(_xlfn.XLOOKUP(D555,Table_Tarikan_Warkah[Nomor Tiket],Table_Tarikan_Warkah[Nama Petugas Warkah]),"")</f>
        <v>Berry</v>
      </c>
      <c r="G555" s="39" t="str">
        <f t="array" ref="G555">IFNA(_xlfn.XLOOKUP(D555,Table_Tarikan_Warkah[Nomor Tiket],Table_Tarikan_Warkah[Jenis Permohonan]),"")</f>
        <v>BN JUAL BELI</v>
      </c>
      <c r="H555" s="41" t="s">
        <v>11</v>
      </c>
      <c r="I555" s="41" t="s">
        <v>23</v>
      </c>
      <c r="J555" s="36">
        <f t="shared" si="17"/>
        <v>45645.70666</v>
      </c>
      <c r="K555" s="41" t="s">
        <v>26</v>
      </c>
      <c r="L555" s="41" t="s">
        <v>23</v>
      </c>
      <c r="M555" s="36">
        <f t="shared" si="18"/>
        <v>45664.36144</v>
      </c>
      <c r="N555" s="30" t="str">
        <f t="shared" si="3"/>
        <v>Selesai</v>
      </c>
      <c r="O555" s="45">
        <f t="shared" si="12"/>
        <v>45664.36144</v>
      </c>
      <c r="P555" s="47" t="b">
        <v>1</v>
      </c>
      <c r="Q555" s="36">
        <f t="shared" si="19"/>
        <v>45664.36144</v>
      </c>
      <c r="R555" s="47" t="b">
        <v>0</v>
      </c>
      <c r="S555" s="42" t="str">
        <f t="shared" si="6"/>
        <v/>
      </c>
      <c r="T555" s="42"/>
    </row>
    <row r="556" ht="22.5" customHeight="1">
      <c r="B556" s="42">
        <f t="shared" si="7"/>
        <v>550</v>
      </c>
      <c r="C556" s="31" t="s">
        <v>38</v>
      </c>
      <c r="D556" s="34" t="str">
        <f t="array" ref="D556">IFNA(_xlfn.XLOOKUP(C556,Table_Tarikan_Warkah[Nomor Sertipikat],Table_Tarikan_Warkah[Nomor Tiket]),"")</f>
        <v>K/19/131224/4</v>
      </c>
      <c r="E556" s="36">
        <f t="array" ref="E556">IFNA(_xlfn.XLOOKUP(D556,Table_Tarikan_Warkah[Nomor Tiket],Table_Tarikan_Warkah[Tanggal diserahkan kepada Validator]),"")</f>
        <v>0</v>
      </c>
      <c r="F556" s="36" t="str">
        <f t="array" ref="F556">IFNA(_xlfn.XLOOKUP(D556,Table_Tarikan_Warkah[Nomor Tiket],Table_Tarikan_Warkah[Nama Petugas Warkah]),"")</f>
        <v>Berry</v>
      </c>
      <c r="G556" s="39" t="str">
        <f t="array" ref="G556">IFNA(_xlfn.XLOOKUP(D556,Table_Tarikan_Warkah[Nomor Tiket],Table_Tarikan_Warkah[Jenis Permohonan]),"")</f>
        <v>BN JUAL BELI</v>
      </c>
      <c r="H556" s="41" t="s">
        <v>11</v>
      </c>
      <c r="I556" s="41" t="s">
        <v>23</v>
      </c>
      <c r="J556" s="36">
        <f t="shared" si="17"/>
        <v>45645.70666</v>
      </c>
      <c r="K556" s="41" t="s">
        <v>26</v>
      </c>
      <c r="L556" s="41" t="s">
        <v>23</v>
      </c>
      <c r="M556" s="36">
        <f t="shared" si="18"/>
        <v>45664.36144</v>
      </c>
      <c r="N556" s="30" t="str">
        <f t="shared" si="3"/>
        <v>Selesai</v>
      </c>
      <c r="O556" s="45">
        <f t="shared" si="12"/>
        <v>45664.36144</v>
      </c>
      <c r="P556" s="47" t="b">
        <v>1</v>
      </c>
      <c r="Q556" s="36">
        <f t="shared" si="19"/>
        <v>45664.36144</v>
      </c>
      <c r="R556" s="47" t="b">
        <v>0</v>
      </c>
      <c r="S556" s="42" t="str">
        <f t="shared" si="6"/>
        <v/>
      </c>
      <c r="T556" s="42"/>
    </row>
    <row r="557" ht="22.5" customHeight="1">
      <c r="B557" s="42">
        <f t="shared" si="7"/>
        <v>551</v>
      </c>
      <c r="C557" s="31" t="s">
        <v>42</v>
      </c>
      <c r="D557" s="34" t="str">
        <f t="array" ref="D557">IFNA(_xlfn.XLOOKUP(C557,Table_Tarikan_Warkah[Nomor Sertipikat],Table_Tarikan_Warkah[Nomor Tiket]),"")</f>
        <v>K/7/131224/1</v>
      </c>
      <c r="E557" s="36" t="str">
        <f t="array" ref="E557">IFNA(_xlfn.XLOOKUP(D557,Table_Tarikan_Warkah[Nomor Tiket],Table_Tarikan_Warkah[Tanggal diserahkan kepada Validator]),"")</f>
        <v/>
      </c>
      <c r="F557" s="36" t="str">
        <f t="array" ref="F557">IFNA(_xlfn.XLOOKUP(D557,Table_Tarikan_Warkah[Nomor Tiket],Table_Tarikan_Warkah[Nama Petugas Warkah]),"")</f>
        <v>Berry</v>
      </c>
      <c r="G557" s="39" t="str">
        <f t="array" ref="G557">IFNA(_xlfn.XLOOKUP(D557,Table_Tarikan_Warkah[Nomor Tiket],Table_Tarikan_Warkah[Jenis Permohonan]),"")</f>
        <v>BN Waris</v>
      </c>
      <c r="H557" s="41" t="s">
        <v>11</v>
      </c>
      <c r="I557" s="41" t="s">
        <v>23</v>
      </c>
      <c r="J557" s="36">
        <f t="shared" si="17"/>
        <v>45645.70666</v>
      </c>
      <c r="K557" s="41" t="s">
        <v>26</v>
      </c>
      <c r="L557" s="41" t="s">
        <v>23</v>
      </c>
      <c r="M557" s="36">
        <f t="shared" si="18"/>
        <v>45664.36144</v>
      </c>
      <c r="N557" s="30" t="str">
        <f t="shared" si="3"/>
        <v>Selesai</v>
      </c>
      <c r="O557" s="45">
        <f t="shared" si="12"/>
        <v>45664.36144</v>
      </c>
      <c r="P557" s="47" t="b">
        <v>1</v>
      </c>
      <c r="Q557" s="36">
        <f t="shared" si="19"/>
        <v>45664.36145</v>
      </c>
      <c r="R557" s="47" t="b">
        <v>0</v>
      </c>
      <c r="S557" s="42" t="str">
        <f t="shared" si="6"/>
        <v/>
      </c>
      <c r="T557" s="42"/>
    </row>
    <row r="558" ht="22.5" customHeight="1">
      <c r="B558" s="42">
        <f t="shared" si="7"/>
        <v>552</v>
      </c>
      <c r="C558" s="31" t="s">
        <v>45</v>
      </c>
      <c r="D558" s="34" t="str">
        <f t="array" ref="D558">IFNA(_xlfn.XLOOKUP(C558,Table_Tarikan_Warkah[Nomor Sertipikat],Table_Tarikan_Warkah[Nomor Tiket]),"")</f>
        <v>K/10/161224/1</v>
      </c>
      <c r="E558" s="36" t="str">
        <f t="array" ref="E558">IFNA(_xlfn.XLOOKUP(D558,Table_Tarikan_Warkah[Nomor Tiket],Table_Tarikan_Warkah[Tanggal diserahkan kepada Validator]),"")</f>
        <v/>
      </c>
      <c r="F558" s="36" t="str">
        <f t="array" ref="F558">IFNA(_xlfn.XLOOKUP(D558,Table_Tarikan_Warkah[Nomor Tiket],Table_Tarikan_Warkah[Nama Petugas Warkah]),"")</f>
        <v/>
      </c>
      <c r="G558" s="39" t="str">
        <f t="array" ref="G558">IFNA(_xlfn.XLOOKUP(D558,Table_Tarikan_Warkah[Nomor Tiket],Table_Tarikan_Warkah[Jenis Permohonan]),"")</f>
        <v>SKPT LELANG</v>
      </c>
      <c r="H558" s="41" t="s">
        <v>11</v>
      </c>
      <c r="I558" s="41" t="s">
        <v>23</v>
      </c>
      <c r="J558" s="36">
        <f t="shared" si="17"/>
        <v>45645.70666</v>
      </c>
      <c r="K558" s="41" t="s">
        <v>26</v>
      </c>
      <c r="L558" s="41" t="s">
        <v>23</v>
      </c>
      <c r="M558" s="36">
        <f t="shared" si="18"/>
        <v>45664.36144</v>
      </c>
      <c r="N558" s="30" t="str">
        <f t="shared" si="3"/>
        <v>Selesai</v>
      </c>
      <c r="O558" s="45">
        <f t="shared" si="12"/>
        <v>45664.36144</v>
      </c>
      <c r="P558" s="47" t="b">
        <v>1</v>
      </c>
      <c r="Q558" s="36">
        <f t="shared" si="19"/>
        <v>45664.36145</v>
      </c>
      <c r="R558" s="47" t="b">
        <v>0</v>
      </c>
      <c r="S558" s="42" t="str">
        <f t="shared" si="6"/>
        <v/>
      </c>
      <c r="T558" s="42"/>
    </row>
    <row r="559" ht="22.5" customHeight="1">
      <c r="B559" s="42">
        <f t="shared" si="7"/>
        <v>553</v>
      </c>
      <c r="C559" s="31" t="s">
        <v>51</v>
      </c>
      <c r="D559" s="34" t="str">
        <f t="array" ref="D559">IFNA(_xlfn.XLOOKUP(C559,Table_Tarikan_Warkah[Nomor Sertipikat],Table_Tarikan_Warkah[Nomor Tiket]),"")</f>
        <v>K/38/171224/2</v>
      </c>
      <c r="E559" s="36" t="str">
        <f t="array" ref="E559">IFNA(_xlfn.XLOOKUP(D559,Table_Tarikan_Warkah[Nomor Tiket],Table_Tarikan_Warkah[Tanggal diserahkan kepada Validator]),"")</f>
        <v/>
      </c>
      <c r="F559" s="36" t="str">
        <f t="array" ref="F559">IFNA(_xlfn.XLOOKUP(D559,Table_Tarikan_Warkah[Nomor Tiket],Table_Tarikan_Warkah[Nama Petugas Warkah]),"")</f>
        <v>David</v>
      </c>
      <c r="G559" s="39" t="str">
        <f t="array" ref="G559">IFNA(_xlfn.XLOOKUP(D559,Table_Tarikan_Warkah[Nomor Tiket],Table_Tarikan_Warkah[Jenis Permohonan]),"")</f>
        <v>BN JUAL BELI</v>
      </c>
      <c r="H559" s="41" t="s">
        <v>11</v>
      </c>
      <c r="I559" s="41" t="s">
        <v>23</v>
      </c>
      <c r="J559" s="36">
        <f t="shared" si="17"/>
        <v>45645.70666</v>
      </c>
      <c r="K559" s="41" t="s">
        <v>26</v>
      </c>
      <c r="L559" s="41" t="s">
        <v>23</v>
      </c>
      <c r="M559" s="36">
        <f t="shared" si="18"/>
        <v>45664.36144</v>
      </c>
      <c r="N559" s="30" t="str">
        <f t="shared" si="3"/>
        <v>Selesai</v>
      </c>
      <c r="O559" s="45">
        <f t="shared" si="12"/>
        <v>45664.36144</v>
      </c>
      <c r="P559" s="47" t="b">
        <v>1</v>
      </c>
      <c r="Q559" s="36">
        <f t="shared" si="19"/>
        <v>45664.36146</v>
      </c>
      <c r="R559" s="47" t="b">
        <v>0</v>
      </c>
      <c r="S559" s="42" t="str">
        <f t="shared" si="6"/>
        <v/>
      </c>
      <c r="T559" s="42"/>
    </row>
    <row r="560" ht="22.5" customHeight="1">
      <c r="B560" s="42">
        <f t="shared" si="7"/>
        <v>554</v>
      </c>
      <c r="C560" s="31" t="s">
        <v>53</v>
      </c>
      <c r="D560" s="34" t="str">
        <f t="array" ref="D560">IFNA(_xlfn.XLOOKUP(C560,Table_Tarikan_Warkah[Nomor Sertipikat],Table_Tarikan_Warkah[Nomor Tiket]),"")</f>
        <v>K/33/021224/1</v>
      </c>
      <c r="E560" s="36" t="str">
        <f t="array" ref="E560">IFNA(_xlfn.XLOOKUP(D560,Table_Tarikan_Warkah[Nomor Tiket],Table_Tarikan_Warkah[Tanggal diserahkan kepada Validator]),"")</f>
        <v/>
      </c>
      <c r="F560" s="36" t="str">
        <f t="array" ref="F560">IFNA(_xlfn.XLOOKUP(D560,Table_Tarikan_Warkah[Nomor Tiket],Table_Tarikan_Warkah[Nama Petugas Warkah]),"")</f>
        <v>Berry</v>
      </c>
      <c r="G560" s="39" t="str">
        <f t="array" ref="G560">IFNA(_xlfn.XLOOKUP(D560,Table_Tarikan_Warkah[Nomor Tiket],Table_Tarikan_Warkah[Jenis Permohonan]),"")</f>
        <v>BN JUAL BELI</v>
      </c>
      <c r="H560" s="41" t="s">
        <v>11</v>
      </c>
      <c r="I560" s="41" t="s">
        <v>23</v>
      </c>
      <c r="J560" s="36">
        <f t="shared" si="17"/>
        <v>45645.70666</v>
      </c>
      <c r="K560" s="41" t="s">
        <v>26</v>
      </c>
      <c r="L560" s="41" t="s">
        <v>23</v>
      </c>
      <c r="M560" s="36">
        <f t="shared" si="18"/>
        <v>45664.36144</v>
      </c>
      <c r="N560" s="30" t="str">
        <f t="shared" si="3"/>
        <v>Selesai</v>
      </c>
      <c r="O560" s="45">
        <f t="shared" si="12"/>
        <v>45664.36144</v>
      </c>
      <c r="P560" s="47" t="b">
        <v>1</v>
      </c>
      <c r="Q560" s="36">
        <f t="shared" si="19"/>
        <v>45664.36148</v>
      </c>
      <c r="R560" s="47" t="b">
        <v>0</v>
      </c>
      <c r="S560" s="42" t="str">
        <f t="shared" si="6"/>
        <v/>
      </c>
      <c r="T560" s="42"/>
    </row>
    <row r="561" ht="22.5" customHeight="1">
      <c r="B561" s="42">
        <f t="shared" si="7"/>
        <v>555</v>
      </c>
      <c r="C561" s="31" t="s">
        <v>63</v>
      </c>
      <c r="D561" s="34" t="str">
        <f t="array" ref="D561">IFNA(_xlfn.XLOOKUP(C561,Table_Tarikan_Warkah[Nomor Sertipikat],Table_Tarikan_Warkah[Nomor Tiket]),"")</f>
        <v>K/21/111224/3</v>
      </c>
      <c r="E561" s="36" t="str">
        <f t="array" ref="E561">IFNA(_xlfn.XLOOKUP(D561,Table_Tarikan_Warkah[Nomor Tiket],Table_Tarikan_Warkah[Tanggal diserahkan kepada Validator]),"")</f>
        <v/>
      </c>
      <c r="F561" s="36" t="str">
        <f t="array" ref="F561">IFNA(_xlfn.XLOOKUP(D561,Table_Tarikan_Warkah[Nomor Tiket],Table_Tarikan_Warkah[Nama Petugas Warkah]),"")</f>
        <v>David</v>
      </c>
      <c r="G561" s="39" t="str">
        <f t="array" ref="G561">IFNA(_xlfn.XLOOKUP(D561,Table_Tarikan_Warkah[Nomor Tiket],Table_Tarikan_Warkah[Jenis Permohonan]),"")</f>
        <v>BN Jual Beli</v>
      </c>
      <c r="H561" s="41" t="s">
        <v>11</v>
      </c>
      <c r="I561" s="41" t="s">
        <v>23</v>
      </c>
      <c r="J561" s="36">
        <f t="shared" si="17"/>
        <v>45645.70666</v>
      </c>
      <c r="K561" s="41" t="s">
        <v>26</v>
      </c>
      <c r="L561" s="41" t="s">
        <v>23</v>
      </c>
      <c r="M561" s="36">
        <f t="shared" si="18"/>
        <v>45664.36144</v>
      </c>
      <c r="N561" s="30" t="str">
        <f t="shared" si="3"/>
        <v>Selesai</v>
      </c>
      <c r="O561" s="45">
        <f t="shared" si="12"/>
        <v>45664.36144</v>
      </c>
      <c r="P561" s="47" t="b">
        <v>1</v>
      </c>
      <c r="Q561" s="36">
        <f t="shared" si="19"/>
        <v>45664.36149</v>
      </c>
      <c r="R561" s="47" t="b">
        <v>0</v>
      </c>
      <c r="S561" s="42" t="str">
        <f t="shared" si="6"/>
        <v/>
      </c>
      <c r="T561" s="42"/>
    </row>
    <row r="562" ht="22.5" customHeight="1">
      <c r="B562" s="42">
        <f t="shared" si="7"/>
        <v>556</v>
      </c>
      <c r="C562" s="31" t="s">
        <v>736</v>
      </c>
      <c r="D562" s="34" t="str">
        <f t="array" ref="D562">IFNA(_xlfn.XLOOKUP(C562,Table_Tarikan_Warkah[Nomor Sertipikat],Table_Tarikan_Warkah[Nomor Tiket]),"")</f>
        <v>K/16/101224/1</v>
      </c>
      <c r="E562" s="36" t="str">
        <f t="array" ref="E562">IFNA(_xlfn.XLOOKUP(D562,Table_Tarikan_Warkah[Nomor Tiket],Table_Tarikan_Warkah[Tanggal diserahkan kepada Validator]),"")</f>
        <v/>
      </c>
      <c r="F562" s="36" t="str">
        <f t="array" ref="F562">IFNA(_xlfn.XLOOKUP(D562,Table_Tarikan_Warkah[Nomor Tiket],Table_Tarikan_Warkah[Nama Petugas Warkah]),"")</f>
        <v>David</v>
      </c>
      <c r="G562" s="39" t="str">
        <f t="array" ref="G562">IFNA(_xlfn.XLOOKUP(D562,Table_Tarikan_Warkah[Nomor Tiket],Table_Tarikan_Warkah[Jenis Permohonan]),"")</f>
        <v>BN LELANG</v>
      </c>
      <c r="H562" s="41" t="s">
        <v>20</v>
      </c>
      <c r="I562" s="41" t="s">
        <v>12</v>
      </c>
      <c r="J562" s="36">
        <f t="shared" si="17"/>
        <v>45646.3652</v>
      </c>
      <c r="K562" s="41" t="s">
        <v>26</v>
      </c>
      <c r="L562" s="41" t="s">
        <v>12</v>
      </c>
      <c r="M562" s="36">
        <f t="shared" si="18"/>
        <v>45646.57163</v>
      </c>
      <c r="N562" s="30" t="str">
        <f t="shared" si="3"/>
        <v>SELESAI</v>
      </c>
      <c r="O562" s="45">
        <f t="shared" si="12"/>
        <v>45646.57163</v>
      </c>
      <c r="P562" s="47" t="b">
        <v>1</v>
      </c>
      <c r="Q562" s="36">
        <f t="shared" si="19"/>
        <v>45646.57163</v>
      </c>
      <c r="R562" s="47" t="b">
        <v>0</v>
      </c>
      <c r="S562" s="42" t="str">
        <f t="shared" si="6"/>
        <v/>
      </c>
      <c r="T562" s="42"/>
    </row>
    <row r="563" ht="22.5" customHeight="1">
      <c r="B563" s="42">
        <f t="shared" si="7"/>
        <v>557</v>
      </c>
      <c r="C563" s="31" t="s">
        <v>68</v>
      </c>
      <c r="D563" s="34" t="str">
        <f t="array" ref="D563">IFNA(_xlfn.XLOOKUP(C563,Table_Tarikan_Warkah[Nomor Sertipikat],Table_Tarikan_Warkah[Nomor Tiket]),"")</f>
        <v>K/8/161224/1</v>
      </c>
      <c r="E563" s="36" t="str">
        <f t="array" ref="E563">IFNA(_xlfn.XLOOKUP(D563,Table_Tarikan_Warkah[Nomor Tiket],Table_Tarikan_Warkah[Tanggal diserahkan kepada Validator]),"")</f>
        <v/>
      </c>
      <c r="F563" s="36" t="str">
        <f t="array" ref="F563">IFNA(_xlfn.XLOOKUP(D563,Table_Tarikan_Warkah[Nomor Tiket],Table_Tarikan_Warkah[Nama Petugas Warkah]),"")</f>
        <v>Berry</v>
      </c>
      <c r="G563" s="39" t="str">
        <f t="array" ref="G563">IFNA(_xlfn.XLOOKUP(D563,Table_Tarikan_Warkah[Nomor Tiket],Table_Tarikan_Warkah[Jenis Permohonan]),"")</f>
        <v>BN Jual Beli</v>
      </c>
      <c r="H563" s="41" t="s">
        <v>11</v>
      </c>
      <c r="I563" s="41" t="s">
        <v>23</v>
      </c>
      <c r="J563" s="36">
        <f t="shared" si="17"/>
        <v>45646.65076</v>
      </c>
      <c r="K563" s="41" t="s">
        <v>26</v>
      </c>
      <c r="L563" s="41" t="s">
        <v>23</v>
      </c>
      <c r="M563" s="36">
        <f t="shared" si="18"/>
        <v>45664.36186</v>
      </c>
      <c r="N563" s="30" t="str">
        <f t="shared" si="3"/>
        <v>Selesai</v>
      </c>
      <c r="O563" s="45">
        <f t="shared" si="12"/>
        <v>45664.36186</v>
      </c>
      <c r="P563" s="47" t="b">
        <v>1</v>
      </c>
      <c r="Q563" s="36">
        <f t="shared" si="19"/>
        <v>45664.36196</v>
      </c>
      <c r="R563" s="47" t="b">
        <v>0</v>
      </c>
      <c r="S563" s="42" t="str">
        <f t="shared" si="6"/>
        <v/>
      </c>
      <c r="T563" s="42"/>
    </row>
    <row r="564" ht="22.5" customHeight="1">
      <c r="B564" s="42">
        <f t="shared" si="7"/>
        <v>558</v>
      </c>
      <c r="C564" s="31" t="s">
        <v>70</v>
      </c>
      <c r="D564" s="34" t="str">
        <f t="array" ref="D564">IFNA(_xlfn.XLOOKUP(C564,Table_Tarikan_Warkah[Nomor Sertipikat],Table_Tarikan_Warkah[Nomor Tiket]),"")</f>
        <v>K/30/051224/2</v>
      </c>
      <c r="E564" s="36" t="str">
        <f t="array" ref="E564">IFNA(_xlfn.XLOOKUP(D564,Table_Tarikan_Warkah[Nomor Tiket],Table_Tarikan_Warkah[Tanggal diserahkan kepada Validator]),"")</f>
        <v/>
      </c>
      <c r="F564" s="36" t="str">
        <f t="array" ref="F564">IFNA(_xlfn.XLOOKUP(D564,Table_Tarikan_Warkah[Nomor Tiket],Table_Tarikan_Warkah[Nama Petugas Warkah]),"")</f>
        <v>Berry</v>
      </c>
      <c r="G564" s="39" t="str">
        <f t="array" ref="G564">IFNA(_xlfn.XLOOKUP(D564,Table_Tarikan_Warkah[Nomor Tiket],Table_Tarikan_Warkah[Jenis Permohonan]),"")</f>
        <v>BN Hibah</v>
      </c>
      <c r="H564" s="41" t="s">
        <v>11</v>
      </c>
      <c r="I564" s="41" t="s">
        <v>23</v>
      </c>
      <c r="J564" s="36">
        <f t="shared" si="17"/>
        <v>45646.65091</v>
      </c>
      <c r="K564" s="41" t="s">
        <v>26</v>
      </c>
      <c r="L564" s="41" t="s">
        <v>23</v>
      </c>
      <c r="M564" s="36">
        <f t="shared" si="18"/>
        <v>45664.36186</v>
      </c>
      <c r="N564" s="30" t="str">
        <f t="shared" si="3"/>
        <v>Selesai</v>
      </c>
      <c r="O564" s="45">
        <f t="shared" si="12"/>
        <v>45664.36186</v>
      </c>
      <c r="P564" s="47" t="b">
        <v>1</v>
      </c>
      <c r="Q564" s="36">
        <f t="shared" si="19"/>
        <v>45664.36197</v>
      </c>
      <c r="R564" s="47" t="b">
        <v>0</v>
      </c>
      <c r="S564" s="42" t="str">
        <f t="shared" si="6"/>
        <v/>
      </c>
      <c r="T564" s="42"/>
    </row>
    <row r="565" ht="22.5" customHeight="1">
      <c r="B565" s="42">
        <f t="shared" si="7"/>
        <v>559</v>
      </c>
      <c r="C565" s="31" t="s">
        <v>73</v>
      </c>
      <c r="D565" s="34" t="str">
        <f t="array" ref="D565">IFNA(_xlfn.XLOOKUP(C565,Table_Tarikan_Warkah[Nomor Sertipikat],Table_Tarikan_Warkah[Nomor Tiket]),"")</f>
        <v>K/18/131224/3</v>
      </c>
      <c r="E565" s="36">
        <f t="array" ref="E565">IFNA(_xlfn.XLOOKUP(D565,Table_Tarikan_Warkah[Nomor Tiket],Table_Tarikan_Warkah[Tanggal diserahkan kepada Validator]),"")</f>
        <v>0</v>
      </c>
      <c r="F565" s="36" t="str">
        <f t="array" ref="F565">IFNA(_xlfn.XLOOKUP(D565,Table_Tarikan_Warkah[Nomor Tiket],Table_Tarikan_Warkah[Nama Petugas Warkah]),"")</f>
        <v>Berry</v>
      </c>
      <c r="G565" s="39" t="str">
        <f t="array" ref="G565">IFNA(_xlfn.XLOOKUP(D565,Table_Tarikan_Warkah[Nomor Tiket],Table_Tarikan_Warkah[Jenis Permohonan]),"")</f>
        <v>BN JUAL BELI</v>
      </c>
      <c r="H565" s="41" t="s">
        <v>11</v>
      </c>
      <c r="I565" s="41" t="s">
        <v>23</v>
      </c>
      <c r="J565" s="36">
        <f t="shared" si="17"/>
        <v>45646.65091</v>
      </c>
      <c r="K565" s="49" t="s">
        <v>26</v>
      </c>
      <c r="L565" s="49" t="s">
        <v>23</v>
      </c>
      <c r="M565" s="36">
        <f t="shared" si="18"/>
        <v>45664.36194</v>
      </c>
      <c r="N565" s="30" t="str">
        <f t="shared" si="3"/>
        <v>Selesai</v>
      </c>
      <c r="O565" s="45">
        <f t="shared" si="12"/>
        <v>45664.36194</v>
      </c>
      <c r="P565" s="47" t="b">
        <v>1</v>
      </c>
      <c r="Q565" s="36">
        <f t="shared" si="19"/>
        <v>45664.36198</v>
      </c>
      <c r="R565" s="47" t="b">
        <v>0</v>
      </c>
      <c r="S565" s="42" t="str">
        <f t="shared" si="6"/>
        <v/>
      </c>
      <c r="T565" s="42"/>
    </row>
    <row r="566" ht="22.5" customHeight="1">
      <c r="B566" s="42">
        <f t="shared" si="7"/>
        <v>560</v>
      </c>
      <c r="C566" s="31" t="s">
        <v>737</v>
      </c>
      <c r="D566" s="34" t="str">
        <f t="array" ref="D566">IFNA(_xlfn.XLOOKUP(C566,Table_Tarikan_Warkah[Nomor Sertipikat],Table_Tarikan_Warkah[Nomor Tiket]),"")</f>
        <v>K/30/181224/1</v>
      </c>
      <c r="E566" s="36" t="str">
        <f t="array" ref="E566">IFNA(_xlfn.XLOOKUP(D566,Table_Tarikan_Warkah[Nomor Tiket],Table_Tarikan_Warkah[Tanggal diserahkan kepada Validator]),"")</f>
        <v/>
      </c>
      <c r="F566" s="36" t="str">
        <f t="array" ref="F566">IFNA(_xlfn.XLOOKUP(D566,Table_Tarikan_Warkah[Nomor Tiket],Table_Tarikan_Warkah[Nama Petugas Warkah]),"")</f>
        <v/>
      </c>
      <c r="G566" s="39" t="str">
        <f t="array" ref="G566">IFNA(_xlfn.XLOOKUP(D566,Table_Tarikan_Warkah[Nomor Tiket],Table_Tarikan_Warkah[Jenis Permohonan]),"")</f>
        <v>BN JUAL BELI</v>
      </c>
      <c r="H566" s="41" t="s">
        <v>11</v>
      </c>
      <c r="I566" s="41" t="s">
        <v>12</v>
      </c>
      <c r="J566" s="36">
        <f t="shared" si="17"/>
        <v>45646.65093</v>
      </c>
      <c r="K566" s="41" t="s">
        <v>26</v>
      </c>
      <c r="L566" s="41" t="s">
        <v>12</v>
      </c>
      <c r="M566" s="36">
        <f t="shared" si="18"/>
        <v>45653.59913</v>
      </c>
      <c r="N566" s="30" t="str">
        <f t="shared" si="3"/>
        <v>SELESAI</v>
      </c>
      <c r="O566" s="45">
        <f t="shared" si="12"/>
        <v>45653.59913</v>
      </c>
      <c r="P566" s="47" t="b">
        <v>0</v>
      </c>
      <c r="Q566" s="36" t="str">
        <f t="shared" si="19"/>
        <v/>
      </c>
      <c r="R566" s="47" t="b">
        <v>1</v>
      </c>
      <c r="S566" s="36">
        <f t="shared" si="6"/>
        <v>45653.59913</v>
      </c>
      <c r="T566" s="42"/>
    </row>
    <row r="567" ht="22.5" customHeight="1">
      <c r="B567" s="42">
        <f t="shared" si="7"/>
        <v>561</v>
      </c>
      <c r="C567" s="31" t="s">
        <v>738</v>
      </c>
      <c r="D567" s="34" t="str">
        <f t="array" ref="D567">IFNA(_xlfn.XLOOKUP(C567,Table_Tarikan_Warkah[Nomor Sertipikat],Table_Tarikan_Warkah[Nomor Tiket]),"")</f>
        <v>L/18/171224/1</v>
      </c>
      <c r="E567" s="36" t="str">
        <f t="array" ref="E567">IFNA(_xlfn.XLOOKUP(D567,Table_Tarikan_Warkah[Nomor Tiket],Table_Tarikan_Warkah[Tanggal diserahkan kepada Validator]),"")</f>
        <v>18/12/2024 16.41</v>
      </c>
      <c r="F567" s="36" t="str">
        <f t="array" ref="F567">IFNA(_xlfn.XLOOKUP(D567,Table_Tarikan_Warkah[Nomor Tiket],Table_Tarikan_Warkah[Nama Petugas Warkah]),"")</f>
        <v>David</v>
      </c>
      <c r="G567" s="39" t="str">
        <f t="array" ref="G567">IFNA(_xlfn.XLOOKUP(D567,Table_Tarikan_Warkah[Nomor Tiket],Table_Tarikan_Warkah[Jenis Permohonan]),"")</f>
        <v>ROYA</v>
      </c>
      <c r="H567" s="41" t="s">
        <v>11</v>
      </c>
      <c r="I567" s="41" t="s">
        <v>12</v>
      </c>
      <c r="J567" s="36">
        <f t="shared" si="17"/>
        <v>45646.65096</v>
      </c>
      <c r="K567" s="41" t="s">
        <v>197</v>
      </c>
      <c r="L567" s="41" t="s">
        <v>12</v>
      </c>
      <c r="M567" s="36">
        <f t="shared" si="18"/>
        <v>45653.59913</v>
      </c>
      <c r="N567" s="30" t="str">
        <f t="shared" si="3"/>
        <v>SELESAI</v>
      </c>
      <c r="O567" s="45">
        <f t="shared" si="12"/>
        <v>45653.59913</v>
      </c>
      <c r="P567" s="47" t="b">
        <v>1</v>
      </c>
      <c r="Q567" s="36">
        <f t="shared" si="19"/>
        <v>45656.38868</v>
      </c>
      <c r="R567" s="47" t="b">
        <v>1</v>
      </c>
      <c r="S567" s="36">
        <f t="shared" si="6"/>
        <v>45653.59913</v>
      </c>
      <c r="T567" s="42"/>
    </row>
    <row r="568" ht="22.5" customHeight="1">
      <c r="B568" s="42">
        <f t="shared" si="7"/>
        <v>562</v>
      </c>
      <c r="C568" s="31" t="s">
        <v>739</v>
      </c>
      <c r="D568" s="34" t="str">
        <f t="array" ref="D568">IFNA(_xlfn.XLOOKUP(C568,Table_Tarikan_Warkah[Nomor Sertipikat],Table_Tarikan_Warkah[Nomor Tiket]),"")</f>
        <v>K/29/181224/2</v>
      </c>
      <c r="E568" s="36" t="str">
        <f t="array" ref="E568">IFNA(_xlfn.XLOOKUP(D568,Table_Tarikan_Warkah[Nomor Tiket],Table_Tarikan_Warkah[Tanggal diserahkan kepada Validator]),"")</f>
        <v/>
      </c>
      <c r="F568" s="36" t="str">
        <f t="array" ref="F568">IFNA(_xlfn.XLOOKUP(D568,Table_Tarikan_Warkah[Nomor Tiket],Table_Tarikan_Warkah[Nama Petugas Warkah]),"")</f>
        <v/>
      </c>
      <c r="G568" s="39" t="str">
        <f t="array" ref="G568">IFNA(_xlfn.XLOOKUP(D568,Table_Tarikan_Warkah[Nomor Tiket],Table_Tarikan_Warkah[Jenis Permohonan]),"")</f>
        <v>BN JUAL BELI</v>
      </c>
      <c r="H568" s="41" t="s">
        <v>11</v>
      </c>
      <c r="I568" s="41" t="s">
        <v>12</v>
      </c>
      <c r="J568" s="36">
        <f t="shared" si="17"/>
        <v>45646.65096</v>
      </c>
      <c r="K568" s="41" t="s">
        <v>197</v>
      </c>
      <c r="L568" s="41" t="s">
        <v>12</v>
      </c>
      <c r="M568" s="36">
        <f t="shared" si="18"/>
        <v>45653.60214</v>
      </c>
      <c r="N568" s="30" t="str">
        <f t="shared" si="3"/>
        <v>SELESAI</v>
      </c>
      <c r="O568" s="45">
        <f t="shared" si="12"/>
        <v>45653.60214</v>
      </c>
      <c r="P568" s="47" t="b">
        <v>0</v>
      </c>
      <c r="Q568" s="36" t="str">
        <f t="shared" si="19"/>
        <v/>
      </c>
      <c r="R568" s="47" t="b">
        <v>1</v>
      </c>
      <c r="S568" s="36">
        <f t="shared" si="6"/>
        <v>45653.60218</v>
      </c>
      <c r="T568" s="42"/>
    </row>
    <row r="569" ht="22.5" customHeight="1">
      <c r="B569" s="42">
        <f t="shared" si="7"/>
        <v>563</v>
      </c>
      <c r="C569" s="31" t="s">
        <v>740</v>
      </c>
      <c r="D569" s="34" t="str">
        <f t="array" ref="D569">IFNA(_xlfn.XLOOKUP(C569,Table_Tarikan_Warkah[Nomor Sertipikat],Table_Tarikan_Warkah[Nomor Tiket]),"")</f>
        <v>K/50/181224/1</v>
      </c>
      <c r="E569" s="36" t="str">
        <f t="array" ref="E569">IFNA(_xlfn.XLOOKUP(D569,Table_Tarikan_Warkah[Nomor Tiket],Table_Tarikan_Warkah[Tanggal diserahkan kepada Validator]),"")</f>
        <v/>
      </c>
      <c r="F569" s="36" t="str">
        <f t="array" ref="F569">IFNA(_xlfn.XLOOKUP(D569,Table_Tarikan_Warkah[Nomor Tiket],Table_Tarikan_Warkah[Nama Petugas Warkah]),"")</f>
        <v/>
      </c>
      <c r="G569" s="39" t="str">
        <f t="array" ref="G569">IFNA(_xlfn.XLOOKUP(D569,Table_Tarikan_Warkah[Nomor Tiket],Table_Tarikan_Warkah[Jenis Permohonan]),"")</f>
        <v>BN JUAL BELI</v>
      </c>
      <c r="H569" s="41" t="s">
        <v>11</v>
      </c>
      <c r="I569" s="41" t="s">
        <v>12</v>
      </c>
      <c r="J569" s="36">
        <f t="shared" si="17"/>
        <v>45646.65096</v>
      </c>
      <c r="K569" s="41" t="s">
        <v>197</v>
      </c>
      <c r="L569" s="41" t="s">
        <v>12</v>
      </c>
      <c r="M569" s="36">
        <f t="shared" si="18"/>
        <v>45653.60197</v>
      </c>
      <c r="N569" s="30" t="str">
        <f t="shared" si="3"/>
        <v>SELESAI</v>
      </c>
      <c r="O569" s="45">
        <f t="shared" si="12"/>
        <v>45653.60197</v>
      </c>
      <c r="P569" s="47" t="b">
        <v>0</v>
      </c>
      <c r="Q569" s="36" t="str">
        <f t="shared" si="19"/>
        <v/>
      </c>
      <c r="R569" s="47" t="b">
        <v>1</v>
      </c>
      <c r="S569" s="36">
        <f t="shared" si="6"/>
        <v>45653.602</v>
      </c>
      <c r="T569" s="42"/>
    </row>
    <row r="570" ht="22.5" customHeight="1">
      <c r="B570" s="42">
        <f t="shared" si="7"/>
        <v>564</v>
      </c>
      <c r="C570" s="31" t="s">
        <v>741</v>
      </c>
      <c r="D570" s="42" t="s">
        <v>742</v>
      </c>
      <c r="E570" s="36">
        <f t="array" ref="E570">IFNA(_xlfn.XLOOKUP(D570,Table_Tarikan_Warkah[Nomor Tiket],Table_Tarikan_Warkah[Tanggal diserahkan kepada Validator]),"")</f>
        <v>45687.4007</v>
      </c>
      <c r="F570" s="36" t="str">
        <f t="array" ref="F570">IFNA(_xlfn.XLOOKUP(D570,Table_Tarikan_Warkah[Nomor Tiket],Table_Tarikan_Warkah[Nama Petugas Warkah]),"")</f>
        <v/>
      </c>
      <c r="G570" s="39" t="str">
        <f t="array" ref="G570">IFNA(_xlfn.XLOOKUP(D570,Table_Tarikan_Warkah[Nomor Tiket],Table_Tarikan_Warkah[Jenis Permohonan]),"")</f>
        <v>ROYA</v>
      </c>
      <c r="H570" s="41" t="s">
        <v>11</v>
      </c>
      <c r="I570" s="41" t="s">
        <v>12</v>
      </c>
      <c r="J570" s="36">
        <f t="shared" si="17"/>
        <v>45646.65096</v>
      </c>
      <c r="K570" s="41" t="s">
        <v>197</v>
      </c>
      <c r="L570" s="41" t="s">
        <v>12</v>
      </c>
      <c r="M570" s="36">
        <f t="shared" si="18"/>
        <v>45653.60351</v>
      </c>
      <c r="N570" s="30" t="str">
        <f t="shared" si="3"/>
        <v>SELESAI</v>
      </c>
      <c r="O570" s="45">
        <f t="shared" si="12"/>
        <v>45653.60351</v>
      </c>
      <c r="P570" s="47" t="b">
        <v>1</v>
      </c>
      <c r="Q570" s="36">
        <f t="shared" si="19"/>
        <v>45656.44334</v>
      </c>
      <c r="R570" s="47" t="b">
        <v>1</v>
      </c>
      <c r="S570" s="36">
        <f t="shared" si="6"/>
        <v>45653.60354</v>
      </c>
      <c r="T570" s="42"/>
    </row>
    <row r="571" ht="22.5" customHeight="1">
      <c r="B571" s="42">
        <f t="shared" si="7"/>
        <v>565</v>
      </c>
      <c r="C571" s="31" t="s">
        <v>743</v>
      </c>
      <c r="D571" s="34" t="str">
        <f t="array" ref="D571">IFNA(_xlfn.XLOOKUP(C571,Table_Tarikan_Warkah[Nomor Sertipikat],Table_Tarikan_Warkah[Nomor Tiket]),"")</f>
        <v>K/43/181224/2</v>
      </c>
      <c r="E571" s="36" t="str">
        <f t="array" ref="E571">IFNA(_xlfn.XLOOKUP(D571,Table_Tarikan_Warkah[Nomor Tiket],Table_Tarikan_Warkah[Tanggal diserahkan kepada Validator]),"")</f>
        <v/>
      </c>
      <c r="F571" s="36" t="str">
        <f t="array" ref="F571">IFNA(_xlfn.XLOOKUP(D571,Table_Tarikan_Warkah[Nomor Tiket],Table_Tarikan_Warkah[Nama Petugas Warkah]),"")</f>
        <v/>
      </c>
      <c r="G571" s="39" t="str">
        <f t="array" ref="G571">IFNA(_xlfn.XLOOKUP(D571,Table_Tarikan_Warkah[Nomor Tiket],Table_Tarikan_Warkah[Jenis Permohonan]),"")</f>
        <v>BN JUAL BELI</v>
      </c>
      <c r="H571" s="41" t="s">
        <v>11</v>
      </c>
      <c r="I571" s="41" t="s">
        <v>12</v>
      </c>
      <c r="J571" s="36">
        <f t="shared" si="17"/>
        <v>45646.65096</v>
      </c>
      <c r="K571" s="41" t="s">
        <v>197</v>
      </c>
      <c r="L571" s="41" t="s">
        <v>12</v>
      </c>
      <c r="M571" s="36">
        <f t="shared" si="18"/>
        <v>45653.6028</v>
      </c>
      <c r="N571" s="30" t="str">
        <f t="shared" si="3"/>
        <v>SELESAI</v>
      </c>
      <c r="O571" s="45">
        <f t="shared" si="12"/>
        <v>45653.6028</v>
      </c>
      <c r="P571" s="47" t="b">
        <v>0</v>
      </c>
      <c r="Q571" s="36" t="str">
        <f t="shared" si="19"/>
        <v/>
      </c>
      <c r="R571" s="47" t="b">
        <v>1</v>
      </c>
      <c r="S571" s="36">
        <f t="shared" si="6"/>
        <v>45653.60284</v>
      </c>
      <c r="T571" s="42"/>
    </row>
    <row r="572" ht="22.5" customHeight="1">
      <c r="B572" s="42">
        <f t="shared" si="7"/>
        <v>566</v>
      </c>
      <c r="C572" s="31" t="s">
        <v>744</v>
      </c>
      <c r="D572" s="34" t="str">
        <f t="array" ref="D572">IFNA(_xlfn.XLOOKUP(C572,Table_Tarikan_Warkah[Nomor Sertipikat],Table_Tarikan_Warkah[Nomor Tiket]),"")</f>
        <v>K/36/181224/3</v>
      </c>
      <c r="E572" s="36">
        <f t="array" ref="E572">IFNA(_xlfn.XLOOKUP(D572,Table_Tarikan_Warkah[Nomor Tiket],Table_Tarikan_Warkah[Tanggal diserahkan kepada Validator]),"")</f>
        <v>45713.7062</v>
      </c>
      <c r="F572" s="36" t="str">
        <f t="array" ref="F572">IFNA(_xlfn.XLOOKUP(D572,Table_Tarikan_Warkah[Nomor Tiket],Table_Tarikan_Warkah[Nama Petugas Warkah]),"")</f>
        <v/>
      </c>
      <c r="G572" s="39" t="str">
        <f t="array" ref="G572">IFNA(_xlfn.XLOOKUP(D572,Table_Tarikan_Warkah[Nomor Tiket],Table_Tarikan_Warkah[Jenis Permohonan]),"")</f>
        <v>BN Jual Beli</v>
      </c>
      <c r="H572" s="41" t="s">
        <v>11</v>
      </c>
      <c r="I572" s="41" t="s">
        <v>12</v>
      </c>
      <c r="J572" s="36">
        <f t="shared" si="17"/>
        <v>45646.65096</v>
      </c>
      <c r="K572" s="41" t="s">
        <v>197</v>
      </c>
      <c r="L572" s="41" t="s">
        <v>12</v>
      </c>
      <c r="M572" s="36">
        <f t="shared" si="18"/>
        <v>45653.603</v>
      </c>
      <c r="N572" s="30" t="str">
        <f t="shared" si="3"/>
        <v>SELESAI</v>
      </c>
      <c r="O572" s="45">
        <f t="shared" si="12"/>
        <v>45653.603</v>
      </c>
      <c r="P572" s="47" t="b">
        <v>0</v>
      </c>
      <c r="Q572" s="36" t="str">
        <f t="shared" si="19"/>
        <v/>
      </c>
      <c r="R572" s="47" t="b">
        <v>1</v>
      </c>
      <c r="S572" s="36">
        <f t="shared" si="6"/>
        <v>45653.60303</v>
      </c>
      <c r="T572" s="42"/>
    </row>
    <row r="573" ht="22.5" customHeight="1">
      <c r="B573" s="42">
        <f t="shared" si="7"/>
        <v>567</v>
      </c>
      <c r="C573" s="31" t="s">
        <v>745</v>
      </c>
      <c r="D573" s="34" t="str">
        <f t="array" ref="D573">IFNA(_xlfn.XLOOKUP(C573,Table_Tarikan_Warkah[Nomor Sertipikat],Table_Tarikan_Warkah[Nomor Tiket]),"")</f>
        <v>K/34/181224/1</v>
      </c>
      <c r="E573" s="36" t="str">
        <f t="array" ref="E573">IFNA(_xlfn.XLOOKUP(D573,Table_Tarikan_Warkah[Nomor Tiket],Table_Tarikan_Warkah[Tanggal diserahkan kepada Validator]),"")</f>
        <v/>
      </c>
      <c r="F573" s="36" t="str">
        <f t="array" ref="F573">IFNA(_xlfn.XLOOKUP(D573,Table_Tarikan_Warkah[Nomor Tiket],Table_Tarikan_Warkah[Nama Petugas Warkah]),"")</f>
        <v/>
      </c>
      <c r="G573" s="39" t="str">
        <f t="array" ref="G573">IFNA(_xlfn.XLOOKUP(D573,Table_Tarikan_Warkah[Nomor Tiket],Table_Tarikan_Warkah[Jenis Permohonan]),"")</f>
        <v>BN Jual Beli</v>
      </c>
      <c r="H573" s="41" t="s">
        <v>11</v>
      </c>
      <c r="I573" s="41" t="s">
        <v>12</v>
      </c>
      <c r="J573" s="36">
        <f t="shared" si="17"/>
        <v>45646.65096</v>
      </c>
      <c r="K573" s="41" t="s">
        <v>197</v>
      </c>
      <c r="L573" s="41" t="s">
        <v>12</v>
      </c>
      <c r="M573" s="36">
        <f t="shared" si="18"/>
        <v>45653.60329</v>
      </c>
      <c r="N573" s="30" t="str">
        <f t="shared" si="3"/>
        <v>SELESAI</v>
      </c>
      <c r="O573" s="45">
        <f t="shared" si="12"/>
        <v>45653.60329</v>
      </c>
      <c r="P573" s="47" t="b">
        <v>0</v>
      </c>
      <c r="Q573" s="36" t="str">
        <f t="shared" si="19"/>
        <v/>
      </c>
      <c r="R573" s="47" t="b">
        <v>1</v>
      </c>
      <c r="S573" s="36">
        <f t="shared" si="6"/>
        <v>45653.60332</v>
      </c>
      <c r="T573" s="42"/>
    </row>
    <row r="574" ht="22.5" customHeight="1">
      <c r="B574" s="42">
        <f t="shared" si="7"/>
        <v>568</v>
      </c>
      <c r="C574" s="31" t="s">
        <v>746</v>
      </c>
      <c r="D574" s="34" t="str">
        <f t="array" ref="D574">IFNA(_xlfn.XLOOKUP(C574,Table_Tarikan_Warkah[Nomor Sertipikat],Table_Tarikan_Warkah[Nomor Tiket]),"")</f>
        <v>K/16/181224/3</v>
      </c>
      <c r="E574" s="36" t="str">
        <f t="array" ref="E574">IFNA(_xlfn.XLOOKUP(D574,Table_Tarikan_Warkah[Nomor Tiket],Table_Tarikan_Warkah[Tanggal diserahkan kepada Validator]),"")</f>
        <v/>
      </c>
      <c r="F574" s="36" t="str">
        <f t="array" ref="F574">IFNA(_xlfn.XLOOKUP(D574,Table_Tarikan_Warkah[Nomor Tiket],Table_Tarikan_Warkah[Nama Petugas Warkah]),"")</f>
        <v/>
      </c>
      <c r="G574" s="39" t="str">
        <f t="array" ref="G574">IFNA(_xlfn.XLOOKUP(D574,Table_Tarikan_Warkah[Nomor Tiket],Table_Tarikan_Warkah[Jenis Permohonan]),"")</f>
        <v>BN JUAL BELI</v>
      </c>
      <c r="H574" s="41" t="s">
        <v>11</v>
      </c>
      <c r="I574" s="41" t="s">
        <v>12</v>
      </c>
      <c r="J574" s="36">
        <f t="shared" si="17"/>
        <v>45646.65096</v>
      </c>
      <c r="K574" s="41" t="s">
        <v>197</v>
      </c>
      <c r="L574" s="41" t="s">
        <v>12</v>
      </c>
      <c r="M574" s="36">
        <f t="shared" si="18"/>
        <v>45653.60172</v>
      </c>
      <c r="N574" s="30" t="str">
        <f t="shared" si="3"/>
        <v>SELESAI</v>
      </c>
      <c r="O574" s="45">
        <f t="shared" si="12"/>
        <v>45653.60172</v>
      </c>
      <c r="P574" s="47" t="b">
        <v>0</v>
      </c>
      <c r="Q574" s="36" t="str">
        <f t="shared" si="19"/>
        <v/>
      </c>
      <c r="R574" s="47" t="b">
        <v>1</v>
      </c>
      <c r="S574" s="36">
        <f t="shared" si="6"/>
        <v>45653.60175</v>
      </c>
      <c r="T574" s="42"/>
    </row>
    <row r="575" ht="22.5" customHeight="1">
      <c r="B575" s="42">
        <f t="shared" si="7"/>
        <v>569</v>
      </c>
      <c r="C575" s="31" t="s">
        <v>747</v>
      </c>
      <c r="D575" s="34" t="str">
        <f t="array" ref="D575">IFNA(_xlfn.XLOOKUP(C575,Table_Tarikan_Warkah[Nomor Sertipikat],Table_Tarikan_Warkah[Nomor Tiket]),"")</f>
        <v>K/15/181224/2</v>
      </c>
      <c r="E575" s="36" t="str">
        <f t="array" ref="E575">IFNA(_xlfn.XLOOKUP(D575,Table_Tarikan_Warkah[Nomor Tiket],Table_Tarikan_Warkah[Tanggal diserahkan kepada Validator]),"")</f>
        <v/>
      </c>
      <c r="F575" s="36" t="str">
        <f t="array" ref="F575">IFNA(_xlfn.XLOOKUP(D575,Table_Tarikan_Warkah[Nomor Tiket],Table_Tarikan_Warkah[Nama Petugas Warkah]),"")</f>
        <v/>
      </c>
      <c r="G575" s="39" t="str">
        <f t="array" ref="G575">IFNA(_xlfn.XLOOKUP(D575,Table_Tarikan_Warkah[Nomor Tiket],Table_Tarikan_Warkah[Jenis Permohonan]),"")</f>
        <v>BN JUAL BELI</v>
      </c>
      <c r="H575" s="41" t="s">
        <v>11</v>
      </c>
      <c r="I575" s="41" t="s">
        <v>12</v>
      </c>
      <c r="J575" s="36">
        <f t="shared" si="17"/>
        <v>45646.65096</v>
      </c>
      <c r="K575" s="41" t="s">
        <v>197</v>
      </c>
      <c r="L575" s="41" t="s">
        <v>12</v>
      </c>
      <c r="M575" s="36">
        <f t="shared" si="18"/>
        <v>45653.60153</v>
      </c>
      <c r="N575" s="30" t="str">
        <f t="shared" si="3"/>
        <v>SELESAI</v>
      </c>
      <c r="O575" s="45">
        <f t="shared" si="12"/>
        <v>45653.60153</v>
      </c>
      <c r="P575" s="47" t="b">
        <v>0</v>
      </c>
      <c r="Q575" s="36" t="str">
        <f t="shared" si="19"/>
        <v/>
      </c>
      <c r="R575" s="47" t="b">
        <v>1</v>
      </c>
      <c r="S575" s="36">
        <f t="shared" si="6"/>
        <v>45653.60156</v>
      </c>
      <c r="T575" s="42"/>
    </row>
    <row r="576" ht="22.5" customHeight="1">
      <c r="B576" s="42">
        <f t="shared" si="7"/>
        <v>570</v>
      </c>
      <c r="C576" s="31" t="s">
        <v>748</v>
      </c>
      <c r="D576" s="34" t="str">
        <f t="array" ref="D576">IFNA(_xlfn.XLOOKUP(C576,Table_Tarikan_Warkah[Nomor Sertipikat],Table_Tarikan_Warkah[Nomor Tiket]),"")</f>
        <v>K/13/181224/1</v>
      </c>
      <c r="E576" s="36">
        <f t="array" ref="E576">IFNA(_xlfn.XLOOKUP(D576,Table_Tarikan_Warkah[Nomor Tiket],Table_Tarikan_Warkah[Tanggal diserahkan kepada Validator]),"")</f>
        <v>45687.41443</v>
      </c>
      <c r="F576" s="36" t="str">
        <f t="array" ref="F576">IFNA(_xlfn.XLOOKUP(D576,Table_Tarikan_Warkah[Nomor Tiket],Table_Tarikan_Warkah[Nama Petugas Warkah]),"")</f>
        <v/>
      </c>
      <c r="G576" s="39" t="str">
        <f t="array" ref="G576">IFNA(_xlfn.XLOOKUP(D576,Table_Tarikan_Warkah[Nomor Tiket],Table_Tarikan_Warkah[Jenis Permohonan]),"")</f>
        <v>ROYA</v>
      </c>
      <c r="H576" s="41" t="s">
        <v>11</v>
      </c>
      <c r="I576" s="41" t="s">
        <v>12</v>
      </c>
      <c r="J576" s="36">
        <f t="shared" si="17"/>
        <v>45646.65096</v>
      </c>
      <c r="K576" s="41" t="s">
        <v>197</v>
      </c>
      <c r="L576" s="41" t="s">
        <v>12</v>
      </c>
      <c r="M576" s="36">
        <f t="shared" si="18"/>
        <v>45653.60064</v>
      </c>
      <c r="N576" s="30" t="str">
        <f t="shared" si="3"/>
        <v>SELESAI</v>
      </c>
      <c r="O576" s="45">
        <f t="shared" si="12"/>
        <v>45653.60064</v>
      </c>
      <c r="P576" s="47" t="b">
        <v>0</v>
      </c>
      <c r="Q576" s="36" t="str">
        <f t="shared" si="19"/>
        <v/>
      </c>
      <c r="R576" s="47" t="b">
        <v>1</v>
      </c>
      <c r="S576" s="36">
        <f t="shared" si="6"/>
        <v>45653.60066</v>
      </c>
      <c r="T576" s="42"/>
    </row>
    <row r="577" ht="22.5" customHeight="1">
      <c r="B577" s="42">
        <f t="shared" si="7"/>
        <v>571</v>
      </c>
      <c r="C577" s="31" t="s">
        <v>78</v>
      </c>
      <c r="D577" s="34" t="str">
        <f t="array" ref="D577">IFNA(_xlfn.XLOOKUP(C577,Table_Tarikan_Warkah[Nomor Sertipikat],Table_Tarikan_Warkah[Nomor Tiket]),"")</f>
        <v>K/13/171224/1</v>
      </c>
      <c r="E577" s="36" t="str">
        <f t="array" ref="E577">IFNA(_xlfn.XLOOKUP(D577,Table_Tarikan_Warkah[Nomor Tiket],Table_Tarikan_Warkah[Tanggal diserahkan kepada Validator]),"")</f>
        <v/>
      </c>
      <c r="F577" s="36" t="str">
        <f t="array" ref="F577">IFNA(_xlfn.XLOOKUP(D577,Table_Tarikan_Warkah[Nomor Tiket],Table_Tarikan_Warkah[Nama Petugas Warkah]),"")</f>
        <v>David</v>
      </c>
      <c r="G577" s="39" t="str">
        <f t="array" ref="G577">IFNA(_xlfn.XLOOKUP(D577,Table_Tarikan_Warkah[Nomor Tiket],Table_Tarikan_Warkah[Jenis Permohonan]),"")</f>
        <v>ROYA</v>
      </c>
      <c r="H577" s="41" t="s">
        <v>20</v>
      </c>
      <c r="I577" s="41" t="s">
        <v>23</v>
      </c>
      <c r="J577" s="36">
        <f t="shared" si="17"/>
        <v>45646.69448</v>
      </c>
      <c r="K577" s="41" t="s">
        <v>26</v>
      </c>
      <c r="L577" s="41" t="s">
        <v>23</v>
      </c>
      <c r="M577" s="36">
        <f t="shared" si="18"/>
        <v>45664.36144</v>
      </c>
      <c r="N577" s="30" t="str">
        <f t="shared" si="3"/>
        <v>Selesai</v>
      </c>
      <c r="O577" s="45">
        <f t="shared" si="12"/>
        <v>45664.36144</v>
      </c>
      <c r="P577" s="47" t="b">
        <v>1</v>
      </c>
      <c r="Q577" s="36">
        <f t="shared" si="19"/>
        <v>45664.36144</v>
      </c>
      <c r="R577" s="47" t="b">
        <v>0</v>
      </c>
      <c r="S577" s="42" t="str">
        <f t="shared" si="6"/>
        <v/>
      </c>
      <c r="T577" s="42"/>
    </row>
    <row r="578" ht="22.5" customHeight="1">
      <c r="B578" s="42">
        <f t="shared" si="7"/>
        <v>572</v>
      </c>
      <c r="C578" s="31" t="s">
        <v>80</v>
      </c>
      <c r="D578" s="34" t="str">
        <f t="array" ref="D578">IFNA(_xlfn.XLOOKUP(C578,Table_Tarikan_Warkah[Nomor Sertipikat],Table_Tarikan_Warkah[Nomor Tiket]),"")</f>
        <v>K/8/061224/1</v>
      </c>
      <c r="E578" s="36" t="str">
        <f t="array" ref="E578">IFNA(_xlfn.XLOOKUP(D578,Table_Tarikan_Warkah[Nomor Tiket],Table_Tarikan_Warkah[Tanggal diserahkan kepada Validator]),"")</f>
        <v/>
      </c>
      <c r="F578" s="36" t="str">
        <f t="array" ref="F578">IFNA(_xlfn.XLOOKUP(D578,Table_Tarikan_Warkah[Nomor Tiket],Table_Tarikan_Warkah[Nama Petugas Warkah]),"")</f>
        <v>Berry</v>
      </c>
      <c r="G578" s="39" t="str">
        <f t="array" ref="G578">IFNA(_xlfn.XLOOKUP(D578,Table_Tarikan_Warkah[Nomor Tiket],Table_Tarikan_Warkah[Jenis Permohonan]),"")</f>
        <v>BN HIBAH</v>
      </c>
      <c r="H578" s="41" t="s">
        <v>20</v>
      </c>
      <c r="I578" s="41" t="s">
        <v>23</v>
      </c>
      <c r="J578" s="36">
        <f t="shared" si="17"/>
        <v>45649.36225</v>
      </c>
      <c r="K578" s="41" t="s">
        <v>26</v>
      </c>
      <c r="L578" s="41" t="s">
        <v>23</v>
      </c>
      <c r="M578" s="36">
        <f t="shared" si="18"/>
        <v>45664.36144</v>
      </c>
      <c r="N578" s="30" t="str">
        <f t="shared" si="3"/>
        <v>Selesai</v>
      </c>
      <c r="O578" s="45">
        <f t="shared" si="12"/>
        <v>45664.36144</v>
      </c>
      <c r="P578" s="47" t="b">
        <v>1</v>
      </c>
      <c r="Q578" s="36">
        <f t="shared" si="19"/>
        <v>45664.36144</v>
      </c>
      <c r="R578" s="47" t="b">
        <v>0</v>
      </c>
      <c r="S578" s="42" t="str">
        <f t="shared" si="6"/>
        <v/>
      </c>
      <c r="T578" s="42"/>
    </row>
    <row r="579" ht="22.5" customHeight="1">
      <c r="B579" s="42">
        <f t="shared" si="7"/>
        <v>573</v>
      </c>
      <c r="C579" s="31" t="s">
        <v>84</v>
      </c>
      <c r="D579" s="34" t="str">
        <f t="array" ref="D579">IFNA(_xlfn.XLOOKUP(C579,Table_Tarikan_Warkah[Nomor Sertipikat],Table_Tarikan_Warkah[Nomor Tiket]),"")</f>
        <v>K/12/181224/1</v>
      </c>
      <c r="E579" s="36" t="str">
        <f t="array" ref="E579">IFNA(_xlfn.XLOOKUP(D579,Table_Tarikan_Warkah[Nomor Tiket],Table_Tarikan_Warkah[Tanggal diserahkan kepada Validator]),"")</f>
        <v/>
      </c>
      <c r="F579" s="36" t="str">
        <f t="array" ref="F579">IFNA(_xlfn.XLOOKUP(D579,Table_Tarikan_Warkah[Nomor Tiket],Table_Tarikan_Warkah[Nama Petugas Warkah]),"")</f>
        <v/>
      </c>
      <c r="G579" s="39" t="str">
        <f t="array" ref="G579">IFNA(_xlfn.XLOOKUP(D579,Table_Tarikan_Warkah[Nomor Tiket],Table_Tarikan_Warkah[Jenis Permohonan]),"")</f>
        <v>S. Hilang</v>
      </c>
      <c r="H579" s="41" t="s">
        <v>20</v>
      </c>
      <c r="I579" s="41" t="s">
        <v>23</v>
      </c>
      <c r="J579" s="36">
        <f t="shared" si="17"/>
        <v>45649.37045</v>
      </c>
      <c r="K579" s="41" t="s">
        <v>26</v>
      </c>
      <c r="L579" s="41" t="s">
        <v>23</v>
      </c>
      <c r="M579" s="36">
        <f t="shared" si="18"/>
        <v>45664.36144</v>
      </c>
      <c r="N579" s="30" t="str">
        <f t="shared" si="3"/>
        <v>Selesai</v>
      </c>
      <c r="O579" s="45">
        <f t="shared" si="12"/>
        <v>45664.36144</v>
      </c>
      <c r="P579" s="47" t="b">
        <v>1</v>
      </c>
      <c r="Q579" s="36">
        <f t="shared" si="19"/>
        <v>45664.36144</v>
      </c>
      <c r="R579" s="47" t="b">
        <v>0</v>
      </c>
      <c r="S579" s="42" t="str">
        <f t="shared" si="6"/>
        <v/>
      </c>
      <c r="T579" s="42"/>
    </row>
    <row r="580" ht="22.5" customHeight="1">
      <c r="B580" s="42">
        <f t="shared" si="7"/>
        <v>574</v>
      </c>
      <c r="C580" s="31" t="s">
        <v>86</v>
      </c>
      <c r="D580" s="34" t="str">
        <f t="array" ref="D580">IFNA(_xlfn.XLOOKUP(C580,Table_Tarikan_Warkah[Nomor Sertipikat],Table_Tarikan_Warkah[Nomor Tiket]),"")</f>
        <v>K/45/181224/1</v>
      </c>
      <c r="E580" s="36" t="str">
        <f t="array" ref="E580">IFNA(_xlfn.XLOOKUP(D580,Table_Tarikan_Warkah[Nomor Tiket],Table_Tarikan_Warkah[Tanggal diserahkan kepada Validator]),"")</f>
        <v/>
      </c>
      <c r="F580" s="36" t="str">
        <f t="array" ref="F580">IFNA(_xlfn.XLOOKUP(D580,Table_Tarikan_Warkah[Nomor Tiket],Table_Tarikan_Warkah[Nama Petugas Warkah]),"")</f>
        <v/>
      </c>
      <c r="G580" s="39" t="str">
        <f t="array" ref="G580">IFNA(_xlfn.XLOOKUP(D580,Table_Tarikan_Warkah[Nomor Tiket],Table_Tarikan_Warkah[Jenis Permohonan]),"")</f>
        <v>BN Jual Beli</v>
      </c>
      <c r="H580" s="41" t="s">
        <v>20</v>
      </c>
      <c r="I580" s="41" t="s">
        <v>23</v>
      </c>
      <c r="J580" s="36">
        <f t="shared" si="17"/>
        <v>45649.37173</v>
      </c>
      <c r="K580" s="41" t="s">
        <v>26</v>
      </c>
      <c r="L580" s="41" t="s">
        <v>23</v>
      </c>
      <c r="M580" s="36">
        <f t="shared" si="18"/>
        <v>45664.36144</v>
      </c>
      <c r="N580" s="30" t="str">
        <f t="shared" si="3"/>
        <v>Selesai</v>
      </c>
      <c r="O580" s="45">
        <f t="shared" si="12"/>
        <v>45664.36144</v>
      </c>
      <c r="P580" s="47" t="b">
        <v>1</v>
      </c>
      <c r="Q580" s="36">
        <f t="shared" si="19"/>
        <v>45664.36144</v>
      </c>
      <c r="R580" s="47" t="b">
        <v>0</v>
      </c>
      <c r="S580" s="42" t="str">
        <f t="shared" si="6"/>
        <v/>
      </c>
      <c r="T580" s="42"/>
    </row>
    <row r="581" ht="22.5" customHeight="1">
      <c r="B581" s="42">
        <f t="shared" si="7"/>
        <v>575</v>
      </c>
      <c r="C581" s="31" t="s">
        <v>92</v>
      </c>
      <c r="D581" s="34" t="str">
        <f t="array" ref="D581">IFNA(_xlfn.XLOOKUP(C581,Table_Tarikan_Warkah[Nomor Sertipikat],Table_Tarikan_Warkah[Nomor Tiket]),"")</f>
        <v>K/21/191224/1</v>
      </c>
      <c r="E581" s="36" t="str">
        <f t="array" ref="E581">IFNA(_xlfn.XLOOKUP(D581,Table_Tarikan_Warkah[Nomor Tiket],Table_Tarikan_Warkah[Tanggal diserahkan kepada Validator]),"")</f>
        <v/>
      </c>
      <c r="F581" s="36" t="str">
        <f t="array" ref="F581">IFNA(_xlfn.XLOOKUP(D581,Table_Tarikan_Warkah[Nomor Tiket],Table_Tarikan_Warkah[Nama Petugas Warkah]),"")</f>
        <v/>
      </c>
      <c r="G581" s="39" t="str">
        <f t="array" ref="G581">IFNA(_xlfn.XLOOKUP(D581,Table_Tarikan_Warkah[Nomor Tiket],Table_Tarikan_Warkah[Jenis Permohonan]),"")</f>
        <v>Perubahan Hak</v>
      </c>
      <c r="H581" s="41" t="s">
        <v>20</v>
      </c>
      <c r="I581" s="41" t="s">
        <v>23</v>
      </c>
      <c r="J581" s="36">
        <f t="shared" si="17"/>
        <v>45649.37896</v>
      </c>
      <c r="K581" s="41" t="s">
        <v>26</v>
      </c>
      <c r="L581" s="41" t="s">
        <v>23</v>
      </c>
      <c r="M581" s="36">
        <f t="shared" si="18"/>
        <v>45664.36144</v>
      </c>
      <c r="N581" s="30" t="str">
        <f t="shared" si="3"/>
        <v>Selesai</v>
      </c>
      <c r="O581" s="45">
        <f t="shared" si="12"/>
        <v>45664.36144</v>
      </c>
      <c r="P581" s="47" t="b">
        <v>1</v>
      </c>
      <c r="Q581" s="36">
        <f t="shared" si="19"/>
        <v>45664.36144</v>
      </c>
      <c r="R581" s="47" t="b">
        <v>0</v>
      </c>
      <c r="S581" s="42" t="str">
        <f t="shared" si="6"/>
        <v/>
      </c>
      <c r="T581" s="42"/>
    </row>
    <row r="582" ht="22.5" customHeight="1">
      <c r="B582" s="42">
        <f t="shared" si="7"/>
        <v>576</v>
      </c>
      <c r="C582" s="31" t="s">
        <v>95</v>
      </c>
      <c r="D582" s="34" t="str">
        <f t="array" ref="D582">IFNA(_xlfn.XLOOKUP(C582,Table_Tarikan_Warkah[Nomor Sertipikat],Table_Tarikan_Warkah[Nomor Tiket]),"")</f>
        <v>L/31/101224/1</v>
      </c>
      <c r="E582" s="36">
        <f t="array" ref="E582">IFNA(_xlfn.XLOOKUP(D582,Table_Tarikan_Warkah[Nomor Tiket],Table_Tarikan_Warkah[Tanggal diserahkan kepada Validator]),"")</f>
        <v>45715.4006</v>
      </c>
      <c r="F582" s="36" t="str">
        <f t="array" ref="F582">IFNA(_xlfn.XLOOKUP(D582,Table_Tarikan_Warkah[Nomor Tiket],Table_Tarikan_Warkah[Nama Petugas Warkah]),"")</f>
        <v>David</v>
      </c>
      <c r="G582" s="39" t="str">
        <f t="array" ref="G582">IFNA(_xlfn.XLOOKUP(D582,Table_Tarikan_Warkah[Nomor Tiket],Table_Tarikan_Warkah[Jenis Permohonan]),"")</f>
        <v>ROYA</v>
      </c>
      <c r="H582" s="41" t="s">
        <v>20</v>
      </c>
      <c r="I582" s="41" t="s">
        <v>23</v>
      </c>
      <c r="J582" s="36">
        <f t="shared" si="17"/>
        <v>45649.42391</v>
      </c>
      <c r="K582" s="41" t="s">
        <v>26</v>
      </c>
      <c r="L582" s="41" t="s">
        <v>23</v>
      </c>
      <c r="M582" s="36">
        <f t="shared" si="18"/>
        <v>45664.36144</v>
      </c>
      <c r="N582" s="30" t="str">
        <f t="shared" si="3"/>
        <v>Selesai</v>
      </c>
      <c r="O582" s="45">
        <f t="shared" si="12"/>
        <v>45664.36144</v>
      </c>
      <c r="P582" s="47" t="b">
        <v>1</v>
      </c>
      <c r="Q582" s="36">
        <f t="shared" si="19"/>
        <v>45664.36144</v>
      </c>
      <c r="R582" s="47" t="b">
        <v>0</v>
      </c>
      <c r="S582" s="42" t="str">
        <f t="shared" si="6"/>
        <v/>
      </c>
      <c r="T582" s="42"/>
    </row>
    <row r="583" ht="22.5" customHeight="1">
      <c r="B583" s="42">
        <f t="shared" si="7"/>
        <v>577</v>
      </c>
      <c r="C583" s="31" t="s">
        <v>98</v>
      </c>
      <c r="D583" s="34" t="str">
        <f t="array" ref="D583">IFNA(_xlfn.XLOOKUP(C583,Table_Tarikan_Warkah[Nomor Sertipikat],Table_Tarikan_Warkah[Nomor Tiket]),"")</f>
        <v>K/20/121224/1</v>
      </c>
      <c r="E583" s="36" t="str">
        <f t="array" ref="E583">IFNA(_xlfn.XLOOKUP(D583,Table_Tarikan_Warkah[Nomor Tiket],Table_Tarikan_Warkah[Tanggal diserahkan kepada Validator]),"")</f>
        <v/>
      </c>
      <c r="F583" s="36" t="str">
        <f t="array" ref="F583">IFNA(_xlfn.XLOOKUP(D583,Table_Tarikan_Warkah[Nomor Tiket],Table_Tarikan_Warkah[Nama Petugas Warkah]),"")</f>
        <v>David</v>
      </c>
      <c r="G583" s="39" t="str">
        <f t="array" ref="G583">IFNA(_xlfn.XLOOKUP(D583,Table_Tarikan_Warkah[Nomor Tiket],Table_Tarikan_Warkah[Jenis Permohonan]),"")</f>
        <v>BN Jual Beliq</v>
      </c>
      <c r="H583" s="41" t="s">
        <v>20</v>
      </c>
      <c r="I583" s="41" t="s">
        <v>23</v>
      </c>
      <c r="J583" s="36">
        <f t="shared" si="17"/>
        <v>45649.43676</v>
      </c>
      <c r="K583" s="41" t="s">
        <v>26</v>
      </c>
      <c r="L583" s="41" t="s">
        <v>23</v>
      </c>
      <c r="M583" s="36">
        <f t="shared" si="18"/>
        <v>45664.36144</v>
      </c>
      <c r="N583" s="30" t="str">
        <f t="shared" si="3"/>
        <v>Selesai</v>
      </c>
      <c r="O583" s="45">
        <f t="shared" si="12"/>
        <v>45664.36144</v>
      </c>
      <c r="P583" s="47" t="b">
        <v>1</v>
      </c>
      <c r="Q583" s="36">
        <f t="shared" si="19"/>
        <v>45664.36144</v>
      </c>
      <c r="R583" s="47" t="b">
        <v>0</v>
      </c>
      <c r="S583" s="42" t="str">
        <f t="shared" si="6"/>
        <v/>
      </c>
      <c r="T583" s="42"/>
    </row>
    <row r="584" ht="22.5" customHeight="1">
      <c r="B584" s="42">
        <f t="shared" si="7"/>
        <v>578</v>
      </c>
      <c r="C584" s="31" t="s">
        <v>100</v>
      </c>
      <c r="D584" s="34" t="str">
        <f t="array" ref="D584">IFNA(_xlfn.XLOOKUP(C584,Table_Tarikan_Warkah[Nomor Sertipikat],Table_Tarikan_Warkah[Nomor Tiket]),"")</f>
        <v>K/28/191224/2</v>
      </c>
      <c r="E584" s="36" t="str">
        <f t="array" ref="E584">IFNA(_xlfn.XLOOKUP(D584,Table_Tarikan_Warkah[Nomor Tiket],Table_Tarikan_Warkah[Tanggal diserahkan kepada Validator]),"")</f>
        <v/>
      </c>
      <c r="F584" s="36" t="str">
        <f t="array" ref="F584">IFNA(_xlfn.XLOOKUP(D584,Table_Tarikan_Warkah[Nomor Tiket],Table_Tarikan_Warkah[Nama Petugas Warkah]),"")</f>
        <v/>
      </c>
      <c r="G584" s="39" t="str">
        <f t="array" ref="G584">IFNA(_xlfn.XLOOKUP(D584,Table_Tarikan_Warkah[Nomor Tiket],Table_Tarikan_Warkah[Jenis Permohonan]),"")</f>
        <v>BN Jual Beli</v>
      </c>
      <c r="H584" s="41" t="s">
        <v>20</v>
      </c>
      <c r="I584" s="41" t="s">
        <v>23</v>
      </c>
      <c r="J584" s="36">
        <f t="shared" si="17"/>
        <v>45649.45082</v>
      </c>
      <c r="K584" s="41" t="s">
        <v>26</v>
      </c>
      <c r="L584" s="41" t="s">
        <v>23</v>
      </c>
      <c r="M584" s="36">
        <f t="shared" si="18"/>
        <v>45664.36144</v>
      </c>
      <c r="N584" s="30" t="str">
        <f t="shared" si="3"/>
        <v>Selesai</v>
      </c>
      <c r="O584" s="45">
        <f t="shared" si="12"/>
        <v>45664.36144</v>
      </c>
      <c r="P584" s="47" t="b">
        <v>1</v>
      </c>
      <c r="Q584" s="36">
        <f t="shared" si="19"/>
        <v>45664.36144</v>
      </c>
      <c r="R584" s="47" t="b">
        <v>0</v>
      </c>
      <c r="S584" s="42" t="str">
        <f t="shared" si="6"/>
        <v/>
      </c>
      <c r="T584" s="42"/>
    </row>
    <row r="585" ht="22.5" customHeight="1">
      <c r="B585" s="42">
        <f t="shared" si="7"/>
        <v>579</v>
      </c>
      <c r="C585" s="31" t="s">
        <v>749</v>
      </c>
      <c r="D585" s="34" t="str">
        <f t="array" ref="D585">IFNA(_xlfn.XLOOKUP(C585,Table_Tarikan_Warkah[Nomor Sertipikat],Table_Tarikan_Warkah[Nomor Tiket]),"")</f>
        <v>K/13/121224/1</v>
      </c>
      <c r="E585" s="36" t="str">
        <f t="array" ref="E585">IFNA(_xlfn.XLOOKUP(D585,Table_Tarikan_Warkah[Nomor Tiket],Table_Tarikan_Warkah[Tanggal diserahkan kepada Validator]),"")</f>
        <v/>
      </c>
      <c r="F585" s="36" t="str">
        <f t="array" ref="F585">IFNA(_xlfn.XLOOKUP(D585,Table_Tarikan_Warkah[Nomor Tiket],Table_Tarikan_Warkah[Nama Petugas Warkah]),"")</f>
        <v>David</v>
      </c>
      <c r="G585" s="39" t="str">
        <f t="array" ref="G585">IFNA(_xlfn.XLOOKUP(D585,Table_Tarikan_Warkah[Nomor Tiket],Table_Tarikan_Warkah[Jenis Permohonan]),"")</f>
        <v>BN Jual Beli</v>
      </c>
      <c r="H585" s="41" t="s">
        <v>20</v>
      </c>
      <c r="I585" s="41" t="s">
        <v>23</v>
      </c>
      <c r="J585" s="36">
        <f t="shared" si="17"/>
        <v>45649.4594</v>
      </c>
      <c r="K585" s="41" t="s">
        <v>26</v>
      </c>
      <c r="L585" s="41" t="s">
        <v>23</v>
      </c>
      <c r="M585" s="36">
        <f t="shared" si="18"/>
        <v>45649.45946</v>
      </c>
      <c r="N585" s="30" t="str">
        <f t="shared" si="3"/>
        <v>Selesai</v>
      </c>
      <c r="O585" s="45">
        <f t="shared" si="12"/>
        <v>45649.45946</v>
      </c>
      <c r="P585" s="47" t="b">
        <v>1</v>
      </c>
      <c r="Q585" s="36">
        <f t="shared" si="19"/>
        <v>45649.4595</v>
      </c>
      <c r="R585" s="47" t="b">
        <v>0</v>
      </c>
      <c r="S585" s="42" t="str">
        <f t="shared" si="6"/>
        <v/>
      </c>
      <c r="T585" s="42"/>
    </row>
    <row r="586" ht="22.5" customHeight="1">
      <c r="B586" s="42">
        <f t="shared" si="7"/>
        <v>580</v>
      </c>
      <c r="C586" s="31" t="s">
        <v>750</v>
      </c>
      <c r="D586" s="34" t="str">
        <f t="array" ref="D586">IFNA(_xlfn.XLOOKUP(C586,Table_Tarikan_Warkah[Nomor Sertipikat],Table_Tarikan_Warkah[Nomor Tiket]),"")</f>
        <v>K/38/191224/5</v>
      </c>
      <c r="E586" s="36" t="str">
        <f t="array" ref="E586">IFNA(_xlfn.XLOOKUP(D586,Table_Tarikan_Warkah[Nomor Tiket],Table_Tarikan_Warkah[Tanggal diserahkan kepada Validator]),"")</f>
        <v/>
      </c>
      <c r="F586" s="36" t="str">
        <f t="array" ref="F586">IFNA(_xlfn.XLOOKUP(D586,Table_Tarikan_Warkah[Nomor Tiket],Table_Tarikan_Warkah[Nama Petugas Warkah]),"")</f>
        <v/>
      </c>
      <c r="G586" s="39" t="str">
        <f t="array" ref="G586">IFNA(_xlfn.XLOOKUP(D586,Table_Tarikan_Warkah[Nomor Tiket],Table_Tarikan_Warkah[Jenis Permohonan]),"")</f>
        <v>BN Jual Beli</v>
      </c>
      <c r="H586" s="41" t="s">
        <v>20</v>
      </c>
      <c r="I586" s="41" t="s">
        <v>23</v>
      </c>
      <c r="J586" s="36">
        <f t="shared" si="17"/>
        <v>45649.46529</v>
      </c>
      <c r="K586" s="41" t="s">
        <v>26</v>
      </c>
      <c r="L586" s="41" t="s">
        <v>23</v>
      </c>
      <c r="M586" s="36">
        <f t="shared" si="18"/>
        <v>45649.46536</v>
      </c>
      <c r="N586" s="30" t="str">
        <f t="shared" si="3"/>
        <v>Selesai</v>
      </c>
      <c r="O586" s="45">
        <f t="shared" si="12"/>
        <v>45649.46536</v>
      </c>
      <c r="P586" s="47" t="b">
        <v>1</v>
      </c>
      <c r="Q586" s="36">
        <f t="shared" si="19"/>
        <v>45649.46537</v>
      </c>
      <c r="R586" s="47" t="b">
        <v>1</v>
      </c>
      <c r="S586" s="36">
        <f t="shared" si="6"/>
        <v>45653.58824</v>
      </c>
      <c r="T586" s="30" t="s">
        <v>27</v>
      </c>
    </row>
    <row r="587" ht="22.5" customHeight="1">
      <c r="B587" s="42">
        <f t="shared" si="7"/>
        <v>581</v>
      </c>
      <c r="C587" s="31" t="s">
        <v>102</v>
      </c>
      <c r="D587" s="34" t="str">
        <f t="array" ref="D587">IFNA(_xlfn.XLOOKUP(C587,Table_Tarikan_Warkah[Nomor Sertipikat],Table_Tarikan_Warkah[Nomor Tiket]),"")</f>
        <v>K/46/191224/1</v>
      </c>
      <c r="E587" s="36" t="str">
        <f t="array" ref="E587">IFNA(_xlfn.XLOOKUP(D587,Table_Tarikan_Warkah[Nomor Tiket],Table_Tarikan_Warkah[Tanggal diserahkan kepada Validator]),"")</f>
        <v/>
      </c>
      <c r="F587" s="36" t="str">
        <f t="array" ref="F587">IFNA(_xlfn.XLOOKUP(D587,Table_Tarikan_Warkah[Nomor Tiket],Table_Tarikan_Warkah[Nama Petugas Warkah]),"")</f>
        <v/>
      </c>
      <c r="G587" s="39" t="str">
        <f t="array" ref="G587">IFNA(_xlfn.XLOOKUP(D587,Table_Tarikan_Warkah[Nomor Tiket],Table_Tarikan_Warkah[Jenis Permohonan]),"")</f>
        <v>BN JUAL BELI</v>
      </c>
      <c r="H587" s="41" t="s">
        <v>20</v>
      </c>
      <c r="I587" s="41" t="s">
        <v>23</v>
      </c>
      <c r="J587" s="36">
        <f t="shared" si="17"/>
        <v>45649.47582</v>
      </c>
      <c r="K587" s="49" t="s">
        <v>26</v>
      </c>
      <c r="L587" s="49" t="s">
        <v>23</v>
      </c>
      <c r="M587" s="36">
        <f t="shared" si="18"/>
        <v>45664.36144</v>
      </c>
      <c r="N587" s="30" t="str">
        <f t="shared" si="3"/>
        <v>Selesai</v>
      </c>
      <c r="O587" s="45">
        <f t="shared" si="12"/>
        <v>45664.36144</v>
      </c>
      <c r="P587" s="47" t="b">
        <v>1</v>
      </c>
      <c r="Q587" s="36">
        <f t="shared" si="19"/>
        <v>45664.36144</v>
      </c>
      <c r="R587" s="47" t="b">
        <v>0</v>
      </c>
      <c r="S587" s="42" t="str">
        <f t="shared" si="6"/>
        <v/>
      </c>
      <c r="T587" s="42"/>
    </row>
    <row r="588" ht="22.5" customHeight="1">
      <c r="B588" s="42">
        <f t="shared" si="7"/>
        <v>582</v>
      </c>
      <c r="C588" s="31" t="s">
        <v>104</v>
      </c>
      <c r="D588" s="42" t="s">
        <v>105</v>
      </c>
      <c r="E588" s="36" t="str">
        <f t="array" ref="E588">IFNA(_xlfn.XLOOKUP(D588,Table_Tarikan_Warkah[Nomor Tiket],Table_Tarikan_Warkah[Tanggal diserahkan kepada Validator]),"")</f>
        <v/>
      </c>
      <c r="F588" s="36" t="str">
        <f t="array" ref="F588">IFNA(_xlfn.XLOOKUP(D588,Table_Tarikan_Warkah[Nomor Tiket],Table_Tarikan_Warkah[Nama Petugas Warkah]),"")</f>
        <v/>
      </c>
      <c r="G588" s="39" t="str">
        <f t="array" ref="G588">IFNA(_xlfn.XLOOKUP(D588,Table_Tarikan_Warkah[Nomor Tiket],Table_Tarikan_Warkah[Jenis Permohonan]),"")</f>
        <v>PEMECAHAN</v>
      </c>
      <c r="H588" s="41" t="s">
        <v>20</v>
      </c>
      <c r="I588" s="41" t="s">
        <v>23</v>
      </c>
      <c r="J588" s="36">
        <f t="shared" si="17"/>
        <v>45649.47902</v>
      </c>
      <c r="K588" s="49" t="s">
        <v>26</v>
      </c>
      <c r="L588" s="49" t="s">
        <v>23</v>
      </c>
      <c r="M588" s="36">
        <f t="shared" si="18"/>
        <v>45664.36144</v>
      </c>
      <c r="N588" s="30" t="str">
        <f t="shared" si="3"/>
        <v>Selesai</v>
      </c>
      <c r="O588" s="45">
        <f t="shared" si="12"/>
        <v>45664.36144</v>
      </c>
      <c r="P588" s="47" t="b">
        <v>1</v>
      </c>
      <c r="Q588" s="36">
        <f t="shared" si="19"/>
        <v>45664.36144</v>
      </c>
      <c r="R588" s="47" t="b">
        <v>1</v>
      </c>
      <c r="S588" s="36">
        <f t="shared" si="6"/>
        <v>45653.58693</v>
      </c>
      <c r="T588" s="30" t="s">
        <v>27</v>
      </c>
    </row>
    <row r="589" ht="22.5" customHeight="1">
      <c r="B589" s="42">
        <f t="shared" si="7"/>
        <v>583</v>
      </c>
      <c r="C589" s="31" t="s">
        <v>751</v>
      </c>
      <c r="D589" s="34" t="str">
        <f t="array" ref="D589">IFNA(_xlfn.XLOOKUP(C589,Table_Tarikan_Warkah[Nomor Sertipikat],Table_Tarikan_Warkah[Nomor Tiket]),"")</f>
        <v>K/35/191224/1</v>
      </c>
      <c r="E589" s="36" t="str">
        <f t="array" ref="E589">IFNA(_xlfn.XLOOKUP(D589,Table_Tarikan_Warkah[Nomor Tiket],Table_Tarikan_Warkah[Tanggal diserahkan kepada Validator]),"")</f>
        <v/>
      </c>
      <c r="F589" s="36" t="str">
        <f t="array" ref="F589">IFNA(_xlfn.XLOOKUP(D589,Table_Tarikan_Warkah[Nomor Tiket],Table_Tarikan_Warkah[Nama Petugas Warkah]),"")</f>
        <v/>
      </c>
      <c r="G589" s="39" t="str">
        <f t="array" ref="G589">IFNA(_xlfn.XLOOKUP(D589,Table_Tarikan_Warkah[Nomor Tiket],Table_Tarikan_Warkah[Jenis Permohonan]),"")</f>
        <v>BN Jual Beli</v>
      </c>
      <c r="H589" s="41" t="s">
        <v>20</v>
      </c>
      <c r="I589" s="41" t="s">
        <v>23</v>
      </c>
      <c r="J589" s="36">
        <f t="shared" si="17"/>
        <v>45649.48952</v>
      </c>
      <c r="K589" s="41" t="s">
        <v>26</v>
      </c>
      <c r="L589" s="41" t="s">
        <v>23</v>
      </c>
      <c r="M589" s="36">
        <f t="shared" si="18"/>
        <v>45649.48957</v>
      </c>
      <c r="N589" s="30" t="str">
        <f t="shared" si="3"/>
        <v>Selesai</v>
      </c>
      <c r="O589" s="45">
        <f t="shared" si="12"/>
        <v>45649.48957</v>
      </c>
      <c r="P589" s="47" t="b">
        <v>1</v>
      </c>
      <c r="Q589" s="36">
        <f t="shared" si="19"/>
        <v>45649.48958</v>
      </c>
      <c r="R589" s="47" t="b">
        <v>0</v>
      </c>
      <c r="S589" s="42" t="str">
        <f t="shared" si="6"/>
        <v/>
      </c>
      <c r="T589" s="42"/>
    </row>
    <row r="590" ht="22.5" customHeight="1">
      <c r="B590" s="42">
        <f t="shared" si="7"/>
        <v>584</v>
      </c>
      <c r="C590" s="31" t="s">
        <v>109</v>
      </c>
      <c r="D590" s="34" t="str">
        <f t="array" ref="D590">IFNA(_xlfn.XLOOKUP(C590,Table_Tarikan_Warkah[Nomor Sertipikat],Table_Tarikan_Warkah[Nomor Tiket]),"")</f>
        <v>L/29/131224/1</v>
      </c>
      <c r="E590" s="36" t="str">
        <f t="array" ref="E590">IFNA(_xlfn.XLOOKUP(D590,Table_Tarikan_Warkah[Nomor Tiket],Table_Tarikan_Warkah[Tanggal diserahkan kepada Validator]),"")</f>
        <v/>
      </c>
      <c r="F590" s="36" t="str">
        <f t="array" ref="F590">IFNA(_xlfn.XLOOKUP(D590,Table_Tarikan_Warkah[Nomor Tiket],Table_Tarikan_Warkah[Nama Petugas Warkah]),"")</f>
        <v>Berry</v>
      </c>
      <c r="G590" s="39" t="str">
        <f t="array" ref="G590">IFNA(_xlfn.XLOOKUP(D590,Table_Tarikan_Warkah[Nomor Tiket],Table_Tarikan_Warkah[Jenis Permohonan]),"")</f>
        <v>BN JUAL - BELI</v>
      </c>
      <c r="H590" s="41" t="s">
        <v>11</v>
      </c>
      <c r="I590" s="41" t="s">
        <v>23</v>
      </c>
      <c r="J590" s="36">
        <f t="shared" si="17"/>
        <v>45649.56233</v>
      </c>
      <c r="K590" s="49" t="s">
        <v>26</v>
      </c>
      <c r="L590" s="49" t="s">
        <v>23</v>
      </c>
      <c r="M590" s="36">
        <f t="shared" si="18"/>
        <v>45664.36144</v>
      </c>
      <c r="N590" s="30" t="str">
        <f t="shared" si="3"/>
        <v>Selesai</v>
      </c>
      <c r="O590" s="45">
        <f t="shared" si="12"/>
        <v>45664.36144</v>
      </c>
      <c r="P590" s="47" t="b">
        <v>1</v>
      </c>
      <c r="Q590" s="36">
        <f t="shared" si="19"/>
        <v>45664.36144</v>
      </c>
      <c r="R590" s="47" t="b">
        <v>0</v>
      </c>
      <c r="S590" s="42" t="str">
        <f t="shared" si="6"/>
        <v/>
      </c>
      <c r="T590" s="42"/>
    </row>
    <row r="591" ht="22.5" customHeight="1">
      <c r="B591" s="42">
        <f t="shared" si="7"/>
        <v>585</v>
      </c>
      <c r="C591" s="31" t="s">
        <v>114</v>
      </c>
      <c r="D591" s="34" t="str">
        <f t="array" ref="D591">IFNA(_xlfn.XLOOKUP(C591,Table_Tarikan_Warkah[Nomor Sertipikat],Table_Tarikan_Warkah[Nomor Tiket]),"")</f>
        <v>K/11/161224/2</v>
      </c>
      <c r="E591" s="36" t="str">
        <f t="array" ref="E591">IFNA(_xlfn.XLOOKUP(D591,Table_Tarikan_Warkah[Nomor Tiket],Table_Tarikan_Warkah[Tanggal diserahkan kepada Validator]),"")</f>
        <v/>
      </c>
      <c r="F591" s="36" t="str">
        <f t="array" ref="F591">IFNA(_xlfn.XLOOKUP(D591,Table_Tarikan_Warkah[Nomor Tiket],Table_Tarikan_Warkah[Nama Petugas Warkah]),"")</f>
        <v/>
      </c>
      <c r="G591" s="39" t="str">
        <f t="array" ref="G591">IFNA(_xlfn.XLOOKUP(D591,Table_Tarikan_Warkah[Nomor Tiket],Table_Tarikan_Warkah[Jenis Permohonan]),"")</f>
        <v>SKPT LELANG</v>
      </c>
      <c r="H591" s="41" t="s">
        <v>11</v>
      </c>
      <c r="I591" s="41" t="s">
        <v>23</v>
      </c>
      <c r="J591" s="36">
        <f t="shared" si="17"/>
        <v>45649.56233</v>
      </c>
      <c r="K591" s="49" t="s">
        <v>26</v>
      </c>
      <c r="L591" s="49" t="s">
        <v>23</v>
      </c>
      <c r="M591" s="36">
        <f t="shared" si="18"/>
        <v>45664.36144</v>
      </c>
      <c r="N591" s="30" t="str">
        <f t="shared" si="3"/>
        <v>Selesai</v>
      </c>
      <c r="O591" s="45">
        <f t="shared" si="12"/>
        <v>45664.36144</v>
      </c>
      <c r="P591" s="47" t="b">
        <v>1</v>
      </c>
      <c r="Q591" s="36">
        <f t="shared" si="19"/>
        <v>45664.36144</v>
      </c>
      <c r="R591" s="47" t="b">
        <v>0</v>
      </c>
      <c r="S591" s="42" t="str">
        <f t="shared" si="6"/>
        <v/>
      </c>
      <c r="T591" s="42"/>
    </row>
    <row r="592" ht="22.5" customHeight="1">
      <c r="B592" s="42">
        <f t="shared" si="7"/>
        <v>586</v>
      </c>
      <c r="C592" s="31" t="s">
        <v>752</v>
      </c>
      <c r="D592" s="34" t="str">
        <f t="array" ref="D592">IFNA(_xlfn.XLOOKUP(C592,Table_Tarikan_Warkah[Nomor Sertipikat],Table_Tarikan_Warkah[Nomor Tiket]),"")</f>
        <v>K/9/161224/1</v>
      </c>
      <c r="E592" s="36" t="str">
        <f t="array" ref="E592">IFNA(_xlfn.XLOOKUP(D592,Table_Tarikan_Warkah[Nomor Tiket],Table_Tarikan_Warkah[Tanggal diserahkan kepada Validator]),"")</f>
        <v>18/12/2024 16.31</v>
      </c>
      <c r="F592" s="36" t="str">
        <f t="array" ref="F592">IFNA(_xlfn.XLOOKUP(D592,Table_Tarikan_Warkah[Nomor Tiket],Table_Tarikan_Warkah[Nama Petugas Warkah]),"")</f>
        <v>Berry</v>
      </c>
      <c r="G592" s="39" t="str">
        <f t="array" ref="G592">IFNA(_xlfn.XLOOKUP(D592,Table_Tarikan_Warkah[Nomor Tiket],Table_Tarikan_Warkah[Jenis Permohonan]),"")</f>
        <v>Roya</v>
      </c>
      <c r="H592" s="41" t="s">
        <v>11</v>
      </c>
      <c r="I592" s="41" t="s">
        <v>12</v>
      </c>
      <c r="J592" s="36">
        <f t="shared" si="17"/>
        <v>45649.56247</v>
      </c>
      <c r="K592" s="41" t="s">
        <v>197</v>
      </c>
      <c r="L592" s="41" t="s">
        <v>12</v>
      </c>
      <c r="M592" s="36">
        <f t="shared" si="18"/>
        <v>45653.60009</v>
      </c>
      <c r="N592" s="30" t="str">
        <f t="shared" si="3"/>
        <v>SELESAI</v>
      </c>
      <c r="O592" s="45">
        <f t="shared" si="12"/>
        <v>45653.60009</v>
      </c>
      <c r="P592" s="47" t="b">
        <v>0</v>
      </c>
      <c r="Q592" s="36" t="str">
        <f t="shared" si="19"/>
        <v/>
      </c>
      <c r="R592" s="47" t="b">
        <v>1</v>
      </c>
      <c r="S592" s="36">
        <f t="shared" si="6"/>
        <v>45653.60012</v>
      </c>
      <c r="T592" s="42"/>
    </row>
    <row r="593" ht="22.5" customHeight="1">
      <c r="B593" s="42">
        <f t="shared" si="7"/>
        <v>587</v>
      </c>
      <c r="C593" s="31" t="s">
        <v>753</v>
      </c>
      <c r="D593" s="34" t="str">
        <f t="array" ref="D593">IFNA(_xlfn.XLOOKUP(C593,Table_Tarikan_Warkah[Nomor Sertipikat],Table_Tarikan_Warkah[Nomor Tiket]),"")</f>
        <v>K/25/161224/1</v>
      </c>
      <c r="E593" s="36">
        <f t="array" ref="E593">IFNA(_xlfn.XLOOKUP(D593,Table_Tarikan_Warkah[Nomor Tiket],Table_Tarikan_Warkah[Tanggal diserahkan kepada Validator]),"")</f>
        <v>45769.60071</v>
      </c>
      <c r="F593" s="36" t="str">
        <f t="array" ref="F593">IFNA(_xlfn.XLOOKUP(D593,Table_Tarikan_Warkah[Nomor Tiket],Table_Tarikan_Warkah[Nama Petugas Warkah]),"")</f>
        <v>Berry</v>
      </c>
      <c r="G593" s="39" t="str">
        <f t="array" ref="G593">IFNA(_xlfn.XLOOKUP(D593,Table_Tarikan_Warkah[Nomor Tiket],Table_Tarikan_Warkah[Jenis Permohonan]),"")</f>
        <v>ROYA</v>
      </c>
      <c r="H593" s="41" t="s">
        <v>20</v>
      </c>
      <c r="I593" s="41" t="s">
        <v>23</v>
      </c>
      <c r="J593" s="36">
        <f t="shared" si="17"/>
        <v>45649.58037</v>
      </c>
      <c r="K593" s="41" t="s">
        <v>26</v>
      </c>
      <c r="L593" s="41" t="s">
        <v>23</v>
      </c>
      <c r="M593" s="36">
        <f t="shared" si="18"/>
        <v>45649.58045</v>
      </c>
      <c r="N593" s="30" t="str">
        <f t="shared" si="3"/>
        <v>Selesai</v>
      </c>
      <c r="O593" s="45">
        <f t="shared" si="12"/>
        <v>45649.58045</v>
      </c>
      <c r="P593" s="47" t="b">
        <v>1</v>
      </c>
      <c r="Q593" s="36">
        <f t="shared" si="19"/>
        <v>45649.58045</v>
      </c>
      <c r="R593" s="47" t="b">
        <v>0</v>
      </c>
      <c r="S593" s="42" t="str">
        <f t="shared" si="6"/>
        <v/>
      </c>
      <c r="T593" s="42"/>
    </row>
    <row r="594" ht="22.5" customHeight="1">
      <c r="B594" s="42">
        <f t="shared" si="7"/>
        <v>588</v>
      </c>
      <c r="C594" s="31" t="s">
        <v>122</v>
      </c>
      <c r="D594" s="34" t="str">
        <f t="array" ref="D594">IFNA(_xlfn.XLOOKUP(C594,Table_Tarikan_Warkah[Nomor Sertipikat],Table_Tarikan_Warkah[Nomor Tiket]),"")</f>
        <v>K/27/181224/1</v>
      </c>
      <c r="E594" s="36">
        <f t="array" ref="E594">IFNA(_xlfn.XLOOKUP(D594,Table_Tarikan_Warkah[Nomor Tiket],Table_Tarikan_Warkah[Tanggal diserahkan kepada Validator]),"")</f>
        <v>45664.69848</v>
      </c>
      <c r="F594" s="36" t="str">
        <f t="array" ref="F594">IFNA(_xlfn.XLOOKUP(D594,Table_Tarikan_Warkah[Nomor Tiket],Table_Tarikan_Warkah[Nama Petugas Warkah]),"")</f>
        <v>David</v>
      </c>
      <c r="G594" s="39" t="str">
        <f t="array" ref="G594">IFNA(_xlfn.XLOOKUP(D594,Table_Tarikan_Warkah[Nomor Tiket],Table_Tarikan_Warkah[Jenis Permohonan]),"")</f>
        <v>BN JUAL BELI</v>
      </c>
      <c r="H594" s="51"/>
      <c r="I594" s="51"/>
      <c r="J594" s="36" t="str">
        <f t="shared" si="17"/>
        <v/>
      </c>
      <c r="K594" s="51"/>
      <c r="L594" s="51"/>
      <c r="M594" s="36" t="str">
        <f t="shared" si="18"/>
        <v/>
      </c>
      <c r="N594" s="30" t="str">
        <f t="shared" si="3"/>
        <v>BT atau SU Belum Valid</v>
      </c>
      <c r="O594" s="39" t="str">
        <f t="shared" si="12"/>
        <v/>
      </c>
      <c r="P594" s="47" t="b">
        <v>0</v>
      </c>
      <c r="Q594" s="36" t="str">
        <f t="shared" si="19"/>
        <v/>
      </c>
      <c r="R594" s="47" t="b">
        <v>0</v>
      </c>
      <c r="S594" s="42" t="str">
        <f t="shared" si="6"/>
        <v/>
      </c>
      <c r="T594" s="42"/>
    </row>
    <row r="595" ht="22.5" customHeight="1">
      <c r="B595" s="42">
        <f t="shared" si="7"/>
        <v>589</v>
      </c>
      <c r="C595" s="31" t="s">
        <v>124</v>
      </c>
      <c r="D595" s="34" t="str">
        <f t="array" ref="D595">IFNA(_xlfn.XLOOKUP(C595,Table_Tarikan_Warkah[Nomor Sertipikat],Table_Tarikan_Warkah[Nomor Tiket]),"")</f>
        <v>K/30/281124/1</v>
      </c>
      <c r="E595" s="36" t="str">
        <f t="array" ref="E595">IFNA(_xlfn.XLOOKUP(D595,Table_Tarikan_Warkah[Nomor Tiket],Table_Tarikan_Warkah[Tanggal diserahkan kepada Validator]),"")</f>
        <v/>
      </c>
      <c r="F595" s="36" t="str">
        <f t="array" ref="F595">IFNA(_xlfn.XLOOKUP(D595,Table_Tarikan_Warkah[Nomor Tiket],Table_Tarikan_Warkah[Nama Petugas Warkah]),"")</f>
        <v>David</v>
      </c>
      <c r="G595" s="39" t="str">
        <f t="array" ref="G595">IFNA(_xlfn.XLOOKUP(D595,Table_Tarikan_Warkah[Nomor Tiket],Table_Tarikan_Warkah[Jenis Permohonan]),"")</f>
        <v>KEWARISAN</v>
      </c>
      <c r="H595" s="51"/>
      <c r="I595" s="51"/>
      <c r="J595" s="36" t="str">
        <f t="shared" si="17"/>
        <v/>
      </c>
      <c r="K595" s="51"/>
      <c r="L595" s="51"/>
      <c r="M595" s="36" t="str">
        <f t="shared" si="18"/>
        <v/>
      </c>
      <c r="N595" s="30" t="str">
        <f t="shared" si="3"/>
        <v>BT atau SU Belum Valid</v>
      </c>
      <c r="O595" s="39" t="str">
        <f t="shared" si="12"/>
        <v/>
      </c>
      <c r="P595" s="47" t="b">
        <v>0</v>
      </c>
      <c r="Q595" s="36" t="str">
        <f t="shared" si="19"/>
        <v/>
      </c>
      <c r="R595" s="47" t="b">
        <v>0</v>
      </c>
      <c r="S595" s="42" t="str">
        <f t="shared" si="6"/>
        <v/>
      </c>
      <c r="T595" s="42"/>
    </row>
    <row r="596" ht="22.5" customHeight="1">
      <c r="B596" s="42">
        <f t="shared" si="7"/>
        <v>590</v>
      </c>
      <c r="C596" s="31" t="s">
        <v>130</v>
      </c>
      <c r="D596" s="34" t="str">
        <f t="array" ref="D596">IFNA(_xlfn.XLOOKUP(C596,Table_Tarikan_Warkah[Nomor Sertipikat],Table_Tarikan_Warkah[Nomor Tiket]),"")</f>
        <v>K/49/191224/1</v>
      </c>
      <c r="E596" s="36" t="str">
        <f t="array" ref="E596">IFNA(_xlfn.XLOOKUP(D596,Table_Tarikan_Warkah[Nomor Tiket],Table_Tarikan_Warkah[Tanggal diserahkan kepada Validator]),"")</f>
        <v/>
      </c>
      <c r="F596" s="36" t="str">
        <f t="array" ref="F596">IFNA(_xlfn.XLOOKUP(D596,Table_Tarikan_Warkah[Nomor Tiket],Table_Tarikan_Warkah[Nama Petugas Warkah]),"")</f>
        <v/>
      </c>
      <c r="G596" s="39" t="str">
        <f t="array" ref="G596">IFNA(_xlfn.XLOOKUP(D596,Table_Tarikan_Warkah[Nomor Tiket],Table_Tarikan_Warkah[Jenis Permohonan]),"")</f>
        <v>BN JUAL BELI</v>
      </c>
      <c r="H596" s="41" t="s">
        <v>20</v>
      </c>
      <c r="I596" s="41" t="s">
        <v>23</v>
      </c>
      <c r="J596" s="36">
        <f t="shared" si="17"/>
        <v>45649.70483</v>
      </c>
      <c r="K596" s="41" t="s">
        <v>26</v>
      </c>
      <c r="L596" s="41" t="s">
        <v>23</v>
      </c>
      <c r="M596" s="36">
        <f t="shared" si="18"/>
        <v>45664.36209</v>
      </c>
      <c r="N596" s="30" t="str">
        <f t="shared" si="3"/>
        <v>Selesai</v>
      </c>
      <c r="O596" s="45">
        <f t="shared" si="12"/>
        <v>45664.36209</v>
      </c>
      <c r="P596" s="47" t="b">
        <v>1</v>
      </c>
      <c r="Q596" s="36">
        <f t="shared" si="19"/>
        <v>45664.36216</v>
      </c>
      <c r="R596" s="47" t="b">
        <v>1</v>
      </c>
      <c r="S596" s="36">
        <f t="shared" si="6"/>
        <v>45653.58723</v>
      </c>
      <c r="T596" s="30" t="s">
        <v>27</v>
      </c>
    </row>
    <row r="597" ht="22.5" customHeight="1">
      <c r="B597" s="42">
        <f t="shared" si="7"/>
        <v>591</v>
      </c>
      <c r="C597" s="31" t="s">
        <v>132</v>
      </c>
      <c r="D597" s="34" t="str">
        <f t="array" ref="D597">IFNA(_xlfn.XLOOKUP(C597,Table_Tarikan_Warkah[Nomor Sertipikat],Table_Tarikan_Warkah[Nomor Tiket]),"")</f>
        <v>K/11/191224/1</v>
      </c>
      <c r="E597" s="36">
        <f t="array" ref="E597">IFNA(_xlfn.XLOOKUP(D597,Table_Tarikan_Warkah[Nomor Tiket],Table_Tarikan_Warkah[Tanggal diserahkan kepada Validator]),"")</f>
        <v>45664.69747</v>
      </c>
      <c r="F597" s="36" t="str">
        <f t="array" ref="F597">IFNA(_xlfn.XLOOKUP(D597,Table_Tarikan_Warkah[Nomor Tiket],Table_Tarikan_Warkah[Nama Petugas Warkah]),"")</f>
        <v>Berry</v>
      </c>
      <c r="G597" s="39" t="str">
        <f t="array" ref="G597">IFNA(_xlfn.XLOOKUP(D597,Table_Tarikan_Warkah[Nomor Tiket],Table_Tarikan_Warkah[Jenis Permohonan]),"")</f>
        <v>BN WARIS</v>
      </c>
      <c r="H597" s="41" t="s">
        <v>20</v>
      </c>
      <c r="I597" s="41" t="s">
        <v>23</v>
      </c>
      <c r="J597" s="36">
        <f t="shared" si="17"/>
        <v>45649.70595</v>
      </c>
      <c r="K597" s="41" t="s">
        <v>26</v>
      </c>
      <c r="L597" s="41" t="s">
        <v>23</v>
      </c>
      <c r="M597" s="36">
        <f t="shared" si="18"/>
        <v>45664.36209</v>
      </c>
      <c r="N597" s="30" t="str">
        <f t="shared" si="3"/>
        <v>Selesai</v>
      </c>
      <c r="O597" s="45">
        <f t="shared" si="12"/>
        <v>45664.36209</v>
      </c>
      <c r="P597" s="47" t="b">
        <v>1</v>
      </c>
      <c r="Q597" s="36">
        <f t="shared" si="19"/>
        <v>45664.36217</v>
      </c>
      <c r="R597" s="47" t="b">
        <v>0</v>
      </c>
      <c r="S597" s="42" t="str">
        <f t="shared" si="6"/>
        <v/>
      </c>
      <c r="T597" s="42"/>
    </row>
    <row r="598" ht="22.5" customHeight="1">
      <c r="B598" s="42">
        <f t="shared" si="7"/>
        <v>592</v>
      </c>
      <c r="C598" s="31" t="s">
        <v>754</v>
      </c>
      <c r="D598" s="34" t="str">
        <f t="array" ref="D598">IFNA(_xlfn.XLOOKUP(C598,Table_Tarikan_Warkah[Nomor Sertipikat],Table_Tarikan_Warkah[Nomor Tiket]),"")</f>
        <v>L/17/111224/1</v>
      </c>
      <c r="E598" s="36" t="str">
        <f t="array" ref="E598">IFNA(_xlfn.XLOOKUP(D598,Table_Tarikan_Warkah[Nomor Tiket],Table_Tarikan_Warkah[Tanggal diserahkan kepada Validator]),"")</f>
        <v/>
      </c>
      <c r="F598" s="36" t="str">
        <f t="array" ref="F598">IFNA(_xlfn.XLOOKUP(D598,Table_Tarikan_Warkah[Nomor Tiket],Table_Tarikan_Warkah[Nama Petugas Warkah]),"")</f>
        <v>David</v>
      </c>
      <c r="G598" s="39" t="str">
        <f t="array" ref="G598">IFNA(_xlfn.XLOOKUP(D598,Table_Tarikan_Warkah[Nomor Tiket],Table_Tarikan_Warkah[Jenis Permohonan]),"")</f>
        <v>BN WARIS</v>
      </c>
      <c r="H598" s="41" t="s">
        <v>20</v>
      </c>
      <c r="I598" s="41" t="s">
        <v>23</v>
      </c>
      <c r="J598" s="36">
        <f t="shared" si="17"/>
        <v>45649.71387</v>
      </c>
      <c r="K598" s="41" t="s">
        <v>26</v>
      </c>
      <c r="L598" s="49" t="s">
        <v>23</v>
      </c>
      <c r="M598" s="36">
        <f t="shared" si="18"/>
        <v>45649.7139</v>
      </c>
      <c r="N598" s="30" t="str">
        <f t="shared" si="3"/>
        <v>Selesai</v>
      </c>
      <c r="O598" s="45">
        <f t="shared" si="12"/>
        <v>45649.7139</v>
      </c>
      <c r="P598" s="47" t="b">
        <v>1</v>
      </c>
      <c r="Q598" s="36">
        <f t="shared" si="19"/>
        <v>45649.71393</v>
      </c>
      <c r="R598" s="47" t="b">
        <v>0</v>
      </c>
      <c r="S598" s="42" t="str">
        <f t="shared" si="6"/>
        <v/>
      </c>
      <c r="T598" s="42"/>
    </row>
    <row r="599" ht="22.5" customHeight="1">
      <c r="B599" s="42">
        <f t="shared" si="7"/>
        <v>593</v>
      </c>
      <c r="C599" s="31" t="s">
        <v>755</v>
      </c>
      <c r="D599" s="34" t="str">
        <f t="array" ref="D599">IFNA(_xlfn.XLOOKUP(C599,Table_Tarikan_Warkah[Nomor Sertipikat],Table_Tarikan_Warkah[Nomor Tiket]),"")</f>
        <v>K/5/191224/1</v>
      </c>
      <c r="E599" s="36" t="str">
        <f t="array" ref="E599">IFNA(_xlfn.XLOOKUP(D599,Table_Tarikan_Warkah[Nomor Tiket],Table_Tarikan_Warkah[Tanggal diserahkan kepada Validator]),"")</f>
        <v/>
      </c>
      <c r="F599" s="36" t="str">
        <f t="array" ref="F599">IFNA(_xlfn.XLOOKUP(D599,Table_Tarikan_Warkah[Nomor Tiket],Table_Tarikan_Warkah[Nama Petugas Warkah]),"")</f>
        <v/>
      </c>
      <c r="G599" s="39" t="str">
        <f t="array" ref="G599">IFNA(_xlfn.XLOOKUP(D599,Table_Tarikan_Warkah[Nomor Tiket],Table_Tarikan_Warkah[Jenis Permohonan]),"")</f>
        <v>BN JUAL BELI</v>
      </c>
      <c r="H599" s="41" t="s">
        <v>20</v>
      </c>
      <c r="I599" s="41" t="s">
        <v>12</v>
      </c>
      <c r="J599" s="36">
        <f t="shared" si="17"/>
        <v>45650.47758</v>
      </c>
      <c r="K599" s="41" t="s">
        <v>197</v>
      </c>
      <c r="L599" s="41" t="s">
        <v>12</v>
      </c>
      <c r="M599" s="36">
        <f t="shared" si="18"/>
        <v>45653.582</v>
      </c>
      <c r="N599" s="30" t="str">
        <f t="shared" si="3"/>
        <v>SELESAI</v>
      </c>
      <c r="O599" s="45">
        <f t="shared" si="12"/>
        <v>45653.582</v>
      </c>
      <c r="P599" s="47" t="b">
        <v>0</v>
      </c>
      <c r="Q599" s="36" t="str">
        <f t="shared" si="19"/>
        <v/>
      </c>
      <c r="R599" s="47" t="b">
        <v>1</v>
      </c>
      <c r="S599" s="36">
        <f t="shared" si="6"/>
        <v>45653.58204</v>
      </c>
      <c r="T599" s="42"/>
    </row>
    <row r="600" ht="22.5" customHeight="1">
      <c r="B600" s="42">
        <f t="shared" si="7"/>
        <v>594</v>
      </c>
      <c r="C600" s="31" t="s">
        <v>756</v>
      </c>
      <c r="D600" s="34" t="str">
        <f t="array" ref="D600">IFNA(_xlfn.XLOOKUP(C600,Table_Tarikan_Warkah[Nomor Sertipikat],Table_Tarikan_Warkah[Nomor Tiket]),"")</f>
        <v>L/20/191224/1</v>
      </c>
      <c r="E600" s="36" t="str">
        <f t="array" ref="E600">IFNA(_xlfn.XLOOKUP(D600,Table_Tarikan_Warkah[Nomor Tiket],Table_Tarikan_Warkah[Tanggal diserahkan kepada Validator]),"")</f>
        <v/>
      </c>
      <c r="F600" s="36" t="str">
        <f t="array" ref="F600">IFNA(_xlfn.XLOOKUP(D600,Table_Tarikan_Warkah[Nomor Tiket],Table_Tarikan_Warkah[Nama Petugas Warkah]),"")</f>
        <v/>
      </c>
      <c r="G600" s="39" t="str">
        <f t="array" ref="G600">IFNA(_xlfn.XLOOKUP(D600,Table_Tarikan_Warkah[Nomor Tiket],Table_Tarikan_Warkah[Jenis Permohonan]),"")</f>
        <v>BN WARIS</v>
      </c>
      <c r="H600" s="41" t="s">
        <v>20</v>
      </c>
      <c r="I600" s="41" t="s">
        <v>12</v>
      </c>
      <c r="J600" s="36">
        <f t="shared" si="17"/>
        <v>45650.47758</v>
      </c>
      <c r="K600" s="41" t="s">
        <v>197</v>
      </c>
      <c r="L600" s="41" t="s">
        <v>12</v>
      </c>
      <c r="M600" s="36">
        <f t="shared" si="18"/>
        <v>45653.58882</v>
      </c>
      <c r="N600" s="30" t="str">
        <f t="shared" si="3"/>
        <v>SELESAI</v>
      </c>
      <c r="O600" s="45">
        <f t="shared" si="12"/>
        <v>45653.58882</v>
      </c>
      <c r="P600" s="47" t="b">
        <v>0</v>
      </c>
      <c r="Q600" s="36" t="str">
        <f t="shared" si="19"/>
        <v/>
      </c>
      <c r="R600" s="47" t="b">
        <v>1</v>
      </c>
      <c r="S600" s="36">
        <f t="shared" si="6"/>
        <v>45653.58885</v>
      </c>
      <c r="T600" s="42"/>
    </row>
    <row r="601" ht="22.5" customHeight="1">
      <c r="B601" s="42">
        <f t="shared" si="7"/>
        <v>595</v>
      </c>
      <c r="C601" s="31" t="s">
        <v>757</v>
      </c>
      <c r="D601" s="34" t="str">
        <f t="array" ref="D601">IFNA(_xlfn.XLOOKUP(C601,Table_Tarikan_Warkah[Nomor Sertipikat],Table_Tarikan_Warkah[Nomor Tiket]),"")</f>
        <v>K/34/191224/1</v>
      </c>
      <c r="E601" s="36">
        <f t="array" ref="E601">IFNA(_xlfn.XLOOKUP(D601,Table_Tarikan_Warkah[Nomor Tiket],Table_Tarikan_Warkah[Tanggal diserahkan kepada Validator]),"")</f>
        <v>45687.40433</v>
      </c>
      <c r="F601" s="36" t="str">
        <f t="array" ref="F601">IFNA(_xlfn.XLOOKUP(D601,Table_Tarikan_Warkah[Nomor Tiket],Table_Tarikan_Warkah[Nama Petugas Warkah]),"")</f>
        <v/>
      </c>
      <c r="G601" s="39" t="str">
        <f t="array" ref="G601">IFNA(_xlfn.XLOOKUP(D601,Table_Tarikan_Warkah[Nomor Tiket],Table_Tarikan_Warkah[Jenis Permohonan]),"")</f>
        <v>ROYA</v>
      </c>
      <c r="H601" s="41" t="s">
        <v>20</v>
      </c>
      <c r="I601" s="41" t="s">
        <v>12</v>
      </c>
      <c r="J601" s="36">
        <f t="shared" si="17"/>
        <v>45650.47758</v>
      </c>
      <c r="K601" s="41" t="s">
        <v>197</v>
      </c>
      <c r="L601" s="41" t="s">
        <v>12</v>
      </c>
      <c r="M601" s="36">
        <f t="shared" si="18"/>
        <v>45653.58618</v>
      </c>
      <c r="N601" s="30" t="str">
        <f t="shared" si="3"/>
        <v>SELESAI</v>
      </c>
      <c r="O601" s="45">
        <f t="shared" si="12"/>
        <v>45653.58618</v>
      </c>
      <c r="P601" s="47" t="b">
        <v>0</v>
      </c>
      <c r="Q601" s="36" t="str">
        <f t="shared" si="19"/>
        <v/>
      </c>
      <c r="R601" s="47" t="b">
        <v>1</v>
      </c>
      <c r="S601" s="36">
        <f t="shared" si="6"/>
        <v>45653.58621</v>
      </c>
      <c r="T601" s="42"/>
    </row>
    <row r="602" ht="22.5" customHeight="1">
      <c r="B602" s="42">
        <f t="shared" si="7"/>
        <v>596</v>
      </c>
      <c r="C602" s="31" t="s">
        <v>758</v>
      </c>
      <c r="D602" s="34" t="str">
        <f t="array" ref="D602">IFNA(_xlfn.XLOOKUP(C602,Table_Tarikan_Warkah[Nomor Sertipikat],Table_Tarikan_Warkah[Nomor Tiket]),"")</f>
        <v>K/36/191224/3</v>
      </c>
      <c r="E602" s="36" t="str">
        <f t="array" ref="E602">IFNA(_xlfn.XLOOKUP(D602,Table_Tarikan_Warkah[Nomor Tiket],Table_Tarikan_Warkah[Tanggal diserahkan kepada Validator]),"")</f>
        <v/>
      </c>
      <c r="F602" s="36" t="str">
        <f t="array" ref="F602">IFNA(_xlfn.XLOOKUP(D602,Table_Tarikan_Warkah[Nomor Tiket],Table_Tarikan_Warkah[Nama Petugas Warkah]),"")</f>
        <v/>
      </c>
      <c r="G602" s="39" t="str">
        <f t="array" ref="G602">IFNA(_xlfn.XLOOKUP(D602,Table_Tarikan_Warkah[Nomor Tiket],Table_Tarikan_Warkah[Jenis Permohonan]),"")</f>
        <v>BN Jual Beli</v>
      </c>
      <c r="H602" s="41" t="s">
        <v>20</v>
      </c>
      <c r="I602" s="41" t="s">
        <v>12</v>
      </c>
      <c r="J602" s="36">
        <f t="shared" si="17"/>
        <v>45650.47758</v>
      </c>
      <c r="K602" s="41" t="s">
        <v>197</v>
      </c>
      <c r="L602" s="41" t="s">
        <v>12</v>
      </c>
      <c r="M602" s="36">
        <f t="shared" si="18"/>
        <v>45653.58642</v>
      </c>
      <c r="N602" s="30" t="str">
        <f t="shared" si="3"/>
        <v>SELESAI</v>
      </c>
      <c r="O602" s="45">
        <f t="shared" si="12"/>
        <v>45653.58642</v>
      </c>
      <c r="P602" s="47" t="b">
        <v>0</v>
      </c>
      <c r="Q602" s="36" t="str">
        <f t="shared" si="19"/>
        <v/>
      </c>
      <c r="R602" s="47" t="b">
        <v>1</v>
      </c>
      <c r="S602" s="36">
        <f t="shared" si="6"/>
        <v>45653.58645</v>
      </c>
      <c r="T602" s="42"/>
    </row>
    <row r="603" ht="22.5" customHeight="1">
      <c r="B603" s="42">
        <f t="shared" si="7"/>
        <v>597</v>
      </c>
      <c r="C603" s="31" t="s">
        <v>759</v>
      </c>
      <c r="D603" s="34" t="str">
        <f t="array" ref="D603">IFNA(_xlfn.XLOOKUP(C603,Table_Tarikan_Warkah[Nomor Sertipikat],Table_Tarikan_Warkah[Nomor Tiket]),"")</f>
        <v>K/40/191224/1</v>
      </c>
      <c r="E603" s="36" t="str">
        <f t="array" ref="E603">IFNA(_xlfn.XLOOKUP(D603,Table_Tarikan_Warkah[Nomor Tiket],Table_Tarikan_Warkah[Tanggal diserahkan kepada Validator]),"")</f>
        <v/>
      </c>
      <c r="F603" s="36" t="str">
        <f t="array" ref="F603">IFNA(_xlfn.XLOOKUP(D603,Table_Tarikan_Warkah[Nomor Tiket],Table_Tarikan_Warkah[Nama Petugas Warkah]),"")</f>
        <v/>
      </c>
      <c r="G603" s="39" t="str">
        <f t="array" ref="G603">IFNA(_xlfn.XLOOKUP(D603,Table_Tarikan_Warkah[Nomor Tiket],Table_Tarikan_Warkah[Jenis Permohonan]),"")</f>
        <v>BN JUAL BELI</v>
      </c>
      <c r="H603" s="41" t="s">
        <v>20</v>
      </c>
      <c r="I603" s="41" t="s">
        <v>12</v>
      </c>
      <c r="J603" s="36">
        <f t="shared" si="17"/>
        <v>45650.47758</v>
      </c>
      <c r="K603" s="41" t="s">
        <v>197</v>
      </c>
      <c r="L603" s="41" t="s">
        <v>12</v>
      </c>
      <c r="M603" s="36">
        <f t="shared" si="18"/>
        <v>45653.58789</v>
      </c>
      <c r="N603" s="30" t="str">
        <f t="shared" si="3"/>
        <v>SELESAI</v>
      </c>
      <c r="O603" s="45">
        <f t="shared" si="12"/>
        <v>45653.58789</v>
      </c>
      <c r="P603" s="47" t="b">
        <v>0</v>
      </c>
      <c r="Q603" s="36" t="str">
        <f t="shared" si="19"/>
        <v/>
      </c>
      <c r="R603" s="47" t="b">
        <v>1</v>
      </c>
      <c r="S603" s="36">
        <f t="shared" si="6"/>
        <v>45653.58793</v>
      </c>
      <c r="T603" s="42"/>
    </row>
    <row r="604" ht="22.5" customHeight="1">
      <c r="B604" s="42">
        <f t="shared" si="7"/>
        <v>598</v>
      </c>
      <c r="C604" s="31" t="s">
        <v>760</v>
      </c>
      <c r="D604" s="34" t="str">
        <f t="array" ref="D604">IFNA(_xlfn.XLOOKUP(C604,Table_Tarikan_Warkah[Nomor Sertipikat],Table_Tarikan_Warkah[Nomor Tiket]),"")</f>
        <v>K/41/191224/1</v>
      </c>
      <c r="E604" s="36" t="str">
        <f t="array" ref="E604">IFNA(_xlfn.XLOOKUP(D604,Table_Tarikan_Warkah[Nomor Tiket],Table_Tarikan_Warkah[Tanggal diserahkan kepada Validator]),"")</f>
        <v/>
      </c>
      <c r="F604" s="36" t="str">
        <f t="array" ref="F604">IFNA(_xlfn.XLOOKUP(D604,Table_Tarikan_Warkah[Nomor Tiket],Table_Tarikan_Warkah[Nama Petugas Warkah]),"")</f>
        <v/>
      </c>
      <c r="G604" s="39" t="str">
        <f t="array" ref="G604">IFNA(_xlfn.XLOOKUP(D604,Table_Tarikan_Warkah[Nomor Tiket],Table_Tarikan_Warkah[Jenis Permohonan]),"")</f>
        <v>BN JUAL BELI</v>
      </c>
      <c r="H604" s="41" t="s">
        <v>20</v>
      </c>
      <c r="I604" s="41" t="s">
        <v>12</v>
      </c>
      <c r="J604" s="36">
        <f t="shared" si="17"/>
        <v>45650.47758</v>
      </c>
      <c r="K604" s="41" t="s">
        <v>197</v>
      </c>
      <c r="L604" s="41" t="s">
        <v>12</v>
      </c>
      <c r="M604" s="36">
        <f t="shared" si="18"/>
        <v>45653.58766</v>
      </c>
      <c r="N604" s="30" t="str">
        <f t="shared" si="3"/>
        <v>SELESAI</v>
      </c>
      <c r="O604" s="45">
        <f t="shared" si="12"/>
        <v>45653.58766</v>
      </c>
      <c r="P604" s="47" t="b">
        <v>0</v>
      </c>
      <c r="Q604" s="36" t="str">
        <f t="shared" si="19"/>
        <v/>
      </c>
      <c r="R604" s="47" t="b">
        <v>1</v>
      </c>
      <c r="S604" s="36">
        <f t="shared" si="6"/>
        <v>45653.58769</v>
      </c>
      <c r="T604" s="42"/>
    </row>
    <row r="605" ht="22.5" customHeight="1">
      <c r="B605" s="42">
        <f t="shared" si="7"/>
        <v>599</v>
      </c>
      <c r="C605" s="31" t="s">
        <v>761</v>
      </c>
      <c r="D605" s="34" t="str">
        <f t="array" ref="D605">IFNA(_xlfn.XLOOKUP(C605,Table_Tarikan_Warkah[Nomor Sertipikat],Table_Tarikan_Warkah[Nomor Tiket]),"")</f>
        <v>K/7/201224/1</v>
      </c>
      <c r="E605" s="36">
        <f t="array" ref="E605">IFNA(_xlfn.XLOOKUP(D605,Table_Tarikan_Warkah[Nomor Tiket],Table_Tarikan_Warkah[Tanggal diserahkan kepada Validator]),"")</f>
        <v>45741.52593</v>
      </c>
      <c r="F605" s="36" t="str">
        <f t="array" ref="F605">IFNA(_xlfn.XLOOKUP(D605,Table_Tarikan_Warkah[Nomor Tiket],Table_Tarikan_Warkah[Nama Petugas Warkah]),"")</f>
        <v/>
      </c>
      <c r="G605" s="39" t="str">
        <f t="array" ref="G605">IFNA(_xlfn.XLOOKUP(D605,Table_Tarikan_Warkah[Nomor Tiket],Table_Tarikan_Warkah[Jenis Permohonan]),"")</f>
        <v>ROYA</v>
      </c>
      <c r="H605" s="41" t="s">
        <v>20</v>
      </c>
      <c r="I605" s="41" t="s">
        <v>12</v>
      </c>
      <c r="J605" s="36">
        <f t="shared" si="17"/>
        <v>45650.47758</v>
      </c>
      <c r="K605" s="41" t="s">
        <v>197</v>
      </c>
      <c r="L605" s="41" t="s">
        <v>12</v>
      </c>
      <c r="M605" s="36">
        <f t="shared" si="18"/>
        <v>45653.58254</v>
      </c>
      <c r="N605" s="30" t="str">
        <f t="shared" si="3"/>
        <v>SELESAI</v>
      </c>
      <c r="O605" s="45">
        <f t="shared" si="12"/>
        <v>45653.58254</v>
      </c>
      <c r="P605" s="47" t="b">
        <v>0</v>
      </c>
      <c r="Q605" s="36" t="str">
        <f t="shared" si="19"/>
        <v/>
      </c>
      <c r="R605" s="47" t="b">
        <v>1</v>
      </c>
      <c r="S605" s="36">
        <f t="shared" si="6"/>
        <v>45653.58257</v>
      </c>
      <c r="T605" s="42"/>
    </row>
    <row r="606" ht="22.5" customHeight="1">
      <c r="B606" s="42">
        <f t="shared" si="7"/>
        <v>600</v>
      </c>
      <c r="C606" s="31" t="s">
        <v>762</v>
      </c>
      <c r="D606" s="34" t="str">
        <f t="array" ref="D606">IFNA(_xlfn.XLOOKUP(C606,Table_Tarikan_Warkah[Nomor Sertipikat],Table_Tarikan_Warkah[Nomor Tiket]),"")</f>
        <v>K/16/201224/2</v>
      </c>
      <c r="E606" s="36" t="str">
        <f t="array" ref="E606">IFNA(_xlfn.XLOOKUP(D606,Table_Tarikan_Warkah[Nomor Tiket],Table_Tarikan_Warkah[Tanggal diserahkan kepada Validator]),"")</f>
        <v/>
      </c>
      <c r="F606" s="36" t="str">
        <f t="array" ref="F606">IFNA(_xlfn.XLOOKUP(D606,Table_Tarikan_Warkah[Nomor Tiket],Table_Tarikan_Warkah[Nama Petugas Warkah]),"")</f>
        <v/>
      </c>
      <c r="G606" s="39" t="str">
        <f t="array" ref="G606">IFNA(_xlfn.XLOOKUP(D606,Table_Tarikan_Warkah[Nomor Tiket],Table_Tarikan_Warkah[Jenis Permohonan]),"")</f>
        <v>BN Jual Beli</v>
      </c>
      <c r="H606" s="41" t="s">
        <v>20</v>
      </c>
      <c r="I606" s="41" t="s">
        <v>12</v>
      </c>
      <c r="J606" s="36">
        <f t="shared" si="17"/>
        <v>45650.47758</v>
      </c>
      <c r="K606" s="41" t="s">
        <v>197</v>
      </c>
      <c r="L606" s="41" t="s">
        <v>12</v>
      </c>
      <c r="M606" s="36">
        <f t="shared" si="18"/>
        <v>45653.58584</v>
      </c>
      <c r="N606" s="30" t="str">
        <f t="shared" si="3"/>
        <v>SELESAI</v>
      </c>
      <c r="O606" s="45">
        <f t="shared" si="12"/>
        <v>45653.58584</v>
      </c>
      <c r="P606" s="47" t="b">
        <v>0</v>
      </c>
      <c r="Q606" s="36" t="str">
        <f t="shared" si="19"/>
        <v/>
      </c>
      <c r="R606" s="47" t="b">
        <v>1</v>
      </c>
      <c r="S606" s="36">
        <f t="shared" si="6"/>
        <v>45653.58589</v>
      </c>
      <c r="T606" s="42"/>
    </row>
    <row r="607" ht="22.5" customHeight="1">
      <c r="B607" s="42">
        <f t="shared" si="7"/>
        <v>601</v>
      </c>
      <c r="C607" s="31" t="s">
        <v>763</v>
      </c>
      <c r="D607" s="34" t="str">
        <f t="array" ref="D607">IFNA(_xlfn.XLOOKUP(C607,Table_Tarikan_Warkah[Nomor Sertipikat],Table_Tarikan_Warkah[Nomor Tiket]),"")</f>
        <v>K/2/191224/1</v>
      </c>
      <c r="E607" s="36" t="str">
        <f t="array" ref="E607">IFNA(_xlfn.XLOOKUP(D607,Table_Tarikan_Warkah[Nomor Tiket],Table_Tarikan_Warkah[Tanggal diserahkan kepada Validator]),"")</f>
        <v/>
      </c>
      <c r="F607" s="36" t="str">
        <f t="array" ref="F607">IFNA(_xlfn.XLOOKUP(D607,Table_Tarikan_Warkah[Nomor Tiket],Table_Tarikan_Warkah[Nama Petugas Warkah]),"")</f>
        <v/>
      </c>
      <c r="G607" s="39" t="str">
        <f t="array" ref="G607">IFNA(_xlfn.XLOOKUP(D607,Table_Tarikan_Warkah[Nomor Tiket],Table_Tarikan_Warkah[Jenis Permohonan]),"")</f>
        <v>BN Jual Beli</v>
      </c>
      <c r="H607" s="41" t="s">
        <v>20</v>
      </c>
      <c r="I607" s="41" t="s">
        <v>12</v>
      </c>
      <c r="J607" s="36">
        <f t="shared" si="17"/>
        <v>45650.58516</v>
      </c>
      <c r="K607" s="41" t="s">
        <v>197</v>
      </c>
      <c r="L607" s="41" t="s">
        <v>12</v>
      </c>
      <c r="M607" s="36">
        <f t="shared" si="18"/>
        <v>45653.57985</v>
      </c>
      <c r="N607" s="30" t="str">
        <f t="shared" si="3"/>
        <v>SELESAI</v>
      </c>
      <c r="O607" s="45">
        <f t="shared" si="12"/>
        <v>45653.57985</v>
      </c>
      <c r="P607" s="47" t="b">
        <v>0</v>
      </c>
      <c r="Q607" s="36" t="str">
        <f t="shared" si="19"/>
        <v/>
      </c>
      <c r="R607" s="47" t="b">
        <v>1</v>
      </c>
      <c r="S607" s="36">
        <f t="shared" si="6"/>
        <v>45653.57988</v>
      </c>
      <c r="T607" s="42"/>
    </row>
    <row r="608" ht="22.5" customHeight="1">
      <c r="B608" s="42">
        <f t="shared" si="7"/>
        <v>602</v>
      </c>
      <c r="C608" s="31" t="s">
        <v>764</v>
      </c>
      <c r="D608" s="34" t="str">
        <f t="array" ref="D608">IFNA(_xlfn.XLOOKUP(C608,Table_Tarikan_Warkah[Nomor Sertipikat],Table_Tarikan_Warkah[Nomor Tiket]),"")</f>
        <v>K/27/191224/1</v>
      </c>
      <c r="E608" s="36" t="str">
        <f t="array" ref="E608">IFNA(_xlfn.XLOOKUP(D608,Table_Tarikan_Warkah[Nomor Tiket],Table_Tarikan_Warkah[Tanggal diserahkan kepada Validator]),"")</f>
        <v/>
      </c>
      <c r="F608" s="36" t="str">
        <f t="array" ref="F608">IFNA(_xlfn.XLOOKUP(D608,Table_Tarikan_Warkah[Nomor Tiket],Table_Tarikan_Warkah[Nama Petugas Warkah]),"")</f>
        <v/>
      </c>
      <c r="G608" s="39" t="str">
        <f t="array" ref="G608">IFNA(_xlfn.XLOOKUP(D608,Table_Tarikan_Warkah[Nomor Tiket],Table_Tarikan_Warkah[Jenis Permohonan]),"")</f>
        <v>BN Jual Beli</v>
      </c>
      <c r="H608" s="41" t="s">
        <v>20</v>
      </c>
      <c r="I608" s="41" t="s">
        <v>12</v>
      </c>
      <c r="J608" s="36">
        <f t="shared" si="17"/>
        <v>45650.60069</v>
      </c>
      <c r="K608" s="41" t="s">
        <v>197</v>
      </c>
      <c r="L608" s="41" t="s">
        <v>12</v>
      </c>
      <c r="M608" s="36">
        <f t="shared" si="18"/>
        <v>45653.58552</v>
      </c>
      <c r="N608" s="30" t="str">
        <f t="shared" si="3"/>
        <v>SELESAI</v>
      </c>
      <c r="O608" s="45">
        <f t="shared" si="12"/>
        <v>45653.58552</v>
      </c>
      <c r="P608" s="47" t="b">
        <v>0</v>
      </c>
      <c r="Q608" s="36" t="str">
        <f t="shared" si="19"/>
        <v/>
      </c>
      <c r="R608" s="47" t="b">
        <v>1</v>
      </c>
      <c r="S608" s="36">
        <f t="shared" si="6"/>
        <v>45653.58555</v>
      </c>
      <c r="T608" s="42"/>
    </row>
    <row r="609" ht="22.5" customHeight="1">
      <c r="B609" s="42">
        <f t="shared" si="7"/>
        <v>603</v>
      </c>
      <c r="C609" s="31" t="s">
        <v>765</v>
      </c>
      <c r="D609" s="34" t="str">
        <f t="array" ref="D609">IFNA(_xlfn.XLOOKUP(C609,Table_Tarikan_Warkah[Nomor Sertipikat],Table_Tarikan_Warkah[Nomor Tiket]),"")</f>
        <v>K/52/181224/1</v>
      </c>
      <c r="E609" s="36" t="str">
        <f t="array" ref="E609">IFNA(_xlfn.XLOOKUP(D609,Table_Tarikan_Warkah[Nomor Tiket],Table_Tarikan_Warkah[Tanggal diserahkan kepada Validator]),"")</f>
        <v/>
      </c>
      <c r="F609" s="36" t="str">
        <f t="array" ref="F609">IFNA(_xlfn.XLOOKUP(D609,Table_Tarikan_Warkah[Nomor Tiket],Table_Tarikan_Warkah[Nama Petugas Warkah]),"")</f>
        <v/>
      </c>
      <c r="G609" s="39" t="str">
        <f t="array" ref="G609">IFNA(_xlfn.XLOOKUP(D609,Table_Tarikan_Warkah[Nomor Tiket],Table_Tarikan_Warkah[Jenis Permohonan]),"")</f>
        <v>BN WARIS</v>
      </c>
      <c r="H609" s="41" t="s">
        <v>11</v>
      </c>
      <c r="I609" s="41" t="s">
        <v>12</v>
      </c>
      <c r="J609" s="36">
        <f t="shared" si="17"/>
        <v>45650.62693</v>
      </c>
      <c r="K609" s="41" t="s">
        <v>197</v>
      </c>
      <c r="L609" s="41" t="s">
        <v>12</v>
      </c>
      <c r="M609" s="36">
        <f t="shared" si="18"/>
        <v>45653.57966</v>
      </c>
      <c r="N609" s="30" t="str">
        <f t="shared" si="3"/>
        <v>SELESAI</v>
      </c>
      <c r="O609" s="45">
        <f t="shared" si="12"/>
        <v>45653.57966</v>
      </c>
      <c r="P609" s="47" t="b">
        <v>0</v>
      </c>
      <c r="Q609" s="36" t="str">
        <f t="shared" si="19"/>
        <v/>
      </c>
      <c r="R609" s="47" t="b">
        <v>1</v>
      </c>
      <c r="S609" s="36">
        <f t="shared" si="6"/>
        <v>45653.57969</v>
      </c>
      <c r="T609" s="42"/>
    </row>
    <row r="610" ht="22.5" customHeight="1">
      <c r="B610" s="42">
        <f t="shared" si="7"/>
        <v>604</v>
      </c>
      <c r="C610" s="31" t="s">
        <v>766</v>
      </c>
      <c r="D610" s="34" t="str">
        <f t="array" ref="D610">IFNA(_xlfn.XLOOKUP(C610,Table_Tarikan_Warkah[Nomor Sertipikat],Table_Tarikan_Warkah[Nomor Tiket]),"")</f>
        <v>K/6/231224/1</v>
      </c>
      <c r="E610" s="36">
        <f t="array" ref="E610">IFNA(_xlfn.XLOOKUP(D610,Table_Tarikan_Warkah[Nomor Tiket],Table_Tarikan_Warkah[Tanggal diserahkan kepada Validator]),"")</f>
        <v>45691.62745</v>
      </c>
      <c r="F610" s="36" t="str">
        <f t="array" ref="F610">IFNA(_xlfn.XLOOKUP(D610,Table_Tarikan_Warkah[Nomor Tiket],Table_Tarikan_Warkah[Nama Petugas Warkah]),"")</f>
        <v/>
      </c>
      <c r="G610" s="39" t="str">
        <f t="array" ref="G610">IFNA(_xlfn.XLOOKUP(D610,Table_Tarikan_Warkah[Nomor Tiket],Table_Tarikan_Warkah[Jenis Permohonan]),"")</f>
        <v>ROYA</v>
      </c>
      <c r="H610" s="41" t="s">
        <v>11</v>
      </c>
      <c r="I610" s="41" t="s">
        <v>12</v>
      </c>
      <c r="J610" s="36">
        <f t="shared" si="17"/>
        <v>45650.62697</v>
      </c>
      <c r="K610" s="41" t="s">
        <v>26</v>
      </c>
      <c r="L610" s="41" t="s">
        <v>12</v>
      </c>
      <c r="M610" s="36">
        <f t="shared" si="18"/>
        <v>45653.41313</v>
      </c>
      <c r="N610" s="30" t="str">
        <f t="shared" si="3"/>
        <v>SELESAI</v>
      </c>
      <c r="O610" s="45">
        <f t="shared" si="12"/>
        <v>45653.41313</v>
      </c>
      <c r="P610" s="47" t="b">
        <v>0</v>
      </c>
      <c r="Q610" s="36" t="str">
        <f t="shared" si="19"/>
        <v/>
      </c>
      <c r="R610" s="47" t="b">
        <v>1</v>
      </c>
      <c r="S610" s="36">
        <f t="shared" si="6"/>
        <v>45653.41317</v>
      </c>
      <c r="T610" s="42"/>
    </row>
    <row r="611" ht="22.5" customHeight="1">
      <c r="B611" s="42">
        <f t="shared" si="7"/>
        <v>605</v>
      </c>
      <c r="C611" s="31" t="s">
        <v>767</v>
      </c>
      <c r="D611" s="34" t="str">
        <f t="array" ref="D611">IFNA(_xlfn.XLOOKUP(C611,Table_Tarikan_Warkah[Nomor Sertipikat],Table_Tarikan_Warkah[Nomor Tiket]),"")</f>
        <v>L/7/231224/1</v>
      </c>
      <c r="E611" s="36" t="str">
        <f t="array" ref="E611">IFNA(_xlfn.XLOOKUP(D611,Table_Tarikan_Warkah[Nomor Tiket],Table_Tarikan_Warkah[Tanggal diserahkan kepada Validator]),"")</f>
        <v/>
      </c>
      <c r="F611" s="36" t="str">
        <f t="array" ref="F611">IFNA(_xlfn.XLOOKUP(D611,Table_Tarikan_Warkah[Nomor Tiket],Table_Tarikan_Warkah[Nama Petugas Warkah]),"")</f>
        <v/>
      </c>
      <c r="G611" s="39" t="str">
        <f t="array" ref="G611">IFNA(_xlfn.XLOOKUP(D611,Table_Tarikan_Warkah[Nomor Tiket],Table_Tarikan_Warkah[Jenis Permohonan]),"")</f>
        <v>PEMECAHAN</v>
      </c>
      <c r="H611" s="41" t="s">
        <v>11</v>
      </c>
      <c r="I611" s="41" t="s">
        <v>12</v>
      </c>
      <c r="J611" s="36">
        <f t="shared" si="17"/>
        <v>45650.62697</v>
      </c>
      <c r="K611" s="41" t="s">
        <v>26</v>
      </c>
      <c r="L611" s="41" t="s">
        <v>12</v>
      </c>
      <c r="M611" s="36">
        <f t="shared" si="18"/>
        <v>45653.41405</v>
      </c>
      <c r="N611" s="30" t="str">
        <f t="shared" si="3"/>
        <v>SELESAI</v>
      </c>
      <c r="O611" s="45">
        <f t="shared" si="12"/>
        <v>45653.41405</v>
      </c>
      <c r="P611" s="47" t="b">
        <v>0</v>
      </c>
      <c r="Q611" s="36" t="str">
        <f t="shared" si="19"/>
        <v/>
      </c>
      <c r="R611" s="47" t="b">
        <v>1</v>
      </c>
      <c r="S611" s="36">
        <f t="shared" si="6"/>
        <v>45653.4141</v>
      </c>
      <c r="T611" s="42"/>
    </row>
    <row r="612" ht="22.5" customHeight="1">
      <c r="B612" s="42">
        <f t="shared" si="7"/>
        <v>606</v>
      </c>
      <c r="C612" s="31" t="s">
        <v>768</v>
      </c>
      <c r="D612" s="34" t="str">
        <f t="array" ref="D612">IFNA(_xlfn.XLOOKUP(C612,Table_Tarikan_Warkah[Nomor Sertipikat],Table_Tarikan_Warkah[Nomor Tiket]),"")</f>
        <v>K/24/231224/2</v>
      </c>
      <c r="E612" s="36">
        <f t="array" ref="E612">IFNA(_xlfn.XLOOKUP(D612,Table_Tarikan_Warkah[Nomor Tiket],Table_Tarikan_Warkah[Tanggal diserahkan kepada Validator]),"")</f>
        <v>45708.5968</v>
      </c>
      <c r="F612" s="36" t="str">
        <f t="array" ref="F612">IFNA(_xlfn.XLOOKUP(D612,Table_Tarikan_Warkah[Nomor Tiket],Table_Tarikan_Warkah[Nama Petugas Warkah]),"")</f>
        <v/>
      </c>
      <c r="G612" s="39" t="str">
        <f t="array" ref="G612">IFNA(_xlfn.XLOOKUP(D612,Table_Tarikan_Warkah[Nomor Tiket],Table_Tarikan_Warkah[Jenis Permohonan]),"")</f>
        <v>Roya</v>
      </c>
      <c r="H612" s="41" t="s">
        <v>11</v>
      </c>
      <c r="I612" s="41" t="s">
        <v>12</v>
      </c>
      <c r="J612" s="36">
        <f t="shared" si="17"/>
        <v>45650.62697</v>
      </c>
      <c r="K612" s="41" t="s">
        <v>26</v>
      </c>
      <c r="L612" s="41" t="s">
        <v>12</v>
      </c>
      <c r="M612" s="36">
        <f t="shared" si="18"/>
        <v>45653.41925</v>
      </c>
      <c r="N612" s="30" t="str">
        <f t="shared" si="3"/>
        <v>SELESAI</v>
      </c>
      <c r="O612" s="45">
        <f t="shared" si="12"/>
        <v>45653.41925</v>
      </c>
      <c r="P612" s="47" t="b">
        <v>0</v>
      </c>
      <c r="Q612" s="36" t="str">
        <f t="shared" si="19"/>
        <v/>
      </c>
      <c r="R612" s="47" t="b">
        <v>1</v>
      </c>
      <c r="S612" s="36">
        <f t="shared" si="6"/>
        <v>45653.41929</v>
      </c>
      <c r="T612" s="42"/>
    </row>
    <row r="613" ht="22.5" customHeight="1">
      <c r="B613" s="42">
        <f t="shared" si="7"/>
        <v>607</v>
      </c>
      <c r="C613" s="31" t="s">
        <v>769</v>
      </c>
      <c r="D613" s="34" t="str">
        <f t="array" ref="D613">IFNA(_xlfn.XLOOKUP(C613,Table_Tarikan_Warkah[Nomor Sertipikat],Table_Tarikan_Warkah[Nomor Tiket]),"")</f>
        <v>K/30/231224/1</v>
      </c>
      <c r="E613" s="36" t="str">
        <f t="array" ref="E613">IFNA(_xlfn.XLOOKUP(D613,Table_Tarikan_Warkah[Nomor Tiket],Table_Tarikan_Warkah[Tanggal diserahkan kepada Validator]),"")</f>
        <v/>
      </c>
      <c r="F613" s="36" t="str">
        <f t="array" ref="F613">IFNA(_xlfn.XLOOKUP(D613,Table_Tarikan_Warkah[Nomor Tiket],Table_Tarikan_Warkah[Nama Petugas Warkah]),"")</f>
        <v/>
      </c>
      <c r="G613" s="39" t="str">
        <f t="array" ref="G613">IFNA(_xlfn.XLOOKUP(D613,Table_Tarikan_Warkah[Nomor Tiket],Table_Tarikan_Warkah[Jenis Permohonan]),"")</f>
        <v>Roya</v>
      </c>
      <c r="H613" s="41" t="s">
        <v>11</v>
      </c>
      <c r="I613" s="41" t="s">
        <v>12</v>
      </c>
      <c r="J613" s="36">
        <f t="shared" si="17"/>
        <v>45650.62697</v>
      </c>
      <c r="K613" s="41" t="s">
        <v>26</v>
      </c>
      <c r="L613" s="41" t="s">
        <v>12</v>
      </c>
      <c r="M613" s="36">
        <f t="shared" si="18"/>
        <v>45653.42</v>
      </c>
      <c r="N613" s="30" t="str">
        <f t="shared" si="3"/>
        <v>SELESAI</v>
      </c>
      <c r="O613" s="45">
        <f t="shared" si="12"/>
        <v>45653.42</v>
      </c>
      <c r="P613" s="47" t="b">
        <v>0</v>
      </c>
      <c r="Q613" s="36" t="str">
        <f t="shared" si="19"/>
        <v/>
      </c>
      <c r="R613" s="47" t="b">
        <v>1</v>
      </c>
      <c r="S613" s="36">
        <f t="shared" si="6"/>
        <v>45653.42003</v>
      </c>
      <c r="T613" s="42"/>
    </row>
    <row r="614" ht="22.5" customHeight="1">
      <c r="B614" s="42">
        <f t="shared" si="7"/>
        <v>608</v>
      </c>
      <c r="C614" s="31" t="s">
        <v>770</v>
      </c>
      <c r="D614" s="34" t="str">
        <f t="array" ref="D614">IFNA(_xlfn.XLOOKUP(C614,Table_Tarikan_Warkah[Nomor Sertipikat],Table_Tarikan_Warkah[Nomor Tiket]),"")</f>
        <v>K/39/231224/1</v>
      </c>
      <c r="E614" s="36" t="str">
        <f t="array" ref="E614">IFNA(_xlfn.XLOOKUP(D614,Table_Tarikan_Warkah[Nomor Tiket],Table_Tarikan_Warkah[Tanggal diserahkan kepada Validator]),"")</f>
        <v/>
      </c>
      <c r="F614" s="36" t="str">
        <f t="array" ref="F614">IFNA(_xlfn.XLOOKUP(D614,Table_Tarikan_Warkah[Nomor Tiket],Table_Tarikan_Warkah[Nama Petugas Warkah]),"")</f>
        <v/>
      </c>
      <c r="G614" s="39" t="str">
        <f t="array" ref="G614">IFNA(_xlfn.XLOOKUP(D614,Table_Tarikan_Warkah[Nomor Tiket],Table_Tarikan_Warkah[Jenis Permohonan]),"")</f>
        <v>BN JUAL BELI</v>
      </c>
      <c r="H614" s="41" t="s">
        <v>11</v>
      </c>
      <c r="I614" s="41" t="s">
        <v>12</v>
      </c>
      <c r="J614" s="36">
        <f t="shared" si="17"/>
        <v>45650.62697</v>
      </c>
      <c r="K614" s="41" t="s">
        <v>26</v>
      </c>
      <c r="L614" s="41" t="s">
        <v>12</v>
      </c>
      <c r="M614" s="36">
        <f t="shared" si="18"/>
        <v>45653.42194</v>
      </c>
      <c r="N614" s="30" t="str">
        <f t="shared" si="3"/>
        <v>SELESAI</v>
      </c>
      <c r="O614" s="45">
        <f t="shared" si="12"/>
        <v>45653.42194</v>
      </c>
      <c r="P614" s="47" t="b">
        <v>0</v>
      </c>
      <c r="Q614" s="36" t="str">
        <f t="shared" si="19"/>
        <v/>
      </c>
      <c r="R614" s="47" t="b">
        <v>1</v>
      </c>
      <c r="S614" s="36">
        <f t="shared" si="6"/>
        <v>45653.42197</v>
      </c>
      <c r="T614" s="42"/>
    </row>
    <row r="615" ht="22.5" customHeight="1">
      <c r="B615" s="42">
        <f t="shared" si="7"/>
        <v>609</v>
      </c>
      <c r="C615" s="31" t="s">
        <v>771</v>
      </c>
      <c r="D615" s="34" t="str">
        <f t="array" ref="D615">IFNA(_xlfn.XLOOKUP(C615,Table_Tarikan_Warkah[Nomor Sertipikat],Table_Tarikan_Warkah[Nomor Tiket]),"")</f>
        <v>K/40/231224/2</v>
      </c>
      <c r="E615" s="36" t="str">
        <f t="array" ref="E615">IFNA(_xlfn.XLOOKUP(D615,Table_Tarikan_Warkah[Nomor Tiket],Table_Tarikan_Warkah[Tanggal diserahkan kepada Validator]),"")</f>
        <v/>
      </c>
      <c r="F615" s="36" t="str">
        <f t="array" ref="F615">IFNA(_xlfn.XLOOKUP(D615,Table_Tarikan_Warkah[Nomor Tiket],Table_Tarikan_Warkah[Nama Petugas Warkah]),"")</f>
        <v/>
      </c>
      <c r="G615" s="39" t="str">
        <f t="array" ref="G615">IFNA(_xlfn.XLOOKUP(D615,Table_Tarikan_Warkah[Nomor Tiket],Table_Tarikan_Warkah[Jenis Permohonan]),"")</f>
        <v>BN JUAL BELI</v>
      </c>
      <c r="H615" s="41" t="s">
        <v>11</v>
      </c>
      <c r="I615" s="41" t="s">
        <v>12</v>
      </c>
      <c r="J615" s="36">
        <f t="shared" si="17"/>
        <v>45650.62697</v>
      </c>
      <c r="K615" s="41" t="s">
        <v>26</v>
      </c>
      <c r="L615" s="41" t="s">
        <v>12</v>
      </c>
      <c r="M615" s="36">
        <f t="shared" si="18"/>
        <v>45653.42196</v>
      </c>
      <c r="N615" s="30" t="str">
        <f t="shared" si="3"/>
        <v>SELESAI</v>
      </c>
      <c r="O615" s="45">
        <f t="shared" si="12"/>
        <v>45653.42196</v>
      </c>
      <c r="P615" s="47" t="b">
        <v>0</v>
      </c>
      <c r="Q615" s="36" t="str">
        <f t="shared" si="19"/>
        <v/>
      </c>
      <c r="R615" s="47" t="b">
        <v>1</v>
      </c>
      <c r="S615" s="36">
        <f t="shared" si="6"/>
        <v>45653.42198</v>
      </c>
      <c r="T615" s="42"/>
    </row>
    <row r="616" ht="22.5" customHeight="1">
      <c r="B616" s="42">
        <f t="shared" si="7"/>
        <v>610</v>
      </c>
      <c r="C616" s="31" t="s">
        <v>772</v>
      </c>
      <c r="D616" s="34" t="str">
        <f t="array" ref="D616">IFNA(_xlfn.XLOOKUP(C616,Table_Tarikan_Warkah[Nomor Sertipikat],Table_Tarikan_Warkah[Nomor Tiket]),"")</f>
        <v>L/2/071224/1</v>
      </c>
      <c r="E616" s="36" t="str">
        <f t="array" ref="E616">IFNA(_xlfn.XLOOKUP(D616,Table_Tarikan_Warkah[Nomor Tiket],Table_Tarikan_Warkah[Tanggal diserahkan kepada Validator]),"")</f>
        <v/>
      </c>
      <c r="F616" s="36" t="str">
        <f t="array" ref="F616">IFNA(_xlfn.XLOOKUP(D616,Table_Tarikan_Warkah[Nomor Tiket],Table_Tarikan_Warkah[Nama Petugas Warkah]),"")</f>
        <v/>
      </c>
      <c r="G616" s="39" t="str">
        <f t="array" ref="G616">IFNA(_xlfn.XLOOKUP(D616,Table_Tarikan_Warkah[Nomor Tiket],Table_Tarikan_Warkah[Jenis Permohonan]),"")</f>
        <v>PTPGT</v>
      </c>
      <c r="H616" s="41" t="s">
        <v>11</v>
      </c>
      <c r="I616" s="41" t="s">
        <v>12</v>
      </c>
      <c r="J616" s="36">
        <f t="shared" si="17"/>
        <v>45650.62697</v>
      </c>
      <c r="K616" s="41" t="s">
        <v>26</v>
      </c>
      <c r="L616" s="41" t="s">
        <v>12</v>
      </c>
      <c r="M616" s="36">
        <f t="shared" si="18"/>
        <v>45653.4228</v>
      </c>
      <c r="N616" s="30" t="str">
        <f t="shared" si="3"/>
        <v>SELESAI</v>
      </c>
      <c r="O616" s="45">
        <f t="shared" si="12"/>
        <v>45653.4228</v>
      </c>
      <c r="P616" s="47" t="b">
        <v>0</v>
      </c>
      <c r="Q616" s="36" t="str">
        <f t="shared" si="19"/>
        <v/>
      </c>
      <c r="R616" s="47" t="b">
        <v>1</v>
      </c>
      <c r="S616" s="36">
        <f t="shared" si="6"/>
        <v>45653.42282</v>
      </c>
      <c r="T616" s="42"/>
    </row>
    <row r="617" ht="22.5" customHeight="1">
      <c r="B617" s="42">
        <f t="shared" si="7"/>
        <v>611</v>
      </c>
      <c r="C617" s="31" t="s">
        <v>773</v>
      </c>
      <c r="D617" s="34" t="str">
        <f t="array" ref="D617">IFNA(_xlfn.XLOOKUP(C617,Table_Tarikan_Warkah[Nomor Sertipikat],Table_Tarikan_Warkah[Nomor Tiket]),"")</f>
        <v>K/52/231224/1</v>
      </c>
      <c r="E617" s="36" t="str">
        <f t="array" ref="E617">IFNA(_xlfn.XLOOKUP(D617,Table_Tarikan_Warkah[Nomor Tiket],Table_Tarikan_Warkah[Tanggal diserahkan kepada Validator]),"")</f>
        <v/>
      </c>
      <c r="F617" s="36" t="str">
        <f t="array" ref="F617">IFNA(_xlfn.XLOOKUP(D617,Table_Tarikan_Warkah[Nomor Tiket],Table_Tarikan_Warkah[Nama Petugas Warkah]),"")</f>
        <v/>
      </c>
      <c r="G617" s="39" t="str">
        <f t="array" ref="G617">IFNA(_xlfn.XLOOKUP(D617,Table_Tarikan_Warkah[Nomor Tiket],Table_Tarikan_Warkah[Jenis Permohonan]),"")</f>
        <v>Wakaf</v>
      </c>
      <c r="H617" s="41" t="s">
        <v>11</v>
      </c>
      <c r="I617" s="41" t="s">
        <v>12</v>
      </c>
      <c r="J617" s="36">
        <f t="shared" si="17"/>
        <v>45650.62697</v>
      </c>
      <c r="K617" s="41" t="s">
        <v>26</v>
      </c>
      <c r="L617" s="41" t="s">
        <v>12</v>
      </c>
      <c r="M617" s="36">
        <f t="shared" si="18"/>
        <v>45653.42388</v>
      </c>
      <c r="N617" s="30" t="str">
        <f t="shared" si="3"/>
        <v>SELESAI</v>
      </c>
      <c r="O617" s="45">
        <f t="shared" si="12"/>
        <v>45653.42388</v>
      </c>
      <c r="P617" s="47" t="b">
        <v>0</v>
      </c>
      <c r="Q617" s="36" t="str">
        <f t="shared" si="19"/>
        <v/>
      </c>
      <c r="R617" s="47" t="b">
        <v>1</v>
      </c>
      <c r="S617" s="36">
        <f t="shared" si="6"/>
        <v>45653.42389</v>
      </c>
      <c r="T617" s="42"/>
    </row>
    <row r="618" ht="22.5" customHeight="1">
      <c r="B618" s="42">
        <f t="shared" si="7"/>
        <v>612</v>
      </c>
      <c r="C618" s="31" t="s">
        <v>774</v>
      </c>
      <c r="D618" s="34" t="str">
        <f t="array" ref="D618">IFNA(_xlfn.XLOOKUP(C618,Table_Tarikan_Warkah[Nomor Sertipikat],Table_Tarikan_Warkah[Nomor Tiket]),"")</f>
        <v>L/4/231224/1</v>
      </c>
      <c r="E618" s="36" t="str">
        <f t="array" ref="E618">IFNA(_xlfn.XLOOKUP(D618,Table_Tarikan_Warkah[Nomor Tiket],Table_Tarikan_Warkah[Tanggal diserahkan kepada Validator]),"")</f>
        <v/>
      </c>
      <c r="F618" s="36" t="str">
        <f t="array" ref="F618">IFNA(_xlfn.XLOOKUP(D618,Table_Tarikan_Warkah[Nomor Tiket],Table_Tarikan_Warkah[Nama Petugas Warkah]),"")</f>
        <v/>
      </c>
      <c r="G618" s="39" t="str">
        <f t="array" ref="G618">IFNA(_xlfn.XLOOKUP(D618,Table_Tarikan_Warkah[Nomor Tiket],Table_Tarikan_Warkah[Jenis Permohonan]),"")</f>
        <v>ROYA</v>
      </c>
      <c r="H618" s="41" t="s">
        <v>11</v>
      </c>
      <c r="I618" s="41" t="s">
        <v>12</v>
      </c>
      <c r="J618" s="36">
        <f t="shared" si="17"/>
        <v>45650.62697</v>
      </c>
      <c r="K618" s="41" t="s">
        <v>26</v>
      </c>
      <c r="L618" s="41" t="s">
        <v>12</v>
      </c>
      <c r="M618" s="36">
        <f t="shared" si="18"/>
        <v>45653.42503</v>
      </c>
      <c r="N618" s="30" t="str">
        <f t="shared" si="3"/>
        <v>SELESAI</v>
      </c>
      <c r="O618" s="45">
        <f t="shared" si="12"/>
        <v>45653.42503</v>
      </c>
      <c r="P618" s="47" t="b">
        <v>0</v>
      </c>
      <c r="Q618" s="36" t="str">
        <f t="shared" si="19"/>
        <v/>
      </c>
      <c r="R618" s="47" t="b">
        <v>1</v>
      </c>
      <c r="S618" s="36">
        <f t="shared" si="6"/>
        <v>45653.42506</v>
      </c>
      <c r="T618" s="42"/>
    </row>
    <row r="619" ht="22.5" customHeight="1">
      <c r="B619" s="42">
        <f t="shared" si="7"/>
        <v>613</v>
      </c>
      <c r="C619" s="31" t="s">
        <v>775</v>
      </c>
      <c r="D619" s="34" t="str">
        <f t="array" ref="D619">IFNA(_xlfn.XLOOKUP(C619,Table_Tarikan_Warkah[Nomor Sertipikat],Table_Tarikan_Warkah[Nomor Tiket]),"")</f>
        <v/>
      </c>
      <c r="E619" s="36" t="str">
        <f t="array" ref="E619">IFNA(_xlfn.XLOOKUP(D619,Table_Tarikan_Warkah[Nomor Tiket],Table_Tarikan_Warkah[Tanggal diserahkan kepada Validator]),"")</f>
        <v/>
      </c>
      <c r="F619" s="36" t="str">
        <f t="array" ref="F619">IFNA(_xlfn.XLOOKUP(D619,Table_Tarikan_Warkah[Nomor Tiket],Table_Tarikan_Warkah[Nama Petugas Warkah]),"")</f>
        <v/>
      </c>
      <c r="G619" s="39" t="str">
        <f t="array" ref="G619">IFNA(_xlfn.XLOOKUP(D619,Table_Tarikan_Warkah[Nomor Tiket],Table_Tarikan_Warkah[Jenis Permohonan]),"")</f>
        <v/>
      </c>
      <c r="H619" s="41" t="s">
        <v>11</v>
      </c>
      <c r="I619" s="41" t="s">
        <v>12</v>
      </c>
      <c r="J619" s="36">
        <f t="shared" si="17"/>
        <v>45650.62697</v>
      </c>
      <c r="K619" s="41" t="s">
        <v>26</v>
      </c>
      <c r="L619" s="41" t="s">
        <v>12</v>
      </c>
      <c r="M619" s="36">
        <f t="shared" si="18"/>
        <v>45653.43426</v>
      </c>
      <c r="N619" s="30" t="str">
        <f t="shared" si="3"/>
        <v/>
      </c>
      <c r="O619" s="39" t="str">
        <f t="shared" si="12"/>
        <v/>
      </c>
      <c r="P619" s="47" t="b">
        <v>0</v>
      </c>
      <c r="Q619" s="36" t="str">
        <f t="shared" si="19"/>
        <v/>
      </c>
      <c r="R619" s="47" t="b">
        <v>1</v>
      </c>
      <c r="S619" s="36">
        <f t="shared" si="6"/>
        <v>45653.43433</v>
      </c>
      <c r="T619" s="42"/>
    </row>
    <row r="620" ht="22.5" customHeight="1">
      <c r="B620" s="42">
        <f t="shared" si="7"/>
        <v>614</v>
      </c>
      <c r="C620" s="31" t="s">
        <v>776</v>
      </c>
      <c r="D620" s="34" t="str">
        <f t="array" ref="D620">IFNA(_xlfn.XLOOKUP(C620,Table_Tarikan_Warkah[Nomor Sertipikat],Table_Tarikan_Warkah[Nomor Tiket]),"")</f>
        <v>K/32/201224/4</v>
      </c>
      <c r="E620" s="36" t="str">
        <f t="array" ref="E620">IFNA(_xlfn.XLOOKUP(D620,Table_Tarikan_Warkah[Nomor Tiket],Table_Tarikan_Warkah[Tanggal diserahkan kepada Validator]),"")</f>
        <v/>
      </c>
      <c r="F620" s="36" t="str">
        <f t="array" ref="F620">IFNA(_xlfn.XLOOKUP(D620,Table_Tarikan_Warkah[Nomor Tiket],Table_Tarikan_Warkah[Nama Petugas Warkah]),"")</f>
        <v/>
      </c>
      <c r="G620" s="39" t="str">
        <f t="array" ref="G620">IFNA(_xlfn.XLOOKUP(D620,Table_Tarikan_Warkah[Nomor Tiket],Table_Tarikan_Warkah[Jenis Permohonan]),"")</f>
        <v>BN Waris</v>
      </c>
      <c r="H620" s="41" t="s">
        <v>11</v>
      </c>
      <c r="I620" s="41" t="s">
        <v>12</v>
      </c>
      <c r="J620" s="36">
        <f t="shared" si="17"/>
        <v>45650.62697</v>
      </c>
      <c r="K620" s="41" t="s">
        <v>26</v>
      </c>
      <c r="L620" s="41" t="s">
        <v>12</v>
      </c>
      <c r="M620" s="36">
        <f t="shared" si="18"/>
        <v>45653.43426</v>
      </c>
      <c r="N620" s="30" t="str">
        <f t="shared" si="3"/>
        <v>SELESAI</v>
      </c>
      <c r="O620" s="45">
        <f t="shared" si="12"/>
        <v>45653.43426</v>
      </c>
      <c r="P620" s="47" t="b">
        <v>0</v>
      </c>
      <c r="Q620" s="36" t="str">
        <f t="shared" si="19"/>
        <v/>
      </c>
      <c r="R620" s="47" t="b">
        <v>1</v>
      </c>
      <c r="S620" s="36">
        <f t="shared" si="6"/>
        <v>45653.43434</v>
      </c>
      <c r="T620" s="42"/>
    </row>
    <row r="621" ht="22.5" customHeight="1">
      <c r="B621" s="42">
        <f t="shared" si="7"/>
        <v>615</v>
      </c>
      <c r="C621" s="31" t="s">
        <v>777</v>
      </c>
      <c r="D621" s="34" t="str">
        <f t="array" ref="D621">IFNA(_xlfn.XLOOKUP(C621,Table_Tarikan_Warkah[Nomor Sertipikat],Table_Tarikan_Warkah[Nomor Tiket]),"")</f>
        <v>K/30/201224/2</v>
      </c>
      <c r="E621" s="36" t="str">
        <f t="array" ref="E621">IFNA(_xlfn.XLOOKUP(D621,Table_Tarikan_Warkah[Nomor Tiket],Table_Tarikan_Warkah[Tanggal diserahkan kepada Validator]),"")</f>
        <v/>
      </c>
      <c r="F621" s="36" t="str">
        <f t="array" ref="F621">IFNA(_xlfn.XLOOKUP(D621,Table_Tarikan_Warkah[Nomor Tiket],Table_Tarikan_Warkah[Nama Petugas Warkah]),"")</f>
        <v/>
      </c>
      <c r="G621" s="39" t="str">
        <f t="array" ref="G621">IFNA(_xlfn.XLOOKUP(D621,Table_Tarikan_Warkah[Nomor Tiket],Table_Tarikan_Warkah[Jenis Permohonan]),"")</f>
        <v>BN Hibah</v>
      </c>
      <c r="H621" s="41" t="s">
        <v>11</v>
      </c>
      <c r="I621" s="41" t="s">
        <v>12</v>
      </c>
      <c r="J621" s="36">
        <f t="shared" si="17"/>
        <v>45650.62697</v>
      </c>
      <c r="K621" s="41" t="s">
        <v>26</v>
      </c>
      <c r="L621" s="41" t="s">
        <v>12</v>
      </c>
      <c r="M621" s="36">
        <f t="shared" si="18"/>
        <v>45653.43552</v>
      </c>
      <c r="N621" s="30" t="str">
        <f t="shared" si="3"/>
        <v>SELESAI</v>
      </c>
      <c r="O621" s="45">
        <f t="shared" si="12"/>
        <v>45653.43552</v>
      </c>
      <c r="P621" s="47" t="b">
        <v>0</v>
      </c>
      <c r="Q621" s="36" t="str">
        <f t="shared" si="19"/>
        <v/>
      </c>
      <c r="R621" s="47" t="b">
        <v>1</v>
      </c>
      <c r="S621" s="36">
        <f t="shared" si="6"/>
        <v>45653.43548</v>
      </c>
      <c r="T621" s="42"/>
    </row>
    <row r="622" ht="22.5" customHeight="1">
      <c r="B622" s="42">
        <f t="shared" si="7"/>
        <v>616</v>
      </c>
      <c r="C622" s="31" t="s">
        <v>778</v>
      </c>
      <c r="D622" s="34" t="str">
        <f t="array" ref="D622">IFNA(_xlfn.XLOOKUP(C622,Table_Tarikan_Warkah[Nomor Sertipikat],Table_Tarikan_Warkah[Nomor Tiket]),"")</f>
        <v>K/27/201224/3</v>
      </c>
      <c r="E622" s="36" t="str">
        <f t="array" ref="E622">IFNA(_xlfn.XLOOKUP(D622,Table_Tarikan_Warkah[Nomor Tiket],Table_Tarikan_Warkah[Tanggal diserahkan kepada Validator]),"")</f>
        <v/>
      </c>
      <c r="F622" s="36" t="str">
        <f t="array" ref="F622">IFNA(_xlfn.XLOOKUP(D622,Table_Tarikan_Warkah[Nomor Tiket],Table_Tarikan_Warkah[Nama Petugas Warkah]),"")</f>
        <v/>
      </c>
      <c r="G622" s="39" t="str">
        <f t="array" ref="G622">IFNA(_xlfn.XLOOKUP(D622,Table_Tarikan_Warkah[Nomor Tiket],Table_Tarikan_Warkah[Jenis Permohonan]),"")</f>
        <v>BN JUAL BELI</v>
      </c>
      <c r="H622" s="41" t="s">
        <v>11</v>
      </c>
      <c r="I622" s="41" t="s">
        <v>12</v>
      </c>
      <c r="J622" s="36">
        <f t="shared" si="17"/>
        <v>45650.62697</v>
      </c>
      <c r="K622" s="41" t="s">
        <v>26</v>
      </c>
      <c r="L622" s="41" t="s">
        <v>12</v>
      </c>
      <c r="M622" s="36">
        <f t="shared" si="18"/>
        <v>45653.43645</v>
      </c>
      <c r="N622" s="30" t="str">
        <f t="shared" si="3"/>
        <v>SELESAI</v>
      </c>
      <c r="O622" s="45">
        <f t="shared" si="12"/>
        <v>45653.43645</v>
      </c>
      <c r="P622" s="47" t="b">
        <v>0</v>
      </c>
      <c r="Q622" s="36" t="str">
        <f t="shared" si="19"/>
        <v/>
      </c>
      <c r="R622" s="47" t="b">
        <v>1</v>
      </c>
      <c r="S622" s="36">
        <f t="shared" si="6"/>
        <v>45653.43649</v>
      </c>
      <c r="T622" s="42"/>
    </row>
    <row r="623" ht="22.5" customHeight="1">
      <c r="B623" s="42">
        <f t="shared" si="7"/>
        <v>617</v>
      </c>
      <c r="C623" s="31" t="s">
        <v>779</v>
      </c>
      <c r="D623" s="34" t="str">
        <f t="array" ref="D623">IFNA(_xlfn.XLOOKUP(C623,Table_Tarikan_Warkah[Nomor Sertipikat],Table_Tarikan_Warkah[Nomor Tiket]),"")</f>
        <v>K/43/231224/2</v>
      </c>
      <c r="E623" s="36" t="str">
        <f t="array" ref="E623">IFNA(_xlfn.XLOOKUP(D623,Table_Tarikan_Warkah[Nomor Tiket],Table_Tarikan_Warkah[Tanggal diserahkan kepada Validator]),"")</f>
        <v/>
      </c>
      <c r="F623" s="36" t="str">
        <f t="array" ref="F623">IFNA(_xlfn.XLOOKUP(D623,Table_Tarikan_Warkah[Nomor Tiket],Table_Tarikan_Warkah[Nama Petugas Warkah]),"")</f>
        <v/>
      </c>
      <c r="G623" s="39" t="str">
        <f t="array" ref="G623">IFNA(_xlfn.XLOOKUP(D623,Table_Tarikan_Warkah[Nomor Tiket],Table_Tarikan_Warkah[Jenis Permohonan]),"")</f>
        <v>BN Jual Beli</v>
      </c>
      <c r="H623" s="41" t="s">
        <v>11</v>
      </c>
      <c r="I623" s="41" t="s">
        <v>12</v>
      </c>
      <c r="J623" s="36">
        <f t="shared" si="17"/>
        <v>45650.62697</v>
      </c>
      <c r="K623" s="41" t="s">
        <v>26</v>
      </c>
      <c r="L623" s="41" t="s">
        <v>12</v>
      </c>
      <c r="M623" s="36">
        <f t="shared" si="18"/>
        <v>45653.43894</v>
      </c>
      <c r="N623" s="30" t="str">
        <f t="shared" si="3"/>
        <v>SELESAI</v>
      </c>
      <c r="O623" s="45">
        <f t="shared" si="12"/>
        <v>45653.43894</v>
      </c>
      <c r="P623" s="47" t="b">
        <v>0</v>
      </c>
      <c r="Q623" s="36" t="str">
        <f t="shared" si="19"/>
        <v/>
      </c>
      <c r="R623" s="47" t="b">
        <v>1</v>
      </c>
      <c r="S623" s="36">
        <f t="shared" si="6"/>
        <v>45653.43897</v>
      </c>
      <c r="T623" s="42"/>
    </row>
    <row r="624" ht="22.5" customHeight="1">
      <c r="B624" s="42">
        <f t="shared" si="7"/>
        <v>618</v>
      </c>
      <c r="C624" s="31" t="s">
        <v>780</v>
      </c>
      <c r="D624" s="34" t="str">
        <f t="array" ref="D624">IFNA(_xlfn.XLOOKUP(C624,Table_Tarikan_Warkah[Nomor Sertipikat],Table_Tarikan_Warkah[Nomor Tiket]),"")</f>
        <v>K/42/231224/1</v>
      </c>
      <c r="E624" s="36" t="str">
        <f t="array" ref="E624">IFNA(_xlfn.XLOOKUP(D624,Table_Tarikan_Warkah[Nomor Tiket],Table_Tarikan_Warkah[Tanggal diserahkan kepada Validator]),"")</f>
        <v/>
      </c>
      <c r="F624" s="36" t="str">
        <f t="array" ref="F624">IFNA(_xlfn.XLOOKUP(D624,Table_Tarikan_Warkah[Nomor Tiket],Table_Tarikan_Warkah[Nama Petugas Warkah]),"")</f>
        <v/>
      </c>
      <c r="G624" s="39" t="str">
        <f t="array" ref="G624">IFNA(_xlfn.XLOOKUP(D624,Table_Tarikan_Warkah[Nomor Tiket],Table_Tarikan_Warkah[Jenis Permohonan]),"")</f>
        <v>BN Jual Beli</v>
      </c>
      <c r="H624" s="41" t="s">
        <v>11</v>
      </c>
      <c r="I624" s="41" t="s">
        <v>12</v>
      </c>
      <c r="J624" s="36">
        <f t="shared" si="17"/>
        <v>45650.62697</v>
      </c>
      <c r="K624" s="41" t="s">
        <v>26</v>
      </c>
      <c r="L624" s="41" t="s">
        <v>12</v>
      </c>
      <c r="M624" s="36">
        <f t="shared" si="18"/>
        <v>45653.44098</v>
      </c>
      <c r="N624" s="30" t="str">
        <f t="shared" si="3"/>
        <v>SELESAI</v>
      </c>
      <c r="O624" s="45">
        <f t="shared" si="12"/>
        <v>45653.44098</v>
      </c>
      <c r="P624" s="47" t="b">
        <v>0</v>
      </c>
      <c r="Q624" s="36" t="str">
        <f t="shared" si="19"/>
        <v/>
      </c>
      <c r="R624" s="47" t="b">
        <v>1</v>
      </c>
      <c r="S624" s="36">
        <f t="shared" si="6"/>
        <v>45653.44107</v>
      </c>
      <c r="T624" s="42"/>
    </row>
    <row r="625" ht="22.5" customHeight="1">
      <c r="B625" s="42">
        <f t="shared" si="7"/>
        <v>619</v>
      </c>
      <c r="C625" s="31" t="s">
        <v>781</v>
      </c>
      <c r="D625" s="34" t="str">
        <f t="array" ref="D625">IFNA(_xlfn.XLOOKUP(C625,Table_Tarikan_Warkah[Nomor Sertipikat],Table_Tarikan_Warkah[Nomor Tiket]),"")</f>
        <v>K/32/231224/3</v>
      </c>
      <c r="E625" s="36" t="str">
        <f t="array" ref="E625">IFNA(_xlfn.XLOOKUP(D625,Table_Tarikan_Warkah[Nomor Tiket],Table_Tarikan_Warkah[Tanggal diserahkan kepada Validator]),"")</f>
        <v/>
      </c>
      <c r="F625" s="36" t="str">
        <f t="array" ref="F625">IFNA(_xlfn.XLOOKUP(D625,Table_Tarikan_Warkah[Nomor Tiket],Table_Tarikan_Warkah[Nama Petugas Warkah]),"")</f>
        <v/>
      </c>
      <c r="G625" s="39" t="str">
        <f t="array" ref="G625">IFNA(_xlfn.XLOOKUP(D625,Table_Tarikan_Warkah[Nomor Tiket],Table_Tarikan_Warkah[Jenis Permohonan]),"")</f>
        <v>BN Jual Beli</v>
      </c>
      <c r="H625" s="41" t="s">
        <v>11</v>
      </c>
      <c r="I625" s="41" t="s">
        <v>12</v>
      </c>
      <c r="J625" s="36">
        <f t="shared" si="17"/>
        <v>45650.62697</v>
      </c>
      <c r="K625" s="41" t="s">
        <v>26</v>
      </c>
      <c r="L625" s="41" t="s">
        <v>12</v>
      </c>
      <c r="M625" s="36">
        <f t="shared" si="18"/>
        <v>45653.441</v>
      </c>
      <c r="N625" s="30" t="str">
        <f t="shared" si="3"/>
        <v>SELESAI</v>
      </c>
      <c r="O625" s="45">
        <f t="shared" si="12"/>
        <v>45653.441</v>
      </c>
      <c r="P625" s="47" t="b">
        <v>0</v>
      </c>
      <c r="Q625" s="36" t="str">
        <f t="shared" si="19"/>
        <v/>
      </c>
      <c r="R625" s="47" t="b">
        <v>1</v>
      </c>
      <c r="S625" s="36">
        <f t="shared" si="6"/>
        <v>45653.44106</v>
      </c>
      <c r="T625" s="42"/>
    </row>
    <row r="626" ht="22.5" customHeight="1">
      <c r="B626" s="42">
        <f t="shared" si="7"/>
        <v>620</v>
      </c>
      <c r="C626" s="31" t="s">
        <v>782</v>
      </c>
      <c r="D626" s="34" t="str">
        <f t="array" ref="D626">IFNA(_xlfn.XLOOKUP(C626,Table_Tarikan_Warkah[Nomor Sertipikat],Table_Tarikan_Warkah[Nomor Tiket]),"")</f>
        <v>K/31/231224/2</v>
      </c>
      <c r="E626" s="36" t="str">
        <f t="array" ref="E626">IFNA(_xlfn.XLOOKUP(D626,Table_Tarikan_Warkah[Nomor Tiket],Table_Tarikan_Warkah[Tanggal diserahkan kepada Validator]),"")</f>
        <v/>
      </c>
      <c r="F626" s="36" t="str">
        <f t="array" ref="F626">IFNA(_xlfn.XLOOKUP(D626,Table_Tarikan_Warkah[Nomor Tiket],Table_Tarikan_Warkah[Nama Petugas Warkah]),"")</f>
        <v/>
      </c>
      <c r="G626" s="39" t="str">
        <f t="array" ref="G626">IFNA(_xlfn.XLOOKUP(D626,Table_Tarikan_Warkah[Nomor Tiket],Table_Tarikan_Warkah[Jenis Permohonan]),"")</f>
        <v>BN Jual Beli</v>
      </c>
      <c r="H626" s="41" t="s">
        <v>11</v>
      </c>
      <c r="I626" s="41" t="s">
        <v>12</v>
      </c>
      <c r="J626" s="36">
        <f t="shared" si="17"/>
        <v>45650.62697</v>
      </c>
      <c r="K626" s="41" t="s">
        <v>26</v>
      </c>
      <c r="L626" s="41" t="s">
        <v>12</v>
      </c>
      <c r="M626" s="36">
        <f t="shared" si="18"/>
        <v>45653.44103</v>
      </c>
      <c r="N626" s="30" t="str">
        <f t="shared" si="3"/>
        <v>SELESAI</v>
      </c>
      <c r="O626" s="45">
        <f t="shared" si="12"/>
        <v>45653.44103</v>
      </c>
      <c r="P626" s="47" t="b">
        <v>0</v>
      </c>
      <c r="Q626" s="36" t="str">
        <f t="shared" si="19"/>
        <v/>
      </c>
      <c r="R626" s="47" t="b">
        <v>1</v>
      </c>
      <c r="S626" s="36">
        <f t="shared" si="6"/>
        <v>45653.44105</v>
      </c>
      <c r="T626" s="42"/>
    </row>
    <row r="627" ht="22.5" customHeight="1">
      <c r="B627" s="42">
        <f t="shared" si="7"/>
        <v>621</v>
      </c>
      <c r="C627" s="31" t="s">
        <v>783</v>
      </c>
      <c r="D627" s="34" t="str">
        <f t="array" ref="D627">IFNA(_xlfn.XLOOKUP(C627,Table_Tarikan_Warkah[Nomor Sertipikat],Table_Tarikan_Warkah[Nomor Tiket]),"")</f>
        <v>L/13/231224/1</v>
      </c>
      <c r="E627" s="36" t="str">
        <f t="array" ref="E627">IFNA(_xlfn.XLOOKUP(D627,Table_Tarikan_Warkah[Nomor Tiket],Table_Tarikan_Warkah[Tanggal diserahkan kepada Validator]),"")</f>
        <v/>
      </c>
      <c r="F627" s="36" t="str">
        <f t="array" ref="F627">IFNA(_xlfn.XLOOKUP(D627,Table_Tarikan_Warkah[Nomor Tiket],Table_Tarikan_Warkah[Nama Petugas Warkah]),"")</f>
        <v/>
      </c>
      <c r="G627" s="39" t="str">
        <f t="array" ref="G627">IFNA(_xlfn.XLOOKUP(D627,Table_Tarikan_Warkah[Nomor Tiket],Table_Tarikan_Warkah[Jenis Permohonan]),"")</f>
        <v>GANTI NAMA &amp; TGL LAHIR</v>
      </c>
      <c r="H627" s="41" t="s">
        <v>11</v>
      </c>
      <c r="I627" s="41" t="s">
        <v>12</v>
      </c>
      <c r="J627" s="36">
        <f t="shared" si="17"/>
        <v>45650.62697</v>
      </c>
      <c r="K627" s="41" t="s">
        <v>26</v>
      </c>
      <c r="L627" s="41" t="s">
        <v>12</v>
      </c>
      <c r="M627" s="36">
        <f t="shared" si="18"/>
        <v>45653.47</v>
      </c>
      <c r="N627" s="30" t="str">
        <f t="shared" si="3"/>
        <v>SELESAI</v>
      </c>
      <c r="O627" s="45">
        <f t="shared" si="12"/>
        <v>45653.47</v>
      </c>
      <c r="P627" s="47" t="b">
        <v>0</v>
      </c>
      <c r="Q627" s="36" t="str">
        <f t="shared" si="19"/>
        <v/>
      </c>
      <c r="R627" s="47" t="b">
        <v>1</v>
      </c>
      <c r="S627" s="36">
        <f t="shared" si="6"/>
        <v>45653.47003</v>
      </c>
      <c r="T627" s="42"/>
    </row>
    <row r="628" ht="22.5" customHeight="1">
      <c r="B628" s="42">
        <f t="shared" si="7"/>
        <v>622</v>
      </c>
      <c r="C628" s="31" t="s">
        <v>784</v>
      </c>
      <c r="D628" s="34" t="str">
        <f t="array" ref="D628">IFNA(_xlfn.XLOOKUP(C628,Table_Tarikan_Warkah[Nomor Sertipikat],Table_Tarikan_Warkah[Nomor Tiket]),"")</f>
        <v>L/35/201224/1</v>
      </c>
      <c r="E628" s="36">
        <f t="array" ref="E628">IFNA(_xlfn.XLOOKUP(D628,Table_Tarikan_Warkah[Nomor Tiket],Table_Tarikan_Warkah[Tanggal diserahkan kepada Validator]),"")</f>
        <v>45694.62372</v>
      </c>
      <c r="F628" s="36" t="str">
        <f t="array" ref="F628">IFNA(_xlfn.XLOOKUP(D628,Table_Tarikan_Warkah[Nomor Tiket],Table_Tarikan_Warkah[Nama Petugas Warkah]),"")</f>
        <v/>
      </c>
      <c r="G628" s="39" t="str">
        <f t="array" ref="G628">IFNA(_xlfn.XLOOKUP(D628,Table_Tarikan_Warkah[Nomor Tiket],Table_Tarikan_Warkah[Jenis Permohonan]),"")</f>
        <v>ROYA</v>
      </c>
      <c r="H628" s="41" t="s">
        <v>11</v>
      </c>
      <c r="I628" s="41" t="s">
        <v>12</v>
      </c>
      <c r="J628" s="36">
        <f t="shared" si="17"/>
        <v>45650.62697</v>
      </c>
      <c r="K628" s="41" t="s">
        <v>26</v>
      </c>
      <c r="L628" s="41" t="s">
        <v>12</v>
      </c>
      <c r="M628" s="36">
        <f t="shared" si="18"/>
        <v>45653.47069</v>
      </c>
      <c r="N628" s="30" t="str">
        <f t="shared" si="3"/>
        <v>SELESAI</v>
      </c>
      <c r="O628" s="45">
        <f t="shared" si="12"/>
        <v>45653.47069</v>
      </c>
      <c r="P628" s="47" t="b">
        <v>0</v>
      </c>
      <c r="Q628" s="36" t="str">
        <f t="shared" si="19"/>
        <v/>
      </c>
      <c r="R628" s="47" t="b">
        <v>1</v>
      </c>
      <c r="S628" s="36">
        <f t="shared" si="6"/>
        <v>45653.47073</v>
      </c>
      <c r="T628" s="42"/>
    </row>
    <row r="629" ht="22.5" customHeight="1">
      <c r="B629" s="42">
        <f t="shared" si="7"/>
        <v>623</v>
      </c>
      <c r="C629" s="31" t="s">
        <v>134</v>
      </c>
      <c r="D629" s="34" t="str">
        <f t="array" ref="D629">IFNA(_xlfn.XLOOKUP(C629,Table_Tarikan_Warkah[Nomor Sertipikat],Table_Tarikan_Warkah[Nomor Tiket]),"")</f>
        <v>L/28/201224/1</v>
      </c>
      <c r="E629" s="36" t="str">
        <f t="array" ref="E629">IFNA(_xlfn.XLOOKUP(D629,Table_Tarikan_Warkah[Nomor Tiket],Table_Tarikan_Warkah[Tanggal diserahkan kepada Validator]),"")</f>
        <v/>
      </c>
      <c r="F629" s="36" t="str">
        <f t="array" ref="F629">IFNA(_xlfn.XLOOKUP(D629,Table_Tarikan_Warkah[Nomor Tiket],Table_Tarikan_Warkah[Nama Petugas Warkah]),"")</f>
        <v/>
      </c>
      <c r="G629" s="39" t="str">
        <f t="array" ref="G629">IFNA(_xlfn.XLOOKUP(D629,Table_Tarikan_Warkah[Nomor Tiket],Table_Tarikan_Warkah[Jenis Permohonan]),"")</f>
        <v>BN JUAL - BELI</v>
      </c>
      <c r="H629" s="41" t="s">
        <v>11</v>
      </c>
      <c r="I629" s="41" t="s">
        <v>12</v>
      </c>
      <c r="J629" s="36">
        <f t="shared" si="17"/>
        <v>45650.62719</v>
      </c>
      <c r="K629" s="51"/>
      <c r="L629" s="51"/>
      <c r="M629" s="36" t="str">
        <f t="shared" si="18"/>
        <v/>
      </c>
      <c r="N629" s="30" t="str">
        <f t="shared" si="3"/>
        <v>BT atau SU Belum Valid</v>
      </c>
      <c r="O629" s="39" t="str">
        <f t="shared" si="12"/>
        <v/>
      </c>
      <c r="P629" s="47" t="b">
        <v>0</v>
      </c>
      <c r="Q629" s="36" t="str">
        <f t="shared" si="19"/>
        <v/>
      </c>
      <c r="R629" s="47" t="b">
        <v>0</v>
      </c>
      <c r="S629" s="42" t="str">
        <f t="shared" si="6"/>
        <v/>
      </c>
      <c r="T629" s="42"/>
    </row>
    <row r="630" ht="22.5" customHeight="1">
      <c r="B630" s="42">
        <f t="shared" si="7"/>
        <v>624</v>
      </c>
      <c r="C630" s="31" t="s">
        <v>136</v>
      </c>
      <c r="D630" s="34" t="str">
        <f t="array" ref="D630">IFNA(_xlfn.XLOOKUP(C630,Table_Tarikan_Warkah[Nomor Sertipikat],Table_Tarikan_Warkah[Nomor Tiket]),"")</f>
        <v>K/1/191224/1</v>
      </c>
      <c r="E630" s="36" t="str">
        <f t="array" ref="E630">IFNA(_xlfn.XLOOKUP(D630,Table_Tarikan_Warkah[Nomor Tiket],Table_Tarikan_Warkah[Tanggal diserahkan kepada Validator]),"")</f>
        <v/>
      </c>
      <c r="F630" s="36" t="str">
        <f t="array" ref="F630">IFNA(_xlfn.XLOOKUP(D630,Table_Tarikan_Warkah[Nomor Tiket],Table_Tarikan_Warkah[Nama Petugas Warkah]),"")</f>
        <v/>
      </c>
      <c r="G630" s="39" t="str">
        <f t="array" ref="G630">IFNA(_xlfn.XLOOKUP(D630,Table_Tarikan_Warkah[Nomor Tiket],Table_Tarikan_Warkah[Jenis Permohonan]),"")</f>
        <v>ROYA</v>
      </c>
      <c r="H630" s="41" t="s">
        <v>11</v>
      </c>
      <c r="I630" s="41" t="s">
        <v>12</v>
      </c>
      <c r="J630" s="36">
        <f t="shared" si="17"/>
        <v>45650.62719</v>
      </c>
      <c r="K630" s="51"/>
      <c r="L630" s="51"/>
      <c r="M630" s="36" t="str">
        <f t="shared" si="18"/>
        <v/>
      </c>
      <c r="N630" s="30" t="str">
        <f t="shared" si="3"/>
        <v>BT atau SU Belum Valid</v>
      </c>
      <c r="O630" s="39" t="str">
        <f t="shared" si="12"/>
        <v/>
      </c>
      <c r="P630" s="47" t="b">
        <v>0</v>
      </c>
      <c r="Q630" s="36" t="str">
        <f t="shared" si="19"/>
        <v/>
      </c>
      <c r="R630" s="47" t="b">
        <v>0</v>
      </c>
      <c r="S630" s="42" t="str">
        <f t="shared" si="6"/>
        <v/>
      </c>
      <c r="T630" s="42"/>
    </row>
    <row r="631" ht="22.5" customHeight="1">
      <c r="B631" s="42">
        <f t="shared" si="7"/>
        <v>625</v>
      </c>
      <c r="C631" s="31" t="s">
        <v>138</v>
      </c>
      <c r="D631" s="34" t="str">
        <f t="array" ref="D631">IFNA(_xlfn.XLOOKUP(C631,Table_Tarikan_Warkah[Nomor Sertipikat],Table_Tarikan_Warkah[Nomor Tiket]),"")</f>
        <v>K/27/131224/2</v>
      </c>
      <c r="E631" s="36">
        <f t="array" ref="E631">IFNA(_xlfn.XLOOKUP(D631,Table_Tarikan_Warkah[Nomor Tiket],Table_Tarikan_Warkah[Tanggal diserahkan kepada Validator]),"")</f>
        <v>0</v>
      </c>
      <c r="F631" s="36" t="str">
        <f t="array" ref="F631">IFNA(_xlfn.XLOOKUP(D631,Table_Tarikan_Warkah[Nomor Tiket],Table_Tarikan_Warkah[Nama Petugas Warkah]),"")</f>
        <v>Berry</v>
      </c>
      <c r="G631" s="39" t="str">
        <f t="array" ref="G631">IFNA(_xlfn.XLOOKUP(D631,Table_Tarikan_Warkah[Nomor Tiket],Table_Tarikan_Warkah[Jenis Permohonan]),"")</f>
        <v>BN Jual Beli</v>
      </c>
      <c r="H631" s="41" t="s">
        <v>11</v>
      </c>
      <c r="I631" s="41" t="s">
        <v>23</v>
      </c>
      <c r="J631" s="36">
        <f t="shared" si="17"/>
        <v>45650.6272</v>
      </c>
      <c r="K631" s="49" t="s">
        <v>26</v>
      </c>
      <c r="L631" s="49" t="s">
        <v>23</v>
      </c>
      <c r="M631" s="36">
        <f t="shared" si="18"/>
        <v>45664.36144</v>
      </c>
      <c r="N631" s="30" t="str">
        <f t="shared" si="3"/>
        <v>Selesai</v>
      </c>
      <c r="O631" s="45">
        <f t="shared" si="12"/>
        <v>45664.36144</v>
      </c>
      <c r="P631" s="47" t="b">
        <v>1</v>
      </c>
      <c r="Q631" s="36">
        <f t="shared" si="19"/>
        <v>45664.36144</v>
      </c>
      <c r="R631" s="47" t="b">
        <v>0</v>
      </c>
      <c r="S631" s="42" t="str">
        <f t="shared" si="6"/>
        <v/>
      </c>
      <c r="T631" s="42"/>
    </row>
    <row r="632" ht="22.5" customHeight="1">
      <c r="B632" s="42">
        <f t="shared" si="7"/>
        <v>626</v>
      </c>
      <c r="C632" s="31" t="s">
        <v>141</v>
      </c>
      <c r="D632" s="34" t="str">
        <f t="array" ref="D632">IFNA(_xlfn.XLOOKUP(C632,Table_Tarikan_Warkah[Nomor Sertipikat],Table_Tarikan_Warkah[Nomor Tiket]),"")</f>
        <v>K/38/181224/1</v>
      </c>
      <c r="E632" s="36">
        <f t="array" ref="E632">IFNA(_xlfn.XLOOKUP(D632,Table_Tarikan_Warkah[Nomor Tiket],Table_Tarikan_Warkah[Tanggal diserahkan kepada Validator]),"")</f>
        <v>45664.69801</v>
      </c>
      <c r="F632" s="36" t="str">
        <f t="array" ref="F632">IFNA(_xlfn.XLOOKUP(D632,Table_Tarikan_Warkah[Nomor Tiket],Table_Tarikan_Warkah[Nama Petugas Warkah]),"")</f>
        <v>Berry</v>
      </c>
      <c r="G632" s="39" t="str">
        <f t="array" ref="G632">IFNA(_xlfn.XLOOKUP(D632,Table_Tarikan_Warkah[Nomor Tiket],Table_Tarikan_Warkah[Jenis Permohonan]),"")</f>
        <v>KEWARISAN</v>
      </c>
      <c r="H632" s="41" t="s">
        <v>20</v>
      </c>
      <c r="I632" s="41" t="s">
        <v>23</v>
      </c>
      <c r="J632" s="36">
        <f t="shared" si="17"/>
        <v>45653.40504</v>
      </c>
      <c r="K632" s="49" t="s">
        <v>26</v>
      </c>
      <c r="L632" s="49" t="s">
        <v>23</v>
      </c>
      <c r="M632" s="36">
        <f t="shared" si="18"/>
        <v>45664.36144</v>
      </c>
      <c r="N632" s="30" t="str">
        <f t="shared" si="3"/>
        <v>Selesai</v>
      </c>
      <c r="O632" s="45">
        <f t="shared" si="12"/>
        <v>45664.36144</v>
      </c>
      <c r="P632" s="47" t="b">
        <v>1</v>
      </c>
      <c r="Q632" s="36">
        <f t="shared" si="19"/>
        <v>45664.36144</v>
      </c>
      <c r="R632" s="47" t="b">
        <v>0</v>
      </c>
      <c r="S632" s="42" t="str">
        <f t="shared" si="6"/>
        <v/>
      </c>
      <c r="T632" s="42"/>
    </row>
    <row r="633" ht="22.5" customHeight="1">
      <c r="B633" s="42">
        <f t="shared" si="7"/>
        <v>627</v>
      </c>
      <c r="C633" s="31" t="s">
        <v>143</v>
      </c>
      <c r="D633" s="42" t="s">
        <v>144</v>
      </c>
      <c r="E633" s="36">
        <f t="array" ref="E633">IFNA(_xlfn.XLOOKUP(D633,Table_Tarikan_Warkah[Nomor Tiket],Table_Tarikan_Warkah[Tanggal diserahkan kepada Validator]),"")</f>
        <v>0</v>
      </c>
      <c r="F633" s="36" t="str">
        <f t="array" ref="F633">IFNA(_xlfn.XLOOKUP(D633,Table_Tarikan_Warkah[Nomor Tiket],Table_Tarikan_Warkah[Nama Petugas Warkah]),"")</f>
        <v>Berry</v>
      </c>
      <c r="G633" s="39" t="str">
        <f t="array" ref="G633">IFNA(_xlfn.XLOOKUP(D633,Table_Tarikan_Warkah[Nomor Tiket],Table_Tarikan_Warkah[Jenis Permohonan]),"")</f>
        <v>KEWARISAN</v>
      </c>
      <c r="H633" s="41" t="s">
        <v>20</v>
      </c>
      <c r="I633" s="41" t="s">
        <v>23</v>
      </c>
      <c r="J633" s="36">
        <f t="shared" si="17"/>
        <v>45653.41231</v>
      </c>
      <c r="K633" s="49" t="s">
        <v>26</v>
      </c>
      <c r="L633" s="49" t="s">
        <v>23</v>
      </c>
      <c r="M633" s="36">
        <f t="shared" si="18"/>
        <v>45664.36144</v>
      </c>
      <c r="N633" s="30" t="str">
        <f t="shared" si="3"/>
        <v>Selesai</v>
      </c>
      <c r="O633" s="45">
        <f t="shared" si="12"/>
        <v>45664.36144</v>
      </c>
      <c r="P633" s="47" t="b">
        <v>1</v>
      </c>
      <c r="Q633" s="36">
        <f t="shared" si="19"/>
        <v>45664.36144</v>
      </c>
      <c r="R633" s="47" t="b">
        <v>0</v>
      </c>
      <c r="S633" s="42" t="str">
        <f t="shared" si="6"/>
        <v/>
      </c>
      <c r="T633" s="42"/>
    </row>
    <row r="634" ht="22.5" customHeight="1">
      <c r="B634" s="42">
        <f t="shared" si="7"/>
        <v>628</v>
      </c>
      <c r="C634" s="31" t="s">
        <v>785</v>
      </c>
      <c r="D634" s="34" t="str">
        <f t="array" ref="D634">IFNA(_xlfn.XLOOKUP(C634,Table_Tarikan_Warkah[Nomor Sertipikat],Table_Tarikan_Warkah[Nomor Tiket]),"")</f>
        <v>K/37/191224/4</v>
      </c>
      <c r="E634" s="36" t="str">
        <f t="array" ref="E634">IFNA(_xlfn.XLOOKUP(D634,Table_Tarikan_Warkah[Nomor Tiket],Table_Tarikan_Warkah[Tanggal diserahkan kepada Validator]),"")</f>
        <v/>
      </c>
      <c r="F634" s="36" t="str">
        <f t="array" ref="F634">IFNA(_xlfn.XLOOKUP(D634,Table_Tarikan_Warkah[Nomor Tiket],Table_Tarikan_Warkah[Nama Petugas Warkah]),"")</f>
        <v/>
      </c>
      <c r="G634" s="39" t="str">
        <f t="array" ref="G634">IFNA(_xlfn.XLOOKUP(D634,Table_Tarikan_Warkah[Nomor Tiket],Table_Tarikan_Warkah[Jenis Permohonan]),"")</f>
        <v>BN Jual Beli</v>
      </c>
      <c r="H634" s="41" t="s">
        <v>20</v>
      </c>
      <c r="I634" s="41" t="s">
        <v>12</v>
      </c>
      <c r="J634" s="36">
        <f t="shared" si="17"/>
        <v>45653.58493</v>
      </c>
      <c r="K634" s="41" t="s">
        <v>26</v>
      </c>
      <c r="L634" s="41" t="s">
        <v>12</v>
      </c>
      <c r="M634" s="36">
        <f t="shared" si="18"/>
        <v>45653.58512</v>
      </c>
      <c r="N634" s="30" t="str">
        <f t="shared" si="3"/>
        <v>SELESAI</v>
      </c>
      <c r="O634" s="45">
        <f t="shared" si="12"/>
        <v>45653.58512</v>
      </c>
      <c r="P634" s="47" t="b">
        <v>0</v>
      </c>
      <c r="Q634" s="36" t="str">
        <f t="shared" si="19"/>
        <v/>
      </c>
      <c r="R634" s="47" t="b">
        <v>1</v>
      </c>
      <c r="S634" s="36">
        <f t="shared" si="6"/>
        <v>45653.58515</v>
      </c>
      <c r="T634" s="42"/>
    </row>
    <row r="635" ht="22.5" customHeight="1">
      <c r="B635" s="42">
        <f t="shared" si="7"/>
        <v>629</v>
      </c>
      <c r="C635" s="31" t="s">
        <v>151</v>
      </c>
      <c r="D635" s="34" t="str">
        <f t="array" ref="D635">IFNA(_xlfn.XLOOKUP(C635,Table_Tarikan_Warkah[Nomor Sertipikat],Table_Tarikan_Warkah[Nomor Tiket]),"")</f>
        <v>K/10/241224/1</v>
      </c>
      <c r="E635" s="36" t="str">
        <f t="array" ref="E635">IFNA(_xlfn.XLOOKUP(D635,Table_Tarikan_Warkah[Nomor Tiket],Table_Tarikan_Warkah[Tanggal diserahkan kepada Validator]),"")</f>
        <v/>
      </c>
      <c r="F635" s="36" t="str">
        <f t="array" ref="F635">IFNA(_xlfn.XLOOKUP(D635,Table_Tarikan_Warkah[Nomor Tiket],Table_Tarikan_Warkah[Nama Petugas Warkah]),"")</f>
        <v/>
      </c>
      <c r="G635" s="39" t="str">
        <f t="array" ref="G635">IFNA(_xlfn.XLOOKUP(D635,Table_Tarikan_Warkah[Nomor Tiket],Table_Tarikan_Warkah[Jenis Permohonan]),"")</f>
        <v>KEWARISAN</v>
      </c>
      <c r="H635" s="41" t="s">
        <v>20</v>
      </c>
      <c r="I635" s="41" t="s">
        <v>12</v>
      </c>
      <c r="J635" s="36">
        <f t="shared" si="17"/>
        <v>45656.41983</v>
      </c>
      <c r="K635" s="51"/>
      <c r="L635" s="51"/>
      <c r="M635" s="36" t="str">
        <f t="shared" si="18"/>
        <v/>
      </c>
      <c r="N635" s="30" t="str">
        <f t="shared" si="3"/>
        <v>BT atau SU Belum Valid</v>
      </c>
      <c r="O635" s="39" t="str">
        <f t="shared" si="12"/>
        <v/>
      </c>
      <c r="P635" s="47" t="b">
        <v>0</v>
      </c>
      <c r="Q635" s="36" t="str">
        <f t="shared" si="19"/>
        <v/>
      </c>
      <c r="R635" s="47" t="b">
        <v>0</v>
      </c>
      <c r="S635" s="42" t="str">
        <f t="shared" si="6"/>
        <v/>
      </c>
      <c r="T635" s="42"/>
    </row>
    <row r="636" ht="22.5" customHeight="1">
      <c r="B636" s="42">
        <f t="shared" si="7"/>
        <v>630</v>
      </c>
      <c r="C636" s="31" t="s">
        <v>786</v>
      </c>
      <c r="D636" s="34" t="str">
        <f t="array" ref="D636">IFNA(_xlfn.XLOOKUP(C636,Table_Tarikan_Warkah[Nomor Sertipikat],Table_Tarikan_Warkah[Nomor Tiket]),"")</f>
        <v>L/34/201224/1</v>
      </c>
      <c r="E636" s="36">
        <f t="array" ref="E636">IFNA(_xlfn.XLOOKUP(D636,Table_Tarikan_Warkah[Nomor Tiket],Table_Tarikan_Warkah[Tanggal diserahkan kepada Validator]),"")</f>
        <v>45763.43862</v>
      </c>
      <c r="F636" s="36" t="str">
        <f t="array" ref="F636">IFNA(_xlfn.XLOOKUP(D636,Table_Tarikan_Warkah[Nomor Tiket],Table_Tarikan_Warkah[Nama Petugas Warkah]),"")</f>
        <v/>
      </c>
      <c r="G636" s="39" t="str">
        <f t="array" ref="G636">IFNA(_xlfn.XLOOKUP(D636,Table_Tarikan_Warkah[Nomor Tiket],Table_Tarikan_Warkah[Jenis Permohonan]),"")</f>
        <v>ROYA</v>
      </c>
      <c r="H636" s="41" t="s">
        <v>20</v>
      </c>
      <c r="I636" s="41" t="s">
        <v>23</v>
      </c>
      <c r="J636" s="36">
        <f t="shared" si="17"/>
        <v>45656.45551</v>
      </c>
      <c r="K636" s="41" t="s">
        <v>26</v>
      </c>
      <c r="L636" s="41" t="s">
        <v>23</v>
      </c>
      <c r="M636" s="36">
        <f t="shared" si="18"/>
        <v>45656.45557</v>
      </c>
      <c r="N636" s="30" t="str">
        <f t="shared" si="3"/>
        <v>Selesai</v>
      </c>
      <c r="O636" s="45">
        <f t="shared" si="12"/>
        <v>45656.45557</v>
      </c>
      <c r="P636" s="47" t="b">
        <v>1</v>
      </c>
      <c r="Q636" s="36">
        <f t="shared" si="19"/>
        <v>45656.45558</v>
      </c>
      <c r="R636" s="47" t="b">
        <v>0</v>
      </c>
      <c r="S636" s="42" t="str">
        <f t="shared" si="6"/>
        <v/>
      </c>
      <c r="T636" s="42"/>
    </row>
    <row r="637" ht="22.5" customHeight="1">
      <c r="B637" s="42">
        <f t="shared" si="7"/>
        <v>631</v>
      </c>
      <c r="C637" s="31" t="s">
        <v>155</v>
      </c>
      <c r="D637" s="34" t="str">
        <f t="array" ref="D637">IFNA(_xlfn.XLOOKUP(C637,Table_Tarikan_Warkah[Nomor Sertipikat],Table_Tarikan_Warkah[Nomor Tiket]),"")</f>
        <v>L/8/241224/1</v>
      </c>
      <c r="E637" s="36">
        <f t="array" ref="E637">IFNA(_xlfn.XLOOKUP(D637,Table_Tarikan_Warkah[Nomor Tiket],Table_Tarikan_Warkah[Tanggal diserahkan kepada Validator]),"")</f>
        <v>45687.41936</v>
      </c>
      <c r="F637" s="36" t="str">
        <f t="array" ref="F637">IFNA(_xlfn.XLOOKUP(D637,Table_Tarikan_Warkah[Nomor Tiket],Table_Tarikan_Warkah[Nama Petugas Warkah]),"")</f>
        <v/>
      </c>
      <c r="G637" s="39" t="str">
        <f t="array" ref="G637">IFNA(_xlfn.XLOOKUP(D637,Table_Tarikan_Warkah[Nomor Tiket],Table_Tarikan_Warkah[Jenis Permohonan]),"")</f>
        <v>ROYA</v>
      </c>
      <c r="H637" s="41" t="s">
        <v>20</v>
      </c>
      <c r="I637" s="41" t="s">
        <v>12</v>
      </c>
      <c r="J637" s="36">
        <f t="shared" si="17"/>
        <v>45656.46545</v>
      </c>
      <c r="K637" s="41" t="s">
        <v>197</v>
      </c>
      <c r="L637" s="41" t="s">
        <v>12</v>
      </c>
      <c r="M637" s="36">
        <f t="shared" si="18"/>
        <v>45664.44105</v>
      </c>
      <c r="N637" s="30" t="str">
        <f t="shared" si="3"/>
        <v>SELESAI</v>
      </c>
      <c r="O637" s="45">
        <f t="shared" si="12"/>
        <v>45664.44105</v>
      </c>
      <c r="P637" s="47" t="b">
        <v>0</v>
      </c>
      <c r="Q637" s="36" t="str">
        <f t="shared" si="19"/>
        <v/>
      </c>
      <c r="R637" s="47" t="b">
        <v>1</v>
      </c>
      <c r="S637" s="36">
        <f t="shared" si="6"/>
        <v>45664.44109</v>
      </c>
      <c r="T637" s="42"/>
    </row>
    <row r="638" ht="22.5" customHeight="1">
      <c r="B638" s="42">
        <f t="shared" si="7"/>
        <v>632</v>
      </c>
      <c r="C638" s="31" t="s">
        <v>157</v>
      </c>
      <c r="D638" s="34" t="str">
        <f t="array" ref="D638">IFNA(_xlfn.XLOOKUP(C638,Table_Tarikan_Warkah[Nomor Sertipikat],Table_Tarikan_Warkah[Nomor Tiket]),"")</f>
        <v>K/57/231224/1</v>
      </c>
      <c r="E638" s="36" t="str">
        <f t="array" ref="E638">IFNA(_xlfn.XLOOKUP(D638,Table_Tarikan_Warkah[Nomor Tiket],Table_Tarikan_Warkah[Tanggal diserahkan kepada Validator]),"")</f>
        <v/>
      </c>
      <c r="F638" s="36" t="str">
        <f t="array" ref="F638">IFNA(_xlfn.XLOOKUP(D638,Table_Tarikan_Warkah[Nomor Tiket],Table_Tarikan_Warkah[Nama Petugas Warkah]),"")</f>
        <v/>
      </c>
      <c r="G638" s="39" t="str">
        <f t="array" ref="G638">IFNA(_xlfn.XLOOKUP(D638,Table_Tarikan_Warkah[Nomor Tiket],Table_Tarikan_Warkah[Jenis Permohonan]),"")</f>
        <v>Roya</v>
      </c>
      <c r="H638" s="41" t="s">
        <v>20</v>
      </c>
      <c r="I638" s="41" t="s">
        <v>12</v>
      </c>
      <c r="J638" s="36">
        <f t="shared" si="17"/>
        <v>45656.48433</v>
      </c>
      <c r="K638" s="49" t="s">
        <v>197</v>
      </c>
      <c r="L638" s="49" t="s">
        <v>12</v>
      </c>
      <c r="M638" s="36">
        <f t="shared" si="18"/>
        <v>45664.41384</v>
      </c>
      <c r="N638" s="30" t="str">
        <f t="shared" si="3"/>
        <v>SELESAI</v>
      </c>
      <c r="O638" s="45">
        <f t="shared" si="12"/>
        <v>45664.41384</v>
      </c>
      <c r="P638" s="47" t="b">
        <v>0</v>
      </c>
      <c r="Q638" s="36" t="str">
        <f t="shared" si="19"/>
        <v/>
      </c>
      <c r="R638" s="47" t="b">
        <v>1</v>
      </c>
      <c r="S638" s="36">
        <f t="shared" si="6"/>
        <v>45664.41374</v>
      </c>
      <c r="T638" s="42"/>
    </row>
    <row r="639" ht="22.5" customHeight="1">
      <c r="B639" s="42">
        <f t="shared" si="7"/>
        <v>633</v>
      </c>
      <c r="C639" s="31" t="s">
        <v>162</v>
      </c>
      <c r="D639" s="34" t="str">
        <f t="array" ref="D639">IFNA(_xlfn.XLOOKUP(C639,Table_Tarikan_Warkah[Nomor Sertipikat],Table_Tarikan_Warkah[Nomor Tiket]),"")</f>
        <v>K/56/231224/1</v>
      </c>
      <c r="E639" s="36">
        <f t="array" ref="E639">IFNA(_xlfn.XLOOKUP(D639,Table_Tarikan_Warkah[Nomor Tiket],Table_Tarikan_Warkah[Tanggal diserahkan kepada Validator]),"")</f>
        <v>45708.59812</v>
      </c>
      <c r="F639" s="36" t="str">
        <f t="array" ref="F639">IFNA(_xlfn.XLOOKUP(D639,Table_Tarikan_Warkah[Nomor Tiket],Table_Tarikan_Warkah[Nama Petugas Warkah]),"")</f>
        <v/>
      </c>
      <c r="G639" s="39" t="str">
        <f t="array" ref="G639">IFNA(_xlfn.XLOOKUP(D639,Table_Tarikan_Warkah[Nomor Tiket],Table_Tarikan_Warkah[Jenis Permohonan]),"")</f>
        <v>Roya</v>
      </c>
      <c r="H639" s="41" t="s">
        <v>20</v>
      </c>
      <c r="I639" s="41" t="s">
        <v>12</v>
      </c>
      <c r="J639" s="36">
        <f t="shared" si="17"/>
        <v>45656.48753</v>
      </c>
      <c r="K639" s="41" t="s">
        <v>197</v>
      </c>
      <c r="L639" s="41" t="s">
        <v>12</v>
      </c>
      <c r="M639" s="36">
        <f t="shared" si="18"/>
        <v>45664.44179</v>
      </c>
      <c r="N639" s="30" t="str">
        <f t="shared" si="3"/>
        <v>SELESAI</v>
      </c>
      <c r="O639" s="45">
        <f t="shared" si="12"/>
        <v>45664.44179</v>
      </c>
      <c r="P639" s="47" t="b">
        <v>0</v>
      </c>
      <c r="Q639" s="36" t="str">
        <f t="shared" si="19"/>
        <v/>
      </c>
      <c r="R639" s="47" t="b">
        <v>1</v>
      </c>
      <c r="S639" s="36">
        <f t="shared" si="6"/>
        <v>45664.44184</v>
      </c>
      <c r="T639" s="42"/>
    </row>
    <row r="640" ht="22.5" customHeight="1">
      <c r="B640" s="42">
        <f t="shared" si="7"/>
        <v>634</v>
      </c>
      <c r="C640" s="31" t="s">
        <v>168</v>
      </c>
      <c r="D640" s="34" t="str">
        <f t="array" ref="D640">IFNA(_xlfn.XLOOKUP(C640,Table_Tarikan_Warkah[Nomor Sertipikat],Table_Tarikan_Warkah[Nomor Tiket]),"")</f>
        <v>K/40/241224/1</v>
      </c>
      <c r="E640" s="36">
        <f t="array" ref="E640">IFNA(_xlfn.XLOOKUP(D640,Table_Tarikan_Warkah[Nomor Tiket],Table_Tarikan_Warkah[Tanggal diserahkan kepada Validator]),"")</f>
        <v>45719.6401</v>
      </c>
      <c r="F640" s="36" t="str">
        <f t="array" ref="F640">IFNA(_xlfn.XLOOKUP(D640,Table_Tarikan_Warkah[Nomor Tiket],Table_Tarikan_Warkah[Nama Petugas Warkah]),"")</f>
        <v/>
      </c>
      <c r="G640" s="39" t="str">
        <f t="array" ref="G640">IFNA(_xlfn.XLOOKUP(D640,Table_Tarikan_Warkah[Nomor Tiket],Table_Tarikan_Warkah[Jenis Permohonan]),"")</f>
        <v>Roya</v>
      </c>
      <c r="H640" s="41" t="s">
        <v>11</v>
      </c>
      <c r="I640" s="41" t="s">
        <v>12</v>
      </c>
      <c r="J640" s="36">
        <f t="shared" si="17"/>
        <v>45656.57264</v>
      </c>
      <c r="K640" s="41" t="s">
        <v>197</v>
      </c>
      <c r="L640" s="41" t="s">
        <v>12</v>
      </c>
      <c r="M640" s="36">
        <f t="shared" si="18"/>
        <v>45664.44253</v>
      </c>
      <c r="N640" s="30" t="str">
        <f t="shared" si="3"/>
        <v>SELESAI</v>
      </c>
      <c r="O640" s="45">
        <f t="shared" si="12"/>
        <v>45664.44253</v>
      </c>
      <c r="P640" s="47" t="b">
        <v>0</v>
      </c>
      <c r="Q640" s="36" t="str">
        <f t="shared" si="19"/>
        <v/>
      </c>
      <c r="R640" s="47" t="b">
        <v>1</v>
      </c>
      <c r="S640" s="36">
        <f t="shared" si="6"/>
        <v>45664.44257</v>
      </c>
      <c r="T640" s="42"/>
    </row>
    <row r="641" ht="22.5" customHeight="1">
      <c r="B641" s="42">
        <f t="shared" si="7"/>
        <v>635</v>
      </c>
      <c r="C641" s="31" t="s">
        <v>170</v>
      </c>
      <c r="D641" s="34" t="str">
        <f t="array" ref="D641">IFNA(_xlfn.XLOOKUP(C641,Table_Tarikan_Warkah[Nomor Sertipikat],Table_Tarikan_Warkah[Nomor Tiket]),"")</f>
        <v>L/24/241224/1</v>
      </c>
      <c r="E641" s="36" t="str">
        <f t="array" ref="E641">IFNA(_xlfn.XLOOKUP(D641,Table_Tarikan_Warkah[Nomor Tiket],Table_Tarikan_Warkah[Tanggal diserahkan kepada Validator]),"")</f>
        <v/>
      </c>
      <c r="F641" s="36" t="str">
        <f t="array" ref="F641">IFNA(_xlfn.XLOOKUP(D641,Table_Tarikan_Warkah[Nomor Tiket],Table_Tarikan_Warkah[Nama Petugas Warkah]),"")</f>
        <v/>
      </c>
      <c r="G641" s="39" t="str">
        <f t="array" ref="G641">IFNA(_xlfn.XLOOKUP(D641,Table_Tarikan_Warkah[Nomor Tiket],Table_Tarikan_Warkah[Jenis Permohonan]),"")</f>
        <v>BN WARIS</v>
      </c>
      <c r="H641" s="41" t="s">
        <v>11</v>
      </c>
      <c r="I641" s="41" t="s">
        <v>12</v>
      </c>
      <c r="J641" s="36">
        <f t="shared" si="17"/>
        <v>45656.57264</v>
      </c>
      <c r="K641" s="41" t="s">
        <v>197</v>
      </c>
      <c r="L641" s="41" t="s">
        <v>12</v>
      </c>
      <c r="M641" s="36">
        <f t="shared" si="18"/>
        <v>45664.44278</v>
      </c>
      <c r="N641" s="30" t="str">
        <f t="shared" si="3"/>
        <v>SELESAI</v>
      </c>
      <c r="O641" s="45">
        <f t="shared" si="12"/>
        <v>45664.44278</v>
      </c>
      <c r="P641" s="47" t="b">
        <v>0</v>
      </c>
      <c r="Q641" s="36" t="str">
        <f t="shared" si="19"/>
        <v/>
      </c>
      <c r="R641" s="47" t="b">
        <v>1</v>
      </c>
      <c r="S641" s="36">
        <f t="shared" si="6"/>
        <v>45664.4428</v>
      </c>
      <c r="T641" s="42"/>
    </row>
    <row r="642" ht="22.5" customHeight="1">
      <c r="B642" s="42">
        <f t="shared" si="7"/>
        <v>636</v>
      </c>
      <c r="C642" s="31" t="s">
        <v>180</v>
      </c>
      <c r="D642" s="34" t="str">
        <f t="array" ref="D642">IFNA(_xlfn.XLOOKUP(C642,Table_Tarikan_Warkah[Nomor Sertipikat],Table_Tarikan_Warkah[Nomor Tiket]),"")</f>
        <v>K/29/241224/1</v>
      </c>
      <c r="E642" s="36" t="str">
        <f t="array" ref="E642">IFNA(_xlfn.XLOOKUP(D642,Table_Tarikan_Warkah[Nomor Tiket],Table_Tarikan_Warkah[Tanggal diserahkan kepada Validator]),"")</f>
        <v/>
      </c>
      <c r="F642" s="36" t="str">
        <f t="array" ref="F642">IFNA(_xlfn.XLOOKUP(D642,Table_Tarikan_Warkah[Nomor Tiket],Table_Tarikan_Warkah[Nama Petugas Warkah]),"")</f>
        <v/>
      </c>
      <c r="G642" s="39" t="str">
        <f t="array" ref="G642">IFNA(_xlfn.XLOOKUP(D642,Table_Tarikan_Warkah[Nomor Tiket],Table_Tarikan_Warkah[Jenis Permohonan]),"")</f>
        <v>BN JUAL BELI</v>
      </c>
      <c r="H642" s="41" t="s">
        <v>11</v>
      </c>
      <c r="I642" s="41" t="s">
        <v>12</v>
      </c>
      <c r="J642" s="36">
        <f t="shared" si="17"/>
        <v>45656.57264</v>
      </c>
      <c r="K642" s="56" t="s">
        <v>197</v>
      </c>
      <c r="L642" s="57" t="s">
        <v>12</v>
      </c>
      <c r="M642" s="36">
        <f t="shared" si="18"/>
        <v>45664.41462</v>
      </c>
      <c r="N642" s="30" t="str">
        <f t="shared" si="3"/>
        <v>SELESAI</v>
      </c>
      <c r="O642" s="45">
        <f t="shared" si="12"/>
        <v>45664.41462</v>
      </c>
      <c r="P642" s="47" t="b">
        <v>0</v>
      </c>
      <c r="Q642" s="36" t="str">
        <f t="shared" si="19"/>
        <v/>
      </c>
      <c r="R642" s="47" t="b">
        <v>1</v>
      </c>
      <c r="S642" s="36">
        <f t="shared" si="6"/>
        <v>45664.41458</v>
      </c>
      <c r="T642" s="42"/>
    </row>
    <row r="643" ht="22.5" customHeight="1">
      <c r="B643" s="42">
        <f t="shared" si="7"/>
        <v>637</v>
      </c>
      <c r="C643" s="31" t="s">
        <v>182</v>
      </c>
      <c r="D643" s="34" t="str">
        <f t="array" ref="D643">IFNA(_xlfn.XLOOKUP(C643,Table_Tarikan_Warkah[Nomor Sertipikat],Table_Tarikan_Warkah[Nomor Tiket]),"")</f>
        <v>K/35/241224/1</v>
      </c>
      <c r="E643" s="36" t="str">
        <f t="array" ref="E643">IFNA(_xlfn.XLOOKUP(D643,Table_Tarikan_Warkah[Nomor Tiket],Table_Tarikan_Warkah[Tanggal diserahkan kepada Validator]),"")</f>
        <v/>
      </c>
      <c r="F643" s="36" t="str">
        <f t="array" ref="F643">IFNA(_xlfn.XLOOKUP(D643,Table_Tarikan_Warkah[Nomor Tiket],Table_Tarikan_Warkah[Nama Petugas Warkah]),"")</f>
        <v/>
      </c>
      <c r="G643" s="39" t="str">
        <f t="array" ref="G643">IFNA(_xlfn.XLOOKUP(D643,Table_Tarikan_Warkah[Nomor Tiket],Table_Tarikan_Warkah[Jenis Permohonan]),"")</f>
        <v>BN Jual Beli</v>
      </c>
      <c r="H643" s="41" t="s">
        <v>11</v>
      </c>
      <c r="I643" s="41" t="s">
        <v>12</v>
      </c>
      <c r="J643" s="36">
        <f t="shared" si="17"/>
        <v>45656.57264</v>
      </c>
      <c r="K643" s="41" t="s">
        <v>197</v>
      </c>
      <c r="L643" s="41" t="s">
        <v>12</v>
      </c>
      <c r="M643" s="36">
        <f t="shared" si="18"/>
        <v>45664.44763</v>
      </c>
      <c r="N643" s="30" t="str">
        <f t="shared" si="3"/>
        <v>SELESAI</v>
      </c>
      <c r="O643" s="45">
        <f t="shared" si="12"/>
        <v>45664.44763</v>
      </c>
      <c r="P643" s="47" t="b">
        <v>0</v>
      </c>
      <c r="Q643" s="36" t="str">
        <f t="shared" si="19"/>
        <v/>
      </c>
      <c r="R643" s="47" t="b">
        <v>1</v>
      </c>
      <c r="S643" s="36">
        <f t="shared" si="6"/>
        <v>45664.44767</v>
      </c>
      <c r="T643" s="42"/>
    </row>
    <row r="644" ht="22.5" customHeight="1">
      <c r="B644" s="42">
        <f t="shared" si="7"/>
        <v>638</v>
      </c>
      <c r="C644" s="31" t="s">
        <v>184</v>
      </c>
      <c r="D644" s="34" t="str">
        <f t="array" ref="D644">IFNA(_xlfn.XLOOKUP(C644,Table_Tarikan_Warkah[Nomor Sertipikat],Table_Tarikan_Warkah[Nomor Tiket]),"")</f>
        <v>K/41/241224/1</v>
      </c>
      <c r="E644" s="36" t="str">
        <f t="array" ref="E644">IFNA(_xlfn.XLOOKUP(D644,Table_Tarikan_Warkah[Nomor Tiket],Table_Tarikan_Warkah[Tanggal diserahkan kepada Validator]),"")</f>
        <v/>
      </c>
      <c r="F644" s="36" t="str">
        <f t="array" ref="F644">IFNA(_xlfn.XLOOKUP(D644,Table_Tarikan_Warkah[Nomor Tiket],Table_Tarikan_Warkah[Nama Petugas Warkah]),"")</f>
        <v/>
      </c>
      <c r="G644" s="39" t="str">
        <f t="array" ref="G644">IFNA(_xlfn.XLOOKUP(D644,Table_Tarikan_Warkah[Nomor Tiket],Table_Tarikan_Warkah[Jenis Permohonan]),"")</f>
        <v>Perubahan Hak</v>
      </c>
      <c r="H644" s="41" t="s">
        <v>11</v>
      </c>
      <c r="I644" s="41" t="s">
        <v>12</v>
      </c>
      <c r="J644" s="36">
        <f t="shared" si="17"/>
        <v>45656.57264</v>
      </c>
      <c r="K644" s="51"/>
      <c r="L644" s="51"/>
      <c r="M644" s="36" t="str">
        <f t="shared" si="18"/>
        <v/>
      </c>
      <c r="N644" s="30" t="str">
        <f t="shared" si="3"/>
        <v>BT atau SU Belum Valid</v>
      </c>
      <c r="O644" s="39" t="str">
        <f t="shared" si="12"/>
        <v/>
      </c>
      <c r="P644" s="47" t="b">
        <v>0</v>
      </c>
      <c r="Q644" s="36" t="str">
        <f t="shared" si="19"/>
        <v/>
      </c>
      <c r="R644" s="47" t="b">
        <v>0</v>
      </c>
      <c r="S644" s="42" t="str">
        <f t="shared" si="6"/>
        <v/>
      </c>
      <c r="T644" s="42"/>
    </row>
    <row r="645" ht="22.5" customHeight="1">
      <c r="B645" s="42">
        <f t="shared" si="7"/>
        <v>639</v>
      </c>
      <c r="C645" s="31" t="s">
        <v>186</v>
      </c>
      <c r="D645" s="34" t="str">
        <f t="array" ref="D645">IFNA(_xlfn.XLOOKUP(C645,Table_Tarikan_Warkah[Nomor Sertipikat],Table_Tarikan_Warkah[Nomor Tiket]),"")</f>
        <v>K/38/241224/1</v>
      </c>
      <c r="E645" s="36" t="str">
        <f t="array" ref="E645">IFNA(_xlfn.XLOOKUP(D645,Table_Tarikan_Warkah[Nomor Tiket],Table_Tarikan_Warkah[Tanggal diserahkan kepada Validator]),"")</f>
        <v/>
      </c>
      <c r="F645" s="36" t="str">
        <f t="array" ref="F645">IFNA(_xlfn.XLOOKUP(D645,Table_Tarikan_Warkah[Nomor Tiket],Table_Tarikan_Warkah[Nama Petugas Warkah]),"")</f>
        <v/>
      </c>
      <c r="G645" s="39" t="str">
        <f t="array" ref="G645">IFNA(_xlfn.XLOOKUP(D645,Table_Tarikan_Warkah[Nomor Tiket],Table_Tarikan_Warkah[Jenis Permohonan]),"")</f>
        <v>BN WARIS</v>
      </c>
      <c r="H645" s="41" t="s">
        <v>11</v>
      </c>
      <c r="I645" s="41" t="s">
        <v>12</v>
      </c>
      <c r="J645" s="36">
        <f t="shared" si="17"/>
        <v>45656.57264</v>
      </c>
      <c r="K645" s="41" t="s">
        <v>197</v>
      </c>
      <c r="L645" s="41" t="s">
        <v>12</v>
      </c>
      <c r="M645" s="36">
        <f t="shared" si="18"/>
        <v>45664.44458</v>
      </c>
      <c r="N645" s="30" t="str">
        <f t="shared" si="3"/>
        <v>SELESAI</v>
      </c>
      <c r="O645" s="45">
        <f t="shared" si="12"/>
        <v>45664.44458</v>
      </c>
      <c r="P645" s="47" t="b">
        <v>0</v>
      </c>
      <c r="Q645" s="36" t="str">
        <f t="shared" si="19"/>
        <v/>
      </c>
      <c r="R645" s="47" t="b">
        <v>1</v>
      </c>
      <c r="S645" s="36">
        <f t="shared" si="6"/>
        <v>45664.44463</v>
      </c>
      <c r="T645" s="42"/>
    </row>
    <row r="646" ht="22.5" customHeight="1">
      <c r="B646" s="42">
        <f t="shared" si="7"/>
        <v>640</v>
      </c>
      <c r="C646" s="31" t="s">
        <v>188</v>
      </c>
      <c r="D646" s="42" t="s">
        <v>189</v>
      </c>
      <c r="E646" s="36">
        <f t="array" ref="E646">IFNA(_xlfn.XLOOKUP(D646,Table_Tarikan_Warkah[Nomor Tiket],Table_Tarikan_Warkah[Tanggal diserahkan kepada Validator]),"")</f>
        <v>45763.43981</v>
      </c>
      <c r="F646" s="36" t="str">
        <f t="array" ref="F646">IFNA(_xlfn.XLOOKUP(D646,Table_Tarikan_Warkah[Nomor Tiket],Table_Tarikan_Warkah[Nama Petugas Warkah]),"")</f>
        <v/>
      </c>
      <c r="G646" s="39" t="str">
        <f t="array" ref="G646">IFNA(_xlfn.XLOOKUP(D646,Table_Tarikan_Warkah[Nomor Tiket],Table_Tarikan_Warkah[Jenis Permohonan]),"")</f>
        <v>ROYA</v>
      </c>
      <c r="H646" s="41" t="s">
        <v>20</v>
      </c>
      <c r="I646" s="41" t="s">
        <v>23</v>
      </c>
      <c r="J646" s="36">
        <f t="shared" si="17"/>
        <v>45656.57264</v>
      </c>
      <c r="K646" s="49" t="s">
        <v>26</v>
      </c>
      <c r="L646" s="49" t="s">
        <v>23</v>
      </c>
      <c r="M646" s="36">
        <f t="shared" si="18"/>
        <v>45664.36144</v>
      </c>
      <c r="N646" s="30" t="str">
        <f t="shared" si="3"/>
        <v>Selesai</v>
      </c>
      <c r="O646" s="45">
        <f t="shared" si="12"/>
        <v>45664.36144</v>
      </c>
      <c r="P646" s="47" t="b">
        <v>1</v>
      </c>
      <c r="Q646" s="36">
        <f t="shared" si="19"/>
        <v>45664.36144</v>
      </c>
      <c r="R646" s="47" t="b">
        <v>0</v>
      </c>
      <c r="S646" s="42" t="str">
        <f t="shared" si="6"/>
        <v/>
      </c>
      <c r="T646" s="42"/>
    </row>
    <row r="647" ht="22.5" customHeight="1">
      <c r="B647" s="42">
        <f t="shared" si="7"/>
        <v>641</v>
      </c>
      <c r="C647" s="31" t="s">
        <v>190</v>
      </c>
      <c r="D647" s="42" t="s">
        <v>191</v>
      </c>
      <c r="E647" s="36">
        <f t="array" ref="E647">IFNA(_xlfn.XLOOKUP(D647,Table_Tarikan_Warkah[Nomor Tiket],Table_Tarikan_Warkah[Tanggal diserahkan kepada Validator]),"")</f>
        <v>45673.43404</v>
      </c>
      <c r="F647" s="36" t="str">
        <f t="array" ref="F647">IFNA(_xlfn.XLOOKUP(D647,Table_Tarikan_Warkah[Nomor Tiket],Table_Tarikan_Warkah[Nama Petugas Warkah]),"")</f>
        <v/>
      </c>
      <c r="G647" s="39" t="str">
        <f t="array" ref="G647">IFNA(_xlfn.XLOOKUP(D647,Table_Tarikan_Warkah[Nomor Tiket],Table_Tarikan_Warkah[Jenis Permohonan]),"")</f>
        <v>HIBAH</v>
      </c>
      <c r="H647" s="41" t="s">
        <v>20</v>
      </c>
      <c r="I647" s="41" t="s">
        <v>23</v>
      </c>
      <c r="J647" s="36">
        <f t="shared" si="17"/>
        <v>45656.67255</v>
      </c>
      <c r="K647" s="49" t="s">
        <v>26</v>
      </c>
      <c r="L647" s="49" t="s">
        <v>23</v>
      </c>
      <c r="M647" s="36">
        <f t="shared" si="18"/>
        <v>45664.36144</v>
      </c>
      <c r="N647" s="30" t="str">
        <f t="shared" si="3"/>
        <v>Selesai</v>
      </c>
      <c r="O647" s="45">
        <f t="shared" si="12"/>
        <v>45664.36144</v>
      </c>
      <c r="P647" s="47" t="b">
        <v>1</v>
      </c>
      <c r="Q647" s="36">
        <f t="shared" si="19"/>
        <v>45664.36144</v>
      </c>
      <c r="R647" s="47" t="b">
        <v>0</v>
      </c>
      <c r="S647" s="42" t="str">
        <f t="shared" si="6"/>
        <v/>
      </c>
      <c r="T647" s="42"/>
    </row>
    <row r="648" ht="22.5" customHeight="1">
      <c r="B648" s="42">
        <f t="shared" si="7"/>
        <v>642</v>
      </c>
      <c r="C648" s="31" t="s">
        <v>192</v>
      </c>
      <c r="D648" s="42" t="s">
        <v>193</v>
      </c>
      <c r="E648" s="36">
        <f t="array" ref="E648">IFNA(_xlfn.XLOOKUP(D648,Table_Tarikan_Warkah[Nomor Tiket],Table_Tarikan_Warkah[Tanggal diserahkan kepada Validator]),"")</f>
        <v>45664.69777</v>
      </c>
      <c r="F648" s="36" t="str">
        <f t="array" ref="F648">IFNA(_xlfn.XLOOKUP(D648,Table_Tarikan_Warkah[Nomor Tiket],Table_Tarikan_Warkah[Nama Petugas Warkah]),"")</f>
        <v>Berry</v>
      </c>
      <c r="G648" s="39" t="str">
        <f t="array" ref="G648">IFNA(_xlfn.XLOOKUP(D648,Table_Tarikan_Warkah[Nomor Tiket],Table_Tarikan_Warkah[Jenis Permohonan]),"")</f>
        <v>HIBAH</v>
      </c>
      <c r="H648" s="41" t="s">
        <v>20</v>
      </c>
      <c r="I648" s="41" t="s">
        <v>23</v>
      </c>
      <c r="J648" s="36">
        <f t="shared" si="17"/>
        <v>45656.67255</v>
      </c>
      <c r="K648" s="49" t="s">
        <v>26</v>
      </c>
      <c r="L648" s="49" t="s">
        <v>23</v>
      </c>
      <c r="M648" s="36">
        <f t="shared" si="18"/>
        <v>45664.36144</v>
      </c>
      <c r="N648" s="30" t="str">
        <f t="shared" si="3"/>
        <v>Selesai</v>
      </c>
      <c r="O648" s="45">
        <f t="shared" si="12"/>
        <v>45664.36144</v>
      </c>
      <c r="P648" s="47" t="b">
        <v>1</v>
      </c>
      <c r="Q648" s="36">
        <f t="shared" si="19"/>
        <v>45664.36144</v>
      </c>
      <c r="R648" s="47" t="b">
        <v>0</v>
      </c>
      <c r="S648" s="42" t="str">
        <f t="shared" si="6"/>
        <v/>
      </c>
      <c r="T648" s="42"/>
    </row>
    <row r="649" ht="22.5" customHeight="1">
      <c r="B649" s="42">
        <f t="shared" si="7"/>
        <v>643</v>
      </c>
      <c r="C649" s="31" t="s">
        <v>787</v>
      </c>
      <c r="D649" s="34" t="str">
        <f t="array" ref="D649">IFNA(_xlfn.XLOOKUP(C649,Table_Tarikan_Warkah[Nomor Sertipikat],Table_Tarikan_Warkah[Nomor Tiket]),"")</f>
        <v>K/9/301224/2</v>
      </c>
      <c r="E649" s="36">
        <f t="array" ref="E649">IFNA(_xlfn.XLOOKUP(D649,Table_Tarikan_Warkah[Nomor Tiket],Table_Tarikan_Warkah[Tanggal diserahkan kepada Validator]),"")</f>
        <v>45707.67043</v>
      </c>
      <c r="F649" s="36" t="str">
        <f t="array" ref="F649">IFNA(_xlfn.XLOOKUP(D649,Table_Tarikan_Warkah[Nomor Tiket],Table_Tarikan_Warkah[Nama Petugas Warkah]),"")</f>
        <v/>
      </c>
      <c r="G649" s="39" t="str">
        <f t="array" ref="G649">IFNA(_xlfn.XLOOKUP(D649,Table_Tarikan_Warkah[Nomor Tiket],Table_Tarikan_Warkah[Jenis Permohonan]),"")</f>
        <v>BN JUAL BELI</v>
      </c>
      <c r="H649" s="41" t="s">
        <v>20</v>
      </c>
      <c r="I649" s="41" t="s">
        <v>12</v>
      </c>
      <c r="J649" s="36">
        <f t="shared" si="17"/>
        <v>45659.41658</v>
      </c>
      <c r="K649" s="41" t="s">
        <v>197</v>
      </c>
      <c r="L649" s="41" t="s">
        <v>12</v>
      </c>
      <c r="M649" s="36">
        <f t="shared" si="18"/>
        <v>45664.42813</v>
      </c>
      <c r="N649" s="30" t="str">
        <f t="shared" si="3"/>
        <v>SELESAI</v>
      </c>
      <c r="O649" s="45">
        <f t="shared" si="12"/>
        <v>45664.42813</v>
      </c>
      <c r="P649" s="47" t="b">
        <v>0</v>
      </c>
      <c r="Q649" s="36" t="str">
        <f t="shared" si="19"/>
        <v/>
      </c>
      <c r="R649" s="47" t="b">
        <v>1</v>
      </c>
      <c r="S649" s="36">
        <f t="shared" si="6"/>
        <v>45664.42816</v>
      </c>
      <c r="T649" s="42"/>
    </row>
    <row r="650" ht="22.5" customHeight="1">
      <c r="B650" s="42">
        <f t="shared" si="7"/>
        <v>644</v>
      </c>
      <c r="C650" s="31" t="s">
        <v>788</v>
      </c>
      <c r="D650" s="34" t="str">
        <f t="array" ref="D650">IFNA(_xlfn.XLOOKUP(C650,Table_Tarikan_Warkah[Nomor Sertipikat],Table_Tarikan_Warkah[Nomor Tiket]),"")</f>
        <v>K/8/301224/1</v>
      </c>
      <c r="E650" s="36" t="str">
        <f t="array" ref="E650">IFNA(_xlfn.XLOOKUP(D650,Table_Tarikan_Warkah[Nomor Tiket],Table_Tarikan_Warkah[Tanggal diserahkan kepada Validator]),"")</f>
        <v/>
      </c>
      <c r="F650" s="36" t="str">
        <f t="array" ref="F650">IFNA(_xlfn.XLOOKUP(D650,Table_Tarikan_Warkah[Nomor Tiket],Table_Tarikan_Warkah[Nama Petugas Warkah]),"")</f>
        <v/>
      </c>
      <c r="G650" s="39" t="str">
        <f t="array" ref="G650">IFNA(_xlfn.XLOOKUP(D650,Table_Tarikan_Warkah[Nomor Tiket],Table_Tarikan_Warkah[Jenis Permohonan]),"")</f>
        <v>BN JUAL BELI</v>
      </c>
      <c r="H650" s="41" t="s">
        <v>20</v>
      </c>
      <c r="I650" s="41" t="s">
        <v>12</v>
      </c>
      <c r="J650" s="36">
        <f t="shared" si="17"/>
        <v>45659.41659</v>
      </c>
      <c r="K650" s="41" t="s">
        <v>197</v>
      </c>
      <c r="L650" s="41" t="s">
        <v>12</v>
      </c>
      <c r="M650" s="36">
        <f t="shared" si="18"/>
        <v>45664.42785</v>
      </c>
      <c r="N650" s="30" t="str">
        <f t="shared" si="3"/>
        <v>SELESAI</v>
      </c>
      <c r="O650" s="45">
        <f t="shared" si="12"/>
        <v>45664.42785</v>
      </c>
      <c r="P650" s="47" t="b">
        <v>1</v>
      </c>
      <c r="Q650" s="36">
        <f t="shared" si="19"/>
        <v>45664.43748</v>
      </c>
      <c r="R650" s="47" t="b">
        <v>1</v>
      </c>
      <c r="S650" s="36">
        <f t="shared" si="6"/>
        <v>45664.42791</v>
      </c>
      <c r="T650" s="42"/>
    </row>
    <row r="651" ht="22.5" customHeight="1">
      <c r="B651" s="42">
        <f t="shared" si="7"/>
        <v>645</v>
      </c>
      <c r="C651" s="31" t="s">
        <v>789</v>
      </c>
      <c r="D651" s="34" t="str">
        <f t="array" ref="D651">IFNA(_xlfn.XLOOKUP(C651,Table_Tarikan_Warkah[Nomor Sertipikat],Table_Tarikan_Warkah[Nomor Tiket]),"")</f>
        <v>K/3/301224/1</v>
      </c>
      <c r="E651" s="36">
        <f t="array" ref="E651">IFNA(_xlfn.XLOOKUP(D651,Table_Tarikan_Warkah[Nomor Tiket],Table_Tarikan_Warkah[Tanggal diserahkan kepada Validator]),"")</f>
        <v>45687.4255</v>
      </c>
      <c r="F651" s="36" t="str">
        <f t="array" ref="F651">IFNA(_xlfn.XLOOKUP(D651,Table_Tarikan_Warkah[Nomor Tiket],Table_Tarikan_Warkah[Nama Petugas Warkah]),"")</f>
        <v/>
      </c>
      <c r="G651" s="39" t="str">
        <f t="array" ref="G651">IFNA(_xlfn.XLOOKUP(D651,Table_Tarikan_Warkah[Nomor Tiket],Table_Tarikan_Warkah[Jenis Permohonan]),"")</f>
        <v>Roya</v>
      </c>
      <c r="H651" s="41" t="s">
        <v>20</v>
      </c>
      <c r="I651" s="41" t="s">
        <v>12</v>
      </c>
      <c r="J651" s="36">
        <f t="shared" si="17"/>
        <v>45659.4186</v>
      </c>
      <c r="K651" s="41" t="s">
        <v>197</v>
      </c>
      <c r="L651" s="41" t="s">
        <v>12</v>
      </c>
      <c r="M651" s="36">
        <f t="shared" si="18"/>
        <v>45664.42499</v>
      </c>
      <c r="N651" s="30" t="str">
        <f t="shared" si="3"/>
        <v>SELESAI</v>
      </c>
      <c r="O651" s="45">
        <f t="shared" si="12"/>
        <v>45664.42499</v>
      </c>
      <c r="P651" s="47" t="b">
        <v>0</v>
      </c>
      <c r="Q651" s="36" t="str">
        <f t="shared" si="19"/>
        <v/>
      </c>
      <c r="R651" s="47" t="b">
        <v>1</v>
      </c>
      <c r="S651" s="36">
        <f t="shared" si="6"/>
        <v>45664.42503</v>
      </c>
      <c r="T651" s="42"/>
    </row>
    <row r="652" ht="22.5" customHeight="1">
      <c r="B652" s="42">
        <f t="shared" si="7"/>
        <v>646</v>
      </c>
      <c r="C652" s="31" t="s">
        <v>790</v>
      </c>
      <c r="D652" s="34" t="str">
        <f t="array" ref="D652">IFNA(_xlfn.XLOOKUP(C652,Table_Tarikan_Warkah[Nomor Sertipikat],Table_Tarikan_Warkah[Nomor Tiket]),"")</f>
        <v>L/2/301224/1</v>
      </c>
      <c r="E652" s="36">
        <f t="array" ref="E652">IFNA(_xlfn.XLOOKUP(D652,Table_Tarikan_Warkah[Nomor Tiket],Table_Tarikan_Warkah[Tanggal diserahkan kepada Validator]),"")</f>
        <v>45708.59732</v>
      </c>
      <c r="F652" s="36" t="str">
        <f t="array" ref="F652">IFNA(_xlfn.XLOOKUP(D652,Table_Tarikan_Warkah[Nomor Tiket],Table_Tarikan_Warkah[Nama Petugas Warkah]),"")</f>
        <v/>
      </c>
      <c r="G652" s="39" t="str">
        <f t="array" ref="G652">IFNA(_xlfn.XLOOKUP(D652,Table_Tarikan_Warkah[Nomor Tiket],Table_Tarikan_Warkah[Jenis Permohonan]),"")</f>
        <v>ROYA</v>
      </c>
      <c r="H652" s="41" t="s">
        <v>20</v>
      </c>
      <c r="I652" s="41" t="s">
        <v>12</v>
      </c>
      <c r="J652" s="36">
        <f t="shared" si="17"/>
        <v>45659.42014</v>
      </c>
      <c r="K652" s="41" t="s">
        <v>197</v>
      </c>
      <c r="L652" s="41" t="s">
        <v>12</v>
      </c>
      <c r="M652" s="36">
        <f t="shared" si="18"/>
        <v>45664.43818</v>
      </c>
      <c r="N652" s="30" t="str">
        <f t="shared" si="3"/>
        <v>SELESAI</v>
      </c>
      <c r="O652" s="45">
        <f t="shared" si="12"/>
        <v>45664.43818</v>
      </c>
      <c r="P652" s="47" t="b">
        <v>0</v>
      </c>
      <c r="Q652" s="36" t="str">
        <f t="shared" si="19"/>
        <v/>
      </c>
      <c r="R652" s="47" t="b">
        <v>1</v>
      </c>
      <c r="S652" s="36">
        <f t="shared" si="6"/>
        <v>45664.43823</v>
      </c>
      <c r="T652" s="42"/>
    </row>
    <row r="653" ht="22.5" customHeight="1">
      <c r="B653" s="42">
        <f t="shared" si="7"/>
        <v>647</v>
      </c>
      <c r="C653" s="31" t="s">
        <v>791</v>
      </c>
      <c r="D653" s="34" t="str">
        <f t="array" ref="D653">IFNA(_xlfn.XLOOKUP(C653,Table_Tarikan_Warkah[Nomor Sertipikat],Table_Tarikan_Warkah[Nomor Tiket]),"")</f>
        <v>L/6/271224/1</v>
      </c>
      <c r="E653" s="36">
        <f t="array" ref="E653">IFNA(_xlfn.XLOOKUP(D653,Table_Tarikan_Warkah[Nomor Tiket],Table_Tarikan_Warkah[Tanggal diserahkan kepada Validator]),"")</f>
        <v>45741.53213</v>
      </c>
      <c r="F653" s="36" t="str">
        <f t="array" ref="F653">IFNA(_xlfn.XLOOKUP(D653,Table_Tarikan_Warkah[Nomor Tiket],Table_Tarikan_Warkah[Nama Petugas Warkah]),"")</f>
        <v/>
      </c>
      <c r="G653" s="39" t="str">
        <f t="array" ref="G653">IFNA(_xlfn.XLOOKUP(D653,Table_Tarikan_Warkah[Nomor Tiket],Table_Tarikan_Warkah[Jenis Permohonan]),"")</f>
        <v>ROYA</v>
      </c>
      <c r="H653" s="41" t="s">
        <v>20</v>
      </c>
      <c r="I653" s="41" t="s">
        <v>12</v>
      </c>
      <c r="J653" s="36">
        <f t="shared" si="17"/>
        <v>45659.43061</v>
      </c>
      <c r="K653" s="41" t="s">
        <v>197</v>
      </c>
      <c r="L653" s="41" t="s">
        <v>12</v>
      </c>
      <c r="M653" s="36">
        <f t="shared" si="18"/>
        <v>45664.42841</v>
      </c>
      <c r="N653" s="30" t="str">
        <f t="shared" si="3"/>
        <v>SELESAI</v>
      </c>
      <c r="O653" s="45">
        <f t="shared" si="12"/>
        <v>45664.42841</v>
      </c>
      <c r="P653" s="47" t="b">
        <v>0</v>
      </c>
      <c r="Q653" s="36" t="str">
        <f t="shared" si="19"/>
        <v/>
      </c>
      <c r="R653" s="47" t="b">
        <v>1</v>
      </c>
      <c r="S653" s="36">
        <f t="shared" si="6"/>
        <v>45664.42846</v>
      </c>
      <c r="T653" s="42"/>
    </row>
    <row r="654" ht="22.5" customHeight="1">
      <c r="B654" s="42">
        <f t="shared" si="7"/>
        <v>648</v>
      </c>
      <c r="C654" s="31" t="s">
        <v>792</v>
      </c>
      <c r="D654" s="34" t="str">
        <f t="array" ref="D654">IFNA(_xlfn.XLOOKUP(C654,Table_Tarikan_Warkah[Nomor Sertipikat],Table_Tarikan_Warkah[Nomor Tiket]),"")</f>
        <v>K/9/191224/1</v>
      </c>
      <c r="E654" s="36" t="str">
        <f t="array" ref="E654">IFNA(_xlfn.XLOOKUP(D654,Table_Tarikan_Warkah[Nomor Tiket],Table_Tarikan_Warkah[Tanggal diserahkan kepada Validator]),"")</f>
        <v/>
      </c>
      <c r="F654" s="36" t="str">
        <f t="array" ref="F654">IFNA(_xlfn.XLOOKUP(D654,Table_Tarikan_Warkah[Nomor Tiket],Table_Tarikan_Warkah[Nama Petugas Warkah]),"")</f>
        <v/>
      </c>
      <c r="G654" s="39" t="str">
        <f t="array" ref="G654">IFNA(_xlfn.XLOOKUP(D654,Table_Tarikan_Warkah[Nomor Tiket],Table_Tarikan_Warkah[Jenis Permohonan]),"")</f>
        <v>BN JUAL BELI</v>
      </c>
      <c r="H654" s="41" t="s">
        <v>20</v>
      </c>
      <c r="I654" s="41" t="s">
        <v>23</v>
      </c>
      <c r="J654" s="36">
        <f t="shared" si="17"/>
        <v>45659.43306</v>
      </c>
      <c r="K654" s="49" t="s">
        <v>26</v>
      </c>
      <c r="L654" s="49" t="s">
        <v>23</v>
      </c>
      <c r="M654" s="36">
        <f t="shared" si="18"/>
        <v>45664.36144</v>
      </c>
      <c r="N654" s="30" t="str">
        <f t="shared" si="3"/>
        <v>Selesai</v>
      </c>
      <c r="O654" s="45">
        <f t="shared" si="12"/>
        <v>45664.36144</v>
      </c>
      <c r="P654" s="47" t="b">
        <v>1</v>
      </c>
      <c r="Q654" s="36">
        <f t="shared" si="19"/>
        <v>45664.36144</v>
      </c>
      <c r="R654" s="47" t="b">
        <v>0</v>
      </c>
      <c r="S654" s="42" t="str">
        <f t="shared" si="6"/>
        <v/>
      </c>
      <c r="T654" s="42"/>
    </row>
    <row r="655" ht="22.5" customHeight="1">
      <c r="B655" s="42">
        <f t="shared" si="7"/>
        <v>649</v>
      </c>
      <c r="C655" s="31" t="s">
        <v>793</v>
      </c>
      <c r="D655" s="34" t="str">
        <f t="array" ref="D655">IFNA(_xlfn.XLOOKUP(C655,Table_Tarikan_Warkah[Nomor Sertipikat],Table_Tarikan_Warkah[Nomor Tiket]),"")</f>
        <v>L/17/231224/1</v>
      </c>
      <c r="E655" s="36" t="str">
        <f t="array" ref="E655">IFNA(_xlfn.XLOOKUP(D655,Table_Tarikan_Warkah[Nomor Tiket],Table_Tarikan_Warkah[Tanggal diserahkan kepada Validator]),"")</f>
        <v/>
      </c>
      <c r="F655" s="36" t="str">
        <f t="array" ref="F655">IFNA(_xlfn.XLOOKUP(D655,Table_Tarikan_Warkah[Nomor Tiket],Table_Tarikan_Warkah[Nama Petugas Warkah]),"")</f>
        <v/>
      </c>
      <c r="G655" s="39" t="str">
        <f t="array" ref="G655">IFNA(_xlfn.XLOOKUP(D655,Table_Tarikan_Warkah[Nomor Tiket],Table_Tarikan_Warkah[Jenis Permohonan]),"")</f>
        <v>ROYA</v>
      </c>
      <c r="H655" s="41" t="s">
        <v>20</v>
      </c>
      <c r="I655" s="41" t="s">
        <v>23</v>
      </c>
      <c r="J655" s="36">
        <f t="shared" si="17"/>
        <v>45659.43726</v>
      </c>
      <c r="K655" s="41" t="s">
        <v>26</v>
      </c>
      <c r="L655" s="41" t="s">
        <v>23</v>
      </c>
      <c r="M655" s="36">
        <f t="shared" si="18"/>
        <v>45659.43732</v>
      </c>
      <c r="N655" s="30" t="str">
        <f t="shared" si="3"/>
        <v>Selesai</v>
      </c>
      <c r="O655" s="45">
        <f t="shared" si="12"/>
        <v>45659.43732</v>
      </c>
      <c r="P655" s="47" t="b">
        <v>1</v>
      </c>
      <c r="Q655" s="36">
        <f t="shared" si="19"/>
        <v>45659.43735</v>
      </c>
      <c r="R655" s="47" t="b">
        <v>0</v>
      </c>
      <c r="S655" s="42" t="str">
        <f t="shared" si="6"/>
        <v/>
      </c>
      <c r="T655" s="42"/>
    </row>
    <row r="656" ht="22.5" customHeight="1">
      <c r="B656" s="42">
        <f t="shared" si="7"/>
        <v>650</v>
      </c>
      <c r="C656" s="31" t="s">
        <v>174</v>
      </c>
      <c r="D656" s="34" t="str">
        <f t="array" ref="D656">IFNA(_xlfn.XLOOKUP(C656,Table_Tarikan_Warkah[Nomor Sertipikat],Table_Tarikan_Warkah[Nomor Tiket]),"")</f>
        <v>L/17/241224/1</v>
      </c>
      <c r="E656" s="36">
        <f t="array" ref="E656">IFNA(_xlfn.XLOOKUP(D656,Table_Tarikan_Warkah[Nomor Tiket],Table_Tarikan_Warkah[Tanggal diserahkan kepada Validator]),"")</f>
        <v>45687.41068</v>
      </c>
      <c r="F656" s="36" t="str">
        <f t="array" ref="F656">IFNA(_xlfn.XLOOKUP(D656,Table_Tarikan_Warkah[Nomor Tiket],Table_Tarikan_Warkah[Nama Petugas Warkah]),"")</f>
        <v/>
      </c>
      <c r="G656" s="39" t="str">
        <f t="array" ref="G656">IFNA(_xlfn.XLOOKUP(D656,Table_Tarikan_Warkah[Nomor Tiket],Table_Tarikan_Warkah[Jenis Permohonan]),"")</f>
        <v>ROYA</v>
      </c>
      <c r="H656" s="41" t="s">
        <v>20</v>
      </c>
      <c r="I656" s="41" t="s">
        <v>23</v>
      </c>
      <c r="J656" s="36">
        <f t="shared" si="17"/>
        <v>45659.44078</v>
      </c>
      <c r="K656" s="41" t="s">
        <v>26</v>
      </c>
      <c r="L656" s="41" t="s">
        <v>23</v>
      </c>
      <c r="M656" s="36">
        <f t="shared" si="18"/>
        <v>45659.44083</v>
      </c>
      <c r="N656" s="30" t="str">
        <f t="shared" si="3"/>
        <v>Selesai</v>
      </c>
      <c r="O656" s="45">
        <f t="shared" si="12"/>
        <v>45659.44083</v>
      </c>
      <c r="P656" s="47" t="b">
        <v>1</v>
      </c>
      <c r="Q656" s="36">
        <f t="shared" si="19"/>
        <v>45659.44084</v>
      </c>
      <c r="R656" s="47" t="b">
        <v>1</v>
      </c>
      <c r="S656" s="36">
        <f t="shared" si="6"/>
        <v>45664.44874</v>
      </c>
      <c r="T656" s="42"/>
    </row>
    <row r="657" ht="22.5" customHeight="1">
      <c r="B657" s="42">
        <f t="shared" si="7"/>
        <v>651</v>
      </c>
      <c r="C657" s="31" t="s">
        <v>794</v>
      </c>
      <c r="D657" s="34" t="str">
        <f t="array" ref="D657">IFNA(_xlfn.XLOOKUP(C657,Table_Tarikan_Warkah[Nomor Sertipikat],Table_Tarikan_Warkah[Nomor Tiket]),"")</f>
        <v>K/20/2012124/1</v>
      </c>
      <c r="E657" s="36">
        <f t="array" ref="E657">IFNA(_xlfn.XLOOKUP(D657,Table_Tarikan_Warkah[Nomor Tiket],Table_Tarikan_Warkah[Tanggal diserahkan kepada Validator]),"")</f>
        <v>45691.62874</v>
      </c>
      <c r="F657" s="36" t="str">
        <f t="array" ref="F657">IFNA(_xlfn.XLOOKUP(D657,Table_Tarikan_Warkah[Nomor Tiket],Table_Tarikan_Warkah[Nama Petugas Warkah]),"")</f>
        <v/>
      </c>
      <c r="G657" s="39" t="str">
        <f t="array" ref="G657">IFNA(_xlfn.XLOOKUP(D657,Table_Tarikan_Warkah[Nomor Tiket],Table_Tarikan_Warkah[Jenis Permohonan]),"")</f>
        <v>Roya</v>
      </c>
      <c r="H657" s="41" t="s">
        <v>20</v>
      </c>
      <c r="I657" s="41" t="s">
        <v>23</v>
      </c>
      <c r="J657" s="36">
        <f t="shared" si="17"/>
        <v>45659.58834</v>
      </c>
      <c r="K657" s="41" t="s">
        <v>26</v>
      </c>
      <c r="L657" s="49" t="s">
        <v>23</v>
      </c>
      <c r="M657" s="36">
        <f t="shared" si="18"/>
        <v>45659.58834</v>
      </c>
      <c r="N657" s="30" t="str">
        <f t="shared" si="3"/>
        <v>Selesai</v>
      </c>
      <c r="O657" s="45">
        <f t="shared" si="12"/>
        <v>45659.58834</v>
      </c>
      <c r="P657" s="47" t="b">
        <v>1</v>
      </c>
      <c r="Q657" s="36">
        <f t="shared" si="19"/>
        <v>45659.58834</v>
      </c>
      <c r="R657" s="47" t="b">
        <v>0</v>
      </c>
      <c r="S657" s="42" t="str">
        <f t="shared" si="6"/>
        <v/>
      </c>
      <c r="T657" s="42"/>
    </row>
    <row r="658" ht="22.5" customHeight="1">
      <c r="B658" s="42">
        <f t="shared" si="7"/>
        <v>652</v>
      </c>
      <c r="C658" s="31" t="s">
        <v>795</v>
      </c>
      <c r="D658" s="34" t="str">
        <f t="array" ref="D658">IFNA(_xlfn.XLOOKUP(C658,Table_Tarikan_Warkah[Nomor Sertipikat],Table_Tarikan_Warkah[Nomor Tiket]),"")</f>
        <v>K/24/271224/2</v>
      </c>
      <c r="E658" s="36" t="str">
        <f t="array" ref="E658">IFNA(_xlfn.XLOOKUP(D658,Table_Tarikan_Warkah[Nomor Tiket],Table_Tarikan_Warkah[Tanggal diserahkan kepada Validator]),"")</f>
        <v/>
      </c>
      <c r="F658" s="36" t="str">
        <f t="array" ref="F658">IFNA(_xlfn.XLOOKUP(D658,Table_Tarikan_Warkah[Nomor Tiket],Table_Tarikan_Warkah[Nama Petugas Warkah]),"")</f>
        <v/>
      </c>
      <c r="G658" s="39" t="str">
        <f t="array" ref="G658">IFNA(_xlfn.XLOOKUP(D658,Table_Tarikan_Warkah[Nomor Tiket],Table_Tarikan_Warkah[Jenis Permohonan]),"")</f>
        <v>BN JUAL BELI</v>
      </c>
      <c r="H658" s="41" t="s">
        <v>20</v>
      </c>
      <c r="I658" s="41" t="s">
        <v>12</v>
      </c>
      <c r="J658" s="36">
        <f t="shared" si="17"/>
        <v>45659.58834</v>
      </c>
      <c r="K658" s="41" t="s">
        <v>197</v>
      </c>
      <c r="L658" s="41" t="s">
        <v>12</v>
      </c>
      <c r="M658" s="36">
        <f t="shared" si="18"/>
        <v>45664.42638</v>
      </c>
      <c r="N658" s="30" t="str">
        <f t="shared" si="3"/>
        <v>SELESAI</v>
      </c>
      <c r="O658" s="45">
        <f t="shared" si="12"/>
        <v>45664.42638</v>
      </c>
      <c r="P658" s="47" t="b">
        <v>0</v>
      </c>
      <c r="Q658" s="36" t="str">
        <f t="shared" si="19"/>
        <v/>
      </c>
      <c r="R658" s="47" t="b">
        <v>1</v>
      </c>
      <c r="S658" s="36">
        <f t="shared" si="6"/>
        <v>45664.42642</v>
      </c>
      <c r="T658" s="42"/>
    </row>
    <row r="659" ht="22.5" customHeight="1">
      <c r="B659" s="42">
        <f t="shared" si="7"/>
        <v>653</v>
      </c>
      <c r="C659" s="31" t="s">
        <v>796</v>
      </c>
      <c r="D659" s="34" t="str">
        <f t="array" ref="D659">IFNA(_xlfn.XLOOKUP(C659,Table_Tarikan_Warkah[Nomor Sertipikat],Table_Tarikan_Warkah[Nomor Tiket]),"")</f>
        <v>K/23/271224/1</v>
      </c>
      <c r="E659" s="36" t="str">
        <f t="array" ref="E659">IFNA(_xlfn.XLOOKUP(D659,Table_Tarikan_Warkah[Nomor Tiket],Table_Tarikan_Warkah[Tanggal diserahkan kepada Validator]),"")</f>
        <v/>
      </c>
      <c r="F659" s="36" t="str">
        <f t="array" ref="F659">IFNA(_xlfn.XLOOKUP(D659,Table_Tarikan_Warkah[Nomor Tiket],Table_Tarikan_Warkah[Nama Petugas Warkah]),"")</f>
        <v/>
      </c>
      <c r="G659" s="39" t="str">
        <f t="array" ref="G659">IFNA(_xlfn.XLOOKUP(D659,Table_Tarikan_Warkah[Nomor Tiket],Table_Tarikan_Warkah[Jenis Permohonan]),"")</f>
        <v>BN JUAL BELI</v>
      </c>
      <c r="H659" s="41" t="s">
        <v>20</v>
      </c>
      <c r="I659" s="41" t="s">
        <v>12</v>
      </c>
      <c r="J659" s="36">
        <f t="shared" si="17"/>
        <v>45659.58834</v>
      </c>
      <c r="K659" s="41" t="s">
        <v>197</v>
      </c>
      <c r="L659" s="41" t="s">
        <v>12</v>
      </c>
      <c r="M659" s="36">
        <f t="shared" si="18"/>
        <v>45664.43741</v>
      </c>
      <c r="N659" s="30" t="str">
        <f t="shared" si="3"/>
        <v>SELESAI</v>
      </c>
      <c r="O659" s="45">
        <f t="shared" si="12"/>
        <v>45664.43741</v>
      </c>
      <c r="P659" s="47" t="b">
        <v>0</v>
      </c>
      <c r="Q659" s="36" t="str">
        <f t="shared" si="19"/>
        <v/>
      </c>
      <c r="R659" s="47" t="b">
        <v>1</v>
      </c>
      <c r="S659" s="36">
        <f t="shared" si="6"/>
        <v>45664.43745</v>
      </c>
      <c r="T659" s="42"/>
    </row>
    <row r="660" ht="22.5" customHeight="1">
      <c r="B660" s="42">
        <f t="shared" si="7"/>
        <v>654</v>
      </c>
      <c r="C660" s="31" t="s">
        <v>797</v>
      </c>
      <c r="D660" s="34" t="str">
        <f t="array" ref="D660">IFNA(_xlfn.XLOOKUP(C660,Table_Tarikan_Warkah[Nomor Sertipikat],Table_Tarikan_Warkah[Nomor Tiket]),"")</f>
        <v>K/10/271224/1</v>
      </c>
      <c r="E660" s="36" t="str">
        <f t="array" ref="E660">IFNA(_xlfn.XLOOKUP(D660,Table_Tarikan_Warkah[Nomor Tiket],Table_Tarikan_Warkah[Tanggal diserahkan kepada Validator]),"")</f>
        <v/>
      </c>
      <c r="F660" s="36" t="str">
        <f t="array" ref="F660">IFNA(_xlfn.XLOOKUP(D660,Table_Tarikan_Warkah[Nomor Tiket],Table_Tarikan_Warkah[Nama Petugas Warkah]),"")</f>
        <v/>
      </c>
      <c r="G660" s="39" t="str">
        <f t="array" ref="G660">IFNA(_xlfn.XLOOKUP(D660,Table_Tarikan_Warkah[Nomor Tiket],Table_Tarikan_Warkah[Jenis Permohonan]),"")</f>
        <v>BN JUAL BELI</v>
      </c>
      <c r="H660" s="41" t="s">
        <v>20</v>
      </c>
      <c r="I660" s="41" t="s">
        <v>12</v>
      </c>
      <c r="J660" s="36">
        <f t="shared" si="17"/>
        <v>45659.58834</v>
      </c>
      <c r="K660" s="41" t="s">
        <v>197</v>
      </c>
      <c r="L660" s="41" t="s">
        <v>12</v>
      </c>
      <c r="M660" s="36">
        <f t="shared" si="18"/>
        <v>45664.43728</v>
      </c>
      <c r="N660" s="30" t="str">
        <f t="shared" si="3"/>
        <v>SELESAI</v>
      </c>
      <c r="O660" s="45">
        <f t="shared" si="12"/>
        <v>45664.43728</v>
      </c>
      <c r="P660" s="47" t="b">
        <v>0</v>
      </c>
      <c r="Q660" s="36" t="str">
        <f t="shared" si="19"/>
        <v/>
      </c>
      <c r="R660" s="47" t="b">
        <v>1</v>
      </c>
      <c r="S660" s="36">
        <f t="shared" si="6"/>
        <v>45664.43731</v>
      </c>
      <c r="T660" s="42"/>
    </row>
    <row r="661" ht="22.5" customHeight="1">
      <c r="B661" s="42">
        <f t="shared" si="7"/>
        <v>655</v>
      </c>
      <c r="C661" s="31" t="s">
        <v>798</v>
      </c>
      <c r="D661" s="34" t="str">
        <f t="array" ref="D661">IFNA(_xlfn.XLOOKUP(C661,Table_Tarikan_Warkah[Nomor Sertipikat],Table_Tarikan_Warkah[Nomor Tiket]),"")</f>
        <v>K/30/241224/1</v>
      </c>
      <c r="E661" s="36" t="str">
        <f t="array" ref="E661">IFNA(_xlfn.XLOOKUP(D661,Table_Tarikan_Warkah[Nomor Tiket],Table_Tarikan_Warkah[Tanggal diserahkan kepada Validator]),"")</f>
        <v/>
      </c>
      <c r="F661" s="36" t="str">
        <f t="array" ref="F661">IFNA(_xlfn.XLOOKUP(D661,Table_Tarikan_Warkah[Nomor Tiket],Table_Tarikan_Warkah[Nama Petugas Warkah]),"")</f>
        <v/>
      </c>
      <c r="G661" s="39" t="str">
        <f t="array" ref="G661">IFNA(_xlfn.XLOOKUP(D661,Table_Tarikan_Warkah[Nomor Tiket],Table_Tarikan_Warkah[Jenis Permohonan]),"")</f>
        <v>ROYA</v>
      </c>
      <c r="H661" s="41" t="s">
        <v>20</v>
      </c>
      <c r="I661" s="41" t="s">
        <v>12</v>
      </c>
      <c r="J661" s="36">
        <f t="shared" si="17"/>
        <v>45659.58834</v>
      </c>
      <c r="K661" s="41" t="s">
        <v>197</v>
      </c>
      <c r="L661" s="41" t="s">
        <v>12</v>
      </c>
      <c r="M661" s="36">
        <f t="shared" si="18"/>
        <v>45664.42862</v>
      </c>
      <c r="N661" s="30" t="str">
        <f t="shared" si="3"/>
        <v>SELESAI</v>
      </c>
      <c r="O661" s="45">
        <f t="shared" si="12"/>
        <v>45664.42862</v>
      </c>
      <c r="P661" s="47" t="b">
        <v>0</v>
      </c>
      <c r="Q661" s="36" t="str">
        <f t="shared" si="19"/>
        <v/>
      </c>
      <c r="R661" s="47" t="b">
        <v>1</v>
      </c>
      <c r="S661" s="36">
        <f t="shared" si="6"/>
        <v>45664.42865</v>
      </c>
      <c r="T661" s="42"/>
    </row>
    <row r="662" ht="22.5" customHeight="1">
      <c r="B662" s="42">
        <f t="shared" si="7"/>
        <v>656</v>
      </c>
      <c r="C662" s="31" t="s">
        <v>799</v>
      </c>
      <c r="D662" s="34" t="str">
        <f t="array" ref="D662">IFNA(_xlfn.XLOOKUP(C662,Table_Tarikan_Warkah[Nomor Sertipikat],Table_Tarikan_Warkah[Nomor Tiket]),"")</f>
        <v>K/28/271224/1</v>
      </c>
      <c r="E662" s="36" t="str">
        <f t="array" ref="E662">IFNA(_xlfn.XLOOKUP(D662,Table_Tarikan_Warkah[Nomor Tiket],Table_Tarikan_Warkah[Tanggal diserahkan kepada Validator]),"")</f>
        <v/>
      </c>
      <c r="F662" s="36" t="str">
        <f t="array" ref="F662">IFNA(_xlfn.XLOOKUP(D662,Table_Tarikan_Warkah[Nomor Tiket],Table_Tarikan_Warkah[Nama Petugas Warkah]),"")</f>
        <v/>
      </c>
      <c r="G662" s="39" t="str">
        <f t="array" ref="G662">IFNA(_xlfn.XLOOKUP(D662,Table_Tarikan_Warkah[Nomor Tiket],Table_Tarikan_Warkah[Jenis Permohonan]),"")</f>
        <v>BN Jual Beli</v>
      </c>
      <c r="H662" s="41" t="s">
        <v>20</v>
      </c>
      <c r="I662" s="41" t="s">
        <v>12</v>
      </c>
      <c r="J662" s="36">
        <f t="shared" si="17"/>
        <v>45659.58834</v>
      </c>
      <c r="K662" s="41" t="s">
        <v>197</v>
      </c>
      <c r="L662" s="41" t="s">
        <v>12</v>
      </c>
      <c r="M662" s="36">
        <f t="shared" si="18"/>
        <v>45664.43983</v>
      </c>
      <c r="N662" s="30" t="str">
        <f t="shared" si="3"/>
        <v>SELESAI</v>
      </c>
      <c r="O662" s="45">
        <f t="shared" si="12"/>
        <v>45664.43983</v>
      </c>
      <c r="P662" s="47" t="b">
        <v>0</v>
      </c>
      <c r="Q662" s="36" t="str">
        <f t="shared" si="19"/>
        <v/>
      </c>
      <c r="R662" s="47" t="b">
        <v>1</v>
      </c>
      <c r="S662" s="36">
        <f t="shared" si="6"/>
        <v>45664.43987</v>
      </c>
      <c r="T662" s="42"/>
    </row>
    <row r="663" ht="22.5" customHeight="1">
      <c r="B663" s="42">
        <f t="shared" si="7"/>
        <v>657</v>
      </c>
      <c r="C663" s="31" t="s">
        <v>800</v>
      </c>
      <c r="D663" s="34" t="str">
        <f t="array" ref="D663">IFNA(_xlfn.XLOOKUP(C663,Table_Tarikan_Warkah[Nomor Sertipikat],Table_Tarikan_Warkah[Nomor Tiket]),"")</f>
        <v>K/29/271224/1</v>
      </c>
      <c r="E663" s="36">
        <f t="array" ref="E663">IFNA(_xlfn.XLOOKUP(D663,Table_Tarikan_Warkah[Nomor Tiket],Table_Tarikan_Warkah[Tanggal diserahkan kepada Validator]),"")</f>
        <v>45694.63044</v>
      </c>
      <c r="F663" s="36" t="str">
        <f t="array" ref="F663">IFNA(_xlfn.XLOOKUP(D663,Table_Tarikan_Warkah[Nomor Tiket],Table_Tarikan_Warkah[Nama Petugas Warkah]),"")</f>
        <v/>
      </c>
      <c r="G663" s="39" t="str">
        <f t="array" ref="G663">IFNA(_xlfn.XLOOKUP(D663,Table_Tarikan_Warkah[Nomor Tiket],Table_Tarikan_Warkah[Jenis Permohonan]),"")</f>
        <v>ROYA</v>
      </c>
      <c r="H663" s="41" t="s">
        <v>20</v>
      </c>
      <c r="I663" s="41" t="s">
        <v>12</v>
      </c>
      <c r="J663" s="36">
        <f t="shared" si="17"/>
        <v>45659.58834</v>
      </c>
      <c r="K663" s="41" t="s">
        <v>197</v>
      </c>
      <c r="L663" s="41" t="s">
        <v>12</v>
      </c>
      <c r="M663" s="36">
        <f t="shared" si="18"/>
        <v>45664.42538</v>
      </c>
      <c r="N663" s="30" t="str">
        <f t="shared" si="3"/>
        <v>SELESAI</v>
      </c>
      <c r="O663" s="45">
        <f t="shared" si="12"/>
        <v>45664.42538</v>
      </c>
      <c r="P663" s="47" t="b">
        <v>0</v>
      </c>
      <c r="Q663" s="36" t="str">
        <f t="shared" si="19"/>
        <v/>
      </c>
      <c r="R663" s="47" t="b">
        <v>1</v>
      </c>
      <c r="S663" s="36">
        <f t="shared" si="6"/>
        <v>45664.42524</v>
      </c>
      <c r="T663" s="42"/>
    </row>
    <row r="664" ht="22.5" customHeight="1">
      <c r="B664" s="42">
        <f t="shared" si="7"/>
        <v>658</v>
      </c>
      <c r="C664" s="31" t="s">
        <v>801</v>
      </c>
      <c r="D664" s="34" t="str">
        <f t="array" ref="D664">IFNA(_xlfn.XLOOKUP(C664,Table_Tarikan_Warkah[Nomor Sertipikat],Table_Tarikan_Warkah[Nomor Tiket]),"")</f>
        <v>K/32/271224/1</v>
      </c>
      <c r="E664" s="36">
        <f t="array" ref="E664">IFNA(_xlfn.XLOOKUP(D664,Table_Tarikan_Warkah[Nomor Tiket],Table_Tarikan_Warkah[Tanggal diserahkan kepada Validator]),"")</f>
        <v>45687.40807</v>
      </c>
      <c r="F664" s="36" t="str">
        <f t="array" ref="F664">IFNA(_xlfn.XLOOKUP(D664,Table_Tarikan_Warkah[Nomor Tiket],Table_Tarikan_Warkah[Nama Petugas Warkah]),"")</f>
        <v/>
      </c>
      <c r="G664" s="39" t="str">
        <f t="array" ref="G664">IFNA(_xlfn.XLOOKUP(D664,Table_Tarikan_Warkah[Nomor Tiket],Table_Tarikan_Warkah[Jenis Permohonan]),"")</f>
        <v>ROYA</v>
      </c>
      <c r="H664" s="41" t="s">
        <v>20</v>
      </c>
      <c r="I664" s="41" t="s">
        <v>12</v>
      </c>
      <c r="J664" s="36">
        <f t="shared" si="17"/>
        <v>45659.58834</v>
      </c>
      <c r="K664" s="41" t="s">
        <v>197</v>
      </c>
      <c r="L664" s="41" t="s">
        <v>12</v>
      </c>
      <c r="M664" s="36">
        <f t="shared" si="18"/>
        <v>45664.43912</v>
      </c>
      <c r="N664" s="30" t="str">
        <f t="shared" si="3"/>
        <v>SELESAI</v>
      </c>
      <c r="O664" s="45">
        <f t="shared" si="12"/>
        <v>45664.43912</v>
      </c>
      <c r="P664" s="47" t="b">
        <v>0</v>
      </c>
      <c r="Q664" s="36" t="str">
        <f t="shared" si="19"/>
        <v/>
      </c>
      <c r="R664" s="47" t="b">
        <v>1</v>
      </c>
      <c r="S664" s="36">
        <f t="shared" si="6"/>
        <v>45664.43917</v>
      </c>
      <c r="T664" s="42"/>
    </row>
    <row r="665" ht="22.5" customHeight="1">
      <c r="B665" s="42">
        <f t="shared" si="7"/>
        <v>659</v>
      </c>
      <c r="C665" s="31" t="s">
        <v>802</v>
      </c>
      <c r="D665" s="34" t="str">
        <f t="array" ref="D665">IFNA(_xlfn.XLOOKUP(C665,Table_Tarikan_Warkah[Nomor Sertipikat],Table_Tarikan_Warkah[Nomor Tiket]),"")</f>
        <v>K/35/271224/1</v>
      </c>
      <c r="E665" s="36" t="str">
        <f t="array" ref="E665">IFNA(_xlfn.XLOOKUP(D665,Table_Tarikan_Warkah[Nomor Tiket],Table_Tarikan_Warkah[Tanggal diserahkan kepada Validator]),"")</f>
        <v/>
      </c>
      <c r="F665" s="36" t="str">
        <f t="array" ref="F665">IFNA(_xlfn.XLOOKUP(D665,Table_Tarikan_Warkah[Nomor Tiket],Table_Tarikan_Warkah[Nama Petugas Warkah]),"")</f>
        <v/>
      </c>
      <c r="G665" s="39" t="str">
        <f t="array" ref="G665">IFNA(_xlfn.XLOOKUP(D665,Table_Tarikan_Warkah[Nomor Tiket],Table_Tarikan_Warkah[Jenis Permohonan]),"")</f>
        <v>BN JUAL BELI</v>
      </c>
      <c r="H665" s="41" t="s">
        <v>20</v>
      </c>
      <c r="I665" s="41" t="s">
        <v>12</v>
      </c>
      <c r="J665" s="36">
        <f t="shared" si="17"/>
        <v>45659.58834</v>
      </c>
      <c r="K665" s="41" t="s">
        <v>197</v>
      </c>
      <c r="L665" s="41" t="s">
        <v>12</v>
      </c>
      <c r="M665" s="36">
        <f t="shared" si="18"/>
        <v>45664.42747</v>
      </c>
      <c r="N665" s="30" t="str">
        <f t="shared" si="3"/>
        <v>SELESAI</v>
      </c>
      <c r="O665" s="45">
        <f t="shared" si="12"/>
        <v>45664.42747</v>
      </c>
      <c r="P665" s="47" t="b">
        <v>0</v>
      </c>
      <c r="Q665" s="36" t="str">
        <f t="shared" si="19"/>
        <v/>
      </c>
      <c r="R665" s="47" t="b">
        <v>1</v>
      </c>
      <c r="S665" s="36">
        <f t="shared" si="6"/>
        <v>45664.42751</v>
      </c>
      <c r="T665" s="42"/>
    </row>
    <row r="666" ht="22.5" customHeight="1">
      <c r="B666" s="42">
        <f t="shared" si="7"/>
        <v>660</v>
      </c>
      <c r="C666" s="31" t="s">
        <v>803</v>
      </c>
      <c r="D666" s="34" t="str">
        <f t="array" ref="D666">IFNA(_xlfn.XLOOKUP(C666,Table_Tarikan_Warkah[Nomor Sertipikat],Table_Tarikan_Warkah[Nomor Tiket]),"")</f>
        <v>K/4/301224/2</v>
      </c>
      <c r="E666" s="36" t="str">
        <f t="array" ref="E666">IFNA(_xlfn.XLOOKUP(D666,Table_Tarikan_Warkah[Nomor Tiket],Table_Tarikan_Warkah[Tanggal diserahkan kepada Validator]),"")</f>
        <v/>
      </c>
      <c r="F666" s="36" t="str">
        <f t="array" ref="F666">IFNA(_xlfn.XLOOKUP(D666,Table_Tarikan_Warkah[Nomor Tiket],Table_Tarikan_Warkah[Nama Petugas Warkah]),"")</f>
        <v/>
      </c>
      <c r="G666" s="39" t="str">
        <f t="array" ref="G666">IFNA(_xlfn.XLOOKUP(D666,Table_Tarikan_Warkah[Nomor Tiket],Table_Tarikan_Warkah[Jenis Permohonan]),"")</f>
        <v>BN Jual Beli</v>
      </c>
      <c r="H666" s="41" t="s">
        <v>20</v>
      </c>
      <c r="I666" s="41" t="s">
        <v>12</v>
      </c>
      <c r="J666" s="36">
        <f t="shared" si="17"/>
        <v>45659.61264</v>
      </c>
      <c r="K666" s="41" t="s">
        <v>197</v>
      </c>
      <c r="L666" s="41" t="s">
        <v>12</v>
      </c>
      <c r="M666" s="36">
        <f t="shared" si="18"/>
        <v>45664.44008</v>
      </c>
      <c r="N666" s="30" t="str">
        <f t="shared" si="3"/>
        <v>SELESAI</v>
      </c>
      <c r="O666" s="45">
        <f t="shared" si="12"/>
        <v>45664.44008</v>
      </c>
      <c r="P666" s="47" t="b">
        <v>0</v>
      </c>
      <c r="Q666" s="36" t="str">
        <f t="shared" si="19"/>
        <v/>
      </c>
      <c r="R666" s="47" t="b">
        <v>1</v>
      </c>
      <c r="S666" s="36">
        <f t="shared" si="6"/>
        <v>45664.44012</v>
      </c>
      <c r="T666" s="42"/>
    </row>
    <row r="667" ht="22.5" customHeight="1">
      <c r="B667" s="42">
        <f t="shared" si="7"/>
        <v>661</v>
      </c>
      <c r="C667" s="31" t="s">
        <v>804</v>
      </c>
      <c r="D667" s="34" t="str">
        <f t="array" ref="D667">IFNA(_xlfn.XLOOKUP(C667,Table_Tarikan_Warkah[Nomor Sertipikat],Table_Tarikan_Warkah[Nomor Tiket]),"")</f>
        <v>K/42/241224/1</v>
      </c>
      <c r="E667" s="36">
        <f t="array" ref="E667">IFNA(_xlfn.XLOOKUP(D667,Table_Tarikan_Warkah[Nomor Tiket],Table_Tarikan_Warkah[Tanggal diserahkan kepada Validator]),"")</f>
        <v>45666.70579</v>
      </c>
      <c r="F667" s="36" t="str">
        <f t="array" ref="F667">IFNA(_xlfn.XLOOKUP(D667,Table_Tarikan_Warkah[Nomor Tiket],Table_Tarikan_Warkah[Nama Petugas Warkah]),"")</f>
        <v/>
      </c>
      <c r="G667" s="39" t="str">
        <f t="array" ref="G667">IFNA(_xlfn.XLOOKUP(D667,Table_Tarikan_Warkah[Nomor Tiket],Table_Tarikan_Warkah[Jenis Permohonan]),"")</f>
        <v>BN Jual Beli</v>
      </c>
      <c r="H667" s="41" t="s">
        <v>20</v>
      </c>
      <c r="I667" s="41" t="s">
        <v>23</v>
      </c>
      <c r="J667" s="36">
        <f t="shared" si="17"/>
        <v>45659.61997</v>
      </c>
      <c r="K667" s="41" t="s">
        <v>26</v>
      </c>
      <c r="L667" s="41" t="s">
        <v>23</v>
      </c>
      <c r="M667" s="36">
        <f t="shared" si="18"/>
        <v>45659.64107</v>
      </c>
      <c r="N667" s="30" t="str">
        <f t="shared" si="3"/>
        <v>Selesai</v>
      </c>
      <c r="O667" s="45">
        <f t="shared" si="12"/>
        <v>45659.64107</v>
      </c>
      <c r="P667" s="47" t="b">
        <v>1</v>
      </c>
      <c r="Q667" s="36">
        <f t="shared" si="19"/>
        <v>45659.63944</v>
      </c>
      <c r="R667" s="47" t="b">
        <v>0</v>
      </c>
      <c r="S667" s="42" t="str">
        <f t="shared" si="6"/>
        <v/>
      </c>
      <c r="T667" s="42"/>
    </row>
    <row r="668" ht="22.5" customHeight="1">
      <c r="B668" s="42">
        <f t="shared" si="7"/>
        <v>662</v>
      </c>
      <c r="C668" s="31" t="s">
        <v>805</v>
      </c>
      <c r="D668" s="34" t="str">
        <f t="array" ref="D668">IFNA(_xlfn.XLOOKUP(C668,Table_Tarikan_Warkah[Nomor Sertipikat],Table_Tarikan_Warkah[Nomor Tiket]),"")</f>
        <v>L/5/231224/1</v>
      </c>
      <c r="E668" s="36">
        <f t="array" ref="E668">IFNA(_xlfn.XLOOKUP(D668,Table_Tarikan_Warkah[Nomor Tiket],Table_Tarikan_Warkah[Tanggal diserahkan kepada Validator]),"")</f>
        <v>45763.4394</v>
      </c>
      <c r="F668" s="36" t="str">
        <f t="array" ref="F668">IFNA(_xlfn.XLOOKUP(D668,Table_Tarikan_Warkah[Nomor Tiket],Table_Tarikan_Warkah[Nama Petugas Warkah]),"")</f>
        <v/>
      </c>
      <c r="G668" s="39" t="str">
        <f t="array" ref="G668">IFNA(_xlfn.XLOOKUP(D668,Table_Tarikan_Warkah[Nomor Tiket],Table_Tarikan_Warkah[Jenis Permohonan]),"")</f>
        <v>ROYA</v>
      </c>
      <c r="H668" s="41" t="s">
        <v>20</v>
      </c>
      <c r="I668" s="41" t="s">
        <v>23</v>
      </c>
      <c r="J668" s="36">
        <f t="shared" si="17"/>
        <v>45659.6394</v>
      </c>
      <c r="K668" s="41" t="s">
        <v>26</v>
      </c>
      <c r="L668" s="41" t="s">
        <v>23</v>
      </c>
      <c r="M668" s="36">
        <f t="shared" si="18"/>
        <v>45659.6411</v>
      </c>
      <c r="N668" s="30" t="str">
        <f t="shared" si="3"/>
        <v>Selesai</v>
      </c>
      <c r="O668" s="45">
        <f t="shared" si="12"/>
        <v>45659.6411</v>
      </c>
      <c r="P668" s="47" t="b">
        <v>1</v>
      </c>
      <c r="Q668" s="36">
        <f t="shared" si="19"/>
        <v>45659.63945</v>
      </c>
      <c r="R668" s="47" t="b">
        <v>0</v>
      </c>
      <c r="S668" s="42" t="str">
        <f t="shared" si="6"/>
        <v/>
      </c>
      <c r="T668" s="42"/>
    </row>
    <row r="669" ht="22.5" customHeight="1">
      <c r="B669" s="42">
        <f t="shared" si="7"/>
        <v>663</v>
      </c>
      <c r="C669" s="31" t="s">
        <v>806</v>
      </c>
      <c r="D669" s="34" t="str">
        <f t="array" ref="D669">IFNA(_xlfn.XLOOKUP(C669,Table_Tarikan_Warkah[Nomor Sertipikat],Table_Tarikan_Warkah[Nomor Tiket]),"")</f>
        <v>L/18/161224/1</v>
      </c>
      <c r="E669" s="36" t="str">
        <f t="array" ref="E669">IFNA(_xlfn.XLOOKUP(D669,Table_Tarikan_Warkah[Nomor Tiket],Table_Tarikan_Warkah[Tanggal diserahkan kepada Validator]),"")</f>
        <v/>
      </c>
      <c r="F669" s="36" t="str">
        <f t="array" ref="F669">IFNA(_xlfn.XLOOKUP(D669,Table_Tarikan_Warkah[Nomor Tiket],Table_Tarikan_Warkah[Nama Petugas Warkah]),"")</f>
        <v>Berry</v>
      </c>
      <c r="G669" s="39" t="str">
        <f t="array" ref="G669">IFNA(_xlfn.XLOOKUP(D669,Table_Tarikan_Warkah[Nomor Tiket],Table_Tarikan_Warkah[Jenis Permohonan]),"")</f>
        <v>ROYA</v>
      </c>
      <c r="H669" s="41" t="s">
        <v>20</v>
      </c>
      <c r="I669" s="41" t="s">
        <v>23</v>
      </c>
      <c r="J669" s="36">
        <f t="shared" si="17"/>
        <v>45659.64097</v>
      </c>
      <c r="K669" s="41" t="s">
        <v>26</v>
      </c>
      <c r="L669" s="41" t="s">
        <v>23</v>
      </c>
      <c r="M669" s="36">
        <f t="shared" si="18"/>
        <v>45659.64113</v>
      </c>
      <c r="N669" s="30" t="str">
        <f t="shared" si="3"/>
        <v>Selesai</v>
      </c>
      <c r="O669" s="45">
        <f t="shared" si="12"/>
        <v>45659.64113</v>
      </c>
      <c r="P669" s="47" t="b">
        <v>1</v>
      </c>
      <c r="Q669" s="36">
        <f t="shared" si="19"/>
        <v>45659.64101</v>
      </c>
      <c r="R669" s="47" t="b">
        <v>0</v>
      </c>
      <c r="S669" s="42" t="str">
        <f t="shared" si="6"/>
        <v/>
      </c>
      <c r="T669" s="42"/>
    </row>
    <row r="670" ht="22.5" customHeight="1">
      <c r="B670" s="42">
        <f t="shared" si="7"/>
        <v>664</v>
      </c>
      <c r="C670" s="31" t="s">
        <v>807</v>
      </c>
      <c r="D670" s="34" t="str">
        <f t="array" ref="D670">IFNA(_xlfn.XLOOKUP(C670,Table_Tarikan_Warkah[Nomor Sertipikat],Table_Tarikan_Warkah[Nomor Tiket]),"")</f>
        <v>L/37/020125/1</v>
      </c>
      <c r="E670" s="36" t="str">
        <f t="array" ref="E670">IFNA(_xlfn.XLOOKUP(D670,Table_Tarikan_Warkah[Nomor Tiket],Table_Tarikan_Warkah[Tanggal diserahkan kepada Validator]),"")</f>
        <v/>
      </c>
      <c r="F670" s="36" t="str">
        <f t="array" ref="F670">IFNA(_xlfn.XLOOKUP(D670,Table_Tarikan_Warkah[Nomor Tiket],Table_Tarikan_Warkah[Nama Petugas Warkah]),"")</f>
        <v>Berry</v>
      </c>
      <c r="G670" s="39" t="str">
        <f t="array" ref="G670">IFNA(_xlfn.XLOOKUP(D670,Table_Tarikan_Warkah[Nomor Tiket],Table_Tarikan_Warkah[Jenis Permohonan]),"")</f>
        <v>ROYA</v>
      </c>
      <c r="H670" s="41" t="s">
        <v>20</v>
      </c>
      <c r="I670" s="41" t="s">
        <v>23</v>
      </c>
      <c r="J670" s="36">
        <f t="shared" si="17"/>
        <v>45659.65637</v>
      </c>
      <c r="K670" s="41" t="s">
        <v>26</v>
      </c>
      <c r="L670" s="41" t="s">
        <v>23</v>
      </c>
      <c r="M670" s="36">
        <f t="shared" si="18"/>
        <v>45659.65643</v>
      </c>
      <c r="N670" s="30" t="str">
        <f t="shared" si="3"/>
        <v>Selesai</v>
      </c>
      <c r="O670" s="45">
        <f t="shared" si="12"/>
        <v>45659.65643</v>
      </c>
      <c r="P670" s="47" t="b">
        <v>1</v>
      </c>
      <c r="Q670" s="36">
        <f t="shared" si="19"/>
        <v>45659.65643</v>
      </c>
      <c r="R670" s="47" t="b">
        <v>0</v>
      </c>
      <c r="S670" s="42" t="str">
        <f t="shared" si="6"/>
        <v/>
      </c>
      <c r="T670" s="42"/>
    </row>
    <row r="671" ht="22.5" customHeight="1">
      <c r="B671" s="42">
        <f t="shared" si="7"/>
        <v>665</v>
      </c>
      <c r="C671" s="31" t="s">
        <v>808</v>
      </c>
      <c r="D671" s="34" t="str">
        <f t="array" ref="D671">IFNA(_xlfn.XLOOKUP(C671,Table_Tarikan_Warkah[Nomor Sertipikat],Table_Tarikan_Warkah[Nomor Tiket]),"")</f>
        <v>L/54/231224/1</v>
      </c>
      <c r="E671" s="36" t="str">
        <f t="array" ref="E671">IFNA(_xlfn.XLOOKUP(D671,Table_Tarikan_Warkah[Nomor Tiket],Table_Tarikan_Warkah[Tanggal diserahkan kepada Validator]),"")</f>
        <v/>
      </c>
      <c r="F671" s="36" t="str">
        <f t="array" ref="F671">IFNA(_xlfn.XLOOKUP(D671,Table_Tarikan_Warkah[Nomor Tiket],Table_Tarikan_Warkah[Nama Petugas Warkah]),"")</f>
        <v/>
      </c>
      <c r="G671" s="39" t="str">
        <f t="array" ref="G671">IFNA(_xlfn.XLOOKUP(D671,Table_Tarikan_Warkah[Nomor Tiket],Table_Tarikan_Warkah[Jenis Permohonan]),"")</f>
        <v>ROYA</v>
      </c>
      <c r="H671" s="41" t="s">
        <v>20</v>
      </c>
      <c r="I671" s="41" t="s">
        <v>23</v>
      </c>
      <c r="J671" s="36">
        <f t="shared" si="17"/>
        <v>45659.65663</v>
      </c>
      <c r="K671" s="41" t="s">
        <v>26</v>
      </c>
      <c r="L671" s="41" t="s">
        <v>23</v>
      </c>
      <c r="M671" s="36">
        <f t="shared" si="18"/>
        <v>45659.65669</v>
      </c>
      <c r="N671" s="30" t="str">
        <f t="shared" si="3"/>
        <v>Selesai</v>
      </c>
      <c r="O671" s="45">
        <f t="shared" si="12"/>
        <v>45659.65669</v>
      </c>
      <c r="P671" s="47" t="b">
        <v>1</v>
      </c>
      <c r="Q671" s="36">
        <f t="shared" si="19"/>
        <v>45659.6567</v>
      </c>
      <c r="R671" s="47" t="b">
        <v>0</v>
      </c>
      <c r="S671" s="42" t="str">
        <f t="shared" si="6"/>
        <v/>
      </c>
      <c r="T671" s="42"/>
    </row>
    <row r="672" ht="22.5" customHeight="1">
      <c r="B672" s="42">
        <f t="shared" si="7"/>
        <v>666</v>
      </c>
      <c r="C672" s="31" t="s">
        <v>809</v>
      </c>
      <c r="D672" s="34" t="str">
        <f t="array" ref="D672">IFNA(_xlfn.XLOOKUP(C672,Table_Tarikan_Warkah[Nomor Sertipikat],Table_Tarikan_Warkah[Nomor Tiket]),"")</f>
        <v>K/31/301224/1</v>
      </c>
      <c r="E672" s="36" t="str">
        <f t="array" ref="E672">IFNA(_xlfn.XLOOKUP(D672,Table_Tarikan_Warkah[Nomor Tiket],Table_Tarikan_Warkah[Tanggal diserahkan kepada Validator]),"")</f>
        <v/>
      </c>
      <c r="F672" s="36" t="str">
        <f t="array" ref="F672">IFNA(_xlfn.XLOOKUP(D672,Table_Tarikan_Warkah[Nomor Tiket],Table_Tarikan_Warkah[Nama Petugas Warkah]),"")</f>
        <v/>
      </c>
      <c r="G672" s="39" t="str">
        <f t="array" ref="G672">IFNA(_xlfn.XLOOKUP(D672,Table_Tarikan_Warkah[Nomor Tiket],Table_Tarikan_Warkah[Jenis Permohonan]),"")</f>
        <v>BN JUAL BELI</v>
      </c>
      <c r="H672" s="41" t="s">
        <v>11</v>
      </c>
      <c r="I672" s="41" t="s">
        <v>12</v>
      </c>
      <c r="J672" s="36">
        <f t="shared" si="17"/>
        <v>45659.6788</v>
      </c>
      <c r="K672" s="41" t="s">
        <v>197</v>
      </c>
      <c r="L672" s="41" t="s">
        <v>12</v>
      </c>
      <c r="M672" s="36">
        <f t="shared" si="18"/>
        <v>45664.42667</v>
      </c>
      <c r="N672" s="30" t="str">
        <f t="shared" si="3"/>
        <v>SELESAI</v>
      </c>
      <c r="O672" s="45">
        <f t="shared" si="12"/>
        <v>45664.42667</v>
      </c>
      <c r="P672" s="47" t="b">
        <v>0</v>
      </c>
      <c r="Q672" s="36" t="str">
        <f t="shared" si="19"/>
        <v/>
      </c>
      <c r="R672" s="47" t="b">
        <v>1</v>
      </c>
      <c r="S672" s="36">
        <f t="shared" si="6"/>
        <v>45664.4267</v>
      </c>
      <c r="T672" s="42"/>
    </row>
    <row r="673" ht="22.5" customHeight="1">
      <c r="B673" s="42">
        <f t="shared" si="7"/>
        <v>667</v>
      </c>
      <c r="C673" s="31" t="s">
        <v>810</v>
      </c>
      <c r="D673" s="34" t="str">
        <f t="array" ref="D673">IFNA(_xlfn.XLOOKUP(C673,Table_Tarikan_Warkah[Nomor Sertipikat],Table_Tarikan_Warkah[Nomor Tiket]),"")</f>
        <v>K/24/301224/1</v>
      </c>
      <c r="E673" s="36" t="str">
        <f t="array" ref="E673">IFNA(_xlfn.XLOOKUP(D673,Table_Tarikan_Warkah[Nomor Tiket],Table_Tarikan_Warkah[Tanggal diserahkan kepada Validator]),"")</f>
        <v/>
      </c>
      <c r="F673" s="36" t="str">
        <f t="array" ref="F673">IFNA(_xlfn.XLOOKUP(D673,Table_Tarikan_Warkah[Nomor Tiket],Table_Tarikan_Warkah[Nama Petugas Warkah]),"")</f>
        <v/>
      </c>
      <c r="G673" s="39" t="str">
        <f t="array" ref="G673">IFNA(_xlfn.XLOOKUP(D673,Table_Tarikan_Warkah[Nomor Tiket],Table_Tarikan_Warkah[Jenis Permohonan]),"")</f>
        <v>BN Jual Beli</v>
      </c>
      <c r="H673" s="41" t="s">
        <v>11</v>
      </c>
      <c r="I673" s="41" t="s">
        <v>12</v>
      </c>
      <c r="J673" s="36">
        <f t="shared" si="17"/>
        <v>45659.67889</v>
      </c>
      <c r="K673" s="56" t="s">
        <v>197</v>
      </c>
      <c r="L673" s="57" t="s">
        <v>12</v>
      </c>
      <c r="M673" s="36">
        <f t="shared" si="18"/>
        <v>45664.41654</v>
      </c>
      <c r="N673" s="30" t="str">
        <f t="shared" si="3"/>
        <v>SELESAI</v>
      </c>
      <c r="O673" s="45">
        <f t="shared" si="12"/>
        <v>45664.41654</v>
      </c>
      <c r="P673" s="47" t="b">
        <v>0</v>
      </c>
      <c r="Q673" s="36" t="str">
        <f t="shared" si="19"/>
        <v/>
      </c>
      <c r="R673" s="47" t="b">
        <v>1</v>
      </c>
      <c r="S673" s="36">
        <f t="shared" si="6"/>
        <v>45664.41657</v>
      </c>
      <c r="T673" s="42"/>
    </row>
    <row r="674" ht="22.5" customHeight="1">
      <c r="B674" s="42">
        <f t="shared" si="7"/>
        <v>668</v>
      </c>
      <c r="C674" s="31" t="s">
        <v>811</v>
      </c>
      <c r="D674" s="34" t="str">
        <f t="array" ref="D674">IFNA(_xlfn.XLOOKUP(C674,Table_Tarikan_Warkah[Nomor Sertipikat],Table_Tarikan_Warkah[Nomor Tiket]),"")</f>
        <v>K/14/301225/1</v>
      </c>
      <c r="E674" s="36" t="str">
        <f t="array" ref="E674">IFNA(_xlfn.XLOOKUP(D674,Table_Tarikan_Warkah[Nomor Tiket],Table_Tarikan_Warkah[Tanggal diserahkan kepada Validator]),"")</f>
        <v/>
      </c>
      <c r="F674" s="36" t="str">
        <f t="array" ref="F674">IFNA(_xlfn.XLOOKUP(D674,Table_Tarikan_Warkah[Nomor Tiket],Table_Tarikan_Warkah[Nama Petugas Warkah]),"")</f>
        <v/>
      </c>
      <c r="G674" s="39" t="str">
        <f t="array" ref="G674">IFNA(_xlfn.XLOOKUP(D674,Table_Tarikan_Warkah[Nomor Tiket],Table_Tarikan_Warkah[Jenis Permohonan]),"")</f>
        <v>BN JUAL BELI</v>
      </c>
      <c r="H674" s="41" t="s">
        <v>11</v>
      </c>
      <c r="I674" s="41" t="s">
        <v>12</v>
      </c>
      <c r="J674" s="36">
        <f t="shared" si="17"/>
        <v>45659.67889</v>
      </c>
      <c r="K674" s="56" t="s">
        <v>197</v>
      </c>
      <c r="L674" s="57" t="s">
        <v>12</v>
      </c>
      <c r="M674" s="36">
        <f t="shared" si="18"/>
        <v>45664.41964</v>
      </c>
      <c r="N674" s="30" t="str">
        <f t="shared" si="3"/>
        <v>SELESAI</v>
      </c>
      <c r="O674" s="45">
        <f t="shared" si="12"/>
        <v>45664.41964</v>
      </c>
      <c r="P674" s="47" t="b">
        <v>0</v>
      </c>
      <c r="Q674" s="36" t="str">
        <f t="shared" si="19"/>
        <v/>
      </c>
      <c r="R674" s="47" t="b">
        <v>1</v>
      </c>
      <c r="S674" s="36">
        <f t="shared" si="6"/>
        <v>45664.41968</v>
      </c>
      <c r="T674" s="42"/>
    </row>
    <row r="675" ht="22.5" customHeight="1">
      <c r="B675" s="42">
        <f t="shared" si="7"/>
        <v>669</v>
      </c>
      <c r="C675" s="31" t="s">
        <v>812</v>
      </c>
      <c r="D675" s="34" t="str">
        <f t="array" ref="D675">IFNA(_xlfn.XLOOKUP(C675,Table_Tarikan_Warkah[Nomor Sertipikat],Table_Tarikan_Warkah[Nomor Tiket]),"")</f>
        <v>K/11/301224/4</v>
      </c>
      <c r="E675" s="36" t="str">
        <f t="array" ref="E675">IFNA(_xlfn.XLOOKUP(D675,Table_Tarikan_Warkah[Nomor Tiket],Table_Tarikan_Warkah[Tanggal diserahkan kepada Validator]),"")</f>
        <v/>
      </c>
      <c r="F675" s="36" t="str">
        <f t="array" ref="F675">IFNA(_xlfn.XLOOKUP(D675,Table_Tarikan_Warkah[Nomor Tiket],Table_Tarikan_Warkah[Nama Petugas Warkah]),"")</f>
        <v/>
      </c>
      <c r="G675" s="39" t="str">
        <f t="array" ref="G675">IFNA(_xlfn.XLOOKUP(D675,Table_Tarikan_Warkah[Nomor Tiket],Table_Tarikan_Warkah[Jenis Permohonan]),"")</f>
        <v>BN JUAL BELI</v>
      </c>
      <c r="H675" s="41" t="s">
        <v>11</v>
      </c>
      <c r="I675" s="41" t="s">
        <v>12</v>
      </c>
      <c r="J675" s="36">
        <f t="shared" si="17"/>
        <v>45659.67889</v>
      </c>
      <c r="K675" s="41" t="s">
        <v>197</v>
      </c>
      <c r="L675" s="41" t="s">
        <v>12</v>
      </c>
      <c r="M675" s="36">
        <f t="shared" si="18"/>
        <v>45664.41947</v>
      </c>
      <c r="N675" s="30" t="str">
        <f t="shared" si="3"/>
        <v>SELESAI</v>
      </c>
      <c r="O675" s="45">
        <f t="shared" si="12"/>
        <v>45664.41947</v>
      </c>
      <c r="P675" s="47" t="b">
        <v>0</v>
      </c>
      <c r="Q675" s="36" t="str">
        <f t="shared" si="19"/>
        <v/>
      </c>
      <c r="R675" s="47" t="b">
        <v>1</v>
      </c>
      <c r="S675" s="36">
        <f t="shared" si="6"/>
        <v>45664.4195</v>
      </c>
      <c r="T675" s="42"/>
    </row>
    <row r="676" ht="22.5" customHeight="1">
      <c r="B676" s="42">
        <f t="shared" si="7"/>
        <v>670</v>
      </c>
      <c r="C676" s="31" t="s">
        <v>813</v>
      </c>
      <c r="D676" s="34" t="str">
        <f t="array" ref="D676">IFNA(_xlfn.XLOOKUP(C676,Table_Tarikan_Warkah[Nomor Sertipikat],Table_Tarikan_Warkah[Nomor Tiket]),"")</f>
        <v>K/12/301224/1</v>
      </c>
      <c r="E676" s="36" t="str">
        <f t="array" ref="E676">IFNA(_xlfn.XLOOKUP(D676,Table_Tarikan_Warkah[Nomor Tiket],Table_Tarikan_Warkah[Tanggal diserahkan kepada Validator]),"")</f>
        <v/>
      </c>
      <c r="F676" s="36" t="str">
        <f t="array" ref="F676">IFNA(_xlfn.XLOOKUP(D676,Table_Tarikan_Warkah[Nomor Tiket],Table_Tarikan_Warkah[Nama Petugas Warkah]),"")</f>
        <v/>
      </c>
      <c r="G676" s="39" t="str">
        <f t="array" ref="G676">IFNA(_xlfn.XLOOKUP(D676,Table_Tarikan_Warkah[Nomor Tiket],Table_Tarikan_Warkah[Jenis Permohonan]),"")</f>
        <v>BN JUAL BELI</v>
      </c>
      <c r="H676" s="41" t="s">
        <v>11</v>
      </c>
      <c r="I676" s="41" t="s">
        <v>12</v>
      </c>
      <c r="J676" s="36">
        <f t="shared" si="17"/>
        <v>45659.67889</v>
      </c>
      <c r="K676" s="41" t="s">
        <v>197</v>
      </c>
      <c r="L676" s="41" t="s">
        <v>12</v>
      </c>
      <c r="M676" s="36">
        <f t="shared" si="18"/>
        <v>45664.43878</v>
      </c>
      <c r="N676" s="30" t="str">
        <f t="shared" si="3"/>
        <v>SELESAI</v>
      </c>
      <c r="O676" s="45">
        <f t="shared" si="12"/>
        <v>45664.43878</v>
      </c>
      <c r="P676" s="47" t="b">
        <v>0</v>
      </c>
      <c r="Q676" s="36" t="str">
        <f t="shared" si="19"/>
        <v/>
      </c>
      <c r="R676" s="47" t="b">
        <v>1</v>
      </c>
      <c r="S676" s="36">
        <f t="shared" si="6"/>
        <v>45664.43881</v>
      </c>
      <c r="T676" s="42"/>
    </row>
    <row r="677" ht="22.5" customHeight="1">
      <c r="B677" s="42">
        <f t="shared" si="7"/>
        <v>671</v>
      </c>
      <c r="C677" s="31" t="s">
        <v>814</v>
      </c>
      <c r="D677" s="34" t="str">
        <f t="array" ref="D677">IFNA(_xlfn.XLOOKUP(C677,Table_Tarikan_Warkah[Nomor Sertipikat],Table_Tarikan_Warkah[Nomor Tiket]),"")</f>
        <v>K/15/301225/1</v>
      </c>
      <c r="E677" s="36">
        <f t="array" ref="E677">IFNA(_xlfn.XLOOKUP(D677,Table_Tarikan_Warkah[Nomor Tiket],Table_Tarikan_Warkah[Tanggal diserahkan kepada Validator]),"")</f>
        <v>45694.6316</v>
      </c>
      <c r="F677" s="36" t="str">
        <f t="array" ref="F677">IFNA(_xlfn.XLOOKUP(D677,Table_Tarikan_Warkah[Nomor Tiket],Table_Tarikan_Warkah[Nama Petugas Warkah]),"")</f>
        <v/>
      </c>
      <c r="G677" s="39" t="str">
        <f t="array" ref="G677">IFNA(_xlfn.XLOOKUP(D677,Table_Tarikan_Warkah[Nomor Tiket],Table_Tarikan_Warkah[Jenis Permohonan]),"")</f>
        <v>ROYA</v>
      </c>
      <c r="H677" s="41" t="s">
        <v>11</v>
      </c>
      <c r="I677" s="41" t="s">
        <v>12</v>
      </c>
      <c r="J677" s="36">
        <f t="shared" si="17"/>
        <v>45659.67889</v>
      </c>
      <c r="K677" s="41" t="s">
        <v>197</v>
      </c>
      <c r="L677" s="41" t="s">
        <v>12</v>
      </c>
      <c r="M677" s="36">
        <f t="shared" si="18"/>
        <v>45664.44034</v>
      </c>
      <c r="N677" s="30" t="str">
        <f t="shared" si="3"/>
        <v>SELESAI</v>
      </c>
      <c r="O677" s="45">
        <f t="shared" si="12"/>
        <v>45664.44034</v>
      </c>
      <c r="P677" s="47" t="b">
        <v>0</v>
      </c>
      <c r="Q677" s="36" t="str">
        <f t="shared" si="19"/>
        <v/>
      </c>
      <c r="R677" s="47" t="b">
        <v>1</v>
      </c>
      <c r="S677" s="36">
        <f t="shared" si="6"/>
        <v>45664.44038</v>
      </c>
      <c r="T677" s="42"/>
    </row>
    <row r="678" ht="22.5" customHeight="1">
      <c r="B678" s="42">
        <f t="shared" si="7"/>
        <v>672</v>
      </c>
      <c r="C678" s="31" t="s">
        <v>815</v>
      </c>
      <c r="D678" s="34" t="str">
        <f t="array" ref="D678">IFNA(_xlfn.XLOOKUP(C678,Table_Tarikan_Warkah[Nomor Sertipikat],Table_Tarikan_Warkah[Nomor Tiket]),"")</f>
        <v>K/19/301225/1</v>
      </c>
      <c r="E678" s="36">
        <f t="array" ref="E678">IFNA(_xlfn.XLOOKUP(D678,Table_Tarikan_Warkah[Nomor Tiket],Table_Tarikan_Warkah[Tanggal diserahkan kepada Validator]),"")</f>
        <v>45687.41803</v>
      </c>
      <c r="F678" s="36" t="str">
        <f t="array" ref="F678">IFNA(_xlfn.XLOOKUP(D678,Table_Tarikan_Warkah[Nomor Tiket],Table_Tarikan_Warkah[Nama Petugas Warkah]),"")</f>
        <v/>
      </c>
      <c r="G678" s="39" t="str">
        <f t="array" ref="G678">IFNA(_xlfn.XLOOKUP(D678,Table_Tarikan_Warkah[Nomor Tiket],Table_Tarikan_Warkah[Jenis Permohonan]),"")</f>
        <v>ROYA</v>
      </c>
      <c r="H678" s="41" t="s">
        <v>11</v>
      </c>
      <c r="I678" s="41" t="s">
        <v>12</v>
      </c>
      <c r="J678" s="36">
        <f t="shared" si="17"/>
        <v>45659.67889</v>
      </c>
      <c r="K678" s="41" t="s">
        <v>197</v>
      </c>
      <c r="L678" s="41" t="s">
        <v>12</v>
      </c>
      <c r="M678" s="36">
        <f t="shared" si="18"/>
        <v>45664.44058</v>
      </c>
      <c r="N678" s="30" t="str">
        <f t="shared" si="3"/>
        <v>SELESAI</v>
      </c>
      <c r="O678" s="45">
        <f t="shared" si="12"/>
        <v>45664.44058</v>
      </c>
      <c r="P678" s="47" t="b">
        <v>0</v>
      </c>
      <c r="Q678" s="36" t="str">
        <f t="shared" si="19"/>
        <v/>
      </c>
      <c r="R678" s="47" t="b">
        <v>1</v>
      </c>
      <c r="S678" s="36">
        <f t="shared" si="6"/>
        <v>45664.44061</v>
      </c>
      <c r="T678" s="42"/>
    </row>
    <row r="679" ht="22.5" customHeight="1">
      <c r="B679" s="42">
        <f t="shared" si="7"/>
        <v>673</v>
      </c>
      <c r="C679" s="31" t="s">
        <v>816</v>
      </c>
      <c r="D679" s="34" t="str">
        <f t="array" ref="D679">IFNA(_xlfn.XLOOKUP(C679,Table_Tarikan_Warkah[Nomor Sertipikat],Table_Tarikan_Warkah[Nomor Tiket]),"")</f>
        <v>K/26/301224/2</v>
      </c>
      <c r="E679" s="36" t="str">
        <f t="array" ref="E679">IFNA(_xlfn.XLOOKUP(D679,Table_Tarikan_Warkah[Nomor Tiket],Table_Tarikan_Warkah[Tanggal diserahkan kepada Validator]),"")</f>
        <v/>
      </c>
      <c r="F679" s="36" t="str">
        <f t="array" ref="F679">IFNA(_xlfn.XLOOKUP(D679,Table_Tarikan_Warkah[Nomor Tiket],Table_Tarikan_Warkah[Nama Petugas Warkah]),"")</f>
        <v/>
      </c>
      <c r="G679" s="39" t="str">
        <f t="array" ref="G679">IFNA(_xlfn.XLOOKUP(D679,Table_Tarikan_Warkah[Nomor Tiket],Table_Tarikan_Warkah[Jenis Permohonan]),"")</f>
        <v>BN JUAL BELI</v>
      </c>
      <c r="H679" s="41" t="s">
        <v>11</v>
      </c>
      <c r="I679" s="41" t="s">
        <v>12</v>
      </c>
      <c r="J679" s="36">
        <f t="shared" si="17"/>
        <v>45659.67889</v>
      </c>
      <c r="K679" s="41" t="s">
        <v>197</v>
      </c>
      <c r="L679" s="41" t="s">
        <v>12</v>
      </c>
      <c r="M679" s="36">
        <f t="shared" si="18"/>
        <v>45664.44072</v>
      </c>
      <c r="N679" s="30" t="str">
        <f t="shared" si="3"/>
        <v>SELESAI</v>
      </c>
      <c r="O679" s="45">
        <f t="shared" si="12"/>
        <v>45664.44072</v>
      </c>
      <c r="P679" s="47" t="b">
        <v>0</v>
      </c>
      <c r="Q679" s="36" t="str">
        <f t="shared" si="19"/>
        <v/>
      </c>
      <c r="R679" s="47" t="b">
        <v>1</v>
      </c>
      <c r="S679" s="36">
        <f t="shared" si="6"/>
        <v>45664.44076</v>
      </c>
      <c r="T679" s="42"/>
    </row>
    <row r="680" ht="22.5" customHeight="1">
      <c r="B680" s="42">
        <f t="shared" si="7"/>
        <v>674</v>
      </c>
      <c r="C680" s="31" t="s">
        <v>817</v>
      </c>
      <c r="D680" s="34" t="str">
        <f t="array" ref="D680">IFNA(_xlfn.XLOOKUP(C680,Table_Tarikan_Warkah[Nomor Sertipikat],Table_Tarikan_Warkah[Nomor Tiket]),"")</f>
        <v>K/28/301224/4</v>
      </c>
      <c r="E680" s="36">
        <f t="array" ref="E680">IFNA(_xlfn.XLOOKUP(D680,Table_Tarikan_Warkah[Nomor Tiket],Table_Tarikan_Warkah[Tanggal diserahkan kepada Validator]),"")</f>
        <v>45694.63586</v>
      </c>
      <c r="F680" s="36" t="str">
        <f t="array" ref="F680">IFNA(_xlfn.XLOOKUP(D680,Table_Tarikan_Warkah[Nomor Tiket],Table_Tarikan_Warkah[Nama Petugas Warkah]),"")</f>
        <v/>
      </c>
      <c r="G680" s="39"/>
      <c r="H680" s="41" t="s">
        <v>11</v>
      </c>
      <c r="I680" s="41" t="s">
        <v>12</v>
      </c>
      <c r="J680" s="36">
        <f t="shared" si="17"/>
        <v>45659.67889</v>
      </c>
      <c r="K680" s="41" t="s">
        <v>197</v>
      </c>
      <c r="L680" s="41" t="s">
        <v>12</v>
      </c>
      <c r="M680" s="36">
        <f t="shared" si="18"/>
        <v>45664.44378</v>
      </c>
      <c r="N680" s="30" t="str">
        <f t="shared" si="3"/>
        <v>SELESAI</v>
      </c>
      <c r="O680" s="45">
        <f t="shared" si="12"/>
        <v>45664.44378</v>
      </c>
      <c r="P680" s="47" t="b">
        <v>0</v>
      </c>
      <c r="Q680" s="36" t="str">
        <f t="shared" si="19"/>
        <v/>
      </c>
      <c r="R680" s="47" t="b">
        <v>1</v>
      </c>
      <c r="S680" s="36">
        <f t="shared" si="6"/>
        <v>45664.44382</v>
      </c>
      <c r="T680" s="42"/>
    </row>
    <row r="681" ht="22.5" customHeight="1">
      <c r="B681" s="42">
        <f t="shared" si="7"/>
        <v>675</v>
      </c>
      <c r="C681" s="31" t="s">
        <v>818</v>
      </c>
      <c r="D681" s="34" t="str">
        <f t="array" ref="D681">IFNA(_xlfn.XLOOKUP(C681,Table_Tarikan_Warkah[Nomor Sertipikat],Table_Tarikan_Warkah[Nomor Tiket]),"")</f>
        <v>K/32/301224/1</v>
      </c>
      <c r="E681" s="36">
        <f t="array" ref="E681">IFNA(_xlfn.XLOOKUP(D681,Table_Tarikan_Warkah[Nomor Tiket],Table_Tarikan_Warkah[Tanggal diserahkan kepada Validator]),"")</f>
        <v>45694.6308</v>
      </c>
      <c r="F681" s="36" t="str">
        <f t="array" ref="F681">IFNA(_xlfn.XLOOKUP(D681,Table_Tarikan_Warkah[Nomor Tiket],Table_Tarikan_Warkah[Nama Petugas Warkah]),"")</f>
        <v/>
      </c>
      <c r="G681" s="39" t="str">
        <f t="array" ref="G681">IFNA(_xlfn.XLOOKUP(D681,Table_Tarikan_Warkah[Nomor Tiket],Table_Tarikan_Warkah[Jenis Permohonan]),"")</f>
        <v>ROYA</v>
      </c>
      <c r="H681" s="41" t="s">
        <v>11</v>
      </c>
      <c r="I681" s="41" t="s">
        <v>12</v>
      </c>
      <c r="J681" s="36">
        <f t="shared" si="17"/>
        <v>45659.67889</v>
      </c>
      <c r="K681" s="41" t="s">
        <v>197</v>
      </c>
      <c r="L681" s="41" t="s">
        <v>12</v>
      </c>
      <c r="M681" s="36">
        <f t="shared" si="18"/>
        <v>45664.42594</v>
      </c>
      <c r="N681" s="30" t="str">
        <f t="shared" si="3"/>
        <v>SELESAI</v>
      </c>
      <c r="O681" s="45">
        <f t="shared" si="12"/>
        <v>45664.42594</v>
      </c>
      <c r="P681" s="47" t="b">
        <v>0</v>
      </c>
      <c r="Q681" s="36" t="str">
        <f t="shared" si="19"/>
        <v/>
      </c>
      <c r="R681" s="47" t="b">
        <v>1</v>
      </c>
      <c r="S681" s="36">
        <f t="shared" si="6"/>
        <v>45664.42597</v>
      </c>
      <c r="T681" s="42"/>
    </row>
    <row r="682" ht="22.5" customHeight="1">
      <c r="B682" s="42">
        <f t="shared" si="7"/>
        <v>676</v>
      </c>
      <c r="C682" s="31" t="s">
        <v>819</v>
      </c>
      <c r="D682" s="34" t="str">
        <f t="array" ref="D682">IFNA(_xlfn.XLOOKUP(C682,Table_Tarikan_Warkah[Nomor Sertipikat],Table_Tarikan_Warkah[Nomor Tiket]),"")</f>
        <v>K/5/301224/1</v>
      </c>
      <c r="E682" s="36" t="str">
        <f t="array" ref="E682">IFNA(_xlfn.XLOOKUP(D682,Table_Tarikan_Warkah[Nomor Tiket],Table_Tarikan_Warkah[Tanggal diserahkan kepada Validator]),"")</f>
        <v/>
      </c>
      <c r="F682" s="36" t="str">
        <f t="array" ref="F682">IFNA(_xlfn.XLOOKUP(D682,Table_Tarikan_Warkah[Nomor Tiket],Table_Tarikan_Warkah[Nama Petugas Warkah]),"")</f>
        <v/>
      </c>
      <c r="G682" s="39" t="str">
        <f t="array" ref="G682">IFNA(_xlfn.XLOOKUP(D682,Table_Tarikan_Warkah[Nomor Tiket],Table_Tarikan_Warkah[Jenis Permohonan]),"")</f>
        <v>BN Jual Beli</v>
      </c>
      <c r="H682" s="41" t="s">
        <v>11</v>
      </c>
      <c r="I682" s="41" t="s">
        <v>12</v>
      </c>
      <c r="J682" s="36">
        <f t="shared" si="17"/>
        <v>45659.67889</v>
      </c>
      <c r="K682" s="41" t="s">
        <v>197</v>
      </c>
      <c r="L682" s="41" t="s">
        <v>12</v>
      </c>
      <c r="M682" s="36">
        <f t="shared" si="18"/>
        <v>45664.42574</v>
      </c>
      <c r="N682" s="30" t="str">
        <f t="shared" si="3"/>
        <v>SELESAI</v>
      </c>
      <c r="O682" s="45">
        <f t="shared" si="12"/>
        <v>45664.42574</v>
      </c>
      <c r="P682" s="47" t="b">
        <v>0</v>
      </c>
      <c r="Q682" s="36" t="str">
        <f t="shared" si="19"/>
        <v/>
      </c>
      <c r="R682" s="47" t="b">
        <v>1</v>
      </c>
      <c r="S682" s="36">
        <f t="shared" si="6"/>
        <v>45664.42577</v>
      </c>
      <c r="T682" s="42"/>
    </row>
    <row r="683" ht="22.5" customHeight="1">
      <c r="B683" s="42">
        <f t="shared" si="7"/>
        <v>677</v>
      </c>
      <c r="C683" s="31" t="s">
        <v>820</v>
      </c>
      <c r="D683" s="34" t="str">
        <f t="array" ref="D683">IFNA(_xlfn.XLOOKUP(C683,Table_Tarikan_Warkah[Nomor Sertipikat],Table_Tarikan_Warkah[Nomor Tiket]),"")</f>
        <v>K/34/131224/1</v>
      </c>
      <c r="E683" s="36">
        <f t="array" ref="E683">IFNA(_xlfn.XLOOKUP(D683,Table_Tarikan_Warkah[Nomor Tiket],Table_Tarikan_Warkah[Tanggal diserahkan kepada Validator]),"")</f>
        <v>0</v>
      </c>
      <c r="F683" s="36" t="str">
        <f t="array" ref="F683">IFNA(_xlfn.XLOOKUP(D683,Table_Tarikan_Warkah[Nomor Tiket],Table_Tarikan_Warkah[Nama Petugas Warkah]),"")</f>
        <v>Berry</v>
      </c>
      <c r="G683" s="39" t="str">
        <f t="array" ref="G683">IFNA(_xlfn.XLOOKUP(D683,Table_Tarikan_Warkah[Nomor Tiket],Table_Tarikan_Warkah[Jenis Permohonan]),"")</f>
        <v>BN JUAL BELI</v>
      </c>
      <c r="H683" s="41" t="s">
        <v>11</v>
      </c>
      <c r="I683" s="41" t="s">
        <v>23</v>
      </c>
      <c r="J683" s="36">
        <f t="shared" si="17"/>
        <v>45659.68753</v>
      </c>
      <c r="K683" s="61" t="s">
        <v>26</v>
      </c>
      <c r="L683" s="49" t="s">
        <v>23</v>
      </c>
      <c r="M683" s="36">
        <f t="shared" si="18"/>
        <v>45664.36144</v>
      </c>
      <c r="N683" s="30" t="str">
        <f t="shared" si="3"/>
        <v>Selesai</v>
      </c>
      <c r="O683" s="45">
        <f t="shared" si="12"/>
        <v>45664.36144</v>
      </c>
      <c r="P683" s="47" t="b">
        <v>1</v>
      </c>
      <c r="Q683" s="36">
        <f t="shared" si="19"/>
        <v>45664.36144</v>
      </c>
      <c r="R683" s="47" t="b">
        <v>0</v>
      </c>
      <c r="S683" s="42" t="str">
        <f t="shared" si="6"/>
        <v/>
      </c>
      <c r="T683" s="42"/>
    </row>
    <row r="684" ht="22.5" customHeight="1">
      <c r="B684" s="42">
        <f t="shared" si="7"/>
        <v>678</v>
      </c>
      <c r="C684" s="31" t="s">
        <v>821</v>
      </c>
      <c r="D684" s="34" t="str">
        <f t="array" ref="D684">IFNA(_xlfn.XLOOKUP(C684,Table_Tarikan_Warkah[Nomor Sertipikat],Table_Tarikan_Warkah[Nomor Tiket]),"")</f>
        <v>K/33/191224/2</v>
      </c>
      <c r="E684" s="36" t="str">
        <f t="array" ref="E684">IFNA(_xlfn.XLOOKUP(D684,Table_Tarikan_Warkah[Nomor Tiket],Table_Tarikan_Warkah[Tanggal diserahkan kepada Validator]),"")</f>
        <v/>
      </c>
      <c r="F684" s="36" t="str">
        <f t="array" ref="F684">IFNA(_xlfn.XLOOKUP(D684,Table_Tarikan_Warkah[Nomor Tiket],Table_Tarikan_Warkah[Nama Petugas Warkah]),"")</f>
        <v/>
      </c>
      <c r="G684" s="39" t="str">
        <f t="array" ref="G684">IFNA(_xlfn.XLOOKUP(D684,Table_Tarikan_Warkah[Nomor Tiket],Table_Tarikan_Warkah[Jenis Permohonan]),"")</f>
        <v>BN JUAL BELI</v>
      </c>
      <c r="H684" s="41" t="s">
        <v>11</v>
      </c>
      <c r="I684" s="41" t="s">
        <v>23</v>
      </c>
      <c r="J684" s="36">
        <f t="shared" si="17"/>
        <v>45659.68758</v>
      </c>
      <c r="K684" s="41" t="s">
        <v>26</v>
      </c>
      <c r="L684" s="41" t="s">
        <v>23</v>
      </c>
      <c r="M684" s="36">
        <f t="shared" si="18"/>
        <v>45664.36144</v>
      </c>
      <c r="N684" s="30" t="str">
        <f t="shared" si="3"/>
        <v>Selesai</v>
      </c>
      <c r="O684" s="45">
        <f t="shared" si="12"/>
        <v>45664.36144</v>
      </c>
      <c r="P684" s="47" t="b">
        <v>1</v>
      </c>
      <c r="Q684" s="36">
        <f t="shared" si="19"/>
        <v>45664.36144</v>
      </c>
      <c r="R684" s="47" t="b">
        <v>0</v>
      </c>
      <c r="S684" s="42" t="str">
        <f t="shared" si="6"/>
        <v/>
      </c>
      <c r="T684" s="42"/>
    </row>
    <row r="685" ht="22.5" customHeight="1">
      <c r="B685" s="42">
        <f t="shared" si="7"/>
        <v>679</v>
      </c>
      <c r="C685" s="31" t="s">
        <v>176</v>
      </c>
      <c r="D685" s="34" t="str">
        <f t="array" ref="D685">IFNA(_xlfn.XLOOKUP(C685,Table_Tarikan_Warkah[Nomor Sertipikat],Table_Tarikan_Warkah[Nomor Tiket]),"")</f>
        <v>K/16/241224/1</v>
      </c>
      <c r="E685" s="36" t="str">
        <f t="array" ref="E685">IFNA(_xlfn.XLOOKUP(D685,Table_Tarikan_Warkah[Nomor Tiket],Table_Tarikan_Warkah[Tanggal diserahkan kepada Validator]),"")</f>
        <v/>
      </c>
      <c r="F685" s="36" t="str">
        <f t="array" ref="F685">IFNA(_xlfn.XLOOKUP(D685,Table_Tarikan_Warkah[Nomor Tiket],Table_Tarikan_Warkah[Nama Petugas Warkah]),"")</f>
        <v/>
      </c>
      <c r="G685" s="39" t="str">
        <f t="array" ref="G685">IFNA(_xlfn.XLOOKUP(D685,Table_Tarikan_Warkah[Nomor Tiket],Table_Tarikan_Warkah[Jenis Permohonan]),"")</f>
        <v>BN JUAL BELI</v>
      </c>
      <c r="H685" s="41" t="s">
        <v>11</v>
      </c>
      <c r="I685" s="41" t="s">
        <v>23</v>
      </c>
      <c r="J685" s="36">
        <f t="shared" si="17"/>
        <v>45659.68758</v>
      </c>
      <c r="K685" s="61" t="s">
        <v>26</v>
      </c>
      <c r="L685" s="61" t="s">
        <v>23</v>
      </c>
      <c r="M685" s="36">
        <f t="shared" si="18"/>
        <v>45664.36144</v>
      </c>
      <c r="N685" s="30" t="str">
        <f t="shared" si="3"/>
        <v>Selesai</v>
      </c>
      <c r="O685" s="45">
        <f t="shared" si="12"/>
        <v>45664.36144</v>
      </c>
      <c r="P685" s="47" t="b">
        <v>1</v>
      </c>
      <c r="Q685" s="36">
        <f t="shared" si="19"/>
        <v>45664.36144</v>
      </c>
      <c r="R685" s="47" t="b">
        <v>1</v>
      </c>
      <c r="S685" s="36">
        <f t="shared" si="6"/>
        <v>45664.4192</v>
      </c>
      <c r="T685" s="42"/>
    </row>
    <row r="686" ht="22.5" customHeight="1">
      <c r="B686" s="42">
        <f t="shared" si="7"/>
        <v>680</v>
      </c>
      <c r="C686" s="31" t="s">
        <v>822</v>
      </c>
      <c r="D686" s="34" t="str">
        <f t="array" ref="D686">IFNA(_xlfn.XLOOKUP(C686,Table_Tarikan_Warkah[Nomor Sertipikat],Table_Tarikan_Warkah[Nomor Tiket]),"")</f>
        <v>K/7/301224/3</v>
      </c>
      <c r="E686" s="36" t="str">
        <f t="array" ref="E686">IFNA(_xlfn.XLOOKUP(D686,Table_Tarikan_Warkah[Nomor Tiket],Table_Tarikan_Warkah[Tanggal diserahkan kepada Validator]),"")</f>
        <v/>
      </c>
      <c r="F686" s="36" t="str">
        <f t="array" ref="F686">IFNA(_xlfn.XLOOKUP(D686,Table_Tarikan_Warkah[Nomor Tiket],Table_Tarikan_Warkah[Nama Petugas Warkah]),"")</f>
        <v/>
      </c>
      <c r="G686" s="39" t="str">
        <f t="array" ref="G686">IFNA(_xlfn.XLOOKUP(D686,Table_Tarikan_Warkah[Nomor Tiket],Table_Tarikan_Warkah[Jenis Permohonan]),"")</f>
        <v>BN Jual Beli</v>
      </c>
      <c r="H686" s="41" t="s">
        <v>11</v>
      </c>
      <c r="I686" s="41" t="s">
        <v>23</v>
      </c>
      <c r="J686" s="36">
        <f t="shared" si="17"/>
        <v>45659.68758</v>
      </c>
      <c r="K686" s="61" t="s">
        <v>26</v>
      </c>
      <c r="L686" s="49" t="s">
        <v>23</v>
      </c>
      <c r="M686" s="36">
        <f t="shared" si="18"/>
        <v>45664.36144</v>
      </c>
      <c r="N686" s="30" t="str">
        <f t="shared" si="3"/>
        <v>Selesai</v>
      </c>
      <c r="O686" s="45">
        <f t="shared" si="12"/>
        <v>45664.36144</v>
      </c>
      <c r="P686" s="47" t="b">
        <v>1</v>
      </c>
      <c r="Q686" s="36">
        <f t="shared" si="19"/>
        <v>45664.36144</v>
      </c>
      <c r="R686" s="47" t="b">
        <v>0</v>
      </c>
      <c r="S686" s="42" t="str">
        <f t="shared" si="6"/>
        <v/>
      </c>
      <c r="T686" s="42"/>
    </row>
    <row r="687" ht="22.5" customHeight="1">
      <c r="B687" s="42">
        <f t="shared" si="7"/>
        <v>681</v>
      </c>
      <c r="C687" s="31" t="s">
        <v>823</v>
      </c>
      <c r="D687" s="34" t="str">
        <f t="array" ref="D687">IFNA(_xlfn.XLOOKUP(C687,Table_Tarikan_Warkah[Nomor Sertipikat],Table_Tarikan_Warkah[Nomor Tiket]),"")</f>
        <v>K/45/301224/1</v>
      </c>
      <c r="E687" s="36">
        <f t="array" ref="E687">IFNA(_xlfn.XLOOKUP(D687,Table_Tarikan_Warkah[Nomor Tiket],Table_Tarikan_Warkah[Tanggal diserahkan kepada Validator]),"")</f>
        <v>0</v>
      </c>
      <c r="F687" s="36" t="str">
        <f t="array" ref="F687">IFNA(_xlfn.XLOOKUP(D687,Table_Tarikan_Warkah[Nomor Tiket],Table_Tarikan_Warkah[Nama Petugas Warkah]),"")</f>
        <v>Berry</v>
      </c>
      <c r="G687" s="39" t="str">
        <f t="array" ref="G687">IFNA(_xlfn.XLOOKUP(D687,Table_Tarikan_Warkah[Nomor Tiket],Table_Tarikan_Warkah[Jenis Permohonan]),"")</f>
        <v>BN Jual Beli</v>
      </c>
      <c r="H687" s="41" t="s">
        <v>11</v>
      </c>
      <c r="I687" s="41" t="s">
        <v>23</v>
      </c>
      <c r="J687" s="36">
        <f t="shared" si="17"/>
        <v>45659.68758</v>
      </c>
      <c r="K687" s="41" t="s">
        <v>26</v>
      </c>
      <c r="L687" s="41" t="s">
        <v>23</v>
      </c>
      <c r="M687" s="36">
        <f t="shared" si="18"/>
        <v>45664.36144</v>
      </c>
      <c r="N687" s="30" t="str">
        <f t="shared" si="3"/>
        <v>Selesai</v>
      </c>
      <c r="O687" s="45">
        <f t="shared" si="12"/>
        <v>45664.36144</v>
      </c>
      <c r="P687" s="47" t="b">
        <v>1</v>
      </c>
      <c r="Q687" s="36">
        <f t="shared" si="19"/>
        <v>45664.36144</v>
      </c>
      <c r="R687" s="47" t="b">
        <v>1</v>
      </c>
      <c r="S687" s="36">
        <f t="shared" si="6"/>
        <v>45664.41576</v>
      </c>
      <c r="T687" s="42"/>
    </row>
    <row r="688" ht="22.5" customHeight="1">
      <c r="B688" s="42">
        <f t="shared" si="7"/>
        <v>682</v>
      </c>
      <c r="C688" s="31" t="s">
        <v>824</v>
      </c>
      <c r="D688" s="34" t="str">
        <f t="array" ref="D688">IFNA(_xlfn.XLOOKUP(C688,Table_Tarikan_Warkah[Nomor Sertipikat],Table_Tarikan_Warkah[Nomor Tiket]),"")</f>
        <v>K/54/301224/2</v>
      </c>
      <c r="E688" s="36">
        <f t="array" ref="E688">IFNA(_xlfn.XLOOKUP(D688,Table_Tarikan_Warkah[Nomor Tiket],Table_Tarikan_Warkah[Tanggal diserahkan kepada Validator]),"")</f>
        <v>0</v>
      </c>
      <c r="F688" s="36" t="str">
        <f t="array" ref="F688">IFNA(_xlfn.XLOOKUP(D688,Table_Tarikan_Warkah[Nomor Tiket],Table_Tarikan_Warkah[Nama Petugas Warkah]),"")</f>
        <v>Berry</v>
      </c>
      <c r="G688" s="39" t="str">
        <f t="array" ref="G688">IFNA(_xlfn.XLOOKUP(D688,Table_Tarikan_Warkah[Nomor Tiket],Table_Tarikan_Warkah[Jenis Permohonan]),"")</f>
        <v>BN Jual Beli</v>
      </c>
      <c r="H688" s="41" t="s">
        <v>11</v>
      </c>
      <c r="I688" s="41" t="s">
        <v>23</v>
      </c>
      <c r="J688" s="36">
        <f t="shared" si="17"/>
        <v>45659.68758</v>
      </c>
      <c r="K688" s="61" t="s">
        <v>26</v>
      </c>
      <c r="L688" s="61" t="s">
        <v>23</v>
      </c>
      <c r="M688" s="36">
        <f t="shared" si="18"/>
        <v>45664.36144</v>
      </c>
      <c r="N688" s="30" t="str">
        <f t="shared" si="3"/>
        <v>Selesai</v>
      </c>
      <c r="O688" s="45">
        <f t="shared" si="12"/>
        <v>45664.36144</v>
      </c>
      <c r="P688" s="47" t="b">
        <v>1</v>
      </c>
      <c r="Q688" s="36">
        <f t="shared" si="19"/>
        <v>45664.36144</v>
      </c>
      <c r="R688" s="47" t="b">
        <v>1</v>
      </c>
      <c r="S688" s="36">
        <f t="shared" si="6"/>
        <v>45664.44855</v>
      </c>
      <c r="T688" s="42"/>
    </row>
    <row r="689" ht="22.5" customHeight="1">
      <c r="B689" s="42">
        <f t="shared" si="7"/>
        <v>683</v>
      </c>
      <c r="C689" s="31" t="s">
        <v>825</v>
      </c>
      <c r="D689" s="34" t="str">
        <f t="array" ref="D689">IFNA(_xlfn.XLOOKUP(C689,Table_Tarikan_Warkah[Nomor Sertipikat],Table_Tarikan_Warkah[Nomor Tiket]),"")</f>
        <v>K/14/271224/1</v>
      </c>
      <c r="E689" s="36">
        <f t="array" ref="E689">IFNA(_xlfn.XLOOKUP(D689,Table_Tarikan_Warkah[Nomor Tiket],Table_Tarikan_Warkah[Tanggal diserahkan kepada Validator]),"")</f>
        <v>45722.49656</v>
      </c>
      <c r="F689" s="36" t="str">
        <f t="array" ref="F689">IFNA(_xlfn.XLOOKUP(D689,Table_Tarikan_Warkah[Nomor Tiket],Table_Tarikan_Warkah[Nama Petugas Warkah]),"")</f>
        <v/>
      </c>
      <c r="G689" s="39" t="str">
        <f t="array" ref="G689">IFNA(_xlfn.XLOOKUP(D689,Table_Tarikan_Warkah[Nomor Tiket],Table_Tarikan_Warkah[Jenis Permohonan]),"")</f>
        <v>Roya</v>
      </c>
      <c r="H689" s="41" t="s">
        <v>11</v>
      </c>
      <c r="I689" s="41" t="s">
        <v>23</v>
      </c>
      <c r="J689" s="36">
        <f t="shared" si="17"/>
        <v>45659.68758</v>
      </c>
      <c r="K689" s="61" t="s">
        <v>26</v>
      </c>
      <c r="L689" s="49" t="s">
        <v>23</v>
      </c>
      <c r="M689" s="36">
        <f t="shared" si="18"/>
        <v>45664.36144</v>
      </c>
      <c r="N689" s="30" t="str">
        <f t="shared" si="3"/>
        <v>Selesai</v>
      </c>
      <c r="O689" s="45">
        <f t="shared" si="12"/>
        <v>45664.36144</v>
      </c>
      <c r="P689" s="47" t="b">
        <v>1</v>
      </c>
      <c r="Q689" s="36">
        <f t="shared" si="19"/>
        <v>45664.36144</v>
      </c>
      <c r="R689" s="47" t="b">
        <v>0</v>
      </c>
      <c r="S689" s="42" t="str">
        <f t="shared" si="6"/>
        <v/>
      </c>
      <c r="T689" s="42"/>
    </row>
    <row r="690" ht="22.5" customHeight="1">
      <c r="B690" s="42">
        <f t="shared" si="7"/>
        <v>684</v>
      </c>
      <c r="C690" s="31" t="s">
        <v>159</v>
      </c>
      <c r="D690" s="34" t="str">
        <f t="array" ref="D690">IFNA(_xlfn.XLOOKUP(C690,Table_Tarikan_Warkah[Nomor Sertipikat],Table_Tarikan_Warkah[Nomor Tiket]),"")</f>
        <v>K/9/241224/1</v>
      </c>
      <c r="E690" s="36" t="str">
        <f t="array" ref="E690">IFNA(_xlfn.XLOOKUP(D690,Table_Tarikan_Warkah[Nomor Tiket],Table_Tarikan_Warkah[Tanggal diserahkan kepada Validator]),"")</f>
        <v/>
      </c>
      <c r="F690" s="36" t="str">
        <f t="array" ref="F690">IFNA(_xlfn.XLOOKUP(D690,Table_Tarikan_Warkah[Nomor Tiket],Table_Tarikan_Warkah[Nama Petugas Warkah]),"")</f>
        <v/>
      </c>
      <c r="G690" s="39" t="str">
        <f t="array" ref="G690">IFNA(_xlfn.XLOOKUP(D690,Table_Tarikan_Warkah[Nomor Tiket],Table_Tarikan_Warkah[Jenis Permohonan]),"")</f>
        <v>BN JUAL BELI</v>
      </c>
      <c r="H690" s="41" t="s">
        <v>11</v>
      </c>
      <c r="I690" s="41" t="s">
        <v>23</v>
      </c>
      <c r="J690" s="36">
        <f t="shared" si="17"/>
        <v>45659.68758</v>
      </c>
      <c r="K690" s="41" t="s">
        <v>26</v>
      </c>
      <c r="L690" s="41" t="s">
        <v>23</v>
      </c>
      <c r="M690" s="36">
        <f t="shared" si="18"/>
        <v>45664.36144</v>
      </c>
      <c r="N690" s="30" t="str">
        <f t="shared" si="3"/>
        <v>Selesai</v>
      </c>
      <c r="O690" s="45">
        <f t="shared" si="12"/>
        <v>45664.36144</v>
      </c>
      <c r="P690" s="47" t="b">
        <v>1</v>
      </c>
      <c r="Q690" s="36">
        <f t="shared" si="19"/>
        <v>45664.36144</v>
      </c>
      <c r="R690" s="47" t="b">
        <v>1</v>
      </c>
      <c r="S690" s="36">
        <f t="shared" si="6"/>
        <v>45664.44898</v>
      </c>
      <c r="T690" s="42"/>
    </row>
    <row r="691" ht="22.5" customHeight="1">
      <c r="B691" s="42">
        <f t="shared" si="7"/>
        <v>685</v>
      </c>
      <c r="C691" s="31" t="s">
        <v>826</v>
      </c>
      <c r="D691" s="34" t="str">
        <f t="array" ref="D691">IFNA(_xlfn.XLOOKUP(C691,Table_Tarikan_Warkah[Nomor Sertipikat],Table_Tarikan_Warkah[Nomor Tiket]),"")</f>
        <v>K/21/301225/1</v>
      </c>
      <c r="E691" s="36">
        <f t="array" ref="E691">IFNA(_xlfn.XLOOKUP(D691,Table_Tarikan_Warkah[Nomor Tiket],Table_Tarikan_Warkah[Tanggal diserahkan kepada Validator]),"")</f>
        <v>45666.70579</v>
      </c>
      <c r="F691" s="36" t="str">
        <f t="array" ref="F691">IFNA(_xlfn.XLOOKUP(D691,Table_Tarikan_Warkah[Nomor Tiket],Table_Tarikan_Warkah[Nama Petugas Warkah]),"")</f>
        <v/>
      </c>
      <c r="G691" s="39" t="str">
        <f t="array" ref="G691">IFNA(_xlfn.XLOOKUP(D691,Table_Tarikan_Warkah[Nomor Tiket],Table_Tarikan_Warkah[Jenis Permohonan]),"")</f>
        <v>BN JUAL BELI</v>
      </c>
      <c r="H691" s="41" t="s">
        <v>11</v>
      </c>
      <c r="I691" s="41" t="s">
        <v>23</v>
      </c>
      <c r="J691" s="36">
        <f t="shared" si="17"/>
        <v>45659.68758</v>
      </c>
      <c r="K691" s="61" t="s">
        <v>26</v>
      </c>
      <c r="L691" s="61" t="s">
        <v>23</v>
      </c>
      <c r="M691" s="36">
        <f t="shared" si="18"/>
        <v>45664.36144</v>
      </c>
      <c r="N691" s="30" t="str">
        <f t="shared" si="3"/>
        <v>Selesai</v>
      </c>
      <c r="O691" s="45">
        <f t="shared" si="12"/>
        <v>45664.36144</v>
      </c>
      <c r="P691" s="47" t="b">
        <v>1</v>
      </c>
      <c r="Q691" s="36">
        <f t="shared" si="19"/>
        <v>45664.36144</v>
      </c>
      <c r="R691" s="47" t="b">
        <v>0</v>
      </c>
      <c r="S691" s="42" t="str">
        <f t="shared" si="6"/>
        <v/>
      </c>
      <c r="T691" s="42"/>
    </row>
    <row r="692" ht="22.5" customHeight="1">
      <c r="B692" s="42">
        <f t="shared" si="7"/>
        <v>686</v>
      </c>
      <c r="C692" s="31" t="s">
        <v>827</v>
      </c>
      <c r="D692" s="34" t="str">
        <f t="array" ref="D692">IFNA(_xlfn.XLOOKUP(C692,Table_Tarikan_Warkah[Nomor Sertipikat],Table_Tarikan_Warkah[Nomor Tiket]),"")</f>
        <v>K/6/301224/2</v>
      </c>
      <c r="E692" s="36" t="str">
        <f t="array" ref="E692">IFNA(_xlfn.XLOOKUP(D692,Table_Tarikan_Warkah[Nomor Tiket],Table_Tarikan_Warkah[Tanggal diserahkan kepada Validator]),"")</f>
        <v/>
      </c>
      <c r="F692" s="36" t="str">
        <f t="array" ref="F692">IFNA(_xlfn.XLOOKUP(D692,Table_Tarikan_Warkah[Nomor Tiket],Table_Tarikan_Warkah[Nama Petugas Warkah]),"")</f>
        <v/>
      </c>
      <c r="G692" s="39" t="str">
        <f t="array" ref="G692">IFNA(_xlfn.XLOOKUP(D692,Table_Tarikan_Warkah[Nomor Tiket],Table_Tarikan_Warkah[Jenis Permohonan]),"")</f>
        <v>BN Jual Beli</v>
      </c>
      <c r="H692" s="41" t="s">
        <v>11</v>
      </c>
      <c r="I692" s="41" t="s">
        <v>23</v>
      </c>
      <c r="J692" s="36">
        <f t="shared" si="17"/>
        <v>45659.68758</v>
      </c>
      <c r="K692" s="61" t="s">
        <v>26</v>
      </c>
      <c r="L692" s="49" t="s">
        <v>23</v>
      </c>
      <c r="M692" s="36">
        <f t="shared" si="18"/>
        <v>45664.36144</v>
      </c>
      <c r="N692" s="30" t="str">
        <f t="shared" si="3"/>
        <v>Selesai</v>
      </c>
      <c r="O692" s="45">
        <f t="shared" si="12"/>
        <v>45664.36144</v>
      </c>
      <c r="P692" s="47" t="b">
        <v>1</v>
      </c>
      <c r="Q692" s="36">
        <f t="shared" si="19"/>
        <v>45664.36144</v>
      </c>
      <c r="R692" s="47" t="b">
        <v>0</v>
      </c>
      <c r="S692" s="42" t="str">
        <f t="shared" si="6"/>
        <v/>
      </c>
      <c r="T692" s="42"/>
    </row>
    <row r="693" ht="22.5" customHeight="1">
      <c r="B693" s="42">
        <f t="shared" si="7"/>
        <v>687</v>
      </c>
      <c r="C693" s="31" t="s">
        <v>828</v>
      </c>
      <c r="D693" s="34" t="str">
        <f t="array" ref="D693">IFNA(_xlfn.XLOOKUP(C693,Table_Tarikan_Warkah[Nomor Sertipikat],Table_Tarikan_Warkah[Nomor Tiket]),"")</f>
        <v>K/3/281124/3</v>
      </c>
      <c r="E693" s="36" t="str">
        <f t="array" ref="E693">IFNA(_xlfn.XLOOKUP(D693,Table_Tarikan_Warkah[Nomor Tiket],Table_Tarikan_Warkah[Tanggal diserahkan kepada Validator]),"")</f>
        <v/>
      </c>
      <c r="F693" s="36" t="str">
        <f t="array" ref="F693">IFNA(_xlfn.XLOOKUP(D693,Table_Tarikan_Warkah[Nomor Tiket],Table_Tarikan_Warkah[Nama Petugas Warkah]),"")</f>
        <v>Berry</v>
      </c>
      <c r="G693" s="39" t="str">
        <f t="array" ref="G693">IFNA(_xlfn.XLOOKUP(D693,Table_Tarikan_Warkah[Nomor Tiket],Table_Tarikan_Warkah[Jenis Permohonan]),"")</f>
        <v>BN WARIS</v>
      </c>
      <c r="H693" s="41" t="s">
        <v>11</v>
      </c>
      <c r="I693" s="41" t="s">
        <v>23</v>
      </c>
      <c r="J693" s="36">
        <f t="shared" si="17"/>
        <v>45659.68758</v>
      </c>
      <c r="K693" s="41" t="s">
        <v>26</v>
      </c>
      <c r="L693" s="41" t="s">
        <v>23</v>
      </c>
      <c r="M693" s="36">
        <f t="shared" si="18"/>
        <v>45664.36144</v>
      </c>
      <c r="N693" s="30" t="str">
        <f t="shared" si="3"/>
        <v>Selesai</v>
      </c>
      <c r="O693" s="45">
        <f t="shared" si="12"/>
        <v>45664.36144</v>
      </c>
      <c r="P693" s="47" t="b">
        <v>1</v>
      </c>
      <c r="Q693" s="36">
        <f t="shared" si="19"/>
        <v>45664.36144</v>
      </c>
      <c r="R693" s="47" t="b">
        <v>0</v>
      </c>
      <c r="S693" s="42" t="str">
        <f t="shared" si="6"/>
        <v/>
      </c>
      <c r="T693" s="42"/>
    </row>
    <row r="694" ht="22.5" customHeight="1">
      <c r="B694" s="42">
        <f t="shared" si="7"/>
        <v>688</v>
      </c>
      <c r="C694" s="31" t="s">
        <v>829</v>
      </c>
      <c r="D694" s="34" t="str">
        <f t="array" ref="D694">IFNA(_xlfn.XLOOKUP(C694,Table_Tarikan_Warkah[Nomor Sertipikat],Table_Tarikan_Warkah[Nomor Tiket]),"")</f>
        <v>K/2/281124/2</v>
      </c>
      <c r="E694" s="36">
        <f t="array" ref="E694">IFNA(_xlfn.XLOOKUP(D694,Table_Tarikan_Warkah[Nomor Tiket],Table_Tarikan_Warkah[Tanggal diserahkan kepada Validator]),"")</f>
        <v>0</v>
      </c>
      <c r="F694" s="36" t="str">
        <f t="array" ref="F694">IFNA(_xlfn.XLOOKUP(D694,Table_Tarikan_Warkah[Nomor Tiket],Table_Tarikan_Warkah[Nama Petugas Warkah]),"")</f>
        <v>Berry</v>
      </c>
      <c r="G694" s="39" t="str">
        <f t="array" ref="G694">IFNA(_xlfn.XLOOKUP(D694,Table_Tarikan_Warkah[Nomor Tiket],Table_Tarikan_Warkah[Jenis Permohonan]),"")</f>
        <v>BN WARIS</v>
      </c>
      <c r="H694" s="41" t="s">
        <v>11</v>
      </c>
      <c r="I694" s="41" t="s">
        <v>23</v>
      </c>
      <c r="J694" s="36">
        <f t="shared" si="17"/>
        <v>45659.68758</v>
      </c>
      <c r="K694" s="61" t="s">
        <v>26</v>
      </c>
      <c r="L694" s="61" t="s">
        <v>23</v>
      </c>
      <c r="M694" s="36">
        <f t="shared" si="18"/>
        <v>45664.36144</v>
      </c>
      <c r="N694" s="30" t="str">
        <f t="shared" si="3"/>
        <v>Selesai</v>
      </c>
      <c r="O694" s="45">
        <f t="shared" si="12"/>
        <v>45664.36144</v>
      </c>
      <c r="P694" s="47" t="b">
        <v>1</v>
      </c>
      <c r="Q694" s="36">
        <f t="shared" si="19"/>
        <v>45664.36144</v>
      </c>
      <c r="R694" s="47" t="b">
        <v>0</v>
      </c>
      <c r="S694" s="42" t="str">
        <f t="shared" si="6"/>
        <v/>
      </c>
      <c r="T694" s="42"/>
    </row>
    <row r="695" ht="22.5" customHeight="1">
      <c r="B695" s="42">
        <f t="shared" si="7"/>
        <v>689</v>
      </c>
      <c r="C695" s="31" t="s">
        <v>830</v>
      </c>
      <c r="D695" s="34" t="str">
        <f t="array" ref="D695">IFNA(_xlfn.XLOOKUP(C695,Table_Tarikan_Warkah[Nomor Sertipikat],Table_Tarikan_Warkah[Nomor Tiket]),"")</f>
        <v>K/1/281124/1</v>
      </c>
      <c r="E695" s="36">
        <f t="array" ref="E695">IFNA(_xlfn.XLOOKUP(D695,Table_Tarikan_Warkah[Nomor Tiket],Table_Tarikan_Warkah[Tanggal diserahkan kepada Validator]),"")</f>
        <v>0</v>
      </c>
      <c r="F695" s="36" t="str">
        <f t="array" ref="F695">IFNA(_xlfn.XLOOKUP(D695,Table_Tarikan_Warkah[Nomor Tiket],Table_Tarikan_Warkah[Nama Petugas Warkah]),"")</f>
        <v>Berry</v>
      </c>
      <c r="G695" s="39" t="str">
        <f t="array" ref="G695">IFNA(_xlfn.XLOOKUP(D695,Table_Tarikan_Warkah[Nomor Tiket],Table_Tarikan_Warkah[Jenis Permohonan]),"")</f>
        <v>BN WARIS</v>
      </c>
      <c r="H695" s="41" t="s">
        <v>11</v>
      </c>
      <c r="I695" s="41" t="s">
        <v>23</v>
      </c>
      <c r="J695" s="36">
        <f t="shared" si="17"/>
        <v>45659.68758</v>
      </c>
      <c r="K695" s="49" t="s">
        <v>26</v>
      </c>
      <c r="L695" s="49" t="s">
        <v>23</v>
      </c>
      <c r="M695" s="36">
        <f t="shared" si="18"/>
        <v>45664.36144</v>
      </c>
      <c r="N695" s="30" t="str">
        <f t="shared" si="3"/>
        <v>Selesai</v>
      </c>
      <c r="O695" s="45">
        <f t="shared" si="12"/>
        <v>45664.36144</v>
      </c>
      <c r="P695" s="47" t="b">
        <v>1</v>
      </c>
      <c r="Q695" s="36">
        <f t="shared" si="19"/>
        <v>45664.36144</v>
      </c>
      <c r="R695" s="47" t="b">
        <v>0</v>
      </c>
      <c r="S695" s="42" t="str">
        <f t="shared" si="6"/>
        <v/>
      </c>
      <c r="T695" s="42"/>
    </row>
    <row r="696" ht="22.5" customHeight="1">
      <c r="B696" s="42">
        <f t="shared" si="7"/>
        <v>690</v>
      </c>
      <c r="C696" s="31" t="s">
        <v>831</v>
      </c>
      <c r="D696" s="34" t="str">
        <f t="array" ref="D696">IFNA(_xlfn.XLOOKUP(C696,Table_Tarikan_Warkah[Nomor Sertipikat],Table_Tarikan_Warkah[Nomor Tiket]),"")</f>
        <v>L/18/311224/1</v>
      </c>
      <c r="E696" s="36">
        <f t="array" ref="E696">IFNA(_xlfn.XLOOKUP(D696,Table_Tarikan_Warkah[Nomor Tiket],Table_Tarikan_Warkah[Tanggal diserahkan kepada Validator]),"")</f>
        <v>0</v>
      </c>
      <c r="F696" s="36" t="str">
        <f t="array" ref="F696">IFNA(_xlfn.XLOOKUP(D696,Table_Tarikan_Warkah[Nomor Tiket],Table_Tarikan_Warkah[Nama Petugas Warkah]),"")</f>
        <v>David</v>
      </c>
      <c r="G696" s="39" t="str">
        <f t="array" ref="G696">IFNA(_xlfn.XLOOKUP(D696,Table_Tarikan_Warkah[Nomor Tiket],Table_Tarikan_Warkah[Jenis Permohonan]),"")</f>
        <v>ROYA</v>
      </c>
      <c r="H696" s="41" t="s">
        <v>20</v>
      </c>
      <c r="I696" s="41" t="s">
        <v>12</v>
      </c>
      <c r="J696" s="36">
        <f t="shared" si="17"/>
        <v>45660.46792</v>
      </c>
      <c r="K696" s="41" t="s">
        <v>197</v>
      </c>
      <c r="L696" s="41" t="s">
        <v>12</v>
      </c>
      <c r="M696" s="36">
        <f t="shared" si="18"/>
        <v>45664.43846</v>
      </c>
      <c r="N696" s="30" t="str">
        <f t="shared" si="3"/>
        <v>SELESAI</v>
      </c>
      <c r="O696" s="45">
        <f t="shared" si="12"/>
        <v>45664.43846</v>
      </c>
      <c r="P696" s="47" t="b">
        <v>0</v>
      </c>
      <c r="Q696" s="36" t="str">
        <f t="shared" si="19"/>
        <v/>
      </c>
      <c r="R696" s="47" t="b">
        <v>1</v>
      </c>
      <c r="S696" s="36">
        <f t="shared" si="6"/>
        <v>45664.43849</v>
      </c>
      <c r="T696" s="42"/>
    </row>
    <row r="697" ht="22.5" customHeight="1">
      <c r="B697" s="42">
        <f t="shared" si="7"/>
        <v>691</v>
      </c>
      <c r="C697" s="31" t="s">
        <v>832</v>
      </c>
      <c r="D697" s="34" t="str">
        <f t="array" ref="D697">IFNA(_xlfn.XLOOKUP(C697,Table_Tarikan_Warkah[Nomor Sertipikat],Table_Tarikan_Warkah[Nomor Tiket]),"")</f>
        <v>K/22/311224/1</v>
      </c>
      <c r="E697" s="36">
        <f t="array" ref="E697">IFNA(_xlfn.XLOOKUP(D697,Table_Tarikan_Warkah[Nomor Tiket],Table_Tarikan_Warkah[Tanggal diserahkan kepada Validator]),"")</f>
        <v>0</v>
      </c>
      <c r="F697" s="36" t="str">
        <f t="array" ref="F697">IFNA(_xlfn.XLOOKUP(D697,Table_Tarikan_Warkah[Nomor Tiket],Table_Tarikan_Warkah[Nama Petugas Warkah]),"")</f>
        <v>David</v>
      </c>
      <c r="G697" s="39" t="str">
        <f t="array" ref="G697">IFNA(_xlfn.XLOOKUP(D697,Table_Tarikan_Warkah[Nomor Tiket],Table_Tarikan_Warkah[Jenis Permohonan]),"")</f>
        <v>BN JUAL BELI</v>
      </c>
      <c r="H697" s="41" t="s">
        <v>20</v>
      </c>
      <c r="I697" s="41" t="s">
        <v>12</v>
      </c>
      <c r="J697" s="36">
        <f t="shared" si="17"/>
        <v>45660.46792</v>
      </c>
      <c r="K697" s="41" t="s">
        <v>197</v>
      </c>
      <c r="L697" s="41" t="s">
        <v>12</v>
      </c>
      <c r="M697" s="36">
        <f t="shared" si="18"/>
        <v>45664.44914</v>
      </c>
      <c r="N697" s="30" t="str">
        <f t="shared" si="3"/>
        <v>SELESAI</v>
      </c>
      <c r="O697" s="45">
        <f t="shared" si="12"/>
        <v>45664.44914</v>
      </c>
      <c r="P697" s="47" t="b">
        <v>0</v>
      </c>
      <c r="Q697" s="36" t="str">
        <f t="shared" si="19"/>
        <v/>
      </c>
      <c r="R697" s="47" t="b">
        <v>1</v>
      </c>
      <c r="S697" s="36">
        <f t="shared" si="6"/>
        <v>45664.44917</v>
      </c>
      <c r="T697" s="42"/>
    </row>
    <row r="698" ht="22.5" customHeight="1">
      <c r="B698" s="42">
        <f t="shared" si="7"/>
        <v>692</v>
      </c>
      <c r="C698" s="31" t="s">
        <v>833</v>
      </c>
      <c r="D698" s="34" t="str">
        <f t="array" ref="D698">IFNA(_xlfn.XLOOKUP(C698,Table_Tarikan_Warkah[Nomor Sertipikat],Table_Tarikan_Warkah[Nomor Tiket]),"")</f>
        <v>K/26/311224/1</v>
      </c>
      <c r="E698" s="36">
        <f t="array" ref="E698">IFNA(_xlfn.XLOOKUP(D698,Table_Tarikan_Warkah[Nomor Tiket],Table_Tarikan_Warkah[Tanggal diserahkan kepada Validator]),"")</f>
        <v>0</v>
      </c>
      <c r="F698" s="36" t="str">
        <f t="array" ref="F698">IFNA(_xlfn.XLOOKUP(D698,Table_Tarikan_Warkah[Nomor Tiket],Table_Tarikan_Warkah[Nama Petugas Warkah]),"")</f>
        <v>David</v>
      </c>
      <c r="G698" s="39" t="str">
        <f t="array" ref="G698">IFNA(_xlfn.XLOOKUP(D698,Table_Tarikan_Warkah[Nomor Tiket],Table_Tarikan_Warkah[Jenis Permohonan]),"")</f>
        <v>APHB</v>
      </c>
      <c r="H698" s="41" t="s">
        <v>20</v>
      </c>
      <c r="I698" s="41" t="s">
        <v>12</v>
      </c>
      <c r="J698" s="36">
        <f t="shared" si="17"/>
        <v>45660.46792</v>
      </c>
      <c r="K698" s="49" t="s">
        <v>197</v>
      </c>
      <c r="L698" s="49" t="s">
        <v>12</v>
      </c>
      <c r="M698" s="36">
        <f t="shared" si="18"/>
        <v>45664.4113</v>
      </c>
      <c r="N698" s="30" t="str">
        <f t="shared" si="3"/>
        <v>SELESAI</v>
      </c>
      <c r="O698" s="45">
        <f t="shared" si="12"/>
        <v>45664.4113</v>
      </c>
      <c r="P698" s="47" t="b">
        <v>0</v>
      </c>
      <c r="Q698" s="36" t="str">
        <f t="shared" si="19"/>
        <v/>
      </c>
      <c r="R698" s="47" t="b">
        <v>1</v>
      </c>
      <c r="S698" s="36">
        <f t="shared" si="6"/>
        <v>45664.41131</v>
      </c>
      <c r="T698" s="42"/>
    </row>
    <row r="699" ht="22.5" customHeight="1">
      <c r="B699" s="42">
        <f t="shared" si="7"/>
        <v>693</v>
      </c>
      <c r="C699" s="31" t="s">
        <v>834</v>
      </c>
      <c r="D699" s="34" t="str">
        <f t="array" ref="D699">IFNA(_xlfn.XLOOKUP(C699,Table_Tarikan_Warkah[Nomor Sertipikat],Table_Tarikan_Warkah[Nomor Tiket]),"")</f>
        <v>K/28/311224/3</v>
      </c>
      <c r="E699" s="36">
        <f t="array" ref="E699">IFNA(_xlfn.XLOOKUP(D699,Table_Tarikan_Warkah[Nomor Tiket],Table_Tarikan_Warkah[Tanggal diserahkan kepada Validator]),"")</f>
        <v>0</v>
      </c>
      <c r="F699" s="36" t="str">
        <f t="array" ref="F699">IFNA(_xlfn.XLOOKUP(D699,Table_Tarikan_Warkah[Nomor Tiket],Table_Tarikan_Warkah[Nama Petugas Warkah]),"")</f>
        <v>David</v>
      </c>
      <c r="G699" s="39" t="str">
        <f t="array" ref="G699">IFNA(_xlfn.XLOOKUP(D699,Table_Tarikan_Warkah[Nomor Tiket],Table_Tarikan_Warkah[Jenis Permohonan]),"")</f>
        <v>HIBAH</v>
      </c>
      <c r="H699" s="41" t="s">
        <v>20</v>
      </c>
      <c r="I699" s="41" t="s">
        <v>12</v>
      </c>
      <c r="J699" s="36">
        <f t="shared" si="17"/>
        <v>45660.46792</v>
      </c>
      <c r="K699" s="49" t="s">
        <v>197</v>
      </c>
      <c r="L699" s="49" t="s">
        <v>12</v>
      </c>
      <c r="M699" s="36">
        <f t="shared" si="18"/>
        <v>45664.41171</v>
      </c>
      <c r="N699" s="30" t="str">
        <f t="shared" si="3"/>
        <v>SELESAI</v>
      </c>
      <c r="O699" s="45">
        <f t="shared" si="12"/>
        <v>45664.41171</v>
      </c>
      <c r="P699" s="47" t="b">
        <v>0</v>
      </c>
      <c r="Q699" s="36" t="str">
        <f t="shared" si="19"/>
        <v/>
      </c>
      <c r="R699" s="47" t="b">
        <v>1</v>
      </c>
      <c r="S699" s="36">
        <f t="shared" si="6"/>
        <v>45664.41165</v>
      </c>
      <c r="T699" s="42"/>
    </row>
    <row r="700" ht="22.5" customHeight="1">
      <c r="B700" s="42">
        <f t="shared" si="7"/>
        <v>694</v>
      </c>
      <c r="C700" s="31" t="s">
        <v>835</v>
      </c>
      <c r="D700" s="34" t="str">
        <f t="array" ref="D700">IFNA(_xlfn.XLOOKUP(C700,Table_Tarikan_Warkah[Nomor Sertipikat],Table_Tarikan_Warkah[Nomor Tiket]),"")</f>
        <v>K/27/311224/2</v>
      </c>
      <c r="E700" s="36">
        <f t="array" ref="E700">IFNA(_xlfn.XLOOKUP(D700,Table_Tarikan_Warkah[Nomor Tiket],Table_Tarikan_Warkah[Tanggal diserahkan kepada Validator]),"")</f>
        <v>0</v>
      </c>
      <c r="F700" s="36" t="str">
        <f t="array" ref="F700">IFNA(_xlfn.XLOOKUP(D700,Table_Tarikan_Warkah[Nomor Tiket],Table_Tarikan_Warkah[Nama Petugas Warkah]),"")</f>
        <v>David</v>
      </c>
      <c r="G700" s="39" t="str">
        <f t="array" ref="G700">IFNA(_xlfn.XLOOKUP(D700,Table_Tarikan_Warkah[Nomor Tiket],Table_Tarikan_Warkah[Jenis Permohonan]),"")</f>
        <v>HIBAH</v>
      </c>
      <c r="H700" s="41" t="s">
        <v>20</v>
      </c>
      <c r="I700" s="41" t="s">
        <v>12</v>
      </c>
      <c r="J700" s="36">
        <f t="shared" si="17"/>
        <v>45660.46792</v>
      </c>
      <c r="K700" s="49" t="s">
        <v>197</v>
      </c>
      <c r="L700" s="49" t="s">
        <v>12</v>
      </c>
      <c r="M700" s="36">
        <f t="shared" si="18"/>
        <v>45664.41243</v>
      </c>
      <c r="N700" s="30" t="str">
        <f t="shared" si="3"/>
        <v>SELESAI</v>
      </c>
      <c r="O700" s="45">
        <f t="shared" si="12"/>
        <v>45664.41243</v>
      </c>
      <c r="P700" s="47" t="b">
        <v>0</v>
      </c>
      <c r="Q700" s="36" t="str">
        <f t="shared" si="19"/>
        <v/>
      </c>
      <c r="R700" s="47" t="b">
        <v>1</v>
      </c>
      <c r="S700" s="36">
        <f t="shared" si="6"/>
        <v>45664.41245</v>
      </c>
      <c r="T700" s="42"/>
    </row>
    <row r="701" ht="22.5" customHeight="1">
      <c r="B701" s="42">
        <f t="shared" si="7"/>
        <v>695</v>
      </c>
      <c r="C701" s="31" t="s">
        <v>836</v>
      </c>
      <c r="D701" s="34" t="str">
        <f t="array" ref="D701">IFNA(_xlfn.XLOOKUP(C701,Table_Tarikan_Warkah[Nomor Sertipikat],Table_Tarikan_Warkah[Nomor Tiket]),"")</f>
        <v>K/29/311224/4</v>
      </c>
      <c r="E701" s="36">
        <f t="array" ref="E701">IFNA(_xlfn.XLOOKUP(D701,Table_Tarikan_Warkah[Nomor Tiket],Table_Tarikan_Warkah[Tanggal diserahkan kepada Validator]),"")</f>
        <v>0</v>
      </c>
      <c r="F701" s="36" t="str">
        <f t="array" ref="F701">IFNA(_xlfn.XLOOKUP(D701,Table_Tarikan_Warkah[Nomor Tiket],Table_Tarikan_Warkah[Nama Petugas Warkah]),"")</f>
        <v>David</v>
      </c>
      <c r="G701" s="39" t="str">
        <f t="array" ref="G701">IFNA(_xlfn.XLOOKUP(D701,Table_Tarikan_Warkah[Nomor Tiket],Table_Tarikan_Warkah[Jenis Permohonan]),"")</f>
        <v>HIBAH</v>
      </c>
      <c r="H701" s="41" t="s">
        <v>20</v>
      </c>
      <c r="I701" s="41" t="s">
        <v>12</v>
      </c>
      <c r="J701" s="36">
        <f t="shared" si="17"/>
        <v>45660.46792</v>
      </c>
      <c r="K701" s="49" t="s">
        <v>197</v>
      </c>
      <c r="L701" s="49" t="s">
        <v>12</v>
      </c>
      <c r="M701" s="36">
        <f t="shared" si="18"/>
        <v>45664.41263</v>
      </c>
      <c r="N701" s="30" t="str">
        <f t="shared" si="3"/>
        <v>SELESAI</v>
      </c>
      <c r="O701" s="45">
        <f t="shared" si="12"/>
        <v>45664.41263</v>
      </c>
      <c r="P701" s="47" t="b">
        <v>0</v>
      </c>
      <c r="Q701" s="36" t="str">
        <f t="shared" si="19"/>
        <v/>
      </c>
      <c r="R701" s="47" t="b">
        <v>1</v>
      </c>
      <c r="S701" s="36">
        <f t="shared" si="6"/>
        <v>45664.41264</v>
      </c>
      <c r="T701" s="42"/>
    </row>
    <row r="702" ht="22.5" customHeight="1">
      <c r="B702" s="42">
        <f t="shared" si="7"/>
        <v>696</v>
      </c>
      <c r="C702" s="31" t="s">
        <v>837</v>
      </c>
      <c r="D702" s="34" t="str">
        <f t="array" ref="D702">IFNA(_xlfn.XLOOKUP(C702,Table_Tarikan_Warkah[Nomor Sertipikat],Table_Tarikan_Warkah[Nomor Tiket]),"")</f>
        <v>K/30/311224/5</v>
      </c>
      <c r="E702" s="36">
        <f t="array" ref="E702">IFNA(_xlfn.XLOOKUP(D702,Table_Tarikan_Warkah[Nomor Tiket],Table_Tarikan_Warkah[Tanggal diserahkan kepada Validator]),"")</f>
        <v>0</v>
      </c>
      <c r="F702" s="36" t="str">
        <f t="array" ref="F702">IFNA(_xlfn.XLOOKUP(D702,Table_Tarikan_Warkah[Nomor Tiket],Table_Tarikan_Warkah[Nama Petugas Warkah]),"")</f>
        <v>David</v>
      </c>
      <c r="G702" s="39" t="str">
        <f t="array" ref="G702">IFNA(_xlfn.XLOOKUP(D702,Table_Tarikan_Warkah[Nomor Tiket],Table_Tarikan_Warkah[Jenis Permohonan]),"")</f>
        <v>HIBAH</v>
      </c>
      <c r="H702" s="41" t="s">
        <v>20</v>
      </c>
      <c r="I702" s="41" t="s">
        <v>12</v>
      </c>
      <c r="J702" s="36">
        <f t="shared" si="17"/>
        <v>45660.46792</v>
      </c>
      <c r="K702" s="56" t="s">
        <v>197</v>
      </c>
      <c r="L702" s="57" t="s">
        <v>12</v>
      </c>
      <c r="M702" s="36">
        <f t="shared" si="18"/>
        <v>45664.41279</v>
      </c>
      <c r="N702" s="30" t="str">
        <f t="shared" si="3"/>
        <v>SELESAI</v>
      </c>
      <c r="O702" s="45">
        <f t="shared" si="12"/>
        <v>45664.41279</v>
      </c>
      <c r="P702" s="47" t="b">
        <v>0</v>
      </c>
      <c r="Q702" s="36" t="str">
        <f t="shared" si="19"/>
        <v/>
      </c>
      <c r="R702" s="47" t="b">
        <v>1</v>
      </c>
      <c r="S702" s="36">
        <f t="shared" si="6"/>
        <v>45664.41282</v>
      </c>
      <c r="T702" s="42"/>
    </row>
    <row r="703" ht="22.5" customHeight="1">
      <c r="B703" s="42">
        <f t="shared" si="7"/>
        <v>697</v>
      </c>
      <c r="C703" s="31" t="s">
        <v>838</v>
      </c>
      <c r="D703" s="34" t="str">
        <f t="array" ref="D703">IFNA(_xlfn.XLOOKUP(C703,Table_Tarikan_Warkah[Nomor Sertipikat],Table_Tarikan_Warkah[Nomor Tiket]),"")</f>
        <v>K/35/311224/1</v>
      </c>
      <c r="E703" s="36">
        <f t="array" ref="E703">IFNA(_xlfn.XLOOKUP(D703,Table_Tarikan_Warkah[Nomor Tiket],Table_Tarikan_Warkah[Tanggal diserahkan kepada Validator]),"")</f>
        <v>0</v>
      </c>
      <c r="F703" s="36" t="str">
        <f t="array" ref="F703">IFNA(_xlfn.XLOOKUP(D703,Table_Tarikan_Warkah[Nomor Tiket],Table_Tarikan_Warkah[Nama Petugas Warkah]),"")</f>
        <v>David</v>
      </c>
      <c r="G703" s="39" t="str">
        <f t="array" ref="G703">IFNA(_xlfn.XLOOKUP(D703,Table_Tarikan_Warkah[Nomor Tiket],Table_Tarikan_Warkah[Jenis Permohonan]),"")</f>
        <v>KEWARISAN</v>
      </c>
      <c r="H703" s="41" t="s">
        <v>20</v>
      </c>
      <c r="I703" s="41" t="s">
        <v>12</v>
      </c>
      <c r="J703" s="36">
        <f t="shared" si="17"/>
        <v>45660.46792</v>
      </c>
      <c r="K703" s="62" t="s">
        <v>197</v>
      </c>
      <c r="L703" s="41" t="s">
        <v>12</v>
      </c>
      <c r="M703" s="36">
        <f t="shared" si="18"/>
        <v>45664.4435</v>
      </c>
      <c r="N703" s="30" t="str">
        <f t="shared" si="3"/>
        <v>SELESAI</v>
      </c>
      <c r="O703" s="45">
        <f t="shared" si="12"/>
        <v>45664.4435</v>
      </c>
      <c r="P703" s="47" t="b">
        <v>0</v>
      </c>
      <c r="Q703" s="36" t="str">
        <f t="shared" si="19"/>
        <v/>
      </c>
      <c r="R703" s="47" t="b">
        <v>1</v>
      </c>
      <c r="S703" s="36">
        <f t="shared" si="6"/>
        <v>45664.44354</v>
      </c>
      <c r="T703" s="42"/>
    </row>
    <row r="704" ht="22.5" customHeight="1">
      <c r="B704" s="42">
        <f t="shared" si="7"/>
        <v>698</v>
      </c>
      <c r="C704" s="31" t="s">
        <v>839</v>
      </c>
      <c r="D704" s="34" t="str">
        <f t="array" ref="D704">IFNA(_xlfn.XLOOKUP(C704,Table_Tarikan_Warkah[Nomor Sertipikat],Table_Tarikan_Warkah[Nomor Tiket]),"")</f>
        <v>K/37/311224/1</v>
      </c>
      <c r="E704" s="36">
        <f t="array" ref="E704">IFNA(_xlfn.XLOOKUP(D704,Table_Tarikan_Warkah[Nomor Tiket],Table_Tarikan_Warkah[Tanggal diserahkan kepada Validator]),"")</f>
        <v>0</v>
      </c>
      <c r="F704" s="36" t="str">
        <f t="array" ref="F704">IFNA(_xlfn.XLOOKUP(D704,Table_Tarikan_Warkah[Nomor Tiket],Table_Tarikan_Warkah[Nama Petugas Warkah]),"")</f>
        <v>David</v>
      </c>
      <c r="G704" s="39" t="str">
        <f t="array" ref="G704">IFNA(_xlfn.XLOOKUP(D704,Table_Tarikan_Warkah[Nomor Tiket],Table_Tarikan_Warkah[Jenis Permohonan]),"")</f>
        <v>BN Jual Beli</v>
      </c>
      <c r="H704" s="41" t="s">
        <v>20</v>
      </c>
      <c r="I704" s="41" t="s">
        <v>12</v>
      </c>
      <c r="J704" s="36">
        <f t="shared" si="17"/>
        <v>45660.46792</v>
      </c>
      <c r="K704" s="56" t="s">
        <v>197</v>
      </c>
      <c r="L704" s="57" t="s">
        <v>12</v>
      </c>
      <c r="M704" s="36">
        <f t="shared" si="18"/>
        <v>45664.41295</v>
      </c>
      <c r="N704" s="30" t="str">
        <f t="shared" si="3"/>
        <v>SELESAI</v>
      </c>
      <c r="O704" s="45">
        <f t="shared" si="12"/>
        <v>45664.41295</v>
      </c>
      <c r="P704" s="47" t="b">
        <v>0</v>
      </c>
      <c r="Q704" s="36" t="str">
        <f t="shared" si="19"/>
        <v/>
      </c>
      <c r="R704" s="47" t="b">
        <v>1</v>
      </c>
      <c r="S704" s="36">
        <f t="shared" si="6"/>
        <v>45664.41298</v>
      </c>
      <c r="T704" s="42"/>
    </row>
    <row r="705" ht="22.5" customHeight="1">
      <c r="B705" s="42">
        <f t="shared" si="7"/>
        <v>699</v>
      </c>
      <c r="C705" s="31" t="s">
        <v>840</v>
      </c>
      <c r="D705" s="34" t="str">
        <f t="array" ref="D705">IFNA(_xlfn.XLOOKUP(C705,Table_Tarikan_Warkah[Nomor Sertipikat],Table_Tarikan_Warkah[Nomor Tiket]),"")</f>
        <v>K/39/311224/3</v>
      </c>
      <c r="E705" s="36">
        <f t="array" ref="E705">IFNA(_xlfn.XLOOKUP(D705,Table_Tarikan_Warkah[Nomor Tiket],Table_Tarikan_Warkah[Tanggal diserahkan kepada Validator]),"")</f>
        <v>0</v>
      </c>
      <c r="F705" s="36" t="str">
        <f t="array" ref="F705">IFNA(_xlfn.XLOOKUP(D705,Table_Tarikan_Warkah[Nomor Tiket],Table_Tarikan_Warkah[Nama Petugas Warkah]),"")</f>
        <v>David</v>
      </c>
      <c r="G705" s="39" t="str">
        <f t="array" ref="G705">IFNA(_xlfn.XLOOKUP(D705,Table_Tarikan_Warkah[Nomor Tiket],Table_Tarikan_Warkah[Jenis Permohonan]),"")</f>
        <v>BN Jual Beli</v>
      </c>
      <c r="H705" s="41" t="s">
        <v>20</v>
      </c>
      <c r="I705" s="41" t="s">
        <v>12</v>
      </c>
      <c r="J705" s="36">
        <f t="shared" si="17"/>
        <v>45660.46792</v>
      </c>
      <c r="K705" s="56" t="s">
        <v>197</v>
      </c>
      <c r="L705" s="57" t="s">
        <v>12</v>
      </c>
      <c r="M705" s="36">
        <f t="shared" si="18"/>
        <v>45664.41314</v>
      </c>
      <c r="N705" s="30" t="str">
        <f t="shared" si="3"/>
        <v>SELESAI</v>
      </c>
      <c r="O705" s="45">
        <f t="shared" si="12"/>
        <v>45664.41314</v>
      </c>
      <c r="P705" s="47" t="b">
        <v>0</v>
      </c>
      <c r="Q705" s="36" t="str">
        <f t="shared" si="19"/>
        <v/>
      </c>
      <c r="R705" s="47" t="b">
        <v>1</v>
      </c>
      <c r="S705" s="36">
        <f t="shared" si="6"/>
        <v>45664.41309</v>
      </c>
      <c r="T705" s="42"/>
    </row>
    <row r="706" ht="22.5" customHeight="1">
      <c r="B706" s="42">
        <f t="shared" si="7"/>
        <v>700</v>
      </c>
      <c r="C706" s="31" t="s">
        <v>841</v>
      </c>
      <c r="D706" s="34" t="str">
        <f t="array" ref="D706">IFNA(_xlfn.XLOOKUP(C706,Table_Tarikan_Warkah[Nomor Sertipikat],Table_Tarikan_Warkah[Nomor Tiket]),"")</f>
        <v>K/6/241224/2</v>
      </c>
      <c r="E706" s="36">
        <f t="array" ref="E706">IFNA(_xlfn.XLOOKUP(D706,Table_Tarikan_Warkah[Nomor Tiket],Table_Tarikan_Warkah[Tanggal diserahkan kepada Validator]),"")</f>
        <v>45673.43404</v>
      </c>
      <c r="F706" s="36" t="str">
        <f t="array" ref="F706">IFNA(_xlfn.XLOOKUP(D706,Table_Tarikan_Warkah[Nomor Tiket],Table_Tarikan_Warkah[Nama Petugas Warkah]),"")</f>
        <v/>
      </c>
      <c r="G706" s="39" t="str">
        <f t="array" ref="G706">IFNA(_xlfn.XLOOKUP(D706,Table_Tarikan_Warkah[Nomor Tiket],Table_Tarikan_Warkah[Jenis Permohonan]),"")</f>
        <v>BN JUAL BELI</v>
      </c>
      <c r="H706" s="41" t="s">
        <v>20</v>
      </c>
      <c r="I706" s="41" t="s">
        <v>23</v>
      </c>
      <c r="J706" s="36">
        <f t="shared" si="17"/>
        <v>45660.46792</v>
      </c>
      <c r="K706" s="61" t="s">
        <v>26</v>
      </c>
      <c r="L706" s="49" t="s">
        <v>23</v>
      </c>
      <c r="M706" s="36">
        <f t="shared" si="18"/>
        <v>45664.36144</v>
      </c>
      <c r="N706" s="30" t="str">
        <f t="shared" si="3"/>
        <v>Selesai</v>
      </c>
      <c r="O706" s="45">
        <f t="shared" si="12"/>
        <v>45664.36144</v>
      </c>
      <c r="P706" s="47" t="b">
        <v>1</v>
      </c>
      <c r="Q706" s="36">
        <f t="shared" si="19"/>
        <v>45664.36144</v>
      </c>
      <c r="R706" s="47" t="b">
        <v>0</v>
      </c>
      <c r="S706" s="42" t="str">
        <f t="shared" si="6"/>
        <v/>
      </c>
      <c r="T706" s="42"/>
    </row>
    <row r="707" ht="22.5" customHeight="1">
      <c r="B707" s="42">
        <f t="shared" si="7"/>
        <v>701</v>
      </c>
      <c r="C707" s="31" t="s">
        <v>842</v>
      </c>
      <c r="D707" s="34" t="str">
        <f t="array" ref="D707">IFNA(_xlfn.XLOOKUP(C707,Table_Tarikan_Warkah[Nomor Sertipikat],Table_Tarikan_Warkah[Nomor Tiket]),"")</f>
        <v>K/47/301224/1</v>
      </c>
      <c r="E707" s="36">
        <f t="array" ref="E707">IFNA(_xlfn.XLOOKUP(D707,Table_Tarikan_Warkah[Nomor Tiket],Table_Tarikan_Warkah[Tanggal diserahkan kepada Validator]),"")</f>
        <v>0</v>
      </c>
      <c r="F707" s="36" t="str">
        <f t="array" ref="F707">IFNA(_xlfn.XLOOKUP(D707,Table_Tarikan_Warkah[Nomor Tiket],Table_Tarikan_Warkah[Nama Petugas Warkah]),"")</f>
        <v>Berry</v>
      </c>
      <c r="G707" s="39" t="str">
        <f t="array" ref="G707">IFNA(_xlfn.XLOOKUP(D707,Table_Tarikan_Warkah[Nomor Tiket],Table_Tarikan_Warkah[Jenis Permohonan]),"")</f>
        <v>ROYA</v>
      </c>
      <c r="H707" s="41" t="s">
        <v>20</v>
      </c>
      <c r="I707" s="41" t="s">
        <v>23</v>
      </c>
      <c r="J707" s="36">
        <f t="shared" si="17"/>
        <v>45660.46792</v>
      </c>
      <c r="K707" s="41" t="s">
        <v>26</v>
      </c>
      <c r="L707" s="41" t="s">
        <v>23</v>
      </c>
      <c r="M707" s="36">
        <f t="shared" si="18"/>
        <v>45664.36144</v>
      </c>
      <c r="N707" s="30" t="str">
        <f t="shared" si="3"/>
        <v>Selesai</v>
      </c>
      <c r="O707" s="45">
        <f t="shared" si="12"/>
        <v>45664.36144</v>
      </c>
      <c r="P707" s="47" t="b">
        <v>1</v>
      </c>
      <c r="Q707" s="36">
        <f t="shared" si="19"/>
        <v>45664.36144</v>
      </c>
      <c r="R707" s="47" t="b">
        <v>1</v>
      </c>
      <c r="S707" s="36">
        <f t="shared" si="6"/>
        <v>45664.41746</v>
      </c>
      <c r="T707" s="42"/>
    </row>
    <row r="708" ht="22.5" customHeight="1">
      <c r="B708" s="42">
        <f t="shared" si="7"/>
        <v>702</v>
      </c>
      <c r="C708" s="31" t="s">
        <v>843</v>
      </c>
      <c r="D708" s="34" t="str">
        <f t="array" ref="D708">IFNA(_xlfn.XLOOKUP(C708,Table_Tarikan_Warkah[Nomor Sertipikat],Table_Tarikan_Warkah[Nomor Tiket]),"")</f>
        <v>K/34/271224/2</v>
      </c>
      <c r="E708" s="36" t="str">
        <f t="array" ref="E708">IFNA(_xlfn.XLOOKUP(D708,Table_Tarikan_Warkah[Nomor Tiket],Table_Tarikan_Warkah[Tanggal diserahkan kepada Validator]),"")</f>
        <v/>
      </c>
      <c r="F708" s="36" t="str">
        <f t="array" ref="F708">IFNA(_xlfn.XLOOKUP(D708,Table_Tarikan_Warkah[Nomor Tiket],Table_Tarikan_Warkah[Nama Petugas Warkah]),"")</f>
        <v/>
      </c>
      <c r="G708" s="39" t="str">
        <f t="array" ref="G708">IFNA(_xlfn.XLOOKUP(D708,Table_Tarikan_Warkah[Nomor Tiket],Table_Tarikan_Warkah[Jenis Permohonan]),"")</f>
        <v>BN Jual Beli</v>
      </c>
      <c r="H708" s="41" t="s">
        <v>20</v>
      </c>
      <c r="I708" s="41" t="s">
        <v>23</v>
      </c>
      <c r="J708" s="36">
        <f t="shared" si="17"/>
        <v>45660.46792</v>
      </c>
      <c r="K708" s="61" t="s">
        <v>26</v>
      </c>
      <c r="L708" s="61" t="s">
        <v>23</v>
      </c>
      <c r="M708" s="36">
        <f t="shared" si="18"/>
        <v>45664.36144</v>
      </c>
      <c r="N708" s="30" t="str">
        <f t="shared" si="3"/>
        <v>Selesai</v>
      </c>
      <c r="O708" s="45">
        <f t="shared" si="12"/>
        <v>45664.36144</v>
      </c>
      <c r="P708" s="47" t="b">
        <v>1</v>
      </c>
      <c r="Q708" s="36">
        <f t="shared" si="19"/>
        <v>45664.36144</v>
      </c>
      <c r="R708" s="47" t="b">
        <v>0</v>
      </c>
      <c r="S708" s="42" t="str">
        <f t="shared" si="6"/>
        <v/>
      </c>
      <c r="T708" s="42"/>
    </row>
    <row r="709" ht="22.5" customHeight="1">
      <c r="B709" s="42">
        <f t="shared" si="7"/>
        <v>703</v>
      </c>
      <c r="C709" s="31" t="s">
        <v>844</v>
      </c>
      <c r="D709" s="34" t="str">
        <f t="array" ref="D709">IFNA(_xlfn.XLOOKUP(C709,Table_Tarikan_Warkah[Nomor Sertipikat],Table_Tarikan_Warkah[Nomor Tiket]),"")</f>
        <v>K/12/231224/1</v>
      </c>
      <c r="E709" s="36" t="str">
        <f t="array" ref="E709">IFNA(_xlfn.XLOOKUP(D709,Table_Tarikan_Warkah[Nomor Tiket],Table_Tarikan_Warkah[Tanggal diserahkan kepada Validator]),"")</f>
        <v/>
      </c>
      <c r="F709" s="36" t="str">
        <f t="array" ref="F709">IFNA(_xlfn.XLOOKUP(D709,Table_Tarikan_Warkah[Nomor Tiket],Table_Tarikan_Warkah[Nama Petugas Warkah]),"")</f>
        <v/>
      </c>
      <c r="G709" s="39" t="str">
        <f t="array" ref="G709">IFNA(_xlfn.XLOOKUP(D709,Table_Tarikan_Warkah[Nomor Tiket],Table_Tarikan_Warkah[Jenis Permohonan]),"")</f>
        <v>BN Waris</v>
      </c>
      <c r="H709" s="41" t="s">
        <v>20</v>
      </c>
      <c r="I709" s="41" t="s">
        <v>23</v>
      </c>
      <c r="J709" s="36">
        <f t="shared" si="17"/>
        <v>45660.46792</v>
      </c>
      <c r="K709" s="61" t="s">
        <v>26</v>
      </c>
      <c r="L709" s="49" t="s">
        <v>23</v>
      </c>
      <c r="M709" s="36">
        <f t="shared" si="18"/>
        <v>45664.36144</v>
      </c>
      <c r="N709" s="30" t="str">
        <f t="shared" si="3"/>
        <v>Selesai</v>
      </c>
      <c r="O709" s="45">
        <f t="shared" si="12"/>
        <v>45664.36144</v>
      </c>
      <c r="P709" s="47" t="b">
        <v>1</v>
      </c>
      <c r="Q709" s="36">
        <f t="shared" si="19"/>
        <v>45664.36144</v>
      </c>
      <c r="R709" s="47" t="b">
        <v>0</v>
      </c>
      <c r="S709" s="42" t="str">
        <f t="shared" si="6"/>
        <v/>
      </c>
      <c r="T709" s="42"/>
    </row>
    <row r="710" ht="22.5" customHeight="1">
      <c r="B710" s="42">
        <f t="shared" si="7"/>
        <v>704</v>
      </c>
      <c r="C710" s="31" t="s">
        <v>845</v>
      </c>
      <c r="D710" s="34" t="str">
        <f t="array" ref="D710">IFNA(_xlfn.XLOOKUP(C710,Table_Tarikan_Warkah[Nomor Sertipikat],Table_Tarikan_Warkah[Nomor Tiket]),"")</f>
        <v>K/15/201224/1</v>
      </c>
      <c r="E710" s="36">
        <f t="array" ref="E710">IFNA(_xlfn.XLOOKUP(D710,Table_Tarikan_Warkah[Nomor Tiket],Table_Tarikan_Warkah[Tanggal diserahkan kepada Validator]),"")</f>
        <v>45666.70579</v>
      </c>
      <c r="F710" s="36" t="str">
        <f t="array" ref="F710">IFNA(_xlfn.XLOOKUP(D710,Table_Tarikan_Warkah[Nomor Tiket],Table_Tarikan_Warkah[Nama Petugas Warkah]),"")</f>
        <v/>
      </c>
      <c r="G710" s="39" t="str">
        <f t="array" ref="G710">IFNA(_xlfn.XLOOKUP(D710,Table_Tarikan_Warkah[Nomor Tiket],Table_Tarikan_Warkah[Jenis Permohonan]),"")</f>
        <v>BN Jual Beli</v>
      </c>
      <c r="H710" s="41" t="s">
        <v>20</v>
      </c>
      <c r="I710" s="41" t="s">
        <v>23</v>
      </c>
      <c r="J710" s="36">
        <f t="shared" si="17"/>
        <v>45660.46792</v>
      </c>
      <c r="K710" s="41" t="s">
        <v>26</v>
      </c>
      <c r="L710" s="41" t="s">
        <v>23</v>
      </c>
      <c r="M710" s="36">
        <f t="shared" si="18"/>
        <v>45664.36144</v>
      </c>
      <c r="N710" s="30" t="str">
        <f t="shared" si="3"/>
        <v>Selesai</v>
      </c>
      <c r="O710" s="45">
        <f t="shared" si="12"/>
        <v>45664.36144</v>
      </c>
      <c r="P710" s="47" t="b">
        <v>1</v>
      </c>
      <c r="Q710" s="36">
        <f t="shared" si="19"/>
        <v>45664.36144</v>
      </c>
      <c r="R710" s="47" t="b">
        <v>0</v>
      </c>
      <c r="S710" s="42" t="str">
        <f t="shared" si="6"/>
        <v/>
      </c>
      <c r="T710" s="42"/>
    </row>
    <row r="711" ht="22.5" customHeight="1">
      <c r="B711" s="42">
        <f t="shared" si="7"/>
        <v>705</v>
      </c>
      <c r="C711" s="31" t="s">
        <v>846</v>
      </c>
      <c r="D711" s="34" t="str">
        <f t="array" ref="D711">IFNA(_xlfn.XLOOKUP(C711,Table_Tarikan_Warkah[Nomor Sertipikat],Table_Tarikan_Warkah[Nomor Tiket]),"")</f>
        <v>K/57/181124/2</v>
      </c>
      <c r="E711" s="36">
        <f t="array" ref="E711">IFNA(_xlfn.XLOOKUP(D711,Table_Tarikan_Warkah[Nomor Tiket],Table_Tarikan_Warkah[Tanggal diserahkan kepada Validator]),"")</f>
        <v>45694.48135</v>
      </c>
      <c r="F711" s="36" t="str">
        <f t="array" ref="F711">IFNA(_xlfn.XLOOKUP(D711,Table_Tarikan_Warkah[Nomor Tiket],Table_Tarikan_Warkah[Nama Petugas Warkah]),"")</f>
        <v>David</v>
      </c>
      <c r="G711" s="39" t="str">
        <f t="array" ref="G711">IFNA(_xlfn.XLOOKUP(D711,Table_Tarikan_Warkah[Nomor Tiket],Table_Tarikan_Warkah[Jenis Permohonan]),"")</f>
        <v>BN JUAL BELI</v>
      </c>
      <c r="H711" s="41" t="s">
        <v>20</v>
      </c>
      <c r="I711" s="41" t="s">
        <v>23</v>
      </c>
      <c r="J711" s="36">
        <f t="shared" si="17"/>
        <v>45660.46792</v>
      </c>
      <c r="K711" s="61" t="s">
        <v>26</v>
      </c>
      <c r="L711" s="61" t="s">
        <v>23</v>
      </c>
      <c r="M711" s="36">
        <f t="shared" si="18"/>
        <v>45664.36144</v>
      </c>
      <c r="N711" s="30" t="str">
        <f t="shared" si="3"/>
        <v>Selesai</v>
      </c>
      <c r="O711" s="45">
        <f t="shared" si="12"/>
        <v>45664.36144</v>
      </c>
      <c r="P711" s="47" t="b">
        <v>1</v>
      </c>
      <c r="Q711" s="36">
        <f t="shared" si="19"/>
        <v>45664.36144</v>
      </c>
      <c r="R711" s="47" t="b">
        <v>0</v>
      </c>
      <c r="S711" s="42" t="str">
        <f t="shared" si="6"/>
        <v/>
      </c>
      <c r="T711" s="42"/>
    </row>
    <row r="712" ht="22.5" customHeight="1">
      <c r="B712" s="42">
        <f t="shared" si="7"/>
        <v>706</v>
      </c>
      <c r="C712" s="31" t="s">
        <v>847</v>
      </c>
      <c r="D712" s="34" t="str">
        <f t="array" ref="D712">IFNA(_xlfn.XLOOKUP(C712,Table_Tarikan_Warkah[Nomor Sertipikat],Table_Tarikan_Warkah[Nomor Tiket]),"")</f>
        <v>K/19/191224/1</v>
      </c>
      <c r="E712" s="36" t="str">
        <f t="array" ref="E712">IFNA(_xlfn.XLOOKUP(D712,Table_Tarikan_Warkah[Nomor Tiket],Table_Tarikan_Warkah[Tanggal diserahkan kepada Validator]),"")</f>
        <v/>
      </c>
      <c r="F712" s="36" t="str">
        <f t="array" ref="F712">IFNA(_xlfn.XLOOKUP(D712,Table_Tarikan_Warkah[Nomor Tiket],Table_Tarikan_Warkah[Nama Petugas Warkah]),"")</f>
        <v/>
      </c>
      <c r="G712" s="39" t="str">
        <f t="array" ref="G712">IFNA(_xlfn.XLOOKUP(D712,Table_Tarikan_Warkah[Nomor Tiket],Table_Tarikan_Warkah[Jenis Permohonan]),"")</f>
        <v>BN HIBAH</v>
      </c>
      <c r="H712" s="41" t="s">
        <v>20</v>
      </c>
      <c r="I712" s="41" t="s">
        <v>23</v>
      </c>
      <c r="J712" s="36">
        <f t="shared" si="17"/>
        <v>45660.46792</v>
      </c>
      <c r="K712" s="49" t="s">
        <v>26</v>
      </c>
      <c r="L712" s="49" t="s">
        <v>23</v>
      </c>
      <c r="M712" s="36">
        <f t="shared" si="18"/>
        <v>45664.36144</v>
      </c>
      <c r="N712" s="30" t="str">
        <f t="shared" si="3"/>
        <v>Selesai</v>
      </c>
      <c r="O712" s="45">
        <f t="shared" si="12"/>
        <v>45664.36144</v>
      </c>
      <c r="P712" s="47" t="b">
        <v>1</v>
      </c>
      <c r="Q712" s="36">
        <f t="shared" si="19"/>
        <v>45664.36144</v>
      </c>
      <c r="R712" s="47" t="b">
        <v>0</v>
      </c>
      <c r="S712" s="42" t="str">
        <f t="shared" si="6"/>
        <v/>
      </c>
      <c r="T712" s="42"/>
    </row>
    <row r="713" ht="22.5" customHeight="1">
      <c r="B713" s="42">
        <f t="shared" si="7"/>
        <v>707</v>
      </c>
      <c r="C713" s="31" t="s">
        <v>848</v>
      </c>
      <c r="D713" s="34" t="str">
        <f t="array" ref="D713">IFNA(_xlfn.XLOOKUP(C713,Table_Tarikan_Warkah[Nomor Sertipikat],Table_Tarikan_Warkah[Nomor Tiket]),"")</f>
        <v>K/57/301224/5</v>
      </c>
      <c r="E713" s="36">
        <f t="array" ref="E713">IFNA(_xlfn.XLOOKUP(D713,Table_Tarikan_Warkah[Nomor Tiket],Table_Tarikan_Warkah[Tanggal diserahkan kepada Validator]),"")</f>
        <v>0</v>
      </c>
      <c r="F713" s="36" t="str">
        <f t="array" ref="F713">IFNA(_xlfn.XLOOKUP(D713,Table_Tarikan_Warkah[Nomor Tiket],Table_Tarikan_Warkah[Nama Petugas Warkah]),"")</f>
        <v>Berry</v>
      </c>
      <c r="G713" s="39" t="str">
        <f t="array" ref="G713">IFNA(_xlfn.XLOOKUP(D713,Table_Tarikan_Warkah[Nomor Tiket],Table_Tarikan_Warkah[Jenis Permohonan]),"")</f>
        <v>BN Jual Beli</v>
      </c>
      <c r="H713" s="41" t="s">
        <v>20</v>
      </c>
      <c r="I713" s="41" t="s">
        <v>12</v>
      </c>
      <c r="J713" s="36">
        <f t="shared" si="17"/>
        <v>45660.61429</v>
      </c>
      <c r="K713" s="41" t="s">
        <v>197</v>
      </c>
      <c r="L713" s="41" t="s">
        <v>12</v>
      </c>
      <c r="M713" s="36">
        <f t="shared" si="18"/>
        <v>45664.43956</v>
      </c>
      <c r="N713" s="30" t="str">
        <f t="shared" si="3"/>
        <v>SELESAI</v>
      </c>
      <c r="O713" s="45">
        <f t="shared" si="12"/>
        <v>45664.43956</v>
      </c>
      <c r="P713" s="47" t="b">
        <v>0</v>
      </c>
      <c r="Q713" s="36" t="str">
        <f t="shared" si="19"/>
        <v/>
      </c>
      <c r="R713" s="47" t="b">
        <v>1</v>
      </c>
      <c r="S713" s="36">
        <f t="shared" si="6"/>
        <v>45664.43959</v>
      </c>
      <c r="T713" s="42"/>
    </row>
    <row r="714" ht="22.5" customHeight="1">
      <c r="B714" s="42">
        <f t="shared" si="7"/>
        <v>708</v>
      </c>
      <c r="C714" s="31" t="s">
        <v>849</v>
      </c>
      <c r="D714" s="34" t="str">
        <f t="array" ref="D714">IFNA(_xlfn.XLOOKUP(C714,Table_Tarikan_Warkah[Nomor Sertipikat],Table_Tarikan_Warkah[Nomor Tiket]),"")</f>
        <v>L/7/311224/1</v>
      </c>
      <c r="E714" s="36">
        <f t="array" ref="E714">IFNA(_xlfn.XLOOKUP(D714,Table_Tarikan_Warkah[Nomor Tiket],Table_Tarikan_Warkah[Tanggal diserahkan kepada Validator]),"")</f>
        <v>0</v>
      </c>
      <c r="F714" s="36" t="str">
        <f t="array" ref="F714">IFNA(_xlfn.XLOOKUP(D714,Table_Tarikan_Warkah[Nomor Tiket],Table_Tarikan_Warkah[Nama Petugas Warkah]),"")</f>
        <v>David</v>
      </c>
      <c r="G714" s="39" t="str">
        <f t="array" ref="G714">IFNA(_xlfn.XLOOKUP(D714,Table_Tarikan_Warkah[Nomor Tiket],Table_Tarikan_Warkah[Jenis Permohonan]),"")</f>
        <v>ROYA</v>
      </c>
      <c r="H714" s="41" t="s">
        <v>20</v>
      </c>
      <c r="I714" s="41" t="s">
        <v>12</v>
      </c>
      <c r="J714" s="36">
        <f t="shared" si="17"/>
        <v>45660.6162</v>
      </c>
      <c r="K714" s="41" t="s">
        <v>197</v>
      </c>
      <c r="L714" s="41" t="s">
        <v>12</v>
      </c>
      <c r="M714" s="36">
        <f t="shared" si="18"/>
        <v>45664.43787</v>
      </c>
      <c r="N714" s="30" t="str">
        <f t="shared" si="3"/>
        <v>SELESAI</v>
      </c>
      <c r="O714" s="45">
        <f t="shared" si="12"/>
        <v>45664.43787</v>
      </c>
      <c r="P714" s="47" t="b">
        <v>0</v>
      </c>
      <c r="Q714" s="36" t="str">
        <f t="shared" si="19"/>
        <v/>
      </c>
      <c r="R714" s="47" t="b">
        <v>1</v>
      </c>
      <c r="S714" s="36">
        <f t="shared" si="6"/>
        <v>45664.4379</v>
      </c>
      <c r="T714" s="42"/>
    </row>
    <row r="715" ht="22.5" customHeight="1">
      <c r="B715" s="42">
        <f t="shared" si="7"/>
        <v>709</v>
      </c>
      <c r="C715" s="31" t="s">
        <v>850</v>
      </c>
      <c r="D715" s="34" t="str">
        <f t="array" ref="D715">IFNA(_xlfn.XLOOKUP(C715,Table_Tarikan_Warkah[Nomor Sertipikat],Table_Tarikan_Warkah[Nomor Tiket]),"")</f>
        <v>K/9/311224/1</v>
      </c>
      <c r="E715" s="36">
        <f t="array" ref="E715">IFNA(_xlfn.XLOOKUP(D715,Table_Tarikan_Warkah[Nomor Tiket],Table_Tarikan_Warkah[Tanggal diserahkan kepada Validator]),"")</f>
        <v>0</v>
      </c>
      <c r="F715" s="36" t="str">
        <f t="array" ref="F715">IFNA(_xlfn.XLOOKUP(D715,Table_Tarikan_Warkah[Nomor Tiket],Table_Tarikan_Warkah[Nama Petugas Warkah]),"")</f>
        <v>David</v>
      </c>
      <c r="G715" s="39" t="str">
        <f t="array" ref="G715">IFNA(_xlfn.XLOOKUP(D715,Table_Tarikan_Warkah[Nomor Tiket],Table_Tarikan_Warkah[Jenis Permohonan]),"")</f>
        <v>BN JUAL BELI</v>
      </c>
      <c r="H715" s="41" t="s">
        <v>20</v>
      </c>
      <c r="I715" s="41" t="s">
        <v>12</v>
      </c>
      <c r="J715" s="36">
        <f t="shared" si="17"/>
        <v>45660.61864</v>
      </c>
      <c r="K715" s="41" t="s">
        <v>197</v>
      </c>
      <c r="L715" s="41" t="s">
        <v>12</v>
      </c>
      <c r="M715" s="36">
        <f t="shared" si="18"/>
        <v>45664.44516</v>
      </c>
      <c r="N715" s="30" t="str">
        <f t="shared" si="3"/>
        <v>SELESAI</v>
      </c>
      <c r="O715" s="45">
        <f t="shared" si="12"/>
        <v>45664.44516</v>
      </c>
      <c r="P715" s="47" t="b">
        <v>0</v>
      </c>
      <c r="Q715" s="36" t="str">
        <f t="shared" si="19"/>
        <v/>
      </c>
      <c r="R715" s="47" t="b">
        <v>1</v>
      </c>
      <c r="S715" s="36">
        <f t="shared" si="6"/>
        <v>45664.4452</v>
      </c>
      <c r="T715" s="42"/>
    </row>
    <row r="716" ht="22.5" customHeight="1">
      <c r="B716" s="42">
        <f t="shared" si="7"/>
        <v>710</v>
      </c>
      <c r="C716" s="31" t="s">
        <v>851</v>
      </c>
      <c r="D716" s="34" t="str">
        <f t="array" ref="D716">IFNA(_xlfn.XLOOKUP(C716,Table_Tarikan_Warkah[Nomor Sertipikat],Table_Tarikan_Warkah[Nomor Tiket]),"")</f>
        <v>K/20/311224/2</v>
      </c>
      <c r="E716" s="36">
        <f t="array" ref="E716">IFNA(_xlfn.XLOOKUP(D716,Table_Tarikan_Warkah[Nomor Tiket],Table_Tarikan_Warkah[Tanggal diserahkan kepada Validator]),"")</f>
        <v>0</v>
      </c>
      <c r="F716" s="36" t="str">
        <f t="array" ref="F716">IFNA(_xlfn.XLOOKUP(D716,Table_Tarikan_Warkah[Nomor Tiket],Table_Tarikan_Warkah[Nama Petugas Warkah]),"")</f>
        <v>David</v>
      </c>
      <c r="G716" s="39" t="str">
        <f t="array" ref="G716">IFNA(_xlfn.XLOOKUP(D716,Table_Tarikan_Warkah[Nomor Tiket],Table_Tarikan_Warkah[Jenis Permohonan]),"")</f>
        <v>BN JUAL BELI</v>
      </c>
      <c r="H716" s="41" t="s">
        <v>20</v>
      </c>
      <c r="I716" s="41" t="s">
        <v>12</v>
      </c>
      <c r="J716" s="36">
        <f t="shared" si="17"/>
        <v>45660.62389</v>
      </c>
      <c r="K716" s="41" t="s">
        <v>197</v>
      </c>
      <c r="L716" s="41" t="s">
        <v>12</v>
      </c>
      <c r="M716" s="36">
        <f t="shared" si="18"/>
        <v>45664.44489</v>
      </c>
      <c r="N716" s="30" t="str">
        <f t="shared" si="3"/>
        <v>SELESAI</v>
      </c>
      <c r="O716" s="45">
        <f t="shared" si="12"/>
        <v>45664.44489</v>
      </c>
      <c r="P716" s="47" t="b">
        <v>1</v>
      </c>
      <c r="Q716" s="36">
        <f t="shared" si="19"/>
        <v>45670.36944</v>
      </c>
      <c r="R716" s="47" t="b">
        <v>1</v>
      </c>
      <c r="S716" s="36">
        <f t="shared" si="6"/>
        <v>45664.44492</v>
      </c>
      <c r="T716" s="42"/>
    </row>
    <row r="717" ht="22.5" customHeight="1">
      <c r="B717" s="42">
        <f t="shared" si="7"/>
        <v>711</v>
      </c>
      <c r="C717" s="31" t="s">
        <v>852</v>
      </c>
      <c r="D717" s="34" t="str">
        <f t="array" ref="D717">IFNA(_xlfn.XLOOKUP(C717,Table_Tarikan_Warkah[Nomor Sertipikat],Table_Tarikan_Warkah[Nomor Tiket]),"")</f>
        <v>K/40/311224/1</v>
      </c>
      <c r="E717" s="36">
        <f t="array" ref="E717">IFNA(_xlfn.XLOOKUP(D717,Table_Tarikan_Warkah[Nomor Tiket],Table_Tarikan_Warkah[Tanggal diserahkan kepada Validator]),"")</f>
        <v>0</v>
      </c>
      <c r="F717" s="36" t="str">
        <f t="array" ref="F717">IFNA(_xlfn.XLOOKUP(D717,Table_Tarikan_Warkah[Nomor Tiket],Table_Tarikan_Warkah[Nama Petugas Warkah]),"")</f>
        <v>David</v>
      </c>
      <c r="G717" s="39" t="str">
        <f t="array" ref="G717">IFNA(_xlfn.XLOOKUP(D717,Table_Tarikan_Warkah[Nomor Tiket],Table_Tarikan_Warkah[Jenis Permohonan]),"")</f>
        <v>BN JUAL BELI</v>
      </c>
      <c r="H717" s="41" t="s">
        <v>20</v>
      </c>
      <c r="I717" s="41" t="s">
        <v>12</v>
      </c>
      <c r="J717" s="36">
        <f t="shared" si="17"/>
        <v>45660.62484</v>
      </c>
      <c r="K717" s="49" t="s">
        <v>197</v>
      </c>
      <c r="L717" s="49" t="s">
        <v>12</v>
      </c>
      <c r="M717" s="36">
        <f t="shared" si="18"/>
        <v>45664.41353</v>
      </c>
      <c r="N717" s="30" t="str">
        <f t="shared" si="3"/>
        <v>SELESAI</v>
      </c>
      <c r="O717" s="45">
        <f t="shared" si="12"/>
        <v>45664.41353</v>
      </c>
      <c r="P717" s="47" t="b">
        <v>0</v>
      </c>
      <c r="Q717" s="36" t="str">
        <f t="shared" si="19"/>
        <v/>
      </c>
      <c r="R717" s="47" t="b">
        <v>1</v>
      </c>
      <c r="S717" s="36">
        <f t="shared" si="6"/>
        <v>45664.41355</v>
      </c>
      <c r="T717" s="42"/>
    </row>
    <row r="718" ht="22.5" customHeight="1">
      <c r="B718" s="42">
        <f t="shared" si="7"/>
        <v>712</v>
      </c>
      <c r="C718" s="31" t="s">
        <v>853</v>
      </c>
      <c r="D718" s="34" t="str">
        <f t="array" ref="D718">IFNA(_xlfn.XLOOKUP(C718,Table_Tarikan_Warkah[Nomor Sertipikat],Table_Tarikan_Warkah[Nomor Tiket]),"")</f>
        <v>K/36/301224/1</v>
      </c>
      <c r="E718" s="36">
        <f t="array" ref="E718">IFNA(_xlfn.XLOOKUP(D718,Table_Tarikan_Warkah[Nomor Tiket],Table_Tarikan_Warkah[Tanggal diserahkan kepada Validator]),"")</f>
        <v>0</v>
      </c>
      <c r="F718" s="36" t="str">
        <f t="array" ref="F718">IFNA(_xlfn.XLOOKUP(D718,Table_Tarikan_Warkah[Nomor Tiket],Table_Tarikan_Warkah[Nama Petugas Warkah]),"")</f>
        <v>Berry</v>
      </c>
      <c r="G718" s="39" t="str">
        <f t="array" ref="G718">IFNA(_xlfn.XLOOKUP(D718,Table_Tarikan_Warkah[Nomor Tiket],Table_Tarikan_Warkah[Jenis Permohonan]),"")</f>
        <v>BN Jual Beli</v>
      </c>
      <c r="H718" s="41" t="s">
        <v>11</v>
      </c>
      <c r="I718" s="41" t="s">
        <v>12</v>
      </c>
      <c r="J718" s="36">
        <f t="shared" si="17"/>
        <v>0</v>
      </c>
      <c r="K718" s="41" t="s">
        <v>197</v>
      </c>
      <c r="L718" s="41" t="s">
        <v>12</v>
      </c>
      <c r="M718" s="36">
        <f t="shared" si="18"/>
        <v>45664.41518</v>
      </c>
      <c r="N718" s="30" t="str">
        <f t="shared" si="3"/>
        <v>SELESAI</v>
      </c>
      <c r="O718" s="45">
        <f t="shared" si="12"/>
        <v>45664.41518</v>
      </c>
      <c r="P718" s="47" t="b">
        <v>0</v>
      </c>
      <c r="Q718" s="36" t="str">
        <f t="shared" si="19"/>
        <v/>
      </c>
      <c r="R718" s="47" t="b">
        <v>1</v>
      </c>
      <c r="S718" s="36">
        <f t="shared" si="6"/>
        <v>45664.41522</v>
      </c>
      <c r="T718" s="42"/>
    </row>
    <row r="719" ht="22.5" customHeight="1">
      <c r="B719" s="42">
        <f t="shared" si="7"/>
        <v>713</v>
      </c>
      <c r="C719" s="31" t="s">
        <v>854</v>
      </c>
      <c r="D719" s="34" t="str">
        <f t="array" ref="D719">IFNA(_xlfn.XLOOKUP(C719,Table_Tarikan_Warkah[Nomor Sertipikat],Table_Tarikan_Warkah[Nomor Tiket]),"")</f>
        <v>K/11/241224/2</v>
      </c>
      <c r="E719" s="36" t="str">
        <f t="array" ref="E719">IFNA(_xlfn.XLOOKUP(D719,Table_Tarikan_Warkah[Nomor Tiket],Table_Tarikan_Warkah[Tanggal diserahkan kepada Validator]),"")</f>
        <v/>
      </c>
      <c r="F719" s="36" t="str">
        <f t="array" ref="F719">IFNA(_xlfn.XLOOKUP(D719,Table_Tarikan_Warkah[Nomor Tiket],Table_Tarikan_Warkah[Nama Petugas Warkah]),"")</f>
        <v/>
      </c>
      <c r="G719" s="39" t="str">
        <f t="array" ref="G719">IFNA(_xlfn.XLOOKUP(D719,Table_Tarikan_Warkah[Nomor Tiket],Table_Tarikan_Warkah[Jenis Permohonan]),"")</f>
        <v>KEWARISAN</v>
      </c>
      <c r="H719" s="41" t="s">
        <v>20</v>
      </c>
      <c r="I719" s="41" t="s">
        <v>12</v>
      </c>
      <c r="J719" s="36">
        <f t="shared" si="17"/>
        <v>45660.63211</v>
      </c>
      <c r="K719" s="51"/>
      <c r="L719" s="51"/>
      <c r="M719" s="36" t="str">
        <f t="shared" si="18"/>
        <v/>
      </c>
      <c r="N719" s="30" t="str">
        <f t="shared" si="3"/>
        <v>BT atau SU Belum Valid</v>
      </c>
      <c r="O719" s="39" t="str">
        <f t="shared" si="12"/>
        <v/>
      </c>
      <c r="P719" s="47" t="b">
        <v>0</v>
      </c>
      <c r="Q719" s="36" t="str">
        <f t="shared" si="19"/>
        <v/>
      </c>
      <c r="R719" s="47" t="b">
        <v>0</v>
      </c>
      <c r="S719" s="42" t="str">
        <f t="shared" si="6"/>
        <v/>
      </c>
      <c r="T719" s="42"/>
    </row>
    <row r="720" ht="22.5" customHeight="1">
      <c r="B720" s="42">
        <f t="shared" si="7"/>
        <v>714</v>
      </c>
      <c r="C720" s="63"/>
      <c r="H720" s="63"/>
      <c r="I720" s="63"/>
      <c r="K720" s="62" t="s">
        <v>197</v>
      </c>
      <c r="L720" s="63"/>
      <c r="P720" s="64"/>
      <c r="R720" s="64"/>
    </row>
    <row r="721" ht="22.5" customHeight="1">
      <c r="B721" s="42">
        <f t="shared" si="7"/>
        <v>715</v>
      </c>
      <c r="C721" s="31" t="s">
        <v>855</v>
      </c>
      <c r="D721" s="34" t="str">
        <f t="array" ref="D721">IFNA(_xlfn.XLOOKUP(C721,Table_Tarikan_Warkah[Nomor Sertipikat],Table_Tarikan_Warkah[Nomor Tiket]),"")</f>
        <v>K/38/301224/3</v>
      </c>
      <c r="E721" s="36">
        <f t="array" ref="E721">IFNA(_xlfn.XLOOKUP(D721,Table_Tarikan_Warkah[Nomor Tiket],Table_Tarikan_Warkah[Tanggal diserahkan kepada Validator]),"")</f>
        <v>0</v>
      </c>
      <c r="F721" s="36" t="str">
        <f t="array" ref="F721">IFNA(_xlfn.XLOOKUP(D721,Table_Tarikan_Warkah[Nomor Tiket],Table_Tarikan_Warkah[Nama Petugas Warkah]),"")</f>
        <v>Berry</v>
      </c>
      <c r="G721" s="39" t="str">
        <f t="array" ref="G721">IFNA(_xlfn.XLOOKUP(D721,Table_Tarikan_Warkah[Nomor Tiket],Table_Tarikan_Warkah[Jenis Permohonan]),"")</f>
        <v>Roya</v>
      </c>
      <c r="H721" s="41" t="s">
        <v>11</v>
      </c>
      <c r="I721" s="41" t="s">
        <v>12</v>
      </c>
      <c r="J721" s="36">
        <f t="shared" ref="J721:J5241" si="20">IF(OR(I721="Selesai",I721="SELESAI (VIA PERMOHONAN)"),IF(J721&lt;&gt;"",J721,NOW()),"")</f>
        <v>45660.64874</v>
      </c>
      <c r="K721" s="41" t="s">
        <v>197</v>
      </c>
      <c r="L721" s="41" t="s">
        <v>12</v>
      </c>
      <c r="M721" s="36">
        <f t="shared" ref="M721:M924" si="21">IF(OR(L721="Selesai",L721="SELESAI (VIA PERMOHONAN)"),IF(M721&lt;&gt;"",M721,NOW()),"")</f>
        <v>45664.44832</v>
      </c>
      <c r="N721" s="30" t="str">
        <f t="shared" ref="N721:N924" si="22">if(D721="","", IF(AND(I721="Selesai",L721="Selesai"),"SELESAI",if(and(I721="Selesai (Via Permohonan)",L721="Selesai (Via Permohonan)"),"Selesai",if(and(I721="Selesai (Via Permohonan)",L721="Selesai"),"Selesai",if(and(I721="Selesai",L721="Selesai (Via Permohonan)"),"Selesai","BT atau SU Belum Valid")))))</f>
        <v>SELESAI</v>
      </c>
      <c r="O721" s="45">
        <f t="shared" ref="O721:O5241" si="23">IF(N721="Selesai",IF(M721&lt;&gt;"",M721,NOW()),"")</f>
        <v>45664.44832</v>
      </c>
      <c r="P721" s="47" t="b">
        <v>0</v>
      </c>
      <c r="Q721" s="36" t="str">
        <f t="shared" ref="Q721:Q3114" si="24">IF(P721=TRUE,IF(Q721&lt;&gt;"",Q721,NOW()),"")</f>
        <v/>
      </c>
      <c r="R721" s="47" t="b">
        <v>1</v>
      </c>
      <c r="S721" s="36">
        <f t="shared" ref="S721:S1139" si="25">IF(R721=TRUE,IF(S721&lt;&gt;"",S721,NOW()),"")</f>
        <v>45664.44834</v>
      </c>
      <c r="T721" s="42"/>
    </row>
    <row r="722" ht="22.5" customHeight="1">
      <c r="B722" s="42">
        <f t="shared" si="7"/>
        <v>716</v>
      </c>
      <c r="C722" s="31" t="s">
        <v>856</v>
      </c>
      <c r="D722" s="34" t="str">
        <f t="array" ref="D722">IFNA(_xlfn.XLOOKUP(C722,Table_Tarikan_Warkah[Nomor Sertipikat],Table_Tarikan_Warkah[Nomor Tiket]),"")</f>
        <v>K/55/301224/3</v>
      </c>
      <c r="E722" s="36">
        <f t="array" ref="E722">IFNA(_xlfn.XLOOKUP(D722,Table_Tarikan_Warkah[Nomor Tiket],Table_Tarikan_Warkah[Tanggal diserahkan kepada Validator]),"")</f>
        <v>0</v>
      </c>
      <c r="F722" s="36" t="str">
        <f t="array" ref="F722">IFNA(_xlfn.XLOOKUP(D722,Table_Tarikan_Warkah[Nomor Tiket],Table_Tarikan_Warkah[Nama Petugas Warkah]),"")</f>
        <v>Berry</v>
      </c>
      <c r="G722" s="39" t="str">
        <f t="array" ref="G722">IFNA(_xlfn.XLOOKUP(D722,Table_Tarikan_Warkah[Nomor Tiket],Table_Tarikan_Warkah[Jenis Permohonan]),"")</f>
        <v>BN Jual Beli</v>
      </c>
      <c r="H722" s="41" t="s">
        <v>11</v>
      </c>
      <c r="I722" s="41" t="s">
        <v>12</v>
      </c>
      <c r="J722" s="36">
        <f t="shared" si="20"/>
        <v>45660.64874</v>
      </c>
      <c r="K722" s="41" t="s">
        <v>197</v>
      </c>
      <c r="L722" s="41" t="s">
        <v>12</v>
      </c>
      <c r="M722" s="36">
        <f t="shared" si="21"/>
        <v>45664.44787</v>
      </c>
      <c r="N722" s="30" t="str">
        <f t="shared" si="22"/>
        <v>SELESAI</v>
      </c>
      <c r="O722" s="45">
        <f t="shared" si="23"/>
        <v>45664.44787</v>
      </c>
      <c r="P722" s="47" t="b">
        <v>0</v>
      </c>
      <c r="Q722" s="36" t="str">
        <f t="shared" si="24"/>
        <v/>
      </c>
      <c r="R722" s="47" t="b">
        <v>1</v>
      </c>
      <c r="S722" s="36">
        <f t="shared" si="25"/>
        <v>45664.44791</v>
      </c>
      <c r="T722" s="42"/>
    </row>
    <row r="723" ht="22.5" customHeight="1">
      <c r="B723" s="42">
        <f t="shared" si="7"/>
        <v>717</v>
      </c>
      <c r="C723" s="31" t="s">
        <v>857</v>
      </c>
      <c r="D723" s="34" t="str">
        <f t="array" ref="D723">IFNA(_xlfn.XLOOKUP(C723,Table_Tarikan_Warkah[Nomor Sertipikat],Table_Tarikan_Warkah[Nomor Tiket]),"")</f>
        <v>K/56/301224/4</v>
      </c>
      <c r="E723" s="36">
        <f t="array" ref="E723">IFNA(_xlfn.XLOOKUP(D723,Table_Tarikan_Warkah[Nomor Tiket],Table_Tarikan_Warkah[Tanggal diserahkan kepada Validator]),"")</f>
        <v>0</v>
      </c>
      <c r="F723" s="36" t="str">
        <f t="array" ref="F723">IFNA(_xlfn.XLOOKUP(D723,Table_Tarikan_Warkah[Nomor Tiket],Table_Tarikan_Warkah[Nama Petugas Warkah]),"")</f>
        <v>Berry</v>
      </c>
      <c r="G723" s="39" t="str">
        <f t="array" ref="G723">IFNA(_xlfn.XLOOKUP(D723,Table_Tarikan_Warkah[Nomor Tiket],Table_Tarikan_Warkah[Jenis Permohonan]),"")</f>
        <v>BN Jual Beli</v>
      </c>
      <c r="H723" s="41" t="s">
        <v>11</v>
      </c>
      <c r="I723" s="41" t="s">
        <v>12</v>
      </c>
      <c r="J723" s="36">
        <f t="shared" si="20"/>
        <v>45660.64874</v>
      </c>
      <c r="K723" s="49" t="s">
        <v>197</v>
      </c>
      <c r="L723" s="49" t="s">
        <v>12</v>
      </c>
      <c r="M723" s="36">
        <f t="shared" si="21"/>
        <v>45664.41425</v>
      </c>
      <c r="N723" s="30" t="str">
        <f t="shared" si="22"/>
        <v>SELESAI</v>
      </c>
      <c r="O723" s="45">
        <f t="shared" si="23"/>
        <v>45664.41425</v>
      </c>
      <c r="P723" s="47" t="b">
        <v>0</v>
      </c>
      <c r="Q723" s="36" t="str">
        <f t="shared" si="24"/>
        <v/>
      </c>
      <c r="R723" s="47" t="b">
        <v>1</v>
      </c>
      <c r="S723" s="36">
        <f t="shared" si="25"/>
        <v>45664.41428</v>
      </c>
      <c r="T723" s="42"/>
    </row>
    <row r="724" ht="22.5" customHeight="1">
      <c r="B724" s="42">
        <f t="shared" si="7"/>
        <v>718</v>
      </c>
      <c r="C724" s="31" t="s">
        <v>858</v>
      </c>
      <c r="D724" s="34" t="str">
        <f t="array" ref="D724">IFNA(_xlfn.XLOOKUP(C724,Table_Tarikan_Warkah[Nomor Sertipikat],Table_Tarikan_Warkah[Nomor Tiket]),"")</f>
        <v>K/49/301224/2</v>
      </c>
      <c r="E724" s="36">
        <f t="array" ref="E724">IFNA(_xlfn.XLOOKUP(D724,Table_Tarikan_Warkah[Nomor Tiket],Table_Tarikan_Warkah[Tanggal diserahkan kepada Validator]),"")</f>
        <v>0</v>
      </c>
      <c r="F724" s="36" t="str">
        <f t="array" ref="F724">IFNA(_xlfn.XLOOKUP(D724,Table_Tarikan_Warkah[Nomor Tiket],Table_Tarikan_Warkah[Nama Petugas Warkah]),"")</f>
        <v>Berry</v>
      </c>
      <c r="G724" s="39" t="str">
        <f t="array" ref="G724">IFNA(_xlfn.XLOOKUP(D724,Table_Tarikan_Warkah[Nomor Tiket],Table_Tarikan_Warkah[Jenis Permohonan]),"")</f>
        <v>BN JUAL BELI</v>
      </c>
      <c r="H724" s="41" t="s">
        <v>11</v>
      </c>
      <c r="I724" s="41" t="s">
        <v>12</v>
      </c>
      <c r="J724" s="36">
        <f t="shared" si="20"/>
        <v>45660.64874</v>
      </c>
      <c r="K724" s="49" t="s">
        <v>197</v>
      </c>
      <c r="L724" s="49" t="s">
        <v>12</v>
      </c>
      <c r="M724" s="36">
        <f t="shared" si="21"/>
        <v>45664.4096</v>
      </c>
      <c r="N724" s="30" t="str">
        <f t="shared" si="22"/>
        <v>SELESAI</v>
      </c>
      <c r="O724" s="45">
        <f t="shared" si="23"/>
        <v>45664.4096</v>
      </c>
      <c r="P724" s="47" t="b">
        <v>0</v>
      </c>
      <c r="Q724" s="36" t="str">
        <f t="shared" si="24"/>
        <v/>
      </c>
      <c r="R724" s="47" t="b">
        <v>1</v>
      </c>
      <c r="S724" s="36">
        <f t="shared" si="25"/>
        <v>45664.40965</v>
      </c>
      <c r="T724" s="42"/>
    </row>
    <row r="725" ht="22.5" customHeight="1">
      <c r="B725" s="42">
        <f t="shared" si="7"/>
        <v>719</v>
      </c>
      <c r="C725" s="31" t="s">
        <v>859</v>
      </c>
      <c r="D725" s="34" t="str">
        <f t="array" ref="D725">IFNA(_xlfn.XLOOKUP(C725,Table_Tarikan_Warkah[Nomor Sertipikat],Table_Tarikan_Warkah[Nomor Tiket]),"")</f>
        <v>K/53/301224/1</v>
      </c>
      <c r="E725" s="36">
        <f t="array" ref="E725">IFNA(_xlfn.XLOOKUP(D725,Table_Tarikan_Warkah[Nomor Tiket],Table_Tarikan_Warkah[Tanggal diserahkan kepada Validator]),"")</f>
        <v>0</v>
      </c>
      <c r="F725" s="36" t="str">
        <f t="array" ref="F725">IFNA(_xlfn.XLOOKUP(D725,Table_Tarikan_Warkah[Nomor Tiket],Table_Tarikan_Warkah[Nama Petugas Warkah]),"")</f>
        <v>Berry</v>
      </c>
      <c r="G725" s="39" t="str">
        <f t="array" ref="G725">IFNA(_xlfn.XLOOKUP(D725,Table_Tarikan_Warkah[Nomor Tiket],Table_Tarikan_Warkah[Jenis Permohonan]),"")</f>
        <v>BN Jual Beli</v>
      </c>
      <c r="H725" s="41" t="s">
        <v>11</v>
      </c>
      <c r="I725" s="41" t="s">
        <v>12</v>
      </c>
      <c r="J725" s="36">
        <f t="shared" si="20"/>
        <v>45660.64874</v>
      </c>
      <c r="K725" s="41" t="s">
        <v>197</v>
      </c>
      <c r="L725" s="41" t="s">
        <v>12</v>
      </c>
      <c r="M725" s="36">
        <f t="shared" si="21"/>
        <v>45664.45037</v>
      </c>
      <c r="N725" s="30" t="str">
        <f t="shared" si="22"/>
        <v>SELESAI</v>
      </c>
      <c r="O725" s="45">
        <f t="shared" si="23"/>
        <v>45664.45037</v>
      </c>
      <c r="P725" s="47" t="b">
        <v>0</v>
      </c>
      <c r="Q725" s="36" t="str">
        <f t="shared" si="24"/>
        <v/>
      </c>
      <c r="R725" s="47" t="b">
        <v>1</v>
      </c>
      <c r="S725" s="36">
        <f t="shared" si="25"/>
        <v>45664.4504</v>
      </c>
      <c r="T725" s="42"/>
    </row>
    <row r="726" ht="22.5" customHeight="1">
      <c r="B726" s="42">
        <f t="shared" si="7"/>
        <v>720</v>
      </c>
      <c r="C726" s="31" t="s">
        <v>860</v>
      </c>
      <c r="D726" s="34" t="str">
        <f t="array" ref="D726">IFNA(_xlfn.XLOOKUP(C726,Table_Tarikan_Warkah[Nomor Sertipikat],Table_Tarikan_Warkah[Nomor Tiket]),"")</f>
        <v>K/50/301224/1</v>
      </c>
      <c r="E726" s="36">
        <f t="array" ref="E726">IFNA(_xlfn.XLOOKUP(D726,Table_Tarikan_Warkah[Nomor Tiket],Table_Tarikan_Warkah[Tanggal diserahkan kepada Validator]),"")</f>
        <v>0</v>
      </c>
      <c r="F726" s="36" t="str">
        <f t="array" ref="F726">IFNA(_xlfn.XLOOKUP(D726,Table_Tarikan_Warkah[Nomor Tiket],Table_Tarikan_Warkah[Nama Petugas Warkah]),"")</f>
        <v>Berry</v>
      </c>
      <c r="G726" s="39" t="str">
        <f t="array" ref="G726">IFNA(_xlfn.XLOOKUP(D726,Table_Tarikan_Warkah[Nomor Tiket],Table_Tarikan_Warkah[Jenis Permohonan]),"")</f>
        <v>PEMECAHAN</v>
      </c>
      <c r="H726" s="41" t="s">
        <v>11</v>
      </c>
      <c r="I726" s="41" t="s">
        <v>12</v>
      </c>
      <c r="J726" s="36">
        <f t="shared" si="20"/>
        <v>45660.64874</v>
      </c>
      <c r="K726" s="41" t="s">
        <v>197</v>
      </c>
      <c r="L726" s="41" t="s">
        <v>12</v>
      </c>
      <c r="M726" s="36">
        <f t="shared" si="21"/>
        <v>45670.39968</v>
      </c>
      <c r="N726" s="30" t="str">
        <f t="shared" si="22"/>
        <v>SELESAI</v>
      </c>
      <c r="O726" s="45">
        <f t="shared" si="23"/>
        <v>45670.39968</v>
      </c>
      <c r="P726" s="47" t="b">
        <v>1</v>
      </c>
      <c r="Q726" s="36">
        <f t="shared" si="24"/>
        <v>45670.39969</v>
      </c>
      <c r="R726" s="47" t="b">
        <v>0</v>
      </c>
      <c r="S726" s="42" t="str">
        <f t="shared" si="25"/>
        <v/>
      </c>
      <c r="T726" s="42"/>
    </row>
    <row r="727" ht="22.5" customHeight="1">
      <c r="B727" s="42">
        <f t="shared" si="7"/>
        <v>721</v>
      </c>
      <c r="C727" s="31" t="s">
        <v>861</v>
      </c>
      <c r="D727" s="34" t="str">
        <f t="array" ref="D727">IFNA(_xlfn.XLOOKUP(C727,Table_Tarikan_Warkah[Nomor Sertipikat],Table_Tarikan_Warkah[Nomor Tiket]),"")</f>
        <v>K/48/301224/1</v>
      </c>
      <c r="E727" s="36">
        <f t="array" ref="E727">IFNA(_xlfn.XLOOKUP(D727,Table_Tarikan_Warkah[Nomor Tiket],Table_Tarikan_Warkah[Tanggal diserahkan kepada Validator]),"")</f>
        <v>0</v>
      </c>
      <c r="F727" s="36" t="str">
        <f t="array" ref="F727">IFNA(_xlfn.XLOOKUP(D727,Table_Tarikan_Warkah[Nomor Tiket],Table_Tarikan_Warkah[Nama Petugas Warkah]),"")</f>
        <v>Berry</v>
      </c>
      <c r="G727" s="39" t="str">
        <f t="array" ref="G727">IFNA(_xlfn.XLOOKUP(D727,Table_Tarikan_Warkah[Nomor Tiket],Table_Tarikan_Warkah[Jenis Permohonan]),"")</f>
        <v>BN JUAL BELI</v>
      </c>
      <c r="H727" s="41" t="s">
        <v>11</v>
      </c>
      <c r="I727" s="41" t="s">
        <v>12</v>
      </c>
      <c r="J727" s="36">
        <f t="shared" si="20"/>
        <v>45660.64874</v>
      </c>
      <c r="K727" s="41" t="s">
        <v>197</v>
      </c>
      <c r="L727" s="41" t="s">
        <v>12</v>
      </c>
      <c r="M727" s="36">
        <f t="shared" si="21"/>
        <v>45664.41621</v>
      </c>
      <c r="N727" s="30" t="str">
        <f t="shared" si="22"/>
        <v>SELESAI</v>
      </c>
      <c r="O727" s="45">
        <f t="shared" si="23"/>
        <v>45664.41621</v>
      </c>
      <c r="P727" s="47" t="b">
        <v>0</v>
      </c>
      <c r="Q727" s="36" t="str">
        <f t="shared" si="24"/>
        <v/>
      </c>
      <c r="R727" s="47" t="b">
        <v>1</v>
      </c>
      <c r="S727" s="36">
        <f t="shared" si="25"/>
        <v>45664.41626</v>
      </c>
      <c r="T727" s="42"/>
    </row>
    <row r="728" ht="22.5" customHeight="1">
      <c r="B728" s="42">
        <f t="shared" si="7"/>
        <v>722</v>
      </c>
      <c r="C728" s="31" t="s">
        <v>862</v>
      </c>
      <c r="D728" s="34" t="str">
        <f t="array" ref="D728">IFNA(_xlfn.XLOOKUP(C728,Table_Tarikan_Warkah[Nomor Sertipikat],Table_Tarikan_Warkah[Nomor Tiket]),"")</f>
        <v>L/46/301224/1</v>
      </c>
      <c r="E728" s="36">
        <f t="array" ref="E728">IFNA(_xlfn.XLOOKUP(D728,Table_Tarikan_Warkah[Nomor Tiket],Table_Tarikan_Warkah[Tanggal diserahkan kepada Validator]),"")</f>
        <v>0</v>
      </c>
      <c r="F728" s="36" t="str">
        <f t="array" ref="F728">IFNA(_xlfn.XLOOKUP(D728,Table_Tarikan_Warkah[Nomor Tiket],Table_Tarikan_Warkah[Nama Petugas Warkah]),"")</f>
        <v>Berry</v>
      </c>
      <c r="G728" s="39" t="str">
        <f t="array" ref="G728">IFNA(_xlfn.XLOOKUP(D728,Table_Tarikan_Warkah[Nomor Tiket],Table_Tarikan_Warkah[Jenis Permohonan]),"")</f>
        <v>ROYA</v>
      </c>
      <c r="H728" s="41" t="s">
        <v>11</v>
      </c>
      <c r="I728" s="41" t="s">
        <v>12</v>
      </c>
      <c r="J728" s="36">
        <f t="shared" si="20"/>
        <v>45660.64874</v>
      </c>
      <c r="K728" s="41" t="s">
        <v>197</v>
      </c>
      <c r="L728" s="41" t="s">
        <v>12</v>
      </c>
      <c r="M728" s="36">
        <f t="shared" si="21"/>
        <v>45664.41681</v>
      </c>
      <c r="N728" s="30" t="str">
        <f t="shared" si="22"/>
        <v>SELESAI</v>
      </c>
      <c r="O728" s="45">
        <f t="shared" si="23"/>
        <v>45664.41681</v>
      </c>
      <c r="P728" s="47" t="b">
        <v>0</v>
      </c>
      <c r="Q728" s="36" t="str">
        <f t="shared" si="24"/>
        <v/>
      </c>
      <c r="R728" s="47" t="b">
        <v>1</v>
      </c>
      <c r="S728" s="36">
        <f t="shared" si="25"/>
        <v>45664.41685</v>
      </c>
      <c r="T728" s="42"/>
    </row>
    <row r="729" ht="22.5" customHeight="1">
      <c r="B729" s="42">
        <f t="shared" si="7"/>
        <v>723</v>
      </c>
      <c r="C729" s="31" t="s">
        <v>863</v>
      </c>
      <c r="D729" s="34" t="str">
        <f t="array" ref="D729">IFNA(_xlfn.XLOOKUP(C729,Table_Tarikan_Warkah[Nomor Sertipikat],Table_Tarikan_Warkah[Nomor Tiket]),"")</f>
        <v>K/44/301224/1</v>
      </c>
      <c r="E729" s="36">
        <f t="array" ref="E729">IFNA(_xlfn.XLOOKUP(D729,Table_Tarikan_Warkah[Nomor Tiket],Table_Tarikan_Warkah[Tanggal diserahkan kepada Validator]),"")</f>
        <v>0</v>
      </c>
      <c r="F729" s="36" t="str">
        <f t="array" ref="F729">IFNA(_xlfn.XLOOKUP(D729,Table_Tarikan_Warkah[Nomor Tiket],Table_Tarikan_Warkah[Nama Petugas Warkah]),"")</f>
        <v>Berry</v>
      </c>
      <c r="G729" s="39" t="str">
        <f t="array" ref="G729">IFNA(_xlfn.XLOOKUP(D729,Table_Tarikan_Warkah[Nomor Tiket],Table_Tarikan_Warkah[Jenis Permohonan]),"")</f>
        <v>BN JUAL BELI</v>
      </c>
      <c r="H729" s="41" t="s">
        <v>11</v>
      </c>
      <c r="I729" s="41" t="s">
        <v>12</v>
      </c>
      <c r="J729" s="36">
        <f t="shared" si="20"/>
        <v>45660.64874</v>
      </c>
      <c r="K729" s="41" t="s">
        <v>197</v>
      </c>
      <c r="L729" s="41" t="s">
        <v>12</v>
      </c>
      <c r="M729" s="36">
        <f t="shared" si="21"/>
        <v>45664.41715</v>
      </c>
      <c r="N729" s="30" t="str">
        <f t="shared" si="22"/>
        <v>SELESAI</v>
      </c>
      <c r="O729" s="45">
        <f t="shared" si="23"/>
        <v>45664.41715</v>
      </c>
      <c r="P729" s="47" t="b">
        <v>0</v>
      </c>
      <c r="Q729" s="36" t="str">
        <f t="shared" si="24"/>
        <v/>
      </c>
      <c r="R729" s="47" t="b">
        <v>1</v>
      </c>
      <c r="S729" s="36">
        <f t="shared" si="25"/>
        <v>45664.41719</v>
      </c>
      <c r="T729" s="42"/>
    </row>
    <row r="730" ht="22.5" customHeight="1">
      <c r="B730" s="42">
        <f t="shared" si="7"/>
        <v>724</v>
      </c>
      <c r="C730" s="31" t="s">
        <v>864</v>
      </c>
      <c r="D730" s="34" t="str">
        <f t="array" ref="D730">IFNA(_xlfn.XLOOKUP(C730,Table_Tarikan_Warkah[Nomor Sertipikat],Table_Tarikan_Warkah[Nomor Tiket]),"")</f>
        <v>K/39/301224/1</v>
      </c>
      <c r="E730" s="36">
        <f t="array" ref="E730">IFNA(_xlfn.XLOOKUP(D730,Table_Tarikan_Warkah[Nomor Tiket],Table_Tarikan_Warkah[Tanggal diserahkan kepada Validator]),"")</f>
        <v>0</v>
      </c>
      <c r="F730" s="36" t="str">
        <f t="array" ref="F730">IFNA(_xlfn.XLOOKUP(D730,Table_Tarikan_Warkah[Nomor Tiket],Table_Tarikan_Warkah[Nama Petugas Warkah]),"")</f>
        <v>Berry</v>
      </c>
      <c r="G730" s="39" t="str">
        <f t="array" ref="G730">IFNA(_xlfn.XLOOKUP(D730,Table_Tarikan_Warkah[Nomor Tiket],Table_Tarikan_Warkah[Jenis Permohonan]),"")</f>
        <v>BN JUAL BELI</v>
      </c>
      <c r="H730" s="41" t="s">
        <v>11</v>
      </c>
      <c r="I730" s="41" t="s">
        <v>12</v>
      </c>
      <c r="J730" s="36">
        <f t="shared" si="20"/>
        <v>45660.64874</v>
      </c>
      <c r="K730" s="49" t="s">
        <v>197</v>
      </c>
      <c r="L730" s="49" t="s">
        <v>12</v>
      </c>
      <c r="M730" s="36">
        <f t="shared" si="21"/>
        <v>45664.4091</v>
      </c>
      <c r="N730" s="30" t="str">
        <f t="shared" si="22"/>
        <v>SELESAI</v>
      </c>
      <c r="O730" s="45">
        <f t="shared" si="23"/>
        <v>45664.4091</v>
      </c>
      <c r="P730" s="47" t="b">
        <v>0</v>
      </c>
      <c r="Q730" s="36" t="str">
        <f t="shared" si="24"/>
        <v/>
      </c>
      <c r="R730" s="47" t="b">
        <v>1</v>
      </c>
      <c r="S730" s="36">
        <f t="shared" si="25"/>
        <v>45664.40904</v>
      </c>
      <c r="T730" s="42"/>
    </row>
    <row r="731" ht="22.5" customHeight="1">
      <c r="B731" s="42">
        <f t="shared" si="7"/>
        <v>725</v>
      </c>
      <c r="C731" s="31" t="s">
        <v>865</v>
      </c>
      <c r="D731" s="34" t="str">
        <f t="array" ref="D731">IFNA(_xlfn.XLOOKUP(C731,Table_Tarikan_Warkah[Nomor Sertipikat],Table_Tarikan_Warkah[Nomor Tiket]),"")</f>
        <v>K/37/301224/2</v>
      </c>
      <c r="E731" s="36">
        <f t="array" ref="E731">IFNA(_xlfn.XLOOKUP(D731,Table_Tarikan_Warkah[Nomor Tiket],Table_Tarikan_Warkah[Tanggal diserahkan kepada Validator]),"")</f>
        <v>0</v>
      </c>
      <c r="F731" s="36" t="str">
        <f t="array" ref="F731">IFNA(_xlfn.XLOOKUP(D731,Table_Tarikan_Warkah[Nomor Tiket],Table_Tarikan_Warkah[Nama Petugas Warkah]),"")</f>
        <v>Berry</v>
      </c>
      <c r="G731" s="39" t="str">
        <f t="array" ref="G731">IFNA(_xlfn.XLOOKUP(D731,Table_Tarikan_Warkah[Nomor Tiket],Table_Tarikan_Warkah[Jenis Permohonan]),"")</f>
        <v>BN Jual Beli</v>
      </c>
      <c r="H731" s="41" t="s">
        <v>11</v>
      </c>
      <c r="I731" s="41" t="s">
        <v>12</v>
      </c>
      <c r="J731" s="36">
        <f t="shared" si="20"/>
        <v>45660.64874</v>
      </c>
      <c r="K731" s="41" t="s">
        <v>197</v>
      </c>
      <c r="L731" s="41" t="s">
        <v>12</v>
      </c>
      <c r="M731" s="36">
        <f t="shared" si="21"/>
        <v>45664.44217</v>
      </c>
      <c r="N731" s="30" t="str">
        <f t="shared" si="22"/>
        <v>SELESAI</v>
      </c>
      <c r="O731" s="45">
        <f t="shared" si="23"/>
        <v>45664.44217</v>
      </c>
      <c r="P731" s="47" t="b">
        <v>0</v>
      </c>
      <c r="Q731" s="36" t="str">
        <f t="shared" si="24"/>
        <v/>
      </c>
      <c r="R731" s="47" t="b">
        <v>1</v>
      </c>
      <c r="S731" s="36">
        <f t="shared" si="25"/>
        <v>45664.44222</v>
      </c>
      <c r="T731" s="42"/>
    </row>
    <row r="732" ht="22.5" customHeight="1">
      <c r="B732" s="42">
        <f t="shared" si="7"/>
        <v>726</v>
      </c>
      <c r="C732" s="31" t="s">
        <v>866</v>
      </c>
      <c r="D732" s="34" t="str">
        <f t="array" ref="D732">IFNA(_xlfn.XLOOKUP(C732,Table_Tarikan_Warkah[Nomor Sertipikat],Table_Tarikan_Warkah[Nomor Tiket]),"")</f>
        <v>K/41/311224/1</v>
      </c>
      <c r="E732" s="36">
        <f t="array" ref="E732">IFNA(_xlfn.XLOOKUP(D732,Table_Tarikan_Warkah[Nomor Tiket],Table_Tarikan_Warkah[Tanggal diserahkan kepada Validator]),"")</f>
        <v>0</v>
      </c>
      <c r="F732" s="36" t="str">
        <f t="array" ref="F732">IFNA(_xlfn.XLOOKUP(D732,Table_Tarikan_Warkah[Nomor Tiket],Table_Tarikan_Warkah[Nama Petugas Warkah]),"")</f>
        <v>David</v>
      </c>
      <c r="G732" s="39" t="str">
        <f t="array" ref="G732">IFNA(_xlfn.XLOOKUP(D732,Table_Tarikan_Warkah[Nomor Tiket],Table_Tarikan_Warkah[Jenis Permohonan]),"")</f>
        <v>BN JUAL BELI</v>
      </c>
      <c r="H732" s="41" t="s">
        <v>11</v>
      </c>
      <c r="I732" s="41" t="s">
        <v>12</v>
      </c>
      <c r="J732" s="36">
        <f t="shared" si="20"/>
        <v>45660.64874</v>
      </c>
      <c r="K732" s="49" t="s">
        <v>197</v>
      </c>
      <c r="L732" s="49" t="s">
        <v>12</v>
      </c>
      <c r="M732" s="36">
        <f t="shared" si="21"/>
        <v>45664.40887</v>
      </c>
      <c r="N732" s="30" t="str">
        <f t="shared" si="22"/>
        <v>SELESAI</v>
      </c>
      <c r="O732" s="45">
        <f t="shared" si="23"/>
        <v>45664.40887</v>
      </c>
      <c r="P732" s="47" t="b">
        <v>0</v>
      </c>
      <c r="Q732" s="36" t="str">
        <f t="shared" si="24"/>
        <v/>
      </c>
      <c r="R732" s="47" t="b">
        <v>1</v>
      </c>
      <c r="S732" s="36">
        <f t="shared" si="25"/>
        <v>45664.40889</v>
      </c>
      <c r="T732" s="42"/>
    </row>
    <row r="733" ht="22.5" customHeight="1">
      <c r="B733" s="42">
        <f t="shared" si="7"/>
        <v>727</v>
      </c>
      <c r="C733" s="31" t="s">
        <v>867</v>
      </c>
      <c r="D733" s="34" t="str">
        <f t="array" ref="D733">IFNA(_xlfn.XLOOKUP(C733,Table_Tarikan_Warkah[Nomor Sertipikat],Table_Tarikan_Warkah[Nomor Tiket]),"")</f>
        <v>K/27/301224/3</v>
      </c>
      <c r="E733" s="36" t="str">
        <f t="array" ref="E733">IFNA(_xlfn.XLOOKUP(D733,Table_Tarikan_Warkah[Nomor Tiket],Table_Tarikan_Warkah[Tanggal diserahkan kepada Validator]),"")</f>
        <v/>
      </c>
      <c r="F733" s="36" t="str">
        <f t="array" ref="F733">IFNA(_xlfn.XLOOKUP(D733,Table_Tarikan_Warkah[Nomor Tiket],Table_Tarikan_Warkah[Nama Petugas Warkah]),"")</f>
        <v/>
      </c>
      <c r="G733" s="39" t="str">
        <f t="array" ref="G733">IFNA(_xlfn.XLOOKUP(D733,Table_Tarikan_Warkah[Nomor Tiket],Table_Tarikan_Warkah[Jenis Permohonan]),"")</f>
        <v>BN JUAL BELI</v>
      </c>
      <c r="H733" s="41" t="s">
        <v>11</v>
      </c>
      <c r="I733" s="41" t="s">
        <v>23</v>
      </c>
      <c r="J733" s="36">
        <f t="shared" si="20"/>
        <v>45660.6484</v>
      </c>
      <c r="K733" s="61" t="s">
        <v>26</v>
      </c>
      <c r="L733" s="61" t="s">
        <v>23</v>
      </c>
      <c r="M733" s="36">
        <f t="shared" si="21"/>
        <v>45664.36144</v>
      </c>
      <c r="N733" s="30" t="str">
        <f t="shared" si="22"/>
        <v>Selesai</v>
      </c>
      <c r="O733" s="45">
        <f t="shared" si="23"/>
        <v>45664.36144</v>
      </c>
      <c r="P733" s="47" t="b">
        <v>1</v>
      </c>
      <c r="Q733" s="36">
        <f t="shared" si="24"/>
        <v>45664.36144</v>
      </c>
      <c r="R733" s="47" t="b">
        <v>0</v>
      </c>
      <c r="S733" s="42" t="str">
        <f t="shared" si="25"/>
        <v/>
      </c>
      <c r="T733" s="42"/>
    </row>
    <row r="734" ht="22.5" customHeight="1">
      <c r="B734" s="42">
        <f t="shared" si="7"/>
        <v>728</v>
      </c>
      <c r="C734" s="31" t="s">
        <v>868</v>
      </c>
      <c r="D734" s="34" t="str">
        <f t="array" ref="D734">IFNA(_xlfn.XLOOKUP(C734,Table_Tarikan_Warkah[Nomor Sertipikat],Table_Tarikan_Warkah[Nomor Tiket]),"")</f>
        <v>K/1/201224/1</v>
      </c>
      <c r="E734" s="36">
        <f t="array" ref="E734">IFNA(_xlfn.XLOOKUP(D734,Table_Tarikan_Warkah[Nomor Tiket],Table_Tarikan_Warkah[Tanggal diserahkan kepada Validator]),"")</f>
        <v>45666.70579</v>
      </c>
      <c r="F734" s="36" t="str">
        <f t="array" ref="F734">IFNA(_xlfn.XLOOKUP(D734,Table_Tarikan_Warkah[Nomor Tiket],Table_Tarikan_Warkah[Nama Petugas Warkah]),"")</f>
        <v/>
      </c>
      <c r="G734" s="39" t="str">
        <f t="array" ref="G734">IFNA(_xlfn.XLOOKUP(D734,Table_Tarikan_Warkah[Nomor Tiket],Table_Tarikan_Warkah[Jenis Permohonan]),"")</f>
        <v>BN JUAL BELI</v>
      </c>
      <c r="H734" s="41" t="s">
        <v>11</v>
      </c>
      <c r="I734" s="41" t="s">
        <v>23</v>
      </c>
      <c r="J734" s="36">
        <f t="shared" si="20"/>
        <v>45660.64843</v>
      </c>
      <c r="K734" s="61" t="s">
        <v>26</v>
      </c>
      <c r="L734" s="49" t="s">
        <v>23</v>
      </c>
      <c r="M734" s="36">
        <f t="shared" si="21"/>
        <v>45664.36144</v>
      </c>
      <c r="N734" s="30" t="str">
        <f t="shared" si="22"/>
        <v>Selesai</v>
      </c>
      <c r="O734" s="45">
        <f t="shared" si="23"/>
        <v>45664.36144</v>
      </c>
      <c r="P734" s="47" t="b">
        <v>1</v>
      </c>
      <c r="Q734" s="36">
        <f t="shared" si="24"/>
        <v>45664.36144</v>
      </c>
      <c r="R734" s="47" t="b">
        <v>0</v>
      </c>
      <c r="S734" s="42" t="str">
        <f t="shared" si="25"/>
        <v/>
      </c>
      <c r="T734" s="42"/>
    </row>
    <row r="735" ht="22.5" customHeight="1">
      <c r="B735" s="42">
        <f t="shared" si="7"/>
        <v>729</v>
      </c>
      <c r="C735" s="31" t="s">
        <v>869</v>
      </c>
      <c r="D735" s="34" t="str">
        <f t="array" ref="D735">IFNA(_xlfn.XLOOKUP(C735,Table_Tarikan_Warkah[Nomor Sertipikat],Table_Tarikan_Warkah[Nomor Tiket]),"")</f>
        <v>K/10/171224/1</v>
      </c>
      <c r="E735" s="36">
        <f t="array" ref="E735">IFNA(_xlfn.XLOOKUP(D735,Table_Tarikan_Warkah[Nomor Tiket],Table_Tarikan_Warkah[Tanggal diserahkan kepada Validator]),"")</f>
        <v>0</v>
      </c>
      <c r="F735" s="36" t="str">
        <f t="array" ref="F735">IFNA(_xlfn.XLOOKUP(D735,Table_Tarikan_Warkah[Nomor Tiket],Table_Tarikan_Warkah[Nama Petugas Warkah]),"")</f>
        <v>David</v>
      </c>
      <c r="G735" s="39" t="str">
        <f t="array" ref="G735">IFNA(_xlfn.XLOOKUP(D735,Table_Tarikan_Warkah[Nomor Tiket],Table_Tarikan_Warkah[Jenis Permohonan]),"")</f>
        <v>BN Jual Beli</v>
      </c>
      <c r="H735" s="41" t="s">
        <v>11</v>
      </c>
      <c r="I735" s="41" t="s">
        <v>23</v>
      </c>
      <c r="J735" s="36">
        <f t="shared" si="20"/>
        <v>45660.64843</v>
      </c>
      <c r="K735" s="41" t="s">
        <v>26</v>
      </c>
      <c r="L735" s="41" t="s">
        <v>23</v>
      </c>
      <c r="M735" s="36">
        <f t="shared" si="21"/>
        <v>45664.36144</v>
      </c>
      <c r="N735" s="30" t="str">
        <f t="shared" si="22"/>
        <v>Selesai</v>
      </c>
      <c r="O735" s="45">
        <f t="shared" si="23"/>
        <v>45664.36144</v>
      </c>
      <c r="P735" s="47" t="b">
        <v>1</v>
      </c>
      <c r="Q735" s="36">
        <f t="shared" si="24"/>
        <v>45664.36144</v>
      </c>
      <c r="R735" s="47" t="b">
        <v>0</v>
      </c>
      <c r="S735" s="42" t="str">
        <f t="shared" si="25"/>
        <v/>
      </c>
      <c r="T735" s="42"/>
    </row>
    <row r="736" ht="22.5" customHeight="1">
      <c r="B736" s="42">
        <f t="shared" si="7"/>
        <v>730</v>
      </c>
      <c r="C736" s="31" t="s">
        <v>870</v>
      </c>
      <c r="D736" s="34" t="str">
        <f t="array" ref="D736">IFNA(_xlfn.XLOOKUP(C736,Table_Tarikan_Warkah[Nomor Sertipikat],Table_Tarikan_Warkah[Nomor Tiket]),"")</f>
        <v>K/1/241224/1</v>
      </c>
      <c r="E736" s="36">
        <f t="array" ref="E736">IFNA(_xlfn.XLOOKUP(D736,Table_Tarikan_Warkah[Nomor Tiket],Table_Tarikan_Warkah[Tanggal diserahkan kepada Validator]),"")</f>
        <v>45671.70328</v>
      </c>
      <c r="F736" s="36" t="str">
        <f t="array" ref="F736">IFNA(_xlfn.XLOOKUP(D736,Table_Tarikan_Warkah[Nomor Tiket],Table_Tarikan_Warkah[Nama Petugas Warkah]),"")</f>
        <v/>
      </c>
      <c r="G736" s="39" t="str">
        <f t="array" ref="G736">IFNA(_xlfn.XLOOKUP(D736,Table_Tarikan_Warkah[Nomor Tiket],Table_Tarikan_Warkah[Jenis Permohonan]),"")</f>
        <v>Perubahan Hak</v>
      </c>
      <c r="H736" s="41" t="s">
        <v>11</v>
      </c>
      <c r="I736" s="41" t="s">
        <v>23</v>
      </c>
      <c r="J736" s="36">
        <f t="shared" si="20"/>
        <v>45660.64843</v>
      </c>
      <c r="K736" s="61" t="s">
        <v>26</v>
      </c>
      <c r="L736" s="61" t="s">
        <v>23</v>
      </c>
      <c r="M736" s="36">
        <f t="shared" si="21"/>
        <v>45664.36144</v>
      </c>
      <c r="N736" s="30" t="str">
        <f t="shared" si="22"/>
        <v>Selesai</v>
      </c>
      <c r="O736" s="45">
        <f t="shared" si="23"/>
        <v>45664.36144</v>
      </c>
      <c r="P736" s="47" t="b">
        <v>1</v>
      </c>
      <c r="Q736" s="36">
        <f t="shared" si="24"/>
        <v>45664.36144</v>
      </c>
      <c r="R736" s="47" t="b">
        <v>0</v>
      </c>
      <c r="S736" s="42" t="str">
        <f t="shared" si="25"/>
        <v/>
      </c>
      <c r="T736" s="42"/>
    </row>
    <row r="737" ht="22.5" customHeight="1">
      <c r="B737" s="42">
        <f t="shared" si="7"/>
        <v>731</v>
      </c>
      <c r="C737" s="31" t="s">
        <v>871</v>
      </c>
      <c r="D737" s="34" t="str">
        <f t="array" ref="D737">IFNA(_xlfn.XLOOKUP(C737,Table_Tarikan_Warkah[Nomor Sertipikat],Table_Tarikan_Warkah[Nomor Tiket]),"")</f>
        <v>K/2/241224/1</v>
      </c>
      <c r="E737" s="36" t="str">
        <f t="array" ref="E737">IFNA(_xlfn.XLOOKUP(D737,Table_Tarikan_Warkah[Nomor Tiket],Table_Tarikan_Warkah[Tanggal diserahkan kepada Validator]),"")</f>
        <v/>
      </c>
      <c r="F737" s="36" t="str">
        <f t="array" ref="F737">IFNA(_xlfn.XLOOKUP(D737,Table_Tarikan_Warkah[Nomor Tiket],Table_Tarikan_Warkah[Nama Petugas Warkah]),"")</f>
        <v/>
      </c>
      <c r="G737" s="39" t="str">
        <f t="array" ref="G737">IFNA(_xlfn.XLOOKUP(D737,Table_Tarikan_Warkah[Nomor Tiket],Table_Tarikan_Warkah[Jenis Permohonan]),"")</f>
        <v>GANTI BLANKO SERTIPIKAT HILANG</v>
      </c>
      <c r="H737" s="41" t="s">
        <v>11</v>
      </c>
      <c r="I737" s="41" t="s">
        <v>23</v>
      </c>
      <c r="J737" s="36">
        <f t="shared" si="20"/>
        <v>45660.64843</v>
      </c>
      <c r="K737" s="61" t="s">
        <v>26</v>
      </c>
      <c r="L737" s="61" t="s">
        <v>23</v>
      </c>
      <c r="M737" s="36">
        <f t="shared" si="21"/>
        <v>45664.36144</v>
      </c>
      <c r="N737" s="30" t="str">
        <f t="shared" si="22"/>
        <v>Selesai</v>
      </c>
      <c r="O737" s="45">
        <f t="shared" si="23"/>
        <v>45664.36144</v>
      </c>
      <c r="P737" s="47" t="b">
        <v>1</v>
      </c>
      <c r="Q737" s="36">
        <f t="shared" si="24"/>
        <v>45664.36144</v>
      </c>
      <c r="R737" s="47" t="b">
        <v>0</v>
      </c>
      <c r="S737" s="42" t="str">
        <f t="shared" si="25"/>
        <v/>
      </c>
      <c r="T737" s="42"/>
    </row>
    <row r="738" ht="22.5" customHeight="1">
      <c r="B738" s="42">
        <f t="shared" si="7"/>
        <v>732</v>
      </c>
      <c r="C738" s="31" t="s">
        <v>872</v>
      </c>
      <c r="D738" s="34" t="str">
        <f t="array" ref="D738">IFNA(_xlfn.XLOOKUP(C738,Table_Tarikan_Warkah[Nomor Sertipikat],Table_Tarikan_Warkah[Nomor Tiket]),"")</f>
        <v>K/20/241224/2</v>
      </c>
      <c r="E738" s="36">
        <f t="array" ref="E738">IFNA(_xlfn.XLOOKUP(D738,Table_Tarikan_Warkah[Nomor Tiket],Table_Tarikan_Warkah[Tanggal diserahkan kepada Validator]),"")</f>
        <v>45672.41902</v>
      </c>
      <c r="F738" s="36" t="str">
        <f t="array" ref="F738">IFNA(_xlfn.XLOOKUP(D738,Table_Tarikan_Warkah[Nomor Tiket],Table_Tarikan_Warkah[Nama Petugas Warkah]),"")</f>
        <v/>
      </c>
      <c r="G738" s="39" t="str">
        <f t="array" ref="G738">IFNA(_xlfn.XLOOKUP(D738,Table_Tarikan_Warkah[Nomor Tiket],Table_Tarikan_Warkah[Jenis Permohonan]),"")</f>
        <v>BN HIBAH</v>
      </c>
      <c r="H738" s="41" t="s">
        <v>11</v>
      </c>
      <c r="I738" s="41" t="s">
        <v>23</v>
      </c>
      <c r="J738" s="36">
        <f t="shared" si="20"/>
        <v>45660.64843</v>
      </c>
      <c r="K738" s="61" t="s">
        <v>26</v>
      </c>
      <c r="L738" s="61" t="s">
        <v>23</v>
      </c>
      <c r="M738" s="36">
        <f t="shared" si="21"/>
        <v>45664.36144</v>
      </c>
      <c r="N738" s="30" t="str">
        <f t="shared" si="22"/>
        <v>Selesai</v>
      </c>
      <c r="O738" s="45">
        <f t="shared" si="23"/>
        <v>45664.36144</v>
      </c>
      <c r="P738" s="47" t="b">
        <v>1</v>
      </c>
      <c r="Q738" s="36">
        <f t="shared" si="24"/>
        <v>45664.36144</v>
      </c>
      <c r="R738" s="47" t="b">
        <v>0</v>
      </c>
      <c r="S738" s="42" t="str">
        <f t="shared" si="25"/>
        <v/>
      </c>
      <c r="T738" s="42"/>
    </row>
    <row r="739" ht="22.5" customHeight="1">
      <c r="B739" s="42">
        <f t="shared" si="7"/>
        <v>733</v>
      </c>
      <c r="C739" s="31" t="s">
        <v>873</v>
      </c>
      <c r="D739" s="34" t="str">
        <f t="array" ref="D739">IFNA(_xlfn.XLOOKUP(C739,Table_Tarikan_Warkah[Nomor Sertipikat],Table_Tarikan_Warkah[Nomor Tiket]),"")</f>
        <v>K/47/191224/2</v>
      </c>
      <c r="E739" s="36" t="str">
        <f t="array" ref="E739">IFNA(_xlfn.XLOOKUP(D739,Table_Tarikan_Warkah[Nomor Tiket],Table_Tarikan_Warkah[Tanggal diserahkan kepada Validator]),"")</f>
        <v/>
      </c>
      <c r="F739" s="36" t="str">
        <f t="array" ref="F739">IFNA(_xlfn.XLOOKUP(D739,Table_Tarikan_Warkah[Nomor Tiket],Table_Tarikan_Warkah[Nama Petugas Warkah]),"")</f>
        <v/>
      </c>
      <c r="G739" s="39" t="str">
        <f t="array" ref="G739">IFNA(_xlfn.XLOOKUP(D739,Table_Tarikan_Warkah[Nomor Tiket],Table_Tarikan_Warkah[Jenis Permohonan]),"")</f>
        <v>PEMECAHAN</v>
      </c>
      <c r="H739" s="41" t="s">
        <v>11</v>
      </c>
      <c r="I739" s="41" t="s">
        <v>23</v>
      </c>
      <c r="J739" s="36">
        <f t="shared" si="20"/>
        <v>45660.64843</v>
      </c>
      <c r="K739" s="61" t="s">
        <v>26</v>
      </c>
      <c r="L739" s="49" t="s">
        <v>23</v>
      </c>
      <c r="M739" s="36">
        <f t="shared" si="21"/>
        <v>45664.36144</v>
      </c>
      <c r="N739" s="30" t="str">
        <f t="shared" si="22"/>
        <v>Selesai</v>
      </c>
      <c r="O739" s="45">
        <f t="shared" si="23"/>
        <v>45664.36144</v>
      </c>
      <c r="P739" s="47" t="b">
        <v>1</v>
      </c>
      <c r="Q739" s="36">
        <f t="shared" si="24"/>
        <v>45664.36144</v>
      </c>
      <c r="R739" s="47" t="b">
        <v>0</v>
      </c>
      <c r="S739" s="42" t="str">
        <f t="shared" si="25"/>
        <v/>
      </c>
      <c r="T739" s="42"/>
    </row>
    <row r="740" ht="22.5" customHeight="1">
      <c r="B740" s="42">
        <f t="shared" si="7"/>
        <v>734</v>
      </c>
      <c r="C740" s="31" t="s">
        <v>874</v>
      </c>
      <c r="D740" s="34" t="str">
        <f t="array" ref="D740">IFNA(_xlfn.XLOOKUP(C740,Table_Tarikan_Warkah[Nomor Sertipikat],Table_Tarikan_Warkah[Nomor Tiket]),"")</f>
        <v>K/25/301224/1</v>
      </c>
      <c r="E740" s="36">
        <f t="array" ref="E740">IFNA(_xlfn.XLOOKUP(D740,Table_Tarikan_Warkah[Nomor Tiket],Table_Tarikan_Warkah[Tanggal diserahkan kepada Validator]),"")</f>
        <v>45666.70579</v>
      </c>
      <c r="F740" s="36" t="str">
        <f t="array" ref="F740">IFNA(_xlfn.XLOOKUP(D740,Table_Tarikan_Warkah[Nomor Tiket],Table_Tarikan_Warkah[Nama Petugas Warkah]),"")</f>
        <v/>
      </c>
      <c r="G740" s="39" t="str">
        <f t="array" ref="G740">IFNA(_xlfn.XLOOKUP(D740,Table_Tarikan_Warkah[Nomor Tiket],Table_Tarikan_Warkah[Jenis Permohonan]),"")</f>
        <v>BN JUAL BELI</v>
      </c>
      <c r="H740" s="41" t="s">
        <v>20</v>
      </c>
      <c r="I740" s="41" t="s">
        <v>23</v>
      </c>
      <c r="J740" s="36">
        <f t="shared" si="20"/>
        <v>45660.66815</v>
      </c>
      <c r="K740" s="41" t="s">
        <v>26</v>
      </c>
      <c r="L740" s="41" t="s">
        <v>23</v>
      </c>
      <c r="M740" s="36">
        <f t="shared" si="21"/>
        <v>45664.36144</v>
      </c>
      <c r="N740" s="30" t="str">
        <f t="shared" si="22"/>
        <v>Selesai</v>
      </c>
      <c r="O740" s="45">
        <f t="shared" si="23"/>
        <v>45664.36144</v>
      </c>
      <c r="P740" s="47" t="b">
        <v>1</v>
      </c>
      <c r="Q740" s="36">
        <f t="shared" si="24"/>
        <v>45664.36144</v>
      </c>
      <c r="R740" s="47" t="b">
        <v>0</v>
      </c>
      <c r="S740" s="42" t="str">
        <f t="shared" si="25"/>
        <v/>
      </c>
      <c r="T740" s="42"/>
    </row>
    <row r="741" ht="22.5" customHeight="1">
      <c r="B741" s="42">
        <f t="shared" si="7"/>
        <v>735</v>
      </c>
      <c r="C741" s="31" t="s">
        <v>875</v>
      </c>
      <c r="D741" s="34" t="str">
        <f t="array" ref="D741">IFNA(_xlfn.XLOOKUP(C741,Table_Tarikan_Warkah[Nomor Sertipikat],Table_Tarikan_Warkah[Nomor Tiket]),"")</f>
        <v>K/34/020125/4</v>
      </c>
      <c r="E741" s="36">
        <f t="array" ref="E741">IFNA(_xlfn.XLOOKUP(D741,Table_Tarikan_Warkah[Nomor Tiket],Table_Tarikan_Warkah[Tanggal diserahkan kepada Validator]),"")</f>
        <v>0</v>
      </c>
      <c r="F741" s="36" t="str">
        <f t="array" ref="F741">IFNA(_xlfn.XLOOKUP(D741,Table_Tarikan_Warkah[Nomor Tiket],Table_Tarikan_Warkah[Nama Petugas Warkah]),"")</f>
        <v>Berry</v>
      </c>
      <c r="G741" s="39" t="str">
        <f t="array" ref="G741">IFNA(_xlfn.XLOOKUP(D741,Table_Tarikan_Warkah[Nomor Tiket],Table_Tarikan_Warkah[Jenis Permohonan]),"")</f>
        <v>BN JUAL BELI</v>
      </c>
      <c r="H741" s="41" t="s">
        <v>20</v>
      </c>
      <c r="I741" s="41" t="s">
        <v>12</v>
      </c>
      <c r="J741" s="36">
        <f t="shared" si="20"/>
        <v>45663.44317</v>
      </c>
      <c r="K741" s="41" t="s">
        <v>197</v>
      </c>
      <c r="L741" s="41" t="s">
        <v>12</v>
      </c>
      <c r="M741" s="36">
        <f t="shared" si="21"/>
        <v>45664.45059</v>
      </c>
      <c r="N741" s="30" t="str">
        <f t="shared" si="22"/>
        <v>SELESAI</v>
      </c>
      <c r="O741" s="45">
        <f t="shared" si="23"/>
        <v>45664.45059</v>
      </c>
      <c r="P741" s="47" t="b">
        <v>0</v>
      </c>
      <c r="Q741" s="36" t="str">
        <f t="shared" si="24"/>
        <v/>
      </c>
      <c r="R741" s="47" t="b">
        <v>1</v>
      </c>
      <c r="S741" s="36">
        <f t="shared" si="25"/>
        <v>45664.45062</v>
      </c>
      <c r="T741" s="42"/>
    </row>
    <row r="742" ht="22.5" customHeight="1">
      <c r="B742" s="42">
        <f t="shared" si="7"/>
        <v>736</v>
      </c>
      <c r="C742" s="31" t="s">
        <v>876</v>
      </c>
      <c r="D742" s="34" t="str">
        <f t="array" ref="D742">IFNA(_xlfn.XLOOKUP(C742,Table_Tarikan_Warkah[Nomor Sertipikat],Table_Tarikan_Warkah[Nomor Tiket]),"")</f>
        <v>K/1/020125/1</v>
      </c>
      <c r="E742" s="36">
        <f t="array" ref="E742">IFNA(_xlfn.XLOOKUP(D742,Table_Tarikan_Warkah[Nomor Tiket],Table_Tarikan_Warkah[Tanggal diserahkan kepada Validator]),"")</f>
        <v>0</v>
      </c>
      <c r="F742" s="36" t="str">
        <f t="array" ref="F742">IFNA(_xlfn.XLOOKUP(D742,Table_Tarikan_Warkah[Nomor Tiket],Table_Tarikan_Warkah[Nama Petugas Warkah]),"")</f>
        <v>Berry</v>
      </c>
      <c r="G742" s="39" t="str">
        <f t="array" ref="G742">IFNA(_xlfn.XLOOKUP(D742,Table_Tarikan_Warkah[Nomor Tiket],Table_Tarikan_Warkah[Jenis Permohonan]),"")</f>
        <v>BN HIBAH</v>
      </c>
      <c r="H742" s="41" t="s">
        <v>20</v>
      </c>
      <c r="I742" s="41" t="s">
        <v>12</v>
      </c>
      <c r="J742" s="36">
        <f t="shared" si="20"/>
        <v>45663.4433</v>
      </c>
      <c r="K742" s="41" t="s">
        <v>197</v>
      </c>
      <c r="L742" s="41" t="s">
        <v>12</v>
      </c>
      <c r="M742" s="36">
        <f t="shared" si="21"/>
        <v>45664.45109</v>
      </c>
      <c r="N742" s="30" t="str">
        <f t="shared" si="22"/>
        <v>SELESAI</v>
      </c>
      <c r="O742" s="45">
        <f t="shared" si="23"/>
        <v>45664.45109</v>
      </c>
      <c r="P742" s="47" t="b">
        <v>0</v>
      </c>
      <c r="Q742" s="36" t="str">
        <f t="shared" si="24"/>
        <v/>
      </c>
      <c r="R742" s="47" t="b">
        <v>1</v>
      </c>
      <c r="S742" s="36">
        <f t="shared" si="25"/>
        <v>45664.45113</v>
      </c>
      <c r="T742" s="42"/>
    </row>
    <row r="743" ht="22.5" customHeight="1">
      <c r="B743" s="42">
        <f t="shared" si="7"/>
        <v>737</v>
      </c>
      <c r="C743" s="31" t="s">
        <v>877</v>
      </c>
      <c r="D743" s="34" t="str">
        <f t="array" ref="D743">IFNA(_xlfn.XLOOKUP(C743,Table_Tarikan_Warkah[Nomor Sertipikat],Table_Tarikan_Warkah[Nomor Tiket]),"")</f>
        <v>K/2/020125/2</v>
      </c>
      <c r="E743" s="36">
        <f t="array" ref="E743">IFNA(_xlfn.XLOOKUP(D743,Table_Tarikan_Warkah[Nomor Tiket],Table_Tarikan_Warkah[Tanggal diserahkan kepada Validator]),"")</f>
        <v>0</v>
      </c>
      <c r="F743" s="36" t="str">
        <f t="array" ref="F743">IFNA(_xlfn.XLOOKUP(D743,Table_Tarikan_Warkah[Nomor Tiket],Table_Tarikan_Warkah[Nama Petugas Warkah]),"")</f>
        <v>Berry</v>
      </c>
      <c r="G743" s="39" t="str">
        <f t="array" ref="G743">IFNA(_xlfn.XLOOKUP(D743,Table_Tarikan_Warkah[Nomor Tiket],Table_Tarikan_Warkah[Jenis Permohonan]),"")</f>
        <v>BNHIBAH</v>
      </c>
      <c r="H743" s="41" t="s">
        <v>20</v>
      </c>
      <c r="I743" s="41" t="s">
        <v>12</v>
      </c>
      <c r="J743" s="36">
        <f t="shared" si="20"/>
        <v>45663.44336</v>
      </c>
      <c r="K743" s="41" t="s">
        <v>197</v>
      </c>
      <c r="L743" s="41" t="s">
        <v>12</v>
      </c>
      <c r="M743" s="36">
        <f t="shared" si="21"/>
        <v>45664.4511</v>
      </c>
      <c r="N743" s="30" t="str">
        <f t="shared" si="22"/>
        <v>SELESAI</v>
      </c>
      <c r="O743" s="45">
        <f t="shared" si="23"/>
        <v>45664.4511</v>
      </c>
      <c r="P743" s="47" t="b">
        <v>0</v>
      </c>
      <c r="Q743" s="36" t="str">
        <f t="shared" si="24"/>
        <v/>
      </c>
      <c r="R743" s="47" t="b">
        <v>1</v>
      </c>
      <c r="S743" s="36">
        <f t="shared" si="25"/>
        <v>45664.45114</v>
      </c>
      <c r="T743" s="42"/>
    </row>
    <row r="744" ht="22.5" customHeight="1">
      <c r="B744" s="42">
        <f t="shared" si="7"/>
        <v>738</v>
      </c>
      <c r="C744" s="31" t="s">
        <v>878</v>
      </c>
      <c r="D744" s="34" t="str">
        <f t="array" ref="D744">IFNA(_xlfn.XLOOKUP(C744,Table_Tarikan_Warkah[Nomor Sertipikat],Table_Tarikan_Warkah[Nomor Tiket]),"")</f>
        <v>K/6/020125/1</v>
      </c>
      <c r="E744" s="36">
        <f t="array" ref="E744">IFNA(_xlfn.XLOOKUP(D744,Table_Tarikan_Warkah[Nomor Tiket],Table_Tarikan_Warkah[Tanggal diserahkan kepada Validator]),"")</f>
        <v>0</v>
      </c>
      <c r="F744" s="36" t="str">
        <f t="array" ref="F744">IFNA(_xlfn.XLOOKUP(D744,Table_Tarikan_Warkah[Nomor Tiket],Table_Tarikan_Warkah[Nama Petugas Warkah]),"")</f>
        <v>Berry</v>
      </c>
      <c r="G744" s="39" t="str">
        <f t="array" ref="G744">IFNA(_xlfn.XLOOKUP(D744,Table_Tarikan_Warkah[Nomor Tiket],Table_Tarikan_Warkah[Jenis Permohonan]),"")</f>
        <v>BN JUAL BELI</v>
      </c>
      <c r="H744" s="41" t="s">
        <v>20</v>
      </c>
      <c r="I744" s="41" t="s">
        <v>12</v>
      </c>
      <c r="J744" s="36">
        <f t="shared" si="20"/>
        <v>45663.53898</v>
      </c>
      <c r="K744" s="41" t="s">
        <v>197</v>
      </c>
      <c r="L744" s="41" t="s">
        <v>12</v>
      </c>
      <c r="M744" s="36">
        <f t="shared" si="21"/>
        <v>45664.45085</v>
      </c>
      <c r="N744" s="30" t="str">
        <f t="shared" si="22"/>
        <v>SELESAI</v>
      </c>
      <c r="O744" s="45">
        <f t="shared" si="23"/>
        <v>45664.45085</v>
      </c>
      <c r="P744" s="47" t="b">
        <v>0</v>
      </c>
      <c r="Q744" s="36" t="str">
        <f t="shared" si="24"/>
        <v/>
      </c>
      <c r="R744" s="47" t="b">
        <v>1</v>
      </c>
      <c r="S744" s="36">
        <f t="shared" si="25"/>
        <v>45664.45088</v>
      </c>
      <c r="T744" s="42"/>
    </row>
    <row r="745" ht="22.5" customHeight="1">
      <c r="B745" s="42">
        <f t="shared" si="7"/>
        <v>739</v>
      </c>
      <c r="C745" s="31" t="s">
        <v>879</v>
      </c>
      <c r="D745" s="34" t="str">
        <f t="array" ref="D745">IFNA(_xlfn.XLOOKUP(C745,Table_Tarikan_Warkah[Nomor Sertipikat],Table_Tarikan_Warkah[Nomor Tiket]),"")</f>
        <v>K/26/020125/1</v>
      </c>
      <c r="E745" s="36">
        <f t="array" ref="E745">IFNA(_xlfn.XLOOKUP(D745,Table_Tarikan_Warkah[Nomor Tiket],Table_Tarikan_Warkah[Tanggal diserahkan kepada Validator]),"")</f>
        <v>0</v>
      </c>
      <c r="F745" s="36" t="str">
        <f t="array" ref="F745">IFNA(_xlfn.XLOOKUP(D745,Table_Tarikan_Warkah[Nomor Tiket],Table_Tarikan_Warkah[Nama Petugas Warkah]),"")</f>
        <v>Berry</v>
      </c>
      <c r="G745" s="39" t="str">
        <f t="array" ref="G745">IFNA(_xlfn.XLOOKUP(D745,Table_Tarikan_Warkah[Nomor Tiket],Table_Tarikan_Warkah[Jenis Permohonan]),"")</f>
        <v>BN JUAL BELI</v>
      </c>
      <c r="H745" s="41" t="s">
        <v>20</v>
      </c>
      <c r="I745" s="41" t="s">
        <v>12</v>
      </c>
      <c r="J745" s="36">
        <f t="shared" si="20"/>
        <v>45663.54278</v>
      </c>
      <c r="K745" s="41" t="s">
        <v>197</v>
      </c>
      <c r="L745" s="41" t="s">
        <v>12</v>
      </c>
      <c r="M745" s="36">
        <f t="shared" si="21"/>
        <v>45664.45129</v>
      </c>
      <c r="N745" s="30" t="str">
        <f t="shared" si="22"/>
        <v>SELESAI</v>
      </c>
      <c r="O745" s="45">
        <f t="shared" si="23"/>
        <v>45664.45129</v>
      </c>
      <c r="P745" s="47" t="b">
        <v>0</v>
      </c>
      <c r="Q745" s="36" t="str">
        <f t="shared" si="24"/>
        <v/>
      </c>
      <c r="R745" s="47" t="b">
        <v>1</v>
      </c>
      <c r="S745" s="36">
        <f t="shared" si="25"/>
        <v>45664.45132</v>
      </c>
      <c r="T745" s="42"/>
    </row>
    <row r="746" ht="22.5" customHeight="1">
      <c r="B746" s="42">
        <f t="shared" si="7"/>
        <v>740</v>
      </c>
      <c r="C746" s="31" t="s">
        <v>880</v>
      </c>
      <c r="D746" s="34" t="str">
        <f t="array" ref="D746">IFNA(_xlfn.XLOOKUP(C746,Table_Tarikan_Warkah[Nomor Sertipikat],Table_Tarikan_Warkah[Nomor Tiket]),"")</f>
        <v>K/27/020125/3</v>
      </c>
      <c r="E746" s="36">
        <f t="array" ref="E746">IFNA(_xlfn.XLOOKUP(D746,Table_Tarikan_Warkah[Nomor Tiket],Table_Tarikan_Warkah[Tanggal diserahkan kepada Validator]),"")</f>
        <v>0</v>
      </c>
      <c r="F746" s="36" t="str">
        <f t="array" ref="F746">IFNA(_xlfn.XLOOKUP(D746,Table_Tarikan_Warkah[Nomor Tiket],Table_Tarikan_Warkah[Nama Petugas Warkah]),"")</f>
        <v>Berry</v>
      </c>
      <c r="G746" s="39" t="str">
        <f t="array" ref="G746">IFNA(_xlfn.XLOOKUP(D746,Table_Tarikan_Warkah[Nomor Tiket],Table_Tarikan_Warkah[Jenis Permohonan]),"")</f>
        <v>BN Jual Beli</v>
      </c>
      <c r="H746" s="41" t="s">
        <v>20</v>
      </c>
      <c r="I746" s="41" t="s">
        <v>12</v>
      </c>
      <c r="J746" s="36">
        <f t="shared" si="20"/>
        <v>45663.5444</v>
      </c>
      <c r="K746" s="41" t="s">
        <v>197</v>
      </c>
      <c r="L746" s="41" t="s">
        <v>12</v>
      </c>
      <c r="M746" s="36">
        <f t="shared" si="21"/>
        <v>45664.45152</v>
      </c>
      <c r="N746" s="30" t="str">
        <f t="shared" si="22"/>
        <v>SELESAI</v>
      </c>
      <c r="O746" s="45">
        <f t="shared" si="23"/>
        <v>45664.45152</v>
      </c>
      <c r="P746" s="47" t="b">
        <v>0</v>
      </c>
      <c r="Q746" s="36" t="str">
        <f t="shared" si="24"/>
        <v/>
      </c>
      <c r="R746" s="47" t="b">
        <v>1</v>
      </c>
      <c r="S746" s="36">
        <f t="shared" si="25"/>
        <v>45664.45154</v>
      </c>
      <c r="T746" s="42"/>
    </row>
    <row r="747" ht="22.5" customHeight="1">
      <c r="B747" s="42">
        <f t="shared" si="7"/>
        <v>741</v>
      </c>
      <c r="C747" s="31" t="s">
        <v>881</v>
      </c>
      <c r="D747" s="34" t="str">
        <f t="array" ref="D747">IFNA(_xlfn.XLOOKUP(C747,Table_Tarikan_Warkah[Nomor Sertipikat],Table_Tarikan_Warkah[Nomor Tiket]),"")</f>
        <v>K/31/020125/1</v>
      </c>
      <c r="E747" s="36">
        <f t="array" ref="E747">IFNA(_xlfn.XLOOKUP(D747,Table_Tarikan_Warkah[Nomor Tiket],Table_Tarikan_Warkah[Tanggal diserahkan kepada Validator]),"")</f>
        <v>0</v>
      </c>
      <c r="F747" s="36" t="str">
        <f t="array" ref="F747">IFNA(_xlfn.XLOOKUP(D747,Table_Tarikan_Warkah[Nomor Tiket],Table_Tarikan_Warkah[Nama Petugas Warkah]),"")</f>
        <v>Berry</v>
      </c>
      <c r="G747" s="39" t="str">
        <f t="array" ref="G747">IFNA(_xlfn.XLOOKUP(D747,Table_Tarikan_Warkah[Nomor Tiket],Table_Tarikan_Warkah[Jenis Permohonan]),"")</f>
        <v>BN HIBAH</v>
      </c>
      <c r="H747" s="41" t="s">
        <v>20</v>
      </c>
      <c r="I747" s="41" t="s">
        <v>12</v>
      </c>
      <c r="J747" s="36">
        <f t="shared" si="20"/>
        <v>45663.54902</v>
      </c>
      <c r="K747" s="41" t="s">
        <v>197</v>
      </c>
      <c r="L747" s="41" t="s">
        <v>12</v>
      </c>
      <c r="M747" s="36">
        <f t="shared" si="21"/>
        <v>45664.4518</v>
      </c>
      <c r="N747" s="30" t="str">
        <f t="shared" si="22"/>
        <v>SELESAI</v>
      </c>
      <c r="O747" s="45">
        <f t="shared" si="23"/>
        <v>45664.4518</v>
      </c>
      <c r="P747" s="47" t="b">
        <v>0</v>
      </c>
      <c r="Q747" s="36" t="str">
        <f t="shared" si="24"/>
        <v/>
      </c>
      <c r="R747" s="47" t="b">
        <v>1</v>
      </c>
      <c r="S747" s="36">
        <f t="shared" si="25"/>
        <v>45664.45186</v>
      </c>
      <c r="T747" s="42"/>
    </row>
    <row r="748" ht="22.5" customHeight="1">
      <c r="B748" s="42">
        <f t="shared" si="7"/>
        <v>742</v>
      </c>
      <c r="C748" s="31" t="s">
        <v>882</v>
      </c>
      <c r="D748" s="34" t="str">
        <f t="array" ref="D748">IFNA(_xlfn.XLOOKUP(C748,Table_Tarikan_Warkah[Nomor Sertipikat],Table_Tarikan_Warkah[Nomor Tiket]),"")</f>
        <v>K/18/020125/1</v>
      </c>
      <c r="E748" s="36">
        <f t="array" ref="E748">IFNA(_xlfn.XLOOKUP(D748,Table_Tarikan_Warkah[Nomor Tiket],Table_Tarikan_Warkah[Tanggal diserahkan kepada Validator]),"")</f>
        <v>0</v>
      </c>
      <c r="F748" s="36" t="str">
        <f t="array" ref="F748">IFNA(_xlfn.XLOOKUP(D748,Table_Tarikan_Warkah[Nomor Tiket],Table_Tarikan_Warkah[Nama Petugas Warkah]),"")</f>
        <v>Berry</v>
      </c>
      <c r="G748" s="39" t="str">
        <f t="array" ref="G748">IFNA(_xlfn.XLOOKUP(D748,Table_Tarikan_Warkah[Nomor Tiket],Table_Tarikan_Warkah[Jenis Permohonan]),"")</f>
        <v>ROYA</v>
      </c>
      <c r="H748" s="41" t="s">
        <v>20</v>
      </c>
      <c r="I748" s="41" t="s">
        <v>12</v>
      </c>
      <c r="J748" s="36">
        <f t="shared" si="20"/>
        <v>45663.55021</v>
      </c>
      <c r="K748" s="41" t="s">
        <v>197</v>
      </c>
      <c r="L748" s="41" t="s">
        <v>12</v>
      </c>
      <c r="M748" s="36">
        <f t="shared" si="21"/>
        <v>45664.45212</v>
      </c>
      <c r="N748" s="30" t="str">
        <f t="shared" si="22"/>
        <v>SELESAI</v>
      </c>
      <c r="O748" s="45">
        <f t="shared" si="23"/>
        <v>45664.45212</v>
      </c>
      <c r="P748" s="47" t="b">
        <v>0</v>
      </c>
      <c r="Q748" s="36" t="str">
        <f t="shared" si="24"/>
        <v/>
      </c>
      <c r="R748" s="47" t="b">
        <v>1</v>
      </c>
      <c r="S748" s="36">
        <f t="shared" si="25"/>
        <v>45664.45217</v>
      </c>
      <c r="T748" s="42"/>
    </row>
    <row r="749" ht="22.5" customHeight="1">
      <c r="B749" s="42">
        <f t="shared" si="7"/>
        <v>743</v>
      </c>
      <c r="C749" s="31" t="s">
        <v>883</v>
      </c>
      <c r="D749" s="34" t="str">
        <f t="array" ref="D749">IFNA(_xlfn.XLOOKUP(C749,Table_Tarikan_Warkah[Nomor Sertipikat],Table_Tarikan_Warkah[Nomor Tiket]),"")</f>
        <v>K/23/020125/2</v>
      </c>
      <c r="E749" s="36">
        <f t="array" ref="E749">IFNA(_xlfn.XLOOKUP(D749,Table_Tarikan_Warkah[Nomor Tiket],Table_Tarikan_Warkah[Tanggal diserahkan kepada Validator]),"")</f>
        <v>0</v>
      </c>
      <c r="F749" s="36" t="str">
        <f t="array" ref="F749">IFNA(_xlfn.XLOOKUP(D749,Table_Tarikan_Warkah[Nomor Tiket],Table_Tarikan_Warkah[Nama Petugas Warkah]),"")</f>
        <v>Berry</v>
      </c>
      <c r="G749" s="39" t="str">
        <f t="array" ref="G749">IFNA(_xlfn.XLOOKUP(D749,Table_Tarikan_Warkah[Nomor Tiket],Table_Tarikan_Warkah[Jenis Permohonan]),"")</f>
        <v>BN Jual Beli</v>
      </c>
      <c r="H749" s="41" t="s">
        <v>20</v>
      </c>
      <c r="I749" s="41" t="s">
        <v>12</v>
      </c>
      <c r="J749" s="36">
        <f t="shared" si="20"/>
        <v>45663.5516</v>
      </c>
      <c r="K749" s="41" t="s">
        <v>197</v>
      </c>
      <c r="L749" s="41" t="s">
        <v>12</v>
      </c>
      <c r="M749" s="36">
        <f t="shared" si="21"/>
        <v>45664.45214</v>
      </c>
      <c r="N749" s="30" t="str">
        <f t="shared" si="22"/>
        <v>SELESAI</v>
      </c>
      <c r="O749" s="45">
        <f t="shared" si="23"/>
        <v>45664.45214</v>
      </c>
      <c r="P749" s="47" t="b">
        <v>0</v>
      </c>
      <c r="Q749" s="36" t="str">
        <f t="shared" si="24"/>
        <v/>
      </c>
      <c r="R749" s="65">
        <v>1.0</v>
      </c>
      <c r="S749" s="42" t="str">
        <f t="shared" si="25"/>
        <v/>
      </c>
      <c r="T749" s="42"/>
    </row>
    <row r="750" ht="22.5" customHeight="1">
      <c r="B750" s="42">
        <f t="shared" si="7"/>
        <v>744</v>
      </c>
      <c r="C750" s="31" t="s">
        <v>884</v>
      </c>
      <c r="D750" s="34" t="str">
        <f t="array" ref="D750">IFNA(_xlfn.XLOOKUP(C750,Table_Tarikan_Warkah[Nomor Sertipikat],Table_Tarikan_Warkah[Nomor Tiket]),"")</f>
        <v>K/25/020125/1</v>
      </c>
      <c r="E750" s="36">
        <f t="array" ref="E750">IFNA(_xlfn.XLOOKUP(D750,Table_Tarikan_Warkah[Nomor Tiket],Table_Tarikan_Warkah[Tanggal diserahkan kepada Validator]),"")</f>
        <v>0</v>
      </c>
      <c r="F750" s="36" t="str">
        <f t="array" ref="F750">IFNA(_xlfn.XLOOKUP(D750,Table_Tarikan_Warkah[Nomor Tiket],Table_Tarikan_Warkah[Nama Petugas Warkah]),"")</f>
        <v>Berry</v>
      </c>
      <c r="G750" s="39" t="str">
        <f t="array" ref="G750">IFNA(_xlfn.XLOOKUP(D750,Table_Tarikan_Warkah[Nomor Tiket],Table_Tarikan_Warkah[Jenis Permohonan]),"")</f>
        <v>BN JUAL BELI</v>
      </c>
      <c r="H750" s="41" t="s">
        <v>11</v>
      </c>
      <c r="I750" s="41" t="s">
        <v>12</v>
      </c>
      <c r="J750" s="36">
        <f t="shared" si="20"/>
        <v>45663.66189</v>
      </c>
      <c r="K750" s="49" t="s">
        <v>197</v>
      </c>
      <c r="L750" s="49" t="s">
        <v>12</v>
      </c>
      <c r="M750" s="36">
        <f t="shared" si="21"/>
        <v>45664.41098</v>
      </c>
      <c r="N750" s="30" t="str">
        <f t="shared" si="22"/>
        <v>SELESAI</v>
      </c>
      <c r="O750" s="45">
        <f t="shared" si="23"/>
        <v>45664.41098</v>
      </c>
      <c r="P750" s="47" t="b">
        <v>0</v>
      </c>
      <c r="Q750" s="36" t="str">
        <f t="shared" si="24"/>
        <v/>
      </c>
      <c r="R750" s="47" t="b">
        <v>1</v>
      </c>
      <c r="S750" s="36">
        <f t="shared" si="25"/>
        <v>45664.411</v>
      </c>
      <c r="T750" s="42"/>
    </row>
    <row r="751" ht="22.5" customHeight="1">
      <c r="B751" s="42">
        <f t="shared" si="7"/>
        <v>745</v>
      </c>
      <c r="C751" s="31" t="s">
        <v>885</v>
      </c>
      <c r="D751" s="34" t="str">
        <f t="array" ref="D751">IFNA(_xlfn.XLOOKUP(C751,Table_Tarikan_Warkah[Nomor Sertipikat],Table_Tarikan_Warkah[Nomor Tiket]),"")</f>
        <v>L/11/020125/1</v>
      </c>
      <c r="E751" s="36">
        <f t="array" ref="E751">IFNA(_xlfn.XLOOKUP(D751,Table_Tarikan_Warkah[Nomor Tiket],Table_Tarikan_Warkah[Tanggal diserahkan kepada Validator]),"")</f>
        <v>0</v>
      </c>
      <c r="F751" s="36" t="str">
        <f t="array" ref="F751">IFNA(_xlfn.XLOOKUP(D751,Table_Tarikan_Warkah[Nomor Tiket],Table_Tarikan_Warkah[Nama Petugas Warkah]),"")</f>
        <v>Berry</v>
      </c>
      <c r="G751" s="39" t="str">
        <f t="array" ref="G751">IFNA(_xlfn.XLOOKUP(D751,Table_Tarikan_Warkah[Nomor Tiket],Table_Tarikan_Warkah[Jenis Permohonan]),"")</f>
        <v>ROYA WARIS</v>
      </c>
      <c r="H751" s="41" t="s">
        <v>11</v>
      </c>
      <c r="I751" s="41" t="s">
        <v>12</v>
      </c>
      <c r="J751" s="36">
        <f t="shared" si="20"/>
        <v>45663.66215</v>
      </c>
      <c r="K751" s="41" t="s">
        <v>197</v>
      </c>
      <c r="L751" s="41" t="s">
        <v>12</v>
      </c>
      <c r="M751" s="36">
        <f t="shared" si="21"/>
        <v>45664.44985</v>
      </c>
      <c r="N751" s="30" t="str">
        <f t="shared" si="22"/>
        <v>SELESAI</v>
      </c>
      <c r="O751" s="45">
        <f t="shared" si="23"/>
        <v>45664.44985</v>
      </c>
      <c r="P751" s="47" t="b">
        <v>0</v>
      </c>
      <c r="Q751" s="36" t="str">
        <f t="shared" si="24"/>
        <v/>
      </c>
      <c r="R751" s="47" t="b">
        <v>1</v>
      </c>
      <c r="S751" s="36">
        <f t="shared" si="25"/>
        <v>45664.44989</v>
      </c>
      <c r="T751" s="42"/>
    </row>
    <row r="752" ht="22.5" customHeight="1">
      <c r="B752" s="42">
        <f t="shared" si="7"/>
        <v>746</v>
      </c>
      <c r="C752" s="31" t="s">
        <v>886</v>
      </c>
      <c r="D752" s="34" t="str">
        <f t="array" ref="D752">IFNA(_xlfn.XLOOKUP(C752,Table_Tarikan_Warkah[Nomor Sertipikat],Table_Tarikan_Warkah[Nomor Tiket]),"")</f>
        <v>K/4/020125/1</v>
      </c>
      <c r="E752" s="36">
        <f t="array" ref="E752">IFNA(_xlfn.XLOOKUP(D752,Table_Tarikan_Warkah[Nomor Tiket],Table_Tarikan_Warkah[Tanggal diserahkan kepada Validator]),"")</f>
        <v>0</v>
      </c>
      <c r="F752" s="36" t="str">
        <f t="array" ref="F752">IFNA(_xlfn.XLOOKUP(D752,Table_Tarikan_Warkah[Nomor Tiket],Table_Tarikan_Warkah[Nama Petugas Warkah]),"")</f>
        <v>Berry</v>
      </c>
      <c r="G752" s="39" t="str">
        <f t="array" ref="G752">IFNA(_xlfn.XLOOKUP(D752,Table_Tarikan_Warkah[Nomor Tiket],Table_Tarikan_Warkah[Jenis Permohonan]),"")</f>
        <v>Roya</v>
      </c>
      <c r="H752" s="41" t="s">
        <v>11</v>
      </c>
      <c r="I752" s="41" t="s">
        <v>12</v>
      </c>
      <c r="J752" s="36">
        <f t="shared" si="20"/>
        <v>45663.66215</v>
      </c>
      <c r="K752" s="49" t="s">
        <v>197</v>
      </c>
      <c r="L752" s="49" t="s">
        <v>12</v>
      </c>
      <c r="M752" s="36">
        <f t="shared" si="21"/>
        <v>45664.41071</v>
      </c>
      <c r="N752" s="30" t="str">
        <f t="shared" si="22"/>
        <v>SELESAI</v>
      </c>
      <c r="O752" s="45">
        <f t="shared" si="23"/>
        <v>45664.41071</v>
      </c>
      <c r="P752" s="47" t="b">
        <v>0</v>
      </c>
      <c r="Q752" s="36" t="str">
        <f t="shared" si="24"/>
        <v/>
      </c>
      <c r="R752" s="47" t="b">
        <v>1</v>
      </c>
      <c r="S752" s="36">
        <f t="shared" si="25"/>
        <v>45664.41066</v>
      </c>
      <c r="T752" s="42"/>
    </row>
    <row r="753" ht="22.5" customHeight="1">
      <c r="B753" s="42">
        <f t="shared" si="7"/>
        <v>747</v>
      </c>
      <c r="C753" s="31" t="s">
        <v>887</v>
      </c>
      <c r="D753" s="34" t="str">
        <f t="array" ref="D753">IFNA(_xlfn.XLOOKUP(C753,Table_Tarikan_Warkah[Nomor Sertipikat],Table_Tarikan_Warkah[Nomor Tiket]),"")</f>
        <v>L/14/020125/1</v>
      </c>
      <c r="E753" s="36">
        <f t="array" ref="E753">IFNA(_xlfn.XLOOKUP(D753,Table_Tarikan_Warkah[Nomor Tiket],Table_Tarikan_Warkah[Tanggal diserahkan kepada Validator]),"")</f>
        <v>0</v>
      </c>
      <c r="F753" s="36" t="str">
        <f t="array" ref="F753">IFNA(_xlfn.XLOOKUP(D753,Table_Tarikan_Warkah[Nomor Tiket],Table_Tarikan_Warkah[Nama Petugas Warkah]),"")</f>
        <v>Berry</v>
      </c>
      <c r="G753" s="39" t="str">
        <f t="array" ref="G753">IFNA(_xlfn.XLOOKUP(D753,Table_Tarikan_Warkah[Nomor Tiket],Table_Tarikan_Warkah[Jenis Permohonan]),"")</f>
        <v>ROYA</v>
      </c>
      <c r="H753" s="41" t="s">
        <v>11</v>
      </c>
      <c r="I753" s="41" t="s">
        <v>12</v>
      </c>
      <c r="J753" s="36">
        <f t="shared" si="20"/>
        <v>45663.66215</v>
      </c>
      <c r="K753" s="49" t="s">
        <v>197</v>
      </c>
      <c r="L753" s="49" t="s">
        <v>12</v>
      </c>
      <c r="M753" s="36">
        <f t="shared" si="21"/>
        <v>45664.41046</v>
      </c>
      <c r="N753" s="30" t="str">
        <f t="shared" si="22"/>
        <v>SELESAI</v>
      </c>
      <c r="O753" s="45">
        <f t="shared" si="23"/>
        <v>45664.41046</v>
      </c>
      <c r="P753" s="47" t="b">
        <v>0</v>
      </c>
      <c r="Q753" s="36" t="str">
        <f t="shared" si="24"/>
        <v/>
      </c>
      <c r="R753" s="47" t="b">
        <v>1</v>
      </c>
      <c r="S753" s="36">
        <f t="shared" si="25"/>
        <v>45664.41047</v>
      </c>
      <c r="T753" s="42"/>
    </row>
    <row r="754" ht="22.5" customHeight="1">
      <c r="B754" s="42">
        <f t="shared" si="7"/>
        <v>748</v>
      </c>
      <c r="C754" s="31" t="s">
        <v>888</v>
      </c>
      <c r="D754" s="34" t="str">
        <f t="array" ref="D754">IFNA(_xlfn.XLOOKUP(C754,Table_Tarikan_Warkah[Nomor Sertipikat],Table_Tarikan_Warkah[Nomor Tiket]),"")</f>
        <v>K/16/020125/1</v>
      </c>
      <c r="E754" s="36">
        <f t="array" ref="E754">IFNA(_xlfn.XLOOKUP(D754,Table_Tarikan_Warkah[Nomor Tiket],Table_Tarikan_Warkah[Tanggal diserahkan kepada Validator]),"")</f>
        <v>0</v>
      </c>
      <c r="F754" s="36" t="str">
        <f t="array" ref="F754">IFNA(_xlfn.XLOOKUP(D754,Table_Tarikan_Warkah[Nomor Tiket],Table_Tarikan_Warkah[Nama Petugas Warkah]),"")</f>
        <v>Berry</v>
      </c>
      <c r="G754" s="39" t="str">
        <f t="array" ref="G754">IFNA(_xlfn.XLOOKUP(D754,Table_Tarikan_Warkah[Nomor Tiket],Table_Tarikan_Warkah[Jenis Permohonan]),"")</f>
        <v>BN Jual Beli</v>
      </c>
      <c r="H754" s="41" t="s">
        <v>11</v>
      </c>
      <c r="I754" s="41" t="s">
        <v>12</v>
      </c>
      <c r="J754" s="36">
        <f t="shared" si="20"/>
        <v>45663.66215</v>
      </c>
      <c r="K754" s="41" t="s">
        <v>197</v>
      </c>
      <c r="L754" s="41" t="s">
        <v>12</v>
      </c>
      <c r="M754" s="36">
        <f t="shared" si="21"/>
        <v>45664.45009</v>
      </c>
      <c r="N754" s="30" t="str">
        <f t="shared" si="22"/>
        <v>SELESAI</v>
      </c>
      <c r="O754" s="45">
        <f t="shared" si="23"/>
        <v>45664.45009</v>
      </c>
      <c r="P754" s="47" t="b">
        <v>0</v>
      </c>
      <c r="Q754" s="36" t="str">
        <f t="shared" si="24"/>
        <v/>
      </c>
      <c r="R754" s="47" t="b">
        <v>1</v>
      </c>
      <c r="S754" s="36">
        <f t="shared" si="25"/>
        <v>45664.45013</v>
      </c>
      <c r="T754" s="42"/>
    </row>
    <row r="755" ht="22.5" customHeight="1">
      <c r="B755" s="42">
        <f t="shared" si="7"/>
        <v>749</v>
      </c>
      <c r="C755" s="31" t="s">
        <v>889</v>
      </c>
      <c r="D755" s="34" t="str">
        <f t="array" ref="D755">IFNA(_xlfn.XLOOKUP(C755,Table_Tarikan_Warkah[Nomor Sertipikat],Table_Tarikan_Warkah[Nomor Tiket]),"")</f>
        <v/>
      </c>
      <c r="E755" s="36" t="str">
        <f t="array" ref="E755">IFNA(_xlfn.XLOOKUP(D755,Table_Tarikan_Warkah[Nomor Tiket],Table_Tarikan_Warkah[Tanggal diserahkan kepada Validator]),"")</f>
        <v/>
      </c>
      <c r="F755" s="36" t="str">
        <f t="array" ref="F755">IFNA(_xlfn.XLOOKUP(D755,Table_Tarikan_Warkah[Nomor Tiket],Table_Tarikan_Warkah[Nama Petugas Warkah]),"")</f>
        <v/>
      </c>
      <c r="G755" s="39" t="str">
        <f t="array" ref="G755">IFNA(_xlfn.XLOOKUP(D755,Table_Tarikan_Warkah[Nomor Tiket],Table_Tarikan_Warkah[Jenis Permohonan]),"")</f>
        <v/>
      </c>
      <c r="H755" s="41" t="s">
        <v>11</v>
      </c>
      <c r="I755" s="41" t="s">
        <v>12</v>
      </c>
      <c r="J755" s="36">
        <f t="shared" si="20"/>
        <v>45663.66215</v>
      </c>
      <c r="K755" s="49" t="s">
        <v>197</v>
      </c>
      <c r="L755" s="49" t="s">
        <v>12</v>
      </c>
      <c r="M755" s="36">
        <f t="shared" si="21"/>
        <v>45664.40858</v>
      </c>
      <c r="N755" s="30" t="str">
        <f t="shared" si="22"/>
        <v/>
      </c>
      <c r="O755" s="39" t="str">
        <f t="shared" si="23"/>
        <v/>
      </c>
      <c r="P755" s="47" t="b">
        <v>0</v>
      </c>
      <c r="Q755" s="36" t="str">
        <f t="shared" si="24"/>
        <v/>
      </c>
      <c r="R755" s="47" t="b">
        <v>1</v>
      </c>
      <c r="S755" s="36">
        <f t="shared" si="25"/>
        <v>45664.4086</v>
      </c>
      <c r="T755" s="42"/>
    </row>
    <row r="756" ht="22.5" customHeight="1">
      <c r="B756" s="42">
        <f t="shared" si="7"/>
        <v>750</v>
      </c>
      <c r="C756" s="31" t="s">
        <v>890</v>
      </c>
      <c r="D756" s="34" t="str">
        <f t="array" ref="D756">IFNA(_xlfn.XLOOKUP(C756,Table_Tarikan_Warkah[Nomor Sertipikat],Table_Tarikan_Warkah[Nomor Tiket]),"")</f>
        <v>K/31/311224/1</v>
      </c>
      <c r="E756" s="36">
        <f t="array" ref="E756">IFNA(_xlfn.XLOOKUP(D756,Table_Tarikan_Warkah[Nomor Tiket],Table_Tarikan_Warkah[Tanggal diserahkan kepada Validator]),"")</f>
        <v>45666.70579</v>
      </c>
      <c r="F756" s="36" t="str">
        <f t="array" ref="F756">IFNA(_xlfn.XLOOKUP(D756,Table_Tarikan_Warkah[Nomor Tiket],Table_Tarikan_Warkah[Nama Petugas Warkah]),"")</f>
        <v>David</v>
      </c>
      <c r="G756" s="39" t="str">
        <f t="array" ref="G756">IFNA(_xlfn.XLOOKUP(D756,Table_Tarikan_Warkah[Nomor Tiket],Table_Tarikan_Warkah[Jenis Permohonan]),"")</f>
        <v>BN Jual Beli</v>
      </c>
      <c r="H756" s="41" t="s">
        <v>11</v>
      </c>
      <c r="I756" s="41" t="s">
        <v>12</v>
      </c>
      <c r="J756" s="36">
        <f t="shared" si="20"/>
        <v>45663.66215</v>
      </c>
      <c r="K756" s="51"/>
      <c r="L756" s="51"/>
      <c r="M756" s="36" t="str">
        <f t="shared" si="21"/>
        <v/>
      </c>
      <c r="N756" s="30" t="str">
        <f t="shared" si="22"/>
        <v>BT atau SU Belum Valid</v>
      </c>
      <c r="O756" s="39" t="str">
        <f t="shared" si="23"/>
        <v/>
      </c>
      <c r="P756" s="47" t="b">
        <v>0</v>
      </c>
      <c r="Q756" s="36" t="str">
        <f t="shared" si="24"/>
        <v/>
      </c>
      <c r="R756" s="47" t="b">
        <v>0</v>
      </c>
      <c r="S756" s="42" t="str">
        <f t="shared" si="25"/>
        <v/>
      </c>
      <c r="T756" s="42"/>
    </row>
    <row r="757" ht="22.5" customHeight="1">
      <c r="B757" s="42">
        <f t="shared" si="7"/>
        <v>751</v>
      </c>
      <c r="C757" s="31" t="s">
        <v>891</v>
      </c>
      <c r="D757" s="34" t="str">
        <f t="array" ref="D757">IFNA(_xlfn.XLOOKUP(C757,Table_Tarikan_Warkah[Nomor Sertipikat],Table_Tarikan_Warkah[Nomor Tiket]),"")</f>
        <v>K/13/231024/1</v>
      </c>
      <c r="E757" s="36" t="str">
        <f t="array" ref="E757">IFNA(_xlfn.XLOOKUP(D757,Table_Tarikan_Warkah[Nomor Tiket],Table_Tarikan_Warkah[Tanggal diserahkan kepada Validator]),"")</f>
        <v>23/10/2024 14.26</v>
      </c>
      <c r="F757" s="36" t="str">
        <f t="array" ref="F757">IFNA(_xlfn.XLOOKUP(D757,Table_Tarikan_Warkah[Nomor Tiket],Table_Tarikan_Warkah[Nama Petugas Warkah]),"")</f>
        <v>Rahma</v>
      </c>
      <c r="G757" s="39" t="str">
        <f t="array" ref="G757">IFNA(_xlfn.XLOOKUP(D757,Table_Tarikan_Warkah[Nomor Tiket],Table_Tarikan_Warkah[Jenis Permohonan]),"")</f>
        <v>Perubahan Hak</v>
      </c>
      <c r="H757" s="41" t="s">
        <v>11</v>
      </c>
      <c r="I757" s="41" t="s">
        <v>12</v>
      </c>
      <c r="J757" s="36">
        <f t="shared" si="20"/>
        <v>45663.66215</v>
      </c>
      <c r="K757" s="51"/>
      <c r="L757" s="51"/>
      <c r="M757" s="36" t="str">
        <f t="shared" si="21"/>
        <v/>
      </c>
      <c r="N757" s="30" t="str">
        <f t="shared" si="22"/>
        <v>BT atau SU Belum Valid</v>
      </c>
      <c r="O757" s="39" t="str">
        <f t="shared" si="23"/>
        <v/>
      </c>
      <c r="P757" s="47" t="b">
        <v>0</v>
      </c>
      <c r="Q757" s="36" t="str">
        <f t="shared" si="24"/>
        <v/>
      </c>
      <c r="R757" s="47" t="b">
        <v>0</v>
      </c>
      <c r="S757" s="42" t="str">
        <f t="shared" si="25"/>
        <v/>
      </c>
      <c r="T757" s="42"/>
    </row>
    <row r="758" ht="22.5" customHeight="1">
      <c r="B758" s="42">
        <f t="shared" si="7"/>
        <v>752</v>
      </c>
      <c r="C758" s="31" t="s">
        <v>892</v>
      </c>
      <c r="D758" s="34" t="str">
        <f t="array" ref="D758">IFNA(_xlfn.XLOOKUP(C758,Table_Tarikan_Warkah[Nomor Sertipikat],Table_Tarikan_Warkah[Nomor Tiket]),"")</f>
        <v>K/32/311224/2</v>
      </c>
      <c r="E758" s="36">
        <f t="array" ref="E758">IFNA(_xlfn.XLOOKUP(D758,Table_Tarikan_Warkah[Nomor Tiket],Table_Tarikan_Warkah[Tanggal diserahkan kepada Validator]),"")</f>
        <v>45667.35255</v>
      </c>
      <c r="F758" s="36" t="str">
        <f t="array" ref="F758">IFNA(_xlfn.XLOOKUP(D758,Table_Tarikan_Warkah[Nomor Tiket],Table_Tarikan_Warkah[Nama Petugas Warkah]),"")</f>
        <v>David</v>
      </c>
      <c r="G758" s="39" t="str">
        <f t="array" ref="G758">IFNA(_xlfn.XLOOKUP(D758,Table_Tarikan_Warkah[Nomor Tiket],Table_Tarikan_Warkah[Jenis Permohonan]),"")</f>
        <v>BN Jual Beli</v>
      </c>
      <c r="H758" s="41" t="s">
        <v>20</v>
      </c>
      <c r="I758" s="41" t="s">
        <v>23</v>
      </c>
      <c r="J758" s="36">
        <f t="shared" si="20"/>
        <v>45663.66215</v>
      </c>
      <c r="K758" s="61" t="s">
        <v>26</v>
      </c>
      <c r="L758" s="61" t="s">
        <v>23</v>
      </c>
      <c r="M758" s="36">
        <f t="shared" si="21"/>
        <v>45664.36144</v>
      </c>
      <c r="N758" s="30" t="str">
        <f t="shared" si="22"/>
        <v>Selesai</v>
      </c>
      <c r="O758" s="45">
        <f t="shared" si="23"/>
        <v>45664.36144</v>
      </c>
      <c r="P758" s="47" t="b">
        <v>1</v>
      </c>
      <c r="Q758" s="36">
        <f t="shared" si="24"/>
        <v>45664.36144</v>
      </c>
      <c r="R758" s="47" t="b">
        <v>0</v>
      </c>
      <c r="S758" s="42" t="str">
        <f t="shared" si="25"/>
        <v/>
      </c>
      <c r="T758" s="42"/>
    </row>
    <row r="759" ht="22.5" customHeight="1">
      <c r="B759" s="42">
        <f t="shared" si="7"/>
        <v>753</v>
      </c>
      <c r="C759" s="31" t="s">
        <v>893</v>
      </c>
      <c r="D759" s="34" t="str">
        <f t="array" ref="D759">IFNA(_xlfn.XLOOKUP(C759,Table_Tarikan_Warkah[Nomor Sertipikat],Table_Tarikan_Warkah[Nomor Tiket]),"")</f>
        <v>K/33/271224/1</v>
      </c>
      <c r="E759" s="36" t="str">
        <f t="array" ref="E759">IFNA(_xlfn.XLOOKUP(D759,Table_Tarikan_Warkah[Nomor Tiket],Table_Tarikan_Warkah[Tanggal diserahkan kepada Validator]),"")</f>
        <v/>
      </c>
      <c r="F759" s="36" t="str">
        <f t="array" ref="F759">IFNA(_xlfn.XLOOKUP(D759,Table_Tarikan_Warkah[Nomor Tiket],Table_Tarikan_Warkah[Nama Petugas Warkah]),"")</f>
        <v/>
      </c>
      <c r="G759" s="39" t="str">
        <f t="array" ref="G759">IFNA(_xlfn.XLOOKUP(D759,Table_Tarikan_Warkah[Nomor Tiket],Table_Tarikan_Warkah[Jenis Permohonan]),"")</f>
        <v>BN Jual Beli</v>
      </c>
      <c r="H759" s="41" t="s">
        <v>20</v>
      </c>
      <c r="I759" s="41" t="s">
        <v>23</v>
      </c>
      <c r="J759" s="36">
        <f t="shared" si="20"/>
        <v>45663.67086</v>
      </c>
      <c r="K759" s="61" t="s">
        <v>26</v>
      </c>
      <c r="L759" s="49" t="s">
        <v>23</v>
      </c>
      <c r="M759" s="36">
        <f t="shared" si="21"/>
        <v>45664.36144</v>
      </c>
      <c r="N759" s="30" t="str">
        <f t="shared" si="22"/>
        <v>Selesai</v>
      </c>
      <c r="O759" s="45">
        <f t="shared" si="23"/>
        <v>45664.36144</v>
      </c>
      <c r="P759" s="47" t="b">
        <v>1</v>
      </c>
      <c r="Q759" s="36">
        <f t="shared" si="24"/>
        <v>45664.36144</v>
      </c>
      <c r="R759" s="47" t="b">
        <v>1</v>
      </c>
      <c r="S759" s="36">
        <f t="shared" si="25"/>
        <v>45664.42768</v>
      </c>
      <c r="T759" s="42"/>
    </row>
    <row r="760" ht="22.5" customHeight="1">
      <c r="B760" s="42">
        <f t="shared" si="7"/>
        <v>754</v>
      </c>
      <c r="C760" s="31" t="s">
        <v>195</v>
      </c>
      <c r="D760" s="34" t="str">
        <f t="array" ref="D760">IFNA(_xlfn.XLOOKUP(C760,Table_Tarikan_Warkah[Nomor Sertipikat],Table_Tarikan_Warkah[Nomor Tiket]),"")</f>
        <v>K/25/231224/3</v>
      </c>
      <c r="E760" s="36">
        <f t="array" ref="E760">IFNA(_xlfn.XLOOKUP(D760,Table_Tarikan_Warkah[Nomor Tiket],Table_Tarikan_Warkah[Tanggal diserahkan kepada Validator]),"")</f>
        <v>45666.70579</v>
      </c>
      <c r="F760" s="36" t="str">
        <f t="array" ref="F760">IFNA(_xlfn.XLOOKUP(D760,Table_Tarikan_Warkah[Nomor Tiket],Table_Tarikan_Warkah[Nama Petugas Warkah]),"")</f>
        <v/>
      </c>
      <c r="G760" s="39" t="str">
        <f t="array" ref="G760">IFNA(_xlfn.XLOOKUP(D760,Table_Tarikan_Warkah[Nomor Tiket],Table_Tarikan_Warkah[Jenis Permohonan]),"")</f>
        <v>BN Jual Beli</v>
      </c>
      <c r="H760" s="41" t="s">
        <v>20</v>
      </c>
      <c r="I760" s="41" t="s">
        <v>23</v>
      </c>
      <c r="J760" s="36">
        <f t="shared" si="20"/>
        <v>45663.67182</v>
      </c>
      <c r="K760" s="41" t="s">
        <v>26</v>
      </c>
      <c r="L760" s="41" t="s">
        <v>23</v>
      </c>
      <c r="M760" s="36">
        <f t="shared" si="21"/>
        <v>45663.67187</v>
      </c>
      <c r="N760" s="30" t="str">
        <f t="shared" si="22"/>
        <v>Selesai</v>
      </c>
      <c r="O760" s="45">
        <f t="shared" si="23"/>
        <v>45663.67187</v>
      </c>
      <c r="P760" s="47" t="b">
        <v>1</v>
      </c>
      <c r="Q760" s="36">
        <f t="shared" si="24"/>
        <v>45663.67192</v>
      </c>
      <c r="R760" s="47" t="b">
        <v>0</v>
      </c>
      <c r="S760" s="42" t="str">
        <f t="shared" si="25"/>
        <v/>
      </c>
      <c r="T760" s="42"/>
    </row>
    <row r="761" ht="22.5" customHeight="1">
      <c r="B761" s="42">
        <f t="shared" si="7"/>
        <v>755</v>
      </c>
      <c r="C761" s="31" t="s">
        <v>149</v>
      </c>
      <c r="D761" s="34" t="str">
        <f t="array" ref="D761">IFNA(_xlfn.XLOOKUP(C761,Table_Tarikan_Warkah[Nomor Sertipikat],Table_Tarikan_Warkah[Nomor Tiket]),"")</f>
        <v>K/16/231224/2</v>
      </c>
      <c r="E761" s="36">
        <f t="array" ref="E761">IFNA(_xlfn.XLOOKUP(D761,Table_Tarikan_Warkah[Nomor Tiket],Table_Tarikan_Warkah[Tanggal diserahkan kepada Validator]),"")</f>
        <v>45666.70579</v>
      </c>
      <c r="F761" s="36" t="str">
        <f t="array" ref="F761">IFNA(_xlfn.XLOOKUP(D761,Table_Tarikan_Warkah[Nomor Tiket],Table_Tarikan_Warkah[Nama Petugas Warkah]),"")</f>
        <v/>
      </c>
      <c r="G761" s="39" t="str">
        <f t="array" ref="G761">IFNA(_xlfn.XLOOKUP(D761,Table_Tarikan_Warkah[Nomor Tiket],Table_Tarikan_Warkah[Jenis Permohonan]),"")</f>
        <v>BN JUAL BELI</v>
      </c>
      <c r="H761" s="49" t="s">
        <v>20</v>
      </c>
      <c r="I761" s="49" t="s">
        <v>23</v>
      </c>
      <c r="J761" s="36">
        <f t="shared" si="20"/>
        <v>45664.38832</v>
      </c>
      <c r="K761" s="49" t="s">
        <v>26</v>
      </c>
      <c r="L761" s="49" t="s">
        <v>23</v>
      </c>
      <c r="M761" s="36">
        <f t="shared" si="21"/>
        <v>45664.3885</v>
      </c>
      <c r="N761" s="30" t="str">
        <f t="shared" si="22"/>
        <v>Selesai</v>
      </c>
      <c r="O761" s="45">
        <f t="shared" si="23"/>
        <v>45664.3885</v>
      </c>
      <c r="P761" s="47" t="b">
        <v>1</v>
      </c>
      <c r="Q761" s="36">
        <f t="shared" si="24"/>
        <v>45664.38855</v>
      </c>
      <c r="R761" s="47" t="b">
        <v>0</v>
      </c>
      <c r="S761" s="42" t="str">
        <f t="shared" si="25"/>
        <v/>
      </c>
      <c r="T761" s="42"/>
    </row>
    <row r="762" ht="22.5" customHeight="1">
      <c r="B762" s="42">
        <f t="shared" si="7"/>
        <v>756</v>
      </c>
      <c r="C762" s="31" t="s">
        <v>894</v>
      </c>
      <c r="D762" s="34" t="str">
        <f t="array" ref="D762">IFNA(_xlfn.XLOOKUP(C762,Table_Tarikan_Warkah[Nomor Sertipikat],Table_Tarikan_Warkah[Nomor Tiket]),"")</f>
        <v>K/7/181224/1</v>
      </c>
      <c r="E762" s="36" t="str">
        <f t="array" ref="E762">IFNA(_xlfn.XLOOKUP(D762,Table_Tarikan_Warkah[Nomor Tiket],Table_Tarikan_Warkah[Tanggal diserahkan kepada Validator]),"")</f>
        <v/>
      </c>
      <c r="F762" s="36" t="str">
        <f t="array" ref="F762">IFNA(_xlfn.XLOOKUP(D762,Table_Tarikan_Warkah[Nomor Tiket],Table_Tarikan_Warkah[Nama Petugas Warkah]),"")</f>
        <v/>
      </c>
      <c r="G762" s="39" t="str">
        <f t="array" ref="G762">IFNA(_xlfn.XLOOKUP(D762,Table_Tarikan_Warkah[Nomor Tiket],Table_Tarikan_Warkah[Jenis Permohonan]),"")</f>
        <v>BN JUAL BELI</v>
      </c>
      <c r="H762" s="49" t="s">
        <v>20</v>
      </c>
      <c r="I762" s="49" t="s">
        <v>23</v>
      </c>
      <c r="J762" s="36">
        <f t="shared" si="20"/>
        <v>45664.38832</v>
      </c>
      <c r="K762" s="49" t="s">
        <v>26</v>
      </c>
      <c r="L762" s="49" t="s">
        <v>23</v>
      </c>
      <c r="M762" s="36">
        <f t="shared" si="21"/>
        <v>45664.3885</v>
      </c>
      <c r="N762" s="30" t="str">
        <f t="shared" si="22"/>
        <v>Selesai</v>
      </c>
      <c r="O762" s="45">
        <f t="shared" si="23"/>
        <v>45664.3885</v>
      </c>
      <c r="P762" s="47" t="b">
        <v>1</v>
      </c>
      <c r="Q762" s="36">
        <f t="shared" si="24"/>
        <v>45664.38857</v>
      </c>
      <c r="R762" s="47" t="b">
        <v>0</v>
      </c>
      <c r="S762" s="42" t="str">
        <f t="shared" si="25"/>
        <v/>
      </c>
      <c r="T762" s="42"/>
    </row>
    <row r="763" ht="22.5" customHeight="1">
      <c r="B763" s="42">
        <f t="shared" si="7"/>
        <v>757</v>
      </c>
      <c r="C763" s="31" t="s">
        <v>895</v>
      </c>
      <c r="D763" s="34" t="str">
        <f t="array" ref="D763">IFNA(_xlfn.XLOOKUP(C763,Table_Tarikan_Warkah[Nomor Sertipikat],Table_Tarikan_Warkah[Nomor Tiket]),"")</f>
        <v>K/29/171224/4</v>
      </c>
      <c r="E763" s="36" t="str">
        <f t="array" ref="E763">IFNA(_xlfn.XLOOKUP(D763,Table_Tarikan_Warkah[Nomor Tiket],Table_Tarikan_Warkah[Tanggal diserahkan kepada Validator]),"")</f>
        <v>18/12/2024 16.44</v>
      </c>
      <c r="F763" s="36" t="str">
        <f t="array" ref="F763">IFNA(_xlfn.XLOOKUP(D763,Table_Tarikan_Warkah[Nomor Tiket],Table_Tarikan_Warkah[Nama Petugas Warkah]),"")</f>
        <v>David</v>
      </c>
      <c r="G763" s="39" t="str">
        <f t="array" ref="G763">IFNA(_xlfn.XLOOKUP(D763,Table_Tarikan_Warkah[Nomor Tiket],Table_Tarikan_Warkah[Jenis Permohonan]),"")</f>
        <v>BN JUAL BELI</v>
      </c>
      <c r="H763" s="49" t="s">
        <v>20</v>
      </c>
      <c r="I763" s="49" t="s">
        <v>23</v>
      </c>
      <c r="J763" s="36">
        <f t="shared" si="20"/>
        <v>45664.38832</v>
      </c>
      <c r="K763" s="49" t="s">
        <v>26</v>
      </c>
      <c r="L763" s="49" t="s">
        <v>23</v>
      </c>
      <c r="M763" s="36">
        <f t="shared" si="21"/>
        <v>45664.3885</v>
      </c>
      <c r="N763" s="30" t="str">
        <f t="shared" si="22"/>
        <v>Selesai</v>
      </c>
      <c r="O763" s="45">
        <f t="shared" si="23"/>
        <v>45664.3885</v>
      </c>
      <c r="P763" s="47" t="b">
        <v>1</v>
      </c>
      <c r="Q763" s="36">
        <f t="shared" si="24"/>
        <v>45664.38858</v>
      </c>
      <c r="R763" s="47" t="b">
        <v>0</v>
      </c>
      <c r="S763" s="42" t="str">
        <f t="shared" si="25"/>
        <v/>
      </c>
      <c r="T763" s="42"/>
    </row>
    <row r="764" ht="22.5" customHeight="1">
      <c r="B764" s="42">
        <f t="shared" si="7"/>
        <v>758</v>
      </c>
      <c r="C764" s="31" t="s">
        <v>166</v>
      </c>
      <c r="D764" s="34" t="str">
        <f t="array" ref="D764">IFNA(_xlfn.XLOOKUP(C764,Table_Tarikan_Warkah[Nomor Sertipikat],Table_Tarikan_Warkah[Nomor Tiket]),"")</f>
        <v>K/47/231224/1</v>
      </c>
      <c r="E764" s="36">
        <f t="array" ref="E764">IFNA(_xlfn.XLOOKUP(D764,Table_Tarikan_Warkah[Nomor Tiket],Table_Tarikan_Warkah[Tanggal diserahkan kepada Validator]),"")</f>
        <v>45666.70579</v>
      </c>
      <c r="F764" s="36" t="str">
        <f t="array" ref="F764">IFNA(_xlfn.XLOOKUP(D764,Table_Tarikan_Warkah[Nomor Tiket],Table_Tarikan_Warkah[Nama Petugas Warkah]),"")</f>
        <v/>
      </c>
      <c r="G764" s="39" t="str">
        <f t="array" ref="G764">IFNA(_xlfn.XLOOKUP(D764,Table_Tarikan_Warkah[Nomor Tiket],Table_Tarikan_Warkah[Jenis Permohonan]),"")</f>
        <v>BN JUAL BELI</v>
      </c>
      <c r="H764" s="49" t="s">
        <v>20</v>
      </c>
      <c r="I764" s="49" t="s">
        <v>23</v>
      </c>
      <c r="J764" s="36">
        <f t="shared" si="20"/>
        <v>45664.38832</v>
      </c>
      <c r="K764" s="49" t="s">
        <v>26</v>
      </c>
      <c r="L764" s="49" t="s">
        <v>23</v>
      </c>
      <c r="M764" s="36">
        <f t="shared" si="21"/>
        <v>45664.3885</v>
      </c>
      <c r="N764" s="30" t="str">
        <f t="shared" si="22"/>
        <v>Selesai</v>
      </c>
      <c r="O764" s="45">
        <f t="shared" si="23"/>
        <v>45664.3885</v>
      </c>
      <c r="P764" s="47" t="b">
        <v>1</v>
      </c>
      <c r="Q764" s="36">
        <f t="shared" si="24"/>
        <v>45664.38859</v>
      </c>
      <c r="R764" s="47" t="b">
        <v>0</v>
      </c>
      <c r="S764" s="42" t="str">
        <f t="shared" si="25"/>
        <v/>
      </c>
      <c r="T764" s="42"/>
    </row>
    <row r="765" ht="22.5" customHeight="1">
      <c r="B765" s="42">
        <f t="shared" si="7"/>
        <v>759</v>
      </c>
      <c r="C765" s="31" t="s">
        <v>164</v>
      </c>
      <c r="D765" s="34" t="str">
        <f t="array" ref="D765">IFNA(_xlfn.XLOOKUP(C765,Table_Tarikan_Warkah[Nomor Sertipikat],Table_Tarikan_Warkah[Nomor Tiket]),"")</f>
        <v>K/1/231224/1</v>
      </c>
      <c r="E765" s="36" t="str">
        <f t="array" ref="E765">IFNA(_xlfn.XLOOKUP(D765,Table_Tarikan_Warkah[Nomor Tiket],Table_Tarikan_Warkah[Tanggal diserahkan kepada Validator]),"")</f>
        <v/>
      </c>
      <c r="F765" s="36" t="str">
        <f t="array" ref="F765">IFNA(_xlfn.XLOOKUP(D765,Table_Tarikan_Warkah[Nomor Tiket],Table_Tarikan_Warkah[Nama Petugas Warkah]),"")</f>
        <v/>
      </c>
      <c r="G765" s="39" t="str">
        <f t="array" ref="G765">IFNA(_xlfn.XLOOKUP(D765,Table_Tarikan_Warkah[Nomor Tiket],Table_Tarikan_Warkah[Jenis Permohonan]),"")</f>
        <v>BN JUAL BELI</v>
      </c>
      <c r="H765" s="49" t="s">
        <v>20</v>
      </c>
      <c r="I765" s="49" t="s">
        <v>23</v>
      </c>
      <c r="J765" s="36">
        <f t="shared" si="20"/>
        <v>45664.38832</v>
      </c>
      <c r="K765" s="49" t="s">
        <v>26</v>
      </c>
      <c r="L765" s="49" t="s">
        <v>23</v>
      </c>
      <c r="M765" s="36">
        <f t="shared" si="21"/>
        <v>45664.3885</v>
      </c>
      <c r="N765" s="30" t="str">
        <f t="shared" si="22"/>
        <v>Selesai</v>
      </c>
      <c r="O765" s="45">
        <f t="shared" si="23"/>
        <v>45664.3885</v>
      </c>
      <c r="P765" s="47" t="b">
        <v>1</v>
      </c>
      <c r="Q765" s="36">
        <f t="shared" si="24"/>
        <v>45664.38859</v>
      </c>
      <c r="R765" s="47" t="b">
        <v>0</v>
      </c>
      <c r="S765" s="42" t="str">
        <f t="shared" si="25"/>
        <v/>
      </c>
      <c r="T765" s="42"/>
    </row>
    <row r="766" ht="22.5" customHeight="1">
      <c r="B766" s="42">
        <f t="shared" si="7"/>
        <v>760</v>
      </c>
      <c r="C766" s="31" t="s">
        <v>178</v>
      </c>
      <c r="D766" s="34" t="str">
        <f t="array" ref="D766">IFNA(_xlfn.XLOOKUP(C766,Table_Tarikan_Warkah[Nomor Sertipikat],Table_Tarikan_Warkah[Nomor Tiket]),"")</f>
        <v>K/25/241224/1</v>
      </c>
      <c r="E766" s="36" t="str">
        <f t="array" ref="E766">IFNA(_xlfn.XLOOKUP(D766,Table_Tarikan_Warkah[Nomor Tiket],Table_Tarikan_Warkah[Tanggal diserahkan kepada Validator]),"")</f>
        <v/>
      </c>
      <c r="F766" s="36" t="str">
        <f t="array" ref="F766">IFNA(_xlfn.XLOOKUP(D766,Table_Tarikan_Warkah[Nomor Tiket],Table_Tarikan_Warkah[Nama Petugas Warkah]),"")</f>
        <v/>
      </c>
      <c r="G766" s="39" t="str">
        <f t="array" ref="G766">IFNA(_xlfn.XLOOKUP(D766,Table_Tarikan_Warkah[Nomor Tiket],Table_Tarikan_Warkah[Jenis Permohonan]),"")</f>
        <v>BN JUAL BELI</v>
      </c>
      <c r="H766" s="41" t="s">
        <v>20</v>
      </c>
      <c r="I766" s="41" t="s">
        <v>12</v>
      </c>
      <c r="J766" s="36">
        <f t="shared" si="20"/>
        <v>45664.41859</v>
      </c>
      <c r="K766" s="41" t="s">
        <v>26</v>
      </c>
      <c r="L766" s="41" t="s">
        <v>12</v>
      </c>
      <c r="M766" s="36">
        <f t="shared" si="21"/>
        <v>45664.41865</v>
      </c>
      <c r="N766" s="30" t="str">
        <f t="shared" si="22"/>
        <v>SELESAI</v>
      </c>
      <c r="O766" s="45">
        <f t="shared" si="23"/>
        <v>45664.41865</v>
      </c>
      <c r="P766" s="47" t="b">
        <v>0</v>
      </c>
      <c r="Q766" s="36" t="str">
        <f t="shared" si="24"/>
        <v/>
      </c>
      <c r="R766" s="47" t="b">
        <v>1</v>
      </c>
      <c r="S766" s="36">
        <f t="shared" si="25"/>
        <v>45664.4187</v>
      </c>
      <c r="T766" s="42"/>
    </row>
    <row r="767" ht="22.5" customHeight="1">
      <c r="B767" s="42">
        <f t="shared" si="7"/>
        <v>761</v>
      </c>
      <c r="C767" s="31" t="s">
        <v>147</v>
      </c>
      <c r="D767" s="34" t="str">
        <f t="array" ref="D767">IFNA(_xlfn.XLOOKUP(C767,Table_Tarikan_Warkah[Nomor Sertipikat],Table_Tarikan_Warkah[Nomor Tiket]),"")</f>
        <v>K/60/231224/1</v>
      </c>
      <c r="E767" s="36" t="str">
        <f t="array" ref="E767">IFNA(_xlfn.XLOOKUP(D767,Table_Tarikan_Warkah[Nomor Tiket],Table_Tarikan_Warkah[Tanggal diserahkan kepada Validator]),"")</f>
        <v/>
      </c>
      <c r="F767" s="36" t="str">
        <f t="array" ref="F767">IFNA(_xlfn.XLOOKUP(D767,Table_Tarikan_Warkah[Nomor Tiket],Table_Tarikan_Warkah[Nama Petugas Warkah]),"")</f>
        <v/>
      </c>
      <c r="G767" s="39" t="str">
        <f t="array" ref="G767">IFNA(_xlfn.XLOOKUP(D767,Table_Tarikan_Warkah[Nomor Tiket],Table_Tarikan_Warkah[Jenis Permohonan]),"")</f>
        <v>BN JUAL BELI</v>
      </c>
      <c r="H767" s="41" t="s">
        <v>20</v>
      </c>
      <c r="I767" s="41" t="s">
        <v>12</v>
      </c>
      <c r="J767" s="36">
        <f t="shared" si="20"/>
        <v>45664.4272</v>
      </c>
      <c r="K767" s="41" t="s">
        <v>26</v>
      </c>
      <c r="L767" s="41" t="s">
        <v>12</v>
      </c>
      <c r="M767" s="36">
        <f t="shared" si="21"/>
        <v>45664.42724</v>
      </c>
      <c r="N767" s="30" t="str">
        <f t="shared" si="22"/>
        <v>SELESAI</v>
      </c>
      <c r="O767" s="45">
        <f t="shared" si="23"/>
        <v>45664.42724</v>
      </c>
      <c r="P767" s="47" t="b">
        <v>0</v>
      </c>
      <c r="Q767" s="36" t="str">
        <f t="shared" si="24"/>
        <v/>
      </c>
      <c r="R767" s="47" t="b">
        <v>1</v>
      </c>
      <c r="S767" s="36">
        <f t="shared" si="25"/>
        <v>45664.42728</v>
      </c>
      <c r="T767" s="42"/>
    </row>
    <row r="768" ht="22.5" customHeight="1">
      <c r="B768" s="42">
        <f t="shared" si="7"/>
        <v>762</v>
      </c>
      <c r="C768" s="31" t="s">
        <v>896</v>
      </c>
      <c r="D768" s="34" t="str">
        <f t="array" ref="D768">IFNA(_xlfn.XLOOKUP(C768,Table_Tarikan_Warkah[Nomor Sertipikat],Table_Tarikan_Warkah[Nomor Tiket]),"")</f>
        <v>K/22/301225/2</v>
      </c>
      <c r="E768" s="36" t="str">
        <f t="array" ref="E768">IFNA(_xlfn.XLOOKUP(D768,Table_Tarikan_Warkah[Nomor Tiket],Table_Tarikan_Warkah[Tanggal diserahkan kepada Validator]),"")</f>
        <v/>
      </c>
      <c r="F768" s="36" t="str">
        <f t="array" ref="F768">IFNA(_xlfn.XLOOKUP(D768,Table_Tarikan_Warkah[Nomor Tiket],Table_Tarikan_Warkah[Nama Petugas Warkah]),"")</f>
        <v/>
      </c>
      <c r="G768" s="39" t="str">
        <f t="array" ref="G768">IFNA(_xlfn.XLOOKUP(D768,Table_Tarikan_Warkah[Nomor Tiket],Table_Tarikan_Warkah[Jenis Permohonan]),"")</f>
        <v>BN JUAL BELI</v>
      </c>
      <c r="H768" s="41" t="s">
        <v>20</v>
      </c>
      <c r="I768" s="41" t="s">
        <v>23</v>
      </c>
      <c r="J768" s="36">
        <f t="shared" si="20"/>
        <v>45664.43901</v>
      </c>
      <c r="K768" s="49" t="s">
        <v>197</v>
      </c>
      <c r="L768" s="49" t="s">
        <v>23</v>
      </c>
      <c r="M768" s="36">
        <f t="shared" si="21"/>
        <v>45665.64741</v>
      </c>
      <c r="N768" s="30" t="str">
        <f t="shared" si="22"/>
        <v>Selesai</v>
      </c>
      <c r="O768" s="45">
        <f t="shared" si="23"/>
        <v>45665.64741</v>
      </c>
      <c r="P768" s="47" t="b">
        <v>1</v>
      </c>
      <c r="Q768" s="36">
        <f t="shared" si="24"/>
        <v>45665.64748</v>
      </c>
      <c r="R768" s="47" t="b">
        <v>0</v>
      </c>
      <c r="S768" s="42" t="str">
        <f t="shared" si="25"/>
        <v/>
      </c>
      <c r="T768" s="42"/>
    </row>
    <row r="769" ht="22.5" customHeight="1">
      <c r="B769" s="42">
        <f t="shared" si="7"/>
        <v>763</v>
      </c>
      <c r="C769" s="31" t="s">
        <v>153</v>
      </c>
      <c r="D769" s="34" t="str">
        <f t="array" ref="D769">IFNA(_xlfn.XLOOKUP(C769,Table_Tarikan_Warkah[Nomor Sertipikat],Table_Tarikan_Warkah[Nomor Tiket]),"")</f>
        <v>K/7/241224/3</v>
      </c>
      <c r="E769" s="36" t="str">
        <f t="array" ref="E769">IFNA(_xlfn.XLOOKUP(D769,Table_Tarikan_Warkah[Nomor Tiket],Table_Tarikan_Warkah[Tanggal diserahkan kepada Validator]),"")</f>
        <v/>
      </c>
      <c r="F769" s="36" t="str">
        <f t="array" ref="F769">IFNA(_xlfn.XLOOKUP(D769,Table_Tarikan_Warkah[Nomor Tiket],Table_Tarikan_Warkah[Nama Petugas Warkah]),"")</f>
        <v/>
      </c>
      <c r="G769" s="39" t="str">
        <f t="array" ref="G769">IFNA(_xlfn.XLOOKUP(D769,Table_Tarikan_Warkah[Nomor Tiket],Table_Tarikan_Warkah[Jenis Permohonan]),"")</f>
        <v>BN JUAL BELI</v>
      </c>
      <c r="H769" s="41" t="s">
        <v>20</v>
      </c>
      <c r="I769" s="41" t="s">
        <v>12</v>
      </c>
      <c r="J769" s="36">
        <f t="shared" si="20"/>
        <v>45664.44145</v>
      </c>
      <c r="K769" s="41" t="s">
        <v>26</v>
      </c>
      <c r="L769" s="41" t="s">
        <v>12</v>
      </c>
      <c r="M769" s="36">
        <f t="shared" si="21"/>
        <v>45664.44149</v>
      </c>
      <c r="N769" s="30" t="str">
        <f t="shared" si="22"/>
        <v>SELESAI</v>
      </c>
      <c r="O769" s="45">
        <f t="shared" si="23"/>
        <v>45664.44149</v>
      </c>
      <c r="P769" s="47" t="b">
        <v>0</v>
      </c>
      <c r="Q769" s="36" t="str">
        <f t="shared" si="24"/>
        <v/>
      </c>
      <c r="R769" s="47" t="b">
        <v>1</v>
      </c>
      <c r="S769" s="36">
        <f t="shared" si="25"/>
        <v>45664.44331</v>
      </c>
      <c r="T769" s="42"/>
    </row>
    <row r="770" ht="22.5" customHeight="1">
      <c r="B770" s="42">
        <f t="shared" si="7"/>
        <v>764</v>
      </c>
      <c r="C770" s="31" t="s">
        <v>172</v>
      </c>
      <c r="D770" s="34" t="str">
        <f t="array" ref="D770">IFNA(_xlfn.XLOOKUP(C770,Table_Tarikan_Warkah[Nomor Sertipikat],Table_Tarikan_Warkah[Nomor Tiket]),"")</f>
        <v>K/21/241224/2</v>
      </c>
      <c r="E770" s="36" t="str">
        <f t="array" ref="E770">IFNA(_xlfn.XLOOKUP(D770,Table_Tarikan_Warkah[Nomor Tiket],Table_Tarikan_Warkah[Tanggal diserahkan kepada Validator]),"")</f>
        <v/>
      </c>
      <c r="F770" s="36" t="str">
        <f t="array" ref="F770">IFNA(_xlfn.XLOOKUP(D770,Table_Tarikan_Warkah[Nomor Tiket],Table_Tarikan_Warkah[Nama Petugas Warkah]),"")</f>
        <v/>
      </c>
      <c r="G770" s="39" t="str">
        <f t="array" ref="G770">IFNA(_xlfn.XLOOKUP(D770,Table_Tarikan_Warkah[Nomor Tiket],Table_Tarikan_Warkah[Jenis Permohonan]),"")</f>
        <v>BN Hibah</v>
      </c>
      <c r="H770" s="41" t="s">
        <v>20</v>
      </c>
      <c r="I770" s="41" t="s">
        <v>12</v>
      </c>
      <c r="J770" s="36">
        <f t="shared" si="20"/>
        <v>45664.44321</v>
      </c>
      <c r="K770" s="41" t="s">
        <v>26</v>
      </c>
      <c r="L770" s="41" t="s">
        <v>12</v>
      </c>
      <c r="M770" s="36">
        <f t="shared" si="21"/>
        <v>45664.44325</v>
      </c>
      <c r="N770" s="30" t="str">
        <f t="shared" si="22"/>
        <v>SELESAI</v>
      </c>
      <c r="O770" s="45">
        <f t="shared" si="23"/>
        <v>45664.44325</v>
      </c>
      <c r="P770" s="47" t="b">
        <v>0</v>
      </c>
      <c r="Q770" s="36" t="str">
        <f t="shared" si="24"/>
        <v/>
      </c>
      <c r="R770" s="47" t="b">
        <v>1</v>
      </c>
      <c r="S770" s="36">
        <f t="shared" si="25"/>
        <v>45664.44333</v>
      </c>
      <c r="T770" s="42"/>
    </row>
    <row r="771" ht="22.5" customHeight="1">
      <c r="B771" s="42">
        <f t="shared" si="7"/>
        <v>765</v>
      </c>
      <c r="C771" s="31" t="s">
        <v>897</v>
      </c>
      <c r="D771" s="34" t="str">
        <f t="array" ref="D771">IFNA(_xlfn.XLOOKUP(C771,Table_Tarikan_Warkah[Nomor Sertipikat],Table_Tarikan_Warkah[Nomor Tiket]),"")</f>
        <v>K/10/311224/1</v>
      </c>
      <c r="E771" s="36">
        <f t="array" ref="E771">IFNA(_xlfn.XLOOKUP(D771,Table_Tarikan_Warkah[Nomor Tiket],Table_Tarikan_Warkah[Tanggal diserahkan kepada Validator]),"")</f>
        <v>45667.35317</v>
      </c>
      <c r="F771" s="36" t="str">
        <f t="array" ref="F771">IFNA(_xlfn.XLOOKUP(D771,Table_Tarikan_Warkah[Nomor Tiket],Table_Tarikan_Warkah[Nama Petugas Warkah]),"")</f>
        <v>David</v>
      </c>
      <c r="G771" s="39" t="str">
        <f t="array" ref="G771">IFNA(_xlfn.XLOOKUP(D771,Table_Tarikan_Warkah[Nomor Tiket],Table_Tarikan_Warkah[Jenis Permohonan]),"")</f>
        <v>BN JUAL BELI</v>
      </c>
      <c r="H771" s="41" t="s">
        <v>20</v>
      </c>
      <c r="I771" s="41" t="s">
        <v>23</v>
      </c>
      <c r="J771" s="36">
        <f t="shared" si="20"/>
        <v>45664.44367</v>
      </c>
      <c r="K771" s="49" t="s">
        <v>197</v>
      </c>
      <c r="L771" s="49" t="s">
        <v>23</v>
      </c>
      <c r="M771" s="36">
        <f t="shared" si="21"/>
        <v>45665.64745</v>
      </c>
      <c r="N771" s="30" t="str">
        <f t="shared" si="22"/>
        <v>Selesai</v>
      </c>
      <c r="O771" s="45">
        <f t="shared" si="23"/>
        <v>45665.64745</v>
      </c>
      <c r="P771" s="47" t="b">
        <v>1</v>
      </c>
      <c r="Q771" s="36">
        <f t="shared" si="24"/>
        <v>45665.64753</v>
      </c>
      <c r="R771" s="47" t="b">
        <v>0</v>
      </c>
      <c r="S771" s="42" t="str">
        <f t="shared" si="25"/>
        <v/>
      </c>
      <c r="T771" s="42"/>
    </row>
    <row r="772" ht="22.5" customHeight="1">
      <c r="B772" s="42">
        <f t="shared" si="7"/>
        <v>766</v>
      </c>
      <c r="C772" s="31" t="s">
        <v>898</v>
      </c>
      <c r="D772" s="34" t="str">
        <f t="array" ref="D772">IFNA(_xlfn.XLOOKUP(C772,Table_Tarikan_Warkah[Nomor Sertipikat],Table_Tarikan_Warkah[Nomor Tiket]),"")</f>
        <v>K/14/241224/2</v>
      </c>
      <c r="E772" s="36">
        <f t="array" ref="E772">IFNA(_xlfn.XLOOKUP(D772,Table_Tarikan_Warkah[Nomor Tiket],Table_Tarikan_Warkah[Tanggal diserahkan kepada Validator]),"")</f>
        <v>45695.37827</v>
      </c>
      <c r="F772" s="36" t="str">
        <f t="array" ref="F772">IFNA(_xlfn.XLOOKUP(D772,Table_Tarikan_Warkah[Nomor Tiket],Table_Tarikan_Warkah[Nama Petugas Warkah]),"")</f>
        <v/>
      </c>
      <c r="G772" s="39" t="str">
        <f t="array" ref="G772">IFNA(_xlfn.XLOOKUP(D772,Table_Tarikan_Warkah[Nomor Tiket],Table_Tarikan_Warkah[Jenis Permohonan]),"")</f>
        <v>ROYA</v>
      </c>
      <c r="H772" s="41" t="s">
        <v>20</v>
      </c>
      <c r="I772" s="41" t="s">
        <v>12</v>
      </c>
      <c r="J772" s="36">
        <f t="shared" si="20"/>
        <v>45664.44419</v>
      </c>
      <c r="K772" s="41" t="s">
        <v>26</v>
      </c>
      <c r="L772" s="41" t="s">
        <v>12</v>
      </c>
      <c r="M772" s="36">
        <f t="shared" si="21"/>
        <v>45664.44426</v>
      </c>
      <c r="N772" s="30" t="str">
        <f t="shared" si="22"/>
        <v>SELESAI</v>
      </c>
      <c r="O772" s="45">
        <f t="shared" si="23"/>
        <v>45664.44426</v>
      </c>
      <c r="P772" s="47" t="b">
        <v>0</v>
      </c>
      <c r="Q772" s="36" t="str">
        <f t="shared" si="24"/>
        <v/>
      </c>
      <c r="R772" s="47" t="b">
        <v>1</v>
      </c>
      <c r="S772" s="36">
        <f t="shared" si="25"/>
        <v>45664.4443</v>
      </c>
      <c r="T772" s="42"/>
    </row>
    <row r="773" ht="22.5" customHeight="1">
      <c r="B773" s="42">
        <f t="shared" si="7"/>
        <v>767</v>
      </c>
      <c r="C773" s="31" t="s">
        <v>899</v>
      </c>
      <c r="D773" s="34" t="str">
        <f t="array" ref="D773">IFNA(_xlfn.XLOOKUP(C773,Table_Tarikan_Warkah[Nomor Sertipikat],Table_Tarikan_Warkah[Nomor Tiket]),"")</f>
        <v>K/28/020125/4</v>
      </c>
      <c r="E773" s="36">
        <f t="array" ref="E773">IFNA(_xlfn.XLOOKUP(D773,Table_Tarikan_Warkah[Nomor Tiket],Table_Tarikan_Warkah[Tanggal diserahkan kepada Validator]),"")</f>
        <v>0</v>
      </c>
      <c r="F773" s="36" t="str">
        <f t="array" ref="F773">IFNA(_xlfn.XLOOKUP(D773,Table_Tarikan_Warkah[Nomor Tiket],Table_Tarikan_Warkah[Nama Petugas Warkah]),"")</f>
        <v>Berry</v>
      </c>
      <c r="G773" s="39" t="str">
        <f t="array" ref="G773">IFNA(_xlfn.XLOOKUP(D773,Table_Tarikan_Warkah[Nomor Tiket],Table_Tarikan_Warkah[Jenis Permohonan]),"")</f>
        <v>BN Jual Beli</v>
      </c>
      <c r="H773" s="41" t="s">
        <v>20</v>
      </c>
      <c r="I773" s="41" t="s">
        <v>12</v>
      </c>
      <c r="J773" s="36">
        <f t="shared" si="20"/>
        <v>45664.44953</v>
      </c>
      <c r="K773" s="41" t="s">
        <v>26</v>
      </c>
      <c r="L773" s="41" t="s">
        <v>12</v>
      </c>
      <c r="M773" s="36">
        <f t="shared" si="21"/>
        <v>45664.44958</v>
      </c>
      <c r="N773" s="30" t="str">
        <f t="shared" si="22"/>
        <v>SELESAI</v>
      </c>
      <c r="O773" s="45">
        <f t="shared" si="23"/>
        <v>45664.44958</v>
      </c>
      <c r="P773" s="47" t="b">
        <v>0</v>
      </c>
      <c r="Q773" s="36" t="str">
        <f t="shared" si="24"/>
        <v/>
      </c>
      <c r="R773" s="47" t="b">
        <v>1</v>
      </c>
      <c r="S773" s="36">
        <f t="shared" si="25"/>
        <v>45664.44961</v>
      </c>
      <c r="T773" s="42"/>
    </row>
    <row r="774" ht="22.5" customHeight="1">
      <c r="B774" s="42">
        <f t="shared" si="7"/>
        <v>768</v>
      </c>
      <c r="C774" s="31" t="s">
        <v>900</v>
      </c>
      <c r="D774" s="34" t="str">
        <f t="array" ref="D774">IFNA(_xlfn.XLOOKUP(C774,Table_Tarikan_Warkah[Nomor Sertipikat],Table_Tarikan_Warkah[Nomor Tiket]),"")</f>
        <v>K/28/030125/1</v>
      </c>
      <c r="E774" s="36">
        <f t="array" ref="E774">IFNA(_xlfn.XLOOKUP(D774,Table_Tarikan_Warkah[Nomor Tiket],Table_Tarikan_Warkah[Tanggal diserahkan kepada Validator]),"")</f>
        <v>0</v>
      </c>
      <c r="F774" s="36" t="str">
        <f t="array" ref="F774">IFNA(_xlfn.XLOOKUP(D774,Table_Tarikan_Warkah[Nomor Tiket],Table_Tarikan_Warkah[Nama Petugas Warkah]),"")</f>
        <v>David</v>
      </c>
      <c r="G774" s="39" t="str">
        <f t="array" ref="G774">IFNA(_xlfn.XLOOKUP(D774,Table_Tarikan_Warkah[Nomor Tiket],Table_Tarikan_Warkah[Jenis Permohonan]),"")</f>
        <v>BN JUAL BELI</v>
      </c>
      <c r="H774" s="41" t="s">
        <v>20</v>
      </c>
      <c r="I774" s="41" t="s">
        <v>12</v>
      </c>
      <c r="J774" s="36">
        <f t="shared" si="20"/>
        <v>45664.59789</v>
      </c>
      <c r="K774" s="51"/>
      <c r="L774" s="51"/>
      <c r="M774" s="36" t="str">
        <f t="shared" si="21"/>
        <v/>
      </c>
      <c r="N774" s="30" t="str">
        <f t="shared" si="22"/>
        <v>BT atau SU Belum Valid</v>
      </c>
      <c r="O774" s="39" t="str">
        <f t="shared" si="23"/>
        <v/>
      </c>
      <c r="P774" s="47" t="b">
        <v>0</v>
      </c>
      <c r="Q774" s="36" t="str">
        <f t="shared" si="24"/>
        <v/>
      </c>
      <c r="R774" s="47" t="b">
        <v>0</v>
      </c>
      <c r="S774" s="42" t="str">
        <f t="shared" si="25"/>
        <v/>
      </c>
      <c r="T774" s="42"/>
    </row>
    <row r="775" ht="22.5" customHeight="1">
      <c r="B775" s="42">
        <f t="shared" si="7"/>
        <v>769</v>
      </c>
      <c r="C775" s="31" t="s">
        <v>901</v>
      </c>
      <c r="D775" s="34" t="str">
        <f t="array" ref="D775">IFNA(_xlfn.XLOOKUP(C775,Table_Tarikan_Warkah[Nomor Sertipikat],Table_Tarikan_Warkah[Nomor Tiket]),"")</f>
        <v>L/29/030125/1</v>
      </c>
      <c r="E775" s="36">
        <f t="array" ref="E775">IFNA(_xlfn.XLOOKUP(D775,Table_Tarikan_Warkah[Nomor Tiket],Table_Tarikan_Warkah[Tanggal diserahkan kepada Validator]),"")</f>
        <v>0</v>
      </c>
      <c r="F775" s="36" t="str">
        <f t="array" ref="F775">IFNA(_xlfn.XLOOKUP(D775,Table_Tarikan_Warkah[Nomor Tiket],Table_Tarikan_Warkah[Nama Petugas Warkah]),"")</f>
        <v>David</v>
      </c>
      <c r="G775" s="39" t="str">
        <f t="array" ref="G775">IFNA(_xlfn.XLOOKUP(D775,Table_Tarikan_Warkah[Nomor Tiket],Table_Tarikan_Warkah[Jenis Permohonan]),"")</f>
        <v>ROYA</v>
      </c>
      <c r="H775" s="41" t="s">
        <v>20</v>
      </c>
      <c r="I775" s="41" t="s">
        <v>12</v>
      </c>
      <c r="J775" s="36">
        <f t="shared" si="20"/>
        <v>45664.59789</v>
      </c>
      <c r="K775" s="41" t="s">
        <v>197</v>
      </c>
      <c r="L775" s="41" t="s">
        <v>12</v>
      </c>
      <c r="M775" s="36">
        <f t="shared" si="21"/>
        <v>45667.43272</v>
      </c>
      <c r="N775" s="30" t="str">
        <f t="shared" si="22"/>
        <v>SELESAI</v>
      </c>
      <c r="O775" s="45">
        <f t="shared" si="23"/>
        <v>45667.43272</v>
      </c>
      <c r="P775" s="47" t="b">
        <v>0</v>
      </c>
      <c r="Q775" s="36" t="str">
        <f t="shared" si="24"/>
        <v/>
      </c>
      <c r="R775" s="47" t="b">
        <v>1</v>
      </c>
      <c r="S775" s="36">
        <f t="shared" si="25"/>
        <v>45667.43275</v>
      </c>
      <c r="T775" s="42"/>
    </row>
    <row r="776" ht="22.5" customHeight="1">
      <c r="B776" s="42">
        <f t="shared" si="7"/>
        <v>770</v>
      </c>
      <c r="C776" s="31" t="s">
        <v>902</v>
      </c>
      <c r="D776" s="34" t="str">
        <f t="array" ref="D776">IFNA(_xlfn.XLOOKUP(C776,Table_Tarikan_Warkah[Nomor Sertipikat],Table_Tarikan_Warkah[Nomor Tiket]),"")</f>
        <v>L/30/030125/2</v>
      </c>
      <c r="E776" s="36">
        <f t="array" ref="E776">IFNA(_xlfn.XLOOKUP(D776,Table_Tarikan_Warkah[Nomor Tiket],Table_Tarikan_Warkah[Tanggal diserahkan kepada Validator]),"")</f>
        <v>0</v>
      </c>
      <c r="F776" s="36" t="str">
        <f t="array" ref="F776">IFNA(_xlfn.XLOOKUP(D776,Table_Tarikan_Warkah[Nomor Tiket],Table_Tarikan_Warkah[Nama Petugas Warkah]),"")</f>
        <v>David</v>
      </c>
      <c r="G776" s="39" t="str">
        <f t="array" ref="G776">IFNA(_xlfn.XLOOKUP(D776,Table_Tarikan_Warkah[Nomor Tiket],Table_Tarikan_Warkah[Jenis Permohonan]),"")</f>
        <v>ROYA</v>
      </c>
      <c r="H776" s="41" t="s">
        <v>20</v>
      </c>
      <c r="I776" s="41" t="s">
        <v>12</v>
      </c>
      <c r="J776" s="36">
        <f t="shared" si="20"/>
        <v>45664.59789</v>
      </c>
      <c r="K776" s="41" t="s">
        <v>197</v>
      </c>
      <c r="L776" s="41" t="s">
        <v>12</v>
      </c>
      <c r="M776" s="36">
        <f t="shared" si="21"/>
        <v>45667.43252</v>
      </c>
      <c r="N776" s="30" t="str">
        <f t="shared" si="22"/>
        <v>SELESAI</v>
      </c>
      <c r="O776" s="45">
        <f t="shared" si="23"/>
        <v>45667.43252</v>
      </c>
      <c r="P776" s="47" t="b">
        <v>0</v>
      </c>
      <c r="Q776" s="36" t="str">
        <f t="shared" si="24"/>
        <v/>
      </c>
      <c r="R776" s="47" t="b">
        <v>1</v>
      </c>
      <c r="S776" s="36">
        <f t="shared" si="25"/>
        <v>45667.43255</v>
      </c>
      <c r="T776" s="42"/>
    </row>
    <row r="777" ht="22.5" customHeight="1">
      <c r="B777" s="42">
        <f t="shared" si="7"/>
        <v>771</v>
      </c>
      <c r="C777" s="31" t="s">
        <v>903</v>
      </c>
      <c r="D777" s="34" t="str">
        <f t="array" ref="D777">IFNA(_xlfn.XLOOKUP(C777,Table_Tarikan_Warkah[Nomor Sertipikat],Table_Tarikan_Warkah[Nomor Tiket]),"")</f>
        <v>L/33/030125/1</v>
      </c>
      <c r="E777" s="36">
        <f t="array" ref="E777">IFNA(_xlfn.XLOOKUP(D777,Table_Tarikan_Warkah[Nomor Tiket],Table_Tarikan_Warkah[Tanggal diserahkan kepada Validator]),"")</f>
        <v>0</v>
      </c>
      <c r="F777" s="36" t="str">
        <f t="array" ref="F777">IFNA(_xlfn.XLOOKUP(D777,Table_Tarikan_Warkah[Nomor Tiket],Table_Tarikan_Warkah[Nama Petugas Warkah]),"")</f>
        <v>David</v>
      </c>
      <c r="G777" s="39" t="str">
        <f t="array" ref="G777">IFNA(_xlfn.XLOOKUP(D777,Table_Tarikan_Warkah[Nomor Tiket],Table_Tarikan_Warkah[Jenis Permohonan]),"")</f>
        <v>ROYA</v>
      </c>
      <c r="H777" s="41" t="s">
        <v>20</v>
      </c>
      <c r="I777" s="41" t="s">
        <v>12</v>
      </c>
      <c r="J777" s="36">
        <f t="shared" si="20"/>
        <v>45664.59789</v>
      </c>
      <c r="K777" s="41" t="s">
        <v>197</v>
      </c>
      <c r="L777" s="41" t="s">
        <v>12</v>
      </c>
      <c r="M777" s="36">
        <f t="shared" si="21"/>
        <v>45667.43342</v>
      </c>
      <c r="N777" s="30" t="str">
        <f t="shared" si="22"/>
        <v>SELESAI</v>
      </c>
      <c r="O777" s="45">
        <f t="shared" si="23"/>
        <v>45667.43342</v>
      </c>
      <c r="P777" s="47" t="b">
        <v>0</v>
      </c>
      <c r="Q777" s="36" t="str">
        <f t="shared" si="24"/>
        <v/>
      </c>
      <c r="R777" s="47" t="b">
        <v>1</v>
      </c>
      <c r="S777" s="36">
        <f t="shared" si="25"/>
        <v>45667.43344</v>
      </c>
      <c r="T777" s="42"/>
    </row>
    <row r="778" ht="22.5" customHeight="1">
      <c r="B778" s="42">
        <f t="shared" si="7"/>
        <v>772</v>
      </c>
      <c r="C778" s="31" t="s">
        <v>904</v>
      </c>
      <c r="D778" s="34" t="str">
        <f t="array" ref="D778">IFNA(_xlfn.XLOOKUP(C778,Table_Tarikan_Warkah[Nomor Sertipikat],Table_Tarikan_Warkah[Nomor Tiket]),"")</f>
        <v>L/26/030125/1</v>
      </c>
      <c r="E778" s="36">
        <f t="array" ref="E778">IFNA(_xlfn.XLOOKUP(D778,Table_Tarikan_Warkah[Nomor Tiket],Table_Tarikan_Warkah[Tanggal diserahkan kepada Validator]),"")</f>
        <v>0</v>
      </c>
      <c r="F778" s="36" t="str">
        <f t="array" ref="F778">IFNA(_xlfn.XLOOKUP(D778,Table_Tarikan_Warkah[Nomor Tiket],Table_Tarikan_Warkah[Nama Petugas Warkah]),"")</f>
        <v>David</v>
      </c>
      <c r="G778" s="39" t="str">
        <f t="array" ref="G778">IFNA(_xlfn.XLOOKUP(D778,Table_Tarikan_Warkah[Nomor Tiket],Table_Tarikan_Warkah[Jenis Permohonan]),"")</f>
        <v>ROYA</v>
      </c>
      <c r="H778" s="41" t="s">
        <v>20</v>
      </c>
      <c r="I778" s="41" t="s">
        <v>12</v>
      </c>
      <c r="J778" s="36">
        <f t="shared" si="20"/>
        <v>45664.5979</v>
      </c>
      <c r="K778" s="41" t="s">
        <v>197</v>
      </c>
      <c r="L778" s="41" t="s">
        <v>12</v>
      </c>
      <c r="M778" s="36">
        <f t="shared" si="21"/>
        <v>45667.43223</v>
      </c>
      <c r="N778" s="30" t="str">
        <f t="shared" si="22"/>
        <v>SELESAI</v>
      </c>
      <c r="O778" s="45">
        <f t="shared" si="23"/>
        <v>45667.43223</v>
      </c>
      <c r="P778" s="47" t="b">
        <v>0</v>
      </c>
      <c r="Q778" s="36" t="str">
        <f t="shared" si="24"/>
        <v/>
      </c>
      <c r="R778" s="47" t="b">
        <v>1</v>
      </c>
      <c r="S778" s="36">
        <f t="shared" si="25"/>
        <v>45667.43232</v>
      </c>
      <c r="T778" s="42"/>
    </row>
    <row r="779" ht="22.5" customHeight="1">
      <c r="B779" s="42">
        <f t="shared" si="7"/>
        <v>773</v>
      </c>
      <c r="C779" s="31" t="s">
        <v>905</v>
      </c>
      <c r="D779" s="34" t="str">
        <f t="array" ref="D779">IFNA(_xlfn.XLOOKUP(C779,Table_Tarikan_Warkah[Nomor Sertipikat],Table_Tarikan_Warkah[Nomor Tiket]),"")</f>
        <v>K/20/030125/2</v>
      </c>
      <c r="E779" s="36">
        <f t="array" ref="E779">IFNA(_xlfn.XLOOKUP(D779,Table_Tarikan_Warkah[Nomor Tiket],Table_Tarikan_Warkah[Tanggal diserahkan kepada Validator]),"")</f>
        <v>0</v>
      </c>
      <c r="F779" s="36" t="str">
        <f t="array" ref="F779">IFNA(_xlfn.XLOOKUP(D779,Table_Tarikan_Warkah[Nomor Tiket],Table_Tarikan_Warkah[Nama Petugas Warkah]),"")</f>
        <v>David</v>
      </c>
      <c r="G779" s="39" t="str">
        <f t="array" ref="G779">IFNA(_xlfn.XLOOKUP(D779,Table_Tarikan_Warkah[Nomor Tiket],Table_Tarikan_Warkah[Jenis Permohonan]),"")</f>
        <v>Roya</v>
      </c>
      <c r="H779" s="41" t="s">
        <v>20</v>
      </c>
      <c r="I779" s="41" t="s">
        <v>12</v>
      </c>
      <c r="J779" s="36">
        <f t="shared" si="20"/>
        <v>45664.59974</v>
      </c>
      <c r="K779" s="41" t="s">
        <v>197</v>
      </c>
      <c r="L779" s="41" t="s">
        <v>12</v>
      </c>
      <c r="M779" s="36">
        <f t="shared" si="21"/>
        <v>45667.4318</v>
      </c>
      <c r="N779" s="30" t="str">
        <f t="shared" si="22"/>
        <v>SELESAI</v>
      </c>
      <c r="O779" s="45">
        <f t="shared" si="23"/>
        <v>45667.4318</v>
      </c>
      <c r="P779" s="47" t="b">
        <v>0</v>
      </c>
      <c r="Q779" s="36" t="str">
        <f t="shared" si="24"/>
        <v/>
      </c>
      <c r="R779" s="47" t="b">
        <v>1</v>
      </c>
      <c r="S779" s="36">
        <f t="shared" si="25"/>
        <v>45667.43183</v>
      </c>
      <c r="T779" s="42"/>
    </row>
    <row r="780" ht="22.5" customHeight="1">
      <c r="B780" s="42">
        <f t="shared" si="7"/>
        <v>774</v>
      </c>
      <c r="C780" s="31" t="s">
        <v>906</v>
      </c>
      <c r="D780" s="34" t="str">
        <f t="array" ref="D780">IFNA(_xlfn.XLOOKUP(C780,Table_Tarikan_Warkah[Nomor Sertipikat],Table_Tarikan_Warkah[Nomor Tiket]),"")</f>
        <v>K/8/030125/1</v>
      </c>
      <c r="E780" s="36">
        <f t="array" ref="E780">IFNA(_xlfn.XLOOKUP(D780,Table_Tarikan_Warkah[Nomor Tiket],Table_Tarikan_Warkah[Tanggal diserahkan kepada Validator]),"")</f>
        <v>0</v>
      </c>
      <c r="F780" s="36" t="str">
        <f t="array" ref="F780">IFNA(_xlfn.XLOOKUP(D780,Table_Tarikan_Warkah[Nomor Tiket],Table_Tarikan_Warkah[Nama Petugas Warkah]),"")</f>
        <v>Berry</v>
      </c>
      <c r="G780" s="39" t="str">
        <f t="array" ref="G780">IFNA(_xlfn.XLOOKUP(D780,Table_Tarikan_Warkah[Nomor Tiket],Table_Tarikan_Warkah[Jenis Permohonan]),"")</f>
        <v>BN JUAL BELI</v>
      </c>
      <c r="H780" s="41" t="s">
        <v>11</v>
      </c>
      <c r="I780" s="41" t="s">
        <v>23</v>
      </c>
      <c r="J780" s="36">
        <f t="shared" si="20"/>
        <v>45664.60221</v>
      </c>
      <c r="K780" s="49" t="s">
        <v>197</v>
      </c>
      <c r="L780" s="49" t="s">
        <v>23</v>
      </c>
      <c r="M780" s="36">
        <f t="shared" si="21"/>
        <v>45665.64683</v>
      </c>
      <c r="N780" s="30" t="str">
        <f t="shared" si="22"/>
        <v>Selesai</v>
      </c>
      <c r="O780" s="45">
        <f t="shared" si="23"/>
        <v>45665.64683</v>
      </c>
      <c r="P780" s="47" t="b">
        <v>1</v>
      </c>
      <c r="Q780" s="36">
        <f t="shared" si="24"/>
        <v>45665.647</v>
      </c>
      <c r="R780" s="47" t="b">
        <v>0</v>
      </c>
      <c r="S780" s="42" t="str">
        <f t="shared" si="25"/>
        <v/>
      </c>
      <c r="T780" s="42"/>
    </row>
    <row r="781" ht="22.5" customHeight="1">
      <c r="B781" s="42">
        <f t="shared" si="7"/>
        <v>775</v>
      </c>
      <c r="C781" s="31" t="s">
        <v>907</v>
      </c>
      <c r="D781" s="34" t="str">
        <f t="array" ref="D781">IFNA(_xlfn.XLOOKUP(C781,Table_Tarikan_Warkah[Nomor Sertipikat],Table_Tarikan_Warkah[Nomor Tiket]),"")</f>
        <v>K/22/020125/1</v>
      </c>
      <c r="E781" s="36">
        <f t="array" ref="E781">IFNA(_xlfn.XLOOKUP(D781,Table_Tarikan_Warkah[Nomor Tiket],Table_Tarikan_Warkah[Tanggal diserahkan kepada Validator]),"")</f>
        <v>45670.71125</v>
      </c>
      <c r="F781" s="36" t="str">
        <f t="array" ref="F781">IFNA(_xlfn.XLOOKUP(D781,Table_Tarikan_Warkah[Nomor Tiket],Table_Tarikan_Warkah[Nama Petugas Warkah]),"")</f>
        <v>Berry</v>
      </c>
      <c r="G781" s="39" t="str">
        <f t="array" ref="G781">IFNA(_xlfn.XLOOKUP(D781,Table_Tarikan_Warkah[Nomor Tiket],Table_Tarikan_Warkah[Jenis Permohonan]),"")</f>
        <v>BN Jual Beli</v>
      </c>
      <c r="H781" s="41" t="s">
        <v>11</v>
      </c>
      <c r="I781" s="41" t="s">
        <v>23</v>
      </c>
      <c r="J781" s="36">
        <f t="shared" si="20"/>
        <v>45664.60233</v>
      </c>
      <c r="K781" s="49" t="s">
        <v>197</v>
      </c>
      <c r="L781" s="49" t="s">
        <v>23</v>
      </c>
      <c r="M781" s="36">
        <f t="shared" si="21"/>
        <v>45665.64687</v>
      </c>
      <c r="N781" s="30" t="str">
        <f t="shared" si="22"/>
        <v>Selesai</v>
      </c>
      <c r="O781" s="45">
        <f t="shared" si="23"/>
        <v>45665.64687</v>
      </c>
      <c r="P781" s="47" t="b">
        <v>1</v>
      </c>
      <c r="Q781" s="36">
        <f t="shared" si="24"/>
        <v>45665.64701</v>
      </c>
      <c r="R781" s="47" t="b">
        <v>0</v>
      </c>
      <c r="S781" s="42" t="str">
        <f t="shared" si="25"/>
        <v/>
      </c>
      <c r="T781" s="42"/>
    </row>
    <row r="782" ht="22.5" customHeight="1">
      <c r="B782" s="42">
        <f t="shared" si="7"/>
        <v>776</v>
      </c>
      <c r="C782" s="31" t="s">
        <v>908</v>
      </c>
      <c r="D782" s="34" t="str">
        <f t="array" ref="D782">IFNA(_xlfn.XLOOKUP(C782,Table_Tarikan_Warkah[Nomor Sertipikat],Table_Tarikan_Warkah[Nomor Tiket]),"")</f>
        <v>K/2/030125/2</v>
      </c>
      <c r="E782" s="36">
        <f t="array" ref="E782">IFNA(_xlfn.XLOOKUP(D782,Table_Tarikan_Warkah[Nomor Tiket],Table_Tarikan_Warkah[Tanggal diserahkan kepada Validator]),"")</f>
        <v>0</v>
      </c>
      <c r="F782" s="36" t="str">
        <f t="array" ref="F782">IFNA(_xlfn.XLOOKUP(D782,Table_Tarikan_Warkah[Nomor Tiket],Table_Tarikan_Warkah[Nama Petugas Warkah]),"")</f>
        <v>Berry</v>
      </c>
      <c r="G782" s="39" t="str">
        <f t="array" ref="G782">IFNA(_xlfn.XLOOKUP(D782,Table_Tarikan_Warkah[Nomor Tiket],Table_Tarikan_Warkah[Jenis Permohonan]),"")</f>
        <v>BN JUAL BELI</v>
      </c>
      <c r="H782" s="41" t="s">
        <v>11</v>
      </c>
      <c r="I782" s="41" t="s">
        <v>23</v>
      </c>
      <c r="J782" s="36">
        <f t="shared" si="20"/>
        <v>45664.60233</v>
      </c>
      <c r="K782" s="49" t="s">
        <v>197</v>
      </c>
      <c r="L782" s="49" t="s">
        <v>23</v>
      </c>
      <c r="M782" s="36">
        <f t="shared" si="21"/>
        <v>45665.64689</v>
      </c>
      <c r="N782" s="30" t="str">
        <f t="shared" si="22"/>
        <v>Selesai</v>
      </c>
      <c r="O782" s="45">
        <f t="shared" si="23"/>
        <v>45665.64689</v>
      </c>
      <c r="P782" s="47" t="b">
        <v>1</v>
      </c>
      <c r="Q782" s="36">
        <f t="shared" si="24"/>
        <v>45665.64702</v>
      </c>
      <c r="R782" s="47" t="b">
        <v>0</v>
      </c>
      <c r="S782" s="42" t="str">
        <f t="shared" si="25"/>
        <v/>
      </c>
      <c r="T782" s="42"/>
    </row>
    <row r="783" ht="22.5" customHeight="1">
      <c r="B783" s="42">
        <f t="shared" si="7"/>
        <v>777</v>
      </c>
      <c r="C783" s="31" t="s">
        <v>909</v>
      </c>
      <c r="D783" s="34" t="str">
        <f t="array" ref="D783">IFNA(_xlfn.XLOOKUP(C783,Table_Tarikan_Warkah[Nomor Sertipikat],Table_Tarikan_Warkah[Nomor Tiket]),"")</f>
        <v>K/11/281124/1</v>
      </c>
      <c r="E783" s="36">
        <f t="array" ref="E783">IFNA(_xlfn.XLOOKUP(D783,Table_Tarikan_Warkah[Nomor Tiket],Table_Tarikan_Warkah[Tanggal diserahkan kepada Validator]),"")</f>
        <v>45667.35683</v>
      </c>
      <c r="F783" s="36" t="str">
        <f t="array" ref="F783">IFNA(_xlfn.XLOOKUP(D783,Table_Tarikan_Warkah[Nomor Tiket],Table_Tarikan_Warkah[Nama Petugas Warkah]),"")</f>
        <v>Berry</v>
      </c>
      <c r="G783" s="39" t="str">
        <f t="array" ref="G783">IFNA(_xlfn.XLOOKUP(D783,Table_Tarikan_Warkah[Nomor Tiket],Table_Tarikan_Warkah[Jenis Permohonan]),"")</f>
        <v>BN JUAL BELI</v>
      </c>
      <c r="H783" s="41" t="s">
        <v>11</v>
      </c>
      <c r="I783" s="41" t="s">
        <v>23</v>
      </c>
      <c r="J783" s="36">
        <f t="shared" si="20"/>
        <v>45664.60233</v>
      </c>
      <c r="K783" s="49" t="s">
        <v>197</v>
      </c>
      <c r="L783" s="49" t="s">
        <v>23</v>
      </c>
      <c r="M783" s="36">
        <f t="shared" si="21"/>
        <v>45665.64691</v>
      </c>
      <c r="N783" s="30" t="str">
        <f t="shared" si="22"/>
        <v>Selesai</v>
      </c>
      <c r="O783" s="45">
        <f t="shared" si="23"/>
        <v>45665.64691</v>
      </c>
      <c r="P783" s="47" t="b">
        <v>1</v>
      </c>
      <c r="Q783" s="36">
        <f t="shared" si="24"/>
        <v>45665.64703</v>
      </c>
      <c r="R783" s="47" t="b">
        <v>0</v>
      </c>
      <c r="S783" s="42" t="str">
        <f t="shared" si="25"/>
        <v/>
      </c>
      <c r="T783" s="42"/>
    </row>
    <row r="784" ht="22.5" customHeight="1">
      <c r="B784" s="42">
        <f t="shared" si="7"/>
        <v>778</v>
      </c>
      <c r="C784" s="31" t="s">
        <v>910</v>
      </c>
      <c r="D784" s="34" t="str">
        <f t="array" ref="D784">IFNA(_xlfn.XLOOKUP(C784,Table_Tarikan_Warkah[Nomor Sertipikat],Table_Tarikan_Warkah[Nomor Tiket]),"")</f>
        <v>K/8/311224/1</v>
      </c>
      <c r="E784" s="36">
        <f t="array" ref="E784">IFNA(_xlfn.XLOOKUP(D784,Table_Tarikan_Warkah[Nomor Tiket],Table_Tarikan_Warkah[Tanggal diserahkan kepada Validator]),"")</f>
        <v>45667.35758</v>
      </c>
      <c r="F784" s="36" t="str">
        <f t="array" ref="F784">IFNA(_xlfn.XLOOKUP(D784,Table_Tarikan_Warkah[Nomor Tiket],Table_Tarikan_Warkah[Nama Petugas Warkah]),"")</f>
        <v>David</v>
      </c>
      <c r="G784" s="39" t="str">
        <f t="array" ref="G784">IFNA(_xlfn.XLOOKUP(D784,Table_Tarikan_Warkah[Nomor Tiket],Table_Tarikan_Warkah[Jenis Permohonan]),"")</f>
        <v>BN Jual Beli</v>
      </c>
      <c r="H784" s="41" t="s">
        <v>11</v>
      </c>
      <c r="I784" s="41" t="s">
        <v>23</v>
      </c>
      <c r="J784" s="36">
        <f t="shared" si="20"/>
        <v>45664.60233</v>
      </c>
      <c r="K784" s="49" t="s">
        <v>197</v>
      </c>
      <c r="L784" s="49" t="s">
        <v>23</v>
      </c>
      <c r="M784" s="36">
        <f t="shared" si="21"/>
        <v>45665.64693</v>
      </c>
      <c r="N784" s="30" t="str">
        <f t="shared" si="22"/>
        <v>Selesai</v>
      </c>
      <c r="O784" s="45">
        <f t="shared" si="23"/>
        <v>45665.64693</v>
      </c>
      <c r="P784" s="47" t="b">
        <v>1</v>
      </c>
      <c r="Q784" s="36">
        <f t="shared" si="24"/>
        <v>45665.64703</v>
      </c>
      <c r="R784" s="47" t="b">
        <v>0</v>
      </c>
      <c r="S784" s="42" t="str">
        <f t="shared" si="25"/>
        <v/>
      </c>
      <c r="T784" s="42"/>
    </row>
    <row r="785" ht="22.5" customHeight="1">
      <c r="B785" s="42">
        <f t="shared" si="7"/>
        <v>779</v>
      </c>
      <c r="C785" s="31" t="s">
        <v>911</v>
      </c>
      <c r="D785" s="34" t="str">
        <f t="array" ref="D785">IFNA(_xlfn.XLOOKUP(C785,Table_Tarikan_Warkah[Nomor Sertipikat],Table_Tarikan_Warkah[Nomor Tiket]),"")</f>
        <v>K/17/020125/2</v>
      </c>
      <c r="E785" s="36">
        <f t="array" ref="E785">IFNA(_xlfn.XLOOKUP(D785,Table_Tarikan_Warkah[Nomor Tiket],Table_Tarikan_Warkah[Tanggal diserahkan kepada Validator]),"")</f>
        <v>0</v>
      </c>
      <c r="F785" s="36" t="str">
        <f t="array" ref="F785">IFNA(_xlfn.XLOOKUP(D785,Table_Tarikan_Warkah[Nomor Tiket],Table_Tarikan_Warkah[Nama Petugas Warkah]),"")</f>
        <v>Berry</v>
      </c>
      <c r="G785" s="39" t="str">
        <f t="array" ref="G785">IFNA(_xlfn.XLOOKUP(D785,Table_Tarikan_Warkah[Nomor Tiket],Table_Tarikan_Warkah[Jenis Permohonan]),"")</f>
        <v>BN Jual Beli</v>
      </c>
      <c r="H785" s="41" t="s">
        <v>11</v>
      </c>
      <c r="I785" s="41" t="s">
        <v>23</v>
      </c>
      <c r="J785" s="36">
        <f t="shared" si="20"/>
        <v>45664.60233</v>
      </c>
      <c r="K785" s="49" t="s">
        <v>197</v>
      </c>
      <c r="L785" s="49" t="s">
        <v>23</v>
      </c>
      <c r="M785" s="36">
        <f t="shared" si="21"/>
        <v>45665.64698</v>
      </c>
      <c r="N785" s="30" t="str">
        <f t="shared" si="22"/>
        <v>Selesai</v>
      </c>
      <c r="O785" s="45">
        <f t="shared" si="23"/>
        <v>45665.64698</v>
      </c>
      <c r="P785" s="47" t="b">
        <v>1</v>
      </c>
      <c r="Q785" s="36">
        <f t="shared" si="24"/>
        <v>45665.64705</v>
      </c>
      <c r="R785" s="47" t="b">
        <v>0</v>
      </c>
      <c r="S785" s="42" t="str">
        <f t="shared" si="25"/>
        <v/>
      </c>
      <c r="T785" s="42"/>
    </row>
    <row r="786" ht="22.5" customHeight="1">
      <c r="B786" s="42">
        <f t="shared" si="7"/>
        <v>780</v>
      </c>
      <c r="C786" s="31" t="s">
        <v>912</v>
      </c>
      <c r="D786" s="34" t="str">
        <f t="array" ref="D786">IFNA(_xlfn.XLOOKUP(C786,Table_Tarikan_Warkah[Nomor Sertipikat],Table_Tarikan_Warkah[Nomor Tiket]),"")</f>
        <v>K/14/030125/2</v>
      </c>
      <c r="E786" s="36">
        <f t="array" ref="E786">IFNA(_xlfn.XLOOKUP(D786,Table_Tarikan_Warkah[Nomor Tiket],Table_Tarikan_Warkah[Tanggal diserahkan kepada Validator]),"")</f>
        <v>0</v>
      </c>
      <c r="F786" s="36" t="str">
        <f t="array" ref="F786">IFNA(_xlfn.XLOOKUP(D786,Table_Tarikan_Warkah[Nomor Tiket],Table_Tarikan_Warkah[Nama Petugas Warkah]),"")</f>
        <v>Berry</v>
      </c>
      <c r="G786" s="39" t="str">
        <f t="array" ref="G786">IFNA(_xlfn.XLOOKUP(D786,Table_Tarikan_Warkah[Nomor Tiket],Table_Tarikan_Warkah[Jenis Permohonan]),"")</f>
        <v>BN JUAL BELI</v>
      </c>
      <c r="H786" s="41" t="s">
        <v>11</v>
      </c>
      <c r="I786" s="41" t="s">
        <v>12</v>
      </c>
      <c r="J786" s="36">
        <f t="shared" si="20"/>
        <v>45664.60236</v>
      </c>
      <c r="K786" s="41" t="s">
        <v>197</v>
      </c>
      <c r="L786" s="41" t="s">
        <v>12</v>
      </c>
      <c r="M786" s="36">
        <f t="shared" si="21"/>
        <v>45667.43459</v>
      </c>
      <c r="N786" s="30" t="str">
        <f t="shared" si="22"/>
        <v>SELESAI</v>
      </c>
      <c r="O786" s="45">
        <f t="shared" si="23"/>
        <v>45667.43459</v>
      </c>
      <c r="P786" s="47" t="b">
        <v>0</v>
      </c>
      <c r="Q786" s="36" t="str">
        <f t="shared" si="24"/>
        <v/>
      </c>
      <c r="R786" s="47" t="b">
        <v>1</v>
      </c>
      <c r="S786" s="36">
        <f t="shared" si="25"/>
        <v>45667.43472</v>
      </c>
      <c r="T786" s="42"/>
    </row>
    <row r="787" ht="22.5" customHeight="1">
      <c r="B787" s="42">
        <f t="shared" si="7"/>
        <v>781</v>
      </c>
      <c r="C787" s="31" t="s">
        <v>913</v>
      </c>
      <c r="D787" s="34" t="str">
        <f t="array" ref="D787">IFNA(_xlfn.XLOOKUP(C787,Table_Tarikan_Warkah[Nomor Sertipikat],Table_Tarikan_Warkah[Nomor Tiket]),"")</f>
        <v>K/1/030125/1</v>
      </c>
      <c r="E787" s="36">
        <f t="array" ref="E787">IFNA(_xlfn.XLOOKUP(D787,Table_Tarikan_Warkah[Nomor Tiket],Table_Tarikan_Warkah[Tanggal diserahkan kepada Validator]),"")</f>
        <v>0</v>
      </c>
      <c r="F787" s="36" t="str">
        <f t="array" ref="F787">IFNA(_xlfn.XLOOKUP(D787,Table_Tarikan_Warkah[Nomor Tiket],Table_Tarikan_Warkah[Nama Petugas Warkah]),"")</f>
        <v>Berry</v>
      </c>
      <c r="G787" s="39" t="str">
        <f t="array" ref="G787">IFNA(_xlfn.XLOOKUP(D787,Table_Tarikan_Warkah[Nomor Tiket],Table_Tarikan_Warkah[Jenis Permohonan]),"")</f>
        <v>BN JUAL BELI</v>
      </c>
      <c r="H787" s="41" t="s">
        <v>11</v>
      </c>
      <c r="I787" s="41" t="s">
        <v>12</v>
      </c>
      <c r="J787" s="36">
        <f t="shared" si="20"/>
        <v>45664.60238</v>
      </c>
      <c r="K787" s="41" t="s">
        <v>197</v>
      </c>
      <c r="L787" s="41" t="s">
        <v>12</v>
      </c>
      <c r="M787" s="36">
        <f t="shared" si="21"/>
        <v>45667.43393</v>
      </c>
      <c r="N787" s="30" t="str">
        <f t="shared" si="22"/>
        <v>SELESAI</v>
      </c>
      <c r="O787" s="45">
        <f t="shared" si="23"/>
        <v>45667.43393</v>
      </c>
      <c r="P787" s="47" t="b">
        <v>0</v>
      </c>
      <c r="Q787" s="36" t="str">
        <f t="shared" si="24"/>
        <v/>
      </c>
      <c r="R787" s="47" t="b">
        <v>1</v>
      </c>
      <c r="S787" s="36">
        <f t="shared" si="25"/>
        <v>45667.43397</v>
      </c>
      <c r="T787" s="42"/>
    </row>
    <row r="788" ht="22.5" customHeight="1">
      <c r="B788" s="42">
        <f t="shared" si="7"/>
        <v>782</v>
      </c>
      <c r="C788" s="31" t="s">
        <v>914</v>
      </c>
      <c r="D788" s="34" t="str">
        <f t="array" ref="D788">IFNA(_xlfn.XLOOKUP(C788,Table_Tarikan_Warkah[Nomor Sertipikat],Table_Tarikan_Warkah[Nomor Tiket]),"")</f>
        <v>K/16/030125/1</v>
      </c>
      <c r="E788" s="36">
        <f t="array" ref="E788">IFNA(_xlfn.XLOOKUP(D788,Table_Tarikan_Warkah[Nomor Tiket],Table_Tarikan_Warkah[Tanggal diserahkan kepada Validator]),"")</f>
        <v>0</v>
      </c>
      <c r="F788" s="36" t="str">
        <f t="array" ref="F788">IFNA(_xlfn.XLOOKUP(D788,Table_Tarikan_Warkah[Nomor Tiket],Table_Tarikan_Warkah[Nama Petugas Warkah]),"")</f>
        <v>Berry</v>
      </c>
      <c r="G788" s="39" t="str">
        <f t="array" ref="G788">IFNA(_xlfn.XLOOKUP(D788,Table_Tarikan_Warkah[Nomor Tiket],Table_Tarikan_Warkah[Jenis Permohonan]),"")</f>
        <v>PEMECAHAN</v>
      </c>
      <c r="H788" s="41" t="s">
        <v>11</v>
      </c>
      <c r="I788" s="41" t="s">
        <v>12</v>
      </c>
      <c r="J788" s="36">
        <f t="shared" si="20"/>
        <v>45664.60238</v>
      </c>
      <c r="K788" s="41" t="s">
        <v>197</v>
      </c>
      <c r="L788" s="41" t="s">
        <v>12</v>
      </c>
      <c r="M788" s="36">
        <f t="shared" si="21"/>
        <v>45667.43418</v>
      </c>
      <c r="N788" s="30" t="str">
        <f t="shared" si="22"/>
        <v>SELESAI</v>
      </c>
      <c r="O788" s="45">
        <f t="shared" si="23"/>
        <v>45667.43418</v>
      </c>
      <c r="P788" s="47" t="b">
        <v>0</v>
      </c>
      <c r="Q788" s="36" t="str">
        <f t="shared" si="24"/>
        <v/>
      </c>
      <c r="R788" s="47" t="b">
        <v>1</v>
      </c>
      <c r="S788" s="36">
        <f t="shared" si="25"/>
        <v>45667.43473</v>
      </c>
      <c r="T788" s="42"/>
    </row>
    <row r="789" ht="22.5" customHeight="1">
      <c r="B789" s="42">
        <f t="shared" si="7"/>
        <v>783</v>
      </c>
      <c r="C789" s="31" t="s">
        <v>915</v>
      </c>
      <c r="D789" s="34" t="str">
        <f t="array" ref="D789">IFNA(_xlfn.XLOOKUP(C789,Table_Tarikan_Warkah[Nomor Sertipikat],Table_Tarikan_Warkah[Nomor Tiket]),"")</f>
        <v>K/12/030125/1</v>
      </c>
      <c r="E789" s="36">
        <f t="array" ref="E789">IFNA(_xlfn.XLOOKUP(D789,Table_Tarikan_Warkah[Nomor Tiket],Table_Tarikan_Warkah[Tanggal diserahkan kepada Validator]),"")</f>
        <v>0</v>
      </c>
      <c r="F789" s="36" t="str">
        <f t="array" ref="F789">IFNA(_xlfn.XLOOKUP(D789,Table_Tarikan_Warkah[Nomor Tiket],Table_Tarikan_Warkah[Nama Petugas Warkah]),"")</f>
        <v>Berry</v>
      </c>
      <c r="G789" s="39" t="str">
        <f t="array" ref="G789">IFNA(_xlfn.XLOOKUP(D789,Table_Tarikan_Warkah[Nomor Tiket],Table_Tarikan_Warkah[Jenis Permohonan]),"")</f>
        <v>BN Jual Beli</v>
      </c>
      <c r="H789" s="41" t="s">
        <v>11</v>
      </c>
      <c r="I789" s="41" t="s">
        <v>12</v>
      </c>
      <c r="J789" s="36">
        <f t="shared" si="20"/>
        <v>45664.60238</v>
      </c>
      <c r="K789" s="41" t="s">
        <v>197</v>
      </c>
      <c r="L789" s="41" t="s">
        <v>12</v>
      </c>
      <c r="M789" s="36">
        <f t="shared" si="21"/>
        <v>45667.43372</v>
      </c>
      <c r="N789" s="30" t="str">
        <f t="shared" si="22"/>
        <v>SELESAI</v>
      </c>
      <c r="O789" s="45">
        <f t="shared" si="23"/>
        <v>45667.43372</v>
      </c>
      <c r="P789" s="47" t="b">
        <v>0</v>
      </c>
      <c r="Q789" s="36" t="str">
        <f t="shared" si="24"/>
        <v/>
      </c>
      <c r="R789" s="47" t="b">
        <v>1</v>
      </c>
      <c r="S789" s="36">
        <f t="shared" si="25"/>
        <v>45667.43377</v>
      </c>
      <c r="T789" s="42"/>
    </row>
    <row r="790" ht="22.5" customHeight="1">
      <c r="B790" s="42">
        <f t="shared" si="7"/>
        <v>784</v>
      </c>
      <c r="C790" s="31" t="s">
        <v>916</v>
      </c>
      <c r="D790" s="34" t="str">
        <f t="array" ref="D790">IFNA(_xlfn.XLOOKUP(C790,Table_Tarikan_Warkah[Nomor Sertipikat],Table_Tarikan_Warkah[Nomor Tiket]),"")</f>
        <v>K/9/030125/1</v>
      </c>
      <c r="E790" s="36">
        <f t="array" ref="E790">IFNA(_xlfn.XLOOKUP(D790,Table_Tarikan_Warkah[Nomor Tiket],Table_Tarikan_Warkah[Tanggal diserahkan kepada Validator]),"")</f>
        <v>0</v>
      </c>
      <c r="F790" s="36" t="str">
        <f t="array" ref="F790">IFNA(_xlfn.XLOOKUP(D790,Table_Tarikan_Warkah[Nomor Tiket],Table_Tarikan_Warkah[Nama Petugas Warkah]),"")</f>
        <v>Berry</v>
      </c>
      <c r="G790" s="39" t="str">
        <f t="array" ref="G790">IFNA(_xlfn.XLOOKUP(D790,Table_Tarikan_Warkah[Nomor Tiket],Table_Tarikan_Warkah[Jenis Permohonan]),"")</f>
        <v>BN JUAL BELI</v>
      </c>
      <c r="H790" s="41" t="s">
        <v>11</v>
      </c>
      <c r="I790" s="41" t="s">
        <v>12</v>
      </c>
      <c r="J790" s="36">
        <f t="shared" si="20"/>
        <v>45664.60238</v>
      </c>
      <c r="K790" s="41" t="s">
        <v>197</v>
      </c>
      <c r="L790" s="41" t="s">
        <v>12</v>
      </c>
      <c r="M790" s="36">
        <f t="shared" si="21"/>
        <v>45667.43456</v>
      </c>
      <c r="N790" s="30" t="str">
        <f t="shared" si="22"/>
        <v>SELESAI</v>
      </c>
      <c r="O790" s="45">
        <f t="shared" si="23"/>
        <v>45667.43456</v>
      </c>
      <c r="P790" s="47" t="b">
        <v>0</v>
      </c>
      <c r="Q790" s="36" t="str">
        <f t="shared" si="24"/>
        <v/>
      </c>
      <c r="R790" s="47" t="b">
        <v>1</v>
      </c>
      <c r="S790" s="36">
        <f t="shared" si="25"/>
        <v>45667.43476</v>
      </c>
      <c r="T790" s="42"/>
    </row>
    <row r="791" ht="22.5" customHeight="1">
      <c r="B791" s="42">
        <f t="shared" si="7"/>
        <v>785</v>
      </c>
      <c r="C791" s="31" t="s">
        <v>917</v>
      </c>
      <c r="D791" s="34" t="str">
        <f t="array" ref="D791">IFNA(_xlfn.XLOOKUP(C791,Table_Tarikan_Warkah[Nomor Sertipikat],Table_Tarikan_Warkah[Nomor Tiket]),"")</f>
        <v>K/31/201224/3</v>
      </c>
      <c r="E791" s="36" t="str">
        <f t="array" ref="E791">IFNA(_xlfn.XLOOKUP(D791,Table_Tarikan_Warkah[Nomor Tiket],Table_Tarikan_Warkah[Tanggal diserahkan kepada Validator]),"")</f>
        <v/>
      </c>
      <c r="F791" s="36" t="str">
        <f t="array" ref="F791">IFNA(_xlfn.XLOOKUP(D791,Table_Tarikan_Warkah[Nomor Tiket],Table_Tarikan_Warkah[Nama Petugas Warkah]),"")</f>
        <v/>
      </c>
      <c r="G791" s="39" t="str">
        <f t="array" ref="G791">IFNA(_xlfn.XLOOKUP(D791,Table_Tarikan_Warkah[Nomor Tiket],Table_Tarikan_Warkah[Jenis Permohonan]),"")</f>
        <v>BN Waris</v>
      </c>
      <c r="H791" s="41" t="s">
        <v>20</v>
      </c>
      <c r="I791" s="41" t="s">
        <v>23</v>
      </c>
      <c r="J791" s="36">
        <f t="shared" si="20"/>
        <v>45664.60561</v>
      </c>
      <c r="K791" s="49" t="s">
        <v>197</v>
      </c>
      <c r="L791" s="49" t="s">
        <v>23</v>
      </c>
      <c r="M791" s="36">
        <f t="shared" si="21"/>
        <v>45665.64716</v>
      </c>
      <c r="N791" s="30" t="str">
        <f t="shared" si="22"/>
        <v>Selesai</v>
      </c>
      <c r="O791" s="45">
        <f t="shared" si="23"/>
        <v>45665.64716</v>
      </c>
      <c r="P791" s="47" t="b">
        <v>1</v>
      </c>
      <c r="Q791" s="36">
        <f t="shared" si="24"/>
        <v>45665.64719</v>
      </c>
      <c r="R791" s="47" t="b">
        <v>0</v>
      </c>
      <c r="S791" s="42" t="str">
        <f t="shared" si="25"/>
        <v/>
      </c>
      <c r="T791" s="42"/>
    </row>
    <row r="792" ht="22.5" customHeight="1">
      <c r="B792" s="42">
        <f t="shared" si="7"/>
        <v>786</v>
      </c>
      <c r="C792" s="31" t="s">
        <v>918</v>
      </c>
      <c r="D792" s="34" t="str">
        <f t="array" ref="D792">IFNA(_xlfn.XLOOKUP(C792,Table_Tarikan_Warkah[Nomor Sertipikat],Table_Tarikan_Warkah[Nomor Tiket]),"")</f>
        <v>K/26/271224/4</v>
      </c>
      <c r="E792" s="36" t="str">
        <f t="array" ref="E792">IFNA(_xlfn.XLOOKUP(D792,Table_Tarikan_Warkah[Nomor Tiket],Table_Tarikan_Warkah[Tanggal diserahkan kepada Validator]),"")</f>
        <v/>
      </c>
      <c r="F792" s="36" t="str">
        <f t="array" ref="F792">IFNA(_xlfn.XLOOKUP(D792,Table_Tarikan_Warkah[Nomor Tiket],Table_Tarikan_Warkah[Nama Petugas Warkah]),"")</f>
        <v/>
      </c>
      <c r="G792" s="39" t="str">
        <f t="array" ref="G792">IFNA(_xlfn.XLOOKUP(D792,Table_Tarikan_Warkah[Nomor Tiket],Table_Tarikan_Warkah[Jenis Permohonan]),"")</f>
        <v>BN JUAL BELI</v>
      </c>
      <c r="H792" s="41" t="s">
        <v>20</v>
      </c>
      <c r="I792" s="41" t="s">
        <v>23</v>
      </c>
      <c r="J792" s="36">
        <f t="shared" si="20"/>
        <v>45664.6069</v>
      </c>
      <c r="K792" s="41" t="s">
        <v>26</v>
      </c>
      <c r="L792" s="41" t="s">
        <v>23</v>
      </c>
      <c r="M792" s="36">
        <f t="shared" si="21"/>
        <v>45664.60699</v>
      </c>
      <c r="N792" s="30" t="str">
        <f t="shared" si="22"/>
        <v>Selesai</v>
      </c>
      <c r="O792" s="45">
        <f t="shared" si="23"/>
        <v>45664.60699</v>
      </c>
      <c r="P792" s="47" t="b">
        <v>1</v>
      </c>
      <c r="Q792" s="36">
        <f t="shared" si="24"/>
        <v>45664.60702</v>
      </c>
      <c r="R792" s="47" t="b">
        <v>0</v>
      </c>
      <c r="S792" s="42" t="str">
        <f t="shared" si="25"/>
        <v/>
      </c>
      <c r="T792" s="42"/>
    </row>
    <row r="793" ht="22.5" customHeight="1">
      <c r="B793" s="42">
        <f t="shared" si="7"/>
        <v>787</v>
      </c>
      <c r="C793" s="31" t="s">
        <v>919</v>
      </c>
      <c r="D793" s="34" t="str">
        <f t="array" ref="D793">IFNA(_xlfn.XLOOKUP(C793,Table_Tarikan_Warkah[Nomor Sertipikat],Table_Tarikan_Warkah[Nomor Tiket]),"")</f>
        <v>K/34/311224/1</v>
      </c>
      <c r="E793" s="36">
        <f t="array" ref="E793">IFNA(_xlfn.XLOOKUP(D793,Table_Tarikan_Warkah[Nomor Tiket],Table_Tarikan_Warkah[Tanggal diserahkan kepada Validator]),"")</f>
        <v>45673.43404</v>
      </c>
      <c r="F793" s="36" t="str">
        <f t="array" ref="F793">IFNA(_xlfn.XLOOKUP(D793,Table_Tarikan_Warkah[Nomor Tiket],Table_Tarikan_Warkah[Nama Petugas Warkah]),"")</f>
        <v>David</v>
      </c>
      <c r="G793" s="39" t="str">
        <f t="array" ref="G793">IFNA(_xlfn.XLOOKUP(D793,Table_Tarikan_Warkah[Nomor Tiket],Table_Tarikan_Warkah[Jenis Permohonan]),"")</f>
        <v>BN HIBAH</v>
      </c>
      <c r="H793" s="41" t="s">
        <v>20</v>
      </c>
      <c r="I793" s="41" t="s">
        <v>23</v>
      </c>
      <c r="J793" s="36">
        <f t="shared" si="20"/>
        <v>45664.60831</v>
      </c>
      <c r="K793" s="49" t="s">
        <v>197</v>
      </c>
      <c r="L793" s="49" t="s">
        <v>23</v>
      </c>
      <c r="M793" s="36">
        <f t="shared" si="21"/>
        <v>45665.64718</v>
      </c>
      <c r="N793" s="30" t="str">
        <f t="shared" si="22"/>
        <v>Selesai</v>
      </c>
      <c r="O793" s="45">
        <f t="shared" si="23"/>
        <v>45665.64718</v>
      </c>
      <c r="P793" s="47" t="b">
        <v>1</v>
      </c>
      <c r="Q793" s="36">
        <f t="shared" si="24"/>
        <v>45665.6472</v>
      </c>
      <c r="R793" s="47" t="b">
        <v>0</v>
      </c>
      <c r="S793" s="42" t="str">
        <f t="shared" si="25"/>
        <v/>
      </c>
      <c r="T793" s="42"/>
    </row>
    <row r="794" ht="22.5" customHeight="1">
      <c r="B794" s="42">
        <f t="shared" si="7"/>
        <v>788</v>
      </c>
      <c r="C794" s="31" t="s">
        <v>58</v>
      </c>
      <c r="D794" s="34" t="str">
        <f t="array" ref="D794">IFNA(_xlfn.XLOOKUP(C794,Table_Tarikan_Warkah[Nomor Sertipikat],Table_Tarikan_Warkah[Nomor Tiket]),"")</f>
        <v>K/16/131224/1</v>
      </c>
      <c r="E794" s="36">
        <f t="array" ref="E794">IFNA(_xlfn.XLOOKUP(D794,Table_Tarikan_Warkah[Nomor Tiket],Table_Tarikan_Warkah[Tanggal diserahkan kepada Validator]),"")</f>
        <v>0</v>
      </c>
      <c r="F794" s="36" t="str">
        <f t="array" ref="F794">IFNA(_xlfn.XLOOKUP(D794,Table_Tarikan_Warkah[Nomor Tiket],Table_Tarikan_Warkah[Nama Petugas Warkah]),"")</f>
        <v>Berry</v>
      </c>
      <c r="G794" s="39" t="str">
        <f t="array" ref="G794">IFNA(_xlfn.XLOOKUP(D794,Table_Tarikan_Warkah[Nomor Tiket],Table_Tarikan_Warkah[Jenis Permohonan]),"")</f>
        <v>BN JUAL BELI</v>
      </c>
      <c r="H794" s="49" t="s">
        <v>920</v>
      </c>
      <c r="I794" s="41" t="s">
        <v>12</v>
      </c>
      <c r="J794" s="36">
        <f t="shared" si="20"/>
        <v>45664.62432</v>
      </c>
      <c r="K794" s="41" t="s">
        <v>920</v>
      </c>
      <c r="L794" s="41" t="s">
        <v>12</v>
      </c>
      <c r="M794" s="36">
        <f t="shared" si="21"/>
        <v>45664.62448</v>
      </c>
      <c r="N794" s="30" t="str">
        <f t="shared" si="22"/>
        <v>SELESAI</v>
      </c>
      <c r="O794" s="45">
        <f t="shared" si="23"/>
        <v>45664.62448</v>
      </c>
      <c r="P794" s="47" t="b">
        <v>0</v>
      </c>
      <c r="Q794" s="36" t="str">
        <f t="shared" si="24"/>
        <v/>
      </c>
      <c r="R794" s="47" t="b">
        <v>0</v>
      </c>
      <c r="S794" s="42" t="str">
        <f t="shared" si="25"/>
        <v/>
      </c>
      <c r="T794" s="42"/>
    </row>
    <row r="795" ht="22.5" customHeight="1">
      <c r="B795" s="42">
        <f t="shared" si="7"/>
        <v>789</v>
      </c>
      <c r="C795" s="31" t="s">
        <v>921</v>
      </c>
      <c r="D795" s="34" t="str">
        <f t="array" ref="D795">IFNA(_xlfn.XLOOKUP(C795,Table_Tarikan_Warkah[Nomor Sertipikat],Table_Tarikan_Warkah[Nomor Tiket]),"")</f>
        <v>K/5/161224/3</v>
      </c>
      <c r="E795" s="36">
        <f t="array" ref="E795">IFNA(_xlfn.XLOOKUP(D795,Table_Tarikan_Warkah[Nomor Tiket],Table_Tarikan_Warkah[Tanggal diserahkan kepada Validator]),"")</f>
        <v>0</v>
      </c>
      <c r="F795" s="36" t="str">
        <f t="array" ref="F795">IFNA(_xlfn.XLOOKUP(D795,Table_Tarikan_Warkah[Nomor Tiket],Table_Tarikan_Warkah[Nama Petugas Warkah]),"")</f>
        <v>Berry</v>
      </c>
      <c r="G795" s="39" t="str">
        <f t="array" ref="G795">IFNA(_xlfn.XLOOKUP(D795,Table_Tarikan_Warkah[Nomor Tiket],Table_Tarikan_Warkah[Jenis Permohonan]),"")</f>
        <v>BN APHB</v>
      </c>
      <c r="H795" s="41" t="s">
        <v>920</v>
      </c>
      <c r="I795" s="41" t="s">
        <v>12</v>
      </c>
      <c r="J795" s="36">
        <f t="shared" si="20"/>
        <v>45664.62434</v>
      </c>
      <c r="K795" s="41" t="s">
        <v>920</v>
      </c>
      <c r="L795" s="41" t="s">
        <v>12</v>
      </c>
      <c r="M795" s="36">
        <f t="shared" si="21"/>
        <v>45664.62449</v>
      </c>
      <c r="N795" s="30" t="str">
        <f t="shared" si="22"/>
        <v>SELESAI</v>
      </c>
      <c r="O795" s="45">
        <f t="shared" si="23"/>
        <v>45664.62449</v>
      </c>
      <c r="P795" s="47" t="b">
        <v>0</v>
      </c>
      <c r="Q795" s="36" t="str">
        <f t="shared" si="24"/>
        <v/>
      </c>
      <c r="R795" s="47" t="b">
        <v>0</v>
      </c>
      <c r="S795" s="42" t="str">
        <f t="shared" si="25"/>
        <v/>
      </c>
      <c r="T795" s="42"/>
    </row>
    <row r="796" ht="22.5" customHeight="1">
      <c r="B796" s="42">
        <f t="shared" si="7"/>
        <v>790</v>
      </c>
      <c r="C796" s="31" t="s">
        <v>75</v>
      </c>
      <c r="D796" s="34" t="str">
        <f t="array" ref="D796">IFNA(_xlfn.XLOOKUP(C796,Table_Tarikan_Warkah[Nomor Sertipikat],Table_Tarikan_Warkah[Nomor Tiket]),"")</f>
        <v>K/34/161224/2</v>
      </c>
      <c r="E796" s="36" t="str">
        <f t="array" ref="E796">IFNA(_xlfn.XLOOKUP(D796,Table_Tarikan_Warkah[Nomor Tiket],Table_Tarikan_Warkah[Tanggal diserahkan kepada Validator]),"")</f>
        <v/>
      </c>
      <c r="F796" s="36" t="str">
        <f t="array" ref="F796">IFNA(_xlfn.XLOOKUP(D796,Table_Tarikan_Warkah[Nomor Tiket],Table_Tarikan_Warkah[Nama Petugas Warkah]),"")</f>
        <v>Berry</v>
      </c>
      <c r="G796" s="39" t="str">
        <f t="array" ref="G796">IFNA(_xlfn.XLOOKUP(D796,Table_Tarikan_Warkah[Nomor Tiket],Table_Tarikan_Warkah[Jenis Permohonan]),"")</f>
        <v>BN JUAL BELI</v>
      </c>
      <c r="H796" s="41" t="s">
        <v>920</v>
      </c>
      <c r="I796" s="41" t="s">
        <v>12</v>
      </c>
      <c r="J796" s="36">
        <f t="shared" si="20"/>
        <v>45664.62434</v>
      </c>
      <c r="K796" s="41" t="s">
        <v>920</v>
      </c>
      <c r="L796" s="41" t="s">
        <v>12</v>
      </c>
      <c r="M796" s="36">
        <f t="shared" si="21"/>
        <v>45664.62449</v>
      </c>
      <c r="N796" s="30" t="str">
        <f t="shared" si="22"/>
        <v>SELESAI</v>
      </c>
      <c r="O796" s="45">
        <f t="shared" si="23"/>
        <v>45664.62449</v>
      </c>
      <c r="P796" s="47" t="b">
        <v>0</v>
      </c>
      <c r="Q796" s="36" t="str">
        <f t="shared" si="24"/>
        <v/>
      </c>
      <c r="R796" s="47" t="b">
        <v>0</v>
      </c>
      <c r="S796" s="42" t="str">
        <f t="shared" si="25"/>
        <v/>
      </c>
      <c r="T796" s="42"/>
    </row>
    <row r="797" ht="22.5" customHeight="1">
      <c r="B797" s="42">
        <f t="shared" si="7"/>
        <v>791</v>
      </c>
      <c r="C797" s="31" t="s">
        <v>126</v>
      </c>
      <c r="D797" s="34" t="str">
        <f t="array" ref="D797">IFNA(_xlfn.XLOOKUP(C797,Table_Tarikan_Warkah[Nomor Sertipikat],Table_Tarikan_Warkah[Nomor Tiket]),"")</f>
        <v>K/21/171224/1</v>
      </c>
      <c r="E797" s="36">
        <f t="array" ref="E797">IFNA(_xlfn.XLOOKUP(D797,Table_Tarikan_Warkah[Nomor Tiket],Table_Tarikan_Warkah[Tanggal diserahkan kepada Validator]),"")</f>
        <v>0</v>
      </c>
      <c r="F797" s="36" t="str">
        <f t="array" ref="F797">IFNA(_xlfn.XLOOKUP(D797,Table_Tarikan_Warkah[Nomor Tiket],Table_Tarikan_Warkah[Nama Petugas Warkah]),"")</f>
        <v>David</v>
      </c>
      <c r="G797" s="39" t="str">
        <f t="array" ref="G797">IFNA(_xlfn.XLOOKUP(D797,Table_Tarikan_Warkah[Nomor Tiket],Table_Tarikan_Warkah[Jenis Permohonan]),"")</f>
        <v>BN JUAL BELI</v>
      </c>
      <c r="H797" s="41" t="s">
        <v>920</v>
      </c>
      <c r="I797" s="41" t="s">
        <v>12</v>
      </c>
      <c r="J797" s="36">
        <f t="shared" si="20"/>
        <v>45664.62435</v>
      </c>
      <c r="K797" s="41" t="s">
        <v>920</v>
      </c>
      <c r="L797" s="41" t="s">
        <v>12</v>
      </c>
      <c r="M797" s="36">
        <f t="shared" si="21"/>
        <v>45664.6245</v>
      </c>
      <c r="N797" s="30" t="str">
        <f t="shared" si="22"/>
        <v>SELESAI</v>
      </c>
      <c r="O797" s="45">
        <f t="shared" si="23"/>
        <v>45664.6245</v>
      </c>
      <c r="P797" s="47" t="b">
        <v>0</v>
      </c>
      <c r="Q797" s="36" t="str">
        <f t="shared" si="24"/>
        <v/>
      </c>
      <c r="R797" s="47" t="b">
        <v>0</v>
      </c>
      <c r="S797" s="42" t="str">
        <f t="shared" si="25"/>
        <v/>
      </c>
      <c r="T797" s="42"/>
    </row>
    <row r="798" ht="22.5" customHeight="1">
      <c r="B798" s="42">
        <f t="shared" si="7"/>
        <v>792</v>
      </c>
      <c r="C798" s="31" t="s">
        <v>116</v>
      </c>
      <c r="D798" s="34" t="str">
        <f t="array" ref="D798">IFNA(_xlfn.XLOOKUP(C798,Table_Tarikan_Warkah[Nomor Sertipikat],Table_Tarikan_Warkah[Nomor Tiket]),"")</f>
        <v>K/8/191224/1</v>
      </c>
      <c r="E798" s="36" t="str">
        <f t="array" ref="E798">IFNA(_xlfn.XLOOKUP(D798,Table_Tarikan_Warkah[Nomor Tiket],Table_Tarikan_Warkah[Tanggal diserahkan kepada Validator]),"")</f>
        <v/>
      </c>
      <c r="F798" s="36" t="str">
        <f t="array" ref="F798">IFNA(_xlfn.XLOOKUP(D798,Table_Tarikan_Warkah[Nomor Tiket],Table_Tarikan_Warkah[Nama Petugas Warkah]),"")</f>
        <v/>
      </c>
      <c r="G798" s="39" t="str">
        <f t="array" ref="G798">IFNA(_xlfn.XLOOKUP(D798,Table_Tarikan_Warkah[Nomor Tiket],Table_Tarikan_Warkah[Jenis Permohonan]),"")</f>
        <v>BN JUAL BELI</v>
      </c>
      <c r="H798" s="41" t="s">
        <v>920</v>
      </c>
      <c r="I798" s="41" t="s">
        <v>12</v>
      </c>
      <c r="J798" s="36">
        <f t="shared" si="20"/>
        <v>45664.62435</v>
      </c>
      <c r="K798" s="41" t="s">
        <v>920</v>
      </c>
      <c r="L798" s="41" t="s">
        <v>12</v>
      </c>
      <c r="M798" s="36">
        <f t="shared" si="21"/>
        <v>45664.6245</v>
      </c>
      <c r="N798" s="30" t="str">
        <f t="shared" si="22"/>
        <v>SELESAI</v>
      </c>
      <c r="O798" s="45">
        <f t="shared" si="23"/>
        <v>45664.6245</v>
      </c>
      <c r="P798" s="47" t="b">
        <v>0</v>
      </c>
      <c r="Q798" s="36" t="str">
        <f t="shared" si="24"/>
        <v/>
      </c>
      <c r="R798" s="47" t="b">
        <v>0</v>
      </c>
      <c r="S798" s="42" t="str">
        <f t="shared" si="25"/>
        <v/>
      </c>
      <c r="T798" s="42"/>
    </row>
    <row r="799" ht="22.5" customHeight="1">
      <c r="B799" s="42">
        <f t="shared" si="7"/>
        <v>793</v>
      </c>
      <c r="C799" s="31" t="s">
        <v>145</v>
      </c>
      <c r="D799" s="34" t="str">
        <f t="array" ref="D799">IFNA(_xlfn.XLOOKUP(C799,Table_Tarikan_Warkah[Nomor Sertipikat],Table_Tarikan_Warkah[Nomor Tiket]),"")</f>
        <v>K/5/241224/1</v>
      </c>
      <c r="E799" s="36" t="str">
        <f t="array" ref="E799">IFNA(_xlfn.XLOOKUP(D799,Table_Tarikan_Warkah[Nomor Tiket],Table_Tarikan_Warkah[Tanggal diserahkan kepada Validator]),"")</f>
        <v/>
      </c>
      <c r="F799" s="36" t="str">
        <f t="array" ref="F799">IFNA(_xlfn.XLOOKUP(D799,Table_Tarikan_Warkah[Nomor Tiket],Table_Tarikan_Warkah[Nama Petugas Warkah]),"")</f>
        <v/>
      </c>
      <c r="G799" s="39" t="str">
        <f t="array" ref="G799">IFNA(_xlfn.XLOOKUP(D799,Table_Tarikan_Warkah[Nomor Tiket],Table_Tarikan_Warkah[Jenis Permohonan]),"")</f>
        <v>BN JUAL BELI</v>
      </c>
      <c r="H799" s="41" t="s">
        <v>920</v>
      </c>
      <c r="I799" s="41" t="s">
        <v>12</v>
      </c>
      <c r="J799" s="36">
        <f t="shared" si="20"/>
        <v>45664.62436</v>
      </c>
      <c r="K799" s="41" t="s">
        <v>920</v>
      </c>
      <c r="L799" s="41" t="s">
        <v>12</v>
      </c>
      <c r="M799" s="36">
        <f t="shared" si="21"/>
        <v>45664.62451</v>
      </c>
      <c r="N799" s="30" t="str">
        <f t="shared" si="22"/>
        <v>SELESAI</v>
      </c>
      <c r="O799" s="45">
        <f t="shared" si="23"/>
        <v>45664.62451</v>
      </c>
      <c r="P799" s="47" t="b">
        <v>0</v>
      </c>
      <c r="Q799" s="36" t="str">
        <f t="shared" si="24"/>
        <v/>
      </c>
      <c r="R799" s="47" t="b">
        <v>0</v>
      </c>
      <c r="S799" s="42" t="str">
        <f t="shared" si="25"/>
        <v/>
      </c>
      <c r="T799" s="42"/>
    </row>
    <row r="800" ht="22.5" customHeight="1">
      <c r="B800" s="42">
        <f t="shared" si="7"/>
        <v>794</v>
      </c>
      <c r="C800" s="31" t="s">
        <v>922</v>
      </c>
      <c r="D800" s="34" t="str">
        <f t="array" ref="D800">IFNA(_xlfn.XLOOKUP(C800,Table_Tarikan_Warkah[Nomor Sertipikat],Table_Tarikan_Warkah[Nomor Tiket]),"")</f>
        <v>L/37/271224/1</v>
      </c>
      <c r="E800" s="36">
        <f t="array" ref="E800">IFNA(_xlfn.XLOOKUP(D800,Table_Tarikan_Warkah[Nomor Tiket],Table_Tarikan_Warkah[Tanggal diserahkan kepada Validator]),"")</f>
        <v>45666.70579</v>
      </c>
      <c r="F800" s="36" t="str">
        <f t="array" ref="F800">IFNA(_xlfn.XLOOKUP(D800,Table_Tarikan_Warkah[Nomor Tiket],Table_Tarikan_Warkah[Nama Petugas Warkah]),"")</f>
        <v/>
      </c>
      <c r="G800" s="39" t="str">
        <f t="array" ref="G800">IFNA(_xlfn.XLOOKUP(D800,Table_Tarikan_Warkah[Nomor Tiket],Table_Tarikan_Warkah[Jenis Permohonan]),"")</f>
        <v>BN WARIS</v>
      </c>
      <c r="H800" s="41" t="s">
        <v>920</v>
      </c>
      <c r="I800" s="41" t="s">
        <v>12</v>
      </c>
      <c r="J800" s="36">
        <f t="shared" si="20"/>
        <v>45664.62437</v>
      </c>
      <c r="K800" s="41" t="s">
        <v>920</v>
      </c>
      <c r="L800" s="41" t="s">
        <v>12</v>
      </c>
      <c r="M800" s="36">
        <f t="shared" si="21"/>
        <v>45664.62451</v>
      </c>
      <c r="N800" s="30" t="str">
        <f t="shared" si="22"/>
        <v>SELESAI</v>
      </c>
      <c r="O800" s="45">
        <f t="shared" si="23"/>
        <v>45664.62451</v>
      </c>
      <c r="P800" s="47" t="b">
        <v>0</v>
      </c>
      <c r="Q800" s="36" t="str">
        <f t="shared" si="24"/>
        <v/>
      </c>
      <c r="R800" s="47" t="b">
        <v>0</v>
      </c>
      <c r="S800" s="42" t="str">
        <f t="shared" si="25"/>
        <v/>
      </c>
      <c r="T800" s="42"/>
    </row>
    <row r="801" ht="22.5" customHeight="1">
      <c r="B801" s="42">
        <f t="shared" si="7"/>
        <v>795</v>
      </c>
      <c r="C801" s="31" t="s">
        <v>923</v>
      </c>
      <c r="D801" s="34" t="str">
        <f t="array" ref="D801">IFNA(_xlfn.XLOOKUP(C801,Table_Tarikan_Warkah[Nomor Sertipikat],Table_Tarikan_Warkah[Nomor Tiket]),"")</f>
        <v>K/54/191124/2</v>
      </c>
      <c r="E801" s="36">
        <f t="array" ref="E801">IFNA(_xlfn.XLOOKUP(D801,Table_Tarikan_Warkah[Nomor Tiket],Table_Tarikan_Warkah[Tanggal diserahkan kepada Validator]),"")</f>
        <v>45677.42318</v>
      </c>
      <c r="F801" s="36" t="str">
        <f t="array" ref="F801">IFNA(_xlfn.XLOOKUP(D801,Table_Tarikan_Warkah[Nomor Tiket],Table_Tarikan_Warkah[Nama Petugas Warkah]),"")</f>
        <v>Berry</v>
      </c>
      <c r="G801" s="39" t="str">
        <f t="array" ref="G801">IFNA(_xlfn.XLOOKUP(D801,Table_Tarikan_Warkah[Nomor Tiket],Table_Tarikan_Warkah[Jenis Permohonan]),"")</f>
        <v>BN WARIS</v>
      </c>
      <c r="H801" s="41" t="s">
        <v>920</v>
      </c>
      <c r="I801" s="41" t="s">
        <v>12</v>
      </c>
      <c r="J801" s="36">
        <f t="shared" si="20"/>
        <v>45664.63753</v>
      </c>
      <c r="K801" s="41" t="s">
        <v>920</v>
      </c>
      <c r="L801" s="41" t="s">
        <v>12</v>
      </c>
      <c r="M801" s="36">
        <f t="shared" si="21"/>
        <v>45664.63771</v>
      </c>
      <c r="N801" s="30" t="str">
        <f t="shared" si="22"/>
        <v>SELESAI</v>
      </c>
      <c r="O801" s="45">
        <f t="shared" si="23"/>
        <v>45664.63771</v>
      </c>
      <c r="P801" s="47" t="b">
        <v>0</v>
      </c>
      <c r="Q801" s="36" t="str">
        <f t="shared" si="24"/>
        <v/>
      </c>
      <c r="R801" s="47" t="b">
        <v>0</v>
      </c>
      <c r="S801" s="42" t="str">
        <f t="shared" si="25"/>
        <v/>
      </c>
      <c r="T801" s="42"/>
    </row>
    <row r="802" ht="22.5" customHeight="1">
      <c r="B802" s="42">
        <f t="shared" si="7"/>
        <v>796</v>
      </c>
      <c r="C802" s="31" t="s">
        <v>924</v>
      </c>
      <c r="D802" s="34" t="str">
        <f t="array" ref="D802">IFNA(_xlfn.XLOOKUP(C802,Table_Tarikan_Warkah[Nomor Sertipikat],Table_Tarikan_Warkah[Nomor Tiket]),"")</f>
        <v>K/24/281124/1</v>
      </c>
      <c r="E802" s="36">
        <f t="array" ref="E802">IFNA(_xlfn.XLOOKUP(D802,Table_Tarikan_Warkah[Nomor Tiket],Table_Tarikan_Warkah[Tanggal diserahkan kepada Validator]),"")</f>
        <v>0</v>
      </c>
      <c r="F802" s="36" t="str">
        <f t="array" ref="F802">IFNA(_xlfn.XLOOKUP(D802,Table_Tarikan_Warkah[Nomor Tiket],Table_Tarikan_Warkah[Nama Petugas Warkah]),"")</f>
        <v>David</v>
      </c>
      <c r="G802" s="39" t="str">
        <f t="array" ref="G802">IFNA(_xlfn.XLOOKUP(D802,Table_Tarikan_Warkah[Nomor Tiket],Table_Tarikan_Warkah[Jenis Permohonan]),"")</f>
        <v>BN WARIS</v>
      </c>
      <c r="H802" s="41" t="s">
        <v>920</v>
      </c>
      <c r="I802" s="41" t="s">
        <v>12</v>
      </c>
      <c r="J802" s="36">
        <f t="shared" si="20"/>
        <v>45664.63755</v>
      </c>
      <c r="K802" s="41" t="s">
        <v>920</v>
      </c>
      <c r="L802" s="41" t="s">
        <v>12</v>
      </c>
      <c r="M802" s="36">
        <f t="shared" si="21"/>
        <v>45664.63772</v>
      </c>
      <c r="N802" s="30" t="str">
        <f t="shared" si="22"/>
        <v>SELESAI</v>
      </c>
      <c r="O802" s="45">
        <f t="shared" si="23"/>
        <v>45664.63772</v>
      </c>
      <c r="P802" s="47" t="b">
        <v>0</v>
      </c>
      <c r="Q802" s="36" t="str">
        <f t="shared" si="24"/>
        <v/>
      </c>
      <c r="R802" s="47" t="b">
        <v>0</v>
      </c>
      <c r="S802" s="42" t="str">
        <f t="shared" si="25"/>
        <v/>
      </c>
      <c r="T802" s="42"/>
    </row>
    <row r="803" ht="22.5" customHeight="1">
      <c r="B803" s="42">
        <f t="shared" si="7"/>
        <v>797</v>
      </c>
      <c r="C803" s="31" t="s">
        <v>925</v>
      </c>
      <c r="D803" s="34" t="str">
        <f t="array" ref="D803">IFNA(_xlfn.XLOOKUP(C803,Table_Tarikan_Warkah[Nomor Sertipikat],Table_Tarikan_Warkah[Nomor Tiket]),"")</f>
        <v>K/34/291124/1</v>
      </c>
      <c r="E803" s="36" t="str">
        <f t="array" ref="E803">IFNA(_xlfn.XLOOKUP(D803,Table_Tarikan_Warkah[Nomor Tiket],Table_Tarikan_Warkah[Tanggal diserahkan kepada Validator]),"")</f>
        <v/>
      </c>
      <c r="F803" s="36" t="str">
        <f t="array" ref="F803">IFNA(_xlfn.XLOOKUP(D803,Table_Tarikan_Warkah[Nomor Tiket],Table_Tarikan_Warkah[Nama Petugas Warkah]),"")</f>
        <v>Berry</v>
      </c>
      <c r="G803" s="39" t="str">
        <f t="array" ref="G803">IFNA(_xlfn.XLOOKUP(D803,Table_Tarikan_Warkah[Nomor Tiket],Table_Tarikan_Warkah[Jenis Permohonan]),"")</f>
        <v>BN WARIS</v>
      </c>
      <c r="H803" s="41" t="s">
        <v>920</v>
      </c>
      <c r="I803" s="41" t="s">
        <v>12</v>
      </c>
      <c r="J803" s="36">
        <f t="shared" si="20"/>
        <v>45664.63757</v>
      </c>
      <c r="K803" s="41" t="s">
        <v>920</v>
      </c>
      <c r="L803" s="41" t="s">
        <v>12</v>
      </c>
      <c r="M803" s="36">
        <f t="shared" si="21"/>
        <v>45664.63774</v>
      </c>
      <c r="N803" s="30" t="str">
        <f t="shared" si="22"/>
        <v>SELESAI</v>
      </c>
      <c r="O803" s="45">
        <f t="shared" si="23"/>
        <v>45664.63774</v>
      </c>
      <c r="P803" s="47" t="b">
        <v>0</v>
      </c>
      <c r="Q803" s="36" t="str">
        <f t="shared" si="24"/>
        <v/>
      </c>
      <c r="R803" s="47" t="b">
        <v>0</v>
      </c>
      <c r="S803" s="42" t="str">
        <f t="shared" si="25"/>
        <v/>
      </c>
      <c r="T803" s="42"/>
    </row>
    <row r="804" ht="22.5" customHeight="1">
      <c r="B804" s="42">
        <f t="shared" si="7"/>
        <v>798</v>
      </c>
      <c r="C804" s="31" t="s">
        <v>926</v>
      </c>
      <c r="D804" s="34" t="str">
        <f t="array" ref="D804">IFNA(_xlfn.XLOOKUP(C804,Table_Tarikan_Warkah[Nomor Sertipikat],Table_Tarikan_Warkah[Nomor Tiket]),"")</f>
        <v>K/5/060125/1</v>
      </c>
      <c r="E804" s="36">
        <f t="array" ref="E804">IFNA(_xlfn.XLOOKUP(D804,Table_Tarikan_Warkah[Nomor Tiket],Table_Tarikan_Warkah[Tanggal diserahkan kepada Validator]),"")</f>
        <v>45664.61405</v>
      </c>
      <c r="F804" s="36" t="str">
        <f t="array" ref="F804">IFNA(_xlfn.XLOOKUP(D804,Table_Tarikan_Warkah[Nomor Tiket],Table_Tarikan_Warkah[Nama Petugas Warkah]),"")</f>
        <v/>
      </c>
      <c r="G804" s="39" t="str">
        <f t="array" ref="G804">IFNA(_xlfn.XLOOKUP(D804,Table_Tarikan_Warkah[Nomor Tiket],Table_Tarikan_Warkah[Jenis Permohonan]),"")</f>
        <v>Roya</v>
      </c>
      <c r="H804" s="41" t="s">
        <v>20</v>
      </c>
      <c r="I804" s="41" t="s">
        <v>12</v>
      </c>
      <c r="J804" s="36">
        <f t="shared" si="20"/>
        <v>45665.41169</v>
      </c>
      <c r="K804" s="51"/>
      <c r="L804" s="51"/>
      <c r="M804" s="36" t="str">
        <f t="shared" si="21"/>
        <v/>
      </c>
      <c r="N804" s="30" t="str">
        <f t="shared" si="22"/>
        <v>BT atau SU Belum Valid</v>
      </c>
      <c r="O804" s="39" t="str">
        <f t="shared" si="23"/>
        <v/>
      </c>
      <c r="P804" s="47" t="b">
        <v>0</v>
      </c>
      <c r="Q804" s="36" t="str">
        <f t="shared" si="24"/>
        <v/>
      </c>
      <c r="R804" s="47" t="b">
        <v>0</v>
      </c>
      <c r="S804" s="42" t="str">
        <f t="shared" si="25"/>
        <v/>
      </c>
      <c r="T804" s="42"/>
    </row>
    <row r="805" ht="22.5" customHeight="1">
      <c r="B805" s="42">
        <f t="shared" si="7"/>
        <v>799</v>
      </c>
      <c r="C805" s="31" t="s">
        <v>927</v>
      </c>
      <c r="D805" s="34" t="str">
        <f t="array" ref="D805">IFNA(_xlfn.XLOOKUP(C805,Table_Tarikan_Warkah[Nomor Sertipikat],Table_Tarikan_Warkah[Nomor Tiket]),"")</f>
        <v>K/38/311224/2</v>
      </c>
      <c r="E805" s="36">
        <f t="array" ref="E805">IFNA(_xlfn.XLOOKUP(D805,Table_Tarikan_Warkah[Nomor Tiket],Table_Tarikan_Warkah[Tanggal diserahkan kepada Validator]),"")</f>
        <v>0</v>
      </c>
      <c r="F805" s="36" t="str">
        <f t="array" ref="F805">IFNA(_xlfn.XLOOKUP(D805,Table_Tarikan_Warkah[Nomor Tiket],Table_Tarikan_Warkah[Nama Petugas Warkah]),"")</f>
        <v>David</v>
      </c>
      <c r="G805" s="39" t="str">
        <f t="array" ref="G805">IFNA(_xlfn.XLOOKUP(D805,Table_Tarikan_Warkah[Nomor Tiket],Table_Tarikan_Warkah[Jenis Permohonan]),"")</f>
        <v>BN Jual Beli</v>
      </c>
      <c r="H805" s="41" t="s">
        <v>20</v>
      </c>
      <c r="I805" s="41" t="s">
        <v>12</v>
      </c>
      <c r="J805" s="36">
        <f t="shared" si="20"/>
        <v>45665.41445</v>
      </c>
      <c r="K805" s="41" t="s">
        <v>26</v>
      </c>
      <c r="L805" s="41" t="s">
        <v>12</v>
      </c>
      <c r="M805" s="36">
        <f t="shared" si="21"/>
        <v>45665.41452</v>
      </c>
      <c r="N805" s="30" t="str">
        <f t="shared" si="22"/>
        <v>SELESAI</v>
      </c>
      <c r="O805" s="45">
        <f t="shared" si="23"/>
        <v>45665.41452</v>
      </c>
      <c r="P805" s="47" t="b">
        <v>1</v>
      </c>
      <c r="Q805" s="36">
        <f t="shared" si="24"/>
        <v>45665.41453</v>
      </c>
      <c r="R805" s="47" t="b">
        <v>1</v>
      </c>
      <c r="S805" s="36">
        <f t="shared" si="25"/>
        <v>45665.41456</v>
      </c>
      <c r="T805" s="42"/>
    </row>
    <row r="806" ht="22.5" customHeight="1">
      <c r="B806" s="42">
        <f t="shared" si="7"/>
        <v>800</v>
      </c>
      <c r="C806" s="31" t="s">
        <v>928</v>
      </c>
      <c r="D806" s="34" t="str">
        <f t="array" ref="D806">IFNA(_xlfn.XLOOKUP(C806,Table_Tarikan_Warkah[Nomor Sertipikat],Table_Tarikan_Warkah[Nomor Tiket]),"")</f>
        <v>K/31/030125/1</v>
      </c>
      <c r="E806" s="36">
        <f t="array" ref="E806">IFNA(_xlfn.XLOOKUP(D806,Table_Tarikan_Warkah[Nomor Tiket],Table_Tarikan_Warkah[Tanggal diserahkan kepada Validator]),"")</f>
        <v>45667.35402</v>
      </c>
      <c r="F806" s="36" t="str">
        <f t="array" ref="F806">IFNA(_xlfn.XLOOKUP(D806,Table_Tarikan_Warkah[Nomor Tiket],Table_Tarikan_Warkah[Nama Petugas Warkah]),"")</f>
        <v>David</v>
      </c>
      <c r="G806" s="39" t="str">
        <f t="array" ref="G806">IFNA(_xlfn.XLOOKUP(D806,Table_Tarikan_Warkah[Nomor Tiket],Table_Tarikan_Warkah[Jenis Permohonan]),"")</f>
        <v>BN WARIS</v>
      </c>
      <c r="H806" s="41" t="s">
        <v>11</v>
      </c>
      <c r="I806" s="41" t="s">
        <v>23</v>
      </c>
      <c r="J806" s="36">
        <f t="shared" si="20"/>
        <v>45665.60028</v>
      </c>
      <c r="K806" s="49" t="s">
        <v>197</v>
      </c>
      <c r="L806" s="49" t="s">
        <v>23</v>
      </c>
      <c r="M806" s="36">
        <f t="shared" si="21"/>
        <v>45665.64636</v>
      </c>
      <c r="N806" s="30" t="str">
        <f t="shared" si="22"/>
        <v>Selesai</v>
      </c>
      <c r="O806" s="45">
        <f t="shared" si="23"/>
        <v>45665.64636</v>
      </c>
      <c r="P806" s="47" t="b">
        <v>1</v>
      </c>
      <c r="Q806" s="36">
        <f t="shared" si="24"/>
        <v>45665.64668</v>
      </c>
      <c r="R806" s="47" t="b">
        <v>0</v>
      </c>
      <c r="S806" s="42" t="str">
        <f t="shared" si="25"/>
        <v/>
      </c>
      <c r="T806" s="42"/>
    </row>
    <row r="807" ht="22.5" customHeight="1">
      <c r="B807" s="42">
        <f t="shared" si="7"/>
        <v>801</v>
      </c>
      <c r="C807" s="31" t="s">
        <v>929</v>
      </c>
      <c r="D807" s="34" t="str">
        <f t="array" ref="D807">IFNA(_xlfn.XLOOKUP(C807,Table_Tarikan_Warkah[Nomor Sertipikat],Table_Tarikan_Warkah[Nomor Tiket]),"")</f>
        <v>K/53/231224/1</v>
      </c>
      <c r="E807" s="36">
        <f t="array" ref="E807">IFNA(_xlfn.XLOOKUP(D807,Table_Tarikan_Warkah[Nomor Tiket],Table_Tarikan_Warkah[Tanggal diserahkan kepada Validator]),"")</f>
        <v>45667.35649</v>
      </c>
      <c r="F807" s="36" t="str">
        <f t="array" ref="F807">IFNA(_xlfn.XLOOKUP(D807,Table_Tarikan_Warkah[Nomor Tiket],Table_Tarikan_Warkah[Nama Petugas Warkah]),"")</f>
        <v/>
      </c>
      <c r="G807" s="39" t="str">
        <f t="array" ref="G807">IFNA(_xlfn.XLOOKUP(D807,Table_Tarikan_Warkah[Nomor Tiket],Table_Tarikan_Warkah[Jenis Permohonan]),"")</f>
        <v>BN JUAL BELI</v>
      </c>
      <c r="H807" s="41" t="s">
        <v>11</v>
      </c>
      <c r="I807" s="41" t="s">
        <v>23</v>
      </c>
      <c r="J807" s="36">
        <f t="shared" si="20"/>
        <v>45665.6003</v>
      </c>
      <c r="K807" s="49" t="s">
        <v>197</v>
      </c>
      <c r="L807" s="49" t="s">
        <v>23</v>
      </c>
      <c r="M807" s="36">
        <f t="shared" si="21"/>
        <v>45665.64641</v>
      </c>
      <c r="N807" s="30" t="str">
        <f t="shared" si="22"/>
        <v>Selesai</v>
      </c>
      <c r="O807" s="45">
        <f t="shared" si="23"/>
        <v>45665.64641</v>
      </c>
      <c r="P807" s="47" t="b">
        <v>1</v>
      </c>
      <c r="Q807" s="36">
        <f t="shared" si="24"/>
        <v>45665.64669</v>
      </c>
      <c r="R807" s="47" t="b">
        <v>0</v>
      </c>
      <c r="S807" s="42" t="str">
        <f t="shared" si="25"/>
        <v/>
      </c>
      <c r="T807" s="42"/>
    </row>
    <row r="808" ht="22.5" customHeight="1">
      <c r="B808" s="42">
        <f t="shared" si="7"/>
        <v>802</v>
      </c>
      <c r="C808" s="31" t="s">
        <v>930</v>
      </c>
      <c r="D808" s="34" t="str">
        <f t="array" ref="D808">IFNA(_xlfn.XLOOKUP(C808,Table_Tarikan_Warkah[Nomor Sertipikat],Table_Tarikan_Warkah[Nomor Tiket]),"")</f>
        <v>K/31/221124/1</v>
      </c>
      <c r="E808" s="36">
        <f t="array" ref="E808">IFNA(_xlfn.XLOOKUP(D808,Table_Tarikan_Warkah[Nomor Tiket],Table_Tarikan_Warkah[Tanggal diserahkan kepada Validator]),"")</f>
        <v>45667.35285</v>
      </c>
      <c r="F808" s="36" t="str">
        <f t="array" ref="F808">IFNA(_xlfn.XLOOKUP(D808,Table_Tarikan_Warkah[Nomor Tiket],Table_Tarikan_Warkah[Nama Petugas Warkah]),"")</f>
        <v>David</v>
      </c>
      <c r="G808" s="39" t="str">
        <f t="array" ref="G808">IFNA(_xlfn.XLOOKUP(D808,Table_Tarikan_Warkah[Nomor Tiket],Table_Tarikan_Warkah[Jenis Permohonan]),"")</f>
        <v>BN JUAL BELI</v>
      </c>
      <c r="H808" s="41" t="s">
        <v>11</v>
      </c>
      <c r="I808" s="41" t="s">
        <v>23</v>
      </c>
      <c r="J808" s="36">
        <f t="shared" si="20"/>
        <v>45665.6003</v>
      </c>
      <c r="K808" s="49" t="s">
        <v>197</v>
      </c>
      <c r="L808" s="49" t="s">
        <v>23</v>
      </c>
      <c r="M808" s="36">
        <f t="shared" si="21"/>
        <v>45665.64646</v>
      </c>
      <c r="N808" s="30" t="str">
        <f t="shared" si="22"/>
        <v>Selesai</v>
      </c>
      <c r="O808" s="45">
        <f t="shared" si="23"/>
        <v>45665.64646</v>
      </c>
      <c r="P808" s="47" t="b">
        <v>1</v>
      </c>
      <c r="Q808" s="36">
        <f t="shared" si="24"/>
        <v>45665.6467</v>
      </c>
      <c r="R808" s="47" t="b">
        <v>0</v>
      </c>
      <c r="S808" s="42" t="str">
        <f t="shared" si="25"/>
        <v/>
      </c>
      <c r="T808" s="42"/>
    </row>
    <row r="809" ht="22.5" customHeight="1">
      <c r="B809" s="42">
        <f t="shared" si="7"/>
        <v>803</v>
      </c>
      <c r="C809" s="31" t="s">
        <v>931</v>
      </c>
      <c r="D809" s="34" t="str">
        <f t="array" ref="D809">IFNA(_xlfn.XLOOKUP(C809,Table_Tarikan_Warkah[Nomor Sertipikat],Table_Tarikan_Warkah[Nomor Tiket]),"")</f>
        <v>K/5/030125/1</v>
      </c>
      <c r="E809" s="36">
        <f t="array" ref="E809">IFNA(_xlfn.XLOOKUP(D809,Table_Tarikan_Warkah[Nomor Tiket],Table_Tarikan_Warkah[Tanggal diserahkan kepada Validator]),"")</f>
        <v>45667.35729</v>
      </c>
      <c r="F809" s="36" t="str">
        <f t="array" ref="F809">IFNA(_xlfn.XLOOKUP(D809,Table_Tarikan_Warkah[Nomor Tiket],Table_Tarikan_Warkah[Nama Petugas Warkah]),"")</f>
        <v>Berry</v>
      </c>
      <c r="G809" s="39" t="str">
        <f t="array" ref="G809">IFNA(_xlfn.XLOOKUP(D809,Table_Tarikan_Warkah[Nomor Tiket],Table_Tarikan_Warkah[Jenis Permohonan]),"")</f>
        <v>BN JUAL BELI</v>
      </c>
      <c r="H809" s="41" t="s">
        <v>11</v>
      </c>
      <c r="I809" s="41" t="s">
        <v>23</v>
      </c>
      <c r="J809" s="36">
        <f t="shared" si="20"/>
        <v>45665.6003</v>
      </c>
      <c r="K809" s="49" t="s">
        <v>197</v>
      </c>
      <c r="L809" s="49" t="s">
        <v>23</v>
      </c>
      <c r="M809" s="36">
        <f t="shared" si="21"/>
        <v>45665.64646</v>
      </c>
      <c r="N809" s="30" t="str">
        <f t="shared" si="22"/>
        <v>Selesai</v>
      </c>
      <c r="O809" s="45">
        <f t="shared" si="23"/>
        <v>45665.64646</v>
      </c>
      <c r="P809" s="47" t="b">
        <v>1</v>
      </c>
      <c r="Q809" s="36">
        <f t="shared" si="24"/>
        <v>45665.64671</v>
      </c>
      <c r="R809" s="47" t="b">
        <v>0</v>
      </c>
      <c r="S809" s="42" t="str">
        <f t="shared" si="25"/>
        <v/>
      </c>
      <c r="T809" s="42"/>
    </row>
    <row r="810" ht="22.5" customHeight="1">
      <c r="B810" s="42">
        <f t="shared" si="7"/>
        <v>804</v>
      </c>
      <c r="C810" s="31" t="s">
        <v>932</v>
      </c>
      <c r="D810" s="34" t="str">
        <f t="array" ref="D810">IFNA(_xlfn.XLOOKUP(C810,Table_Tarikan_Warkah[Nomor Sertipikat],Table_Tarikan_Warkah[Nomor Tiket]),"")</f>
        <v>K/19/241224/1</v>
      </c>
      <c r="E810" s="36" t="str">
        <f t="array" ref="E810">IFNA(_xlfn.XLOOKUP(D810,Table_Tarikan_Warkah[Nomor Tiket],Table_Tarikan_Warkah[Tanggal diserahkan kepada Validator]),"")</f>
        <v/>
      </c>
      <c r="F810" s="36" t="str">
        <f t="array" ref="F810">IFNA(_xlfn.XLOOKUP(D810,Table_Tarikan_Warkah[Nomor Tiket],Table_Tarikan_Warkah[Nama Petugas Warkah]),"")</f>
        <v/>
      </c>
      <c r="G810" s="39" t="str">
        <f t="array" ref="G810">IFNA(_xlfn.XLOOKUP(D810,Table_Tarikan_Warkah[Nomor Tiket],Table_Tarikan_Warkah[Jenis Permohonan]),"")</f>
        <v>BN HIBAH</v>
      </c>
      <c r="H810" s="41" t="s">
        <v>11</v>
      </c>
      <c r="I810" s="41" t="s">
        <v>23</v>
      </c>
      <c r="J810" s="36">
        <f t="shared" si="20"/>
        <v>45665.6003</v>
      </c>
      <c r="K810" s="49" t="s">
        <v>197</v>
      </c>
      <c r="L810" s="49" t="s">
        <v>23</v>
      </c>
      <c r="M810" s="36">
        <f t="shared" si="21"/>
        <v>45665.64648</v>
      </c>
      <c r="N810" s="30" t="str">
        <f t="shared" si="22"/>
        <v>Selesai</v>
      </c>
      <c r="O810" s="45">
        <f t="shared" si="23"/>
        <v>45665.64648</v>
      </c>
      <c r="P810" s="47" t="b">
        <v>1</v>
      </c>
      <c r="Q810" s="36">
        <f t="shared" si="24"/>
        <v>45665.64672</v>
      </c>
      <c r="R810" s="47" t="b">
        <v>0</v>
      </c>
      <c r="S810" s="42" t="str">
        <f t="shared" si="25"/>
        <v/>
      </c>
      <c r="T810" s="42"/>
    </row>
    <row r="811" ht="22.5" customHeight="1">
      <c r="B811" s="42">
        <f t="shared" si="7"/>
        <v>805</v>
      </c>
      <c r="C811" s="31" t="s">
        <v>933</v>
      </c>
      <c r="D811" s="34" t="str">
        <f t="array" ref="D811">IFNA(_xlfn.XLOOKUP(C811,Table_Tarikan_Warkah[Nomor Sertipikat],Table_Tarikan_Warkah[Nomor Tiket]),"")</f>
        <v>K/28/171224/3</v>
      </c>
      <c r="E811" s="36" t="str">
        <f t="array" ref="E811">IFNA(_xlfn.XLOOKUP(D811,Table_Tarikan_Warkah[Nomor Tiket],Table_Tarikan_Warkah[Tanggal diserahkan kepada Validator]),"")</f>
        <v>18/12/2024 16.44</v>
      </c>
      <c r="F811" s="36" t="str">
        <f t="array" ref="F811">IFNA(_xlfn.XLOOKUP(D811,Table_Tarikan_Warkah[Nomor Tiket],Table_Tarikan_Warkah[Nama Petugas Warkah]),"")</f>
        <v>David</v>
      </c>
      <c r="G811" s="39" t="str">
        <f t="array" ref="G811">IFNA(_xlfn.XLOOKUP(D811,Table_Tarikan_Warkah[Nomor Tiket],Table_Tarikan_Warkah[Jenis Permohonan]),"")</f>
        <v>BN JUAL BELI</v>
      </c>
      <c r="H811" s="41" t="s">
        <v>11</v>
      </c>
      <c r="I811" s="41" t="s">
        <v>23</v>
      </c>
      <c r="J811" s="36">
        <f t="shared" si="20"/>
        <v>45665.6003</v>
      </c>
      <c r="K811" s="49" t="s">
        <v>197</v>
      </c>
      <c r="L811" s="49" t="s">
        <v>23</v>
      </c>
      <c r="M811" s="36">
        <f t="shared" si="21"/>
        <v>45665.64648</v>
      </c>
      <c r="N811" s="30" t="str">
        <f t="shared" si="22"/>
        <v>Selesai</v>
      </c>
      <c r="O811" s="45">
        <f t="shared" si="23"/>
        <v>45665.64648</v>
      </c>
      <c r="P811" s="47" t="b">
        <v>1</v>
      </c>
      <c r="Q811" s="36">
        <f t="shared" si="24"/>
        <v>45665.64673</v>
      </c>
      <c r="R811" s="47" t="b">
        <v>0</v>
      </c>
      <c r="S811" s="42" t="str">
        <f t="shared" si="25"/>
        <v/>
      </c>
      <c r="T811" s="42"/>
    </row>
    <row r="812" ht="22.5" customHeight="1">
      <c r="B812" s="42">
        <f t="shared" si="7"/>
        <v>806</v>
      </c>
      <c r="C812" s="31" t="s">
        <v>934</v>
      </c>
      <c r="D812" s="34" t="str">
        <f t="array" ref="D812">IFNA(_xlfn.XLOOKUP(C812,Table_Tarikan_Warkah[Nomor Sertipikat],Table_Tarikan_Warkah[Nomor Tiket]),"")</f>
        <v>K/39/181224/1</v>
      </c>
      <c r="E812" s="36">
        <f t="array" ref="E812">IFNA(_xlfn.XLOOKUP(D812,Table_Tarikan_Warkah[Nomor Tiket],Table_Tarikan_Warkah[Tanggal diserahkan kepada Validator]),"")</f>
        <v>45673.44379</v>
      </c>
      <c r="F812" s="36" t="str">
        <f t="array" ref="F812">IFNA(_xlfn.XLOOKUP(D812,Table_Tarikan_Warkah[Nomor Tiket],Table_Tarikan_Warkah[Nama Petugas Warkah]),"")</f>
        <v/>
      </c>
      <c r="G812" s="39" t="str">
        <f t="array" ref="G812">IFNA(_xlfn.XLOOKUP(D812,Table_Tarikan_Warkah[Nomor Tiket],Table_Tarikan_Warkah[Jenis Permohonan]),"")</f>
        <v>BN Jual Beli</v>
      </c>
      <c r="H812" s="41" t="s">
        <v>20</v>
      </c>
      <c r="I812" s="41" t="s">
        <v>23</v>
      </c>
      <c r="J812" s="36">
        <f t="shared" si="20"/>
        <v>45666.4364</v>
      </c>
      <c r="K812" s="49" t="s">
        <v>26</v>
      </c>
      <c r="L812" s="49" t="s">
        <v>23</v>
      </c>
      <c r="M812" s="36">
        <f t="shared" si="21"/>
        <v>45667.59683</v>
      </c>
      <c r="N812" s="30" t="str">
        <f t="shared" si="22"/>
        <v>Selesai</v>
      </c>
      <c r="O812" s="45">
        <f t="shared" si="23"/>
        <v>45667.59683</v>
      </c>
      <c r="P812" s="47" t="b">
        <v>1</v>
      </c>
      <c r="Q812" s="36">
        <f t="shared" si="24"/>
        <v>45667.59713</v>
      </c>
      <c r="R812" s="47" t="b">
        <v>0</v>
      </c>
      <c r="S812" s="42" t="str">
        <f t="shared" si="25"/>
        <v/>
      </c>
      <c r="T812" s="42"/>
    </row>
    <row r="813" ht="22.5" customHeight="1">
      <c r="B813" s="42">
        <f t="shared" si="7"/>
        <v>807</v>
      </c>
      <c r="C813" s="31" t="s">
        <v>935</v>
      </c>
      <c r="D813" s="34" t="str">
        <f t="array" ref="D813">IFNA(_xlfn.XLOOKUP(C813,Table_Tarikan_Warkah[Nomor Sertipikat],Table_Tarikan_Warkah[Nomor Tiket]),"")</f>
        <v>K/14/231224/1</v>
      </c>
      <c r="E813" s="36" t="str">
        <f t="array" ref="E813">IFNA(_xlfn.XLOOKUP(D813,Table_Tarikan_Warkah[Nomor Tiket],Table_Tarikan_Warkah[Tanggal diserahkan kepada Validator]),"")</f>
        <v/>
      </c>
      <c r="F813" s="36" t="str">
        <f t="array" ref="F813">IFNA(_xlfn.XLOOKUP(D813,Table_Tarikan_Warkah[Nomor Tiket],Table_Tarikan_Warkah[Nama Petugas Warkah]),"")</f>
        <v/>
      </c>
      <c r="G813" s="39" t="str">
        <f t="array" ref="G813">IFNA(_xlfn.XLOOKUP(D813,Table_Tarikan_Warkah[Nomor Tiket],Table_Tarikan_Warkah[Jenis Permohonan]),"")</f>
        <v>BN JUAL BELI</v>
      </c>
      <c r="H813" s="41" t="s">
        <v>20</v>
      </c>
      <c r="I813" s="41" t="s">
        <v>23</v>
      </c>
      <c r="J813" s="36">
        <f t="shared" si="20"/>
        <v>45666.44164</v>
      </c>
      <c r="K813" s="49" t="s">
        <v>26</v>
      </c>
      <c r="L813" s="49" t="s">
        <v>23</v>
      </c>
      <c r="M813" s="36">
        <f t="shared" si="21"/>
        <v>45667.59688</v>
      </c>
      <c r="N813" s="30" t="str">
        <f t="shared" si="22"/>
        <v>Selesai</v>
      </c>
      <c r="O813" s="45">
        <f t="shared" si="23"/>
        <v>45667.59688</v>
      </c>
      <c r="P813" s="47" t="b">
        <v>1</v>
      </c>
      <c r="Q813" s="36">
        <f t="shared" si="24"/>
        <v>45667.59715</v>
      </c>
      <c r="R813" s="47" t="b">
        <v>0</v>
      </c>
      <c r="S813" s="42" t="str">
        <f t="shared" si="25"/>
        <v/>
      </c>
      <c r="T813" s="42"/>
    </row>
    <row r="814" ht="22.5" customHeight="1">
      <c r="B814" s="42">
        <f t="shared" si="7"/>
        <v>808</v>
      </c>
      <c r="C814" s="31" t="s">
        <v>936</v>
      </c>
      <c r="D814" s="34" t="str">
        <f t="array" ref="D814">IFNA(_xlfn.XLOOKUP(C814,Table_Tarikan_Warkah[Nomor Sertipikat],Table_Tarikan_Warkah[Nomor Tiket]),"")</f>
        <v>K/10/301224/3</v>
      </c>
      <c r="E814" s="36">
        <f t="array" ref="E814">IFNA(_xlfn.XLOOKUP(D814,Table_Tarikan_Warkah[Nomor Tiket],Table_Tarikan_Warkah[Tanggal diserahkan kepada Validator]),"")</f>
        <v>45702.42039</v>
      </c>
      <c r="F814" s="36" t="str">
        <f t="array" ref="F814">IFNA(_xlfn.XLOOKUP(D814,Table_Tarikan_Warkah[Nomor Tiket],Table_Tarikan_Warkah[Nama Petugas Warkah]),"")</f>
        <v/>
      </c>
      <c r="G814" s="39" t="str">
        <f t="array" ref="G814">IFNA(_xlfn.XLOOKUP(D814,Table_Tarikan_Warkah[Nomor Tiket],Table_Tarikan_Warkah[Jenis Permohonan]),"")</f>
        <v>BN JUAL BELI</v>
      </c>
      <c r="H814" s="41" t="s">
        <v>20</v>
      </c>
      <c r="I814" s="41" t="s">
        <v>23</v>
      </c>
      <c r="J814" s="36">
        <f t="shared" si="20"/>
        <v>45666.44223</v>
      </c>
      <c r="K814" s="49" t="s">
        <v>26</v>
      </c>
      <c r="L814" s="49" t="s">
        <v>23</v>
      </c>
      <c r="M814" s="36">
        <f t="shared" si="21"/>
        <v>45667.59692</v>
      </c>
      <c r="N814" s="30" t="str">
        <f t="shared" si="22"/>
        <v>Selesai</v>
      </c>
      <c r="O814" s="45">
        <f t="shared" si="23"/>
        <v>45667.59692</v>
      </c>
      <c r="P814" s="47" t="b">
        <v>1</v>
      </c>
      <c r="Q814" s="36">
        <f t="shared" si="24"/>
        <v>45667.59716</v>
      </c>
      <c r="R814" s="47" t="b">
        <v>0</v>
      </c>
      <c r="S814" s="42" t="str">
        <f t="shared" si="25"/>
        <v/>
      </c>
      <c r="T814" s="42"/>
    </row>
    <row r="815" ht="22.5" customHeight="1">
      <c r="B815" s="42">
        <f t="shared" si="7"/>
        <v>809</v>
      </c>
      <c r="C815" s="31" t="s">
        <v>937</v>
      </c>
      <c r="D815" s="34" t="str">
        <f t="array" ref="D815">IFNA(_xlfn.XLOOKUP(C815,Table_Tarikan_Warkah[Nomor Sertipikat],Table_Tarikan_Warkah[Nomor Tiket]),"")</f>
        <v>K/6/311224/2</v>
      </c>
      <c r="E815" s="36">
        <f t="array" ref="E815">IFNA(_xlfn.XLOOKUP(D815,Table_Tarikan_Warkah[Nomor Tiket],Table_Tarikan_Warkah[Tanggal diserahkan kepada Validator]),"")</f>
        <v>45672.41848</v>
      </c>
      <c r="F815" s="36" t="str">
        <f t="array" ref="F815">IFNA(_xlfn.XLOOKUP(D815,Table_Tarikan_Warkah[Nomor Tiket],Table_Tarikan_Warkah[Nama Petugas Warkah]),"")</f>
        <v>David</v>
      </c>
      <c r="G815" s="39" t="str">
        <f t="array" ref="G815">IFNA(_xlfn.XLOOKUP(D815,Table_Tarikan_Warkah[Nomor Tiket],Table_Tarikan_Warkah[Jenis Permohonan]),"")</f>
        <v>BN JUAL BELI</v>
      </c>
      <c r="H815" s="41" t="s">
        <v>20</v>
      </c>
      <c r="I815" s="41" t="s">
        <v>23</v>
      </c>
      <c r="J815" s="36">
        <f t="shared" si="20"/>
        <v>45666.445</v>
      </c>
      <c r="K815" s="49" t="s">
        <v>26</v>
      </c>
      <c r="L815" s="49" t="s">
        <v>23</v>
      </c>
      <c r="M815" s="36">
        <f t="shared" si="21"/>
        <v>45667.59698</v>
      </c>
      <c r="N815" s="30" t="str">
        <f t="shared" si="22"/>
        <v>Selesai</v>
      </c>
      <c r="O815" s="45">
        <f t="shared" si="23"/>
        <v>45667.59698</v>
      </c>
      <c r="P815" s="47" t="b">
        <v>1</v>
      </c>
      <c r="Q815" s="36">
        <f t="shared" si="24"/>
        <v>45667.59717</v>
      </c>
      <c r="R815" s="47" t="b">
        <v>0</v>
      </c>
      <c r="S815" s="42" t="str">
        <f t="shared" si="25"/>
        <v/>
      </c>
      <c r="T815" s="42"/>
    </row>
    <row r="816" ht="22.5" customHeight="1">
      <c r="B816" s="42">
        <f t="shared" si="7"/>
        <v>810</v>
      </c>
      <c r="C816" s="31" t="s">
        <v>938</v>
      </c>
      <c r="D816" s="34" t="str">
        <f t="array" ref="D816">IFNA(_xlfn.XLOOKUP(C816,Table_Tarikan_Warkah[Nomor Sertipikat],Table_Tarikan_Warkah[Nomor Tiket]),"")</f>
        <v>K/43/171224/1</v>
      </c>
      <c r="E816" s="36" t="str">
        <f t="array" ref="E816">IFNA(_xlfn.XLOOKUP(D816,Table_Tarikan_Warkah[Nomor Tiket],Table_Tarikan_Warkah[Tanggal diserahkan kepada Validator]),"")</f>
        <v>18/12/2024 16.46</v>
      </c>
      <c r="F816" s="36" t="str">
        <f t="array" ref="F816">IFNA(_xlfn.XLOOKUP(D816,Table_Tarikan_Warkah[Nomor Tiket],Table_Tarikan_Warkah[Nama Petugas Warkah]),"")</f>
        <v>David</v>
      </c>
      <c r="G816" s="39" t="str">
        <f t="array" ref="G816">IFNA(_xlfn.XLOOKUP(D816,Table_Tarikan_Warkah[Nomor Tiket],Table_Tarikan_Warkah[Jenis Permohonan]),"")</f>
        <v>BN JUAL BELI</v>
      </c>
      <c r="H816" s="41" t="s">
        <v>20</v>
      </c>
      <c r="I816" s="41" t="s">
        <v>23</v>
      </c>
      <c r="J816" s="36">
        <f t="shared" si="20"/>
        <v>45666.44605</v>
      </c>
      <c r="K816" s="49" t="s">
        <v>26</v>
      </c>
      <c r="L816" s="49" t="s">
        <v>23</v>
      </c>
      <c r="M816" s="36">
        <f t="shared" si="21"/>
        <v>45667.59698</v>
      </c>
      <c r="N816" s="30" t="str">
        <f t="shared" si="22"/>
        <v>Selesai</v>
      </c>
      <c r="O816" s="45">
        <f t="shared" si="23"/>
        <v>45667.59698</v>
      </c>
      <c r="P816" s="47" t="b">
        <v>1</v>
      </c>
      <c r="Q816" s="36">
        <f t="shared" si="24"/>
        <v>45667.59718</v>
      </c>
      <c r="R816" s="47" t="b">
        <v>0</v>
      </c>
      <c r="S816" s="42" t="str">
        <f t="shared" si="25"/>
        <v/>
      </c>
      <c r="T816" s="42"/>
    </row>
    <row r="817" ht="22.5" customHeight="1">
      <c r="B817" s="42">
        <f t="shared" si="7"/>
        <v>811</v>
      </c>
      <c r="C817" s="31" t="s">
        <v>939</v>
      </c>
      <c r="D817" s="34" t="str">
        <f t="array" ref="D817">IFNA(_xlfn.XLOOKUP(C817,Table_Tarikan_Warkah[Nomor Sertipikat],Table_Tarikan_Warkah[Nomor Tiket]),"")</f>
        <v>K/32/060125/1</v>
      </c>
      <c r="E817" s="36">
        <f t="array" ref="E817">IFNA(_xlfn.XLOOKUP(D817,Table_Tarikan_Warkah[Nomor Tiket],Table_Tarikan_Warkah[Tanggal diserahkan kepada Validator]),"")</f>
        <v>45665.6514</v>
      </c>
      <c r="F817" s="36" t="str">
        <f t="array" ref="F817">IFNA(_xlfn.XLOOKUP(D817,Table_Tarikan_Warkah[Nomor Tiket],Table_Tarikan_Warkah[Nama Petugas Warkah]),"")</f>
        <v>Berry</v>
      </c>
      <c r="G817" s="39" t="str">
        <f t="array" ref="G817">IFNA(_xlfn.XLOOKUP(D817,Table_Tarikan_Warkah[Nomor Tiket],Table_Tarikan_Warkah[Jenis Permohonan]),"")</f>
        <v>BN JUAL BELI</v>
      </c>
      <c r="H817" s="41" t="s">
        <v>20</v>
      </c>
      <c r="I817" s="41" t="s">
        <v>23</v>
      </c>
      <c r="J817" s="36">
        <f t="shared" si="20"/>
        <v>45666.45036</v>
      </c>
      <c r="K817" s="49" t="s">
        <v>26</v>
      </c>
      <c r="L817" s="49" t="s">
        <v>23</v>
      </c>
      <c r="M817" s="36">
        <f t="shared" si="21"/>
        <v>45667.59698</v>
      </c>
      <c r="N817" s="30" t="str">
        <f t="shared" si="22"/>
        <v>Selesai</v>
      </c>
      <c r="O817" s="45">
        <f t="shared" si="23"/>
        <v>45667.59698</v>
      </c>
      <c r="P817" s="47" t="b">
        <v>1</v>
      </c>
      <c r="Q817" s="36">
        <f t="shared" si="24"/>
        <v>45667.59729</v>
      </c>
      <c r="R817" s="47" t="b">
        <v>1</v>
      </c>
      <c r="S817" s="36">
        <f t="shared" si="25"/>
        <v>45672.61669</v>
      </c>
      <c r="T817" s="42"/>
    </row>
    <row r="818" ht="22.5" customHeight="1">
      <c r="B818" s="42">
        <f t="shared" si="7"/>
        <v>812</v>
      </c>
      <c r="C818" s="31" t="s">
        <v>940</v>
      </c>
      <c r="D818" s="34" t="str">
        <f t="array" ref="D818">IFNA(_xlfn.XLOOKUP(C818,Table_Tarikan_Warkah[Nomor Sertipikat],Table_Tarikan_Warkah[Nomor Tiket]),"")</f>
        <v>K/20/020125/1</v>
      </c>
      <c r="E818" s="36">
        <f t="array" ref="E818">IFNA(_xlfn.XLOOKUP(D818,Table_Tarikan_Warkah[Nomor Tiket],Table_Tarikan_Warkah[Tanggal diserahkan kepada Validator]),"")</f>
        <v>45672.41772</v>
      </c>
      <c r="F818" s="36" t="str">
        <f t="array" ref="F818">IFNA(_xlfn.XLOOKUP(D818,Table_Tarikan_Warkah[Nomor Tiket],Table_Tarikan_Warkah[Nama Petugas Warkah]),"")</f>
        <v>Berry</v>
      </c>
      <c r="G818" s="39" t="str">
        <f t="array" ref="G818">IFNA(_xlfn.XLOOKUP(D818,Table_Tarikan_Warkah[Nomor Tiket],Table_Tarikan_Warkah[Jenis Permohonan]),"")</f>
        <v>BN JUAL BELI</v>
      </c>
      <c r="H818" s="41" t="s">
        <v>20</v>
      </c>
      <c r="I818" s="41" t="s">
        <v>23</v>
      </c>
      <c r="J818" s="36">
        <f t="shared" si="20"/>
        <v>45666.59373</v>
      </c>
      <c r="K818" s="49" t="s">
        <v>26</v>
      </c>
      <c r="L818" s="49" t="s">
        <v>23</v>
      </c>
      <c r="M818" s="36">
        <f t="shared" si="21"/>
        <v>45667.59701</v>
      </c>
      <c r="N818" s="30" t="str">
        <f t="shared" si="22"/>
        <v>Selesai</v>
      </c>
      <c r="O818" s="45">
        <f t="shared" si="23"/>
        <v>45667.59701</v>
      </c>
      <c r="P818" s="47" t="b">
        <v>1</v>
      </c>
      <c r="Q818" s="36">
        <f t="shared" si="24"/>
        <v>45667.59727</v>
      </c>
      <c r="R818" s="47" t="b">
        <v>0</v>
      </c>
      <c r="S818" s="42" t="str">
        <f t="shared" si="25"/>
        <v/>
      </c>
      <c r="T818" s="42"/>
    </row>
    <row r="819" ht="22.5" customHeight="1">
      <c r="B819" s="42">
        <f t="shared" si="7"/>
        <v>813</v>
      </c>
      <c r="C819" s="31" t="s">
        <v>941</v>
      </c>
      <c r="D819" s="34" t="str">
        <f t="array" ref="D819">IFNA(_xlfn.XLOOKUP(C819,Table_Tarikan_Warkah[Nomor Sertipikat],Table_Tarikan_Warkah[Nomor Tiket]),"")</f>
        <v>K/33/060125/2</v>
      </c>
      <c r="E819" s="36">
        <f t="array" ref="E819">IFNA(_xlfn.XLOOKUP(D819,Table_Tarikan_Warkah[Nomor Tiket],Table_Tarikan_Warkah[Tanggal diserahkan kepada Validator]),"")</f>
        <v>45665.65155</v>
      </c>
      <c r="F819" s="36" t="str">
        <f t="array" ref="F819">IFNA(_xlfn.XLOOKUP(D819,Table_Tarikan_Warkah[Nomor Tiket],Table_Tarikan_Warkah[Nama Petugas Warkah]),"")</f>
        <v>Berry</v>
      </c>
      <c r="G819" s="39" t="str">
        <f t="array" ref="G819">IFNA(_xlfn.XLOOKUP(D819,Table_Tarikan_Warkah[Nomor Tiket],Table_Tarikan_Warkah[Jenis Permohonan]),"")</f>
        <v>BN JUAL BELI</v>
      </c>
      <c r="H819" s="41" t="s">
        <v>20</v>
      </c>
      <c r="I819" s="41" t="s">
        <v>23</v>
      </c>
      <c r="J819" s="36">
        <f t="shared" si="20"/>
        <v>45666.59377</v>
      </c>
      <c r="K819" s="49" t="s">
        <v>26</v>
      </c>
      <c r="L819" s="49" t="s">
        <v>23</v>
      </c>
      <c r="M819" s="36">
        <f t="shared" si="21"/>
        <v>45667.59701</v>
      </c>
      <c r="N819" s="30" t="str">
        <f t="shared" si="22"/>
        <v>Selesai</v>
      </c>
      <c r="O819" s="45">
        <f t="shared" si="23"/>
        <v>45667.59701</v>
      </c>
      <c r="P819" s="47" t="b">
        <v>1</v>
      </c>
      <c r="Q819" s="36">
        <f t="shared" si="24"/>
        <v>45667.59726</v>
      </c>
      <c r="R819" s="47" t="b">
        <v>1</v>
      </c>
      <c r="S819" s="36">
        <f t="shared" si="25"/>
        <v>45672.6172</v>
      </c>
      <c r="T819" s="42"/>
    </row>
    <row r="820" ht="22.5" customHeight="1">
      <c r="B820" s="42">
        <f t="shared" si="7"/>
        <v>814</v>
      </c>
      <c r="C820" s="31" t="s">
        <v>942</v>
      </c>
      <c r="D820" s="34" t="str">
        <f t="array" ref="D820">IFNA(_xlfn.XLOOKUP(C820,Table_Tarikan_Warkah[Nomor Sertipikat],Table_Tarikan_Warkah[Nomor Tiket]),"")</f>
        <v>K/7/271224/1</v>
      </c>
      <c r="E820" s="36">
        <f t="array" ref="E820">IFNA(_xlfn.XLOOKUP(D820,Table_Tarikan_Warkah[Nomor Tiket],Table_Tarikan_Warkah[Tanggal diserahkan kepada Validator]),"")</f>
        <v>45707.68661</v>
      </c>
      <c r="F820" s="36" t="str">
        <f t="array" ref="F820">IFNA(_xlfn.XLOOKUP(D820,Table_Tarikan_Warkah[Nomor Tiket],Table_Tarikan_Warkah[Nama Petugas Warkah]),"")</f>
        <v/>
      </c>
      <c r="G820" s="39" t="str">
        <f t="array" ref="G820">IFNA(_xlfn.XLOOKUP(D820,Table_Tarikan_Warkah[Nomor Tiket],Table_Tarikan_Warkah[Jenis Permohonan]),"")</f>
        <v>ROYA</v>
      </c>
      <c r="H820" s="41" t="s">
        <v>20</v>
      </c>
      <c r="I820" s="41" t="s">
        <v>23</v>
      </c>
      <c r="J820" s="36">
        <f t="shared" si="20"/>
        <v>45666.59615</v>
      </c>
      <c r="K820" s="49" t="s">
        <v>26</v>
      </c>
      <c r="L820" s="49" t="s">
        <v>23</v>
      </c>
      <c r="M820" s="36">
        <f t="shared" si="21"/>
        <v>45667.59701</v>
      </c>
      <c r="N820" s="30" t="str">
        <f t="shared" si="22"/>
        <v>Selesai</v>
      </c>
      <c r="O820" s="45">
        <f t="shared" si="23"/>
        <v>45667.59701</v>
      </c>
      <c r="P820" s="47" t="b">
        <v>1</v>
      </c>
      <c r="Q820" s="36">
        <f t="shared" si="24"/>
        <v>45667.59725</v>
      </c>
      <c r="R820" s="47" t="b">
        <v>0</v>
      </c>
      <c r="S820" s="42" t="str">
        <f t="shared" si="25"/>
        <v/>
      </c>
      <c r="T820" s="42"/>
    </row>
    <row r="821" ht="22.5" customHeight="1">
      <c r="B821" s="42">
        <f t="shared" si="7"/>
        <v>815</v>
      </c>
      <c r="C821" s="31" t="s">
        <v>943</v>
      </c>
      <c r="D821" s="34" t="str">
        <f t="array" ref="D821">IFNA(_xlfn.XLOOKUP(C821,Table_Tarikan_Warkah[Nomor Sertipikat],Table_Tarikan_Warkah[Nomor Tiket]),"")</f>
        <v>K/2/231224/1</v>
      </c>
      <c r="E821" s="36">
        <f t="array" ref="E821">IFNA(_xlfn.XLOOKUP(D821,Table_Tarikan_Warkah[Nomor Tiket],Table_Tarikan_Warkah[Tanggal diserahkan kepada Validator]),"")</f>
        <v>45700.43278</v>
      </c>
      <c r="F821" s="36" t="str">
        <f t="array" ref="F821">IFNA(_xlfn.XLOOKUP(D821,Table_Tarikan_Warkah[Nomor Tiket],Table_Tarikan_Warkah[Nama Petugas Warkah]),"")</f>
        <v/>
      </c>
      <c r="G821" s="39" t="str">
        <f t="array" ref="G821">IFNA(_xlfn.XLOOKUP(D821,Table_Tarikan_Warkah[Nomor Tiket],Table_Tarikan_Warkah[Jenis Permohonan]),"")</f>
        <v>Roya</v>
      </c>
      <c r="H821" s="41" t="s">
        <v>20</v>
      </c>
      <c r="I821" s="41" t="s">
        <v>23</v>
      </c>
      <c r="J821" s="36">
        <f t="shared" si="20"/>
        <v>45666.59926</v>
      </c>
      <c r="K821" s="49" t="s">
        <v>26</v>
      </c>
      <c r="L821" s="49" t="s">
        <v>23</v>
      </c>
      <c r="M821" s="36">
        <f t="shared" si="21"/>
        <v>45667.59704</v>
      </c>
      <c r="N821" s="30" t="str">
        <f t="shared" si="22"/>
        <v>Selesai</v>
      </c>
      <c r="O821" s="45">
        <f t="shared" si="23"/>
        <v>45667.59704</v>
      </c>
      <c r="P821" s="47" t="b">
        <v>1</v>
      </c>
      <c r="Q821" s="36">
        <f t="shared" si="24"/>
        <v>45667.59731</v>
      </c>
      <c r="R821" s="47" t="b">
        <v>0</v>
      </c>
      <c r="S821" s="42" t="str">
        <f t="shared" si="25"/>
        <v/>
      </c>
      <c r="T821" s="42"/>
    </row>
    <row r="822" ht="22.5" customHeight="1">
      <c r="B822" s="42">
        <f t="shared" si="7"/>
        <v>816</v>
      </c>
      <c r="C822" s="31" t="s">
        <v>944</v>
      </c>
      <c r="D822" s="34" t="str">
        <f t="array" ref="D822">IFNA(_xlfn.XLOOKUP(C822,Table_Tarikan_Warkah[Nomor Sertipikat],Table_Tarikan_Warkah[Nomor Tiket]),"")</f>
        <v>K/58/231224/1</v>
      </c>
      <c r="E822" s="36" t="str">
        <f t="array" ref="E822">IFNA(_xlfn.XLOOKUP(D822,Table_Tarikan_Warkah[Nomor Tiket],Table_Tarikan_Warkah[Tanggal diserahkan kepada Validator]),"")</f>
        <v/>
      </c>
      <c r="F822" s="36" t="str">
        <f t="array" ref="F822">IFNA(_xlfn.XLOOKUP(D822,Table_Tarikan_Warkah[Nomor Tiket],Table_Tarikan_Warkah[Nama Petugas Warkah]),"")</f>
        <v/>
      </c>
      <c r="G822" s="39" t="str">
        <f t="array" ref="G822">IFNA(_xlfn.XLOOKUP(D822,Table_Tarikan_Warkah[Nomor Tiket],Table_Tarikan_Warkah[Jenis Permohonan]),"")</f>
        <v>BN Lelang</v>
      </c>
      <c r="H822" s="41" t="s">
        <v>20</v>
      </c>
      <c r="I822" s="41" t="s">
        <v>23</v>
      </c>
      <c r="J822" s="36">
        <f t="shared" si="20"/>
        <v>45666.60139</v>
      </c>
      <c r="K822" s="49" t="s">
        <v>26</v>
      </c>
      <c r="L822" s="49" t="s">
        <v>23</v>
      </c>
      <c r="M822" s="36">
        <f t="shared" si="21"/>
        <v>45667.59704</v>
      </c>
      <c r="N822" s="30" t="str">
        <f t="shared" si="22"/>
        <v>Selesai</v>
      </c>
      <c r="O822" s="45">
        <f t="shared" si="23"/>
        <v>45667.59704</v>
      </c>
      <c r="P822" s="47" t="b">
        <v>1</v>
      </c>
      <c r="Q822" s="36">
        <f t="shared" si="24"/>
        <v>45667.59723</v>
      </c>
      <c r="R822" s="47" t="b">
        <v>0</v>
      </c>
      <c r="S822" s="42" t="str">
        <f t="shared" si="25"/>
        <v/>
      </c>
      <c r="T822" s="42"/>
    </row>
    <row r="823" ht="22.5" customHeight="1">
      <c r="B823" s="42">
        <f t="shared" si="7"/>
        <v>817</v>
      </c>
      <c r="C823" s="31" t="s">
        <v>945</v>
      </c>
      <c r="D823" s="34" t="str">
        <f t="array" ref="D823">IFNA(_xlfn.XLOOKUP(C823,Table_Tarikan_Warkah[Nomor Sertipikat],Table_Tarikan_Warkah[Nomor Tiket]),"")</f>
        <v>K/2/060125/1</v>
      </c>
      <c r="E823" s="36">
        <f t="array" ref="E823">IFNA(_xlfn.XLOOKUP(D823,Table_Tarikan_Warkah[Nomor Tiket],Table_Tarikan_Warkah[Tanggal diserahkan kepada Validator]),"")</f>
        <v>45672.41671</v>
      </c>
      <c r="F823" s="36" t="str">
        <f t="array" ref="F823">IFNA(_xlfn.XLOOKUP(D823,Table_Tarikan_Warkah[Nomor Tiket],Table_Tarikan_Warkah[Nama Petugas Warkah]),"")</f>
        <v>David</v>
      </c>
      <c r="G823" s="39" t="str">
        <f t="array" ref="G823">IFNA(_xlfn.XLOOKUP(D823,Table_Tarikan_Warkah[Nomor Tiket],Table_Tarikan_Warkah[Jenis Permohonan]),"")</f>
        <v>BN JUAL BELI</v>
      </c>
      <c r="H823" s="41" t="s">
        <v>20</v>
      </c>
      <c r="I823" s="41" t="s">
        <v>23</v>
      </c>
      <c r="J823" s="36">
        <f t="shared" si="20"/>
        <v>45667.43513</v>
      </c>
      <c r="K823" s="49" t="s">
        <v>26</v>
      </c>
      <c r="L823" s="49" t="s">
        <v>23</v>
      </c>
      <c r="M823" s="36">
        <f t="shared" si="21"/>
        <v>45667.59704</v>
      </c>
      <c r="N823" s="30" t="str">
        <f t="shared" si="22"/>
        <v>Selesai</v>
      </c>
      <c r="O823" s="45">
        <f t="shared" si="23"/>
        <v>45667.59704</v>
      </c>
      <c r="P823" s="47" t="b">
        <v>1</v>
      </c>
      <c r="Q823" s="36">
        <f t="shared" si="24"/>
        <v>45667.59722</v>
      </c>
      <c r="R823" s="47" t="b">
        <v>0</v>
      </c>
      <c r="S823" s="42" t="str">
        <f t="shared" si="25"/>
        <v/>
      </c>
      <c r="T823" s="42"/>
    </row>
    <row r="824" ht="22.5" customHeight="1">
      <c r="B824" s="42">
        <f t="shared" si="7"/>
        <v>818</v>
      </c>
      <c r="C824" s="31" t="s">
        <v>946</v>
      </c>
      <c r="D824" s="34" t="str">
        <f t="array" ref="D824">IFNA(_xlfn.XLOOKUP(C824,Table_Tarikan_Warkah[Nomor Sertipikat],Table_Tarikan_Warkah[Nomor Tiket]),"")</f>
        <v>L/5/100125/1</v>
      </c>
      <c r="E824" s="36">
        <f t="array" ref="E824">IFNA(_xlfn.XLOOKUP(D824,Table_Tarikan_Warkah[Nomor Tiket],Table_Tarikan_Warkah[Tanggal diserahkan kepada Validator]),"")</f>
        <v>45763.44476</v>
      </c>
      <c r="F824" s="36" t="str">
        <f t="array" ref="F824">IFNA(_xlfn.XLOOKUP(D824,Table_Tarikan_Warkah[Nomor Tiket],Table_Tarikan_Warkah[Nama Petugas Warkah]),"")</f>
        <v>David</v>
      </c>
      <c r="G824" s="39" t="str">
        <f t="array" ref="G824">IFNA(_xlfn.XLOOKUP(D824,Table_Tarikan_Warkah[Nomor Tiket],Table_Tarikan_Warkah[Jenis Permohonan]),"")</f>
        <v>ROYA LELANG</v>
      </c>
      <c r="H824" s="41" t="s">
        <v>20</v>
      </c>
      <c r="I824" s="41" t="s">
        <v>23</v>
      </c>
      <c r="J824" s="36">
        <f t="shared" si="20"/>
        <v>45667.43847</v>
      </c>
      <c r="K824" s="41" t="s">
        <v>26</v>
      </c>
      <c r="L824" s="41" t="s">
        <v>23</v>
      </c>
      <c r="M824" s="36">
        <f t="shared" si="21"/>
        <v>45667.43854</v>
      </c>
      <c r="N824" s="30" t="str">
        <f t="shared" si="22"/>
        <v>Selesai</v>
      </c>
      <c r="O824" s="45">
        <f t="shared" si="23"/>
        <v>45667.43854</v>
      </c>
      <c r="P824" s="47" t="b">
        <v>1</v>
      </c>
      <c r="Q824" s="36">
        <f t="shared" si="24"/>
        <v>45667.43856</v>
      </c>
      <c r="R824" s="47" t="b">
        <v>0</v>
      </c>
      <c r="S824" s="42" t="str">
        <f t="shared" si="25"/>
        <v/>
      </c>
      <c r="T824" s="42"/>
    </row>
    <row r="825" ht="22.5" customHeight="1">
      <c r="B825" s="42">
        <f t="shared" si="7"/>
        <v>819</v>
      </c>
      <c r="C825" s="31" t="s">
        <v>947</v>
      </c>
      <c r="D825" s="34" t="str">
        <f t="array" ref="D825">IFNA(_xlfn.XLOOKUP(C825,Table_Tarikan_Warkah[Nomor Sertipikat],Table_Tarikan_Warkah[Nomor Tiket]),"")</f>
        <v>K/27/171224/2</v>
      </c>
      <c r="E825" s="36">
        <f t="array" ref="E825">IFNA(_xlfn.XLOOKUP(D825,Table_Tarikan_Warkah[Nomor Tiket],Table_Tarikan_Warkah[Tanggal diserahkan kepada Validator]),"")</f>
        <v>45694.60025</v>
      </c>
      <c r="F825" s="36" t="str">
        <f t="array" ref="F825">IFNA(_xlfn.XLOOKUP(D825,Table_Tarikan_Warkah[Nomor Tiket],Table_Tarikan_Warkah[Nama Petugas Warkah]),"")</f>
        <v>David</v>
      </c>
      <c r="G825" s="39" t="str">
        <f t="array" ref="G825">IFNA(_xlfn.XLOOKUP(D825,Table_Tarikan_Warkah[Nomor Tiket],Table_Tarikan_Warkah[Jenis Permohonan]),"")</f>
        <v>BN WARIS</v>
      </c>
      <c r="H825" s="41" t="s">
        <v>20</v>
      </c>
      <c r="I825" s="41" t="s">
        <v>23</v>
      </c>
      <c r="J825" s="36">
        <f t="shared" si="20"/>
        <v>45667.44083</v>
      </c>
      <c r="K825" s="49" t="s">
        <v>197</v>
      </c>
      <c r="L825" s="49" t="s">
        <v>23</v>
      </c>
      <c r="M825" s="36">
        <f t="shared" si="21"/>
        <v>45670.64224</v>
      </c>
      <c r="N825" s="30" t="str">
        <f t="shared" si="22"/>
        <v>Selesai</v>
      </c>
      <c r="O825" s="45">
        <f t="shared" si="23"/>
        <v>45670.64224</v>
      </c>
      <c r="P825" s="47" t="b">
        <v>1</v>
      </c>
      <c r="Q825" s="36">
        <f t="shared" si="24"/>
        <v>45670.64226</v>
      </c>
      <c r="R825" s="47" t="b">
        <v>0</v>
      </c>
      <c r="S825" s="42" t="str">
        <f t="shared" si="25"/>
        <v/>
      </c>
      <c r="T825" s="42"/>
    </row>
    <row r="826" ht="22.5" customHeight="1">
      <c r="B826" s="42">
        <f t="shared" si="7"/>
        <v>820</v>
      </c>
      <c r="C826" s="31" t="s">
        <v>948</v>
      </c>
      <c r="D826" s="34" t="str">
        <f t="array" ref="D826">IFNA(_xlfn.XLOOKUP(C826,Table_Tarikan_Warkah[Nomor Sertipikat],Table_Tarikan_Warkah[Nomor Tiket]),"")</f>
        <v>K/14/060125/1</v>
      </c>
      <c r="E826" s="36">
        <f t="array" ref="E826">IFNA(_xlfn.XLOOKUP(D826,Table_Tarikan_Warkah[Nomor Tiket],Table_Tarikan_Warkah[Tanggal diserahkan kepada Validator]),"")</f>
        <v>45665.64925</v>
      </c>
      <c r="F826" s="36" t="str">
        <f t="array" ref="F826">IFNA(_xlfn.XLOOKUP(D826,Table_Tarikan_Warkah[Nomor Tiket],Table_Tarikan_Warkah[Nama Petugas Warkah]),"")</f>
        <v>David</v>
      </c>
      <c r="G826" s="39" t="str">
        <f t="array" ref="G826">IFNA(_xlfn.XLOOKUP(D826,Table_Tarikan_Warkah[Nomor Tiket],Table_Tarikan_Warkah[Jenis Permohonan]),"")</f>
        <v>BN JUAL BELI</v>
      </c>
      <c r="H826" s="41" t="s">
        <v>20</v>
      </c>
      <c r="I826" s="41" t="s">
        <v>12</v>
      </c>
      <c r="J826" s="36">
        <f t="shared" si="20"/>
        <v>45667.44543</v>
      </c>
      <c r="K826" s="41" t="s">
        <v>197</v>
      </c>
      <c r="L826" s="41" t="s">
        <v>12</v>
      </c>
      <c r="M826" s="36">
        <f t="shared" si="21"/>
        <v>45672.61541</v>
      </c>
      <c r="N826" s="30" t="str">
        <f t="shared" si="22"/>
        <v>SELESAI</v>
      </c>
      <c r="O826" s="45">
        <f t="shared" si="23"/>
        <v>45672.61541</v>
      </c>
      <c r="P826" s="47" t="b">
        <v>0</v>
      </c>
      <c r="Q826" s="36" t="str">
        <f t="shared" si="24"/>
        <v/>
      </c>
      <c r="R826" s="47" t="b">
        <v>1</v>
      </c>
      <c r="S826" s="36">
        <f t="shared" si="25"/>
        <v>45672.61545</v>
      </c>
      <c r="T826" s="42"/>
    </row>
    <row r="827" ht="22.5" customHeight="1">
      <c r="B827" s="42">
        <f t="shared" si="7"/>
        <v>821</v>
      </c>
      <c r="C827" s="31" t="s">
        <v>949</v>
      </c>
      <c r="D827" s="34" t="str">
        <f t="array" ref="D827">IFNA(_xlfn.XLOOKUP(C827,Table_Tarikan_Warkah[Nomor Sertipikat],Table_Tarikan_Warkah[Nomor Tiket]),"")</f>
        <v>K/17/060125/2</v>
      </c>
      <c r="E827" s="36">
        <f t="array" ref="E827">IFNA(_xlfn.XLOOKUP(D827,Table_Tarikan_Warkah[Nomor Tiket],Table_Tarikan_Warkah[Tanggal diserahkan kepada Validator]),"")</f>
        <v>45665.64989</v>
      </c>
      <c r="F827" s="36" t="str">
        <f t="array" ref="F827">IFNA(_xlfn.XLOOKUP(D827,Table_Tarikan_Warkah[Nomor Tiket],Table_Tarikan_Warkah[Nama Petugas Warkah]),"")</f>
        <v>Berry</v>
      </c>
      <c r="G827" s="39" t="str">
        <f t="array" ref="G827">IFNA(_xlfn.XLOOKUP(D827,Table_Tarikan_Warkah[Nomor Tiket],Table_Tarikan_Warkah[Jenis Permohonan]),"")</f>
        <v>ROYA LELANG</v>
      </c>
      <c r="H827" s="41" t="s">
        <v>20</v>
      </c>
      <c r="I827" s="41" t="s">
        <v>12</v>
      </c>
      <c r="J827" s="36">
        <f t="shared" si="20"/>
        <v>45667.58331</v>
      </c>
      <c r="K827" s="41" t="s">
        <v>197</v>
      </c>
      <c r="L827" s="41" t="s">
        <v>12</v>
      </c>
      <c r="M827" s="36">
        <f t="shared" si="21"/>
        <v>45672.61684</v>
      </c>
      <c r="N827" s="30" t="str">
        <f t="shared" si="22"/>
        <v>SELESAI</v>
      </c>
      <c r="O827" s="45">
        <f t="shared" si="23"/>
        <v>45672.61684</v>
      </c>
      <c r="P827" s="47" t="b">
        <v>0</v>
      </c>
      <c r="Q827" s="36" t="str">
        <f t="shared" si="24"/>
        <v/>
      </c>
      <c r="R827" s="47" t="b">
        <v>1</v>
      </c>
      <c r="S827" s="36">
        <f t="shared" si="25"/>
        <v>45672.61701</v>
      </c>
      <c r="T827" s="42"/>
    </row>
    <row r="828" ht="22.5" customHeight="1">
      <c r="B828" s="42">
        <f t="shared" si="7"/>
        <v>822</v>
      </c>
      <c r="C828" s="31" t="s">
        <v>950</v>
      </c>
      <c r="D828" s="34" t="str">
        <f t="array" ref="D828">IFNA(_xlfn.XLOOKUP(C828,Table_Tarikan_Warkah[Nomor Sertipikat],Table_Tarikan_Warkah[Nomor Tiket]),"")</f>
        <v>K/15/060125/2</v>
      </c>
      <c r="E828" s="36">
        <f t="array" ref="E828">IFNA(_xlfn.XLOOKUP(D828,Table_Tarikan_Warkah[Nomor Tiket],Table_Tarikan_Warkah[Tanggal diserahkan kepada Validator]),"")</f>
        <v>45665.64935</v>
      </c>
      <c r="F828" s="36" t="str">
        <f t="array" ref="F828">IFNA(_xlfn.XLOOKUP(D828,Table_Tarikan_Warkah[Nomor Tiket],Table_Tarikan_Warkah[Nama Petugas Warkah]),"")</f>
        <v>David</v>
      </c>
      <c r="G828" s="39" t="str">
        <f t="array" ref="G828">IFNA(_xlfn.XLOOKUP(D828,Table_Tarikan_Warkah[Nomor Tiket],Table_Tarikan_Warkah[Jenis Permohonan]),"")</f>
        <v>ROYA</v>
      </c>
      <c r="H828" s="41" t="s">
        <v>20</v>
      </c>
      <c r="I828" s="41" t="s">
        <v>12</v>
      </c>
      <c r="J828" s="36">
        <f t="shared" si="20"/>
        <v>45667.60592</v>
      </c>
      <c r="K828" s="41" t="s">
        <v>197</v>
      </c>
      <c r="L828" s="41" t="s">
        <v>12</v>
      </c>
      <c r="M828" s="36">
        <f t="shared" si="21"/>
        <v>45672.61626</v>
      </c>
      <c r="N828" s="30" t="str">
        <f t="shared" si="22"/>
        <v>SELESAI</v>
      </c>
      <c r="O828" s="45">
        <f t="shared" si="23"/>
        <v>45672.61626</v>
      </c>
      <c r="P828" s="47" t="b">
        <v>0</v>
      </c>
      <c r="Q828" s="36" t="str">
        <f t="shared" si="24"/>
        <v/>
      </c>
      <c r="R828" s="47" t="b">
        <v>1</v>
      </c>
      <c r="S828" s="36">
        <f t="shared" si="25"/>
        <v>45672.61633</v>
      </c>
      <c r="T828" s="42"/>
    </row>
    <row r="829" ht="22.5" customHeight="1">
      <c r="B829" s="42">
        <f t="shared" si="7"/>
        <v>823</v>
      </c>
      <c r="C829" s="31" t="s">
        <v>951</v>
      </c>
      <c r="D829" s="34" t="str">
        <f t="array" ref="D829">IFNA(_xlfn.XLOOKUP(C829,Table_Tarikan_Warkah[Nomor Sertipikat],Table_Tarikan_Warkah[Nomor Tiket]),"")</f>
        <v>L/3/060125/1</v>
      </c>
      <c r="E829" s="36">
        <f t="array" ref="E829">IFNA(_xlfn.XLOOKUP(D829,Table_Tarikan_Warkah[Nomor Tiket],Table_Tarikan_Warkah[Tanggal diserahkan kepada Validator]),"")</f>
        <v>45665.64816</v>
      </c>
      <c r="F829" s="36" t="str">
        <f t="array" ref="F829">IFNA(_xlfn.XLOOKUP(D829,Table_Tarikan_Warkah[Nomor Tiket],Table_Tarikan_Warkah[Nama Petugas Warkah]),"")</f>
        <v>David</v>
      </c>
      <c r="G829" s="39" t="str">
        <f t="array" ref="G829">IFNA(_xlfn.XLOOKUP(D829,Table_Tarikan_Warkah[Nomor Tiket],Table_Tarikan_Warkah[Jenis Permohonan]),"")</f>
        <v>ROYA</v>
      </c>
      <c r="H829" s="41" t="s">
        <v>20</v>
      </c>
      <c r="I829" s="41" t="s">
        <v>12</v>
      </c>
      <c r="J829" s="36">
        <f t="shared" si="20"/>
        <v>45667.61065</v>
      </c>
      <c r="K829" s="41" t="s">
        <v>197</v>
      </c>
      <c r="L829" s="41" t="s">
        <v>12</v>
      </c>
      <c r="M829" s="36">
        <f t="shared" si="21"/>
        <v>45672.61627</v>
      </c>
      <c r="N829" s="30" t="str">
        <f t="shared" si="22"/>
        <v>SELESAI</v>
      </c>
      <c r="O829" s="45">
        <f t="shared" si="23"/>
        <v>45672.61627</v>
      </c>
      <c r="P829" s="47" t="b">
        <v>0</v>
      </c>
      <c r="Q829" s="36" t="str">
        <f t="shared" si="24"/>
        <v/>
      </c>
      <c r="R829" s="47" t="b">
        <v>1</v>
      </c>
      <c r="S829" s="36">
        <f t="shared" si="25"/>
        <v>45672.61634</v>
      </c>
      <c r="T829" s="42"/>
    </row>
    <row r="830" ht="22.5" customHeight="1">
      <c r="B830" s="42">
        <f t="shared" si="7"/>
        <v>824</v>
      </c>
      <c r="C830" s="31" t="s">
        <v>952</v>
      </c>
      <c r="D830" s="34" t="str">
        <f t="array" ref="D830">IFNA(_xlfn.XLOOKUP(C830,Table_Tarikan_Warkah[Nomor Sertipikat],Table_Tarikan_Warkah[Nomor Tiket]),"")</f>
        <v>L/19/060125/1</v>
      </c>
      <c r="E830" s="36">
        <f t="array" ref="E830">IFNA(_xlfn.XLOOKUP(D830,Table_Tarikan_Warkah[Nomor Tiket],Table_Tarikan_Warkah[Tanggal diserahkan kepada Validator]),"")</f>
        <v>45665.65025</v>
      </c>
      <c r="F830" s="36" t="str">
        <f t="array" ref="F830">IFNA(_xlfn.XLOOKUP(D830,Table_Tarikan_Warkah[Nomor Tiket],Table_Tarikan_Warkah[Nama Petugas Warkah]),"")</f>
        <v>Berry</v>
      </c>
      <c r="G830" s="39" t="str">
        <f t="array" ref="G830">IFNA(_xlfn.XLOOKUP(D830,Table_Tarikan_Warkah[Nomor Tiket],Table_Tarikan_Warkah[Jenis Permohonan]),"")</f>
        <v>ROYA</v>
      </c>
      <c r="H830" s="41" t="s">
        <v>20</v>
      </c>
      <c r="I830" s="41" t="s">
        <v>12</v>
      </c>
      <c r="J830" s="36">
        <f t="shared" si="20"/>
        <v>45667.61719</v>
      </c>
      <c r="K830" s="41" t="s">
        <v>197</v>
      </c>
      <c r="L830" s="41" t="s">
        <v>12</v>
      </c>
      <c r="M830" s="36">
        <f t="shared" si="21"/>
        <v>45672.61629</v>
      </c>
      <c r="N830" s="30" t="str">
        <f t="shared" si="22"/>
        <v>SELESAI</v>
      </c>
      <c r="O830" s="45">
        <f t="shared" si="23"/>
        <v>45672.61629</v>
      </c>
      <c r="P830" s="47" t="b">
        <v>0</v>
      </c>
      <c r="Q830" s="36" t="str">
        <f t="shared" si="24"/>
        <v/>
      </c>
      <c r="R830" s="47" t="b">
        <v>1</v>
      </c>
      <c r="S830" s="36">
        <f t="shared" si="25"/>
        <v>45672.61635</v>
      </c>
      <c r="T830" s="42"/>
    </row>
    <row r="831" ht="22.5" customHeight="1">
      <c r="B831" s="42">
        <f t="shared" si="7"/>
        <v>825</v>
      </c>
      <c r="C831" s="31" t="s">
        <v>953</v>
      </c>
      <c r="D831" s="34" t="str">
        <f t="array" ref="D831">IFNA(_xlfn.XLOOKUP(C831,Table_Tarikan_Warkah[Nomor Sertipikat],Table_Tarikan_Warkah[Nomor Tiket]),"")</f>
        <v>L/4/091224/1</v>
      </c>
      <c r="E831" s="36" t="str">
        <f t="array" ref="E831">IFNA(_xlfn.XLOOKUP(D831,Table_Tarikan_Warkah[Nomor Tiket],Table_Tarikan_Warkah[Tanggal diserahkan kepada Validator]),"")</f>
        <v/>
      </c>
      <c r="F831" s="36" t="str">
        <f t="array" ref="F831">IFNA(_xlfn.XLOOKUP(D831,Table_Tarikan_Warkah[Nomor Tiket],Table_Tarikan_Warkah[Nama Petugas Warkah]),"")</f>
        <v>David</v>
      </c>
      <c r="G831" s="39" t="str">
        <f t="array" ref="G831">IFNA(_xlfn.XLOOKUP(D831,Table_Tarikan_Warkah[Nomor Tiket],Table_Tarikan_Warkah[Jenis Permohonan]),"")</f>
        <v>PENATAAN BATAS</v>
      </c>
      <c r="H831" s="41" t="s">
        <v>11</v>
      </c>
      <c r="I831" s="41" t="s">
        <v>23</v>
      </c>
      <c r="J831" s="36">
        <f t="shared" si="20"/>
        <v>45667.63983</v>
      </c>
      <c r="K831" s="49" t="s">
        <v>197</v>
      </c>
      <c r="L831" s="49" t="s">
        <v>23</v>
      </c>
      <c r="M831" s="36">
        <f t="shared" si="21"/>
        <v>45670.64229</v>
      </c>
      <c r="N831" s="30" t="str">
        <f t="shared" si="22"/>
        <v>Selesai</v>
      </c>
      <c r="O831" s="45">
        <f t="shared" si="23"/>
        <v>45670.64229</v>
      </c>
      <c r="P831" s="47" t="b">
        <v>1</v>
      </c>
      <c r="Q831" s="36">
        <f t="shared" si="24"/>
        <v>45670.6429</v>
      </c>
      <c r="R831" s="47" t="b">
        <v>0</v>
      </c>
      <c r="S831" s="42" t="str">
        <f t="shared" si="25"/>
        <v/>
      </c>
      <c r="T831" s="42"/>
    </row>
    <row r="832" ht="22.5" customHeight="1">
      <c r="B832" s="42">
        <f t="shared" si="7"/>
        <v>826</v>
      </c>
      <c r="C832" s="31" t="s">
        <v>954</v>
      </c>
      <c r="D832" s="34" t="str">
        <f t="array" ref="D832">IFNA(_xlfn.XLOOKUP(C832,Table_Tarikan_Warkah[Nomor Sertipikat],Table_Tarikan_Warkah[Nomor Tiket]),"")</f>
        <v>K/30/060125/2</v>
      </c>
      <c r="E832" s="36">
        <f t="array" ref="E832">IFNA(_xlfn.XLOOKUP(D832,Table_Tarikan_Warkah[Nomor Tiket],Table_Tarikan_Warkah[Tanggal diserahkan kepada Validator]),"")</f>
        <v>45665.65115</v>
      </c>
      <c r="F832" s="36" t="str">
        <f t="array" ref="F832">IFNA(_xlfn.XLOOKUP(D832,Table_Tarikan_Warkah[Nomor Tiket],Table_Tarikan_Warkah[Nama Petugas Warkah]),"")</f>
        <v>Berry</v>
      </c>
      <c r="G832" s="39" t="str">
        <f t="array" ref="G832">IFNA(_xlfn.XLOOKUP(D832,Table_Tarikan_Warkah[Nomor Tiket],Table_Tarikan_Warkah[Jenis Permohonan]),"")</f>
        <v>Roya</v>
      </c>
      <c r="H832" s="41" t="s">
        <v>11</v>
      </c>
      <c r="I832" s="41" t="s">
        <v>23</v>
      </c>
      <c r="J832" s="36">
        <f t="shared" si="20"/>
        <v>45667.63989</v>
      </c>
      <c r="K832" s="49" t="s">
        <v>197</v>
      </c>
      <c r="L832" s="49" t="s">
        <v>23</v>
      </c>
      <c r="M832" s="36">
        <f t="shared" si="21"/>
        <v>45670.64232</v>
      </c>
      <c r="N832" s="30" t="str">
        <f t="shared" si="22"/>
        <v>Selesai</v>
      </c>
      <c r="O832" s="45">
        <f t="shared" si="23"/>
        <v>45670.64232</v>
      </c>
      <c r="P832" s="47" t="b">
        <v>1</v>
      </c>
      <c r="Q832" s="36">
        <f t="shared" si="24"/>
        <v>45670.64291</v>
      </c>
      <c r="R832" s="47" t="b">
        <v>0</v>
      </c>
      <c r="S832" s="42" t="str">
        <f t="shared" si="25"/>
        <v/>
      </c>
      <c r="T832" s="42"/>
    </row>
    <row r="833" ht="22.5" customHeight="1">
      <c r="B833" s="42">
        <f t="shared" si="7"/>
        <v>827</v>
      </c>
      <c r="C833" s="31" t="s">
        <v>955</v>
      </c>
      <c r="D833" s="34" t="str">
        <f t="array" ref="D833">IFNA(_xlfn.XLOOKUP(C833,Table_Tarikan_Warkah[Nomor Sertipikat],Table_Tarikan_Warkah[Nomor Tiket]),"")</f>
        <v>K/5/020125/1</v>
      </c>
      <c r="E833" s="36" t="str">
        <f t="array" ref="E833">IFNA(_xlfn.XLOOKUP(D833,Table_Tarikan_Warkah[Nomor Tiket],Table_Tarikan_Warkah[Tanggal diserahkan kepada Validator]),"")</f>
        <v/>
      </c>
      <c r="F833" s="36" t="str">
        <f t="array" ref="F833">IFNA(_xlfn.XLOOKUP(D833,Table_Tarikan_Warkah[Nomor Tiket],Table_Tarikan_Warkah[Nama Petugas Warkah]),"")</f>
        <v/>
      </c>
      <c r="G833" s="39" t="str">
        <f t="array" ref="G833">IFNA(_xlfn.XLOOKUP(D833,Table_Tarikan_Warkah[Nomor Tiket],Table_Tarikan_Warkah[Jenis Permohonan]),"")</f>
        <v>Hapus BHTB</v>
      </c>
      <c r="H833" s="41" t="s">
        <v>11</v>
      </c>
      <c r="I833" s="41" t="s">
        <v>23</v>
      </c>
      <c r="J833" s="36">
        <f t="shared" si="20"/>
        <v>45667.63989</v>
      </c>
      <c r="K833" s="49" t="s">
        <v>197</v>
      </c>
      <c r="L833" s="49" t="s">
        <v>23</v>
      </c>
      <c r="M833" s="36">
        <f t="shared" si="21"/>
        <v>45670.64233</v>
      </c>
      <c r="N833" s="30" t="str">
        <f t="shared" si="22"/>
        <v>Selesai</v>
      </c>
      <c r="O833" s="45">
        <f t="shared" si="23"/>
        <v>45670.64233</v>
      </c>
      <c r="P833" s="47" t="b">
        <v>1</v>
      </c>
      <c r="Q833" s="36">
        <f t="shared" si="24"/>
        <v>45670.64292</v>
      </c>
      <c r="R833" s="47" t="b">
        <v>0</v>
      </c>
      <c r="S833" s="42" t="str">
        <f t="shared" si="25"/>
        <v/>
      </c>
      <c r="T833" s="42"/>
    </row>
    <row r="834" ht="22.5" customHeight="1">
      <c r="B834" s="42">
        <f t="shared" si="7"/>
        <v>828</v>
      </c>
      <c r="C834" s="31" t="s">
        <v>956</v>
      </c>
      <c r="D834" s="34" t="str">
        <f t="array" ref="D834">IFNA(_xlfn.XLOOKUP(C834,Table_Tarikan_Warkah[Nomor Sertipikat],Table_Tarikan_Warkah[Nomor Tiket]),"")</f>
        <v>K/35/060125/4</v>
      </c>
      <c r="E834" s="36">
        <f t="array" ref="E834">IFNA(_xlfn.XLOOKUP(D834,Table_Tarikan_Warkah[Nomor Tiket],Table_Tarikan_Warkah[Tanggal diserahkan kepada Validator]),"")</f>
        <v>45665.65186</v>
      </c>
      <c r="F834" s="36" t="str">
        <f t="array" ref="F834">IFNA(_xlfn.XLOOKUP(D834,Table_Tarikan_Warkah[Nomor Tiket],Table_Tarikan_Warkah[Nama Petugas Warkah]),"")</f>
        <v>Berry</v>
      </c>
      <c r="G834" s="39" t="str">
        <f t="array" ref="G834">IFNA(_xlfn.XLOOKUP(D834,Table_Tarikan_Warkah[Nomor Tiket],Table_Tarikan_Warkah[Jenis Permohonan]),"")</f>
        <v>BN JUAL BELI</v>
      </c>
      <c r="H834" s="41" t="s">
        <v>11</v>
      </c>
      <c r="I834" s="41" t="s">
        <v>12</v>
      </c>
      <c r="J834" s="36">
        <f t="shared" si="20"/>
        <v>45667.63995</v>
      </c>
      <c r="K834" s="41" t="s">
        <v>197</v>
      </c>
      <c r="L834" s="41" t="s">
        <v>12</v>
      </c>
      <c r="M834" s="36">
        <f t="shared" si="21"/>
        <v>45672.618</v>
      </c>
      <c r="N834" s="30" t="str">
        <f t="shared" si="22"/>
        <v>SELESAI</v>
      </c>
      <c r="O834" s="45">
        <f t="shared" si="23"/>
        <v>45672.618</v>
      </c>
      <c r="P834" s="47" t="b">
        <v>0</v>
      </c>
      <c r="Q834" s="36" t="str">
        <f t="shared" si="24"/>
        <v/>
      </c>
      <c r="R834" s="47" t="b">
        <v>1</v>
      </c>
      <c r="S834" s="36">
        <f t="shared" si="25"/>
        <v>45672.61806</v>
      </c>
      <c r="T834" s="42"/>
    </row>
    <row r="835" ht="22.5" customHeight="1">
      <c r="B835" s="42">
        <f t="shared" si="7"/>
        <v>829</v>
      </c>
      <c r="C835" s="31" t="s">
        <v>957</v>
      </c>
      <c r="D835" s="34" t="str">
        <f t="array" ref="D835">IFNA(_xlfn.XLOOKUP(C835,Table_Tarikan_Warkah[Nomor Sertipikat],Table_Tarikan_Warkah[Nomor Tiket]),"")</f>
        <v>K/29/060125/1</v>
      </c>
      <c r="E835" s="36">
        <f t="array" ref="E835">IFNA(_xlfn.XLOOKUP(D835,Table_Tarikan_Warkah[Nomor Tiket],Table_Tarikan_Warkah[Tanggal diserahkan kepada Validator]),"")</f>
        <v>45665.65093</v>
      </c>
      <c r="F835" s="36" t="str">
        <f t="array" ref="F835">IFNA(_xlfn.XLOOKUP(D835,Table_Tarikan_Warkah[Nomor Tiket],Table_Tarikan_Warkah[Nama Petugas Warkah]),"")</f>
        <v>Berry</v>
      </c>
      <c r="G835" s="39" t="str">
        <f t="array" ref="G835">IFNA(_xlfn.XLOOKUP(D835,Table_Tarikan_Warkah[Nomor Tiket],Table_Tarikan_Warkah[Jenis Permohonan]),"")</f>
        <v>Roya</v>
      </c>
      <c r="H835" s="41" t="s">
        <v>11</v>
      </c>
      <c r="I835" s="41" t="s">
        <v>12</v>
      </c>
      <c r="J835" s="36">
        <f t="shared" si="20"/>
        <v>45667.63997</v>
      </c>
      <c r="K835" s="41" t="s">
        <v>197</v>
      </c>
      <c r="L835" s="41" t="s">
        <v>12</v>
      </c>
      <c r="M835" s="36">
        <f t="shared" si="21"/>
        <v>45672.61774</v>
      </c>
      <c r="N835" s="30" t="str">
        <f t="shared" si="22"/>
        <v>SELESAI</v>
      </c>
      <c r="O835" s="45">
        <f t="shared" si="23"/>
        <v>45672.61774</v>
      </c>
      <c r="P835" s="47" t="b">
        <v>0</v>
      </c>
      <c r="Q835" s="36" t="str">
        <f t="shared" si="24"/>
        <v/>
      </c>
      <c r="R835" s="47" t="b">
        <v>1</v>
      </c>
      <c r="S835" s="36">
        <f t="shared" si="25"/>
        <v>45672.61769</v>
      </c>
      <c r="T835" s="42"/>
    </row>
    <row r="836" ht="22.5" customHeight="1">
      <c r="B836" s="42">
        <f t="shared" si="7"/>
        <v>830</v>
      </c>
      <c r="C836" s="31" t="s">
        <v>958</v>
      </c>
      <c r="D836" s="34" t="str">
        <f t="array" ref="D836">IFNA(_xlfn.XLOOKUP(C836,Table_Tarikan_Warkah[Nomor Sertipikat],Table_Tarikan_Warkah[Nomor Tiket]),"")</f>
        <v>K/34/060125/3</v>
      </c>
      <c r="E836" s="36">
        <f t="array" ref="E836">IFNA(_xlfn.XLOOKUP(D836,Table_Tarikan_Warkah[Nomor Tiket],Table_Tarikan_Warkah[Tanggal diserahkan kepada Validator]),"")</f>
        <v>45665.65173</v>
      </c>
      <c r="F836" s="36" t="str">
        <f t="array" ref="F836">IFNA(_xlfn.XLOOKUP(D836,Table_Tarikan_Warkah[Nomor Tiket],Table_Tarikan_Warkah[Nama Petugas Warkah]),"")</f>
        <v>Berry</v>
      </c>
      <c r="G836" s="39" t="str">
        <f t="array" ref="G836">IFNA(_xlfn.XLOOKUP(D836,Table_Tarikan_Warkah[Nomor Tiket],Table_Tarikan_Warkah[Jenis Permohonan]),"")</f>
        <v>BAN JUAL BELI</v>
      </c>
      <c r="H836" s="41" t="s">
        <v>11</v>
      </c>
      <c r="I836" s="41" t="s">
        <v>12</v>
      </c>
      <c r="J836" s="36">
        <f t="shared" si="20"/>
        <v>45667.63997</v>
      </c>
      <c r="K836" s="41" t="s">
        <v>197</v>
      </c>
      <c r="L836" s="41" t="s">
        <v>12</v>
      </c>
      <c r="M836" s="36">
        <f t="shared" si="21"/>
        <v>45672.61802</v>
      </c>
      <c r="N836" s="30" t="str">
        <f t="shared" si="22"/>
        <v>SELESAI</v>
      </c>
      <c r="O836" s="45">
        <f t="shared" si="23"/>
        <v>45672.61802</v>
      </c>
      <c r="P836" s="47" t="b">
        <v>0</v>
      </c>
      <c r="Q836" s="36" t="str">
        <f t="shared" si="24"/>
        <v/>
      </c>
      <c r="R836" s="47" t="b">
        <v>1</v>
      </c>
      <c r="S836" s="36">
        <f t="shared" si="25"/>
        <v>45672.61807</v>
      </c>
      <c r="T836" s="42"/>
    </row>
    <row r="837" ht="22.5" customHeight="1">
      <c r="B837" s="42">
        <f t="shared" si="7"/>
        <v>831</v>
      </c>
      <c r="C837" s="31" t="s">
        <v>959</v>
      </c>
      <c r="D837" s="34" t="str">
        <f t="array" ref="D837">IFNA(_xlfn.XLOOKUP(C837,Table_Tarikan_Warkah[Nomor Sertipikat],Table_Tarikan_Warkah[Nomor Tiket]),"")</f>
        <v>L/23/060125/1</v>
      </c>
      <c r="E837" s="36">
        <f t="array" ref="E837">IFNA(_xlfn.XLOOKUP(D837,Table_Tarikan_Warkah[Nomor Tiket],Table_Tarikan_Warkah[Tanggal diserahkan kepada Validator]),"")</f>
        <v>45665.65053</v>
      </c>
      <c r="F837" s="36" t="str">
        <f t="array" ref="F837">IFNA(_xlfn.XLOOKUP(D837,Table_Tarikan_Warkah[Nomor Tiket],Table_Tarikan_Warkah[Nama Petugas Warkah]),"")</f>
        <v>Berry</v>
      </c>
      <c r="G837" s="39" t="str">
        <f t="array" ref="G837">IFNA(_xlfn.XLOOKUP(D837,Table_Tarikan_Warkah[Nomor Tiket],Table_Tarikan_Warkah[Jenis Permohonan]),"")</f>
        <v>ROYA</v>
      </c>
      <c r="H837" s="41" t="s">
        <v>11</v>
      </c>
      <c r="I837" s="41" t="s">
        <v>12</v>
      </c>
      <c r="J837" s="36">
        <f t="shared" si="20"/>
        <v>45667.63997</v>
      </c>
      <c r="K837" s="41" t="s">
        <v>197</v>
      </c>
      <c r="L837" s="41" t="s">
        <v>12</v>
      </c>
      <c r="M837" s="36">
        <f t="shared" si="21"/>
        <v>45672.61518</v>
      </c>
      <c r="N837" s="30" t="str">
        <f t="shared" si="22"/>
        <v>SELESAI</v>
      </c>
      <c r="O837" s="45">
        <f t="shared" si="23"/>
        <v>45672.61518</v>
      </c>
      <c r="P837" s="47" t="b">
        <v>0</v>
      </c>
      <c r="Q837" s="36" t="str">
        <f t="shared" si="24"/>
        <v/>
      </c>
      <c r="R837" s="47" t="b">
        <v>1</v>
      </c>
      <c r="S837" s="36">
        <f t="shared" si="25"/>
        <v>45672.61521</v>
      </c>
      <c r="T837" s="42"/>
    </row>
    <row r="838" ht="22.5" customHeight="1">
      <c r="B838" s="42">
        <f t="shared" si="7"/>
        <v>832</v>
      </c>
      <c r="C838" s="31" t="s">
        <v>960</v>
      </c>
      <c r="D838" s="34" t="str">
        <f t="array" ref="D838">IFNA(_xlfn.XLOOKUP(C838,Table_Tarikan_Warkah[Nomor Sertipikat],Table_Tarikan_Warkah[Nomor Tiket]),"")</f>
        <v>K/29/020125/1</v>
      </c>
      <c r="E838" s="36">
        <f t="array" ref="E838">IFNA(_xlfn.XLOOKUP(D838,Table_Tarikan_Warkah[Nomor Tiket],Table_Tarikan_Warkah[Tanggal diserahkan kepada Validator]),"")</f>
        <v>45672.41703</v>
      </c>
      <c r="F838" s="36" t="str">
        <f t="array" ref="F838">IFNA(_xlfn.XLOOKUP(D838,Table_Tarikan_Warkah[Nomor Tiket],Table_Tarikan_Warkah[Nama Petugas Warkah]),"")</f>
        <v>Berry</v>
      </c>
      <c r="G838" s="39" t="str">
        <f t="array" ref="G838">IFNA(_xlfn.XLOOKUP(D838,Table_Tarikan_Warkah[Nomor Tiket],Table_Tarikan_Warkah[Jenis Permohonan]),"")</f>
        <v>BN JUAL BELI</v>
      </c>
      <c r="H838" s="41" t="s">
        <v>11</v>
      </c>
      <c r="I838" s="41" t="s">
        <v>23</v>
      </c>
      <c r="J838" s="36">
        <f t="shared" si="20"/>
        <v>45667.66379</v>
      </c>
      <c r="K838" s="49" t="s">
        <v>197</v>
      </c>
      <c r="L838" s="49" t="s">
        <v>23</v>
      </c>
      <c r="M838" s="36">
        <f t="shared" si="21"/>
        <v>45670.64241</v>
      </c>
      <c r="N838" s="30" t="str">
        <f t="shared" si="22"/>
        <v>Selesai</v>
      </c>
      <c r="O838" s="45">
        <f t="shared" si="23"/>
        <v>45670.64241</v>
      </c>
      <c r="P838" s="47" t="b">
        <v>1</v>
      </c>
      <c r="Q838" s="36">
        <f t="shared" si="24"/>
        <v>45670.64299</v>
      </c>
      <c r="R838" s="47" t="b">
        <v>0</v>
      </c>
      <c r="S838" s="42" t="str">
        <f t="shared" si="25"/>
        <v/>
      </c>
      <c r="T838" s="42"/>
    </row>
    <row r="839" ht="22.5" customHeight="1">
      <c r="B839" s="42">
        <f t="shared" si="7"/>
        <v>833</v>
      </c>
      <c r="C839" s="31" t="s">
        <v>961</v>
      </c>
      <c r="D839" s="34" t="str">
        <f t="array" ref="D839">IFNA(_xlfn.XLOOKUP(C839,Table_Tarikan_Warkah[Nomor Sertipikat],Table_Tarikan_Warkah[Nomor Tiket]),"")</f>
        <v>K/22/201224/1</v>
      </c>
      <c r="E839" s="36" t="str">
        <f t="array" ref="E839">IFNA(_xlfn.XLOOKUP(D839,Table_Tarikan_Warkah[Nomor Tiket],Table_Tarikan_Warkah[Tanggal diserahkan kepada Validator]),"")</f>
        <v/>
      </c>
      <c r="F839" s="36" t="str">
        <f t="array" ref="F839">IFNA(_xlfn.XLOOKUP(D839,Table_Tarikan_Warkah[Nomor Tiket],Table_Tarikan_Warkah[Nama Petugas Warkah]),"")</f>
        <v/>
      </c>
      <c r="G839" s="39" t="str">
        <f t="array" ref="G839">IFNA(_xlfn.XLOOKUP(D839,Table_Tarikan_Warkah[Nomor Tiket],Table_Tarikan_Warkah[Jenis Permohonan]),"")</f>
        <v>BN JUAL BELI</v>
      </c>
      <c r="H839" s="41" t="s">
        <v>11</v>
      </c>
      <c r="I839" s="41" t="s">
        <v>23</v>
      </c>
      <c r="J839" s="36">
        <f t="shared" si="20"/>
        <v>45667.66382</v>
      </c>
      <c r="K839" s="49" t="s">
        <v>197</v>
      </c>
      <c r="L839" s="49" t="s">
        <v>23</v>
      </c>
      <c r="M839" s="36">
        <f t="shared" si="21"/>
        <v>45670.64241</v>
      </c>
      <c r="N839" s="30" t="str">
        <f t="shared" si="22"/>
        <v>Selesai</v>
      </c>
      <c r="O839" s="45">
        <f t="shared" si="23"/>
        <v>45670.64241</v>
      </c>
      <c r="P839" s="47" t="b">
        <v>1</v>
      </c>
      <c r="Q839" s="36">
        <f t="shared" si="24"/>
        <v>45670.64299</v>
      </c>
      <c r="R839" s="47" t="b">
        <v>0</v>
      </c>
      <c r="S839" s="42" t="str">
        <f t="shared" si="25"/>
        <v/>
      </c>
      <c r="T839" s="42"/>
    </row>
    <row r="840" ht="22.5" customHeight="1">
      <c r="B840" s="42">
        <f t="shared" si="7"/>
        <v>834</v>
      </c>
      <c r="C840" s="31" t="s">
        <v>962</v>
      </c>
      <c r="D840" s="34" t="str">
        <f t="array" ref="D840">IFNA(_xlfn.XLOOKUP(C840,Table_Tarikan_Warkah[Nomor Sertipikat],Table_Tarikan_Warkah[Nomor Tiket]),"")</f>
        <v>K/24/090125/2</v>
      </c>
      <c r="E840" s="36">
        <f t="array" ref="E840">IFNA(_xlfn.XLOOKUP(D840,Table_Tarikan_Warkah[Nomor Tiket],Table_Tarikan_Warkah[Tanggal diserahkan kepada Validator]),"")</f>
        <v>45671.43117</v>
      </c>
      <c r="F840" s="36" t="str">
        <f t="array" ref="F840">IFNA(_xlfn.XLOOKUP(D840,Table_Tarikan_Warkah[Nomor Tiket],Table_Tarikan_Warkah[Nama Petugas Warkah]),"")</f>
        <v>Berry</v>
      </c>
      <c r="G840" s="39" t="str">
        <f t="array" ref="G840">IFNA(_xlfn.XLOOKUP(D840,Table_Tarikan_Warkah[Nomor Tiket],Table_Tarikan_Warkah[Jenis Permohonan]),"")</f>
        <v>BN JUAL BELI</v>
      </c>
      <c r="H840" s="41" t="s">
        <v>11</v>
      </c>
      <c r="I840" s="41" t="s">
        <v>23</v>
      </c>
      <c r="J840" s="36">
        <f t="shared" si="20"/>
        <v>45667.66382</v>
      </c>
      <c r="K840" s="49" t="s">
        <v>197</v>
      </c>
      <c r="L840" s="49" t="s">
        <v>23</v>
      </c>
      <c r="M840" s="36">
        <f t="shared" si="21"/>
        <v>45670.64241</v>
      </c>
      <c r="N840" s="30" t="str">
        <f t="shared" si="22"/>
        <v>Selesai</v>
      </c>
      <c r="O840" s="45">
        <f t="shared" si="23"/>
        <v>45670.64241</v>
      </c>
      <c r="P840" s="47" t="b">
        <v>1</v>
      </c>
      <c r="Q840" s="36">
        <f t="shared" si="24"/>
        <v>45670.64299</v>
      </c>
      <c r="R840" s="47" t="b">
        <v>1</v>
      </c>
      <c r="S840" s="36">
        <f t="shared" si="25"/>
        <v>45679.45543</v>
      </c>
      <c r="T840" s="42"/>
    </row>
    <row r="841" ht="22.5" customHeight="1">
      <c r="B841" s="42">
        <f t="shared" si="7"/>
        <v>835</v>
      </c>
      <c r="C841" s="31" t="s">
        <v>963</v>
      </c>
      <c r="D841" s="34" t="str">
        <f t="array" ref="D841">IFNA(_xlfn.XLOOKUP(C841,Table_Tarikan_Warkah[Nomor Sertipikat],Table_Tarikan_Warkah[Nomor Tiket]),"")</f>
        <v>K/3/070125/1</v>
      </c>
      <c r="E841" s="36">
        <f t="array" ref="E841">IFNA(_xlfn.XLOOKUP(D841,Table_Tarikan_Warkah[Nomor Tiket],Table_Tarikan_Warkah[Tanggal diserahkan kepada Validator]),"")</f>
        <v>45672.41814</v>
      </c>
      <c r="F841" s="36" t="str">
        <f t="array" ref="F841">IFNA(_xlfn.XLOOKUP(D841,Table_Tarikan_Warkah[Nomor Tiket],Table_Tarikan_Warkah[Nama Petugas Warkah]),"")</f>
        <v>Berry</v>
      </c>
      <c r="G841" s="39" t="str">
        <f t="array" ref="G841">IFNA(_xlfn.XLOOKUP(D841,Table_Tarikan_Warkah[Nomor Tiket],Table_Tarikan_Warkah[Jenis Permohonan]),"")</f>
        <v>BN JUAL BELI</v>
      </c>
      <c r="H841" s="41" t="s">
        <v>11</v>
      </c>
      <c r="I841" s="41" t="s">
        <v>23</v>
      </c>
      <c r="J841" s="36">
        <f t="shared" si="20"/>
        <v>45667.66382</v>
      </c>
      <c r="K841" s="49" t="s">
        <v>197</v>
      </c>
      <c r="L841" s="49" t="s">
        <v>23</v>
      </c>
      <c r="M841" s="36">
        <f t="shared" si="21"/>
        <v>45670.64245</v>
      </c>
      <c r="N841" s="30" t="str">
        <f t="shared" si="22"/>
        <v>Selesai</v>
      </c>
      <c r="O841" s="45">
        <f t="shared" si="23"/>
        <v>45670.64245</v>
      </c>
      <c r="P841" s="47" t="b">
        <v>1</v>
      </c>
      <c r="Q841" s="36">
        <f t="shared" si="24"/>
        <v>45670.64302</v>
      </c>
      <c r="R841" s="47" t="b">
        <v>0</v>
      </c>
      <c r="S841" s="42" t="str">
        <f t="shared" si="25"/>
        <v/>
      </c>
      <c r="T841" s="42"/>
    </row>
    <row r="842" ht="22.5" customHeight="1">
      <c r="B842" s="42">
        <f t="shared" si="7"/>
        <v>836</v>
      </c>
      <c r="C842" s="31" t="s">
        <v>964</v>
      </c>
      <c r="D842" s="34" t="str">
        <f t="array" ref="D842">IFNA(_xlfn.XLOOKUP(C842,Table_Tarikan_Warkah[Nomor Sertipikat],Table_Tarikan_Warkah[Nomor Tiket]),"")</f>
        <v>K/36/060125/5</v>
      </c>
      <c r="E842" s="36">
        <f t="array" ref="E842">IFNA(_xlfn.XLOOKUP(D842,Table_Tarikan_Warkah[Nomor Tiket],Table_Tarikan_Warkah[Tanggal diserahkan kepada Validator]),"")</f>
        <v>45672.41735</v>
      </c>
      <c r="F842" s="36" t="str">
        <f t="array" ref="F842">IFNA(_xlfn.XLOOKUP(D842,Table_Tarikan_Warkah[Nomor Tiket],Table_Tarikan_Warkah[Nama Petugas Warkah]),"")</f>
        <v>Berry</v>
      </c>
      <c r="G842" s="39" t="str">
        <f t="array" ref="G842">IFNA(_xlfn.XLOOKUP(D842,Table_Tarikan_Warkah[Nomor Tiket],Table_Tarikan_Warkah[Jenis Permohonan]),"")</f>
        <v>BN JUAL BELI</v>
      </c>
      <c r="H842" s="41" t="s">
        <v>11</v>
      </c>
      <c r="I842" s="41" t="s">
        <v>23</v>
      </c>
      <c r="J842" s="36">
        <f t="shared" si="20"/>
        <v>45667.66382</v>
      </c>
      <c r="K842" s="49" t="s">
        <v>197</v>
      </c>
      <c r="L842" s="49" t="s">
        <v>23</v>
      </c>
      <c r="M842" s="36">
        <f t="shared" si="21"/>
        <v>45670.64245</v>
      </c>
      <c r="N842" s="30" t="str">
        <f t="shared" si="22"/>
        <v>Selesai</v>
      </c>
      <c r="O842" s="45">
        <f t="shared" si="23"/>
        <v>45670.64245</v>
      </c>
      <c r="P842" s="47" t="b">
        <v>1</v>
      </c>
      <c r="Q842" s="36">
        <f t="shared" si="24"/>
        <v>45670.64302</v>
      </c>
      <c r="R842" s="47" t="b">
        <v>0</v>
      </c>
      <c r="S842" s="42" t="str">
        <f t="shared" si="25"/>
        <v/>
      </c>
      <c r="T842" s="42"/>
    </row>
    <row r="843" ht="22.5" customHeight="1">
      <c r="B843" s="42">
        <f t="shared" si="7"/>
        <v>837</v>
      </c>
      <c r="C843" s="31" t="s">
        <v>965</v>
      </c>
      <c r="D843" s="34" t="str">
        <f t="array" ref="D843">IFNA(_xlfn.XLOOKUP(C843,Table_Tarikan_Warkah[Nomor Sertipikat],Table_Tarikan_Warkah[Nomor Tiket]),"")</f>
        <v>K/11/060125/1</v>
      </c>
      <c r="E843" s="36">
        <f t="array" ref="E843">IFNA(_xlfn.XLOOKUP(D843,Table_Tarikan_Warkah[Nomor Tiket],Table_Tarikan_Warkah[Tanggal diserahkan kepada Validator]),"")</f>
        <v>45672.41941</v>
      </c>
      <c r="F843" s="36" t="str">
        <f t="array" ref="F843">IFNA(_xlfn.XLOOKUP(D843,Table_Tarikan_Warkah[Nomor Tiket],Table_Tarikan_Warkah[Nama Petugas Warkah]),"")</f>
        <v>David</v>
      </c>
      <c r="G843" s="39" t="str">
        <f t="array" ref="G843">IFNA(_xlfn.XLOOKUP(D843,Table_Tarikan_Warkah[Nomor Tiket],Table_Tarikan_Warkah[Jenis Permohonan]),"")</f>
        <v>BN JUAL BELI</v>
      </c>
      <c r="H843" s="41" t="s">
        <v>11</v>
      </c>
      <c r="I843" s="41" t="s">
        <v>23</v>
      </c>
      <c r="J843" s="36">
        <f t="shared" si="20"/>
        <v>45667.66382</v>
      </c>
      <c r="K843" s="49" t="s">
        <v>197</v>
      </c>
      <c r="L843" s="49" t="s">
        <v>23</v>
      </c>
      <c r="M843" s="36">
        <f t="shared" si="21"/>
        <v>45670.64245</v>
      </c>
      <c r="N843" s="30" t="str">
        <f t="shared" si="22"/>
        <v>Selesai</v>
      </c>
      <c r="O843" s="45">
        <f t="shared" si="23"/>
        <v>45670.64245</v>
      </c>
      <c r="P843" s="47" t="b">
        <v>1</v>
      </c>
      <c r="Q843" s="36">
        <f t="shared" si="24"/>
        <v>45670.64302</v>
      </c>
      <c r="R843" s="47" t="b">
        <v>0</v>
      </c>
      <c r="S843" s="42" t="str">
        <f t="shared" si="25"/>
        <v/>
      </c>
      <c r="T843" s="42"/>
    </row>
    <row r="844" ht="22.5" customHeight="1">
      <c r="B844" s="42">
        <f t="shared" si="7"/>
        <v>838</v>
      </c>
      <c r="C844" s="31" t="s">
        <v>966</v>
      </c>
      <c r="D844" s="42" t="s">
        <v>967</v>
      </c>
      <c r="E844" s="36">
        <f t="array" ref="E844">IFNA(_xlfn.XLOOKUP(D844,Table_Tarikan_Warkah[Nomor Tiket],Table_Tarikan_Warkah[Tanggal diserahkan kepada Validator]),"")</f>
        <v>45673.44576</v>
      </c>
      <c r="F844" s="36" t="str">
        <f t="array" ref="F844">IFNA(_xlfn.XLOOKUP(D844,Table_Tarikan_Warkah[Nomor Tiket],Table_Tarikan_Warkah[Nama Petugas Warkah]),"")</f>
        <v>Berry</v>
      </c>
      <c r="G844" s="39" t="str">
        <f t="array" ref="G844">IFNA(_xlfn.XLOOKUP(D844,Table_Tarikan_Warkah[Nomor Tiket],Table_Tarikan_Warkah[Jenis Permohonan]),"")</f>
        <v>BN HIBAH</v>
      </c>
      <c r="H844" s="41" t="s">
        <v>11</v>
      </c>
      <c r="I844" s="41" t="s">
        <v>23</v>
      </c>
      <c r="J844" s="36">
        <f t="shared" si="20"/>
        <v>45667.66382</v>
      </c>
      <c r="K844" s="49" t="s">
        <v>197</v>
      </c>
      <c r="L844" s="49" t="s">
        <v>23</v>
      </c>
      <c r="M844" s="36">
        <f t="shared" si="21"/>
        <v>45670.64253</v>
      </c>
      <c r="N844" s="30" t="str">
        <f t="shared" si="22"/>
        <v>Selesai</v>
      </c>
      <c r="O844" s="45">
        <f t="shared" si="23"/>
        <v>45670.64253</v>
      </c>
      <c r="P844" s="47" t="b">
        <v>1</v>
      </c>
      <c r="Q844" s="36">
        <f t="shared" si="24"/>
        <v>45670.64309</v>
      </c>
      <c r="R844" s="47" t="b">
        <v>0</v>
      </c>
      <c r="S844" s="42" t="str">
        <f t="shared" si="25"/>
        <v/>
      </c>
      <c r="T844" s="42"/>
    </row>
    <row r="845" ht="22.5" customHeight="1">
      <c r="B845" s="42">
        <f t="shared" si="7"/>
        <v>839</v>
      </c>
      <c r="C845" s="31" t="s">
        <v>968</v>
      </c>
      <c r="D845" s="34" t="str">
        <f t="array" ref="D845">IFNA(_xlfn.XLOOKUP(C845,Table_Tarikan_Warkah[Nomor Sertipikat],Table_Tarikan_Warkah[Nomor Tiket]),"")</f>
        <v>K/15/080125/1</v>
      </c>
      <c r="E845" s="36" t="str">
        <f t="array" ref="E845">IFNA(_xlfn.XLOOKUP(D845,Table_Tarikan_Warkah[Nomor Tiket],Table_Tarikan_Warkah[Tanggal diserahkan kepada Validator]),"")</f>
        <v/>
      </c>
      <c r="F845" s="36" t="str">
        <f t="array" ref="F845">IFNA(_xlfn.XLOOKUP(D845,Table_Tarikan_Warkah[Nomor Tiket],Table_Tarikan_Warkah[Nama Petugas Warkah]),"")</f>
        <v>David</v>
      </c>
      <c r="G845" s="39" t="str">
        <f t="array" ref="G845">IFNA(_xlfn.XLOOKUP(D845,Table_Tarikan_Warkah[Nomor Tiket],Table_Tarikan_Warkah[Jenis Permohonan]),"")</f>
        <v>BN Jual Beli</v>
      </c>
      <c r="H845" s="41" t="s">
        <v>11</v>
      </c>
      <c r="I845" s="41" t="s">
        <v>23</v>
      </c>
      <c r="J845" s="36">
        <f t="shared" si="20"/>
        <v>45667.66382</v>
      </c>
      <c r="K845" s="49" t="s">
        <v>197</v>
      </c>
      <c r="L845" s="49" t="s">
        <v>23</v>
      </c>
      <c r="M845" s="36">
        <f t="shared" si="21"/>
        <v>45670.64253</v>
      </c>
      <c r="N845" s="30" t="str">
        <f t="shared" si="22"/>
        <v>Selesai</v>
      </c>
      <c r="O845" s="45">
        <f t="shared" si="23"/>
        <v>45670.64253</v>
      </c>
      <c r="P845" s="47" t="b">
        <v>1</v>
      </c>
      <c r="Q845" s="36">
        <f t="shared" si="24"/>
        <v>45670.64309</v>
      </c>
      <c r="R845" s="47" t="b">
        <v>0</v>
      </c>
      <c r="S845" s="42" t="str">
        <f t="shared" si="25"/>
        <v/>
      </c>
      <c r="T845" s="42"/>
    </row>
    <row r="846" ht="22.5" customHeight="1">
      <c r="B846" s="42">
        <f t="shared" si="7"/>
        <v>840</v>
      </c>
      <c r="C846" s="31" t="s">
        <v>969</v>
      </c>
      <c r="D846" s="34" t="str">
        <f t="array" ref="D846">IFNA(_xlfn.XLOOKUP(C846,Table_Tarikan_Warkah[Nomor Sertipikat],Table_Tarikan_Warkah[Nomor Tiket]),"")</f>
        <v>K/14/070125/1</v>
      </c>
      <c r="E846" s="36">
        <f t="array" ref="E846">IFNA(_xlfn.XLOOKUP(D846,Table_Tarikan_Warkah[Nomor Tiket],Table_Tarikan_Warkah[Tanggal diserahkan kepada Validator]),"")</f>
        <v>45670.44086</v>
      </c>
      <c r="F846" s="36" t="str">
        <f t="array" ref="F846">IFNA(_xlfn.XLOOKUP(D846,Table_Tarikan_Warkah[Nomor Tiket],Table_Tarikan_Warkah[Nama Petugas Warkah]),"")</f>
        <v>Berry</v>
      </c>
      <c r="G846" s="39" t="str">
        <f t="array" ref="G846">IFNA(_xlfn.XLOOKUP(D846,Table_Tarikan_Warkah[Nomor Tiket],Table_Tarikan_Warkah[Jenis Permohonan]),"")</f>
        <v>BN Jual Beli</v>
      </c>
      <c r="H846" s="41" t="s">
        <v>11</v>
      </c>
      <c r="I846" s="41" t="s">
        <v>23</v>
      </c>
      <c r="J846" s="36">
        <f t="shared" si="20"/>
        <v>45667.66382</v>
      </c>
      <c r="K846" s="49" t="s">
        <v>197</v>
      </c>
      <c r="L846" s="49" t="s">
        <v>23</v>
      </c>
      <c r="M846" s="36">
        <f t="shared" si="21"/>
        <v>45670.64253</v>
      </c>
      <c r="N846" s="30" t="str">
        <f t="shared" si="22"/>
        <v>Selesai</v>
      </c>
      <c r="O846" s="45">
        <f t="shared" si="23"/>
        <v>45670.64253</v>
      </c>
      <c r="P846" s="47" t="b">
        <v>1</v>
      </c>
      <c r="Q846" s="36">
        <f t="shared" si="24"/>
        <v>45670.64309</v>
      </c>
      <c r="R846" s="47" t="b">
        <v>1</v>
      </c>
      <c r="S846" s="36">
        <f t="shared" si="25"/>
        <v>45672.62517</v>
      </c>
      <c r="T846" s="42"/>
    </row>
    <row r="847" ht="22.5" customHeight="1">
      <c r="B847" s="42">
        <f t="shared" si="7"/>
        <v>841</v>
      </c>
      <c r="C847" s="31" t="s">
        <v>970</v>
      </c>
      <c r="D847" s="34" t="str">
        <f t="array" ref="D847">IFNA(_xlfn.XLOOKUP(C847,Table_Tarikan_Warkah[Nomor Sertipikat],Table_Tarikan_Warkah[Nomor Tiket]),"")</f>
        <v>K/13/080125/1</v>
      </c>
      <c r="E847" s="36">
        <f t="array" ref="E847">IFNA(_xlfn.XLOOKUP(D847,Table_Tarikan_Warkah[Nomor Tiket],Table_Tarikan_Warkah[Tanggal diserahkan kepada Validator]),"")</f>
        <v>45670.44086</v>
      </c>
      <c r="F847" s="36" t="str">
        <f t="array" ref="F847">IFNA(_xlfn.XLOOKUP(D847,Table_Tarikan_Warkah[Nomor Tiket],Table_Tarikan_Warkah[Nama Petugas Warkah]),"")</f>
        <v>David</v>
      </c>
      <c r="G847" s="39" t="str">
        <f t="array" ref="G847">IFNA(_xlfn.XLOOKUP(D847,Table_Tarikan_Warkah[Nomor Tiket],Table_Tarikan_Warkah[Jenis Permohonan]),"")</f>
        <v>BN Jual Beli</v>
      </c>
      <c r="H847" s="41" t="s">
        <v>11</v>
      </c>
      <c r="I847" s="41" t="s">
        <v>23</v>
      </c>
      <c r="J847" s="36">
        <f t="shared" si="20"/>
        <v>45667.66382</v>
      </c>
      <c r="K847" s="49" t="s">
        <v>197</v>
      </c>
      <c r="L847" s="49" t="s">
        <v>23</v>
      </c>
      <c r="M847" s="36">
        <f t="shared" si="21"/>
        <v>45670.64253</v>
      </c>
      <c r="N847" s="30" t="str">
        <f t="shared" si="22"/>
        <v>Selesai</v>
      </c>
      <c r="O847" s="45">
        <f t="shared" si="23"/>
        <v>45670.64253</v>
      </c>
      <c r="P847" s="47" t="b">
        <v>1</v>
      </c>
      <c r="Q847" s="36">
        <f t="shared" si="24"/>
        <v>45670.64309</v>
      </c>
      <c r="R847" s="47" t="b">
        <v>1</v>
      </c>
      <c r="S847" s="36">
        <f t="shared" si="25"/>
        <v>45672.63044</v>
      </c>
      <c r="T847" s="42"/>
    </row>
    <row r="848" ht="22.5" customHeight="1">
      <c r="B848" s="42">
        <f t="shared" si="7"/>
        <v>842</v>
      </c>
      <c r="C848" s="31" t="s">
        <v>971</v>
      </c>
      <c r="D848" s="34" t="str">
        <f t="array" ref="D848">IFNA(_xlfn.XLOOKUP(C848,Table_Tarikan_Warkah[Nomor Sertipikat],Table_Tarikan_Warkah[Nomor Tiket]),"")</f>
        <v>K/35/181224/2</v>
      </c>
      <c r="E848" s="36" t="str">
        <f t="array" ref="E848">IFNA(_xlfn.XLOOKUP(D848,Table_Tarikan_Warkah[Nomor Tiket],Table_Tarikan_Warkah[Tanggal diserahkan kepada Validator]),"")</f>
        <v/>
      </c>
      <c r="F848" s="36" t="str">
        <f t="array" ref="F848">IFNA(_xlfn.XLOOKUP(D848,Table_Tarikan_Warkah[Nomor Tiket],Table_Tarikan_Warkah[Nama Petugas Warkah]),"")</f>
        <v/>
      </c>
      <c r="G848" s="39" t="str">
        <f t="array" ref="G848">IFNA(_xlfn.XLOOKUP(D848,Table_Tarikan_Warkah[Nomor Tiket],Table_Tarikan_Warkah[Jenis Permohonan]),"")</f>
        <v>BN Jual Beli</v>
      </c>
      <c r="H848" s="41" t="s">
        <v>11</v>
      </c>
      <c r="I848" s="41" t="s">
        <v>23</v>
      </c>
      <c r="J848" s="36">
        <f t="shared" si="20"/>
        <v>45667.66382</v>
      </c>
      <c r="K848" s="49" t="s">
        <v>197</v>
      </c>
      <c r="L848" s="49" t="s">
        <v>23</v>
      </c>
      <c r="M848" s="36">
        <f t="shared" si="21"/>
        <v>45670.64253</v>
      </c>
      <c r="N848" s="30" t="str">
        <f t="shared" si="22"/>
        <v>Selesai</v>
      </c>
      <c r="O848" s="45">
        <f t="shared" si="23"/>
        <v>45670.64253</v>
      </c>
      <c r="P848" s="47" t="b">
        <v>1</v>
      </c>
      <c r="Q848" s="36">
        <f t="shared" si="24"/>
        <v>45670.64309</v>
      </c>
      <c r="R848" s="47" t="b">
        <v>0</v>
      </c>
      <c r="S848" s="42" t="str">
        <f t="shared" si="25"/>
        <v/>
      </c>
      <c r="T848" s="42"/>
    </row>
    <row r="849" ht="22.5" customHeight="1">
      <c r="B849" s="42">
        <f t="shared" si="7"/>
        <v>843</v>
      </c>
      <c r="C849" s="31" t="s">
        <v>972</v>
      </c>
      <c r="D849" s="34" t="str">
        <f t="array" ref="D849">IFNA(_xlfn.XLOOKUP(C849,Table_Tarikan_Warkah[Nomor Sertipikat],Table_Tarikan_Warkah[Nomor Tiket]),"")</f>
        <v>K/26/201224/2</v>
      </c>
      <c r="E849" s="36" t="str">
        <f t="array" ref="E849">IFNA(_xlfn.XLOOKUP(D849,Table_Tarikan_Warkah[Nomor Tiket],Table_Tarikan_Warkah[Tanggal diserahkan kepada Validator]),"")</f>
        <v/>
      </c>
      <c r="F849" s="36" t="str">
        <f t="array" ref="F849">IFNA(_xlfn.XLOOKUP(D849,Table_Tarikan_Warkah[Nomor Tiket],Table_Tarikan_Warkah[Nama Petugas Warkah]),"")</f>
        <v/>
      </c>
      <c r="G849" s="39" t="str">
        <f t="array" ref="G849">IFNA(_xlfn.XLOOKUP(D849,Table_Tarikan_Warkah[Nomor Tiket],Table_Tarikan_Warkah[Jenis Permohonan]),"")</f>
        <v>BN JUAL BELI</v>
      </c>
      <c r="H849" s="41" t="s">
        <v>20</v>
      </c>
      <c r="I849" s="41" t="s">
        <v>23</v>
      </c>
      <c r="J849" s="36">
        <f t="shared" si="20"/>
        <v>45667.67754</v>
      </c>
      <c r="K849" s="49" t="s">
        <v>197</v>
      </c>
      <c r="L849" s="49" t="s">
        <v>23</v>
      </c>
      <c r="M849" s="36">
        <f t="shared" si="21"/>
        <v>45670.64253</v>
      </c>
      <c r="N849" s="30" t="str">
        <f t="shared" si="22"/>
        <v>Selesai</v>
      </c>
      <c r="O849" s="45">
        <f t="shared" si="23"/>
        <v>45670.64253</v>
      </c>
      <c r="P849" s="47" t="b">
        <v>1</v>
      </c>
      <c r="Q849" s="36">
        <f t="shared" si="24"/>
        <v>45670.64309</v>
      </c>
      <c r="R849" s="47" t="b">
        <v>0</v>
      </c>
      <c r="S849" s="42" t="str">
        <f t="shared" si="25"/>
        <v/>
      </c>
      <c r="T849" s="42"/>
    </row>
    <row r="850" ht="22.5" customHeight="1">
      <c r="B850" s="42">
        <f t="shared" si="7"/>
        <v>844</v>
      </c>
      <c r="C850" s="31" t="s">
        <v>973</v>
      </c>
      <c r="D850" s="34" t="str">
        <f t="array" ref="D850">IFNA(_xlfn.XLOOKUP(C850,Table_Tarikan_Warkah[Nomor Sertipikat],Table_Tarikan_Warkah[Nomor Tiket]),"")</f>
        <v>K/15/030125/3</v>
      </c>
      <c r="E850" s="36">
        <f t="array" ref="E850">IFNA(_xlfn.XLOOKUP(D850,Table_Tarikan_Warkah[Nomor Tiket],Table_Tarikan_Warkah[Tanggal diserahkan kepada Validator]),"")</f>
        <v>45672.41875</v>
      </c>
      <c r="F850" s="36" t="str">
        <f t="array" ref="F850">IFNA(_xlfn.XLOOKUP(D850,Table_Tarikan_Warkah[Nomor Tiket],Table_Tarikan_Warkah[Nama Petugas Warkah]),"")</f>
        <v>David</v>
      </c>
      <c r="G850" s="39" t="str">
        <f t="array" ref="G850">IFNA(_xlfn.XLOOKUP(D850,Table_Tarikan_Warkah[Nomor Tiket],Table_Tarikan_Warkah[Jenis Permohonan]),"")</f>
        <v>BN JUAL BELI</v>
      </c>
      <c r="H850" s="41" t="s">
        <v>20</v>
      </c>
      <c r="I850" s="41" t="s">
        <v>23</v>
      </c>
      <c r="J850" s="36">
        <f t="shared" si="20"/>
        <v>45667.67966</v>
      </c>
      <c r="K850" s="49" t="s">
        <v>197</v>
      </c>
      <c r="L850" s="49" t="s">
        <v>23</v>
      </c>
      <c r="M850" s="36">
        <f t="shared" si="21"/>
        <v>45670.64271</v>
      </c>
      <c r="N850" s="30" t="str">
        <f t="shared" si="22"/>
        <v>Selesai</v>
      </c>
      <c r="O850" s="45">
        <f t="shared" si="23"/>
        <v>45670.64271</v>
      </c>
      <c r="P850" s="47" t="b">
        <v>1</v>
      </c>
      <c r="Q850" s="36">
        <f t="shared" si="24"/>
        <v>45670.64313</v>
      </c>
      <c r="R850" s="47" t="b">
        <v>0</v>
      </c>
      <c r="S850" s="42" t="str">
        <f t="shared" si="25"/>
        <v/>
      </c>
      <c r="T850" s="42"/>
    </row>
    <row r="851" ht="22.5" customHeight="1">
      <c r="B851" s="42">
        <f t="shared" si="7"/>
        <v>845</v>
      </c>
      <c r="C851" s="31" t="s">
        <v>974</v>
      </c>
      <c r="D851" s="34" t="str">
        <f t="array" ref="D851">IFNA(_xlfn.XLOOKUP(C851,Table_Tarikan_Warkah[Nomor Sertipikat],Table_Tarikan_Warkah[Nomor Tiket]),"")</f>
        <v>K/14/181224/1</v>
      </c>
      <c r="E851" s="36" t="str">
        <f t="array" ref="E851">IFNA(_xlfn.XLOOKUP(D851,Table_Tarikan_Warkah[Nomor Tiket],Table_Tarikan_Warkah[Tanggal diserahkan kepada Validator]),"")</f>
        <v/>
      </c>
      <c r="F851" s="36" t="str">
        <f t="array" ref="F851">IFNA(_xlfn.XLOOKUP(D851,Table_Tarikan_Warkah[Nomor Tiket],Table_Tarikan_Warkah[Nama Petugas Warkah]),"")</f>
        <v/>
      </c>
      <c r="G851" s="39" t="str">
        <f t="array" ref="G851">IFNA(_xlfn.XLOOKUP(D851,Table_Tarikan_Warkah[Nomor Tiket],Table_Tarikan_Warkah[Jenis Permohonan]),"")</f>
        <v>BN JUAL BELI</v>
      </c>
      <c r="H851" s="41" t="s">
        <v>20</v>
      </c>
      <c r="I851" s="41" t="s">
        <v>23</v>
      </c>
      <c r="J851" s="36">
        <f t="shared" si="20"/>
        <v>45670.37311</v>
      </c>
      <c r="K851" s="49" t="s">
        <v>197</v>
      </c>
      <c r="L851" s="49" t="s">
        <v>23</v>
      </c>
      <c r="M851" s="36">
        <f t="shared" si="21"/>
        <v>45670.64271</v>
      </c>
      <c r="N851" s="30" t="str">
        <f t="shared" si="22"/>
        <v>Selesai</v>
      </c>
      <c r="O851" s="45">
        <f t="shared" si="23"/>
        <v>45670.64271</v>
      </c>
      <c r="P851" s="47" t="b">
        <v>1</v>
      </c>
      <c r="Q851" s="36">
        <f t="shared" si="24"/>
        <v>45670.64314</v>
      </c>
      <c r="R851" s="47" t="b">
        <v>0</v>
      </c>
      <c r="S851" s="42" t="str">
        <f t="shared" si="25"/>
        <v/>
      </c>
      <c r="T851" s="42"/>
    </row>
    <row r="852" ht="22.5" customHeight="1">
      <c r="B852" s="42">
        <f t="shared" si="7"/>
        <v>846</v>
      </c>
      <c r="C852" s="31" t="s">
        <v>975</v>
      </c>
      <c r="D852" s="34" t="str">
        <f t="array" ref="D852">IFNA(_xlfn.XLOOKUP(C852,Table_Tarikan_Warkah[Nomor Sertipikat],Table_Tarikan_Warkah[Nomor Tiket]),"")</f>
        <v>K/16/060125/1</v>
      </c>
      <c r="E852" s="36">
        <f t="array" ref="E852">IFNA(_xlfn.XLOOKUP(D852,Table_Tarikan_Warkah[Nomor Tiket],Table_Tarikan_Warkah[Tanggal diserahkan kepada Validator]),"")</f>
        <v>45665.64951</v>
      </c>
      <c r="F852" s="36" t="str">
        <f t="array" ref="F852">IFNA(_xlfn.XLOOKUP(D852,Table_Tarikan_Warkah[Nomor Tiket],Table_Tarikan_Warkah[Nama Petugas Warkah]),"")</f>
        <v>Berry</v>
      </c>
      <c r="G852" s="39" t="str">
        <f t="array" ref="G852">IFNA(_xlfn.XLOOKUP(D852,Table_Tarikan_Warkah[Nomor Tiket],Table_Tarikan_Warkah[Jenis Permohonan]),"")</f>
        <v>ROYA LELANG</v>
      </c>
      <c r="H852" s="41" t="s">
        <v>20</v>
      </c>
      <c r="I852" s="41" t="s">
        <v>12</v>
      </c>
      <c r="J852" s="36">
        <f t="shared" si="20"/>
        <v>45670.40697</v>
      </c>
      <c r="K852" s="41" t="s">
        <v>26</v>
      </c>
      <c r="L852" s="41" t="s">
        <v>12</v>
      </c>
      <c r="M852" s="36">
        <f t="shared" si="21"/>
        <v>45672.63024</v>
      </c>
      <c r="N852" s="30" t="str">
        <f t="shared" si="22"/>
        <v>SELESAI</v>
      </c>
      <c r="O852" s="45">
        <f t="shared" si="23"/>
        <v>45672.63024</v>
      </c>
      <c r="P852" s="47" t="b">
        <v>0</v>
      </c>
      <c r="Q852" s="36" t="str">
        <f t="shared" si="24"/>
        <v/>
      </c>
      <c r="R852" s="47" t="b">
        <v>1</v>
      </c>
      <c r="S852" s="36">
        <f t="shared" si="25"/>
        <v>45672.63027</v>
      </c>
      <c r="T852" s="42"/>
    </row>
    <row r="853" ht="22.5" customHeight="1">
      <c r="B853" s="42">
        <f t="shared" si="7"/>
        <v>847</v>
      </c>
      <c r="C853" s="31" t="s">
        <v>976</v>
      </c>
      <c r="D853" s="34" t="str">
        <f t="array" ref="D853">IFNA(_xlfn.XLOOKUP(C853,Table_Tarikan_Warkah[Nomor Sertipikat],Table_Tarikan_Warkah[Nomor Tiket]),"")</f>
        <v>K/18/301024/1</v>
      </c>
      <c r="E853" s="36">
        <f t="array" ref="E853">IFNA(_xlfn.XLOOKUP(D853,Table_Tarikan_Warkah[Nomor Tiket],Table_Tarikan_Warkah[Tanggal diserahkan kepada Validator]),"")</f>
        <v>45700.58939</v>
      </c>
      <c r="F853" s="36" t="str">
        <f t="array" ref="F853">IFNA(_xlfn.XLOOKUP(D853,Table_Tarikan_Warkah[Nomor Tiket],Table_Tarikan_Warkah[Nama Petugas Warkah]),"")</f>
        <v/>
      </c>
      <c r="G853" s="39" t="str">
        <f t="array" ref="G853">IFNA(_xlfn.XLOOKUP(D853,Table_Tarikan_Warkah[Nomor Tiket],Table_Tarikan_Warkah[Jenis Permohonan]),"")</f>
        <v>TITAWATI CS/HENGKI KURNIAWAN</v>
      </c>
      <c r="H853" s="41" t="s">
        <v>20</v>
      </c>
      <c r="I853" s="41" t="s">
        <v>23</v>
      </c>
      <c r="J853" s="36">
        <f t="shared" si="20"/>
        <v>45670.41464</v>
      </c>
      <c r="K853" s="49" t="s">
        <v>197</v>
      </c>
      <c r="L853" s="49" t="s">
        <v>23</v>
      </c>
      <c r="M853" s="36">
        <f t="shared" si="21"/>
        <v>45670.64211</v>
      </c>
      <c r="N853" s="30" t="str">
        <f t="shared" si="22"/>
        <v>Selesai</v>
      </c>
      <c r="O853" s="45">
        <f t="shared" si="23"/>
        <v>45670.64211</v>
      </c>
      <c r="P853" s="47" t="b">
        <v>1</v>
      </c>
      <c r="Q853" s="36">
        <f t="shared" si="24"/>
        <v>45670.64315</v>
      </c>
      <c r="R853" s="47" t="b">
        <v>0</v>
      </c>
      <c r="S853" s="42" t="str">
        <f t="shared" si="25"/>
        <v/>
      </c>
      <c r="T853" s="42"/>
    </row>
    <row r="854" ht="22.5" customHeight="1">
      <c r="B854" s="42">
        <f t="shared" si="7"/>
        <v>848</v>
      </c>
      <c r="C854" s="31" t="s">
        <v>977</v>
      </c>
      <c r="D854" s="34" t="str">
        <f t="array" ref="D854">IFNA(_xlfn.XLOOKUP(C854,Table_Tarikan_Warkah[Nomor Sertipikat],Table_Tarikan_Warkah[Nomor Tiket]),"")</f>
        <v>K/19/070125/1</v>
      </c>
      <c r="E854" s="36">
        <f t="array" ref="E854">IFNA(_xlfn.XLOOKUP(D854,Table_Tarikan_Warkah[Nomor Tiket],Table_Tarikan_Warkah[Tanggal diserahkan kepada Validator]),"")</f>
        <v>45670.44086</v>
      </c>
      <c r="F854" s="36" t="str">
        <f t="array" ref="F854">IFNA(_xlfn.XLOOKUP(D854,Table_Tarikan_Warkah[Nomor Tiket],Table_Tarikan_Warkah[Nama Petugas Warkah]),"")</f>
        <v>Berry</v>
      </c>
      <c r="G854" s="39" t="str">
        <f t="array" ref="G854">IFNA(_xlfn.XLOOKUP(D854,Table_Tarikan_Warkah[Nomor Tiket],Table_Tarikan_Warkah[Jenis Permohonan]),"")</f>
        <v>ROYA</v>
      </c>
      <c r="H854" s="41" t="s">
        <v>20</v>
      </c>
      <c r="I854" s="41" t="s">
        <v>12</v>
      </c>
      <c r="J854" s="36">
        <f t="shared" si="20"/>
        <v>45670.42492</v>
      </c>
      <c r="K854" s="41" t="s">
        <v>197</v>
      </c>
      <c r="L854" s="41" t="s">
        <v>12</v>
      </c>
      <c r="M854" s="36">
        <f t="shared" si="21"/>
        <v>45672.62819</v>
      </c>
      <c r="N854" s="30" t="str">
        <f t="shared" si="22"/>
        <v>SELESAI</v>
      </c>
      <c r="O854" s="45">
        <f t="shared" si="23"/>
        <v>45672.62819</v>
      </c>
      <c r="P854" s="47" t="b">
        <v>0</v>
      </c>
      <c r="Q854" s="36" t="str">
        <f t="shared" si="24"/>
        <v/>
      </c>
      <c r="R854" s="47" t="b">
        <v>1</v>
      </c>
      <c r="S854" s="36">
        <f t="shared" si="25"/>
        <v>45672.62822</v>
      </c>
      <c r="T854" s="42"/>
    </row>
    <row r="855" ht="22.5" customHeight="1">
      <c r="B855" s="42">
        <f t="shared" si="7"/>
        <v>849</v>
      </c>
      <c r="C855" s="31" t="s">
        <v>978</v>
      </c>
      <c r="D855" s="34" t="str">
        <f t="array" ref="D855">IFNA(_xlfn.XLOOKUP(C855,Table_Tarikan_Warkah[Nomor Sertipikat],Table_Tarikan_Warkah[Nomor Tiket]),"")</f>
        <v>K/12/080125/1</v>
      </c>
      <c r="E855" s="36">
        <f t="array" ref="E855">IFNA(_xlfn.XLOOKUP(D855,Table_Tarikan_Warkah[Nomor Tiket],Table_Tarikan_Warkah[Tanggal diserahkan kepada Validator]),"")</f>
        <v>45670.44086</v>
      </c>
      <c r="F855" s="36" t="str">
        <f t="array" ref="F855">IFNA(_xlfn.XLOOKUP(D855,Table_Tarikan_Warkah[Nomor Tiket],Table_Tarikan_Warkah[Nama Petugas Warkah]),"")</f>
        <v>David</v>
      </c>
      <c r="G855" s="39" t="str">
        <f t="array" ref="G855">IFNA(_xlfn.XLOOKUP(D855,Table_Tarikan_Warkah[Nomor Tiket],Table_Tarikan_Warkah[Jenis Permohonan]),"")</f>
        <v>PEMISAHAN</v>
      </c>
      <c r="H855" s="41" t="s">
        <v>20</v>
      </c>
      <c r="I855" s="41" t="s">
        <v>12</v>
      </c>
      <c r="J855" s="36">
        <f t="shared" si="20"/>
        <v>45670.42773</v>
      </c>
      <c r="K855" s="51"/>
      <c r="L855" s="51"/>
      <c r="M855" s="36" t="str">
        <f t="shared" si="21"/>
        <v/>
      </c>
      <c r="N855" s="30" t="str">
        <f t="shared" si="22"/>
        <v>BT atau SU Belum Valid</v>
      </c>
      <c r="O855" s="39" t="str">
        <f t="shared" si="23"/>
        <v/>
      </c>
      <c r="P855" s="47" t="b">
        <v>0</v>
      </c>
      <c r="Q855" s="36" t="str">
        <f t="shared" si="24"/>
        <v/>
      </c>
      <c r="R855" s="47" t="b">
        <v>0</v>
      </c>
      <c r="S855" s="42" t="str">
        <f t="shared" si="25"/>
        <v/>
      </c>
      <c r="T855" s="42"/>
    </row>
    <row r="856" ht="22.5" customHeight="1">
      <c r="B856" s="42">
        <f t="shared" si="7"/>
        <v>850</v>
      </c>
      <c r="C856" s="31" t="s">
        <v>979</v>
      </c>
      <c r="D856" s="34" t="str">
        <f t="array" ref="D856">IFNA(_xlfn.XLOOKUP(C856,Table_Tarikan_Warkah[Nomor Sertipikat],Table_Tarikan_Warkah[Nomor Tiket]),"")</f>
        <v/>
      </c>
      <c r="E856" s="36" t="str">
        <f t="array" ref="E856">IFNA(_xlfn.XLOOKUP(D856,Table_Tarikan_Warkah[Nomor Tiket],Table_Tarikan_Warkah[Tanggal diserahkan kepada Validator]),"")</f>
        <v/>
      </c>
      <c r="F856" s="36" t="str">
        <f t="array" ref="F856">IFNA(_xlfn.XLOOKUP(D856,Table_Tarikan_Warkah[Nomor Tiket],Table_Tarikan_Warkah[Nama Petugas Warkah]),"")</f>
        <v/>
      </c>
      <c r="G856" s="39" t="str">
        <f t="array" ref="G856">IFNA(_xlfn.XLOOKUP(D856,Table_Tarikan_Warkah[Nomor Tiket],Table_Tarikan_Warkah[Jenis Permohonan]),"")</f>
        <v/>
      </c>
      <c r="H856" s="41" t="s">
        <v>20</v>
      </c>
      <c r="I856" s="41" t="s">
        <v>12</v>
      </c>
      <c r="J856" s="36">
        <f t="shared" si="20"/>
        <v>45670.43198</v>
      </c>
      <c r="K856" s="41" t="s">
        <v>26</v>
      </c>
      <c r="L856" s="41" t="s">
        <v>12</v>
      </c>
      <c r="M856" s="36">
        <f t="shared" si="21"/>
        <v>45672.62694</v>
      </c>
      <c r="N856" s="30" t="str">
        <f t="shared" si="22"/>
        <v/>
      </c>
      <c r="O856" s="39" t="str">
        <f t="shared" si="23"/>
        <v/>
      </c>
      <c r="P856" s="47" t="b">
        <v>0</v>
      </c>
      <c r="Q856" s="36" t="str">
        <f t="shared" si="24"/>
        <v/>
      </c>
      <c r="R856" s="47" t="b">
        <v>1</v>
      </c>
      <c r="S856" s="36">
        <f t="shared" si="25"/>
        <v>45672.62697</v>
      </c>
      <c r="T856" s="42"/>
    </row>
    <row r="857" ht="22.5" customHeight="1">
      <c r="B857" s="42">
        <f t="shared" si="7"/>
        <v>851</v>
      </c>
      <c r="C857" s="31" t="s">
        <v>980</v>
      </c>
      <c r="D857" s="34" t="str">
        <f t="array" ref="D857">IFNA(_xlfn.XLOOKUP(C857,Table_Tarikan_Warkah[Nomor Sertipikat],Table_Tarikan_Warkah[Nomor Tiket]),"")</f>
        <v>L/20/070125/1</v>
      </c>
      <c r="E857" s="36">
        <f t="array" ref="E857">IFNA(_xlfn.XLOOKUP(D857,Table_Tarikan_Warkah[Nomor Tiket],Table_Tarikan_Warkah[Tanggal diserahkan kepada Validator]),"")</f>
        <v>45670.44086</v>
      </c>
      <c r="F857" s="36" t="str">
        <f t="array" ref="F857">IFNA(_xlfn.XLOOKUP(D857,Table_Tarikan_Warkah[Nomor Tiket],Table_Tarikan_Warkah[Nama Petugas Warkah]),"")</f>
        <v>Berry</v>
      </c>
      <c r="G857" s="39" t="str">
        <f t="array" ref="G857">IFNA(_xlfn.XLOOKUP(D857,Table_Tarikan_Warkah[Nomor Tiket],Table_Tarikan_Warkah[Jenis Permohonan]),"")</f>
        <v>BN WARIS</v>
      </c>
      <c r="H857" s="41" t="s">
        <v>20</v>
      </c>
      <c r="I857" s="41" t="s">
        <v>12</v>
      </c>
      <c r="J857" s="36">
        <f t="shared" si="20"/>
        <v>45670.50852</v>
      </c>
      <c r="K857" s="41" t="s">
        <v>26</v>
      </c>
      <c r="L857" s="41" t="s">
        <v>12</v>
      </c>
      <c r="M857" s="36">
        <f t="shared" si="21"/>
        <v>45672.62534</v>
      </c>
      <c r="N857" s="30" t="str">
        <f t="shared" si="22"/>
        <v>SELESAI</v>
      </c>
      <c r="O857" s="45">
        <f t="shared" si="23"/>
        <v>45672.62534</v>
      </c>
      <c r="P857" s="47" t="b">
        <v>0</v>
      </c>
      <c r="Q857" s="36" t="str">
        <f t="shared" si="24"/>
        <v/>
      </c>
      <c r="R857" s="47" t="b">
        <v>1</v>
      </c>
      <c r="S857" s="36">
        <f t="shared" si="25"/>
        <v>45672.62537</v>
      </c>
      <c r="T857" s="42"/>
    </row>
    <row r="858" ht="22.5" customHeight="1">
      <c r="B858" s="42">
        <f t="shared" si="7"/>
        <v>852</v>
      </c>
      <c r="C858" s="31" t="s">
        <v>981</v>
      </c>
      <c r="D858" s="34" t="str">
        <f t="array" ref="D858">IFNA(_xlfn.XLOOKUP(C858,Table_Tarikan_Warkah[Nomor Sertipikat],Table_Tarikan_Warkah[Nomor Tiket]),"")</f>
        <v>K/21/070125/1</v>
      </c>
      <c r="E858" s="36" t="str">
        <f t="array" ref="E858">IFNA(_xlfn.XLOOKUP(D858,Table_Tarikan_Warkah[Nomor Tiket],Table_Tarikan_Warkah[Tanggal diserahkan kepada Validator]),"")</f>
        <v/>
      </c>
      <c r="F858" s="36" t="str">
        <f t="array" ref="F858">IFNA(_xlfn.XLOOKUP(D858,Table_Tarikan_Warkah[Nomor Tiket],Table_Tarikan_Warkah[Nama Petugas Warkah]),"")</f>
        <v>David</v>
      </c>
      <c r="G858" s="39" t="str">
        <f t="array" ref="G858">IFNA(_xlfn.XLOOKUP(D858,Table_Tarikan_Warkah[Nomor Tiket],Table_Tarikan_Warkah[Jenis Permohonan]),"")</f>
        <v>BN HIBAH</v>
      </c>
      <c r="H858" s="41" t="s">
        <v>20</v>
      </c>
      <c r="I858" s="41" t="s">
        <v>23</v>
      </c>
      <c r="J858" s="36">
        <f t="shared" si="20"/>
        <v>45670.51059</v>
      </c>
      <c r="K858" s="49" t="s">
        <v>197</v>
      </c>
      <c r="L858" s="49" t="s">
        <v>23</v>
      </c>
      <c r="M858" s="36">
        <f t="shared" si="21"/>
        <v>45670.64184</v>
      </c>
      <c r="N858" s="30" t="str">
        <f t="shared" si="22"/>
        <v>Selesai</v>
      </c>
      <c r="O858" s="45">
        <f t="shared" si="23"/>
        <v>45670.64184</v>
      </c>
      <c r="P858" s="47" t="b">
        <v>1</v>
      </c>
      <c r="Q858" s="36">
        <f t="shared" si="24"/>
        <v>45670.64186</v>
      </c>
      <c r="R858" s="47" t="b">
        <v>0</v>
      </c>
      <c r="S858" s="42" t="str">
        <f t="shared" si="25"/>
        <v/>
      </c>
      <c r="T858" s="42"/>
    </row>
    <row r="859" ht="22.5" customHeight="1">
      <c r="B859" s="42">
        <f t="shared" si="7"/>
        <v>853</v>
      </c>
      <c r="C859" s="31" t="s">
        <v>982</v>
      </c>
      <c r="D859" s="34" t="str">
        <f t="array" ref="D859">IFNA(_xlfn.XLOOKUP(C859,Table_Tarikan_Warkah[Nomor Sertipikat],Table_Tarikan_Warkah[Nomor Tiket]),"")</f>
        <v>K/20/080125/1</v>
      </c>
      <c r="E859" s="36">
        <f t="array" ref="E859">IFNA(_xlfn.XLOOKUP(D859,Table_Tarikan_Warkah[Nomor Tiket],Table_Tarikan_Warkah[Tanggal diserahkan kepada Validator]),"")</f>
        <v>45670.44086</v>
      </c>
      <c r="F859" s="36" t="str">
        <f t="array" ref="F859">IFNA(_xlfn.XLOOKUP(D859,Table_Tarikan_Warkah[Nomor Tiket],Table_Tarikan_Warkah[Nama Petugas Warkah]),"")</f>
        <v>David</v>
      </c>
      <c r="G859" s="39" t="str">
        <f t="array" ref="G859">IFNA(_xlfn.XLOOKUP(D859,Table_Tarikan_Warkah[Nomor Tiket],Table_Tarikan_Warkah[Jenis Permohonan]),"")</f>
        <v>BN WARIS</v>
      </c>
      <c r="H859" s="41" t="s">
        <v>20</v>
      </c>
      <c r="I859" s="41" t="s">
        <v>12</v>
      </c>
      <c r="J859" s="36">
        <f t="shared" si="20"/>
        <v>45670.55057</v>
      </c>
      <c r="K859" s="41" t="s">
        <v>26</v>
      </c>
      <c r="L859" s="41" t="s">
        <v>12</v>
      </c>
      <c r="M859" s="36">
        <f t="shared" si="21"/>
        <v>45672.62851</v>
      </c>
      <c r="N859" s="30" t="str">
        <f t="shared" si="22"/>
        <v>SELESAI</v>
      </c>
      <c r="O859" s="45">
        <f t="shared" si="23"/>
        <v>45672.62851</v>
      </c>
      <c r="P859" s="47" t="b">
        <v>0</v>
      </c>
      <c r="Q859" s="36" t="str">
        <f t="shared" si="24"/>
        <v/>
      </c>
      <c r="R859" s="47" t="b">
        <v>1</v>
      </c>
      <c r="S859" s="36">
        <f t="shared" si="25"/>
        <v>45672.62855</v>
      </c>
      <c r="T859" s="42"/>
    </row>
    <row r="860" ht="22.5" customHeight="1">
      <c r="B860" s="42">
        <f t="shared" si="7"/>
        <v>854</v>
      </c>
      <c r="C860" s="31" t="s">
        <v>983</v>
      </c>
      <c r="D860" s="34" t="str">
        <f t="array" ref="D860">IFNA(_xlfn.XLOOKUP(C860,Table_Tarikan_Warkah[Nomor Sertipikat],Table_Tarikan_Warkah[Nomor Tiket]),"")</f>
        <v>K/14/080125/1</v>
      </c>
      <c r="E860" s="36">
        <f t="array" ref="E860">IFNA(_xlfn.XLOOKUP(D860,Table_Tarikan_Warkah[Nomor Tiket],Table_Tarikan_Warkah[Tanggal diserahkan kepada Validator]),"")</f>
        <v>45670.44086</v>
      </c>
      <c r="F860" s="36" t="str">
        <f t="array" ref="F860">IFNA(_xlfn.XLOOKUP(D860,Table_Tarikan_Warkah[Nomor Tiket],Table_Tarikan_Warkah[Nama Petugas Warkah]),"")</f>
        <v>David</v>
      </c>
      <c r="G860" s="39" t="str">
        <f t="array" ref="G860">IFNA(_xlfn.XLOOKUP(D860,Table_Tarikan_Warkah[Nomor Tiket],Table_Tarikan_Warkah[Jenis Permohonan]),"")</f>
        <v>BN JUAL BELI</v>
      </c>
      <c r="H860" s="41" t="s">
        <v>20</v>
      </c>
      <c r="I860" s="41" t="s">
        <v>12</v>
      </c>
      <c r="J860" s="36">
        <f t="shared" si="20"/>
        <v>45670.55244</v>
      </c>
      <c r="K860" s="41" t="s">
        <v>26</v>
      </c>
      <c r="L860" s="41" t="s">
        <v>12</v>
      </c>
      <c r="M860" s="36">
        <f t="shared" si="21"/>
        <v>45672.62873</v>
      </c>
      <c r="N860" s="30" t="str">
        <f t="shared" si="22"/>
        <v>SELESAI</v>
      </c>
      <c r="O860" s="45">
        <f t="shared" si="23"/>
        <v>45672.62873</v>
      </c>
      <c r="P860" s="47" t="b">
        <v>0</v>
      </c>
      <c r="Q860" s="36" t="str">
        <f t="shared" si="24"/>
        <v/>
      </c>
      <c r="R860" s="47" t="b">
        <v>1</v>
      </c>
      <c r="S860" s="36">
        <f t="shared" si="25"/>
        <v>45672.62877</v>
      </c>
      <c r="T860" s="42"/>
    </row>
    <row r="861" ht="22.5" customHeight="1">
      <c r="B861" s="42">
        <f t="shared" si="7"/>
        <v>855</v>
      </c>
      <c r="C861" s="31" t="s">
        <v>984</v>
      </c>
      <c r="D861" s="34" t="str">
        <f t="array" ref="D861">IFNA(_xlfn.XLOOKUP(C861,Table_Tarikan_Warkah[Nomor Sertipikat],Table_Tarikan_Warkah[Nomor Tiket]),"")</f>
        <v>K/9/080125/1</v>
      </c>
      <c r="E861" s="36">
        <f t="array" ref="E861">IFNA(_xlfn.XLOOKUP(D861,Table_Tarikan_Warkah[Nomor Tiket],Table_Tarikan_Warkah[Tanggal diserahkan kepada Validator]),"")</f>
        <v>45670.44086</v>
      </c>
      <c r="F861" s="36" t="str">
        <f t="array" ref="F861">IFNA(_xlfn.XLOOKUP(D861,Table_Tarikan_Warkah[Nomor Tiket],Table_Tarikan_Warkah[Nama Petugas Warkah]),"")</f>
        <v>David</v>
      </c>
      <c r="G861" s="39" t="str">
        <f t="array" ref="G861">IFNA(_xlfn.XLOOKUP(D861,Table_Tarikan_Warkah[Nomor Tiket],Table_Tarikan_Warkah[Jenis Permohonan]),"")</f>
        <v>BN Waris</v>
      </c>
      <c r="H861" s="41" t="s">
        <v>20</v>
      </c>
      <c r="I861" s="41" t="s">
        <v>12</v>
      </c>
      <c r="J861" s="36">
        <f t="shared" si="20"/>
        <v>45670.55503</v>
      </c>
      <c r="K861" s="41" t="s">
        <v>26</v>
      </c>
      <c r="L861" s="41" t="s">
        <v>12</v>
      </c>
      <c r="M861" s="36">
        <f t="shared" si="21"/>
        <v>45672.63064</v>
      </c>
      <c r="N861" s="30" t="str">
        <f t="shared" si="22"/>
        <v>SELESAI</v>
      </c>
      <c r="O861" s="45">
        <f t="shared" si="23"/>
        <v>45672.63064</v>
      </c>
      <c r="P861" s="47" t="b">
        <v>0</v>
      </c>
      <c r="Q861" s="36" t="str">
        <f t="shared" si="24"/>
        <v/>
      </c>
      <c r="R861" s="47" t="b">
        <v>1</v>
      </c>
      <c r="S861" s="36">
        <f t="shared" si="25"/>
        <v>45672.63067</v>
      </c>
      <c r="T861" s="42"/>
    </row>
    <row r="862" ht="22.5" customHeight="1">
      <c r="B862" s="42">
        <f t="shared" si="7"/>
        <v>856</v>
      </c>
      <c r="C862" s="31" t="s">
        <v>985</v>
      </c>
      <c r="D862" s="42" t="s">
        <v>986</v>
      </c>
      <c r="E862" s="36">
        <f t="array" ref="E862">IFNA(_xlfn.XLOOKUP(D862,Table_Tarikan_Warkah[Nomor Tiket],Table_Tarikan_Warkah[Tanggal diserahkan kepada Validator]),"")</f>
        <v>45670.44086</v>
      </c>
      <c r="F862" s="36" t="str">
        <f t="array" ref="F862">IFNA(_xlfn.XLOOKUP(D862,Table_Tarikan_Warkah[Nomor Tiket],Table_Tarikan_Warkah[Nama Petugas Warkah]),"")</f>
        <v>David</v>
      </c>
      <c r="G862" s="39" t="str">
        <f t="array" ref="G862">IFNA(_xlfn.XLOOKUP(D862,Table_Tarikan_Warkah[Nomor Tiket],Table_Tarikan_Warkah[Jenis Permohonan]),"")</f>
        <v>BN Waris</v>
      </c>
      <c r="H862" s="41" t="s">
        <v>20</v>
      </c>
      <c r="I862" s="41" t="s">
        <v>12</v>
      </c>
      <c r="J862" s="36">
        <f t="shared" si="20"/>
        <v>45670.55622</v>
      </c>
      <c r="K862" s="41" t="s">
        <v>26</v>
      </c>
      <c r="L862" s="41" t="s">
        <v>12</v>
      </c>
      <c r="M862" s="36">
        <f t="shared" si="21"/>
        <v>45672.63085</v>
      </c>
      <c r="N862" s="30" t="str">
        <f t="shared" si="22"/>
        <v>SELESAI</v>
      </c>
      <c r="O862" s="45">
        <f t="shared" si="23"/>
        <v>45672.63085</v>
      </c>
      <c r="P862" s="47" t="b">
        <v>0</v>
      </c>
      <c r="Q862" s="36" t="str">
        <f t="shared" si="24"/>
        <v/>
      </c>
      <c r="R862" s="47" t="b">
        <v>1</v>
      </c>
      <c r="S862" s="36">
        <f t="shared" si="25"/>
        <v>45672.63088</v>
      </c>
      <c r="T862" s="42"/>
    </row>
    <row r="863" ht="22.5" customHeight="1">
      <c r="B863" s="42">
        <f t="shared" si="7"/>
        <v>857</v>
      </c>
      <c r="C863" s="31" t="s">
        <v>987</v>
      </c>
      <c r="D863" s="34" t="str">
        <f t="array" ref="D863">IFNA(_xlfn.XLOOKUP(C863,Table_Tarikan_Warkah[Nomor Sertipikat],Table_Tarikan_Warkah[Nomor Tiket]),"")</f>
        <v>K/25/090125/1</v>
      </c>
      <c r="E863" s="36">
        <f t="array" ref="E863">IFNA(_xlfn.XLOOKUP(D863,Table_Tarikan_Warkah[Nomor Tiket],Table_Tarikan_Warkah[Tanggal diserahkan kepada Validator]),"")</f>
        <v>45673.44474</v>
      </c>
      <c r="F863" s="36" t="str">
        <f t="array" ref="F863">IFNA(_xlfn.XLOOKUP(D863,Table_Tarikan_Warkah[Nomor Tiket],Table_Tarikan_Warkah[Nama Petugas Warkah]),"")</f>
        <v>Berry</v>
      </c>
      <c r="G863" s="39" t="str">
        <f t="array" ref="G863">IFNA(_xlfn.XLOOKUP(D863,Table_Tarikan_Warkah[Nomor Tiket],Table_Tarikan_Warkah[Jenis Permohonan]),"")</f>
        <v>BN JUAL BELI</v>
      </c>
      <c r="H863" s="41" t="s">
        <v>20</v>
      </c>
      <c r="I863" s="41" t="s">
        <v>23</v>
      </c>
      <c r="J863" s="36">
        <f t="shared" si="20"/>
        <v>45670.56472</v>
      </c>
      <c r="K863" s="49" t="s">
        <v>197</v>
      </c>
      <c r="L863" s="49" t="s">
        <v>23</v>
      </c>
      <c r="M863" s="36">
        <f t="shared" si="21"/>
        <v>45670.64166</v>
      </c>
      <c r="N863" s="30" t="str">
        <f t="shared" si="22"/>
        <v>Selesai</v>
      </c>
      <c r="O863" s="45">
        <f t="shared" si="23"/>
        <v>45670.64166</v>
      </c>
      <c r="P863" s="47" t="b">
        <v>1</v>
      </c>
      <c r="Q863" s="36">
        <f t="shared" si="24"/>
        <v>45670.64177</v>
      </c>
      <c r="R863" s="47" t="b">
        <v>0</v>
      </c>
      <c r="S863" s="42" t="str">
        <f t="shared" si="25"/>
        <v/>
      </c>
      <c r="T863" s="42"/>
    </row>
    <row r="864" ht="22.5" customHeight="1">
      <c r="B864" s="42">
        <f t="shared" si="7"/>
        <v>858</v>
      </c>
      <c r="C864" s="31" t="s">
        <v>988</v>
      </c>
      <c r="D864" s="34" t="str">
        <f t="array" ref="D864">IFNA(_xlfn.XLOOKUP(C864,Table_Tarikan_Warkah[Nomor Sertipikat],Table_Tarikan_Warkah[Nomor Tiket]),"")</f>
        <v>K/19/231224/1</v>
      </c>
      <c r="E864" s="36" t="str">
        <f t="array" ref="E864">IFNA(_xlfn.XLOOKUP(D864,Table_Tarikan_Warkah[Nomor Tiket],Table_Tarikan_Warkah[Tanggal diserahkan kepada Validator]),"")</f>
        <v/>
      </c>
      <c r="F864" s="36" t="str">
        <f t="array" ref="F864">IFNA(_xlfn.XLOOKUP(D864,Table_Tarikan_Warkah[Nomor Tiket],Table_Tarikan_Warkah[Nama Petugas Warkah]),"")</f>
        <v/>
      </c>
      <c r="G864" s="39" t="str">
        <f t="array" ref="G864">IFNA(_xlfn.XLOOKUP(D864,Table_Tarikan_Warkah[Nomor Tiket],Table_Tarikan_Warkah[Jenis Permohonan]),"")</f>
        <v>PENINGKATAN HAK</v>
      </c>
      <c r="H864" s="41" t="s">
        <v>20</v>
      </c>
      <c r="I864" s="41" t="s">
        <v>23</v>
      </c>
      <c r="J864" s="36">
        <f t="shared" si="20"/>
        <v>45670.56619</v>
      </c>
      <c r="K864" s="49" t="s">
        <v>197</v>
      </c>
      <c r="L864" s="49" t="s">
        <v>23</v>
      </c>
      <c r="M864" s="36">
        <f t="shared" si="21"/>
        <v>45670.64169</v>
      </c>
      <c r="N864" s="30" t="str">
        <f t="shared" si="22"/>
        <v>Selesai</v>
      </c>
      <c r="O864" s="45">
        <f t="shared" si="23"/>
        <v>45670.64169</v>
      </c>
      <c r="P864" s="47" t="b">
        <v>1</v>
      </c>
      <c r="Q864" s="36">
        <f t="shared" si="24"/>
        <v>45670.64178</v>
      </c>
      <c r="R864" s="47" t="b">
        <v>0</v>
      </c>
      <c r="S864" s="42" t="str">
        <f t="shared" si="25"/>
        <v/>
      </c>
      <c r="T864" s="42"/>
    </row>
    <row r="865" ht="22.5" customHeight="1">
      <c r="B865" s="42">
        <f t="shared" si="7"/>
        <v>859</v>
      </c>
      <c r="C865" s="31" t="s">
        <v>989</v>
      </c>
      <c r="D865" s="34" t="str">
        <f t="array" ref="D865">IFNA(_xlfn.XLOOKUP(C865,Table_Tarikan_Warkah[Nomor Sertipikat],Table_Tarikan_Warkah[Nomor Tiket]),"")</f>
        <v>K/28/181224/1</v>
      </c>
      <c r="E865" s="36">
        <f t="array" ref="E865">IFNA(_xlfn.XLOOKUP(D865,Table_Tarikan_Warkah[Nomor Tiket],Table_Tarikan_Warkah[Tanggal diserahkan kepada Validator]),"")</f>
        <v>45673.44256</v>
      </c>
      <c r="F865" s="36" t="str">
        <f t="array" ref="F865">IFNA(_xlfn.XLOOKUP(D865,Table_Tarikan_Warkah[Nomor Tiket],Table_Tarikan_Warkah[Nama Petugas Warkah]),"")</f>
        <v/>
      </c>
      <c r="G865" s="39" t="str">
        <f t="array" ref="G865">IFNA(_xlfn.XLOOKUP(D865,Table_Tarikan_Warkah[Nomor Tiket],Table_Tarikan_Warkah[Jenis Permohonan]),"")</f>
        <v>BN JUAL BELI</v>
      </c>
      <c r="H865" s="41" t="s">
        <v>20</v>
      </c>
      <c r="I865" s="41" t="s">
        <v>23</v>
      </c>
      <c r="J865" s="36">
        <f t="shared" si="20"/>
        <v>45670.56839</v>
      </c>
      <c r="K865" s="49" t="s">
        <v>197</v>
      </c>
      <c r="L865" s="49" t="s">
        <v>23</v>
      </c>
      <c r="M865" s="36">
        <f t="shared" si="21"/>
        <v>45670.64175</v>
      </c>
      <c r="N865" s="30" t="str">
        <f t="shared" si="22"/>
        <v>Selesai</v>
      </c>
      <c r="O865" s="45">
        <f t="shared" si="23"/>
        <v>45670.64175</v>
      </c>
      <c r="P865" s="47" t="b">
        <v>1</v>
      </c>
      <c r="Q865" s="36">
        <f t="shared" si="24"/>
        <v>45670.64179</v>
      </c>
      <c r="R865" s="47" t="b">
        <v>0</v>
      </c>
      <c r="S865" s="42" t="str">
        <f t="shared" si="25"/>
        <v/>
      </c>
      <c r="T865" s="42"/>
    </row>
    <row r="866" ht="22.5" customHeight="1">
      <c r="B866" s="42">
        <f t="shared" si="7"/>
        <v>860</v>
      </c>
      <c r="C866" s="31" t="s">
        <v>990</v>
      </c>
      <c r="D866" s="34" t="str">
        <f t="array" ref="D866">IFNA(_xlfn.XLOOKUP(C866,Table_Tarikan_Warkah[Nomor Sertipikat],Table_Tarikan_Warkah[Nomor Tiket]),"")</f>
        <v>L/5/080125/1</v>
      </c>
      <c r="E866" s="36">
        <f t="array" ref="E866">IFNA(_xlfn.XLOOKUP(D866,Table_Tarikan_Warkah[Nomor Tiket],Table_Tarikan_Warkah[Tanggal diserahkan kepada Validator]),"")</f>
        <v>45670.44086</v>
      </c>
      <c r="F866" s="36" t="str">
        <f t="array" ref="F866">IFNA(_xlfn.XLOOKUP(D866,Table_Tarikan_Warkah[Nomor Tiket],Table_Tarikan_Warkah[Nama Petugas Warkah]),"")</f>
        <v>David</v>
      </c>
      <c r="G866" s="39" t="str">
        <f t="array" ref="G866">IFNA(_xlfn.XLOOKUP(D866,Table_Tarikan_Warkah[Nomor Tiket],Table_Tarikan_Warkah[Jenis Permohonan]),"")</f>
        <v>ROYA</v>
      </c>
      <c r="H866" s="41" t="s">
        <v>20</v>
      </c>
      <c r="I866" s="41" t="s">
        <v>12</v>
      </c>
      <c r="J866" s="36">
        <f t="shared" si="20"/>
        <v>45670.59557</v>
      </c>
      <c r="K866" s="41" t="s">
        <v>26</v>
      </c>
      <c r="L866" s="41" t="s">
        <v>12</v>
      </c>
      <c r="M866" s="36">
        <f t="shared" si="21"/>
        <v>45672.63113</v>
      </c>
      <c r="N866" s="30" t="str">
        <f t="shared" si="22"/>
        <v>SELESAI</v>
      </c>
      <c r="O866" s="45">
        <f t="shared" si="23"/>
        <v>45672.63113</v>
      </c>
      <c r="P866" s="47" t="b">
        <v>0</v>
      </c>
      <c r="Q866" s="36" t="str">
        <f t="shared" si="24"/>
        <v/>
      </c>
      <c r="R866" s="47" t="b">
        <v>1</v>
      </c>
      <c r="S866" s="36">
        <f t="shared" si="25"/>
        <v>45672.63116</v>
      </c>
      <c r="T866" s="42"/>
    </row>
    <row r="867" ht="22.5" customHeight="1">
      <c r="B867" s="42">
        <f t="shared" si="7"/>
        <v>861</v>
      </c>
      <c r="C867" s="31" t="s">
        <v>991</v>
      </c>
      <c r="D867" s="34" t="str">
        <f t="array" ref="D867">IFNA(_xlfn.XLOOKUP(C867,Table_Tarikan_Warkah[Nomor Sertipikat],Table_Tarikan_Warkah[Nomor Tiket]),"")</f>
        <v>K/11/271224/1</v>
      </c>
      <c r="E867" s="36">
        <f t="array" ref="E867">IFNA(_xlfn.XLOOKUP(D867,Table_Tarikan_Warkah[Nomor Tiket],Table_Tarikan_Warkah[Tanggal diserahkan kepada Validator]),"")</f>
        <v>45672.41973</v>
      </c>
      <c r="F867" s="36" t="str">
        <f t="array" ref="F867">IFNA(_xlfn.XLOOKUP(D867,Table_Tarikan_Warkah[Nomor Tiket],Table_Tarikan_Warkah[Nama Petugas Warkah]),"")</f>
        <v/>
      </c>
      <c r="G867" s="39" t="str">
        <f t="array" ref="G867">IFNA(_xlfn.XLOOKUP(D867,Table_Tarikan_Warkah[Nomor Tiket],Table_Tarikan_Warkah[Jenis Permohonan]),"")</f>
        <v>BN JUAL BELI</v>
      </c>
      <c r="H867" s="41" t="s">
        <v>11</v>
      </c>
      <c r="I867" s="41" t="s">
        <v>23</v>
      </c>
      <c r="J867" s="36">
        <f t="shared" si="20"/>
        <v>45670.64055</v>
      </c>
      <c r="K867" s="49" t="s">
        <v>197</v>
      </c>
      <c r="L867" s="49" t="s">
        <v>23</v>
      </c>
      <c r="M867" s="36">
        <f t="shared" si="21"/>
        <v>45670.64154</v>
      </c>
      <c r="N867" s="30" t="str">
        <f t="shared" si="22"/>
        <v>Selesai</v>
      </c>
      <c r="O867" s="45">
        <f t="shared" si="23"/>
        <v>45670.64154</v>
      </c>
      <c r="P867" s="47" t="b">
        <v>1</v>
      </c>
      <c r="Q867" s="36">
        <f t="shared" si="24"/>
        <v>45670.6418</v>
      </c>
      <c r="R867" s="47" t="b">
        <v>0</v>
      </c>
      <c r="S867" s="42" t="str">
        <f t="shared" si="25"/>
        <v/>
      </c>
      <c r="T867" s="42"/>
    </row>
    <row r="868" ht="22.5" customHeight="1">
      <c r="B868" s="42">
        <f t="shared" si="7"/>
        <v>862</v>
      </c>
      <c r="C868" s="31" t="s">
        <v>992</v>
      </c>
      <c r="D868" s="34" t="str">
        <f t="array" ref="D868">IFNA(_xlfn.XLOOKUP(C868,Table_Tarikan_Warkah[Nomor Sertipikat],Table_Tarikan_Warkah[Nomor Tiket]),"")</f>
        <v>K/16/070125/1</v>
      </c>
      <c r="E868" s="36">
        <f t="array" ref="E868">IFNA(_xlfn.XLOOKUP(D868,Table_Tarikan_Warkah[Nomor Tiket],Table_Tarikan_Warkah[Tanggal diserahkan kepada Validator]),"")</f>
        <v>45670.44086</v>
      </c>
      <c r="F868" s="36" t="str">
        <f t="array" ref="F868">IFNA(_xlfn.XLOOKUP(D868,Table_Tarikan_Warkah[Nomor Tiket],Table_Tarikan_Warkah[Nama Petugas Warkah]),"")</f>
        <v>Berry</v>
      </c>
      <c r="G868" s="39" t="str">
        <f t="array" ref="G868">IFNA(_xlfn.XLOOKUP(D868,Table_Tarikan_Warkah[Nomor Tiket],Table_Tarikan_Warkah[Jenis Permohonan]),"")</f>
        <v>ROYA</v>
      </c>
      <c r="H868" s="41" t="s">
        <v>11</v>
      </c>
      <c r="I868" s="41" t="s">
        <v>12</v>
      </c>
      <c r="J868" s="36">
        <f t="shared" si="20"/>
        <v>45670.64057</v>
      </c>
      <c r="K868" s="41" t="s">
        <v>197</v>
      </c>
      <c r="L868" s="41" t="s">
        <v>12</v>
      </c>
      <c r="M868" s="36">
        <f t="shared" si="21"/>
        <v>45672.629</v>
      </c>
      <c r="N868" s="30" t="str">
        <f t="shared" si="22"/>
        <v>SELESAI</v>
      </c>
      <c r="O868" s="45">
        <f t="shared" si="23"/>
        <v>45672.629</v>
      </c>
      <c r="P868" s="47" t="b">
        <v>0</v>
      </c>
      <c r="Q868" s="36" t="str">
        <f t="shared" si="24"/>
        <v/>
      </c>
      <c r="R868" s="47" t="b">
        <v>1</v>
      </c>
      <c r="S868" s="36">
        <f t="shared" si="25"/>
        <v>45672.62904</v>
      </c>
      <c r="T868" s="42"/>
    </row>
    <row r="869" ht="22.5" customHeight="1">
      <c r="B869" s="42">
        <f t="shared" si="7"/>
        <v>863</v>
      </c>
      <c r="C869" s="31" t="s">
        <v>993</v>
      </c>
      <c r="D869" s="34" t="str">
        <f t="array" ref="D869">IFNA(_xlfn.XLOOKUP(C869,Table_Tarikan_Warkah[Nomor Sertipikat],Table_Tarikan_Warkah[Nomor Tiket]),"")</f>
        <v>K/8/070125/1</v>
      </c>
      <c r="E869" s="36">
        <f t="array" ref="E869">IFNA(_xlfn.XLOOKUP(D869,Table_Tarikan_Warkah[Nomor Tiket],Table_Tarikan_Warkah[Tanggal diserahkan kepada Validator]),"")</f>
        <v>45670.44086</v>
      </c>
      <c r="F869" s="36" t="str">
        <f t="array" ref="F869">IFNA(_xlfn.XLOOKUP(D869,Table_Tarikan_Warkah[Nomor Tiket],Table_Tarikan_Warkah[Nama Petugas Warkah]),"")</f>
        <v>Berry</v>
      </c>
      <c r="G869" s="39" t="str">
        <f t="array" ref="G869">IFNA(_xlfn.XLOOKUP(D869,Table_Tarikan_Warkah[Nomor Tiket],Table_Tarikan_Warkah[Jenis Permohonan]),"")</f>
        <v>Roya</v>
      </c>
      <c r="H869" s="41" t="s">
        <v>11</v>
      </c>
      <c r="I869" s="41" t="s">
        <v>12</v>
      </c>
      <c r="J869" s="36">
        <f t="shared" si="20"/>
        <v>45670.6406</v>
      </c>
      <c r="K869" s="41" t="s">
        <v>197</v>
      </c>
      <c r="L869" s="41" t="s">
        <v>12</v>
      </c>
      <c r="M869" s="36">
        <f t="shared" si="21"/>
        <v>45672.62922</v>
      </c>
      <c r="N869" s="30" t="str">
        <f t="shared" si="22"/>
        <v>SELESAI</v>
      </c>
      <c r="O869" s="45">
        <f t="shared" si="23"/>
        <v>45672.62922</v>
      </c>
      <c r="P869" s="47" t="b">
        <v>0</v>
      </c>
      <c r="Q869" s="36" t="str">
        <f t="shared" si="24"/>
        <v/>
      </c>
      <c r="R869" s="47" t="b">
        <v>1</v>
      </c>
      <c r="S869" s="36">
        <f t="shared" si="25"/>
        <v>45672.62925</v>
      </c>
      <c r="T869" s="42"/>
    </row>
    <row r="870" ht="22.5" customHeight="1">
      <c r="B870" s="42">
        <f t="shared" si="7"/>
        <v>864</v>
      </c>
      <c r="C870" s="31" t="s">
        <v>994</v>
      </c>
      <c r="D870" s="34" t="str">
        <f t="array" ref="D870">IFNA(_xlfn.XLOOKUP(C870,Table_Tarikan_Warkah[Nomor Sertipikat],Table_Tarikan_Warkah[Nomor Tiket]),"")</f>
        <v>L/10/070125/1</v>
      </c>
      <c r="E870" s="36">
        <f t="array" ref="E870">IFNA(_xlfn.XLOOKUP(D870,Table_Tarikan_Warkah[Nomor Tiket],Table_Tarikan_Warkah[Tanggal diserahkan kepada Validator]),"")</f>
        <v>45670.44086</v>
      </c>
      <c r="F870" s="36" t="str">
        <f t="array" ref="F870">IFNA(_xlfn.XLOOKUP(D870,Table_Tarikan_Warkah[Nomor Tiket],Table_Tarikan_Warkah[Nama Petugas Warkah]),"")</f>
        <v>Berry</v>
      </c>
      <c r="G870" s="39" t="str">
        <f t="array" ref="G870">IFNA(_xlfn.XLOOKUP(D870,Table_Tarikan_Warkah[Nomor Tiket],Table_Tarikan_Warkah[Jenis Permohonan]),"")</f>
        <v>ROYA</v>
      </c>
      <c r="H870" s="41" t="s">
        <v>11</v>
      </c>
      <c r="I870" s="41" t="s">
        <v>12</v>
      </c>
      <c r="J870" s="36">
        <f t="shared" si="20"/>
        <v>45670.6406</v>
      </c>
      <c r="K870" s="41" t="s">
        <v>197</v>
      </c>
      <c r="L870" s="41" t="s">
        <v>12</v>
      </c>
      <c r="M870" s="36">
        <f t="shared" si="21"/>
        <v>45672.62953</v>
      </c>
      <c r="N870" s="30" t="str">
        <f t="shared" si="22"/>
        <v>SELESAI</v>
      </c>
      <c r="O870" s="45">
        <f t="shared" si="23"/>
        <v>45672.62953</v>
      </c>
      <c r="P870" s="47" t="b">
        <v>0</v>
      </c>
      <c r="Q870" s="36" t="str">
        <f t="shared" si="24"/>
        <v/>
      </c>
      <c r="R870" s="47" t="b">
        <v>1</v>
      </c>
      <c r="S870" s="36">
        <f t="shared" si="25"/>
        <v>45672.62955</v>
      </c>
      <c r="T870" s="42"/>
    </row>
    <row r="871" ht="22.5" customHeight="1">
      <c r="B871" s="42">
        <f t="shared" si="7"/>
        <v>865</v>
      </c>
      <c r="C871" s="31" t="s">
        <v>995</v>
      </c>
      <c r="D871" s="34" t="str">
        <f t="array" ref="D871">IFNA(_xlfn.XLOOKUP(C871,Table_Tarikan_Warkah[Nomor Sertipikat],Table_Tarikan_Warkah[Nomor Tiket]),"")</f>
        <v>K/49/111224/2</v>
      </c>
      <c r="E871" s="36" t="str">
        <f t="array" ref="E871">IFNA(_xlfn.XLOOKUP(D871,Table_Tarikan_Warkah[Nomor Tiket],Table_Tarikan_Warkah[Tanggal diserahkan kepada Validator]),"")</f>
        <v/>
      </c>
      <c r="F871" s="36" t="str">
        <f t="array" ref="F871">IFNA(_xlfn.XLOOKUP(D871,Table_Tarikan_Warkah[Nomor Tiket],Table_Tarikan_Warkah[Nama Petugas Warkah]),"")</f>
        <v/>
      </c>
      <c r="G871" s="39" t="str">
        <f t="array" ref="G871">IFNA(_xlfn.XLOOKUP(D871,Table_Tarikan_Warkah[Nomor Tiket],Table_Tarikan_Warkah[Jenis Permohonan]),"")</f>
        <v>PTPGT PEMECAHAN</v>
      </c>
      <c r="H871" s="41" t="s">
        <v>11</v>
      </c>
      <c r="I871" s="41" t="s">
        <v>12</v>
      </c>
      <c r="J871" s="36">
        <f t="shared" si="20"/>
        <v>45670.6406</v>
      </c>
      <c r="K871" s="41" t="s">
        <v>197</v>
      </c>
      <c r="L871" s="41" t="s">
        <v>12</v>
      </c>
      <c r="M871" s="36">
        <f t="shared" si="21"/>
        <v>45672.62472</v>
      </c>
      <c r="N871" s="30" t="str">
        <f t="shared" si="22"/>
        <v>SELESAI</v>
      </c>
      <c r="O871" s="45">
        <f t="shared" si="23"/>
        <v>45672.62472</v>
      </c>
      <c r="P871" s="47" t="b">
        <v>0</v>
      </c>
      <c r="Q871" s="36" t="str">
        <f t="shared" si="24"/>
        <v/>
      </c>
      <c r="R871" s="47" t="b">
        <v>1</v>
      </c>
      <c r="S871" s="36">
        <f t="shared" si="25"/>
        <v>45672.62474</v>
      </c>
      <c r="T871" s="42"/>
    </row>
    <row r="872" ht="22.5" customHeight="1">
      <c r="B872" s="42">
        <f t="shared" si="7"/>
        <v>866</v>
      </c>
      <c r="C872" s="31" t="s">
        <v>996</v>
      </c>
      <c r="D872" s="34" t="str">
        <f t="array" ref="D872">IFNA(_xlfn.XLOOKUP(C872,Table_Tarikan_Warkah[Nomor Sertipikat],Table_Tarikan_Warkah[Nomor Tiket]),"")</f>
        <v>K/17/070125/1</v>
      </c>
      <c r="E872" s="36">
        <f t="array" ref="E872">IFNA(_xlfn.XLOOKUP(D872,Table_Tarikan_Warkah[Nomor Tiket],Table_Tarikan_Warkah[Tanggal diserahkan kepada Validator]),"")</f>
        <v>45670.44086</v>
      </c>
      <c r="F872" s="36" t="str">
        <f t="array" ref="F872">IFNA(_xlfn.XLOOKUP(D872,Table_Tarikan_Warkah[Nomor Tiket],Table_Tarikan_Warkah[Nama Petugas Warkah]),"")</f>
        <v>Berry</v>
      </c>
      <c r="G872" s="39" t="str">
        <f t="array" ref="G872">IFNA(_xlfn.XLOOKUP(D872,Table_Tarikan_Warkah[Nomor Tiket],Table_Tarikan_Warkah[Jenis Permohonan]),"")</f>
        <v>Pemecahan</v>
      </c>
      <c r="H872" s="41" t="s">
        <v>11</v>
      </c>
      <c r="I872" s="41" t="s">
        <v>12</v>
      </c>
      <c r="J872" s="36">
        <f t="shared" si="20"/>
        <v>45670.6406</v>
      </c>
      <c r="K872" s="51"/>
      <c r="L872" s="51"/>
      <c r="M872" s="36" t="str">
        <f t="shared" si="21"/>
        <v/>
      </c>
      <c r="N872" s="30" t="str">
        <f t="shared" si="22"/>
        <v>BT atau SU Belum Valid</v>
      </c>
      <c r="O872" s="39" t="str">
        <f t="shared" si="23"/>
        <v/>
      </c>
      <c r="P872" s="47" t="b">
        <v>0</v>
      </c>
      <c r="Q872" s="36" t="str">
        <f t="shared" si="24"/>
        <v/>
      </c>
      <c r="R872" s="47" t="b">
        <v>0</v>
      </c>
      <c r="S872" s="42" t="str">
        <f t="shared" si="25"/>
        <v/>
      </c>
      <c r="T872" s="42"/>
    </row>
    <row r="873" ht="22.5" customHeight="1">
      <c r="B873" s="42">
        <f t="shared" si="7"/>
        <v>867</v>
      </c>
      <c r="C873" s="31" t="s">
        <v>997</v>
      </c>
      <c r="D873" s="34" t="str">
        <f t="array" ref="D873">IFNA(_xlfn.XLOOKUP(C873,Table_Tarikan_Warkah[Nomor Sertipikat],Table_Tarikan_Warkah[Nomor Tiket]),"")</f>
        <v>K/7/070125/1</v>
      </c>
      <c r="E873" s="36">
        <f t="array" ref="E873">IFNA(_xlfn.XLOOKUP(D873,Table_Tarikan_Warkah[Nomor Tiket],Table_Tarikan_Warkah[Tanggal diserahkan kepada Validator]),"")</f>
        <v>45670.44086</v>
      </c>
      <c r="F873" s="36" t="str">
        <f t="array" ref="F873">IFNA(_xlfn.XLOOKUP(D873,Table_Tarikan_Warkah[Nomor Tiket],Table_Tarikan_Warkah[Nama Petugas Warkah]),"")</f>
        <v>Berry</v>
      </c>
      <c r="G873" s="39" t="str">
        <f t="array" ref="G873">IFNA(_xlfn.XLOOKUP(D873,Table_Tarikan_Warkah[Nomor Tiket],Table_Tarikan_Warkah[Jenis Permohonan]),"")</f>
        <v>BN Jual Beli</v>
      </c>
      <c r="H873" s="41" t="s">
        <v>11</v>
      </c>
      <c r="I873" s="41" t="s">
        <v>12</v>
      </c>
      <c r="J873" s="36">
        <f t="shared" si="20"/>
        <v>45670.6406</v>
      </c>
      <c r="K873" s="41" t="s">
        <v>197</v>
      </c>
      <c r="L873" s="41" t="s">
        <v>12</v>
      </c>
      <c r="M873" s="36">
        <f t="shared" si="21"/>
        <v>45672.62978</v>
      </c>
      <c r="N873" s="30" t="str">
        <f t="shared" si="22"/>
        <v>SELESAI</v>
      </c>
      <c r="O873" s="45">
        <f t="shared" si="23"/>
        <v>45672.62978</v>
      </c>
      <c r="P873" s="47" t="b">
        <v>0</v>
      </c>
      <c r="Q873" s="36" t="str">
        <f t="shared" si="24"/>
        <v/>
      </c>
      <c r="R873" s="47" t="b">
        <v>1</v>
      </c>
      <c r="S873" s="36">
        <f t="shared" si="25"/>
        <v>45672.62981</v>
      </c>
      <c r="T873" s="42"/>
    </row>
    <row r="874" ht="22.5" customHeight="1">
      <c r="B874" s="42">
        <f t="shared" si="7"/>
        <v>868</v>
      </c>
      <c r="C874" s="31" t="s">
        <v>998</v>
      </c>
      <c r="D874" s="34" t="str">
        <f t="array" ref="D874">IFNA(_xlfn.XLOOKUP(C874,Table_Tarikan_Warkah[Nomor Sertipikat],Table_Tarikan_Warkah[Nomor Tiket]),"")</f>
        <v>K/33/031224/1</v>
      </c>
      <c r="E874" s="36" t="str">
        <f t="array" ref="E874">IFNA(_xlfn.XLOOKUP(D874,Table_Tarikan_Warkah[Nomor Tiket],Table_Tarikan_Warkah[Tanggal diserahkan kepada Validator]),"")</f>
        <v/>
      </c>
      <c r="F874" s="36" t="str">
        <f t="array" ref="F874">IFNA(_xlfn.XLOOKUP(D874,Table_Tarikan_Warkah[Nomor Tiket],Table_Tarikan_Warkah[Nama Petugas Warkah]),"")</f>
        <v>Berry</v>
      </c>
      <c r="G874" s="39" t="str">
        <f t="array" ref="G874">IFNA(_xlfn.XLOOKUP(D874,Table_Tarikan_Warkah[Nomor Tiket],Table_Tarikan_Warkah[Jenis Permohonan]),"")</f>
        <v>BN WARIS</v>
      </c>
      <c r="H874" s="41" t="s">
        <v>20</v>
      </c>
      <c r="I874" s="41" t="s">
        <v>12</v>
      </c>
      <c r="J874" s="36">
        <f t="shared" si="20"/>
        <v>45671.57913</v>
      </c>
      <c r="K874" s="51"/>
      <c r="L874" s="51"/>
      <c r="M874" s="36" t="str">
        <f t="shared" si="21"/>
        <v/>
      </c>
      <c r="N874" s="30" t="str">
        <f t="shared" si="22"/>
        <v>BT atau SU Belum Valid</v>
      </c>
      <c r="O874" s="39" t="str">
        <f t="shared" si="23"/>
        <v/>
      </c>
      <c r="P874" s="47" t="b">
        <v>0</v>
      </c>
      <c r="Q874" s="36" t="str">
        <f t="shared" si="24"/>
        <v/>
      </c>
      <c r="R874" s="47" t="b">
        <v>0</v>
      </c>
      <c r="S874" s="42" t="str">
        <f t="shared" si="25"/>
        <v/>
      </c>
      <c r="T874" s="42"/>
    </row>
    <row r="875" ht="22.5" customHeight="1">
      <c r="B875" s="42">
        <f t="shared" si="7"/>
        <v>869</v>
      </c>
      <c r="C875" s="31" t="s">
        <v>999</v>
      </c>
      <c r="D875" s="34" t="str">
        <f t="array" ref="D875">IFNA(_xlfn.XLOOKUP(C875,Table_Tarikan_Warkah[Nomor Sertipikat],Table_Tarikan_Warkah[Nomor Tiket]),"")</f>
        <v>K/8/020125/1</v>
      </c>
      <c r="E875" s="36" t="str">
        <f t="array" ref="E875">IFNA(_xlfn.XLOOKUP(D875,Table_Tarikan_Warkah[Nomor Tiket],Table_Tarikan_Warkah[Tanggal diserahkan kepada Validator]),"")</f>
        <v/>
      </c>
      <c r="F875" s="36" t="str">
        <f t="array" ref="F875">IFNA(_xlfn.XLOOKUP(D875,Table_Tarikan_Warkah[Nomor Tiket],Table_Tarikan_Warkah[Nama Petugas Warkah]),"")</f>
        <v>Berry</v>
      </c>
      <c r="G875" s="39" t="str">
        <f t="array" ref="G875">IFNA(_xlfn.XLOOKUP(D875,Table_Tarikan_Warkah[Nomor Tiket],Table_Tarikan_Warkah[Jenis Permohonan]),"")</f>
        <v>BN HIBAH</v>
      </c>
      <c r="H875" s="41" t="s">
        <v>20</v>
      </c>
      <c r="I875" s="41" t="s">
        <v>12</v>
      </c>
      <c r="J875" s="36">
        <f t="shared" si="20"/>
        <v>45671.5937</v>
      </c>
      <c r="K875" s="51"/>
      <c r="L875" s="51"/>
      <c r="M875" s="36" t="str">
        <f t="shared" si="21"/>
        <v/>
      </c>
      <c r="N875" s="30" t="str">
        <f t="shared" si="22"/>
        <v>BT atau SU Belum Valid</v>
      </c>
      <c r="O875" s="39" t="str">
        <f t="shared" si="23"/>
        <v/>
      </c>
      <c r="P875" s="47" t="b">
        <v>0</v>
      </c>
      <c r="Q875" s="36" t="str">
        <f t="shared" si="24"/>
        <v/>
      </c>
      <c r="R875" s="47" t="b">
        <v>0</v>
      </c>
      <c r="S875" s="42" t="str">
        <f t="shared" si="25"/>
        <v/>
      </c>
      <c r="T875" s="42"/>
    </row>
    <row r="876" ht="22.5" customHeight="1">
      <c r="B876" s="42">
        <f t="shared" si="7"/>
        <v>870</v>
      </c>
      <c r="C876" s="31" t="s">
        <v>1000</v>
      </c>
      <c r="D876" s="34" t="str">
        <f t="array" ref="D876">IFNA(_xlfn.XLOOKUP(C876,Table_Tarikan_Warkah[Nomor Sertipikat],Table_Tarikan_Warkah[Nomor Tiket]),"")</f>
        <v>K/28/090125/2</v>
      </c>
      <c r="E876" s="36">
        <f t="array" ref="E876">IFNA(_xlfn.XLOOKUP(D876,Table_Tarikan_Warkah[Nomor Tiket],Table_Tarikan_Warkah[Tanggal diserahkan kepada Validator]),"")</f>
        <v>45671.43246</v>
      </c>
      <c r="F876" s="36" t="str">
        <f t="array" ref="F876">IFNA(_xlfn.XLOOKUP(D876,Table_Tarikan_Warkah[Nomor Tiket],Table_Tarikan_Warkah[Nama Petugas Warkah]),"")</f>
        <v>Berry</v>
      </c>
      <c r="G876" s="39" t="str">
        <f t="array" ref="G876">IFNA(_xlfn.XLOOKUP(D876,Table_Tarikan_Warkah[Nomor Tiket],Table_Tarikan_Warkah[Jenis Permohonan]),"")</f>
        <v>BN JUAL BELI</v>
      </c>
      <c r="H876" s="41" t="s">
        <v>20</v>
      </c>
      <c r="I876" s="41" t="s">
        <v>12</v>
      </c>
      <c r="J876" s="36">
        <f t="shared" si="20"/>
        <v>45671.6015</v>
      </c>
      <c r="K876" s="41" t="s">
        <v>26</v>
      </c>
      <c r="L876" s="41" t="s">
        <v>12</v>
      </c>
      <c r="M876" s="36">
        <f t="shared" si="21"/>
        <v>45679.44926</v>
      </c>
      <c r="N876" s="30" t="str">
        <f t="shared" si="22"/>
        <v>SELESAI</v>
      </c>
      <c r="O876" s="45">
        <f t="shared" si="23"/>
        <v>45679.44926</v>
      </c>
      <c r="P876" s="47" t="b">
        <v>0</v>
      </c>
      <c r="Q876" s="36" t="str">
        <f t="shared" si="24"/>
        <v/>
      </c>
      <c r="R876" s="47" t="b">
        <v>1</v>
      </c>
      <c r="S876" s="36">
        <f t="shared" si="25"/>
        <v>45679.4493</v>
      </c>
      <c r="T876" s="42"/>
    </row>
    <row r="877" ht="22.5" customHeight="1">
      <c r="B877" s="42">
        <f t="shared" si="7"/>
        <v>871</v>
      </c>
      <c r="C877" s="31" t="s">
        <v>1001</v>
      </c>
      <c r="D877" s="34" t="str">
        <f t="array" ref="D877">IFNA(_xlfn.XLOOKUP(C877,Table_Tarikan_Warkah[Nomor Sertipikat],Table_Tarikan_Warkah[Nomor Tiket]),"")</f>
        <v>L/17/090125/1</v>
      </c>
      <c r="E877" s="36">
        <f t="array" ref="E877">IFNA(_xlfn.XLOOKUP(D877,Table_Tarikan_Warkah[Nomor Tiket],Table_Tarikan_Warkah[Tanggal diserahkan kepada Validator]),"")</f>
        <v>45671.43039</v>
      </c>
      <c r="F877" s="36" t="str">
        <f t="array" ref="F877">IFNA(_xlfn.XLOOKUP(D877,Table_Tarikan_Warkah[Nomor Tiket],Table_Tarikan_Warkah[Nama Petugas Warkah]),"")</f>
        <v>Berry</v>
      </c>
      <c r="G877" s="39" t="str">
        <f t="array" ref="G877">IFNA(_xlfn.XLOOKUP(D877,Table_Tarikan_Warkah[Nomor Tiket],Table_Tarikan_Warkah[Jenis Permohonan]),"")</f>
        <v>ROYA</v>
      </c>
      <c r="H877" s="41" t="s">
        <v>20</v>
      </c>
      <c r="I877" s="41" t="s">
        <v>12</v>
      </c>
      <c r="J877" s="36">
        <f t="shared" si="20"/>
        <v>45671.60446</v>
      </c>
      <c r="K877" s="41" t="s">
        <v>26</v>
      </c>
      <c r="L877" s="41" t="s">
        <v>12</v>
      </c>
      <c r="M877" s="36">
        <f t="shared" si="21"/>
        <v>45679.46047</v>
      </c>
      <c r="N877" s="30" t="str">
        <f t="shared" si="22"/>
        <v>SELESAI</v>
      </c>
      <c r="O877" s="45">
        <f t="shared" si="23"/>
        <v>45679.46047</v>
      </c>
      <c r="P877" s="47" t="b">
        <v>0</v>
      </c>
      <c r="Q877" s="36" t="str">
        <f t="shared" si="24"/>
        <v/>
      </c>
      <c r="R877" s="47" t="b">
        <v>1</v>
      </c>
      <c r="S877" s="36">
        <f t="shared" si="25"/>
        <v>45679.4605</v>
      </c>
      <c r="T877" s="30" t="s">
        <v>1002</v>
      </c>
    </row>
    <row r="878" ht="22.5" customHeight="1">
      <c r="B878" s="42">
        <f t="shared" si="7"/>
        <v>872</v>
      </c>
      <c r="C878" s="31" t="s">
        <v>1003</v>
      </c>
      <c r="D878" s="34" t="str">
        <f t="array" ref="D878">IFNA(_xlfn.XLOOKUP(C878,Table_Tarikan_Warkah[Nomor Sertipikat],Table_Tarikan_Warkah[Nomor Tiket]),"")</f>
        <v>K/23/090125/1</v>
      </c>
      <c r="E878" s="36">
        <f t="array" ref="E878">IFNA(_xlfn.XLOOKUP(D878,Table_Tarikan_Warkah[Nomor Tiket],Table_Tarikan_Warkah[Tanggal diserahkan kepada Validator]),"")</f>
        <v>45671.43081</v>
      </c>
      <c r="F878" s="36" t="str">
        <f t="array" ref="F878">IFNA(_xlfn.XLOOKUP(D878,Table_Tarikan_Warkah[Nomor Tiket],Table_Tarikan_Warkah[Nama Petugas Warkah]),"")</f>
        <v>Berry</v>
      </c>
      <c r="G878" s="39" t="str">
        <f t="array" ref="G878">IFNA(_xlfn.XLOOKUP(D878,Table_Tarikan_Warkah[Nomor Tiket],Table_Tarikan_Warkah[Jenis Permohonan]),"")</f>
        <v>BN JUAL BELI</v>
      </c>
      <c r="H878" s="41" t="s">
        <v>20</v>
      </c>
      <c r="I878" s="41" t="s">
        <v>12</v>
      </c>
      <c r="J878" s="36">
        <f t="shared" si="20"/>
        <v>45671.60613</v>
      </c>
      <c r="K878" s="41" t="s">
        <v>26</v>
      </c>
      <c r="L878" s="41" t="s">
        <v>12</v>
      </c>
      <c r="M878" s="36">
        <f t="shared" si="21"/>
        <v>45679.45564</v>
      </c>
      <c r="N878" s="30" t="str">
        <f t="shared" si="22"/>
        <v>SELESAI</v>
      </c>
      <c r="O878" s="45">
        <f t="shared" si="23"/>
        <v>45679.45564</v>
      </c>
      <c r="P878" s="47" t="b">
        <v>0</v>
      </c>
      <c r="Q878" s="36" t="str">
        <f t="shared" si="24"/>
        <v/>
      </c>
      <c r="R878" s="47" t="b">
        <v>1</v>
      </c>
      <c r="S878" s="36">
        <f t="shared" si="25"/>
        <v>45679.45572</v>
      </c>
      <c r="T878" s="42"/>
    </row>
    <row r="879" ht="22.5" customHeight="1">
      <c r="B879" s="42">
        <f t="shared" si="7"/>
        <v>873</v>
      </c>
      <c r="C879" s="31" t="s">
        <v>1004</v>
      </c>
      <c r="D879" s="34" t="str">
        <f t="array" ref="D879">IFNA(_xlfn.XLOOKUP(C879,Table_Tarikan_Warkah[Nomor Sertipikat],Table_Tarikan_Warkah[Nomor Tiket]),"")</f>
        <v>K/27/090125/1</v>
      </c>
      <c r="E879" s="36">
        <f t="array" ref="E879">IFNA(_xlfn.XLOOKUP(D879,Table_Tarikan_Warkah[Nomor Tiket],Table_Tarikan_Warkah[Tanggal diserahkan kepada Validator]),"")</f>
        <v>45671.43205</v>
      </c>
      <c r="F879" s="36" t="str">
        <f t="array" ref="F879">IFNA(_xlfn.XLOOKUP(D879,Table_Tarikan_Warkah[Nomor Tiket],Table_Tarikan_Warkah[Nama Petugas Warkah]),"")</f>
        <v>Berry</v>
      </c>
      <c r="G879" s="39" t="str">
        <f t="array" ref="G879">IFNA(_xlfn.XLOOKUP(D879,Table_Tarikan_Warkah[Nomor Tiket],Table_Tarikan_Warkah[Jenis Permohonan]),"")</f>
        <v>BN JUAL BELI</v>
      </c>
      <c r="H879" s="41" t="s">
        <v>20</v>
      </c>
      <c r="I879" s="41" t="s">
        <v>12</v>
      </c>
      <c r="J879" s="36">
        <f t="shared" si="20"/>
        <v>45671.68661</v>
      </c>
      <c r="K879" s="41" t="s">
        <v>26</v>
      </c>
      <c r="L879" s="41" t="s">
        <v>12</v>
      </c>
      <c r="M879" s="36">
        <f t="shared" si="21"/>
        <v>45679.45713</v>
      </c>
      <c r="N879" s="30" t="str">
        <f t="shared" si="22"/>
        <v>SELESAI</v>
      </c>
      <c r="O879" s="45">
        <f t="shared" si="23"/>
        <v>45679.45713</v>
      </c>
      <c r="P879" s="47" t="b">
        <v>0</v>
      </c>
      <c r="Q879" s="36" t="str">
        <f t="shared" si="24"/>
        <v/>
      </c>
      <c r="R879" s="47" t="b">
        <v>1</v>
      </c>
      <c r="S879" s="36">
        <f t="shared" si="25"/>
        <v>45679.45717</v>
      </c>
      <c r="T879" s="42"/>
    </row>
    <row r="880" ht="22.5" customHeight="1">
      <c r="B880" s="42">
        <f t="shared" si="7"/>
        <v>874</v>
      </c>
      <c r="C880" s="31" t="s">
        <v>1005</v>
      </c>
      <c r="D880" s="34" t="str">
        <f t="array" ref="D880">IFNA(_xlfn.XLOOKUP(C880,Table_Tarikan_Warkah[Nomor Sertipikat],Table_Tarikan_Warkah[Nomor Tiket]),"")</f>
        <v>L/2/110125/PELATARAN</v>
      </c>
      <c r="E880" s="36">
        <f t="array" ref="E880">IFNA(_xlfn.XLOOKUP(D880,Table_Tarikan_Warkah[Nomor Tiket],Table_Tarikan_Warkah[Tanggal diserahkan kepada Validator]),"")</f>
        <v>45672.45829</v>
      </c>
      <c r="F880" s="36" t="str">
        <f t="array" ref="F880">IFNA(_xlfn.XLOOKUP(D880,Table_Tarikan_Warkah[Nomor Tiket],Table_Tarikan_Warkah[Nama Petugas Warkah]),"")</f>
        <v>Berry</v>
      </c>
      <c r="G880" s="39" t="str">
        <f t="array" ref="G880">IFNA(_xlfn.XLOOKUP(D880,Table_Tarikan_Warkah[Nomor Tiket],Table_Tarikan_Warkah[Jenis Permohonan]),"")</f>
        <v>PENINGKATAN HAK</v>
      </c>
      <c r="H880" s="41" t="s">
        <v>11</v>
      </c>
      <c r="I880" s="41" t="s">
        <v>23</v>
      </c>
      <c r="J880" s="36">
        <f t="shared" si="20"/>
        <v>45671.65385</v>
      </c>
      <c r="K880" s="49" t="s">
        <v>197</v>
      </c>
      <c r="L880" s="49" t="s">
        <v>23</v>
      </c>
      <c r="M880" s="36">
        <f t="shared" si="21"/>
        <v>45674.65658</v>
      </c>
      <c r="N880" s="30" t="str">
        <f t="shared" si="22"/>
        <v>Selesai</v>
      </c>
      <c r="O880" s="45">
        <f t="shared" si="23"/>
        <v>45674.65658</v>
      </c>
      <c r="P880" s="47" t="b">
        <v>1</v>
      </c>
      <c r="Q880" s="36">
        <f t="shared" si="24"/>
        <v>45674.65665</v>
      </c>
      <c r="R880" s="47" t="b">
        <v>1</v>
      </c>
      <c r="S880" s="36">
        <f t="shared" si="25"/>
        <v>45679.45649</v>
      </c>
      <c r="T880" s="42"/>
    </row>
    <row r="881" ht="22.5" customHeight="1">
      <c r="B881" s="42">
        <f t="shared" si="7"/>
        <v>875</v>
      </c>
      <c r="C881" s="31" t="s">
        <v>1006</v>
      </c>
      <c r="D881" s="34" t="str">
        <f t="array" ref="D881">IFNA(_xlfn.XLOOKUP(C881,Table_Tarikan_Warkah[Nomor Sertipikat],Table_Tarikan_Warkah[Nomor Tiket]),"")</f>
        <v>K/21/090125/2</v>
      </c>
      <c r="E881" s="36">
        <f t="array" ref="E881">IFNA(_xlfn.XLOOKUP(D881,Table_Tarikan_Warkah[Nomor Tiket],Table_Tarikan_Warkah[Tanggal diserahkan kepada Validator]),"")</f>
        <v>45671.43157</v>
      </c>
      <c r="F881" s="36" t="str">
        <f t="array" ref="F881">IFNA(_xlfn.XLOOKUP(D881,Table_Tarikan_Warkah[Nomor Tiket],Table_Tarikan_Warkah[Nama Petugas Warkah]),"")</f>
        <v>Berry</v>
      </c>
      <c r="G881" s="39" t="str">
        <f t="array" ref="G881">IFNA(_xlfn.XLOOKUP(D881,Table_Tarikan_Warkah[Nomor Tiket],Table_Tarikan_Warkah[Jenis Permohonan]),"")</f>
        <v>BN Jual Beli</v>
      </c>
      <c r="H881" s="41" t="s">
        <v>11</v>
      </c>
      <c r="I881" s="41" t="s">
        <v>23</v>
      </c>
      <c r="J881" s="36">
        <f t="shared" si="20"/>
        <v>45671.65388</v>
      </c>
      <c r="K881" s="49" t="s">
        <v>197</v>
      </c>
      <c r="L881" s="49" t="s">
        <v>23</v>
      </c>
      <c r="M881" s="36">
        <f t="shared" si="21"/>
        <v>45674.65661</v>
      </c>
      <c r="N881" s="30" t="str">
        <f t="shared" si="22"/>
        <v>Selesai</v>
      </c>
      <c r="O881" s="45">
        <f t="shared" si="23"/>
        <v>45674.65661</v>
      </c>
      <c r="P881" s="47" t="b">
        <v>1</v>
      </c>
      <c r="Q881" s="36">
        <f t="shared" si="24"/>
        <v>45674.65666</v>
      </c>
      <c r="R881" s="47" t="b">
        <v>1</v>
      </c>
      <c r="S881" s="36">
        <f t="shared" si="25"/>
        <v>45679.46028</v>
      </c>
      <c r="T881" s="42"/>
    </row>
    <row r="882" ht="22.5" customHeight="1">
      <c r="B882" s="42">
        <f t="shared" si="7"/>
        <v>876</v>
      </c>
      <c r="C882" s="31" t="s">
        <v>1007</v>
      </c>
      <c r="D882" s="34" t="str">
        <f t="array" ref="D882">IFNA(_xlfn.XLOOKUP(C882,Table_Tarikan_Warkah[Nomor Sertipikat],Table_Tarikan_Warkah[Nomor Tiket]),"")</f>
        <v>K/22/241224/1</v>
      </c>
      <c r="E882" s="36" t="str">
        <f t="array" ref="E882">IFNA(_xlfn.XLOOKUP(D882,Table_Tarikan_Warkah[Nomor Tiket],Table_Tarikan_Warkah[Tanggal diserahkan kepada Validator]),"")</f>
        <v/>
      </c>
      <c r="F882" s="36" t="str">
        <f t="array" ref="F882">IFNA(_xlfn.XLOOKUP(D882,Table_Tarikan_Warkah[Nomor Tiket],Table_Tarikan_Warkah[Nama Petugas Warkah]),"")</f>
        <v/>
      </c>
      <c r="G882" s="39" t="str">
        <f t="array" ref="G882">IFNA(_xlfn.XLOOKUP(D882,Table_Tarikan_Warkah[Nomor Tiket],Table_Tarikan_Warkah[Jenis Permohonan]),"")</f>
        <v>BN Jual Beli</v>
      </c>
      <c r="H882" s="41" t="s">
        <v>11</v>
      </c>
      <c r="I882" s="41" t="s">
        <v>23</v>
      </c>
      <c r="J882" s="36">
        <f t="shared" si="20"/>
        <v>45671.65388</v>
      </c>
      <c r="K882" s="49" t="s">
        <v>197</v>
      </c>
      <c r="L882" s="49" t="s">
        <v>23</v>
      </c>
      <c r="M882" s="36">
        <f t="shared" si="21"/>
        <v>45674.65663</v>
      </c>
      <c r="N882" s="30" t="str">
        <f t="shared" si="22"/>
        <v>Selesai</v>
      </c>
      <c r="O882" s="45">
        <f t="shared" si="23"/>
        <v>45674.65663</v>
      </c>
      <c r="P882" s="47" t="b">
        <v>1</v>
      </c>
      <c r="Q882" s="36">
        <f t="shared" si="24"/>
        <v>45674.65667</v>
      </c>
      <c r="R882" s="47" t="b">
        <v>0</v>
      </c>
      <c r="S882" s="42" t="str">
        <f t="shared" si="25"/>
        <v/>
      </c>
      <c r="T882" s="42"/>
    </row>
    <row r="883" ht="22.5" customHeight="1">
      <c r="B883" s="42">
        <f t="shared" si="7"/>
        <v>877</v>
      </c>
      <c r="C883" s="31" t="s">
        <v>1008</v>
      </c>
      <c r="D883" s="34" t="str">
        <f t="array" ref="D883">IFNA(_xlfn.XLOOKUP(C883,Table_Tarikan_Warkah[Nomor Sertipikat],Table_Tarikan_Warkah[Nomor Tiket]),"")</f>
        <v>K/10/100125/1</v>
      </c>
      <c r="E883" s="36">
        <f t="array" ref="E883">IFNA(_xlfn.XLOOKUP(D883,Table_Tarikan_Warkah[Nomor Tiket],Table_Tarikan_Warkah[Tanggal diserahkan kepada Validator]),"")</f>
        <v>45671.43757</v>
      </c>
      <c r="F883" s="36" t="str">
        <f t="array" ref="F883">IFNA(_xlfn.XLOOKUP(D883,Table_Tarikan_Warkah[Nomor Tiket],Table_Tarikan_Warkah[Nama Petugas Warkah]),"")</f>
        <v>David</v>
      </c>
      <c r="G883" s="39" t="str">
        <f t="array" ref="G883">IFNA(_xlfn.XLOOKUP(D883,Table_Tarikan_Warkah[Nomor Tiket],Table_Tarikan_Warkah[Jenis Permohonan]),"")</f>
        <v>BN JUAL BELI</v>
      </c>
      <c r="H883" s="41" t="s">
        <v>11</v>
      </c>
      <c r="I883" s="41" t="s">
        <v>12</v>
      </c>
      <c r="J883" s="36">
        <f t="shared" si="20"/>
        <v>45671.6539</v>
      </c>
      <c r="K883" s="41" t="s">
        <v>26</v>
      </c>
      <c r="L883" s="41" t="s">
        <v>12</v>
      </c>
      <c r="M883" s="36">
        <f t="shared" si="21"/>
        <v>45679.45739</v>
      </c>
      <c r="N883" s="30" t="str">
        <f t="shared" si="22"/>
        <v>SELESAI</v>
      </c>
      <c r="O883" s="45">
        <f t="shared" si="23"/>
        <v>45679.45739</v>
      </c>
      <c r="P883" s="47" t="b">
        <v>0</v>
      </c>
      <c r="Q883" s="36" t="str">
        <f t="shared" si="24"/>
        <v/>
      </c>
      <c r="R883" s="47" t="b">
        <v>1</v>
      </c>
      <c r="S883" s="36">
        <f t="shared" si="25"/>
        <v>45679.45744</v>
      </c>
      <c r="T883" s="42"/>
    </row>
    <row r="884" ht="22.5" customHeight="1">
      <c r="B884" s="42">
        <f t="shared" si="7"/>
        <v>878</v>
      </c>
      <c r="C884" s="31" t="s">
        <v>1009</v>
      </c>
      <c r="D884" s="34" t="str">
        <f t="array" ref="D884">IFNA(_xlfn.XLOOKUP(C884,Table_Tarikan_Warkah[Nomor Sertipikat],Table_Tarikan_Warkah[Nomor Tiket]),"")</f>
        <v>L/4/100125/1</v>
      </c>
      <c r="E884" s="36">
        <f t="array" ref="E884">IFNA(_xlfn.XLOOKUP(D884,Table_Tarikan_Warkah[Nomor Tiket],Table_Tarikan_Warkah[Tanggal diserahkan kepada Validator]),"")</f>
        <v>45671.4366</v>
      </c>
      <c r="F884" s="36" t="str">
        <f t="array" ref="F884">IFNA(_xlfn.XLOOKUP(D884,Table_Tarikan_Warkah[Nomor Tiket],Table_Tarikan_Warkah[Nama Petugas Warkah]),"")</f>
        <v>David</v>
      </c>
      <c r="G884" s="39" t="str">
        <f t="array" ref="G884">IFNA(_xlfn.XLOOKUP(D884,Table_Tarikan_Warkah[Nomor Tiket],Table_Tarikan_Warkah[Jenis Permohonan]),"")</f>
        <v>ROYA</v>
      </c>
      <c r="H884" s="41" t="s">
        <v>11</v>
      </c>
      <c r="I884" s="41" t="s">
        <v>12</v>
      </c>
      <c r="J884" s="36">
        <f t="shared" si="20"/>
        <v>45671.65393</v>
      </c>
      <c r="K884" s="41" t="s">
        <v>26</v>
      </c>
      <c r="L884" s="41" t="s">
        <v>12</v>
      </c>
      <c r="M884" s="36">
        <f t="shared" si="21"/>
        <v>45679.46272</v>
      </c>
      <c r="N884" s="30" t="str">
        <f t="shared" si="22"/>
        <v>SELESAI</v>
      </c>
      <c r="O884" s="45">
        <f t="shared" si="23"/>
        <v>45679.46272</v>
      </c>
      <c r="P884" s="47" t="b">
        <v>0</v>
      </c>
      <c r="Q884" s="36" t="str">
        <f t="shared" si="24"/>
        <v/>
      </c>
      <c r="R884" s="47" t="b">
        <v>1</v>
      </c>
      <c r="S884" s="36">
        <f t="shared" si="25"/>
        <v>45679.46276</v>
      </c>
      <c r="T884" s="42"/>
    </row>
    <row r="885" ht="22.5" customHeight="1">
      <c r="B885" s="42">
        <f t="shared" si="7"/>
        <v>879</v>
      </c>
      <c r="C885" s="31" t="s">
        <v>1010</v>
      </c>
      <c r="D885" s="34" t="str">
        <f t="array" ref="D885">IFNA(_xlfn.XLOOKUP(C885,Table_Tarikan_Warkah[Nomor Sertipikat],Table_Tarikan_Warkah[Nomor Tiket]),"")</f>
        <v>K/36/090125/1</v>
      </c>
      <c r="E885" s="36">
        <f t="array" ref="E885">IFNA(_xlfn.XLOOKUP(D885,Table_Tarikan_Warkah[Nomor Tiket],Table_Tarikan_Warkah[Tanggal diserahkan kepada Validator]),"")</f>
        <v>45671.43575</v>
      </c>
      <c r="F885" s="36" t="str">
        <f t="array" ref="F885">IFNA(_xlfn.XLOOKUP(D885,Table_Tarikan_Warkah[Nomor Tiket],Table_Tarikan_Warkah[Nama Petugas Warkah]),"")</f>
        <v>David</v>
      </c>
      <c r="G885" s="39" t="str">
        <f t="array" ref="G885">IFNA(_xlfn.XLOOKUP(D885,Table_Tarikan_Warkah[Nomor Tiket],Table_Tarikan_Warkah[Jenis Permohonan]),"")</f>
        <v>BN Waris</v>
      </c>
      <c r="H885" s="41" t="s">
        <v>11</v>
      </c>
      <c r="I885" s="41" t="s">
        <v>12</v>
      </c>
      <c r="J885" s="36">
        <f t="shared" si="20"/>
        <v>45671.65393</v>
      </c>
      <c r="K885" s="41" t="s">
        <v>26</v>
      </c>
      <c r="L885" s="41" t="s">
        <v>12</v>
      </c>
      <c r="M885" s="36">
        <f t="shared" si="21"/>
        <v>45679.45774</v>
      </c>
      <c r="N885" s="30" t="str">
        <f t="shared" si="22"/>
        <v>SELESAI</v>
      </c>
      <c r="O885" s="45">
        <f t="shared" si="23"/>
        <v>45679.45774</v>
      </c>
      <c r="P885" s="47" t="b">
        <v>0</v>
      </c>
      <c r="Q885" s="36" t="str">
        <f t="shared" si="24"/>
        <v/>
      </c>
      <c r="R885" s="47" t="b">
        <v>1</v>
      </c>
      <c r="S885" s="36">
        <f t="shared" si="25"/>
        <v>45679.45778</v>
      </c>
      <c r="T885" s="30" t="s">
        <v>1002</v>
      </c>
    </row>
    <row r="886" ht="22.5" customHeight="1">
      <c r="B886" s="42">
        <f t="shared" si="7"/>
        <v>880</v>
      </c>
      <c r="C886" s="31" t="s">
        <v>1011</v>
      </c>
      <c r="D886" s="34" t="str">
        <f t="array" ref="D886">IFNA(_xlfn.XLOOKUP(C886,Table_Tarikan_Warkah[Nomor Sertipikat],Table_Tarikan_Warkah[Nomor Tiket]),"")</f>
        <v>K/3/080125/1</v>
      </c>
      <c r="E886" s="36">
        <f t="array" ref="E886">IFNA(_xlfn.XLOOKUP(D886,Table_Tarikan_Warkah[Nomor Tiket],Table_Tarikan_Warkah[Tanggal diserahkan kepada Validator]),"")</f>
        <v>45671.43989</v>
      </c>
      <c r="F886" s="36" t="str">
        <f t="array" ref="F886">IFNA(_xlfn.XLOOKUP(D886,Table_Tarikan_Warkah[Nomor Tiket],Table_Tarikan_Warkah[Nama Petugas Warkah]),"")</f>
        <v>David</v>
      </c>
      <c r="G886" s="39" t="str">
        <f t="array" ref="G886">IFNA(_xlfn.XLOOKUP(D886,Table_Tarikan_Warkah[Nomor Tiket],Table_Tarikan_Warkah[Jenis Permohonan]),"")</f>
        <v>BN JUAL BELI</v>
      </c>
      <c r="H886" s="41" t="s">
        <v>11</v>
      </c>
      <c r="I886" s="41" t="s">
        <v>12</v>
      </c>
      <c r="J886" s="36">
        <f t="shared" si="20"/>
        <v>45671.65393</v>
      </c>
      <c r="K886" s="41" t="s">
        <v>26</v>
      </c>
      <c r="L886" s="41" t="s">
        <v>12</v>
      </c>
      <c r="M886" s="36">
        <f t="shared" si="21"/>
        <v>45679.45806</v>
      </c>
      <c r="N886" s="30" t="str">
        <f t="shared" si="22"/>
        <v>SELESAI</v>
      </c>
      <c r="O886" s="45">
        <f t="shared" si="23"/>
        <v>45679.45806</v>
      </c>
      <c r="P886" s="47" t="b">
        <v>0</v>
      </c>
      <c r="Q886" s="36" t="str">
        <f t="shared" si="24"/>
        <v/>
      </c>
      <c r="R886" s="47" t="b">
        <v>1</v>
      </c>
      <c r="S886" s="36">
        <f t="shared" si="25"/>
        <v>45679.45809</v>
      </c>
      <c r="T886" s="42"/>
    </row>
    <row r="887" ht="22.5" customHeight="1">
      <c r="B887" s="42">
        <f t="shared" si="7"/>
        <v>881</v>
      </c>
      <c r="C887" s="31" t="s">
        <v>1012</v>
      </c>
      <c r="D887" s="34" t="str">
        <f t="array" ref="D887">IFNA(_xlfn.XLOOKUP(C887,Table_Tarikan_Warkah[Nomor Sertipikat],Table_Tarikan_Warkah[Nomor Tiket]),"")</f>
        <v>K/4/080125/1</v>
      </c>
      <c r="E887" s="36">
        <f t="array" ref="E887">IFNA(_xlfn.XLOOKUP(D887,Table_Tarikan_Warkah[Nomor Tiket],Table_Tarikan_Warkah[Tanggal diserahkan kepada Validator]),"")</f>
        <v>45671.43946</v>
      </c>
      <c r="F887" s="36" t="str">
        <f t="array" ref="F887">IFNA(_xlfn.XLOOKUP(D887,Table_Tarikan_Warkah[Nomor Tiket],Table_Tarikan_Warkah[Nama Petugas Warkah]),"")</f>
        <v>David</v>
      </c>
      <c r="G887" s="39" t="str">
        <f t="array" ref="G887">IFNA(_xlfn.XLOOKUP(D887,Table_Tarikan_Warkah[Nomor Tiket],Table_Tarikan_Warkah[Jenis Permohonan]),"")</f>
        <v>ROYA</v>
      </c>
      <c r="H887" s="41" t="s">
        <v>11</v>
      </c>
      <c r="I887" s="41" t="s">
        <v>12</v>
      </c>
      <c r="J887" s="36">
        <f t="shared" si="20"/>
        <v>45671.65393</v>
      </c>
      <c r="K887" s="41" t="s">
        <v>26</v>
      </c>
      <c r="L887" s="41" t="s">
        <v>12</v>
      </c>
      <c r="M887" s="36">
        <f t="shared" si="21"/>
        <v>45679.45042</v>
      </c>
      <c r="N887" s="30" t="str">
        <f t="shared" si="22"/>
        <v>SELESAI</v>
      </c>
      <c r="O887" s="45">
        <f t="shared" si="23"/>
        <v>45679.45042</v>
      </c>
      <c r="P887" s="47" t="b">
        <v>0</v>
      </c>
      <c r="Q887" s="36" t="str">
        <f t="shared" si="24"/>
        <v/>
      </c>
      <c r="R887" s="47" t="b">
        <v>1</v>
      </c>
      <c r="S887" s="36">
        <f t="shared" si="25"/>
        <v>45679.45033</v>
      </c>
      <c r="T887" s="42"/>
    </row>
    <row r="888" ht="22.5" customHeight="1">
      <c r="B888" s="42">
        <f t="shared" si="7"/>
        <v>882</v>
      </c>
      <c r="C888" s="31" t="s">
        <v>1013</v>
      </c>
      <c r="D888" s="34" t="str">
        <f t="array" ref="D888">IFNA(_xlfn.XLOOKUP(C888,Table_Tarikan_Warkah[Nomor Sertipikat],Table_Tarikan_Warkah[Nomor Tiket]),"")</f>
        <v>L/3/130125/1</v>
      </c>
      <c r="E888" s="36">
        <f t="array" ref="E888">IFNA(_xlfn.XLOOKUP(D888,Table_Tarikan_Warkah[Nomor Tiket],Table_Tarikan_Warkah[Tanggal diserahkan kepada Validator]),"")</f>
        <v>45671.43844</v>
      </c>
      <c r="F888" s="36" t="str">
        <f t="array" ref="F888">IFNA(_xlfn.XLOOKUP(D888,Table_Tarikan_Warkah[Nomor Tiket],Table_Tarikan_Warkah[Nama Petugas Warkah]),"")</f>
        <v>David</v>
      </c>
      <c r="G888" s="39" t="str">
        <f t="array" ref="G888">IFNA(_xlfn.XLOOKUP(D888,Table_Tarikan_Warkah[Nomor Tiket],Table_Tarikan_Warkah[Jenis Permohonan]),"")</f>
        <v>ROYA</v>
      </c>
      <c r="H888" s="41" t="s">
        <v>11</v>
      </c>
      <c r="I888" s="41" t="s">
        <v>12</v>
      </c>
      <c r="J888" s="36">
        <f t="shared" si="20"/>
        <v>45671.65393</v>
      </c>
      <c r="K888" s="41" t="s">
        <v>26</v>
      </c>
      <c r="L888" s="41" t="s">
        <v>12</v>
      </c>
      <c r="M888" s="36">
        <f t="shared" si="21"/>
        <v>45679.45861</v>
      </c>
      <c r="N888" s="30" t="str">
        <f t="shared" si="22"/>
        <v>SELESAI</v>
      </c>
      <c r="O888" s="45">
        <f t="shared" si="23"/>
        <v>45679.45861</v>
      </c>
      <c r="P888" s="47" t="b">
        <v>0</v>
      </c>
      <c r="Q888" s="36" t="str">
        <f t="shared" si="24"/>
        <v/>
      </c>
      <c r="R888" s="47" t="b">
        <v>1</v>
      </c>
      <c r="S888" s="36">
        <f t="shared" si="25"/>
        <v>45679.45865</v>
      </c>
      <c r="T888" s="42"/>
    </row>
    <row r="889" ht="22.5" customHeight="1">
      <c r="B889" s="42">
        <f t="shared" si="7"/>
        <v>883</v>
      </c>
      <c r="C889" s="31" t="s">
        <v>1014</v>
      </c>
      <c r="D889" s="34" t="str">
        <f t="array" ref="D889">IFNA(_xlfn.XLOOKUP(C889,Table_Tarikan_Warkah[Nomor Sertipikat],Table_Tarikan_Warkah[Nomor Tiket]),"")</f>
        <v>K/1/130125/1</v>
      </c>
      <c r="E889" s="36">
        <f t="array" ref="E889">IFNA(_xlfn.XLOOKUP(D889,Table_Tarikan_Warkah[Nomor Tiket],Table_Tarikan_Warkah[Tanggal diserahkan kepada Validator]),"")</f>
        <v>45671.43814</v>
      </c>
      <c r="F889" s="36" t="str">
        <f t="array" ref="F889">IFNA(_xlfn.XLOOKUP(D889,Table_Tarikan_Warkah[Nomor Tiket],Table_Tarikan_Warkah[Nama Petugas Warkah]),"")</f>
        <v>David</v>
      </c>
      <c r="G889" s="39" t="str">
        <f t="array" ref="G889">IFNA(_xlfn.XLOOKUP(D889,Table_Tarikan_Warkah[Nomor Tiket],Table_Tarikan_Warkah[Jenis Permohonan]),"")</f>
        <v>Roya</v>
      </c>
      <c r="H889" s="41" t="s">
        <v>11</v>
      </c>
      <c r="I889" s="41" t="s">
        <v>12</v>
      </c>
      <c r="J889" s="36">
        <f t="shared" si="20"/>
        <v>45671.65393</v>
      </c>
      <c r="K889" s="41" t="s">
        <v>26</v>
      </c>
      <c r="L889" s="41" t="s">
        <v>12</v>
      </c>
      <c r="M889" s="36">
        <f t="shared" si="21"/>
        <v>45679.45043</v>
      </c>
      <c r="N889" s="30" t="str">
        <f t="shared" si="22"/>
        <v>SELESAI</v>
      </c>
      <c r="O889" s="45">
        <f t="shared" si="23"/>
        <v>45679.45043</v>
      </c>
      <c r="P889" s="47" t="b">
        <v>0</v>
      </c>
      <c r="Q889" s="36" t="str">
        <f t="shared" si="24"/>
        <v/>
      </c>
      <c r="R889" s="47" t="b">
        <v>1</v>
      </c>
      <c r="S889" s="36">
        <f t="shared" si="25"/>
        <v>45679.45034</v>
      </c>
      <c r="T889" s="42"/>
    </row>
    <row r="890" ht="22.5" customHeight="1">
      <c r="B890" s="42">
        <f t="shared" si="7"/>
        <v>884</v>
      </c>
      <c r="C890" s="31" t="s">
        <v>1015</v>
      </c>
      <c r="D890" s="34" t="str">
        <f t="array" ref="D890">IFNA(_xlfn.XLOOKUP(C890,Table_Tarikan_Warkah[Nomor Sertipikat],Table_Tarikan_Warkah[Nomor Tiket]),"")</f>
        <v>K/9/100125/1</v>
      </c>
      <c r="E890" s="36">
        <f t="array" ref="E890">IFNA(_xlfn.XLOOKUP(D890,Table_Tarikan_Warkah[Nomor Tiket],Table_Tarikan_Warkah[Tanggal diserahkan kepada Validator]),"")</f>
        <v>45671.4373</v>
      </c>
      <c r="F890" s="36" t="str">
        <f t="array" ref="F890">IFNA(_xlfn.XLOOKUP(D890,Table_Tarikan_Warkah[Nomor Tiket],Table_Tarikan_Warkah[Nama Petugas Warkah]),"")</f>
        <v>David</v>
      </c>
      <c r="G890" s="39" t="str">
        <f t="array" ref="G890">IFNA(_xlfn.XLOOKUP(D890,Table_Tarikan_Warkah[Nomor Tiket],Table_Tarikan_Warkah[Jenis Permohonan]),"")</f>
        <v>BN Jual Beli</v>
      </c>
      <c r="H890" s="41" t="s">
        <v>11</v>
      </c>
      <c r="I890" s="41" t="s">
        <v>12</v>
      </c>
      <c r="J890" s="36">
        <f t="shared" si="20"/>
        <v>45671.65393</v>
      </c>
      <c r="K890" s="41" t="s">
        <v>26</v>
      </c>
      <c r="L890" s="41" t="s">
        <v>12</v>
      </c>
      <c r="M890" s="36">
        <f t="shared" si="21"/>
        <v>45679.45975</v>
      </c>
      <c r="N890" s="30" t="str">
        <f t="shared" si="22"/>
        <v>SELESAI</v>
      </c>
      <c r="O890" s="45">
        <f t="shared" si="23"/>
        <v>45679.45975</v>
      </c>
      <c r="P890" s="47" t="b">
        <v>0</v>
      </c>
      <c r="Q890" s="36" t="str">
        <f t="shared" si="24"/>
        <v/>
      </c>
      <c r="R890" s="47" t="b">
        <v>1</v>
      </c>
      <c r="S890" s="36">
        <f t="shared" si="25"/>
        <v>45679.45978</v>
      </c>
      <c r="T890" s="42"/>
    </row>
    <row r="891" ht="22.5" customHeight="1">
      <c r="B891" s="42">
        <f t="shared" si="7"/>
        <v>885</v>
      </c>
      <c r="C891" s="31" t="s">
        <v>1016</v>
      </c>
      <c r="D891" s="34" t="str">
        <f t="array" ref="D891">IFNA(_xlfn.XLOOKUP(C891,Table_Tarikan_Warkah[Nomor Sertipikat],Table_Tarikan_Warkah[Nomor Tiket]),"")</f>
        <v>K/3/100125/1</v>
      </c>
      <c r="E891" s="36">
        <f t="array" ref="E891">IFNA(_xlfn.XLOOKUP(D891,Table_Tarikan_Warkah[Nomor Tiket],Table_Tarikan_Warkah[Tanggal diserahkan kepada Validator]),"")</f>
        <v>45671.43652</v>
      </c>
      <c r="F891" s="36" t="str">
        <f t="array" ref="F891">IFNA(_xlfn.XLOOKUP(D891,Table_Tarikan_Warkah[Nomor Tiket],Table_Tarikan_Warkah[Nama Petugas Warkah]),"")</f>
        <v>David</v>
      </c>
      <c r="G891" s="39" t="str">
        <f t="array" ref="G891">IFNA(_xlfn.XLOOKUP(D891,Table_Tarikan_Warkah[Nomor Tiket],Table_Tarikan_Warkah[Jenis Permohonan]),"")</f>
        <v>Roya</v>
      </c>
      <c r="H891" s="41" t="s">
        <v>11</v>
      </c>
      <c r="I891" s="41" t="s">
        <v>12</v>
      </c>
      <c r="J891" s="36">
        <f t="shared" si="20"/>
        <v>45671.65393</v>
      </c>
      <c r="K891" s="41" t="s">
        <v>26</v>
      </c>
      <c r="L891" s="41" t="s">
        <v>12</v>
      </c>
      <c r="M891" s="36">
        <f t="shared" si="21"/>
        <v>45679.45073</v>
      </c>
      <c r="N891" s="30" t="str">
        <f t="shared" si="22"/>
        <v>SELESAI</v>
      </c>
      <c r="O891" s="45">
        <f t="shared" si="23"/>
        <v>45679.45073</v>
      </c>
      <c r="P891" s="47" t="b">
        <v>0</v>
      </c>
      <c r="Q891" s="36" t="str">
        <f t="shared" si="24"/>
        <v/>
      </c>
      <c r="R891" s="47" t="b">
        <v>1</v>
      </c>
      <c r="S891" s="36">
        <f t="shared" si="25"/>
        <v>45679.45078</v>
      </c>
      <c r="T891" s="42"/>
    </row>
    <row r="892" ht="22.5" customHeight="1">
      <c r="B892" s="42">
        <f t="shared" si="7"/>
        <v>886</v>
      </c>
      <c r="C892" s="31" t="s">
        <v>1017</v>
      </c>
      <c r="D892" s="34" t="str">
        <f t="array" ref="D892">IFNA(_xlfn.XLOOKUP(C892,Table_Tarikan_Warkah[Nomor Sertipikat],Table_Tarikan_Warkah[Nomor Tiket]),"")</f>
        <v>L/35/090125/1</v>
      </c>
      <c r="E892" s="36">
        <f t="array" ref="E892">IFNA(_xlfn.XLOOKUP(D892,Table_Tarikan_Warkah[Nomor Tiket],Table_Tarikan_Warkah[Tanggal diserahkan kepada Validator]),"")</f>
        <v>45671.43562</v>
      </c>
      <c r="F892" s="36" t="str">
        <f t="array" ref="F892">IFNA(_xlfn.XLOOKUP(D892,Table_Tarikan_Warkah[Nomor Tiket],Table_Tarikan_Warkah[Nama Petugas Warkah]),"")</f>
        <v>David</v>
      </c>
      <c r="G892" s="39" t="str">
        <f t="array" ref="G892">IFNA(_xlfn.XLOOKUP(D892,Table_Tarikan_Warkah[Nomor Tiket],Table_Tarikan_Warkah[Jenis Permohonan]),"")</f>
        <v>ROYA</v>
      </c>
      <c r="H892" s="41" t="s">
        <v>20</v>
      </c>
      <c r="I892" s="41" t="s">
        <v>12</v>
      </c>
      <c r="J892" s="36">
        <f t="shared" si="20"/>
        <v>45671.68672</v>
      </c>
      <c r="K892" s="41" t="s">
        <v>26</v>
      </c>
      <c r="L892" s="41" t="s">
        <v>12</v>
      </c>
      <c r="M892" s="36">
        <f t="shared" si="21"/>
        <v>45679.46091</v>
      </c>
      <c r="N892" s="30" t="str">
        <f t="shared" si="22"/>
        <v>SELESAI</v>
      </c>
      <c r="O892" s="45">
        <f t="shared" si="23"/>
        <v>45679.46091</v>
      </c>
      <c r="P892" s="47" t="b">
        <v>0</v>
      </c>
      <c r="Q892" s="36" t="str">
        <f t="shared" si="24"/>
        <v/>
      </c>
      <c r="R892" s="47" t="b">
        <v>1</v>
      </c>
      <c r="S892" s="36">
        <f t="shared" si="25"/>
        <v>45679.46095</v>
      </c>
      <c r="T892" s="42"/>
    </row>
    <row r="893" ht="22.5" customHeight="1">
      <c r="B893" s="42">
        <f t="shared" si="7"/>
        <v>887</v>
      </c>
      <c r="C893" s="31" t="s">
        <v>1018</v>
      </c>
      <c r="D893" s="34" t="str">
        <f t="array" ref="D893">IFNA(_xlfn.XLOOKUP(C893,Table_Tarikan_Warkah[Nomor Sertipikat],Table_Tarikan_Warkah[Nomor Tiket]),"")</f>
        <v>K/12/090125/1</v>
      </c>
      <c r="E893" s="36">
        <f t="array" ref="E893">IFNA(_xlfn.XLOOKUP(D893,Table_Tarikan_Warkah[Nomor Tiket],Table_Tarikan_Warkah[Tanggal diserahkan kepada Validator]),"")</f>
        <v>45671.43001</v>
      </c>
      <c r="F893" s="36" t="str">
        <f t="array" ref="F893">IFNA(_xlfn.XLOOKUP(D893,Table_Tarikan_Warkah[Nomor Tiket],Table_Tarikan_Warkah[Nama Petugas Warkah]),"")</f>
        <v>Berry</v>
      </c>
      <c r="G893" s="39" t="str">
        <f t="array" ref="G893">IFNA(_xlfn.XLOOKUP(D893,Table_Tarikan_Warkah[Nomor Tiket],Table_Tarikan_Warkah[Jenis Permohonan]),"")</f>
        <v>BN Jual Beli</v>
      </c>
      <c r="H893" s="41" t="s">
        <v>20</v>
      </c>
      <c r="I893" s="41" t="s">
        <v>12</v>
      </c>
      <c r="J893" s="36">
        <f t="shared" si="20"/>
        <v>45671.68771</v>
      </c>
      <c r="K893" s="41" t="s">
        <v>26</v>
      </c>
      <c r="L893" s="41" t="s">
        <v>12</v>
      </c>
      <c r="M893" s="36">
        <f t="shared" si="21"/>
        <v>45679.4516</v>
      </c>
      <c r="N893" s="30" t="str">
        <f t="shared" si="22"/>
        <v>SELESAI</v>
      </c>
      <c r="O893" s="45">
        <f t="shared" si="23"/>
        <v>45679.4516</v>
      </c>
      <c r="P893" s="47" t="b">
        <v>0</v>
      </c>
      <c r="Q893" s="36" t="str">
        <f t="shared" si="24"/>
        <v/>
      </c>
      <c r="R893" s="47" t="b">
        <v>1</v>
      </c>
      <c r="S893" s="36">
        <f t="shared" si="25"/>
        <v>45679.45163</v>
      </c>
      <c r="T893" s="42"/>
    </row>
    <row r="894" ht="22.5" customHeight="1">
      <c r="B894" s="42">
        <f t="shared" si="7"/>
        <v>888</v>
      </c>
      <c r="C894" s="31" t="s">
        <v>1019</v>
      </c>
      <c r="D894" s="34" t="str">
        <f t="array" ref="D894">IFNA(_xlfn.XLOOKUP(C894,Table_Tarikan_Warkah[Nomor Sertipikat],Table_Tarikan_Warkah[Nomor Tiket]),"")</f>
        <v>L/30/090125/1</v>
      </c>
      <c r="E894" s="36">
        <f t="array" ref="E894">IFNA(_xlfn.XLOOKUP(D894,Table_Tarikan_Warkah[Nomor Tiket],Table_Tarikan_Warkah[Tanggal diserahkan kepada Validator]),"")</f>
        <v>45671.43217</v>
      </c>
      <c r="F894" s="36" t="str">
        <f t="array" ref="F894">IFNA(_xlfn.XLOOKUP(D894,Table_Tarikan_Warkah[Nomor Tiket],Table_Tarikan_Warkah[Nama Petugas Warkah]),"")</f>
        <v>Berry</v>
      </c>
      <c r="G894" s="39" t="str">
        <f t="array" ref="G894">IFNA(_xlfn.XLOOKUP(D894,Table_Tarikan_Warkah[Nomor Tiket],Table_Tarikan_Warkah[Jenis Permohonan]),"")</f>
        <v>ROYA</v>
      </c>
      <c r="H894" s="41" t="s">
        <v>20</v>
      </c>
      <c r="I894" s="41" t="s">
        <v>12</v>
      </c>
      <c r="J894" s="36">
        <f t="shared" si="20"/>
        <v>45671.69218</v>
      </c>
      <c r="K894" s="41" t="s">
        <v>26</v>
      </c>
      <c r="L894" s="41" t="s">
        <v>12</v>
      </c>
      <c r="M894" s="36">
        <f t="shared" si="21"/>
        <v>45679.4589</v>
      </c>
      <c r="N894" s="30" t="str">
        <f t="shared" si="22"/>
        <v>SELESAI</v>
      </c>
      <c r="O894" s="45">
        <f t="shared" si="23"/>
        <v>45679.4589</v>
      </c>
      <c r="P894" s="47" t="b">
        <v>0</v>
      </c>
      <c r="Q894" s="36" t="str">
        <f t="shared" si="24"/>
        <v/>
      </c>
      <c r="R894" s="47" t="b">
        <v>1</v>
      </c>
      <c r="S894" s="36">
        <f t="shared" si="25"/>
        <v>45679.45893</v>
      </c>
      <c r="T894" s="42"/>
    </row>
    <row r="895" ht="22.5" customHeight="1">
      <c r="B895" s="42">
        <f t="shared" si="7"/>
        <v>889</v>
      </c>
      <c r="C895" s="31" t="s">
        <v>1020</v>
      </c>
      <c r="D895" s="34" t="str">
        <f t="array" ref="D895">IFNA(_xlfn.XLOOKUP(C895,Table_Tarikan_Warkah[Nomor Sertipikat],Table_Tarikan_Warkah[Nomor Tiket]),"")</f>
        <v>K/26/130125/2</v>
      </c>
      <c r="E895" s="36">
        <f t="array" ref="E895">IFNA(_xlfn.XLOOKUP(D895,Table_Tarikan_Warkah[Nomor Tiket],Table_Tarikan_Warkah[Tanggal diserahkan kepada Validator]),"")</f>
        <v>45672.45996</v>
      </c>
      <c r="F895" s="36" t="str">
        <f t="array" ref="F895">IFNA(_xlfn.XLOOKUP(D895,Table_Tarikan_Warkah[Nomor Tiket],Table_Tarikan_Warkah[Nama Petugas Warkah]),"")</f>
        <v>Berry</v>
      </c>
      <c r="G895" s="39" t="str">
        <f t="array" ref="G895">IFNA(_xlfn.XLOOKUP(D895,Table_Tarikan_Warkah[Nomor Tiket],Table_Tarikan_Warkah[Jenis Permohonan]),"")</f>
        <v>BN WARIS</v>
      </c>
      <c r="H895" s="41" t="s">
        <v>20</v>
      </c>
      <c r="I895" s="41" t="s">
        <v>12</v>
      </c>
      <c r="J895" s="36">
        <f t="shared" si="20"/>
        <v>45672.49821</v>
      </c>
      <c r="K895" s="41" t="s">
        <v>26</v>
      </c>
      <c r="L895" s="41" t="s">
        <v>12</v>
      </c>
      <c r="M895" s="36">
        <f t="shared" si="21"/>
        <v>45679.44899</v>
      </c>
      <c r="N895" s="30" t="str">
        <f t="shared" si="22"/>
        <v>SELESAI</v>
      </c>
      <c r="O895" s="45">
        <f t="shared" si="23"/>
        <v>45679.44899</v>
      </c>
      <c r="P895" s="47" t="b">
        <v>0</v>
      </c>
      <c r="Q895" s="36" t="str">
        <f t="shared" si="24"/>
        <v/>
      </c>
      <c r="R895" s="47" t="b">
        <v>1</v>
      </c>
      <c r="S895" s="36">
        <f t="shared" si="25"/>
        <v>45679.44903</v>
      </c>
      <c r="T895" s="42"/>
    </row>
    <row r="896" ht="22.5" customHeight="1">
      <c r="B896" s="42">
        <f t="shared" si="7"/>
        <v>890</v>
      </c>
      <c r="C896" s="31" t="s">
        <v>1021</v>
      </c>
      <c r="D896" s="34" t="str">
        <f t="array" ref="D896">IFNA(_xlfn.XLOOKUP(C896,Table_Tarikan_Warkah[Nomor Sertipikat],Table_Tarikan_Warkah[Nomor Tiket]),"")</f>
        <v>K/20/130125/1</v>
      </c>
      <c r="E896" s="36">
        <f t="array" ref="E896">IFNA(_xlfn.XLOOKUP(D896,Table_Tarikan_Warkah[Nomor Tiket],Table_Tarikan_Warkah[Tanggal diserahkan kepada Validator]),"")</f>
        <v>45672.45937</v>
      </c>
      <c r="F896" s="36" t="str">
        <f t="array" ref="F896">IFNA(_xlfn.XLOOKUP(D896,Table_Tarikan_Warkah[Nomor Tiket],Table_Tarikan_Warkah[Nama Petugas Warkah]),"")</f>
        <v>Berry</v>
      </c>
      <c r="G896" s="39" t="str">
        <f t="array" ref="G896">IFNA(_xlfn.XLOOKUP(D896,Table_Tarikan_Warkah[Nomor Tiket],Table_Tarikan_Warkah[Jenis Permohonan]),"")</f>
        <v>BN JUAL BELI</v>
      </c>
      <c r="H896" s="41" t="s">
        <v>20</v>
      </c>
      <c r="I896" s="41" t="s">
        <v>12</v>
      </c>
      <c r="J896" s="36">
        <f t="shared" si="20"/>
        <v>45672.50068</v>
      </c>
      <c r="K896" s="41" t="s">
        <v>26</v>
      </c>
      <c r="L896" s="41" t="s">
        <v>12</v>
      </c>
      <c r="M896" s="36">
        <f t="shared" si="21"/>
        <v>45679.45681</v>
      </c>
      <c r="N896" s="30" t="str">
        <f t="shared" si="22"/>
        <v>SELESAI</v>
      </c>
      <c r="O896" s="45">
        <f t="shared" si="23"/>
        <v>45679.45681</v>
      </c>
      <c r="P896" s="47" t="b">
        <v>0</v>
      </c>
      <c r="Q896" s="36" t="str">
        <f t="shared" si="24"/>
        <v/>
      </c>
      <c r="R896" s="47" t="b">
        <v>1</v>
      </c>
      <c r="S896" s="36">
        <f t="shared" si="25"/>
        <v>45679.45685</v>
      </c>
      <c r="T896" s="30" t="s">
        <v>1022</v>
      </c>
    </row>
    <row r="897" ht="22.5" customHeight="1">
      <c r="B897" s="42">
        <f t="shared" si="7"/>
        <v>891</v>
      </c>
      <c r="C897" s="31" t="s">
        <v>1023</v>
      </c>
      <c r="D897" s="34" t="str">
        <f t="array" ref="D897">IFNA(_xlfn.XLOOKUP(C897,Table_Tarikan_Warkah[Nomor Sertipikat],Table_Tarikan_Warkah[Nomor Tiket]),"")</f>
        <v>K/15/130125/1</v>
      </c>
      <c r="E897" s="36">
        <f t="array" ref="E897">IFNA(_xlfn.XLOOKUP(D897,Table_Tarikan_Warkah[Nomor Tiket],Table_Tarikan_Warkah[Tanggal diserahkan kepada Validator]),"")</f>
        <v>45672.4587</v>
      </c>
      <c r="F897" s="36" t="str">
        <f t="array" ref="F897">IFNA(_xlfn.XLOOKUP(D897,Table_Tarikan_Warkah[Nomor Tiket],Table_Tarikan_Warkah[Nama Petugas Warkah]),"")</f>
        <v>Berry</v>
      </c>
      <c r="G897" s="39" t="str">
        <f t="array" ref="G897">IFNA(_xlfn.XLOOKUP(D897,Table_Tarikan_Warkah[Nomor Tiket],Table_Tarikan_Warkah[Jenis Permohonan]),"")</f>
        <v>ROYA</v>
      </c>
      <c r="H897" s="41" t="s">
        <v>20</v>
      </c>
      <c r="I897" s="41" t="s">
        <v>12</v>
      </c>
      <c r="J897" s="36">
        <f t="shared" si="20"/>
        <v>45672.50452</v>
      </c>
      <c r="K897" s="41" t="s">
        <v>26</v>
      </c>
      <c r="L897" s="41" t="s">
        <v>12</v>
      </c>
      <c r="M897" s="36">
        <f t="shared" si="21"/>
        <v>45679.45605</v>
      </c>
      <c r="N897" s="30" t="str">
        <f t="shared" si="22"/>
        <v>SELESAI</v>
      </c>
      <c r="O897" s="45">
        <f t="shared" si="23"/>
        <v>45679.45605</v>
      </c>
      <c r="P897" s="47" t="b">
        <v>0</v>
      </c>
      <c r="Q897" s="36" t="str">
        <f t="shared" si="24"/>
        <v/>
      </c>
      <c r="R897" s="47" t="b">
        <v>1</v>
      </c>
      <c r="S897" s="36">
        <f t="shared" si="25"/>
        <v>45679.4561</v>
      </c>
      <c r="T897" s="42"/>
    </row>
    <row r="898" ht="22.5" customHeight="1">
      <c r="B898" s="42">
        <f t="shared" si="7"/>
        <v>892</v>
      </c>
      <c r="C898" s="31" t="s">
        <v>1024</v>
      </c>
      <c r="D898" s="34" t="str">
        <f t="array" ref="D898">IFNA(_xlfn.XLOOKUP(C898,Table_Tarikan_Warkah[Nomor Sertipikat],Table_Tarikan_Warkah[Nomor Tiket]),"")</f>
        <v>L/14/130125/1</v>
      </c>
      <c r="E898" s="36">
        <f t="array" ref="E898">IFNA(_xlfn.XLOOKUP(D898,Table_Tarikan_Warkah[Nomor Tiket],Table_Tarikan_Warkah[Tanggal diserahkan kepada Validator]),"")</f>
        <v>45672.45847</v>
      </c>
      <c r="F898" s="36" t="str">
        <f t="array" ref="F898">IFNA(_xlfn.XLOOKUP(D898,Table_Tarikan_Warkah[Nomor Tiket],Table_Tarikan_Warkah[Nama Petugas Warkah]),"")</f>
        <v>Berry</v>
      </c>
      <c r="G898" s="39" t="str">
        <f t="array" ref="G898">IFNA(_xlfn.XLOOKUP(D898,Table_Tarikan_Warkah[Nomor Tiket],Table_Tarikan_Warkah[Jenis Permohonan]),"")</f>
        <v>ROYA</v>
      </c>
      <c r="H898" s="41" t="s">
        <v>20</v>
      </c>
      <c r="I898" s="41" t="s">
        <v>12</v>
      </c>
      <c r="J898" s="36">
        <f t="shared" si="20"/>
        <v>45672.58313</v>
      </c>
      <c r="K898" s="41" t="s">
        <v>26</v>
      </c>
      <c r="L898" s="41" t="s">
        <v>12</v>
      </c>
      <c r="M898" s="36">
        <f t="shared" si="21"/>
        <v>45679.45222</v>
      </c>
      <c r="N898" s="30" t="str">
        <f t="shared" si="22"/>
        <v>SELESAI</v>
      </c>
      <c r="O898" s="45">
        <f t="shared" si="23"/>
        <v>45679.45222</v>
      </c>
      <c r="P898" s="47" t="b">
        <v>0</v>
      </c>
      <c r="Q898" s="36" t="str">
        <f t="shared" si="24"/>
        <v/>
      </c>
      <c r="R898" s="47" t="b">
        <v>1</v>
      </c>
      <c r="S898" s="36">
        <f t="shared" si="25"/>
        <v>45679.45237</v>
      </c>
      <c r="T898" s="42"/>
    </row>
    <row r="899" ht="22.5" customHeight="1">
      <c r="B899" s="42">
        <f t="shared" si="7"/>
        <v>893</v>
      </c>
      <c r="C899" s="31" t="s">
        <v>1025</v>
      </c>
      <c r="D899" s="34" t="str">
        <f t="array" ref="D899">IFNA(_xlfn.XLOOKUP(C899,Table_Tarikan_Warkah[Nomor Sertipikat],Table_Tarikan_Warkah[Nomor Tiket]),"")</f>
        <v>K/6/130130/1</v>
      </c>
      <c r="E899" s="36">
        <f t="array" ref="E899">IFNA(_xlfn.XLOOKUP(D899,Table_Tarikan_Warkah[Nomor Tiket],Table_Tarikan_Warkah[Tanggal diserahkan kepada Validator]),"")</f>
        <v>45672.45766</v>
      </c>
      <c r="F899" s="36" t="str">
        <f t="array" ref="F899">IFNA(_xlfn.XLOOKUP(D899,Table_Tarikan_Warkah[Nomor Tiket],Table_Tarikan_Warkah[Nama Petugas Warkah]),"")</f>
        <v>Berry</v>
      </c>
      <c r="G899" s="39" t="str">
        <f t="array" ref="G899">IFNA(_xlfn.XLOOKUP(D899,Table_Tarikan_Warkah[Nomor Tiket],Table_Tarikan_Warkah[Jenis Permohonan]),"")</f>
        <v>ROYA</v>
      </c>
      <c r="H899" s="41" t="s">
        <v>20</v>
      </c>
      <c r="I899" s="41" t="s">
        <v>12</v>
      </c>
      <c r="J899" s="36">
        <f t="shared" si="20"/>
        <v>45672.58314</v>
      </c>
      <c r="K899" s="41" t="s">
        <v>26</v>
      </c>
      <c r="L899" s="41" t="s">
        <v>12</v>
      </c>
      <c r="M899" s="36">
        <f t="shared" si="21"/>
        <v>45679.45226</v>
      </c>
      <c r="N899" s="30" t="str">
        <f t="shared" si="22"/>
        <v>SELESAI</v>
      </c>
      <c r="O899" s="45">
        <f t="shared" si="23"/>
        <v>45679.45226</v>
      </c>
      <c r="P899" s="47" t="b">
        <v>0</v>
      </c>
      <c r="Q899" s="36" t="str">
        <f t="shared" si="24"/>
        <v/>
      </c>
      <c r="R899" s="47" t="b">
        <v>1</v>
      </c>
      <c r="S899" s="36">
        <f t="shared" si="25"/>
        <v>45679.45238</v>
      </c>
      <c r="T899" s="42"/>
    </row>
    <row r="900" ht="22.5" customHeight="1">
      <c r="B900" s="42">
        <f t="shared" si="7"/>
        <v>894</v>
      </c>
      <c r="C900" s="31" t="s">
        <v>1026</v>
      </c>
      <c r="D900" s="34" t="str">
        <f t="array" ref="D900">IFNA(_xlfn.XLOOKUP(C900,Table_Tarikan_Warkah[Nomor Sertipikat],Table_Tarikan_Warkah[Nomor Tiket]),"")</f>
        <v>K/17/130125/2</v>
      </c>
      <c r="E900" s="36">
        <f t="array" ref="E900">IFNA(_xlfn.XLOOKUP(D900,Table_Tarikan_Warkah[Nomor Tiket],Table_Tarikan_Warkah[Tanggal diserahkan kepada Validator]),"")</f>
        <v>45672.45908</v>
      </c>
      <c r="F900" s="36" t="str">
        <f t="array" ref="F900">IFNA(_xlfn.XLOOKUP(D900,Table_Tarikan_Warkah[Nomor Tiket],Table_Tarikan_Warkah[Nama Petugas Warkah]),"")</f>
        <v>Berry</v>
      </c>
      <c r="G900" s="39" t="str">
        <f t="array" ref="G900">IFNA(_xlfn.XLOOKUP(D900,Table_Tarikan_Warkah[Nomor Tiket],Table_Tarikan_Warkah[Jenis Permohonan]),"")</f>
        <v>JUAL BELI</v>
      </c>
      <c r="H900" s="41" t="s">
        <v>20</v>
      </c>
      <c r="I900" s="41" t="s">
        <v>12</v>
      </c>
      <c r="J900" s="36">
        <f t="shared" si="20"/>
        <v>45672.59722</v>
      </c>
      <c r="K900" s="41" t="s">
        <v>26</v>
      </c>
      <c r="L900" s="41" t="s">
        <v>12</v>
      </c>
      <c r="M900" s="36">
        <f t="shared" si="21"/>
        <v>45679.45925</v>
      </c>
      <c r="N900" s="30" t="str">
        <f t="shared" si="22"/>
        <v>SELESAI</v>
      </c>
      <c r="O900" s="45">
        <f t="shared" si="23"/>
        <v>45679.45925</v>
      </c>
      <c r="P900" s="47" t="b">
        <v>0</v>
      </c>
      <c r="Q900" s="36" t="str">
        <f t="shared" si="24"/>
        <v/>
      </c>
      <c r="R900" s="47" t="b">
        <v>1</v>
      </c>
      <c r="S900" s="36">
        <f t="shared" si="25"/>
        <v>45679.45929</v>
      </c>
      <c r="T900" s="30" t="s">
        <v>1022</v>
      </c>
    </row>
    <row r="901" ht="22.5" customHeight="1">
      <c r="B901" s="42">
        <f t="shared" si="7"/>
        <v>895</v>
      </c>
      <c r="C901" s="31" t="s">
        <v>1027</v>
      </c>
      <c r="D901" s="34" t="str">
        <f t="array" ref="D901">IFNA(_xlfn.XLOOKUP(C901,Table_Tarikan_Warkah[Nomor Sertipikat],Table_Tarikan_Warkah[Nomor Tiket]),"")</f>
        <v>K/19/130125/4</v>
      </c>
      <c r="E901" s="36">
        <f t="array" ref="E901">IFNA(_xlfn.XLOOKUP(D901,Table_Tarikan_Warkah[Nomor Tiket],Table_Tarikan_Warkah[Tanggal diserahkan kepada Validator]),"")</f>
        <v>45672.45949</v>
      </c>
      <c r="F901" s="36" t="str">
        <f t="array" ref="F901">IFNA(_xlfn.XLOOKUP(D901,Table_Tarikan_Warkah[Nomor Tiket],Table_Tarikan_Warkah[Nama Petugas Warkah]),"")</f>
        <v>Berry</v>
      </c>
      <c r="G901" s="39" t="str">
        <f t="array" ref="G901">IFNA(_xlfn.XLOOKUP(D901,Table_Tarikan_Warkah[Nomor Tiket],Table_Tarikan_Warkah[Jenis Permohonan]),"")</f>
        <v>ROYA</v>
      </c>
      <c r="H901" s="41" t="s">
        <v>20</v>
      </c>
      <c r="I901" s="41" t="s">
        <v>12</v>
      </c>
      <c r="J901" s="36">
        <f t="shared" si="20"/>
        <v>45672.59731</v>
      </c>
      <c r="K901" s="41" t="s">
        <v>26</v>
      </c>
      <c r="L901" s="41" t="s">
        <v>12</v>
      </c>
      <c r="M901" s="36">
        <f t="shared" si="21"/>
        <v>45679.45189</v>
      </c>
      <c r="N901" s="30" t="str">
        <f t="shared" si="22"/>
        <v>SELESAI</v>
      </c>
      <c r="O901" s="45">
        <f t="shared" si="23"/>
        <v>45679.45189</v>
      </c>
      <c r="P901" s="47" t="b">
        <v>0</v>
      </c>
      <c r="Q901" s="36" t="str">
        <f t="shared" si="24"/>
        <v/>
      </c>
      <c r="R901" s="47" t="b">
        <v>1</v>
      </c>
      <c r="S901" s="36">
        <f t="shared" si="25"/>
        <v>45679.45193</v>
      </c>
      <c r="T901" s="42"/>
    </row>
    <row r="902" ht="22.5" customHeight="1">
      <c r="B902" s="42">
        <f t="shared" si="7"/>
        <v>896</v>
      </c>
      <c r="C902" s="31" t="s">
        <v>1028</v>
      </c>
      <c r="D902" s="34" t="str">
        <f t="array" ref="D902">IFNA(_xlfn.XLOOKUP(C902,Table_Tarikan_Warkah[Nomor Sertipikat],Table_Tarikan_Warkah[Nomor Tiket]),"")</f>
        <v>K/22/130125/2</v>
      </c>
      <c r="E902" s="36">
        <f t="array" ref="E902">IFNA(_xlfn.XLOOKUP(D902,Table_Tarikan_Warkah[Nomor Tiket],Table_Tarikan_Warkah[Tanggal diserahkan kepada Validator]),"")</f>
        <v>45672.45979</v>
      </c>
      <c r="F902" s="36" t="str">
        <f t="array" ref="F902">IFNA(_xlfn.XLOOKUP(D902,Table_Tarikan_Warkah[Nomor Tiket],Table_Tarikan_Warkah[Nama Petugas Warkah]),"")</f>
        <v>Berry</v>
      </c>
      <c r="G902" s="39" t="str">
        <f t="array" ref="G902">IFNA(_xlfn.XLOOKUP(D902,Table_Tarikan_Warkah[Nomor Tiket],Table_Tarikan_Warkah[Jenis Permohonan]),"")</f>
        <v>Roya</v>
      </c>
      <c r="H902" s="41" t="s">
        <v>20</v>
      </c>
      <c r="I902" s="41" t="s">
        <v>12</v>
      </c>
      <c r="J902" s="36">
        <f t="shared" si="20"/>
        <v>45672.60038</v>
      </c>
      <c r="K902" s="41" t="s">
        <v>26</v>
      </c>
      <c r="L902" s="41" t="s">
        <v>12</v>
      </c>
      <c r="M902" s="36">
        <f t="shared" si="21"/>
        <v>45679.44997</v>
      </c>
      <c r="N902" s="30" t="str">
        <f t="shared" si="22"/>
        <v>SELESAI</v>
      </c>
      <c r="O902" s="45">
        <f t="shared" si="23"/>
        <v>45679.44997</v>
      </c>
      <c r="P902" s="47" t="b">
        <v>0</v>
      </c>
      <c r="Q902" s="36" t="str">
        <f t="shared" si="24"/>
        <v/>
      </c>
      <c r="R902" s="47" t="b">
        <v>1</v>
      </c>
      <c r="S902" s="36">
        <f t="shared" si="25"/>
        <v>45679.44999</v>
      </c>
      <c r="T902" s="42"/>
    </row>
    <row r="903" ht="22.5" customHeight="1">
      <c r="B903" s="42">
        <f t="shared" si="7"/>
        <v>897</v>
      </c>
      <c r="C903" s="31" t="s">
        <v>1029</v>
      </c>
      <c r="D903" s="34" t="str">
        <f t="array" ref="D903">IFNA(_xlfn.XLOOKUP(C903,Table_Tarikan_Warkah[Nomor Sertipikat],Table_Tarikan_Warkah[Nomor Tiket]),"")</f>
        <v>K/15/140125/2</v>
      </c>
      <c r="E903" s="36">
        <f t="array" ref="E903">IFNA(_xlfn.XLOOKUP(D903,Table_Tarikan_Warkah[Nomor Tiket],Table_Tarikan_Warkah[Tanggal diserahkan kepada Validator]),"")</f>
        <v>45672.46281</v>
      </c>
      <c r="F903" s="36" t="str">
        <f t="array" ref="F903">IFNA(_xlfn.XLOOKUP(D903,Table_Tarikan_Warkah[Nomor Tiket],Table_Tarikan_Warkah[Nama Petugas Warkah]),"")</f>
        <v>David</v>
      </c>
      <c r="G903" s="39" t="str">
        <f t="array" ref="G903">IFNA(_xlfn.XLOOKUP(D903,Table_Tarikan_Warkah[Nomor Tiket],Table_Tarikan_Warkah[Jenis Permohonan]),"")</f>
        <v>Ganti Nama HT</v>
      </c>
      <c r="H903" s="41" t="s">
        <v>11</v>
      </c>
      <c r="I903" s="41" t="s">
        <v>12</v>
      </c>
      <c r="J903" s="36">
        <f t="shared" si="20"/>
        <v>45672.69222</v>
      </c>
      <c r="K903" s="41" t="s">
        <v>26</v>
      </c>
      <c r="L903" s="41" t="s">
        <v>12</v>
      </c>
      <c r="M903" s="36">
        <f t="shared" si="21"/>
        <v>45679.45275</v>
      </c>
      <c r="N903" s="30" t="str">
        <f t="shared" si="22"/>
        <v>SELESAI</v>
      </c>
      <c r="O903" s="45">
        <f t="shared" si="23"/>
        <v>45679.45275</v>
      </c>
      <c r="P903" s="47" t="b">
        <v>0</v>
      </c>
      <c r="Q903" s="36" t="str">
        <f t="shared" si="24"/>
        <v/>
      </c>
      <c r="R903" s="47" t="b">
        <v>1</v>
      </c>
      <c r="S903" s="36">
        <f t="shared" si="25"/>
        <v>45679.45278</v>
      </c>
      <c r="T903" s="42"/>
    </row>
    <row r="904" ht="22.5" customHeight="1">
      <c r="B904" s="42">
        <f t="shared" si="7"/>
        <v>898</v>
      </c>
      <c r="C904" s="31" t="s">
        <v>1030</v>
      </c>
      <c r="D904" s="34" t="str">
        <f t="array" ref="D904">IFNA(_xlfn.XLOOKUP(C904,Table_Tarikan_Warkah[Nomor Sertipikat],Table_Tarikan_Warkah[Nomor Tiket]),"")</f>
        <v>L/4/140125/1</v>
      </c>
      <c r="E904" s="36">
        <f t="array" ref="E904">IFNA(_xlfn.XLOOKUP(D904,Table_Tarikan_Warkah[Nomor Tiket],Table_Tarikan_Warkah[Tanggal diserahkan kepada Validator]),"")</f>
        <v>45672.46199</v>
      </c>
      <c r="F904" s="36" t="str">
        <f t="array" ref="F904">IFNA(_xlfn.XLOOKUP(D904,Table_Tarikan_Warkah[Nomor Tiket],Table_Tarikan_Warkah[Nama Petugas Warkah]),"")</f>
        <v>David</v>
      </c>
      <c r="G904" s="39" t="str">
        <f t="array" ref="G904">IFNA(_xlfn.XLOOKUP(D904,Table_Tarikan_Warkah[Nomor Tiket],Table_Tarikan_Warkah[Jenis Permohonan]),"")</f>
        <v>ROYA</v>
      </c>
      <c r="H904" s="41" t="s">
        <v>11</v>
      </c>
      <c r="I904" s="41" t="s">
        <v>12</v>
      </c>
      <c r="J904" s="36">
        <f t="shared" si="20"/>
        <v>45672.69222</v>
      </c>
      <c r="K904" s="41" t="s">
        <v>26</v>
      </c>
      <c r="L904" s="41" t="s">
        <v>12</v>
      </c>
      <c r="M904" s="36">
        <f t="shared" si="21"/>
        <v>45679.46192</v>
      </c>
      <c r="N904" s="30" t="str">
        <f t="shared" si="22"/>
        <v>SELESAI</v>
      </c>
      <c r="O904" s="45">
        <f t="shared" si="23"/>
        <v>45679.46192</v>
      </c>
      <c r="P904" s="47" t="b">
        <v>0</v>
      </c>
      <c r="Q904" s="36" t="str">
        <f t="shared" si="24"/>
        <v/>
      </c>
      <c r="R904" s="47" t="b">
        <v>1</v>
      </c>
      <c r="S904" s="36">
        <f t="shared" si="25"/>
        <v>45679.46199</v>
      </c>
      <c r="T904" s="42"/>
    </row>
    <row r="905" ht="22.5" customHeight="1">
      <c r="B905" s="42">
        <f t="shared" si="7"/>
        <v>899</v>
      </c>
      <c r="C905" s="31" t="s">
        <v>1031</v>
      </c>
      <c r="D905" s="34" t="str">
        <f t="array" ref="D905">IFNA(_xlfn.XLOOKUP(C905,Table_Tarikan_Warkah[Nomor Sertipikat],Table_Tarikan_Warkah[Nomor Tiket]),"")</f>
        <v>K/31/130125/1</v>
      </c>
      <c r="E905" s="36">
        <f t="array" ref="E905">IFNA(_xlfn.XLOOKUP(D905,Table_Tarikan_Warkah[Nomor Tiket],Table_Tarikan_Warkah[Tanggal diserahkan kepada Validator]),"")</f>
        <v>45672.46042</v>
      </c>
      <c r="F905" s="36" t="str">
        <f t="array" ref="F905">IFNA(_xlfn.XLOOKUP(D905,Table_Tarikan_Warkah[Nomor Tiket],Table_Tarikan_Warkah[Nama Petugas Warkah]),"")</f>
        <v>Berry</v>
      </c>
      <c r="G905" s="39" t="str">
        <f t="array" ref="G905">IFNA(_xlfn.XLOOKUP(D905,Table_Tarikan_Warkah[Nomor Tiket],Table_Tarikan_Warkah[Jenis Permohonan]),"")</f>
        <v>BN Waris</v>
      </c>
      <c r="H905" s="41" t="s">
        <v>11</v>
      </c>
      <c r="I905" s="41" t="s">
        <v>12</v>
      </c>
      <c r="J905" s="36">
        <f t="shared" si="20"/>
        <v>45672.69222</v>
      </c>
      <c r="K905" s="41" t="s">
        <v>26</v>
      </c>
      <c r="L905" s="41" t="s">
        <v>12</v>
      </c>
      <c r="M905" s="36">
        <f t="shared" si="21"/>
        <v>45679.46195</v>
      </c>
      <c r="N905" s="30" t="str">
        <f t="shared" si="22"/>
        <v>SELESAI</v>
      </c>
      <c r="O905" s="45">
        <f t="shared" si="23"/>
        <v>45679.46195</v>
      </c>
      <c r="P905" s="47" t="b">
        <v>0</v>
      </c>
      <c r="Q905" s="36" t="str">
        <f t="shared" si="24"/>
        <v/>
      </c>
      <c r="R905" s="47" t="b">
        <v>1</v>
      </c>
      <c r="S905" s="36">
        <f t="shared" si="25"/>
        <v>45679.46199</v>
      </c>
      <c r="T905" s="42"/>
    </row>
    <row r="906" ht="22.5" customHeight="1">
      <c r="B906" s="42">
        <f t="shared" si="7"/>
        <v>900</v>
      </c>
      <c r="C906" s="31" t="s">
        <v>1032</v>
      </c>
      <c r="D906" s="34" t="str">
        <f t="array" ref="D906">IFNA(_xlfn.XLOOKUP(C906,Table_Tarikan_Warkah[Nomor Sertipikat],Table_Tarikan_Warkah[Nomor Tiket]),"")</f>
        <v>K/28/130125/1</v>
      </c>
      <c r="E906" s="36">
        <f t="array" ref="E906">IFNA(_xlfn.XLOOKUP(D906,Table_Tarikan_Warkah[Nomor Tiket],Table_Tarikan_Warkah[Tanggal diserahkan kepada Validator]),"")</f>
        <v>45672.4601</v>
      </c>
      <c r="F906" s="36" t="str">
        <f t="array" ref="F906">IFNA(_xlfn.XLOOKUP(D906,Table_Tarikan_Warkah[Nomor Tiket],Table_Tarikan_Warkah[Nama Petugas Warkah]),"")</f>
        <v>Berry</v>
      </c>
      <c r="G906" s="39" t="str">
        <f t="array" ref="G906">IFNA(_xlfn.XLOOKUP(D906,Table_Tarikan_Warkah[Nomor Tiket],Table_Tarikan_Warkah[Jenis Permohonan]),"")</f>
        <v>BN JUAL BELI</v>
      </c>
      <c r="H906" s="41" t="s">
        <v>11</v>
      </c>
      <c r="I906" s="41" t="s">
        <v>12</v>
      </c>
      <c r="J906" s="36">
        <f t="shared" si="20"/>
        <v>45672.69222</v>
      </c>
      <c r="K906" s="41" t="s">
        <v>26</v>
      </c>
      <c r="L906" s="41" t="s">
        <v>12</v>
      </c>
      <c r="M906" s="36">
        <f t="shared" si="21"/>
        <v>45679.4615</v>
      </c>
      <c r="N906" s="30" t="str">
        <f t="shared" si="22"/>
        <v>SELESAI</v>
      </c>
      <c r="O906" s="45">
        <f t="shared" si="23"/>
        <v>45679.4615</v>
      </c>
      <c r="P906" s="47" t="b">
        <v>0</v>
      </c>
      <c r="Q906" s="36" t="str">
        <f t="shared" si="24"/>
        <v/>
      </c>
      <c r="R906" s="47" t="b">
        <v>1</v>
      </c>
      <c r="S906" s="36">
        <f t="shared" si="25"/>
        <v>45679.46153</v>
      </c>
      <c r="T906" s="42"/>
    </row>
    <row r="907" ht="22.5" customHeight="1">
      <c r="B907" s="42">
        <f t="shared" si="7"/>
        <v>901</v>
      </c>
      <c r="C907" s="31" t="s">
        <v>1033</v>
      </c>
      <c r="D907" s="34" t="str">
        <f t="array" ref="D907">IFNA(_xlfn.XLOOKUP(C907,Table_Tarikan_Warkah[Nomor Sertipikat],Table_Tarikan_Warkah[Nomor Tiket]),"")</f>
        <v>L/2/080125/1</v>
      </c>
      <c r="E907" s="36">
        <f t="array" ref="E907">IFNA(_xlfn.XLOOKUP(D907,Table_Tarikan_Warkah[Nomor Tiket],Table_Tarikan_Warkah[Tanggal diserahkan kepada Validator]),"")</f>
        <v>45671.44495</v>
      </c>
      <c r="F907" s="36" t="str">
        <f t="array" ref="F907">IFNA(_xlfn.XLOOKUP(D907,Table_Tarikan_Warkah[Nomor Tiket],Table_Tarikan_Warkah[Nama Petugas Warkah]),"")</f>
        <v>David</v>
      </c>
      <c r="G907" s="39" t="str">
        <f t="array" ref="G907">IFNA(_xlfn.XLOOKUP(D907,Table_Tarikan_Warkah[Nomor Tiket],Table_Tarikan_Warkah[Jenis Permohonan]),"")</f>
        <v>PH</v>
      </c>
      <c r="H907" s="41" t="s">
        <v>11</v>
      </c>
      <c r="I907" s="41" t="s">
        <v>12</v>
      </c>
      <c r="J907" s="36">
        <f t="shared" si="20"/>
        <v>45672.69222</v>
      </c>
      <c r="K907" s="41" t="s">
        <v>26</v>
      </c>
      <c r="L907" s="41" t="s">
        <v>12</v>
      </c>
      <c r="M907" s="36">
        <f t="shared" si="21"/>
        <v>45679.46123</v>
      </c>
      <c r="N907" s="30" t="str">
        <f t="shared" si="22"/>
        <v>SELESAI</v>
      </c>
      <c r="O907" s="45">
        <f t="shared" si="23"/>
        <v>45679.46123</v>
      </c>
      <c r="P907" s="47" t="b">
        <v>0</v>
      </c>
      <c r="Q907" s="36" t="str">
        <f t="shared" si="24"/>
        <v/>
      </c>
      <c r="R907" s="47" t="b">
        <v>1</v>
      </c>
      <c r="S907" s="36">
        <f t="shared" si="25"/>
        <v>45679.46119</v>
      </c>
      <c r="T907" s="42"/>
    </row>
    <row r="908" ht="22.5" customHeight="1">
      <c r="B908" s="42">
        <f t="shared" si="7"/>
        <v>902</v>
      </c>
      <c r="C908" s="31" t="s">
        <v>1034</v>
      </c>
      <c r="D908" s="34" t="str">
        <f t="array" ref="D908">IFNA(_xlfn.XLOOKUP(C908,Table_Tarikan_Warkah[Nomor Sertipikat],Table_Tarikan_Warkah[Nomor Tiket]),"")</f>
        <v>L/1/110125/PELATARAN</v>
      </c>
      <c r="E908" s="36">
        <f t="array" ref="E908">IFNA(_xlfn.XLOOKUP(D908,Table_Tarikan_Warkah[Nomor Tiket],Table_Tarikan_Warkah[Tanggal diserahkan kepada Validator]),"")</f>
        <v>45705.59256</v>
      </c>
      <c r="F908" s="36" t="str">
        <f t="array" ref="F908">IFNA(_xlfn.XLOOKUP(D908,Table_Tarikan_Warkah[Nomor Tiket],Table_Tarikan_Warkah[Nama Petugas Warkah]),"")</f>
        <v>David</v>
      </c>
      <c r="G908" s="39" t="str">
        <f t="array" ref="G908">IFNA(_xlfn.XLOOKUP(D908,Table_Tarikan_Warkah[Nomor Tiket],Table_Tarikan_Warkah[Jenis Permohonan]),"")</f>
        <v>ROYA</v>
      </c>
      <c r="H908" s="41" t="s">
        <v>11</v>
      </c>
      <c r="I908" s="41" t="s">
        <v>23</v>
      </c>
      <c r="J908" s="36">
        <f t="shared" si="20"/>
        <v>45672.69222</v>
      </c>
      <c r="K908" s="49" t="s">
        <v>197</v>
      </c>
      <c r="L908" s="66" t="s">
        <v>23</v>
      </c>
      <c r="M908" s="36">
        <f t="shared" si="21"/>
        <v>45674.65639</v>
      </c>
      <c r="N908" s="30" t="str">
        <f t="shared" si="22"/>
        <v>Selesai</v>
      </c>
      <c r="O908" s="45">
        <f t="shared" si="23"/>
        <v>45674.65639</v>
      </c>
      <c r="P908" s="47" t="b">
        <v>1</v>
      </c>
      <c r="Q908" s="36">
        <f t="shared" si="24"/>
        <v>45674.65639</v>
      </c>
      <c r="R908" s="47" t="b">
        <v>0</v>
      </c>
      <c r="S908" s="42" t="str">
        <f t="shared" si="25"/>
        <v/>
      </c>
      <c r="T908" s="42"/>
    </row>
    <row r="909" ht="22.5" customHeight="1">
      <c r="B909" s="42">
        <f t="shared" si="7"/>
        <v>903</v>
      </c>
      <c r="C909" s="31" t="s">
        <v>1035</v>
      </c>
      <c r="D909" s="34" t="str">
        <f t="array" ref="D909">IFNA(_xlfn.XLOOKUP(C909,Table_Tarikan_Warkah[Nomor Sertipikat],Table_Tarikan_Warkah[Nomor Tiket]),"")</f>
        <v>K/16/080125/1</v>
      </c>
      <c r="E909" s="36" t="str">
        <f t="array" ref="E909">IFNA(_xlfn.XLOOKUP(D909,Table_Tarikan_Warkah[Nomor Tiket],Table_Tarikan_Warkah[Tanggal diserahkan kepada Validator]),"")</f>
        <v/>
      </c>
      <c r="F909" s="36" t="str">
        <f t="array" ref="F909">IFNA(_xlfn.XLOOKUP(D909,Table_Tarikan_Warkah[Nomor Tiket],Table_Tarikan_Warkah[Nama Petugas Warkah]),"")</f>
        <v>David</v>
      </c>
      <c r="G909" s="39" t="str">
        <f t="array" ref="G909">IFNA(_xlfn.XLOOKUP(D909,Table_Tarikan_Warkah[Nomor Tiket],Table_Tarikan_Warkah[Jenis Permohonan]),"")</f>
        <v>KEWARISAN</v>
      </c>
      <c r="H909" s="41" t="s">
        <v>11</v>
      </c>
      <c r="I909" s="41" t="s">
        <v>23</v>
      </c>
      <c r="J909" s="36">
        <f t="shared" si="20"/>
        <v>45672.69222</v>
      </c>
      <c r="K909" s="49" t="s">
        <v>197</v>
      </c>
      <c r="L909" s="49" t="s">
        <v>23</v>
      </c>
      <c r="M909" s="36">
        <f t="shared" si="21"/>
        <v>45674.65639</v>
      </c>
      <c r="N909" s="30" t="str">
        <f t="shared" si="22"/>
        <v>Selesai</v>
      </c>
      <c r="O909" s="45">
        <f t="shared" si="23"/>
        <v>45674.65639</v>
      </c>
      <c r="P909" s="47" t="b">
        <v>1</v>
      </c>
      <c r="Q909" s="36">
        <f t="shared" si="24"/>
        <v>45674.65639</v>
      </c>
      <c r="R909" s="47" t="b">
        <v>0</v>
      </c>
      <c r="S909" s="42" t="str">
        <f t="shared" si="25"/>
        <v/>
      </c>
      <c r="T909" s="42"/>
    </row>
    <row r="910" ht="22.5" customHeight="1">
      <c r="B910" s="42">
        <f t="shared" si="7"/>
        <v>904</v>
      </c>
      <c r="C910" s="31" t="s">
        <v>1036</v>
      </c>
      <c r="D910" s="34" t="str">
        <f t="array" ref="D910">IFNA(_xlfn.XLOOKUP(C910,Table_Tarikan_Warkah[Nomor Sertipikat],Table_Tarikan_Warkah[Nomor Tiket]),"")</f>
        <v>K/26/090125/1</v>
      </c>
      <c r="E910" s="36" t="str">
        <f t="array" ref="E910">IFNA(_xlfn.XLOOKUP(D910,Table_Tarikan_Warkah[Nomor Tiket],Table_Tarikan_Warkah[Tanggal diserahkan kepada Validator]),"")</f>
        <v/>
      </c>
      <c r="F910" s="36" t="str">
        <f t="array" ref="F910">IFNA(_xlfn.XLOOKUP(D910,Table_Tarikan_Warkah[Nomor Tiket],Table_Tarikan_Warkah[Nama Petugas Warkah]),"")</f>
        <v>Berry</v>
      </c>
      <c r="G910" s="39" t="str">
        <f t="array" ref="G910">IFNA(_xlfn.XLOOKUP(D910,Table_Tarikan_Warkah[Nomor Tiket],Table_Tarikan_Warkah[Jenis Permohonan]),"")</f>
        <v>BN JUAL BELI</v>
      </c>
      <c r="H910" s="41" t="s">
        <v>11</v>
      </c>
      <c r="I910" s="41" t="s">
        <v>23</v>
      </c>
      <c r="J910" s="36">
        <f t="shared" si="20"/>
        <v>45672.69222</v>
      </c>
      <c r="K910" s="49" t="s">
        <v>197</v>
      </c>
      <c r="L910" s="66" t="s">
        <v>23</v>
      </c>
      <c r="M910" s="36">
        <f t="shared" si="21"/>
        <v>45674.65639</v>
      </c>
      <c r="N910" s="30" t="str">
        <f t="shared" si="22"/>
        <v>Selesai</v>
      </c>
      <c r="O910" s="45">
        <f t="shared" si="23"/>
        <v>45674.65639</v>
      </c>
      <c r="P910" s="47" t="b">
        <v>1</v>
      </c>
      <c r="Q910" s="36">
        <f t="shared" si="24"/>
        <v>45674.65639</v>
      </c>
      <c r="R910" s="47" t="b">
        <v>0</v>
      </c>
      <c r="S910" s="42" t="str">
        <f t="shared" si="25"/>
        <v/>
      </c>
      <c r="T910" s="42"/>
    </row>
    <row r="911" ht="22.5" customHeight="1">
      <c r="B911" s="42">
        <f t="shared" si="7"/>
        <v>905</v>
      </c>
      <c r="C911" s="31" t="s">
        <v>1037</v>
      </c>
      <c r="D911" s="34" t="str">
        <f t="array" ref="D911">IFNA(_xlfn.XLOOKUP(C911,Table_Tarikan_Warkah[Nomor Sertipikat],Table_Tarikan_Warkah[Nomor Tiket]),"")</f>
        <v>L/6/100125/1</v>
      </c>
      <c r="E911" s="36">
        <f t="array" ref="E911">IFNA(_xlfn.XLOOKUP(D911,Table_Tarikan_Warkah[Nomor Tiket],Table_Tarikan_Warkah[Tanggal diserahkan kepada Validator]),"")</f>
        <v>45715.40016</v>
      </c>
      <c r="F911" s="36" t="str">
        <f t="array" ref="F911">IFNA(_xlfn.XLOOKUP(D911,Table_Tarikan_Warkah[Nomor Tiket],Table_Tarikan_Warkah[Nama Petugas Warkah]),"")</f>
        <v>David</v>
      </c>
      <c r="G911" s="39" t="str">
        <f t="array" ref="G911">IFNA(_xlfn.XLOOKUP(D911,Table_Tarikan_Warkah[Nomor Tiket],Table_Tarikan_Warkah[Jenis Permohonan]),"")</f>
        <v>ROYA</v>
      </c>
      <c r="H911" s="41" t="s">
        <v>11</v>
      </c>
      <c r="I911" s="41" t="s">
        <v>23</v>
      </c>
      <c r="J911" s="36">
        <f t="shared" si="20"/>
        <v>45672.69222</v>
      </c>
      <c r="K911" s="49" t="s">
        <v>197</v>
      </c>
      <c r="L911" s="49" t="s">
        <v>23</v>
      </c>
      <c r="M911" s="36">
        <f t="shared" si="21"/>
        <v>45674.65639</v>
      </c>
      <c r="N911" s="30" t="str">
        <f t="shared" si="22"/>
        <v>Selesai</v>
      </c>
      <c r="O911" s="45">
        <f t="shared" si="23"/>
        <v>45674.65639</v>
      </c>
      <c r="P911" s="47" t="b">
        <v>1</v>
      </c>
      <c r="Q911" s="36">
        <f t="shared" si="24"/>
        <v>45674.65639</v>
      </c>
      <c r="R911" s="47" t="b">
        <v>0</v>
      </c>
      <c r="S911" s="42" t="str">
        <f t="shared" si="25"/>
        <v/>
      </c>
      <c r="T911" s="42"/>
    </row>
    <row r="912" ht="22.5" customHeight="1">
      <c r="B912" s="42">
        <f t="shared" si="7"/>
        <v>906</v>
      </c>
      <c r="C912" s="31" t="s">
        <v>1038</v>
      </c>
      <c r="D912" s="34" t="str">
        <f t="array" ref="D912">IFNA(_xlfn.XLOOKUP(C912,Table_Tarikan_Warkah[Nomor Sertipikat],Table_Tarikan_Warkah[Nomor Tiket]),"")</f>
        <v>K/9/130125/1</v>
      </c>
      <c r="E912" s="36" t="str">
        <f t="array" ref="E912">IFNA(_xlfn.XLOOKUP(D912,Table_Tarikan_Warkah[Nomor Tiket],Table_Tarikan_Warkah[Tanggal diserahkan kepada Validator]),"")</f>
        <v/>
      </c>
      <c r="F912" s="36" t="str">
        <f t="array" ref="F912">IFNA(_xlfn.XLOOKUP(D912,Table_Tarikan_Warkah[Nomor Tiket],Table_Tarikan_Warkah[Nama Petugas Warkah]),"")</f>
        <v>Berry</v>
      </c>
      <c r="G912" s="39" t="str">
        <f t="array" ref="G912">IFNA(_xlfn.XLOOKUP(D912,Table_Tarikan_Warkah[Nomor Tiket],Table_Tarikan_Warkah[Jenis Permohonan]),"")</f>
        <v>BN Jual Beli</v>
      </c>
      <c r="H912" s="41" t="s">
        <v>20</v>
      </c>
      <c r="I912" s="41" t="s">
        <v>23</v>
      </c>
      <c r="J912" s="36">
        <f t="shared" si="20"/>
        <v>45673.40432</v>
      </c>
      <c r="K912" s="49" t="s">
        <v>197</v>
      </c>
      <c r="L912" s="66" t="s">
        <v>23</v>
      </c>
      <c r="M912" s="36">
        <f t="shared" si="21"/>
        <v>45674.65639</v>
      </c>
      <c r="N912" s="30" t="str">
        <f t="shared" si="22"/>
        <v>Selesai</v>
      </c>
      <c r="O912" s="45">
        <f t="shared" si="23"/>
        <v>45674.65639</v>
      </c>
      <c r="P912" s="47" t="b">
        <v>1</v>
      </c>
      <c r="Q912" s="36">
        <f t="shared" si="24"/>
        <v>45674.6564</v>
      </c>
      <c r="R912" s="47" t="b">
        <v>0</v>
      </c>
      <c r="S912" s="42" t="str">
        <f t="shared" si="25"/>
        <v/>
      </c>
      <c r="T912" s="42"/>
    </row>
    <row r="913" ht="22.5" customHeight="1">
      <c r="B913" s="42">
        <f t="shared" si="7"/>
        <v>907</v>
      </c>
      <c r="C913" s="31" t="s">
        <v>1039</v>
      </c>
      <c r="D913" s="34" t="str">
        <f t="array" ref="D913">IFNA(_xlfn.XLOOKUP(C913,Table_Tarikan_Warkah[Nomor Sertipikat],Table_Tarikan_Warkah[Nomor Tiket]),"")</f>
        <v>L/50/181124/1</v>
      </c>
      <c r="E913" s="36" t="str">
        <f t="array" ref="E913">IFNA(_xlfn.XLOOKUP(D913,Table_Tarikan_Warkah[Nomor Tiket],Table_Tarikan_Warkah[Tanggal diserahkan kepada Validator]),"")</f>
        <v/>
      </c>
      <c r="F913" s="36" t="str">
        <f t="array" ref="F913">IFNA(_xlfn.XLOOKUP(D913,Table_Tarikan_Warkah[Nomor Tiket],Table_Tarikan_Warkah[Nama Petugas Warkah]),"")</f>
        <v>David</v>
      </c>
      <c r="G913" s="39" t="str">
        <f t="array" ref="G913">IFNA(_xlfn.XLOOKUP(D913,Table_Tarikan_Warkah[Nomor Tiket],Table_Tarikan_Warkah[Jenis Permohonan]),"")</f>
        <v>ROYA</v>
      </c>
      <c r="H913" s="41" t="s">
        <v>20</v>
      </c>
      <c r="I913" s="41" t="s">
        <v>23</v>
      </c>
      <c r="J913" s="36">
        <f t="shared" si="20"/>
        <v>45673.49094</v>
      </c>
      <c r="K913" s="49" t="s">
        <v>197</v>
      </c>
      <c r="L913" s="49" t="s">
        <v>23</v>
      </c>
      <c r="M913" s="36">
        <f t="shared" si="21"/>
        <v>45674.65639</v>
      </c>
      <c r="N913" s="30" t="str">
        <f t="shared" si="22"/>
        <v>Selesai</v>
      </c>
      <c r="O913" s="45">
        <f t="shared" si="23"/>
        <v>45674.65639</v>
      </c>
      <c r="P913" s="47" t="b">
        <v>1</v>
      </c>
      <c r="Q913" s="36">
        <f t="shared" si="24"/>
        <v>45674.65641</v>
      </c>
      <c r="R913" s="47" t="b">
        <v>0</v>
      </c>
      <c r="S913" s="42" t="str">
        <f t="shared" si="25"/>
        <v/>
      </c>
      <c r="T913" s="42"/>
    </row>
    <row r="914" ht="22.5" customHeight="1">
      <c r="B914" s="42">
        <f t="shared" si="7"/>
        <v>908</v>
      </c>
      <c r="C914" s="31" t="s">
        <v>1040</v>
      </c>
      <c r="D914" s="34" t="str">
        <f t="array" ref="D914">IFNA(_xlfn.XLOOKUP(C914,Table_Tarikan_Warkah[Nomor Sertipikat],Table_Tarikan_Warkah[Nomor Tiket]),"")</f>
        <v>L/1/050125/1</v>
      </c>
      <c r="E914" s="36">
        <f t="array" ref="E914">IFNA(_xlfn.XLOOKUP(D914,Table_Tarikan_Warkah[Nomor Tiket],Table_Tarikan_Warkah[Tanggal diserahkan kepada Validator]),"")</f>
        <v>45665.64802</v>
      </c>
      <c r="F914" s="36" t="str">
        <f t="array" ref="F914">IFNA(_xlfn.XLOOKUP(D914,Table_Tarikan_Warkah[Nomor Tiket],Table_Tarikan_Warkah[Nama Petugas Warkah]),"")</f>
        <v>David</v>
      </c>
      <c r="G914" s="39" t="str">
        <f t="array" ref="G914">IFNA(_xlfn.XLOOKUP(D914,Table_Tarikan_Warkah[Nomor Tiket],Table_Tarikan_Warkah[Jenis Permohonan]),"")</f>
        <v>Roya</v>
      </c>
      <c r="H914" s="41" t="s">
        <v>20</v>
      </c>
      <c r="I914" s="41" t="s">
        <v>23</v>
      </c>
      <c r="J914" s="36">
        <f t="shared" si="20"/>
        <v>45673.49553</v>
      </c>
      <c r="K914" s="49" t="s">
        <v>197</v>
      </c>
      <c r="L914" s="66" t="s">
        <v>23</v>
      </c>
      <c r="M914" s="36">
        <f t="shared" si="21"/>
        <v>45674.65639</v>
      </c>
      <c r="N914" s="30" t="str">
        <f t="shared" si="22"/>
        <v>Selesai</v>
      </c>
      <c r="O914" s="45">
        <f t="shared" si="23"/>
        <v>45674.65639</v>
      </c>
      <c r="P914" s="47" t="b">
        <v>1</v>
      </c>
      <c r="Q914" s="36">
        <f t="shared" si="24"/>
        <v>45674.65642</v>
      </c>
      <c r="R914" s="47" t="b">
        <v>0</v>
      </c>
      <c r="S914" s="42" t="str">
        <f t="shared" si="25"/>
        <v/>
      </c>
      <c r="T914" s="42"/>
    </row>
    <row r="915" ht="22.5" customHeight="1">
      <c r="B915" s="42">
        <f t="shared" si="7"/>
        <v>909</v>
      </c>
      <c r="C915" s="31" t="s">
        <v>1041</v>
      </c>
      <c r="D915" s="34" t="str">
        <f t="array" ref="D915">IFNA(_xlfn.XLOOKUP(C915,Table_Tarikan_Warkah[Nomor Sertipikat],Table_Tarikan_Warkah[Nomor Tiket]),"")</f>
        <v>K/29/130125/1</v>
      </c>
      <c r="E915" s="36">
        <f t="array" ref="E915">IFNA(_xlfn.XLOOKUP(D915,Table_Tarikan_Warkah[Nomor Tiket],Table_Tarikan_Warkah[Tanggal diserahkan kepada Validator]),"")</f>
        <v>45758.48417</v>
      </c>
      <c r="F915" s="36" t="str">
        <f t="array" ref="F915">IFNA(_xlfn.XLOOKUP(D915,Table_Tarikan_Warkah[Nomor Tiket],Table_Tarikan_Warkah[Nama Petugas Warkah]),"")</f>
        <v>Berry</v>
      </c>
      <c r="G915" s="39" t="str">
        <f t="array" ref="G915">IFNA(_xlfn.XLOOKUP(D915,Table_Tarikan_Warkah[Nomor Tiket],Table_Tarikan_Warkah[Jenis Permohonan]),"")</f>
        <v>ROYA</v>
      </c>
      <c r="H915" s="41" t="s">
        <v>20</v>
      </c>
      <c r="I915" s="41" t="s">
        <v>23</v>
      </c>
      <c r="J915" s="36">
        <f t="shared" si="20"/>
        <v>45673.64497</v>
      </c>
      <c r="K915" s="49" t="s">
        <v>197</v>
      </c>
      <c r="L915" s="66" t="s">
        <v>23</v>
      </c>
      <c r="M915" s="36">
        <f t="shared" si="21"/>
        <v>45674.65639</v>
      </c>
      <c r="N915" s="30" t="str">
        <f t="shared" si="22"/>
        <v>Selesai</v>
      </c>
      <c r="O915" s="45">
        <f t="shared" si="23"/>
        <v>45674.65639</v>
      </c>
      <c r="P915" s="47" t="b">
        <v>1</v>
      </c>
      <c r="Q915" s="36">
        <f t="shared" si="24"/>
        <v>45674.65643</v>
      </c>
      <c r="R915" s="47" t="b">
        <v>0</v>
      </c>
      <c r="S915" s="42" t="str">
        <f t="shared" si="25"/>
        <v/>
      </c>
      <c r="T915" s="42"/>
    </row>
    <row r="916" ht="22.5" customHeight="1">
      <c r="B916" s="42">
        <f t="shared" si="7"/>
        <v>910</v>
      </c>
      <c r="C916" s="31" t="s">
        <v>1042</v>
      </c>
      <c r="D916" s="34" t="str">
        <f t="array" ref="D916">IFNA(_xlfn.XLOOKUP(C916,Table_Tarikan_Warkah[Nomor Sertipikat],Table_Tarikan_Warkah[Nomor Tiket]),"")</f>
        <v>K/3/131224/1</v>
      </c>
      <c r="E916" s="36" t="str">
        <f t="array" ref="E916">IFNA(_xlfn.XLOOKUP(D916,Table_Tarikan_Warkah[Nomor Tiket],Table_Tarikan_Warkah[Tanggal diserahkan kepada Validator]),"")</f>
        <v/>
      </c>
      <c r="F916" s="36" t="str">
        <f t="array" ref="F916">IFNA(_xlfn.XLOOKUP(D916,Table_Tarikan_Warkah[Nomor Tiket],Table_Tarikan_Warkah[Nama Petugas Warkah]),"")</f>
        <v>Berry</v>
      </c>
      <c r="G916" s="39" t="str">
        <f t="array" ref="G916">IFNA(_xlfn.XLOOKUP(D916,Table_Tarikan_Warkah[Nomor Tiket],Table_Tarikan_Warkah[Jenis Permohonan]),"")</f>
        <v>BN WARIS</v>
      </c>
      <c r="H916" s="41" t="s">
        <v>20</v>
      </c>
      <c r="I916" s="41" t="s">
        <v>23</v>
      </c>
      <c r="J916" s="36">
        <f t="shared" si="20"/>
        <v>45673.64558</v>
      </c>
      <c r="K916" s="49" t="s">
        <v>197</v>
      </c>
      <c r="L916" s="49" t="s">
        <v>23</v>
      </c>
      <c r="M916" s="36">
        <f t="shared" si="21"/>
        <v>45674.65639</v>
      </c>
      <c r="N916" s="30" t="str">
        <f t="shared" si="22"/>
        <v>Selesai</v>
      </c>
      <c r="O916" s="45">
        <f t="shared" si="23"/>
        <v>45674.65639</v>
      </c>
      <c r="P916" s="47" t="b">
        <v>1</v>
      </c>
      <c r="Q916" s="36">
        <f t="shared" si="24"/>
        <v>45674.65644</v>
      </c>
      <c r="R916" s="47" t="b">
        <v>0</v>
      </c>
      <c r="S916" s="42" t="str">
        <f t="shared" si="25"/>
        <v/>
      </c>
      <c r="T916" s="42"/>
    </row>
    <row r="917" ht="22.5" customHeight="1">
      <c r="B917" s="42">
        <f t="shared" si="7"/>
        <v>911</v>
      </c>
      <c r="C917" s="31" t="s">
        <v>1043</v>
      </c>
      <c r="D917" s="34" t="str">
        <f t="array" ref="D917">IFNA(_xlfn.XLOOKUP(C917,Table_Tarikan_Warkah[Nomor Sertipikat],Table_Tarikan_Warkah[Nomor Tiket]),"")</f>
        <v>K/36/231224/2</v>
      </c>
      <c r="E917" s="36" t="str">
        <f t="array" ref="E917">IFNA(_xlfn.XLOOKUP(D917,Table_Tarikan_Warkah[Nomor Tiket],Table_Tarikan_Warkah[Tanggal diserahkan kepada Validator]),"")</f>
        <v/>
      </c>
      <c r="F917" s="36" t="str">
        <f t="array" ref="F917">IFNA(_xlfn.XLOOKUP(D917,Table_Tarikan_Warkah[Nomor Tiket],Table_Tarikan_Warkah[Nama Petugas Warkah]),"")</f>
        <v/>
      </c>
      <c r="G917" s="39" t="str">
        <f t="array" ref="G917">IFNA(_xlfn.XLOOKUP(D917,Table_Tarikan_Warkah[Nomor Tiket],Table_Tarikan_Warkah[Jenis Permohonan]),"")</f>
        <v>Roya</v>
      </c>
      <c r="H917" s="41" t="s">
        <v>20</v>
      </c>
      <c r="I917" s="41" t="s">
        <v>23</v>
      </c>
      <c r="J917" s="36">
        <f t="shared" si="20"/>
        <v>45673.70871</v>
      </c>
      <c r="K917" s="49" t="s">
        <v>197</v>
      </c>
      <c r="L917" s="66" t="s">
        <v>23</v>
      </c>
      <c r="M917" s="36">
        <f t="shared" si="21"/>
        <v>45674.65639</v>
      </c>
      <c r="N917" s="30" t="str">
        <f t="shared" si="22"/>
        <v>Selesai</v>
      </c>
      <c r="O917" s="45">
        <f t="shared" si="23"/>
        <v>45674.65639</v>
      </c>
      <c r="P917" s="47" t="b">
        <v>1</v>
      </c>
      <c r="Q917" s="36">
        <f t="shared" si="24"/>
        <v>45674.65645</v>
      </c>
      <c r="R917" s="47" t="b">
        <v>0</v>
      </c>
      <c r="S917" s="42" t="str">
        <f t="shared" si="25"/>
        <v/>
      </c>
      <c r="T917" s="42"/>
    </row>
    <row r="918" ht="22.5" customHeight="1">
      <c r="B918" s="42">
        <f t="shared" si="7"/>
        <v>912</v>
      </c>
      <c r="C918" s="31" t="s">
        <v>1044</v>
      </c>
      <c r="D918" s="34" t="str">
        <f t="array" ref="D918">IFNA(_xlfn.XLOOKUP(C918,Table_Tarikan_Warkah[Nomor Sertipikat],Table_Tarikan_Warkah[Nomor Tiket]),"")</f>
        <v>K/6/030125/2</v>
      </c>
      <c r="E918" s="36" t="str">
        <f t="array" ref="E918">IFNA(_xlfn.XLOOKUP(D918,Table_Tarikan_Warkah[Nomor Tiket],Table_Tarikan_Warkah[Tanggal diserahkan kepada Validator]),"")</f>
        <v/>
      </c>
      <c r="F918" s="36" t="str">
        <f t="array" ref="F918">IFNA(_xlfn.XLOOKUP(D918,Table_Tarikan_Warkah[Nomor Tiket],Table_Tarikan_Warkah[Nama Petugas Warkah]),"")</f>
        <v>Berry</v>
      </c>
      <c r="G918" s="39" t="str">
        <f t="array" ref="G918">IFNA(_xlfn.XLOOKUP(D918,Table_Tarikan_Warkah[Nomor Tiket],Table_Tarikan_Warkah[Jenis Permohonan]),"")</f>
        <v>BN JUAL BELI</v>
      </c>
      <c r="H918" s="41" t="s">
        <v>20</v>
      </c>
      <c r="I918" s="41" t="s">
        <v>23</v>
      </c>
      <c r="J918" s="36">
        <f t="shared" si="20"/>
        <v>45673.70871</v>
      </c>
      <c r="K918" s="49" t="s">
        <v>197</v>
      </c>
      <c r="L918" s="49" t="s">
        <v>23</v>
      </c>
      <c r="M918" s="36">
        <f t="shared" si="21"/>
        <v>45674.65639</v>
      </c>
      <c r="N918" s="30" t="str">
        <f t="shared" si="22"/>
        <v>Selesai</v>
      </c>
      <c r="O918" s="45">
        <f t="shared" si="23"/>
        <v>45674.65639</v>
      </c>
      <c r="P918" s="47" t="b">
        <v>1</v>
      </c>
      <c r="Q918" s="36">
        <f t="shared" si="24"/>
        <v>45674.65646</v>
      </c>
      <c r="R918" s="47" t="b">
        <v>0</v>
      </c>
      <c r="S918" s="42" t="str">
        <f t="shared" si="25"/>
        <v/>
      </c>
      <c r="T918" s="42"/>
    </row>
    <row r="919" ht="22.5" customHeight="1">
      <c r="B919" s="42">
        <f t="shared" si="7"/>
        <v>913</v>
      </c>
      <c r="C919" s="31" t="s">
        <v>1045</v>
      </c>
      <c r="D919" s="34" t="str">
        <f t="array" ref="D919">IFNA(_xlfn.XLOOKUP(C919,Table_Tarikan_Warkah[Nomor Sertipikat],Table_Tarikan_Warkah[Nomor Tiket]),"")</f>
        <v>L/25/140125/1</v>
      </c>
      <c r="E919" s="36">
        <f t="array" ref="E919">IFNA(_xlfn.XLOOKUP(D919,Table_Tarikan_Warkah[Nomor Tiket],Table_Tarikan_Warkah[Tanggal diserahkan kepada Validator]),"")</f>
        <v>45672.46361</v>
      </c>
      <c r="F919" s="36" t="str">
        <f t="array" ref="F919">IFNA(_xlfn.XLOOKUP(D919,Table_Tarikan_Warkah[Nomor Tiket],Table_Tarikan_Warkah[Nama Petugas Warkah]),"")</f>
        <v>David</v>
      </c>
      <c r="G919" s="39" t="str">
        <f t="array" ref="G919">IFNA(_xlfn.XLOOKUP(D919,Table_Tarikan_Warkah[Nomor Tiket],Table_Tarikan_Warkah[Jenis Permohonan]),"")</f>
        <v>ROYA</v>
      </c>
      <c r="H919" s="41" t="s">
        <v>11</v>
      </c>
      <c r="I919" s="41" t="s">
        <v>12</v>
      </c>
      <c r="J919" s="36">
        <f t="shared" si="20"/>
        <v>45674.65639</v>
      </c>
      <c r="K919" s="41" t="s">
        <v>26</v>
      </c>
      <c r="L919" s="41" t="s">
        <v>12</v>
      </c>
      <c r="M919" s="36">
        <f t="shared" si="21"/>
        <v>45679.45504</v>
      </c>
      <c r="N919" s="30" t="str">
        <f t="shared" si="22"/>
        <v>SELESAI</v>
      </c>
      <c r="O919" s="45">
        <f t="shared" si="23"/>
        <v>45679.45504</v>
      </c>
      <c r="P919" s="47" t="b">
        <v>0</v>
      </c>
      <c r="Q919" s="36" t="str">
        <f t="shared" si="24"/>
        <v/>
      </c>
      <c r="R919" s="47" t="b">
        <v>1</v>
      </c>
      <c r="S919" s="36">
        <f t="shared" si="25"/>
        <v>45679.4535</v>
      </c>
      <c r="T919" s="42"/>
    </row>
    <row r="920" ht="22.5" customHeight="1">
      <c r="B920" s="42">
        <f t="shared" si="7"/>
        <v>914</v>
      </c>
      <c r="C920" s="31" t="s">
        <v>1046</v>
      </c>
      <c r="D920" s="34" t="str">
        <f t="array" ref="D920">IFNA(_xlfn.XLOOKUP(C920,Table_Tarikan_Warkah[Nomor Sertipikat],Table_Tarikan_Warkah[Nomor Tiket]),"")</f>
        <v>K/16/130125/1</v>
      </c>
      <c r="E920" s="36">
        <f t="array" ref="E920">IFNA(_xlfn.XLOOKUP(D920,Table_Tarikan_Warkah[Nomor Tiket],Table_Tarikan_Warkah[Tanggal diserahkan kepada Validator]),"")</f>
        <v>45672.45893</v>
      </c>
      <c r="F920" s="36" t="str">
        <f t="array" ref="F920">IFNA(_xlfn.XLOOKUP(D920,Table_Tarikan_Warkah[Nomor Tiket],Table_Tarikan_Warkah[Nama Petugas Warkah]),"")</f>
        <v>Berry</v>
      </c>
      <c r="G920" s="39" t="str">
        <f t="array" ref="G920">IFNA(_xlfn.XLOOKUP(D920,Table_Tarikan_Warkah[Nomor Tiket],Table_Tarikan_Warkah[Jenis Permohonan]),"")</f>
        <v>BN WARIS</v>
      </c>
      <c r="H920" s="41" t="s">
        <v>11</v>
      </c>
      <c r="I920" s="41" t="s">
        <v>12</v>
      </c>
      <c r="J920" s="36">
        <f t="shared" si="20"/>
        <v>45674.65639</v>
      </c>
      <c r="K920" s="41" t="s">
        <v>26</v>
      </c>
      <c r="L920" s="41" t="s">
        <v>12</v>
      </c>
      <c r="M920" s="36">
        <f t="shared" si="21"/>
        <v>45679.45505</v>
      </c>
      <c r="N920" s="30" t="str">
        <f t="shared" si="22"/>
        <v>SELESAI</v>
      </c>
      <c r="O920" s="45">
        <f t="shared" si="23"/>
        <v>45679.45505</v>
      </c>
      <c r="P920" s="47" t="b">
        <v>0</v>
      </c>
      <c r="Q920" s="36" t="str">
        <f t="shared" si="24"/>
        <v/>
      </c>
      <c r="R920" s="47" t="b">
        <v>1</v>
      </c>
      <c r="S920" s="36">
        <f t="shared" si="25"/>
        <v>45679.45507</v>
      </c>
      <c r="T920" s="42"/>
    </row>
    <row r="921" ht="22.5" customHeight="1">
      <c r="B921" s="42">
        <f t="shared" si="7"/>
        <v>915</v>
      </c>
      <c r="C921" s="31" t="s">
        <v>1047</v>
      </c>
      <c r="D921" s="34" t="str">
        <f t="array" ref="D921">IFNA(_xlfn.XLOOKUP(C921,Table_Tarikan_Warkah[Nomor Sertipikat],Table_Tarikan_Warkah[Nomor Tiket]),"")</f>
        <v>L/26/140125/1</v>
      </c>
      <c r="E921" s="36">
        <f t="array" ref="E921">IFNA(_xlfn.XLOOKUP(D921,Table_Tarikan_Warkah[Nomor Tiket],Table_Tarikan_Warkah[Tanggal diserahkan kepada Validator]),"")</f>
        <v>45672.46363</v>
      </c>
      <c r="F921" s="36" t="str">
        <f t="array" ref="F921">IFNA(_xlfn.XLOOKUP(D921,Table_Tarikan_Warkah[Nomor Tiket],Table_Tarikan_Warkah[Nama Petugas Warkah]),"")</f>
        <v>David</v>
      </c>
      <c r="G921" s="39" t="str">
        <f t="array" ref="G921">IFNA(_xlfn.XLOOKUP(D921,Table_Tarikan_Warkah[Nomor Tiket],Table_Tarikan_Warkah[Jenis Permohonan]),"")</f>
        <v>ROYA</v>
      </c>
      <c r="H921" s="41" t="s">
        <v>11</v>
      </c>
      <c r="I921" s="41" t="s">
        <v>12</v>
      </c>
      <c r="J921" s="36">
        <f t="shared" si="20"/>
        <v>45674.65639</v>
      </c>
      <c r="K921" s="41" t="s">
        <v>26</v>
      </c>
      <c r="L921" s="41" t="s">
        <v>12</v>
      </c>
      <c r="M921" s="36">
        <f t="shared" si="21"/>
        <v>45679.45413</v>
      </c>
      <c r="N921" s="30" t="str">
        <f t="shared" si="22"/>
        <v>SELESAI</v>
      </c>
      <c r="O921" s="45">
        <f t="shared" si="23"/>
        <v>45679.45413</v>
      </c>
      <c r="P921" s="47" t="b">
        <v>0</v>
      </c>
      <c r="Q921" s="36" t="str">
        <f t="shared" si="24"/>
        <v/>
      </c>
      <c r="R921" s="47" t="b">
        <v>1</v>
      </c>
      <c r="S921" s="36">
        <f t="shared" si="25"/>
        <v>45679.45474</v>
      </c>
      <c r="T921" s="42"/>
    </row>
    <row r="922" ht="22.5" customHeight="1">
      <c r="B922" s="42">
        <f t="shared" si="7"/>
        <v>916</v>
      </c>
      <c r="C922" s="31" t="s">
        <v>1048</v>
      </c>
      <c r="D922" s="34" t="str">
        <f t="array" ref="D922">IFNA(_xlfn.XLOOKUP(C922,Table_Tarikan_Warkah[Nomor Sertipikat],Table_Tarikan_Warkah[Nomor Tiket]),"")</f>
        <v>L/17/140125/1</v>
      </c>
      <c r="E922" s="36">
        <f t="array" ref="E922">IFNA(_xlfn.XLOOKUP(D922,Table_Tarikan_Warkah[Nomor Tiket],Table_Tarikan_Warkah[Tanggal diserahkan kepada Validator]),"")</f>
        <v>45672.4632</v>
      </c>
      <c r="F922" s="36" t="str">
        <f t="array" ref="F922">IFNA(_xlfn.XLOOKUP(D922,Table_Tarikan_Warkah[Nomor Tiket],Table_Tarikan_Warkah[Nama Petugas Warkah]),"")</f>
        <v>David</v>
      </c>
      <c r="G922" s="39" t="str">
        <f t="array" ref="G922">IFNA(_xlfn.XLOOKUP(D922,Table_Tarikan_Warkah[Nomor Tiket],Table_Tarikan_Warkah[Jenis Permohonan]),"")</f>
        <v>PH</v>
      </c>
      <c r="H922" s="41" t="s">
        <v>11</v>
      </c>
      <c r="I922" s="41" t="s">
        <v>12</v>
      </c>
      <c r="J922" s="36">
        <f t="shared" si="20"/>
        <v>45674.65639</v>
      </c>
      <c r="K922" s="41" t="s">
        <v>26</v>
      </c>
      <c r="L922" s="41" t="s">
        <v>12</v>
      </c>
      <c r="M922" s="36">
        <f t="shared" si="21"/>
        <v>45679.45415</v>
      </c>
      <c r="N922" s="30" t="str">
        <f t="shared" si="22"/>
        <v>SELESAI</v>
      </c>
      <c r="O922" s="45">
        <f t="shared" si="23"/>
        <v>45679.45415</v>
      </c>
      <c r="P922" s="47" t="b">
        <v>0</v>
      </c>
      <c r="Q922" s="36" t="str">
        <f t="shared" si="24"/>
        <v/>
      </c>
      <c r="R922" s="47" t="b">
        <v>1</v>
      </c>
      <c r="S922" s="36">
        <f t="shared" si="25"/>
        <v>45679.45473</v>
      </c>
      <c r="T922" s="42"/>
    </row>
    <row r="923" ht="22.5" customHeight="1">
      <c r="B923" s="42">
        <f t="shared" si="7"/>
        <v>917</v>
      </c>
      <c r="C923" s="31" t="s">
        <v>1049</v>
      </c>
      <c r="D923" s="34" t="str">
        <f t="array" ref="D923">IFNA(_xlfn.XLOOKUP(C923,Table_Tarikan_Warkah[Nomor Sertipikat],Table_Tarikan_Warkah[Nomor Tiket]),"")</f>
        <v>K/13/140125/1</v>
      </c>
      <c r="E923" s="36">
        <f t="array" ref="E923">IFNA(_xlfn.XLOOKUP(D923,Table_Tarikan_Warkah[Nomor Tiket],Table_Tarikan_Warkah[Tanggal diserahkan kepada Validator]),"")</f>
        <v>45672.46267</v>
      </c>
      <c r="F923" s="36" t="str">
        <f t="array" ref="F923">IFNA(_xlfn.XLOOKUP(D923,Table_Tarikan_Warkah[Nomor Tiket],Table_Tarikan_Warkah[Nama Petugas Warkah]),"")</f>
        <v>David</v>
      </c>
      <c r="G923" s="39" t="str">
        <f t="array" ref="G923">IFNA(_xlfn.XLOOKUP(D923,Table_Tarikan_Warkah[Nomor Tiket],Table_Tarikan_Warkah[Jenis Permohonan]),"")</f>
        <v>ROYA </v>
      </c>
      <c r="H923" s="41" t="s">
        <v>11</v>
      </c>
      <c r="I923" s="41" t="s">
        <v>12</v>
      </c>
      <c r="J923" s="36">
        <f t="shared" si="20"/>
        <v>45674.65639</v>
      </c>
      <c r="K923" s="41" t="s">
        <v>26</v>
      </c>
      <c r="L923" s="41" t="s">
        <v>12</v>
      </c>
      <c r="M923" s="36">
        <f t="shared" si="21"/>
        <v>45679.45396</v>
      </c>
      <c r="N923" s="30" t="str">
        <f t="shared" si="22"/>
        <v>SELESAI</v>
      </c>
      <c r="O923" s="45">
        <f t="shared" si="23"/>
        <v>45679.45396</v>
      </c>
      <c r="P923" s="47" t="b">
        <v>0</v>
      </c>
      <c r="Q923" s="36" t="str">
        <f t="shared" si="24"/>
        <v/>
      </c>
      <c r="R923" s="47" t="b">
        <v>1</v>
      </c>
      <c r="S923" s="36">
        <f t="shared" si="25"/>
        <v>45679.45388</v>
      </c>
      <c r="T923" s="42"/>
    </row>
    <row r="924" ht="22.5" customHeight="1">
      <c r="B924" s="42">
        <f t="shared" si="7"/>
        <v>918</v>
      </c>
      <c r="C924" s="31" t="s">
        <v>1050</v>
      </c>
      <c r="D924" s="34" t="str">
        <f t="array" ref="D924">IFNA(_xlfn.XLOOKUP(C924,Table_Tarikan_Warkah[Nomor Sertipikat],Table_Tarikan_Warkah[Nomor Tiket]),"")</f>
        <v>K/14/140125/1</v>
      </c>
      <c r="E924" s="36">
        <f t="array" ref="E924">IFNA(_xlfn.XLOOKUP(D924,Table_Tarikan_Warkah[Nomor Tiket],Table_Tarikan_Warkah[Tanggal diserahkan kepada Validator]),"")</f>
        <v>45672.46279</v>
      </c>
      <c r="F924" s="36" t="str">
        <f t="array" ref="F924">IFNA(_xlfn.XLOOKUP(D924,Table_Tarikan_Warkah[Nomor Tiket],Table_Tarikan_Warkah[Nama Petugas Warkah]),"")</f>
        <v>David</v>
      </c>
      <c r="G924" s="39" t="str">
        <f t="array" ref="G924">IFNA(_xlfn.XLOOKUP(D924,Table_Tarikan_Warkah[Nomor Tiket],Table_Tarikan_Warkah[Jenis Permohonan]),"")</f>
        <v>Ganti Nama HT</v>
      </c>
      <c r="H924" s="41" t="s">
        <v>11</v>
      </c>
      <c r="I924" s="41" t="s">
        <v>12</v>
      </c>
      <c r="J924" s="36">
        <f t="shared" si="20"/>
        <v>45674.65639</v>
      </c>
      <c r="K924" s="41" t="s">
        <v>26</v>
      </c>
      <c r="L924" s="41" t="s">
        <v>12</v>
      </c>
      <c r="M924" s="36">
        <f t="shared" si="21"/>
        <v>45679.46244</v>
      </c>
      <c r="N924" s="30" t="str">
        <f t="shared" si="22"/>
        <v>SELESAI</v>
      </c>
      <c r="O924" s="45">
        <f t="shared" si="23"/>
        <v>45679.46244</v>
      </c>
      <c r="P924" s="47" t="b">
        <v>0</v>
      </c>
      <c r="Q924" s="36" t="str">
        <f t="shared" si="24"/>
        <v/>
      </c>
      <c r="R924" s="47" t="b">
        <v>1</v>
      </c>
      <c r="S924" s="36">
        <f t="shared" si="25"/>
        <v>45679.46247</v>
      </c>
      <c r="T924" s="42"/>
    </row>
    <row r="925" ht="22.5" customHeight="1">
      <c r="B925" s="42">
        <f t="shared" si="7"/>
        <v>919</v>
      </c>
      <c r="C925" s="31" t="s">
        <v>1051</v>
      </c>
      <c r="D925" s="34" t="str">
        <f t="array" ref="D925">IFNA(_xlfn.XLOOKUP(C925,Table_Tarikan_Warkah[Nomor Sertipikat],Table_Tarikan_Warkah[Nomor Tiket]),"")</f>
        <v>K/39/161224/3</v>
      </c>
      <c r="E925" s="36" t="str">
        <f t="array" ref="E925">IFNA(_xlfn.XLOOKUP(D925,Table_Tarikan_Warkah[Nomor Tiket],Table_Tarikan_Warkah[Tanggal diserahkan kepada Validator]),"")</f>
        <v>18/12/2024 16.35</v>
      </c>
      <c r="F925" s="36" t="str">
        <f t="array" ref="F925">IFNA(_xlfn.XLOOKUP(D925,Table_Tarikan_Warkah[Nomor Tiket],Table_Tarikan_Warkah[Nama Petugas Warkah]),"")</f>
        <v>Berry</v>
      </c>
      <c r="G925" s="39" t="str">
        <f t="array" ref="G925">IFNA(_xlfn.XLOOKUP(D925,Table_Tarikan_Warkah[Nomor Tiket],Table_Tarikan_Warkah[Jenis Permohonan]),"")</f>
        <v>BN JUAL BELI</v>
      </c>
      <c r="H925" s="41" t="s">
        <v>11</v>
      </c>
      <c r="I925" s="41" t="s">
        <v>23</v>
      </c>
      <c r="J925" s="36">
        <f t="shared" si="20"/>
        <v>45674.65639</v>
      </c>
      <c r="K925" s="49" t="s">
        <v>197</v>
      </c>
      <c r="L925" s="66" t="s">
        <v>23</v>
      </c>
      <c r="M925" s="36">
        <f>IF(OR(L926="Selesai",L926="SELESAI (VIA PERMOHONAN)"),IF(M925&lt;&gt;"",M925,NOW()),"")</f>
        <v>45674.65639</v>
      </c>
      <c r="N925" s="30" t="str">
        <f>if(D925="","", IF(AND(I925="Selesai",L926="Selesai"),"SELESAI",if(and(I925="Selesai (Via Permohonan)",L926="Selesai (Via Permohonan)"),"Selesai",if(and(I925="Selesai (Via Permohonan)",L926="Selesai"),"Selesai",if(and(I925="Selesai",L926="Selesai (Via Permohonan)"),"Selesai","BT atau SU Belum Valid")))))</f>
        <v>Selesai</v>
      </c>
      <c r="O925" s="45">
        <f t="shared" si="23"/>
        <v>45674.65639</v>
      </c>
      <c r="P925" s="47" t="b">
        <v>1</v>
      </c>
      <c r="Q925" s="36">
        <f t="shared" si="24"/>
        <v>45674.65639</v>
      </c>
      <c r="R925" s="47" t="b">
        <v>0</v>
      </c>
      <c r="S925" s="42" t="str">
        <f t="shared" si="25"/>
        <v/>
      </c>
      <c r="T925" s="42"/>
    </row>
    <row r="926" ht="22.5" customHeight="1">
      <c r="B926" s="42">
        <f t="shared" si="7"/>
        <v>920</v>
      </c>
      <c r="C926" s="31" t="s">
        <v>1052</v>
      </c>
      <c r="D926" s="34" t="str">
        <f t="array" ref="D926">IFNA(_xlfn.XLOOKUP(C926,Table_Tarikan_Warkah[Nomor Sertipikat],Table_Tarikan_Warkah[Nomor Tiket]),"")</f>
        <v>K/23/130125/2</v>
      </c>
      <c r="E926" s="36" t="str">
        <f t="array" ref="E926">IFNA(_xlfn.XLOOKUP(D926,Table_Tarikan_Warkah[Nomor Tiket],Table_Tarikan_Warkah[Tanggal diserahkan kepada Validator]),"")</f>
        <v/>
      </c>
      <c r="F926" s="36" t="str">
        <f t="array" ref="F926">IFNA(_xlfn.XLOOKUP(D926,Table_Tarikan_Warkah[Nomor Tiket],Table_Tarikan_Warkah[Nama Petugas Warkah]),"")</f>
        <v>Berry</v>
      </c>
      <c r="G926" s="39" t="str">
        <f t="array" ref="G926">IFNA(_xlfn.XLOOKUP(D926,Table_Tarikan_Warkah[Nomor Tiket],Table_Tarikan_Warkah[Jenis Permohonan]),"")</f>
        <v>BN HIBAH</v>
      </c>
      <c r="H926" s="41" t="s">
        <v>11</v>
      </c>
      <c r="I926" s="41" t="s">
        <v>23</v>
      </c>
      <c r="J926" s="36">
        <f t="shared" si="20"/>
        <v>45674.65639</v>
      </c>
      <c r="K926" s="49" t="s">
        <v>197</v>
      </c>
      <c r="L926" s="49" t="s">
        <v>23</v>
      </c>
      <c r="M926" s="36" t="str">
        <f>IF(OR(#REF!="Selesai",#REF!="SELESAI (VIA PERMOHONAN)"),IF(M926&lt;&gt;"",M926,NOW()),"")</f>
        <v>#REF!</v>
      </c>
      <c r="N926" s="30" t="str">
        <f>if(D926="","", IF(AND(I926="Selesai",#REF!="Selesai"),"SELESAI",if(and(I926="Selesai (Via Permohonan)",#REF!="Selesai (Via Permohonan)"),"Selesai",if(and(I926="Selesai (Via Permohonan)",#REF!="Selesai"),"Selesai",if(and(I926="Selesai",#REF!="Selesai (Via Permohonan)"),"Selesai","BT atau SU Belum Valid")))))</f>
        <v>#REF!</v>
      </c>
      <c r="O926" s="39" t="str">
        <f t="shared" si="23"/>
        <v>#REF!</v>
      </c>
      <c r="P926" s="47" t="b">
        <v>1</v>
      </c>
      <c r="Q926" s="36">
        <f t="shared" si="24"/>
        <v>45674.65639</v>
      </c>
      <c r="R926" s="47" t="b">
        <v>0</v>
      </c>
      <c r="S926" s="42" t="str">
        <f t="shared" si="25"/>
        <v/>
      </c>
      <c r="T926" s="42"/>
    </row>
    <row r="927" ht="22.5" customHeight="1">
      <c r="B927" s="42">
        <f t="shared" si="7"/>
        <v>921</v>
      </c>
      <c r="C927" s="31" t="s">
        <v>1053</v>
      </c>
      <c r="D927" s="34" t="str">
        <f t="array" ref="D927">IFNA(_xlfn.XLOOKUP(C927,Table_Tarikan_Warkah[Nomor Sertipikat],Table_Tarikan_Warkah[Nomor Tiket]),"")</f>
        <v>L/12/170125/1</v>
      </c>
      <c r="E927" s="36">
        <f t="array" ref="E927">IFNA(_xlfn.XLOOKUP(D927,Table_Tarikan_Warkah[Nomor Tiket],Table_Tarikan_Warkah[Tanggal diserahkan kepada Validator]),"")</f>
        <v>45678.44764</v>
      </c>
      <c r="F927" s="36" t="str">
        <f t="array" ref="F927">IFNA(_xlfn.XLOOKUP(D927,Table_Tarikan_Warkah[Nomor Tiket],Table_Tarikan_Warkah[Nama Petugas Warkah]),"")</f>
        <v>David</v>
      </c>
      <c r="G927" s="39" t="str">
        <f t="array" ref="G927">IFNA(_xlfn.XLOOKUP(D927,Table_Tarikan_Warkah[Nomor Tiket],Table_Tarikan_Warkah[Jenis Permohonan]),"")</f>
        <v>ROYA</v>
      </c>
      <c r="H927" s="41" t="s">
        <v>20</v>
      </c>
      <c r="I927" s="41" t="s">
        <v>23</v>
      </c>
      <c r="J927" s="36">
        <f t="shared" si="20"/>
        <v>45674.66742</v>
      </c>
      <c r="K927" s="49" t="s">
        <v>197</v>
      </c>
      <c r="L927" s="49" t="s">
        <v>23</v>
      </c>
      <c r="M927" s="36">
        <f t="shared" ref="M927:M2555" si="26">IF(OR(L927="Selesai",L927="SELESAI (VIA PERMOHONAN)"),IF(M927&lt;&gt;"",M927,NOW()),"")</f>
        <v>45680.64388</v>
      </c>
      <c r="N927" s="30" t="str">
        <f t="shared" ref="N927:N2555" si="27">if(D927="","", IF(AND(I927="Selesai",L927="Selesai"),"SELESAI",if(and(I927="Selesai (Via Permohonan)",L927="Selesai (Via Permohonan)"),"Selesai",if(and(I927="Selesai (Via Permohonan)",L927="Selesai"),"Selesai",if(and(I927="Selesai",L927="Selesai (Via Permohonan)"),"Selesai","BT atau SU Belum Valid")))))</f>
        <v>Selesai</v>
      </c>
      <c r="O927" s="45">
        <f t="shared" si="23"/>
        <v>45680.64388</v>
      </c>
      <c r="P927" s="47" t="b">
        <v>1</v>
      </c>
      <c r="Q927" s="36">
        <f t="shared" si="24"/>
        <v>45680.6439</v>
      </c>
      <c r="R927" s="47" t="b">
        <v>1</v>
      </c>
      <c r="S927" s="36">
        <f t="shared" si="25"/>
        <v>45688.57395</v>
      </c>
      <c r="T927" s="42"/>
    </row>
    <row r="928" ht="22.5" customHeight="1">
      <c r="B928" s="42">
        <f t="shared" si="7"/>
        <v>922</v>
      </c>
      <c r="C928" s="31" t="s">
        <v>1054</v>
      </c>
      <c r="D928" s="34" t="str">
        <f t="array" ref="D928">IFNA(_xlfn.XLOOKUP(C928,Table_Tarikan_Warkah[Nomor Sertipikat],Table_Tarikan_Warkah[Nomor Tiket]),"")</f>
        <v>K/17/160125/1</v>
      </c>
      <c r="E928" s="36">
        <f t="array" ref="E928">IFNA(_xlfn.XLOOKUP(D928,Table_Tarikan_Warkah[Nomor Tiket],Table_Tarikan_Warkah[Tanggal diserahkan kepada Validator]),"")</f>
        <v>45763.44556</v>
      </c>
      <c r="F928" s="36" t="str">
        <f t="array" ref="F928">IFNA(_xlfn.XLOOKUP(D928,Table_Tarikan_Warkah[Nomor Tiket],Table_Tarikan_Warkah[Nama Petugas Warkah]),"")</f>
        <v>Berry</v>
      </c>
      <c r="G928" s="39" t="str">
        <f t="array" ref="G928">IFNA(_xlfn.XLOOKUP(D928,Table_Tarikan_Warkah[Nomor Tiket],Table_Tarikan_Warkah[Jenis Permohonan]),"")</f>
        <v>ROYA</v>
      </c>
      <c r="H928" s="41" t="s">
        <v>20</v>
      </c>
      <c r="I928" s="41" t="s">
        <v>23</v>
      </c>
      <c r="J928" s="36">
        <f t="shared" si="20"/>
        <v>45674.75024</v>
      </c>
      <c r="K928" s="41" t="s">
        <v>197</v>
      </c>
      <c r="L928" s="41" t="s">
        <v>23</v>
      </c>
      <c r="M928" s="36">
        <f t="shared" si="26"/>
        <v>45674.7503</v>
      </c>
      <c r="N928" s="30" t="str">
        <f t="shared" si="27"/>
        <v>Selesai</v>
      </c>
      <c r="O928" s="45">
        <f t="shared" si="23"/>
        <v>45674.7503</v>
      </c>
      <c r="P928" s="47" t="b">
        <v>1</v>
      </c>
      <c r="Q928" s="36">
        <f t="shared" si="24"/>
        <v>45674.75031</v>
      </c>
      <c r="R928" s="47" t="b">
        <v>0</v>
      </c>
      <c r="S928" s="42" t="str">
        <f t="shared" si="25"/>
        <v/>
      </c>
      <c r="T928" s="42"/>
    </row>
    <row r="929" ht="22.5" customHeight="1">
      <c r="B929" s="42">
        <f t="shared" si="7"/>
        <v>923</v>
      </c>
      <c r="C929" s="31" t="s">
        <v>1055</v>
      </c>
      <c r="D929" s="34" t="str">
        <f t="array" ref="D929">IFNA(_xlfn.XLOOKUP(C929,Table_Tarikan_Warkah[Nomor Sertipikat],Table_Tarikan_Warkah[Nomor Tiket]),"")</f>
        <v>K/13/150125/1</v>
      </c>
      <c r="E929" s="36" t="str">
        <f t="array" ref="E929">IFNA(_xlfn.XLOOKUP(D929,Table_Tarikan_Warkah[Nomor Tiket],Table_Tarikan_Warkah[Tanggal diserahkan kepada Validator]),"")</f>
        <v/>
      </c>
      <c r="F929" s="36" t="str">
        <f t="array" ref="F929">IFNA(_xlfn.XLOOKUP(D929,Table_Tarikan_Warkah[Nomor Tiket],Table_Tarikan_Warkah[Nama Petugas Warkah]),"")</f>
        <v>David</v>
      </c>
      <c r="G929" s="39" t="str">
        <f t="array" ref="G929">IFNA(_xlfn.XLOOKUP(D929,Table_Tarikan_Warkah[Nomor Tiket],Table_Tarikan_Warkah[Jenis Permohonan]),"")</f>
        <v>BN Jual Beli</v>
      </c>
      <c r="H929" s="41" t="s">
        <v>11</v>
      </c>
      <c r="I929" s="41" t="s">
        <v>23</v>
      </c>
      <c r="J929" s="36">
        <f t="shared" si="20"/>
        <v>45677.66417</v>
      </c>
      <c r="K929" s="49" t="s">
        <v>197</v>
      </c>
      <c r="L929" s="49" t="s">
        <v>23</v>
      </c>
      <c r="M929" s="36">
        <f t="shared" si="26"/>
        <v>45680.64405</v>
      </c>
      <c r="N929" s="30" t="str">
        <f t="shared" si="27"/>
        <v>Selesai</v>
      </c>
      <c r="O929" s="45">
        <f t="shared" si="23"/>
        <v>45680.64405</v>
      </c>
      <c r="P929" s="47" t="b">
        <v>1</v>
      </c>
      <c r="Q929" s="36">
        <f t="shared" si="24"/>
        <v>45680.64498</v>
      </c>
      <c r="R929" s="47" t="b">
        <v>0</v>
      </c>
      <c r="S929" s="42" t="str">
        <f t="shared" si="25"/>
        <v/>
      </c>
      <c r="T929" s="42"/>
    </row>
    <row r="930" ht="22.5" customHeight="1">
      <c r="B930" s="42">
        <f t="shared" si="7"/>
        <v>924</v>
      </c>
      <c r="C930" s="31" t="s">
        <v>1056</v>
      </c>
      <c r="D930" s="34" t="str">
        <f t="array" ref="D930">IFNA(_xlfn.XLOOKUP(C930,Table_Tarikan_Warkah[Nomor Sertipikat],Table_Tarikan_Warkah[Nomor Tiket]),"")</f>
        <v>K/12/140125/1</v>
      </c>
      <c r="E930" s="36" t="str">
        <f t="array" ref="E930">IFNA(_xlfn.XLOOKUP(D930,Table_Tarikan_Warkah[Nomor Tiket],Table_Tarikan_Warkah[Tanggal diserahkan kepada Validator]),"")</f>
        <v/>
      </c>
      <c r="F930" s="36" t="str">
        <f t="array" ref="F930">IFNA(_xlfn.XLOOKUP(D930,Table_Tarikan_Warkah[Nomor Tiket],Table_Tarikan_Warkah[Nama Petugas Warkah]),"")</f>
        <v>David</v>
      </c>
      <c r="G930" s="39" t="str">
        <f t="array" ref="G930">IFNA(_xlfn.XLOOKUP(D930,Table_Tarikan_Warkah[Nomor Tiket],Table_Tarikan_Warkah[Jenis Permohonan]),"")</f>
        <v>BN Waris</v>
      </c>
      <c r="H930" s="41" t="s">
        <v>11</v>
      </c>
      <c r="I930" s="41" t="s">
        <v>23</v>
      </c>
      <c r="J930" s="36">
        <f t="shared" si="20"/>
        <v>45677.66419</v>
      </c>
      <c r="K930" s="49" t="s">
        <v>197</v>
      </c>
      <c r="L930" s="49" t="s">
        <v>23</v>
      </c>
      <c r="M930" s="36">
        <f t="shared" si="26"/>
        <v>45680.64405</v>
      </c>
      <c r="N930" s="30" t="str">
        <f t="shared" si="27"/>
        <v>Selesai</v>
      </c>
      <c r="O930" s="45">
        <f t="shared" si="23"/>
        <v>45680.64405</v>
      </c>
      <c r="P930" s="47" t="b">
        <v>1</v>
      </c>
      <c r="Q930" s="36">
        <f t="shared" si="24"/>
        <v>45680.64499</v>
      </c>
      <c r="R930" s="47" t="b">
        <v>0</v>
      </c>
      <c r="S930" s="42" t="str">
        <f t="shared" si="25"/>
        <v/>
      </c>
      <c r="T930" s="42"/>
    </row>
    <row r="931" ht="22.5" customHeight="1">
      <c r="B931" s="42">
        <f t="shared" si="7"/>
        <v>925</v>
      </c>
      <c r="C931" s="31" t="s">
        <v>1057</v>
      </c>
      <c r="D931" s="34" t="str">
        <f t="array" ref="D931">IFNA(_xlfn.XLOOKUP(C931,Table_Tarikan_Warkah[Nomor Sertipikat],Table_Tarikan_Warkah[Nomor Tiket]),"")</f>
        <v>K/12/150125/1</v>
      </c>
      <c r="E931" s="36">
        <f t="array" ref="E931">IFNA(_xlfn.XLOOKUP(D931,Table_Tarikan_Warkah[Nomor Tiket],Table_Tarikan_Warkah[Tanggal diserahkan kepada Validator]),"")</f>
        <v>45677.62334</v>
      </c>
      <c r="F931" s="36" t="str">
        <f t="array" ref="F931">IFNA(_xlfn.XLOOKUP(D931,Table_Tarikan_Warkah[Nomor Tiket],Table_Tarikan_Warkah[Nama Petugas Warkah]),"")</f>
        <v>David</v>
      </c>
      <c r="G931" s="39" t="str">
        <f t="array" ref="G931">IFNA(_xlfn.XLOOKUP(D931,Table_Tarikan_Warkah[Nomor Tiket],Table_Tarikan_Warkah[Jenis Permohonan]),"")</f>
        <v>BN Waris</v>
      </c>
      <c r="H931" s="41" t="s">
        <v>11</v>
      </c>
      <c r="I931" s="41" t="s">
        <v>23</v>
      </c>
      <c r="J931" s="36">
        <f t="shared" si="20"/>
        <v>45677.66419</v>
      </c>
      <c r="K931" s="41" t="s">
        <v>197</v>
      </c>
      <c r="L931" s="41" t="s">
        <v>23</v>
      </c>
      <c r="M931" s="36">
        <f t="shared" si="26"/>
        <v>45680.64405</v>
      </c>
      <c r="N931" s="30" t="str">
        <f t="shared" si="27"/>
        <v>Selesai</v>
      </c>
      <c r="O931" s="45">
        <f t="shared" si="23"/>
        <v>45680.64405</v>
      </c>
      <c r="P931" s="47" t="b">
        <v>1</v>
      </c>
      <c r="Q931" s="36">
        <f t="shared" si="24"/>
        <v>45680.645</v>
      </c>
      <c r="R931" s="47" t="b">
        <v>1</v>
      </c>
      <c r="S931" s="36">
        <f t="shared" si="25"/>
        <v>45679.4701</v>
      </c>
      <c r="T931" s="42"/>
    </row>
    <row r="932" ht="22.5" customHeight="1">
      <c r="B932" s="42">
        <f t="shared" si="7"/>
        <v>926</v>
      </c>
      <c r="C932" s="31" t="s">
        <v>1058</v>
      </c>
      <c r="D932" s="34" t="str">
        <f t="array" ref="D932">IFNA(_xlfn.XLOOKUP(C932,Table_Tarikan_Warkah[Nomor Sertipikat],Table_Tarikan_Warkah[Nomor Tiket]),"")</f>
        <v>K/11/160125/3</v>
      </c>
      <c r="E932" s="36">
        <f t="array" ref="E932">IFNA(_xlfn.XLOOKUP(D932,Table_Tarikan_Warkah[Nomor Tiket],Table_Tarikan_Warkah[Tanggal diserahkan kepada Validator]),"")</f>
        <v>45677.62695</v>
      </c>
      <c r="F932" s="36" t="str">
        <f t="array" ref="F932">IFNA(_xlfn.XLOOKUP(D932,Table_Tarikan_Warkah[Nomor Tiket],Table_Tarikan_Warkah[Nama Petugas Warkah]),"")</f>
        <v>Berry</v>
      </c>
      <c r="G932" s="39" t="str">
        <f t="array" ref="G932">IFNA(_xlfn.XLOOKUP(D932,Table_Tarikan_Warkah[Nomor Tiket],Table_Tarikan_Warkah[Jenis Permohonan]),"")</f>
        <v>APHB</v>
      </c>
      <c r="H932" s="41" t="s">
        <v>11</v>
      </c>
      <c r="I932" s="41" t="s">
        <v>23</v>
      </c>
      <c r="J932" s="36">
        <f t="shared" si="20"/>
        <v>45677.66419</v>
      </c>
      <c r="K932" s="49" t="s">
        <v>197</v>
      </c>
      <c r="L932" s="49" t="s">
        <v>23</v>
      </c>
      <c r="M932" s="36">
        <f t="shared" si="26"/>
        <v>45680.64408</v>
      </c>
      <c r="N932" s="30" t="str">
        <f t="shared" si="27"/>
        <v>Selesai</v>
      </c>
      <c r="O932" s="45">
        <f t="shared" si="23"/>
        <v>45680.64408</v>
      </c>
      <c r="P932" s="47" t="b">
        <v>1</v>
      </c>
      <c r="Q932" s="36">
        <f t="shared" si="24"/>
        <v>45680.64501</v>
      </c>
      <c r="R932" s="47" t="b">
        <v>0</v>
      </c>
      <c r="S932" s="42" t="str">
        <f t="shared" si="25"/>
        <v/>
      </c>
      <c r="T932" s="42"/>
    </row>
    <row r="933" ht="22.5" customHeight="1">
      <c r="B933" s="42">
        <f t="shared" si="7"/>
        <v>927</v>
      </c>
      <c r="C933" s="31" t="s">
        <v>1059</v>
      </c>
      <c r="D933" s="34" t="str">
        <f t="array" ref="D933">IFNA(_xlfn.XLOOKUP(C933,Table_Tarikan_Warkah[Nomor Sertipikat],Table_Tarikan_Warkah[Nomor Tiket]),"")</f>
        <v>K/2/140125/1</v>
      </c>
      <c r="E933" s="36">
        <f t="array" ref="E933">IFNA(_xlfn.XLOOKUP(D933,Table_Tarikan_Warkah[Nomor Tiket],Table_Tarikan_Warkah[Tanggal diserahkan kepada Validator]),"")</f>
        <v>45680.37494</v>
      </c>
      <c r="F933" s="36" t="str">
        <f t="array" ref="F933">IFNA(_xlfn.XLOOKUP(D933,Table_Tarikan_Warkah[Nomor Tiket],Table_Tarikan_Warkah[Nama Petugas Warkah]),"")</f>
        <v>David</v>
      </c>
      <c r="G933" s="39" t="str">
        <f t="array" ref="G933">IFNA(_xlfn.XLOOKUP(D933,Table_Tarikan_Warkah[Nomor Tiket],Table_Tarikan_Warkah[Jenis Permohonan]),"")</f>
        <v>KEWARISAN</v>
      </c>
      <c r="H933" s="41" t="s">
        <v>11</v>
      </c>
      <c r="I933" s="41" t="s">
        <v>23</v>
      </c>
      <c r="J933" s="36">
        <f t="shared" si="20"/>
        <v>45677.66419</v>
      </c>
      <c r="K933" s="49" t="s">
        <v>197</v>
      </c>
      <c r="L933" s="49" t="s">
        <v>23</v>
      </c>
      <c r="M933" s="36">
        <f t="shared" si="26"/>
        <v>45680.64408</v>
      </c>
      <c r="N933" s="30" t="str">
        <f t="shared" si="27"/>
        <v>Selesai</v>
      </c>
      <c r="O933" s="45">
        <f t="shared" si="23"/>
        <v>45680.64408</v>
      </c>
      <c r="P933" s="47" t="b">
        <v>1</v>
      </c>
      <c r="Q933" s="36">
        <f t="shared" si="24"/>
        <v>45680.64502</v>
      </c>
      <c r="R933" s="47" t="b">
        <v>0</v>
      </c>
      <c r="S933" s="42" t="str">
        <f t="shared" si="25"/>
        <v/>
      </c>
      <c r="T933" s="42"/>
    </row>
    <row r="934" ht="22.5" customHeight="1">
      <c r="B934" s="42">
        <f t="shared" si="7"/>
        <v>928</v>
      </c>
      <c r="C934" s="31" t="s">
        <v>1060</v>
      </c>
      <c r="D934" s="34" t="str">
        <f t="array" ref="D934">IFNA(_xlfn.XLOOKUP(C934,Table_Tarikan_Warkah[Nomor Sertipikat],Table_Tarikan_Warkah[Nomor Tiket]),"")</f>
        <v>K/39/130125/1</v>
      </c>
      <c r="E934" s="36">
        <f t="array" ref="E934">IFNA(_xlfn.XLOOKUP(D934,Table_Tarikan_Warkah[Nomor Tiket],Table_Tarikan_Warkah[Tanggal diserahkan kepada Validator]),"")</f>
        <v>45694.60158</v>
      </c>
      <c r="F934" s="36" t="str">
        <f t="array" ref="F934">IFNA(_xlfn.XLOOKUP(D934,Table_Tarikan_Warkah[Nomor Tiket],Table_Tarikan_Warkah[Nama Petugas Warkah]),"")</f>
        <v>David</v>
      </c>
      <c r="G934" s="39" t="str">
        <f t="array" ref="G934">IFNA(_xlfn.XLOOKUP(D934,Table_Tarikan_Warkah[Nomor Tiket],Table_Tarikan_Warkah[Jenis Permohonan]),"")</f>
        <v>BN JUAL BELI</v>
      </c>
      <c r="H934" s="41" t="s">
        <v>11</v>
      </c>
      <c r="I934" s="41" t="s">
        <v>23</v>
      </c>
      <c r="J934" s="36">
        <f t="shared" si="20"/>
        <v>45677.66419</v>
      </c>
      <c r="K934" s="41" t="s">
        <v>197</v>
      </c>
      <c r="L934" s="41" t="s">
        <v>23</v>
      </c>
      <c r="M934" s="36">
        <f t="shared" si="26"/>
        <v>45680.64408</v>
      </c>
      <c r="N934" s="30" t="str">
        <f t="shared" si="27"/>
        <v>Selesai</v>
      </c>
      <c r="O934" s="45">
        <f t="shared" si="23"/>
        <v>45680.64408</v>
      </c>
      <c r="P934" s="47" t="b">
        <v>1</v>
      </c>
      <c r="Q934" s="36">
        <f t="shared" si="24"/>
        <v>45680.64503</v>
      </c>
      <c r="R934" s="47" t="b">
        <v>0</v>
      </c>
      <c r="S934" s="42" t="str">
        <f t="shared" si="25"/>
        <v/>
      </c>
      <c r="T934" s="42"/>
    </row>
    <row r="935" ht="22.5" customHeight="1">
      <c r="B935" s="42">
        <f t="shared" si="7"/>
        <v>929</v>
      </c>
      <c r="C935" s="31" t="s">
        <v>1061</v>
      </c>
      <c r="D935" s="34" t="str">
        <f t="array" ref="D935">IFNA(_xlfn.XLOOKUP(C935,Table_Tarikan_Warkah[Nomor Sertipikat],Table_Tarikan_Warkah[Nomor Tiket]),"")</f>
        <v>K/14/160125/1</v>
      </c>
      <c r="E935" s="36">
        <f t="array" ref="E935">IFNA(_xlfn.XLOOKUP(D935,Table_Tarikan_Warkah[Nomor Tiket],Table_Tarikan_Warkah[Tanggal diserahkan kepada Validator]),"")</f>
        <v>45677.62712</v>
      </c>
      <c r="F935" s="36" t="str">
        <f t="array" ref="F935">IFNA(_xlfn.XLOOKUP(D935,Table_Tarikan_Warkah[Nomor Tiket],Table_Tarikan_Warkah[Nama Petugas Warkah]),"")</f>
        <v>Berry</v>
      </c>
      <c r="G935" s="39" t="str">
        <f t="array" ref="G935">IFNA(_xlfn.XLOOKUP(D935,Table_Tarikan_Warkah[Nomor Tiket],Table_Tarikan_Warkah[Jenis Permohonan]),"")</f>
        <v>KEWARISAN</v>
      </c>
      <c r="H935" s="41" t="s">
        <v>11</v>
      </c>
      <c r="I935" s="41" t="s">
        <v>23</v>
      </c>
      <c r="J935" s="36">
        <f t="shared" si="20"/>
        <v>45677.66419</v>
      </c>
      <c r="K935" s="49" t="s">
        <v>197</v>
      </c>
      <c r="L935" s="49" t="s">
        <v>23</v>
      </c>
      <c r="M935" s="36">
        <f t="shared" si="26"/>
        <v>45680.6441</v>
      </c>
      <c r="N935" s="30" t="str">
        <f t="shared" si="27"/>
        <v>Selesai</v>
      </c>
      <c r="O935" s="45">
        <f t="shared" si="23"/>
        <v>45680.6441</v>
      </c>
      <c r="P935" s="47" t="b">
        <v>1</v>
      </c>
      <c r="Q935" s="36">
        <f t="shared" si="24"/>
        <v>45680.64505</v>
      </c>
      <c r="R935" s="47" t="b">
        <v>1</v>
      </c>
      <c r="S935" s="36">
        <f t="shared" si="25"/>
        <v>45679.46906</v>
      </c>
      <c r="T935" s="42"/>
    </row>
    <row r="936" ht="22.5" customHeight="1">
      <c r="B936" s="42">
        <f t="shared" si="7"/>
        <v>930</v>
      </c>
      <c r="C936" s="31" t="s">
        <v>1062</v>
      </c>
      <c r="D936" s="34" t="str">
        <f t="array" ref="D936">IFNA(_xlfn.XLOOKUP(C936,Table_Tarikan_Warkah[Nomor Sertipikat],Table_Tarikan_Warkah[Nomor Tiket]),"")</f>
        <v>K/14/100125/1</v>
      </c>
      <c r="E936" s="36" t="str">
        <f t="array" ref="E936">IFNA(_xlfn.XLOOKUP(D936,Table_Tarikan_Warkah[Nomor Tiket],Table_Tarikan_Warkah[Tanggal diserahkan kepada Validator]),"")</f>
        <v/>
      </c>
      <c r="F936" s="36" t="str">
        <f t="array" ref="F936">IFNA(_xlfn.XLOOKUP(D936,Table_Tarikan_Warkah[Nomor Tiket],Table_Tarikan_Warkah[Nama Petugas Warkah]),"")</f>
        <v>David</v>
      </c>
      <c r="G936" s="39" t="str">
        <f t="array" ref="G936">IFNA(_xlfn.XLOOKUP(D936,Table_Tarikan_Warkah[Nomor Tiket],Table_Tarikan_Warkah[Jenis Permohonan]),"")</f>
        <v>BN Waris</v>
      </c>
      <c r="H936" s="41" t="s">
        <v>11</v>
      </c>
      <c r="I936" s="41" t="s">
        <v>23</v>
      </c>
      <c r="J936" s="36">
        <f t="shared" si="20"/>
        <v>45677.66421</v>
      </c>
      <c r="K936" s="49" t="s">
        <v>197</v>
      </c>
      <c r="L936" s="49" t="s">
        <v>23</v>
      </c>
      <c r="M936" s="36">
        <f t="shared" si="26"/>
        <v>45680.6441</v>
      </c>
      <c r="N936" s="30" t="str">
        <f t="shared" si="27"/>
        <v>Selesai</v>
      </c>
      <c r="O936" s="45">
        <f t="shared" si="23"/>
        <v>45680.6441</v>
      </c>
      <c r="P936" s="47" t="b">
        <v>1</v>
      </c>
      <c r="Q936" s="36">
        <f t="shared" si="24"/>
        <v>45680.64506</v>
      </c>
      <c r="R936" s="47" t="b">
        <v>0</v>
      </c>
      <c r="S936" s="42" t="str">
        <f t="shared" si="25"/>
        <v/>
      </c>
      <c r="T936" s="42"/>
    </row>
    <row r="937" ht="22.5" customHeight="1">
      <c r="B937" s="42">
        <f t="shared" si="7"/>
        <v>931</v>
      </c>
      <c r="C937" s="31" t="s">
        <v>1063</v>
      </c>
      <c r="D937" s="34" t="str">
        <f t="array" ref="D937">IFNA(_xlfn.XLOOKUP(C937,Table_Tarikan_Warkah[Nomor Sertipikat],Table_Tarikan_Warkah[Nomor Tiket]),"")</f>
        <v>K/10/160125/2</v>
      </c>
      <c r="E937" s="36">
        <f t="array" ref="E937">IFNA(_xlfn.XLOOKUP(D937,Table_Tarikan_Warkah[Nomor Tiket],Table_Tarikan_Warkah[Tanggal diserahkan kepada Validator]),"")</f>
        <v>45677.62679</v>
      </c>
      <c r="F937" s="36" t="str">
        <f t="array" ref="F937">IFNA(_xlfn.XLOOKUP(D937,Table_Tarikan_Warkah[Nomor Tiket],Table_Tarikan_Warkah[Nama Petugas Warkah]),"")</f>
        <v>Berry</v>
      </c>
      <c r="G937" s="39" t="str">
        <f t="array" ref="G937">IFNA(_xlfn.XLOOKUP(D937,Table_Tarikan_Warkah[Nomor Tiket],Table_Tarikan_Warkah[Jenis Permohonan]),"")</f>
        <v>APHB</v>
      </c>
      <c r="H937" s="41" t="s">
        <v>11</v>
      </c>
      <c r="I937" s="41" t="s">
        <v>23</v>
      </c>
      <c r="J937" s="36">
        <f t="shared" si="20"/>
        <v>45677.66421</v>
      </c>
      <c r="K937" s="41" t="s">
        <v>197</v>
      </c>
      <c r="L937" s="41" t="s">
        <v>23</v>
      </c>
      <c r="M937" s="36">
        <f t="shared" si="26"/>
        <v>45680.6441</v>
      </c>
      <c r="N937" s="30" t="str">
        <f t="shared" si="27"/>
        <v>Selesai</v>
      </c>
      <c r="O937" s="45">
        <f t="shared" si="23"/>
        <v>45680.6441</v>
      </c>
      <c r="P937" s="47" t="b">
        <v>1</v>
      </c>
      <c r="Q937" s="36">
        <f t="shared" si="24"/>
        <v>45680.64507</v>
      </c>
      <c r="R937" s="47" t="b">
        <v>0</v>
      </c>
      <c r="S937" s="42" t="str">
        <f t="shared" si="25"/>
        <v/>
      </c>
      <c r="T937" s="42"/>
    </row>
    <row r="938" ht="22.5" customHeight="1">
      <c r="B938" s="42">
        <f t="shared" si="7"/>
        <v>932</v>
      </c>
      <c r="C938" s="31" t="s">
        <v>1064</v>
      </c>
      <c r="D938" s="34" t="str">
        <f t="array" ref="D938">IFNA(_xlfn.XLOOKUP(C938,Table_Tarikan_Warkah[Nomor Sertipikat],Table_Tarikan_Warkah[Nomor Tiket]),"")</f>
        <v>K/9/160125/1</v>
      </c>
      <c r="E938" s="36">
        <f t="array" ref="E938">IFNA(_xlfn.XLOOKUP(D938,Table_Tarikan_Warkah[Nomor Tiket],Table_Tarikan_Warkah[Tanggal diserahkan kepada Validator]),"")</f>
        <v>45677.62602</v>
      </c>
      <c r="F938" s="36" t="str">
        <f t="array" ref="F938">IFNA(_xlfn.XLOOKUP(D938,Table_Tarikan_Warkah[Nomor Tiket],Table_Tarikan_Warkah[Nama Petugas Warkah]),"")</f>
        <v>Berry</v>
      </c>
      <c r="G938" s="39" t="str">
        <f t="array" ref="G938">IFNA(_xlfn.XLOOKUP(D938,Table_Tarikan_Warkah[Nomor Tiket],Table_Tarikan_Warkah[Jenis Permohonan]),"")</f>
        <v>APHB</v>
      </c>
      <c r="H938" s="41" t="s">
        <v>11</v>
      </c>
      <c r="I938" s="41" t="s">
        <v>23</v>
      </c>
      <c r="J938" s="36">
        <f t="shared" si="20"/>
        <v>45677.66421</v>
      </c>
      <c r="K938" s="49" t="s">
        <v>197</v>
      </c>
      <c r="L938" s="49" t="s">
        <v>23</v>
      </c>
      <c r="M938" s="36">
        <f t="shared" si="26"/>
        <v>45680.64416</v>
      </c>
      <c r="N938" s="30" t="str">
        <f t="shared" si="27"/>
        <v>Selesai</v>
      </c>
      <c r="O938" s="45">
        <f t="shared" si="23"/>
        <v>45680.64416</v>
      </c>
      <c r="P938" s="47" t="b">
        <v>1</v>
      </c>
      <c r="Q938" s="36">
        <f t="shared" si="24"/>
        <v>45680.64508</v>
      </c>
      <c r="R938" s="47" t="b">
        <v>0</v>
      </c>
      <c r="S938" s="42" t="str">
        <f t="shared" si="25"/>
        <v/>
      </c>
      <c r="T938" s="42"/>
    </row>
    <row r="939" ht="22.5" customHeight="1">
      <c r="B939" s="42">
        <f t="shared" si="7"/>
        <v>933</v>
      </c>
      <c r="C939" s="31" t="s">
        <v>1065</v>
      </c>
      <c r="D939" s="34" t="str">
        <f t="array" ref="D939">IFNA(_xlfn.XLOOKUP(C939,Table_Tarikan_Warkah[Nomor Sertipikat],Table_Tarikan_Warkah[Nomor Tiket]),"")</f>
        <v>K/27/041224/1</v>
      </c>
      <c r="E939" s="36" t="str">
        <f t="array" ref="E939">IFNA(_xlfn.XLOOKUP(D939,Table_Tarikan_Warkah[Nomor Tiket],Table_Tarikan_Warkah[Tanggal diserahkan kepada Validator]),"")</f>
        <v/>
      </c>
      <c r="F939" s="36" t="str">
        <f t="array" ref="F939">IFNA(_xlfn.XLOOKUP(D939,Table_Tarikan_Warkah[Nomor Tiket],Table_Tarikan_Warkah[Nama Petugas Warkah]),"")</f>
        <v>Berry</v>
      </c>
      <c r="G939" s="39" t="str">
        <f t="array" ref="G939">IFNA(_xlfn.XLOOKUP(D939,Table_Tarikan_Warkah[Nomor Tiket],Table_Tarikan_Warkah[Jenis Permohonan]),"")</f>
        <v>BN WARIS</v>
      </c>
      <c r="H939" s="41" t="s">
        <v>11</v>
      </c>
      <c r="I939" s="41" t="s">
        <v>23</v>
      </c>
      <c r="J939" s="36">
        <f t="shared" si="20"/>
        <v>45678.62465</v>
      </c>
      <c r="K939" s="41" t="s">
        <v>197</v>
      </c>
      <c r="L939" s="41" t="s">
        <v>12</v>
      </c>
      <c r="M939" s="36">
        <f t="shared" si="26"/>
        <v>45678.62501</v>
      </c>
      <c r="N939" s="30" t="str">
        <f t="shared" si="27"/>
        <v>Selesai</v>
      </c>
      <c r="O939" s="45">
        <f t="shared" si="23"/>
        <v>45678.62501</v>
      </c>
      <c r="P939" s="47" t="b">
        <v>0</v>
      </c>
      <c r="Q939" s="36" t="str">
        <f t="shared" si="24"/>
        <v/>
      </c>
      <c r="R939" s="47" t="b">
        <v>1</v>
      </c>
      <c r="S939" s="36">
        <f t="shared" si="25"/>
        <v>45679.46505</v>
      </c>
      <c r="T939" s="42"/>
    </row>
    <row r="940" ht="22.5" customHeight="1">
      <c r="B940" s="42">
        <f t="shared" si="7"/>
        <v>934</v>
      </c>
      <c r="C940" s="31" t="s">
        <v>1066</v>
      </c>
      <c r="D940" s="34" t="str">
        <f t="array" ref="D940">IFNA(_xlfn.XLOOKUP(C940,Table_Tarikan_Warkah[Nomor Sertipikat],Table_Tarikan_Warkah[Nomor Tiket]),"")</f>
        <v>L/1/160125/1</v>
      </c>
      <c r="E940" s="36">
        <f t="array" ref="E940">IFNA(_xlfn.XLOOKUP(D940,Table_Tarikan_Warkah[Nomor Tiket],Table_Tarikan_Warkah[Tanggal diserahkan kepada Validator]),"")</f>
        <v>45677.62459</v>
      </c>
      <c r="F940" s="36" t="str">
        <f t="array" ref="F940">IFNA(_xlfn.XLOOKUP(D940,Table_Tarikan_Warkah[Nomor Tiket],Table_Tarikan_Warkah[Nama Petugas Warkah]),"")</f>
        <v>David</v>
      </c>
      <c r="G940" s="39" t="str">
        <f t="array" ref="G940">IFNA(_xlfn.XLOOKUP(D940,Table_Tarikan_Warkah[Nomor Tiket],Table_Tarikan_Warkah[Jenis Permohonan]),"")</f>
        <v>BN WARIS</v>
      </c>
      <c r="H940" s="41" t="s">
        <v>11</v>
      </c>
      <c r="I940" s="41" t="s">
        <v>12</v>
      </c>
      <c r="J940" s="36">
        <f t="shared" si="20"/>
        <v>45678.65897</v>
      </c>
      <c r="K940" s="41" t="s">
        <v>197</v>
      </c>
      <c r="L940" s="41" t="s">
        <v>12</v>
      </c>
      <c r="M940" s="36">
        <f t="shared" si="26"/>
        <v>45679.46881</v>
      </c>
      <c r="N940" s="30" t="str">
        <f t="shared" si="27"/>
        <v>SELESAI</v>
      </c>
      <c r="O940" s="45">
        <f t="shared" si="23"/>
        <v>45679.46881</v>
      </c>
      <c r="P940" s="47" t="b">
        <v>0</v>
      </c>
      <c r="Q940" s="36" t="str">
        <f t="shared" si="24"/>
        <v/>
      </c>
      <c r="R940" s="47" t="b">
        <v>1</v>
      </c>
      <c r="S940" s="36">
        <f t="shared" si="25"/>
        <v>45679.46885</v>
      </c>
      <c r="T940" s="42"/>
    </row>
    <row r="941" ht="22.5" customHeight="1">
      <c r="B941" s="42">
        <f t="shared" si="7"/>
        <v>935</v>
      </c>
      <c r="C941" s="31" t="s">
        <v>1067</v>
      </c>
      <c r="D941" s="34" t="str">
        <f t="array" ref="D941">IFNA(_xlfn.XLOOKUP(C941,Table_Tarikan_Warkah[Nomor Sertipikat],Table_Tarikan_Warkah[Nomor Tiket]),"")</f>
        <v>L/13/160125/1</v>
      </c>
      <c r="E941" s="36">
        <f t="array" ref="E941">IFNA(_xlfn.XLOOKUP(D941,Table_Tarikan_Warkah[Nomor Tiket],Table_Tarikan_Warkah[Tanggal diserahkan kepada Validator]),"")</f>
        <v>45677.62576</v>
      </c>
      <c r="F941" s="36" t="str">
        <f t="array" ref="F941">IFNA(_xlfn.XLOOKUP(D941,Table_Tarikan_Warkah[Nomor Tiket],Table_Tarikan_Warkah[Nama Petugas Warkah]),"")</f>
        <v>Berry</v>
      </c>
      <c r="G941" s="39" t="str">
        <f t="array" ref="G941">IFNA(_xlfn.XLOOKUP(D941,Table_Tarikan_Warkah[Nomor Tiket],Table_Tarikan_Warkah[Jenis Permohonan]),"")</f>
        <v>ROYA</v>
      </c>
      <c r="H941" s="41" t="s">
        <v>11</v>
      </c>
      <c r="I941" s="41" t="s">
        <v>12</v>
      </c>
      <c r="J941" s="36">
        <f t="shared" si="20"/>
        <v>45678.65897</v>
      </c>
      <c r="K941" s="41" t="s">
        <v>197</v>
      </c>
      <c r="L941" s="41" t="s">
        <v>12</v>
      </c>
      <c r="M941" s="36">
        <f t="shared" si="26"/>
        <v>45679.46857</v>
      </c>
      <c r="N941" s="30" t="str">
        <f t="shared" si="27"/>
        <v>SELESAI</v>
      </c>
      <c r="O941" s="45">
        <f t="shared" si="23"/>
        <v>45679.46857</v>
      </c>
      <c r="P941" s="47" t="b">
        <v>0</v>
      </c>
      <c r="Q941" s="36" t="str">
        <f t="shared" si="24"/>
        <v/>
      </c>
      <c r="R941" s="47" t="b">
        <v>1</v>
      </c>
      <c r="S941" s="36">
        <f t="shared" si="25"/>
        <v>45679.46861</v>
      </c>
      <c r="T941" s="42"/>
    </row>
    <row r="942" ht="22.5" customHeight="1">
      <c r="B942" s="42">
        <f t="shared" si="7"/>
        <v>936</v>
      </c>
      <c r="C942" s="31" t="s">
        <v>1068</v>
      </c>
      <c r="D942" s="34" t="str">
        <f t="array" ref="D942">IFNA(_xlfn.XLOOKUP(C942,Table_Tarikan_Warkah[Nomor Sertipikat],Table_Tarikan_Warkah[Nomor Tiket]),"")</f>
        <v>K/2/170125/1</v>
      </c>
      <c r="E942" s="36">
        <f t="array" ref="E942">IFNA(_xlfn.XLOOKUP(D942,Table_Tarikan_Warkah[Nomor Tiket],Table_Tarikan_Warkah[Tanggal diserahkan kepada Validator]),"")</f>
        <v>45677.62748</v>
      </c>
      <c r="F942" s="36" t="str">
        <f t="array" ref="F942">IFNA(_xlfn.XLOOKUP(D942,Table_Tarikan_Warkah[Nomor Tiket],Table_Tarikan_Warkah[Nama Petugas Warkah]),"")</f>
        <v>Berry</v>
      </c>
      <c r="G942" s="39" t="str">
        <f t="array" ref="G942">IFNA(_xlfn.XLOOKUP(D942,Table_Tarikan_Warkah[Nomor Tiket],Table_Tarikan_Warkah[Jenis Permohonan]),"")</f>
        <v>BN WARIS</v>
      </c>
      <c r="H942" s="41" t="s">
        <v>11</v>
      </c>
      <c r="I942" s="41" t="s">
        <v>12</v>
      </c>
      <c r="J942" s="36">
        <f t="shared" si="20"/>
        <v>45678.65897</v>
      </c>
      <c r="K942" s="41" t="s">
        <v>197</v>
      </c>
      <c r="L942" s="41" t="s">
        <v>12</v>
      </c>
      <c r="M942" s="36">
        <f t="shared" si="26"/>
        <v>45679.4649</v>
      </c>
      <c r="N942" s="30" t="str">
        <f t="shared" si="27"/>
        <v>SELESAI</v>
      </c>
      <c r="O942" s="45">
        <f t="shared" si="23"/>
        <v>45679.4649</v>
      </c>
      <c r="P942" s="47" t="b">
        <v>0</v>
      </c>
      <c r="Q942" s="36" t="str">
        <f t="shared" si="24"/>
        <v/>
      </c>
      <c r="R942" s="47" t="b">
        <v>1</v>
      </c>
      <c r="S942" s="36">
        <f t="shared" si="25"/>
        <v>45679.46504</v>
      </c>
      <c r="T942" s="42"/>
    </row>
    <row r="943" ht="22.5" customHeight="1">
      <c r="B943" s="42">
        <f t="shared" si="7"/>
        <v>937</v>
      </c>
      <c r="C943" s="31" t="s">
        <v>1069</v>
      </c>
      <c r="D943" s="34" t="str">
        <f t="array" ref="D943">IFNA(_xlfn.XLOOKUP(C943,Table_Tarikan_Warkah[Nomor Sertipikat],Table_Tarikan_Warkah[Nomor Tiket]),"")</f>
        <v>K/21/150125/1</v>
      </c>
      <c r="E943" s="36">
        <f t="array" ref="E943">IFNA(_xlfn.XLOOKUP(D943,Table_Tarikan_Warkah[Nomor Tiket],Table_Tarikan_Warkah[Tanggal diserahkan kepada Validator]),"")</f>
        <v>45677.62442</v>
      </c>
      <c r="F943" s="36" t="str">
        <f t="array" ref="F943">IFNA(_xlfn.XLOOKUP(D943,Table_Tarikan_Warkah[Nomor Tiket],Table_Tarikan_Warkah[Nama Petugas Warkah]),"")</f>
        <v>David</v>
      </c>
      <c r="G943" s="39" t="str">
        <f t="array" ref="G943">IFNA(_xlfn.XLOOKUP(D943,Table_Tarikan_Warkah[Nomor Tiket],Table_Tarikan_Warkah[Jenis Permohonan]),"")</f>
        <v>ROYA</v>
      </c>
      <c r="H943" s="41" t="s">
        <v>11</v>
      </c>
      <c r="I943" s="41" t="s">
        <v>12</v>
      </c>
      <c r="J943" s="36">
        <f t="shared" si="20"/>
        <v>45678.65897</v>
      </c>
      <c r="K943" s="41" t="s">
        <v>197</v>
      </c>
      <c r="L943" s="41" t="s">
        <v>12</v>
      </c>
      <c r="M943" s="36">
        <f t="shared" si="26"/>
        <v>45679.46454</v>
      </c>
      <c r="N943" s="30" t="str">
        <f t="shared" si="27"/>
        <v>SELESAI</v>
      </c>
      <c r="O943" s="45">
        <f t="shared" si="23"/>
        <v>45679.46454</v>
      </c>
      <c r="P943" s="47" t="b">
        <v>0</v>
      </c>
      <c r="Q943" s="36" t="str">
        <f t="shared" si="24"/>
        <v/>
      </c>
      <c r="R943" s="47" t="b">
        <v>1</v>
      </c>
      <c r="S943" s="36">
        <f t="shared" si="25"/>
        <v>45679.46458</v>
      </c>
      <c r="T943" s="42"/>
    </row>
    <row r="944" ht="22.5" customHeight="1">
      <c r="B944" s="42">
        <f t="shared" si="7"/>
        <v>938</v>
      </c>
      <c r="C944" s="31" t="s">
        <v>1070</v>
      </c>
      <c r="D944" s="34" t="str">
        <f t="array" ref="D944">IFNA(_xlfn.XLOOKUP(C944,Table_Tarikan_Warkah[Nomor Sertipikat],Table_Tarikan_Warkah[Nomor Tiket]),"")</f>
        <v>K/16/150125/2</v>
      </c>
      <c r="E944" s="36">
        <f t="array" ref="E944">IFNA(_xlfn.XLOOKUP(D944,Table_Tarikan_Warkah[Nomor Tiket],Table_Tarikan_Warkah[Tanggal diserahkan kepada Validator]),"")</f>
        <v>45677.62373</v>
      </c>
      <c r="F944" s="36" t="str">
        <f t="array" ref="F944">IFNA(_xlfn.XLOOKUP(D944,Table_Tarikan_Warkah[Nomor Tiket],Table_Tarikan_Warkah[Nama Petugas Warkah]),"")</f>
        <v>David</v>
      </c>
      <c r="G944" s="39" t="str">
        <f t="array" ref="G944">IFNA(_xlfn.XLOOKUP(D944,Table_Tarikan_Warkah[Nomor Tiket],Table_Tarikan_Warkah[Jenis Permohonan]),"")</f>
        <v>BN Jual Beli</v>
      </c>
      <c r="H944" s="41" t="s">
        <v>11</v>
      </c>
      <c r="I944" s="41" t="s">
        <v>12</v>
      </c>
      <c r="J944" s="36">
        <f t="shared" si="20"/>
        <v>45678.65897</v>
      </c>
      <c r="K944" s="41" t="s">
        <v>197</v>
      </c>
      <c r="L944" s="41" t="s">
        <v>12</v>
      </c>
      <c r="M944" s="36">
        <f t="shared" si="26"/>
        <v>45679.4683</v>
      </c>
      <c r="N944" s="30" t="str">
        <f t="shared" si="27"/>
        <v>SELESAI</v>
      </c>
      <c r="O944" s="45">
        <f t="shared" si="23"/>
        <v>45679.4683</v>
      </c>
      <c r="P944" s="47" t="b">
        <v>0</v>
      </c>
      <c r="Q944" s="36" t="str">
        <f t="shared" si="24"/>
        <v/>
      </c>
      <c r="R944" s="47" t="b">
        <v>1</v>
      </c>
      <c r="S944" s="36">
        <f t="shared" si="25"/>
        <v>45679.46834</v>
      </c>
      <c r="T944" s="42"/>
    </row>
    <row r="945" ht="22.5" customHeight="1">
      <c r="B945" s="42">
        <f t="shared" si="7"/>
        <v>939</v>
      </c>
      <c r="C945" s="31" t="s">
        <v>1071</v>
      </c>
      <c r="D945" s="34" t="str">
        <f t="array" ref="D945">IFNA(_xlfn.XLOOKUP(C945,Table_Tarikan_Warkah[Nomor Sertipikat],Table_Tarikan_Warkah[Nomor Tiket]),"")</f>
        <v>L/17/150125/1</v>
      </c>
      <c r="E945" s="36">
        <f t="array" ref="E945">IFNA(_xlfn.XLOOKUP(D945,Table_Tarikan_Warkah[Nomor Tiket],Table_Tarikan_Warkah[Tanggal diserahkan kepada Validator]),"")</f>
        <v>45677.62347</v>
      </c>
      <c r="F945" s="36" t="str">
        <f t="array" ref="F945">IFNA(_xlfn.XLOOKUP(D945,Table_Tarikan_Warkah[Nomor Tiket],Table_Tarikan_Warkah[Nama Petugas Warkah]),"")</f>
        <v>David</v>
      </c>
      <c r="G945" s="39" t="str">
        <f t="array" ref="G945">IFNA(_xlfn.XLOOKUP(D945,Table_Tarikan_Warkah[Nomor Tiket],Table_Tarikan_Warkah[Jenis Permohonan]),"")</f>
        <v>ROYA</v>
      </c>
      <c r="H945" s="41" t="s">
        <v>11</v>
      </c>
      <c r="I945" s="41" t="s">
        <v>12</v>
      </c>
      <c r="J945" s="36">
        <f t="shared" si="20"/>
        <v>45678.65897</v>
      </c>
      <c r="K945" s="41" t="s">
        <v>197</v>
      </c>
      <c r="L945" s="41" t="s">
        <v>12</v>
      </c>
      <c r="M945" s="36">
        <f t="shared" si="26"/>
        <v>45679.46399</v>
      </c>
      <c r="N945" s="30" t="str">
        <f t="shared" si="27"/>
        <v>SELESAI</v>
      </c>
      <c r="O945" s="45">
        <f t="shared" si="23"/>
        <v>45679.46399</v>
      </c>
      <c r="P945" s="47" t="b">
        <v>0</v>
      </c>
      <c r="Q945" s="36" t="str">
        <f t="shared" si="24"/>
        <v/>
      </c>
      <c r="R945" s="47" t="b">
        <v>1</v>
      </c>
      <c r="S945" s="36">
        <f t="shared" si="25"/>
        <v>45679.46404</v>
      </c>
      <c r="T945" s="42"/>
    </row>
    <row r="946" ht="22.5" customHeight="1">
      <c r="B946" s="42">
        <f t="shared" si="7"/>
        <v>940</v>
      </c>
      <c r="C946" s="31" t="s">
        <v>1072</v>
      </c>
      <c r="D946" s="34" t="str">
        <f t="array" ref="D946">IFNA(_xlfn.XLOOKUP(C946,Table_Tarikan_Warkah[Nomor Sertipikat],Table_Tarikan_Warkah[Nomor Tiket]),"")</f>
        <v>K/1/150125/1</v>
      </c>
      <c r="E946" s="36">
        <f t="array" ref="E946">IFNA(_xlfn.XLOOKUP(D946,Table_Tarikan_Warkah[Nomor Tiket],Table_Tarikan_Warkah[Tanggal diserahkan kepada Validator]),"")</f>
        <v>45677.62261</v>
      </c>
      <c r="F946" s="36" t="str">
        <f t="array" ref="F946">IFNA(_xlfn.XLOOKUP(D946,Table_Tarikan_Warkah[Nomor Tiket],Table_Tarikan_Warkah[Nama Petugas Warkah]),"")</f>
        <v>David</v>
      </c>
      <c r="G946" s="39" t="str">
        <f t="array" ref="G946">IFNA(_xlfn.XLOOKUP(D946,Table_Tarikan_Warkah[Nomor Tiket],Table_Tarikan_Warkah[Jenis Permohonan]),"")</f>
        <v>Perubahan Hak</v>
      </c>
      <c r="H946" s="41" t="s">
        <v>11</v>
      </c>
      <c r="I946" s="41" t="s">
        <v>12</v>
      </c>
      <c r="J946" s="36">
        <f t="shared" si="20"/>
        <v>45678.65897</v>
      </c>
      <c r="K946" s="41" t="s">
        <v>197</v>
      </c>
      <c r="L946" s="41" t="s">
        <v>12</v>
      </c>
      <c r="M946" s="36">
        <f t="shared" si="26"/>
        <v>45679.4665</v>
      </c>
      <c r="N946" s="30" t="str">
        <f t="shared" si="27"/>
        <v>SELESAI</v>
      </c>
      <c r="O946" s="45">
        <f t="shared" si="23"/>
        <v>45679.4665</v>
      </c>
      <c r="P946" s="47" t="b">
        <v>0</v>
      </c>
      <c r="Q946" s="36" t="str">
        <f t="shared" si="24"/>
        <v/>
      </c>
      <c r="R946" s="47" t="b">
        <v>1</v>
      </c>
      <c r="S946" s="36">
        <f t="shared" si="25"/>
        <v>45679.46836</v>
      </c>
      <c r="T946" s="42"/>
    </row>
    <row r="947" ht="22.5" customHeight="1">
      <c r="B947" s="42">
        <f t="shared" si="7"/>
        <v>941</v>
      </c>
      <c r="C947" s="31" t="s">
        <v>1073</v>
      </c>
      <c r="D947" s="34" t="str">
        <f t="array" ref="D947">IFNA(_xlfn.XLOOKUP(C947,Table_Tarikan_Warkah[Nomor Sertipikat],Table_Tarikan_Warkah[Nomor Tiket]),"")</f>
        <v>K/6/170125/1</v>
      </c>
      <c r="E947" s="36">
        <f t="array" ref="E947">IFNA(_xlfn.XLOOKUP(D947,Table_Tarikan_Warkah[Nomor Tiket],Table_Tarikan_Warkah[Tanggal diserahkan kepada Validator]),"")</f>
        <v>45677.6281</v>
      </c>
      <c r="F947" s="36" t="str">
        <f t="array" ref="F947">IFNA(_xlfn.XLOOKUP(D947,Table_Tarikan_Warkah[Nomor Tiket],Table_Tarikan_Warkah[Nama Petugas Warkah]),"")</f>
        <v>Berry</v>
      </c>
      <c r="G947" s="39" t="str">
        <f t="array" ref="G947">IFNA(_xlfn.XLOOKUP(D947,Table_Tarikan_Warkah[Nomor Tiket],Table_Tarikan_Warkah[Jenis Permohonan]),"")</f>
        <v>BN JUAL BELI</v>
      </c>
      <c r="H947" s="41" t="s">
        <v>11</v>
      </c>
      <c r="I947" s="41" t="s">
        <v>12</v>
      </c>
      <c r="J947" s="36">
        <f t="shared" si="20"/>
        <v>45678.65897</v>
      </c>
      <c r="K947" s="41" t="s">
        <v>197</v>
      </c>
      <c r="L947" s="41" t="s">
        <v>12</v>
      </c>
      <c r="M947" s="36">
        <f t="shared" si="26"/>
        <v>45679.46652</v>
      </c>
      <c r="N947" s="30" t="str">
        <f t="shared" si="27"/>
        <v>SELESAI</v>
      </c>
      <c r="O947" s="45">
        <f t="shared" si="23"/>
        <v>45679.46652</v>
      </c>
      <c r="P947" s="47" t="b">
        <v>0</v>
      </c>
      <c r="Q947" s="36" t="str">
        <f t="shared" si="24"/>
        <v/>
      </c>
      <c r="R947" s="47" t="b">
        <v>1</v>
      </c>
      <c r="S947" s="36">
        <f t="shared" si="25"/>
        <v>45679.46837</v>
      </c>
      <c r="T947" s="42"/>
    </row>
    <row r="948" ht="22.5" customHeight="1">
      <c r="B948" s="42">
        <f t="shared" si="7"/>
        <v>942</v>
      </c>
      <c r="C948" s="31" t="s">
        <v>1074</v>
      </c>
      <c r="D948" s="34" t="str">
        <f t="array" ref="D948">IFNA(_xlfn.XLOOKUP(C948,Table_Tarikan_Warkah[Nomor Sertipikat],Table_Tarikan_Warkah[Nomor Tiket]),"")</f>
        <v>L/4/170125/1</v>
      </c>
      <c r="E948" s="36">
        <f t="array" ref="E948">IFNA(_xlfn.XLOOKUP(D948,Table_Tarikan_Warkah[Nomor Tiket],Table_Tarikan_Warkah[Tanggal diserahkan kepada Validator]),"")</f>
        <v>45677.62816</v>
      </c>
      <c r="F948" s="36" t="str">
        <f t="array" ref="F948">IFNA(_xlfn.XLOOKUP(D948,Table_Tarikan_Warkah[Nomor Tiket],Table_Tarikan_Warkah[Nama Petugas Warkah]),"")</f>
        <v>Berry</v>
      </c>
      <c r="G948" s="39" t="str">
        <f t="array" ref="G948">IFNA(_xlfn.XLOOKUP(D948,Table_Tarikan_Warkah[Nomor Tiket],Table_Tarikan_Warkah[Jenis Permohonan]),"")</f>
        <v>ROYA LELANG</v>
      </c>
      <c r="H948" s="41" t="s">
        <v>11</v>
      </c>
      <c r="I948" s="41" t="s">
        <v>12</v>
      </c>
      <c r="J948" s="36">
        <f t="shared" si="20"/>
        <v>45678.65897</v>
      </c>
      <c r="K948" s="41" t="s">
        <v>197</v>
      </c>
      <c r="L948" s="41" t="s">
        <v>12</v>
      </c>
      <c r="M948" s="36">
        <f t="shared" si="26"/>
        <v>45679.46606</v>
      </c>
      <c r="N948" s="30" t="str">
        <f t="shared" si="27"/>
        <v>SELESAI</v>
      </c>
      <c r="O948" s="45">
        <f t="shared" si="23"/>
        <v>45679.46606</v>
      </c>
      <c r="P948" s="47" t="b">
        <v>0</v>
      </c>
      <c r="Q948" s="36" t="str">
        <f t="shared" si="24"/>
        <v/>
      </c>
      <c r="R948" s="47" t="b">
        <v>1</v>
      </c>
      <c r="S948" s="36">
        <f t="shared" si="25"/>
        <v>45679.46609</v>
      </c>
      <c r="T948" s="42"/>
    </row>
    <row r="949" ht="22.5" customHeight="1">
      <c r="B949" s="42">
        <f t="shared" si="7"/>
        <v>943</v>
      </c>
      <c r="C949" s="31" t="s">
        <v>1075</v>
      </c>
      <c r="D949" s="34" t="str">
        <f t="array" ref="D949">IFNA(_xlfn.XLOOKUP(C949,Table_Tarikan_Warkah[Nomor Sertipikat],Table_Tarikan_Warkah[Nomor Tiket]),"")</f>
        <v>K/12/160125/1</v>
      </c>
      <c r="E949" s="36">
        <f t="array" ref="E949">IFNA(_xlfn.XLOOKUP(D949,Table_Tarikan_Warkah[Nomor Tiket],Table_Tarikan_Warkah[Tanggal diserahkan kepada Validator]),"")</f>
        <v>45677.6266</v>
      </c>
      <c r="F949" s="36" t="str">
        <f t="array" ref="F949">IFNA(_xlfn.XLOOKUP(D949,Table_Tarikan_Warkah[Nomor Tiket],Table_Tarikan_Warkah[Nama Petugas Warkah]),"")</f>
        <v>Berry</v>
      </c>
      <c r="G949" s="39" t="str">
        <f t="array" ref="G949">IFNA(_xlfn.XLOOKUP(D949,Table_Tarikan_Warkah[Nomor Tiket],Table_Tarikan_Warkah[Jenis Permohonan]),"")</f>
        <v>Penggabungan</v>
      </c>
      <c r="H949" s="41" t="s">
        <v>11</v>
      </c>
      <c r="I949" s="41" t="s">
        <v>12</v>
      </c>
      <c r="J949" s="36">
        <f t="shared" si="20"/>
        <v>45678.65897</v>
      </c>
      <c r="K949" s="41" t="s">
        <v>197</v>
      </c>
      <c r="L949" s="41" t="s">
        <v>12</v>
      </c>
      <c r="M949" s="36">
        <f t="shared" si="26"/>
        <v>45679.46977</v>
      </c>
      <c r="N949" s="30" t="str">
        <f t="shared" si="27"/>
        <v>SELESAI</v>
      </c>
      <c r="O949" s="45">
        <f t="shared" si="23"/>
        <v>45679.46977</v>
      </c>
      <c r="P949" s="47" t="b">
        <v>0</v>
      </c>
      <c r="Q949" s="36" t="str">
        <f t="shared" si="24"/>
        <v/>
      </c>
      <c r="R949" s="47" t="b">
        <v>1</v>
      </c>
      <c r="S949" s="36">
        <f t="shared" si="25"/>
        <v>45679.46961</v>
      </c>
      <c r="T949" s="30" t="s">
        <v>1076</v>
      </c>
    </row>
    <row r="950" ht="22.5" customHeight="1">
      <c r="B950" s="42">
        <f t="shared" si="7"/>
        <v>944</v>
      </c>
      <c r="C950" s="31" t="s">
        <v>1077</v>
      </c>
      <c r="D950" s="34" t="str">
        <f t="array" ref="D950">IFNA(_xlfn.XLOOKUP(C950,Table_Tarikan_Warkah[Nomor Sertipikat],Table_Tarikan_Warkah[Nomor Tiket]),"")</f>
        <v>K/7/160125/1</v>
      </c>
      <c r="E950" s="36">
        <f t="array" ref="E950">IFNA(_xlfn.XLOOKUP(D950,Table_Tarikan_Warkah[Nomor Tiket],Table_Tarikan_Warkah[Tanggal diserahkan kepada Validator]),"")</f>
        <v>45677.62561</v>
      </c>
      <c r="F950" s="36" t="str">
        <f t="array" ref="F950">IFNA(_xlfn.XLOOKUP(D950,Table_Tarikan_Warkah[Nomor Tiket],Table_Tarikan_Warkah[Nama Petugas Warkah]),"")</f>
        <v>Berry</v>
      </c>
      <c r="G950" s="39" t="str">
        <f t="array" ref="G950">IFNA(_xlfn.XLOOKUP(D950,Table_Tarikan_Warkah[Nomor Tiket],Table_Tarikan_Warkah[Jenis Permohonan]),"")</f>
        <v>ROYA</v>
      </c>
      <c r="H950" s="41" t="s">
        <v>11</v>
      </c>
      <c r="I950" s="41" t="s">
        <v>12</v>
      </c>
      <c r="J950" s="36">
        <f t="shared" si="20"/>
        <v>45678.65897</v>
      </c>
      <c r="K950" s="41" t="s">
        <v>197</v>
      </c>
      <c r="L950" s="41" t="s">
        <v>12</v>
      </c>
      <c r="M950" s="36">
        <f t="shared" si="26"/>
        <v>45679.46574</v>
      </c>
      <c r="N950" s="30" t="str">
        <f t="shared" si="27"/>
        <v>SELESAI</v>
      </c>
      <c r="O950" s="45">
        <f t="shared" si="23"/>
        <v>45679.46574</v>
      </c>
      <c r="P950" s="47" t="b">
        <v>0</v>
      </c>
      <c r="Q950" s="36" t="str">
        <f t="shared" si="24"/>
        <v/>
      </c>
      <c r="R950" s="47" t="b">
        <v>1</v>
      </c>
      <c r="S950" s="36">
        <f t="shared" si="25"/>
        <v>45679.46578</v>
      </c>
      <c r="T950" s="42"/>
    </row>
    <row r="951" ht="22.5" customHeight="1">
      <c r="B951" s="42">
        <f t="shared" si="7"/>
        <v>945</v>
      </c>
      <c r="C951" s="31" t="s">
        <v>1078</v>
      </c>
      <c r="D951" s="34" t="str">
        <f t="array" ref="D951">IFNA(_xlfn.XLOOKUP(C951,Table_Tarikan_Warkah[Nomor Sertipikat],Table_Tarikan_Warkah[Nomor Tiket]),"")</f>
        <v>K/15/150125/1</v>
      </c>
      <c r="E951" s="36">
        <f t="array" ref="E951">IFNA(_xlfn.XLOOKUP(D951,Table_Tarikan_Warkah[Nomor Tiket],Table_Tarikan_Warkah[Tanggal diserahkan kepada Validator]),"")</f>
        <v>45677.6236</v>
      </c>
      <c r="F951" s="36" t="str">
        <f t="array" ref="F951">IFNA(_xlfn.XLOOKUP(D951,Table_Tarikan_Warkah[Nomor Tiket],Table_Tarikan_Warkah[Nama Petugas Warkah]),"")</f>
        <v>David</v>
      </c>
      <c r="G951" s="39" t="str">
        <f t="array" ref="G951">IFNA(_xlfn.XLOOKUP(D951,Table_Tarikan_Warkah[Nomor Tiket],Table_Tarikan_Warkah[Jenis Permohonan]),"")</f>
        <v>BN Waris</v>
      </c>
      <c r="H951" s="41" t="s">
        <v>11</v>
      </c>
      <c r="I951" s="41" t="s">
        <v>12</v>
      </c>
      <c r="J951" s="36">
        <f t="shared" si="20"/>
        <v>45678.65897</v>
      </c>
      <c r="K951" s="41" t="s">
        <v>197</v>
      </c>
      <c r="L951" s="41" t="s">
        <v>12</v>
      </c>
      <c r="M951" s="36">
        <f t="shared" si="26"/>
        <v>45679.46429</v>
      </c>
      <c r="N951" s="30" t="str">
        <f t="shared" si="27"/>
        <v>SELESAI</v>
      </c>
      <c r="O951" s="45">
        <f t="shared" si="23"/>
        <v>45679.46429</v>
      </c>
      <c r="P951" s="47" t="b">
        <v>0</v>
      </c>
      <c r="Q951" s="36" t="str">
        <f t="shared" si="24"/>
        <v/>
      </c>
      <c r="R951" s="47" t="b">
        <v>1</v>
      </c>
      <c r="S951" s="36">
        <f t="shared" si="25"/>
        <v>45679.46434</v>
      </c>
      <c r="T951" s="42"/>
    </row>
    <row r="952" ht="22.5" customHeight="1">
      <c r="B952" s="42">
        <f t="shared" si="7"/>
        <v>946</v>
      </c>
      <c r="C952" s="31" t="s">
        <v>1079</v>
      </c>
      <c r="D952" s="34" t="str">
        <f t="array" ref="D952">IFNA(_xlfn.XLOOKUP(C952,Table_Tarikan_Warkah[Nomor Sertipikat],Table_Tarikan_Warkah[Nomor Tiket]),"")</f>
        <v>K/4/150125/1</v>
      </c>
      <c r="E952" s="36">
        <f t="array" ref="E952">IFNA(_xlfn.XLOOKUP(D952,Table_Tarikan_Warkah[Nomor Tiket],Table_Tarikan_Warkah[Tanggal diserahkan kepada Validator]),"")</f>
        <v>45677.62279</v>
      </c>
      <c r="F952" s="36" t="str">
        <f t="array" ref="F952">IFNA(_xlfn.XLOOKUP(D952,Table_Tarikan_Warkah[Nomor Tiket],Table_Tarikan_Warkah[Nama Petugas Warkah]),"")</f>
        <v>David</v>
      </c>
      <c r="G952" s="39" t="str">
        <f t="array" ref="G952">IFNA(_xlfn.XLOOKUP(D952,Table_Tarikan_Warkah[Nomor Tiket],Table_Tarikan_Warkah[Jenis Permohonan]),"")</f>
        <v>BN JUAL BELI</v>
      </c>
      <c r="H952" s="41" t="s">
        <v>11</v>
      </c>
      <c r="I952" s="41" t="s">
        <v>12</v>
      </c>
      <c r="J952" s="36">
        <f t="shared" si="20"/>
        <v>45678.65897</v>
      </c>
      <c r="K952" s="41" t="s">
        <v>197</v>
      </c>
      <c r="L952" s="41" t="s">
        <v>12</v>
      </c>
      <c r="M952" s="36">
        <f t="shared" si="26"/>
        <v>45679.46544</v>
      </c>
      <c r="N952" s="30" t="str">
        <f t="shared" si="27"/>
        <v>SELESAI</v>
      </c>
      <c r="O952" s="45">
        <f t="shared" si="23"/>
        <v>45679.46544</v>
      </c>
      <c r="P952" s="47" t="b">
        <v>0</v>
      </c>
      <c r="Q952" s="36" t="str">
        <f t="shared" si="24"/>
        <v/>
      </c>
      <c r="R952" s="47" t="b">
        <v>1</v>
      </c>
      <c r="S952" s="36">
        <f t="shared" si="25"/>
        <v>45679.46547</v>
      </c>
      <c r="T952" s="42"/>
    </row>
    <row r="953" ht="22.5" customHeight="1">
      <c r="B953" s="42">
        <f t="shared" si="7"/>
        <v>947</v>
      </c>
      <c r="C953" s="31" t="s">
        <v>1080</v>
      </c>
      <c r="D953" s="34" t="str">
        <f t="array" ref="D953">IFNA(_xlfn.XLOOKUP(C953,Table_Tarikan_Warkah[Nomor Sertipikat],Table_Tarikan_Warkah[Nomor Tiket]),"")</f>
        <v>K/17/170125/1</v>
      </c>
      <c r="E953" s="36" t="str">
        <f t="array" ref="E953">IFNA(_xlfn.XLOOKUP(D953,Table_Tarikan_Warkah[Nomor Tiket],Table_Tarikan_Warkah[Tanggal diserahkan kepada Validator]),"")</f>
        <v/>
      </c>
      <c r="F953" s="36" t="str">
        <f t="array" ref="F953">IFNA(_xlfn.XLOOKUP(D953,Table_Tarikan_Warkah[Nomor Tiket],Table_Tarikan_Warkah[Nama Petugas Warkah]),"")</f>
        <v>David</v>
      </c>
      <c r="G953" s="39" t="str">
        <f t="array" ref="G953">IFNA(_xlfn.XLOOKUP(D953,Table_Tarikan_Warkah[Nomor Tiket],Table_Tarikan_Warkah[Jenis Permohonan]),"")</f>
        <v>BN WARIS</v>
      </c>
      <c r="H953" s="41" t="s">
        <v>11</v>
      </c>
      <c r="I953" s="41" t="s">
        <v>23</v>
      </c>
      <c r="J953" s="36">
        <f t="shared" si="20"/>
        <v>45678.66007</v>
      </c>
      <c r="K953" s="49" t="s">
        <v>197</v>
      </c>
      <c r="L953" s="49" t="s">
        <v>23</v>
      </c>
      <c r="M953" s="36">
        <f t="shared" si="26"/>
        <v>45680.64428</v>
      </c>
      <c r="N953" s="30" t="str">
        <f t="shared" si="27"/>
        <v>Selesai</v>
      </c>
      <c r="O953" s="45">
        <f t="shared" si="23"/>
        <v>45680.64428</v>
      </c>
      <c r="P953" s="47" t="b">
        <v>1</v>
      </c>
      <c r="Q953" s="36">
        <f t="shared" si="24"/>
        <v>45680.64493</v>
      </c>
      <c r="R953" s="47" t="b">
        <v>0</v>
      </c>
      <c r="S953" s="42" t="str">
        <f t="shared" si="25"/>
        <v/>
      </c>
      <c r="T953" s="42"/>
    </row>
    <row r="954" ht="22.5" customHeight="1">
      <c r="B954" s="42">
        <f t="shared" si="7"/>
        <v>948</v>
      </c>
      <c r="C954" s="31" t="s">
        <v>1081</v>
      </c>
      <c r="D954" s="34" t="str">
        <f t="array" ref="D954">IFNA(_xlfn.XLOOKUP(C954,Table_Tarikan_Warkah[Nomor Sertipikat],Table_Tarikan_Warkah[Nomor Tiket]),"")</f>
        <v>K/20/090125/1</v>
      </c>
      <c r="E954" s="36">
        <f t="array" ref="E954">IFNA(_xlfn.XLOOKUP(D954,Table_Tarikan_Warkah[Nomor Tiket],Table_Tarikan_Warkah[Tanggal diserahkan kepada Validator]),"")</f>
        <v>45671.43139</v>
      </c>
      <c r="F954" s="36" t="str">
        <f t="array" ref="F954">IFNA(_xlfn.XLOOKUP(D954,Table_Tarikan_Warkah[Nomor Tiket],Table_Tarikan_Warkah[Nama Petugas Warkah]),"")</f>
        <v>Berry</v>
      </c>
      <c r="G954" s="39" t="str">
        <f t="array" ref="G954">IFNA(_xlfn.XLOOKUP(D954,Table_Tarikan_Warkah[Nomor Tiket],Table_Tarikan_Warkah[Jenis Permohonan]),"")</f>
        <v>Roya</v>
      </c>
      <c r="H954" s="41" t="s">
        <v>11</v>
      </c>
      <c r="I954" s="41" t="s">
        <v>23</v>
      </c>
      <c r="J954" s="36">
        <f t="shared" si="20"/>
        <v>45678.66007</v>
      </c>
      <c r="K954" s="49" t="s">
        <v>197</v>
      </c>
      <c r="L954" s="49" t="s">
        <v>23</v>
      </c>
      <c r="M954" s="36">
        <f t="shared" si="26"/>
        <v>45680.64431</v>
      </c>
      <c r="N954" s="30" t="str">
        <f t="shared" si="27"/>
        <v>Selesai</v>
      </c>
      <c r="O954" s="45">
        <f t="shared" si="23"/>
        <v>45680.64431</v>
      </c>
      <c r="P954" s="47" t="b">
        <v>1</v>
      </c>
      <c r="Q954" s="36">
        <f t="shared" si="24"/>
        <v>45680.64492</v>
      </c>
      <c r="R954" s="47" t="b">
        <v>1</v>
      </c>
      <c r="S954" s="36">
        <f t="shared" si="25"/>
        <v>45679.45109</v>
      </c>
      <c r="T954" s="42"/>
    </row>
    <row r="955" ht="22.5" customHeight="1">
      <c r="B955" s="42">
        <f t="shared" si="7"/>
        <v>949</v>
      </c>
      <c r="C955" s="31" t="s">
        <v>1082</v>
      </c>
      <c r="D955" s="34" t="str">
        <f t="array" ref="D955">IFNA(_xlfn.XLOOKUP(C955,Table_Tarikan_Warkah[Nomor Sertipikat],Table_Tarikan_Warkah[Nomor Tiket]),"")</f>
        <v>K/8/200125/2</v>
      </c>
      <c r="E955" s="36">
        <f t="array" ref="E955">IFNA(_xlfn.XLOOKUP(D955,Table_Tarikan_Warkah[Nomor Tiket],Table_Tarikan_Warkah[Tanggal diserahkan kepada Validator]),"")</f>
        <v>45678.44888</v>
      </c>
      <c r="F955" s="36" t="str">
        <f t="array" ref="F955">IFNA(_xlfn.XLOOKUP(D955,Table_Tarikan_Warkah[Nomor Tiket],Table_Tarikan_Warkah[Nama Petugas Warkah]),"")</f>
        <v>David</v>
      </c>
      <c r="G955" s="39" t="str">
        <f t="array" ref="G955">IFNA(_xlfn.XLOOKUP(D955,Table_Tarikan_Warkah[Nomor Tiket],Table_Tarikan_Warkah[Jenis Permohonan]),"")</f>
        <v>PERUBAHAN HAK</v>
      </c>
      <c r="H955" s="41" t="s">
        <v>20</v>
      </c>
      <c r="I955" s="41" t="s">
        <v>12</v>
      </c>
      <c r="J955" s="36">
        <f t="shared" si="20"/>
        <v>45679.40425</v>
      </c>
      <c r="K955" s="41" t="s">
        <v>197</v>
      </c>
      <c r="L955" s="41" t="s">
        <v>12</v>
      </c>
      <c r="M955" s="36">
        <f t="shared" si="26"/>
        <v>45688.5748</v>
      </c>
      <c r="N955" s="30" t="str">
        <f t="shared" si="27"/>
        <v>SELESAI</v>
      </c>
      <c r="O955" s="45">
        <f t="shared" si="23"/>
        <v>45688.5748</v>
      </c>
      <c r="P955" s="47" t="b">
        <v>0</v>
      </c>
      <c r="Q955" s="36" t="str">
        <f t="shared" si="24"/>
        <v/>
      </c>
      <c r="R955" s="47" t="b">
        <v>1</v>
      </c>
      <c r="S955" s="36">
        <f t="shared" si="25"/>
        <v>45688.57486</v>
      </c>
      <c r="T955" s="42"/>
    </row>
    <row r="956" ht="22.5" customHeight="1">
      <c r="B956" s="42">
        <f t="shared" si="7"/>
        <v>950</v>
      </c>
      <c r="C956" s="31" t="s">
        <v>1083</v>
      </c>
      <c r="D956" s="34" t="str">
        <f t="array" ref="D956">IFNA(_xlfn.XLOOKUP(C956,Table_Tarikan_Warkah[Nomor Sertipikat],Table_Tarikan_Warkah[Nomor Tiket]),"")</f>
        <v>K/13/030125/1</v>
      </c>
      <c r="E956" s="36">
        <f t="array" ref="E956">IFNA(_xlfn.XLOOKUP(D956,Table_Tarikan_Warkah[Nomor Tiket],Table_Tarikan_Warkah[Tanggal diserahkan kepada Validator]),"")</f>
        <v>45694.599</v>
      </c>
      <c r="F956" s="36" t="str">
        <f t="array" ref="F956">IFNA(_xlfn.XLOOKUP(D956,Table_Tarikan_Warkah[Nomor Tiket],Table_Tarikan_Warkah[Nama Petugas Warkah]),"")</f>
        <v>Berry</v>
      </c>
      <c r="G956" s="39" t="str">
        <f t="array" ref="G956">IFNA(_xlfn.XLOOKUP(D956,Table_Tarikan_Warkah[Nomor Tiket],Table_Tarikan_Warkah[Jenis Permohonan]),"")</f>
        <v>BN WARIS</v>
      </c>
      <c r="H956" s="41" t="s">
        <v>920</v>
      </c>
      <c r="I956" s="41" t="s">
        <v>23</v>
      </c>
      <c r="J956" s="36">
        <f t="shared" si="20"/>
        <v>45679.41145</v>
      </c>
      <c r="K956" s="41" t="s">
        <v>920</v>
      </c>
      <c r="L956" s="41" t="s">
        <v>23</v>
      </c>
      <c r="M956" s="36">
        <f t="shared" si="26"/>
        <v>45679.41151</v>
      </c>
      <c r="N956" s="30" t="str">
        <f t="shared" si="27"/>
        <v>Selesai</v>
      </c>
      <c r="O956" s="45">
        <f t="shared" si="23"/>
        <v>45679.41151</v>
      </c>
      <c r="P956" s="47" t="b">
        <v>1</v>
      </c>
      <c r="Q956" s="36">
        <f t="shared" si="24"/>
        <v>45679.41328</v>
      </c>
      <c r="R956" s="47" t="b">
        <v>0</v>
      </c>
      <c r="S956" s="42" t="str">
        <f t="shared" si="25"/>
        <v/>
      </c>
      <c r="T956" s="42"/>
    </row>
    <row r="957" ht="22.5" customHeight="1">
      <c r="B957" s="42">
        <f t="shared" si="7"/>
        <v>951</v>
      </c>
      <c r="C957" s="31" t="s">
        <v>1084</v>
      </c>
      <c r="D957" s="34" t="str">
        <f t="array" ref="D957">IFNA(_xlfn.XLOOKUP(C957,Table_Tarikan_Warkah[Nomor Sertipikat],Table_Tarikan_Warkah[Nomor Tiket]),"")</f>
        <v>K/3/201224/1</v>
      </c>
      <c r="E957" s="36">
        <f t="array" ref="E957">IFNA(_xlfn.XLOOKUP(D957,Table_Tarikan_Warkah[Nomor Tiket],Table_Tarikan_Warkah[Tanggal diserahkan kepada Validator]),"")</f>
        <v>45680.37425</v>
      </c>
      <c r="F957" s="36" t="str">
        <f t="array" ref="F957">IFNA(_xlfn.XLOOKUP(D957,Table_Tarikan_Warkah[Nomor Tiket],Table_Tarikan_Warkah[Nama Petugas Warkah]),"")</f>
        <v/>
      </c>
      <c r="G957" s="39" t="str">
        <f t="array" ref="G957">IFNA(_xlfn.XLOOKUP(D957,Table_Tarikan_Warkah[Nomor Tiket],Table_Tarikan_Warkah[Jenis Permohonan]),"")</f>
        <v>BN JUAL BELI</v>
      </c>
      <c r="H957" s="41" t="s">
        <v>920</v>
      </c>
      <c r="I957" s="41" t="s">
        <v>23</v>
      </c>
      <c r="J957" s="36">
        <f t="shared" si="20"/>
        <v>45679.41319</v>
      </c>
      <c r="K957" s="41" t="s">
        <v>920</v>
      </c>
      <c r="L957" s="41" t="s">
        <v>23</v>
      </c>
      <c r="M957" s="36">
        <f t="shared" si="26"/>
        <v>45679.41326</v>
      </c>
      <c r="N957" s="30" t="str">
        <f t="shared" si="27"/>
        <v>Selesai</v>
      </c>
      <c r="O957" s="45">
        <f t="shared" si="23"/>
        <v>45679.41326</v>
      </c>
      <c r="P957" s="47" t="b">
        <v>1</v>
      </c>
      <c r="Q957" s="36">
        <f t="shared" si="24"/>
        <v>45679.41328</v>
      </c>
      <c r="R957" s="47" t="b">
        <v>0</v>
      </c>
      <c r="S957" s="42" t="str">
        <f t="shared" si="25"/>
        <v/>
      </c>
      <c r="T957" s="42"/>
    </row>
    <row r="958" ht="22.5" customHeight="1">
      <c r="B958" s="42">
        <f t="shared" si="7"/>
        <v>952</v>
      </c>
      <c r="C958" s="31" t="s">
        <v>1085</v>
      </c>
      <c r="D958" s="34" t="str">
        <f t="array" ref="D958">IFNA(_xlfn.XLOOKUP(C958,Table_Tarikan_Warkah[Nomor Sertipikat],Table_Tarikan_Warkah[Nomor Tiket]),"")</f>
        <v>K/4/090125/3</v>
      </c>
      <c r="E958" s="36">
        <f t="array" ref="E958">IFNA(_xlfn.XLOOKUP(D958,Table_Tarikan_Warkah[Nomor Tiket],Table_Tarikan_Warkah[Tanggal diserahkan kepada Validator]),"")</f>
        <v>45671.42957</v>
      </c>
      <c r="F958" s="36" t="str">
        <f t="array" ref="F958">IFNA(_xlfn.XLOOKUP(D958,Table_Tarikan_Warkah[Nomor Tiket],Table_Tarikan_Warkah[Nama Petugas Warkah]),"")</f>
        <v>Berry</v>
      </c>
      <c r="G958" s="39" t="str">
        <f t="array" ref="G958">IFNA(_xlfn.XLOOKUP(D958,Table_Tarikan_Warkah[Nomor Tiket],Table_Tarikan_Warkah[Jenis Permohonan]),"")</f>
        <v>BN JUAL BELI</v>
      </c>
      <c r="H958" s="41" t="s">
        <v>920</v>
      </c>
      <c r="I958" s="41" t="s">
        <v>23</v>
      </c>
      <c r="J958" s="36">
        <f t="shared" si="20"/>
        <v>45679.41592</v>
      </c>
      <c r="K958" s="41" t="s">
        <v>920</v>
      </c>
      <c r="L958" s="41" t="s">
        <v>23</v>
      </c>
      <c r="M958" s="36">
        <f t="shared" si="26"/>
        <v>45679.41597</v>
      </c>
      <c r="N958" s="30" t="str">
        <f t="shared" si="27"/>
        <v>Selesai</v>
      </c>
      <c r="O958" s="45">
        <f t="shared" si="23"/>
        <v>45679.41597</v>
      </c>
      <c r="P958" s="47" t="b">
        <v>1</v>
      </c>
      <c r="Q958" s="36">
        <f t="shared" si="24"/>
        <v>45679.416</v>
      </c>
      <c r="R958" s="47" t="b">
        <v>0</v>
      </c>
      <c r="S958" s="42" t="str">
        <f t="shared" si="25"/>
        <v/>
      </c>
      <c r="T958" s="42"/>
    </row>
    <row r="959" ht="22.5" customHeight="1">
      <c r="B959" s="42">
        <f t="shared" si="7"/>
        <v>953</v>
      </c>
      <c r="C959" s="31" t="s">
        <v>1086</v>
      </c>
      <c r="D959" s="34" t="str">
        <f t="array" ref="D959">IFNA(_xlfn.XLOOKUP(C959,Table_Tarikan_Warkah[Nomor Sertipikat],Table_Tarikan_Warkah[Nomor Tiket]),"")</f>
        <v>K/5/070125/1</v>
      </c>
      <c r="E959" s="36" t="str">
        <f t="array" ref="E959">IFNA(_xlfn.XLOOKUP(D959,Table_Tarikan_Warkah[Nomor Tiket],Table_Tarikan_Warkah[Tanggal diserahkan kepada Validator]),"")</f>
        <v/>
      </c>
      <c r="F959" s="36" t="str">
        <f t="array" ref="F959">IFNA(_xlfn.XLOOKUP(D959,Table_Tarikan_Warkah[Nomor Tiket],Table_Tarikan_Warkah[Nama Petugas Warkah]),"")</f>
        <v>Berry</v>
      </c>
      <c r="G959" s="39" t="str">
        <f t="array" ref="G959">IFNA(_xlfn.XLOOKUP(D959,Table_Tarikan_Warkah[Nomor Tiket],Table_Tarikan_Warkah[Jenis Permohonan]),"")</f>
        <v>BN Jual Beli</v>
      </c>
      <c r="H959" s="41" t="s">
        <v>20</v>
      </c>
      <c r="I959" s="41" t="s">
        <v>23</v>
      </c>
      <c r="J959" s="36">
        <f t="shared" si="20"/>
        <v>45679.44101</v>
      </c>
      <c r="K959" s="49" t="s">
        <v>197</v>
      </c>
      <c r="L959" s="49" t="s">
        <v>23</v>
      </c>
      <c r="M959" s="36">
        <f t="shared" si="26"/>
        <v>45680.64435</v>
      </c>
      <c r="N959" s="30" t="str">
        <f t="shared" si="27"/>
        <v>Selesai</v>
      </c>
      <c r="O959" s="45">
        <f t="shared" si="23"/>
        <v>45680.64435</v>
      </c>
      <c r="P959" s="47" t="b">
        <v>1</v>
      </c>
      <c r="Q959" s="36">
        <f t="shared" si="24"/>
        <v>45680.64483</v>
      </c>
      <c r="R959" s="47" t="b">
        <v>0</v>
      </c>
      <c r="S959" s="42" t="str">
        <f t="shared" si="25"/>
        <v/>
      </c>
      <c r="T959" s="42"/>
    </row>
    <row r="960" ht="22.5" customHeight="1">
      <c r="B960" s="42">
        <f t="shared" si="7"/>
        <v>954</v>
      </c>
      <c r="C960" s="31" t="s">
        <v>1087</v>
      </c>
      <c r="D960" s="34" t="str">
        <f t="array" ref="D960">IFNA(_xlfn.XLOOKUP(C960,Table_Tarikan_Warkah[Nomor Sertipikat],Table_Tarikan_Warkah[Nomor Tiket]),"")</f>
        <v>K/42/301224/1</v>
      </c>
      <c r="E960" s="36" t="str">
        <f t="array" ref="E960">IFNA(_xlfn.XLOOKUP(D960,Table_Tarikan_Warkah[Nomor Tiket],Table_Tarikan_Warkah[Tanggal diserahkan kepada Validator]),"")</f>
        <v/>
      </c>
      <c r="F960" s="36" t="str">
        <f t="array" ref="F960">IFNA(_xlfn.XLOOKUP(D960,Table_Tarikan_Warkah[Nomor Tiket],Table_Tarikan_Warkah[Nama Petugas Warkah]),"")</f>
        <v>Berry</v>
      </c>
      <c r="G960" s="39" t="str">
        <f t="array" ref="G960">IFNA(_xlfn.XLOOKUP(D960,Table_Tarikan_Warkah[Nomor Tiket],Table_Tarikan_Warkah[Jenis Permohonan]),"")</f>
        <v>BN Jual Beli</v>
      </c>
      <c r="H960" s="41" t="s">
        <v>20</v>
      </c>
      <c r="I960" s="41" t="s">
        <v>23</v>
      </c>
      <c r="J960" s="36">
        <f t="shared" si="20"/>
        <v>45679.44393</v>
      </c>
      <c r="K960" s="49" t="s">
        <v>197</v>
      </c>
      <c r="L960" s="49" t="s">
        <v>23</v>
      </c>
      <c r="M960" s="36">
        <f t="shared" si="26"/>
        <v>45680.64435</v>
      </c>
      <c r="N960" s="30" t="str">
        <f t="shared" si="27"/>
        <v>Selesai</v>
      </c>
      <c r="O960" s="45">
        <f t="shared" si="23"/>
        <v>45680.64435</v>
      </c>
      <c r="P960" s="47" t="b">
        <v>1</v>
      </c>
      <c r="Q960" s="36">
        <f t="shared" si="24"/>
        <v>45680.64482</v>
      </c>
      <c r="R960" s="47" t="b">
        <v>0</v>
      </c>
      <c r="S960" s="42" t="str">
        <f t="shared" si="25"/>
        <v/>
      </c>
      <c r="T960" s="42"/>
    </row>
    <row r="961" ht="22.5" customHeight="1">
      <c r="B961" s="42">
        <f t="shared" si="7"/>
        <v>955</v>
      </c>
      <c r="C961" s="31" t="s">
        <v>1088</v>
      </c>
      <c r="D961" s="34" t="str">
        <f t="array" ref="D961">IFNA(_xlfn.XLOOKUP(C961,Table_Tarikan_Warkah[Nomor Sertipikat],Table_Tarikan_Warkah[Nomor Tiket]),"")</f>
        <v>K/3/200125/1</v>
      </c>
      <c r="E961" s="36" t="str">
        <f t="array" ref="E961">IFNA(_xlfn.XLOOKUP(D961,Table_Tarikan_Warkah[Nomor Tiket],Table_Tarikan_Warkah[Tanggal diserahkan kepada Validator]),"")</f>
        <v/>
      </c>
      <c r="F961" s="36" t="str">
        <f t="array" ref="F961">IFNA(_xlfn.XLOOKUP(D961,Table_Tarikan_Warkah[Nomor Tiket],Table_Tarikan_Warkah[Nama Petugas Warkah]),"")</f>
        <v>David</v>
      </c>
      <c r="G961" s="39" t="str">
        <f t="array" ref="G961">IFNA(_xlfn.XLOOKUP(D961,Table_Tarikan_Warkah[Nomor Tiket],Table_Tarikan_Warkah[Jenis Permohonan]),"")</f>
        <v>BN JUAL BELI</v>
      </c>
      <c r="H961" s="41" t="s">
        <v>20</v>
      </c>
      <c r="I961" s="41" t="s">
        <v>23</v>
      </c>
      <c r="J961" s="36">
        <f t="shared" si="20"/>
        <v>45679.44818</v>
      </c>
      <c r="K961" s="41" t="s">
        <v>197</v>
      </c>
      <c r="L961" s="41" t="s">
        <v>23</v>
      </c>
      <c r="M961" s="36">
        <f t="shared" si="26"/>
        <v>45680.64435</v>
      </c>
      <c r="N961" s="30" t="str">
        <f t="shared" si="27"/>
        <v>Selesai</v>
      </c>
      <c r="O961" s="45">
        <f t="shared" si="23"/>
        <v>45680.64435</v>
      </c>
      <c r="P961" s="47" t="b">
        <v>1</v>
      </c>
      <c r="Q961" s="36">
        <f t="shared" si="24"/>
        <v>45680.64481</v>
      </c>
      <c r="R961" s="47" t="b">
        <v>0</v>
      </c>
      <c r="S961" s="42" t="str">
        <f t="shared" si="25"/>
        <v/>
      </c>
      <c r="T961" s="42"/>
    </row>
    <row r="962" ht="22.5" customHeight="1">
      <c r="B962" s="42">
        <f t="shared" si="7"/>
        <v>956</v>
      </c>
      <c r="C962" s="31" t="s">
        <v>1089</v>
      </c>
      <c r="D962" s="34" t="str">
        <f t="array" ref="D962">IFNA(_xlfn.XLOOKUP(C962,Table_Tarikan_Warkah[Nomor Sertipikat],Table_Tarikan_Warkah[Nomor Tiket]),"")</f>
        <v>K/13/311224/1</v>
      </c>
      <c r="E962" s="36" t="str">
        <f t="array" ref="E962">IFNA(_xlfn.XLOOKUP(D962,Table_Tarikan_Warkah[Nomor Tiket],Table_Tarikan_Warkah[Tanggal diserahkan kepada Validator]),"")</f>
        <v/>
      </c>
      <c r="F962" s="36" t="str">
        <f t="array" ref="F962">IFNA(_xlfn.XLOOKUP(D962,Table_Tarikan_Warkah[Nomor Tiket],Table_Tarikan_Warkah[Nama Petugas Warkah]),"")</f>
        <v>David</v>
      </c>
      <c r="G962" s="39" t="str">
        <f t="array" ref="G962">IFNA(_xlfn.XLOOKUP(D962,Table_Tarikan_Warkah[Nomor Tiket],Table_Tarikan_Warkah[Jenis Permohonan]),"")</f>
        <v>BN JUAL BELI</v>
      </c>
      <c r="H962" s="41" t="s">
        <v>20</v>
      </c>
      <c r="I962" s="41" t="s">
        <v>23</v>
      </c>
      <c r="J962" s="36">
        <f t="shared" si="20"/>
        <v>45679.44904</v>
      </c>
      <c r="K962" s="49" t="s">
        <v>197</v>
      </c>
      <c r="L962" s="49" t="s">
        <v>23</v>
      </c>
      <c r="M962" s="36">
        <f t="shared" si="26"/>
        <v>45680.64441</v>
      </c>
      <c r="N962" s="30" t="str">
        <f t="shared" si="27"/>
        <v>Selesai</v>
      </c>
      <c r="O962" s="45">
        <f t="shared" si="23"/>
        <v>45680.64441</v>
      </c>
      <c r="P962" s="47" t="b">
        <v>1</v>
      </c>
      <c r="Q962" s="36">
        <f t="shared" si="24"/>
        <v>45680.6448</v>
      </c>
      <c r="R962" s="47" t="b">
        <v>0</v>
      </c>
      <c r="S962" s="42" t="str">
        <f t="shared" si="25"/>
        <v/>
      </c>
      <c r="T962" s="42"/>
    </row>
    <row r="963" ht="22.5" customHeight="1">
      <c r="B963" s="42">
        <f t="shared" si="7"/>
        <v>957</v>
      </c>
      <c r="C963" s="31" t="s">
        <v>1090</v>
      </c>
      <c r="D963" s="34" t="str">
        <f t="array" ref="D963">IFNA(_xlfn.XLOOKUP(C963,Table_Tarikan_Warkah[Nomor Sertipikat],Table_Tarikan_Warkah[Nomor Tiket]),"")</f>
        <v>K/9/200125/1</v>
      </c>
      <c r="E963" s="36">
        <f t="array" ref="E963">IFNA(_xlfn.XLOOKUP(D963,Table_Tarikan_Warkah[Nomor Tiket],Table_Tarikan_Warkah[Tanggal diserahkan kepada Validator]),"")</f>
        <v>45678.45067</v>
      </c>
      <c r="F963" s="36" t="str">
        <f t="array" ref="F963">IFNA(_xlfn.XLOOKUP(D963,Table_Tarikan_Warkah[Nomor Tiket],Table_Tarikan_Warkah[Nama Petugas Warkah]),"")</f>
        <v>Berry</v>
      </c>
      <c r="G963" s="39" t="str">
        <f t="array" ref="G963">IFNA(_xlfn.XLOOKUP(D963,Table_Tarikan_Warkah[Nomor Tiket],Table_Tarikan_Warkah[Jenis Permohonan]),"")</f>
        <v>ROYA</v>
      </c>
      <c r="H963" s="41" t="s">
        <v>20</v>
      </c>
      <c r="I963" s="41" t="s">
        <v>12</v>
      </c>
      <c r="J963" s="36">
        <f t="shared" si="20"/>
        <v>45679.48684</v>
      </c>
      <c r="K963" s="41" t="s">
        <v>197</v>
      </c>
      <c r="L963" s="41" t="s">
        <v>12</v>
      </c>
      <c r="M963" s="36">
        <f t="shared" si="26"/>
        <v>45688.57617</v>
      </c>
      <c r="N963" s="30" t="str">
        <f t="shared" si="27"/>
        <v>SELESAI</v>
      </c>
      <c r="O963" s="45">
        <f t="shared" si="23"/>
        <v>45688.57617</v>
      </c>
      <c r="P963" s="47" t="b">
        <v>0</v>
      </c>
      <c r="Q963" s="36" t="str">
        <f t="shared" si="24"/>
        <v/>
      </c>
      <c r="R963" s="47" t="b">
        <v>1</v>
      </c>
      <c r="S963" s="36">
        <f t="shared" si="25"/>
        <v>45688.57622</v>
      </c>
      <c r="T963" s="42"/>
    </row>
    <row r="964" ht="22.5" customHeight="1">
      <c r="B964" s="42">
        <f t="shared" si="7"/>
        <v>958</v>
      </c>
      <c r="C964" s="31" t="s">
        <v>1091</v>
      </c>
      <c r="D964" s="34" t="str">
        <f t="array" ref="D964">IFNA(_xlfn.XLOOKUP(C964,Table_Tarikan_Warkah[Nomor Sertipikat],Table_Tarikan_Warkah[Nomor Tiket]),"")</f>
        <v>K/12/200125/1</v>
      </c>
      <c r="E964" s="36">
        <f t="array" ref="E964">IFNA(_xlfn.XLOOKUP(D964,Table_Tarikan_Warkah[Nomor Tiket],Table_Tarikan_Warkah[Tanggal diserahkan kepada Validator]),"")</f>
        <v>45678.44977</v>
      </c>
      <c r="F964" s="36" t="str">
        <f t="array" ref="F964">IFNA(_xlfn.XLOOKUP(D964,Table_Tarikan_Warkah[Nomor Tiket],Table_Tarikan_Warkah[Nama Petugas Warkah]),"")</f>
        <v>Berry</v>
      </c>
      <c r="G964" s="39" t="str">
        <f t="array" ref="G964">IFNA(_xlfn.XLOOKUP(D964,Table_Tarikan_Warkah[Nomor Tiket],Table_Tarikan_Warkah[Jenis Permohonan]),"")</f>
        <v>PEMISAHAN BIDANG</v>
      </c>
      <c r="H964" s="41" t="s">
        <v>20</v>
      </c>
      <c r="I964" s="41" t="s">
        <v>12</v>
      </c>
      <c r="J964" s="36">
        <f t="shared" si="20"/>
        <v>45679.56224</v>
      </c>
      <c r="K964" s="41" t="s">
        <v>197</v>
      </c>
      <c r="L964" s="41" t="s">
        <v>12</v>
      </c>
      <c r="M964" s="36">
        <f t="shared" si="26"/>
        <v>45688.57728</v>
      </c>
      <c r="N964" s="30" t="str">
        <f t="shared" si="27"/>
        <v>SELESAI</v>
      </c>
      <c r="O964" s="45">
        <f t="shared" si="23"/>
        <v>45688.57728</v>
      </c>
      <c r="P964" s="47" t="b">
        <v>0</v>
      </c>
      <c r="Q964" s="36" t="str">
        <f t="shared" si="24"/>
        <v/>
      </c>
      <c r="R964" s="47" t="b">
        <v>1</v>
      </c>
      <c r="S964" s="36">
        <f t="shared" si="25"/>
        <v>45688.57732</v>
      </c>
      <c r="T964" s="42"/>
    </row>
    <row r="965" ht="22.5" customHeight="1">
      <c r="B965" s="42">
        <f t="shared" si="7"/>
        <v>959</v>
      </c>
      <c r="C965" s="31" t="s">
        <v>1092</v>
      </c>
      <c r="D965" s="34" t="str">
        <f t="array" ref="D965">IFNA(_xlfn.XLOOKUP(C965,Table_Tarikan_Warkah[Nomor Sertipikat],Table_Tarikan_Warkah[Nomor Tiket]),"")</f>
        <v>K/11/200125/1</v>
      </c>
      <c r="E965" s="36">
        <f t="array" ref="E965">IFNA(_xlfn.XLOOKUP(D965,Table_Tarikan_Warkah[Nomor Tiket],Table_Tarikan_Warkah[Tanggal diserahkan kepada Validator]),"")</f>
        <v>45678.44915</v>
      </c>
      <c r="F965" s="36" t="str">
        <f t="array" ref="F965">IFNA(_xlfn.XLOOKUP(D965,Table_Tarikan_Warkah[Nomor Tiket],Table_Tarikan_Warkah[Nama Petugas Warkah]),"")</f>
        <v>David</v>
      </c>
      <c r="G965" s="39" t="str">
        <f t="array" ref="G965">IFNA(_xlfn.XLOOKUP(D965,Table_Tarikan_Warkah[Nomor Tiket],Table_Tarikan_Warkah[Jenis Permohonan]),"")</f>
        <v>BN WARIS</v>
      </c>
      <c r="H965" s="41" t="s">
        <v>20</v>
      </c>
      <c r="I965" s="41" t="s">
        <v>12</v>
      </c>
      <c r="J965" s="36">
        <f t="shared" si="20"/>
        <v>45679.56842</v>
      </c>
      <c r="K965" s="41" t="s">
        <v>197</v>
      </c>
      <c r="L965" s="41" t="s">
        <v>12</v>
      </c>
      <c r="M965" s="36">
        <f t="shared" si="26"/>
        <v>45688.5777</v>
      </c>
      <c r="N965" s="30" t="str">
        <f t="shared" si="27"/>
        <v>SELESAI</v>
      </c>
      <c r="O965" s="45">
        <f t="shared" si="23"/>
        <v>45688.5777</v>
      </c>
      <c r="P965" s="47" t="b">
        <v>0</v>
      </c>
      <c r="Q965" s="36" t="str">
        <f t="shared" si="24"/>
        <v/>
      </c>
      <c r="R965" s="47" t="b">
        <v>1</v>
      </c>
      <c r="S965" s="36">
        <f t="shared" si="25"/>
        <v>45688.57773</v>
      </c>
      <c r="T965" s="42"/>
    </row>
    <row r="966" ht="22.5" customHeight="1">
      <c r="B966" s="42">
        <f t="shared" si="7"/>
        <v>960</v>
      </c>
      <c r="C966" s="31" t="s">
        <v>1093</v>
      </c>
      <c r="D966" s="34" t="str">
        <f t="array" ref="D966">IFNA(_xlfn.XLOOKUP(C966,Table_Tarikan_Warkah[Nomor Sertipikat],Table_Tarikan_Warkah[Nomor Tiket]),"")</f>
        <v>K/5/200125/1</v>
      </c>
      <c r="E966" s="36">
        <f t="array" ref="E966">IFNA(_xlfn.XLOOKUP(D966,Table_Tarikan_Warkah[Nomor Tiket],Table_Tarikan_Warkah[Tanggal diserahkan kepada Validator]),"")</f>
        <v>45678.44871</v>
      </c>
      <c r="F966" s="36" t="str">
        <f t="array" ref="F966">IFNA(_xlfn.XLOOKUP(D966,Table_Tarikan_Warkah[Nomor Tiket],Table_Tarikan_Warkah[Nama Petugas Warkah]),"")</f>
        <v>David</v>
      </c>
      <c r="G966" s="39" t="str">
        <f t="array" ref="G966">IFNA(_xlfn.XLOOKUP(D966,Table_Tarikan_Warkah[Nomor Tiket],Table_Tarikan_Warkah[Jenis Permohonan]),"")</f>
        <v>ROYA</v>
      </c>
      <c r="H966" s="41" t="s">
        <v>20</v>
      </c>
      <c r="I966" s="41" t="s">
        <v>12</v>
      </c>
      <c r="J966" s="36">
        <f t="shared" si="20"/>
        <v>45679.57382</v>
      </c>
      <c r="K966" s="41" t="s">
        <v>197</v>
      </c>
      <c r="L966" s="41" t="s">
        <v>12</v>
      </c>
      <c r="M966" s="36">
        <f t="shared" si="26"/>
        <v>45688.57416</v>
      </c>
      <c r="N966" s="30" t="str">
        <f t="shared" si="27"/>
        <v>SELESAI</v>
      </c>
      <c r="O966" s="45">
        <f t="shared" si="23"/>
        <v>45688.57416</v>
      </c>
      <c r="P966" s="47" t="b">
        <v>0</v>
      </c>
      <c r="Q966" s="36" t="str">
        <f t="shared" si="24"/>
        <v/>
      </c>
      <c r="R966" s="47" t="b">
        <v>1</v>
      </c>
      <c r="S966" s="36">
        <f t="shared" si="25"/>
        <v>45688.5742</v>
      </c>
      <c r="T966" s="42"/>
    </row>
    <row r="967" ht="22.5" customHeight="1">
      <c r="B967" s="42">
        <f t="shared" si="7"/>
        <v>961</v>
      </c>
      <c r="C967" s="31" t="s">
        <v>1094</v>
      </c>
      <c r="D967" s="34" t="str">
        <f t="array" ref="D967">IFNA(_xlfn.XLOOKUP(C967,Table_Tarikan_Warkah[Nomor Sertipikat],Table_Tarikan_Warkah[Nomor Tiket]),"")</f>
        <v>L/1/180125/1</v>
      </c>
      <c r="E967" s="36">
        <f t="array" ref="E967">IFNA(_xlfn.XLOOKUP(D967,Table_Tarikan_Warkah[Nomor Tiket],Table_Tarikan_Warkah[Tanggal diserahkan kepada Validator]),"")</f>
        <v>45678.44841</v>
      </c>
      <c r="F967" s="36" t="str">
        <f t="array" ref="F967">IFNA(_xlfn.XLOOKUP(D967,Table_Tarikan_Warkah[Nomor Tiket],Table_Tarikan_Warkah[Nama Petugas Warkah]),"")</f>
        <v>David</v>
      </c>
      <c r="G967" s="39" t="str">
        <f t="array" ref="G967">IFNA(_xlfn.XLOOKUP(D967,Table_Tarikan_Warkah[Nomor Tiket],Table_Tarikan_Warkah[Jenis Permohonan]),"")</f>
        <v>ROYA WARIS</v>
      </c>
      <c r="H967" s="41" t="s">
        <v>20</v>
      </c>
      <c r="I967" s="41" t="s">
        <v>12</v>
      </c>
      <c r="J967" s="36">
        <f t="shared" si="20"/>
        <v>45679.58119</v>
      </c>
      <c r="K967" s="41" t="s">
        <v>197</v>
      </c>
      <c r="L967" s="41" t="s">
        <v>12</v>
      </c>
      <c r="M967" s="36">
        <f t="shared" si="26"/>
        <v>45688.57991</v>
      </c>
      <c r="N967" s="30" t="str">
        <f t="shared" si="27"/>
        <v>SELESAI</v>
      </c>
      <c r="O967" s="45">
        <f t="shared" si="23"/>
        <v>45688.57991</v>
      </c>
      <c r="P967" s="47" t="b">
        <v>0</v>
      </c>
      <c r="Q967" s="36" t="str">
        <f t="shared" si="24"/>
        <v/>
      </c>
      <c r="R967" s="47" t="b">
        <v>1</v>
      </c>
      <c r="S967" s="36">
        <f t="shared" si="25"/>
        <v>45688.58059</v>
      </c>
      <c r="T967" s="42"/>
    </row>
    <row r="968" ht="22.5" customHeight="1">
      <c r="B968" s="42">
        <f t="shared" si="7"/>
        <v>962</v>
      </c>
      <c r="C968" s="31" t="s">
        <v>1095</v>
      </c>
      <c r="D968" s="34" t="str">
        <f t="array" ref="D968">IFNA(_xlfn.XLOOKUP(C968,Table_Tarikan_Warkah[Nomor Sertipikat],Table_Tarikan_Warkah[Nomor Tiket]),"")</f>
        <v>L/19/170125/1</v>
      </c>
      <c r="E968" s="36">
        <f t="array" ref="E968">IFNA(_xlfn.XLOOKUP(D968,Table_Tarikan_Warkah[Nomor Tiket],Table_Tarikan_Warkah[Tanggal diserahkan kepada Validator]),"")</f>
        <v>45678.44823</v>
      </c>
      <c r="F968" s="36" t="str">
        <f t="array" ref="F968">IFNA(_xlfn.XLOOKUP(D968,Table_Tarikan_Warkah[Nomor Tiket],Table_Tarikan_Warkah[Nama Petugas Warkah]),"")</f>
        <v>David</v>
      </c>
      <c r="G968" s="39" t="str">
        <f t="array" ref="G968">IFNA(_xlfn.XLOOKUP(D968,Table_Tarikan_Warkah[Nomor Tiket],Table_Tarikan_Warkah[Jenis Permohonan]),"")</f>
        <v>ROYA</v>
      </c>
      <c r="H968" s="41" t="s">
        <v>20</v>
      </c>
      <c r="I968" s="41" t="s">
        <v>12</v>
      </c>
      <c r="J968" s="36">
        <f t="shared" si="20"/>
        <v>45679.58398</v>
      </c>
      <c r="K968" s="41" t="s">
        <v>197</v>
      </c>
      <c r="L968" s="41" t="s">
        <v>12</v>
      </c>
      <c r="M968" s="36">
        <f t="shared" si="26"/>
        <v>45688.57581</v>
      </c>
      <c r="N968" s="30" t="str">
        <f t="shared" si="27"/>
        <v>SELESAI</v>
      </c>
      <c r="O968" s="45">
        <f t="shared" si="23"/>
        <v>45688.57581</v>
      </c>
      <c r="P968" s="47" t="b">
        <v>0</v>
      </c>
      <c r="Q968" s="36" t="str">
        <f t="shared" si="24"/>
        <v/>
      </c>
      <c r="R968" s="47" t="b">
        <v>1</v>
      </c>
      <c r="S968" s="36">
        <f t="shared" si="25"/>
        <v>45688.57586</v>
      </c>
      <c r="T968" s="42"/>
    </row>
    <row r="969" ht="22.5" customHeight="1">
      <c r="B969" s="42">
        <f t="shared" si="7"/>
        <v>963</v>
      </c>
      <c r="C969" s="31" t="s">
        <v>1096</v>
      </c>
      <c r="D969" s="34" t="str">
        <f t="array" ref="D969">IFNA(_xlfn.XLOOKUP(C969,Table_Tarikan_Warkah[Nomor Sertipikat],Table_Tarikan_Warkah[Nomor Tiket]),"")</f>
        <v>L/14/170125/1</v>
      </c>
      <c r="E969" s="36">
        <f t="array" ref="E969">IFNA(_xlfn.XLOOKUP(D969,Table_Tarikan_Warkah[Nomor Tiket],Table_Tarikan_Warkah[Tanggal diserahkan kepada Validator]),"")</f>
        <v>45678.44788</v>
      </c>
      <c r="F969" s="36" t="str">
        <f t="array" ref="F969">IFNA(_xlfn.XLOOKUP(D969,Table_Tarikan_Warkah[Nomor Tiket],Table_Tarikan_Warkah[Nama Petugas Warkah]),"")</f>
        <v>David</v>
      </c>
      <c r="G969" s="39" t="str">
        <f t="array" ref="G969">IFNA(_xlfn.XLOOKUP(D969,Table_Tarikan_Warkah[Nomor Tiket],Table_Tarikan_Warkah[Jenis Permohonan]),"")</f>
        <v>ROYA</v>
      </c>
      <c r="H969" s="41" t="s">
        <v>20</v>
      </c>
      <c r="I969" s="41" t="s">
        <v>12</v>
      </c>
      <c r="J969" s="36">
        <f t="shared" si="20"/>
        <v>45679.58477</v>
      </c>
      <c r="K969" s="41" t="s">
        <v>197</v>
      </c>
      <c r="L969" s="41" t="s">
        <v>12</v>
      </c>
      <c r="M969" s="36">
        <f t="shared" si="26"/>
        <v>45688.57557</v>
      </c>
      <c r="N969" s="30" t="str">
        <f t="shared" si="27"/>
        <v>SELESAI</v>
      </c>
      <c r="O969" s="45">
        <f t="shared" si="23"/>
        <v>45688.57557</v>
      </c>
      <c r="P969" s="47" t="b">
        <v>0</v>
      </c>
      <c r="Q969" s="36" t="str">
        <f t="shared" si="24"/>
        <v/>
      </c>
      <c r="R969" s="47" t="b">
        <v>1</v>
      </c>
      <c r="S969" s="36">
        <f t="shared" si="25"/>
        <v>45688.5756</v>
      </c>
      <c r="T969" s="42"/>
    </row>
    <row r="970" ht="22.5" customHeight="1">
      <c r="B970" s="42">
        <f t="shared" si="7"/>
        <v>964</v>
      </c>
      <c r="C970" s="31" t="s">
        <v>1097</v>
      </c>
      <c r="D970" s="34" t="str">
        <f t="array" ref="D970">IFNA(_xlfn.XLOOKUP(C970,Table_Tarikan_Warkah[Nomor Sertipikat],Table_Tarikan_Warkah[Nomor Tiket]),"")</f>
        <v>K/51/301224/1</v>
      </c>
      <c r="E970" s="36" t="str">
        <f t="array" ref="E970">IFNA(_xlfn.XLOOKUP(D970,Table_Tarikan_Warkah[Nomor Tiket],Table_Tarikan_Warkah[Tanggal diserahkan kepada Validator]),"")</f>
        <v/>
      </c>
      <c r="F970" s="36" t="str">
        <f t="array" ref="F970">IFNA(_xlfn.XLOOKUP(D970,Table_Tarikan_Warkah[Nomor Tiket],Table_Tarikan_Warkah[Nama Petugas Warkah]),"")</f>
        <v>Berry</v>
      </c>
      <c r="G970" s="39" t="str">
        <f t="array" ref="G970">IFNA(_xlfn.XLOOKUP(D970,Table_Tarikan_Warkah[Nomor Tiket],Table_Tarikan_Warkah[Jenis Permohonan]),"")</f>
        <v>KEWARISAN</v>
      </c>
      <c r="H970" s="41" t="s">
        <v>20</v>
      </c>
      <c r="I970" s="41" t="s">
        <v>23</v>
      </c>
      <c r="J970" s="36">
        <f t="shared" si="20"/>
        <v>45679.58897</v>
      </c>
      <c r="K970" s="49" t="s">
        <v>197</v>
      </c>
      <c r="L970" s="49" t="s">
        <v>23</v>
      </c>
      <c r="M970" s="36">
        <f t="shared" si="26"/>
        <v>45680.64457</v>
      </c>
      <c r="N970" s="30" t="str">
        <f t="shared" si="27"/>
        <v>Selesai</v>
      </c>
      <c r="O970" s="45">
        <f t="shared" si="23"/>
        <v>45680.64457</v>
      </c>
      <c r="P970" s="47" t="b">
        <v>1</v>
      </c>
      <c r="Q970" s="36">
        <f t="shared" si="24"/>
        <v>45680.64477</v>
      </c>
      <c r="R970" s="47" t="b">
        <v>0</v>
      </c>
      <c r="S970" s="42" t="str">
        <f t="shared" si="25"/>
        <v/>
      </c>
      <c r="T970" s="42"/>
    </row>
    <row r="971" ht="22.5" customHeight="1">
      <c r="B971" s="42">
        <f t="shared" si="7"/>
        <v>965</v>
      </c>
      <c r="C971" s="31" t="s">
        <v>1098</v>
      </c>
      <c r="D971" s="34" t="str">
        <f t="array" ref="D971">IFNA(_xlfn.XLOOKUP(C971,Table_Tarikan_Warkah[Nomor Sertipikat],Table_Tarikan_Warkah[Nomor Tiket]),"")</f>
        <v>K/33/130125/1</v>
      </c>
      <c r="E971" s="36">
        <f t="array" ref="E971">IFNA(_xlfn.XLOOKUP(D971,Table_Tarikan_Warkah[Nomor Tiket],Table_Tarikan_Warkah[Tanggal diserahkan kepada Validator]),"")</f>
        <v>45708.60192</v>
      </c>
      <c r="F971" s="36" t="str">
        <f t="array" ref="F971">IFNA(_xlfn.XLOOKUP(D971,Table_Tarikan_Warkah[Nomor Tiket],Table_Tarikan_Warkah[Nama Petugas Warkah]),"")</f>
        <v>Berry</v>
      </c>
      <c r="G971" s="39" t="str">
        <f t="array" ref="G971">IFNA(_xlfn.XLOOKUP(D971,Table_Tarikan_Warkah[Nomor Tiket],Table_Tarikan_Warkah[Jenis Permohonan]),"")</f>
        <v>Roya</v>
      </c>
      <c r="H971" s="41" t="s">
        <v>20</v>
      </c>
      <c r="I971" s="41" t="s">
        <v>23</v>
      </c>
      <c r="J971" s="36">
        <f t="shared" si="20"/>
        <v>45679.59043</v>
      </c>
      <c r="K971" s="41" t="s">
        <v>197</v>
      </c>
      <c r="L971" s="41" t="s">
        <v>23</v>
      </c>
      <c r="M971" s="36">
        <f t="shared" si="26"/>
        <v>45680.64457</v>
      </c>
      <c r="N971" s="30" t="str">
        <f t="shared" si="27"/>
        <v>Selesai</v>
      </c>
      <c r="O971" s="45">
        <f t="shared" si="23"/>
        <v>45680.64457</v>
      </c>
      <c r="P971" s="47" t="b">
        <v>1</v>
      </c>
      <c r="Q971" s="36">
        <f t="shared" si="24"/>
        <v>45680.64476</v>
      </c>
      <c r="R971" s="47" t="b">
        <v>0</v>
      </c>
      <c r="S971" s="42" t="str">
        <f t="shared" si="25"/>
        <v/>
      </c>
      <c r="T971" s="42"/>
    </row>
    <row r="972" ht="22.5" customHeight="1">
      <c r="B972" s="42">
        <f t="shared" si="7"/>
        <v>966</v>
      </c>
      <c r="C972" s="31" t="s">
        <v>1099</v>
      </c>
      <c r="D972" s="34" t="str">
        <f t="array" ref="D972">IFNA(_xlfn.XLOOKUP(C972,Table_Tarikan_Warkah[Nomor Sertipikat],Table_Tarikan_Warkah[Nomor Tiket]),"")</f>
        <v>K/14/200125/1</v>
      </c>
      <c r="E972" s="36">
        <f t="array" ref="E972">IFNA(_xlfn.XLOOKUP(D972,Table_Tarikan_Warkah[Nomor Tiket],Table_Tarikan_Warkah[Tanggal diserahkan kepada Validator]),"")</f>
        <v>45678.45121</v>
      </c>
      <c r="F972" s="36" t="str">
        <f t="array" ref="F972">IFNA(_xlfn.XLOOKUP(D972,Table_Tarikan_Warkah[Nomor Tiket],Table_Tarikan_Warkah[Nama Petugas Warkah]),"")</f>
        <v>Berry</v>
      </c>
      <c r="G972" s="39" t="str">
        <f t="array" ref="G972">IFNA(_xlfn.XLOOKUP(D972,Table_Tarikan_Warkah[Nomor Tiket],Table_Tarikan_Warkah[Jenis Permohonan]),"")</f>
        <v>BN WARIS</v>
      </c>
      <c r="H972" s="41" t="s">
        <v>11</v>
      </c>
      <c r="I972" s="41" t="s">
        <v>12</v>
      </c>
      <c r="J972" s="36">
        <f t="shared" si="20"/>
        <v>45679.67467</v>
      </c>
      <c r="K972" s="41" t="s">
        <v>197</v>
      </c>
      <c r="L972" s="41" t="s">
        <v>12</v>
      </c>
      <c r="M972" s="36">
        <f t="shared" si="26"/>
        <v>45688.57235</v>
      </c>
      <c r="N972" s="30" t="str">
        <f t="shared" si="27"/>
        <v>SELESAI</v>
      </c>
      <c r="O972" s="45">
        <f t="shared" si="23"/>
        <v>45688.57235</v>
      </c>
      <c r="P972" s="47" t="b">
        <v>0</v>
      </c>
      <c r="Q972" s="36" t="str">
        <f t="shared" si="24"/>
        <v/>
      </c>
      <c r="R972" s="47" t="b">
        <v>1</v>
      </c>
      <c r="S972" s="36">
        <f t="shared" si="25"/>
        <v>45688.57292</v>
      </c>
      <c r="T972" s="42"/>
    </row>
    <row r="973" ht="22.5" customHeight="1">
      <c r="B973" s="42">
        <f t="shared" si="7"/>
        <v>967</v>
      </c>
      <c r="C973" s="31" t="s">
        <v>1100</v>
      </c>
      <c r="D973" s="34" t="str">
        <f t="array" ref="D973">IFNA(_xlfn.XLOOKUP(C973,Table_Tarikan_Warkah[Nomor Sertipikat],Table_Tarikan_Warkah[Nomor Tiket]),"")</f>
        <v>L/18/200125/1</v>
      </c>
      <c r="E973" s="36">
        <f t="array" ref="E973">IFNA(_xlfn.XLOOKUP(D973,Table_Tarikan_Warkah[Nomor Tiket],Table_Tarikan_Warkah[Tanggal diserahkan kepada Validator]),"")</f>
        <v>45678.45181</v>
      </c>
      <c r="F973" s="36" t="str">
        <f t="array" ref="F973">IFNA(_xlfn.XLOOKUP(D973,Table_Tarikan_Warkah[Nomor Tiket],Table_Tarikan_Warkah[Nama Petugas Warkah]),"")</f>
        <v>Berry</v>
      </c>
      <c r="G973" s="39" t="str">
        <f t="array" ref="G973">IFNA(_xlfn.XLOOKUP(D973,Table_Tarikan_Warkah[Nomor Tiket],Table_Tarikan_Warkah[Jenis Permohonan]),"")</f>
        <v>ROYA</v>
      </c>
      <c r="H973" s="41" t="s">
        <v>11</v>
      </c>
      <c r="I973" s="41" t="s">
        <v>12</v>
      </c>
      <c r="J973" s="36">
        <f t="shared" si="20"/>
        <v>45679.67473</v>
      </c>
      <c r="K973" s="41" t="s">
        <v>197</v>
      </c>
      <c r="L973" s="41" t="s">
        <v>12</v>
      </c>
      <c r="M973" s="36">
        <f t="shared" si="26"/>
        <v>45688.57282</v>
      </c>
      <c r="N973" s="30" t="str">
        <f t="shared" si="27"/>
        <v>SELESAI</v>
      </c>
      <c r="O973" s="45">
        <f t="shared" si="23"/>
        <v>45688.57282</v>
      </c>
      <c r="P973" s="47" t="b">
        <v>0</v>
      </c>
      <c r="Q973" s="36" t="str">
        <f t="shared" si="24"/>
        <v/>
      </c>
      <c r="R973" s="47" t="b">
        <v>1</v>
      </c>
      <c r="S973" s="36">
        <f t="shared" si="25"/>
        <v>45688.57289</v>
      </c>
      <c r="T973" s="42"/>
    </row>
    <row r="974" ht="22.5" customHeight="1">
      <c r="B974" s="42">
        <f t="shared" si="7"/>
        <v>968</v>
      </c>
      <c r="C974" s="31" t="s">
        <v>1101</v>
      </c>
      <c r="D974" s="34" t="str">
        <f t="array" ref="D974">IFNA(_xlfn.XLOOKUP(C974,Table_Tarikan_Warkah[Nomor Sertipikat],Table_Tarikan_Warkah[Nomor Tiket]),"")</f>
        <v>K/17/200125/2</v>
      </c>
      <c r="E974" s="36">
        <f t="array" ref="E974">IFNA(_xlfn.XLOOKUP(D974,Table_Tarikan_Warkah[Nomor Tiket],Table_Tarikan_Warkah[Tanggal diserahkan kepada Validator]),"")</f>
        <v>45678.45217</v>
      </c>
      <c r="F974" s="36" t="str">
        <f t="array" ref="F974">IFNA(_xlfn.XLOOKUP(D974,Table_Tarikan_Warkah[Nomor Tiket],Table_Tarikan_Warkah[Nama Petugas Warkah]),"")</f>
        <v>Berry</v>
      </c>
      <c r="G974" s="39" t="str">
        <f t="array" ref="G974">IFNA(_xlfn.XLOOKUP(D974,Table_Tarikan_Warkah[Nomor Tiket],Table_Tarikan_Warkah[Jenis Permohonan]),"")</f>
        <v>BN Jual Beli</v>
      </c>
      <c r="H974" s="41" t="s">
        <v>11</v>
      </c>
      <c r="I974" s="41" t="s">
        <v>12</v>
      </c>
      <c r="J974" s="36">
        <f t="shared" si="20"/>
        <v>45679.67473</v>
      </c>
      <c r="K974" s="41" t="s">
        <v>197</v>
      </c>
      <c r="L974" s="41" t="s">
        <v>12</v>
      </c>
      <c r="M974" s="36">
        <f t="shared" si="26"/>
        <v>45688.5785</v>
      </c>
      <c r="N974" s="30" t="str">
        <f t="shared" si="27"/>
        <v>SELESAI</v>
      </c>
      <c r="O974" s="45">
        <f t="shared" si="23"/>
        <v>45688.5785</v>
      </c>
      <c r="P974" s="47" t="b">
        <v>0</v>
      </c>
      <c r="Q974" s="36" t="str">
        <f t="shared" si="24"/>
        <v/>
      </c>
      <c r="R974" s="47" t="b">
        <v>1</v>
      </c>
      <c r="S974" s="36">
        <f t="shared" si="25"/>
        <v>45688.57856</v>
      </c>
      <c r="T974" s="42"/>
    </row>
    <row r="975" ht="22.5" customHeight="1">
      <c r="B975" s="42">
        <f t="shared" si="7"/>
        <v>969</v>
      </c>
      <c r="C975" s="31" t="s">
        <v>1102</v>
      </c>
      <c r="D975" s="34" t="str">
        <f t="array" ref="D975">IFNA(_xlfn.XLOOKUP(C975,Table_Tarikan_Warkah[Nomor Sertipikat],Table_Tarikan_Warkah[Nomor Tiket]),"")</f>
        <v>L/23/200125/1</v>
      </c>
      <c r="E975" s="36">
        <f t="array" ref="E975">IFNA(_xlfn.XLOOKUP(D975,Table_Tarikan_Warkah[Nomor Tiket],Table_Tarikan_Warkah[Tanggal diserahkan kepada Validator]),"")</f>
        <v>45678.45244</v>
      </c>
      <c r="F975" s="36" t="str">
        <f t="array" ref="F975">IFNA(_xlfn.XLOOKUP(D975,Table_Tarikan_Warkah[Nomor Tiket],Table_Tarikan_Warkah[Nama Petugas Warkah]),"")</f>
        <v>Berry</v>
      </c>
      <c r="G975" s="39" t="str">
        <f t="array" ref="G975">IFNA(_xlfn.XLOOKUP(D975,Table_Tarikan_Warkah[Nomor Tiket],Table_Tarikan_Warkah[Jenis Permohonan]),"")</f>
        <v>ROYA</v>
      </c>
      <c r="H975" s="41" t="s">
        <v>11</v>
      </c>
      <c r="I975" s="41" t="s">
        <v>12</v>
      </c>
      <c r="J975" s="36">
        <f t="shared" si="20"/>
        <v>45679.67473</v>
      </c>
      <c r="K975" s="41" t="s">
        <v>197</v>
      </c>
      <c r="L975" s="41" t="s">
        <v>12</v>
      </c>
      <c r="M975" s="36">
        <f t="shared" si="26"/>
        <v>45688.57347</v>
      </c>
      <c r="N975" s="30" t="str">
        <f t="shared" si="27"/>
        <v>SELESAI</v>
      </c>
      <c r="O975" s="45">
        <f t="shared" si="23"/>
        <v>45688.57347</v>
      </c>
      <c r="P975" s="47" t="b">
        <v>0</v>
      </c>
      <c r="Q975" s="36" t="str">
        <f t="shared" si="24"/>
        <v/>
      </c>
      <c r="R975" s="47" t="b">
        <v>1</v>
      </c>
      <c r="S975" s="36">
        <f t="shared" si="25"/>
        <v>45688.57352</v>
      </c>
      <c r="T975" s="42"/>
    </row>
    <row r="976" ht="22.5" customHeight="1">
      <c r="B976" s="42">
        <f t="shared" si="7"/>
        <v>970</v>
      </c>
      <c r="C976" s="31" t="s">
        <v>1103</v>
      </c>
      <c r="D976" s="34" t="str">
        <f t="array" ref="D976">IFNA(_xlfn.XLOOKUP(C976,Table_Tarikan_Warkah[Nomor Sertipikat],Table_Tarikan_Warkah[Nomor Tiket]),"")</f>
        <v>L/1/210125/1</v>
      </c>
      <c r="E976" s="36">
        <f t="array" ref="E976">IFNA(_xlfn.XLOOKUP(D976,Table_Tarikan_Warkah[Nomor Tiket],Table_Tarikan_Warkah[Tanggal diserahkan kepada Validator]),"")</f>
        <v>45678.45349</v>
      </c>
      <c r="F976" s="36" t="str">
        <f t="array" ref="F976">IFNA(_xlfn.XLOOKUP(D976,Table_Tarikan_Warkah[Nomor Tiket],Table_Tarikan_Warkah[Nama Petugas Warkah]),"")</f>
        <v>Berry</v>
      </c>
      <c r="G976" s="39" t="str">
        <f t="array" ref="G976">IFNA(_xlfn.XLOOKUP(D976,Table_Tarikan_Warkah[Nomor Tiket],Table_Tarikan_Warkah[Jenis Permohonan]),"")</f>
        <v>ROYA</v>
      </c>
      <c r="H976" s="41" t="s">
        <v>11</v>
      </c>
      <c r="I976" s="41" t="s">
        <v>12</v>
      </c>
      <c r="J976" s="36">
        <f t="shared" si="20"/>
        <v>45679.67473</v>
      </c>
      <c r="K976" s="41" t="s">
        <v>197</v>
      </c>
      <c r="L976" s="41" t="s">
        <v>12</v>
      </c>
      <c r="M976" s="36">
        <f t="shared" si="26"/>
        <v>45688.57819</v>
      </c>
      <c r="N976" s="30" t="str">
        <f t="shared" si="27"/>
        <v>SELESAI</v>
      </c>
      <c r="O976" s="45">
        <f t="shared" si="23"/>
        <v>45688.57819</v>
      </c>
      <c r="P976" s="47" t="b">
        <v>0</v>
      </c>
      <c r="Q976" s="36" t="str">
        <f t="shared" si="24"/>
        <v/>
      </c>
      <c r="R976" s="47" t="b">
        <v>1</v>
      </c>
      <c r="S976" s="36">
        <f t="shared" si="25"/>
        <v>45688.57827</v>
      </c>
      <c r="T976" s="42"/>
    </row>
    <row r="977" ht="22.5" customHeight="1">
      <c r="B977" s="42">
        <f t="shared" si="7"/>
        <v>971</v>
      </c>
      <c r="C977" s="31" t="s">
        <v>1104</v>
      </c>
      <c r="D977" s="34" t="str">
        <f t="array" ref="D977">IFNA(_xlfn.XLOOKUP(C977,Table_Tarikan_Warkah[Nomor Sertipikat],Table_Tarikan_Warkah[Nomor Tiket]),"")</f>
        <v>K/36/201224/1</v>
      </c>
      <c r="E977" s="36" t="str">
        <f t="array" ref="E977">IFNA(_xlfn.XLOOKUP(D977,Table_Tarikan_Warkah[Nomor Tiket],Table_Tarikan_Warkah[Tanggal diserahkan kepada Validator]),"")</f>
        <v/>
      </c>
      <c r="F977" s="36" t="str">
        <f t="array" ref="F977">IFNA(_xlfn.XLOOKUP(D977,Table_Tarikan_Warkah[Nomor Tiket],Table_Tarikan_Warkah[Nama Petugas Warkah]),"")</f>
        <v/>
      </c>
      <c r="G977" s="39" t="str">
        <f t="array" ref="G977">IFNA(_xlfn.XLOOKUP(D977,Table_Tarikan_Warkah[Nomor Tiket],Table_Tarikan_Warkah[Jenis Permohonan]),"")</f>
        <v>PENINGKATAN HAK</v>
      </c>
      <c r="H977" s="41" t="s">
        <v>11</v>
      </c>
      <c r="I977" s="41" t="s">
        <v>12</v>
      </c>
      <c r="J977" s="36">
        <f t="shared" si="20"/>
        <v>45679.67473</v>
      </c>
      <c r="K977" s="51"/>
      <c r="L977" s="51"/>
      <c r="M977" s="36" t="str">
        <f t="shared" si="26"/>
        <v/>
      </c>
      <c r="N977" s="30" t="str">
        <f t="shared" si="27"/>
        <v>BT atau SU Belum Valid</v>
      </c>
      <c r="O977" s="39" t="str">
        <f t="shared" si="23"/>
        <v/>
      </c>
      <c r="P977" s="47" t="b">
        <v>0</v>
      </c>
      <c r="Q977" s="36" t="str">
        <f t="shared" si="24"/>
        <v/>
      </c>
      <c r="R977" s="47" t="b">
        <v>0</v>
      </c>
      <c r="S977" s="42" t="str">
        <f t="shared" si="25"/>
        <v/>
      </c>
      <c r="T977" s="42"/>
    </row>
    <row r="978" ht="22.5" customHeight="1">
      <c r="B978" s="42">
        <f t="shared" si="7"/>
        <v>972</v>
      </c>
      <c r="C978" s="31" t="s">
        <v>1105</v>
      </c>
      <c r="D978" s="34" t="str">
        <f t="array" ref="D978">IFNA(_xlfn.XLOOKUP(C978,Table_Tarikan_Warkah[Nomor Sertipikat],Table_Tarikan_Warkah[Nomor Tiket]),"")</f>
        <v>L/8/130125/1</v>
      </c>
      <c r="E978" s="36">
        <f t="array" ref="E978">IFNA(_xlfn.XLOOKUP(D978,Table_Tarikan_Warkah[Nomor Tiket],Table_Tarikan_Warkah[Tanggal diserahkan kepada Validator]),"")</f>
        <v>45691.45585</v>
      </c>
      <c r="F978" s="36" t="str">
        <f t="array" ref="F978">IFNA(_xlfn.XLOOKUP(D978,Table_Tarikan_Warkah[Nomor Tiket],Table_Tarikan_Warkah[Nama Petugas Warkah]),"")</f>
        <v>Berry</v>
      </c>
      <c r="G978" s="39" t="str">
        <f t="array" ref="G978">IFNA(_xlfn.XLOOKUP(D978,Table_Tarikan_Warkah[Nomor Tiket],Table_Tarikan_Warkah[Jenis Permohonan]),"")</f>
        <v>BN WARIS</v>
      </c>
      <c r="H978" s="41" t="s">
        <v>11</v>
      </c>
      <c r="I978" s="41" t="s">
        <v>23</v>
      </c>
      <c r="J978" s="36">
        <f t="shared" si="20"/>
        <v>45679.67476</v>
      </c>
      <c r="K978" s="49" t="s">
        <v>197</v>
      </c>
      <c r="L978" s="49" t="s">
        <v>23</v>
      </c>
      <c r="M978" s="36">
        <f t="shared" si="26"/>
        <v>45680.64447</v>
      </c>
      <c r="N978" s="30" t="str">
        <f t="shared" si="27"/>
        <v>Selesai</v>
      </c>
      <c r="O978" s="45">
        <f t="shared" si="23"/>
        <v>45680.64447</v>
      </c>
      <c r="P978" s="47" t="b">
        <v>1</v>
      </c>
      <c r="Q978" s="36">
        <f t="shared" si="24"/>
        <v>45680.64473</v>
      </c>
      <c r="R978" s="47" t="b">
        <v>0</v>
      </c>
      <c r="S978" s="42" t="str">
        <f t="shared" si="25"/>
        <v/>
      </c>
      <c r="T978" s="42"/>
    </row>
    <row r="979" ht="22.5" customHeight="1">
      <c r="B979" s="42">
        <f t="shared" si="7"/>
        <v>973</v>
      </c>
      <c r="C979" s="31" t="s">
        <v>1106</v>
      </c>
      <c r="D979" s="34" t="str">
        <f t="array" ref="D979">IFNA(_xlfn.XLOOKUP(C979,Table_Tarikan_Warkah[Nomor Sertipikat],Table_Tarikan_Warkah[Nomor Tiket]),"")</f>
        <v>K/5/170125/1</v>
      </c>
      <c r="E979" s="36" t="str">
        <f t="array" ref="E979">IFNA(_xlfn.XLOOKUP(D979,Table_Tarikan_Warkah[Nomor Tiket],Table_Tarikan_Warkah[Tanggal diserahkan kepada Validator]),"")</f>
        <v/>
      </c>
      <c r="F979" s="36" t="str">
        <f t="array" ref="F979">IFNA(_xlfn.XLOOKUP(D979,Table_Tarikan_Warkah[Nomor Tiket],Table_Tarikan_Warkah[Nama Petugas Warkah]),"")</f>
        <v>Berry</v>
      </c>
      <c r="G979" s="39" t="str">
        <f t="array" ref="G979">IFNA(_xlfn.XLOOKUP(D979,Table_Tarikan_Warkah[Nomor Tiket],Table_Tarikan_Warkah[Jenis Permohonan]),"")</f>
        <v>BN JUAL BELI</v>
      </c>
      <c r="H979" s="41" t="s">
        <v>11</v>
      </c>
      <c r="I979" s="41" t="s">
        <v>23</v>
      </c>
      <c r="J979" s="36">
        <f t="shared" si="20"/>
        <v>45679.6748</v>
      </c>
      <c r="K979" s="49" t="s">
        <v>197</v>
      </c>
      <c r="L979" s="49" t="s">
        <v>23</v>
      </c>
      <c r="M979" s="36">
        <f t="shared" si="26"/>
        <v>45680.64447</v>
      </c>
      <c r="N979" s="30" t="str">
        <f t="shared" si="27"/>
        <v>Selesai</v>
      </c>
      <c r="O979" s="45">
        <f t="shared" si="23"/>
        <v>45680.64447</v>
      </c>
      <c r="P979" s="47" t="b">
        <v>1</v>
      </c>
      <c r="Q979" s="36">
        <f t="shared" si="24"/>
        <v>45680.64472</v>
      </c>
      <c r="R979" s="47" t="b">
        <v>0</v>
      </c>
      <c r="S979" s="42" t="str">
        <f t="shared" si="25"/>
        <v/>
      </c>
      <c r="T979" s="42"/>
    </row>
    <row r="980" ht="22.5" customHeight="1">
      <c r="B980" s="42">
        <f t="shared" si="7"/>
        <v>974</v>
      </c>
      <c r="C980" s="31" t="s">
        <v>1107</v>
      </c>
      <c r="D980" s="34" t="str">
        <f t="array" ref="D980">IFNA(_xlfn.XLOOKUP(C980,Table_Tarikan_Warkah[Nomor Sertipikat],Table_Tarikan_Warkah[Nomor Tiket]),"")</f>
        <v>K/30/020125/2</v>
      </c>
      <c r="E980" s="36" t="str">
        <f t="array" ref="E980">IFNA(_xlfn.XLOOKUP(D980,Table_Tarikan_Warkah[Nomor Tiket],Table_Tarikan_Warkah[Tanggal diserahkan kepada Validator]),"")</f>
        <v/>
      </c>
      <c r="F980" s="36" t="str">
        <f t="array" ref="F980">IFNA(_xlfn.XLOOKUP(D980,Table_Tarikan_Warkah[Nomor Tiket],Table_Tarikan_Warkah[Nama Petugas Warkah]),"")</f>
        <v>Berry</v>
      </c>
      <c r="G980" s="39" t="str">
        <f t="array" ref="G980">IFNA(_xlfn.XLOOKUP(D980,Table_Tarikan_Warkah[Nomor Tiket],Table_Tarikan_Warkah[Jenis Permohonan]),"")</f>
        <v>BN WARIS</v>
      </c>
      <c r="H980" s="41" t="s">
        <v>11</v>
      </c>
      <c r="I980" s="41" t="s">
        <v>23</v>
      </c>
      <c r="J980" s="36">
        <f t="shared" si="20"/>
        <v>45679.6748</v>
      </c>
      <c r="K980" s="49" t="s">
        <v>197</v>
      </c>
      <c r="L980" s="49" t="s">
        <v>23</v>
      </c>
      <c r="M980" s="36">
        <f t="shared" si="26"/>
        <v>45680.64447</v>
      </c>
      <c r="N980" s="30" t="str">
        <f t="shared" si="27"/>
        <v>Selesai</v>
      </c>
      <c r="O980" s="45">
        <f t="shared" si="23"/>
        <v>45680.64447</v>
      </c>
      <c r="P980" s="47" t="b">
        <v>1</v>
      </c>
      <c r="Q980" s="36">
        <f t="shared" si="24"/>
        <v>45680.6447</v>
      </c>
      <c r="R980" s="47" t="b">
        <v>0</v>
      </c>
      <c r="S980" s="42" t="str">
        <f t="shared" si="25"/>
        <v/>
      </c>
      <c r="T980" s="42"/>
    </row>
    <row r="981" ht="22.5" customHeight="1">
      <c r="B981" s="42">
        <f t="shared" si="7"/>
        <v>975</v>
      </c>
      <c r="C981" s="31" t="s">
        <v>1108</v>
      </c>
      <c r="D981" s="34" t="str">
        <f t="array" ref="D981">IFNA(_xlfn.XLOOKUP(C981,Table_Tarikan_Warkah[Nomor Sertipikat],Table_Tarikan_Warkah[Nomor Tiket]),"")</f>
        <v>K/24/200125/1</v>
      </c>
      <c r="E981" s="36">
        <f t="array" ref="E981">IFNA(_xlfn.XLOOKUP(D981,Table_Tarikan_Warkah[Nomor Tiket],Table_Tarikan_Warkah[Tanggal diserahkan kepada Validator]),"")</f>
        <v>45678.45328</v>
      </c>
      <c r="F981" s="36" t="str">
        <f t="array" ref="F981">IFNA(_xlfn.XLOOKUP(D981,Table_Tarikan_Warkah[Nomor Tiket],Table_Tarikan_Warkah[Nama Petugas Warkah]),"")</f>
        <v>Berry</v>
      </c>
      <c r="G981" s="39" t="str">
        <f t="array" ref="G981">IFNA(_xlfn.XLOOKUP(D981,Table_Tarikan_Warkah[Nomor Tiket],Table_Tarikan_Warkah[Jenis Permohonan]),"")</f>
        <v>KEWARISAN</v>
      </c>
      <c r="H981" s="41" t="s">
        <v>11</v>
      </c>
      <c r="I981" s="41" t="s">
        <v>23</v>
      </c>
      <c r="J981" s="36">
        <f t="shared" si="20"/>
        <v>45679.6748</v>
      </c>
      <c r="K981" s="41" t="s">
        <v>197</v>
      </c>
      <c r="L981" s="41" t="s">
        <v>23</v>
      </c>
      <c r="M981" s="36">
        <f t="shared" si="26"/>
        <v>45680.64465</v>
      </c>
      <c r="N981" s="30" t="str">
        <f t="shared" si="27"/>
        <v>Selesai</v>
      </c>
      <c r="O981" s="45">
        <f t="shared" si="23"/>
        <v>45680.64465</v>
      </c>
      <c r="P981" s="47" t="b">
        <v>1</v>
      </c>
      <c r="Q981" s="36">
        <f t="shared" si="24"/>
        <v>45680.64469</v>
      </c>
      <c r="R981" s="47" t="b">
        <v>0</v>
      </c>
      <c r="S981" s="42" t="str">
        <f t="shared" si="25"/>
        <v/>
      </c>
      <c r="T981" s="42"/>
    </row>
    <row r="982" ht="22.5" customHeight="1">
      <c r="B982" s="42">
        <f t="shared" si="7"/>
        <v>976</v>
      </c>
      <c r="C982" s="31" t="s">
        <v>1109</v>
      </c>
      <c r="D982" s="34" t="str">
        <f t="array" ref="D982">IFNA(_xlfn.XLOOKUP(C982,Table_Tarikan_Warkah[Nomor Sertipikat],Table_Tarikan_Warkah[Nomor Tiket]),"")</f>
        <v>L/11/170125/1</v>
      </c>
      <c r="E982" s="36">
        <f t="array" ref="E982">IFNA(_xlfn.XLOOKUP(D982,Table_Tarikan_Warkah[Nomor Tiket],Table_Tarikan_Warkah[Tanggal diserahkan kepada Validator]),"")</f>
        <v>45678.44716</v>
      </c>
      <c r="F982" s="36" t="str">
        <f t="array" ref="F982">IFNA(_xlfn.XLOOKUP(D982,Table_Tarikan_Warkah[Nomor Tiket],Table_Tarikan_Warkah[Nama Petugas Warkah]),"")</f>
        <v>David</v>
      </c>
      <c r="G982" s="39" t="str">
        <f t="array" ref="G982">IFNA(_xlfn.XLOOKUP(D982,Table_Tarikan_Warkah[Nomor Tiket],Table_Tarikan_Warkah[Jenis Permohonan]),"")</f>
        <v>ROYA</v>
      </c>
      <c r="H982" s="41" t="s">
        <v>11</v>
      </c>
      <c r="I982" s="41" t="s">
        <v>12</v>
      </c>
      <c r="J982" s="36">
        <f t="shared" si="20"/>
        <v>45679.67481</v>
      </c>
      <c r="K982" s="41" t="s">
        <v>197</v>
      </c>
      <c r="L982" s="41" t="s">
        <v>12</v>
      </c>
      <c r="M982" s="36">
        <f t="shared" si="26"/>
        <v>45688.57374</v>
      </c>
      <c r="N982" s="30" t="str">
        <f t="shared" si="27"/>
        <v>SELESAI</v>
      </c>
      <c r="O982" s="45">
        <f t="shared" si="23"/>
        <v>45688.57374</v>
      </c>
      <c r="P982" s="47" t="b">
        <v>0</v>
      </c>
      <c r="Q982" s="36" t="str">
        <f t="shared" si="24"/>
        <v/>
      </c>
      <c r="R982" s="47" t="b">
        <v>1</v>
      </c>
      <c r="S982" s="36">
        <f t="shared" si="25"/>
        <v>45688.5738</v>
      </c>
      <c r="T982" s="42"/>
    </row>
    <row r="983" ht="22.5" customHeight="1">
      <c r="B983" s="42">
        <f t="shared" si="7"/>
        <v>977</v>
      </c>
      <c r="C983" s="31" t="s">
        <v>1110</v>
      </c>
      <c r="D983" s="34" t="str">
        <f t="array" ref="D983">IFNA(_xlfn.XLOOKUP(C983,Table_Tarikan_Warkah[Nomor Sertipikat],Table_Tarikan_Warkah[Nomor Tiket]),"")</f>
        <v>L/3/210125/1</v>
      </c>
      <c r="E983" s="36">
        <f t="array" ref="E983">IFNA(_xlfn.XLOOKUP(D983,Table_Tarikan_Warkah[Nomor Tiket],Table_Tarikan_Warkah[Tanggal diserahkan kepada Validator]),"")</f>
        <v>45678.45361</v>
      </c>
      <c r="F983" s="36" t="str">
        <f t="array" ref="F983">IFNA(_xlfn.XLOOKUP(D983,Table_Tarikan_Warkah[Nomor Tiket],Table_Tarikan_Warkah[Nama Petugas Warkah]),"")</f>
        <v>Berry</v>
      </c>
      <c r="G983" s="39" t="str">
        <f t="array" ref="G983">IFNA(_xlfn.XLOOKUP(D983,Table_Tarikan_Warkah[Nomor Tiket],Table_Tarikan_Warkah[Jenis Permohonan]),"")</f>
        <v>ROYA</v>
      </c>
      <c r="H983" s="41" t="s">
        <v>11</v>
      </c>
      <c r="I983" s="41" t="s">
        <v>12</v>
      </c>
      <c r="J983" s="36">
        <f t="shared" si="20"/>
        <v>45679.67484</v>
      </c>
      <c r="K983" s="41" t="s">
        <v>197</v>
      </c>
      <c r="L983" s="41" t="s">
        <v>12</v>
      </c>
      <c r="M983" s="36">
        <f t="shared" si="26"/>
        <v>45688.57962</v>
      </c>
      <c r="N983" s="30" t="str">
        <f t="shared" si="27"/>
        <v>SELESAI</v>
      </c>
      <c r="O983" s="45">
        <f t="shared" si="23"/>
        <v>45688.57962</v>
      </c>
      <c r="P983" s="47" t="b">
        <v>0</v>
      </c>
      <c r="Q983" s="36" t="str">
        <f t="shared" si="24"/>
        <v/>
      </c>
      <c r="R983" s="47" t="b">
        <v>1</v>
      </c>
      <c r="S983" s="36">
        <f t="shared" si="25"/>
        <v>45688.57967</v>
      </c>
      <c r="T983" s="42"/>
    </row>
    <row r="984" ht="22.5" customHeight="1">
      <c r="B984" s="42">
        <f t="shared" si="7"/>
        <v>978</v>
      </c>
      <c r="C984" s="31" t="s">
        <v>1111</v>
      </c>
      <c r="D984" s="34" t="str">
        <f t="array" ref="D984">IFNA(_xlfn.XLOOKUP(C984,Table_Tarikan_Warkah[Nomor Sertipikat],Table_Tarikan_Warkah[Nomor Tiket]),"")</f>
        <v>K/16/200125/1</v>
      </c>
      <c r="E984" s="36">
        <f t="array" ref="E984">IFNA(_xlfn.XLOOKUP(D984,Table_Tarikan_Warkah[Nomor Tiket],Table_Tarikan_Warkah[Tanggal diserahkan kepada Validator]),"")</f>
        <v>45678.45166</v>
      </c>
      <c r="F984" s="36" t="str">
        <f t="array" ref="F984">IFNA(_xlfn.XLOOKUP(D984,Table_Tarikan_Warkah[Nomor Tiket],Table_Tarikan_Warkah[Nama Petugas Warkah]),"")</f>
        <v>Berry</v>
      </c>
      <c r="G984" s="39" t="str">
        <f t="array" ref="G984">IFNA(_xlfn.XLOOKUP(D984,Table_Tarikan_Warkah[Nomor Tiket],Table_Tarikan_Warkah[Jenis Permohonan]),"")</f>
        <v>Roya</v>
      </c>
      <c r="H984" s="41" t="s">
        <v>11</v>
      </c>
      <c r="I984" s="41" t="s">
        <v>12</v>
      </c>
      <c r="J984" s="36">
        <f t="shared" si="20"/>
        <v>45679.67484</v>
      </c>
      <c r="K984" s="41" t="s">
        <v>197</v>
      </c>
      <c r="L984" s="41" t="s">
        <v>12</v>
      </c>
      <c r="M984" s="36">
        <f t="shared" si="26"/>
        <v>45688.58019</v>
      </c>
      <c r="N984" s="30" t="str">
        <f t="shared" si="27"/>
        <v>SELESAI</v>
      </c>
      <c r="O984" s="45">
        <f t="shared" si="23"/>
        <v>45688.58019</v>
      </c>
      <c r="P984" s="47" t="b">
        <v>0</v>
      </c>
      <c r="Q984" s="36" t="str">
        <f t="shared" si="24"/>
        <v/>
      </c>
      <c r="R984" s="47" t="b">
        <v>1</v>
      </c>
      <c r="S984" s="36">
        <f t="shared" si="25"/>
        <v>45688.58023</v>
      </c>
      <c r="T984" s="42"/>
    </row>
    <row r="985" ht="22.5" customHeight="1">
      <c r="B985" s="42">
        <f t="shared" si="7"/>
        <v>979</v>
      </c>
      <c r="C985" s="31" t="s">
        <v>1112</v>
      </c>
      <c r="D985" s="34" t="str">
        <f t="array" ref="D985">IFNA(_xlfn.XLOOKUP(C985,Table_Tarikan_Warkah[Nomor Sertipikat],Table_Tarikan_Warkah[Nomor Tiket]),"")</f>
        <v>L/10/130125/1</v>
      </c>
      <c r="E985" s="36">
        <f t="array" ref="E985">IFNA(_xlfn.XLOOKUP(D985,Table_Tarikan_Warkah[Nomor Tiket],Table_Tarikan_Warkah[Tanggal diserahkan kepada Validator]),"")</f>
        <v>45672.45803</v>
      </c>
      <c r="F985" s="36" t="str">
        <f t="array" ref="F985">IFNA(_xlfn.XLOOKUP(D985,Table_Tarikan_Warkah[Nomor Tiket],Table_Tarikan_Warkah[Nama Petugas Warkah]),"")</f>
        <v>Berry</v>
      </c>
      <c r="G985" s="39" t="str">
        <f t="array" ref="G985">IFNA(_xlfn.XLOOKUP(D985,Table_Tarikan_Warkah[Nomor Tiket],Table_Tarikan_Warkah[Jenis Permohonan]),"")</f>
        <v>ROYA</v>
      </c>
      <c r="H985" s="41" t="s">
        <v>20</v>
      </c>
      <c r="I985" s="41" t="s">
        <v>12</v>
      </c>
      <c r="J985" s="36">
        <f t="shared" si="20"/>
        <v>45680.46061</v>
      </c>
      <c r="K985" s="41" t="s">
        <v>197</v>
      </c>
      <c r="L985" s="41" t="s">
        <v>12</v>
      </c>
      <c r="M985" s="36">
        <f t="shared" si="26"/>
        <v>45688.5752</v>
      </c>
      <c r="N985" s="30" t="str">
        <f t="shared" si="27"/>
        <v>SELESAI</v>
      </c>
      <c r="O985" s="45">
        <f t="shared" si="23"/>
        <v>45688.5752</v>
      </c>
      <c r="P985" s="47" t="b">
        <v>1</v>
      </c>
      <c r="Q985" s="36">
        <f t="shared" si="24"/>
        <v>45688.57523</v>
      </c>
      <c r="R985" s="47" t="b">
        <v>0</v>
      </c>
      <c r="S985" s="42" t="str">
        <f t="shared" si="25"/>
        <v/>
      </c>
      <c r="T985" s="42"/>
    </row>
    <row r="986" ht="22.5" customHeight="1">
      <c r="B986" s="42">
        <f t="shared" si="7"/>
        <v>980</v>
      </c>
      <c r="C986" s="31" t="s">
        <v>1113</v>
      </c>
      <c r="D986" s="34" t="str">
        <f t="array" ref="D986">IFNA(_xlfn.XLOOKUP(C986,Table_Tarikan_Warkah[Nomor Sertipikat],Table_Tarikan_Warkah[Nomor Tiket]),"")</f>
        <v>L/15/200125/1</v>
      </c>
      <c r="E986" s="36">
        <f t="array" ref="E986">IFNA(_xlfn.XLOOKUP(D986,Table_Tarikan_Warkah[Nomor Tiket],Table_Tarikan_Warkah[Tanggal diserahkan kepada Validator]),"")</f>
        <v>45708.60334</v>
      </c>
      <c r="F986" s="36" t="str">
        <f t="array" ref="F986">IFNA(_xlfn.XLOOKUP(D986,Table_Tarikan_Warkah[Nomor Tiket],Table_Tarikan_Warkah[Nama Petugas Warkah]),"")</f>
        <v>Berry</v>
      </c>
      <c r="G986" s="39" t="str">
        <f t="array" ref="G986">IFNA(_xlfn.XLOOKUP(D986,Table_Tarikan_Warkah[Nomor Tiket],Table_Tarikan_Warkah[Jenis Permohonan]),"")</f>
        <v>ROYA</v>
      </c>
      <c r="H986" s="41" t="s">
        <v>20</v>
      </c>
      <c r="I986" s="41" t="s">
        <v>12</v>
      </c>
      <c r="J986" s="36">
        <f t="shared" si="20"/>
        <v>45680.472</v>
      </c>
      <c r="K986" s="51"/>
      <c r="L986" s="51"/>
      <c r="M986" s="36" t="str">
        <f t="shared" si="26"/>
        <v/>
      </c>
      <c r="N986" s="30" t="str">
        <f t="shared" si="27"/>
        <v>BT atau SU Belum Valid</v>
      </c>
      <c r="O986" s="39" t="str">
        <f t="shared" si="23"/>
        <v/>
      </c>
      <c r="P986" s="47" t="b">
        <v>0</v>
      </c>
      <c r="Q986" s="36" t="str">
        <f t="shared" si="24"/>
        <v/>
      </c>
      <c r="R986" s="47" t="b">
        <v>0</v>
      </c>
      <c r="S986" s="42" t="str">
        <f t="shared" si="25"/>
        <v/>
      </c>
      <c r="T986" s="42"/>
    </row>
    <row r="987" ht="22.5" customHeight="1">
      <c r="B987" s="42">
        <f t="shared" si="7"/>
        <v>981</v>
      </c>
      <c r="C987" s="31" t="s">
        <v>1114</v>
      </c>
      <c r="D987" s="34" t="str">
        <f t="array" ref="D987">IFNA(_xlfn.XLOOKUP(C987,Table_Tarikan_Warkah[Nomor Sertipikat],Table_Tarikan_Warkah[Nomor Tiket]),"")</f>
        <v>K/13/210125/1</v>
      </c>
      <c r="E987" s="36">
        <f t="array" ref="E987">IFNA(_xlfn.XLOOKUP(D987,Table_Tarikan_Warkah[Nomor Tiket],Table_Tarikan_Warkah[Tanggal diserahkan kepada Validator]),"")</f>
        <v>45688.6597</v>
      </c>
      <c r="F987" s="36" t="str">
        <f t="array" ref="F987">IFNA(_xlfn.XLOOKUP(D987,Table_Tarikan_Warkah[Nomor Tiket],Table_Tarikan_Warkah[Nama Petugas Warkah]),"")</f>
        <v>Berry</v>
      </c>
      <c r="G987" s="39" t="str">
        <f t="array" ref="G987">IFNA(_xlfn.XLOOKUP(D987,Table_Tarikan_Warkah[Nomor Tiket],Table_Tarikan_Warkah[Jenis Permohonan]),"")</f>
        <v>ROYA </v>
      </c>
      <c r="H987" s="41" t="s">
        <v>11</v>
      </c>
      <c r="I987" s="41" t="s">
        <v>23</v>
      </c>
      <c r="J987" s="36">
        <f t="shared" si="20"/>
        <v>45681.61417</v>
      </c>
      <c r="K987" s="49" t="s">
        <v>197</v>
      </c>
      <c r="L987" s="49" t="s">
        <v>23</v>
      </c>
      <c r="M987" s="36">
        <f t="shared" si="26"/>
        <v>45687.62657</v>
      </c>
      <c r="N987" s="30" t="str">
        <f t="shared" si="27"/>
        <v>Selesai</v>
      </c>
      <c r="O987" s="45">
        <f t="shared" si="23"/>
        <v>45687.62657</v>
      </c>
      <c r="P987" s="47" t="b">
        <v>1</v>
      </c>
      <c r="Q987" s="36">
        <f t="shared" si="24"/>
        <v>45687.62663</v>
      </c>
      <c r="R987" s="47" t="b">
        <v>1</v>
      </c>
      <c r="S987" s="36">
        <f t="shared" si="25"/>
        <v>45695.42216</v>
      </c>
      <c r="T987" s="42"/>
    </row>
    <row r="988" ht="22.5" customHeight="1">
      <c r="B988" s="42">
        <f t="shared" si="7"/>
        <v>982</v>
      </c>
      <c r="C988" s="31" t="s">
        <v>1115</v>
      </c>
      <c r="D988" s="34" t="str">
        <f t="array" ref="D988">IFNA(_xlfn.XLOOKUP(C988,Table_Tarikan_Warkah[Nomor Sertipikat],Table_Tarikan_Warkah[Nomor Tiket]),"")</f>
        <v>K/40/130125/2</v>
      </c>
      <c r="E988" s="36">
        <f t="array" ref="E988">IFNA(_xlfn.XLOOKUP(D988,Table_Tarikan_Warkah[Nomor Tiket],Table_Tarikan_Warkah[Tanggal diserahkan kepada Validator]),"")</f>
        <v>45691.45072</v>
      </c>
      <c r="F988" s="36" t="str">
        <f t="array" ref="F988">IFNA(_xlfn.XLOOKUP(D988,Table_Tarikan_Warkah[Nomor Tiket],Table_Tarikan_Warkah[Nama Petugas Warkah]),"")</f>
        <v>David</v>
      </c>
      <c r="G988" s="39" t="str">
        <f t="array" ref="G988">IFNA(_xlfn.XLOOKUP(D988,Table_Tarikan_Warkah[Nomor Tiket],Table_Tarikan_Warkah[Jenis Permohonan]),"")</f>
        <v>BN JUAL BELI</v>
      </c>
      <c r="H988" s="41" t="s">
        <v>11</v>
      </c>
      <c r="I988" s="41" t="s">
        <v>23</v>
      </c>
      <c r="J988" s="36">
        <f t="shared" si="20"/>
        <v>45681.6142</v>
      </c>
      <c r="K988" s="49" t="s">
        <v>197</v>
      </c>
      <c r="L988" s="49" t="s">
        <v>23</v>
      </c>
      <c r="M988" s="36">
        <f t="shared" si="26"/>
        <v>45687.62659</v>
      </c>
      <c r="N988" s="30" t="str">
        <f t="shared" si="27"/>
        <v>Selesai</v>
      </c>
      <c r="O988" s="45">
        <f t="shared" si="23"/>
        <v>45687.62659</v>
      </c>
      <c r="P988" s="47" t="b">
        <v>1</v>
      </c>
      <c r="Q988" s="36">
        <f t="shared" si="24"/>
        <v>45687.62664</v>
      </c>
      <c r="R988" s="47" t="b">
        <v>0</v>
      </c>
      <c r="S988" s="42" t="str">
        <f t="shared" si="25"/>
        <v/>
      </c>
      <c r="T988" s="42"/>
    </row>
    <row r="989" ht="22.5" customHeight="1">
      <c r="B989" s="42">
        <f t="shared" si="7"/>
        <v>983</v>
      </c>
      <c r="C989" s="31" t="s">
        <v>1116</v>
      </c>
      <c r="D989" s="34" t="str">
        <f t="array" ref="D989">IFNA(_xlfn.XLOOKUP(C989,Table_Tarikan_Warkah[Nomor Sertipikat],Table_Tarikan_Warkah[Nomor Tiket]),"")</f>
        <v>K/63/251124/1</v>
      </c>
      <c r="E989" s="36">
        <f t="array" ref="E989">IFNA(_xlfn.XLOOKUP(D989,Table_Tarikan_Warkah[Nomor Tiket],Table_Tarikan_Warkah[Tanggal diserahkan kepada Validator]),"")</f>
        <v>45691.455</v>
      </c>
      <c r="F989" s="36" t="str">
        <f t="array" ref="F989">IFNA(_xlfn.XLOOKUP(D989,Table_Tarikan_Warkah[Nomor Tiket],Table_Tarikan_Warkah[Nama Petugas Warkah]),"")</f>
        <v>Berry</v>
      </c>
      <c r="G989" s="39" t="str">
        <f t="array" ref="G989">IFNA(_xlfn.XLOOKUP(D989,Table_Tarikan_Warkah[Nomor Tiket],Table_Tarikan_Warkah[Jenis Permohonan]),"")</f>
        <v>BN JUAL BELI</v>
      </c>
      <c r="H989" s="41" t="s">
        <v>11</v>
      </c>
      <c r="I989" s="41" t="s">
        <v>23</v>
      </c>
      <c r="J989" s="36">
        <f t="shared" si="20"/>
        <v>45681.6142</v>
      </c>
      <c r="K989" s="49" t="s">
        <v>197</v>
      </c>
      <c r="L989" s="49" t="s">
        <v>23</v>
      </c>
      <c r="M989" s="36">
        <f t="shared" si="26"/>
        <v>45687.62661</v>
      </c>
      <c r="N989" s="30" t="str">
        <f t="shared" si="27"/>
        <v>Selesai</v>
      </c>
      <c r="O989" s="45">
        <f t="shared" si="23"/>
        <v>45687.62661</v>
      </c>
      <c r="P989" s="47" t="b">
        <v>1</v>
      </c>
      <c r="Q989" s="36">
        <f t="shared" si="24"/>
        <v>45687.62666</v>
      </c>
      <c r="R989" s="47" t="b">
        <v>0</v>
      </c>
      <c r="S989" s="42" t="str">
        <f t="shared" si="25"/>
        <v/>
      </c>
      <c r="T989" s="42"/>
    </row>
    <row r="990" ht="22.5" customHeight="1">
      <c r="B990" s="42">
        <f t="shared" si="7"/>
        <v>984</v>
      </c>
      <c r="C990" s="31" t="s">
        <v>1117</v>
      </c>
      <c r="D990" s="34" t="str">
        <f t="array" ref="D990">IFNA(_xlfn.XLOOKUP(C990,Table_Tarikan_Warkah[Nomor Sertipikat],Table_Tarikan_Warkah[Nomor Tiket]),"")</f>
        <v>K/32/210125/2</v>
      </c>
      <c r="E990" s="36">
        <f t="array" ref="E990">IFNA(_xlfn.XLOOKUP(D990,Table_Tarikan_Warkah[Nomor Tiket],Table_Tarikan_Warkah[Tanggal diserahkan kepada Validator]),"")</f>
        <v>45691.45721</v>
      </c>
      <c r="F990" s="36" t="str">
        <f t="array" ref="F990">IFNA(_xlfn.XLOOKUP(D990,Table_Tarikan_Warkah[Nomor Tiket],Table_Tarikan_Warkah[Nama Petugas Warkah]),"")</f>
        <v>Berry</v>
      </c>
      <c r="G990" s="39" t="str">
        <f t="array" ref="G990">IFNA(_xlfn.XLOOKUP(D990,Table_Tarikan_Warkah[Nomor Tiket],Table_Tarikan_Warkah[Jenis Permohonan]),"")</f>
        <v>BN JUAL BELI</v>
      </c>
      <c r="H990" s="41" t="s">
        <v>20</v>
      </c>
      <c r="I990" s="41" t="s">
        <v>23</v>
      </c>
      <c r="J990" s="36">
        <f t="shared" si="20"/>
        <v>45681.61542</v>
      </c>
      <c r="K990" s="49" t="s">
        <v>197</v>
      </c>
      <c r="L990" s="49" t="s">
        <v>23</v>
      </c>
      <c r="M990" s="36">
        <f t="shared" si="26"/>
        <v>45687.62637</v>
      </c>
      <c r="N990" s="30" t="str">
        <f t="shared" si="27"/>
        <v>Selesai</v>
      </c>
      <c r="O990" s="45">
        <f t="shared" si="23"/>
        <v>45687.62637</v>
      </c>
      <c r="P990" s="47" t="b">
        <v>1</v>
      </c>
      <c r="Q990" s="36">
        <f t="shared" si="24"/>
        <v>45687.62643</v>
      </c>
      <c r="R990" s="47" t="b">
        <v>0</v>
      </c>
      <c r="S990" s="42" t="str">
        <f t="shared" si="25"/>
        <v/>
      </c>
      <c r="T990" s="42"/>
    </row>
    <row r="991" ht="22.5" customHeight="1">
      <c r="B991" s="42">
        <f t="shared" si="7"/>
        <v>985</v>
      </c>
      <c r="C991" s="31" t="s">
        <v>1118</v>
      </c>
      <c r="D991" s="34" t="str">
        <f t="array" ref="D991">IFNA(_xlfn.XLOOKUP(C991,Table_Tarikan_Warkah[Nomor Sertipikat],Table_Tarikan_Warkah[Nomor Tiket]),"")</f>
        <v>K/27/161224/1</v>
      </c>
      <c r="E991" s="36">
        <f t="array" ref="E991">IFNA(_xlfn.XLOOKUP(D991,Table_Tarikan_Warkah[Nomor Tiket],Table_Tarikan_Warkah[Tanggal diserahkan kepada Validator]),"")</f>
        <v>45691.45339</v>
      </c>
      <c r="F991" s="36" t="str">
        <f t="array" ref="F991">IFNA(_xlfn.XLOOKUP(D991,Table_Tarikan_Warkah[Nomor Tiket],Table_Tarikan_Warkah[Nama Petugas Warkah]),"")</f>
        <v>Berry</v>
      </c>
      <c r="G991" s="39" t="str">
        <f t="array" ref="G991">IFNA(_xlfn.XLOOKUP(D991,Table_Tarikan_Warkah[Nomor Tiket],Table_Tarikan_Warkah[Jenis Permohonan]),"")</f>
        <v>BN JUAL BELI</v>
      </c>
      <c r="H991" s="41" t="s">
        <v>20</v>
      </c>
      <c r="I991" s="41" t="s">
        <v>23</v>
      </c>
      <c r="J991" s="36">
        <f t="shared" si="20"/>
        <v>45681.62412</v>
      </c>
      <c r="K991" s="49" t="s">
        <v>197</v>
      </c>
      <c r="L991" s="49" t="s">
        <v>23</v>
      </c>
      <c r="M991" s="36">
        <f t="shared" si="26"/>
        <v>45687.62639</v>
      </c>
      <c r="N991" s="30" t="str">
        <f t="shared" si="27"/>
        <v>Selesai</v>
      </c>
      <c r="O991" s="45">
        <f t="shared" si="23"/>
        <v>45687.62639</v>
      </c>
      <c r="P991" s="47" t="b">
        <v>1</v>
      </c>
      <c r="Q991" s="36">
        <f t="shared" si="24"/>
        <v>45687.62644</v>
      </c>
      <c r="R991" s="47" t="b">
        <v>0</v>
      </c>
      <c r="S991" s="42" t="str">
        <f t="shared" si="25"/>
        <v/>
      </c>
      <c r="T991" s="42"/>
    </row>
    <row r="992" ht="22.5" customHeight="1">
      <c r="B992" s="42">
        <f t="shared" si="7"/>
        <v>986</v>
      </c>
      <c r="C992" s="31" t="s">
        <v>1119</v>
      </c>
      <c r="D992" s="34" t="str">
        <f t="array" ref="D992">IFNA(_xlfn.XLOOKUP(C992,Table_Tarikan_Warkah[Nomor Sertipikat],Table_Tarikan_Warkah[Nomor Tiket]),"")</f>
        <v>L/28/291024/1</v>
      </c>
      <c r="E992" s="36">
        <f t="array" ref="E992">IFNA(_xlfn.XLOOKUP(D992,Table_Tarikan_Warkah[Nomor Tiket],Table_Tarikan_Warkah[Tanggal diserahkan kepada Validator]),"")</f>
        <v>45691.62656</v>
      </c>
      <c r="F992" s="36" t="str">
        <f t="array" ref="F992">IFNA(_xlfn.XLOOKUP(D992,Table_Tarikan_Warkah[Nomor Tiket],Table_Tarikan_Warkah[Nama Petugas Warkah]),"")</f>
        <v>Berry</v>
      </c>
      <c r="G992" s="39" t="str">
        <f t="array" ref="G992">IFNA(_xlfn.XLOOKUP(D992,Table_Tarikan_Warkah[Nomor Tiket],Table_Tarikan_Warkah[Jenis Permohonan]),"")</f>
        <v>ROYA</v>
      </c>
      <c r="H992" s="41" t="s">
        <v>20</v>
      </c>
      <c r="I992" s="41" t="s">
        <v>23</v>
      </c>
      <c r="J992" s="36">
        <f t="shared" si="20"/>
        <v>45681.62621</v>
      </c>
      <c r="K992" s="41" t="s">
        <v>26</v>
      </c>
      <c r="L992" s="41" t="s">
        <v>23</v>
      </c>
      <c r="M992" s="36">
        <f t="shared" si="26"/>
        <v>45681.62627</v>
      </c>
      <c r="N992" s="30" t="str">
        <f t="shared" si="27"/>
        <v>Selesai</v>
      </c>
      <c r="O992" s="45">
        <f t="shared" si="23"/>
        <v>45681.62627</v>
      </c>
      <c r="P992" s="47" t="b">
        <v>1</v>
      </c>
      <c r="Q992" s="36">
        <f t="shared" si="24"/>
        <v>45681.62628</v>
      </c>
      <c r="R992" s="47" t="b">
        <v>0</v>
      </c>
      <c r="S992" s="42" t="str">
        <f t="shared" si="25"/>
        <v/>
      </c>
      <c r="T992" s="42"/>
    </row>
    <row r="993" ht="22.5" customHeight="1">
      <c r="B993" s="42">
        <f t="shared" si="7"/>
        <v>987</v>
      </c>
      <c r="C993" s="31" t="s">
        <v>1120</v>
      </c>
      <c r="D993" s="34" t="str">
        <f t="array" ref="D993">IFNA(_xlfn.XLOOKUP(C993,Table_Tarikan_Warkah[Nomor Sertipikat],Table_Tarikan_Warkah[Nomor Tiket]),"")</f>
        <v>K/1/220125/1</v>
      </c>
      <c r="E993" s="36">
        <f t="array" ref="E993">IFNA(_xlfn.XLOOKUP(D993,Table_Tarikan_Warkah[Nomor Tiket],Table_Tarikan_Warkah[Tanggal diserahkan kepada Validator]),"")</f>
        <v>45734.44297</v>
      </c>
      <c r="F993" s="36" t="str">
        <f t="array" ref="F993">IFNA(_xlfn.XLOOKUP(D993,Table_Tarikan_Warkah[Nomor Tiket],Table_Tarikan_Warkah[Nama Petugas Warkah]),"")</f>
        <v>Berry</v>
      </c>
      <c r="G993" s="39" t="str">
        <f t="array" ref="G993">IFNA(_xlfn.XLOOKUP(D993,Table_Tarikan_Warkah[Nomor Tiket],Table_Tarikan_Warkah[Jenis Permohonan]),"")</f>
        <v>Roya</v>
      </c>
      <c r="H993" s="41" t="s">
        <v>20</v>
      </c>
      <c r="I993" s="41" t="s">
        <v>23</v>
      </c>
      <c r="J993" s="36">
        <f t="shared" si="20"/>
        <v>45681.64635</v>
      </c>
      <c r="K993" s="49" t="s">
        <v>197</v>
      </c>
      <c r="L993" s="49" t="s">
        <v>23</v>
      </c>
      <c r="M993" s="36">
        <f t="shared" si="26"/>
        <v>45687.62641</v>
      </c>
      <c r="N993" s="30" t="str">
        <f t="shared" si="27"/>
        <v>Selesai</v>
      </c>
      <c r="O993" s="45">
        <f t="shared" si="23"/>
        <v>45687.62641</v>
      </c>
      <c r="P993" s="47" t="b">
        <v>1</v>
      </c>
      <c r="Q993" s="36">
        <f t="shared" si="24"/>
        <v>45687.62646</v>
      </c>
      <c r="R993" s="47" t="b">
        <v>0</v>
      </c>
      <c r="S993" s="42" t="str">
        <f t="shared" si="25"/>
        <v/>
      </c>
      <c r="T993" s="42"/>
    </row>
    <row r="994" ht="22.5" customHeight="1">
      <c r="B994" s="42">
        <f t="shared" si="7"/>
        <v>988</v>
      </c>
      <c r="C994" s="31" t="s">
        <v>1121</v>
      </c>
      <c r="D994" s="34" t="str">
        <f t="array" ref="D994">IFNA(_xlfn.XLOOKUP(C994,Table_Tarikan_Warkah[Nomor Sertipikat],Table_Tarikan_Warkah[Nomor Tiket]),"")</f>
        <v>K/22/121224/1</v>
      </c>
      <c r="E994" s="36" t="str">
        <f t="array" ref="E994">IFNA(_xlfn.XLOOKUP(D994,Table_Tarikan_Warkah[Nomor Tiket],Table_Tarikan_Warkah[Tanggal diserahkan kepada Validator]),"")</f>
        <v/>
      </c>
      <c r="F994" s="36" t="str">
        <f t="array" ref="F994">IFNA(_xlfn.XLOOKUP(D994,Table_Tarikan_Warkah[Nomor Tiket],Table_Tarikan_Warkah[Nama Petugas Warkah]),"")</f>
        <v/>
      </c>
      <c r="G994" s="39" t="str">
        <f t="array" ref="G994">IFNA(_xlfn.XLOOKUP(D994,Table_Tarikan_Warkah[Nomor Tiket],Table_Tarikan_Warkah[Jenis Permohonan]),"")</f>
        <v>GANTI NAMA</v>
      </c>
      <c r="H994" s="41" t="s">
        <v>20</v>
      </c>
      <c r="I994" s="41" t="s">
        <v>23</v>
      </c>
      <c r="J994" s="36">
        <f t="shared" si="20"/>
        <v>45688.4259</v>
      </c>
      <c r="K994" s="49" t="s">
        <v>197</v>
      </c>
      <c r="L994" s="49" t="s">
        <v>23</v>
      </c>
      <c r="M994" s="36">
        <f t="shared" si="26"/>
        <v>45693.69575</v>
      </c>
      <c r="N994" s="30" t="str">
        <f t="shared" si="27"/>
        <v>Selesai</v>
      </c>
      <c r="O994" s="45">
        <f t="shared" si="23"/>
        <v>45693.69575</v>
      </c>
      <c r="P994" s="47" t="b">
        <v>1</v>
      </c>
      <c r="Q994" s="36">
        <f t="shared" si="24"/>
        <v>45693.69603</v>
      </c>
      <c r="R994" s="47" t="b">
        <v>0</v>
      </c>
      <c r="S994" s="42" t="str">
        <f t="shared" si="25"/>
        <v/>
      </c>
      <c r="T994" s="42"/>
    </row>
    <row r="995" ht="22.5" customHeight="1">
      <c r="B995" s="42">
        <f t="shared" si="7"/>
        <v>989</v>
      </c>
      <c r="C995" s="31" t="s">
        <v>1122</v>
      </c>
      <c r="D995" s="34" t="str">
        <f t="array" ref="D995">IFNA(_xlfn.XLOOKUP(C995,Table_Tarikan_Warkah[Nomor Sertipikat],Table_Tarikan_Warkah[Nomor Tiket]),"")</f>
        <v>K/12/240125/1</v>
      </c>
      <c r="E995" s="36">
        <f t="array" ref="E995">IFNA(_xlfn.XLOOKUP(D995,Table_Tarikan_Warkah[Nomor Tiket],Table_Tarikan_Warkah[Tanggal diserahkan kepada Validator]),"")</f>
        <v>45720.56696</v>
      </c>
      <c r="F995" s="36" t="str">
        <f t="array" ref="F995">IFNA(_xlfn.XLOOKUP(D995,Table_Tarikan_Warkah[Nomor Tiket],Table_Tarikan_Warkah[Nama Petugas Warkah]),"")</f>
        <v>David</v>
      </c>
      <c r="G995" s="39" t="str">
        <f t="array" ref="G995">IFNA(_xlfn.XLOOKUP(D995,Table_Tarikan_Warkah[Nomor Tiket],Table_Tarikan_Warkah[Jenis Permohonan]),"")</f>
        <v>ROYA</v>
      </c>
      <c r="H995" s="41" t="s">
        <v>20</v>
      </c>
      <c r="I995" s="41" t="s">
        <v>23</v>
      </c>
      <c r="J995" s="36">
        <f t="shared" si="20"/>
        <v>45688.44098</v>
      </c>
      <c r="K995" s="49" t="s">
        <v>197</v>
      </c>
      <c r="L995" s="49" t="s">
        <v>23</v>
      </c>
      <c r="M995" s="36">
        <f t="shared" si="26"/>
        <v>45693.69575</v>
      </c>
      <c r="N995" s="30" t="str">
        <f t="shared" si="27"/>
        <v>Selesai</v>
      </c>
      <c r="O995" s="45">
        <f t="shared" si="23"/>
        <v>45693.69575</v>
      </c>
      <c r="P995" s="47" t="b">
        <v>1</v>
      </c>
      <c r="Q995" s="36">
        <f t="shared" si="24"/>
        <v>45693.69604</v>
      </c>
      <c r="R995" s="47" t="b">
        <v>0</v>
      </c>
      <c r="S995" s="42" t="str">
        <f t="shared" si="25"/>
        <v/>
      </c>
      <c r="T995" s="42"/>
    </row>
    <row r="996" ht="22.5" customHeight="1">
      <c r="B996" s="42">
        <f t="shared" si="7"/>
        <v>990</v>
      </c>
      <c r="C996" s="31" t="s">
        <v>1123</v>
      </c>
      <c r="D996" s="34" t="str">
        <f t="array" ref="D996">IFNA(_xlfn.XLOOKUP(C996,Table_Tarikan_Warkah[Nomor Sertipikat],Table_Tarikan_Warkah[Nomor Tiket]),"")</f>
        <v>K/19/240125/1</v>
      </c>
      <c r="E996" s="36">
        <f t="array" ref="E996">IFNA(_xlfn.XLOOKUP(D996,Table_Tarikan_Warkah[Nomor Tiket],Table_Tarikan_Warkah[Tanggal diserahkan kepada Validator]),"")</f>
        <v>45702.40936</v>
      </c>
      <c r="F996" s="36" t="str">
        <f t="array" ref="F996">IFNA(_xlfn.XLOOKUP(D996,Table_Tarikan_Warkah[Nomor Tiket],Table_Tarikan_Warkah[Nama Petugas Warkah]),"")</f>
        <v>David</v>
      </c>
      <c r="G996" s="39" t="str">
        <f t="array" ref="G996">IFNA(_xlfn.XLOOKUP(D996,Table_Tarikan_Warkah[Nomor Tiket],Table_Tarikan_Warkah[Jenis Permohonan]),"")</f>
        <v>Bn Waris</v>
      </c>
      <c r="H996" s="41" t="s">
        <v>20</v>
      </c>
      <c r="I996" s="41" t="s">
        <v>23</v>
      </c>
      <c r="J996" s="36">
        <f t="shared" si="20"/>
        <v>45688.6091</v>
      </c>
      <c r="K996" s="49" t="s">
        <v>197</v>
      </c>
      <c r="L996" s="49" t="s">
        <v>23</v>
      </c>
      <c r="M996" s="36">
        <f t="shared" si="26"/>
        <v>45693.69579</v>
      </c>
      <c r="N996" s="30" t="str">
        <f t="shared" si="27"/>
        <v>Selesai</v>
      </c>
      <c r="O996" s="45">
        <f t="shared" si="23"/>
        <v>45693.69579</v>
      </c>
      <c r="P996" s="47" t="b">
        <v>1</v>
      </c>
      <c r="Q996" s="36">
        <f t="shared" si="24"/>
        <v>45693.69606</v>
      </c>
      <c r="R996" s="47" t="b">
        <v>0</v>
      </c>
      <c r="S996" s="42" t="str">
        <f t="shared" si="25"/>
        <v/>
      </c>
      <c r="T996" s="42"/>
    </row>
    <row r="997" ht="22.5" customHeight="1">
      <c r="B997" s="42">
        <f t="shared" si="7"/>
        <v>991</v>
      </c>
      <c r="C997" s="31" t="s">
        <v>1124</v>
      </c>
      <c r="D997" s="34" t="str">
        <f t="array" ref="D997">IFNA(_xlfn.XLOOKUP(C997,Table_Tarikan_Warkah[Nomor Sertipikat],Table_Tarikan_Warkah[Nomor Tiket]),"")</f>
        <v>L/3/160125/1</v>
      </c>
      <c r="E997" s="36">
        <f t="array" ref="E997">IFNA(_xlfn.XLOOKUP(D997,Table_Tarikan_Warkah[Nomor Tiket],Table_Tarikan_Warkah[Tanggal diserahkan kepada Validator]),"")</f>
        <v>45677.62523</v>
      </c>
      <c r="F997" s="36" t="str">
        <f t="array" ref="F997">IFNA(_xlfn.XLOOKUP(D997,Table_Tarikan_Warkah[Nomor Tiket],Table_Tarikan_Warkah[Nama Petugas Warkah]),"")</f>
        <v>Berry</v>
      </c>
      <c r="G997" s="39" t="str">
        <f t="array" ref="G997">IFNA(_xlfn.XLOOKUP(D997,Table_Tarikan_Warkah[Nomor Tiket],Table_Tarikan_Warkah[Jenis Permohonan]),"")</f>
        <v>BN WARIS</v>
      </c>
      <c r="H997" s="41" t="s">
        <v>20</v>
      </c>
      <c r="I997" s="41" t="s">
        <v>23</v>
      </c>
      <c r="J997" s="36">
        <f t="shared" si="20"/>
        <v>45688.68776</v>
      </c>
      <c r="K997" s="41" t="s">
        <v>197</v>
      </c>
      <c r="L997" s="41" t="s">
        <v>23</v>
      </c>
      <c r="M997" s="36">
        <f t="shared" si="26"/>
        <v>45688.68777</v>
      </c>
      <c r="N997" s="30" t="str">
        <f t="shared" si="27"/>
        <v>Selesai</v>
      </c>
      <c r="O997" s="45">
        <f t="shared" si="23"/>
        <v>45688.68777</v>
      </c>
      <c r="P997" s="47" t="b">
        <v>1</v>
      </c>
      <c r="Q997" s="36">
        <f t="shared" si="24"/>
        <v>45688.6878</v>
      </c>
      <c r="R997" s="47" t="b">
        <v>0</v>
      </c>
      <c r="S997" s="42" t="str">
        <f t="shared" si="25"/>
        <v/>
      </c>
      <c r="T997" s="42"/>
    </row>
    <row r="998" ht="22.5" customHeight="1">
      <c r="B998" s="42">
        <f t="shared" si="7"/>
        <v>992</v>
      </c>
      <c r="C998" s="31" t="s">
        <v>1125</v>
      </c>
      <c r="D998" s="34" t="str">
        <f t="array" ref="D998">IFNA(_xlfn.XLOOKUP(C998,Table_Tarikan_Warkah[Nomor Sertipikat],Table_Tarikan_Warkah[Nomor Tiket]),"")</f>
        <v>L/16/140125/1</v>
      </c>
      <c r="E998" s="36">
        <f t="array" ref="E998">IFNA(_xlfn.XLOOKUP(D998,Table_Tarikan_Warkah[Nomor Tiket],Table_Tarikan_Warkah[Tanggal diserahkan kepada Validator]),"")</f>
        <v>45691.45559</v>
      </c>
      <c r="F998" s="36" t="str">
        <f t="array" ref="F998">IFNA(_xlfn.XLOOKUP(D998,Table_Tarikan_Warkah[Nomor Tiket],Table_Tarikan_Warkah[Nama Petugas Warkah]),"")</f>
        <v>David</v>
      </c>
      <c r="G998" s="39" t="str">
        <f t="array" ref="G998">IFNA(_xlfn.XLOOKUP(D998,Table_Tarikan_Warkah[Nomor Tiket],Table_Tarikan_Warkah[Jenis Permohonan]),"")</f>
        <v>BN PUTUSAN PENGADILAN</v>
      </c>
      <c r="H998" s="41" t="s">
        <v>20</v>
      </c>
      <c r="I998" s="41" t="s">
        <v>23</v>
      </c>
      <c r="J998" s="36">
        <f t="shared" si="20"/>
        <v>45688.68792</v>
      </c>
      <c r="K998" s="41" t="s">
        <v>197</v>
      </c>
      <c r="L998" s="41" t="s">
        <v>23</v>
      </c>
      <c r="M998" s="36">
        <f t="shared" si="26"/>
        <v>45688.68797</v>
      </c>
      <c r="N998" s="30" t="str">
        <f t="shared" si="27"/>
        <v>Selesai</v>
      </c>
      <c r="O998" s="45">
        <f t="shared" si="23"/>
        <v>45688.68797</v>
      </c>
      <c r="P998" s="47" t="b">
        <v>1</v>
      </c>
      <c r="Q998" s="36">
        <f t="shared" si="24"/>
        <v>45688.68798</v>
      </c>
      <c r="R998" s="47" t="b">
        <v>0</v>
      </c>
      <c r="S998" s="42" t="str">
        <f t="shared" si="25"/>
        <v/>
      </c>
      <c r="T998" s="42"/>
    </row>
    <row r="999" ht="22.5" customHeight="1">
      <c r="B999" s="42">
        <f t="shared" si="7"/>
        <v>993</v>
      </c>
      <c r="C999" s="31" t="s">
        <v>1126</v>
      </c>
      <c r="D999" s="34" t="str">
        <f t="array" ref="D999">IFNA(_xlfn.XLOOKUP(C999,Table_Tarikan_Warkah[Nomor Sertipikat],Table_Tarikan_Warkah[Nomor Tiket]),"")</f>
        <v>K/11/241024/1</v>
      </c>
      <c r="E999" s="36">
        <f t="array" ref="E999">IFNA(_xlfn.XLOOKUP(D999,Table_Tarikan_Warkah[Nomor Tiket],Table_Tarikan_Warkah[Tanggal diserahkan kepada Validator]),"")</f>
        <v>45691.45238</v>
      </c>
      <c r="F999" s="36" t="str">
        <f t="array" ref="F999">IFNA(_xlfn.XLOOKUP(D999,Table_Tarikan_Warkah[Nomor Tiket],Table_Tarikan_Warkah[Nama Petugas Warkah]),"")</f>
        <v/>
      </c>
      <c r="G999" s="39" t="str">
        <f t="array" ref="G999">IFNA(_xlfn.XLOOKUP(D999,Table_Tarikan_Warkah[Nomor Tiket],Table_Tarikan_Warkah[Jenis Permohonan]),"")</f>
        <v>BN Waris</v>
      </c>
      <c r="H999" s="41" t="s">
        <v>20</v>
      </c>
      <c r="I999" s="41" t="s">
        <v>23</v>
      </c>
      <c r="J999" s="36">
        <f t="shared" si="20"/>
        <v>45688.68807</v>
      </c>
      <c r="K999" s="41" t="s">
        <v>197</v>
      </c>
      <c r="L999" s="41" t="s">
        <v>23</v>
      </c>
      <c r="M999" s="36">
        <f t="shared" si="26"/>
        <v>45688.68812</v>
      </c>
      <c r="N999" s="30" t="str">
        <f t="shared" si="27"/>
        <v>Selesai</v>
      </c>
      <c r="O999" s="45">
        <f t="shared" si="23"/>
        <v>45688.68812</v>
      </c>
      <c r="P999" s="47" t="b">
        <v>1</v>
      </c>
      <c r="Q999" s="36">
        <f t="shared" si="24"/>
        <v>45688.68813</v>
      </c>
      <c r="R999" s="47" t="b">
        <v>0</v>
      </c>
      <c r="S999" s="42" t="str">
        <f t="shared" si="25"/>
        <v/>
      </c>
      <c r="T999" s="42"/>
    </row>
    <row r="1000" ht="22.5" customHeight="1">
      <c r="B1000" s="42">
        <f t="shared" si="7"/>
        <v>994</v>
      </c>
      <c r="C1000" s="31" t="s">
        <v>1127</v>
      </c>
      <c r="D1000" s="34" t="str">
        <f t="array" ref="D1000">IFNA(_xlfn.XLOOKUP(C1000,Table_Tarikan_Warkah[Nomor Sertipikat],Table_Tarikan_Warkah[Nomor Tiket]),"")</f>
        <v>L/2/220125/1</v>
      </c>
      <c r="E1000" s="36">
        <f t="array" ref="E1000">IFNA(_xlfn.XLOOKUP(D1000,Table_Tarikan_Warkah[Nomor Tiket],Table_Tarikan_Warkah[Tanggal diserahkan kepada Validator]),"")</f>
        <v>45688.6624</v>
      </c>
      <c r="F1000" s="36" t="str">
        <f t="array" ref="F1000">IFNA(_xlfn.XLOOKUP(D1000,Table_Tarikan_Warkah[Nomor Tiket],Table_Tarikan_Warkah[Nama Petugas Warkah]),"")</f>
        <v>Berry</v>
      </c>
      <c r="G1000" s="39" t="str">
        <f t="array" ref="G1000">IFNA(_xlfn.XLOOKUP(D1000,Table_Tarikan_Warkah[Nomor Tiket],Table_Tarikan_Warkah[Jenis Permohonan]),"")</f>
        <v>BN WARIS</v>
      </c>
      <c r="H1000" s="41" t="s">
        <v>20</v>
      </c>
      <c r="I1000" s="41" t="s">
        <v>23</v>
      </c>
      <c r="J1000" s="36">
        <f t="shared" si="20"/>
        <v>45688.68856</v>
      </c>
      <c r="K1000" s="41" t="s">
        <v>197</v>
      </c>
      <c r="L1000" s="41" t="s">
        <v>23</v>
      </c>
      <c r="M1000" s="36">
        <f t="shared" si="26"/>
        <v>45688.68861</v>
      </c>
      <c r="N1000" s="30" t="str">
        <f t="shared" si="27"/>
        <v>Selesai</v>
      </c>
      <c r="O1000" s="45">
        <f t="shared" si="23"/>
        <v>45688.68861</v>
      </c>
      <c r="P1000" s="47" t="b">
        <v>1</v>
      </c>
      <c r="Q1000" s="36">
        <f t="shared" si="24"/>
        <v>45688.68862</v>
      </c>
      <c r="R1000" s="47" t="b">
        <v>1</v>
      </c>
      <c r="S1000" s="36">
        <f t="shared" si="25"/>
        <v>45695.42614</v>
      </c>
      <c r="T1000" s="42"/>
    </row>
    <row r="1001" ht="22.5" customHeight="1">
      <c r="B1001" s="42">
        <f t="shared" si="7"/>
        <v>995</v>
      </c>
      <c r="C1001" s="31" t="s">
        <v>1128</v>
      </c>
      <c r="D1001" s="34" t="str">
        <f t="array" ref="D1001">IFNA(_xlfn.XLOOKUP(C1001,Table_Tarikan_Warkah[Nomor Sertipikat],Table_Tarikan_Warkah[Nomor Tiket]),"")</f>
        <v>K/11/220125/2</v>
      </c>
      <c r="E1001" s="36">
        <f t="array" ref="E1001">IFNA(_xlfn.XLOOKUP(D1001,Table_Tarikan_Warkah[Nomor Tiket],Table_Tarikan_Warkah[Tanggal diserahkan kepada Validator]),"")</f>
        <v>45688.66407</v>
      </c>
      <c r="F1001" s="36" t="str">
        <f t="array" ref="F1001">IFNA(_xlfn.XLOOKUP(D1001,Table_Tarikan_Warkah[Nomor Tiket],Table_Tarikan_Warkah[Nama Petugas Warkah]),"")</f>
        <v>Berry</v>
      </c>
      <c r="G1001" s="39" t="str">
        <f t="array" ref="G1001">IFNA(_xlfn.XLOOKUP(D1001,Table_Tarikan_Warkah[Nomor Tiket],Table_Tarikan_Warkah[Jenis Permohonan]),"")</f>
        <v>Roya</v>
      </c>
      <c r="H1001" s="41" t="s">
        <v>11</v>
      </c>
      <c r="I1001" s="41" t="s">
        <v>12</v>
      </c>
      <c r="J1001" s="36">
        <f t="shared" si="20"/>
        <v>45691.63391</v>
      </c>
      <c r="K1001" s="49" t="s">
        <v>197</v>
      </c>
      <c r="L1001" s="49" t="s">
        <v>23</v>
      </c>
      <c r="M1001" s="36">
        <f t="shared" si="26"/>
        <v>45695.42419</v>
      </c>
      <c r="N1001" s="30" t="str">
        <f t="shared" si="27"/>
        <v>Selesai</v>
      </c>
      <c r="O1001" s="45">
        <f t="shared" si="23"/>
        <v>45695.42419</v>
      </c>
      <c r="P1001" s="47" t="b">
        <v>0</v>
      </c>
      <c r="Q1001" s="36" t="str">
        <f t="shared" si="24"/>
        <v/>
      </c>
      <c r="R1001" s="47" t="b">
        <v>1</v>
      </c>
      <c r="S1001" s="36">
        <f t="shared" si="25"/>
        <v>45695.42421</v>
      </c>
      <c r="T1001" s="42"/>
    </row>
    <row r="1002" ht="22.5" customHeight="1">
      <c r="B1002" s="42">
        <f t="shared" si="7"/>
        <v>996</v>
      </c>
      <c r="C1002" s="31" t="s">
        <v>1129</v>
      </c>
      <c r="D1002" s="34" t="str">
        <f t="array" ref="D1002">IFNA(_xlfn.XLOOKUP(C1002,Table_Tarikan_Warkah[Nomor Sertipikat],Table_Tarikan_Warkah[Nomor Tiket]),"")</f>
        <v>L/3/220125/1</v>
      </c>
      <c r="E1002" s="36">
        <f t="array" ref="E1002">IFNA(_xlfn.XLOOKUP(D1002,Table_Tarikan_Warkah[Nomor Tiket],Table_Tarikan_Warkah[Tanggal diserahkan kepada Validator]),"")</f>
        <v>45688.66276</v>
      </c>
      <c r="F1002" s="36" t="str">
        <f t="array" ref="F1002">IFNA(_xlfn.XLOOKUP(D1002,Table_Tarikan_Warkah[Nomor Tiket],Table_Tarikan_Warkah[Nama Petugas Warkah]),"")</f>
        <v>Berry</v>
      </c>
      <c r="G1002" s="39" t="str">
        <f t="array" ref="G1002">IFNA(_xlfn.XLOOKUP(D1002,Table_Tarikan_Warkah[Nomor Tiket],Table_Tarikan_Warkah[Jenis Permohonan]),"")</f>
        <v>BN WARIS</v>
      </c>
      <c r="H1002" s="41" t="s">
        <v>11</v>
      </c>
      <c r="I1002" s="41" t="s">
        <v>12</v>
      </c>
      <c r="J1002" s="36">
        <f t="shared" si="20"/>
        <v>45691.63391</v>
      </c>
      <c r="K1002" s="49" t="s">
        <v>197</v>
      </c>
      <c r="L1002" s="49" t="s">
        <v>23</v>
      </c>
      <c r="M1002" s="36">
        <f t="shared" si="26"/>
        <v>45695.42452</v>
      </c>
      <c r="N1002" s="30" t="str">
        <f t="shared" si="27"/>
        <v>Selesai</v>
      </c>
      <c r="O1002" s="45">
        <f t="shared" si="23"/>
        <v>45695.42452</v>
      </c>
      <c r="P1002" s="47" t="b">
        <v>0</v>
      </c>
      <c r="Q1002" s="36" t="str">
        <f t="shared" si="24"/>
        <v/>
      </c>
      <c r="R1002" s="47" t="b">
        <v>1</v>
      </c>
      <c r="S1002" s="36">
        <f t="shared" si="25"/>
        <v>45695.42454</v>
      </c>
      <c r="T1002" s="42"/>
    </row>
    <row r="1003" ht="22.5" customHeight="1">
      <c r="B1003" s="42">
        <f t="shared" si="7"/>
        <v>997</v>
      </c>
      <c r="C1003" s="31" t="s">
        <v>1130</v>
      </c>
      <c r="D1003" s="34" t="str">
        <f t="array" ref="D1003">IFNA(_xlfn.XLOOKUP(C1003,Table_Tarikan_Warkah[Nomor Sertipikat],Table_Tarikan_Warkah[Nomor Tiket]),"")</f>
        <v>L/5/220125/3</v>
      </c>
      <c r="E1003" s="36">
        <f t="array" ref="E1003">IFNA(_xlfn.XLOOKUP(D1003,Table_Tarikan_Warkah[Nomor Tiket],Table_Tarikan_Warkah[Tanggal diserahkan kepada Validator]),"")</f>
        <v>45688.66322</v>
      </c>
      <c r="F1003" s="36" t="str">
        <f t="array" ref="F1003">IFNA(_xlfn.XLOOKUP(D1003,Table_Tarikan_Warkah[Nomor Tiket],Table_Tarikan_Warkah[Nama Petugas Warkah]),"")</f>
        <v>Berry</v>
      </c>
      <c r="G1003" s="39" t="str">
        <f t="array" ref="G1003">IFNA(_xlfn.XLOOKUP(D1003,Table_Tarikan_Warkah[Nomor Tiket],Table_Tarikan_Warkah[Jenis Permohonan]),"")</f>
        <v>BN WARIS</v>
      </c>
      <c r="H1003" s="41" t="s">
        <v>11</v>
      </c>
      <c r="I1003" s="41" t="s">
        <v>12</v>
      </c>
      <c r="J1003" s="36">
        <f t="shared" si="20"/>
        <v>45691.63391</v>
      </c>
      <c r="K1003" s="49" t="s">
        <v>197</v>
      </c>
      <c r="L1003" s="49" t="s">
        <v>23</v>
      </c>
      <c r="M1003" s="36">
        <f t="shared" si="26"/>
        <v>45695.42468</v>
      </c>
      <c r="N1003" s="30" t="str">
        <f t="shared" si="27"/>
        <v>Selesai</v>
      </c>
      <c r="O1003" s="45">
        <f t="shared" si="23"/>
        <v>45695.42468</v>
      </c>
      <c r="P1003" s="47" t="b">
        <v>0</v>
      </c>
      <c r="Q1003" s="36" t="str">
        <f t="shared" si="24"/>
        <v/>
      </c>
      <c r="R1003" s="47" t="b">
        <v>1</v>
      </c>
      <c r="S1003" s="36">
        <f t="shared" si="25"/>
        <v>45695.4247</v>
      </c>
      <c r="T1003" s="42"/>
    </row>
    <row r="1004" ht="22.5" customHeight="1">
      <c r="B1004" s="42">
        <f t="shared" si="7"/>
        <v>998</v>
      </c>
      <c r="C1004" s="31" t="s">
        <v>1131</v>
      </c>
      <c r="D1004" s="34" t="str">
        <f t="array" ref="D1004">IFNA(_xlfn.XLOOKUP(C1004,Table_Tarikan_Warkah[Nomor Sertipikat],Table_Tarikan_Warkah[Nomor Tiket]),"")</f>
        <v>L/6/220125/4</v>
      </c>
      <c r="E1004" s="36">
        <f t="array" ref="E1004">IFNA(_xlfn.XLOOKUP(D1004,Table_Tarikan_Warkah[Nomor Tiket],Table_Tarikan_Warkah[Tanggal diserahkan kepada Validator]),"")</f>
        <v>45688.66354</v>
      </c>
      <c r="F1004" s="36" t="str">
        <f t="array" ref="F1004">IFNA(_xlfn.XLOOKUP(D1004,Table_Tarikan_Warkah[Nomor Tiket],Table_Tarikan_Warkah[Nama Petugas Warkah]),"")</f>
        <v>Berry</v>
      </c>
      <c r="G1004" s="39" t="str">
        <f t="array" ref="G1004">IFNA(_xlfn.XLOOKUP(D1004,Table_Tarikan_Warkah[Nomor Tiket],Table_Tarikan_Warkah[Jenis Permohonan]),"")</f>
        <v>BN WARIS</v>
      </c>
      <c r="H1004" s="41" t="s">
        <v>11</v>
      </c>
      <c r="I1004" s="41" t="s">
        <v>12</v>
      </c>
      <c r="J1004" s="36">
        <f t="shared" si="20"/>
        <v>45691.63391</v>
      </c>
      <c r="K1004" s="49" t="s">
        <v>197</v>
      </c>
      <c r="L1004" s="49" t="s">
        <v>23</v>
      </c>
      <c r="M1004" s="36">
        <f t="shared" si="26"/>
        <v>45695.42199</v>
      </c>
      <c r="N1004" s="30" t="str">
        <f t="shared" si="27"/>
        <v>Selesai</v>
      </c>
      <c r="O1004" s="45">
        <f t="shared" si="23"/>
        <v>45695.42199</v>
      </c>
      <c r="P1004" s="47" t="b">
        <v>1</v>
      </c>
      <c r="Q1004" s="36">
        <f t="shared" si="24"/>
        <v>45706.62968</v>
      </c>
      <c r="R1004" s="47" t="b">
        <v>1</v>
      </c>
      <c r="S1004" s="36">
        <f t="shared" si="25"/>
        <v>45695.422</v>
      </c>
      <c r="T1004" s="42"/>
    </row>
    <row r="1005" ht="22.5" customHeight="1">
      <c r="B1005" s="42">
        <f t="shared" si="7"/>
        <v>999</v>
      </c>
      <c r="C1005" s="31" t="s">
        <v>1132</v>
      </c>
      <c r="D1005" s="34" t="str">
        <f t="array" ref="D1005">IFNA(_xlfn.XLOOKUP(C1005,Table_Tarikan_Warkah[Nomor Sertipikat],Table_Tarikan_Warkah[Nomor Tiket]),"")</f>
        <v>L/7/220125/5</v>
      </c>
      <c r="E1005" s="36">
        <f t="array" ref="E1005">IFNA(_xlfn.XLOOKUP(D1005,Table_Tarikan_Warkah[Nomor Tiket],Table_Tarikan_Warkah[Tanggal diserahkan kepada Validator]),"")</f>
        <v>45688.66479</v>
      </c>
      <c r="F1005" s="36" t="str">
        <f t="array" ref="F1005">IFNA(_xlfn.XLOOKUP(D1005,Table_Tarikan_Warkah[Nomor Tiket],Table_Tarikan_Warkah[Nama Petugas Warkah]),"")</f>
        <v>Berry</v>
      </c>
      <c r="G1005" s="39" t="str">
        <f t="array" ref="G1005">IFNA(_xlfn.XLOOKUP(D1005,Table_Tarikan_Warkah[Nomor Tiket],Table_Tarikan_Warkah[Jenis Permohonan]),"")</f>
        <v>BN WARIS</v>
      </c>
      <c r="H1005" s="41" t="s">
        <v>11</v>
      </c>
      <c r="I1005" s="41" t="s">
        <v>12</v>
      </c>
      <c r="J1005" s="36">
        <f t="shared" si="20"/>
        <v>45691.63391</v>
      </c>
      <c r="K1005" s="49" t="s">
        <v>197</v>
      </c>
      <c r="L1005" s="49" t="s">
        <v>23</v>
      </c>
      <c r="M1005" s="36">
        <f t="shared" si="26"/>
        <v>45695.42535</v>
      </c>
      <c r="N1005" s="30" t="str">
        <f t="shared" si="27"/>
        <v>Selesai</v>
      </c>
      <c r="O1005" s="45">
        <f t="shared" si="23"/>
        <v>45695.42535</v>
      </c>
      <c r="P1005" s="47" t="b">
        <v>0</v>
      </c>
      <c r="Q1005" s="36" t="str">
        <f t="shared" si="24"/>
        <v/>
      </c>
      <c r="R1005" s="47" t="b">
        <v>1</v>
      </c>
      <c r="S1005" s="36">
        <f t="shared" si="25"/>
        <v>45695.42537</v>
      </c>
      <c r="T1005" s="42"/>
    </row>
    <row r="1006" ht="22.5" customHeight="1">
      <c r="B1006" s="42">
        <f t="shared" si="7"/>
        <v>1000</v>
      </c>
      <c r="C1006" s="31" t="s">
        <v>1133</v>
      </c>
      <c r="D1006" s="34" t="str">
        <f t="array" ref="D1006">IFNA(_xlfn.XLOOKUP(C1006,Table_Tarikan_Warkah[Nomor Sertipikat],Table_Tarikan_Warkah[Nomor Tiket]),"")</f>
        <v>L/3/310125/1</v>
      </c>
      <c r="E1006" s="36" t="str">
        <f t="array" ref="E1006">IFNA(_xlfn.XLOOKUP(D1006,Table_Tarikan_Warkah[Nomor Tiket],Table_Tarikan_Warkah[Tanggal diserahkan kepada Validator]),"")</f>
        <v/>
      </c>
      <c r="F1006" s="36" t="str">
        <f t="array" ref="F1006">IFNA(_xlfn.XLOOKUP(D1006,Table_Tarikan_Warkah[Nomor Tiket],Table_Tarikan_Warkah[Nama Petugas Warkah]),"")</f>
        <v/>
      </c>
      <c r="G1006" s="39" t="str">
        <f t="array" ref="G1006">IFNA(_xlfn.XLOOKUP(D1006,Table_Tarikan_Warkah[Nomor Tiket],Table_Tarikan_Warkah[Jenis Permohonan]),"")</f>
        <v>CABUT BLOKIR</v>
      </c>
      <c r="H1006" s="41" t="s">
        <v>11</v>
      </c>
      <c r="I1006" s="41" t="s">
        <v>12</v>
      </c>
      <c r="J1006" s="36">
        <f t="shared" si="20"/>
        <v>45691.63391</v>
      </c>
      <c r="K1006" s="51"/>
      <c r="L1006" s="49" t="s">
        <v>23</v>
      </c>
      <c r="M1006" s="36">
        <f t="shared" si="26"/>
        <v>45874.68043</v>
      </c>
      <c r="N1006" s="30" t="str">
        <f t="shared" si="27"/>
        <v>Selesai</v>
      </c>
      <c r="O1006" s="45">
        <f t="shared" si="23"/>
        <v>45874.68043</v>
      </c>
      <c r="P1006" s="47" t="b">
        <v>0</v>
      </c>
      <c r="Q1006" s="36" t="str">
        <f t="shared" si="24"/>
        <v/>
      </c>
      <c r="R1006" s="47" t="b">
        <v>0</v>
      </c>
      <c r="S1006" s="42" t="str">
        <f t="shared" si="25"/>
        <v/>
      </c>
      <c r="T1006" s="42"/>
    </row>
    <row r="1007" ht="22.5" customHeight="1">
      <c r="B1007" s="42">
        <f t="shared" si="7"/>
        <v>1001</v>
      </c>
      <c r="C1007" s="31" t="s">
        <v>1134</v>
      </c>
      <c r="D1007" s="34" t="str">
        <f t="array" ref="D1007">IFNA(_xlfn.XLOOKUP(C1007,Table_Tarikan_Warkah[Nomor Sertipikat],Table_Tarikan_Warkah[Nomor Tiket]),"")</f>
        <v>L/25/220125/1</v>
      </c>
      <c r="E1007" s="36">
        <f t="array" ref="E1007">IFNA(_xlfn.XLOOKUP(D1007,Table_Tarikan_Warkah[Nomor Tiket],Table_Tarikan_Warkah[Tanggal diserahkan kepada Validator]),"")</f>
        <v>45688.66499</v>
      </c>
      <c r="F1007" s="36" t="str">
        <f t="array" ref="F1007">IFNA(_xlfn.XLOOKUP(D1007,Table_Tarikan_Warkah[Nomor Tiket],Table_Tarikan_Warkah[Nama Petugas Warkah]),"")</f>
        <v>Berry</v>
      </c>
      <c r="G1007" s="39" t="str">
        <f t="array" ref="G1007">IFNA(_xlfn.XLOOKUP(D1007,Table_Tarikan_Warkah[Nomor Tiket],Table_Tarikan_Warkah[Jenis Permohonan]),"")</f>
        <v>ROYA</v>
      </c>
      <c r="H1007" s="41" t="s">
        <v>11</v>
      </c>
      <c r="I1007" s="41" t="s">
        <v>12</v>
      </c>
      <c r="J1007" s="36">
        <f t="shared" si="20"/>
        <v>45691.63391</v>
      </c>
      <c r="K1007" s="49" t="s">
        <v>197</v>
      </c>
      <c r="L1007" s="49" t="s">
        <v>23</v>
      </c>
      <c r="M1007" s="36">
        <f t="shared" si="26"/>
        <v>45695.42601</v>
      </c>
      <c r="N1007" s="30" t="str">
        <f t="shared" si="27"/>
        <v>Selesai</v>
      </c>
      <c r="O1007" s="45">
        <f t="shared" si="23"/>
        <v>45695.42601</v>
      </c>
      <c r="P1007" s="47" t="b">
        <v>0</v>
      </c>
      <c r="Q1007" s="36" t="str">
        <f t="shared" si="24"/>
        <v/>
      </c>
      <c r="R1007" s="47" t="b">
        <v>1</v>
      </c>
      <c r="S1007" s="36">
        <f t="shared" si="25"/>
        <v>45695.42603</v>
      </c>
      <c r="T1007" s="42"/>
    </row>
    <row r="1008" ht="22.5" customHeight="1">
      <c r="B1008" s="42">
        <f t="shared" si="7"/>
        <v>1002</v>
      </c>
      <c r="C1008" s="31" t="s">
        <v>1135</v>
      </c>
      <c r="D1008" s="34" t="str">
        <f t="array" ref="D1008">IFNA(_xlfn.XLOOKUP(C1008,Table_Tarikan_Warkah[Nomor Sertipikat],Table_Tarikan_Warkah[Nomor Tiket]),"")</f>
        <v>K/16/210125/1</v>
      </c>
      <c r="E1008" s="36">
        <f t="array" ref="E1008">IFNA(_xlfn.XLOOKUP(D1008,Table_Tarikan_Warkah[Nomor Tiket],Table_Tarikan_Warkah[Tanggal diserahkan kepada Validator]),"")</f>
        <v>45688.66067</v>
      </c>
      <c r="F1008" s="36" t="str">
        <f t="array" ref="F1008">IFNA(_xlfn.XLOOKUP(D1008,Table_Tarikan_Warkah[Nomor Tiket],Table_Tarikan_Warkah[Nama Petugas Warkah]),"")</f>
        <v>Berry</v>
      </c>
      <c r="G1008" s="39" t="str">
        <f t="array" ref="G1008">IFNA(_xlfn.XLOOKUP(D1008,Table_Tarikan_Warkah[Nomor Tiket],Table_Tarikan_Warkah[Jenis Permohonan]),"")</f>
        <v>Roya</v>
      </c>
      <c r="H1008" s="41" t="s">
        <v>11</v>
      </c>
      <c r="I1008" s="41" t="s">
        <v>12</v>
      </c>
      <c r="J1008" s="36">
        <f t="shared" si="20"/>
        <v>45691.63391</v>
      </c>
      <c r="K1008" s="49" t="s">
        <v>197</v>
      </c>
      <c r="L1008" s="49" t="s">
        <v>23</v>
      </c>
      <c r="M1008" s="36">
        <f t="shared" si="26"/>
        <v>45695.42364</v>
      </c>
      <c r="N1008" s="30" t="str">
        <f t="shared" si="27"/>
        <v>Selesai</v>
      </c>
      <c r="O1008" s="45">
        <f t="shared" si="23"/>
        <v>45695.42364</v>
      </c>
      <c r="P1008" s="47" t="b">
        <v>0</v>
      </c>
      <c r="Q1008" s="36" t="str">
        <f t="shared" si="24"/>
        <v/>
      </c>
      <c r="R1008" s="47" t="b">
        <v>1</v>
      </c>
      <c r="S1008" s="36">
        <f t="shared" si="25"/>
        <v>45695.42366</v>
      </c>
      <c r="T1008" s="42"/>
    </row>
    <row r="1009" ht="22.5" customHeight="1">
      <c r="B1009" s="42">
        <f t="shared" si="7"/>
        <v>1003</v>
      </c>
      <c r="C1009" s="31" t="s">
        <v>1136</v>
      </c>
      <c r="D1009" s="34" t="str">
        <f t="array" ref="D1009">IFNA(_xlfn.XLOOKUP(C1009,Table_Tarikan_Warkah[Nomor Sertipikat],Table_Tarikan_Warkah[Nomor Tiket]),"")</f>
        <v>K/12/171024/3</v>
      </c>
      <c r="E1009" s="36" t="str">
        <f t="array" ref="E1009">IFNA(_xlfn.XLOOKUP(D1009,Table_Tarikan_Warkah[Nomor Tiket],Table_Tarikan_Warkah[Tanggal diserahkan kepada Validator]),"")</f>
        <v>17/10/2024 15.15</v>
      </c>
      <c r="F1009" s="36" t="str">
        <f t="array" ref="F1009">IFNA(_xlfn.XLOOKUP(D1009,Table_Tarikan_Warkah[Nomor Tiket],Table_Tarikan_Warkah[Nama Petugas Warkah]),"")</f>
        <v>Berry</v>
      </c>
      <c r="G1009" s="39" t="str">
        <f t="array" ref="G1009">IFNA(_xlfn.XLOOKUP(D1009,Table_Tarikan_Warkah[Nomor Tiket],Table_Tarikan_Warkah[Jenis Permohonan]),"")</f>
        <v>BN Jual beli</v>
      </c>
      <c r="H1009" s="41" t="s">
        <v>920</v>
      </c>
      <c r="I1009" s="41" t="s">
        <v>12</v>
      </c>
      <c r="J1009" s="36">
        <f t="shared" si="20"/>
        <v>45691.76015</v>
      </c>
      <c r="K1009" s="51"/>
      <c r="L1009" s="49" t="s">
        <v>23</v>
      </c>
      <c r="M1009" s="36">
        <f t="shared" si="26"/>
        <v>45874.68043</v>
      </c>
      <c r="N1009" s="30" t="str">
        <f t="shared" si="27"/>
        <v>Selesai</v>
      </c>
      <c r="O1009" s="45">
        <f t="shared" si="23"/>
        <v>45874.68043</v>
      </c>
      <c r="P1009" s="47" t="b">
        <v>0</v>
      </c>
      <c r="Q1009" s="36" t="str">
        <f t="shared" si="24"/>
        <v/>
      </c>
      <c r="R1009" s="47" t="b">
        <v>0</v>
      </c>
      <c r="S1009" s="42" t="str">
        <f t="shared" si="25"/>
        <v/>
      </c>
      <c r="T1009" s="42"/>
    </row>
    <row r="1010" ht="22.5" customHeight="1">
      <c r="B1010" s="42">
        <f t="shared" si="7"/>
        <v>1004</v>
      </c>
      <c r="C1010" s="31" t="s">
        <v>1137</v>
      </c>
      <c r="D1010" s="34" t="str">
        <f t="array" ref="D1010">IFNA(_xlfn.XLOOKUP(C1010,Table_Tarikan_Warkah[Nomor Sertipikat],Table_Tarikan_Warkah[Nomor Tiket]),"")</f>
        <v>L/19/310125/PELATARAN</v>
      </c>
      <c r="E1010" s="36">
        <f t="array" ref="E1010">IFNA(_xlfn.XLOOKUP(D1010,Table_Tarikan_Warkah[Nomor Tiket],Table_Tarikan_Warkah[Tanggal diserahkan kepada Validator]),"")</f>
        <v>45727.52214</v>
      </c>
      <c r="F1010" s="36" t="str">
        <f t="array" ref="F1010">IFNA(_xlfn.XLOOKUP(D1010,Table_Tarikan_Warkah[Nomor Tiket],Table_Tarikan_Warkah[Nama Petugas Warkah]),"")</f>
        <v/>
      </c>
      <c r="G1010" s="39" t="str">
        <f t="array" ref="G1010">IFNA(_xlfn.XLOOKUP(D1010,Table_Tarikan_Warkah[Nomor Tiket],Table_Tarikan_Warkah[Jenis Permohonan]),"")</f>
        <v>ROYA</v>
      </c>
      <c r="H1010" s="41" t="s">
        <v>20</v>
      </c>
      <c r="I1010" s="41" t="s">
        <v>12</v>
      </c>
      <c r="J1010" s="36">
        <f t="shared" si="20"/>
        <v>45692.57199</v>
      </c>
      <c r="K1010" s="51"/>
      <c r="L1010" s="49" t="s">
        <v>23</v>
      </c>
      <c r="M1010" s="36">
        <f t="shared" si="26"/>
        <v>45874.68043</v>
      </c>
      <c r="N1010" s="30" t="str">
        <f t="shared" si="27"/>
        <v>Selesai</v>
      </c>
      <c r="O1010" s="45">
        <f t="shared" si="23"/>
        <v>45874.68043</v>
      </c>
      <c r="P1010" s="47" t="b">
        <v>0</v>
      </c>
      <c r="Q1010" s="36" t="str">
        <f t="shared" si="24"/>
        <v/>
      </c>
      <c r="R1010" s="47" t="b">
        <v>0</v>
      </c>
      <c r="S1010" s="42" t="str">
        <f t="shared" si="25"/>
        <v/>
      </c>
      <c r="T1010" s="42"/>
    </row>
    <row r="1011" ht="22.5" customHeight="1">
      <c r="B1011" s="42">
        <f t="shared" si="7"/>
        <v>1005</v>
      </c>
      <c r="C1011" s="31" t="s">
        <v>1138</v>
      </c>
      <c r="D1011" s="34" t="str">
        <f t="array" ref="D1011">IFNA(_xlfn.XLOOKUP(C1011,Table_Tarikan_Warkah[Nomor Sertipikat],Table_Tarikan_Warkah[Nomor Tiket]),"")</f>
        <v>K/18/300125/1</v>
      </c>
      <c r="E1011" s="36">
        <f t="array" ref="E1011">IFNA(_xlfn.XLOOKUP(D1011,Table_Tarikan_Warkah[Nomor Tiket],Table_Tarikan_Warkah[Tanggal diserahkan kepada Validator]),"")</f>
        <v>45694.59135</v>
      </c>
      <c r="F1011" s="36" t="str">
        <f t="array" ref="F1011">IFNA(_xlfn.XLOOKUP(D1011,Table_Tarikan_Warkah[Nomor Tiket],Table_Tarikan_Warkah[Nama Petugas Warkah]),"")</f>
        <v/>
      </c>
      <c r="G1011" s="39" t="str">
        <f t="array" ref="G1011">IFNA(_xlfn.XLOOKUP(D1011,Table_Tarikan_Warkah[Nomor Tiket],Table_Tarikan_Warkah[Jenis Permohonan]),"")</f>
        <v>BN JUAL BELI</v>
      </c>
      <c r="H1011" s="41" t="s">
        <v>11</v>
      </c>
      <c r="I1011" s="41" t="s">
        <v>23</v>
      </c>
      <c r="J1011" s="36">
        <f t="shared" si="20"/>
        <v>45692.57592</v>
      </c>
      <c r="K1011" s="49" t="s">
        <v>197</v>
      </c>
      <c r="L1011" s="49" t="s">
        <v>23</v>
      </c>
      <c r="M1011" s="36">
        <f t="shared" si="26"/>
        <v>45693.69556</v>
      </c>
      <c r="N1011" s="30" t="str">
        <f t="shared" si="27"/>
        <v>Selesai</v>
      </c>
      <c r="O1011" s="45">
        <f t="shared" si="23"/>
        <v>45693.69556</v>
      </c>
      <c r="P1011" s="47" t="b">
        <v>1</v>
      </c>
      <c r="Q1011" s="36">
        <f t="shared" si="24"/>
        <v>45693.69611</v>
      </c>
      <c r="R1011" s="47" t="b">
        <v>0</v>
      </c>
      <c r="S1011" s="42" t="str">
        <f t="shared" si="25"/>
        <v/>
      </c>
      <c r="T1011" s="42"/>
    </row>
    <row r="1012" ht="22.5" customHeight="1">
      <c r="B1012" s="42">
        <f t="shared" si="7"/>
        <v>1006</v>
      </c>
      <c r="C1012" s="31" t="s">
        <v>1139</v>
      </c>
      <c r="D1012" s="34" t="str">
        <f t="array" ref="D1012">IFNA(_xlfn.XLOOKUP(C1012,Table_Tarikan_Warkah[Nomor Sertipikat],Table_Tarikan_Warkah[Nomor Tiket]),"")</f>
        <v>L/9/170125/1</v>
      </c>
      <c r="E1012" s="36" t="str">
        <f t="array" ref="E1012">IFNA(_xlfn.XLOOKUP(D1012,Table_Tarikan_Warkah[Nomor Tiket],Table_Tarikan_Warkah[Tanggal diserahkan kepada Validator]),"")</f>
        <v/>
      </c>
      <c r="F1012" s="36" t="str">
        <f t="array" ref="F1012">IFNA(_xlfn.XLOOKUP(D1012,Table_Tarikan_Warkah[Nomor Tiket],Table_Tarikan_Warkah[Nama Petugas Warkah]),"")</f>
        <v/>
      </c>
      <c r="G1012" s="39" t="str">
        <f t="array" ref="G1012">IFNA(_xlfn.XLOOKUP(D1012,Table_Tarikan_Warkah[Nomor Tiket],Table_Tarikan_Warkah[Jenis Permohonan]),"")</f>
        <v>SKPT INFORMASI</v>
      </c>
      <c r="H1012" s="41" t="s">
        <v>11</v>
      </c>
      <c r="I1012" s="41" t="s">
        <v>23</v>
      </c>
      <c r="J1012" s="36">
        <f t="shared" si="20"/>
        <v>45692.57592</v>
      </c>
      <c r="K1012" s="49" t="s">
        <v>197</v>
      </c>
      <c r="L1012" s="49" t="s">
        <v>23</v>
      </c>
      <c r="M1012" s="36">
        <f t="shared" si="26"/>
        <v>45693.69556</v>
      </c>
      <c r="N1012" s="30" t="str">
        <f t="shared" si="27"/>
        <v>Selesai</v>
      </c>
      <c r="O1012" s="45">
        <f t="shared" si="23"/>
        <v>45693.69556</v>
      </c>
      <c r="P1012" s="47" t="b">
        <v>1</v>
      </c>
      <c r="Q1012" s="36">
        <f t="shared" si="24"/>
        <v>45693.69612</v>
      </c>
      <c r="R1012" s="47" t="b">
        <v>0</v>
      </c>
      <c r="S1012" s="42" t="str">
        <f t="shared" si="25"/>
        <v/>
      </c>
      <c r="T1012" s="42"/>
    </row>
    <row r="1013" ht="22.5" customHeight="1">
      <c r="B1013" s="42">
        <f t="shared" si="7"/>
        <v>1007</v>
      </c>
      <c r="C1013" s="31" t="s">
        <v>1140</v>
      </c>
      <c r="D1013" s="34" t="str">
        <f t="array" ref="D1013">IFNA(_xlfn.XLOOKUP(C1013,Table_Tarikan_Warkah[Nomor Sertipikat],Table_Tarikan_Warkah[Nomor Tiket]),"")</f>
        <v>K/14/300125/1</v>
      </c>
      <c r="E1013" s="36">
        <f t="array" ref="E1013">IFNA(_xlfn.XLOOKUP(D1013,Table_Tarikan_Warkah[Nomor Tiket],Table_Tarikan_Warkah[Tanggal diserahkan kepada Validator]),"")</f>
        <v>45694.59214</v>
      </c>
      <c r="F1013" s="36" t="str">
        <f t="array" ref="F1013">IFNA(_xlfn.XLOOKUP(D1013,Table_Tarikan_Warkah[Nomor Tiket],Table_Tarikan_Warkah[Nama Petugas Warkah]),"")</f>
        <v/>
      </c>
      <c r="G1013" s="39" t="str">
        <f t="array" ref="G1013">IFNA(_xlfn.XLOOKUP(D1013,Table_Tarikan_Warkah[Nomor Tiket],Table_Tarikan_Warkah[Jenis Permohonan]),"")</f>
        <v>BN JUAL BELI</v>
      </c>
      <c r="H1013" s="41" t="s">
        <v>11</v>
      </c>
      <c r="I1013" s="41" t="s">
        <v>23</v>
      </c>
      <c r="J1013" s="36">
        <f t="shared" si="20"/>
        <v>45692.57592</v>
      </c>
      <c r="K1013" s="49" t="s">
        <v>197</v>
      </c>
      <c r="L1013" s="49" t="s">
        <v>23</v>
      </c>
      <c r="M1013" s="36">
        <f t="shared" si="26"/>
        <v>45693.69563</v>
      </c>
      <c r="N1013" s="30" t="str">
        <f t="shared" si="27"/>
        <v>Selesai</v>
      </c>
      <c r="O1013" s="45">
        <f t="shared" si="23"/>
        <v>45693.69563</v>
      </c>
      <c r="P1013" s="47" t="b">
        <v>1</v>
      </c>
      <c r="Q1013" s="36">
        <f t="shared" si="24"/>
        <v>45693.69613</v>
      </c>
      <c r="R1013" s="47" t="b">
        <v>0</v>
      </c>
      <c r="S1013" s="42" t="str">
        <f t="shared" si="25"/>
        <v/>
      </c>
      <c r="T1013" s="42"/>
    </row>
    <row r="1014" ht="22.5" customHeight="1">
      <c r="B1014" s="42">
        <f t="shared" si="7"/>
        <v>1008</v>
      </c>
      <c r="C1014" s="31" t="s">
        <v>1141</v>
      </c>
      <c r="D1014" s="34" t="str">
        <f t="array" ref="D1014">IFNA(_xlfn.XLOOKUP(C1014,Table_Tarikan_Warkah[Nomor Sertipikat],Table_Tarikan_Warkah[Nomor Tiket]),"")</f>
        <v>K/48/251124/1</v>
      </c>
      <c r="E1014" s="36" t="str">
        <f t="array" ref="E1014">IFNA(_xlfn.XLOOKUP(D1014,Table_Tarikan_Warkah[Nomor Tiket],Table_Tarikan_Warkah[Tanggal diserahkan kepada Validator]),"")</f>
        <v>26/11/2024 12.03</v>
      </c>
      <c r="F1014" s="36" t="str">
        <f t="array" ref="F1014">IFNA(_xlfn.XLOOKUP(D1014,Table_Tarikan_Warkah[Nomor Tiket],Table_Tarikan_Warkah[Nama Petugas Warkah]),"")</f>
        <v>Berry</v>
      </c>
      <c r="G1014" s="39" t="str">
        <f t="array" ref="G1014">IFNA(_xlfn.XLOOKUP(D1014,Table_Tarikan_Warkah[Nomor Tiket],Table_Tarikan_Warkah[Jenis Permohonan]),"")</f>
        <v>BN JUAL BELI</v>
      </c>
      <c r="H1014" s="41" t="s">
        <v>920</v>
      </c>
      <c r="I1014" s="41" t="s">
        <v>12</v>
      </c>
      <c r="J1014" s="36">
        <f t="shared" si="20"/>
        <v>45692.62104</v>
      </c>
      <c r="K1014" s="41" t="s">
        <v>920</v>
      </c>
      <c r="L1014" s="49" t="s">
        <v>23</v>
      </c>
      <c r="M1014" s="36">
        <f t="shared" si="26"/>
        <v>45692.62111</v>
      </c>
      <c r="N1014" s="30" t="str">
        <f t="shared" si="27"/>
        <v>Selesai</v>
      </c>
      <c r="O1014" s="45">
        <f t="shared" si="23"/>
        <v>45692.62111</v>
      </c>
      <c r="P1014" s="47" t="b">
        <v>0</v>
      </c>
      <c r="Q1014" s="36" t="str">
        <f t="shared" si="24"/>
        <v/>
      </c>
      <c r="R1014" s="47" t="b">
        <v>0</v>
      </c>
      <c r="S1014" s="42" t="str">
        <f t="shared" si="25"/>
        <v/>
      </c>
      <c r="T1014" s="42"/>
    </row>
    <row r="1015" ht="22.5" customHeight="1">
      <c r="B1015" s="42">
        <f t="shared" si="7"/>
        <v>1009</v>
      </c>
      <c r="C1015" s="31" t="s">
        <v>1142</v>
      </c>
      <c r="D1015" s="34" t="str">
        <f t="array" ref="D1015">IFNA(_xlfn.XLOOKUP(C1015,Table_Tarikan_Warkah[Nomor Sertipikat],Table_Tarikan_Warkah[Nomor Tiket]),"")</f>
        <v>K/16/030225/2</v>
      </c>
      <c r="E1015" s="36">
        <f t="array" ref="E1015">IFNA(_xlfn.XLOOKUP(D1015,Table_Tarikan_Warkah[Nomor Tiket],Table_Tarikan_Warkah[Tanggal diserahkan kepada Validator]),"")</f>
        <v>45702.40978</v>
      </c>
      <c r="F1015" s="36" t="str">
        <f t="array" ref="F1015">IFNA(_xlfn.XLOOKUP(D1015,Table_Tarikan_Warkah[Nomor Tiket],Table_Tarikan_Warkah[Nama Petugas Warkah]),"")</f>
        <v/>
      </c>
      <c r="G1015" s="39" t="str">
        <f t="array" ref="G1015">IFNA(_xlfn.XLOOKUP(D1015,Table_Tarikan_Warkah[Nomor Tiket],Table_Tarikan_Warkah[Jenis Permohonan]),"")</f>
        <v>BN Jual Beli</v>
      </c>
      <c r="H1015" s="41" t="s">
        <v>20</v>
      </c>
      <c r="I1015" s="41" t="s">
        <v>23</v>
      </c>
      <c r="J1015" s="36">
        <f t="shared" si="20"/>
        <v>45692.70691</v>
      </c>
      <c r="K1015" s="49" t="s">
        <v>197</v>
      </c>
      <c r="L1015" s="49" t="s">
        <v>23</v>
      </c>
      <c r="M1015" s="36">
        <f t="shared" si="26"/>
        <v>45693.69495</v>
      </c>
      <c r="N1015" s="30" t="str">
        <f t="shared" si="27"/>
        <v>Selesai</v>
      </c>
      <c r="O1015" s="45">
        <f t="shared" si="23"/>
        <v>45693.69495</v>
      </c>
      <c r="P1015" s="47" t="b">
        <v>1</v>
      </c>
      <c r="Q1015" s="36">
        <f t="shared" si="24"/>
        <v>45693.69621</v>
      </c>
      <c r="R1015" s="47" t="b">
        <v>0</v>
      </c>
      <c r="S1015" s="42" t="str">
        <f t="shared" si="25"/>
        <v/>
      </c>
      <c r="T1015" s="42"/>
    </row>
    <row r="1016" ht="22.5" customHeight="1">
      <c r="B1016" s="42">
        <f t="shared" si="7"/>
        <v>1010</v>
      </c>
      <c r="C1016" s="31" t="s">
        <v>1143</v>
      </c>
      <c r="D1016" s="34" t="str">
        <f t="array" ref="D1016">IFNA(_xlfn.XLOOKUP(C1016,Table_Tarikan_Warkah[Nomor Sertipikat],Table_Tarikan_Warkah[Nomor Tiket]),"")</f>
        <v>K/4/140125/1</v>
      </c>
      <c r="E1016" s="36">
        <f t="array" ref="E1016">IFNA(_xlfn.XLOOKUP(D1016,Table_Tarikan_Warkah[Nomor Tiket],Table_Tarikan_Warkah[Tanggal diserahkan kepada Validator]),"")</f>
        <v>45694.58803</v>
      </c>
      <c r="F1016" s="36" t="str">
        <f t="array" ref="F1016">IFNA(_xlfn.XLOOKUP(D1016,Table_Tarikan_Warkah[Nomor Tiket],Table_Tarikan_Warkah[Nama Petugas Warkah]),"")</f>
        <v>David</v>
      </c>
      <c r="G1016" s="39" t="str">
        <f t="array" ref="G1016">IFNA(_xlfn.XLOOKUP(D1016,Table_Tarikan_Warkah[Nomor Tiket],Table_Tarikan_Warkah[Jenis Permohonan]),"")</f>
        <v>BN WARIS</v>
      </c>
      <c r="H1016" s="41" t="s">
        <v>20</v>
      </c>
      <c r="I1016" s="41" t="s">
        <v>23</v>
      </c>
      <c r="J1016" s="36">
        <f t="shared" si="20"/>
        <v>45692.70691</v>
      </c>
      <c r="K1016" s="49" t="s">
        <v>197</v>
      </c>
      <c r="L1016" s="49" t="s">
        <v>23</v>
      </c>
      <c r="M1016" s="36">
        <f t="shared" si="26"/>
        <v>45693.69508</v>
      </c>
      <c r="N1016" s="30" t="str">
        <f t="shared" si="27"/>
        <v>Selesai</v>
      </c>
      <c r="O1016" s="45">
        <f t="shared" si="23"/>
        <v>45693.69508</v>
      </c>
      <c r="P1016" s="47" t="b">
        <v>1</v>
      </c>
      <c r="Q1016" s="36">
        <f t="shared" si="24"/>
        <v>45693.69621</v>
      </c>
      <c r="R1016" s="47" t="b">
        <v>0</v>
      </c>
      <c r="S1016" s="42" t="str">
        <f t="shared" si="25"/>
        <v/>
      </c>
      <c r="T1016" s="42"/>
    </row>
    <row r="1017" ht="22.5" customHeight="1">
      <c r="B1017" s="42">
        <f t="shared" si="7"/>
        <v>1011</v>
      </c>
      <c r="C1017" s="31" t="s">
        <v>1144</v>
      </c>
      <c r="D1017" s="34" t="str">
        <f t="array" ref="D1017">IFNA(_xlfn.XLOOKUP(C1017,Table_Tarikan_Warkah[Nomor Sertipikat],Table_Tarikan_Warkah[Nomor Tiket]),"")</f>
        <v>K/24/230125/2</v>
      </c>
      <c r="E1017" s="36">
        <f t="array" ref="E1017">IFNA(_xlfn.XLOOKUP(D1017,Table_Tarikan_Warkah[Nomor Tiket],Table_Tarikan_Warkah[Tanggal diserahkan kepada Validator]),"")</f>
        <v>45698.61379</v>
      </c>
      <c r="F1017" s="36" t="str">
        <f t="array" ref="F1017">IFNA(_xlfn.XLOOKUP(D1017,Table_Tarikan_Warkah[Nomor Tiket],Table_Tarikan_Warkah[Nama Petugas Warkah]),"")</f>
        <v>David</v>
      </c>
      <c r="G1017" s="39" t="str">
        <f t="array" ref="G1017">IFNA(_xlfn.XLOOKUP(D1017,Table_Tarikan_Warkah[Nomor Tiket],Table_Tarikan_Warkah[Jenis Permohonan]),"")</f>
        <v>BN HIBAH</v>
      </c>
      <c r="H1017" s="41" t="s">
        <v>20</v>
      </c>
      <c r="I1017" s="41" t="s">
        <v>23</v>
      </c>
      <c r="J1017" s="36">
        <f t="shared" si="20"/>
        <v>45692.70693</v>
      </c>
      <c r="K1017" s="49" t="s">
        <v>197</v>
      </c>
      <c r="L1017" s="49" t="s">
        <v>23</v>
      </c>
      <c r="M1017" s="36">
        <f t="shared" si="26"/>
        <v>45693.69513</v>
      </c>
      <c r="N1017" s="30" t="str">
        <f t="shared" si="27"/>
        <v>Selesai</v>
      </c>
      <c r="O1017" s="45">
        <f t="shared" si="23"/>
        <v>45693.69513</v>
      </c>
      <c r="P1017" s="47" t="b">
        <v>1</v>
      </c>
      <c r="Q1017" s="36">
        <f t="shared" si="24"/>
        <v>45693.69621</v>
      </c>
      <c r="R1017" s="47" t="b">
        <v>0</v>
      </c>
      <c r="S1017" s="42" t="str">
        <f t="shared" si="25"/>
        <v/>
      </c>
      <c r="T1017" s="42"/>
    </row>
    <row r="1018" ht="22.5" customHeight="1">
      <c r="B1018" s="42">
        <f t="shared" si="7"/>
        <v>1012</v>
      </c>
      <c r="C1018" s="31" t="s">
        <v>1145</v>
      </c>
      <c r="D1018" s="34" t="str">
        <f t="array" ref="D1018">IFNA(_xlfn.XLOOKUP(C1018,Table_Tarikan_Warkah[Nomor Sertipikat],Table_Tarikan_Warkah[Nomor Tiket]),"")</f>
        <v>L/28/031224/1</v>
      </c>
      <c r="E1018" s="36">
        <f t="array" ref="E1018">IFNA(_xlfn.XLOOKUP(D1018,Table_Tarikan_Warkah[Nomor Tiket],Table_Tarikan_Warkah[Tanggal diserahkan kepada Validator]),"")</f>
        <v>45698.61461</v>
      </c>
      <c r="F1018" s="36" t="str">
        <f t="array" ref="F1018">IFNA(_xlfn.XLOOKUP(D1018,Table_Tarikan_Warkah[Nomor Tiket],Table_Tarikan_Warkah[Nama Petugas Warkah]),"")</f>
        <v>Berry</v>
      </c>
      <c r="G1018" s="39" t="str">
        <f t="array" ref="G1018">IFNA(_xlfn.XLOOKUP(D1018,Table_Tarikan_Warkah[Nomor Tiket],Table_Tarikan_Warkah[Jenis Permohonan]),"")</f>
        <v>BN WARIS</v>
      </c>
      <c r="H1018" s="41" t="s">
        <v>20</v>
      </c>
      <c r="I1018" s="41" t="s">
        <v>23</v>
      </c>
      <c r="J1018" s="36">
        <f t="shared" si="20"/>
        <v>45693.42171</v>
      </c>
      <c r="K1018" s="49" t="s">
        <v>197</v>
      </c>
      <c r="L1018" s="49" t="s">
        <v>23</v>
      </c>
      <c r="M1018" s="36">
        <f t="shared" si="26"/>
        <v>45693.69528</v>
      </c>
      <c r="N1018" s="30" t="str">
        <f t="shared" si="27"/>
        <v>Selesai</v>
      </c>
      <c r="O1018" s="45">
        <f t="shared" si="23"/>
        <v>45693.69528</v>
      </c>
      <c r="P1018" s="47" t="b">
        <v>1</v>
      </c>
      <c r="Q1018" s="36">
        <f t="shared" si="24"/>
        <v>45693.69625</v>
      </c>
      <c r="R1018" s="47" t="b">
        <v>0</v>
      </c>
      <c r="S1018" s="42" t="str">
        <f t="shared" si="25"/>
        <v/>
      </c>
      <c r="T1018" s="42"/>
    </row>
    <row r="1019" ht="22.5" customHeight="1">
      <c r="B1019" s="42">
        <f t="shared" si="7"/>
        <v>1013</v>
      </c>
      <c r="C1019" s="31" t="s">
        <v>1146</v>
      </c>
      <c r="D1019" s="34" t="str">
        <f t="array" ref="D1019">IFNA(_xlfn.XLOOKUP(C1019,Table_Tarikan_Warkah[Nomor Sertipikat],Table_Tarikan_Warkah[Nomor Tiket]),"")</f>
        <v>K/15/030225/1</v>
      </c>
      <c r="E1019" s="36">
        <f t="array" ref="E1019">IFNA(_xlfn.XLOOKUP(D1019,Table_Tarikan_Warkah[Nomor Tiket],Table_Tarikan_Warkah[Tanggal diserahkan kepada Validator]),"")</f>
        <v>45720.56506</v>
      </c>
      <c r="F1019" s="36" t="str">
        <f t="array" ref="F1019">IFNA(_xlfn.XLOOKUP(D1019,Table_Tarikan_Warkah[Nomor Tiket],Table_Tarikan_Warkah[Nama Petugas Warkah]),"")</f>
        <v/>
      </c>
      <c r="G1019" s="39" t="str">
        <f t="array" ref="G1019">IFNA(_xlfn.XLOOKUP(D1019,Table_Tarikan_Warkah[Nomor Tiket],Table_Tarikan_Warkah[Jenis Permohonan]),"")</f>
        <v>ROYA</v>
      </c>
      <c r="H1019" s="41" t="s">
        <v>11</v>
      </c>
      <c r="I1019" s="41" t="s">
        <v>23</v>
      </c>
      <c r="J1019" s="36">
        <f t="shared" si="20"/>
        <v>45693.59391</v>
      </c>
      <c r="K1019" s="49" t="s">
        <v>197</v>
      </c>
      <c r="L1019" s="49" t="s">
        <v>23</v>
      </c>
      <c r="M1019" s="36">
        <f t="shared" si="26"/>
        <v>45693.69528</v>
      </c>
      <c r="N1019" s="30" t="str">
        <f t="shared" si="27"/>
        <v>Selesai</v>
      </c>
      <c r="O1019" s="45">
        <f t="shared" si="23"/>
        <v>45693.69528</v>
      </c>
      <c r="P1019" s="47" t="b">
        <v>1</v>
      </c>
      <c r="Q1019" s="36">
        <f t="shared" si="24"/>
        <v>45693.69625</v>
      </c>
      <c r="R1019" s="47" t="b">
        <v>0</v>
      </c>
      <c r="S1019" s="42" t="str">
        <f t="shared" si="25"/>
        <v/>
      </c>
      <c r="T1019" s="42"/>
    </row>
    <row r="1020" ht="22.5" customHeight="1">
      <c r="B1020" s="42">
        <f t="shared" si="7"/>
        <v>1014</v>
      </c>
      <c r="C1020" s="31" t="s">
        <v>1147</v>
      </c>
      <c r="D1020" s="34" t="str">
        <f t="array" ref="D1020">IFNA(_xlfn.XLOOKUP(C1020,Table_Tarikan_Warkah[Nomor Sertipikat],Table_Tarikan_Warkah[Nomor Tiket]),"")</f>
        <v>K/17/300125/1</v>
      </c>
      <c r="E1020" s="36">
        <f t="array" ref="E1020">IFNA(_xlfn.XLOOKUP(D1020,Table_Tarikan_Warkah[Nomor Tiket],Table_Tarikan_Warkah[Tanggal diserahkan kepada Validator]),"")</f>
        <v>45705.5877</v>
      </c>
      <c r="F1020" s="36" t="str">
        <f t="array" ref="F1020">IFNA(_xlfn.XLOOKUP(D1020,Table_Tarikan_Warkah[Nomor Tiket],Table_Tarikan_Warkah[Nama Petugas Warkah]),"")</f>
        <v/>
      </c>
      <c r="G1020" s="39" t="str">
        <f t="array" ref="G1020">IFNA(_xlfn.XLOOKUP(D1020,Table_Tarikan_Warkah[Nomor Tiket],Table_Tarikan_Warkah[Jenis Permohonan]),"")</f>
        <v>Roya</v>
      </c>
      <c r="H1020" s="41" t="s">
        <v>11</v>
      </c>
      <c r="I1020" s="41" t="s">
        <v>23</v>
      </c>
      <c r="J1020" s="36">
        <f t="shared" si="20"/>
        <v>45693.59394</v>
      </c>
      <c r="K1020" s="49" t="s">
        <v>197</v>
      </c>
      <c r="L1020" s="49" t="s">
        <v>23</v>
      </c>
      <c r="M1020" s="36">
        <f t="shared" si="26"/>
        <v>45693.69528</v>
      </c>
      <c r="N1020" s="30" t="str">
        <f t="shared" si="27"/>
        <v>Selesai</v>
      </c>
      <c r="O1020" s="45">
        <f t="shared" si="23"/>
        <v>45693.69528</v>
      </c>
      <c r="P1020" s="47" t="b">
        <v>1</v>
      </c>
      <c r="Q1020" s="36">
        <f t="shared" si="24"/>
        <v>45693.69625</v>
      </c>
      <c r="R1020" s="47" t="b">
        <v>0</v>
      </c>
      <c r="S1020" s="42" t="str">
        <f t="shared" si="25"/>
        <v/>
      </c>
      <c r="T1020" s="42"/>
    </row>
    <row r="1021" ht="22.5" customHeight="1">
      <c r="B1021" s="42">
        <f t="shared" si="7"/>
        <v>1015</v>
      </c>
      <c r="C1021" s="31" t="s">
        <v>1148</v>
      </c>
      <c r="D1021" s="34" t="str">
        <f t="array" ref="D1021">IFNA(_xlfn.XLOOKUP(C1021,Table_Tarikan_Warkah[Nomor Sertipikat],Table_Tarikan_Warkah[Nomor Tiket]),"")</f>
        <v>K/29/220125/1</v>
      </c>
      <c r="E1021" s="36">
        <f t="array" ref="E1021">IFNA(_xlfn.XLOOKUP(D1021,Table_Tarikan_Warkah[Nomor Tiket],Table_Tarikan_Warkah[Tanggal diserahkan kepada Validator]),"")</f>
        <v>45702.42636</v>
      </c>
      <c r="F1021" s="36" t="str">
        <f t="array" ref="F1021">IFNA(_xlfn.XLOOKUP(D1021,Table_Tarikan_Warkah[Nomor Tiket],Table_Tarikan_Warkah[Nama Petugas Warkah]),"")</f>
        <v>David</v>
      </c>
      <c r="G1021" s="39" t="str">
        <f t="array" ref="G1021">IFNA(_xlfn.XLOOKUP(D1021,Table_Tarikan_Warkah[Nomor Tiket],Table_Tarikan_Warkah[Jenis Permohonan]),"")</f>
        <v>BN Waris</v>
      </c>
      <c r="H1021" s="41" t="s">
        <v>11</v>
      </c>
      <c r="I1021" s="41" t="s">
        <v>23</v>
      </c>
      <c r="J1021" s="36">
        <f t="shared" si="20"/>
        <v>45693.59394</v>
      </c>
      <c r="K1021" s="49" t="s">
        <v>197</v>
      </c>
      <c r="L1021" s="49" t="s">
        <v>23</v>
      </c>
      <c r="M1021" s="36">
        <f t="shared" si="26"/>
        <v>45693.69537</v>
      </c>
      <c r="N1021" s="30" t="str">
        <f t="shared" si="27"/>
        <v>Selesai</v>
      </c>
      <c r="O1021" s="45">
        <f t="shared" si="23"/>
        <v>45693.69537</v>
      </c>
      <c r="P1021" s="47" t="b">
        <v>1</v>
      </c>
      <c r="Q1021" s="36">
        <f t="shared" si="24"/>
        <v>45693.69632</v>
      </c>
      <c r="R1021" s="47" t="b">
        <v>0</v>
      </c>
      <c r="S1021" s="42" t="str">
        <f t="shared" si="25"/>
        <v/>
      </c>
      <c r="T1021" s="42"/>
    </row>
    <row r="1022" ht="22.5" customHeight="1">
      <c r="B1022" s="42">
        <f t="shared" si="7"/>
        <v>1016</v>
      </c>
      <c r="C1022" s="31" t="s">
        <v>1149</v>
      </c>
      <c r="D1022" s="34" t="str">
        <f t="array" ref="D1022">IFNA(_xlfn.XLOOKUP(C1022,Table_Tarikan_Warkah[Nomor Sertipikat],Table_Tarikan_Warkah[Nomor Tiket]),"")</f>
        <v>K/24/240125/1</v>
      </c>
      <c r="E1022" s="36">
        <f t="array" ref="E1022">IFNA(_xlfn.XLOOKUP(D1022,Table_Tarikan_Warkah[Nomor Tiket],Table_Tarikan_Warkah[Tanggal diserahkan kepada Validator]),"")</f>
        <v>45763.44798</v>
      </c>
      <c r="F1022" s="36" t="str">
        <f t="array" ref="F1022">IFNA(_xlfn.XLOOKUP(D1022,Table_Tarikan_Warkah[Nomor Tiket],Table_Tarikan_Warkah[Nama Petugas Warkah]),"")</f>
        <v>David</v>
      </c>
      <c r="G1022" s="39" t="str">
        <f t="array" ref="G1022">IFNA(_xlfn.XLOOKUP(D1022,Table_Tarikan_Warkah[Nomor Tiket],Table_Tarikan_Warkah[Jenis Permohonan]),"")</f>
        <v>Roya</v>
      </c>
      <c r="H1022" s="41" t="s">
        <v>11</v>
      </c>
      <c r="I1022" s="41" t="s">
        <v>23</v>
      </c>
      <c r="J1022" s="36">
        <f t="shared" si="20"/>
        <v>45693.59394</v>
      </c>
      <c r="K1022" s="49" t="s">
        <v>197</v>
      </c>
      <c r="L1022" s="49" t="s">
        <v>23</v>
      </c>
      <c r="M1022" s="36">
        <f t="shared" si="26"/>
        <v>45693.69537</v>
      </c>
      <c r="N1022" s="30" t="str">
        <f t="shared" si="27"/>
        <v>Selesai</v>
      </c>
      <c r="O1022" s="45">
        <f t="shared" si="23"/>
        <v>45693.69537</v>
      </c>
      <c r="P1022" s="47" t="b">
        <v>1</v>
      </c>
      <c r="Q1022" s="36">
        <f t="shared" si="24"/>
        <v>45693.69632</v>
      </c>
      <c r="R1022" s="47" t="b">
        <v>0</v>
      </c>
      <c r="S1022" s="42" t="str">
        <f t="shared" si="25"/>
        <v/>
      </c>
      <c r="T1022" s="42"/>
    </row>
    <row r="1023" ht="22.5" customHeight="1">
      <c r="B1023" s="42">
        <f t="shared" si="7"/>
        <v>1017</v>
      </c>
      <c r="C1023" s="31" t="s">
        <v>1150</v>
      </c>
      <c r="D1023" s="34" t="str">
        <f t="array" ref="D1023">IFNA(_xlfn.XLOOKUP(C1023,Table_Tarikan_Warkah[Nomor Sertipikat],Table_Tarikan_Warkah[Nomor Tiket]),"")</f>
        <v>K/22/240125/1</v>
      </c>
      <c r="E1023" s="36" t="str">
        <f t="array" ref="E1023">IFNA(_xlfn.XLOOKUP(D1023,Table_Tarikan_Warkah[Nomor Tiket],Table_Tarikan_Warkah[Tanggal diserahkan kepada Validator]),"")</f>
        <v/>
      </c>
      <c r="F1023" s="36" t="str">
        <f t="array" ref="F1023">IFNA(_xlfn.XLOOKUP(D1023,Table_Tarikan_Warkah[Nomor Tiket],Table_Tarikan_Warkah[Nama Petugas Warkah]),"")</f>
        <v/>
      </c>
      <c r="G1023" s="39" t="str">
        <f t="array" ref="G1023">IFNA(_xlfn.XLOOKUP(D1023,Table_Tarikan_Warkah[Nomor Tiket],Table_Tarikan_Warkah[Jenis Permohonan]),"")</f>
        <v>PEMECAHAN</v>
      </c>
      <c r="H1023" s="41" t="s">
        <v>11</v>
      </c>
      <c r="I1023" s="41" t="s">
        <v>23</v>
      </c>
      <c r="J1023" s="36">
        <f t="shared" si="20"/>
        <v>45693.59397</v>
      </c>
      <c r="K1023" s="49" t="s">
        <v>197</v>
      </c>
      <c r="L1023" s="49" t="s">
        <v>23</v>
      </c>
      <c r="M1023" s="36">
        <f t="shared" si="26"/>
        <v>45693.69537</v>
      </c>
      <c r="N1023" s="30" t="str">
        <f t="shared" si="27"/>
        <v>Selesai</v>
      </c>
      <c r="O1023" s="45">
        <f t="shared" si="23"/>
        <v>45693.69537</v>
      </c>
      <c r="P1023" s="47" t="b">
        <v>1</v>
      </c>
      <c r="Q1023" s="36">
        <f t="shared" si="24"/>
        <v>45693.69632</v>
      </c>
      <c r="R1023" s="47" t="b">
        <v>0</v>
      </c>
      <c r="S1023" s="42" t="str">
        <f t="shared" si="25"/>
        <v/>
      </c>
      <c r="T1023" s="42"/>
    </row>
    <row r="1024" ht="22.5" customHeight="1">
      <c r="B1024" s="42">
        <f t="shared" si="7"/>
        <v>1018</v>
      </c>
      <c r="C1024" s="31" t="s">
        <v>1151</v>
      </c>
      <c r="D1024" s="34" t="str">
        <f t="array" ref="D1024">IFNA(_xlfn.XLOOKUP(C1024,Table_Tarikan_Warkah[Nomor Sertipikat],Table_Tarikan_Warkah[Nomor Tiket]),"")</f>
        <v>K/7/240125/1</v>
      </c>
      <c r="E1024" s="36">
        <f t="array" ref="E1024">IFNA(_xlfn.XLOOKUP(D1024,Table_Tarikan_Warkah[Nomor Tiket],Table_Tarikan_Warkah[Tanggal diserahkan kepada Validator]),"")</f>
        <v>45719.63717</v>
      </c>
      <c r="F1024" s="36" t="str">
        <f t="array" ref="F1024">IFNA(_xlfn.XLOOKUP(D1024,Table_Tarikan_Warkah[Nomor Tiket],Table_Tarikan_Warkah[Nama Petugas Warkah]),"")</f>
        <v>David</v>
      </c>
      <c r="G1024" s="39" t="str">
        <f t="array" ref="G1024">IFNA(_xlfn.XLOOKUP(D1024,Table_Tarikan_Warkah[Nomor Tiket],Table_Tarikan_Warkah[Jenis Permohonan]),"")</f>
        <v>Roya</v>
      </c>
      <c r="H1024" s="41" t="s">
        <v>11</v>
      </c>
      <c r="I1024" s="41" t="s">
        <v>23</v>
      </c>
      <c r="J1024" s="36">
        <f t="shared" si="20"/>
        <v>45693.59397</v>
      </c>
      <c r="K1024" s="49" t="s">
        <v>197</v>
      </c>
      <c r="L1024" s="49" t="s">
        <v>23</v>
      </c>
      <c r="M1024" s="36">
        <f t="shared" si="26"/>
        <v>45693.69537</v>
      </c>
      <c r="N1024" s="30" t="str">
        <f t="shared" si="27"/>
        <v>Selesai</v>
      </c>
      <c r="O1024" s="45">
        <f t="shared" si="23"/>
        <v>45693.69537</v>
      </c>
      <c r="P1024" s="47" t="b">
        <v>1</v>
      </c>
      <c r="Q1024" s="36">
        <f t="shared" si="24"/>
        <v>45693.69632</v>
      </c>
      <c r="R1024" s="47" t="b">
        <v>0</v>
      </c>
      <c r="S1024" s="42" t="str">
        <f t="shared" si="25"/>
        <v/>
      </c>
      <c r="T1024" s="42"/>
    </row>
    <row r="1025" ht="22.5" customHeight="1">
      <c r="B1025" s="42">
        <f t="shared" si="7"/>
        <v>1019</v>
      </c>
      <c r="C1025" s="31" t="s">
        <v>1152</v>
      </c>
      <c r="D1025" s="34" t="str">
        <f t="array" ref="D1025">IFNA(_xlfn.XLOOKUP(C1025,Table_Tarikan_Warkah[Nomor Sertipikat],Table_Tarikan_Warkah[Nomor Tiket]),"")</f>
        <v>K/20/150125/1</v>
      </c>
      <c r="E1025" s="36">
        <f t="array" ref="E1025">IFNA(_xlfn.XLOOKUP(D1025,Table_Tarikan_Warkah[Nomor Tiket],Table_Tarikan_Warkah[Tanggal diserahkan kepada Validator]),"")</f>
        <v>45702.42794</v>
      </c>
      <c r="F1025" s="36" t="str">
        <f t="array" ref="F1025">IFNA(_xlfn.XLOOKUP(D1025,Table_Tarikan_Warkah[Nomor Tiket],Table_Tarikan_Warkah[Nama Petugas Warkah]),"")</f>
        <v>David</v>
      </c>
      <c r="G1025" s="39" t="str">
        <f t="array" ref="G1025">IFNA(_xlfn.XLOOKUP(D1025,Table_Tarikan_Warkah[Nomor Tiket],Table_Tarikan_Warkah[Jenis Permohonan]),"")</f>
        <v>BN Waris</v>
      </c>
      <c r="H1025" s="41" t="s">
        <v>11</v>
      </c>
      <c r="I1025" s="41" t="s">
        <v>23</v>
      </c>
      <c r="J1025" s="36">
        <f t="shared" si="20"/>
        <v>45693.59397</v>
      </c>
      <c r="K1025" s="49" t="s">
        <v>197</v>
      </c>
      <c r="L1025" s="49" t="s">
        <v>23</v>
      </c>
      <c r="M1025" s="36">
        <f t="shared" si="26"/>
        <v>45693.69537</v>
      </c>
      <c r="N1025" s="30" t="str">
        <f t="shared" si="27"/>
        <v>Selesai</v>
      </c>
      <c r="O1025" s="45">
        <f t="shared" si="23"/>
        <v>45693.69537</v>
      </c>
      <c r="P1025" s="47" t="b">
        <v>1</v>
      </c>
      <c r="Q1025" s="36">
        <f t="shared" si="24"/>
        <v>45693.69632</v>
      </c>
      <c r="R1025" s="47" t="b">
        <v>0</v>
      </c>
      <c r="S1025" s="42" t="str">
        <f t="shared" si="25"/>
        <v/>
      </c>
      <c r="T1025" s="42"/>
    </row>
    <row r="1026" ht="22.5" customHeight="1">
      <c r="B1026" s="42">
        <f t="shared" si="7"/>
        <v>1020</v>
      </c>
      <c r="C1026" s="31" t="s">
        <v>1153</v>
      </c>
      <c r="D1026" s="34" t="str">
        <f t="array" ref="D1026">IFNA(_xlfn.XLOOKUP(C1026,Table_Tarikan_Warkah[Nomor Sertipikat],Table_Tarikan_Warkah[Nomor Tiket]),"")</f>
        <v>K/11/300125/1</v>
      </c>
      <c r="E1026" s="36">
        <f t="array" ref="E1026">IFNA(_xlfn.XLOOKUP(D1026,Table_Tarikan_Warkah[Nomor Tiket],Table_Tarikan_Warkah[Tanggal diserahkan kepada Validator]),"")</f>
        <v>45708.59549</v>
      </c>
      <c r="F1026" s="36" t="str">
        <f t="array" ref="F1026">IFNA(_xlfn.XLOOKUP(D1026,Table_Tarikan_Warkah[Nomor Tiket],Table_Tarikan_Warkah[Nama Petugas Warkah]),"")</f>
        <v/>
      </c>
      <c r="G1026" s="39" t="str">
        <f t="array" ref="G1026">IFNA(_xlfn.XLOOKUP(D1026,Table_Tarikan_Warkah[Nomor Tiket],Table_Tarikan_Warkah[Jenis Permohonan]),"")</f>
        <v>Roya</v>
      </c>
      <c r="H1026" s="41" t="s">
        <v>11</v>
      </c>
      <c r="I1026" s="41" t="s">
        <v>23</v>
      </c>
      <c r="J1026" s="36">
        <f t="shared" si="20"/>
        <v>45693.59397</v>
      </c>
      <c r="K1026" s="49" t="s">
        <v>197</v>
      </c>
      <c r="L1026" s="49" t="s">
        <v>23</v>
      </c>
      <c r="M1026" s="36">
        <f t="shared" si="26"/>
        <v>45693.69537</v>
      </c>
      <c r="N1026" s="30" t="str">
        <f t="shared" si="27"/>
        <v>Selesai</v>
      </c>
      <c r="O1026" s="45">
        <f t="shared" si="23"/>
        <v>45693.69537</v>
      </c>
      <c r="P1026" s="47" t="b">
        <v>1</v>
      </c>
      <c r="Q1026" s="36">
        <f t="shared" si="24"/>
        <v>45693.69632</v>
      </c>
      <c r="R1026" s="47" t="b">
        <v>0</v>
      </c>
      <c r="S1026" s="42" t="str">
        <f t="shared" si="25"/>
        <v/>
      </c>
      <c r="T1026" s="42"/>
    </row>
    <row r="1027" ht="22.5" customHeight="1">
      <c r="B1027" s="42">
        <f t="shared" si="7"/>
        <v>1021</v>
      </c>
      <c r="C1027" s="31" t="s">
        <v>1154</v>
      </c>
      <c r="D1027" s="34" t="str">
        <f t="array" ref="D1027">IFNA(_xlfn.XLOOKUP(C1027,Table_Tarikan_Warkah[Nomor Sertipikat],Table_Tarikan_Warkah[Nomor Tiket]),"")</f>
        <v>K/2/070125/1</v>
      </c>
      <c r="E1027" s="36">
        <f t="array" ref="E1027">IFNA(_xlfn.XLOOKUP(D1027,Table_Tarikan_Warkah[Nomor Tiket],Table_Tarikan_Warkah[Tanggal diserahkan kepada Validator]),"")</f>
        <v>45728.44895</v>
      </c>
      <c r="F1027" s="36" t="str">
        <f t="array" ref="F1027">IFNA(_xlfn.XLOOKUP(D1027,Table_Tarikan_Warkah[Nomor Tiket],Table_Tarikan_Warkah[Nama Petugas Warkah]),"")</f>
        <v>Berry</v>
      </c>
      <c r="G1027" s="39" t="str">
        <f t="array" ref="G1027">IFNA(_xlfn.XLOOKUP(D1027,Table_Tarikan_Warkah[Nomor Tiket],Table_Tarikan_Warkah[Jenis Permohonan]),"")</f>
        <v>BN WARIS</v>
      </c>
      <c r="H1027" s="41" t="s">
        <v>11</v>
      </c>
      <c r="I1027" s="41" t="s">
        <v>23</v>
      </c>
      <c r="J1027" s="36">
        <f t="shared" si="20"/>
        <v>45693.594</v>
      </c>
      <c r="K1027" s="49" t="s">
        <v>197</v>
      </c>
      <c r="L1027" s="49" t="s">
        <v>23</v>
      </c>
      <c r="M1027" s="36">
        <f t="shared" si="26"/>
        <v>45693.69546</v>
      </c>
      <c r="N1027" s="30" t="str">
        <f t="shared" si="27"/>
        <v>Selesai</v>
      </c>
      <c r="O1027" s="45">
        <f t="shared" si="23"/>
        <v>45693.69546</v>
      </c>
      <c r="P1027" s="47" t="b">
        <v>1</v>
      </c>
      <c r="Q1027" s="36">
        <f t="shared" si="24"/>
        <v>45693.69635</v>
      </c>
      <c r="R1027" s="47" t="b">
        <v>0</v>
      </c>
      <c r="S1027" s="42" t="str">
        <f t="shared" si="25"/>
        <v/>
      </c>
      <c r="T1027" s="42"/>
    </row>
    <row r="1028" ht="22.5" customHeight="1">
      <c r="B1028" s="42">
        <f t="shared" si="7"/>
        <v>1022</v>
      </c>
      <c r="C1028" s="31" t="s">
        <v>1155</v>
      </c>
      <c r="D1028" s="34" t="str">
        <f t="array" ref="D1028">IFNA(_xlfn.XLOOKUP(C1028,Table_Tarikan_Warkah[Nomor Sertipikat],Table_Tarikan_Warkah[Nomor Tiket]),"")</f>
        <v>K/12/230125/2</v>
      </c>
      <c r="E1028" s="36">
        <f t="array" ref="E1028">IFNA(_xlfn.XLOOKUP(D1028,Table_Tarikan_Warkah[Nomor Tiket],Table_Tarikan_Warkah[Tanggal diserahkan kepada Validator]),"")</f>
        <v>45769.60071</v>
      </c>
      <c r="F1028" s="36" t="str">
        <f t="array" ref="F1028">IFNA(_xlfn.XLOOKUP(D1028,Table_Tarikan_Warkah[Nomor Tiket],Table_Tarikan_Warkah[Nama Petugas Warkah]),"")</f>
        <v/>
      </c>
      <c r="G1028" s="39" t="str">
        <f t="array" ref="G1028">IFNA(_xlfn.XLOOKUP(D1028,Table_Tarikan_Warkah[Nomor Tiket],Table_Tarikan_Warkah[Jenis Permohonan]),"")</f>
        <v>PEMECAHAN BIDANG</v>
      </c>
      <c r="H1028" s="41" t="s">
        <v>11</v>
      </c>
      <c r="I1028" s="41" t="s">
        <v>23</v>
      </c>
      <c r="J1028" s="36">
        <f t="shared" si="20"/>
        <v>45693.594</v>
      </c>
      <c r="K1028" s="49" t="s">
        <v>197</v>
      </c>
      <c r="L1028" s="49" t="s">
        <v>23</v>
      </c>
      <c r="M1028" s="36">
        <f t="shared" si="26"/>
        <v>45693.69546</v>
      </c>
      <c r="N1028" s="30" t="str">
        <f t="shared" si="27"/>
        <v>Selesai</v>
      </c>
      <c r="O1028" s="45">
        <f t="shared" si="23"/>
        <v>45693.69546</v>
      </c>
      <c r="P1028" s="47" t="b">
        <v>1</v>
      </c>
      <c r="Q1028" s="36">
        <f t="shared" si="24"/>
        <v>45693.69637</v>
      </c>
      <c r="R1028" s="47" t="b">
        <v>0</v>
      </c>
      <c r="S1028" s="42" t="str">
        <f t="shared" si="25"/>
        <v/>
      </c>
      <c r="T1028" s="42"/>
    </row>
    <row r="1029" ht="22.5" customHeight="1">
      <c r="B1029" s="42">
        <f t="shared" si="7"/>
        <v>1023</v>
      </c>
      <c r="C1029" s="31" t="s">
        <v>1156</v>
      </c>
      <c r="D1029" s="34" t="str">
        <f t="array" ref="D1029">IFNA(_xlfn.XLOOKUP(C1029,Table_Tarikan_Warkah[Nomor Sertipikat],Table_Tarikan_Warkah[Nomor Tiket]),"")</f>
        <v>K/10/060125/1</v>
      </c>
      <c r="E1029" s="36">
        <f t="array" ref="E1029">IFNA(_xlfn.XLOOKUP(D1029,Table_Tarikan_Warkah[Nomor Tiket],Table_Tarikan_Warkah[Tanggal diserahkan kepada Validator]),"")</f>
        <v>45694.59334</v>
      </c>
      <c r="F1029" s="36" t="str">
        <f t="array" ref="F1029">IFNA(_xlfn.XLOOKUP(D1029,Table_Tarikan_Warkah[Nomor Tiket],Table_Tarikan_Warkah[Nama Petugas Warkah]),"")</f>
        <v>David</v>
      </c>
      <c r="G1029" s="39" t="str">
        <f t="array" ref="G1029">IFNA(_xlfn.XLOOKUP(D1029,Table_Tarikan_Warkah[Nomor Tiket],Table_Tarikan_Warkah[Jenis Permohonan]),"")</f>
        <v>BN Waris</v>
      </c>
      <c r="H1029" s="41" t="s">
        <v>20</v>
      </c>
      <c r="I1029" s="41" t="s">
        <v>23</v>
      </c>
      <c r="J1029" s="36">
        <f t="shared" si="20"/>
        <v>45693.62084</v>
      </c>
      <c r="K1029" s="41" t="s">
        <v>26</v>
      </c>
      <c r="L1029" s="49" t="s">
        <v>23</v>
      </c>
      <c r="M1029" s="36">
        <f t="shared" si="26"/>
        <v>45693.6209</v>
      </c>
      <c r="N1029" s="30" t="str">
        <f t="shared" si="27"/>
        <v>Selesai</v>
      </c>
      <c r="O1029" s="45">
        <f t="shared" si="23"/>
        <v>45693.6209</v>
      </c>
      <c r="P1029" s="47" t="b">
        <v>0</v>
      </c>
      <c r="Q1029" s="36" t="str">
        <f t="shared" si="24"/>
        <v/>
      </c>
      <c r="R1029" s="47" t="b">
        <v>0</v>
      </c>
      <c r="S1029" s="42" t="str">
        <f t="shared" si="25"/>
        <v/>
      </c>
      <c r="T1029" s="42"/>
    </row>
    <row r="1030" ht="22.5" customHeight="1">
      <c r="B1030" s="42">
        <f t="shared" si="7"/>
        <v>1024</v>
      </c>
      <c r="C1030" s="31" t="s">
        <v>1157</v>
      </c>
      <c r="D1030" s="34" t="str">
        <f t="array" ref="D1030">IFNA(_xlfn.XLOOKUP(C1030,Table_Tarikan_Warkah[Nomor Sertipikat],Table_Tarikan_Warkah[Nomor Tiket]),"")</f>
        <v>K/8/040225/2</v>
      </c>
      <c r="E1030" s="36">
        <f t="array" ref="E1030">IFNA(_xlfn.XLOOKUP(D1030,Table_Tarikan_Warkah[Nomor Tiket],Table_Tarikan_Warkah[Tanggal diserahkan kepada Validator]),"")</f>
        <v>45698.61403</v>
      </c>
      <c r="F1030" s="36" t="str">
        <f t="array" ref="F1030">IFNA(_xlfn.XLOOKUP(D1030,Table_Tarikan_Warkah[Nomor Tiket],Table_Tarikan_Warkah[Nama Petugas Warkah]),"")</f>
        <v/>
      </c>
      <c r="G1030" s="39" t="str">
        <f t="array" ref="G1030">IFNA(_xlfn.XLOOKUP(D1030,Table_Tarikan_Warkah[Nomor Tiket],Table_Tarikan_Warkah[Jenis Permohonan]),"")</f>
        <v>PERALIHAN JUAL BELI</v>
      </c>
      <c r="H1030" s="41" t="s">
        <v>11</v>
      </c>
      <c r="I1030" s="41" t="s">
        <v>23</v>
      </c>
      <c r="J1030" s="36">
        <f t="shared" si="20"/>
        <v>45694.63495</v>
      </c>
      <c r="K1030" s="49" t="s">
        <v>197</v>
      </c>
      <c r="L1030" s="49" t="s">
        <v>23</v>
      </c>
      <c r="M1030" s="36">
        <f t="shared" si="26"/>
        <v>45694.65689</v>
      </c>
      <c r="N1030" s="30" t="str">
        <f t="shared" si="27"/>
        <v>Selesai</v>
      </c>
      <c r="O1030" s="45">
        <f t="shared" si="23"/>
        <v>45694.65689</v>
      </c>
      <c r="P1030" s="47" t="b">
        <v>1</v>
      </c>
      <c r="Q1030" s="36">
        <f t="shared" si="24"/>
        <v>45694.65708</v>
      </c>
      <c r="R1030" s="47" t="b">
        <v>0</v>
      </c>
      <c r="S1030" s="42" t="str">
        <f t="shared" si="25"/>
        <v/>
      </c>
      <c r="T1030" s="42"/>
    </row>
    <row r="1031" ht="22.5" customHeight="1">
      <c r="B1031" s="42">
        <f t="shared" si="7"/>
        <v>1025</v>
      </c>
      <c r="C1031" s="31" t="s">
        <v>1158</v>
      </c>
      <c r="D1031" s="34" t="str">
        <f t="array" ref="D1031">IFNA(_xlfn.XLOOKUP(C1031,Table_Tarikan_Warkah[Nomor Sertipikat],Table_Tarikan_Warkah[Nomor Tiket]),"")</f>
        <v>K/9/040225/3</v>
      </c>
      <c r="E1031" s="36">
        <f t="array" ref="E1031">IFNA(_xlfn.XLOOKUP(D1031,Table_Tarikan_Warkah[Nomor Tiket],Table_Tarikan_Warkah[Tanggal diserahkan kepada Validator]),"")</f>
        <v>45698.61362</v>
      </c>
      <c r="F1031" s="36" t="str">
        <f t="array" ref="F1031">IFNA(_xlfn.XLOOKUP(D1031,Table_Tarikan_Warkah[Nomor Tiket],Table_Tarikan_Warkah[Nama Petugas Warkah]),"")</f>
        <v/>
      </c>
      <c r="G1031" s="39" t="str">
        <f t="array" ref="G1031">IFNA(_xlfn.XLOOKUP(D1031,Table_Tarikan_Warkah[Nomor Tiket],Table_Tarikan_Warkah[Jenis Permohonan]),"")</f>
        <v>PERALIHAN JUAL BELI</v>
      </c>
      <c r="H1031" s="41" t="s">
        <v>11</v>
      </c>
      <c r="I1031" s="41" t="s">
        <v>23</v>
      </c>
      <c r="J1031" s="36">
        <f t="shared" si="20"/>
        <v>45694.63495</v>
      </c>
      <c r="K1031" s="49" t="s">
        <v>197</v>
      </c>
      <c r="L1031" s="49" t="s">
        <v>23</v>
      </c>
      <c r="M1031" s="36">
        <f t="shared" si="26"/>
        <v>45694.65702</v>
      </c>
      <c r="N1031" s="30" t="str">
        <f t="shared" si="27"/>
        <v>Selesai</v>
      </c>
      <c r="O1031" s="45">
        <f t="shared" si="23"/>
        <v>45694.65702</v>
      </c>
      <c r="P1031" s="47" t="b">
        <v>1</v>
      </c>
      <c r="Q1031" s="36">
        <f t="shared" si="24"/>
        <v>45694.65714</v>
      </c>
      <c r="R1031" s="47" t="b">
        <v>0</v>
      </c>
      <c r="S1031" s="42" t="str">
        <f t="shared" si="25"/>
        <v/>
      </c>
      <c r="T1031" s="42"/>
    </row>
    <row r="1032" ht="22.5" customHeight="1">
      <c r="B1032" s="42">
        <f t="shared" si="7"/>
        <v>1026</v>
      </c>
      <c r="C1032" s="31" t="s">
        <v>1159</v>
      </c>
      <c r="D1032" s="34" t="str">
        <f t="array" ref="D1032">IFNA(_xlfn.XLOOKUP(C1032,Table_Tarikan_Warkah[Nomor Sertipikat],Table_Tarikan_Warkah[Nomor Tiket]),"")</f>
        <v>K/19/030225/1</v>
      </c>
      <c r="E1032" s="36" t="str">
        <f t="array" ref="E1032">IFNA(_xlfn.XLOOKUP(D1032,Table_Tarikan_Warkah[Nomor Tiket],Table_Tarikan_Warkah[Tanggal diserahkan kepada Validator]),"")</f>
        <v/>
      </c>
      <c r="F1032" s="36" t="str">
        <f t="array" ref="F1032">IFNA(_xlfn.XLOOKUP(D1032,Table_Tarikan_Warkah[Nomor Tiket],Table_Tarikan_Warkah[Nama Petugas Warkah]),"")</f>
        <v/>
      </c>
      <c r="G1032" s="39" t="str">
        <f t="array" ref="G1032">IFNA(_xlfn.XLOOKUP(D1032,Table_Tarikan_Warkah[Nomor Tiket],Table_Tarikan_Warkah[Jenis Permohonan]),"")</f>
        <v>Perubahan Hak</v>
      </c>
      <c r="H1032" s="41" t="s">
        <v>11</v>
      </c>
      <c r="I1032" s="41" t="s">
        <v>23</v>
      </c>
      <c r="J1032" s="36">
        <f t="shared" si="20"/>
        <v>45694.63495</v>
      </c>
      <c r="K1032" s="49" t="s">
        <v>197</v>
      </c>
      <c r="L1032" s="49" t="s">
        <v>23</v>
      </c>
      <c r="M1032" s="36">
        <f t="shared" si="26"/>
        <v>45694.65702</v>
      </c>
      <c r="N1032" s="30" t="str">
        <f t="shared" si="27"/>
        <v>Selesai</v>
      </c>
      <c r="O1032" s="45">
        <f t="shared" si="23"/>
        <v>45694.65702</v>
      </c>
      <c r="P1032" s="47" t="b">
        <v>1</v>
      </c>
      <c r="Q1032" s="36">
        <f t="shared" si="24"/>
        <v>45694.65716</v>
      </c>
      <c r="R1032" s="47" t="b">
        <v>0</v>
      </c>
      <c r="S1032" s="42" t="str">
        <f t="shared" si="25"/>
        <v/>
      </c>
      <c r="T1032" s="42"/>
    </row>
    <row r="1033" ht="22.5" customHeight="1">
      <c r="B1033" s="42">
        <f t="shared" si="7"/>
        <v>1027</v>
      </c>
      <c r="C1033" s="31" t="s">
        <v>1160</v>
      </c>
      <c r="D1033" s="34" t="str">
        <f t="array" ref="D1033">IFNA(_xlfn.XLOOKUP(C1033,Table_Tarikan_Warkah[Nomor Sertipikat],Table_Tarikan_Warkah[Nomor Tiket]),"")</f>
        <v>L/5/291124/1</v>
      </c>
      <c r="E1033" s="36" t="str">
        <f t="array" ref="E1033">IFNA(_xlfn.XLOOKUP(D1033,Table_Tarikan_Warkah[Nomor Tiket],Table_Tarikan_Warkah[Tanggal diserahkan kepada Validator]),"")</f>
        <v>02/12/2024 15.01</v>
      </c>
      <c r="F1033" s="36" t="str">
        <f t="array" ref="F1033">IFNA(_xlfn.XLOOKUP(D1033,Table_Tarikan_Warkah[Nomor Tiket],Table_Tarikan_Warkah[Nama Petugas Warkah]),"")</f>
        <v>Berry</v>
      </c>
      <c r="G1033" s="39" t="str">
        <f t="array" ref="G1033">IFNA(_xlfn.XLOOKUP(D1033,Table_Tarikan_Warkah[Nomor Tiket],Table_Tarikan_Warkah[Jenis Permohonan]),"")</f>
        <v>ROYA</v>
      </c>
      <c r="H1033" s="41" t="s">
        <v>11</v>
      </c>
      <c r="I1033" s="41" t="s">
        <v>23</v>
      </c>
      <c r="J1033" s="36">
        <f t="shared" si="20"/>
        <v>45694.63495</v>
      </c>
      <c r="K1033" s="49" t="s">
        <v>197</v>
      </c>
      <c r="L1033" s="49" t="s">
        <v>23</v>
      </c>
      <c r="M1033" s="36">
        <f t="shared" si="26"/>
        <v>45694.65702</v>
      </c>
      <c r="N1033" s="30" t="str">
        <f t="shared" si="27"/>
        <v>Selesai</v>
      </c>
      <c r="O1033" s="45">
        <f t="shared" si="23"/>
        <v>45694.65702</v>
      </c>
      <c r="P1033" s="47" t="b">
        <v>1</v>
      </c>
      <c r="Q1033" s="36">
        <f t="shared" si="24"/>
        <v>45694.65717</v>
      </c>
      <c r="R1033" s="47" t="b">
        <v>0</v>
      </c>
      <c r="S1033" s="42" t="str">
        <f t="shared" si="25"/>
        <v/>
      </c>
      <c r="T1033" s="42"/>
    </row>
    <row r="1034" ht="22.5" customHeight="1">
      <c r="B1034" s="42">
        <f t="shared" si="7"/>
        <v>1028</v>
      </c>
      <c r="C1034" s="31" t="s">
        <v>1161</v>
      </c>
      <c r="D1034" s="34" t="str">
        <f t="array" ref="D1034">IFNA(_xlfn.XLOOKUP(C1034,Table_Tarikan_Warkah[Nomor Sertipikat],Table_Tarikan_Warkah[Nomor Tiket]),"")</f>
        <v>K/30/040225/1</v>
      </c>
      <c r="E1034" s="36" t="str">
        <f t="array" ref="E1034">IFNA(_xlfn.XLOOKUP(D1034,Table_Tarikan_Warkah[Nomor Tiket],Table_Tarikan_Warkah[Tanggal diserahkan kepada Validator]),"")</f>
        <v/>
      </c>
      <c r="F1034" s="36" t="str">
        <f t="array" ref="F1034">IFNA(_xlfn.XLOOKUP(D1034,Table_Tarikan_Warkah[Nomor Tiket],Table_Tarikan_Warkah[Nama Petugas Warkah]),"")</f>
        <v/>
      </c>
      <c r="G1034" s="39" t="str">
        <f t="array" ref="G1034">IFNA(_xlfn.XLOOKUP(D1034,Table_Tarikan_Warkah[Nomor Tiket],Table_Tarikan_Warkah[Jenis Permohonan]),"")</f>
        <v>PEMECAHAN</v>
      </c>
      <c r="H1034" s="41" t="s">
        <v>11</v>
      </c>
      <c r="I1034" s="41" t="s">
        <v>23</v>
      </c>
      <c r="J1034" s="36">
        <f t="shared" si="20"/>
        <v>45694.63495</v>
      </c>
      <c r="K1034" s="49" t="s">
        <v>197</v>
      </c>
      <c r="L1034" s="49" t="s">
        <v>23</v>
      </c>
      <c r="M1034" s="36">
        <f t="shared" si="26"/>
        <v>45694.65702</v>
      </c>
      <c r="N1034" s="30" t="str">
        <f t="shared" si="27"/>
        <v>Selesai</v>
      </c>
      <c r="O1034" s="45">
        <f t="shared" si="23"/>
        <v>45694.65702</v>
      </c>
      <c r="P1034" s="47" t="b">
        <v>1</v>
      </c>
      <c r="Q1034" s="36">
        <f t="shared" si="24"/>
        <v>45694.65718</v>
      </c>
      <c r="R1034" s="47" t="b">
        <v>0</v>
      </c>
      <c r="S1034" s="42" t="str">
        <f t="shared" si="25"/>
        <v/>
      </c>
      <c r="T1034" s="42"/>
    </row>
    <row r="1035" ht="22.5" customHeight="1">
      <c r="B1035" s="42">
        <f t="shared" si="7"/>
        <v>1029</v>
      </c>
      <c r="C1035" s="31" t="s">
        <v>1162</v>
      </c>
      <c r="D1035" s="34" t="str">
        <f t="array" ref="D1035">IFNA(_xlfn.XLOOKUP(C1035,Table_Tarikan_Warkah[Nomor Sertipikat],Table_Tarikan_Warkah[Nomor Tiket]),"")</f>
        <v>L/9/210125/1</v>
      </c>
      <c r="E1035" s="36">
        <f t="array" ref="E1035">IFNA(_xlfn.XLOOKUP(D1035,Table_Tarikan_Warkah[Nomor Tiket],Table_Tarikan_Warkah[Tanggal diserahkan kepada Validator]),"")</f>
        <v>45719.63906</v>
      </c>
      <c r="F1035" s="36" t="str">
        <f t="array" ref="F1035">IFNA(_xlfn.XLOOKUP(D1035,Table_Tarikan_Warkah[Nomor Tiket],Table_Tarikan_Warkah[Nama Petugas Warkah]),"")</f>
        <v>Berry</v>
      </c>
      <c r="G1035" s="39" t="str">
        <f t="array" ref="G1035">IFNA(_xlfn.XLOOKUP(D1035,Table_Tarikan_Warkah[Nomor Tiket],Table_Tarikan_Warkah[Jenis Permohonan]),"")</f>
        <v>ROYA</v>
      </c>
      <c r="H1035" s="41" t="s">
        <v>11</v>
      </c>
      <c r="I1035" s="41" t="s">
        <v>23</v>
      </c>
      <c r="J1035" s="36">
        <f t="shared" si="20"/>
        <v>45694.63495</v>
      </c>
      <c r="K1035" s="49" t="s">
        <v>197</v>
      </c>
      <c r="L1035" s="49" t="s">
        <v>23</v>
      </c>
      <c r="M1035" s="36">
        <f t="shared" si="26"/>
        <v>45694.65702</v>
      </c>
      <c r="N1035" s="30" t="str">
        <f t="shared" si="27"/>
        <v>Selesai</v>
      </c>
      <c r="O1035" s="45">
        <f t="shared" si="23"/>
        <v>45694.65702</v>
      </c>
      <c r="P1035" s="47" t="b">
        <v>1</v>
      </c>
      <c r="Q1035" s="36">
        <f t="shared" si="24"/>
        <v>45694.65719</v>
      </c>
      <c r="R1035" s="47" t="b">
        <v>0</v>
      </c>
      <c r="S1035" s="42" t="str">
        <f t="shared" si="25"/>
        <v/>
      </c>
      <c r="T1035" s="42"/>
    </row>
    <row r="1036" ht="22.5" customHeight="1">
      <c r="B1036" s="42">
        <f t="shared" si="7"/>
        <v>1030</v>
      </c>
      <c r="C1036" s="31" t="s">
        <v>1163</v>
      </c>
      <c r="D1036" s="34" t="str">
        <f t="array" ref="D1036">IFNA(_xlfn.XLOOKUP(C1036,Table_Tarikan_Warkah[Nomor Sertipikat],Table_Tarikan_Warkah[Nomor Tiket]),"")</f>
        <v>K/6/040225/1</v>
      </c>
      <c r="E1036" s="36">
        <f t="array" ref="E1036">IFNA(_xlfn.XLOOKUP(D1036,Table_Tarikan_Warkah[Nomor Tiket],Table_Tarikan_Warkah[Tanggal diserahkan kepada Validator]),"")</f>
        <v>45719.63929</v>
      </c>
      <c r="F1036" s="36" t="str">
        <f t="array" ref="F1036">IFNA(_xlfn.XLOOKUP(D1036,Table_Tarikan_Warkah[Nomor Tiket],Table_Tarikan_Warkah[Nama Petugas Warkah]),"")</f>
        <v/>
      </c>
      <c r="G1036" s="39" t="str">
        <f t="array" ref="G1036">IFNA(_xlfn.XLOOKUP(D1036,Table_Tarikan_Warkah[Nomor Tiket],Table_Tarikan_Warkah[Jenis Permohonan]),"")</f>
        <v>ROYA</v>
      </c>
      <c r="H1036" s="41" t="s">
        <v>11</v>
      </c>
      <c r="I1036" s="41" t="s">
        <v>23</v>
      </c>
      <c r="J1036" s="36">
        <f t="shared" si="20"/>
        <v>45695.67017</v>
      </c>
      <c r="K1036" s="49" t="s">
        <v>197</v>
      </c>
      <c r="L1036" s="49" t="s">
        <v>23</v>
      </c>
      <c r="M1036" s="36">
        <f t="shared" si="26"/>
        <v>45698.65885</v>
      </c>
      <c r="N1036" s="30" t="str">
        <f t="shared" si="27"/>
        <v>Selesai</v>
      </c>
      <c r="O1036" s="45">
        <f t="shared" si="23"/>
        <v>45698.65885</v>
      </c>
      <c r="P1036" s="47" t="b">
        <v>1</v>
      </c>
      <c r="Q1036" s="36">
        <f t="shared" si="24"/>
        <v>45698.65915</v>
      </c>
      <c r="R1036" s="47" t="b">
        <v>0</v>
      </c>
      <c r="S1036" s="42" t="str">
        <f t="shared" si="25"/>
        <v/>
      </c>
      <c r="T1036" s="42"/>
    </row>
    <row r="1037" ht="22.5" customHeight="1">
      <c r="B1037" s="42">
        <f t="shared" si="7"/>
        <v>1031</v>
      </c>
      <c r="C1037" s="31" t="s">
        <v>1164</v>
      </c>
      <c r="D1037" s="34" t="str">
        <f t="array" ref="D1037">IFNA(_xlfn.XLOOKUP(C1037,Table_Tarikan_Warkah[Nomor Sertipikat],Table_Tarikan_Warkah[Nomor Tiket]),"")</f>
        <v>K/1/030225/1</v>
      </c>
      <c r="E1037" s="36">
        <f t="array" ref="E1037">IFNA(_xlfn.XLOOKUP(D1037,Table_Tarikan_Warkah[Nomor Tiket],Table_Tarikan_Warkah[Tanggal diserahkan kepada Validator]),"")</f>
        <v>45723.54638</v>
      </c>
      <c r="F1037" s="36" t="str">
        <f t="array" ref="F1037">IFNA(_xlfn.XLOOKUP(D1037,Table_Tarikan_Warkah[Nomor Tiket],Table_Tarikan_Warkah[Nama Petugas Warkah]),"")</f>
        <v/>
      </c>
      <c r="G1037" s="39" t="str">
        <f t="array" ref="G1037">IFNA(_xlfn.XLOOKUP(D1037,Table_Tarikan_Warkah[Nomor Tiket],Table_Tarikan_Warkah[Jenis Permohonan]),"")</f>
        <v>ROYA</v>
      </c>
      <c r="H1037" s="41" t="s">
        <v>11</v>
      </c>
      <c r="I1037" s="41" t="s">
        <v>23</v>
      </c>
      <c r="J1037" s="36">
        <f t="shared" si="20"/>
        <v>45695.6702</v>
      </c>
      <c r="K1037" s="49" t="s">
        <v>197</v>
      </c>
      <c r="L1037" s="49" t="s">
        <v>23</v>
      </c>
      <c r="M1037" s="36">
        <f t="shared" si="26"/>
        <v>45698.65885</v>
      </c>
      <c r="N1037" s="30" t="str">
        <f t="shared" si="27"/>
        <v>Selesai</v>
      </c>
      <c r="O1037" s="45">
        <f t="shared" si="23"/>
        <v>45698.65885</v>
      </c>
      <c r="P1037" s="47" t="b">
        <v>1</v>
      </c>
      <c r="Q1037" s="36">
        <f t="shared" si="24"/>
        <v>45698.65916</v>
      </c>
      <c r="R1037" s="47" t="b">
        <v>0</v>
      </c>
      <c r="S1037" s="42" t="str">
        <f t="shared" si="25"/>
        <v/>
      </c>
      <c r="T1037" s="42"/>
    </row>
    <row r="1038" ht="22.5" customHeight="1">
      <c r="B1038" s="42">
        <f t="shared" si="7"/>
        <v>1032</v>
      </c>
      <c r="C1038" s="31" t="s">
        <v>1165</v>
      </c>
      <c r="D1038" s="34" t="str">
        <f t="array" ref="D1038">IFNA(_xlfn.XLOOKUP(C1038,Table_Tarikan_Warkah[Nomor Sertipikat],Table_Tarikan_Warkah[Nomor Tiket]),"")</f>
        <v>K/20/220125/4</v>
      </c>
      <c r="E1038" s="36" t="str">
        <f t="array" ref="E1038">IFNA(_xlfn.XLOOKUP(D1038,Table_Tarikan_Warkah[Nomor Tiket],Table_Tarikan_Warkah[Tanggal diserahkan kepada Validator]),"")</f>
        <v/>
      </c>
      <c r="F1038" s="36" t="str">
        <f t="array" ref="F1038">IFNA(_xlfn.XLOOKUP(D1038,Table_Tarikan_Warkah[Nomor Tiket],Table_Tarikan_Warkah[Nama Petugas Warkah]),"")</f>
        <v/>
      </c>
      <c r="G1038" s="39" t="str">
        <f t="array" ref="G1038">IFNA(_xlfn.XLOOKUP(D1038,Table_Tarikan_Warkah[Nomor Tiket],Table_Tarikan_Warkah[Jenis Permohonan]),"")</f>
        <v>SKPT LELANG</v>
      </c>
      <c r="H1038" s="41" t="s">
        <v>11</v>
      </c>
      <c r="I1038" s="41" t="s">
        <v>23</v>
      </c>
      <c r="J1038" s="36">
        <f t="shared" si="20"/>
        <v>45695.6702</v>
      </c>
      <c r="K1038" s="49" t="s">
        <v>197</v>
      </c>
      <c r="L1038" s="49" t="s">
        <v>23</v>
      </c>
      <c r="M1038" s="36">
        <f t="shared" si="26"/>
        <v>45698.65885</v>
      </c>
      <c r="N1038" s="30" t="str">
        <f t="shared" si="27"/>
        <v>Selesai</v>
      </c>
      <c r="O1038" s="45">
        <f t="shared" si="23"/>
        <v>45698.65885</v>
      </c>
      <c r="P1038" s="47" t="b">
        <v>1</v>
      </c>
      <c r="Q1038" s="36">
        <f t="shared" si="24"/>
        <v>45698.65917</v>
      </c>
      <c r="R1038" s="47" t="b">
        <v>0</v>
      </c>
      <c r="S1038" s="42" t="str">
        <f t="shared" si="25"/>
        <v/>
      </c>
      <c r="T1038" s="42"/>
    </row>
    <row r="1039" ht="22.5" customHeight="1">
      <c r="B1039" s="42">
        <f t="shared" si="7"/>
        <v>1033</v>
      </c>
      <c r="C1039" s="31" t="s">
        <v>1166</v>
      </c>
      <c r="D1039" s="34" t="str">
        <f t="array" ref="D1039">IFNA(_xlfn.XLOOKUP(C1039,Table_Tarikan_Warkah[Nomor Sertipikat],Table_Tarikan_Warkah[Nomor Tiket]),"")</f>
        <v>K/5/040225/3</v>
      </c>
      <c r="E1039" s="36">
        <f t="array" ref="E1039">IFNA(_xlfn.XLOOKUP(D1039,Table_Tarikan_Warkah[Nomor Tiket],Table_Tarikan_Warkah[Tanggal diserahkan kepada Validator]),"")</f>
        <v>45702.39889</v>
      </c>
      <c r="F1039" s="36" t="str">
        <f t="array" ref="F1039">IFNA(_xlfn.XLOOKUP(D1039,Table_Tarikan_Warkah[Nomor Tiket],Table_Tarikan_Warkah[Nama Petugas Warkah]),"")</f>
        <v/>
      </c>
      <c r="G1039" s="39" t="str">
        <f t="array" ref="G1039">IFNA(_xlfn.XLOOKUP(D1039,Table_Tarikan_Warkah[Nomor Tiket],Table_Tarikan_Warkah[Jenis Permohonan]),"")</f>
        <v>BN JUAL BELI</v>
      </c>
      <c r="H1039" s="41" t="s">
        <v>11</v>
      </c>
      <c r="I1039" s="41" t="s">
        <v>23</v>
      </c>
      <c r="J1039" s="36">
        <f t="shared" si="20"/>
        <v>45695.6702</v>
      </c>
      <c r="K1039" s="49" t="s">
        <v>197</v>
      </c>
      <c r="L1039" s="49" t="s">
        <v>23</v>
      </c>
      <c r="M1039" s="36">
        <f t="shared" si="26"/>
        <v>45698.65885</v>
      </c>
      <c r="N1039" s="30" t="str">
        <f t="shared" si="27"/>
        <v>Selesai</v>
      </c>
      <c r="O1039" s="45">
        <f t="shared" si="23"/>
        <v>45698.65885</v>
      </c>
      <c r="P1039" s="47" t="b">
        <v>1</v>
      </c>
      <c r="Q1039" s="36">
        <f t="shared" si="24"/>
        <v>45698.65918</v>
      </c>
      <c r="R1039" s="47" t="b">
        <v>0</v>
      </c>
      <c r="S1039" s="42" t="str">
        <f t="shared" si="25"/>
        <v/>
      </c>
      <c r="T1039" s="42"/>
    </row>
    <row r="1040" ht="22.5" customHeight="1">
      <c r="B1040" s="42">
        <f t="shared" si="7"/>
        <v>1034</v>
      </c>
      <c r="C1040" s="31" t="s">
        <v>1167</v>
      </c>
      <c r="D1040" s="34" t="str">
        <f t="array" ref="D1040">IFNA(_xlfn.XLOOKUP(C1040,Table_Tarikan_Warkah[Nomor Sertipikat],Table_Tarikan_Warkah[Nomor Tiket]),"")</f>
        <v>K/28/040225/2</v>
      </c>
      <c r="E1040" s="36">
        <f t="array" ref="E1040">IFNA(_xlfn.XLOOKUP(D1040,Table_Tarikan_Warkah[Nomor Tiket],Table_Tarikan_Warkah[Tanggal diserahkan kepada Validator]),"")</f>
        <v>45702.4078</v>
      </c>
      <c r="F1040" s="36" t="str">
        <f t="array" ref="F1040">IFNA(_xlfn.XLOOKUP(D1040,Table_Tarikan_Warkah[Nomor Tiket],Table_Tarikan_Warkah[Nama Petugas Warkah]),"")</f>
        <v/>
      </c>
      <c r="G1040" s="39" t="str">
        <f t="array" ref="G1040">IFNA(_xlfn.XLOOKUP(D1040,Table_Tarikan_Warkah[Nomor Tiket],Table_Tarikan_Warkah[Jenis Permohonan]),"")</f>
        <v>BN JUAL BELI</v>
      </c>
      <c r="H1040" s="41" t="s">
        <v>11</v>
      </c>
      <c r="I1040" s="41" t="s">
        <v>23</v>
      </c>
      <c r="J1040" s="36">
        <f t="shared" si="20"/>
        <v>45695.67023</v>
      </c>
      <c r="K1040" s="49" t="s">
        <v>197</v>
      </c>
      <c r="L1040" s="49" t="s">
        <v>23</v>
      </c>
      <c r="M1040" s="36">
        <f t="shared" si="26"/>
        <v>45698.65885</v>
      </c>
      <c r="N1040" s="30" t="str">
        <f t="shared" si="27"/>
        <v>Selesai</v>
      </c>
      <c r="O1040" s="45">
        <f t="shared" si="23"/>
        <v>45698.65885</v>
      </c>
      <c r="P1040" s="47" t="b">
        <v>1</v>
      </c>
      <c r="Q1040" s="36">
        <f t="shared" si="24"/>
        <v>45698.65919</v>
      </c>
      <c r="R1040" s="47" t="b">
        <v>0</v>
      </c>
      <c r="S1040" s="42" t="str">
        <f t="shared" si="25"/>
        <v/>
      </c>
      <c r="T1040" s="42"/>
    </row>
    <row r="1041" ht="22.5" customHeight="1">
      <c r="B1041" s="42">
        <f t="shared" si="7"/>
        <v>1035</v>
      </c>
      <c r="C1041" s="31" t="s">
        <v>1168</v>
      </c>
      <c r="D1041" s="34" t="str">
        <f t="array" ref="D1041">IFNA(_xlfn.XLOOKUP(C1041,Table_Tarikan_Warkah[Nomor Sertipikat],Table_Tarikan_Warkah[Nomor Tiket]),"")</f>
        <v>K/21/300125/1</v>
      </c>
      <c r="E1041" s="36">
        <f t="array" ref="E1041">IFNA(_xlfn.XLOOKUP(D1041,Table_Tarikan_Warkah[Nomor Tiket],Table_Tarikan_Warkah[Tanggal diserahkan kepada Validator]),"")</f>
        <v>45702.40825</v>
      </c>
      <c r="F1041" s="36" t="str">
        <f t="array" ref="F1041">IFNA(_xlfn.XLOOKUP(D1041,Table_Tarikan_Warkah[Nomor Tiket],Table_Tarikan_Warkah[Nama Petugas Warkah]),"")</f>
        <v/>
      </c>
      <c r="G1041" s="39" t="str">
        <f t="array" ref="G1041">IFNA(_xlfn.XLOOKUP(D1041,Table_Tarikan_Warkah[Nomor Tiket],Table_Tarikan_Warkah[Jenis Permohonan]),"")</f>
        <v>BN WARIS</v>
      </c>
      <c r="H1041" s="41" t="s">
        <v>11</v>
      </c>
      <c r="I1041" s="41" t="s">
        <v>23</v>
      </c>
      <c r="J1041" s="36">
        <f t="shared" si="20"/>
        <v>45695.67023</v>
      </c>
      <c r="K1041" s="49" t="s">
        <v>197</v>
      </c>
      <c r="L1041" s="49" t="s">
        <v>23</v>
      </c>
      <c r="M1041" s="36">
        <f t="shared" si="26"/>
        <v>45698.65885</v>
      </c>
      <c r="N1041" s="30" t="str">
        <f t="shared" si="27"/>
        <v>Selesai</v>
      </c>
      <c r="O1041" s="45">
        <f t="shared" si="23"/>
        <v>45698.65885</v>
      </c>
      <c r="P1041" s="47" t="b">
        <v>1</v>
      </c>
      <c r="Q1041" s="36">
        <f t="shared" si="24"/>
        <v>45698.6592</v>
      </c>
      <c r="R1041" s="47" t="b">
        <v>0</v>
      </c>
      <c r="S1041" s="42" t="str">
        <f t="shared" si="25"/>
        <v/>
      </c>
      <c r="T1041" s="42"/>
    </row>
    <row r="1042" ht="22.5" customHeight="1">
      <c r="B1042" s="42">
        <f t="shared" si="7"/>
        <v>1036</v>
      </c>
      <c r="C1042" s="31" t="s">
        <v>1169</v>
      </c>
      <c r="D1042" s="34" t="str">
        <f t="array" ref="D1042">IFNA(_xlfn.XLOOKUP(C1042,Table_Tarikan_Warkah[Nomor Sertipikat],Table_Tarikan_Warkah[Nomor Tiket]),"")</f>
        <v>K/48/050225/2</v>
      </c>
      <c r="E1042" s="36">
        <f t="array" ref="E1042">IFNA(_xlfn.XLOOKUP(D1042,Table_Tarikan_Warkah[Nomor Tiket],Table_Tarikan_Warkah[Tanggal diserahkan kepada Validator]),"")</f>
        <v>45702.39748</v>
      </c>
      <c r="F1042" s="36" t="str">
        <f t="array" ref="F1042">IFNA(_xlfn.XLOOKUP(D1042,Table_Tarikan_Warkah[Nomor Tiket],Table_Tarikan_Warkah[Nama Petugas Warkah]),"")</f>
        <v/>
      </c>
      <c r="G1042" s="39" t="str">
        <f t="array" ref="G1042">IFNA(_xlfn.XLOOKUP(D1042,Table_Tarikan_Warkah[Nomor Tiket],Table_Tarikan_Warkah[Jenis Permohonan]),"")</f>
        <v>PERALIHAN JUAL BELI</v>
      </c>
      <c r="H1042" s="41" t="s">
        <v>11</v>
      </c>
      <c r="I1042" s="41" t="s">
        <v>23</v>
      </c>
      <c r="J1042" s="36">
        <f t="shared" si="20"/>
        <v>45695.67023</v>
      </c>
      <c r="K1042" s="49" t="s">
        <v>197</v>
      </c>
      <c r="L1042" s="49" t="s">
        <v>23</v>
      </c>
      <c r="M1042" s="36">
        <f t="shared" si="26"/>
        <v>45698.65911</v>
      </c>
      <c r="N1042" s="30" t="str">
        <f t="shared" si="27"/>
        <v>Selesai</v>
      </c>
      <c r="O1042" s="45">
        <f t="shared" si="23"/>
        <v>45698.65911</v>
      </c>
      <c r="P1042" s="47" t="b">
        <v>1</v>
      </c>
      <c r="Q1042" s="36">
        <f t="shared" si="24"/>
        <v>45698.65927</v>
      </c>
      <c r="R1042" s="47" t="b">
        <v>0</v>
      </c>
      <c r="S1042" s="42" t="str">
        <f t="shared" si="25"/>
        <v/>
      </c>
      <c r="T1042" s="42"/>
    </row>
    <row r="1043" ht="22.5" customHeight="1">
      <c r="B1043" s="42">
        <f t="shared" si="7"/>
        <v>1037</v>
      </c>
      <c r="C1043" s="31" t="s">
        <v>1170</v>
      </c>
      <c r="D1043" s="34" t="str">
        <f t="array" ref="D1043">IFNA(_xlfn.XLOOKUP(C1043,Table_Tarikan_Warkah[Nomor Sertipikat],Table_Tarikan_Warkah[Nomor Tiket]),"")</f>
        <v>K/13/240125/1</v>
      </c>
      <c r="E1043" s="36" t="str">
        <f t="array" ref="E1043">IFNA(_xlfn.XLOOKUP(D1043,Table_Tarikan_Warkah[Nomor Tiket],Table_Tarikan_Warkah[Tanggal diserahkan kepada Validator]),"")</f>
        <v/>
      </c>
      <c r="F1043" s="36" t="str">
        <f t="array" ref="F1043">IFNA(_xlfn.XLOOKUP(D1043,Table_Tarikan_Warkah[Nomor Tiket],Table_Tarikan_Warkah[Nama Petugas Warkah]),"")</f>
        <v>David</v>
      </c>
      <c r="G1043" s="39" t="str">
        <f t="array" ref="G1043">IFNA(_xlfn.XLOOKUP(D1043,Table_Tarikan_Warkah[Nomor Tiket],Table_Tarikan_Warkah[Jenis Permohonan]),"")</f>
        <v>BN WARIS</v>
      </c>
      <c r="H1043" s="41" t="s">
        <v>20</v>
      </c>
      <c r="I1043" s="41" t="s">
        <v>23</v>
      </c>
      <c r="J1043" s="36">
        <f t="shared" si="20"/>
        <v>45698.57995</v>
      </c>
      <c r="K1043" s="41" t="s">
        <v>26</v>
      </c>
      <c r="L1043" s="49" t="s">
        <v>23</v>
      </c>
      <c r="M1043" s="36">
        <f t="shared" si="26"/>
        <v>45698.58001</v>
      </c>
      <c r="N1043" s="30" t="str">
        <f t="shared" si="27"/>
        <v>Selesai</v>
      </c>
      <c r="O1043" s="45">
        <f t="shared" si="23"/>
        <v>45698.58001</v>
      </c>
      <c r="P1043" s="47" t="b">
        <v>1</v>
      </c>
      <c r="Q1043" s="36">
        <f t="shared" si="24"/>
        <v>45698.58006</v>
      </c>
      <c r="R1043" s="47" t="b">
        <v>0</v>
      </c>
      <c r="S1043" s="42" t="str">
        <f t="shared" si="25"/>
        <v/>
      </c>
      <c r="T1043" s="42"/>
    </row>
    <row r="1044" ht="22.5" customHeight="1">
      <c r="B1044" s="42">
        <f t="shared" si="7"/>
        <v>1038</v>
      </c>
      <c r="C1044" s="31" t="s">
        <v>1171</v>
      </c>
      <c r="D1044" s="34" t="str">
        <f t="array" ref="D1044">IFNA(_xlfn.XLOOKUP(C1044,Table_Tarikan_Warkah[Nomor Sertipikat],Table_Tarikan_Warkah[Nomor Tiket]),"")</f>
        <v>K/28/030225/1</v>
      </c>
      <c r="E1044" s="36">
        <f t="array" ref="E1044">IFNA(_xlfn.XLOOKUP(D1044,Table_Tarikan_Warkah[Nomor Tiket],Table_Tarikan_Warkah[Tanggal diserahkan kepada Validator]),"")</f>
        <v>45719.63775</v>
      </c>
      <c r="F1044" s="36" t="str">
        <f t="array" ref="F1044">IFNA(_xlfn.XLOOKUP(D1044,Table_Tarikan_Warkah[Nomor Tiket],Table_Tarikan_Warkah[Nama Petugas Warkah]),"")</f>
        <v/>
      </c>
      <c r="G1044" s="39" t="str">
        <f t="array" ref="G1044">IFNA(_xlfn.XLOOKUP(D1044,Table_Tarikan_Warkah[Nomor Tiket],Table_Tarikan_Warkah[Jenis Permohonan]),"")</f>
        <v>ROYA</v>
      </c>
      <c r="H1044" s="41" t="s">
        <v>11</v>
      </c>
      <c r="I1044" s="41" t="s">
        <v>23</v>
      </c>
      <c r="J1044" s="36">
        <f t="shared" si="20"/>
        <v>45698.58807</v>
      </c>
      <c r="K1044" s="49" t="s">
        <v>197</v>
      </c>
      <c r="L1044" s="49" t="s">
        <v>23</v>
      </c>
      <c r="M1044" s="36">
        <f t="shared" si="26"/>
        <v>45698.65891</v>
      </c>
      <c r="N1044" s="30" t="str">
        <f t="shared" si="27"/>
        <v>Selesai</v>
      </c>
      <c r="O1044" s="45">
        <f t="shared" si="23"/>
        <v>45698.65891</v>
      </c>
      <c r="P1044" s="47" t="b">
        <v>1</v>
      </c>
      <c r="Q1044" s="36">
        <f t="shared" si="24"/>
        <v>45698.65931</v>
      </c>
      <c r="R1044" s="47" t="b">
        <v>0</v>
      </c>
      <c r="S1044" s="42" t="str">
        <f t="shared" si="25"/>
        <v/>
      </c>
      <c r="T1044" s="42"/>
    </row>
    <row r="1045" ht="22.5" customHeight="1">
      <c r="B1045" s="42">
        <f t="shared" si="7"/>
        <v>1039</v>
      </c>
      <c r="C1045" s="31" t="s">
        <v>1172</v>
      </c>
      <c r="D1045" s="34" t="str">
        <f t="array" ref="D1045">IFNA(_xlfn.XLOOKUP(C1045,Table_Tarikan_Warkah[Nomor Sertipikat],Table_Tarikan_Warkah[Nomor Tiket]),"")</f>
        <v>K/6/310125/1</v>
      </c>
      <c r="E1045" s="36">
        <f t="array" ref="E1045">IFNA(_xlfn.XLOOKUP(D1045,Table_Tarikan_Warkah[Nomor Tiket],Table_Tarikan_Warkah[Tanggal diserahkan kepada Validator]),"")</f>
        <v>45702.39779</v>
      </c>
      <c r="F1045" s="36" t="str">
        <f t="array" ref="F1045">IFNA(_xlfn.XLOOKUP(D1045,Table_Tarikan_Warkah[Nomor Tiket],Table_Tarikan_Warkah[Nama Petugas Warkah]),"")</f>
        <v/>
      </c>
      <c r="G1045" s="39" t="str">
        <f t="array" ref="G1045">IFNA(_xlfn.XLOOKUP(D1045,Table_Tarikan_Warkah[Nomor Tiket],Table_Tarikan_Warkah[Jenis Permohonan]),"")</f>
        <v>BN WARIS</v>
      </c>
      <c r="H1045" s="41" t="s">
        <v>11</v>
      </c>
      <c r="I1045" s="41" t="s">
        <v>23</v>
      </c>
      <c r="J1045" s="36">
        <f t="shared" si="20"/>
        <v>45698.5881</v>
      </c>
      <c r="K1045" s="49" t="s">
        <v>197</v>
      </c>
      <c r="L1045" s="49" t="s">
        <v>23</v>
      </c>
      <c r="M1045" s="36">
        <f t="shared" si="26"/>
        <v>45698.65891</v>
      </c>
      <c r="N1045" s="30" t="str">
        <f t="shared" si="27"/>
        <v>Selesai</v>
      </c>
      <c r="O1045" s="45">
        <f t="shared" si="23"/>
        <v>45698.65891</v>
      </c>
      <c r="P1045" s="47" t="b">
        <v>1</v>
      </c>
      <c r="Q1045" s="36">
        <f t="shared" si="24"/>
        <v>45698.65931</v>
      </c>
      <c r="R1045" s="47" t="b">
        <v>0</v>
      </c>
      <c r="S1045" s="42" t="str">
        <f t="shared" si="25"/>
        <v/>
      </c>
      <c r="T1045" s="42"/>
    </row>
    <row r="1046" ht="22.5" customHeight="1">
      <c r="B1046" s="42">
        <f t="shared" si="7"/>
        <v>1040</v>
      </c>
      <c r="C1046" s="31" t="s">
        <v>1173</v>
      </c>
      <c r="D1046" s="34" t="str">
        <f t="array" ref="D1046">IFNA(_xlfn.XLOOKUP(C1046,Table_Tarikan_Warkah[Nomor Sertipikat],Table_Tarikan_Warkah[Nomor Tiket]),"")</f>
        <v>K/32/050225/2</v>
      </c>
      <c r="E1046" s="36" t="str">
        <f t="array" ref="E1046">IFNA(_xlfn.XLOOKUP(D1046,Table_Tarikan_Warkah[Nomor Tiket],Table_Tarikan_Warkah[Tanggal diserahkan kepada Validator]),"")</f>
        <v/>
      </c>
      <c r="F1046" s="36" t="str">
        <f t="array" ref="F1046">IFNA(_xlfn.XLOOKUP(D1046,Table_Tarikan_Warkah[Nomor Tiket],Table_Tarikan_Warkah[Nama Petugas Warkah]),"")</f>
        <v/>
      </c>
      <c r="G1046" s="39" t="str">
        <f t="array" ref="G1046">IFNA(_xlfn.XLOOKUP(D1046,Table_Tarikan_Warkah[Nomor Tiket],Table_Tarikan_Warkah[Jenis Permohonan]),"")</f>
        <v>SERTIPIKAT HILANG</v>
      </c>
      <c r="H1046" s="41" t="s">
        <v>11</v>
      </c>
      <c r="I1046" s="41" t="s">
        <v>23</v>
      </c>
      <c r="J1046" s="36">
        <f t="shared" si="20"/>
        <v>45698.5881</v>
      </c>
      <c r="K1046" s="49" t="s">
        <v>197</v>
      </c>
      <c r="L1046" s="49" t="s">
        <v>23</v>
      </c>
      <c r="M1046" s="36">
        <f t="shared" si="26"/>
        <v>45698.65891</v>
      </c>
      <c r="N1046" s="30" t="str">
        <f t="shared" si="27"/>
        <v>Selesai</v>
      </c>
      <c r="O1046" s="45">
        <f t="shared" si="23"/>
        <v>45698.65891</v>
      </c>
      <c r="P1046" s="47" t="b">
        <v>1</v>
      </c>
      <c r="Q1046" s="36">
        <f t="shared" si="24"/>
        <v>45698.65931</v>
      </c>
      <c r="R1046" s="47" t="b">
        <v>0</v>
      </c>
      <c r="S1046" s="42" t="str">
        <f t="shared" si="25"/>
        <v/>
      </c>
      <c r="T1046" s="42"/>
    </row>
    <row r="1047" ht="22.5" customHeight="1">
      <c r="B1047" s="42">
        <f t="shared" si="7"/>
        <v>1041</v>
      </c>
      <c r="C1047" s="31" t="s">
        <v>1174</v>
      </c>
      <c r="D1047" s="34" t="str">
        <f t="array" ref="D1047">IFNA(_xlfn.XLOOKUP(C1047,Table_Tarikan_Warkah[Nomor Sertipikat],Table_Tarikan_Warkah[Nomor Tiket]),"")</f>
        <v>K/4/040225/2</v>
      </c>
      <c r="E1047" s="36">
        <f t="array" ref="E1047">IFNA(_xlfn.XLOOKUP(D1047,Table_Tarikan_Warkah[Nomor Tiket],Table_Tarikan_Warkah[Tanggal diserahkan kepada Validator]),"")</f>
        <v>45702.39832</v>
      </c>
      <c r="F1047" s="36" t="str">
        <f t="array" ref="F1047">IFNA(_xlfn.XLOOKUP(D1047,Table_Tarikan_Warkah[Nomor Tiket],Table_Tarikan_Warkah[Nama Petugas Warkah]),"")</f>
        <v/>
      </c>
      <c r="G1047" s="39" t="str">
        <f t="array" ref="G1047">IFNA(_xlfn.XLOOKUP(D1047,Table_Tarikan_Warkah[Nomor Tiket],Table_Tarikan_Warkah[Jenis Permohonan]),"")</f>
        <v>BN JUAL BELI</v>
      </c>
      <c r="H1047" s="41" t="s">
        <v>11</v>
      </c>
      <c r="I1047" s="41" t="s">
        <v>23</v>
      </c>
      <c r="J1047" s="36">
        <f t="shared" si="20"/>
        <v>45698.5881</v>
      </c>
      <c r="K1047" s="49" t="s">
        <v>197</v>
      </c>
      <c r="L1047" s="49" t="s">
        <v>23</v>
      </c>
      <c r="M1047" s="36">
        <f t="shared" si="26"/>
        <v>45698.65891</v>
      </c>
      <c r="N1047" s="30" t="str">
        <f t="shared" si="27"/>
        <v>Selesai</v>
      </c>
      <c r="O1047" s="45">
        <f t="shared" si="23"/>
        <v>45698.65891</v>
      </c>
      <c r="P1047" s="47" t="b">
        <v>1</v>
      </c>
      <c r="Q1047" s="36">
        <f t="shared" si="24"/>
        <v>45698.65931</v>
      </c>
      <c r="R1047" s="47" t="b">
        <v>0</v>
      </c>
      <c r="S1047" s="42" t="str">
        <f t="shared" si="25"/>
        <v/>
      </c>
      <c r="T1047" s="42"/>
    </row>
    <row r="1048" ht="22.5" customHeight="1">
      <c r="B1048" s="42">
        <f t="shared" si="7"/>
        <v>1042</v>
      </c>
      <c r="C1048" s="31" t="s">
        <v>1175</v>
      </c>
      <c r="D1048" s="34" t="str">
        <f t="array" ref="D1048">IFNA(_xlfn.XLOOKUP(C1048,Table_Tarikan_Warkah[Nomor Sertipikat],Table_Tarikan_Warkah[Nomor Tiket]),"")</f>
        <v>K/20/050225/3</v>
      </c>
      <c r="E1048" s="36">
        <f t="array" ref="E1048">IFNA(_xlfn.XLOOKUP(D1048,Table_Tarikan_Warkah[Nomor Tiket],Table_Tarikan_Warkah[Tanggal diserahkan kepada Validator]),"")</f>
        <v>45702.4096</v>
      </c>
      <c r="F1048" s="36" t="str">
        <f t="array" ref="F1048">IFNA(_xlfn.XLOOKUP(D1048,Table_Tarikan_Warkah[Nomor Tiket],Table_Tarikan_Warkah[Nama Petugas Warkah]),"")</f>
        <v/>
      </c>
      <c r="G1048" s="39" t="str">
        <f t="array" ref="G1048">IFNA(_xlfn.XLOOKUP(D1048,Table_Tarikan_Warkah[Nomor Tiket],Table_Tarikan_Warkah[Jenis Permohonan]),"")</f>
        <v>BN HIBAH</v>
      </c>
      <c r="H1048" s="41" t="s">
        <v>11</v>
      </c>
      <c r="I1048" s="41" t="s">
        <v>23</v>
      </c>
      <c r="J1048" s="36">
        <f t="shared" si="20"/>
        <v>45698.5881</v>
      </c>
      <c r="K1048" s="49" t="s">
        <v>197</v>
      </c>
      <c r="L1048" s="49" t="s">
        <v>23</v>
      </c>
      <c r="M1048" s="36">
        <f t="shared" si="26"/>
        <v>45698.65891</v>
      </c>
      <c r="N1048" s="30" t="str">
        <f t="shared" si="27"/>
        <v>Selesai</v>
      </c>
      <c r="O1048" s="45">
        <f t="shared" si="23"/>
        <v>45698.65891</v>
      </c>
      <c r="P1048" s="47" t="b">
        <v>1</v>
      </c>
      <c r="Q1048" s="36">
        <f t="shared" si="24"/>
        <v>45698.65931</v>
      </c>
      <c r="R1048" s="47" t="b">
        <v>0</v>
      </c>
      <c r="S1048" s="42" t="str">
        <f t="shared" si="25"/>
        <v/>
      </c>
      <c r="T1048" s="42"/>
    </row>
    <row r="1049" ht="22.5" customHeight="1">
      <c r="B1049" s="42">
        <f t="shared" si="7"/>
        <v>1043</v>
      </c>
      <c r="C1049" s="31" t="s">
        <v>1176</v>
      </c>
      <c r="D1049" s="34" t="str">
        <f t="array" ref="D1049">IFNA(_xlfn.XLOOKUP(C1049,Table_Tarikan_Warkah[Nomor Sertipikat],Table_Tarikan_Warkah[Nomor Tiket]),"")</f>
        <v>K/32/030225/1</v>
      </c>
      <c r="E1049" s="36" t="str">
        <f t="array" ref="E1049">IFNA(_xlfn.XLOOKUP(D1049,Table_Tarikan_Warkah[Nomor Tiket],Table_Tarikan_Warkah[Tanggal diserahkan kepada Validator]),"")</f>
        <v/>
      </c>
      <c r="F1049" s="30" t="s">
        <v>1177</v>
      </c>
      <c r="G1049" s="39" t="str">
        <f t="array" ref="G1049">IFNA(_xlfn.XLOOKUP(D1049,Table_Tarikan_Warkah[Nomor Tiket],Table_Tarikan_Warkah[Jenis Permohonan]),"")</f>
        <v>PERUBAHAN HAK</v>
      </c>
      <c r="H1049" s="41" t="s">
        <v>11</v>
      </c>
      <c r="I1049" s="41" t="s">
        <v>23</v>
      </c>
      <c r="J1049" s="36">
        <f t="shared" si="20"/>
        <v>45698.5881</v>
      </c>
      <c r="K1049" s="49" t="s">
        <v>197</v>
      </c>
      <c r="L1049" s="49" t="s">
        <v>23</v>
      </c>
      <c r="M1049" s="36">
        <f t="shared" si="26"/>
        <v>45698.65891</v>
      </c>
      <c r="N1049" s="30" t="str">
        <f t="shared" si="27"/>
        <v>Selesai</v>
      </c>
      <c r="O1049" s="45">
        <f t="shared" si="23"/>
        <v>45698.65891</v>
      </c>
      <c r="P1049" s="47" t="b">
        <v>1</v>
      </c>
      <c r="Q1049" s="36">
        <f t="shared" si="24"/>
        <v>45698.65931</v>
      </c>
      <c r="R1049" s="47" t="b">
        <v>0</v>
      </c>
      <c r="S1049" s="42" t="str">
        <f t="shared" si="25"/>
        <v/>
      </c>
      <c r="T1049" s="42"/>
    </row>
    <row r="1050" ht="22.5" customHeight="1">
      <c r="B1050" s="42">
        <f t="shared" si="7"/>
        <v>1044</v>
      </c>
      <c r="C1050" s="31" t="s">
        <v>1178</v>
      </c>
      <c r="D1050" s="34" t="str">
        <f t="array" ref="D1050">IFNA(_xlfn.XLOOKUP(C1050,Table_Tarikan_Warkah[Nomor Sertipikat],Table_Tarikan_Warkah[Nomor Tiket]),"")</f>
        <v>K/7/300125/1</v>
      </c>
      <c r="E1050" s="36">
        <f t="array" ref="E1050">IFNA(_xlfn.XLOOKUP(D1050,Table_Tarikan_Warkah[Nomor Tiket],Table_Tarikan_Warkah[Tanggal diserahkan kepada Validator]),"")</f>
        <v>45715.40268</v>
      </c>
      <c r="F1050" s="36" t="str">
        <f t="array" ref="F1050">IFNA(_xlfn.XLOOKUP(D1050,Table_Tarikan_Warkah[Nomor Tiket],Table_Tarikan_Warkah[Nama Petugas Warkah]),"")</f>
        <v/>
      </c>
      <c r="G1050" s="39" t="str">
        <f t="array" ref="G1050">IFNA(_xlfn.XLOOKUP(D1050,Table_Tarikan_Warkah[Nomor Tiket],Table_Tarikan_Warkah[Jenis Permohonan]),"")</f>
        <v>ROYA</v>
      </c>
      <c r="H1050" s="41" t="s">
        <v>11</v>
      </c>
      <c r="I1050" s="41" t="s">
        <v>23</v>
      </c>
      <c r="J1050" s="36">
        <f t="shared" si="20"/>
        <v>45698.58813</v>
      </c>
      <c r="K1050" s="49" t="s">
        <v>197</v>
      </c>
      <c r="L1050" s="49" t="s">
        <v>23</v>
      </c>
      <c r="M1050" s="36">
        <f t="shared" si="26"/>
        <v>45698.65896</v>
      </c>
      <c r="N1050" s="30" t="str">
        <f t="shared" si="27"/>
        <v>Selesai</v>
      </c>
      <c r="O1050" s="45">
        <f t="shared" si="23"/>
        <v>45698.65896</v>
      </c>
      <c r="P1050" s="47" t="b">
        <v>1</v>
      </c>
      <c r="Q1050" s="36">
        <f t="shared" si="24"/>
        <v>45698.65933</v>
      </c>
      <c r="R1050" s="47" t="b">
        <v>0</v>
      </c>
      <c r="S1050" s="42" t="str">
        <f t="shared" si="25"/>
        <v/>
      </c>
      <c r="T1050" s="42"/>
    </row>
    <row r="1051" ht="22.5" customHeight="1">
      <c r="B1051" s="42">
        <f t="shared" si="7"/>
        <v>1045</v>
      </c>
      <c r="C1051" s="31" t="s">
        <v>1179</v>
      </c>
      <c r="D1051" s="34" t="str">
        <f t="array" ref="D1051">IFNA(_xlfn.XLOOKUP(C1051,Table_Tarikan_Warkah[Nomor Sertipikat],Table_Tarikan_Warkah[Nomor Tiket]),"")</f>
        <v>K/46/050225/3</v>
      </c>
      <c r="E1051" s="36" t="str">
        <f t="array" ref="E1051">IFNA(_xlfn.XLOOKUP(D1051,Table_Tarikan_Warkah[Nomor Tiket],Table_Tarikan_Warkah[Tanggal diserahkan kepada Validator]),"")</f>
        <v/>
      </c>
      <c r="F1051" s="36" t="str">
        <f t="array" ref="F1051">IFNA(_xlfn.XLOOKUP(D1051,Table_Tarikan_Warkah[Nomor Tiket],Table_Tarikan_Warkah[Nama Petugas Warkah]),"")</f>
        <v/>
      </c>
      <c r="G1051" s="39" t="str">
        <f t="array" ref="G1051">IFNA(_xlfn.XLOOKUP(D1051,Table_Tarikan_Warkah[Nomor Tiket],Table_Tarikan_Warkah[Jenis Permohonan]),"")</f>
        <v>LELANG</v>
      </c>
      <c r="H1051" s="41" t="s">
        <v>11</v>
      </c>
      <c r="I1051" s="41" t="s">
        <v>23</v>
      </c>
      <c r="J1051" s="36">
        <f t="shared" si="20"/>
        <v>45698.58813</v>
      </c>
      <c r="K1051" s="49" t="s">
        <v>197</v>
      </c>
      <c r="L1051" s="49" t="s">
        <v>23</v>
      </c>
      <c r="M1051" s="36">
        <f t="shared" si="26"/>
        <v>45698.65896</v>
      </c>
      <c r="N1051" s="30" t="str">
        <f t="shared" si="27"/>
        <v>Selesai</v>
      </c>
      <c r="O1051" s="45">
        <f t="shared" si="23"/>
        <v>45698.65896</v>
      </c>
      <c r="P1051" s="47" t="b">
        <v>1</v>
      </c>
      <c r="Q1051" s="36">
        <f t="shared" si="24"/>
        <v>45698.65933</v>
      </c>
      <c r="R1051" s="47" t="b">
        <v>0</v>
      </c>
      <c r="S1051" s="42" t="str">
        <f t="shared" si="25"/>
        <v/>
      </c>
      <c r="T1051" s="42"/>
    </row>
    <row r="1052" ht="22.5" customHeight="1">
      <c r="B1052" s="42">
        <f t="shared" si="7"/>
        <v>1046</v>
      </c>
      <c r="C1052" s="31" t="s">
        <v>1180</v>
      </c>
      <c r="D1052" s="34" t="str">
        <f t="array" ref="D1052">IFNA(_xlfn.XLOOKUP(C1052,Table_Tarikan_Warkah[Nomor Sertipikat],Table_Tarikan_Warkah[Nomor Tiket]),"")</f>
        <v>K/2/040225/1</v>
      </c>
      <c r="E1052" s="36">
        <f t="array" ref="E1052">IFNA(_xlfn.XLOOKUP(D1052,Table_Tarikan_Warkah[Nomor Tiket],Table_Tarikan_Warkah[Tanggal diserahkan kepada Validator]),"")</f>
        <v>45702.42905</v>
      </c>
      <c r="F1052" s="36" t="str">
        <f t="array" ref="F1052">IFNA(_xlfn.XLOOKUP(D1052,Table_Tarikan_Warkah[Nomor Tiket],Table_Tarikan_Warkah[Nama Petugas Warkah]),"")</f>
        <v/>
      </c>
      <c r="G1052" s="39" t="str">
        <f t="array" ref="G1052">IFNA(_xlfn.XLOOKUP(D1052,Table_Tarikan_Warkah[Nomor Tiket],Table_Tarikan_Warkah[Jenis Permohonan]),"")</f>
        <v>BN HIBAH</v>
      </c>
      <c r="H1052" s="41" t="s">
        <v>11</v>
      </c>
      <c r="I1052" s="41" t="s">
        <v>23</v>
      </c>
      <c r="J1052" s="36">
        <f t="shared" si="20"/>
        <v>45698.58813</v>
      </c>
      <c r="K1052" s="49" t="s">
        <v>197</v>
      </c>
      <c r="L1052" s="49" t="s">
        <v>23</v>
      </c>
      <c r="M1052" s="36">
        <f t="shared" si="26"/>
        <v>45698.65896</v>
      </c>
      <c r="N1052" s="30" t="str">
        <f t="shared" si="27"/>
        <v>Selesai</v>
      </c>
      <c r="O1052" s="45">
        <f t="shared" si="23"/>
        <v>45698.65896</v>
      </c>
      <c r="P1052" s="47" t="b">
        <v>1</v>
      </c>
      <c r="Q1052" s="36">
        <f t="shared" si="24"/>
        <v>45698.65933</v>
      </c>
      <c r="R1052" s="47" t="b">
        <v>0</v>
      </c>
      <c r="S1052" s="42" t="str">
        <f t="shared" si="25"/>
        <v/>
      </c>
      <c r="T1052" s="42"/>
    </row>
    <row r="1053" ht="22.5" customHeight="1">
      <c r="B1053" s="42">
        <f t="shared" si="7"/>
        <v>1047</v>
      </c>
      <c r="C1053" s="31" t="s">
        <v>1181</v>
      </c>
      <c r="D1053" s="34" t="str">
        <f t="array" ref="D1053">IFNA(_xlfn.XLOOKUP(C1053,Table_Tarikan_Warkah[Nomor Sertipikat],Table_Tarikan_Warkah[Nomor Tiket]),"")</f>
        <v>K/27/050225/4</v>
      </c>
      <c r="E1053" s="36">
        <f t="array" ref="E1053">IFNA(_xlfn.XLOOKUP(D1053,Table_Tarikan_Warkah[Nomor Tiket],Table_Tarikan_Warkah[Tanggal diserahkan kepada Validator]),"")</f>
        <v>45702.39804</v>
      </c>
      <c r="F1053" s="36" t="str">
        <f t="array" ref="F1053">IFNA(_xlfn.XLOOKUP(D1053,Table_Tarikan_Warkah[Nomor Tiket],Table_Tarikan_Warkah[Nama Petugas Warkah]),"")</f>
        <v/>
      </c>
      <c r="G1053" s="39" t="str">
        <f t="array" ref="G1053">IFNA(_xlfn.XLOOKUP(D1053,Table_Tarikan_Warkah[Nomor Tiket],Table_Tarikan_Warkah[Jenis Permohonan]),"")</f>
        <v>BN JUAL BELI</v>
      </c>
      <c r="H1053" s="41" t="s">
        <v>11</v>
      </c>
      <c r="I1053" s="41" t="s">
        <v>23</v>
      </c>
      <c r="J1053" s="36">
        <f t="shared" si="20"/>
        <v>45698.58813</v>
      </c>
      <c r="K1053" s="49" t="s">
        <v>197</v>
      </c>
      <c r="L1053" s="49" t="s">
        <v>23</v>
      </c>
      <c r="M1053" s="36">
        <f t="shared" si="26"/>
        <v>45698.65896</v>
      </c>
      <c r="N1053" s="30" t="str">
        <f t="shared" si="27"/>
        <v>Selesai</v>
      </c>
      <c r="O1053" s="45">
        <f t="shared" si="23"/>
        <v>45698.65896</v>
      </c>
      <c r="P1053" s="47" t="b">
        <v>1</v>
      </c>
      <c r="Q1053" s="36">
        <f t="shared" si="24"/>
        <v>45698.65933</v>
      </c>
      <c r="R1053" s="47" t="b">
        <v>0</v>
      </c>
      <c r="S1053" s="42" t="str">
        <f t="shared" si="25"/>
        <v/>
      </c>
      <c r="T1053" s="42"/>
    </row>
    <row r="1054" ht="22.5" customHeight="1">
      <c r="B1054" s="42">
        <f t="shared" si="7"/>
        <v>1048</v>
      </c>
      <c r="C1054" s="31" t="s">
        <v>1182</v>
      </c>
      <c r="D1054" s="34" t="str">
        <f t="array" ref="D1054">IFNA(_xlfn.XLOOKUP(C1054,Table_Tarikan_Warkah[Nomor Sertipikat],Table_Tarikan_Warkah[Nomor Tiket]),"")</f>
        <v> K/9/070125/1</v>
      </c>
      <c r="E1054" s="36">
        <f t="array" ref="E1054">IFNA(_xlfn.XLOOKUP(D1054,Table_Tarikan_Warkah[Nomor Tiket],Table_Tarikan_Warkah[Tanggal diserahkan kepada Validator]),"")</f>
        <v>45702.40909</v>
      </c>
      <c r="F1054" s="36" t="str">
        <f t="array" ref="F1054">IFNA(_xlfn.XLOOKUP(D1054,Table_Tarikan_Warkah[Nomor Tiket],Table_Tarikan_Warkah[Nama Petugas Warkah]),"")</f>
        <v>Berry</v>
      </c>
      <c r="G1054" s="39" t="str">
        <f t="array" ref="G1054">IFNA(_xlfn.XLOOKUP(D1054,Table_Tarikan_Warkah[Nomor Tiket],Table_Tarikan_Warkah[Jenis Permohonan]),"")</f>
        <v>BN JUAL BELI</v>
      </c>
      <c r="H1054" s="41" t="s">
        <v>11</v>
      </c>
      <c r="I1054" s="41" t="s">
        <v>23</v>
      </c>
      <c r="J1054" s="36">
        <f t="shared" si="20"/>
        <v>45698.58816</v>
      </c>
      <c r="K1054" s="49" t="s">
        <v>197</v>
      </c>
      <c r="L1054" s="49" t="s">
        <v>23</v>
      </c>
      <c r="M1054" s="36">
        <f t="shared" si="26"/>
        <v>45698.65896</v>
      </c>
      <c r="N1054" s="30" t="str">
        <f t="shared" si="27"/>
        <v>Selesai</v>
      </c>
      <c r="O1054" s="45">
        <f t="shared" si="23"/>
        <v>45698.65896</v>
      </c>
      <c r="P1054" s="47" t="b">
        <v>1</v>
      </c>
      <c r="Q1054" s="36">
        <f t="shared" si="24"/>
        <v>45698.65933</v>
      </c>
      <c r="R1054" s="47" t="b">
        <v>0</v>
      </c>
      <c r="S1054" s="42" t="str">
        <f t="shared" si="25"/>
        <v/>
      </c>
      <c r="T1054" s="42"/>
    </row>
    <row r="1055" ht="22.5" customHeight="1">
      <c r="B1055" s="42">
        <f t="shared" si="7"/>
        <v>1049</v>
      </c>
      <c r="C1055" s="31" t="s">
        <v>1183</v>
      </c>
      <c r="D1055" s="34" t="str">
        <f t="array" ref="D1055">IFNA(_xlfn.XLOOKUP(C1055,Table_Tarikan_Warkah[Nomor Sertipikat],Table_Tarikan_Warkah[Nomor Tiket]),"")</f>
        <v>K/29/050225/1</v>
      </c>
      <c r="E1055" s="36">
        <f t="array" ref="E1055">IFNA(_xlfn.XLOOKUP(D1055,Table_Tarikan_Warkah[Nomor Tiket],Table_Tarikan_Warkah[Tanggal diserahkan kepada Validator]),"")</f>
        <v>45702.39867</v>
      </c>
      <c r="F1055" s="36" t="str">
        <f t="array" ref="F1055">IFNA(_xlfn.XLOOKUP(D1055,Table_Tarikan_Warkah[Nomor Tiket],Table_Tarikan_Warkah[Nama Petugas Warkah]),"")</f>
        <v/>
      </c>
      <c r="G1055" s="39" t="str">
        <f t="array" ref="G1055">IFNA(_xlfn.XLOOKUP(D1055,Table_Tarikan_Warkah[Nomor Tiket],Table_Tarikan_Warkah[Jenis Permohonan]),"")</f>
        <v>PERALIHAN JUAL BELI</v>
      </c>
      <c r="H1055" s="41" t="s">
        <v>11</v>
      </c>
      <c r="I1055" s="41" t="s">
        <v>23</v>
      </c>
      <c r="J1055" s="36">
        <f t="shared" si="20"/>
        <v>45698.58816</v>
      </c>
      <c r="K1055" s="49" t="s">
        <v>197</v>
      </c>
      <c r="L1055" s="49" t="s">
        <v>23</v>
      </c>
      <c r="M1055" s="36">
        <f t="shared" si="26"/>
        <v>45698.65896</v>
      </c>
      <c r="N1055" s="30" t="str">
        <f t="shared" si="27"/>
        <v>Selesai</v>
      </c>
      <c r="O1055" s="45">
        <f t="shared" si="23"/>
        <v>45698.65896</v>
      </c>
      <c r="P1055" s="47" t="b">
        <v>1</v>
      </c>
      <c r="Q1055" s="36">
        <f t="shared" si="24"/>
        <v>45698.65933</v>
      </c>
      <c r="R1055" s="47" t="b">
        <v>0</v>
      </c>
      <c r="S1055" s="42" t="str">
        <f t="shared" si="25"/>
        <v/>
      </c>
      <c r="T1055" s="42"/>
    </row>
    <row r="1056" ht="22.5" customHeight="1">
      <c r="B1056" s="42">
        <f t="shared" si="7"/>
        <v>1050</v>
      </c>
      <c r="C1056" s="31" t="s">
        <v>1184</v>
      </c>
      <c r="D1056" s="34" t="str">
        <f t="array" ref="D1056">IFNA(_xlfn.XLOOKUP(C1056,Table_Tarikan_Warkah[Nomor Sertipikat],Table_Tarikan_Warkah[Nomor Tiket]),"")</f>
        <v>K/10/060225/2</v>
      </c>
      <c r="E1056" s="36">
        <f t="array" ref="E1056">IFNA(_xlfn.XLOOKUP(D1056,Table_Tarikan_Warkah[Nomor Tiket],Table_Tarikan_Warkah[Tanggal diserahkan kepada Validator]),"")</f>
        <v>45702.43232</v>
      </c>
      <c r="F1056" s="36" t="str">
        <f t="array" ref="F1056">IFNA(_xlfn.XLOOKUP(D1056,Table_Tarikan_Warkah[Nomor Tiket],Table_Tarikan_Warkah[Nama Petugas Warkah]),"")</f>
        <v/>
      </c>
      <c r="G1056" s="39" t="str">
        <f t="array" ref="G1056">IFNA(_xlfn.XLOOKUP(D1056,Table_Tarikan_Warkah[Nomor Tiket],Table_Tarikan_Warkah[Jenis Permohonan]),"")</f>
        <v>BN JUAL BELI</v>
      </c>
      <c r="H1056" s="41" t="s">
        <v>20</v>
      </c>
      <c r="I1056" s="41" t="s">
        <v>23</v>
      </c>
      <c r="J1056" s="36">
        <f t="shared" si="20"/>
        <v>45699.37784</v>
      </c>
      <c r="K1056" s="49" t="s">
        <v>197</v>
      </c>
      <c r="L1056" s="49" t="s">
        <v>23</v>
      </c>
      <c r="M1056" s="36">
        <f t="shared" si="26"/>
        <v>45700.64396</v>
      </c>
      <c r="N1056" s="30" t="str">
        <f t="shared" si="27"/>
        <v>Selesai</v>
      </c>
      <c r="O1056" s="45">
        <f t="shared" si="23"/>
        <v>45700.64396</v>
      </c>
      <c r="P1056" s="47" t="b">
        <v>1</v>
      </c>
      <c r="Q1056" s="36">
        <f t="shared" si="24"/>
        <v>45700.64468</v>
      </c>
      <c r="R1056" s="47" t="b">
        <v>0</v>
      </c>
      <c r="S1056" s="42" t="str">
        <f t="shared" si="25"/>
        <v/>
      </c>
      <c r="T1056" s="42"/>
    </row>
    <row r="1057" ht="22.5" customHeight="1">
      <c r="B1057" s="42">
        <f t="shared" si="7"/>
        <v>1051</v>
      </c>
      <c r="C1057" s="31" t="s">
        <v>1185</v>
      </c>
      <c r="D1057" s="34" t="str">
        <f t="array" ref="D1057">IFNA(_xlfn.XLOOKUP(C1057,Table_Tarikan_Warkah[Nomor Sertipikat],Table_Tarikan_Warkah[Nomor Tiket]),"")</f>
        <v>K/31/070225/1</v>
      </c>
      <c r="E1057" s="36">
        <f t="array" ref="E1057">IFNA(_xlfn.XLOOKUP(D1057,Table_Tarikan_Warkah[Nomor Tiket],Table_Tarikan_Warkah[Tanggal diserahkan kepada Validator]),"")</f>
        <v>45702.43095</v>
      </c>
      <c r="F1057" s="36" t="str">
        <f t="array" ref="F1057">IFNA(_xlfn.XLOOKUP(D1057,Table_Tarikan_Warkah[Nomor Tiket],Table_Tarikan_Warkah[Nama Petugas Warkah]),"")</f>
        <v/>
      </c>
      <c r="G1057" s="39" t="str">
        <f t="array" ref="G1057">IFNA(_xlfn.XLOOKUP(D1057,Table_Tarikan_Warkah[Nomor Tiket],Table_Tarikan_Warkah[Jenis Permohonan]),"")</f>
        <v>BN JUAL BELI</v>
      </c>
      <c r="H1057" s="41" t="s">
        <v>20</v>
      </c>
      <c r="I1057" s="41" t="s">
        <v>23</v>
      </c>
      <c r="J1057" s="36">
        <f t="shared" si="20"/>
        <v>45699.37793</v>
      </c>
      <c r="K1057" s="49" t="s">
        <v>197</v>
      </c>
      <c r="L1057" s="49" t="s">
        <v>23</v>
      </c>
      <c r="M1057" s="36">
        <f t="shared" si="26"/>
        <v>45700.64396</v>
      </c>
      <c r="N1057" s="30" t="str">
        <f t="shared" si="27"/>
        <v>Selesai</v>
      </c>
      <c r="O1057" s="45">
        <f t="shared" si="23"/>
        <v>45700.64396</v>
      </c>
      <c r="P1057" s="47" t="b">
        <v>1</v>
      </c>
      <c r="Q1057" s="36">
        <f t="shared" si="24"/>
        <v>45700.64468</v>
      </c>
      <c r="R1057" s="47" t="b">
        <v>0</v>
      </c>
      <c r="S1057" s="42" t="str">
        <f t="shared" si="25"/>
        <v/>
      </c>
      <c r="T1057" s="42"/>
    </row>
    <row r="1058" ht="22.5" customHeight="1">
      <c r="B1058" s="42">
        <f t="shared" si="7"/>
        <v>1052</v>
      </c>
      <c r="C1058" s="31" t="s">
        <v>1186</v>
      </c>
      <c r="D1058" s="34" t="str">
        <f t="array" ref="D1058">IFNA(_xlfn.XLOOKUP(C1058,Table_Tarikan_Warkah[Nomor Sertipikat],Table_Tarikan_Warkah[Nomor Tiket]),"")</f>
        <v>K/39/070225/1</v>
      </c>
      <c r="E1058" s="36">
        <f t="array" ref="E1058">IFNA(_xlfn.XLOOKUP(D1058,Table_Tarikan_Warkah[Nomor Tiket],Table_Tarikan_Warkah[Tanggal diserahkan kepada Validator]),"")</f>
        <v>45702.42944</v>
      </c>
      <c r="F1058" s="36" t="str">
        <f t="array" ref="F1058">IFNA(_xlfn.XLOOKUP(D1058,Table_Tarikan_Warkah[Nomor Tiket],Table_Tarikan_Warkah[Nama Petugas Warkah]),"")</f>
        <v/>
      </c>
      <c r="G1058" s="39" t="str">
        <f t="array" ref="G1058">IFNA(_xlfn.XLOOKUP(D1058,Table_Tarikan_Warkah[Nomor Tiket],Table_Tarikan_Warkah[Jenis Permohonan]),"")</f>
        <v>BN JUAL BELI</v>
      </c>
      <c r="H1058" s="41" t="s">
        <v>20</v>
      </c>
      <c r="I1058" s="41" t="s">
        <v>23</v>
      </c>
      <c r="J1058" s="36">
        <f t="shared" si="20"/>
        <v>45699.37807</v>
      </c>
      <c r="K1058" s="49" t="s">
        <v>197</v>
      </c>
      <c r="L1058" s="49" t="s">
        <v>23</v>
      </c>
      <c r="M1058" s="36">
        <f t="shared" si="26"/>
        <v>45700.64396</v>
      </c>
      <c r="N1058" s="30" t="str">
        <f t="shared" si="27"/>
        <v>Selesai</v>
      </c>
      <c r="O1058" s="45">
        <f t="shared" si="23"/>
        <v>45700.64396</v>
      </c>
      <c r="P1058" s="47" t="b">
        <v>1</v>
      </c>
      <c r="Q1058" s="36">
        <f t="shared" si="24"/>
        <v>45700.64468</v>
      </c>
      <c r="R1058" s="47" t="b">
        <v>0</v>
      </c>
      <c r="S1058" s="42" t="str">
        <f t="shared" si="25"/>
        <v/>
      </c>
      <c r="T1058" s="42"/>
    </row>
    <row r="1059" ht="22.5" customHeight="1">
      <c r="B1059" s="42">
        <f t="shared" si="7"/>
        <v>1053</v>
      </c>
      <c r="C1059" s="31" t="s">
        <v>1187</v>
      </c>
      <c r="D1059" s="34" t="str">
        <f t="array" ref="D1059">IFNA(_xlfn.XLOOKUP(C1059,Table_Tarikan_Warkah[Nomor Sertipikat],Table_Tarikan_Warkah[Nomor Tiket]),"")</f>
        <v> K/23/070225/1</v>
      </c>
      <c r="E1059" s="36">
        <f t="array" ref="E1059">IFNA(_xlfn.XLOOKUP(D1059,Table_Tarikan_Warkah[Nomor Tiket],Table_Tarikan_Warkah[Tanggal diserahkan kepada Validator]),"")</f>
        <v>45702.4316</v>
      </c>
      <c r="F1059" s="36" t="str">
        <f t="array" ref="F1059">IFNA(_xlfn.XLOOKUP(D1059,Table_Tarikan_Warkah[Nomor Tiket],Table_Tarikan_Warkah[Nama Petugas Warkah]),"")</f>
        <v/>
      </c>
      <c r="G1059" s="39" t="str">
        <f t="array" ref="G1059">IFNA(_xlfn.XLOOKUP(D1059,Table_Tarikan_Warkah[Nomor Tiket],Table_Tarikan_Warkah[Jenis Permohonan]),"")</f>
        <v>BN JUAL BELI</v>
      </c>
      <c r="H1059" s="41" t="s">
        <v>20</v>
      </c>
      <c r="I1059" s="41" t="s">
        <v>23</v>
      </c>
      <c r="J1059" s="36">
        <f t="shared" si="20"/>
        <v>45699.37817</v>
      </c>
      <c r="K1059" s="49" t="s">
        <v>197</v>
      </c>
      <c r="L1059" s="49" t="s">
        <v>23</v>
      </c>
      <c r="M1059" s="36">
        <f t="shared" si="26"/>
        <v>45700.64396</v>
      </c>
      <c r="N1059" s="30" t="str">
        <f t="shared" si="27"/>
        <v>Selesai</v>
      </c>
      <c r="O1059" s="45">
        <f t="shared" si="23"/>
        <v>45700.64396</v>
      </c>
      <c r="P1059" s="47" t="b">
        <v>1</v>
      </c>
      <c r="Q1059" s="36">
        <f t="shared" si="24"/>
        <v>45700.64468</v>
      </c>
      <c r="R1059" s="47" t="b">
        <v>0</v>
      </c>
      <c r="S1059" s="42" t="str">
        <f t="shared" si="25"/>
        <v/>
      </c>
      <c r="T1059" s="42"/>
    </row>
    <row r="1060" ht="22.5" customHeight="1">
      <c r="B1060" s="42">
        <f t="shared" si="7"/>
        <v>1054</v>
      </c>
      <c r="C1060" s="31" t="s">
        <v>1188</v>
      </c>
      <c r="D1060" s="34" t="str">
        <f t="array" ref="D1060">IFNA(_xlfn.XLOOKUP(C1060,Table_Tarikan_Warkah[Nomor Sertipikat],Table_Tarikan_Warkah[Nomor Tiket]),"")</f>
        <v>K/30/050225/1</v>
      </c>
      <c r="E1060" s="36">
        <f t="array" ref="E1060">IFNA(_xlfn.XLOOKUP(D1060,Table_Tarikan_Warkah[Nomor Tiket],Table_Tarikan_Warkah[Tanggal diserahkan kepada Validator]),"")</f>
        <v>45702.43213</v>
      </c>
      <c r="F1060" s="36" t="str">
        <f t="array" ref="F1060">IFNA(_xlfn.XLOOKUP(D1060,Table_Tarikan_Warkah[Nomor Tiket],Table_Tarikan_Warkah[Nama Petugas Warkah]),"")</f>
        <v/>
      </c>
      <c r="G1060" s="39" t="str">
        <f t="array" ref="G1060">IFNA(_xlfn.XLOOKUP(D1060,Table_Tarikan_Warkah[Nomor Tiket],Table_Tarikan_Warkah[Jenis Permohonan]),"")</f>
        <v>BN JUAL BELI</v>
      </c>
      <c r="H1060" s="41" t="s">
        <v>20</v>
      </c>
      <c r="I1060" s="41" t="s">
        <v>23</v>
      </c>
      <c r="J1060" s="36">
        <f t="shared" si="20"/>
        <v>45699.37829</v>
      </c>
      <c r="K1060" s="49" t="s">
        <v>197</v>
      </c>
      <c r="L1060" s="49" t="s">
        <v>23</v>
      </c>
      <c r="M1060" s="36">
        <f t="shared" si="26"/>
        <v>45700.64396</v>
      </c>
      <c r="N1060" s="30" t="str">
        <f t="shared" si="27"/>
        <v>Selesai</v>
      </c>
      <c r="O1060" s="45">
        <f t="shared" si="23"/>
        <v>45700.64396</v>
      </c>
      <c r="P1060" s="47" t="b">
        <v>1</v>
      </c>
      <c r="Q1060" s="36">
        <f t="shared" si="24"/>
        <v>45700.64468</v>
      </c>
      <c r="R1060" s="47" t="b">
        <v>0</v>
      </c>
      <c r="S1060" s="42" t="str">
        <f t="shared" si="25"/>
        <v/>
      </c>
      <c r="T1060" s="42"/>
    </row>
    <row r="1061" ht="22.5" customHeight="1">
      <c r="B1061" s="42">
        <f t="shared" si="7"/>
        <v>1055</v>
      </c>
      <c r="C1061" s="31" t="s">
        <v>1189</v>
      </c>
      <c r="D1061" s="34" t="str">
        <f t="array" ref="D1061">IFNA(_xlfn.XLOOKUP(C1061,Table_Tarikan_Warkah[Nomor Sertipikat],Table_Tarikan_Warkah[Nomor Tiket]),"")</f>
        <v>K/13/200125/1</v>
      </c>
      <c r="E1061" s="36">
        <f t="array" ref="E1061">IFNA(_xlfn.XLOOKUP(D1061,Table_Tarikan_Warkah[Nomor Tiket],Table_Tarikan_Warkah[Tanggal diserahkan kepada Validator]),"")</f>
        <v>45758.48432</v>
      </c>
      <c r="F1061" s="36" t="str">
        <f t="array" ref="F1061">IFNA(_xlfn.XLOOKUP(D1061,Table_Tarikan_Warkah[Nomor Tiket],Table_Tarikan_Warkah[Nama Petugas Warkah]),"")</f>
        <v>Berry</v>
      </c>
      <c r="G1061" s="39" t="str">
        <f t="array" ref="G1061">IFNA(_xlfn.XLOOKUP(D1061,Table_Tarikan_Warkah[Nomor Tiket],Table_Tarikan_Warkah[Jenis Permohonan]),"")</f>
        <v>Roya</v>
      </c>
      <c r="H1061" s="41" t="s">
        <v>11</v>
      </c>
      <c r="I1061" s="41" t="s">
        <v>23</v>
      </c>
      <c r="J1061" s="36">
        <f t="shared" si="20"/>
        <v>45699.65571</v>
      </c>
      <c r="K1061" s="49" t="s">
        <v>197</v>
      </c>
      <c r="L1061" s="49" t="s">
        <v>23</v>
      </c>
      <c r="M1061" s="36">
        <f t="shared" si="26"/>
        <v>45700.64396</v>
      </c>
      <c r="N1061" s="30" t="str">
        <f t="shared" si="27"/>
        <v>Selesai</v>
      </c>
      <c r="O1061" s="45">
        <f t="shared" si="23"/>
        <v>45700.64396</v>
      </c>
      <c r="P1061" s="47" t="b">
        <v>1</v>
      </c>
      <c r="Q1061" s="36">
        <f t="shared" si="24"/>
        <v>45700.64468</v>
      </c>
      <c r="R1061" s="47" t="b">
        <v>0</v>
      </c>
      <c r="S1061" s="42" t="str">
        <f t="shared" si="25"/>
        <v/>
      </c>
      <c r="T1061" s="42"/>
    </row>
    <row r="1062" ht="22.5" customHeight="1">
      <c r="B1062" s="42">
        <f t="shared" si="7"/>
        <v>1056</v>
      </c>
      <c r="C1062" s="31" t="s">
        <v>1190</v>
      </c>
      <c r="D1062" s="34" t="str">
        <f t="array" ref="D1062">IFNA(_xlfn.XLOOKUP(C1062,Table_Tarikan_Warkah[Nomor Sertipikat],Table_Tarikan_Warkah[Nomor Tiket]),"")</f>
        <v>K/2/240125/1</v>
      </c>
      <c r="E1062" s="36">
        <f t="array" ref="E1062">IFNA(_xlfn.XLOOKUP(D1062,Table_Tarikan_Warkah[Nomor Tiket],Table_Tarikan_Warkah[Tanggal diserahkan kepada Validator]),"")</f>
        <v>45702.42994</v>
      </c>
      <c r="F1062" s="36" t="str">
        <f t="array" ref="F1062">IFNA(_xlfn.XLOOKUP(D1062,Table_Tarikan_Warkah[Nomor Tiket],Table_Tarikan_Warkah[Nama Petugas Warkah]),"")</f>
        <v>David</v>
      </c>
      <c r="G1062" s="39" t="str">
        <f t="array" ref="G1062">IFNA(_xlfn.XLOOKUP(D1062,Table_Tarikan_Warkah[Nomor Tiket],Table_Tarikan_Warkah[Jenis Permohonan]),"")</f>
        <v>BN Hibah</v>
      </c>
      <c r="H1062" s="41" t="s">
        <v>11</v>
      </c>
      <c r="I1062" s="41" t="s">
        <v>23</v>
      </c>
      <c r="J1062" s="36">
        <f t="shared" si="20"/>
        <v>45699.65574</v>
      </c>
      <c r="K1062" s="49" t="s">
        <v>197</v>
      </c>
      <c r="L1062" s="49" t="s">
        <v>23</v>
      </c>
      <c r="M1062" s="36">
        <f t="shared" si="26"/>
        <v>45700.64396</v>
      </c>
      <c r="N1062" s="30" t="str">
        <f t="shared" si="27"/>
        <v>Selesai</v>
      </c>
      <c r="O1062" s="45">
        <f t="shared" si="23"/>
        <v>45700.64396</v>
      </c>
      <c r="P1062" s="47" t="b">
        <v>1</v>
      </c>
      <c r="Q1062" s="36">
        <f t="shared" si="24"/>
        <v>45700.64471</v>
      </c>
      <c r="R1062" s="47" t="b">
        <v>0</v>
      </c>
      <c r="S1062" s="42" t="str">
        <f t="shared" si="25"/>
        <v/>
      </c>
      <c r="T1062" s="42"/>
    </row>
    <row r="1063" ht="22.5" customHeight="1">
      <c r="B1063" s="42">
        <f t="shared" si="7"/>
        <v>1057</v>
      </c>
      <c r="C1063" s="31" t="s">
        <v>1191</v>
      </c>
      <c r="D1063" s="34" t="str">
        <f t="array" ref="D1063">IFNA(_xlfn.XLOOKUP(C1063,Table_Tarikan_Warkah[Nomor Sertipikat],Table_Tarikan_Warkah[Nomor Tiket]),"")</f>
        <v>K/15/300125/1</v>
      </c>
      <c r="E1063" s="36">
        <f t="array" ref="E1063">IFNA(_xlfn.XLOOKUP(D1063,Table_Tarikan_Warkah[Nomor Tiket],Table_Tarikan_Warkah[Tanggal diserahkan kepada Validator]),"")</f>
        <v>45702.42572</v>
      </c>
      <c r="F1063" s="36" t="str">
        <f t="array" ref="F1063">IFNA(_xlfn.XLOOKUP(D1063,Table_Tarikan_Warkah[Nomor Tiket],Table_Tarikan_Warkah[Nama Petugas Warkah]),"")</f>
        <v/>
      </c>
      <c r="G1063" s="39" t="str">
        <f t="array" ref="G1063">IFNA(_xlfn.XLOOKUP(D1063,Table_Tarikan_Warkah[Nomor Tiket],Table_Tarikan_Warkah[Jenis Permohonan]),"")</f>
        <v>BN Jual Beli</v>
      </c>
      <c r="H1063" s="41" t="s">
        <v>11</v>
      </c>
      <c r="I1063" s="41" t="s">
        <v>23</v>
      </c>
      <c r="J1063" s="36">
        <f t="shared" si="20"/>
        <v>45699.65574</v>
      </c>
      <c r="K1063" s="49" t="s">
        <v>197</v>
      </c>
      <c r="L1063" s="49" t="s">
        <v>23</v>
      </c>
      <c r="M1063" s="36">
        <f t="shared" si="26"/>
        <v>45700.64407</v>
      </c>
      <c r="N1063" s="30" t="str">
        <f t="shared" si="27"/>
        <v>Selesai</v>
      </c>
      <c r="O1063" s="45">
        <f t="shared" si="23"/>
        <v>45700.64407</v>
      </c>
      <c r="P1063" s="47" t="b">
        <v>1</v>
      </c>
      <c r="Q1063" s="36">
        <f t="shared" si="24"/>
        <v>45700.64471</v>
      </c>
      <c r="R1063" s="47" t="b">
        <v>0</v>
      </c>
      <c r="S1063" s="42" t="str">
        <f t="shared" si="25"/>
        <v/>
      </c>
      <c r="T1063" s="42"/>
    </row>
    <row r="1064" ht="22.5" customHeight="1">
      <c r="B1064" s="42">
        <f t="shared" si="7"/>
        <v>1058</v>
      </c>
      <c r="C1064" s="31" t="s">
        <v>1192</v>
      </c>
      <c r="D1064" s="34" t="str">
        <f t="array" ref="D1064">IFNA(_xlfn.XLOOKUP(C1064,Table_Tarikan_Warkah[Nomor Sertipikat],Table_Tarikan_Warkah[Nomor Tiket]),"")</f>
        <v>K/25/040225/2</v>
      </c>
      <c r="E1064" s="36">
        <f t="array" ref="E1064">IFNA(_xlfn.XLOOKUP(D1064,Table_Tarikan_Warkah[Nomor Tiket],Table_Tarikan_Warkah[Tanggal diserahkan kepada Validator]),"")</f>
        <v>45702.43116</v>
      </c>
      <c r="F1064" s="36" t="str">
        <f t="array" ref="F1064">IFNA(_xlfn.XLOOKUP(D1064,Table_Tarikan_Warkah[Nomor Tiket],Table_Tarikan_Warkah[Nama Petugas Warkah]),"")</f>
        <v/>
      </c>
      <c r="G1064" s="39" t="str">
        <f t="array" ref="G1064">IFNA(_xlfn.XLOOKUP(D1064,Table_Tarikan_Warkah[Nomor Tiket],Table_Tarikan_Warkah[Jenis Permohonan]),"")</f>
        <v>BN Jual Beli</v>
      </c>
      <c r="H1064" s="41" t="s">
        <v>11</v>
      </c>
      <c r="I1064" s="41" t="s">
        <v>23</v>
      </c>
      <c r="J1064" s="36">
        <f t="shared" si="20"/>
        <v>45699.65574</v>
      </c>
      <c r="K1064" s="49" t="s">
        <v>197</v>
      </c>
      <c r="L1064" s="49" t="s">
        <v>23</v>
      </c>
      <c r="M1064" s="36">
        <f t="shared" si="26"/>
        <v>45700.64407</v>
      </c>
      <c r="N1064" s="30" t="str">
        <f t="shared" si="27"/>
        <v>Selesai</v>
      </c>
      <c r="O1064" s="45">
        <f t="shared" si="23"/>
        <v>45700.64407</v>
      </c>
      <c r="P1064" s="47" t="b">
        <v>1</v>
      </c>
      <c r="Q1064" s="36">
        <f t="shared" si="24"/>
        <v>45700.64471</v>
      </c>
      <c r="R1064" s="47" t="b">
        <v>0</v>
      </c>
      <c r="S1064" s="42" t="str">
        <f t="shared" si="25"/>
        <v/>
      </c>
      <c r="T1064" s="42"/>
    </row>
    <row r="1065" ht="22.5" customHeight="1">
      <c r="B1065" s="42">
        <f t="shared" si="7"/>
        <v>1059</v>
      </c>
      <c r="C1065" s="31" t="s">
        <v>1193</v>
      </c>
      <c r="D1065" s="34" t="str">
        <f t="array" ref="D1065">IFNA(_xlfn.XLOOKUP(C1065,Table_Tarikan_Warkah[Nomor Sertipikat],Table_Tarikan_Warkah[Nomor Tiket]),"")</f>
        <v>K/30/030225/1</v>
      </c>
      <c r="E1065" s="36">
        <f t="array" ref="E1065">IFNA(_xlfn.XLOOKUP(D1065,Table_Tarikan_Warkah[Nomor Tiket],Table_Tarikan_Warkah[Tanggal diserahkan kepada Validator]),"")</f>
        <v>45702.43058</v>
      </c>
      <c r="F1065" s="36" t="str">
        <f t="array" ref="F1065">IFNA(_xlfn.XLOOKUP(D1065,Table_Tarikan_Warkah[Nomor Tiket],Table_Tarikan_Warkah[Nama Petugas Warkah]),"")</f>
        <v/>
      </c>
      <c r="G1065" s="39" t="str">
        <f t="array" ref="G1065">IFNA(_xlfn.XLOOKUP(D1065,Table_Tarikan_Warkah[Nomor Tiket],Table_Tarikan_Warkah[Jenis Permohonan]),"")</f>
        <v>BN Jual Beli</v>
      </c>
      <c r="H1065" s="41" t="s">
        <v>11</v>
      </c>
      <c r="I1065" s="41" t="s">
        <v>23</v>
      </c>
      <c r="J1065" s="36">
        <f t="shared" si="20"/>
        <v>45699.65574</v>
      </c>
      <c r="K1065" s="49" t="s">
        <v>197</v>
      </c>
      <c r="L1065" s="49" t="s">
        <v>23</v>
      </c>
      <c r="M1065" s="36">
        <f t="shared" si="26"/>
        <v>45700.64407</v>
      </c>
      <c r="N1065" s="30" t="str">
        <f t="shared" si="27"/>
        <v>Selesai</v>
      </c>
      <c r="O1065" s="45">
        <f t="shared" si="23"/>
        <v>45700.64407</v>
      </c>
      <c r="P1065" s="47" t="b">
        <v>1</v>
      </c>
      <c r="Q1065" s="36">
        <f t="shared" si="24"/>
        <v>45700.64471</v>
      </c>
      <c r="R1065" s="47" t="b">
        <v>0</v>
      </c>
      <c r="S1065" s="42" t="str">
        <f t="shared" si="25"/>
        <v/>
      </c>
      <c r="T1065" s="42"/>
    </row>
    <row r="1066" ht="22.5" customHeight="1">
      <c r="B1066" s="42">
        <f t="shared" si="7"/>
        <v>1060</v>
      </c>
      <c r="C1066" s="31" t="s">
        <v>1194</v>
      </c>
      <c r="D1066" s="34" t="str">
        <f t="array" ref="D1066">IFNA(_xlfn.XLOOKUP(C1066,Table_Tarikan_Warkah[Nomor Sertipikat],Table_Tarikan_Warkah[Nomor Tiket]),"")</f>
        <v>K/22/200125/1</v>
      </c>
      <c r="E1066" s="36">
        <f t="array" ref="E1066">IFNA(_xlfn.XLOOKUP(D1066,Table_Tarikan_Warkah[Nomor Tiket],Table_Tarikan_Warkah[Tanggal diserahkan kepada Validator]),"")</f>
        <v>45702.42765</v>
      </c>
      <c r="F1066" s="36" t="str">
        <f t="array" ref="F1066">IFNA(_xlfn.XLOOKUP(D1066,Table_Tarikan_Warkah[Nomor Tiket],Table_Tarikan_Warkah[Nama Petugas Warkah]),"")</f>
        <v>Berry</v>
      </c>
      <c r="G1066" s="39" t="str">
        <f t="array" ref="G1066">IFNA(_xlfn.XLOOKUP(D1066,Table_Tarikan_Warkah[Nomor Tiket],Table_Tarikan_Warkah[Jenis Permohonan]),"")</f>
        <v>BN Waris</v>
      </c>
      <c r="H1066" s="41" t="s">
        <v>11</v>
      </c>
      <c r="I1066" s="41" t="s">
        <v>23</v>
      </c>
      <c r="J1066" s="36">
        <f t="shared" si="20"/>
        <v>45699.65574</v>
      </c>
      <c r="K1066" s="49" t="s">
        <v>197</v>
      </c>
      <c r="L1066" s="49" t="s">
        <v>23</v>
      </c>
      <c r="M1066" s="36">
        <f t="shared" si="26"/>
        <v>45700.64407</v>
      </c>
      <c r="N1066" s="30" t="str">
        <f t="shared" si="27"/>
        <v>Selesai</v>
      </c>
      <c r="O1066" s="45">
        <f t="shared" si="23"/>
        <v>45700.64407</v>
      </c>
      <c r="P1066" s="47" t="b">
        <v>1</v>
      </c>
      <c r="Q1066" s="36">
        <f t="shared" si="24"/>
        <v>45700.64471</v>
      </c>
      <c r="R1066" s="47" t="b">
        <v>0</v>
      </c>
      <c r="S1066" s="42" t="str">
        <f t="shared" si="25"/>
        <v/>
      </c>
      <c r="T1066" s="42"/>
    </row>
    <row r="1067" ht="22.5" customHeight="1">
      <c r="B1067" s="42">
        <f t="shared" si="7"/>
        <v>1061</v>
      </c>
      <c r="C1067" s="31" t="s">
        <v>1195</v>
      </c>
      <c r="D1067" s="34" t="str">
        <f t="array" ref="D1067">IFNA(_xlfn.XLOOKUP(C1067,Table_Tarikan_Warkah[Nomor Sertipikat],Table_Tarikan_Warkah[Nomor Tiket]),"")</f>
        <v>K/3/050225/2</v>
      </c>
      <c r="E1067" s="36">
        <f t="array" ref="E1067">IFNA(_xlfn.XLOOKUP(D1067,Table_Tarikan_Warkah[Nomor Tiket],Table_Tarikan_Warkah[Tanggal diserahkan kepada Validator]),"")</f>
        <v>45702.49142</v>
      </c>
      <c r="F1067" s="36" t="str">
        <f t="array" ref="F1067">IFNA(_xlfn.XLOOKUP(D1067,Table_Tarikan_Warkah[Nomor Tiket],Table_Tarikan_Warkah[Nama Petugas Warkah]),"")</f>
        <v/>
      </c>
      <c r="G1067" s="39" t="str">
        <f t="array" ref="G1067">IFNA(_xlfn.XLOOKUP(D1067,Table_Tarikan_Warkah[Nomor Tiket],Table_Tarikan_Warkah[Jenis Permohonan]),"")</f>
        <v>BN Jual Beli</v>
      </c>
      <c r="H1067" s="41" t="s">
        <v>11</v>
      </c>
      <c r="I1067" s="41" t="s">
        <v>23</v>
      </c>
      <c r="J1067" s="36">
        <f t="shared" si="20"/>
        <v>45699.65574</v>
      </c>
      <c r="K1067" s="49" t="s">
        <v>197</v>
      </c>
      <c r="L1067" s="49" t="s">
        <v>23</v>
      </c>
      <c r="M1067" s="36">
        <f t="shared" si="26"/>
        <v>45700.64407</v>
      </c>
      <c r="N1067" s="30" t="str">
        <f t="shared" si="27"/>
        <v>Selesai</v>
      </c>
      <c r="O1067" s="45">
        <f t="shared" si="23"/>
        <v>45700.64407</v>
      </c>
      <c r="P1067" s="47" t="b">
        <v>1</v>
      </c>
      <c r="Q1067" s="36">
        <f t="shared" si="24"/>
        <v>45700.64471</v>
      </c>
      <c r="R1067" s="47" t="b">
        <v>0</v>
      </c>
      <c r="S1067" s="42" t="str">
        <f t="shared" si="25"/>
        <v/>
      </c>
      <c r="T1067" s="42"/>
    </row>
    <row r="1068" ht="22.5" customHeight="1">
      <c r="B1068" s="42">
        <f t="shared" si="7"/>
        <v>1062</v>
      </c>
      <c r="C1068" s="31" t="s">
        <v>1196</v>
      </c>
      <c r="D1068" s="34" t="str">
        <f t="array" ref="D1068">IFNA(_xlfn.XLOOKUP(C1068,Table_Tarikan_Warkah[Nomor Sertipikat],Table_Tarikan_Warkah[Nomor Tiket]),"")</f>
        <v>K/9/050225/1</v>
      </c>
      <c r="E1068" s="36">
        <f t="array" ref="E1068">IFNA(_xlfn.XLOOKUP(D1068,Table_Tarikan_Warkah[Nomor Tiket],Table_Tarikan_Warkah[Tanggal diserahkan kepada Validator]),"")</f>
        <v>45702.42688</v>
      </c>
      <c r="F1068" s="36" t="str">
        <f t="array" ref="F1068">IFNA(_xlfn.XLOOKUP(D1068,Table_Tarikan_Warkah[Nomor Tiket],Table_Tarikan_Warkah[Nama Petugas Warkah]),"")</f>
        <v/>
      </c>
      <c r="G1068" s="39" t="str">
        <f t="array" ref="G1068">IFNA(_xlfn.XLOOKUP(D1068,Table_Tarikan_Warkah[Nomor Tiket],Table_Tarikan_Warkah[Jenis Permohonan]),"")</f>
        <v>BN Jual Beli</v>
      </c>
      <c r="H1068" s="41" t="s">
        <v>11</v>
      </c>
      <c r="I1068" s="41" t="s">
        <v>23</v>
      </c>
      <c r="J1068" s="36">
        <f t="shared" si="20"/>
        <v>45699.65574</v>
      </c>
      <c r="K1068" s="49" t="s">
        <v>197</v>
      </c>
      <c r="L1068" s="49" t="s">
        <v>23</v>
      </c>
      <c r="M1068" s="36">
        <f t="shared" si="26"/>
        <v>45700.64407</v>
      </c>
      <c r="N1068" s="30" t="str">
        <f t="shared" si="27"/>
        <v>Selesai</v>
      </c>
      <c r="O1068" s="45">
        <f t="shared" si="23"/>
        <v>45700.64407</v>
      </c>
      <c r="P1068" s="47" t="b">
        <v>1</v>
      </c>
      <c r="Q1068" s="36">
        <f t="shared" si="24"/>
        <v>45700.64479</v>
      </c>
      <c r="R1068" s="47" t="b">
        <v>0</v>
      </c>
      <c r="S1068" s="42" t="str">
        <f t="shared" si="25"/>
        <v/>
      </c>
      <c r="T1068" s="42"/>
    </row>
    <row r="1069" ht="22.5" customHeight="1">
      <c r="B1069" s="42">
        <f t="shared" si="7"/>
        <v>1063</v>
      </c>
      <c r="C1069" s="31" t="s">
        <v>1197</v>
      </c>
      <c r="D1069" s="34" t="str">
        <f t="array" ref="D1069">IFNA(_xlfn.XLOOKUP(C1069,Table_Tarikan_Warkah[Nomor Sertipikat],Table_Tarikan_Warkah[Nomor Tiket]),"")</f>
        <v>K/2/050225/1</v>
      </c>
      <c r="E1069" s="36">
        <f t="array" ref="E1069">IFNA(_xlfn.XLOOKUP(D1069,Table_Tarikan_Warkah[Nomor Tiket],Table_Tarikan_Warkah[Tanggal diserahkan kepada Validator]),"")</f>
        <v>45702.49142</v>
      </c>
      <c r="F1069" s="36" t="str">
        <f t="array" ref="F1069">IFNA(_xlfn.XLOOKUP(D1069,Table_Tarikan_Warkah[Nomor Tiket],Table_Tarikan_Warkah[Nama Petugas Warkah]),"")</f>
        <v/>
      </c>
      <c r="G1069" s="39" t="str">
        <f t="array" ref="G1069">IFNA(_xlfn.XLOOKUP(D1069,Table_Tarikan_Warkah[Nomor Tiket],Table_Tarikan_Warkah[Jenis Permohonan]),"")</f>
        <v>BN Jual Beli</v>
      </c>
      <c r="H1069" s="41" t="s">
        <v>11</v>
      </c>
      <c r="I1069" s="41" t="s">
        <v>23</v>
      </c>
      <c r="J1069" s="36">
        <f t="shared" si="20"/>
        <v>45699.65574</v>
      </c>
      <c r="K1069" s="49" t="s">
        <v>197</v>
      </c>
      <c r="L1069" s="49" t="s">
        <v>23</v>
      </c>
      <c r="M1069" s="36">
        <f t="shared" si="26"/>
        <v>45700.64407</v>
      </c>
      <c r="N1069" s="30" t="str">
        <f t="shared" si="27"/>
        <v>Selesai</v>
      </c>
      <c r="O1069" s="45">
        <f t="shared" si="23"/>
        <v>45700.64407</v>
      </c>
      <c r="P1069" s="47" t="b">
        <v>1</v>
      </c>
      <c r="Q1069" s="36">
        <f t="shared" si="24"/>
        <v>45700.64479</v>
      </c>
      <c r="R1069" s="47" t="b">
        <v>0</v>
      </c>
      <c r="S1069" s="42" t="str">
        <f t="shared" si="25"/>
        <v/>
      </c>
      <c r="T1069" s="42"/>
    </row>
    <row r="1070" ht="22.5" customHeight="1">
      <c r="B1070" s="42">
        <f t="shared" si="7"/>
        <v>1064</v>
      </c>
      <c r="C1070" s="31" t="s">
        <v>1198</v>
      </c>
      <c r="D1070" s="34" t="str">
        <f t="array" ref="D1070">IFNA(_xlfn.XLOOKUP(C1070,Table_Tarikan_Warkah[Nomor Sertipikat],Table_Tarikan_Warkah[Nomor Tiket]),"")</f>
        <v>K/1/310125/1</v>
      </c>
      <c r="E1070" s="36">
        <f t="array" ref="E1070">IFNA(_xlfn.XLOOKUP(D1070,Table_Tarikan_Warkah[Nomor Tiket],Table_Tarikan_Warkah[Tanggal diserahkan kepada Validator]),"")</f>
        <v>45715.40108</v>
      </c>
      <c r="F1070" s="36" t="str">
        <f t="array" ref="F1070">IFNA(_xlfn.XLOOKUP(D1070,Table_Tarikan_Warkah[Nomor Tiket],Table_Tarikan_Warkah[Nama Petugas Warkah]),"")</f>
        <v/>
      </c>
      <c r="G1070" s="39" t="str">
        <f t="array" ref="G1070">IFNA(_xlfn.XLOOKUP(D1070,Table_Tarikan_Warkah[Nomor Tiket],Table_Tarikan_Warkah[Jenis Permohonan]),"")</f>
        <v>Roya</v>
      </c>
      <c r="H1070" s="41" t="s">
        <v>11</v>
      </c>
      <c r="I1070" s="41" t="s">
        <v>23</v>
      </c>
      <c r="J1070" s="36">
        <f t="shared" si="20"/>
        <v>45699.65574</v>
      </c>
      <c r="K1070" s="49" t="s">
        <v>197</v>
      </c>
      <c r="L1070" s="49" t="s">
        <v>23</v>
      </c>
      <c r="M1070" s="36">
        <f t="shared" si="26"/>
        <v>45700.64424</v>
      </c>
      <c r="N1070" s="30" t="str">
        <f t="shared" si="27"/>
        <v>Selesai</v>
      </c>
      <c r="O1070" s="45">
        <f t="shared" si="23"/>
        <v>45700.64424</v>
      </c>
      <c r="P1070" s="47" t="b">
        <v>1</v>
      </c>
      <c r="Q1070" s="36">
        <f t="shared" si="24"/>
        <v>45700.64479</v>
      </c>
      <c r="R1070" s="47" t="b">
        <v>0</v>
      </c>
      <c r="S1070" s="42" t="str">
        <f t="shared" si="25"/>
        <v/>
      </c>
      <c r="T1070" s="42"/>
    </row>
    <row r="1071" ht="22.5" customHeight="1">
      <c r="B1071" s="42">
        <f t="shared" si="7"/>
        <v>1065</v>
      </c>
      <c r="C1071" s="31" t="s">
        <v>1199</v>
      </c>
      <c r="D1071" s="34" t="str">
        <f t="array" ref="D1071">IFNA(_xlfn.XLOOKUP(C1071,Table_Tarikan_Warkah[Nomor Sertipikat],Table_Tarikan_Warkah[Nomor Tiket]),"")</f>
        <v>K/64/261124/2</v>
      </c>
      <c r="E1071" s="36" t="str">
        <f t="array" ref="E1071">IFNA(_xlfn.XLOOKUP(D1071,Table_Tarikan_Warkah[Nomor Tiket],Table_Tarikan_Warkah[Tanggal diserahkan kepada Validator]),"")</f>
        <v/>
      </c>
      <c r="F1071" s="36" t="str">
        <f t="array" ref="F1071">IFNA(_xlfn.XLOOKUP(D1071,Table_Tarikan_Warkah[Nomor Tiket],Table_Tarikan_Warkah[Nama Petugas Warkah]),"")</f>
        <v>Berry</v>
      </c>
      <c r="G1071" s="39" t="str">
        <f t="array" ref="G1071">IFNA(_xlfn.XLOOKUP(D1071,Table_Tarikan_Warkah[Nomor Tiket],Table_Tarikan_Warkah[Jenis Permohonan]),"")</f>
        <v>PENINGKATAN HAK</v>
      </c>
      <c r="H1071" s="41" t="s">
        <v>11</v>
      </c>
      <c r="I1071" s="41" t="s">
        <v>23</v>
      </c>
      <c r="J1071" s="36">
        <f t="shared" si="20"/>
        <v>45699.65574</v>
      </c>
      <c r="K1071" s="49" t="s">
        <v>197</v>
      </c>
      <c r="L1071" s="49" t="s">
        <v>23</v>
      </c>
      <c r="M1071" s="36">
        <f t="shared" si="26"/>
        <v>45700.64424</v>
      </c>
      <c r="N1071" s="30" t="str">
        <f t="shared" si="27"/>
        <v>Selesai</v>
      </c>
      <c r="O1071" s="45">
        <f t="shared" si="23"/>
        <v>45700.64424</v>
      </c>
      <c r="P1071" s="47" t="b">
        <v>1</v>
      </c>
      <c r="Q1071" s="36">
        <f t="shared" si="24"/>
        <v>45700.64479</v>
      </c>
      <c r="R1071" s="47" t="b">
        <v>0</v>
      </c>
      <c r="S1071" s="42" t="str">
        <f t="shared" si="25"/>
        <v/>
      </c>
      <c r="T1071" s="42"/>
    </row>
    <row r="1072" ht="22.5" customHeight="1">
      <c r="B1072" s="42">
        <f t="shared" si="7"/>
        <v>1066</v>
      </c>
      <c r="C1072" s="31" t="s">
        <v>1200</v>
      </c>
      <c r="D1072" s="34" t="str">
        <f t="array" ref="D1072">IFNA(_xlfn.XLOOKUP(C1072,Table_Tarikan_Warkah[Nomor Sertipikat],Table_Tarikan_Warkah[Nomor Tiket]),"")</f>
        <v>K/39/050225/2</v>
      </c>
      <c r="E1072" s="36" t="str">
        <f t="array" ref="E1072">IFNA(_xlfn.XLOOKUP(D1072,Table_Tarikan_Warkah[Nomor Tiket],Table_Tarikan_Warkah[Tanggal diserahkan kepada Validator]),"")</f>
        <v/>
      </c>
      <c r="F1072" s="36" t="str">
        <f t="array" ref="F1072">IFNA(_xlfn.XLOOKUP(D1072,Table_Tarikan_Warkah[Nomor Tiket],Table_Tarikan_Warkah[Nama Petugas Warkah]),"")</f>
        <v/>
      </c>
      <c r="G1072" s="39" t="str">
        <f t="array" ref="G1072">IFNA(_xlfn.XLOOKUP(D1072,Table_Tarikan_Warkah[Nomor Tiket],Table_Tarikan_Warkah[Jenis Permohonan]),"")</f>
        <v>BN JUAL BELI</v>
      </c>
      <c r="H1072" s="41" t="s">
        <v>11</v>
      </c>
      <c r="I1072" s="41" t="s">
        <v>23</v>
      </c>
      <c r="J1072" s="36">
        <f t="shared" si="20"/>
        <v>45699.65574</v>
      </c>
      <c r="K1072" s="49" t="s">
        <v>197</v>
      </c>
      <c r="L1072" s="49" t="s">
        <v>23</v>
      </c>
      <c r="M1072" s="36">
        <f t="shared" si="26"/>
        <v>45700.64424</v>
      </c>
      <c r="N1072" s="30" t="str">
        <f t="shared" si="27"/>
        <v>Selesai</v>
      </c>
      <c r="O1072" s="45">
        <f t="shared" si="23"/>
        <v>45700.64424</v>
      </c>
      <c r="P1072" s="47" t="b">
        <v>1</v>
      </c>
      <c r="Q1072" s="36">
        <f t="shared" si="24"/>
        <v>45700.64479</v>
      </c>
      <c r="R1072" s="47" t="b">
        <v>0</v>
      </c>
      <c r="S1072" s="42" t="str">
        <f t="shared" si="25"/>
        <v/>
      </c>
      <c r="T1072" s="42"/>
    </row>
    <row r="1073" ht="22.5" customHeight="1">
      <c r="B1073" s="42">
        <f t="shared" si="7"/>
        <v>1067</v>
      </c>
      <c r="C1073" s="31" t="s">
        <v>1201</v>
      </c>
      <c r="D1073" s="34" t="str">
        <f t="array" ref="D1073">IFNA(_xlfn.XLOOKUP(C1073,Table_Tarikan_Warkah[Nomor Sertipikat],Table_Tarikan_Warkah[Nomor Tiket]),"")</f>
        <v>K/11/050225/1</v>
      </c>
      <c r="E1073" s="36">
        <f t="array" ref="E1073">IFNA(_xlfn.XLOOKUP(D1073,Table_Tarikan_Warkah[Nomor Tiket],Table_Tarikan_Warkah[Tanggal diserahkan kepada Validator]),"")</f>
        <v>45702.43015</v>
      </c>
      <c r="F1073" s="36" t="str">
        <f t="array" ref="F1073">IFNA(_xlfn.XLOOKUP(D1073,Table_Tarikan_Warkah[Nomor Tiket],Table_Tarikan_Warkah[Nama Petugas Warkah]),"")</f>
        <v/>
      </c>
      <c r="G1073" s="39" t="str">
        <f t="array" ref="G1073">IFNA(_xlfn.XLOOKUP(D1073,Table_Tarikan_Warkah[Nomor Tiket],Table_Tarikan_Warkah[Jenis Permohonan]),"")</f>
        <v>BN JUAL BELI</v>
      </c>
      <c r="H1073" s="41" t="s">
        <v>11</v>
      </c>
      <c r="I1073" s="41" t="s">
        <v>23</v>
      </c>
      <c r="J1073" s="36">
        <f t="shared" si="20"/>
        <v>45699.65574</v>
      </c>
      <c r="K1073" s="49" t="s">
        <v>197</v>
      </c>
      <c r="L1073" s="49" t="s">
        <v>23</v>
      </c>
      <c r="M1073" s="36">
        <f t="shared" si="26"/>
        <v>45700.64424</v>
      </c>
      <c r="N1073" s="30" t="str">
        <f t="shared" si="27"/>
        <v>Selesai</v>
      </c>
      <c r="O1073" s="45">
        <f t="shared" si="23"/>
        <v>45700.64424</v>
      </c>
      <c r="P1073" s="47" t="b">
        <v>1</v>
      </c>
      <c r="Q1073" s="36">
        <f t="shared" si="24"/>
        <v>45700.64479</v>
      </c>
      <c r="R1073" s="47" t="b">
        <v>0</v>
      </c>
      <c r="S1073" s="42" t="str">
        <f t="shared" si="25"/>
        <v/>
      </c>
      <c r="T1073" s="42"/>
    </row>
    <row r="1074" ht="22.5" customHeight="1">
      <c r="B1074" s="42">
        <f t="shared" si="7"/>
        <v>1068</v>
      </c>
      <c r="C1074" s="31" t="s">
        <v>1202</v>
      </c>
      <c r="D1074" s="34" t="str">
        <f t="array" ref="D1074">IFNA(_xlfn.XLOOKUP(C1074,Table_Tarikan_Warkah[Nomor Sertipikat],Table_Tarikan_Warkah[Nomor Tiket]),"")</f>
        <v>K/12/050225/2</v>
      </c>
      <c r="E1074" s="36">
        <f t="array" ref="E1074">IFNA(_xlfn.XLOOKUP(D1074,Table_Tarikan_Warkah[Nomor Tiket],Table_Tarikan_Warkah[Tanggal diserahkan kepada Validator]),"")</f>
        <v>45702.43037</v>
      </c>
      <c r="F1074" s="36" t="str">
        <f t="array" ref="F1074">IFNA(_xlfn.XLOOKUP(D1074,Table_Tarikan_Warkah[Nomor Tiket],Table_Tarikan_Warkah[Nama Petugas Warkah]),"")</f>
        <v/>
      </c>
      <c r="G1074" s="39" t="str">
        <f t="array" ref="G1074">IFNA(_xlfn.XLOOKUP(D1074,Table_Tarikan_Warkah[Nomor Tiket],Table_Tarikan_Warkah[Jenis Permohonan]),"")</f>
        <v>BN JUAL BELI</v>
      </c>
      <c r="H1074" s="41" t="s">
        <v>11</v>
      </c>
      <c r="I1074" s="41" t="s">
        <v>23</v>
      </c>
      <c r="J1074" s="36">
        <f t="shared" si="20"/>
        <v>45699.65574</v>
      </c>
      <c r="K1074" s="49" t="s">
        <v>197</v>
      </c>
      <c r="L1074" s="49" t="s">
        <v>23</v>
      </c>
      <c r="M1074" s="36">
        <f t="shared" si="26"/>
        <v>45700.64424</v>
      </c>
      <c r="N1074" s="30" t="str">
        <f t="shared" si="27"/>
        <v>Selesai</v>
      </c>
      <c r="O1074" s="45">
        <f t="shared" si="23"/>
        <v>45700.64424</v>
      </c>
      <c r="P1074" s="47" t="b">
        <v>1</v>
      </c>
      <c r="Q1074" s="36">
        <f t="shared" si="24"/>
        <v>45700.64479</v>
      </c>
      <c r="R1074" s="47" t="b">
        <v>0</v>
      </c>
      <c r="S1074" s="42" t="str">
        <f t="shared" si="25"/>
        <v/>
      </c>
      <c r="T1074" s="42"/>
    </row>
    <row r="1075" ht="22.5" customHeight="1">
      <c r="B1075" s="42">
        <f t="shared" si="7"/>
        <v>1069</v>
      </c>
      <c r="C1075" s="31" t="s">
        <v>1203</v>
      </c>
      <c r="D1075" s="34" t="str">
        <f t="array" ref="D1075">IFNA(_xlfn.XLOOKUP(C1075,Table_Tarikan_Warkah[Nomor Sertipikat],Table_Tarikan_Warkah[Nomor Tiket]),"")</f>
        <v>K/6/050225/3</v>
      </c>
      <c r="E1075" s="36">
        <f t="array" ref="E1075">IFNA(_xlfn.XLOOKUP(D1075,Table_Tarikan_Warkah[Nomor Tiket],Table_Tarikan_Warkah[Tanggal diserahkan kepada Validator]),"")</f>
        <v>45702.42967</v>
      </c>
      <c r="F1075" s="36" t="str">
        <f t="array" ref="F1075">IFNA(_xlfn.XLOOKUP(D1075,Table_Tarikan_Warkah[Nomor Tiket],Table_Tarikan_Warkah[Nama Petugas Warkah]),"")</f>
        <v/>
      </c>
      <c r="G1075" s="39" t="str">
        <f t="array" ref="G1075">IFNA(_xlfn.XLOOKUP(D1075,Table_Tarikan_Warkah[Nomor Tiket],Table_Tarikan_Warkah[Jenis Permohonan]),"")</f>
        <v>BN JUAL BELI</v>
      </c>
      <c r="H1075" s="41" t="s">
        <v>11</v>
      </c>
      <c r="I1075" s="41" t="s">
        <v>23</v>
      </c>
      <c r="J1075" s="36">
        <f t="shared" si="20"/>
        <v>45699.65574</v>
      </c>
      <c r="K1075" s="49" t="s">
        <v>197</v>
      </c>
      <c r="L1075" s="49" t="s">
        <v>23</v>
      </c>
      <c r="M1075" s="36">
        <f t="shared" si="26"/>
        <v>45700.64424</v>
      </c>
      <c r="N1075" s="30" t="str">
        <f t="shared" si="27"/>
        <v>Selesai</v>
      </c>
      <c r="O1075" s="45">
        <f t="shared" si="23"/>
        <v>45700.64424</v>
      </c>
      <c r="P1075" s="47" t="b">
        <v>1</v>
      </c>
      <c r="Q1075" s="36">
        <f t="shared" si="24"/>
        <v>45700.64479</v>
      </c>
      <c r="R1075" s="47" t="b">
        <v>0</v>
      </c>
      <c r="S1075" s="42" t="str">
        <f t="shared" si="25"/>
        <v/>
      </c>
      <c r="T1075" s="42"/>
    </row>
    <row r="1076" ht="22.5" customHeight="1">
      <c r="B1076" s="42">
        <f t="shared" si="7"/>
        <v>1070</v>
      </c>
      <c r="C1076" s="31" t="s">
        <v>1204</v>
      </c>
      <c r="D1076" s="34" t="str">
        <f t="array" ref="D1076">IFNA(_xlfn.XLOOKUP(C1076,Table_Tarikan_Warkah[Nomor Sertipikat],Table_Tarikan_Warkah[Nomor Tiket]),"")</f>
        <v>K/29/070225/1</v>
      </c>
      <c r="E1076" s="36">
        <f t="array" ref="E1076">IFNA(_xlfn.XLOOKUP(D1076,Table_Tarikan_Warkah[Nomor Tiket],Table_Tarikan_Warkah[Tanggal diserahkan kepada Validator]),"")</f>
        <v>45705.57666</v>
      </c>
      <c r="F1076" s="36" t="str">
        <f t="array" ref="F1076">IFNA(_xlfn.XLOOKUP(D1076,Table_Tarikan_Warkah[Nomor Tiket],Table_Tarikan_Warkah[Nama Petugas Warkah]),"")</f>
        <v/>
      </c>
      <c r="G1076" s="39" t="str">
        <f t="array" ref="G1076">IFNA(_xlfn.XLOOKUP(D1076,Table_Tarikan_Warkah[Nomor Tiket],Table_Tarikan_Warkah[Jenis Permohonan]),"")</f>
        <v>JUAL BELI</v>
      </c>
      <c r="H1076" s="41" t="s">
        <v>11</v>
      </c>
      <c r="I1076" s="41" t="s">
        <v>23</v>
      </c>
      <c r="J1076" s="36">
        <f t="shared" si="20"/>
        <v>45700.59374</v>
      </c>
      <c r="K1076" s="49" t="s">
        <v>197</v>
      </c>
      <c r="L1076" s="49" t="s">
        <v>23</v>
      </c>
      <c r="M1076" s="36">
        <f t="shared" si="26"/>
        <v>45700.64424</v>
      </c>
      <c r="N1076" s="30" t="str">
        <f t="shared" si="27"/>
        <v>Selesai</v>
      </c>
      <c r="O1076" s="45">
        <f t="shared" si="23"/>
        <v>45700.64424</v>
      </c>
      <c r="P1076" s="47" t="b">
        <v>1</v>
      </c>
      <c r="Q1076" s="36">
        <f t="shared" si="24"/>
        <v>45700.64479</v>
      </c>
      <c r="R1076" s="47" t="b">
        <v>0</v>
      </c>
      <c r="S1076" s="42" t="str">
        <f t="shared" si="25"/>
        <v/>
      </c>
      <c r="T1076" s="42"/>
    </row>
    <row r="1077" ht="22.5" customHeight="1">
      <c r="B1077" s="42">
        <f t="shared" si="7"/>
        <v>1071</v>
      </c>
      <c r="C1077" s="31" t="s">
        <v>1205</v>
      </c>
      <c r="D1077" s="34" t="str">
        <f t="array" ref="D1077">IFNA(_xlfn.XLOOKUP(C1077,Table_Tarikan_Warkah[Nomor Sertipikat],Table_Tarikan_Warkah[Nomor Tiket]),"")</f>
        <v>K/21/230125/1</v>
      </c>
      <c r="E1077" s="36">
        <f t="array" ref="E1077">IFNA(_xlfn.XLOOKUP(D1077,Table_Tarikan_Warkah[Nomor Tiket],Table_Tarikan_Warkah[Tanggal diserahkan kepada Validator]),"")</f>
        <v>45702.42605</v>
      </c>
      <c r="F1077" s="36" t="str">
        <f t="array" ref="F1077">IFNA(_xlfn.XLOOKUP(D1077,Table_Tarikan_Warkah[Nomor Tiket],Table_Tarikan_Warkah[Nama Petugas Warkah]),"")</f>
        <v>David</v>
      </c>
      <c r="G1077" s="39" t="str">
        <f t="array" ref="G1077">IFNA(_xlfn.XLOOKUP(D1077,Table_Tarikan_Warkah[Nomor Tiket],Table_Tarikan_Warkah[Jenis Permohonan]),"")</f>
        <v>KEWARISAN</v>
      </c>
      <c r="H1077" s="41" t="s">
        <v>11</v>
      </c>
      <c r="I1077" s="41" t="s">
        <v>23</v>
      </c>
      <c r="J1077" s="36">
        <f t="shared" si="20"/>
        <v>45700.59376</v>
      </c>
      <c r="K1077" s="49" t="s">
        <v>197</v>
      </c>
      <c r="L1077" s="49" t="s">
        <v>23</v>
      </c>
      <c r="M1077" s="36">
        <f t="shared" si="26"/>
        <v>45700.64424</v>
      </c>
      <c r="N1077" s="30" t="str">
        <f t="shared" si="27"/>
        <v>Selesai</v>
      </c>
      <c r="O1077" s="45">
        <f t="shared" si="23"/>
        <v>45700.64424</v>
      </c>
      <c r="P1077" s="47" t="b">
        <v>1</v>
      </c>
      <c r="Q1077" s="36">
        <f t="shared" si="24"/>
        <v>45700.64479</v>
      </c>
      <c r="R1077" s="47" t="b">
        <v>0</v>
      </c>
      <c r="S1077" s="42" t="str">
        <f t="shared" si="25"/>
        <v/>
      </c>
      <c r="T1077" s="42"/>
    </row>
    <row r="1078" ht="22.5" customHeight="1">
      <c r="B1078" s="42">
        <f t="shared" si="7"/>
        <v>1072</v>
      </c>
      <c r="C1078" s="31" t="s">
        <v>1206</v>
      </c>
      <c r="D1078" s="34" t="str">
        <f t="array" ref="D1078">IFNA(_xlfn.XLOOKUP(C1078,Table_Tarikan_Warkah[Nomor Sertipikat],Table_Tarikan_Warkah[Nomor Tiket]),"")</f>
        <v>K/26/171224/1</v>
      </c>
      <c r="E1078" s="36">
        <f t="array" ref="E1078">IFNA(_xlfn.XLOOKUP(D1078,Table_Tarikan_Warkah[Nomor Tiket],Table_Tarikan_Warkah[Tanggal diserahkan kepada Validator]),"")</f>
        <v>45708.46584</v>
      </c>
      <c r="F1078" s="36" t="str">
        <f t="array" ref="F1078">IFNA(_xlfn.XLOOKUP(D1078,Table_Tarikan_Warkah[Nomor Tiket],Table_Tarikan_Warkah[Nama Petugas Warkah]),"")</f>
        <v>David</v>
      </c>
      <c r="G1078" s="39" t="str">
        <f t="array" ref="G1078">IFNA(_xlfn.XLOOKUP(D1078,Table_Tarikan_Warkah[Nomor Tiket],Table_Tarikan_Warkah[Jenis Permohonan]),"")</f>
        <v>BN WARIS</v>
      </c>
      <c r="H1078" s="41" t="s">
        <v>11</v>
      </c>
      <c r="I1078" s="41" t="s">
        <v>23</v>
      </c>
      <c r="J1078" s="36">
        <f t="shared" si="20"/>
        <v>45700.59376</v>
      </c>
      <c r="K1078" s="49" t="s">
        <v>197</v>
      </c>
      <c r="L1078" s="49" t="s">
        <v>23</v>
      </c>
      <c r="M1078" s="36">
        <f t="shared" si="26"/>
        <v>45700.64424</v>
      </c>
      <c r="N1078" s="30" t="str">
        <f t="shared" si="27"/>
        <v>Selesai</v>
      </c>
      <c r="O1078" s="45">
        <f t="shared" si="23"/>
        <v>45700.64424</v>
      </c>
      <c r="P1078" s="47" t="b">
        <v>1</v>
      </c>
      <c r="Q1078" s="36">
        <f t="shared" si="24"/>
        <v>45700.64485</v>
      </c>
      <c r="R1078" s="47" t="b">
        <v>0</v>
      </c>
      <c r="S1078" s="42" t="str">
        <f t="shared" si="25"/>
        <v/>
      </c>
      <c r="T1078" s="42"/>
    </row>
    <row r="1079" ht="22.5" customHeight="1">
      <c r="B1079" s="42">
        <f t="shared" si="7"/>
        <v>1073</v>
      </c>
      <c r="C1079" s="31" t="s">
        <v>1207</v>
      </c>
      <c r="D1079" s="34" t="str">
        <f t="array" ref="D1079">IFNA(_xlfn.XLOOKUP(C1079,Table_Tarikan_Warkah[Nomor Sertipikat],Table_Tarikan_Warkah[Nomor Tiket]),"")</f>
        <v>K/28/050225/1</v>
      </c>
      <c r="E1079" s="36">
        <f t="array" ref="E1079">IFNA(_xlfn.XLOOKUP(D1079,Table_Tarikan_Warkah[Nomor Tiket],Table_Tarikan_Warkah[Tanggal diserahkan kepada Validator]),"")</f>
        <v>45702.43077</v>
      </c>
      <c r="F1079" s="36" t="str">
        <f t="array" ref="F1079">IFNA(_xlfn.XLOOKUP(D1079,Table_Tarikan_Warkah[Nomor Tiket],Table_Tarikan_Warkah[Nama Petugas Warkah]),"")</f>
        <v/>
      </c>
      <c r="G1079" s="39" t="str">
        <f t="array" ref="G1079">IFNA(_xlfn.XLOOKUP(D1079,Table_Tarikan_Warkah[Nomor Tiket],Table_Tarikan_Warkah[Jenis Permohonan]),"")</f>
        <v>BN Jual Beli</v>
      </c>
      <c r="H1079" s="41" t="s">
        <v>11</v>
      </c>
      <c r="I1079" s="41" t="s">
        <v>23</v>
      </c>
      <c r="J1079" s="36">
        <f t="shared" si="20"/>
        <v>45700.59376</v>
      </c>
      <c r="K1079" s="49" t="s">
        <v>197</v>
      </c>
      <c r="L1079" s="49" t="s">
        <v>23</v>
      </c>
      <c r="M1079" s="36">
        <f t="shared" si="26"/>
        <v>45700.64424</v>
      </c>
      <c r="N1079" s="30" t="str">
        <f t="shared" si="27"/>
        <v>Selesai</v>
      </c>
      <c r="O1079" s="45">
        <f t="shared" si="23"/>
        <v>45700.64424</v>
      </c>
      <c r="P1079" s="47" t="b">
        <v>1</v>
      </c>
      <c r="Q1079" s="36">
        <f t="shared" si="24"/>
        <v>45700.64486</v>
      </c>
      <c r="R1079" s="47" t="b">
        <v>0</v>
      </c>
      <c r="S1079" s="42" t="str">
        <f t="shared" si="25"/>
        <v/>
      </c>
      <c r="T1079" s="42"/>
    </row>
    <row r="1080" ht="22.5" customHeight="1">
      <c r="B1080" s="42">
        <f t="shared" si="7"/>
        <v>1074</v>
      </c>
      <c r="C1080" s="31" t="s">
        <v>1208</v>
      </c>
      <c r="D1080" s="34" t="str">
        <f t="array" ref="D1080">IFNA(_xlfn.XLOOKUP(C1080,Table_Tarikan_Warkah[Nomor Sertipikat],Table_Tarikan_Warkah[Nomor Tiket]),"")</f>
        <v>K/32/070225/2</v>
      </c>
      <c r="E1080" s="36">
        <f t="array" ref="E1080">IFNA(_xlfn.XLOOKUP(D1080,Table_Tarikan_Warkah[Nomor Tiket],Table_Tarikan_Warkah[Tanggal diserahkan kepada Validator]),"")</f>
        <v>45702.42925</v>
      </c>
      <c r="F1080" s="36" t="str">
        <f t="array" ref="F1080">IFNA(_xlfn.XLOOKUP(D1080,Table_Tarikan_Warkah[Nomor Tiket],Table_Tarikan_Warkah[Nama Petugas Warkah]),"")</f>
        <v/>
      </c>
      <c r="G1080" s="39" t="str">
        <f t="array" ref="G1080">IFNA(_xlfn.XLOOKUP(D1080,Table_Tarikan_Warkah[Nomor Tiket],Table_Tarikan_Warkah[Jenis Permohonan]),"")</f>
        <v>BN JUAL BELI</v>
      </c>
      <c r="H1080" s="41" t="s">
        <v>11</v>
      </c>
      <c r="I1080" s="41" t="s">
        <v>23</v>
      </c>
      <c r="J1080" s="36">
        <f t="shared" si="20"/>
        <v>45700.59376</v>
      </c>
      <c r="K1080" s="49" t="s">
        <v>197</v>
      </c>
      <c r="L1080" s="49" t="s">
        <v>23</v>
      </c>
      <c r="M1080" s="36">
        <f t="shared" si="26"/>
        <v>45700.64424</v>
      </c>
      <c r="N1080" s="30" t="str">
        <f t="shared" si="27"/>
        <v>Selesai</v>
      </c>
      <c r="O1080" s="45">
        <f t="shared" si="23"/>
        <v>45700.64424</v>
      </c>
      <c r="P1080" s="47" t="b">
        <v>1</v>
      </c>
      <c r="Q1080" s="36">
        <f t="shared" si="24"/>
        <v>45700.64487</v>
      </c>
      <c r="R1080" s="47" t="b">
        <v>0</v>
      </c>
      <c r="S1080" s="42" t="str">
        <f t="shared" si="25"/>
        <v/>
      </c>
      <c r="T1080" s="42"/>
    </row>
    <row r="1081" ht="22.5" customHeight="1">
      <c r="B1081" s="42">
        <f t="shared" si="7"/>
        <v>1075</v>
      </c>
      <c r="C1081" s="31" t="s">
        <v>1209</v>
      </c>
      <c r="D1081" s="34" t="str">
        <f t="array" ref="D1081">IFNA(_xlfn.XLOOKUP(C1081,Table_Tarikan_Warkah[Nomor Sertipikat],Table_Tarikan_Warkah[Nomor Tiket]),"")</f>
        <v>K/4/060225/1</v>
      </c>
      <c r="E1081" s="36">
        <f t="array" ref="E1081">IFNA(_xlfn.XLOOKUP(D1081,Table_Tarikan_Warkah[Nomor Tiket],Table_Tarikan_Warkah[Tanggal diserahkan kepada Validator]),"")</f>
        <v>45705.57898</v>
      </c>
      <c r="F1081" s="36" t="str">
        <f t="array" ref="F1081">IFNA(_xlfn.XLOOKUP(D1081,Table_Tarikan_Warkah[Nomor Tiket],Table_Tarikan_Warkah[Nama Petugas Warkah]),"")</f>
        <v/>
      </c>
      <c r="G1081" s="39" t="str">
        <f t="array" ref="G1081">IFNA(_xlfn.XLOOKUP(D1081,Table_Tarikan_Warkah[Nomor Tiket],Table_Tarikan_Warkah[Jenis Permohonan]),"")</f>
        <v>PERALIHAN HAK</v>
      </c>
      <c r="H1081" s="41" t="s">
        <v>11</v>
      </c>
      <c r="I1081" s="41" t="s">
        <v>23</v>
      </c>
      <c r="J1081" s="36">
        <f t="shared" si="20"/>
        <v>45700.59379</v>
      </c>
      <c r="K1081" s="49" t="s">
        <v>197</v>
      </c>
      <c r="L1081" s="49" t="s">
        <v>23</v>
      </c>
      <c r="M1081" s="36">
        <f t="shared" si="26"/>
        <v>45700.64424</v>
      </c>
      <c r="N1081" s="30" t="str">
        <f t="shared" si="27"/>
        <v>Selesai</v>
      </c>
      <c r="O1081" s="45">
        <f t="shared" si="23"/>
        <v>45700.64424</v>
      </c>
      <c r="P1081" s="47" t="b">
        <v>1</v>
      </c>
      <c r="Q1081" s="36">
        <f t="shared" si="24"/>
        <v>45700.64451</v>
      </c>
      <c r="R1081" s="47" t="b">
        <v>0</v>
      </c>
      <c r="S1081" s="42" t="str">
        <f t="shared" si="25"/>
        <v/>
      </c>
      <c r="T1081" s="42"/>
    </row>
    <row r="1082" ht="22.5" customHeight="1">
      <c r="B1082" s="42">
        <f t="shared" si="7"/>
        <v>1076</v>
      </c>
      <c r="C1082" s="31" t="s">
        <v>1210</v>
      </c>
      <c r="D1082" s="34" t="str">
        <f t="array" ref="D1082">IFNA(_xlfn.XLOOKUP(C1082,Table_Tarikan_Warkah[Nomor Sertipikat],Table_Tarikan_Warkah[Nomor Tiket]),"")</f>
        <v>K/17/060225/1</v>
      </c>
      <c r="E1082" s="36">
        <f t="array" ref="E1082">IFNA(_xlfn.XLOOKUP(D1082,Table_Tarikan_Warkah[Nomor Tiket],Table_Tarikan_Warkah[Tanggal diserahkan kepada Validator]),"")</f>
        <v>45702.42664</v>
      </c>
      <c r="F1082" s="36" t="str">
        <f t="array" ref="F1082">IFNA(_xlfn.XLOOKUP(D1082,Table_Tarikan_Warkah[Nomor Tiket],Table_Tarikan_Warkah[Nama Petugas Warkah]),"")</f>
        <v/>
      </c>
      <c r="G1082" s="39" t="str">
        <f t="array" ref="G1082">IFNA(_xlfn.XLOOKUP(D1082,Table_Tarikan_Warkah[Nomor Tiket],Table_Tarikan_Warkah[Jenis Permohonan]),"")</f>
        <v>JUAL BELI</v>
      </c>
      <c r="H1082" s="41" t="s">
        <v>11</v>
      </c>
      <c r="I1082" s="41" t="s">
        <v>23</v>
      </c>
      <c r="J1082" s="36">
        <f t="shared" si="20"/>
        <v>45700.59379</v>
      </c>
      <c r="K1082" s="49" t="s">
        <v>197</v>
      </c>
      <c r="L1082" s="49" t="s">
        <v>23</v>
      </c>
      <c r="M1082" s="36">
        <f t="shared" si="26"/>
        <v>45700.64436</v>
      </c>
      <c r="N1082" s="30" t="str">
        <f t="shared" si="27"/>
        <v>Selesai</v>
      </c>
      <c r="O1082" s="45">
        <f t="shared" si="23"/>
        <v>45700.64436</v>
      </c>
      <c r="P1082" s="47" t="b">
        <v>1</v>
      </c>
      <c r="Q1082" s="36">
        <f t="shared" si="24"/>
        <v>45700.6445</v>
      </c>
      <c r="R1082" s="47" t="b">
        <v>0</v>
      </c>
      <c r="S1082" s="42" t="str">
        <f t="shared" si="25"/>
        <v/>
      </c>
      <c r="T1082" s="42"/>
    </row>
    <row r="1083" ht="22.5" customHeight="1">
      <c r="B1083" s="42">
        <f t="shared" si="7"/>
        <v>1077</v>
      </c>
      <c r="C1083" s="31" t="s">
        <v>1211</v>
      </c>
      <c r="D1083" s="34" t="str">
        <f t="array" ref="D1083">IFNA(_xlfn.XLOOKUP(C1083,Table_Tarikan_Warkah[Nomor Sertipikat],Table_Tarikan_Warkah[Nomor Tiket]),"")</f>
        <v>K/47/050225/1</v>
      </c>
      <c r="E1083" s="36">
        <f t="array" ref="E1083">IFNA(_xlfn.XLOOKUP(D1083,Table_Tarikan_Warkah[Nomor Tiket],Table_Tarikan_Warkah[Tanggal diserahkan kepada Validator]),"")</f>
        <v>45705.57919</v>
      </c>
      <c r="F1083" s="36" t="str">
        <f t="array" ref="F1083">IFNA(_xlfn.XLOOKUP(D1083,Table_Tarikan_Warkah[Nomor Tiket],Table_Tarikan_Warkah[Nama Petugas Warkah]),"")</f>
        <v/>
      </c>
      <c r="G1083" s="39" t="str">
        <f t="array" ref="G1083">IFNA(_xlfn.XLOOKUP(D1083,Table_Tarikan_Warkah[Nomor Tiket],Table_Tarikan_Warkah[Jenis Permohonan]),"")</f>
        <v>PERALIHAN JUAL BELI</v>
      </c>
      <c r="H1083" s="41" t="s">
        <v>11</v>
      </c>
      <c r="I1083" s="41" t="s">
        <v>23</v>
      </c>
      <c r="J1083" s="36">
        <f t="shared" si="20"/>
        <v>45700.59379</v>
      </c>
      <c r="K1083" s="49" t="s">
        <v>197</v>
      </c>
      <c r="L1083" s="49" t="s">
        <v>23</v>
      </c>
      <c r="M1083" s="36">
        <f t="shared" si="26"/>
        <v>45700.64436</v>
      </c>
      <c r="N1083" s="30" t="str">
        <f t="shared" si="27"/>
        <v>Selesai</v>
      </c>
      <c r="O1083" s="45">
        <f t="shared" si="23"/>
        <v>45700.64436</v>
      </c>
      <c r="P1083" s="47" t="b">
        <v>1</v>
      </c>
      <c r="Q1083" s="36">
        <f t="shared" si="24"/>
        <v>45700.6445</v>
      </c>
      <c r="R1083" s="47" t="b">
        <v>0</v>
      </c>
      <c r="S1083" s="42" t="str">
        <f t="shared" si="25"/>
        <v/>
      </c>
      <c r="T1083" s="42"/>
    </row>
    <row r="1084" ht="22.5" customHeight="1">
      <c r="B1084" s="42">
        <f t="shared" si="7"/>
        <v>1078</v>
      </c>
      <c r="C1084" s="31" t="s">
        <v>1212</v>
      </c>
      <c r="D1084" s="34" t="str">
        <f t="array" ref="D1084">IFNA(_xlfn.XLOOKUP(C1084,Table_Tarikan_Warkah[Nomor Sertipikat],Table_Tarikan_Warkah[Nomor Tiket]),"")</f>
        <v>K/8/050225/2</v>
      </c>
      <c r="E1084" s="36">
        <f t="array" ref="E1084">IFNA(_xlfn.XLOOKUP(D1084,Table_Tarikan_Warkah[Nomor Tiket],Table_Tarikan_Warkah[Tanggal diserahkan kepada Validator]),"")</f>
        <v>45702.43137</v>
      </c>
      <c r="F1084" s="36" t="str">
        <f t="array" ref="F1084">IFNA(_xlfn.XLOOKUP(D1084,Table_Tarikan_Warkah[Nomor Tiket],Table_Tarikan_Warkah[Nama Petugas Warkah]),"")</f>
        <v/>
      </c>
      <c r="G1084" s="39" t="str">
        <f t="array" ref="G1084">IFNA(_xlfn.XLOOKUP(D1084,Table_Tarikan_Warkah[Nomor Tiket],Table_Tarikan_Warkah[Jenis Permohonan]),"")</f>
        <v>PERALIHAN JUAL BELI</v>
      </c>
      <c r="H1084" s="41" t="s">
        <v>11</v>
      </c>
      <c r="I1084" s="41" t="s">
        <v>23</v>
      </c>
      <c r="J1084" s="36">
        <f t="shared" si="20"/>
        <v>45700.59379</v>
      </c>
      <c r="K1084" s="49" t="s">
        <v>197</v>
      </c>
      <c r="L1084" s="49" t="s">
        <v>23</v>
      </c>
      <c r="M1084" s="36">
        <f t="shared" si="26"/>
        <v>45700.64436</v>
      </c>
      <c r="N1084" s="30" t="str">
        <f t="shared" si="27"/>
        <v>Selesai</v>
      </c>
      <c r="O1084" s="45">
        <f t="shared" si="23"/>
        <v>45700.64436</v>
      </c>
      <c r="P1084" s="47" t="b">
        <v>1</v>
      </c>
      <c r="Q1084" s="36">
        <f t="shared" si="24"/>
        <v>45700.64448</v>
      </c>
      <c r="R1084" s="47" t="b">
        <v>0</v>
      </c>
      <c r="S1084" s="42" t="str">
        <f t="shared" si="25"/>
        <v/>
      </c>
      <c r="T1084" s="42"/>
    </row>
    <row r="1085" ht="22.5" customHeight="1">
      <c r="B1085" s="42">
        <f t="shared" si="7"/>
        <v>1079</v>
      </c>
      <c r="C1085" s="31" t="s">
        <v>1213</v>
      </c>
      <c r="D1085" s="34" t="str">
        <f t="array" ref="D1085">IFNA(_xlfn.XLOOKUP(C1085,Table_Tarikan_Warkah[Nomor Sertipikat],Table_Tarikan_Warkah[Nomor Tiket]),"")</f>
        <v>K/6/070225/1</v>
      </c>
      <c r="E1085" s="36">
        <f t="array" ref="E1085">IFNA(_xlfn.XLOOKUP(D1085,Table_Tarikan_Warkah[Nomor Tiket],Table_Tarikan_Warkah[Tanggal diserahkan kepada Validator]),"")</f>
        <v>45702.49142</v>
      </c>
      <c r="F1085" s="36" t="str">
        <f t="array" ref="F1085">IFNA(_xlfn.XLOOKUP(D1085,Table_Tarikan_Warkah[Nomor Tiket],Table_Tarikan_Warkah[Nama Petugas Warkah]),"")</f>
        <v/>
      </c>
      <c r="G1085" s="39" t="str">
        <f t="array" ref="G1085">IFNA(_xlfn.XLOOKUP(D1085,Table_Tarikan_Warkah[Nomor Tiket],Table_Tarikan_Warkah[Jenis Permohonan]),"")</f>
        <v>JUAL BELI</v>
      </c>
      <c r="H1085" s="41" t="s">
        <v>11</v>
      </c>
      <c r="I1085" s="41" t="s">
        <v>23</v>
      </c>
      <c r="J1085" s="36">
        <f t="shared" si="20"/>
        <v>45700.59381</v>
      </c>
      <c r="K1085" s="49" t="s">
        <v>197</v>
      </c>
      <c r="L1085" s="49" t="s">
        <v>23</v>
      </c>
      <c r="M1085" s="36">
        <f t="shared" si="26"/>
        <v>45700.64436</v>
      </c>
      <c r="N1085" s="30" t="str">
        <f t="shared" si="27"/>
        <v>Selesai</v>
      </c>
      <c r="O1085" s="45">
        <f t="shared" si="23"/>
        <v>45700.64436</v>
      </c>
      <c r="P1085" s="47" t="b">
        <v>1</v>
      </c>
      <c r="Q1085" s="36">
        <f t="shared" si="24"/>
        <v>45700.64446</v>
      </c>
      <c r="R1085" s="47" t="b">
        <v>0</v>
      </c>
      <c r="S1085" s="42" t="str">
        <f t="shared" si="25"/>
        <v/>
      </c>
      <c r="T1085" s="42"/>
    </row>
    <row r="1086" ht="22.5" customHeight="1">
      <c r="B1086" s="42">
        <f t="shared" si="7"/>
        <v>1080</v>
      </c>
      <c r="C1086" s="31" t="s">
        <v>1214</v>
      </c>
      <c r="D1086" s="34" t="str">
        <f t="array" ref="D1086">IFNA(_xlfn.XLOOKUP(C1086,Table_Tarikan_Warkah[Nomor Sertipikat],Table_Tarikan_Warkah[Nomor Tiket]),"")</f>
        <v>K/18/070225/5</v>
      </c>
      <c r="E1086" s="36">
        <f t="array" ref="E1086">IFNA(_xlfn.XLOOKUP(D1086,Table_Tarikan_Warkah[Nomor Tiket],Table_Tarikan_Warkah[Tanggal diserahkan kepada Validator]),"")</f>
        <v>45702.43193</v>
      </c>
      <c r="F1086" s="36" t="str">
        <f t="array" ref="F1086">IFNA(_xlfn.XLOOKUP(D1086,Table_Tarikan_Warkah[Nomor Tiket],Table_Tarikan_Warkah[Nama Petugas Warkah]),"")</f>
        <v/>
      </c>
      <c r="G1086" s="39" t="str">
        <f t="array" ref="G1086">IFNA(_xlfn.XLOOKUP(D1086,Table_Tarikan_Warkah[Nomor Tiket],Table_Tarikan_Warkah[Jenis Permohonan]),"")</f>
        <v>JUAL BELI</v>
      </c>
      <c r="H1086" s="41" t="s">
        <v>11</v>
      </c>
      <c r="I1086" s="41" t="s">
        <v>23</v>
      </c>
      <c r="J1086" s="36">
        <f t="shared" si="20"/>
        <v>45700.59381</v>
      </c>
      <c r="K1086" s="49" t="s">
        <v>197</v>
      </c>
      <c r="L1086" s="49" t="s">
        <v>23</v>
      </c>
      <c r="M1086" s="36">
        <f t="shared" si="26"/>
        <v>45700.64436</v>
      </c>
      <c r="N1086" s="30" t="str">
        <f t="shared" si="27"/>
        <v>Selesai</v>
      </c>
      <c r="O1086" s="45">
        <f t="shared" si="23"/>
        <v>45700.64436</v>
      </c>
      <c r="P1086" s="47" t="b">
        <v>1</v>
      </c>
      <c r="Q1086" s="36">
        <f t="shared" si="24"/>
        <v>45700.64445</v>
      </c>
      <c r="R1086" s="47" t="b">
        <v>0</v>
      </c>
      <c r="S1086" s="42" t="str">
        <f t="shared" si="25"/>
        <v/>
      </c>
      <c r="T1086" s="42"/>
    </row>
    <row r="1087" ht="22.5" customHeight="1">
      <c r="B1087" s="42">
        <f t="shared" si="7"/>
        <v>1081</v>
      </c>
      <c r="C1087" s="31" t="s">
        <v>1215</v>
      </c>
      <c r="D1087" s="34" t="str">
        <f t="array" ref="D1087">IFNA(_xlfn.XLOOKUP(C1087,Table_Tarikan_Warkah[Nomor Sertipikat],Table_Tarikan_Warkah[Nomor Tiket]),"")</f>
        <v>K/29/201224/1</v>
      </c>
      <c r="E1087" s="36" t="str">
        <f t="array" ref="E1087">IFNA(_xlfn.XLOOKUP(D1087,Table_Tarikan_Warkah[Nomor Tiket],Table_Tarikan_Warkah[Tanggal diserahkan kepada Validator]),"")</f>
        <v/>
      </c>
      <c r="F1087" s="36" t="str">
        <f t="array" ref="F1087">IFNA(_xlfn.XLOOKUP(D1087,Table_Tarikan_Warkah[Nomor Tiket],Table_Tarikan_Warkah[Nama Petugas Warkah]),"")</f>
        <v/>
      </c>
      <c r="G1087" s="39" t="str">
        <f t="array" ref="G1087">IFNA(_xlfn.XLOOKUP(D1087,Table_Tarikan_Warkah[Nomor Tiket],Table_Tarikan_Warkah[Jenis Permohonan]),"")</f>
        <v>BN Hibah</v>
      </c>
      <c r="H1087" s="41" t="s">
        <v>20</v>
      </c>
      <c r="I1087" s="41" t="s">
        <v>23</v>
      </c>
      <c r="J1087" s="36">
        <f t="shared" si="20"/>
        <v>45700.75697</v>
      </c>
      <c r="K1087" s="41" t="s">
        <v>197</v>
      </c>
      <c r="L1087" s="49" t="s">
        <v>23</v>
      </c>
      <c r="M1087" s="36">
        <f t="shared" si="26"/>
        <v>45700.75702</v>
      </c>
      <c r="N1087" s="30" t="str">
        <f t="shared" si="27"/>
        <v>Selesai</v>
      </c>
      <c r="O1087" s="45">
        <f t="shared" si="23"/>
        <v>45700.75702</v>
      </c>
      <c r="P1087" s="47" t="b">
        <v>1</v>
      </c>
      <c r="Q1087" s="36">
        <f t="shared" si="24"/>
        <v>45700.75703</v>
      </c>
      <c r="R1087" s="47" t="b">
        <v>0</v>
      </c>
      <c r="S1087" s="42" t="str">
        <f t="shared" si="25"/>
        <v/>
      </c>
      <c r="T1087" s="42"/>
    </row>
    <row r="1088" ht="22.5" customHeight="1">
      <c r="B1088" s="42">
        <f t="shared" si="7"/>
        <v>1082</v>
      </c>
      <c r="C1088" s="31" t="s">
        <v>1216</v>
      </c>
      <c r="D1088" s="34" t="str">
        <f t="array" ref="D1088">IFNA(_xlfn.XLOOKUP(C1088,Table_Tarikan_Warkah[Nomor Sertipikat],Table_Tarikan_Warkah[Nomor Tiket]),"")</f>
        <v>K/62/100225/1</v>
      </c>
      <c r="E1088" s="36">
        <f t="array" ref="E1088">IFNA(_xlfn.XLOOKUP(D1088,Table_Tarikan_Warkah[Nomor Tiket],Table_Tarikan_Warkah[Tanggal diserahkan kepada Validator]),"")</f>
        <v>45719.63525</v>
      </c>
      <c r="F1088" s="36" t="str">
        <f t="array" ref="F1088">IFNA(_xlfn.XLOOKUP(D1088,Table_Tarikan_Warkah[Nomor Tiket],Table_Tarikan_Warkah[Nama Petugas Warkah]),"")</f>
        <v/>
      </c>
      <c r="G1088" s="39" t="str">
        <f t="array" ref="G1088">IFNA(_xlfn.XLOOKUP(D1088,Table_Tarikan_Warkah[Nomor Tiket],Table_Tarikan_Warkah[Jenis Permohonan]),"")</f>
        <v>GANTI NAMA HT</v>
      </c>
      <c r="H1088" s="41" t="s">
        <v>11</v>
      </c>
      <c r="I1088" s="41" t="s">
        <v>23</v>
      </c>
      <c r="J1088" s="36">
        <f t="shared" si="20"/>
        <v>45701.64185</v>
      </c>
      <c r="K1088" s="49" t="s">
        <v>197</v>
      </c>
      <c r="L1088" s="49" t="s">
        <v>23</v>
      </c>
      <c r="M1088" s="36">
        <f t="shared" si="26"/>
        <v>45702.46546</v>
      </c>
      <c r="N1088" s="30" t="str">
        <f t="shared" si="27"/>
        <v>Selesai</v>
      </c>
      <c r="O1088" s="45">
        <f t="shared" si="23"/>
        <v>45702.46546</v>
      </c>
      <c r="P1088" s="47" t="b">
        <v>1</v>
      </c>
      <c r="Q1088" s="36">
        <f t="shared" si="24"/>
        <v>45702.46585</v>
      </c>
      <c r="R1088" s="47" t="b">
        <v>0</v>
      </c>
      <c r="S1088" s="42" t="str">
        <f t="shared" si="25"/>
        <v/>
      </c>
      <c r="T1088" s="42"/>
    </row>
    <row r="1089" ht="22.5" customHeight="1">
      <c r="B1089" s="42">
        <f t="shared" si="7"/>
        <v>1083</v>
      </c>
      <c r="C1089" s="31" t="s">
        <v>1217</v>
      </c>
      <c r="D1089" s="34" t="str">
        <f t="array" ref="D1089">IFNA(_xlfn.XLOOKUP(C1089,Table_Tarikan_Warkah[Nomor Sertipikat],Table_Tarikan_Warkah[Nomor Tiket]),"")</f>
        <v>K/14/110225/1</v>
      </c>
      <c r="E1089" s="36">
        <f t="array" ref="E1089">IFNA(_xlfn.XLOOKUP(D1089,Table_Tarikan_Warkah[Nomor Tiket],Table_Tarikan_Warkah[Tanggal diserahkan kepada Validator]),"")</f>
        <v>45769.60156</v>
      </c>
      <c r="F1089" s="36" t="str">
        <f t="array" ref="F1089">IFNA(_xlfn.XLOOKUP(D1089,Table_Tarikan_Warkah[Nomor Tiket],Table_Tarikan_Warkah[Nama Petugas Warkah]),"")</f>
        <v/>
      </c>
      <c r="G1089" s="39" t="str">
        <f t="array" ref="G1089">IFNA(_xlfn.XLOOKUP(D1089,Table_Tarikan_Warkah[Nomor Tiket],Table_Tarikan_Warkah[Jenis Permohonan]),"")</f>
        <v>ROYA</v>
      </c>
      <c r="H1089" s="41" t="s">
        <v>11</v>
      </c>
      <c r="I1089" s="41" t="s">
        <v>23</v>
      </c>
      <c r="J1089" s="36">
        <f t="shared" si="20"/>
        <v>45701.64218</v>
      </c>
      <c r="K1089" s="49" t="s">
        <v>197</v>
      </c>
      <c r="L1089" s="49" t="s">
        <v>23</v>
      </c>
      <c r="M1089" s="36">
        <f t="shared" si="26"/>
        <v>45702.46556</v>
      </c>
      <c r="N1089" s="30" t="str">
        <f t="shared" si="27"/>
        <v>Selesai</v>
      </c>
      <c r="O1089" s="45">
        <f t="shared" si="23"/>
        <v>45702.46556</v>
      </c>
      <c r="P1089" s="47" t="b">
        <v>1</v>
      </c>
      <c r="Q1089" s="36">
        <f t="shared" si="24"/>
        <v>45702.46587</v>
      </c>
      <c r="R1089" s="47" t="b">
        <v>0</v>
      </c>
      <c r="S1089" s="42" t="str">
        <f t="shared" si="25"/>
        <v/>
      </c>
      <c r="T1089" s="42"/>
    </row>
    <row r="1090" ht="22.5" customHeight="1">
      <c r="B1090" s="42">
        <f t="shared" si="7"/>
        <v>1084</v>
      </c>
      <c r="C1090" s="31" t="s">
        <v>1218</v>
      </c>
      <c r="D1090" s="34" t="str">
        <f t="array" ref="D1090">IFNA(_xlfn.XLOOKUP(C1090,Table_Tarikan_Warkah[Nomor Sertipikat],Table_Tarikan_Warkah[Nomor Tiket]),"")</f>
        <v>K/10/100225/1</v>
      </c>
      <c r="E1090" s="36" t="str">
        <f t="array" ref="E1090">IFNA(_xlfn.XLOOKUP(D1090,Table_Tarikan_Warkah[Nomor Tiket],Table_Tarikan_Warkah[Tanggal diserahkan kepada Validator]),"")</f>
        <v/>
      </c>
      <c r="F1090" s="36" t="str">
        <f t="array" ref="F1090">IFNA(_xlfn.XLOOKUP(D1090,Table_Tarikan_Warkah[Nomor Tiket],Table_Tarikan_Warkah[Nama Petugas Warkah]),"")</f>
        <v/>
      </c>
      <c r="G1090" s="39" t="str">
        <f t="array" ref="G1090">IFNA(_xlfn.XLOOKUP(D1090,Table_Tarikan_Warkah[Nomor Tiket],Table_Tarikan_Warkah[Jenis Permohonan]),"")</f>
        <v>BN Jual Beli</v>
      </c>
      <c r="H1090" s="41" t="s">
        <v>11</v>
      </c>
      <c r="I1090" s="41" t="s">
        <v>23</v>
      </c>
      <c r="J1090" s="36">
        <f t="shared" si="20"/>
        <v>45701.64218</v>
      </c>
      <c r="K1090" s="49" t="s">
        <v>197</v>
      </c>
      <c r="L1090" s="49" t="s">
        <v>23</v>
      </c>
      <c r="M1090" s="36">
        <f t="shared" si="26"/>
        <v>45702.46556</v>
      </c>
      <c r="N1090" s="30" t="str">
        <f t="shared" si="27"/>
        <v>Selesai</v>
      </c>
      <c r="O1090" s="45">
        <f t="shared" si="23"/>
        <v>45702.46556</v>
      </c>
      <c r="P1090" s="47" t="b">
        <v>1</v>
      </c>
      <c r="Q1090" s="36">
        <f t="shared" si="24"/>
        <v>45702.46588</v>
      </c>
      <c r="R1090" s="47" t="b">
        <v>0</v>
      </c>
      <c r="S1090" s="42" t="str">
        <f t="shared" si="25"/>
        <v/>
      </c>
      <c r="T1090" s="42"/>
    </row>
    <row r="1091" ht="22.5" customHeight="1">
      <c r="B1091" s="42">
        <f t="shared" si="7"/>
        <v>1085</v>
      </c>
      <c r="C1091" s="31" t="s">
        <v>1219</v>
      </c>
      <c r="D1091" s="34" t="str">
        <f t="array" ref="D1091">IFNA(_xlfn.XLOOKUP(C1091,Table_Tarikan_Warkah[Nomor Sertipikat],Table_Tarikan_Warkah[Nomor Tiket]),"")</f>
        <v>K/33/100225/1</v>
      </c>
      <c r="E1091" s="36">
        <f t="array" ref="E1091">IFNA(_xlfn.XLOOKUP(D1091,Table_Tarikan_Warkah[Nomor Tiket],Table_Tarikan_Warkah[Tanggal diserahkan kepada Validator]),"")</f>
        <v>45706.44924</v>
      </c>
      <c r="F1091" s="36" t="str">
        <f t="array" ref="F1091">IFNA(_xlfn.XLOOKUP(D1091,Table_Tarikan_Warkah[Nomor Tiket],Table_Tarikan_Warkah[Nama Petugas Warkah]),"")</f>
        <v/>
      </c>
      <c r="G1091" s="39" t="str">
        <f t="array" ref="G1091">IFNA(_xlfn.XLOOKUP(D1091,Table_Tarikan_Warkah[Nomor Tiket],Table_Tarikan_Warkah[Jenis Permohonan]),"")</f>
        <v>BN Jual Beli</v>
      </c>
      <c r="H1091" s="41" t="s">
        <v>11</v>
      </c>
      <c r="I1091" s="41" t="s">
        <v>23</v>
      </c>
      <c r="J1091" s="36">
        <f t="shared" si="20"/>
        <v>45701.64218</v>
      </c>
      <c r="K1091" s="49" t="s">
        <v>197</v>
      </c>
      <c r="L1091" s="49" t="s">
        <v>23</v>
      </c>
      <c r="M1091" s="36">
        <f t="shared" si="26"/>
        <v>45702.46556</v>
      </c>
      <c r="N1091" s="30" t="str">
        <f t="shared" si="27"/>
        <v>Selesai</v>
      </c>
      <c r="O1091" s="45">
        <f t="shared" si="23"/>
        <v>45702.46556</v>
      </c>
      <c r="P1091" s="47" t="b">
        <v>1</v>
      </c>
      <c r="Q1091" s="36">
        <f t="shared" si="24"/>
        <v>45702.46588</v>
      </c>
      <c r="R1091" s="47" t="b">
        <v>0</v>
      </c>
      <c r="S1091" s="42" t="str">
        <f t="shared" si="25"/>
        <v/>
      </c>
      <c r="T1091" s="42"/>
    </row>
    <row r="1092" ht="22.5" customHeight="1">
      <c r="B1092" s="42">
        <f t="shared" si="7"/>
        <v>1086</v>
      </c>
      <c r="C1092" s="31" t="s">
        <v>1220</v>
      </c>
      <c r="D1092" s="34" t="str">
        <f t="array" ref="D1092">IFNA(_xlfn.XLOOKUP(C1092,Table_Tarikan_Warkah[Nomor Sertipikat],Table_Tarikan_Warkah[Nomor Tiket]),"")</f>
        <v>K/19/070225/1</v>
      </c>
      <c r="E1092" s="36">
        <f t="array" ref="E1092">IFNA(_xlfn.XLOOKUP(D1092,Table_Tarikan_Warkah[Nomor Tiket],Table_Tarikan_Warkah[Tanggal diserahkan kepada Validator]),"")</f>
        <v>45705.57647</v>
      </c>
      <c r="F1092" s="36" t="str">
        <f t="array" ref="F1092">IFNA(_xlfn.XLOOKUP(D1092,Table_Tarikan_Warkah[Nomor Tiket],Table_Tarikan_Warkah[Nama Petugas Warkah]),"")</f>
        <v/>
      </c>
      <c r="G1092" s="39" t="str">
        <f t="array" ref="G1092">IFNA(_xlfn.XLOOKUP(D1092,Table_Tarikan_Warkah[Nomor Tiket],Table_Tarikan_Warkah[Jenis Permohonan]),"")</f>
        <v>JUAL BELI</v>
      </c>
      <c r="H1092" s="41" t="s">
        <v>11</v>
      </c>
      <c r="I1092" s="41" t="s">
        <v>23</v>
      </c>
      <c r="J1092" s="36">
        <f t="shared" si="20"/>
        <v>45701.64218</v>
      </c>
      <c r="K1092" s="49" t="s">
        <v>197</v>
      </c>
      <c r="L1092" s="49" t="s">
        <v>23</v>
      </c>
      <c r="M1092" s="36">
        <f t="shared" si="26"/>
        <v>45702.46556</v>
      </c>
      <c r="N1092" s="30" t="str">
        <f t="shared" si="27"/>
        <v>Selesai</v>
      </c>
      <c r="O1092" s="45">
        <f t="shared" si="23"/>
        <v>45702.46556</v>
      </c>
      <c r="P1092" s="47" t="b">
        <v>1</v>
      </c>
      <c r="Q1092" s="36">
        <f t="shared" si="24"/>
        <v>45702.46589</v>
      </c>
      <c r="R1092" s="47" t="b">
        <v>0</v>
      </c>
      <c r="S1092" s="42" t="str">
        <f t="shared" si="25"/>
        <v/>
      </c>
      <c r="T1092" s="42"/>
    </row>
    <row r="1093" ht="22.5" customHeight="1">
      <c r="B1093" s="42">
        <f t="shared" si="7"/>
        <v>1087</v>
      </c>
      <c r="C1093" s="31" t="s">
        <v>1221</v>
      </c>
      <c r="D1093" s="34" t="str">
        <f t="array" ref="D1093">IFNA(_xlfn.XLOOKUP(C1093,Table_Tarikan_Warkah[Nomor Sertipikat],Table_Tarikan_Warkah[Nomor Tiket]),"")</f>
        <v>K/26/060225/5</v>
      </c>
      <c r="E1093" s="36">
        <f t="array" ref="E1093">IFNA(_xlfn.XLOOKUP(D1093,Table_Tarikan_Warkah[Nomor Tiket],Table_Tarikan_Warkah[Tanggal diserahkan kepada Validator]),"")</f>
        <v>45706.45512</v>
      </c>
      <c r="F1093" s="36" t="str">
        <f t="array" ref="F1093">IFNA(_xlfn.XLOOKUP(D1093,Table_Tarikan_Warkah[Nomor Tiket],Table_Tarikan_Warkah[Nama Petugas Warkah]),"")</f>
        <v/>
      </c>
      <c r="G1093" s="39" t="str">
        <f t="array" ref="G1093">IFNA(_xlfn.XLOOKUP(D1093,Table_Tarikan_Warkah[Nomor Tiket],Table_Tarikan_Warkah[Jenis Permohonan]),"")</f>
        <v>BN JUAL BELI</v>
      </c>
      <c r="H1093" s="41" t="s">
        <v>11</v>
      </c>
      <c r="I1093" s="41" t="s">
        <v>23</v>
      </c>
      <c r="J1093" s="36">
        <f t="shared" si="20"/>
        <v>45701.64218</v>
      </c>
      <c r="K1093" s="49" t="s">
        <v>197</v>
      </c>
      <c r="L1093" s="49" t="s">
        <v>23</v>
      </c>
      <c r="M1093" s="36">
        <f t="shared" si="26"/>
        <v>45702.46556</v>
      </c>
      <c r="N1093" s="30" t="str">
        <f t="shared" si="27"/>
        <v>Selesai</v>
      </c>
      <c r="O1093" s="45">
        <f t="shared" si="23"/>
        <v>45702.46556</v>
      </c>
      <c r="P1093" s="47" t="b">
        <v>1</v>
      </c>
      <c r="Q1093" s="36">
        <f t="shared" si="24"/>
        <v>45702.4659</v>
      </c>
      <c r="R1093" s="47" t="b">
        <v>0</v>
      </c>
      <c r="S1093" s="42" t="str">
        <f t="shared" si="25"/>
        <v/>
      </c>
      <c r="T1093" s="42"/>
    </row>
    <row r="1094" ht="22.5" customHeight="1">
      <c r="B1094" s="42">
        <f t="shared" si="7"/>
        <v>1088</v>
      </c>
      <c r="C1094" s="31" t="s">
        <v>1222</v>
      </c>
      <c r="D1094" s="34" t="str">
        <f t="array" ref="D1094">IFNA(_xlfn.XLOOKUP(C1094,Table_Tarikan_Warkah[Nomor Sertipikat],Table_Tarikan_Warkah[Nomor Tiket]),"")</f>
        <v>K/26/110225/2</v>
      </c>
      <c r="E1094" s="36">
        <f t="array" ref="E1094">IFNA(_xlfn.XLOOKUP(D1094,Table_Tarikan_Warkah[Nomor Tiket],Table_Tarikan_Warkah[Tanggal diserahkan kepada Validator]),"")</f>
        <v>45722.49738</v>
      </c>
      <c r="F1094" s="36" t="str">
        <f t="array" ref="F1094">IFNA(_xlfn.XLOOKUP(D1094,Table_Tarikan_Warkah[Nomor Tiket],Table_Tarikan_Warkah[Nama Petugas Warkah]),"")</f>
        <v/>
      </c>
      <c r="G1094" s="39" t="str">
        <f t="array" ref="G1094">IFNA(_xlfn.XLOOKUP(D1094,Table_Tarikan_Warkah[Nomor Tiket],Table_Tarikan_Warkah[Jenis Permohonan]),"")</f>
        <v>ROYA</v>
      </c>
      <c r="H1094" s="41" t="s">
        <v>11</v>
      </c>
      <c r="I1094" s="41" t="s">
        <v>23</v>
      </c>
      <c r="J1094" s="36">
        <f t="shared" si="20"/>
        <v>45701.6422</v>
      </c>
      <c r="K1094" s="49" t="s">
        <v>197</v>
      </c>
      <c r="L1094" s="49" t="s">
        <v>23</v>
      </c>
      <c r="M1094" s="36">
        <f t="shared" si="26"/>
        <v>45702.46556</v>
      </c>
      <c r="N1094" s="30" t="str">
        <f t="shared" si="27"/>
        <v>Selesai</v>
      </c>
      <c r="O1094" s="45">
        <f t="shared" si="23"/>
        <v>45702.46556</v>
      </c>
      <c r="P1094" s="47" t="b">
        <v>1</v>
      </c>
      <c r="Q1094" s="36">
        <f t="shared" si="24"/>
        <v>45702.46597</v>
      </c>
      <c r="R1094" s="47" t="b">
        <v>0</v>
      </c>
      <c r="S1094" s="42" t="str">
        <f t="shared" si="25"/>
        <v/>
      </c>
      <c r="T1094" s="42"/>
    </row>
    <row r="1095" ht="22.5" customHeight="1">
      <c r="B1095" s="42">
        <f t="shared" si="7"/>
        <v>1089</v>
      </c>
      <c r="C1095" s="31" t="s">
        <v>1223</v>
      </c>
      <c r="D1095" s="34" t="str">
        <f t="array" ref="D1095">IFNA(_xlfn.XLOOKUP(C1095,Table_Tarikan_Warkah[Nomor Sertipikat],Table_Tarikan_Warkah[Nomor Tiket]),"")</f>
        <v>K/21/040225/1</v>
      </c>
      <c r="E1095" s="36">
        <f t="array" ref="E1095">IFNA(_xlfn.XLOOKUP(D1095,Table_Tarikan_Warkah[Nomor Tiket],Table_Tarikan_Warkah[Tanggal diserahkan kepada Validator]),"")</f>
        <v>45706.45225</v>
      </c>
      <c r="F1095" s="36" t="str">
        <f t="array" ref="F1095">IFNA(_xlfn.XLOOKUP(D1095,Table_Tarikan_Warkah[Nomor Tiket],Table_Tarikan_Warkah[Nama Petugas Warkah]),"")</f>
        <v/>
      </c>
      <c r="G1095" s="39" t="str">
        <f t="array" ref="G1095">IFNA(_xlfn.XLOOKUP(D1095,Table_Tarikan_Warkah[Nomor Tiket],Table_Tarikan_Warkah[Jenis Permohonan]),"")</f>
        <v>BN Jual Beli</v>
      </c>
      <c r="H1095" s="41" t="s">
        <v>11</v>
      </c>
      <c r="I1095" s="41" t="s">
        <v>23</v>
      </c>
      <c r="J1095" s="36">
        <f t="shared" si="20"/>
        <v>45701.6422</v>
      </c>
      <c r="K1095" s="41" t="s">
        <v>197</v>
      </c>
      <c r="L1095" s="49" t="s">
        <v>23</v>
      </c>
      <c r="M1095" s="36">
        <f t="shared" si="26"/>
        <v>45702.46556</v>
      </c>
      <c r="N1095" s="30" t="str">
        <f t="shared" si="27"/>
        <v>Selesai</v>
      </c>
      <c r="O1095" s="45">
        <f t="shared" si="23"/>
        <v>45702.46556</v>
      </c>
      <c r="P1095" s="47" t="b">
        <v>1</v>
      </c>
      <c r="Q1095" s="36">
        <f t="shared" si="24"/>
        <v>45702.46597</v>
      </c>
      <c r="R1095" s="47" t="b">
        <v>0</v>
      </c>
      <c r="S1095" s="42" t="str">
        <f t="shared" si="25"/>
        <v/>
      </c>
      <c r="T1095" s="42"/>
    </row>
    <row r="1096" ht="22.5" customHeight="1">
      <c r="B1096" s="42">
        <f t="shared" si="7"/>
        <v>1090</v>
      </c>
      <c r="C1096" s="31" t="s">
        <v>1224</v>
      </c>
      <c r="D1096" s="34" t="str">
        <f t="array" ref="D1096">IFNA(_xlfn.XLOOKUP(C1096,Table_Tarikan_Warkah[Nomor Sertipikat],Table_Tarikan_Warkah[Nomor Tiket]),"")</f>
        <v>K/11/030225/1</v>
      </c>
      <c r="E1096" s="36">
        <f t="array" ref="E1096">IFNA(_xlfn.XLOOKUP(D1096,Table_Tarikan_Warkah[Nomor Tiket],Table_Tarikan_Warkah[Tanggal diserahkan kepada Validator]),"")</f>
        <v>45706.4555</v>
      </c>
      <c r="F1096" s="36" t="str">
        <f t="array" ref="F1096">IFNA(_xlfn.XLOOKUP(D1096,Table_Tarikan_Warkah[Nomor Tiket],Table_Tarikan_Warkah[Nama Petugas Warkah]),"")</f>
        <v/>
      </c>
      <c r="G1096" s="39" t="str">
        <f t="array" ref="G1096">IFNA(_xlfn.XLOOKUP(D1096,Table_Tarikan_Warkah[Nomor Tiket],Table_Tarikan_Warkah[Jenis Permohonan]),"")</f>
        <v>BN WARIS</v>
      </c>
      <c r="H1096" s="41" t="s">
        <v>11</v>
      </c>
      <c r="I1096" s="41" t="s">
        <v>23</v>
      </c>
      <c r="J1096" s="36">
        <f t="shared" si="20"/>
        <v>45701.6422</v>
      </c>
      <c r="K1096" s="49" t="s">
        <v>197</v>
      </c>
      <c r="L1096" s="49" t="s">
        <v>23</v>
      </c>
      <c r="M1096" s="36">
        <f t="shared" si="26"/>
        <v>45702.46556</v>
      </c>
      <c r="N1096" s="30" t="str">
        <f t="shared" si="27"/>
        <v>Selesai</v>
      </c>
      <c r="O1096" s="45">
        <f t="shared" si="23"/>
        <v>45702.46556</v>
      </c>
      <c r="P1096" s="47" t="b">
        <v>1</v>
      </c>
      <c r="Q1096" s="36">
        <f t="shared" si="24"/>
        <v>45702.46597</v>
      </c>
      <c r="R1096" s="47" t="b">
        <v>0</v>
      </c>
      <c r="S1096" s="42" t="str">
        <f t="shared" si="25"/>
        <v/>
      </c>
      <c r="T1096" s="42"/>
    </row>
    <row r="1097" ht="22.5" customHeight="1">
      <c r="B1097" s="42">
        <f t="shared" si="7"/>
        <v>1091</v>
      </c>
      <c r="C1097" s="31" t="s">
        <v>1225</v>
      </c>
      <c r="D1097" s="34" t="str">
        <f t="array" ref="D1097">IFNA(_xlfn.XLOOKUP(C1097,Table_Tarikan_Warkah[Nomor Sertipikat],Table_Tarikan_Warkah[Nomor Tiket]),"")</f>
        <v>K/5/100225/1</v>
      </c>
      <c r="E1097" s="36">
        <f t="array" ref="E1097">IFNA(_xlfn.XLOOKUP(D1097,Table_Tarikan_Warkah[Nomor Tiket],Table_Tarikan_Warkah[Tanggal diserahkan kepada Validator]),"")</f>
        <v>45730.60895</v>
      </c>
      <c r="F1097" s="36" t="str">
        <f t="array" ref="F1097">IFNA(_xlfn.XLOOKUP(D1097,Table_Tarikan_Warkah[Nomor Tiket],Table_Tarikan_Warkah[Nama Petugas Warkah]),"")</f>
        <v/>
      </c>
      <c r="G1097" s="39" t="str">
        <f t="array" ref="G1097">IFNA(_xlfn.XLOOKUP(D1097,Table_Tarikan_Warkah[Nomor Tiket],Table_Tarikan_Warkah[Jenis Permohonan]),"")</f>
        <v>ROYA</v>
      </c>
      <c r="H1097" s="41" t="s">
        <v>11</v>
      </c>
      <c r="I1097" s="41" t="s">
        <v>23</v>
      </c>
      <c r="J1097" s="36">
        <f t="shared" si="20"/>
        <v>45701.6422</v>
      </c>
      <c r="K1097" s="49" t="s">
        <v>197</v>
      </c>
      <c r="L1097" s="49" t="s">
        <v>23</v>
      </c>
      <c r="M1097" s="36">
        <f t="shared" si="26"/>
        <v>45702.46561</v>
      </c>
      <c r="N1097" s="30" t="str">
        <f t="shared" si="27"/>
        <v>Selesai</v>
      </c>
      <c r="O1097" s="45">
        <f t="shared" si="23"/>
        <v>45702.46561</v>
      </c>
      <c r="P1097" s="47" t="b">
        <v>1</v>
      </c>
      <c r="Q1097" s="36">
        <f t="shared" si="24"/>
        <v>45702.46597</v>
      </c>
      <c r="R1097" s="47" t="b">
        <v>0</v>
      </c>
      <c r="S1097" s="42" t="str">
        <f t="shared" si="25"/>
        <v/>
      </c>
      <c r="T1097" s="42"/>
    </row>
    <row r="1098" ht="22.5" customHeight="1">
      <c r="B1098" s="42">
        <f t="shared" si="7"/>
        <v>1092</v>
      </c>
      <c r="C1098" s="31" t="s">
        <v>1226</v>
      </c>
      <c r="D1098" s="34" t="str">
        <f t="array" ref="D1098">IFNA(_xlfn.XLOOKUP(C1098,Table_Tarikan_Warkah[Nomor Sertipikat],Table_Tarikan_Warkah[Nomor Tiket]),"")</f>
        <v>K/39/100225/1</v>
      </c>
      <c r="E1098" s="36">
        <f t="array" ref="E1098">IFNA(_xlfn.XLOOKUP(D1098,Table_Tarikan_Warkah[Nomor Tiket],Table_Tarikan_Warkah[Tanggal diserahkan kepada Validator]),"")</f>
        <v>45707.67246</v>
      </c>
      <c r="F1098" s="36" t="str">
        <f t="array" ref="F1098">IFNA(_xlfn.XLOOKUP(D1098,Table_Tarikan_Warkah[Nomor Tiket],Table_Tarikan_Warkah[Nama Petugas Warkah]),"")</f>
        <v/>
      </c>
      <c r="G1098" s="39" t="str">
        <f t="array" ref="G1098">IFNA(_xlfn.XLOOKUP(D1098,Table_Tarikan_Warkah[Nomor Tiket],Table_Tarikan_Warkah[Jenis Permohonan]),"")</f>
        <v>BN JUAL BELI</v>
      </c>
      <c r="H1098" s="41" t="s">
        <v>11</v>
      </c>
      <c r="I1098" s="41" t="s">
        <v>23</v>
      </c>
      <c r="J1098" s="36">
        <f t="shared" si="20"/>
        <v>45701.6422</v>
      </c>
      <c r="K1098" s="49" t="s">
        <v>197</v>
      </c>
      <c r="L1098" s="49" t="s">
        <v>23</v>
      </c>
      <c r="M1098" s="36">
        <f t="shared" si="26"/>
        <v>45702.46561</v>
      </c>
      <c r="N1098" s="30" t="str">
        <f t="shared" si="27"/>
        <v>Selesai</v>
      </c>
      <c r="O1098" s="45">
        <f t="shared" si="23"/>
        <v>45702.46561</v>
      </c>
      <c r="P1098" s="47" t="b">
        <v>1</v>
      </c>
      <c r="Q1098" s="36">
        <f t="shared" si="24"/>
        <v>45702.46597</v>
      </c>
      <c r="R1098" s="47" t="b">
        <v>0</v>
      </c>
      <c r="S1098" s="42" t="str">
        <f t="shared" si="25"/>
        <v/>
      </c>
      <c r="T1098" s="42"/>
    </row>
    <row r="1099" ht="22.5" customHeight="1">
      <c r="B1099" s="42">
        <f t="shared" si="7"/>
        <v>1093</v>
      </c>
      <c r="C1099" s="31" t="s">
        <v>1227</v>
      </c>
      <c r="D1099" s="34" t="str">
        <f t="array" ref="D1099">IFNA(_xlfn.XLOOKUP(C1099,Table_Tarikan_Warkah[Nomor Sertipikat],Table_Tarikan_Warkah[Nomor Tiket]),"")</f>
        <v>K/54/100225/1</v>
      </c>
      <c r="E1099" s="36">
        <f t="array" ref="E1099">IFNA(_xlfn.XLOOKUP(D1099,Table_Tarikan_Warkah[Nomor Tiket],Table_Tarikan_Warkah[Tanggal diserahkan kepada Validator]),"")</f>
        <v>45707.67266</v>
      </c>
      <c r="F1099" s="36" t="str">
        <f t="array" ref="F1099">IFNA(_xlfn.XLOOKUP(D1099,Table_Tarikan_Warkah[Nomor Tiket],Table_Tarikan_Warkah[Nama Petugas Warkah]),"")</f>
        <v/>
      </c>
      <c r="G1099" s="39" t="str">
        <f t="array" ref="G1099">IFNA(_xlfn.XLOOKUP(D1099,Table_Tarikan_Warkah[Nomor Tiket],Table_Tarikan_Warkah[Jenis Permohonan]),"")</f>
        <v>BN WARIS</v>
      </c>
      <c r="H1099" s="41" t="s">
        <v>11</v>
      </c>
      <c r="I1099" s="41" t="s">
        <v>23</v>
      </c>
      <c r="J1099" s="36">
        <f t="shared" si="20"/>
        <v>45701.6422</v>
      </c>
      <c r="K1099" s="49" t="s">
        <v>197</v>
      </c>
      <c r="L1099" s="49" t="s">
        <v>23</v>
      </c>
      <c r="M1099" s="36">
        <f t="shared" si="26"/>
        <v>45702.46561</v>
      </c>
      <c r="N1099" s="30" t="str">
        <f t="shared" si="27"/>
        <v>Selesai</v>
      </c>
      <c r="O1099" s="45">
        <f t="shared" si="23"/>
        <v>45702.46561</v>
      </c>
      <c r="P1099" s="47" t="b">
        <v>1</v>
      </c>
      <c r="Q1099" s="36">
        <f t="shared" si="24"/>
        <v>45702.46597</v>
      </c>
      <c r="R1099" s="47" t="b">
        <v>0</v>
      </c>
      <c r="S1099" s="42" t="str">
        <f t="shared" si="25"/>
        <v/>
      </c>
      <c r="T1099" s="42"/>
    </row>
    <row r="1100" ht="22.5" customHeight="1">
      <c r="B1100" s="42">
        <f t="shared" si="7"/>
        <v>1094</v>
      </c>
      <c r="C1100" s="31" t="s">
        <v>1228</v>
      </c>
      <c r="D1100" s="34" t="str">
        <f t="array" ref="D1100">IFNA(_xlfn.XLOOKUP(C1100,Table_Tarikan_Warkah[Nomor Sertipikat],Table_Tarikan_Warkah[Nomor Tiket]),"")</f>
        <v>K/13/050225/3</v>
      </c>
      <c r="E1100" s="36">
        <f t="array" ref="E1100">IFNA(_xlfn.XLOOKUP(D1100,Table_Tarikan_Warkah[Nomor Tiket],Table_Tarikan_Warkah[Tanggal diserahkan kepada Validator]),"")</f>
        <v>45707.67137</v>
      </c>
      <c r="F1100" s="36" t="str">
        <f t="array" ref="F1100">IFNA(_xlfn.XLOOKUP(D1100,Table_Tarikan_Warkah[Nomor Tiket],Table_Tarikan_Warkah[Nama Petugas Warkah]),"")</f>
        <v/>
      </c>
      <c r="G1100" s="39" t="str">
        <f t="array" ref="G1100">IFNA(_xlfn.XLOOKUP(D1100,Table_Tarikan_Warkah[Nomor Tiket],Table_Tarikan_Warkah[Jenis Permohonan]),"")</f>
        <v>BN JUAL BELI</v>
      </c>
      <c r="H1100" s="41" t="s">
        <v>11</v>
      </c>
      <c r="I1100" s="41" t="s">
        <v>23</v>
      </c>
      <c r="J1100" s="36">
        <f t="shared" si="20"/>
        <v>45701.6422</v>
      </c>
      <c r="K1100" s="49" t="s">
        <v>197</v>
      </c>
      <c r="L1100" s="49" t="s">
        <v>23</v>
      </c>
      <c r="M1100" s="36">
        <f t="shared" si="26"/>
        <v>45702.46561</v>
      </c>
      <c r="N1100" s="30" t="str">
        <f t="shared" si="27"/>
        <v>Selesai</v>
      </c>
      <c r="O1100" s="45">
        <f t="shared" si="23"/>
        <v>45702.46561</v>
      </c>
      <c r="P1100" s="47" t="b">
        <v>1</v>
      </c>
      <c r="Q1100" s="36">
        <f t="shared" si="24"/>
        <v>45702.46604</v>
      </c>
      <c r="R1100" s="47" t="b">
        <v>0</v>
      </c>
      <c r="S1100" s="42" t="str">
        <f t="shared" si="25"/>
        <v/>
      </c>
      <c r="T1100" s="42"/>
    </row>
    <row r="1101" ht="22.5" customHeight="1">
      <c r="B1101" s="42">
        <f t="shared" si="7"/>
        <v>1095</v>
      </c>
      <c r="C1101" s="31" t="s">
        <v>1229</v>
      </c>
      <c r="D1101" s="34" t="str">
        <f t="array" ref="D1101">IFNA(_xlfn.XLOOKUP(C1101,Table_Tarikan_Warkah[Nomor Sertipikat],Table_Tarikan_Warkah[Nomor Tiket]),"")</f>
        <v>K/5/050225/2</v>
      </c>
      <c r="E1101" s="36">
        <f t="array" ref="E1101">IFNA(_xlfn.XLOOKUP(D1101,Table_Tarikan_Warkah[Nomor Tiket],Table_Tarikan_Warkah[Tanggal diserahkan kepada Validator]),"")</f>
        <v>45707.67183</v>
      </c>
      <c r="F1101" s="36" t="str">
        <f t="array" ref="F1101">IFNA(_xlfn.XLOOKUP(D1101,Table_Tarikan_Warkah[Nomor Tiket],Table_Tarikan_Warkah[Nama Petugas Warkah]),"")</f>
        <v/>
      </c>
      <c r="G1101" s="39" t="str">
        <f t="array" ref="G1101">IFNA(_xlfn.XLOOKUP(D1101,Table_Tarikan_Warkah[Nomor Tiket],Table_Tarikan_Warkah[Jenis Permohonan]),"")</f>
        <v>BN JUAL BELI</v>
      </c>
      <c r="H1101" s="41" t="s">
        <v>11</v>
      </c>
      <c r="I1101" s="41" t="s">
        <v>23</v>
      </c>
      <c r="J1101" s="36">
        <f t="shared" si="20"/>
        <v>45701.6422</v>
      </c>
      <c r="K1101" s="49" t="s">
        <v>197</v>
      </c>
      <c r="L1101" s="49" t="s">
        <v>23</v>
      </c>
      <c r="M1101" s="36">
        <f t="shared" si="26"/>
        <v>45702.46561</v>
      </c>
      <c r="N1101" s="30" t="str">
        <f t="shared" si="27"/>
        <v>Selesai</v>
      </c>
      <c r="O1101" s="45">
        <f t="shared" si="23"/>
        <v>45702.46561</v>
      </c>
      <c r="P1101" s="47" t="b">
        <v>1</v>
      </c>
      <c r="Q1101" s="36">
        <f t="shared" si="24"/>
        <v>45702.46604</v>
      </c>
      <c r="R1101" s="47" t="b">
        <v>0</v>
      </c>
      <c r="S1101" s="42" t="str">
        <f t="shared" si="25"/>
        <v/>
      </c>
      <c r="T1101" s="42"/>
    </row>
    <row r="1102" ht="22.5" customHeight="1">
      <c r="B1102" s="42">
        <f t="shared" si="7"/>
        <v>1096</v>
      </c>
      <c r="C1102" s="31" t="s">
        <v>1230</v>
      </c>
      <c r="D1102" s="34" t="str">
        <f t="array" ref="D1102">IFNA(_xlfn.XLOOKUP(C1102,Table_Tarikan_Warkah[Nomor Sertipikat],Table_Tarikan_Warkah[Nomor Tiket]),"")</f>
        <v>K/43/050225/1</v>
      </c>
      <c r="E1102" s="36">
        <f t="array" ref="E1102">IFNA(_xlfn.XLOOKUP(D1102,Table_Tarikan_Warkah[Nomor Tiket],Table_Tarikan_Warkah[Tanggal diserahkan kepada Validator]),"")</f>
        <v>45707.67115</v>
      </c>
      <c r="F1102" s="36" t="str">
        <f t="array" ref="F1102">IFNA(_xlfn.XLOOKUP(D1102,Table_Tarikan_Warkah[Nomor Tiket],Table_Tarikan_Warkah[Nama Petugas Warkah]),"")</f>
        <v/>
      </c>
      <c r="G1102" s="39" t="str">
        <f t="array" ref="G1102">IFNA(_xlfn.XLOOKUP(D1102,Table_Tarikan_Warkah[Nomor Tiket],Table_Tarikan_Warkah[Jenis Permohonan]),"")</f>
        <v>BN JUAL BELI</v>
      </c>
      <c r="H1102" s="41" t="s">
        <v>11</v>
      </c>
      <c r="I1102" s="41" t="s">
        <v>23</v>
      </c>
      <c r="J1102" s="36">
        <f t="shared" si="20"/>
        <v>45701.64222</v>
      </c>
      <c r="K1102" s="49" t="s">
        <v>197</v>
      </c>
      <c r="L1102" s="49" t="s">
        <v>23</v>
      </c>
      <c r="M1102" s="36">
        <f t="shared" si="26"/>
        <v>45702.46561</v>
      </c>
      <c r="N1102" s="30" t="str">
        <f t="shared" si="27"/>
        <v>Selesai</v>
      </c>
      <c r="O1102" s="45">
        <f t="shared" si="23"/>
        <v>45702.46561</v>
      </c>
      <c r="P1102" s="47" t="b">
        <v>1</v>
      </c>
      <c r="Q1102" s="36">
        <f t="shared" si="24"/>
        <v>45702.46604</v>
      </c>
      <c r="R1102" s="47" t="b">
        <v>0</v>
      </c>
      <c r="S1102" s="42" t="str">
        <f t="shared" si="25"/>
        <v/>
      </c>
      <c r="T1102" s="42"/>
    </row>
    <row r="1103" ht="22.5" customHeight="1">
      <c r="B1103" s="42">
        <f t="shared" si="7"/>
        <v>1097</v>
      </c>
      <c r="C1103" s="31" t="s">
        <v>1231</v>
      </c>
      <c r="D1103" s="34" t="str">
        <f t="array" ref="D1103">IFNA(_xlfn.XLOOKUP(C1103,Table_Tarikan_Warkah[Nomor Sertipikat],Table_Tarikan_Warkah[Nomor Tiket]),"")</f>
        <v>K/28/060225/1</v>
      </c>
      <c r="E1103" s="36">
        <f t="array" ref="E1103">IFNA(_xlfn.XLOOKUP(D1103,Table_Tarikan_Warkah[Nomor Tiket],Table_Tarikan_Warkah[Tanggal diserahkan kepada Validator]),"")</f>
        <v>45707.67096</v>
      </c>
      <c r="F1103" s="36" t="str">
        <f t="array" ref="F1103">IFNA(_xlfn.XLOOKUP(D1103,Table_Tarikan_Warkah[Nomor Tiket],Table_Tarikan_Warkah[Nama Petugas Warkah]),"")</f>
        <v/>
      </c>
      <c r="G1103" s="39" t="str">
        <f t="array" ref="G1103">IFNA(_xlfn.XLOOKUP(D1103,Table_Tarikan_Warkah[Nomor Tiket],Table_Tarikan_Warkah[Jenis Permohonan]),"")</f>
        <v>BN JUAL BELI</v>
      </c>
      <c r="H1103" s="41" t="s">
        <v>11</v>
      </c>
      <c r="I1103" s="41" t="s">
        <v>23</v>
      </c>
      <c r="J1103" s="36">
        <f t="shared" si="20"/>
        <v>45701.64222</v>
      </c>
      <c r="K1103" s="41" t="s">
        <v>197</v>
      </c>
      <c r="L1103" s="49" t="s">
        <v>23</v>
      </c>
      <c r="M1103" s="36">
        <f t="shared" si="26"/>
        <v>45702.46561</v>
      </c>
      <c r="N1103" s="30" t="str">
        <f t="shared" si="27"/>
        <v>Selesai</v>
      </c>
      <c r="O1103" s="45">
        <f t="shared" si="23"/>
        <v>45702.46561</v>
      </c>
      <c r="P1103" s="47" t="b">
        <v>1</v>
      </c>
      <c r="Q1103" s="36">
        <f t="shared" si="24"/>
        <v>45702.46604</v>
      </c>
      <c r="R1103" s="47" t="b">
        <v>0</v>
      </c>
      <c r="S1103" s="42" t="str">
        <f t="shared" si="25"/>
        <v/>
      </c>
      <c r="T1103" s="42"/>
    </row>
    <row r="1104" ht="22.5" customHeight="1">
      <c r="B1104" s="42">
        <f t="shared" si="7"/>
        <v>1098</v>
      </c>
      <c r="C1104" s="31" t="s">
        <v>1232</v>
      </c>
      <c r="D1104" s="34" t="str">
        <f t="array" ref="D1104">IFNA(_xlfn.XLOOKUP(C1104,Table_Tarikan_Warkah[Nomor Sertipikat],Table_Tarikan_Warkah[Nomor Tiket]),"")</f>
        <v>K/24/100225/2</v>
      </c>
      <c r="E1104" s="36">
        <f t="array" ref="E1104">IFNA(_xlfn.XLOOKUP(D1104,Table_Tarikan_Warkah[Nomor Tiket],Table_Tarikan_Warkah[Tanggal diserahkan kepada Validator]),"")</f>
        <v>45727.52132</v>
      </c>
      <c r="F1104" s="36" t="str">
        <f t="array" ref="F1104">IFNA(_xlfn.XLOOKUP(D1104,Table_Tarikan_Warkah[Nomor Tiket],Table_Tarikan_Warkah[Nama Petugas Warkah]),"")</f>
        <v/>
      </c>
      <c r="G1104" s="39" t="str">
        <f t="array" ref="G1104">IFNA(_xlfn.XLOOKUP(D1104,Table_Tarikan_Warkah[Nomor Tiket],Table_Tarikan_Warkah[Jenis Permohonan]),"")</f>
        <v>ROYA</v>
      </c>
      <c r="H1104" s="41" t="s">
        <v>11</v>
      </c>
      <c r="I1104" s="41" t="s">
        <v>23</v>
      </c>
      <c r="J1104" s="36">
        <f t="shared" si="20"/>
        <v>45701.64222</v>
      </c>
      <c r="K1104" s="49" t="s">
        <v>197</v>
      </c>
      <c r="L1104" s="49" t="s">
        <v>23</v>
      </c>
      <c r="M1104" s="36">
        <f t="shared" si="26"/>
        <v>45702.46561</v>
      </c>
      <c r="N1104" s="30" t="str">
        <f t="shared" si="27"/>
        <v>Selesai</v>
      </c>
      <c r="O1104" s="45">
        <f t="shared" si="23"/>
        <v>45702.46561</v>
      </c>
      <c r="P1104" s="47" t="b">
        <v>1</v>
      </c>
      <c r="Q1104" s="36">
        <f t="shared" si="24"/>
        <v>45702.46604</v>
      </c>
      <c r="R1104" s="47" t="b">
        <v>0</v>
      </c>
      <c r="S1104" s="42" t="str">
        <f t="shared" si="25"/>
        <v/>
      </c>
      <c r="T1104" s="42"/>
    </row>
    <row r="1105" ht="22.5" customHeight="1">
      <c r="B1105" s="42">
        <f t="shared" si="7"/>
        <v>1099</v>
      </c>
      <c r="C1105" s="31" t="s">
        <v>1233</v>
      </c>
      <c r="D1105" s="34" t="str">
        <f t="array" ref="D1105">IFNA(_xlfn.XLOOKUP(C1105,Table_Tarikan_Warkah[Nomor Sertipikat],Table_Tarikan_Warkah[Nomor Tiket]),"")</f>
        <v>K/27/100225/1</v>
      </c>
      <c r="E1105" s="36">
        <f t="array" ref="E1105">IFNA(_xlfn.XLOOKUP(D1105,Table_Tarikan_Warkah[Nomor Tiket],Table_Tarikan_Warkah[Tanggal diserahkan kepada Validator]),"")</f>
        <v>45707.67154</v>
      </c>
      <c r="F1105" s="36" t="str">
        <f t="array" ref="F1105">IFNA(_xlfn.XLOOKUP(D1105,Table_Tarikan_Warkah[Nomor Tiket],Table_Tarikan_Warkah[Nama Petugas Warkah]),"")</f>
        <v/>
      </c>
      <c r="G1105" s="39" t="str">
        <f t="array" ref="G1105">IFNA(_xlfn.XLOOKUP(D1105,Table_Tarikan_Warkah[Nomor Tiket],Table_Tarikan_Warkah[Jenis Permohonan]),"")</f>
        <v>BN JUAL BELI</v>
      </c>
      <c r="H1105" s="41" t="s">
        <v>11</v>
      </c>
      <c r="I1105" s="41" t="s">
        <v>23</v>
      </c>
      <c r="J1105" s="36">
        <f t="shared" si="20"/>
        <v>45701.64222</v>
      </c>
      <c r="K1105" s="49" t="s">
        <v>197</v>
      </c>
      <c r="L1105" s="49" t="s">
        <v>23</v>
      </c>
      <c r="M1105" s="36">
        <f t="shared" si="26"/>
        <v>45702.46565</v>
      </c>
      <c r="N1105" s="30" t="str">
        <f t="shared" si="27"/>
        <v>Selesai</v>
      </c>
      <c r="O1105" s="45">
        <f t="shared" si="23"/>
        <v>45702.46565</v>
      </c>
      <c r="P1105" s="47" t="b">
        <v>1</v>
      </c>
      <c r="Q1105" s="36">
        <f t="shared" si="24"/>
        <v>45702.46604</v>
      </c>
      <c r="R1105" s="47" t="b">
        <v>0</v>
      </c>
      <c r="S1105" s="42" t="str">
        <f t="shared" si="25"/>
        <v/>
      </c>
      <c r="T1105" s="42"/>
    </row>
    <row r="1106" ht="22.5" customHeight="1">
      <c r="B1106" s="42">
        <f t="shared" si="7"/>
        <v>1100</v>
      </c>
      <c r="C1106" s="31" t="s">
        <v>1234</v>
      </c>
      <c r="D1106" s="34" t="str">
        <f t="array" ref="D1106">IFNA(_xlfn.XLOOKUP(C1106,Table_Tarikan_Warkah[Nomor Sertipikat],Table_Tarikan_Warkah[Nomor Tiket]),"")</f>
        <v>K/40/100225/2</v>
      </c>
      <c r="E1106" s="36" t="str">
        <f t="array" ref="E1106">IFNA(_xlfn.XLOOKUP(D1106,Table_Tarikan_Warkah[Nomor Tiket],Table_Tarikan_Warkah[Tanggal diserahkan kepada Validator]),"")</f>
        <v/>
      </c>
      <c r="F1106" s="36" t="str">
        <f t="array" ref="F1106">IFNA(_xlfn.XLOOKUP(D1106,Table_Tarikan_Warkah[Nomor Tiket],Table_Tarikan_Warkah[Nama Petugas Warkah]),"")</f>
        <v/>
      </c>
      <c r="G1106" s="39" t="str">
        <f t="array" ref="G1106">IFNA(_xlfn.XLOOKUP(D1106,Table_Tarikan_Warkah[Nomor Tiket],Table_Tarikan_Warkah[Jenis Permohonan]),"")</f>
        <v>HAPUS BPHTB</v>
      </c>
      <c r="H1106" s="41" t="s">
        <v>11</v>
      </c>
      <c r="I1106" s="41" t="s">
        <v>23</v>
      </c>
      <c r="J1106" s="36">
        <f t="shared" si="20"/>
        <v>45701.64222</v>
      </c>
      <c r="K1106" s="49" t="s">
        <v>197</v>
      </c>
      <c r="L1106" s="49" t="s">
        <v>23</v>
      </c>
      <c r="M1106" s="36">
        <f t="shared" si="26"/>
        <v>45702.46565</v>
      </c>
      <c r="N1106" s="30" t="str">
        <f t="shared" si="27"/>
        <v>Selesai</v>
      </c>
      <c r="O1106" s="45">
        <f t="shared" si="23"/>
        <v>45702.46565</v>
      </c>
      <c r="P1106" s="47" t="b">
        <v>1</v>
      </c>
      <c r="Q1106" s="36">
        <f t="shared" si="24"/>
        <v>45702.46604</v>
      </c>
      <c r="R1106" s="47" t="b">
        <v>0</v>
      </c>
      <c r="S1106" s="42" t="str">
        <f t="shared" si="25"/>
        <v/>
      </c>
      <c r="T1106" s="42"/>
    </row>
    <row r="1107" ht="22.5" customHeight="1">
      <c r="B1107" s="42">
        <f t="shared" si="7"/>
        <v>1101</v>
      </c>
      <c r="C1107" s="31" t="s">
        <v>1235</v>
      </c>
      <c r="D1107" s="34" t="str">
        <f t="array" ref="D1107">IFNA(_xlfn.XLOOKUP(C1107,Table_Tarikan_Warkah[Nomor Sertipikat],Table_Tarikan_Warkah[Nomor Tiket]),"")</f>
        <v>K/30/110225/1</v>
      </c>
      <c r="E1107" s="36">
        <f t="array" ref="E1107">IFNA(_xlfn.XLOOKUP(D1107,Table_Tarikan_Warkah[Nomor Tiket],Table_Tarikan_Warkah[Tanggal diserahkan kepada Validator]),"")</f>
        <v>45708.46788</v>
      </c>
      <c r="F1107" s="36" t="str">
        <f t="array" ref="F1107">IFNA(_xlfn.XLOOKUP(D1107,Table_Tarikan_Warkah[Nomor Tiket],Table_Tarikan_Warkah[Nama Petugas Warkah]),"")</f>
        <v/>
      </c>
      <c r="G1107" s="39" t="str">
        <f t="array" ref="G1107">IFNA(_xlfn.XLOOKUP(D1107,Table_Tarikan_Warkah[Nomor Tiket],Table_Tarikan_Warkah[Jenis Permohonan]),"")</f>
        <v>BN Jual Bli</v>
      </c>
      <c r="H1107" s="41" t="s">
        <v>11</v>
      </c>
      <c r="I1107" s="41" t="s">
        <v>23</v>
      </c>
      <c r="J1107" s="36">
        <f t="shared" si="20"/>
        <v>45701.64222</v>
      </c>
      <c r="K1107" s="49" t="s">
        <v>197</v>
      </c>
      <c r="L1107" s="49" t="s">
        <v>23</v>
      </c>
      <c r="M1107" s="36">
        <f t="shared" si="26"/>
        <v>45702.46565</v>
      </c>
      <c r="N1107" s="30" t="str">
        <f t="shared" si="27"/>
        <v>Selesai</v>
      </c>
      <c r="O1107" s="45">
        <f t="shared" si="23"/>
        <v>45702.46565</v>
      </c>
      <c r="P1107" s="47" t="b">
        <v>1</v>
      </c>
      <c r="Q1107" s="36">
        <f t="shared" si="24"/>
        <v>45702.46604</v>
      </c>
      <c r="R1107" s="47" t="b">
        <v>0</v>
      </c>
      <c r="S1107" s="42" t="str">
        <f t="shared" si="25"/>
        <v/>
      </c>
      <c r="T1107" s="42"/>
    </row>
    <row r="1108" ht="22.5" customHeight="1">
      <c r="B1108" s="42">
        <f t="shared" si="7"/>
        <v>1102</v>
      </c>
      <c r="C1108" s="31" t="s">
        <v>1236</v>
      </c>
      <c r="D1108" s="34" t="str">
        <f t="array" ref="D1108">IFNA(_xlfn.XLOOKUP(C1108,Table_Tarikan_Warkah[Nomor Sertipikat],Table_Tarikan_Warkah[Nomor Tiket]),"")</f>
        <v>K/23/110225/1</v>
      </c>
      <c r="E1108" s="36">
        <f t="array" ref="E1108">IFNA(_xlfn.XLOOKUP(D1108,Table_Tarikan_Warkah[Nomor Tiket],Table_Tarikan_Warkah[Tanggal diserahkan kepada Validator]),"")</f>
        <v>45706.45164</v>
      </c>
      <c r="F1108" s="36" t="str">
        <f t="array" ref="F1108">IFNA(_xlfn.XLOOKUP(D1108,Table_Tarikan_Warkah[Nomor Tiket],Table_Tarikan_Warkah[Nama Petugas Warkah]),"")</f>
        <v/>
      </c>
      <c r="G1108" s="39" t="str">
        <f t="array" ref="G1108">IFNA(_xlfn.XLOOKUP(D1108,Table_Tarikan_Warkah[Nomor Tiket],Table_Tarikan_Warkah[Jenis Permohonan]),"")</f>
        <v>BN Jual Beli</v>
      </c>
      <c r="H1108" s="41" t="s">
        <v>11</v>
      </c>
      <c r="I1108" s="41" t="s">
        <v>23</v>
      </c>
      <c r="J1108" s="36">
        <f t="shared" si="20"/>
        <v>45701.64226</v>
      </c>
      <c r="K1108" s="49" t="s">
        <v>197</v>
      </c>
      <c r="L1108" s="49" t="s">
        <v>23</v>
      </c>
      <c r="M1108" s="36">
        <f t="shared" si="26"/>
        <v>45702.46565</v>
      </c>
      <c r="N1108" s="30" t="str">
        <f t="shared" si="27"/>
        <v>Selesai</v>
      </c>
      <c r="O1108" s="45">
        <f t="shared" si="23"/>
        <v>45702.46565</v>
      </c>
      <c r="P1108" s="47" t="b">
        <v>1</v>
      </c>
      <c r="Q1108" s="36">
        <f t="shared" si="24"/>
        <v>45702.46604</v>
      </c>
      <c r="R1108" s="47" t="b">
        <v>0</v>
      </c>
      <c r="S1108" s="42" t="str">
        <f t="shared" si="25"/>
        <v/>
      </c>
      <c r="T1108" s="42"/>
    </row>
    <row r="1109" ht="22.5" customHeight="1">
      <c r="B1109" s="42">
        <f t="shared" si="7"/>
        <v>1103</v>
      </c>
      <c r="C1109" s="31" t="s">
        <v>1237</v>
      </c>
      <c r="D1109" s="42" t="s">
        <v>1238</v>
      </c>
      <c r="E1109" s="36">
        <f t="array" ref="E1109">IFNA(_xlfn.XLOOKUP(D1109,Table_Tarikan_Warkah[Nomor Tiket],Table_Tarikan_Warkah[Tanggal diserahkan kepada Validator]),"")</f>
        <v>45706.45004</v>
      </c>
      <c r="F1109" s="36" t="str">
        <f t="array" ref="F1109">IFNA(_xlfn.XLOOKUP(D1109,Table_Tarikan_Warkah[Nomor Tiket],Table_Tarikan_Warkah[Nama Petugas Warkah]),"")</f>
        <v/>
      </c>
      <c r="G1109" s="39" t="str">
        <f t="array" ref="G1109">IFNA(_xlfn.XLOOKUP(D1109,Table_Tarikan_Warkah[Nomor Tiket],Table_Tarikan_Warkah[Jenis Permohonan]),"")</f>
        <v>BN Jual Beli</v>
      </c>
      <c r="H1109" s="41" t="s">
        <v>11</v>
      </c>
      <c r="I1109" s="41" t="s">
        <v>23</v>
      </c>
      <c r="J1109" s="36">
        <f t="shared" si="20"/>
        <v>45701.64226</v>
      </c>
      <c r="K1109" s="49" t="s">
        <v>197</v>
      </c>
      <c r="L1109" s="49" t="s">
        <v>23</v>
      </c>
      <c r="M1109" s="36">
        <f t="shared" si="26"/>
        <v>45702.46565</v>
      </c>
      <c r="N1109" s="30" t="str">
        <f t="shared" si="27"/>
        <v>Selesai</v>
      </c>
      <c r="O1109" s="45">
        <f t="shared" si="23"/>
        <v>45702.46565</v>
      </c>
      <c r="P1109" s="47" t="b">
        <v>1</v>
      </c>
      <c r="Q1109" s="36">
        <f t="shared" si="24"/>
        <v>45702.46604</v>
      </c>
      <c r="R1109" s="47" t="b">
        <v>0</v>
      </c>
      <c r="S1109" s="42" t="str">
        <f t="shared" si="25"/>
        <v/>
      </c>
      <c r="T1109" s="42"/>
    </row>
    <row r="1110" ht="22.5" customHeight="1">
      <c r="B1110" s="42">
        <f t="shared" si="7"/>
        <v>1104</v>
      </c>
      <c r="C1110" s="31" t="s">
        <v>1239</v>
      </c>
      <c r="D1110" s="34" t="str">
        <f t="array" ref="D1110">IFNA(_xlfn.XLOOKUP(C1110,Table_Tarikan_Warkah[Nomor Sertipikat],Table_Tarikan_Warkah[Nomor Tiket]),"")</f>
        <v>K/25/070225/1</v>
      </c>
      <c r="E1110" s="36">
        <f t="array" ref="E1110">IFNA(_xlfn.XLOOKUP(D1110,Table_Tarikan_Warkah[Nomor Tiket],Table_Tarikan_Warkah[Tanggal diserahkan kepada Validator]),"")</f>
        <v>45706.44981</v>
      </c>
      <c r="F1110" s="36" t="str">
        <f t="array" ref="F1110">IFNA(_xlfn.XLOOKUP(D1110,Table_Tarikan_Warkah[Nomor Tiket],Table_Tarikan_Warkah[Nama Petugas Warkah]),"")</f>
        <v/>
      </c>
      <c r="G1110" s="39" t="str">
        <f t="array" ref="G1110">IFNA(_xlfn.XLOOKUP(D1110,Table_Tarikan_Warkah[Nomor Tiket],Table_Tarikan_Warkah[Jenis Permohonan]),"")</f>
        <v>BN Jual Beli</v>
      </c>
      <c r="H1110" s="41" t="s">
        <v>11</v>
      </c>
      <c r="I1110" s="41" t="s">
        <v>23</v>
      </c>
      <c r="J1110" s="36">
        <f t="shared" si="20"/>
        <v>45701.64226</v>
      </c>
      <c r="K1110" s="49" t="s">
        <v>197</v>
      </c>
      <c r="L1110" s="49" t="s">
        <v>23</v>
      </c>
      <c r="M1110" s="36">
        <f t="shared" si="26"/>
        <v>45702.46565</v>
      </c>
      <c r="N1110" s="30" t="str">
        <f t="shared" si="27"/>
        <v>Selesai</v>
      </c>
      <c r="O1110" s="45">
        <f t="shared" si="23"/>
        <v>45702.46565</v>
      </c>
      <c r="P1110" s="47" t="b">
        <v>1</v>
      </c>
      <c r="Q1110" s="36">
        <f t="shared" si="24"/>
        <v>45702.46604</v>
      </c>
      <c r="R1110" s="47" t="b">
        <v>0</v>
      </c>
      <c r="S1110" s="42" t="str">
        <f t="shared" si="25"/>
        <v/>
      </c>
      <c r="T1110" s="42"/>
    </row>
    <row r="1111" ht="22.5" customHeight="1">
      <c r="B1111" s="42">
        <f t="shared" si="7"/>
        <v>1105</v>
      </c>
      <c r="C1111" s="31" t="s">
        <v>1240</v>
      </c>
      <c r="D1111" s="34" t="str">
        <f t="array" ref="D1111">IFNA(_xlfn.XLOOKUP(C1111,Table_Tarikan_Warkah[Nomor Sertipikat],Table_Tarikan_Warkah[Nomor Tiket]),"")</f>
        <v>K/44/100225/2</v>
      </c>
      <c r="E1111" s="36">
        <f t="array" ref="E1111">IFNA(_xlfn.XLOOKUP(D1111,Table_Tarikan_Warkah[Nomor Tiket],Table_Tarikan_Warkah[Tanggal diserahkan kepada Validator]),"")</f>
        <v>45706.45492</v>
      </c>
      <c r="F1111" s="36" t="str">
        <f t="array" ref="F1111">IFNA(_xlfn.XLOOKUP(D1111,Table_Tarikan_Warkah[Nomor Tiket],Table_Tarikan_Warkah[Nama Petugas Warkah]),"")</f>
        <v/>
      </c>
      <c r="G1111" s="39" t="str">
        <f t="array" ref="G1111">IFNA(_xlfn.XLOOKUP(D1111,Table_Tarikan_Warkah[Nomor Tiket],Table_Tarikan_Warkah[Jenis Permohonan]),"")</f>
        <v>BN JUAL BELI</v>
      </c>
      <c r="H1111" s="41" t="s">
        <v>11</v>
      </c>
      <c r="I1111" s="41" t="s">
        <v>23</v>
      </c>
      <c r="J1111" s="36">
        <f t="shared" si="20"/>
        <v>45701.64226</v>
      </c>
      <c r="K1111" s="41" t="s">
        <v>197</v>
      </c>
      <c r="L1111" s="49" t="s">
        <v>23</v>
      </c>
      <c r="M1111" s="36">
        <f t="shared" si="26"/>
        <v>45702.46565</v>
      </c>
      <c r="N1111" s="30" t="str">
        <f t="shared" si="27"/>
        <v>Selesai</v>
      </c>
      <c r="O1111" s="45">
        <f t="shared" si="23"/>
        <v>45702.46565</v>
      </c>
      <c r="P1111" s="47" t="b">
        <v>1</v>
      </c>
      <c r="Q1111" s="36">
        <f t="shared" si="24"/>
        <v>45702.46604</v>
      </c>
      <c r="R1111" s="47" t="b">
        <v>0</v>
      </c>
      <c r="S1111" s="42" t="str">
        <f t="shared" si="25"/>
        <v/>
      </c>
      <c r="T1111" s="42"/>
    </row>
    <row r="1112" ht="22.5" customHeight="1">
      <c r="B1112" s="42">
        <f t="shared" si="7"/>
        <v>1106</v>
      </c>
      <c r="C1112" s="31" t="s">
        <v>1241</v>
      </c>
      <c r="D1112" s="34" t="str">
        <f t="array" ref="D1112">IFNA(_xlfn.XLOOKUP(C1112,Table_Tarikan_Warkah[Nomor Sertipikat],Table_Tarikan_Warkah[Nomor Tiket]),"")</f>
        <v>K/43/100225/1</v>
      </c>
      <c r="E1112" s="36">
        <f t="array" ref="E1112">IFNA(_xlfn.XLOOKUP(D1112,Table_Tarikan_Warkah[Nomor Tiket],Table_Tarikan_Warkah[Tanggal diserahkan kepada Validator]),"")</f>
        <v>45706.45405</v>
      </c>
      <c r="F1112" s="36" t="str">
        <f t="array" ref="F1112">IFNA(_xlfn.XLOOKUP(D1112,Table_Tarikan_Warkah[Nomor Tiket],Table_Tarikan_Warkah[Nama Petugas Warkah]),"")</f>
        <v/>
      </c>
      <c r="G1112" s="39" t="str">
        <f t="array" ref="G1112">IFNA(_xlfn.XLOOKUP(D1112,Table_Tarikan_Warkah[Nomor Tiket],Table_Tarikan_Warkah[Jenis Permohonan]),"")</f>
        <v>BN JUAL BELI</v>
      </c>
      <c r="H1112" s="41" t="s">
        <v>11</v>
      </c>
      <c r="I1112" s="41" t="s">
        <v>23</v>
      </c>
      <c r="J1112" s="36">
        <f t="shared" si="20"/>
        <v>45701.64226</v>
      </c>
      <c r="K1112" s="49" t="s">
        <v>197</v>
      </c>
      <c r="L1112" s="49" t="s">
        <v>23</v>
      </c>
      <c r="M1112" s="36">
        <f t="shared" si="26"/>
        <v>45702.46565</v>
      </c>
      <c r="N1112" s="30" t="str">
        <f t="shared" si="27"/>
        <v>Selesai</v>
      </c>
      <c r="O1112" s="45">
        <f t="shared" si="23"/>
        <v>45702.46565</v>
      </c>
      <c r="P1112" s="47" t="b">
        <v>1</v>
      </c>
      <c r="Q1112" s="36">
        <f t="shared" si="24"/>
        <v>45702.46607</v>
      </c>
      <c r="R1112" s="47" t="b">
        <v>0</v>
      </c>
      <c r="S1112" s="42" t="str">
        <f t="shared" si="25"/>
        <v/>
      </c>
      <c r="T1112" s="42"/>
    </row>
    <row r="1113" ht="22.5" customHeight="1">
      <c r="B1113" s="42">
        <f t="shared" si="7"/>
        <v>1107</v>
      </c>
      <c r="C1113" s="31" t="s">
        <v>1242</v>
      </c>
      <c r="D1113" s="34" t="str">
        <f t="array" ref="D1113">IFNA(_xlfn.XLOOKUP(C1113,Table_Tarikan_Warkah[Nomor Sertipikat],Table_Tarikan_Warkah[Nomor Tiket]),"")</f>
        <v>K/3/060225/1</v>
      </c>
      <c r="E1113" s="36">
        <f t="array" ref="E1113">IFNA(_xlfn.XLOOKUP(D1113,Table_Tarikan_Warkah[Nomor Tiket],Table_Tarikan_Warkah[Tanggal diserahkan kepada Validator]),"")</f>
        <v>45706.45384</v>
      </c>
      <c r="F1113" s="36" t="str">
        <f t="array" ref="F1113">IFNA(_xlfn.XLOOKUP(D1113,Table_Tarikan_Warkah[Nomor Tiket],Table_Tarikan_Warkah[Nama Petugas Warkah]),"")</f>
        <v/>
      </c>
      <c r="G1113" s="39" t="str">
        <f t="array" ref="G1113">IFNA(_xlfn.XLOOKUP(D1113,Table_Tarikan_Warkah[Nomor Tiket],Table_Tarikan_Warkah[Jenis Permohonan]),"")</f>
        <v>BN JUAL BELI</v>
      </c>
      <c r="H1113" s="41" t="s">
        <v>11</v>
      </c>
      <c r="I1113" s="41" t="s">
        <v>23</v>
      </c>
      <c r="J1113" s="36">
        <f t="shared" si="20"/>
        <v>45701.64226</v>
      </c>
      <c r="K1113" s="49" t="s">
        <v>197</v>
      </c>
      <c r="L1113" s="49" t="s">
        <v>23</v>
      </c>
      <c r="M1113" s="36">
        <f t="shared" si="26"/>
        <v>45702.46569</v>
      </c>
      <c r="N1113" s="30" t="str">
        <f t="shared" si="27"/>
        <v>Selesai</v>
      </c>
      <c r="O1113" s="45">
        <f t="shared" si="23"/>
        <v>45702.46569</v>
      </c>
      <c r="P1113" s="47" t="b">
        <v>1</v>
      </c>
      <c r="Q1113" s="36">
        <f t="shared" si="24"/>
        <v>45702.46607</v>
      </c>
      <c r="R1113" s="47" t="b">
        <v>0</v>
      </c>
      <c r="S1113" s="42" t="str">
        <f t="shared" si="25"/>
        <v/>
      </c>
      <c r="T1113" s="42"/>
    </row>
    <row r="1114" ht="22.5" customHeight="1">
      <c r="B1114" s="42">
        <f t="shared" si="7"/>
        <v>1108</v>
      </c>
      <c r="C1114" s="31" t="s">
        <v>1243</v>
      </c>
      <c r="D1114" s="34" t="str">
        <f t="array" ref="D1114">IFNA(_xlfn.XLOOKUP(C1114,Table_Tarikan_Warkah[Nomor Sertipikat],Table_Tarikan_Warkah[Nomor Tiket]),"")</f>
        <v>K/47/100225/1</v>
      </c>
      <c r="E1114" s="36" t="str">
        <f t="array" ref="E1114">IFNA(_xlfn.XLOOKUP(D1114,Table_Tarikan_Warkah[Nomor Tiket],Table_Tarikan_Warkah[Tanggal diserahkan kepada Validator]),"")</f>
        <v/>
      </c>
      <c r="F1114" s="36" t="str">
        <f t="array" ref="F1114">IFNA(_xlfn.XLOOKUP(D1114,Table_Tarikan_Warkah[Nomor Tiket],Table_Tarikan_Warkah[Nama Petugas Warkah]),"")</f>
        <v/>
      </c>
      <c r="G1114" s="39" t="str">
        <f t="array" ref="G1114">IFNA(_xlfn.XLOOKUP(D1114,Table_Tarikan_Warkah[Nomor Tiket],Table_Tarikan_Warkah[Jenis Permohonan]),"")</f>
        <v>BN Hibah</v>
      </c>
      <c r="H1114" s="41" t="s">
        <v>11</v>
      </c>
      <c r="I1114" s="41" t="s">
        <v>23</v>
      </c>
      <c r="J1114" s="36">
        <f t="shared" si="20"/>
        <v>45701.64226</v>
      </c>
      <c r="K1114" s="49" t="s">
        <v>197</v>
      </c>
      <c r="L1114" s="49" t="s">
        <v>23</v>
      </c>
      <c r="M1114" s="36">
        <f t="shared" si="26"/>
        <v>45702.46569</v>
      </c>
      <c r="N1114" s="30" t="str">
        <f t="shared" si="27"/>
        <v>Selesai</v>
      </c>
      <c r="O1114" s="45">
        <f t="shared" si="23"/>
        <v>45702.46569</v>
      </c>
      <c r="P1114" s="47" t="b">
        <v>1</v>
      </c>
      <c r="Q1114" s="36">
        <f t="shared" si="24"/>
        <v>45702.46607</v>
      </c>
      <c r="R1114" s="47" t="b">
        <v>0</v>
      </c>
      <c r="S1114" s="42" t="str">
        <f t="shared" si="25"/>
        <v/>
      </c>
      <c r="T1114" s="42"/>
    </row>
    <row r="1115" ht="22.5" customHeight="1">
      <c r="B1115" s="42">
        <f t="shared" si="7"/>
        <v>1109</v>
      </c>
      <c r="C1115" s="31" t="s">
        <v>1244</v>
      </c>
      <c r="D1115" s="34" t="str">
        <f t="array" ref="D1115">IFNA(_xlfn.XLOOKUP(C1115,Table_Tarikan_Warkah[Nomor Sertipikat],Table_Tarikan_Warkah[Nomor Tiket]),"")</f>
        <v>K/33/050225/1</v>
      </c>
      <c r="E1115" s="36">
        <f t="array" ref="E1115">IFNA(_xlfn.XLOOKUP(D1115,Table_Tarikan_Warkah[Nomor Tiket],Table_Tarikan_Warkah[Tanggal diserahkan kepada Validator]),"")</f>
        <v>45706.45595</v>
      </c>
      <c r="F1115" s="36" t="str">
        <f t="array" ref="F1115">IFNA(_xlfn.XLOOKUP(D1115,Table_Tarikan_Warkah[Nomor Tiket],Table_Tarikan_Warkah[Nama Petugas Warkah]),"")</f>
        <v/>
      </c>
      <c r="G1115" s="39" t="str">
        <f t="array" ref="G1115">IFNA(_xlfn.XLOOKUP(D1115,Table_Tarikan_Warkah[Nomor Tiket],Table_Tarikan_Warkah[Jenis Permohonan]),"")</f>
        <v>BN JUAL BELI</v>
      </c>
      <c r="H1115" s="41" t="s">
        <v>11</v>
      </c>
      <c r="I1115" s="41" t="s">
        <v>23</v>
      </c>
      <c r="J1115" s="36">
        <f t="shared" si="20"/>
        <v>45701.64226</v>
      </c>
      <c r="K1115" s="49" t="s">
        <v>197</v>
      </c>
      <c r="L1115" s="49" t="s">
        <v>23</v>
      </c>
      <c r="M1115" s="36">
        <f t="shared" si="26"/>
        <v>45702.46569</v>
      </c>
      <c r="N1115" s="30" t="str">
        <f t="shared" si="27"/>
        <v>Selesai</v>
      </c>
      <c r="O1115" s="45">
        <f t="shared" si="23"/>
        <v>45702.46569</v>
      </c>
      <c r="P1115" s="47" t="b">
        <v>1</v>
      </c>
      <c r="Q1115" s="36">
        <f t="shared" si="24"/>
        <v>45702.46607</v>
      </c>
      <c r="R1115" s="47" t="b">
        <v>0</v>
      </c>
      <c r="S1115" s="42" t="str">
        <f t="shared" si="25"/>
        <v/>
      </c>
      <c r="T1115" s="42"/>
    </row>
    <row r="1116" ht="22.5" customHeight="1">
      <c r="B1116" s="42">
        <f t="shared" si="7"/>
        <v>1110</v>
      </c>
      <c r="C1116" s="31" t="s">
        <v>1245</v>
      </c>
      <c r="D1116" s="34" t="str">
        <f t="array" ref="D1116">IFNA(_xlfn.XLOOKUP(C1116,Table_Tarikan_Warkah[Nomor Sertipikat],Table_Tarikan_Warkah[Nomor Tiket]),"")</f>
        <v>K/45/100225/3</v>
      </c>
      <c r="E1116" s="36">
        <f t="array" ref="E1116">IFNA(_xlfn.XLOOKUP(D1116,Table_Tarikan_Warkah[Nomor Tiket],Table_Tarikan_Warkah[Tanggal diserahkan kepada Validator]),"")</f>
        <v>45706.45573</v>
      </c>
      <c r="F1116" s="36" t="str">
        <f t="array" ref="F1116">IFNA(_xlfn.XLOOKUP(D1116,Table_Tarikan_Warkah[Nomor Tiket],Table_Tarikan_Warkah[Nama Petugas Warkah]),"")</f>
        <v/>
      </c>
      <c r="G1116" s="39" t="str">
        <f t="array" ref="G1116">IFNA(_xlfn.XLOOKUP(D1116,Table_Tarikan_Warkah[Nomor Tiket],Table_Tarikan_Warkah[Jenis Permohonan]),"")</f>
        <v>BN JUAL BELI</v>
      </c>
      <c r="H1116" s="41" t="s">
        <v>11</v>
      </c>
      <c r="I1116" s="41" t="s">
        <v>23</v>
      </c>
      <c r="J1116" s="36">
        <f t="shared" si="20"/>
        <v>45701.64226</v>
      </c>
      <c r="K1116" s="49" t="s">
        <v>197</v>
      </c>
      <c r="L1116" s="49" t="s">
        <v>23</v>
      </c>
      <c r="M1116" s="36">
        <f t="shared" si="26"/>
        <v>45702.46569</v>
      </c>
      <c r="N1116" s="30" t="str">
        <f t="shared" si="27"/>
        <v>Selesai</v>
      </c>
      <c r="O1116" s="45">
        <f t="shared" si="23"/>
        <v>45702.46569</v>
      </c>
      <c r="P1116" s="47" t="b">
        <v>1</v>
      </c>
      <c r="Q1116" s="36">
        <f t="shared" si="24"/>
        <v>45702.46607</v>
      </c>
      <c r="R1116" s="47" t="b">
        <v>0</v>
      </c>
      <c r="S1116" s="42" t="str">
        <f t="shared" si="25"/>
        <v/>
      </c>
      <c r="T1116" s="42"/>
    </row>
    <row r="1117" ht="22.5" customHeight="1">
      <c r="B1117" s="42">
        <f t="shared" si="7"/>
        <v>1111</v>
      </c>
      <c r="C1117" s="31" t="s">
        <v>1246</v>
      </c>
      <c r="D1117" s="34" t="str">
        <f t="array" ref="D1117">IFNA(_xlfn.XLOOKUP(C1117,Table_Tarikan_Warkah[Nomor Sertipikat],Table_Tarikan_Warkah[Nomor Tiket]),"")</f>
        <v>K/30/100225/1</v>
      </c>
      <c r="E1117" s="36">
        <f t="array" ref="E1117">IFNA(_xlfn.XLOOKUP(D1117,Table_Tarikan_Warkah[Nomor Tiket],Table_Tarikan_Warkah[Tanggal diserahkan kepada Validator]),"")</f>
        <v>45705.57754</v>
      </c>
      <c r="F1117" s="36" t="str">
        <f t="array" ref="F1117">IFNA(_xlfn.XLOOKUP(D1117,Table_Tarikan_Warkah[Nomor Tiket],Table_Tarikan_Warkah[Nama Petugas Warkah]),"")</f>
        <v/>
      </c>
      <c r="G1117" s="39" t="str">
        <f t="array" ref="G1117">IFNA(_xlfn.XLOOKUP(D1117,Table_Tarikan_Warkah[Nomor Tiket],Table_Tarikan_Warkah[Jenis Permohonan]),"")</f>
        <v>JUAL BELI</v>
      </c>
      <c r="H1117" s="41" t="s">
        <v>11</v>
      </c>
      <c r="I1117" s="41" t="s">
        <v>23</v>
      </c>
      <c r="J1117" s="36">
        <f t="shared" si="20"/>
        <v>45701.64228</v>
      </c>
      <c r="K1117" s="49" t="s">
        <v>197</v>
      </c>
      <c r="L1117" s="49" t="s">
        <v>23</v>
      </c>
      <c r="M1117" s="36">
        <f t="shared" si="26"/>
        <v>45702.46569</v>
      </c>
      <c r="N1117" s="30" t="str">
        <f t="shared" si="27"/>
        <v>Selesai</v>
      </c>
      <c r="O1117" s="45">
        <f t="shared" si="23"/>
        <v>45702.46569</v>
      </c>
      <c r="P1117" s="47" t="b">
        <v>1</v>
      </c>
      <c r="Q1117" s="36">
        <f t="shared" si="24"/>
        <v>45702.46607</v>
      </c>
      <c r="R1117" s="47" t="b">
        <v>0</v>
      </c>
      <c r="S1117" s="42" t="str">
        <f t="shared" si="25"/>
        <v/>
      </c>
      <c r="T1117" s="42"/>
    </row>
    <row r="1118" ht="22.5" customHeight="1">
      <c r="B1118" s="42">
        <f t="shared" si="7"/>
        <v>1112</v>
      </c>
      <c r="C1118" s="31" t="s">
        <v>1247</v>
      </c>
      <c r="D1118" s="34" t="str">
        <f t="array" ref="D1118">IFNA(_xlfn.XLOOKUP(C1118,Table_Tarikan_Warkah[Nomor Sertipikat],Table_Tarikan_Warkah[Nomor Tiket]),"")</f>
        <v>K/16/070225/3</v>
      </c>
      <c r="E1118" s="36">
        <f t="array" ref="E1118">IFNA(_xlfn.XLOOKUP(D1118,Table_Tarikan_Warkah[Nomor Tiket],Table_Tarikan_Warkah[Tanggal diserahkan kepada Validator]),"")</f>
        <v>45705.57715</v>
      </c>
      <c r="F1118" s="36" t="str">
        <f t="array" ref="F1118">IFNA(_xlfn.XLOOKUP(D1118,Table_Tarikan_Warkah[Nomor Tiket],Table_Tarikan_Warkah[Nama Petugas Warkah]),"")</f>
        <v/>
      </c>
      <c r="G1118" s="39" t="str">
        <f t="array" ref="G1118">IFNA(_xlfn.XLOOKUP(D1118,Table_Tarikan_Warkah[Nomor Tiket],Table_Tarikan_Warkah[Jenis Permohonan]),"")</f>
        <v>JUAL BELI</v>
      </c>
      <c r="H1118" s="41" t="s">
        <v>11</v>
      </c>
      <c r="I1118" s="41" t="s">
        <v>23</v>
      </c>
      <c r="J1118" s="36">
        <f t="shared" si="20"/>
        <v>45701.64228</v>
      </c>
      <c r="K1118" s="49" t="s">
        <v>197</v>
      </c>
      <c r="L1118" s="49" t="s">
        <v>23</v>
      </c>
      <c r="M1118" s="36">
        <f t="shared" si="26"/>
        <v>45702.46569</v>
      </c>
      <c r="N1118" s="30" t="str">
        <f t="shared" si="27"/>
        <v>Selesai</v>
      </c>
      <c r="O1118" s="45">
        <f t="shared" si="23"/>
        <v>45702.46569</v>
      </c>
      <c r="P1118" s="47" t="b">
        <v>1</v>
      </c>
      <c r="Q1118" s="36">
        <f t="shared" si="24"/>
        <v>45702.46607</v>
      </c>
      <c r="R1118" s="47" t="b">
        <v>0</v>
      </c>
      <c r="S1118" s="42" t="str">
        <f t="shared" si="25"/>
        <v/>
      </c>
      <c r="T1118" s="42"/>
    </row>
    <row r="1119" ht="22.5" customHeight="1">
      <c r="B1119" s="42">
        <f t="shared" si="7"/>
        <v>1113</v>
      </c>
      <c r="C1119" s="31" t="s">
        <v>1248</v>
      </c>
      <c r="D1119" s="34" t="str">
        <f t="array" ref="D1119">IFNA(_xlfn.XLOOKUP(C1119,Table_Tarikan_Warkah[Nomor Sertipikat],Table_Tarikan_Warkah[Nomor Tiket]),"")</f>
        <v>K/7/060225/4</v>
      </c>
      <c r="E1119" s="36">
        <f t="array" ref="E1119">IFNA(_xlfn.XLOOKUP(D1119,Table_Tarikan_Warkah[Nomor Tiket],Table_Tarikan_Warkah[Tanggal diserahkan kepada Validator]),"")</f>
        <v>45705.57878</v>
      </c>
      <c r="F1119" s="36" t="str">
        <f t="array" ref="F1119">IFNA(_xlfn.XLOOKUP(D1119,Table_Tarikan_Warkah[Nomor Tiket],Table_Tarikan_Warkah[Nama Petugas Warkah]),"")</f>
        <v/>
      </c>
      <c r="G1119" s="39" t="str">
        <f t="array" ref="G1119">IFNA(_xlfn.XLOOKUP(D1119,Table_Tarikan_Warkah[Nomor Tiket],Table_Tarikan_Warkah[Jenis Permohonan]),"")</f>
        <v>PERALIHAN HAK</v>
      </c>
      <c r="H1119" s="41" t="s">
        <v>11</v>
      </c>
      <c r="I1119" s="41" t="s">
        <v>23</v>
      </c>
      <c r="J1119" s="36">
        <f t="shared" si="20"/>
        <v>45701.64228</v>
      </c>
      <c r="K1119" s="41" t="s">
        <v>197</v>
      </c>
      <c r="L1119" s="49" t="s">
        <v>23</v>
      </c>
      <c r="M1119" s="36">
        <f t="shared" si="26"/>
        <v>45702.46569</v>
      </c>
      <c r="N1119" s="30" t="str">
        <f t="shared" si="27"/>
        <v>Selesai</v>
      </c>
      <c r="O1119" s="45">
        <f t="shared" si="23"/>
        <v>45702.46569</v>
      </c>
      <c r="P1119" s="47" t="b">
        <v>1</v>
      </c>
      <c r="Q1119" s="36">
        <f t="shared" si="24"/>
        <v>45702.46607</v>
      </c>
      <c r="R1119" s="47" t="b">
        <v>0</v>
      </c>
      <c r="S1119" s="42" t="str">
        <f t="shared" si="25"/>
        <v/>
      </c>
      <c r="T1119" s="42"/>
    </row>
    <row r="1120" ht="22.5" customHeight="1">
      <c r="B1120" s="42">
        <f t="shared" si="7"/>
        <v>1114</v>
      </c>
      <c r="C1120" s="31" t="s">
        <v>1249</v>
      </c>
      <c r="D1120" s="34" t="str">
        <f t="array" ref="D1120">IFNA(_xlfn.XLOOKUP(C1120,Table_Tarikan_Warkah[Nomor Sertipikat],Table_Tarikan_Warkah[Nomor Tiket]),"")</f>
        <v>K/36/100225/1</v>
      </c>
      <c r="E1120" s="36">
        <f t="array" ref="E1120">IFNA(_xlfn.XLOOKUP(D1120,Table_Tarikan_Warkah[Nomor Tiket],Table_Tarikan_Warkah[Tanggal diserahkan kepada Validator]),"")</f>
        <v>45706.45254</v>
      </c>
      <c r="F1120" s="36" t="str">
        <f t="array" ref="F1120">IFNA(_xlfn.XLOOKUP(D1120,Table_Tarikan_Warkah[Nomor Tiket],Table_Tarikan_Warkah[Nama Petugas Warkah]),"")</f>
        <v/>
      </c>
      <c r="G1120" s="39" t="str">
        <f t="array" ref="G1120">IFNA(_xlfn.XLOOKUP(D1120,Table_Tarikan_Warkah[Nomor Tiket],Table_Tarikan_Warkah[Jenis Permohonan]),"")</f>
        <v>BN Jual Beli</v>
      </c>
      <c r="H1120" s="41" t="s">
        <v>11</v>
      </c>
      <c r="I1120" s="41" t="s">
        <v>23</v>
      </c>
      <c r="J1120" s="36">
        <f t="shared" si="20"/>
        <v>45701.64228</v>
      </c>
      <c r="K1120" s="49" t="s">
        <v>197</v>
      </c>
      <c r="L1120" s="49" t="s">
        <v>23</v>
      </c>
      <c r="M1120" s="36">
        <f t="shared" si="26"/>
        <v>45702.46569</v>
      </c>
      <c r="N1120" s="30" t="str">
        <f t="shared" si="27"/>
        <v>Selesai</v>
      </c>
      <c r="O1120" s="45">
        <f t="shared" si="23"/>
        <v>45702.46569</v>
      </c>
      <c r="P1120" s="47" t="b">
        <v>1</v>
      </c>
      <c r="Q1120" s="36">
        <f t="shared" si="24"/>
        <v>45702.46607</v>
      </c>
      <c r="R1120" s="47" t="b">
        <v>0</v>
      </c>
      <c r="S1120" s="42" t="str">
        <f t="shared" si="25"/>
        <v/>
      </c>
      <c r="T1120" s="42"/>
    </row>
    <row r="1121" ht="22.5" customHeight="1">
      <c r="B1121" s="42">
        <f t="shared" si="7"/>
        <v>1115</v>
      </c>
      <c r="C1121" s="31" t="s">
        <v>1250</v>
      </c>
      <c r="D1121" s="34" t="str">
        <f t="array" ref="D1121">IFNA(_xlfn.XLOOKUP(C1121,Table_Tarikan_Warkah[Nomor Sertipikat],Table_Tarikan_Warkah[Nomor Tiket]),"")</f>
        <v>K/37/050225/1</v>
      </c>
      <c r="E1121" s="36">
        <f t="array" ref="E1121">IFNA(_xlfn.XLOOKUP(D1121,Table_Tarikan_Warkah[Nomor Tiket],Table_Tarikan_Warkah[Tanggal diserahkan kepada Validator]),"")</f>
        <v>45706.4496</v>
      </c>
      <c r="F1121" s="36" t="str">
        <f t="array" ref="F1121">IFNA(_xlfn.XLOOKUP(D1121,Table_Tarikan_Warkah[Nomor Tiket],Table_Tarikan_Warkah[Nama Petugas Warkah]),"")</f>
        <v/>
      </c>
      <c r="G1121" s="39" t="str">
        <f t="array" ref="G1121">IFNA(_xlfn.XLOOKUP(D1121,Table_Tarikan_Warkah[Nomor Tiket],Table_Tarikan_Warkah[Jenis Permohonan]),"")</f>
        <v>BN Waris</v>
      </c>
      <c r="H1121" s="41" t="s">
        <v>11</v>
      </c>
      <c r="I1121" s="41" t="s">
        <v>23</v>
      </c>
      <c r="J1121" s="36">
        <f t="shared" si="20"/>
        <v>45701.64228</v>
      </c>
      <c r="K1121" s="49" t="s">
        <v>197</v>
      </c>
      <c r="L1121" s="49" t="s">
        <v>23</v>
      </c>
      <c r="M1121" s="36">
        <f t="shared" si="26"/>
        <v>45702.46579</v>
      </c>
      <c r="N1121" s="30" t="str">
        <f t="shared" si="27"/>
        <v>Selesai</v>
      </c>
      <c r="O1121" s="45">
        <f t="shared" si="23"/>
        <v>45702.46579</v>
      </c>
      <c r="P1121" s="47" t="b">
        <v>1</v>
      </c>
      <c r="Q1121" s="36">
        <f t="shared" si="24"/>
        <v>45702.46607</v>
      </c>
      <c r="R1121" s="47" t="b">
        <v>0</v>
      </c>
      <c r="S1121" s="42" t="str">
        <f t="shared" si="25"/>
        <v/>
      </c>
      <c r="T1121" s="42"/>
    </row>
    <row r="1122" ht="22.5" customHeight="1">
      <c r="B1122" s="42">
        <f t="shared" si="7"/>
        <v>1116</v>
      </c>
      <c r="C1122" s="31" t="s">
        <v>1251</v>
      </c>
      <c r="D1122" s="34" t="str">
        <f t="array" ref="D1122">IFNA(_xlfn.XLOOKUP(C1122,Table_Tarikan_Warkah[Nomor Sertipikat],Table_Tarikan_Warkah[Nomor Tiket]),"")</f>
        <v>K/45/050225/1</v>
      </c>
      <c r="E1122" s="36">
        <f t="array" ref="E1122">IFNA(_xlfn.XLOOKUP(D1122,Table_Tarikan_Warkah[Nomor Tiket],Table_Tarikan_Warkah[Tanggal diserahkan kepada Validator]),"")</f>
        <v>45706.45193</v>
      </c>
      <c r="F1122" s="36" t="str">
        <f t="array" ref="F1122">IFNA(_xlfn.XLOOKUP(D1122,Table_Tarikan_Warkah[Nomor Tiket],Table_Tarikan_Warkah[Nama Petugas Warkah]),"")</f>
        <v/>
      </c>
      <c r="G1122" s="39" t="str">
        <f t="array" ref="G1122">IFNA(_xlfn.XLOOKUP(D1122,Table_Tarikan_Warkah[Nomor Tiket],Table_Tarikan_Warkah[Jenis Permohonan]),"")</f>
        <v>BN Jual Beli</v>
      </c>
      <c r="H1122" s="41" t="s">
        <v>11</v>
      </c>
      <c r="I1122" s="41" t="s">
        <v>23</v>
      </c>
      <c r="J1122" s="36">
        <f t="shared" si="20"/>
        <v>45701.64228</v>
      </c>
      <c r="K1122" s="41" t="s">
        <v>197</v>
      </c>
      <c r="L1122" s="49" t="s">
        <v>23</v>
      </c>
      <c r="M1122" s="36">
        <f t="shared" si="26"/>
        <v>45702.46579</v>
      </c>
      <c r="N1122" s="30" t="str">
        <f t="shared" si="27"/>
        <v>Selesai</v>
      </c>
      <c r="O1122" s="45">
        <f t="shared" si="23"/>
        <v>45702.46579</v>
      </c>
      <c r="P1122" s="47" t="b">
        <v>1</v>
      </c>
      <c r="Q1122" s="36">
        <f t="shared" si="24"/>
        <v>45702.46607</v>
      </c>
      <c r="R1122" s="47" t="b">
        <v>0</v>
      </c>
      <c r="S1122" s="42" t="str">
        <f t="shared" si="25"/>
        <v/>
      </c>
      <c r="T1122" s="42"/>
    </row>
    <row r="1123" ht="22.5" customHeight="1">
      <c r="B1123" s="42">
        <f t="shared" si="7"/>
        <v>1117</v>
      </c>
      <c r="C1123" s="31" t="s">
        <v>1252</v>
      </c>
      <c r="D1123" s="34" t="str">
        <f t="array" ref="D1123">IFNA(_xlfn.XLOOKUP(C1123,Table_Tarikan_Warkah[Nomor Sertipikat],Table_Tarikan_Warkah[Nomor Tiket]),"")</f>
        <v>K/40/050225/1</v>
      </c>
      <c r="E1123" s="36">
        <f t="array" ref="E1123">IFNA(_xlfn.XLOOKUP(D1123,Table_Tarikan_Warkah[Nomor Tiket],Table_Tarikan_Warkah[Tanggal diserahkan kepada Validator]),"")</f>
        <v>45706.45139</v>
      </c>
      <c r="F1123" s="36" t="str">
        <f t="array" ref="F1123">IFNA(_xlfn.XLOOKUP(D1123,Table_Tarikan_Warkah[Nomor Tiket],Table_Tarikan_Warkah[Nama Petugas Warkah]),"")</f>
        <v/>
      </c>
      <c r="G1123" s="39" t="str">
        <f t="array" ref="G1123">IFNA(_xlfn.XLOOKUP(D1123,Table_Tarikan_Warkah[Nomor Tiket],Table_Tarikan_Warkah[Jenis Permohonan]),"")</f>
        <v>BN Jual Beli</v>
      </c>
      <c r="H1123" s="41" t="s">
        <v>11</v>
      </c>
      <c r="I1123" s="41" t="s">
        <v>23</v>
      </c>
      <c r="J1123" s="36">
        <f t="shared" si="20"/>
        <v>45701.6423</v>
      </c>
      <c r="K1123" s="49" t="s">
        <v>197</v>
      </c>
      <c r="L1123" s="49" t="s">
        <v>23</v>
      </c>
      <c r="M1123" s="36">
        <f t="shared" si="26"/>
        <v>45702.46579</v>
      </c>
      <c r="N1123" s="30" t="str">
        <f t="shared" si="27"/>
        <v>Selesai</v>
      </c>
      <c r="O1123" s="45">
        <f t="shared" si="23"/>
        <v>45702.46579</v>
      </c>
      <c r="P1123" s="47" t="b">
        <v>1</v>
      </c>
      <c r="Q1123" s="36">
        <f t="shared" si="24"/>
        <v>45702.46607</v>
      </c>
      <c r="R1123" s="47" t="b">
        <v>0</v>
      </c>
      <c r="S1123" s="42" t="str">
        <f t="shared" si="25"/>
        <v/>
      </c>
      <c r="T1123" s="42"/>
    </row>
    <row r="1124" ht="22.5" customHeight="1">
      <c r="B1124" s="42">
        <f t="shared" si="7"/>
        <v>1118</v>
      </c>
      <c r="C1124" s="31" t="s">
        <v>1253</v>
      </c>
      <c r="D1124" s="34" t="str">
        <f t="array" ref="D1124">IFNA(_xlfn.XLOOKUP(C1124,Table_Tarikan_Warkah[Nomor Sertipikat],Table_Tarikan_Warkah[Nomor Tiket]),"")</f>
        <v>K/2/070225/2</v>
      </c>
      <c r="E1124" s="36">
        <f t="array" ref="E1124">IFNA(_xlfn.XLOOKUP(D1124,Table_Tarikan_Warkah[Nomor Tiket],Table_Tarikan_Warkah[Tanggal diserahkan kepada Validator]),"")</f>
        <v>45706.45471</v>
      </c>
      <c r="F1124" s="36" t="str">
        <f t="array" ref="F1124">IFNA(_xlfn.XLOOKUP(D1124,Table_Tarikan_Warkah[Nomor Tiket],Table_Tarikan_Warkah[Nama Petugas Warkah]),"")</f>
        <v/>
      </c>
      <c r="G1124" s="39" t="str">
        <f t="array" ref="G1124">IFNA(_xlfn.XLOOKUP(D1124,Table_Tarikan_Warkah[Nomor Tiket],Table_Tarikan_Warkah[Jenis Permohonan]),"")</f>
        <v>BN JUAL BELI</v>
      </c>
      <c r="H1124" s="41" t="s">
        <v>11</v>
      </c>
      <c r="I1124" s="41" t="s">
        <v>23</v>
      </c>
      <c r="J1124" s="36">
        <f t="shared" si="20"/>
        <v>45702.58659</v>
      </c>
      <c r="K1124" s="49" t="s">
        <v>197</v>
      </c>
      <c r="L1124" s="49" t="s">
        <v>23</v>
      </c>
      <c r="M1124" s="36">
        <f t="shared" si="26"/>
        <v>45702.63423</v>
      </c>
      <c r="N1124" s="30" t="str">
        <f t="shared" si="27"/>
        <v>Selesai</v>
      </c>
      <c r="O1124" s="45">
        <f t="shared" si="23"/>
        <v>45702.63423</v>
      </c>
      <c r="P1124" s="47" t="b">
        <v>1</v>
      </c>
      <c r="Q1124" s="36">
        <f t="shared" si="24"/>
        <v>45702.6341</v>
      </c>
      <c r="R1124" s="47" t="b">
        <v>0</v>
      </c>
      <c r="S1124" s="42" t="str">
        <f t="shared" si="25"/>
        <v/>
      </c>
      <c r="T1124" s="42"/>
    </row>
    <row r="1125" ht="22.5" customHeight="1">
      <c r="B1125" s="42">
        <f t="shared" si="7"/>
        <v>1119</v>
      </c>
      <c r="C1125" s="31" t="s">
        <v>1254</v>
      </c>
      <c r="D1125" s="34" t="str">
        <f t="array" ref="D1125">IFNA(_xlfn.XLOOKUP(C1125,Table_Tarikan_Warkah[Nomor Sertipikat],Table_Tarikan_Warkah[Nomor Tiket]),"")</f>
        <v>K/31/060225/1</v>
      </c>
      <c r="E1125" s="36">
        <f t="array" ref="E1125">IFNA(_xlfn.XLOOKUP(D1125,Table_Tarikan_Warkah[Nomor Tiket],Table_Tarikan_Warkah[Tanggal diserahkan kepada Validator]),"")</f>
        <v>45707.67302</v>
      </c>
      <c r="F1125" s="36" t="str">
        <f t="array" ref="F1125">IFNA(_xlfn.XLOOKUP(D1125,Table_Tarikan_Warkah[Nomor Tiket],Table_Tarikan_Warkah[Nama Petugas Warkah]),"")</f>
        <v/>
      </c>
      <c r="G1125" s="39" t="str">
        <f t="array" ref="G1125">IFNA(_xlfn.XLOOKUP(D1125,Table_Tarikan_Warkah[Nomor Tiket],Table_Tarikan_Warkah[Jenis Permohonan]),"")</f>
        <v>BN JUAL BELI</v>
      </c>
      <c r="H1125" s="41" t="s">
        <v>11</v>
      </c>
      <c r="I1125" s="41" t="s">
        <v>23</v>
      </c>
      <c r="J1125" s="36">
        <f t="shared" si="20"/>
        <v>45702.58661</v>
      </c>
      <c r="K1125" s="49" t="s">
        <v>197</v>
      </c>
      <c r="L1125" s="49" t="s">
        <v>23</v>
      </c>
      <c r="M1125" s="36">
        <f t="shared" si="26"/>
        <v>45702.63423</v>
      </c>
      <c r="N1125" s="30" t="str">
        <f t="shared" si="27"/>
        <v>Selesai</v>
      </c>
      <c r="O1125" s="45">
        <f t="shared" si="23"/>
        <v>45702.63423</v>
      </c>
      <c r="P1125" s="47" t="b">
        <v>1</v>
      </c>
      <c r="Q1125" s="36">
        <f t="shared" si="24"/>
        <v>45702.6341</v>
      </c>
      <c r="R1125" s="47" t="b">
        <v>0</v>
      </c>
      <c r="S1125" s="42" t="str">
        <f t="shared" si="25"/>
        <v/>
      </c>
      <c r="T1125" s="42"/>
    </row>
    <row r="1126" ht="22.5" customHeight="1">
      <c r="B1126" s="42">
        <f t="shared" si="7"/>
        <v>1120</v>
      </c>
      <c r="C1126" s="31" t="s">
        <v>1255</v>
      </c>
      <c r="D1126" s="34" t="str">
        <f t="array" ref="D1126">IFNA(_xlfn.XLOOKUP(C1126,Table_Tarikan_Warkah[Nomor Sertipikat],Table_Tarikan_Warkah[Nomor Tiket]),"")</f>
        <v>K/15/310125/1</v>
      </c>
      <c r="E1126" s="36">
        <f t="array" ref="E1126">IFNA(_xlfn.XLOOKUP(D1126,Table_Tarikan_Warkah[Nomor Tiket],Table_Tarikan_Warkah[Tanggal diserahkan kepada Validator]),"")</f>
        <v>45706.45105</v>
      </c>
      <c r="F1126" s="36" t="str">
        <f t="array" ref="F1126">IFNA(_xlfn.XLOOKUP(D1126,Table_Tarikan_Warkah[Nomor Tiket],Table_Tarikan_Warkah[Nama Petugas Warkah]),"")</f>
        <v/>
      </c>
      <c r="G1126" s="39" t="str">
        <f t="array" ref="G1126">IFNA(_xlfn.XLOOKUP(D1126,Table_Tarikan_Warkah[Nomor Tiket],Table_Tarikan_Warkah[Jenis Permohonan]),"")</f>
        <v>KEWARISAN</v>
      </c>
      <c r="H1126" s="41" t="s">
        <v>11</v>
      </c>
      <c r="I1126" s="41" t="s">
        <v>23</v>
      </c>
      <c r="J1126" s="36">
        <f t="shared" si="20"/>
        <v>45702.58661</v>
      </c>
      <c r="K1126" s="49" t="s">
        <v>197</v>
      </c>
      <c r="L1126" s="49" t="s">
        <v>23</v>
      </c>
      <c r="M1126" s="36">
        <f t="shared" si="26"/>
        <v>45702.63423</v>
      </c>
      <c r="N1126" s="30" t="str">
        <f t="shared" si="27"/>
        <v>Selesai</v>
      </c>
      <c r="O1126" s="45">
        <f t="shared" si="23"/>
        <v>45702.63423</v>
      </c>
      <c r="P1126" s="47" t="b">
        <v>1</v>
      </c>
      <c r="Q1126" s="36">
        <f t="shared" si="24"/>
        <v>45702.6341</v>
      </c>
      <c r="R1126" s="47" t="b">
        <v>0</v>
      </c>
      <c r="S1126" s="42" t="str">
        <f t="shared" si="25"/>
        <v/>
      </c>
      <c r="T1126" s="42"/>
    </row>
    <row r="1127" ht="22.5" customHeight="1">
      <c r="B1127" s="42">
        <f t="shared" si="7"/>
        <v>1121</v>
      </c>
      <c r="C1127" s="31" t="s">
        <v>1256</v>
      </c>
      <c r="D1127" s="34" t="str">
        <f t="array" ref="D1127">IFNA(_xlfn.XLOOKUP(C1127,Table_Tarikan_Warkah[Nomor Sertipikat],Table_Tarikan_Warkah[Nomor Tiket]),"")</f>
        <v>K/31/110225/1</v>
      </c>
      <c r="E1127" s="36">
        <f t="array" ref="E1127">IFNA(_xlfn.XLOOKUP(D1127,Table_Tarikan_Warkah[Nomor Tiket],Table_Tarikan_Warkah[Tanggal diserahkan kepada Validator]),"")</f>
        <v>45727.52185</v>
      </c>
      <c r="F1127" s="36" t="str">
        <f t="array" ref="F1127">IFNA(_xlfn.XLOOKUP(D1127,Table_Tarikan_Warkah[Nomor Tiket],Table_Tarikan_Warkah[Nama Petugas Warkah]),"")</f>
        <v/>
      </c>
      <c r="G1127" s="39" t="str">
        <f t="array" ref="G1127">IFNA(_xlfn.XLOOKUP(D1127,Table_Tarikan_Warkah[Nomor Tiket],Table_Tarikan_Warkah[Jenis Permohonan]),"")</f>
        <v>ROYA </v>
      </c>
      <c r="H1127" s="41" t="s">
        <v>11</v>
      </c>
      <c r="I1127" s="41" t="s">
        <v>23</v>
      </c>
      <c r="J1127" s="36">
        <f t="shared" si="20"/>
        <v>45702.58661</v>
      </c>
      <c r="K1127" s="49" t="s">
        <v>197</v>
      </c>
      <c r="L1127" s="49" t="s">
        <v>23</v>
      </c>
      <c r="M1127" s="36">
        <f t="shared" si="26"/>
        <v>45702.63423</v>
      </c>
      <c r="N1127" s="30" t="str">
        <f t="shared" si="27"/>
        <v>Selesai</v>
      </c>
      <c r="O1127" s="45">
        <f t="shared" si="23"/>
        <v>45702.63423</v>
      </c>
      <c r="P1127" s="47" t="b">
        <v>1</v>
      </c>
      <c r="Q1127" s="36">
        <f t="shared" si="24"/>
        <v>45702.6341</v>
      </c>
      <c r="R1127" s="47" t="b">
        <v>0</v>
      </c>
      <c r="S1127" s="42" t="str">
        <f t="shared" si="25"/>
        <v/>
      </c>
      <c r="T1127" s="42"/>
    </row>
    <row r="1128" ht="22.5" customHeight="1">
      <c r="B1128" s="42">
        <f t="shared" si="7"/>
        <v>1122</v>
      </c>
      <c r="C1128" s="31" t="s">
        <v>1257</v>
      </c>
      <c r="D1128" s="34" t="str">
        <f t="array" ref="D1128">IFNA(_xlfn.XLOOKUP(C1128,Table_Tarikan_Warkah[Nomor Sertipikat],Table_Tarikan_Warkah[Nomor Tiket]),"")</f>
        <v>K/39/070225/2</v>
      </c>
      <c r="E1128" s="36">
        <f t="array" ref="E1128">IFNA(_xlfn.XLOOKUP(D1128,Table_Tarikan_Warkah[Nomor Tiket],Table_Tarikan_Warkah[Tanggal diserahkan kepada Validator]),"")</f>
        <v>45706.45428</v>
      </c>
      <c r="F1128" s="36" t="str">
        <f t="array" ref="F1128">IFNA(_xlfn.XLOOKUP(D1128,Table_Tarikan_Warkah[Nomor Tiket],Table_Tarikan_Warkah[Nama Petugas Warkah]),"")</f>
        <v/>
      </c>
      <c r="G1128" s="39" t="str">
        <f t="array" ref="G1128">IFNA(_xlfn.XLOOKUP(D1128,Table_Tarikan_Warkah[Nomor Tiket],Table_Tarikan_Warkah[Jenis Permohonan]),"")</f>
        <v>BN JUAL BELI</v>
      </c>
      <c r="H1128" s="41" t="s">
        <v>11</v>
      </c>
      <c r="I1128" s="41" t="s">
        <v>23</v>
      </c>
      <c r="J1128" s="36">
        <f t="shared" si="20"/>
        <v>45702.58661</v>
      </c>
      <c r="K1128" s="41" t="s">
        <v>197</v>
      </c>
      <c r="L1128" s="49" t="s">
        <v>23</v>
      </c>
      <c r="M1128" s="36">
        <f t="shared" si="26"/>
        <v>45702.63423</v>
      </c>
      <c r="N1128" s="30" t="str">
        <f t="shared" si="27"/>
        <v>Selesai</v>
      </c>
      <c r="O1128" s="45">
        <f t="shared" si="23"/>
        <v>45702.63423</v>
      </c>
      <c r="P1128" s="47" t="b">
        <v>1</v>
      </c>
      <c r="Q1128" s="36">
        <f t="shared" si="24"/>
        <v>45702.6341</v>
      </c>
      <c r="R1128" s="47" t="b">
        <v>0</v>
      </c>
      <c r="S1128" s="42" t="str">
        <f t="shared" si="25"/>
        <v/>
      </c>
      <c r="T1128" s="42"/>
    </row>
    <row r="1129" ht="22.5" customHeight="1">
      <c r="B1129" s="42">
        <f t="shared" si="7"/>
        <v>1123</v>
      </c>
      <c r="C1129" s="31" t="s">
        <v>1258</v>
      </c>
      <c r="D1129" s="34" t="str">
        <f t="array" ref="D1129">IFNA(_xlfn.XLOOKUP(C1129,Table_Tarikan_Warkah[Nomor Sertipikat],Table_Tarikan_Warkah[Nomor Tiket]),"")</f>
        <v>K/13/100225/4</v>
      </c>
      <c r="E1129" s="36">
        <f t="array" ref="E1129">IFNA(_xlfn.XLOOKUP(D1129,Table_Tarikan_Warkah[Nomor Tiket],Table_Tarikan_Warkah[Tanggal diserahkan kepada Validator]),"")</f>
        <v>45734.48316</v>
      </c>
      <c r="F1129" s="36" t="str">
        <f t="array" ref="F1129">IFNA(_xlfn.XLOOKUP(D1129,Table_Tarikan_Warkah[Nomor Tiket],Table_Tarikan_Warkah[Nama Petugas Warkah]),"")</f>
        <v/>
      </c>
      <c r="G1129" s="39" t="str">
        <f t="array" ref="G1129">IFNA(_xlfn.XLOOKUP(D1129,Table_Tarikan_Warkah[Nomor Tiket],Table_Tarikan_Warkah[Jenis Permohonan]),"")</f>
        <v>BN Jual Beli</v>
      </c>
      <c r="H1129" s="41" t="s">
        <v>11</v>
      </c>
      <c r="I1129" s="41" t="s">
        <v>23</v>
      </c>
      <c r="J1129" s="36">
        <f t="shared" si="20"/>
        <v>45702.58661</v>
      </c>
      <c r="K1129" s="49" t="s">
        <v>197</v>
      </c>
      <c r="L1129" s="49" t="s">
        <v>23</v>
      </c>
      <c r="M1129" s="36">
        <f t="shared" si="26"/>
        <v>45702.63423</v>
      </c>
      <c r="N1129" s="30" t="str">
        <f t="shared" si="27"/>
        <v>Selesai</v>
      </c>
      <c r="O1129" s="45">
        <f t="shared" si="23"/>
        <v>45702.63423</v>
      </c>
      <c r="P1129" s="47" t="b">
        <v>1</v>
      </c>
      <c r="Q1129" s="36">
        <f t="shared" si="24"/>
        <v>45702.6341</v>
      </c>
      <c r="R1129" s="47" t="b">
        <v>0</v>
      </c>
      <c r="S1129" s="42" t="str">
        <f t="shared" si="25"/>
        <v/>
      </c>
      <c r="T1129" s="42"/>
    </row>
    <row r="1130" ht="22.5" customHeight="1">
      <c r="B1130" s="42">
        <f t="shared" si="7"/>
        <v>1124</v>
      </c>
      <c r="C1130" s="31" t="s">
        <v>1259</v>
      </c>
      <c r="D1130" s="34" t="str">
        <f t="array" ref="D1130">IFNA(_xlfn.XLOOKUP(C1130,Table_Tarikan_Warkah[Nomor Sertipikat],Table_Tarikan_Warkah[Nomor Tiket]),"")</f>
        <v>K/51/100225/1</v>
      </c>
      <c r="E1130" s="36">
        <f t="array" ref="E1130">IFNA(_xlfn.XLOOKUP(D1130,Table_Tarikan_Warkah[Nomor Tiket],Table_Tarikan_Warkah[Tanggal diserahkan kepada Validator]),"")</f>
        <v>45713.70654</v>
      </c>
      <c r="F1130" s="36" t="str">
        <f t="array" ref="F1130">IFNA(_xlfn.XLOOKUP(D1130,Table_Tarikan_Warkah[Nomor Tiket],Table_Tarikan_Warkah[Nama Petugas Warkah]),"")</f>
        <v/>
      </c>
      <c r="G1130" s="39" t="str">
        <f t="array" ref="G1130">IFNA(_xlfn.XLOOKUP(D1130,Table_Tarikan_Warkah[Nomor Tiket],Table_Tarikan_Warkah[Jenis Permohonan]),"")</f>
        <v>BN JUAL BELI</v>
      </c>
      <c r="H1130" s="41" t="s">
        <v>11</v>
      </c>
      <c r="I1130" s="41" t="s">
        <v>23</v>
      </c>
      <c r="J1130" s="36">
        <f t="shared" si="20"/>
        <v>45702.58664</v>
      </c>
      <c r="K1130" s="49" t="s">
        <v>197</v>
      </c>
      <c r="L1130" s="49" t="s">
        <v>23</v>
      </c>
      <c r="M1130" s="36">
        <f t="shared" si="26"/>
        <v>45702.63423</v>
      </c>
      <c r="N1130" s="30" t="str">
        <f t="shared" si="27"/>
        <v>Selesai</v>
      </c>
      <c r="O1130" s="45">
        <f t="shared" si="23"/>
        <v>45702.63423</v>
      </c>
      <c r="P1130" s="47" t="b">
        <v>1</v>
      </c>
      <c r="Q1130" s="36">
        <f t="shared" si="24"/>
        <v>45702.6341</v>
      </c>
      <c r="R1130" s="47" t="b">
        <v>0</v>
      </c>
      <c r="S1130" s="42" t="str">
        <f t="shared" si="25"/>
        <v/>
      </c>
      <c r="T1130" s="42"/>
    </row>
    <row r="1131" ht="22.5" customHeight="1">
      <c r="B1131" s="42">
        <f t="shared" si="7"/>
        <v>1125</v>
      </c>
      <c r="C1131" s="31" t="s">
        <v>1260</v>
      </c>
      <c r="D1131" s="34" t="str">
        <f t="array" ref="D1131">IFNA(_xlfn.XLOOKUP(C1131,Table_Tarikan_Warkah[Nomor Sertipikat],Table_Tarikan_Warkah[Nomor Tiket]),"")</f>
        <v>K/55/100225/2</v>
      </c>
      <c r="E1131" s="36">
        <f t="array" ref="E1131">IFNA(_xlfn.XLOOKUP(D1131,Table_Tarikan_Warkah[Nomor Tiket],Table_Tarikan_Warkah[Tanggal diserahkan kepada Validator]),"")</f>
        <v>45707.67331</v>
      </c>
      <c r="F1131" s="36" t="str">
        <f t="array" ref="F1131">IFNA(_xlfn.XLOOKUP(D1131,Table_Tarikan_Warkah[Nomor Tiket],Table_Tarikan_Warkah[Nama Petugas Warkah]),"")</f>
        <v/>
      </c>
      <c r="G1131" s="39" t="str">
        <f t="array" ref="G1131">IFNA(_xlfn.XLOOKUP(D1131,Table_Tarikan_Warkah[Nomor Tiket],Table_Tarikan_Warkah[Jenis Permohonan]),"")</f>
        <v>BN JUAL BELI</v>
      </c>
      <c r="H1131" s="41" t="s">
        <v>11</v>
      </c>
      <c r="I1131" s="41" t="s">
        <v>23</v>
      </c>
      <c r="J1131" s="36">
        <f t="shared" si="20"/>
        <v>45702.58664</v>
      </c>
      <c r="K1131" s="41" t="s">
        <v>197</v>
      </c>
      <c r="L1131" s="49" t="s">
        <v>23</v>
      </c>
      <c r="M1131" s="36">
        <f t="shared" si="26"/>
        <v>45702.63423</v>
      </c>
      <c r="N1131" s="30" t="str">
        <f t="shared" si="27"/>
        <v>Selesai</v>
      </c>
      <c r="O1131" s="45">
        <f t="shared" si="23"/>
        <v>45702.63423</v>
      </c>
      <c r="P1131" s="47" t="b">
        <v>1</v>
      </c>
      <c r="Q1131" s="36">
        <f t="shared" si="24"/>
        <v>45702.6341</v>
      </c>
      <c r="R1131" s="47" t="b">
        <v>0</v>
      </c>
      <c r="S1131" s="42" t="str">
        <f t="shared" si="25"/>
        <v/>
      </c>
      <c r="T1131" s="42"/>
    </row>
    <row r="1132" ht="22.5" customHeight="1">
      <c r="B1132" s="42">
        <f t="shared" si="7"/>
        <v>1126</v>
      </c>
      <c r="C1132" s="31" t="s">
        <v>1261</v>
      </c>
      <c r="D1132" s="34" t="str">
        <f t="array" ref="D1132">IFNA(_xlfn.XLOOKUP(C1132,Table_Tarikan_Warkah[Nomor Sertipikat],Table_Tarikan_Warkah[Nomor Tiket]),"")</f>
        <v>K/5/060225/2</v>
      </c>
      <c r="E1132" s="36">
        <f t="array" ref="E1132">IFNA(_xlfn.XLOOKUP(D1132,Table_Tarikan_Warkah[Nomor Tiket],Table_Tarikan_Warkah[Tanggal diserahkan kepada Validator]),"")</f>
        <v>45706.45358</v>
      </c>
      <c r="F1132" s="36" t="str">
        <f t="array" ref="F1132">IFNA(_xlfn.XLOOKUP(D1132,Table_Tarikan_Warkah[Nomor Tiket],Table_Tarikan_Warkah[Nama Petugas Warkah]),"")</f>
        <v/>
      </c>
      <c r="G1132" s="39" t="str">
        <f t="array" ref="G1132">IFNA(_xlfn.XLOOKUP(D1132,Table_Tarikan_Warkah[Nomor Tiket],Table_Tarikan_Warkah[Jenis Permohonan]),"")</f>
        <v>PERALIHAN HAK</v>
      </c>
      <c r="H1132" s="41" t="s">
        <v>11</v>
      </c>
      <c r="I1132" s="41" t="s">
        <v>23</v>
      </c>
      <c r="J1132" s="36">
        <f t="shared" si="20"/>
        <v>45702.58664</v>
      </c>
      <c r="K1132" s="49" t="s">
        <v>197</v>
      </c>
      <c r="L1132" s="49" t="s">
        <v>23</v>
      </c>
      <c r="M1132" s="36">
        <f t="shared" si="26"/>
        <v>45702.63423</v>
      </c>
      <c r="N1132" s="30" t="str">
        <f t="shared" si="27"/>
        <v>Selesai</v>
      </c>
      <c r="O1132" s="45">
        <f t="shared" si="23"/>
        <v>45702.63423</v>
      </c>
      <c r="P1132" s="47" t="b">
        <v>1</v>
      </c>
      <c r="Q1132" s="36">
        <f t="shared" si="24"/>
        <v>45702.6341</v>
      </c>
      <c r="R1132" s="47" t="b">
        <v>0</v>
      </c>
      <c r="S1132" s="42" t="str">
        <f t="shared" si="25"/>
        <v/>
      </c>
      <c r="T1132" s="42"/>
    </row>
    <row r="1133" ht="22.5" customHeight="1">
      <c r="B1133" s="42">
        <f t="shared" si="7"/>
        <v>1127</v>
      </c>
      <c r="C1133" s="31" t="s">
        <v>1262</v>
      </c>
      <c r="D1133" s="34" t="str">
        <f t="array" ref="D1133">IFNA(_xlfn.XLOOKUP(C1133,Table_Tarikan_Warkah[Nomor Sertipikat],Table_Tarikan_Warkah[Nomor Tiket]),"")</f>
        <v>K/15/070225/2</v>
      </c>
      <c r="E1133" s="36">
        <f t="array" ref="E1133">IFNA(_xlfn.XLOOKUP(D1133,Table_Tarikan_Warkah[Nomor Tiket],Table_Tarikan_Warkah[Tanggal diserahkan kepada Validator]),"")</f>
        <v>45706.45297</v>
      </c>
      <c r="F1133" s="36" t="str">
        <f t="array" ref="F1133">IFNA(_xlfn.XLOOKUP(D1133,Table_Tarikan_Warkah[Nomor Tiket],Table_Tarikan_Warkah[Nama Petugas Warkah]),"")</f>
        <v/>
      </c>
      <c r="G1133" s="39" t="str">
        <f t="array" ref="G1133">IFNA(_xlfn.XLOOKUP(D1133,Table_Tarikan_Warkah[Nomor Tiket],Table_Tarikan_Warkah[Jenis Permohonan]),"")</f>
        <v>JUAL BELI</v>
      </c>
      <c r="H1133" s="41" t="s">
        <v>11</v>
      </c>
      <c r="I1133" s="41" t="s">
        <v>23</v>
      </c>
      <c r="J1133" s="36">
        <f t="shared" si="20"/>
        <v>45702.58664</v>
      </c>
      <c r="K1133" s="49" t="s">
        <v>197</v>
      </c>
      <c r="L1133" s="49" t="s">
        <v>23</v>
      </c>
      <c r="M1133" s="36">
        <f t="shared" si="26"/>
        <v>45702.63427</v>
      </c>
      <c r="N1133" s="30" t="str">
        <f t="shared" si="27"/>
        <v>Selesai</v>
      </c>
      <c r="O1133" s="45">
        <f t="shared" si="23"/>
        <v>45702.63427</v>
      </c>
      <c r="P1133" s="47" t="b">
        <v>1</v>
      </c>
      <c r="Q1133" s="36">
        <f t="shared" si="24"/>
        <v>45702.6341</v>
      </c>
      <c r="R1133" s="47" t="b">
        <v>0</v>
      </c>
      <c r="S1133" s="42" t="str">
        <f t="shared" si="25"/>
        <v/>
      </c>
      <c r="T1133" s="42"/>
    </row>
    <row r="1134" ht="22.5" customHeight="1">
      <c r="B1134" s="42">
        <f t="shared" si="7"/>
        <v>1128</v>
      </c>
      <c r="C1134" s="31" t="s">
        <v>1263</v>
      </c>
      <c r="D1134" s="34" t="str">
        <f t="array" ref="D1134">IFNA(_xlfn.XLOOKUP(C1134,Table_Tarikan_Warkah[Nomor Sertipikat],Table_Tarikan_Warkah[Nomor Tiket]),"")</f>
        <v>K/17/070225/4</v>
      </c>
      <c r="E1134" s="36">
        <f t="array" ref="E1134">IFNA(_xlfn.XLOOKUP(D1134,Table_Tarikan_Warkah[Nomor Tiket],Table_Tarikan_Warkah[Tanggal diserahkan kepada Validator]),"")</f>
        <v>45706.45325</v>
      </c>
      <c r="F1134" s="36" t="str">
        <f t="array" ref="F1134">IFNA(_xlfn.XLOOKUP(D1134,Table_Tarikan_Warkah[Nomor Tiket],Table_Tarikan_Warkah[Nama Petugas Warkah]),"")</f>
        <v/>
      </c>
      <c r="G1134" s="39" t="str">
        <f t="array" ref="G1134">IFNA(_xlfn.XLOOKUP(D1134,Table_Tarikan_Warkah[Nomor Tiket],Table_Tarikan_Warkah[Jenis Permohonan]),"")</f>
        <v>JUAL BELI</v>
      </c>
      <c r="H1134" s="41" t="s">
        <v>11</v>
      </c>
      <c r="I1134" s="41" t="s">
        <v>23</v>
      </c>
      <c r="J1134" s="36">
        <f t="shared" si="20"/>
        <v>45702.58664</v>
      </c>
      <c r="K1134" s="49" t="s">
        <v>197</v>
      </c>
      <c r="L1134" s="49" t="s">
        <v>23</v>
      </c>
      <c r="M1134" s="36">
        <f t="shared" si="26"/>
        <v>45702.63427</v>
      </c>
      <c r="N1134" s="30" t="str">
        <f t="shared" si="27"/>
        <v>Selesai</v>
      </c>
      <c r="O1134" s="45">
        <f t="shared" si="23"/>
        <v>45702.63427</v>
      </c>
      <c r="P1134" s="47" t="b">
        <v>1</v>
      </c>
      <c r="Q1134" s="36">
        <f t="shared" si="24"/>
        <v>45702.6341</v>
      </c>
      <c r="R1134" s="47" t="b">
        <v>0</v>
      </c>
      <c r="S1134" s="42" t="str">
        <f t="shared" si="25"/>
        <v/>
      </c>
      <c r="T1134" s="42"/>
    </row>
    <row r="1135" ht="22.5" customHeight="1">
      <c r="B1135" s="42">
        <f t="shared" si="7"/>
        <v>1129</v>
      </c>
      <c r="C1135" s="67" t="s">
        <v>1264</v>
      </c>
      <c r="D1135" s="34" t="str">
        <f t="array" ref="D1135">IFNA(_xlfn.XLOOKUP(C1135,Table_Tarikan_Warkah[Nomor Sertipikat],Table_Tarikan_Warkah[Nomor Tiket]),"")</f>
        <v>K/37/060225/1</v>
      </c>
      <c r="E1135" s="36">
        <f t="array" ref="E1135">IFNA(_xlfn.XLOOKUP(D1135,Table_Tarikan_Warkah[Nomor Tiket],Table_Tarikan_Warkah[Tanggal diserahkan kepada Validator]),"")</f>
        <v>45706.45532</v>
      </c>
      <c r="F1135" s="36" t="str">
        <f t="array" ref="F1135">IFNA(_xlfn.XLOOKUP(D1135,Table_Tarikan_Warkah[Nomor Tiket],Table_Tarikan_Warkah[Nama Petugas Warkah]),"")</f>
        <v/>
      </c>
      <c r="G1135" s="39" t="str">
        <f t="array" ref="G1135">IFNA(_xlfn.XLOOKUP(D1135,Table_Tarikan_Warkah[Nomor Tiket],Table_Tarikan_Warkah[Jenis Permohonan]),"")</f>
        <v>BN JUAL BELI</v>
      </c>
      <c r="H1135" s="49" t="s">
        <v>20</v>
      </c>
      <c r="I1135" s="49" t="s">
        <v>23</v>
      </c>
      <c r="J1135" s="36">
        <f t="shared" si="20"/>
        <v>45702.63459</v>
      </c>
      <c r="K1135" s="49" t="s">
        <v>197</v>
      </c>
      <c r="L1135" s="49" t="s">
        <v>23</v>
      </c>
      <c r="M1135" s="36">
        <f t="shared" si="26"/>
        <v>45702.63427</v>
      </c>
      <c r="N1135" s="30" t="str">
        <f t="shared" si="27"/>
        <v>Selesai</v>
      </c>
      <c r="O1135" s="45">
        <f t="shared" si="23"/>
        <v>45702.63427</v>
      </c>
      <c r="P1135" s="47" t="b">
        <v>1</v>
      </c>
      <c r="Q1135" s="36">
        <f t="shared" si="24"/>
        <v>45702.6341</v>
      </c>
      <c r="R1135" s="47" t="b">
        <v>0</v>
      </c>
      <c r="S1135" s="42" t="str">
        <f t="shared" si="25"/>
        <v/>
      </c>
      <c r="T1135" s="42"/>
    </row>
    <row r="1136" ht="22.5" customHeight="1">
      <c r="B1136" s="42">
        <f t="shared" si="7"/>
        <v>1130</v>
      </c>
      <c r="C1136" s="67" t="s">
        <v>1265</v>
      </c>
      <c r="D1136" s="34" t="str">
        <f t="array" ref="D1136">IFNA(_xlfn.XLOOKUP(C1136,Table_Tarikan_Warkah[Nomor Sertipikat],Table_Tarikan_Warkah[Nomor Tiket]),"")</f>
        <v>K/24/060225/3</v>
      </c>
      <c r="E1136" s="36">
        <f t="array" ref="E1136">IFNA(_xlfn.XLOOKUP(D1136,Table_Tarikan_Warkah[Nomor Tiket],Table_Tarikan_Warkah[Tanggal diserahkan kepada Validator]),"")</f>
        <v>45706.45038</v>
      </c>
      <c r="F1136" s="36" t="str">
        <f t="array" ref="F1136">IFNA(_xlfn.XLOOKUP(D1136,Table_Tarikan_Warkah[Nomor Tiket],Table_Tarikan_Warkah[Nama Petugas Warkah]),"")</f>
        <v/>
      </c>
      <c r="G1136" s="39" t="str">
        <f t="array" ref="G1136">IFNA(_xlfn.XLOOKUP(D1136,Table_Tarikan_Warkah[Nomor Tiket],Table_Tarikan_Warkah[Jenis Permohonan]),"")</f>
        <v>BN JUAL BELI</v>
      </c>
      <c r="H1136" s="49" t="s">
        <v>20</v>
      </c>
      <c r="I1136" s="49" t="s">
        <v>23</v>
      </c>
      <c r="J1136" s="36">
        <f t="shared" si="20"/>
        <v>45702.63489</v>
      </c>
      <c r="K1136" s="49" t="s">
        <v>197</v>
      </c>
      <c r="L1136" s="49" t="s">
        <v>23</v>
      </c>
      <c r="M1136" s="36">
        <f t="shared" si="26"/>
        <v>45702.63427</v>
      </c>
      <c r="N1136" s="30" t="str">
        <f t="shared" si="27"/>
        <v>Selesai</v>
      </c>
      <c r="O1136" s="45">
        <f t="shared" si="23"/>
        <v>45702.63427</v>
      </c>
      <c r="P1136" s="47" t="b">
        <v>1</v>
      </c>
      <c r="Q1136" s="36">
        <f t="shared" si="24"/>
        <v>45702.63514</v>
      </c>
      <c r="R1136" s="47" t="b">
        <v>0</v>
      </c>
      <c r="S1136" s="42" t="str">
        <f t="shared" si="25"/>
        <v/>
      </c>
      <c r="T1136" s="42"/>
    </row>
    <row r="1137" ht="22.5" customHeight="1">
      <c r="B1137" s="42">
        <f t="shared" si="7"/>
        <v>1131</v>
      </c>
      <c r="C1137" s="67" t="s">
        <v>787</v>
      </c>
      <c r="D1137" s="34" t="str">
        <f t="array" ref="D1137">IFNA(_xlfn.XLOOKUP(C1137,Table_Tarikan_Warkah[Nomor Sertipikat],Table_Tarikan_Warkah[Nomor Tiket]),"")</f>
        <v>K/9/301224/2</v>
      </c>
      <c r="E1137" s="36">
        <f t="array" ref="E1137">IFNA(_xlfn.XLOOKUP(D1137,Table_Tarikan_Warkah[Nomor Tiket],Table_Tarikan_Warkah[Tanggal diserahkan kepada Validator]),"")</f>
        <v>45707.67043</v>
      </c>
      <c r="F1137" s="36" t="str">
        <f t="array" ref="F1137">IFNA(_xlfn.XLOOKUP(D1137,Table_Tarikan_Warkah[Nomor Tiket],Table_Tarikan_Warkah[Nama Petugas Warkah]),"")</f>
        <v/>
      </c>
      <c r="G1137" s="39" t="str">
        <f t="array" ref="G1137">IFNA(_xlfn.XLOOKUP(D1137,Table_Tarikan_Warkah[Nomor Tiket],Table_Tarikan_Warkah[Jenis Permohonan]),"")</f>
        <v>BN JUAL BELI</v>
      </c>
      <c r="H1137" s="49" t="s">
        <v>20</v>
      </c>
      <c r="I1137" s="49" t="s">
        <v>23</v>
      </c>
      <c r="J1137" s="36">
        <f t="shared" si="20"/>
        <v>45702.63513</v>
      </c>
      <c r="K1137" s="41" t="s">
        <v>197</v>
      </c>
      <c r="L1137" s="49" t="s">
        <v>23</v>
      </c>
      <c r="M1137" s="36">
        <f t="shared" si="26"/>
        <v>45702.63427</v>
      </c>
      <c r="N1137" s="30" t="str">
        <f t="shared" si="27"/>
        <v>Selesai</v>
      </c>
      <c r="O1137" s="45">
        <f t="shared" si="23"/>
        <v>45702.63427</v>
      </c>
      <c r="P1137" s="47" t="b">
        <v>1</v>
      </c>
      <c r="Q1137" s="36">
        <f t="shared" si="24"/>
        <v>45702.63513</v>
      </c>
      <c r="R1137" s="47" t="b">
        <v>0</v>
      </c>
      <c r="S1137" s="42" t="str">
        <f t="shared" si="25"/>
        <v/>
      </c>
      <c r="T1137" s="42"/>
    </row>
    <row r="1138" ht="22.5" customHeight="1">
      <c r="B1138" s="42">
        <f t="shared" si="7"/>
        <v>1132</v>
      </c>
      <c r="C1138" s="67" t="s">
        <v>1266</v>
      </c>
      <c r="D1138" s="34" t="str">
        <f t="array" ref="D1138">IFNA(_xlfn.XLOOKUP(C1138,Table_Tarikan_Warkah[Nomor Sertipikat],Table_Tarikan_Warkah[Nomor Tiket]),"")</f>
        <v>K/9/060225/1</v>
      </c>
      <c r="E1138" s="36" t="str">
        <f t="array" ref="E1138">IFNA(_xlfn.XLOOKUP(D1138,Table_Tarikan_Warkah[Nomor Tiket],Table_Tarikan_Warkah[Tanggal diserahkan kepada Validator]),"")</f>
        <v/>
      </c>
      <c r="F1138" s="36" t="str">
        <f t="array" ref="F1138">IFNA(_xlfn.XLOOKUP(D1138,Table_Tarikan_Warkah[Nomor Tiket],Table_Tarikan_Warkah[Nama Petugas Warkah]),"")</f>
        <v/>
      </c>
      <c r="G1138" s="39" t="str">
        <f t="array" ref="G1138">IFNA(_xlfn.XLOOKUP(D1138,Table_Tarikan_Warkah[Nomor Tiket],Table_Tarikan_Warkah[Jenis Permohonan]),"")</f>
        <v>BN JUAL BELI</v>
      </c>
      <c r="H1138" s="49" t="s">
        <v>20</v>
      </c>
      <c r="I1138" s="49" t="s">
        <v>23</v>
      </c>
      <c r="J1138" s="36">
        <f t="shared" si="20"/>
        <v>45702.63538</v>
      </c>
      <c r="K1138" s="49" t="s">
        <v>197</v>
      </c>
      <c r="L1138" s="49" t="s">
        <v>23</v>
      </c>
      <c r="M1138" s="36">
        <f t="shared" si="26"/>
        <v>45702.63427</v>
      </c>
      <c r="N1138" s="30" t="str">
        <f t="shared" si="27"/>
        <v>Selesai</v>
      </c>
      <c r="O1138" s="45">
        <f t="shared" si="23"/>
        <v>45702.63427</v>
      </c>
      <c r="P1138" s="47" t="b">
        <v>1</v>
      </c>
      <c r="Q1138" s="36">
        <f t="shared" si="24"/>
        <v>45702.63542</v>
      </c>
      <c r="R1138" s="47" t="b">
        <v>0</v>
      </c>
      <c r="S1138" s="42" t="str">
        <f t="shared" si="25"/>
        <v/>
      </c>
      <c r="T1138" s="42"/>
    </row>
    <row r="1139" ht="22.5" customHeight="1">
      <c r="B1139" s="42">
        <f t="shared" si="7"/>
        <v>1133</v>
      </c>
      <c r="C1139" s="67" t="s">
        <v>1267</v>
      </c>
      <c r="D1139" s="34" t="str">
        <f t="array" ref="D1139">IFNA(_xlfn.XLOOKUP(C1139,Table_Tarikan_Warkah[Nomor Sertipikat],Table_Tarikan_Warkah[Nomor Tiket]),"")</f>
        <v>K/25/060225/4</v>
      </c>
      <c r="E1139" s="36">
        <f t="array" ref="E1139">IFNA(_xlfn.XLOOKUP(D1139,Table_Tarikan_Warkah[Nomor Tiket],Table_Tarikan_Warkah[Tanggal diserahkan kepada Validator]),"")</f>
        <v>45706.45453</v>
      </c>
      <c r="F1139" s="36" t="str">
        <f t="array" ref="F1139">IFNA(_xlfn.XLOOKUP(D1139,Table_Tarikan_Warkah[Nomor Tiket],Table_Tarikan_Warkah[Nama Petugas Warkah]),"")</f>
        <v/>
      </c>
      <c r="G1139" s="39" t="str">
        <f t="array" ref="G1139">IFNA(_xlfn.XLOOKUP(D1139,Table_Tarikan_Warkah[Nomor Tiket],Table_Tarikan_Warkah[Jenis Permohonan]),"")</f>
        <v>TANJUNG KARANG</v>
      </c>
      <c r="H1139" s="49" t="s">
        <v>20</v>
      </c>
      <c r="I1139" s="49" t="s">
        <v>23</v>
      </c>
      <c r="J1139" s="36">
        <f t="shared" si="20"/>
        <v>45702.63571</v>
      </c>
      <c r="K1139" s="49" t="s">
        <v>197</v>
      </c>
      <c r="L1139" s="49" t="s">
        <v>23</v>
      </c>
      <c r="M1139" s="36">
        <f t="shared" si="26"/>
        <v>45702.63427</v>
      </c>
      <c r="N1139" s="30" t="str">
        <f t="shared" si="27"/>
        <v>Selesai</v>
      </c>
      <c r="O1139" s="45">
        <f t="shared" si="23"/>
        <v>45702.63427</v>
      </c>
      <c r="P1139" s="47" t="b">
        <v>1</v>
      </c>
      <c r="Q1139" s="36">
        <f t="shared" si="24"/>
        <v>45702.63573</v>
      </c>
      <c r="R1139" s="47" t="b">
        <v>0</v>
      </c>
      <c r="S1139" s="42" t="str">
        <f t="shared" si="25"/>
        <v/>
      </c>
      <c r="T1139" s="42"/>
    </row>
    <row r="1140" ht="22.5" customHeight="1">
      <c r="B1140" s="42">
        <f t="shared" si="7"/>
        <v>1134</v>
      </c>
      <c r="C1140" s="67" t="s">
        <v>1268</v>
      </c>
      <c r="D1140" s="34" t="str">
        <f t="array" ref="D1140">IFNA(_xlfn.XLOOKUP(C1140,Table_Tarikan_Warkah[Nomor Sertipikat],Table_Tarikan_Warkah[Nomor Tiket]),"")</f>
        <v>K/10/110225/2</v>
      </c>
      <c r="E1140" s="36" t="str">
        <f t="array" ref="E1140">IFNA(_xlfn.XLOOKUP(D1140,Table_Tarikan_Warkah[Nomor Tiket],Table_Tarikan_Warkah[Tanggal diserahkan kepada Validator]),"")</f>
        <v/>
      </c>
      <c r="F1140" s="36" t="str">
        <f t="array" ref="F1140">IFNA(_xlfn.XLOOKUP(D1140,Table_Tarikan_Warkah[Nomor Tiket],Table_Tarikan_Warkah[Nama Petugas Warkah]),"")</f>
        <v/>
      </c>
      <c r="G1140" s="39" t="str">
        <f t="array" ref="G1140">IFNA(_xlfn.XLOOKUP(D1140,Table_Tarikan_Warkah[Nomor Tiket],Table_Tarikan_Warkah[Jenis Permohonan]),"")</f>
        <v>BN WARISD</v>
      </c>
      <c r="H1140" s="49" t="s">
        <v>20</v>
      </c>
      <c r="I1140" s="49" t="s">
        <v>23</v>
      </c>
      <c r="J1140" s="36">
        <f t="shared" si="20"/>
        <v>45702.63683</v>
      </c>
      <c r="K1140" s="41" t="s">
        <v>197</v>
      </c>
      <c r="L1140" s="49" t="s">
        <v>23</v>
      </c>
      <c r="M1140" s="36">
        <f t="shared" si="26"/>
        <v>45702.63427</v>
      </c>
      <c r="N1140" s="30" t="str">
        <f t="shared" si="27"/>
        <v>Selesai</v>
      </c>
      <c r="O1140" s="45">
        <f t="shared" si="23"/>
        <v>45702.63427</v>
      </c>
      <c r="P1140" s="47" t="b">
        <v>1</v>
      </c>
      <c r="Q1140" s="36">
        <f t="shared" si="24"/>
        <v>45702.63676</v>
      </c>
      <c r="R1140" s="47" t="b">
        <v>0</v>
      </c>
      <c r="S1140" s="68" t="s">
        <v>1269</v>
      </c>
      <c r="T1140" s="42"/>
    </row>
    <row r="1141" ht="22.5" customHeight="1">
      <c r="B1141" s="42">
        <f t="shared" si="7"/>
        <v>1135</v>
      </c>
      <c r="C1141" s="31" t="s">
        <v>1270</v>
      </c>
      <c r="D1141" s="34" t="str">
        <f t="array" ref="D1141">IFNA(_xlfn.XLOOKUP(C1141,Table_Tarikan_Warkah[Nomor Sertipikat],Table_Tarikan_Warkah[Nomor Tiket]),"")</f>
        <v>K/1/060225/1</v>
      </c>
      <c r="E1141" s="36">
        <f t="array" ref="E1141">IFNA(_xlfn.XLOOKUP(D1141,Table_Tarikan_Warkah[Nomor Tiket],Table_Tarikan_Warkah[Tanggal diserahkan kepada Validator]),"")</f>
        <v>45706.45615</v>
      </c>
      <c r="F1141" s="36" t="str">
        <f t="array" ref="F1141">IFNA(_xlfn.XLOOKUP(D1141,Table_Tarikan_Warkah[Nomor Tiket],Table_Tarikan_Warkah[Nama Petugas Warkah]),"")</f>
        <v/>
      </c>
      <c r="G1141" s="39" t="str">
        <f t="array" ref="G1141">IFNA(_xlfn.XLOOKUP(D1141,Table_Tarikan_Warkah[Nomor Tiket],Table_Tarikan_Warkah[Jenis Permohonan]),"")</f>
        <v>BN HIBAH</v>
      </c>
      <c r="H1141" s="41" t="s">
        <v>20</v>
      </c>
      <c r="I1141" s="41" t="s">
        <v>23</v>
      </c>
      <c r="J1141" s="36">
        <f t="shared" si="20"/>
        <v>45705.58341</v>
      </c>
      <c r="K1141" s="49" t="s">
        <v>197</v>
      </c>
      <c r="L1141" s="49" t="s">
        <v>23</v>
      </c>
      <c r="M1141" s="36">
        <f t="shared" si="26"/>
        <v>45702.63427</v>
      </c>
      <c r="N1141" s="30" t="str">
        <f t="shared" si="27"/>
        <v>Selesai</v>
      </c>
      <c r="O1141" s="45">
        <f t="shared" si="23"/>
        <v>45702.63427</v>
      </c>
      <c r="P1141" s="47" t="b">
        <v>1</v>
      </c>
      <c r="Q1141" s="36">
        <f t="shared" si="24"/>
        <v>45705.58345</v>
      </c>
      <c r="R1141" s="47" t="b">
        <v>0</v>
      </c>
      <c r="S1141" s="42" t="str">
        <f t="shared" ref="S1141:S5241" si="28">IF(R1141=TRUE,IF(S1141&lt;&gt;"",S1141,NOW()),"")</f>
        <v/>
      </c>
      <c r="T1141" s="42"/>
    </row>
    <row r="1142" ht="22.5" customHeight="1">
      <c r="B1142" s="42">
        <f t="shared" si="7"/>
        <v>1136</v>
      </c>
      <c r="C1142" s="31" t="s">
        <v>1271</v>
      </c>
      <c r="D1142" s="34" t="str">
        <f t="array" ref="D1142">IFNA(_xlfn.XLOOKUP(C1142,Table_Tarikan_Warkah[Nomor Sertipikat],Table_Tarikan_Warkah[Nomor Tiket]),"")</f>
        <v>K/1/050225/1</v>
      </c>
      <c r="E1142" s="36" t="str">
        <f t="array" ref="E1142">IFNA(_xlfn.XLOOKUP(D1142,Table_Tarikan_Warkah[Nomor Tiket],Table_Tarikan_Warkah[Tanggal diserahkan kepada Validator]),"")</f>
        <v/>
      </c>
      <c r="F1142" s="36" t="str">
        <f t="array" ref="F1142">IFNA(_xlfn.XLOOKUP(D1142,Table_Tarikan_Warkah[Nomor Tiket],Table_Tarikan_Warkah[Nama Petugas Warkah]),"")</f>
        <v/>
      </c>
      <c r="G1142" s="39" t="str">
        <f t="array" ref="G1142">IFNA(_xlfn.XLOOKUP(D1142,Table_Tarikan_Warkah[Nomor Tiket],Table_Tarikan_Warkah[Jenis Permohonan]),"")</f>
        <v>BN WARIS</v>
      </c>
      <c r="H1142" s="41" t="s">
        <v>20</v>
      </c>
      <c r="I1142" s="41" t="s">
        <v>23</v>
      </c>
      <c r="J1142" s="36">
        <f t="shared" si="20"/>
        <v>45705.58364</v>
      </c>
      <c r="K1142" s="41" t="s">
        <v>197</v>
      </c>
      <c r="L1142" s="49" t="s">
        <v>23</v>
      </c>
      <c r="M1142" s="36">
        <f t="shared" si="26"/>
        <v>45705.5837</v>
      </c>
      <c r="N1142" s="30" t="str">
        <f t="shared" si="27"/>
        <v>Selesai</v>
      </c>
      <c r="O1142" s="45">
        <f t="shared" si="23"/>
        <v>45705.5837</v>
      </c>
      <c r="P1142" s="47" t="b">
        <v>1</v>
      </c>
      <c r="Q1142" s="36">
        <f t="shared" si="24"/>
        <v>45705.58373</v>
      </c>
      <c r="R1142" s="47" t="b">
        <v>0</v>
      </c>
      <c r="S1142" s="42" t="str">
        <f t="shared" si="28"/>
        <v/>
      </c>
      <c r="T1142" s="42"/>
    </row>
    <row r="1143" ht="22.5" customHeight="1">
      <c r="B1143" s="42">
        <f t="shared" si="7"/>
        <v>1137</v>
      </c>
      <c r="C1143" s="31" t="s">
        <v>1272</v>
      </c>
      <c r="D1143" s="34" t="str">
        <f t="array" ref="D1143">IFNA(_xlfn.XLOOKUP(C1143,Table_Tarikan_Warkah[Nomor Sertipikat],Table_Tarikan_Warkah[Nomor Tiket]),"")</f>
        <v>K/34/110225/1</v>
      </c>
      <c r="E1143" s="36">
        <f t="array" ref="E1143">IFNA(_xlfn.XLOOKUP(D1143,Table_Tarikan_Warkah[Nomor Tiket],Table_Tarikan_Warkah[Tanggal diserahkan kepada Validator]),"")</f>
        <v>45712.41379</v>
      </c>
      <c r="F1143" s="36" t="str">
        <f t="array" ref="F1143">IFNA(_xlfn.XLOOKUP(D1143,Table_Tarikan_Warkah[Nomor Tiket],Table_Tarikan_Warkah[Nama Petugas Warkah]),"")</f>
        <v/>
      </c>
      <c r="G1143" s="39" t="str">
        <f t="array" ref="G1143">IFNA(_xlfn.XLOOKUP(D1143,Table_Tarikan_Warkah[Nomor Tiket],Table_Tarikan_Warkah[Jenis Permohonan]),"")</f>
        <v>BN Jual Beli</v>
      </c>
      <c r="H1143" s="41" t="s">
        <v>11</v>
      </c>
      <c r="I1143" s="41" t="s">
        <v>23</v>
      </c>
      <c r="J1143" s="36">
        <f t="shared" si="20"/>
        <v>45705.63506</v>
      </c>
      <c r="K1143" s="49" t="s">
        <v>197</v>
      </c>
      <c r="L1143" s="49" t="s">
        <v>23</v>
      </c>
      <c r="M1143" s="36">
        <f t="shared" si="26"/>
        <v>45707.67512</v>
      </c>
      <c r="N1143" s="30" t="str">
        <f t="shared" si="27"/>
        <v>Selesai</v>
      </c>
      <c r="O1143" s="45">
        <f t="shared" si="23"/>
        <v>45707.67512</v>
      </c>
      <c r="P1143" s="47" t="b">
        <v>1</v>
      </c>
      <c r="Q1143" s="36">
        <f t="shared" si="24"/>
        <v>45707.67726</v>
      </c>
      <c r="R1143" s="47" t="b">
        <v>0</v>
      </c>
      <c r="S1143" s="42" t="str">
        <f t="shared" si="28"/>
        <v/>
      </c>
      <c r="T1143" s="42"/>
    </row>
    <row r="1144" ht="22.5" customHeight="1">
      <c r="B1144" s="42">
        <f t="shared" si="7"/>
        <v>1138</v>
      </c>
      <c r="C1144" s="31" t="s">
        <v>1273</v>
      </c>
      <c r="D1144" s="34" t="str">
        <f t="array" ref="D1144">IFNA(_xlfn.XLOOKUP(C1144,Table_Tarikan_Warkah[Nomor Sertipikat],Table_Tarikan_Warkah[Nomor Tiket]),"")</f>
        <v>K/5/300125/1</v>
      </c>
      <c r="E1144" s="36">
        <f t="array" ref="E1144">IFNA(_xlfn.XLOOKUP(D1144,Table_Tarikan_Warkah[Nomor Tiket],Table_Tarikan_Warkah[Tanggal diserahkan kepada Validator]),"")</f>
        <v>45712.41314</v>
      </c>
      <c r="F1144" s="36" t="str">
        <f t="array" ref="F1144">IFNA(_xlfn.XLOOKUP(D1144,Table_Tarikan_Warkah[Nomor Tiket],Table_Tarikan_Warkah[Nama Petugas Warkah]),"")</f>
        <v/>
      </c>
      <c r="G1144" s="39" t="str">
        <f t="array" ref="G1144">IFNA(_xlfn.XLOOKUP(D1144,Table_Tarikan_Warkah[Nomor Tiket],Table_Tarikan_Warkah[Jenis Permohonan]),"")</f>
        <v>BN Lelang</v>
      </c>
      <c r="H1144" s="41" t="s">
        <v>11</v>
      </c>
      <c r="I1144" s="41" t="s">
        <v>23</v>
      </c>
      <c r="J1144" s="36">
        <f t="shared" si="20"/>
        <v>45705.63509</v>
      </c>
      <c r="K1144" s="49" t="s">
        <v>197</v>
      </c>
      <c r="L1144" s="49" t="s">
        <v>23</v>
      </c>
      <c r="M1144" s="36">
        <f t="shared" si="26"/>
        <v>45707.67512</v>
      </c>
      <c r="N1144" s="30" t="str">
        <f t="shared" si="27"/>
        <v>Selesai</v>
      </c>
      <c r="O1144" s="45">
        <f t="shared" si="23"/>
        <v>45707.67512</v>
      </c>
      <c r="P1144" s="47" t="b">
        <v>1</v>
      </c>
      <c r="Q1144" s="36">
        <f t="shared" si="24"/>
        <v>45707.67726</v>
      </c>
      <c r="R1144" s="47" t="b">
        <v>0</v>
      </c>
      <c r="S1144" s="42" t="str">
        <f t="shared" si="28"/>
        <v/>
      </c>
      <c r="T1144" s="42"/>
    </row>
    <row r="1145" ht="22.5" customHeight="1">
      <c r="B1145" s="42">
        <f t="shared" si="7"/>
        <v>1139</v>
      </c>
      <c r="C1145" s="31" t="s">
        <v>1274</v>
      </c>
      <c r="D1145" s="34" t="str">
        <f t="array" ref="D1145">IFNA(_xlfn.XLOOKUP(C1145,Table_Tarikan_Warkah[Nomor Sertipikat],Table_Tarikan_Warkah[Nomor Tiket]),"")</f>
        <v>K/1/120225/1</v>
      </c>
      <c r="E1145" s="36">
        <f t="array" ref="E1145">IFNA(_xlfn.XLOOKUP(D1145,Table_Tarikan_Warkah[Nomor Tiket],Table_Tarikan_Warkah[Tanggal diserahkan kepada Validator]),"")</f>
        <v>45712.41337</v>
      </c>
      <c r="F1145" s="36" t="str">
        <f t="array" ref="F1145">IFNA(_xlfn.XLOOKUP(D1145,Table_Tarikan_Warkah[Nomor Tiket],Table_Tarikan_Warkah[Nama Petugas Warkah]),"")</f>
        <v/>
      </c>
      <c r="G1145" s="39" t="str">
        <f t="array" ref="G1145">IFNA(_xlfn.XLOOKUP(D1145,Table_Tarikan_Warkah[Nomor Tiket],Table_Tarikan_Warkah[Jenis Permohonan]),"")</f>
        <v>BN Jual Beli</v>
      </c>
      <c r="H1145" s="41" t="s">
        <v>11</v>
      </c>
      <c r="I1145" s="41" t="s">
        <v>23</v>
      </c>
      <c r="J1145" s="36">
        <f t="shared" si="20"/>
        <v>45705.63509</v>
      </c>
      <c r="K1145" s="41" t="s">
        <v>197</v>
      </c>
      <c r="L1145" s="49" t="s">
        <v>23</v>
      </c>
      <c r="M1145" s="36">
        <f t="shared" si="26"/>
        <v>45707.67512</v>
      </c>
      <c r="N1145" s="30" t="str">
        <f t="shared" si="27"/>
        <v>Selesai</v>
      </c>
      <c r="O1145" s="45">
        <f t="shared" si="23"/>
        <v>45707.67512</v>
      </c>
      <c r="P1145" s="47" t="b">
        <v>1</v>
      </c>
      <c r="Q1145" s="36">
        <f t="shared" si="24"/>
        <v>45707.67726</v>
      </c>
      <c r="R1145" s="47" t="b">
        <v>0</v>
      </c>
      <c r="S1145" s="42" t="str">
        <f t="shared" si="28"/>
        <v/>
      </c>
      <c r="T1145" s="42"/>
    </row>
    <row r="1146" ht="22.5" customHeight="1">
      <c r="B1146" s="42">
        <f t="shared" si="7"/>
        <v>1140</v>
      </c>
      <c r="C1146" s="31" t="s">
        <v>1275</v>
      </c>
      <c r="D1146" s="34" t="str">
        <f t="array" ref="D1146">IFNA(_xlfn.XLOOKUP(C1146,Table_Tarikan_Warkah[Nomor Sertipikat],Table_Tarikan_Warkah[Nomor Tiket]),"")</f>
        <v>K/22/130225/1</v>
      </c>
      <c r="E1146" s="36">
        <f t="array" ref="E1146">IFNA(_xlfn.XLOOKUP(D1146,Table_Tarikan_Warkah[Nomor Tiket],Table_Tarikan_Warkah[Tanggal diserahkan kepada Validator]),"")</f>
        <v>45712.4308</v>
      </c>
      <c r="F1146" s="36" t="str">
        <f t="array" ref="F1146">IFNA(_xlfn.XLOOKUP(D1146,Table_Tarikan_Warkah[Nomor Tiket],Table_Tarikan_Warkah[Nama Petugas Warkah]),"")</f>
        <v/>
      </c>
      <c r="G1146" s="39" t="str">
        <f t="array" ref="G1146">IFNA(_xlfn.XLOOKUP(D1146,Table_Tarikan_Warkah[Nomor Tiket],Table_Tarikan_Warkah[Jenis Permohonan]),"")</f>
        <v>BN Jual Beli</v>
      </c>
      <c r="H1146" s="41" t="s">
        <v>11</v>
      </c>
      <c r="I1146" s="41" t="s">
        <v>23</v>
      </c>
      <c r="J1146" s="36">
        <f t="shared" si="20"/>
        <v>45705.63509</v>
      </c>
      <c r="K1146" s="49" t="s">
        <v>197</v>
      </c>
      <c r="L1146" s="49" t="s">
        <v>23</v>
      </c>
      <c r="M1146" s="36">
        <f t="shared" si="26"/>
        <v>45707.67512</v>
      </c>
      <c r="N1146" s="30" t="str">
        <f t="shared" si="27"/>
        <v>Selesai</v>
      </c>
      <c r="O1146" s="45">
        <f t="shared" si="23"/>
        <v>45707.67512</v>
      </c>
      <c r="P1146" s="47" t="b">
        <v>1</v>
      </c>
      <c r="Q1146" s="36">
        <f t="shared" si="24"/>
        <v>45707.67726</v>
      </c>
      <c r="R1146" s="47" t="b">
        <v>0</v>
      </c>
      <c r="S1146" s="42" t="str">
        <f t="shared" si="28"/>
        <v/>
      </c>
      <c r="T1146" s="42"/>
    </row>
    <row r="1147" ht="22.5" customHeight="1">
      <c r="B1147" s="42">
        <f t="shared" si="7"/>
        <v>1141</v>
      </c>
      <c r="C1147" s="31" t="s">
        <v>1276</v>
      </c>
      <c r="D1147" s="34" t="str">
        <f t="array" ref="D1147">IFNA(_xlfn.XLOOKUP(C1147,Table_Tarikan_Warkah[Nomor Sertipikat],Table_Tarikan_Warkah[Nomor Tiket]),"")</f>
        <v>L/1/160225/1</v>
      </c>
      <c r="E1147" s="36">
        <f t="array" ref="E1147">IFNA(_xlfn.XLOOKUP(D1147,Table_Tarikan_Warkah[Nomor Tiket],Table_Tarikan_Warkah[Tanggal diserahkan kepada Validator]),"")</f>
        <v>45719.64151</v>
      </c>
      <c r="F1147" s="36" t="str">
        <f t="array" ref="F1147">IFNA(_xlfn.XLOOKUP(D1147,Table_Tarikan_Warkah[Nomor Tiket],Table_Tarikan_Warkah[Nama Petugas Warkah]),"")</f>
        <v/>
      </c>
      <c r="G1147" s="39" t="str">
        <f t="array" ref="G1147">IFNA(_xlfn.XLOOKUP(D1147,Table_Tarikan_Warkah[Nomor Tiket],Table_Tarikan_Warkah[Jenis Permohonan]),"")</f>
        <v>Roya</v>
      </c>
      <c r="H1147" s="41" t="s">
        <v>11</v>
      </c>
      <c r="I1147" s="41" t="s">
        <v>23</v>
      </c>
      <c r="J1147" s="36">
        <f t="shared" si="20"/>
        <v>45705.63509</v>
      </c>
      <c r="K1147" s="41" t="s">
        <v>197</v>
      </c>
      <c r="L1147" s="49" t="s">
        <v>23</v>
      </c>
      <c r="M1147" s="36">
        <f t="shared" si="26"/>
        <v>45707.67512</v>
      </c>
      <c r="N1147" s="30" t="str">
        <f t="shared" si="27"/>
        <v>Selesai</v>
      </c>
      <c r="O1147" s="45">
        <f t="shared" si="23"/>
        <v>45707.67512</v>
      </c>
      <c r="P1147" s="47" t="b">
        <v>1</v>
      </c>
      <c r="Q1147" s="36">
        <f t="shared" si="24"/>
        <v>45707.67726</v>
      </c>
      <c r="R1147" s="47" t="b">
        <v>0</v>
      </c>
      <c r="S1147" s="42" t="str">
        <f t="shared" si="28"/>
        <v/>
      </c>
      <c r="T1147" s="42"/>
    </row>
    <row r="1148" ht="22.5" customHeight="1">
      <c r="B1148" s="42">
        <f t="shared" si="7"/>
        <v>1142</v>
      </c>
      <c r="C1148" s="31" t="s">
        <v>1277</v>
      </c>
      <c r="D1148" s="34" t="str">
        <f t="array" ref="D1148">IFNA(_xlfn.XLOOKUP(C1148,Table_Tarikan_Warkah[Nomor Sertipikat],Table_Tarikan_Warkah[Nomor Tiket]),"")</f>
        <v>K/13/120225/3</v>
      </c>
      <c r="E1148" s="36">
        <f t="array" ref="E1148">IFNA(_xlfn.XLOOKUP(D1148,Table_Tarikan_Warkah[Nomor Tiket],Table_Tarikan_Warkah[Tanggal diserahkan kepada Validator]),"")</f>
        <v>45723.54692</v>
      </c>
      <c r="F1148" s="36" t="str">
        <f t="array" ref="F1148">IFNA(_xlfn.XLOOKUP(D1148,Table_Tarikan_Warkah[Nomor Tiket],Table_Tarikan_Warkah[Nama Petugas Warkah]),"")</f>
        <v/>
      </c>
      <c r="G1148" s="39" t="str">
        <f t="array" ref="G1148">IFNA(_xlfn.XLOOKUP(D1148,Table_Tarikan_Warkah[Nomor Tiket],Table_Tarikan_Warkah[Jenis Permohonan]),"")</f>
        <v>Roya</v>
      </c>
      <c r="H1148" s="41" t="s">
        <v>11</v>
      </c>
      <c r="I1148" s="41" t="s">
        <v>23</v>
      </c>
      <c r="J1148" s="36">
        <f t="shared" si="20"/>
        <v>45705.63509</v>
      </c>
      <c r="K1148" s="49" t="s">
        <v>197</v>
      </c>
      <c r="L1148" s="49" t="s">
        <v>23</v>
      </c>
      <c r="M1148" s="36">
        <f t="shared" si="26"/>
        <v>45707.67516</v>
      </c>
      <c r="N1148" s="30" t="str">
        <f t="shared" si="27"/>
        <v>Selesai</v>
      </c>
      <c r="O1148" s="45">
        <f t="shared" si="23"/>
        <v>45707.67516</v>
      </c>
      <c r="P1148" s="47" t="b">
        <v>1</v>
      </c>
      <c r="Q1148" s="36">
        <f t="shared" si="24"/>
        <v>45707.67729</v>
      </c>
      <c r="R1148" s="47" t="b">
        <v>0</v>
      </c>
      <c r="S1148" s="42" t="str">
        <f t="shared" si="28"/>
        <v/>
      </c>
      <c r="T1148" s="42"/>
    </row>
    <row r="1149" ht="22.5" customHeight="1">
      <c r="B1149" s="42">
        <f t="shared" si="7"/>
        <v>1143</v>
      </c>
      <c r="C1149" s="31" t="s">
        <v>1278</v>
      </c>
      <c r="D1149" s="34" t="str">
        <f t="array" ref="D1149">IFNA(_xlfn.XLOOKUP(C1149,Table_Tarikan_Warkah[Nomor Sertipikat],Table_Tarikan_Warkah[Nomor Tiket]),"")</f>
        <v>K/19/130225/1</v>
      </c>
      <c r="E1149" s="36">
        <f t="array" ref="E1149">IFNA(_xlfn.XLOOKUP(D1149,Table_Tarikan_Warkah[Nomor Tiket],Table_Tarikan_Warkah[Tanggal diserahkan kepada Validator]),"")</f>
        <v>45712.41431</v>
      </c>
      <c r="F1149" s="36" t="str">
        <f t="array" ref="F1149">IFNA(_xlfn.XLOOKUP(D1149,Table_Tarikan_Warkah[Nomor Tiket],Table_Tarikan_Warkah[Nama Petugas Warkah]),"")</f>
        <v/>
      </c>
      <c r="G1149" s="39" t="str">
        <f t="array" ref="G1149">IFNA(_xlfn.XLOOKUP(D1149,Table_Tarikan_Warkah[Nomor Tiket],Table_Tarikan_Warkah[Jenis Permohonan]),"")</f>
        <v>BN Hibah</v>
      </c>
      <c r="H1149" s="41" t="s">
        <v>11</v>
      </c>
      <c r="I1149" s="41" t="s">
        <v>23</v>
      </c>
      <c r="J1149" s="36">
        <f t="shared" si="20"/>
        <v>45705.63512</v>
      </c>
      <c r="K1149" s="49" t="s">
        <v>197</v>
      </c>
      <c r="L1149" s="49" t="s">
        <v>23</v>
      </c>
      <c r="M1149" s="36">
        <f t="shared" si="26"/>
        <v>45707.67516</v>
      </c>
      <c r="N1149" s="30" t="str">
        <f t="shared" si="27"/>
        <v>Selesai</v>
      </c>
      <c r="O1149" s="45">
        <f t="shared" si="23"/>
        <v>45707.67516</v>
      </c>
      <c r="P1149" s="47" t="b">
        <v>1</v>
      </c>
      <c r="Q1149" s="36">
        <f t="shared" si="24"/>
        <v>45707.67729</v>
      </c>
      <c r="R1149" s="47" t="b">
        <v>0</v>
      </c>
      <c r="S1149" s="42" t="str">
        <f t="shared" si="28"/>
        <v/>
      </c>
      <c r="T1149" s="42"/>
    </row>
    <row r="1150" ht="22.5" customHeight="1">
      <c r="B1150" s="42">
        <f t="shared" si="7"/>
        <v>1144</v>
      </c>
      <c r="C1150" s="31" t="s">
        <v>1279</v>
      </c>
      <c r="D1150" s="34" t="str">
        <f t="array" ref="D1150">IFNA(_xlfn.XLOOKUP(C1150,Table_Tarikan_Warkah[Nomor Sertipikat],Table_Tarikan_Warkah[Nomor Tiket]),"")</f>
        <v>K/53/100225/1</v>
      </c>
      <c r="E1150" s="36">
        <f t="array" ref="E1150">IFNA(_xlfn.XLOOKUP(D1150,Table_Tarikan_Warkah[Nomor Tiket],Table_Tarikan_Warkah[Tanggal diserahkan kepada Validator]),"")</f>
        <v>45708.4641</v>
      </c>
      <c r="F1150" s="36" t="str">
        <f t="array" ref="F1150">IFNA(_xlfn.XLOOKUP(D1150,Table_Tarikan_Warkah[Nomor Tiket],Table_Tarikan_Warkah[Nama Petugas Warkah]),"")</f>
        <v/>
      </c>
      <c r="G1150" s="39" t="str">
        <f t="array" ref="G1150">IFNA(_xlfn.XLOOKUP(D1150,Table_Tarikan_Warkah[Nomor Tiket],Table_Tarikan_Warkah[Jenis Permohonan]),"")</f>
        <v>BN JUAL BELI</v>
      </c>
      <c r="H1150" s="41" t="s">
        <v>11</v>
      </c>
      <c r="I1150" s="41" t="s">
        <v>23</v>
      </c>
      <c r="J1150" s="36">
        <f t="shared" si="20"/>
        <v>45706.60578</v>
      </c>
      <c r="K1150" s="41" t="s">
        <v>197</v>
      </c>
      <c r="L1150" s="49" t="s">
        <v>23</v>
      </c>
      <c r="M1150" s="36">
        <f t="shared" si="26"/>
        <v>45707.67516</v>
      </c>
      <c r="N1150" s="30" t="str">
        <f t="shared" si="27"/>
        <v>Selesai</v>
      </c>
      <c r="O1150" s="45">
        <f t="shared" si="23"/>
        <v>45707.67516</v>
      </c>
      <c r="P1150" s="47" t="b">
        <v>1</v>
      </c>
      <c r="Q1150" s="36">
        <f t="shared" si="24"/>
        <v>45707.67729</v>
      </c>
      <c r="R1150" s="47" t="b">
        <v>0</v>
      </c>
      <c r="S1150" s="42" t="str">
        <f t="shared" si="28"/>
        <v/>
      </c>
      <c r="T1150" s="42"/>
    </row>
    <row r="1151" ht="22.5" customHeight="1">
      <c r="B1151" s="42">
        <f t="shared" si="7"/>
        <v>1145</v>
      </c>
      <c r="C1151" s="31" t="s">
        <v>1280</v>
      </c>
      <c r="D1151" s="34" t="str">
        <f t="array" ref="D1151">IFNA(_xlfn.XLOOKUP(C1151,Table_Tarikan_Warkah[Nomor Sertipikat],Table_Tarikan_Warkah[Nomor Tiket]),"")</f>
        <v>K/4/120225/2</v>
      </c>
      <c r="E1151" s="36">
        <f t="array" ref="E1151">IFNA(_xlfn.XLOOKUP(D1151,Table_Tarikan_Warkah[Nomor Tiket],Table_Tarikan_Warkah[Tanggal diserahkan kepada Validator]),"")</f>
        <v>45708.46386</v>
      </c>
      <c r="F1151" s="36" t="str">
        <f t="array" ref="F1151">IFNA(_xlfn.XLOOKUP(D1151,Table_Tarikan_Warkah[Nomor Tiket],Table_Tarikan_Warkah[Nama Petugas Warkah]),"")</f>
        <v/>
      </c>
      <c r="G1151" s="39" t="str">
        <f t="array" ref="G1151">IFNA(_xlfn.XLOOKUP(D1151,Table_Tarikan_Warkah[Nomor Tiket],Table_Tarikan_Warkah[Jenis Permohonan]),"")</f>
        <v>BN JUAL BELI</v>
      </c>
      <c r="H1151" s="41" t="s">
        <v>11</v>
      </c>
      <c r="I1151" s="41" t="s">
        <v>23</v>
      </c>
      <c r="J1151" s="36">
        <f t="shared" si="20"/>
        <v>45706.60581</v>
      </c>
      <c r="K1151" s="49" t="s">
        <v>197</v>
      </c>
      <c r="L1151" s="49" t="s">
        <v>23</v>
      </c>
      <c r="M1151" s="36">
        <f t="shared" si="26"/>
        <v>45707.67516</v>
      </c>
      <c r="N1151" s="30" t="str">
        <f t="shared" si="27"/>
        <v>Selesai</v>
      </c>
      <c r="O1151" s="45">
        <f t="shared" si="23"/>
        <v>45707.67516</v>
      </c>
      <c r="P1151" s="47" t="b">
        <v>1</v>
      </c>
      <c r="Q1151" s="36">
        <f t="shared" si="24"/>
        <v>45707.67729</v>
      </c>
      <c r="R1151" s="47" t="b">
        <v>0</v>
      </c>
      <c r="S1151" s="42" t="str">
        <f t="shared" si="28"/>
        <v/>
      </c>
      <c r="T1151" s="42"/>
    </row>
    <row r="1152" ht="22.5" customHeight="1">
      <c r="B1152" s="42">
        <f t="shared" si="7"/>
        <v>1146</v>
      </c>
      <c r="C1152" s="31" t="s">
        <v>1281</v>
      </c>
      <c r="D1152" s="34" t="str">
        <f t="array" ref="D1152">IFNA(_xlfn.XLOOKUP(C1152,Table_Tarikan_Warkah[Nomor Sertipikat],Table_Tarikan_Warkah[Nomor Tiket]),"")</f>
        <v>K/9/110225/1</v>
      </c>
      <c r="E1152" s="36" t="str">
        <f t="array" ref="E1152">IFNA(_xlfn.XLOOKUP(D1152,Table_Tarikan_Warkah[Nomor Tiket],Table_Tarikan_Warkah[Tanggal diserahkan kepada Validator]),"")</f>
        <v/>
      </c>
      <c r="F1152" s="36" t="str">
        <f t="array" ref="F1152">IFNA(_xlfn.XLOOKUP(D1152,Table_Tarikan_Warkah[Nomor Tiket],Table_Tarikan_Warkah[Nama Petugas Warkah]),"")</f>
        <v/>
      </c>
      <c r="G1152" s="39" t="str">
        <f t="array" ref="G1152">IFNA(_xlfn.XLOOKUP(D1152,Table_Tarikan_Warkah[Nomor Tiket],Table_Tarikan_Warkah[Jenis Permohonan]),"")</f>
        <v>BN JUAL BELI</v>
      </c>
      <c r="H1152" s="41" t="s">
        <v>11</v>
      </c>
      <c r="I1152" s="41" t="s">
        <v>23</v>
      </c>
      <c r="J1152" s="36">
        <f t="shared" si="20"/>
        <v>45706.60581</v>
      </c>
      <c r="K1152" s="41" t="s">
        <v>197</v>
      </c>
      <c r="L1152" s="49" t="s">
        <v>23</v>
      </c>
      <c r="M1152" s="36">
        <f t="shared" si="26"/>
        <v>45707.67516</v>
      </c>
      <c r="N1152" s="30" t="str">
        <f t="shared" si="27"/>
        <v>Selesai</v>
      </c>
      <c r="O1152" s="45">
        <f t="shared" si="23"/>
        <v>45707.67516</v>
      </c>
      <c r="P1152" s="47" t="b">
        <v>1</v>
      </c>
      <c r="Q1152" s="36">
        <f t="shared" si="24"/>
        <v>45707.67729</v>
      </c>
      <c r="R1152" s="47" t="b">
        <v>0</v>
      </c>
      <c r="S1152" s="42" t="str">
        <f t="shared" si="28"/>
        <v/>
      </c>
      <c r="T1152" s="42"/>
    </row>
    <row r="1153" ht="22.5" customHeight="1">
      <c r="B1153" s="42">
        <f t="shared" si="7"/>
        <v>1147</v>
      </c>
      <c r="C1153" s="31" t="s">
        <v>1282</v>
      </c>
      <c r="D1153" s="34" t="str">
        <f t="array" ref="D1153">IFNA(_xlfn.XLOOKUP(C1153,Table_Tarikan_Warkah[Nomor Sertipikat],Table_Tarikan_Warkah[Nomor Tiket]),"")</f>
        <v>K/30/140225/5</v>
      </c>
      <c r="E1153" s="36">
        <f t="array" ref="E1153">IFNA(_xlfn.XLOOKUP(D1153,Table_Tarikan_Warkah[Nomor Tiket],Table_Tarikan_Warkah[Tanggal diserahkan kepada Validator]),"")</f>
        <v>45712.41166</v>
      </c>
      <c r="F1153" s="36" t="str">
        <f t="array" ref="F1153">IFNA(_xlfn.XLOOKUP(D1153,Table_Tarikan_Warkah[Nomor Tiket],Table_Tarikan_Warkah[Nama Petugas Warkah]),"")</f>
        <v/>
      </c>
      <c r="G1153" s="39" t="str">
        <f t="array" ref="G1153">IFNA(_xlfn.XLOOKUP(D1153,Table_Tarikan_Warkah[Nomor Tiket],Table_Tarikan_Warkah[Jenis Permohonan]),"")</f>
        <v>BN JUAL BELI</v>
      </c>
      <c r="H1153" s="41" t="s">
        <v>11</v>
      </c>
      <c r="I1153" s="41" t="s">
        <v>23</v>
      </c>
      <c r="J1153" s="36">
        <f t="shared" si="20"/>
        <v>45706.60581</v>
      </c>
      <c r="K1153" s="49" t="s">
        <v>197</v>
      </c>
      <c r="L1153" s="49" t="s">
        <v>23</v>
      </c>
      <c r="M1153" s="36">
        <f t="shared" si="26"/>
        <v>45707.67519</v>
      </c>
      <c r="N1153" s="30" t="str">
        <f t="shared" si="27"/>
        <v>Selesai</v>
      </c>
      <c r="O1153" s="45">
        <f t="shared" si="23"/>
        <v>45707.67519</v>
      </c>
      <c r="P1153" s="47" t="b">
        <v>1</v>
      </c>
      <c r="Q1153" s="36">
        <f t="shared" si="24"/>
        <v>45707.67736</v>
      </c>
      <c r="R1153" s="47" t="b">
        <v>0</v>
      </c>
      <c r="S1153" s="42" t="str">
        <f t="shared" si="28"/>
        <v/>
      </c>
      <c r="T1153" s="42"/>
    </row>
    <row r="1154" ht="22.5" customHeight="1">
      <c r="B1154" s="42">
        <f t="shared" si="7"/>
        <v>1148</v>
      </c>
      <c r="C1154" s="31" t="s">
        <v>1283</v>
      </c>
      <c r="D1154" s="34" t="str">
        <f t="array" ref="D1154">IFNA(_xlfn.XLOOKUP(C1154,Table_Tarikan_Warkah[Nomor Sertipikat],Table_Tarikan_Warkah[Nomor Tiket]),"")</f>
        <v>K/2/130225/1</v>
      </c>
      <c r="E1154" s="36">
        <f t="array" ref="E1154">IFNA(_xlfn.XLOOKUP(D1154,Table_Tarikan_Warkah[Nomor Tiket],Table_Tarikan_Warkah[Tanggal diserahkan kepada Validator]),"")</f>
        <v>45708.46557</v>
      </c>
      <c r="F1154" s="36" t="str">
        <f t="array" ref="F1154">IFNA(_xlfn.XLOOKUP(D1154,Table_Tarikan_Warkah[Nomor Tiket],Table_Tarikan_Warkah[Nama Petugas Warkah]),"")</f>
        <v/>
      </c>
      <c r="G1154" s="39" t="str">
        <f t="array" ref="G1154">IFNA(_xlfn.XLOOKUP(D1154,Table_Tarikan_Warkah[Nomor Tiket],Table_Tarikan_Warkah[Jenis Permohonan]),"")</f>
        <v>BN JUAL BELI</v>
      </c>
      <c r="H1154" s="41" t="s">
        <v>11</v>
      </c>
      <c r="I1154" s="41" t="s">
        <v>23</v>
      </c>
      <c r="J1154" s="36">
        <f t="shared" si="20"/>
        <v>45706.60581</v>
      </c>
      <c r="K1154" s="49" t="s">
        <v>197</v>
      </c>
      <c r="L1154" s="49" t="s">
        <v>23</v>
      </c>
      <c r="M1154" s="36">
        <f t="shared" si="26"/>
        <v>45707.67519</v>
      </c>
      <c r="N1154" s="30" t="str">
        <f t="shared" si="27"/>
        <v>Selesai</v>
      </c>
      <c r="O1154" s="45">
        <f t="shared" si="23"/>
        <v>45707.67519</v>
      </c>
      <c r="P1154" s="47" t="b">
        <v>1</v>
      </c>
      <c r="Q1154" s="36">
        <f t="shared" si="24"/>
        <v>45707.67736</v>
      </c>
      <c r="R1154" s="47" t="b">
        <v>0</v>
      </c>
      <c r="S1154" s="42" t="str">
        <f t="shared" si="28"/>
        <v/>
      </c>
      <c r="T1154" s="42"/>
    </row>
    <row r="1155" ht="22.5" customHeight="1">
      <c r="B1155" s="42">
        <f t="shared" si="7"/>
        <v>1149</v>
      </c>
      <c r="C1155" s="31" t="s">
        <v>1284</v>
      </c>
      <c r="D1155" s="34" t="str">
        <f t="array" ref="D1155">IFNA(_xlfn.XLOOKUP(C1155,Table_Tarikan_Warkah[Nomor Sertipikat],Table_Tarikan_Warkah[Nomor Tiket]),"")</f>
        <v>K/25/050225/2</v>
      </c>
      <c r="E1155" s="36">
        <f t="array" ref="E1155">IFNA(_xlfn.XLOOKUP(D1155,Table_Tarikan_Warkah[Nomor Tiket],Table_Tarikan_Warkah[Tanggal diserahkan kepada Validator]),"")</f>
        <v>45708.46728</v>
      </c>
      <c r="F1155" s="36" t="str">
        <f t="array" ref="F1155">IFNA(_xlfn.XLOOKUP(D1155,Table_Tarikan_Warkah[Nomor Tiket],Table_Tarikan_Warkah[Nama Petugas Warkah]),"")</f>
        <v/>
      </c>
      <c r="G1155" s="39" t="str">
        <f t="array" ref="G1155">IFNA(_xlfn.XLOOKUP(D1155,Table_Tarikan_Warkah[Nomor Tiket],Table_Tarikan_Warkah[Jenis Permohonan]),"")</f>
        <v>BN JUAL BELI</v>
      </c>
      <c r="H1155" s="41" t="s">
        <v>11</v>
      </c>
      <c r="I1155" s="41" t="s">
        <v>23</v>
      </c>
      <c r="J1155" s="36">
        <f t="shared" si="20"/>
        <v>45706.60581</v>
      </c>
      <c r="K1155" s="41" t="s">
        <v>197</v>
      </c>
      <c r="L1155" s="49" t="s">
        <v>23</v>
      </c>
      <c r="M1155" s="36">
        <f t="shared" si="26"/>
        <v>45707.67519</v>
      </c>
      <c r="N1155" s="30" t="str">
        <f t="shared" si="27"/>
        <v>Selesai</v>
      </c>
      <c r="O1155" s="45">
        <f t="shared" si="23"/>
        <v>45707.67519</v>
      </c>
      <c r="P1155" s="47" t="b">
        <v>1</v>
      </c>
      <c r="Q1155" s="36">
        <f t="shared" si="24"/>
        <v>45707.67736</v>
      </c>
      <c r="R1155" s="47" t="b">
        <v>0</v>
      </c>
      <c r="S1155" s="42" t="str">
        <f t="shared" si="28"/>
        <v/>
      </c>
      <c r="T1155" s="42"/>
    </row>
    <row r="1156" ht="22.5" customHeight="1">
      <c r="B1156" s="42">
        <f t="shared" si="7"/>
        <v>1150</v>
      </c>
      <c r="C1156" s="31" t="s">
        <v>1285</v>
      </c>
      <c r="D1156" s="34" t="str">
        <f t="array" ref="D1156">IFNA(_xlfn.XLOOKUP(C1156,Table_Tarikan_Warkah[Nomor Sertipikat],Table_Tarikan_Warkah[Nomor Tiket]),"")</f>
        <v>K/3/130225/2</v>
      </c>
      <c r="E1156" s="36" t="str">
        <f t="array" ref="E1156">IFNA(_xlfn.XLOOKUP(D1156,Table_Tarikan_Warkah[Nomor Tiket],Table_Tarikan_Warkah[Tanggal diserahkan kepada Validator]),"")</f>
        <v/>
      </c>
      <c r="F1156" s="36" t="str">
        <f t="array" ref="F1156">IFNA(_xlfn.XLOOKUP(D1156,Table_Tarikan_Warkah[Nomor Tiket],Table_Tarikan_Warkah[Nama Petugas Warkah]),"")</f>
        <v/>
      </c>
      <c r="G1156" s="39" t="str">
        <f t="array" ref="G1156">IFNA(_xlfn.XLOOKUP(D1156,Table_Tarikan_Warkah[Nomor Tiket],Table_Tarikan_Warkah[Jenis Permohonan]),"")</f>
        <v>BN JUAL BELI</v>
      </c>
      <c r="H1156" s="41" t="s">
        <v>11</v>
      </c>
      <c r="I1156" s="41" t="s">
        <v>23</v>
      </c>
      <c r="J1156" s="36">
        <f t="shared" si="20"/>
        <v>45706.60581</v>
      </c>
      <c r="K1156" s="49" t="s">
        <v>197</v>
      </c>
      <c r="L1156" s="49" t="s">
        <v>23</v>
      </c>
      <c r="M1156" s="36">
        <f t="shared" si="26"/>
        <v>45707.67519</v>
      </c>
      <c r="N1156" s="30" t="str">
        <f t="shared" si="27"/>
        <v>Selesai</v>
      </c>
      <c r="O1156" s="45">
        <f t="shared" si="23"/>
        <v>45707.67519</v>
      </c>
      <c r="P1156" s="47" t="b">
        <v>1</v>
      </c>
      <c r="Q1156" s="36">
        <f t="shared" si="24"/>
        <v>45707.67736</v>
      </c>
      <c r="R1156" s="47" t="b">
        <v>0</v>
      </c>
      <c r="S1156" s="42" t="str">
        <f t="shared" si="28"/>
        <v/>
      </c>
      <c r="T1156" s="42"/>
    </row>
    <row r="1157" ht="22.5" customHeight="1">
      <c r="B1157" s="42">
        <f t="shared" si="7"/>
        <v>1151</v>
      </c>
      <c r="C1157" s="31" t="s">
        <v>1286</v>
      </c>
      <c r="D1157" s="34" t="str">
        <f t="array" ref="D1157">IFNA(_xlfn.XLOOKUP(C1157,Table_Tarikan_Warkah[Nomor Sertipikat],Table_Tarikan_Warkah[Nomor Tiket]),"")</f>
        <v>K/7/130225/3</v>
      </c>
      <c r="E1157" s="36">
        <f t="array" ref="E1157">IFNA(_xlfn.XLOOKUP(D1157,Table_Tarikan_Warkah[Nomor Tiket],Table_Tarikan_Warkah[Tanggal diserahkan kepada Validator]),"")</f>
        <v>45708.4651</v>
      </c>
      <c r="F1157" s="36" t="str">
        <f t="array" ref="F1157">IFNA(_xlfn.XLOOKUP(D1157,Table_Tarikan_Warkah[Nomor Tiket],Table_Tarikan_Warkah[Nama Petugas Warkah]),"")</f>
        <v/>
      </c>
      <c r="G1157" s="39" t="str">
        <f t="array" ref="G1157">IFNA(_xlfn.XLOOKUP(D1157,Table_Tarikan_Warkah[Nomor Tiket],Table_Tarikan_Warkah[Jenis Permohonan]),"")</f>
        <v>BN JUAL BELI</v>
      </c>
      <c r="H1157" s="41" t="s">
        <v>11</v>
      </c>
      <c r="I1157" s="41" t="s">
        <v>23</v>
      </c>
      <c r="J1157" s="36">
        <f t="shared" si="20"/>
        <v>45706.60581</v>
      </c>
      <c r="K1157" s="41" t="s">
        <v>197</v>
      </c>
      <c r="L1157" s="49" t="s">
        <v>23</v>
      </c>
      <c r="M1157" s="36">
        <f t="shared" si="26"/>
        <v>45707.67519</v>
      </c>
      <c r="N1157" s="30" t="str">
        <f t="shared" si="27"/>
        <v>Selesai</v>
      </c>
      <c r="O1157" s="45">
        <f t="shared" si="23"/>
        <v>45707.67519</v>
      </c>
      <c r="P1157" s="47" t="b">
        <v>1</v>
      </c>
      <c r="Q1157" s="36">
        <f t="shared" si="24"/>
        <v>45707.67736</v>
      </c>
      <c r="R1157" s="47" t="b">
        <v>0</v>
      </c>
      <c r="S1157" s="42" t="str">
        <f t="shared" si="28"/>
        <v/>
      </c>
      <c r="T1157" s="42"/>
    </row>
    <row r="1158" ht="22.5" customHeight="1">
      <c r="B1158" s="42">
        <f t="shared" si="7"/>
        <v>1152</v>
      </c>
      <c r="C1158" s="31" t="s">
        <v>1287</v>
      </c>
      <c r="D1158" s="34" t="str">
        <f t="array" ref="D1158">IFNA(_xlfn.XLOOKUP(C1158,Table_Tarikan_Warkah[Nomor Sertipikat],Table_Tarikan_Warkah[Nomor Tiket]),"")</f>
        <v>K/9/120225/1</v>
      </c>
      <c r="E1158" s="36">
        <f t="array" ref="E1158">IFNA(_xlfn.XLOOKUP(D1158,Table_Tarikan_Warkah[Nomor Tiket],Table_Tarikan_Warkah[Tanggal diserahkan kepada Validator]),"")</f>
        <v>45708.46642</v>
      </c>
      <c r="F1158" s="36" t="str">
        <f t="array" ref="F1158">IFNA(_xlfn.XLOOKUP(D1158,Table_Tarikan_Warkah[Nomor Tiket],Table_Tarikan_Warkah[Nama Petugas Warkah]),"")</f>
        <v/>
      </c>
      <c r="G1158" s="39" t="str">
        <f t="array" ref="G1158">IFNA(_xlfn.XLOOKUP(D1158,Table_Tarikan_Warkah[Nomor Tiket],Table_Tarikan_Warkah[Jenis Permohonan]),"")</f>
        <v>BN JUAL BELI</v>
      </c>
      <c r="H1158" s="41" t="s">
        <v>11</v>
      </c>
      <c r="I1158" s="41" t="s">
        <v>23</v>
      </c>
      <c r="J1158" s="36">
        <f t="shared" si="20"/>
        <v>45706.60581</v>
      </c>
      <c r="K1158" s="49" t="s">
        <v>197</v>
      </c>
      <c r="L1158" s="49" t="s">
        <v>23</v>
      </c>
      <c r="M1158" s="36">
        <f t="shared" si="26"/>
        <v>45707.67634</v>
      </c>
      <c r="N1158" s="30" t="str">
        <f t="shared" si="27"/>
        <v>Selesai</v>
      </c>
      <c r="O1158" s="45">
        <f t="shared" si="23"/>
        <v>45707.67634</v>
      </c>
      <c r="P1158" s="47" t="b">
        <v>1</v>
      </c>
      <c r="Q1158" s="36">
        <f t="shared" si="24"/>
        <v>45707.67736</v>
      </c>
      <c r="R1158" s="47" t="b">
        <v>0</v>
      </c>
      <c r="S1158" s="42" t="str">
        <f t="shared" si="28"/>
        <v/>
      </c>
      <c r="T1158" s="42"/>
    </row>
    <row r="1159" ht="22.5" customHeight="1">
      <c r="B1159" s="42">
        <f t="shared" si="7"/>
        <v>1153</v>
      </c>
      <c r="C1159" s="31" t="s">
        <v>1288</v>
      </c>
      <c r="D1159" s="34" t="str">
        <f t="array" ref="D1159">IFNA(_xlfn.XLOOKUP(C1159,Table_Tarikan_Warkah[Nomor Sertipikat],Table_Tarikan_Warkah[Nomor Tiket]),"")</f>
        <v>K/16/110225/2</v>
      </c>
      <c r="E1159" s="36">
        <f t="array" ref="E1159">IFNA(_xlfn.XLOOKUP(D1159,Table_Tarikan_Warkah[Nomor Tiket],Table_Tarikan_Warkah[Tanggal diserahkan kepada Validator]),"")</f>
        <v>45708.46606</v>
      </c>
      <c r="F1159" s="36" t="str">
        <f t="array" ref="F1159">IFNA(_xlfn.XLOOKUP(D1159,Table_Tarikan_Warkah[Nomor Tiket],Table_Tarikan_Warkah[Nama Petugas Warkah]),"")</f>
        <v/>
      </c>
      <c r="G1159" s="39" t="str">
        <f t="array" ref="G1159">IFNA(_xlfn.XLOOKUP(D1159,Table_Tarikan_Warkah[Nomor Tiket],Table_Tarikan_Warkah[Jenis Permohonan]),"")</f>
        <v>BN JUAL BELI</v>
      </c>
      <c r="H1159" s="41" t="s">
        <v>11</v>
      </c>
      <c r="I1159" s="41" t="s">
        <v>23</v>
      </c>
      <c r="J1159" s="36">
        <f t="shared" si="20"/>
        <v>45706.60583</v>
      </c>
      <c r="K1159" s="49" t="s">
        <v>197</v>
      </c>
      <c r="L1159" s="49" t="s">
        <v>23</v>
      </c>
      <c r="M1159" s="36">
        <f t="shared" si="26"/>
        <v>45707.67634</v>
      </c>
      <c r="N1159" s="30" t="str">
        <f t="shared" si="27"/>
        <v>Selesai</v>
      </c>
      <c r="O1159" s="45">
        <f t="shared" si="23"/>
        <v>45707.67634</v>
      </c>
      <c r="P1159" s="47" t="b">
        <v>1</v>
      </c>
      <c r="Q1159" s="36">
        <f t="shared" si="24"/>
        <v>45707.67736</v>
      </c>
      <c r="R1159" s="47" t="b">
        <v>0</v>
      </c>
      <c r="S1159" s="42" t="str">
        <f t="shared" si="28"/>
        <v/>
      </c>
      <c r="T1159" s="42"/>
    </row>
    <row r="1160" ht="22.5" customHeight="1">
      <c r="B1160" s="42">
        <f t="shared" si="7"/>
        <v>1154</v>
      </c>
      <c r="C1160" s="31" t="s">
        <v>1289</v>
      </c>
      <c r="D1160" s="34" t="str">
        <f t="array" ref="D1160">IFNA(_xlfn.XLOOKUP(C1160,Table_Tarikan_Warkah[Nomor Sertipikat],Table_Tarikan_Warkah[Nomor Tiket]),"")</f>
        <v>K/18/040225/1</v>
      </c>
      <c r="E1160" s="36">
        <f t="array" ref="E1160">IFNA(_xlfn.XLOOKUP(D1160,Table_Tarikan_Warkah[Nomor Tiket],Table_Tarikan_Warkah[Tanggal diserahkan kepada Validator]),"")</f>
        <v>45708.46343</v>
      </c>
      <c r="F1160" s="36" t="str">
        <f t="array" ref="F1160">IFNA(_xlfn.XLOOKUP(D1160,Table_Tarikan_Warkah[Nomor Tiket],Table_Tarikan_Warkah[Nama Petugas Warkah]),"")</f>
        <v/>
      </c>
      <c r="G1160" s="39" t="str">
        <f t="array" ref="G1160">IFNA(_xlfn.XLOOKUP(D1160,Table_Tarikan_Warkah[Nomor Tiket],Table_Tarikan_Warkah[Jenis Permohonan]),"")</f>
        <v>BN JUAL BELI</v>
      </c>
      <c r="H1160" s="41" t="s">
        <v>11</v>
      </c>
      <c r="I1160" s="41" t="s">
        <v>23</v>
      </c>
      <c r="J1160" s="36">
        <f t="shared" si="20"/>
        <v>45706.60583</v>
      </c>
      <c r="K1160" s="41" t="s">
        <v>197</v>
      </c>
      <c r="L1160" s="49" t="s">
        <v>23</v>
      </c>
      <c r="M1160" s="36">
        <f t="shared" si="26"/>
        <v>45707.67634</v>
      </c>
      <c r="N1160" s="30" t="str">
        <f t="shared" si="27"/>
        <v>Selesai</v>
      </c>
      <c r="O1160" s="45">
        <f t="shared" si="23"/>
        <v>45707.67634</v>
      </c>
      <c r="P1160" s="47" t="b">
        <v>1</v>
      </c>
      <c r="Q1160" s="36">
        <f t="shared" si="24"/>
        <v>45707.67736</v>
      </c>
      <c r="R1160" s="47" t="b">
        <v>0</v>
      </c>
      <c r="S1160" s="42" t="str">
        <f t="shared" si="28"/>
        <v/>
      </c>
      <c r="T1160" s="42"/>
    </row>
    <row r="1161" ht="22.5" customHeight="1">
      <c r="B1161" s="42">
        <f t="shared" si="7"/>
        <v>1155</v>
      </c>
      <c r="C1161" s="31" t="s">
        <v>1290</v>
      </c>
      <c r="D1161" s="34" t="str">
        <f t="array" ref="D1161">IFNA(_xlfn.XLOOKUP(C1161,Table_Tarikan_Warkah[Nomor Sertipikat],Table_Tarikan_Warkah[Nomor Tiket]),"")</f>
        <v>K/31/030225/1</v>
      </c>
      <c r="E1161" s="36">
        <f t="array" ref="E1161">IFNA(_xlfn.XLOOKUP(D1161,Table_Tarikan_Warkah[Nomor Tiket],Table_Tarikan_Warkah[Tanggal diserahkan kepada Validator]),"")</f>
        <v>45719.64043</v>
      </c>
      <c r="F1161" s="36" t="str">
        <f t="array" ref="F1161">IFNA(_xlfn.XLOOKUP(D1161,Table_Tarikan_Warkah[Nomor Tiket],Table_Tarikan_Warkah[Nama Petugas Warkah]),"")</f>
        <v/>
      </c>
      <c r="G1161" s="39" t="str">
        <f t="array" ref="G1161">IFNA(_xlfn.XLOOKUP(D1161,Table_Tarikan_Warkah[Nomor Tiket],Table_Tarikan_Warkah[Jenis Permohonan]),"")</f>
        <v>ROYA</v>
      </c>
      <c r="H1161" s="41" t="s">
        <v>11</v>
      </c>
      <c r="I1161" s="41" t="s">
        <v>23</v>
      </c>
      <c r="J1161" s="36">
        <f t="shared" si="20"/>
        <v>45706.60583</v>
      </c>
      <c r="K1161" s="49" t="s">
        <v>197</v>
      </c>
      <c r="L1161" s="49" t="s">
        <v>23</v>
      </c>
      <c r="M1161" s="36">
        <f t="shared" si="26"/>
        <v>45707.67634</v>
      </c>
      <c r="N1161" s="30" t="str">
        <f t="shared" si="27"/>
        <v>Selesai</v>
      </c>
      <c r="O1161" s="45">
        <f t="shared" si="23"/>
        <v>45707.67634</v>
      </c>
      <c r="P1161" s="47" t="b">
        <v>1</v>
      </c>
      <c r="Q1161" s="36">
        <f t="shared" si="24"/>
        <v>45707.67736</v>
      </c>
      <c r="R1161" s="47" t="b">
        <v>0</v>
      </c>
      <c r="S1161" s="42" t="str">
        <f t="shared" si="28"/>
        <v/>
      </c>
      <c r="T1161" s="42"/>
    </row>
    <row r="1162" ht="22.5" customHeight="1">
      <c r="B1162" s="42">
        <f t="shared" si="7"/>
        <v>1156</v>
      </c>
      <c r="C1162" s="31" t="s">
        <v>1291</v>
      </c>
      <c r="D1162" s="34" t="str">
        <f t="array" ref="D1162">IFNA(_xlfn.XLOOKUP(C1162,Table_Tarikan_Warkah[Nomor Sertipikat],Table_Tarikan_Warkah[Nomor Tiket]),"")</f>
        <v>K/21/100225/1</v>
      </c>
      <c r="E1162" s="36">
        <f t="array" ref="E1162">IFNA(_xlfn.XLOOKUP(D1162,Table_Tarikan_Warkah[Nomor Tiket],Table_Tarikan_Warkah[Tanggal diserahkan kepada Validator]),"")</f>
        <v>45708.46687</v>
      </c>
      <c r="F1162" s="36" t="str">
        <f t="array" ref="F1162">IFNA(_xlfn.XLOOKUP(D1162,Table_Tarikan_Warkah[Nomor Tiket],Table_Tarikan_Warkah[Nama Petugas Warkah]),"")</f>
        <v/>
      </c>
      <c r="G1162" s="39" t="str">
        <f t="array" ref="G1162">IFNA(_xlfn.XLOOKUP(D1162,Table_Tarikan_Warkah[Nomor Tiket],Table_Tarikan_Warkah[Jenis Permohonan]),"")</f>
        <v>BN JUAL BELI</v>
      </c>
      <c r="H1162" s="41" t="s">
        <v>11</v>
      </c>
      <c r="I1162" s="41" t="s">
        <v>23</v>
      </c>
      <c r="J1162" s="36">
        <f t="shared" si="20"/>
        <v>45706.60583</v>
      </c>
      <c r="K1162" s="41" t="s">
        <v>197</v>
      </c>
      <c r="L1162" s="49" t="s">
        <v>23</v>
      </c>
      <c r="M1162" s="36">
        <f t="shared" si="26"/>
        <v>45707.67634</v>
      </c>
      <c r="N1162" s="30" t="str">
        <f t="shared" si="27"/>
        <v>Selesai</v>
      </c>
      <c r="O1162" s="45">
        <f t="shared" si="23"/>
        <v>45707.67634</v>
      </c>
      <c r="P1162" s="47" t="b">
        <v>1</v>
      </c>
      <c r="Q1162" s="36">
        <f t="shared" si="24"/>
        <v>45707.67736</v>
      </c>
      <c r="R1162" s="47" t="b">
        <v>0</v>
      </c>
      <c r="S1162" s="42" t="str">
        <f t="shared" si="28"/>
        <v/>
      </c>
      <c r="T1162" s="42"/>
    </row>
    <row r="1163" ht="22.5" customHeight="1">
      <c r="B1163" s="42">
        <f t="shared" si="7"/>
        <v>1157</v>
      </c>
      <c r="C1163" s="31" t="s">
        <v>1292</v>
      </c>
      <c r="D1163" s="34" t="str">
        <f t="array" ref="D1163">IFNA(_xlfn.XLOOKUP(C1163,Table_Tarikan_Warkah[Nomor Sertipikat],Table_Tarikan_Warkah[Nomor Tiket]),"")</f>
        <v>K/32/110225/1</v>
      </c>
      <c r="E1163" s="36">
        <f t="array" ref="E1163">IFNA(_xlfn.XLOOKUP(D1163,Table_Tarikan_Warkah[Nomor Tiket],Table_Tarikan_Warkah[Tanggal diserahkan kepada Validator]),"")</f>
        <v>45708.46427</v>
      </c>
      <c r="F1163" s="36" t="str">
        <f t="array" ref="F1163">IFNA(_xlfn.XLOOKUP(D1163,Table_Tarikan_Warkah[Nomor Tiket],Table_Tarikan_Warkah[Nama Petugas Warkah]),"")</f>
        <v/>
      </c>
      <c r="G1163" s="39" t="str">
        <f t="array" ref="G1163">IFNA(_xlfn.XLOOKUP(D1163,Table_Tarikan_Warkah[Nomor Tiket],Table_Tarikan_Warkah[Jenis Permohonan]),"")</f>
        <v>BN HIBAH</v>
      </c>
      <c r="H1163" s="41" t="s">
        <v>11</v>
      </c>
      <c r="I1163" s="41" t="s">
        <v>23</v>
      </c>
      <c r="J1163" s="36">
        <f t="shared" si="20"/>
        <v>45706.60583</v>
      </c>
      <c r="K1163" s="49" t="s">
        <v>197</v>
      </c>
      <c r="L1163" s="49" t="s">
        <v>23</v>
      </c>
      <c r="M1163" s="36">
        <f t="shared" si="26"/>
        <v>45707.67637</v>
      </c>
      <c r="N1163" s="30" t="str">
        <f t="shared" si="27"/>
        <v>Selesai</v>
      </c>
      <c r="O1163" s="45">
        <f t="shared" si="23"/>
        <v>45707.67637</v>
      </c>
      <c r="P1163" s="47" t="b">
        <v>1</v>
      </c>
      <c r="Q1163" s="36">
        <f t="shared" si="24"/>
        <v>45707.67736</v>
      </c>
      <c r="R1163" s="47" t="b">
        <v>0</v>
      </c>
      <c r="S1163" s="42" t="str">
        <f t="shared" si="28"/>
        <v/>
      </c>
      <c r="T1163" s="42"/>
    </row>
    <row r="1164" ht="22.5" customHeight="1">
      <c r="B1164" s="42">
        <f t="shared" si="7"/>
        <v>1158</v>
      </c>
      <c r="C1164" s="31" t="s">
        <v>1293</v>
      </c>
      <c r="D1164" s="34" t="str">
        <f t="array" ref="D1164">IFNA(_xlfn.XLOOKUP(C1164,Table_Tarikan_Warkah[Nomor Sertipikat],Table_Tarikan_Warkah[Nomor Tiket]),"")</f>
        <v>K/27/130225/1</v>
      </c>
      <c r="E1164" s="36">
        <f t="array" ref="E1164">IFNA(_xlfn.XLOOKUP(D1164,Table_Tarikan_Warkah[Nomor Tiket],Table_Tarikan_Warkah[Tanggal diserahkan kepada Validator]),"")</f>
        <v>45708.46817</v>
      </c>
      <c r="F1164" s="36" t="str">
        <f t="array" ref="F1164">IFNA(_xlfn.XLOOKUP(D1164,Table_Tarikan_Warkah[Nomor Tiket],Table_Tarikan_Warkah[Nama Petugas Warkah]),"")</f>
        <v/>
      </c>
      <c r="G1164" s="39" t="str">
        <f t="array" ref="G1164">IFNA(_xlfn.XLOOKUP(D1164,Table_Tarikan_Warkah[Nomor Tiket],Table_Tarikan_Warkah[Jenis Permohonan]),"")</f>
        <v>BN JUAL BELI</v>
      </c>
      <c r="H1164" s="41" t="s">
        <v>11</v>
      </c>
      <c r="I1164" s="41" t="s">
        <v>23</v>
      </c>
      <c r="J1164" s="36">
        <f t="shared" si="20"/>
        <v>45706.60583</v>
      </c>
      <c r="K1164" s="49" t="s">
        <v>197</v>
      </c>
      <c r="L1164" s="49" t="s">
        <v>23</v>
      </c>
      <c r="M1164" s="36">
        <f t="shared" si="26"/>
        <v>45707.67637</v>
      </c>
      <c r="N1164" s="30" t="str">
        <f t="shared" si="27"/>
        <v>Selesai</v>
      </c>
      <c r="O1164" s="45">
        <f t="shared" si="23"/>
        <v>45707.67637</v>
      </c>
      <c r="P1164" s="47" t="b">
        <v>1</v>
      </c>
      <c r="Q1164" s="36">
        <f t="shared" si="24"/>
        <v>45707.67742</v>
      </c>
      <c r="R1164" s="47" t="b">
        <v>0</v>
      </c>
      <c r="S1164" s="42" t="str">
        <f t="shared" si="28"/>
        <v/>
      </c>
      <c r="T1164" s="42"/>
    </row>
    <row r="1165" ht="22.5" customHeight="1">
      <c r="B1165" s="42">
        <f t="shared" si="7"/>
        <v>1159</v>
      </c>
      <c r="C1165" s="31" t="s">
        <v>1294</v>
      </c>
      <c r="D1165" s="34" t="str">
        <f t="array" ref="D1165">IFNA(_xlfn.XLOOKUP(C1165,Table_Tarikan_Warkah[Nomor Sertipikat],Table_Tarikan_Warkah[Nomor Tiket]),"")</f>
        <v>K/19/040225/2</v>
      </c>
      <c r="E1165" s="36">
        <f t="array" ref="E1165">IFNA(_xlfn.XLOOKUP(D1165,Table_Tarikan_Warkah[Nomor Tiket],Table_Tarikan_Warkah[Tanggal diserahkan kepada Validator]),"")</f>
        <v>45708.46365</v>
      </c>
      <c r="F1165" s="36" t="str">
        <f t="array" ref="F1165">IFNA(_xlfn.XLOOKUP(D1165,Table_Tarikan_Warkah[Nomor Tiket],Table_Tarikan_Warkah[Nama Petugas Warkah]),"")</f>
        <v/>
      </c>
      <c r="G1165" s="39" t="str">
        <f t="array" ref="G1165">IFNA(_xlfn.XLOOKUP(D1165,Table_Tarikan_Warkah[Nomor Tiket],Table_Tarikan_Warkah[Jenis Permohonan]),"")</f>
        <v>BN JUAL BELI</v>
      </c>
      <c r="H1165" s="41" t="s">
        <v>11</v>
      </c>
      <c r="I1165" s="41" t="s">
        <v>23</v>
      </c>
      <c r="J1165" s="36">
        <f t="shared" si="20"/>
        <v>45706.60583</v>
      </c>
      <c r="K1165" s="41" t="s">
        <v>197</v>
      </c>
      <c r="L1165" s="49" t="s">
        <v>23</v>
      </c>
      <c r="M1165" s="36">
        <f t="shared" si="26"/>
        <v>45707.67637</v>
      </c>
      <c r="N1165" s="30" t="str">
        <f t="shared" si="27"/>
        <v>Selesai</v>
      </c>
      <c r="O1165" s="45">
        <f t="shared" si="23"/>
        <v>45707.67637</v>
      </c>
      <c r="P1165" s="47" t="b">
        <v>1</v>
      </c>
      <c r="Q1165" s="36">
        <f t="shared" si="24"/>
        <v>45707.67742</v>
      </c>
      <c r="R1165" s="47" t="b">
        <v>0</v>
      </c>
      <c r="S1165" s="42" t="str">
        <f t="shared" si="28"/>
        <v/>
      </c>
      <c r="T1165" s="42"/>
    </row>
    <row r="1166" ht="22.5" customHeight="1">
      <c r="B1166" s="42">
        <f t="shared" si="7"/>
        <v>1160</v>
      </c>
      <c r="C1166" s="31" t="s">
        <v>1295</v>
      </c>
      <c r="D1166" s="34" t="str">
        <f t="array" ref="D1166">IFNA(_xlfn.XLOOKUP(C1166,Table_Tarikan_Warkah[Nomor Sertipikat],Table_Tarikan_Warkah[Nomor Tiket]),"")</f>
        <v>K/6/140225/1</v>
      </c>
      <c r="E1166" s="36">
        <f t="array" ref="E1166">IFNA(_xlfn.XLOOKUP(D1166,Table_Tarikan_Warkah[Nomor Tiket],Table_Tarikan_Warkah[Tanggal diserahkan kepada Validator]),"")</f>
        <v>45708.46625</v>
      </c>
      <c r="F1166" s="36" t="str">
        <f t="array" ref="F1166">IFNA(_xlfn.XLOOKUP(D1166,Table_Tarikan_Warkah[Nomor Tiket],Table_Tarikan_Warkah[Nama Petugas Warkah]),"")</f>
        <v/>
      </c>
      <c r="G1166" s="39" t="str">
        <f t="array" ref="G1166">IFNA(_xlfn.XLOOKUP(D1166,Table_Tarikan_Warkah[Nomor Tiket],Table_Tarikan_Warkah[Jenis Permohonan]),"")</f>
        <v>BN JUAL BELI</v>
      </c>
      <c r="H1166" s="41" t="s">
        <v>11</v>
      </c>
      <c r="I1166" s="41" t="s">
        <v>23</v>
      </c>
      <c r="J1166" s="36">
        <f t="shared" si="20"/>
        <v>45706.60586</v>
      </c>
      <c r="K1166" s="49" t="s">
        <v>197</v>
      </c>
      <c r="L1166" s="49" t="s">
        <v>23</v>
      </c>
      <c r="M1166" s="36">
        <f t="shared" si="26"/>
        <v>45707.67637</v>
      </c>
      <c r="N1166" s="30" t="str">
        <f t="shared" si="27"/>
        <v>Selesai</v>
      </c>
      <c r="O1166" s="45">
        <f t="shared" si="23"/>
        <v>45707.67637</v>
      </c>
      <c r="P1166" s="47" t="b">
        <v>1</v>
      </c>
      <c r="Q1166" s="36">
        <f t="shared" si="24"/>
        <v>45707.67742</v>
      </c>
      <c r="R1166" s="47" t="b">
        <v>0</v>
      </c>
      <c r="S1166" s="42" t="str">
        <f t="shared" si="28"/>
        <v/>
      </c>
      <c r="T1166" s="42"/>
    </row>
    <row r="1167" ht="22.5" customHeight="1">
      <c r="B1167" s="42">
        <f t="shared" si="7"/>
        <v>1161</v>
      </c>
      <c r="C1167" s="31" t="s">
        <v>1296</v>
      </c>
      <c r="D1167" s="34" t="str">
        <f t="array" ref="D1167">IFNA(_xlfn.XLOOKUP(C1167,Table_Tarikan_Warkah[Nomor Sertipikat],Table_Tarikan_Warkah[Nomor Tiket]),"")</f>
        <v>K/22/220125/1</v>
      </c>
      <c r="E1167" s="36">
        <f t="array" ref="E1167">IFNA(_xlfn.XLOOKUP(D1167,Table_Tarikan_Warkah[Nomor Tiket],Table_Tarikan_Warkah[Tanggal diserahkan kepada Validator]),"")</f>
        <v>45719.6406</v>
      </c>
      <c r="F1167" s="36" t="str">
        <f t="array" ref="F1167">IFNA(_xlfn.XLOOKUP(D1167,Table_Tarikan_Warkah[Nomor Tiket],Table_Tarikan_Warkah[Nama Petugas Warkah]),"")</f>
        <v>Berry</v>
      </c>
      <c r="G1167" s="39" t="str">
        <f t="array" ref="G1167">IFNA(_xlfn.XLOOKUP(D1167,Table_Tarikan_Warkah[Nomor Tiket],Table_Tarikan_Warkah[Jenis Permohonan]),"")</f>
        <v>ROYA</v>
      </c>
      <c r="H1167" s="41" t="s">
        <v>11</v>
      </c>
      <c r="I1167" s="41" t="s">
        <v>23</v>
      </c>
      <c r="J1167" s="36">
        <f t="shared" si="20"/>
        <v>45706.60586</v>
      </c>
      <c r="K1167" s="41" t="s">
        <v>197</v>
      </c>
      <c r="L1167" s="49" t="s">
        <v>23</v>
      </c>
      <c r="M1167" s="36">
        <f t="shared" si="26"/>
        <v>45707.67637</v>
      </c>
      <c r="N1167" s="30" t="str">
        <f t="shared" si="27"/>
        <v>Selesai</v>
      </c>
      <c r="O1167" s="45">
        <f t="shared" si="23"/>
        <v>45707.67637</v>
      </c>
      <c r="P1167" s="47" t="b">
        <v>1</v>
      </c>
      <c r="Q1167" s="36">
        <f t="shared" si="24"/>
        <v>45707.67742</v>
      </c>
      <c r="R1167" s="47" t="b">
        <v>0</v>
      </c>
      <c r="S1167" s="42" t="str">
        <f t="shared" si="28"/>
        <v/>
      </c>
      <c r="T1167" s="42"/>
    </row>
    <row r="1168" ht="22.5" customHeight="1">
      <c r="B1168" s="42">
        <f t="shared" si="7"/>
        <v>1162</v>
      </c>
      <c r="C1168" s="31" t="s">
        <v>1297</v>
      </c>
      <c r="D1168" s="34" t="str">
        <f t="array" ref="D1168">IFNA(_xlfn.XLOOKUP(C1168,Table_Tarikan_Warkah[Nomor Sertipikat],Table_Tarikan_Warkah[Nomor Tiket]),"")</f>
        <v>K/25/130225/1</v>
      </c>
      <c r="E1168" s="36">
        <f t="array" ref="E1168">IFNA(_xlfn.XLOOKUP(D1168,Table_Tarikan_Warkah[Nomor Tiket],Table_Tarikan_Warkah[Tanggal diserahkan kepada Validator]),"")</f>
        <v>45708.46705</v>
      </c>
      <c r="F1168" s="36" t="str">
        <f t="array" ref="F1168">IFNA(_xlfn.XLOOKUP(D1168,Table_Tarikan_Warkah[Nomor Tiket],Table_Tarikan_Warkah[Nama Petugas Warkah]),"")</f>
        <v/>
      </c>
      <c r="G1168" s="39" t="str">
        <f t="array" ref="G1168">IFNA(_xlfn.XLOOKUP(D1168,Table_Tarikan_Warkah[Nomor Tiket],Table_Tarikan_Warkah[Jenis Permohonan]),"")</f>
        <v>JUAL BELI</v>
      </c>
      <c r="H1168" s="41" t="s">
        <v>11</v>
      </c>
      <c r="I1168" s="41" t="s">
        <v>23</v>
      </c>
      <c r="J1168" s="36">
        <f t="shared" si="20"/>
        <v>45706.60586</v>
      </c>
      <c r="K1168" s="49" t="s">
        <v>197</v>
      </c>
      <c r="L1168" s="49" t="s">
        <v>23</v>
      </c>
      <c r="M1168" s="36">
        <f t="shared" si="26"/>
        <v>45707.6764</v>
      </c>
      <c r="N1168" s="30" t="str">
        <f t="shared" si="27"/>
        <v>Selesai</v>
      </c>
      <c r="O1168" s="45">
        <f t="shared" si="23"/>
        <v>45707.6764</v>
      </c>
      <c r="P1168" s="47" t="b">
        <v>1</v>
      </c>
      <c r="Q1168" s="36">
        <f t="shared" si="24"/>
        <v>45707.67742</v>
      </c>
      <c r="R1168" s="47" t="b">
        <v>0</v>
      </c>
      <c r="S1168" s="42" t="str">
        <f t="shared" si="28"/>
        <v/>
      </c>
      <c r="T1168" s="42"/>
    </row>
    <row r="1169" ht="22.5" customHeight="1">
      <c r="B1169" s="42">
        <f t="shared" si="7"/>
        <v>1163</v>
      </c>
      <c r="C1169" s="31" t="s">
        <v>1298</v>
      </c>
      <c r="D1169" s="34" t="str">
        <f t="array" ref="D1169">IFNA(_xlfn.XLOOKUP(C1169,Table_Tarikan_Warkah[Nomor Sertipikat],Table_Tarikan_Warkah[Nomor Tiket]),"")</f>
        <v>K/7/050225/1</v>
      </c>
      <c r="E1169" s="36">
        <f t="array" ref="E1169">IFNA(_xlfn.XLOOKUP(D1169,Table_Tarikan_Warkah[Nomor Tiket],Table_Tarikan_Warkah[Tanggal diserahkan kepada Validator]),"")</f>
        <v>45708.46453</v>
      </c>
      <c r="F1169" s="36" t="str">
        <f t="array" ref="F1169">IFNA(_xlfn.XLOOKUP(D1169,Table_Tarikan_Warkah[Nomor Tiket],Table_Tarikan_Warkah[Nama Petugas Warkah]),"")</f>
        <v/>
      </c>
      <c r="G1169" s="39" t="str">
        <f t="array" ref="G1169">IFNA(_xlfn.XLOOKUP(D1169,Table_Tarikan_Warkah[Nomor Tiket],Table_Tarikan_Warkah[Jenis Permohonan]),"")</f>
        <v>PERALIHAN JUAL BELI</v>
      </c>
      <c r="H1169" s="41" t="s">
        <v>11</v>
      </c>
      <c r="I1169" s="41" t="s">
        <v>23</v>
      </c>
      <c r="J1169" s="36">
        <f t="shared" si="20"/>
        <v>45706.60586</v>
      </c>
      <c r="K1169" s="49" t="s">
        <v>197</v>
      </c>
      <c r="L1169" s="49" t="s">
        <v>23</v>
      </c>
      <c r="M1169" s="36">
        <f t="shared" si="26"/>
        <v>45707.6764</v>
      </c>
      <c r="N1169" s="30" t="str">
        <f t="shared" si="27"/>
        <v>Selesai</v>
      </c>
      <c r="O1169" s="45">
        <f t="shared" si="23"/>
        <v>45707.6764</v>
      </c>
      <c r="P1169" s="47" t="b">
        <v>1</v>
      </c>
      <c r="Q1169" s="36">
        <f t="shared" si="24"/>
        <v>45707.67742</v>
      </c>
      <c r="R1169" s="47" t="b">
        <v>0</v>
      </c>
      <c r="S1169" s="42" t="str">
        <f t="shared" si="28"/>
        <v/>
      </c>
      <c r="T1169" s="42"/>
    </row>
    <row r="1170" ht="22.5" customHeight="1">
      <c r="B1170" s="42">
        <f t="shared" si="7"/>
        <v>1164</v>
      </c>
      <c r="C1170" s="31" t="s">
        <v>1299</v>
      </c>
      <c r="D1170" s="34" t="str">
        <f t="array" ref="D1170">IFNA(_xlfn.XLOOKUP(C1170,Table_Tarikan_Warkah[Nomor Sertipikat],Table_Tarikan_Warkah[Nomor Tiket]),"")</f>
        <v>K/14/070225/1</v>
      </c>
      <c r="E1170" s="36">
        <f t="array" ref="E1170">IFNA(_xlfn.XLOOKUP(D1170,Table_Tarikan_Warkah[Nomor Tiket],Table_Tarikan_Warkah[Tanggal diserahkan kepada Validator]),"")</f>
        <v>45758.48564</v>
      </c>
      <c r="F1170" s="36" t="str">
        <f t="array" ref="F1170">IFNA(_xlfn.XLOOKUP(D1170,Table_Tarikan_Warkah[Nomor Tiket],Table_Tarikan_Warkah[Nama Petugas Warkah]),"")</f>
        <v/>
      </c>
      <c r="G1170" s="39" t="str">
        <f t="array" ref="G1170">IFNA(_xlfn.XLOOKUP(D1170,Table_Tarikan_Warkah[Nomor Tiket],Table_Tarikan_Warkah[Jenis Permohonan]),"")</f>
        <v>ROYA</v>
      </c>
      <c r="H1170" s="41" t="s">
        <v>11</v>
      </c>
      <c r="I1170" s="41" t="s">
        <v>23</v>
      </c>
      <c r="J1170" s="36">
        <f t="shared" si="20"/>
        <v>45706.60586</v>
      </c>
      <c r="K1170" s="41" t="s">
        <v>197</v>
      </c>
      <c r="L1170" s="49" t="s">
        <v>23</v>
      </c>
      <c r="M1170" s="36">
        <f t="shared" si="26"/>
        <v>45707.6764</v>
      </c>
      <c r="N1170" s="30" t="str">
        <f t="shared" si="27"/>
        <v>Selesai</v>
      </c>
      <c r="O1170" s="45">
        <f t="shared" si="23"/>
        <v>45707.6764</v>
      </c>
      <c r="P1170" s="47" t="b">
        <v>1</v>
      </c>
      <c r="Q1170" s="36">
        <f t="shared" si="24"/>
        <v>45707.67742</v>
      </c>
      <c r="R1170" s="47" t="b">
        <v>0</v>
      </c>
      <c r="S1170" s="42" t="str">
        <f t="shared" si="28"/>
        <v/>
      </c>
      <c r="T1170" s="42"/>
    </row>
    <row r="1171" ht="22.5" customHeight="1">
      <c r="B1171" s="42">
        <f t="shared" si="7"/>
        <v>1165</v>
      </c>
      <c r="C1171" s="31" t="s">
        <v>1300</v>
      </c>
      <c r="D1171" s="34" t="str">
        <f t="array" ref="D1171">IFNA(_xlfn.XLOOKUP(C1171,Table_Tarikan_Warkah[Nomor Sertipikat],Table_Tarikan_Warkah[Nomor Tiket]),"")</f>
        <v>K/14/140225/1</v>
      </c>
      <c r="E1171" s="36">
        <f t="array" ref="E1171">IFNA(_xlfn.XLOOKUP(D1171,Table_Tarikan_Warkah[Nomor Tiket],Table_Tarikan_Warkah[Tanggal diserahkan kepada Validator]),"")</f>
        <v>45708.46667</v>
      </c>
      <c r="F1171" s="36" t="str">
        <f t="array" ref="F1171">IFNA(_xlfn.XLOOKUP(D1171,Table_Tarikan_Warkah[Nomor Tiket],Table_Tarikan_Warkah[Nama Petugas Warkah]),"")</f>
        <v/>
      </c>
      <c r="G1171" s="39" t="str">
        <f t="array" ref="G1171">IFNA(_xlfn.XLOOKUP(D1171,Table_Tarikan_Warkah[Nomor Tiket],Table_Tarikan_Warkah[Jenis Permohonan]),"")</f>
        <v>BN JUAL BELI</v>
      </c>
      <c r="H1171" s="41" t="s">
        <v>11</v>
      </c>
      <c r="I1171" s="41" t="s">
        <v>23</v>
      </c>
      <c r="J1171" s="36">
        <f t="shared" si="20"/>
        <v>45706.60586</v>
      </c>
      <c r="K1171" s="49" t="s">
        <v>197</v>
      </c>
      <c r="L1171" s="49" t="s">
        <v>23</v>
      </c>
      <c r="M1171" s="36">
        <f t="shared" si="26"/>
        <v>45707.6764</v>
      </c>
      <c r="N1171" s="30" t="str">
        <f t="shared" si="27"/>
        <v>Selesai</v>
      </c>
      <c r="O1171" s="45">
        <f t="shared" si="23"/>
        <v>45707.6764</v>
      </c>
      <c r="P1171" s="47" t="b">
        <v>1</v>
      </c>
      <c r="Q1171" s="36">
        <f t="shared" si="24"/>
        <v>45707.67742</v>
      </c>
      <c r="R1171" s="47" t="b">
        <v>0</v>
      </c>
      <c r="S1171" s="42" t="str">
        <f t="shared" si="28"/>
        <v/>
      </c>
      <c r="T1171" s="42"/>
    </row>
    <row r="1172" ht="22.5" customHeight="1">
      <c r="B1172" s="42">
        <f t="shared" si="7"/>
        <v>1166</v>
      </c>
      <c r="C1172" s="31" t="s">
        <v>1301</v>
      </c>
      <c r="D1172" s="34" t="str">
        <f t="array" ref="D1172">IFNA(_xlfn.XLOOKUP(C1172,Table_Tarikan_Warkah[Nomor Sertipikat],Table_Tarikan_Warkah[Nomor Tiket]),"")</f>
        <v>K/10/191224/1</v>
      </c>
      <c r="E1172" s="36" t="str">
        <f t="array" ref="E1172">IFNA(_xlfn.XLOOKUP(D1172,Table_Tarikan_Warkah[Nomor Tiket],Table_Tarikan_Warkah[Tanggal diserahkan kepada Validator]),"")</f>
        <v/>
      </c>
      <c r="F1172" s="36" t="str">
        <f t="array" ref="F1172">IFNA(_xlfn.XLOOKUP(D1172,Table_Tarikan_Warkah[Nomor Tiket],Table_Tarikan_Warkah[Nama Petugas Warkah]),"")</f>
        <v/>
      </c>
      <c r="G1172" s="39" t="str">
        <f t="array" ref="G1172">IFNA(_xlfn.XLOOKUP(D1172,Table_Tarikan_Warkah[Nomor Tiket],Table_Tarikan_Warkah[Jenis Permohonan]),"")</f>
        <v>PTPGT (pemecahan)</v>
      </c>
      <c r="H1172" s="41" t="s">
        <v>11</v>
      </c>
      <c r="I1172" s="41" t="s">
        <v>23</v>
      </c>
      <c r="J1172" s="36">
        <f t="shared" si="20"/>
        <v>45706.60586</v>
      </c>
      <c r="K1172" s="41" t="s">
        <v>197</v>
      </c>
      <c r="L1172" s="49" t="s">
        <v>23</v>
      </c>
      <c r="M1172" s="36">
        <f t="shared" si="26"/>
        <v>45707.6764</v>
      </c>
      <c r="N1172" s="30" t="str">
        <f t="shared" si="27"/>
        <v>Selesai</v>
      </c>
      <c r="O1172" s="45">
        <f t="shared" si="23"/>
        <v>45707.6764</v>
      </c>
      <c r="P1172" s="47" t="b">
        <v>1</v>
      </c>
      <c r="Q1172" s="36">
        <f t="shared" si="24"/>
        <v>45707.67742</v>
      </c>
      <c r="R1172" s="47" t="b">
        <v>0</v>
      </c>
      <c r="S1172" s="42" t="str">
        <f t="shared" si="28"/>
        <v/>
      </c>
      <c r="T1172" s="42"/>
    </row>
    <row r="1173" ht="22.5" customHeight="1">
      <c r="B1173" s="42">
        <f t="shared" si="7"/>
        <v>1167</v>
      </c>
      <c r="C1173" s="31" t="s">
        <v>1302</v>
      </c>
      <c r="D1173" s="34" t="str">
        <f t="array" ref="D1173">IFNA(_xlfn.XLOOKUP(C1173,Table_Tarikan_Warkah[Nomor Sertipikat],Table_Tarikan_Warkah[Nomor Tiket]),"")</f>
        <v>L/57/100225/1</v>
      </c>
      <c r="E1173" s="36">
        <f t="array" ref="E1173">IFNA(_xlfn.XLOOKUP(D1173,Table_Tarikan_Warkah[Nomor Tiket],Table_Tarikan_Warkah[Tanggal diserahkan kepada Validator]),"")</f>
        <v>45730.37503</v>
      </c>
      <c r="F1173" s="36" t="str">
        <f t="array" ref="F1173">IFNA(_xlfn.XLOOKUP(D1173,Table_Tarikan_Warkah[Nomor Tiket],Table_Tarikan_Warkah[Nama Petugas Warkah]),"")</f>
        <v/>
      </c>
      <c r="G1173" s="39" t="str">
        <f t="array" ref="G1173">IFNA(_xlfn.XLOOKUP(D1173,Table_Tarikan_Warkah[Nomor Tiket],Table_Tarikan_Warkah[Jenis Permohonan]),"")</f>
        <v>ROYA</v>
      </c>
      <c r="H1173" s="41" t="s">
        <v>11</v>
      </c>
      <c r="I1173" s="41" t="s">
        <v>23</v>
      </c>
      <c r="J1173" s="36">
        <f t="shared" si="20"/>
        <v>45706.60589</v>
      </c>
      <c r="K1173" s="49" t="s">
        <v>197</v>
      </c>
      <c r="L1173" s="49" t="s">
        <v>23</v>
      </c>
      <c r="M1173" s="36">
        <f t="shared" si="26"/>
        <v>45707.67649</v>
      </c>
      <c r="N1173" s="30" t="str">
        <f t="shared" si="27"/>
        <v>Selesai</v>
      </c>
      <c r="O1173" s="45">
        <f t="shared" si="23"/>
        <v>45707.67649</v>
      </c>
      <c r="P1173" s="47" t="b">
        <v>1</v>
      </c>
      <c r="Q1173" s="36">
        <f t="shared" si="24"/>
        <v>45707.67742</v>
      </c>
      <c r="R1173" s="47" t="b">
        <v>0</v>
      </c>
      <c r="S1173" s="42" t="str">
        <f t="shared" si="28"/>
        <v/>
      </c>
      <c r="T1173" s="42"/>
    </row>
    <row r="1174" ht="22.5" customHeight="1">
      <c r="B1174" s="42">
        <f t="shared" si="7"/>
        <v>1168</v>
      </c>
      <c r="C1174" s="31" t="s">
        <v>1303</v>
      </c>
      <c r="D1174" s="34" t="str">
        <f t="array" ref="D1174">IFNA(_xlfn.XLOOKUP(C1174,Table_Tarikan_Warkah[Nomor Sertipikat],Table_Tarikan_Warkah[Nomor Tiket]),"")</f>
        <v>L/8/100225/2</v>
      </c>
      <c r="E1174" s="36">
        <f t="array" ref="E1174">IFNA(_xlfn.XLOOKUP(D1174,Table_Tarikan_Warkah[Nomor Tiket],Table_Tarikan_Warkah[Tanggal diserahkan kepada Validator]),"")</f>
        <v>45722.49783</v>
      </c>
      <c r="F1174" s="36" t="str">
        <f t="array" ref="F1174">IFNA(_xlfn.XLOOKUP(D1174,Table_Tarikan_Warkah[Nomor Tiket],Table_Tarikan_Warkah[Nama Petugas Warkah]),"")</f>
        <v/>
      </c>
      <c r="G1174" s="39" t="str">
        <f t="array" ref="G1174">IFNA(_xlfn.XLOOKUP(D1174,Table_Tarikan_Warkah[Nomor Tiket],Table_Tarikan_Warkah[Jenis Permohonan]),"")</f>
        <v>ROYA</v>
      </c>
      <c r="H1174" s="41" t="s">
        <v>11</v>
      </c>
      <c r="I1174" s="41" t="s">
        <v>23</v>
      </c>
      <c r="J1174" s="36">
        <f t="shared" si="20"/>
        <v>45706.60589</v>
      </c>
      <c r="K1174" s="49" t="s">
        <v>197</v>
      </c>
      <c r="L1174" s="49" t="s">
        <v>23</v>
      </c>
      <c r="M1174" s="36">
        <f t="shared" si="26"/>
        <v>45707.67649</v>
      </c>
      <c r="N1174" s="30" t="str">
        <f t="shared" si="27"/>
        <v>Selesai</v>
      </c>
      <c r="O1174" s="45">
        <f t="shared" si="23"/>
        <v>45707.67649</v>
      </c>
      <c r="P1174" s="47" t="b">
        <v>1</v>
      </c>
      <c r="Q1174" s="36">
        <f t="shared" si="24"/>
        <v>45707.67742</v>
      </c>
      <c r="R1174" s="47" t="b">
        <v>0</v>
      </c>
      <c r="S1174" s="42" t="str">
        <f t="shared" si="28"/>
        <v/>
      </c>
      <c r="T1174" s="42"/>
    </row>
    <row r="1175" ht="22.5" customHeight="1">
      <c r="B1175" s="42">
        <f t="shared" si="7"/>
        <v>1169</v>
      </c>
      <c r="C1175" s="31" t="s">
        <v>1304</v>
      </c>
      <c r="D1175" s="34" t="str">
        <f t="array" ref="D1175">IFNA(_xlfn.XLOOKUP(C1175,Table_Tarikan_Warkah[Nomor Sertipikat],Table_Tarikan_Warkah[Nomor Tiket]),"")</f>
        <v>L/10/050225/1</v>
      </c>
      <c r="E1175" s="36">
        <f t="array" ref="E1175">IFNA(_xlfn.XLOOKUP(D1175,Table_Tarikan_Warkah[Nomor Tiket],Table_Tarikan_Warkah[Tanggal diserahkan kepada Validator]),"")</f>
        <v>45723.54441</v>
      </c>
      <c r="F1175" s="36" t="str">
        <f t="array" ref="F1175">IFNA(_xlfn.XLOOKUP(D1175,Table_Tarikan_Warkah[Nomor Tiket],Table_Tarikan_Warkah[Nama Petugas Warkah]),"")</f>
        <v/>
      </c>
      <c r="G1175" s="39" t="str">
        <f t="array" ref="G1175">IFNA(_xlfn.XLOOKUP(D1175,Table_Tarikan_Warkah[Nomor Tiket],Table_Tarikan_Warkah[Jenis Permohonan]),"")</f>
        <v>ROYA</v>
      </c>
      <c r="H1175" s="41" t="s">
        <v>11</v>
      </c>
      <c r="I1175" s="41" t="s">
        <v>23</v>
      </c>
      <c r="J1175" s="36">
        <f t="shared" si="20"/>
        <v>45706.60589</v>
      </c>
      <c r="K1175" s="41" t="s">
        <v>197</v>
      </c>
      <c r="L1175" s="49" t="s">
        <v>23</v>
      </c>
      <c r="M1175" s="36">
        <f t="shared" si="26"/>
        <v>45707.67649</v>
      </c>
      <c r="N1175" s="30" t="str">
        <f t="shared" si="27"/>
        <v>Selesai</v>
      </c>
      <c r="O1175" s="45">
        <f t="shared" si="23"/>
        <v>45707.67649</v>
      </c>
      <c r="P1175" s="47" t="b">
        <v>1</v>
      </c>
      <c r="Q1175" s="36">
        <f t="shared" si="24"/>
        <v>45707.67744</v>
      </c>
      <c r="R1175" s="47" t="b">
        <v>0</v>
      </c>
      <c r="S1175" s="42" t="str">
        <f t="shared" si="28"/>
        <v/>
      </c>
      <c r="T1175" s="42"/>
    </row>
    <row r="1176" ht="22.5" customHeight="1">
      <c r="B1176" s="42">
        <f t="shared" si="7"/>
        <v>1170</v>
      </c>
      <c r="C1176" s="31" t="s">
        <v>1305</v>
      </c>
      <c r="D1176" s="34" t="str">
        <f t="array" ref="D1176">IFNA(_xlfn.XLOOKUP(C1176,Table_Tarikan_Warkah[Nomor Sertipikat],Table_Tarikan_Warkah[Nomor Tiket]),"")</f>
        <v>L/11/060225/1</v>
      </c>
      <c r="E1176" s="36">
        <f t="array" ref="E1176">IFNA(_xlfn.XLOOKUP(D1176,Table_Tarikan_Warkah[Nomor Tiket],Table_Tarikan_Warkah[Tanggal diserahkan kepada Validator]),"")</f>
        <v>45719.63618</v>
      </c>
      <c r="F1176" s="36" t="str">
        <f t="array" ref="F1176">IFNA(_xlfn.XLOOKUP(D1176,Table_Tarikan_Warkah[Nomor Tiket],Table_Tarikan_Warkah[Nama Petugas Warkah]),"")</f>
        <v/>
      </c>
      <c r="G1176" s="39" t="str">
        <f t="array" ref="G1176">IFNA(_xlfn.XLOOKUP(D1176,Table_Tarikan_Warkah[Nomor Tiket],Table_Tarikan_Warkah[Jenis Permohonan]),"")</f>
        <v>ROYA</v>
      </c>
      <c r="H1176" s="41" t="s">
        <v>11</v>
      </c>
      <c r="I1176" s="41" t="s">
        <v>23</v>
      </c>
      <c r="J1176" s="36">
        <f t="shared" si="20"/>
        <v>45706.60589</v>
      </c>
      <c r="K1176" s="49" t="s">
        <v>197</v>
      </c>
      <c r="L1176" s="49" t="s">
        <v>23</v>
      </c>
      <c r="M1176" s="36">
        <f t="shared" si="26"/>
        <v>45707.67649</v>
      </c>
      <c r="N1176" s="30" t="str">
        <f t="shared" si="27"/>
        <v>Selesai</v>
      </c>
      <c r="O1176" s="45">
        <f t="shared" si="23"/>
        <v>45707.67649</v>
      </c>
      <c r="P1176" s="47" t="b">
        <v>1</v>
      </c>
      <c r="Q1176" s="36">
        <f t="shared" si="24"/>
        <v>45707.67711</v>
      </c>
      <c r="R1176" s="47" t="b">
        <v>0</v>
      </c>
      <c r="S1176" s="42" t="str">
        <f t="shared" si="28"/>
        <v/>
      </c>
      <c r="T1176" s="42"/>
    </row>
    <row r="1177" ht="22.5" customHeight="1">
      <c r="B1177" s="42">
        <f t="shared" si="7"/>
        <v>1171</v>
      </c>
      <c r="C1177" s="31" t="s">
        <v>1306</v>
      </c>
      <c r="D1177" s="34" t="str">
        <f t="array" ref="D1177">IFNA(_xlfn.XLOOKUP(C1177,Table_Tarikan_Warkah[Nomor Sertipikat],Table_Tarikan_Warkah[Nomor Tiket]),"")</f>
        <v>L/6/100225/1</v>
      </c>
      <c r="E1177" s="36">
        <f t="array" ref="E1177">IFNA(_xlfn.XLOOKUP(D1177,Table_Tarikan_Warkah[Nomor Tiket],Table_Tarikan_Warkah[Tanggal diserahkan kepada Validator]),"")</f>
        <v>45719.63637</v>
      </c>
      <c r="F1177" s="36" t="str">
        <f t="array" ref="F1177">IFNA(_xlfn.XLOOKUP(D1177,Table_Tarikan_Warkah[Nomor Tiket],Table_Tarikan_Warkah[Nama Petugas Warkah]),"")</f>
        <v/>
      </c>
      <c r="G1177" s="39" t="str">
        <f t="array" ref="G1177">IFNA(_xlfn.XLOOKUP(D1177,Table_Tarikan_Warkah[Nomor Tiket],Table_Tarikan_Warkah[Jenis Permohonan]),"")</f>
        <v>ROYA</v>
      </c>
      <c r="H1177" s="41" t="s">
        <v>11</v>
      </c>
      <c r="I1177" s="41" t="s">
        <v>23</v>
      </c>
      <c r="J1177" s="36">
        <f t="shared" si="20"/>
        <v>45706.60589</v>
      </c>
      <c r="K1177" s="41" t="s">
        <v>197</v>
      </c>
      <c r="L1177" s="49" t="s">
        <v>23</v>
      </c>
      <c r="M1177" s="36">
        <f t="shared" si="26"/>
        <v>45707.67649</v>
      </c>
      <c r="N1177" s="30" t="str">
        <f t="shared" si="27"/>
        <v>Selesai</v>
      </c>
      <c r="O1177" s="45">
        <f t="shared" si="23"/>
        <v>45707.67649</v>
      </c>
      <c r="P1177" s="47" t="b">
        <v>1</v>
      </c>
      <c r="Q1177" s="36">
        <f t="shared" si="24"/>
        <v>45707.6771</v>
      </c>
      <c r="R1177" s="47" t="b">
        <v>0</v>
      </c>
      <c r="S1177" s="42" t="str">
        <f t="shared" si="28"/>
        <v/>
      </c>
      <c r="T1177" s="42"/>
    </row>
    <row r="1178" ht="22.5" customHeight="1">
      <c r="B1178" s="42">
        <f t="shared" si="7"/>
        <v>1172</v>
      </c>
      <c r="C1178" s="31" t="s">
        <v>1307</v>
      </c>
      <c r="D1178" s="34" t="str">
        <f t="array" ref="D1178">IFNA(_xlfn.XLOOKUP(C1178,Table_Tarikan_Warkah[Nomor Sertipikat],Table_Tarikan_Warkah[Nomor Tiket]),"")</f>
        <v>L/20/100225/1</v>
      </c>
      <c r="E1178" s="36" t="str">
        <f t="array" ref="E1178">IFNA(_xlfn.XLOOKUP(D1178,Table_Tarikan_Warkah[Nomor Tiket],Table_Tarikan_Warkah[Tanggal diserahkan kepada Validator]),"")</f>
        <v/>
      </c>
      <c r="F1178" s="36" t="str">
        <f t="array" ref="F1178">IFNA(_xlfn.XLOOKUP(D1178,Table_Tarikan_Warkah[Nomor Tiket],Table_Tarikan_Warkah[Nama Petugas Warkah]),"")</f>
        <v/>
      </c>
      <c r="G1178" s="39" t="str">
        <f t="array" ref="G1178">IFNA(_xlfn.XLOOKUP(D1178,Table_Tarikan_Warkah[Nomor Tiket],Table_Tarikan_Warkah[Jenis Permohonan]),"")</f>
        <v>PH</v>
      </c>
      <c r="H1178" s="41" t="s">
        <v>11</v>
      </c>
      <c r="I1178" s="41" t="s">
        <v>23</v>
      </c>
      <c r="J1178" s="36">
        <f t="shared" si="20"/>
        <v>45706.60589</v>
      </c>
      <c r="K1178" s="49" t="s">
        <v>197</v>
      </c>
      <c r="L1178" s="49" t="s">
        <v>23</v>
      </c>
      <c r="M1178" s="36">
        <f t="shared" si="26"/>
        <v>45707.67658</v>
      </c>
      <c r="N1178" s="30" t="str">
        <f t="shared" si="27"/>
        <v>Selesai</v>
      </c>
      <c r="O1178" s="45">
        <f t="shared" si="23"/>
        <v>45707.67658</v>
      </c>
      <c r="P1178" s="47" t="b">
        <v>1</v>
      </c>
      <c r="Q1178" s="36">
        <f t="shared" si="24"/>
        <v>45707.67709</v>
      </c>
      <c r="R1178" s="47" t="b">
        <v>0</v>
      </c>
      <c r="S1178" s="42" t="str">
        <f t="shared" si="28"/>
        <v/>
      </c>
      <c r="T1178" s="42"/>
    </row>
    <row r="1179" ht="22.5" customHeight="1">
      <c r="B1179" s="42">
        <f t="shared" si="7"/>
        <v>1173</v>
      </c>
      <c r="C1179" s="31" t="s">
        <v>1308</v>
      </c>
      <c r="D1179" s="34" t="str">
        <f t="array" ref="D1179">IFNA(_xlfn.XLOOKUP(C1179,Table_Tarikan_Warkah[Nomor Sertipikat],Table_Tarikan_Warkah[Nomor Tiket]),"")</f>
        <v>L/30/130225/1</v>
      </c>
      <c r="E1179" s="36">
        <f t="array" ref="E1179">IFNA(_xlfn.XLOOKUP(D1179,Table_Tarikan_Warkah[Nomor Tiket],Table_Tarikan_Warkah[Tanggal diserahkan kepada Validator]),"")</f>
        <v>45719.63656</v>
      </c>
      <c r="F1179" s="36" t="str">
        <f t="array" ref="F1179">IFNA(_xlfn.XLOOKUP(D1179,Table_Tarikan_Warkah[Nomor Tiket],Table_Tarikan_Warkah[Nama Petugas Warkah]),"")</f>
        <v/>
      </c>
      <c r="G1179" s="39" t="str">
        <f t="array" ref="G1179">IFNA(_xlfn.XLOOKUP(D1179,Table_Tarikan_Warkah[Nomor Tiket],Table_Tarikan_Warkah[Jenis Permohonan]),"")</f>
        <v>ROYA</v>
      </c>
      <c r="H1179" s="41" t="s">
        <v>11</v>
      </c>
      <c r="I1179" s="41" t="s">
        <v>23</v>
      </c>
      <c r="J1179" s="36">
        <f t="shared" si="20"/>
        <v>45706.60593</v>
      </c>
      <c r="K1179" s="49" t="s">
        <v>197</v>
      </c>
      <c r="L1179" s="49" t="s">
        <v>23</v>
      </c>
      <c r="M1179" s="36">
        <f t="shared" si="26"/>
        <v>45707.67658</v>
      </c>
      <c r="N1179" s="30" t="str">
        <f t="shared" si="27"/>
        <v>Selesai</v>
      </c>
      <c r="O1179" s="45">
        <f t="shared" si="23"/>
        <v>45707.67658</v>
      </c>
      <c r="P1179" s="47" t="b">
        <v>1</v>
      </c>
      <c r="Q1179" s="36">
        <f t="shared" si="24"/>
        <v>45707.67709</v>
      </c>
      <c r="R1179" s="47" t="b">
        <v>0</v>
      </c>
      <c r="S1179" s="42" t="str">
        <f t="shared" si="28"/>
        <v/>
      </c>
      <c r="T1179" s="42"/>
    </row>
    <row r="1180" ht="22.5" customHeight="1">
      <c r="B1180" s="42">
        <f t="shared" si="7"/>
        <v>1174</v>
      </c>
      <c r="C1180" s="31" t="s">
        <v>1309</v>
      </c>
      <c r="D1180" s="34" t="str">
        <f t="array" ref="D1180">IFNA(_xlfn.XLOOKUP(C1180,Table_Tarikan_Warkah[Nomor Sertipikat],Table_Tarikan_Warkah[Nomor Tiket]),"")</f>
        <v>K/30/120225/3</v>
      </c>
      <c r="E1180" s="36">
        <f t="array" ref="E1180">IFNA(_xlfn.XLOOKUP(D1180,Table_Tarikan_Warkah[Nomor Tiket],Table_Tarikan_Warkah[Tanggal diserahkan kepada Validator]),"")</f>
        <v>45708.46472</v>
      </c>
      <c r="F1180" s="36" t="str">
        <f t="array" ref="F1180">IFNA(_xlfn.XLOOKUP(D1180,Table_Tarikan_Warkah[Nomor Tiket],Table_Tarikan_Warkah[Nama Petugas Warkah]),"")</f>
        <v/>
      </c>
      <c r="G1180" s="39" t="str">
        <f t="array" ref="G1180">IFNA(_xlfn.XLOOKUP(D1180,Table_Tarikan_Warkah[Nomor Tiket],Table_Tarikan_Warkah[Jenis Permohonan]),"")</f>
        <v>BN JUAL BELI</v>
      </c>
      <c r="H1180" s="41" t="s">
        <v>11</v>
      </c>
      <c r="I1180" s="41" t="s">
        <v>23</v>
      </c>
      <c r="J1180" s="36">
        <f t="shared" si="20"/>
        <v>45706.60593</v>
      </c>
      <c r="K1180" s="41" t="s">
        <v>197</v>
      </c>
      <c r="L1180" s="49" t="s">
        <v>23</v>
      </c>
      <c r="M1180" s="36">
        <f t="shared" si="26"/>
        <v>45707.67658</v>
      </c>
      <c r="N1180" s="30" t="str">
        <f t="shared" si="27"/>
        <v>Selesai</v>
      </c>
      <c r="O1180" s="45">
        <f t="shared" si="23"/>
        <v>45707.67658</v>
      </c>
      <c r="P1180" s="47" t="b">
        <v>1</v>
      </c>
      <c r="Q1180" s="36">
        <f t="shared" si="24"/>
        <v>45707.67707</v>
      </c>
      <c r="R1180" s="47" t="b">
        <v>0</v>
      </c>
      <c r="S1180" s="42" t="str">
        <f t="shared" si="28"/>
        <v/>
      </c>
      <c r="T1180" s="42"/>
    </row>
    <row r="1181" ht="22.5" customHeight="1">
      <c r="B1181" s="42">
        <f t="shared" si="7"/>
        <v>1175</v>
      </c>
      <c r="C1181" s="31" t="s">
        <v>1310</v>
      </c>
      <c r="D1181" s="34" t="str">
        <f t="array" ref="D1181">IFNA(_xlfn.XLOOKUP(C1181,Table_Tarikan_Warkah[Nomor Sertipikat],Table_Tarikan_Warkah[Nomor Tiket]),"")</f>
        <v>K/6/120225/1</v>
      </c>
      <c r="E1181" s="36">
        <f t="array" ref="E1181">IFNA(_xlfn.XLOOKUP(D1181,Table_Tarikan_Warkah[Nomor Tiket],Table_Tarikan_Warkah[Tanggal diserahkan kepada Validator]),"")</f>
        <v>45720.56478</v>
      </c>
      <c r="F1181" s="36" t="str">
        <f t="array" ref="F1181">IFNA(_xlfn.XLOOKUP(D1181,Table_Tarikan_Warkah[Nomor Tiket],Table_Tarikan_Warkah[Nama Petugas Warkah]),"")</f>
        <v/>
      </c>
      <c r="G1181" s="39" t="str">
        <f t="array" ref="G1181">IFNA(_xlfn.XLOOKUP(D1181,Table_Tarikan_Warkah[Nomor Tiket],Table_Tarikan_Warkah[Jenis Permohonan]),"")</f>
        <v>ROYA</v>
      </c>
      <c r="H1181" s="41" t="s">
        <v>11</v>
      </c>
      <c r="I1181" s="41" t="s">
        <v>23</v>
      </c>
      <c r="J1181" s="36">
        <f t="shared" si="20"/>
        <v>45706.60593</v>
      </c>
      <c r="K1181" s="49" t="s">
        <v>197</v>
      </c>
      <c r="L1181" s="49" t="s">
        <v>23</v>
      </c>
      <c r="M1181" s="36">
        <f t="shared" si="26"/>
        <v>45707.67658</v>
      </c>
      <c r="N1181" s="30" t="str">
        <f t="shared" si="27"/>
        <v>Selesai</v>
      </c>
      <c r="O1181" s="45">
        <f t="shared" si="23"/>
        <v>45707.67658</v>
      </c>
      <c r="P1181" s="47" t="b">
        <v>1</v>
      </c>
      <c r="Q1181" s="36">
        <f t="shared" si="24"/>
        <v>45707.67706</v>
      </c>
      <c r="R1181" s="47" t="b">
        <v>0</v>
      </c>
      <c r="S1181" s="42" t="str">
        <f t="shared" si="28"/>
        <v/>
      </c>
      <c r="T1181" s="42"/>
    </row>
    <row r="1182" ht="22.5" customHeight="1">
      <c r="B1182" s="42">
        <f t="shared" si="7"/>
        <v>1176</v>
      </c>
      <c r="C1182" s="31" t="s">
        <v>1311</v>
      </c>
      <c r="D1182" s="42" t="s">
        <v>1312</v>
      </c>
      <c r="E1182" s="36">
        <f t="array" ref="E1182">IFNA(_xlfn.XLOOKUP(D1182,Table_Tarikan_Warkah[Nomor Tiket],Table_Tarikan_Warkah[Tanggal diserahkan kepada Validator]),"")</f>
        <v>45707.67064</v>
      </c>
      <c r="F1182" s="36" t="str">
        <f t="array" ref="F1182">IFNA(_xlfn.XLOOKUP(D1182,Table_Tarikan_Warkah[Nomor Tiket],Table_Tarikan_Warkah[Nama Petugas Warkah]),"")</f>
        <v/>
      </c>
      <c r="G1182" s="42" t="s">
        <v>1312</v>
      </c>
      <c r="H1182" s="41" t="s">
        <v>20</v>
      </c>
      <c r="I1182" s="41" t="s">
        <v>23</v>
      </c>
      <c r="J1182" s="36">
        <f t="shared" si="20"/>
        <v>45706.6292</v>
      </c>
      <c r="K1182" s="41" t="s">
        <v>197</v>
      </c>
      <c r="L1182" s="49" t="s">
        <v>23</v>
      </c>
      <c r="M1182" s="36">
        <f t="shared" si="26"/>
        <v>45706.62926</v>
      </c>
      <c r="N1182" s="30" t="str">
        <f t="shared" si="27"/>
        <v>Selesai</v>
      </c>
      <c r="O1182" s="45">
        <f t="shared" si="23"/>
        <v>45706.62926</v>
      </c>
      <c r="P1182" s="47" t="b">
        <v>1</v>
      </c>
      <c r="Q1182" s="36">
        <f t="shared" si="24"/>
        <v>45706.6293</v>
      </c>
      <c r="R1182" s="47" t="b">
        <v>0</v>
      </c>
      <c r="S1182" s="42" t="str">
        <f t="shared" si="28"/>
        <v/>
      </c>
      <c r="T1182" s="42"/>
    </row>
    <row r="1183" ht="22.5" customHeight="1">
      <c r="B1183" s="42">
        <f t="shared" si="7"/>
        <v>1177</v>
      </c>
      <c r="C1183" s="31" t="s">
        <v>1313</v>
      </c>
      <c r="D1183" s="34" t="str">
        <f t="array" ref="D1183">IFNA(_xlfn.XLOOKUP(C1183,Table_Tarikan_Warkah[Nomor Sertipikat],Table_Tarikan_Warkah[Nomor Tiket]),"")</f>
        <v>L/16/240125/1</v>
      </c>
      <c r="E1183" s="36">
        <f t="array" ref="E1183">IFNA(_xlfn.XLOOKUP(D1183,Table_Tarikan_Warkah[Nomor Tiket],Table_Tarikan_Warkah[Tanggal diserahkan kepada Validator]),"")</f>
        <v>45707.67209</v>
      </c>
      <c r="F1183" s="36" t="str">
        <f t="array" ref="F1183">IFNA(_xlfn.XLOOKUP(D1183,Table_Tarikan_Warkah[Nomor Tiket],Table_Tarikan_Warkah[Nama Petugas Warkah]),"")</f>
        <v>David</v>
      </c>
      <c r="G1183" s="39" t="str">
        <f t="array" ref="G1183">IFNA(_xlfn.XLOOKUP(D1183,Table_Tarikan_Warkah[Nomor Tiket],Table_Tarikan_Warkah[Jenis Permohonan]),"")</f>
        <v>BN TUKAR MENUKAR</v>
      </c>
      <c r="H1183" s="41" t="s">
        <v>20</v>
      </c>
      <c r="I1183" s="41" t="s">
        <v>23</v>
      </c>
      <c r="J1183" s="36">
        <f t="shared" si="20"/>
        <v>45706.63032</v>
      </c>
      <c r="K1183" s="41" t="s">
        <v>197</v>
      </c>
      <c r="L1183" s="49" t="s">
        <v>23</v>
      </c>
      <c r="M1183" s="36">
        <f t="shared" si="26"/>
        <v>45706.63037</v>
      </c>
      <c r="N1183" s="30" t="str">
        <f t="shared" si="27"/>
        <v>Selesai</v>
      </c>
      <c r="O1183" s="45">
        <f t="shared" si="23"/>
        <v>45706.63037</v>
      </c>
      <c r="P1183" s="47" t="b">
        <v>1</v>
      </c>
      <c r="Q1183" s="36">
        <f t="shared" si="24"/>
        <v>45706.63044</v>
      </c>
      <c r="R1183" s="47" t="b">
        <v>0</v>
      </c>
      <c r="S1183" s="42" t="str">
        <f t="shared" si="28"/>
        <v/>
      </c>
      <c r="T1183" s="42"/>
    </row>
    <row r="1184" ht="22.5" customHeight="1">
      <c r="B1184" s="42">
        <f t="shared" si="7"/>
        <v>1178</v>
      </c>
      <c r="C1184" s="31" t="s">
        <v>1314</v>
      </c>
      <c r="D1184" s="34" t="str">
        <f t="array" ref="D1184">IFNA(_xlfn.XLOOKUP(C1184,Table_Tarikan_Warkah[Nomor Sertipikat],Table_Tarikan_Warkah[Nomor Tiket]),"")</f>
        <v>L/10/030225/1</v>
      </c>
      <c r="E1184" s="36" t="str">
        <f t="array" ref="E1184">IFNA(_xlfn.XLOOKUP(D1184,Table_Tarikan_Warkah[Nomor Tiket],Table_Tarikan_Warkah[Tanggal diserahkan kepada Validator]),"")</f>
        <v/>
      </c>
      <c r="F1184" s="36" t="str">
        <f t="array" ref="F1184">IFNA(_xlfn.XLOOKUP(D1184,Table_Tarikan_Warkah[Nomor Tiket],Table_Tarikan_Warkah[Nama Petugas Warkah]),"")</f>
        <v/>
      </c>
      <c r="G1184" s="39" t="str">
        <f t="array" ref="G1184">IFNA(_xlfn.XLOOKUP(D1184,Table_Tarikan_Warkah[Nomor Tiket],Table_Tarikan_Warkah[Jenis Permohonan]),"")</f>
        <v>BN LELANG</v>
      </c>
      <c r="H1184" s="41" t="s">
        <v>20</v>
      </c>
      <c r="I1184" s="41" t="s">
        <v>23</v>
      </c>
      <c r="J1184" s="36">
        <f t="shared" si="20"/>
        <v>45706.63099</v>
      </c>
      <c r="K1184" s="41" t="s">
        <v>197</v>
      </c>
      <c r="L1184" s="49" t="s">
        <v>23</v>
      </c>
      <c r="M1184" s="36">
        <f t="shared" si="26"/>
        <v>45706.63104</v>
      </c>
      <c r="N1184" s="30" t="str">
        <f t="shared" si="27"/>
        <v>Selesai</v>
      </c>
      <c r="O1184" s="45">
        <f t="shared" si="23"/>
        <v>45706.63104</v>
      </c>
      <c r="P1184" s="47" t="b">
        <v>1</v>
      </c>
      <c r="Q1184" s="36">
        <f t="shared" si="24"/>
        <v>45706.63104</v>
      </c>
      <c r="R1184" s="47" t="b">
        <v>0</v>
      </c>
      <c r="S1184" s="42" t="str">
        <f t="shared" si="28"/>
        <v/>
      </c>
      <c r="T1184" s="42"/>
    </row>
    <row r="1185" ht="22.5" customHeight="1">
      <c r="B1185" s="42">
        <f t="shared" si="7"/>
        <v>1179</v>
      </c>
      <c r="C1185" s="31" t="s">
        <v>1315</v>
      </c>
      <c r="D1185" s="34" t="str">
        <f t="array" ref="D1185">IFNA(_xlfn.XLOOKUP(C1185,Table_Tarikan_Warkah[Nomor Sertipikat],Table_Tarikan_Warkah[Nomor Tiket]),"")</f>
        <v>K/41/120225/1</v>
      </c>
      <c r="E1185" s="36">
        <f t="array" ref="E1185">IFNA(_xlfn.XLOOKUP(D1185,Table_Tarikan_Warkah[Nomor Tiket],Table_Tarikan_Warkah[Tanggal diserahkan kepada Validator]),"")</f>
        <v>45712.43101</v>
      </c>
      <c r="F1185" s="36" t="str">
        <f t="array" ref="F1185">IFNA(_xlfn.XLOOKUP(D1185,Table_Tarikan_Warkah[Nomor Tiket],Table_Tarikan_Warkah[Nama Petugas Warkah]),"")</f>
        <v/>
      </c>
      <c r="G1185" s="39" t="str">
        <f t="array" ref="G1185">IFNA(_xlfn.XLOOKUP(D1185,Table_Tarikan_Warkah[Nomor Tiket],Table_Tarikan_Warkah[Jenis Permohonan]),"")</f>
        <v>BN JUAL BELI</v>
      </c>
      <c r="H1185" s="41" t="s">
        <v>11</v>
      </c>
      <c r="I1185" s="41" t="s">
        <v>23</v>
      </c>
      <c r="J1185" s="36">
        <f t="shared" si="20"/>
        <v>45707.65985</v>
      </c>
      <c r="K1185" s="49" t="s">
        <v>197</v>
      </c>
      <c r="L1185" s="49" t="s">
        <v>23</v>
      </c>
      <c r="M1185" s="36">
        <f t="shared" si="26"/>
        <v>45707.6767</v>
      </c>
      <c r="N1185" s="30" t="str">
        <f t="shared" si="27"/>
        <v>Selesai</v>
      </c>
      <c r="O1185" s="45">
        <f t="shared" si="23"/>
        <v>45707.6767</v>
      </c>
      <c r="P1185" s="47" t="b">
        <v>1</v>
      </c>
      <c r="Q1185" s="36">
        <f t="shared" si="24"/>
        <v>45708.66407</v>
      </c>
      <c r="R1185" s="47" t="b">
        <v>0</v>
      </c>
      <c r="S1185" s="42" t="str">
        <f t="shared" si="28"/>
        <v/>
      </c>
      <c r="T1185" s="42"/>
    </row>
    <row r="1186" ht="22.5" customHeight="1">
      <c r="B1186" s="42">
        <f t="shared" si="7"/>
        <v>1180</v>
      </c>
      <c r="C1186" s="31" t="s">
        <v>1316</v>
      </c>
      <c r="D1186" s="34" t="str">
        <f t="array" ref="D1186">IFNA(_xlfn.XLOOKUP(C1186,Table_Tarikan_Warkah[Nomor Sertipikat],Table_Tarikan_Warkah[Nomor Tiket]),"")</f>
        <v>K/28/070225/1</v>
      </c>
      <c r="E1186" s="36">
        <f t="array" ref="E1186">IFNA(_xlfn.XLOOKUP(D1186,Table_Tarikan_Warkah[Nomor Tiket],Table_Tarikan_Warkah[Tanggal diserahkan kepada Validator]),"")</f>
        <v>45712.41456</v>
      </c>
      <c r="F1186" s="36" t="str">
        <f t="array" ref="F1186">IFNA(_xlfn.XLOOKUP(D1186,Table_Tarikan_Warkah[Nomor Tiket],Table_Tarikan_Warkah[Nama Petugas Warkah]),"")</f>
        <v/>
      </c>
      <c r="G1186" s="39" t="str">
        <f t="array" ref="G1186">IFNA(_xlfn.XLOOKUP(D1186,Table_Tarikan_Warkah[Nomor Tiket],Table_Tarikan_Warkah[Jenis Permohonan]),"")</f>
        <v>BN Jual Beli</v>
      </c>
      <c r="H1186" s="41" t="s">
        <v>11</v>
      </c>
      <c r="I1186" s="41" t="s">
        <v>23</v>
      </c>
      <c r="J1186" s="36">
        <f t="shared" si="20"/>
        <v>45707.65985</v>
      </c>
      <c r="K1186" s="49" t="s">
        <v>197</v>
      </c>
      <c r="L1186" s="49" t="s">
        <v>23</v>
      </c>
      <c r="M1186" s="36">
        <f t="shared" si="26"/>
        <v>45707.6767</v>
      </c>
      <c r="N1186" s="30" t="str">
        <f t="shared" si="27"/>
        <v>Selesai</v>
      </c>
      <c r="O1186" s="45">
        <f t="shared" si="23"/>
        <v>45707.6767</v>
      </c>
      <c r="P1186" s="47" t="b">
        <v>1</v>
      </c>
      <c r="Q1186" s="36">
        <f t="shared" si="24"/>
        <v>45708.66409</v>
      </c>
      <c r="R1186" s="47" t="b">
        <v>0</v>
      </c>
      <c r="S1186" s="42" t="str">
        <f t="shared" si="28"/>
        <v/>
      </c>
      <c r="T1186" s="42"/>
    </row>
    <row r="1187" ht="22.5" customHeight="1">
      <c r="B1187" s="42">
        <f t="shared" si="7"/>
        <v>1181</v>
      </c>
      <c r="C1187" s="31" t="s">
        <v>1317</v>
      </c>
      <c r="D1187" s="34" t="str">
        <f t="array" ref="D1187">IFNA(_xlfn.XLOOKUP(C1187,Table_Tarikan_Warkah[Nomor Sertipikat],Table_Tarikan_Warkah[Nomor Tiket]),"")</f>
        <v>K/23/170225/1</v>
      </c>
      <c r="E1187" s="36">
        <f t="array" ref="E1187">IFNA(_xlfn.XLOOKUP(D1187,Table_Tarikan_Warkah[Nomor Tiket],Table_Tarikan_Warkah[Tanggal diserahkan kepada Validator]),"")</f>
        <v>45763.4497</v>
      </c>
      <c r="F1187" s="36" t="str">
        <f t="array" ref="F1187">IFNA(_xlfn.XLOOKUP(D1187,Table_Tarikan_Warkah[Nomor Tiket],Table_Tarikan_Warkah[Nama Petugas Warkah]),"")</f>
        <v/>
      </c>
      <c r="G1187" s="39" t="str">
        <f t="array" ref="G1187">IFNA(_xlfn.XLOOKUP(D1187,Table_Tarikan_Warkah[Nomor Tiket],Table_Tarikan_Warkah[Jenis Permohonan]),"")</f>
        <v>ROYA</v>
      </c>
      <c r="H1187" s="41" t="s">
        <v>11</v>
      </c>
      <c r="I1187" s="41" t="s">
        <v>23</v>
      </c>
      <c r="J1187" s="36">
        <f t="shared" si="20"/>
        <v>45707.65985</v>
      </c>
      <c r="K1187" s="41" t="s">
        <v>197</v>
      </c>
      <c r="L1187" s="49" t="s">
        <v>23</v>
      </c>
      <c r="M1187" s="36">
        <f t="shared" si="26"/>
        <v>45707.6767</v>
      </c>
      <c r="N1187" s="30" t="str">
        <f t="shared" si="27"/>
        <v>Selesai</v>
      </c>
      <c r="O1187" s="45">
        <f t="shared" si="23"/>
        <v>45707.6767</v>
      </c>
      <c r="P1187" s="47" t="b">
        <v>1</v>
      </c>
      <c r="Q1187" s="36">
        <f t="shared" si="24"/>
        <v>45708.66409</v>
      </c>
      <c r="R1187" s="47" t="b">
        <v>0</v>
      </c>
      <c r="S1187" s="42" t="str">
        <f t="shared" si="28"/>
        <v/>
      </c>
      <c r="T1187" s="42"/>
    </row>
    <row r="1188" ht="22.5" customHeight="1">
      <c r="B1188" s="42">
        <f t="shared" si="7"/>
        <v>1182</v>
      </c>
      <c r="C1188" s="31" t="s">
        <v>1318</v>
      </c>
      <c r="D1188" s="34" t="str">
        <f t="array" ref="D1188">IFNA(_xlfn.XLOOKUP(C1188,Table_Tarikan_Warkah[Nomor Sertipikat],Table_Tarikan_Warkah[Nomor Tiket]),"")</f>
        <v>K/28/120225/1</v>
      </c>
      <c r="E1188" s="36">
        <f t="array" ref="E1188">IFNA(_xlfn.XLOOKUP(D1188,Table_Tarikan_Warkah[Nomor Tiket],Table_Tarikan_Warkah[Tanggal diserahkan kepada Validator]),"")</f>
        <v>45712.40921</v>
      </c>
      <c r="F1188" s="36" t="str">
        <f t="array" ref="F1188">IFNA(_xlfn.XLOOKUP(D1188,Table_Tarikan_Warkah[Nomor Tiket],Table_Tarikan_Warkah[Nama Petugas Warkah]),"")</f>
        <v/>
      </c>
      <c r="G1188" s="39" t="str">
        <f t="array" ref="G1188">IFNA(_xlfn.XLOOKUP(D1188,Table_Tarikan_Warkah[Nomor Tiket],Table_Tarikan_Warkah[Jenis Permohonan]),"")</f>
        <v>BN JUAL BELI</v>
      </c>
      <c r="H1188" s="41" t="s">
        <v>11</v>
      </c>
      <c r="I1188" s="41" t="s">
        <v>23</v>
      </c>
      <c r="J1188" s="36">
        <f t="shared" si="20"/>
        <v>45707.65985</v>
      </c>
      <c r="K1188" s="49" t="s">
        <v>197</v>
      </c>
      <c r="L1188" s="49" t="s">
        <v>23</v>
      </c>
      <c r="M1188" s="36">
        <f t="shared" si="26"/>
        <v>45707.6767</v>
      </c>
      <c r="N1188" s="30" t="str">
        <f t="shared" si="27"/>
        <v>Selesai</v>
      </c>
      <c r="O1188" s="45">
        <f t="shared" si="23"/>
        <v>45707.6767</v>
      </c>
      <c r="P1188" s="47" t="b">
        <v>1</v>
      </c>
      <c r="Q1188" s="36">
        <f t="shared" si="24"/>
        <v>45708.66409</v>
      </c>
      <c r="R1188" s="47" t="b">
        <v>0</v>
      </c>
      <c r="S1188" s="42" t="str">
        <f t="shared" si="28"/>
        <v/>
      </c>
      <c r="T1188" s="42"/>
    </row>
    <row r="1189" ht="22.5" customHeight="1">
      <c r="B1189" s="42">
        <f t="shared" si="7"/>
        <v>1183</v>
      </c>
      <c r="C1189" s="31" t="s">
        <v>1319</v>
      </c>
      <c r="D1189" s="34" t="str">
        <f t="array" ref="D1189">IFNA(_xlfn.XLOOKUP(C1189,Table_Tarikan_Warkah[Nomor Sertipikat],Table_Tarikan_Warkah[Nomor Tiket]),"")</f>
        <v>K/40/130225/1</v>
      </c>
      <c r="E1189" s="36">
        <f t="array" ref="E1189">IFNA(_xlfn.XLOOKUP(D1189,Table_Tarikan_Warkah[Nomor Tiket],Table_Tarikan_Warkah[Tanggal diserahkan kepada Validator]),"")</f>
        <v>45712.41195</v>
      </c>
      <c r="F1189" s="36" t="str">
        <f t="array" ref="F1189">IFNA(_xlfn.XLOOKUP(D1189,Table_Tarikan_Warkah[Nomor Tiket],Table_Tarikan_Warkah[Nama Petugas Warkah]),"")</f>
        <v/>
      </c>
      <c r="G1189" s="39" t="str">
        <f t="array" ref="G1189">IFNA(_xlfn.XLOOKUP(D1189,Table_Tarikan_Warkah[Nomor Tiket],Table_Tarikan_Warkah[Jenis Permohonan]),"")</f>
        <v>BN JUAL BELI</v>
      </c>
      <c r="H1189" s="41" t="s">
        <v>11</v>
      </c>
      <c r="I1189" s="41" t="s">
        <v>23</v>
      </c>
      <c r="J1189" s="36">
        <f t="shared" si="20"/>
        <v>45707.65985</v>
      </c>
      <c r="K1189" s="41" t="s">
        <v>197</v>
      </c>
      <c r="L1189" s="49" t="s">
        <v>23</v>
      </c>
      <c r="M1189" s="36">
        <f t="shared" si="26"/>
        <v>45707.6767</v>
      </c>
      <c r="N1189" s="30" t="str">
        <f t="shared" si="27"/>
        <v>Selesai</v>
      </c>
      <c r="O1189" s="45">
        <f t="shared" si="23"/>
        <v>45707.6767</v>
      </c>
      <c r="P1189" s="47" t="b">
        <v>1</v>
      </c>
      <c r="Q1189" s="36">
        <f t="shared" si="24"/>
        <v>45708.6641</v>
      </c>
      <c r="R1189" s="47" t="b">
        <v>0</v>
      </c>
      <c r="S1189" s="42" t="str">
        <f t="shared" si="28"/>
        <v/>
      </c>
      <c r="T1189" s="42"/>
    </row>
    <row r="1190" ht="22.5" customHeight="1">
      <c r="B1190" s="42">
        <f t="shared" si="7"/>
        <v>1184</v>
      </c>
      <c r="C1190" s="31" t="s">
        <v>1320</v>
      </c>
      <c r="D1190" s="34" t="str">
        <f t="array" ref="D1190">IFNA(_xlfn.XLOOKUP(C1190,Table_Tarikan_Warkah[Nomor Sertipikat],Table_Tarikan_Warkah[Nomor Tiket]),"")</f>
        <v>K/45/110225/3</v>
      </c>
      <c r="E1190" s="36">
        <f t="array" ref="E1190">IFNA(_xlfn.XLOOKUP(D1190,Table_Tarikan_Warkah[Nomor Tiket],Table_Tarikan_Warkah[Tanggal diserahkan kepada Validator]),"")</f>
        <v>45712.41099</v>
      </c>
      <c r="F1190" s="36" t="str">
        <f t="array" ref="F1190">IFNA(_xlfn.XLOOKUP(D1190,Table_Tarikan_Warkah[Nomor Tiket],Table_Tarikan_Warkah[Nama Petugas Warkah]),"")</f>
        <v/>
      </c>
      <c r="G1190" s="39" t="str">
        <f t="array" ref="G1190">IFNA(_xlfn.XLOOKUP(D1190,Table_Tarikan_Warkah[Nomor Tiket],Table_Tarikan_Warkah[Jenis Permohonan]),"")</f>
        <v>BN JUAL BELI</v>
      </c>
      <c r="H1190" s="41" t="s">
        <v>11</v>
      </c>
      <c r="I1190" s="41" t="s">
        <v>23</v>
      </c>
      <c r="J1190" s="36">
        <f t="shared" si="20"/>
        <v>45707.65985</v>
      </c>
      <c r="K1190" s="49" t="s">
        <v>197</v>
      </c>
      <c r="L1190" s="49" t="s">
        <v>23</v>
      </c>
      <c r="M1190" s="36">
        <f t="shared" si="26"/>
        <v>45707.67677</v>
      </c>
      <c r="N1190" s="30" t="str">
        <f t="shared" si="27"/>
        <v>Selesai</v>
      </c>
      <c r="O1190" s="45">
        <f t="shared" si="23"/>
        <v>45707.67677</v>
      </c>
      <c r="P1190" s="47" t="b">
        <v>1</v>
      </c>
      <c r="Q1190" s="36">
        <f t="shared" si="24"/>
        <v>45708.66411</v>
      </c>
      <c r="R1190" s="47" t="b">
        <v>0</v>
      </c>
      <c r="S1190" s="42" t="str">
        <f t="shared" si="28"/>
        <v/>
      </c>
      <c r="T1190" s="42"/>
    </row>
    <row r="1191" ht="22.5" customHeight="1">
      <c r="B1191" s="42">
        <f t="shared" si="7"/>
        <v>1185</v>
      </c>
      <c r="C1191" s="31" t="s">
        <v>1321</v>
      </c>
      <c r="D1191" s="34" t="str">
        <f t="array" ref="D1191">IFNA(_xlfn.XLOOKUP(C1191,Table_Tarikan_Warkah[Nomor Sertipikat],Table_Tarikan_Warkah[Nomor Tiket]),"")</f>
        <v>K/8/140225/1</v>
      </c>
      <c r="E1191" s="36" t="str">
        <f t="array" ref="E1191">IFNA(_xlfn.XLOOKUP(D1191,Table_Tarikan_Warkah[Nomor Tiket],Table_Tarikan_Warkah[Tanggal diserahkan kepada Validator]),"")</f>
        <v/>
      </c>
      <c r="F1191" s="36" t="str">
        <f t="array" ref="F1191">IFNA(_xlfn.XLOOKUP(D1191,Table_Tarikan_Warkah[Nomor Tiket],Table_Tarikan_Warkah[Nama Petugas Warkah]),"")</f>
        <v/>
      </c>
      <c r="G1191" s="39" t="str">
        <f t="array" ref="G1191">IFNA(_xlfn.XLOOKUP(D1191,Table_Tarikan_Warkah[Nomor Tiket],Table_Tarikan_Warkah[Jenis Permohonan]),"")</f>
        <v>PENINGKATAN HAK</v>
      </c>
      <c r="H1191" s="41" t="s">
        <v>11</v>
      </c>
      <c r="I1191" s="41" t="s">
        <v>23</v>
      </c>
      <c r="J1191" s="36">
        <f t="shared" si="20"/>
        <v>45707.65989</v>
      </c>
      <c r="K1191" s="49" t="s">
        <v>197</v>
      </c>
      <c r="L1191" s="49" t="s">
        <v>23</v>
      </c>
      <c r="M1191" s="36">
        <f t="shared" si="26"/>
        <v>45707.67677</v>
      </c>
      <c r="N1191" s="30" t="str">
        <f t="shared" si="27"/>
        <v>Selesai</v>
      </c>
      <c r="O1191" s="45">
        <f t="shared" si="23"/>
        <v>45707.67677</v>
      </c>
      <c r="P1191" s="47" t="b">
        <v>1</v>
      </c>
      <c r="Q1191" s="36">
        <f t="shared" si="24"/>
        <v>45708.66412</v>
      </c>
      <c r="R1191" s="47" t="b">
        <v>0</v>
      </c>
      <c r="S1191" s="42" t="str">
        <f t="shared" si="28"/>
        <v/>
      </c>
      <c r="T1191" s="42"/>
    </row>
    <row r="1192" ht="22.5" customHeight="1">
      <c r="B1192" s="42">
        <f t="shared" si="7"/>
        <v>1186</v>
      </c>
      <c r="C1192" s="31" t="s">
        <v>1322</v>
      </c>
      <c r="D1192" s="34" t="str">
        <f t="array" ref="D1192">IFNA(_xlfn.XLOOKUP(C1192,Table_Tarikan_Warkah[Nomor Sertipikat],Table_Tarikan_Warkah[Nomor Tiket]),"")</f>
        <v>K/3/140225/1</v>
      </c>
      <c r="E1192" s="36">
        <f t="array" ref="E1192">IFNA(_xlfn.XLOOKUP(D1192,Table_Tarikan_Warkah[Nomor Tiket],Table_Tarikan_Warkah[Tanggal diserahkan kepada Validator]),"")</f>
        <v>45712.6652</v>
      </c>
      <c r="F1192" s="36" t="str">
        <f t="array" ref="F1192">IFNA(_xlfn.XLOOKUP(D1192,Table_Tarikan_Warkah[Nomor Tiket],Table_Tarikan_Warkah[Nama Petugas Warkah]),"")</f>
        <v/>
      </c>
      <c r="G1192" s="39" t="str">
        <f t="array" ref="G1192">IFNA(_xlfn.XLOOKUP(D1192,Table_Tarikan_Warkah[Nomor Tiket],Table_Tarikan_Warkah[Jenis Permohonan]),"")</f>
        <v>BN JUAL BELI</v>
      </c>
      <c r="H1192" s="41" t="s">
        <v>11</v>
      </c>
      <c r="I1192" s="41" t="s">
        <v>23</v>
      </c>
      <c r="J1192" s="36">
        <f t="shared" si="20"/>
        <v>45707.65989</v>
      </c>
      <c r="K1192" s="41" t="s">
        <v>197</v>
      </c>
      <c r="L1192" s="49" t="s">
        <v>23</v>
      </c>
      <c r="M1192" s="36">
        <f t="shared" si="26"/>
        <v>45707.67677</v>
      </c>
      <c r="N1192" s="30" t="str">
        <f t="shared" si="27"/>
        <v>Selesai</v>
      </c>
      <c r="O1192" s="45">
        <f t="shared" si="23"/>
        <v>45707.67677</v>
      </c>
      <c r="P1192" s="47" t="b">
        <v>1</v>
      </c>
      <c r="Q1192" s="36">
        <f t="shared" si="24"/>
        <v>45708.66413</v>
      </c>
      <c r="R1192" s="47" t="b">
        <v>0</v>
      </c>
      <c r="S1192" s="42" t="str">
        <f t="shared" si="28"/>
        <v/>
      </c>
      <c r="T1192" s="42"/>
    </row>
    <row r="1193" ht="22.5" customHeight="1">
      <c r="B1193" s="42">
        <f t="shared" si="7"/>
        <v>1187</v>
      </c>
      <c r="C1193" s="31" t="s">
        <v>1323</v>
      </c>
      <c r="D1193" s="34" t="str">
        <f t="array" ref="D1193">IFNA(_xlfn.XLOOKUP(C1193,Table_Tarikan_Warkah[Nomor Sertipikat],Table_Tarikan_Warkah[Nomor Tiket]),"")</f>
        <v>L/6/130225/1</v>
      </c>
      <c r="E1193" s="36">
        <f t="array" ref="E1193">IFNA(_xlfn.XLOOKUP(D1193,Table_Tarikan_Warkah[Nomor Tiket],Table_Tarikan_Warkah[Tanggal diserahkan kepada Validator]),"")</f>
        <v>45723.54265</v>
      </c>
      <c r="F1193" s="36" t="str">
        <f t="array" ref="F1193">IFNA(_xlfn.XLOOKUP(D1193,Table_Tarikan_Warkah[Nomor Tiket],Table_Tarikan_Warkah[Nama Petugas Warkah]),"")</f>
        <v/>
      </c>
      <c r="G1193" s="39" t="str">
        <f t="array" ref="G1193">IFNA(_xlfn.XLOOKUP(D1193,Table_Tarikan_Warkah[Nomor Tiket],Table_Tarikan_Warkah[Jenis Permohonan]),"")</f>
        <v>ROYA</v>
      </c>
      <c r="H1193" s="41" t="s">
        <v>11</v>
      </c>
      <c r="I1193" s="41" t="s">
        <v>23</v>
      </c>
      <c r="J1193" s="36">
        <f t="shared" si="20"/>
        <v>45707.65989</v>
      </c>
      <c r="K1193" s="49" t="s">
        <v>197</v>
      </c>
      <c r="L1193" s="49" t="s">
        <v>23</v>
      </c>
      <c r="M1193" s="36">
        <f t="shared" si="26"/>
        <v>45707.67677</v>
      </c>
      <c r="N1193" s="30" t="str">
        <f t="shared" si="27"/>
        <v>Selesai</v>
      </c>
      <c r="O1193" s="45">
        <f t="shared" si="23"/>
        <v>45707.67677</v>
      </c>
      <c r="P1193" s="47" t="b">
        <v>1</v>
      </c>
      <c r="Q1193" s="36">
        <f t="shared" si="24"/>
        <v>45708.66414</v>
      </c>
      <c r="R1193" s="47" t="b">
        <v>0</v>
      </c>
      <c r="S1193" s="42" t="str">
        <f t="shared" si="28"/>
        <v/>
      </c>
      <c r="T1193" s="42"/>
    </row>
    <row r="1194" ht="22.5" customHeight="1">
      <c r="B1194" s="42">
        <f t="shared" si="7"/>
        <v>1188</v>
      </c>
      <c r="C1194" s="31" t="s">
        <v>1324</v>
      </c>
      <c r="D1194" s="34" t="s">
        <v>1325</v>
      </c>
      <c r="E1194" s="36">
        <f t="array" ref="E1194">IFNA(_xlfn.XLOOKUP(D1194,Table_Tarikan_Warkah[Nomor Tiket],Table_Tarikan_Warkah[Tanggal diserahkan kepada Validator]),"")</f>
        <v>45722.4995</v>
      </c>
      <c r="F1194" s="36" t="str">
        <f t="array" ref="F1194">IFNA(_xlfn.XLOOKUP(D1194,Table_Tarikan_Warkah[Nomor Tiket],Table_Tarikan_Warkah[Nama Petugas Warkah]),"")</f>
        <v/>
      </c>
      <c r="G1194" s="39" t="str">
        <f t="array" ref="G1194">IFNA(_xlfn.XLOOKUP(D1194,Table_Tarikan_Warkah[Nomor Tiket],Table_Tarikan_Warkah[Jenis Permohonan]),"")</f>
        <v>ROYA</v>
      </c>
      <c r="H1194" s="41" t="s">
        <v>11</v>
      </c>
      <c r="I1194" s="41" t="s">
        <v>23</v>
      </c>
      <c r="J1194" s="36">
        <f t="shared" si="20"/>
        <v>45707.65989</v>
      </c>
      <c r="K1194" s="49" t="s">
        <v>197</v>
      </c>
      <c r="L1194" s="49" t="s">
        <v>23</v>
      </c>
      <c r="M1194" s="36">
        <f t="shared" si="26"/>
        <v>45707.67677</v>
      </c>
      <c r="N1194" s="30" t="str">
        <f t="shared" si="27"/>
        <v>Selesai</v>
      </c>
      <c r="O1194" s="45">
        <f t="shared" si="23"/>
        <v>45707.67677</v>
      </c>
      <c r="P1194" s="47" t="b">
        <v>1</v>
      </c>
      <c r="Q1194" s="36">
        <f t="shared" si="24"/>
        <v>45708.66416</v>
      </c>
      <c r="R1194" s="47" t="b">
        <v>0</v>
      </c>
      <c r="S1194" s="42" t="str">
        <f t="shared" si="28"/>
        <v/>
      </c>
      <c r="T1194" s="42"/>
    </row>
    <row r="1195" ht="22.5" customHeight="1">
      <c r="B1195" s="42">
        <f t="shared" si="7"/>
        <v>1189</v>
      </c>
      <c r="C1195" s="31" t="s">
        <v>1326</v>
      </c>
      <c r="D1195" s="34" t="str">
        <f t="array" ref="D1195">IFNA(_xlfn.XLOOKUP(C1195,Table_Tarikan_Warkah[Nomor Sertipikat],Table_Tarikan_Warkah[Nomor Tiket]),"")</f>
        <v>K/27/120225/2</v>
      </c>
      <c r="E1195" s="36">
        <f t="array" ref="E1195">IFNA(_xlfn.XLOOKUP(D1195,Table_Tarikan_Warkah[Nomor Tiket],Table_Tarikan_Warkah[Tanggal diserahkan kepada Validator]),"")</f>
        <v>45712.41478</v>
      </c>
      <c r="F1195" s="36" t="str">
        <f t="array" ref="F1195">IFNA(_xlfn.XLOOKUP(D1195,Table_Tarikan_Warkah[Nomor Tiket],Table_Tarikan_Warkah[Nama Petugas Warkah]),"")</f>
        <v/>
      </c>
      <c r="G1195" s="39" t="str">
        <f t="array" ref="G1195">IFNA(_xlfn.XLOOKUP(D1195,Table_Tarikan_Warkah[Nomor Tiket],Table_Tarikan_Warkah[Jenis Permohonan]),"")</f>
        <v>BN Jual Beli</v>
      </c>
      <c r="H1195" s="41" t="s">
        <v>11</v>
      </c>
      <c r="I1195" s="41" t="s">
        <v>23</v>
      </c>
      <c r="J1195" s="36">
        <f t="shared" si="20"/>
        <v>45707.65989</v>
      </c>
      <c r="K1195" s="41" t="s">
        <v>197</v>
      </c>
      <c r="L1195" s="49" t="s">
        <v>23</v>
      </c>
      <c r="M1195" s="36">
        <f t="shared" si="26"/>
        <v>45707.67684</v>
      </c>
      <c r="N1195" s="30" t="str">
        <f t="shared" si="27"/>
        <v>Selesai</v>
      </c>
      <c r="O1195" s="45">
        <f t="shared" si="23"/>
        <v>45707.67684</v>
      </c>
      <c r="P1195" s="47" t="b">
        <v>1</v>
      </c>
      <c r="Q1195" s="36">
        <f t="shared" si="24"/>
        <v>45708.66416</v>
      </c>
      <c r="R1195" s="47" t="b">
        <v>0</v>
      </c>
      <c r="S1195" s="42" t="str">
        <f t="shared" si="28"/>
        <v/>
      </c>
      <c r="T1195" s="42"/>
    </row>
    <row r="1196" ht="22.5" customHeight="1">
      <c r="B1196" s="42">
        <f t="shared" si="7"/>
        <v>1190</v>
      </c>
      <c r="C1196" s="31" t="s">
        <v>1327</v>
      </c>
      <c r="D1196" s="34" t="str">
        <f t="array" ref="D1196">IFNA(_xlfn.XLOOKUP(C1196,Table_Tarikan_Warkah[Nomor Sertipikat],Table_Tarikan_Warkah[Nomor Tiket]),"")</f>
        <v>K/12/110225/1</v>
      </c>
      <c r="E1196" s="36" t="str">
        <f t="array" ref="E1196">IFNA(_xlfn.XLOOKUP(D1196,Table_Tarikan_Warkah[Nomor Tiket],Table_Tarikan_Warkah[Tanggal diserahkan kepada Validator]),"")</f>
        <v/>
      </c>
      <c r="F1196" s="36" t="str">
        <f t="array" ref="F1196">IFNA(_xlfn.XLOOKUP(D1196,Table_Tarikan_Warkah[Nomor Tiket],Table_Tarikan_Warkah[Nama Petugas Warkah]),"")</f>
        <v/>
      </c>
      <c r="G1196" s="39" t="str">
        <f t="array" ref="G1196">IFNA(_xlfn.XLOOKUP(D1196,Table_Tarikan_Warkah[Nomor Tiket],Table_Tarikan_Warkah[Jenis Permohonan]),"")</f>
        <v>BN Jual Beli</v>
      </c>
      <c r="H1196" s="41" t="s">
        <v>11</v>
      </c>
      <c r="I1196" s="41" t="s">
        <v>23</v>
      </c>
      <c r="J1196" s="36">
        <f t="shared" si="20"/>
        <v>45707.65989</v>
      </c>
      <c r="K1196" s="49" t="s">
        <v>197</v>
      </c>
      <c r="L1196" s="49" t="s">
        <v>23</v>
      </c>
      <c r="M1196" s="36">
        <f t="shared" si="26"/>
        <v>45707.67684</v>
      </c>
      <c r="N1196" s="30" t="str">
        <f t="shared" si="27"/>
        <v>Selesai</v>
      </c>
      <c r="O1196" s="45">
        <f t="shared" si="23"/>
        <v>45707.67684</v>
      </c>
      <c r="P1196" s="47" t="b">
        <v>1</v>
      </c>
      <c r="Q1196" s="36">
        <f t="shared" si="24"/>
        <v>45708.66417</v>
      </c>
      <c r="R1196" s="47" t="b">
        <v>0</v>
      </c>
      <c r="S1196" s="42" t="str">
        <f t="shared" si="28"/>
        <v/>
      </c>
      <c r="T1196" s="42"/>
    </row>
    <row r="1197" ht="22.5" customHeight="1">
      <c r="B1197" s="42">
        <f t="shared" si="7"/>
        <v>1191</v>
      </c>
      <c r="C1197" s="31" t="s">
        <v>1328</v>
      </c>
      <c r="D1197" s="34" t="str">
        <f t="array" ref="D1197">IFNA(_xlfn.XLOOKUP(C1197,Table_Tarikan_Warkah[Nomor Sertipikat],Table_Tarikan_Warkah[Nomor Tiket]),"")</f>
        <v>K/60/151124/2</v>
      </c>
      <c r="E1197" s="36">
        <f t="array" ref="E1197">IFNA(_xlfn.XLOOKUP(D1197,Table_Tarikan_Warkah[Nomor Tiket],Table_Tarikan_Warkah[Tanggal diserahkan kepada Validator]),"")</f>
        <v>45771.60852</v>
      </c>
      <c r="F1197" s="36" t="str">
        <f t="array" ref="F1197">IFNA(_xlfn.XLOOKUP(D1197,Table_Tarikan_Warkah[Nomor Tiket],Table_Tarikan_Warkah[Nama Petugas Warkah]),"")</f>
        <v>Berry</v>
      </c>
      <c r="G1197" s="39" t="str">
        <f t="array" ref="G1197">IFNA(_xlfn.XLOOKUP(D1197,Table_Tarikan_Warkah[Nomor Tiket],Table_Tarikan_Warkah[Jenis Permohonan]),"")</f>
        <v>BN Jual Beli</v>
      </c>
      <c r="H1197" s="41" t="s">
        <v>11</v>
      </c>
      <c r="I1197" s="41" t="s">
        <v>23</v>
      </c>
      <c r="J1197" s="36">
        <f t="shared" si="20"/>
        <v>45707.65989</v>
      </c>
      <c r="K1197" s="41" t="s">
        <v>197</v>
      </c>
      <c r="L1197" s="49" t="s">
        <v>23</v>
      </c>
      <c r="M1197" s="36">
        <f t="shared" si="26"/>
        <v>45707.67684</v>
      </c>
      <c r="N1197" s="30" t="str">
        <f t="shared" si="27"/>
        <v>Selesai</v>
      </c>
      <c r="O1197" s="45">
        <f t="shared" si="23"/>
        <v>45707.67684</v>
      </c>
      <c r="P1197" s="47" t="b">
        <v>1</v>
      </c>
      <c r="Q1197" s="36">
        <f t="shared" si="24"/>
        <v>45708.66418</v>
      </c>
      <c r="R1197" s="47" t="b">
        <v>0</v>
      </c>
      <c r="S1197" s="42" t="str">
        <f t="shared" si="28"/>
        <v/>
      </c>
      <c r="T1197" s="42"/>
    </row>
    <row r="1198" ht="22.5" customHeight="1">
      <c r="B1198" s="42">
        <f t="shared" si="7"/>
        <v>1192</v>
      </c>
      <c r="C1198" s="31" t="s">
        <v>1329</v>
      </c>
      <c r="D1198" s="34" t="str">
        <f t="array" ref="D1198">IFNA(_xlfn.XLOOKUP(C1198,Table_Tarikan_Warkah[Nomor Sertipikat],Table_Tarikan_Warkah[Nomor Tiket]),"")</f>
        <v>K/41/130225/1</v>
      </c>
      <c r="E1198" s="36">
        <f t="array" ref="E1198">IFNA(_xlfn.XLOOKUP(D1198,Table_Tarikan_Warkah[Nomor Tiket],Table_Tarikan_Warkah[Tanggal diserahkan kepada Validator]),"")</f>
        <v>45712.43021</v>
      </c>
      <c r="F1198" s="36" t="str">
        <f t="array" ref="F1198">IFNA(_xlfn.XLOOKUP(D1198,Table_Tarikan_Warkah[Nomor Tiket],Table_Tarikan_Warkah[Nama Petugas Warkah]),"")</f>
        <v/>
      </c>
      <c r="G1198" s="39" t="str">
        <f t="array" ref="G1198">IFNA(_xlfn.XLOOKUP(D1198,Table_Tarikan_Warkah[Nomor Tiket],Table_Tarikan_Warkah[Jenis Permohonan]),"")</f>
        <v>BN WARIS</v>
      </c>
      <c r="H1198" s="41" t="s">
        <v>11</v>
      </c>
      <c r="I1198" s="41" t="s">
        <v>23</v>
      </c>
      <c r="J1198" s="36">
        <f t="shared" si="20"/>
        <v>45708.39669</v>
      </c>
      <c r="K1198" s="41" t="s">
        <v>197</v>
      </c>
      <c r="L1198" s="49" t="s">
        <v>23</v>
      </c>
      <c r="M1198" s="36">
        <f t="shared" si="26"/>
        <v>45708.39673</v>
      </c>
      <c r="N1198" s="30" t="str">
        <f t="shared" si="27"/>
        <v>Selesai</v>
      </c>
      <c r="O1198" s="45">
        <f t="shared" si="23"/>
        <v>45708.39673</v>
      </c>
      <c r="P1198" s="47" t="b">
        <v>1</v>
      </c>
      <c r="Q1198" s="36">
        <f t="shared" si="24"/>
        <v>45708.39675</v>
      </c>
      <c r="R1198" s="47" t="b">
        <v>0</v>
      </c>
      <c r="S1198" s="42" t="str">
        <f t="shared" si="28"/>
        <v/>
      </c>
      <c r="T1198" s="42"/>
    </row>
    <row r="1199" ht="22.5" customHeight="1">
      <c r="B1199" s="42">
        <f t="shared" si="7"/>
        <v>1193</v>
      </c>
      <c r="C1199" s="31" t="s">
        <v>1330</v>
      </c>
      <c r="D1199" s="34" t="str">
        <f t="array" ref="D1199">IFNA(_xlfn.XLOOKUP(C1199,Table_Tarikan_Warkah[Nomor Sertipikat],Table_Tarikan_Warkah[Nomor Tiket]),"")</f>
        <v>L/14/220125/1</v>
      </c>
      <c r="E1199" s="36" t="str">
        <f t="array" ref="E1199">IFNA(_xlfn.XLOOKUP(D1199,Table_Tarikan_Warkah[Nomor Tiket],Table_Tarikan_Warkah[Tanggal diserahkan kepada Validator]),"")</f>
        <v/>
      </c>
      <c r="F1199" s="36" t="str">
        <f t="array" ref="F1199">IFNA(_xlfn.XLOOKUP(D1199,Table_Tarikan_Warkah[Nomor Tiket],Table_Tarikan_Warkah[Nama Petugas Warkah]),"")</f>
        <v/>
      </c>
      <c r="G1199" s="39" t="str">
        <f t="array" ref="G1199">IFNA(_xlfn.XLOOKUP(D1199,Table_Tarikan_Warkah[Nomor Tiket],Table_Tarikan_Warkah[Jenis Permohonan]),"")</f>
        <v>GANTI BLANGKO</v>
      </c>
      <c r="H1199" s="41" t="s">
        <v>11</v>
      </c>
      <c r="I1199" s="41" t="s">
        <v>23</v>
      </c>
      <c r="J1199" s="36">
        <f t="shared" si="20"/>
        <v>45708.49939</v>
      </c>
      <c r="K1199" s="41" t="s">
        <v>197</v>
      </c>
      <c r="L1199" s="49" t="s">
        <v>23</v>
      </c>
      <c r="M1199" s="36">
        <f t="shared" si="26"/>
        <v>45708.66429</v>
      </c>
      <c r="N1199" s="30" t="str">
        <f t="shared" si="27"/>
        <v>Selesai</v>
      </c>
      <c r="O1199" s="45">
        <f t="shared" si="23"/>
        <v>45708.66429</v>
      </c>
      <c r="P1199" s="47" t="b">
        <v>1</v>
      </c>
      <c r="Q1199" s="36">
        <f t="shared" si="24"/>
        <v>45708.6645</v>
      </c>
      <c r="R1199" s="47" t="b">
        <v>0</v>
      </c>
      <c r="S1199" s="42" t="str">
        <f t="shared" si="28"/>
        <v/>
      </c>
      <c r="T1199" s="42"/>
    </row>
    <row r="1200" ht="22.5" customHeight="1">
      <c r="B1200" s="42">
        <f t="shared" si="7"/>
        <v>1194</v>
      </c>
      <c r="C1200" s="31" t="s">
        <v>1331</v>
      </c>
      <c r="D1200" s="34" t="str">
        <f t="array" ref="D1200">IFNA(_xlfn.XLOOKUP(C1200,Table_Tarikan_Warkah[Nomor Sertipikat],Table_Tarikan_Warkah[Nomor Tiket]),"")</f>
        <v>L/13/040225/1</v>
      </c>
      <c r="E1200" s="36">
        <f t="array" ref="E1200">IFNA(_xlfn.XLOOKUP(D1200,Table_Tarikan_Warkah[Nomor Tiket],Table_Tarikan_Warkah[Tanggal diserahkan kepada Validator]),"")</f>
        <v>45730.37458</v>
      </c>
      <c r="F1200" s="36" t="str">
        <f t="array" ref="F1200">IFNA(_xlfn.XLOOKUP(D1200,Table_Tarikan_Warkah[Nomor Tiket],Table_Tarikan_Warkah[Nama Petugas Warkah]),"")</f>
        <v/>
      </c>
      <c r="G1200" s="39" t="str">
        <f t="array" ref="G1200">IFNA(_xlfn.XLOOKUP(D1200,Table_Tarikan_Warkah[Nomor Tiket],Table_Tarikan_Warkah[Jenis Permohonan]),"")</f>
        <v>ROYA</v>
      </c>
      <c r="H1200" s="41" t="s">
        <v>11</v>
      </c>
      <c r="I1200" s="41" t="s">
        <v>23</v>
      </c>
      <c r="J1200" s="36">
        <f t="shared" si="20"/>
        <v>45708.49942</v>
      </c>
      <c r="K1200" s="49" t="s">
        <v>197</v>
      </c>
      <c r="L1200" s="49" t="s">
        <v>23</v>
      </c>
      <c r="M1200" s="36">
        <f t="shared" si="26"/>
        <v>45708.66429</v>
      </c>
      <c r="N1200" s="30" t="str">
        <f t="shared" si="27"/>
        <v>Selesai</v>
      </c>
      <c r="O1200" s="45">
        <f t="shared" si="23"/>
        <v>45708.66429</v>
      </c>
      <c r="P1200" s="47" t="b">
        <v>1</v>
      </c>
      <c r="Q1200" s="36">
        <f t="shared" si="24"/>
        <v>45708.6645</v>
      </c>
      <c r="R1200" s="47" t="b">
        <v>0</v>
      </c>
      <c r="S1200" s="42" t="str">
        <f t="shared" si="28"/>
        <v/>
      </c>
      <c r="T1200" s="42"/>
    </row>
    <row r="1201" ht="22.5" customHeight="1">
      <c r="B1201" s="42">
        <f t="shared" si="7"/>
        <v>1195</v>
      </c>
      <c r="C1201" s="31" t="s">
        <v>1332</v>
      </c>
      <c r="D1201" s="34" t="str">
        <f t="array" ref="D1201">IFNA(_xlfn.XLOOKUP(C1201,Table_Tarikan_Warkah[Nomor Sertipikat],Table_Tarikan_Warkah[Nomor Tiket]),"")</f>
        <v>L/23/140225/1</v>
      </c>
      <c r="E1201" s="36">
        <f t="array" ref="E1201">IFNA(_xlfn.XLOOKUP(D1201,Table_Tarikan_Warkah[Nomor Tiket],Table_Tarikan_Warkah[Tanggal diserahkan kepada Validator]),"")</f>
        <v>45723.54235</v>
      </c>
      <c r="F1201" s="36" t="str">
        <f t="array" ref="F1201">IFNA(_xlfn.XLOOKUP(D1201,Table_Tarikan_Warkah[Nomor Tiket],Table_Tarikan_Warkah[Nama Petugas Warkah]),"")</f>
        <v/>
      </c>
      <c r="G1201" s="39" t="str">
        <f t="array" ref="G1201">IFNA(_xlfn.XLOOKUP(D1201,Table_Tarikan_Warkah[Nomor Tiket],Table_Tarikan_Warkah[Jenis Permohonan]),"")</f>
        <v>ROYA</v>
      </c>
      <c r="H1201" s="41" t="s">
        <v>11</v>
      </c>
      <c r="I1201" s="41" t="s">
        <v>23</v>
      </c>
      <c r="J1201" s="36">
        <f t="shared" si="20"/>
        <v>45708.49942</v>
      </c>
      <c r="K1201" s="49" t="s">
        <v>197</v>
      </c>
      <c r="L1201" s="49" t="s">
        <v>23</v>
      </c>
      <c r="M1201" s="36">
        <f t="shared" si="26"/>
        <v>45708.66429</v>
      </c>
      <c r="N1201" s="30" t="str">
        <f t="shared" si="27"/>
        <v>Selesai</v>
      </c>
      <c r="O1201" s="45">
        <f t="shared" si="23"/>
        <v>45708.66429</v>
      </c>
      <c r="P1201" s="47" t="b">
        <v>1</v>
      </c>
      <c r="Q1201" s="36">
        <f t="shared" si="24"/>
        <v>45708.6645</v>
      </c>
      <c r="R1201" s="47" t="b">
        <v>0</v>
      </c>
      <c r="S1201" s="42" t="str">
        <f t="shared" si="28"/>
        <v/>
      </c>
      <c r="T1201" s="42"/>
    </row>
    <row r="1202" ht="22.5" customHeight="1">
      <c r="B1202" s="42">
        <f t="shared" si="7"/>
        <v>1196</v>
      </c>
      <c r="C1202" s="31" t="s">
        <v>1333</v>
      </c>
      <c r="D1202" s="34" t="str">
        <f t="array" ref="D1202">IFNA(_xlfn.XLOOKUP(C1202,Table_Tarikan_Warkah[Nomor Sertipikat],Table_Tarikan_Warkah[Nomor Tiket]),"")</f>
        <v>K/8/130225/1</v>
      </c>
      <c r="E1202" s="36">
        <f t="array" ref="E1202">IFNA(_xlfn.XLOOKUP(D1202,Table_Tarikan_Warkah[Nomor Tiket],Table_Tarikan_Warkah[Tanggal diserahkan kepada Validator]),"")</f>
        <v>45712.41139</v>
      </c>
      <c r="F1202" s="36" t="str">
        <f t="array" ref="F1202">IFNA(_xlfn.XLOOKUP(D1202,Table_Tarikan_Warkah[Nomor Tiket],Table_Tarikan_Warkah[Nama Petugas Warkah]),"")</f>
        <v/>
      </c>
      <c r="G1202" s="39" t="str">
        <f t="array" ref="G1202">IFNA(_xlfn.XLOOKUP(D1202,Table_Tarikan_Warkah[Nomor Tiket],Table_Tarikan_Warkah[Jenis Permohonan]),"")</f>
        <v>ROYA</v>
      </c>
      <c r="H1202" s="41" t="s">
        <v>11</v>
      </c>
      <c r="I1202" s="41" t="s">
        <v>23</v>
      </c>
      <c r="J1202" s="36">
        <f t="shared" si="20"/>
        <v>45708.49942</v>
      </c>
      <c r="K1202" s="41" t="s">
        <v>197</v>
      </c>
      <c r="L1202" s="49" t="s">
        <v>23</v>
      </c>
      <c r="M1202" s="36">
        <f t="shared" si="26"/>
        <v>45708.66429</v>
      </c>
      <c r="N1202" s="30" t="str">
        <f t="shared" si="27"/>
        <v>Selesai</v>
      </c>
      <c r="O1202" s="45">
        <f t="shared" si="23"/>
        <v>45708.66429</v>
      </c>
      <c r="P1202" s="47" t="b">
        <v>1</v>
      </c>
      <c r="Q1202" s="36">
        <f t="shared" si="24"/>
        <v>45708.6645</v>
      </c>
      <c r="R1202" s="47" t="b">
        <v>0</v>
      </c>
      <c r="S1202" s="42" t="str">
        <f t="shared" si="28"/>
        <v/>
      </c>
      <c r="T1202" s="42"/>
    </row>
    <row r="1203" ht="22.5" customHeight="1">
      <c r="B1203" s="42">
        <f t="shared" si="7"/>
        <v>1197</v>
      </c>
      <c r="C1203" s="31" t="s">
        <v>1334</v>
      </c>
      <c r="D1203" s="34" t="str">
        <f t="array" ref="D1203">IFNA(_xlfn.XLOOKUP(C1203,Table_Tarikan_Warkah[Nomor Sertipikat],Table_Tarikan_Warkah[Nomor Tiket]),"")</f>
        <v>K/5/140225/2</v>
      </c>
      <c r="E1203" s="36">
        <f t="array" ref="E1203">IFNA(_xlfn.XLOOKUP(D1203,Table_Tarikan_Warkah[Nomor Tiket],Table_Tarikan_Warkah[Tanggal diserahkan kepada Validator]),"")</f>
        <v>45712.40865</v>
      </c>
      <c r="F1203" s="36" t="str">
        <f t="array" ref="F1203">IFNA(_xlfn.XLOOKUP(D1203,Table_Tarikan_Warkah[Nomor Tiket],Table_Tarikan_Warkah[Nama Petugas Warkah]),"")</f>
        <v/>
      </c>
      <c r="G1203" s="39" t="str">
        <f t="array" ref="G1203">IFNA(_xlfn.XLOOKUP(D1203,Table_Tarikan_Warkah[Nomor Tiket],Table_Tarikan_Warkah[Jenis Permohonan]),"")</f>
        <v>BN Jual Beli</v>
      </c>
      <c r="H1203" s="41" t="s">
        <v>11</v>
      </c>
      <c r="I1203" s="41" t="s">
        <v>23</v>
      </c>
      <c r="J1203" s="36">
        <f t="shared" si="20"/>
        <v>45708.49942</v>
      </c>
      <c r="K1203" s="49" t="s">
        <v>197</v>
      </c>
      <c r="L1203" s="49" t="s">
        <v>23</v>
      </c>
      <c r="M1203" s="36">
        <f t="shared" si="26"/>
        <v>45708.66429</v>
      </c>
      <c r="N1203" s="30" t="str">
        <f t="shared" si="27"/>
        <v>Selesai</v>
      </c>
      <c r="O1203" s="45">
        <f t="shared" si="23"/>
        <v>45708.66429</v>
      </c>
      <c r="P1203" s="47" t="b">
        <v>1</v>
      </c>
      <c r="Q1203" s="36">
        <f t="shared" si="24"/>
        <v>45708.6645</v>
      </c>
      <c r="R1203" s="47" t="b">
        <v>0</v>
      </c>
      <c r="S1203" s="42" t="str">
        <f t="shared" si="28"/>
        <v/>
      </c>
      <c r="T1203" s="42"/>
    </row>
    <row r="1204" ht="22.5" customHeight="1">
      <c r="B1204" s="42">
        <f t="shared" si="7"/>
        <v>1198</v>
      </c>
      <c r="C1204" s="31" t="s">
        <v>1335</v>
      </c>
      <c r="D1204" s="34" t="str">
        <f t="array" ref="D1204">IFNA(_xlfn.XLOOKUP(C1204,Table_Tarikan_Warkah[Nomor Sertipikat],Table_Tarikan_Warkah[Nomor Tiket]),"")</f>
        <v>K/13/170225/2</v>
      </c>
      <c r="E1204" s="36">
        <f t="array" ref="E1204">IFNA(_xlfn.XLOOKUP(D1204,Table_Tarikan_Warkah[Nomor Tiket],Table_Tarikan_Warkah[Tanggal diserahkan kepada Validator]),"")</f>
        <v>45730.37382</v>
      </c>
      <c r="F1204" s="36" t="str">
        <f t="array" ref="F1204">IFNA(_xlfn.XLOOKUP(D1204,Table_Tarikan_Warkah[Nomor Tiket],Table_Tarikan_Warkah[Nama Petugas Warkah]),"")</f>
        <v/>
      </c>
      <c r="G1204" s="39" t="str">
        <f t="array" ref="G1204">IFNA(_xlfn.XLOOKUP(D1204,Table_Tarikan_Warkah[Nomor Tiket],Table_Tarikan_Warkah[Jenis Permohonan]),"")</f>
        <v>Roya</v>
      </c>
      <c r="H1204" s="41" t="s">
        <v>11</v>
      </c>
      <c r="I1204" s="41" t="s">
        <v>23</v>
      </c>
      <c r="J1204" s="36">
        <f t="shared" si="20"/>
        <v>45708.49942</v>
      </c>
      <c r="K1204" s="41" t="s">
        <v>197</v>
      </c>
      <c r="L1204" s="49" t="s">
        <v>23</v>
      </c>
      <c r="M1204" s="36">
        <f t="shared" si="26"/>
        <v>45708.66429</v>
      </c>
      <c r="N1204" s="30" t="str">
        <f t="shared" si="27"/>
        <v>Selesai</v>
      </c>
      <c r="O1204" s="45">
        <f t="shared" si="23"/>
        <v>45708.66429</v>
      </c>
      <c r="P1204" s="47" t="b">
        <v>1</v>
      </c>
      <c r="Q1204" s="36">
        <f t="shared" si="24"/>
        <v>45708.66453</v>
      </c>
      <c r="R1204" s="47" t="b">
        <v>0</v>
      </c>
      <c r="S1204" s="42" t="str">
        <f t="shared" si="28"/>
        <v/>
      </c>
      <c r="T1204" s="42"/>
    </row>
    <row r="1205" ht="22.5" customHeight="1">
      <c r="B1205" s="42">
        <f t="shared" si="7"/>
        <v>1199</v>
      </c>
      <c r="C1205" s="31" t="s">
        <v>1336</v>
      </c>
      <c r="D1205" s="34" t="str">
        <f t="array" ref="D1205">IFNA(_xlfn.XLOOKUP(C1205,Table_Tarikan_Warkah[Nomor Sertipikat],Table_Tarikan_Warkah[Nomor Tiket]),"")</f>
        <v>K/9/140225/2</v>
      </c>
      <c r="E1205" s="36">
        <f t="array" ref="E1205">IFNA(_xlfn.XLOOKUP(D1205,Table_Tarikan_Warkah[Nomor Tiket],Table_Tarikan_Warkah[Tanggal diserahkan kepada Validator]),"")</f>
        <v>45712.41225</v>
      </c>
      <c r="F1205" s="36" t="str">
        <f t="array" ref="F1205">IFNA(_xlfn.XLOOKUP(D1205,Table_Tarikan_Warkah[Nomor Tiket],Table_Tarikan_Warkah[Nama Petugas Warkah]),"")</f>
        <v/>
      </c>
      <c r="G1205" s="39" t="str">
        <f t="array" ref="G1205">IFNA(_xlfn.XLOOKUP(D1205,Table_Tarikan_Warkah[Nomor Tiket],Table_Tarikan_Warkah[Jenis Permohonan]),"")</f>
        <v>BN WARIS</v>
      </c>
      <c r="H1205" s="41" t="s">
        <v>11</v>
      </c>
      <c r="I1205" s="41" t="s">
        <v>23</v>
      </c>
      <c r="J1205" s="36">
        <f t="shared" si="20"/>
        <v>45708.49945</v>
      </c>
      <c r="K1205" s="41" t="s">
        <v>197</v>
      </c>
      <c r="L1205" s="49" t="s">
        <v>23</v>
      </c>
      <c r="M1205" s="36">
        <f t="shared" si="26"/>
        <v>45708.66429</v>
      </c>
      <c r="N1205" s="30" t="str">
        <f t="shared" si="27"/>
        <v>Selesai</v>
      </c>
      <c r="O1205" s="45">
        <f t="shared" si="23"/>
        <v>45708.66429</v>
      </c>
      <c r="P1205" s="47" t="b">
        <v>1</v>
      </c>
      <c r="Q1205" s="36">
        <f t="shared" si="24"/>
        <v>45708.66453</v>
      </c>
      <c r="R1205" s="47" t="b">
        <v>0</v>
      </c>
      <c r="S1205" s="42" t="str">
        <f t="shared" si="28"/>
        <v/>
      </c>
      <c r="T1205" s="42"/>
    </row>
    <row r="1206" ht="22.5" customHeight="1">
      <c r="B1206" s="42">
        <f t="shared" si="7"/>
        <v>1200</v>
      </c>
      <c r="C1206" s="31" t="s">
        <v>1337</v>
      </c>
      <c r="D1206" s="34" t="str">
        <f t="array" ref="D1206">IFNA(_xlfn.XLOOKUP(C1206,Table_Tarikan_Warkah[Nomor Sertipikat],Table_Tarikan_Warkah[Nomor Tiket]),"")</f>
        <v>K/14/120225/1</v>
      </c>
      <c r="E1206" s="36">
        <f t="array" ref="E1206">IFNA(_xlfn.XLOOKUP(D1206,Table_Tarikan_Warkah[Nomor Tiket],Table_Tarikan_Warkah[Tanggal diserahkan kepada Validator]),"")</f>
        <v>45712.41119</v>
      </c>
      <c r="F1206" s="36" t="str">
        <f t="array" ref="F1206">IFNA(_xlfn.XLOOKUP(D1206,Table_Tarikan_Warkah[Nomor Tiket],Table_Tarikan_Warkah[Nama Petugas Warkah]),"")</f>
        <v/>
      </c>
      <c r="G1206" s="39" t="str">
        <f t="array" ref="G1206">IFNA(_xlfn.XLOOKUP(D1206,Table_Tarikan_Warkah[Nomor Tiket],Table_Tarikan_Warkah[Jenis Permohonan]),"")</f>
        <v>BN WARIS</v>
      </c>
      <c r="H1206" s="41" t="s">
        <v>11</v>
      </c>
      <c r="I1206" s="41" t="s">
        <v>23</v>
      </c>
      <c r="J1206" s="36">
        <f t="shared" si="20"/>
        <v>45708.49945</v>
      </c>
      <c r="K1206" s="41" t="s">
        <v>197</v>
      </c>
      <c r="L1206" s="49" t="s">
        <v>23</v>
      </c>
      <c r="M1206" s="36">
        <f t="shared" si="26"/>
        <v>45708.66432</v>
      </c>
      <c r="N1206" s="30" t="str">
        <f t="shared" si="27"/>
        <v>Selesai</v>
      </c>
      <c r="O1206" s="45">
        <f t="shared" si="23"/>
        <v>45708.66432</v>
      </c>
      <c r="P1206" s="47" t="b">
        <v>1</v>
      </c>
      <c r="Q1206" s="36">
        <f t="shared" si="24"/>
        <v>45708.66453</v>
      </c>
      <c r="R1206" s="47" t="b">
        <v>0</v>
      </c>
      <c r="S1206" s="42" t="str">
        <f t="shared" si="28"/>
        <v/>
      </c>
      <c r="T1206" s="42"/>
    </row>
    <row r="1207" ht="22.5" customHeight="1">
      <c r="B1207" s="42">
        <f t="shared" si="7"/>
        <v>1201</v>
      </c>
      <c r="C1207" s="31" t="s">
        <v>1338</v>
      </c>
      <c r="D1207" s="34" t="str">
        <f t="array" ref="D1207">IFNA(_xlfn.XLOOKUP(C1207,Table_Tarikan_Warkah[Nomor Sertipikat],Table_Tarikan_Warkah[Nomor Tiket]),"")</f>
        <v>K/15/140225/1</v>
      </c>
      <c r="E1207" s="36" t="str">
        <f t="array" ref="E1207">IFNA(_xlfn.XLOOKUP(D1207,Table_Tarikan_Warkah[Nomor Tiket],Table_Tarikan_Warkah[Tanggal diserahkan kepada Validator]),"")</f>
        <v/>
      </c>
      <c r="F1207" s="36" t="str">
        <f t="array" ref="F1207">IFNA(_xlfn.XLOOKUP(D1207,Table_Tarikan_Warkah[Nomor Tiket],Table_Tarikan_Warkah[Nama Petugas Warkah]),"")</f>
        <v/>
      </c>
      <c r="G1207" s="39" t="str">
        <f t="array" ref="G1207">IFNA(_xlfn.XLOOKUP(D1207,Table_Tarikan_Warkah[Nomor Tiket],Table_Tarikan_Warkah[Jenis Permohonan]),"")</f>
        <v>BN jual Beli</v>
      </c>
      <c r="H1207" s="41" t="s">
        <v>11</v>
      </c>
      <c r="I1207" s="41" t="s">
        <v>23</v>
      </c>
      <c r="J1207" s="36">
        <f t="shared" si="20"/>
        <v>45708.49945</v>
      </c>
      <c r="K1207" s="49" t="s">
        <v>197</v>
      </c>
      <c r="L1207" s="49" t="s">
        <v>23</v>
      </c>
      <c r="M1207" s="36">
        <f t="shared" si="26"/>
        <v>45708.66432</v>
      </c>
      <c r="N1207" s="30" t="str">
        <f t="shared" si="27"/>
        <v>Selesai</v>
      </c>
      <c r="O1207" s="45">
        <f t="shared" si="23"/>
        <v>45708.66432</v>
      </c>
      <c r="P1207" s="47" t="b">
        <v>1</v>
      </c>
      <c r="Q1207" s="36">
        <f t="shared" si="24"/>
        <v>45708.66453</v>
      </c>
      <c r="R1207" s="47" t="b">
        <v>0</v>
      </c>
      <c r="S1207" s="42" t="str">
        <f t="shared" si="28"/>
        <v/>
      </c>
      <c r="T1207" s="42"/>
    </row>
    <row r="1208" ht="22.5" customHeight="1">
      <c r="B1208" s="42">
        <f t="shared" si="7"/>
        <v>1202</v>
      </c>
      <c r="C1208" s="31" t="s">
        <v>1339</v>
      </c>
      <c r="D1208" s="34" t="str">
        <f t="array" ref="D1208">IFNA(_xlfn.XLOOKUP(C1208,Table_Tarikan_Warkah[Nomor Sertipikat],Table_Tarikan_Warkah[Nomor Tiket]),"")</f>
        <v>K/11/170225/1</v>
      </c>
      <c r="E1208" s="36">
        <f t="array" ref="E1208">IFNA(_xlfn.XLOOKUP(D1208,Table_Tarikan_Warkah[Nomor Tiket],Table_Tarikan_Warkah[Tanggal diserahkan kepada Validator]),"")</f>
        <v>45712.66539</v>
      </c>
      <c r="F1208" s="36" t="str">
        <f t="array" ref="F1208">IFNA(_xlfn.XLOOKUP(D1208,Table_Tarikan_Warkah[Nomor Tiket],Table_Tarikan_Warkah[Nama Petugas Warkah]),"")</f>
        <v/>
      </c>
      <c r="G1208" s="39" t="str">
        <f t="array" ref="G1208">IFNA(_xlfn.XLOOKUP(D1208,Table_Tarikan_Warkah[Nomor Tiket],Table_Tarikan_Warkah[Jenis Permohonan]),"")</f>
        <v>BN JUAL BELI</v>
      </c>
      <c r="H1208" s="41" t="s">
        <v>11</v>
      </c>
      <c r="I1208" s="41" t="s">
        <v>23</v>
      </c>
      <c r="J1208" s="36">
        <f t="shared" si="20"/>
        <v>45708.49945</v>
      </c>
      <c r="K1208" s="49" t="s">
        <v>197</v>
      </c>
      <c r="L1208" s="49" t="s">
        <v>23</v>
      </c>
      <c r="M1208" s="36">
        <f t="shared" si="26"/>
        <v>45708.66432</v>
      </c>
      <c r="N1208" s="30" t="str">
        <f t="shared" si="27"/>
        <v>Selesai</v>
      </c>
      <c r="O1208" s="45">
        <f t="shared" si="23"/>
        <v>45708.66432</v>
      </c>
      <c r="P1208" s="47" t="b">
        <v>1</v>
      </c>
      <c r="Q1208" s="36">
        <f t="shared" si="24"/>
        <v>45708.66453</v>
      </c>
      <c r="R1208" s="47" t="b">
        <v>0</v>
      </c>
      <c r="S1208" s="42" t="str">
        <f t="shared" si="28"/>
        <v/>
      </c>
      <c r="T1208" s="42"/>
    </row>
    <row r="1209" ht="22.5" customHeight="1">
      <c r="B1209" s="42">
        <f t="shared" si="7"/>
        <v>1203</v>
      </c>
      <c r="C1209" s="31" t="s">
        <v>1340</v>
      </c>
      <c r="D1209" s="34" t="str">
        <f t="array" ref="D1209">IFNA(_xlfn.XLOOKUP(C1209,Table_Tarikan_Warkah[Nomor Sertipikat],Table_Tarikan_Warkah[Nomor Tiket]),"")</f>
        <v>K/32/130225/1</v>
      </c>
      <c r="E1209" s="36">
        <f t="array" ref="E1209">IFNA(_xlfn.XLOOKUP(D1209,Table_Tarikan_Warkah[Nomor Tiket],Table_Tarikan_Warkah[Tanggal diserahkan kepada Validator]),"")</f>
        <v>45712.66608</v>
      </c>
      <c r="F1209" s="36" t="str">
        <f t="array" ref="F1209">IFNA(_xlfn.XLOOKUP(D1209,Table_Tarikan_Warkah[Nomor Tiket],Table_Tarikan_Warkah[Nama Petugas Warkah]),"")</f>
        <v/>
      </c>
      <c r="G1209" s="39" t="str">
        <f t="array" ref="G1209">IFNA(_xlfn.XLOOKUP(D1209,Table_Tarikan_Warkah[Nomor Tiket],Table_Tarikan_Warkah[Jenis Permohonan]),"")</f>
        <v>BN JUAL BELI</v>
      </c>
      <c r="H1209" s="41" t="s">
        <v>11</v>
      </c>
      <c r="I1209" s="41" t="s">
        <v>23</v>
      </c>
      <c r="J1209" s="36">
        <f t="shared" si="20"/>
        <v>45708.49945</v>
      </c>
      <c r="K1209" s="41" t="s">
        <v>197</v>
      </c>
      <c r="L1209" s="49" t="s">
        <v>23</v>
      </c>
      <c r="M1209" s="36">
        <f t="shared" si="26"/>
        <v>45708.66432</v>
      </c>
      <c r="N1209" s="30" t="str">
        <f t="shared" si="27"/>
        <v>Selesai</v>
      </c>
      <c r="O1209" s="45">
        <f t="shared" si="23"/>
        <v>45708.66432</v>
      </c>
      <c r="P1209" s="47" t="b">
        <v>1</v>
      </c>
      <c r="Q1209" s="36">
        <f t="shared" si="24"/>
        <v>45708.6646</v>
      </c>
      <c r="R1209" s="47" t="b">
        <v>0</v>
      </c>
      <c r="S1209" s="42" t="str">
        <f t="shared" si="28"/>
        <v/>
      </c>
      <c r="T1209" s="42"/>
    </row>
    <row r="1210" ht="22.5" customHeight="1">
      <c r="B1210" s="42">
        <f t="shared" si="7"/>
        <v>1204</v>
      </c>
      <c r="C1210" s="31" t="s">
        <v>1341</v>
      </c>
      <c r="D1210" s="34" t="str">
        <f t="array" ref="D1210">IFNA(_xlfn.XLOOKUP(C1210,Table_Tarikan_Warkah[Nomor Sertipikat],Table_Tarikan_Warkah[Nomor Tiket]),"")</f>
        <v>K/21/201224/1</v>
      </c>
      <c r="E1210" s="36" t="str">
        <f t="array" ref="E1210">IFNA(_xlfn.XLOOKUP(D1210,Table_Tarikan_Warkah[Nomor Tiket],Table_Tarikan_Warkah[Tanggal diserahkan kepada Validator]),"")</f>
        <v/>
      </c>
      <c r="F1210" s="36" t="str">
        <f t="array" ref="F1210">IFNA(_xlfn.XLOOKUP(D1210,Table_Tarikan_Warkah[Nomor Tiket],Table_Tarikan_Warkah[Nama Petugas Warkah]),"")</f>
        <v/>
      </c>
      <c r="G1210" s="39" t="str">
        <f t="array" ref="G1210">IFNA(_xlfn.XLOOKUP(D1210,Table_Tarikan_Warkah[Nomor Tiket],Table_Tarikan_Warkah[Jenis Permohonan]),"")</f>
        <v>PTPGT (Pemisahan)</v>
      </c>
      <c r="H1210" s="41" t="s">
        <v>11</v>
      </c>
      <c r="I1210" s="41" t="s">
        <v>23</v>
      </c>
      <c r="J1210" s="36">
        <f t="shared" si="20"/>
        <v>45708.49945</v>
      </c>
      <c r="K1210" s="49" t="s">
        <v>197</v>
      </c>
      <c r="L1210" s="49" t="s">
        <v>23</v>
      </c>
      <c r="M1210" s="36">
        <f t="shared" si="26"/>
        <v>45708.66432</v>
      </c>
      <c r="N1210" s="30" t="str">
        <f t="shared" si="27"/>
        <v>Selesai</v>
      </c>
      <c r="O1210" s="45">
        <f t="shared" si="23"/>
        <v>45708.66432</v>
      </c>
      <c r="P1210" s="47" t="b">
        <v>1</v>
      </c>
      <c r="Q1210" s="36">
        <f t="shared" si="24"/>
        <v>45708.6646</v>
      </c>
      <c r="R1210" s="47" t="b">
        <v>0</v>
      </c>
      <c r="S1210" s="42" t="str">
        <f t="shared" si="28"/>
        <v/>
      </c>
      <c r="T1210" s="42"/>
    </row>
    <row r="1211" ht="22.5" customHeight="1">
      <c r="B1211" s="42">
        <f t="shared" si="7"/>
        <v>1205</v>
      </c>
      <c r="C1211" s="31" t="s">
        <v>1342</v>
      </c>
      <c r="D1211" s="34" t="str">
        <f t="array" ref="D1211">IFNA(_xlfn.XLOOKUP(C1211,Table_Tarikan_Warkah[Nomor Sertipikat],Table_Tarikan_Warkah[Nomor Tiket]),"")</f>
        <v>K/30/170225/1</v>
      </c>
      <c r="E1211" s="36">
        <f t="array" ref="E1211">IFNA(_xlfn.XLOOKUP(D1211,Table_Tarikan_Warkah[Nomor Tiket],Table_Tarikan_Warkah[Tanggal diserahkan kepada Validator]),"")</f>
        <v>45712.43053</v>
      </c>
      <c r="F1211" s="36" t="str">
        <f t="array" ref="F1211">IFNA(_xlfn.XLOOKUP(D1211,Table_Tarikan_Warkah[Nomor Tiket],Table_Tarikan_Warkah[Nama Petugas Warkah]),"")</f>
        <v/>
      </c>
      <c r="G1211" s="39" t="str">
        <f t="array" ref="G1211">IFNA(_xlfn.XLOOKUP(D1211,Table_Tarikan_Warkah[Nomor Tiket],Table_Tarikan_Warkah[Jenis Permohonan]),"")</f>
        <v>Ganti Nama</v>
      </c>
      <c r="H1211" s="41" t="s">
        <v>11</v>
      </c>
      <c r="I1211" s="41" t="s">
        <v>23</v>
      </c>
      <c r="J1211" s="36">
        <f t="shared" si="20"/>
        <v>45708.49945</v>
      </c>
      <c r="K1211" s="41" t="s">
        <v>197</v>
      </c>
      <c r="L1211" s="49" t="s">
        <v>23</v>
      </c>
      <c r="M1211" s="36">
        <f t="shared" si="26"/>
        <v>45708.66432</v>
      </c>
      <c r="N1211" s="30" t="str">
        <f t="shared" si="27"/>
        <v>Selesai</v>
      </c>
      <c r="O1211" s="45">
        <f t="shared" si="23"/>
        <v>45708.66432</v>
      </c>
      <c r="P1211" s="47" t="b">
        <v>1</v>
      </c>
      <c r="Q1211" s="36">
        <f t="shared" si="24"/>
        <v>45708.6646</v>
      </c>
      <c r="R1211" s="47" t="b">
        <v>0</v>
      </c>
      <c r="S1211" s="42" t="str">
        <f t="shared" si="28"/>
        <v/>
      </c>
      <c r="T1211" s="42"/>
    </row>
    <row r="1212" ht="22.5" customHeight="1">
      <c r="B1212" s="42">
        <f t="shared" si="7"/>
        <v>1206</v>
      </c>
      <c r="C1212" s="31" t="s">
        <v>1343</v>
      </c>
      <c r="D1212" s="34" t="str">
        <f t="array" ref="D1212">IFNA(_xlfn.XLOOKUP(C1212,Table_Tarikan_Warkah[Nomor Sertipikat],Table_Tarikan_Warkah[Nomor Tiket]),"")</f>
        <v>K/20/140225/1</v>
      </c>
      <c r="E1212" s="36">
        <f t="array" ref="E1212">IFNA(_xlfn.XLOOKUP(D1212,Table_Tarikan_Warkah[Nomor Tiket],Table_Tarikan_Warkah[Tanggal diserahkan kepada Validator]),"")</f>
        <v>45712.41281</v>
      </c>
      <c r="F1212" s="36" t="str">
        <f t="array" ref="F1212">IFNA(_xlfn.XLOOKUP(D1212,Table_Tarikan_Warkah[Nomor Tiket],Table_Tarikan_Warkah[Nama Petugas Warkah]),"")</f>
        <v/>
      </c>
      <c r="G1212" s="39" t="str">
        <f t="array" ref="G1212">IFNA(_xlfn.XLOOKUP(D1212,Table_Tarikan_Warkah[Nomor Tiket],Table_Tarikan_Warkah[Jenis Permohonan]),"")</f>
        <v>JUAL BELI</v>
      </c>
      <c r="H1212" s="41" t="s">
        <v>11</v>
      </c>
      <c r="I1212" s="41" t="s">
        <v>23</v>
      </c>
      <c r="J1212" s="36">
        <f t="shared" si="20"/>
        <v>45708.49945</v>
      </c>
      <c r="K1212" s="41" t="s">
        <v>197</v>
      </c>
      <c r="L1212" s="49" t="s">
        <v>23</v>
      </c>
      <c r="M1212" s="36">
        <f t="shared" si="26"/>
        <v>45708.66432</v>
      </c>
      <c r="N1212" s="30" t="str">
        <f t="shared" si="27"/>
        <v>Selesai</v>
      </c>
      <c r="O1212" s="45">
        <f t="shared" si="23"/>
        <v>45708.66432</v>
      </c>
      <c r="P1212" s="47" t="b">
        <v>1</v>
      </c>
      <c r="Q1212" s="36">
        <f t="shared" si="24"/>
        <v>45708.6646</v>
      </c>
      <c r="R1212" s="47" t="b">
        <v>0</v>
      </c>
      <c r="S1212" s="42" t="str">
        <f t="shared" si="28"/>
        <v/>
      </c>
      <c r="T1212" s="42"/>
    </row>
    <row r="1213" ht="22.5" customHeight="1">
      <c r="B1213" s="42">
        <f t="shared" si="7"/>
        <v>1207</v>
      </c>
      <c r="C1213" s="31" t="s">
        <v>1344</v>
      </c>
      <c r="D1213" s="34" t="str">
        <f t="array" ref="D1213">IFNA(_xlfn.XLOOKUP(C1213,Table_Tarikan_Warkah[Nomor Sertipikat],Table_Tarikan_Warkah[Nomor Tiket]),"")</f>
        <v>K/23/180225/1</v>
      </c>
      <c r="E1213" s="36">
        <f t="array" ref="E1213">IFNA(_xlfn.XLOOKUP(D1213,Table_Tarikan_Warkah[Nomor Tiket],Table_Tarikan_Warkah[Tanggal diserahkan kepada Validator]),"")</f>
        <v>45712.40881</v>
      </c>
      <c r="F1213" s="36" t="str">
        <f t="array" ref="F1213">IFNA(_xlfn.XLOOKUP(D1213,Table_Tarikan_Warkah[Nomor Tiket],Table_Tarikan_Warkah[Nama Petugas Warkah]),"")</f>
        <v/>
      </c>
      <c r="G1213" s="39" t="str">
        <f t="array" ref="G1213">IFNA(_xlfn.XLOOKUP(D1213,Table_Tarikan_Warkah[Nomor Tiket],Table_Tarikan_Warkah[Jenis Permohonan]),"")</f>
        <v>JUAL BELI</v>
      </c>
      <c r="H1213" s="41" t="s">
        <v>11</v>
      </c>
      <c r="I1213" s="41" t="s">
        <v>23</v>
      </c>
      <c r="J1213" s="36">
        <f t="shared" si="20"/>
        <v>45708.49947</v>
      </c>
      <c r="K1213" s="41" t="s">
        <v>197</v>
      </c>
      <c r="L1213" s="49" t="s">
        <v>23</v>
      </c>
      <c r="M1213" s="36">
        <f t="shared" si="26"/>
        <v>45708.66436</v>
      </c>
      <c r="N1213" s="30" t="str">
        <f t="shared" si="27"/>
        <v>Selesai</v>
      </c>
      <c r="O1213" s="45">
        <f t="shared" si="23"/>
        <v>45708.66436</v>
      </c>
      <c r="P1213" s="47" t="b">
        <v>1</v>
      </c>
      <c r="Q1213" s="36">
        <f t="shared" si="24"/>
        <v>45708.6646</v>
      </c>
      <c r="R1213" s="47" t="b">
        <v>0</v>
      </c>
      <c r="S1213" s="42" t="str">
        <f t="shared" si="28"/>
        <v/>
      </c>
      <c r="T1213" s="42"/>
    </row>
    <row r="1214" ht="22.5" customHeight="1">
      <c r="B1214" s="42">
        <f t="shared" si="7"/>
        <v>1208</v>
      </c>
      <c r="C1214" s="31" t="s">
        <v>1345</v>
      </c>
      <c r="D1214" s="34" t="str">
        <f t="array" ref="D1214">IFNA(_xlfn.XLOOKUP(C1214,Table_Tarikan_Warkah[Nomor Sertipikat],Table_Tarikan_Warkah[Nomor Tiket]),"")</f>
        <v>K/4/180225/1</v>
      </c>
      <c r="E1214" s="36">
        <f t="array" ref="E1214">IFNA(_xlfn.XLOOKUP(D1214,Table_Tarikan_Warkah[Nomor Tiket],Table_Tarikan_Warkah[Tanggal diserahkan kepada Validator]),"")</f>
        <v>45712.41255</v>
      </c>
      <c r="F1214" s="36" t="str">
        <f t="array" ref="F1214">IFNA(_xlfn.XLOOKUP(D1214,Table_Tarikan_Warkah[Nomor Tiket],Table_Tarikan_Warkah[Nama Petugas Warkah]),"")</f>
        <v/>
      </c>
      <c r="G1214" s="39" t="str">
        <f t="array" ref="G1214">IFNA(_xlfn.XLOOKUP(D1214,Table_Tarikan_Warkah[Nomor Tiket],Table_Tarikan_Warkah[Jenis Permohonan]),"")</f>
        <v>JUAL BELI</v>
      </c>
      <c r="H1214" s="41" t="s">
        <v>11</v>
      </c>
      <c r="I1214" s="41" t="s">
        <v>23</v>
      </c>
      <c r="J1214" s="36">
        <f t="shared" si="20"/>
        <v>45708.49947</v>
      </c>
      <c r="K1214" s="49" t="s">
        <v>197</v>
      </c>
      <c r="L1214" s="49" t="s">
        <v>23</v>
      </c>
      <c r="M1214" s="36">
        <f t="shared" si="26"/>
        <v>45708.66436</v>
      </c>
      <c r="N1214" s="30" t="str">
        <f t="shared" si="27"/>
        <v>Selesai</v>
      </c>
      <c r="O1214" s="45">
        <f t="shared" si="23"/>
        <v>45708.66436</v>
      </c>
      <c r="P1214" s="47" t="b">
        <v>1</v>
      </c>
      <c r="Q1214" s="36">
        <f t="shared" si="24"/>
        <v>45708.6646</v>
      </c>
      <c r="R1214" s="47" t="b">
        <v>0</v>
      </c>
      <c r="S1214" s="42" t="str">
        <f t="shared" si="28"/>
        <v/>
      </c>
      <c r="T1214" s="42"/>
    </row>
    <row r="1215" ht="22.5" customHeight="1">
      <c r="B1215" s="42">
        <f t="shared" si="7"/>
        <v>1209</v>
      </c>
      <c r="C1215" s="31" t="s">
        <v>1346</v>
      </c>
      <c r="D1215" s="34" t="str">
        <f t="array" ref="D1215">IFNA(_xlfn.XLOOKUP(C1215,Table_Tarikan_Warkah[Nomor Sertipikat],Table_Tarikan_Warkah[Nomor Tiket]),"")</f>
        <v>K/26/140225/1</v>
      </c>
      <c r="E1215" s="36">
        <f t="array" ref="E1215">IFNA(_xlfn.XLOOKUP(D1215,Table_Tarikan_Warkah[Nomor Tiket],Table_Tarikan_Warkah[Tanggal diserahkan kepada Validator]),"")</f>
        <v>45712.6656</v>
      </c>
      <c r="F1215" s="36" t="str">
        <f t="array" ref="F1215">IFNA(_xlfn.XLOOKUP(D1215,Table_Tarikan_Warkah[Nomor Tiket],Table_Tarikan_Warkah[Nama Petugas Warkah]),"")</f>
        <v/>
      </c>
      <c r="G1215" s="39" t="str">
        <f t="array" ref="G1215">IFNA(_xlfn.XLOOKUP(D1215,Table_Tarikan_Warkah[Nomor Tiket],Table_Tarikan_Warkah[Jenis Permohonan]),"")</f>
        <v>BN JUALE BELI</v>
      </c>
      <c r="H1215" s="41" t="s">
        <v>11</v>
      </c>
      <c r="I1215" s="41" t="s">
        <v>23</v>
      </c>
      <c r="J1215" s="36">
        <f t="shared" si="20"/>
        <v>45708.49947</v>
      </c>
      <c r="K1215" s="49" t="s">
        <v>197</v>
      </c>
      <c r="L1215" s="49" t="s">
        <v>23</v>
      </c>
      <c r="M1215" s="36">
        <f t="shared" si="26"/>
        <v>45708.66436</v>
      </c>
      <c r="N1215" s="30" t="str">
        <f t="shared" si="27"/>
        <v>Selesai</v>
      </c>
      <c r="O1215" s="45">
        <f t="shared" si="23"/>
        <v>45708.66436</v>
      </c>
      <c r="P1215" s="47" t="b">
        <v>1</v>
      </c>
      <c r="Q1215" s="36">
        <f t="shared" si="24"/>
        <v>45708.6646</v>
      </c>
      <c r="R1215" s="47" t="b">
        <v>0</v>
      </c>
      <c r="S1215" s="42" t="str">
        <f t="shared" si="28"/>
        <v/>
      </c>
      <c r="T1215" s="42"/>
    </row>
    <row r="1216" ht="22.5" customHeight="1">
      <c r="B1216" s="42">
        <f t="shared" si="7"/>
        <v>1210</v>
      </c>
      <c r="C1216" s="31" t="s">
        <v>1347</v>
      </c>
      <c r="D1216" s="34" t="str">
        <f t="array" ref="D1216">IFNA(_xlfn.XLOOKUP(C1216,Table_Tarikan_Warkah[Nomor Sertipikat],Table_Tarikan_Warkah[Nomor Tiket]),"")</f>
        <v>K/29/140225/4</v>
      </c>
      <c r="E1216" s="36">
        <f t="array" ref="E1216">IFNA(_xlfn.XLOOKUP(D1216,Table_Tarikan_Warkah[Nomor Tiket],Table_Tarikan_Warkah[Tanggal diserahkan kepada Validator]),"")</f>
        <v>45712.66578</v>
      </c>
      <c r="F1216" s="36" t="str">
        <f t="array" ref="F1216">IFNA(_xlfn.XLOOKUP(D1216,Table_Tarikan_Warkah[Nomor Tiket],Table_Tarikan_Warkah[Nama Petugas Warkah]),"")</f>
        <v/>
      </c>
      <c r="G1216" s="39" t="str">
        <f t="array" ref="G1216">IFNA(_xlfn.XLOOKUP(D1216,Table_Tarikan_Warkah[Nomor Tiket],Table_Tarikan_Warkah[Jenis Permohonan]),"")</f>
        <v>BN JUAL BELI</v>
      </c>
      <c r="H1216" s="41" t="s">
        <v>11</v>
      </c>
      <c r="I1216" s="41" t="s">
        <v>23</v>
      </c>
      <c r="J1216" s="36">
        <f t="shared" si="20"/>
        <v>45708.49947</v>
      </c>
      <c r="K1216" s="41" t="s">
        <v>197</v>
      </c>
      <c r="L1216" s="49" t="s">
        <v>23</v>
      </c>
      <c r="M1216" s="36">
        <f t="shared" si="26"/>
        <v>45708.66436</v>
      </c>
      <c r="N1216" s="30" t="str">
        <f t="shared" si="27"/>
        <v>Selesai</v>
      </c>
      <c r="O1216" s="45">
        <f t="shared" si="23"/>
        <v>45708.66436</v>
      </c>
      <c r="P1216" s="47" t="b">
        <v>1</v>
      </c>
      <c r="Q1216" s="36">
        <f t="shared" si="24"/>
        <v>45708.6646</v>
      </c>
      <c r="R1216" s="47" t="b">
        <v>0</v>
      </c>
      <c r="S1216" s="42" t="str">
        <f t="shared" si="28"/>
        <v/>
      </c>
      <c r="T1216" s="42"/>
    </row>
    <row r="1217" ht="22.5" customHeight="1">
      <c r="B1217" s="42">
        <f t="shared" si="7"/>
        <v>1211</v>
      </c>
      <c r="C1217" s="31" t="s">
        <v>1348</v>
      </c>
      <c r="D1217" s="34" t="str">
        <f t="array" ref="D1217">IFNA(_xlfn.XLOOKUP(C1217,Table_Tarikan_Warkah[Nomor Sertipikat],Table_Tarikan_Warkah[Nomor Tiket]),"")</f>
        <v>K/23/130225/2</v>
      </c>
      <c r="E1217" s="36">
        <f t="array" ref="E1217">IFNA(_xlfn.XLOOKUP(D1217,Table_Tarikan_Warkah[Nomor Tiket],Table_Tarikan_Warkah[Tanggal diserahkan kepada Validator]),"")</f>
        <v>45712.41401</v>
      </c>
      <c r="F1217" s="36" t="str">
        <f t="array" ref="F1217">IFNA(_xlfn.XLOOKUP(D1217,Table_Tarikan_Warkah[Nomor Tiket],Table_Tarikan_Warkah[Nama Petugas Warkah]),"")</f>
        <v/>
      </c>
      <c r="G1217" s="39" t="str">
        <f t="array" ref="G1217">IFNA(_xlfn.XLOOKUP(D1217,Table_Tarikan_Warkah[Nomor Tiket],Table_Tarikan_Warkah[Jenis Permohonan]),"")</f>
        <v>BN Jual Beli</v>
      </c>
      <c r="H1217" s="41" t="s">
        <v>11</v>
      </c>
      <c r="I1217" s="41" t="s">
        <v>23</v>
      </c>
      <c r="J1217" s="36">
        <f t="shared" si="20"/>
        <v>45708.49947</v>
      </c>
      <c r="K1217" s="49" t="s">
        <v>197</v>
      </c>
      <c r="L1217" s="49" t="s">
        <v>23</v>
      </c>
      <c r="M1217" s="36">
        <f t="shared" si="26"/>
        <v>45708.66436</v>
      </c>
      <c r="N1217" s="30" t="str">
        <f t="shared" si="27"/>
        <v>Selesai</v>
      </c>
      <c r="O1217" s="45">
        <f t="shared" si="23"/>
        <v>45708.66436</v>
      </c>
      <c r="P1217" s="47" t="b">
        <v>1</v>
      </c>
      <c r="Q1217" s="36">
        <f t="shared" si="24"/>
        <v>45708.66464</v>
      </c>
      <c r="R1217" s="47" t="b">
        <v>0</v>
      </c>
      <c r="S1217" s="42" t="str">
        <f t="shared" si="28"/>
        <v/>
      </c>
      <c r="T1217" s="42"/>
    </row>
    <row r="1218" ht="22.5" customHeight="1">
      <c r="B1218" s="42">
        <f t="shared" si="7"/>
        <v>1212</v>
      </c>
      <c r="C1218" s="31" t="s">
        <v>1349</v>
      </c>
      <c r="D1218" s="34" t="str">
        <f t="array" ref="D1218">IFNA(_xlfn.XLOOKUP(C1218,Table_Tarikan_Warkah[Nomor Sertipikat],Table_Tarikan_Warkah[Nomor Tiket]),"")</f>
        <v>K/39/140225/1</v>
      </c>
      <c r="E1218" s="36">
        <f t="array" ref="E1218">IFNA(_xlfn.XLOOKUP(D1218,Table_Tarikan_Warkah[Nomor Tiket],Table_Tarikan_Warkah[Tanggal diserahkan kepada Validator]),"")</f>
        <v>45712.41001</v>
      </c>
      <c r="F1218" s="36" t="str">
        <f t="array" ref="F1218">IFNA(_xlfn.XLOOKUP(D1218,Table_Tarikan_Warkah[Nomor Tiket],Table_Tarikan_Warkah[Nama Petugas Warkah]),"")</f>
        <v/>
      </c>
      <c r="G1218" s="39" t="str">
        <f t="array" ref="G1218">IFNA(_xlfn.XLOOKUP(D1218,Table_Tarikan_Warkah[Nomor Tiket],Table_Tarikan_Warkah[Jenis Permohonan]),"")</f>
        <v>JUAL BELI</v>
      </c>
      <c r="H1218" s="41" t="s">
        <v>11</v>
      </c>
      <c r="I1218" s="41" t="s">
        <v>23</v>
      </c>
      <c r="J1218" s="36">
        <f t="shared" si="20"/>
        <v>45708.49947</v>
      </c>
      <c r="K1218" s="41" t="s">
        <v>197</v>
      </c>
      <c r="L1218" s="49" t="s">
        <v>23</v>
      </c>
      <c r="M1218" s="36">
        <f t="shared" si="26"/>
        <v>45708.66436</v>
      </c>
      <c r="N1218" s="30" t="str">
        <f t="shared" si="27"/>
        <v>Selesai</v>
      </c>
      <c r="O1218" s="45">
        <f t="shared" si="23"/>
        <v>45708.66436</v>
      </c>
      <c r="P1218" s="47" t="b">
        <v>1</v>
      </c>
      <c r="Q1218" s="36">
        <f t="shared" si="24"/>
        <v>45708.66464</v>
      </c>
      <c r="R1218" s="47" t="b">
        <v>0</v>
      </c>
      <c r="S1218" s="42" t="str">
        <f t="shared" si="28"/>
        <v/>
      </c>
      <c r="T1218" s="42"/>
    </row>
    <row r="1219" ht="22.5" customHeight="1">
      <c r="B1219" s="42">
        <f t="shared" si="7"/>
        <v>1213</v>
      </c>
      <c r="C1219" s="31" t="s">
        <v>1350</v>
      </c>
      <c r="D1219" s="34" t="str">
        <f t="array" ref="D1219">IFNA(_xlfn.XLOOKUP(C1219,Table_Tarikan_Warkah[Nomor Sertipikat],Table_Tarikan_Warkah[Nomor Tiket]),"")</f>
        <v>L/3/170225/1</v>
      </c>
      <c r="E1219" s="36">
        <f t="array" ref="E1219">IFNA(_xlfn.XLOOKUP(D1219,Table_Tarikan_Warkah[Nomor Tiket],Table_Tarikan_Warkah[Tanggal diserahkan kepada Validator]),"")</f>
        <v>45722.49801</v>
      </c>
      <c r="F1219" s="36" t="str">
        <f t="array" ref="F1219">IFNA(_xlfn.XLOOKUP(D1219,Table_Tarikan_Warkah[Nomor Tiket],Table_Tarikan_Warkah[Nama Petugas Warkah]),"")</f>
        <v/>
      </c>
      <c r="G1219" s="39" t="str">
        <f t="array" ref="G1219">IFNA(_xlfn.XLOOKUP(D1219,Table_Tarikan_Warkah[Nomor Tiket],Table_Tarikan_Warkah[Jenis Permohonan]),"")</f>
        <v>ROYA</v>
      </c>
      <c r="H1219" s="41" t="s">
        <v>11</v>
      </c>
      <c r="I1219" s="41" t="s">
        <v>23</v>
      </c>
      <c r="J1219" s="36">
        <f t="shared" si="20"/>
        <v>45708.49949</v>
      </c>
      <c r="K1219" s="41" t="s">
        <v>197</v>
      </c>
      <c r="L1219" s="49" t="s">
        <v>23</v>
      </c>
      <c r="M1219" s="36">
        <f t="shared" si="26"/>
        <v>45708.66436</v>
      </c>
      <c r="N1219" s="30" t="str">
        <f t="shared" si="27"/>
        <v>Selesai</v>
      </c>
      <c r="O1219" s="45">
        <f t="shared" si="23"/>
        <v>45708.66436</v>
      </c>
      <c r="P1219" s="47" t="b">
        <v>1</v>
      </c>
      <c r="Q1219" s="36">
        <f t="shared" si="24"/>
        <v>45708.66464</v>
      </c>
      <c r="R1219" s="47" t="b">
        <v>0</v>
      </c>
      <c r="S1219" s="42" t="str">
        <f t="shared" si="28"/>
        <v/>
      </c>
      <c r="T1219" s="42"/>
    </row>
    <row r="1220" ht="22.5" customHeight="1">
      <c r="B1220" s="42">
        <f t="shared" si="7"/>
        <v>1214</v>
      </c>
      <c r="C1220" s="31" t="s">
        <v>1351</v>
      </c>
      <c r="D1220" s="34" t="str">
        <f t="array" ref="D1220">IFNA(_xlfn.XLOOKUP(C1220,Table_Tarikan_Warkah[Nomor Sertipikat],Table_Tarikan_Warkah[Nomor Tiket]),"")</f>
        <v>L/33/140225/1</v>
      </c>
      <c r="E1220" s="36">
        <f t="array" ref="E1220">IFNA(_xlfn.XLOOKUP(D1220,Table_Tarikan_Warkah[Nomor Tiket],Table_Tarikan_Warkah[Tanggal diserahkan kepada Validator]),"")</f>
        <v>45769.60071</v>
      </c>
      <c r="F1220" s="36" t="str">
        <f t="array" ref="F1220">IFNA(_xlfn.XLOOKUP(D1220,Table_Tarikan_Warkah[Nomor Tiket],Table_Tarikan_Warkah[Nama Petugas Warkah]),"")</f>
        <v/>
      </c>
      <c r="G1220" s="39" t="str">
        <f t="array" ref="G1220">IFNA(_xlfn.XLOOKUP(D1220,Table_Tarikan_Warkah[Nomor Tiket],Table_Tarikan_Warkah[Jenis Permohonan]),"")</f>
        <v>ROYA</v>
      </c>
      <c r="H1220" s="41" t="s">
        <v>11</v>
      </c>
      <c r="I1220" s="41" t="s">
        <v>23</v>
      </c>
      <c r="J1220" s="36">
        <f t="shared" si="20"/>
        <v>45708.49949</v>
      </c>
      <c r="K1220" s="49" t="s">
        <v>197</v>
      </c>
      <c r="L1220" s="49" t="s">
        <v>23</v>
      </c>
      <c r="M1220" s="36">
        <f t="shared" si="26"/>
        <v>45708.66441</v>
      </c>
      <c r="N1220" s="30" t="str">
        <f t="shared" si="27"/>
        <v>Selesai</v>
      </c>
      <c r="O1220" s="45">
        <f t="shared" si="23"/>
        <v>45708.66441</v>
      </c>
      <c r="P1220" s="47" t="b">
        <v>1</v>
      </c>
      <c r="Q1220" s="36">
        <f t="shared" si="24"/>
        <v>45708.66464</v>
      </c>
      <c r="R1220" s="47" t="b">
        <v>0</v>
      </c>
      <c r="S1220" s="42" t="str">
        <f t="shared" si="28"/>
        <v/>
      </c>
      <c r="T1220" s="42"/>
    </row>
    <row r="1221" ht="22.5" customHeight="1">
      <c r="B1221" s="42">
        <f t="shared" si="7"/>
        <v>1215</v>
      </c>
      <c r="C1221" s="31" t="s">
        <v>1352</v>
      </c>
      <c r="D1221" s="34" t="str">
        <f t="array" ref="D1221">IFNA(_xlfn.XLOOKUP(C1221,Table_Tarikan_Warkah[Nomor Sertipikat],Table_Tarikan_Warkah[Nomor Tiket]),"")</f>
        <v>L/1/150225/1</v>
      </c>
      <c r="E1221" s="36">
        <f t="array" ref="E1221">IFNA(_xlfn.XLOOKUP(D1221,Table_Tarikan_Warkah[Nomor Tiket],Table_Tarikan_Warkah[Tanggal diserahkan kepada Validator]),"")</f>
        <v>45763.5509</v>
      </c>
      <c r="F1221" s="36" t="str">
        <f t="array" ref="F1221">IFNA(_xlfn.XLOOKUP(D1221,Table_Tarikan_Warkah[Nomor Tiket],Table_Tarikan_Warkah[Nama Petugas Warkah]),"")</f>
        <v/>
      </c>
      <c r="G1221" s="39" t="str">
        <f t="array" ref="G1221">IFNA(_xlfn.XLOOKUP(D1221,Table_Tarikan_Warkah[Nomor Tiket],Table_Tarikan_Warkah[Jenis Permohonan]),"")</f>
        <v>ROYA</v>
      </c>
      <c r="H1221" s="41" t="s">
        <v>11</v>
      </c>
      <c r="I1221" s="41" t="s">
        <v>23</v>
      </c>
      <c r="J1221" s="36">
        <f t="shared" si="20"/>
        <v>45709.72981</v>
      </c>
      <c r="K1221" s="41" t="s">
        <v>197</v>
      </c>
      <c r="L1221" s="49" t="s">
        <v>23</v>
      </c>
      <c r="M1221" s="36">
        <f t="shared" si="26"/>
        <v>45712.62857</v>
      </c>
      <c r="N1221" s="30" t="str">
        <f t="shared" si="27"/>
        <v>Selesai</v>
      </c>
      <c r="O1221" s="45">
        <f t="shared" si="23"/>
        <v>45712.62857</v>
      </c>
      <c r="P1221" s="47" t="b">
        <v>1</v>
      </c>
      <c r="Q1221" s="36">
        <f t="shared" si="24"/>
        <v>45712.62868</v>
      </c>
      <c r="R1221" s="47" t="b">
        <v>0</v>
      </c>
      <c r="S1221" s="42" t="str">
        <f t="shared" si="28"/>
        <v/>
      </c>
      <c r="T1221" s="42"/>
    </row>
    <row r="1222" ht="22.5" customHeight="1">
      <c r="B1222" s="42">
        <f t="shared" si="7"/>
        <v>1216</v>
      </c>
      <c r="C1222" s="31" t="s">
        <v>1353</v>
      </c>
      <c r="D1222" s="34" t="str">
        <f t="array" ref="D1222">IFNA(_xlfn.XLOOKUP(C1222,Table_Tarikan_Warkah[Nomor Sertipikat],Table_Tarikan_Warkah[Nomor Tiket]),"")</f>
        <v>K/35/120225/1</v>
      </c>
      <c r="E1222" s="36">
        <f t="array" ref="E1222">IFNA(_xlfn.XLOOKUP(D1222,Table_Tarikan_Warkah[Nomor Tiket],Table_Tarikan_Warkah[Tanggal diserahkan kepada Validator]),"")</f>
        <v>45723.54606</v>
      </c>
      <c r="F1222" s="36" t="str">
        <f t="array" ref="F1222">IFNA(_xlfn.XLOOKUP(D1222,Table_Tarikan_Warkah[Nomor Tiket],Table_Tarikan_Warkah[Nama Petugas Warkah]),"")</f>
        <v/>
      </c>
      <c r="G1222" s="39" t="str">
        <f t="array" ref="G1222">IFNA(_xlfn.XLOOKUP(D1222,Table_Tarikan_Warkah[Nomor Tiket],Table_Tarikan_Warkah[Jenis Permohonan]),"")</f>
        <v>ROYA</v>
      </c>
      <c r="H1222" s="41" t="s">
        <v>11</v>
      </c>
      <c r="I1222" s="41" t="s">
        <v>23</v>
      </c>
      <c r="J1222" s="36">
        <f t="shared" si="20"/>
        <v>45709.72983</v>
      </c>
      <c r="K1222" s="41" t="s">
        <v>197</v>
      </c>
      <c r="L1222" s="49" t="s">
        <v>23</v>
      </c>
      <c r="M1222" s="36">
        <f t="shared" si="26"/>
        <v>45712.62857</v>
      </c>
      <c r="N1222" s="30" t="str">
        <f t="shared" si="27"/>
        <v>Selesai</v>
      </c>
      <c r="O1222" s="45">
        <f t="shared" si="23"/>
        <v>45712.62857</v>
      </c>
      <c r="P1222" s="47" t="b">
        <v>1</v>
      </c>
      <c r="Q1222" s="36">
        <f t="shared" si="24"/>
        <v>45712.62871</v>
      </c>
      <c r="R1222" s="47" t="b">
        <v>0</v>
      </c>
      <c r="S1222" s="42" t="str">
        <f t="shared" si="28"/>
        <v/>
      </c>
      <c r="T1222" s="42"/>
    </row>
    <row r="1223" ht="22.5" customHeight="1">
      <c r="B1223" s="42">
        <f t="shared" si="7"/>
        <v>1217</v>
      </c>
      <c r="C1223" s="31" t="s">
        <v>1354</v>
      </c>
      <c r="D1223" s="34" t="str">
        <f t="array" ref="D1223">IFNA(_xlfn.XLOOKUP(C1223,Table_Tarikan_Warkah[Nomor Sertipikat],Table_Tarikan_Warkah[Nomor Tiket]),"")</f>
        <v>K/17/170225/1</v>
      </c>
      <c r="E1223" s="36">
        <f t="array" ref="E1223">IFNA(_xlfn.XLOOKUP(D1223,Table_Tarikan_Warkah[Nomor Tiket],Table_Tarikan_Warkah[Tanggal diserahkan kepada Validator]),"")</f>
        <v>45713.70549</v>
      </c>
      <c r="F1223" s="36" t="str">
        <f t="array" ref="F1223">IFNA(_xlfn.XLOOKUP(D1223,Table_Tarikan_Warkah[Nomor Tiket],Table_Tarikan_Warkah[Nama Petugas Warkah]),"")</f>
        <v/>
      </c>
      <c r="G1223" s="39" t="str">
        <f t="array" ref="G1223">IFNA(_xlfn.XLOOKUP(D1223,Table_Tarikan_Warkah[Nomor Tiket],Table_Tarikan_Warkah[Jenis Permohonan]),"")</f>
        <v>BN JUAL BELI</v>
      </c>
      <c r="H1223" s="41" t="s">
        <v>11</v>
      </c>
      <c r="I1223" s="41" t="s">
        <v>23</v>
      </c>
      <c r="J1223" s="36">
        <f t="shared" si="20"/>
        <v>45709.72983</v>
      </c>
      <c r="K1223" s="41" t="s">
        <v>197</v>
      </c>
      <c r="L1223" s="49" t="s">
        <v>23</v>
      </c>
      <c r="M1223" s="36">
        <f t="shared" si="26"/>
        <v>45712.62857</v>
      </c>
      <c r="N1223" s="30" t="str">
        <f t="shared" si="27"/>
        <v>Selesai</v>
      </c>
      <c r="O1223" s="45">
        <f t="shared" si="23"/>
        <v>45712.62857</v>
      </c>
      <c r="P1223" s="47" t="b">
        <v>1</v>
      </c>
      <c r="Q1223" s="36">
        <f t="shared" si="24"/>
        <v>45712.62876</v>
      </c>
      <c r="R1223" s="47" t="b">
        <v>0</v>
      </c>
      <c r="S1223" s="42" t="str">
        <f t="shared" si="28"/>
        <v/>
      </c>
      <c r="T1223" s="42"/>
    </row>
    <row r="1224" ht="22.5" customHeight="1">
      <c r="B1224" s="42">
        <f t="shared" si="7"/>
        <v>1218</v>
      </c>
      <c r="C1224" s="31" t="s">
        <v>1355</v>
      </c>
      <c r="D1224" s="34" t="str">
        <f t="array" ref="D1224">IFNA(_xlfn.XLOOKUP(C1224,Table_Tarikan_Warkah[Nomor Sertipikat],Table_Tarikan_Warkah[Nomor Tiket]),"")</f>
        <v>K/28/140225/3</v>
      </c>
      <c r="E1224" s="36">
        <f t="array" ref="E1224">IFNA(_xlfn.XLOOKUP(D1224,Table_Tarikan_Warkah[Nomor Tiket],Table_Tarikan_Warkah[Tanggal diserahkan kepada Validator]),"")</f>
        <v>45713.70535</v>
      </c>
      <c r="F1224" s="36" t="str">
        <f t="array" ref="F1224">IFNA(_xlfn.XLOOKUP(D1224,Table_Tarikan_Warkah[Nomor Tiket],Table_Tarikan_Warkah[Nama Petugas Warkah]),"")</f>
        <v/>
      </c>
      <c r="G1224" s="39" t="str">
        <f t="array" ref="G1224">IFNA(_xlfn.XLOOKUP(D1224,Table_Tarikan_Warkah[Nomor Tiket],Table_Tarikan_Warkah[Jenis Permohonan]),"")</f>
        <v>BN JUAL BELI</v>
      </c>
      <c r="H1224" s="41" t="s">
        <v>11</v>
      </c>
      <c r="I1224" s="41" t="s">
        <v>23</v>
      </c>
      <c r="J1224" s="36">
        <f t="shared" si="20"/>
        <v>45709.72983</v>
      </c>
      <c r="K1224" s="49" t="s">
        <v>197</v>
      </c>
      <c r="L1224" s="49" t="s">
        <v>23</v>
      </c>
      <c r="M1224" s="36">
        <f t="shared" si="26"/>
        <v>45712.62857</v>
      </c>
      <c r="N1224" s="30" t="str">
        <f t="shared" si="27"/>
        <v>Selesai</v>
      </c>
      <c r="O1224" s="45">
        <f t="shared" si="23"/>
        <v>45712.62857</v>
      </c>
      <c r="P1224" s="47" t="b">
        <v>1</v>
      </c>
      <c r="Q1224" s="36">
        <f t="shared" si="24"/>
        <v>45712.62876</v>
      </c>
      <c r="R1224" s="47" t="b">
        <v>0</v>
      </c>
      <c r="S1224" s="42" t="str">
        <f t="shared" si="28"/>
        <v/>
      </c>
      <c r="T1224" s="42"/>
    </row>
    <row r="1225" ht="22.5" customHeight="1">
      <c r="B1225" s="42">
        <f t="shared" si="7"/>
        <v>1219</v>
      </c>
      <c r="C1225" s="31" t="s">
        <v>1356</v>
      </c>
      <c r="D1225" s="34" t="str">
        <f t="array" ref="D1225">IFNA(_xlfn.XLOOKUP(C1225,Table_Tarikan_Warkah[Nomor Sertipikat],Table_Tarikan_Warkah[Nomor Tiket]),"")</f>
        <v>K/20/170225/2</v>
      </c>
      <c r="E1225" s="36">
        <f t="array" ref="E1225">IFNA(_xlfn.XLOOKUP(D1225,Table_Tarikan_Warkah[Nomor Tiket],Table_Tarikan_Warkah[Tanggal diserahkan kepada Validator]),"")</f>
        <v>45713.7079</v>
      </c>
      <c r="F1225" s="36" t="str">
        <f t="array" ref="F1225">IFNA(_xlfn.XLOOKUP(D1225,Table_Tarikan_Warkah[Nomor Tiket],Table_Tarikan_Warkah[Nama Petugas Warkah]),"")</f>
        <v/>
      </c>
      <c r="G1225" s="39" t="str">
        <f t="array" ref="G1225">IFNA(_xlfn.XLOOKUP(D1225,Table_Tarikan_Warkah[Nomor Tiket],Table_Tarikan_Warkah[Jenis Permohonan]),"")</f>
        <v>BN JUAL BELI</v>
      </c>
      <c r="H1225" s="41" t="s">
        <v>11</v>
      </c>
      <c r="I1225" s="41" t="s">
        <v>23</v>
      </c>
      <c r="J1225" s="36">
        <f t="shared" si="20"/>
        <v>45709.72983</v>
      </c>
      <c r="K1225" s="49" t="s">
        <v>197</v>
      </c>
      <c r="L1225" s="49" t="s">
        <v>23</v>
      </c>
      <c r="M1225" s="36">
        <f t="shared" si="26"/>
        <v>45712.62857</v>
      </c>
      <c r="N1225" s="30" t="str">
        <f t="shared" si="27"/>
        <v>Selesai</v>
      </c>
      <c r="O1225" s="45">
        <f t="shared" si="23"/>
        <v>45712.62857</v>
      </c>
      <c r="P1225" s="47" t="b">
        <v>1</v>
      </c>
      <c r="Q1225" s="36">
        <f t="shared" si="24"/>
        <v>45712.62876</v>
      </c>
      <c r="R1225" s="47" t="b">
        <v>0</v>
      </c>
      <c r="S1225" s="42" t="str">
        <f t="shared" si="28"/>
        <v/>
      </c>
      <c r="T1225" s="42"/>
    </row>
    <row r="1226" ht="22.5" customHeight="1">
      <c r="B1226" s="42">
        <f t="shared" si="7"/>
        <v>1220</v>
      </c>
      <c r="C1226" s="31" t="s">
        <v>1357</v>
      </c>
      <c r="D1226" s="34" t="str">
        <f t="array" ref="D1226">IFNA(_xlfn.XLOOKUP(C1226,Table_Tarikan_Warkah[Nomor Sertipikat],Table_Tarikan_Warkah[Nomor Tiket]),"")</f>
        <v>L/7/120225/1</v>
      </c>
      <c r="E1226" s="36" t="str">
        <f t="array" ref="E1226">IFNA(_xlfn.XLOOKUP(D1226,Table_Tarikan_Warkah[Nomor Tiket],Table_Tarikan_Warkah[Tanggal diserahkan kepada Validator]),"")</f>
        <v/>
      </c>
      <c r="F1226" s="36" t="str">
        <f t="array" ref="F1226">IFNA(_xlfn.XLOOKUP(D1226,Table_Tarikan_Warkah[Nomor Tiket],Table_Tarikan_Warkah[Nama Petugas Warkah]),"")</f>
        <v/>
      </c>
      <c r="G1226" s="39" t="str">
        <f t="array" ref="G1226">IFNA(_xlfn.XLOOKUP(D1226,Table_Tarikan_Warkah[Nomor Tiket],Table_Tarikan_Warkah[Jenis Permohonan]),"")</f>
        <v>ROYA AHLI WARIS</v>
      </c>
      <c r="H1226" s="41" t="s">
        <v>11</v>
      </c>
      <c r="I1226" s="41" t="s">
        <v>23</v>
      </c>
      <c r="J1226" s="36">
        <f t="shared" si="20"/>
        <v>45709.72985</v>
      </c>
      <c r="K1226" s="41" t="s">
        <v>197</v>
      </c>
      <c r="L1226" s="49" t="s">
        <v>23</v>
      </c>
      <c r="M1226" s="36">
        <f t="shared" si="26"/>
        <v>45712.62857</v>
      </c>
      <c r="N1226" s="30" t="str">
        <f t="shared" si="27"/>
        <v>Selesai</v>
      </c>
      <c r="O1226" s="45">
        <f t="shared" si="23"/>
        <v>45712.62857</v>
      </c>
      <c r="P1226" s="47" t="b">
        <v>1</v>
      </c>
      <c r="Q1226" s="36">
        <f t="shared" si="24"/>
        <v>45712.62877</v>
      </c>
      <c r="R1226" s="47" t="b">
        <v>0</v>
      </c>
      <c r="S1226" s="42" t="str">
        <f t="shared" si="28"/>
        <v/>
      </c>
      <c r="T1226" s="42"/>
    </row>
    <row r="1227" ht="22.5" customHeight="1">
      <c r="B1227" s="42">
        <f t="shared" si="7"/>
        <v>1221</v>
      </c>
      <c r="C1227" s="31" t="s">
        <v>1358</v>
      </c>
      <c r="D1227" s="34" t="str">
        <f t="array" ref="D1227">IFNA(_xlfn.XLOOKUP(C1227,Table_Tarikan_Warkah[Nomor Sertipikat],Table_Tarikan_Warkah[Nomor Tiket]),"")</f>
        <v>K/25/180225/1</v>
      </c>
      <c r="E1227" s="36">
        <f t="array" ref="E1227">IFNA(_xlfn.XLOOKUP(D1227,Table_Tarikan_Warkah[Nomor Tiket],Table_Tarikan_Warkah[Tanggal diserahkan kepada Validator]),"")</f>
        <v>45713.70688</v>
      </c>
      <c r="F1227" s="36" t="str">
        <f t="array" ref="F1227">IFNA(_xlfn.XLOOKUP(D1227,Table_Tarikan_Warkah[Nomor Tiket],Table_Tarikan_Warkah[Nama Petugas Warkah]),"")</f>
        <v/>
      </c>
      <c r="G1227" s="39" t="str">
        <f t="array" ref="G1227">IFNA(_xlfn.XLOOKUP(D1227,Table_Tarikan_Warkah[Nomor Tiket],Table_Tarikan_Warkah[Jenis Permohonan]),"")</f>
        <v>JUAL BELI</v>
      </c>
      <c r="H1227" s="41" t="s">
        <v>11</v>
      </c>
      <c r="I1227" s="41" t="s">
        <v>23</v>
      </c>
      <c r="J1227" s="36">
        <f t="shared" si="20"/>
        <v>45709.72985</v>
      </c>
      <c r="K1227" s="49" t="s">
        <v>197</v>
      </c>
      <c r="L1227" s="49" t="s">
        <v>23</v>
      </c>
      <c r="M1227" s="36">
        <f t="shared" si="26"/>
        <v>45712.62857</v>
      </c>
      <c r="N1227" s="30" t="str">
        <f t="shared" si="27"/>
        <v>Selesai</v>
      </c>
      <c r="O1227" s="45">
        <f t="shared" si="23"/>
        <v>45712.62857</v>
      </c>
      <c r="P1227" s="47" t="b">
        <v>1</v>
      </c>
      <c r="Q1227" s="36">
        <f t="shared" si="24"/>
        <v>45712.62878</v>
      </c>
      <c r="R1227" s="47" t="b">
        <v>0</v>
      </c>
      <c r="S1227" s="42" t="str">
        <f t="shared" si="28"/>
        <v/>
      </c>
      <c r="T1227" s="42"/>
    </row>
    <row r="1228" ht="22.5" customHeight="1">
      <c r="B1228" s="42">
        <f t="shared" si="7"/>
        <v>1222</v>
      </c>
      <c r="C1228" s="31" t="s">
        <v>1359</v>
      </c>
      <c r="D1228" s="34" t="str">
        <f t="array" ref="D1228">IFNA(_xlfn.XLOOKUP(C1228,Table_Tarikan_Warkah[Nomor Sertipikat],Table_Tarikan_Warkah[Nomor Tiket]),"")</f>
        <v>K/33/190225/2</v>
      </c>
      <c r="E1228" s="36">
        <f t="array" ref="E1228">IFNA(_xlfn.XLOOKUP(D1228,Table_Tarikan_Warkah[Nomor Tiket],Table_Tarikan_Warkah[Tanggal diserahkan kepada Validator]),"")</f>
        <v>45713.7071</v>
      </c>
      <c r="F1228" s="36" t="str">
        <f t="array" ref="F1228">IFNA(_xlfn.XLOOKUP(D1228,Table_Tarikan_Warkah[Nomor Tiket],Table_Tarikan_Warkah[Nama Petugas Warkah]),"")</f>
        <v/>
      </c>
      <c r="G1228" s="39" t="str">
        <f t="array" ref="G1228">IFNA(_xlfn.XLOOKUP(D1228,Table_Tarikan_Warkah[Nomor Tiket],Table_Tarikan_Warkah[Jenis Permohonan]),"")</f>
        <v>JUAL BELI</v>
      </c>
      <c r="H1228" s="41" t="s">
        <v>11</v>
      </c>
      <c r="I1228" s="41" t="s">
        <v>23</v>
      </c>
      <c r="J1228" s="36">
        <f t="shared" si="20"/>
        <v>45709.72985</v>
      </c>
      <c r="K1228" s="41" t="s">
        <v>197</v>
      </c>
      <c r="L1228" s="49" t="s">
        <v>23</v>
      </c>
      <c r="M1228" s="36">
        <f t="shared" si="26"/>
        <v>45712.62857</v>
      </c>
      <c r="N1228" s="30" t="str">
        <f t="shared" si="27"/>
        <v>Selesai</v>
      </c>
      <c r="O1228" s="45">
        <f t="shared" si="23"/>
        <v>45712.62857</v>
      </c>
      <c r="P1228" s="47" t="b">
        <v>1</v>
      </c>
      <c r="Q1228" s="36">
        <f t="shared" si="24"/>
        <v>45712.6288</v>
      </c>
      <c r="R1228" s="47" t="b">
        <v>0</v>
      </c>
      <c r="S1228" s="42" t="str">
        <f t="shared" si="28"/>
        <v/>
      </c>
      <c r="T1228" s="42"/>
    </row>
    <row r="1229" ht="22.5" customHeight="1">
      <c r="B1229" s="42">
        <f t="shared" si="7"/>
        <v>1223</v>
      </c>
      <c r="C1229" s="31" t="s">
        <v>1360</v>
      </c>
      <c r="D1229" s="34" t="str">
        <f t="array" ref="D1229">IFNA(_xlfn.XLOOKUP(C1229,Table_Tarikan_Warkah[Nomor Sertipikat],Table_Tarikan_Warkah[Nomor Tiket]),"")</f>
        <v>K/4/070225/1</v>
      </c>
      <c r="E1229" s="36">
        <f t="array" ref="E1229">IFNA(_xlfn.XLOOKUP(D1229,Table_Tarikan_Warkah[Nomor Tiket],Table_Tarikan_Warkah[Tanggal diserahkan kepada Validator]),"")</f>
        <v>45713.7057</v>
      </c>
      <c r="F1229" s="36" t="str">
        <f t="array" ref="F1229">IFNA(_xlfn.XLOOKUP(D1229,Table_Tarikan_Warkah[Nomor Tiket],Table_Tarikan_Warkah[Nama Petugas Warkah]),"")</f>
        <v/>
      </c>
      <c r="G1229" s="39" t="str">
        <f t="array" ref="G1229">IFNA(_xlfn.XLOOKUP(D1229,Table_Tarikan_Warkah[Nomor Tiket],Table_Tarikan_Warkah[Jenis Permohonan]),"")</f>
        <v>BN WARIS</v>
      </c>
      <c r="H1229" s="41" t="s">
        <v>11</v>
      </c>
      <c r="I1229" s="41" t="s">
        <v>23</v>
      </c>
      <c r="J1229" s="36">
        <f t="shared" si="20"/>
        <v>45709.72985</v>
      </c>
      <c r="K1229" s="41" t="s">
        <v>197</v>
      </c>
      <c r="L1229" s="49" t="s">
        <v>23</v>
      </c>
      <c r="M1229" s="36">
        <f t="shared" si="26"/>
        <v>45712.62857</v>
      </c>
      <c r="N1229" s="30" t="str">
        <f t="shared" si="27"/>
        <v>Selesai</v>
      </c>
      <c r="O1229" s="45">
        <f t="shared" si="23"/>
        <v>45712.62857</v>
      </c>
      <c r="P1229" s="47" t="b">
        <v>1</v>
      </c>
      <c r="Q1229" s="36">
        <f t="shared" si="24"/>
        <v>45712.62881</v>
      </c>
      <c r="R1229" s="47" t="b">
        <v>0</v>
      </c>
      <c r="S1229" s="42" t="str">
        <f t="shared" si="28"/>
        <v/>
      </c>
      <c r="T1229" s="42"/>
    </row>
    <row r="1230" ht="22.5" customHeight="1">
      <c r="B1230" s="42">
        <f t="shared" si="7"/>
        <v>1224</v>
      </c>
      <c r="C1230" s="31" t="s">
        <v>1361</v>
      </c>
      <c r="D1230" s="34" t="str">
        <f t="array" ref="D1230">IFNA(_xlfn.XLOOKUP(C1230,Table_Tarikan_Warkah[Nomor Sertipikat],Table_Tarikan_Warkah[Nomor Tiket]),"")</f>
        <v>K/12/140225/1</v>
      </c>
      <c r="E1230" s="36" t="str">
        <f t="array" ref="E1230">IFNA(_xlfn.XLOOKUP(D1230,Table_Tarikan_Warkah[Nomor Tiket],Table_Tarikan_Warkah[Tanggal diserahkan kepada Validator]),"")</f>
        <v/>
      </c>
      <c r="F1230" s="36" t="str">
        <f t="array" ref="F1230">IFNA(_xlfn.XLOOKUP(D1230,Table_Tarikan_Warkah[Nomor Tiket],Table_Tarikan_Warkah[Nama Petugas Warkah]),"")</f>
        <v/>
      </c>
      <c r="G1230" s="39" t="str">
        <f t="array" ref="G1230">IFNA(_xlfn.XLOOKUP(D1230,Table_Tarikan_Warkah[Nomor Tiket],Table_Tarikan_Warkah[Jenis Permohonan]),"")</f>
        <v>BN JUAL BELI</v>
      </c>
      <c r="H1230" s="41" t="s">
        <v>11</v>
      </c>
      <c r="I1230" s="41" t="s">
        <v>23</v>
      </c>
      <c r="J1230" s="36">
        <f t="shared" si="20"/>
        <v>45709.72985</v>
      </c>
      <c r="K1230" s="49" t="s">
        <v>197</v>
      </c>
      <c r="L1230" s="49" t="s">
        <v>23</v>
      </c>
      <c r="M1230" s="36">
        <f t="shared" si="26"/>
        <v>45712.62857</v>
      </c>
      <c r="N1230" s="30" t="str">
        <f t="shared" si="27"/>
        <v>Selesai</v>
      </c>
      <c r="O1230" s="45">
        <f t="shared" si="23"/>
        <v>45712.62857</v>
      </c>
      <c r="P1230" s="47" t="b">
        <v>1</v>
      </c>
      <c r="Q1230" s="36">
        <f t="shared" si="24"/>
        <v>45712.62884</v>
      </c>
      <c r="R1230" s="47" t="b">
        <v>0</v>
      </c>
      <c r="S1230" s="42" t="str">
        <f t="shared" si="28"/>
        <v/>
      </c>
      <c r="T1230" s="42"/>
    </row>
    <row r="1231" ht="22.5" customHeight="1">
      <c r="B1231" s="42">
        <f t="shared" si="7"/>
        <v>1225</v>
      </c>
      <c r="C1231" s="31" t="s">
        <v>1362</v>
      </c>
      <c r="D1231" s="34" t="str">
        <f t="array" ref="D1231">IFNA(_xlfn.XLOOKUP(C1231,Table_Tarikan_Warkah[Nomor Sertipikat],Table_Tarikan_Warkah[Nomor Tiket]),"")</f>
        <v>K/19/140225/1</v>
      </c>
      <c r="E1231" s="36">
        <f t="array" ref="E1231">IFNA(_xlfn.XLOOKUP(D1231,Table_Tarikan_Warkah[Nomor Tiket],Table_Tarikan_Warkah[Tanggal diserahkan kepada Validator]),"")</f>
        <v>45713.70637</v>
      </c>
      <c r="F1231" s="36" t="str">
        <f t="array" ref="F1231">IFNA(_xlfn.XLOOKUP(D1231,Table_Tarikan_Warkah[Nomor Tiket],Table_Tarikan_Warkah[Nama Petugas Warkah]),"")</f>
        <v/>
      </c>
      <c r="G1231" s="39" t="str">
        <f t="array" ref="G1231">IFNA(_xlfn.XLOOKUP(D1231,Table_Tarikan_Warkah[Nomor Tiket],Table_Tarikan_Warkah[Jenis Permohonan]),"")</f>
        <v>BN JUAL BELI</v>
      </c>
      <c r="H1231" s="41" t="s">
        <v>11</v>
      </c>
      <c r="I1231" s="41" t="s">
        <v>23</v>
      </c>
      <c r="J1231" s="36">
        <f t="shared" si="20"/>
        <v>45709.72988</v>
      </c>
      <c r="K1231" s="41" t="s">
        <v>197</v>
      </c>
      <c r="L1231" s="49" t="s">
        <v>23</v>
      </c>
      <c r="M1231" s="36">
        <f t="shared" si="26"/>
        <v>45712.62859</v>
      </c>
      <c r="N1231" s="30" t="str">
        <f t="shared" si="27"/>
        <v>Selesai</v>
      </c>
      <c r="O1231" s="45">
        <f t="shared" si="23"/>
        <v>45712.62859</v>
      </c>
      <c r="P1231" s="47" t="b">
        <v>1</v>
      </c>
      <c r="Q1231" s="36">
        <f t="shared" si="24"/>
        <v>45712.62885</v>
      </c>
      <c r="R1231" s="47" t="b">
        <v>0</v>
      </c>
      <c r="S1231" s="42" t="str">
        <f t="shared" si="28"/>
        <v/>
      </c>
      <c r="T1231" s="42"/>
    </row>
    <row r="1232" ht="22.5" customHeight="1">
      <c r="B1232" s="42">
        <f t="shared" si="7"/>
        <v>1226</v>
      </c>
      <c r="C1232" s="31" t="s">
        <v>1363</v>
      </c>
      <c r="D1232" s="34" t="str">
        <f t="array" ref="D1232">IFNA(_xlfn.XLOOKUP(C1232,Table_Tarikan_Warkah[Nomor Sertipikat],Table_Tarikan_Warkah[Nomor Tiket]),"")</f>
        <v>K/25/120225/2</v>
      </c>
      <c r="E1232" s="36">
        <f t="array" ref="E1232">IFNA(_xlfn.XLOOKUP(D1232,Table_Tarikan_Warkah[Nomor Tiket],Table_Tarikan_Warkah[Tanggal diserahkan kepada Validator]),"")</f>
        <v>45713.70595</v>
      </c>
      <c r="F1232" s="36" t="str">
        <f t="array" ref="F1232">IFNA(_xlfn.XLOOKUP(D1232,Table_Tarikan_Warkah[Nomor Tiket],Table_Tarikan_Warkah[Nama Petugas Warkah]),"")</f>
        <v/>
      </c>
      <c r="G1232" s="39" t="str">
        <f t="array" ref="G1232">IFNA(_xlfn.XLOOKUP(D1232,Table_Tarikan_Warkah[Nomor Tiket],Table_Tarikan_Warkah[Jenis Permohonan]),"")</f>
        <v>BN JUAL BELI</v>
      </c>
      <c r="H1232" s="41" t="s">
        <v>11</v>
      </c>
      <c r="I1232" s="41" t="s">
        <v>23</v>
      </c>
      <c r="J1232" s="36">
        <f t="shared" si="20"/>
        <v>45709.72988</v>
      </c>
      <c r="K1232" s="41" t="s">
        <v>197</v>
      </c>
      <c r="L1232" s="49" t="s">
        <v>23</v>
      </c>
      <c r="M1232" s="36">
        <f t="shared" si="26"/>
        <v>45712.62859</v>
      </c>
      <c r="N1232" s="30" t="str">
        <f t="shared" si="27"/>
        <v>Selesai</v>
      </c>
      <c r="O1232" s="45">
        <f t="shared" si="23"/>
        <v>45712.62859</v>
      </c>
      <c r="P1232" s="47" t="b">
        <v>1</v>
      </c>
      <c r="Q1232" s="36">
        <f t="shared" si="24"/>
        <v>45712.62886</v>
      </c>
      <c r="R1232" s="47" t="b">
        <v>0</v>
      </c>
      <c r="S1232" s="42" t="str">
        <f t="shared" si="28"/>
        <v/>
      </c>
      <c r="T1232" s="42"/>
    </row>
    <row r="1233" ht="22.5" customHeight="1">
      <c r="B1233" s="42">
        <f t="shared" si="7"/>
        <v>1227</v>
      </c>
      <c r="C1233" s="31" t="s">
        <v>1364</v>
      </c>
      <c r="D1233" s="34" t="str">
        <f t="array" ref="D1233">IFNA(_xlfn.XLOOKUP(C1233,Table_Tarikan_Warkah[Nomor Sertipikat],Table_Tarikan_Warkah[Nomor Tiket]),"")</f>
        <v>K/9/180225/1</v>
      </c>
      <c r="E1233" s="36">
        <f t="array" ref="E1233">IFNA(_xlfn.XLOOKUP(D1233,Table_Tarikan_Warkah[Nomor Tiket],Table_Tarikan_Warkah[Tanggal diserahkan kepada Validator]),"")</f>
        <v>45769.60071</v>
      </c>
      <c r="F1233" s="36" t="str">
        <f t="array" ref="F1233">IFNA(_xlfn.XLOOKUP(D1233,Table_Tarikan_Warkah[Nomor Tiket],Table_Tarikan_Warkah[Nama Petugas Warkah]),"")</f>
        <v/>
      </c>
      <c r="G1233" s="39" t="str">
        <f t="array" ref="G1233">IFNA(_xlfn.XLOOKUP(D1233,Table_Tarikan_Warkah[Nomor Tiket],Table_Tarikan_Warkah[Jenis Permohonan]),"")</f>
        <v>Roya</v>
      </c>
      <c r="H1233" s="41" t="s">
        <v>11</v>
      </c>
      <c r="I1233" s="41" t="s">
        <v>23</v>
      </c>
      <c r="J1233" s="36">
        <f t="shared" si="20"/>
        <v>45709.72988</v>
      </c>
      <c r="K1233" s="41" t="s">
        <v>197</v>
      </c>
      <c r="L1233" s="49" t="s">
        <v>23</v>
      </c>
      <c r="M1233" s="36">
        <f t="shared" si="26"/>
        <v>45712.62859</v>
      </c>
      <c r="N1233" s="30" t="str">
        <f t="shared" si="27"/>
        <v>Selesai</v>
      </c>
      <c r="O1233" s="45">
        <f t="shared" si="23"/>
        <v>45712.62859</v>
      </c>
      <c r="P1233" s="47" t="b">
        <v>1</v>
      </c>
      <c r="Q1233" s="36">
        <f t="shared" si="24"/>
        <v>45712.62887</v>
      </c>
      <c r="R1233" s="47" t="b">
        <v>0</v>
      </c>
      <c r="S1233" s="42" t="str">
        <f t="shared" si="28"/>
        <v/>
      </c>
      <c r="T1233" s="42"/>
    </row>
    <row r="1234" ht="22.5" customHeight="1">
      <c r="B1234" s="42">
        <f t="shared" si="7"/>
        <v>1228</v>
      </c>
      <c r="C1234" s="31" t="s">
        <v>1365</v>
      </c>
      <c r="D1234" s="34" t="str">
        <f t="array" ref="D1234">IFNA(_xlfn.XLOOKUP(C1234,Table_Tarikan_Warkah[Nomor Sertipikat],Table_Tarikan_Warkah[Nomor Tiket]),"")</f>
        <v>K/9/170225/1</v>
      </c>
      <c r="E1234" s="36">
        <f t="array" ref="E1234">IFNA(_xlfn.XLOOKUP(D1234,Table_Tarikan_Warkah[Nomor Tiket],Table_Tarikan_Warkah[Tanggal diserahkan kepada Validator]),"")</f>
        <v>45709.4646</v>
      </c>
      <c r="F1234" s="36" t="str">
        <f t="array" ref="F1234">IFNA(_xlfn.XLOOKUP(D1234,Table_Tarikan_Warkah[Nomor Tiket],Table_Tarikan_Warkah[Nama Petugas Warkah]),"")</f>
        <v/>
      </c>
      <c r="G1234" s="39" t="str">
        <f t="array" ref="G1234">IFNA(_xlfn.XLOOKUP(D1234,Table_Tarikan_Warkah[Nomor Tiket],Table_Tarikan_Warkah[Jenis Permohonan]),"")</f>
        <v>BN Jual Beli</v>
      </c>
      <c r="H1234" s="41" t="s">
        <v>11</v>
      </c>
      <c r="I1234" s="41" t="s">
        <v>23</v>
      </c>
      <c r="J1234" s="36">
        <f t="shared" si="20"/>
        <v>45709.72988</v>
      </c>
      <c r="K1234" s="49" t="s">
        <v>197</v>
      </c>
      <c r="L1234" s="49" t="s">
        <v>23</v>
      </c>
      <c r="M1234" s="36">
        <f t="shared" si="26"/>
        <v>45712.62859</v>
      </c>
      <c r="N1234" s="30" t="str">
        <f t="shared" si="27"/>
        <v>Selesai</v>
      </c>
      <c r="O1234" s="45">
        <f t="shared" si="23"/>
        <v>45712.62859</v>
      </c>
      <c r="P1234" s="47" t="b">
        <v>1</v>
      </c>
      <c r="Q1234" s="36">
        <f t="shared" si="24"/>
        <v>45712.62893</v>
      </c>
      <c r="R1234" s="47" t="b">
        <v>0</v>
      </c>
      <c r="S1234" s="42" t="str">
        <f t="shared" si="28"/>
        <v/>
      </c>
      <c r="T1234" s="42"/>
    </row>
    <row r="1235" ht="22.5" customHeight="1">
      <c r="B1235" s="42">
        <f t="shared" si="7"/>
        <v>1229</v>
      </c>
      <c r="C1235" s="31" t="s">
        <v>1366</v>
      </c>
      <c r="D1235" s="34" t="str">
        <f t="array" ref="D1235">IFNA(_xlfn.XLOOKUP(C1235,Table_Tarikan_Warkah[Nomor Sertipikat],Table_Tarikan_Warkah[Nomor Tiket]),"")</f>
        <v>K/18/170225/1</v>
      </c>
      <c r="E1235" s="36">
        <f t="array" ref="E1235">IFNA(_xlfn.XLOOKUP(D1235,Table_Tarikan_Warkah[Nomor Tiket],Table_Tarikan_Warkah[Tanggal diserahkan kepada Validator]),"")</f>
        <v>45713.70835</v>
      </c>
      <c r="F1235" s="36" t="str">
        <f t="array" ref="F1235">IFNA(_xlfn.XLOOKUP(D1235,Table_Tarikan_Warkah[Nomor Tiket],Table_Tarikan_Warkah[Nama Petugas Warkah]),"")</f>
        <v/>
      </c>
      <c r="G1235" s="39" t="str">
        <f t="array" ref="G1235">IFNA(_xlfn.XLOOKUP(D1235,Table_Tarikan_Warkah[Nomor Tiket],Table_Tarikan_Warkah[Jenis Permohonan]),"")</f>
        <v>BN Jual Beli</v>
      </c>
      <c r="H1235" s="41" t="s">
        <v>11</v>
      </c>
      <c r="I1235" s="41" t="s">
        <v>23</v>
      </c>
      <c r="J1235" s="36">
        <f t="shared" si="20"/>
        <v>45709.72988</v>
      </c>
      <c r="K1235" s="49" t="s">
        <v>197</v>
      </c>
      <c r="L1235" s="49" t="s">
        <v>23</v>
      </c>
      <c r="M1235" s="36">
        <f t="shared" si="26"/>
        <v>45712.62859</v>
      </c>
      <c r="N1235" s="30" t="str">
        <f t="shared" si="27"/>
        <v>Selesai</v>
      </c>
      <c r="O1235" s="45">
        <f t="shared" si="23"/>
        <v>45712.62859</v>
      </c>
      <c r="P1235" s="47" t="b">
        <v>1</v>
      </c>
      <c r="Q1235" s="36">
        <f t="shared" si="24"/>
        <v>45712.62893</v>
      </c>
      <c r="R1235" s="47" t="b">
        <v>0</v>
      </c>
      <c r="S1235" s="42" t="str">
        <f t="shared" si="28"/>
        <v/>
      </c>
      <c r="T1235" s="42"/>
    </row>
    <row r="1236" ht="22.5" customHeight="1">
      <c r="B1236" s="42">
        <f t="shared" si="7"/>
        <v>1230</v>
      </c>
      <c r="C1236" s="31" t="s">
        <v>1367</v>
      </c>
      <c r="D1236" s="34" t="str">
        <f t="array" ref="D1236">IFNA(_xlfn.XLOOKUP(C1236,Table_Tarikan_Warkah[Nomor Sertipikat],Table_Tarikan_Warkah[Nomor Tiket]),"")</f>
        <v>K/19/100225/1</v>
      </c>
      <c r="E1236" s="36">
        <f t="array" ref="E1236">IFNA(_xlfn.XLOOKUP(D1236,Table_Tarikan_Warkah[Nomor Tiket],Table_Tarikan_Warkah[Tanggal diserahkan kepada Validator]),"")</f>
        <v>45713.7082</v>
      </c>
      <c r="F1236" s="36" t="str">
        <f t="array" ref="F1236">IFNA(_xlfn.XLOOKUP(D1236,Table_Tarikan_Warkah[Nomor Tiket],Table_Tarikan_Warkah[Nama Petugas Warkah]),"")</f>
        <v/>
      </c>
      <c r="G1236" s="39" t="str">
        <f t="array" ref="G1236">IFNA(_xlfn.XLOOKUP(D1236,Table_Tarikan_Warkah[Nomor Tiket],Table_Tarikan_Warkah[Jenis Permohonan]),"")</f>
        <v>BN WARIS</v>
      </c>
      <c r="H1236" s="41" t="s">
        <v>11</v>
      </c>
      <c r="I1236" s="41" t="s">
        <v>23</v>
      </c>
      <c r="J1236" s="36">
        <f t="shared" si="20"/>
        <v>45709.72991</v>
      </c>
      <c r="K1236" s="41" t="s">
        <v>197</v>
      </c>
      <c r="L1236" s="49" t="s">
        <v>23</v>
      </c>
      <c r="M1236" s="36">
        <f t="shared" si="26"/>
        <v>45712.62859</v>
      </c>
      <c r="N1236" s="30" t="str">
        <f t="shared" si="27"/>
        <v>Selesai</v>
      </c>
      <c r="O1236" s="45">
        <f t="shared" si="23"/>
        <v>45712.62859</v>
      </c>
      <c r="P1236" s="47" t="b">
        <v>1</v>
      </c>
      <c r="Q1236" s="36">
        <f t="shared" si="24"/>
        <v>45712.62893</v>
      </c>
      <c r="R1236" s="47" t="b">
        <v>0</v>
      </c>
      <c r="S1236" s="42" t="str">
        <f t="shared" si="28"/>
        <v/>
      </c>
      <c r="T1236" s="42"/>
    </row>
    <row r="1237" ht="22.5" customHeight="1">
      <c r="B1237" s="42">
        <f t="shared" si="7"/>
        <v>1231</v>
      </c>
      <c r="C1237" s="31" t="s">
        <v>1368</v>
      </c>
      <c r="D1237" s="34" t="str">
        <f t="array" ref="D1237">IFNA(_xlfn.XLOOKUP(C1237,Table_Tarikan_Warkah[Nomor Sertipikat],Table_Tarikan_Warkah[Nomor Tiket]),"")</f>
        <v>K/28/130225/1</v>
      </c>
      <c r="E1237" s="36">
        <f t="array" ref="E1237">IFNA(_xlfn.XLOOKUP(D1237,Table_Tarikan_Warkah[Nomor Tiket],Table_Tarikan_Warkah[Tanggal diserahkan kepada Validator]),"")</f>
        <v>45730.60481</v>
      </c>
      <c r="F1237" s="36" t="str">
        <f t="array" ref="F1237">IFNA(_xlfn.XLOOKUP(D1237,Table_Tarikan_Warkah[Nomor Tiket],Table_Tarikan_Warkah[Nama Petugas Warkah]),"")</f>
        <v/>
      </c>
      <c r="G1237" s="39" t="str">
        <f t="array" ref="G1237">IFNA(_xlfn.XLOOKUP(D1237,Table_Tarikan_Warkah[Nomor Tiket],Table_Tarikan_Warkah[Jenis Permohonan]),"")</f>
        <v>ROYA </v>
      </c>
      <c r="H1237" s="41" t="s">
        <v>11</v>
      </c>
      <c r="I1237" s="41" t="s">
        <v>23</v>
      </c>
      <c r="J1237" s="36">
        <f t="shared" si="20"/>
        <v>45709.72991</v>
      </c>
      <c r="K1237" s="49" t="s">
        <v>197</v>
      </c>
      <c r="L1237" s="49" t="s">
        <v>23</v>
      </c>
      <c r="M1237" s="36">
        <f t="shared" si="26"/>
        <v>45712.62859</v>
      </c>
      <c r="N1237" s="30" t="str">
        <f t="shared" si="27"/>
        <v>Selesai</v>
      </c>
      <c r="O1237" s="45">
        <f t="shared" si="23"/>
        <v>45712.62859</v>
      </c>
      <c r="P1237" s="47" t="b">
        <v>1</v>
      </c>
      <c r="Q1237" s="36">
        <f t="shared" si="24"/>
        <v>45712.62893</v>
      </c>
      <c r="R1237" s="47" t="b">
        <v>0</v>
      </c>
      <c r="S1237" s="42" t="str">
        <f t="shared" si="28"/>
        <v/>
      </c>
      <c r="T1237" s="42"/>
    </row>
    <row r="1238" ht="22.5" customHeight="1">
      <c r="B1238" s="42">
        <f t="shared" si="7"/>
        <v>1232</v>
      </c>
      <c r="C1238" s="31" t="s">
        <v>1369</v>
      </c>
      <c r="D1238" s="34" t="str">
        <f t="array" ref="D1238">IFNA(_xlfn.XLOOKUP(C1238,Table_Tarikan_Warkah[Nomor Sertipikat],Table_Tarikan_Warkah[Nomor Tiket]),"")</f>
        <v>K/1/300125/1</v>
      </c>
      <c r="E1238" s="36" t="str">
        <f t="array" ref="E1238">IFNA(_xlfn.XLOOKUP(D1238,Table_Tarikan_Warkah[Nomor Tiket],Table_Tarikan_Warkah[Tanggal diserahkan kepada Validator]),"")</f>
        <v/>
      </c>
      <c r="F1238" s="36" t="str">
        <f t="array" ref="F1238">IFNA(_xlfn.XLOOKUP(D1238,Table_Tarikan_Warkah[Nomor Tiket],Table_Tarikan_Warkah[Nama Petugas Warkah]),"")</f>
        <v/>
      </c>
      <c r="G1238" s="39" t="str">
        <f t="array" ref="G1238">IFNA(_xlfn.XLOOKUP(D1238,Table_Tarikan_Warkah[Nomor Tiket],Table_Tarikan_Warkah[Jenis Permohonan]),"")</f>
        <v>PENGGABUNGAN</v>
      </c>
      <c r="H1238" s="41" t="s">
        <v>11</v>
      </c>
      <c r="I1238" s="41" t="s">
        <v>23</v>
      </c>
      <c r="J1238" s="36">
        <f t="shared" si="20"/>
        <v>45709.72991</v>
      </c>
      <c r="K1238" s="41" t="s">
        <v>197</v>
      </c>
      <c r="L1238" s="49" t="s">
        <v>23</v>
      </c>
      <c r="M1238" s="36">
        <f t="shared" si="26"/>
        <v>45712.62859</v>
      </c>
      <c r="N1238" s="30" t="str">
        <f t="shared" si="27"/>
        <v>Selesai</v>
      </c>
      <c r="O1238" s="45">
        <f t="shared" si="23"/>
        <v>45712.62859</v>
      </c>
      <c r="P1238" s="47" t="b">
        <v>1</v>
      </c>
      <c r="Q1238" s="36">
        <f t="shared" si="24"/>
        <v>45712.62893</v>
      </c>
      <c r="R1238" s="47" t="b">
        <v>0</v>
      </c>
      <c r="S1238" s="42" t="str">
        <f t="shared" si="28"/>
        <v/>
      </c>
      <c r="T1238" s="42"/>
    </row>
    <row r="1239" ht="22.5" customHeight="1">
      <c r="B1239" s="42">
        <f t="shared" si="7"/>
        <v>1233</v>
      </c>
      <c r="C1239" s="31" t="s">
        <v>1370</v>
      </c>
      <c r="D1239" s="34" t="str">
        <f t="array" ref="D1239">IFNA(_xlfn.XLOOKUP(C1239,Table_Tarikan_Warkah[Nomor Sertipikat],Table_Tarikan_Warkah[Nomor Tiket]),"")</f>
        <v>K/43/120225/2</v>
      </c>
      <c r="E1239" s="36">
        <f t="array" ref="E1239">IFNA(_xlfn.XLOOKUP(D1239,Table_Tarikan_Warkah[Nomor Tiket],Table_Tarikan_Warkah[Tanggal diserahkan kepada Validator]),"")</f>
        <v>45722.49755</v>
      </c>
      <c r="F1239" s="36" t="str">
        <f t="array" ref="F1239">IFNA(_xlfn.XLOOKUP(D1239,Table_Tarikan_Warkah[Nomor Tiket],Table_Tarikan_Warkah[Nama Petugas Warkah]),"")</f>
        <v/>
      </c>
      <c r="G1239" s="39" t="str">
        <f t="array" ref="G1239">IFNA(_xlfn.XLOOKUP(D1239,Table_Tarikan_Warkah[Nomor Tiket],Table_Tarikan_Warkah[Jenis Permohonan]),"")</f>
        <v>Roya</v>
      </c>
      <c r="H1239" s="41" t="s">
        <v>11</v>
      </c>
      <c r="I1239" s="41" t="s">
        <v>23</v>
      </c>
      <c r="J1239" s="36">
        <f t="shared" si="20"/>
        <v>45709.72991</v>
      </c>
      <c r="K1239" s="41" t="s">
        <v>197</v>
      </c>
      <c r="L1239" s="49" t="s">
        <v>23</v>
      </c>
      <c r="M1239" s="36">
        <f t="shared" si="26"/>
        <v>45712.62859</v>
      </c>
      <c r="N1239" s="30" t="str">
        <f t="shared" si="27"/>
        <v>Selesai</v>
      </c>
      <c r="O1239" s="45">
        <f t="shared" si="23"/>
        <v>45712.62859</v>
      </c>
      <c r="P1239" s="47" t="b">
        <v>1</v>
      </c>
      <c r="Q1239" s="36">
        <f t="shared" si="24"/>
        <v>45712.62893</v>
      </c>
      <c r="R1239" s="47" t="b">
        <v>0</v>
      </c>
      <c r="S1239" s="42" t="str">
        <f t="shared" si="28"/>
        <v/>
      </c>
      <c r="T1239" s="42"/>
    </row>
    <row r="1240" ht="22.5" customHeight="1">
      <c r="B1240" s="42">
        <f t="shared" si="7"/>
        <v>1234</v>
      </c>
      <c r="C1240" s="31" t="s">
        <v>1371</v>
      </c>
      <c r="D1240" s="34" t="str">
        <f t="array" ref="D1240">IFNA(_xlfn.XLOOKUP(C1240,Table_Tarikan_Warkah[Nomor Sertipikat],Table_Tarikan_Warkah[Nomor Tiket]),"")</f>
        <v>K/27/190225/2</v>
      </c>
      <c r="E1240" s="36">
        <f t="array" ref="E1240">IFNA(_xlfn.XLOOKUP(D1240,Table_Tarikan_Warkah[Nomor Tiket],Table_Tarikan_Warkah[Tanggal diserahkan kepada Validator]),"")</f>
        <v>45713.70608</v>
      </c>
      <c r="F1240" s="36" t="str">
        <f t="array" ref="F1240">IFNA(_xlfn.XLOOKUP(D1240,Table_Tarikan_Warkah[Nomor Tiket],Table_Tarikan_Warkah[Nama Petugas Warkah]),"")</f>
        <v/>
      </c>
      <c r="G1240" s="39" t="str">
        <f t="array" ref="G1240">IFNA(_xlfn.XLOOKUP(D1240,Table_Tarikan_Warkah[Nomor Tiket],Table_Tarikan_Warkah[Jenis Permohonan]),"")</f>
        <v>BN JUAL BELI</v>
      </c>
      <c r="H1240" s="41" t="s">
        <v>11</v>
      </c>
      <c r="I1240" s="41" t="s">
        <v>23</v>
      </c>
      <c r="J1240" s="36">
        <f t="shared" si="20"/>
        <v>45709.72991</v>
      </c>
      <c r="K1240" s="49" t="s">
        <v>197</v>
      </c>
      <c r="L1240" s="49" t="s">
        <v>23</v>
      </c>
      <c r="M1240" s="36">
        <f t="shared" si="26"/>
        <v>45712.62859</v>
      </c>
      <c r="N1240" s="30" t="str">
        <f t="shared" si="27"/>
        <v>Selesai</v>
      </c>
      <c r="O1240" s="45">
        <f t="shared" si="23"/>
        <v>45712.62859</v>
      </c>
      <c r="P1240" s="47" t="b">
        <v>1</v>
      </c>
      <c r="Q1240" s="36">
        <f t="shared" si="24"/>
        <v>45712.62895</v>
      </c>
      <c r="R1240" s="47" t="b">
        <v>0</v>
      </c>
      <c r="S1240" s="42" t="str">
        <f t="shared" si="28"/>
        <v/>
      </c>
      <c r="T1240" s="42"/>
    </row>
    <row r="1241" ht="22.5" customHeight="1">
      <c r="B1241" s="42">
        <f t="shared" si="7"/>
        <v>1235</v>
      </c>
      <c r="C1241" s="31" t="s">
        <v>1372</v>
      </c>
      <c r="D1241" s="34" t="str">
        <f t="array" ref="D1241">IFNA(_xlfn.XLOOKUP(C1241,Table_Tarikan_Warkah[Nomor Sertipikat],Table_Tarikan_Warkah[Nomor Tiket]),"")</f>
        <v>K/37/140225/1</v>
      </c>
      <c r="E1241" s="36">
        <f t="array" ref="E1241">IFNA(_xlfn.XLOOKUP(D1241,Table_Tarikan_Warkah[Nomor Tiket],Table_Tarikan_Warkah[Tanggal diserahkan kepada Validator]),"")</f>
        <v>45713.70766</v>
      </c>
      <c r="F1241" s="36" t="str">
        <f t="array" ref="F1241">IFNA(_xlfn.XLOOKUP(D1241,Table_Tarikan_Warkah[Nomor Tiket],Table_Tarikan_Warkah[Nama Petugas Warkah]),"")</f>
        <v/>
      </c>
      <c r="G1241" s="39" t="str">
        <f t="array" ref="G1241">IFNA(_xlfn.XLOOKUP(D1241,Table_Tarikan_Warkah[Nomor Tiket],Table_Tarikan_Warkah[Jenis Permohonan]),"")</f>
        <v>BN Jual Beli</v>
      </c>
      <c r="H1241" s="41" t="s">
        <v>11</v>
      </c>
      <c r="I1241" s="41" t="s">
        <v>23</v>
      </c>
      <c r="J1241" s="36">
        <f t="shared" si="20"/>
        <v>45709.72991</v>
      </c>
      <c r="K1241" s="49" t="s">
        <v>197</v>
      </c>
      <c r="L1241" s="49" t="s">
        <v>23</v>
      </c>
      <c r="M1241" s="36">
        <f t="shared" si="26"/>
        <v>45712.62864</v>
      </c>
      <c r="N1241" s="30" t="str">
        <f t="shared" si="27"/>
        <v>Selesai</v>
      </c>
      <c r="O1241" s="45">
        <f t="shared" si="23"/>
        <v>45712.62864</v>
      </c>
      <c r="P1241" s="47" t="b">
        <v>1</v>
      </c>
      <c r="Q1241" s="36">
        <f t="shared" si="24"/>
        <v>45712.62896</v>
      </c>
      <c r="R1241" s="47" t="b">
        <v>0</v>
      </c>
      <c r="S1241" s="42" t="str">
        <f t="shared" si="28"/>
        <v/>
      </c>
      <c r="T1241" s="42"/>
    </row>
    <row r="1242" ht="22.5" customHeight="1">
      <c r="B1242" s="42">
        <f t="shared" si="7"/>
        <v>1236</v>
      </c>
      <c r="C1242" s="31" t="s">
        <v>1373</v>
      </c>
      <c r="D1242" s="34" t="str">
        <f t="array" ref="D1242">IFNA(_xlfn.XLOOKUP(C1242,Table_Tarikan_Warkah[Nomor Sertipikat],Table_Tarikan_Warkah[Nomor Tiket]),"")</f>
        <v>L/12/190225/1</v>
      </c>
      <c r="E1242" s="36">
        <f t="array" ref="E1242">IFNA(_xlfn.XLOOKUP(D1242,Table_Tarikan_Warkah[Nomor Tiket],Table_Tarikan_Warkah[Tanggal diserahkan kepada Validator]),"")</f>
        <v>45713.70673</v>
      </c>
      <c r="F1242" s="36" t="str">
        <f t="array" ref="F1242">IFNA(_xlfn.XLOOKUP(D1242,Table_Tarikan_Warkah[Nomor Tiket],Table_Tarikan_Warkah[Nama Petugas Warkah]),"")</f>
        <v/>
      </c>
      <c r="G1242" s="39" t="str">
        <f t="array" ref="G1242">IFNA(_xlfn.XLOOKUP(D1242,Table_Tarikan_Warkah[Nomor Tiket],Table_Tarikan_Warkah[Jenis Permohonan]),"")</f>
        <v>BN JUAL- BELI</v>
      </c>
      <c r="H1242" s="41" t="s">
        <v>20</v>
      </c>
      <c r="I1242" s="49" t="s">
        <v>23</v>
      </c>
      <c r="J1242" s="36">
        <f t="shared" si="20"/>
        <v>45712.58629</v>
      </c>
      <c r="K1242" s="49" t="s">
        <v>197</v>
      </c>
      <c r="L1242" s="49" t="s">
        <v>23</v>
      </c>
      <c r="M1242" s="36">
        <f t="shared" si="26"/>
        <v>45712.58629</v>
      </c>
      <c r="N1242" s="30" t="str">
        <f t="shared" si="27"/>
        <v>Selesai</v>
      </c>
      <c r="O1242" s="45">
        <f t="shared" si="23"/>
        <v>45712.58629</v>
      </c>
      <c r="P1242" s="47" t="b">
        <v>1</v>
      </c>
      <c r="Q1242" s="36">
        <f t="shared" si="24"/>
        <v>45712.58629</v>
      </c>
      <c r="R1242" s="47" t="b">
        <v>0</v>
      </c>
      <c r="S1242" s="42" t="str">
        <f t="shared" si="28"/>
        <v/>
      </c>
      <c r="T1242" s="42"/>
    </row>
    <row r="1243" ht="22.5" customHeight="1">
      <c r="B1243" s="42">
        <f t="shared" si="7"/>
        <v>1237</v>
      </c>
      <c r="C1243" s="31" t="s">
        <v>1374</v>
      </c>
      <c r="D1243" s="34" t="str">
        <f t="array" ref="D1243">IFNA(_xlfn.XLOOKUP(C1243,Table_Tarikan_Warkah[Nomor Sertipikat],Table_Tarikan_Warkah[Nomor Tiket]),"")</f>
        <v>L/3/190225/1</v>
      </c>
      <c r="E1243" s="36">
        <f t="array" ref="E1243">IFNA(_xlfn.XLOOKUP(D1243,Table_Tarikan_Warkah[Nomor Tiket],Table_Tarikan_Warkah[Tanggal diserahkan kepada Validator]),"")</f>
        <v>45713.70723</v>
      </c>
      <c r="F1243" s="36" t="str">
        <f t="array" ref="F1243">IFNA(_xlfn.XLOOKUP(D1243,Table_Tarikan_Warkah[Nomor Tiket],Table_Tarikan_Warkah[Nama Petugas Warkah]),"")</f>
        <v/>
      </c>
      <c r="G1243" s="39" t="str">
        <f t="array" ref="G1243">IFNA(_xlfn.XLOOKUP(D1243,Table_Tarikan_Warkah[Nomor Tiket],Table_Tarikan_Warkah[Jenis Permohonan]),"")</f>
        <v>BN LELANG</v>
      </c>
      <c r="H1243" s="41" t="s">
        <v>20</v>
      </c>
      <c r="I1243" s="49" t="s">
        <v>23</v>
      </c>
      <c r="J1243" s="36">
        <f t="shared" si="20"/>
        <v>45713.51189</v>
      </c>
      <c r="K1243" s="49" t="s">
        <v>197</v>
      </c>
      <c r="L1243" s="49" t="s">
        <v>23</v>
      </c>
      <c r="M1243" s="36">
        <f t="shared" si="26"/>
        <v>45713.51194</v>
      </c>
      <c r="N1243" s="30" t="str">
        <f t="shared" si="27"/>
        <v>Selesai</v>
      </c>
      <c r="O1243" s="45">
        <f t="shared" si="23"/>
        <v>45713.51194</v>
      </c>
      <c r="P1243" s="47" t="b">
        <v>1</v>
      </c>
      <c r="Q1243" s="36">
        <f t="shared" si="24"/>
        <v>45713.51197</v>
      </c>
      <c r="R1243" s="47" t="b">
        <v>0</v>
      </c>
      <c r="S1243" s="42" t="str">
        <f t="shared" si="28"/>
        <v/>
      </c>
      <c r="T1243" s="42"/>
    </row>
    <row r="1244" ht="22.5" customHeight="1">
      <c r="B1244" s="42">
        <f t="shared" si="7"/>
        <v>1238</v>
      </c>
      <c r="C1244" s="31" t="s">
        <v>1375</v>
      </c>
      <c r="D1244" s="34" t="str">
        <f t="array" ref="D1244">IFNA(_xlfn.XLOOKUP(C1244,Table_Tarikan_Warkah[Nomor Sertipikat],Table_Tarikan_Warkah[Nomor Tiket]),"")</f>
        <v>L/7/200225/1</v>
      </c>
      <c r="E1244" s="36">
        <f t="array" ref="E1244">IFNA(_xlfn.XLOOKUP(D1244,Table_Tarikan_Warkah[Nomor Tiket],Table_Tarikan_Warkah[Tanggal diserahkan kepada Validator]),"")</f>
        <v>45715.648</v>
      </c>
      <c r="F1244" s="36" t="str">
        <f t="array" ref="F1244">IFNA(_xlfn.XLOOKUP(D1244,Table_Tarikan_Warkah[Nomor Tiket],Table_Tarikan_Warkah[Nama Petugas Warkah]),"")</f>
        <v/>
      </c>
      <c r="G1244" s="39" t="str">
        <f t="array" ref="G1244">IFNA(_xlfn.XLOOKUP(D1244,Table_Tarikan_Warkah[Nomor Tiket],Table_Tarikan_Warkah[Jenis Permohonan]),"")</f>
        <v>BN JUAL-BELI</v>
      </c>
      <c r="H1244" s="41" t="s">
        <v>20</v>
      </c>
      <c r="I1244" s="49" t="s">
        <v>23</v>
      </c>
      <c r="J1244" s="36">
        <f t="shared" si="20"/>
        <v>45714.68323</v>
      </c>
      <c r="K1244" s="49" t="s">
        <v>197</v>
      </c>
      <c r="L1244" s="49" t="s">
        <v>23</v>
      </c>
      <c r="M1244" s="36">
        <f t="shared" si="26"/>
        <v>45714.68327</v>
      </c>
      <c r="N1244" s="30" t="str">
        <f t="shared" si="27"/>
        <v>Selesai</v>
      </c>
      <c r="O1244" s="45">
        <f t="shared" si="23"/>
        <v>45714.68327</v>
      </c>
      <c r="P1244" s="47" t="b">
        <v>1</v>
      </c>
      <c r="Q1244" s="36">
        <f t="shared" si="24"/>
        <v>45714.68355</v>
      </c>
      <c r="R1244" s="47" t="b">
        <v>0</v>
      </c>
      <c r="S1244" s="42" t="str">
        <f t="shared" si="28"/>
        <v/>
      </c>
      <c r="T1244" s="42"/>
    </row>
    <row r="1245" ht="22.5" customHeight="1">
      <c r="B1245" s="42">
        <f t="shared" si="7"/>
        <v>1239</v>
      </c>
      <c r="C1245" s="31" t="s">
        <v>1376</v>
      </c>
      <c r="D1245" s="34" t="str">
        <f t="array" ref="D1245">IFNA(_xlfn.XLOOKUP(C1245,Table_Tarikan_Warkah[Nomor Sertipikat],Table_Tarikan_Warkah[Nomor Tiket]),"")</f>
        <v>L/2/170225/1</v>
      </c>
      <c r="E1245" s="36">
        <f t="array" ref="E1245">IFNA(_xlfn.XLOOKUP(D1245,Table_Tarikan_Warkah[Nomor Tiket],Table_Tarikan_Warkah[Tanggal diserahkan kepada Validator]),"")</f>
        <v>45715.648</v>
      </c>
      <c r="F1245" s="36" t="str">
        <f t="array" ref="F1245">IFNA(_xlfn.XLOOKUP(D1245,Table_Tarikan_Warkah[Nomor Tiket],Table_Tarikan_Warkah[Nama Petugas Warkah]),"")</f>
        <v/>
      </c>
      <c r="G1245" s="39" t="str">
        <f t="array" ref="G1245">IFNA(_xlfn.XLOOKUP(D1245,Table_Tarikan_Warkah[Nomor Tiket],Table_Tarikan_Warkah[Jenis Permohonan]),"")</f>
        <v>BN JUAL-BELI</v>
      </c>
      <c r="H1245" s="41" t="s">
        <v>20</v>
      </c>
      <c r="I1245" s="49" t="s">
        <v>23</v>
      </c>
      <c r="J1245" s="36">
        <f t="shared" si="20"/>
        <v>45714.68339</v>
      </c>
      <c r="K1245" s="49" t="s">
        <v>197</v>
      </c>
      <c r="L1245" s="49" t="s">
        <v>23</v>
      </c>
      <c r="M1245" s="36">
        <f t="shared" si="26"/>
        <v>45714.68343</v>
      </c>
      <c r="N1245" s="30" t="str">
        <f t="shared" si="27"/>
        <v>Selesai</v>
      </c>
      <c r="O1245" s="45">
        <f t="shared" si="23"/>
        <v>45714.68343</v>
      </c>
      <c r="P1245" s="47" t="b">
        <v>1</v>
      </c>
      <c r="Q1245" s="36">
        <f t="shared" si="24"/>
        <v>45714.68356</v>
      </c>
      <c r="R1245" s="47" t="b">
        <v>0</v>
      </c>
      <c r="S1245" s="42" t="str">
        <f t="shared" si="28"/>
        <v/>
      </c>
      <c r="T1245" s="42"/>
    </row>
    <row r="1246" ht="22.5" customHeight="1">
      <c r="B1246" s="42">
        <f t="shared" si="7"/>
        <v>1240</v>
      </c>
      <c r="C1246" s="31" t="s">
        <v>1377</v>
      </c>
      <c r="D1246" s="34" t="str">
        <f t="array" ref="D1246">IFNA(_xlfn.XLOOKUP(C1246,Table_Tarikan_Warkah[Nomor Sertipikat],Table_Tarikan_Warkah[Nomor Tiket]),"")</f>
        <v>K/7/170225/1</v>
      </c>
      <c r="E1246" s="36">
        <f t="array" ref="E1246">IFNA(_xlfn.XLOOKUP(D1246,Table_Tarikan_Warkah[Nomor Tiket],Table_Tarikan_Warkah[Tanggal diserahkan kepada Validator]),"")</f>
        <v>45720.56627</v>
      </c>
      <c r="F1246" s="36" t="str">
        <f t="array" ref="F1246">IFNA(_xlfn.XLOOKUP(D1246,Table_Tarikan_Warkah[Nomor Tiket],Table_Tarikan_Warkah[Nama Petugas Warkah]),"")</f>
        <v/>
      </c>
      <c r="G1246" s="39" t="str">
        <f t="array" ref="G1246">IFNA(_xlfn.XLOOKUP(D1246,Table_Tarikan_Warkah[Nomor Tiket],Table_Tarikan_Warkah[Jenis Permohonan]),"")</f>
        <v>Roya</v>
      </c>
      <c r="H1246" s="41" t="s">
        <v>11</v>
      </c>
      <c r="I1246" s="49" t="s">
        <v>23</v>
      </c>
      <c r="J1246" s="36">
        <f t="shared" si="20"/>
        <v>45715.55305</v>
      </c>
      <c r="K1246" s="41" t="s">
        <v>197</v>
      </c>
      <c r="L1246" s="49" t="s">
        <v>23</v>
      </c>
      <c r="M1246" s="36">
        <f t="shared" si="26"/>
        <v>45716.57236</v>
      </c>
      <c r="N1246" s="30" t="str">
        <f t="shared" si="27"/>
        <v>Selesai</v>
      </c>
      <c r="O1246" s="45">
        <f t="shared" si="23"/>
        <v>45716.57236</v>
      </c>
      <c r="P1246" s="47" t="b">
        <v>1</v>
      </c>
      <c r="Q1246" s="36">
        <f t="shared" si="24"/>
        <v>45716.57287</v>
      </c>
      <c r="R1246" s="47" t="b">
        <v>0</v>
      </c>
      <c r="S1246" s="42" t="str">
        <f t="shared" si="28"/>
        <v/>
      </c>
      <c r="T1246" s="42"/>
    </row>
    <row r="1247" ht="22.5" customHeight="1">
      <c r="B1247" s="42">
        <f t="shared" si="7"/>
        <v>1241</v>
      </c>
      <c r="C1247" s="31" t="s">
        <v>1378</v>
      </c>
      <c r="D1247" s="34" t="str">
        <f t="array" ref="D1247">IFNA(_xlfn.XLOOKUP(C1247,Table_Tarikan_Warkah[Nomor Sertipikat],Table_Tarikan_Warkah[Nomor Tiket]),"")</f>
        <v>K/22/110225/1</v>
      </c>
      <c r="E1247" s="36">
        <f t="array" ref="E1247">IFNA(_xlfn.XLOOKUP(D1247,Table_Tarikan_Warkah[Nomor Tiket],Table_Tarikan_Warkah[Tanggal diserahkan kepada Validator]),"")</f>
        <v>45720.4392</v>
      </c>
      <c r="F1247" s="36" t="str">
        <f t="array" ref="F1247">IFNA(_xlfn.XLOOKUP(D1247,Table_Tarikan_Warkah[Nomor Tiket],Table_Tarikan_Warkah[Nama Petugas Warkah]),"")</f>
        <v/>
      </c>
      <c r="G1247" s="39" t="str">
        <f t="array" ref="G1247">IFNA(_xlfn.XLOOKUP(D1247,Table_Tarikan_Warkah[Nomor Tiket],Table_Tarikan_Warkah[Jenis Permohonan]),"")</f>
        <v>BN JUAL BEL</v>
      </c>
      <c r="H1247" s="41" t="s">
        <v>20</v>
      </c>
      <c r="I1247" s="49" t="s">
        <v>23</v>
      </c>
      <c r="J1247" s="36">
        <f t="shared" si="20"/>
        <v>45715.56483</v>
      </c>
      <c r="K1247" s="49" t="s">
        <v>197</v>
      </c>
      <c r="L1247" s="49" t="s">
        <v>23</v>
      </c>
      <c r="M1247" s="36">
        <f t="shared" si="26"/>
        <v>45716.57236</v>
      </c>
      <c r="N1247" s="30" t="str">
        <f t="shared" si="27"/>
        <v>Selesai</v>
      </c>
      <c r="O1247" s="45">
        <f t="shared" si="23"/>
        <v>45716.57236</v>
      </c>
      <c r="P1247" s="47" t="b">
        <v>1</v>
      </c>
      <c r="Q1247" s="36">
        <f t="shared" si="24"/>
        <v>45716.57288</v>
      </c>
      <c r="R1247" s="47" t="b">
        <v>0</v>
      </c>
      <c r="S1247" s="42" t="str">
        <f t="shared" si="28"/>
        <v/>
      </c>
      <c r="T1247" s="42"/>
    </row>
    <row r="1248" ht="22.5" customHeight="1">
      <c r="B1248" s="42">
        <f t="shared" si="7"/>
        <v>1242</v>
      </c>
      <c r="C1248" s="31" t="s">
        <v>1379</v>
      </c>
      <c r="D1248" s="34" t="str">
        <f t="array" ref="D1248">IFNA(_xlfn.XLOOKUP(C1248,Table_Tarikan_Warkah[Nomor Sertipikat],Table_Tarikan_Warkah[Nomor Tiket]),"")</f>
        <v>K/35/210225/2</v>
      </c>
      <c r="E1248" s="36">
        <f t="array" ref="E1248">IFNA(_xlfn.XLOOKUP(D1248,Table_Tarikan_Warkah[Nomor Tiket],Table_Tarikan_Warkah[Tanggal diserahkan kepada Validator]),"")</f>
        <v>45720.4392</v>
      </c>
      <c r="F1248" s="36" t="str">
        <f t="array" ref="F1248">IFNA(_xlfn.XLOOKUP(D1248,Table_Tarikan_Warkah[Nomor Tiket],Table_Tarikan_Warkah[Nama Petugas Warkah]),"")</f>
        <v/>
      </c>
      <c r="G1248" s="39" t="str">
        <f t="array" ref="G1248">IFNA(_xlfn.XLOOKUP(D1248,Table_Tarikan_Warkah[Nomor Tiket],Table_Tarikan_Warkah[Jenis Permohonan]),"")</f>
        <v>BN HIBAH</v>
      </c>
      <c r="H1248" s="41" t="s">
        <v>20</v>
      </c>
      <c r="I1248" s="49" t="s">
        <v>23</v>
      </c>
      <c r="J1248" s="36">
        <f t="shared" si="20"/>
        <v>45715.56499</v>
      </c>
      <c r="K1248" s="41" t="s">
        <v>197</v>
      </c>
      <c r="L1248" s="49" t="s">
        <v>23</v>
      </c>
      <c r="M1248" s="36">
        <f t="shared" si="26"/>
        <v>45716.57236</v>
      </c>
      <c r="N1248" s="30" t="str">
        <f t="shared" si="27"/>
        <v>Selesai</v>
      </c>
      <c r="O1248" s="45">
        <f t="shared" si="23"/>
        <v>45716.57236</v>
      </c>
      <c r="P1248" s="47" t="b">
        <v>1</v>
      </c>
      <c r="Q1248" s="36">
        <f t="shared" si="24"/>
        <v>45716.57288</v>
      </c>
      <c r="R1248" s="47" t="b">
        <v>0</v>
      </c>
      <c r="S1248" s="42" t="str">
        <f t="shared" si="28"/>
        <v/>
      </c>
      <c r="T1248" s="42"/>
    </row>
    <row r="1249" ht="22.5" customHeight="1">
      <c r="B1249" s="42">
        <f t="shared" si="7"/>
        <v>1243</v>
      </c>
      <c r="C1249" s="31" t="s">
        <v>1380</v>
      </c>
      <c r="D1249" s="34" t="str">
        <f t="array" ref="D1249">IFNA(_xlfn.XLOOKUP(C1249,Table_Tarikan_Warkah[Nomor Sertipikat],Table_Tarikan_Warkah[Nomor Tiket]),"")</f>
        <v>K/39/200225/1</v>
      </c>
      <c r="E1249" s="36">
        <f t="array" ref="E1249">IFNA(_xlfn.XLOOKUP(D1249,Table_Tarikan_Warkah[Nomor Tiket],Table_Tarikan_Warkah[Tanggal diserahkan kepada Validator]),"")</f>
        <v>45720.4392</v>
      </c>
      <c r="F1249" s="36" t="str">
        <f t="array" ref="F1249">IFNA(_xlfn.XLOOKUP(D1249,Table_Tarikan_Warkah[Nomor Tiket],Table_Tarikan_Warkah[Nama Petugas Warkah]),"")</f>
        <v/>
      </c>
      <c r="G1249" s="39" t="str">
        <f t="array" ref="G1249">IFNA(_xlfn.XLOOKUP(D1249,Table_Tarikan_Warkah[Nomor Tiket],Table_Tarikan_Warkah[Jenis Permohonan]),"")</f>
        <v>BN JUAL BELI</v>
      </c>
      <c r="H1249" s="41" t="s">
        <v>20</v>
      </c>
      <c r="I1249" s="49" t="s">
        <v>23</v>
      </c>
      <c r="J1249" s="36">
        <f t="shared" si="20"/>
        <v>45715.5651</v>
      </c>
      <c r="K1249" s="41" t="s">
        <v>197</v>
      </c>
      <c r="L1249" s="49" t="s">
        <v>23</v>
      </c>
      <c r="M1249" s="36">
        <f t="shared" si="26"/>
        <v>45716.57236</v>
      </c>
      <c r="N1249" s="30" t="str">
        <f t="shared" si="27"/>
        <v>Selesai</v>
      </c>
      <c r="O1249" s="45">
        <f t="shared" si="23"/>
        <v>45716.57236</v>
      </c>
      <c r="P1249" s="47" t="b">
        <v>1</v>
      </c>
      <c r="Q1249" s="36">
        <f t="shared" si="24"/>
        <v>45716.57289</v>
      </c>
      <c r="R1249" s="47" t="b">
        <v>0</v>
      </c>
      <c r="S1249" s="42" t="str">
        <f t="shared" si="28"/>
        <v/>
      </c>
      <c r="T1249" s="42"/>
    </row>
    <row r="1250" ht="22.5" customHeight="1">
      <c r="B1250" s="42">
        <f t="shared" si="7"/>
        <v>1244</v>
      </c>
      <c r="C1250" s="31" t="s">
        <v>1381</v>
      </c>
      <c r="D1250" s="34" t="str">
        <f t="array" ref="D1250">IFNA(_xlfn.XLOOKUP(C1250,Table_Tarikan_Warkah[Nomor Sertipikat],Table_Tarikan_Warkah[Nomor Tiket]),"")</f>
        <v>K/27/140225/2</v>
      </c>
      <c r="E1250" s="36">
        <f t="array" ref="E1250">IFNA(_xlfn.XLOOKUP(D1250,Table_Tarikan_Warkah[Nomor Tiket],Table_Tarikan_Warkah[Tanggal diserahkan kepada Validator]),"")</f>
        <v>45720.4392</v>
      </c>
      <c r="F1250" s="36" t="str">
        <f t="array" ref="F1250">IFNA(_xlfn.XLOOKUP(D1250,Table_Tarikan_Warkah[Nomor Tiket],Table_Tarikan_Warkah[Nama Petugas Warkah]),"")</f>
        <v/>
      </c>
      <c r="G1250" s="39" t="str">
        <f t="array" ref="G1250">IFNA(_xlfn.XLOOKUP(D1250,Table_Tarikan_Warkah[Nomor Tiket],Table_Tarikan_Warkah[Jenis Permohonan]),"")</f>
        <v>BN JUAL BELI</v>
      </c>
      <c r="H1250" s="41" t="s">
        <v>20</v>
      </c>
      <c r="I1250" s="49" t="s">
        <v>23</v>
      </c>
      <c r="J1250" s="36">
        <f t="shared" si="20"/>
        <v>45715.56523</v>
      </c>
      <c r="K1250" s="49" t="s">
        <v>197</v>
      </c>
      <c r="L1250" s="49" t="s">
        <v>23</v>
      </c>
      <c r="M1250" s="36">
        <f t="shared" si="26"/>
        <v>45716.57236</v>
      </c>
      <c r="N1250" s="30" t="str">
        <f t="shared" si="27"/>
        <v>Selesai</v>
      </c>
      <c r="O1250" s="45">
        <f t="shared" si="23"/>
        <v>45716.57236</v>
      </c>
      <c r="P1250" s="47" t="b">
        <v>1</v>
      </c>
      <c r="Q1250" s="36">
        <f t="shared" si="24"/>
        <v>45716.5729</v>
      </c>
      <c r="R1250" s="47" t="b">
        <v>0</v>
      </c>
      <c r="S1250" s="42" t="str">
        <f t="shared" si="28"/>
        <v/>
      </c>
      <c r="T1250" s="42"/>
    </row>
    <row r="1251" ht="22.5" customHeight="1">
      <c r="B1251" s="42">
        <f t="shared" si="7"/>
        <v>1245</v>
      </c>
      <c r="C1251" s="31" t="s">
        <v>1382</v>
      </c>
      <c r="D1251" s="34" t="str">
        <f t="array" ref="D1251">IFNA(_xlfn.XLOOKUP(C1251,Table_Tarikan_Warkah[Nomor Sertipikat],Table_Tarikan_Warkah[Nomor Tiket]),"")</f>
        <v>K/36/210225/3</v>
      </c>
      <c r="E1251" s="36">
        <f t="array" ref="E1251">IFNA(_xlfn.XLOOKUP(D1251,Table_Tarikan_Warkah[Nomor Tiket],Table_Tarikan_Warkah[Tanggal diserahkan kepada Validator]),"")</f>
        <v>45720.4392</v>
      </c>
      <c r="F1251" s="36" t="str">
        <f t="array" ref="F1251">IFNA(_xlfn.XLOOKUP(D1251,Table_Tarikan_Warkah[Nomor Tiket],Table_Tarikan_Warkah[Nama Petugas Warkah]),"")</f>
        <v/>
      </c>
      <c r="G1251" s="39" t="str">
        <f t="array" ref="G1251">IFNA(_xlfn.XLOOKUP(D1251,Table_Tarikan_Warkah[Nomor Tiket],Table_Tarikan_Warkah[Jenis Permohonan]),"")</f>
        <v>BN JUAL BELI</v>
      </c>
      <c r="H1251" s="41" t="s">
        <v>11</v>
      </c>
      <c r="I1251" s="49" t="s">
        <v>23</v>
      </c>
      <c r="J1251" s="36">
        <f t="shared" si="20"/>
        <v>45720.55091</v>
      </c>
      <c r="K1251" s="49" t="s">
        <v>197</v>
      </c>
      <c r="L1251" s="49" t="s">
        <v>23</v>
      </c>
      <c r="M1251" s="36">
        <f t="shared" si="26"/>
        <v>45716.57236</v>
      </c>
      <c r="N1251" s="30" t="str">
        <f t="shared" si="27"/>
        <v>Selesai</v>
      </c>
      <c r="O1251" s="45">
        <f t="shared" si="23"/>
        <v>45716.57236</v>
      </c>
      <c r="P1251" s="47" t="b">
        <v>1</v>
      </c>
      <c r="Q1251" s="36">
        <f t="shared" si="24"/>
        <v>45716.57291</v>
      </c>
      <c r="R1251" s="47" t="b">
        <v>0</v>
      </c>
      <c r="S1251" s="42" t="str">
        <f t="shared" si="28"/>
        <v/>
      </c>
      <c r="T1251" s="42"/>
    </row>
    <row r="1252" ht="22.5" customHeight="1">
      <c r="B1252" s="42">
        <f t="shared" si="7"/>
        <v>1246</v>
      </c>
      <c r="C1252" s="31" t="s">
        <v>1383</v>
      </c>
      <c r="D1252" s="34" t="str">
        <f t="array" ref="D1252">IFNA(_xlfn.XLOOKUP(C1252,Table_Tarikan_Warkah[Nomor Sertipikat],Table_Tarikan_Warkah[Nomor Tiket]),"")</f>
        <v>K/18/120225/1</v>
      </c>
      <c r="E1252" s="36">
        <f t="array" ref="E1252">IFNA(_xlfn.XLOOKUP(D1252,Table_Tarikan_Warkah[Nomor Tiket],Table_Tarikan_Warkah[Tanggal diserahkan kepada Validator]),"")</f>
        <v>45720.4392</v>
      </c>
      <c r="F1252" s="36" t="str">
        <f t="array" ref="F1252">IFNA(_xlfn.XLOOKUP(D1252,Table_Tarikan_Warkah[Nomor Tiket],Table_Tarikan_Warkah[Nama Petugas Warkah]),"")</f>
        <v/>
      </c>
      <c r="G1252" s="39" t="str">
        <f t="array" ref="G1252">IFNA(_xlfn.XLOOKUP(D1252,Table_Tarikan_Warkah[Nomor Tiket],Table_Tarikan_Warkah[Jenis Permohonan]),"")</f>
        <v>BN Jual Beli</v>
      </c>
      <c r="H1252" s="41" t="s">
        <v>11</v>
      </c>
      <c r="I1252" s="49" t="s">
        <v>23</v>
      </c>
      <c r="J1252" s="36">
        <f t="shared" si="20"/>
        <v>45720.55103</v>
      </c>
      <c r="K1252" s="41" t="s">
        <v>197</v>
      </c>
      <c r="L1252" s="49" t="s">
        <v>23</v>
      </c>
      <c r="M1252" s="36">
        <f t="shared" si="26"/>
        <v>45716.5724</v>
      </c>
      <c r="N1252" s="30" t="str">
        <f t="shared" si="27"/>
        <v>Selesai</v>
      </c>
      <c r="O1252" s="45">
        <f t="shared" si="23"/>
        <v>45716.5724</v>
      </c>
      <c r="P1252" s="47" t="b">
        <v>1</v>
      </c>
      <c r="Q1252" s="36">
        <f t="shared" si="24"/>
        <v>45716.57292</v>
      </c>
      <c r="R1252" s="47" t="b">
        <v>0</v>
      </c>
      <c r="S1252" s="42" t="str">
        <f t="shared" si="28"/>
        <v/>
      </c>
      <c r="T1252" s="42"/>
    </row>
    <row r="1253" ht="22.5" customHeight="1">
      <c r="B1253" s="42">
        <f t="shared" si="7"/>
        <v>1247</v>
      </c>
      <c r="C1253" s="31" t="s">
        <v>1384</v>
      </c>
      <c r="D1253" s="34" t="str">
        <f t="array" ref="D1253">IFNA(_xlfn.XLOOKUP(C1253,Table_Tarikan_Warkah[Nomor Sertipikat],Table_Tarikan_Warkah[Nomor Tiket]),"")</f>
        <v>K/36/210225/1</v>
      </c>
      <c r="E1253" s="36">
        <f t="array" ref="E1253">IFNA(_xlfn.XLOOKUP(D1253,Table_Tarikan_Warkah[Nomor Tiket],Table_Tarikan_Warkah[Tanggal diserahkan kepada Validator]),"")</f>
        <v>45720.4392</v>
      </c>
      <c r="F1253" s="36" t="str">
        <f t="array" ref="F1253">IFNA(_xlfn.XLOOKUP(D1253,Table_Tarikan_Warkah[Nomor Tiket],Table_Tarikan_Warkah[Nama Petugas Warkah]),"")</f>
        <v/>
      </c>
      <c r="G1253" s="39" t="str">
        <f t="array" ref="G1253">IFNA(_xlfn.XLOOKUP(D1253,Table_Tarikan_Warkah[Nomor Tiket],Table_Tarikan_Warkah[Jenis Permohonan]),"")</f>
        <v>BN Jual Beli</v>
      </c>
      <c r="H1253" s="41" t="s">
        <v>11</v>
      </c>
      <c r="I1253" s="49" t="s">
        <v>23</v>
      </c>
      <c r="J1253" s="36">
        <f t="shared" si="20"/>
        <v>45720.55103</v>
      </c>
      <c r="K1253" s="49" t="s">
        <v>197</v>
      </c>
      <c r="L1253" s="49" t="s">
        <v>23</v>
      </c>
      <c r="M1253" s="36">
        <f t="shared" si="26"/>
        <v>45716.5724</v>
      </c>
      <c r="N1253" s="30" t="str">
        <f t="shared" si="27"/>
        <v>Selesai</v>
      </c>
      <c r="O1253" s="45">
        <f t="shared" si="23"/>
        <v>45716.5724</v>
      </c>
      <c r="P1253" s="47" t="b">
        <v>1</v>
      </c>
      <c r="Q1253" s="36">
        <f t="shared" si="24"/>
        <v>45716.57303</v>
      </c>
      <c r="R1253" s="47" t="b">
        <v>0</v>
      </c>
      <c r="S1253" s="42" t="str">
        <f t="shared" si="28"/>
        <v/>
      </c>
      <c r="T1253" s="42"/>
    </row>
    <row r="1254" ht="22.5" customHeight="1">
      <c r="B1254" s="42">
        <f t="shared" si="7"/>
        <v>1248</v>
      </c>
      <c r="C1254" s="31" t="s">
        <v>1385</v>
      </c>
      <c r="D1254" s="34" t="str">
        <f t="array" ref="D1254">IFNA(_xlfn.XLOOKUP(C1254,Table_Tarikan_Warkah[Nomor Sertipikat],Table_Tarikan_Warkah[Nomor Tiket]),"")</f>
        <v>K/19/210225/1</v>
      </c>
      <c r="E1254" s="36">
        <f t="array" ref="E1254">IFNA(_xlfn.XLOOKUP(D1254,Table_Tarikan_Warkah[Nomor Tiket],Table_Tarikan_Warkah[Tanggal diserahkan kepada Validator]),"")</f>
        <v>45720.4392</v>
      </c>
      <c r="F1254" s="36" t="str">
        <f t="array" ref="F1254">IFNA(_xlfn.XLOOKUP(D1254,Table_Tarikan_Warkah[Nomor Tiket],Table_Tarikan_Warkah[Nama Petugas Warkah]),"")</f>
        <v/>
      </c>
      <c r="G1254" s="39" t="str">
        <f t="array" ref="G1254">IFNA(_xlfn.XLOOKUP(D1254,Table_Tarikan_Warkah[Nomor Tiket],Table_Tarikan_Warkah[Jenis Permohonan]),"")</f>
        <v>BN Jual Beli</v>
      </c>
      <c r="H1254" s="41" t="s">
        <v>11</v>
      </c>
      <c r="I1254" s="49" t="s">
        <v>23</v>
      </c>
      <c r="J1254" s="36">
        <f t="shared" si="20"/>
        <v>45720.55103</v>
      </c>
      <c r="K1254" s="41" t="s">
        <v>197</v>
      </c>
      <c r="L1254" s="49" t="s">
        <v>23</v>
      </c>
      <c r="M1254" s="36">
        <f t="shared" si="26"/>
        <v>45716.5724</v>
      </c>
      <c r="N1254" s="30" t="str">
        <f t="shared" si="27"/>
        <v>Selesai</v>
      </c>
      <c r="O1254" s="45">
        <f t="shared" si="23"/>
        <v>45716.5724</v>
      </c>
      <c r="P1254" s="47" t="b">
        <v>1</v>
      </c>
      <c r="Q1254" s="36">
        <f t="shared" si="24"/>
        <v>45716.57303</v>
      </c>
      <c r="R1254" s="47" t="b">
        <v>0</v>
      </c>
      <c r="S1254" s="42" t="str">
        <f t="shared" si="28"/>
        <v/>
      </c>
      <c r="T1254" s="42"/>
    </row>
    <row r="1255" ht="22.5" customHeight="1">
      <c r="B1255" s="42">
        <f t="shared" si="7"/>
        <v>1249</v>
      </c>
      <c r="C1255" s="31" t="s">
        <v>1386</v>
      </c>
      <c r="D1255" s="34" t="str">
        <f t="array" ref="D1255">IFNA(_xlfn.XLOOKUP(C1255,Table_Tarikan_Warkah[Nomor Sertipikat],Table_Tarikan_Warkah[Nomor Tiket]),"")</f>
        <v>K/26/120225/1</v>
      </c>
      <c r="E1255" s="36">
        <f t="array" ref="E1255">IFNA(_xlfn.XLOOKUP(D1255,Table_Tarikan_Warkah[Nomor Tiket],Table_Tarikan_Warkah[Tanggal diserahkan kepada Validator]),"")</f>
        <v>45720.4392</v>
      </c>
      <c r="F1255" s="36" t="str">
        <f t="array" ref="F1255">IFNA(_xlfn.XLOOKUP(D1255,Table_Tarikan_Warkah[Nomor Tiket],Table_Tarikan_Warkah[Nama Petugas Warkah]),"")</f>
        <v/>
      </c>
      <c r="G1255" s="39" t="str">
        <f t="array" ref="G1255">IFNA(_xlfn.XLOOKUP(D1255,Table_Tarikan_Warkah[Nomor Tiket],Table_Tarikan_Warkah[Jenis Permohonan]),"")</f>
        <v>BN Jual Beli</v>
      </c>
      <c r="H1255" s="41" t="s">
        <v>11</v>
      </c>
      <c r="I1255" s="49" t="s">
        <v>23</v>
      </c>
      <c r="J1255" s="36">
        <f t="shared" si="20"/>
        <v>45720.55103</v>
      </c>
      <c r="K1255" s="41" t="s">
        <v>197</v>
      </c>
      <c r="L1255" s="49" t="s">
        <v>23</v>
      </c>
      <c r="M1255" s="36">
        <f t="shared" si="26"/>
        <v>45716.5724</v>
      </c>
      <c r="N1255" s="30" t="str">
        <f t="shared" si="27"/>
        <v>Selesai</v>
      </c>
      <c r="O1255" s="45">
        <f t="shared" si="23"/>
        <v>45716.5724</v>
      </c>
      <c r="P1255" s="47" t="b">
        <v>1</v>
      </c>
      <c r="Q1255" s="36">
        <f t="shared" si="24"/>
        <v>45716.57303</v>
      </c>
      <c r="R1255" s="47" t="b">
        <v>0</v>
      </c>
      <c r="S1255" s="42" t="str">
        <f t="shared" si="28"/>
        <v/>
      </c>
      <c r="T1255" s="42"/>
    </row>
    <row r="1256" ht="22.5" customHeight="1">
      <c r="B1256" s="42">
        <f t="shared" si="7"/>
        <v>1250</v>
      </c>
      <c r="C1256" s="31" t="s">
        <v>1387</v>
      </c>
      <c r="D1256" s="34" t="str">
        <f t="array" ref="D1256">IFNA(_xlfn.XLOOKUP(C1256,Table_Tarikan_Warkah[Nomor Sertipikat],Table_Tarikan_Warkah[Nomor Tiket]),"")</f>
        <v>K/43/210225/4</v>
      </c>
      <c r="E1256" s="36">
        <f t="array" ref="E1256">IFNA(_xlfn.XLOOKUP(D1256,Table_Tarikan_Warkah[Nomor Tiket],Table_Tarikan_Warkah[Tanggal diserahkan kepada Validator]),"")</f>
        <v>45720.4392</v>
      </c>
      <c r="F1256" s="36" t="str">
        <f t="array" ref="F1256">IFNA(_xlfn.XLOOKUP(D1256,Table_Tarikan_Warkah[Nomor Tiket],Table_Tarikan_Warkah[Nama Petugas Warkah]),"")</f>
        <v/>
      </c>
      <c r="G1256" s="39" t="str">
        <f t="array" ref="G1256">IFNA(_xlfn.XLOOKUP(D1256,Table_Tarikan_Warkah[Nomor Tiket],Table_Tarikan_Warkah[Jenis Permohonan]),"")</f>
        <v>BN JUAL BELI</v>
      </c>
      <c r="H1256" s="41" t="s">
        <v>11</v>
      </c>
      <c r="I1256" s="49" t="s">
        <v>23</v>
      </c>
      <c r="J1256" s="36">
        <f t="shared" si="20"/>
        <v>45720.55103</v>
      </c>
      <c r="K1256" s="49" t="s">
        <v>197</v>
      </c>
      <c r="L1256" s="49" t="s">
        <v>23</v>
      </c>
      <c r="M1256" s="36">
        <f t="shared" si="26"/>
        <v>45716.5724</v>
      </c>
      <c r="N1256" s="30" t="str">
        <f t="shared" si="27"/>
        <v>Selesai</v>
      </c>
      <c r="O1256" s="45">
        <f t="shared" si="23"/>
        <v>45716.5724</v>
      </c>
      <c r="P1256" s="47" t="b">
        <v>1</v>
      </c>
      <c r="Q1256" s="36">
        <f t="shared" si="24"/>
        <v>45716.57303</v>
      </c>
      <c r="R1256" s="47" t="b">
        <v>0</v>
      </c>
      <c r="S1256" s="42" t="str">
        <f t="shared" si="28"/>
        <v/>
      </c>
      <c r="T1256" s="42"/>
    </row>
    <row r="1257" ht="22.5" customHeight="1">
      <c r="B1257" s="42">
        <f t="shared" si="7"/>
        <v>1251</v>
      </c>
      <c r="C1257" s="31" t="s">
        <v>1388</v>
      </c>
      <c r="D1257" s="34" t="str">
        <f t="array" ref="D1257">IFNA(_xlfn.XLOOKUP(C1257,Table_Tarikan_Warkah[Nomor Sertipikat],Table_Tarikan_Warkah[Nomor Tiket]),"")</f>
        <v>K/37/210225/1</v>
      </c>
      <c r="E1257" s="36">
        <f t="array" ref="E1257">IFNA(_xlfn.XLOOKUP(D1257,Table_Tarikan_Warkah[Nomor Tiket],Table_Tarikan_Warkah[Tanggal diserahkan kepada Validator]),"")</f>
        <v>45720.4392</v>
      </c>
      <c r="F1257" s="36" t="str">
        <f t="array" ref="F1257">IFNA(_xlfn.XLOOKUP(D1257,Table_Tarikan_Warkah[Nomor Tiket],Table_Tarikan_Warkah[Nama Petugas Warkah]),"")</f>
        <v/>
      </c>
      <c r="G1257" s="39" t="str">
        <f t="array" ref="G1257">IFNA(_xlfn.XLOOKUP(D1257,Table_Tarikan_Warkah[Nomor Tiket],Table_Tarikan_Warkah[Jenis Permohonan]),"")</f>
        <v>JUAL BELI</v>
      </c>
      <c r="H1257" s="41" t="s">
        <v>11</v>
      </c>
      <c r="I1257" s="49" t="s">
        <v>23</v>
      </c>
      <c r="J1257" s="36">
        <f t="shared" si="20"/>
        <v>45720.55103</v>
      </c>
      <c r="K1257" s="49" t="s">
        <v>197</v>
      </c>
      <c r="L1257" s="49" t="s">
        <v>23</v>
      </c>
      <c r="M1257" s="36">
        <f t="shared" si="26"/>
        <v>45716.5724</v>
      </c>
      <c r="N1257" s="30" t="str">
        <f t="shared" si="27"/>
        <v>Selesai</v>
      </c>
      <c r="O1257" s="45">
        <f t="shared" si="23"/>
        <v>45716.5724</v>
      </c>
      <c r="P1257" s="47" t="b">
        <v>1</v>
      </c>
      <c r="Q1257" s="36">
        <f t="shared" si="24"/>
        <v>45716.57303</v>
      </c>
      <c r="R1257" s="47" t="b">
        <v>0</v>
      </c>
      <c r="S1257" s="42" t="str">
        <f t="shared" si="28"/>
        <v/>
      </c>
      <c r="T1257" s="42"/>
    </row>
    <row r="1258" ht="22.5" customHeight="1">
      <c r="B1258" s="42">
        <f t="shared" si="7"/>
        <v>1252</v>
      </c>
      <c r="C1258" s="31" t="s">
        <v>1389</v>
      </c>
      <c r="D1258" s="34" t="str">
        <f t="array" ref="D1258">IFNA(_xlfn.XLOOKUP(C1258,Table_Tarikan_Warkah[Nomor Sertipikat],Table_Tarikan_Warkah[Nomor Tiket]),"")</f>
        <v>K/8/210225/3</v>
      </c>
      <c r="E1258" s="36">
        <f t="array" ref="E1258">IFNA(_xlfn.XLOOKUP(D1258,Table_Tarikan_Warkah[Nomor Tiket],Table_Tarikan_Warkah[Tanggal diserahkan kepada Validator]),"")</f>
        <v>45720.4392</v>
      </c>
      <c r="F1258" s="36" t="str">
        <f t="array" ref="F1258">IFNA(_xlfn.XLOOKUP(D1258,Table_Tarikan_Warkah[Nomor Tiket],Table_Tarikan_Warkah[Nama Petugas Warkah]),"")</f>
        <v/>
      </c>
      <c r="G1258" s="39" t="str">
        <f t="array" ref="G1258">IFNA(_xlfn.XLOOKUP(D1258,Table_Tarikan_Warkah[Nomor Tiket],Table_Tarikan_Warkah[Jenis Permohonan]),"")</f>
        <v>JUAL BELI</v>
      </c>
      <c r="H1258" s="41" t="s">
        <v>11</v>
      </c>
      <c r="I1258" s="49" t="s">
        <v>23</v>
      </c>
      <c r="J1258" s="36">
        <f t="shared" si="20"/>
        <v>45720.55103</v>
      </c>
      <c r="K1258" s="41" t="s">
        <v>197</v>
      </c>
      <c r="L1258" s="49" t="s">
        <v>23</v>
      </c>
      <c r="M1258" s="36">
        <f t="shared" si="26"/>
        <v>45716.57252</v>
      </c>
      <c r="N1258" s="30" t="str">
        <f t="shared" si="27"/>
        <v>Selesai</v>
      </c>
      <c r="O1258" s="45">
        <f t="shared" si="23"/>
        <v>45716.57252</v>
      </c>
      <c r="P1258" s="47" t="b">
        <v>1</v>
      </c>
      <c r="Q1258" s="36">
        <f t="shared" si="24"/>
        <v>45716.57303</v>
      </c>
      <c r="R1258" s="47" t="b">
        <v>0</v>
      </c>
      <c r="S1258" s="42" t="str">
        <f t="shared" si="28"/>
        <v/>
      </c>
      <c r="T1258" s="42"/>
    </row>
    <row r="1259" ht="22.5" customHeight="1">
      <c r="B1259" s="42">
        <f t="shared" si="7"/>
        <v>1253</v>
      </c>
      <c r="C1259" s="31" t="s">
        <v>1390</v>
      </c>
      <c r="D1259" s="34" t="str">
        <f t="array" ref="D1259">IFNA(_xlfn.XLOOKUP(C1259,Table_Tarikan_Warkah[Nomor Sertipikat],Table_Tarikan_Warkah[Nomor Tiket]),"")</f>
        <v>K/21/170225/3</v>
      </c>
      <c r="E1259" s="36">
        <f t="array" ref="E1259">IFNA(_xlfn.XLOOKUP(D1259,Table_Tarikan_Warkah[Nomor Tiket],Table_Tarikan_Warkah[Tanggal diserahkan kepada Validator]),"")</f>
        <v>45720.4392</v>
      </c>
      <c r="F1259" s="36" t="str">
        <f t="array" ref="F1259">IFNA(_xlfn.XLOOKUP(D1259,Table_Tarikan_Warkah[Nomor Tiket],Table_Tarikan_Warkah[Nama Petugas Warkah]),"")</f>
        <v/>
      </c>
      <c r="G1259" s="39" t="str">
        <f t="array" ref="G1259">IFNA(_xlfn.XLOOKUP(D1259,Table_Tarikan_Warkah[Nomor Tiket],Table_Tarikan_Warkah[Jenis Permohonan]),"")</f>
        <v>BN JUAL BELI</v>
      </c>
      <c r="H1259" s="41" t="s">
        <v>11</v>
      </c>
      <c r="I1259" s="49" t="s">
        <v>23</v>
      </c>
      <c r="J1259" s="36">
        <f t="shared" si="20"/>
        <v>45720.55103</v>
      </c>
      <c r="K1259" s="49" t="s">
        <v>197</v>
      </c>
      <c r="L1259" s="49" t="s">
        <v>23</v>
      </c>
      <c r="M1259" s="36">
        <f t="shared" si="26"/>
        <v>45716.57252</v>
      </c>
      <c r="N1259" s="30" t="str">
        <f t="shared" si="27"/>
        <v>Selesai</v>
      </c>
      <c r="O1259" s="45">
        <f t="shared" si="23"/>
        <v>45716.57252</v>
      </c>
      <c r="P1259" s="47" t="b">
        <v>1</v>
      </c>
      <c r="Q1259" s="36">
        <f t="shared" si="24"/>
        <v>45716.57391</v>
      </c>
      <c r="R1259" s="47" t="b">
        <v>0</v>
      </c>
      <c r="S1259" s="42" t="str">
        <f t="shared" si="28"/>
        <v/>
      </c>
      <c r="T1259" s="42"/>
    </row>
    <row r="1260" ht="22.5" customHeight="1">
      <c r="B1260" s="42">
        <f t="shared" si="7"/>
        <v>1254</v>
      </c>
      <c r="C1260" s="31" t="s">
        <v>1391</v>
      </c>
      <c r="D1260" s="34" t="str">
        <f t="array" ref="D1260">IFNA(_xlfn.XLOOKUP(C1260,Table_Tarikan_Warkah[Nomor Sertipikat],Table_Tarikan_Warkah[Nomor Tiket]),"")</f>
        <v>K/2/210225/1</v>
      </c>
      <c r="E1260" s="36">
        <f t="array" ref="E1260">IFNA(_xlfn.XLOOKUP(D1260,Table_Tarikan_Warkah[Nomor Tiket],Table_Tarikan_Warkah[Tanggal diserahkan kepada Validator]),"")</f>
        <v>45720.4392</v>
      </c>
      <c r="F1260" s="36" t="str">
        <f t="array" ref="F1260">IFNA(_xlfn.XLOOKUP(D1260,Table_Tarikan_Warkah[Nomor Tiket],Table_Tarikan_Warkah[Nama Petugas Warkah]),"")</f>
        <v/>
      </c>
      <c r="G1260" s="39" t="str">
        <f t="array" ref="G1260">IFNA(_xlfn.XLOOKUP(D1260,Table_Tarikan_Warkah[Nomor Tiket],Table_Tarikan_Warkah[Jenis Permohonan]),"")</f>
        <v>BN JUAL BELI</v>
      </c>
      <c r="H1260" s="41" t="s">
        <v>11</v>
      </c>
      <c r="I1260" s="49" t="s">
        <v>23</v>
      </c>
      <c r="J1260" s="36">
        <f t="shared" si="20"/>
        <v>45720.55103</v>
      </c>
      <c r="K1260" s="41" t="s">
        <v>197</v>
      </c>
      <c r="L1260" s="49" t="s">
        <v>23</v>
      </c>
      <c r="M1260" s="36">
        <f t="shared" si="26"/>
        <v>45716.57252</v>
      </c>
      <c r="N1260" s="30" t="str">
        <f t="shared" si="27"/>
        <v>Selesai</v>
      </c>
      <c r="O1260" s="45">
        <f t="shared" si="23"/>
        <v>45716.57252</v>
      </c>
      <c r="P1260" s="47" t="b">
        <v>1</v>
      </c>
      <c r="Q1260" s="36">
        <f t="shared" si="24"/>
        <v>45716.57391</v>
      </c>
      <c r="R1260" s="47" t="b">
        <v>0</v>
      </c>
      <c r="S1260" s="42" t="str">
        <f t="shared" si="28"/>
        <v/>
      </c>
      <c r="T1260" s="42"/>
    </row>
    <row r="1261" ht="22.5" customHeight="1">
      <c r="B1261" s="42">
        <f t="shared" si="7"/>
        <v>1255</v>
      </c>
      <c r="C1261" s="31" t="s">
        <v>1392</v>
      </c>
      <c r="D1261" s="34" t="str">
        <f t="array" ref="D1261">IFNA(_xlfn.XLOOKUP(C1261,Table_Tarikan_Warkah[Nomor Sertipikat],Table_Tarikan_Warkah[Nomor Tiket]),"")</f>
        <v>K/40/120225/1</v>
      </c>
      <c r="E1261" s="36">
        <f t="array" ref="E1261">IFNA(_xlfn.XLOOKUP(D1261,Table_Tarikan_Warkah[Nomor Tiket],Table_Tarikan_Warkah[Tanggal diserahkan kepada Validator]),"")</f>
        <v>45720.4392</v>
      </c>
      <c r="F1261" s="36" t="str">
        <f t="array" ref="F1261">IFNA(_xlfn.XLOOKUP(D1261,Table_Tarikan_Warkah[Nomor Tiket],Table_Tarikan_Warkah[Nama Petugas Warkah]),"")</f>
        <v/>
      </c>
      <c r="G1261" s="39" t="str">
        <f t="array" ref="G1261">IFNA(_xlfn.XLOOKUP(D1261,Table_Tarikan_Warkah[Nomor Tiket],Table_Tarikan_Warkah[Jenis Permohonan]),"")</f>
        <v>BN JUAL BELI</v>
      </c>
      <c r="H1261" s="41" t="s">
        <v>11</v>
      </c>
      <c r="I1261" s="49" t="s">
        <v>23</v>
      </c>
      <c r="J1261" s="36">
        <f t="shared" si="20"/>
        <v>45720.55103</v>
      </c>
      <c r="K1261" s="41" t="s">
        <v>197</v>
      </c>
      <c r="L1261" s="49" t="s">
        <v>23</v>
      </c>
      <c r="M1261" s="36">
        <f t="shared" si="26"/>
        <v>45716.57252</v>
      </c>
      <c r="N1261" s="30" t="str">
        <f t="shared" si="27"/>
        <v>Selesai</v>
      </c>
      <c r="O1261" s="45">
        <f t="shared" si="23"/>
        <v>45716.57252</v>
      </c>
      <c r="P1261" s="47" t="b">
        <v>1</v>
      </c>
      <c r="Q1261" s="36">
        <f t="shared" si="24"/>
        <v>45716.57391</v>
      </c>
      <c r="R1261" s="47" t="b">
        <v>0</v>
      </c>
      <c r="S1261" s="42" t="str">
        <f t="shared" si="28"/>
        <v/>
      </c>
      <c r="T1261" s="42"/>
    </row>
    <row r="1262" ht="22.5" customHeight="1">
      <c r="B1262" s="42">
        <f t="shared" si="7"/>
        <v>1256</v>
      </c>
      <c r="C1262" s="31" t="s">
        <v>1393</v>
      </c>
      <c r="D1262" s="34" t="str">
        <f t="array" ref="D1262">IFNA(_xlfn.XLOOKUP(C1262,Table_Tarikan_Warkah[Nomor Sertipikat],Table_Tarikan_Warkah[Nomor Tiket]),"")</f>
        <v>K/40/200225/2</v>
      </c>
      <c r="E1262" s="36">
        <f t="array" ref="E1262">IFNA(_xlfn.XLOOKUP(D1262,Table_Tarikan_Warkah[Nomor Tiket],Table_Tarikan_Warkah[Tanggal diserahkan kepada Validator]),"")</f>
        <v>45720.4392</v>
      </c>
      <c r="F1262" s="36" t="str">
        <f t="array" ref="F1262">IFNA(_xlfn.XLOOKUP(D1262,Table_Tarikan_Warkah[Nomor Tiket],Table_Tarikan_Warkah[Nama Petugas Warkah]),"")</f>
        <v/>
      </c>
      <c r="G1262" s="39" t="str">
        <f t="array" ref="G1262">IFNA(_xlfn.XLOOKUP(D1262,Table_Tarikan_Warkah[Nomor Tiket],Table_Tarikan_Warkah[Jenis Permohonan]),"")</f>
        <v>BN JUAL BELI</v>
      </c>
      <c r="H1262" s="41" t="s">
        <v>11</v>
      </c>
      <c r="I1262" s="49" t="s">
        <v>23</v>
      </c>
      <c r="J1262" s="36">
        <f t="shared" si="20"/>
        <v>45720.55103</v>
      </c>
      <c r="K1262" s="49" t="s">
        <v>197</v>
      </c>
      <c r="L1262" s="49" t="s">
        <v>23</v>
      </c>
      <c r="M1262" s="36">
        <f t="shared" si="26"/>
        <v>45716.57252</v>
      </c>
      <c r="N1262" s="30" t="str">
        <f t="shared" si="27"/>
        <v>Selesai</v>
      </c>
      <c r="O1262" s="45">
        <f t="shared" si="23"/>
        <v>45716.57252</v>
      </c>
      <c r="P1262" s="47" t="b">
        <v>1</v>
      </c>
      <c r="Q1262" s="36">
        <f t="shared" si="24"/>
        <v>45716.57391</v>
      </c>
      <c r="R1262" s="47" t="b">
        <v>0</v>
      </c>
      <c r="S1262" s="42" t="str">
        <f t="shared" si="28"/>
        <v/>
      </c>
      <c r="T1262" s="42"/>
    </row>
    <row r="1263" ht="22.5" customHeight="1">
      <c r="B1263" s="42">
        <f t="shared" si="7"/>
        <v>1257</v>
      </c>
      <c r="C1263" s="31" t="s">
        <v>1394</v>
      </c>
      <c r="D1263" s="34" t="str">
        <f t="array" ref="D1263">IFNA(_xlfn.XLOOKUP(C1263,Table_Tarikan_Warkah[Nomor Sertipikat],Table_Tarikan_Warkah[Nomor Tiket]),"")</f>
        <v>L/2/220225/PELATARAN</v>
      </c>
      <c r="E1263" s="36">
        <f t="array" ref="E1263">IFNA(_xlfn.XLOOKUP(D1263,Table_Tarikan_Warkah[Nomor Tiket],Table_Tarikan_Warkah[Tanggal diserahkan kepada Validator]),"")</f>
        <v>45741.524</v>
      </c>
      <c r="F1263" s="36" t="str">
        <f t="array" ref="F1263">IFNA(_xlfn.XLOOKUP(D1263,Table_Tarikan_Warkah[Nomor Tiket],Table_Tarikan_Warkah[Nama Petugas Warkah]),"")</f>
        <v/>
      </c>
      <c r="G1263" s="39" t="str">
        <f t="array" ref="G1263">IFNA(_xlfn.XLOOKUP(D1263,Table_Tarikan_Warkah[Nomor Tiket],Table_Tarikan_Warkah[Jenis Permohonan]),"")</f>
        <v>ROYA</v>
      </c>
      <c r="H1263" s="41" t="s">
        <v>11</v>
      </c>
      <c r="I1263" s="49" t="s">
        <v>23</v>
      </c>
      <c r="J1263" s="36">
        <f t="shared" si="20"/>
        <v>45720.55103</v>
      </c>
      <c r="K1263" s="49" t="s">
        <v>197</v>
      </c>
      <c r="L1263" s="49" t="s">
        <v>23</v>
      </c>
      <c r="M1263" s="36">
        <f t="shared" si="26"/>
        <v>45716.57252</v>
      </c>
      <c r="N1263" s="30" t="str">
        <f t="shared" si="27"/>
        <v>Selesai</v>
      </c>
      <c r="O1263" s="45">
        <f t="shared" si="23"/>
        <v>45716.57252</v>
      </c>
      <c r="P1263" s="47" t="b">
        <v>1</v>
      </c>
      <c r="Q1263" s="36">
        <f t="shared" si="24"/>
        <v>45716.57391</v>
      </c>
      <c r="R1263" s="47" t="b">
        <v>0</v>
      </c>
      <c r="S1263" s="42" t="str">
        <f t="shared" si="28"/>
        <v/>
      </c>
      <c r="T1263" s="42"/>
    </row>
    <row r="1264" ht="22.5" customHeight="1">
      <c r="B1264" s="42">
        <f t="shared" si="7"/>
        <v>1258</v>
      </c>
      <c r="C1264" s="31" t="s">
        <v>1395</v>
      </c>
      <c r="D1264" s="34" t="str">
        <f t="array" ref="D1264">IFNA(_xlfn.XLOOKUP(C1264,Table_Tarikan_Warkah[Nomor Sertipikat],Table_Tarikan_Warkah[Nomor Tiket]),"")</f>
        <v>L/18/141024/1</v>
      </c>
      <c r="E1264" s="36" t="str">
        <f t="array" ref="E1264">IFNA(_xlfn.XLOOKUP(D1264,Table_Tarikan_Warkah[Nomor Tiket],Table_Tarikan_Warkah[Tanggal diserahkan kepada Validator]),"")</f>
        <v>14/10/2024 15.04</v>
      </c>
      <c r="F1264" s="36" t="str">
        <f t="array" ref="F1264">IFNA(_xlfn.XLOOKUP(D1264,Table_Tarikan_Warkah[Nomor Tiket],Table_Tarikan_Warkah[Nama Petugas Warkah]),"")</f>
        <v>Berry</v>
      </c>
      <c r="G1264" s="39" t="str">
        <f t="array" ref="G1264">IFNA(_xlfn.XLOOKUP(D1264,Table_Tarikan_Warkah[Nomor Tiket],Table_Tarikan_Warkah[Jenis Permohonan]),"")</f>
        <v>BLOKIR</v>
      </c>
      <c r="H1264" s="41" t="s">
        <v>11</v>
      </c>
      <c r="I1264" s="49" t="s">
        <v>23</v>
      </c>
      <c r="J1264" s="36">
        <f t="shared" si="20"/>
        <v>45720.55103</v>
      </c>
      <c r="K1264" s="41" t="s">
        <v>197</v>
      </c>
      <c r="L1264" s="49" t="s">
        <v>23</v>
      </c>
      <c r="M1264" s="36">
        <f t="shared" si="26"/>
        <v>45716.57252</v>
      </c>
      <c r="N1264" s="30" t="str">
        <f t="shared" si="27"/>
        <v>Selesai</v>
      </c>
      <c r="O1264" s="45">
        <f t="shared" si="23"/>
        <v>45716.57252</v>
      </c>
      <c r="P1264" s="47" t="b">
        <v>1</v>
      </c>
      <c r="Q1264" s="36">
        <f t="shared" si="24"/>
        <v>45716.57391</v>
      </c>
      <c r="R1264" s="47" t="b">
        <v>0</v>
      </c>
      <c r="S1264" s="42" t="str">
        <f t="shared" si="28"/>
        <v/>
      </c>
      <c r="T1264" s="42"/>
    </row>
    <row r="1265" ht="22.5" customHeight="1">
      <c r="B1265" s="42">
        <f t="shared" si="7"/>
        <v>1259</v>
      </c>
      <c r="C1265" s="31" t="s">
        <v>1396</v>
      </c>
      <c r="D1265" s="34" t="str">
        <f t="array" ref="D1265">IFNA(_xlfn.XLOOKUP(C1265,Table_Tarikan_Warkah[Nomor Sertipikat],Table_Tarikan_Warkah[Nomor Tiket]),"")</f>
        <v>K/10/180225/2</v>
      </c>
      <c r="E1265" s="36" t="str">
        <f t="array" ref="E1265">IFNA(_xlfn.XLOOKUP(D1265,Table_Tarikan_Warkah[Nomor Tiket],Table_Tarikan_Warkah[Tanggal diserahkan kepada Validator]),"")</f>
        <v/>
      </c>
      <c r="F1265" s="36" t="str">
        <f t="array" ref="F1265">IFNA(_xlfn.XLOOKUP(D1265,Table_Tarikan_Warkah[Nomor Tiket],Table_Tarikan_Warkah[Nama Petugas Warkah]),"")</f>
        <v/>
      </c>
      <c r="G1265" s="39" t="str">
        <f t="array" ref="G1265">IFNA(_xlfn.XLOOKUP(D1265,Table_Tarikan_Warkah[Nomor Tiket],Table_Tarikan_Warkah[Jenis Permohonan]),"")</f>
        <v>Roya</v>
      </c>
      <c r="H1265" s="41" t="s">
        <v>11</v>
      </c>
      <c r="I1265" s="49" t="s">
        <v>23</v>
      </c>
      <c r="J1265" s="36">
        <f t="shared" si="20"/>
        <v>45720.55103</v>
      </c>
      <c r="K1265" s="49" t="s">
        <v>197</v>
      </c>
      <c r="L1265" s="49" t="s">
        <v>23</v>
      </c>
      <c r="M1265" s="36">
        <f t="shared" si="26"/>
        <v>45716.57252</v>
      </c>
      <c r="N1265" s="30" t="str">
        <f t="shared" si="27"/>
        <v>Selesai</v>
      </c>
      <c r="O1265" s="45">
        <f t="shared" si="23"/>
        <v>45716.57252</v>
      </c>
      <c r="P1265" s="47" t="b">
        <v>1</v>
      </c>
      <c r="Q1265" s="36">
        <f t="shared" si="24"/>
        <v>45716.57405</v>
      </c>
      <c r="R1265" s="47" t="b">
        <v>0</v>
      </c>
      <c r="S1265" s="42" t="str">
        <f t="shared" si="28"/>
        <v/>
      </c>
      <c r="T1265" s="42"/>
    </row>
    <row r="1266" ht="22.5" customHeight="1">
      <c r="B1266" s="42">
        <f t="shared" si="7"/>
        <v>1260</v>
      </c>
      <c r="C1266" s="31" t="s">
        <v>1397</v>
      </c>
      <c r="D1266" s="34" t="str">
        <f t="array" ref="D1266">IFNA(_xlfn.XLOOKUP(C1266,Table_Tarikan_Warkah[Nomor Sertipikat],Table_Tarikan_Warkah[Nomor Tiket]),"")</f>
        <v>K/24/140125/1</v>
      </c>
      <c r="E1266" s="36">
        <f t="array" ref="E1266">IFNA(_xlfn.XLOOKUP(D1266,Table_Tarikan_Warkah[Nomor Tiket],Table_Tarikan_Warkah[Tanggal diserahkan kepada Validator]),"")</f>
        <v>45720.4392</v>
      </c>
      <c r="F1266" s="36" t="str">
        <f t="array" ref="F1266">IFNA(_xlfn.XLOOKUP(D1266,Table_Tarikan_Warkah[Nomor Tiket],Table_Tarikan_Warkah[Nama Petugas Warkah]),"")</f>
        <v>David</v>
      </c>
      <c r="G1266" s="39" t="str">
        <f t="array" ref="G1266">IFNA(_xlfn.XLOOKUP(D1266,Table_Tarikan_Warkah[Nomor Tiket],Table_Tarikan_Warkah[Jenis Permohonan]),"")</f>
        <v>BN Jual Beli</v>
      </c>
      <c r="H1266" s="41" t="s">
        <v>11</v>
      </c>
      <c r="I1266" s="49" t="s">
        <v>23</v>
      </c>
      <c r="J1266" s="36">
        <f t="shared" si="20"/>
        <v>45720.55103</v>
      </c>
      <c r="K1266" s="41" t="s">
        <v>197</v>
      </c>
      <c r="L1266" s="49" t="s">
        <v>23</v>
      </c>
      <c r="M1266" s="36">
        <f t="shared" si="26"/>
        <v>45716.57252</v>
      </c>
      <c r="N1266" s="30" t="str">
        <f t="shared" si="27"/>
        <v>Selesai</v>
      </c>
      <c r="O1266" s="45">
        <f t="shared" si="23"/>
        <v>45716.57252</v>
      </c>
      <c r="P1266" s="47" t="b">
        <v>1</v>
      </c>
      <c r="Q1266" s="36">
        <f t="shared" si="24"/>
        <v>45716.57405</v>
      </c>
      <c r="R1266" s="47" t="b">
        <v>0</v>
      </c>
      <c r="S1266" s="42" t="str">
        <f t="shared" si="28"/>
        <v/>
      </c>
      <c r="T1266" s="42"/>
    </row>
    <row r="1267" ht="22.5" customHeight="1">
      <c r="B1267" s="42">
        <f t="shared" si="7"/>
        <v>1261</v>
      </c>
      <c r="C1267" s="31" t="s">
        <v>1398</v>
      </c>
      <c r="D1267" s="34" t="str">
        <f t="array" ref="D1267">IFNA(_xlfn.XLOOKUP(C1267,Table_Tarikan_Warkah[Nomor Sertipikat],Table_Tarikan_Warkah[Nomor Tiket]),"")</f>
        <v>K/26/130225/1</v>
      </c>
      <c r="E1267" s="36">
        <f t="array" ref="E1267">IFNA(_xlfn.XLOOKUP(D1267,Table_Tarikan_Warkah[Nomor Tiket],Table_Tarikan_Warkah[Tanggal diserahkan kepada Validator]),"")</f>
        <v>45720.4392</v>
      </c>
      <c r="F1267" s="36" t="str">
        <f t="array" ref="F1267">IFNA(_xlfn.XLOOKUP(D1267,Table_Tarikan_Warkah[Nomor Tiket],Table_Tarikan_Warkah[Nama Petugas Warkah]),"")</f>
        <v/>
      </c>
      <c r="G1267" s="39" t="str">
        <f t="array" ref="G1267">IFNA(_xlfn.XLOOKUP(D1267,Table_Tarikan_Warkah[Nomor Tiket],Table_Tarikan_Warkah[Jenis Permohonan]),"")</f>
        <v>BN Jual Beli</v>
      </c>
      <c r="H1267" s="41" t="s">
        <v>11</v>
      </c>
      <c r="I1267" s="49" t="s">
        <v>23</v>
      </c>
      <c r="J1267" s="36">
        <f t="shared" si="20"/>
        <v>45720.55103</v>
      </c>
      <c r="K1267" s="41" t="s">
        <v>197</v>
      </c>
      <c r="L1267" s="49" t="s">
        <v>23</v>
      </c>
      <c r="M1267" s="36">
        <f t="shared" si="26"/>
        <v>45716.57252</v>
      </c>
      <c r="N1267" s="30" t="str">
        <f t="shared" si="27"/>
        <v>Selesai</v>
      </c>
      <c r="O1267" s="45">
        <f t="shared" si="23"/>
        <v>45716.57252</v>
      </c>
      <c r="P1267" s="47" t="b">
        <v>1</v>
      </c>
      <c r="Q1267" s="36">
        <f t="shared" si="24"/>
        <v>45716.57405</v>
      </c>
      <c r="R1267" s="47" t="b">
        <v>0</v>
      </c>
      <c r="S1267" s="42" t="str">
        <f t="shared" si="28"/>
        <v/>
      </c>
      <c r="T1267" s="42"/>
    </row>
    <row r="1268" ht="22.5" customHeight="1">
      <c r="B1268" s="42">
        <f t="shared" si="7"/>
        <v>1262</v>
      </c>
      <c r="C1268" s="31" t="s">
        <v>1399</v>
      </c>
      <c r="D1268" s="34" t="str">
        <f t="array" ref="D1268">IFNA(_xlfn.XLOOKUP(C1268,Table_Tarikan_Warkah[Nomor Sertipikat],Table_Tarikan_Warkah[Nomor Tiket]),"")</f>
        <v>K/26/190225/1</v>
      </c>
      <c r="E1268" s="36">
        <f t="array" ref="E1268">IFNA(_xlfn.XLOOKUP(D1268,Table_Tarikan_Warkah[Nomor Tiket],Table_Tarikan_Warkah[Tanggal diserahkan kepada Validator]),"")</f>
        <v>45720.4392</v>
      </c>
      <c r="F1268" s="36" t="str">
        <f t="array" ref="F1268">IFNA(_xlfn.XLOOKUP(D1268,Table_Tarikan_Warkah[Nomor Tiket],Table_Tarikan_Warkah[Nama Petugas Warkah]),"")</f>
        <v/>
      </c>
      <c r="G1268" s="39" t="str">
        <f t="array" ref="G1268">IFNA(_xlfn.XLOOKUP(D1268,Table_Tarikan_Warkah[Nomor Tiket],Table_Tarikan_Warkah[Jenis Permohonan]),"")</f>
        <v>BN JUAL BELI</v>
      </c>
      <c r="H1268" s="41" t="s">
        <v>11</v>
      </c>
      <c r="I1268" s="49" t="s">
        <v>23</v>
      </c>
      <c r="J1268" s="36">
        <f t="shared" si="20"/>
        <v>45720.55103</v>
      </c>
      <c r="K1268" s="49" t="s">
        <v>197</v>
      </c>
      <c r="L1268" s="49" t="s">
        <v>23</v>
      </c>
      <c r="M1268" s="36">
        <f t="shared" si="26"/>
        <v>45716.57252</v>
      </c>
      <c r="N1268" s="30" t="str">
        <f t="shared" si="27"/>
        <v>Selesai</v>
      </c>
      <c r="O1268" s="45">
        <f t="shared" si="23"/>
        <v>45716.57252</v>
      </c>
      <c r="P1268" s="47" t="b">
        <v>1</v>
      </c>
      <c r="Q1268" s="36">
        <f t="shared" si="24"/>
        <v>45716.57405</v>
      </c>
      <c r="R1268" s="47" t="b">
        <v>0</v>
      </c>
      <c r="S1268" s="42" t="str">
        <f t="shared" si="28"/>
        <v/>
      </c>
      <c r="T1268" s="42"/>
    </row>
    <row r="1269" ht="22.5" customHeight="1">
      <c r="B1269" s="42">
        <f t="shared" si="7"/>
        <v>1263</v>
      </c>
      <c r="C1269" s="31" t="s">
        <v>1400</v>
      </c>
      <c r="D1269" s="34" t="str">
        <f t="array" ref="D1269">IFNA(_xlfn.XLOOKUP(C1269,Table_Tarikan_Warkah[Nomor Sertipikat],Table_Tarikan_Warkah[Nomor Tiket]),"")</f>
        <v>K/32/190225/1</v>
      </c>
      <c r="E1269" s="36">
        <f t="array" ref="E1269">IFNA(_xlfn.XLOOKUP(D1269,Table_Tarikan_Warkah[Nomor Tiket],Table_Tarikan_Warkah[Tanggal diserahkan kepada Validator]),"")</f>
        <v>45720.4392</v>
      </c>
      <c r="F1269" s="36" t="str">
        <f t="array" ref="F1269">IFNA(_xlfn.XLOOKUP(D1269,Table_Tarikan_Warkah[Nomor Tiket],Table_Tarikan_Warkah[Nama Petugas Warkah]),"")</f>
        <v/>
      </c>
      <c r="G1269" s="39" t="str">
        <f t="array" ref="G1269">IFNA(_xlfn.XLOOKUP(D1269,Table_Tarikan_Warkah[Nomor Tiket],Table_Tarikan_Warkah[Jenis Permohonan]),"")</f>
        <v>BN JUAL BELI</v>
      </c>
      <c r="H1269" s="41" t="s">
        <v>11</v>
      </c>
      <c r="I1269" s="49" t="s">
        <v>23</v>
      </c>
      <c r="J1269" s="36">
        <f t="shared" si="20"/>
        <v>45720.55103</v>
      </c>
      <c r="K1269" s="49" t="s">
        <v>197</v>
      </c>
      <c r="L1269" s="49" t="s">
        <v>23</v>
      </c>
      <c r="M1269" s="36">
        <f t="shared" si="26"/>
        <v>45716.57257</v>
      </c>
      <c r="N1269" s="30" t="str">
        <f t="shared" si="27"/>
        <v>Selesai</v>
      </c>
      <c r="O1269" s="45">
        <f t="shared" si="23"/>
        <v>45716.57257</v>
      </c>
      <c r="P1269" s="47" t="b">
        <v>1</v>
      </c>
      <c r="Q1269" s="36">
        <f t="shared" si="24"/>
        <v>45716.57405</v>
      </c>
      <c r="R1269" s="47" t="b">
        <v>0</v>
      </c>
      <c r="S1269" s="42" t="str">
        <f t="shared" si="28"/>
        <v/>
      </c>
      <c r="T1269" s="42"/>
    </row>
    <row r="1270" ht="22.5" customHeight="1">
      <c r="B1270" s="42">
        <f t="shared" si="7"/>
        <v>1264</v>
      </c>
      <c r="C1270" s="31" t="s">
        <v>1401</v>
      </c>
      <c r="D1270" s="34" t="str">
        <f t="array" ref="D1270">IFNA(_xlfn.XLOOKUP(C1270,Table_Tarikan_Warkah[Nomor Sertipikat],Table_Tarikan_Warkah[Nomor Tiket]),"")</f>
        <v>K/6/200225/4</v>
      </c>
      <c r="E1270" s="36">
        <f t="array" ref="E1270">IFNA(_xlfn.XLOOKUP(D1270,Table_Tarikan_Warkah[Nomor Tiket],Table_Tarikan_Warkah[Tanggal diserahkan kepada Validator]),"")</f>
        <v>45720.4392</v>
      </c>
      <c r="F1270" s="36" t="str">
        <f t="array" ref="F1270">IFNA(_xlfn.XLOOKUP(D1270,Table_Tarikan_Warkah[Nomor Tiket],Table_Tarikan_Warkah[Nama Petugas Warkah]),"")</f>
        <v/>
      </c>
      <c r="G1270" s="39" t="str">
        <f t="array" ref="G1270">IFNA(_xlfn.XLOOKUP(D1270,Table_Tarikan_Warkah[Nomor Tiket],Table_Tarikan_Warkah[Jenis Permohonan]),"")</f>
        <v>BN JUAL BELI</v>
      </c>
      <c r="H1270" s="41" t="s">
        <v>11</v>
      </c>
      <c r="I1270" s="49" t="s">
        <v>23</v>
      </c>
      <c r="J1270" s="36">
        <f t="shared" si="20"/>
        <v>45720.55103</v>
      </c>
      <c r="K1270" s="41" t="s">
        <v>197</v>
      </c>
      <c r="L1270" s="49" t="s">
        <v>23</v>
      </c>
      <c r="M1270" s="36">
        <f t="shared" si="26"/>
        <v>45716.57257</v>
      </c>
      <c r="N1270" s="30" t="str">
        <f t="shared" si="27"/>
        <v>Selesai</v>
      </c>
      <c r="O1270" s="45">
        <f t="shared" si="23"/>
        <v>45716.57257</v>
      </c>
      <c r="P1270" s="47" t="b">
        <v>1</v>
      </c>
      <c r="Q1270" s="36">
        <f t="shared" si="24"/>
        <v>45716.57405</v>
      </c>
      <c r="R1270" s="47" t="b">
        <v>0</v>
      </c>
      <c r="S1270" s="42" t="str">
        <f t="shared" si="28"/>
        <v/>
      </c>
      <c r="T1270" s="42"/>
    </row>
    <row r="1271" ht="22.5" customHeight="1">
      <c r="B1271" s="42">
        <f t="shared" si="7"/>
        <v>1265</v>
      </c>
      <c r="C1271" s="31" t="s">
        <v>1402</v>
      </c>
      <c r="D1271" s="34" t="str">
        <f t="array" ref="D1271">IFNA(_xlfn.XLOOKUP(C1271,Table_Tarikan_Warkah[Nomor Sertipikat],Table_Tarikan_Warkah[Nomor Tiket]),"")</f>
        <v>K/12/210225/2</v>
      </c>
      <c r="E1271" s="36">
        <f t="array" ref="E1271">IFNA(_xlfn.XLOOKUP(D1271,Table_Tarikan_Warkah[Nomor Tiket],Table_Tarikan_Warkah[Tanggal diserahkan kepada Validator]),"")</f>
        <v>45720.4392</v>
      </c>
      <c r="F1271" s="36" t="str">
        <f t="array" ref="F1271">IFNA(_xlfn.XLOOKUP(D1271,Table_Tarikan_Warkah[Nomor Tiket],Table_Tarikan_Warkah[Nama Petugas Warkah]),"")</f>
        <v/>
      </c>
      <c r="G1271" s="39" t="str">
        <f t="array" ref="G1271">IFNA(_xlfn.XLOOKUP(D1271,Table_Tarikan_Warkah[Nomor Tiket],Table_Tarikan_Warkah[Jenis Permohonan]),"")</f>
        <v>BN JUAL BELIO</v>
      </c>
      <c r="H1271" s="41" t="s">
        <v>11</v>
      </c>
      <c r="I1271" s="49" t="s">
        <v>23</v>
      </c>
      <c r="J1271" s="36">
        <f t="shared" si="20"/>
        <v>45720.55103</v>
      </c>
      <c r="K1271" s="49" t="s">
        <v>197</v>
      </c>
      <c r="L1271" s="49" t="s">
        <v>23</v>
      </c>
      <c r="M1271" s="36">
        <f t="shared" si="26"/>
        <v>45716.57257</v>
      </c>
      <c r="N1271" s="30" t="str">
        <f t="shared" si="27"/>
        <v>Selesai</v>
      </c>
      <c r="O1271" s="45">
        <f t="shared" si="23"/>
        <v>45716.57257</v>
      </c>
      <c r="P1271" s="47" t="b">
        <v>1</v>
      </c>
      <c r="Q1271" s="36">
        <f t="shared" si="24"/>
        <v>45716.57405</v>
      </c>
      <c r="R1271" s="47" t="b">
        <v>0</v>
      </c>
      <c r="S1271" s="42" t="str">
        <f t="shared" si="28"/>
        <v/>
      </c>
      <c r="T1271" s="42"/>
    </row>
    <row r="1272" ht="22.5" customHeight="1">
      <c r="B1272" s="42">
        <f t="shared" si="7"/>
        <v>1266</v>
      </c>
      <c r="C1272" s="31" t="s">
        <v>1403</v>
      </c>
      <c r="D1272" s="34" t="str">
        <f t="array" ref="D1272">IFNA(_xlfn.XLOOKUP(C1272,Table_Tarikan_Warkah[Nomor Sertipikat],Table_Tarikan_Warkah[Nomor Tiket]),"")</f>
        <v>K/15/110225/1</v>
      </c>
      <c r="E1272" s="36">
        <f t="array" ref="E1272">IFNA(_xlfn.XLOOKUP(D1272,Table_Tarikan_Warkah[Nomor Tiket],Table_Tarikan_Warkah[Tanggal diserahkan kepada Validator]),"")</f>
        <v>45720.4392</v>
      </c>
      <c r="F1272" s="36" t="str">
        <f t="array" ref="F1272">IFNA(_xlfn.XLOOKUP(D1272,Table_Tarikan_Warkah[Nomor Tiket],Table_Tarikan_Warkah[Nama Petugas Warkah]),"")</f>
        <v/>
      </c>
      <c r="G1272" s="39" t="str">
        <f t="array" ref="G1272">IFNA(_xlfn.XLOOKUP(D1272,Table_Tarikan_Warkah[Nomor Tiket],Table_Tarikan_Warkah[Jenis Permohonan]),"")</f>
        <v>BN JUAL BELI</v>
      </c>
      <c r="H1272" s="41" t="s">
        <v>11</v>
      </c>
      <c r="I1272" s="49" t="s">
        <v>23</v>
      </c>
      <c r="J1272" s="36">
        <f t="shared" si="20"/>
        <v>45720.55103</v>
      </c>
      <c r="K1272" s="41" t="s">
        <v>197</v>
      </c>
      <c r="L1272" s="49" t="s">
        <v>23</v>
      </c>
      <c r="M1272" s="36">
        <f t="shared" si="26"/>
        <v>45716.57257</v>
      </c>
      <c r="N1272" s="30" t="str">
        <f t="shared" si="27"/>
        <v>Selesai</v>
      </c>
      <c r="O1272" s="45">
        <f t="shared" si="23"/>
        <v>45716.57257</v>
      </c>
      <c r="P1272" s="47" t="b">
        <v>1</v>
      </c>
      <c r="Q1272" s="36">
        <f t="shared" si="24"/>
        <v>45716.57405</v>
      </c>
      <c r="R1272" s="47" t="b">
        <v>0</v>
      </c>
      <c r="S1272" s="42" t="str">
        <f t="shared" si="28"/>
        <v/>
      </c>
      <c r="T1272" s="42"/>
    </row>
    <row r="1273" ht="22.5" customHeight="1">
      <c r="B1273" s="42">
        <f t="shared" si="7"/>
        <v>1267</v>
      </c>
      <c r="C1273" s="31" t="s">
        <v>1404</v>
      </c>
      <c r="D1273" s="34" t="str">
        <f t="array" ref="D1273">IFNA(_xlfn.XLOOKUP(C1273,Table_Tarikan_Warkah[Nomor Sertipikat],Table_Tarikan_Warkah[Nomor Tiket]),"")</f>
        <v>K/11/210225/1</v>
      </c>
      <c r="E1273" s="36">
        <f t="array" ref="E1273">IFNA(_xlfn.XLOOKUP(D1273,Table_Tarikan_Warkah[Nomor Tiket],Table_Tarikan_Warkah[Tanggal diserahkan kepada Validator]),"")</f>
        <v>45720.4392</v>
      </c>
      <c r="F1273" s="36" t="str">
        <f t="array" ref="F1273">IFNA(_xlfn.XLOOKUP(D1273,Table_Tarikan_Warkah[Nomor Tiket],Table_Tarikan_Warkah[Nama Petugas Warkah]),"")</f>
        <v/>
      </c>
      <c r="G1273" s="39" t="str">
        <f t="array" ref="G1273">IFNA(_xlfn.XLOOKUP(D1273,Table_Tarikan_Warkah[Nomor Tiket],Table_Tarikan_Warkah[Jenis Permohonan]),"")</f>
        <v>BN JUAL BELI</v>
      </c>
      <c r="H1273" s="41" t="s">
        <v>11</v>
      </c>
      <c r="I1273" s="49" t="s">
        <v>23</v>
      </c>
      <c r="J1273" s="36">
        <f t="shared" si="20"/>
        <v>45720.55103</v>
      </c>
      <c r="K1273" s="41" t="s">
        <v>197</v>
      </c>
      <c r="L1273" s="49" t="s">
        <v>23</v>
      </c>
      <c r="M1273" s="36">
        <f t="shared" si="26"/>
        <v>45716.57257</v>
      </c>
      <c r="N1273" s="30" t="str">
        <f t="shared" si="27"/>
        <v>Selesai</v>
      </c>
      <c r="O1273" s="45">
        <f t="shared" si="23"/>
        <v>45716.57257</v>
      </c>
      <c r="P1273" s="47" t="b">
        <v>1</v>
      </c>
      <c r="Q1273" s="36">
        <f t="shared" si="24"/>
        <v>45716.57405</v>
      </c>
      <c r="R1273" s="47" t="b">
        <v>0</v>
      </c>
      <c r="S1273" s="42" t="str">
        <f t="shared" si="28"/>
        <v/>
      </c>
      <c r="T1273" s="42"/>
    </row>
    <row r="1274" ht="22.5" customHeight="1">
      <c r="B1274" s="42">
        <f t="shared" si="7"/>
        <v>1268</v>
      </c>
      <c r="C1274" s="31" t="s">
        <v>1405</v>
      </c>
      <c r="D1274" s="34" t="str">
        <f t="array" ref="D1274">IFNA(_xlfn.XLOOKUP(C1274,Table_Tarikan_Warkah[Nomor Sertipikat],Table_Tarikan_Warkah[Nomor Tiket]),"")</f>
        <v>K/3/200225/1</v>
      </c>
      <c r="E1274" s="36">
        <f t="array" ref="E1274">IFNA(_xlfn.XLOOKUP(D1274,Table_Tarikan_Warkah[Nomor Tiket],Table_Tarikan_Warkah[Tanggal diserahkan kepada Validator]),"")</f>
        <v>45720.4392</v>
      </c>
      <c r="F1274" s="36" t="str">
        <f t="array" ref="F1274">IFNA(_xlfn.XLOOKUP(D1274,Table_Tarikan_Warkah[Nomor Tiket],Table_Tarikan_Warkah[Nama Petugas Warkah]),"")</f>
        <v/>
      </c>
      <c r="G1274" s="39" t="str">
        <f t="array" ref="G1274">IFNA(_xlfn.XLOOKUP(D1274,Table_Tarikan_Warkah[Nomor Tiket],Table_Tarikan_Warkah[Jenis Permohonan]),"")</f>
        <v>BN JUAL BELI</v>
      </c>
      <c r="H1274" s="41" t="s">
        <v>11</v>
      </c>
      <c r="I1274" s="49" t="s">
        <v>23</v>
      </c>
      <c r="J1274" s="36">
        <f t="shared" si="20"/>
        <v>45720.55103</v>
      </c>
      <c r="K1274" s="49" t="s">
        <v>197</v>
      </c>
      <c r="L1274" s="49" t="s">
        <v>23</v>
      </c>
      <c r="M1274" s="36">
        <f t="shared" si="26"/>
        <v>45716.57257</v>
      </c>
      <c r="N1274" s="30" t="str">
        <f t="shared" si="27"/>
        <v>Selesai</v>
      </c>
      <c r="O1274" s="45">
        <f t="shared" si="23"/>
        <v>45716.57257</v>
      </c>
      <c r="P1274" s="47" t="b">
        <v>1</v>
      </c>
      <c r="Q1274" s="36">
        <f t="shared" si="24"/>
        <v>45716.57405</v>
      </c>
      <c r="R1274" s="47" t="b">
        <v>0</v>
      </c>
      <c r="S1274" s="42" t="str">
        <f t="shared" si="28"/>
        <v/>
      </c>
      <c r="T1274" s="42"/>
    </row>
    <row r="1275" ht="22.5" customHeight="1">
      <c r="B1275" s="42">
        <f t="shared" si="7"/>
        <v>1269</v>
      </c>
      <c r="C1275" s="31" t="s">
        <v>1406</v>
      </c>
      <c r="D1275" s="34" t="str">
        <f t="array" ref="D1275">IFNA(_xlfn.XLOOKUP(C1275,Table_Tarikan_Warkah[Nomor Sertipikat],Table_Tarikan_Warkah[Nomor Tiket]),"")</f>
        <v>K/5/200225/3</v>
      </c>
      <c r="E1275" s="36">
        <f t="array" ref="E1275">IFNA(_xlfn.XLOOKUP(D1275,Table_Tarikan_Warkah[Nomor Tiket],Table_Tarikan_Warkah[Tanggal diserahkan kepada Validator]),"")</f>
        <v>45720.4392</v>
      </c>
      <c r="F1275" s="36" t="str">
        <f t="array" ref="F1275">IFNA(_xlfn.XLOOKUP(D1275,Table_Tarikan_Warkah[Nomor Tiket],Table_Tarikan_Warkah[Nama Petugas Warkah]),"")</f>
        <v/>
      </c>
      <c r="G1275" s="39" t="str">
        <f t="array" ref="G1275">IFNA(_xlfn.XLOOKUP(D1275,Table_Tarikan_Warkah[Nomor Tiket],Table_Tarikan_Warkah[Jenis Permohonan]),"")</f>
        <v>BN JUAL BELI</v>
      </c>
      <c r="H1275" s="41" t="s">
        <v>11</v>
      </c>
      <c r="I1275" s="49" t="s">
        <v>23</v>
      </c>
      <c r="J1275" s="36">
        <f t="shared" si="20"/>
        <v>45720.55103</v>
      </c>
      <c r="K1275" s="49" t="s">
        <v>197</v>
      </c>
      <c r="L1275" s="49" t="s">
        <v>23</v>
      </c>
      <c r="M1275" s="36">
        <f t="shared" si="26"/>
        <v>45716.57257</v>
      </c>
      <c r="N1275" s="30" t="str">
        <f t="shared" si="27"/>
        <v>Selesai</v>
      </c>
      <c r="O1275" s="45">
        <f t="shared" si="23"/>
        <v>45716.57257</v>
      </c>
      <c r="P1275" s="47" t="b">
        <v>1</v>
      </c>
      <c r="Q1275" s="36">
        <f t="shared" si="24"/>
        <v>45716.57405</v>
      </c>
      <c r="R1275" s="47" t="b">
        <v>0</v>
      </c>
      <c r="S1275" s="42" t="str">
        <f t="shared" si="28"/>
        <v/>
      </c>
      <c r="T1275" s="42"/>
    </row>
    <row r="1276" ht="22.5" customHeight="1">
      <c r="B1276" s="42">
        <f t="shared" si="7"/>
        <v>1270</v>
      </c>
      <c r="C1276" s="31" t="s">
        <v>1407</v>
      </c>
      <c r="D1276" s="34" t="str">
        <f t="array" ref="D1276">IFNA(_xlfn.XLOOKUP(C1276,Table_Tarikan_Warkah[Nomor Sertipikat],Table_Tarikan_Warkah[Nomor Tiket]),"")</f>
        <v>K/30/210225/1</v>
      </c>
      <c r="E1276" s="36">
        <f t="array" ref="E1276">IFNA(_xlfn.XLOOKUP(D1276,Table_Tarikan_Warkah[Nomor Tiket],Table_Tarikan_Warkah[Tanggal diserahkan kepada Validator]),"")</f>
        <v>45720.4392</v>
      </c>
      <c r="F1276" s="36" t="str">
        <f t="array" ref="F1276">IFNA(_xlfn.XLOOKUP(D1276,Table_Tarikan_Warkah[Nomor Tiket],Table_Tarikan_Warkah[Nama Petugas Warkah]),"")</f>
        <v/>
      </c>
      <c r="G1276" s="39" t="str">
        <f t="array" ref="G1276">IFNA(_xlfn.XLOOKUP(D1276,Table_Tarikan_Warkah[Nomor Tiket],Table_Tarikan_Warkah[Jenis Permohonan]),"")</f>
        <v>JUAL BELI</v>
      </c>
      <c r="H1276" s="41" t="s">
        <v>11</v>
      </c>
      <c r="I1276" s="49" t="s">
        <v>23</v>
      </c>
      <c r="J1276" s="36">
        <f t="shared" si="20"/>
        <v>45720.55103</v>
      </c>
      <c r="K1276" s="41" t="s">
        <v>197</v>
      </c>
      <c r="L1276" s="49" t="s">
        <v>23</v>
      </c>
      <c r="M1276" s="36">
        <f t="shared" si="26"/>
        <v>45716.57257</v>
      </c>
      <c r="N1276" s="30" t="str">
        <f t="shared" si="27"/>
        <v>Selesai</v>
      </c>
      <c r="O1276" s="45">
        <f t="shared" si="23"/>
        <v>45716.57257</v>
      </c>
      <c r="P1276" s="47" t="b">
        <v>1</v>
      </c>
      <c r="Q1276" s="36">
        <f t="shared" si="24"/>
        <v>45716.57405</v>
      </c>
      <c r="R1276" s="47" t="b">
        <v>0</v>
      </c>
      <c r="S1276" s="42" t="str">
        <f t="shared" si="28"/>
        <v/>
      </c>
      <c r="T1276" s="42"/>
    </row>
    <row r="1277" ht="22.5" customHeight="1">
      <c r="B1277" s="42">
        <f t="shared" si="7"/>
        <v>1271</v>
      </c>
      <c r="C1277" s="31" t="s">
        <v>1408</v>
      </c>
      <c r="D1277" s="34" t="str">
        <f t="array" ref="D1277">IFNA(_xlfn.XLOOKUP(C1277,Table_Tarikan_Warkah[Nomor Sertipikat],Table_Tarikan_Warkah[Nomor Tiket]),"")</f>
        <v>K/7/210225/2</v>
      </c>
      <c r="E1277" s="36">
        <f t="array" ref="E1277">IFNA(_xlfn.XLOOKUP(D1277,Table_Tarikan_Warkah[Nomor Tiket],Table_Tarikan_Warkah[Tanggal diserahkan kepada Validator]),"")</f>
        <v>45720.4392</v>
      </c>
      <c r="F1277" s="36" t="str">
        <f t="array" ref="F1277">IFNA(_xlfn.XLOOKUP(D1277,Table_Tarikan_Warkah[Nomor Tiket],Table_Tarikan_Warkah[Nama Petugas Warkah]),"")</f>
        <v/>
      </c>
      <c r="G1277" s="39" t="str">
        <f t="array" ref="G1277">IFNA(_xlfn.XLOOKUP(D1277,Table_Tarikan_Warkah[Nomor Tiket],Table_Tarikan_Warkah[Jenis Permohonan]),"")</f>
        <v>JUAL BELI</v>
      </c>
      <c r="H1277" s="41" t="s">
        <v>11</v>
      </c>
      <c r="I1277" s="49" t="s">
        <v>23</v>
      </c>
      <c r="J1277" s="36">
        <f t="shared" si="20"/>
        <v>45720.55103</v>
      </c>
      <c r="K1277" s="49" t="s">
        <v>197</v>
      </c>
      <c r="L1277" s="49" t="s">
        <v>23</v>
      </c>
      <c r="M1277" s="36">
        <f t="shared" si="26"/>
        <v>45716.57257</v>
      </c>
      <c r="N1277" s="30" t="str">
        <f t="shared" si="27"/>
        <v>Selesai</v>
      </c>
      <c r="O1277" s="45">
        <f t="shared" si="23"/>
        <v>45716.57257</v>
      </c>
      <c r="P1277" s="47" t="b">
        <v>1</v>
      </c>
      <c r="Q1277" s="36">
        <f t="shared" si="24"/>
        <v>45716.57409</v>
      </c>
      <c r="R1277" s="47" t="b">
        <v>0</v>
      </c>
      <c r="S1277" s="42" t="str">
        <f t="shared" si="28"/>
        <v/>
      </c>
      <c r="T1277" s="42"/>
    </row>
    <row r="1278" ht="22.5" customHeight="1">
      <c r="B1278" s="42">
        <f t="shared" si="7"/>
        <v>1272</v>
      </c>
      <c r="C1278" s="31" t="s">
        <v>1409</v>
      </c>
      <c r="D1278" s="34" t="str">
        <f t="array" ref="D1278">IFNA(_xlfn.XLOOKUP(C1278,Table_Tarikan_Warkah[Nomor Sertipikat],Table_Tarikan_Warkah[Nomor Tiket]),"")</f>
        <v>K/31/210225/2</v>
      </c>
      <c r="E1278" s="36">
        <f t="array" ref="E1278">IFNA(_xlfn.XLOOKUP(D1278,Table_Tarikan_Warkah[Nomor Tiket],Table_Tarikan_Warkah[Tanggal diserahkan kepada Validator]),"")</f>
        <v>45720.4392</v>
      </c>
      <c r="F1278" s="36" t="str">
        <f t="array" ref="F1278">IFNA(_xlfn.XLOOKUP(D1278,Table_Tarikan_Warkah[Nomor Tiket],Table_Tarikan_Warkah[Nama Petugas Warkah]),"")</f>
        <v/>
      </c>
      <c r="G1278" s="39" t="str">
        <f t="array" ref="G1278">IFNA(_xlfn.XLOOKUP(D1278,Table_Tarikan_Warkah[Nomor Tiket],Table_Tarikan_Warkah[Jenis Permohonan]),"")</f>
        <v>JUAL BELI</v>
      </c>
      <c r="H1278" s="41" t="s">
        <v>11</v>
      </c>
      <c r="I1278" s="49" t="s">
        <v>23</v>
      </c>
      <c r="J1278" s="36">
        <f t="shared" si="20"/>
        <v>45720.55103</v>
      </c>
      <c r="K1278" s="41" t="s">
        <v>197</v>
      </c>
      <c r="L1278" s="49" t="s">
        <v>23</v>
      </c>
      <c r="M1278" s="36">
        <f t="shared" si="26"/>
        <v>45716.57257</v>
      </c>
      <c r="N1278" s="30" t="str">
        <f t="shared" si="27"/>
        <v>Selesai</v>
      </c>
      <c r="O1278" s="45">
        <f t="shared" si="23"/>
        <v>45716.57257</v>
      </c>
      <c r="P1278" s="47" t="b">
        <v>1</v>
      </c>
      <c r="Q1278" s="36">
        <f t="shared" si="24"/>
        <v>45716.57409</v>
      </c>
      <c r="R1278" s="47" t="b">
        <v>0</v>
      </c>
      <c r="S1278" s="42" t="str">
        <f t="shared" si="28"/>
        <v/>
      </c>
      <c r="T1278" s="42"/>
    </row>
    <row r="1279" ht="22.5" customHeight="1">
      <c r="B1279" s="42">
        <f t="shared" si="7"/>
        <v>1273</v>
      </c>
      <c r="C1279" s="31" t="s">
        <v>1410</v>
      </c>
      <c r="D1279" s="34" t="str">
        <f t="array" ref="D1279">IFNA(_xlfn.XLOOKUP(C1279,Table_Tarikan_Warkah[Nomor Sertipikat],Table_Tarikan_Warkah[Nomor Tiket]),"")</f>
        <v>K/3/100225/1</v>
      </c>
      <c r="E1279" s="36">
        <f t="array" ref="E1279">IFNA(_xlfn.XLOOKUP(D1279,Table_Tarikan_Warkah[Nomor Tiket],Table_Tarikan_Warkah[Tanggal diserahkan kepada Validator]),"")</f>
        <v>45720.4392</v>
      </c>
      <c r="F1279" s="36" t="str">
        <f t="array" ref="F1279">IFNA(_xlfn.XLOOKUP(D1279,Table_Tarikan_Warkah[Nomor Tiket],Table_Tarikan_Warkah[Nama Petugas Warkah]),"")</f>
        <v/>
      </c>
      <c r="G1279" s="39" t="str">
        <f t="array" ref="G1279">IFNA(_xlfn.XLOOKUP(D1279,Table_Tarikan_Warkah[Nomor Tiket],Table_Tarikan_Warkah[Jenis Permohonan]),"")</f>
        <v>JUAL BELI</v>
      </c>
      <c r="H1279" s="41" t="s">
        <v>11</v>
      </c>
      <c r="I1279" s="49" t="s">
        <v>23</v>
      </c>
      <c r="J1279" s="36">
        <f t="shared" si="20"/>
        <v>45720.55103</v>
      </c>
      <c r="K1279" s="41" t="s">
        <v>197</v>
      </c>
      <c r="L1279" s="49" t="s">
        <v>23</v>
      </c>
      <c r="M1279" s="36">
        <f t="shared" si="26"/>
        <v>45716.57257</v>
      </c>
      <c r="N1279" s="30" t="str">
        <f t="shared" si="27"/>
        <v>Selesai</v>
      </c>
      <c r="O1279" s="45">
        <f t="shared" si="23"/>
        <v>45716.57257</v>
      </c>
      <c r="P1279" s="47" t="b">
        <v>1</v>
      </c>
      <c r="Q1279" s="36">
        <f t="shared" si="24"/>
        <v>45716.57409</v>
      </c>
      <c r="R1279" s="47" t="b">
        <v>0</v>
      </c>
      <c r="S1279" s="42" t="str">
        <f t="shared" si="28"/>
        <v/>
      </c>
      <c r="T1279" s="42"/>
    </row>
    <row r="1280" ht="22.5" customHeight="1">
      <c r="B1280" s="42">
        <f t="shared" si="7"/>
        <v>1274</v>
      </c>
      <c r="C1280" s="31" t="s">
        <v>1411</v>
      </c>
      <c r="D1280" s="34" t="str">
        <f t="array" ref="D1280">IFNA(_xlfn.XLOOKUP(C1280,Table_Tarikan_Warkah[Nomor Sertipikat],Table_Tarikan_Warkah[Nomor Tiket]),"")</f>
        <v>K/40/210225/1</v>
      </c>
      <c r="E1280" s="36">
        <f t="array" ref="E1280">IFNA(_xlfn.XLOOKUP(D1280,Table_Tarikan_Warkah[Nomor Tiket],Table_Tarikan_Warkah[Tanggal diserahkan kepada Validator]),"")</f>
        <v>45720.4392</v>
      </c>
      <c r="F1280" s="36" t="str">
        <f t="array" ref="F1280">IFNA(_xlfn.XLOOKUP(D1280,Table_Tarikan_Warkah[Nomor Tiket],Table_Tarikan_Warkah[Nama Petugas Warkah]),"")</f>
        <v/>
      </c>
      <c r="G1280" s="39" t="str">
        <f t="array" ref="G1280">IFNA(_xlfn.XLOOKUP(D1280,Table_Tarikan_Warkah[Nomor Tiket],Table_Tarikan_Warkah[Jenis Permohonan]),"")</f>
        <v>BN JUAL BELI</v>
      </c>
      <c r="H1280" s="41" t="s">
        <v>11</v>
      </c>
      <c r="I1280" s="49" t="s">
        <v>23</v>
      </c>
      <c r="J1280" s="36">
        <f t="shared" si="20"/>
        <v>45720.55103</v>
      </c>
      <c r="K1280" s="49" t="s">
        <v>197</v>
      </c>
      <c r="L1280" s="49" t="s">
        <v>23</v>
      </c>
      <c r="M1280" s="36">
        <f t="shared" si="26"/>
        <v>45716.57274</v>
      </c>
      <c r="N1280" s="30" t="str">
        <f t="shared" si="27"/>
        <v>Selesai</v>
      </c>
      <c r="O1280" s="45">
        <f t="shared" si="23"/>
        <v>45716.57274</v>
      </c>
      <c r="P1280" s="47" t="b">
        <v>1</v>
      </c>
      <c r="Q1280" s="36">
        <f t="shared" si="24"/>
        <v>45716.57409</v>
      </c>
      <c r="R1280" s="47" t="b">
        <v>0</v>
      </c>
      <c r="S1280" s="42" t="str">
        <f t="shared" si="28"/>
        <v/>
      </c>
      <c r="T1280" s="42"/>
    </row>
    <row r="1281" ht="22.5" customHeight="1">
      <c r="B1281" s="42">
        <f t="shared" si="7"/>
        <v>1275</v>
      </c>
      <c r="C1281" s="31" t="s">
        <v>1412</v>
      </c>
      <c r="D1281" s="34" t="str">
        <f t="array" ref="D1281">IFNA(_xlfn.XLOOKUP(C1281,Table_Tarikan_Warkah[Nomor Sertipikat],Table_Tarikan_Warkah[Nomor Tiket]),"")</f>
        <v>K/42/120225/1</v>
      </c>
      <c r="E1281" s="36" t="str">
        <f t="array" ref="E1281">IFNA(_xlfn.XLOOKUP(D1281,Table_Tarikan_Warkah[Nomor Tiket],Table_Tarikan_Warkah[Tanggal diserahkan kepada Validator]),"")</f>
        <v/>
      </c>
      <c r="F1281" s="36" t="str">
        <f t="array" ref="F1281">IFNA(_xlfn.XLOOKUP(D1281,Table_Tarikan_Warkah[Nomor Tiket],Table_Tarikan_Warkah[Nama Petugas Warkah]),"")</f>
        <v/>
      </c>
      <c r="G1281" s="39" t="str">
        <f t="array" ref="G1281">IFNA(_xlfn.XLOOKUP(D1281,Table_Tarikan_Warkah[Nomor Tiket],Table_Tarikan_Warkah[Jenis Permohonan]),"")</f>
        <v>BN Hibah</v>
      </c>
      <c r="H1281" s="41" t="s">
        <v>11</v>
      </c>
      <c r="I1281" s="49" t="s">
        <v>23</v>
      </c>
      <c r="J1281" s="36">
        <f t="shared" si="20"/>
        <v>45720.55103</v>
      </c>
      <c r="K1281" s="49" t="s">
        <v>197</v>
      </c>
      <c r="L1281" s="49" t="s">
        <v>23</v>
      </c>
      <c r="M1281" s="36">
        <f t="shared" si="26"/>
        <v>45716.57274</v>
      </c>
      <c r="N1281" s="30" t="str">
        <f t="shared" si="27"/>
        <v>Selesai</v>
      </c>
      <c r="O1281" s="45">
        <f t="shared" si="23"/>
        <v>45716.57274</v>
      </c>
      <c r="P1281" s="47" t="b">
        <v>1</v>
      </c>
      <c r="Q1281" s="36">
        <f t="shared" si="24"/>
        <v>45716.57409</v>
      </c>
      <c r="R1281" s="47" t="b">
        <v>0</v>
      </c>
      <c r="S1281" s="42" t="str">
        <f t="shared" si="28"/>
        <v/>
      </c>
      <c r="T1281" s="42"/>
    </row>
    <row r="1282" ht="22.5" customHeight="1">
      <c r="B1282" s="42">
        <f t="shared" si="7"/>
        <v>1276</v>
      </c>
      <c r="C1282" s="31" t="s">
        <v>1413</v>
      </c>
      <c r="D1282" s="34" t="str">
        <f t="array" ref="D1282">IFNA(_xlfn.XLOOKUP(C1282,Table_Tarikan_Warkah[Nomor Sertipikat],Table_Tarikan_Warkah[Nomor Tiket]),"")</f>
        <v>K/17/200225/1</v>
      </c>
      <c r="E1282" s="36">
        <f t="array" ref="E1282">IFNA(_xlfn.XLOOKUP(D1282,Table_Tarikan_Warkah[Nomor Tiket],Table_Tarikan_Warkah[Tanggal diserahkan kepada Validator]),"")</f>
        <v>45730.60795</v>
      </c>
      <c r="F1282" s="36" t="str">
        <f t="array" ref="F1282">IFNA(_xlfn.XLOOKUP(D1282,Table_Tarikan_Warkah[Nomor Tiket],Table_Tarikan_Warkah[Nama Petugas Warkah]),"")</f>
        <v/>
      </c>
      <c r="G1282" s="39" t="str">
        <f t="array" ref="G1282">IFNA(_xlfn.XLOOKUP(D1282,Table_Tarikan_Warkah[Nomor Tiket],Table_Tarikan_Warkah[Jenis Permohonan]),"")</f>
        <v>Roya </v>
      </c>
      <c r="H1282" s="41" t="s">
        <v>11</v>
      </c>
      <c r="I1282" s="49" t="s">
        <v>23</v>
      </c>
      <c r="J1282" s="36">
        <f t="shared" si="20"/>
        <v>45720.55103</v>
      </c>
      <c r="K1282" s="41" t="s">
        <v>197</v>
      </c>
      <c r="L1282" s="49" t="s">
        <v>23</v>
      </c>
      <c r="M1282" s="36">
        <f t="shared" si="26"/>
        <v>45716.57274</v>
      </c>
      <c r="N1282" s="30" t="str">
        <f t="shared" si="27"/>
        <v>Selesai</v>
      </c>
      <c r="O1282" s="45">
        <f t="shared" si="23"/>
        <v>45716.57274</v>
      </c>
      <c r="P1282" s="47" t="b">
        <v>1</v>
      </c>
      <c r="Q1282" s="36">
        <f t="shared" si="24"/>
        <v>45716.57409</v>
      </c>
      <c r="R1282" s="47" t="b">
        <v>0</v>
      </c>
      <c r="S1282" s="42" t="str">
        <f t="shared" si="28"/>
        <v/>
      </c>
      <c r="T1282" s="42"/>
    </row>
    <row r="1283" ht="22.5" customHeight="1">
      <c r="B1283" s="42">
        <f t="shared" si="7"/>
        <v>1277</v>
      </c>
      <c r="C1283" s="31" t="s">
        <v>1414</v>
      </c>
      <c r="D1283" s="34" t="str">
        <f t="array" ref="D1283">IFNA(_xlfn.XLOOKUP(C1283,Table_Tarikan_Warkah[Nomor Sertipikat],Table_Tarikan_Warkah[Nomor Tiket]),"")</f>
        <v>K/1/170225/1</v>
      </c>
      <c r="E1283" s="36">
        <f t="array" ref="E1283">IFNA(_xlfn.XLOOKUP(D1283,Table_Tarikan_Warkah[Nomor Tiket],Table_Tarikan_Warkah[Tanggal diserahkan kepada Validator]),"")</f>
        <v>45720.4392</v>
      </c>
      <c r="F1283" s="36" t="str">
        <f t="array" ref="F1283">IFNA(_xlfn.XLOOKUP(D1283,Table_Tarikan_Warkah[Nomor Tiket],Table_Tarikan_Warkah[Nama Petugas Warkah]),"")</f>
        <v/>
      </c>
      <c r="G1283" s="39" t="str">
        <f t="array" ref="G1283">IFNA(_xlfn.XLOOKUP(D1283,Table_Tarikan_Warkah[Nomor Tiket],Table_Tarikan_Warkah[Jenis Permohonan]),"")</f>
        <v>BN waris</v>
      </c>
      <c r="H1283" s="41" t="s">
        <v>11</v>
      </c>
      <c r="I1283" s="49" t="s">
        <v>23</v>
      </c>
      <c r="J1283" s="36">
        <f t="shared" si="20"/>
        <v>45720.55103</v>
      </c>
      <c r="K1283" s="49" t="s">
        <v>197</v>
      </c>
      <c r="L1283" s="49" t="s">
        <v>23</v>
      </c>
      <c r="M1283" s="36">
        <f t="shared" si="26"/>
        <v>45716.57274</v>
      </c>
      <c r="N1283" s="30" t="str">
        <f t="shared" si="27"/>
        <v>Selesai</v>
      </c>
      <c r="O1283" s="45">
        <f t="shared" si="23"/>
        <v>45716.57274</v>
      </c>
      <c r="P1283" s="47" t="b">
        <v>1</v>
      </c>
      <c r="Q1283" s="36">
        <f t="shared" si="24"/>
        <v>45716.57409</v>
      </c>
      <c r="R1283" s="47" t="b">
        <v>0</v>
      </c>
      <c r="S1283" s="42" t="str">
        <f t="shared" si="28"/>
        <v/>
      </c>
      <c r="T1283" s="42"/>
    </row>
    <row r="1284" ht="22.5" customHeight="1">
      <c r="B1284" s="42">
        <f t="shared" si="7"/>
        <v>1278</v>
      </c>
      <c r="C1284" s="31" t="s">
        <v>1415</v>
      </c>
      <c r="D1284" s="34" t="str">
        <f t="array" ref="D1284">IFNA(_xlfn.XLOOKUP(C1284,Table_Tarikan_Warkah[Nomor Sertipikat],Table_Tarikan_Warkah[Nomor Tiket]),"")</f>
        <v>K/12/180225/4</v>
      </c>
      <c r="E1284" s="36">
        <f t="array" ref="E1284">IFNA(_xlfn.XLOOKUP(D1284,Table_Tarikan_Warkah[Nomor Tiket],Table_Tarikan_Warkah[Tanggal diserahkan kepada Validator]),"")</f>
        <v>45720.4392</v>
      </c>
      <c r="F1284" s="36" t="str">
        <f t="array" ref="F1284">IFNA(_xlfn.XLOOKUP(D1284,Table_Tarikan_Warkah[Nomor Tiket],Table_Tarikan_Warkah[Nama Petugas Warkah]),"")</f>
        <v/>
      </c>
      <c r="G1284" s="39" t="str">
        <f t="array" ref="G1284">IFNA(_xlfn.XLOOKUP(D1284,Table_Tarikan_Warkah[Nomor Tiket],Table_Tarikan_Warkah[Jenis Permohonan]),"")</f>
        <v>BN Jual Neli</v>
      </c>
      <c r="H1284" s="41" t="s">
        <v>11</v>
      </c>
      <c r="I1284" s="49" t="s">
        <v>23</v>
      </c>
      <c r="J1284" s="36">
        <f t="shared" si="20"/>
        <v>45720.55103</v>
      </c>
      <c r="K1284" s="41" t="s">
        <v>197</v>
      </c>
      <c r="L1284" s="49" t="s">
        <v>23</v>
      </c>
      <c r="M1284" s="36">
        <f t="shared" si="26"/>
        <v>45716.57274</v>
      </c>
      <c r="N1284" s="30" t="str">
        <f t="shared" si="27"/>
        <v>Selesai</v>
      </c>
      <c r="O1284" s="45">
        <f t="shared" si="23"/>
        <v>45716.57274</v>
      </c>
      <c r="P1284" s="47" t="b">
        <v>1</v>
      </c>
      <c r="Q1284" s="36">
        <f t="shared" si="24"/>
        <v>45716.57409</v>
      </c>
      <c r="R1284" s="47" t="b">
        <v>0</v>
      </c>
      <c r="S1284" s="42" t="str">
        <f t="shared" si="28"/>
        <v/>
      </c>
      <c r="T1284" s="42"/>
    </row>
    <row r="1285" ht="22.5" customHeight="1">
      <c r="B1285" s="42">
        <f t="shared" si="7"/>
        <v>1279</v>
      </c>
      <c r="C1285" s="31" t="s">
        <v>1416</v>
      </c>
      <c r="D1285" s="34" t="str">
        <f t="array" ref="D1285">IFNA(_xlfn.XLOOKUP(C1285,Table_Tarikan_Warkah[Nomor Sertipikat],Table_Tarikan_Warkah[Nomor Tiket]),"")</f>
        <v>K/2/180225/1</v>
      </c>
      <c r="E1285" s="36" t="str">
        <f t="array" ref="E1285">IFNA(_xlfn.XLOOKUP(D1285,Table_Tarikan_Warkah[Nomor Tiket],Table_Tarikan_Warkah[Tanggal diserahkan kepada Validator]),"")</f>
        <v/>
      </c>
      <c r="F1285" s="36" t="str">
        <f t="array" ref="F1285">IFNA(_xlfn.XLOOKUP(D1285,Table_Tarikan_Warkah[Nomor Tiket],Table_Tarikan_Warkah[Nama Petugas Warkah]),"")</f>
        <v/>
      </c>
      <c r="G1285" s="39" t="str">
        <f t="array" ref="G1285">IFNA(_xlfn.XLOOKUP(D1285,Table_Tarikan_Warkah[Nomor Tiket],Table_Tarikan_Warkah[Jenis Permohonan]),"")</f>
        <v>Perubahan Hak</v>
      </c>
      <c r="H1285" s="41" t="s">
        <v>11</v>
      </c>
      <c r="I1285" s="49" t="s">
        <v>23</v>
      </c>
      <c r="J1285" s="36">
        <f t="shared" si="20"/>
        <v>45720.55103</v>
      </c>
      <c r="K1285" s="41" t="s">
        <v>197</v>
      </c>
      <c r="L1285" s="49" t="s">
        <v>23</v>
      </c>
      <c r="M1285" s="36">
        <f t="shared" si="26"/>
        <v>45716.57274</v>
      </c>
      <c r="N1285" s="30" t="str">
        <f t="shared" si="27"/>
        <v>Selesai</v>
      </c>
      <c r="O1285" s="45">
        <f t="shared" si="23"/>
        <v>45716.57274</v>
      </c>
      <c r="P1285" s="47" t="b">
        <v>1</v>
      </c>
      <c r="Q1285" s="36">
        <f t="shared" si="24"/>
        <v>45716.57409</v>
      </c>
      <c r="R1285" s="47" t="b">
        <v>0</v>
      </c>
      <c r="S1285" s="42" t="str">
        <f t="shared" si="28"/>
        <v/>
      </c>
      <c r="T1285" s="42"/>
    </row>
    <row r="1286" ht="22.5" customHeight="1">
      <c r="B1286" s="42">
        <f t="shared" si="7"/>
        <v>1280</v>
      </c>
      <c r="C1286" s="31" t="s">
        <v>1417</v>
      </c>
      <c r="D1286" s="34" t="str">
        <f t="array" ref="D1286">IFNA(_xlfn.XLOOKUP(C1286,Table_Tarikan_Warkah[Nomor Sertipikat],Table_Tarikan_Warkah[Nomor Tiket]),"")</f>
        <v>K/35/190225/1</v>
      </c>
      <c r="E1286" s="36" t="str">
        <f t="array" ref="E1286">IFNA(_xlfn.XLOOKUP(D1286,Table_Tarikan_Warkah[Nomor Tiket],Table_Tarikan_Warkah[Tanggal diserahkan kepada Validator]),"")</f>
        <v/>
      </c>
      <c r="F1286" s="36" t="str">
        <f t="array" ref="F1286">IFNA(_xlfn.XLOOKUP(D1286,Table_Tarikan_Warkah[Nomor Tiket],Table_Tarikan_Warkah[Nama Petugas Warkah]),"")</f>
        <v/>
      </c>
      <c r="G1286" s="39" t="str">
        <f t="array" ref="G1286">IFNA(_xlfn.XLOOKUP(D1286,Table_Tarikan_Warkah[Nomor Tiket],Table_Tarikan_Warkah[Jenis Permohonan]),"")</f>
        <v>PENGGABUNGAN</v>
      </c>
      <c r="H1286" s="41" t="s">
        <v>11</v>
      </c>
      <c r="I1286" s="49" t="s">
        <v>23</v>
      </c>
      <c r="J1286" s="36">
        <f t="shared" si="20"/>
        <v>45720.55103</v>
      </c>
      <c r="K1286" s="49" t="s">
        <v>197</v>
      </c>
      <c r="L1286" s="49" t="s">
        <v>23</v>
      </c>
      <c r="M1286" s="36">
        <f t="shared" si="26"/>
        <v>45716.57274</v>
      </c>
      <c r="N1286" s="30" t="str">
        <f t="shared" si="27"/>
        <v>Selesai</v>
      </c>
      <c r="O1286" s="45">
        <f t="shared" si="23"/>
        <v>45716.57274</v>
      </c>
      <c r="P1286" s="47" t="b">
        <v>1</v>
      </c>
      <c r="Q1286" s="36">
        <f t="shared" si="24"/>
        <v>45716.57409</v>
      </c>
      <c r="R1286" s="47" t="b">
        <v>0</v>
      </c>
      <c r="S1286" s="42" t="str">
        <f t="shared" si="28"/>
        <v/>
      </c>
      <c r="T1286" s="42"/>
    </row>
    <row r="1287" ht="22.5" customHeight="1">
      <c r="B1287" s="42">
        <f t="shared" si="7"/>
        <v>1281</v>
      </c>
      <c r="C1287" s="31" t="s">
        <v>1418</v>
      </c>
      <c r="D1287" s="34" t="str">
        <f t="array" ref="D1287">IFNA(_xlfn.XLOOKUP(C1287,Table_Tarikan_Warkah[Nomor Sertipikat],Table_Tarikan_Warkah[Nomor Tiket]),"")</f>
        <v>K/29/200225/1</v>
      </c>
      <c r="E1287" s="36">
        <f t="array" ref="E1287">IFNA(_xlfn.XLOOKUP(D1287,Table_Tarikan_Warkah[Nomor Tiket],Table_Tarikan_Warkah[Tanggal diserahkan kepada Validator]),"")</f>
        <v>45720.4392</v>
      </c>
      <c r="F1287" s="36" t="str">
        <f t="array" ref="F1287">IFNA(_xlfn.XLOOKUP(D1287,Table_Tarikan_Warkah[Nomor Tiket],Table_Tarikan_Warkah[Nama Petugas Warkah]),"")</f>
        <v/>
      </c>
      <c r="G1287" s="39" t="str">
        <f t="array" ref="G1287">IFNA(_xlfn.XLOOKUP(D1287,Table_Tarikan_Warkah[Nomor Tiket],Table_Tarikan_Warkah[Jenis Permohonan]),"")</f>
        <v>JUAL BELI</v>
      </c>
      <c r="H1287" s="41" t="s">
        <v>11</v>
      </c>
      <c r="I1287" s="49" t="s">
        <v>23</v>
      </c>
      <c r="J1287" s="36">
        <f t="shared" si="20"/>
        <v>45720.55103</v>
      </c>
      <c r="K1287" s="41" t="s">
        <v>197</v>
      </c>
      <c r="L1287" s="49" t="s">
        <v>23</v>
      </c>
      <c r="M1287" s="36">
        <f t="shared" si="26"/>
        <v>45716.57274</v>
      </c>
      <c r="N1287" s="30" t="str">
        <f t="shared" si="27"/>
        <v>Selesai</v>
      </c>
      <c r="O1287" s="45">
        <f t="shared" si="23"/>
        <v>45716.57274</v>
      </c>
      <c r="P1287" s="47" t="b">
        <v>1</v>
      </c>
      <c r="Q1287" s="36">
        <f t="shared" si="24"/>
        <v>45716.57409</v>
      </c>
      <c r="R1287" s="47" t="b">
        <v>0</v>
      </c>
      <c r="S1287" s="42" t="str">
        <f t="shared" si="28"/>
        <v/>
      </c>
      <c r="T1287" s="42"/>
    </row>
    <row r="1288" ht="22.5" customHeight="1">
      <c r="B1288" s="42">
        <f t="shared" si="7"/>
        <v>1282</v>
      </c>
      <c r="C1288" s="31" t="s">
        <v>1419</v>
      </c>
      <c r="D1288" s="34" t="str">
        <f t="array" ref="D1288">IFNA(_xlfn.XLOOKUP(C1288,Table_Tarikan_Warkah[Nomor Sertipikat],Table_Tarikan_Warkah[Nomor Tiket]),"")</f>
        <v>K/10/300125/1</v>
      </c>
      <c r="E1288" s="36" t="str">
        <f t="array" ref="E1288">IFNA(_xlfn.XLOOKUP(D1288,Table_Tarikan_Warkah[Nomor Tiket],Table_Tarikan_Warkah[Tanggal diserahkan kepada Validator]),"")</f>
        <v/>
      </c>
      <c r="F1288" s="36" t="str">
        <f t="array" ref="F1288">IFNA(_xlfn.XLOOKUP(D1288,Table_Tarikan_Warkah[Nomor Tiket],Table_Tarikan_Warkah[Nama Petugas Warkah]),"")</f>
        <v/>
      </c>
      <c r="G1288" s="39" t="str">
        <f t="array" ref="G1288">IFNA(_xlfn.XLOOKUP(D1288,Table_Tarikan_Warkah[Nomor Tiket],Table_Tarikan_Warkah[Jenis Permohonan]),"")</f>
        <v>PTPGT</v>
      </c>
      <c r="H1288" s="41" t="s">
        <v>11</v>
      </c>
      <c r="I1288" s="49" t="s">
        <v>23</v>
      </c>
      <c r="J1288" s="36">
        <f t="shared" si="20"/>
        <v>45720.55103</v>
      </c>
      <c r="K1288" s="49" t="s">
        <v>197</v>
      </c>
      <c r="L1288" s="49" t="s">
        <v>23</v>
      </c>
      <c r="M1288" s="36">
        <f t="shared" si="26"/>
        <v>45716.57274</v>
      </c>
      <c r="N1288" s="30" t="str">
        <f t="shared" si="27"/>
        <v>Selesai</v>
      </c>
      <c r="O1288" s="45">
        <f t="shared" si="23"/>
        <v>45716.57274</v>
      </c>
      <c r="P1288" s="47" t="b">
        <v>1</v>
      </c>
      <c r="Q1288" s="36">
        <f t="shared" si="24"/>
        <v>45716.57409</v>
      </c>
      <c r="R1288" s="47" t="b">
        <v>0</v>
      </c>
      <c r="S1288" s="42" t="str">
        <f t="shared" si="28"/>
        <v/>
      </c>
      <c r="T1288" s="42"/>
    </row>
    <row r="1289" ht="22.5" customHeight="1">
      <c r="B1289" s="42">
        <f t="shared" si="7"/>
        <v>1283</v>
      </c>
      <c r="C1289" s="31" t="s">
        <v>1420</v>
      </c>
      <c r="D1289" s="34" t="str">
        <f t="array" ref="D1289">IFNA(_xlfn.XLOOKUP(C1289,Table_Tarikan_Warkah[Nomor Sertipikat],Table_Tarikan_Warkah[Nomor Tiket]),"")</f>
        <v>K/41/060225/1</v>
      </c>
      <c r="E1289" s="36">
        <f t="array" ref="E1289">IFNA(_xlfn.XLOOKUP(D1289,Table_Tarikan_Warkah[Nomor Tiket],Table_Tarikan_Warkah[Tanggal diserahkan kepada Validator]),"")</f>
        <v>45720.4392</v>
      </c>
      <c r="F1289" s="36" t="str">
        <f t="array" ref="F1289">IFNA(_xlfn.XLOOKUP(D1289,Table_Tarikan_Warkah[Nomor Tiket],Table_Tarikan_Warkah[Nama Petugas Warkah]),"")</f>
        <v/>
      </c>
      <c r="G1289" s="39" t="str">
        <f t="array" ref="G1289">IFNA(_xlfn.XLOOKUP(D1289,Table_Tarikan_Warkah[Nomor Tiket],Table_Tarikan_Warkah[Jenis Permohonan]),"")</f>
        <v>JUAL BELI</v>
      </c>
      <c r="H1289" s="41" t="s">
        <v>11</v>
      </c>
      <c r="I1289" s="49" t="s">
        <v>23</v>
      </c>
      <c r="J1289" s="36">
        <f t="shared" si="20"/>
        <v>45720.55103</v>
      </c>
      <c r="K1289" s="41" t="s">
        <v>197</v>
      </c>
      <c r="L1289" s="49" t="s">
        <v>23</v>
      </c>
      <c r="M1289" s="36">
        <f t="shared" si="26"/>
        <v>45716.57274</v>
      </c>
      <c r="N1289" s="30" t="str">
        <f t="shared" si="27"/>
        <v>Selesai</v>
      </c>
      <c r="O1289" s="45">
        <f t="shared" si="23"/>
        <v>45716.57274</v>
      </c>
      <c r="P1289" s="47" t="b">
        <v>1</v>
      </c>
      <c r="Q1289" s="36">
        <f t="shared" si="24"/>
        <v>45716.57417</v>
      </c>
      <c r="R1289" s="47" t="b">
        <v>0</v>
      </c>
      <c r="S1289" s="42" t="str">
        <f t="shared" si="28"/>
        <v/>
      </c>
      <c r="T1289" s="42"/>
    </row>
    <row r="1290" ht="22.5" customHeight="1">
      <c r="B1290" s="42">
        <f t="shared" si="7"/>
        <v>1284</v>
      </c>
      <c r="C1290" s="31" t="s">
        <v>1421</v>
      </c>
      <c r="D1290" s="34" t="str">
        <f t="array" ref="D1290">IFNA(_xlfn.XLOOKUP(C1290,Table_Tarikan_Warkah[Nomor Sertipikat],Table_Tarikan_Warkah[Nomor Tiket]),"")</f>
        <v>K/26/180225/2</v>
      </c>
      <c r="E1290" s="36">
        <f t="array" ref="E1290">IFNA(_xlfn.XLOOKUP(D1290,Table_Tarikan_Warkah[Nomor Tiket],Table_Tarikan_Warkah[Tanggal diserahkan kepada Validator]),"")</f>
        <v>45777.4403</v>
      </c>
      <c r="F1290" s="36" t="str">
        <f t="array" ref="F1290">IFNA(_xlfn.XLOOKUP(D1290,Table_Tarikan_Warkah[Nomor Tiket],Table_Tarikan_Warkah[Nama Petugas Warkah]),"")</f>
        <v/>
      </c>
      <c r="G1290" s="39" t="str">
        <f t="array" ref="G1290">IFNA(_xlfn.XLOOKUP(D1290,Table_Tarikan_Warkah[Nomor Tiket],Table_Tarikan_Warkah[Jenis Permohonan]),"")</f>
        <v>JUAL BELI</v>
      </c>
      <c r="H1290" s="41" t="s">
        <v>11</v>
      </c>
      <c r="I1290" s="49" t="s">
        <v>23</v>
      </c>
      <c r="J1290" s="36">
        <f t="shared" si="20"/>
        <v>45720.55103</v>
      </c>
      <c r="K1290" s="41" t="s">
        <v>197</v>
      </c>
      <c r="L1290" s="49" t="s">
        <v>23</v>
      </c>
      <c r="M1290" s="36">
        <f t="shared" si="26"/>
        <v>45716.57274</v>
      </c>
      <c r="N1290" s="30" t="str">
        <f t="shared" si="27"/>
        <v>Selesai</v>
      </c>
      <c r="O1290" s="45">
        <f t="shared" si="23"/>
        <v>45716.57274</v>
      </c>
      <c r="P1290" s="47" t="b">
        <v>1</v>
      </c>
      <c r="Q1290" s="36">
        <f t="shared" si="24"/>
        <v>45716.57417</v>
      </c>
      <c r="R1290" s="47" t="b">
        <v>0</v>
      </c>
      <c r="S1290" s="42" t="str">
        <f t="shared" si="28"/>
        <v/>
      </c>
      <c r="T1290" s="42"/>
    </row>
    <row r="1291" ht="22.5" customHeight="1">
      <c r="B1291" s="42">
        <f t="shared" si="7"/>
        <v>1285</v>
      </c>
      <c r="C1291" s="31" t="s">
        <v>1422</v>
      </c>
      <c r="D1291" s="34" t="str">
        <f t="array" ref="D1291">IFNA(_xlfn.XLOOKUP(C1291,Table_Tarikan_Warkah[Nomor Sertipikat],Table_Tarikan_Warkah[Nomor Tiket]),"")</f>
        <v>K/4/140225/1</v>
      </c>
      <c r="E1291" s="36">
        <f t="array" ref="E1291">IFNA(_xlfn.XLOOKUP(D1291,Table_Tarikan_Warkah[Nomor Tiket],Table_Tarikan_Warkah[Tanggal diserahkan kepada Validator]),"")</f>
        <v>45720.4392</v>
      </c>
      <c r="F1291" s="36" t="str">
        <f t="array" ref="F1291">IFNA(_xlfn.XLOOKUP(D1291,Table_Tarikan_Warkah[Nomor Tiket],Table_Tarikan_Warkah[Nama Petugas Warkah]),"")</f>
        <v/>
      </c>
      <c r="G1291" s="39" t="str">
        <f t="array" ref="G1291">IFNA(_xlfn.XLOOKUP(D1291,Table_Tarikan_Warkah[Nomor Tiket],Table_Tarikan_Warkah[Jenis Permohonan]),"")</f>
        <v>BN Waris</v>
      </c>
      <c r="H1291" s="41" t="s">
        <v>11</v>
      </c>
      <c r="I1291" s="49" t="s">
        <v>23</v>
      </c>
      <c r="J1291" s="36">
        <f t="shared" si="20"/>
        <v>45720.55103</v>
      </c>
      <c r="K1291" s="49" t="s">
        <v>197</v>
      </c>
      <c r="L1291" s="49" t="s">
        <v>23</v>
      </c>
      <c r="M1291" s="36">
        <f t="shared" si="26"/>
        <v>45716.57274</v>
      </c>
      <c r="N1291" s="30" t="str">
        <f t="shared" si="27"/>
        <v>Selesai</v>
      </c>
      <c r="O1291" s="45">
        <f t="shared" si="23"/>
        <v>45716.57274</v>
      </c>
      <c r="P1291" s="47" t="b">
        <v>1</v>
      </c>
      <c r="Q1291" s="36">
        <f t="shared" si="24"/>
        <v>45716.57417</v>
      </c>
      <c r="R1291" s="47" t="b">
        <v>0</v>
      </c>
      <c r="S1291" s="42" t="str">
        <f t="shared" si="28"/>
        <v/>
      </c>
      <c r="T1291" s="42"/>
    </row>
    <row r="1292" ht="22.5" customHeight="1">
      <c r="B1292" s="42">
        <f t="shared" si="7"/>
        <v>1286</v>
      </c>
      <c r="C1292" s="31" t="s">
        <v>1423</v>
      </c>
      <c r="D1292" s="34" t="str">
        <f t="array" ref="D1292">IFNA(_xlfn.XLOOKUP(C1292,Table_Tarikan_Warkah[Nomor Sertipikat],Table_Tarikan_Warkah[Nomor Tiket]),"")</f>
        <v>K/22/200225/2</v>
      </c>
      <c r="E1292" s="36">
        <f t="array" ref="E1292">IFNA(_xlfn.XLOOKUP(D1292,Table_Tarikan_Warkah[Nomor Tiket],Table_Tarikan_Warkah[Tanggal diserahkan kepada Validator]),"")</f>
        <v>45720.4392</v>
      </c>
      <c r="F1292" s="36" t="str">
        <f t="array" ref="F1292">IFNA(_xlfn.XLOOKUP(D1292,Table_Tarikan_Warkah[Nomor Tiket],Table_Tarikan_Warkah[Nama Petugas Warkah]),"")</f>
        <v/>
      </c>
      <c r="G1292" s="39" t="str">
        <f t="array" ref="G1292">IFNA(_xlfn.XLOOKUP(D1292,Table_Tarikan_Warkah[Nomor Tiket],Table_Tarikan_Warkah[Jenis Permohonan]),"")</f>
        <v>BN JUAL BELI</v>
      </c>
      <c r="H1292" s="41" t="s">
        <v>11</v>
      </c>
      <c r="I1292" s="49" t="s">
        <v>23</v>
      </c>
      <c r="J1292" s="36">
        <f t="shared" si="20"/>
        <v>45720.55103</v>
      </c>
      <c r="K1292" s="49" t="s">
        <v>197</v>
      </c>
      <c r="L1292" s="49" t="s">
        <v>23</v>
      </c>
      <c r="M1292" s="36">
        <f t="shared" si="26"/>
        <v>45716.57274</v>
      </c>
      <c r="N1292" s="30" t="str">
        <f t="shared" si="27"/>
        <v>Selesai</v>
      </c>
      <c r="O1292" s="45">
        <f t="shared" si="23"/>
        <v>45716.57274</v>
      </c>
      <c r="P1292" s="47" t="b">
        <v>1</v>
      </c>
      <c r="Q1292" s="36">
        <f t="shared" si="24"/>
        <v>45716.57417</v>
      </c>
      <c r="R1292" s="47" t="b">
        <v>0</v>
      </c>
      <c r="S1292" s="42" t="str">
        <f t="shared" si="28"/>
        <v/>
      </c>
      <c r="T1292" s="42"/>
    </row>
    <row r="1293" ht="22.5" customHeight="1">
      <c r="B1293" s="42">
        <f t="shared" si="7"/>
        <v>1287</v>
      </c>
      <c r="C1293" s="31" t="s">
        <v>1424</v>
      </c>
      <c r="D1293" s="34" t="str">
        <f t="array" ref="D1293">IFNA(_xlfn.XLOOKUP(C1293,Table_Tarikan_Warkah[Nomor Sertipikat],Table_Tarikan_Warkah[Nomor Tiket]),"")</f>
        <v>K/10/210225/1</v>
      </c>
      <c r="E1293" s="36">
        <f t="array" ref="E1293">IFNA(_xlfn.XLOOKUP(D1293,Table_Tarikan_Warkah[Nomor Tiket],Table_Tarikan_Warkah[Tanggal diserahkan kepada Validator]),"")</f>
        <v>45720.4392</v>
      </c>
      <c r="F1293" s="36" t="str">
        <f t="array" ref="F1293">IFNA(_xlfn.XLOOKUP(D1293,Table_Tarikan_Warkah[Nomor Tiket],Table_Tarikan_Warkah[Nama Petugas Warkah]),"")</f>
        <v/>
      </c>
      <c r="G1293" s="39" t="str">
        <f t="array" ref="G1293">IFNA(_xlfn.XLOOKUP(D1293,Table_Tarikan_Warkah[Nomor Tiket],Table_Tarikan_Warkah[Jenis Permohonan]),"")</f>
        <v>APHB</v>
      </c>
      <c r="H1293" s="41" t="s">
        <v>11</v>
      </c>
      <c r="I1293" s="49" t="s">
        <v>23</v>
      </c>
      <c r="J1293" s="36">
        <f t="shared" si="20"/>
        <v>45720.55103</v>
      </c>
      <c r="K1293" s="41" t="s">
        <v>197</v>
      </c>
      <c r="L1293" s="49" t="s">
        <v>23</v>
      </c>
      <c r="M1293" s="36">
        <f t="shared" si="26"/>
        <v>45716.57274</v>
      </c>
      <c r="N1293" s="30" t="str">
        <f t="shared" si="27"/>
        <v>Selesai</v>
      </c>
      <c r="O1293" s="45">
        <f t="shared" si="23"/>
        <v>45716.57274</v>
      </c>
      <c r="P1293" s="47" t="b">
        <v>1</v>
      </c>
      <c r="Q1293" s="36">
        <f t="shared" si="24"/>
        <v>45716.57417</v>
      </c>
      <c r="R1293" s="47" t="b">
        <v>0</v>
      </c>
      <c r="S1293" s="42" t="str">
        <f t="shared" si="28"/>
        <v/>
      </c>
      <c r="T1293" s="42"/>
    </row>
    <row r="1294" ht="22.5" customHeight="1">
      <c r="B1294" s="42">
        <f t="shared" si="7"/>
        <v>1288</v>
      </c>
      <c r="C1294" s="31" t="s">
        <v>1425</v>
      </c>
      <c r="D1294" s="34" t="str">
        <f t="array" ref="D1294">IFNA(_xlfn.XLOOKUP(C1294,Table_Tarikan_Warkah[Nomor Sertipikat],Table_Tarikan_Warkah[Nomor Tiket]),"")</f>
        <v>K/27/170225/2</v>
      </c>
      <c r="E1294" s="36">
        <f t="array" ref="E1294">IFNA(_xlfn.XLOOKUP(D1294,Table_Tarikan_Warkah[Nomor Tiket],Table_Tarikan_Warkah[Tanggal diserahkan kepada Validator]),"")</f>
        <v>45720.4392</v>
      </c>
      <c r="F1294" s="36" t="str">
        <f t="array" ref="F1294">IFNA(_xlfn.XLOOKUP(D1294,Table_Tarikan_Warkah[Nomor Tiket],Table_Tarikan_Warkah[Nama Petugas Warkah]),"")</f>
        <v/>
      </c>
      <c r="G1294" s="39" t="str">
        <f t="array" ref="G1294">IFNA(_xlfn.XLOOKUP(D1294,Table_Tarikan_Warkah[Nomor Tiket],Table_Tarikan_Warkah[Jenis Permohonan]),"")</f>
        <v>BN Jual Beli</v>
      </c>
      <c r="H1294" s="41" t="s">
        <v>11</v>
      </c>
      <c r="I1294" s="49" t="s">
        <v>23</v>
      </c>
      <c r="J1294" s="36">
        <f t="shared" si="20"/>
        <v>45720.55103</v>
      </c>
      <c r="K1294" s="49" t="s">
        <v>197</v>
      </c>
      <c r="L1294" s="49" t="s">
        <v>23</v>
      </c>
      <c r="M1294" s="36">
        <f t="shared" si="26"/>
        <v>45716.57274</v>
      </c>
      <c r="N1294" s="30" t="str">
        <f t="shared" si="27"/>
        <v>Selesai</v>
      </c>
      <c r="O1294" s="45">
        <f t="shared" si="23"/>
        <v>45716.57274</v>
      </c>
      <c r="P1294" s="47" t="b">
        <v>1</v>
      </c>
      <c r="Q1294" s="36">
        <f t="shared" si="24"/>
        <v>45716.57417</v>
      </c>
      <c r="R1294" s="47" t="b">
        <v>0</v>
      </c>
      <c r="S1294" s="42" t="str">
        <f t="shared" si="28"/>
        <v/>
      </c>
      <c r="T1294" s="42"/>
    </row>
    <row r="1295" ht="22.5" customHeight="1">
      <c r="B1295" s="42">
        <f t="shared" si="7"/>
        <v>1289</v>
      </c>
      <c r="C1295" s="31" t="s">
        <v>1426</v>
      </c>
      <c r="D1295" s="34" t="str">
        <f t="array" ref="D1295">IFNA(_xlfn.XLOOKUP(C1295,Table_Tarikan_Warkah[Nomor Sertipikat],Table_Tarikan_Warkah[Nomor Tiket]),"")</f>
        <v>K/10/220125/1</v>
      </c>
      <c r="E1295" s="36">
        <f t="array" ref="E1295">IFNA(_xlfn.XLOOKUP(D1295,Table_Tarikan_Warkah[Nomor Tiket],Table_Tarikan_Warkah[Tanggal diserahkan kepada Validator]),"")</f>
        <v>45730.60725</v>
      </c>
      <c r="F1295" s="36" t="str">
        <f t="array" ref="F1295">IFNA(_xlfn.XLOOKUP(D1295,Table_Tarikan_Warkah[Nomor Tiket],Table_Tarikan_Warkah[Nama Petugas Warkah]),"")</f>
        <v>Berry</v>
      </c>
      <c r="G1295" s="39" t="str">
        <f t="array" ref="G1295">IFNA(_xlfn.XLOOKUP(D1295,Table_Tarikan_Warkah[Nomor Tiket],Table_Tarikan_Warkah[Jenis Permohonan]),"")</f>
        <v>Roya</v>
      </c>
      <c r="H1295" s="41" t="s">
        <v>11</v>
      </c>
      <c r="I1295" s="49" t="s">
        <v>23</v>
      </c>
      <c r="J1295" s="36">
        <f t="shared" si="20"/>
        <v>45720.55103</v>
      </c>
      <c r="K1295" s="41" t="s">
        <v>197</v>
      </c>
      <c r="L1295" s="49" t="s">
        <v>23</v>
      </c>
      <c r="M1295" s="36">
        <f t="shared" si="26"/>
        <v>45716.57274</v>
      </c>
      <c r="N1295" s="30" t="str">
        <f t="shared" si="27"/>
        <v>Selesai</v>
      </c>
      <c r="O1295" s="45">
        <f t="shared" si="23"/>
        <v>45716.57274</v>
      </c>
      <c r="P1295" s="47" t="b">
        <v>1</v>
      </c>
      <c r="Q1295" s="36">
        <f t="shared" si="24"/>
        <v>45716.57417</v>
      </c>
      <c r="R1295" s="47" t="b">
        <v>0</v>
      </c>
      <c r="S1295" s="42" t="str">
        <f t="shared" si="28"/>
        <v/>
      </c>
      <c r="T1295" s="42"/>
    </row>
    <row r="1296" ht="22.5" customHeight="1">
      <c r="B1296" s="42">
        <f t="shared" si="7"/>
        <v>1290</v>
      </c>
      <c r="C1296" s="31" t="s">
        <v>1427</v>
      </c>
      <c r="D1296" s="34" t="str">
        <f t="array" ref="D1296">IFNA(_xlfn.XLOOKUP(C1296,Table_Tarikan_Warkah[Nomor Sertipikat],Table_Tarikan_Warkah[Nomor Tiket]),"")</f>
        <v>L/4/220225/PELATARAN</v>
      </c>
      <c r="E1296" s="36">
        <f t="array" ref="E1296">IFNA(_xlfn.XLOOKUP(D1296,Table_Tarikan_Warkah[Nomor Tiket],Table_Tarikan_Warkah[Tanggal diserahkan kepada Validator]),"")</f>
        <v>45741.52422</v>
      </c>
      <c r="F1296" s="36" t="str">
        <f t="array" ref="F1296">IFNA(_xlfn.XLOOKUP(D1296,Table_Tarikan_Warkah[Nomor Tiket],Table_Tarikan_Warkah[Nama Petugas Warkah]),"")</f>
        <v/>
      </c>
      <c r="G1296" s="39" t="str">
        <f t="array" ref="G1296">IFNA(_xlfn.XLOOKUP(D1296,Table_Tarikan_Warkah[Nomor Tiket],Table_Tarikan_Warkah[Jenis Permohonan]),"")</f>
        <v>ROYA</v>
      </c>
      <c r="H1296" s="41" t="s">
        <v>11</v>
      </c>
      <c r="I1296" s="49" t="s">
        <v>23</v>
      </c>
      <c r="J1296" s="36">
        <f t="shared" si="20"/>
        <v>45720.55103</v>
      </c>
      <c r="K1296" s="41" t="s">
        <v>197</v>
      </c>
      <c r="L1296" s="49" t="s">
        <v>23</v>
      </c>
      <c r="M1296" s="36">
        <f t="shared" si="26"/>
        <v>45716.57274</v>
      </c>
      <c r="N1296" s="30" t="str">
        <f t="shared" si="27"/>
        <v>Selesai</v>
      </c>
      <c r="O1296" s="45">
        <f t="shared" si="23"/>
        <v>45716.57274</v>
      </c>
      <c r="P1296" s="47" t="b">
        <v>1</v>
      </c>
      <c r="Q1296" s="36">
        <f t="shared" si="24"/>
        <v>45716.57417</v>
      </c>
      <c r="R1296" s="47" t="b">
        <v>0</v>
      </c>
      <c r="S1296" s="42" t="str">
        <f t="shared" si="28"/>
        <v/>
      </c>
      <c r="T1296" s="42"/>
    </row>
    <row r="1297" ht="22.5" customHeight="1">
      <c r="B1297" s="42">
        <f t="shared" si="7"/>
        <v>1291</v>
      </c>
      <c r="C1297" s="31" t="s">
        <v>1428</v>
      </c>
      <c r="D1297" s="34" t="str">
        <f t="array" ref="D1297">IFNA(_xlfn.XLOOKUP(C1297,Table_Tarikan_Warkah[Nomor Sertipikat],Table_Tarikan_Warkah[Nomor Tiket]),"")</f>
        <v>K/4/130225/1</v>
      </c>
      <c r="E1297" s="36">
        <f t="array" ref="E1297">IFNA(_xlfn.XLOOKUP(D1297,Table_Tarikan_Warkah[Nomor Tiket],Table_Tarikan_Warkah[Tanggal diserahkan kepada Validator]),"")</f>
        <v>45720.4392</v>
      </c>
      <c r="F1297" s="36" t="str">
        <f t="array" ref="F1297">IFNA(_xlfn.XLOOKUP(D1297,Table_Tarikan_Warkah[Nomor Tiket],Table_Tarikan_Warkah[Nama Petugas Warkah]),"")</f>
        <v/>
      </c>
      <c r="G1297" s="39" t="str">
        <f t="array" ref="G1297">IFNA(_xlfn.XLOOKUP(D1297,Table_Tarikan_Warkah[Nomor Tiket],Table_Tarikan_Warkah[Jenis Permohonan]),"")</f>
        <v>JUAL BELI</v>
      </c>
      <c r="H1297" s="41" t="s">
        <v>20</v>
      </c>
      <c r="I1297" s="49" t="s">
        <v>23</v>
      </c>
      <c r="J1297" s="36">
        <f t="shared" si="20"/>
        <v>45719.47896</v>
      </c>
      <c r="K1297" s="49" t="s">
        <v>197</v>
      </c>
      <c r="L1297" s="49" t="s">
        <v>23</v>
      </c>
      <c r="M1297" s="36">
        <f t="shared" si="26"/>
        <v>45716.57274</v>
      </c>
      <c r="N1297" s="30" t="str">
        <f t="shared" si="27"/>
        <v>Selesai</v>
      </c>
      <c r="O1297" s="45">
        <f t="shared" si="23"/>
        <v>45716.57274</v>
      </c>
      <c r="P1297" s="47" t="b">
        <v>1</v>
      </c>
      <c r="Q1297" s="36">
        <f t="shared" si="24"/>
        <v>45719.47896</v>
      </c>
      <c r="R1297" s="47" t="b">
        <v>0</v>
      </c>
      <c r="S1297" s="42" t="str">
        <f t="shared" si="28"/>
        <v/>
      </c>
      <c r="T1297" s="42"/>
    </row>
    <row r="1298" ht="22.5" customHeight="1">
      <c r="B1298" s="42">
        <f t="shared" si="7"/>
        <v>1292</v>
      </c>
      <c r="C1298" s="31" t="s">
        <v>1429</v>
      </c>
      <c r="D1298" s="34" t="str">
        <f t="array" ref="D1298">IFNA(_xlfn.XLOOKUP(C1298,Table_Tarikan_Warkah[Nomor Sertipikat],Table_Tarikan_Warkah[Nomor Tiket]),"")</f>
        <v>K/5/130225/1</v>
      </c>
      <c r="E1298" s="36">
        <f t="array" ref="E1298">IFNA(_xlfn.XLOOKUP(D1298,Table_Tarikan_Warkah[Nomor Tiket],Table_Tarikan_Warkah[Tanggal diserahkan kepada Validator]),"")</f>
        <v>45720.4392</v>
      </c>
      <c r="F1298" s="36" t="str">
        <f t="array" ref="F1298">IFNA(_xlfn.XLOOKUP(D1298,Table_Tarikan_Warkah[Nomor Tiket],Table_Tarikan_Warkah[Nama Petugas Warkah]),"")</f>
        <v/>
      </c>
      <c r="G1298" s="39" t="str">
        <f t="array" ref="G1298">IFNA(_xlfn.XLOOKUP(D1298,Table_Tarikan_Warkah[Nomor Tiket],Table_Tarikan_Warkah[Jenis Permohonan]),"")</f>
        <v>BN JUAL BELI</v>
      </c>
      <c r="H1298" s="41" t="s">
        <v>20</v>
      </c>
      <c r="I1298" s="49" t="s">
        <v>23</v>
      </c>
      <c r="J1298" s="36">
        <f t="shared" si="20"/>
        <v>45719.47896</v>
      </c>
      <c r="K1298" s="49" t="s">
        <v>197</v>
      </c>
      <c r="L1298" s="49" t="s">
        <v>23</v>
      </c>
      <c r="M1298" s="36">
        <f t="shared" si="26"/>
        <v>45719.47896</v>
      </c>
      <c r="N1298" s="30" t="str">
        <f t="shared" si="27"/>
        <v>Selesai</v>
      </c>
      <c r="O1298" s="45">
        <f t="shared" si="23"/>
        <v>45719.47896</v>
      </c>
      <c r="P1298" s="47" t="b">
        <v>1</v>
      </c>
      <c r="Q1298" s="36">
        <f t="shared" si="24"/>
        <v>45719.47896</v>
      </c>
      <c r="R1298" s="47" t="b">
        <v>0</v>
      </c>
      <c r="S1298" s="42" t="str">
        <f t="shared" si="28"/>
        <v/>
      </c>
      <c r="T1298" s="42"/>
    </row>
    <row r="1299" ht="22.5" customHeight="1">
      <c r="B1299" s="42">
        <f t="shared" si="7"/>
        <v>1293</v>
      </c>
      <c r="C1299" s="31" t="s">
        <v>1430</v>
      </c>
      <c r="D1299" s="34" t="str">
        <f t="array" ref="D1299">IFNA(_xlfn.XLOOKUP(C1299,Table_Tarikan_Warkah[Nomor Sertipikat],Table_Tarikan_Warkah[Nomor Tiket]),"")</f>
        <v>K/7/190225/1</v>
      </c>
      <c r="E1299" s="36">
        <f t="array" ref="E1299">IFNA(_xlfn.XLOOKUP(D1299,Table_Tarikan_Warkah[Nomor Tiket],Table_Tarikan_Warkah[Tanggal diserahkan kepada Validator]),"")</f>
        <v>45720.4392</v>
      </c>
      <c r="F1299" s="36" t="str">
        <f t="array" ref="F1299">IFNA(_xlfn.XLOOKUP(D1299,Table_Tarikan_Warkah[Nomor Tiket],Table_Tarikan_Warkah[Nama Petugas Warkah]),"")</f>
        <v/>
      </c>
      <c r="G1299" s="39" t="str">
        <f t="array" ref="G1299">IFNA(_xlfn.XLOOKUP(D1299,Table_Tarikan_Warkah[Nomor Tiket],Table_Tarikan_Warkah[Jenis Permohonan]),"")</f>
        <v>BN JUAL BELI</v>
      </c>
      <c r="H1299" s="41" t="s">
        <v>20</v>
      </c>
      <c r="I1299" s="49" t="s">
        <v>23</v>
      </c>
      <c r="J1299" s="36">
        <f t="shared" si="20"/>
        <v>45719.47896</v>
      </c>
      <c r="K1299" s="49" t="s">
        <v>197</v>
      </c>
      <c r="L1299" s="49" t="s">
        <v>23</v>
      </c>
      <c r="M1299" s="36">
        <f t="shared" si="26"/>
        <v>45719.47896</v>
      </c>
      <c r="N1299" s="30" t="str">
        <f t="shared" si="27"/>
        <v>Selesai</v>
      </c>
      <c r="O1299" s="45">
        <f t="shared" si="23"/>
        <v>45719.47896</v>
      </c>
      <c r="P1299" s="47" t="b">
        <v>1</v>
      </c>
      <c r="Q1299" s="36">
        <f t="shared" si="24"/>
        <v>45719.47896</v>
      </c>
      <c r="R1299" s="47" t="b">
        <v>0</v>
      </c>
      <c r="S1299" s="42" t="str">
        <f t="shared" si="28"/>
        <v/>
      </c>
      <c r="T1299" s="42"/>
    </row>
    <row r="1300" ht="22.5" customHeight="1">
      <c r="B1300" s="42">
        <f t="shared" si="7"/>
        <v>1294</v>
      </c>
      <c r="C1300" s="31" t="s">
        <v>1431</v>
      </c>
      <c r="D1300" s="34" t="str">
        <f t="array" ref="D1300">IFNA(_xlfn.XLOOKUP(C1300,Table_Tarikan_Warkah[Nomor Sertipikat],Table_Tarikan_Warkah[Nomor Tiket]),"")</f>
        <v>K/33/200225/1</v>
      </c>
      <c r="E1300" s="36">
        <f t="array" ref="E1300">IFNA(_xlfn.XLOOKUP(D1300,Table_Tarikan_Warkah[Nomor Tiket],Table_Tarikan_Warkah[Tanggal diserahkan kepada Validator]),"")</f>
        <v>45720.4392</v>
      </c>
      <c r="F1300" s="36" t="str">
        <f t="array" ref="F1300">IFNA(_xlfn.XLOOKUP(D1300,Table_Tarikan_Warkah[Nomor Tiket],Table_Tarikan_Warkah[Nama Petugas Warkah]),"")</f>
        <v/>
      </c>
      <c r="G1300" s="39" t="str">
        <f t="array" ref="G1300">IFNA(_xlfn.XLOOKUP(D1300,Table_Tarikan_Warkah[Nomor Tiket],Table_Tarikan_Warkah[Jenis Permohonan]),"")</f>
        <v>BN Hibah</v>
      </c>
      <c r="H1300" s="41" t="s">
        <v>20</v>
      </c>
      <c r="I1300" s="49" t="s">
        <v>23</v>
      </c>
      <c r="J1300" s="36">
        <f t="shared" si="20"/>
        <v>45719.47896</v>
      </c>
      <c r="K1300" s="49" t="s">
        <v>197</v>
      </c>
      <c r="L1300" s="49" t="s">
        <v>23</v>
      </c>
      <c r="M1300" s="36">
        <f t="shared" si="26"/>
        <v>45719.47896</v>
      </c>
      <c r="N1300" s="30" t="str">
        <f t="shared" si="27"/>
        <v>Selesai</v>
      </c>
      <c r="O1300" s="45">
        <f t="shared" si="23"/>
        <v>45719.47896</v>
      </c>
      <c r="P1300" s="47" t="b">
        <v>1</v>
      </c>
      <c r="Q1300" s="36">
        <f t="shared" si="24"/>
        <v>45719.47896</v>
      </c>
      <c r="R1300" s="47" t="b">
        <v>0</v>
      </c>
      <c r="S1300" s="42" t="str">
        <f t="shared" si="28"/>
        <v/>
      </c>
      <c r="T1300" s="42"/>
    </row>
    <row r="1301" ht="22.5" customHeight="1">
      <c r="B1301" s="42">
        <f t="shared" si="7"/>
        <v>1295</v>
      </c>
      <c r="C1301" s="31" t="s">
        <v>1432</v>
      </c>
      <c r="D1301" s="42" t="s">
        <v>1433</v>
      </c>
      <c r="E1301" s="36" t="str">
        <f t="array" ref="E1301">IFNA(_xlfn.XLOOKUP(D1301,Table_Tarikan_Warkah[Nomor Tiket],Table_Tarikan_Warkah[Tanggal diserahkan kepada Validator]),"")</f>
        <v/>
      </c>
      <c r="F1301" s="36" t="str">
        <f t="array" ref="F1301">IFNA(_xlfn.XLOOKUP(D1301,Table_Tarikan_Warkah[Nomor Tiket],Table_Tarikan_Warkah[Nama Petugas Warkah]),"")</f>
        <v/>
      </c>
      <c r="G1301" s="39" t="str">
        <f t="array" ref="G1301">IFNA(_xlfn.XLOOKUP(D1301,Table_Tarikan_Warkah[Nomor Tiket],Table_Tarikan_Warkah[Jenis Permohonan]),"")</f>
        <v>BN Waris</v>
      </c>
      <c r="H1301" s="41" t="s">
        <v>20</v>
      </c>
      <c r="I1301" s="49" t="s">
        <v>23</v>
      </c>
      <c r="J1301" s="36">
        <f t="shared" si="20"/>
        <v>45719.47896</v>
      </c>
      <c r="K1301" s="49" t="s">
        <v>197</v>
      </c>
      <c r="L1301" s="49" t="s">
        <v>23</v>
      </c>
      <c r="M1301" s="36">
        <f t="shared" si="26"/>
        <v>45719.47896</v>
      </c>
      <c r="N1301" s="30" t="str">
        <f t="shared" si="27"/>
        <v>Selesai</v>
      </c>
      <c r="O1301" s="45">
        <f t="shared" si="23"/>
        <v>45719.47896</v>
      </c>
      <c r="P1301" s="47" t="b">
        <v>1</v>
      </c>
      <c r="Q1301" s="36">
        <f t="shared" si="24"/>
        <v>45719.47896</v>
      </c>
      <c r="R1301" s="47" t="b">
        <v>0</v>
      </c>
      <c r="S1301" s="42" t="str">
        <f t="shared" si="28"/>
        <v/>
      </c>
      <c r="T1301" s="42"/>
    </row>
    <row r="1302" ht="22.5" customHeight="1">
      <c r="B1302" s="42">
        <f t="shared" si="7"/>
        <v>1296</v>
      </c>
      <c r="C1302" s="31" t="s">
        <v>1434</v>
      </c>
      <c r="D1302" s="34" t="str">
        <f t="array" ref="D1302">IFNA(_xlfn.XLOOKUP(C1302,Table_Tarikan_Warkah[Nomor Sertipikat],Table_Tarikan_Warkah[Nomor Tiket]),"")</f>
        <v>K/37/210225/2</v>
      </c>
      <c r="E1302" s="36">
        <f t="array" ref="E1302">IFNA(_xlfn.XLOOKUP(D1302,Table_Tarikan_Warkah[Nomor Tiket],Table_Tarikan_Warkah[Tanggal diserahkan kepada Validator]),"")</f>
        <v>45720.4392</v>
      </c>
      <c r="F1302" s="36" t="str">
        <f t="array" ref="F1302">IFNA(_xlfn.XLOOKUP(D1302,Table_Tarikan_Warkah[Nomor Tiket],Table_Tarikan_Warkah[Nama Petugas Warkah]),"")</f>
        <v/>
      </c>
      <c r="G1302" s="39" t="str">
        <f t="array" ref="G1302">IFNA(_xlfn.XLOOKUP(D1302,Table_Tarikan_Warkah[Nomor Tiket],Table_Tarikan_Warkah[Jenis Permohonan]),"")</f>
        <v>BN Jual beli</v>
      </c>
      <c r="H1302" s="41" t="s">
        <v>20</v>
      </c>
      <c r="I1302" s="49" t="s">
        <v>23</v>
      </c>
      <c r="J1302" s="36">
        <f t="shared" si="20"/>
        <v>45719.47896</v>
      </c>
      <c r="K1302" s="49" t="s">
        <v>197</v>
      </c>
      <c r="L1302" s="49" t="s">
        <v>23</v>
      </c>
      <c r="M1302" s="36">
        <f t="shared" si="26"/>
        <v>45719.47896</v>
      </c>
      <c r="N1302" s="30" t="str">
        <f t="shared" si="27"/>
        <v>Selesai</v>
      </c>
      <c r="O1302" s="45">
        <f t="shared" si="23"/>
        <v>45719.47896</v>
      </c>
      <c r="P1302" s="47" t="b">
        <v>1</v>
      </c>
      <c r="Q1302" s="36">
        <f t="shared" si="24"/>
        <v>45719.47896</v>
      </c>
      <c r="R1302" s="47" t="b">
        <v>0</v>
      </c>
      <c r="S1302" s="42" t="str">
        <f t="shared" si="28"/>
        <v/>
      </c>
      <c r="T1302" s="42"/>
    </row>
    <row r="1303" ht="22.5" customHeight="1">
      <c r="B1303" s="42">
        <f t="shared" si="7"/>
        <v>1297</v>
      </c>
      <c r="C1303" s="31" t="s">
        <v>1435</v>
      </c>
      <c r="D1303" s="34" t="str">
        <f t="array" ref="D1303">IFNA(_xlfn.XLOOKUP(C1303,Table_Tarikan_Warkah[Nomor Sertipikat],Table_Tarikan_Warkah[Nomor Tiket]),"")</f>
        <v>K/2/200225/1</v>
      </c>
      <c r="E1303" s="36">
        <f t="array" ref="E1303">IFNA(_xlfn.XLOOKUP(D1303,Table_Tarikan_Warkah[Nomor Tiket],Table_Tarikan_Warkah[Tanggal diserahkan kepada Validator]),"")</f>
        <v>45720.4392</v>
      </c>
      <c r="F1303" s="36" t="str">
        <f t="array" ref="F1303">IFNA(_xlfn.XLOOKUP(D1303,Table_Tarikan_Warkah[Nomor Tiket],Table_Tarikan_Warkah[Nama Petugas Warkah]),"")</f>
        <v/>
      </c>
      <c r="G1303" s="39" t="str">
        <f t="array" ref="G1303">IFNA(_xlfn.XLOOKUP(D1303,Table_Tarikan_Warkah[Nomor Tiket],Table_Tarikan_Warkah[Jenis Permohonan]),"")</f>
        <v>BN Juak Beli</v>
      </c>
      <c r="H1303" s="41" t="s">
        <v>20</v>
      </c>
      <c r="I1303" s="49" t="s">
        <v>23</v>
      </c>
      <c r="J1303" s="36">
        <f t="shared" si="20"/>
        <v>45719.47896</v>
      </c>
      <c r="K1303" s="49" t="s">
        <v>197</v>
      </c>
      <c r="L1303" s="49" t="s">
        <v>23</v>
      </c>
      <c r="M1303" s="36">
        <f t="shared" si="26"/>
        <v>45719.47896</v>
      </c>
      <c r="N1303" s="30" t="str">
        <f t="shared" si="27"/>
        <v>Selesai</v>
      </c>
      <c r="O1303" s="45">
        <f t="shared" si="23"/>
        <v>45719.47896</v>
      </c>
      <c r="P1303" s="47" t="b">
        <v>1</v>
      </c>
      <c r="Q1303" s="36">
        <f t="shared" si="24"/>
        <v>45719.47896</v>
      </c>
      <c r="R1303" s="47" t="b">
        <v>0</v>
      </c>
      <c r="S1303" s="42" t="str">
        <f t="shared" si="28"/>
        <v/>
      </c>
      <c r="T1303" s="42"/>
    </row>
    <row r="1304" ht="22.5" customHeight="1">
      <c r="B1304" s="42">
        <f t="shared" si="7"/>
        <v>1298</v>
      </c>
      <c r="C1304" s="31" t="s">
        <v>1436</v>
      </c>
      <c r="D1304" s="34" t="str">
        <f t="array" ref="D1304">IFNA(_xlfn.XLOOKUP(C1304,Table_Tarikan_Warkah[Nomor Sertipikat],Table_Tarikan_Warkah[Nomor Tiket]),"")</f>
        <v>K/22/120225/2</v>
      </c>
      <c r="E1304" s="36">
        <f t="array" ref="E1304">IFNA(_xlfn.XLOOKUP(D1304,Table_Tarikan_Warkah[Nomor Tiket],Table_Tarikan_Warkah[Tanggal diserahkan kepada Validator]),"")</f>
        <v>45720.4392</v>
      </c>
      <c r="F1304" s="36" t="str">
        <f t="array" ref="F1304">IFNA(_xlfn.XLOOKUP(D1304,Table_Tarikan_Warkah[Nomor Tiket],Table_Tarikan_Warkah[Nama Petugas Warkah]),"")</f>
        <v/>
      </c>
      <c r="G1304" s="39" t="str">
        <f t="array" ref="G1304">IFNA(_xlfn.XLOOKUP(D1304,Table_Tarikan_Warkah[Nomor Tiket],Table_Tarikan_Warkah[Jenis Permohonan]),"")</f>
        <v>BN JUAL BELI</v>
      </c>
      <c r="H1304" s="41" t="s">
        <v>20</v>
      </c>
      <c r="I1304" s="49" t="s">
        <v>23</v>
      </c>
      <c r="J1304" s="36">
        <f t="shared" si="20"/>
        <v>45719.47896</v>
      </c>
      <c r="K1304" s="49" t="s">
        <v>197</v>
      </c>
      <c r="L1304" s="49" t="s">
        <v>23</v>
      </c>
      <c r="M1304" s="36">
        <f t="shared" si="26"/>
        <v>45719.47896</v>
      </c>
      <c r="N1304" s="30" t="str">
        <f t="shared" si="27"/>
        <v>Selesai</v>
      </c>
      <c r="O1304" s="45">
        <f t="shared" si="23"/>
        <v>45719.47896</v>
      </c>
      <c r="P1304" s="47" t="b">
        <v>1</v>
      </c>
      <c r="Q1304" s="36">
        <f t="shared" si="24"/>
        <v>45719.47896</v>
      </c>
      <c r="R1304" s="47" t="b">
        <v>0</v>
      </c>
      <c r="S1304" s="42" t="str">
        <f t="shared" si="28"/>
        <v/>
      </c>
      <c r="T1304" s="42"/>
    </row>
    <row r="1305" ht="22.5" customHeight="1">
      <c r="B1305" s="42">
        <f t="shared" si="7"/>
        <v>1299</v>
      </c>
      <c r="C1305" s="31" t="s">
        <v>1437</v>
      </c>
      <c r="D1305" s="34" t="str">
        <f t="array" ref="D1305">IFNA(_xlfn.XLOOKUP(C1305,Table_Tarikan_Warkah[Nomor Sertipikat],Table_Tarikan_Warkah[Nomor Tiket]),"")</f>
        <v>K/38/190225/2</v>
      </c>
      <c r="E1305" s="36">
        <f t="array" ref="E1305">IFNA(_xlfn.XLOOKUP(D1305,Table_Tarikan_Warkah[Nomor Tiket],Table_Tarikan_Warkah[Tanggal diserahkan kepada Validator]),"")</f>
        <v>45722.50355</v>
      </c>
      <c r="F1305" s="36" t="str">
        <f t="array" ref="F1305">IFNA(_xlfn.XLOOKUP(D1305,Table_Tarikan_Warkah[Nomor Tiket],Table_Tarikan_Warkah[Nama Petugas Warkah]),"")</f>
        <v/>
      </c>
      <c r="G1305" s="39" t="str">
        <f t="array" ref="G1305">IFNA(_xlfn.XLOOKUP(D1305,Table_Tarikan_Warkah[Nomor Tiket],Table_Tarikan_Warkah[Jenis Permohonan]),"")</f>
        <v>BN WARIS</v>
      </c>
      <c r="H1305" s="41" t="s">
        <v>20</v>
      </c>
      <c r="I1305" s="49" t="s">
        <v>23</v>
      </c>
      <c r="J1305" s="36">
        <f t="shared" si="20"/>
        <v>45719.47896</v>
      </c>
      <c r="K1305" s="49" t="s">
        <v>197</v>
      </c>
      <c r="L1305" s="49" t="s">
        <v>23</v>
      </c>
      <c r="M1305" s="36">
        <f t="shared" si="26"/>
        <v>45720.41907</v>
      </c>
      <c r="N1305" s="30" t="str">
        <f t="shared" si="27"/>
        <v>Selesai</v>
      </c>
      <c r="O1305" s="45">
        <f t="shared" si="23"/>
        <v>45720.41907</v>
      </c>
      <c r="P1305" s="47" t="b">
        <v>1</v>
      </c>
      <c r="Q1305" s="36">
        <f t="shared" si="24"/>
        <v>45720.41941</v>
      </c>
      <c r="R1305" s="47" t="b">
        <v>0</v>
      </c>
      <c r="S1305" s="42" t="str">
        <f t="shared" si="28"/>
        <v/>
      </c>
      <c r="T1305" s="42"/>
    </row>
    <row r="1306" ht="22.5" customHeight="1">
      <c r="B1306" s="42">
        <f t="shared" si="7"/>
        <v>1300</v>
      </c>
      <c r="C1306" s="31" t="s">
        <v>1438</v>
      </c>
      <c r="D1306" s="34" t="str">
        <f t="array" ref="D1306">IFNA(_xlfn.XLOOKUP(C1306,Table_Tarikan_Warkah[Nomor Sertipikat],Table_Tarikan_Warkah[Nomor Tiket]),"")</f>
        <v>K/4/190225/1</v>
      </c>
      <c r="E1306" s="36">
        <f t="array" ref="E1306">IFNA(_xlfn.XLOOKUP(D1306,Table_Tarikan_Warkah[Nomor Tiket],Table_Tarikan_Warkah[Tanggal diserahkan kepada Validator]),"")</f>
        <v>45722.50282</v>
      </c>
      <c r="F1306" s="36" t="str">
        <f t="array" ref="F1306">IFNA(_xlfn.XLOOKUP(D1306,Table_Tarikan_Warkah[Nomor Tiket],Table_Tarikan_Warkah[Nama Petugas Warkah]),"")</f>
        <v/>
      </c>
      <c r="G1306" s="39" t="str">
        <f t="array" ref="G1306">IFNA(_xlfn.XLOOKUP(D1306,Table_Tarikan_Warkah[Nomor Tiket],Table_Tarikan_Warkah[Jenis Permohonan]),"")</f>
        <v>BN JUAL BELI</v>
      </c>
      <c r="H1306" s="41" t="s">
        <v>20</v>
      </c>
      <c r="I1306" s="49" t="s">
        <v>23</v>
      </c>
      <c r="J1306" s="36">
        <f t="shared" si="20"/>
        <v>45719.47896</v>
      </c>
      <c r="K1306" s="49" t="s">
        <v>197</v>
      </c>
      <c r="L1306" s="49" t="s">
        <v>23</v>
      </c>
      <c r="M1306" s="36">
        <f t="shared" si="26"/>
        <v>45720.41907</v>
      </c>
      <c r="N1306" s="30" t="str">
        <f t="shared" si="27"/>
        <v>Selesai</v>
      </c>
      <c r="O1306" s="45">
        <f t="shared" si="23"/>
        <v>45720.41907</v>
      </c>
      <c r="P1306" s="47" t="b">
        <v>1</v>
      </c>
      <c r="Q1306" s="36">
        <f t="shared" si="24"/>
        <v>45720.41943</v>
      </c>
      <c r="R1306" s="47" t="b">
        <v>0</v>
      </c>
      <c r="S1306" s="42" t="str">
        <f t="shared" si="28"/>
        <v/>
      </c>
      <c r="T1306" s="42"/>
    </row>
    <row r="1307" ht="22.5" customHeight="1">
      <c r="B1307" s="42">
        <f t="shared" si="7"/>
        <v>1301</v>
      </c>
      <c r="C1307" s="31" t="s">
        <v>1439</v>
      </c>
      <c r="D1307" s="34" t="str">
        <f t="array" ref="D1307">IFNA(_xlfn.XLOOKUP(C1307,Table_Tarikan_Warkah[Nomor Sertipikat],Table_Tarikan_Warkah[Nomor Tiket]),"")</f>
        <v>K/18/050225/1</v>
      </c>
      <c r="E1307" s="36">
        <f t="array" ref="E1307">IFNA(_xlfn.XLOOKUP(D1307,Table_Tarikan_Warkah[Nomor Tiket],Table_Tarikan_Warkah[Tanggal diserahkan kepada Validator]),"")</f>
        <v>45722.50379</v>
      </c>
      <c r="F1307" s="36" t="str">
        <f t="array" ref="F1307">IFNA(_xlfn.XLOOKUP(D1307,Table_Tarikan_Warkah[Nomor Tiket],Table_Tarikan_Warkah[Nama Petugas Warkah]),"")</f>
        <v/>
      </c>
      <c r="G1307" s="39" t="str">
        <f t="array" ref="G1307">IFNA(_xlfn.XLOOKUP(D1307,Table_Tarikan_Warkah[Nomor Tiket],Table_Tarikan_Warkah[Jenis Permohonan]),"")</f>
        <v>BN JUAL BELI</v>
      </c>
      <c r="H1307" s="41" t="s">
        <v>20</v>
      </c>
      <c r="I1307" s="49" t="s">
        <v>23</v>
      </c>
      <c r="J1307" s="36">
        <f t="shared" si="20"/>
        <v>45719.47896</v>
      </c>
      <c r="K1307" s="49" t="s">
        <v>197</v>
      </c>
      <c r="L1307" s="49" t="s">
        <v>23</v>
      </c>
      <c r="M1307" s="36">
        <f t="shared" si="26"/>
        <v>45720.41907</v>
      </c>
      <c r="N1307" s="30" t="str">
        <f t="shared" si="27"/>
        <v>Selesai</v>
      </c>
      <c r="O1307" s="45">
        <f t="shared" si="23"/>
        <v>45720.41907</v>
      </c>
      <c r="P1307" s="47" t="b">
        <v>1</v>
      </c>
      <c r="Q1307" s="36">
        <f t="shared" si="24"/>
        <v>45720.41945</v>
      </c>
      <c r="R1307" s="47" t="b">
        <v>0</v>
      </c>
      <c r="S1307" s="42" t="str">
        <f t="shared" si="28"/>
        <v/>
      </c>
      <c r="T1307" s="42"/>
    </row>
    <row r="1308" ht="22.5" customHeight="1">
      <c r="B1308" s="42">
        <f t="shared" si="7"/>
        <v>1302</v>
      </c>
      <c r="C1308" s="31" t="s">
        <v>1440</v>
      </c>
      <c r="D1308" s="34" t="str">
        <f t="array" ref="D1308">IFNA(_xlfn.XLOOKUP(C1308,Table_Tarikan_Warkah[Nomor Sertipikat],Table_Tarikan_Warkah[Nomor Tiket]),"")</f>
        <v>K/46/100225/4</v>
      </c>
      <c r="E1308" s="36">
        <f t="array" ref="E1308">IFNA(_xlfn.XLOOKUP(D1308,Table_Tarikan_Warkah[Nomor Tiket],Table_Tarikan_Warkah[Tanggal diserahkan kepada Validator]),"")</f>
        <v>45722.50267</v>
      </c>
      <c r="F1308" s="36" t="str">
        <f t="array" ref="F1308">IFNA(_xlfn.XLOOKUP(D1308,Table_Tarikan_Warkah[Nomor Tiket],Table_Tarikan_Warkah[Nama Petugas Warkah]),"")</f>
        <v/>
      </c>
      <c r="G1308" s="39" t="str">
        <f t="array" ref="G1308">IFNA(_xlfn.XLOOKUP(D1308,Table_Tarikan_Warkah[Nomor Tiket],Table_Tarikan_Warkah[Jenis Permohonan]),"")</f>
        <v>BN JUAL BELI</v>
      </c>
      <c r="H1308" s="41" t="s">
        <v>20</v>
      </c>
      <c r="I1308" s="49" t="s">
        <v>23</v>
      </c>
      <c r="J1308" s="36">
        <f t="shared" si="20"/>
        <v>45719.47896</v>
      </c>
      <c r="K1308" s="49" t="s">
        <v>197</v>
      </c>
      <c r="L1308" s="49" t="s">
        <v>23</v>
      </c>
      <c r="M1308" s="36">
        <f t="shared" si="26"/>
        <v>45720.41907</v>
      </c>
      <c r="N1308" s="30" t="str">
        <f t="shared" si="27"/>
        <v>Selesai</v>
      </c>
      <c r="O1308" s="45">
        <f t="shared" si="23"/>
        <v>45720.41907</v>
      </c>
      <c r="P1308" s="47" t="b">
        <v>1</v>
      </c>
      <c r="Q1308" s="36">
        <f t="shared" si="24"/>
        <v>45720.41945</v>
      </c>
      <c r="R1308" s="47" t="b">
        <v>0</v>
      </c>
      <c r="S1308" s="42" t="str">
        <f t="shared" si="28"/>
        <v/>
      </c>
      <c r="T1308" s="42"/>
    </row>
    <row r="1309" ht="22.5" customHeight="1">
      <c r="B1309" s="42">
        <f t="shared" si="7"/>
        <v>1303</v>
      </c>
      <c r="C1309" s="31" t="s">
        <v>1441</v>
      </c>
      <c r="D1309" s="34" t="str">
        <f t="array" ref="D1309">IFNA(_xlfn.XLOOKUP(C1309,Table_Tarikan_Warkah[Nomor Sertipikat],Table_Tarikan_Warkah[Nomor Tiket]),"")</f>
        <v>K/43/250225/1</v>
      </c>
      <c r="E1309" s="36">
        <f t="array" ref="E1309">IFNA(_xlfn.XLOOKUP(D1309,Table_Tarikan_Warkah[Nomor Tiket],Table_Tarikan_Warkah[Tanggal diserahkan kepada Validator]),"")</f>
        <v>45722.50336</v>
      </c>
      <c r="F1309" s="36" t="str">
        <f t="array" ref="F1309">IFNA(_xlfn.XLOOKUP(D1309,Table_Tarikan_Warkah[Nomor Tiket],Table_Tarikan_Warkah[Nama Petugas Warkah]),"")</f>
        <v/>
      </c>
      <c r="G1309" s="39" t="str">
        <f t="array" ref="G1309">IFNA(_xlfn.XLOOKUP(D1309,Table_Tarikan_Warkah[Nomor Tiket],Table_Tarikan_Warkah[Jenis Permohonan]),"")</f>
        <v>BN JUAL BELI</v>
      </c>
      <c r="H1309" s="41" t="s">
        <v>20</v>
      </c>
      <c r="I1309" s="49" t="s">
        <v>23</v>
      </c>
      <c r="J1309" s="36">
        <f t="shared" si="20"/>
        <v>45719.47896</v>
      </c>
      <c r="K1309" s="49" t="s">
        <v>197</v>
      </c>
      <c r="L1309" s="49" t="s">
        <v>23</v>
      </c>
      <c r="M1309" s="36">
        <f t="shared" si="26"/>
        <v>45720.41907</v>
      </c>
      <c r="N1309" s="30" t="str">
        <f t="shared" si="27"/>
        <v>Selesai</v>
      </c>
      <c r="O1309" s="45">
        <f t="shared" si="23"/>
        <v>45720.41907</v>
      </c>
      <c r="P1309" s="47" t="b">
        <v>1</v>
      </c>
      <c r="Q1309" s="36">
        <f t="shared" si="24"/>
        <v>45720.4195</v>
      </c>
      <c r="R1309" s="47" t="b">
        <v>0</v>
      </c>
      <c r="S1309" s="42" t="str">
        <f t="shared" si="28"/>
        <v/>
      </c>
      <c r="T1309" s="42"/>
    </row>
    <row r="1310" ht="22.5" customHeight="1">
      <c r="B1310" s="42">
        <f t="shared" si="7"/>
        <v>1304</v>
      </c>
      <c r="C1310" s="31" t="s">
        <v>1442</v>
      </c>
      <c r="D1310" s="34" t="str">
        <f t="array" ref="D1310">IFNA(_xlfn.XLOOKUP(C1310,Table_Tarikan_Warkah[Nomor Sertipikat],Table_Tarikan_Warkah[Nomor Tiket]),"")</f>
        <v>K/16/250225/3</v>
      </c>
      <c r="E1310" s="36">
        <f t="array" ref="E1310">IFNA(_xlfn.XLOOKUP(D1310,Table_Tarikan_Warkah[Nomor Tiket],Table_Tarikan_Warkah[Tanggal diserahkan kepada Validator]),"")</f>
        <v>45722.50298</v>
      </c>
      <c r="F1310" s="36" t="str">
        <f t="array" ref="F1310">IFNA(_xlfn.XLOOKUP(D1310,Table_Tarikan_Warkah[Nomor Tiket],Table_Tarikan_Warkah[Nama Petugas Warkah]),"")</f>
        <v/>
      </c>
      <c r="G1310" s="39" t="str">
        <f t="array" ref="G1310">IFNA(_xlfn.XLOOKUP(D1310,Table_Tarikan_Warkah[Nomor Tiket],Table_Tarikan_Warkah[Jenis Permohonan]),"")</f>
        <v>BN JUAL BELI</v>
      </c>
      <c r="H1310" s="41" t="s">
        <v>20</v>
      </c>
      <c r="I1310" s="49" t="s">
        <v>23</v>
      </c>
      <c r="J1310" s="36">
        <f t="shared" si="20"/>
        <v>45719.47896</v>
      </c>
      <c r="K1310" s="49" t="s">
        <v>197</v>
      </c>
      <c r="L1310" s="49" t="s">
        <v>23</v>
      </c>
      <c r="M1310" s="36">
        <f t="shared" si="26"/>
        <v>45720.41907</v>
      </c>
      <c r="N1310" s="30" t="str">
        <f t="shared" si="27"/>
        <v>Selesai</v>
      </c>
      <c r="O1310" s="45">
        <f t="shared" si="23"/>
        <v>45720.41907</v>
      </c>
      <c r="P1310" s="47" t="b">
        <v>1</v>
      </c>
      <c r="Q1310" s="36">
        <f t="shared" si="24"/>
        <v>45720.41948</v>
      </c>
      <c r="R1310" s="47" t="b">
        <v>0</v>
      </c>
      <c r="S1310" s="42" t="str">
        <f t="shared" si="28"/>
        <v/>
      </c>
      <c r="T1310" s="42"/>
    </row>
    <row r="1311" ht="22.5" customHeight="1">
      <c r="B1311" s="42">
        <f t="shared" si="7"/>
        <v>1305</v>
      </c>
      <c r="C1311" s="31" t="s">
        <v>1443</v>
      </c>
      <c r="D1311" s="34" t="str">
        <f t="array" ref="D1311">IFNA(_xlfn.XLOOKUP(C1311,Table_Tarikan_Warkah[Nomor Sertipikat],Table_Tarikan_Warkah[Nomor Tiket]),"")</f>
        <v>K/31/240225/2</v>
      </c>
      <c r="E1311" s="36">
        <f t="array" ref="E1311">IFNA(_xlfn.XLOOKUP(D1311,Table_Tarikan_Warkah[Nomor Tiket],Table_Tarikan_Warkah[Tanggal diserahkan kepada Validator]),"")</f>
        <v>45722.50318</v>
      </c>
      <c r="F1311" s="36" t="str">
        <f t="array" ref="F1311">IFNA(_xlfn.XLOOKUP(D1311,Table_Tarikan_Warkah[Nomor Tiket],Table_Tarikan_Warkah[Nama Petugas Warkah]),"")</f>
        <v/>
      </c>
      <c r="G1311" s="39" t="str">
        <f t="array" ref="G1311">IFNA(_xlfn.XLOOKUP(D1311,Table_Tarikan_Warkah[Nomor Tiket],Table_Tarikan_Warkah[Jenis Permohonan]),"")</f>
        <v>BN JUAL BELI</v>
      </c>
      <c r="H1311" s="41" t="s">
        <v>20</v>
      </c>
      <c r="I1311" s="49" t="s">
        <v>23</v>
      </c>
      <c r="J1311" s="36">
        <f t="shared" si="20"/>
        <v>45719.47896</v>
      </c>
      <c r="K1311" s="49" t="s">
        <v>197</v>
      </c>
      <c r="L1311" s="49" t="s">
        <v>23</v>
      </c>
      <c r="M1311" s="36">
        <f t="shared" si="26"/>
        <v>45720.41907</v>
      </c>
      <c r="N1311" s="30" t="str">
        <f t="shared" si="27"/>
        <v>Selesai</v>
      </c>
      <c r="O1311" s="45">
        <f t="shared" si="23"/>
        <v>45720.41907</v>
      </c>
      <c r="P1311" s="47" t="b">
        <v>1</v>
      </c>
      <c r="Q1311" s="36">
        <f t="shared" si="24"/>
        <v>45720.41949</v>
      </c>
      <c r="R1311" s="47" t="b">
        <v>0</v>
      </c>
      <c r="S1311" s="42" t="str">
        <f t="shared" si="28"/>
        <v/>
      </c>
      <c r="T1311" s="42"/>
    </row>
    <row r="1312" ht="22.5" customHeight="1">
      <c r="B1312" s="42">
        <f t="shared" si="7"/>
        <v>1306</v>
      </c>
      <c r="C1312" s="31" t="s">
        <v>1444</v>
      </c>
      <c r="D1312" s="34" t="str">
        <f t="array" ref="D1312">IFNA(_xlfn.XLOOKUP(C1312,Table_Tarikan_Warkah[Nomor Sertipikat],Table_Tarikan_Warkah[Nomor Tiket]),"")</f>
        <v>K/41/200225/1</v>
      </c>
      <c r="E1312" s="36">
        <f t="array" ref="E1312">IFNA(_xlfn.XLOOKUP(D1312,Table_Tarikan_Warkah[Nomor Tiket],Table_Tarikan_Warkah[Tanggal diserahkan kepada Validator]),"")</f>
        <v>45722.50244</v>
      </c>
      <c r="F1312" s="36" t="str">
        <f t="array" ref="F1312">IFNA(_xlfn.XLOOKUP(D1312,Table_Tarikan_Warkah[Nomor Tiket],Table_Tarikan_Warkah[Nama Petugas Warkah]),"")</f>
        <v/>
      </c>
      <c r="G1312" s="39" t="str">
        <f t="array" ref="G1312">IFNA(_xlfn.XLOOKUP(D1312,Table_Tarikan_Warkah[Nomor Tiket],Table_Tarikan_Warkah[Jenis Permohonan]),"")</f>
        <v>BN JUAL BELI</v>
      </c>
      <c r="H1312" s="41" t="s">
        <v>20</v>
      </c>
      <c r="I1312" s="49" t="s">
        <v>23</v>
      </c>
      <c r="J1312" s="36">
        <f t="shared" si="20"/>
        <v>45719.47896</v>
      </c>
      <c r="K1312" s="49" t="s">
        <v>197</v>
      </c>
      <c r="L1312" s="49" t="s">
        <v>23</v>
      </c>
      <c r="M1312" s="36">
        <f t="shared" si="26"/>
        <v>45720.41907</v>
      </c>
      <c r="N1312" s="30" t="str">
        <f t="shared" si="27"/>
        <v>Selesai</v>
      </c>
      <c r="O1312" s="45">
        <f t="shared" si="23"/>
        <v>45720.41907</v>
      </c>
      <c r="P1312" s="47" t="b">
        <v>1</v>
      </c>
      <c r="Q1312" s="36">
        <f t="shared" si="24"/>
        <v>45720.41951</v>
      </c>
      <c r="R1312" s="47" t="b">
        <v>0</v>
      </c>
      <c r="S1312" s="42" t="str">
        <f t="shared" si="28"/>
        <v/>
      </c>
      <c r="T1312" s="42"/>
    </row>
    <row r="1313" ht="22.5" customHeight="1">
      <c r="B1313" s="42">
        <f t="shared" si="7"/>
        <v>1307</v>
      </c>
      <c r="C1313" s="31" t="s">
        <v>1445</v>
      </c>
      <c r="D1313" s="34" t="str">
        <f t="array" ref="D1313">IFNA(_xlfn.XLOOKUP(C1313,Table_Tarikan_Warkah[Nomor Sertipikat],Table_Tarikan_Warkah[Nomor Tiket]),"")</f>
        <v>K/13/140225/1</v>
      </c>
      <c r="E1313" s="36">
        <f t="array" ref="E1313">IFNA(_xlfn.XLOOKUP(D1313,Table_Tarikan_Warkah[Nomor Tiket],Table_Tarikan_Warkah[Tanggal diserahkan kepada Validator]),"")</f>
        <v>45722.50228</v>
      </c>
      <c r="F1313" s="36" t="str">
        <f t="array" ref="F1313">IFNA(_xlfn.XLOOKUP(D1313,Table_Tarikan_Warkah[Nomor Tiket],Table_Tarikan_Warkah[Nama Petugas Warkah]),"")</f>
        <v/>
      </c>
      <c r="G1313" s="39" t="str">
        <f t="array" ref="G1313">IFNA(_xlfn.XLOOKUP(D1313,Table_Tarikan_Warkah[Nomor Tiket],Table_Tarikan_Warkah[Jenis Permohonan]),"")</f>
        <v>BN JUAL BELI</v>
      </c>
      <c r="H1313" s="41" t="s">
        <v>20</v>
      </c>
      <c r="I1313" s="49" t="s">
        <v>23</v>
      </c>
      <c r="J1313" s="36">
        <f t="shared" si="20"/>
        <v>45719.47896</v>
      </c>
      <c r="K1313" s="49" t="s">
        <v>197</v>
      </c>
      <c r="L1313" s="49" t="s">
        <v>23</v>
      </c>
      <c r="M1313" s="36">
        <f t="shared" si="26"/>
        <v>45720.41918</v>
      </c>
      <c r="N1313" s="30" t="str">
        <f t="shared" si="27"/>
        <v>Selesai</v>
      </c>
      <c r="O1313" s="45">
        <f t="shared" si="23"/>
        <v>45720.41918</v>
      </c>
      <c r="P1313" s="47" t="b">
        <v>1</v>
      </c>
      <c r="Q1313" s="36">
        <f t="shared" si="24"/>
        <v>45720.41952</v>
      </c>
      <c r="R1313" s="47" t="b">
        <v>0</v>
      </c>
      <c r="S1313" s="42" t="str">
        <f t="shared" si="28"/>
        <v/>
      </c>
      <c r="T1313" s="42"/>
    </row>
    <row r="1314" ht="22.5" customHeight="1">
      <c r="B1314" s="42">
        <f t="shared" si="7"/>
        <v>1308</v>
      </c>
      <c r="C1314" s="31" t="s">
        <v>1446</v>
      </c>
      <c r="D1314" s="34" t="str">
        <f t="array" ref="D1314">IFNA(_xlfn.XLOOKUP(C1314,Table_Tarikan_Warkah[Nomor Sertipikat],Table_Tarikan_Warkah[Nomor Tiket]),"")</f>
        <v>K/38/110225/1</v>
      </c>
      <c r="E1314" s="36">
        <f t="array" ref="E1314">IFNA(_xlfn.XLOOKUP(D1314,Table_Tarikan_Warkah[Nomor Tiket],Table_Tarikan_Warkah[Tanggal diserahkan kepada Validator]),"")</f>
        <v>45722.5021</v>
      </c>
      <c r="F1314" s="36" t="str">
        <f t="array" ref="F1314">IFNA(_xlfn.XLOOKUP(D1314,Table_Tarikan_Warkah[Nomor Tiket],Table_Tarikan_Warkah[Nama Petugas Warkah]),"")</f>
        <v/>
      </c>
      <c r="G1314" s="39" t="str">
        <f t="array" ref="G1314">IFNA(_xlfn.XLOOKUP(D1314,Table_Tarikan_Warkah[Nomor Tiket],Table_Tarikan_Warkah[Jenis Permohonan]),"")</f>
        <v>BN JUAL BELI</v>
      </c>
      <c r="H1314" s="41" t="s">
        <v>20</v>
      </c>
      <c r="I1314" s="49" t="s">
        <v>23</v>
      </c>
      <c r="J1314" s="36">
        <f t="shared" si="20"/>
        <v>45719.47896</v>
      </c>
      <c r="K1314" s="49" t="s">
        <v>197</v>
      </c>
      <c r="L1314" s="49" t="s">
        <v>23</v>
      </c>
      <c r="M1314" s="36">
        <f t="shared" si="26"/>
        <v>45720.41918</v>
      </c>
      <c r="N1314" s="30" t="str">
        <f t="shared" si="27"/>
        <v>Selesai</v>
      </c>
      <c r="O1314" s="45">
        <f t="shared" si="23"/>
        <v>45720.41918</v>
      </c>
      <c r="P1314" s="47" t="b">
        <v>1</v>
      </c>
      <c r="Q1314" s="36">
        <f t="shared" si="24"/>
        <v>45720.41953</v>
      </c>
      <c r="R1314" s="47" t="b">
        <v>0</v>
      </c>
      <c r="S1314" s="42" t="str">
        <f t="shared" si="28"/>
        <v/>
      </c>
      <c r="T1314" s="42"/>
    </row>
    <row r="1315" ht="22.5" customHeight="1">
      <c r="B1315" s="42">
        <f t="shared" si="7"/>
        <v>1309</v>
      </c>
      <c r="C1315" s="31" t="s">
        <v>1447</v>
      </c>
      <c r="D1315" s="34" t="str">
        <f t="array" ref="D1315">IFNA(_xlfn.XLOOKUP(C1315,Table_Tarikan_Warkah[Nomor Sertipikat],Table_Tarikan_Warkah[Nomor Tiket]),"")</f>
        <v>K/39/110225/2</v>
      </c>
      <c r="E1315" s="36">
        <f t="array" ref="E1315">IFNA(_xlfn.XLOOKUP(D1315,Table_Tarikan_Warkah[Nomor Tiket],Table_Tarikan_Warkah[Tanggal diserahkan kepada Validator]),"")</f>
        <v>45722.5018</v>
      </c>
      <c r="F1315" s="36" t="str">
        <f t="array" ref="F1315">IFNA(_xlfn.XLOOKUP(D1315,Table_Tarikan_Warkah[Nomor Tiket],Table_Tarikan_Warkah[Nama Petugas Warkah]),"")</f>
        <v/>
      </c>
      <c r="G1315" s="39" t="str">
        <f t="array" ref="G1315">IFNA(_xlfn.XLOOKUP(D1315,Table_Tarikan_Warkah[Nomor Tiket],Table_Tarikan_Warkah[Jenis Permohonan]),"")</f>
        <v>BN JUAL BELI</v>
      </c>
      <c r="H1315" s="41" t="s">
        <v>20</v>
      </c>
      <c r="I1315" s="49" t="s">
        <v>23</v>
      </c>
      <c r="J1315" s="36">
        <f t="shared" si="20"/>
        <v>45719.47896</v>
      </c>
      <c r="K1315" s="49" t="s">
        <v>197</v>
      </c>
      <c r="L1315" s="49" t="s">
        <v>23</v>
      </c>
      <c r="M1315" s="36">
        <f t="shared" si="26"/>
        <v>45720.41918</v>
      </c>
      <c r="N1315" s="30" t="str">
        <f t="shared" si="27"/>
        <v>Selesai</v>
      </c>
      <c r="O1315" s="45">
        <f t="shared" si="23"/>
        <v>45720.41918</v>
      </c>
      <c r="P1315" s="47" t="b">
        <v>1</v>
      </c>
      <c r="Q1315" s="36">
        <f t="shared" si="24"/>
        <v>45720.41954</v>
      </c>
      <c r="R1315" s="47" t="b">
        <v>0</v>
      </c>
      <c r="S1315" s="42" t="str">
        <f t="shared" si="28"/>
        <v/>
      </c>
      <c r="T1315" s="42"/>
    </row>
    <row r="1316" ht="22.5" customHeight="1">
      <c r="B1316" s="42">
        <f t="shared" si="7"/>
        <v>1310</v>
      </c>
      <c r="C1316" s="31" t="s">
        <v>1448</v>
      </c>
      <c r="D1316" s="34" t="str">
        <f t="array" ref="D1316">IFNA(_xlfn.XLOOKUP(C1316,Table_Tarikan_Warkah[Nomor Sertipikat],Table_Tarikan_Warkah[Nomor Tiket]),"")</f>
        <v>K/21/210225/1</v>
      </c>
      <c r="E1316" s="36">
        <f t="array" ref="E1316">IFNA(_xlfn.XLOOKUP(D1316,Table_Tarikan_Warkah[Nomor Tiket],Table_Tarikan_Warkah[Tanggal diserahkan kepada Validator]),"")</f>
        <v>45742.61278</v>
      </c>
      <c r="F1316" s="36" t="str">
        <f t="array" ref="F1316">IFNA(_xlfn.XLOOKUP(D1316,Table_Tarikan_Warkah[Nomor Tiket],Table_Tarikan_Warkah[Nama Petugas Warkah]),"")</f>
        <v/>
      </c>
      <c r="G1316" s="39" t="str">
        <f t="array" ref="G1316">IFNA(_xlfn.XLOOKUP(D1316,Table_Tarikan_Warkah[Nomor Tiket],Table_Tarikan_Warkah[Jenis Permohonan]),"")</f>
        <v>ROYA</v>
      </c>
      <c r="H1316" s="41" t="s">
        <v>20</v>
      </c>
      <c r="I1316" s="49" t="s">
        <v>23</v>
      </c>
      <c r="J1316" s="36">
        <f t="shared" si="20"/>
        <v>45719.47896</v>
      </c>
      <c r="K1316" s="49" t="s">
        <v>197</v>
      </c>
      <c r="L1316" s="49" t="s">
        <v>23</v>
      </c>
      <c r="M1316" s="36">
        <f t="shared" si="26"/>
        <v>45720.41918</v>
      </c>
      <c r="N1316" s="30" t="str">
        <f t="shared" si="27"/>
        <v>Selesai</v>
      </c>
      <c r="O1316" s="45">
        <f t="shared" si="23"/>
        <v>45720.41918</v>
      </c>
      <c r="P1316" s="47" t="b">
        <v>1</v>
      </c>
      <c r="Q1316" s="36">
        <f t="shared" si="24"/>
        <v>45720.41957</v>
      </c>
      <c r="R1316" s="47" t="b">
        <v>0</v>
      </c>
      <c r="S1316" s="42" t="str">
        <f t="shared" si="28"/>
        <v/>
      </c>
      <c r="T1316" s="42"/>
    </row>
    <row r="1317" ht="22.5" customHeight="1">
      <c r="B1317" s="42">
        <f t="shared" si="7"/>
        <v>1311</v>
      </c>
      <c r="C1317" s="31" t="s">
        <v>1449</v>
      </c>
      <c r="D1317" s="34" t="str">
        <f t="array" ref="D1317">IFNA(_xlfn.XLOOKUP(C1317,Table_Tarikan_Warkah[Nomor Sertipikat],Table_Tarikan_Warkah[Nomor Tiket]),"")</f>
        <v>K/39/210225/1</v>
      </c>
      <c r="E1317" s="36">
        <f t="array" ref="E1317">IFNA(_xlfn.XLOOKUP(D1317,Table_Tarikan_Warkah[Nomor Tiket],Table_Tarikan_Warkah[Tanggal diserahkan kepada Validator]),"")</f>
        <v>45742.60926</v>
      </c>
      <c r="F1317" s="36" t="str">
        <f t="array" ref="F1317">IFNA(_xlfn.XLOOKUP(D1317,Table_Tarikan_Warkah[Nomor Tiket],Table_Tarikan_Warkah[Nama Petugas Warkah]),"")</f>
        <v/>
      </c>
      <c r="G1317" s="39" t="str">
        <f t="array" ref="G1317">IFNA(_xlfn.XLOOKUP(D1317,Table_Tarikan_Warkah[Nomor Tiket],Table_Tarikan_Warkah[Jenis Permohonan]),"")</f>
        <v>ROYA</v>
      </c>
      <c r="H1317" s="41" t="s">
        <v>20</v>
      </c>
      <c r="I1317" s="49" t="s">
        <v>23</v>
      </c>
      <c r="J1317" s="36">
        <f t="shared" si="20"/>
        <v>45719.54594</v>
      </c>
      <c r="K1317" s="49" t="s">
        <v>197</v>
      </c>
      <c r="L1317" s="49" t="s">
        <v>23</v>
      </c>
      <c r="M1317" s="36">
        <f t="shared" si="26"/>
        <v>45720.41925</v>
      </c>
      <c r="N1317" s="30" t="str">
        <f t="shared" si="27"/>
        <v>Selesai</v>
      </c>
      <c r="O1317" s="45">
        <f t="shared" si="23"/>
        <v>45720.41925</v>
      </c>
      <c r="P1317" s="47" t="b">
        <v>1</v>
      </c>
      <c r="Q1317" s="36">
        <f t="shared" si="24"/>
        <v>45720.41958</v>
      </c>
      <c r="R1317" s="47" t="b">
        <v>0</v>
      </c>
      <c r="S1317" s="42" t="str">
        <f t="shared" si="28"/>
        <v/>
      </c>
      <c r="T1317" s="42"/>
    </row>
    <row r="1318" ht="22.5" customHeight="1">
      <c r="B1318" s="42">
        <f t="shared" si="7"/>
        <v>1312</v>
      </c>
      <c r="C1318" s="31" t="s">
        <v>1450</v>
      </c>
      <c r="D1318" s="34" t="str">
        <f t="array" ref="D1318">IFNA(_xlfn.XLOOKUP(C1318,Table_Tarikan_Warkah[Nomor Sertipikat],Table_Tarikan_Warkah[Nomor Tiket]),"")</f>
        <v>K/47/210225/1</v>
      </c>
      <c r="E1318" s="36">
        <f t="array" ref="E1318">IFNA(_xlfn.XLOOKUP(D1318,Table_Tarikan_Warkah[Nomor Tiket],Table_Tarikan_Warkah[Tanggal diserahkan kepada Validator]),"")</f>
        <v>45722.50759</v>
      </c>
      <c r="F1318" s="36" t="str">
        <f t="array" ref="F1318">IFNA(_xlfn.XLOOKUP(D1318,Table_Tarikan_Warkah[Nomor Tiket],Table_Tarikan_Warkah[Nama Petugas Warkah]),"")</f>
        <v/>
      </c>
      <c r="G1318" s="39" t="str">
        <f t="array" ref="G1318">IFNA(_xlfn.XLOOKUP(D1318,Table_Tarikan_Warkah[Nomor Tiket],Table_Tarikan_Warkah[Jenis Permohonan]),"")</f>
        <v>BN Jual Beli</v>
      </c>
      <c r="H1318" s="41" t="s">
        <v>11</v>
      </c>
      <c r="I1318" s="49" t="s">
        <v>23</v>
      </c>
      <c r="J1318" s="36">
        <f t="shared" si="20"/>
        <v>45720.55115</v>
      </c>
      <c r="K1318" s="49" t="s">
        <v>197</v>
      </c>
      <c r="L1318" s="49" t="s">
        <v>23</v>
      </c>
      <c r="M1318" s="36">
        <f t="shared" si="26"/>
        <v>45720.4212</v>
      </c>
      <c r="N1318" s="30" t="str">
        <f t="shared" si="27"/>
        <v>Selesai</v>
      </c>
      <c r="O1318" s="45">
        <f t="shared" si="23"/>
        <v>45720.4212</v>
      </c>
      <c r="P1318" s="47" t="b">
        <v>1</v>
      </c>
      <c r="Q1318" s="36">
        <f t="shared" si="24"/>
        <v>45720.42145</v>
      </c>
      <c r="R1318" s="47" t="b">
        <v>0</v>
      </c>
      <c r="S1318" s="42" t="str">
        <f t="shared" si="28"/>
        <v/>
      </c>
      <c r="T1318" s="42"/>
    </row>
    <row r="1319" ht="22.5" customHeight="1">
      <c r="B1319" s="42">
        <f t="shared" si="7"/>
        <v>1313</v>
      </c>
      <c r="C1319" s="31" t="s">
        <v>1451</v>
      </c>
      <c r="D1319" s="34" t="str">
        <f t="array" ref="D1319">IFNA(_xlfn.XLOOKUP(C1319,Table_Tarikan_Warkah[Nomor Sertipikat],Table_Tarikan_Warkah[Nomor Tiket]),"")</f>
        <v>K/9/200225/3</v>
      </c>
      <c r="E1319" s="36">
        <f t="array" ref="E1319">IFNA(_xlfn.XLOOKUP(D1319,Table_Tarikan_Warkah[Nomor Tiket],Table_Tarikan_Warkah[Tanggal diserahkan kepada Validator]),"")</f>
        <v>45722.50845</v>
      </c>
      <c r="F1319" s="36" t="str">
        <f t="array" ref="F1319">IFNA(_xlfn.XLOOKUP(D1319,Table_Tarikan_Warkah[Nomor Tiket],Table_Tarikan_Warkah[Nama Petugas Warkah]),"")</f>
        <v/>
      </c>
      <c r="G1319" s="39" t="str">
        <f t="array" ref="G1319">IFNA(_xlfn.XLOOKUP(D1319,Table_Tarikan_Warkah[Nomor Tiket],Table_Tarikan_Warkah[Jenis Permohonan]),"")</f>
        <v>BN Jual Beli</v>
      </c>
      <c r="H1319" s="41" t="s">
        <v>11</v>
      </c>
      <c r="I1319" s="49" t="s">
        <v>23</v>
      </c>
      <c r="J1319" s="36">
        <f t="shared" si="20"/>
        <v>45720.55118</v>
      </c>
      <c r="K1319" s="49" t="s">
        <v>197</v>
      </c>
      <c r="L1319" s="49" t="s">
        <v>23</v>
      </c>
      <c r="M1319" s="36">
        <f t="shared" si="26"/>
        <v>45720.4212</v>
      </c>
      <c r="N1319" s="30" t="str">
        <f t="shared" si="27"/>
        <v>Selesai</v>
      </c>
      <c r="O1319" s="45">
        <f t="shared" si="23"/>
        <v>45720.4212</v>
      </c>
      <c r="P1319" s="47" t="b">
        <v>1</v>
      </c>
      <c r="Q1319" s="36">
        <f t="shared" si="24"/>
        <v>45720.42145</v>
      </c>
      <c r="R1319" s="47" t="b">
        <v>0</v>
      </c>
      <c r="S1319" s="42" t="str">
        <f t="shared" si="28"/>
        <v/>
      </c>
      <c r="T1319" s="42"/>
    </row>
    <row r="1320" ht="22.5" customHeight="1">
      <c r="B1320" s="42">
        <f t="shared" si="7"/>
        <v>1314</v>
      </c>
      <c r="C1320" s="31" t="s">
        <v>1452</v>
      </c>
      <c r="D1320" s="34" t="str">
        <f t="array" ref="D1320">IFNA(_xlfn.XLOOKUP(C1320,Table_Tarikan_Warkah[Nomor Sertipikat],Table_Tarikan_Warkah[Nomor Tiket]),"")</f>
        <v>K/34/200225/2</v>
      </c>
      <c r="E1320" s="36">
        <f t="array" ref="E1320">IFNA(_xlfn.XLOOKUP(D1320,Table_Tarikan_Warkah[Nomor Tiket],Table_Tarikan_Warkah[Tanggal diserahkan kepada Validator]),"")</f>
        <v>45722.50639</v>
      </c>
      <c r="F1320" s="36" t="str">
        <f t="array" ref="F1320">IFNA(_xlfn.XLOOKUP(D1320,Table_Tarikan_Warkah[Nomor Tiket],Table_Tarikan_Warkah[Nama Petugas Warkah]),"")</f>
        <v/>
      </c>
      <c r="G1320" s="39" t="str">
        <f t="array" ref="G1320">IFNA(_xlfn.XLOOKUP(D1320,Table_Tarikan_Warkah[Nomor Tiket],Table_Tarikan_Warkah[Jenis Permohonan]),"")</f>
        <v>BN Jual Beli</v>
      </c>
      <c r="H1320" s="41" t="s">
        <v>11</v>
      </c>
      <c r="I1320" s="49" t="s">
        <v>23</v>
      </c>
      <c r="J1320" s="36">
        <f t="shared" si="20"/>
        <v>45720.55118</v>
      </c>
      <c r="K1320" s="49" t="s">
        <v>197</v>
      </c>
      <c r="L1320" s="49" t="s">
        <v>23</v>
      </c>
      <c r="M1320" s="36">
        <f t="shared" si="26"/>
        <v>45720.4212</v>
      </c>
      <c r="N1320" s="30" t="str">
        <f t="shared" si="27"/>
        <v>Selesai</v>
      </c>
      <c r="O1320" s="45">
        <f t="shared" si="23"/>
        <v>45720.4212</v>
      </c>
      <c r="P1320" s="47" t="b">
        <v>1</v>
      </c>
      <c r="Q1320" s="36">
        <f t="shared" si="24"/>
        <v>45720.42145</v>
      </c>
      <c r="R1320" s="47" t="b">
        <v>0</v>
      </c>
      <c r="S1320" s="42" t="str">
        <f t="shared" si="28"/>
        <v/>
      </c>
      <c r="T1320" s="42"/>
    </row>
    <row r="1321" ht="22.5" customHeight="1">
      <c r="B1321" s="42">
        <f t="shared" si="7"/>
        <v>1315</v>
      </c>
      <c r="C1321" s="31" t="s">
        <v>1453</v>
      </c>
      <c r="D1321" s="34" t="str">
        <f t="array" ref="D1321">IFNA(_xlfn.XLOOKUP(C1321,Table_Tarikan_Warkah[Nomor Sertipikat],Table_Tarikan_Warkah[Nomor Tiket]),"")</f>
        <v>K/18/250225/2</v>
      </c>
      <c r="E1321" s="36">
        <f t="array" ref="E1321">IFNA(_xlfn.XLOOKUP(D1321,Table_Tarikan_Warkah[Nomor Tiket],Table_Tarikan_Warkah[Tanggal diserahkan kepada Validator]),"")</f>
        <v>45722.50665</v>
      </c>
      <c r="F1321" s="36" t="str">
        <f t="array" ref="F1321">IFNA(_xlfn.XLOOKUP(D1321,Table_Tarikan_Warkah[Nomor Tiket],Table_Tarikan_Warkah[Nama Petugas Warkah]),"")</f>
        <v/>
      </c>
      <c r="G1321" s="39" t="str">
        <f t="array" ref="G1321">IFNA(_xlfn.XLOOKUP(D1321,Table_Tarikan_Warkah[Nomor Tiket],Table_Tarikan_Warkah[Jenis Permohonan]),"")</f>
        <v>BN Jual Beli</v>
      </c>
      <c r="H1321" s="41" t="s">
        <v>11</v>
      </c>
      <c r="I1321" s="49" t="s">
        <v>23</v>
      </c>
      <c r="J1321" s="36">
        <f t="shared" si="20"/>
        <v>45720.55118</v>
      </c>
      <c r="K1321" s="49" t="s">
        <v>197</v>
      </c>
      <c r="L1321" s="49" t="s">
        <v>23</v>
      </c>
      <c r="M1321" s="36">
        <f t="shared" si="26"/>
        <v>45720.4212</v>
      </c>
      <c r="N1321" s="30" t="str">
        <f t="shared" si="27"/>
        <v>Selesai</v>
      </c>
      <c r="O1321" s="45">
        <f t="shared" si="23"/>
        <v>45720.4212</v>
      </c>
      <c r="P1321" s="47" t="b">
        <v>1</v>
      </c>
      <c r="Q1321" s="36">
        <f t="shared" si="24"/>
        <v>45720.42145</v>
      </c>
      <c r="R1321" s="47" t="b">
        <v>0</v>
      </c>
      <c r="S1321" s="42" t="str">
        <f t="shared" si="28"/>
        <v/>
      </c>
      <c r="T1321" s="42"/>
    </row>
    <row r="1322" ht="22.5" customHeight="1">
      <c r="B1322" s="42">
        <f t="shared" si="7"/>
        <v>1316</v>
      </c>
      <c r="C1322" s="31" t="s">
        <v>1454</v>
      </c>
      <c r="D1322" s="34" t="str">
        <f t="array" ref="D1322">IFNA(_xlfn.XLOOKUP(C1322,Table_Tarikan_Warkah[Nomor Sertipikat],Table_Tarikan_Warkah[Nomor Tiket]),"")</f>
        <v>K/12/100225/3</v>
      </c>
      <c r="E1322" s="36">
        <f t="array" ref="E1322">IFNA(_xlfn.XLOOKUP(D1322,Table_Tarikan_Warkah[Nomor Tiket],Table_Tarikan_Warkah[Tanggal diserahkan kepada Validator]),"")</f>
        <v>45722.50622</v>
      </c>
      <c r="F1322" s="36" t="str">
        <f t="array" ref="F1322">IFNA(_xlfn.XLOOKUP(D1322,Table_Tarikan_Warkah[Nomor Tiket],Table_Tarikan_Warkah[Nama Petugas Warkah]),"")</f>
        <v/>
      </c>
      <c r="G1322" s="39" t="str">
        <f t="array" ref="G1322">IFNA(_xlfn.XLOOKUP(D1322,Table_Tarikan_Warkah[Nomor Tiket],Table_Tarikan_Warkah[Jenis Permohonan]),"")</f>
        <v>BN Jual Beli</v>
      </c>
      <c r="H1322" s="41" t="s">
        <v>11</v>
      </c>
      <c r="I1322" s="49" t="s">
        <v>23</v>
      </c>
      <c r="J1322" s="36">
        <f t="shared" si="20"/>
        <v>45720.55118</v>
      </c>
      <c r="K1322" s="49" t="s">
        <v>197</v>
      </c>
      <c r="L1322" s="49" t="s">
        <v>23</v>
      </c>
      <c r="M1322" s="36">
        <f t="shared" si="26"/>
        <v>45720.4212</v>
      </c>
      <c r="N1322" s="30" t="str">
        <f t="shared" si="27"/>
        <v>Selesai</v>
      </c>
      <c r="O1322" s="45">
        <f t="shared" si="23"/>
        <v>45720.4212</v>
      </c>
      <c r="P1322" s="47" t="b">
        <v>1</v>
      </c>
      <c r="Q1322" s="36">
        <f t="shared" si="24"/>
        <v>45720.42145</v>
      </c>
      <c r="R1322" s="47" t="b">
        <v>0</v>
      </c>
      <c r="S1322" s="42" t="str">
        <f t="shared" si="28"/>
        <v/>
      </c>
      <c r="T1322" s="42"/>
    </row>
    <row r="1323" ht="22.5" customHeight="1">
      <c r="B1323" s="42">
        <f t="shared" si="7"/>
        <v>1317</v>
      </c>
      <c r="C1323" s="31" t="s">
        <v>1455</v>
      </c>
      <c r="D1323" s="34" t="str">
        <f t="array" ref="D1323">IFNA(_xlfn.XLOOKUP(C1323,Table_Tarikan_Warkah[Nomor Sertipikat],Table_Tarikan_Warkah[Nomor Tiket]),"")</f>
        <v>K/38/240225/4</v>
      </c>
      <c r="E1323" s="36">
        <f t="array" ref="E1323">IFNA(_xlfn.XLOOKUP(D1323,Table_Tarikan_Warkah[Nomor Tiket],Table_Tarikan_Warkah[Tanggal diserahkan kepada Validator]),"")</f>
        <v>45722.50699</v>
      </c>
      <c r="F1323" s="36" t="str">
        <f t="array" ref="F1323">IFNA(_xlfn.XLOOKUP(D1323,Table_Tarikan_Warkah[Nomor Tiket],Table_Tarikan_Warkah[Nama Petugas Warkah]),"")</f>
        <v/>
      </c>
      <c r="G1323" s="39" t="str">
        <f t="array" ref="G1323">IFNA(_xlfn.XLOOKUP(D1323,Table_Tarikan_Warkah[Nomor Tiket],Table_Tarikan_Warkah[Jenis Permohonan]),"")</f>
        <v>Ganti Nama</v>
      </c>
      <c r="H1323" s="41" t="s">
        <v>11</v>
      </c>
      <c r="I1323" s="49" t="s">
        <v>23</v>
      </c>
      <c r="J1323" s="36">
        <f t="shared" si="20"/>
        <v>45720.55118</v>
      </c>
      <c r="K1323" s="49" t="s">
        <v>197</v>
      </c>
      <c r="L1323" s="49" t="s">
        <v>23</v>
      </c>
      <c r="M1323" s="36">
        <f t="shared" si="26"/>
        <v>45720.4212</v>
      </c>
      <c r="N1323" s="30" t="str">
        <f t="shared" si="27"/>
        <v>Selesai</v>
      </c>
      <c r="O1323" s="45">
        <f t="shared" si="23"/>
        <v>45720.4212</v>
      </c>
      <c r="P1323" s="47" t="b">
        <v>1</v>
      </c>
      <c r="Q1323" s="36">
        <f t="shared" si="24"/>
        <v>45720.42145</v>
      </c>
      <c r="R1323" s="47" t="b">
        <v>0</v>
      </c>
      <c r="S1323" s="42" t="str">
        <f t="shared" si="28"/>
        <v/>
      </c>
      <c r="T1323" s="42"/>
    </row>
    <row r="1324" ht="22.5" customHeight="1">
      <c r="B1324" s="42">
        <f t="shared" si="7"/>
        <v>1318</v>
      </c>
      <c r="C1324" s="31" t="s">
        <v>1456</v>
      </c>
      <c r="D1324" s="34" t="str">
        <f t="array" ref="D1324">IFNA(_xlfn.XLOOKUP(C1324,Table_Tarikan_Warkah[Nomor Sertipikat],Table_Tarikan_Warkah[Nomor Tiket]),"")</f>
        <v>K/49/250225/1</v>
      </c>
      <c r="E1324" s="36" t="str">
        <f t="array" ref="E1324">IFNA(_xlfn.XLOOKUP(D1324,Table_Tarikan_Warkah[Nomor Tiket],Table_Tarikan_Warkah[Tanggal diserahkan kepada Validator]),"")</f>
        <v/>
      </c>
      <c r="F1324" s="36" t="str">
        <f t="array" ref="F1324">IFNA(_xlfn.XLOOKUP(D1324,Table_Tarikan_Warkah[Nomor Tiket],Table_Tarikan_Warkah[Nama Petugas Warkah]),"")</f>
        <v/>
      </c>
      <c r="G1324" s="39" t="str">
        <f t="array" ref="G1324">IFNA(_xlfn.XLOOKUP(D1324,Table_Tarikan_Warkah[Nomor Tiket],Table_Tarikan_Warkah[Jenis Permohonan]),"")</f>
        <v>Hapus BPHTB</v>
      </c>
      <c r="H1324" s="41" t="s">
        <v>11</v>
      </c>
      <c r="I1324" s="49" t="s">
        <v>23</v>
      </c>
      <c r="J1324" s="36">
        <f t="shared" si="20"/>
        <v>45720.55118</v>
      </c>
      <c r="K1324" s="49" t="s">
        <v>197</v>
      </c>
      <c r="L1324" s="49" t="s">
        <v>23</v>
      </c>
      <c r="M1324" s="36">
        <f t="shared" si="26"/>
        <v>45720.4212</v>
      </c>
      <c r="N1324" s="30" t="str">
        <f t="shared" si="27"/>
        <v>Selesai</v>
      </c>
      <c r="O1324" s="45">
        <f t="shared" si="23"/>
        <v>45720.4212</v>
      </c>
      <c r="P1324" s="47" t="b">
        <v>1</v>
      </c>
      <c r="Q1324" s="36">
        <f t="shared" si="24"/>
        <v>45720.42145</v>
      </c>
      <c r="R1324" s="47" t="b">
        <v>0</v>
      </c>
      <c r="S1324" s="42" t="str">
        <f t="shared" si="28"/>
        <v/>
      </c>
      <c r="T1324" s="42"/>
    </row>
    <row r="1325" ht="22.5" customHeight="1">
      <c r="B1325" s="42">
        <f t="shared" si="7"/>
        <v>1319</v>
      </c>
      <c r="C1325" s="31" t="s">
        <v>1457</v>
      </c>
      <c r="D1325" s="34" t="str">
        <f t="array" ref="D1325">IFNA(_xlfn.XLOOKUP(C1325,Table_Tarikan_Warkah[Nomor Sertipikat],Table_Tarikan_Warkah[Nomor Tiket]),"")</f>
        <v>K/35/240225/1</v>
      </c>
      <c r="E1325" s="36">
        <f t="array" ref="E1325">IFNA(_xlfn.XLOOKUP(D1325,Table_Tarikan_Warkah[Nomor Tiket],Table_Tarikan_Warkah[Tanggal diserahkan kepada Validator]),"")</f>
        <v>45722.50728</v>
      </c>
      <c r="F1325" s="36" t="str">
        <f t="array" ref="F1325">IFNA(_xlfn.XLOOKUP(D1325,Table_Tarikan_Warkah[Nomor Tiket],Table_Tarikan_Warkah[Nama Petugas Warkah]),"")</f>
        <v/>
      </c>
      <c r="G1325" s="39" t="str">
        <f t="array" ref="G1325">IFNA(_xlfn.XLOOKUP(D1325,Table_Tarikan_Warkah[Nomor Tiket],Table_Tarikan_Warkah[Jenis Permohonan]),"")</f>
        <v>Ganti Nama</v>
      </c>
      <c r="H1325" s="41" t="s">
        <v>11</v>
      </c>
      <c r="I1325" s="49" t="s">
        <v>23</v>
      </c>
      <c r="J1325" s="36">
        <f t="shared" si="20"/>
        <v>45720.55118</v>
      </c>
      <c r="K1325" s="49" t="s">
        <v>197</v>
      </c>
      <c r="L1325" s="49" t="s">
        <v>23</v>
      </c>
      <c r="M1325" s="36">
        <f t="shared" si="26"/>
        <v>45720.4212</v>
      </c>
      <c r="N1325" s="30" t="str">
        <f t="shared" si="27"/>
        <v>Selesai</v>
      </c>
      <c r="O1325" s="45">
        <f t="shared" si="23"/>
        <v>45720.4212</v>
      </c>
      <c r="P1325" s="47" t="b">
        <v>1</v>
      </c>
      <c r="Q1325" s="36">
        <f t="shared" si="24"/>
        <v>45720.42152</v>
      </c>
      <c r="R1325" s="47" t="b">
        <v>0</v>
      </c>
      <c r="S1325" s="42" t="str">
        <f t="shared" si="28"/>
        <v/>
      </c>
      <c r="T1325" s="42"/>
    </row>
    <row r="1326" ht="22.5" customHeight="1">
      <c r="B1326" s="42">
        <f t="shared" si="7"/>
        <v>1320</v>
      </c>
      <c r="C1326" s="31" t="s">
        <v>1458</v>
      </c>
      <c r="D1326" s="34" t="str">
        <f t="array" ref="D1326">IFNA(_xlfn.XLOOKUP(C1326,Table_Tarikan_Warkah[Nomor Sertipikat],Table_Tarikan_Warkah[Nomor Tiket]),"")</f>
        <v>K/11/260225/3</v>
      </c>
      <c r="E1326" s="36">
        <f t="array" ref="E1326">IFNA(_xlfn.XLOOKUP(D1326,Table_Tarikan_Warkah[Nomor Tiket],Table_Tarikan_Warkah[Tanggal diserahkan kepada Validator]),"")</f>
        <v>45730.39663</v>
      </c>
      <c r="F1326" s="36" t="str">
        <f t="array" ref="F1326">IFNA(_xlfn.XLOOKUP(D1326,Table_Tarikan_Warkah[Nomor Tiket],Table_Tarikan_Warkah[Nama Petugas Warkah]),"")</f>
        <v/>
      </c>
      <c r="G1326" s="39" t="str">
        <f t="array" ref="G1326">IFNA(_xlfn.XLOOKUP(D1326,Table_Tarikan_Warkah[Nomor Tiket],Table_Tarikan_Warkah[Jenis Permohonan]),"")</f>
        <v>Ganti Nama</v>
      </c>
      <c r="H1326" s="41" t="s">
        <v>11</v>
      </c>
      <c r="I1326" s="49" t="s">
        <v>23</v>
      </c>
      <c r="J1326" s="36">
        <f t="shared" si="20"/>
        <v>45720.55118</v>
      </c>
      <c r="K1326" s="49" t="s">
        <v>197</v>
      </c>
      <c r="L1326" s="49" t="s">
        <v>23</v>
      </c>
      <c r="M1326" s="36">
        <f t="shared" si="26"/>
        <v>45720.42124</v>
      </c>
      <c r="N1326" s="30" t="str">
        <f t="shared" si="27"/>
        <v>Selesai</v>
      </c>
      <c r="O1326" s="45">
        <f t="shared" si="23"/>
        <v>45720.42124</v>
      </c>
      <c r="P1326" s="47" t="b">
        <v>1</v>
      </c>
      <c r="Q1326" s="36">
        <f t="shared" si="24"/>
        <v>45720.42152</v>
      </c>
      <c r="R1326" s="47" t="b">
        <v>0</v>
      </c>
      <c r="S1326" s="42" t="str">
        <f t="shared" si="28"/>
        <v/>
      </c>
      <c r="T1326" s="42"/>
    </row>
    <row r="1327" ht="22.5" customHeight="1">
      <c r="B1327" s="42">
        <f t="shared" si="7"/>
        <v>1321</v>
      </c>
      <c r="C1327" s="31" t="s">
        <v>1459</v>
      </c>
      <c r="D1327" s="42" t="s">
        <v>1460</v>
      </c>
      <c r="E1327" s="36" t="str">
        <f t="array" ref="E1327">IFNA(_xlfn.XLOOKUP(D1327,Table_Tarikan_Warkah[Nomor Tiket],Table_Tarikan_Warkah[Tanggal diserahkan kepada Validator]),"")</f>
        <v/>
      </c>
      <c r="F1327" s="36" t="str">
        <f t="array" ref="F1327">IFNA(_xlfn.XLOOKUP(D1327,Table_Tarikan_Warkah[Nomor Tiket],Table_Tarikan_Warkah[Nama Petugas Warkah]),"")</f>
        <v/>
      </c>
      <c r="G1327" s="39" t="str">
        <f t="array" ref="G1327">IFNA(_xlfn.XLOOKUP(D1327,Table_Tarikan_Warkah[Nomor Tiket],Table_Tarikan_Warkah[Jenis Permohonan]),"")</f>
        <v>Ganti Nama</v>
      </c>
      <c r="H1327" s="41" t="s">
        <v>11</v>
      </c>
      <c r="I1327" s="49" t="s">
        <v>23</v>
      </c>
      <c r="J1327" s="36">
        <f t="shared" si="20"/>
        <v>45720.55118</v>
      </c>
      <c r="K1327" s="49" t="s">
        <v>197</v>
      </c>
      <c r="L1327" s="49" t="s">
        <v>23</v>
      </c>
      <c r="M1327" s="36">
        <f t="shared" si="26"/>
        <v>45720.42124</v>
      </c>
      <c r="N1327" s="30" t="str">
        <f t="shared" si="27"/>
        <v>Selesai</v>
      </c>
      <c r="O1327" s="45">
        <f t="shared" si="23"/>
        <v>45720.42124</v>
      </c>
      <c r="P1327" s="47" t="b">
        <v>1</v>
      </c>
      <c r="Q1327" s="36">
        <f t="shared" si="24"/>
        <v>45720.42152</v>
      </c>
      <c r="R1327" s="47" t="b">
        <v>0</v>
      </c>
      <c r="S1327" s="42" t="str">
        <f t="shared" si="28"/>
        <v/>
      </c>
      <c r="T1327" s="42"/>
    </row>
    <row r="1328" ht="22.5" customHeight="1">
      <c r="B1328" s="42">
        <f t="shared" si="7"/>
        <v>1322</v>
      </c>
      <c r="C1328" s="31" t="s">
        <v>1461</v>
      </c>
      <c r="D1328" s="34" t="str">
        <f t="array" ref="D1328">IFNA(_xlfn.XLOOKUP(C1328,Table_Tarikan_Warkah[Nomor Sertipikat],Table_Tarikan_Warkah[Nomor Tiket]),"")</f>
        <v>K/9/260225/1</v>
      </c>
      <c r="E1328" s="36">
        <f t="array" ref="E1328">IFNA(_xlfn.XLOOKUP(D1328,Table_Tarikan_Warkah[Nomor Tiket],Table_Tarikan_Warkah[Tanggal diserahkan kepada Validator]),"")</f>
        <v>45722.50827</v>
      </c>
      <c r="F1328" s="36" t="str">
        <f t="array" ref="F1328">IFNA(_xlfn.XLOOKUP(D1328,Table_Tarikan_Warkah[Nomor Tiket],Table_Tarikan_Warkah[Nama Petugas Warkah]),"")</f>
        <v/>
      </c>
      <c r="G1328" s="39" t="str">
        <f t="array" ref="G1328">IFNA(_xlfn.XLOOKUP(D1328,Table_Tarikan_Warkah[Nomor Tiket],Table_Tarikan_Warkah[Jenis Permohonan]),"")</f>
        <v>Ganti Nama</v>
      </c>
      <c r="H1328" s="41" t="s">
        <v>11</v>
      </c>
      <c r="I1328" s="49" t="s">
        <v>23</v>
      </c>
      <c r="J1328" s="36">
        <f t="shared" si="20"/>
        <v>45720.55118</v>
      </c>
      <c r="K1328" s="49" t="s">
        <v>197</v>
      </c>
      <c r="L1328" s="49" t="s">
        <v>23</v>
      </c>
      <c r="M1328" s="36">
        <f t="shared" si="26"/>
        <v>45720.42124</v>
      </c>
      <c r="N1328" s="30" t="str">
        <f t="shared" si="27"/>
        <v>Selesai</v>
      </c>
      <c r="O1328" s="45">
        <f t="shared" si="23"/>
        <v>45720.42124</v>
      </c>
      <c r="P1328" s="47" t="b">
        <v>1</v>
      </c>
      <c r="Q1328" s="36">
        <f t="shared" si="24"/>
        <v>45720.42152</v>
      </c>
      <c r="R1328" s="47" t="b">
        <v>0</v>
      </c>
      <c r="S1328" s="42" t="str">
        <f t="shared" si="28"/>
        <v/>
      </c>
      <c r="T1328" s="42"/>
    </row>
    <row r="1329" ht="22.5" customHeight="1">
      <c r="B1329" s="42">
        <f t="shared" si="7"/>
        <v>1323</v>
      </c>
      <c r="C1329" s="31" t="s">
        <v>1462</v>
      </c>
      <c r="D1329" s="34" t="str">
        <f t="array" ref="D1329">IFNA(_xlfn.XLOOKUP(C1329,Table_Tarikan_Warkah[Nomor Sertipikat],Table_Tarikan_Warkah[Nomor Tiket]),"")</f>
        <v>K/29/130225/1</v>
      </c>
      <c r="E1329" s="36">
        <f t="array" ref="E1329">IFNA(_xlfn.XLOOKUP(D1329,Table_Tarikan_Warkah[Nomor Tiket],Table_Tarikan_Warkah[Tanggal diserahkan kepada Validator]),"")</f>
        <v>45722.50809</v>
      </c>
      <c r="F1329" s="36" t="str">
        <f t="array" ref="F1329">IFNA(_xlfn.XLOOKUP(D1329,Table_Tarikan_Warkah[Nomor Tiket],Table_Tarikan_Warkah[Nama Petugas Warkah]),"")</f>
        <v/>
      </c>
      <c r="G1329" s="39" t="str">
        <f t="array" ref="G1329">IFNA(_xlfn.XLOOKUP(D1329,Table_Tarikan_Warkah[Nomor Tiket],Table_Tarikan_Warkah[Jenis Permohonan]),"")</f>
        <v>BN Jual Beli</v>
      </c>
      <c r="H1329" s="41" t="s">
        <v>11</v>
      </c>
      <c r="I1329" s="49" t="s">
        <v>23</v>
      </c>
      <c r="J1329" s="36">
        <f t="shared" si="20"/>
        <v>45720.55118</v>
      </c>
      <c r="K1329" s="49" t="s">
        <v>197</v>
      </c>
      <c r="L1329" s="49" t="s">
        <v>23</v>
      </c>
      <c r="M1329" s="36">
        <f t="shared" si="26"/>
        <v>45720.42124</v>
      </c>
      <c r="N1329" s="30" t="str">
        <f t="shared" si="27"/>
        <v>Selesai</v>
      </c>
      <c r="O1329" s="45">
        <f t="shared" si="23"/>
        <v>45720.42124</v>
      </c>
      <c r="P1329" s="47" t="b">
        <v>1</v>
      </c>
      <c r="Q1329" s="36">
        <f t="shared" si="24"/>
        <v>45720.42152</v>
      </c>
      <c r="R1329" s="47" t="b">
        <v>0</v>
      </c>
      <c r="S1329" s="42" t="str">
        <f t="shared" si="28"/>
        <v/>
      </c>
      <c r="T1329" s="42"/>
    </row>
    <row r="1330" ht="22.5" customHeight="1">
      <c r="B1330" s="42">
        <f t="shared" si="7"/>
        <v>1324</v>
      </c>
      <c r="C1330" s="31" t="s">
        <v>1463</v>
      </c>
      <c r="D1330" s="34" t="str">
        <f t="array" ref="D1330">IFNA(_xlfn.XLOOKUP(C1330,Table_Tarikan_Warkah[Nomor Sertipikat],Table_Tarikan_Warkah[Nomor Tiket]),"")</f>
        <v>K/24/240225/3</v>
      </c>
      <c r="E1330" s="36">
        <f t="array" ref="E1330">IFNA(_xlfn.XLOOKUP(D1330,Table_Tarikan_Warkah[Nomor Tiket],Table_Tarikan_Warkah[Tanggal diserahkan kepada Validator]),"")</f>
        <v>45734.44237</v>
      </c>
      <c r="F1330" s="36" t="str">
        <f t="array" ref="F1330">IFNA(_xlfn.XLOOKUP(D1330,Table_Tarikan_Warkah[Nomor Tiket],Table_Tarikan_Warkah[Nama Petugas Warkah]),"")</f>
        <v/>
      </c>
      <c r="G1330" s="39" t="str">
        <f t="array" ref="G1330">IFNA(_xlfn.XLOOKUP(D1330,Table_Tarikan_Warkah[Nomor Tiket],Table_Tarikan_Warkah[Jenis Permohonan]),"")</f>
        <v>ROYA</v>
      </c>
      <c r="H1330" s="41" t="s">
        <v>11</v>
      </c>
      <c r="I1330" s="49" t="s">
        <v>23</v>
      </c>
      <c r="J1330" s="36">
        <f t="shared" si="20"/>
        <v>45720.55118</v>
      </c>
      <c r="K1330" s="49" t="s">
        <v>197</v>
      </c>
      <c r="L1330" s="49" t="s">
        <v>23</v>
      </c>
      <c r="M1330" s="36">
        <f t="shared" si="26"/>
        <v>45720.42124</v>
      </c>
      <c r="N1330" s="30" t="str">
        <f t="shared" si="27"/>
        <v>Selesai</v>
      </c>
      <c r="O1330" s="45">
        <f t="shared" si="23"/>
        <v>45720.42124</v>
      </c>
      <c r="P1330" s="47" t="b">
        <v>1</v>
      </c>
      <c r="Q1330" s="36">
        <f t="shared" si="24"/>
        <v>45720.42152</v>
      </c>
      <c r="R1330" s="47" t="b">
        <v>0</v>
      </c>
      <c r="S1330" s="42" t="str">
        <f t="shared" si="28"/>
        <v/>
      </c>
      <c r="T1330" s="42"/>
    </row>
    <row r="1331" ht="22.5" customHeight="1">
      <c r="B1331" s="42">
        <f t="shared" si="7"/>
        <v>1325</v>
      </c>
      <c r="C1331" s="31" t="s">
        <v>1464</v>
      </c>
      <c r="D1331" s="34" t="str">
        <f t="array" ref="D1331">IFNA(_xlfn.XLOOKUP(C1331,Table_Tarikan_Warkah[Nomor Sertipikat],Table_Tarikan_Warkah[Nomor Tiket]),"")</f>
        <v>K/11/190225/1</v>
      </c>
      <c r="E1331" s="36">
        <f t="array" ref="E1331">IFNA(_xlfn.XLOOKUP(D1331,Table_Tarikan_Warkah[Nomor Tiket],Table_Tarikan_Warkah[Tanggal diserahkan kepada Validator]),"")</f>
        <v>45796.48517</v>
      </c>
      <c r="F1331" s="36" t="str">
        <f t="array" ref="F1331">IFNA(_xlfn.XLOOKUP(D1331,Table_Tarikan_Warkah[Nomor Tiket],Table_Tarikan_Warkah[Nama Petugas Warkah]),"")</f>
        <v>Berry</v>
      </c>
      <c r="G1331" s="39" t="str">
        <f t="array" ref="G1331">IFNA(_xlfn.XLOOKUP(D1331,Table_Tarikan_Warkah[Nomor Tiket],Table_Tarikan_Warkah[Jenis Permohonan]),"")</f>
        <v>ROYA</v>
      </c>
      <c r="H1331" s="41" t="s">
        <v>11</v>
      </c>
      <c r="I1331" s="49" t="s">
        <v>23</v>
      </c>
      <c r="J1331" s="36">
        <f t="shared" si="20"/>
        <v>45720.55118</v>
      </c>
      <c r="K1331" s="49" t="s">
        <v>197</v>
      </c>
      <c r="L1331" s="49" t="s">
        <v>23</v>
      </c>
      <c r="M1331" s="36">
        <f t="shared" si="26"/>
        <v>45720.42124</v>
      </c>
      <c r="N1331" s="30" t="str">
        <f t="shared" si="27"/>
        <v>Selesai</v>
      </c>
      <c r="O1331" s="45">
        <f t="shared" si="23"/>
        <v>45720.42124</v>
      </c>
      <c r="P1331" s="47" t="b">
        <v>1</v>
      </c>
      <c r="Q1331" s="36">
        <f t="shared" si="24"/>
        <v>45720.42152</v>
      </c>
      <c r="R1331" s="47" t="b">
        <v>0</v>
      </c>
      <c r="S1331" s="42" t="str">
        <f t="shared" si="28"/>
        <v/>
      </c>
      <c r="T1331" s="42"/>
    </row>
    <row r="1332" ht="22.5" customHeight="1">
      <c r="B1332" s="42">
        <f t="shared" si="7"/>
        <v>1326</v>
      </c>
      <c r="C1332" s="31" t="s">
        <v>1465</v>
      </c>
      <c r="D1332" s="34" t="str">
        <f t="array" ref="D1332">IFNA(_xlfn.XLOOKUP(C1332,Table_Tarikan_Warkah[Nomor Sertipikat],Table_Tarikan_Warkah[Nomor Tiket]),"")</f>
        <v>K/21/240125/1</v>
      </c>
      <c r="E1332" s="36" t="str">
        <f t="array" ref="E1332">IFNA(_xlfn.XLOOKUP(D1332,Table_Tarikan_Warkah[Nomor Tiket],Table_Tarikan_Warkah[Tanggal diserahkan kepada Validator]),"")</f>
        <v/>
      </c>
      <c r="F1332" s="36" t="str">
        <f t="array" ref="F1332">IFNA(_xlfn.XLOOKUP(D1332,Table_Tarikan_Warkah[Nomor Tiket],Table_Tarikan_Warkah[Nama Petugas Warkah]),"")</f>
        <v/>
      </c>
      <c r="G1332" s="39" t="str">
        <f t="array" ref="G1332">IFNA(_xlfn.XLOOKUP(D1332,Table_Tarikan_Warkah[Nomor Tiket],Table_Tarikan_Warkah[Jenis Permohonan]),"")</f>
        <v>PERUBAHAN HAK</v>
      </c>
      <c r="H1332" s="41" t="s">
        <v>11</v>
      </c>
      <c r="I1332" s="49" t="s">
        <v>23</v>
      </c>
      <c r="J1332" s="36">
        <f t="shared" si="20"/>
        <v>45720.55118</v>
      </c>
      <c r="K1332" s="49" t="s">
        <v>197</v>
      </c>
      <c r="L1332" s="49" t="s">
        <v>23</v>
      </c>
      <c r="M1332" s="36">
        <f t="shared" si="26"/>
        <v>45720.42124</v>
      </c>
      <c r="N1332" s="30" t="str">
        <f t="shared" si="27"/>
        <v>Selesai</v>
      </c>
      <c r="O1332" s="45">
        <f t="shared" si="23"/>
        <v>45720.42124</v>
      </c>
      <c r="P1332" s="47" t="b">
        <v>1</v>
      </c>
      <c r="Q1332" s="36">
        <f t="shared" si="24"/>
        <v>45720.42163</v>
      </c>
      <c r="R1332" s="47" t="b">
        <v>0</v>
      </c>
      <c r="S1332" s="42" t="str">
        <f t="shared" si="28"/>
        <v/>
      </c>
      <c r="T1332" s="42"/>
    </row>
    <row r="1333" ht="22.5" customHeight="1">
      <c r="B1333" s="42">
        <f t="shared" si="7"/>
        <v>1327</v>
      </c>
      <c r="C1333" s="31" t="s">
        <v>1466</v>
      </c>
      <c r="D1333" s="34" t="str">
        <f t="array" ref="D1333">IFNA(_xlfn.XLOOKUP(C1333,Table_Tarikan_Warkah[Nomor Sertipikat],Table_Tarikan_Warkah[Nomor Tiket]),"")</f>
        <v>K/12/240225/1</v>
      </c>
      <c r="E1333" s="36">
        <f t="array" ref="E1333">IFNA(_xlfn.XLOOKUP(D1333,Table_Tarikan_Warkah[Nomor Tiket],Table_Tarikan_Warkah[Tanggal diserahkan kepada Validator]),"")</f>
        <v>45730.60868</v>
      </c>
      <c r="F1333" s="36" t="str">
        <f t="array" ref="F1333">IFNA(_xlfn.XLOOKUP(D1333,Table_Tarikan_Warkah[Nomor Tiket],Table_Tarikan_Warkah[Nama Petugas Warkah]),"")</f>
        <v/>
      </c>
      <c r="G1333" s="39" t="str">
        <f t="array" ref="G1333">IFNA(_xlfn.XLOOKUP(D1333,Table_Tarikan_Warkah[Nomor Tiket],Table_Tarikan_Warkah[Jenis Permohonan]),"")</f>
        <v>ROYA</v>
      </c>
      <c r="H1333" s="41" t="s">
        <v>11</v>
      </c>
      <c r="I1333" s="49" t="s">
        <v>23</v>
      </c>
      <c r="J1333" s="36">
        <f t="shared" si="20"/>
        <v>45720.55118</v>
      </c>
      <c r="K1333" s="49" t="s">
        <v>197</v>
      </c>
      <c r="L1333" s="49" t="s">
        <v>23</v>
      </c>
      <c r="M1333" s="36">
        <f t="shared" si="26"/>
        <v>45720.42124</v>
      </c>
      <c r="N1333" s="30" t="str">
        <f t="shared" si="27"/>
        <v>Selesai</v>
      </c>
      <c r="O1333" s="45">
        <f t="shared" si="23"/>
        <v>45720.42124</v>
      </c>
      <c r="P1333" s="47" t="b">
        <v>1</v>
      </c>
      <c r="Q1333" s="36">
        <f t="shared" si="24"/>
        <v>45720.42163</v>
      </c>
      <c r="R1333" s="47" t="b">
        <v>0</v>
      </c>
      <c r="S1333" s="42" t="str">
        <f t="shared" si="28"/>
        <v/>
      </c>
      <c r="T1333" s="42"/>
    </row>
    <row r="1334" ht="22.5" customHeight="1">
      <c r="B1334" s="42">
        <f t="shared" si="7"/>
        <v>1328</v>
      </c>
      <c r="C1334" s="31" t="s">
        <v>1467</v>
      </c>
      <c r="D1334" s="34" t="str">
        <f t="array" ref="D1334">IFNA(_xlfn.XLOOKUP(C1334,Table_Tarikan_Warkah[Nomor Sertipikat],Table_Tarikan_Warkah[Nomor Tiket]),"")</f>
        <v>K/5/220225/1</v>
      </c>
      <c r="E1334" s="36" t="str">
        <f t="array" ref="E1334">IFNA(_xlfn.XLOOKUP(D1334,Table_Tarikan_Warkah[Nomor Tiket],Table_Tarikan_Warkah[Tanggal diserahkan kepada Validator]),"")</f>
        <v/>
      </c>
      <c r="F1334" s="36" t="str">
        <f t="array" ref="F1334">IFNA(_xlfn.XLOOKUP(D1334,Table_Tarikan_Warkah[Nomor Tiket],Table_Tarikan_Warkah[Nama Petugas Warkah]),"")</f>
        <v/>
      </c>
      <c r="G1334" s="39" t="str">
        <f t="array" ref="G1334">IFNA(_xlfn.XLOOKUP(D1334,Table_Tarikan_Warkah[Nomor Tiket],Table_Tarikan_Warkah[Jenis Permohonan]),"")</f>
        <v>PEMECAHAN</v>
      </c>
      <c r="H1334" s="41" t="s">
        <v>11</v>
      </c>
      <c r="I1334" s="49" t="s">
        <v>23</v>
      </c>
      <c r="J1334" s="36">
        <f t="shared" si="20"/>
        <v>45720.55118</v>
      </c>
      <c r="K1334" s="49" t="s">
        <v>197</v>
      </c>
      <c r="L1334" s="49" t="s">
        <v>23</v>
      </c>
      <c r="M1334" s="36">
        <f t="shared" si="26"/>
        <v>45720.42128</v>
      </c>
      <c r="N1334" s="30" t="str">
        <f t="shared" si="27"/>
        <v>Selesai</v>
      </c>
      <c r="O1334" s="45">
        <f t="shared" si="23"/>
        <v>45720.42128</v>
      </c>
      <c r="P1334" s="47" t="b">
        <v>1</v>
      </c>
      <c r="Q1334" s="36">
        <f t="shared" si="24"/>
        <v>45720.42163</v>
      </c>
      <c r="R1334" s="47" t="b">
        <v>0</v>
      </c>
      <c r="S1334" s="42" t="str">
        <f t="shared" si="28"/>
        <v/>
      </c>
      <c r="T1334" s="42"/>
    </row>
    <row r="1335" ht="22.5" customHeight="1">
      <c r="B1335" s="42">
        <f t="shared" si="7"/>
        <v>1329</v>
      </c>
      <c r="C1335" s="31" t="s">
        <v>1468</v>
      </c>
      <c r="D1335" s="34" t="str">
        <f t="array" ref="D1335">IFNA(_xlfn.XLOOKUP(C1335,Table_Tarikan_Warkah[Nomor Sertipikat],Table_Tarikan_Warkah[Nomor Tiket]),"")</f>
        <v>K/6/060225/3</v>
      </c>
      <c r="E1335" s="36">
        <f t="array" ref="E1335">IFNA(_xlfn.XLOOKUP(D1335,Table_Tarikan_Warkah[Nomor Tiket],Table_Tarikan_Warkah[Tanggal diserahkan kepada Validator]),"")</f>
        <v>45720.54942</v>
      </c>
      <c r="F1335" s="36" t="str">
        <f t="array" ref="F1335">IFNA(_xlfn.XLOOKUP(D1335,Table_Tarikan_Warkah[Nomor Tiket],Table_Tarikan_Warkah[Nama Petugas Warkah]),"")</f>
        <v/>
      </c>
      <c r="G1335" s="39" t="str">
        <f t="array" ref="G1335">IFNA(_xlfn.XLOOKUP(D1335,Table_Tarikan_Warkah[Nomor Tiket],Table_Tarikan_Warkah[Jenis Permohonan]),"")</f>
        <v>PERALIHAN HAK </v>
      </c>
      <c r="H1335" s="41" t="s">
        <v>11</v>
      </c>
      <c r="I1335" s="49" t="s">
        <v>23</v>
      </c>
      <c r="J1335" s="36">
        <f t="shared" si="20"/>
        <v>45720.55118</v>
      </c>
      <c r="K1335" s="49" t="s">
        <v>197</v>
      </c>
      <c r="L1335" s="49" t="s">
        <v>23</v>
      </c>
      <c r="M1335" s="36">
        <f t="shared" si="26"/>
        <v>45720.42128</v>
      </c>
      <c r="N1335" s="30" t="str">
        <f t="shared" si="27"/>
        <v>Selesai</v>
      </c>
      <c r="O1335" s="45">
        <f t="shared" si="23"/>
        <v>45720.42128</v>
      </c>
      <c r="P1335" s="47" t="b">
        <v>1</v>
      </c>
      <c r="Q1335" s="36">
        <f t="shared" si="24"/>
        <v>45720.42163</v>
      </c>
      <c r="R1335" s="47" t="b">
        <v>0</v>
      </c>
      <c r="S1335" s="42" t="str">
        <f t="shared" si="28"/>
        <v/>
      </c>
      <c r="T1335" s="42"/>
    </row>
    <row r="1336" ht="22.5" customHeight="1">
      <c r="B1336" s="42">
        <f t="shared" si="7"/>
        <v>1330</v>
      </c>
      <c r="C1336" s="31" t="s">
        <v>1469</v>
      </c>
      <c r="D1336" s="34" t="str">
        <f t="array" ref="D1336">IFNA(_xlfn.XLOOKUP(C1336,Table_Tarikan_Warkah[Nomor Sertipikat],Table_Tarikan_Warkah[Nomor Tiket]),"")</f>
        <v>K/25/210225/1</v>
      </c>
      <c r="E1336" s="36" t="str">
        <f t="array" ref="E1336">IFNA(_xlfn.XLOOKUP(D1336,Table_Tarikan_Warkah[Nomor Tiket],Table_Tarikan_Warkah[Tanggal diserahkan kepada Validator]),"")</f>
        <v/>
      </c>
      <c r="F1336" s="36" t="str">
        <f t="array" ref="F1336">IFNA(_xlfn.XLOOKUP(D1336,Table_Tarikan_Warkah[Nomor Tiket],Table_Tarikan_Warkah[Nama Petugas Warkah]),"")</f>
        <v/>
      </c>
      <c r="G1336" s="39" t="str">
        <f t="array" ref="G1336">IFNA(_xlfn.XLOOKUP(D1336,Table_Tarikan_Warkah[Nomor Tiket],Table_Tarikan_Warkah[Jenis Permohonan]),"")</f>
        <v>KEWARISAN</v>
      </c>
      <c r="H1336" s="41" t="s">
        <v>11</v>
      </c>
      <c r="I1336" s="49" t="s">
        <v>23</v>
      </c>
      <c r="J1336" s="36">
        <f t="shared" si="20"/>
        <v>45720.55118</v>
      </c>
      <c r="K1336" s="49" t="s">
        <v>197</v>
      </c>
      <c r="L1336" s="49" t="s">
        <v>23</v>
      </c>
      <c r="M1336" s="36">
        <f t="shared" si="26"/>
        <v>45720.42128</v>
      </c>
      <c r="N1336" s="30" t="str">
        <f t="shared" si="27"/>
        <v>Selesai</v>
      </c>
      <c r="O1336" s="45">
        <f t="shared" si="23"/>
        <v>45720.42128</v>
      </c>
      <c r="P1336" s="47" t="b">
        <v>1</v>
      </c>
      <c r="Q1336" s="36">
        <f t="shared" si="24"/>
        <v>45720.42163</v>
      </c>
      <c r="R1336" s="47" t="b">
        <v>0</v>
      </c>
      <c r="S1336" s="42" t="str">
        <f t="shared" si="28"/>
        <v/>
      </c>
      <c r="T1336" s="42"/>
    </row>
    <row r="1337" ht="22.5" customHeight="1">
      <c r="B1337" s="42">
        <f t="shared" si="7"/>
        <v>1331</v>
      </c>
      <c r="C1337" s="31" t="s">
        <v>1470</v>
      </c>
      <c r="D1337" s="34" t="str">
        <f t="array" ref="D1337">IFNA(_xlfn.XLOOKUP(C1337,Table_Tarikan_Warkah[Nomor Sertipikat],Table_Tarikan_Warkah[Nomor Tiket]),"")</f>
        <v>K/35/250225/1</v>
      </c>
      <c r="E1337" s="36">
        <f t="array" ref="E1337">IFNA(_xlfn.XLOOKUP(D1337,Table_Tarikan_Warkah[Nomor Tiket],Table_Tarikan_Warkah[Tanggal diserahkan kepada Validator]),"")</f>
        <v>45720.54921</v>
      </c>
      <c r="F1337" s="36" t="str">
        <f t="array" ref="F1337">IFNA(_xlfn.XLOOKUP(D1337,Table_Tarikan_Warkah[Nomor Tiket],Table_Tarikan_Warkah[Nama Petugas Warkah]),"")</f>
        <v/>
      </c>
      <c r="G1337" s="39" t="str">
        <f t="array" ref="G1337">IFNA(_xlfn.XLOOKUP(D1337,Table_Tarikan_Warkah[Nomor Tiket],Table_Tarikan_Warkah[Jenis Permohonan]),"")</f>
        <v>JUAL BELI </v>
      </c>
      <c r="H1337" s="41" t="s">
        <v>11</v>
      </c>
      <c r="I1337" s="49" t="s">
        <v>23</v>
      </c>
      <c r="J1337" s="36">
        <f t="shared" si="20"/>
        <v>45720.55118</v>
      </c>
      <c r="K1337" s="49" t="s">
        <v>197</v>
      </c>
      <c r="L1337" s="49" t="s">
        <v>23</v>
      </c>
      <c r="M1337" s="36">
        <f t="shared" si="26"/>
        <v>45720.42128</v>
      </c>
      <c r="N1337" s="30" t="str">
        <f t="shared" si="27"/>
        <v>Selesai</v>
      </c>
      <c r="O1337" s="45">
        <f t="shared" si="23"/>
        <v>45720.42128</v>
      </c>
      <c r="P1337" s="47" t="b">
        <v>1</v>
      </c>
      <c r="Q1337" s="36">
        <f t="shared" si="24"/>
        <v>45720.42163</v>
      </c>
      <c r="R1337" s="47" t="b">
        <v>0</v>
      </c>
      <c r="S1337" s="42" t="str">
        <f t="shared" si="28"/>
        <v/>
      </c>
      <c r="T1337" s="42"/>
    </row>
    <row r="1338" ht="22.5" customHeight="1">
      <c r="B1338" s="42">
        <f t="shared" si="7"/>
        <v>1332</v>
      </c>
      <c r="C1338" s="31" t="s">
        <v>1471</v>
      </c>
      <c r="D1338" s="34" t="str">
        <f t="array" ref="D1338">IFNA(_xlfn.XLOOKUP(C1338,Table_Tarikan_Warkah[Nomor Sertipikat],Table_Tarikan_Warkah[Nomor Tiket]),"")</f>
        <v>K/19/180225/2</v>
      </c>
      <c r="E1338" s="36">
        <f t="array" ref="E1338">IFNA(_xlfn.XLOOKUP(D1338,Table_Tarikan_Warkah[Nomor Tiket],Table_Tarikan_Warkah[Tanggal diserahkan kepada Validator]),"")</f>
        <v>45720.54867</v>
      </c>
      <c r="F1338" s="36" t="str">
        <f t="array" ref="F1338">IFNA(_xlfn.XLOOKUP(D1338,Table_Tarikan_Warkah[Nomor Tiket],Table_Tarikan_Warkah[Nama Petugas Warkah]),"")</f>
        <v/>
      </c>
      <c r="G1338" s="39" t="str">
        <f t="array" ref="G1338">IFNA(_xlfn.XLOOKUP(D1338,Table_Tarikan_Warkah[Nomor Tiket],Table_Tarikan_Warkah[Jenis Permohonan]),"")</f>
        <v>HIBAH</v>
      </c>
      <c r="H1338" s="41" t="s">
        <v>11</v>
      </c>
      <c r="I1338" s="49" t="s">
        <v>23</v>
      </c>
      <c r="J1338" s="36">
        <f t="shared" si="20"/>
        <v>45720.55118</v>
      </c>
      <c r="K1338" s="49" t="s">
        <v>197</v>
      </c>
      <c r="L1338" s="49" t="s">
        <v>23</v>
      </c>
      <c r="M1338" s="36">
        <f t="shared" si="26"/>
        <v>45720.42128</v>
      </c>
      <c r="N1338" s="30" t="str">
        <f t="shared" si="27"/>
        <v>Selesai</v>
      </c>
      <c r="O1338" s="45">
        <f t="shared" si="23"/>
        <v>45720.42128</v>
      </c>
      <c r="P1338" s="47" t="b">
        <v>1</v>
      </c>
      <c r="Q1338" s="36">
        <f t="shared" si="24"/>
        <v>45720.42163</v>
      </c>
      <c r="R1338" s="47" t="b">
        <v>0</v>
      </c>
      <c r="S1338" s="42" t="str">
        <f t="shared" si="28"/>
        <v/>
      </c>
      <c r="T1338" s="42"/>
    </row>
    <row r="1339" ht="22.5" customHeight="1">
      <c r="B1339" s="42">
        <f t="shared" si="7"/>
        <v>1333</v>
      </c>
      <c r="C1339" s="31" t="s">
        <v>1472</v>
      </c>
      <c r="D1339" s="34" t="str">
        <f t="array" ref="D1339">IFNA(_xlfn.XLOOKUP(C1339,Table_Tarikan_Warkah[Nomor Sertipikat],Table_Tarikan_Warkah[Nomor Tiket]),"")</f>
        <v>K/18/180225/1</v>
      </c>
      <c r="E1339" s="36">
        <f t="array" ref="E1339">IFNA(_xlfn.XLOOKUP(D1339,Table_Tarikan_Warkah[Nomor Tiket],Table_Tarikan_Warkah[Tanggal diserahkan kepada Validator]),"")</f>
        <v>45720.54875</v>
      </c>
      <c r="F1339" s="36" t="str">
        <f t="array" ref="F1339">IFNA(_xlfn.XLOOKUP(D1339,Table_Tarikan_Warkah[Nomor Tiket],Table_Tarikan_Warkah[Nama Petugas Warkah]),"")</f>
        <v/>
      </c>
      <c r="G1339" s="39" t="str">
        <f t="array" ref="G1339">IFNA(_xlfn.XLOOKUP(D1339,Table_Tarikan_Warkah[Nomor Tiket],Table_Tarikan_Warkah[Jenis Permohonan]),"")</f>
        <v>HIBAH</v>
      </c>
      <c r="H1339" s="41" t="s">
        <v>11</v>
      </c>
      <c r="I1339" s="49" t="s">
        <v>23</v>
      </c>
      <c r="J1339" s="36">
        <f t="shared" si="20"/>
        <v>45720.55118</v>
      </c>
      <c r="K1339" s="49" t="s">
        <v>197</v>
      </c>
      <c r="L1339" s="49" t="s">
        <v>23</v>
      </c>
      <c r="M1339" s="36">
        <f t="shared" si="26"/>
        <v>45720.42128</v>
      </c>
      <c r="N1339" s="30" t="str">
        <f t="shared" si="27"/>
        <v>Selesai</v>
      </c>
      <c r="O1339" s="45">
        <f t="shared" si="23"/>
        <v>45720.42128</v>
      </c>
      <c r="P1339" s="47" t="b">
        <v>1</v>
      </c>
      <c r="Q1339" s="36">
        <f t="shared" si="24"/>
        <v>45720.42163</v>
      </c>
      <c r="R1339" s="47" t="b">
        <v>0</v>
      </c>
      <c r="S1339" s="42" t="str">
        <f t="shared" si="28"/>
        <v/>
      </c>
      <c r="T1339" s="42"/>
    </row>
    <row r="1340" ht="22.5" customHeight="1">
      <c r="B1340" s="42">
        <f t="shared" si="7"/>
        <v>1334</v>
      </c>
      <c r="C1340" s="31" t="s">
        <v>1473</v>
      </c>
      <c r="D1340" s="34" t="str">
        <f t="array" ref="D1340">IFNA(_xlfn.XLOOKUP(C1340,Table_Tarikan_Warkah[Nomor Sertipikat],Table_Tarikan_Warkah[Nomor Tiket]),"")</f>
        <v>K/2/120225/1</v>
      </c>
      <c r="E1340" s="36" t="str">
        <f t="array" ref="E1340">IFNA(_xlfn.XLOOKUP(D1340,Table_Tarikan_Warkah[Nomor Tiket],Table_Tarikan_Warkah[Tanggal diserahkan kepada Validator]),"")</f>
        <v/>
      </c>
      <c r="F1340" s="36" t="str">
        <f t="array" ref="F1340">IFNA(_xlfn.XLOOKUP(D1340,Table_Tarikan_Warkah[Nomor Tiket],Table_Tarikan_Warkah[Nama Petugas Warkah]),"")</f>
        <v/>
      </c>
      <c r="G1340" s="39" t="str">
        <f t="array" ref="G1340">IFNA(_xlfn.XLOOKUP(D1340,Table_Tarikan_Warkah[Nomor Tiket],Table_Tarikan_Warkah[Jenis Permohonan]),"")</f>
        <v>Bn Jual Beli</v>
      </c>
      <c r="H1340" s="41" t="s">
        <v>11</v>
      </c>
      <c r="I1340" s="49" t="s">
        <v>23</v>
      </c>
      <c r="J1340" s="36">
        <f t="shared" si="20"/>
        <v>45720.55118</v>
      </c>
      <c r="K1340" s="49" t="s">
        <v>197</v>
      </c>
      <c r="L1340" s="49" t="s">
        <v>23</v>
      </c>
      <c r="M1340" s="36">
        <f t="shared" si="26"/>
        <v>45720.42128</v>
      </c>
      <c r="N1340" s="30" t="str">
        <f t="shared" si="27"/>
        <v>Selesai</v>
      </c>
      <c r="O1340" s="45">
        <f t="shared" si="23"/>
        <v>45720.42128</v>
      </c>
      <c r="P1340" s="47" t="b">
        <v>1</v>
      </c>
      <c r="Q1340" s="36">
        <f t="shared" si="24"/>
        <v>45720.42163</v>
      </c>
      <c r="R1340" s="47" t="b">
        <v>0</v>
      </c>
      <c r="S1340" s="42" t="str">
        <f t="shared" si="28"/>
        <v/>
      </c>
      <c r="T1340" s="42"/>
    </row>
    <row r="1341" ht="22.5" customHeight="1">
      <c r="B1341" s="42">
        <f t="shared" si="7"/>
        <v>1335</v>
      </c>
      <c r="C1341" s="31" t="s">
        <v>1474</v>
      </c>
      <c r="D1341" s="34" t="str">
        <f t="array" ref="D1341">IFNA(_xlfn.XLOOKUP(C1341,Table_Tarikan_Warkah[Nomor Sertipikat],Table_Tarikan_Warkah[Nomor Tiket]),"")</f>
        <v>K/46/210225/1</v>
      </c>
      <c r="E1341" s="36">
        <f t="array" ref="E1341">IFNA(_xlfn.XLOOKUP(D1341,Table_Tarikan_Warkah[Nomor Tiket],Table_Tarikan_Warkah[Tanggal diserahkan kepada Validator]),"")</f>
        <v>45722.5086</v>
      </c>
      <c r="F1341" s="36" t="str">
        <f t="array" ref="F1341">IFNA(_xlfn.XLOOKUP(D1341,Table_Tarikan_Warkah[Nomor Tiket],Table_Tarikan_Warkah[Nama Petugas Warkah]),"")</f>
        <v/>
      </c>
      <c r="G1341" s="39" t="str">
        <f t="array" ref="G1341">IFNA(_xlfn.XLOOKUP(D1341,Table_Tarikan_Warkah[Nomor Tiket],Table_Tarikan_Warkah[Jenis Permohonan]),"")</f>
        <v>BN Jual Beli</v>
      </c>
      <c r="H1341" s="41" t="s">
        <v>11</v>
      </c>
      <c r="I1341" s="49" t="s">
        <v>23</v>
      </c>
      <c r="J1341" s="36">
        <f t="shared" si="20"/>
        <v>45720.55118</v>
      </c>
      <c r="K1341" s="49" t="s">
        <v>197</v>
      </c>
      <c r="L1341" s="49" t="s">
        <v>23</v>
      </c>
      <c r="M1341" s="36">
        <f t="shared" si="26"/>
        <v>45720.42128</v>
      </c>
      <c r="N1341" s="30" t="str">
        <f t="shared" si="27"/>
        <v>Selesai</v>
      </c>
      <c r="O1341" s="45">
        <f t="shared" si="23"/>
        <v>45720.42128</v>
      </c>
      <c r="P1341" s="47" t="b">
        <v>1</v>
      </c>
      <c r="Q1341" s="36">
        <f t="shared" si="24"/>
        <v>45720.42163</v>
      </c>
      <c r="R1341" s="47" t="b">
        <v>0</v>
      </c>
      <c r="S1341" s="42" t="str">
        <f t="shared" si="28"/>
        <v/>
      </c>
      <c r="T1341" s="42"/>
    </row>
    <row r="1342" ht="22.5" customHeight="1">
      <c r="B1342" s="42">
        <f t="shared" si="7"/>
        <v>1336</v>
      </c>
      <c r="C1342" s="31" t="s">
        <v>1475</v>
      </c>
      <c r="D1342" s="34" t="str">
        <f t="array" ref="D1342">IFNA(_xlfn.XLOOKUP(C1342,Table_Tarikan_Warkah[Nomor Sertipikat],Table_Tarikan_Warkah[Nomor Tiket]),"")</f>
        <v>K/36/190225/1</v>
      </c>
      <c r="E1342" s="36">
        <f t="array" ref="E1342">IFNA(_xlfn.XLOOKUP(D1342,Table_Tarikan_Warkah[Nomor Tiket],Table_Tarikan_Warkah[Tanggal diserahkan kepada Validator]),"")</f>
        <v>45722.50078</v>
      </c>
      <c r="F1342" s="36" t="str">
        <f t="array" ref="F1342">IFNA(_xlfn.XLOOKUP(D1342,Table_Tarikan_Warkah[Nomor Tiket],Table_Tarikan_Warkah[Nama Petugas Warkah]),"")</f>
        <v/>
      </c>
      <c r="G1342" s="39" t="str">
        <f t="array" ref="G1342">IFNA(_xlfn.XLOOKUP(D1342,Table_Tarikan_Warkah[Nomor Tiket],Table_Tarikan_Warkah[Jenis Permohonan]),"")</f>
        <v>HIBAH</v>
      </c>
      <c r="H1342" s="41" t="s">
        <v>11</v>
      </c>
      <c r="I1342" s="49" t="s">
        <v>23</v>
      </c>
      <c r="J1342" s="36">
        <f t="shared" si="20"/>
        <v>45720.55873</v>
      </c>
      <c r="K1342" s="49" t="s">
        <v>197</v>
      </c>
      <c r="L1342" s="49" t="s">
        <v>23</v>
      </c>
      <c r="M1342" s="36">
        <f t="shared" si="26"/>
        <v>45720.59131</v>
      </c>
      <c r="N1342" s="30" t="str">
        <f t="shared" si="27"/>
        <v>Selesai</v>
      </c>
      <c r="O1342" s="45">
        <f t="shared" si="23"/>
        <v>45720.59131</v>
      </c>
      <c r="P1342" s="47" t="b">
        <v>1</v>
      </c>
      <c r="Q1342" s="36">
        <f t="shared" si="24"/>
        <v>45723.45596</v>
      </c>
      <c r="R1342" s="47" t="b">
        <v>0</v>
      </c>
      <c r="S1342" s="42" t="str">
        <f t="shared" si="28"/>
        <v/>
      </c>
      <c r="T1342" s="42"/>
    </row>
    <row r="1343" ht="22.5" customHeight="1">
      <c r="B1343" s="42">
        <f t="shared" si="7"/>
        <v>1337</v>
      </c>
      <c r="C1343" s="31" t="s">
        <v>1476</v>
      </c>
      <c r="D1343" s="34" t="str">
        <f t="array" ref="D1343">IFNA(_xlfn.XLOOKUP(C1343,Table_Tarikan_Warkah[Nomor Sertipikat],Table_Tarikan_Warkah[Nomor Tiket]),"")</f>
        <v>K/31/200225/1</v>
      </c>
      <c r="E1343" s="36">
        <f t="array" ref="E1343">IFNA(_xlfn.XLOOKUP(D1343,Table_Tarikan_Warkah[Nomor Tiket],Table_Tarikan_Warkah[Tanggal diserahkan kepada Validator]),"")</f>
        <v>45722.50544</v>
      </c>
      <c r="F1343" s="36" t="str">
        <f t="array" ref="F1343">IFNA(_xlfn.XLOOKUP(D1343,Table_Tarikan_Warkah[Nomor Tiket],Table_Tarikan_Warkah[Nama Petugas Warkah]),"")</f>
        <v/>
      </c>
      <c r="G1343" s="39" t="str">
        <f t="array" ref="G1343">IFNA(_xlfn.XLOOKUP(D1343,Table_Tarikan_Warkah[Nomor Tiket],Table_Tarikan_Warkah[Jenis Permohonan]),"")</f>
        <v>BN Waris</v>
      </c>
      <c r="H1343" s="41" t="s">
        <v>11</v>
      </c>
      <c r="I1343" s="49" t="s">
        <v>23</v>
      </c>
      <c r="J1343" s="36">
        <f t="shared" si="20"/>
        <v>45720.55879</v>
      </c>
      <c r="K1343" s="49" t="s">
        <v>197</v>
      </c>
      <c r="L1343" s="49" t="s">
        <v>23</v>
      </c>
      <c r="M1343" s="36">
        <f t="shared" si="26"/>
        <v>45720.59131</v>
      </c>
      <c r="N1343" s="30" t="str">
        <f t="shared" si="27"/>
        <v>Selesai</v>
      </c>
      <c r="O1343" s="45">
        <f t="shared" si="23"/>
        <v>45720.59131</v>
      </c>
      <c r="P1343" s="47" t="b">
        <v>1</v>
      </c>
      <c r="Q1343" s="36">
        <f t="shared" si="24"/>
        <v>45723.45598</v>
      </c>
      <c r="R1343" s="47" t="b">
        <v>0</v>
      </c>
      <c r="S1343" s="42" t="str">
        <f t="shared" si="28"/>
        <v/>
      </c>
      <c r="T1343" s="42"/>
    </row>
    <row r="1344" ht="22.5" customHeight="1">
      <c r="B1344" s="42">
        <f t="shared" si="7"/>
        <v>1338</v>
      </c>
      <c r="C1344" s="31" t="s">
        <v>1477</v>
      </c>
      <c r="D1344" s="34" t="str">
        <f t="array" ref="D1344">IFNA(_xlfn.XLOOKUP(C1344,Table_Tarikan_Warkah[Nomor Sertipikat],Table_Tarikan_Warkah[Nomor Tiket]),"")</f>
        <v>K/30/210225/1</v>
      </c>
      <c r="E1344" s="36">
        <f t="array" ref="E1344">IFNA(_xlfn.XLOOKUP(D1344,Table_Tarikan_Warkah[Nomor Tiket],Table_Tarikan_Warkah[Tanggal diserahkan kepada Validator]),"")</f>
        <v>45720.4392</v>
      </c>
      <c r="F1344" s="36" t="str">
        <f t="array" ref="F1344">IFNA(_xlfn.XLOOKUP(D1344,Table_Tarikan_Warkah[Nomor Tiket],Table_Tarikan_Warkah[Nama Petugas Warkah]),"")</f>
        <v/>
      </c>
      <c r="G1344" s="39" t="str">
        <f t="array" ref="G1344">IFNA(_xlfn.XLOOKUP(D1344,Table_Tarikan_Warkah[Nomor Tiket],Table_Tarikan_Warkah[Jenis Permohonan]),"")</f>
        <v>JUAL BELI</v>
      </c>
      <c r="H1344" s="41" t="s">
        <v>11</v>
      </c>
      <c r="I1344" s="49" t="s">
        <v>23</v>
      </c>
      <c r="J1344" s="36">
        <f t="shared" si="20"/>
        <v>45720.55879</v>
      </c>
      <c r="K1344" s="49" t="s">
        <v>197</v>
      </c>
      <c r="L1344" s="49" t="s">
        <v>23</v>
      </c>
      <c r="M1344" s="36">
        <f t="shared" si="26"/>
        <v>45720.59131</v>
      </c>
      <c r="N1344" s="30" t="str">
        <f t="shared" si="27"/>
        <v>Selesai</v>
      </c>
      <c r="O1344" s="45">
        <f t="shared" si="23"/>
        <v>45720.59131</v>
      </c>
      <c r="P1344" s="47" t="b">
        <v>1</v>
      </c>
      <c r="Q1344" s="36">
        <f t="shared" si="24"/>
        <v>45723.45599</v>
      </c>
      <c r="R1344" s="47" t="b">
        <v>0</v>
      </c>
      <c r="S1344" s="42" t="str">
        <f t="shared" si="28"/>
        <v/>
      </c>
      <c r="T1344" s="42"/>
    </row>
    <row r="1345" ht="22.5" customHeight="1">
      <c r="B1345" s="42">
        <f t="shared" si="7"/>
        <v>1339</v>
      </c>
      <c r="C1345" s="31" t="s">
        <v>1478</v>
      </c>
      <c r="D1345" s="34" t="str">
        <f t="array" ref="D1345">IFNA(_xlfn.XLOOKUP(C1345,Table_Tarikan_Warkah[Nomor Sertipikat],Table_Tarikan_Warkah[Nomor Tiket]),"")</f>
        <v>K/36/240225/2</v>
      </c>
      <c r="E1345" s="36">
        <f t="array" ref="E1345">IFNA(_xlfn.XLOOKUP(D1345,Table_Tarikan_Warkah[Nomor Tiket],Table_Tarikan_Warkah[Tanggal diserahkan kepada Validator]),"")</f>
        <v>45722.50558</v>
      </c>
      <c r="F1345" s="36" t="str">
        <f t="array" ref="F1345">IFNA(_xlfn.XLOOKUP(D1345,Table_Tarikan_Warkah[Nomor Tiket],Table_Tarikan_Warkah[Nama Petugas Warkah]),"")</f>
        <v/>
      </c>
      <c r="G1345" s="39" t="str">
        <f t="array" ref="G1345">IFNA(_xlfn.XLOOKUP(D1345,Table_Tarikan_Warkah[Nomor Tiket],Table_Tarikan_Warkah[Jenis Permohonan]),"")</f>
        <v>Ganti Nama</v>
      </c>
      <c r="H1345" s="41" t="s">
        <v>11</v>
      </c>
      <c r="I1345" s="49" t="s">
        <v>23</v>
      </c>
      <c r="J1345" s="36">
        <f t="shared" si="20"/>
        <v>45720.55879</v>
      </c>
      <c r="K1345" s="49" t="s">
        <v>197</v>
      </c>
      <c r="L1345" s="49" t="s">
        <v>23</v>
      </c>
      <c r="M1345" s="36">
        <f t="shared" si="26"/>
        <v>45720.59131</v>
      </c>
      <c r="N1345" s="30" t="str">
        <f t="shared" si="27"/>
        <v>Selesai</v>
      </c>
      <c r="O1345" s="45">
        <f t="shared" si="23"/>
        <v>45720.59131</v>
      </c>
      <c r="P1345" s="47" t="b">
        <v>1</v>
      </c>
      <c r="Q1345" s="36">
        <f t="shared" si="24"/>
        <v>45723.456</v>
      </c>
      <c r="R1345" s="47" t="b">
        <v>0</v>
      </c>
      <c r="S1345" s="42" t="str">
        <f t="shared" si="28"/>
        <v/>
      </c>
      <c r="T1345" s="42"/>
    </row>
    <row r="1346" ht="22.5" customHeight="1">
      <c r="B1346" s="42">
        <f t="shared" si="7"/>
        <v>1340</v>
      </c>
      <c r="C1346" s="31" t="s">
        <v>1479</v>
      </c>
      <c r="D1346" s="34" t="str">
        <f t="array" ref="D1346">IFNA(_xlfn.XLOOKUP(C1346,Table_Tarikan_Warkah[Nomor Sertipikat],Table_Tarikan_Warkah[Nomor Tiket]),"")</f>
        <v>K/49/210225/1</v>
      </c>
      <c r="E1346" s="36">
        <f t="array" ref="E1346">IFNA(_xlfn.XLOOKUP(D1346,Table_Tarikan_Warkah[Nomor Tiket],Table_Tarikan_Warkah[Tanggal diserahkan kepada Validator]),"")</f>
        <v>45722.5058</v>
      </c>
      <c r="F1346" s="36" t="str">
        <f t="array" ref="F1346">IFNA(_xlfn.XLOOKUP(D1346,Table_Tarikan_Warkah[Nomor Tiket],Table_Tarikan_Warkah[Nama Petugas Warkah]),"")</f>
        <v/>
      </c>
      <c r="G1346" s="39" t="str">
        <f t="array" ref="G1346">IFNA(_xlfn.XLOOKUP(D1346,Table_Tarikan_Warkah[Nomor Tiket],Table_Tarikan_Warkah[Jenis Permohonan]),"")</f>
        <v>BN Hibah</v>
      </c>
      <c r="H1346" s="41" t="s">
        <v>11</v>
      </c>
      <c r="I1346" s="49" t="s">
        <v>23</v>
      </c>
      <c r="J1346" s="36">
        <f t="shared" si="20"/>
        <v>45720.55879</v>
      </c>
      <c r="K1346" s="49" t="s">
        <v>197</v>
      </c>
      <c r="L1346" s="49" t="s">
        <v>23</v>
      </c>
      <c r="M1346" s="36">
        <f t="shared" si="26"/>
        <v>45720.59131</v>
      </c>
      <c r="N1346" s="30" t="str">
        <f t="shared" si="27"/>
        <v>Selesai</v>
      </c>
      <c r="O1346" s="45">
        <f t="shared" si="23"/>
        <v>45720.59131</v>
      </c>
      <c r="P1346" s="47" t="b">
        <v>1</v>
      </c>
      <c r="Q1346" s="36">
        <f t="shared" si="24"/>
        <v>45723.45601</v>
      </c>
      <c r="R1346" s="47" t="b">
        <v>0</v>
      </c>
      <c r="S1346" s="42" t="str">
        <f t="shared" si="28"/>
        <v/>
      </c>
      <c r="T1346" s="42"/>
    </row>
    <row r="1347" ht="22.5" customHeight="1">
      <c r="B1347" s="42">
        <f t="shared" si="7"/>
        <v>1341</v>
      </c>
      <c r="C1347" s="31" t="s">
        <v>1480</v>
      </c>
      <c r="D1347" s="34" t="str">
        <f t="array" ref="D1347">IFNA(_xlfn.XLOOKUP(C1347,Table_Tarikan_Warkah[Nomor Sertipikat],Table_Tarikan_Warkah[Nomor Tiket]),"")</f>
        <v>K/10/260225/2</v>
      </c>
      <c r="E1347" s="36">
        <f t="array" ref="E1347">IFNA(_xlfn.XLOOKUP(D1347,Table_Tarikan_Warkah[Nomor Tiket],Table_Tarikan_Warkah[Tanggal diserahkan kepada Validator]),"")</f>
        <v>45722.50519</v>
      </c>
      <c r="F1347" s="36" t="str">
        <f t="array" ref="F1347">IFNA(_xlfn.XLOOKUP(D1347,Table_Tarikan_Warkah[Nomor Tiket],Table_Tarikan_Warkah[Nama Petugas Warkah]),"")</f>
        <v/>
      </c>
      <c r="G1347" s="39" t="str">
        <f t="array" ref="G1347">IFNA(_xlfn.XLOOKUP(D1347,Table_Tarikan_Warkah[Nomor Tiket],Table_Tarikan_Warkah[Jenis Permohonan]),"")</f>
        <v>Ganti Nama</v>
      </c>
      <c r="H1347" s="41" t="s">
        <v>11</v>
      </c>
      <c r="I1347" s="49" t="s">
        <v>23</v>
      </c>
      <c r="J1347" s="36">
        <f t="shared" si="20"/>
        <v>45720.55879</v>
      </c>
      <c r="K1347" s="49" t="s">
        <v>197</v>
      </c>
      <c r="L1347" s="49" t="s">
        <v>23</v>
      </c>
      <c r="M1347" s="36">
        <f t="shared" si="26"/>
        <v>45720.59131</v>
      </c>
      <c r="N1347" s="30" t="str">
        <f t="shared" si="27"/>
        <v>Selesai</v>
      </c>
      <c r="O1347" s="45">
        <f t="shared" si="23"/>
        <v>45720.59131</v>
      </c>
      <c r="P1347" s="47" t="b">
        <v>1</v>
      </c>
      <c r="Q1347" s="36">
        <f t="shared" si="24"/>
        <v>45723.45606</v>
      </c>
      <c r="R1347" s="47" t="b">
        <v>0</v>
      </c>
      <c r="S1347" s="42" t="str">
        <f t="shared" si="28"/>
        <v/>
      </c>
      <c r="T1347" s="42"/>
    </row>
    <row r="1348" ht="22.5" customHeight="1">
      <c r="B1348" s="42">
        <f t="shared" si="7"/>
        <v>1342</v>
      </c>
      <c r="C1348" s="31" t="s">
        <v>1481</v>
      </c>
      <c r="D1348" s="34" t="str">
        <f t="array" ref="D1348">IFNA(_xlfn.XLOOKUP(C1348,Table_Tarikan_Warkah[Nomor Sertipikat],Table_Tarikan_Warkah[Nomor Tiket]),"")</f>
        <v>K/1/260225/1</v>
      </c>
      <c r="E1348" s="36">
        <f t="array" ref="E1348">IFNA(_xlfn.XLOOKUP(D1348,Table_Tarikan_Warkah[Nomor Tiket],Table_Tarikan_Warkah[Tanggal diserahkan kepada Validator]),"")</f>
        <v>45722.50399</v>
      </c>
      <c r="F1348" s="36" t="str">
        <f t="array" ref="F1348">IFNA(_xlfn.XLOOKUP(D1348,Table_Tarikan_Warkah[Nomor Tiket],Table_Tarikan_Warkah[Nama Petugas Warkah]),"")</f>
        <v/>
      </c>
      <c r="G1348" s="39" t="str">
        <f t="array" ref="G1348">IFNA(_xlfn.XLOOKUP(D1348,Table_Tarikan_Warkah[Nomor Tiket],Table_Tarikan_Warkah[Jenis Permohonan]),"")</f>
        <v>BN Jual Beli</v>
      </c>
      <c r="H1348" s="41" t="s">
        <v>11</v>
      </c>
      <c r="I1348" s="49" t="s">
        <v>23</v>
      </c>
      <c r="J1348" s="36">
        <f t="shared" si="20"/>
        <v>45720.55879</v>
      </c>
      <c r="K1348" s="49" t="s">
        <v>197</v>
      </c>
      <c r="L1348" s="49" t="s">
        <v>23</v>
      </c>
      <c r="M1348" s="36">
        <f t="shared" si="26"/>
        <v>45720.59131</v>
      </c>
      <c r="N1348" s="30" t="str">
        <f t="shared" si="27"/>
        <v>Selesai</v>
      </c>
      <c r="O1348" s="45">
        <f t="shared" si="23"/>
        <v>45720.59131</v>
      </c>
      <c r="P1348" s="47" t="b">
        <v>1</v>
      </c>
      <c r="Q1348" s="36">
        <f t="shared" si="24"/>
        <v>45723.45606</v>
      </c>
      <c r="R1348" s="47" t="b">
        <v>0</v>
      </c>
      <c r="S1348" s="42" t="str">
        <f t="shared" si="28"/>
        <v/>
      </c>
      <c r="T1348" s="42"/>
    </row>
    <row r="1349" ht="22.5" customHeight="1">
      <c r="B1349" s="42">
        <f t="shared" si="7"/>
        <v>1343</v>
      </c>
      <c r="C1349" s="31" t="s">
        <v>1482</v>
      </c>
      <c r="D1349" s="34" t="str">
        <f t="array" ref="D1349">IFNA(_xlfn.XLOOKUP(C1349,Table_Tarikan_Warkah[Nomor Sertipikat],Table_Tarikan_Warkah[Nomor Tiket]),"")</f>
        <v>K/28/240225/1</v>
      </c>
      <c r="E1349" s="36">
        <f t="array" ref="E1349">IFNA(_xlfn.XLOOKUP(D1349,Table_Tarikan_Warkah[Nomor Tiket],Table_Tarikan_Warkah[Tanggal diserahkan kepada Validator]),"")</f>
        <v>45824.62283</v>
      </c>
      <c r="F1349" s="36" t="str">
        <f t="array" ref="F1349">IFNA(_xlfn.XLOOKUP(D1349,Table_Tarikan_Warkah[Nomor Tiket],Table_Tarikan_Warkah[Nama Petugas Warkah]),"")</f>
        <v>David</v>
      </c>
      <c r="G1349" s="39" t="str">
        <f t="array" ref="G1349">IFNA(_xlfn.XLOOKUP(D1349,Table_Tarikan_Warkah[Nomor Tiket],Table_Tarikan_Warkah[Jenis Permohonan]),"")</f>
        <v>ROYA</v>
      </c>
      <c r="H1349" s="41" t="s">
        <v>11</v>
      </c>
      <c r="I1349" s="49" t="s">
        <v>23</v>
      </c>
      <c r="J1349" s="36">
        <f t="shared" si="20"/>
        <v>45720.55879</v>
      </c>
      <c r="K1349" s="49" t="s">
        <v>197</v>
      </c>
      <c r="L1349" s="49" t="s">
        <v>23</v>
      </c>
      <c r="M1349" s="36">
        <f t="shared" si="26"/>
        <v>45720.59131</v>
      </c>
      <c r="N1349" s="30" t="str">
        <f t="shared" si="27"/>
        <v>Selesai</v>
      </c>
      <c r="O1349" s="45">
        <f t="shared" si="23"/>
        <v>45720.59131</v>
      </c>
      <c r="P1349" s="47" t="b">
        <v>1</v>
      </c>
      <c r="Q1349" s="36">
        <f t="shared" si="24"/>
        <v>45723.45606</v>
      </c>
      <c r="R1349" s="47" t="b">
        <v>0</v>
      </c>
      <c r="S1349" s="42" t="str">
        <f t="shared" si="28"/>
        <v/>
      </c>
      <c r="T1349" s="42"/>
    </row>
    <row r="1350" ht="22.5" customHeight="1">
      <c r="B1350" s="42">
        <f t="shared" si="7"/>
        <v>1344</v>
      </c>
      <c r="C1350" s="31" t="s">
        <v>1483</v>
      </c>
      <c r="D1350" s="34" t="str">
        <f t="array" ref="D1350">IFNA(_xlfn.XLOOKUP(C1350,Table_Tarikan_Warkah[Nomor Sertipikat],Table_Tarikan_Warkah[Nomor Tiket]),"")</f>
        <v>K/23/280225/1</v>
      </c>
      <c r="E1350" s="36">
        <f t="array" ref="E1350">IFNA(_xlfn.XLOOKUP(D1350,Table_Tarikan_Warkah[Nomor Tiket],Table_Tarikan_Warkah[Tanggal diserahkan kepada Validator]),"")</f>
        <v>45761.63063</v>
      </c>
      <c r="F1350" s="36" t="str">
        <f t="array" ref="F1350">IFNA(_xlfn.XLOOKUP(D1350,Table_Tarikan_Warkah[Nomor Tiket],Table_Tarikan_Warkah[Nama Petugas Warkah]),"")</f>
        <v/>
      </c>
      <c r="G1350" s="39" t="str">
        <f t="array" ref="G1350">IFNA(_xlfn.XLOOKUP(D1350,Table_Tarikan_Warkah[Nomor Tiket],Table_Tarikan_Warkah[Jenis Permohonan]),"")</f>
        <v>Roya</v>
      </c>
      <c r="H1350" s="41" t="s">
        <v>11</v>
      </c>
      <c r="I1350" s="49" t="s">
        <v>23</v>
      </c>
      <c r="J1350" s="36">
        <f t="shared" si="20"/>
        <v>45720.55879</v>
      </c>
      <c r="K1350" s="49" t="s">
        <v>197</v>
      </c>
      <c r="L1350" s="49" t="s">
        <v>23</v>
      </c>
      <c r="M1350" s="36">
        <f t="shared" si="26"/>
        <v>45720.59131</v>
      </c>
      <c r="N1350" s="30" t="str">
        <f t="shared" si="27"/>
        <v>Selesai</v>
      </c>
      <c r="O1350" s="45">
        <f t="shared" si="23"/>
        <v>45720.59131</v>
      </c>
      <c r="P1350" s="47" t="b">
        <v>1</v>
      </c>
      <c r="Q1350" s="36">
        <f t="shared" si="24"/>
        <v>45723.45606</v>
      </c>
      <c r="R1350" s="47" t="b">
        <v>0</v>
      </c>
      <c r="S1350" s="42" t="str">
        <f t="shared" si="28"/>
        <v/>
      </c>
      <c r="T1350" s="42"/>
    </row>
    <row r="1351" ht="22.5" customHeight="1">
      <c r="B1351" s="42">
        <f t="shared" si="7"/>
        <v>1345</v>
      </c>
      <c r="C1351" s="31" t="s">
        <v>1484</v>
      </c>
      <c r="D1351" s="34" t="str">
        <f t="array" ref="D1351">IFNA(_xlfn.XLOOKUP(C1351,Table_Tarikan_Warkah[Nomor Sertipikat],Table_Tarikan_Warkah[Nomor Tiket]),"")</f>
        <v>K/25/260225/1</v>
      </c>
      <c r="E1351" s="36" t="str">
        <f t="array" ref="E1351">IFNA(_xlfn.XLOOKUP(D1351,Table_Tarikan_Warkah[Nomor Tiket],Table_Tarikan_Warkah[Tanggal diserahkan kepada Validator]),"")</f>
        <v/>
      </c>
      <c r="F1351" s="36" t="str">
        <f t="array" ref="F1351">IFNA(_xlfn.XLOOKUP(D1351,Table_Tarikan_Warkah[Nomor Tiket],Table_Tarikan_Warkah[Nama Petugas Warkah]),"")</f>
        <v/>
      </c>
      <c r="G1351" s="39" t="str">
        <f t="array" ref="G1351">IFNA(_xlfn.XLOOKUP(D1351,Table_Tarikan_Warkah[Nomor Tiket],Table_Tarikan_Warkah[Jenis Permohonan]),"")</f>
        <v>JUAL BELI</v>
      </c>
      <c r="H1351" s="41" t="s">
        <v>11</v>
      </c>
      <c r="I1351" s="49" t="s">
        <v>23</v>
      </c>
      <c r="J1351" s="36">
        <f t="shared" si="20"/>
        <v>45720.55879</v>
      </c>
      <c r="K1351" s="49" t="s">
        <v>197</v>
      </c>
      <c r="L1351" s="49" t="s">
        <v>23</v>
      </c>
      <c r="M1351" s="36">
        <f t="shared" si="26"/>
        <v>45720.59131</v>
      </c>
      <c r="N1351" s="30" t="str">
        <f t="shared" si="27"/>
        <v>Selesai</v>
      </c>
      <c r="O1351" s="45">
        <f t="shared" si="23"/>
        <v>45720.59131</v>
      </c>
      <c r="P1351" s="47" t="b">
        <v>1</v>
      </c>
      <c r="Q1351" s="36">
        <f t="shared" si="24"/>
        <v>45723.45606</v>
      </c>
      <c r="R1351" s="47" t="b">
        <v>0</v>
      </c>
      <c r="S1351" s="42" t="str">
        <f t="shared" si="28"/>
        <v/>
      </c>
      <c r="T1351" s="42"/>
    </row>
    <row r="1352" ht="22.5" customHeight="1">
      <c r="B1352" s="42">
        <f t="shared" si="7"/>
        <v>1346</v>
      </c>
      <c r="C1352" s="31" t="s">
        <v>1485</v>
      </c>
      <c r="D1352" s="34" t="str">
        <f t="array" ref="D1352">IFNA(_xlfn.XLOOKUP(C1352,Table_Tarikan_Warkah[Nomor Sertipikat],Table_Tarikan_Warkah[Nomor Tiket]),"")</f>
        <v>K/6/210225/1</v>
      </c>
      <c r="E1352" s="36">
        <f t="array" ref="E1352">IFNA(_xlfn.XLOOKUP(D1352,Table_Tarikan_Warkah[Nomor Tiket],Table_Tarikan_Warkah[Tanggal diserahkan kepada Validator]),"")</f>
        <v>45722.50043</v>
      </c>
      <c r="F1352" s="36" t="str">
        <f t="array" ref="F1352">IFNA(_xlfn.XLOOKUP(D1352,Table_Tarikan_Warkah[Nomor Tiket],Table_Tarikan_Warkah[Nama Petugas Warkah]),"")</f>
        <v/>
      </c>
      <c r="G1352" s="39" t="str">
        <f t="array" ref="G1352">IFNA(_xlfn.XLOOKUP(D1352,Table_Tarikan_Warkah[Nomor Tiket],Table_Tarikan_Warkah[Jenis Permohonan]),"")</f>
        <v>JUAL BELI</v>
      </c>
      <c r="H1352" s="41" t="s">
        <v>11</v>
      </c>
      <c r="I1352" s="49" t="s">
        <v>23</v>
      </c>
      <c r="J1352" s="36">
        <f t="shared" si="20"/>
        <v>45720.55879</v>
      </c>
      <c r="K1352" s="49" t="s">
        <v>197</v>
      </c>
      <c r="L1352" s="49" t="s">
        <v>23</v>
      </c>
      <c r="M1352" s="36">
        <f t="shared" si="26"/>
        <v>45720.59131</v>
      </c>
      <c r="N1352" s="30" t="str">
        <f t="shared" si="27"/>
        <v>Selesai</v>
      </c>
      <c r="O1352" s="45">
        <f t="shared" si="23"/>
        <v>45720.59131</v>
      </c>
      <c r="P1352" s="47" t="b">
        <v>1</v>
      </c>
      <c r="Q1352" s="36">
        <f t="shared" si="24"/>
        <v>45723.45609</v>
      </c>
      <c r="R1352" s="47" t="b">
        <v>0</v>
      </c>
      <c r="S1352" s="42" t="str">
        <f t="shared" si="28"/>
        <v/>
      </c>
      <c r="T1352" s="42"/>
    </row>
    <row r="1353" ht="22.5" customHeight="1">
      <c r="B1353" s="42">
        <f t="shared" si="7"/>
        <v>1347</v>
      </c>
      <c r="C1353" s="31" t="s">
        <v>1486</v>
      </c>
      <c r="D1353" s="34" t="str">
        <f t="array" ref="D1353">IFNA(_xlfn.XLOOKUP(C1353,Table_Tarikan_Warkah[Nomor Sertipikat],Table_Tarikan_Warkah[Nomor Tiket]),"")</f>
        <v>K/10/240225/2</v>
      </c>
      <c r="E1353" s="36" t="str">
        <f t="array" ref="E1353">IFNA(_xlfn.XLOOKUP(D1353,Table_Tarikan_Warkah[Nomor Tiket],Table_Tarikan_Warkah[Tanggal diserahkan kepada Validator]),"")</f>
        <v/>
      </c>
      <c r="F1353" s="36" t="str">
        <f t="array" ref="F1353">IFNA(_xlfn.XLOOKUP(D1353,Table_Tarikan_Warkah[Nomor Tiket],Table_Tarikan_Warkah[Nama Petugas Warkah]),"")</f>
        <v/>
      </c>
      <c r="G1353" s="39" t="str">
        <f t="array" ref="G1353">IFNA(_xlfn.XLOOKUP(D1353,Table_Tarikan_Warkah[Nomor Tiket],Table_Tarikan_Warkah[Jenis Permohonan]),"")</f>
        <v>JUAL BELI</v>
      </c>
      <c r="H1353" s="41" t="s">
        <v>11</v>
      </c>
      <c r="I1353" s="49" t="s">
        <v>23</v>
      </c>
      <c r="J1353" s="36">
        <f t="shared" si="20"/>
        <v>45720.55879</v>
      </c>
      <c r="K1353" s="49" t="s">
        <v>197</v>
      </c>
      <c r="L1353" s="49" t="s">
        <v>23</v>
      </c>
      <c r="M1353" s="36">
        <f t="shared" si="26"/>
        <v>45720.59161</v>
      </c>
      <c r="N1353" s="30" t="str">
        <f t="shared" si="27"/>
        <v>Selesai</v>
      </c>
      <c r="O1353" s="45">
        <f t="shared" si="23"/>
        <v>45720.59161</v>
      </c>
      <c r="P1353" s="47" t="b">
        <v>1</v>
      </c>
      <c r="Q1353" s="36">
        <f t="shared" si="24"/>
        <v>45723.45609</v>
      </c>
      <c r="R1353" s="47" t="b">
        <v>0</v>
      </c>
      <c r="S1353" s="42" t="str">
        <f t="shared" si="28"/>
        <v/>
      </c>
      <c r="T1353" s="42"/>
    </row>
    <row r="1354" ht="22.5" customHeight="1">
      <c r="B1354" s="42">
        <f t="shared" si="7"/>
        <v>1348</v>
      </c>
      <c r="C1354" s="31" t="s">
        <v>1487</v>
      </c>
      <c r="D1354" s="34" t="str">
        <f t="array" ref="D1354">IFNA(_xlfn.XLOOKUP(C1354,Table_Tarikan_Warkah[Nomor Sertipikat],Table_Tarikan_Warkah[Nomor Tiket]),"")</f>
        <v>K/30/190225/1</v>
      </c>
      <c r="E1354" s="36">
        <f t="array" ref="E1354">IFNA(_xlfn.XLOOKUP(D1354,Table_Tarikan_Warkah[Nomor Tiket],Table_Tarikan_Warkah[Tanggal diserahkan kepada Validator]),"")</f>
        <v>45722.50006</v>
      </c>
      <c r="F1354" s="36" t="str">
        <f t="array" ref="F1354">IFNA(_xlfn.XLOOKUP(D1354,Table_Tarikan_Warkah[Nomor Tiket],Table_Tarikan_Warkah[Nama Petugas Warkah]),"")</f>
        <v/>
      </c>
      <c r="G1354" s="39" t="str">
        <f t="array" ref="G1354">IFNA(_xlfn.XLOOKUP(D1354,Table_Tarikan_Warkah[Nomor Tiket],Table_Tarikan_Warkah[Jenis Permohonan]),"")</f>
        <v>JUAL BELI</v>
      </c>
      <c r="H1354" s="41" t="s">
        <v>11</v>
      </c>
      <c r="I1354" s="49" t="s">
        <v>23</v>
      </c>
      <c r="J1354" s="36">
        <f t="shared" si="20"/>
        <v>45720.55879</v>
      </c>
      <c r="K1354" s="49" t="s">
        <v>197</v>
      </c>
      <c r="L1354" s="49" t="s">
        <v>23</v>
      </c>
      <c r="M1354" s="36">
        <f t="shared" si="26"/>
        <v>45720.59161</v>
      </c>
      <c r="N1354" s="30" t="str">
        <f t="shared" si="27"/>
        <v>Selesai</v>
      </c>
      <c r="O1354" s="45">
        <f t="shared" si="23"/>
        <v>45720.59161</v>
      </c>
      <c r="P1354" s="47" t="b">
        <v>1</v>
      </c>
      <c r="Q1354" s="36">
        <f t="shared" si="24"/>
        <v>45723.45609</v>
      </c>
      <c r="R1354" s="47" t="b">
        <v>0</v>
      </c>
      <c r="S1354" s="42" t="str">
        <f t="shared" si="28"/>
        <v/>
      </c>
      <c r="T1354" s="42"/>
    </row>
    <row r="1355" ht="22.5" customHeight="1">
      <c r="B1355" s="42">
        <f t="shared" si="7"/>
        <v>1349</v>
      </c>
      <c r="C1355" s="31" t="s">
        <v>1488</v>
      </c>
      <c r="D1355" s="34" t="str">
        <f t="array" ref="D1355">IFNA(_xlfn.XLOOKUP(C1355,Table_Tarikan_Warkah[Nomor Sertipikat],Table_Tarikan_Warkah[Nomor Tiket]),"")</f>
        <v>K/9/240225/1</v>
      </c>
      <c r="E1355" s="36">
        <f t="array" ref="E1355">IFNA(_xlfn.XLOOKUP(D1355,Table_Tarikan_Warkah[Nomor Tiket],Table_Tarikan_Warkah[Tanggal diserahkan kepada Validator]),"")</f>
        <v>45722.49986</v>
      </c>
      <c r="F1355" s="36" t="str">
        <f t="array" ref="F1355">IFNA(_xlfn.XLOOKUP(D1355,Table_Tarikan_Warkah[Nomor Tiket],Table_Tarikan_Warkah[Nama Petugas Warkah]),"")</f>
        <v/>
      </c>
      <c r="G1355" s="39" t="str">
        <f t="array" ref="G1355">IFNA(_xlfn.XLOOKUP(D1355,Table_Tarikan_Warkah[Nomor Tiket],Table_Tarikan_Warkah[Jenis Permohonan]),"")</f>
        <v>JUAL BELI</v>
      </c>
      <c r="H1355" s="41" t="s">
        <v>11</v>
      </c>
      <c r="I1355" s="49" t="s">
        <v>23</v>
      </c>
      <c r="J1355" s="36">
        <f t="shared" si="20"/>
        <v>45720.55879</v>
      </c>
      <c r="K1355" s="49" t="s">
        <v>197</v>
      </c>
      <c r="L1355" s="49" t="s">
        <v>23</v>
      </c>
      <c r="M1355" s="36">
        <f t="shared" si="26"/>
        <v>45720.59161</v>
      </c>
      <c r="N1355" s="30" t="str">
        <f t="shared" si="27"/>
        <v>Selesai</v>
      </c>
      <c r="O1355" s="45">
        <f t="shared" si="23"/>
        <v>45720.59161</v>
      </c>
      <c r="P1355" s="47" t="b">
        <v>1</v>
      </c>
      <c r="Q1355" s="36">
        <f t="shared" si="24"/>
        <v>45723.45609</v>
      </c>
      <c r="R1355" s="47" t="b">
        <v>0</v>
      </c>
      <c r="S1355" s="42" t="str">
        <f t="shared" si="28"/>
        <v/>
      </c>
      <c r="T1355" s="42"/>
    </row>
    <row r="1356" ht="22.5" customHeight="1">
      <c r="B1356" s="42">
        <f t="shared" si="7"/>
        <v>1350</v>
      </c>
      <c r="C1356" s="31" t="s">
        <v>1489</v>
      </c>
      <c r="D1356" s="34" t="str">
        <f t="array" ref="D1356">IFNA(_xlfn.XLOOKUP(C1356,Table_Tarikan_Warkah[Nomor Sertipikat],Table_Tarikan_Warkah[Nomor Tiket]),"")</f>
        <v>K/15/250225/1</v>
      </c>
      <c r="E1356" s="36">
        <f t="array" ref="E1356">IFNA(_xlfn.XLOOKUP(D1356,Table_Tarikan_Warkah[Nomor Tiket],Table_Tarikan_Warkah[Tanggal diserahkan kepada Validator]),"")</f>
        <v>45722.5048</v>
      </c>
      <c r="F1356" s="36" t="str">
        <f t="array" ref="F1356">IFNA(_xlfn.XLOOKUP(D1356,Table_Tarikan_Warkah[Nomor Tiket],Table_Tarikan_Warkah[Nama Petugas Warkah]),"")</f>
        <v/>
      </c>
      <c r="G1356" s="39" t="str">
        <f t="array" ref="G1356">IFNA(_xlfn.XLOOKUP(D1356,Table_Tarikan_Warkah[Nomor Tiket],Table_Tarikan_Warkah[Jenis Permohonan]),"")</f>
        <v>BN Jual Beli</v>
      </c>
      <c r="H1356" s="41" t="s">
        <v>11</v>
      </c>
      <c r="I1356" s="49" t="s">
        <v>23</v>
      </c>
      <c r="J1356" s="36">
        <f t="shared" si="20"/>
        <v>45720.55879</v>
      </c>
      <c r="K1356" s="49" t="s">
        <v>197</v>
      </c>
      <c r="L1356" s="49" t="s">
        <v>23</v>
      </c>
      <c r="M1356" s="36">
        <f t="shared" si="26"/>
        <v>45720.59161</v>
      </c>
      <c r="N1356" s="30" t="str">
        <f t="shared" si="27"/>
        <v>Selesai</v>
      </c>
      <c r="O1356" s="45">
        <f t="shared" si="23"/>
        <v>45720.59161</v>
      </c>
      <c r="P1356" s="47" t="b">
        <v>1</v>
      </c>
      <c r="Q1356" s="36">
        <f t="shared" si="24"/>
        <v>45723.45609</v>
      </c>
      <c r="R1356" s="47" t="b">
        <v>0</v>
      </c>
      <c r="S1356" s="42" t="str">
        <f t="shared" si="28"/>
        <v/>
      </c>
      <c r="T1356" s="42"/>
    </row>
    <row r="1357" ht="22.5" customHeight="1">
      <c r="B1357" s="42">
        <f t="shared" si="7"/>
        <v>1351</v>
      </c>
      <c r="C1357" s="31" t="s">
        <v>1490</v>
      </c>
      <c r="D1357" s="34" t="str">
        <f t="array" ref="D1357">IFNA(_xlfn.XLOOKUP(C1357,Table_Tarikan_Warkah[Nomor Sertipikat],Table_Tarikan_Warkah[Nomor Tiket]),"")</f>
        <v>K/12/280225/2</v>
      </c>
      <c r="E1357" s="36">
        <f t="array" ref="E1357">IFNA(_xlfn.XLOOKUP(D1357,Table_Tarikan_Warkah[Nomor Tiket],Table_Tarikan_Warkah[Tanggal diserahkan kepada Validator]),"")</f>
        <v>45722.50501</v>
      </c>
      <c r="F1357" s="36" t="str">
        <f t="array" ref="F1357">IFNA(_xlfn.XLOOKUP(D1357,Table_Tarikan_Warkah[Nomor Tiket],Table_Tarikan_Warkah[Nama Petugas Warkah]),"")</f>
        <v/>
      </c>
      <c r="G1357" s="39" t="str">
        <f t="array" ref="G1357">IFNA(_xlfn.XLOOKUP(D1357,Table_Tarikan_Warkah[Nomor Tiket],Table_Tarikan_Warkah[Jenis Permohonan]),"")</f>
        <v>BN Hibah</v>
      </c>
      <c r="H1357" s="41" t="s">
        <v>11</v>
      </c>
      <c r="I1357" s="49" t="s">
        <v>23</v>
      </c>
      <c r="J1357" s="36">
        <f t="shared" si="20"/>
        <v>45720.55879</v>
      </c>
      <c r="K1357" s="49" t="s">
        <v>197</v>
      </c>
      <c r="L1357" s="49" t="s">
        <v>23</v>
      </c>
      <c r="M1357" s="36">
        <f t="shared" si="26"/>
        <v>45720.59161</v>
      </c>
      <c r="N1357" s="30" t="str">
        <f t="shared" si="27"/>
        <v>Selesai</v>
      </c>
      <c r="O1357" s="45">
        <f t="shared" si="23"/>
        <v>45720.59161</v>
      </c>
      <c r="P1357" s="47" t="b">
        <v>1</v>
      </c>
      <c r="Q1357" s="36">
        <f t="shared" si="24"/>
        <v>45723.45612</v>
      </c>
      <c r="R1357" s="47" t="b">
        <v>0</v>
      </c>
      <c r="S1357" s="42" t="str">
        <f t="shared" si="28"/>
        <v/>
      </c>
      <c r="T1357" s="42"/>
    </row>
    <row r="1358" ht="22.5" customHeight="1">
      <c r="B1358" s="42">
        <f t="shared" si="7"/>
        <v>1352</v>
      </c>
      <c r="C1358" s="31" t="s">
        <v>1491</v>
      </c>
      <c r="D1358" s="34" t="str">
        <f t="array" ref="D1358">IFNA(_xlfn.XLOOKUP(C1358,Table_Tarikan_Warkah[Nomor Sertipikat],Table_Tarikan_Warkah[Nomor Tiket]),"")</f>
        <v>K/26/210225/1</v>
      </c>
      <c r="E1358" s="36">
        <f t="array" ref="E1358">IFNA(_xlfn.XLOOKUP(D1358,Table_Tarikan_Warkah[Nomor Tiket],Table_Tarikan_Warkah[Tanggal diserahkan kepada Validator]),"")</f>
        <v>45722.50057</v>
      </c>
      <c r="F1358" s="36" t="str">
        <f t="array" ref="F1358">IFNA(_xlfn.XLOOKUP(D1358,Table_Tarikan_Warkah[Nomor Tiket],Table_Tarikan_Warkah[Nama Petugas Warkah]),"")</f>
        <v/>
      </c>
      <c r="G1358" s="39" t="str">
        <f t="array" ref="G1358">IFNA(_xlfn.XLOOKUP(D1358,Table_Tarikan_Warkah[Nomor Tiket],Table_Tarikan_Warkah[Jenis Permohonan]),"")</f>
        <v>JUAL BELI</v>
      </c>
      <c r="H1358" s="41" t="s">
        <v>11</v>
      </c>
      <c r="I1358" s="49" t="s">
        <v>23</v>
      </c>
      <c r="J1358" s="36">
        <f t="shared" si="20"/>
        <v>45720.55879</v>
      </c>
      <c r="K1358" s="49" t="s">
        <v>197</v>
      </c>
      <c r="L1358" s="49" t="s">
        <v>23</v>
      </c>
      <c r="M1358" s="36">
        <f t="shared" si="26"/>
        <v>45720.59161</v>
      </c>
      <c r="N1358" s="30" t="str">
        <f t="shared" si="27"/>
        <v>Selesai</v>
      </c>
      <c r="O1358" s="45">
        <f t="shared" si="23"/>
        <v>45720.59161</v>
      </c>
      <c r="P1358" s="47" t="b">
        <v>1</v>
      </c>
      <c r="Q1358" s="36">
        <f t="shared" si="24"/>
        <v>45723.45612</v>
      </c>
      <c r="R1358" s="47" t="b">
        <v>0</v>
      </c>
      <c r="S1358" s="42" t="str">
        <f t="shared" si="28"/>
        <v/>
      </c>
      <c r="T1358" s="42"/>
    </row>
    <row r="1359" ht="22.5" customHeight="1">
      <c r="B1359" s="42">
        <f t="shared" si="7"/>
        <v>1353</v>
      </c>
      <c r="C1359" s="31" t="s">
        <v>1492</v>
      </c>
      <c r="D1359" s="34" t="str">
        <f t="array" ref="D1359">IFNA(_xlfn.XLOOKUP(C1359,Table_Tarikan_Warkah[Nomor Sertipikat],Table_Tarikan_Warkah[Nomor Tiket]),"")</f>
        <v>K/7/280225/3</v>
      </c>
      <c r="E1359" s="36">
        <f t="array" ref="E1359">IFNA(_xlfn.XLOOKUP(D1359,Table_Tarikan_Warkah[Nomor Tiket],Table_Tarikan_Warkah[Tanggal diserahkan kepada Validator]),"")</f>
        <v>45730.37698</v>
      </c>
      <c r="F1359" s="36" t="str">
        <f t="array" ref="F1359">IFNA(_xlfn.XLOOKUP(D1359,Table_Tarikan_Warkah[Nomor Tiket],Table_Tarikan_Warkah[Nama Petugas Warkah]),"")</f>
        <v/>
      </c>
      <c r="G1359" s="39" t="str">
        <f t="array" ref="G1359">IFNA(_xlfn.XLOOKUP(D1359,Table_Tarikan_Warkah[Nomor Tiket],Table_Tarikan_Warkah[Jenis Permohonan]),"")</f>
        <v>ROYA</v>
      </c>
      <c r="H1359" s="41" t="s">
        <v>11</v>
      </c>
      <c r="I1359" s="49" t="s">
        <v>23</v>
      </c>
      <c r="J1359" s="36">
        <f t="shared" si="20"/>
        <v>45720.55879</v>
      </c>
      <c r="K1359" s="49" t="s">
        <v>197</v>
      </c>
      <c r="L1359" s="49" t="s">
        <v>23</v>
      </c>
      <c r="M1359" s="36">
        <f t="shared" si="26"/>
        <v>45720.59161</v>
      </c>
      <c r="N1359" s="30" t="str">
        <f t="shared" si="27"/>
        <v>Selesai</v>
      </c>
      <c r="O1359" s="45">
        <f t="shared" si="23"/>
        <v>45720.59161</v>
      </c>
      <c r="P1359" s="47" t="b">
        <v>1</v>
      </c>
      <c r="Q1359" s="36">
        <f t="shared" si="24"/>
        <v>45723.45612</v>
      </c>
      <c r="R1359" s="47" t="b">
        <v>0</v>
      </c>
      <c r="S1359" s="42" t="str">
        <f t="shared" si="28"/>
        <v/>
      </c>
      <c r="T1359" s="42"/>
    </row>
    <row r="1360" ht="22.5" customHeight="1">
      <c r="B1360" s="42">
        <f t="shared" si="7"/>
        <v>1354</v>
      </c>
      <c r="C1360" s="31" t="s">
        <v>1493</v>
      </c>
      <c r="D1360" s="34" t="str">
        <f t="array" ref="D1360">IFNA(_xlfn.XLOOKUP(C1360,Table_Tarikan_Warkah[Nomor Sertipikat],Table_Tarikan_Warkah[Nomor Tiket]),"")</f>
        <v>K/7/161224/5</v>
      </c>
      <c r="E1360" s="36">
        <f t="array" ref="E1360">IFNA(_xlfn.XLOOKUP(D1360,Table_Tarikan_Warkah[Nomor Tiket],Table_Tarikan_Warkah[Tanggal diserahkan kepada Validator]),"")</f>
        <v>45722.50143</v>
      </c>
      <c r="F1360" s="36" t="str">
        <f t="array" ref="F1360">IFNA(_xlfn.XLOOKUP(D1360,Table_Tarikan_Warkah[Nomor Tiket],Table_Tarikan_Warkah[Nama Petugas Warkah]),"")</f>
        <v>Berry</v>
      </c>
      <c r="G1360" s="39" t="str">
        <f t="array" ref="G1360">IFNA(_xlfn.XLOOKUP(D1360,Table_Tarikan_Warkah[Nomor Tiket],Table_Tarikan_Warkah[Jenis Permohonan]),"")</f>
        <v>BN APHB</v>
      </c>
      <c r="H1360" s="41" t="s">
        <v>11</v>
      </c>
      <c r="I1360" s="49" t="s">
        <v>23</v>
      </c>
      <c r="J1360" s="36">
        <f t="shared" si="20"/>
        <v>45720.55879</v>
      </c>
      <c r="K1360" s="49" t="s">
        <v>197</v>
      </c>
      <c r="L1360" s="49" t="s">
        <v>23</v>
      </c>
      <c r="M1360" s="36">
        <f t="shared" si="26"/>
        <v>45720.59167</v>
      </c>
      <c r="N1360" s="30" t="str">
        <f t="shared" si="27"/>
        <v>Selesai</v>
      </c>
      <c r="O1360" s="45">
        <f t="shared" si="23"/>
        <v>45720.59167</v>
      </c>
      <c r="P1360" s="47" t="b">
        <v>1</v>
      </c>
      <c r="Q1360" s="36">
        <f t="shared" si="24"/>
        <v>45723.45612</v>
      </c>
      <c r="R1360" s="47" t="b">
        <v>0</v>
      </c>
      <c r="S1360" s="42" t="str">
        <f t="shared" si="28"/>
        <v/>
      </c>
      <c r="T1360" s="42"/>
    </row>
    <row r="1361" ht="22.5" customHeight="1">
      <c r="B1361" s="42">
        <f t="shared" si="7"/>
        <v>1355</v>
      </c>
      <c r="C1361" s="31" t="s">
        <v>1494</v>
      </c>
      <c r="D1361" s="34" t="str">
        <f t="array" ref="D1361">IFNA(_xlfn.XLOOKUP(C1361,Table_Tarikan_Warkah[Nomor Sertipikat],Table_Tarikan_Warkah[Nomor Tiket]),"")</f>
        <v>K/12/270225/2</v>
      </c>
      <c r="E1361" s="36">
        <f t="array" ref="E1361">IFNA(_xlfn.XLOOKUP(D1361,Table_Tarikan_Warkah[Nomor Tiket],Table_Tarikan_Warkah[Tanggal diserahkan kepada Validator]),"")</f>
        <v>45722.50098</v>
      </c>
      <c r="F1361" s="36" t="str">
        <f t="array" ref="F1361">IFNA(_xlfn.XLOOKUP(D1361,Table_Tarikan_Warkah[Nomor Tiket],Table_Tarikan_Warkah[Nama Petugas Warkah]),"")</f>
        <v/>
      </c>
      <c r="G1361" s="39" t="str">
        <f t="array" ref="G1361">IFNA(_xlfn.XLOOKUP(D1361,Table_Tarikan_Warkah[Nomor Tiket],Table_Tarikan_Warkah[Jenis Permohonan]),"")</f>
        <v>BN HIBAH</v>
      </c>
      <c r="H1361" s="41" t="s">
        <v>11</v>
      </c>
      <c r="I1361" s="49" t="s">
        <v>23</v>
      </c>
      <c r="J1361" s="36">
        <f t="shared" si="20"/>
        <v>45720.55879</v>
      </c>
      <c r="K1361" s="49" t="s">
        <v>197</v>
      </c>
      <c r="L1361" s="49" t="s">
        <v>23</v>
      </c>
      <c r="M1361" s="36">
        <f t="shared" si="26"/>
        <v>45720.59167</v>
      </c>
      <c r="N1361" s="30" t="str">
        <f t="shared" si="27"/>
        <v>Selesai</v>
      </c>
      <c r="O1361" s="45">
        <f t="shared" si="23"/>
        <v>45720.59167</v>
      </c>
      <c r="P1361" s="47" t="b">
        <v>1</v>
      </c>
      <c r="Q1361" s="36">
        <f t="shared" si="24"/>
        <v>45723.45612</v>
      </c>
      <c r="R1361" s="47" t="b">
        <v>0</v>
      </c>
      <c r="S1361" s="42" t="str">
        <f t="shared" si="28"/>
        <v/>
      </c>
      <c r="T1361" s="42"/>
    </row>
    <row r="1362" ht="22.5" customHeight="1">
      <c r="B1362" s="42">
        <f t="shared" si="7"/>
        <v>1356</v>
      </c>
      <c r="C1362" s="31" t="s">
        <v>1495</v>
      </c>
      <c r="D1362" s="34" t="str">
        <f t="array" ref="D1362">IFNA(_xlfn.XLOOKUP(C1362,Table_Tarikan_Warkah[Nomor Sertipikat],Table_Tarikan_Warkah[Nomor Tiket]),"")</f>
        <v>K/37/250225/1</v>
      </c>
      <c r="E1362" s="36">
        <f t="array" ref="E1362">IFNA(_xlfn.XLOOKUP(D1362,Table_Tarikan_Warkah[Nomor Tiket],Table_Tarikan_Warkah[Tanggal diserahkan kepada Validator]),"")</f>
        <v>45722.50463</v>
      </c>
      <c r="F1362" s="36" t="str">
        <f t="array" ref="F1362">IFNA(_xlfn.XLOOKUP(D1362,Table_Tarikan_Warkah[Nomor Tiket],Table_Tarikan_Warkah[Nama Petugas Warkah]),"")</f>
        <v/>
      </c>
      <c r="G1362" s="39" t="str">
        <f t="array" ref="G1362">IFNA(_xlfn.XLOOKUP(D1362,Table_Tarikan_Warkah[Nomor Tiket],Table_Tarikan_Warkah[Jenis Permohonan]),"")</f>
        <v>BN Jual Beli</v>
      </c>
      <c r="H1362" s="41" t="s">
        <v>11</v>
      </c>
      <c r="I1362" s="49" t="s">
        <v>23</v>
      </c>
      <c r="J1362" s="36">
        <f t="shared" si="20"/>
        <v>45720.55879</v>
      </c>
      <c r="K1362" s="49" t="s">
        <v>197</v>
      </c>
      <c r="L1362" s="49" t="s">
        <v>23</v>
      </c>
      <c r="M1362" s="36">
        <f t="shared" si="26"/>
        <v>45720.59167</v>
      </c>
      <c r="N1362" s="30" t="str">
        <f t="shared" si="27"/>
        <v>Selesai</v>
      </c>
      <c r="O1362" s="45">
        <f t="shared" si="23"/>
        <v>45720.59167</v>
      </c>
      <c r="P1362" s="47" t="b">
        <v>1</v>
      </c>
      <c r="Q1362" s="36">
        <f t="shared" si="24"/>
        <v>45723.45615</v>
      </c>
      <c r="R1362" s="47" t="b">
        <v>0</v>
      </c>
      <c r="S1362" s="42" t="str">
        <f t="shared" si="28"/>
        <v/>
      </c>
      <c r="T1362" s="42"/>
    </row>
    <row r="1363" ht="22.5" customHeight="1">
      <c r="B1363" s="42">
        <f t="shared" si="7"/>
        <v>1357</v>
      </c>
      <c r="C1363" s="31" t="s">
        <v>1496</v>
      </c>
      <c r="D1363" s="34" t="str">
        <f t="array" ref="D1363">IFNA(_xlfn.XLOOKUP(C1363,Table_Tarikan_Warkah[Nomor Sertipikat],Table_Tarikan_Warkah[Nomor Tiket]),"")</f>
        <v>K/5/210225/1</v>
      </c>
      <c r="E1363" s="36">
        <f t="array" ref="E1363">IFNA(_xlfn.XLOOKUP(D1363,Table_Tarikan_Warkah[Nomor Tiket],Table_Tarikan_Warkah[Tanggal diserahkan kepada Validator]),"")</f>
        <v>45722.50447</v>
      </c>
      <c r="F1363" s="36" t="str">
        <f t="array" ref="F1363">IFNA(_xlfn.XLOOKUP(D1363,Table_Tarikan_Warkah[Nomor Tiket],Table_Tarikan_Warkah[Nama Petugas Warkah]),"")</f>
        <v/>
      </c>
      <c r="G1363" s="39" t="str">
        <f t="array" ref="G1363">IFNA(_xlfn.XLOOKUP(D1363,Table_Tarikan_Warkah[Nomor Tiket],Table_Tarikan_Warkah[Jenis Permohonan]),"")</f>
        <v>BN Jual Beli</v>
      </c>
      <c r="H1363" s="41" t="s">
        <v>11</v>
      </c>
      <c r="I1363" s="49" t="s">
        <v>23</v>
      </c>
      <c r="J1363" s="36">
        <f t="shared" si="20"/>
        <v>45720.55879</v>
      </c>
      <c r="K1363" s="49" t="s">
        <v>197</v>
      </c>
      <c r="L1363" s="49" t="s">
        <v>23</v>
      </c>
      <c r="M1363" s="36">
        <f t="shared" si="26"/>
        <v>45720.59167</v>
      </c>
      <c r="N1363" s="30" t="str">
        <f t="shared" si="27"/>
        <v>Selesai</v>
      </c>
      <c r="O1363" s="45">
        <f t="shared" si="23"/>
        <v>45720.59167</v>
      </c>
      <c r="P1363" s="47" t="b">
        <v>1</v>
      </c>
      <c r="Q1363" s="36">
        <f t="shared" si="24"/>
        <v>45723.45615</v>
      </c>
      <c r="R1363" s="47" t="b">
        <v>0</v>
      </c>
      <c r="S1363" s="42" t="str">
        <f t="shared" si="28"/>
        <v/>
      </c>
      <c r="T1363" s="42"/>
    </row>
    <row r="1364" ht="22.5" customHeight="1">
      <c r="B1364" s="42">
        <f t="shared" si="7"/>
        <v>1358</v>
      </c>
      <c r="C1364" s="31" t="s">
        <v>1497</v>
      </c>
      <c r="D1364" s="34" t="str">
        <f t="array" ref="D1364">IFNA(_xlfn.XLOOKUP(C1364,Table_Tarikan_Warkah[Nomor Sertipikat],Table_Tarikan_Warkah[Nomor Tiket]),"")</f>
        <v>K/27/210225/2</v>
      </c>
      <c r="E1364" s="36">
        <f t="array" ref="E1364">IFNA(_xlfn.XLOOKUP(D1364,Table_Tarikan_Warkah[Nomor Tiket],Table_Tarikan_Warkah[Tanggal diserahkan kepada Validator]),"")</f>
        <v>45722.5042</v>
      </c>
      <c r="F1364" s="36" t="str">
        <f t="array" ref="F1364">IFNA(_xlfn.XLOOKUP(D1364,Table_Tarikan_Warkah[Nomor Tiket],Table_Tarikan_Warkah[Nama Petugas Warkah]),"")</f>
        <v/>
      </c>
      <c r="G1364" s="39" t="str">
        <f t="array" ref="G1364">IFNA(_xlfn.XLOOKUP(D1364,Table_Tarikan_Warkah[Nomor Tiket],Table_Tarikan_Warkah[Jenis Permohonan]),"")</f>
        <v>BN Hibah</v>
      </c>
      <c r="H1364" s="41" t="s">
        <v>11</v>
      </c>
      <c r="I1364" s="49" t="s">
        <v>23</v>
      </c>
      <c r="J1364" s="36">
        <f t="shared" si="20"/>
        <v>45720.55879</v>
      </c>
      <c r="K1364" s="49" t="s">
        <v>197</v>
      </c>
      <c r="L1364" s="49" t="s">
        <v>23</v>
      </c>
      <c r="M1364" s="36">
        <f t="shared" si="26"/>
        <v>45720.59167</v>
      </c>
      <c r="N1364" s="30" t="str">
        <f t="shared" si="27"/>
        <v>Selesai</v>
      </c>
      <c r="O1364" s="45">
        <f t="shared" si="23"/>
        <v>45720.59167</v>
      </c>
      <c r="P1364" s="47" t="b">
        <v>1</v>
      </c>
      <c r="Q1364" s="36">
        <f t="shared" si="24"/>
        <v>45723.45615</v>
      </c>
      <c r="R1364" s="47" t="b">
        <v>0</v>
      </c>
      <c r="S1364" s="42" t="str">
        <f t="shared" si="28"/>
        <v/>
      </c>
      <c r="T1364" s="42"/>
    </row>
    <row r="1365" ht="22.5" customHeight="1">
      <c r="B1365" s="42">
        <f t="shared" si="7"/>
        <v>1359</v>
      </c>
      <c r="C1365" s="31" t="s">
        <v>1498</v>
      </c>
      <c r="D1365" s="34" t="str">
        <f t="array" ref="D1365">IFNA(_xlfn.XLOOKUP(C1365,Table_Tarikan_Warkah[Nomor Sertipikat],Table_Tarikan_Warkah[Nomor Tiket]),"")</f>
        <v>K/20/190225/1</v>
      </c>
      <c r="E1365" s="36">
        <f t="array" ref="E1365">IFNA(_xlfn.XLOOKUP(D1365,Table_Tarikan_Warkah[Nomor Tiket],Table_Tarikan_Warkah[Tanggal diserahkan kepada Validator]),"")</f>
        <v>45722.506</v>
      </c>
      <c r="F1365" s="36" t="str">
        <f t="array" ref="F1365">IFNA(_xlfn.XLOOKUP(D1365,Table_Tarikan_Warkah[Nomor Tiket],Table_Tarikan_Warkah[Nama Petugas Warkah]),"")</f>
        <v/>
      </c>
      <c r="G1365" s="39" t="str">
        <f t="array" ref="G1365">IFNA(_xlfn.XLOOKUP(D1365,Table_Tarikan_Warkah[Nomor Tiket],Table_Tarikan_Warkah[Jenis Permohonan]),"")</f>
        <v>BN Jual Beli</v>
      </c>
      <c r="H1365" s="41" t="s">
        <v>11</v>
      </c>
      <c r="I1365" s="49" t="s">
        <v>23</v>
      </c>
      <c r="J1365" s="36">
        <f t="shared" si="20"/>
        <v>45720.55879</v>
      </c>
      <c r="K1365" s="49" t="s">
        <v>197</v>
      </c>
      <c r="L1365" s="49" t="s">
        <v>23</v>
      </c>
      <c r="M1365" s="36">
        <f t="shared" si="26"/>
        <v>45720.59167</v>
      </c>
      <c r="N1365" s="30" t="str">
        <f t="shared" si="27"/>
        <v>Selesai</v>
      </c>
      <c r="O1365" s="45">
        <f t="shared" si="23"/>
        <v>45720.59167</v>
      </c>
      <c r="P1365" s="47" t="b">
        <v>1</v>
      </c>
      <c r="Q1365" s="36">
        <f t="shared" si="24"/>
        <v>45723.45615</v>
      </c>
      <c r="R1365" s="47" t="b">
        <v>0</v>
      </c>
      <c r="S1365" s="42" t="str">
        <f t="shared" si="28"/>
        <v/>
      </c>
      <c r="T1365" s="42"/>
    </row>
    <row r="1366" ht="22.5" customHeight="1">
      <c r="B1366" s="42">
        <f t="shared" si="7"/>
        <v>1360</v>
      </c>
      <c r="C1366" s="31" t="s">
        <v>1499</v>
      </c>
      <c r="D1366" s="34" t="str">
        <f t="array" ref="D1366">IFNA(_xlfn.XLOOKUP(C1366,Table_Tarikan_Warkah[Nomor Sertipikat],Table_Tarikan_Warkah[Nomor Tiket]),"")</f>
        <v>K/14/250225/2</v>
      </c>
      <c r="E1366" s="36">
        <f t="array" ref="E1366">IFNA(_xlfn.XLOOKUP(D1366,Table_Tarikan_Warkah[Nomor Tiket],Table_Tarikan_Warkah[Tanggal diserahkan kepada Validator]),"")</f>
        <v>45723.47191</v>
      </c>
      <c r="F1366" s="36" t="str">
        <f t="array" ref="F1366">IFNA(_xlfn.XLOOKUP(D1366,Table_Tarikan_Warkah[Nomor Tiket],Table_Tarikan_Warkah[Nama Petugas Warkah]),"")</f>
        <v/>
      </c>
      <c r="G1366" s="39" t="str">
        <f t="array" ref="G1366">IFNA(_xlfn.XLOOKUP(D1366,Table_Tarikan_Warkah[Nomor Tiket],Table_Tarikan_Warkah[Jenis Permohonan]),"")</f>
        <v>BN JUAL BELI</v>
      </c>
      <c r="H1366" s="41" t="s">
        <v>20</v>
      </c>
      <c r="I1366" s="49" t="s">
        <v>23</v>
      </c>
      <c r="J1366" s="36">
        <f t="shared" si="20"/>
        <v>45720.6539</v>
      </c>
      <c r="K1366" s="49" t="s">
        <v>197</v>
      </c>
      <c r="L1366" s="49" t="s">
        <v>23</v>
      </c>
      <c r="M1366" s="36">
        <f t="shared" si="26"/>
        <v>45720.59167</v>
      </c>
      <c r="N1366" s="30" t="str">
        <f t="shared" si="27"/>
        <v>Selesai</v>
      </c>
      <c r="O1366" s="45">
        <f t="shared" si="23"/>
        <v>45720.59167</v>
      </c>
      <c r="P1366" s="47" t="b">
        <v>1</v>
      </c>
      <c r="Q1366" s="36">
        <f t="shared" si="24"/>
        <v>45723.45615</v>
      </c>
      <c r="R1366" s="47" t="b">
        <v>0</v>
      </c>
      <c r="S1366" s="42" t="str">
        <f t="shared" si="28"/>
        <v/>
      </c>
      <c r="T1366" s="42"/>
    </row>
    <row r="1367" ht="22.5" customHeight="1">
      <c r="B1367" s="42">
        <f t="shared" si="7"/>
        <v>1361</v>
      </c>
      <c r="C1367" s="31" t="s">
        <v>1500</v>
      </c>
      <c r="D1367" s="34" t="str">
        <f t="array" ref="D1367">IFNA(_xlfn.XLOOKUP(C1367,Table_Tarikan_Warkah[Nomor Sertipikat],Table_Tarikan_Warkah[Nomor Tiket]),"")</f>
        <v>K/10/270225/1</v>
      </c>
      <c r="E1367" s="36">
        <f t="array" ref="E1367">IFNA(_xlfn.XLOOKUP(D1367,Table_Tarikan_Warkah[Nomor Tiket],Table_Tarikan_Warkah[Tanggal diserahkan kepada Validator]),"")</f>
        <v>45723.47191</v>
      </c>
      <c r="F1367" s="36" t="str">
        <f t="array" ref="F1367">IFNA(_xlfn.XLOOKUP(D1367,Table_Tarikan_Warkah[Nomor Tiket],Table_Tarikan_Warkah[Nama Petugas Warkah]),"")</f>
        <v/>
      </c>
      <c r="G1367" s="39" t="str">
        <f t="array" ref="G1367">IFNA(_xlfn.XLOOKUP(D1367,Table_Tarikan_Warkah[Nomor Tiket],Table_Tarikan_Warkah[Jenis Permohonan]),"")</f>
        <v>BN  WARIS</v>
      </c>
      <c r="H1367" s="41" t="s">
        <v>20</v>
      </c>
      <c r="I1367" s="49" t="s">
        <v>23</v>
      </c>
      <c r="J1367" s="36">
        <f t="shared" si="20"/>
        <v>45720.65404</v>
      </c>
      <c r="K1367" s="49" t="s">
        <v>197</v>
      </c>
      <c r="L1367" s="49" t="s">
        <v>23</v>
      </c>
      <c r="M1367" s="36">
        <f t="shared" si="26"/>
        <v>45723.45627</v>
      </c>
      <c r="N1367" s="30" t="str">
        <f t="shared" si="27"/>
        <v>Selesai</v>
      </c>
      <c r="O1367" s="45">
        <f t="shared" si="23"/>
        <v>45723.45627</v>
      </c>
      <c r="P1367" s="47" t="b">
        <v>1</v>
      </c>
      <c r="Q1367" s="36">
        <f t="shared" si="24"/>
        <v>45723.45635</v>
      </c>
      <c r="R1367" s="47" t="b">
        <v>0</v>
      </c>
      <c r="S1367" s="42" t="str">
        <f t="shared" si="28"/>
        <v/>
      </c>
      <c r="T1367" s="42"/>
    </row>
    <row r="1368" ht="22.5" customHeight="1">
      <c r="B1368" s="42">
        <f t="shared" si="7"/>
        <v>1362</v>
      </c>
      <c r="C1368" s="31" t="s">
        <v>1501</v>
      </c>
      <c r="D1368" s="34" t="str">
        <f t="array" ref="D1368">IFNA(_xlfn.XLOOKUP(C1368,Table_Tarikan_Warkah[Nomor Sertipikat],Table_Tarikan_Warkah[Nomor Tiket]),"")</f>
        <v>K/7/260225/1</v>
      </c>
      <c r="E1368" s="36">
        <f t="array" ref="E1368">IFNA(_xlfn.XLOOKUP(D1368,Table_Tarikan_Warkah[Nomor Tiket],Table_Tarikan_Warkah[Tanggal diserahkan kepada Validator]),"")</f>
        <v>45723.47191</v>
      </c>
      <c r="F1368" s="36" t="str">
        <f t="array" ref="F1368">IFNA(_xlfn.XLOOKUP(D1368,Table_Tarikan_Warkah[Nomor Tiket],Table_Tarikan_Warkah[Nama Petugas Warkah]),"")</f>
        <v/>
      </c>
      <c r="G1368" s="39" t="str">
        <f t="array" ref="G1368">IFNA(_xlfn.XLOOKUP(D1368,Table_Tarikan_Warkah[Nomor Tiket],Table_Tarikan_Warkah[Jenis Permohonan]),"")</f>
        <v>BN JUAL BELI</v>
      </c>
      <c r="H1368" s="41" t="s">
        <v>20</v>
      </c>
      <c r="I1368" s="49" t="s">
        <v>23</v>
      </c>
      <c r="J1368" s="36">
        <f t="shared" si="20"/>
        <v>45720.65428</v>
      </c>
      <c r="K1368" s="49" t="s">
        <v>197</v>
      </c>
      <c r="L1368" s="49" t="s">
        <v>23</v>
      </c>
      <c r="M1368" s="36">
        <f t="shared" si="26"/>
        <v>45723.45627</v>
      </c>
      <c r="N1368" s="30" t="str">
        <f t="shared" si="27"/>
        <v>Selesai</v>
      </c>
      <c r="O1368" s="45">
        <f t="shared" si="23"/>
        <v>45723.45627</v>
      </c>
      <c r="P1368" s="47" t="b">
        <v>1</v>
      </c>
      <c r="Q1368" s="36">
        <f t="shared" si="24"/>
        <v>45723.45635</v>
      </c>
      <c r="R1368" s="47" t="b">
        <v>0</v>
      </c>
      <c r="S1368" s="42" t="str">
        <f t="shared" si="28"/>
        <v/>
      </c>
      <c r="T1368" s="42"/>
    </row>
    <row r="1369" ht="22.5" customHeight="1">
      <c r="B1369" s="42">
        <f t="shared" si="7"/>
        <v>1363</v>
      </c>
      <c r="C1369" s="31" t="s">
        <v>1502</v>
      </c>
      <c r="D1369" s="34" t="str">
        <f t="array" ref="D1369">IFNA(_xlfn.XLOOKUP(C1369,Table_Tarikan_Warkah[Nomor Sertipikat],Table_Tarikan_Warkah[Nomor Tiket]),"")</f>
        <v>K/20/210225/1</v>
      </c>
      <c r="E1369" s="36">
        <f t="array" ref="E1369">IFNA(_xlfn.XLOOKUP(D1369,Table_Tarikan_Warkah[Nomor Tiket],Table_Tarikan_Warkah[Tanggal diserahkan kepada Validator]),"")</f>
        <v>45723.47191</v>
      </c>
      <c r="F1369" s="36" t="str">
        <f t="array" ref="F1369">IFNA(_xlfn.XLOOKUP(D1369,Table_Tarikan_Warkah[Nomor Tiket],Table_Tarikan_Warkah[Nama Petugas Warkah]),"")</f>
        <v/>
      </c>
      <c r="G1369" s="39" t="str">
        <f t="array" ref="G1369">IFNA(_xlfn.XLOOKUP(D1369,Table_Tarikan_Warkah[Nomor Tiket],Table_Tarikan_Warkah[Jenis Permohonan]),"")</f>
        <v>BN WARIS</v>
      </c>
      <c r="H1369" s="41" t="s">
        <v>20</v>
      </c>
      <c r="I1369" s="49" t="s">
        <v>23</v>
      </c>
      <c r="J1369" s="36">
        <f t="shared" si="20"/>
        <v>45720.65438</v>
      </c>
      <c r="K1369" s="49" t="s">
        <v>197</v>
      </c>
      <c r="L1369" s="49" t="s">
        <v>23</v>
      </c>
      <c r="M1369" s="36">
        <f t="shared" si="26"/>
        <v>45723.45627</v>
      </c>
      <c r="N1369" s="30" t="str">
        <f t="shared" si="27"/>
        <v>Selesai</v>
      </c>
      <c r="O1369" s="45">
        <f t="shared" si="23"/>
        <v>45723.45627</v>
      </c>
      <c r="P1369" s="47" t="b">
        <v>1</v>
      </c>
      <c r="Q1369" s="36">
        <f t="shared" si="24"/>
        <v>45723.45635</v>
      </c>
      <c r="R1369" s="47" t="b">
        <v>0</v>
      </c>
      <c r="S1369" s="42" t="str">
        <f t="shared" si="28"/>
        <v/>
      </c>
      <c r="T1369" s="42"/>
    </row>
    <row r="1370" ht="22.5" customHeight="1">
      <c r="B1370" s="42">
        <f t="shared" si="7"/>
        <v>1364</v>
      </c>
      <c r="C1370" s="31" t="s">
        <v>1503</v>
      </c>
      <c r="D1370" s="34" t="str">
        <f t="array" ref="D1370">IFNA(_xlfn.XLOOKUP(C1370,Table_Tarikan_Warkah[Nomor Sertipikat],Table_Tarikan_Warkah[Nomor Tiket]),"")</f>
        <v>K/19/050225/2</v>
      </c>
      <c r="E1370" s="36">
        <f t="array" ref="E1370">IFNA(_xlfn.XLOOKUP(D1370,Table_Tarikan_Warkah[Nomor Tiket],Table_Tarikan_Warkah[Tanggal diserahkan kepada Validator]),"")</f>
        <v>45723.47191</v>
      </c>
      <c r="F1370" s="36" t="str">
        <f t="array" ref="F1370">IFNA(_xlfn.XLOOKUP(D1370,Table_Tarikan_Warkah[Nomor Tiket],Table_Tarikan_Warkah[Nama Petugas Warkah]),"")</f>
        <v/>
      </c>
      <c r="G1370" s="39" t="str">
        <f t="array" ref="G1370">IFNA(_xlfn.XLOOKUP(D1370,Table_Tarikan_Warkah[Nomor Tiket],Table_Tarikan_Warkah[Jenis Permohonan]),"")</f>
        <v>BN HIBAH</v>
      </c>
      <c r="H1370" s="41" t="s">
        <v>20</v>
      </c>
      <c r="I1370" s="49" t="s">
        <v>23</v>
      </c>
      <c r="J1370" s="36">
        <f t="shared" si="20"/>
        <v>45720.65469</v>
      </c>
      <c r="K1370" s="49" t="s">
        <v>197</v>
      </c>
      <c r="L1370" s="49" t="s">
        <v>23</v>
      </c>
      <c r="M1370" s="36">
        <f t="shared" si="26"/>
        <v>45723.45627</v>
      </c>
      <c r="N1370" s="30" t="str">
        <f t="shared" si="27"/>
        <v>Selesai</v>
      </c>
      <c r="O1370" s="45">
        <f t="shared" si="23"/>
        <v>45723.45627</v>
      </c>
      <c r="P1370" s="47" t="b">
        <v>1</v>
      </c>
      <c r="Q1370" s="36">
        <f t="shared" si="24"/>
        <v>45723.45635</v>
      </c>
      <c r="R1370" s="47" t="b">
        <v>0</v>
      </c>
      <c r="S1370" s="42" t="str">
        <f t="shared" si="28"/>
        <v/>
      </c>
      <c r="T1370" s="42"/>
    </row>
    <row r="1371" ht="22.5" customHeight="1">
      <c r="B1371" s="42">
        <f t="shared" si="7"/>
        <v>1365</v>
      </c>
      <c r="C1371" s="31" t="s">
        <v>1504</v>
      </c>
      <c r="D1371" s="34" t="str">
        <f t="array" ref="D1371">IFNA(_xlfn.XLOOKUP(C1371,Table_Tarikan_Warkah[Nomor Sertipikat],Table_Tarikan_Warkah[Nomor Tiket]),"")</f>
        <v>K/3/120225/1</v>
      </c>
      <c r="E1371" s="36">
        <f t="array" ref="E1371">IFNA(_xlfn.XLOOKUP(D1371,Table_Tarikan_Warkah[Nomor Tiket],Table_Tarikan_Warkah[Tanggal diserahkan kepada Validator]),"")</f>
        <v>45727.49645</v>
      </c>
      <c r="F1371" s="36" t="str">
        <f t="array" ref="F1371">IFNA(_xlfn.XLOOKUP(D1371,Table_Tarikan_Warkah[Nomor Tiket],Table_Tarikan_Warkah[Nama Petugas Warkah]),"")</f>
        <v/>
      </c>
      <c r="G1371" s="39" t="str">
        <f t="array" ref="G1371">IFNA(_xlfn.XLOOKUP(D1371,Table_Tarikan_Warkah[Nomor Tiket],Table_Tarikan_Warkah[Jenis Permohonan]),"")</f>
        <v>BN JUAL BELI</v>
      </c>
      <c r="H1371" s="41" t="s">
        <v>20</v>
      </c>
      <c r="I1371" s="49" t="s">
        <v>23</v>
      </c>
      <c r="J1371" s="36">
        <f t="shared" si="20"/>
        <v>45720.65482</v>
      </c>
      <c r="K1371" s="49" t="s">
        <v>197</v>
      </c>
      <c r="L1371" s="49" t="s">
        <v>23</v>
      </c>
      <c r="M1371" s="36">
        <f t="shared" si="26"/>
        <v>45723.45627</v>
      </c>
      <c r="N1371" s="30" t="str">
        <f t="shared" si="27"/>
        <v>Selesai</v>
      </c>
      <c r="O1371" s="45">
        <f t="shared" si="23"/>
        <v>45723.45627</v>
      </c>
      <c r="P1371" s="47" t="b">
        <v>1</v>
      </c>
      <c r="Q1371" s="36">
        <f t="shared" si="24"/>
        <v>45723.45635</v>
      </c>
      <c r="R1371" s="47" t="b">
        <v>0</v>
      </c>
      <c r="S1371" s="42" t="str">
        <f t="shared" si="28"/>
        <v/>
      </c>
      <c r="T1371" s="42"/>
    </row>
    <row r="1372" ht="22.5" customHeight="1">
      <c r="B1372" s="42">
        <f t="shared" si="7"/>
        <v>1366</v>
      </c>
      <c r="C1372" s="31" t="s">
        <v>1046</v>
      </c>
      <c r="D1372" s="34" t="str">
        <f t="array" ref="D1372">IFNA(_xlfn.XLOOKUP(C1372,Table_Tarikan_Warkah[Nomor Sertipikat],Table_Tarikan_Warkah[Nomor Tiket]),"")</f>
        <v>K/16/130125/1</v>
      </c>
      <c r="E1372" s="36">
        <f t="array" ref="E1372">IFNA(_xlfn.XLOOKUP(D1372,Table_Tarikan_Warkah[Nomor Tiket],Table_Tarikan_Warkah[Tanggal diserahkan kepada Validator]),"")</f>
        <v>45672.45893</v>
      </c>
      <c r="F1372" s="36" t="str">
        <f t="array" ref="F1372">IFNA(_xlfn.XLOOKUP(D1372,Table_Tarikan_Warkah[Nomor Tiket],Table_Tarikan_Warkah[Nama Petugas Warkah]),"")</f>
        <v>Berry</v>
      </c>
      <c r="G1372" s="39" t="str">
        <f t="array" ref="G1372">IFNA(_xlfn.XLOOKUP(D1372,Table_Tarikan_Warkah[Nomor Tiket],Table_Tarikan_Warkah[Jenis Permohonan]),"")</f>
        <v>BN WARIS</v>
      </c>
      <c r="H1372" s="41" t="s">
        <v>20</v>
      </c>
      <c r="I1372" s="49" t="s">
        <v>23</v>
      </c>
      <c r="J1372" s="36">
        <f t="shared" si="20"/>
        <v>45720.65497</v>
      </c>
      <c r="K1372" s="49" t="s">
        <v>197</v>
      </c>
      <c r="L1372" s="49" t="s">
        <v>23</v>
      </c>
      <c r="M1372" s="36">
        <f t="shared" si="26"/>
        <v>45723.45627</v>
      </c>
      <c r="N1372" s="30" t="str">
        <f t="shared" si="27"/>
        <v>Selesai</v>
      </c>
      <c r="O1372" s="45">
        <f t="shared" si="23"/>
        <v>45723.45627</v>
      </c>
      <c r="P1372" s="47" t="b">
        <v>1</v>
      </c>
      <c r="Q1372" s="36">
        <f t="shared" si="24"/>
        <v>45723.45635</v>
      </c>
      <c r="R1372" s="47" t="b">
        <v>0</v>
      </c>
      <c r="S1372" s="42" t="str">
        <f t="shared" si="28"/>
        <v/>
      </c>
      <c r="T1372" s="42"/>
    </row>
    <row r="1373" ht="22.5" customHeight="1">
      <c r="B1373" s="42">
        <f t="shared" si="7"/>
        <v>1367</v>
      </c>
      <c r="C1373" s="31" t="s">
        <v>1505</v>
      </c>
      <c r="D1373" s="34" t="str">
        <f t="array" ref="D1373">IFNA(_xlfn.XLOOKUP(C1373,Table_Tarikan_Warkah[Nomor Sertipikat],Table_Tarikan_Warkah[Nomor Tiket]),"")</f>
        <v>K/29/260225/1</v>
      </c>
      <c r="E1373" s="36">
        <f t="array" ref="E1373">IFNA(_xlfn.XLOOKUP(D1373,Table_Tarikan_Warkah[Nomor Tiket],Table_Tarikan_Warkah[Tanggal diserahkan kepada Validator]),"")</f>
        <v>45723.47191</v>
      </c>
      <c r="F1373" s="36" t="str">
        <f t="array" ref="F1373">IFNA(_xlfn.XLOOKUP(D1373,Table_Tarikan_Warkah[Nomor Tiket],Table_Tarikan_Warkah[Nama Petugas Warkah]),"")</f>
        <v/>
      </c>
      <c r="G1373" s="39" t="str">
        <f t="array" ref="G1373">IFNA(_xlfn.XLOOKUP(D1373,Table_Tarikan_Warkah[Nomor Tiket],Table_Tarikan_Warkah[Jenis Permohonan]),"")</f>
        <v>BN JUAL BELI</v>
      </c>
      <c r="H1373" s="41" t="s">
        <v>20</v>
      </c>
      <c r="I1373" s="49" t="s">
        <v>23</v>
      </c>
      <c r="J1373" s="36">
        <f t="shared" si="20"/>
        <v>45720.65508</v>
      </c>
      <c r="K1373" s="49" t="s">
        <v>197</v>
      </c>
      <c r="L1373" s="49" t="s">
        <v>23</v>
      </c>
      <c r="M1373" s="36">
        <f t="shared" si="26"/>
        <v>45723.45627</v>
      </c>
      <c r="N1373" s="30" t="str">
        <f t="shared" si="27"/>
        <v>Selesai</v>
      </c>
      <c r="O1373" s="45">
        <f t="shared" si="23"/>
        <v>45723.45627</v>
      </c>
      <c r="P1373" s="47" t="b">
        <v>1</v>
      </c>
      <c r="Q1373" s="36">
        <f t="shared" si="24"/>
        <v>45723.45635</v>
      </c>
      <c r="R1373" s="47" t="b">
        <v>0</v>
      </c>
      <c r="S1373" s="42" t="str">
        <f t="shared" si="28"/>
        <v/>
      </c>
      <c r="T1373" s="42"/>
    </row>
    <row r="1374" ht="22.5" customHeight="1">
      <c r="B1374" s="42">
        <f t="shared" si="7"/>
        <v>1368</v>
      </c>
      <c r="C1374" s="31" t="s">
        <v>1506</v>
      </c>
      <c r="D1374" s="34" t="str">
        <f t="array" ref="D1374">IFNA(_xlfn.XLOOKUP(C1374,Table_Tarikan_Warkah[Nomor Sertipikat],Table_Tarikan_Warkah[Nomor Tiket]),"")</f>
        <v>K/26/280225/1</v>
      </c>
      <c r="E1374" s="36">
        <f t="array" ref="E1374">IFNA(_xlfn.XLOOKUP(D1374,Table_Tarikan_Warkah[Nomor Tiket],Table_Tarikan_Warkah[Tanggal diserahkan kepada Validator]),"")</f>
        <v>45723.47191</v>
      </c>
      <c r="F1374" s="36" t="str">
        <f t="array" ref="F1374">IFNA(_xlfn.XLOOKUP(D1374,Table_Tarikan_Warkah[Nomor Tiket],Table_Tarikan_Warkah[Nama Petugas Warkah]),"")</f>
        <v/>
      </c>
      <c r="G1374" s="39" t="str">
        <f t="array" ref="G1374">IFNA(_xlfn.XLOOKUP(D1374,Table_Tarikan_Warkah[Nomor Tiket],Table_Tarikan_Warkah[Jenis Permohonan]),"")</f>
        <v>BN JUAL BELI</v>
      </c>
      <c r="H1374" s="41" t="s">
        <v>20</v>
      </c>
      <c r="I1374" s="49" t="s">
        <v>23</v>
      </c>
      <c r="J1374" s="36">
        <f t="shared" si="20"/>
        <v>45720.65521</v>
      </c>
      <c r="K1374" s="49" t="s">
        <v>197</v>
      </c>
      <c r="L1374" s="49" t="s">
        <v>23</v>
      </c>
      <c r="M1374" s="36">
        <f t="shared" si="26"/>
        <v>45723.45627</v>
      </c>
      <c r="N1374" s="30" t="str">
        <f t="shared" si="27"/>
        <v>Selesai</v>
      </c>
      <c r="O1374" s="45">
        <f t="shared" si="23"/>
        <v>45723.45627</v>
      </c>
      <c r="P1374" s="47" t="b">
        <v>1</v>
      </c>
      <c r="Q1374" s="36">
        <f t="shared" si="24"/>
        <v>45723.45635</v>
      </c>
      <c r="R1374" s="47" t="b">
        <v>0</v>
      </c>
      <c r="S1374" s="42" t="str">
        <f t="shared" si="28"/>
        <v/>
      </c>
      <c r="T1374" s="42"/>
    </row>
    <row r="1375" ht="22.5" customHeight="1">
      <c r="B1375" s="42">
        <f t="shared" si="7"/>
        <v>1369</v>
      </c>
      <c r="C1375" s="31" t="s">
        <v>1507</v>
      </c>
      <c r="D1375" s="34" t="str">
        <f t="array" ref="D1375">IFNA(_xlfn.XLOOKUP(C1375,Table_Tarikan_Warkah[Nomor Sertipikat],Table_Tarikan_Warkah[Nomor Tiket]),"")</f>
        <v>K/42/210225/3</v>
      </c>
      <c r="E1375" s="36" t="str">
        <f t="array" ref="E1375">IFNA(_xlfn.XLOOKUP(D1375,Table_Tarikan_Warkah[Nomor Tiket],Table_Tarikan_Warkah[Tanggal diserahkan kepada Validator]),"")</f>
        <v/>
      </c>
      <c r="F1375" s="36" t="str">
        <f t="array" ref="F1375">IFNA(_xlfn.XLOOKUP(D1375,Table_Tarikan_Warkah[Nomor Tiket],Table_Tarikan_Warkah[Nama Petugas Warkah]),"")</f>
        <v/>
      </c>
      <c r="G1375" s="39" t="str">
        <f t="array" ref="G1375">IFNA(_xlfn.XLOOKUP(D1375,Table_Tarikan_Warkah[Nomor Tiket],Table_Tarikan_Warkah[Jenis Permohonan]),"")</f>
        <v>PEMECAHAN</v>
      </c>
      <c r="H1375" s="41" t="s">
        <v>20</v>
      </c>
      <c r="I1375" s="49" t="s">
        <v>23</v>
      </c>
      <c r="J1375" s="36">
        <f t="shared" si="20"/>
        <v>45720.65538</v>
      </c>
      <c r="K1375" s="49" t="s">
        <v>197</v>
      </c>
      <c r="L1375" s="49" t="s">
        <v>23</v>
      </c>
      <c r="M1375" s="36">
        <f t="shared" si="26"/>
        <v>45723.45627</v>
      </c>
      <c r="N1375" s="30" t="str">
        <f t="shared" si="27"/>
        <v>Selesai</v>
      </c>
      <c r="O1375" s="45">
        <f t="shared" si="23"/>
        <v>45723.45627</v>
      </c>
      <c r="P1375" s="47" t="b">
        <v>1</v>
      </c>
      <c r="Q1375" s="36">
        <f t="shared" si="24"/>
        <v>45723.45635</v>
      </c>
      <c r="R1375" s="47" t="b">
        <v>0</v>
      </c>
      <c r="S1375" s="42" t="str">
        <f t="shared" si="28"/>
        <v/>
      </c>
      <c r="T1375" s="42"/>
    </row>
    <row r="1376" ht="22.5" customHeight="1">
      <c r="B1376" s="42">
        <f t="shared" si="7"/>
        <v>1370</v>
      </c>
      <c r="C1376" s="31" t="s">
        <v>1508</v>
      </c>
      <c r="D1376" s="34" t="str">
        <f t="array" ref="D1376">IFNA(_xlfn.XLOOKUP(C1376,Table_Tarikan_Warkah[Nomor Sertipikat],Table_Tarikan_Warkah[Nomor Tiket]),"")</f>
        <v>K/41/210225/2</v>
      </c>
      <c r="E1376" s="36">
        <f t="array" ref="E1376">IFNA(_xlfn.XLOOKUP(D1376,Table_Tarikan_Warkah[Nomor Tiket],Table_Tarikan_Warkah[Tanggal diserahkan kepada Validator]),"")</f>
        <v>45723.47191</v>
      </c>
      <c r="F1376" s="36" t="str">
        <f t="array" ref="F1376">IFNA(_xlfn.XLOOKUP(D1376,Table_Tarikan_Warkah[Nomor Tiket],Table_Tarikan_Warkah[Nama Petugas Warkah]),"")</f>
        <v/>
      </c>
      <c r="G1376" s="39" t="str">
        <f t="array" ref="G1376">IFNA(_xlfn.XLOOKUP(D1376,Table_Tarikan_Warkah[Nomor Tiket],Table_Tarikan_Warkah[Jenis Permohonan]),"")</f>
        <v>BN JUAL BELI</v>
      </c>
      <c r="H1376" s="41" t="s">
        <v>20</v>
      </c>
      <c r="I1376" s="49" t="s">
        <v>23</v>
      </c>
      <c r="J1376" s="36">
        <f t="shared" si="20"/>
        <v>45720.65546</v>
      </c>
      <c r="K1376" s="49" t="s">
        <v>197</v>
      </c>
      <c r="L1376" s="49" t="s">
        <v>23</v>
      </c>
      <c r="M1376" s="36">
        <f t="shared" si="26"/>
        <v>45723.45643</v>
      </c>
      <c r="N1376" s="30" t="str">
        <f t="shared" si="27"/>
        <v>Selesai</v>
      </c>
      <c r="O1376" s="45">
        <f t="shared" si="23"/>
        <v>45723.45643</v>
      </c>
      <c r="P1376" s="47" t="b">
        <v>1</v>
      </c>
      <c r="Q1376" s="36">
        <f t="shared" si="24"/>
        <v>45723.45635</v>
      </c>
      <c r="R1376" s="47" t="b">
        <v>0</v>
      </c>
      <c r="S1376" s="42" t="str">
        <f t="shared" si="28"/>
        <v/>
      </c>
      <c r="T1376" s="42"/>
    </row>
    <row r="1377" ht="22.5" customHeight="1">
      <c r="B1377" s="42">
        <f t="shared" si="7"/>
        <v>1371</v>
      </c>
      <c r="C1377" s="31" t="s">
        <v>1509</v>
      </c>
      <c r="D1377" s="34" t="str">
        <f t="array" ref="D1377">IFNA(_xlfn.XLOOKUP(C1377,Table_Tarikan_Warkah[Nomor Sertipikat],Table_Tarikan_Warkah[Nomor Tiket]),"")</f>
        <v>K/33/210225/2</v>
      </c>
      <c r="E1377" s="36" t="str">
        <f t="array" ref="E1377">IFNA(_xlfn.XLOOKUP(D1377,Table_Tarikan_Warkah[Nomor Tiket],Table_Tarikan_Warkah[Tanggal diserahkan kepada Validator]),"")</f>
        <v/>
      </c>
      <c r="F1377" s="36" t="str">
        <f t="array" ref="F1377">IFNA(_xlfn.XLOOKUP(D1377,Table_Tarikan_Warkah[Nomor Tiket],Table_Tarikan_Warkah[Nama Petugas Warkah]),"")</f>
        <v/>
      </c>
      <c r="G1377" s="39" t="str">
        <f t="array" ref="G1377">IFNA(_xlfn.XLOOKUP(D1377,Table_Tarikan_Warkah[Nomor Tiket],Table_Tarikan_Warkah[Jenis Permohonan]),"")</f>
        <v>BN Jual Beli</v>
      </c>
      <c r="H1377" s="41" t="s">
        <v>20</v>
      </c>
      <c r="I1377" s="49" t="s">
        <v>23</v>
      </c>
      <c r="J1377" s="36">
        <f t="shared" si="20"/>
        <v>45720.65556</v>
      </c>
      <c r="K1377" s="49" t="s">
        <v>197</v>
      </c>
      <c r="L1377" s="49" t="s">
        <v>23</v>
      </c>
      <c r="M1377" s="36">
        <f t="shared" si="26"/>
        <v>45723.45643</v>
      </c>
      <c r="N1377" s="30" t="str">
        <f t="shared" si="27"/>
        <v>Selesai</v>
      </c>
      <c r="O1377" s="45">
        <f t="shared" si="23"/>
        <v>45723.45643</v>
      </c>
      <c r="P1377" s="47" t="b">
        <v>1</v>
      </c>
      <c r="Q1377" s="36">
        <f t="shared" si="24"/>
        <v>45723.45651</v>
      </c>
      <c r="R1377" s="47" t="b">
        <v>0</v>
      </c>
      <c r="S1377" s="42" t="str">
        <f t="shared" si="28"/>
        <v/>
      </c>
      <c r="T1377" s="42"/>
    </row>
    <row r="1378" ht="22.5" customHeight="1">
      <c r="B1378" s="42">
        <f t="shared" si="7"/>
        <v>1372</v>
      </c>
      <c r="C1378" s="31" t="s">
        <v>1510</v>
      </c>
      <c r="D1378" s="34" t="str">
        <f t="array" ref="D1378">IFNA(_xlfn.XLOOKUP(C1378,Table_Tarikan_Warkah[Nomor Sertipikat],Table_Tarikan_Warkah[Nomor Tiket]),"")</f>
        <v>K/39/130225/1</v>
      </c>
      <c r="E1378" s="36">
        <f t="array" ref="E1378">IFNA(_xlfn.XLOOKUP(D1378,Table_Tarikan_Warkah[Nomor Tiket],Table_Tarikan_Warkah[Tanggal diserahkan kepada Validator]),"")</f>
        <v>45727.49717</v>
      </c>
      <c r="F1378" s="36" t="str">
        <f t="array" ref="F1378">IFNA(_xlfn.XLOOKUP(D1378,Table_Tarikan_Warkah[Nomor Tiket],Table_Tarikan_Warkah[Nama Petugas Warkah]),"")</f>
        <v/>
      </c>
      <c r="G1378" s="39" t="str">
        <f t="array" ref="G1378">IFNA(_xlfn.XLOOKUP(D1378,Table_Tarikan_Warkah[Nomor Tiket],Table_Tarikan_Warkah[Jenis Permohonan]),"")</f>
        <v>BN Waris</v>
      </c>
      <c r="H1378" s="41" t="s">
        <v>20</v>
      </c>
      <c r="I1378" s="49" t="s">
        <v>23</v>
      </c>
      <c r="J1378" s="36">
        <f t="shared" si="20"/>
        <v>45720.65569</v>
      </c>
      <c r="K1378" s="49" t="s">
        <v>197</v>
      </c>
      <c r="L1378" s="49" t="s">
        <v>23</v>
      </c>
      <c r="M1378" s="36">
        <f t="shared" si="26"/>
        <v>45723.45643</v>
      </c>
      <c r="N1378" s="30" t="str">
        <f t="shared" si="27"/>
        <v>Selesai</v>
      </c>
      <c r="O1378" s="45">
        <f t="shared" si="23"/>
        <v>45723.45643</v>
      </c>
      <c r="P1378" s="47" t="b">
        <v>1</v>
      </c>
      <c r="Q1378" s="36">
        <f t="shared" si="24"/>
        <v>45723.45652</v>
      </c>
      <c r="R1378" s="47" t="b">
        <v>0</v>
      </c>
      <c r="S1378" s="42" t="str">
        <f t="shared" si="28"/>
        <v/>
      </c>
      <c r="T1378" s="42"/>
    </row>
    <row r="1379" ht="22.5" customHeight="1">
      <c r="B1379" s="42">
        <f t="shared" si="7"/>
        <v>1373</v>
      </c>
      <c r="C1379" s="31" t="s">
        <v>1449</v>
      </c>
      <c r="D1379" s="34" t="str">
        <f t="array" ref="D1379">IFNA(_xlfn.XLOOKUP(C1379,Table_Tarikan_Warkah[Nomor Sertipikat],Table_Tarikan_Warkah[Nomor Tiket]),"")</f>
        <v>K/39/210225/1</v>
      </c>
      <c r="E1379" s="36">
        <f t="array" ref="E1379">IFNA(_xlfn.XLOOKUP(D1379,Table_Tarikan_Warkah[Nomor Tiket],Table_Tarikan_Warkah[Tanggal diserahkan kepada Validator]),"")</f>
        <v>45742.60926</v>
      </c>
      <c r="F1379" s="36" t="str">
        <f t="array" ref="F1379">IFNA(_xlfn.XLOOKUP(D1379,Table_Tarikan_Warkah[Nomor Tiket],Table_Tarikan_Warkah[Nama Petugas Warkah]),"")</f>
        <v/>
      </c>
      <c r="G1379" s="39" t="str">
        <f t="array" ref="G1379">IFNA(_xlfn.XLOOKUP(D1379,Table_Tarikan_Warkah[Nomor Tiket],Table_Tarikan_Warkah[Jenis Permohonan]),"")</f>
        <v>ROYA</v>
      </c>
      <c r="H1379" s="41" t="s">
        <v>20</v>
      </c>
      <c r="I1379" s="49" t="s">
        <v>23</v>
      </c>
      <c r="J1379" s="36">
        <f t="shared" si="20"/>
        <v>45720.65577</v>
      </c>
      <c r="K1379" s="49" t="s">
        <v>197</v>
      </c>
      <c r="L1379" s="49" t="s">
        <v>23</v>
      </c>
      <c r="M1379" s="36">
        <f t="shared" si="26"/>
        <v>45723.45649</v>
      </c>
      <c r="N1379" s="30" t="str">
        <f t="shared" si="27"/>
        <v>Selesai</v>
      </c>
      <c r="O1379" s="45">
        <f t="shared" si="23"/>
        <v>45723.45649</v>
      </c>
      <c r="P1379" s="47" t="b">
        <v>1</v>
      </c>
      <c r="Q1379" s="36">
        <f t="shared" si="24"/>
        <v>45723.45653</v>
      </c>
      <c r="R1379" s="47" t="b">
        <v>0</v>
      </c>
      <c r="S1379" s="42" t="str">
        <f t="shared" si="28"/>
        <v/>
      </c>
      <c r="T1379" s="42"/>
    </row>
    <row r="1380" ht="22.5" customHeight="1">
      <c r="B1380" s="42">
        <f t="shared" si="7"/>
        <v>1374</v>
      </c>
      <c r="C1380" s="31" t="s">
        <v>1511</v>
      </c>
      <c r="D1380" s="34" t="str">
        <f t="array" ref="D1380">IFNA(_xlfn.XLOOKUP(C1380,Table_Tarikan_Warkah[Nomor Sertipikat],Table_Tarikan_Warkah[Nomor Tiket]),"")</f>
        <v>K/31/270225/2</v>
      </c>
      <c r="E1380" s="36" t="str">
        <f t="array" ref="E1380">IFNA(_xlfn.XLOOKUP(D1380,Table_Tarikan_Warkah[Nomor Tiket],Table_Tarikan_Warkah[Tanggal diserahkan kepada Validator]),"")</f>
        <v/>
      </c>
      <c r="F1380" s="36" t="str">
        <f t="array" ref="F1380">IFNA(_xlfn.XLOOKUP(D1380,Table_Tarikan_Warkah[Nomor Tiket],Table_Tarikan_Warkah[Nama Petugas Warkah]),"")</f>
        <v/>
      </c>
      <c r="G1380" s="39" t="str">
        <f t="array" ref="G1380">IFNA(_xlfn.XLOOKUP(D1380,Table_Tarikan_Warkah[Nomor Tiket],Table_Tarikan_Warkah[Jenis Permohonan]),"")</f>
        <v>BN Jual Beli</v>
      </c>
      <c r="H1380" s="41" t="s">
        <v>20</v>
      </c>
      <c r="I1380" s="49" t="s">
        <v>23</v>
      </c>
      <c r="J1380" s="36">
        <f t="shared" si="20"/>
        <v>45721.50359</v>
      </c>
      <c r="K1380" s="49" t="s">
        <v>197</v>
      </c>
      <c r="L1380" s="49" t="s">
        <v>23</v>
      </c>
      <c r="M1380" s="36">
        <f t="shared" si="26"/>
        <v>45721.50369</v>
      </c>
      <c r="N1380" s="30" t="str">
        <f t="shared" si="27"/>
        <v>Selesai</v>
      </c>
      <c r="O1380" s="45">
        <f t="shared" si="23"/>
        <v>45721.50369</v>
      </c>
      <c r="P1380" s="47" t="b">
        <v>1</v>
      </c>
      <c r="Q1380" s="36">
        <f t="shared" si="24"/>
        <v>45721.5037</v>
      </c>
      <c r="R1380" s="47" t="b">
        <v>0</v>
      </c>
      <c r="S1380" s="42" t="str">
        <f t="shared" si="28"/>
        <v/>
      </c>
      <c r="T1380" s="42"/>
    </row>
    <row r="1381" ht="22.5" customHeight="1">
      <c r="B1381" s="42">
        <f t="shared" si="7"/>
        <v>1375</v>
      </c>
      <c r="C1381" s="31" t="s">
        <v>1512</v>
      </c>
      <c r="D1381" s="34" t="str">
        <f t="array" ref="D1381">IFNA(_xlfn.XLOOKUP(C1381,Table_Tarikan_Warkah[Nomor Sertipikat],Table_Tarikan_Warkah[Nomor Tiket]),"")</f>
        <v>K/30/270225/1</v>
      </c>
      <c r="E1381" s="36" t="str">
        <f t="array" ref="E1381">IFNA(_xlfn.XLOOKUP(D1381,Table_Tarikan_Warkah[Nomor Tiket],Table_Tarikan_Warkah[Tanggal diserahkan kepada Validator]),"")</f>
        <v/>
      </c>
      <c r="F1381" s="36" t="str">
        <f t="array" ref="F1381">IFNA(_xlfn.XLOOKUP(D1381,Table_Tarikan_Warkah[Nomor Tiket],Table_Tarikan_Warkah[Nama Petugas Warkah]),"")</f>
        <v/>
      </c>
      <c r="G1381" s="39" t="str">
        <f t="array" ref="G1381">IFNA(_xlfn.XLOOKUP(D1381,Table_Tarikan_Warkah[Nomor Tiket],Table_Tarikan_Warkah[Jenis Permohonan]),"")</f>
        <v>BN Jual Beli</v>
      </c>
      <c r="H1381" s="41" t="s">
        <v>20</v>
      </c>
      <c r="I1381" s="49" t="s">
        <v>23</v>
      </c>
      <c r="J1381" s="36">
        <f t="shared" si="20"/>
        <v>45721.50385</v>
      </c>
      <c r="K1381" s="49" t="s">
        <v>197</v>
      </c>
      <c r="L1381" s="49" t="s">
        <v>23</v>
      </c>
      <c r="M1381" s="36">
        <f t="shared" si="26"/>
        <v>45721.50389</v>
      </c>
      <c r="N1381" s="30" t="str">
        <f t="shared" si="27"/>
        <v>Selesai</v>
      </c>
      <c r="O1381" s="45">
        <f t="shared" si="23"/>
        <v>45721.50389</v>
      </c>
      <c r="P1381" s="47" t="b">
        <v>1</v>
      </c>
      <c r="Q1381" s="36">
        <f t="shared" si="24"/>
        <v>45721.5039</v>
      </c>
      <c r="R1381" s="47" t="b">
        <v>0</v>
      </c>
      <c r="S1381" s="42" t="str">
        <f t="shared" si="28"/>
        <v/>
      </c>
      <c r="T1381" s="42"/>
    </row>
    <row r="1382" ht="22.5" customHeight="1">
      <c r="B1382" s="42">
        <f t="shared" si="7"/>
        <v>1376</v>
      </c>
      <c r="C1382" s="31" t="s">
        <v>1513</v>
      </c>
      <c r="D1382" s="34" t="str">
        <f t="array" ref="D1382">IFNA(_xlfn.XLOOKUP(C1382,Table_Tarikan_Warkah[Nomor Sertipikat],Table_Tarikan_Warkah[Nomor Tiket]),"")</f>
        <v>K/30/030325/1</v>
      </c>
      <c r="E1382" s="36">
        <f t="array" ref="E1382">IFNA(_xlfn.XLOOKUP(D1382,Table_Tarikan_Warkah[Nomor Tiket],Table_Tarikan_Warkah[Tanggal diserahkan kepada Validator]),"")</f>
        <v>45742.61229</v>
      </c>
      <c r="F1382" s="36" t="str">
        <f t="array" ref="F1382">IFNA(_xlfn.XLOOKUP(D1382,Table_Tarikan_Warkah[Nomor Tiket],Table_Tarikan_Warkah[Nama Petugas Warkah]),"")</f>
        <v/>
      </c>
      <c r="G1382" s="39" t="str">
        <f t="array" ref="G1382">IFNA(_xlfn.XLOOKUP(D1382,Table_Tarikan_Warkah[Nomor Tiket],Table_Tarikan_Warkah[Jenis Permohonan]),"")</f>
        <v>ROYA</v>
      </c>
      <c r="H1382" s="41" t="s">
        <v>11</v>
      </c>
      <c r="I1382" s="49" t="s">
        <v>23</v>
      </c>
      <c r="J1382" s="36">
        <f t="shared" si="20"/>
        <v>45721.57325</v>
      </c>
      <c r="K1382" s="49" t="s">
        <v>197</v>
      </c>
      <c r="L1382" s="49" t="s">
        <v>23</v>
      </c>
      <c r="M1382" s="36">
        <f t="shared" si="26"/>
        <v>45723.45657</v>
      </c>
      <c r="N1382" s="30" t="str">
        <f t="shared" si="27"/>
        <v>Selesai</v>
      </c>
      <c r="O1382" s="45">
        <f t="shared" si="23"/>
        <v>45723.45657</v>
      </c>
      <c r="P1382" s="47" t="b">
        <v>1</v>
      </c>
      <c r="Q1382" s="36">
        <f t="shared" si="24"/>
        <v>45723.45745</v>
      </c>
      <c r="R1382" s="47" t="b">
        <v>0</v>
      </c>
      <c r="S1382" s="42" t="str">
        <f t="shared" si="28"/>
        <v/>
      </c>
      <c r="T1382" s="42"/>
    </row>
    <row r="1383" ht="22.5" customHeight="1">
      <c r="B1383" s="42">
        <f t="shared" si="7"/>
        <v>1377</v>
      </c>
      <c r="C1383" s="31" t="s">
        <v>1514</v>
      </c>
      <c r="D1383" s="34" t="str">
        <f t="array" ref="D1383">IFNA(_xlfn.XLOOKUP(C1383,Table_Tarikan_Warkah[Nomor Sertipikat],Table_Tarikan_Warkah[Nomor Tiket]),"")</f>
        <v>K/17/030325/1</v>
      </c>
      <c r="E1383" s="36">
        <f t="array" ref="E1383">IFNA(_xlfn.XLOOKUP(D1383,Table_Tarikan_Warkah[Nomor Tiket],Table_Tarikan_Warkah[Tanggal diserahkan kepada Validator]),"")</f>
        <v>45727.49447</v>
      </c>
      <c r="F1383" s="36" t="str">
        <f t="array" ref="F1383">IFNA(_xlfn.XLOOKUP(D1383,Table_Tarikan_Warkah[Nomor Tiket],Table_Tarikan_Warkah[Nama Petugas Warkah]),"")</f>
        <v/>
      </c>
      <c r="G1383" s="39" t="str">
        <f t="array" ref="G1383">IFNA(_xlfn.XLOOKUP(D1383,Table_Tarikan_Warkah[Nomor Tiket],Table_Tarikan_Warkah[Jenis Permohonan]),"")</f>
        <v>BN Jual Beli</v>
      </c>
      <c r="H1383" s="41" t="s">
        <v>11</v>
      </c>
      <c r="I1383" s="49" t="s">
        <v>23</v>
      </c>
      <c r="J1383" s="36">
        <f t="shared" si="20"/>
        <v>45721.57331</v>
      </c>
      <c r="K1383" s="49" t="s">
        <v>197</v>
      </c>
      <c r="L1383" s="49" t="s">
        <v>23</v>
      </c>
      <c r="M1383" s="36">
        <f t="shared" si="26"/>
        <v>45723.45657</v>
      </c>
      <c r="N1383" s="30" t="str">
        <f t="shared" si="27"/>
        <v>Selesai</v>
      </c>
      <c r="O1383" s="45">
        <f t="shared" si="23"/>
        <v>45723.45657</v>
      </c>
      <c r="P1383" s="47" t="b">
        <v>1</v>
      </c>
      <c r="Q1383" s="36">
        <f t="shared" si="24"/>
        <v>45723.45745</v>
      </c>
      <c r="R1383" s="47" t="b">
        <v>0</v>
      </c>
      <c r="S1383" s="42" t="str">
        <f t="shared" si="28"/>
        <v/>
      </c>
      <c r="T1383" s="42"/>
    </row>
    <row r="1384" ht="22.5" customHeight="1">
      <c r="B1384" s="42">
        <f t="shared" si="7"/>
        <v>1378</v>
      </c>
      <c r="C1384" s="31" t="s">
        <v>1515</v>
      </c>
      <c r="D1384" s="34" t="str">
        <f t="array" ref="D1384">IFNA(_xlfn.XLOOKUP(C1384,Table_Tarikan_Warkah[Nomor Sertipikat],Table_Tarikan_Warkah[Nomor Tiket]),"")</f>
        <v>K/23/030325/1</v>
      </c>
      <c r="E1384" s="36">
        <f t="array" ref="E1384">IFNA(_xlfn.XLOOKUP(D1384,Table_Tarikan_Warkah[Nomor Tiket],Table_Tarikan_Warkah[Tanggal diserahkan kepada Validator]),"")</f>
        <v>45723.48026</v>
      </c>
      <c r="F1384" s="36" t="str">
        <f t="array" ref="F1384">IFNA(_xlfn.XLOOKUP(D1384,Table_Tarikan_Warkah[Nomor Tiket],Table_Tarikan_Warkah[Nama Petugas Warkah]),"")</f>
        <v/>
      </c>
      <c r="G1384" s="39" t="str">
        <f t="array" ref="G1384">IFNA(_xlfn.XLOOKUP(D1384,Table_Tarikan_Warkah[Nomor Tiket],Table_Tarikan_Warkah[Jenis Permohonan]),"")</f>
        <v>BN HIBAH</v>
      </c>
      <c r="H1384" s="41" t="s">
        <v>11</v>
      </c>
      <c r="I1384" s="49" t="s">
        <v>23</v>
      </c>
      <c r="J1384" s="36">
        <f t="shared" si="20"/>
        <v>45721.57331</v>
      </c>
      <c r="K1384" s="49" t="s">
        <v>197</v>
      </c>
      <c r="L1384" s="49" t="s">
        <v>23</v>
      </c>
      <c r="M1384" s="36">
        <f t="shared" si="26"/>
        <v>45723.45657</v>
      </c>
      <c r="N1384" s="30" t="str">
        <f t="shared" si="27"/>
        <v>Selesai</v>
      </c>
      <c r="O1384" s="45">
        <f t="shared" si="23"/>
        <v>45723.45657</v>
      </c>
      <c r="P1384" s="47" t="b">
        <v>1</v>
      </c>
      <c r="Q1384" s="36">
        <f t="shared" si="24"/>
        <v>45723.45745</v>
      </c>
      <c r="R1384" s="47" t="b">
        <v>0</v>
      </c>
      <c r="S1384" s="42" t="str">
        <f t="shared" si="28"/>
        <v/>
      </c>
      <c r="T1384" s="42"/>
    </row>
    <row r="1385" ht="22.5" customHeight="1">
      <c r="B1385" s="42">
        <f t="shared" si="7"/>
        <v>1379</v>
      </c>
      <c r="C1385" s="31" t="s">
        <v>1516</v>
      </c>
      <c r="D1385" s="34" t="str">
        <f t="array" ref="D1385">IFNA(_xlfn.XLOOKUP(C1385,Table_Tarikan_Warkah[Nomor Sertipikat],Table_Tarikan_Warkah[Nomor Tiket]),"")</f>
        <v>K/44/210225/1</v>
      </c>
      <c r="E1385" s="36">
        <f t="array" ref="E1385">IFNA(_xlfn.XLOOKUP(D1385,Table_Tarikan_Warkah[Nomor Tiket],Table_Tarikan_Warkah[Tanggal diserahkan kepada Validator]),"")</f>
        <v>45723.48069</v>
      </c>
      <c r="F1385" s="36" t="str">
        <f t="array" ref="F1385">IFNA(_xlfn.XLOOKUP(D1385,Table_Tarikan_Warkah[Nomor Tiket],Table_Tarikan_Warkah[Nama Petugas Warkah]),"")</f>
        <v/>
      </c>
      <c r="G1385" s="39" t="str">
        <f t="array" ref="G1385">IFNA(_xlfn.XLOOKUP(D1385,Table_Tarikan_Warkah[Nomor Tiket],Table_Tarikan_Warkah[Jenis Permohonan]),"")</f>
        <v>BN JUAL BELI</v>
      </c>
      <c r="H1385" s="41" t="s">
        <v>11</v>
      </c>
      <c r="I1385" s="49" t="s">
        <v>23</v>
      </c>
      <c r="J1385" s="36">
        <f t="shared" si="20"/>
        <v>45721.57331</v>
      </c>
      <c r="K1385" s="49" t="s">
        <v>197</v>
      </c>
      <c r="L1385" s="49" t="s">
        <v>23</v>
      </c>
      <c r="M1385" s="36">
        <f t="shared" si="26"/>
        <v>45723.45661</v>
      </c>
      <c r="N1385" s="30" t="str">
        <f t="shared" si="27"/>
        <v>Selesai</v>
      </c>
      <c r="O1385" s="45">
        <f t="shared" si="23"/>
        <v>45723.45661</v>
      </c>
      <c r="P1385" s="47" t="b">
        <v>1</v>
      </c>
      <c r="Q1385" s="36">
        <f t="shared" si="24"/>
        <v>45723.45745</v>
      </c>
      <c r="R1385" s="47" t="b">
        <v>0</v>
      </c>
      <c r="S1385" s="42" t="str">
        <f t="shared" si="28"/>
        <v/>
      </c>
      <c r="T1385" s="42"/>
    </row>
    <row r="1386" ht="22.5" customHeight="1">
      <c r="B1386" s="42">
        <f t="shared" si="7"/>
        <v>1380</v>
      </c>
      <c r="C1386" s="31" t="s">
        <v>1517</v>
      </c>
      <c r="D1386" s="34" t="str">
        <f t="array" ref="D1386">IFNA(_xlfn.XLOOKUP(C1386,Table_Tarikan_Warkah[Nomor Sertipikat],Table_Tarikan_Warkah[Nomor Tiket]),"")</f>
        <v>L/3/220225/PELATARAN</v>
      </c>
      <c r="E1386" s="36">
        <f t="array" ref="E1386">IFNA(_xlfn.XLOOKUP(D1386,Table_Tarikan_Warkah[Nomor Tiket],Table_Tarikan_Warkah[Tanggal diserahkan kepada Validator]),"")</f>
        <v>45741.52479</v>
      </c>
      <c r="F1386" s="36" t="str">
        <f t="array" ref="F1386">IFNA(_xlfn.XLOOKUP(D1386,Table_Tarikan_Warkah[Nomor Tiket],Table_Tarikan_Warkah[Nama Petugas Warkah]),"")</f>
        <v/>
      </c>
      <c r="G1386" s="39" t="str">
        <f t="array" ref="G1386">IFNA(_xlfn.XLOOKUP(D1386,Table_Tarikan_Warkah[Nomor Tiket],Table_Tarikan_Warkah[Jenis Permohonan]),"")</f>
        <v>ROYA</v>
      </c>
      <c r="H1386" s="41" t="s">
        <v>11</v>
      </c>
      <c r="I1386" s="49" t="s">
        <v>23</v>
      </c>
      <c r="J1386" s="36">
        <f t="shared" si="20"/>
        <v>45721.57331</v>
      </c>
      <c r="K1386" s="49" t="s">
        <v>197</v>
      </c>
      <c r="L1386" s="49" t="s">
        <v>23</v>
      </c>
      <c r="M1386" s="36">
        <f t="shared" si="26"/>
        <v>45723.45661</v>
      </c>
      <c r="N1386" s="30" t="str">
        <f t="shared" si="27"/>
        <v>Selesai</v>
      </c>
      <c r="O1386" s="45">
        <f t="shared" si="23"/>
        <v>45723.45661</v>
      </c>
      <c r="P1386" s="47" t="b">
        <v>1</v>
      </c>
      <c r="Q1386" s="36">
        <f t="shared" si="24"/>
        <v>45723.45745</v>
      </c>
      <c r="R1386" s="47" t="b">
        <v>0</v>
      </c>
      <c r="S1386" s="42" t="str">
        <f t="shared" si="28"/>
        <v/>
      </c>
      <c r="T1386" s="42"/>
    </row>
    <row r="1387" ht="22.5" customHeight="1">
      <c r="B1387" s="42">
        <f t="shared" si="7"/>
        <v>1381</v>
      </c>
      <c r="C1387" s="31" t="s">
        <v>1518</v>
      </c>
      <c r="D1387" s="42" t="s">
        <v>1519</v>
      </c>
      <c r="E1387" s="36">
        <f t="array" ref="E1387">IFNA(_xlfn.XLOOKUP(D1387,Table_Tarikan_Warkah[Nomor Tiket],Table_Tarikan_Warkah[Tanggal diserahkan kepada Validator]),"")</f>
        <v>45727.49345</v>
      </c>
      <c r="F1387" s="36" t="str">
        <f t="array" ref="F1387">IFNA(_xlfn.XLOOKUP(D1387,Table_Tarikan_Warkah[Nomor Tiket],Table_Tarikan_Warkah[Nama Petugas Warkah]),"")</f>
        <v/>
      </c>
      <c r="G1387" s="39" t="str">
        <f t="array" ref="G1387">IFNA(_xlfn.XLOOKUP(D1387,Table_Tarikan_Warkah[Nomor Tiket],Table_Tarikan_Warkah[Jenis Permohonan]),"")</f>
        <v>Ganti Nama</v>
      </c>
      <c r="H1387" s="41" t="s">
        <v>11</v>
      </c>
      <c r="I1387" s="49" t="s">
        <v>23</v>
      </c>
      <c r="J1387" s="36">
        <f t="shared" si="20"/>
        <v>45721.57331</v>
      </c>
      <c r="K1387" s="49" t="s">
        <v>197</v>
      </c>
      <c r="L1387" s="49" t="s">
        <v>23</v>
      </c>
      <c r="M1387" s="36">
        <f t="shared" si="26"/>
        <v>45723.45661</v>
      </c>
      <c r="N1387" s="30" t="str">
        <f t="shared" si="27"/>
        <v>Selesai</v>
      </c>
      <c r="O1387" s="45">
        <f t="shared" si="23"/>
        <v>45723.45661</v>
      </c>
      <c r="P1387" s="47" t="b">
        <v>1</v>
      </c>
      <c r="Q1387" s="36">
        <f t="shared" si="24"/>
        <v>45723.45745</v>
      </c>
      <c r="R1387" s="47" t="b">
        <v>0</v>
      </c>
      <c r="S1387" s="42" t="str">
        <f t="shared" si="28"/>
        <v/>
      </c>
      <c r="T1387" s="42"/>
    </row>
    <row r="1388" ht="22.5" customHeight="1">
      <c r="B1388" s="42">
        <f t="shared" si="7"/>
        <v>1382</v>
      </c>
      <c r="C1388" s="31" t="s">
        <v>1520</v>
      </c>
      <c r="D1388" s="34" t="str">
        <f t="array" ref="D1388">IFNA(_xlfn.XLOOKUP(C1388,Table_Tarikan_Warkah[Nomor Sertipikat],Table_Tarikan_Warkah[Nomor Tiket]),"")</f>
        <v>K/39/120225/1</v>
      </c>
      <c r="E1388" s="36">
        <f t="array" ref="E1388">IFNA(_xlfn.XLOOKUP(D1388,Table_Tarikan_Warkah[Nomor Tiket],Table_Tarikan_Warkah[Tanggal diserahkan kepada Validator]),"")</f>
        <v>45727.49495</v>
      </c>
      <c r="F1388" s="36" t="str">
        <f t="array" ref="F1388">IFNA(_xlfn.XLOOKUP(D1388,Table_Tarikan_Warkah[Nomor Tiket],Table_Tarikan_Warkah[Nama Petugas Warkah]),"")</f>
        <v/>
      </c>
      <c r="G1388" s="39" t="str">
        <f t="array" ref="G1388">IFNA(_xlfn.XLOOKUP(D1388,Table_Tarikan_Warkah[Nomor Tiket],Table_Tarikan_Warkah[Jenis Permohonan]),"")</f>
        <v>BN Waris</v>
      </c>
      <c r="H1388" s="41" t="s">
        <v>11</v>
      </c>
      <c r="I1388" s="49" t="s">
        <v>23</v>
      </c>
      <c r="J1388" s="36">
        <f t="shared" si="20"/>
        <v>45721.57331</v>
      </c>
      <c r="K1388" s="49" t="s">
        <v>197</v>
      </c>
      <c r="L1388" s="49" t="s">
        <v>23</v>
      </c>
      <c r="M1388" s="36">
        <f t="shared" si="26"/>
        <v>45723.45672</v>
      </c>
      <c r="N1388" s="30" t="str">
        <f t="shared" si="27"/>
        <v>Selesai</v>
      </c>
      <c r="O1388" s="45">
        <f t="shared" si="23"/>
        <v>45723.45672</v>
      </c>
      <c r="P1388" s="47" t="b">
        <v>1</v>
      </c>
      <c r="Q1388" s="36">
        <f t="shared" si="24"/>
        <v>45723.45745</v>
      </c>
      <c r="R1388" s="47" t="b">
        <v>0</v>
      </c>
      <c r="S1388" s="42" t="str">
        <f t="shared" si="28"/>
        <v/>
      </c>
      <c r="T1388" s="42"/>
    </row>
    <row r="1389" ht="22.5" customHeight="1">
      <c r="B1389" s="42">
        <f t="shared" si="7"/>
        <v>1383</v>
      </c>
      <c r="C1389" s="31" t="s">
        <v>1521</v>
      </c>
      <c r="D1389" s="34" t="str">
        <f t="array" ref="D1389">IFNA(_xlfn.XLOOKUP(C1389,Table_Tarikan_Warkah[Nomor Sertipikat],Table_Tarikan_Warkah[Nomor Tiket]),"")</f>
        <v>K/32/180225/1</v>
      </c>
      <c r="E1389" s="36">
        <f t="array" ref="E1389">IFNA(_xlfn.XLOOKUP(D1389,Table_Tarikan_Warkah[Nomor Tiket],Table_Tarikan_Warkah[Tanggal diserahkan kepada Validator]),"")</f>
        <v>45727.49472</v>
      </c>
      <c r="F1389" s="36" t="str">
        <f t="array" ref="F1389">IFNA(_xlfn.XLOOKUP(D1389,Table_Tarikan_Warkah[Nomor Tiket],Table_Tarikan_Warkah[Nama Petugas Warkah]),"")</f>
        <v/>
      </c>
      <c r="G1389" s="39" t="str">
        <f t="array" ref="G1389">IFNA(_xlfn.XLOOKUP(D1389,Table_Tarikan_Warkah[Nomor Tiket],Table_Tarikan_Warkah[Jenis Permohonan]),"")</f>
        <v>BN Jual Beli</v>
      </c>
      <c r="H1389" s="41" t="s">
        <v>11</v>
      </c>
      <c r="I1389" s="49" t="s">
        <v>23</v>
      </c>
      <c r="J1389" s="36">
        <f t="shared" si="20"/>
        <v>45721.57331</v>
      </c>
      <c r="K1389" s="49" t="s">
        <v>197</v>
      </c>
      <c r="L1389" s="49" t="s">
        <v>23</v>
      </c>
      <c r="M1389" s="36">
        <f t="shared" si="26"/>
        <v>45723.45672</v>
      </c>
      <c r="N1389" s="30" t="str">
        <f t="shared" si="27"/>
        <v>Selesai</v>
      </c>
      <c r="O1389" s="45">
        <f t="shared" si="23"/>
        <v>45723.45672</v>
      </c>
      <c r="P1389" s="47" t="b">
        <v>1</v>
      </c>
      <c r="Q1389" s="36">
        <f t="shared" si="24"/>
        <v>45723.45745</v>
      </c>
      <c r="R1389" s="47" t="b">
        <v>0</v>
      </c>
      <c r="S1389" s="42" t="str">
        <f t="shared" si="28"/>
        <v/>
      </c>
      <c r="T1389" s="42"/>
    </row>
    <row r="1390" ht="22.5" customHeight="1">
      <c r="B1390" s="42">
        <f t="shared" si="7"/>
        <v>1384</v>
      </c>
      <c r="C1390" s="31" t="s">
        <v>1517</v>
      </c>
      <c r="D1390" s="34" t="str">
        <f t="array" ref="D1390">IFNA(_xlfn.XLOOKUP(C1390,Table_Tarikan_Warkah[Nomor Sertipikat],Table_Tarikan_Warkah[Nomor Tiket]),"")</f>
        <v>L/3/220225/PELATARAN</v>
      </c>
      <c r="E1390" s="36">
        <f t="array" ref="E1390">IFNA(_xlfn.XLOOKUP(D1390,Table_Tarikan_Warkah[Nomor Tiket],Table_Tarikan_Warkah[Tanggal diserahkan kepada Validator]),"")</f>
        <v>45741.52479</v>
      </c>
      <c r="F1390" s="36" t="str">
        <f t="array" ref="F1390">IFNA(_xlfn.XLOOKUP(D1390,Table_Tarikan_Warkah[Nomor Tiket],Table_Tarikan_Warkah[Nama Petugas Warkah]),"")</f>
        <v/>
      </c>
      <c r="G1390" s="39" t="str">
        <f t="array" ref="G1390">IFNA(_xlfn.XLOOKUP(D1390,Table_Tarikan_Warkah[Nomor Tiket],Table_Tarikan_Warkah[Jenis Permohonan]),"")</f>
        <v>ROYA</v>
      </c>
      <c r="H1390" s="41" t="s">
        <v>11</v>
      </c>
      <c r="I1390" s="49" t="s">
        <v>23</v>
      </c>
      <c r="J1390" s="36">
        <f t="shared" si="20"/>
        <v>45721.57331</v>
      </c>
      <c r="K1390" s="49" t="s">
        <v>197</v>
      </c>
      <c r="L1390" s="49" t="s">
        <v>23</v>
      </c>
      <c r="M1390" s="36">
        <f t="shared" si="26"/>
        <v>45723.45672</v>
      </c>
      <c r="N1390" s="30" t="str">
        <f t="shared" si="27"/>
        <v>Selesai</v>
      </c>
      <c r="O1390" s="45">
        <f t="shared" si="23"/>
        <v>45723.45672</v>
      </c>
      <c r="P1390" s="47" t="b">
        <v>1</v>
      </c>
      <c r="Q1390" s="36">
        <f t="shared" si="24"/>
        <v>45723.45745</v>
      </c>
      <c r="R1390" s="47" t="b">
        <v>0</v>
      </c>
      <c r="S1390" s="42" t="str">
        <f t="shared" si="28"/>
        <v/>
      </c>
      <c r="T1390" s="42"/>
    </row>
    <row r="1391" ht="22.5" customHeight="1">
      <c r="B1391" s="42">
        <f t="shared" si="7"/>
        <v>1385</v>
      </c>
      <c r="C1391" s="31" t="s">
        <v>1522</v>
      </c>
      <c r="D1391" s="34" t="str">
        <f t="array" ref="D1391">IFNA(_xlfn.XLOOKUP(C1391,Table_Tarikan_Warkah[Nomor Sertipikat],Table_Tarikan_Warkah[Nomor Tiket]),"")</f>
        <v>K/23/120225/1</v>
      </c>
      <c r="E1391" s="36">
        <f t="array" ref="E1391">IFNA(_xlfn.XLOOKUP(D1391,Table_Tarikan_Warkah[Nomor Tiket],Table_Tarikan_Warkah[Tanggal diserahkan kepada Validator]),"")</f>
        <v>45727.49521</v>
      </c>
      <c r="F1391" s="36" t="str">
        <f t="array" ref="F1391">IFNA(_xlfn.XLOOKUP(D1391,Table_Tarikan_Warkah[Nomor Tiket],Table_Tarikan_Warkah[Nama Petugas Warkah]),"")</f>
        <v/>
      </c>
      <c r="G1391" s="39" t="str">
        <f t="array" ref="G1391">IFNA(_xlfn.XLOOKUP(D1391,Table_Tarikan_Warkah[Nomor Tiket],Table_Tarikan_Warkah[Jenis Permohonan]),"")</f>
        <v>BN Jual Beli</v>
      </c>
      <c r="H1391" s="41" t="s">
        <v>11</v>
      </c>
      <c r="I1391" s="49" t="s">
        <v>23</v>
      </c>
      <c r="J1391" s="36">
        <f t="shared" si="20"/>
        <v>45721.57331</v>
      </c>
      <c r="K1391" s="49" t="s">
        <v>197</v>
      </c>
      <c r="L1391" s="49" t="s">
        <v>23</v>
      </c>
      <c r="M1391" s="36">
        <f t="shared" si="26"/>
        <v>45723.45672</v>
      </c>
      <c r="N1391" s="30" t="str">
        <f t="shared" si="27"/>
        <v>Selesai</v>
      </c>
      <c r="O1391" s="45">
        <f t="shared" si="23"/>
        <v>45723.45672</v>
      </c>
      <c r="P1391" s="47" t="b">
        <v>1</v>
      </c>
      <c r="Q1391" s="36">
        <f t="shared" si="24"/>
        <v>45723.45745</v>
      </c>
      <c r="R1391" s="47" t="b">
        <v>0</v>
      </c>
      <c r="S1391" s="42" t="str">
        <f t="shared" si="28"/>
        <v/>
      </c>
      <c r="T1391" s="42"/>
    </row>
    <row r="1392" ht="22.5" customHeight="1">
      <c r="B1392" s="42">
        <f t="shared" si="7"/>
        <v>1386</v>
      </c>
      <c r="C1392" s="31" t="s">
        <v>1523</v>
      </c>
      <c r="D1392" s="34" t="str">
        <f t="array" ref="D1392">IFNA(_xlfn.XLOOKUP(C1392,Table_Tarikan_Warkah[Nomor Sertipikat],Table_Tarikan_Warkah[Nomor Tiket]),"")</f>
        <v>K/29/240225/1</v>
      </c>
      <c r="E1392" s="36">
        <f t="array" ref="E1392">IFNA(_xlfn.XLOOKUP(D1392,Table_Tarikan_Warkah[Nomor Tiket],Table_Tarikan_Warkah[Tanggal diserahkan kepada Validator]),"")</f>
        <v>45727.49392</v>
      </c>
      <c r="F1392" s="36" t="str">
        <f t="array" ref="F1392">IFNA(_xlfn.XLOOKUP(D1392,Table_Tarikan_Warkah[Nomor Tiket],Table_Tarikan_Warkah[Nama Petugas Warkah]),"")</f>
        <v/>
      </c>
      <c r="G1392" s="39" t="str">
        <f t="array" ref="G1392">IFNA(_xlfn.XLOOKUP(D1392,Table_Tarikan_Warkah[Nomor Tiket],Table_Tarikan_Warkah[Jenis Permohonan]),"")</f>
        <v>BN Jual Beli</v>
      </c>
      <c r="H1392" s="41" t="s">
        <v>11</v>
      </c>
      <c r="I1392" s="49" t="s">
        <v>23</v>
      </c>
      <c r="J1392" s="36">
        <f t="shared" si="20"/>
        <v>45721.57331</v>
      </c>
      <c r="K1392" s="49" t="s">
        <v>197</v>
      </c>
      <c r="L1392" s="49" t="s">
        <v>23</v>
      </c>
      <c r="M1392" s="36">
        <f t="shared" si="26"/>
        <v>45723.45672</v>
      </c>
      <c r="N1392" s="30" t="str">
        <f t="shared" si="27"/>
        <v>Selesai</v>
      </c>
      <c r="O1392" s="45">
        <f t="shared" si="23"/>
        <v>45723.45672</v>
      </c>
      <c r="P1392" s="47" t="b">
        <v>1</v>
      </c>
      <c r="Q1392" s="36">
        <f t="shared" si="24"/>
        <v>45723.45745</v>
      </c>
      <c r="R1392" s="47" t="b">
        <v>0</v>
      </c>
      <c r="S1392" s="42" t="str">
        <f t="shared" si="28"/>
        <v/>
      </c>
      <c r="T1392" s="42"/>
    </row>
    <row r="1393" ht="22.5" customHeight="1">
      <c r="B1393" s="42">
        <f t="shared" si="7"/>
        <v>1387</v>
      </c>
      <c r="C1393" s="31" t="s">
        <v>1524</v>
      </c>
      <c r="D1393" s="34" t="str">
        <f t="array" ref="D1393">IFNA(_xlfn.XLOOKUP(C1393,Table_Tarikan_Warkah[Nomor Sertipikat],Table_Tarikan_Warkah[Nomor Tiket]),"")</f>
        <v>K/22/250225/2</v>
      </c>
      <c r="E1393" s="36">
        <f t="array" ref="E1393">IFNA(_xlfn.XLOOKUP(D1393,Table_Tarikan_Warkah[Nomor Tiket],Table_Tarikan_Warkah[Tanggal diserahkan kepada Validator]),"")</f>
        <v>45727.49667</v>
      </c>
      <c r="F1393" s="36" t="str">
        <f t="array" ref="F1393">IFNA(_xlfn.XLOOKUP(D1393,Table_Tarikan_Warkah[Nomor Tiket],Table_Tarikan_Warkah[Nama Petugas Warkah]),"")</f>
        <v/>
      </c>
      <c r="G1393" s="39" t="str">
        <f t="array" ref="G1393">IFNA(_xlfn.XLOOKUP(D1393,Table_Tarikan_Warkah[Nomor Tiket],Table_Tarikan_Warkah[Jenis Permohonan]),"")</f>
        <v>BN Jual Beli</v>
      </c>
      <c r="H1393" s="41" t="s">
        <v>11</v>
      </c>
      <c r="I1393" s="49" t="s">
        <v>23</v>
      </c>
      <c r="J1393" s="36">
        <f t="shared" si="20"/>
        <v>45721.57331</v>
      </c>
      <c r="K1393" s="49" t="s">
        <v>197</v>
      </c>
      <c r="L1393" s="49" t="s">
        <v>23</v>
      </c>
      <c r="M1393" s="36">
        <f t="shared" si="26"/>
        <v>45723.45672</v>
      </c>
      <c r="N1393" s="30" t="str">
        <f t="shared" si="27"/>
        <v>Selesai</v>
      </c>
      <c r="O1393" s="45">
        <f t="shared" si="23"/>
        <v>45723.45672</v>
      </c>
      <c r="P1393" s="47" t="b">
        <v>1</v>
      </c>
      <c r="Q1393" s="36">
        <f t="shared" si="24"/>
        <v>45723.45745</v>
      </c>
      <c r="R1393" s="47" t="b">
        <v>0</v>
      </c>
      <c r="S1393" s="42" t="str">
        <f t="shared" si="28"/>
        <v/>
      </c>
      <c r="T1393" s="42"/>
    </row>
    <row r="1394" ht="22.5" customHeight="1">
      <c r="B1394" s="42">
        <f t="shared" si="7"/>
        <v>1388</v>
      </c>
      <c r="C1394" s="31" t="s">
        <v>1525</v>
      </c>
      <c r="D1394" s="34" t="str">
        <f t="array" ref="D1394">IFNA(_xlfn.XLOOKUP(C1394,Table_Tarikan_Warkah[Nomor Sertipikat],Table_Tarikan_Warkah[Nomor Tiket]),"")</f>
        <v>K/4/280225/1</v>
      </c>
      <c r="E1394" s="36" t="str">
        <f t="array" ref="E1394">IFNA(_xlfn.XLOOKUP(D1394,Table_Tarikan_Warkah[Nomor Tiket],Table_Tarikan_Warkah[Tanggal diserahkan kepada Validator]),"")</f>
        <v/>
      </c>
      <c r="F1394" s="36" t="str">
        <f t="array" ref="F1394">IFNA(_xlfn.XLOOKUP(D1394,Table_Tarikan_Warkah[Nomor Tiket],Table_Tarikan_Warkah[Nama Petugas Warkah]),"")</f>
        <v/>
      </c>
      <c r="G1394" s="39" t="str">
        <f t="array" ref="G1394">IFNA(_xlfn.XLOOKUP(D1394,Table_Tarikan_Warkah[Nomor Tiket],Table_Tarikan_Warkah[Jenis Permohonan]),"")</f>
        <v>BN WARIS</v>
      </c>
      <c r="H1394" s="41" t="s">
        <v>11</v>
      </c>
      <c r="I1394" s="49" t="s">
        <v>23</v>
      </c>
      <c r="J1394" s="36">
        <f t="shared" si="20"/>
        <v>45721.57331</v>
      </c>
      <c r="K1394" s="49" t="s">
        <v>197</v>
      </c>
      <c r="L1394" s="49" t="s">
        <v>23</v>
      </c>
      <c r="M1394" s="36">
        <f t="shared" si="26"/>
        <v>45723.45672</v>
      </c>
      <c r="N1394" s="30" t="str">
        <f t="shared" si="27"/>
        <v>Selesai</v>
      </c>
      <c r="O1394" s="45">
        <f t="shared" si="23"/>
        <v>45723.45672</v>
      </c>
      <c r="P1394" s="47" t="b">
        <v>1</v>
      </c>
      <c r="Q1394" s="36">
        <f t="shared" si="24"/>
        <v>45723.45745</v>
      </c>
      <c r="R1394" s="47" t="b">
        <v>0</v>
      </c>
      <c r="S1394" s="42" t="str">
        <f t="shared" si="28"/>
        <v/>
      </c>
      <c r="T1394" s="42"/>
    </row>
    <row r="1395" ht="22.5" customHeight="1">
      <c r="B1395" s="42">
        <f t="shared" si="7"/>
        <v>1389</v>
      </c>
      <c r="C1395" s="31" t="s">
        <v>1525</v>
      </c>
      <c r="D1395" s="34" t="str">
        <f t="array" ref="D1395">IFNA(_xlfn.XLOOKUP(C1395,Table_Tarikan_Warkah[Nomor Sertipikat],Table_Tarikan_Warkah[Nomor Tiket]),"")</f>
        <v>K/4/280225/1</v>
      </c>
      <c r="E1395" s="36" t="str">
        <f t="array" ref="E1395">IFNA(_xlfn.XLOOKUP(D1395,Table_Tarikan_Warkah[Nomor Tiket],Table_Tarikan_Warkah[Tanggal diserahkan kepada Validator]),"")</f>
        <v/>
      </c>
      <c r="F1395" s="36" t="str">
        <f t="array" ref="F1395">IFNA(_xlfn.XLOOKUP(D1395,Table_Tarikan_Warkah[Nomor Tiket],Table_Tarikan_Warkah[Nama Petugas Warkah]),"")</f>
        <v/>
      </c>
      <c r="G1395" s="39" t="str">
        <f t="array" ref="G1395">IFNA(_xlfn.XLOOKUP(D1395,Table_Tarikan_Warkah[Nomor Tiket],Table_Tarikan_Warkah[Jenis Permohonan]),"")</f>
        <v>BN WARIS</v>
      </c>
      <c r="H1395" s="41" t="s">
        <v>11</v>
      </c>
      <c r="I1395" s="49" t="s">
        <v>23</v>
      </c>
      <c r="J1395" s="36">
        <f t="shared" si="20"/>
        <v>45721.57331</v>
      </c>
      <c r="K1395" s="49" t="s">
        <v>197</v>
      </c>
      <c r="L1395" s="49" t="s">
        <v>23</v>
      </c>
      <c r="M1395" s="36">
        <f t="shared" si="26"/>
        <v>45723.45676</v>
      </c>
      <c r="N1395" s="30" t="str">
        <f t="shared" si="27"/>
        <v>Selesai</v>
      </c>
      <c r="O1395" s="45">
        <f t="shared" si="23"/>
        <v>45723.45676</v>
      </c>
      <c r="P1395" s="47" t="b">
        <v>1</v>
      </c>
      <c r="Q1395" s="36">
        <f t="shared" si="24"/>
        <v>45723.45745</v>
      </c>
      <c r="R1395" s="47" t="b">
        <v>0</v>
      </c>
      <c r="S1395" s="42" t="str">
        <f t="shared" si="28"/>
        <v/>
      </c>
      <c r="T1395" s="42"/>
    </row>
    <row r="1396" ht="22.5" customHeight="1">
      <c r="B1396" s="42">
        <f t="shared" si="7"/>
        <v>1390</v>
      </c>
      <c r="C1396" s="31" t="s">
        <v>1526</v>
      </c>
      <c r="D1396" s="34" t="str">
        <f t="array" ref="D1396">IFNA(_xlfn.XLOOKUP(C1396,Table_Tarikan_Warkah[Nomor Sertipikat],Table_Tarikan_Warkah[Nomor Tiket]),"")</f>
        <v>K/46/250225/1</v>
      </c>
      <c r="E1396" s="36">
        <f t="array" ref="E1396">IFNA(_xlfn.XLOOKUP(D1396,Table_Tarikan_Warkah[Nomor Tiket],Table_Tarikan_Warkah[Tanggal diserahkan kepada Validator]),"")</f>
        <v>45723.47191</v>
      </c>
      <c r="F1396" s="36" t="str">
        <f t="array" ref="F1396">IFNA(_xlfn.XLOOKUP(D1396,Table_Tarikan_Warkah[Nomor Tiket],Table_Tarikan_Warkah[Nama Petugas Warkah]),"")</f>
        <v/>
      </c>
      <c r="G1396" s="39" t="str">
        <f t="array" ref="G1396">IFNA(_xlfn.XLOOKUP(D1396,Table_Tarikan_Warkah[Nomor Tiket],Table_Tarikan_Warkah[Jenis Permohonan]),"")</f>
        <v>BN JUAL BELI</v>
      </c>
      <c r="H1396" s="41" t="s">
        <v>11</v>
      </c>
      <c r="I1396" s="49" t="s">
        <v>23</v>
      </c>
      <c r="J1396" s="36">
        <f t="shared" si="20"/>
        <v>45721.57331</v>
      </c>
      <c r="K1396" s="49" t="s">
        <v>197</v>
      </c>
      <c r="L1396" s="49" t="s">
        <v>23</v>
      </c>
      <c r="M1396" s="36">
        <f t="shared" si="26"/>
        <v>45723.45676</v>
      </c>
      <c r="N1396" s="30" t="str">
        <f t="shared" si="27"/>
        <v>Selesai</v>
      </c>
      <c r="O1396" s="45">
        <f t="shared" si="23"/>
        <v>45723.45676</v>
      </c>
      <c r="P1396" s="47" t="b">
        <v>1</v>
      </c>
      <c r="Q1396" s="36">
        <f t="shared" si="24"/>
        <v>45723.45745</v>
      </c>
      <c r="R1396" s="47" t="b">
        <v>0</v>
      </c>
      <c r="S1396" s="42" t="str">
        <f t="shared" si="28"/>
        <v/>
      </c>
      <c r="T1396" s="42"/>
    </row>
    <row r="1397" ht="22.5" customHeight="1">
      <c r="B1397" s="42">
        <f t="shared" si="7"/>
        <v>1391</v>
      </c>
      <c r="C1397" s="31" t="s">
        <v>1527</v>
      </c>
      <c r="D1397" s="34" t="str">
        <f t="array" ref="D1397">IFNA(_xlfn.XLOOKUP(C1397,Table_Tarikan_Warkah[Nomor Sertipikat],Table_Tarikan_Warkah[Nomor Tiket]),"")</f>
        <v>K/22/270225/1</v>
      </c>
      <c r="E1397" s="36">
        <f t="array" ref="E1397">IFNA(_xlfn.XLOOKUP(D1397,Table_Tarikan_Warkah[Nomor Tiket],Table_Tarikan_Warkah[Tanggal diserahkan kepada Validator]),"")</f>
        <v>45723.47191</v>
      </c>
      <c r="F1397" s="36" t="str">
        <f t="array" ref="F1397">IFNA(_xlfn.XLOOKUP(D1397,Table_Tarikan_Warkah[Nomor Tiket],Table_Tarikan_Warkah[Nama Petugas Warkah]),"")</f>
        <v/>
      </c>
      <c r="G1397" s="39" t="str">
        <f t="array" ref="G1397">IFNA(_xlfn.XLOOKUP(D1397,Table_Tarikan_Warkah[Nomor Tiket],Table_Tarikan_Warkah[Jenis Permohonan]),"")</f>
        <v>BN JUAL BELI</v>
      </c>
      <c r="H1397" s="41" t="s">
        <v>11</v>
      </c>
      <c r="I1397" s="49" t="s">
        <v>23</v>
      </c>
      <c r="J1397" s="36">
        <f t="shared" si="20"/>
        <v>45721.57331</v>
      </c>
      <c r="K1397" s="49" t="s">
        <v>197</v>
      </c>
      <c r="L1397" s="49" t="s">
        <v>23</v>
      </c>
      <c r="M1397" s="36">
        <f t="shared" si="26"/>
        <v>45723.45676</v>
      </c>
      <c r="N1397" s="30" t="str">
        <f t="shared" si="27"/>
        <v>Selesai</v>
      </c>
      <c r="O1397" s="45">
        <f t="shared" si="23"/>
        <v>45723.45676</v>
      </c>
      <c r="P1397" s="47" t="b">
        <v>1</v>
      </c>
      <c r="Q1397" s="36">
        <f t="shared" si="24"/>
        <v>45723.45745</v>
      </c>
      <c r="R1397" s="47" t="b">
        <v>0</v>
      </c>
      <c r="S1397" s="42" t="str">
        <f t="shared" si="28"/>
        <v/>
      </c>
      <c r="T1397" s="42"/>
    </row>
    <row r="1398" ht="22.5" customHeight="1">
      <c r="B1398" s="42">
        <f t="shared" si="7"/>
        <v>1392</v>
      </c>
      <c r="C1398" s="31" t="s">
        <v>1528</v>
      </c>
      <c r="D1398" s="34" t="str">
        <f t="array" ref="D1398">IFNA(_xlfn.XLOOKUP(C1398,Table_Tarikan_Warkah[Nomor Sertipikat],Table_Tarikan_Warkah[Nomor Tiket]),"")</f>
        <v>K/4/030325/1</v>
      </c>
      <c r="E1398" s="36">
        <f t="array" ref="E1398">IFNA(_xlfn.XLOOKUP(D1398,Table_Tarikan_Warkah[Nomor Tiket],Table_Tarikan_Warkah[Tanggal diserahkan kepada Validator]),"")</f>
        <v>45723.47191</v>
      </c>
      <c r="F1398" s="36" t="str">
        <f t="array" ref="F1398">IFNA(_xlfn.XLOOKUP(D1398,Table_Tarikan_Warkah[Nomor Tiket],Table_Tarikan_Warkah[Nama Petugas Warkah]),"")</f>
        <v/>
      </c>
      <c r="G1398" s="39" t="str">
        <f t="array" ref="G1398">IFNA(_xlfn.XLOOKUP(D1398,Table_Tarikan_Warkah[Nomor Tiket],Table_Tarikan_Warkah[Jenis Permohonan]),"")</f>
        <v>BN JUAL BELI</v>
      </c>
      <c r="H1398" s="41" t="s">
        <v>11</v>
      </c>
      <c r="I1398" s="49" t="s">
        <v>23</v>
      </c>
      <c r="J1398" s="36">
        <f t="shared" si="20"/>
        <v>45721.57331</v>
      </c>
      <c r="K1398" s="49" t="s">
        <v>197</v>
      </c>
      <c r="L1398" s="49" t="s">
        <v>23</v>
      </c>
      <c r="M1398" s="36">
        <f t="shared" si="26"/>
        <v>45723.45676</v>
      </c>
      <c r="N1398" s="30" t="str">
        <f t="shared" si="27"/>
        <v>Selesai</v>
      </c>
      <c r="O1398" s="45">
        <f t="shared" si="23"/>
        <v>45723.45676</v>
      </c>
      <c r="P1398" s="47" t="b">
        <v>1</v>
      </c>
      <c r="Q1398" s="36">
        <f t="shared" si="24"/>
        <v>45723.45745</v>
      </c>
      <c r="R1398" s="47" t="b">
        <v>0</v>
      </c>
      <c r="S1398" s="42" t="str">
        <f t="shared" si="28"/>
        <v/>
      </c>
      <c r="T1398" s="42"/>
    </row>
    <row r="1399" ht="22.5" customHeight="1">
      <c r="B1399" s="42">
        <f t="shared" si="7"/>
        <v>1393</v>
      </c>
      <c r="C1399" s="31" t="s">
        <v>1529</v>
      </c>
      <c r="D1399" s="34" t="str">
        <f t="array" ref="D1399">IFNA(_xlfn.XLOOKUP(C1399,Table_Tarikan_Warkah[Nomor Sertipikat],Table_Tarikan_Warkah[Nomor Tiket]),"")</f>
        <v>K/11/030325/1</v>
      </c>
      <c r="E1399" s="36" t="str">
        <f t="array" ref="E1399">IFNA(_xlfn.XLOOKUP(D1399,Table_Tarikan_Warkah[Nomor Tiket],Table_Tarikan_Warkah[Tanggal diserahkan kepada Validator]),"")</f>
        <v/>
      </c>
      <c r="F1399" s="36" t="str">
        <f t="array" ref="F1399">IFNA(_xlfn.XLOOKUP(D1399,Table_Tarikan_Warkah[Nomor Tiket],Table_Tarikan_Warkah[Nama Petugas Warkah]),"")</f>
        <v/>
      </c>
      <c r="G1399" s="39" t="str">
        <f t="array" ref="G1399">IFNA(_xlfn.XLOOKUP(D1399,Table_Tarikan_Warkah[Nomor Tiket],Table_Tarikan_Warkah[Jenis Permohonan]),"")</f>
        <v>KEWARISAN</v>
      </c>
      <c r="H1399" s="41" t="s">
        <v>11</v>
      </c>
      <c r="I1399" s="49" t="s">
        <v>23</v>
      </c>
      <c r="J1399" s="36">
        <f t="shared" si="20"/>
        <v>45721.57331</v>
      </c>
      <c r="K1399" s="49" t="s">
        <v>197</v>
      </c>
      <c r="L1399" s="49" t="s">
        <v>23</v>
      </c>
      <c r="M1399" s="36">
        <f t="shared" si="26"/>
        <v>45723.45676</v>
      </c>
      <c r="N1399" s="30" t="str">
        <f t="shared" si="27"/>
        <v>Selesai</v>
      </c>
      <c r="O1399" s="45">
        <f t="shared" si="23"/>
        <v>45723.45676</v>
      </c>
      <c r="P1399" s="47" t="b">
        <v>1</v>
      </c>
      <c r="Q1399" s="36">
        <f t="shared" si="24"/>
        <v>45723.45745</v>
      </c>
      <c r="R1399" s="47" t="b">
        <v>0</v>
      </c>
      <c r="S1399" s="42" t="str">
        <f t="shared" si="28"/>
        <v/>
      </c>
      <c r="T1399" s="42"/>
    </row>
    <row r="1400" ht="22.5" customHeight="1">
      <c r="B1400" s="42">
        <f t="shared" si="7"/>
        <v>1394</v>
      </c>
      <c r="C1400" s="31" t="s">
        <v>1530</v>
      </c>
      <c r="D1400" s="34" t="str">
        <f t="array" ref="D1400">IFNA(_xlfn.XLOOKUP(C1400,Table_Tarikan_Warkah[Nomor Sertipikat],Table_Tarikan_Warkah[Nomor Tiket]),"")</f>
        <v>K/8/030325/2</v>
      </c>
      <c r="E1400" s="36" t="str">
        <f t="array" ref="E1400">IFNA(_xlfn.XLOOKUP(D1400,Table_Tarikan_Warkah[Nomor Tiket],Table_Tarikan_Warkah[Tanggal diserahkan kepada Validator]),"")</f>
        <v/>
      </c>
      <c r="F1400" s="36" t="str">
        <f t="array" ref="F1400">IFNA(_xlfn.XLOOKUP(D1400,Table_Tarikan_Warkah[Nomor Tiket],Table_Tarikan_Warkah[Nama Petugas Warkah]),"")</f>
        <v/>
      </c>
      <c r="G1400" s="39" t="str">
        <f t="array" ref="G1400">IFNA(_xlfn.XLOOKUP(D1400,Table_Tarikan_Warkah[Nomor Tiket],Table_Tarikan_Warkah[Jenis Permohonan]),"")</f>
        <v>HIBAH</v>
      </c>
      <c r="H1400" s="41" t="s">
        <v>11</v>
      </c>
      <c r="I1400" s="49" t="s">
        <v>23</v>
      </c>
      <c r="J1400" s="36">
        <f t="shared" si="20"/>
        <v>45721.57331</v>
      </c>
      <c r="K1400" s="49" t="s">
        <v>197</v>
      </c>
      <c r="L1400" s="49" t="s">
        <v>23</v>
      </c>
      <c r="M1400" s="36">
        <f t="shared" si="26"/>
        <v>45723.45676</v>
      </c>
      <c r="N1400" s="30" t="str">
        <f t="shared" si="27"/>
        <v>Selesai</v>
      </c>
      <c r="O1400" s="45">
        <f t="shared" si="23"/>
        <v>45723.45676</v>
      </c>
      <c r="P1400" s="47" t="b">
        <v>1</v>
      </c>
      <c r="Q1400" s="36">
        <f t="shared" si="24"/>
        <v>45723.45745</v>
      </c>
      <c r="R1400" s="47" t="b">
        <v>0</v>
      </c>
      <c r="S1400" s="42" t="str">
        <f t="shared" si="28"/>
        <v/>
      </c>
      <c r="T1400" s="42"/>
    </row>
    <row r="1401" ht="22.5" customHeight="1">
      <c r="B1401" s="42">
        <f t="shared" si="7"/>
        <v>1395</v>
      </c>
      <c r="C1401" s="31" t="s">
        <v>1531</v>
      </c>
      <c r="D1401" s="34" t="str">
        <f t="array" ref="D1401">IFNA(_xlfn.XLOOKUP(C1401,Table_Tarikan_Warkah[Nomor Sertipikat],Table_Tarikan_Warkah[Nomor Tiket]),"")</f>
        <v>K/31/030325/2</v>
      </c>
      <c r="E1401" s="36">
        <f t="array" ref="E1401">IFNA(_xlfn.XLOOKUP(D1401,Table_Tarikan_Warkah[Nomor Tiket],Table_Tarikan_Warkah[Tanggal diserahkan kepada Validator]),"")</f>
        <v>45769.60071</v>
      </c>
      <c r="F1401" s="36" t="str">
        <f t="array" ref="F1401">IFNA(_xlfn.XLOOKUP(D1401,Table_Tarikan_Warkah[Nomor Tiket],Table_Tarikan_Warkah[Nama Petugas Warkah]),"")</f>
        <v/>
      </c>
      <c r="G1401" s="39" t="str">
        <f t="array" ref="G1401">IFNA(_xlfn.XLOOKUP(D1401,Table_Tarikan_Warkah[Nomor Tiket],Table_Tarikan_Warkah[Jenis Permohonan]),"")</f>
        <v>ROYA</v>
      </c>
      <c r="H1401" s="41" t="s">
        <v>11</v>
      </c>
      <c r="I1401" s="49" t="s">
        <v>23</v>
      </c>
      <c r="J1401" s="36">
        <f t="shared" si="20"/>
        <v>45721.57331</v>
      </c>
      <c r="K1401" s="49" t="s">
        <v>197</v>
      </c>
      <c r="L1401" s="49" t="s">
        <v>23</v>
      </c>
      <c r="M1401" s="36">
        <f t="shared" si="26"/>
        <v>45723.45676</v>
      </c>
      <c r="N1401" s="30" t="str">
        <f t="shared" si="27"/>
        <v>Selesai</v>
      </c>
      <c r="O1401" s="45">
        <f t="shared" si="23"/>
        <v>45723.45676</v>
      </c>
      <c r="P1401" s="47" t="b">
        <v>1</v>
      </c>
      <c r="Q1401" s="36">
        <f t="shared" si="24"/>
        <v>45723.45745</v>
      </c>
      <c r="R1401" s="47" t="b">
        <v>0</v>
      </c>
      <c r="S1401" s="42" t="str">
        <f t="shared" si="28"/>
        <v/>
      </c>
      <c r="T1401" s="42"/>
    </row>
    <row r="1402" ht="22.5" customHeight="1">
      <c r="B1402" s="42">
        <f t="shared" si="7"/>
        <v>1396</v>
      </c>
      <c r="C1402" s="31" t="s">
        <v>1532</v>
      </c>
      <c r="D1402" s="34" t="str">
        <f t="array" ref="D1402">IFNA(_xlfn.XLOOKUP(C1402,Table_Tarikan_Warkah[Nomor Sertipikat],Table_Tarikan_Warkah[Nomor Tiket]),"")</f>
        <v>K/35/170225/1</v>
      </c>
      <c r="E1402" s="36" t="str">
        <f t="array" ref="E1402">IFNA(_xlfn.XLOOKUP(D1402,Table_Tarikan_Warkah[Nomor Tiket],Table_Tarikan_Warkah[Tanggal diserahkan kepada Validator]),"")</f>
        <v/>
      </c>
      <c r="F1402" s="36" t="str">
        <f t="array" ref="F1402">IFNA(_xlfn.XLOOKUP(D1402,Table_Tarikan_Warkah[Nomor Tiket],Table_Tarikan_Warkah[Nama Petugas Warkah]),"")</f>
        <v/>
      </c>
      <c r="G1402" s="39" t="str">
        <f t="array" ref="G1402">IFNA(_xlfn.XLOOKUP(D1402,Table_Tarikan_Warkah[Nomor Tiket],Table_Tarikan_Warkah[Jenis Permohonan]),"")</f>
        <v>GANTI NAMA</v>
      </c>
      <c r="H1402" s="41" t="s">
        <v>11</v>
      </c>
      <c r="I1402" s="49" t="s">
        <v>23</v>
      </c>
      <c r="J1402" s="36">
        <f t="shared" si="20"/>
        <v>45721.57331</v>
      </c>
      <c r="K1402" s="49" t="s">
        <v>197</v>
      </c>
      <c r="L1402" s="49" t="s">
        <v>23</v>
      </c>
      <c r="M1402" s="36">
        <f t="shared" si="26"/>
        <v>45723.45686</v>
      </c>
      <c r="N1402" s="30" t="str">
        <f t="shared" si="27"/>
        <v>Selesai</v>
      </c>
      <c r="O1402" s="45">
        <f t="shared" si="23"/>
        <v>45723.45686</v>
      </c>
      <c r="P1402" s="47" t="b">
        <v>1</v>
      </c>
      <c r="Q1402" s="36">
        <f t="shared" si="24"/>
        <v>45723.45745</v>
      </c>
      <c r="R1402" s="47" t="b">
        <v>0</v>
      </c>
      <c r="S1402" s="42" t="str">
        <f t="shared" si="28"/>
        <v/>
      </c>
      <c r="T1402" s="42"/>
    </row>
    <row r="1403" ht="22.5" customHeight="1">
      <c r="B1403" s="42">
        <f t="shared" si="7"/>
        <v>1397</v>
      </c>
      <c r="C1403" s="31" t="s">
        <v>1533</v>
      </c>
      <c r="D1403" s="34" t="str">
        <f t="array" ref="D1403">IFNA(_xlfn.XLOOKUP(C1403,Table_Tarikan_Warkah[Nomor Sertipikat],Table_Tarikan_Warkah[Nomor Tiket]),"")</f>
        <v>K/26/260225/2</v>
      </c>
      <c r="E1403" s="36" t="str">
        <f t="array" ref="E1403">IFNA(_xlfn.XLOOKUP(D1403,Table_Tarikan_Warkah[Nomor Tiket],Table_Tarikan_Warkah[Tanggal diserahkan kepada Validator]),"")</f>
        <v/>
      </c>
      <c r="F1403" s="36" t="str">
        <f t="array" ref="F1403">IFNA(_xlfn.XLOOKUP(D1403,Table_Tarikan_Warkah[Nomor Tiket],Table_Tarikan_Warkah[Nama Petugas Warkah]),"")</f>
        <v/>
      </c>
      <c r="G1403" s="39" t="str">
        <f t="array" ref="G1403">IFNA(_xlfn.XLOOKUP(D1403,Table_Tarikan_Warkah[Nomor Tiket],Table_Tarikan_Warkah[Jenis Permohonan]),"")</f>
        <v>JUAL BELI</v>
      </c>
      <c r="H1403" s="41" t="s">
        <v>11</v>
      </c>
      <c r="I1403" s="49" t="s">
        <v>23</v>
      </c>
      <c r="J1403" s="36">
        <f t="shared" si="20"/>
        <v>45721.57331</v>
      </c>
      <c r="K1403" s="49" t="s">
        <v>197</v>
      </c>
      <c r="L1403" s="49" t="s">
        <v>23</v>
      </c>
      <c r="M1403" s="36">
        <f t="shared" si="26"/>
        <v>45723.45686</v>
      </c>
      <c r="N1403" s="30" t="str">
        <f t="shared" si="27"/>
        <v>Selesai</v>
      </c>
      <c r="O1403" s="45">
        <f t="shared" si="23"/>
        <v>45723.45686</v>
      </c>
      <c r="P1403" s="47" t="b">
        <v>1</v>
      </c>
      <c r="Q1403" s="36">
        <f t="shared" si="24"/>
        <v>45723.45745</v>
      </c>
      <c r="R1403" s="47" t="b">
        <v>0</v>
      </c>
      <c r="S1403" s="42" t="str">
        <f t="shared" si="28"/>
        <v/>
      </c>
      <c r="T1403" s="42"/>
    </row>
    <row r="1404" ht="22.5" customHeight="1">
      <c r="B1404" s="42">
        <f t="shared" si="7"/>
        <v>1398</v>
      </c>
      <c r="C1404" s="31" t="s">
        <v>1534</v>
      </c>
      <c r="D1404" s="34" t="str">
        <f t="array" ref="D1404">IFNA(_xlfn.XLOOKUP(C1404,Table_Tarikan_Warkah[Nomor Sertipikat],Table_Tarikan_Warkah[Nomor Tiket]),"")</f>
        <v>K/6/270225/1</v>
      </c>
      <c r="E1404" s="36" t="str">
        <f t="array" ref="E1404">IFNA(_xlfn.XLOOKUP(D1404,Table_Tarikan_Warkah[Nomor Tiket],Table_Tarikan_Warkah[Tanggal diserahkan kepada Validator]),"")</f>
        <v/>
      </c>
      <c r="F1404" s="36" t="str">
        <f t="array" ref="F1404">IFNA(_xlfn.XLOOKUP(D1404,Table_Tarikan_Warkah[Nomor Tiket],Table_Tarikan_Warkah[Nama Petugas Warkah]),"")</f>
        <v/>
      </c>
      <c r="G1404" s="39" t="str">
        <f t="array" ref="G1404">IFNA(_xlfn.XLOOKUP(D1404,Table_Tarikan_Warkah[Nomor Tiket],Table_Tarikan_Warkah[Jenis Permohonan]),"")</f>
        <v>JUAL BELI</v>
      </c>
      <c r="H1404" s="41" t="s">
        <v>11</v>
      </c>
      <c r="I1404" s="49" t="s">
        <v>23</v>
      </c>
      <c r="J1404" s="36">
        <f t="shared" si="20"/>
        <v>45721.57331</v>
      </c>
      <c r="K1404" s="49" t="s">
        <v>197</v>
      </c>
      <c r="L1404" s="49" t="s">
        <v>23</v>
      </c>
      <c r="M1404" s="36">
        <f t="shared" si="26"/>
        <v>45723.45686</v>
      </c>
      <c r="N1404" s="30" t="str">
        <f t="shared" si="27"/>
        <v>Selesai</v>
      </c>
      <c r="O1404" s="45">
        <f t="shared" si="23"/>
        <v>45723.45686</v>
      </c>
      <c r="P1404" s="47" t="b">
        <v>1</v>
      </c>
      <c r="Q1404" s="36">
        <f t="shared" si="24"/>
        <v>45723.45745</v>
      </c>
      <c r="R1404" s="47" t="b">
        <v>0</v>
      </c>
      <c r="S1404" s="42" t="str">
        <f t="shared" si="28"/>
        <v/>
      </c>
      <c r="T1404" s="42"/>
    </row>
    <row r="1405" ht="22.5" customHeight="1">
      <c r="B1405" s="42">
        <f t="shared" si="7"/>
        <v>1399</v>
      </c>
      <c r="C1405" s="31" t="s">
        <v>1535</v>
      </c>
      <c r="D1405" s="34" t="str">
        <f t="array" ref="D1405">IFNA(_xlfn.XLOOKUP(C1405,Table_Tarikan_Warkah[Nomor Sertipikat],Table_Tarikan_Warkah[Nomor Tiket]),"")</f>
        <v>K/11/240225/3</v>
      </c>
      <c r="E1405" s="36">
        <f t="array" ref="E1405">IFNA(_xlfn.XLOOKUP(D1405,Table_Tarikan_Warkah[Nomor Tiket],Table_Tarikan_Warkah[Tanggal diserahkan kepada Validator]),"")</f>
        <v>45722.50019</v>
      </c>
      <c r="F1405" s="36" t="str">
        <f t="array" ref="F1405">IFNA(_xlfn.XLOOKUP(D1405,Table_Tarikan_Warkah[Nomor Tiket],Table_Tarikan_Warkah[Nama Petugas Warkah]),"")</f>
        <v/>
      </c>
      <c r="G1405" s="39" t="str">
        <f t="array" ref="G1405">IFNA(_xlfn.XLOOKUP(D1405,Table_Tarikan_Warkah[Nomor Tiket],Table_Tarikan_Warkah[Jenis Permohonan]),"")</f>
        <v>JUAL BELI</v>
      </c>
      <c r="H1405" s="41" t="s">
        <v>11</v>
      </c>
      <c r="I1405" s="49" t="s">
        <v>23</v>
      </c>
      <c r="J1405" s="36">
        <f t="shared" si="20"/>
        <v>45721.57331</v>
      </c>
      <c r="K1405" s="49" t="s">
        <v>197</v>
      </c>
      <c r="L1405" s="49" t="s">
        <v>23</v>
      </c>
      <c r="M1405" s="36">
        <f t="shared" si="26"/>
        <v>45723.45686</v>
      </c>
      <c r="N1405" s="30" t="str">
        <f t="shared" si="27"/>
        <v>Selesai</v>
      </c>
      <c r="O1405" s="45">
        <f t="shared" si="23"/>
        <v>45723.45686</v>
      </c>
      <c r="P1405" s="47" t="b">
        <v>1</v>
      </c>
      <c r="Q1405" s="36">
        <f t="shared" si="24"/>
        <v>45723.45749</v>
      </c>
      <c r="R1405" s="47" t="b">
        <v>0</v>
      </c>
      <c r="S1405" s="42" t="str">
        <f t="shared" si="28"/>
        <v/>
      </c>
      <c r="T1405" s="42"/>
    </row>
    <row r="1406" ht="22.5" customHeight="1">
      <c r="B1406" s="42">
        <f t="shared" si="7"/>
        <v>1400</v>
      </c>
      <c r="C1406" s="31" t="s">
        <v>1536</v>
      </c>
      <c r="D1406" s="34" t="str">
        <f t="array" ref="D1406">IFNA(_xlfn.XLOOKUP(C1406,Table_Tarikan_Warkah[Nomor Sertipikat],Table_Tarikan_Warkah[Nomor Tiket]),"")</f>
        <v>K/41/110225/1</v>
      </c>
      <c r="E1406" s="36">
        <f t="array" ref="E1406">IFNA(_xlfn.XLOOKUP(D1406,Table_Tarikan_Warkah[Nomor Tiket],Table_Tarikan_Warkah[Tanggal diserahkan kepada Validator]),"")</f>
        <v>45723.4817</v>
      </c>
      <c r="F1406" s="36" t="str">
        <f t="array" ref="F1406">IFNA(_xlfn.XLOOKUP(D1406,Table_Tarikan_Warkah[Nomor Tiket],Table_Tarikan_Warkah[Nama Petugas Warkah]),"")</f>
        <v/>
      </c>
      <c r="G1406" s="39" t="str">
        <f t="array" ref="G1406">IFNA(_xlfn.XLOOKUP(D1406,Table_Tarikan_Warkah[Nomor Tiket],Table_Tarikan_Warkah[Jenis Permohonan]),"")</f>
        <v>PERALIHAN JUAL BELI</v>
      </c>
      <c r="H1406" s="41" t="s">
        <v>11</v>
      </c>
      <c r="I1406" s="49" t="s">
        <v>23</v>
      </c>
      <c r="J1406" s="36">
        <f t="shared" si="20"/>
        <v>45721.57331</v>
      </c>
      <c r="K1406" s="49" t="s">
        <v>197</v>
      </c>
      <c r="L1406" s="49" t="s">
        <v>23</v>
      </c>
      <c r="M1406" s="36">
        <f t="shared" si="26"/>
        <v>45723.45686</v>
      </c>
      <c r="N1406" s="30" t="str">
        <f t="shared" si="27"/>
        <v>Selesai</v>
      </c>
      <c r="O1406" s="45">
        <f t="shared" si="23"/>
        <v>45723.45686</v>
      </c>
      <c r="P1406" s="47" t="b">
        <v>1</v>
      </c>
      <c r="Q1406" s="36">
        <f t="shared" si="24"/>
        <v>45723.45749</v>
      </c>
      <c r="R1406" s="47" t="b">
        <v>0</v>
      </c>
      <c r="S1406" s="42" t="str">
        <f t="shared" si="28"/>
        <v/>
      </c>
      <c r="T1406" s="42"/>
    </row>
    <row r="1407" ht="22.5" customHeight="1">
      <c r="B1407" s="42">
        <f t="shared" si="7"/>
        <v>1401</v>
      </c>
      <c r="C1407" s="31" t="s">
        <v>1537</v>
      </c>
      <c r="D1407" s="34" t="str">
        <f t="array" ref="D1407">IFNA(_xlfn.XLOOKUP(C1407,Table_Tarikan_Warkah[Nomor Sertipikat],Table_Tarikan_Warkah[Nomor Tiket]),"")</f>
        <v>K/9/030325/3</v>
      </c>
      <c r="E1407" s="36" t="str">
        <f t="array" ref="E1407">IFNA(_xlfn.XLOOKUP(D1407,Table_Tarikan_Warkah[Nomor Tiket],Table_Tarikan_Warkah[Tanggal diserahkan kepada Validator]),"")</f>
        <v/>
      </c>
      <c r="F1407" s="36" t="str">
        <f t="array" ref="F1407">IFNA(_xlfn.XLOOKUP(D1407,Table_Tarikan_Warkah[Nomor Tiket],Table_Tarikan_Warkah[Nama Petugas Warkah]),"")</f>
        <v/>
      </c>
      <c r="G1407" s="39" t="str">
        <f t="array" ref="G1407">IFNA(_xlfn.XLOOKUP(D1407,Table_Tarikan_Warkah[Nomor Tiket],Table_Tarikan_Warkah[Jenis Permohonan]),"")</f>
        <v>HIBAH</v>
      </c>
      <c r="H1407" s="41" t="s">
        <v>11</v>
      </c>
      <c r="I1407" s="49" t="s">
        <v>23</v>
      </c>
      <c r="J1407" s="36">
        <f t="shared" si="20"/>
        <v>45721.57331</v>
      </c>
      <c r="K1407" s="49" t="s">
        <v>197</v>
      </c>
      <c r="L1407" s="49" t="s">
        <v>23</v>
      </c>
      <c r="M1407" s="36">
        <f t="shared" si="26"/>
        <v>45723.45686</v>
      </c>
      <c r="N1407" s="30" t="str">
        <f t="shared" si="27"/>
        <v>Selesai</v>
      </c>
      <c r="O1407" s="45">
        <f t="shared" si="23"/>
        <v>45723.45686</v>
      </c>
      <c r="P1407" s="47" t="b">
        <v>1</v>
      </c>
      <c r="Q1407" s="36">
        <f t="shared" si="24"/>
        <v>45723.45749</v>
      </c>
      <c r="R1407" s="47" t="b">
        <v>0</v>
      </c>
      <c r="S1407" s="42" t="str">
        <f t="shared" si="28"/>
        <v/>
      </c>
      <c r="T1407" s="42"/>
    </row>
    <row r="1408" ht="22.5" customHeight="1">
      <c r="B1408" s="42">
        <f t="shared" si="7"/>
        <v>1402</v>
      </c>
      <c r="C1408" s="31" t="s">
        <v>1538</v>
      </c>
      <c r="D1408" s="34" t="str">
        <f t="array" ref="D1408">IFNA(_xlfn.XLOOKUP(C1408,Table_Tarikan_Warkah[Nomor Sertipikat],Table_Tarikan_Warkah[Nomor Tiket]),"")</f>
        <v>K/25/170225/1</v>
      </c>
      <c r="E1408" s="36">
        <f t="array" ref="E1408">IFNA(_xlfn.XLOOKUP(D1408,Table_Tarikan_Warkah[Nomor Tiket],Table_Tarikan_Warkah[Tanggal diserahkan kepada Validator]),"")</f>
        <v>45723.47191</v>
      </c>
      <c r="F1408" s="36" t="str">
        <f t="array" ref="F1408">IFNA(_xlfn.XLOOKUP(D1408,Table_Tarikan_Warkah[Nomor Tiket],Table_Tarikan_Warkah[Nama Petugas Warkah]),"")</f>
        <v/>
      </c>
      <c r="G1408" s="39" t="str">
        <f t="array" ref="G1408">IFNA(_xlfn.XLOOKUP(D1408,Table_Tarikan_Warkah[Nomor Tiket],Table_Tarikan_Warkah[Jenis Permohonan]),"")</f>
        <v>BN WARIS</v>
      </c>
      <c r="H1408" s="41" t="s">
        <v>11</v>
      </c>
      <c r="I1408" s="49" t="s">
        <v>23</v>
      </c>
      <c r="J1408" s="36">
        <f t="shared" si="20"/>
        <v>45721.57331</v>
      </c>
      <c r="K1408" s="49" t="s">
        <v>197</v>
      </c>
      <c r="L1408" s="49" t="s">
        <v>23</v>
      </c>
      <c r="M1408" s="36">
        <f t="shared" si="26"/>
        <v>45723.45686</v>
      </c>
      <c r="N1408" s="30" t="str">
        <f t="shared" si="27"/>
        <v>Selesai</v>
      </c>
      <c r="O1408" s="45">
        <f t="shared" si="23"/>
        <v>45723.45686</v>
      </c>
      <c r="P1408" s="47" t="b">
        <v>1</v>
      </c>
      <c r="Q1408" s="36">
        <f t="shared" si="24"/>
        <v>45723.45749</v>
      </c>
      <c r="R1408" s="47" t="b">
        <v>0</v>
      </c>
      <c r="S1408" s="42" t="str">
        <f t="shared" si="28"/>
        <v/>
      </c>
      <c r="T1408" s="42"/>
    </row>
    <row r="1409" ht="22.5" customHeight="1">
      <c r="B1409" s="42">
        <f t="shared" si="7"/>
        <v>1403</v>
      </c>
      <c r="C1409" s="31" t="s">
        <v>1539</v>
      </c>
      <c r="D1409" s="34" t="str">
        <f t="array" ref="D1409">IFNA(_xlfn.XLOOKUP(C1409,Table_Tarikan_Warkah[Nomor Sertipikat],Table_Tarikan_Warkah[Nomor Tiket]),"")</f>
        <v>K/30/260225/2</v>
      </c>
      <c r="E1409" s="36">
        <f t="array" ref="E1409">IFNA(_xlfn.XLOOKUP(D1409,Table_Tarikan_Warkah[Nomor Tiket],Table_Tarikan_Warkah[Tanggal diserahkan kepada Validator]),"")</f>
        <v>45723.47191</v>
      </c>
      <c r="F1409" s="36" t="str">
        <f t="array" ref="F1409">IFNA(_xlfn.XLOOKUP(D1409,Table_Tarikan_Warkah[Nomor Tiket],Table_Tarikan_Warkah[Nama Petugas Warkah]),"")</f>
        <v/>
      </c>
      <c r="G1409" s="39" t="str">
        <f t="array" ref="G1409">IFNA(_xlfn.XLOOKUP(D1409,Table_Tarikan_Warkah[Nomor Tiket],Table_Tarikan_Warkah[Jenis Permohonan]),"")</f>
        <v>BN JUAL BELI</v>
      </c>
      <c r="H1409" s="41" t="s">
        <v>11</v>
      </c>
      <c r="I1409" s="49" t="s">
        <v>23</v>
      </c>
      <c r="J1409" s="36">
        <f t="shared" si="20"/>
        <v>45721.57331</v>
      </c>
      <c r="K1409" s="49" t="s">
        <v>197</v>
      </c>
      <c r="L1409" s="49" t="s">
        <v>23</v>
      </c>
      <c r="M1409" s="36">
        <f t="shared" si="26"/>
        <v>45723.45686</v>
      </c>
      <c r="N1409" s="30" t="str">
        <f t="shared" si="27"/>
        <v>Selesai</v>
      </c>
      <c r="O1409" s="45">
        <f t="shared" si="23"/>
        <v>45723.45686</v>
      </c>
      <c r="P1409" s="47" t="b">
        <v>1</v>
      </c>
      <c r="Q1409" s="36">
        <f t="shared" si="24"/>
        <v>45723.45749</v>
      </c>
      <c r="R1409" s="47" t="b">
        <v>0</v>
      </c>
      <c r="S1409" s="42" t="str">
        <f t="shared" si="28"/>
        <v/>
      </c>
      <c r="T1409" s="42"/>
    </row>
    <row r="1410" ht="22.5" customHeight="1">
      <c r="B1410" s="42">
        <f t="shared" si="7"/>
        <v>1404</v>
      </c>
      <c r="C1410" s="31" t="s">
        <v>1540</v>
      </c>
      <c r="D1410" s="34" t="str">
        <f t="array" ref="D1410">IFNA(_xlfn.XLOOKUP(C1410,Table_Tarikan_Warkah[Nomor Sertipikat],Table_Tarikan_Warkah[Nomor Tiket]),"")</f>
        <v>K/28/280225/2</v>
      </c>
      <c r="E1410" s="36">
        <f t="array" ref="E1410">IFNA(_xlfn.XLOOKUP(D1410,Table_Tarikan_Warkah[Nomor Tiket],Table_Tarikan_Warkah[Tanggal diserahkan kepada Validator]),"")</f>
        <v>45736.60819</v>
      </c>
      <c r="F1410" s="36" t="str">
        <f t="array" ref="F1410">IFNA(_xlfn.XLOOKUP(D1410,Table_Tarikan_Warkah[Nomor Tiket],Table_Tarikan_Warkah[Nama Petugas Warkah]),"")</f>
        <v/>
      </c>
      <c r="G1410" s="39" t="str">
        <f t="array" ref="G1410">IFNA(_xlfn.XLOOKUP(D1410,Table_Tarikan_Warkah[Nomor Tiket],Table_Tarikan_Warkah[Jenis Permohonan]),"")</f>
        <v>BN JUAL BELI</v>
      </c>
      <c r="H1410" s="41" t="s">
        <v>11</v>
      </c>
      <c r="I1410" s="49" t="s">
        <v>23</v>
      </c>
      <c r="J1410" s="36">
        <f t="shared" si="20"/>
        <v>45721.57331</v>
      </c>
      <c r="K1410" s="49" t="s">
        <v>197</v>
      </c>
      <c r="L1410" s="49" t="s">
        <v>23</v>
      </c>
      <c r="M1410" s="36">
        <f t="shared" si="26"/>
        <v>45723.45686</v>
      </c>
      <c r="N1410" s="30" t="str">
        <f t="shared" si="27"/>
        <v>Selesai</v>
      </c>
      <c r="O1410" s="45">
        <f t="shared" si="23"/>
        <v>45723.45686</v>
      </c>
      <c r="P1410" s="47" t="b">
        <v>1</v>
      </c>
      <c r="Q1410" s="36">
        <f t="shared" si="24"/>
        <v>45723.45749</v>
      </c>
      <c r="R1410" s="47" t="b">
        <v>0</v>
      </c>
      <c r="S1410" s="42" t="str">
        <f t="shared" si="28"/>
        <v/>
      </c>
      <c r="T1410" s="42"/>
    </row>
    <row r="1411" ht="22.5" customHeight="1">
      <c r="B1411" s="42">
        <f t="shared" si="7"/>
        <v>1405</v>
      </c>
      <c r="C1411" s="31" t="s">
        <v>1541</v>
      </c>
      <c r="D1411" s="34" t="str">
        <f t="array" ref="D1411">IFNA(_xlfn.XLOOKUP(C1411,Table_Tarikan_Warkah[Nomor Sertipikat],Table_Tarikan_Warkah[Nomor Tiket]),"")</f>
        <v>K/32/240225/1</v>
      </c>
      <c r="E1411" s="36">
        <f t="array" ref="E1411">IFNA(_xlfn.XLOOKUP(D1411,Table_Tarikan_Warkah[Nomor Tiket],Table_Tarikan_Warkah[Tanggal diserahkan kepada Validator]),"")</f>
        <v>45723.47191</v>
      </c>
      <c r="F1411" s="36" t="str">
        <f t="array" ref="F1411">IFNA(_xlfn.XLOOKUP(D1411,Table_Tarikan_Warkah[Nomor Tiket],Table_Tarikan_Warkah[Nama Petugas Warkah]),"")</f>
        <v/>
      </c>
      <c r="G1411" s="39" t="str">
        <f t="array" ref="G1411">IFNA(_xlfn.XLOOKUP(D1411,Table_Tarikan_Warkah[Nomor Tiket],Table_Tarikan_Warkah[Jenis Permohonan]),"")</f>
        <v>BN JUAL BELI</v>
      </c>
      <c r="H1411" s="41" t="s">
        <v>11</v>
      </c>
      <c r="I1411" s="49" t="s">
        <v>23</v>
      </c>
      <c r="J1411" s="36">
        <f t="shared" si="20"/>
        <v>45721.57331</v>
      </c>
      <c r="K1411" s="49" t="s">
        <v>197</v>
      </c>
      <c r="L1411" s="49" t="s">
        <v>23</v>
      </c>
      <c r="M1411" s="36">
        <f t="shared" si="26"/>
        <v>45723.45686</v>
      </c>
      <c r="N1411" s="30" t="str">
        <f t="shared" si="27"/>
        <v>Selesai</v>
      </c>
      <c r="O1411" s="45">
        <f t="shared" si="23"/>
        <v>45723.45686</v>
      </c>
      <c r="P1411" s="47" t="b">
        <v>1</v>
      </c>
      <c r="Q1411" s="36">
        <f t="shared" si="24"/>
        <v>45723.45749</v>
      </c>
      <c r="R1411" s="47" t="b">
        <v>0</v>
      </c>
      <c r="S1411" s="42" t="str">
        <f t="shared" si="28"/>
        <v/>
      </c>
      <c r="T1411" s="42"/>
    </row>
    <row r="1412" ht="22.5" customHeight="1">
      <c r="B1412" s="42">
        <f t="shared" si="7"/>
        <v>1406</v>
      </c>
      <c r="C1412" s="31" t="s">
        <v>1542</v>
      </c>
      <c r="D1412" s="34" t="str">
        <f t="array" ref="D1412">IFNA(_xlfn.XLOOKUP(C1412,Table_Tarikan_Warkah[Nomor Sertipikat],Table_Tarikan_Warkah[Nomor Tiket]),"")</f>
        <v>K/26/250225/1</v>
      </c>
      <c r="E1412" s="36">
        <f t="array" ref="E1412">IFNA(_xlfn.XLOOKUP(D1412,Table_Tarikan_Warkah[Nomor Tiket],Table_Tarikan_Warkah[Tanggal diserahkan kepada Validator]),"")</f>
        <v>45723.47191</v>
      </c>
      <c r="F1412" s="36" t="str">
        <f t="array" ref="F1412">IFNA(_xlfn.XLOOKUP(D1412,Table_Tarikan_Warkah[Nomor Tiket],Table_Tarikan_Warkah[Nama Petugas Warkah]),"")</f>
        <v/>
      </c>
      <c r="G1412" s="39" t="str">
        <f t="array" ref="G1412">IFNA(_xlfn.XLOOKUP(D1412,Table_Tarikan_Warkah[Nomor Tiket],Table_Tarikan_Warkah[Jenis Permohonan]),"")</f>
        <v>BN JUAL BELI</v>
      </c>
      <c r="H1412" s="41" t="s">
        <v>11</v>
      </c>
      <c r="I1412" s="49" t="s">
        <v>23</v>
      </c>
      <c r="J1412" s="36">
        <f t="shared" si="20"/>
        <v>45721.57331</v>
      </c>
      <c r="K1412" s="49" t="s">
        <v>197</v>
      </c>
      <c r="L1412" s="49" t="s">
        <v>23</v>
      </c>
      <c r="M1412" s="36">
        <f t="shared" si="26"/>
        <v>45723.45686</v>
      </c>
      <c r="N1412" s="30" t="str">
        <f t="shared" si="27"/>
        <v>Selesai</v>
      </c>
      <c r="O1412" s="45">
        <f t="shared" si="23"/>
        <v>45723.45686</v>
      </c>
      <c r="P1412" s="47" t="b">
        <v>1</v>
      </c>
      <c r="Q1412" s="36">
        <f t="shared" si="24"/>
        <v>45723.45749</v>
      </c>
      <c r="R1412" s="47" t="b">
        <v>0</v>
      </c>
      <c r="S1412" s="42" t="str">
        <f t="shared" si="28"/>
        <v/>
      </c>
      <c r="T1412" s="42"/>
    </row>
    <row r="1413" ht="22.5" customHeight="1">
      <c r="B1413" s="42">
        <f t="shared" si="7"/>
        <v>1407</v>
      </c>
      <c r="C1413" s="31" t="s">
        <v>1543</v>
      </c>
      <c r="D1413" s="34" t="str">
        <f t="array" ref="D1413">IFNA(_xlfn.XLOOKUP(C1413,Table_Tarikan_Warkah[Nomor Sertipikat],Table_Tarikan_Warkah[Nomor Tiket]),"")</f>
        <v>K/25/270225/2</v>
      </c>
      <c r="E1413" s="36" t="str">
        <f t="array" ref="E1413">IFNA(_xlfn.XLOOKUP(D1413,Table_Tarikan_Warkah[Nomor Tiket],Table_Tarikan_Warkah[Tanggal diserahkan kepada Validator]),"")</f>
        <v/>
      </c>
      <c r="F1413" s="36" t="str">
        <f t="array" ref="F1413">IFNA(_xlfn.XLOOKUP(D1413,Table_Tarikan_Warkah[Nomor Tiket],Table_Tarikan_Warkah[Nama Petugas Warkah]),"")</f>
        <v/>
      </c>
      <c r="G1413" s="39" t="str">
        <f t="array" ref="G1413">IFNA(_xlfn.XLOOKUP(D1413,Table_Tarikan_Warkah[Nomor Tiket],Table_Tarikan_Warkah[Jenis Permohonan]),"")</f>
        <v>BN JUAL BELI</v>
      </c>
      <c r="H1413" s="41" t="s">
        <v>11</v>
      </c>
      <c r="I1413" s="49" t="s">
        <v>23</v>
      </c>
      <c r="J1413" s="36">
        <f t="shared" si="20"/>
        <v>45721.57331</v>
      </c>
      <c r="K1413" s="49" t="s">
        <v>197</v>
      </c>
      <c r="L1413" s="49" t="s">
        <v>23</v>
      </c>
      <c r="M1413" s="36">
        <f t="shared" si="26"/>
        <v>45723.45686</v>
      </c>
      <c r="N1413" s="30" t="str">
        <f t="shared" si="27"/>
        <v>Selesai</v>
      </c>
      <c r="O1413" s="45">
        <f t="shared" si="23"/>
        <v>45723.45686</v>
      </c>
      <c r="P1413" s="47" t="b">
        <v>1</v>
      </c>
      <c r="Q1413" s="36">
        <f t="shared" si="24"/>
        <v>45723.45749</v>
      </c>
      <c r="R1413" s="47" t="b">
        <v>0</v>
      </c>
      <c r="S1413" s="42" t="str">
        <f t="shared" si="28"/>
        <v/>
      </c>
      <c r="T1413" s="42"/>
    </row>
    <row r="1414" ht="22.5" customHeight="1">
      <c r="B1414" s="42">
        <f t="shared" si="7"/>
        <v>1408</v>
      </c>
      <c r="C1414" s="31" t="s">
        <v>1544</v>
      </c>
      <c r="D1414" s="34" t="str">
        <f t="array" ref="D1414">IFNA(_xlfn.XLOOKUP(C1414,Table_Tarikan_Warkah[Nomor Sertipikat],Table_Tarikan_Warkah[Nomor Tiket]),"")</f>
        <v>K/11/270225/1</v>
      </c>
      <c r="E1414" s="36" t="str">
        <f t="array" ref="E1414">IFNA(_xlfn.XLOOKUP(D1414,Table_Tarikan_Warkah[Nomor Tiket],Table_Tarikan_Warkah[Tanggal diserahkan kepada Validator]),"")</f>
        <v/>
      </c>
      <c r="F1414" s="36" t="str">
        <f t="array" ref="F1414">IFNA(_xlfn.XLOOKUP(D1414,Table_Tarikan_Warkah[Nomor Tiket],Table_Tarikan_Warkah[Nama Petugas Warkah]),"")</f>
        <v/>
      </c>
      <c r="G1414" s="39" t="str">
        <f t="array" ref="G1414">IFNA(_xlfn.XLOOKUP(D1414,Table_Tarikan_Warkah[Nomor Tiket],Table_Tarikan_Warkah[Jenis Permohonan]),"")</f>
        <v>BN JUAL BELI</v>
      </c>
      <c r="H1414" s="41" t="s">
        <v>11</v>
      </c>
      <c r="I1414" s="49" t="s">
        <v>23</v>
      </c>
      <c r="J1414" s="36">
        <f t="shared" si="20"/>
        <v>45721.57331</v>
      </c>
      <c r="K1414" s="49" t="s">
        <v>197</v>
      </c>
      <c r="L1414" s="49" t="s">
        <v>23</v>
      </c>
      <c r="M1414" s="36">
        <f t="shared" si="26"/>
        <v>45723.45686</v>
      </c>
      <c r="N1414" s="30" t="str">
        <f t="shared" si="27"/>
        <v>Selesai</v>
      </c>
      <c r="O1414" s="45">
        <f t="shared" si="23"/>
        <v>45723.45686</v>
      </c>
      <c r="P1414" s="47" t="b">
        <v>1</v>
      </c>
      <c r="Q1414" s="36">
        <f t="shared" si="24"/>
        <v>45723.45749</v>
      </c>
      <c r="R1414" s="47" t="b">
        <v>0</v>
      </c>
      <c r="S1414" s="42" t="str">
        <f t="shared" si="28"/>
        <v/>
      </c>
      <c r="T1414" s="42"/>
    </row>
    <row r="1415" ht="22.5" customHeight="1">
      <c r="B1415" s="42">
        <f t="shared" si="7"/>
        <v>1409</v>
      </c>
      <c r="C1415" s="31" t="s">
        <v>1545</v>
      </c>
      <c r="D1415" s="34" t="str">
        <f t="array" ref="D1415">IFNA(_xlfn.XLOOKUP(C1415,Table_Tarikan_Warkah[Nomor Sertipikat],Table_Tarikan_Warkah[Nomor Tiket]),"")</f>
        <v>K/2/030325/1</v>
      </c>
      <c r="E1415" s="36" t="str">
        <f t="array" ref="E1415">IFNA(_xlfn.XLOOKUP(D1415,Table_Tarikan_Warkah[Nomor Tiket],Table_Tarikan_Warkah[Tanggal diserahkan kepada Validator]),"")</f>
        <v/>
      </c>
      <c r="F1415" s="36" t="str">
        <f t="array" ref="F1415">IFNA(_xlfn.XLOOKUP(D1415,Table_Tarikan_Warkah[Nomor Tiket],Table_Tarikan_Warkah[Nama Petugas Warkah]),"")</f>
        <v/>
      </c>
      <c r="G1415" s="39" t="str">
        <f t="array" ref="G1415">IFNA(_xlfn.XLOOKUP(D1415,Table_Tarikan_Warkah[Nomor Tiket],Table_Tarikan_Warkah[Jenis Permohonan]),"")</f>
        <v>BN JUAL BELI</v>
      </c>
      <c r="H1415" s="41" t="s">
        <v>11</v>
      </c>
      <c r="I1415" s="49" t="s">
        <v>23</v>
      </c>
      <c r="J1415" s="36">
        <f t="shared" si="20"/>
        <v>45721.57331</v>
      </c>
      <c r="K1415" s="49" t="s">
        <v>197</v>
      </c>
      <c r="L1415" s="49" t="s">
        <v>23</v>
      </c>
      <c r="M1415" s="36">
        <f t="shared" si="26"/>
        <v>45723.45686</v>
      </c>
      <c r="N1415" s="30" t="str">
        <f t="shared" si="27"/>
        <v>Selesai</v>
      </c>
      <c r="O1415" s="45">
        <f t="shared" si="23"/>
        <v>45723.45686</v>
      </c>
      <c r="P1415" s="47" t="b">
        <v>1</v>
      </c>
      <c r="Q1415" s="36">
        <f t="shared" si="24"/>
        <v>45723.45749</v>
      </c>
      <c r="R1415" s="47" t="b">
        <v>0</v>
      </c>
      <c r="S1415" s="42" t="str">
        <f t="shared" si="28"/>
        <v/>
      </c>
      <c r="T1415" s="42"/>
    </row>
    <row r="1416" ht="22.5" customHeight="1">
      <c r="B1416" s="42">
        <f t="shared" si="7"/>
        <v>1410</v>
      </c>
      <c r="C1416" s="31" t="s">
        <v>1546</v>
      </c>
      <c r="D1416" s="34" t="str">
        <f t="array" ref="D1416">IFNA(_xlfn.XLOOKUP(C1416,Table_Tarikan_Warkah[Nomor Sertipikat],Table_Tarikan_Warkah[Nomor Tiket]),"")</f>
        <v>K/23/270225/1</v>
      </c>
      <c r="E1416" s="36">
        <f t="array" ref="E1416">IFNA(_xlfn.XLOOKUP(D1416,Table_Tarikan_Warkah[Nomor Tiket],Table_Tarikan_Warkah[Tanggal diserahkan kepada Validator]),"")</f>
        <v>45727.49689</v>
      </c>
      <c r="F1416" s="36" t="str">
        <f t="array" ref="F1416">IFNA(_xlfn.XLOOKUP(D1416,Table_Tarikan_Warkah[Nomor Tiket],Table_Tarikan_Warkah[Nama Petugas Warkah]),"")</f>
        <v/>
      </c>
      <c r="G1416" s="39" t="str">
        <f t="array" ref="G1416">IFNA(_xlfn.XLOOKUP(D1416,Table_Tarikan_Warkah[Nomor Tiket],Table_Tarikan_Warkah[Jenis Permohonan]),"")</f>
        <v>BN Jual Beli</v>
      </c>
      <c r="H1416" s="41" t="s">
        <v>11</v>
      </c>
      <c r="I1416" s="49" t="s">
        <v>23</v>
      </c>
      <c r="J1416" s="36">
        <f t="shared" si="20"/>
        <v>45721.57331</v>
      </c>
      <c r="K1416" s="49" t="s">
        <v>197</v>
      </c>
      <c r="L1416" s="49" t="s">
        <v>23</v>
      </c>
      <c r="M1416" s="36">
        <f t="shared" si="26"/>
        <v>45723.45686</v>
      </c>
      <c r="N1416" s="30" t="str">
        <f t="shared" si="27"/>
        <v>Selesai</v>
      </c>
      <c r="O1416" s="45">
        <f t="shared" si="23"/>
        <v>45723.45686</v>
      </c>
      <c r="P1416" s="47" t="b">
        <v>1</v>
      </c>
      <c r="Q1416" s="36">
        <f t="shared" si="24"/>
        <v>45723.45749</v>
      </c>
      <c r="R1416" s="47" t="b">
        <v>0</v>
      </c>
      <c r="S1416" s="42" t="str">
        <f t="shared" si="28"/>
        <v/>
      </c>
      <c r="T1416" s="42"/>
    </row>
    <row r="1417" ht="22.5" customHeight="1">
      <c r="B1417" s="42">
        <f t="shared" si="7"/>
        <v>1411</v>
      </c>
      <c r="C1417" s="31" t="s">
        <v>1547</v>
      </c>
      <c r="D1417" s="34" t="str">
        <f t="array" ref="D1417">IFNA(_xlfn.XLOOKUP(C1417,Table_Tarikan_Warkah[Nomor Sertipikat],Table_Tarikan_Warkah[Nomor Tiket]),"")</f>
        <v>K/13/280225/1</v>
      </c>
      <c r="E1417" s="36">
        <f t="array" ref="E1417">IFNA(_xlfn.XLOOKUP(D1417,Table_Tarikan_Warkah[Nomor Tiket],Table_Tarikan_Warkah[Tanggal diserahkan kepada Validator]),"")</f>
        <v>45727.49543</v>
      </c>
      <c r="F1417" s="36" t="str">
        <f t="array" ref="F1417">IFNA(_xlfn.XLOOKUP(D1417,Table_Tarikan_Warkah[Nomor Tiket],Table_Tarikan_Warkah[Nama Petugas Warkah]),"")</f>
        <v/>
      </c>
      <c r="G1417" s="39" t="str">
        <f t="array" ref="G1417">IFNA(_xlfn.XLOOKUP(D1417,Table_Tarikan_Warkah[Nomor Tiket],Table_Tarikan_Warkah[Jenis Permohonan]),"")</f>
        <v>BN Jual Beli</v>
      </c>
      <c r="H1417" s="41" t="s">
        <v>11</v>
      </c>
      <c r="I1417" s="49" t="s">
        <v>23</v>
      </c>
      <c r="J1417" s="36">
        <f t="shared" si="20"/>
        <v>45721.57331</v>
      </c>
      <c r="K1417" s="49" t="s">
        <v>197</v>
      </c>
      <c r="L1417" s="49" t="s">
        <v>23</v>
      </c>
      <c r="M1417" s="36">
        <f t="shared" si="26"/>
        <v>45723.45686</v>
      </c>
      <c r="N1417" s="30" t="str">
        <f t="shared" si="27"/>
        <v>Selesai</v>
      </c>
      <c r="O1417" s="45">
        <f t="shared" si="23"/>
        <v>45723.45686</v>
      </c>
      <c r="P1417" s="47" t="b">
        <v>1</v>
      </c>
      <c r="Q1417" s="36">
        <f t="shared" si="24"/>
        <v>45723.45749</v>
      </c>
      <c r="R1417" s="47" t="b">
        <v>0</v>
      </c>
      <c r="S1417" s="42" t="str">
        <f t="shared" si="28"/>
        <v/>
      </c>
      <c r="T1417" s="42"/>
    </row>
    <row r="1418" ht="22.5" customHeight="1">
      <c r="B1418" s="42">
        <f t="shared" si="7"/>
        <v>1412</v>
      </c>
      <c r="C1418" s="31" t="s">
        <v>228</v>
      </c>
      <c r="D1418" s="34" t="str">
        <f t="array" ref="D1418">IFNA(_xlfn.XLOOKUP(C1418,Table_Tarikan_Warkah[Nomor Sertipikat],Table_Tarikan_Warkah[Nomor Tiket]),"")</f>
        <v>K/14/211024/1</v>
      </c>
      <c r="E1418" s="36" t="str">
        <f t="array" ref="E1418">IFNA(_xlfn.XLOOKUP(D1418,Table_Tarikan_Warkah[Nomor Tiket],Table_Tarikan_Warkah[Tanggal diserahkan kepada Validator]),"")</f>
        <v>22/10/2024 09.55</v>
      </c>
      <c r="F1418" s="36" t="str">
        <f t="array" ref="F1418">IFNA(_xlfn.XLOOKUP(D1418,Table_Tarikan_Warkah[Nomor Tiket],Table_Tarikan_Warkah[Nama Petugas Warkah]),"")</f>
        <v>Berry</v>
      </c>
      <c r="G1418" s="39" t="str">
        <f t="array" ref="G1418">IFNA(_xlfn.XLOOKUP(D1418,Table_Tarikan_Warkah[Nomor Tiket],Table_Tarikan_Warkah[Jenis Permohonan]),"")</f>
        <v>BN Jual Beli</v>
      </c>
      <c r="H1418" s="41" t="s">
        <v>11</v>
      </c>
      <c r="I1418" s="49" t="s">
        <v>23</v>
      </c>
      <c r="J1418" s="36">
        <f t="shared" si="20"/>
        <v>45721.57331</v>
      </c>
      <c r="K1418" s="49" t="s">
        <v>197</v>
      </c>
      <c r="L1418" s="49" t="s">
        <v>23</v>
      </c>
      <c r="M1418" s="36">
        <f t="shared" si="26"/>
        <v>45723.45686</v>
      </c>
      <c r="N1418" s="30" t="str">
        <f t="shared" si="27"/>
        <v>Selesai</v>
      </c>
      <c r="O1418" s="45">
        <f t="shared" si="23"/>
        <v>45723.45686</v>
      </c>
      <c r="P1418" s="47" t="b">
        <v>1</v>
      </c>
      <c r="Q1418" s="36">
        <f t="shared" si="24"/>
        <v>45723.45749</v>
      </c>
      <c r="R1418" s="47" t="b">
        <v>0</v>
      </c>
      <c r="S1418" s="42" t="str">
        <f t="shared" si="28"/>
        <v/>
      </c>
      <c r="T1418" s="42"/>
    </row>
    <row r="1419" ht="22.5" customHeight="1">
      <c r="B1419" s="42">
        <f t="shared" si="7"/>
        <v>1413</v>
      </c>
      <c r="C1419" s="31" t="s">
        <v>1548</v>
      </c>
      <c r="D1419" s="34" t="str">
        <f t="array" ref="D1419">IFNA(_xlfn.XLOOKUP(C1419,Table_Tarikan_Warkah[Nomor Sertipikat],Table_Tarikan_Warkah[Nomor Tiket]),"")</f>
        <v>K/28/030325/2</v>
      </c>
      <c r="E1419" s="36">
        <f t="array" ref="E1419">IFNA(_xlfn.XLOOKUP(D1419,Table_Tarikan_Warkah[Nomor Tiket],Table_Tarikan_Warkah[Tanggal diserahkan kepada Validator]),"")</f>
        <v>45727.4941</v>
      </c>
      <c r="F1419" s="36" t="str">
        <f t="array" ref="F1419">IFNA(_xlfn.XLOOKUP(D1419,Table_Tarikan_Warkah[Nomor Tiket],Table_Tarikan_Warkah[Nama Petugas Warkah]),"")</f>
        <v/>
      </c>
      <c r="G1419" s="39" t="str">
        <f t="array" ref="G1419">IFNA(_xlfn.XLOOKUP(D1419,Table_Tarikan_Warkah[Nomor Tiket],Table_Tarikan_Warkah[Jenis Permohonan]),"")</f>
        <v>BN Jual Beli</v>
      </c>
      <c r="H1419" s="41" t="s">
        <v>11</v>
      </c>
      <c r="I1419" s="49" t="s">
        <v>23</v>
      </c>
      <c r="J1419" s="36">
        <f t="shared" si="20"/>
        <v>45721.57331</v>
      </c>
      <c r="K1419" s="49" t="s">
        <v>197</v>
      </c>
      <c r="L1419" s="49" t="s">
        <v>23</v>
      </c>
      <c r="M1419" s="36">
        <f t="shared" si="26"/>
        <v>45723.45686</v>
      </c>
      <c r="N1419" s="30" t="str">
        <f t="shared" si="27"/>
        <v>Selesai</v>
      </c>
      <c r="O1419" s="45">
        <f t="shared" si="23"/>
        <v>45723.45686</v>
      </c>
      <c r="P1419" s="47" t="b">
        <v>1</v>
      </c>
      <c r="Q1419" s="36">
        <f t="shared" si="24"/>
        <v>45723.45749</v>
      </c>
      <c r="R1419" s="47" t="b">
        <v>0</v>
      </c>
      <c r="S1419" s="42" t="str">
        <f t="shared" si="28"/>
        <v/>
      </c>
      <c r="T1419" s="42"/>
    </row>
    <row r="1420" ht="22.5" customHeight="1">
      <c r="B1420" s="42">
        <f t="shared" si="7"/>
        <v>1414</v>
      </c>
      <c r="C1420" s="31" t="s">
        <v>1549</v>
      </c>
      <c r="D1420" s="34" t="str">
        <f t="array" ref="D1420">IFNA(_xlfn.XLOOKUP(C1420,Table_Tarikan_Warkah[Nomor Sertipikat],Table_Tarikan_Warkah[Nomor Tiket]),"")</f>
        <v>K/29/110225/1</v>
      </c>
      <c r="E1420" s="36" t="str">
        <f t="array" ref="E1420">IFNA(_xlfn.XLOOKUP(D1420,Table_Tarikan_Warkah[Nomor Tiket],Table_Tarikan_Warkah[Tanggal diserahkan kepada Validator]),"")</f>
        <v/>
      </c>
      <c r="F1420" s="36" t="str">
        <f t="array" ref="F1420">IFNA(_xlfn.XLOOKUP(D1420,Table_Tarikan_Warkah[Nomor Tiket],Table_Tarikan_Warkah[Nama Petugas Warkah]),"")</f>
        <v/>
      </c>
      <c r="G1420" s="39" t="str">
        <f t="array" ref="G1420">IFNA(_xlfn.XLOOKUP(D1420,Table_Tarikan_Warkah[Nomor Tiket],Table_Tarikan_Warkah[Jenis Permohonan]),"")</f>
        <v>PERUBAHAN HAK</v>
      </c>
      <c r="H1420" s="41" t="s">
        <v>11</v>
      </c>
      <c r="I1420" s="49" t="s">
        <v>23</v>
      </c>
      <c r="J1420" s="36">
        <f t="shared" si="20"/>
        <v>45722.55696</v>
      </c>
      <c r="K1420" s="49" t="s">
        <v>197</v>
      </c>
      <c r="L1420" s="49" t="s">
        <v>23</v>
      </c>
      <c r="M1420" s="36">
        <f t="shared" si="26"/>
        <v>45723.45686</v>
      </c>
      <c r="N1420" s="30" t="str">
        <f t="shared" si="27"/>
        <v>Selesai</v>
      </c>
      <c r="O1420" s="45">
        <f t="shared" si="23"/>
        <v>45723.45686</v>
      </c>
      <c r="P1420" s="47" t="b">
        <v>1</v>
      </c>
      <c r="Q1420" s="36">
        <f t="shared" si="24"/>
        <v>45723.45749</v>
      </c>
      <c r="R1420" s="47" t="b">
        <v>0</v>
      </c>
      <c r="S1420" s="42" t="str">
        <f t="shared" si="28"/>
        <v/>
      </c>
      <c r="T1420" s="42"/>
    </row>
    <row r="1421" ht="22.5" customHeight="1">
      <c r="B1421" s="42">
        <f t="shared" si="7"/>
        <v>1415</v>
      </c>
      <c r="C1421" s="31" t="s">
        <v>1550</v>
      </c>
      <c r="D1421" s="34" t="str">
        <f t="array" ref="D1421">IFNA(_xlfn.XLOOKUP(C1421,Table_Tarikan_Warkah[Nomor Sertipikat],Table_Tarikan_Warkah[Nomor Tiket]),"")</f>
        <v>K/30/040325/2</v>
      </c>
      <c r="E1421" s="36">
        <f t="array" ref="E1421">IFNA(_xlfn.XLOOKUP(D1421,Table_Tarikan_Warkah[Nomor Tiket],Table_Tarikan_Warkah[Tanggal diserahkan kepada Validator]),"")</f>
        <v>45741.53347</v>
      </c>
      <c r="F1421" s="36" t="str">
        <f t="array" ref="F1421">IFNA(_xlfn.XLOOKUP(D1421,Table_Tarikan_Warkah[Nomor Tiket],Table_Tarikan_Warkah[Nama Petugas Warkah]),"")</f>
        <v/>
      </c>
      <c r="G1421" s="39" t="str">
        <f t="array" ref="G1421">IFNA(_xlfn.XLOOKUP(D1421,Table_Tarikan_Warkah[Nomor Tiket],Table_Tarikan_Warkah[Jenis Permohonan]),"")</f>
        <v>ROYA</v>
      </c>
      <c r="H1421" s="41" t="s">
        <v>11</v>
      </c>
      <c r="I1421" s="49" t="s">
        <v>23</v>
      </c>
      <c r="J1421" s="36">
        <f t="shared" si="20"/>
        <v>45722.55701</v>
      </c>
      <c r="K1421" s="49" t="s">
        <v>197</v>
      </c>
      <c r="L1421" s="49" t="s">
        <v>23</v>
      </c>
      <c r="M1421" s="36">
        <f t="shared" si="26"/>
        <v>45723.45686</v>
      </c>
      <c r="N1421" s="30" t="str">
        <f t="shared" si="27"/>
        <v>Selesai</v>
      </c>
      <c r="O1421" s="45">
        <f t="shared" si="23"/>
        <v>45723.45686</v>
      </c>
      <c r="P1421" s="47" t="b">
        <v>1</v>
      </c>
      <c r="Q1421" s="36">
        <f t="shared" si="24"/>
        <v>45723.45749</v>
      </c>
      <c r="R1421" s="47" t="b">
        <v>0</v>
      </c>
      <c r="S1421" s="42" t="str">
        <f t="shared" si="28"/>
        <v/>
      </c>
      <c r="T1421" s="42"/>
    </row>
    <row r="1422" ht="22.5" customHeight="1">
      <c r="B1422" s="42">
        <f t="shared" si="7"/>
        <v>1416</v>
      </c>
      <c r="C1422" s="31" t="s">
        <v>1551</v>
      </c>
      <c r="D1422" s="34" t="str">
        <f t="array" ref="D1422">IFNA(_xlfn.XLOOKUP(C1422,Table_Tarikan_Warkah[Nomor Sertipikat],Table_Tarikan_Warkah[Nomor Tiket]),"")</f>
        <v>K/24/250225/1</v>
      </c>
      <c r="E1422" s="36">
        <f t="array" ref="E1422">IFNA(_xlfn.XLOOKUP(D1422,Table_Tarikan_Warkah[Nomor Tiket],Table_Tarikan_Warkah[Tanggal diserahkan kepada Validator]),"")</f>
        <v>45727.49932</v>
      </c>
      <c r="F1422" s="36" t="str">
        <f t="array" ref="F1422">IFNA(_xlfn.XLOOKUP(D1422,Table_Tarikan_Warkah[Nomor Tiket],Table_Tarikan_Warkah[Nama Petugas Warkah]),"")</f>
        <v/>
      </c>
      <c r="G1422" s="39" t="str">
        <f t="array" ref="G1422">IFNA(_xlfn.XLOOKUP(D1422,Table_Tarikan_Warkah[Nomor Tiket],Table_Tarikan_Warkah[Jenis Permohonan]),"")</f>
        <v>JUAL BELI</v>
      </c>
      <c r="H1422" s="41" t="s">
        <v>11</v>
      </c>
      <c r="I1422" s="49" t="s">
        <v>23</v>
      </c>
      <c r="J1422" s="36">
        <f t="shared" si="20"/>
        <v>45722.55701</v>
      </c>
      <c r="K1422" s="49" t="s">
        <v>197</v>
      </c>
      <c r="L1422" s="49" t="s">
        <v>23</v>
      </c>
      <c r="M1422" s="36">
        <f t="shared" si="26"/>
        <v>45723.45686</v>
      </c>
      <c r="N1422" s="30" t="str">
        <f t="shared" si="27"/>
        <v>Selesai</v>
      </c>
      <c r="O1422" s="45">
        <f t="shared" si="23"/>
        <v>45723.45686</v>
      </c>
      <c r="P1422" s="47" t="b">
        <v>1</v>
      </c>
      <c r="Q1422" s="36">
        <f t="shared" si="24"/>
        <v>45723.45749</v>
      </c>
      <c r="R1422" s="47" t="b">
        <v>0</v>
      </c>
      <c r="S1422" s="42" t="str">
        <f t="shared" si="28"/>
        <v/>
      </c>
      <c r="T1422" s="42"/>
    </row>
    <row r="1423" ht="22.5" customHeight="1">
      <c r="B1423" s="42">
        <f t="shared" si="7"/>
        <v>1417</v>
      </c>
      <c r="C1423" s="31" t="s">
        <v>1552</v>
      </c>
      <c r="D1423" s="34" t="str">
        <f t="array" ref="D1423">IFNA(_xlfn.XLOOKUP(C1423,Table_Tarikan_Warkah[Nomor Sertipikat],Table_Tarikan_Warkah[Nomor Tiket]),"")</f>
        <v>K/34/040325/1</v>
      </c>
      <c r="E1423" s="36" t="str">
        <f t="array" ref="E1423">IFNA(_xlfn.XLOOKUP(D1423,Table_Tarikan_Warkah[Nomor Tiket],Table_Tarikan_Warkah[Tanggal diserahkan kepada Validator]),"")</f>
        <v/>
      </c>
      <c r="F1423" s="36" t="str">
        <f t="array" ref="F1423">IFNA(_xlfn.XLOOKUP(D1423,Table_Tarikan_Warkah[Nomor Tiket],Table_Tarikan_Warkah[Nama Petugas Warkah]),"")</f>
        <v/>
      </c>
      <c r="G1423" s="39" t="str">
        <f t="array" ref="G1423">IFNA(_xlfn.XLOOKUP(D1423,Table_Tarikan_Warkah[Nomor Tiket],Table_Tarikan_Warkah[Jenis Permohonan]),"")</f>
        <v>PEMECAHAN</v>
      </c>
      <c r="H1423" s="41" t="s">
        <v>11</v>
      </c>
      <c r="I1423" s="49" t="s">
        <v>23</v>
      </c>
      <c r="J1423" s="36">
        <f t="shared" si="20"/>
        <v>45722.55701</v>
      </c>
      <c r="K1423" s="49" t="s">
        <v>197</v>
      </c>
      <c r="L1423" s="49" t="s">
        <v>23</v>
      </c>
      <c r="M1423" s="36">
        <f t="shared" si="26"/>
        <v>45723.45703</v>
      </c>
      <c r="N1423" s="30" t="str">
        <f t="shared" si="27"/>
        <v>Selesai</v>
      </c>
      <c r="O1423" s="45">
        <f t="shared" si="23"/>
        <v>45723.45703</v>
      </c>
      <c r="P1423" s="47" t="b">
        <v>1</v>
      </c>
      <c r="Q1423" s="36">
        <f t="shared" si="24"/>
        <v>45723.45749</v>
      </c>
      <c r="R1423" s="47" t="b">
        <v>0</v>
      </c>
      <c r="S1423" s="42" t="str">
        <f t="shared" si="28"/>
        <v/>
      </c>
      <c r="T1423" s="42"/>
    </row>
    <row r="1424" ht="22.5" customHeight="1">
      <c r="B1424" s="42">
        <f t="shared" si="7"/>
        <v>1418</v>
      </c>
      <c r="C1424" s="31" t="s">
        <v>1553</v>
      </c>
      <c r="D1424" s="34" t="str">
        <f t="array" ref="D1424">IFNA(_xlfn.XLOOKUP(C1424,Table_Tarikan_Warkah[Nomor Sertipikat],Table_Tarikan_Warkah[Nomor Tiket]),"")</f>
        <v>K/12/260225/1</v>
      </c>
      <c r="E1424" s="36" t="str">
        <f t="array" ref="E1424">IFNA(_xlfn.XLOOKUP(D1424,Table_Tarikan_Warkah[Nomor Tiket],Table_Tarikan_Warkah[Tanggal diserahkan kepada Validator]),"")</f>
        <v/>
      </c>
      <c r="F1424" s="36" t="str">
        <f t="array" ref="F1424">IFNA(_xlfn.XLOOKUP(D1424,Table_Tarikan_Warkah[Nomor Tiket],Table_Tarikan_Warkah[Nama Petugas Warkah]),"")</f>
        <v/>
      </c>
      <c r="G1424" s="39" t="str">
        <f t="array" ref="G1424">IFNA(_xlfn.XLOOKUP(D1424,Table_Tarikan_Warkah[Nomor Tiket],Table_Tarikan_Warkah[Jenis Permohonan]),"")</f>
        <v>JUAL BELI</v>
      </c>
      <c r="H1424" s="41" t="s">
        <v>11</v>
      </c>
      <c r="I1424" s="49" t="s">
        <v>23</v>
      </c>
      <c r="J1424" s="36">
        <f t="shared" si="20"/>
        <v>45722.55701</v>
      </c>
      <c r="K1424" s="49" t="s">
        <v>197</v>
      </c>
      <c r="L1424" s="49" t="s">
        <v>23</v>
      </c>
      <c r="M1424" s="36">
        <f t="shared" si="26"/>
        <v>45723.45703</v>
      </c>
      <c r="N1424" s="30" t="str">
        <f t="shared" si="27"/>
        <v>Selesai</v>
      </c>
      <c r="O1424" s="45">
        <f t="shared" si="23"/>
        <v>45723.45703</v>
      </c>
      <c r="P1424" s="47" t="b">
        <v>1</v>
      </c>
      <c r="Q1424" s="36">
        <f t="shared" si="24"/>
        <v>45723.45749</v>
      </c>
      <c r="R1424" s="47" t="b">
        <v>0</v>
      </c>
      <c r="S1424" s="42" t="str">
        <f t="shared" si="28"/>
        <v/>
      </c>
      <c r="T1424" s="42"/>
    </row>
    <row r="1425" ht="22.5" customHeight="1">
      <c r="B1425" s="42">
        <f t="shared" si="7"/>
        <v>1419</v>
      </c>
      <c r="C1425" s="31" t="s">
        <v>1554</v>
      </c>
      <c r="D1425" s="34" t="str">
        <f t="array" ref="D1425">IFNA(_xlfn.XLOOKUP(C1425,Table_Tarikan_Warkah[Nomor Sertipikat],Table_Tarikan_Warkah[Nomor Tiket]),"")</f>
        <v>K/16/240225/2</v>
      </c>
      <c r="E1425" s="36" t="str">
        <f t="array" ref="E1425">IFNA(_xlfn.XLOOKUP(D1425,Table_Tarikan_Warkah[Nomor Tiket],Table_Tarikan_Warkah[Tanggal diserahkan kepada Validator]),"")</f>
        <v/>
      </c>
      <c r="F1425" s="36" t="str">
        <f t="array" ref="F1425">IFNA(_xlfn.XLOOKUP(D1425,Table_Tarikan_Warkah[Nomor Tiket],Table_Tarikan_Warkah[Nama Petugas Warkah]),"")</f>
        <v/>
      </c>
      <c r="G1425" s="39" t="str">
        <f t="array" ref="G1425">IFNA(_xlfn.XLOOKUP(D1425,Table_Tarikan_Warkah[Nomor Tiket],Table_Tarikan_Warkah[Jenis Permohonan]),"")</f>
        <v>JUA. BELI</v>
      </c>
      <c r="H1425" s="41" t="s">
        <v>11</v>
      </c>
      <c r="I1425" s="49" t="s">
        <v>23</v>
      </c>
      <c r="J1425" s="36">
        <f t="shared" si="20"/>
        <v>45722.55701</v>
      </c>
      <c r="K1425" s="49" t="s">
        <v>197</v>
      </c>
      <c r="L1425" s="49" t="s">
        <v>23</v>
      </c>
      <c r="M1425" s="36">
        <f t="shared" si="26"/>
        <v>45723.45703</v>
      </c>
      <c r="N1425" s="30" t="str">
        <f t="shared" si="27"/>
        <v>Selesai</v>
      </c>
      <c r="O1425" s="45">
        <f t="shared" si="23"/>
        <v>45723.45703</v>
      </c>
      <c r="P1425" s="47" t="b">
        <v>1</v>
      </c>
      <c r="Q1425" s="36">
        <f t="shared" si="24"/>
        <v>45723.45749</v>
      </c>
      <c r="R1425" s="47" t="b">
        <v>0</v>
      </c>
      <c r="S1425" s="42" t="str">
        <f t="shared" si="28"/>
        <v/>
      </c>
      <c r="T1425" s="42"/>
    </row>
    <row r="1426" ht="22.5" customHeight="1">
      <c r="B1426" s="42">
        <f t="shared" si="7"/>
        <v>1420</v>
      </c>
      <c r="C1426" s="31" t="s">
        <v>1555</v>
      </c>
      <c r="D1426" s="34" t="str">
        <f t="array" ref="D1426">IFNA(_xlfn.XLOOKUP(C1426,Table_Tarikan_Warkah[Nomor Sertipikat],Table_Tarikan_Warkah[Nomor Tiket]),"")</f>
        <v>K/7/030325/1</v>
      </c>
      <c r="E1426" s="36" t="str">
        <f t="array" ref="E1426">IFNA(_xlfn.XLOOKUP(D1426,Table_Tarikan_Warkah[Nomor Tiket],Table_Tarikan_Warkah[Tanggal diserahkan kepada Validator]),"")</f>
        <v/>
      </c>
      <c r="F1426" s="36" t="str">
        <f t="array" ref="F1426">IFNA(_xlfn.XLOOKUP(D1426,Table_Tarikan_Warkah[Nomor Tiket],Table_Tarikan_Warkah[Nama Petugas Warkah]),"")</f>
        <v/>
      </c>
      <c r="G1426" s="39" t="str">
        <f t="array" ref="G1426">IFNA(_xlfn.XLOOKUP(D1426,Table_Tarikan_Warkah[Nomor Tiket],Table_Tarikan_Warkah[Jenis Permohonan]),"")</f>
        <v>HIBAH</v>
      </c>
      <c r="H1426" s="41" t="s">
        <v>11</v>
      </c>
      <c r="I1426" s="49" t="s">
        <v>23</v>
      </c>
      <c r="J1426" s="36">
        <f t="shared" si="20"/>
        <v>45722.55701</v>
      </c>
      <c r="K1426" s="49" t="s">
        <v>197</v>
      </c>
      <c r="L1426" s="49" t="s">
        <v>23</v>
      </c>
      <c r="M1426" s="36">
        <f t="shared" si="26"/>
        <v>45723.45703</v>
      </c>
      <c r="N1426" s="30" t="str">
        <f t="shared" si="27"/>
        <v>Selesai</v>
      </c>
      <c r="O1426" s="45">
        <f t="shared" si="23"/>
        <v>45723.45703</v>
      </c>
      <c r="P1426" s="47" t="b">
        <v>1</v>
      </c>
      <c r="Q1426" s="36">
        <f t="shared" si="24"/>
        <v>45723.45749</v>
      </c>
      <c r="R1426" s="47" t="b">
        <v>0</v>
      </c>
      <c r="S1426" s="42" t="str">
        <f t="shared" si="28"/>
        <v/>
      </c>
      <c r="T1426" s="42"/>
    </row>
    <row r="1427" ht="22.5" customHeight="1">
      <c r="B1427" s="42">
        <f t="shared" si="7"/>
        <v>1421</v>
      </c>
      <c r="C1427" s="31" t="s">
        <v>1556</v>
      </c>
      <c r="D1427" s="34" t="str">
        <f t="array" ref="D1427">IFNA(_xlfn.XLOOKUP(C1427,Table_Tarikan_Warkah[Nomor Sertipikat],Table_Tarikan_Warkah[Nomor Tiket]),"")</f>
        <v>K/19/050325/1</v>
      </c>
      <c r="E1427" s="36">
        <f t="array" ref="E1427">IFNA(_xlfn.XLOOKUP(D1427,Table_Tarikan_Warkah[Nomor Tiket],Table_Tarikan_Warkah[Tanggal diserahkan kepada Validator]),"")</f>
        <v>45727.49903</v>
      </c>
      <c r="F1427" s="36" t="str">
        <f t="array" ref="F1427">IFNA(_xlfn.XLOOKUP(D1427,Table_Tarikan_Warkah[Nomor Tiket],Table_Tarikan_Warkah[Nama Petugas Warkah]),"")</f>
        <v/>
      </c>
      <c r="G1427" s="39" t="str">
        <f t="array" ref="G1427">IFNA(_xlfn.XLOOKUP(D1427,Table_Tarikan_Warkah[Nomor Tiket],Table_Tarikan_Warkah[Jenis Permohonan]),"")</f>
        <v>JUAL BELI</v>
      </c>
      <c r="H1427" s="41" t="s">
        <v>11</v>
      </c>
      <c r="I1427" s="49" t="s">
        <v>23</v>
      </c>
      <c r="J1427" s="36">
        <f t="shared" si="20"/>
        <v>45722.55701</v>
      </c>
      <c r="K1427" s="49" t="s">
        <v>197</v>
      </c>
      <c r="L1427" s="49" t="s">
        <v>23</v>
      </c>
      <c r="M1427" s="36">
        <f t="shared" si="26"/>
        <v>45723.45703</v>
      </c>
      <c r="N1427" s="30" t="str">
        <f t="shared" si="27"/>
        <v>Selesai</v>
      </c>
      <c r="O1427" s="45">
        <f t="shared" si="23"/>
        <v>45723.45703</v>
      </c>
      <c r="P1427" s="47" t="b">
        <v>1</v>
      </c>
      <c r="Q1427" s="36">
        <f t="shared" si="24"/>
        <v>45723.45749</v>
      </c>
      <c r="R1427" s="47" t="b">
        <v>0</v>
      </c>
      <c r="S1427" s="42" t="str">
        <f t="shared" si="28"/>
        <v/>
      </c>
      <c r="T1427" s="42"/>
    </row>
    <row r="1428" ht="22.5" customHeight="1">
      <c r="B1428" s="42">
        <f t="shared" si="7"/>
        <v>1422</v>
      </c>
      <c r="C1428" s="31" t="s">
        <v>1557</v>
      </c>
      <c r="D1428" s="34" t="str">
        <f t="array" ref="D1428">IFNA(_xlfn.XLOOKUP(C1428,Table_Tarikan_Warkah[Nomor Sertipikat],Table_Tarikan_Warkah[Nomor Tiket]),"")</f>
        <v>L/32/250225/2</v>
      </c>
      <c r="E1428" s="36">
        <f t="array" ref="E1428">IFNA(_xlfn.XLOOKUP(D1428,Table_Tarikan_Warkah[Nomor Tiket],Table_Tarikan_Warkah[Tanggal diserahkan kepada Validator]),"")</f>
        <v>45741.53283</v>
      </c>
      <c r="F1428" s="36" t="str">
        <f t="array" ref="F1428">IFNA(_xlfn.XLOOKUP(D1428,Table_Tarikan_Warkah[Nomor Tiket],Table_Tarikan_Warkah[Nama Petugas Warkah]),"")</f>
        <v/>
      </c>
      <c r="G1428" s="39" t="str">
        <f t="array" ref="G1428">IFNA(_xlfn.XLOOKUP(D1428,Table_Tarikan_Warkah[Nomor Tiket],Table_Tarikan_Warkah[Jenis Permohonan]),"")</f>
        <v>ROYA WARIS</v>
      </c>
      <c r="H1428" s="41" t="s">
        <v>11</v>
      </c>
      <c r="I1428" s="49" t="s">
        <v>23</v>
      </c>
      <c r="J1428" s="36">
        <f t="shared" si="20"/>
        <v>45722.55701</v>
      </c>
      <c r="K1428" s="49" t="s">
        <v>197</v>
      </c>
      <c r="L1428" s="49" t="s">
        <v>23</v>
      </c>
      <c r="M1428" s="36">
        <f t="shared" si="26"/>
        <v>45723.45703</v>
      </c>
      <c r="N1428" s="30" t="str">
        <f t="shared" si="27"/>
        <v>Selesai</v>
      </c>
      <c r="O1428" s="45">
        <f t="shared" si="23"/>
        <v>45723.45703</v>
      </c>
      <c r="P1428" s="47" t="b">
        <v>1</v>
      </c>
      <c r="Q1428" s="36">
        <f t="shared" si="24"/>
        <v>45723.49071</v>
      </c>
      <c r="R1428" s="47" t="b">
        <v>0</v>
      </c>
      <c r="S1428" s="42" t="str">
        <f t="shared" si="28"/>
        <v/>
      </c>
      <c r="T1428" s="42"/>
    </row>
    <row r="1429" ht="22.5" customHeight="1">
      <c r="B1429" s="42">
        <f t="shared" si="7"/>
        <v>1423</v>
      </c>
      <c r="C1429" s="31" t="s">
        <v>1558</v>
      </c>
      <c r="D1429" s="34" t="str">
        <f t="array" ref="D1429">IFNA(_xlfn.XLOOKUP(C1429,Table_Tarikan_Warkah[Nomor Sertipikat],Table_Tarikan_Warkah[Nomor Tiket]),"")</f>
        <v>L/31/250225/1</v>
      </c>
      <c r="E1429" s="36">
        <f t="array" ref="E1429">IFNA(_xlfn.XLOOKUP(D1429,Table_Tarikan_Warkah[Nomor Tiket],Table_Tarikan_Warkah[Tanggal diserahkan kepada Validator]),"")</f>
        <v>45741.53327</v>
      </c>
      <c r="F1429" s="36" t="str">
        <f t="array" ref="F1429">IFNA(_xlfn.XLOOKUP(D1429,Table_Tarikan_Warkah[Nomor Tiket],Table_Tarikan_Warkah[Nama Petugas Warkah]),"")</f>
        <v/>
      </c>
      <c r="G1429" s="39" t="str">
        <f t="array" ref="G1429">IFNA(_xlfn.XLOOKUP(D1429,Table_Tarikan_Warkah[Nomor Tiket],Table_Tarikan_Warkah[Jenis Permohonan]),"")</f>
        <v>ROYA WARIS</v>
      </c>
      <c r="H1429" s="41" t="s">
        <v>11</v>
      </c>
      <c r="I1429" s="49" t="s">
        <v>23</v>
      </c>
      <c r="J1429" s="36">
        <f t="shared" si="20"/>
        <v>45722.55701</v>
      </c>
      <c r="K1429" s="49" t="s">
        <v>197</v>
      </c>
      <c r="L1429" s="49" t="s">
        <v>23</v>
      </c>
      <c r="M1429" s="36">
        <f t="shared" si="26"/>
        <v>45723.45703</v>
      </c>
      <c r="N1429" s="30" t="str">
        <f t="shared" si="27"/>
        <v>Selesai</v>
      </c>
      <c r="O1429" s="45">
        <f t="shared" si="23"/>
        <v>45723.45703</v>
      </c>
      <c r="P1429" s="47" t="b">
        <v>1</v>
      </c>
      <c r="Q1429" s="36">
        <f t="shared" si="24"/>
        <v>45723.49073</v>
      </c>
      <c r="R1429" s="47" t="b">
        <v>0</v>
      </c>
      <c r="S1429" s="42" t="str">
        <f t="shared" si="28"/>
        <v/>
      </c>
      <c r="T1429" s="42"/>
    </row>
    <row r="1430" ht="22.5" customHeight="1">
      <c r="B1430" s="42">
        <f t="shared" si="7"/>
        <v>1424</v>
      </c>
      <c r="C1430" s="31" t="s">
        <v>1559</v>
      </c>
      <c r="D1430" s="34" t="str">
        <f t="array" ref="D1430">IFNA(_xlfn.XLOOKUP(C1430,Table_Tarikan_Warkah[Nomor Sertipikat],Table_Tarikan_Warkah[Nomor Tiket]),"")</f>
        <v>K/32/280225/2</v>
      </c>
      <c r="E1430" s="36">
        <f t="array" ref="E1430">IFNA(_xlfn.XLOOKUP(D1430,Table_Tarikan_Warkah[Nomor Tiket],Table_Tarikan_Warkah[Tanggal diserahkan kepada Validator]),"")</f>
        <v>45727.49978</v>
      </c>
      <c r="F1430" s="36" t="str">
        <f t="array" ref="F1430">IFNA(_xlfn.XLOOKUP(D1430,Table_Tarikan_Warkah[Nomor Tiket],Table_Tarikan_Warkah[Nama Petugas Warkah]),"")</f>
        <v/>
      </c>
      <c r="G1430" s="39" t="str">
        <f t="array" ref="G1430">IFNA(_xlfn.XLOOKUP(D1430,Table_Tarikan_Warkah[Nomor Tiket],Table_Tarikan_Warkah[Jenis Permohonan]),"")</f>
        <v>BN HIBAH</v>
      </c>
      <c r="H1430" s="41" t="s">
        <v>11</v>
      </c>
      <c r="I1430" s="49" t="s">
        <v>23</v>
      </c>
      <c r="J1430" s="36">
        <f t="shared" si="20"/>
        <v>45722.55701</v>
      </c>
      <c r="K1430" s="49" t="s">
        <v>197</v>
      </c>
      <c r="L1430" s="49" t="s">
        <v>23</v>
      </c>
      <c r="M1430" s="36">
        <f t="shared" si="26"/>
        <v>45723.45703</v>
      </c>
      <c r="N1430" s="30" t="str">
        <f t="shared" si="27"/>
        <v>Selesai</v>
      </c>
      <c r="O1430" s="45">
        <f t="shared" si="23"/>
        <v>45723.45703</v>
      </c>
      <c r="P1430" s="47" t="b">
        <v>1</v>
      </c>
      <c r="Q1430" s="36">
        <f t="shared" si="24"/>
        <v>45723.49073</v>
      </c>
      <c r="R1430" s="47" t="b">
        <v>0</v>
      </c>
      <c r="S1430" s="42" t="str">
        <f t="shared" si="28"/>
        <v/>
      </c>
      <c r="T1430" s="42"/>
    </row>
    <row r="1431" ht="22.5" customHeight="1">
      <c r="B1431" s="42">
        <f t="shared" si="7"/>
        <v>1425</v>
      </c>
      <c r="C1431" s="31" t="s">
        <v>1560</v>
      </c>
      <c r="D1431" s="34" t="str">
        <f t="array" ref="D1431">IFNA(_xlfn.XLOOKUP(C1431,Table_Tarikan_Warkah[Nomor Sertipikat],Table_Tarikan_Warkah[Nomor Tiket]),"")</f>
        <v>K/43/240225/2</v>
      </c>
      <c r="E1431" s="36">
        <f t="array" ref="E1431">IFNA(_xlfn.XLOOKUP(D1431,Table_Tarikan_Warkah[Nomor Tiket],Table_Tarikan_Warkah[Tanggal diserahkan kepada Validator]),"")</f>
        <v>45727.49866</v>
      </c>
      <c r="F1431" s="36" t="str">
        <f t="array" ref="F1431">IFNA(_xlfn.XLOOKUP(D1431,Table_Tarikan_Warkah[Nomor Tiket],Table_Tarikan_Warkah[Nama Petugas Warkah]),"")</f>
        <v/>
      </c>
      <c r="G1431" s="39" t="str">
        <f t="array" ref="G1431">IFNA(_xlfn.XLOOKUP(D1431,Table_Tarikan_Warkah[Nomor Tiket],Table_Tarikan_Warkah[Jenis Permohonan]),"")</f>
        <v>BN JUAL BELI</v>
      </c>
      <c r="H1431" s="41" t="s">
        <v>11</v>
      </c>
      <c r="I1431" s="49" t="s">
        <v>23</v>
      </c>
      <c r="J1431" s="36">
        <f t="shared" si="20"/>
        <v>45722.55701</v>
      </c>
      <c r="K1431" s="49" t="s">
        <v>197</v>
      </c>
      <c r="L1431" s="49" t="s">
        <v>23</v>
      </c>
      <c r="M1431" s="36">
        <f t="shared" si="26"/>
        <v>45723.45703</v>
      </c>
      <c r="N1431" s="30" t="str">
        <f t="shared" si="27"/>
        <v>Selesai</v>
      </c>
      <c r="O1431" s="45">
        <f t="shared" si="23"/>
        <v>45723.45703</v>
      </c>
      <c r="P1431" s="47" t="b">
        <v>1</v>
      </c>
      <c r="Q1431" s="36">
        <f t="shared" si="24"/>
        <v>45723.49073</v>
      </c>
      <c r="R1431" s="47" t="b">
        <v>0</v>
      </c>
      <c r="S1431" s="42" t="str">
        <f t="shared" si="28"/>
        <v/>
      </c>
      <c r="T1431" s="42"/>
    </row>
    <row r="1432" ht="22.5" customHeight="1">
      <c r="B1432" s="42">
        <f t="shared" si="7"/>
        <v>1426</v>
      </c>
      <c r="C1432" s="31" t="s">
        <v>1561</v>
      </c>
      <c r="D1432" s="34" t="str">
        <f t="array" ref="D1432">IFNA(_xlfn.XLOOKUP(C1432,Table_Tarikan_Warkah[Nomor Sertipikat],Table_Tarikan_Warkah[Nomor Tiket]),"")</f>
        <v>K/8/040325/2</v>
      </c>
      <c r="E1432" s="36">
        <f t="array" ref="E1432">IFNA(_xlfn.XLOOKUP(D1432,Table_Tarikan_Warkah[Nomor Tiket],Table_Tarikan_Warkah[Tanggal diserahkan kepada Validator]),"")</f>
        <v>45741.52496</v>
      </c>
      <c r="F1432" s="36" t="str">
        <f t="array" ref="F1432">IFNA(_xlfn.XLOOKUP(D1432,Table_Tarikan_Warkah[Nomor Tiket],Table_Tarikan_Warkah[Nama Petugas Warkah]),"")</f>
        <v/>
      </c>
      <c r="G1432" s="39" t="str">
        <f t="array" ref="G1432">IFNA(_xlfn.XLOOKUP(D1432,Table_Tarikan_Warkah[Nomor Tiket],Table_Tarikan_Warkah[Jenis Permohonan]),"")</f>
        <v>ROYA</v>
      </c>
      <c r="H1432" s="41" t="s">
        <v>11</v>
      </c>
      <c r="I1432" s="49" t="s">
        <v>23</v>
      </c>
      <c r="J1432" s="36">
        <f t="shared" si="20"/>
        <v>45722.55701</v>
      </c>
      <c r="K1432" s="49" t="s">
        <v>197</v>
      </c>
      <c r="L1432" s="49" t="s">
        <v>23</v>
      </c>
      <c r="M1432" s="36">
        <f t="shared" si="26"/>
        <v>45723.45703</v>
      </c>
      <c r="N1432" s="30" t="str">
        <f t="shared" si="27"/>
        <v>Selesai</v>
      </c>
      <c r="O1432" s="45">
        <f t="shared" si="23"/>
        <v>45723.45703</v>
      </c>
      <c r="P1432" s="47" t="b">
        <v>1</v>
      </c>
      <c r="Q1432" s="36">
        <f t="shared" si="24"/>
        <v>45723.49074</v>
      </c>
      <c r="R1432" s="47" t="b">
        <v>0</v>
      </c>
      <c r="S1432" s="42" t="str">
        <f t="shared" si="28"/>
        <v/>
      </c>
      <c r="T1432" s="42"/>
    </row>
    <row r="1433" ht="22.5" customHeight="1">
      <c r="B1433" s="42">
        <f t="shared" si="7"/>
        <v>1427</v>
      </c>
      <c r="C1433" s="31" t="s">
        <v>1562</v>
      </c>
      <c r="D1433" s="34" t="str">
        <f t="array" ref="D1433">IFNA(_xlfn.XLOOKUP(C1433,Table_Tarikan_Warkah[Nomor Sertipikat],Table_Tarikan_Warkah[Nomor Tiket]),"")</f>
        <v>K/31/040325/1</v>
      </c>
      <c r="E1433" s="36">
        <f t="array" ref="E1433">IFNA(_xlfn.XLOOKUP(D1433,Table_Tarikan_Warkah[Nomor Tiket],Table_Tarikan_Warkah[Tanggal diserahkan kepada Validator]),"")</f>
        <v>45727.49778</v>
      </c>
      <c r="F1433" s="36" t="str">
        <f t="array" ref="F1433">IFNA(_xlfn.XLOOKUP(D1433,Table_Tarikan_Warkah[Nomor Tiket],Table_Tarikan_Warkah[Nama Petugas Warkah]),"")</f>
        <v/>
      </c>
      <c r="G1433" s="39" t="str">
        <f t="array" ref="G1433">IFNA(_xlfn.XLOOKUP(D1433,Table_Tarikan_Warkah[Nomor Tiket],Table_Tarikan_Warkah[Jenis Permohonan]),"")</f>
        <v>BN JUAL BELI</v>
      </c>
      <c r="H1433" s="41" t="s">
        <v>11</v>
      </c>
      <c r="I1433" s="49" t="s">
        <v>23</v>
      </c>
      <c r="J1433" s="36">
        <f t="shared" si="20"/>
        <v>45722.55701</v>
      </c>
      <c r="K1433" s="49" t="s">
        <v>197</v>
      </c>
      <c r="L1433" s="49" t="s">
        <v>23</v>
      </c>
      <c r="M1433" s="36">
        <f t="shared" si="26"/>
        <v>45723.45703</v>
      </c>
      <c r="N1433" s="30" t="str">
        <f t="shared" si="27"/>
        <v>Selesai</v>
      </c>
      <c r="O1433" s="45">
        <f t="shared" si="23"/>
        <v>45723.45703</v>
      </c>
      <c r="P1433" s="47" t="b">
        <v>1</v>
      </c>
      <c r="Q1433" s="36">
        <f t="shared" si="24"/>
        <v>45723.49075</v>
      </c>
      <c r="R1433" s="47" t="b">
        <v>0</v>
      </c>
      <c r="S1433" s="42" t="str">
        <f t="shared" si="28"/>
        <v/>
      </c>
      <c r="T1433" s="42"/>
    </row>
    <row r="1434" ht="22.5" customHeight="1">
      <c r="B1434" s="42">
        <f t="shared" si="7"/>
        <v>1428</v>
      </c>
      <c r="C1434" s="31" t="s">
        <v>1563</v>
      </c>
      <c r="D1434" s="34" t="str">
        <f t="array" ref="D1434">IFNA(_xlfn.XLOOKUP(C1434,Table_Tarikan_Warkah[Nomor Sertipikat],Table_Tarikan_Warkah[Nomor Tiket]),"")</f>
        <v>K/4/040325/1</v>
      </c>
      <c r="E1434" s="36" t="str">
        <f t="array" ref="E1434">IFNA(_xlfn.XLOOKUP(D1434,Table_Tarikan_Warkah[Nomor Tiket],Table_Tarikan_Warkah[Tanggal diserahkan kepada Validator]),"")</f>
        <v/>
      </c>
      <c r="F1434" s="36" t="str">
        <f t="array" ref="F1434">IFNA(_xlfn.XLOOKUP(D1434,Table_Tarikan_Warkah[Nomor Tiket],Table_Tarikan_Warkah[Nama Petugas Warkah]),"")</f>
        <v/>
      </c>
      <c r="G1434" s="39" t="str">
        <f t="array" ref="G1434">IFNA(_xlfn.XLOOKUP(D1434,Table_Tarikan_Warkah[Nomor Tiket],Table_Tarikan_Warkah[Jenis Permohonan]),"")</f>
        <v>PERUBAHAN HAK</v>
      </c>
      <c r="H1434" s="41" t="s">
        <v>11</v>
      </c>
      <c r="I1434" s="49" t="s">
        <v>23</v>
      </c>
      <c r="J1434" s="36">
        <f t="shared" si="20"/>
        <v>45722.55701</v>
      </c>
      <c r="K1434" s="49" t="s">
        <v>197</v>
      </c>
      <c r="L1434" s="49" t="s">
        <v>23</v>
      </c>
      <c r="M1434" s="36">
        <f t="shared" si="26"/>
        <v>45723.45714</v>
      </c>
      <c r="N1434" s="30" t="str">
        <f t="shared" si="27"/>
        <v>Selesai</v>
      </c>
      <c r="O1434" s="45">
        <f t="shared" si="23"/>
        <v>45723.45714</v>
      </c>
      <c r="P1434" s="47" t="b">
        <v>1</v>
      </c>
      <c r="Q1434" s="36">
        <f t="shared" si="24"/>
        <v>45723.49076</v>
      </c>
      <c r="R1434" s="47" t="b">
        <v>0</v>
      </c>
      <c r="S1434" s="42" t="str">
        <f t="shared" si="28"/>
        <v/>
      </c>
      <c r="T1434" s="42"/>
    </row>
    <row r="1435" ht="22.5" customHeight="1">
      <c r="B1435" s="42">
        <f t="shared" si="7"/>
        <v>1429</v>
      </c>
      <c r="C1435" s="31" t="s">
        <v>1564</v>
      </c>
      <c r="D1435" s="34" t="str">
        <f t="array" ref="D1435">IFNA(_xlfn.XLOOKUP(C1435,Table_Tarikan_Warkah[Nomor Sertipikat],Table_Tarikan_Warkah[Nomor Tiket]),"")</f>
        <v>K/17/040225/1</v>
      </c>
      <c r="E1435" s="36" t="str">
        <f t="array" ref="E1435">IFNA(_xlfn.XLOOKUP(D1435,Table_Tarikan_Warkah[Nomor Tiket],Table_Tarikan_Warkah[Tanggal diserahkan kepada Validator]),"")</f>
        <v/>
      </c>
      <c r="F1435" s="36" t="str">
        <f t="array" ref="F1435">IFNA(_xlfn.XLOOKUP(D1435,Table_Tarikan_Warkah[Nomor Tiket],Table_Tarikan_Warkah[Nama Petugas Warkah]),"")</f>
        <v/>
      </c>
      <c r="G1435" s="39" t="str">
        <f t="array" ref="G1435">IFNA(_xlfn.XLOOKUP(D1435,Table_Tarikan_Warkah[Nomor Tiket],Table_Tarikan_Warkah[Jenis Permohonan]),"")</f>
        <v>Roya</v>
      </c>
      <c r="H1435" s="41" t="s">
        <v>11</v>
      </c>
      <c r="I1435" s="49" t="s">
        <v>23</v>
      </c>
      <c r="J1435" s="36">
        <f t="shared" si="20"/>
        <v>45722.55701</v>
      </c>
      <c r="K1435" s="49" t="s">
        <v>197</v>
      </c>
      <c r="L1435" s="49" t="s">
        <v>23</v>
      </c>
      <c r="M1435" s="36">
        <f t="shared" si="26"/>
        <v>45723.45714</v>
      </c>
      <c r="N1435" s="30" t="str">
        <f t="shared" si="27"/>
        <v>Selesai</v>
      </c>
      <c r="O1435" s="45">
        <f t="shared" si="23"/>
        <v>45723.45714</v>
      </c>
      <c r="P1435" s="47" t="b">
        <v>1</v>
      </c>
      <c r="Q1435" s="36">
        <f t="shared" si="24"/>
        <v>45723.49076</v>
      </c>
      <c r="R1435" s="47" t="b">
        <v>0</v>
      </c>
      <c r="S1435" s="42" t="str">
        <f t="shared" si="28"/>
        <v/>
      </c>
      <c r="T1435" s="42"/>
    </row>
    <row r="1436" ht="22.5" customHeight="1">
      <c r="B1436" s="42">
        <f t="shared" si="7"/>
        <v>1430</v>
      </c>
      <c r="C1436" s="31" t="s">
        <v>1565</v>
      </c>
      <c r="D1436" s="34" t="str">
        <f t="array" ref="D1436">IFNA(_xlfn.XLOOKUP(C1436,Table_Tarikan_Warkah[Nomor Sertipikat],Table_Tarikan_Warkah[Nomor Tiket]),"")</f>
        <v>K/35/070225/2</v>
      </c>
      <c r="E1436" s="36">
        <f t="array" ref="E1436">IFNA(_xlfn.XLOOKUP(D1436,Table_Tarikan_Warkah[Nomor Tiket],Table_Tarikan_Warkah[Tanggal diserahkan kepada Validator]),"")</f>
        <v>45727.49848</v>
      </c>
      <c r="F1436" s="36" t="str">
        <f t="array" ref="F1436">IFNA(_xlfn.XLOOKUP(D1436,Table_Tarikan_Warkah[Nomor Tiket],Table_Tarikan_Warkah[Nama Petugas Warkah]),"")</f>
        <v/>
      </c>
      <c r="G1436" s="39" t="str">
        <f t="array" ref="G1436">IFNA(_xlfn.XLOOKUP(D1436,Table_Tarikan_Warkah[Nomor Tiket],Table_Tarikan_Warkah[Jenis Permohonan]),"")</f>
        <v>BN JUAL BELI</v>
      </c>
      <c r="H1436" s="41" t="s">
        <v>11</v>
      </c>
      <c r="I1436" s="49" t="s">
        <v>23</v>
      </c>
      <c r="J1436" s="36">
        <f t="shared" si="20"/>
        <v>45722.55701</v>
      </c>
      <c r="K1436" s="49" t="s">
        <v>197</v>
      </c>
      <c r="L1436" s="49" t="s">
        <v>23</v>
      </c>
      <c r="M1436" s="36">
        <f t="shared" si="26"/>
        <v>45723.45714</v>
      </c>
      <c r="N1436" s="30" t="str">
        <f t="shared" si="27"/>
        <v>Selesai</v>
      </c>
      <c r="O1436" s="45">
        <f t="shared" si="23"/>
        <v>45723.45714</v>
      </c>
      <c r="P1436" s="47" t="b">
        <v>1</v>
      </c>
      <c r="Q1436" s="36">
        <f t="shared" si="24"/>
        <v>45723.49077</v>
      </c>
      <c r="R1436" s="47" t="b">
        <v>0</v>
      </c>
      <c r="S1436" s="42" t="str">
        <f t="shared" si="28"/>
        <v/>
      </c>
      <c r="T1436" s="42"/>
    </row>
    <row r="1437" ht="22.5" customHeight="1">
      <c r="B1437" s="42">
        <f t="shared" si="7"/>
        <v>1431</v>
      </c>
      <c r="C1437" s="31" t="s">
        <v>1566</v>
      </c>
      <c r="D1437" s="34" t="str">
        <f t="array" ref="D1437">IFNA(_xlfn.XLOOKUP(C1437,Table_Tarikan_Warkah[Nomor Sertipikat],Table_Tarikan_Warkah[Nomor Tiket]),"")</f>
        <v>K/34/070225/1</v>
      </c>
      <c r="E1437" s="36">
        <f t="array" ref="E1437">IFNA(_xlfn.XLOOKUP(D1437,Table_Tarikan_Warkah[Nomor Tiket],Table_Tarikan_Warkah[Tanggal diserahkan kepada Validator]),"")</f>
        <v>45727.49818</v>
      </c>
      <c r="F1437" s="36" t="str">
        <f t="array" ref="F1437">IFNA(_xlfn.XLOOKUP(D1437,Table_Tarikan_Warkah[Nomor Tiket],Table_Tarikan_Warkah[Nama Petugas Warkah]),"")</f>
        <v/>
      </c>
      <c r="G1437" s="39" t="str">
        <f t="array" ref="G1437">IFNA(_xlfn.XLOOKUP(D1437,Table_Tarikan_Warkah[Nomor Tiket],Table_Tarikan_Warkah[Jenis Permohonan]),"")</f>
        <v>BN JUAL BELI</v>
      </c>
      <c r="H1437" s="41" t="s">
        <v>11</v>
      </c>
      <c r="I1437" s="49" t="s">
        <v>23</v>
      </c>
      <c r="J1437" s="36">
        <f t="shared" si="20"/>
        <v>45722.55701</v>
      </c>
      <c r="K1437" s="49" t="s">
        <v>197</v>
      </c>
      <c r="L1437" s="49" t="s">
        <v>23</v>
      </c>
      <c r="M1437" s="36">
        <f t="shared" si="26"/>
        <v>45723.45714</v>
      </c>
      <c r="N1437" s="30" t="str">
        <f t="shared" si="27"/>
        <v>Selesai</v>
      </c>
      <c r="O1437" s="45">
        <f t="shared" si="23"/>
        <v>45723.45714</v>
      </c>
      <c r="P1437" s="47" t="b">
        <v>1</v>
      </c>
      <c r="Q1437" s="36">
        <f t="shared" si="24"/>
        <v>45723.49078</v>
      </c>
      <c r="R1437" s="47" t="b">
        <v>0</v>
      </c>
      <c r="S1437" s="42" t="str">
        <f t="shared" si="28"/>
        <v/>
      </c>
      <c r="T1437" s="42"/>
    </row>
    <row r="1438" ht="22.5" customHeight="1">
      <c r="B1438" s="42">
        <f t="shared" si="7"/>
        <v>1432</v>
      </c>
      <c r="C1438" s="31" t="s">
        <v>1567</v>
      </c>
      <c r="D1438" s="34" t="str">
        <f t="array" ref="D1438">IFNA(_xlfn.XLOOKUP(C1438,Table_Tarikan_Warkah[Nomor Sertipikat],Table_Tarikan_Warkah[Nomor Tiket]),"")</f>
        <v>L/10/030325/1</v>
      </c>
      <c r="E1438" s="36">
        <f t="array" ref="E1438">IFNA(_xlfn.XLOOKUP(D1438,Table_Tarikan_Warkah[Nomor Tiket],Table_Tarikan_Warkah[Tanggal diserahkan kepada Validator]),"")</f>
        <v>45763.55139</v>
      </c>
      <c r="F1438" s="36" t="str">
        <f t="array" ref="F1438">IFNA(_xlfn.XLOOKUP(D1438,Table_Tarikan_Warkah[Nomor Tiket],Table_Tarikan_Warkah[Nama Petugas Warkah]),"")</f>
        <v/>
      </c>
      <c r="G1438" s="39" t="str">
        <f t="array" ref="G1438">IFNA(_xlfn.XLOOKUP(D1438,Table_Tarikan_Warkah[Nomor Tiket],Table_Tarikan_Warkah[Jenis Permohonan]),"")</f>
        <v>ROYA</v>
      </c>
      <c r="H1438" s="41" t="s">
        <v>11</v>
      </c>
      <c r="I1438" s="49" t="s">
        <v>23</v>
      </c>
      <c r="J1438" s="36">
        <f t="shared" si="20"/>
        <v>45722.55701</v>
      </c>
      <c r="K1438" s="49" t="s">
        <v>197</v>
      </c>
      <c r="L1438" s="49" t="s">
        <v>23</v>
      </c>
      <c r="M1438" s="36">
        <f t="shared" si="26"/>
        <v>45723.45714</v>
      </c>
      <c r="N1438" s="30" t="str">
        <f t="shared" si="27"/>
        <v>Selesai</v>
      </c>
      <c r="O1438" s="45">
        <f t="shared" si="23"/>
        <v>45723.45714</v>
      </c>
      <c r="P1438" s="47" t="b">
        <v>1</v>
      </c>
      <c r="Q1438" s="36">
        <f t="shared" si="24"/>
        <v>45723.49079</v>
      </c>
      <c r="R1438" s="47" t="b">
        <v>0</v>
      </c>
      <c r="S1438" s="42" t="str">
        <f t="shared" si="28"/>
        <v/>
      </c>
      <c r="T1438" s="42"/>
    </row>
    <row r="1439" ht="22.5" customHeight="1">
      <c r="B1439" s="42">
        <f t="shared" si="7"/>
        <v>1433</v>
      </c>
      <c r="C1439" s="31" t="s">
        <v>1568</v>
      </c>
      <c r="D1439" s="34" t="str">
        <f t="array" ref="D1439">IFNA(_xlfn.XLOOKUP(C1439,Table_Tarikan_Warkah[Nomor Sertipikat],Table_Tarikan_Warkah[Nomor Tiket]),"")</f>
        <v>K/3/210225/1</v>
      </c>
      <c r="E1439" s="36">
        <f t="array" ref="E1439">IFNA(_xlfn.XLOOKUP(D1439,Table_Tarikan_Warkah[Nomor Tiket],Table_Tarikan_Warkah[Tanggal diserahkan kepada Validator]),"")</f>
        <v>45723.48206</v>
      </c>
      <c r="F1439" s="36" t="str">
        <f t="array" ref="F1439">IFNA(_xlfn.XLOOKUP(D1439,Table_Tarikan_Warkah[Nomor Tiket],Table_Tarikan_Warkah[Nama Petugas Warkah]),"")</f>
        <v/>
      </c>
      <c r="G1439" s="39" t="str">
        <f t="array" ref="G1439">IFNA(_xlfn.XLOOKUP(D1439,Table_Tarikan_Warkah[Nomor Tiket],Table_Tarikan_Warkah[Jenis Permohonan]),"")</f>
        <v>BN JUAL BELI</v>
      </c>
      <c r="H1439" s="41" t="s">
        <v>20</v>
      </c>
      <c r="I1439" s="49" t="s">
        <v>23</v>
      </c>
      <c r="J1439" s="36">
        <f t="shared" si="20"/>
        <v>45722.55354</v>
      </c>
      <c r="K1439" s="49" t="s">
        <v>197</v>
      </c>
      <c r="L1439" s="49" t="s">
        <v>23</v>
      </c>
      <c r="M1439" s="36">
        <f t="shared" si="26"/>
        <v>45722.55361</v>
      </c>
      <c r="N1439" s="30" t="str">
        <f t="shared" si="27"/>
        <v>Selesai</v>
      </c>
      <c r="O1439" s="45">
        <f t="shared" si="23"/>
        <v>45722.55361</v>
      </c>
      <c r="P1439" s="47" t="b">
        <v>1</v>
      </c>
      <c r="Q1439" s="36">
        <f t="shared" si="24"/>
        <v>45722.55363</v>
      </c>
      <c r="R1439" s="47" t="b">
        <v>0</v>
      </c>
      <c r="S1439" s="42" t="str">
        <f t="shared" si="28"/>
        <v/>
      </c>
      <c r="T1439" s="42"/>
    </row>
    <row r="1440" ht="22.5" customHeight="1">
      <c r="B1440" s="42">
        <f t="shared" si="7"/>
        <v>1434</v>
      </c>
      <c r="C1440" s="31" t="s">
        <v>1569</v>
      </c>
      <c r="D1440" s="34" t="str">
        <f t="array" ref="D1440">IFNA(_xlfn.XLOOKUP(C1440,Table_Tarikan_Warkah[Nomor Sertipikat],Table_Tarikan_Warkah[Nomor Tiket]),"")</f>
        <v>L/28/210225/1</v>
      </c>
      <c r="E1440" s="36">
        <f t="array" ref="E1440">IFNA(_xlfn.XLOOKUP(D1440,Table_Tarikan_Warkah[Nomor Tiket],Table_Tarikan_Warkah[Tanggal diserahkan kepada Validator]),"")</f>
        <v>45723.48232</v>
      </c>
      <c r="F1440" s="36" t="str">
        <f t="array" ref="F1440">IFNA(_xlfn.XLOOKUP(D1440,Table_Tarikan_Warkah[Nomor Tiket],Table_Tarikan_Warkah[Nama Petugas Warkah]),"")</f>
        <v/>
      </c>
      <c r="G1440" s="39" t="str">
        <f t="array" ref="G1440">IFNA(_xlfn.XLOOKUP(D1440,Table_Tarikan_Warkah[Nomor Tiket],Table_Tarikan_Warkah[Jenis Permohonan]),"")</f>
        <v>BN WARIS</v>
      </c>
      <c r="H1440" s="41" t="s">
        <v>20</v>
      </c>
      <c r="I1440" s="49" t="s">
        <v>23</v>
      </c>
      <c r="J1440" s="36">
        <f t="shared" si="20"/>
        <v>45722.55404</v>
      </c>
      <c r="K1440" s="49" t="s">
        <v>197</v>
      </c>
      <c r="L1440" s="49" t="s">
        <v>23</v>
      </c>
      <c r="M1440" s="36">
        <f t="shared" si="26"/>
        <v>45723.45733</v>
      </c>
      <c r="N1440" s="30" t="str">
        <f t="shared" si="27"/>
        <v>Selesai</v>
      </c>
      <c r="O1440" s="45">
        <f t="shared" si="23"/>
        <v>45723.45733</v>
      </c>
      <c r="P1440" s="47" t="b">
        <v>1</v>
      </c>
      <c r="Q1440" s="36">
        <f t="shared" si="24"/>
        <v>45723.49081</v>
      </c>
      <c r="R1440" s="47" t="b">
        <v>0</v>
      </c>
      <c r="S1440" s="42" t="str">
        <f t="shared" si="28"/>
        <v/>
      </c>
      <c r="T1440" s="42"/>
    </row>
    <row r="1441" ht="22.5" customHeight="1">
      <c r="B1441" s="42">
        <f t="shared" si="7"/>
        <v>1435</v>
      </c>
      <c r="C1441" s="31" t="s">
        <v>1570</v>
      </c>
      <c r="D1441" s="34" t="str">
        <f t="array" ref="D1441">IFNA(_xlfn.XLOOKUP(C1441,Table_Tarikan_Warkah[Nomor Sertipikat],Table_Tarikan_Warkah[Nomor Tiket]),"")</f>
        <v>K/2/250225/2</v>
      </c>
      <c r="E1441" s="36">
        <f t="array" ref="E1441">IFNA(_xlfn.XLOOKUP(D1441,Table_Tarikan_Warkah[Nomor Tiket],Table_Tarikan_Warkah[Tanggal diserahkan kepada Validator]),"")</f>
        <v>45730.40118</v>
      </c>
      <c r="F1441" s="36" t="str">
        <f t="array" ref="F1441">IFNA(_xlfn.XLOOKUP(D1441,Table_Tarikan_Warkah[Nomor Tiket],Table_Tarikan_Warkah[Nama Petugas Warkah]),"")</f>
        <v/>
      </c>
      <c r="G1441" s="39" t="str">
        <f t="array" ref="G1441">IFNA(_xlfn.XLOOKUP(D1441,Table_Tarikan_Warkah[Nomor Tiket],Table_Tarikan_Warkah[Jenis Permohonan]),"")</f>
        <v>BN JUAL BELI</v>
      </c>
      <c r="H1441" s="41" t="s">
        <v>20</v>
      </c>
      <c r="I1441" s="49" t="s">
        <v>23</v>
      </c>
      <c r="J1441" s="36">
        <f t="shared" si="20"/>
        <v>45722.57169</v>
      </c>
      <c r="K1441" s="49" t="s">
        <v>197</v>
      </c>
      <c r="L1441" s="49" t="s">
        <v>23</v>
      </c>
      <c r="M1441" s="36">
        <f t="shared" si="26"/>
        <v>45723.4573</v>
      </c>
      <c r="N1441" s="30" t="str">
        <f t="shared" si="27"/>
        <v>Selesai</v>
      </c>
      <c r="O1441" s="45">
        <f t="shared" si="23"/>
        <v>45723.4573</v>
      </c>
      <c r="P1441" s="47" t="b">
        <v>1</v>
      </c>
      <c r="Q1441" s="36">
        <f t="shared" si="24"/>
        <v>45723.49081</v>
      </c>
      <c r="R1441" s="47" t="b">
        <v>0</v>
      </c>
      <c r="S1441" s="42" t="str">
        <f t="shared" si="28"/>
        <v/>
      </c>
      <c r="T1441" s="42"/>
    </row>
    <row r="1442" ht="22.5" customHeight="1">
      <c r="B1442" s="42">
        <f t="shared" si="7"/>
        <v>1436</v>
      </c>
      <c r="C1442" s="31" t="s">
        <v>1571</v>
      </c>
      <c r="D1442" s="34" t="str">
        <f t="array" ref="D1442">IFNA(_xlfn.XLOOKUP(C1442,Table_Tarikan_Warkah[Nomor Sertipikat],Table_Tarikan_Warkah[Nomor Tiket]),"")</f>
        <v>K/5/040325/1</v>
      </c>
      <c r="E1442" s="36">
        <f t="array" ref="E1442">IFNA(_xlfn.XLOOKUP(D1442,Table_Tarikan_Warkah[Nomor Tiket],Table_Tarikan_Warkah[Tanggal diserahkan kepada Validator]),"")</f>
        <v>45730.39704</v>
      </c>
      <c r="F1442" s="36" t="str">
        <f t="array" ref="F1442">IFNA(_xlfn.XLOOKUP(D1442,Table_Tarikan_Warkah[Nomor Tiket],Table_Tarikan_Warkah[Nama Petugas Warkah]),"")</f>
        <v/>
      </c>
      <c r="G1442" s="39" t="str">
        <f t="array" ref="G1442">IFNA(_xlfn.XLOOKUP(D1442,Table_Tarikan_Warkah[Nomor Tiket],Table_Tarikan_Warkah[Jenis Permohonan]),"")</f>
        <v>BN HIBAH</v>
      </c>
      <c r="H1442" s="41" t="s">
        <v>20</v>
      </c>
      <c r="I1442" s="49" t="s">
        <v>23</v>
      </c>
      <c r="J1442" s="36">
        <f t="shared" si="20"/>
        <v>45722.57178</v>
      </c>
      <c r="K1442" s="49" t="s">
        <v>197</v>
      </c>
      <c r="L1442" s="49" t="s">
        <v>23</v>
      </c>
      <c r="M1442" s="36">
        <f t="shared" si="26"/>
        <v>45723.4573</v>
      </c>
      <c r="N1442" s="30" t="str">
        <f t="shared" si="27"/>
        <v>Selesai</v>
      </c>
      <c r="O1442" s="45">
        <f t="shared" si="23"/>
        <v>45723.4573</v>
      </c>
      <c r="P1442" s="47" t="b">
        <v>1</v>
      </c>
      <c r="Q1442" s="36">
        <f t="shared" si="24"/>
        <v>45723.49082</v>
      </c>
      <c r="R1442" s="47" t="b">
        <v>0</v>
      </c>
      <c r="S1442" s="42" t="str">
        <f t="shared" si="28"/>
        <v/>
      </c>
      <c r="T1442" s="42"/>
    </row>
    <row r="1443" ht="22.5" customHeight="1">
      <c r="B1443" s="42">
        <f t="shared" si="7"/>
        <v>1437</v>
      </c>
      <c r="C1443" s="31" t="s">
        <v>1572</v>
      </c>
      <c r="D1443" s="34" t="str">
        <f t="array" ref="D1443">IFNA(_xlfn.XLOOKUP(C1443,Table_Tarikan_Warkah[Nomor Sertipikat],Table_Tarikan_Warkah[Nomor Tiket]),"")</f>
        <v>K/13/210225/3</v>
      </c>
      <c r="E1443" s="36">
        <f t="array" ref="E1443">IFNA(_xlfn.XLOOKUP(D1443,Table_Tarikan_Warkah[Nomor Tiket],Table_Tarikan_Warkah[Tanggal diserahkan kepada Validator]),"")</f>
        <v>45730.39645</v>
      </c>
      <c r="F1443" s="36" t="str">
        <f t="array" ref="F1443">IFNA(_xlfn.XLOOKUP(D1443,Table_Tarikan_Warkah[Nomor Tiket],Table_Tarikan_Warkah[Nama Petugas Warkah]),"")</f>
        <v/>
      </c>
      <c r="G1443" s="39" t="str">
        <f t="array" ref="G1443">IFNA(_xlfn.XLOOKUP(D1443,Table_Tarikan_Warkah[Nomor Tiket],Table_Tarikan_Warkah[Jenis Permohonan]),"")</f>
        <v>BN JUAL BELI</v>
      </c>
      <c r="H1443" s="41" t="s">
        <v>20</v>
      </c>
      <c r="I1443" s="49" t="s">
        <v>23</v>
      </c>
      <c r="J1443" s="36">
        <f t="shared" si="20"/>
        <v>45722.57188</v>
      </c>
      <c r="K1443" s="49" t="s">
        <v>197</v>
      </c>
      <c r="L1443" s="49" t="s">
        <v>23</v>
      </c>
      <c r="M1443" s="36">
        <f t="shared" si="26"/>
        <v>45723.4573</v>
      </c>
      <c r="N1443" s="30" t="str">
        <f t="shared" si="27"/>
        <v>Selesai</v>
      </c>
      <c r="O1443" s="45">
        <f t="shared" si="23"/>
        <v>45723.4573</v>
      </c>
      <c r="P1443" s="47" t="b">
        <v>1</v>
      </c>
      <c r="Q1443" s="36">
        <f t="shared" si="24"/>
        <v>45723.49083</v>
      </c>
      <c r="R1443" s="47" t="b">
        <v>0</v>
      </c>
      <c r="S1443" s="42" t="str">
        <f t="shared" si="28"/>
        <v/>
      </c>
      <c r="T1443" s="42"/>
    </row>
    <row r="1444" ht="22.5" customHeight="1">
      <c r="B1444" s="42">
        <f t="shared" si="7"/>
        <v>1438</v>
      </c>
      <c r="C1444" s="31" t="s">
        <v>1573</v>
      </c>
      <c r="D1444" s="34" t="str">
        <f t="array" ref="D1444">IFNA(_xlfn.XLOOKUP(C1444,Table_Tarikan_Warkah[Nomor Sertipikat],Table_Tarikan_Warkah[Nomor Tiket]),"")</f>
        <v>L/13/040325/1</v>
      </c>
      <c r="E1444" s="36">
        <f t="array" ref="E1444">IFNA(_xlfn.XLOOKUP(D1444,Table_Tarikan_Warkah[Nomor Tiket],Table_Tarikan_Warkah[Tanggal diserahkan kepada Validator]),"")</f>
        <v>45727.49366</v>
      </c>
      <c r="F1444" s="36" t="str">
        <f t="array" ref="F1444">IFNA(_xlfn.XLOOKUP(D1444,Table_Tarikan_Warkah[Nomor Tiket],Table_Tarikan_Warkah[Nama Petugas Warkah]),"")</f>
        <v/>
      </c>
      <c r="G1444" s="39" t="str">
        <f t="array" ref="G1444">IFNA(_xlfn.XLOOKUP(D1444,Table_Tarikan_Warkah[Nomor Tiket],Table_Tarikan_Warkah[Jenis Permohonan]),"")</f>
        <v>BN LELANG</v>
      </c>
      <c r="H1444" s="41" t="s">
        <v>20</v>
      </c>
      <c r="I1444" s="49" t="s">
        <v>23</v>
      </c>
      <c r="J1444" s="36">
        <f t="shared" si="20"/>
        <v>45723.45401</v>
      </c>
      <c r="K1444" s="49" t="s">
        <v>197</v>
      </c>
      <c r="L1444" s="49" t="s">
        <v>23</v>
      </c>
      <c r="M1444" s="36">
        <f t="shared" si="26"/>
        <v>45723.45401</v>
      </c>
      <c r="N1444" s="30" t="str">
        <f t="shared" si="27"/>
        <v>Selesai</v>
      </c>
      <c r="O1444" s="45">
        <f t="shared" si="23"/>
        <v>45723.45401</v>
      </c>
      <c r="P1444" s="47" t="b">
        <v>1</v>
      </c>
      <c r="Q1444" s="36">
        <f t="shared" si="24"/>
        <v>45723.45401</v>
      </c>
      <c r="R1444" s="47" t="b">
        <v>0</v>
      </c>
      <c r="S1444" s="42" t="str">
        <f t="shared" si="28"/>
        <v/>
      </c>
      <c r="T1444" s="42"/>
    </row>
    <row r="1445" ht="22.5" customHeight="1">
      <c r="B1445" s="42">
        <f t="shared" si="7"/>
        <v>1439</v>
      </c>
      <c r="C1445" s="31" t="s">
        <v>1574</v>
      </c>
      <c r="D1445" s="34" t="str">
        <f t="array" ref="D1445">IFNA(_xlfn.XLOOKUP(C1445,Table_Tarikan_Warkah[Nomor Sertipikat],Table_Tarikan_Warkah[Nomor Tiket]),"")</f>
        <v>K/27/050325/1</v>
      </c>
      <c r="E1445" s="36">
        <f t="array" ref="E1445">IFNA(_xlfn.XLOOKUP(D1445,Table_Tarikan_Warkah[Nomor Tiket],Table_Tarikan_Warkah[Tanggal diserahkan kepada Validator]),"")</f>
        <v>45728.63903</v>
      </c>
      <c r="F1445" s="36" t="str">
        <f t="array" ref="F1445">IFNA(_xlfn.XLOOKUP(D1445,Table_Tarikan_Warkah[Nomor Tiket],Table_Tarikan_Warkah[Nama Petugas Warkah]),"")</f>
        <v/>
      </c>
      <c r="G1445" s="39" t="str">
        <f t="array" ref="G1445">IFNA(_xlfn.XLOOKUP(D1445,Table_Tarikan_Warkah[Nomor Tiket],Table_Tarikan_Warkah[Jenis Permohonan]),"")</f>
        <v>BN JUAL BELI </v>
      </c>
      <c r="H1445" s="41" t="s">
        <v>11</v>
      </c>
      <c r="I1445" s="49" t="s">
        <v>23</v>
      </c>
      <c r="J1445" s="36">
        <f t="shared" si="20"/>
        <v>45727.56721</v>
      </c>
      <c r="K1445" s="49" t="s">
        <v>197</v>
      </c>
      <c r="L1445" s="49" t="s">
        <v>23</v>
      </c>
      <c r="M1445" s="36">
        <f t="shared" si="26"/>
        <v>45726.62195</v>
      </c>
      <c r="N1445" s="30" t="str">
        <f t="shared" si="27"/>
        <v>Selesai</v>
      </c>
      <c r="O1445" s="45">
        <f t="shared" si="23"/>
        <v>45726.62195</v>
      </c>
      <c r="P1445" s="47" t="b">
        <v>1</v>
      </c>
      <c r="Q1445" s="36">
        <f t="shared" si="24"/>
        <v>45726.62207</v>
      </c>
      <c r="R1445" s="47" t="b">
        <v>0</v>
      </c>
      <c r="S1445" s="42" t="str">
        <f t="shared" si="28"/>
        <v/>
      </c>
      <c r="T1445" s="42"/>
    </row>
    <row r="1446" ht="22.5" customHeight="1">
      <c r="B1446" s="42">
        <f t="shared" si="7"/>
        <v>1440</v>
      </c>
      <c r="C1446" s="31" t="s">
        <v>1575</v>
      </c>
      <c r="D1446" s="34" t="str">
        <f t="array" ref="D1446">IFNA(_xlfn.XLOOKUP(C1446,Table_Tarikan_Warkah[Nomor Sertipikat],Table_Tarikan_Warkah[Nomor Tiket]),"")</f>
        <v>K/18/210225/1</v>
      </c>
      <c r="E1446" s="36">
        <f t="array" ref="E1446">IFNA(_xlfn.XLOOKUP(D1446,Table_Tarikan_Warkah[Nomor Tiket],Table_Tarikan_Warkah[Tanggal diserahkan kepada Validator]),"")</f>
        <v>45741.52383</v>
      </c>
      <c r="F1446" s="36" t="str">
        <f t="array" ref="F1446">IFNA(_xlfn.XLOOKUP(D1446,Table_Tarikan_Warkah[Nomor Tiket],Table_Tarikan_Warkah[Nama Petugas Warkah]),"")</f>
        <v/>
      </c>
      <c r="G1446" s="39" t="str">
        <f t="array" ref="G1446">IFNA(_xlfn.XLOOKUP(D1446,Table_Tarikan_Warkah[Nomor Tiket],Table_Tarikan_Warkah[Jenis Permohonan]),"")</f>
        <v>ROYA</v>
      </c>
      <c r="H1446" s="41" t="s">
        <v>11</v>
      </c>
      <c r="I1446" s="49" t="s">
        <v>23</v>
      </c>
      <c r="J1446" s="36">
        <f t="shared" si="20"/>
        <v>45727.56725</v>
      </c>
      <c r="K1446" s="49" t="s">
        <v>197</v>
      </c>
      <c r="L1446" s="49" t="s">
        <v>23</v>
      </c>
      <c r="M1446" s="36">
        <f t="shared" si="26"/>
        <v>45726.62195</v>
      </c>
      <c r="N1446" s="30" t="str">
        <f t="shared" si="27"/>
        <v>Selesai</v>
      </c>
      <c r="O1446" s="45">
        <f t="shared" si="23"/>
        <v>45726.62195</v>
      </c>
      <c r="P1446" s="47" t="b">
        <v>1</v>
      </c>
      <c r="Q1446" s="36">
        <f t="shared" si="24"/>
        <v>45726.62208</v>
      </c>
      <c r="R1446" s="47" t="b">
        <v>0</v>
      </c>
      <c r="S1446" s="42" t="str">
        <f t="shared" si="28"/>
        <v/>
      </c>
      <c r="T1446" s="42"/>
    </row>
    <row r="1447" ht="22.5" customHeight="1">
      <c r="B1447" s="42">
        <f t="shared" si="7"/>
        <v>1441</v>
      </c>
      <c r="C1447" s="31" t="s">
        <v>1576</v>
      </c>
      <c r="D1447" s="34" t="str">
        <f t="array" ref="D1447">IFNA(_xlfn.XLOOKUP(C1447,Table_Tarikan_Warkah[Nomor Sertipikat],Table_Tarikan_Warkah[Nomor Tiket]),"")</f>
        <v>K/30/280225/1</v>
      </c>
      <c r="E1447" s="36" t="str">
        <f t="array" ref="E1447">IFNA(_xlfn.XLOOKUP(D1447,Table_Tarikan_Warkah[Nomor Tiket],Table_Tarikan_Warkah[Tanggal diserahkan kepada Validator]),"")</f>
        <v/>
      </c>
      <c r="F1447" s="36" t="str">
        <f t="array" ref="F1447">IFNA(_xlfn.XLOOKUP(D1447,Table_Tarikan_Warkah[Nomor Tiket],Table_Tarikan_Warkah[Nama Petugas Warkah]),"")</f>
        <v/>
      </c>
      <c r="G1447" s="39" t="str">
        <f t="array" ref="G1447">IFNA(_xlfn.XLOOKUP(D1447,Table_Tarikan_Warkah[Nomor Tiket],Table_Tarikan_Warkah[Jenis Permohonan]),"")</f>
        <v>BN Jual Beli</v>
      </c>
      <c r="H1447" s="41" t="s">
        <v>11</v>
      </c>
      <c r="I1447" s="49" t="s">
        <v>23</v>
      </c>
      <c r="J1447" s="36">
        <f t="shared" si="20"/>
        <v>45727.56725</v>
      </c>
      <c r="K1447" s="49" t="s">
        <v>197</v>
      </c>
      <c r="L1447" s="49" t="s">
        <v>23</v>
      </c>
      <c r="M1447" s="36">
        <f t="shared" si="26"/>
        <v>45726.62195</v>
      </c>
      <c r="N1447" s="30" t="str">
        <f t="shared" si="27"/>
        <v>Selesai</v>
      </c>
      <c r="O1447" s="45">
        <f t="shared" si="23"/>
        <v>45726.62195</v>
      </c>
      <c r="P1447" s="47" t="b">
        <v>1</v>
      </c>
      <c r="Q1447" s="36">
        <f t="shared" si="24"/>
        <v>45726.6221</v>
      </c>
      <c r="R1447" s="47" t="b">
        <v>0</v>
      </c>
      <c r="S1447" s="42" t="str">
        <f t="shared" si="28"/>
        <v/>
      </c>
      <c r="T1447" s="42"/>
    </row>
    <row r="1448" ht="22.5" customHeight="1">
      <c r="B1448" s="42">
        <f t="shared" si="7"/>
        <v>1442</v>
      </c>
      <c r="C1448" s="31" t="s">
        <v>1577</v>
      </c>
      <c r="D1448" s="34" t="str">
        <f t="array" ref="D1448">IFNA(_xlfn.XLOOKUP(C1448,Table_Tarikan_Warkah[Nomor Sertipikat],Table_Tarikan_Warkah[Nomor Tiket]),"")</f>
        <v>K/39/250225/3</v>
      </c>
      <c r="E1448" s="36">
        <f t="array" ref="E1448">IFNA(_xlfn.XLOOKUP(D1448,Table_Tarikan_Warkah[Nomor Tiket],Table_Tarikan_Warkah[Tanggal diserahkan kepada Validator]),"")</f>
        <v>45730.39796</v>
      </c>
      <c r="F1448" s="36" t="str">
        <f t="array" ref="F1448">IFNA(_xlfn.XLOOKUP(D1448,Table_Tarikan_Warkah[Nomor Tiket],Table_Tarikan_Warkah[Nama Petugas Warkah]),"")</f>
        <v/>
      </c>
      <c r="G1448" s="39" t="str">
        <f t="array" ref="G1448">IFNA(_xlfn.XLOOKUP(D1448,Table_Tarikan_Warkah[Nomor Tiket],Table_Tarikan_Warkah[Jenis Permohonan]),"")</f>
        <v>BN Jual Beli</v>
      </c>
      <c r="H1448" s="41" t="s">
        <v>11</v>
      </c>
      <c r="I1448" s="49" t="s">
        <v>23</v>
      </c>
      <c r="J1448" s="36">
        <f t="shared" si="20"/>
        <v>45727.56725</v>
      </c>
      <c r="K1448" s="49" t="s">
        <v>197</v>
      </c>
      <c r="L1448" s="49" t="s">
        <v>23</v>
      </c>
      <c r="M1448" s="36">
        <f t="shared" si="26"/>
        <v>45726.62195</v>
      </c>
      <c r="N1448" s="30" t="str">
        <f t="shared" si="27"/>
        <v>Selesai</v>
      </c>
      <c r="O1448" s="45">
        <f t="shared" si="23"/>
        <v>45726.62195</v>
      </c>
      <c r="P1448" s="47" t="b">
        <v>1</v>
      </c>
      <c r="Q1448" s="36">
        <f t="shared" si="24"/>
        <v>45726.62211</v>
      </c>
      <c r="R1448" s="47" t="b">
        <v>0</v>
      </c>
      <c r="S1448" s="42" t="str">
        <f t="shared" si="28"/>
        <v/>
      </c>
      <c r="T1448" s="42"/>
    </row>
    <row r="1449" ht="22.5" customHeight="1">
      <c r="B1449" s="42">
        <f t="shared" si="7"/>
        <v>1443</v>
      </c>
      <c r="C1449" s="31" t="s">
        <v>1578</v>
      </c>
      <c r="D1449" s="34" t="str">
        <f t="array" ref="D1449">IFNA(_xlfn.XLOOKUP(C1449,Table_Tarikan_Warkah[Nomor Sertipikat],Table_Tarikan_Warkah[Nomor Tiket]),"")</f>
        <v>K/24/270225/1</v>
      </c>
      <c r="E1449" s="36">
        <f t="array" ref="E1449">IFNA(_xlfn.XLOOKUP(D1449,Table_Tarikan_Warkah[Nomor Tiket],Table_Tarikan_Warkah[Tanggal diserahkan kepada Validator]),"")</f>
        <v>45723.48008</v>
      </c>
      <c r="F1449" s="36" t="str">
        <f t="array" ref="F1449">IFNA(_xlfn.XLOOKUP(D1449,Table_Tarikan_Warkah[Nomor Tiket],Table_Tarikan_Warkah[Nama Petugas Warkah]),"")</f>
        <v/>
      </c>
      <c r="G1449" s="39" t="str">
        <f t="array" ref="G1449">IFNA(_xlfn.XLOOKUP(D1449,Table_Tarikan_Warkah[Nomor Tiket],Table_Tarikan_Warkah[Jenis Permohonan]),"")</f>
        <v>BN JUAL BELI</v>
      </c>
      <c r="H1449" s="41" t="s">
        <v>11</v>
      </c>
      <c r="I1449" s="49" t="s">
        <v>23</v>
      </c>
      <c r="J1449" s="36">
        <f t="shared" si="20"/>
        <v>45727.56725</v>
      </c>
      <c r="K1449" s="49" t="s">
        <v>197</v>
      </c>
      <c r="L1449" s="49" t="s">
        <v>23</v>
      </c>
      <c r="M1449" s="36">
        <f t="shared" si="26"/>
        <v>45726.62195</v>
      </c>
      <c r="N1449" s="30" t="str">
        <f t="shared" si="27"/>
        <v>Selesai</v>
      </c>
      <c r="O1449" s="45">
        <f t="shared" si="23"/>
        <v>45726.62195</v>
      </c>
      <c r="P1449" s="47" t="b">
        <v>1</v>
      </c>
      <c r="Q1449" s="36">
        <f t="shared" si="24"/>
        <v>45726.62213</v>
      </c>
      <c r="R1449" s="47" t="b">
        <v>0</v>
      </c>
      <c r="S1449" s="42" t="str">
        <f t="shared" si="28"/>
        <v/>
      </c>
      <c r="T1449" s="42"/>
    </row>
    <row r="1450" ht="22.5" customHeight="1">
      <c r="B1450" s="42">
        <f t="shared" si="7"/>
        <v>1444</v>
      </c>
      <c r="C1450" s="31" t="s">
        <v>1579</v>
      </c>
      <c r="D1450" s="34" t="str">
        <f t="array" ref="D1450">IFNA(_xlfn.XLOOKUP(C1450,Table_Tarikan_Warkah[Nomor Sertipikat],Table_Tarikan_Warkah[Nomor Tiket]),"")</f>
        <v>K/22/050325/1</v>
      </c>
      <c r="E1450" s="36">
        <f t="array" ref="E1450">IFNA(_xlfn.XLOOKUP(D1450,Table_Tarikan_Warkah[Nomor Tiket],Table_Tarikan_Warkah[Tanggal diserahkan kepada Validator]),"")</f>
        <v>45728.63932</v>
      </c>
      <c r="F1450" s="36" t="str">
        <f t="array" ref="F1450">IFNA(_xlfn.XLOOKUP(D1450,Table_Tarikan_Warkah[Nomor Tiket],Table_Tarikan_Warkah[Nama Petugas Warkah]),"")</f>
        <v/>
      </c>
      <c r="G1450" s="39" t="str">
        <f t="array" ref="G1450">IFNA(_xlfn.XLOOKUP(D1450,Table_Tarikan_Warkah[Nomor Tiket],Table_Tarikan_Warkah[Jenis Permohonan]),"")</f>
        <v>BN JUAL BELI</v>
      </c>
      <c r="H1450" s="41" t="s">
        <v>11</v>
      </c>
      <c r="I1450" s="49" t="s">
        <v>23</v>
      </c>
      <c r="J1450" s="36">
        <f t="shared" si="20"/>
        <v>45727.56725</v>
      </c>
      <c r="K1450" s="49" t="s">
        <v>197</v>
      </c>
      <c r="L1450" s="49" t="s">
        <v>23</v>
      </c>
      <c r="M1450" s="36">
        <f t="shared" si="26"/>
        <v>45726.62195</v>
      </c>
      <c r="N1450" s="30" t="str">
        <f t="shared" si="27"/>
        <v>Selesai</v>
      </c>
      <c r="O1450" s="45">
        <f t="shared" si="23"/>
        <v>45726.62195</v>
      </c>
      <c r="P1450" s="47" t="b">
        <v>1</v>
      </c>
      <c r="Q1450" s="36">
        <f t="shared" si="24"/>
        <v>45726.62214</v>
      </c>
      <c r="R1450" s="47" t="b">
        <v>0</v>
      </c>
      <c r="S1450" s="42" t="str">
        <f t="shared" si="28"/>
        <v/>
      </c>
      <c r="T1450" s="42"/>
    </row>
    <row r="1451" ht="22.5" customHeight="1">
      <c r="B1451" s="42">
        <f t="shared" si="7"/>
        <v>1445</v>
      </c>
      <c r="C1451" s="31" t="s">
        <v>1580</v>
      </c>
      <c r="D1451" s="34" t="str">
        <f t="array" ref="D1451">IFNA(_xlfn.XLOOKUP(C1451,Table_Tarikan_Warkah[Nomor Sertipikat],Table_Tarikan_Warkah[Nomor Tiket]),"")</f>
        <v>K/41/240225/1</v>
      </c>
      <c r="E1451" s="36">
        <f t="array" ref="E1451">IFNA(_xlfn.XLOOKUP(D1451,Table_Tarikan_Warkah[Nomor Tiket],Table_Tarikan_Warkah[Tanggal diserahkan kepada Validator]),"")</f>
        <v>45728.63832</v>
      </c>
      <c r="F1451" s="36" t="str">
        <f t="array" ref="F1451">IFNA(_xlfn.XLOOKUP(D1451,Table_Tarikan_Warkah[Nomor Tiket],Table_Tarikan_Warkah[Nama Petugas Warkah]),"")</f>
        <v/>
      </c>
      <c r="G1451" s="39" t="str">
        <f t="array" ref="G1451">IFNA(_xlfn.XLOOKUP(D1451,Table_Tarikan_Warkah[Nomor Tiket],Table_Tarikan_Warkah[Jenis Permohonan]),"")</f>
        <v>BN JUAL BELI</v>
      </c>
      <c r="H1451" s="41" t="s">
        <v>11</v>
      </c>
      <c r="I1451" s="49" t="s">
        <v>23</v>
      </c>
      <c r="J1451" s="36">
        <f t="shared" si="20"/>
        <v>45727.56725</v>
      </c>
      <c r="K1451" s="49" t="s">
        <v>197</v>
      </c>
      <c r="L1451" s="49" t="s">
        <v>23</v>
      </c>
      <c r="M1451" s="36">
        <f t="shared" si="26"/>
        <v>45726.62195</v>
      </c>
      <c r="N1451" s="30" t="str">
        <f t="shared" si="27"/>
        <v>Selesai</v>
      </c>
      <c r="O1451" s="45">
        <f t="shared" si="23"/>
        <v>45726.62195</v>
      </c>
      <c r="P1451" s="47" t="b">
        <v>1</v>
      </c>
      <c r="Q1451" s="36">
        <f t="shared" si="24"/>
        <v>45726.62214</v>
      </c>
      <c r="R1451" s="47" t="b">
        <v>0</v>
      </c>
      <c r="S1451" s="42" t="str">
        <f t="shared" si="28"/>
        <v/>
      </c>
      <c r="T1451" s="42"/>
    </row>
    <row r="1452" ht="22.5" customHeight="1">
      <c r="B1452" s="42">
        <f t="shared" si="7"/>
        <v>1446</v>
      </c>
      <c r="C1452" s="31" t="s">
        <v>1581</v>
      </c>
      <c r="D1452" s="34" t="str">
        <f t="array" ref="D1452">IFNA(_xlfn.XLOOKUP(C1452,Table_Tarikan_Warkah[Nomor Sertipikat],Table_Tarikan_Warkah[Nomor Tiket]),"")</f>
        <v>K/21/250225/1</v>
      </c>
      <c r="E1452" s="36">
        <f t="array" ref="E1452">IFNA(_xlfn.XLOOKUP(D1452,Table_Tarikan_Warkah[Nomor Tiket],Table_Tarikan_Warkah[Tanggal diserahkan kepada Validator]),"")</f>
        <v>45730.40084</v>
      </c>
      <c r="F1452" s="36" t="str">
        <f t="array" ref="F1452">IFNA(_xlfn.XLOOKUP(D1452,Table_Tarikan_Warkah[Nomor Tiket],Table_Tarikan_Warkah[Nama Petugas Warkah]),"")</f>
        <v/>
      </c>
      <c r="G1452" s="39" t="str">
        <f t="array" ref="G1452">IFNA(_xlfn.XLOOKUP(D1452,Table_Tarikan_Warkah[Nomor Tiket],Table_Tarikan_Warkah[Jenis Permohonan]),"")</f>
        <v>BN Jual Beli</v>
      </c>
      <c r="H1452" s="41" t="s">
        <v>11</v>
      </c>
      <c r="I1452" s="49" t="s">
        <v>23</v>
      </c>
      <c r="J1452" s="36">
        <f t="shared" si="20"/>
        <v>45727.56725</v>
      </c>
      <c r="K1452" s="49" t="s">
        <v>197</v>
      </c>
      <c r="L1452" s="49" t="s">
        <v>23</v>
      </c>
      <c r="M1452" s="36">
        <f t="shared" si="26"/>
        <v>45726.62195</v>
      </c>
      <c r="N1452" s="30" t="str">
        <f t="shared" si="27"/>
        <v>Selesai</v>
      </c>
      <c r="O1452" s="45">
        <f t="shared" si="23"/>
        <v>45726.62195</v>
      </c>
      <c r="P1452" s="47" t="b">
        <v>1</v>
      </c>
      <c r="Q1452" s="36">
        <f t="shared" si="24"/>
        <v>45726.62215</v>
      </c>
      <c r="R1452" s="47" t="b">
        <v>0</v>
      </c>
      <c r="S1452" s="42" t="str">
        <f t="shared" si="28"/>
        <v/>
      </c>
      <c r="T1452" s="42"/>
    </row>
    <row r="1453" ht="22.5" customHeight="1">
      <c r="B1453" s="42">
        <f t="shared" si="7"/>
        <v>1447</v>
      </c>
      <c r="C1453" s="31" t="s">
        <v>1458</v>
      </c>
      <c r="D1453" s="34" t="str">
        <f t="array" ref="D1453">IFNA(_xlfn.XLOOKUP(C1453,Table_Tarikan_Warkah[Nomor Sertipikat],Table_Tarikan_Warkah[Nomor Tiket]),"")</f>
        <v>K/11/260225/3</v>
      </c>
      <c r="E1453" s="36">
        <f t="array" ref="E1453">IFNA(_xlfn.XLOOKUP(D1453,Table_Tarikan_Warkah[Nomor Tiket],Table_Tarikan_Warkah[Tanggal diserahkan kepada Validator]),"")</f>
        <v>45730.39663</v>
      </c>
      <c r="F1453" s="36" t="str">
        <f t="array" ref="F1453">IFNA(_xlfn.XLOOKUP(D1453,Table_Tarikan_Warkah[Nomor Tiket],Table_Tarikan_Warkah[Nama Petugas Warkah]),"")</f>
        <v/>
      </c>
      <c r="G1453" s="39" t="str">
        <f t="array" ref="G1453">IFNA(_xlfn.XLOOKUP(D1453,Table_Tarikan_Warkah[Nomor Tiket],Table_Tarikan_Warkah[Jenis Permohonan]),"")</f>
        <v>Ganti Nama</v>
      </c>
      <c r="H1453" s="41" t="s">
        <v>11</v>
      </c>
      <c r="I1453" s="49" t="s">
        <v>23</v>
      </c>
      <c r="J1453" s="36">
        <f t="shared" si="20"/>
        <v>45727.56725</v>
      </c>
      <c r="K1453" s="49" t="s">
        <v>197</v>
      </c>
      <c r="L1453" s="49" t="s">
        <v>23</v>
      </c>
      <c r="M1453" s="36">
        <f t="shared" si="26"/>
        <v>45726.62195</v>
      </c>
      <c r="N1453" s="30" t="str">
        <f t="shared" si="27"/>
        <v>Selesai</v>
      </c>
      <c r="O1453" s="45">
        <f t="shared" si="23"/>
        <v>45726.62195</v>
      </c>
      <c r="P1453" s="47" t="b">
        <v>1</v>
      </c>
      <c r="Q1453" s="36">
        <f t="shared" si="24"/>
        <v>45726.6222</v>
      </c>
      <c r="R1453" s="47" t="b">
        <v>0</v>
      </c>
      <c r="S1453" s="42" t="str">
        <f t="shared" si="28"/>
        <v/>
      </c>
      <c r="T1453" s="42"/>
    </row>
    <row r="1454" ht="22.5" customHeight="1">
      <c r="B1454" s="42">
        <f t="shared" si="7"/>
        <v>1448</v>
      </c>
      <c r="C1454" s="31" t="s">
        <v>1582</v>
      </c>
      <c r="D1454" s="34" t="str">
        <f t="array" ref="D1454">IFNA(_xlfn.XLOOKUP(C1454,Table_Tarikan_Warkah[Nomor Sertipikat],Table_Tarikan_Warkah[Nomor Tiket]),"")</f>
        <v>K/23/040325/2</v>
      </c>
      <c r="E1454" s="36">
        <f t="array" ref="E1454">IFNA(_xlfn.XLOOKUP(D1454,Table_Tarikan_Warkah[Nomor Tiket],Table_Tarikan_Warkah[Tanggal diserahkan kepada Validator]),"")</f>
        <v>45730.40036</v>
      </c>
      <c r="F1454" s="36" t="str">
        <f t="array" ref="F1454">IFNA(_xlfn.XLOOKUP(D1454,Table_Tarikan_Warkah[Nomor Tiket],Table_Tarikan_Warkah[Nama Petugas Warkah]),"")</f>
        <v/>
      </c>
      <c r="G1454" s="39" t="str">
        <f t="array" ref="G1454">IFNA(_xlfn.XLOOKUP(D1454,Table_Tarikan_Warkah[Nomor Tiket],Table_Tarikan_Warkah[Jenis Permohonan]),"")</f>
        <v>BN Jual Beli</v>
      </c>
      <c r="H1454" s="41" t="s">
        <v>11</v>
      </c>
      <c r="I1454" s="49" t="s">
        <v>23</v>
      </c>
      <c r="J1454" s="36">
        <f t="shared" si="20"/>
        <v>45727.56725</v>
      </c>
      <c r="K1454" s="49" t="s">
        <v>197</v>
      </c>
      <c r="L1454" s="49" t="s">
        <v>23</v>
      </c>
      <c r="M1454" s="36">
        <f t="shared" si="26"/>
        <v>45726.62195</v>
      </c>
      <c r="N1454" s="30" t="str">
        <f t="shared" si="27"/>
        <v>Selesai</v>
      </c>
      <c r="O1454" s="45">
        <f t="shared" si="23"/>
        <v>45726.62195</v>
      </c>
      <c r="P1454" s="47" t="b">
        <v>1</v>
      </c>
      <c r="Q1454" s="36">
        <f t="shared" si="24"/>
        <v>45726.6222</v>
      </c>
      <c r="R1454" s="47" t="b">
        <v>0</v>
      </c>
      <c r="S1454" s="42" t="str">
        <f t="shared" si="28"/>
        <v/>
      </c>
      <c r="T1454" s="42"/>
    </row>
    <row r="1455" ht="22.5" customHeight="1">
      <c r="B1455" s="42">
        <f t="shared" si="7"/>
        <v>1449</v>
      </c>
      <c r="C1455" s="31" t="s">
        <v>1583</v>
      </c>
      <c r="D1455" s="34" t="str">
        <f t="array" ref="D1455">IFNA(_xlfn.XLOOKUP(C1455,Table_Tarikan_Warkah[Nomor Sertipikat],Table_Tarikan_Warkah[Nomor Tiket]),"")</f>
        <v>K/17/260225/2</v>
      </c>
      <c r="E1455" s="36">
        <f t="array" ref="E1455">IFNA(_xlfn.XLOOKUP(D1455,Table_Tarikan_Warkah[Nomor Tiket],Table_Tarikan_Warkah[Tanggal diserahkan kepada Validator]),"")</f>
        <v>45730.39775</v>
      </c>
      <c r="F1455" s="36" t="str">
        <f t="array" ref="F1455">IFNA(_xlfn.XLOOKUP(D1455,Table_Tarikan_Warkah[Nomor Tiket],Table_Tarikan_Warkah[Nama Petugas Warkah]),"")</f>
        <v/>
      </c>
      <c r="G1455" s="39" t="str">
        <f t="array" ref="G1455">IFNA(_xlfn.XLOOKUP(D1455,Table_Tarikan_Warkah[Nomor Tiket],Table_Tarikan_Warkah[Jenis Permohonan]),"")</f>
        <v>BN Jual Beli</v>
      </c>
      <c r="H1455" s="41" t="s">
        <v>11</v>
      </c>
      <c r="I1455" s="49" t="s">
        <v>23</v>
      </c>
      <c r="J1455" s="36">
        <f t="shared" si="20"/>
        <v>45727.56725</v>
      </c>
      <c r="K1455" s="49" t="s">
        <v>197</v>
      </c>
      <c r="L1455" s="49" t="s">
        <v>23</v>
      </c>
      <c r="M1455" s="36">
        <f t="shared" si="26"/>
        <v>45726.62195</v>
      </c>
      <c r="N1455" s="30" t="str">
        <f t="shared" si="27"/>
        <v>Selesai</v>
      </c>
      <c r="O1455" s="45">
        <f t="shared" si="23"/>
        <v>45726.62195</v>
      </c>
      <c r="P1455" s="47" t="b">
        <v>1</v>
      </c>
      <c r="Q1455" s="36">
        <f t="shared" si="24"/>
        <v>45726.6222</v>
      </c>
      <c r="R1455" s="47" t="b">
        <v>0</v>
      </c>
      <c r="S1455" s="42" t="str">
        <f t="shared" si="28"/>
        <v/>
      </c>
      <c r="T1455" s="42"/>
    </row>
    <row r="1456" ht="22.5" customHeight="1">
      <c r="B1456" s="42">
        <f t="shared" si="7"/>
        <v>1450</v>
      </c>
      <c r="C1456" s="31" t="s">
        <v>1584</v>
      </c>
      <c r="D1456" s="34" t="str">
        <f t="array" ref="D1456">IFNA(_xlfn.XLOOKUP(C1456,Table_Tarikan_Warkah[Nomor Sertipikat],Table_Tarikan_Warkah[Nomor Tiket]),"")</f>
        <v>K/14/280225/2</v>
      </c>
      <c r="E1456" s="36">
        <f t="array" ref="E1456">IFNA(_xlfn.XLOOKUP(D1456,Table_Tarikan_Warkah[Nomor Tiket],Table_Tarikan_Warkah[Tanggal diserahkan kepada Validator]),"")</f>
        <v>45730.40058</v>
      </c>
      <c r="F1456" s="36" t="str">
        <f t="array" ref="F1456">IFNA(_xlfn.XLOOKUP(D1456,Table_Tarikan_Warkah[Nomor Tiket],Table_Tarikan_Warkah[Nama Petugas Warkah]),"")</f>
        <v/>
      </c>
      <c r="G1456" s="39" t="str">
        <f t="array" ref="G1456">IFNA(_xlfn.XLOOKUP(D1456,Table_Tarikan_Warkah[Nomor Tiket],Table_Tarikan_Warkah[Jenis Permohonan]),"")</f>
        <v>BN Jual Beli</v>
      </c>
      <c r="H1456" s="41" t="s">
        <v>11</v>
      </c>
      <c r="I1456" s="49" t="s">
        <v>23</v>
      </c>
      <c r="J1456" s="36">
        <f t="shared" si="20"/>
        <v>45727.56725</v>
      </c>
      <c r="K1456" s="49" t="s">
        <v>197</v>
      </c>
      <c r="L1456" s="49" t="s">
        <v>23</v>
      </c>
      <c r="M1456" s="36">
        <f t="shared" si="26"/>
        <v>45726.62195</v>
      </c>
      <c r="N1456" s="30" t="str">
        <f t="shared" si="27"/>
        <v>Selesai</v>
      </c>
      <c r="O1456" s="45">
        <f t="shared" si="23"/>
        <v>45726.62195</v>
      </c>
      <c r="P1456" s="47" t="b">
        <v>1</v>
      </c>
      <c r="Q1456" s="36">
        <f t="shared" si="24"/>
        <v>45726.6222</v>
      </c>
      <c r="R1456" s="47" t="b">
        <v>0</v>
      </c>
      <c r="S1456" s="42" t="str">
        <f t="shared" si="28"/>
        <v/>
      </c>
      <c r="T1456" s="42"/>
    </row>
    <row r="1457" ht="22.5" customHeight="1">
      <c r="B1457" s="42">
        <f t="shared" si="7"/>
        <v>1451</v>
      </c>
      <c r="C1457" s="31" t="s">
        <v>1585</v>
      </c>
      <c r="D1457" s="34" t="str">
        <f t="array" ref="D1457">IFNA(_xlfn.XLOOKUP(C1457,Table_Tarikan_Warkah[Nomor Sertipikat],Table_Tarikan_Warkah[Nomor Tiket]),"")</f>
        <v>K/29/250225/1</v>
      </c>
      <c r="E1457" s="36">
        <f t="array" ref="E1457">IFNA(_xlfn.XLOOKUP(D1457,Table_Tarikan_Warkah[Nomor Tiket],Table_Tarikan_Warkah[Tanggal diserahkan kepada Validator]),"")</f>
        <v>45763.55184</v>
      </c>
      <c r="F1457" s="36" t="str">
        <f t="array" ref="F1457">IFNA(_xlfn.XLOOKUP(D1457,Table_Tarikan_Warkah[Nomor Tiket],Table_Tarikan_Warkah[Nama Petugas Warkah]),"")</f>
        <v/>
      </c>
      <c r="G1457" s="39" t="str">
        <f t="array" ref="G1457">IFNA(_xlfn.XLOOKUP(D1457,Table_Tarikan_Warkah[Nomor Tiket],Table_Tarikan_Warkah[Jenis Permohonan]),"")</f>
        <v>Roya</v>
      </c>
      <c r="H1457" s="41" t="s">
        <v>11</v>
      </c>
      <c r="I1457" s="49" t="s">
        <v>23</v>
      </c>
      <c r="J1457" s="36">
        <f t="shared" si="20"/>
        <v>45727.56725</v>
      </c>
      <c r="K1457" s="49" t="s">
        <v>197</v>
      </c>
      <c r="L1457" s="49" t="s">
        <v>23</v>
      </c>
      <c r="M1457" s="36">
        <f t="shared" si="26"/>
        <v>45726.62204</v>
      </c>
      <c r="N1457" s="30" t="str">
        <f t="shared" si="27"/>
        <v>Selesai</v>
      </c>
      <c r="O1457" s="45">
        <f t="shared" si="23"/>
        <v>45726.62204</v>
      </c>
      <c r="P1457" s="47" t="b">
        <v>1</v>
      </c>
      <c r="Q1457" s="36">
        <f t="shared" si="24"/>
        <v>45726.6222</v>
      </c>
      <c r="R1457" s="47" t="b">
        <v>0</v>
      </c>
      <c r="S1457" s="42" t="str">
        <f t="shared" si="28"/>
        <v/>
      </c>
      <c r="T1457" s="42"/>
    </row>
    <row r="1458" ht="22.5" customHeight="1">
      <c r="B1458" s="42">
        <f t="shared" si="7"/>
        <v>1452</v>
      </c>
      <c r="C1458" s="31" t="s">
        <v>1586</v>
      </c>
      <c r="D1458" s="34" t="str">
        <f t="array" ref="D1458">IFNA(_xlfn.XLOOKUP(C1458,Table_Tarikan_Warkah[Nomor Sertipikat],Table_Tarikan_Warkah[Nomor Tiket]),"")</f>
        <v>K/16/260225/1</v>
      </c>
      <c r="E1458" s="36">
        <f t="array" ref="E1458">IFNA(_xlfn.XLOOKUP(D1458,Table_Tarikan_Warkah[Nomor Tiket],Table_Tarikan_Warkah[Tanggal diserahkan kepada Validator]),"")</f>
        <v>45730.39877</v>
      </c>
      <c r="F1458" s="36" t="str">
        <f t="array" ref="F1458">IFNA(_xlfn.XLOOKUP(D1458,Table_Tarikan_Warkah[Nomor Tiket],Table_Tarikan_Warkah[Nama Petugas Warkah]),"")</f>
        <v/>
      </c>
      <c r="G1458" s="39" t="str">
        <f t="array" ref="G1458">IFNA(_xlfn.XLOOKUP(D1458,Table_Tarikan_Warkah[Nomor Tiket],Table_Tarikan_Warkah[Jenis Permohonan]),"")</f>
        <v>BN Jual Beli</v>
      </c>
      <c r="H1458" s="41" t="s">
        <v>11</v>
      </c>
      <c r="I1458" s="49" t="s">
        <v>23</v>
      </c>
      <c r="J1458" s="36">
        <f t="shared" si="20"/>
        <v>45727.56725</v>
      </c>
      <c r="K1458" s="49" t="s">
        <v>197</v>
      </c>
      <c r="L1458" s="49" t="s">
        <v>23</v>
      </c>
      <c r="M1458" s="36">
        <f t="shared" si="26"/>
        <v>45726.62204</v>
      </c>
      <c r="N1458" s="30" t="str">
        <f t="shared" si="27"/>
        <v>Selesai</v>
      </c>
      <c r="O1458" s="45">
        <f t="shared" si="23"/>
        <v>45726.62204</v>
      </c>
      <c r="P1458" s="47" t="b">
        <v>1</v>
      </c>
      <c r="Q1458" s="36">
        <f t="shared" si="24"/>
        <v>45726.62223</v>
      </c>
      <c r="R1458" s="47" t="b">
        <v>0</v>
      </c>
      <c r="S1458" s="42" t="str">
        <f t="shared" si="28"/>
        <v/>
      </c>
      <c r="T1458" s="42"/>
    </row>
    <row r="1459" ht="22.5" customHeight="1">
      <c r="B1459" s="42">
        <f t="shared" si="7"/>
        <v>1453</v>
      </c>
      <c r="C1459" s="31" t="s">
        <v>1587</v>
      </c>
      <c r="D1459" s="34" t="str">
        <f t="array" ref="D1459">IFNA(_xlfn.XLOOKUP(C1459,Table_Tarikan_Warkah[Nomor Sertipikat],Table_Tarikan_Warkah[Nomor Tiket]),"")</f>
        <v>K/32/040325/1</v>
      </c>
      <c r="E1459" s="36">
        <f t="array" ref="E1459">IFNA(_xlfn.XLOOKUP(D1459,Table_Tarikan_Warkah[Nomor Tiket],Table_Tarikan_Warkah[Tanggal diserahkan kepada Validator]),"")</f>
        <v>45741.52996</v>
      </c>
      <c r="F1459" s="36" t="str">
        <f t="array" ref="F1459">IFNA(_xlfn.XLOOKUP(D1459,Table_Tarikan_Warkah[Nomor Tiket],Table_Tarikan_Warkah[Nama Petugas Warkah]),"")</f>
        <v/>
      </c>
      <c r="G1459" s="39" t="str">
        <f t="array" ref="G1459">IFNA(_xlfn.XLOOKUP(D1459,Table_Tarikan_Warkah[Nomor Tiket],Table_Tarikan_Warkah[Jenis Permohonan]),"")</f>
        <v>Roya</v>
      </c>
      <c r="H1459" s="41" t="s">
        <v>11</v>
      </c>
      <c r="I1459" s="49" t="s">
        <v>23</v>
      </c>
      <c r="J1459" s="36">
        <f t="shared" si="20"/>
        <v>45727.56725</v>
      </c>
      <c r="K1459" s="49" t="s">
        <v>197</v>
      </c>
      <c r="L1459" s="49" t="s">
        <v>23</v>
      </c>
      <c r="M1459" s="36">
        <f t="shared" si="26"/>
        <v>45726.62204</v>
      </c>
      <c r="N1459" s="30" t="str">
        <f t="shared" si="27"/>
        <v>Selesai</v>
      </c>
      <c r="O1459" s="45">
        <f t="shared" si="23"/>
        <v>45726.62204</v>
      </c>
      <c r="P1459" s="47" t="b">
        <v>1</v>
      </c>
      <c r="Q1459" s="36">
        <f t="shared" si="24"/>
        <v>45726.62223</v>
      </c>
      <c r="R1459" s="47" t="b">
        <v>0</v>
      </c>
      <c r="S1459" s="42" t="str">
        <f t="shared" si="28"/>
        <v/>
      </c>
      <c r="T1459" s="42"/>
    </row>
    <row r="1460" ht="22.5" customHeight="1">
      <c r="B1460" s="42">
        <f t="shared" si="7"/>
        <v>1454</v>
      </c>
      <c r="C1460" s="31" t="s">
        <v>1588</v>
      </c>
      <c r="D1460" s="34" t="str">
        <f t="array" ref="D1460">IFNA(_xlfn.XLOOKUP(C1460,Table_Tarikan_Warkah[Nomor Sertipikat],Table_Tarikan_Warkah[Nomor Tiket]),"")</f>
        <v>K/21/270225/1</v>
      </c>
      <c r="E1460" s="36">
        <f t="array" ref="E1460">IFNA(_xlfn.XLOOKUP(D1460,Table_Tarikan_Warkah[Nomor Tiket],Table_Tarikan_Warkah[Tanggal diserahkan kepada Validator]),"")</f>
        <v>45730.40139</v>
      </c>
      <c r="F1460" s="36" t="str">
        <f t="array" ref="F1460">IFNA(_xlfn.XLOOKUP(D1460,Table_Tarikan_Warkah[Nomor Tiket],Table_Tarikan_Warkah[Nama Petugas Warkah]),"")</f>
        <v/>
      </c>
      <c r="G1460" s="39" t="str">
        <f t="array" ref="G1460">IFNA(_xlfn.XLOOKUP(D1460,Table_Tarikan_Warkah[Nomor Tiket],Table_Tarikan_Warkah[Jenis Permohonan]),"")</f>
        <v>BN Jual Beli</v>
      </c>
      <c r="H1460" s="41" t="s">
        <v>11</v>
      </c>
      <c r="I1460" s="49" t="s">
        <v>23</v>
      </c>
      <c r="J1460" s="36">
        <f t="shared" si="20"/>
        <v>45727.56725</v>
      </c>
      <c r="K1460" s="49" t="s">
        <v>197</v>
      </c>
      <c r="L1460" s="49" t="s">
        <v>23</v>
      </c>
      <c r="M1460" s="36">
        <f t="shared" si="26"/>
        <v>45726.62204</v>
      </c>
      <c r="N1460" s="30" t="str">
        <f t="shared" si="27"/>
        <v>Selesai</v>
      </c>
      <c r="O1460" s="45">
        <f t="shared" si="23"/>
        <v>45726.62204</v>
      </c>
      <c r="P1460" s="47" t="b">
        <v>1</v>
      </c>
      <c r="Q1460" s="36">
        <f t="shared" si="24"/>
        <v>45726.62223</v>
      </c>
      <c r="R1460" s="47" t="b">
        <v>0</v>
      </c>
      <c r="S1460" s="42" t="str">
        <f t="shared" si="28"/>
        <v/>
      </c>
      <c r="T1460" s="42"/>
    </row>
    <row r="1461" ht="22.5" customHeight="1">
      <c r="B1461" s="42">
        <f t="shared" si="7"/>
        <v>1455</v>
      </c>
      <c r="C1461" s="31" t="s">
        <v>1554</v>
      </c>
      <c r="D1461" s="34" t="str">
        <f t="array" ref="D1461">IFNA(_xlfn.XLOOKUP(C1461,Table_Tarikan_Warkah[Nomor Sertipikat],Table_Tarikan_Warkah[Nomor Tiket]),"")</f>
        <v>K/16/240225/2</v>
      </c>
      <c r="E1461" s="36" t="str">
        <f t="array" ref="E1461">IFNA(_xlfn.XLOOKUP(D1461,Table_Tarikan_Warkah[Nomor Tiket],Table_Tarikan_Warkah[Tanggal diserahkan kepada Validator]),"")</f>
        <v/>
      </c>
      <c r="F1461" s="36" t="str">
        <f t="array" ref="F1461">IFNA(_xlfn.XLOOKUP(D1461,Table_Tarikan_Warkah[Nomor Tiket],Table_Tarikan_Warkah[Nama Petugas Warkah]),"")</f>
        <v/>
      </c>
      <c r="G1461" s="39" t="str">
        <f t="array" ref="G1461">IFNA(_xlfn.XLOOKUP(D1461,Table_Tarikan_Warkah[Nomor Tiket],Table_Tarikan_Warkah[Jenis Permohonan]),"")</f>
        <v>JUA. BELI</v>
      </c>
      <c r="H1461" s="41" t="s">
        <v>20</v>
      </c>
      <c r="I1461" s="49" t="s">
        <v>23</v>
      </c>
      <c r="J1461" s="36">
        <f t="shared" si="20"/>
        <v>45726.58841</v>
      </c>
      <c r="K1461" s="49" t="s">
        <v>197</v>
      </c>
      <c r="L1461" s="49" t="s">
        <v>23</v>
      </c>
      <c r="M1461" s="36">
        <f t="shared" si="26"/>
        <v>45726.58847</v>
      </c>
      <c r="N1461" s="30" t="str">
        <f t="shared" si="27"/>
        <v>Selesai</v>
      </c>
      <c r="O1461" s="45">
        <f t="shared" si="23"/>
        <v>45726.58847</v>
      </c>
      <c r="P1461" s="47" t="b">
        <v>1</v>
      </c>
      <c r="Q1461" s="36">
        <f t="shared" si="24"/>
        <v>45726.58849</v>
      </c>
      <c r="R1461" s="47" t="b">
        <v>0</v>
      </c>
      <c r="S1461" s="42" t="str">
        <f t="shared" si="28"/>
        <v/>
      </c>
      <c r="T1461" s="42"/>
    </row>
    <row r="1462" ht="22.5" customHeight="1">
      <c r="B1462" s="42">
        <f t="shared" si="7"/>
        <v>1456</v>
      </c>
      <c r="C1462" s="31" t="s">
        <v>1589</v>
      </c>
      <c r="D1462" s="34" t="str">
        <f t="array" ref="D1462">IFNA(_xlfn.XLOOKUP(C1462,Table_Tarikan_Warkah[Nomor Sertipikat],Table_Tarikan_Warkah[Nomor Tiket]),"")</f>
        <v>L/10/250225/1</v>
      </c>
      <c r="E1462" s="36">
        <f t="array" ref="E1462">IFNA(_xlfn.XLOOKUP(D1462,Table_Tarikan_Warkah[Nomor Tiket],Table_Tarikan_Warkah[Tanggal diserahkan kepada Validator]),"")</f>
        <v>45727.49743</v>
      </c>
      <c r="F1462" s="36" t="str">
        <f t="array" ref="F1462">IFNA(_xlfn.XLOOKUP(D1462,Table_Tarikan_Warkah[Nomor Tiket],Table_Tarikan_Warkah[Nama Petugas Warkah]),"")</f>
        <v/>
      </c>
      <c r="G1462" s="39" t="str">
        <f t="array" ref="G1462">IFNA(_xlfn.XLOOKUP(D1462,Table_Tarikan_Warkah[Nomor Tiket],Table_Tarikan_Warkah[Jenis Permohonan]),"")</f>
        <v>BN JUAL - BELI</v>
      </c>
      <c r="H1462" s="41" t="s">
        <v>20</v>
      </c>
      <c r="I1462" s="49" t="s">
        <v>23</v>
      </c>
      <c r="J1462" s="36">
        <f t="shared" si="20"/>
        <v>45726.58859</v>
      </c>
      <c r="K1462" s="49" t="s">
        <v>197</v>
      </c>
      <c r="L1462" s="49" t="s">
        <v>23</v>
      </c>
      <c r="M1462" s="36">
        <f t="shared" si="26"/>
        <v>45726.58864</v>
      </c>
      <c r="N1462" s="30" t="str">
        <f t="shared" si="27"/>
        <v>Selesai</v>
      </c>
      <c r="O1462" s="45">
        <f t="shared" si="23"/>
        <v>45726.58864</v>
      </c>
      <c r="P1462" s="47" t="b">
        <v>1</v>
      </c>
      <c r="Q1462" s="36">
        <f t="shared" si="24"/>
        <v>45726.58865</v>
      </c>
      <c r="R1462" s="47" t="b">
        <v>0</v>
      </c>
      <c r="S1462" s="42" t="str">
        <f t="shared" si="28"/>
        <v/>
      </c>
      <c r="T1462" s="42"/>
    </row>
    <row r="1463" ht="22.5" customHeight="1">
      <c r="B1463" s="42">
        <f t="shared" si="7"/>
        <v>1457</v>
      </c>
      <c r="C1463" s="31" t="s">
        <v>1590</v>
      </c>
      <c r="D1463" s="34" t="str">
        <f t="array" ref="D1463">IFNA(_xlfn.XLOOKUP(C1463,Table_Tarikan_Warkah[Nomor Sertipikat],Table_Tarikan_Warkah[Nomor Tiket]),"")</f>
        <v>K/32/210225/4</v>
      </c>
      <c r="E1463" s="36">
        <f t="array" ref="E1463">IFNA(_xlfn.XLOOKUP(D1463,Table_Tarikan_Warkah[Nomor Tiket],Table_Tarikan_Warkah[Tanggal diserahkan kepada Validator]),"")</f>
        <v>45728.63883</v>
      </c>
      <c r="F1463" s="36" t="str">
        <f t="array" ref="F1463">IFNA(_xlfn.XLOOKUP(D1463,Table_Tarikan_Warkah[Nomor Tiket],Table_Tarikan_Warkah[Nama Petugas Warkah]),"")</f>
        <v/>
      </c>
      <c r="G1463" s="39" t="str">
        <f t="array" ref="G1463">IFNA(_xlfn.XLOOKUP(D1463,Table_Tarikan_Warkah[Nomor Tiket],Table_Tarikan_Warkah[Jenis Permohonan]),"")</f>
        <v>JUAL BELI</v>
      </c>
      <c r="H1463" s="41" t="s">
        <v>20</v>
      </c>
      <c r="I1463" s="49" t="s">
        <v>23</v>
      </c>
      <c r="J1463" s="36">
        <f t="shared" si="20"/>
        <v>45727.38423</v>
      </c>
      <c r="K1463" s="49" t="s">
        <v>197</v>
      </c>
      <c r="L1463" s="49" t="s">
        <v>23</v>
      </c>
      <c r="M1463" s="36">
        <f t="shared" si="26"/>
        <v>45727.38428</v>
      </c>
      <c r="N1463" s="30" t="str">
        <f t="shared" si="27"/>
        <v>Selesai</v>
      </c>
      <c r="O1463" s="45">
        <f t="shared" si="23"/>
        <v>45727.38428</v>
      </c>
      <c r="P1463" s="47" t="b">
        <v>1</v>
      </c>
      <c r="Q1463" s="36">
        <f t="shared" si="24"/>
        <v>45727.38429</v>
      </c>
      <c r="R1463" s="47" t="b">
        <v>0</v>
      </c>
      <c r="S1463" s="42" t="str">
        <f t="shared" si="28"/>
        <v/>
      </c>
      <c r="T1463" s="42"/>
    </row>
    <row r="1464" ht="22.5" customHeight="1">
      <c r="B1464" s="42">
        <f t="shared" si="7"/>
        <v>1458</v>
      </c>
      <c r="C1464" s="31" t="s">
        <v>1591</v>
      </c>
      <c r="D1464" s="34" t="str">
        <f t="array" ref="D1464">IFNA(_xlfn.XLOOKUP(C1464,Table_Tarikan_Warkah[Nomor Sertipikat],Table_Tarikan_Warkah[Nomor Tiket]),"")</f>
        <v>K/16/050325/1</v>
      </c>
      <c r="E1464" s="36">
        <f t="array" ref="E1464">IFNA(_xlfn.XLOOKUP(D1464,Table_Tarikan_Warkah[Nomor Tiket],Table_Tarikan_Warkah[Tanggal diserahkan kepada Validator]),"")</f>
        <v>45804.377</v>
      </c>
      <c r="F1464" s="36" t="str">
        <f t="array" ref="F1464">IFNA(_xlfn.XLOOKUP(D1464,Table_Tarikan_Warkah[Nomor Tiket],Table_Tarikan_Warkah[Nama Petugas Warkah]),"")</f>
        <v>Berry</v>
      </c>
      <c r="G1464" s="39" t="str">
        <f t="array" ref="G1464">IFNA(_xlfn.XLOOKUP(D1464,Table_Tarikan_Warkah[Nomor Tiket],Table_Tarikan_Warkah[Jenis Permohonan]),"")</f>
        <v>PERUBAHAN HAK</v>
      </c>
      <c r="H1464" s="41" t="s">
        <v>11</v>
      </c>
      <c r="I1464" s="49" t="s">
        <v>23</v>
      </c>
      <c r="J1464" s="36">
        <f t="shared" si="20"/>
        <v>45727.59724</v>
      </c>
      <c r="K1464" s="49" t="s">
        <v>197</v>
      </c>
      <c r="L1464" s="49" t="s">
        <v>23</v>
      </c>
      <c r="M1464" s="36">
        <f t="shared" si="26"/>
        <v>45728.63376</v>
      </c>
      <c r="N1464" s="30" t="str">
        <f t="shared" si="27"/>
        <v>Selesai</v>
      </c>
      <c r="O1464" s="45">
        <f t="shared" si="23"/>
        <v>45728.63376</v>
      </c>
      <c r="P1464" s="47" t="b">
        <v>1</v>
      </c>
      <c r="Q1464" s="36">
        <f t="shared" si="24"/>
        <v>45728.63388</v>
      </c>
      <c r="R1464" s="47" t="b">
        <v>0</v>
      </c>
      <c r="S1464" s="42" t="str">
        <f t="shared" si="28"/>
        <v/>
      </c>
      <c r="T1464" s="42"/>
    </row>
    <row r="1465" ht="22.5" customHeight="1">
      <c r="B1465" s="42">
        <f t="shared" si="7"/>
        <v>1459</v>
      </c>
      <c r="C1465" s="31" t="s">
        <v>1592</v>
      </c>
      <c r="D1465" s="34" t="str">
        <f t="array" ref="D1465">IFNA(_xlfn.XLOOKUP(C1465,Table_Tarikan_Warkah[Nomor Sertipikat],Table_Tarikan_Warkah[Nomor Tiket]),"")</f>
        <v>K/38/200225/3</v>
      </c>
      <c r="E1465" s="36">
        <f t="array" ref="E1465">IFNA(_xlfn.XLOOKUP(D1465,Table_Tarikan_Warkah[Nomor Tiket],Table_Tarikan_Warkah[Tanggal diserahkan kepada Validator]),"")</f>
        <v>45733.61725</v>
      </c>
      <c r="F1465" s="36" t="str">
        <f t="array" ref="F1465">IFNA(_xlfn.XLOOKUP(D1465,Table_Tarikan_Warkah[Nomor Tiket],Table_Tarikan_Warkah[Nama Petugas Warkah]),"")</f>
        <v/>
      </c>
      <c r="G1465" s="39" t="str">
        <f t="array" ref="G1465">IFNA(_xlfn.XLOOKUP(D1465,Table_Tarikan_Warkah[Nomor Tiket],Table_Tarikan_Warkah[Jenis Permohonan]),"")</f>
        <v>JUAL BELI</v>
      </c>
      <c r="H1465" s="41" t="s">
        <v>11</v>
      </c>
      <c r="I1465" s="49" t="s">
        <v>23</v>
      </c>
      <c r="J1465" s="36">
        <f t="shared" si="20"/>
        <v>45727.59727</v>
      </c>
      <c r="K1465" s="49" t="s">
        <v>197</v>
      </c>
      <c r="L1465" s="49" t="s">
        <v>23</v>
      </c>
      <c r="M1465" s="36">
        <f t="shared" si="26"/>
        <v>45728.63376</v>
      </c>
      <c r="N1465" s="30" t="str">
        <f t="shared" si="27"/>
        <v>Selesai</v>
      </c>
      <c r="O1465" s="45">
        <f t="shared" si="23"/>
        <v>45728.63376</v>
      </c>
      <c r="P1465" s="47" t="b">
        <v>1</v>
      </c>
      <c r="Q1465" s="36">
        <f t="shared" si="24"/>
        <v>45728.63389</v>
      </c>
      <c r="R1465" s="47" t="b">
        <v>0</v>
      </c>
      <c r="S1465" s="42" t="str">
        <f t="shared" si="28"/>
        <v/>
      </c>
      <c r="T1465" s="42"/>
    </row>
    <row r="1466" ht="22.5" customHeight="1">
      <c r="B1466" s="42">
        <f t="shared" si="7"/>
        <v>1460</v>
      </c>
      <c r="C1466" s="31" t="s">
        <v>1593</v>
      </c>
      <c r="D1466" s="34" t="str">
        <f t="array" ref="D1466">IFNA(_xlfn.XLOOKUP(C1466,Table_Tarikan_Warkah[Nomor Sertipikat],Table_Tarikan_Warkah[Nomor Tiket]),"")</f>
        <v>K/25/250225/2</v>
      </c>
      <c r="E1466" s="36">
        <f t="array" ref="E1466">IFNA(_xlfn.XLOOKUP(D1466,Table_Tarikan_Warkah[Nomor Tiket],Table_Tarikan_Warkah[Tanggal diserahkan kepada Validator]),"")</f>
        <v>45733.61119</v>
      </c>
      <c r="F1466" s="36" t="str">
        <f t="array" ref="F1466">IFNA(_xlfn.XLOOKUP(D1466,Table_Tarikan_Warkah[Nomor Tiket],Table_Tarikan_Warkah[Nama Petugas Warkah]),"")</f>
        <v/>
      </c>
      <c r="G1466" s="39" t="str">
        <f t="array" ref="G1466">IFNA(_xlfn.XLOOKUP(D1466,Table_Tarikan_Warkah[Nomor Tiket],Table_Tarikan_Warkah[Jenis Permohonan]),"")</f>
        <v>JUAL BELI</v>
      </c>
      <c r="H1466" s="41" t="s">
        <v>11</v>
      </c>
      <c r="I1466" s="49" t="s">
        <v>23</v>
      </c>
      <c r="J1466" s="36">
        <f t="shared" si="20"/>
        <v>45727.59727</v>
      </c>
      <c r="K1466" s="49" t="s">
        <v>197</v>
      </c>
      <c r="L1466" s="49" t="s">
        <v>23</v>
      </c>
      <c r="M1466" s="36">
        <f t="shared" si="26"/>
        <v>45728.63376</v>
      </c>
      <c r="N1466" s="30" t="str">
        <f t="shared" si="27"/>
        <v>Selesai</v>
      </c>
      <c r="O1466" s="45">
        <f t="shared" si="23"/>
        <v>45728.63376</v>
      </c>
      <c r="P1466" s="47" t="b">
        <v>1</v>
      </c>
      <c r="Q1466" s="36">
        <f t="shared" si="24"/>
        <v>45728.6339</v>
      </c>
      <c r="R1466" s="47" t="b">
        <v>0</v>
      </c>
      <c r="S1466" s="42" t="str">
        <f t="shared" si="28"/>
        <v/>
      </c>
      <c r="T1466" s="42"/>
    </row>
    <row r="1467" ht="22.5" customHeight="1">
      <c r="B1467" s="42">
        <f t="shared" si="7"/>
        <v>1461</v>
      </c>
      <c r="C1467" s="31" t="s">
        <v>1594</v>
      </c>
      <c r="D1467" s="34" t="str">
        <f t="array" ref="D1467">IFNA(_xlfn.XLOOKUP(C1467,Table_Tarikan_Warkah[Nomor Sertipikat],Table_Tarikan_Warkah[Nomor Tiket]),"")</f>
        <v>K/27/060325/3</v>
      </c>
      <c r="E1467" s="36">
        <f t="array" ref="E1467">IFNA(_xlfn.XLOOKUP(D1467,Table_Tarikan_Warkah[Nomor Tiket],Table_Tarikan_Warkah[Tanggal diserahkan kepada Validator]),"")</f>
        <v>45733.61831</v>
      </c>
      <c r="F1467" s="36" t="str">
        <f t="array" ref="F1467">IFNA(_xlfn.XLOOKUP(D1467,Table_Tarikan_Warkah[Nomor Tiket],Table_Tarikan_Warkah[Nama Petugas Warkah]),"")</f>
        <v/>
      </c>
      <c r="G1467" s="39" t="str">
        <f t="array" ref="G1467">IFNA(_xlfn.XLOOKUP(D1467,Table_Tarikan_Warkah[Nomor Tiket],Table_Tarikan_Warkah[Jenis Permohonan]),"")</f>
        <v>JUAL BELI</v>
      </c>
      <c r="H1467" s="41" t="s">
        <v>11</v>
      </c>
      <c r="I1467" s="49" t="s">
        <v>23</v>
      </c>
      <c r="J1467" s="36">
        <f t="shared" si="20"/>
        <v>45727.59727</v>
      </c>
      <c r="K1467" s="49" t="s">
        <v>197</v>
      </c>
      <c r="L1467" s="49" t="s">
        <v>23</v>
      </c>
      <c r="M1467" s="36">
        <f t="shared" si="26"/>
        <v>45728.63376</v>
      </c>
      <c r="N1467" s="30" t="str">
        <f t="shared" si="27"/>
        <v>Selesai</v>
      </c>
      <c r="O1467" s="45">
        <f t="shared" si="23"/>
        <v>45728.63376</v>
      </c>
      <c r="P1467" s="47" t="b">
        <v>1</v>
      </c>
      <c r="Q1467" s="36">
        <f t="shared" si="24"/>
        <v>45728.63391</v>
      </c>
      <c r="R1467" s="47" t="b">
        <v>0</v>
      </c>
      <c r="S1467" s="42" t="str">
        <f t="shared" si="28"/>
        <v/>
      </c>
      <c r="T1467" s="42"/>
    </row>
    <row r="1468" ht="22.5" customHeight="1">
      <c r="B1468" s="42">
        <f t="shared" si="7"/>
        <v>1462</v>
      </c>
      <c r="C1468" s="31" t="s">
        <v>1595</v>
      </c>
      <c r="D1468" s="34" t="str">
        <f t="array" ref="D1468">IFNA(_xlfn.XLOOKUP(C1468,Table_Tarikan_Warkah[Nomor Sertipikat],Table_Tarikan_Warkah[Nomor Tiket]),"")</f>
        <v>K/9/270225/1</v>
      </c>
      <c r="E1468" s="36" t="str">
        <f t="array" ref="E1468">IFNA(_xlfn.XLOOKUP(D1468,Table_Tarikan_Warkah[Nomor Tiket],Table_Tarikan_Warkah[Tanggal diserahkan kepada Validator]),"")</f>
        <v/>
      </c>
      <c r="F1468" s="36" t="str">
        <f t="array" ref="F1468">IFNA(_xlfn.XLOOKUP(D1468,Table_Tarikan_Warkah[Nomor Tiket],Table_Tarikan_Warkah[Nama Petugas Warkah]),"")</f>
        <v/>
      </c>
      <c r="G1468" s="39" t="str">
        <f t="array" ref="G1468">IFNA(_xlfn.XLOOKUP(D1468,Table_Tarikan_Warkah[Nomor Tiket],Table_Tarikan_Warkah[Jenis Permohonan]),"")</f>
        <v>JUAL BELI</v>
      </c>
      <c r="H1468" s="41" t="s">
        <v>11</v>
      </c>
      <c r="I1468" s="49" t="s">
        <v>23</v>
      </c>
      <c r="J1468" s="36">
        <f t="shared" si="20"/>
        <v>45727.59727</v>
      </c>
      <c r="K1468" s="49" t="s">
        <v>197</v>
      </c>
      <c r="L1468" s="49" t="s">
        <v>23</v>
      </c>
      <c r="M1468" s="36">
        <f t="shared" si="26"/>
        <v>45728.63376</v>
      </c>
      <c r="N1468" s="30" t="str">
        <f t="shared" si="27"/>
        <v>Selesai</v>
      </c>
      <c r="O1468" s="45">
        <f t="shared" si="23"/>
        <v>45728.63376</v>
      </c>
      <c r="P1468" s="47" t="b">
        <v>1</v>
      </c>
      <c r="Q1468" s="36">
        <f t="shared" si="24"/>
        <v>45728.63392</v>
      </c>
      <c r="R1468" s="47" t="b">
        <v>0</v>
      </c>
      <c r="S1468" s="42" t="str">
        <f t="shared" si="28"/>
        <v/>
      </c>
      <c r="T1468" s="42"/>
    </row>
    <row r="1469" ht="22.5" customHeight="1">
      <c r="B1469" s="42">
        <f t="shared" si="7"/>
        <v>1463</v>
      </c>
      <c r="C1469" s="31" t="s">
        <v>1596</v>
      </c>
      <c r="D1469" s="34" t="str">
        <f t="array" ref="D1469">IFNA(_xlfn.XLOOKUP(C1469,Table_Tarikan_Warkah[Nomor Sertipikat],Table_Tarikan_Warkah[Nomor Tiket]),"")</f>
        <v>K/3/240225/1</v>
      </c>
      <c r="E1469" s="36">
        <f t="array" ref="E1469">IFNA(_xlfn.XLOOKUP(D1469,Table_Tarikan_Warkah[Nomor Tiket],Table_Tarikan_Warkah[Tanggal diserahkan kepada Validator]),"")</f>
        <v>45733.60316</v>
      </c>
      <c r="F1469" s="36" t="str">
        <f t="array" ref="F1469">IFNA(_xlfn.XLOOKUP(D1469,Table_Tarikan_Warkah[Nomor Tiket],Table_Tarikan_Warkah[Nama Petugas Warkah]),"")</f>
        <v/>
      </c>
      <c r="G1469" s="39" t="str">
        <f t="array" ref="G1469">IFNA(_xlfn.XLOOKUP(D1469,Table_Tarikan_Warkah[Nomor Tiket],Table_Tarikan_Warkah[Jenis Permohonan]),"")</f>
        <v>JUAL BELI</v>
      </c>
      <c r="H1469" s="41" t="s">
        <v>11</v>
      </c>
      <c r="I1469" s="49" t="s">
        <v>23</v>
      </c>
      <c r="J1469" s="36">
        <f t="shared" si="20"/>
        <v>45727.59727</v>
      </c>
      <c r="K1469" s="49" t="s">
        <v>197</v>
      </c>
      <c r="L1469" s="49" t="s">
        <v>23</v>
      </c>
      <c r="M1469" s="36">
        <f t="shared" si="26"/>
        <v>45728.63376</v>
      </c>
      <c r="N1469" s="30" t="str">
        <f t="shared" si="27"/>
        <v>Selesai</v>
      </c>
      <c r="O1469" s="45">
        <f t="shared" si="23"/>
        <v>45728.63376</v>
      </c>
      <c r="P1469" s="47" t="b">
        <v>1</v>
      </c>
      <c r="Q1469" s="36">
        <f t="shared" si="24"/>
        <v>45728.63393</v>
      </c>
      <c r="R1469" s="47" t="b">
        <v>0</v>
      </c>
      <c r="S1469" s="42" t="str">
        <f t="shared" si="28"/>
        <v/>
      </c>
      <c r="T1469" s="42"/>
    </row>
    <row r="1470" ht="22.5" customHeight="1">
      <c r="B1470" s="42">
        <f t="shared" si="7"/>
        <v>1464</v>
      </c>
      <c r="C1470" s="31" t="s">
        <v>1597</v>
      </c>
      <c r="D1470" s="34" t="str">
        <f t="array" ref="D1470">IFNA(_xlfn.XLOOKUP(C1470,Table_Tarikan_Warkah[Nomor Sertipikat],Table_Tarikan_Warkah[Nomor Tiket]),"")</f>
        <v>K/7/130125/1</v>
      </c>
      <c r="E1470" s="36" t="str">
        <f t="array" ref="E1470">IFNA(_xlfn.XLOOKUP(D1470,Table_Tarikan_Warkah[Nomor Tiket],Table_Tarikan_Warkah[Tanggal diserahkan kepada Validator]),"")</f>
        <v/>
      </c>
      <c r="F1470" s="36" t="str">
        <f t="array" ref="F1470">IFNA(_xlfn.XLOOKUP(D1470,Table_Tarikan_Warkah[Nomor Tiket],Table_Tarikan_Warkah[Nama Petugas Warkah]),"")</f>
        <v/>
      </c>
      <c r="G1470" s="39" t="str">
        <f t="array" ref="G1470">IFNA(_xlfn.XLOOKUP(D1470,Table_Tarikan_Warkah[Nomor Tiket],Table_Tarikan_Warkah[Jenis Permohonan]),"")</f>
        <v>PTPGT</v>
      </c>
      <c r="H1470" s="41" t="s">
        <v>11</v>
      </c>
      <c r="I1470" s="49" t="s">
        <v>23</v>
      </c>
      <c r="J1470" s="36">
        <f t="shared" si="20"/>
        <v>45727.5973</v>
      </c>
      <c r="K1470" s="49" t="s">
        <v>197</v>
      </c>
      <c r="L1470" s="49" t="s">
        <v>23</v>
      </c>
      <c r="M1470" s="36">
        <f t="shared" si="26"/>
        <v>45728.63376</v>
      </c>
      <c r="N1470" s="30" t="str">
        <f t="shared" si="27"/>
        <v>Selesai</v>
      </c>
      <c r="O1470" s="45">
        <f t="shared" si="23"/>
        <v>45728.63376</v>
      </c>
      <c r="P1470" s="47" t="b">
        <v>1</v>
      </c>
      <c r="Q1470" s="36">
        <f t="shared" si="24"/>
        <v>45728.63394</v>
      </c>
      <c r="R1470" s="47" t="b">
        <v>0</v>
      </c>
      <c r="S1470" s="42" t="str">
        <f t="shared" si="28"/>
        <v/>
      </c>
      <c r="T1470" s="42"/>
    </row>
    <row r="1471" ht="22.5" customHeight="1">
      <c r="B1471" s="42">
        <f t="shared" si="7"/>
        <v>1465</v>
      </c>
      <c r="C1471" s="31" t="s">
        <v>1598</v>
      </c>
      <c r="D1471" s="34" t="str">
        <f t="array" ref="D1471">IFNA(_xlfn.XLOOKUP(C1471,Table_Tarikan_Warkah[Nomor Sertipikat],Table_Tarikan_Warkah[Nomor Tiket]),"")</f>
        <v>K/18/260225/3</v>
      </c>
      <c r="E1471" s="36">
        <f t="array" ref="E1471">IFNA(_xlfn.XLOOKUP(D1471,Table_Tarikan_Warkah[Nomor Tiket],Table_Tarikan_Warkah[Tanggal diserahkan kepada Validator]),"")</f>
        <v>45730.39748</v>
      </c>
      <c r="F1471" s="36" t="str">
        <f t="array" ref="F1471">IFNA(_xlfn.XLOOKUP(D1471,Table_Tarikan_Warkah[Nomor Tiket],Table_Tarikan_Warkah[Nama Petugas Warkah]),"")</f>
        <v/>
      </c>
      <c r="G1471" s="39" t="str">
        <f t="array" ref="G1471">IFNA(_xlfn.XLOOKUP(D1471,Table_Tarikan_Warkah[Nomor Tiket],Table_Tarikan_Warkah[Jenis Permohonan]),"")</f>
        <v>BN Jual Beli</v>
      </c>
      <c r="H1471" s="41" t="s">
        <v>20</v>
      </c>
      <c r="I1471" s="49" t="s">
        <v>23</v>
      </c>
      <c r="J1471" s="36">
        <f t="shared" si="20"/>
        <v>45728.52973</v>
      </c>
      <c r="K1471" s="49" t="s">
        <v>197</v>
      </c>
      <c r="L1471" s="49" t="s">
        <v>23</v>
      </c>
      <c r="M1471" s="36">
        <f t="shared" si="26"/>
        <v>45728.52979</v>
      </c>
      <c r="N1471" s="30" t="str">
        <f t="shared" si="27"/>
        <v>Selesai</v>
      </c>
      <c r="O1471" s="45">
        <f t="shared" si="23"/>
        <v>45728.52979</v>
      </c>
      <c r="P1471" s="47" t="b">
        <v>1</v>
      </c>
      <c r="Q1471" s="36">
        <f t="shared" si="24"/>
        <v>45728.5298</v>
      </c>
      <c r="R1471" s="47" t="b">
        <v>0</v>
      </c>
      <c r="S1471" s="42" t="str">
        <f t="shared" si="28"/>
        <v/>
      </c>
      <c r="T1471" s="42"/>
    </row>
    <row r="1472" ht="22.5" customHeight="1">
      <c r="B1472" s="42">
        <f t="shared" si="7"/>
        <v>1466</v>
      </c>
      <c r="C1472" s="31" t="s">
        <v>1599</v>
      </c>
      <c r="D1472" s="34" t="str">
        <f t="array" ref="D1472">IFNA(_xlfn.XLOOKUP(C1472,Table_Tarikan_Warkah[Nomor Sertipikat],Table_Tarikan_Warkah[Nomor Tiket]),"")</f>
        <v>K/19/260225/4</v>
      </c>
      <c r="E1472" s="36">
        <f t="array" ref="E1472">IFNA(_xlfn.XLOOKUP(D1472,Table_Tarikan_Warkah[Nomor Tiket],Table_Tarikan_Warkah[Tanggal diserahkan kepada Validator]),"")</f>
        <v>45730.39815</v>
      </c>
      <c r="F1472" s="36" t="str">
        <f t="array" ref="F1472">IFNA(_xlfn.XLOOKUP(D1472,Table_Tarikan_Warkah[Nomor Tiket],Table_Tarikan_Warkah[Nama Petugas Warkah]),"")</f>
        <v/>
      </c>
      <c r="G1472" s="39" t="str">
        <f t="array" ref="G1472">IFNA(_xlfn.XLOOKUP(D1472,Table_Tarikan_Warkah[Nomor Tiket],Table_Tarikan_Warkah[Jenis Permohonan]),"")</f>
        <v>BN Jual Beli</v>
      </c>
      <c r="H1472" s="41" t="s">
        <v>20</v>
      </c>
      <c r="I1472" s="49" t="s">
        <v>23</v>
      </c>
      <c r="J1472" s="36">
        <f t="shared" si="20"/>
        <v>45728.52991</v>
      </c>
      <c r="K1472" s="49" t="s">
        <v>197</v>
      </c>
      <c r="L1472" s="49" t="s">
        <v>23</v>
      </c>
      <c r="M1472" s="36">
        <f t="shared" si="26"/>
        <v>45728.52997</v>
      </c>
      <c r="N1472" s="30" t="str">
        <f t="shared" si="27"/>
        <v>Selesai</v>
      </c>
      <c r="O1472" s="45">
        <f t="shared" si="23"/>
        <v>45728.52997</v>
      </c>
      <c r="P1472" s="47" t="b">
        <v>1</v>
      </c>
      <c r="Q1472" s="36">
        <f t="shared" si="24"/>
        <v>45728.52997</v>
      </c>
      <c r="R1472" s="47" t="b">
        <v>0</v>
      </c>
      <c r="S1472" s="42" t="str">
        <f t="shared" si="28"/>
        <v/>
      </c>
      <c r="T1472" s="42"/>
    </row>
    <row r="1473" ht="22.5" customHeight="1">
      <c r="B1473" s="42">
        <f t="shared" si="7"/>
        <v>1467</v>
      </c>
      <c r="C1473" s="31" t="s">
        <v>1600</v>
      </c>
      <c r="D1473" s="34" t="str">
        <f t="array" ref="D1473">IFNA(_xlfn.XLOOKUP(C1473,Table_Tarikan_Warkah[Nomor Sertipikat],Table_Tarikan_Warkah[Nomor Tiket]),"")</f>
        <v> K/14/210225/4</v>
      </c>
      <c r="E1473" s="36">
        <f t="array" ref="E1473">IFNA(_xlfn.XLOOKUP(D1473,Table_Tarikan_Warkah[Nomor Tiket],Table_Tarikan_Warkah[Tanggal diserahkan kepada Validator]),"")</f>
        <v>45730.39685</v>
      </c>
      <c r="F1473" s="36" t="str">
        <f t="array" ref="F1473">IFNA(_xlfn.XLOOKUP(D1473,Table_Tarikan_Warkah[Nomor Tiket],Table_Tarikan_Warkah[Nama Petugas Warkah]),"")</f>
        <v/>
      </c>
      <c r="G1473" s="39" t="str">
        <f t="array" ref="G1473">IFNA(_xlfn.XLOOKUP(D1473,Table_Tarikan_Warkah[Nomor Tiket],Table_Tarikan_Warkah[Jenis Permohonan]),"")</f>
        <v>BN JUAL BELI</v>
      </c>
      <c r="H1473" s="41" t="s">
        <v>20</v>
      </c>
      <c r="I1473" s="49" t="s">
        <v>23</v>
      </c>
      <c r="J1473" s="36">
        <f t="shared" si="20"/>
        <v>45728.53011</v>
      </c>
      <c r="K1473" s="49" t="s">
        <v>197</v>
      </c>
      <c r="L1473" s="49" t="s">
        <v>23</v>
      </c>
      <c r="M1473" s="36">
        <f t="shared" si="26"/>
        <v>45728.53016</v>
      </c>
      <c r="N1473" s="30" t="str">
        <f t="shared" si="27"/>
        <v>Selesai</v>
      </c>
      <c r="O1473" s="45">
        <f t="shared" si="23"/>
        <v>45728.53016</v>
      </c>
      <c r="P1473" s="47" t="b">
        <v>1</v>
      </c>
      <c r="Q1473" s="36">
        <f t="shared" si="24"/>
        <v>45728.53016</v>
      </c>
      <c r="R1473" s="47" t="b">
        <v>0</v>
      </c>
      <c r="S1473" s="42" t="str">
        <f t="shared" si="28"/>
        <v/>
      </c>
      <c r="T1473" s="42"/>
    </row>
    <row r="1474" ht="22.5" customHeight="1">
      <c r="B1474" s="42">
        <f t="shared" si="7"/>
        <v>1468</v>
      </c>
      <c r="C1474" s="31" t="s">
        <v>1601</v>
      </c>
      <c r="D1474" s="34" t="str">
        <f t="array" ref="D1474">IFNA(_xlfn.XLOOKUP(C1474,Table_Tarikan_Warkah[Nomor Sertipikat],Table_Tarikan_Warkah[Nomor Tiket]),"")</f>
        <v>K/11/280225/1</v>
      </c>
      <c r="E1474" s="36" t="str">
        <f t="array" ref="E1474">IFNA(_xlfn.XLOOKUP(D1474,Table_Tarikan_Warkah[Nomor Tiket],Table_Tarikan_Warkah[Tanggal diserahkan kepada Validator]),"")</f>
        <v/>
      </c>
      <c r="F1474" s="36" t="str">
        <f t="array" ref="F1474">IFNA(_xlfn.XLOOKUP(D1474,Table_Tarikan_Warkah[Nomor Tiket],Table_Tarikan_Warkah[Nama Petugas Warkah]),"")</f>
        <v/>
      </c>
      <c r="G1474" s="39" t="str">
        <f t="array" ref="G1474">IFNA(_xlfn.XLOOKUP(D1474,Table_Tarikan_Warkah[Nomor Tiket],Table_Tarikan_Warkah[Jenis Permohonan]),"")</f>
        <v>PERUBAHAN HAK</v>
      </c>
      <c r="H1474" s="41" t="s">
        <v>20</v>
      </c>
      <c r="I1474" s="49" t="s">
        <v>23</v>
      </c>
      <c r="J1474" s="36">
        <f t="shared" si="20"/>
        <v>45728.5303</v>
      </c>
      <c r="K1474" s="49" t="s">
        <v>197</v>
      </c>
      <c r="L1474" s="49" t="s">
        <v>23</v>
      </c>
      <c r="M1474" s="36">
        <f t="shared" si="26"/>
        <v>45728.53037</v>
      </c>
      <c r="N1474" s="30" t="str">
        <f t="shared" si="27"/>
        <v>Selesai</v>
      </c>
      <c r="O1474" s="45">
        <f t="shared" si="23"/>
        <v>45728.53037</v>
      </c>
      <c r="P1474" s="47" t="b">
        <v>1</v>
      </c>
      <c r="Q1474" s="36">
        <f t="shared" si="24"/>
        <v>45728.53038</v>
      </c>
      <c r="R1474" s="47" t="b">
        <v>0</v>
      </c>
      <c r="S1474" s="42" t="str">
        <f t="shared" si="28"/>
        <v/>
      </c>
      <c r="T1474" s="42"/>
    </row>
    <row r="1475" ht="22.5" customHeight="1">
      <c r="B1475" s="42">
        <f t="shared" si="7"/>
        <v>1469</v>
      </c>
      <c r="C1475" s="31" t="s">
        <v>1602</v>
      </c>
      <c r="D1475" s="34" t="str">
        <f t="array" ref="D1475">IFNA(_xlfn.XLOOKUP(C1475,Table_Tarikan_Warkah[Nomor Sertipikat],Table_Tarikan_Warkah[Nomor Tiket]),"")</f>
        <v>K/14/130225/2</v>
      </c>
      <c r="E1475" s="36">
        <f t="array" ref="E1475">IFNA(_xlfn.XLOOKUP(D1475,Table_Tarikan_Warkah[Nomor Tiket],Table_Tarikan_Warkah[Tanggal diserahkan kepada Validator]),"")</f>
        <v>45730.39727</v>
      </c>
      <c r="F1475" s="36" t="str">
        <f t="array" ref="F1475">IFNA(_xlfn.XLOOKUP(D1475,Table_Tarikan_Warkah[Nomor Tiket],Table_Tarikan_Warkah[Nama Petugas Warkah]),"")</f>
        <v/>
      </c>
      <c r="G1475" s="39" t="str">
        <f t="array" ref="G1475">IFNA(_xlfn.XLOOKUP(D1475,Table_Tarikan_Warkah[Nomor Tiket],Table_Tarikan_Warkah[Jenis Permohonan]),"")</f>
        <v>BN JUAL BELI</v>
      </c>
      <c r="H1475" s="41" t="s">
        <v>20</v>
      </c>
      <c r="I1475" s="49" t="s">
        <v>23</v>
      </c>
      <c r="J1475" s="36">
        <f t="shared" si="20"/>
        <v>45728.53048</v>
      </c>
      <c r="K1475" s="49" t="s">
        <v>197</v>
      </c>
      <c r="L1475" s="49" t="s">
        <v>23</v>
      </c>
      <c r="M1475" s="36">
        <f t="shared" si="26"/>
        <v>45728.53052</v>
      </c>
      <c r="N1475" s="30" t="str">
        <f t="shared" si="27"/>
        <v>Selesai</v>
      </c>
      <c r="O1475" s="45">
        <f t="shared" si="23"/>
        <v>45728.53052</v>
      </c>
      <c r="P1475" s="47" t="b">
        <v>1</v>
      </c>
      <c r="Q1475" s="36">
        <f t="shared" si="24"/>
        <v>45728.53053</v>
      </c>
      <c r="R1475" s="47" t="b">
        <v>0</v>
      </c>
      <c r="S1475" s="42" t="str">
        <f t="shared" si="28"/>
        <v/>
      </c>
      <c r="T1475" s="42"/>
    </row>
    <row r="1476" ht="22.5" customHeight="1">
      <c r="B1476" s="42">
        <f t="shared" si="7"/>
        <v>1470</v>
      </c>
      <c r="C1476" s="31" t="s">
        <v>1603</v>
      </c>
      <c r="D1476" s="34" t="str">
        <f t="array" ref="D1476">IFNA(_xlfn.XLOOKUP(C1476,Table_Tarikan_Warkah[Nomor Sertipikat],Table_Tarikan_Warkah[Nomor Tiket]),"")</f>
        <v>K/7/050325/3</v>
      </c>
      <c r="E1476" s="36">
        <f t="array" ref="E1476">IFNA(_xlfn.XLOOKUP(D1476,Table_Tarikan_Warkah[Nomor Tiket],Table_Tarikan_Warkah[Tanggal diserahkan kepada Validator]),"")</f>
        <v>45730.40005</v>
      </c>
      <c r="F1476" s="36" t="str">
        <f t="array" ref="F1476">IFNA(_xlfn.XLOOKUP(D1476,Table_Tarikan_Warkah[Nomor Tiket],Table_Tarikan_Warkah[Nama Petugas Warkah]),"")</f>
        <v/>
      </c>
      <c r="G1476" s="39" t="str">
        <f t="array" ref="G1476">IFNA(_xlfn.XLOOKUP(D1476,Table_Tarikan_Warkah[Nomor Tiket],Table_Tarikan_Warkah[Jenis Permohonan]),"")</f>
        <v>BN JUAL BELI</v>
      </c>
      <c r="H1476" s="41" t="s">
        <v>20</v>
      </c>
      <c r="I1476" s="49" t="s">
        <v>23</v>
      </c>
      <c r="J1476" s="36">
        <f t="shared" si="20"/>
        <v>45728.53065</v>
      </c>
      <c r="K1476" s="49" t="s">
        <v>197</v>
      </c>
      <c r="L1476" s="49" t="s">
        <v>23</v>
      </c>
      <c r="M1476" s="36">
        <f t="shared" si="26"/>
        <v>45728.53069</v>
      </c>
      <c r="N1476" s="30" t="str">
        <f t="shared" si="27"/>
        <v>Selesai</v>
      </c>
      <c r="O1476" s="45">
        <f t="shared" si="23"/>
        <v>45728.53069</v>
      </c>
      <c r="P1476" s="47" t="b">
        <v>1</v>
      </c>
      <c r="Q1476" s="36">
        <f t="shared" si="24"/>
        <v>45728.5307</v>
      </c>
      <c r="R1476" s="47" t="b">
        <v>0</v>
      </c>
      <c r="S1476" s="42" t="str">
        <f t="shared" si="28"/>
        <v/>
      </c>
      <c r="T1476" s="42"/>
    </row>
    <row r="1477" ht="22.5" customHeight="1">
      <c r="B1477" s="42">
        <f t="shared" si="7"/>
        <v>1471</v>
      </c>
      <c r="C1477" s="31" t="s">
        <v>1604</v>
      </c>
      <c r="D1477" s="34" t="str">
        <f t="array" ref="D1477">IFNA(_xlfn.XLOOKUP(C1477,Table_Tarikan_Warkah[Nomor Sertipikat],Table_Tarikan_Warkah[Nomor Tiket]),"")</f>
        <v>K/47/070325/1</v>
      </c>
      <c r="E1477" s="36">
        <f t="array" ref="E1477">IFNA(_xlfn.XLOOKUP(D1477,Table_Tarikan_Warkah[Nomor Tiket],Table_Tarikan_Warkah[Tanggal diserahkan kepada Validator]),"")</f>
        <v>45733.61609</v>
      </c>
      <c r="F1477" s="36" t="str">
        <f t="array" ref="F1477">IFNA(_xlfn.XLOOKUP(D1477,Table_Tarikan_Warkah[Nomor Tiket],Table_Tarikan_Warkah[Nama Petugas Warkah]),"")</f>
        <v/>
      </c>
      <c r="G1477" s="39" t="str">
        <f t="array" ref="G1477">IFNA(_xlfn.XLOOKUP(D1477,Table_Tarikan_Warkah[Nomor Tiket],Table_Tarikan_Warkah[Jenis Permohonan]),"")</f>
        <v>BN Jual Beli</v>
      </c>
      <c r="H1477" s="41" t="s">
        <v>11</v>
      </c>
      <c r="I1477" s="49" t="s">
        <v>23</v>
      </c>
      <c r="J1477" s="36">
        <f t="shared" si="20"/>
        <v>45728.56266</v>
      </c>
      <c r="K1477" s="49" t="s">
        <v>197</v>
      </c>
      <c r="L1477" s="49" t="s">
        <v>23</v>
      </c>
      <c r="M1477" s="36">
        <f t="shared" si="26"/>
        <v>45728.63382</v>
      </c>
      <c r="N1477" s="30" t="str">
        <f t="shared" si="27"/>
        <v>Selesai</v>
      </c>
      <c r="O1477" s="45">
        <f t="shared" si="23"/>
        <v>45728.63382</v>
      </c>
      <c r="P1477" s="47" t="b">
        <v>1</v>
      </c>
      <c r="Q1477" s="36">
        <f t="shared" si="24"/>
        <v>45728.63397</v>
      </c>
      <c r="R1477" s="47" t="b">
        <v>0</v>
      </c>
      <c r="S1477" s="42" t="str">
        <f t="shared" si="28"/>
        <v/>
      </c>
      <c r="T1477" s="42"/>
    </row>
    <row r="1478" ht="22.5" customHeight="1">
      <c r="B1478" s="42">
        <f t="shared" si="7"/>
        <v>1472</v>
      </c>
      <c r="C1478" s="31" t="s">
        <v>1605</v>
      </c>
      <c r="D1478" s="34" t="str">
        <f t="array" ref="D1478">IFNA(_xlfn.XLOOKUP(C1478,Table_Tarikan_Warkah[Nomor Sertipikat],Table_Tarikan_Warkah[Nomor Tiket]),"")</f>
        <v>K/26/060325/1</v>
      </c>
      <c r="E1478" s="36" t="str">
        <f t="array" ref="E1478">IFNA(_xlfn.XLOOKUP(D1478,Table_Tarikan_Warkah[Nomor Tiket],Table_Tarikan_Warkah[Tanggal diserahkan kepada Validator]),"")</f>
        <v/>
      </c>
      <c r="F1478" s="36" t="str">
        <f t="array" ref="F1478">IFNA(_xlfn.XLOOKUP(D1478,Table_Tarikan_Warkah[Nomor Tiket],Table_Tarikan_Warkah[Nama Petugas Warkah]),"")</f>
        <v/>
      </c>
      <c r="G1478" s="39" t="str">
        <f t="array" ref="G1478">IFNA(_xlfn.XLOOKUP(D1478,Table_Tarikan_Warkah[Nomor Tiket],Table_Tarikan_Warkah[Jenis Permohonan]),"")</f>
        <v>Ganti Nama HT</v>
      </c>
      <c r="H1478" s="41" t="s">
        <v>11</v>
      </c>
      <c r="I1478" s="49" t="s">
        <v>23</v>
      </c>
      <c r="J1478" s="36">
        <f t="shared" si="20"/>
        <v>45728.56267</v>
      </c>
      <c r="K1478" s="49" t="s">
        <v>197</v>
      </c>
      <c r="L1478" s="49" t="s">
        <v>23</v>
      </c>
      <c r="M1478" s="36">
        <f t="shared" si="26"/>
        <v>45728.63382</v>
      </c>
      <c r="N1478" s="30" t="str">
        <f t="shared" si="27"/>
        <v>Selesai</v>
      </c>
      <c r="O1478" s="45">
        <f t="shared" si="23"/>
        <v>45728.63382</v>
      </c>
      <c r="P1478" s="47" t="b">
        <v>1</v>
      </c>
      <c r="Q1478" s="36">
        <f t="shared" si="24"/>
        <v>45728.63398</v>
      </c>
      <c r="R1478" s="47" t="b">
        <v>0</v>
      </c>
      <c r="S1478" s="42" t="str">
        <f t="shared" si="28"/>
        <v/>
      </c>
      <c r="T1478" s="42"/>
    </row>
    <row r="1479" ht="22.5" customHeight="1">
      <c r="B1479" s="42">
        <f t="shared" si="7"/>
        <v>1473</v>
      </c>
      <c r="C1479" s="31" t="s">
        <v>1606</v>
      </c>
      <c r="D1479" s="34" t="str">
        <f t="array" ref="D1479">IFNA(_xlfn.XLOOKUP(C1479,Table_Tarikan_Warkah[Nomor Sertipikat],Table_Tarikan_Warkah[Nomor Tiket]),"")</f>
        <v>L/33/260225/2</v>
      </c>
      <c r="E1479" s="36" t="str">
        <f t="array" ref="E1479">IFNA(_xlfn.XLOOKUP(D1479,Table_Tarikan_Warkah[Nomor Tiket],Table_Tarikan_Warkah[Tanggal diserahkan kepada Validator]),"")</f>
        <v/>
      </c>
      <c r="F1479" s="36" t="str">
        <f t="array" ref="F1479">IFNA(_xlfn.XLOOKUP(D1479,Table_Tarikan_Warkah[Nomor Tiket],Table_Tarikan_Warkah[Nama Petugas Warkah]),"")</f>
        <v/>
      </c>
      <c r="G1479" s="39" t="str">
        <f t="array" ref="G1479">IFNA(_xlfn.XLOOKUP(D1479,Table_Tarikan_Warkah[Nomor Tiket],Table_Tarikan_Warkah[Jenis Permohonan]),"")</f>
        <v>GANTI BLANGKO</v>
      </c>
      <c r="H1479" s="41" t="s">
        <v>11</v>
      </c>
      <c r="I1479" s="49" t="s">
        <v>23</v>
      </c>
      <c r="J1479" s="36">
        <f t="shared" si="20"/>
        <v>45728.56267</v>
      </c>
      <c r="K1479" s="49" t="s">
        <v>197</v>
      </c>
      <c r="L1479" s="49" t="s">
        <v>23</v>
      </c>
      <c r="M1479" s="36">
        <f t="shared" si="26"/>
        <v>45728.63382</v>
      </c>
      <c r="N1479" s="30" t="str">
        <f t="shared" si="27"/>
        <v>Selesai</v>
      </c>
      <c r="O1479" s="45">
        <f t="shared" si="23"/>
        <v>45728.63382</v>
      </c>
      <c r="P1479" s="47" t="b">
        <v>1</v>
      </c>
      <c r="Q1479" s="36">
        <f t="shared" si="24"/>
        <v>45728.63399</v>
      </c>
      <c r="R1479" s="47" t="b">
        <v>0</v>
      </c>
      <c r="S1479" s="42" t="str">
        <f t="shared" si="28"/>
        <v/>
      </c>
      <c r="T1479" s="42"/>
    </row>
    <row r="1480" ht="22.5" customHeight="1">
      <c r="B1480" s="42">
        <f t="shared" si="7"/>
        <v>1474</v>
      </c>
      <c r="C1480" s="31" t="s">
        <v>1607</v>
      </c>
      <c r="D1480" s="34" t="str">
        <f t="array" ref="D1480">IFNA(_xlfn.XLOOKUP(C1480,Table_Tarikan_Warkah[Nomor Sertipikat],Table_Tarikan_Warkah[Nomor Tiket]),"")</f>
        <v>K/19/040325/1</v>
      </c>
      <c r="E1480" s="36">
        <f t="array" ref="E1480">IFNA(_xlfn.XLOOKUP(D1480,Table_Tarikan_Warkah[Nomor Tiket],Table_Tarikan_Warkah[Tanggal diserahkan kepada Validator]),"")</f>
        <v>45733.59302</v>
      </c>
      <c r="F1480" s="36" t="str">
        <f t="array" ref="F1480">IFNA(_xlfn.XLOOKUP(D1480,Table_Tarikan_Warkah[Nomor Tiket],Table_Tarikan_Warkah[Nama Petugas Warkah]),"")</f>
        <v/>
      </c>
      <c r="G1480" s="39" t="str">
        <f t="array" ref="G1480">IFNA(_xlfn.XLOOKUP(D1480,Table_Tarikan_Warkah[Nomor Tiket],Table_Tarikan_Warkah[Jenis Permohonan]),"")</f>
        <v>BN Jual Beli</v>
      </c>
      <c r="H1480" s="41" t="s">
        <v>11</v>
      </c>
      <c r="I1480" s="49" t="s">
        <v>23</v>
      </c>
      <c r="J1480" s="36">
        <f t="shared" si="20"/>
        <v>45728.56267</v>
      </c>
      <c r="K1480" s="49" t="s">
        <v>197</v>
      </c>
      <c r="L1480" s="49" t="s">
        <v>23</v>
      </c>
      <c r="M1480" s="36">
        <f t="shared" si="26"/>
        <v>45728.63382</v>
      </c>
      <c r="N1480" s="30" t="str">
        <f t="shared" si="27"/>
        <v>Selesai</v>
      </c>
      <c r="O1480" s="45">
        <f t="shared" si="23"/>
        <v>45728.63382</v>
      </c>
      <c r="P1480" s="47" t="b">
        <v>1</v>
      </c>
      <c r="Q1480" s="36">
        <f t="shared" si="24"/>
        <v>45728.634</v>
      </c>
      <c r="R1480" s="47" t="b">
        <v>0</v>
      </c>
      <c r="S1480" s="42" t="str">
        <f t="shared" si="28"/>
        <v/>
      </c>
      <c r="T1480" s="42"/>
    </row>
    <row r="1481" ht="22.5" customHeight="1">
      <c r="B1481" s="42">
        <f t="shared" si="7"/>
        <v>1475</v>
      </c>
      <c r="C1481" s="31" t="s">
        <v>1608</v>
      </c>
      <c r="D1481" s="34" t="str">
        <f t="array" ref="D1481">IFNA(_xlfn.XLOOKUP(C1481,Table_Tarikan_Warkah[Nomor Sertipikat],Table_Tarikan_Warkah[Nomor Tiket]),"")</f>
        <v>K/70/261124/1</v>
      </c>
      <c r="E1481" s="36">
        <f t="array" ref="E1481">IFNA(_xlfn.XLOOKUP(D1481,Table_Tarikan_Warkah[Nomor Tiket],Table_Tarikan_Warkah[Tanggal diserahkan kepada Validator]),"")</f>
        <v>45733.59947</v>
      </c>
      <c r="F1481" s="36" t="str">
        <f t="array" ref="F1481">IFNA(_xlfn.XLOOKUP(D1481,Table_Tarikan_Warkah[Nomor Tiket],Table_Tarikan_Warkah[Nama Petugas Warkah]),"")</f>
        <v>Berry</v>
      </c>
      <c r="G1481" s="39" t="str">
        <f t="array" ref="G1481">IFNA(_xlfn.XLOOKUP(D1481,Table_Tarikan_Warkah[Nomor Tiket],Table_Tarikan_Warkah[Jenis Permohonan]),"")</f>
        <v>BN Jual Beli</v>
      </c>
      <c r="H1481" s="41" t="s">
        <v>11</v>
      </c>
      <c r="I1481" s="49" t="s">
        <v>23</v>
      </c>
      <c r="J1481" s="36">
        <f t="shared" si="20"/>
        <v>45728.5627</v>
      </c>
      <c r="K1481" s="49" t="s">
        <v>197</v>
      </c>
      <c r="L1481" s="49" t="s">
        <v>23</v>
      </c>
      <c r="M1481" s="36">
        <f t="shared" si="26"/>
        <v>45728.63382</v>
      </c>
      <c r="N1481" s="30" t="str">
        <f t="shared" si="27"/>
        <v>Selesai</v>
      </c>
      <c r="O1481" s="45">
        <f t="shared" si="23"/>
        <v>45728.63382</v>
      </c>
      <c r="P1481" s="47" t="b">
        <v>1</v>
      </c>
      <c r="Q1481" s="36">
        <f t="shared" si="24"/>
        <v>45728.63401</v>
      </c>
      <c r="R1481" s="47" t="b">
        <v>0</v>
      </c>
      <c r="S1481" s="42" t="str">
        <f t="shared" si="28"/>
        <v/>
      </c>
      <c r="T1481" s="42"/>
    </row>
    <row r="1482" ht="22.5" customHeight="1">
      <c r="B1482" s="42">
        <f t="shared" si="7"/>
        <v>1476</v>
      </c>
      <c r="C1482" s="31" t="s">
        <v>1609</v>
      </c>
      <c r="D1482" s="34" t="str">
        <f t="array" ref="D1482">IFNA(_xlfn.XLOOKUP(C1482,Table_Tarikan_Warkah[Nomor Sertipikat],Table_Tarikan_Warkah[Nomor Tiket]),"")</f>
        <v>K/71/261124/2</v>
      </c>
      <c r="E1482" s="36">
        <f t="array" ref="E1482">IFNA(_xlfn.XLOOKUP(D1482,Table_Tarikan_Warkah[Nomor Tiket],Table_Tarikan_Warkah[Tanggal diserahkan kepada Validator]),"")</f>
        <v>45733.59855</v>
      </c>
      <c r="F1482" s="36" t="str">
        <f t="array" ref="F1482">IFNA(_xlfn.XLOOKUP(D1482,Table_Tarikan_Warkah[Nomor Tiket],Table_Tarikan_Warkah[Nama Petugas Warkah]),"")</f>
        <v>Berry</v>
      </c>
      <c r="G1482" s="39" t="str">
        <f t="array" ref="G1482">IFNA(_xlfn.XLOOKUP(D1482,Table_Tarikan_Warkah[Nomor Tiket],Table_Tarikan_Warkah[Jenis Permohonan]),"")</f>
        <v>BN Jual Beli</v>
      </c>
      <c r="H1482" s="41" t="s">
        <v>11</v>
      </c>
      <c r="I1482" s="49" t="s">
        <v>23</v>
      </c>
      <c r="J1482" s="36">
        <f t="shared" si="20"/>
        <v>45728.5627</v>
      </c>
      <c r="K1482" s="49" t="s">
        <v>197</v>
      </c>
      <c r="L1482" s="49" t="s">
        <v>23</v>
      </c>
      <c r="M1482" s="36">
        <f t="shared" si="26"/>
        <v>45728.63382</v>
      </c>
      <c r="N1482" s="30" t="str">
        <f t="shared" si="27"/>
        <v>Selesai</v>
      </c>
      <c r="O1482" s="45">
        <f t="shared" si="23"/>
        <v>45728.63382</v>
      </c>
      <c r="P1482" s="47" t="b">
        <v>1</v>
      </c>
      <c r="Q1482" s="36">
        <f t="shared" si="24"/>
        <v>45728.63402</v>
      </c>
      <c r="R1482" s="47" t="b">
        <v>0</v>
      </c>
      <c r="S1482" s="42" t="str">
        <f t="shared" si="28"/>
        <v/>
      </c>
      <c r="T1482" s="42"/>
    </row>
    <row r="1483" ht="22.5" customHeight="1">
      <c r="B1483" s="42">
        <f t="shared" si="7"/>
        <v>1477</v>
      </c>
      <c r="C1483" s="31" t="s">
        <v>1610</v>
      </c>
      <c r="D1483" s="34" t="str">
        <f t="array" ref="D1483">IFNA(_xlfn.XLOOKUP(C1483,Table_Tarikan_Warkah[Nomor Sertipikat],Table_Tarikan_Warkah[Nomor Tiket]),"")</f>
        <v>K/32/050325/2</v>
      </c>
      <c r="E1483" s="36">
        <f t="array" ref="E1483">IFNA(_xlfn.XLOOKUP(D1483,Table_Tarikan_Warkah[Nomor Tiket],Table_Tarikan_Warkah[Tanggal diserahkan kepada Validator]),"")</f>
        <v>45733.61203</v>
      </c>
      <c r="F1483" s="36" t="str">
        <f t="array" ref="F1483">IFNA(_xlfn.XLOOKUP(D1483,Table_Tarikan_Warkah[Nomor Tiket],Table_Tarikan_Warkah[Nama Petugas Warkah]),"")</f>
        <v/>
      </c>
      <c r="G1483" s="39" t="str">
        <f t="array" ref="G1483">IFNA(_xlfn.XLOOKUP(D1483,Table_Tarikan_Warkah[Nomor Tiket],Table_Tarikan_Warkah[Jenis Permohonan]),"")</f>
        <v>BN Jual Beli</v>
      </c>
      <c r="H1483" s="41" t="s">
        <v>11</v>
      </c>
      <c r="I1483" s="49" t="s">
        <v>23</v>
      </c>
      <c r="J1483" s="36">
        <f t="shared" si="20"/>
        <v>45728.5627</v>
      </c>
      <c r="K1483" s="49" t="s">
        <v>197</v>
      </c>
      <c r="L1483" s="49" t="s">
        <v>23</v>
      </c>
      <c r="M1483" s="36">
        <f t="shared" si="26"/>
        <v>45728.63382</v>
      </c>
      <c r="N1483" s="30" t="str">
        <f t="shared" si="27"/>
        <v>Selesai</v>
      </c>
      <c r="O1483" s="45">
        <f t="shared" si="23"/>
        <v>45728.63382</v>
      </c>
      <c r="P1483" s="47" t="b">
        <v>1</v>
      </c>
      <c r="Q1483" s="36">
        <f t="shared" si="24"/>
        <v>45728.63403</v>
      </c>
      <c r="R1483" s="47" t="b">
        <v>0</v>
      </c>
      <c r="S1483" s="42" t="str">
        <f t="shared" si="28"/>
        <v/>
      </c>
      <c r="T1483" s="42"/>
    </row>
    <row r="1484" ht="22.5" customHeight="1">
      <c r="B1484" s="42">
        <f t="shared" si="7"/>
        <v>1478</v>
      </c>
      <c r="C1484" s="31" t="s">
        <v>1611</v>
      </c>
      <c r="D1484" s="34" t="str">
        <f t="array" ref="D1484">IFNA(_xlfn.XLOOKUP(C1484,Table_Tarikan_Warkah[Nomor Sertipikat],Table_Tarikan_Warkah[Nomor Tiket]),"")</f>
        <v>L/28/060325/1</v>
      </c>
      <c r="E1484" s="36">
        <f t="array" ref="E1484">IFNA(_xlfn.XLOOKUP(D1484,Table_Tarikan_Warkah[Nomor Tiket],Table_Tarikan_Warkah[Tanggal diserahkan kepada Validator]),"")</f>
        <v>45730.39834</v>
      </c>
      <c r="F1484" s="36" t="str">
        <f t="array" ref="F1484">IFNA(_xlfn.XLOOKUP(D1484,Table_Tarikan_Warkah[Nomor Tiket],Table_Tarikan_Warkah[Nama Petugas Warkah]),"")</f>
        <v/>
      </c>
      <c r="G1484" s="39" t="str">
        <f t="array" ref="G1484">IFNA(_xlfn.XLOOKUP(D1484,Table_Tarikan_Warkah[Nomor Tiket],Table_Tarikan_Warkah[Jenis Permohonan]),"")</f>
        <v>BN WARIS</v>
      </c>
      <c r="H1484" s="41" t="s">
        <v>20</v>
      </c>
      <c r="I1484" s="49" t="s">
        <v>23</v>
      </c>
      <c r="J1484" s="36">
        <f t="shared" si="20"/>
        <v>45728.58321</v>
      </c>
      <c r="K1484" s="49" t="s">
        <v>197</v>
      </c>
      <c r="L1484" s="49" t="s">
        <v>23</v>
      </c>
      <c r="M1484" s="36">
        <f t="shared" si="26"/>
        <v>45728.58324</v>
      </c>
      <c r="N1484" s="30" t="str">
        <f t="shared" si="27"/>
        <v>Selesai</v>
      </c>
      <c r="O1484" s="45">
        <f t="shared" si="23"/>
        <v>45728.58324</v>
      </c>
      <c r="P1484" s="47" t="b">
        <v>1</v>
      </c>
      <c r="Q1484" s="36">
        <f t="shared" si="24"/>
        <v>45730.61495</v>
      </c>
      <c r="R1484" s="47" t="b">
        <v>0</v>
      </c>
      <c r="S1484" s="42" t="str">
        <f t="shared" si="28"/>
        <v/>
      </c>
      <c r="T1484" s="42"/>
    </row>
    <row r="1485" ht="22.5" customHeight="1">
      <c r="B1485" s="42">
        <f t="shared" si="7"/>
        <v>1479</v>
      </c>
      <c r="C1485" s="31" t="s">
        <v>1612</v>
      </c>
      <c r="D1485" s="34" t="str">
        <f t="array" ref="D1485">IFNA(_xlfn.XLOOKUP(C1485,Table_Tarikan_Warkah[Nomor Sertipikat],Table_Tarikan_Warkah[Nomor Tiket]),"")</f>
        <v>K/16/040325/2</v>
      </c>
      <c r="E1485" s="36">
        <f t="array" ref="E1485">IFNA(_xlfn.XLOOKUP(D1485,Table_Tarikan_Warkah[Nomor Tiket],Table_Tarikan_Warkah[Tanggal diserahkan kepada Validator]),"")</f>
        <v>45735.44477</v>
      </c>
      <c r="F1485" s="36" t="str">
        <f t="array" ref="F1485">IFNA(_xlfn.XLOOKUP(D1485,Table_Tarikan_Warkah[Nomor Tiket],Table_Tarikan_Warkah[Nama Petugas Warkah]),"")</f>
        <v/>
      </c>
      <c r="G1485" s="39" t="str">
        <f t="array" ref="G1485">IFNA(_xlfn.XLOOKUP(D1485,Table_Tarikan_Warkah[Nomor Tiket],Table_Tarikan_Warkah[Jenis Permohonan]),"")</f>
        <v>BN JUAL BELI</v>
      </c>
      <c r="H1485" s="41" t="s">
        <v>11</v>
      </c>
      <c r="I1485" s="49" t="s">
        <v>23</v>
      </c>
      <c r="J1485" s="36">
        <f t="shared" si="20"/>
        <v>45729.57424</v>
      </c>
      <c r="K1485" s="49" t="s">
        <v>197</v>
      </c>
      <c r="L1485" s="49" t="s">
        <v>23</v>
      </c>
      <c r="M1485" s="36">
        <f t="shared" si="26"/>
        <v>45728.63382</v>
      </c>
      <c r="N1485" s="30" t="str">
        <f t="shared" si="27"/>
        <v>Selesai</v>
      </c>
      <c r="O1485" s="45">
        <f t="shared" si="23"/>
        <v>45728.63382</v>
      </c>
      <c r="P1485" s="47" t="b">
        <v>1</v>
      </c>
      <c r="Q1485" s="36">
        <f t="shared" si="24"/>
        <v>45730.61495</v>
      </c>
      <c r="R1485" s="47" t="b">
        <v>0</v>
      </c>
      <c r="S1485" s="42" t="str">
        <f t="shared" si="28"/>
        <v/>
      </c>
      <c r="T1485" s="42"/>
    </row>
    <row r="1486" ht="22.5" customHeight="1">
      <c r="B1486" s="42">
        <f t="shared" si="7"/>
        <v>1480</v>
      </c>
      <c r="C1486" s="31" t="s">
        <v>1613</v>
      </c>
      <c r="D1486" s="34" t="str">
        <f t="array" ref="D1486">IFNA(_xlfn.XLOOKUP(C1486,Table_Tarikan_Warkah[Nomor Sertipikat],Table_Tarikan_Warkah[Nomor Tiket]),"")</f>
        <v>K/29/280225/1</v>
      </c>
      <c r="E1486" s="36" t="str">
        <f t="array" ref="E1486">IFNA(_xlfn.XLOOKUP(D1486,Table_Tarikan_Warkah[Nomor Tiket],Table_Tarikan_Warkah[Tanggal diserahkan kepada Validator]),"")</f>
        <v/>
      </c>
      <c r="F1486" s="36" t="str">
        <f t="array" ref="F1486">IFNA(_xlfn.XLOOKUP(D1486,Table_Tarikan_Warkah[Nomor Tiket],Table_Tarikan_Warkah[Nama Petugas Warkah]),"")</f>
        <v/>
      </c>
      <c r="G1486" s="39" t="str">
        <f t="array" ref="G1486">IFNA(_xlfn.XLOOKUP(D1486,Table_Tarikan_Warkah[Nomor Tiket],Table_Tarikan_Warkah[Jenis Permohonan]),"")</f>
        <v>ROYA</v>
      </c>
      <c r="H1486" s="41" t="s">
        <v>11</v>
      </c>
      <c r="I1486" s="49" t="s">
        <v>23</v>
      </c>
      <c r="J1486" s="36">
        <f t="shared" si="20"/>
        <v>45729.57424</v>
      </c>
      <c r="K1486" s="49" t="s">
        <v>197</v>
      </c>
      <c r="L1486" s="49" t="s">
        <v>23</v>
      </c>
      <c r="M1486" s="36">
        <f t="shared" si="26"/>
        <v>45730.61485</v>
      </c>
      <c r="N1486" s="30" t="str">
        <f t="shared" si="27"/>
        <v>Selesai</v>
      </c>
      <c r="O1486" s="45">
        <f t="shared" si="23"/>
        <v>45730.61485</v>
      </c>
      <c r="P1486" s="47" t="b">
        <v>1</v>
      </c>
      <c r="Q1486" s="36">
        <f t="shared" si="24"/>
        <v>45730.61499</v>
      </c>
      <c r="R1486" s="47" t="b">
        <v>0</v>
      </c>
      <c r="S1486" s="42" t="str">
        <f t="shared" si="28"/>
        <v/>
      </c>
      <c r="T1486" s="42"/>
    </row>
    <row r="1487" ht="22.5" customHeight="1">
      <c r="B1487" s="42">
        <f t="shared" si="7"/>
        <v>1481</v>
      </c>
      <c r="C1487" s="31" t="s">
        <v>1614</v>
      </c>
      <c r="D1487" s="34" t="str">
        <f t="array" ref="D1487">IFNA(_xlfn.XLOOKUP(C1487,Table_Tarikan_Warkah[Nomor Sertipikat],Table_Tarikan_Warkah[Nomor Tiket]),"")</f>
        <v>L/4/100325/1</v>
      </c>
      <c r="E1487" s="36" t="str">
        <f t="array" ref="E1487">IFNA(_xlfn.XLOOKUP(D1487,Table_Tarikan_Warkah[Nomor Tiket],Table_Tarikan_Warkah[Tanggal diserahkan kepada Validator]),"")</f>
        <v/>
      </c>
      <c r="F1487" s="36" t="str">
        <f t="array" ref="F1487">IFNA(_xlfn.XLOOKUP(D1487,Table_Tarikan_Warkah[Nomor Tiket],Table_Tarikan_Warkah[Nama Petugas Warkah]),"")</f>
        <v/>
      </c>
      <c r="G1487" s="39" t="str">
        <f t="array" ref="G1487">IFNA(_xlfn.XLOOKUP(D1487,Table_Tarikan_Warkah[Nomor Tiket],Table_Tarikan_Warkah[Jenis Permohonan]),"")</f>
        <v>PH</v>
      </c>
      <c r="H1487" s="41" t="s">
        <v>11</v>
      </c>
      <c r="I1487" s="49" t="s">
        <v>23</v>
      </c>
      <c r="J1487" s="36">
        <f t="shared" si="20"/>
        <v>45729.57424</v>
      </c>
      <c r="K1487" s="49" t="s">
        <v>197</v>
      </c>
      <c r="L1487" s="49" t="s">
        <v>23</v>
      </c>
      <c r="M1487" s="36">
        <f t="shared" si="26"/>
        <v>45730.61489</v>
      </c>
      <c r="N1487" s="30" t="str">
        <f t="shared" si="27"/>
        <v>Selesai</v>
      </c>
      <c r="O1487" s="45">
        <f t="shared" si="23"/>
        <v>45730.61489</v>
      </c>
      <c r="P1487" s="47" t="b">
        <v>1</v>
      </c>
      <c r="Q1487" s="36">
        <f t="shared" si="24"/>
        <v>45730.61499</v>
      </c>
      <c r="R1487" s="47" t="b">
        <v>0</v>
      </c>
      <c r="S1487" s="42" t="str">
        <f t="shared" si="28"/>
        <v/>
      </c>
      <c r="T1487" s="42"/>
    </row>
    <row r="1488" ht="22.5" customHeight="1">
      <c r="B1488" s="42">
        <f t="shared" si="7"/>
        <v>1482</v>
      </c>
      <c r="C1488" s="31" t="s">
        <v>1615</v>
      </c>
      <c r="D1488" s="34" t="str">
        <f t="array" ref="D1488">IFNA(_xlfn.XLOOKUP(C1488,Table_Tarikan_Warkah[Nomor Sertipikat],Table_Tarikan_Warkah[Nomor Tiket]),"")</f>
        <v>K/22/100325/1</v>
      </c>
      <c r="E1488" s="36" t="str">
        <f t="array" ref="E1488">IFNA(_xlfn.XLOOKUP(D1488,Table_Tarikan_Warkah[Nomor Tiket],Table_Tarikan_Warkah[Tanggal diserahkan kepada Validator]),"")</f>
        <v/>
      </c>
      <c r="F1488" s="36" t="str">
        <f t="array" ref="F1488">IFNA(_xlfn.XLOOKUP(D1488,Table_Tarikan_Warkah[Nomor Tiket],Table_Tarikan_Warkah[Nama Petugas Warkah]),"")</f>
        <v/>
      </c>
      <c r="G1488" s="39" t="str">
        <f t="array" ref="G1488">IFNA(_xlfn.XLOOKUP(D1488,Table_Tarikan_Warkah[Nomor Tiket],Table_Tarikan_Warkah[Jenis Permohonan]),"")</f>
        <v>ROYA</v>
      </c>
      <c r="H1488" s="41" t="s">
        <v>11</v>
      </c>
      <c r="I1488" s="49" t="s">
        <v>23</v>
      </c>
      <c r="J1488" s="36">
        <f t="shared" si="20"/>
        <v>45729.57424</v>
      </c>
      <c r="K1488" s="49" t="s">
        <v>197</v>
      </c>
      <c r="L1488" s="49" t="s">
        <v>23</v>
      </c>
      <c r="M1488" s="36">
        <f t="shared" si="26"/>
        <v>45730.61489</v>
      </c>
      <c r="N1488" s="30" t="str">
        <f t="shared" si="27"/>
        <v>Selesai</v>
      </c>
      <c r="O1488" s="45">
        <f t="shared" si="23"/>
        <v>45730.61489</v>
      </c>
      <c r="P1488" s="47" t="b">
        <v>1</v>
      </c>
      <c r="Q1488" s="36">
        <f t="shared" si="24"/>
        <v>45730.61499</v>
      </c>
      <c r="R1488" s="47" t="b">
        <v>0</v>
      </c>
      <c r="S1488" s="42" t="str">
        <f t="shared" si="28"/>
        <v/>
      </c>
      <c r="T1488" s="42"/>
    </row>
    <row r="1489" ht="22.5" customHeight="1">
      <c r="B1489" s="42">
        <f t="shared" si="7"/>
        <v>1483</v>
      </c>
      <c r="C1489" s="31" t="s">
        <v>1616</v>
      </c>
      <c r="D1489" s="34" t="str">
        <f t="array" ref="D1489">IFNA(_xlfn.XLOOKUP(C1489,Table_Tarikan_Warkah[Nomor Sertipikat],Table_Tarikan_Warkah[Nomor Tiket]),"")</f>
        <v>K/11/070325/1</v>
      </c>
      <c r="E1489" s="36">
        <f t="array" ref="E1489">IFNA(_xlfn.XLOOKUP(D1489,Table_Tarikan_Warkah[Nomor Tiket],Table_Tarikan_Warkah[Tanggal diserahkan kepada Validator]),"")</f>
        <v>45733.61168</v>
      </c>
      <c r="F1489" s="36" t="str">
        <f t="array" ref="F1489">IFNA(_xlfn.XLOOKUP(D1489,Table_Tarikan_Warkah[Nomor Tiket],Table_Tarikan_Warkah[Nama Petugas Warkah]),"")</f>
        <v/>
      </c>
      <c r="G1489" s="39" t="str">
        <f t="array" ref="G1489">IFNA(_xlfn.XLOOKUP(D1489,Table_Tarikan_Warkah[Nomor Tiket],Table_Tarikan_Warkah[Jenis Permohonan]),"")</f>
        <v>BN JUAL BELI</v>
      </c>
      <c r="H1489" s="41" t="s">
        <v>11</v>
      </c>
      <c r="I1489" s="49" t="s">
        <v>23</v>
      </c>
      <c r="J1489" s="36">
        <f t="shared" si="20"/>
        <v>45729.57424</v>
      </c>
      <c r="K1489" s="49" t="s">
        <v>197</v>
      </c>
      <c r="L1489" s="49" t="s">
        <v>23</v>
      </c>
      <c r="M1489" s="36">
        <f t="shared" si="26"/>
        <v>45730.61489</v>
      </c>
      <c r="N1489" s="30" t="str">
        <f t="shared" si="27"/>
        <v>Selesai</v>
      </c>
      <c r="O1489" s="45">
        <f t="shared" si="23"/>
        <v>45730.61489</v>
      </c>
      <c r="P1489" s="47" t="b">
        <v>1</v>
      </c>
      <c r="Q1489" s="36">
        <f t="shared" si="24"/>
        <v>45730.61499</v>
      </c>
      <c r="R1489" s="47" t="b">
        <v>0</v>
      </c>
      <c r="S1489" s="42" t="str">
        <f t="shared" si="28"/>
        <v/>
      </c>
      <c r="T1489" s="42"/>
    </row>
    <row r="1490" ht="22.5" customHeight="1">
      <c r="B1490" s="42">
        <f t="shared" si="7"/>
        <v>1484</v>
      </c>
      <c r="C1490" s="31" t="s">
        <v>1617</v>
      </c>
      <c r="D1490" s="34" t="str">
        <f t="array" ref="D1490">IFNA(_xlfn.XLOOKUP(C1490,Table_Tarikan_Warkah[Nomor Sertipikat],Table_Tarikan_Warkah[Nomor Tiket]),"")</f>
        <v>K/30/070325/1</v>
      </c>
      <c r="E1490" s="36">
        <f t="array" ref="E1490">IFNA(_xlfn.XLOOKUP(D1490,Table_Tarikan_Warkah[Nomor Tiket],Table_Tarikan_Warkah[Tanggal diserahkan kepada Validator]),"")</f>
        <v>45733.59514</v>
      </c>
      <c r="F1490" s="36" t="str">
        <f t="array" ref="F1490">IFNA(_xlfn.XLOOKUP(D1490,Table_Tarikan_Warkah[Nomor Tiket],Table_Tarikan_Warkah[Nama Petugas Warkah]),"")</f>
        <v/>
      </c>
      <c r="G1490" s="39" t="str">
        <f t="array" ref="G1490">IFNA(_xlfn.XLOOKUP(D1490,Table_Tarikan_Warkah[Nomor Tiket],Table_Tarikan_Warkah[Jenis Permohonan]),"")</f>
        <v>BN JUAL BELI</v>
      </c>
      <c r="H1490" s="41" t="s">
        <v>11</v>
      </c>
      <c r="I1490" s="49" t="s">
        <v>23</v>
      </c>
      <c r="J1490" s="36">
        <f t="shared" si="20"/>
        <v>45729.57424</v>
      </c>
      <c r="K1490" s="49" t="s">
        <v>197</v>
      </c>
      <c r="L1490" s="49" t="s">
        <v>23</v>
      </c>
      <c r="M1490" s="36">
        <f t="shared" si="26"/>
        <v>45730.61489</v>
      </c>
      <c r="N1490" s="30" t="str">
        <f t="shared" si="27"/>
        <v>Selesai</v>
      </c>
      <c r="O1490" s="45">
        <f t="shared" si="23"/>
        <v>45730.61489</v>
      </c>
      <c r="P1490" s="47" t="b">
        <v>1</v>
      </c>
      <c r="Q1490" s="36">
        <f t="shared" si="24"/>
        <v>45730.61499</v>
      </c>
      <c r="R1490" s="47" t="b">
        <v>0</v>
      </c>
      <c r="S1490" s="42" t="str">
        <f t="shared" si="28"/>
        <v/>
      </c>
      <c r="T1490" s="42"/>
    </row>
    <row r="1491" ht="22.5" customHeight="1">
      <c r="B1491" s="42">
        <f t="shared" si="7"/>
        <v>1485</v>
      </c>
      <c r="C1491" s="31" t="s">
        <v>1618</v>
      </c>
      <c r="D1491" s="34" t="str">
        <f t="array" ref="D1491">IFNA(_xlfn.XLOOKUP(C1491,Table_Tarikan_Warkah[Nomor Sertipikat],Table_Tarikan_Warkah[Nomor Tiket]),"")</f>
        <v>K/13/250225/1</v>
      </c>
      <c r="E1491" s="36">
        <f t="array" ref="E1491">IFNA(_xlfn.XLOOKUP(D1491,Table_Tarikan_Warkah[Nomor Tiket],Table_Tarikan_Warkah[Tanggal diserahkan kepada Validator]),"")</f>
        <v>45735.44436</v>
      </c>
      <c r="F1491" s="36" t="str">
        <f t="array" ref="F1491">IFNA(_xlfn.XLOOKUP(D1491,Table_Tarikan_Warkah[Nomor Tiket],Table_Tarikan_Warkah[Nama Petugas Warkah]),"")</f>
        <v/>
      </c>
      <c r="G1491" s="39" t="str">
        <f t="array" ref="G1491">IFNA(_xlfn.XLOOKUP(D1491,Table_Tarikan_Warkah[Nomor Tiket],Table_Tarikan_Warkah[Jenis Permohonan]),"")</f>
        <v>BN JUAL BELI</v>
      </c>
      <c r="H1491" s="41" t="s">
        <v>11</v>
      </c>
      <c r="I1491" s="49" t="s">
        <v>23</v>
      </c>
      <c r="J1491" s="36">
        <f t="shared" si="20"/>
        <v>45729.57424</v>
      </c>
      <c r="K1491" s="49" t="s">
        <v>197</v>
      </c>
      <c r="L1491" s="49" t="s">
        <v>23</v>
      </c>
      <c r="M1491" s="36">
        <f t="shared" si="26"/>
        <v>45730.61489</v>
      </c>
      <c r="N1491" s="30" t="str">
        <f t="shared" si="27"/>
        <v>Selesai</v>
      </c>
      <c r="O1491" s="45">
        <f t="shared" si="23"/>
        <v>45730.61489</v>
      </c>
      <c r="P1491" s="47" t="b">
        <v>1</v>
      </c>
      <c r="Q1491" s="36">
        <f t="shared" si="24"/>
        <v>45730.61499</v>
      </c>
      <c r="R1491" s="47" t="b">
        <v>0</v>
      </c>
      <c r="S1491" s="42" t="str">
        <f t="shared" si="28"/>
        <v/>
      </c>
      <c r="T1491" s="42"/>
    </row>
    <row r="1492" ht="22.5" customHeight="1">
      <c r="B1492" s="42">
        <f t="shared" si="7"/>
        <v>1486</v>
      </c>
      <c r="C1492" s="31" t="s">
        <v>1619</v>
      </c>
      <c r="D1492" s="34" t="str">
        <f t="array" ref="D1492">IFNA(_xlfn.XLOOKUP(C1492,Table_Tarikan_Warkah[Nomor Sertipikat],Table_Tarikan_Warkah[Nomor Tiket]),"")</f>
        <v>K/2/100325/1</v>
      </c>
      <c r="E1492" s="36">
        <f t="array" ref="E1492">IFNA(_xlfn.XLOOKUP(D1492,Table_Tarikan_Warkah[Nomor Tiket],Table_Tarikan_Warkah[Tanggal diserahkan kepada Validator]),"")</f>
        <v>45735.44541</v>
      </c>
      <c r="F1492" s="36" t="str">
        <f t="array" ref="F1492">IFNA(_xlfn.XLOOKUP(D1492,Table_Tarikan_Warkah[Nomor Tiket],Table_Tarikan_Warkah[Nama Petugas Warkah]),"")</f>
        <v/>
      </c>
      <c r="G1492" s="39" t="str">
        <f t="array" ref="G1492">IFNA(_xlfn.XLOOKUP(D1492,Table_Tarikan_Warkah[Nomor Tiket],Table_Tarikan_Warkah[Jenis Permohonan]),"")</f>
        <v>BN JUAL BELI</v>
      </c>
      <c r="H1492" s="41" t="s">
        <v>11</v>
      </c>
      <c r="I1492" s="49" t="s">
        <v>23</v>
      </c>
      <c r="J1492" s="36">
        <f t="shared" si="20"/>
        <v>45729.57424</v>
      </c>
      <c r="K1492" s="49" t="s">
        <v>197</v>
      </c>
      <c r="L1492" s="49" t="s">
        <v>23</v>
      </c>
      <c r="M1492" s="36">
        <f t="shared" si="26"/>
        <v>45730.61489</v>
      </c>
      <c r="N1492" s="30" t="str">
        <f t="shared" si="27"/>
        <v>Selesai</v>
      </c>
      <c r="O1492" s="45">
        <f t="shared" si="23"/>
        <v>45730.61489</v>
      </c>
      <c r="P1492" s="47" t="b">
        <v>1</v>
      </c>
      <c r="Q1492" s="36">
        <f t="shared" si="24"/>
        <v>45730.61499</v>
      </c>
      <c r="R1492" s="47" t="b">
        <v>0</v>
      </c>
      <c r="S1492" s="42" t="str">
        <f t="shared" si="28"/>
        <v/>
      </c>
      <c r="T1492" s="42"/>
    </row>
    <row r="1493" ht="22.5" customHeight="1">
      <c r="B1493" s="42">
        <f t="shared" si="7"/>
        <v>1487</v>
      </c>
      <c r="C1493" s="31" t="s">
        <v>1620</v>
      </c>
      <c r="D1493" s="34" t="str">
        <f t="array" ref="D1493">IFNA(_xlfn.XLOOKUP(C1493,Table_Tarikan_Warkah[Nomor Sertipikat],Table_Tarikan_Warkah[Nomor Tiket]),"")</f>
        <v>K/10/050325/1</v>
      </c>
      <c r="E1493" s="36">
        <f t="array" ref="E1493">IFNA(_xlfn.XLOOKUP(D1493,Table_Tarikan_Warkah[Nomor Tiket],Table_Tarikan_Warkah[Tanggal diserahkan kepada Validator]),"")</f>
        <v>45733.61033</v>
      </c>
      <c r="F1493" s="36" t="str">
        <f t="array" ref="F1493">IFNA(_xlfn.XLOOKUP(D1493,Table_Tarikan_Warkah[Nomor Tiket],Table_Tarikan_Warkah[Nama Petugas Warkah]),"")</f>
        <v/>
      </c>
      <c r="G1493" s="39" t="str">
        <f t="array" ref="G1493">IFNA(_xlfn.XLOOKUP(D1493,Table_Tarikan_Warkah[Nomor Tiket],Table_Tarikan_Warkah[Jenis Permohonan]),"")</f>
        <v>BN Waris</v>
      </c>
      <c r="H1493" s="41" t="s">
        <v>20</v>
      </c>
      <c r="I1493" s="49" t="s">
        <v>23</v>
      </c>
      <c r="J1493" s="36">
        <f t="shared" si="20"/>
        <v>45729.57424</v>
      </c>
      <c r="K1493" s="49" t="s">
        <v>197</v>
      </c>
      <c r="L1493" s="49" t="s">
        <v>23</v>
      </c>
      <c r="M1493" s="36">
        <f t="shared" si="26"/>
        <v>45730.61489</v>
      </c>
      <c r="N1493" s="30" t="str">
        <f t="shared" si="27"/>
        <v>Selesai</v>
      </c>
      <c r="O1493" s="45">
        <f t="shared" si="23"/>
        <v>45730.61489</v>
      </c>
      <c r="P1493" s="47" t="b">
        <v>1</v>
      </c>
      <c r="Q1493" s="36">
        <f t="shared" si="24"/>
        <v>45730.61499</v>
      </c>
      <c r="R1493" s="47" t="b">
        <v>0</v>
      </c>
      <c r="S1493" s="42" t="str">
        <f t="shared" si="28"/>
        <v/>
      </c>
      <c r="T1493" s="42"/>
    </row>
    <row r="1494" ht="22.5" customHeight="1">
      <c r="B1494" s="42">
        <f t="shared" si="7"/>
        <v>1488</v>
      </c>
      <c r="C1494" s="31" t="s">
        <v>1621</v>
      </c>
      <c r="D1494" s="34" t="str">
        <f t="array" ref="D1494">IFNA(_xlfn.XLOOKUP(C1494,Table_Tarikan_Warkah[Nomor Sertipikat],Table_Tarikan_Warkah[Nomor Tiket]),"")</f>
        <v>K/11/100325/1</v>
      </c>
      <c r="E1494" s="36" t="str">
        <f t="array" ref="E1494">IFNA(_xlfn.XLOOKUP(D1494,Table_Tarikan_Warkah[Nomor Tiket],Table_Tarikan_Warkah[Tanggal diserahkan kepada Validator]),"")</f>
        <v/>
      </c>
      <c r="F1494" s="36" t="str">
        <f t="array" ref="F1494">IFNA(_xlfn.XLOOKUP(D1494,Table_Tarikan_Warkah[Nomor Tiket],Table_Tarikan_Warkah[Nama Petugas Warkah]),"")</f>
        <v/>
      </c>
      <c r="G1494" s="39" t="str">
        <f t="array" ref="G1494">IFNA(_xlfn.XLOOKUP(D1494,Table_Tarikan_Warkah[Nomor Tiket],Table_Tarikan_Warkah[Jenis Permohonan]),"")</f>
        <v>BN Jual Beli</v>
      </c>
      <c r="H1494" s="41" t="s">
        <v>20</v>
      </c>
      <c r="I1494" s="49" t="s">
        <v>23</v>
      </c>
      <c r="J1494" s="36">
        <f t="shared" si="20"/>
        <v>45729.57424</v>
      </c>
      <c r="K1494" s="49" t="s">
        <v>197</v>
      </c>
      <c r="L1494" s="49" t="s">
        <v>23</v>
      </c>
      <c r="M1494" s="36">
        <f t="shared" si="26"/>
        <v>45730.61489</v>
      </c>
      <c r="N1494" s="30" t="str">
        <f t="shared" si="27"/>
        <v>Selesai</v>
      </c>
      <c r="O1494" s="45">
        <f t="shared" si="23"/>
        <v>45730.61489</v>
      </c>
      <c r="P1494" s="47" t="b">
        <v>1</v>
      </c>
      <c r="Q1494" s="36">
        <f t="shared" si="24"/>
        <v>45730.61499</v>
      </c>
      <c r="R1494" s="47" t="b">
        <v>0</v>
      </c>
      <c r="S1494" s="42" t="str">
        <f t="shared" si="28"/>
        <v/>
      </c>
      <c r="T1494" s="42"/>
    </row>
    <row r="1495" ht="22.5" customHeight="1">
      <c r="B1495" s="42">
        <f t="shared" si="7"/>
        <v>1489</v>
      </c>
      <c r="C1495" s="31" t="s">
        <v>1622</v>
      </c>
      <c r="D1495" s="34" t="str">
        <f t="array" ref="D1495">IFNA(_xlfn.XLOOKUP(C1495,Table_Tarikan_Warkah[Nomor Sertipikat],Table_Tarikan_Warkah[Nomor Tiket]),"")</f>
        <v>K/34/070325/1</v>
      </c>
      <c r="E1495" s="36">
        <f t="array" ref="E1495">IFNA(_xlfn.XLOOKUP(D1495,Table_Tarikan_Warkah[Nomor Tiket],Table_Tarikan_Warkah[Tanggal diserahkan kepada Validator]),"")</f>
        <v>45733.61347</v>
      </c>
      <c r="F1495" s="36" t="str">
        <f t="array" ref="F1495">IFNA(_xlfn.XLOOKUP(D1495,Table_Tarikan_Warkah[Nomor Tiket],Table_Tarikan_Warkah[Nama Petugas Warkah]),"")</f>
        <v/>
      </c>
      <c r="G1495" s="39" t="str">
        <f t="array" ref="G1495">IFNA(_xlfn.XLOOKUP(D1495,Table_Tarikan_Warkah[Nomor Tiket],Table_Tarikan_Warkah[Jenis Permohonan]),"")</f>
        <v>BN Jual Beli</v>
      </c>
      <c r="H1495" s="41" t="s">
        <v>20</v>
      </c>
      <c r="I1495" s="49" t="s">
        <v>23</v>
      </c>
      <c r="J1495" s="36">
        <f t="shared" si="20"/>
        <v>45729.57424</v>
      </c>
      <c r="K1495" s="49" t="s">
        <v>197</v>
      </c>
      <c r="L1495" s="49" t="s">
        <v>23</v>
      </c>
      <c r="M1495" s="36">
        <f t="shared" si="26"/>
        <v>45730.61489</v>
      </c>
      <c r="N1495" s="30" t="str">
        <f t="shared" si="27"/>
        <v>Selesai</v>
      </c>
      <c r="O1495" s="45">
        <f t="shared" si="23"/>
        <v>45730.61489</v>
      </c>
      <c r="P1495" s="47" t="b">
        <v>1</v>
      </c>
      <c r="Q1495" s="36">
        <f t="shared" si="24"/>
        <v>45730.61499</v>
      </c>
      <c r="R1495" s="47" t="b">
        <v>0</v>
      </c>
      <c r="S1495" s="42" t="str">
        <f t="shared" si="28"/>
        <v/>
      </c>
      <c r="T1495" s="42"/>
    </row>
    <row r="1496" ht="22.5" customHeight="1">
      <c r="B1496" s="42">
        <f t="shared" si="7"/>
        <v>1490</v>
      </c>
      <c r="C1496" s="31" t="s">
        <v>1623</v>
      </c>
      <c r="D1496" s="34" t="str">
        <f t="array" ref="D1496">IFNA(_xlfn.XLOOKUP(C1496,Table_Tarikan_Warkah[Nomor Sertipikat],Table_Tarikan_Warkah[Nomor Tiket]),"")</f>
        <v>K/9/060325/1</v>
      </c>
      <c r="E1496" s="36">
        <f t="array" ref="E1496">IFNA(_xlfn.XLOOKUP(D1496,Table_Tarikan_Warkah[Nomor Tiket],Table_Tarikan_Warkah[Tanggal diserahkan kepada Validator]),"")</f>
        <v>45733.60098</v>
      </c>
      <c r="F1496" s="36" t="str">
        <f t="array" ref="F1496">IFNA(_xlfn.XLOOKUP(D1496,Table_Tarikan_Warkah[Nomor Tiket],Table_Tarikan_Warkah[Nama Petugas Warkah]),"")</f>
        <v/>
      </c>
      <c r="G1496" s="39" t="str">
        <f t="array" ref="G1496">IFNA(_xlfn.XLOOKUP(D1496,Table_Tarikan_Warkah[Nomor Tiket],Table_Tarikan_Warkah[Jenis Permohonan]),"")</f>
        <v>BN Hibah</v>
      </c>
      <c r="H1496" s="41" t="s">
        <v>20</v>
      </c>
      <c r="I1496" s="49" t="s">
        <v>23</v>
      </c>
      <c r="J1496" s="36">
        <f t="shared" si="20"/>
        <v>45729.57424</v>
      </c>
      <c r="K1496" s="49" t="s">
        <v>197</v>
      </c>
      <c r="L1496" s="49" t="s">
        <v>23</v>
      </c>
      <c r="M1496" s="36">
        <f t="shared" si="26"/>
        <v>45730.61489</v>
      </c>
      <c r="N1496" s="30" t="str">
        <f t="shared" si="27"/>
        <v>Selesai</v>
      </c>
      <c r="O1496" s="45">
        <f t="shared" si="23"/>
        <v>45730.61489</v>
      </c>
      <c r="P1496" s="47" t="b">
        <v>1</v>
      </c>
      <c r="Q1496" s="36">
        <f t="shared" si="24"/>
        <v>45730.61499</v>
      </c>
      <c r="R1496" s="47" t="b">
        <v>0</v>
      </c>
      <c r="S1496" s="42" t="str">
        <f t="shared" si="28"/>
        <v/>
      </c>
      <c r="T1496" s="42"/>
    </row>
    <row r="1497" ht="22.5" customHeight="1">
      <c r="B1497" s="42">
        <f t="shared" si="7"/>
        <v>1491</v>
      </c>
      <c r="C1497" s="31" t="s">
        <v>1624</v>
      </c>
      <c r="D1497" s="34" t="str">
        <f t="array" ref="D1497">IFNA(_xlfn.XLOOKUP(C1497,Table_Tarikan_Warkah[Nomor Sertipikat],Table_Tarikan_Warkah[Nomor Tiket]),"")</f>
        <v>K/17/060325/1</v>
      </c>
      <c r="E1497" s="36">
        <f t="array" ref="E1497">IFNA(_xlfn.XLOOKUP(D1497,Table_Tarikan_Warkah[Nomor Tiket],Table_Tarikan_Warkah[Tanggal diserahkan kepada Validator]),"")</f>
        <v>45733.59242</v>
      </c>
      <c r="F1497" s="36" t="str">
        <f t="array" ref="F1497">IFNA(_xlfn.XLOOKUP(D1497,Table_Tarikan_Warkah[Nomor Tiket],Table_Tarikan_Warkah[Nama Petugas Warkah]),"")</f>
        <v/>
      </c>
      <c r="G1497" s="39" t="str">
        <f t="array" ref="G1497">IFNA(_xlfn.XLOOKUP(D1497,Table_Tarikan_Warkah[Nomor Tiket],Table_Tarikan_Warkah[Jenis Permohonan]),"")</f>
        <v>BN Jual Beli</v>
      </c>
      <c r="H1497" s="41" t="s">
        <v>20</v>
      </c>
      <c r="I1497" s="49" t="s">
        <v>23</v>
      </c>
      <c r="J1497" s="36">
        <f t="shared" si="20"/>
        <v>45729.57424</v>
      </c>
      <c r="K1497" s="49" t="s">
        <v>197</v>
      </c>
      <c r="L1497" s="49" t="s">
        <v>23</v>
      </c>
      <c r="M1497" s="36">
        <f t="shared" si="26"/>
        <v>45730.61489</v>
      </c>
      <c r="N1497" s="30" t="str">
        <f t="shared" si="27"/>
        <v>Selesai</v>
      </c>
      <c r="O1497" s="45">
        <f t="shared" si="23"/>
        <v>45730.61489</v>
      </c>
      <c r="P1497" s="47" t="b">
        <v>1</v>
      </c>
      <c r="Q1497" s="36">
        <f t="shared" si="24"/>
        <v>45730.61499</v>
      </c>
      <c r="R1497" s="47" t="b">
        <v>0</v>
      </c>
      <c r="S1497" s="42" t="str">
        <f t="shared" si="28"/>
        <v/>
      </c>
      <c r="T1497" s="42"/>
    </row>
    <row r="1498" ht="22.5" customHeight="1">
      <c r="B1498" s="42">
        <f t="shared" si="7"/>
        <v>1492</v>
      </c>
      <c r="C1498" s="31" t="s">
        <v>1625</v>
      </c>
      <c r="D1498" s="34" t="str">
        <f t="array" ref="D1498">IFNA(_xlfn.XLOOKUP(C1498,Table_Tarikan_Warkah[Nomor Sertipikat],Table_Tarikan_Warkah[Nomor Tiket]),"")</f>
        <v>K/35/060325/4</v>
      </c>
      <c r="E1498" s="36">
        <f t="array" ref="E1498">IFNA(_xlfn.XLOOKUP(D1498,Table_Tarikan_Warkah[Nomor Tiket],Table_Tarikan_Warkah[Tanggal diserahkan kepada Validator]),"")</f>
        <v>45733.59823</v>
      </c>
      <c r="F1498" s="36" t="str">
        <f t="array" ref="F1498">IFNA(_xlfn.XLOOKUP(D1498,Table_Tarikan_Warkah[Nomor Tiket],Table_Tarikan_Warkah[Nama Petugas Warkah]),"")</f>
        <v/>
      </c>
      <c r="G1498" s="39" t="str">
        <f t="array" ref="G1498">IFNA(_xlfn.XLOOKUP(D1498,Table_Tarikan_Warkah[Nomor Tiket],Table_Tarikan_Warkah[Jenis Permohonan]),"")</f>
        <v>BN Jual Beli</v>
      </c>
      <c r="H1498" s="41" t="s">
        <v>20</v>
      </c>
      <c r="I1498" s="49" t="s">
        <v>23</v>
      </c>
      <c r="J1498" s="36">
        <f t="shared" si="20"/>
        <v>45729.57424</v>
      </c>
      <c r="K1498" s="49" t="s">
        <v>197</v>
      </c>
      <c r="L1498" s="49" t="s">
        <v>23</v>
      </c>
      <c r="M1498" s="36">
        <f t="shared" si="26"/>
        <v>45730.61489</v>
      </c>
      <c r="N1498" s="30" t="str">
        <f t="shared" si="27"/>
        <v>Selesai</v>
      </c>
      <c r="O1498" s="45">
        <f t="shared" si="23"/>
        <v>45730.61489</v>
      </c>
      <c r="P1498" s="47" t="b">
        <v>1</v>
      </c>
      <c r="Q1498" s="36">
        <f t="shared" si="24"/>
        <v>45730.61499</v>
      </c>
      <c r="R1498" s="47" t="b">
        <v>0</v>
      </c>
      <c r="S1498" s="42" t="str">
        <f t="shared" si="28"/>
        <v/>
      </c>
      <c r="T1498" s="42"/>
    </row>
    <row r="1499" ht="22.5" customHeight="1">
      <c r="B1499" s="42">
        <f t="shared" si="7"/>
        <v>1493</v>
      </c>
      <c r="C1499" s="31" t="s">
        <v>1626</v>
      </c>
      <c r="D1499" s="34" t="str">
        <f t="array" ref="D1499">IFNA(_xlfn.XLOOKUP(C1499,Table_Tarikan_Warkah[Nomor Sertipikat],Table_Tarikan_Warkah[Nomor Tiket]),"")</f>
        <v>K/18/270225/1</v>
      </c>
      <c r="E1499" s="36">
        <f t="array" ref="E1499">IFNA(_xlfn.XLOOKUP(D1499,Table_Tarikan_Warkah[Nomor Tiket],Table_Tarikan_Warkah[Tanggal diserahkan kepada Validator]),"")</f>
        <v>45733.5939</v>
      </c>
      <c r="F1499" s="36" t="str">
        <f t="array" ref="F1499">IFNA(_xlfn.XLOOKUP(D1499,Table_Tarikan_Warkah[Nomor Tiket],Table_Tarikan_Warkah[Nama Petugas Warkah]),"")</f>
        <v/>
      </c>
      <c r="G1499" s="39" t="str">
        <f t="array" ref="G1499">IFNA(_xlfn.XLOOKUP(D1499,Table_Tarikan_Warkah[Nomor Tiket],Table_Tarikan_Warkah[Jenis Permohonan]),"")</f>
        <v>BN Jual Beli</v>
      </c>
      <c r="H1499" s="41" t="s">
        <v>20</v>
      </c>
      <c r="I1499" s="49" t="s">
        <v>23</v>
      </c>
      <c r="J1499" s="36">
        <f t="shared" si="20"/>
        <v>45730.46097</v>
      </c>
      <c r="K1499" s="49" t="s">
        <v>197</v>
      </c>
      <c r="L1499" s="49" t="s">
        <v>23</v>
      </c>
      <c r="M1499" s="36">
        <f t="shared" si="26"/>
        <v>45730.61489</v>
      </c>
      <c r="N1499" s="30" t="str">
        <f t="shared" si="27"/>
        <v>Selesai</v>
      </c>
      <c r="O1499" s="45">
        <f t="shared" si="23"/>
        <v>45730.61489</v>
      </c>
      <c r="P1499" s="47" t="b">
        <v>1</v>
      </c>
      <c r="Q1499" s="36">
        <f t="shared" si="24"/>
        <v>45730.61499</v>
      </c>
      <c r="R1499" s="47" t="b">
        <v>0</v>
      </c>
      <c r="S1499" s="42" t="str">
        <f t="shared" si="28"/>
        <v/>
      </c>
      <c r="T1499" s="42"/>
    </row>
    <row r="1500" ht="22.5" customHeight="1">
      <c r="B1500" s="42">
        <f t="shared" si="7"/>
        <v>1494</v>
      </c>
      <c r="C1500" s="31" t="s">
        <v>1627</v>
      </c>
      <c r="D1500" s="34" t="str">
        <f t="array" ref="D1500">IFNA(_xlfn.XLOOKUP(C1500,Table_Tarikan_Warkah[Nomor Sertipikat],Table_Tarikan_Warkah[Nomor Tiket]),"")</f>
        <v>K/22/040325/1</v>
      </c>
      <c r="E1500" s="36">
        <f t="array" ref="E1500">IFNA(_xlfn.XLOOKUP(D1500,Table_Tarikan_Warkah[Nomor Tiket],Table_Tarikan_Warkah[Tanggal diserahkan kepada Validator]),"")</f>
        <v>45733.59882</v>
      </c>
      <c r="F1500" s="36" t="str">
        <f t="array" ref="F1500">IFNA(_xlfn.XLOOKUP(D1500,Table_Tarikan_Warkah[Nomor Tiket],Table_Tarikan_Warkah[Nama Petugas Warkah]),"")</f>
        <v/>
      </c>
      <c r="G1500" s="39" t="str">
        <f t="array" ref="G1500">IFNA(_xlfn.XLOOKUP(D1500,Table_Tarikan_Warkah[Nomor Tiket],Table_Tarikan_Warkah[Jenis Permohonan]),"")</f>
        <v>BN Jual Beli</v>
      </c>
      <c r="H1500" s="41" t="s">
        <v>20</v>
      </c>
      <c r="I1500" s="49" t="s">
        <v>23</v>
      </c>
      <c r="J1500" s="36">
        <f t="shared" si="20"/>
        <v>45730.46112</v>
      </c>
      <c r="K1500" s="49" t="s">
        <v>197</v>
      </c>
      <c r="L1500" s="49" t="s">
        <v>23</v>
      </c>
      <c r="M1500" s="36">
        <f t="shared" si="26"/>
        <v>45730.61489</v>
      </c>
      <c r="N1500" s="30" t="str">
        <f t="shared" si="27"/>
        <v>Selesai</v>
      </c>
      <c r="O1500" s="45">
        <f t="shared" si="23"/>
        <v>45730.61489</v>
      </c>
      <c r="P1500" s="47" t="b">
        <v>1</v>
      </c>
      <c r="Q1500" s="36">
        <f t="shared" si="24"/>
        <v>45730.61499</v>
      </c>
      <c r="R1500" s="47" t="b">
        <v>0</v>
      </c>
      <c r="S1500" s="42" t="str">
        <f t="shared" si="28"/>
        <v/>
      </c>
      <c r="T1500" s="42"/>
    </row>
    <row r="1501" ht="22.5" customHeight="1">
      <c r="B1501" s="42">
        <f t="shared" si="7"/>
        <v>1495</v>
      </c>
      <c r="C1501" s="31" t="s">
        <v>1628</v>
      </c>
      <c r="D1501" s="42" t="s">
        <v>1629</v>
      </c>
      <c r="E1501" s="36" t="str">
        <f t="array" ref="E1501">IFNA(_xlfn.XLOOKUP(D1501,Table_Tarikan_Warkah[Nomor Tiket],Table_Tarikan_Warkah[Tanggal diserahkan kepada Validator]),"")</f>
        <v/>
      </c>
      <c r="F1501" s="36" t="str">
        <f t="array" ref="F1501">IFNA(_xlfn.XLOOKUP(D1501,Table_Tarikan_Warkah[Nomor Tiket],Table_Tarikan_Warkah[Nama Petugas Warkah]),"")</f>
        <v/>
      </c>
      <c r="G1501" s="39" t="str">
        <f t="array" ref="G1501">IFNA(_xlfn.XLOOKUP(D1501,Table_Tarikan_Warkah[Nomor Tiket],Table_Tarikan_Warkah[Jenis Permohonan]),"")</f>
        <v>Pemecahan</v>
      </c>
      <c r="H1501" s="41" t="s">
        <v>20</v>
      </c>
      <c r="I1501" s="49" t="s">
        <v>23</v>
      </c>
      <c r="J1501" s="36">
        <f t="shared" si="20"/>
        <v>45730.46122</v>
      </c>
      <c r="K1501" s="49" t="s">
        <v>197</v>
      </c>
      <c r="L1501" s="49" t="s">
        <v>23</v>
      </c>
      <c r="M1501" s="36">
        <f t="shared" si="26"/>
        <v>45730.61489</v>
      </c>
      <c r="N1501" s="30" t="str">
        <f t="shared" si="27"/>
        <v>Selesai</v>
      </c>
      <c r="O1501" s="45">
        <f t="shared" si="23"/>
        <v>45730.61489</v>
      </c>
      <c r="P1501" s="47" t="b">
        <v>1</v>
      </c>
      <c r="Q1501" s="36">
        <f t="shared" si="24"/>
        <v>45730.61499</v>
      </c>
      <c r="R1501" s="47" t="b">
        <v>0</v>
      </c>
      <c r="S1501" s="42" t="str">
        <f t="shared" si="28"/>
        <v/>
      </c>
      <c r="T1501" s="42"/>
    </row>
    <row r="1502" ht="22.5" customHeight="1">
      <c r="B1502" s="42">
        <f t="shared" si="7"/>
        <v>1496</v>
      </c>
      <c r="C1502" s="31" t="s">
        <v>620</v>
      </c>
      <c r="D1502" s="34" t="str">
        <f t="array" ref="D1502">IFNA(_xlfn.XLOOKUP(C1502,Table_Tarikan_Warkah[Nomor Sertipikat],Table_Tarikan_Warkah[Nomor Tiket]),"")</f>
        <v>K/35/061224/2</v>
      </c>
      <c r="E1502" s="36" t="str">
        <f t="array" ref="E1502">IFNA(_xlfn.XLOOKUP(D1502,Table_Tarikan_Warkah[Nomor Tiket],Table_Tarikan_Warkah[Tanggal diserahkan kepada Validator]),"")</f>
        <v>09/12/2024 16.15</v>
      </c>
      <c r="F1502" s="36" t="str">
        <f t="array" ref="F1502">IFNA(_xlfn.XLOOKUP(D1502,Table_Tarikan_Warkah[Nomor Tiket],Table_Tarikan_Warkah[Nama Petugas Warkah]),"")</f>
        <v>David</v>
      </c>
      <c r="G1502" s="39" t="str">
        <f t="array" ref="G1502">IFNA(_xlfn.XLOOKUP(D1502,Table_Tarikan_Warkah[Nomor Tiket],Table_Tarikan_Warkah[Jenis Permohonan]),"")</f>
        <v>BN Jual Beli</v>
      </c>
      <c r="H1502" s="41" t="s">
        <v>20</v>
      </c>
      <c r="I1502" s="49" t="s">
        <v>23</v>
      </c>
      <c r="J1502" s="36">
        <f t="shared" si="20"/>
        <v>45730.46157</v>
      </c>
      <c r="K1502" s="49" t="s">
        <v>197</v>
      </c>
      <c r="L1502" s="49" t="s">
        <v>23</v>
      </c>
      <c r="M1502" s="36">
        <f t="shared" si="26"/>
        <v>45730.61489</v>
      </c>
      <c r="N1502" s="30" t="str">
        <f t="shared" si="27"/>
        <v>Selesai</v>
      </c>
      <c r="O1502" s="45">
        <f t="shared" si="23"/>
        <v>45730.61489</v>
      </c>
      <c r="P1502" s="47" t="b">
        <v>1</v>
      </c>
      <c r="Q1502" s="36">
        <f t="shared" si="24"/>
        <v>45730.61499</v>
      </c>
      <c r="R1502" s="47" t="b">
        <v>0</v>
      </c>
      <c r="S1502" s="42" t="str">
        <f t="shared" si="28"/>
        <v/>
      </c>
      <c r="T1502" s="42"/>
    </row>
    <row r="1503" ht="22.5" customHeight="1">
      <c r="B1503" s="42">
        <f t="shared" si="7"/>
        <v>1497</v>
      </c>
      <c r="C1503" s="31" t="s">
        <v>1630</v>
      </c>
      <c r="D1503" s="34" t="str">
        <f t="array" ref="D1503">IFNA(_xlfn.XLOOKUP(C1503,Table_Tarikan_Warkah[Nomor Sertipikat],Table_Tarikan_Warkah[Nomor Tiket]),"")</f>
        <v>K/3/110325/3</v>
      </c>
      <c r="E1503" s="36">
        <f t="array" ref="E1503">IFNA(_xlfn.XLOOKUP(D1503,Table_Tarikan_Warkah[Nomor Tiket],Table_Tarikan_Warkah[Tanggal diserahkan kepada Validator]),"")</f>
        <v>45733.60348</v>
      </c>
      <c r="F1503" s="36" t="str">
        <f t="array" ref="F1503">IFNA(_xlfn.XLOOKUP(D1503,Table_Tarikan_Warkah[Nomor Tiket],Table_Tarikan_Warkah[Nama Petugas Warkah]),"")</f>
        <v/>
      </c>
      <c r="G1503" s="39" t="str">
        <f t="array" ref="G1503">IFNA(_xlfn.XLOOKUP(D1503,Table_Tarikan_Warkah[Nomor Tiket],Table_Tarikan_Warkah[Jenis Permohonan]),"")</f>
        <v>BN Jual Beli</v>
      </c>
      <c r="H1503" s="41" t="s">
        <v>20</v>
      </c>
      <c r="I1503" s="49" t="s">
        <v>23</v>
      </c>
      <c r="J1503" s="36">
        <f t="shared" si="20"/>
        <v>45730.46174</v>
      </c>
      <c r="K1503" s="49" t="s">
        <v>197</v>
      </c>
      <c r="L1503" s="49" t="s">
        <v>23</v>
      </c>
      <c r="M1503" s="36">
        <f t="shared" si="26"/>
        <v>45730.47453</v>
      </c>
      <c r="N1503" s="30" t="str">
        <f t="shared" si="27"/>
        <v>Selesai</v>
      </c>
      <c r="O1503" s="45">
        <f t="shared" si="23"/>
        <v>45730.47453</v>
      </c>
      <c r="P1503" s="47" t="b">
        <v>1</v>
      </c>
      <c r="Q1503" s="36">
        <f t="shared" si="24"/>
        <v>45730.61499</v>
      </c>
      <c r="R1503" s="47" t="b">
        <v>0</v>
      </c>
      <c r="S1503" s="42" t="str">
        <f t="shared" si="28"/>
        <v/>
      </c>
      <c r="T1503" s="42"/>
    </row>
    <row r="1504" ht="22.5" customHeight="1">
      <c r="B1504" s="42">
        <f t="shared" si="7"/>
        <v>1498</v>
      </c>
      <c r="C1504" s="31" t="s">
        <v>1631</v>
      </c>
      <c r="D1504" s="34" t="str">
        <f t="array" ref="D1504">IFNA(_xlfn.XLOOKUP(C1504,Table_Tarikan_Warkah[Nomor Sertipikat],Table_Tarikan_Warkah[Nomor Tiket]),"")</f>
        <v>K/44/110325/2</v>
      </c>
      <c r="E1504" s="36">
        <f t="array" ref="E1504">IFNA(_xlfn.XLOOKUP(D1504,Table_Tarikan_Warkah[Nomor Tiket],Table_Tarikan_Warkah[Tanggal diserahkan kepada Validator]),"")</f>
        <v>45733.61143</v>
      </c>
      <c r="F1504" s="36" t="str">
        <f t="array" ref="F1504">IFNA(_xlfn.XLOOKUP(D1504,Table_Tarikan_Warkah[Nomor Tiket],Table_Tarikan_Warkah[Nama Petugas Warkah]),"")</f>
        <v/>
      </c>
      <c r="G1504" s="39" t="str">
        <f t="array" ref="G1504">IFNA(_xlfn.XLOOKUP(D1504,Table_Tarikan_Warkah[Nomor Tiket],Table_Tarikan_Warkah[Jenis Permohonan]),"")</f>
        <v>Bn Jual Beli</v>
      </c>
      <c r="H1504" s="41" t="s">
        <v>20</v>
      </c>
      <c r="I1504" s="49" t="s">
        <v>23</v>
      </c>
      <c r="J1504" s="36">
        <f t="shared" si="20"/>
        <v>45730.46184</v>
      </c>
      <c r="K1504" s="49" t="s">
        <v>197</v>
      </c>
      <c r="L1504" s="49" t="s">
        <v>23</v>
      </c>
      <c r="M1504" s="36">
        <f t="shared" si="26"/>
        <v>45730.61481</v>
      </c>
      <c r="N1504" s="30" t="str">
        <f t="shared" si="27"/>
        <v>Selesai</v>
      </c>
      <c r="O1504" s="45">
        <f t="shared" si="23"/>
        <v>45730.61481</v>
      </c>
      <c r="P1504" s="47" t="b">
        <v>1</v>
      </c>
      <c r="Q1504" s="36">
        <f t="shared" si="24"/>
        <v>45730.61499</v>
      </c>
      <c r="R1504" s="47" t="b">
        <v>0</v>
      </c>
      <c r="S1504" s="42" t="str">
        <f t="shared" si="28"/>
        <v/>
      </c>
      <c r="T1504" s="42"/>
    </row>
    <row r="1505" ht="22.5" customHeight="1">
      <c r="B1505" s="42">
        <f t="shared" si="7"/>
        <v>1499</v>
      </c>
      <c r="C1505" s="31" t="s">
        <v>1632</v>
      </c>
      <c r="D1505" s="34" t="str">
        <f t="array" ref="D1505">IFNA(_xlfn.XLOOKUP(C1505,Table_Tarikan_Warkah[Nomor Sertipikat],Table_Tarikan_Warkah[Nomor Tiket]),"")</f>
        <v>K/18/030325/2</v>
      </c>
      <c r="E1505" s="36">
        <f t="array" ref="E1505">IFNA(_xlfn.XLOOKUP(D1505,Table_Tarikan_Warkah[Nomor Tiket],Table_Tarikan_Warkah[Tanggal diserahkan kepada Validator]),"")</f>
        <v>45733.61802</v>
      </c>
      <c r="F1505" s="36" t="str">
        <f t="array" ref="F1505">IFNA(_xlfn.XLOOKUP(D1505,Table_Tarikan_Warkah[Nomor Tiket],Table_Tarikan_Warkah[Nama Petugas Warkah]),"")</f>
        <v/>
      </c>
      <c r="G1505" s="39" t="str">
        <f t="array" ref="G1505">IFNA(_xlfn.XLOOKUP(D1505,Table_Tarikan_Warkah[Nomor Tiket],Table_Tarikan_Warkah[Jenis Permohonan]),"")</f>
        <v>BN Jual Beli</v>
      </c>
      <c r="H1505" s="41" t="s">
        <v>20</v>
      </c>
      <c r="I1505" s="49" t="s">
        <v>23</v>
      </c>
      <c r="J1505" s="36">
        <f t="shared" si="20"/>
        <v>45730.47446</v>
      </c>
      <c r="K1505" s="49" t="s">
        <v>197</v>
      </c>
      <c r="L1505" s="49" t="s">
        <v>23</v>
      </c>
      <c r="M1505" s="36">
        <f t="shared" si="26"/>
        <v>45730.47451</v>
      </c>
      <c r="N1505" s="30" t="str">
        <f t="shared" si="27"/>
        <v>Selesai</v>
      </c>
      <c r="O1505" s="45">
        <f t="shared" si="23"/>
        <v>45730.47451</v>
      </c>
      <c r="P1505" s="47" t="b">
        <v>1</v>
      </c>
      <c r="Q1505" s="36">
        <f t="shared" si="24"/>
        <v>45730.47458</v>
      </c>
      <c r="R1505" s="47" t="b">
        <v>0</v>
      </c>
      <c r="S1505" s="42" t="str">
        <f t="shared" si="28"/>
        <v/>
      </c>
      <c r="T1505" s="42"/>
    </row>
    <row r="1506" ht="22.5" customHeight="1">
      <c r="B1506" s="42">
        <f t="shared" si="7"/>
        <v>1500</v>
      </c>
      <c r="C1506" s="31" t="s">
        <v>1633</v>
      </c>
      <c r="D1506" s="34" t="str">
        <f t="array" ref="D1506">IFNA(_xlfn.XLOOKUP(C1506,Table_Tarikan_Warkah[Nomor Sertipikat],Table_Tarikan_Warkah[Nomor Tiket]),"")</f>
        <v>K/22/060325/1</v>
      </c>
      <c r="E1506" s="36">
        <f t="array" ref="E1506">IFNA(_xlfn.XLOOKUP(D1506,Table_Tarikan_Warkah[Nomor Tiket],Table_Tarikan_Warkah[Tanggal diserahkan kepada Validator]),"")</f>
        <v>45733.6107</v>
      </c>
      <c r="F1506" s="36" t="str">
        <f t="array" ref="F1506">IFNA(_xlfn.XLOOKUP(D1506,Table_Tarikan_Warkah[Nomor Tiket],Table_Tarikan_Warkah[Nama Petugas Warkah]),"")</f>
        <v/>
      </c>
      <c r="G1506" s="39" t="str">
        <f t="array" ref="G1506">IFNA(_xlfn.XLOOKUP(D1506,Table_Tarikan_Warkah[Nomor Tiket],Table_Tarikan_Warkah[Jenis Permohonan]),"")</f>
        <v>BN Jual Beli</v>
      </c>
      <c r="H1506" s="41" t="s">
        <v>20</v>
      </c>
      <c r="I1506" s="49" t="s">
        <v>23</v>
      </c>
      <c r="J1506" s="36">
        <f t="shared" si="20"/>
        <v>45730.47471</v>
      </c>
      <c r="K1506" s="49" t="s">
        <v>197</v>
      </c>
      <c r="L1506" s="49" t="s">
        <v>23</v>
      </c>
      <c r="M1506" s="36">
        <f t="shared" si="26"/>
        <v>45730.47476</v>
      </c>
      <c r="N1506" s="30" t="str">
        <f t="shared" si="27"/>
        <v>Selesai</v>
      </c>
      <c r="O1506" s="45">
        <f t="shared" si="23"/>
        <v>45730.47476</v>
      </c>
      <c r="P1506" s="47" t="b">
        <v>1</v>
      </c>
      <c r="Q1506" s="36">
        <f t="shared" si="24"/>
        <v>45730.47493</v>
      </c>
      <c r="R1506" s="47" t="b">
        <v>0</v>
      </c>
      <c r="S1506" s="42" t="str">
        <f t="shared" si="28"/>
        <v/>
      </c>
      <c r="T1506" s="42"/>
    </row>
    <row r="1507" ht="22.5" customHeight="1">
      <c r="B1507" s="42">
        <f t="shared" si="7"/>
        <v>1501</v>
      </c>
      <c r="C1507" s="31" t="s">
        <v>1634</v>
      </c>
      <c r="D1507" s="34" t="str">
        <f t="array" ref="D1507">IFNA(_xlfn.XLOOKUP(C1507,Table_Tarikan_Warkah[Nomor Sertipikat],Table_Tarikan_Warkah[Nomor Tiket]),"")</f>
        <v>K/10/060325/2</v>
      </c>
      <c r="E1507" s="36">
        <f t="array" ref="E1507">IFNA(_xlfn.XLOOKUP(D1507,Table_Tarikan_Warkah[Nomor Tiket],Table_Tarikan_Warkah[Tanggal diserahkan kepada Validator]),"")</f>
        <v>45733.60286</v>
      </c>
      <c r="F1507" s="36" t="str">
        <f t="array" ref="F1507">IFNA(_xlfn.XLOOKUP(D1507,Table_Tarikan_Warkah[Nomor Tiket],Table_Tarikan_Warkah[Nama Petugas Warkah]),"")</f>
        <v/>
      </c>
      <c r="G1507" s="39" t="str">
        <f t="array" ref="G1507">IFNA(_xlfn.XLOOKUP(D1507,Table_Tarikan_Warkah[Nomor Tiket],Table_Tarikan_Warkah[Jenis Permohonan]),"")</f>
        <v>BN Hibah</v>
      </c>
      <c r="H1507" s="41" t="s">
        <v>20</v>
      </c>
      <c r="I1507" s="49" t="s">
        <v>23</v>
      </c>
      <c r="J1507" s="36">
        <f t="shared" si="20"/>
        <v>45730.47487</v>
      </c>
      <c r="K1507" s="49" t="s">
        <v>197</v>
      </c>
      <c r="L1507" s="49" t="s">
        <v>23</v>
      </c>
      <c r="M1507" s="36">
        <f t="shared" si="26"/>
        <v>45730.47492</v>
      </c>
      <c r="N1507" s="30" t="str">
        <f t="shared" si="27"/>
        <v>Selesai</v>
      </c>
      <c r="O1507" s="45">
        <f t="shared" si="23"/>
        <v>45730.47492</v>
      </c>
      <c r="P1507" s="47" t="b">
        <v>1</v>
      </c>
      <c r="Q1507" s="36">
        <f t="shared" si="24"/>
        <v>45730.47493</v>
      </c>
      <c r="R1507" s="47" t="b">
        <v>0</v>
      </c>
      <c r="S1507" s="42" t="str">
        <f t="shared" si="28"/>
        <v/>
      </c>
      <c r="T1507" s="42"/>
    </row>
    <row r="1508" ht="22.5" customHeight="1">
      <c r="B1508" s="42">
        <f t="shared" si="7"/>
        <v>1502</v>
      </c>
      <c r="C1508" s="31" t="s">
        <v>1635</v>
      </c>
      <c r="D1508" s="34" t="str">
        <f t="array" ref="D1508">IFNA(_xlfn.XLOOKUP(C1508,Table_Tarikan_Warkah[Nomor Sertipikat],Table_Tarikan_Warkah[Nomor Tiket]),"")</f>
        <v>K/2/260225/1</v>
      </c>
      <c r="E1508" s="36">
        <f t="array" ref="E1508">IFNA(_xlfn.XLOOKUP(D1508,Table_Tarikan_Warkah[Nomor Tiket],Table_Tarikan_Warkah[Tanggal diserahkan kepada Validator]),"")</f>
        <v>45733.59273</v>
      </c>
      <c r="F1508" s="36" t="str">
        <f t="array" ref="F1508">IFNA(_xlfn.XLOOKUP(D1508,Table_Tarikan_Warkah[Nomor Tiket],Table_Tarikan_Warkah[Nama Petugas Warkah]),"")</f>
        <v/>
      </c>
      <c r="G1508" s="39" t="str">
        <f t="array" ref="G1508">IFNA(_xlfn.XLOOKUP(D1508,Table_Tarikan_Warkah[Nomor Tiket],Table_Tarikan_Warkah[Jenis Permohonan]),"")</f>
        <v>BN JUAL BELI</v>
      </c>
      <c r="H1508" s="41" t="s">
        <v>20</v>
      </c>
      <c r="I1508" s="49" t="s">
        <v>23</v>
      </c>
      <c r="J1508" s="36">
        <f t="shared" si="20"/>
        <v>45730.4751</v>
      </c>
      <c r="K1508" s="49" t="s">
        <v>197</v>
      </c>
      <c r="L1508" s="49" t="s">
        <v>23</v>
      </c>
      <c r="M1508" s="36">
        <f t="shared" si="26"/>
        <v>45730.47514</v>
      </c>
      <c r="N1508" s="30" t="str">
        <f t="shared" si="27"/>
        <v>Selesai</v>
      </c>
      <c r="O1508" s="45">
        <f t="shared" si="23"/>
        <v>45730.47514</v>
      </c>
      <c r="P1508" s="47" t="b">
        <v>1</v>
      </c>
      <c r="Q1508" s="36">
        <f t="shared" si="24"/>
        <v>45730.47515</v>
      </c>
      <c r="R1508" s="47" t="b">
        <v>0</v>
      </c>
      <c r="S1508" s="42" t="str">
        <f t="shared" si="28"/>
        <v/>
      </c>
      <c r="T1508" s="42"/>
    </row>
    <row r="1509" ht="22.5" customHeight="1">
      <c r="B1509" s="42">
        <f t="shared" si="7"/>
        <v>1503</v>
      </c>
      <c r="C1509" s="31" t="s">
        <v>1636</v>
      </c>
      <c r="D1509" s="34" t="str">
        <f t="array" ref="D1509">IFNA(_xlfn.XLOOKUP(C1509,Table_Tarikan_Warkah[Nomor Sertipikat],Table_Tarikan_Warkah[Nomor Tiket]),"")</f>
        <v>K/20/060325/1</v>
      </c>
      <c r="E1509" s="36">
        <f t="array" ref="E1509">IFNA(_xlfn.XLOOKUP(D1509,Table_Tarikan_Warkah[Nomor Tiket],Table_Tarikan_Warkah[Tanggal diserahkan kepada Validator]),"")</f>
        <v>45733.60241</v>
      </c>
      <c r="F1509" s="36" t="str">
        <f t="array" ref="F1509">IFNA(_xlfn.XLOOKUP(D1509,Table_Tarikan_Warkah[Nomor Tiket],Table_Tarikan_Warkah[Nama Petugas Warkah]),"")</f>
        <v/>
      </c>
      <c r="G1509" s="39" t="str">
        <f t="array" ref="G1509">IFNA(_xlfn.XLOOKUP(D1509,Table_Tarikan_Warkah[Nomor Tiket],Table_Tarikan_Warkah[Jenis Permohonan]),"")</f>
        <v>BN JUAL BELI</v>
      </c>
      <c r="H1509" s="41" t="s">
        <v>20</v>
      </c>
      <c r="I1509" s="49" t="s">
        <v>23</v>
      </c>
      <c r="J1509" s="36">
        <f t="shared" si="20"/>
        <v>45730.47534</v>
      </c>
      <c r="K1509" s="49" t="s">
        <v>197</v>
      </c>
      <c r="L1509" s="49" t="s">
        <v>23</v>
      </c>
      <c r="M1509" s="36">
        <f t="shared" si="26"/>
        <v>45730.47547</v>
      </c>
      <c r="N1509" s="30" t="str">
        <f t="shared" si="27"/>
        <v>Selesai</v>
      </c>
      <c r="O1509" s="45">
        <f t="shared" si="23"/>
        <v>45730.47547</v>
      </c>
      <c r="P1509" s="47" t="b">
        <v>1</v>
      </c>
      <c r="Q1509" s="36">
        <f t="shared" si="24"/>
        <v>45730.47548</v>
      </c>
      <c r="R1509" s="47" t="b">
        <v>0</v>
      </c>
      <c r="S1509" s="42" t="str">
        <f t="shared" si="28"/>
        <v/>
      </c>
      <c r="T1509" s="42"/>
    </row>
    <row r="1510" ht="22.5" customHeight="1">
      <c r="B1510" s="42">
        <f t="shared" si="7"/>
        <v>1504</v>
      </c>
      <c r="C1510" s="31" t="s">
        <v>1637</v>
      </c>
      <c r="D1510" s="34" t="str">
        <f t="array" ref="D1510">IFNA(_xlfn.XLOOKUP(C1510,Table_Tarikan_Warkah[Nomor Sertipikat],Table_Tarikan_Warkah[Nomor Tiket]),"")</f>
        <v>K/25/060325/2</v>
      </c>
      <c r="E1510" s="36">
        <f t="array" ref="E1510">IFNA(_xlfn.XLOOKUP(D1510,Table_Tarikan_Warkah[Nomor Tiket],Table_Tarikan_Warkah[Tanggal diserahkan kepada Validator]),"")</f>
        <v>45733.60024</v>
      </c>
      <c r="F1510" s="36" t="str">
        <f t="array" ref="F1510">IFNA(_xlfn.XLOOKUP(D1510,Table_Tarikan_Warkah[Nomor Tiket],Table_Tarikan_Warkah[Nama Petugas Warkah]),"")</f>
        <v/>
      </c>
      <c r="G1510" s="39" t="str">
        <f t="array" ref="G1510">IFNA(_xlfn.XLOOKUP(D1510,Table_Tarikan_Warkah[Nomor Tiket],Table_Tarikan_Warkah[Jenis Permohonan]),"")</f>
        <v>BN JUAL BELI</v>
      </c>
      <c r="H1510" s="41" t="s">
        <v>20</v>
      </c>
      <c r="I1510" s="49" t="s">
        <v>23</v>
      </c>
      <c r="J1510" s="36">
        <f t="shared" si="20"/>
        <v>45730.47559</v>
      </c>
      <c r="K1510" s="49" t="s">
        <v>197</v>
      </c>
      <c r="L1510" s="49" t="s">
        <v>23</v>
      </c>
      <c r="M1510" s="36">
        <f t="shared" si="26"/>
        <v>45730.47565</v>
      </c>
      <c r="N1510" s="30" t="str">
        <f t="shared" si="27"/>
        <v>Selesai</v>
      </c>
      <c r="O1510" s="45">
        <f t="shared" si="23"/>
        <v>45730.47565</v>
      </c>
      <c r="P1510" s="47" t="b">
        <v>1</v>
      </c>
      <c r="Q1510" s="36">
        <f t="shared" si="24"/>
        <v>45730.47568</v>
      </c>
      <c r="R1510" s="47" t="b">
        <v>0</v>
      </c>
      <c r="S1510" s="42" t="str">
        <f t="shared" si="28"/>
        <v/>
      </c>
      <c r="T1510" s="42"/>
    </row>
    <row r="1511" ht="22.5" customHeight="1">
      <c r="B1511" s="42">
        <f t="shared" si="7"/>
        <v>1505</v>
      </c>
      <c r="C1511" s="31" t="s">
        <v>1638</v>
      </c>
      <c r="D1511" s="34" t="str">
        <f t="array" ref="D1511">IFNA(_xlfn.XLOOKUP(C1511,Table_Tarikan_Warkah[Nomor Sertipikat],Table_Tarikan_Warkah[Nomor Tiket]),"")</f>
        <v>K/15/060325/3</v>
      </c>
      <c r="E1511" s="36">
        <f t="array" ref="E1511">IFNA(_xlfn.XLOOKUP(D1511,Table_Tarikan_Warkah[Nomor Tiket],Table_Tarikan_Warkah[Tanggal diserahkan kepada Validator]),"")</f>
        <v>45733.61385</v>
      </c>
      <c r="F1511" s="36" t="str">
        <f t="array" ref="F1511">IFNA(_xlfn.XLOOKUP(D1511,Table_Tarikan_Warkah[Nomor Tiket],Table_Tarikan_Warkah[Nama Petugas Warkah]),"")</f>
        <v/>
      </c>
      <c r="G1511" s="39" t="str">
        <f t="array" ref="G1511">IFNA(_xlfn.XLOOKUP(D1511,Table_Tarikan_Warkah[Nomor Tiket],Table_Tarikan_Warkah[Jenis Permohonan]),"")</f>
        <v>BN WARIS</v>
      </c>
      <c r="H1511" s="41" t="s">
        <v>20</v>
      </c>
      <c r="I1511" s="49" t="s">
        <v>23</v>
      </c>
      <c r="J1511" s="36">
        <f t="shared" si="20"/>
        <v>45730.47585</v>
      </c>
      <c r="K1511" s="49" t="s">
        <v>197</v>
      </c>
      <c r="L1511" s="49" t="s">
        <v>23</v>
      </c>
      <c r="M1511" s="36">
        <f t="shared" si="26"/>
        <v>45730.47589</v>
      </c>
      <c r="N1511" s="30" t="str">
        <f t="shared" si="27"/>
        <v>Selesai</v>
      </c>
      <c r="O1511" s="45">
        <f t="shared" si="23"/>
        <v>45730.47589</v>
      </c>
      <c r="P1511" s="47" t="b">
        <v>1</v>
      </c>
      <c r="Q1511" s="36">
        <f t="shared" si="24"/>
        <v>45730.47591</v>
      </c>
      <c r="R1511" s="47" t="b">
        <v>0</v>
      </c>
      <c r="S1511" s="42" t="str">
        <f t="shared" si="28"/>
        <v/>
      </c>
      <c r="T1511" s="42"/>
    </row>
    <row r="1512" ht="22.5" customHeight="1">
      <c r="B1512" s="42">
        <f t="shared" si="7"/>
        <v>1506</v>
      </c>
      <c r="C1512" s="31" t="s">
        <v>1639</v>
      </c>
      <c r="D1512" s="34" t="str">
        <f t="array" ref="D1512">IFNA(_xlfn.XLOOKUP(C1512,Table_Tarikan_Warkah[Nomor Sertipikat],Table_Tarikan_Warkah[Nomor Tiket]),"")</f>
        <v>K/6/050325/2</v>
      </c>
      <c r="E1512" s="36">
        <f t="array" ref="E1512">IFNA(_xlfn.XLOOKUP(D1512,Table_Tarikan_Warkah[Nomor Tiket],Table_Tarikan_Warkah[Tanggal diserahkan kepada Validator]),"")</f>
        <v>45733.6166</v>
      </c>
      <c r="F1512" s="36" t="str">
        <f t="array" ref="F1512">IFNA(_xlfn.XLOOKUP(D1512,Table_Tarikan_Warkah[Nomor Tiket],Table_Tarikan_Warkah[Nama Petugas Warkah]),"")</f>
        <v/>
      </c>
      <c r="G1512" s="39" t="str">
        <f t="array" ref="G1512">IFNA(_xlfn.XLOOKUP(D1512,Table_Tarikan_Warkah[Nomor Tiket],Table_Tarikan_Warkah[Jenis Permohonan]),"")</f>
        <v>BN PHB</v>
      </c>
      <c r="H1512" s="41" t="s">
        <v>20</v>
      </c>
      <c r="I1512" s="49" t="s">
        <v>23</v>
      </c>
      <c r="J1512" s="36">
        <f t="shared" si="20"/>
        <v>45730.47603</v>
      </c>
      <c r="K1512" s="49" t="s">
        <v>197</v>
      </c>
      <c r="L1512" s="49" t="s">
        <v>23</v>
      </c>
      <c r="M1512" s="36">
        <f t="shared" si="26"/>
        <v>45730.47608</v>
      </c>
      <c r="N1512" s="30" t="str">
        <f t="shared" si="27"/>
        <v>Selesai</v>
      </c>
      <c r="O1512" s="45">
        <f t="shared" si="23"/>
        <v>45730.47608</v>
      </c>
      <c r="P1512" s="47" t="b">
        <v>1</v>
      </c>
      <c r="Q1512" s="36">
        <f t="shared" si="24"/>
        <v>45730.4761</v>
      </c>
      <c r="R1512" s="47" t="b">
        <v>0</v>
      </c>
      <c r="S1512" s="42" t="str">
        <f t="shared" si="28"/>
        <v/>
      </c>
      <c r="T1512" s="42"/>
    </row>
    <row r="1513" ht="22.5" customHeight="1">
      <c r="B1513" s="42">
        <f t="shared" si="7"/>
        <v>1507</v>
      </c>
      <c r="C1513" s="31" t="s">
        <v>1640</v>
      </c>
      <c r="D1513" s="42" t="s">
        <v>1641</v>
      </c>
      <c r="E1513" s="36">
        <f t="array" ref="E1513">IFNA(_xlfn.XLOOKUP(D1513,Table_Tarikan_Warkah[Nomor Tiket],Table_Tarikan_Warkah[Tanggal diserahkan kepada Validator]),"")</f>
        <v>45733.61367</v>
      </c>
      <c r="F1513" s="36" t="str">
        <f t="array" ref="F1513">IFNA(_xlfn.XLOOKUP(D1513,Table_Tarikan_Warkah[Nomor Tiket],Table_Tarikan_Warkah[Nama Petugas Warkah]),"")</f>
        <v/>
      </c>
      <c r="G1513" s="39" t="str">
        <f t="array" ref="G1513">IFNA(_xlfn.XLOOKUP(D1513,Table_Tarikan_Warkah[Nomor Tiket],Table_Tarikan_Warkah[Jenis Permohonan]),"")</f>
        <v>BN Jual Beli</v>
      </c>
      <c r="H1513" s="41" t="s">
        <v>20</v>
      </c>
      <c r="I1513" s="49" t="s">
        <v>23</v>
      </c>
      <c r="J1513" s="36">
        <f t="shared" si="20"/>
        <v>45730.47624</v>
      </c>
      <c r="K1513" s="49" t="s">
        <v>197</v>
      </c>
      <c r="L1513" s="49" t="s">
        <v>23</v>
      </c>
      <c r="M1513" s="36">
        <f t="shared" si="26"/>
        <v>45730.47629</v>
      </c>
      <c r="N1513" s="30" t="str">
        <f t="shared" si="27"/>
        <v>Selesai</v>
      </c>
      <c r="O1513" s="45">
        <f t="shared" si="23"/>
        <v>45730.47629</v>
      </c>
      <c r="P1513" s="47" t="b">
        <v>1</v>
      </c>
      <c r="Q1513" s="36">
        <f t="shared" si="24"/>
        <v>45730.47631</v>
      </c>
      <c r="R1513" s="47" t="b">
        <v>0</v>
      </c>
      <c r="S1513" s="42" t="str">
        <f t="shared" si="28"/>
        <v/>
      </c>
      <c r="T1513" s="42"/>
    </row>
    <row r="1514" ht="22.5" customHeight="1">
      <c r="B1514" s="42">
        <f t="shared" si="7"/>
        <v>1508</v>
      </c>
      <c r="C1514" s="31" t="s">
        <v>1642</v>
      </c>
      <c r="D1514" s="34" t="str">
        <f t="array" ref="D1514">IFNA(_xlfn.XLOOKUP(C1514,Table_Tarikan_Warkah[Nomor Sertipikat],Table_Tarikan_Warkah[Nomor Tiket]),"")</f>
        <v>L/4/100225/1</v>
      </c>
      <c r="E1514" s="36" t="str">
        <f t="array" ref="E1514">IFNA(_xlfn.XLOOKUP(D1514,Table_Tarikan_Warkah[Nomor Tiket],Table_Tarikan_Warkah[Tanggal diserahkan kepada Validator]),"")</f>
        <v/>
      </c>
      <c r="F1514" s="36" t="str">
        <f t="array" ref="F1514">IFNA(_xlfn.XLOOKUP(D1514,Table_Tarikan_Warkah[Nomor Tiket],Table_Tarikan_Warkah[Nama Petugas Warkah]),"")</f>
        <v/>
      </c>
      <c r="G1514" s="39" t="str">
        <f t="array" ref="G1514">IFNA(_xlfn.XLOOKUP(D1514,Table_Tarikan_Warkah[Nomor Tiket],Table_Tarikan_Warkah[Jenis Permohonan]),"")</f>
        <v>BALIK NAMA WARIS </v>
      </c>
      <c r="H1514" s="41" t="s">
        <v>20</v>
      </c>
      <c r="I1514" s="49" t="s">
        <v>23</v>
      </c>
      <c r="J1514" s="36">
        <f t="shared" si="20"/>
        <v>45730.47659</v>
      </c>
      <c r="K1514" s="49" t="s">
        <v>197</v>
      </c>
      <c r="L1514" s="49" t="s">
        <v>23</v>
      </c>
      <c r="M1514" s="36">
        <f t="shared" si="26"/>
        <v>45730.47661</v>
      </c>
      <c r="N1514" s="30" t="str">
        <f t="shared" si="27"/>
        <v>Selesai</v>
      </c>
      <c r="O1514" s="45">
        <f t="shared" si="23"/>
        <v>45730.47661</v>
      </c>
      <c r="P1514" s="47" t="b">
        <v>1</v>
      </c>
      <c r="Q1514" s="36">
        <f t="shared" si="24"/>
        <v>45730.47664</v>
      </c>
      <c r="R1514" s="47" t="b">
        <v>0</v>
      </c>
      <c r="S1514" s="42" t="str">
        <f t="shared" si="28"/>
        <v/>
      </c>
      <c r="T1514" s="42"/>
    </row>
    <row r="1515" ht="22.5" customHeight="1">
      <c r="B1515" s="42">
        <f t="shared" si="7"/>
        <v>1509</v>
      </c>
      <c r="C1515" s="31" t="s">
        <v>1643</v>
      </c>
      <c r="D1515" s="34" t="str">
        <f t="array" ref="D1515">IFNA(_xlfn.XLOOKUP(C1515,Table_Tarikan_Warkah[Nomor Sertipikat],Table_Tarikan_Warkah[Nomor Tiket]),"")</f>
        <v>L/19/060325/2</v>
      </c>
      <c r="E1515" s="36">
        <f t="array" ref="E1515">IFNA(_xlfn.XLOOKUP(D1515,Table_Tarikan_Warkah[Nomor Tiket],Table_Tarikan_Warkah[Tanggal diserahkan kepada Validator]),"")</f>
        <v>45733.59788</v>
      </c>
      <c r="F1515" s="36" t="str">
        <f t="array" ref="F1515">IFNA(_xlfn.XLOOKUP(D1515,Table_Tarikan_Warkah[Nomor Tiket],Table_Tarikan_Warkah[Nama Petugas Warkah]),"")</f>
        <v/>
      </c>
      <c r="G1515" s="39" t="str">
        <f t="array" ref="G1515">IFNA(_xlfn.XLOOKUP(D1515,Table_Tarikan_Warkah[Nomor Tiket],Table_Tarikan_Warkah[Jenis Permohonan]),"")</f>
        <v>BN WARIS</v>
      </c>
      <c r="H1515" s="41" t="s">
        <v>20</v>
      </c>
      <c r="I1515" s="49" t="s">
        <v>23</v>
      </c>
      <c r="J1515" s="36">
        <f t="shared" si="20"/>
        <v>45730.47673</v>
      </c>
      <c r="K1515" s="49" t="s">
        <v>197</v>
      </c>
      <c r="L1515" s="49" t="s">
        <v>23</v>
      </c>
      <c r="M1515" s="36">
        <f t="shared" si="26"/>
        <v>45730.47677</v>
      </c>
      <c r="N1515" s="30" t="str">
        <f t="shared" si="27"/>
        <v>Selesai</v>
      </c>
      <c r="O1515" s="45">
        <f t="shared" si="23"/>
        <v>45730.47677</v>
      </c>
      <c r="P1515" s="47" t="b">
        <v>1</v>
      </c>
      <c r="Q1515" s="36">
        <f t="shared" si="24"/>
        <v>45730.4768</v>
      </c>
      <c r="R1515" s="47" t="b">
        <v>0</v>
      </c>
      <c r="S1515" s="42" t="str">
        <f t="shared" si="28"/>
        <v/>
      </c>
      <c r="T1515" s="42"/>
    </row>
    <row r="1516" ht="22.5" customHeight="1">
      <c r="B1516" s="42">
        <f t="shared" si="7"/>
        <v>1510</v>
      </c>
      <c r="C1516" s="31" t="s">
        <v>1644</v>
      </c>
      <c r="D1516" s="34" t="str">
        <f t="array" ref="D1516">IFNA(_xlfn.XLOOKUP(C1516,Table_Tarikan_Warkah[Nomor Sertipikat],Table_Tarikan_Warkah[Nomor Tiket]),"")</f>
        <v>L/18/060325/1</v>
      </c>
      <c r="E1516" s="36">
        <f t="array" ref="E1516">IFNA(_xlfn.XLOOKUP(D1516,Table_Tarikan_Warkah[Nomor Tiket],Table_Tarikan_Warkah[Tanggal diserahkan kepada Validator]),"")</f>
        <v>45733.59576</v>
      </c>
      <c r="F1516" s="36" t="str">
        <f t="array" ref="F1516">IFNA(_xlfn.XLOOKUP(D1516,Table_Tarikan_Warkah[Nomor Tiket],Table_Tarikan_Warkah[Nama Petugas Warkah]),"")</f>
        <v/>
      </c>
      <c r="G1516" s="39" t="str">
        <f t="array" ref="G1516">IFNA(_xlfn.XLOOKUP(D1516,Table_Tarikan_Warkah[Nomor Tiket],Table_Tarikan_Warkah[Jenis Permohonan]),"")</f>
        <v>BN WARIS</v>
      </c>
      <c r="H1516" s="41" t="s">
        <v>20</v>
      </c>
      <c r="I1516" s="49" t="s">
        <v>23</v>
      </c>
      <c r="J1516" s="36">
        <f t="shared" si="20"/>
        <v>45730.47693</v>
      </c>
      <c r="K1516" s="49" t="s">
        <v>197</v>
      </c>
      <c r="L1516" s="49" t="s">
        <v>23</v>
      </c>
      <c r="M1516" s="36">
        <f t="shared" si="26"/>
        <v>45730.47697</v>
      </c>
      <c r="N1516" s="30" t="str">
        <f t="shared" si="27"/>
        <v>Selesai</v>
      </c>
      <c r="O1516" s="45">
        <f t="shared" si="23"/>
        <v>45730.47697</v>
      </c>
      <c r="P1516" s="47" t="b">
        <v>1</v>
      </c>
      <c r="Q1516" s="36">
        <f t="shared" si="24"/>
        <v>45730.47699</v>
      </c>
      <c r="R1516" s="47" t="b">
        <v>0</v>
      </c>
      <c r="S1516" s="42" t="str">
        <f t="shared" si="28"/>
        <v/>
      </c>
      <c r="T1516" s="42"/>
    </row>
    <row r="1517" ht="22.5" customHeight="1">
      <c r="B1517" s="42">
        <f t="shared" si="7"/>
        <v>1511</v>
      </c>
      <c r="C1517" s="31" t="s">
        <v>1645</v>
      </c>
      <c r="D1517" s="34" t="str">
        <f t="array" ref="D1517">IFNA(_xlfn.XLOOKUP(C1517,Table_Tarikan_Warkah[Nomor Sertipikat],Table_Tarikan_Warkah[Nomor Tiket]),"")</f>
        <v>L/24/180225/1</v>
      </c>
      <c r="E1517" s="36">
        <f t="array" ref="E1517">IFNA(_xlfn.XLOOKUP(D1517,Table_Tarikan_Warkah[Nomor Tiket],Table_Tarikan_Warkah[Tanggal diserahkan kepada Validator]),"")</f>
        <v>45734.47622</v>
      </c>
      <c r="F1517" s="36" t="str">
        <f t="array" ref="F1517">IFNA(_xlfn.XLOOKUP(D1517,Table_Tarikan_Warkah[Nomor Tiket],Table_Tarikan_Warkah[Nama Petugas Warkah]),"")</f>
        <v/>
      </c>
      <c r="G1517" s="39" t="str">
        <f t="array" ref="G1517">IFNA(_xlfn.XLOOKUP(D1517,Table_Tarikan_Warkah[Nomor Tiket],Table_Tarikan_Warkah[Jenis Permohonan]),"")</f>
        <v>BN WARIS</v>
      </c>
      <c r="H1517" s="41" t="s">
        <v>20</v>
      </c>
      <c r="I1517" s="49" t="s">
        <v>23</v>
      </c>
      <c r="J1517" s="36">
        <f t="shared" si="20"/>
        <v>45730.47717</v>
      </c>
      <c r="K1517" s="49" t="s">
        <v>197</v>
      </c>
      <c r="L1517" s="49" t="s">
        <v>23</v>
      </c>
      <c r="M1517" s="36">
        <f t="shared" si="26"/>
        <v>45730.4772</v>
      </c>
      <c r="N1517" s="30" t="str">
        <f t="shared" si="27"/>
        <v>Selesai</v>
      </c>
      <c r="O1517" s="45">
        <f t="shared" si="23"/>
        <v>45730.4772</v>
      </c>
      <c r="P1517" s="47" t="b">
        <v>1</v>
      </c>
      <c r="Q1517" s="36">
        <f t="shared" si="24"/>
        <v>45730.4772</v>
      </c>
      <c r="R1517" s="47" t="b">
        <v>0</v>
      </c>
      <c r="S1517" s="42" t="str">
        <f t="shared" si="28"/>
        <v/>
      </c>
      <c r="T1517" s="42"/>
    </row>
    <row r="1518" ht="22.5" customHeight="1">
      <c r="B1518" s="42">
        <f t="shared" si="7"/>
        <v>1512</v>
      </c>
      <c r="C1518" s="31" t="s">
        <v>1646</v>
      </c>
      <c r="D1518" s="34" t="str">
        <f t="array" ref="D1518">IFNA(_xlfn.XLOOKUP(C1518,Table_Tarikan_Warkah[Nomor Sertipikat],Table_Tarikan_Warkah[Nomor Tiket]),"")</f>
        <v>L/26/270225/1</v>
      </c>
      <c r="E1518" s="36">
        <f t="array" ref="E1518">IFNA(_xlfn.XLOOKUP(D1518,Table_Tarikan_Warkah[Nomor Tiket],Table_Tarikan_Warkah[Tanggal diserahkan kepada Validator]),"")</f>
        <v>45733.60195</v>
      </c>
      <c r="F1518" s="36" t="str">
        <f t="array" ref="F1518">IFNA(_xlfn.XLOOKUP(D1518,Table_Tarikan_Warkah[Nomor Tiket],Table_Tarikan_Warkah[Nama Petugas Warkah]),"")</f>
        <v/>
      </c>
      <c r="G1518" s="39" t="str">
        <f t="array" ref="G1518">IFNA(_xlfn.XLOOKUP(D1518,Table_Tarikan_Warkah[Nomor Tiket],Table_Tarikan_Warkah[Jenis Permohonan]),"")</f>
        <v>BN JUAL - BELI</v>
      </c>
      <c r="H1518" s="41" t="s">
        <v>20</v>
      </c>
      <c r="I1518" s="49" t="s">
        <v>23</v>
      </c>
      <c r="J1518" s="36">
        <f t="shared" si="20"/>
        <v>45730.47733</v>
      </c>
      <c r="K1518" s="49" t="s">
        <v>197</v>
      </c>
      <c r="L1518" s="49" t="s">
        <v>23</v>
      </c>
      <c r="M1518" s="36">
        <f t="shared" si="26"/>
        <v>45730.47737</v>
      </c>
      <c r="N1518" s="30" t="str">
        <f t="shared" si="27"/>
        <v>Selesai</v>
      </c>
      <c r="O1518" s="45">
        <f t="shared" si="23"/>
        <v>45730.47737</v>
      </c>
      <c r="P1518" s="47" t="b">
        <v>1</v>
      </c>
      <c r="Q1518" s="36">
        <f t="shared" si="24"/>
        <v>45730.47739</v>
      </c>
      <c r="R1518" s="47" t="b">
        <v>0</v>
      </c>
      <c r="S1518" s="42" t="str">
        <f t="shared" si="28"/>
        <v/>
      </c>
      <c r="T1518" s="42"/>
    </row>
    <row r="1519" ht="22.5" customHeight="1">
      <c r="B1519" s="42">
        <f t="shared" si="7"/>
        <v>1513</v>
      </c>
      <c r="C1519" s="31" t="s">
        <v>1647</v>
      </c>
      <c r="D1519" s="34" t="str">
        <f t="array" ref="D1519">IFNA(_xlfn.XLOOKUP(C1519,Table_Tarikan_Warkah[Nomor Sertipikat],Table_Tarikan_Warkah[Nomor Tiket]),"")</f>
        <v>K/7/060325/2</v>
      </c>
      <c r="E1519" s="36">
        <f t="array" ref="E1519">IFNA(_xlfn.XLOOKUP(D1519,Table_Tarikan_Warkah[Nomor Tiket],Table_Tarikan_Warkah[Tanggal diserahkan kepada Validator]),"")</f>
        <v>45743.43756</v>
      </c>
      <c r="F1519" s="36" t="str">
        <f t="array" ref="F1519">IFNA(_xlfn.XLOOKUP(D1519,Table_Tarikan_Warkah[Nomor Tiket],Table_Tarikan_Warkah[Nama Petugas Warkah]),"")</f>
        <v/>
      </c>
      <c r="G1519" s="39" t="str">
        <f t="array" ref="G1519">IFNA(_xlfn.XLOOKUP(D1519,Table_Tarikan_Warkah[Nomor Tiket],Table_Tarikan_Warkah[Jenis Permohonan]),"")</f>
        <v>JUAL BELI</v>
      </c>
      <c r="H1519" s="41" t="s">
        <v>11</v>
      </c>
      <c r="I1519" s="49" t="s">
        <v>23</v>
      </c>
      <c r="J1519" s="36">
        <f t="shared" si="20"/>
        <v>45730.59151</v>
      </c>
      <c r="K1519" s="49" t="s">
        <v>197</v>
      </c>
      <c r="L1519" s="49" t="s">
        <v>23</v>
      </c>
      <c r="M1519" s="36">
        <f t="shared" si="26"/>
        <v>45730.61455</v>
      </c>
      <c r="N1519" s="30" t="str">
        <f t="shared" si="27"/>
        <v>Selesai</v>
      </c>
      <c r="O1519" s="45">
        <f t="shared" si="23"/>
        <v>45730.61455</v>
      </c>
      <c r="P1519" s="47" t="b">
        <v>1</v>
      </c>
      <c r="Q1519" s="36">
        <f t="shared" si="24"/>
        <v>45730.61464</v>
      </c>
      <c r="R1519" s="47" t="b">
        <v>0</v>
      </c>
      <c r="S1519" s="42" t="str">
        <f t="shared" si="28"/>
        <v/>
      </c>
      <c r="T1519" s="42"/>
    </row>
    <row r="1520" ht="22.5" customHeight="1">
      <c r="B1520" s="42">
        <f t="shared" si="7"/>
        <v>1514</v>
      </c>
      <c r="C1520" s="31" t="s">
        <v>1648</v>
      </c>
      <c r="D1520" s="34" t="str">
        <f t="array" ref="D1520">IFNA(_xlfn.XLOOKUP(C1520,Table_Tarikan_Warkah[Nomor Sertipikat],Table_Tarikan_Warkah[Nomor Tiket]),"")</f>
        <v>K/24/040325/1</v>
      </c>
      <c r="E1520" s="36">
        <f t="array" ref="E1520">IFNA(_xlfn.XLOOKUP(D1520,Table_Tarikan_Warkah[Nomor Tiket],Table_Tarikan_Warkah[Tanggal diserahkan kepada Validator]),"")</f>
        <v>45733.61324</v>
      </c>
      <c r="F1520" s="36" t="str">
        <f t="array" ref="F1520">IFNA(_xlfn.XLOOKUP(D1520,Table_Tarikan_Warkah[Nomor Tiket],Table_Tarikan_Warkah[Nama Petugas Warkah]),"")</f>
        <v/>
      </c>
      <c r="G1520" s="39" t="str">
        <f t="array" ref="G1520">IFNA(_xlfn.XLOOKUP(D1520,Table_Tarikan_Warkah[Nomor Tiket],Table_Tarikan_Warkah[Jenis Permohonan]),"")</f>
        <v>BN Jual Beli</v>
      </c>
      <c r="H1520" s="41" t="s">
        <v>11</v>
      </c>
      <c r="I1520" s="49" t="s">
        <v>23</v>
      </c>
      <c r="J1520" s="36">
        <f t="shared" si="20"/>
        <v>45730.59155</v>
      </c>
      <c r="K1520" s="49" t="s">
        <v>197</v>
      </c>
      <c r="L1520" s="49" t="s">
        <v>23</v>
      </c>
      <c r="M1520" s="36">
        <f t="shared" si="26"/>
        <v>45730.61457</v>
      </c>
      <c r="N1520" s="30" t="str">
        <f t="shared" si="27"/>
        <v>Selesai</v>
      </c>
      <c r="O1520" s="45">
        <f t="shared" si="23"/>
        <v>45730.61457</v>
      </c>
      <c r="P1520" s="47" t="b">
        <v>1</v>
      </c>
      <c r="Q1520" s="36">
        <f t="shared" si="24"/>
        <v>45730.61464</v>
      </c>
      <c r="R1520" s="47" t="b">
        <v>0</v>
      </c>
      <c r="S1520" s="42" t="str">
        <f t="shared" si="28"/>
        <v/>
      </c>
      <c r="T1520" s="42"/>
    </row>
    <row r="1521" ht="22.5" customHeight="1">
      <c r="B1521" s="42">
        <f t="shared" si="7"/>
        <v>1515</v>
      </c>
      <c r="C1521" s="31" t="s">
        <v>1649</v>
      </c>
      <c r="D1521" s="34" t="str">
        <f t="array" ref="D1521">IFNA(_xlfn.XLOOKUP(C1521,Table_Tarikan_Warkah[Nomor Sertipikat],Table_Tarikan_Warkah[Nomor Tiket]),"")</f>
        <v>K/33/110325/2</v>
      </c>
      <c r="E1521" s="36">
        <f t="array" ref="E1521">IFNA(_xlfn.XLOOKUP(D1521,Table_Tarikan_Warkah[Nomor Tiket],Table_Tarikan_Warkah[Tanggal diserahkan kepada Validator]),"")</f>
        <v>45733.61274</v>
      </c>
      <c r="F1521" s="36" t="str">
        <f t="array" ref="F1521">IFNA(_xlfn.XLOOKUP(D1521,Table_Tarikan_Warkah[Nomor Tiket],Table_Tarikan_Warkah[Nama Petugas Warkah]),"")</f>
        <v/>
      </c>
      <c r="G1521" s="39" t="str">
        <f t="array" ref="G1521">IFNA(_xlfn.XLOOKUP(D1521,Table_Tarikan_Warkah[Nomor Tiket],Table_Tarikan_Warkah[Jenis Permohonan]),"")</f>
        <v>BN JUAL BELI</v>
      </c>
      <c r="H1521" s="41" t="s">
        <v>11</v>
      </c>
      <c r="I1521" s="49" t="s">
        <v>23</v>
      </c>
      <c r="J1521" s="36">
        <f t="shared" si="20"/>
        <v>45730.59155</v>
      </c>
      <c r="K1521" s="49" t="s">
        <v>197</v>
      </c>
      <c r="L1521" s="49" t="s">
        <v>23</v>
      </c>
      <c r="M1521" s="36">
        <f t="shared" si="26"/>
        <v>45730.61457</v>
      </c>
      <c r="N1521" s="30" t="str">
        <f t="shared" si="27"/>
        <v>Selesai</v>
      </c>
      <c r="O1521" s="45">
        <f t="shared" si="23"/>
        <v>45730.61457</v>
      </c>
      <c r="P1521" s="47" t="b">
        <v>1</v>
      </c>
      <c r="Q1521" s="36">
        <f t="shared" si="24"/>
        <v>45730.61467</v>
      </c>
      <c r="R1521" s="47" t="b">
        <v>0</v>
      </c>
      <c r="S1521" s="42" t="str">
        <f t="shared" si="28"/>
        <v/>
      </c>
      <c r="T1521" s="42"/>
    </row>
    <row r="1522" ht="22.5" customHeight="1">
      <c r="B1522" s="42">
        <f t="shared" si="7"/>
        <v>1516</v>
      </c>
      <c r="C1522" s="31" t="s">
        <v>1650</v>
      </c>
      <c r="D1522" s="34" t="str">
        <f t="array" ref="D1522">IFNA(_xlfn.XLOOKUP(C1522,Table_Tarikan_Warkah[Nomor Sertipikat],Table_Tarikan_Warkah[Nomor Tiket]),"")</f>
        <v>K/32/110325/1</v>
      </c>
      <c r="E1522" s="36">
        <f t="array" ref="E1522">IFNA(_xlfn.XLOOKUP(D1522,Table_Tarikan_Warkah[Nomor Tiket],Table_Tarikan_Warkah[Tanggal diserahkan kepada Validator]),"")</f>
        <v>45733.61303</v>
      </c>
      <c r="F1522" s="36" t="str">
        <f t="array" ref="F1522">IFNA(_xlfn.XLOOKUP(D1522,Table_Tarikan_Warkah[Nomor Tiket],Table_Tarikan_Warkah[Nama Petugas Warkah]),"")</f>
        <v/>
      </c>
      <c r="G1522" s="39" t="str">
        <f t="array" ref="G1522">IFNA(_xlfn.XLOOKUP(D1522,Table_Tarikan_Warkah[Nomor Tiket],Table_Tarikan_Warkah[Jenis Permohonan]),"")</f>
        <v>BN JUAL BELI</v>
      </c>
      <c r="H1522" s="41" t="s">
        <v>11</v>
      </c>
      <c r="I1522" s="49" t="s">
        <v>23</v>
      </c>
      <c r="J1522" s="36">
        <f t="shared" si="20"/>
        <v>45730.59155</v>
      </c>
      <c r="K1522" s="49" t="s">
        <v>197</v>
      </c>
      <c r="L1522" s="49" t="s">
        <v>23</v>
      </c>
      <c r="M1522" s="36">
        <f t="shared" si="26"/>
        <v>45730.61457</v>
      </c>
      <c r="N1522" s="30" t="str">
        <f t="shared" si="27"/>
        <v>Selesai</v>
      </c>
      <c r="O1522" s="45">
        <f t="shared" si="23"/>
        <v>45730.61457</v>
      </c>
      <c r="P1522" s="47" t="b">
        <v>1</v>
      </c>
      <c r="Q1522" s="36">
        <f t="shared" si="24"/>
        <v>45730.61467</v>
      </c>
      <c r="R1522" s="47" t="b">
        <v>0</v>
      </c>
      <c r="S1522" s="42" t="str">
        <f t="shared" si="28"/>
        <v/>
      </c>
      <c r="T1522" s="42"/>
    </row>
    <row r="1523" ht="22.5" customHeight="1">
      <c r="B1523" s="42">
        <f t="shared" si="7"/>
        <v>1517</v>
      </c>
      <c r="C1523" s="31" t="s">
        <v>1651</v>
      </c>
      <c r="D1523" s="34" t="str">
        <f t="array" ref="D1523">IFNA(_xlfn.XLOOKUP(C1523,Table_Tarikan_Warkah[Nomor Sertipikat],Table_Tarikan_Warkah[Nomor Tiket]),"")</f>
        <v>K/27/100325/1</v>
      </c>
      <c r="E1523" s="36">
        <f t="array" ref="E1523">IFNA(_xlfn.XLOOKUP(D1523,Table_Tarikan_Warkah[Nomor Tiket],Table_Tarikan_Warkah[Tanggal diserahkan kepada Validator]),"")</f>
        <v>45736.6011</v>
      </c>
      <c r="F1523" s="36" t="str">
        <f t="array" ref="F1523">IFNA(_xlfn.XLOOKUP(D1523,Table_Tarikan_Warkah[Nomor Tiket],Table_Tarikan_Warkah[Nama Petugas Warkah]),"")</f>
        <v/>
      </c>
      <c r="G1523" s="39" t="str">
        <f t="array" ref="G1523">IFNA(_xlfn.XLOOKUP(D1523,Table_Tarikan_Warkah[Nomor Tiket],Table_Tarikan_Warkah[Jenis Permohonan]),"")</f>
        <v>BN Jual Beli</v>
      </c>
      <c r="H1523" s="41" t="s">
        <v>11</v>
      </c>
      <c r="I1523" s="49" t="s">
        <v>23</v>
      </c>
      <c r="J1523" s="36">
        <f t="shared" si="20"/>
        <v>45733.50241</v>
      </c>
      <c r="K1523" s="49" t="s">
        <v>197</v>
      </c>
      <c r="L1523" s="49" t="s">
        <v>23</v>
      </c>
      <c r="M1523" s="36">
        <f t="shared" si="26"/>
        <v>45734.36347</v>
      </c>
      <c r="N1523" s="30" t="str">
        <f t="shared" si="27"/>
        <v>Selesai</v>
      </c>
      <c r="O1523" s="45">
        <f t="shared" si="23"/>
        <v>45734.36347</v>
      </c>
      <c r="P1523" s="47" t="b">
        <v>1</v>
      </c>
      <c r="Q1523" s="36">
        <f t="shared" si="24"/>
        <v>45736.59919</v>
      </c>
      <c r="R1523" s="47" t="b">
        <v>0</v>
      </c>
      <c r="S1523" s="42" t="str">
        <f t="shared" si="28"/>
        <v/>
      </c>
      <c r="T1523" s="42"/>
    </row>
    <row r="1524" ht="22.5" customHeight="1">
      <c r="B1524" s="42">
        <f t="shared" si="7"/>
        <v>1518</v>
      </c>
      <c r="C1524" s="31" t="s">
        <v>1652</v>
      </c>
      <c r="D1524" s="34" t="str">
        <f t="array" ref="D1524">IFNA(_xlfn.XLOOKUP(C1524,Table_Tarikan_Warkah[Nomor Sertipikat],Table_Tarikan_Warkah[Nomor Tiket]),"")</f>
        <v>K/11/120325/1</v>
      </c>
      <c r="E1524" s="36">
        <f t="array" ref="E1524">IFNA(_xlfn.XLOOKUP(D1524,Table_Tarikan_Warkah[Nomor Tiket],Table_Tarikan_Warkah[Tanggal diserahkan kepada Validator]),"")</f>
        <v>45736.60973</v>
      </c>
      <c r="F1524" s="36" t="str">
        <f t="array" ref="F1524">IFNA(_xlfn.XLOOKUP(D1524,Table_Tarikan_Warkah[Nomor Tiket],Table_Tarikan_Warkah[Nama Petugas Warkah]),"")</f>
        <v/>
      </c>
      <c r="G1524" s="39" t="str">
        <f t="array" ref="G1524">IFNA(_xlfn.XLOOKUP(D1524,Table_Tarikan_Warkah[Nomor Tiket],Table_Tarikan_Warkah[Jenis Permohonan]),"")</f>
        <v>BN HIBAH</v>
      </c>
      <c r="H1524" s="41" t="s">
        <v>11</v>
      </c>
      <c r="I1524" s="49" t="s">
        <v>23</v>
      </c>
      <c r="J1524" s="36">
        <f t="shared" si="20"/>
        <v>45733.50246</v>
      </c>
      <c r="K1524" s="49" t="s">
        <v>197</v>
      </c>
      <c r="L1524" s="49" t="s">
        <v>23</v>
      </c>
      <c r="M1524" s="36">
        <f t="shared" si="26"/>
        <v>45734.36347</v>
      </c>
      <c r="N1524" s="30" t="str">
        <f t="shared" si="27"/>
        <v>Selesai</v>
      </c>
      <c r="O1524" s="45">
        <f t="shared" si="23"/>
        <v>45734.36347</v>
      </c>
      <c r="P1524" s="47" t="b">
        <v>1</v>
      </c>
      <c r="Q1524" s="36">
        <f t="shared" si="24"/>
        <v>45736.59921</v>
      </c>
      <c r="R1524" s="47" t="b">
        <v>0</v>
      </c>
      <c r="S1524" s="42" t="str">
        <f t="shared" si="28"/>
        <v/>
      </c>
      <c r="T1524" s="42"/>
    </row>
    <row r="1525" ht="22.5" customHeight="1">
      <c r="B1525" s="42">
        <f t="shared" si="7"/>
        <v>1519</v>
      </c>
      <c r="C1525" s="31" t="s">
        <v>1653</v>
      </c>
      <c r="D1525" s="34" t="str">
        <f t="array" ref="D1525">IFNA(_xlfn.XLOOKUP(C1525,Table_Tarikan_Warkah[Nomor Sertipikat],Table_Tarikan_Warkah[Nomor Tiket]),"")</f>
        <v>K/5/050325/1</v>
      </c>
      <c r="E1525" s="36">
        <f t="array" ref="E1525">IFNA(_xlfn.XLOOKUP(D1525,Table_Tarikan_Warkah[Nomor Tiket],Table_Tarikan_Warkah[Tanggal diserahkan kepada Validator]),"")</f>
        <v>45736.60251</v>
      </c>
      <c r="F1525" s="36" t="str">
        <f t="array" ref="F1525">IFNA(_xlfn.XLOOKUP(D1525,Table_Tarikan_Warkah[Nomor Tiket],Table_Tarikan_Warkah[Nama Petugas Warkah]),"")</f>
        <v/>
      </c>
      <c r="G1525" s="39" t="str">
        <f t="array" ref="G1525">IFNA(_xlfn.XLOOKUP(D1525,Table_Tarikan_Warkah[Nomor Tiket],Table_Tarikan_Warkah[Jenis Permohonan]),"")</f>
        <v>BN JUAL BELI</v>
      </c>
      <c r="H1525" s="41" t="s">
        <v>11</v>
      </c>
      <c r="I1525" s="49" t="s">
        <v>23</v>
      </c>
      <c r="J1525" s="36">
        <f t="shared" si="20"/>
        <v>45733.50246</v>
      </c>
      <c r="K1525" s="49" t="s">
        <v>197</v>
      </c>
      <c r="L1525" s="49" t="s">
        <v>23</v>
      </c>
      <c r="M1525" s="36">
        <f t="shared" si="26"/>
        <v>45734.36347</v>
      </c>
      <c r="N1525" s="30" t="str">
        <f t="shared" si="27"/>
        <v>Selesai</v>
      </c>
      <c r="O1525" s="45">
        <f t="shared" si="23"/>
        <v>45734.36347</v>
      </c>
      <c r="P1525" s="47" t="b">
        <v>1</v>
      </c>
      <c r="Q1525" s="36">
        <f t="shared" si="24"/>
        <v>45736.59922</v>
      </c>
      <c r="R1525" s="47" t="b">
        <v>0</v>
      </c>
      <c r="S1525" s="42" t="str">
        <f t="shared" si="28"/>
        <v/>
      </c>
      <c r="T1525" s="42"/>
    </row>
    <row r="1526" ht="22.5" customHeight="1">
      <c r="B1526" s="42">
        <f t="shared" si="7"/>
        <v>1520</v>
      </c>
      <c r="C1526" s="31" t="s">
        <v>1654</v>
      </c>
      <c r="D1526" s="34" t="str">
        <f t="array" ref="D1526">IFNA(_xlfn.XLOOKUP(C1526,Table_Tarikan_Warkah[Nomor Sertipikat],Table_Tarikan_Warkah[Nomor Tiket]),"")</f>
        <v>K/8/100125/1</v>
      </c>
      <c r="E1526" s="36">
        <f t="array" ref="E1526">IFNA(_xlfn.XLOOKUP(D1526,Table_Tarikan_Warkah[Nomor Tiket],Table_Tarikan_Warkah[Tanggal diserahkan kepada Validator]),"")</f>
        <v>45736.6095</v>
      </c>
      <c r="F1526" s="36" t="str">
        <f t="array" ref="F1526">IFNA(_xlfn.XLOOKUP(D1526,Table_Tarikan_Warkah[Nomor Tiket],Table_Tarikan_Warkah[Nama Petugas Warkah]),"")</f>
        <v>David</v>
      </c>
      <c r="G1526" s="39" t="str">
        <f t="array" ref="G1526">IFNA(_xlfn.XLOOKUP(D1526,Table_Tarikan_Warkah[Nomor Tiket],Table_Tarikan_Warkah[Jenis Permohonan]),"")</f>
        <v>BN WARIS</v>
      </c>
      <c r="H1526" s="41" t="s">
        <v>11</v>
      </c>
      <c r="I1526" s="49" t="s">
        <v>23</v>
      </c>
      <c r="J1526" s="36">
        <f t="shared" si="20"/>
        <v>45733.50246</v>
      </c>
      <c r="K1526" s="49" t="s">
        <v>197</v>
      </c>
      <c r="L1526" s="49" t="s">
        <v>23</v>
      </c>
      <c r="M1526" s="36">
        <f t="shared" si="26"/>
        <v>45734.36347</v>
      </c>
      <c r="N1526" s="30" t="str">
        <f t="shared" si="27"/>
        <v>Selesai</v>
      </c>
      <c r="O1526" s="45">
        <f t="shared" si="23"/>
        <v>45734.36347</v>
      </c>
      <c r="P1526" s="47" t="b">
        <v>1</v>
      </c>
      <c r="Q1526" s="36">
        <f t="shared" si="24"/>
        <v>45736.59923</v>
      </c>
      <c r="R1526" s="47" t="b">
        <v>0</v>
      </c>
      <c r="S1526" s="42" t="str">
        <f t="shared" si="28"/>
        <v/>
      </c>
      <c r="T1526" s="42"/>
    </row>
    <row r="1527" ht="22.5" customHeight="1">
      <c r="B1527" s="42">
        <f t="shared" si="7"/>
        <v>1521</v>
      </c>
      <c r="C1527" s="31" t="s">
        <v>1540</v>
      </c>
      <c r="D1527" s="34" t="str">
        <f t="array" ref="D1527">IFNA(_xlfn.XLOOKUP(C1527,Table_Tarikan_Warkah[Nomor Sertipikat],Table_Tarikan_Warkah[Nomor Tiket]),"")</f>
        <v>K/28/280225/2</v>
      </c>
      <c r="E1527" s="36">
        <f t="array" ref="E1527">IFNA(_xlfn.XLOOKUP(D1527,Table_Tarikan_Warkah[Nomor Tiket],Table_Tarikan_Warkah[Tanggal diserahkan kepada Validator]),"")</f>
        <v>45736.60819</v>
      </c>
      <c r="F1527" s="36" t="str">
        <f t="array" ref="F1527">IFNA(_xlfn.XLOOKUP(D1527,Table_Tarikan_Warkah[Nomor Tiket],Table_Tarikan_Warkah[Nama Petugas Warkah]),"")</f>
        <v/>
      </c>
      <c r="G1527" s="39" t="str">
        <f t="array" ref="G1527">IFNA(_xlfn.XLOOKUP(D1527,Table_Tarikan_Warkah[Nomor Tiket],Table_Tarikan_Warkah[Jenis Permohonan]),"")</f>
        <v>BN JUAL BELI</v>
      </c>
      <c r="H1527" s="41" t="s">
        <v>11</v>
      </c>
      <c r="I1527" s="49" t="s">
        <v>23</v>
      </c>
      <c r="J1527" s="36">
        <f t="shared" si="20"/>
        <v>45733.50246</v>
      </c>
      <c r="K1527" s="49" t="s">
        <v>197</v>
      </c>
      <c r="L1527" s="49" t="s">
        <v>23</v>
      </c>
      <c r="M1527" s="36">
        <f t="shared" si="26"/>
        <v>45734.36347</v>
      </c>
      <c r="N1527" s="30" t="str">
        <f t="shared" si="27"/>
        <v>Selesai</v>
      </c>
      <c r="O1527" s="45">
        <f t="shared" si="23"/>
        <v>45734.36347</v>
      </c>
      <c r="P1527" s="47" t="b">
        <v>1</v>
      </c>
      <c r="Q1527" s="36">
        <f t="shared" si="24"/>
        <v>45736.59924</v>
      </c>
      <c r="R1527" s="47" t="b">
        <v>0</v>
      </c>
      <c r="S1527" s="42" t="str">
        <f t="shared" si="28"/>
        <v/>
      </c>
      <c r="T1527" s="42"/>
    </row>
    <row r="1528" ht="22.5" customHeight="1">
      <c r="B1528" s="42">
        <f t="shared" si="7"/>
        <v>1522</v>
      </c>
      <c r="C1528" s="31" t="s">
        <v>1655</v>
      </c>
      <c r="D1528" s="34" t="str">
        <f t="array" ref="D1528">IFNA(_xlfn.XLOOKUP(C1528,Table_Tarikan_Warkah[Nomor Sertipikat],Table_Tarikan_Warkah[Nomor Tiket]),"")</f>
        <v>K/8/060325/1</v>
      </c>
      <c r="E1528" s="36">
        <f t="array" ref="E1528">IFNA(_xlfn.XLOOKUP(D1528,Table_Tarikan_Warkah[Nomor Tiket],Table_Tarikan_Warkah[Tanggal diserahkan kepada Validator]),"")</f>
        <v>45736.60207</v>
      </c>
      <c r="F1528" s="36" t="str">
        <f t="array" ref="F1528">IFNA(_xlfn.XLOOKUP(D1528,Table_Tarikan_Warkah[Nomor Tiket],Table_Tarikan_Warkah[Nama Petugas Warkah]),"")</f>
        <v/>
      </c>
      <c r="G1528" s="39" t="str">
        <f t="array" ref="G1528">IFNA(_xlfn.XLOOKUP(D1528,Table_Tarikan_Warkah[Nomor Tiket],Table_Tarikan_Warkah[Jenis Permohonan]),"")</f>
        <v>BN JUAL BELI</v>
      </c>
      <c r="H1528" s="41" t="s">
        <v>11</v>
      </c>
      <c r="I1528" s="49" t="s">
        <v>23</v>
      </c>
      <c r="J1528" s="36">
        <f t="shared" si="20"/>
        <v>45733.50246</v>
      </c>
      <c r="K1528" s="49" t="s">
        <v>197</v>
      </c>
      <c r="L1528" s="49" t="s">
        <v>23</v>
      </c>
      <c r="M1528" s="36">
        <f t="shared" si="26"/>
        <v>45734.36347</v>
      </c>
      <c r="N1528" s="30" t="str">
        <f t="shared" si="27"/>
        <v>Selesai</v>
      </c>
      <c r="O1528" s="45">
        <f t="shared" si="23"/>
        <v>45734.36347</v>
      </c>
      <c r="P1528" s="47" t="b">
        <v>1</v>
      </c>
      <c r="Q1528" s="36">
        <f t="shared" si="24"/>
        <v>45736.59925</v>
      </c>
      <c r="R1528" s="47" t="b">
        <v>0</v>
      </c>
      <c r="S1528" s="42" t="str">
        <f t="shared" si="28"/>
        <v/>
      </c>
      <c r="T1528" s="42"/>
    </row>
    <row r="1529" ht="22.5" customHeight="1">
      <c r="B1529" s="42">
        <f t="shared" si="7"/>
        <v>1523</v>
      </c>
      <c r="C1529" s="31" t="s">
        <v>1656</v>
      </c>
      <c r="D1529" s="34" t="str">
        <f t="array" ref="D1529">IFNA(_xlfn.XLOOKUP(C1529,Table_Tarikan_Warkah[Nomor Sertipikat],Table_Tarikan_Warkah[Nomor Tiket]),"")</f>
        <v> K/42/250225/2</v>
      </c>
      <c r="E1529" s="36">
        <f t="array" ref="E1529">IFNA(_xlfn.XLOOKUP(D1529,Table_Tarikan_Warkah[Nomor Tiket],Table_Tarikan_Warkah[Tanggal diserahkan kepada Validator]),"")</f>
        <v>45736.60853</v>
      </c>
      <c r="F1529" s="36" t="str">
        <f t="array" ref="F1529">IFNA(_xlfn.XLOOKUP(D1529,Table_Tarikan_Warkah[Nomor Tiket],Table_Tarikan_Warkah[Nama Petugas Warkah]),"")</f>
        <v/>
      </c>
      <c r="G1529" s="39" t="str">
        <f t="array" ref="G1529">IFNA(_xlfn.XLOOKUP(D1529,Table_Tarikan_Warkah[Nomor Tiket],Table_Tarikan_Warkah[Jenis Permohonan]),"")</f>
        <v>BN JUAL BELI</v>
      </c>
      <c r="H1529" s="41" t="s">
        <v>11</v>
      </c>
      <c r="I1529" s="49" t="s">
        <v>23</v>
      </c>
      <c r="J1529" s="36">
        <f t="shared" si="20"/>
        <v>45733.50246</v>
      </c>
      <c r="K1529" s="58" t="s">
        <v>197</v>
      </c>
      <c r="L1529" s="49" t="s">
        <v>23</v>
      </c>
      <c r="M1529" s="36">
        <f t="shared" si="26"/>
        <v>45734.36353</v>
      </c>
      <c r="N1529" s="30" t="str">
        <f t="shared" si="27"/>
        <v>Selesai</v>
      </c>
      <c r="O1529" s="45">
        <f t="shared" si="23"/>
        <v>45734.36353</v>
      </c>
      <c r="P1529" s="47" t="b">
        <v>1</v>
      </c>
      <c r="Q1529" s="36">
        <f t="shared" si="24"/>
        <v>45736.59933</v>
      </c>
      <c r="R1529" s="47" t="b">
        <v>0</v>
      </c>
      <c r="S1529" s="42" t="str">
        <f t="shared" si="28"/>
        <v/>
      </c>
      <c r="T1529" s="42"/>
    </row>
    <row r="1530" ht="22.5" customHeight="1">
      <c r="B1530" s="42">
        <f t="shared" si="7"/>
        <v>1524</v>
      </c>
      <c r="C1530" s="31" t="s">
        <v>1657</v>
      </c>
      <c r="D1530" s="34" t="str">
        <f t="array" ref="D1530">IFNA(_xlfn.XLOOKUP(C1530,Table_Tarikan_Warkah[Nomor Sertipikat],Table_Tarikan_Warkah[Nomor Tiket]),"")</f>
        <v>K/24/060325/1</v>
      </c>
      <c r="E1530" s="36">
        <f t="array" ref="E1530">IFNA(_xlfn.XLOOKUP(D1530,Table_Tarikan_Warkah[Nomor Tiket],Table_Tarikan_Warkah[Tanggal diserahkan kepada Validator]),"")</f>
        <v>45736.6014</v>
      </c>
      <c r="F1530" s="36" t="str">
        <f t="array" ref="F1530">IFNA(_xlfn.XLOOKUP(D1530,Table_Tarikan_Warkah[Nomor Tiket],Table_Tarikan_Warkah[Nama Petugas Warkah]),"")</f>
        <v/>
      </c>
      <c r="G1530" s="39" t="str">
        <f t="array" ref="G1530">IFNA(_xlfn.XLOOKUP(D1530,Table_Tarikan_Warkah[Nomor Tiket],Table_Tarikan_Warkah[Jenis Permohonan]),"")</f>
        <v>BN HIBAH</v>
      </c>
      <c r="H1530" s="41" t="s">
        <v>11</v>
      </c>
      <c r="I1530" s="49" t="s">
        <v>23</v>
      </c>
      <c r="J1530" s="36">
        <f t="shared" si="20"/>
        <v>45733.50246</v>
      </c>
      <c r="K1530" s="56" t="s">
        <v>197</v>
      </c>
      <c r="L1530" s="49" t="s">
        <v>23</v>
      </c>
      <c r="M1530" s="36">
        <f t="shared" si="26"/>
        <v>45734.36353</v>
      </c>
      <c r="N1530" s="30" t="str">
        <f t="shared" si="27"/>
        <v>Selesai</v>
      </c>
      <c r="O1530" s="45">
        <f t="shared" si="23"/>
        <v>45734.36353</v>
      </c>
      <c r="P1530" s="47" t="b">
        <v>1</v>
      </c>
      <c r="Q1530" s="36">
        <f t="shared" si="24"/>
        <v>45736.59933</v>
      </c>
      <c r="R1530" s="47" t="b">
        <v>0</v>
      </c>
      <c r="S1530" s="42" t="str">
        <f t="shared" si="28"/>
        <v/>
      </c>
      <c r="T1530" s="42"/>
    </row>
    <row r="1531" ht="22.5" customHeight="1">
      <c r="B1531" s="42">
        <f t="shared" si="7"/>
        <v>1525</v>
      </c>
      <c r="C1531" s="31" t="s">
        <v>1658</v>
      </c>
      <c r="D1531" s="34" t="str">
        <f t="array" ref="D1531">IFNA(_xlfn.XLOOKUP(C1531,Table_Tarikan_Warkah[Nomor Sertipikat],Table_Tarikan_Warkah[Nomor Tiket]),"")</f>
        <v>K/26/100325/1</v>
      </c>
      <c r="E1531" s="36">
        <f t="array" ref="E1531">IFNA(_xlfn.XLOOKUP(D1531,Table_Tarikan_Warkah[Nomor Tiket],Table_Tarikan_Warkah[Tanggal diserahkan kepada Validator]),"")</f>
        <v>45736.60926</v>
      </c>
      <c r="F1531" s="36" t="str">
        <f t="array" ref="F1531">IFNA(_xlfn.XLOOKUP(D1531,Table_Tarikan_Warkah[Nomor Tiket],Table_Tarikan_Warkah[Nama Petugas Warkah]),"")</f>
        <v/>
      </c>
      <c r="G1531" s="39" t="str">
        <f t="array" ref="G1531">IFNA(_xlfn.XLOOKUP(D1531,Table_Tarikan_Warkah[Nomor Tiket],Table_Tarikan_Warkah[Jenis Permohonan]),"")</f>
        <v>BN WARIS</v>
      </c>
      <c r="H1531" s="41" t="s">
        <v>11</v>
      </c>
      <c r="I1531" s="49" t="s">
        <v>23</v>
      </c>
      <c r="J1531" s="36">
        <f t="shared" si="20"/>
        <v>45733.50246</v>
      </c>
      <c r="K1531" s="58" t="s">
        <v>197</v>
      </c>
      <c r="L1531" s="49" t="s">
        <v>23</v>
      </c>
      <c r="M1531" s="36">
        <f t="shared" si="26"/>
        <v>45734.36353</v>
      </c>
      <c r="N1531" s="30" t="str">
        <f t="shared" si="27"/>
        <v>Selesai</v>
      </c>
      <c r="O1531" s="45">
        <f t="shared" si="23"/>
        <v>45734.36353</v>
      </c>
      <c r="P1531" s="47" t="b">
        <v>1</v>
      </c>
      <c r="Q1531" s="36">
        <f t="shared" si="24"/>
        <v>45736.59933</v>
      </c>
      <c r="R1531" s="47" t="b">
        <v>0</v>
      </c>
      <c r="S1531" s="42" t="str">
        <f t="shared" si="28"/>
        <v/>
      </c>
      <c r="T1531" s="42"/>
    </row>
    <row r="1532" ht="22.5" customHeight="1">
      <c r="B1532" s="42">
        <f t="shared" si="7"/>
        <v>1526</v>
      </c>
      <c r="C1532" s="31" t="s">
        <v>1659</v>
      </c>
      <c r="D1532" s="34" t="str">
        <f t="array" ref="D1532">IFNA(_xlfn.XLOOKUP(C1532,Table_Tarikan_Warkah[Nomor Sertipikat],Table_Tarikan_Warkah[Nomor Tiket]),"")</f>
        <v>K/37/120325/1</v>
      </c>
      <c r="E1532" s="36">
        <f t="array" ref="E1532">IFNA(_xlfn.XLOOKUP(D1532,Table_Tarikan_Warkah[Nomor Tiket],Table_Tarikan_Warkah[Tanggal diserahkan kepada Validator]),"")</f>
        <v>45763.55203</v>
      </c>
      <c r="F1532" s="36" t="str">
        <f t="array" ref="F1532">IFNA(_xlfn.XLOOKUP(D1532,Table_Tarikan_Warkah[Nomor Tiket],Table_Tarikan_Warkah[Nama Petugas Warkah]),"")</f>
        <v/>
      </c>
      <c r="G1532" s="39" t="str">
        <f t="array" ref="G1532">IFNA(_xlfn.XLOOKUP(D1532,Table_Tarikan_Warkah[Nomor Tiket],Table_Tarikan_Warkah[Jenis Permohonan]),"")</f>
        <v>ROYA</v>
      </c>
      <c r="H1532" s="41" t="s">
        <v>11</v>
      </c>
      <c r="I1532" s="49" t="s">
        <v>23</v>
      </c>
      <c r="J1532" s="36">
        <f t="shared" si="20"/>
        <v>45733.50246</v>
      </c>
      <c r="K1532" s="56" t="s">
        <v>197</v>
      </c>
      <c r="L1532" s="49" t="s">
        <v>23</v>
      </c>
      <c r="M1532" s="36">
        <f t="shared" si="26"/>
        <v>45734.36353</v>
      </c>
      <c r="N1532" s="30" t="str">
        <f t="shared" si="27"/>
        <v>Selesai</v>
      </c>
      <c r="O1532" s="45">
        <f t="shared" si="23"/>
        <v>45734.36353</v>
      </c>
      <c r="P1532" s="47" t="b">
        <v>1</v>
      </c>
      <c r="Q1532" s="36">
        <f t="shared" si="24"/>
        <v>45736.59933</v>
      </c>
      <c r="R1532" s="47" t="b">
        <v>0</v>
      </c>
      <c r="S1532" s="42" t="str">
        <f t="shared" si="28"/>
        <v/>
      </c>
      <c r="T1532" s="42"/>
    </row>
    <row r="1533" ht="22.5" customHeight="1">
      <c r="B1533" s="42">
        <f t="shared" si="7"/>
        <v>1527</v>
      </c>
      <c r="C1533" s="31" t="s">
        <v>1660</v>
      </c>
      <c r="D1533" s="34" t="str">
        <f t="array" ref="D1533">IFNA(_xlfn.XLOOKUP(C1533,Table_Tarikan_Warkah[Nomor Sertipikat],Table_Tarikan_Warkah[Nomor Tiket]),"")</f>
        <v>K/18/100325/1</v>
      </c>
      <c r="E1533" s="36">
        <f t="array" ref="E1533">IFNA(_xlfn.XLOOKUP(D1533,Table_Tarikan_Warkah[Nomor Tiket],Table_Tarikan_Warkah[Tanggal diserahkan kepada Validator]),"")</f>
        <v>45736.60049</v>
      </c>
      <c r="F1533" s="36" t="str">
        <f t="array" ref="F1533">IFNA(_xlfn.XLOOKUP(D1533,Table_Tarikan_Warkah[Nomor Tiket],Table_Tarikan_Warkah[Nama Petugas Warkah]),"")</f>
        <v/>
      </c>
      <c r="G1533" s="39" t="str">
        <f t="array" ref="G1533">IFNA(_xlfn.XLOOKUP(D1533,Table_Tarikan_Warkah[Nomor Tiket],Table_Tarikan_Warkah[Jenis Permohonan]),"")</f>
        <v>BN JUAL BELI</v>
      </c>
      <c r="H1533" s="41" t="s">
        <v>11</v>
      </c>
      <c r="I1533" s="49" t="s">
        <v>23</v>
      </c>
      <c r="J1533" s="36">
        <f t="shared" si="20"/>
        <v>45733.50246</v>
      </c>
      <c r="K1533" s="58" t="s">
        <v>197</v>
      </c>
      <c r="L1533" s="49" t="s">
        <v>23</v>
      </c>
      <c r="M1533" s="36">
        <f t="shared" si="26"/>
        <v>45734.36353</v>
      </c>
      <c r="N1533" s="30" t="str">
        <f t="shared" si="27"/>
        <v>Selesai</v>
      </c>
      <c r="O1533" s="45">
        <f t="shared" si="23"/>
        <v>45734.36353</v>
      </c>
      <c r="P1533" s="47" t="b">
        <v>1</v>
      </c>
      <c r="Q1533" s="36">
        <f t="shared" si="24"/>
        <v>45736.59933</v>
      </c>
      <c r="R1533" s="47" t="b">
        <v>0</v>
      </c>
      <c r="S1533" s="42" t="str">
        <f t="shared" si="28"/>
        <v/>
      </c>
      <c r="T1533" s="42"/>
    </row>
    <row r="1534" ht="22.5" customHeight="1">
      <c r="B1534" s="42">
        <f t="shared" si="7"/>
        <v>1528</v>
      </c>
      <c r="C1534" s="31" t="s">
        <v>1661</v>
      </c>
      <c r="D1534" s="34" t="str">
        <f t="array" ref="D1534">IFNA(_xlfn.XLOOKUP(C1534,Table_Tarikan_Warkah[Nomor Sertipikat],Table_Tarikan_Warkah[Nomor Tiket]),"")</f>
        <v>K/19/110325/2</v>
      </c>
      <c r="E1534" s="36">
        <f t="array" ref="E1534">IFNA(_xlfn.XLOOKUP(D1534,Table_Tarikan_Warkah[Nomor Tiket],Table_Tarikan_Warkah[Tanggal diserahkan kepada Validator]),"")</f>
        <v>45736.59993</v>
      </c>
      <c r="F1534" s="36" t="str">
        <f t="array" ref="F1534">IFNA(_xlfn.XLOOKUP(D1534,Table_Tarikan_Warkah[Nomor Tiket],Table_Tarikan_Warkah[Nama Petugas Warkah]),"")</f>
        <v/>
      </c>
      <c r="G1534" s="39" t="str">
        <f t="array" ref="G1534">IFNA(_xlfn.XLOOKUP(D1534,Table_Tarikan_Warkah[Nomor Tiket],Table_Tarikan_Warkah[Jenis Permohonan]),"")</f>
        <v>BN Jual Beli`</v>
      </c>
      <c r="H1534" s="41" t="s">
        <v>11</v>
      </c>
      <c r="I1534" s="49" t="s">
        <v>23</v>
      </c>
      <c r="J1534" s="36">
        <f t="shared" si="20"/>
        <v>45733.50246</v>
      </c>
      <c r="K1534" s="56" t="s">
        <v>197</v>
      </c>
      <c r="L1534" s="49" t="s">
        <v>23</v>
      </c>
      <c r="M1534" s="36">
        <f t="shared" si="26"/>
        <v>45734.36353</v>
      </c>
      <c r="N1534" s="30" t="str">
        <f t="shared" si="27"/>
        <v>Selesai</v>
      </c>
      <c r="O1534" s="45">
        <f t="shared" si="23"/>
        <v>45734.36353</v>
      </c>
      <c r="P1534" s="47" t="b">
        <v>1</v>
      </c>
      <c r="Q1534" s="36">
        <f t="shared" si="24"/>
        <v>45736.59933</v>
      </c>
      <c r="R1534" s="47" t="b">
        <v>0</v>
      </c>
      <c r="S1534" s="42" t="str">
        <f t="shared" si="28"/>
        <v/>
      </c>
      <c r="T1534" s="42"/>
    </row>
    <row r="1535" ht="22.5" customHeight="1">
      <c r="B1535" s="42">
        <f t="shared" si="7"/>
        <v>1529</v>
      </c>
      <c r="C1535" s="31" t="s">
        <v>1662</v>
      </c>
      <c r="D1535" s="34" t="str">
        <f t="array" ref="D1535">IFNA(_xlfn.XLOOKUP(C1535,Table_Tarikan_Warkah[Nomor Sertipikat],Table_Tarikan_Warkah[Nomor Tiket]),"")</f>
        <v>K/32/060325/1</v>
      </c>
      <c r="E1535" s="36">
        <f t="array" ref="E1535">IFNA(_xlfn.XLOOKUP(D1535,Table_Tarikan_Warkah[Nomor Tiket],Table_Tarikan_Warkah[Tanggal diserahkan kepada Validator]),"")</f>
        <v>45736.609</v>
      </c>
      <c r="F1535" s="36" t="str">
        <f t="array" ref="F1535">IFNA(_xlfn.XLOOKUP(D1535,Table_Tarikan_Warkah[Nomor Tiket],Table_Tarikan_Warkah[Nama Petugas Warkah]),"")</f>
        <v/>
      </c>
      <c r="G1535" s="39" t="str">
        <f t="array" ref="G1535">IFNA(_xlfn.XLOOKUP(D1535,Table_Tarikan_Warkah[Nomor Tiket],Table_Tarikan_Warkah[Jenis Permohonan]),"")</f>
        <v>BN Jual Beli</v>
      </c>
      <c r="H1535" s="41" t="s">
        <v>11</v>
      </c>
      <c r="I1535" s="49" t="s">
        <v>23</v>
      </c>
      <c r="J1535" s="36">
        <f t="shared" si="20"/>
        <v>45733.50246</v>
      </c>
      <c r="K1535" s="58" t="s">
        <v>197</v>
      </c>
      <c r="L1535" s="49" t="s">
        <v>23</v>
      </c>
      <c r="M1535" s="36">
        <f t="shared" si="26"/>
        <v>45734.36362</v>
      </c>
      <c r="N1535" s="30" t="str">
        <f t="shared" si="27"/>
        <v>Selesai</v>
      </c>
      <c r="O1535" s="45">
        <f t="shared" si="23"/>
        <v>45734.36362</v>
      </c>
      <c r="P1535" s="47" t="b">
        <v>1</v>
      </c>
      <c r="Q1535" s="36">
        <f t="shared" si="24"/>
        <v>45736.59942</v>
      </c>
      <c r="R1535" s="47" t="b">
        <v>0</v>
      </c>
      <c r="S1535" s="42" t="str">
        <f t="shared" si="28"/>
        <v/>
      </c>
      <c r="T1535" s="42"/>
    </row>
    <row r="1536" ht="22.5" customHeight="1">
      <c r="B1536" s="42">
        <f t="shared" si="7"/>
        <v>1530</v>
      </c>
      <c r="C1536" s="31" t="s">
        <v>1663</v>
      </c>
      <c r="D1536" s="34" t="str">
        <f t="array" ref="D1536">IFNA(_xlfn.XLOOKUP(C1536,Table_Tarikan_Warkah[Nomor Sertipikat],Table_Tarikan_Warkah[Nomor Tiket]),"")</f>
        <v>K/18/110325/1</v>
      </c>
      <c r="E1536" s="36">
        <f t="array" ref="E1536">IFNA(_xlfn.XLOOKUP(D1536,Table_Tarikan_Warkah[Nomor Tiket],Table_Tarikan_Warkah[Tanggal diserahkan kepada Validator]),"")</f>
        <v>45736.60168</v>
      </c>
      <c r="F1536" s="36" t="str">
        <f t="array" ref="F1536">IFNA(_xlfn.XLOOKUP(D1536,Table_Tarikan_Warkah[Nomor Tiket],Table_Tarikan_Warkah[Nama Petugas Warkah]),"")</f>
        <v/>
      </c>
      <c r="G1536" s="39" t="str">
        <f t="array" ref="G1536">IFNA(_xlfn.XLOOKUP(D1536,Table_Tarikan_Warkah[Nomor Tiket],Table_Tarikan_Warkah[Jenis Permohonan]),"")</f>
        <v>BN Jual Beli</v>
      </c>
      <c r="H1536" s="41" t="s">
        <v>11</v>
      </c>
      <c r="I1536" s="49" t="s">
        <v>23</v>
      </c>
      <c r="J1536" s="36">
        <f t="shared" si="20"/>
        <v>45733.50246</v>
      </c>
      <c r="K1536" s="56" t="s">
        <v>197</v>
      </c>
      <c r="L1536" s="49" t="s">
        <v>23</v>
      </c>
      <c r="M1536" s="36">
        <f t="shared" si="26"/>
        <v>45734.36362</v>
      </c>
      <c r="N1536" s="30" t="str">
        <f t="shared" si="27"/>
        <v>Selesai</v>
      </c>
      <c r="O1536" s="45">
        <f t="shared" si="23"/>
        <v>45734.36362</v>
      </c>
      <c r="P1536" s="47" t="b">
        <v>1</v>
      </c>
      <c r="Q1536" s="36">
        <f t="shared" si="24"/>
        <v>45736.59942</v>
      </c>
      <c r="R1536" s="47" t="b">
        <v>0</v>
      </c>
      <c r="S1536" s="42" t="str">
        <f t="shared" si="28"/>
        <v/>
      </c>
      <c r="T1536" s="42"/>
    </row>
    <row r="1537" ht="22.5" customHeight="1">
      <c r="B1537" s="42">
        <f t="shared" si="7"/>
        <v>1531</v>
      </c>
      <c r="C1537" s="31" t="s">
        <v>1664</v>
      </c>
      <c r="D1537" s="34" t="str">
        <f t="array" ref="D1537">IFNA(_xlfn.XLOOKUP(C1537,Table_Tarikan_Warkah[Nomor Sertipikat],Table_Tarikan_Warkah[Nomor Tiket]),"")</f>
        <v>K/1/110325/1</v>
      </c>
      <c r="E1537" s="36">
        <f t="array" ref="E1537">IFNA(_xlfn.XLOOKUP(D1537,Table_Tarikan_Warkah[Nomor Tiket],Table_Tarikan_Warkah[Tanggal diserahkan kepada Validator]),"")</f>
        <v>45736.60404</v>
      </c>
      <c r="F1537" s="36" t="str">
        <f t="array" ref="F1537">IFNA(_xlfn.XLOOKUP(D1537,Table_Tarikan_Warkah[Nomor Tiket],Table_Tarikan_Warkah[Nama Petugas Warkah]),"")</f>
        <v/>
      </c>
      <c r="G1537" s="39" t="str">
        <f t="array" ref="G1537">IFNA(_xlfn.XLOOKUP(D1537,Table_Tarikan_Warkah[Nomor Tiket],Table_Tarikan_Warkah[Jenis Permohonan]),"")</f>
        <v>BN Jual Beli</v>
      </c>
      <c r="H1537" s="41" t="s">
        <v>11</v>
      </c>
      <c r="I1537" s="49" t="s">
        <v>23</v>
      </c>
      <c r="J1537" s="36">
        <f t="shared" si="20"/>
        <v>45733.50246</v>
      </c>
      <c r="K1537" s="58" t="s">
        <v>197</v>
      </c>
      <c r="L1537" s="49" t="s">
        <v>23</v>
      </c>
      <c r="M1537" s="36">
        <f t="shared" si="26"/>
        <v>45734.36362</v>
      </c>
      <c r="N1537" s="30" t="str">
        <f t="shared" si="27"/>
        <v>Selesai</v>
      </c>
      <c r="O1537" s="45">
        <f t="shared" si="23"/>
        <v>45734.36362</v>
      </c>
      <c r="P1537" s="47" t="b">
        <v>1</v>
      </c>
      <c r="Q1537" s="36">
        <f t="shared" si="24"/>
        <v>45736.59942</v>
      </c>
      <c r="R1537" s="47" t="b">
        <v>0</v>
      </c>
      <c r="S1537" s="42" t="str">
        <f t="shared" si="28"/>
        <v/>
      </c>
      <c r="T1537" s="42"/>
    </row>
    <row r="1538" ht="22.5" customHeight="1">
      <c r="B1538" s="42">
        <f t="shared" si="7"/>
        <v>1532</v>
      </c>
      <c r="C1538" s="31" t="s">
        <v>1665</v>
      </c>
      <c r="D1538" s="34" t="str">
        <f t="array" ref="D1538">IFNA(_xlfn.XLOOKUP(C1538,Table_Tarikan_Warkah[Nomor Sertipikat],Table_Tarikan_Warkah[Nomor Tiket]),"")</f>
        <v>K/16/100325/1</v>
      </c>
      <c r="E1538" s="36">
        <f t="array" ref="E1538">IFNA(_xlfn.XLOOKUP(D1538,Table_Tarikan_Warkah[Nomor Tiket],Table_Tarikan_Warkah[Tanggal diserahkan kepada Validator]),"")</f>
        <v>45736.61054</v>
      </c>
      <c r="F1538" s="36" t="str">
        <f t="array" ref="F1538">IFNA(_xlfn.XLOOKUP(D1538,Table_Tarikan_Warkah[Nomor Tiket],Table_Tarikan_Warkah[Nama Petugas Warkah]),"")</f>
        <v/>
      </c>
      <c r="G1538" s="39" t="str">
        <f t="array" ref="G1538">IFNA(_xlfn.XLOOKUP(D1538,Table_Tarikan_Warkah[Nomor Tiket],Table_Tarikan_Warkah[Jenis Permohonan]),"")</f>
        <v>BN JUAL BELI</v>
      </c>
      <c r="H1538" s="41" t="s">
        <v>11</v>
      </c>
      <c r="I1538" s="49" t="s">
        <v>23</v>
      </c>
      <c r="J1538" s="36">
        <f t="shared" si="20"/>
        <v>45733.50246</v>
      </c>
      <c r="K1538" s="56" t="s">
        <v>197</v>
      </c>
      <c r="L1538" s="49" t="s">
        <v>23</v>
      </c>
      <c r="M1538" s="36">
        <f t="shared" si="26"/>
        <v>45734.36362</v>
      </c>
      <c r="N1538" s="30" t="str">
        <f t="shared" si="27"/>
        <v>Selesai</v>
      </c>
      <c r="O1538" s="45">
        <f t="shared" si="23"/>
        <v>45734.36362</v>
      </c>
      <c r="P1538" s="47" t="b">
        <v>1</v>
      </c>
      <c r="Q1538" s="36">
        <f t="shared" si="24"/>
        <v>45736.59942</v>
      </c>
      <c r="R1538" s="47" t="b">
        <v>0</v>
      </c>
      <c r="S1538" s="42" t="str">
        <f t="shared" si="28"/>
        <v/>
      </c>
      <c r="T1538" s="42"/>
    </row>
    <row r="1539" ht="22.5" customHeight="1">
      <c r="B1539" s="42">
        <f t="shared" si="7"/>
        <v>1533</v>
      </c>
      <c r="C1539" s="31" t="s">
        <v>1666</v>
      </c>
      <c r="D1539" s="34" t="str">
        <f t="array" ref="D1539">IFNA(_xlfn.XLOOKUP(C1539,Table_Tarikan_Warkah[Nomor Sertipikat],Table_Tarikan_Warkah[Nomor Tiket]),"")</f>
        <v>K/48/240225/3</v>
      </c>
      <c r="E1539" s="36" t="str">
        <f t="array" ref="E1539">IFNA(_xlfn.XLOOKUP(D1539,Table_Tarikan_Warkah[Nomor Tiket],Table_Tarikan_Warkah[Tanggal diserahkan kepada Validator]),"")</f>
        <v/>
      </c>
      <c r="F1539" s="36" t="str">
        <f t="array" ref="F1539">IFNA(_xlfn.XLOOKUP(D1539,Table_Tarikan_Warkah[Nomor Tiket],Table_Tarikan_Warkah[Nama Petugas Warkah]),"")</f>
        <v/>
      </c>
      <c r="G1539" s="39" t="str">
        <f t="array" ref="G1539">IFNA(_xlfn.XLOOKUP(D1539,Table_Tarikan_Warkah[Nomor Tiket],Table_Tarikan_Warkah[Jenis Permohonan]),"")</f>
        <v>BN JUAL BELI</v>
      </c>
      <c r="H1539" s="41" t="s">
        <v>20</v>
      </c>
      <c r="I1539" s="49" t="s">
        <v>23</v>
      </c>
      <c r="J1539" s="36">
        <f t="shared" si="20"/>
        <v>45734.40211</v>
      </c>
      <c r="K1539" s="49" t="s">
        <v>197</v>
      </c>
      <c r="L1539" s="49" t="s">
        <v>23</v>
      </c>
      <c r="M1539" s="36">
        <f t="shared" si="26"/>
        <v>45736.59872</v>
      </c>
      <c r="N1539" s="30" t="str">
        <f t="shared" si="27"/>
        <v>Selesai</v>
      </c>
      <c r="O1539" s="45">
        <f t="shared" si="23"/>
        <v>45736.59872</v>
      </c>
      <c r="P1539" s="47" t="b">
        <v>1</v>
      </c>
      <c r="Q1539" s="36">
        <f t="shared" si="24"/>
        <v>45736.59942</v>
      </c>
      <c r="R1539" s="47" t="b">
        <v>0</v>
      </c>
      <c r="S1539" s="42" t="str">
        <f t="shared" si="28"/>
        <v/>
      </c>
      <c r="T1539" s="42"/>
    </row>
    <row r="1540" ht="22.5" customHeight="1">
      <c r="B1540" s="42">
        <f t="shared" si="7"/>
        <v>1534</v>
      </c>
      <c r="C1540" s="31" t="s">
        <v>1667</v>
      </c>
      <c r="D1540" s="34" t="str">
        <f t="array" ref="D1540">IFNA(_xlfn.XLOOKUP(C1540,Table_Tarikan_Warkah[Nomor Sertipikat],Table_Tarikan_Warkah[Nomor Tiket]),"")</f>
        <v>K/28/250225/1</v>
      </c>
      <c r="E1540" s="36" t="str">
        <f t="array" ref="E1540">IFNA(_xlfn.XLOOKUP(D1540,Table_Tarikan_Warkah[Nomor Tiket],Table_Tarikan_Warkah[Tanggal diserahkan kepada Validator]),"")</f>
        <v/>
      </c>
      <c r="F1540" s="36" t="str">
        <f t="array" ref="F1540">IFNA(_xlfn.XLOOKUP(D1540,Table_Tarikan_Warkah[Nomor Tiket],Table_Tarikan_Warkah[Nama Petugas Warkah]),"")</f>
        <v/>
      </c>
      <c r="G1540" s="39" t="str">
        <f t="array" ref="G1540">IFNA(_xlfn.XLOOKUP(D1540,Table_Tarikan_Warkah[Nomor Tiket],Table_Tarikan_Warkah[Jenis Permohonan]),"")</f>
        <v>PERUBAHAN HAK</v>
      </c>
      <c r="H1540" s="41" t="s">
        <v>20</v>
      </c>
      <c r="I1540" s="49" t="s">
        <v>23</v>
      </c>
      <c r="J1540" s="36">
        <f t="shared" si="20"/>
        <v>45734.40222</v>
      </c>
      <c r="K1540" s="49" t="s">
        <v>197</v>
      </c>
      <c r="L1540" s="49" t="s">
        <v>23</v>
      </c>
      <c r="M1540" s="36">
        <f t="shared" si="26"/>
        <v>45736.59872</v>
      </c>
      <c r="N1540" s="30" t="str">
        <f t="shared" si="27"/>
        <v>Selesai</v>
      </c>
      <c r="O1540" s="45">
        <f t="shared" si="23"/>
        <v>45736.59872</v>
      </c>
      <c r="P1540" s="47" t="b">
        <v>1</v>
      </c>
      <c r="Q1540" s="36">
        <f t="shared" si="24"/>
        <v>45736.59942</v>
      </c>
      <c r="R1540" s="47" t="b">
        <v>0</v>
      </c>
      <c r="S1540" s="42" t="str">
        <f t="shared" si="28"/>
        <v/>
      </c>
      <c r="T1540" s="42"/>
    </row>
    <row r="1541" ht="22.5" customHeight="1">
      <c r="B1541" s="42">
        <f t="shared" si="7"/>
        <v>1535</v>
      </c>
      <c r="C1541" s="31" t="s">
        <v>1668</v>
      </c>
      <c r="D1541" s="34" t="str">
        <f t="array" ref="D1541">IFNA(_xlfn.XLOOKUP(C1541,Table_Tarikan_Warkah[Nomor Sertipikat],Table_Tarikan_Warkah[Nomor Tiket]),"")</f>
        <v>K/24/050225/1</v>
      </c>
      <c r="E1541" s="36">
        <f t="array" ref="E1541">IFNA(_xlfn.XLOOKUP(D1541,Table_Tarikan_Warkah[Nomor Tiket],Table_Tarikan_Warkah[Tanggal diserahkan kepada Validator]),"")</f>
        <v>45736.60432</v>
      </c>
      <c r="F1541" s="36" t="str">
        <f t="array" ref="F1541">IFNA(_xlfn.XLOOKUP(D1541,Table_Tarikan_Warkah[Nomor Tiket],Table_Tarikan_Warkah[Nama Petugas Warkah]),"")</f>
        <v/>
      </c>
      <c r="G1541" s="39" t="str">
        <f t="array" ref="G1541">IFNA(_xlfn.XLOOKUP(D1541,Table_Tarikan_Warkah[Nomor Tiket],Table_Tarikan_Warkah[Jenis Permohonan]),"")</f>
        <v>BN JUAL BELI</v>
      </c>
      <c r="H1541" s="41" t="s">
        <v>20</v>
      </c>
      <c r="I1541" s="49" t="s">
        <v>23</v>
      </c>
      <c r="J1541" s="36">
        <f t="shared" si="20"/>
        <v>45734.40321</v>
      </c>
      <c r="K1541" s="49" t="s">
        <v>197</v>
      </c>
      <c r="L1541" s="49" t="s">
        <v>23</v>
      </c>
      <c r="M1541" s="36">
        <f t="shared" si="26"/>
        <v>45736.59872</v>
      </c>
      <c r="N1541" s="30" t="str">
        <f t="shared" si="27"/>
        <v>Selesai</v>
      </c>
      <c r="O1541" s="45">
        <f t="shared" si="23"/>
        <v>45736.59872</v>
      </c>
      <c r="P1541" s="47" t="b">
        <v>1</v>
      </c>
      <c r="Q1541" s="36">
        <f t="shared" si="24"/>
        <v>45736.59942</v>
      </c>
      <c r="R1541" s="47" t="b">
        <v>0</v>
      </c>
      <c r="S1541" s="42" t="str">
        <f t="shared" si="28"/>
        <v/>
      </c>
      <c r="T1541" s="42"/>
    </row>
    <row r="1542" ht="22.5" customHeight="1">
      <c r="B1542" s="42">
        <f t="shared" si="7"/>
        <v>1536</v>
      </c>
      <c r="C1542" s="31" t="s">
        <v>16</v>
      </c>
      <c r="D1542" s="34" t="str">
        <f t="array" ref="D1542">IFNA(_xlfn.XLOOKUP(C1542,Table_Tarikan_Warkah[Nomor Sertipikat],Table_Tarikan_Warkah[Nomor Tiket]),"")</f>
        <v>K/34/131124/1</v>
      </c>
      <c r="E1542" s="36" t="str">
        <f t="array" ref="E1542">IFNA(_xlfn.XLOOKUP(D1542,Table_Tarikan_Warkah[Nomor Tiket],Table_Tarikan_Warkah[Tanggal diserahkan kepada Validator]),"")</f>
        <v>18/11/2024 10.48</v>
      </c>
      <c r="F1542" s="36" t="str">
        <f t="array" ref="F1542">IFNA(_xlfn.XLOOKUP(D1542,Table_Tarikan_Warkah[Nomor Tiket],Table_Tarikan_Warkah[Nama Petugas Warkah]),"")</f>
        <v>David</v>
      </c>
      <c r="G1542" s="39" t="str">
        <f t="array" ref="G1542">IFNA(_xlfn.XLOOKUP(D1542,Table_Tarikan_Warkah[Nomor Tiket],Table_Tarikan_Warkah[Jenis Permohonan]),"")</f>
        <v>BN JUAL BELI</v>
      </c>
      <c r="H1542" s="41" t="s">
        <v>20</v>
      </c>
      <c r="I1542" s="49" t="s">
        <v>23</v>
      </c>
      <c r="J1542" s="36">
        <f t="shared" si="20"/>
        <v>45734.40332</v>
      </c>
      <c r="K1542" s="49" t="s">
        <v>197</v>
      </c>
      <c r="L1542" s="49" t="s">
        <v>23</v>
      </c>
      <c r="M1542" s="36">
        <f t="shared" si="26"/>
        <v>45736.59872</v>
      </c>
      <c r="N1542" s="30" t="str">
        <f t="shared" si="27"/>
        <v>Selesai</v>
      </c>
      <c r="O1542" s="45">
        <f t="shared" si="23"/>
        <v>45736.59872</v>
      </c>
      <c r="P1542" s="47" t="b">
        <v>1</v>
      </c>
      <c r="Q1542" s="36">
        <f t="shared" si="24"/>
        <v>45736.59942</v>
      </c>
      <c r="R1542" s="47" t="b">
        <v>0</v>
      </c>
      <c r="S1542" s="42" t="str">
        <f t="shared" si="28"/>
        <v/>
      </c>
      <c r="T1542" s="42"/>
    </row>
    <row r="1543" ht="22.5" customHeight="1">
      <c r="B1543" s="42">
        <f t="shared" si="7"/>
        <v>1537</v>
      </c>
      <c r="C1543" s="31" t="s">
        <v>1669</v>
      </c>
      <c r="D1543" s="34" t="str">
        <f t="array" ref="D1543">IFNA(_xlfn.XLOOKUP(C1543,Table_Tarikan_Warkah[Nomor Sertipikat],Table_Tarikan_Warkah[Nomor Tiket]),"")</f>
        <v>K/19/170225/1</v>
      </c>
      <c r="E1543" s="36" t="str">
        <f t="array" ref="E1543">IFNA(_xlfn.XLOOKUP(D1543,Table_Tarikan_Warkah[Nomor Tiket],Table_Tarikan_Warkah[Tanggal diserahkan kepada Validator]),"")</f>
        <v/>
      </c>
      <c r="F1543" s="36" t="str">
        <f t="array" ref="F1543">IFNA(_xlfn.XLOOKUP(D1543,Table_Tarikan_Warkah[Nomor Tiket],Table_Tarikan_Warkah[Nama Petugas Warkah]),"")</f>
        <v/>
      </c>
      <c r="G1543" s="39" t="str">
        <f t="array" ref="G1543">IFNA(_xlfn.XLOOKUP(D1543,Table_Tarikan_Warkah[Nomor Tiket],Table_Tarikan_Warkah[Jenis Permohonan]),"")</f>
        <v>JAKARTA</v>
      </c>
      <c r="H1543" s="41" t="s">
        <v>20</v>
      </c>
      <c r="I1543" s="49" t="s">
        <v>23</v>
      </c>
      <c r="J1543" s="36">
        <f t="shared" si="20"/>
        <v>45734.40366</v>
      </c>
      <c r="K1543" s="49" t="s">
        <v>197</v>
      </c>
      <c r="L1543" s="49" t="s">
        <v>23</v>
      </c>
      <c r="M1543" s="36">
        <f t="shared" si="26"/>
        <v>45736.59872</v>
      </c>
      <c r="N1543" s="30" t="str">
        <f t="shared" si="27"/>
        <v>Selesai</v>
      </c>
      <c r="O1543" s="45">
        <f t="shared" si="23"/>
        <v>45736.59872</v>
      </c>
      <c r="P1543" s="47" t="b">
        <v>1</v>
      </c>
      <c r="Q1543" s="36">
        <f t="shared" si="24"/>
        <v>45736.59942</v>
      </c>
      <c r="R1543" s="47" t="b">
        <v>0</v>
      </c>
      <c r="S1543" s="42" t="str">
        <f t="shared" si="28"/>
        <v/>
      </c>
      <c r="T1543" s="42"/>
    </row>
    <row r="1544" ht="22.5" customHeight="1">
      <c r="B1544" s="42">
        <f t="shared" si="7"/>
        <v>1538</v>
      </c>
      <c r="C1544" s="31" t="s">
        <v>1670</v>
      </c>
      <c r="D1544" s="34" t="str">
        <f t="array" ref="D1544">IFNA(_xlfn.XLOOKUP(C1544,Table_Tarikan_Warkah[Nomor Sertipikat],Table_Tarikan_Warkah[Nomor Tiket]),"")</f>
        <v>K/35/200225/1</v>
      </c>
      <c r="E1544" s="36">
        <f t="array" ref="E1544">IFNA(_xlfn.XLOOKUP(D1544,Table_Tarikan_Warkah[Nomor Tiket],Table_Tarikan_Warkah[Tanggal diserahkan kepada Validator]),"")</f>
        <v>45736.61027</v>
      </c>
      <c r="F1544" s="36" t="str">
        <f t="array" ref="F1544">IFNA(_xlfn.XLOOKUP(D1544,Table_Tarikan_Warkah[Nomor Tiket],Table_Tarikan_Warkah[Nama Petugas Warkah]),"")</f>
        <v/>
      </c>
      <c r="G1544" s="39" t="str">
        <f t="array" ref="G1544">IFNA(_xlfn.XLOOKUP(D1544,Table_Tarikan_Warkah[Nomor Tiket],Table_Tarikan_Warkah[Jenis Permohonan]),"")</f>
        <v>BN JUAL BELI</v>
      </c>
      <c r="H1544" s="41" t="s">
        <v>20</v>
      </c>
      <c r="I1544" s="49" t="s">
        <v>23</v>
      </c>
      <c r="J1544" s="36">
        <f t="shared" si="20"/>
        <v>45734.40466</v>
      </c>
      <c r="K1544" s="49" t="s">
        <v>197</v>
      </c>
      <c r="L1544" s="49" t="s">
        <v>23</v>
      </c>
      <c r="M1544" s="36">
        <f t="shared" si="26"/>
        <v>45736.59872</v>
      </c>
      <c r="N1544" s="30" t="str">
        <f t="shared" si="27"/>
        <v>Selesai</v>
      </c>
      <c r="O1544" s="45">
        <f t="shared" si="23"/>
        <v>45736.59872</v>
      </c>
      <c r="P1544" s="47" t="b">
        <v>1</v>
      </c>
      <c r="Q1544" s="36">
        <f t="shared" si="24"/>
        <v>45736.59942</v>
      </c>
      <c r="R1544" s="47" t="b">
        <v>0</v>
      </c>
      <c r="S1544" s="42" t="str">
        <f t="shared" si="28"/>
        <v/>
      </c>
      <c r="T1544" s="42"/>
    </row>
    <row r="1545" ht="22.5" customHeight="1">
      <c r="B1545" s="42">
        <f t="shared" si="7"/>
        <v>1539</v>
      </c>
      <c r="C1545" s="31" t="s">
        <v>1671</v>
      </c>
      <c r="D1545" s="34" t="str">
        <f t="array" ref="D1545">IFNA(_xlfn.XLOOKUP(C1545,Table_Tarikan_Warkah[Nomor Sertipikat],Table_Tarikan_Warkah[Nomor Tiket]),"")</f>
        <v>K/4/200225/2</v>
      </c>
      <c r="E1545" s="36">
        <f t="array" ref="E1545">IFNA(_xlfn.XLOOKUP(D1545,Table_Tarikan_Warkah[Nomor Tiket],Table_Tarikan_Warkah[Tanggal diserahkan kepada Validator]),"")</f>
        <v>45736.60377</v>
      </c>
      <c r="F1545" s="36" t="str">
        <f t="array" ref="F1545">IFNA(_xlfn.XLOOKUP(D1545,Table_Tarikan_Warkah[Nomor Tiket],Table_Tarikan_Warkah[Nama Petugas Warkah]),"")</f>
        <v/>
      </c>
      <c r="G1545" s="39" t="str">
        <f t="array" ref="G1545">IFNA(_xlfn.XLOOKUP(D1545,Table_Tarikan_Warkah[Nomor Tiket],Table_Tarikan_Warkah[Jenis Permohonan]),"")</f>
        <v>BN JUAL BELI</v>
      </c>
      <c r="H1545" s="41" t="s">
        <v>20</v>
      </c>
      <c r="I1545" s="49" t="s">
        <v>23</v>
      </c>
      <c r="J1545" s="36">
        <f t="shared" si="20"/>
        <v>45734.40482</v>
      </c>
      <c r="K1545" s="49" t="s">
        <v>197</v>
      </c>
      <c r="L1545" s="49" t="s">
        <v>23</v>
      </c>
      <c r="M1545" s="36">
        <f t="shared" si="26"/>
        <v>45736.59872</v>
      </c>
      <c r="N1545" s="30" t="str">
        <f t="shared" si="27"/>
        <v>Selesai</v>
      </c>
      <c r="O1545" s="45">
        <f t="shared" si="23"/>
        <v>45736.59872</v>
      </c>
      <c r="P1545" s="47" t="b">
        <v>1</v>
      </c>
      <c r="Q1545" s="36">
        <f t="shared" si="24"/>
        <v>45736.59942</v>
      </c>
      <c r="R1545" s="47" t="b">
        <v>0</v>
      </c>
      <c r="S1545" s="42" t="str">
        <f t="shared" si="28"/>
        <v/>
      </c>
      <c r="T1545" s="42"/>
    </row>
    <row r="1546" ht="22.5" customHeight="1">
      <c r="B1546" s="42">
        <f t="shared" si="7"/>
        <v>1540</v>
      </c>
      <c r="C1546" s="31" t="s">
        <v>1672</v>
      </c>
      <c r="D1546" s="34" t="str">
        <f t="array" ref="D1546">IFNA(_xlfn.XLOOKUP(C1546,Table_Tarikan_Warkah[Nomor Sertipikat],Table_Tarikan_Warkah[Nomor Tiket]),"")</f>
        <v>K/36/110325/1</v>
      </c>
      <c r="E1546" s="36">
        <f t="array" ref="E1546">IFNA(_xlfn.XLOOKUP(D1546,Table_Tarikan_Warkah[Nomor Tiket],Table_Tarikan_Warkah[Tanggal diserahkan kepada Validator]),"")</f>
        <v>45736.60354</v>
      </c>
      <c r="F1546" s="36" t="str">
        <f t="array" ref="F1546">IFNA(_xlfn.XLOOKUP(D1546,Table_Tarikan_Warkah[Nomor Tiket],Table_Tarikan_Warkah[Nama Petugas Warkah]),"")</f>
        <v/>
      </c>
      <c r="G1546" s="39" t="str">
        <f t="array" ref="G1546">IFNA(_xlfn.XLOOKUP(D1546,Table_Tarikan_Warkah[Nomor Tiket],Table_Tarikan_Warkah[Jenis Permohonan]),"")</f>
        <v>BN JUAL BELI</v>
      </c>
      <c r="H1546" s="41" t="s">
        <v>20</v>
      </c>
      <c r="I1546" s="49" t="s">
        <v>23</v>
      </c>
      <c r="J1546" s="36">
        <f t="shared" si="20"/>
        <v>45734.4052</v>
      </c>
      <c r="K1546" s="58" t="s">
        <v>197</v>
      </c>
      <c r="L1546" s="49" t="s">
        <v>23</v>
      </c>
      <c r="M1546" s="36">
        <f t="shared" si="26"/>
        <v>45736.59872</v>
      </c>
      <c r="N1546" s="30" t="str">
        <f t="shared" si="27"/>
        <v>Selesai</v>
      </c>
      <c r="O1546" s="45">
        <f t="shared" si="23"/>
        <v>45736.59872</v>
      </c>
      <c r="P1546" s="47" t="b">
        <v>1</v>
      </c>
      <c r="Q1546" s="36">
        <f t="shared" si="24"/>
        <v>45736.59942</v>
      </c>
      <c r="R1546" s="47" t="b">
        <v>0</v>
      </c>
      <c r="S1546" s="42" t="str">
        <f t="shared" si="28"/>
        <v/>
      </c>
      <c r="T1546" s="42"/>
    </row>
    <row r="1547" ht="22.5" customHeight="1">
      <c r="B1547" s="42">
        <f t="shared" si="7"/>
        <v>1541</v>
      </c>
      <c r="C1547" s="31" t="s">
        <v>1673</v>
      </c>
      <c r="D1547" s="34" t="str">
        <f t="array" ref="D1547">IFNA(_xlfn.XLOOKUP(C1547,Table_Tarikan_Warkah[Nomor Sertipikat],Table_Tarikan_Warkah[Nomor Tiket]),"")</f>
        <v>K/37/110325/2</v>
      </c>
      <c r="E1547" s="36">
        <f t="array" ref="E1547">IFNA(_xlfn.XLOOKUP(D1547,Table_Tarikan_Warkah[Nomor Tiket],Table_Tarikan_Warkah[Tanggal diserahkan kepada Validator]),"")</f>
        <v>45736.60714</v>
      </c>
      <c r="F1547" s="36" t="str">
        <f t="array" ref="F1547">IFNA(_xlfn.XLOOKUP(D1547,Table_Tarikan_Warkah[Nomor Tiket],Table_Tarikan_Warkah[Nama Petugas Warkah]),"")</f>
        <v/>
      </c>
      <c r="G1547" s="39" t="str">
        <f t="array" ref="G1547">IFNA(_xlfn.XLOOKUP(D1547,Table_Tarikan_Warkah[Nomor Tiket],Table_Tarikan_Warkah[Jenis Permohonan]),"")</f>
        <v>BN JUAL BELI</v>
      </c>
      <c r="H1547" s="41" t="s">
        <v>20</v>
      </c>
      <c r="I1547" s="49" t="s">
        <v>23</v>
      </c>
      <c r="J1547" s="36">
        <f t="shared" si="20"/>
        <v>45734.40618</v>
      </c>
      <c r="K1547" s="56" t="s">
        <v>197</v>
      </c>
      <c r="L1547" s="49" t="s">
        <v>23</v>
      </c>
      <c r="M1547" s="36">
        <f t="shared" si="26"/>
        <v>45736.59872</v>
      </c>
      <c r="N1547" s="30" t="str">
        <f t="shared" si="27"/>
        <v>Selesai</v>
      </c>
      <c r="O1547" s="45">
        <f t="shared" si="23"/>
        <v>45736.59872</v>
      </c>
      <c r="P1547" s="47" t="b">
        <v>1</v>
      </c>
      <c r="Q1547" s="36">
        <f t="shared" si="24"/>
        <v>45736.59945</v>
      </c>
      <c r="R1547" s="47" t="b">
        <v>0</v>
      </c>
      <c r="S1547" s="42" t="str">
        <f t="shared" si="28"/>
        <v/>
      </c>
      <c r="T1547" s="42"/>
    </row>
    <row r="1548" ht="22.5" customHeight="1">
      <c r="B1548" s="42">
        <f t="shared" si="7"/>
        <v>1542</v>
      </c>
      <c r="C1548" s="31" t="s">
        <v>1674</v>
      </c>
      <c r="D1548" s="34" t="str">
        <f t="array" ref="D1548">IFNA(_xlfn.XLOOKUP(C1548,Table_Tarikan_Warkah[Nomor Sertipikat],Table_Tarikan_Warkah[Nomor Tiket]),"")</f>
        <v>K/3/120325/1</v>
      </c>
      <c r="E1548" s="36">
        <f t="array" ref="E1548">IFNA(_xlfn.XLOOKUP(D1548,Table_Tarikan_Warkah[Nomor Tiket],Table_Tarikan_Warkah[Tanggal diserahkan kepada Validator]),"")</f>
        <v>45736.60326</v>
      </c>
      <c r="F1548" s="36" t="str">
        <f t="array" ref="F1548">IFNA(_xlfn.XLOOKUP(D1548,Table_Tarikan_Warkah[Nomor Tiket],Table_Tarikan_Warkah[Nama Petugas Warkah]),"")</f>
        <v/>
      </c>
      <c r="G1548" s="39" t="str">
        <f t="array" ref="G1548">IFNA(_xlfn.XLOOKUP(D1548,Table_Tarikan_Warkah[Nomor Tiket],Table_Tarikan_Warkah[Jenis Permohonan]),"")</f>
        <v>BN JUAL BELI</v>
      </c>
      <c r="H1548" s="41" t="s">
        <v>20</v>
      </c>
      <c r="I1548" s="49" t="s">
        <v>23</v>
      </c>
      <c r="J1548" s="36">
        <f t="shared" si="20"/>
        <v>45734.40658</v>
      </c>
      <c r="K1548" s="58" t="s">
        <v>197</v>
      </c>
      <c r="L1548" s="49" t="s">
        <v>23</v>
      </c>
      <c r="M1548" s="36">
        <f t="shared" si="26"/>
        <v>45736.59872</v>
      </c>
      <c r="N1548" s="30" t="str">
        <f t="shared" si="27"/>
        <v>Selesai</v>
      </c>
      <c r="O1548" s="45">
        <f t="shared" si="23"/>
        <v>45736.59872</v>
      </c>
      <c r="P1548" s="47" t="b">
        <v>1</v>
      </c>
      <c r="Q1548" s="36">
        <f t="shared" si="24"/>
        <v>45736.59945</v>
      </c>
      <c r="R1548" s="47" t="b">
        <v>0</v>
      </c>
      <c r="S1548" s="42" t="str">
        <f t="shared" si="28"/>
        <v/>
      </c>
      <c r="T1548" s="42"/>
    </row>
    <row r="1549" ht="22.5" customHeight="1">
      <c r="B1549" s="42">
        <f t="shared" si="7"/>
        <v>1543</v>
      </c>
      <c r="C1549" s="31" t="s">
        <v>1675</v>
      </c>
      <c r="D1549" s="34" t="str">
        <f t="array" ref="D1549">IFNA(_xlfn.XLOOKUP(C1549,Table_Tarikan_Warkah[Nomor Sertipikat],Table_Tarikan_Warkah[Nomor Tiket]),"")</f>
        <v>K/39/120325/1</v>
      </c>
      <c r="E1549" s="36">
        <f t="array" ref="E1549">IFNA(_xlfn.XLOOKUP(D1549,Table_Tarikan_Warkah[Nomor Tiket],Table_Tarikan_Warkah[Tanggal diserahkan kepada Validator]),"")</f>
        <v>45736.60797</v>
      </c>
      <c r="F1549" s="36" t="str">
        <f t="array" ref="F1549">IFNA(_xlfn.XLOOKUP(D1549,Table_Tarikan_Warkah[Nomor Tiket],Table_Tarikan_Warkah[Nama Petugas Warkah]),"")</f>
        <v/>
      </c>
      <c r="G1549" s="39" t="str">
        <f t="array" ref="G1549">IFNA(_xlfn.XLOOKUP(D1549,Table_Tarikan_Warkah[Nomor Tiket],Table_Tarikan_Warkah[Jenis Permohonan]),"")</f>
        <v>BN JUAL BELI</v>
      </c>
      <c r="H1549" s="41" t="s">
        <v>20</v>
      </c>
      <c r="I1549" s="49" t="s">
        <v>23</v>
      </c>
      <c r="J1549" s="36">
        <f t="shared" si="20"/>
        <v>45734.4077</v>
      </c>
      <c r="K1549" s="56" t="s">
        <v>197</v>
      </c>
      <c r="L1549" s="49" t="s">
        <v>23</v>
      </c>
      <c r="M1549" s="36">
        <f t="shared" si="26"/>
        <v>45736.59872</v>
      </c>
      <c r="N1549" s="30" t="str">
        <f t="shared" si="27"/>
        <v>Selesai</v>
      </c>
      <c r="O1549" s="45">
        <f t="shared" si="23"/>
        <v>45736.59872</v>
      </c>
      <c r="P1549" s="47" t="b">
        <v>1</v>
      </c>
      <c r="Q1549" s="36">
        <f t="shared" si="24"/>
        <v>45736.59945</v>
      </c>
      <c r="R1549" s="47" t="b">
        <v>0</v>
      </c>
      <c r="S1549" s="42" t="str">
        <f t="shared" si="28"/>
        <v/>
      </c>
      <c r="T1549" s="42"/>
    </row>
    <row r="1550" ht="22.5" customHeight="1">
      <c r="B1550" s="42">
        <f t="shared" si="7"/>
        <v>1544</v>
      </c>
      <c r="C1550" s="31" t="s">
        <v>1676</v>
      </c>
      <c r="D1550" s="34" t="str">
        <f t="array" ref="D1550">IFNA(_xlfn.XLOOKUP(C1550,Table_Tarikan_Warkah[Nomor Sertipikat],Table_Tarikan_Warkah[Nomor Tiket]),"")</f>
        <v>K/21/060325/2</v>
      </c>
      <c r="E1550" s="36">
        <f t="array" ref="E1550">IFNA(_xlfn.XLOOKUP(D1550,Table_Tarikan_Warkah[Nomor Tiket],Table_Tarikan_Warkah[Tanggal diserahkan kepada Validator]),"")</f>
        <v>45736.60302</v>
      </c>
      <c r="F1550" s="36" t="str">
        <f t="array" ref="F1550">IFNA(_xlfn.XLOOKUP(D1550,Table_Tarikan_Warkah[Nomor Tiket],Table_Tarikan_Warkah[Nama Petugas Warkah]),"")</f>
        <v/>
      </c>
      <c r="G1550" s="39" t="str">
        <f t="array" ref="G1550">IFNA(_xlfn.XLOOKUP(D1550,Table_Tarikan_Warkah[Nomor Tiket],Table_Tarikan_Warkah[Jenis Permohonan]),"")</f>
        <v>BN JUAL BELI</v>
      </c>
      <c r="H1550" s="41" t="s">
        <v>20</v>
      </c>
      <c r="I1550" s="49" t="s">
        <v>23</v>
      </c>
      <c r="J1550" s="36">
        <f t="shared" si="20"/>
        <v>45734.40813</v>
      </c>
      <c r="K1550" s="58" t="s">
        <v>197</v>
      </c>
      <c r="L1550" s="49" t="s">
        <v>23</v>
      </c>
      <c r="M1550" s="36">
        <f t="shared" si="26"/>
        <v>45736.59872</v>
      </c>
      <c r="N1550" s="30" t="str">
        <f t="shared" si="27"/>
        <v>Selesai</v>
      </c>
      <c r="O1550" s="45">
        <f t="shared" si="23"/>
        <v>45736.59872</v>
      </c>
      <c r="P1550" s="47" t="b">
        <v>1</v>
      </c>
      <c r="Q1550" s="36">
        <f t="shared" si="24"/>
        <v>45736.59945</v>
      </c>
      <c r="R1550" s="47" t="b">
        <v>0</v>
      </c>
      <c r="S1550" s="42" t="str">
        <f t="shared" si="28"/>
        <v/>
      </c>
      <c r="T1550" s="42"/>
    </row>
    <row r="1551" ht="22.5" customHeight="1">
      <c r="B1551" s="42">
        <f t="shared" si="7"/>
        <v>1545</v>
      </c>
      <c r="C1551" s="31" t="s">
        <v>1677</v>
      </c>
      <c r="D1551" s="34" t="str">
        <f t="array" ref="D1551">IFNA(_xlfn.XLOOKUP(C1551,Table_Tarikan_Warkah[Nomor Sertipikat],Table_Tarikan_Warkah[Nomor Tiket]),"")</f>
        <v>K/22/260225/1</v>
      </c>
      <c r="E1551" s="36">
        <f t="array" ref="E1551">IFNA(_xlfn.XLOOKUP(D1551,Table_Tarikan_Warkah[Nomor Tiket],Table_Tarikan_Warkah[Tanggal diserahkan kepada Validator]),"")</f>
        <v>45736.6008</v>
      </c>
      <c r="F1551" s="36" t="str">
        <f t="array" ref="F1551">IFNA(_xlfn.XLOOKUP(D1551,Table_Tarikan_Warkah[Nomor Tiket],Table_Tarikan_Warkah[Nama Petugas Warkah]),"")</f>
        <v/>
      </c>
      <c r="G1551" s="39" t="str">
        <f t="array" ref="G1551">IFNA(_xlfn.XLOOKUP(D1551,Table_Tarikan_Warkah[Nomor Tiket],Table_Tarikan_Warkah[Jenis Permohonan]),"")</f>
        <v>BN JUAL BELI</v>
      </c>
      <c r="H1551" s="41" t="s">
        <v>20</v>
      </c>
      <c r="I1551" s="49" t="s">
        <v>23</v>
      </c>
      <c r="J1551" s="36">
        <f t="shared" si="20"/>
        <v>45734.40859</v>
      </c>
      <c r="K1551" s="56" t="s">
        <v>197</v>
      </c>
      <c r="L1551" s="49" t="s">
        <v>23</v>
      </c>
      <c r="M1551" s="36">
        <f t="shared" si="26"/>
        <v>45736.59872</v>
      </c>
      <c r="N1551" s="30" t="str">
        <f t="shared" si="27"/>
        <v>Selesai</v>
      </c>
      <c r="O1551" s="45">
        <f t="shared" si="23"/>
        <v>45736.59872</v>
      </c>
      <c r="P1551" s="47" t="b">
        <v>1</v>
      </c>
      <c r="Q1551" s="36">
        <f t="shared" si="24"/>
        <v>45736.59945</v>
      </c>
      <c r="R1551" s="47" t="b">
        <v>0</v>
      </c>
      <c r="S1551" s="42" t="str">
        <f t="shared" si="28"/>
        <v/>
      </c>
      <c r="T1551" s="42"/>
    </row>
    <row r="1552" ht="22.5" customHeight="1">
      <c r="B1552" s="42">
        <f t="shared" si="7"/>
        <v>1546</v>
      </c>
      <c r="C1552" s="31" t="s">
        <v>1678</v>
      </c>
      <c r="D1552" s="34" t="str">
        <f t="array" ref="D1552">IFNA(_xlfn.XLOOKUP(C1552,Table_Tarikan_Warkah[Nomor Sertipikat],Table_Tarikan_Warkah[Nomor Tiket]),"")</f>
        <v>K/11/130225/1</v>
      </c>
      <c r="E1552" s="36">
        <f t="array" ref="E1552">IFNA(_xlfn.XLOOKUP(D1552,Table_Tarikan_Warkah[Nomor Tiket],Table_Tarikan_Warkah[Tanggal diserahkan kepada Validator]),"")</f>
        <v>45736.60279</v>
      </c>
      <c r="F1552" s="36" t="str">
        <f t="array" ref="F1552">IFNA(_xlfn.XLOOKUP(D1552,Table_Tarikan_Warkah[Nomor Tiket],Table_Tarikan_Warkah[Nama Petugas Warkah]),"")</f>
        <v/>
      </c>
      <c r="G1552" s="39" t="str">
        <f t="array" ref="G1552">IFNA(_xlfn.XLOOKUP(D1552,Table_Tarikan_Warkah[Nomor Tiket],Table_Tarikan_Warkah[Jenis Permohonan]),"")</f>
        <v>BN JUAL BELI</v>
      </c>
      <c r="H1552" s="41" t="s">
        <v>20</v>
      </c>
      <c r="I1552" s="49" t="s">
        <v>23</v>
      </c>
      <c r="J1552" s="36">
        <f t="shared" si="20"/>
        <v>45734.40876</v>
      </c>
      <c r="K1552" s="58" t="s">
        <v>197</v>
      </c>
      <c r="L1552" s="49" t="s">
        <v>23</v>
      </c>
      <c r="M1552" s="36">
        <f t="shared" si="26"/>
        <v>45736.59872</v>
      </c>
      <c r="N1552" s="30" t="str">
        <f t="shared" si="27"/>
        <v>Selesai</v>
      </c>
      <c r="O1552" s="45">
        <f t="shared" si="23"/>
        <v>45736.59872</v>
      </c>
      <c r="P1552" s="47" t="b">
        <v>1</v>
      </c>
      <c r="Q1552" s="36">
        <f t="shared" si="24"/>
        <v>45736.59945</v>
      </c>
      <c r="R1552" s="47" t="b">
        <v>0</v>
      </c>
      <c r="S1552" s="42" t="str">
        <f t="shared" si="28"/>
        <v/>
      </c>
      <c r="T1552" s="42"/>
    </row>
    <row r="1553" ht="22.5" customHeight="1">
      <c r="B1553" s="42">
        <f t="shared" si="7"/>
        <v>1547</v>
      </c>
      <c r="C1553" s="31" t="s">
        <v>1679</v>
      </c>
      <c r="D1553" s="34" t="str">
        <f t="array" ref="D1553">IFNA(_xlfn.XLOOKUP(C1553,Table_Tarikan_Warkah[Nomor Sertipikat],Table_Tarikan_Warkah[Nomor Tiket]),"")</f>
        <v>K/13/200225/1</v>
      </c>
      <c r="E1553" s="36">
        <f t="array" ref="E1553">IFNA(_xlfn.XLOOKUP(D1553,Table_Tarikan_Warkah[Nomor Tiket],Table_Tarikan_Warkah[Tanggal diserahkan kepada Validator]),"")</f>
        <v>45736.60773</v>
      </c>
      <c r="F1553" s="36" t="str">
        <f t="array" ref="F1553">IFNA(_xlfn.XLOOKUP(D1553,Table_Tarikan_Warkah[Nomor Tiket],Table_Tarikan_Warkah[Nama Petugas Warkah]),"")</f>
        <v/>
      </c>
      <c r="G1553" s="39" t="str">
        <f t="array" ref="G1553">IFNA(_xlfn.XLOOKUP(D1553,Table_Tarikan_Warkah[Nomor Tiket],Table_Tarikan_Warkah[Jenis Permohonan]),"")</f>
        <v>BN JUAL BELI</v>
      </c>
      <c r="H1553" s="41" t="s">
        <v>20</v>
      </c>
      <c r="I1553" s="49" t="s">
        <v>23</v>
      </c>
      <c r="J1553" s="36">
        <f t="shared" si="20"/>
        <v>45734.40947</v>
      </c>
      <c r="K1553" s="56" t="s">
        <v>197</v>
      </c>
      <c r="L1553" s="49" t="s">
        <v>23</v>
      </c>
      <c r="M1553" s="36">
        <f t="shared" si="26"/>
        <v>45736.59872</v>
      </c>
      <c r="N1553" s="30" t="str">
        <f t="shared" si="27"/>
        <v>Selesai</v>
      </c>
      <c r="O1553" s="45">
        <f t="shared" si="23"/>
        <v>45736.59872</v>
      </c>
      <c r="P1553" s="47" t="b">
        <v>1</v>
      </c>
      <c r="Q1553" s="36">
        <f t="shared" si="24"/>
        <v>45736.59945</v>
      </c>
      <c r="R1553" s="47" t="b">
        <v>0</v>
      </c>
      <c r="S1553" s="42" t="str">
        <f t="shared" si="28"/>
        <v/>
      </c>
      <c r="T1553" s="42"/>
    </row>
    <row r="1554" ht="22.5" customHeight="1">
      <c r="B1554" s="42">
        <f t="shared" si="7"/>
        <v>1548</v>
      </c>
      <c r="C1554" s="31" t="s">
        <v>1680</v>
      </c>
      <c r="D1554" s="34" t="str">
        <f t="array" ref="D1554">IFNA(_xlfn.XLOOKUP(C1554,Table_Tarikan_Warkah[Nomor Sertipikat],Table_Tarikan_Warkah[Nomor Tiket]),"")</f>
        <v>K/14/100325/1</v>
      </c>
      <c r="E1554" s="36">
        <f t="array" ref="E1554">IFNA(_xlfn.XLOOKUP(D1554,Table_Tarikan_Warkah[Nomor Tiket],Table_Tarikan_Warkah[Tanggal diserahkan kepada Validator]),"")</f>
        <v>45736.61001</v>
      </c>
      <c r="F1554" s="36" t="str">
        <f t="array" ref="F1554">IFNA(_xlfn.XLOOKUP(D1554,Table_Tarikan_Warkah[Nomor Tiket],Table_Tarikan_Warkah[Nama Petugas Warkah]),"")</f>
        <v/>
      </c>
      <c r="G1554" s="39" t="str">
        <f t="array" ref="G1554">IFNA(_xlfn.XLOOKUP(D1554,Table_Tarikan_Warkah[Nomor Tiket],Table_Tarikan_Warkah[Jenis Permohonan]),"")</f>
        <v>BN JUAL BELI</v>
      </c>
      <c r="H1554" s="41" t="s">
        <v>20</v>
      </c>
      <c r="I1554" s="49" t="s">
        <v>23</v>
      </c>
      <c r="J1554" s="36">
        <f t="shared" si="20"/>
        <v>45734.40959</v>
      </c>
      <c r="K1554" s="58" t="s">
        <v>197</v>
      </c>
      <c r="L1554" s="49" t="s">
        <v>23</v>
      </c>
      <c r="M1554" s="36">
        <f t="shared" si="26"/>
        <v>45736.59872</v>
      </c>
      <c r="N1554" s="30" t="str">
        <f t="shared" si="27"/>
        <v>Selesai</v>
      </c>
      <c r="O1554" s="45">
        <f t="shared" si="23"/>
        <v>45736.59872</v>
      </c>
      <c r="P1554" s="47" t="b">
        <v>1</v>
      </c>
      <c r="Q1554" s="36">
        <f t="shared" si="24"/>
        <v>45736.59945</v>
      </c>
      <c r="R1554" s="47" t="b">
        <v>0</v>
      </c>
      <c r="S1554" s="42" t="str">
        <f t="shared" si="28"/>
        <v/>
      </c>
      <c r="T1554" s="42"/>
    </row>
    <row r="1555" ht="22.5" customHeight="1">
      <c r="B1555" s="42">
        <f t="shared" si="7"/>
        <v>1549</v>
      </c>
      <c r="C1555" s="31" t="s">
        <v>1681</v>
      </c>
      <c r="D1555" s="34" t="str">
        <f t="array" ref="D1555">IFNA(_xlfn.XLOOKUP(C1555,Table_Tarikan_Warkah[Nomor Sertipikat],Table_Tarikan_Warkah[Nomor Tiket]),"")</f>
        <v>K/17/270225/1</v>
      </c>
      <c r="E1555" s="36" t="str">
        <f t="array" ref="E1555">IFNA(_xlfn.XLOOKUP(D1555,Table_Tarikan_Warkah[Nomor Tiket],Table_Tarikan_Warkah[Tanggal diserahkan kepada Validator]),"")</f>
        <v/>
      </c>
      <c r="F1555" s="36" t="str">
        <f t="array" ref="F1555">IFNA(_xlfn.XLOOKUP(D1555,Table_Tarikan_Warkah[Nomor Tiket],Table_Tarikan_Warkah[Nama Petugas Warkah]),"")</f>
        <v/>
      </c>
      <c r="G1555" s="39" t="str">
        <f t="array" ref="G1555">IFNA(_xlfn.XLOOKUP(D1555,Table_Tarikan_Warkah[Nomor Tiket],Table_Tarikan_Warkah[Jenis Permohonan]),"")</f>
        <v>BN WARIS</v>
      </c>
      <c r="H1555" s="41" t="s">
        <v>20</v>
      </c>
      <c r="I1555" s="49" t="s">
        <v>23</v>
      </c>
      <c r="J1555" s="36">
        <f t="shared" si="20"/>
        <v>45734.40987</v>
      </c>
      <c r="K1555" s="56" t="s">
        <v>197</v>
      </c>
      <c r="L1555" s="49" t="s">
        <v>23</v>
      </c>
      <c r="M1555" s="36">
        <f t="shared" si="26"/>
        <v>45736.59872</v>
      </c>
      <c r="N1555" s="30" t="str">
        <f t="shared" si="27"/>
        <v>Selesai</v>
      </c>
      <c r="O1555" s="45">
        <f t="shared" si="23"/>
        <v>45736.59872</v>
      </c>
      <c r="P1555" s="47" t="b">
        <v>1</v>
      </c>
      <c r="Q1555" s="36">
        <f t="shared" si="24"/>
        <v>45736.59945</v>
      </c>
      <c r="R1555" s="47" t="b">
        <v>0</v>
      </c>
      <c r="S1555" s="42" t="str">
        <f t="shared" si="28"/>
        <v/>
      </c>
      <c r="T1555" s="42"/>
    </row>
    <row r="1556" ht="22.5" customHeight="1">
      <c r="B1556" s="42">
        <f t="shared" si="7"/>
        <v>1550</v>
      </c>
      <c r="C1556" s="31" t="s">
        <v>1682</v>
      </c>
      <c r="D1556" s="34" t="str">
        <f t="array" ref="D1556">IFNA(_xlfn.XLOOKUP(C1556,Table_Tarikan_Warkah[Nomor Sertipikat],Table_Tarikan_Warkah[Nomor Tiket]),"")</f>
        <v>K/45/210225/2</v>
      </c>
      <c r="E1556" s="36">
        <f t="array" ref="E1556">IFNA(_xlfn.XLOOKUP(D1556,Table_Tarikan_Warkah[Nomor Tiket],Table_Tarikan_Warkah[Tanggal diserahkan kepada Validator]),"")</f>
        <v>45743.43362</v>
      </c>
      <c r="F1556" s="36" t="str">
        <f t="array" ref="F1556">IFNA(_xlfn.XLOOKUP(D1556,Table_Tarikan_Warkah[Nomor Tiket],Table_Tarikan_Warkah[Nama Petugas Warkah]),"")</f>
        <v/>
      </c>
      <c r="G1556" s="39" t="str">
        <f t="array" ref="G1556">IFNA(_xlfn.XLOOKUP(D1556,Table_Tarikan_Warkah[Nomor Tiket],Table_Tarikan_Warkah[Jenis Permohonan]),"")</f>
        <v>BN JUAL BELI</v>
      </c>
      <c r="H1556" s="41" t="s">
        <v>11</v>
      </c>
      <c r="I1556" s="49" t="s">
        <v>23</v>
      </c>
      <c r="J1556" s="36">
        <f t="shared" si="20"/>
        <v>45734.5831</v>
      </c>
      <c r="K1556" s="49" t="s">
        <v>197</v>
      </c>
      <c r="L1556" s="49" t="s">
        <v>23</v>
      </c>
      <c r="M1556" s="36">
        <f t="shared" si="26"/>
        <v>45736.59875</v>
      </c>
      <c r="N1556" s="30" t="str">
        <f t="shared" si="27"/>
        <v>Selesai</v>
      </c>
      <c r="O1556" s="45">
        <f t="shared" si="23"/>
        <v>45736.59875</v>
      </c>
      <c r="P1556" s="47" t="b">
        <v>1</v>
      </c>
      <c r="Q1556" s="36">
        <f t="shared" si="24"/>
        <v>45736.59945</v>
      </c>
      <c r="R1556" s="47" t="b">
        <v>0</v>
      </c>
      <c r="S1556" s="42" t="str">
        <f t="shared" si="28"/>
        <v/>
      </c>
      <c r="T1556" s="42"/>
    </row>
    <row r="1557" ht="22.5" customHeight="1">
      <c r="B1557" s="42">
        <f t="shared" si="7"/>
        <v>1551</v>
      </c>
      <c r="C1557" s="31" t="s">
        <v>1683</v>
      </c>
      <c r="D1557" s="34" t="str">
        <f t="array" ref="D1557">IFNA(_xlfn.XLOOKUP(C1557,Table_Tarikan_Warkah[Nomor Sertipikat],Table_Tarikan_Warkah[Nomor Tiket]),"")</f>
        <v>K/46/110325/1</v>
      </c>
      <c r="E1557" s="36">
        <f t="array" ref="E1557">IFNA(_xlfn.XLOOKUP(D1557,Table_Tarikan_Warkah[Nomor Tiket],Table_Tarikan_Warkah[Tanggal diserahkan kepada Validator]),"")</f>
        <v>45743.44</v>
      </c>
      <c r="F1557" s="36" t="str">
        <f t="array" ref="F1557">IFNA(_xlfn.XLOOKUP(D1557,Table_Tarikan_Warkah[Nomor Tiket],Table_Tarikan_Warkah[Nama Petugas Warkah]),"")</f>
        <v/>
      </c>
      <c r="G1557" s="39" t="str">
        <f t="array" ref="G1557">IFNA(_xlfn.XLOOKUP(D1557,Table_Tarikan_Warkah[Nomor Tiket],Table_Tarikan_Warkah[Jenis Permohonan]),"")</f>
        <v>BN PENGADILAN</v>
      </c>
      <c r="H1557" s="41" t="s">
        <v>11</v>
      </c>
      <c r="I1557" s="49" t="s">
        <v>23</v>
      </c>
      <c r="J1557" s="36">
        <f t="shared" si="20"/>
        <v>45734.58313</v>
      </c>
      <c r="K1557" s="49" t="s">
        <v>197</v>
      </c>
      <c r="L1557" s="49" t="s">
        <v>23</v>
      </c>
      <c r="M1557" s="36">
        <f t="shared" si="26"/>
        <v>45736.59875</v>
      </c>
      <c r="N1557" s="30" t="str">
        <f t="shared" si="27"/>
        <v>Selesai</v>
      </c>
      <c r="O1557" s="45">
        <f t="shared" si="23"/>
        <v>45736.59875</v>
      </c>
      <c r="P1557" s="47" t="b">
        <v>1</v>
      </c>
      <c r="Q1557" s="36">
        <f t="shared" si="24"/>
        <v>45736.59945</v>
      </c>
      <c r="R1557" s="47" t="b">
        <v>0</v>
      </c>
      <c r="S1557" s="42" t="str">
        <f t="shared" si="28"/>
        <v/>
      </c>
      <c r="T1557" s="42"/>
    </row>
    <row r="1558" ht="22.5" customHeight="1">
      <c r="B1558" s="42">
        <f t="shared" si="7"/>
        <v>1552</v>
      </c>
      <c r="C1558" s="31" t="s">
        <v>1684</v>
      </c>
      <c r="D1558" s="34" t="str">
        <f t="array" ref="D1558">IFNA(_xlfn.XLOOKUP(C1558,Table_Tarikan_Warkah[Nomor Sertipikat],Table_Tarikan_Warkah[Nomor Tiket]),"")</f>
        <v>L/17/120325/1</v>
      </c>
      <c r="E1558" s="36">
        <f t="array" ref="E1558">IFNA(_xlfn.XLOOKUP(D1558,Table_Tarikan_Warkah[Nomor Tiket],Table_Tarikan_Warkah[Tanggal diserahkan kepada Validator]),"")</f>
        <v>45771.39413</v>
      </c>
      <c r="F1558" s="36" t="str">
        <f t="array" ref="F1558">IFNA(_xlfn.XLOOKUP(D1558,Table_Tarikan_Warkah[Nomor Tiket],Table_Tarikan_Warkah[Nama Petugas Warkah]),"")</f>
        <v/>
      </c>
      <c r="G1558" s="39" t="str">
        <f t="array" ref="G1558">IFNA(_xlfn.XLOOKUP(D1558,Table_Tarikan_Warkah[Nomor Tiket],Table_Tarikan_Warkah[Jenis Permohonan]),"")</f>
        <v>ROYA</v>
      </c>
      <c r="H1558" s="41" t="s">
        <v>11</v>
      </c>
      <c r="I1558" s="49" t="s">
        <v>23</v>
      </c>
      <c r="J1558" s="36">
        <f t="shared" si="20"/>
        <v>45734.58313</v>
      </c>
      <c r="K1558" s="49" t="s">
        <v>197</v>
      </c>
      <c r="L1558" s="49" t="s">
        <v>23</v>
      </c>
      <c r="M1558" s="36">
        <f t="shared" si="26"/>
        <v>45736.59875</v>
      </c>
      <c r="N1558" s="30" t="str">
        <f t="shared" si="27"/>
        <v>Selesai</v>
      </c>
      <c r="O1558" s="45">
        <f t="shared" si="23"/>
        <v>45736.59875</v>
      </c>
      <c r="P1558" s="47" t="b">
        <v>1</v>
      </c>
      <c r="Q1558" s="36">
        <f t="shared" si="24"/>
        <v>45736.59945</v>
      </c>
      <c r="R1558" s="47" t="b">
        <v>0</v>
      </c>
      <c r="S1558" s="42" t="str">
        <f t="shared" si="28"/>
        <v/>
      </c>
      <c r="T1558" s="42"/>
    </row>
    <row r="1559" ht="22.5" customHeight="1">
      <c r="B1559" s="42">
        <f t="shared" si="7"/>
        <v>1553</v>
      </c>
      <c r="C1559" s="31" t="s">
        <v>1685</v>
      </c>
      <c r="D1559" s="34" t="str">
        <f t="array" ref="D1559">IFNA(_xlfn.XLOOKUP(C1559,Table_Tarikan_Warkah[Nomor Sertipikat],Table_Tarikan_Warkah[Nomor Tiket]),"")</f>
        <v>L/28/070325/1</v>
      </c>
      <c r="E1559" s="36">
        <f t="array" ref="E1559">IFNA(_xlfn.XLOOKUP(D1559,Table_Tarikan_Warkah[Nomor Tiket],Table_Tarikan_Warkah[Tanggal diserahkan kepada Validator]),"")</f>
        <v>45769.60071</v>
      </c>
      <c r="F1559" s="36" t="str">
        <f t="array" ref="F1559">IFNA(_xlfn.XLOOKUP(D1559,Table_Tarikan_Warkah[Nomor Tiket],Table_Tarikan_Warkah[Nama Petugas Warkah]),"")</f>
        <v/>
      </c>
      <c r="G1559" s="39" t="str">
        <f t="array" ref="G1559">IFNA(_xlfn.XLOOKUP(D1559,Table_Tarikan_Warkah[Nomor Tiket],Table_Tarikan_Warkah[Jenis Permohonan]),"")</f>
        <v>ROYA</v>
      </c>
      <c r="H1559" s="41" t="s">
        <v>11</v>
      </c>
      <c r="I1559" s="49" t="s">
        <v>23</v>
      </c>
      <c r="J1559" s="36">
        <f t="shared" si="20"/>
        <v>45734.58313</v>
      </c>
      <c r="K1559" s="49" t="s">
        <v>197</v>
      </c>
      <c r="L1559" s="49" t="s">
        <v>23</v>
      </c>
      <c r="M1559" s="36">
        <f t="shared" si="26"/>
        <v>45736.59875</v>
      </c>
      <c r="N1559" s="30" t="str">
        <f t="shared" si="27"/>
        <v>Selesai</v>
      </c>
      <c r="O1559" s="45">
        <f t="shared" si="23"/>
        <v>45736.59875</v>
      </c>
      <c r="P1559" s="47" t="b">
        <v>1</v>
      </c>
      <c r="Q1559" s="36">
        <f t="shared" si="24"/>
        <v>45736.59949</v>
      </c>
      <c r="R1559" s="47" t="b">
        <v>0</v>
      </c>
      <c r="S1559" s="42" t="str">
        <f t="shared" si="28"/>
        <v/>
      </c>
      <c r="T1559" s="42"/>
    </row>
    <row r="1560" ht="22.5" customHeight="1">
      <c r="B1560" s="42">
        <f t="shared" si="7"/>
        <v>1554</v>
      </c>
      <c r="C1560" s="31" t="s">
        <v>1686</v>
      </c>
      <c r="D1560" s="34" t="str">
        <f t="array" ref="D1560">IFNA(_xlfn.XLOOKUP(C1560,Table_Tarikan_Warkah[Nomor Sertipikat],Table_Tarikan_Warkah[Nomor Tiket]),"")</f>
        <v>K/31/120325/1</v>
      </c>
      <c r="E1560" s="36">
        <f t="array" ref="E1560">IFNA(_xlfn.XLOOKUP(D1560,Table_Tarikan_Warkah[Nomor Tiket],Table_Tarikan_Warkah[Tanggal diserahkan kepada Validator]),"")</f>
        <v>45743.43452</v>
      </c>
      <c r="F1560" s="36" t="str">
        <f t="array" ref="F1560">IFNA(_xlfn.XLOOKUP(D1560,Table_Tarikan_Warkah[Nomor Tiket],Table_Tarikan_Warkah[Nama Petugas Warkah]),"")</f>
        <v/>
      </c>
      <c r="G1560" s="39" t="str">
        <f t="array" ref="G1560">IFNA(_xlfn.XLOOKUP(D1560,Table_Tarikan_Warkah[Nomor Tiket],Table_Tarikan_Warkah[Jenis Permohonan]),"")</f>
        <v>JUAL BELI</v>
      </c>
      <c r="H1560" s="41" t="s">
        <v>11</v>
      </c>
      <c r="I1560" s="49" t="s">
        <v>23</v>
      </c>
      <c r="J1560" s="36">
        <f t="shared" si="20"/>
        <v>45734.58313</v>
      </c>
      <c r="K1560" s="49" t="s">
        <v>197</v>
      </c>
      <c r="L1560" s="49" t="s">
        <v>23</v>
      </c>
      <c r="M1560" s="36">
        <f t="shared" si="26"/>
        <v>45736.59875</v>
      </c>
      <c r="N1560" s="30" t="str">
        <f t="shared" si="27"/>
        <v>Selesai</v>
      </c>
      <c r="O1560" s="45">
        <f t="shared" si="23"/>
        <v>45736.59875</v>
      </c>
      <c r="P1560" s="47" t="b">
        <v>1</v>
      </c>
      <c r="Q1560" s="36">
        <f t="shared" si="24"/>
        <v>45736.59949</v>
      </c>
      <c r="R1560" s="47" t="b">
        <v>0</v>
      </c>
      <c r="S1560" s="42" t="str">
        <f t="shared" si="28"/>
        <v/>
      </c>
      <c r="T1560" s="42"/>
    </row>
    <row r="1561" ht="22.5" customHeight="1">
      <c r="B1561" s="42">
        <f t="shared" si="7"/>
        <v>1555</v>
      </c>
      <c r="C1561" s="31" t="s">
        <v>1687</v>
      </c>
      <c r="D1561" s="34" t="str">
        <f t="array" ref="D1561">IFNA(_xlfn.XLOOKUP(C1561,Table_Tarikan_Warkah[Nomor Sertipikat],Table_Tarikan_Warkah[Nomor Tiket]),"")</f>
        <v>K/14/110325/1</v>
      </c>
      <c r="E1561" s="36">
        <f t="array" ref="E1561">IFNA(_xlfn.XLOOKUP(D1561,Table_Tarikan_Warkah[Nomor Tiket],Table_Tarikan_Warkah[Tanggal diserahkan kepada Validator]),"")</f>
        <v>45743.44167</v>
      </c>
      <c r="F1561" s="36" t="str">
        <f t="array" ref="F1561">IFNA(_xlfn.XLOOKUP(D1561,Table_Tarikan_Warkah[Nomor Tiket],Table_Tarikan_Warkah[Nama Petugas Warkah]),"")</f>
        <v/>
      </c>
      <c r="G1561" s="39" t="str">
        <f t="array" ref="G1561">IFNA(_xlfn.XLOOKUP(D1561,Table_Tarikan_Warkah[Nomor Tiket],Table_Tarikan_Warkah[Jenis Permohonan]),"")</f>
        <v>JUAL BELI</v>
      </c>
      <c r="H1561" s="41" t="s">
        <v>11</v>
      </c>
      <c r="I1561" s="49" t="s">
        <v>23</v>
      </c>
      <c r="J1561" s="36">
        <f t="shared" si="20"/>
        <v>45734.58313</v>
      </c>
      <c r="K1561" s="49" t="s">
        <v>197</v>
      </c>
      <c r="L1561" s="49" t="s">
        <v>23</v>
      </c>
      <c r="M1561" s="36">
        <f t="shared" si="26"/>
        <v>45736.59875</v>
      </c>
      <c r="N1561" s="30" t="str">
        <f t="shared" si="27"/>
        <v>Selesai</v>
      </c>
      <c r="O1561" s="45">
        <f t="shared" si="23"/>
        <v>45736.59875</v>
      </c>
      <c r="P1561" s="47" t="b">
        <v>1</v>
      </c>
      <c r="Q1561" s="36">
        <f t="shared" si="24"/>
        <v>45736.59949</v>
      </c>
      <c r="R1561" s="47" t="b">
        <v>0</v>
      </c>
      <c r="S1561" s="42" t="str">
        <f t="shared" si="28"/>
        <v/>
      </c>
      <c r="T1561" s="42"/>
    </row>
    <row r="1562" ht="22.5" customHeight="1">
      <c r="B1562" s="42">
        <f t="shared" si="7"/>
        <v>1556</v>
      </c>
      <c r="C1562" s="31" t="s">
        <v>1688</v>
      </c>
      <c r="D1562" s="34" t="str">
        <f t="array" ref="D1562">IFNA(_xlfn.XLOOKUP(C1562,Table_Tarikan_Warkah[Nomor Sertipikat],Table_Tarikan_Warkah[Nomor Tiket]),"")</f>
        <v>K/38/120325/1</v>
      </c>
      <c r="E1562" s="36">
        <f t="array" ref="E1562">IFNA(_xlfn.XLOOKUP(D1562,Table_Tarikan_Warkah[Nomor Tiket],Table_Tarikan_Warkah[Tanggal diserahkan kepada Validator]),"")</f>
        <v>45743.43774</v>
      </c>
      <c r="F1562" s="36" t="str">
        <f t="array" ref="F1562">IFNA(_xlfn.XLOOKUP(D1562,Table_Tarikan_Warkah[Nomor Tiket],Table_Tarikan_Warkah[Nama Petugas Warkah]),"")</f>
        <v/>
      </c>
      <c r="G1562" s="39" t="str">
        <f t="array" ref="G1562">IFNA(_xlfn.XLOOKUP(D1562,Table_Tarikan_Warkah[Nomor Tiket],Table_Tarikan_Warkah[Jenis Permohonan]),"")</f>
        <v>HIBAH</v>
      </c>
      <c r="H1562" s="41" t="s">
        <v>11</v>
      </c>
      <c r="I1562" s="49" t="s">
        <v>23</v>
      </c>
      <c r="J1562" s="36">
        <f t="shared" si="20"/>
        <v>45734.58313</v>
      </c>
      <c r="K1562" s="49" t="s">
        <v>197</v>
      </c>
      <c r="L1562" s="49" t="s">
        <v>23</v>
      </c>
      <c r="M1562" s="36">
        <f t="shared" si="26"/>
        <v>45736.59875</v>
      </c>
      <c r="N1562" s="30" t="str">
        <f t="shared" si="27"/>
        <v>Selesai</v>
      </c>
      <c r="O1562" s="45">
        <f t="shared" si="23"/>
        <v>45736.59875</v>
      </c>
      <c r="P1562" s="47" t="b">
        <v>1</v>
      </c>
      <c r="Q1562" s="36">
        <f t="shared" si="24"/>
        <v>45736.59949</v>
      </c>
      <c r="R1562" s="47" t="b">
        <v>0</v>
      </c>
      <c r="S1562" s="42" t="str">
        <f t="shared" si="28"/>
        <v/>
      </c>
      <c r="T1562" s="42"/>
    </row>
    <row r="1563" ht="22.5" customHeight="1">
      <c r="B1563" s="42">
        <f t="shared" si="7"/>
        <v>1557</v>
      </c>
      <c r="C1563" s="31" t="s">
        <v>1689</v>
      </c>
      <c r="D1563" s="34" t="str">
        <f t="array" ref="D1563">IFNA(_xlfn.XLOOKUP(C1563,Table_Tarikan_Warkah[Nomor Sertipikat],Table_Tarikan_Warkah[Nomor Tiket]),"")</f>
        <v>K/24/030325/1</v>
      </c>
      <c r="E1563" s="36" t="str">
        <f t="array" ref="E1563">IFNA(_xlfn.XLOOKUP(D1563,Table_Tarikan_Warkah[Nomor Tiket],Table_Tarikan_Warkah[Tanggal diserahkan kepada Validator]),"")</f>
        <v/>
      </c>
      <c r="F1563" s="36" t="str">
        <f t="array" ref="F1563">IFNA(_xlfn.XLOOKUP(D1563,Table_Tarikan_Warkah[Nomor Tiket],Table_Tarikan_Warkah[Nama Petugas Warkah]),"")</f>
        <v/>
      </c>
      <c r="G1563" s="39" t="str">
        <f t="array" ref="G1563">IFNA(_xlfn.XLOOKUP(D1563,Table_Tarikan_Warkah[Nomor Tiket],Table_Tarikan_Warkah[Jenis Permohonan]),"")</f>
        <v>HIBAH</v>
      </c>
      <c r="H1563" s="41" t="s">
        <v>11</v>
      </c>
      <c r="I1563" s="49" t="s">
        <v>23</v>
      </c>
      <c r="J1563" s="36">
        <f t="shared" si="20"/>
        <v>45734.58315</v>
      </c>
      <c r="K1563" s="58" t="s">
        <v>197</v>
      </c>
      <c r="L1563" s="49" t="s">
        <v>23</v>
      </c>
      <c r="M1563" s="36">
        <f t="shared" si="26"/>
        <v>45736.59875</v>
      </c>
      <c r="N1563" s="30" t="str">
        <f t="shared" si="27"/>
        <v>Selesai</v>
      </c>
      <c r="O1563" s="45">
        <f t="shared" si="23"/>
        <v>45736.59875</v>
      </c>
      <c r="P1563" s="47" t="b">
        <v>1</v>
      </c>
      <c r="Q1563" s="36">
        <f t="shared" si="24"/>
        <v>45736.59949</v>
      </c>
      <c r="R1563" s="47" t="b">
        <v>0</v>
      </c>
      <c r="S1563" s="42" t="str">
        <f t="shared" si="28"/>
        <v/>
      </c>
      <c r="T1563" s="42"/>
    </row>
    <row r="1564" ht="22.5" customHeight="1">
      <c r="B1564" s="42">
        <f t="shared" si="7"/>
        <v>1558</v>
      </c>
      <c r="C1564" s="31" t="s">
        <v>1690</v>
      </c>
      <c r="D1564" s="34" t="str">
        <f t="array" ref="D1564">IFNA(_xlfn.XLOOKUP(C1564,Table_Tarikan_Warkah[Nomor Sertipikat],Table_Tarikan_Warkah[Nomor Tiket]),"")</f>
        <v>K/32/030325/3</v>
      </c>
      <c r="E1564" s="36">
        <f t="array" ref="E1564">IFNA(_xlfn.XLOOKUP(D1564,Table_Tarikan_Warkah[Nomor Tiket],Table_Tarikan_Warkah[Tanggal diserahkan kepada Validator]),"")</f>
        <v>45769.60071</v>
      </c>
      <c r="F1564" s="36" t="str">
        <f t="array" ref="F1564">IFNA(_xlfn.XLOOKUP(D1564,Table_Tarikan_Warkah[Nomor Tiket],Table_Tarikan_Warkah[Nama Petugas Warkah]),"")</f>
        <v/>
      </c>
      <c r="G1564" s="39" t="str">
        <f t="array" ref="G1564">IFNA(_xlfn.XLOOKUP(D1564,Table_Tarikan_Warkah[Nomor Tiket],Table_Tarikan_Warkah[Jenis Permohonan]),"")</f>
        <v>ROYA LELANG</v>
      </c>
      <c r="H1564" s="41" t="s">
        <v>11</v>
      </c>
      <c r="I1564" s="49" t="s">
        <v>23</v>
      </c>
      <c r="J1564" s="36">
        <f t="shared" si="20"/>
        <v>45734.58315</v>
      </c>
      <c r="K1564" s="56" t="s">
        <v>197</v>
      </c>
      <c r="L1564" s="49" t="s">
        <v>23</v>
      </c>
      <c r="M1564" s="36">
        <f t="shared" si="26"/>
        <v>45736.59875</v>
      </c>
      <c r="N1564" s="30" t="str">
        <f t="shared" si="27"/>
        <v>Selesai</v>
      </c>
      <c r="O1564" s="45">
        <f t="shared" si="23"/>
        <v>45736.59875</v>
      </c>
      <c r="P1564" s="47" t="b">
        <v>1</v>
      </c>
      <c r="Q1564" s="36">
        <f t="shared" si="24"/>
        <v>45736.59949</v>
      </c>
      <c r="R1564" s="47" t="b">
        <v>0</v>
      </c>
      <c r="S1564" s="42" t="str">
        <f t="shared" si="28"/>
        <v/>
      </c>
      <c r="T1564" s="42"/>
    </row>
    <row r="1565" ht="22.5" customHeight="1">
      <c r="B1565" s="42">
        <f t="shared" si="7"/>
        <v>1559</v>
      </c>
      <c r="C1565" s="31" t="s">
        <v>1691</v>
      </c>
      <c r="D1565" s="34" t="str">
        <f t="array" ref="D1565">IFNA(_xlfn.XLOOKUP(C1565,Table_Tarikan_Warkah[Nomor Sertipikat],Table_Tarikan_Warkah[Nomor Tiket]),"")</f>
        <v>K/24/070325/1</v>
      </c>
      <c r="E1565" s="36">
        <f t="array" ref="E1565">IFNA(_xlfn.XLOOKUP(D1565,Table_Tarikan_Warkah[Nomor Tiket],Table_Tarikan_Warkah[Tanggal diserahkan kepada Validator]),"")</f>
        <v>45769.60071</v>
      </c>
      <c r="F1565" s="36" t="str">
        <f t="array" ref="F1565">IFNA(_xlfn.XLOOKUP(D1565,Table_Tarikan_Warkah[Nomor Tiket],Table_Tarikan_Warkah[Nama Petugas Warkah]),"")</f>
        <v/>
      </c>
      <c r="G1565" s="39" t="str">
        <f t="array" ref="G1565">IFNA(_xlfn.XLOOKUP(D1565,Table_Tarikan_Warkah[Nomor Tiket],Table_Tarikan_Warkah[Jenis Permohonan]),"")</f>
        <v>ROYA</v>
      </c>
      <c r="H1565" s="41" t="s">
        <v>11</v>
      </c>
      <c r="I1565" s="49" t="s">
        <v>23</v>
      </c>
      <c r="J1565" s="36">
        <f t="shared" si="20"/>
        <v>45734.58315</v>
      </c>
      <c r="K1565" s="58" t="s">
        <v>197</v>
      </c>
      <c r="L1565" s="49" t="s">
        <v>23</v>
      </c>
      <c r="M1565" s="36">
        <f t="shared" si="26"/>
        <v>45736.59875</v>
      </c>
      <c r="N1565" s="30" t="str">
        <f t="shared" si="27"/>
        <v>Selesai</v>
      </c>
      <c r="O1565" s="45">
        <f t="shared" si="23"/>
        <v>45736.59875</v>
      </c>
      <c r="P1565" s="47" t="b">
        <v>1</v>
      </c>
      <c r="Q1565" s="36">
        <f t="shared" si="24"/>
        <v>45736.59949</v>
      </c>
      <c r="R1565" s="47" t="b">
        <v>0</v>
      </c>
      <c r="S1565" s="42" t="str">
        <f t="shared" si="28"/>
        <v/>
      </c>
      <c r="T1565" s="42"/>
    </row>
    <row r="1566" ht="22.5" customHeight="1">
      <c r="B1566" s="42">
        <f t="shared" si="7"/>
        <v>1560</v>
      </c>
      <c r="C1566" s="31" t="s">
        <v>1692</v>
      </c>
      <c r="D1566" s="34" t="str">
        <f t="array" ref="D1566">IFNA(_xlfn.XLOOKUP(C1566,Table_Tarikan_Warkah[Nomor Sertipikat],Table_Tarikan_Warkah[Nomor Tiket]),"")</f>
        <v>K/2/120325/1</v>
      </c>
      <c r="E1566" s="36">
        <f t="array" ref="E1566">IFNA(_xlfn.XLOOKUP(D1566,Table_Tarikan_Warkah[Nomor Tiket],Table_Tarikan_Warkah[Tanggal diserahkan kepada Validator]),"")</f>
        <v>45743.43953</v>
      </c>
      <c r="F1566" s="36" t="str">
        <f t="array" ref="F1566">IFNA(_xlfn.XLOOKUP(D1566,Table_Tarikan_Warkah[Nomor Tiket],Table_Tarikan_Warkah[Nama Petugas Warkah]),"")</f>
        <v/>
      </c>
      <c r="G1566" s="39" t="str">
        <f t="array" ref="G1566">IFNA(_xlfn.XLOOKUP(D1566,Table_Tarikan_Warkah[Nomor Tiket],Table_Tarikan_Warkah[Jenis Permohonan]),"")</f>
        <v>JUAL BELI</v>
      </c>
      <c r="H1566" s="41" t="s">
        <v>11</v>
      </c>
      <c r="I1566" s="49" t="s">
        <v>23</v>
      </c>
      <c r="J1566" s="36">
        <f t="shared" si="20"/>
        <v>45734.58315</v>
      </c>
      <c r="K1566" s="56" t="s">
        <v>197</v>
      </c>
      <c r="L1566" s="49" t="s">
        <v>23</v>
      </c>
      <c r="M1566" s="36">
        <f t="shared" si="26"/>
        <v>45736.59875</v>
      </c>
      <c r="N1566" s="30" t="str">
        <f t="shared" si="27"/>
        <v>Selesai</v>
      </c>
      <c r="O1566" s="45">
        <f t="shared" si="23"/>
        <v>45736.59875</v>
      </c>
      <c r="P1566" s="47" t="b">
        <v>1</v>
      </c>
      <c r="Q1566" s="36">
        <f t="shared" si="24"/>
        <v>45736.59949</v>
      </c>
      <c r="R1566" s="47" t="b">
        <v>0</v>
      </c>
      <c r="S1566" s="42" t="str">
        <f t="shared" si="28"/>
        <v/>
      </c>
      <c r="T1566" s="42"/>
    </row>
    <row r="1567" ht="22.5" customHeight="1">
      <c r="B1567" s="42">
        <f t="shared" si="7"/>
        <v>1561</v>
      </c>
      <c r="C1567" s="31" t="s">
        <v>1693</v>
      </c>
      <c r="D1567" s="34" t="str">
        <f t="array" ref="D1567">IFNA(_xlfn.XLOOKUP(C1567,Table_Tarikan_Warkah[Nomor Sertipikat],Table_Tarikan_Warkah[Nomor Tiket]),"")</f>
        <v>K/36/060325/1</v>
      </c>
      <c r="E1567" s="36">
        <f t="array" ref="E1567">IFNA(_xlfn.XLOOKUP(D1567,Table_Tarikan_Warkah[Nomor Tiket],Table_Tarikan_Warkah[Tanggal diserahkan kepada Validator]),"")</f>
        <v>45743.43617</v>
      </c>
      <c r="F1567" s="36" t="str">
        <f t="array" ref="F1567">IFNA(_xlfn.XLOOKUP(D1567,Table_Tarikan_Warkah[Nomor Tiket],Table_Tarikan_Warkah[Nama Petugas Warkah]),"")</f>
        <v/>
      </c>
      <c r="G1567" s="39" t="str">
        <f t="array" ref="G1567">IFNA(_xlfn.XLOOKUP(D1567,Table_Tarikan_Warkah[Nomor Tiket],Table_Tarikan_Warkah[Jenis Permohonan]),"")</f>
        <v>JUAL BELI</v>
      </c>
      <c r="H1567" s="41" t="s">
        <v>11</v>
      </c>
      <c r="I1567" s="49" t="s">
        <v>23</v>
      </c>
      <c r="J1567" s="36">
        <f t="shared" si="20"/>
        <v>45734.58315</v>
      </c>
      <c r="K1567" s="58" t="s">
        <v>197</v>
      </c>
      <c r="L1567" s="49" t="s">
        <v>23</v>
      </c>
      <c r="M1567" s="36">
        <f t="shared" si="26"/>
        <v>45736.59875</v>
      </c>
      <c r="N1567" s="30" t="str">
        <f t="shared" si="27"/>
        <v>Selesai</v>
      </c>
      <c r="O1567" s="45">
        <f t="shared" si="23"/>
        <v>45736.59875</v>
      </c>
      <c r="P1567" s="47" t="b">
        <v>1</v>
      </c>
      <c r="Q1567" s="36">
        <f t="shared" si="24"/>
        <v>45736.59949</v>
      </c>
      <c r="R1567" s="47" t="b">
        <v>0</v>
      </c>
      <c r="S1567" s="42" t="str">
        <f t="shared" si="28"/>
        <v/>
      </c>
      <c r="T1567" s="42"/>
    </row>
    <row r="1568" ht="22.5" customHeight="1">
      <c r="B1568" s="42">
        <f t="shared" si="7"/>
        <v>1562</v>
      </c>
      <c r="C1568" s="31" t="s">
        <v>1694</v>
      </c>
      <c r="D1568" s="34" t="str">
        <f t="array" ref="D1568">IFNA(_xlfn.XLOOKUP(C1568,Table_Tarikan_Warkah[Nomor Sertipikat],Table_Tarikan_Warkah[Nomor Tiket]),"")</f>
        <v>K/38/110325/3</v>
      </c>
      <c r="E1568" s="36">
        <f t="array" ref="E1568">IFNA(_xlfn.XLOOKUP(D1568,Table_Tarikan_Warkah[Nomor Tiket],Table_Tarikan_Warkah[Tanggal diserahkan kepada Validator]),"")</f>
        <v>45743.43822</v>
      </c>
      <c r="F1568" s="36" t="str">
        <f t="array" ref="F1568">IFNA(_xlfn.XLOOKUP(D1568,Table_Tarikan_Warkah[Nomor Tiket],Table_Tarikan_Warkah[Nama Petugas Warkah]),"")</f>
        <v/>
      </c>
      <c r="G1568" s="39" t="str">
        <f t="array" ref="G1568">IFNA(_xlfn.XLOOKUP(D1568,Table_Tarikan_Warkah[Nomor Tiket],Table_Tarikan_Warkah[Jenis Permohonan]),"")</f>
        <v>BN JUAL BELI</v>
      </c>
      <c r="H1568" s="41" t="s">
        <v>11</v>
      </c>
      <c r="I1568" s="49" t="s">
        <v>23</v>
      </c>
      <c r="J1568" s="36">
        <f t="shared" si="20"/>
        <v>45734.58315</v>
      </c>
      <c r="K1568" s="49" t="s">
        <v>197</v>
      </c>
      <c r="L1568" s="49" t="s">
        <v>23</v>
      </c>
      <c r="M1568" s="36">
        <f t="shared" si="26"/>
        <v>45736.59875</v>
      </c>
      <c r="N1568" s="30" t="str">
        <f t="shared" si="27"/>
        <v>Selesai</v>
      </c>
      <c r="O1568" s="45">
        <f t="shared" si="23"/>
        <v>45736.59875</v>
      </c>
      <c r="P1568" s="47" t="b">
        <v>1</v>
      </c>
      <c r="Q1568" s="36">
        <f t="shared" si="24"/>
        <v>45736.59949</v>
      </c>
      <c r="R1568" s="47" t="b">
        <v>0</v>
      </c>
      <c r="S1568" s="42" t="str">
        <f t="shared" si="28"/>
        <v/>
      </c>
      <c r="T1568" s="42"/>
    </row>
    <row r="1569" ht="22.5" customHeight="1">
      <c r="B1569" s="42">
        <f t="shared" si="7"/>
        <v>1563</v>
      </c>
      <c r="C1569" s="31" t="s">
        <v>1695</v>
      </c>
      <c r="D1569" s="34" t="str">
        <f t="array" ref="D1569">IFNA(_xlfn.XLOOKUP(C1569,Table_Tarikan_Warkah[Nomor Sertipikat],Table_Tarikan_Warkah[Nomor Tiket]),"")</f>
        <v>K/39/201124/1</v>
      </c>
      <c r="E1569" s="36" t="str">
        <f t="array" ref="E1569">IFNA(_xlfn.XLOOKUP(D1569,Table_Tarikan_Warkah[Nomor Tiket],Table_Tarikan_Warkah[Tanggal diserahkan kepada Validator]),"")</f>
        <v>26/11/2024 12.03</v>
      </c>
      <c r="F1569" s="36" t="str">
        <f t="array" ref="F1569">IFNA(_xlfn.XLOOKUP(D1569,Table_Tarikan_Warkah[Nomor Tiket],Table_Tarikan_Warkah[Nama Petugas Warkah]),"")</f>
        <v>David</v>
      </c>
      <c r="G1569" s="39" t="str">
        <f t="array" ref="G1569">IFNA(_xlfn.XLOOKUP(D1569,Table_Tarikan_Warkah[Nomor Tiket],Table_Tarikan_Warkah[Jenis Permohonan]),"")</f>
        <v>PEMECAHAN</v>
      </c>
      <c r="H1569" s="41" t="s">
        <v>11</v>
      </c>
      <c r="I1569" s="49" t="s">
        <v>23</v>
      </c>
      <c r="J1569" s="36">
        <f t="shared" si="20"/>
        <v>45734.58315</v>
      </c>
      <c r="K1569" s="49" t="s">
        <v>197</v>
      </c>
      <c r="L1569" s="49" t="s">
        <v>23</v>
      </c>
      <c r="M1569" s="36">
        <f t="shared" si="26"/>
        <v>45736.59875</v>
      </c>
      <c r="N1569" s="30" t="str">
        <f t="shared" si="27"/>
        <v>Selesai</v>
      </c>
      <c r="O1569" s="45">
        <f t="shared" si="23"/>
        <v>45736.59875</v>
      </c>
      <c r="P1569" s="47" t="b">
        <v>1</v>
      </c>
      <c r="Q1569" s="36">
        <f t="shared" si="24"/>
        <v>45736.59949</v>
      </c>
      <c r="R1569" s="47" t="b">
        <v>0</v>
      </c>
      <c r="S1569" s="42" t="str">
        <f t="shared" si="28"/>
        <v/>
      </c>
      <c r="T1569" s="42"/>
    </row>
    <row r="1570" ht="22.5" customHeight="1">
      <c r="B1570" s="42">
        <f t="shared" si="7"/>
        <v>1564</v>
      </c>
      <c r="C1570" s="31" t="s">
        <v>1696</v>
      </c>
      <c r="D1570" s="34" t="str">
        <f t="array" ref="D1570">IFNA(_xlfn.XLOOKUP(C1570,Table_Tarikan_Warkah[Nomor Sertipikat],Table_Tarikan_Warkah[Nomor Tiket]),"")</f>
        <v>K/33/190225/2</v>
      </c>
      <c r="E1570" s="36">
        <f t="array" ref="E1570">IFNA(_xlfn.XLOOKUP(D1570,Table_Tarikan_Warkah[Nomor Tiket],Table_Tarikan_Warkah[Tanggal diserahkan kepada Validator]),"")</f>
        <v>45713.7071</v>
      </c>
      <c r="F1570" s="36" t="str">
        <f t="array" ref="F1570">IFNA(_xlfn.XLOOKUP(D1570,Table_Tarikan_Warkah[Nomor Tiket],Table_Tarikan_Warkah[Nama Petugas Warkah]),"")</f>
        <v/>
      </c>
      <c r="G1570" s="39" t="str">
        <f t="array" ref="G1570">IFNA(_xlfn.XLOOKUP(D1570,Table_Tarikan_Warkah[Nomor Tiket],Table_Tarikan_Warkah[Jenis Permohonan]),"")</f>
        <v>JUAL BELI</v>
      </c>
      <c r="H1570" s="41" t="s">
        <v>11</v>
      </c>
      <c r="I1570" s="49" t="s">
        <v>23</v>
      </c>
      <c r="J1570" s="36">
        <f t="shared" si="20"/>
        <v>45734.58319</v>
      </c>
      <c r="K1570" s="49" t="s">
        <v>197</v>
      </c>
      <c r="L1570" s="49" t="s">
        <v>23</v>
      </c>
      <c r="M1570" s="36">
        <f t="shared" si="26"/>
        <v>45736.59875</v>
      </c>
      <c r="N1570" s="30" t="str">
        <f t="shared" si="27"/>
        <v>Selesai</v>
      </c>
      <c r="O1570" s="45">
        <f t="shared" si="23"/>
        <v>45736.59875</v>
      </c>
      <c r="P1570" s="47" t="b">
        <v>1</v>
      </c>
      <c r="Q1570" s="36">
        <f t="shared" si="24"/>
        <v>45736.59949</v>
      </c>
      <c r="R1570" s="47" t="b">
        <v>0</v>
      </c>
      <c r="S1570" s="42" t="str">
        <f t="shared" si="28"/>
        <v/>
      </c>
      <c r="T1570" s="42"/>
    </row>
    <row r="1571" ht="22.5" customHeight="1">
      <c r="B1571" s="42">
        <f t="shared" si="7"/>
        <v>1565</v>
      </c>
      <c r="C1571" s="31" t="s">
        <v>1697</v>
      </c>
      <c r="D1571" s="34" t="str">
        <f t="array" ref="D1571">IFNA(_xlfn.XLOOKUP(C1571,Table_Tarikan_Warkah[Nomor Sertipikat],Table_Tarikan_Warkah[Nomor Tiket]),"")</f>
        <v>K/4/050325/1</v>
      </c>
      <c r="E1571" s="36">
        <f t="array" ref="E1571">IFNA(_xlfn.XLOOKUP(D1571,Table_Tarikan_Warkah[Nomor Tiket],Table_Tarikan_Warkah[Tanggal diserahkan kepada Validator]),"")</f>
        <v>45743.43982</v>
      </c>
      <c r="F1571" s="36" t="str">
        <f t="array" ref="F1571">IFNA(_xlfn.XLOOKUP(D1571,Table_Tarikan_Warkah[Nomor Tiket],Table_Tarikan_Warkah[Nama Petugas Warkah]),"")</f>
        <v/>
      </c>
      <c r="G1571" s="39" t="str">
        <f t="array" ref="G1571">IFNA(_xlfn.XLOOKUP(D1571,Table_Tarikan_Warkah[Nomor Tiket],Table_Tarikan_Warkah[Jenis Permohonan]),"")</f>
        <v>BN JUAL BELI</v>
      </c>
      <c r="H1571" s="41" t="s">
        <v>11</v>
      </c>
      <c r="I1571" s="49" t="s">
        <v>23</v>
      </c>
      <c r="J1571" s="36">
        <f t="shared" si="20"/>
        <v>45734.58319</v>
      </c>
      <c r="K1571" s="49" t="s">
        <v>197</v>
      </c>
      <c r="L1571" s="49" t="s">
        <v>23</v>
      </c>
      <c r="M1571" s="36">
        <f t="shared" si="26"/>
        <v>45736.59875</v>
      </c>
      <c r="N1571" s="30" t="str">
        <f t="shared" si="27"/>
        <v>Selesai</v>
      </c>
      <c r="O1571" s="45">
        <f t="shared" si="23"/>
        <v>45736.59875</v>
      </c>
      <c r="P1571" s="47" t="b">
        <v>1</v>
      </c>
      <c r="Q1571" s="36">
        <f t="shared" si="24"/>
        <v>45736.59952</v>
      </c>
      <c r="R1571" s="47" t="b">
        <v>0</v>
      </c>
      <c r="S1571" s="42" t="str">
        <f t="shared" si="28"/>
        <v/>
      </c>
      <c r="T1571" s="42"/>
    </row>
    <row r="1572" ht="22.5" customHeight="1">
      <c r="B1572" s="42">
        <f t="shared" si="7"/>
        <v>1566</v>
      </c>
      <c r="C1572" s="31" t="s">
        <v>1698</v>
      </c>
      <c r="D1572" s="34" t="str">
        <f t="array" ref="D1572">IFNA(_xlfn.XLOOKUP(C1572,Table_Tarikan_Warkah[Nomor Sertipikat],Table_Tarikan_Warkah[Nomor Tiket]),"")</f>
        <v>K/23/060325/1</v>
      </c>
      <c r="E1572" s="36">
        <f t="array" ref="E1572">IFNA(_xlfn.XLOOKUP(D1572,Table_Tarikan_Warkah[Nomor Tiket],Table_Tarikan_Warkah[Tanggal diserahkan kepada Validator]),"")</f>
        <v>45824.62398</v>
      </c>
      <c r="F1572" s="36" t="str">
        <f t="array" ref="F1572">IFNA(_xlfn.XLOOKUP(D1572,Table_Tarikan_Warkah[Nomor Tiket],Table_Tarikan_Warkah[Nama Petugas Warkah]),"")</f>
        <v>David</v>
      </c>
      <c r="G1572" s="39" t="str">
        <f t="array" ref="G1572">IFNA(_xlfn.XLOOKUP(D1572,Table_Tarikan_Warkah[Nomor Tiket],Table_Tarikan_Warkah[Jenis Permohonan]),"")</f>
        <v>ROYA</v>
      </c>
      <c r="H1572" s="41" t="s">
        <v>11</v>
      </c>
      <c r="I1572" s="49" t="s">
        <v>23</v>
      </c>
      <c r="J1572" s="36">
        <f t="shared" si="20"/>
        <v>45734.58319</v>
      </c>
      <c r="K1572" s="49" t="s">
        <v>197</v>
      </c>
      <c r="L1572" s="49" t="s">
        <v>23</v>
      </c>
      <c r="M1572" s="36">
        <f t="shared" si="26"/>
        <v>45736.59875</v>
      </c>
      <c r="N1572" s="30" t="str">
        <f t="shared" si="27"/>
        <v>Selesai</v>
      </c>
      <c r="O1572" s="45">
        <f t="shared" si="23"/>
        <v>45736.59875</v>
      </c>
      <c r="P1572" s="47" t="b">
        <v>1</v>
      </c>
      <c r="Q1572" s="36">
        <f t="shared" si="24"/>
        <v>45736.59952</v>
      </c>
      <c r="R1572" s="47" t="b">
        <v>0</v>
      </c>
      <c r="S1572" s="42" t="str">
        <f t="shared" si="28"/>
        <v/>
      </c>
      <c r="T1572" s="42"/>
    </row>
    <row r="1573" ht="22.5" customHeight="1">
      <c r="B1573" s="42">
        <f t="shared" si="7"/>
        <v>1567</v>
      </c>
      <c r="C1573" s="31" t="s">
        <v>1699</v>
      </c>
      <c r="D1573" s="34" t="str">
        <f t="array" ref="D1573">IFNA(_xlfn.XLOOKUP(C1573,Table_Tarikan_Warkah[Nomor Sertipikat],Table_Tarikan_Warkah[Nomor Tiket]),"")</f>
        <v>K/45/070325/3</v>
      </c>
      <c r="E1573" s="36">
        <f t="array" ref="E1573">IFNA(_xlfn.XLOOKUP(D1573,Table_Tarikan_Warkah[Nomor Tiket],Table_Tarikan_Warkah[Tanggal diserahkan kepada Validator]),"")</f>
        <v>45743.43531</v>
      </c>
      <c r="F1573" s="36" t="str">
        <f t="array" ref="F1573">IFNA(_xlfn.XLOOKUP(D1573,Table_Tarikan_Warkah[Nomor Tiket],Table_Tarikan_Warkah[Nama Petugas Warkah]),"")</f>
        <v/>
      </c>
      <c r="G1573" s="39" t="str">
        <f t="array" ref="G1573">IFNA(_xlfn.XLOOKUP(D1573,Table_Tarikan_Warkah[Nomor Tiket],Table_Tarikan_Warkah[Jenis Permohonan]),"")</f>
        <v>BN JUAL BELI</v>
      </c>
      <c r="H1573" s="41" t="s">
        <v>11</v>
      </c>
      <c r="I1573" s="49" t="s">
        <v>23</v>
      </c>
      <c r="J1573" s="36">
        <f t="shared" si="20"/>
        <v>45734.58319</v>
      </c>
      <c r="K1573" s="49" t="s">
        <v>197</v>
      </c>
      <c r="L1573" s="49" t="s">
        <v>23</v>
      </c>
      <c r="M1573" s="36">
        <f t="shared" si="26"/>
        <v>45736.59895</v>
      </c>
      <c r="N1573" s="30" t="str">
        <f t="shared" si="27"/>
        <v>Selesai</v>
      </c>
      <c r="O1573" s="45">
        <f t="shared" si="23"/>
        <v>45736.59895</v>
      </c>
      <c r="P1573" s="47" t="b">
        <v>1</v>
      </c>
      <c r="Q1573" s="36">
        <f t="shared" si="24"/>
        <v>45736.59952</v>
      </c>
      <c r="R1573" s="47" t="b">
        <v>0</v>
      </c>
      <c r="S1573" s="42" t="str">
        <f t="shared" si="28"/>
        <v/>
      </c>
      <c r="T1573" s="42"/>
    </row>
    <row r="1574" ht="22.5" customHeight="1">
      <c r="B1574" s="42">
        <f t="shared" si="7"/>
        <v>1568</v>
      </c>
      <c r="C1574" s="31" t="s">
        <v>1700</v>
      </c>
      <c r="D1574" s="34" t="str">
        <f t="array" ref="D1574">IFNA(_xlfn.XLOOKUP(C1574,Table_Tarikan_Warkah[Nomor Sertipikat],Table_Tarikan_Warkah[Nomor Tiket]),"")</f>
        <v>K/44/070325/2</v>
      </c>
      <c r="E1574" s="36">
        <f t="array" ref="E1574">IFNA(_xlfn.XLOOKUP(D1574,Table_Tarikan_Warkah[Nomor Tiket],Table_Tarikan_Warkah[Tanggal diserahkan kepada Validator]),"")</f>
        <v>45743.4423</v>
      </c>
      <c r="F1574" s="36" t="str">
        <f t="array" ref="F1574">IFNA(_xlfn.XLOOKUP(D1574,Table_Tarikan_Warkah[Nomor Tiket],Table_Tarikan_Warkah[Nama Petugas Warkah]),"")</f>
        <v/>
      </c>
      <c r="G1574" s="39" t="str">
        <f t="array" ref="G1574">IFNA(_xlfn.XLOOKUP(D1574,Table_Tarikan_Warkah[Nomor Tiket],Table_Tarikan_Warkah[Jenis Permohonan]),"")</f>
        <v>BN JUAL BELI</v>
      </c>
      <c r="H1574" s="41" t="s">
        <v>11</v>
      </c>
      <c r="I1574" s="49" t="s">
        <v>23</v>
      </c>
      <c r="J1574" s="36">
        <f t="shared" si="20"/>
        <v>45734.58319</v>
      </c>
      <c r="K1574" s="49" t="s">
        <v>197</v>
      </c>
      <c r="L1574" s="49" t="s">
        <v>23</v>
      </c>
      <c r="M1574" s="36">
        <f t="shared" si="26"/>
        <v>45736.59895</v>
      </c>
      <c r="N1574" s="30" t="str">
        <f t="shared" si="27"/>
        <v>Selesai</v>
      </c>
      <c r="O1574" s="45">
        <f t="shared" si="23"/>
        <v>45736.59895</v>
      </c>
      <c r="P1574" s="47" t="b">
        <v>1</v>
      </c>
      <c r="Q1574" s="36">
        <f t="shared" si="24"/>
        <v>45736.59952</v>
      </c>
      <c r="R1574" s="47" t="b">
        <v>0</v>
      </c>
      <c r="S1574" s="42" t="str">
        <f t="shared" si="28"/>
        <v/>
      </c>
      <c r="T1574" s="42"/>
    </row>
    <row r="1575" ht="22.5" customHeight="1">
      <c r="B1575" s="42">
        <f t="shared" si="7"/>
        <v>1569</v>
      </c>
      <c r="C1575" s="31" t="s">
        <v>1701</v>
      </c>
      <c r="D1575" s="34" t="str">
        <f t="array" ref="D1575">IFNA(_xlfn.XLOOKUP(C1575,Table_Tarikan_Warkah[Nomor Sertipikat],Table_Tarikan_Warkah[Nomor Tiket]),"")</f>
        <v>K/34/130325/1</v>
      </c>
      <c r="E1575" s="36" t="str">
        <f t="array" ref="E1575">IFNA(_xlfn.XLOOKUP(D1575,Table_Tarikan_Warkah[Nomor Tiket],Table_Tarikan_Warkah[Tanggal diserahkan kepada Validator]),"")</f>
        <v/>
      </c>
      <c r="F1575" s="36" t="str">
        <f t="array" ref="F1575">IFNA(_xlfn.XLOOKUP(D1575,Table_Tarikan_Warkah[Nomor Tiket],Table_Tarikan_Warkah[Nama Petugas Warkah]),"")</f>
        <v/>
      </c>
      <c r="G1575" s="39" t="str">
        <f t="array" ref="G1575">IFNA(_xlfn.XLOOKUP(D1575,Table_Tarikan_Warkah[Nomor Tiket],Table_Tarikan_Warkah[Jenis Permohonan]),"")</f>
        <v>BN Jual Beli</v>
      </c>
      <c r="H1575" s="41" t="s">
        <v>11</v>
      </c>
      <c r="I1575" s="49" t="s">
        <v>23</v>
      </c>
      <c r="J1575" s="36">
        <f t="shared" si="20"/>
        <v>45734.58319</v>
      </c>
      <c r="K1575" s="58" t="s">
        <v>197</v>
      </c>
      <c r="L1575" s="49" t="s">
        <v>23</v>
      </c>
      <c r="M1575" s="36">
        <f t="shared" si="26"/>
        <v>45736.59895</v>
      </c>
      <c r="N1575" s="30" t="str">
        <f t="shared" si="27"/>
        <v>Selesai</v>
      </c>
      <c r="O1575" s="45">
        <f t="shared" si="23"/>
        <v>45736.59895</v>
      </c>
      <c r="P1575" s="47" t="b">
        <v>1</v>
      </c>
      <c r="Q1575" s="36">
        <f t="shared" si="24"/>
        <v>45736.59952</v>
      </c>
      <c r="R1575" s="47" t="b">
        <v>0</v>
      </c>
      <c r="S1575" s="42" t="str">
        <f t="shared" si="28"/>
        <v/>
      </c>
      <c r="T1575" s="42"/>
    </row>
    <row r="1576" ht="22.5" customHeight="1">
      <c r="B1576" s="42">
        <f t="shared" si="7"/>
        <v>1570</v>
      </c>
      <c r="C1576" s="31" t="s">
        <v>1702</v>
      </c>
      <c r="D1576" s="34" t="str">
        <f t="array" ref="D1576">IFNA(_xlfn.XLOOKUP(C1576,Table_Tarikan_Warkah[Nomor Sertipikat],Table_Tarikan_Warkah[Nomor Tiket]),"")</f>
        <v>L/25/110325/1</v>
      </c>
      <c r="E1576" s="36">
        <f t="array" ref="E1576">IFNA(_xlfn.XLOOKUP(D1576,Table_Tarikan_Warkah[Nomor Tiket],Table_Tarikan_Warkah[Tanggal diserahkan kepada Validator]),"")</f>
        <v>45771.3943</v>
      </c>
      <c r="F1576" s="36" t="str">
        <f t="array" ref="F1576">IFNA(_xlfn.XLOOKUP(D1576,Table_Tarikan_Warkah[Nomor Tiket],Table_Tarikan_Warkah[Nama Petugas Warkah]),"")</f>
        <v/>
      </c>
      <c r="G1576" s="39" t="str">
        <f t="array" ref="G1576">IFNA(_xlfn.XLOOKUP(D1576,Table_Tarikan_Warkah[Nomor Tiket],Table_Tarikan_Warkah[Jenis Permohonan]),"")</f>
        <v>ROYA</v>
      </c>
      <c r="H1576" s="41" t="s">
        <v>20</v>
      </c>
      <c r="I1576" s="49" t="s">
        <v>23</v>
      </c>
      <c r="J1576" s="36">
        <f t="shared" si="20"/>
        <v>45735.39406</v>
      </c>
      <c r="K1576" s="56" t="s">
        <v>197</v>
      </c>
      <c r="L1576" s="49" t="s">
        <v>23</v>
      </c>
      <c r="M1576" s="36">
        <f t="shared" si="26"/>
        <v>45736.59895</v>
      </c>
      <c r="N1576" s="30" t="str">
        <f t="shared" si="27"/>
        <v>Selesai</v>
      </c>
      <c r="O1576" s="45">
        <f t="shared" si="23"/>
        <v>45736.59895</v>
      </c>
      <c r="P1576" s="47" t="b">
        <v>1</v>
      </c>
      <c r="Q1576" s="36">
        <f t="shared" si="24"/>
        <v>45736.59952</v>
      </c>
      <c r="R1576" s="47" t="b">
        <v>0</v>
      </c>
      <c r="S1576" s="42" t="str">
        <f t="shared" si="28"/>
        <v/>
      </c>
      <c r="T1576" s="42"/>
    </row>
    <row r="1577" ht="22.5" customHeight="1">
      <c r="B1577" s="42">
        <f t="shared" si="7"/>
        <v>1571</v>
      </c>
      <c r="C1577" s="31" t="s">
        <v>1703</v>
      </c>
      <c r="D1577" s="34" t="str">
        <f t="array" ref="D1577">IFNA(_xlfn.XLOOKUP(C1577,Table_Tarikan_Warkah[Nomor Sertipikat],Table_Tarikan_Warkah[Nomor Tiket]),"")</f>
        <v>L/49/110325/1</v>
      </c>
      <c r="E1577" s="36" t="str">
        <f t="array" ref="E1577">IFNA(_xlfn.XLOOKUP(D1577,Table_Tarikan_Warkah[Nomor Tiket],Table_Tarikan_Warkah[Tanggal diserahkan kepada Validator]),"")</f>
        <v/>
      </c>
      <c r="F1577" s="36" t="str">
        <f t="array" ref="F1577">IFNA(_xlfn.XLOOKUP(D1577,Table_Tarikan_Warkah[Nomor Tiket],Table_Tarikan_Warkah[Nama Petugas Warkah]),"")</f>
        <v/>
      </c>
      <c r="G1577" s="39" t="str">
        <f t="array" ref="G1577">IFNA(_xlfn.XLOOKUP(D1577,Table_Tarikan_Warkah[Nomor Tiket],Table_Tarikan_Warkah[Jenis Permohonan]),"")</f>
        <v>ROYA</v>
      </c>
      <c r="H1577" s="41" t="s">
        <v>20</v>
      </c>
      <c r="I1577" s="49" t="s">
        <v>23</v>
      </c>
      <c r="J1577" s="36">
        <f t="shared" si="20"/>
        <v>45735.39422</v>
      </c>
      <c r="K1577" s="58" t="s">
        <v>197</v>
      </c>
      <c r="L1577" s="49" t="s">
        <v>23</v>
      </c>
      <c r="M1577" s="36">
        <f t="shared" si="26"/>
        <v>45736.59895</v>
      </c>
      <c r="N1577" s="30" t="str">
        <f t="shared" si="27"/>
        <v>Selesai</v>
      </c>
      <c r="O1577" s="45">
        <f t="shared" si="23"/>
        <v>45736.59895</v>
      </c>
      <c r="P1577" s="47" t="b">
        <v>1</v>
      </c>
      <c r="Q1577" s="36">
        <f t="shared" si="24"/>
        <v>45736.59952</v>
      </c>
      <c r="R1577" s="47" t="b">
        <v>0</v>
      </c>
      <c r="S1577" s="42" t="str">
        <f t="shared" si="28"/>
        <v/>
      </c>
      <c r="T1577" s="42"/>
    </row>
    <row r="1578" ht="22.5" customHeight="1">
      <c r="B1578" s="42">
        <f t="shared" si="7"/>
        <v>1572</v>
      </c>
      <c r="C1578" s="31" t="s">
        <v>1704</v>
      </c>
      <c r="D1578" s="34" t="str">
        <f t="array" ref="D1578">IFNA(_xlfn.XLOOKUP(C1578,Table_Tarikan_Warkah[Nomor Sertipikat],Table_Tarikan_Warkah[Nomor Tiket]),"")</f>
        <v>K/50/110325/1</v>
      </c>
      <c r="E1578" s="36">
        <f t="array" ref="E1578">IFNA(_xlfn.XLOOKUP(D1578,Table_Tarikan_Warkah[Nomor Tiket],Table_Tarikan_Warkah[Tanggal diserahkan kepada Validator]),"")</f>
        <v>45743.4439</v>
      </c>
      <c r="F1578" s="36" t="str">
        <f t="array" ref="F1578">IFNA(_xlfn.XLOOKUP(D1578,Table_Tarikan_Warkah[Nomor Tiket],Table_Tarikan_Warkah[Nama Petugas Warkah]),"")</f>
        <v/>
      </c>
      <c r="G1578" s="39" t="str">
        <f t="array" ref="G1578">IFNA(_xlfn.XLOOKUP(D1578,Table_Tarikan_Warkah[Nomor Tiket],Table_Tarikan_Warkah[Jenis Permohonan]),"")</f>
        <v>BN Waris</v>
      </c>
      <c r="H1578" s="41" t="s">
        <v>20</v>
      </c>
      <c r="I1578" s="49" t="s">
        <v>23</v>
      </c>
      <c r="J1578" s="36">
        <f t="shared" si="20"/>
        <v>45735.39434</v>
      </c>
      <c r="K1578" s="56" t="s">
        <v>197</v>
      </c>
      <c r="L1578" s="49" t="s">
        <v>23</v>
      </c>
      <c r="M1578" s="36">
        <f t="shared" si="26"/>
        <v>45736.59895</v>
      </c>
      <c r="N1578" s="30" t="str">
        <f t="shared" si="27"/>
        <v>Selesai</v>
      </c>
      <c r="O1578" s="45">
        <f t="shared" si="23"/>
        <v>45736.59895</v>
      </c>
      <c r="P1578" s="47" t="b">
        <v>1</v>
      </c>
      <c r="Q1578" s="36">
        <f t="shared" si="24"/>
        <v>45736.59952</v>
      </c>
      <c r="R1578" s="47" t="b">
        <v>0</v>
      </c>
      <c r="S1578" s="42" t="str">
        <f t="shared" si="28"/>
        <v/>
      </c>
      <c r="T1578" s="42"/>
    </row>
    <row r="1579" ht="22.5" customHeight="1">
      <c r="B1579" s="42">
        <f t="shared" si="7"/>
        <v>1573</v>
      </c>
      <c r="C1579" s="31" t="s">
        <v>1705</v>
      </c>
      <c r="D1579" s="34" t="str">
        <f t="array" ref="D1579">IFNA(_xlfn.XLOOKUP(C1579,Table_Tarikan_Warkah[Nomor Sertipikat],Table_Tarikan_Warkah[Nomor Tiket]),"")</f>
        <v>K/20/270225/3</v>
      </c>
      <c r="E1579" s="36">
        <f t="array" ref="E1579">IFNA(_xlfn.XLOOKUP(D1579,Table_Tarikan_Warkah[Nomor Tiket],Table_Tarikan_Warkah[Tanggal diserahkan kepada Validator]),"")</f>
        <v>45743.44278</v>
      </c>
      <c r="F1579" s="36" t="str">
        <f t="array" ref="F1579">IFNA(_xlfn.XLOOKUP(D1579,Table_Tarikan_Warkah[Nomor Tiket],Table_Tarikan_Warkah[Nama Petugas Warkah]),"")</f>
        <v/>
      </c>
      <c r="G1579" s="39" t="str">
        <f t="array" ref="G1579">IFNA(_xlfn.XLOOKUP(D1579,Table_Tarikan_Warkah[Nomor Tiket],Table_Tarikan_Warkah[Jenis Permohonan]),"")</f>
        <v>BN Jual Beli</v>
      </c>
      <c r="H1579" s="41" t="s">
        <v>20</v>
      </c>
      <c r="I1579" s="49" t="s">
        <v>23</v>
      </c>
      <c r="J1579" s="36">
        <f t="shared" si="20"/>
        <v>45735.39442</v>
      </c>
      <c r="K1579" s="58" t="s">
        <v>197</v>
      </c>
      <c r="L1579" s="49" t="s">
        <v>23</v>
      </c>
      <c r="M1579" s="36">
        <f t="shared" si="26"/>
        <v>45736.59895</v>
      </c>
      <c r="N1579" s="30" t="str">
        <f t="shared" si="27"/>
        <v>Selesai</v>
      </c>
      <c r="O1579" s="45">
        <f t="shared" si="23"/>
        <v>45736.59895</v>
      </c>
      <c r="P1579" s="47" t="b">
        <v>1</v>
      </c>
      <c r="Q1579" s="36">
        <f t="shared" si="24"/>
        <v>45736.59952</v>
      </c>
      <c r="R1579" s="47" t="b">
        <v>0</v>
      </c>
      <c r="S1579" s="42" t="str">
        <f t="shared" si="28"/>
        <v/>
      </c>
      <c r="T1579" s="42"/>
    </row>
    <row r="1580" ht="22.5" customHeight="1">
      <c r="B1580" s="42">
        <f t="shared" si="7"/>
        <v>1574</v>
      </c>
      <c r="C1580" s="31" t="s">
        <v>1706</v>
      </c>
      <c r="D1580" s="34" t="str">
        <f t="array" ref="D1580">IFNA(_xlfn.XLOOKUP(C1580,Table_Tarikan_Warkah[Nomor Sertipikat],Table_Tarikan_Warkah[Nomor Tiket]),"")</f>
        <v>K/30/250225/2</v>
      </c>
      <c r="E1580" s="36" t="str">
        <f t="array" ref="E1580">IFNA(_xlfn.XLOOKUP(D1580,Table_Tarikan_Warkah[Nomor Tiket],Table_Tarikan_Warkah[Tanggal diserahkan kepada Validator]),"")</f>
        <v/>
      </c>
      <c r="F1580" s="36" t="str">
        <f t="array" ref="F1580">IFNA(_xlfn.XLOOKUP(D1580,Table_Tarikan_Warkah[Nomor Tiket],Table_Tarikan_Warkah[Nama Petugas Warkah]),"")</f>
        <v/>
      </c>
      <c r="G1580" s="39" t="str">
        <f t="array" ref="G1580">IFNA(_xlfn.XLOOKUP(D1580,Table_Tarikan_Warkah[Nomor Tiket],Table_Tarikan_Warkah[Jenis Permohonan]),"")</f>
        <v>BN Jual Beli</v>
      </c>
      <c r="H1580" s="41" t="s">
        <v>20</v>
      </c>
      <c r="I1580" s="49" t="s">
        <v>23</v>
      </c>
      <c r="J1580" s="36">
        <f t="shared" si="20"/>
        <v>45735.39455</v>
      </c>
      <c r="K1580" s="56" t="s">
        <v>197</v>
      </c>
      <c r="L1580" s="49" t="s">
        <v>23</v>
      </c>
      <c r="M1580" s="36">
        <f t="shared" si="26"/>
        <v>45736.59895</v>
      </c>
      <c r="N1580" s="30" t="str">
        <f t="shared" si="27"/>
        <v>Selesai</v>
      </c>
      <c r="O1580" s="45">
        <f t="shared" si="23"/>
        <v>45736.59895</v>
      </c>
      <c r="P1580" s="47" t="b">
        <v>1</v>
      </c>
      <c r="Q1580" s="36">
        <f t="shared" si="24"/>
        <v>45736.59952</v>
      </c>
      <c r="R1580" s="47" t="b">
        <v>0</v>
      </c>
      <c r="S1580" s="42" t="str">
        <f t="shared" si="28"/>
        <v/>
      </c>
      <c r="T1580" s="42"/>
    </row>
    <row r="1581" ht="22.5" customHeight="1">
      <c r="B1581" s="42">
        <f t="shared" si="7"/>
        <v>1575</v>
      </c>
      <c r="C1581" s="31" t="s">
        <v>1707</v>
      </c>
      <c r="D1581" s="34" t="str">
        <f t="array" ref="D1581">IFNA(_xlfn.XLOOKUP(C1581,Table_Tarikan_Warkah[Nomor Sertipikat],Table_Tarikan_Warkah[Nomor Tiket]),"")</f>
        <v>K/27/110325/1</v>
      </c>
      <c r="E1581" s="36">
        <f t="array" ref="E1581">IFNA(_xlfn.XLOOKUP(D1581,Table_Tarikan_Warkah[Nomor Tiket],Table_Tarikan_Warkah[Tanggal diserahkan kepada Validator]),"")</f>
        <v>45743.43549</v>
      </c>
      <c r="F1581" s="36" t="str">
        <f t="array" ref="F1581">IFNA(_xlfn.XLOOKUP(D1581,Table_Tarikan_Warkah[Nomor Tiket],Table_Tarikan_Warkah[Nama Petugas Warkah]),"")</f>
        <v/>
      </c>
      <c r="G1581" s="39" t="str">
        <f t="array" ref="G1581">IFNA(_xlfn.XLOOKUP(D1581,Table_Tarikan_Warkah[Nomor Tiket],Table_Tarikan_Warkah[Jenis Permohonan]),"")</f>
        <v>BN Jual Beli</v>
      </c>
      <c r="H1581" s="41" t="s">
        <v>20</v>
      </c>
      <c r="I1581" s="49" t="s">
        <v>23</v>
      </c>
      <c r="J1581" s="36">
        <f t="shared" si="20"/>
        <v>45735.39464</v>
      </c>
      <c r="K1581" s="58" t="s">
        <v>197</v>
      </c>
      <c r="L1581" s="49" t="s">
        <v>23</v>
      </c>
      <c r="M1581" s="36">
        <f t="shared" si="26"/>
        <v>45736.59895</v>
      </c>
      <c r="N1581" s="30" t="str">
        <f t="shared" si="27"/>
        <v>Selesai</v>
      </c>
      <c r="O1581" s="45">
        <f t="shared" si="23"/>
        <v>45736.59895</v>
      </c>
      <c r="P1581" s="47" t="b">
        <v>1</v>
      </c>
      <c r="Q1581" s="36">
        <f t="shared" si="24"/>
        <v>45736.59952</v>
      </c>
      <c r="R1581" s="47" t="b">
        <v>0</v>
      </c>
      <c r="S1581" s="42" t="str">
        <f t="shared" si="28"/>
        <v/>
      </c>
      <c r="T1581" s="42"/>
    </row>
    <row r="1582" ht="22.5" customHeight="1">
      <c r="B1582" s="42">
        <f t="shared" si="7"/>
        <v>1576</v>
      </c>
      <c r="C1582" s="31" t="s">
        <v>1708</v>
      </c>
      <c r="D1582" s="34" t="str">
        <f t="array" ref="D1582">IFNA(_xlfn.XLOOKUP(C1582,Table_Tarikan_Warkah[Nomor Sertipikat],Table_Tarikan_Warkah[Nomor Tiket]),"")</f>
        <v>K/39/110325/1</v>
      </c>
      <c r="E1582" s="36" t="str">
        <f t="array" ref="E1582">IFNA(_xlfn.XLOOKUP(D1582,Table_Tarikan_Warkah[Nomor Tiket],Table_Tarikan_Warkah[Tanggal diserahkan kepada Validator]),"")</f>
        <v/>
      </c>
      <c r="F1582" s="36" t="str">
        <f t="array" ref="F1582">IFNA(_xlfn.XLOOKUP(D1582,Table_Tarikan_Warkah[Nomor Tiket],Table_Tarikan_Warkah[Nama Petugas Warkah]),"")</f>
        <v/>
      </c>
      <c r="G1582" s="39" t="str">
        <f t="array" ref="G1582">IFNA(_xlfn.XLOOKUP(D1582,Table_Tarikan_Warkah[Nomor Tiket],Table_Tarikan_Warkah[Jenis Permohonan]),"")</f>
        <v>Roya</v>
      </c>
      <c r="H1582" s="41" t="s">
        <v>20</v>
      </c>
      <c r="I1582" s="49" t="s">
        <v>23</v>
      </c>
      <c r="J1582" s="36">
        <f t="shared" si="20"/>
        <v>45735.39488</v>
      </c>
      <c r="K1582" s="56" t="s">
        <v>197</v>
      </c>
      <c r="L1582" s="49" t="s">
        <v>23</v>
      </c>
      <c r="M1582" s="36">
        <f t="shared" si="26"/>
        <v>45736.59895</v>
      </c>
      <c r="N1582" s="30" t="str">
        <f t="shared" si="27"/>
        <v>Selesai</v>
      </c>
      <c r="O1582" s="45">
        <f t="shared" si="23"/>
        <v>45736.59895</v>
      </c>
      <c r="P1582" s="47" t="b">
        <v>1</v>
      </c>
      <c r="Q1582" s="36">
        <f t="shared" si="24"/>
        <v>45736.59952</v>
      </c>
      <c r="R1582" s="47" t="b">
        <v>0</v>
      </c>
      <c r="S1582" s="42" t="str">
        <f t="shared" si="28"/>
        <v/>
      </c>
      <c r="T1582" s="42"/>
    </row>
    <row r="1583" ht="22.5" customHeight="1">
      <c r="B1583" s="42">
        <f t="shared" si="7"/>
        <v>1577</v>
      </c>
      <c r="C1583" s="31" t="s">
        <v>1709</v>
      </c>
      <c r="D1583" s="34" t="str">
        <f t="array" ref="D1583">IFNA(_xlfn.XLOOKUP(C1583,Table_Tarikan_Warkah[Nomor Sertipikat],Table_Tarikan_Warkah[Nomor Tiket]),"")</f>
        <v>K/28/200225/1</v>
      </c>
      <c r="E1583" s="36">
        <f t="array" ref="E1583">IFNA(_xlfn.XLOOKUP(D1583,Table_Tarikan_Warkah[Nomor Tiket],Table_Tarikan_Warkah[Tanggal diserahkan kepada Validator]),"")</f>
        <v>45769.60071</v>
      </c>
      <c r="F1583" s="36" t="str">
        <f t="array" ref="F1583">IFNA(_xlfn.XLOOKUP(D1583,Table_Tarikan_Warkah[Nomor Tiket],Table_Tarikan_Warkah[Nama Petugas Warkah]),"")</f>
        <v/>
      </c>
      <c r="G1583" s="39" t="str">
        <f t="array" ref="G1583">IFNA(_xlfn.XLOOKUP(D1583,Table_Tarikan_Warkah[Nomor Tiket],Table_Tarikan_Warkah[Jenis Permohonan]),"")</f>
        <v>Roya</v>
      </c>
      <c r="H1583" s="41" t="s">
        <v>20</v>
      </c>
      <c r="I1583" s="49" t="s">
        <v>23</v>
      </c>
      <c r="J1583" s="36">
        <f t="shared" si="20"/>
        <v>45735.39499</v>
      </c>
      <c r="K1583" s="58" t="s">
        <v>197</v>
      </c>
      <c r="L1583" s="49" t="s">
        <v>23</v>
      </c>
      <c r="M1583" s="36">
        <f t="shared" si="26"/>
        <v>45736.59895</v>
      </c>
      <c r="N1583" s="30" t="str">
        <f t="shared" si="27"/>
        <v>Selesai</v>
      </c>
      <c r="O1583" s="45">
        <f t="shared" si="23"/>
        <v>45736.59895</v>
      </c>
      <c r="P1583" s="47" t="b">
        <v>1</v>
      </c>
      <c r="Q1583" s="36">
        <f t="shared" si="24"/>
        <v>45736.59955</v>
      </c>
      <c r="R1583" s="47" t="b">
        <v>0</v>
      </c>
      <c r="S1583" s="42" t="str">
        <f t="shared" si="28"/>
        <v/>
      </c>
      <c r="T1583" s="42"/>
    </row>
    <row r="1584" ht="22.5" customHeight="1">
      <c r="B1584" s="42">
        <f t="shared" si="7"/>
        <v>1578</v>
      </c>
      <c r="C1584" s="31" t="s">
        <v>1710</v>
      </c>
      <c r="D1584" s="34" t="str">
        <f t="array" ref="D1584">IFNA(_xlfn.XLOOKUP(C1584,Table_Tarikan_Warkah[Nomor Sertipikat],Table_Tarikan_Warkah[Nomor Tiket]),"")</f>
        <v>K/22/120325/1</v>
      </c>
      <c r="E1584" s="36" t="str">
        <f t="array" ref="E1584">IFNA(_xlfn.XLOOKUP(D1584,Table_Tarikan_Warkah[Nomor Tiket],Table_Tarikan_Warkah[Tanggal diserahkan kepada Validator]),"")</f>
        <v/>
      </c>
      <c r="F1584" s="36" t="str">
        <f t="array" ref="F1584">IFNA(_xlfn.XLOOKUP(D1584,Table_Tarikan_Warkah[Nomor Tiket],Table_Tarikan_Warkah[Nama Petugas Warkah]),"")</f>
        <v/>
      </c>
      <c r="G1584" s="39" t="str">
        <f t="array" ref="G1584">IFNA(_xlfn.XLOOKUP(D1584,Table_Tarikan_Warkah[Nomor Tiket],Table_Tarikan_Warkah[Jenis Permohonan]),"")</f>
        <v>BN Waris</v>
      </c>
      <c r="H1584" s="41" t="s">
        <v>20</v>
      </c>
      <c r="I1584" s="49" t="s">
        <v>23</v>
      </c>
      <c r="J1584" s="36">
        <f t="shared" si="20"/>
        <v>45735.39507</v>
      </c>
      <c r="K1584" s="56" t="s">
        <v>197</v>
      </c>
      <c r="L1584" s="49" t="s">
        <v>23</v>
      </c>
      <c r="M1584" s="36">
        <f t="shared" si="26"/>
        <v>45736.59895</v>
      </c>
      <c r="N1584" s="30" t="str">
        <f t="shared" si="27"/>
        <v>Selesai</v>
      </c>
      <c r="O1584" s="45">
        <f t="shared" si="23"/>
        <v>45736.59895</v>
      </c>
      <c r="P1584" s="47" t="b">
        <v>1</v>
      </c>
      <c r="Q1584" s="36">
        <f t="shared" si="24"/>
        <v>45736.59958</v>
      </c>
      <c r="R1584" s="47" t="b">
        <v>0</v>
      </c>
      <c r="S1584" s="42" t="str">
        <f t="shared" si="28"/>
        <v/>
      </c>
      <c r="T1584" s="42"/>
    </row>
    <row r="1585" ht="22.5" customHeight="1">
      <c r="B1585" s="42">
        <f t="shared" si="7"/>
        <v>1579</v>
      </c>
      <c r="C1585" s="31" t="s">
        <v>1711</v>
      </c>
      <c r="D1585" s="34" t="str">
        <f t="array" ref="D1585">IFNA(_xlfn.XLOOKUP(C1585,Table_Tarikan_Warkah[Nomor Sertipikat],Table_Tarikan_Warkah[Nomor Tiket]),"")</f>
        <v>L/1/100325/1</v>
      </c>
      <c r="E1585" s="36">
        <f t="array" ref="E1585">IFNA(_xlfn.XLOOKUP(D1585,Table_Tarikan_Warkah[Nomor Tiket],Table_Tarikan_Warkah[Tanggal diserahkan kepada Validator]),"")</f>
        <v>45736.6074</v>
      </c>
      <c r="F1585" s="36" t="str">
        <f t="array" ref="F1585">IFNA(_xlfn.XLOOKUP(D1585,Table_Tarikan_Warkah[Nomor Tiket],Table_Tarikan_Warkah[Nama Petugas Warkah]),"")</f>
        <v/>
      </c>
      <c r="G1585" s="39" t="str">
        <f t="array" ref="G1585">IFNA(_xlfn.XLOOKUP(D1585,Table_Tarikan_Warkah[Nomor Tiket],Table_Tarikan_Warkah[Jenis Permohonan]),"")</f>
        <v>BN WARIS</v>
      </c>
      <c r="H1585" s="41" t="s">
        <v>920</v>
      </c>
      <c r="I1585" s="49" t="s">
        <v>23</v>
      </c>
      <c r="J1585" s="36">
        <f t="shared" si="20"/>
        <v>45735.40429</v>
      </c>
      <c r="K1585" s="49" t="s">
        <v>920</v>
      </c>
      <c r="L1585" s="49" t="s">
        <v>23</v>
      </c>
      <c r="M1585" s="36">
        <f t="shared" si="26"/>
        <v>45735.40434</v>
      </c>
      <c r="N1585" s="30" t="str">
        <f t="shared" si="27"/>
        <v>Selesai</v>
      </c>
      <c r="O1585" s="45">
        <f t="shared" si="23"/>
        <v>45735.40434</v>
      </c>
      <c r="P1585" s="47" t="b">
        <v>1</v>
      </c>
      <c r="Q1585" s="36">
        <f t="shared" si="24"/>
        <v>45735.40435</v>
      </c>
      <c r="R1585" s="47" t="b">
        <v>0</v>
      </c>
      <c r="S1585" s="42" t="str">
        <f t="shared" si="28"/>
        <v/>
      </c>
      <c r="T1585" s="42"/>
    </row>
    <row r="1586" ht="22.5" customHeight="1">
      <c r="B1586" s="42">
        <f t="shared" si="7"/>
        <v>1580</v>
      </c>
      <c r="C1586" s="31" t="s">
        <v>1712</v>
      </c>
      <c r="D1586" s="34" t="str">
        <f t="array" ref="D1586">IFNA(_xlfn.XLOOKUP(C1586,Table_Tarikan_Warkah[Nomor Sertipikat],Table_Tarikan_Warkah[Nomor Tiket]),"")</f>
        <v>K/42/110325/2</v>
      </c>
      <c r="E1586" s="36">
        <f t="array" ref="E1586">IFNA(_xlfn.XLOOKUP(D1586,Table_Tarikan_Warkah[Nomor Tiket],Table_Tarikan_Warkah[Tanggal diserahkan kepada Validator]),"")</f>
        <v>45743.43506</v>
      </c>
      <c r="F1586" s="36" t="str">
        <f t="array" ref="F1586">IFNA(_xlfn.XLOOKUP(D1586,Table_Tarikan_Warkah[Nomor Tiket],Table_Tarikan_Warkah[Nama Petugas Warkah]),"")</f>
        <v/>
      </c>
      <c r="G1586" s="39" t="str">
        <f t="array" ref="G1586">IFNA(_xlfn.XLOOKUP(D1586,Table_Tarikan_Warkah[Nomor Tiket],Table_Tarikan_Warkah[Jenis Permohonan]),"")</f>
        <v>BN JUAL BELI</v>
      </c>
      <c r="H1586" s="41" t="s">
        <v>11</v>
      </c>
      <c r="I1586" s="49" t="s">
        <v>23</v>
      </c>
      <c r="J1586" s="36">
        <f t="shared" si="20"/>
        <v>45736.53638</v>
      </c>
      <c r="K1586" s="58" t="s">
        <v>197</v>
      </c>
      <c r="L1586" s="49" t="s">
        <v>23</v>
      </c>
      <c r="M1586" s="36">
        <f t="shared" si="26"/>
        <v>45736.5991</v>
      </c>
      <c r="N1586" s="30" t="str">
        <f t="shared" si="27"/>
        <v>Selesai</v>
      </c>
      <c r="O1586" s="45">
        <f t="shared" si="23"/>
        <v>45736.5991</v>
      </c>
      <c r="P1586" s="47" t="b">
        <v>1</v>
      </c>
      <c r="Q1586" s="36">
        <f t="shared" si="24"/>
        <v>45736.5996</v>
      </c>
      <c r="R1586" s="47" t="b">
        <v>0</v>
      </c>
      <c r="S1586" s="42" t="str">
        <f t="shared" si="28"/>
        <v/>
      </c>
      <c r="T1586" s="42"/>
    </row>
    <row r="1587" ht="22.5" customHeight="1">
      <c r="B1587" s="42">
        <f t="shared" si="7"/>
        <v>1581</v>
      </c>
      <c r="C1587" s="31" t="s">
        <v>1713</v>
      </c>
      <c r="D1587" s="34" t="str">
        <f t="array" ref="D1587">IFNA(_xlfn.XLOOKUP(C1587,Table_Tarikan_Warkah[Nomor Sertipikat],Table_Tarikan_Warkah[Nomor Tiket]),"")</f>
        <v>K/36/120325/1</v>
      </c>
      <c r="E1587" s="36">
        <f t="array" ref="E1587">IFNA(_xlfn.XLOOKUP(D1587,Table_Tarikan_Warkah[Nomor Tiket],Table_Tarikan_Warkah[Tanggal diserahkan kepada Validator]),"")</f>
        <v>45769.60071</v>
      </c>
      <c r="F1587" s="36" t="str">
        <f t="array" ref="F1587">IFNA(_xlfn.XLOOKUP(D1587,Table_Tarikan_Warkah[Nomor Tiket],Table_Tarikan_Warkah[Nama Petugas Warkah]),"")</f>
        <v/>
      </c>
      <c r="G1587" s="39" t="str">
        <f t="array" ref="G1587">IFNA(_xlfn.XLOOKUP(D1587,Table_Tarikan_Warkah[Nomor Tiket],Table_Tarikan_Warkah[Jenis Permohonan]),"")</f>
        <v>ROYA</v>
      </c>
      <c r="H1587" s="41" t="s">
        <v>11</v>
      </c>
      <c r="I1587" s="49" t="s">
        <v>23</v>
      </c>
      <c r="J1587" s="36">
        <f t="shared" si="20"/>
        <v>45736.5364</v>
      </c>
      <c r="K1587" s="56" t="s">
        <v>197</v>
      </c>
      <c r="L1587" s="49" t="s">
        <v>23</v>
      </c>
      <c r="M1587" s="36">
        <f t="shared" si="26"/>
        <v>45736.5991</v>
      </c>
      <c r="N1587" s="30" t="str">
        <f t="shared" si="27"/>
        <v>Selesai</v>
      </c>
      <c r="O1587" s="45">
        <f t="shared" si="23"/>
        <v>45736.5991</v>
      </c>
      <c r="P1587" s="47" t="b">
        <v>1</v>
      </c>
      <c r="Q1587" s="36">
        <f t="shared" si="24"/>
        <v>45736.5996</v>
      </c>
      <c r="R1587" s="47" t="b">
        <v>0</v>
      </c>
      <c r="S1587" s="42" t="str">
        <f t="shared" si="28"/>
        <v/>
      </c>
      <c r="T1587" s="42"/>
    </row>
    <row r="1588" ht="22.5" customHeight="1">
      <c r="B1588" s="42">
        <f t="shared" si="7"/>
        <v>1582</v>
      </c>
      <c r="C1588" s="31" t="s">
        <v>1714</v>
      </c>
      <c r="D1588" s="34" t="str">
        <f t="array" ref="D1588">IFNA(_xlfn.XLOOKUP(C1588,Table_Tarikan_Warkah[Nomor Sertipikat],Table_Tarikan_Warkah[Nomor Tiket]),"")</f>
        <v>L/20/120325/1</v>
      </c>
      <c r="E1588" s="36" t="str">
        <f t="array" ref="E1588">IFNA(_xlfn.XLOOKUP(D1588,Table_Tarikan_Warkah[Nomor Tiket],Table_Tarikan_Warkah[Tanggal diserahkan kepada Validator]),"")</f>
        <v/>
      </c>
      <c r="F1588" s="36" t="str">
        <f t="array" ref="F1588">IFNA(_xlfn.XLOOKUP(D1588,Table_Tarikan_Warkah[Nomor Tiket],Table_Tarikan_Warkah[Nama Petugas Warkah]),"")</f>
        <v/>
      </c>
      <c r="G1588" s="39" t="str">
        <f t="array" ref="G1588">IFNA(_xlfn.XLOOKUP(D1588,Table_Tarikan_Warkah[Nomor Tiket],Table_Tarikan_Warkah[Jenis Permohonan]),"")</f>
        <v>GANTI BLANGKO</v>
      </c>
      <c r="H1588" s="41" t="s">
        <v>11</v>
      </c>
      <c r="I1588" s="49" t="s">
        <v>23</v>
      </c>
      <c r="J1588" s="36">
        <f t="shared" si="20"/>
        <v>45736.5364</v>
      </c>
      <c r="K1588" s="58" t="s">
        <v>197</v>
      </c>
      <c r="L1588" s="49" t="s">
        <v>23</v>
      </c>
      <c r="M1588" s="36">
        <f t="shared" si="26"/>
        <v>45736.5991</v>
      </c>
      <c r="N1588" s="30" t="str">
        <f t="shared" si="27"/>
        <v>Selesai</v>
      </c>
      <c r="O1588" s="45">
        <f t="shared" si="23"/>
        <v>45736.5991</v>
      </c>
      <c r="P1588" s="47" t="b">
        <v>1</v>
      </c>
      <c r="Q1588" s="36">
        <f t="shared" si="24"/>
        <v>45736.59961</v>
      </c>
      <c r="R1588" s="47" t="b">
        <v>0</v>
      </c>
      <c r="S1588" s="42" t="str">
        <f t="shared" si="28"/>
        <v/>
      </c>
      <c r="T1588" s="42"/>
    </row>
    <row r="1589" ht="22.5" customHeight="1">
      <c r="B1589" s="42">
        <f t="shared" si="7"/>
        <v>1583</v>
      </c>
      <c r="C1589" s="31" t="s">
        <v>1715</v>
      </c>
      <c r="D1589" s="34" t="str">
        <f t="array" ref="D1589">IFNA(_xlfn.XLOOKUP(C1589,Table_Tarikan_Warkah[Nomor Sertipikat],Table_Tarikan_Warkah[Nomor Tiket]),"")</f>
        <v>K/13/130325/2</v>
      </c>
      <c r="E1589" s="36">
        <f t="array" ref="E1589">IFNA(_xlfn.XLOOKUP(D1589,Table_Tarikan_Warkah[Nomor Tiket],Table_Tarikan_Warkah[Tanggal diserahkan kepada Validator]),"")</f>
        <v>45743.43484</v>
      </c>
      <c r="F1589" s="36" t="str">
        <f t="array" ref="F1589">IFNA(_xlfn.XLOOKUP(D1589,Table_Tarikan_Warkah[Nomor Tiket],Table_Tarikan_Warkah[Nama Petugas Warkah]),"")</f>
        <v/>
      </c>
      <c r="G1589" s="39" t="str">
        <f t="array" ref="G1589">IFNA(_xlfn.XLOOKUP(D1589,Table_Tarikan_Warkah[Nomor Tiket],Table_Tarikan_Warkah[Jenis Permohonan]),"")</f>
        <v>BN JUAL BELI</v>
      </c>
      <c r="H1589" s="41" t="s">
        <v>11</v>
      </c>
      <c r="I1589" s="49" t="s">
        <v>23</v>
      </c>
      <c r="J1589" s="36">
        <f t="shared" si="20"/>
        <v>45736.5364</v>
      </c>
      <c r="K1589" s="56" t="s">
        <v>197</v>
      </c>
      <c r="L1589" s="49" t="s">
        <v>23</v>
      </c>
      <c r="M1589" s="36">
        <f t="shared" si="26"/>
        <v>45736.5991</v>
      </c>
      <c r="N1589" s="30" t="str">
        <f t="shared" si="27"/>
        <v>Selesai</v>
      </c>
      <c r="O1589" s="45">
        <f t="shared" si="23"/>
        <v>45736.5991</v>
      </c>
      <c r="P1589" s="47" t="b">
        <v>1</v>
      </c>
      <c r="Q1589" s="36">
        <f t="shared" si="24"/>
        <v>45736.59962</v>
      </c>
      <c r="R1589" s="47" t="b">
        <v>0</v>
      </c>
      <c r="S1589" s="42" t="str">
        <f t="shared" si="28"/>
        <v/>
      </c>
      <c r="T1589" s="42"/>
    </row>
    <row r="1590" ht="22.5" customHeight="1">
      <c r="B1590" s="42">
        <f t="shared" si="7"/>
        <v>1584</v>
      </c>
      <c r="C1590" s="31" t="s">
        <v>1716</v>
      </c>
      <c r="D1590" s="34" t="str">
        <f t="array" ref="D1590">IFNA(_xlfn.XLOOKUP(C1590,Table_Tarikan_Warkah[Nomor Sertipikat],Table_Tarikan_Warkah[Nomor Tiket]),"")</f>
        <v>L/2/140325/1</v>
      </c>
      <c r="E1590" s="36">
        <f t="array" ref="E1590">IFNA(_xlfn.XLOOKUP(D1590,Table_Tarikan_Warkah[Nomor Tiket],Table_Tarikan_Warkah[Tanggal diserahkan kepada Validator]),"")</f>
        <v>45769.60071</v>
      </c>
      <c r="F1590" s="36" t="str">
        <f t="array" ref="F1590">IFNA(_xlfn.XLOOKUP(D1590,Table_Tarikan_Warkah[Nomor Tiket],Table_Tarikan_Warkah[Nama Petugas Warkah]),"")</f>
        <v/>
      </c>
      <c r="G1590" s="39" t="str">
        <f t="array" ref="G1590">IFNA(_xlfn.XLOOKUP(D1590,Table_Tarikan_Warkah[Nomor Tiket],Table_Tarikan_Warkah[Jenis Permohonan]),"")</f>
        <v>ROYA</v>
      </c>
      <c r="H1590" s="41" t="s">
        <v>11</v>
      </c>
      <c r="I1590" s="49" t="s">
        <v>23</v>
      </c>
      <c r="J1590" s="36">
        <f t="shared" si="20"/>
        <v>45736.63172</v>
      </c>
      <c r="K1590" s="58" t="s">
        <v>197</v>
      </c>
      <c r="L1590" s="49" t="s">
        <v>23</v>
      </c>
      <c r="M1590" s="36">
        <f t="shared" si="26"/>
        <v>45740.61049</v>
      </c>
      <c r="N1590" s="30" t="str">
        <f t="shared" si="27"/>
        <v>Selesai</v>
      </c>
      <c r="O1590" s="45">
        <f t="shared" si="23"/>
        <v>45740.61049</v>
      </c>
      <c r="P1590" s="47" t="b">
        <v>1</v>
      </c>
      <c r="Q1590" s="36">
        <f t="shared" si="24"/>
        <v>45740.6106</v>
      </c>
      <c r="R1590" s="47" t="b">
        <v>0</v>
      </c>
      <c r="S1590" s="42" t="str">
        <f t="shared" si="28"/>
        <v/>
      </c>
      <c r="T1590" s="42"/>
    </row>
    <row r="1591" ht="22.5" customHeight="1">
      <c r="B1591" s="42">
        <f t="shared" si="7"/>
        <v>1585</v>
      </c>
      <c r="C1591" s="31" t="s">
        <v>1717</v>
      </c>
      <c r="D1591" s="34" t="str">
        <f t="array" ref="D1591">IFNA(_xlfn.XLOOKUP(C1591,Table_Tarikan_Warkah[Nomor Sertipikat],Table_Tarikan_Warkah[Nomor Tiket]),"")</f>
        <v>K/19/130325/1</v>
      </c>
      <c r="E1591" s="36">
        <f t="array" ref="E1591">IFNA(_xlfn.XLOOKUP(D1591,Table_Tarikan_Warkah[Nomor Tiket],Table_Tarikan_Warkah[Tanggal diserahkan kepada Validator]),"")</f>
        <v>45743.43635</v>
      </c>
      <c r="F1591" s="36" t="str">
        <f t="array" ref="F1591">IFNA(_xlfn.XLOOKUP(D1591,Table_Tarikan_Warkah[Nomor Tiket],Table_Tarikan_Warkah[Nama Petugas Warkah]),"")</f>
        <v/>
      </c>
      <c r="G1591" s="39" t="str">
        <f t="array" ref="G1591">IFNA(_xlfn.XLOOKUP(D1591,Table_Tarikan_Warkah[Nomor Tiket],Table_Tarikan_Warkah[Jenis Permohonan]),"")</f>
        <v>BN WARIS</v>
      </c>
      <c r="H1591" s="41" t="s">
        <v>20</v>
      </c>
      <c r="I1591" s="49" t="s">
        <v>23</v>
      </c>
      <c r="J1591" s="36">
        <f t="shared" si="20"/>
        <v>45740.41777</v>
      </c>
      <c r="K1591" s="56" t="s">
        <v>197</v>
      </c>
      <c r="L1591" s="49" t="s">
        <v>23</v>
      </c>
      <c r="M1591" s="36">
        <f t="shared" si="26"/>
        <v>45740.61049</v>
      </c>
      <c r="N1591" s="30" t="str">
        <f t="shared" si="27"/>
        <v>Selesai</v>
      </c>
      <c r="O1591" s="45">
        <f t="shared" si="23"/>
        <v>45740.61049</v>
      </c>
      <c r="P1591" s="47" t="b">
        <v>1</v>
      </c>
      <c r="Q1591" s="36">
        <f t="shared" si="24"/>
        <v>45740.6106</v>
      </c>
      <c r="R1591" s="47" t="b">
        <v>0</v>
      </c>
      <c r="S1591" s="42" t="str">
        <f t="shared" si="28"/>
        <v/>
      </c>
      <c r="T1591" s="42"/>
    </row>
    <row r="1592" ht="22.5" customHeight="1">
      <c r="B1592" s="42">
        <f t="shared" si="7"/>
        <v>1586</v>
      </c>
      <c r="C1592" s="31" t="s">
        <v>1718</v>
      </c>
      <c r="D1592" s="34" t="str">
        <f t="array" ref="D1592">IFNA(_xlfn.XLOOKUP(C1592,Table_Tarikan_Warkah[Nomor Sertipikat],Table_Tarikan_Warkah[Nomor Tiket]),"")</f>
        <v>K/53/130325/1</v>
      </c>
      <c r="E1592" s="36">
        <f t="array" ref="E1592">IFNA(_xlfn.XLOOKUP(D1592,Table_Tarikan_Warkah[Nomor Tiket],Table_Tarikan_Warkah[Tanggal diserahkan kepada Validator]),"")</f>
        <v>45743.42893</v>
      </c>
      <c r="F1592" s="36" t="str">
        <f t="array" ref="F1592">IFNA(_xlfn.XLOOKUP(D1592,Table_Tarikan_Warkah[Nomor Tiket],Table_Tarikan_Warkah[Nama Petugas Warkah]),"")</f>
        <v/>
      </c>
      <c r="G1592" s="39" t="str">
        <f t="array" ref="G1592">IFNA(_xlfn.XLOOKUP(D1592,Table_Tarikan_Warkah[Nomor Tiket],Table_Tarikan_Warkah[Jenis Permohonan]),"")</f>
        <v>BN JUAL BELI</v>
      </c>
      <c r="H1592" s="41" t="s">
        <v>20</v>
      </c>
      <c r="I1592" s="49" t="s">
        <v>23</v>
      </c>
      <c r="J1592" s="36">
        <f t="shared" si="20"/>
        <v>45740.41777</v>
      </c>
      <c r="K1592" s="58" t="s">
        <v>197</v>
      </c>
      <c r="L1592" s="49" t="s">
        <v>23</v>
      </c>
      <c r="M1592" s="36">
        <f t="shared" si="26"/>
        <v>45740.61049</v>
      </c>
      <c r="N1592" s="30" t="str">
        <f t="shared" si="27"/>
        <v>Selesai</v>
      </c>
      <c r="O1592" s="45">
        <f t="shared" si="23"/>
        <v>45740.61049</v>
      </c>
      <c r="P1592" s="47" t="b">
        <v>1</v>
      </c>
      <c r="Q1592" s="36">
        <f t="shared" si="24"/>
        <v>45740.61062</v>
      </c>
      <c r="R1592" s="47" t="b">
        <v>0</v>
      </c>
      <c r="S1592" s="42" t="str">
        <f t="shared" si="28"/>
        <v/>
      </c>
      <c r="T1592" s="42"/>
    </row>
    <row r="1593" ht="22.5" customHeight="1">
      <c r="B1593" s="42">
        <f t="shared" si="7"/>
        <v>1587</v>
      </c>
      <c r="C1593" s="31" t="s">
        <v>1719</v>
      </c>
      <c r="D1593" s="34" t="str">
        <f t="array" ref="D1593">IFNA(_xlfn.XLOOKUP(C1593,Table_Tarikan_Warkah[Nomor Sertipikat],Table_Tarikan_Warkah[Nomor Tiket]),"")</f>
        <v>K/12/120325/2</v>
      </c>
      <c r="E1593" s="36">
        <f t="array" ref="E1593">IFNA(_xlfn.XLOOKUP(D1593,Table_Tarikan_Warkah[Nomor Tiket],Table_Tarikan_Warkah[Tanggal diserahkan kepada Validator]),"")</f>
        <v>45743.44362</v>
      </c>
      <c r="F1593" s="36" t="str">
        <f t="array" ref="F1593">IFNA(_xlfn.XLOOKUP(D1593,Table_Tarikan_Warkah[Nomor Tiket],Table_Tarikan_Warkah[Nama Petugas Warkah]),"")</f>
        <v/>
      </c>
      <c r="G1593" s="39" t="str">
        <f t="array" ref="G1593">IFNA(_xlfn.XLOOKUP(D1593,Table_Tarikan_Warkah[Nomor Tiket],Table_Tarikan_Warkah[Jenis Permohonan]),"")</f>
        <v>BN HIBAH</v>
      </c>
      <c r="H1593" s="41" t="s">
        <v>20</v>
      </c>
      <c r="I1593" s="49" t="s">
        <v>23</v>
      </c>
      <c r="J1593" s="36">
        <f t="shared" si="20"/>
        <v>45740.41777</v>
      </c>
      <c r="K1593" s="56" t="s">
        <v>197</v>
      </c>
      <c r="L1593" s="49" t="s">
        <v>23</v>
      </c>
      <c r="M1593" s="36">
        <f t="shared" si="26"/>
        <v>45740.61049</v>
      </c>
      <c r="N1593" s="30" t="str">
        <f t="shared" si="27"/>
        <v>Selesai</v>
      </c>
      <c r="O1593" s="45">
        <f t="shared" si="23"/>
        <v>45740.61049</v>
      </c>
      <c r="P1593" s="47" t="b">
        <v>1</v>
      </c>
      <c r="Q1593" s="36">
        <f t="shared" si="24"/>
        <v>45740.61063</v>
      </c>
      <c r="R1593" s="47" t="b">
        <v>0</v>
      </c>
      <c r="S1593" s="42" t="str">
        <f t="shared" si="28"/>
        <v/>
      </c>
      <c r="T1593" s="42"/>
    </row>
    <row r="1594" ht="22.5" customHeight="1">
      <c r="B1594" s="42">
        <f t="shared" si="7"/>
        <v>1588</v>
      </c>
      <c r="C1594" s="31" t="s">
        <v>1720</v>
      </c>
      <c r="D1594" s="34" t="str">
        <f t="array" ref="D1594">IFNA(_xlfn.XLOOKUP(C1594,Table_Tarikan_Warkah[Nomor Sertipikat],Table_Tarikan_Warkah[Nomor Tiket]),"")</f>
        <v>K/28/140325/2</v>
      </c>
      <c r="E1594" s="36">
        <f t="array" ref="E1594">IFNA(_xlfn.XLOOKUP(D1594,Table_Tarikan_Warkah[Nomor Tiket],Table_Tarikan_Warkah[Tanggal diserahkan kepada Validator]),"")</f>
        <v>45743.43427</v>
      </c>
      <c r="F1594" s="36" t="str">
        <f t="array" ref="F1594">IFNA(_xlfn.XLOOKUP(D1594,Table_Tarikan_Warkah[Nomor Tiket],Table_Tarikan_Warkah[Nama Petugas Warkah]),"")</f>
        <v/>
      </c>
      <c r="G1594" s="39" t="str">
        <f t="array" ref="G1594">IFNA(_xlfn.XLOOKUP(D1594,Table_Tarikan_Warkah[Nomor Tiket],Table_Tarikan_Warkah[Jenis Permohonan]),"")</f>
        <v>BN WARIS</v>
      </c>
      <c r="H1594" s="41" t="s">
        <v>20</v>
      </c>
      <c r="I1594" s="49" t="s">
        <v>23</v>
      </c>
      <c r="J1594" s="36">
        <f t="shared" si="20"/>
        <v>45740.41777</v>
      </c>
      <c r="K1594" s="58" t="s">
        <v>197</v>
      </c>
      <c r="L1594" s="49" t="s">
        <v>23</v>
      </c>
      <c r="M1594" s="36">
        <f t="shared" si="26"/>
        <v>45740.61051</v>
      </c>
      <c r="N1594" s="30" t="str">
        <f t="shared" si="27"/>
        <v>Selesai</v>
      </c>
      <c r="O1594" s="45">
        <f t="shared" si="23"/>
        <v>45740.61051</v>
      </c>
      <c r="P1594" s="47" t="b">
        <v>1</v>
      </c>
      <c r="Q1594" s="36">
        <f t="shared" si="24"/>
        <v>45740.61063</v>
      </c>
      <c r="R1594" s="47" t="b">
        <v>0</v>
      </c>
      <c r="S1594" s="42" t="str">
        <f t="shared" si="28"/>
        <v/>
      </c>
      <c r="T1594" s="42"/>
    </row>
    <row r="1595" ht="22.5" customHeight="1">
      <c r="B1595" s="42">
        <f t="shared" si="7"/>
        <v>1589</v>
      </c>
      <c r="C1595" s="31" t="s">
        <v>1721</v>
      </c>
      <c r="D1595" s="34" t="str">
        <f t="array" ref="D1595">IFNA(_xlfn.XLOOKUP(C1595,Table_Tarikan_Warkah[Nomor Sertipikat],Table_Tarikan_Warkah[Nomor Tiket]),"")</f>
        <v>K/52/130325/2</v>
      </c>
      <c r="E1595" s="36">
        <f t="array" ref="E1595">IFNA(_xlfn.XLOOKUP(D1595,Table_Tarikan_Warkah[Nomor Tiket],Table_Tarikan_Warkah[Tanggal diserahkan kepada Validator]),"")</f>
        <v>45743.42932</v>
      </c>
      <c r="F1595" s="36" t="str">
        <f t="array" ref="F1595">IFNA(_xlfn.XLOOKUP(D1595,Table_Tarikan_Warkah[Nomor Tiket],Table_Tarikan_Warkah[Nama Petugas Warkah]),"")</f>
        <v/>
      </c>
      <c r="G1595" s="39" t="str">
        <f t="array" ref="G1595">IFNA(_xlfn.XLOOKUP(D1595,Table_Tarikan_Warkah[Nomor Tiket],Table_Tarikan_Warkah[Jenis Permohonan]),"")</f>
        <v>Ganti Nama</v>
      </c>
      <c r="H1595" s="41" t="s">
        <v>20</v>
      </c>
      <c r="I1595" s="49" t="s">
        <v>23</v>
      </c>
      <c r="J1595" s="36">
        <f t="shared" si="20"/>
        <v>45740.41777</v>
      </c>
      <c r="K1595" s="56" t="s">
        <v>197</v>
      </c>
      <c r="L1595" s="49" t="s">
        <v>23</v>
      </c>
      <c r="M1595" s="36">
        <f t="shared" si="26"/>
        <v>45740.61051</v>
      </c>
      <c r="N1595" s="30" t="str">
        <f t="shared" si="27"/>
        <v>Selesai</v>
      </c>
      <c r="O1595" s="45">
        <f t="shared" si="23"/>
        <v>45740.61051</v>
      </c>
      <c r="P1595" s="47" t="b">
        <v>1</v>
      </c>
      <c r="Q1595" s="36">
        <f t="shared" si="24"/>
        <v>45740.61063</v>
      </c>
      <c r="R1595" s="47" t="b">
        <v>0</v>
      </c>
      <c r="S1595" s="42" t="str">
        <f t="shared" si="28"/>
        <v/>
      </c>
      <c r="T1595" s="42"/>
    </row>
    <row r="1596" ht="22.5" customHeight="1">
      <c r="B1596" s="42">
        <f t="shared" si="7"/>
        <v>1590</v>
      </c>
      <c r="C1596" s="31" t="s">
        <v>1722</v>
      </c>
      <c r="D1596" s="34" t="str">
        <f t="array" ref="D1596">IFNA(_xlfn.XLOOKUP(C1596,Table_Tarikan_Warkah[Nomor Sertipikat],Table_Tarikan_Warkah[Nomor Tiket]),"")</f>
        <v>K/10/280225/1</v>
      </c>
      <c r="E1596" s="36">
        <f t="array" ref="E1596">IFNA(_xlfn.XLOOKUP(D1596,Table_Tarikan_Warkah[Nomor Tiket],Table_Tarikan_Warkah[Tanggal diserahkan kepada Validator]),"")</f>
        <v>45743.43709</v>
      </c>
      <c r="F1596" s="36" t="str">
        <f t="array" ref="F1596">IFNA(_xlfn.XLOOKUP(D1596,Table_Tarikan_Warkah[Nomor Tiket],Table_Tarikan_Warkah[Nama Petugas Warkah]),"")</f>
        <v/>
      </c>
      <c r="G1596" s="39" t="str">
        <f t="array" ref="G1596">IFNA(_xlfn.XLOOKUP(D1596,Table_Tarikan_Warkah[Nomor Tiket],Table_Tarikan_Warkah[Jenis Permohonan]),"")</f>
        <v>BN Jual Beli</v>
      </c>
      <c r="H1596" s="41" t="s">
        <v>20</v>
      </c>
      <c r="I1596" s="49" t="s">
        <v>23</v>
      </c>
      <c r="J1596" s="36">
        <f t="shared" si="20"/>
        <v>45740.41777</v>
      </c>
      <c r="K1596" s="58" t="s">
        <v>197</v>
      </c>
      <c r="L1596" s="49" t="s">
        <v>23</v>
      </c>
      <c r="M1596" s="36">
        <f t="shared" si="26"/>
        <v>45740.61051</v>
      </c>
      <c r="N1596" s="30" t="str">
        <f t="shared" si="27"/>
        <v>Selesai</v>
      </c>
      <c r="O1596" s="45">
        <f t="shared" si="23"/>
        <v>45740.61051</v>
      </c>
      <c r="P1596" s="47" t="b">
        <v>1</v>
      </c>
      <c r="Q1596" s="36">
        <f t="shared" si="24"/>
        <v>45740.61064</v>
      </c>
      <c r="R1596" s="47" t="b">
        <v>0</v>
      </c>
      <c r="S1596" s="42" t="str">
        <f t="shared" si="28"/>
        <v/>
      </c>
      <c r="T1596" s="42"/>
    </row>
    <row r="1597" ht="22.5" customHeight="1">
      <c r="B1597" s="42">
        <f t="shared" si="7"/>
        <v>1591</v>
      </c>
      <c r="C1597" s="31" t="s">
        <v>1723</v>
      </c>
      <c r="D1597" s="34" t="str">
        <f t="array" ref="D1597">IFNA(_xlfn.XLOOKUP(C1597,Table_Tarikan_Warkah[Nomor Sertipikat],Table_Tarikan_Warkah[Nomor Tiket]),"")</f>
        <v>K/10/130325/3</v>
      </c>
      <c r="E1597" s="36">
        <f t="array" ref="E1597">IFNA(_xlfn.XLOOKUP(D1597,Table_Tarikan_Warkah[Nomor Tiket],Table_Tarikan_Warkah[Tanggal diserahkan kepada Validator]),"")</f>
        <v>45743.43873</v>
      </c>
      <c r="F1597" s="36" t="str">
        <f t="array" ref="F1597">IFNA(_xlfn.XLOOKUP(D1597,Table_Tarikan_Warkah[Nomor Tiket],Table_Tarikan_Warkah[Nama Petugas Warkah]),"")</f>
        <v/>
      </c>
      <c r="G1597" s="39" t="str">
        <f t="array" ref="G1597">IFNA(_xlfn.XLOOKUP(D1597,Table_Tarikan_Warkah[Nomor Tiket],Table_Tarikan_Warkah[Jenis Permohonan]),"")</f>
        <v>BN JUAL BELI</v>
      </c>
      <c r="H1597" s="41" t="s">
        <v>20</v>
      </c>
      <c r="I1597" s="49" t="s">
        <v>23</v>
      </c>
      <c r="J1597" s="36">
        <f t="shared" si="20"/>
        <v>45740.41777</v>
      </c>
      <c r="K1597" s="56" t="s">
        <v>197</v>
      </c>
      <c r="L1597" s="49" t="s">
        <v>23</v>
      </c>
      <c r="M1597" s="36">
        <f t="shared" si="26"/>
        <v>45740.61051</v>
      </c>
      <c r="N1597" s="30" t="str">
        <f t="shared" si="27"/>
        <v>Selesai</v>
      </c>
      <c r="O1597" s="45">
        <f t="shared" si="23"/>
        <v>45740.61051</v>
      </c>
      <c r="P1597" s="47" t="b">
        <v>1</v>
      </c>
      <c r="Q1597" s="36">
        <f t="shared" si="24"/>
        <v>45740.61065</v>
      </c>
      <c r="R1597" s="47" t="b">
        <v>0</v>
      </c>
      <c r="S1597" s="42" t="str">
        <f t="shared" si="28"/>
        <v/>
      </c>
      <c r="T1597" s="42"/>
    </row>
    <row r="1598" ht="22.5" customHeight="1">
      <c r="B1598" s="42">
        <f t="shared" si="7"/>
        <v>1592</v>
      </c>
      <c r="C1598" s="31" t="s">
        <v>1724</v>
      </c>
      <c r="D1598" s="34" t="str">
        <f t="array" ref="D1598">IFNA(_xlfn.XLOOKUP(C1598,Table_Tarikan_Warkah[Nomor Sertipikat],Table_Tarikan_Warkah[Nomor Tiket]),"")</f>
        <v>K/41/130325/1</v>
      </c>
      <c r="E1598" s="36">
        <f t="array" ref="E1598">IFNA(_xlfn.XLOOKUP(D1598,Table_Tarikan_Warkah[Nomor Tiket],Table_Tarikan_Warkah[Tanggal diserahkan kepada Validator]),"")</f>
        <v>45792.48506</v>
      </c>
      <c r="F1598" s="36" t="str">
        <f t="array" ref="F1598">IFNA(_xlfn.XLOOKUP(D1598,Table_Tarikan_Warkah[Nomor Tiket],Table_Tarikan_Warkah[Nama Petugas Warkah]),"")</f>
        <v>Berry</v>
      </c>
      <c r="G1598" s="39" t="str">
        <f t="array" ref="G1598">IFNA(_xlfn.XLOOKUP(D1598,Table_Tarikan_Warkah[Nomor Tiket],Table_Tarikan_Warkah[Jenis Permohonan]),"")</f>
        <v>ROYA</v>
      </c>
      <c r="H1598" s="41" t="s">
        <v>20</v>
      </c>
      <c r="I1598" s="49" t="s">
        <v>23</v>
      </c>
      <c r="J1598" s="36">
        <f t="shared" si="20"/>
        <v>45740.41777</v>
      </c>
      <c r="K1598" s="49" t="s">
        <v>197</v>
      </c>
      <c r="L1598" s="49" t="s">
        <v>23</v>
      </c>
      <c r="M1598" s="36">
        <f t="shared" si="26"/>
        <v>45740.61058</v>
      </c>
      <c r="N1598" s="30" t="str">
        <f t="shared" si="27"/>
        <v>Selesai</v>
      </c>
      <c r="O1598" s="45">
        <f t="shared" si="23"/>
        <v>45740.61058</v>
      </c>
      <c r="P1598" s="47" t="b">
        <v>1</v>
      </c>
      <c r="Q1598" s="36">
        <f t="shared" si="24"/>
        <v>45740.61067</v>
      </c>
      <c r="R1598" s="47" t="b">
        <v>0</v>
      </c>
      <c r="S1598" s="42" t="str">
        <f t="shared" si="28"/>
        <v/>
      </c>
      <c r="T1598" s="42"/>
    </row>
    <row r="1599" ht="22.5" customHeight="1">
      <c r="B1599" s="42">
        <f t="shared" si="7"/>
        <v>1593</v>
      </c>
      <c r="C1599" s="31" t="s">
        <v>1725</v>
      </c>
      <c r="D1599" s="34" t="str">
        <f t="array" ref="D1599">IFNA(_xlfn.XLOOKUP(C1599,Table_Tarikan_Warkah[Nomor Sertipikat],Table_Tarikan_Warkah[Nomor Tiket]),"")</f>
        <v>K/25/140325/1</v>
      </c>
      <c r="E1599" s="36" t="str">
        <f t="array" ref="E1599">IFNA(_xlfn.XLOOKUP(D1599,Table_Tarikan_Warkah[Nomor Tiket],Table_Tarikan_Warkah[Tanggal diserahkan kepada Validator]),"")</f>
        <v/>
      </c>
      <c r="F1599" s="36" t="str">
        <f t="array" ref="F1599">IFNA(_xlfn.XLOOKUP(D1599,Table_Tarikan_Warkah[Nomor Tiket],Table_Tarikan_Warkah[Nama Petugas Warkah]),"")</f>
        <v/>
      </c>
      <c r="G1599" s="39" t="str">
        <f t="array" ref="G1599">IFNA(_xlfn.XLOOKUP(D1599,Table_Tarikan_Warkah[Nomor Tiket],Table_Tarikan_Warkah[Jenis Permohonan]),"")</f>
        <v>HIBAH</v>
      </c>
      <c r="H1599" s="41" t="s">
        <v>11</v>
      </c>
      <c r="I1599" s="49" t="s">
        <v>23</v>
      </c>
      <c r="J1599" s="36">
        <f t="shared" si="20"/>
        <v>45741.51927</v>
      </c>
      <c r="K1599" s="58" t="s">
        <v>197</v>
      </c>
      <c r="L1599" s="49" t="s">
        <v>23</v>
      </c>
      <c r="M1599" s="36">
        <f t="shared" si="26"/>
        <v>45743.59167</v>
      </c>
      <c r="N1599" s="30" t="str">
        <f t="shared" si="27"/>
        <v>Selesai</v>
      </c>
      <c r="O1599" s="45">
        <f t="shared" si="23"/>
        <v>45743.59167</v>
      </c>
      <c r="P1599" s="47" t="b">
        <v>1</v>
      </c>
      <c r="Q1599" s="36">
        <f t="shared" si="24"/>
        <v>45743.59267</v>
      </c>
      <c r="R1599" s="47" t="b">
        <v>0</v>
      </c>
      <c r="S1599" s="42" t="str">
        <f t="shared" si="28"/>
        <v/>
      </c>
      <c r="T1599" s="42"/>
    </row>
    <row r="1600" ht="22.5" customHeight="1">
      <c r="B1600" s="42">
        <f t="shared" si="7"/>
        <v>1594</v>
      </c>
      <c r="C1600" s="31" t="s">
        <v>1726</v>
      </c>
      <c r="D1600" s="34" t="str">
        <f t="array" ref="D1600">IFNA(_xlfn.XLOOKUP(C1600,Table_Tarikan_Warkah[Nomor Sertipikat],Table_Tarikan_Warkah[Nomor Tiket]),"")</f>
        <v>K/24/140325/1</v>
      </c>
      <c r="E1600" s="36">
        <f t="array" ref="E1600">IFNA(_xlfn.XLOOKUP(D1600,Table_Tarikan_Warkah[Nomor Tiket],Table_Tarikan_Warkah[Tanggal diserahkan kepada Validator]),"")</f>
        <v>45771.39451</v>
      </c>
      <c r="F1600" s="36" t="str">
        <f t="array" ref="F1600">IFNA(_xlfn.XLOOKUP(D1600,Table_Tarikan_Warkah[Nomor Tiket],Table_Tarikan_Warkah[Nama Petugas Warkah]),"")</f>
        <v/>
      </c>
      <c r="G1600" s="39" t="str">
        <f t="array" ref="G1600">IFNA(_xlfn.XLOOKUP(D1600,Table_Tarikan_Warkah[Nomor Tiket],Table_Tarikan_Warkah[Jenis Permohonan]),"")</f>
        <v>ROYA</v>
      </c>
      <c r="H1600" s="41" t="s">
        <v>11</v>
      </c>
      <c r="I1600" s="49" t="s">
        <v>23</v>
      </c>
      <c r="J1600" s="36">
        <f t="shared" si="20"/>
        <v>45741.51927</v>
      </c>
      <c r="K1600" s="56" t="s">
        <v>197</v>
      </c>
      <c r="L1600" s="49" t="s">
        <v>23</v>
      </c>
      <c r="M1600" s="36">
        <f t="shared" si="26"/>
        <v>45743.59167</v>
      </c>
      <c r="N1600" s="30" t="str">
        <f t="shared" si="27"/>
        <v>Selesai</v>
      </c>
      <c r="O1600" s="45">
        <f t="shared" si="23"/>
        <v>45743.59167</v>
      </c>
      <c r="P1600" s="47" t="b">
        <v>1</v>
      </c>
      <c r="Q1600" s="36">
        <f t="shared" si="24"/>
        <v>45743.59268</v>
      </c>
      <c r="R1600" s="47" t="b">
        <v>0</v>
      </c>
      <c r="S1600" s="42" t="str">
        <f t="shared" si="28"/>
        <v/>
      </c>
      <c r="T1600" s="42"/>
    </row>
    <row r="1601" ht="22.5" customHeight="1">
      <c r="B1601" s="42">
        <f t="shared" si="7"/>
        <v>1595</v>
      </c>
      <c r="C1601" s="31" t="s">
        <v>1727</v>
      </c>
      <c r="D1601" s="34" t="str">
        <f t="array" ref="D1601">IFNA(_xlfn.XLOOKUP(C1601,Table_Tarikan_Warkah[Nomor Sertipikat],Table_Tarikan_Warkah[Nomor Tiket]),"")</f>
        <v>K/3/280225/1</v>
      </c>
      <c r="E1601" s="36" t="str">
        <f t="array" ref="E1601">IFNA(_xlfn.XLOOKUP(D1601,Table_Tarikan_Warkah[Nomor Tiket],Table_Tarikan_Warkah[Tanggal diserahkan kepada Validator]),"")</f>
        <v/>
      </c>
      <c r="F1601" s="36" t="str">
        <f t="array" ref="F1601">IFNA(_xlfn.XLOOKUP(D1601,Table_Tarikan_Warkah[Nomor Tiket],Table_Tarikan_Warkah[Nama Petugas Warkah]),"")</f>
        <v/>
      </c>
      <c r="G1601" s="39" t="str">
        <f t="array" ref="G1601">IFNA(_xlfn.XLOOKUP(D1601,Table_Tarikan_Warkah[Nomor Tiket],Table_Tarikan_Warkah[Jenis Permohonan]),"")</f>
        <v>BN JUAL BELI</v>
      </c>
      <c r="H1601" s="41" t="s">
        <v>11</v>
      </c>
      <c r="I1601" s="49" t="s">
        <v>23</v>
      </c>
      <c r="J1601" s="36">
        <f t="shared" si="20"/>
        <v>45741.51927</v>
      </c>
      <c r="K1601" s="58" t="s">
        <v>197</v>
      </c>
      <c r="L1601" s="49" t="s">
        <v>23</v>
      </c>
      <c r="M1601" s="36">
        <f t="shared" si="26"/>
        <v>45743.59167</v>
      </c>
      <c r="N1601" s="30" t="str">
        <f t="shared" si="27"/>
        <v>Selesai</v>
      </c>
      <c r="O1601" s="45">
        <f t="shared" si="23"/>
        <v>45743.59167</v>
      </c>
      <c r="P1601" s="47" t="b">
        <v>1</v>
      </c>
      <c r="Q1601" s="36">
        <f t="shared" si="24"/>
        <v>45743.5928</v>
      </c>
      <c r="R1601" s="47" t="b">
        <v>0</v>
      </c>
      <c r="S1601" s="42" t="str">
        <f t="shared" si="28"/>
        <v/>
      </c>
      <c r="T1601" s="42"/>
    </row>
    <row r="1602" ht="22.5" customHeight="1">
      <c r="B1602" s="42">
        <f t="shared" si="7"/>
        <v>1596</v>
      </c>
      <c r="C1602" s="31" t="s">
        <v>1728</v>
      </c>
      <c r="D1602" s="34" t="str">
        <f t="array" ref="D1602">IFNA(_xlfn.XLOOKUP(C1602,Table_Tarikan_Warkah[Nomor Sertipikat],Table_Tarikan_Warkah[Nomor Tiket]),"")</f>
        <v>K/44/120325/1</v>
      </c>
      <c r="E1602" s="36">
        <f t="array" ref="E1602">IFNA(_xlfn.XLOOKUP(D1602,Table_Tarikan_Warkah[Nomor Tiket],Table_Tarikan_Warkah[Tanggal diserahkan kepada Validator]),"")</f>
        <v>45758.47934</v>
      </c>
      <c r="F1602" s="36" t="str">
        <f t="array" ref="F1602">IFNA(_xlfn.XLOOKUP(D1602,Table_Tarikan_Warkah[Nomor Tiket],Table_Tarikan_Warkah[Nama Petugas Warkah]),"")</f>
        <v/>
      </c>
      <c r="G1602" s="39" t="str">
        <f t="array" ref="G1602">IFNA(_xlfn.XLOOKUP(D1602,Table_Tarikan_Warkah[Nomor Tiket],Table_Tarikan_Warkah[Jenis Permohonan]),"")</f>
        <v>BN JUAL BELI</v>
      </c>
      <c r="H1602" s="41" t="s">
        <v>11</v>
      </c>
      <c r="I1602" s="49" t="s">
        <v>23</v>
      </c>
      <c r="J1602" s="36">
        <f t="shared" si="20"/>
        <v>45741.51927</v>
      </c>
      <c r="K1602" s="56" t="s">
        <v>197</v>
      </c>
      <c r="L1602" s="49" t="s">
        <v>23</v>
      </c>
      <c r="M1602" s="36">
        <f t="shared" si="26"/>
        <v>45743.59167</v>
      </c>
      <c r="N1602" s="30" t="str">
        <f t="shared" si="27"/>
        <v>Selesai</v>
      </c>
      <c r="O1602" s="45">
        <f t="shared" si="23"/>
        <v>45743.59167</v>
      </c>
      <c r="P1602" s="47" t="b">
        <v>1</v>
      </c>
      <c r="Q1602" s="36">
        <f t="shared" si="24"/>
        <v>45743.5928</v>
      </c>
      <c r="R1602" s="47" t="b">
        <v>0</v>
      </c>
      <c r="S1602" s="42" t="str">
        <f t="shared" si="28"/>
        <v/>
      </c>
      <c r="T1602" s="42"/>
    </row>
    <row r="1603" ht="22.5" customHeight="1">
      <c r="B1603" s="42">
        <f t="shared" si="7"/>
        <v>1597</v>
      </c>
      <c r="C1603" s="31" t="s">
        <v>1729</v>
      </c>
      <c r="D1603" s="34" t="str">
        <f t="array" ref="D1603">IFNA(_xlfn.XLOOKUP(C1603,Table_Tarikan_Warkah[Nomor Sertipikat],Table_Tarikan_Warkah[Nomor Tiket]),"")</f>
        <v>K/12/130325/1</v>
      </c>
      <c r="E1603" s="36">
        <f t="array" ref="E1603">IFNA(_xlfn.XLOOKUP(D1603,Table_Tarikan_Warkah[Nomor Tiket],Table_Tarikan_Warkah[Tanggal diserahkan kepada Validator]),"")</f>
        <v>45758.47945</v>
      </c>
      <c r="F1603" s="36" t="str">
        <f t="array" ref="F1603">IFNA(_xlfn.XLOOKUP(D1603,Table_Tarikan_Warkah[Nomor Tiket],Table_Tarikan_Warkah[Nama Petugas Warkah]),"")</f>
        <v/>
      </c>
      <c r="G1603" s="39" t="str">
        <f t="array" ref="G1603">IFNA(_xlfn.XLOOKUP(D1603,Table_Tarikan_Warkah[Nomor Tiket],Table_Tarikan_Warkah[Jenis Permohonan]),"")</f>
        <v>BN JUAL BELI</v>
      </c>
      <c r="H1603" s="41" t="s">
        <v>11</v>
      </c>
      <c r="I1603" s="49" t="s">
        <v>23</v>
      </c>
      <c r="J1603" s="36">
        <f t="shared" si="20"/>
        <v>45741.51927</v>
      </c>
      <c r="K1603" s="58" t="s">
        <v>197</v>
      </c>
      <c r="L1603" s="49" t="s">
        <v>23</v>
      </c>
      <c r="M1603" s="36">
        <f t="shared" si="26"/>
        <v>45743.59167</v>
      </c>
      <c r="N1603" s="30" t="str">
        <f t="shared" si="27"/>
        <v>Selesai</v>
      </c>
      <c r="O1603" s="45">
        <f t="shared" si="23"/>
        <v>45743.59167</v>
      </c>
      <c r="P1603" s="47" t="b">
        <v>1</v>
      </c>
      <c r="Q1603" s="36">
        <f t="shared" si="24"/>
        <v>45743.5928</v>
      </c>
      <c r="R1603" s="47" t="b">
        <v>0</v>
      </c>
      <c r="S1603" s="42" t="str">
        <f t="shared" si="28"/>
        <v/>
      </c>
      <c r="T1603" s="42"/>
    </row>
    <row r="1604" ht="22.5" customHeight="1">
      <c r="B1604" s="42">
        <f t="shared" si="7"/>
        <v>1598</v>
      </c>
      <c r="C1604" s="31" t="s">
        <v>1730</v>
      </c>
      <c r="D1604" s="34" t="str">
        <f t="array" ref="D1604">IFNA(_xlfn.XLOOKUP(C1604,Table_Tarikan_Warkah[Nomor Sertipikat],Table_Tarikan_Warkah[Nomor Tiket]),"")</f>
        <v>K/12/110325/2</v>
      </c>
      <c r="E1604" s="36">
        <f t="array" ref="E1604">IFNA(_xlfn.XLOOKUP(D1604,Table_Tarikan_Warkah[Nomor Tiket],Table_Tarikan_Warkah[Tanggal diserahkan kepada Validator]),"")</f>
        <v>45758.47983</v>
      </c>
      <c r="F1604" s="36" t="str">
        <f t="array" ref="F1604">IFNA(_xlfn.XLOOKUP(D1604,Table_Tarikan_Warkah[Nomor Tiket],Table_Tarikan_Warkah[Nama Petugas Warkah]),"")</f>
        <v/>
      </c>
      <c r="G1604" s="39" t="str">
        <f t="array" ref="G1604">IFNA(_xlfn.XLOOKUP(D1604,Table_Tarikan_Warkah[Nomor Tiket],Table_Tarikan_Warkah[Jenis Permohonan]),"")</f>
        <v>BN JUAL BELI</v>
      </c>
      <c r="H1604" s="41" t="s">
        <v>11</v>
      </c>
      <c r="I1604" s="49" t="s">
        <v>23</v>
      </c>
      <c r="J1604" s="36">
        <f t="shared" si="20"/>
        <v>45741.51927</v>
      </c>
      <c r="K1604" s="56" t="s">
        <v>197</v>
      </c>
      <c r="L1604" s="49" t="s">
        <v>23</v>
      </c>
      <c r="M1604" s="36">
        <f t="shared" si="26"/>
        <v>45743.59167</v>
      </c>
      <c r="N1604" s="30" t="str">
        <f t="shared" si="27"/>
        <v>Selesai</v>
      </c>
      <c r="O1604" s="45">
        <f t="shared" si="23"/>
        <v>45743.59167</v>
      </c>
      <c r="P1604" s="47" t="b">
        <v>1</v>
      </c>
      <c r="Q1604" s="36">
        <f t="shared" si="24"/>
        <v>45743.5928</v>
      </c>
      <c r="R1604" s="47" t="b">
        <v>0</v>
      </c>
      <c r="S1604" s="42" t="str">
        <f t="shared" si="28"/>
        <v/>
      </c>
      <c r="T1604" s="42"/>
    </row>
    <row r="1605" ht="22.5" customHeight="1">
      <c r="B1605" s="42">
        <f t="shared" si="7"/>
        <v>1599</v>
      </c>
      <c r="C1605" s="31" t="s">
        <v>1731</v>
      </c>
      <c r="D1605" s="34" t="str">
        <f t="array" ref="D1605">IFNA(_xlfn.XLOOKUP(C1605,Table_Tarikan_Warkah[Nomor Sertipikat],Table_Tarikan_Warkah[Nomor Tiket]),"")</f>
        <v>K/26/120325/1</v>
      </c>
      <c r="E1605" s="36">
        <f t="array" ref="E1605">IFNA(_xlfn.XLOOKUP(D1605,Table_Tarikan_Warkah[Nomor Tiket],Table_Tarikan_Warkah[Tanggal diserahkan kepada Validator]),"")</f>
        <v>45758.4796</v>
      </c>
      <c r="F1605" s="36" t="str">
        <f t="array" ref="F1605">IFNA(_xlfn.XLOOKUP(D1605,Table_Tarikan_Warkah[Nomor Tiket],Table_Tarikan_Warkah[Nama Petugas Warkah]),"")</f>
        <v/>
      </c>
      <c r="G1605" s="39" t="str">
        <f t="array" ref="G1605">IFNA(_xlfn.XLOOKUP(D1605,Table_Tarikan_Warkah[Nomor Tiket],Table_Tarikan_Warkah[Jenis Permohonan]),"")</f>
        <v>BN JUAL BELI</v>
      </c>
      <c r="H1605" s="41" t="s">
        <v>11</v>
      </c>
      <c r="I1605" s="49" t="s">
        <v>23</v>
      </c>
      <c r="J1605" s="36">
        <f t="shared" si="20"/>
        <v>45741.51927</v>
      </c>
      <c r="K1605" s="49" t="s">
        <v>197</v>
      </c>
      <c r="L1605" s="49" t="s">
        <v>23</v>
      </c>
      <c r="M1605" s="36">
        <f t="shared" si="26"/>
        <v>45743.59167</v>
      </c>
      <c r="N1605" s="30" t="str">
        <f t="shared" si="27"/>
        <v>Selesai</v>
      </c>
      <c r="O1605" s="45">
        <f t="shared" si="23"/>
        <v>45743.59167</v>
      </c>
      <c r="P1605" s="47" t="b">
        <v>1</v>
      </c>
      <c r="Q1605" s="36">
        <f t="shared" si="24"/>
        <v>45743.5928</v>
      </c>
      <c r="R1605" s="47" t="b">
        <v>0</v>
      </c>
      <c r="S1605" s="42" t="str">
        <f t="shared" si="28"/>
        <v/>
      </c>
      <c r="T1605" s="42"/>
    </row>
    <row r="1606" ht="22.5" customHeight="1">
      <c r="B1606" s="42">
        <f t="shared" si="7"/>
        <v>1600</v>
      </c>
      <c r="C1606" s="31" t="s">
        <v>1732</v>
      </c>
      <c r="D1606" s="34" t="str">
        <f t="array" ref="D1606">IFNA(_xlfn.XLOOKUP(C1606,Table_Tarikan_Warkah[Nomor Sertipikat],Table_Tarikan_Warkah[Nomor Tiket]),"")</f>
        <v>K/25/070325/2</v>
      </c>
      <c r="E1606" s="36">
        <f t="array" ref="E1606">IFNA(_xlfn.XLOOKUP(D1606,Table_Tarikan_Warkah[Nomor Tiket],Table_Tarikan_Warkah[Tanggal diserahkan kepada Validator]),"")</f>
        <v>45758.47776</v>
      </c>
      <c r="F1606" s="36" t="str">
        <f t="array" ref="F1606">IFNA(_xlfn.XLOOKUP(D1606,Table_Tarikan_Warkah[Nomor Tiket],Table_Tarikan_Warkah[Nama Petugas Warkah]),"")</f>
        <v/>
      </c>
      <c r="G1606" s="39" t="str">
        <f t="array" ref="G1606">IFNA(_xlfn.XLOOKUP(D1606,Table_Tarikan_Warkah[Nomor Tiket],Table_Tarikan_Warkah[Jenis Permohonan]),"")</f>
        <v>JUAL BELI</v>
      </c>
      <c r="H1606" s="41" t="s">
        <v>11</v>
      </c>
      <c r="I1606" s="49" t="s">
        <v>23</v>
      </c>
      <c r="J1606" s="36">
        <f t="shared" si="20"/>
        <v>45741.51927</v>
      </c>
      <c r="K1606" s="58" t="s">
        <v>197</v>
      </c>
      <c r="L1606" s="49" t="s">
        <v>23</v>
      </c>
      <c r="M1606" s="36">
        <f t="shared" si="26"/>
        <v>45743.59172</v>
      </c>
      <c r="N1606" s="30" t="str">
        <f t="shared" si="27"/>
        <v>Selesai</v>
      </c>
      <c r="O1606" s="45">
        <f t="shared" si="23"/>
        <v>45743.59172</v>
      </c>
      <c r="P1606" s="47" t="b">
        <v>1</v>
      </c>
      <c r="Q1606" s="36">
        <f t="shared" si="24"/>
        <v>45743.5928</v>
      </c>
      <c r="R1606" s="47" t="b">
        <v>0</v>
      </c>
      <c r="S1606" s="42" t="str">
        <f t="shared" si="28"/>
        <v/>
      </c>
      <c r="T1606" s="42"/>
    </row>
    <row r="1607" ht="22.5" customHeight="1">
      <c r="B1607" s="42">
        <f t="shared" si="7"/>
        <v>1601</v>
      </c>
      <c r="C1607" s="31" t="s">
        <v>1733</v>
      </c>
      <c r="D1607" s="34" t="str">
        <f t="array" ref="D1607">IFNA(_xlfn.XLOOKUP(C1607,Table_Tarikan_Warkah[Nomor Sertipikat],Table_Tarikan_Warkah[Nomor Tiket]),"")</f>
        <v>K/37/060325/2</v>
      </c>
      <c r="E1607" s="36">
        <f t="array" ref="E1607">IFNA(_xlfn.XLOOKUP(D1607,Table_Tarikan_Warkah[Nomor Tiket],Table_Tarikan_Warkah[Tanggal diserahkan kepada Validator]),"")</f>
        <v>45758.47816</v>
      </c>
      <c r="F1607" s="36" t="str">
        <f t="array" ref="F1607">IFNA(_xlfn.XLOOKUP(D1607,Table_Tarikan_Warkah[Nomor Tiket],Table_Tarikan_Warkah[Nama Petugas Warkah]),"")</f>
        <v/>
      </c>
      <c r="G1607" s="39" t="str">
        <f t="array" ref="G1607">IFNA(_xlfn.XLOOKUP(D1607,Table_Tarikan_Warkah[Nomor Tiket],Table_Tarikan_Warkah[Jenis Permohonan]),"")</f>
        <v>JUAL BELI</v>
      </c>
      <c r="H1607" s="41" t="s">
        <v>11</v>
      </c>
      <c r="I1607" s="49" t="s">
        <v>23</v>
      </c>
      <c r="J1607" s="36">
        <f t="shared" si="20"/>
        <v>45741.51927</v>
      </c>
      <c r="K1607" s="56" t="s">
        <v>197</v>
      </c>
      <c r="L1607" s="49" t="s">
        <v>23</v>
      </c>
      <c r="M1607" s="36">
        <f t="shared" si="26"/>
        <v>45743.59172</v>
      </c>
      <c r="N1607" s="30" t="str">
        <f t="shared" si="27"/>
        <v>Selesai</v>
      </c>
      <c r="O1607" s="45">
        <f t="shared" si="23"/>
        <v>45743.59172</v>
      </c>
      <c r="P1607" s="47" t="b">
        <v>1</v>
      </c>
      <c r="Q1607" s="36">
        <f t="shared" si="24"/>
        <v>45743.5928</v>
      </c>
      <c r="R1607" s="47" t="b">
        <v>0</v>
      </c>
      <c r="S1607" s="42" t="str">
        <f t="shared" si="28"/>
        <v/>
      </c>
      <c r="T1607" s="42"/>
    </row>
    <row r="1608" ht="22.5" customHeight="1">
      <c r="B1608" s="42">
        <f t="shared" si="7"/>
        <v>1602</v>
      </c>
      <c r="C1608" s="31" t="s">
        <v>1734</v>
      </c>
      <c r="D1608" s="34" t="str">
        <f t="array" ref="D1608">IFNA(_xlfn.XLOOKUP(C1608,Table_Tarikan_Warkah[Nomor Sertipikat],Table_Tarikan_Warkah[Nomor Tiket]),"")</f>
        <v>K/13/070325/2</v>
      </c>
      <c r="E1608" s="36">
        <f t="array" ref="E1608">IFNA(_xlfn.XLOOKUP(D1608,Table_Tarikan_Warkah[Nomor Tiket],Table_Tarikan_Warkah[Tanggal diserahkan kepada Validator]),"")</f>
        <v>45758.47791</v>
      </c>
      <c r="F1608" s="36" t="str">
        <f t="array" ref="F1608">IFNA(_xlfn.XLOOKUP(D1608,Table_Tarikan_Warkah[Nomor Tiket],Table_Tarikan_Warkah[Nama Petugas Warkah]),"")</f>
        <v/>
      </c>
      <c r="G1608" s="39" t="str">
        <f t="array" ref="G1608">IFNA(_xlfn.XLOOKUP(D1608,Table_Tarikan_Warkah[Nomor Tiket],Table_Tarikan_Warkah[Jenis Permohonan]),"")</f>
        <v>KEWARISAN</v>
      </c>
      <c r="H1608" s="41" t="s">
        <v>11</v>
      </c>
      <c r="I1608" s="49" t="s">
        <v>23</v>
      </c>
      <c r="J1608" s="36">
        <f t="shared" si="20"/>
        <v>45741.51927</v>
      </c>
      <c r="K1608" s="58" t="s">
        <v>197</v>
      </c>
      <c r="L1608" s="49" t="s">
        <v>23</v>
      </c>
      <c r="M1608" s="36">
        <f t="shared" si="26"/>
        <v>45743.59172</v>
      </c>
      <c r="N1608" s="30" t="str">
        <f t="shared" si="27"/>
        <v>Selesai</v>
      </c>
      <c r="O1608" s="45">
        <f t="shared" si="23"/>
        <v>45743.59172</v>
      </c>
      <c r="P1608" s="47" t="b">
        <v>1</v>
      </c>
      <c r="Q1608" s="36">
        <f t="shared" si="24"/>
        <v>45743.5928</v>
      </c>
      <c r="R1608" s="47" t="b">
        <v>0</v>
      </c>
      <c r="S1608" s="42" t="str">
        <f t="shared" si="28"/>
        <v/>
      </c>
      <c r="T1608" s="42"/>
    </row>
    <row r="1609" ht="22.5" customHeight="1">
      <c r="B1609" s="42">
        <f t="shared" si="7"/>
        <v>1603</v>
      </c>
      <c r="C1609" s="31" t="s">
        <v>1735</v>
      </c>
      <c r="D1609" s="34" t="str">
        <f t="array" ref="D1609">IFNA(_xlfn.XLOOKUP(C1609,Table_Tarikan_Warkah[Nomor Sertipikat],Table_Tarikan_Warkah[Nomor Tiket]),"")</f>
        <v>K/13/050325/1</v>
      </c>
      <c r="E1609" s="36" t="str">
        <f t="array" ref="E1609">IFNA(_xlfn.XLOOKUP(D1609,Table_Tarikan_Warkah[Nomor Tiket],Table_Tarikan_Warkah[Tanggal diserahkan kepada Validator]),"")</f>
        <v/>
      </c>
      <c r="F1609" s="36" t="str">
        <f t="array" ref="F1609">IFNA(_xlfn.XLOOKUP(D1609,Table_Tarikan_Warkah[Nomor Tiket],Table_Tarikan_Warkah[Nama Petugas Warkah]),"")</f>
        <v/>
      </c>
      <c r="G1609" s="39" t="str">
        <f t="array" ref="G1609">IFNA(_xlfn.XLOOKUP(D1609,Table_Tarikan_Warkah[Nomor Tiket],Table_Tarikan_Warkah[Jenis Permohonan]),"")</f>
        <v>BN Jual Beli</v>
      </c>
      <c r="H1609" s="41" t="s">
        <v>20</v>
      </c>
      <c r="I1609" s="49" t="s">
        <v>23</v>
      </c>
      <c r="J1609" s="36">
        <f t="shared" si="20"/>
        <v>45741.52112</v>
      </c>
      <c r="K1609" s="56" t="s">
        <v>197</v>
      </c>
      <c r="L1609" s="49" t="s">
        <v>23</v>
      </c>
      <c r="M1609" s="36">
        <f t="shared" si="26"/>
        <v>45743.59172</v>
      </c>
      <c r="N1609" s="30" t="str">
        <f t="shared" si="27"/>
        <v>Selesai</v>
      </c>
      <c r="O1609" s="45">
        <f t="shared" si="23"/>
        <v>45743.59172</v>
      </c>
      <c r="P1609" s="47" t="b">
        <v>1</v>
      </c>
      <c r="Q1609" s="36">
        <f t="shared" si="24"/>
        <v>45743.59281</v>
      </c>
      <c r="R1609" s="47" t="b">
        <v>0</v>
      </c>
      <c r="S1609" s="42" t="str">
        <f t="shared" si="28"/>
        <v/>
      </c>
      <c r="T1609" s="42"/>
    </row>
    <row r="1610" ht="22.5" customHeight="1">
      <c r="B1610" s="42">
        <f t="shared" si="7"/>
        <v>1604</v>
      </c>
      <c r="C1610" s="31" t="s">
        <v>1736</v>
      </c>
      <c r="D1610" s="34" t="str">
        <f t="array" ref="D1610">IFNA(_xlfn.XLOOKUP(C1610,Table_Tarikan_Warkah[Nomor Sertipikat],Table_Tarikan_Warkah[Nomor Tiket]),"")</f>
        <v>K/34/120325/1</v>
      </c>
      <c r="E1610" s="36">
        <f t="array" ref="E1610">IFNA(_xlfn.XLOOKUP(D1610,Table_Tarikan_Warkah[Nomor Tiket],Table_Tarikan_Warkah[Tanggal diserahkan kepada Validator]),"")</f>
        <v>45758.47888</v>
      </c>
      <c r="F1610" s="36" t="str">
        <f t="array" ref="F1610">IFNA(_xlfn.XLOOKUP(D1610,Table_Tarikan_Warkah[Nomor Tiket],Table_Tarikan_Warkah[Nama Petugas Warkah]),"")</f>
        <v/>
      </c>
      <c r="G1610" s="39" t="str">
        <f t="array" ref="G1610">IFNA(_xlfn.XLOOKUP(D1610,Table_Tarikan_Warkah[Nomor Tiket],Table_Tarikan_Warkah[Jenis Permohonan]),"")</f>
        <v>BN JUAK BELI</v>
      </c>
      <c r="H1610" s="41" t="s">
        <v>20</v>
      </c>
      <c r="I1610" s="49" t="s">
        <v>23</v>
      </c>
      <c r="J1610" s="36">
        <f t="shared" si="20"/>
        <v>45742.43576</v>
      </c>
      <c r="K1610" s="58" t="s">
        <v>197</v>
      </c>
      <c r="L1610" s="49" t="s">
        <v>23</v>
      </c>
      <c r="M1610" s="36">
        <f t="shared" si="26"/>
        <v>45743.59172</v>
      </c>
      <c r="N1610" s="30" t="str">
        <f t="shared" si="27"/>
        <v>Selesai</v>
      </c>
      <c r="O1610" s="45">
        <f t="shared" si="23"/>
        <v>45743.59172</v>
      </c>
      <c r="P1610" s="47" t="b">
        <v>1</v>
      </c>
      <c r="Q1610" s="36">
        <f t="shared" si="24"/>
        <v>45743.59289</v>
      </c>
      <c r="R1610" s="47" t="b">
        <v>0</v>
      </c>
      <c r="S1610" s="42" t="str">
        <f t="shared" si="28"/>
        <v/>
      </c>
      <c r="T1610" s="42"/>
    </row>
    <row r="1611" ht="22.5" customHeight="1">
      <c r="B1611" s="42">
        <f t="shared" si="7"/>
        <v>1605</v>
      </c>
      <c r="C1611" s="31" t="s">
        <v>1737</v>
      </c>
      <c r="D1611" s="34" t="str">
        <f t="array" ref="D1611">IFNA(_xlfn.XLOOKUP(C1611,Table_Tarikan_Warkah[Nomor Sertipikat],Table_Tarikan_Warkah[Nomor Tiket]),"")</f>
        <v>K/29/140325/3</v>
      </c>
      <c r="E1611" s="36">
        <f t="array" ref="E1611">IFNA(_xlfn.XLOOKUP(D1611,Table_Tarikan_Warkah[Nomor Tiket],Table_Tarikan_Warkah[Tanggal diserahkan kepada Validator]),"")</f>
        <v>45758.47828</v>
      </c>
      <c r="F1611" s="36" t="str">
        <f t="array" ref="F1611">IFNA(_xlfn.XLOOKUP(D1611,Table_Tarikan_Warkah[Nomor Tiket],Table_Tarikan_Warkah[Nama Petugas Warkah]),"")</f>
        <v/>
      </c>
      <c r="G1611" s="39" t="str">
        <f t="array" ref="G1611">IFNA(_xlfn.XLOOKUP(D1611,Table_Tarikan_Warkah[Nomor Tiket],Table_Tarikan_Warkah[Jenis Permohonan]),"")</f>
        <v>BN WARIS</v>
      </c>
      <c r="H1611" s="41" t="s">
        <v>20</v>
      </c>
      <c r="I1611" s="49" t="s">
        <v>23</v>
      </c>
      <c r="J1611" s="36">
        <f t="shared" si="20"/>
        <v>45742.43587</v>
      </c>
      <c r="K1611" s="56" t="s">
        <v>197</v>
      </c>
      <c r="L1611" s="49" t="s">
        <v>23</v>
      </c>
      <c r="M1611" s="36">
        <f t="shared" si="26"/>
        <v>45743.59172</v>
      </c>
      <c r="N1611" s="30" t="str">
        <f t="shared" si="27"/>
        <v>Selesai</v>
      </c>
      <c r="O1611" s="45">
        <f t="shared" si="23"/>
        <v>45743.59172</v>
      </c>
      <c r="P1611" s="47" t="b">
        <v>1</v>
      </c>
      <c r="Q1611" s="36">
        <f t="shared" si="24"/>
        <v>45743.59289</v>
      </c>
      <c r="R1611" s="47" t="b">
        <v>0</v>
      </c>
      <c r="S1611" s="42" t="str">
        <f t="shared" si="28"/>
        <v/>
      </c>
      <c r="T1611" s="42"/>
    </row>
    <row r="1612" ht="22.5" customHeight="1">
      <c r="B1612" s="42">
        <f t="shared" si="7"/>
        <v>1606</v>
      </c>
      <c r="C1612" s="31" t="s">
        <v>1738</v>
      </c>
      <c r="D1612" s="34" t="str">
        <f t="array" ref="D1612">IFNA(_xlfn.XLOOKUP(C1612,Table_Tarikan_Warkah[Nomor Sertipikat],Table_Tarikan_Warkah[Nomor Tiket]),"")</f>
        <v>K/1/130325/1</v>
      </c>
      <c r="E1612" s="36">
        <f t="array" ref="E1612">IFNA(_xlfn.XLOOKUP(D1612,Table_Tarikan_Warkah[Nomor Tiket],Table_Tarikan_Warkah[Tanggal diserahkan kepada Validator]),"")</f>
        <v>45758.47849</v>
      </c>
      <c r="F1612" s="36" t="str">
        <f t="array" ref="F1612">IFNA(_xlfn.XLOOKUP(D1612,Table_Tarikan_Warkah[Nomor Tiket],Table_Tarikan_Warkah[Nama Petugas Warkah]),"")</f>
        <v/>
      </c>
      <c r="G1612" s="39" t="str">
        <f t="array" ref="G1612">IFNA(_xlfn.XLOOKUP(D1612,Table_Tarikan_Warkah[Nomor Tiket],Table_Tarikan_Warkah[Jenis Permohonan]),"")</f>
        <v>BN JUAL BELI</v>
      </c>
      <c r="H1612" s="41" t="s">
        <v>20</v>
      </c>
      <c r="I1612" s="49" t="s">
        <v>23</v>
      </c>
      <c r="J1612" s="36">
        <f t="shared" si="20"/>
        <v>45742.43597</v>
      </c>
      <c r="K1612" s="49" t="s">
        <v>197</v>
      </c>
      <c r="L1612" s="49" t="s">
        <v>23</v>
      </c>
      <c r="M1612" s="36">
        <f t="shared" si="26"/>
        <v>45743.59172</v>
      </c>
      <c r="N1612" s="30" t="str">
        <f t="shared" si="27"/>
        <v>Selesai</v>
      </c>
      <c r="O1612" s="45">
        <f t="shared" si="23"/>
        <v>45743.59172</v>
      </c>
      <c r="P1612" s="47" t="b">
        <v>1</v>
      </c>
      <c r="Q1612" s="36">
        <f t="shared" si="24"/>
        <v>45743.59289</v>
      </c>
      <c r="R1612" s="47" t="b">
        <v>0</v>
      </c>
      <c r="S1612" s="42" t="str">
        <f t="shared" si="28"/>
        <v/>
      </c>
      <c r="T1612" s="42"/>
    </row>
    <row r="1613" ht="22.5" customHeight="1">
      <c r="B1613" s="42">
        <f t="shared" si="7"/>
        <v>1607</v>
      </c>
      <c r="C1613" s="31" t="s">
        <v>1739</v>
      </c>
      <c r="D1613" s="34" t="str">
        <f t="array" ref="D1613">IFNA(_xlfn.XLOOKUP(C1613,Table_Tarikan_Warkah[Nomor Sertipikat],Table_Tarikan_Warkah[Nomor Tiket]),"")</f>
        <v>K/15/270225/2</v>
      </c>
      <c r="E1613" s="36">
        <f t="array" ref="E1613">IFNA(_xlfn.XLOOKUP(D1613,Table_Tarikan_Warkah[Nomor Tiket],Table_Tarikan_Warkah[Tanggal diserahkan kepada Validator]),"")</f>
        <v>45758.47908</v>
      </c>
      <c r="F1613" s="36" t="str">
        <f t="array" ref="F1613">IFNA(_xlfn.XLOOKUP(D1613,Table_Tarikan_Warkah[Nomor Tiket],Table_Tarikan_Warkah[Nama Petugas Warkah]),"")</f>
        <v/>
      </c>
      <c r="G1613" s="39" t="str">
        <f t="array" ref="G1613">IFNA(_xlfn.XLOOKUP(D1613,Table_Tarikan_Warkah[Nomor Tiket],Table_Tarikan_Warkah[Jenis Permohonan]),"")</f>
        <v>BN JUAL BELI</v>
      </c>
      <c r="H1613" s="41" t="s">
        <v>20</v>
      </c>
      <c r="I1613" s="49" t="s">
        <v>23</v>
      </c>
      <c r="J1613" s="36">
        <f t="shared" si="20"/>
        <v>45742.43606</v>
      </c>
      <c r="K1613" s="58" t="s">
        <v>197</v>
      </c>
      <c r="L1613" s="49" t="s">
        <v>23</v>
      </c>
      <c r="M1613" s="36">
        <f t="shared" si="26"/>
        <v>45743.59175</v>
      </c>
      <c r="N1613" s="30" t="str">
        <f t="shared" si="27"/>
        <v>Selesai</v>
      </c>
      <c r="O1613" s="45">
        <f t="shared" si="23"/>
        <v>45743.59175</v>
      </c>
      <c r="P1613" s="47" t="b">
        <v>1</v>
      </c>
      <c r="Q1613" s="36">
        <f t="shared" si="24"/>
        <v>45743.59289</v>
      </c>
      <c r="R1613" s="47" t="b">
        <v>0</v>
      </c>
      <c r="S1613" s="42" t="str">
        <f t="shared" si="28"/>
        <v/>
      </c>
      <c r="T1613" s="42"/>
    </row>
    <row r="1614" ht="22.5" customHeight="1">
      <c r="B1614" s="42">
        <f t="shared" si="7"/>
        <v>1608</v>
      </c>
      <c r="C1614" s="31" t="s">
        <v>1740</v>
      </c>
      <c r="D1614" s="34" t="str">
        <f t="array" ref="D1614">IFNA(_xlfn.XLOOKUP(C1614,Table_Tarikan_Warkah[Nomor Sertipikat],Table_Tarikan_Warkah[Nomor Tiket]),"")</f>
        <v>K/25/030325/1</v>
      </c>
      <c r="E1614" s="36" t="str">
        <f t="array" ref="E1614">IFNA(_xlfn.XLOOKUP(D1614,Table_Tarikan_Warkah[Nomor Tiket],Table_Tarikan_Warkah[Tanggal diserahkan kepada Validator]),"")</f>
        <v/>
      </c>
      <c r="F1614" s="36" t="str">
        <f t="array" ref="F1614">IFNA(_xlfn.XLOOKUP(D1614,Table_Tarikan_Warkah[Nomor Tiket],Table_Tarikan_Warkah[Nama Petugas Warkah]),"")</f>
        <v/>
      </c>
      <c r="G1614" s="39" t="str">
        <f t="array" ref="G1614">IFNA(_xlfn.XLOOKUP(D1614,Table_Tarikan_Warkah[Nomor Tiket],Table_Tarikan_Warkah[Jenis Permohonan]),"")</f>
        <v>BN JUAL BELI</v>
      </c>
      <c r="H1614" s="41" t="s">
        <v>20</v>
      </c>
      <c r="I1614" s="49" t="s">
        <v>23</v>
      </c>
      <c r="J1614" s="36">
        <f t="shared" si="20"/>
        <v>45742.43623</v>
      </c>
      <c r="K1614" s="56" t="s">
        <v>197</v>
      </c>
      <c r="L1614" s="49" t="s">
        <v>23</v>
      </c>
      <c r="M1614" s="36">
        <f t="shared" si="26"/>
        <v>45743.59175</v>
      </c>
      <c r="N1614" s="30" t="str">
        <f t="shared" si="27"/>
        <v>Selesai</v>
      </c>
      <c r="O1614" s="45">
        <f t="shared" si="23"/>
        <v>45743.59175</v>
      </c>
      <c r="P1614" s="47" t="b">
        <v>1</v>
      </c>
      <c r="Q1614" s="36">
        <f t="shared" si="24"/>
        <v>45743.59289</v>
      </c>
      <c r="R1614" s="47" t="b">
        <v>0</v>
      </c>
      <c r="S1614" s="42" t="str">
        <f t="shared" si="28"/>
        <v/>
      </c>
      <c r="T1614" s="42"/>
    </row>
    <row r="1615" ht="22.5" customHeight="1">
      <c r="B1615" s="42">
        <f t="shared" si="7"/>
        <v>1609</v>
      </c>
      <c r="C1615" s="31" t="s">
        <v>1741</v>
      </c>
      <c r="D1615" s="34" t="str">
        <f t="array" ref="D1615">IFNA(_xlfn.XLOOKUP(C1615,Table_Tarikan_Warkah[Nomor Sertipikat],Table_Tarikan_Warkah[Nomor Tiket]),"")</f>
        <v>K/23/260225/1</v>
      </c>
      <c r="E1615" s="36">
        <f t="array" ref="E1615">IFNA(_xlfn.XLOOKUP(D1615,Table_Tarikan_Warkah[Nomor Tiket],Table_Tarikan_Warkah[Tanggal diserahkan kepada Validator]),"")</f>
        <v>45758.47875</v>
      </c>
      <c r="F1615" s="36" t="str">
        <f t="array" ref="F1615">IFNA(_xlfn.XLOOKUP(D1615,Table_Tarikan_Warkah[Nomor Tiket],Table_Tarikan_Warkah[Nama Petugas Warkah]),"")</f>
        <v/>
      </c>
      <c r="G1615" s="39" t="str">
        <f t="array" ref="G1615">IFNA(_xlfn.XLOOKUP(D1615,Table_Tarikan_Warkah[Nomor Tiket],Table_Tarikan_Warkah[Jenis Permohonan]),"")</f>
        <v>BN JUAL BELI</v>
      </c>
      <c r="H1615" s="41" t="s">
        <v>20</v>
      </c>
      <c r="I1615" s="49" t="s">
        <v>23</v>
      </c>
      <c r="J1615" s="36">
        <f t="shared" si="20"/>
        <v>45742.43632</v>
      </c>
      <c r="K1615" s="58" t="s">
        <v>197</v>
      </c>
      <c r="L1615" s="49" t="s">
        <v>23</v>
      </c>
      <c r="M1615" s="36">
        <f t="shared" si="26"/>
        <v>45743.59175</v>
      </c>
      <c r="N1615" s="30" t="str">
        <f t="shared" si="27"/>
        <v>Selesai</v>
      </c>
      <c r="O1615" s="45">
        <f t="shared" si="23"/>
        <v>45743.59175</v>
      </c>
      <c r="P1615" s="47" t="b">
        <v>1</v>
      </c>
      <c r="Q1615" s="36">
        <f t="shared" si="24"/>
        <v>45743.59289</v>
      </c>
      <c r="R1615" s="47" t="b">
        <v>0</v>
      </c>
      <c r="S1615" s="42" t="str">
        <f t="shared" si="28"/>
        <v/>
      </c>
      <c r="T1615" s="42"/>
    </row>
    <row r="1616" ht="22.5" customHeight="1">
      <c r="B1616" s="42">
        <f t="shared" si="7"/>
        <v>1610</v>
      </c>
      <c r="C1616" s="31" t="s">
        <v>1742</v>
      </c>
      <c r="D1616" s="34" t="str">
        <f t="array" ref="D1616">IFNA(_xlfn.XLOOKUP(C1616,Table_Tarikan_Warkah[Nomor Sertipikat],Table_Tarikan_Warkah[Nomor Tiket]),"")</f>
        <v>K/14/070325/1</v>
      </c>
      <c r="E1616" s="36">
        <f t="array" ref="E1616">IFNA(_xlfn.XLOOKUP(D1616,Table_Tarikan_Warkah[Nomor Tiket],Table_Tarikan_Warkah[Tanggal diserahkan kepada Validator]),"")</f>
        <v>45758.47923</v>
      </c>
      <c r="F1616" s="36" t="str">
        <f t="array" ref="F1616">IFNA(_xlfn.XLOOKUP(D1616,Table_Tarikan_Warkah[Nomor Tiket],Table_Tarikan_Warkah[Nama Petugas Warkah]),"")</f>
        <v/>
      </c>
      <c r="G1616" s="39" t="str">
        <f t="array" ref="G1616">IFNA(_xlfn.XLOOKUP(D1616,Table_Tarikan_Warkah[Nomor Tiket],Table_Tarikan_Warkah[Jenis Permohonan]),"")</f>
        <v>BN HIBAH</v>
      </c>
      <c r="H1616" s="41" t="s">
        <v>20</v>
      </c>
      <c r="I1616" s="49" t="s">
        <v>23</v>
      </c>
      <c r="J1616" s="36">
        <f t="shared" si="20"/>
        <v>45742.43641</v>
      </c>
      <c r="K1616" s="56" t="s">
        <v>197</v>
      </c>
      <c r="L1616" s="49" t="s">
        <v>23</v>
      </c>
      <c r="M1616" s="36">
        <f t="shared" si="26"/>
        <v>45743.59175</v>
      </c>
      <c r="N1616" s="30" t="str">
        <f t="shared" si="27"/>
        <v>Selesai</v>
      </c>
      <c r="O1616" s="45">
        <f t="shared" si="23"/>
        <v>45743.59175</v>
      </c>
      <c r="P1616" s="47" t="b">
        <v>1</v>
      </c>
      <c r="Q1616" s="36">
        <f t="shared" si="24"/>
        <v>45743.59289</v>
      </c>
      <c r="R1616" s="47" t="b">
        <v>0</v>
      </c>
      <c r="S1616" s="42" t="str">
        <f t="shared" si="28"/>
        <v/>
      </c>
      <c r="T1616" s="42"/>
    </row>
    <row r="1617" ht="22.5" customHeight="1">
      <c r="B1617" s="42">
        <f t="shared" si="7"/>
        <v>1611</v>
      </c>
      <c r="C1617" s="31" t="s">
        <v>1743</v>
      </c>
      <c r="D1617" s="34" t="str">
        <f t="array" ref="D1617">IFNA(_xlfn.XLOOKUP(C1617,Table_Tarikan_Warkah[Nomor Sertipikat],Table_Tarikan_Warkah[Nomor Tiket]),"")</f>
        <v>L/16/170325/1</v>
      </c>
      <c r="E1617" s="36" t="str">
        <f t="array" ref="E1617">IFNA(_xlfn.XLOOKUP(D1617,Table_Tarikan_Warkah[Nomor Tiket],Table_Tarikan_Warkah[Tanggal diserahkan kepada Validator]),"")</f>
        <v/>
      </c>
      <c r="F1617" s="36" t="str">
        <f t="array" ref="F1617">IFNA(_xlfn.XLOOKUP(D1617,Table_Tarikan_Warkah[Nomor Tiket],Table_Tarikan_Warkah[Nama Petugas Warkah]),"")</f>
        <v/>
      </c>
      <c r="G1617" s="39" t="str">
        <f t="array" ref="G1617">IFNA(_xlfn.XLOOKUP(D1617,Table_Tarikan_Warkah[Nomor Tiket],Table_Tarikan_Warkah[Jenis Permohonan]),"")</f>
        <v>ROYA</v>
      </c>
      <c r="H1617" s="41" t="s">
        <v>20</v>
      </c>
      <c r="I1617" s="49" t="s">
        <v>23</v>
      </c>
      <c r="J1617" s="36">
        <f t="shared" si="20"/>
        <v>45742.43655</v>
      </c>
      <c r="K1617" s="58" t="s">
        <v>197</v>
      </c>
      <c r="L1617" s="49" t="s">
        <v>23</v>
      </c>
      <c r="M1617" s="36">
        <f t="shared" si="26"/>
        <v>45743.59175</v>
      </c>
      <c r="N1617" s="30" t="str">
        <f t="shared" si="27"/>
        <v>Selesai</v>
      </c>
      <c r="O1617" s="45">
        <f t="shared" si="23"/>
        <v>45743.59175</v>
      </c>
      <c r="P1617" s="47" t="b">
        <v>1</v>
      </c>
      <c r="Q1617" s="36">
        <f t="shared" si="24"/>
        <v>45743.59289</v>
      </c>
      <c r="R1617" s="47" t="b">
        <v>0</v>
      </c>
      <c r="S1617" s="42" t="str">
        <f t="shared" si="28"/>
        <v/>
      </c>
      <c r="T1617" s="42"/>
    </row>
    <row r="1618" ht="22.5" customHeight="1">
      <c r="B1618" s="42">
        <f t="shared" si="7"/>
        <v>1612</v>
      </c>
      <c r="C1618" s="31" t="s">
        <v>1744</v>
      </c>
      <c r="D1618" s="34" t="str">
        <f t="array" ref="D1618">IFNA(_xlfn.XLOOKUP(C1618,Table_Tarikan_Warkah[Nomor Sertipikat],Table_Tarikan_Warkah[Nomor Tiket]),"")</f>
        <v>L/28/040325/1</v>
      </c>
      <c r="E1618" s="36">
        <f t="array" ref="E1618">IFNA(_xlfn.XLOOKUP(D1618,Table_Tarikan_Warkah[Nomor Tiket],Table_Tarikan_Warkah[Tanggal diserahkan kepada Validator]),"")</f>
        <v>45792.47491</v>
      </c>
      <c r="F1618" s="36" t="str">
        <f t="array" ref="F1618">IFNA(_xlfn.XLOOKUP(D1618,Table_Tarikan_Warkah[Nomor Tiket],Table_Tarikan_Warkah[Nama Petugas Warkah]),"")</f>
        <v>Berry</v>
      </c>
      <c r="G1618" s="39" t="str">
        <f t="array" ref="G1618">IFNA(_xlfn.XLOOKUP(D1618,Table_Tarikan_Warkah[Nomor Tiket],Table_Tarikan_Warkah[Jenis Permohonan]),"")</f>
        <v>PEMECAHAN</v>
      </c>
      <c r="H1618" s="41" t="s">
        <v>20</v>
      </c>
      <c r="I1618" s="49" t="s">
        <v>23</v>
      </c>
      <c r="J1618" s="36">
        <f t="shared" si="20"/>
        <v>45742.43665</v>
      </c>
      <c r="K1618" s="56" t="s">
        <v>197</v>
      </c>
      <c r="L1618" s="49" t="s">
        <v>23</v>
      </c>
      <c r="M1618" s="36">
        <f t="shared" si="26"/>
        <v>45743.59175</v>
      </c>
      <c r="N1618" s="30" t="str">
        <f t="shared" si="27"/>
        <v>Selesai</v>
      </c>
      <c r="O1618" s="45">
        <f t="shared" si="23"/>
        <v>45743.59175</v>
      </c>
      <c r="P1618" s="47" t="b">
        <v>1</v>
      </c>
      <c r="Q1618" s="36">
        <f t="shared" si="24"/>
        <v>45743.59289</v>
      </c>
      <c r="R1618" s="47" t="b">
        <v>0</v>
      </c>
      <c r="S1618" s="42" t="str">
        <f t="shared" si="28"/>
        <v/>
      </c>
      <c r="T1618" s="42"/>
    </row>
    <row r="1619" ht="22.5" customHeight="1">
      <c r="B1619" s="42">
        <f t="shared" si="7"/>
        <v>1613</v>
      </c>
      <c r="C1619" s="31" t="s">
        <v>1696</v>
      </c>
      <c r="D1619" s="34" t="str">
        <f t="array" ref="D1619">IFNA(_xlfn.XLOOKUP(C1619,Table_Tarikan_Warkah[Nomor Sertipikat],Table_Tarikan_Warkah[Nomor Tiket]),"")</f>
        <v>K/33/190225/2</v>
      </c>
      <c r="E1619" s="36">
        <f t="array" ref="E1619">IFNA(_xlfn.XLOOKUP(D1619,Table_Tarikan_Warkah[Nomor Tiket],Table_Tarikan_Warkah[Tanggal diserahkan kepada Validator]),"")</f>
        <v>45713.7071</v>
      </c>
      <c r="F1619" s="36" t="str">
        <f t="array" ref="F1619">IFNA(_xlfn.XLOOKUP(D1619,Table_Tarikan_Warkah[Nomor Tiket],Table_Tarikan_Warkah[Nama Petugas Warkah]),"")</f>
        <v/>
      </c>
      <c r="G1619" s="39" t="str">
        <f t="array" ref="G1619">IFNA(_xlfn.XLOOKUP(D1619,Table_Tarikan_Warkah[Nomor Tiket],Table_Tarikan_Warkah[Jenis Permohonan]),"")</f>
        <v>JUAL BELI</v>
      </c>
      <c r="H1619" s="41" t="s">
        <v>20</v>
      </c>
      <c r="I1619" s="49" t="s">
        <v>23</v>
      </c>
      <c r="J1619" s="36">
        <f t="shared" si="20"/>
        <v>45742.56286</v>
      </c>
      <c r="K1619" s="49" t="s">
        <v>197</v>
      </c>
      <c r="L1619" s="49" t="s">
        <v>23</v>
      </c>
      <c r="M1619" s="36">
        <f t="shared" si="26"/>
        <v>45743.59175</v>
      </c>
      <c r="N1619" s="30" t="str">
        <f t="shared" si="27"/>
        <v>Selesai</v>
      </c>
      <c r="O1619" s="45">
        <f t="shared" si="23"/>
        <v>45743.59175</v>
      </c>
      <c r="P1619" s="47" t="b">
        <v>1</v>
      </c>
      <c r="Q1619" s="36">
        <f t="shared" si="24"/>
        <v>45743.59289</v>
      </c>
      <c r="R1619" s="47" t="b">
        <v>0</v>
      </c>
      <c r="S1619" s="42" t="str">
        <f t="shared" si="28"/>
        <v/>
      </c>
      <c r="T1619" s="42"/>
    </row>
    <row r="1620" ht="22.5" customHeight="1">
      <c r="B1620" s="42">
        <f t="shared" si="7"/>
        <v>1614</v>
      </c>
      <c r="C1620" s="31" t="s">
        <v>1745</v>
      </c>
      <c r="D1620" s="34" t="str">
        <f t="array" ref="D1620">IFNA(_xlfn.XLOOKUP(C1620,Table_Tarikan_Warkah[Nomor Sertipikat],Table_Tarikan_Warkah[Nomor Tiket]),"")</f>
        <v>K/20/030325/1</v>
      </c>
      <c r="E1620" s="36">
        <f t="array" ref="E1620">IFNA(_xlfn.XLOOKUP(D1620,Table_Tarikan_Warkah[Nomor Tiket],Table_Tarikan_Warkah[Tanggal diserahkan kepada Validator]),"")</f>
        <v>45743.44315</v>
      </c>
      <c r="F1620" s="36" t="str">
        <f t="array" ref="F1620">IFNA(_xlfn.XLOOKUP(D1620,Table_Tarikan_Warkah[Nomor Tiket],Table_Tarikan_Warkah[Nama Petugas Warkah]),"")</f>
        <v/>
      </c>
      <c r="G1620" s="39" t="str">
        <f t="array" ref="G1620">IFNA(_xlfn.XLOOKUP(D1620,Table_Tarikan_Warkah[Nomor Tiket],Table_Tarikan_Warkah[Jenis Permohonan]),"")</f>
        <v>BN Jual Beli</v>
      </c>
      <c r="H1620" s="41" t="s">
        <v>20</v>
      </c>
      <c r="I1620" s="49" t="s">
        <v>23</v>
      </c>
      <c r="J1620" s="36">
        <f t="shared" si="20"/>
        <v>45742.56295</v>
      </c>
      <c r="K1620" s="58" t="s">
        <v>197</v>
      </c>
      <c r="L1620" s="49" t="s">
        <v>23</v>
      </c>
      <c r="M1620" s="36">
        <f t="shared" si="26"/>
        <v>45743.59179</v>
      </c>
      <c r="N1620" s="30" t="str">
        <f t="shared" si="27"/>
        <v>Selesai</v>
      </c>
      <c r="O1620" s="45">
        <f t="shared" si="23"/>
        <v>45743.59179</v>
      </c>
      <c r="P1620" s="47" t="b">
        <v>1</v>
      </c>
      <c r="Q1620" s="36">
        <f t="shared" si="24"/>
        <v>45743.59289</v>
      </c>
      <c r="R1620" s="47" t="b">
        <v>0</v>
      </c>
      <c r="S1620" s="42" t="str">
        <f t="shared" si="28"/>
        <v/>
      </c>
      <c r="T1620" s="42"/>
    </row>
    <row r="1621" ht="22.5" customHeight="1">
      <c r="B1621" s="42">
        <f t="shared" si="7"/>
        <v>1615</v>
      </c>
      <c r="C1621" s="31" t="s">
        <v>1746</v>
      </c>
      <c r="D1621" s="34" t="str">
        <f t="array" ref="D1621">IFNA(_xlfn.XLOOKUP(C1621,Table_Tarikan_Warkah[Nomor Sertipikat],Table_Tarikan_Warkah[Nomor Tiket]),"")</f>
        <v>K/42/130325/2</v>
      </c>
      <c r="E1621" s="36">
        <f t="array" ref="E1621">IFNA(_xlfn.XLOOKUP(D1621,Table_Tarikan_Warkah[Nomor Tiket],Table_Tarikan_Warkah[Tanggal diserahkan kepada Validator]),"")</f>
        <v>45758.48094</v>
      </c>
      <c r="F1621" s="36" t="str">
        <f t="array" ref="F1621">IFNA(_xlfn.XLOOKUP(D1621,Table_Tarikan_Warkah[Nomor Tiket],Table_Tarikan_Warkah[Nama Petugas Warkah]),"")</f>
        <v/>
      </c>
      <c r="G1621" s="39" t="str">
        <f t="array" ref="G1621">IFNA(_xlfn.XLOOKUP(D1621,Table_Tarikan_Warkah[Nomor Tiket],Table_Tarikan_Warkah[Jenis Permohonan]),"")</f>
        <v>BN JUAL BELI</v>
      </c>
      <c r="H1621" s="41" t="s">
        <v>11</v>
      </c>
      <c r="I1621" s="49" t="s">
        <v>23</v>
      </c>
      <c r="J1621" s="36">
        <f t="shared" si="20"/>
        <v>45743.55607</v>
      </c>
      <c r="K1621" s="56" t="s">
        <v>197</v>
      </c>
      <c r="L1621" s="49" t="s">
        <v>23</v>
      </c>
      <c r="M1621" s="36">
        <f t="shared" si="26"/>
        <v>45743.59179</v>
      </c>
      <c r="N1621" s="30" t="str">
        <f t="shared" si="27"/>
        <v>Selesai</v>
      </c>
      <c r="O1621" s="45">
        <f t="shared" si="23"/>
        <v>45743.59179</v>
      </c>
      <c r="P1621" s="47" t="b">
        <v>1</v>
      </c>
      <c r="Q1621" s="36">
        <f t="shared" si="24"/>
        <v>45743.59292</v>
      </c>
      <c r="R1621" s="47" t="b">
        <v>0</v>
      </c>
      <c r="S1621" s="42" t="str">
        <f t="shared" si="28"/>
        <v/>
      </c>
      <c r="T1621" s="42"/>
    </row>
    <row r="1622" ht="22.5" customHeight="1">
      <c r="B1622" s="42">
        <f t="shared" si="7"/>
        <v>1616</v>
      </c>
      <c r="C1622" s="31" t="s">
        <v>1747</v>
      </c>
      <c r="D1622" s="34" t="str">
        <f t="array" ref="D1622">IFNA(_xlfn.XLOOKUP(C1622,Table_Tarikan_Warkah[Nomor Sertipikat],Table_Tarikan_Warkah[Nomor Tiket]),"")</f>
        <v>K/1/250225/1</v>
      </c>
      <c r="E1622" s="36">
        <f t="array" ref="E1622">IFNA(_xlfn.XLOOKUP(D1622,Table_Tarikan_Warkah[Nomor Tiket],Table_Tarikan_Warkah[Tanggal diserahkan kepada Validator]),"")</f>
        <v>45758.48062</v>
      </c>
      <c r="F1622" s="36" t="str">
        <f t="array" ref="F1622">IFNA(_xlfn.XLOOKUP(D1622,Table_Tarikan_Warkah[Nomor Tiket],Table_Tarikan_Warkah[Nama Petugas Warkah]),"")</f>
        <v/>
      </c>
      <c r="G1622" s="39" t="str">
        <f t="array" ref="G1622">IFNA(_xlfn.XLOOKUP(D1622,Table_Tarikan_Warkah[Nomor Tiket],Table_Tarikan_Warkah[Jenis Permohonan]),"")</f>
        <v>BN JUAL BELI</v>
      </c>
      <c r="H1622" s="41" t="s">
        <v>11</v>
      </c>
      <c r="I1622" s="49" t="s">
        <v>23</v>
      </c>
      <c r="J1622" s="36">
        <f t="shared" si="20"/>
        <v>45743.55611</v>
      </c>
      <c r="K1622" s="58" t="s">
        <v>197</v>
      </c>
      <c r="L1622" s="49" t="s">
        <v>23</v>
      </c>
      <c r="M1622" s="36">
        <f t="shared" si="26"/>
        <v>45743.59179</v>
      </c>
      <c r="N1622" s="30" t="str">
        <f t="shared" si="27"/>
        <v>Selesai</v>
      </c>
      <c r="O1622" s="45">
        <f t="shared" si="23"/>
        <v>45743.59179</v>
      </c>
      <c r="P1622" s="47" t="b">
        <v>1</v>
      </c>
      <c r="Q1622" s="36">
        <f t="shared" si="24"/>
        <v>45743.59292</v>
      </c>
      <c r="R1622" s="47" t="b">
        <v>0</v>
      </c>
      <c r="S1622" s="42" t="str">
        <f t="shared" si="28"/>
        <v/>
      </c>
      <c r="T1622" s="42"/>
    </row>
    <row r="1623" ht="22.5" customHeight="1">
      <c r="B1623" s="42">
        <f t="shared" si="7"/>
        <v>1617</v>
      </c>
      <c r="C1623" s="31" t="s">
        <v>1748</v>
      </c>
      <c r="D1623" s="42" t="s">
        <v>1749</v>
      </c>
      <c r="E1623" s="36">
        <f t="array" ref="E1623">IFNA(_xlfn.XLOOKUP(D1623,Table_Tarikan_Warkah[Nomor Tiket],Table_Tarikan_Warkah[Tanggal diserahkan kepada Validator]),"")</f>
        <v>45758.48132</v>
      </c>
      <c r="F1623" s="36" t="str">
        <f t="array" ref="F1623">IFNA(_xlfn.XLOOKUP(D1623,Table_Tarikan_Warkah[Nomor Tiket],Table_Tarikan_Warkah[Nama Petugas Warkah]),"")</f>
        <v/>
      </c>
      <c r="G1623" s="39" t="str">
        <f t="array" ref="G1623">IFNA(_xlfn.XLOOKUP(D1623,Table_Tarikan_Warkah[Nomor Tiket],Table_Tarikan_Warkah[Jenis Permohonan]),"")</f>
        <v>BN JUAL BELI</v>
      </c>
      <c r="H1623" s="41" t="s">
        <v>11</v>
      </c>
      <c r="I1623" s="49" t="s">
        <v>23</v>
      </c>
      <c r="J1623" s="36">
        <f t="shared" si="20"/>
        <v>45743.55611</v>
      </c>
      <c r="K1623" s="56" t="s">
        <v>197</v>
      </c>
      <c r="L1623" s="49" t="s">
        <v>23</v>
      </c>
      <c r="M1623" s="36">
        <f t="shared" si="26"/>
        <v>45743.59179</v>
      </c>
      <c r="N1623" s="30" t="str">
        <f t="shared" si="27"/>
        <v>Selesai</v>
      </c>
      <c r="O1623" s="45">
        <f t="shared" si="23"/>
        <v>45743.59179</v>
      </c>
      <c r="P1623" s="47" t="b">
        <v>1</v>
      </c>
      <c r="Q1623" s="36">
        <f t="shared" si="24"/>
        <v>45743.59292</v>
      </c>
      <c r="R1623" s="47" t="b">
        <v>0</v>
      </c>
      <c r="S1623" s="42" t="str">
        <f t="shared" si="28"/>
        <v/>
      </c>
      <c r="T1623" s="42"/>
    </row>
    <row r="1624" ht="22.5" customHeight="1">
      <c r="B1624" s="42">
        <f t="shared" si="7"/>
        <v>1618</v>
      </c>
      <c r="C1624" s="31" t="s">
        <v>1750</v>
      </c>
      <c r="D1624" s="34" t="str">
        <f t="array" ref="D1624">IFNA(_xlfn.XLOOKUP(C1624,Table_Tarikan_Warkah[Nomor Sertipikat],Table_Tarikan_Warkah[Nomor Tiket]),"")</f>
        <v>K/12/190325/1</v>
      </c>
      <c r="E1624" s="36" t="str">
        <f t="array" ref="E1624">IFNA(_xlfn.XLOOKUP(D1624,Table_Tarikan_Warkah[Nomor Tiket],Table_Tarikan_Warkah[Tanggal diserahkan kepada Validator]),"")</f>
        <v/>
      </c>
      <c r="F1624" s="36" t="str">
        <f t="array" ref="F1624">IFNA(_xlfn.XLOOKUP(D1624,Table_Tarikan_Warkah[Nomor Tiket],Table_Tarikan_Warkah[Nama Petugas Warkah]),"")</f>
        <v/>
      </c>
      <c r="G1624" s="39" t="str">
        <f t="array" ref="G1624">IFNA(_xlfn.XLOOKUP(D1624,Table_Tarikan_Warkah[Nomor Tiket],Table_Tarikan_Warkah[Jenis Permohonan]),"")</f>
        <v>BN WARIS</v>
      </c>
      <c r="H1624" s="41" t="s">
        <v>11</v>
      </c>
      <c r="I1624" s="49" t="s">
        <v>23</v>
      </c>
      <c r="J1624" s="36">
        <f t="shared" si="20"/>
        <v>45743.55611</v>
      </c>
      <c r="K1624" s="58" t="s">
        <v>197</v>
      </c>
      <c r="L1624" s="49" t="s">
        <v>23</v>
      </c>
      <c r="M1624" s="36">
        <f t="shared" si="26"/>
        <v>45743.59179</v>
      </c>
      <c r="N1624" s="30" t="str">
        <f t="shared" si="27"/>
        <v>Selesai</v>
      </c>
      <c r="O1624" s="45">
        <f t="shared" si="23"/>
        <v>45743.59179</v>
      </c>
      <c r="P1624" s="47" t="b">
        <v>1</v>
      </c>
      <c r="Q1624" s="36">
        <f t="shared" si="24"/>
        <v>45743.59292</v>
      </c>
      <c r="R1624" s="47" t="b">
        <v>0</v>
      </c>
      <c r="S1624" s="42" t="str">
        <f t="shared" si="28"/>
        <v/>
      </c>
      <c r="T1624" s="42"/>
    </row>
    <row r="1625" ht="22.5" customHeight="1">
      <c r="B1625" s="42">
        <f t="shared" si="7"/>
        <v>1619</v>
      </c>
      <c r="C1625" s="31" t="s">
        <v>864</v>
      </c>
      <c r="D1625" s="34" t="str">
        <f t="array" ref="D1625">IFNA(_xlfn.XLOOKUP(C1625,Table_Tarikan_Warkah[Nomor Sertipikat],Table_Tarikan_Warkah[Nomor Tiket]),"")</f>
        <v>K/39/301224/1</v>
      </c>
      <c r="E1625" s="36">
        <f t="array" ref="E1625">IFNA(_xlfn.XLOOKUP(D1625,Table_Tarikan_Warkah[Nomor Tiket],Table_Tarikan_Warkah[Tanggal diserahkan kepada Validator]),"")</f>
        <v>0</v>
      </c>
      <c r="F1625" s="36" t="str">
        <f t="array" ref="F1625">IFNA(_xlfn.XLOOKUP(D1625,Table_Tarikan_Warkah[Nomor Tiket],Table_Tarikan_Warkah[Nama Petugas Warkah]),"")</f>
        <v>Berry</v>
      </c>
      <c r="G1625" s="39" t="str">
        <f t="array" ref="G1625">IFNA(_xlfn.XLOOKUP(D1625,Table_Tarikan_Warkah[Nomor Tiket],Table_Tarikan_Warkah[Jenis Permohonan]),"")</f>
        <v>BN JUAL BELI</v>
      </c>
      <c r="H1625" s="41" t="s">
        <v>11</v>
      </c>
      <c r="I1625" s="49" t="s">
        <v>23</v>
      </c>
      <c r="J1625" s="36">
        <f t="shared" si="20"/>
        <v>45743.55611</v>
      </c>
      <c r="K1625" s="56" t="s">
        <v>197</v>
      </c>
      <c r="L1625" s="49" t="s">
        <v>23</v>
      </c>
      <c r="M1625" s="36">
        <f t="shared" si="26"/>
        <v>45743.59179</v>
      </c>
      <c r="N1625" s="30" t="str">
        <f t="shared" si="27"/>
        <v>Selesai</v>
      </c>
      <c r="O1625" s="45">
        <f t="shared" si="23"/>
        <v>45743.59179</v>
      </c>
      <c r="P1625" s="47" t="b">
        <v>1</v>
      </c>
      <c r="Q1625" s="36">
        <f t="shared" si="24"/>
        <v>45743.59292</v>
      </c>
      <c r="R1625" s="47" t="b">
        <v>0</v>
      </c>
      <c r="S1625" s="42" t="str">
        <f t="shared" si="28"/>
        <v/>
      </c>
      <c r="T1625" s="42"/>
    </row>
    <row r="1626" ht="22.5" customHeight="1">
      <c r="B1626" s="42">
        <f t="shared" si="7"/>
        <v>1620</v>
      </c>
      <c r="C1626" s="31" t="s">
        <v>1751</v>
      </c>
      <c r="D1626" s="34" t="str">
        <f t="array" ref="D1626">IFNA(_xlfn.XLOOKUP(C1626,Table_Tarikan_Warkah[Nomor Sertipikat],Table_Tarikan_Warkah[Nomor Tiket]),"")</f>
        <v>K/36/060225/2</v>
      </c>
      <c r="E1626" s="36">
        <f t="array" ref="E1626">IFNA(_xlfn.XLOOKUP(D1626,Table_Tarikan_Warkah[Nomor Tiket],Table_Tarikan_Warkah[Tanggal diserahkan kepada Validator]),"")</f>
        <v>45758.48117</v>
      </c>
      <c r="F1626" s="36" t="str">
        <f t="array" ref="F1626">IFNA(_xlfn.XLOOKUP(D1626,Table_Tarikan_Warkah[Nomor Tiket],Table_Tarikan_Warkah[Nama Petugas Warkah]),"")</f>
        <v/>
      </c>
      <c r="G1626" s="39" t="str">
        <f t="array" ref="G1626">IFNA(_xlfn.XLOOKUP(D1626,Table_Tarikan_Warkah[Nomor Tiket],Table_Tarikan_Warkah[Jenis Permohonan]),"")</f>
        <v>BN JUAL BELI</v>
      </c>
      <c r="H1626" s="41" t="s">
        <v>11</v>
      </c>
      <c r="I1626" s="49" t="s">
        <v>23</v>
      </c>
      <c r="J1626" s="36">
        <f t="shared" si="20"/>
        <v>45743.55611</v>
      </c>
      <c r="K1626" s="49" t="s">
        <v>197</v>
      </c>
      <c r="L1626" s="49" t="s">
        <v>23</v>
      </c>
      <c r="M1626" s="36">
        <f t="shared" si="26"/>
        <v>45743.59179</v>
      </c>
      <c r="N1626" s="30" t="str">
        <f t="shared" si="27"/>
        <v>Selesai</v>
      </c>
      <c r="O1626" s="45">
        <f t="shared" si="23"/>
        <v>45743.59179</v>
      </c>
      <c r="P1626" s="47" t="b">
        <v>1</v>
      </c>
      <c r="Q1626" s="36">
        <f t="shared" si="24"/>
        <v>45743.59292</v>
      </c>
      <c r="R1626" s="47" t="b">
        <v>0</v>
      </c>
      <c r="S1626" s="42" t="str">
        <f t="shared" si="28"/>
        <v/>
      </c>
      <c r="T1626" s="42"/>
    </row>
    <row r="1627" ht="22.5" customHeight="1">
      <c r="B1627" s="42">
        <f t="shared" si="7"/>
        <v>1621</v>
      </c>
      <c r="C1627" s="31" t="s">
        <v>1752</v>
      </c>
      <c r="D1627" s="34" t="str">
        <f t="array" ref="D1627">IFNA(_xlfn.XLOOKUP(C1627,Table_Tarikan_Warkah[Nomor Sertipikat],Table_Tarikan_Warkah[Nomor Tiket]),"")</f>
        <v>K/27/140325/1</v>
      </c>
      <c r="E1627" s="36">
        <f t="array" ref="E1627">IFNA(_xlfn.XLOOKUP(D1627,Table_Tarikan_Warkah[Nomor Tiket],Table_Tarikan_Warkah[Tanggal diserahkan kepada Validator]),"")</f>
        <v>45758.48028</v>
      </c>
      <c r="F1627" s="36" t="str">
        <f t="array" ref="F1627">IFNA(_xlfn.XLOOKUP(D1627,Table_Tarikan_Warkah[Nomor Tiket],Table_Tarikan_Warkah[Nama Petugas Warkah]),"")</f>
        <v/>
      </c>
      <c r="G1627" s="39" t="str">
        <f t="array" ref="G1627">IFNA(_xlfn.XLOOKUP(D1627,Table_Tarikan_Warkah[Nomor Tiket],Table_Tarikan_Warkah[Jenis Permohonan]),"")</f>
        <v>BN WARIS</v>
      </c>
      <c r="H1627" s="41" t="s">
        <v>11</v>
      </c>
      <c r="I1627" s="49" t="s">
        <v>23</v>
      </c>
      <c r="J1627" s="36">
        <f t="shared" si="20"/>
        <v>45743.55611</v>
      </c>
      <c r="K1627" s="58" t="s">
        <v>197</v>
      </c>
      <c r="L1627" s="49" t="s">
        <v>23</v>
      </c>
      <c r="M1627" s="36">
        <f t="shared" si="26"/>
        <v>45743.59192</v>
      </c>
      <c r="N1627" s="30" t="str">
        <f t="shared" si="27"/>
        <v>Selesai</v>
      </c>
      <c r="O1627" s="45">
        <f t="shared" si="23"/>
        <v>45743.59192</v>
      </c>
      <c r="P1627" s="47" t="b">
        <v>1</v>
      </c>
      <c r="Q1627" s="36">
        <f t="shared" si="24"/>
        <v>45743.59292</v>
      </c>
      <c r="R1627" s="47" t="b">
        <v>0</v>
      </c>
      <c r="S1627" s="42" t="str">
        <f t="shared" si="28"/>
        <v/>
      </c>
      <c r="T1627" s="42"/>
    </row>
    <row r="1628" ht="22.5" customHeight="1">
      <c r="B1628" s="42">
        <f t="shared" si="7"/>
        <v>1622</v>
      </c>
      <c r="C1628" s="31" t="s">
        <v>1753</v>
      </c>
      <c r="D1628" s="34" t="str">
        <f t="array" ref="D1628">IFNA(_xlfn.XLOOKUP(C1628,Table_Tarikan_Warkah[Nomor Sertipikat],Table_Tarikan_Warkah[Nomor Tiket]),"")</f>
        <v>K/9/110325/1</v>
      </c>
      <c r="E1628" s="36">
        <f t="array" ref="E1628">IFNA(_xlfn.XLOOKUP(D1628,Table_Tarikan_Warkah[Nomor Tiket],Table_Tarikan_Warkah[Tanggal diserahkan kepada Validator]),"")</f>
        <v>45758.48017</v>
      </c>
      <c r="F1628" s="36" t="str">
        <f t="array" ref="F1628">IFNA(_xlfn.XLOOKUP(D1628,Table_Tarikan_Warkah[Nomor Tiket],Table_Tarikan_Warkah[Nama Petugas Warkah]),"")</f>
        <v/>
      </c>
      <c r="G1628" s="39" t="str">
        <f t="array" ref="G1628">IFNA(_xlfn.XLOOKUP(D1628,Table_Tarikan_Warkah[Nomor Tiket],Table_Tarikan_Warkah[Jenis Permohonan]),"")</f>
        <v>BN  JUAL BELI</v>
      </c>
      <c r="H1628" s="41" t="s">
        <v>11</v>
      </c>
      <c r="I1628" s="49" t="s">
        <v>23</v>
      </c>
      <c r="J1628" s="36">
        <f t="shared" si="20"/>
        <v>45743.55611</v>
      </c>
      <c r="K1628" s="56" t="s">
        <v>197</v>
      </c>
      <c r="L1628" s="49" t="s">
        <v>23</v>
      </c>
      <c r="M1628" s="36">
        <f t="shared" si="26"/>
        <v>45743.59192</v>
      </c>
      <c r="N1628" s="30" t="str">
        <f t="shared" si="27"/>
        <v>Selesai</v>
      </c>
      <c r="O1628" s="45">
        <f t="shared" si="23"/>
        <v>45743.59192</v>
      </c>
      <c r="P1628" s="47" t="b">
        <v>1</v>
      </c>
      <c r="Q1628" s="36">
        <f t="shared" si="24"/>
        <v>45743.59292</v>
      </c>
      <c r="R1628" s="47" t="b">
        <v>0</v>
      </c>
      <c r="S1628" s="42" t="str">
        <f t="shared" si="28"/>
        <v/>
      </c>
      <c r="T1628" s="42"/>
    </row>
    <row r="1629" ht="22.5" customHeight="1">
      <c r="B1629" s="42">
        <f t="shared" si="7"/>
        <v>1623</v>
      </c>
      <c r="C1629" s="31" t="s">
        <v>1754</v>
      </c>
      <c r="D1629" s="34" t="str">
        <f t="array" ref="D1629">IFNA(_xlfn.XLOOKUP(C1629,Table_Tarikan_Warkah[Nomor Sertipikat],Table_Tarikan_Warkah[Nomor Tiket]),"")</f>
        <v>K/30/140325/4</v>
      </c>
      <c r="E1629" s="36">
        <f t="array" ref="E1629">IFNA(_xlfn.XLOOKUP(D1629,Table_Tarikan_Warkah[Nomor Tiket],Table_Tarikan_Warkah[Tanggal diserahkan kepada Validator]),"")</f>
        <v>45758.48074</v>
      </c>
      <c r="F1629" s="36" t="str">
        <f t="array" ref="F1629">IFNA(_xlfn.XLOOKUP(D1629,Table_Tarikan_Warkah[Nomor Tiket],Table_Tarikan_Warkah[Nama Petugas Warkah]),"")</f>
        <v/>
      </c>
      <c r="G1629" s="39" t="str">
        <f t="array" ref="G1629">IFNA(_xlfn.XLOOKUP(D1629,Table_Tarikan_Warkah[Nomor Tiket],Table_Tarikan_Warkah[Jenis Permohonan]),"")</f>
        <v>BN WARIS</v>
      </c>
      <c r="H1629" s="41" t="s">
        <v>11</v>
      </c>
      <c r="I1629" s="49" t="s">
        <v>23</v>
      </c>
      <c r="J1629" s="36">
        <f t="shared" si="20"/>
        <v>45743.55611</v>
      </c>
      <c r="K1629" s="58" t="s">
        <v>197</v>
      </c>
      <c r="L1629" s="49" t="s">
        <v>23</v>
      </c>
      <c r="M1629" s="36">
        <f t="shared" si="26"/>
        <v>45743.59192</v>
      </c>
      <c r="N1629" s="30" t="str">
        <f t="shared" si="27"/>
        <v>Selesai</v>
      </c>
      <c r="O1629" s="45">
        <f t="shared" si="23"/>
        <v>45743.59192</v>
      </c>
      <c r="P1629" s="47" t="b">
        <v>1</v>
      </c>
      <c r="Q1629" s="36">
        <f t="shared" si="24"/>
        <v>45743.59292</v>
      </c>
      <c r="R1629" s="47" t="b">
        <v>0</v>
      </c>
      <c r="S1629" s="42" t="str">
        <f t="shared" si="28"/>
        <v/>
      </c>
      <c r="T1629" s="42"/>
    </row>
    <row r="1630" ht="22.5" customHeight="1">
      <c r="B1630" s="42">
        <f t="shared" si="7"/>
        <v>1624</v>
      </c>
      <c r="C1630" s="31" t="s">
        <v>1755</v>
      </c>
      <c r="D1630" s="34" t="str">
        <f t="array" ref="D1630">IFNA(_xlfn.XLOOKUP(C1630,Table_Tarikan_Warkah[Nomor Sertipikat],Table_Tarikan_Warkah[Nomor Tiket]),"")</f>
        <v>K/2/060325/1</v>
      </c>
      <c r="E1630" s="36" t="str">
        <f t="array" ref="E1630">IFNA(_xlfn.XLOOKUP(D1630,Table_Tarikan_Warkah[Nomor Tiket],Table_Tarikan_Warkah[Tanggal diserahkan kepada Validator]),"")</f>
        <v/>
      </c>
      <c r="F1630" s="36" t="str">
        <f t="array" ref="F1630">IFNA(_xlfn.XLOOKUP(D1630,Table_Tarikan_Warkah[Nomor Tiket],Table_Tarikan_Warkah[Nama Petugas Warkah]),"")</f>
        <v/>
      </c>
      <c r="G1630" s="39" t="str">
        <f t="array" ref="G1630">IFNA(_xlfn.XLOOKUP(D1630,Table_Tarikan_Warkah[Nomor Tiket],Table_Tarikan_Warkah[Jenis Permohonan]),"")</f>
        <v>PERUBAHAN HAK</v>
      </c>
      <c r="H1630" s="41" t="s">
        <v>11</v>
      </c>
      <c r="I1630" s="49" t="s">
        <v>23</v>
      </c>
      <c r="J1630" s="36">
        <f t="shared" si="20"/>
        <v>45743.55611</v>
      </c>
      <c r="K1630" s="56" t="s">
        <v>197</v>
      </c>
      <c r="L1630" s="49" t="s">
        <v>23</v>
      </c>
      <c r="M1630" s="36">
        <f t="shared" si="26"/>
        <v>45743.59192</v>
      </c>
      <c r="N1630" s="30" t="str">
        <f t="shared" si="27"/>
        <v>Selesai</v>
      </c>
      <c r="O1630" s="45">
        <f t="shared" si="23"/>
        <v>45743.59192</v>
      </c>
      <c r="P1630" s="47" t="b">
        <v>1</v>
      </c>
      <c r="Q1630" s="36">
        <f t="shared" si="24"/>
        <v>45743.59292</v>
      </c>
      <c r="R1630" s="47" t="b">
        <v>0</v>
      </c>
      <c r="S1630" s="42" t="str">
        <f t="shared" si="28"/>
        <v/>
      </c>
      <c r="T1630" s="42"/>
    </row>
    <row r="1631" ht="22.5" customHeight="1">
      <c r="B1631" s="42">
        <f t="shared" si="7"/>
        <v>1625</v>
      </c>
      <c r="C1631" s="31" t="s">
        <v>1756</v>
      </c>
      <c r="D1631" s="34" t="str">
        <f t="array" ref="D1631">IFNA(_xlfn.XLOOKUP(C1631,Table_Tarikan_Warkah[Nomor Sertipikat],Table_Tarikan_Warkah[Nomor Tiket]),"")</f>
        <v>K/41/120325/1</v>
      </c>
      <c r="E1631" s="36">
        <f t="array" ref="E1631">IFNA(_xlfn.XLOOKUP(D1631,Table_Tarikan_Warkah[Nomor Tiket],Table_Tarikan_Warkah[Tanggal diserahkan kepada Validator]),"")</f>
        <v>45769.60071</v>
      </c>
      <c r="F1631" s="36" t="str">
        <f t="array" ref="F1631">IFNA(_xlfn.XLOOKUP(D1631,Table_Tarikan_Warkah[Nomor Tiket],Table_Tarikan_Warkah[Nama Petugas Warkah]),"")</f>
        <v/>
      </c>
      <c r="G1631" s="39" t="str">
        <f t="array" ref="G1631">IFNA(_xlfn.XLOOKUP(D1631,Table_Tarikan_Warkah[Nomor Tiket],Table_Tarikan_Warkah[Jenis Permohonan]),"")</f>
        <v>ROYA</v>
      </c>
      <c r="H1631" s="41" t="s">
        <v>11</v>
      </c>
      <c r="I1631" s="49" t="s">
        <v>23</v>
      </c>
      <c r="J1631" s="36">
        <f t="shared" si="20"/>
        <v>45743.55611</v>
      </c>
      <c r="K1631" s="58" t="s">
        <v>197</v>
      </c>
      <c r="L1631" s="49" t="s">
        <v>23</v>
      </c>
      <c r="M1631" s="36">
        <f t="shared" si="26"/>
        <v>45743.59192</v>
      </c>
      <c r="N1631" s="30" t="str">
        <f t="shared" si="27"/>
        <v>Selesai</v>
      </c>
      <c r="O1631" s="45">
        <f t="shared" si="23"/>
        <v>45743.59192</v>
      </c>
      <c r="P1631" s="47" t="b">
        <v>1</v>
      </c>
      <c r="Q1631" s="36">
        <f t="shared" si="24"/>
        <v>45743.59292</v>
      </c>
      <c r="R1631" s="47" t="b">
        <v>0</v>
      </c>
      <c r="S1631" s="42" t="str">
        <f t="shared" si="28"/>
        <v/>
      </c>
      <c r="T1631" s="42"/>
    </row>
    <row r="1632" ht="22.5" customHeight="1">
      <c r="B1632" s="42">
        <f t="shared" si="7"/>
        <v>1626</v>
      </c>
      <c r="C1632" s="31" t="s">
        <v>1757</v>
      </c>
      <c r="D1632" s="34" t="str">
        <f t="array" ref="D1632">IFNA(_xlfn.XLOOKUP(C1632,Table_Tarikan_Warkah[Nomor Sertipikat],Table_Tarikan_Warkah[Nomor Tiket]),"")</f>
        <v>K/55/130325/2</v>
      </c>
      <c r="E1632" s="36" t="str">
        <f t="array" ref="E1632">IFNA(_xlfn.XLOOKUP(D1632,Table_Tarikan_Warkah[Nomor Tiket],Table_Tarikan_Warkah[Tanggal diserahkan kepada Validator]),"")</f>
        <v/>
      </c>
      <c r="F1632" s="36" t="str">
        <f t="array" ref="F1632">IFNA(_xlfn.XLOOKUP(D1632,Table_Tarikan_Warkah[Nomor Tiket],Table_Tarikan_Warkah[Nama Petugas Warkah]),"")</f>
        <v/>
      </c>
      <c r="G1632" s="39" t="str">
        <f t="array" ref="G1632">IFNA(_xlfn.XLOOKUP(D1632,Table_Tarikan_Warkah[Nomor Tiket],Table_Tarikan_Warkah[Jenis Permohonan]),"")</f>
        <v>ROYA</v>
      </c>
      <c r="H1632" s="41" t="s">
        <v>11</v>
      </c>
      <c r="I1632" s="49" t="s">
        <v>23</v>
      </c>
      <c r="J1632" s="36">
        <f t="shared" si="20"/>
        <v>45743.55611</v>
      </c>
      <c r="K1632" s="56" t="s">
        <v>197</v>
      </c>
      <c r="L1632" s="49" t="s">
        <v>23</v>
      </c>
      <c r="M1632" s="36">
        <f t="shared" si="26"/>
        <v>45743.59192</v>
      </c>
      <c r="N1632" s="30" t="str">
        <f t="shared" si="27"/>
        <v>Selesai</v>
      </c>
      <c r="O1632" s="45">
        <f t="shared" si="23"/>
        <v>45743.59192</v>
      </c>
      <c r="P1632" s="47" t="b">
        <v>1</v>
      </c>
      <c r="Q1632" s="36">
        <f t="shared" si="24"/>
        <v>45743.59295</v>
      </c>
      <c r="R1632" s="47" t="b">
        <v>0</v>
      </c>
      <c r="S1632" s="42" t="str">
        <f t="shared" si="28"/>
        <v/>
      </c>
      <c r="T1632" s="42"/>
    </row>
    <row r="1633" ht="22.5" customHeight="1">
      <c r="B1633" s="42">
        <f t="shared" si="7"/>
        <v>1627</v>
      </c>
      <c r="C1633" s="31" t="s">
        <v>1758</v>
      </c>
      <c r="D1633" s="34" t="str">
        <f t="array" ref="D1633">IFNA(_xlfn.XLOOKUP(C1633,Table_Tarikan_Warkah[Nomor Sertipikat],Table_Tarikan_Warkah[Nomor Tiket]),"")</f>
        <v>K/54/130325/1</v>
      </c>
      <c r="E1633" s="36">
        <f t="array" ref="E1633">IFNA(_xlfn.XLOOKUP(D1633,Table_Tarikan_Warkah[Nomor Tiket],Table_Tarikan_Warkah[Tanggal diserahkan kepada Validator]),"")</f>
        <v>45758.47645</v>
      </c>
      <c r="F1633" s="36" t="str">
        <f t="array" ref="F1633">IFNA(_xlfn.XLOOKUP(D1633,Table_Tarikan_Warkah[Nomor Tiket],Table_Tarikan_Warkah[Nama Petugas Warkah]),"")</f>
        <v/>
      </c>
      <c r="G1633" s="39" t="str">
        <f t="array" ref="G1633">IFNA(_xlfn.XLOOKUP(D1633,Table_Tarikan_Warkah[Nomor Tiket],Table_Tarikan_Warkah[Jenis Permohonan]),"")</f>
        <v>KEWARISAN</v>
      </c>
      <c r="H1633" s="41" t="s">
        <v>11</v>
      </c>
      <c r="I1633" s="49" t="s">
        <v>23</v>
      </c>
      <c r="J1633" s="36">
        <f t="shared" si="20"/>
        <v>45743.55611</v>
      </c>
      <c r="K1633" s="49" t="s">
        <v>197</v>
      </c>
      <c r="L1633" s="49" t="s">
        <v>23</v>
      </c>
      <c r="M1633" s="36">
        <f t="shared" si="26"/>
        <v>45743.59192</v>
      </c>
      <c r="N1633" s="30" t="str">
        <f t="shared" si="27"/>
        <v>Selesai</v>
      </c>
      <c r="O1633" s="45">
        <f t="shared" si="23"/>
        <v>45743.59192</v>
      </c>
      <c r="P1633" s="47" t="b">
        <v>1</v>
      </c>
      <c r="Q1633" s="36">
        <f t="shared" si="24"/>
        <v>45743.59295</v>
      </c>
      <c r="R1633" s="47" t="b">
        <v>0</v>
      </c>
      <c r="S1633" s="42" t="str">
        <f t="shared" si="28"/>
        <v/>
      </c>
      <c r="T1633" s="42"/>
    </row>
    <row r="1634" ht="22.5" customHeight="1">
      <c r="B1634" s="42">
        <f t="shared" si="7"/>
        <v>1628</v>
      </c>
      <c r="C1634" s="31" t="s">
        <v>1759</v>
      </c>
      <c r="D1634" s="34" t="str">
        <f t="array" ref="D1634">IFNA(_xlfn.XLOOKUP(C1634,Table_Tarikan_Warkah[Nomor Sertipikat],Table_Tarikan_Warkah[Nomor Tiket]),"")</f>
        <v>K/34/060325/3</v>
      </c>
      <c r="E1634" s="36">
        <f t="array" ref="E1634">IFNA(_xlfn.XLOOKUP(D1634,Table_Tarikan_Warkah[Nomor Tiket],Table_Tarikan_Warkah[Tanggal diserahkan kepada Validator]),"")</f>
        <v>45758.47677</v>
      </c>
      <c r="F1634" s="36" t="str">
        <f t="array" ref="F1634">IFNA(_xlfn.XLOOKUP(D1634,Table_Tarikan_Warkah[Nomor Tiket],Table_Tarikan_Warkah[Nama Petugas Warkah]),"")</f>
        <v/>
      </c>
      <c r="G1634" s="39" t="str">
        <f t="array" ref="G1634">IFNA(_xlfn.XLOOKUP(D1634,Table_Tarikan_Warkah[Nomor Tiket],Table_Tarikan_Warkah[Jenis Permohonan]),"")</f>
        <v>BN Jual Beli</v>
      </c>
      <c r="H1634" s="41" t="s">
        <v>11</v>
      </c>
      <c r="I1634" s="49" t="s">
        <v>23</v>
      </c>
      <c r="J1634" s="36">
        <f t="shared" si="20"/>
        <v>45743.55611</v>
      </c>
      <c r="K1634" s="58" t="s">
        <v>197</v>
      </c>
      <c r="L1634" s="49" t="s">
        <v>23</v>
      </c>
      <c r="M1634" s="36">
        <f t="shared" si="26"/>
        <v>45743.59196</v>
      </c>
      <c r="N1634" s="30" t="str">
        <f t="shared" si="27"/>
        <v>Selesai</v>
      </c>
      <c r="O1634" s="45">
        <f t="shared" si="23"/>
        <v>45743.59196</v>
      </c>
      <c r="P1634" s="47" t="b">
        <v>1</v>
      </c>
      <c r="Q1634" s="36">
        <f t="shared" si="24"/>
        <v>45743.59295</v>
      </c>
      <c r="R1634" s="47" t="b">
        <v>0</v>
      </c>
      <c r="S1634" s="42" t="str">
        <f t="shared" si="28"/>
        <v/>
      </c>
      <c r="T1634" s="42"/>
    </row>
    <row r="1635" ht="22.5" customHeight="1">
      <c r="B1635" s="42">
        <f t="shared" si="7"/>
        <v>1629</v>
      </c>
      <c r="C1635" s="31" t="s">
        <v>1760</v>
      </c>
      <c r="D1635" s="34" t="str">
        <f t="array" ref="D1635">IFNA(_xlfn.XLOOKUP(C1635,Table_Tarikan_Warkah[Nomor Sertipikat],Table_Tarikan_Warkah[Nomor Tiket]),"")</f>
        <v>K/10/120325/1</v>
      </c>
      <c r="E1635" s="36">
        <f t="array" ref="E1635">IFNA(_xlfn.XLOOKUP(D1635,Table_Tarikan_Warkah[Nomor Tiket],Table_Tarikan_Warkah[Tanggal diserahkan kepada Validator]),"")</f>
        <v>45769.60071</v>
      </c>
      <c r="F1635" s="36" t="str">
        <f t="array" ref="F1635">IFNA(_xlfn.XLOOKUP(D1635,Table_Tarikan_Warkah[Nomor Tiket],Table_Tarikan_Warkah[Nama Petugas Warkah]),"")</f>
        <v/>
      </c>
      <c r="G1635" s="39" t="str">
        <f t="array" ref="G1635">IFNA(_xlfn.XLOOKUP(D1635,Table_Tarikan_Warkah[Nomor Tiket],Table_Tarikan_Warkah[Jenis Permohonan]),"")</f>
        <v>ROYA</v>
      </c>
      <c r="H1635" s="41" t="s">
        <v>11</v>
      </c>
      <c r="I1635" s="49" t="s">
        <v>23</v>
      </c>
      <c r="J1635" s="36">
        <f t="shared" si="20"/>
        <v>45743.55611</v>
      </c>
      <c r="K1635" s="56" t="s">
        <v>197</v>
      </c>
      <c r="L1635" s="49" t="s">
        <v>23</v>
      </c>
      <c r="M1635" s="36">
        <f t="shared" si="26"/>
        <v>45743.59196</v>
      </c>
      <c r="N1635" s="30" t="str">
        <f t="shared" si="27"/>
        <v>Selesai</v>
      </c>
      <c r="O1635" s="45">
        <f t="shared" si="23"/>
        <v>45743.59196</v>
      </c>
      <c r="P1635" s="47" t="b">
        <v>1</v>
      </c>
      <c r="Q1635" s="36">
        <f t="shared" si="24"/>
        <v>45743.59295</v>
      </c>
      <c r="R1635" s="47" t="b">
        <v>0</v>
      </c>
      <c r="S1635" s="42" t="str">
        <f t="shared" si="28"/>
        <v/>
      </c>
      <c r="T1635" s="42"/>
    </row>
    <row r="1636" ht="22.5" customHeight="1">
      <c r="B1636" s="42">
        <f t="shared" si="7"/>
        <v>1630</v>
      </c>
      <c r="C1636" s="31" t="s">
        <v>1761</v>
      </c>
      <c r="D1636" s="34" t="str">
        <f t="array" ref="D1636">IFNA(_xlfn.XLOOKUP(C1636,Table_Tarikan_Warkah[Nomor Sertipikat],Table_Tarikan_Warkah[Nomor Tiket]),"")</f>
        <v>K/26/070325/3</v>
      </c>
      <c r="E1636" s="36">
        <f t="array" ref="E1636">IFNA(_xlfn.XLOOKUP(D1636,Table_Tarikan_Warkah[Nomor Tiket],Table_Tarikan_Warkah[Tanggal diserahkan kepada Validator]),"")</f>
        <v>45758.47573</v>
      </c>
      <c r="F1636" s="36" t="str">
        <f t="array" ref="F1636">IFNA(_xlfn.XLOOKUP(D1636,Table_Tarikan_Warkah[Nomor Tiket],Table_Tarikan_Warkah[Nama Petugas Warkah]),"")</f>
        <v/>
      </c>
      <c r="G1636" s="39" t="str">
        <f t="array" ref="G1636">IFNA(_xlfn.XLOOKUP(D1636,Table_Tarikan_Warkah[Nomor Tiket],Table_Tarikan_Warkah[Jenis Permohonan]),"")</f>
        <v>JUAL BELI</v>
      </c>
      <c r="H1636" s="41" t="s">
        <v>11</v>
      </c>
      <c r="I1636" s="49" t="s">
        <v>23</v>
      </c>
      <c r="J1636" s="36">
        <f t="shared" si="20"/>
        <v>45743.55611</v>
      </c>
      <c r="K1636" s="58" t="s">
        <v>197</v>
      </c>
      <c r="L1636" s="49" t="s">
        <v>23</v>
      </c>
      <c r="M1636" s="36">
        <f t="shared" si="26"/>
        <v>45743.59196</v>
      </c>
      <c r="N1636" s="30" t="str">
        <f t="shared" si="27"/>
        <v>Selesai</v>
      </c>
      <c r="O1636" s="45">
        <f t="shared" si="23"/>
        <v>45743.59196</v>
      </c>
      <c r="P1636" s="47" t="b">
        <v>1</v>
      </c>
      <c r="Q1636" s="36">
        <f t="shared" si="24"/>
        <v>45743.59295</v>
      </c>
      <c r="R1636" s="47" t="b">
        <v>0</v>
      </c>
      <c r="S1636" s="42" t="str">
        <f t="shared" si="28"/>
        <v/>
      </c>
      <c r="T1636" s="42"/>
    </row>
    <row r="1637" ht="22.5" customHeight="1">
      <c r="B1637" s="42">
        <f t="shared" si="7"/>
        <v>1631</v>
      </c>
      <c r="C1637" s="31" t="s">
        <v>1762</v>
      </c>
      <c r="D1637" s="34" t="str">
        <f t="array" ref="D1637">IFNA(_xlfn.XLOOKUP(C1637,Table_Tarikan_Warkah[Nomor Sertipikat],Table_Tarikan_Warkah[Nomor Tiket]),"")</f>
        <v>K/15/190325/1</v>
      </c>
      <c r="E1637" s="36">
        <f t="array" ref="E1637">IFNA(_xlfn.XLOOKUP(D1637,Table_Tarikan_Warkah[Nomor Tiket],Table_Tarikan_Warkah[Tanggal diserahkan kepada Validator]),"")</f>
        <v>45758.47589</v>
      </c>
      <c r="F1637" s="36" t="str">
        <f t="array" ref="F1637">IFNA(_xlfn.XLOOKUP(D1637,Table_Tarikan_Warkah[Nomor Tiket],Table_Tarikan_Warkah[Nama Petugas Warkah]),"")</f>
        <v/>
      </c>
      <c r="G1637" s="39" t="str">
        <f t="array" ref="G1637">IFNA(_xlfn.XLOOKUP(D1637,Table_Tarikan_Warkah[Nomor Tiket],Table_Tarikan_Warkah[Jenis Permohonan]),"")</f>
        <v>JUAL BELI</v>
      </c>
      <c r="H1637" s="41" t="s">
        <v>11</v>
      </c>
      <c r="I1637" s="49" t="s">
        <v>23</v>
      </c>
      <c r="J1637" s="36">
        <f t="shared" si="20"/>
        <v>45743.55611</v>
      </c>
      <c r="K1637" s="56" t="s">
        <v>197</v>
      </c>
      <c r="L1637" s="49" t="s">
        <v>23</v>
      </c>
      <c r="M1637" s="36">
        <f t="shared" si="26"/>
        <v>45743.59196</v>
      </c>
      <c r="N1637" s="30" t="str">
        <f t="shared" si="27"/>
        <v>Selesai</v>
      </c>
      <c r="O1637" s="45">
        <f t="shared" si="23"/>
        <v>45743.59196</v>
      </c>
      <c r="P1637" s="47" t="b">
        <v>1</v>
      </c>
      <c r="Q1637" s="36">
        <f t="shared" si="24"/>
        <v>45743.59295</v>
      </c>
      <c r="R1637" s="47" t="b">
        <v>0</v>
      </c>
      <c r="S1637" s="42" t="str">
        <f t="shared" si="28"/>
        <v/>
      </c>
      <c r="T1637" s="42"/>
    </row>
    <row r="1638" ht="22.5" customHeight="1">
      <c r="B1638" s="42">
        <f t="shared" si="7"/>
        <v>1632</v>
      </c>
      <c r="C1638" s="31" t="s">
        <v>1763</v>
      </c>
      <c r="D1638" s="34" t="str">
        <f t="array" ref="D1638">IFNA(_xlfn.XLOOKUP(C1638,Table_Tarikan_Warkah[Nomor Sertipikat],Table_Tarikan_Warkah[Nomor Tiket]),"")</f>
        <v>K/36/170325/3</v>
      </c>
      <c r="E1638" s="36">
        <f t="array" ref="E1638">IFNA(_xlfn.XLOOKUP(D1638,Table_Tarikan_Warkah[Nomor Tiket],Table_Tarikan_Warkah[Tanggal diserahkan kepada Validator]),"")</f>
        <v>45758.47659</v>
      </c>
      <c r="F1638" s="36" t="str">
        <f t="array" ref="F1638">IFNA(_xlfn.XLOOKUP(D1638,Table_Tarikan_Warkah[Nomor Tiket],Table_Tarikan_Warkah[Nama Petugas Warkah]),"")</f>
        <v/>
      </c>
      <c r="G1638" s="39" t="str">
        <f t="array" ref="G1638">IFNA(_xlfn.XLOOKUP(D1638,Table_Tarikan_Warkah[Nomor Tiket],Table_Tarikan_Warkah[Jenis Permohonan]),"")</f>
        <v>JUAL BELI</v>
      </c>
      <c r="H1638" s="41" t="s">
        <v>11</v>
      </c>
      <c r="I1638" s="49" t="s">
        <v>23</v>
      </c>
      <c r="J1638" s="36">
        <f t="shared" si="20"/>
        <v>45743.55611</v>
      </c>
      <c r="K1638" s="58" t="s">
        <v>197</v>
      </c>
      <c r="L1638" s="49" t="s">
        <v>23</v>
      </c>
      <c r="M1638" s="36">
        <f t="shared" si="26"/>
        <v>45743.59196</v>
      </c>
      <c r="N1638" s="30" t="str">
        <f t="shared" si="27"/>
        <v>Selesai</v>
      </c>
      <c r="O1638" s="45">
        <f t="shared" si="23"/>
        <v>45743.59196</v>
      </c>
      <c r="P1638" s="47" t="b">
        <v>1</v>
      </c>
      <c r="Q1638" s="36">
        <f t="shared" si="24"/>
        <v>45743.59295</v>
      </c>
      <c r="R1638" s="47" t="b">
        <v>0</v>
      </c>
      <c r="S1638" s="42" t="str">
        <f t="shared" si="28"/>
        <v/>
      </c>
      <c r="T1638" s="42"/>
    </row>
    <row r="1639" ht="22.5" customHeight="1">
      <c r="B1639" s="42">
        <f t="shared" si="7"/>
        <v>1633</v>
      </c>
      <c r="C1639" s="31" t="s">
        <v>1764</v>
      </c>
      <c r="D1639" s="34" t="str">
        <f t="array" ref="D1639">IFNA(_xlfn.XLOOKUP(C1639,Table_Tarikan_Warkah[Nomor Sertipikat],Table_Tarikan_Warkah[Nomor Tiket]),"")</f>
        <v>K/41/110325/1</v>
      </c>
      <c r="E1639" s="36" t="str">
        <f t="array" ref="E1639">IFNA(_xlfn.XLOOKUP(D1639,Table_Tarikan_Warkah[Nomor Tiket],Table_Tarikan_Warkah[Tanggal diserahkan kepada Validator]),"")</f>
        <v/>
      </c>
      <c r="F1639" s="36" t="str">
        <f t="array" ref="F1639">IFNA(_xlfn.XLOOKUP(D1639,Table_Tarikan_Warkah[Nomor Tiket],Table_Tarikan_Warkah[Nama Petugas Warkah]),"")</f>
        <v/>
      </c>
      <c r="G1639" s="39" t="str">
        <f t="array" ref="G1639">IFNA(_xlfn.XLOOKUP(D1639,Table_Tarikan_Warkah[Nomor Tiket],Table_Tarikan_Warkah[Jenis Permohonan]),"")</f>
        <v>PENINGKATAN </v>
      </c>
      <c r="H1639" s="41" t="s">
        <v>11</v>
      </c>
      <c r="I1639" s="49" t="s">
        <v>23</v>
      </c>
      <c r="J1639" s="36">
        <f t="shared" si="20"/>
        <v>45743.55611</v>
      </c>
      <c r="K1639" s="56" t="s">
        <v>197</v>
      </c>
      <c r="L1639" s="49" t="s">
        <v>23</v>
      </c>
      <c r="M1639" s="36">
        <f t="shared" si="26"/>
        <v>45743.59196</v>
      </c>
      <c r="N1639" s="30" t="str">
        <f t="shared" si="27"/>
        <v>Selesai</v>
      </c>
      <c r="O1639" s="45">
        <f t="shared" si="23"/>
        <v>45743.59196</v>
      </c>
      <c r="P1639" s="47" t="b">
        <v>1</v>
      </c>
      <c r="Q1639" s="36">
        <f t="shared" si="24"/>
        <v>45743.59295</v>
      </c>
      <c r="R1639" s="47" t="b">
        <v>0</v>
      </c>
      <c r="S1639" s="42" t="str">
        <f t="shared" si="28"/>
        <v/>
      </c>
      <c r="T1639" s="42"/>
    </row>
    <row r="1640" ht="22.5" customHeight="1">
      <c r="B1640" s="42">
        <f t="shared" si="7"/>
        <v>1634</v>
      </c>
      <c r="C1640" s="31" t="s">
        <v>1765</v>
      </c>
      <c r="D1640" s="34" t="str">
        <f t="array" ref="D1640">IFNA(_xlfn.XLOOKUP(C1640,Table_Tarikan_Warkah[Nomor Sertipikat],Table_Tarikan_Warkah[Nomor Tiket]),"")</f>
        <v>K/14/130325/1</v>
      </c>
      <c r="E1640" s="36">
        <f t="array" ref="E1640">IFNA(_xlfn.XLOOKUP(D1640,Table_Tarikan_Warkah[Nomor Tiket],Table_Tarikan_Warkah[Tanggal diserahkan kepada Validator]),"")</f>
        <v>45758.47426</v>
      </c>
      <c r="F1640" s="36" t="str">
        <f t="array" ref="F1640">IFNA(_xlfn.XLOOKUP(D1640,Table_Tarikan_Warkah[Nomor Tiket],Table_Tarikan_Warkah[Nama Petugas Warkah]),"")</f>
        <v/>
      </c>
      <c r="G1640" s="39" t="str">
        <f t="array" ref="G1640">IFNA(_xlfn.XLOOKUP(D1640,Table_Tarikan_Warkah[Nomor Tiket],Table_Tarikan_Warkah[Jenis Permohonan]),"")</f>
        <v>BN JUAL BELI</v>
      </c>
      <c r="H1640" s="41" t="s">
        <v>11</v>
      </c>
      <c r="I1640" s="49" t="s">
        <v>23</v>
      </c>
      <c r="J1640" s="36">
        <f t="shared" si="20"/>
        <v>45743.55611</v>
      </c>
      <c r="K1640" s="49" t="s">
        <v>197</v>
      </c>
      <c r="L1640" s="49" t="s">
        <v>23</v>
      </c>
      <c r="M1640" s="36">
        <f t="shared" si="26"/>
        <v>45743.59196</v>
      </c>
      <c r="N1640" s="30" t="str">
        <f t="shared" si="27"/>
        <v>Selesai</v>
      </c>
      <c r="O1640" s="45">
        <f t="shared" si="23"/>
        <v>45743.59196</v>
      </c>
      <c r="P1640" s="47" t="b">
        <v>1</v>
      </c>
      <c r="Q1640" s="36">
        <f t="shared" si="24"/>
        <v>45743.59295</v>
      </c>
      <c r="R1640" s="47" t="b">
        <v>0</v>
      </c>
      <c r="S1640" s="42" t="str">
        <f t="shared" si="28"/>
        <v/>
      </c>
      <c r="T1640" s="42"/>
    </row>
    <row r="1641" ht="22.5" customHeight="1">
      <c r="B1641" s="42">
        <f t="shared" si="7"/>
        <v>1635</v>
      </c>
      <c r="C1641" s="31" t="s">
        <v>1766</v>
      </c>
      <c r="D1641" s="34" t="str">
        <f t="array" ref="D1641">IFNA(_xlfn.XLOOKUP(C1641,Table_Tarikan_Warkah[Nomor Sertipikat],Table_Tarikan_Warkah[Nomor Tiket]),"")</f>
        <v>K/9/170325/1</v>
      </c>
      <c r="E1641" s="36">
        <f t="array" ref="E1641">IFNA(_xlfn.XLOOKUP(D1641,Table_Tarikan_Warkah[Nomor Tiket],Table_Tarikan_Warkah[Tanggal diserahkan kepada Validator]),"")</f>
        <v>45769.60071</v>
      </c>
      <c r="F1641" s="36" t="str">
        <f t="array" ref="F1641">IFNA(_xlfn.XLOOKUP(D1641,Table_Tarikan_Warkah[Nomor Tiket],Table_Tarikan_Warkah[Nama Petugas Warkah]),"")</f>
        <v/>
      </c>
      <c r="G1641" s="39" t="str">
        <f t="array" ref="G1641">IFNA(_xlfn.XLOOKUP(D1641,Table_Tarikan_Warkah[Nomor Tiket],Table_Tarikan_Warkah[Jenis Permohonan]),"")</f>
        <v>Roya</v>
      </c>
      <c r="H1641" s="41" t="s">
        <v>11</v>
      </c>
      <c r="I1641" s="49" t="s">
        <v>23</v>
      </c>
      <c r="J1641" s="36">
        <f t="shared" si="20"/>
        <v>45743.55611</v>
      </c>
      <c r="K1641" s="58" t="s">
        <v>197</v>
      </c>
      <c r="L1641" s="49" t="s">
        <v>23</v>
      </c>
      <c r="M1641" s="36">
        <f t="shared" si="26"/>
        <v>45743.59199</v>
      </c>
      <c r="N1641" s="30" t="str">
        <f t="shared" si="27"/>
        <v>Selesai</v>
      </c>
      <c r="O1641" s="45">
        <f t="shared" si="23"/>
        <v>45743.59199</v>
      </c>
      <c r="P1641" s="47" t="b">
        <v>1</v>
      </c>
      <c r="Q1641" s="36">
        <f t="shared" si="24"/>
        <v>45743.59295</v>
      </c>
      <c r="R1641" s="47" t="b">
        <v>0</v>
      </c>
      <c r="S1641" s="42" t="str">
        <f t="shared" si="28"/>
        <v/>
      </c>
      <c r="T1641" s="42"/>
    </row>
    <row r="1642" ht="22.5" customHeight="1">
      <c r="B1642" s="42">
        <f t="shared" si="7"/>
        <v>1636</v>
      </c>
      <c r="C1642" s="31" t="s">
        <v>1767</v>
      </c>
      <c r="D1642" s="34" t="str">
        <f t="array" ref="D1642">IFNA(_xlfn.XLOOKUP(C1642,Table_Tarikan_Warkah[Nomor Sertipikat],Table_Tarikan_Warkah[Nomor Tiket]),"")</f>
        <v>K/6/110325/1</v>
      </c>
      <c r="E1642" s="36">
        <f t="array" ref="E1642">IFNA(_xlfn.XLOOKUP(D1642,Table_Tarikan_Warkah[Nomor Tiket],Table_Tarikan_Warkah[Tanggal diserahkan kepada Validator]),"")</f>
        <v>45761.44134</v>
      </c>
      <c r="F1642" s="36" t="str">
        <f t="array" ref="F1642">IFNA(_xlfn.XLOOKUP(D1642,Table_Tarikan_Warkah[Nomor Tiket],Table_Tarikan_Warkah[Nama Petugas Warkah]),"")</f>
        <v/>
      </c>
      <c r="G1642" s="39" t="str">
        <f t="array" ref="G1642">IFNA(_xlfn.XLOOKUP(D1642,Table_Tarikan_Warkah[Nomor Tiket],Table_Tarikan_Warkah[Jenis Permohonan]),"")</f>
        <v>BN Jual Beli</v>
      </c>
      <c r="H1642" s="41" t="s">
        <v>11</v>
      </c>
      <c r="I1642" s="49" t="s">
        <v>23</v>
      </c>
      <c r="J1642" s="36">
        <f t="shared" si="20"/>
        <v>45743.55611</v>
      </c>
      <c r="K1642" s="56" t="s">
        <v>197</v>
      </c>
      <c r="L1642" s="49" t="s">
        <v>23</v>
      </c>
      <c r="M1642" s="36">
        <f t="shared" si="26"/>
        <v>45743.59199</v>
      </c>
      <c r="N1642" s="30" t="str">
        <f t="shared" si="27"/>
        <v>Selesai</v>
      </c>
      <c r="O1642" s="45">
        <f t="shared" si="23"/>
        <v>45743.59199</v>
      </c>
      <c r="P1642" s="47" t="b">
        <v>1</v>
      </c>
      <c r="Q1642" s="36">
        <f t="shared" si="24"/>
        <v>45743.59295</v>
      </c>
      <c r="R1642" s="47" t="b">
        <v>0</v>
      </c>
      <c r="S1642" s="42" t="str">
        <f t="shared" si="28"/>
        <v/>
      </c>
      <c r="T1642" s="42"/>
    </row>
    <row r="1643" ht="22.5" customHeight="1">
      <c r="B1643" s="42">
        <f t="shared" si="7"/>
        <v>1637</v>
      </c>
      <c r="C1643" s="31" t="s">
        <v>1768</v>
      </c>
      <c r="D1643" s="34" t="str">
        <f t="array" ref="D1643">IFNA(_xlfn.XLOOKUP(C1643,Table_Tarikan_Warkah[Nomor Sertipikat],Table_Tarikan_Warkah[Nomor Tiket]),"")</f>
        <v>K/10/170225/1</v>
      </c>
      <c r="E1643" s="36">
        <f t="array" ref="E1643">IFNA(_xlfn.XLOOKUP(D1643,Table_Tarikan_Warkah[Nomor Tiket],Table_Tarikan_Warkah[Tanggal diserahkan kepada Validator]),"")</f>
        <v>45758.47346</v>
      </c>
      <c r="F1643" s="36" t="str">
        <f t="array" ref="F1643">IFNA(_xlfn.XLOOKUP(D1643,Table_Tarikan_Warkah[Nomor Tiket],Table_Tarikan_Warkah[Nama Petugas Warkah]),"")</f>
        <v/>
      </c>
      <c r="G1643" s="39" t="str">
        <f t="array" ref="G1643">IFNA(_xlfn.XLOOKUP(D1643,Table_Tarikan_Warkah[Nomor Tiket],Table_Tarikan_Warkah[Jenis Permohonan]),"")</f>
        <v>BN JUAL BELI</v>
      </c>
      <c r="H1643" s="41" t="s">
        <v>11</v>
      </c>
      <c r="I1643" s="49" t="s">
        <v>23</v>
      </c>
      <c r="J1643" s="36">
        <f t="shared" si="20"/>
        <v>45743.55611</v>
      </c>
      <c r="K1643" s="58" t="s">
        <v>197</v>
      </c>
      <c r="L1643" s="49" t="s">
        <v>23</v>
      </c>
      <c r="M1643" s="36">
        <f t="shared" si="26"/>
        <v>45743.59199</v>
      </c>
      <c r="N1643" s="30" t="str">
        <f t="shared" si="27"/>
        <v>Selesai</v>
      </c>
      <c r="O1643" s="45">
        <f t="shared" si="23"/>
        <v>45743.59199</v>
      </c>
      <c r="P1643" s="47" t="b">
        <v>1</v>
      </c>
      <c r="Q1643" s="36">
        <f t="shared" si="24"/>
        <v>45743.59298</v>
      </c>
      <c r="R1643" s="47" t="b">
        <v>0</v>
      </c>
      <c r="S1643" s="42" t="str">
        <f t="shared" si="28"/>
        <v/>
      </c>
      <c r="T1643" s="42"/>
    </row>
    <row r="1644" ht="22.5" customHeight="1">
      <c r="B1644" s="42">
        <f t="shared" si="7"/>
        <v>1638</v>
      </c>
      <c r="C1644" s="31" t="s">
        <v>1769</v>
      </c>
      <c r="D1644" s="34" t="str">
        <f t="array" ref="D1644">IFNA(_xlfn.XLOOKUP(C1644,Table_Tarikan_Warkah[Nomor Sertipikat],Table_Tarikan_Warkah[Nomor Tiket]),"")</f>
        <v>L/19/200225/1</v>
      </c>
      <c r="E1644" s="36" t="str">
        <f t="array" ref="E1644">IFNA(_xlfn.XLOOKUP(D1644,Table_Tarikan_Warkah[Nomor Tiket],Table_Tarikan_Warkah[Tanggal diserahkan kepada Validator]),"")</f>
        <v/>
      </c>
      <c r="F1644" s="36" t="str">
        <f t="array" ref="F1644">IFNA(_xlfn.XLOOKUP(D1644,Table_Tarikan_Warkah[Nomor Tiket],Table_Tarikan_Warkah[Nama Petugas Warkah]),"")</f>
        <v/>
      </c>
      <c r="G1644" s="39" t="str">
        <f t="array" ref="G1644">IFNA(_xlfn.XLOOKUP(D1644,Table_Tarikan_Warkah[Nomor Tiket],Table_Tarikan_Warkah[Jenis Permohonan]),"")</f>
        <v>ROYA</v>
      </c>
      <c r="H1644" s="41" t="s">
        <v>20</v>
      </c>
      <c r="I1644" s="49" t="s">
        <v>23</v>
      </c>
      <c r="J1644" s="36">
        <f t="shared" si="20"/>
        <v>45743.40334</v>
      </c>
      <c r="K1644" s="56" t="s">
        <v>197</v>
      </c>
      <c r="L1644" s="49" t="s">
        <v>23</v>
      </c>
      <c r="M1644" s="36">
        <f t="shared" si="26"/>
        <v>45743.59199</v>
      </c>
      <c r="N1644" s="30" t="str">
        <f t="shared" si="27"/>
        <v>Selesai</v>
      </c>
      <c r="O1644" s="45">
        <f t="shared" si="23"/>
        <v>45743.59199</v>
      </c>
      <c r="P1644" s="47" t="b">
        <v>1</v>
      </c>
      <c r="Q1644" s="36">
        <f t="shared" si="24"/>
        <v>45743.59298</v>
      </c>
      <c r="R1644" s="47" t="b">
        <v>0</v>
      </c>
      <c r="S1644" s="42" t="str">
        <f t="shared" si="28"/>
        <v/>
      </c>
      <c r="T1644" s="42"/>
    </row>
    <row r="1645" ht="22.5" customHeight="1">
      <c r="B1645" s="42">
        <f t="shared" si="7"/>
        <v>1639</v>
      </c>
      <c r="C1645" s="31" t="s">
        <v>1770</v>
      </c>
      <c r="D1645" s="34" t="str">
        <f t="array" ref="D1645">IFNA(_xlfn.XLOOKUP(C1645,Table_Tarikan_Warkah[Nomor Sertipikat],Table_Tarikan_Warkah[Nomor Tiket]),"")</f>
        <v>L/29/130325/1</v>
      </c>
      <c r="E1645" s="36">
        <f t="array" ref="E1645">IFNA(_xlfn.XLOOKUP(D1645,Table_Tarikan_Warkah[Nomor Tiket],Table_Tarikan_Warkah[Tanggal diserahkan kepada Validator]),"")</f>
        <v>45783.47197</v>
      </c>
      <c r="F1645" s="36" t="str">
        <f t="array" ref="F1645">IFNA(_xlfn.XLOOKUP(D1645,Table_Tarikan_Warkah[Nomor Tiket],Table_Tarikan_Warkah[Nama Petugas Warkah]),"")</f>
        <v/>
      </c>
      <c r="G1645" s="39" t="str">
        <f t="array" ref="G1645">IFNA(_xlfn.XLOOKUP(D1645,Table_Tarikan_Warkah[Nomor Tiket],Table_Tarikan_Warkah[Jenis Permohonan]),"")</f>
        <v>ROYA</v>
      </c>
      <c r="H1645" s="41" t="s">
        <v>20</v>
      </c>
      <c r="I1645" s="49" t="s">
        <v>23</v>
      </c>
      <c r="J1645" s="36">
        <f t="shared" si="20"/>
        <v>45743.40347</v>
      </c>
      <c r="K1645" s="58" t="s">
        <v>197</v>
      </c>
      <c r="L1645" s="49" t="s">
        <v>23</v>
      </c>
      <c r="M1645" s="36">
        <f t="shared" si="26"/>
        <v>45743.59199</v>
      </c>
      <c r="N1645" s="30" t="str">
        <f t="shared" si="27"/>
        <v>Selesai</v>
      </c>
      <c r="O1645" s="45">
        <f t="shared" si="23"/>
        <v>45743.59199</v>
      </c>
      <c r="P1645" s="47" t="b">
        <v>1</v>
      </c>
      <c r="Q1645" s="36">
        <f t="shared" si="24"/>
        <v>45743.59298</v>
      </c>
      <c r="R1645" s="47" t="b">
        <v>0</v>
      </c>
      <c r="S1645" s="42" t="str">
        <f t="shared" si="28"/>
        <v/>
      </c>
      <c r="T1645" s="42"/>
    </row>
    <row r="1646" ht="22.5" customHeight="1">
      <c r="B1646" s="42">
        <f t="shared" si="7"/>
        <v>1640</v>
      </c>
      <c r="C1646" s="31" t="s">
        <v>1771</v>
      </c>
      <c r="D1646" s="34" t="str">
        <f t="array" ref="D1646">IFNA(_xlfn.XLOOKUP(C1646,Table_Tarikan_Warkah[Nomor Sertipikat],Table_Tarikan_Warkah[Nomor Tiket]),"")</f>
        <v>L/8/200325/1</v>
      </c>
      <c r="E1646" s="36">
        <f t="array" ref="E1646">IFNA(_xlfn.XLOOKUP(D1646,Table_Tarikan_Warkah[Nomor Tiket],Table_Tarikan_Warkah[Tanggal diserahkan kepada Validator]),"")</f>
        <v>45763.55238</v>
      </c>
      <c r="F1646" s="36" t="str">
        <f t="array" ref="F1646">IFNA(_xlfn.XLOOKUP(D1646,Table_Tarikan_Warkah[Nomor Tiket],Table_Tarikan_Warkah[Nama Petugas Warkah]),"")</f>
        <v/>
      </c>
      <c r="G1646" s="39" t="str">
        <f t="array" ref="G1646">IFNA(_xlfn.XLOOKUP(D1646,Table_Tarikan_Warkah[Nomor Tiket],Table_Tarikan_Warkah[Jenis Permohonan]),"")</f>
        <v>ROYA</v>
      </c>
      <c r="H1646" s="41" t="s">
        <v>20</v>
      </c>
      <c r="I1646" s="49" t="s">
        <v>23</v>
      </c>
      <c r="J1646" s="36">
        <f t="shared" si="20"/>
        <v>45743.55588</v>
      </c>
      <c r="K1646" s="56" t="s">
        <v>197</v>
      </c>
      <c r="L1646" s="49" t="s">
        <v>23</v>
      </c>
      <c r="M1646" s="36">
        <f t="shared" si="26"/>
        <v>45743.59199</v>
      </c>
      <c r="N1646" s="30" t="str">
        <f t="shared" si="27"/>
        <v>Selesai</v>
      </c>
      <c r="O1646" s="45">
        <f t="shared" si="23"/>
        <v>45743.59199</v>
      </c>
      <c r="P1646" s="47" t="b">
        <v>1</v>
      </c>
      <c r="Q1646" s="36">
        <f t="shared" si="24"/>
        <v>45743.59298</v>
      </c>
      <c r="R1646" s="47" t="b">
        <v>0</v>
      </c>
      <c r="S1646" s="42" t="str">
        <f t="shared" si="28"/>
        <v/>
      </c>
      <c r="T1646" s="42"/>
    </row>
    <row r="1647" ht="22.5" customHeight="1">
      <c r="B1647" s="42">
        <f t="shared" si="7"/>
        <v>1641</v>
      </c>
      <c r="C1647" s="31" t="s">
        <v>1772</v>
      </c>
      <c r="D1647" s="34" t="str">
        <f t="array" ref="D1647">IFNA(_xlfn.XLOOKUP(C1647,Table_Tarikan_Warkah[Nomor Sertipikat],Table_Tarikan_Warkah[Nomor Tiket]),"")</f>
        <v>K/33/060325/2</v>
      </c>
      <c r="E1647" s="36">
        <f t="array" ref="E1647">IFNA(_xlfn.XLOOKUP(D1647,Table_Tarikan_Warkah[Nomor Tiket],Table_Tarikan_Warkah[Tanggal diserahkan kepada Validator]),"")</f>
        <v>45758.47707</v>
      </c>
      <c r="F1647" s="36" t="str">
        <f t="array" ref="F1647">IFNA(_xlfn.XLOOKUP(D1647,Table_Tarikan_Warkah[Nomor Tiket],Table_Tarikan_Warkah[Nama Petugas Warkah]),"")</f>
        <v/>
      </c>
      <c r="G1647" s="39" t="str">
        <f t="array" ref="G1647">IFNA(_xlfn.XLOOKUP(D1647,Table_Tarikan_Warkah[Nomor Tiket],Table_Tarikan_Warkah[Jenis Permohonan]),"")</f>
        <v>BN Jual Beli</v>
      </c>
      <c r="H1647" s="41" t="s">
        <v>11</v>
      </c>
      <c r="I1647" s="49" t="s">
        <v>23</v>
      </c>
      <c r="J1647" s="36">
        <f t="shared" si="20"/>
        <v>45743.56306</v>
      </c>
      <c r="K1647" s="49" t="s">
        <v>197</v>
      </c>
      <c r="L1647" s="49" t="s">
        <v>23</v>
      </c>
      <c r="M1647" s="36">
        <f t="shared" si="26"/>
        <v>45743.59199</v>
      </c>
      <c r="N1647" s="30" t="str">
        <f t="shared" si="27"/>
        <v>Selesai</v>
      </c>
      <c r="O1647" s="45">
        <f t="shared" si="23"/>
        <v>45743.59199</v>
      </c>
      <c r="P1647" s="47" t="b">
        <v>1</v>
      </c>
      <c r="Q1647" s="36">
        <f t="shared" si="24"/>
        <v>45743.59298</v>
      </c>
      <c r="R1647" s="47" t="b">
        <v>0</v>
      </c>
      <c r="S1647" s="42" t="str">
        <f t="shared" si="28"/>
        <v/>
      </c>
      <c r="T1647" s="42"/>
    </row>
    <row r="1648" ht="22.5" customHeight="1">
      <c r="B1648" s="42">
        <f t="shared" si="7"/>
        <v>1642</v>
      </c>
      <c r="C1648" s="31" t="s">
        <v>1773</v>
      </c>
      <c r="D1648" s="34" t="str">
        <f t="array" ref="D1648">IFNA(_xlfn.XLOOKUP(C1648,Table_Tarikan_Warkah[Nomor Sertipikat],Table_Tarikan_Warkah[Nomor Tiket]),"")</f>
        <v>K/48/070325/1</v>
      </c>
      <c r="E1648" s="36">
        <f t="array" ref="E1648">IFNA(_xlfn.XLOOKUP(D1648,Table_Tarikan_Warkah[Nomor Tiket],Table_Tarikan_Warkah[Tanggal diserahkan kepada Validator]),"")</f>
        <v>45758.4728</v>
      </c>
      <c r="F1648" s="36" t="str">
        <f t="array" ref="F1648">IFNA(_xlfn.XLOOKUP(D1648,Table_Tarikan_Warkah[Nomor Tiket],Table_Tarikan_Warkah[Nama Petugas Warkah]),"")</f>
        <v/>
      </c>
      <c r="G1648" s="39" t="str">
        <f t="array" ref="G1648">IFNA(_xlfn.XLOOKUP(D1648,Table_Tarikan_Warkah[Nomor Tiket],Table_Tarikan_Warkah[Jenis Permohonan]),"")</f>
        <v>BN WARIS</v>
      </c>
      <c r="H1648" s="41" t="s">
        <v>11</v>
      </c>
      <c r="I1648" s="49" t="s">
        <v>23</v>
      </c>
      <c r="J1648" s="36">
        <f t="shared" si="20"/>
        <v>45743.56311</v>
      </c>
      <c r="K1648" s="58" t="s">
        <v>197</v>
      </c>
      <c r="L1648" s="49" t="s">
        <v>23</v>
      </c>
      <c r="M1648" s="36">
        <f t="shared" si="26"/>
        <v>45743.59214</v>
      </c>
      <c r="N1648" s="30" t="str">
        <f t="shared" si="27"/>
        <v>Selesai</v>
      </c>
      <c r="O1648" s="45">
        <f t="shared" si="23"/>
        <v>45743.59214</v>
      </c>
      <c r="P1648" s="47" t="b">
        <v>1</v>
      </c>
      <c r="Q1648" s="36">
        <f t="shared" si="24"/>
        <v>45743.59298</v>
      </c>
      <c r="R1648" s="47" t="b">
        <v>0</v>
      </c>
      <c r="S1648" s="42" t="str">
        <f t="shared" si="28"/>
        <v/>
      </c>
      <c r="T1648" s="42"/>
    </row>
    <row r="1649" ht="22.5" customHeight="1">
      <c r="B1649" s="42">
        <f t="shared" si="7"/>
        <v>1643</v>
      </c>
      <c r="C1649" s="31" t="s">
        <v>1774</v>
      </c>
      <c r="D1649" s="34" t="str">
        <f t="array" ref="D1649">IFNA(_xlfn.XLOOKUP(C1649,Table_Tarikan_Warkah[Nomor Sertipikat],Table_Tarikan_Warkah[Nomor Tiket]),"")</f>
        <v>L/24/110325/1</v>
      </c>
      <c r="E1649" s="36" t="str">
        <f t="array" ref="E1649">IFNA(_xlfn.XLOOKUP(D1649,Table_Tarikan_Warkah[Nomor Tiket],Table_Tarikan_Warkah[Tanggal diserahkan kepada Validator]),"")</f>
        <v/>
      </c>
      <c r="F1649" s="36" t="str">
        <f t="array" ref="F1649">IFNA(_xlfn.XLOOKUP(D1649,Table_Tarikan_Warkah[Nomor Tiket],Table_Tarikan_Warkah[Nama Petugas Warkah]),"")</f>
        <v/>
      </c>
      <c r="G1649" s="39" t="str">
        <f t="array" ref="G1649">IFNA(_xlfn.XLOOKUP(D1649,Table_Tarikan_Warkah[Nomor Tiket],Table_Tarikan_Warkah[Jenis Permohonan]),"")</f>
        <v>SERTIPIKAT HILANG</v>
      </c>
      <c r="H1649" s="41" t="s">
        <v>11</v>
      </c>
      <c r="I1649" s="49" t="s">
        <v>23</v>
      </c>
      <c r="J1649" s="36">
        <f t="shared" si="20"/>
        <v>45743.56311</v>
      </c>
      <c r="K1649" s="56" t="s">
        <v>197</v>
      </c>
      <c r="L1649" s="49" t="s">
        <v>23</v>
      </c>
      <c r="M1649" s="36">
        <f t="shared" si="26"/>
        <v>45743.59214</v>
      </c>
      <c r="N1649" s="30" t="str">
        <f t="shared" si="27"/>
        <v>Selesai</v>
      </c>
      <c r="O1649" s="45">
        <f t="shared" si="23"/>
        <v>45743.59214</v>
      </c>
      <c r="P1649" s="47" t="b">
        <v>1</v>
      </c>
      <c r="Q1649" s="36">
        <f t="shared" si="24"/>
        <v>45743.59298</v>
      </c>
      <c r="R1649" s="47" t="b">
        <v>0</v>
      </c>
      <c r="S1649" s="42" t="str">
        <f t="shared" si="28"/>
        <v/>
      </c>
      <c r="T1649" s="42"/>
    </row>
    <row r="1650" ht="22.5" customHeight="1">
      <c r="B1650" s="42">
        <f t="shared" si="7"/>
        <v>1644</v>
      </c>
      <c r="C1650" s="31" t="s">
        <v>1775</v>
      </c>
      <c r="D1650" s="34" t="str">
        <f t="array" ref="D1650">IFNA(_xlfn.XLOOKUP(C1650,Table_Tarikan_Warkah[Nomor Sertipikat],Table_Tarikan_Warkah[Nomor Tiket]),"")</f>
        <v>L/23/170325/1</v>
      </c>
      <c r="E1650" s="36" t="str">
        <f t="array" ref="E1650">IFNA(_xlfn.XLOOKUP(D1650,Table_Tarikan_Warkah[Nomor Tiket],Table_Tarikan_Warkah[Tanggal diserahkan kepada Validator]),"")</f>
        <v/>
      </c>
      <c r="F1650" s="36" t="str">
        <f t="array" ref="F1650">IFNA(_xlfn.XLOOKUP(D1650,Table_Tarikan_Warkah[Nomor Tiket],Table_Tarikan_Warkah[Nama Petugas Warkah]),"")</f>
        <v/>
      </c>
      <c r="G1650" s="39" t="str">
        <f t="array" ref="G1650">IFNA(_xlfn.XLOOKUP(D1650,Table_Tarikan_Warkah[Nomor Tiket],Table_Tarikan_Warkah[Jenis Permohonan]),"")</f>
        <v>ROYA</v>
      </c>
      <c r="H1650" s="41" t="s">
        <v>11</v>
      </c>
      <c r="I1650" s="49" t="s">
        <v>23</v>
      </c>
      <c r="J1650" s="36">
        <f t="shared" si="20"/>
        <v>45743.56311</v>
      </c>
      <c r="K1650" s="58" t="s">
        <v>197</v>
      </c>
      <c r="L1650" s="49" t="s">
        <v>23</v>
      </c>
      <c r="M1650" s="36">
        <f t="shared" si="26"/>
        <v>45743.59214</v>
      </c>
      <c r="N1650" s="30" t="str">
        <f t="shared" si="27"/>
        <v>Selesai</v>
      </c>
      <c r="O1650" s="45">
        <f t="shared" si="23"/>
        <v>45743.59214</v>
      </c>
      <c r="P1650" s="47" t="b">
        <v>1</v>
      </c>
      <c r="Q1650" s="36">
        <f t="shared" si="24"/>
        <v>45743.59298</v>
      </c>
      <c r="R1650" s="47" t="b">
        <v>0</v>
      </c>
      <c r="S1650" s="42" t="str">
        <f t="shared" si="28"/>
        <v/>
      </c>
      <c r="T1650" s="42"/>
    </row>
    <row r="1651" ht="22.5" customHeight="1">
      <c r="B1651" s="42">
        <f t="shared" si="7"/>
        <v>1645</v>
      </c>
      <c r="C1651" s="31" t="s">
        <v>1776</v>
      </c>
      <c r="D1651" s="34" t="str">
        <f t="array" ref="D1651">IFNA(_xlfn.XLOOKUP(C1651,Table_Tarikan_Warkah[Nomor Sertipikat],Table_Tarikan_Warkah[Nomor Tiket]),"")</f>
        <v>K/12/170325/1</v>
      </c>
      <c r="E1651" s="36">
        <f t="array" ref="E1651">IFNA(_xlfn.XLOOKUP(D1651,Table_Tarikan_Warkah[Nomor Tiket],Table_Tarikan_Warkah[Tanggal diserahkan kepada Validator]),"")</f>
        <v>45758.47725</v>
      </c>
      <c r="F1651" s="36" t="str">
        <f t="array" ref="F1651">IFNA(_xlfn.XLOOKUP(D1651,Table_Tarikan_Warkah[Nomor Tiket],Table_Tarikan_Warkah[Nama Petugas Warkah]),"")</f>
        <v/>
      </c>
      <c r="G1651" s="39" t="str">
        <f t="array" ref="G1651">IFNA(_xlfn.XLOOKUP(D1651,Table_Tarikan_Warkah[Nomor Tiket],Table_Tarikan_Warkah[Jenis Permohonan]),"")</f>
        <v>BN Jual Beli</v>
      </c>
      <c r="H1651" s="41" t="s">
        <v>11</v>
      </c>
      <c r="I1651" s="49" t="s">
        <v>23</v>
      </c>
      <c r="J1651" s="36">
        <f t="shared" si="20"/>
        <v>45743.56311</v>
      </c>
      <c r="K1651" s="56" t="s">
        <v>197</v>
      </c>
      <c r="L1651" s="49" t="s">
        <v>23</v>
      </c>
      <c r="M1651" s="36">
        <f t="shared" si="26"/>
        <v>45743.59214</v>
      </c>
      <c r="N1651" s="30" t="str">
        <f t="shared" si="27"/>
        <v>Selesai</v>
      </c>
      <c r="O1651" s="45">
        <f t="shared" si="23"/>
        <v>45743.59214</v>
      </c>
      <c r="P1651" s="47" t="b">
        <v>1</v>
      </c>
      <c r="Q1651" s="36">
        <f t="shared" si="24"/>
        <v>45743.59298</v>
      </c>
      <c r="R1651" s="47" t="b">
        <v>0</v>
      </c>
      <c r="S1651" s="42" t="str">
        <f t="shared" si="28"/>
        <v/>
      </c>
      <c r="T1651" s="42"/>
    </row>
    <row r="1652" ht="22.5" customHeight="1">
      <c r="B1652" s="42">
        <f t="shared" si="7"/>
        <v>1646</v>
      </c>
      <c r="C1652" s="31" t="s">
        <v>1777</v>
      </c>
      <c r="D1652" s="34" t="str">
        <f t="array" ref="D1652">IFNA(_xlfn.XLOOKUP(C1652,Table_Tarikan_Warkah[Nomor Sertipikat],Table_Tarikan_Warkah[Nomor Tiket]),"")</f>
        <v>K/32/120325/2</v>
      </c>
      <c r="E1652" s="36">
        <f t="array" ref="E1652">IFNA(_xlfn.XLOOKUP(D1652,Table_Tarikan_Warkah[Nomor Tiket],Table_Tarikan_Warkah[Tanggal diserahkan kepada Validator]),"")</f>
        <v>45758.47528</v>
      </c>
      <c r="F1652" s="36" t="str">
        <f t="array" ref="F1652">IFNA(_xlfn.XLOOKUP(D1652,Table_Tarikan_Warkah[Nomor Tiket],Table_Tarikan_Warkah[Nama Petugas Warkah]),"")</f>
        <v/>
      </c>
      <c r="G1652" s="39" t="str">
        <f t="array" ref="G1652">IFNA(_xlfn.XLOOKUP(D1652,Table_Tarikan_Warkah[Nomor Tiket],Table_Tarikan_Warkah[Jenis Permohonan]),"")</f>
        <v>KEWARISAN</v>
      </c>
      <c r="H1652" s="41" t="s">
        <v>11</v>
      </c>
      <c r="I1652" s="49" t="s">
        <v>23</v>
      </c>
      <c r="J1652" s="36">
        <f t="shared" si="20"/>
        <v>45743.56311</v>
      </c>
      <c r="K1652" s="58" t="s">
        <v>197</v>
      </c>
      <c r="L1652" s="49" t="s">
        <v>23</v>
      </c>
      <c r="M1652" s="36">
        <f t="shared" si="26"/>
        <v>45743.59214</v>
      </c>
      <c r="N1652" s="30" t="str">
        <f t="shared" si="27"/>
        <v>Selesai</v>
      </c>
      <c r="O1652" s="45">
        <f t="shared" si="23"/>
        <v>45743.59214</v>
      </c>
      <c r="P1652" s="47" t="b">
        <v>1</v>
      </c>
      <c r="Q1652" s="36">
        <f t="shared" si="24"/>
        <v>45743.59298</v>
      </c>
      <c r="R1652" s="47" t="b">
        <v>0</v>
      </c>
      <c r="S1652" s="42" t="str">
        <f t="shared" si="28"/>
        <v/>
      </c>
      <c r="T1652" s="42"/>
    </row>
    <row r="1653" ht="22.5" customHeight="1">
      <c r="B1653" s="42">
        <f t="shared" si="7"/>
        <v>1647</v>
      </c>
      <c r="C1653" s="31" t="s">
        <v>1778</v>
      </c>
      <c r="D1653" s="34" t="str">
        <f t="array" ref="D1653">IFNA(_xlfn.XLOOKUP(C1653,Table_Tarikan_Warkah[Nomor Sertipikat],Table_Tarikan_Warkah[Nomor Tiket]),"")</f>
        <v>K/22/170325/1</v>
      </c>
      <c r="E1653" s="36" t="str">
        <f t="array" ref="E1653">IFNA(_xlfn.XLOOKUP(D1653,Table_Tarikan_Warkah[Nomor Tiket],Table_Tarikan_Warkah[Tanggal diserahkan kepada Validator]),"")</f>
        <v/>
      </c>
      <c r="F1653" s="36" t="str">
        <f t="array" ref="F1653">IFNA(_xlfn.XLOOKUP(D1653,Table_Tarikan_Warkah[Nomor Tiket],Table_Tarikan_Warkah[Nama Petugas Warkah]),"")</f>
        <v/>
      </c>
      <c r="G1653" s="39" t="str">
        <f t="array" ref="G1653">IFNA(_xlfn.XLOOKUP(D1653,Table_Tarikan_Warkah[Nomor Tiket],Table_Tarikan_Warkah[Jenis Permohonan]),"")</f>
        <v>BN Jual Beli</v>
      </c>
      <c r="H1653" s="41" t="s">
        <v>11</v>
      </c>
      <c r="I1653" s="49" t="s">
        <v>23</v>
      </c>
      <c r="J1653" s="36">
        <f t="shared" si="20"/>
        <v>45743.56311</v>
      </c>
      <c r="K1653" s="56" t="s">
        <v>197</v>
      </c>
      <c r="L1653" s="49" t="s">
        <v>23</v>
      </c>
      <c r="M1653" s="36">
        <f t="shared" si="26"/>
        <v>45743.59214</v>
      </c>
      <c r="N1653" s="30" t="str">
        <f t="shared" si="27"/>
        <v>Selesai</v>
      </c>
      <c r="O1653" s="45">
        <f t="shared" si="23"/>
        <v>45743.59214</v>
      </c>
      <c r="P1653" s="47" t="b">
        <v>1</v>
      </c>
      <c r="Q1653" s="36">
        <f t="shared" si="24"/>
        <v>45743.59298</v>
      </c>
      <c r="R1653" s="47" t="b">
        <v>0</v>
      </c>
      <c r="S1653" s="42" t="str">
        <f t="shared" si="28"/>
        <v/>
      </c>
      <c r="T1653" s="42"/>
    </row>
    <row r="1654" ht="22.5" customHeight="1">
      <c r="B1654" s="42">
        <f t="shared" si="7"/>
        <v>1648</v>
      </c>
      <c r="C1654" s="31" t="s">
        <v>1779</v>
      </c>
      <c r="D1654" s="34" t="str">
        <f t="array" ref="D1654">IFNA(_xlfn.XLOOKUP(C1654,Table_Tarikan_Warkah[Nomor Sertipikat],Table_Tarikan_Warkah[Nomor Tiket]),"")</f>
        <v>K/50/130325/1</v>
      </c>
      <c r="E1654" s="36" t="str">
        <f t="array" ref="E1654">IFNA(_xlfn.XLOOKUP(D1654,Table_Tarikan_Warkah[Nomor Tiket],Table_Tarikan_Warkah[Tanggal diserahkan kepada Validator]),"")</f>
        <v/>
      </c>
      <c r="F1654" s="36" t="str">
        <f t="array" ref="F1654">IFNA(_xlfn.XLOOKUP(D1654,Table_Tarikan_Warkah[Nomor Tiket],Table_Tarikan_Warkah[Nama Petugas Warkah]),"")</f>
        <v/>
      </c>
      <c r="G1654" s="39" t="str">
        <f t="array" ref="G1654">IFNA(_xlfn.XLOOKUP(D1654,Table_Tarikan_Warkah[Nomor Tiket],Table_Tarikan_Warkah[Jenis Permohonan]),"")</f>
        <v>Roya</v>
      </c>
      <c r="H1654" s="41" t="s">
        <v>11</v>
      </c>
      <c r="I1654" s="49" t="s">
        <v>23</v>
      </c>
      <c r="J1654" s="36">
        <f t="shared" si="20"/>
        <v>45743.56311</v>
      </c>
      <c r="K1654" s="49" t="s">
        <v>197</v>
      </c>
      <c r="L1654" s="49" t="s">
        <v>23</v>
      </c>
      <c r="M1654" s="36">
        <f t="shared" si="26"/>
        <v>45743.59214</v>
      </c>
      <c r="N1654" s="30" t="str">
        <f t="shared" si="27"/>
        <v>Selesai</v>
      </c>
      <c r="O1654" s="45">
        <f t="shared" si="23"/>
        <v>45743.59214</v>
      </c>
      <c r="P1654" s="47" t="b">
        <v>1</v>
      </c>
      <c r="Q1654" s="36">
        <f t="shared" si="24"/>
        <v>45743.59302</v>
      </c>
      <c r="R1654" s="47" t="b">
        <v>0</v>
      </c>
      <c r="S1654" s="42" t="str">
        <f t="shared" si="28"/>
        <v/>
      </c>
      <c r="T1654" s="42"/>
    </row>
    <row r="1655" ht="22.5" customHeight="1">
      <c r="B1655" s="42">
        <f t="shared" si="7"/>
        <v>1649</v>
      </c>
      <c r="C1655" s="31" t="s">
        <v>1780</v>
      </c>
      <c r="D1655" s="34" t="str">
        <f t="array" ref="D1655">IFNA(_xlfn.XLOOKUP(C1655,Table_Tarikan_Warkah[Nomor Sertipikat],Table_Tarikan_Warkah[Nomor Tiket]),"")</f>
        <v>L/6/170325/1</v>
      </c>
      <c r="E1655" s="36" t="str">
        <f t="array" ref="E1655">IFNA(_xlfn.XLOOKUP(D1655,Table_Tarikan_Warkah[Nomor Tiket],Table_Tarikan_Warkah[Tanggal diserahkan kepada Validator]),"")</f>
        <v/>
      </c>
      <c r="F1655" s="36" t="str">
        <f t="array" ref="F1655">IFNA(_xlfn.XLOOKUP(D1655,Table_Tarikan_Warkah[Nomor Tiket],Table_Tarikan_Warkah[Nama Petugas Warkah]),"")</f>
        <v/>
      </c>
      <c r="G1655" s="39" t="str">
        <f t="array" ref="G1655">IFNA(_xlfn.XLOOKUP(D1655,Table_Tarikan_Warkah[Nomor Tiket],Table_Tarikan_Warkah[Jenis Permohonan]),"")</f>
        <v>WINDY BESTHIA</v>
      </c>
      <c r="H1655" s="41" t="s">
        <v>11</v>
      </c>
      <c r="I1655" s="49" t="s">
        <v>23</v>
      </c>
      <c r="J1655" s="36">
        <f t="shared" si="20"/>
        <v>45743.56311</v>
      </c>
      <c r="K1655" s="58" t="s">
        <v>197</v>
      </c>
      <c r="L1655" s="49" t="s">
        <v>23</v>
      </c>
      <c r="M1655" s="36">
        <f t="shared" si="26"/>
        <v>45743.59217</v>
      </c>
      <c r="N1655" s="30" t="str">
        <f t="shared" si="27"/>
        <v>Selesai</v>
      </c>
      <c r="O1655" s="45">
        <f t="shared" si="23"/>
        <v>45743.59217</v>
      </c>
      <c r="P1655" s="47" t="b">
        <v>1</v>
      </c>
      <c r="Q1655" s="36">
        <f t="shared" si="24"/>
        <v>45743.59302</v>
      </c>
      <c r="R1655" s="47" t="b">
        <v>0</v>
      </c>
      <c r="S1655" s="42" t="str">
        <f t="shared" si="28"/>
        <v/>
      </c>
      <c r="T1655" s="42"/>
    </row>
    <row r="1656" ht="22.5" customHeight="1">
      <c r="B1656" s="42">
        <f t="shared" si="7"/>
        <v>1650</v>
      </c>
      <c r="C1656" s="31" t="s">
        <v>1781</v>
      </c>
      <c r="D1656" s="34" t="str">
        <f t="array" ref="D1656">IFNA(_xlfn.XLOOKUP(C1656,Table_Tarikan_Warkah[Nomor Sertipikat],Table_Tarikan_Warkah[Nomor Tiket]),"")</f>
        <v>K/14/200325/1</v>
      </c>
      <c r="E1656" s="36">
        <f t="array" ref="E1656">IFNA(_xlfn.XLOOKUP(D1656,Table_Tarikan_Warkah[Nomor Tiket],Table_Tarikan_Warkah[Tanggal diserahkan kepada Validator]),"")</f>
        <v>45758.47163</v>
      </c>
      <c r="F1656" s="36" t="str">
        <f t="array" ref="F1656">IFNA(_xlfn.XLOOKUP(D1656,Table_Tarikan_Warkah[Nomor Tiket],Table_Tarikan_Warkah[Nama Petugas Warkah]),"")</f>
        <v/>
      </c>
      <c r="G1656" s="39" t="str">
        <f t="array" ref="G1656">IFNA(_xlfn.XLOOKUP(D1656,Table_Tarikan_Warkah[Nomor Tiket],Table_Tarikan_Warkah[Jenis Permohonan]),"")</f>
        <v>BN WARIS</v>
      </c>
      <c r="H1656" s="41" t="s">
        <v>11</v>
      </c>
      <c r="I1656" s="49" t="s">
        <v>23</v>
      </c>
      <c r="J1656" s="36">
        <f t="shared" si="20"/>
        <v>45743.56311</v>
      </c>
      <c r="K1656" s="56" t="s">
        <v>197</v>
      </c>
      <c r="L1656" s="49" t="s">
        <v>23</v>
      </c>
      <c r="M1656" s="36">
        <f t="shared" si="26"/>
        <v>45743.59217</v>
      </c>
      <c r="N1656" s="30" t="str">
        <f t="shared" si="27"/>
        <v>Selesai</v>
      </c>
      <c r="O1656" s="45">
        <f t="shared" si="23"/>
        <v>45743.59217</v>
      </c>
      <c r="P1656" s="47" t="b">
        <v>1</v>
      </c>
      <c r="Q1656" s="36">
        <f t="shared" si="24"/>
        <v>45743.59302</v>
      </c>
      <c r="R1656" s="47" t="b">
        <v>0</v>
      </c>
      <c r="S1656" s="42" t="str">
        <f t="shared" si="28"/>
        <v/>
      </c>
      <c r="T1656" s="42"/>
    </row>
    <row r="1657" ht="22.5" customHeight="1">
      <c r="B1657" s="42">
        <f t="shared" si="7"/>
        <v>1651</v>
      </c>
      <c r="C1657" s="31" t="s">
        <v>1782</v>
      </c>
      <c r="D1657" s="34" t="str">
        <f t="array" ref="D1657">IFNA(_xlfn.XLOOKUP(C1657,Table_Tarikan_Warkah[Nomor Sertipikat],Table_Tarikan_Warkah[Nomor Tiket]),"")</f>
        <v>K/50/240225/2</v>
      </c>
      <c r="E1657" s="36">
        <f t="array" ref="E1657">IFNA(_xlfn.XLOOKUP(D1657,Table_Tarikan_Warkah[Nomor Tiket],Table_Tarikan_Warkah[Tanggal diserahkan kepada Validator]),"")</f>
        <v>45771.60835</v>
      </c>
      <c r="F1657" s="36" t="str">
        <f t="array" ref="F1657">IFNA(_xlfn.XLOOKUP(D1657,Table_Tarikan_Warkah[Nomor Tiket],Table_Tarikan_Warkah[Nama Petugas Warkah]),"")</f>
        <v/>
      </c>
      <c r="G1657" s="39" t="str">
        <f t="array" ref="G1657">IFNA(_xlfn.XLOOKUP(D1657,Table_Tarikan_Warkah[Nomor Tiket],Table_Tarikan_Warkah[Jenis Permohonan]),"")</f>
        <v>BN Jual Beli</v>
      </c>
      <c r="H1657" s="41" t="s">
        <v>11</v>
      </c>
      <c r="I1657" s="49" t="s">
        <v>23</v>
      </c>
      <c r="J1657" s="36">
        <f t="shared" si="20"/>
        <v>45743.56311</v>
      </c>
      <c r="K1657" s="58" t="s">
        <v>197</v>
      </c>
      <c r="L1657" s="49" t="s">
        <v>23</v>
      </c>
      <c r="M1657" s="36">
        <f t="shared" si="26"/>
        <v>45743.59217</v>
      </c>
      <c r="N1657" s="30" t="str">
        <f t="shared" si="27"/>
        <v>Selesai</v>
      </c>
      <c r="O1657" s="45">
        <f t="shared" si="23"/>
        <v>45743.59217</v>
      </c>
      <c r="P1657" s="47" t="b">
        <v>1</v>
      </c>
      <c r="Q1657" s="36">
        <f t="shared" si="24"/>
        <v>45743.59302</v>
      </c>
      <c r="R1657" s="47" t="b">
        <v>0</v>
      </c>
      <c r="S1657" s="42" t="str">
        <f t="shared" si="28"/>
        <v/>
      </c>
      <c r="T1657" s="42"/>
    </row>
    <row r="1658" ht="22.5" customHeight="1">
      <c r="B1658" s="42">
        <f t="shared" si="7"/>
        <v>1652</v>
      </c>
      <c r="C1658" s="31" t="s">
        <v>1783</v>
      </c>
      <c r="D1658" s="34" t="str">
        <f t="array" ref="D1658">IFNA(_xlfn.XLOOKUP(C1658,Table_Tarikan_Warkah[Nomor Sertipikat],Table_Tarikan_Warkah[Nomor Tiket]),"")</f>
        <v>K/58/130325/1</v>
      </c>
      <c r="E1658" s="36">
        <f t="array" ref="E1658">IFNA(_xlfn.XLOOKUP(D1658,Table_Tarikan_Warkah[Nomor Tiket],Table_Tarikan_Warkah[Tanggal diserahkan kepada Validator]),"")</f>
        <v>45758.47299</v>
      </c>
      <c r="F1658" s="36" t="str">
        <f t="array" ref="F1658">IFNA(_xlfn.XLOOKUP(D1658,Table_Tarikan_Warkah[Nomor Tiket],Table_Tarikan_Warkah[Nama Petugas Warkah]),"")</f>
        <v/>
      </c>
      <c r="G1658" s="39" t="str">
        <f t="array" ref="G1658">IFNA(_xlfn.XLOOKUP(D1658,Table_Tarikan_Warkah[Nomor Tiket],Table_Tarikan_Warkah[Jenis Permohonan]),"")</f>
        <v>BN JUAL BELI</v>
      </c>
      <c r="H1658" s="41" t="s">
        <v>11</v>
      </c>
      <c r="I1658" s="49" t="s">
        <v>23</v>
      </c>
      <c r="J1658" s="36">
        <f t="shared" si="20"/>
        <v>45743.56311</v>
      </c>
      <c r="K1658" s="56" t="s">
        <v>197</v>
      </c>
      <c r="L1658" s="49" t="s">
        <v>23</v>
      </c>
      <c r="M1658" s="36">
        <f t="shared" si="26"/>
        <v>45743.59217</v>
      </c>
      <c r="N1658" s="30" t="str">
        <f t="shared" si="27"/>
        <v>Selesai</v>
      </c>
      <c r="O1658" s="45">
        <f t="shared" si="23"/>
        <v>45743.59217</v>
      </c>
      <c r="P1658" s="47" t="b">
        <v>1</v>
      </c>
      <c r="Q1658" s="36">
        <f t="shared" si="24"/>
        <v>45743.59302</v>
      </c>
      <c r="R1658" s="47" t="b">
        <v>0</v>
      </c>
      <c r="S1658" s="42" t="str">
        <f t="shared" si="28"/>
        <v/>
      </c>
      <c r="T1658" s="42"/>
    </row>
    <row r="1659" ht="22.5" customHeight="1">
      <c r="B1659" s="42">
        <f t="shared" si="7"/>
        <v>1653</v>
      </c>
      <c r="C1659" s="31" t="s">
        <v>1784</v>
      </c>
      <c r="D1659" s="34" t="str">
        <f t="array" ref="D1659">IFNA(_xlfn.XLOOKUP(C1659,Table_Tarikan_Warkah[Nomor Sertipikat],Table_Tarikan_Warkah[Nomor Tiket]),"")</f>
        <v>L/36/130325/1</v>
      </c>
      <c r="E1659" s="36" t="str">
        <f t="array" ref="E1659">IFNA(_xlfn.XLOOKUP(D1659,Table_Tarikan_Warkah[Nomor Tiket],Table_Tarikan_Warkah[Tanggal diserahkan kepada Validator]),"")</f>
        <v/>
      </c>
      <c r="F1659" s="36" t="str">
        <f t="array" ref="F1659">IFNA(_xlfn.XLOOKUP(D1659,Table_Tarikan_Warkah[Nomor Tiket],Table_Tarikan_Warkah[Nama Petugas Warkah]),"")</f>
        <v/>
      </c>
      <c r="G1659" s="39" t="str">
        <f t="array" ref="G1659">IFNA(_xlfn.XLOOKUP(D1659,Table_Tarikan_Warkah[Nomor Tiket],Table_Tarikan_Warkah[Jenis Permohonan]),"")</f>
        <v>BN WARIS</v>
      </c>
      <c r="H1659" s="41" t="s">
        <v>11</v>
      </c>
      <c r="I1659" s="49" t="s">
        <v>23</v>
      </c>
      <c r="J1659" s="36">
        <f t="shared" si="20"/>
        <v>45743.56311</v>
      </c>
      <c r="K1659" s="58" t="s">
        <v>197</v>
      </c>
      <c r="L1659" s="49" t="s">
        <v>23</v>
      </c>
      <c r="M1659" s="36">
        <f t="shared" si="26"/>
        <v>45743.59217</v>
      </c>
      <c r="N1659" s="30" t="str">
        <f t="shared" si="27"/>
        <v>Selesai</v>
      </c>
      <c r="O1659" s="45">
        <f t="shared" si="23"/>
        <v>45743.59217</v>
      </c>
      <c r="P1659" s="47" t="b">
        <v>1</v>
      </c>
      <c r="Q1659" s="36">
        <f t="shared" si="24"/>
        <v>45743.59302</v>
      </c>
      <c r="R1659" s="47" t="b">
        <v>0</v>
      </c>
      <c r="S1659" s="42" t="str">
        <f t="shared" si="28"/>
        <v/>
      </c>
      <c r="T1659" s="42"/>
    </row>
    <row r="1660" ht="22.5" customHeight="1">
      <c r="B1660" s="42">
        <f t="shared" si="7"/>
        <v>1654</v>
      </c>
      <c r="C1660" s="31" t="s">
        <v>1785</v>
      </c>
      <c r="D1660" s="34" t="str">
        <f t="array" ref="D1660">IFNA(_xlfn.XLOOKUP(C1660,Table_Tarikan_Warkah[Nomor Sertipikat],Table_Tarikan_Warkah[Nomor Tiket]),"")</f>
        <v>K/32/180325/2</v>
      </c>
      <c r="E1660" s="36" t="str">
        <f t="array" ref="E1660">IFNA(_xlfn.XLOOKUP(D1660,Table_Tarikan_Warkah[Nomor Tiket],Table_Tarikan_Warkah[Tanggal diserahkan kepada Validator]),"")</f>
        <v/>
      </c>
      <c r="F1660" s="36" t="str">
        <f t="array" ref="F1660">IFNA(_xlfn.XLOOKUP(D1660,Table_Tarikan_Warkah[Nomor Tiket],Table_Tarikan_Warkah[Nama Petugas Warkah]),"")</f>
        <v/>
      </c>
      <c r="G1660" s="39" t="str">
        <f t="array" ref="G1660">IFNA(_xlfn.XLOOKUP(D1660,Table_Tarikan_Warkah[Nomor Tiket],Table_Tarikan_Warkah[Jenis Permohonan]),"")</f>
        <v>ROYA</v>
      </c>
      <c r="H1660" s="41" t="s">
        <v>11</v>
      </c>
      <c r="I1660" s="49" t="s">
        <v>23</v>
      </c>
      <c r="J1660" s="36">
        <f t="shared" si="20"/>
        <v>45743.56311</v>
      </c>
      <c r="K1660" s="56" t="s">
        <v>197</v>
      </c>
      <c r="L1660" s="49" t="s">
        <v>23</v>
      </c>
      <c r="M1660" s="36">
        <f t="shared" si="26"/>
        <v>45743.59217</v>
      </c>
      <c r="N1660" s="30" t="str">
        <f t="shared" si="27"/>
        <v>Selesai</v>
      </c>
      <c r="O1660" s="45">
        <f t="shared" si="23"/>
        <v>45743.59217</v>
      </c>
      <c r="P1660" s="47" t="b">
        <v>1</v>
      </c>
      <c r="Q1660" s="36">
        <f t="shared" si="24"/>
        <v>45743.59302</v>
      </c>
      <c r="R1660" s="47" t="b">
        <v>0</v>
      </c>
      <c r="S1660" s="42" t="str">
        <f t="shared" si="28"/>
        <v/>
      </c>
      <c r="T1660" s="42"/>
    </row>
    <row r="1661" ht="22.5" customHeight="1">
      <c r="B1661" s="42">
        <f t="shared" si="7"/>
        <v>1655</v>
      </c>
      <c r="C1661" s="31" t="s">
        <v>1786</v>
      </c>
      <c r="D1661" s="34" t="str">
        <f t="array" ref="D1661">IFNA(_xlfn.XLOOKUP(C1661,Table_Tarikan_Warkah[Nomor Sertipikat],Table_Tarikan_Warkah[Nomor Tiket]),"")</f>
        <v>K/25/210325/1</v>
      </c>
      <c r="E1661" s="36">
        <f t="array" ref="E1661">IFNA(_xlfn.XLOOKUP(D1661,Table_Tarikan_Warkah[Nomor Tiket],Table_Tarikan_Warkah[Tanggal diserahkan kepada Validator]),"")</f>
        <v>45758.48</v>
      </c>
      <c r="F1661" s="36" t="str">
        <f t="array" ref="F1661">IFNA(_xlfn.XLOOKUP(D1661,Table_Tarikan_Warkah[Nomor Tiket],Table_Tarikan_Warkah[Nama Petugas Warkah]),"")</f>
        <v/>
      </c>
      <c r="G1661" s="39" t="str">
        <f t="array" ref="G1661">IFNA(_xlfn.XLOOKUP(D1661,Table_Tarikan_Warkah[Nomor Tiket],Table_Tarikan_Warkah[Jenis Permohonan]),"")</f>
        <v>BN WARIS</v>
      </c>
      <c r="H1661" s="41" t="s">
        <v>11</v>
      </c>
      <c r="I1661" s="49" t="s">
        <v>23</v>
      </c>
      <c r="J1661" s="36">
        <f t="shared" si="20"/>
        <v>45743.56311</v>
      </c>
      <c r="K1661" s="49" t="s">
        <v>197</v>
      </c>
      <c r="L1661" s="49" t="s">
        <v>23</v>
      </c>
      <c r="M1661" s="36">
        <f t="shared" si="26"/>
        <v>45743.59217</v>
      </c>
      <c r="N1661" s="30" t="str">
        <f t="shared" si="27"/>
        <v>Selesai</v>
      </c>
      <c r="O1661" s="45">
        <f t="shared" si="23"/>
        <v>45743.59217</v>
      </c>
      <c r="P1661" s="47" t="b">
        <v>1</v>
      </c>
      <c r="Q1661" s="36">
        <f t="shared" si="24"/>
        <v>45743.59302</v>
      </c>
      <c r="R1661" s="47" t="b">
        <v>0</v>
      </c>
      <c r="S1661" s="42" t="str">
        <f t="shared" si="28"/>
        <v/>
      </c>
      <c r="T1661" s="42"/>
    </row>
    <row r="1662" ht="22.5" customHeight="1">
      <c r="B1662" s="42">
        <f t="shared" si="7"/>
        <v>1656</v>
      </c>
      <c r="C1662" s="31" t="s">
        <v>1787</v>
      </c>
      <c r="D1662" s="34" t="str">
        <f t="array" ref="D1662">IFNA(_xlfn.XLOOKUP(C1662,Table_Tarikan_Warkah[Nomor Sertipikat],Table_Tarikan_Warkah[Nomor Tiket]),"")</f>
        <v>K/25/120325/1</v>
      </c>
      <c r="E1662" s="36">
        <f t="array" ref="E1662">IFNA(_xlfn.XLOOKUP(D1662,Table_Tarikan_Warkah[Nomor Tiket],Table_Tarikan_Warkah[Tanggal diserahkan kepada Validator]),"")</f>
        <v>45769.63316</v>
      </c>
      <c r="F1662" s="36" t="str">
        <f t="array" ref="F1662">IFNA(_xlfn.XLOOKUP(D1662,Table_Tarikan_Warkah[Nomor Tiket],Table_Tarikan_Warkah[Nama Petugas Warkah]),"")</f>
        <v/>
      </c>
      <c r="G1662" s="39" t="str">
        <f t="array" ref="G1662">IFNA(_xlfn.XLOOKUP(D1662,Table_Tarikan_Warkah[Nomor Tiket],Table_Tarikan_Warkah[Jenis Permohonan]),"")</f>
        <v>BN Waris</v>
      </c>
      <c r="H1662" s="41" t="s">
        <v>11</v>
      </c>
      <c r="I1662" s="49" t="s">
        <v>23</v>
      </c>
      <c r="J1662" s="36">
        <f t="shared" si="20"/>
        <v>45743.56311</v>
      </c>
      <c r="K1662" s="58" t="s">
        <v>197</v>
      </c>
      <c r="L1662" s="49" t="s">
        <v>23</v>
      </c>
      <c r="M1662" s="36">
        <f t="shared" si="26"/>
        <v>45743.59226</v>
      </c>
      <c r="N1662" s="30" t="str">
        <f t="shared" si="27"/>
        <v>Selesai</v>
      </c>
      <c r="O1662" s="45">
        <f t="shared" si="23"/>
        <v>45743.59226</v>
      </c>
      <c r="P1662" s="47" t="b">
        <v>1</v>
      </c>
      <c r="Q1662" s="36">
        <f t="shared" si="24"/>
        <v>45743.59302</v>
      </c>
      <c r="R1662" s="47" t="b">
        <v>0</v>
      </c>
      <c r="S1662" s="42" t="str">
        <f t="shared" si="28"/>
        <v/>
      </c>
      <c r="T1662" s="42"/>
    </row>
    <row r="1663" ht="22.5" customHeight="1">
      <c r="B1663" s="42">
        <f t="shared" si="7"/>
        <v>1657</v>
      </c>
      <c r="C1663" s="31" t="s">
        <v>1788</v>
      </c>
      <c r="D1663" s="34" t="str">
        <f t="array" ref="D1663">IFNA(_xlfn.XLOOKUP(C1663,Table_Tarikan_Warkah[Nomor Sertipikat],Table_Tarikan_Warkah[Nomor Tiket]),"")</f>
        <v>K/4/210325/3</v>
      </c>
      <c r="E1663" s="36">
        <f t="array" ref="E1663">IFNA(_xlfn.XLOOKUP(D1663,Table_Tarikan_Warkah[Nomor Tiket],Table_Tarikan_Warkah[Tanggal diserahkan kepada Validator]),"")</f>
        <v>45758.47755</v>
      </c>
      <c r="F1663" s="36" t="str">
        <f t="array" ref="F1663">IFNA(_xlfn.XLOOKUP(D1663,Table_Tarikan_Warkah[Nomor Tiket],Table_Tarikan_Warkah[Nama Petugas Warkah]),"")</f>
        <v/>
      </c>
      <c r="G1663" s="39" t="str">
        <f t="array" ref="G1663">IFNA(_xlfn.XLOOKUP(D1663,Table_Tarikan_Warkah[Nomor Tiket],Table_Tarikan_Warkah[Jenis Permohonan]),"")</f>
        <v>BN Waris</v>
      </c>
      <c r="H1663" s="41" t="s">
        <v>11</v>
      </c>
      <c r="I1663" s="49" t="s">
        <v>23</v>
      </c>
      <c r="J1663" s="36">
        <f t="shared" si="20"/>
        <v>45743.56311</v>
      </c>
      <c r="K1663" s="56" t="s">
        <v>197</v>
      </c>
      <c r="L1663" s="49" t="s">
        <v>23</v>
      </c>
      <c r="M1663" s="36">
        <f t="shared" si="26"/>
        <v>45743.59226</v>
      </c>
      <c r="N1663" s="30" t="str">
        <f t="shared" si="27"/>
        <v>Selesai</v>
      </c>
      <c r="O1663" s="45">
        <f t="shared" si="23"/>
        <v>45743.59226</v>
      </c>
      <c r="P1663" s="47" t="b">
        <v>1</v>
      </c>
      <c r="Q1663" s="36">
        <f t="shared" si="24"/>
        <v>45743.59302</v>
      </c>
      <c r="R1663" s="47" t="b">
        <v>0</v>
      </c>
      <c r="S1663" s="42" t="str">
        <f t="shared" si="28"/>
        <v/>
      </c>
      <c r="T1663" s="42"/>
    </row>
    <row r="1664" ht="22.5" customHeight="1">
      <c r="B1664" s="42">
        <f t="shared" si="7"/>
        <v>1658</v>
      </c>
      <c r="C1664" s="31" t="s">
        <v>1789</v>
      </c>
      <c r="D1664" s="34" t="str">
        <f t="array" ref="D1664">IFNA(_xlfn.XLOOKUP(C1664,Table_Tarikan_Warkah[Nomor Sertipikat],Table_Tarikan_Warkah[Nomor Tiket]),"")</f>
        <v>K/17/130325/1</v>
      </c>
      <c r="E1664" s="36">
        <f t="array" ref="E1664">IFNA(_xlfn.XLOOKUP(D1664,Table_Tarikan_Warkah[Nomor Tiket],Table_Tarikan_Warkah[Tanggal diserahkan kepada Validator]),"")</f>
        <v>45758.47687</v>
      </c>
      <c r="F1664" s="36" t="str">
        <f t="array" ref="F1664">IFNA(_xlfn.XLOOKUP(D1664,Table_Tarikan_Warkah[Nomor Tiket],Table_Tarikan_Warkah[Nama Petugas Warkah]),"")</f>
        <v/>
      </c>
      <c r="G1664" s="39" t="str">
        <f t="array" ref="G1664">IFNA(_xlfn.XLOOKUP(D1664,Table_Tarikan_Warkah[Nomor Tiket],Table_Tarikan_Warkah[Jenis Permohonan]),"")</f>
        <v>BN Jual Beli</v>
      </c>
      <c r="H1664" s="41" t="s">
        <v>11</v>
      </c>
      <c r="I1664" s="49" t="s">
        <v>23</v>
      </c>
      <c r="J1664" s="36">
        <f t="shared" si="20"/>
        <v>45743.56311</v>
      </c>
      <c r="K1664" s="58" t="s">
        <v>197</v>
      </c>
      <c r="L1664" s="49" t="s">
        <v>23</v>
      </c>
      <c r="M1664" s="36">
        <f t="shared" si="26"/>
        <v>45743.59226</v>
      </c>
      <c r="N1664" s="30" t="str">
        <f t="shared" si="27"/>
        <v>Selesai</v>
      </c>
      <c r="O1664" s="45">
        <f t="shared" si="23"/>
        <v>45743.59226</v>
      </c>
      <c r="P1664" s="47" t="b">
        <v>1</v>
      </c>
      <c r="Q1664" s="36">
        <f t="shared" si="24"/>
        <v>45743.59302</v>
      </c>
      <c r="R1664" s="47" t="b">
        <v>0</v>
      </c>
      <c r="S1664" s="42" t="str">
        <f t="shared" si="28"/>
        <v/>
      </c>
      <c r="T1664" s="42"/>
    </row>
    <row r="1665" ht="22.5" customHeight="1">
      <c r="B1665" s="42">
        <f t="shared" si="7"/>
        <v>1659</v>
      </c>
      <c r="C1665" s="31" t="s">
        <v>773</v>
      </c>
      <c r="D1665" s="34" t="str">
        <f t="array" ref="D1665">IFNA(_xlfn.XLOOKUP(C1665,Table_Tarikan_Warkah[Nomor Sertipikat],Table_Tarikan_Warkah[Nomor Tiket]),"")</f>
        <v>K/52/231224/1</v>
      </c>
      <c r="E1665" s="36" t="str">
        <f t="array" ref="E1665">IFNA(_xlfn.XLOOKUP(D1665,Table_Tarikan_Warkah[Nomor Tiket],Table_Tarikan_Warkah[Tanggal diserahkan kepada Validator]),"")</f>
        <v/>
      </c>
      <c r="F1665" s="36" t="str">
        <f t="array" ref="F1665">IFNA(_xlfn.XLOOKUP(D1665,Table_Tarikan_Warkah[Nomor Tiket],Table_Tarikan_Warkah[Nama Petugas Warkah]),"")</f>
        <v/>
      </c>
      <c r="G1665" s="39" t="str">
        <f t="array" ref="G1665">IFNA(_xlfn.XLOOKUP(D1665,Table_Tarikan_Warkah[Nomor Tiket],Table_Tarikan_Warkah[Jenis Permohonan]),"")</f>
        <v>Wakaf</v>
      </c>
      <c r="H1665" s="41" t="s">
        <v>11</v>
      </c>
      <c r="I1665" s="49" t="s">
        <v>23</v>
      </c>
      <c r="J1665" s="36">
        <f t="shared" si="20"/>
        <v>45743.56311</v>
      </c>
      <c r="K1665" s="56" t="s">
        <v>197</v>
      </c>
      <c r="L1665" s="49" t="s">
        <v>23</v>
      </c>
      <c r="M1665" s="36">
        <f t="shared" si="26"/>
        <v>45743.59226</v>
      </c>
      <c r="N1665" s="30" t="str">
        <f t="shared" si="27"/>
        <v>Selesai</v>
      </c>
      <c r="O1665" s="45">
        <f t="shared" si="23"/>
        <v>45743.59226</v>
      </c>
      <c r="P1665" s="47" t="b">
        <v>1</v>
      </c>
      <c r="Q1665" s="36">
        <f t="shared" si="24"/>
        <v>45743.59304</v>
      </c>
      <c r="R1665" s="47" t="b">
        <v>0</v>
      </c>
      <c r="S1665" s="42" t="str">
        <f t="shared" si="28"/>
        <v/>
      </c>
      <c r="T1665" s="42"/>
    </row>
    <row r="1666" ht="22.5" customHeight="1">
      <c r="B1666" s="42">
        <f t="shared" si="7"/>
        <v>1660</v>
      </c>
      <c r="C1666" s="31" t="s">
        <v>1790</v>
      </c>
      <c r="D1666" s="34" t="str">
        <f t="array" ref="D1666">IFNA(_xlfn.XLOOKUP(C1666,Table_Tarikan_Warkah[Nomor Sertipikat],Table_Tarikan_Warkah[Nomor Tiket]),"")</f>
        <v>K/33/050325/3</v>
      </c>
      <c r="E1666" s="36">
        <f t="array" ref="E1666">IFNA(_xlfn.XLOOKUP(D1666,Table_Tarikan_Warkah[Nomor Tiket],Table_Tarikan_Warkah[Tanggal diserahkan kepada Validator]),"")</f>
        <v>45758.47742</v>
      </c>
      <c r="F1666" s="36" t="str">
        <f t="array" ref="F1666">IFNA(_xlfn.XLOOKUP(D1666,Table_Tarikan_Warkah[Nomor Tiket],Table_Tarikan_Warkah[Nama Petugas Warkah]),"")</f>
        <v/>
      </c>
      <c r="G1666" s="39" t="str">
        <f t="array" ref="G1666">IFNA(_xlfn.XLOOKUP(D1666,Table_Tarikan_Warkah[Nomor Tiket],Table_Tarikan_Warkah[Jenis Permohonan]),"")</f>
        <v>BN Jual Beli</v>
      </c>
      <c r="H1666" s="41" t="s">
        <v>11</v>
      </c>
      <c r="I1666" s="49" t="s">
        <v>23</v>
      </c>
      <c r="J1666" s="36">
        <f t="shared" si="20"/>
        <v>45743.56311</v>
      </c>
      <c r="K1666" s="58" t="s">
        <v>197</v>
      </c>
      <c r="L1666" s="49" t="s">
        <v>23</v>
      </c>
      <c r="M1666" s="36">
        <f t="shared" si="26"/>
        <v>45743.59226</v>
      </c>
      <c r="N1666" s="30" t="str">
        <f t="shared" si="27"/>
        <v>Selesai</v>
      </c>
      <c r="O1666" s="45">
        <f t="shared" si="23"/>
        <v>45743.59226</v>
      </c>
      <c r="P1666" s="47" t="b">
        <v>1</v>
      </c>
      <c r="Q1666" s="36">
        <f t="shared" si="24"/>
        <v>45743.59305</v>
      </c>
      <c r="R1666" s="47" t="b">
        <v>0</v>
      </c>
      <c r="S1666" s="42" t="str">
        <f t="shared" si="28"/>
        <v/>
      </c>
      <c r="T1666" s="42"/>
    </row>
    <row r="1667" ht="22.5" customHeight="1">
      <c r="B1667" s="42">
        <f t="shared" si="7"/>
        <v>1661</v>
      </c>
      <c r="C1667" s="31" t="s">
        <v>1791</v>
      </c>
      <c r="D1667" s="34" t="str">
        <f t="array" ref="D1667">IFNA(_xlfn.XLOOKUP(C1667,Table_Tarikan_Warkah[Nomor Sertipikat],Table_Tarikan_Warkah[Nomor Tiket]),"")</f>
        <v>K/44/250225/1</v>
      </c>
      <c r="E1667" s="36">
        <f t="array" ref="E1667">IFNA(_xlfn.XLOOKUP(D1667,Table_Tarikan_Warkah[Nomor Tiket],Table_Tarikan_Warkah[Tanggal diserahkan kepada Validator]),"")</f>
        <v>45758.47465</v>
      </c>
      <c r="F1667" s="36" t="str">
        <f t="array" ref="F1667">IFNA(_xlfn.XLOOKUP(D1667,Table_Tarikan_Warkah[Nomor Tiket],Table_Tarikan_Warkah[Nama Petugas Warkah]),"")</f>
        <v/>
      </c>
      <c r="G1667" s="39" t="str">
        <f t="array" ref="G1667">IFNA(_xlfn.XLOOKUP(D1667,Table_Tarikan_Warkah[Nomor Tiket],Table_Tarikan_Warkah[Jenis Permohonan]),"")</f>
        <v>JUAL BELI</v>
      </c>
      <c r="H1667" s="41" t="s">
        <v>11</v>
      </c>
      <c r="I1667" s="49" t="s">
        <v>23</v>
      </c>
      <c r="J1667" s="36">
        <f t="shared" si="20"/>
        <v>45743.56311</v>
      </c>
      <c r="K1667" s="56" t="s">
        <v>197</v>
      </c>
      <c r="L1667" s="49" t="s">
        <v>23</v>
      </c>
      <c r="M1667" s="36">
        <f t="shared" si="26"/>
        <v>45743.59226</v>
      </c>
      <c r="N1667" s="30" t="str">
        <f t="shared" si="27"/>
        <v>Selesai</v>
      </c>
      <c r="O1667" s="45">
        <f t="shared" si="23"/>
        <v>45743.59226</v>
      </c>
      <c r="P1667" s="47" t="b">
        <v>1</v>
      </c>
      <c r="Q1667" s="36">
        <f t="shared" si="24"/>
        <v>45743.59306</v>
      </c>
      <c r="R1667" s="47" t="b">
        <v>0</v>
      </c>
      <c r="S1667" s="42" t="str">
        <f t="shared" si="28"/>
        <v/>
      </c>
      <c r="T1667" s="42"/>
    </row>
    <row r="1668" ht="22.5" customHeight="1">
      <c r="B1668" s="42">
        <f t="shared" si="7"/>
        <v>1662</v>
      </c>
      <c r="C1668" s="31" t="s">
        <v>1792</v>
      </c>
      <c r="D1668" s="34" t="str">
        <f t="array" ref="D1668">IFNA(_xlfn.XLOOKUP(C1668,Table_Tarikan_Warkah[Nomor Sertipikat],Table_Tarikan_Warkah[Nomor Tiket]),"")</f>
        <v>K/20/190325/1</v>
      </c>
      <c r="E1668" s="36">
        <f t="array" ref="E1668">IFNA(_xlfn.XLOOKUP(D1668,Table_Tarikan_Warkah[Nomor Tiket],Table_Tarikan_Warkah[Tanggal diserahkan kepada Validator]),"")</f>
        <v>45758.48261</v>
      </c>
      <c r="F1668" s="36" t="str">
        <f t="array" ref="F1668">IFNA(_xlfn.XLOOKUP(D1668,Table_Tarikan_Warkah[Nomor Tiket],Table_Tarikan_Warkah[Nama Petugas Warkah]),"")</f>
        <v/>
      </c>
      <c r="G1668" s="39" t="str">
        <f t="array" ref="G1668">IFNA(_xlfn.XLOOKUP(D1668,Table_Tarikan_Warkah[Nomor Tiket],Table_Tarikan_Warkah[Jenis Permohonan]),"")</f>
        <v>BN JUAL BELI</v>
      </c>
      <c r="H1668" s="41" t="s">
        <v>20</v>
      </c>
      <c r="I1668" s="49" t="s">
        <v>23</v>
      </c>
      <c r="J1668" s="36">
        <f t="shared" si="20"/>
        <v>45756.43657</v>
      </c>
      <c r="K1668" s="49" t="s">
        <v>197</v>
      </c>
      <c r="L1668" s="49" t="s">
        <v>23</v>
      </c>
      <c r="M1668" s="36">
        <f t="shared" si="26"/>
        <v>45743.59226</v>
      </c>
      <c r="N1668" s="30" t="str">
        <f t="shared" si="27"/>
        <v>Selesai</v>
      </c>
      <c r="O1668" s="45">
        <f t="shared" si="23"/>
        <v>45743.59226</v>
      </c>
      <c r="P1668" s="47" t="b">
        <v>1</v>
      </c>
      <c r="Q1668" s="36">
        <f t="shared" si="24"/>
        <v>45756.66167</v>
      </c>
      <c r="R1668" s="47" t="b">
        <v>0</v>
      </c>
      <c r="S1668" s="42" t="str">
        <f t="shared" si="28"/>
        <v/>
      </c>
      <c r="T1668" s="42"/>
    </row>
    <row r="1669" ht="22.5" customHeight="1">
      <c r="B1669" s="42">
        <f t="shared" si="7"/>
        <v>1663</v>
      </c>
      <c r="C1669" s="31" t="s">
        <v>1793</v>
      </c>
      <c r="D1669" s="34" t="str">
        <f t="array" ref="D1669">IFNA(_xlfn.XLOOKUP(C1669,Table_Tarikan_Warkah[Nomor Sertipikat],Table_Tarikan_Warkah[Nomor Tiket]),"")</f>
        <v>K/5/100325/1</v>
      </c>
      <c r="E1669" s="36">
        <f t="array" ref="E1669">IFNA(_xlfn.XLOOKUP(D1669,Table_Tarikan_Warkah[Nomor Tiket],Table_Tarikan_Warkah[Tanggal diserahkan kepada Validator]),"")</f>
        <v>45758.4829</v>
      </c>
      <c r="F1669" s="36" t="str">
        <f t="array" ref="F1669">IFNA(_xlfn.XLOOKUP(D1669,Table_Tarikan_Warkah[Nomor Tiket],Table_Tarikan_Warkah[Nama Petugas Warkah]),"")</f>
        <v/>
      </c>
      <c r="G1669" s="39" t="str">
        <f t="array" ref="G1669">IFNA(_xlfn.XLOOKUP(D1669,Table_Tarikan_Warkah[Nomor Tiket],Table_Tarikan_Warkah[Jenis Permohonan]),"")</f>
        <v>BN JUAL BELI</v>
      </c>
      <c r="H1669" s="41" t="s">
        <v>20</v>
      </c>
      <c r="I1669" s="49" t="s">
        <v>23</v>
      </c>
      <c r="J1669" s="36">
        <f t="shared" si="20"/>
        <v>45756.43675</v>
      </c>
      <c r="K1669" s="56" t="s">
        <v>197</v>
      </c>
      <c r="L1669" s="49" t="s">
        <v>23</v>
      </c>
      <c r="M1669" s="36">
        <f t="shared" si="26"/>
        <v>45756.66124</v>
      </c>
      <c r="N1669" s="30" t="str">
        <f t="shared" si="27"/>
        <v>Selesai</v>
      </c>
      <c r="O1669" s="45">
        <f t="shared" si="23"/>
        <v>45756.66124</v>
      </c>
      <c r="P1669" s="47" t="b">
        <v>1</v>
      </c>
      <c r="Q1669" s="36">
        <f t="shared" si="24"/>
        <v>45756.66169</v>
      </c>
      <c r="R1669" s="47" t="b">
        <v>0</v>
      </c>
      <c r="S1669" s="42" t="str">
        <f t="shared" si="28"/>
        <v/>
      </c>
      <c r="T1669" s="42"/>
    </row>
    <row r="1670" ht="22.5" customHeight="1">
      <c r="B1670" s="42">
        <f t="shared" si="7"/>
        <v>1664</v>
      </c>
      <c r="C1670" s="31" t="s">
        <v>1794</v>
      </c>
      <c r="D1670" s="34" t="str">
        <f t="array" ref="D1670">IFNA(_xlfn.XLOOKUP(C1670,Table_Tarikan_Warkah[Nomor Sertipikat],Table_Tarikan_Warkah[Nomor Tiket]),"")</f>
        <v>K/56/130325/1</v>
      </c>
      <c r="E1670" s="36" t="str">
        <f t="array" ref="E1670">IFNA(_xlfn.XLOOKUP(D1670,Table_Tarikan_Warkah[Nomor Tiket],Table_Tarikan_Warkah[Tanggal diserahkan kepada Validator]),"")</f>
        <v/>
      </c>
      <c r="F1670" s="36" t="str">
        <f t="array" ref="F1670">IFNA(_xlfn.XLOOKUP(D1670,Table_Tarikan_Warkah[Nomor Tiket],Table_Tarikan_Warkah[Nama Petugas Warkah]),"")</f>
        <v/>
      </c>
      <c r="G1670" s="39" t="str">
        <f t="array" ref="G1670">IFNA(_xlfn.XLOOKUP(D1670,Table_Tarikan_Warkah[Nomor Tiket],Table_Tarikan_Warkah[Jenis Permohonan]),"")</f>
        <v>BN HIBAH</v>
      </c>
      <c r="H1670" s="41" t="s">
        <v>20</v>
      </c>
      <c r="I1670" s="49" t="s">
        <v>23</v>
      </c>
      <c r="J1670" s="36">
        <f t="shared" si="20"/>
        <v>45756.43683</v>
      </c>
      <c r="K1670" s="58" t="s">
        <v>197</v>
      </c>
      <c r="L1670" s="49" t="s">
        <v>23</v>
      </c>
      <c r="M1670" s="36">
        <f t="shared" si="26"/>
        <v>45756.66124</v>
      </c>
      <c r="N1670" s="30" t="str">
        <f t="shared" si="27"/>
        <v>Selesai</v>
      </c>
      <c r="O1670" s="45">
        <f t="shared" si="23"/>
        <v>45756.66124</v>
      </c>
      <c r="P1670" s="47" t="b">
        <v>1</v>
      </c>
      <c r="Q1670" s="36">
        <f t="shared" si="24"/>
        <v>45756.6617</v>
      </c>
      <c r="R1670" s="47" t="b">
        <v>0</v>
      </c>
      <c r="S1670" s="42" t="str">
        <f t="shared" si="28"/>
        <v/>
      </c>
      <c r="T1670" s="42"/>
    </row>
    <row r="1671" ht="22.5" customHeight="1">
      <c r="B1671" s="42">
        <f t="shared" si="7"/>
        <v>1665</v>
      </c>
      <c r="C1671" s="31" t="s">
        <v>1795</v>
      </c>
      <c r="D1671" s="34" t="str">
        <f t="array" ref="D1671">IFNA(_xlfn.XLOOKUP(C1671,Table_Tarikan_Warkah[Nomor Sertipikat],Table_Tarikan_Warkah[Nomor Tiket]),"")</f>
        <v>K/36/070325/1</v>
      </c>
      <c r="E1671" s="36">
        <f t="array" ref="E1671">IFNA(_xlfn.XLOOKUP(D1671,Table_Tarikan_Warkah[Nomor Tiket],Table_Tarikan_Warkah[Tanggal diserahkan kepada Validator]),"")</f>
        <v>45758.48279</v>
      </c>
      <c r="F1671" s="36" t="str">
        <f t="array" ref="F1671">IFNA(_xlfn.XLOOKUP(D1671,Table_Tarikan_Warkah[Nomor Tiket],Table_Tarikan_Warkah[Nama Petugas Warkah]),"")</f>
        <v/>
      </c>
      <c r="G1671" s="39" t="str">
        <f t="array" ref="G1671">IFNA(_xlfn.XLOOKUP(D1671,Table_Tarikan_Warkah[Nomor Tiket],Table_Tarikan_Warkah[Jenis Permohonan]),"")</f>
        <v>BN JUAL BELI</v>
      </c>
      <c r="H1671" s="41" t="s">
        <v>20</v>
      </c>
      <c r="I1671" s="49" t="s">
        <v>23</v>
      </c>
      <c r="J1671" s="36">
        <f t="shared" si="20"/>
        <v>45756.43698</v>
      </c>
      <c r="K1671" s="56" t="s">
        <v>197</v>
      </c>
      <c r="L1671" s="49" t="s">
        <v>23</v>
      </c>
      <c r="M1671" s="36">
        <f t="shared" si="26"/>
        <v>45756.66124</v>
      </c>
      <c r="N1671" s="30" t="str">
        <f t="shared" si="27"/>
        <v>Selesai</v>
      </c>
      <c r="O1671" s="45">
        <f t="shared" si="23"/>
        <v>45756.66124</v>
      </c>
      <c r="P1671" s="47" t="b">
        <v>1</v>
      </c>
      <c r="Q1671" s="36">
        <f t="shared" si="24"/>
        <v>45756.66171</v>
      </c>
      <c r="R1671" s="47" t="b">
        <v>0</v>
      </c>
      <c r="S1671" s="42" t="str">
        <f t="shared" si="28"/>
        <v/>
      </c>
      <c r="T1671" s="42"/>
    </row>
    <row r="1672" ht="22.5" customHeight="1">
      <c r="B1672" s="42">
        <f t="shared" si="7"/>
        <v>1666</v>
      </c>
      <c r="C1672" s="31" t="s">
        <v>1796</v>
      </c>
      <c r="D1672" s="34" t="str">
        <f t="array" ref="D1672">IFNA(_xlfn.XLOOKUP(C1672,Table_Tarikan_Warkah[Nomor Sertipikat],Table_Tarikan_Warkah[Nomor Tiket]),"")</f>
        <v>K/20/170325/1</v>
      </c>
      <c r="E1672" s="36" t="str">
        <f t="array" ref="E1672">IFNA(_xlfn.XLOOKUP(D1672,Table_Tarikan_Warkah[Nomor Tiket],Table_Tarikan_Warkah[Tanggal diserahkan kepada Validator]),"")</f>
        <v/>
      </c>
      <c r="F1672" s="36" t="str">
        <f t="array" ref="F1672">IFNA(_xlfn.XLOOKUP(D1672,Table_Tarikan_Warkah[Nomor Tiket],Table_Tarikan_Warkah[Nama Petugas Warkah]),"")</f>
        <v/>
      </c>
      <c r="G1672" s="39" t="str">
        <f t="array" ref="G1672">IFNA(_xlfn.XLOOKUP(D1672,Table_Tarikan_Warkah[Nomor Tiket],Table_Tarikan_Warkah[Jenis Permohonan]),"")</f>
        <v>BN JUAL BELI</v>
      </c>
      <c r="H1672" s="41" t="s">
        <v>20</v>
      </c>
      <c r="I1672" s="49" t="s">
        <v>23</v>
      </c>
      <c r="J1672" s="36">
        <f t="shared" si="20"/>
        <v>45756.43702</v>
      </c>
      <c r="K1672" s="58" t="s">
        <v>197</v>
      </c>
      <c r="L1672" s="49" t="s">
        <v>23</v>
      </c>
      <c r="M1672" s="36">
        <f t="shared" si="26"/>
        <v>45756.66124</v>
      </c>
      <c r="N1672" s="30" t="str">
        <f t="shared" si="27"/>
        <v>Selesai</v>
      </c>
      <c r="O1672" s="45">
        <f t="shared" si="23"/>
        <v>45756.66124</v>
      </c>
      <c r="P1672" s="47" t="b">
        <v>1</v>
      </c>
      <c r="Q1672" s="36">
        <f t="shared" si="24"/>
        <v>45756.66172</v>
      </c>
      <c r="R1672" s="47" t="b">
        <v>0</v>
      </c>
      <c r="S1672" s="42" t="str">
        <f t="shared" si="28"/>
        <v/>
      </c>
      <c r="T1672" s="42"/>
    </row>
    <row r="1673" ht="22.5" customHeight="1">
      <c r="B1673" s="42">
        <f t="shared" si="7"/>
        <v>1667</v>
      </c>
      <c r="C1673" s="31" t="s">
        <v>1797</v>
      </c>
      <c r="D1673" s="34" t="str">
        <f t="array" ref="D1673">IFNA(_xlfn.XLOOKUP(C1673,Table_Tarikan_Warkah[Nomor Sertipikat],Table_Tarikan_Warkah[Nomor Tiket]),"")</f>
        <v>K/18/170325/1</v>
      </c>
      <c r="E1673" s="36">
        <f t="array" ref="E1673">IFNA(_xlfn.XLOOKUP(D1673,Table_Tarikan_Warkah[Nomor Tiket],Table_Tarikan_Warkah[Tanggal diserahkan kepada Validator]),"")</f>
        <v>45758.48352</v>
      </c>
      <c r="F1673" s="36" t="str">
        <f t="array" ref="F1673">IFNA(_xlfn.XLOOKUP(D1673,Table_Tarikan_Warkah[Nomor Tiket],Table_Tarikan_Warkah[Nama Petugas Warkah]),"")</f>
        <v/>
      </c>
      <c r="G1673" s="39" t="str">
        <f t="array" ref="G1673">IFNA(_xlfn.XLOOKUP(D1673,Table_Tarikan_Warkah[Nomor Tiket],Table_Tarikan_Warkah[Jenis Permohonan]),"")</f>
        <v>BN JUAL BELI</v>
      </c>
      <c r="H1673" s="41" t="s">
        <v>20</v>
      </c>
      <c r="I1673" s="49" t="s">
        <v>23</v>
      </c>
      <c r="J1673" s="36">
        <f t="shared" si="20"/>
        <v>45756.43714</v>
      </c>
      <c r="K1673" s="56" t="s">
        <v>197</v>
      </c>
      <c r="L1673" s="49" t="s">
        <v>23</v>
      </c>
      <c r="M1673" s="36">
        <f t="shared" si="26"/>
        <v>45756.66124</v>
      </c>
      <c r="N1673" s="30" t="str">
        <f t="shared" si="27"/>
        <v>Selesai</v>
      </c>
      <c r="O1673" s="45">
        <f t="shared" si="23"/>
        <v>45756.66124</v>
      </c>
      <c r="P1673" s="47" t="b">
        <v>1</v>
      </c>
      <c r="Q1673" s="36">
        <f t="shared" si="24"/>
        <v>45756.66173</v>
      </c>
      <c r="R1673" s="47" t="b">
        <v>0</v>
      </c>
      <c r="S1673" s="42" t="str">
        <f t="shared" si="28"/>
        <v/>
      </c>
      <c r="T1673" s="42"/>
    </row>
    <row r="1674" ht="22.5" customHeight="1">
      <c r="B1674" s="42">
        <f t="shared" si="7"/>
        <v>1668</v>
      </c>
      <c r="C1674" s="31" t="s">
        <v>1798</v>
      </c>
      <c r="D1674" s="34" t="str">
        <f t="array" ref="D1674">IFNA(_xlfn.XLOOKUP(C1674,Table_Tarikan_Warkah[Nomor Sertipikat],Table_Tarikan_Warkah[Nomor Tiket]),"")</f>
        <v>K/11/180325/1</v>
      </c>
      <c r="E1674" s="36">
        <f t="array" ref="E1674">IFNA(_xlfn.XLOOKUP(D1674,Table_Tarikan_Warkah[Nomor Tiket],Table_Tarikan_Warkah[Tanggal diserahkan kepada Validator]),"")</f>
        <v>45758.48304</v>
      </c>
      <c r="F1674" s="36" t="str">
        <f t="array" ref="F1674">IFNA(_xlfn.XLOOKUP(D1674,Table_Tarikan_Warkah[Nomor Tiket],Table_Tarikan_Warkah[Nama Petugas Warkah]),"")</f>
        <v/>
      </c>
      <c r="G1674" s="39" t="str">
        <f t="array" ref="G1674">IFNA(_xlfn.XLOOKUP(D1674,Table_Tarikan_Warkah[Nomor Tiket],Table_Tarikan_Warkah[Jenis Permohonan]),"")</f>
        <v>BN JUAL BELI</v>
      </c>
      <c r="H1674" s="41" t="s">
        <v>20</v>
      </c>
      <c r="I1674" s="49" t="s">
        <v>23</v>
      </c>
      <c r="J1674" s="36">
        <f t="shared" si="20"/>
        <v>45756.43737</v>
      </c>
      <c r="K1674" s="49" t="s">
        <v>197</v>
      </c>
      <c r="L1674" s="49" t="s">
        <v>23</v>
      </c>
      <c r="M1674" s="36">
        <f t="shared" si="26"/>
        <v>45756.66124</v>
      </c>
      <c r="N1674" s="30" t="str">
        <f t="shared" si="27"/>
        <v>Selesai</v>
      </c>
      <c r="O1674" s="45">
        <f t="shared" si="23"/>
        <v>45756.66124</v>
      </c>
      <c r="P1674" s="47" t="b">
        <v>1</v>
      </c>
      <c r="Q1674" s="36">
        <f t="shared" si="24"/>
        <v>45756.66179</v>
      </c>
      <c r="R1674" s="47" t="b">
        <v>0</v>
      </c>
      <c r="S1674" s="42" t="str">
        <f t="shared" si="28"/>
        <v/>
      </c>
      <c r="T1674" s="42"/>
    </row>
    <row r="1675" ht="22.5" customHeight="1">
      <c r="B1675" s="42">
        <f t="shared" si="7"/>
        <v>1669</v>
      </c>
      <c r="C1675" s="31" t="s">
        <v>1799</v>
      </c>
      <c r="D1675" s="34" t="str">
        <f t="array" ref="D1675">IFNA(_xlfn.XLOOKUP(C1675,Table_Tarikan_Warkah[Nomor Sertipikat],Table_Tarikan_Warkah[Nomor Tiket]),"")</f>
        <v>K/2/210325/1</v>
      </c>
      <c r="E1675" s="36">
        <f t="array" ref="E1675">IFNA(_xlfn.XLOOKUP(D1675,Table_Tarikan_Warkah[Nomor Tiket],Table_Tarikan_Warkah[Tanggal diserahkan kepada Validator]),"")</f>
        <v>45761.44067</v>
      </c>
      <c r="F1675" s="36" t="str">
        <f t="array" ref="F1675">IFNA(_xlfn.XLOOKUP(D1675,Table_Tarikan_Warkah[Nomor Tiket],Table_Tarikan_Warkah[Nama Petugas Warkah]),"")</f>
        <v/>
      </c>
      <c r="G1675" s="39" t="str">
        <f t="array" ref="G1675">IFNA(_xlfn.XLOOKUP(D1675,Table_Tarikan_Warkah[Nomor Tiket],Table_Tarikan_Warkah[Jenis Permohonan]),"")</f>
        <v>BN Waris</v>
      </c>
      <c r="H1675" s="41" t="s">
        <v>20</v>
      </c>
      <c r="I1675" s="49" t="s">
        <v>23</v>
      </c>
      <c r="J1675" s="36">
        <f t="shared" si="20"/>
        <v>45756.43747</v>
      </c>
      <c r="K1675" s="58" t="s">
        <v>197</v>
      </c>
      <c r="L1675" s="49" t="s">
        <v>23</v>
      </c>
      <c r="M1675" s="36">
        <f t="shared" si="26"/>
        <v>45756.66124</v>
      </c>
      <c r="N1675" s="30" t="str">
        <f t="shared" si="27"/>
        <v>Selesai</v>
      </c>
      <c r="O1675" s="45">
        <f t="shared" si="23"/>
        <v>45756.66124</v>
      </c>
      <c r="P1675" s="47" t="b">
        <v>1</v>
      </c>
      <c r="Q1675" s="36">
        <f t="shared" si="24"/>
        <v>45756.66179</v>
      </c>
      <c r="R1675" s="47" t="b">
        <v>0</v>
      </c>
      <c r="S1675" s="42" t="str">
        <f t="shared" si="28"/>
        <v/>
      </c>
      <c r="T1675" s="42"/>
    </row>
    <row r="1676" ht="22.5" customHeight="1">
      <c r="B1676" s="42">
        <f t="shared" si="7"/>
        <v>1670</v>
      </c>
      <c r="C1676" s="31" t="s">
        <v>1800</v>
      </c>
      <c r="D1676" s="42" t="s">
        <v>1801</v>
      </c>
      <c r="E1676" s="36">
        <f t="array" ref="E1676">IFNA(_xlfn.XLOOKUP(D1676,Table_Tarikan_Warkah[Nomor Tiket],Table_Tarikan_Warkah[Tanggal diserahkan kepada Validator]),"")</f>
        <v>45761.44037</v>
      </c>
      <c r="F1676" s="36" t="str">
        <f t="array" ref="F1676">IFNA(_xlfn.XLOOKUP(D1676,Table_Tarikan_Warkah[Nomor Tiket],Table_Tarikan_Warkah[Nama Petugas Warkah]),"")</f>
        <v/>
      </c>
      <c r="G1676" s="39" t="str">
        <f t="array" ref="G1676">IFNA(_xlfn.XLOOKUP(D1676,Table_Tarikan_Warkah[Nomor Tiket],Table_Tarikan_Warkah[Jenis Permohonan]),"")</f>
        <v>BN Hibah</v>
      </c>
      <c r="H1676" s="41" t="s">
        <v>20</v>
      </c>
      <c r="I1676" s="49" t="s">
        <v>23</v>
      </c>
      <c r="J1676" s="36">
        <f t="shared" si="20"/>
        <v>45756.43791</v>
      </c>
      <c r="K1676" s="56" t="s">
        <v>197</v>
      </c>
      <c r="L1676" s="49" t="s">
        <v>23</v>
      </c>
      <c r="M1676" s="36">
        <f t="shared" si="26"/>
        <v>45756.66124</v>
      </c>
      <c r="N1676" s="30" t="str">
        <f t="shared" si="27"/>
        <v>Selesai</v>
      </c>
      <c r="O1676" s="45">
        <f t="shared" si="23"/>
        <v>45756.66124</v>
      </c>
      <c r="P1676" s="47" t="b">
        <v>1</v>
      </c>
      <c r="Q1676" s="36">
        <f t="shared" si="24"/>
        <v>45756.66179</v>
      </c>
      <c r="R1676" s="47" t="b">
        <v>0</v>
      </c>
      <c r="S1676" s="42" t="str">
        <f t="shared" si="28"/>
        <v/>
      </c>
      <c r="T1676" s="42"/>
    </row>
    <row r="1677" ht="22.5" customHeight="1">
      <c r="B1677" s="42">
        <f t="shared" si="7"/>
        <v>1671</v>
      </c>
      <c r="C1677" s="31" t="s">
        <v>1802</v>
      </c>
      <c r="D1677" s="34" t="str">
        <f t="array" ref="D1677">IFNA(_xlfn.XLOOKUP(C1677,Table_Tarikan_Warkah[Nomor Sertipikat],Table_Tarikan_Warkah[Nomor Tiket]),"")</f>
        <v>K/18/210325/3</v>
      </c>
      <c r="E1677" s="36">
        <f t="array" ref="E1677">IFNA(_xlfn.XLOOKUP(D1677,Table_Tarikan_Warkah[Nomor Tiket],Table_Tarikan_Warkah[Tanggal diserahkan kepada Validator]),"")</f>
        <v>45761.44191</v>
      </c>
      <c r="F1677" s="36" t="str">
        <f t="array" ref="F1677">IFNA(_xlfn.XLOOKUP(D1677,Table_Tarikan_Warkah[Nomor Tiket],Table_Tarikan_Warkah[Nama Petugas Warkah]),"")</f>
        <v/>
      </c>
      <c r="G1677" s="39" t="str">
        <f t="array" ref="G1677">IFNA(_xlfn.XLOOKUP(D1677,Table_Tarikan_Warkah[Nomor Tiket],Table_Tarikan_Warkah[Jenis Permohonan]),"")</f>
        <v>BN Jual Beli</v>
      </c>
      <c r="H1677" s="41" t="s">
        <v>20</v>
      </c>
      <c r="I1677" s="49" t="s">
        <v>23</v>
      </c>
      <c r="J1677" s="36">
        <f t="shared" si="20"/>
        <v>45756.43828</v>
      </c>
      <c r="K1677" s="58" t="s">
        <v>197</v>
      </c>
      <c r="L1677" s="49" t="s">
        <v>23</v>
      </c>
      <c r="M1677" s="36">
        <f t="shared" si="26"/>
        <v>45756.66124</v>
      </c>
      <c r="N1677" s="30" t="str">
        <f t="shared" si="27"/>
        <v>Selesai</v>
      </c>
      <c r="O1677" s="45">
        <f t="shared" si="23"/>
        <v>45756.66124</v>
      </c>
      <c r="P1677" s="47" t="b">
        <v>1</v>
      </c>
      <c r="Q1677" s="36">
        <f t="shared" si="24"/>
        <v>45756.66179</v>
      </c>
      <c r="R1677" s="47" t="b">
        <v>0</v>
      </c>
      <c r="S1677" s="42" t="str">
        <f t="shared" si="28"/>
        <v/>
      </c>
      <c r="T1677" s="42"/>
    </row>
    <row r="1678" ht="22.5" customHeight="1">
      <c r="B1678" s="42">
        <f t="shared" si="7"/>
        <v>1672</v>
      </c>
      <c r="C1678" s="31" t="s">
        <v>1803</v>
      </c>
      <c r="D1678" s="34" t="str">
        <f t="array" ref="D1678">IFNA(_xlfn.XLOOKUP(C1678,Table_Tarikan_Warkah[Nomor Sertipikat],Table_Tarikan_Warkah[Nomor Tiket]),"")</f>
        <v>K/10/110325/1</v>
      </c>
      <c r="E1678" s="36">
        <f t="array" ref="E1678">IFNA(_xlfn.XLOOKUP(D1678,Table_Tarikan_Warkah[Nomor Tiket],Table_Tarikan_Warkah[Tanggal diserahkan kepada Validator]),"")</f>
        <v>45761.44178</v>
      </c>
      <c r="F1678" s="36" t="str">
        <f t="array" ref="F1678">IFNA(_xlfn.XLOOKUP(D1678,Table_Tarikan_Warkah[Nomor Tiket],Table_Tarikan_Warkah[Nama Petugas Warkah]),"")</f>
        <v/>
      </c>
      <c r="G1678" s="39" t="str">
        <f t="array" ref="G1678">IFNA(_xlfn.XLOOKUP(D1678,Table_Tarikan_Warkah[Nomor Tiket],Table_Tarikan_Warkah[Jenis Permohonan]),"")</f>
        <v>BN Jual Beli</v>
      </c>
      <c r="H1678" s="41" t="s">
        <v>20</v>
      </c>
      <c r="I1678" s="49" t="s">
        <v>23</v>
      </c>
      <c r="J1678" s="36">
        <f t="shared" si="20"/>
        <v>45756.43852</v>
      </c>
      <c r="K1678" s="56" t="s">
        <v>197</v>
      </c>
      <c r="L1678" s="49" t="s">
        <v>23</v>
      </c>
      <c r="M1678" s="36">
        <f t="shared" si="26"/>
        <v>45756.66124</v>
      </c>
      <c r="N1678" s="30" t="str">
        <f t="shared" si="27"/>
        <v>Selesai</v>
      </c>
      <c r="O1678" s="45">
        <f t="shared" si="23"/>
        <v>45756.66124</v>
      </c>
      <c r="P1678" s="47" t="b">
        <v>1</v>
      </c>
      <c r="Q1678" s="36">
        <f t="shared" si="24"/>
        <v>45756.66179</v>
      </c>
      <c r="R1678" s="47" t="b">
        <v>0</v>
      </c>
      <c r="S1678" s="42" t="str">
        <f t="shared" si="28"/>
        <v/>
      </c>
      <c r="T1678" s="42"/>
    </row>
    <row r="1679" ht="22.5" customHeight="1">
      <c r="B1679" s="42">
        <f t="shared" si="7"/>
        <v>1673</v>
      </c>
      <c r="C1679" s="31" t="s">
        <v>1804</v>
      </c>
      <c r="D1679" s="34" t="str">
        <f t="array" ref="D1679">IFNA(_xlfn.XLOOKUP(C1679,Table_Tarikan_Warkah[Nomor Sertipikat],Table_Tarikan_Warkah[Nomor Tiket]),"")</f>
        <v>K/10/100325/1</v>
      </c>
      <c r="E1679" s="36">
        <f t="array" ref="E1679">IFNA(_xlfn.XLOOKUP(D1679,Table_Tarikan_Warkah[Nomor Tiket],Table_Tarikan_Warkah[Tanggal diserahkan kepada Validator]),"")</f>
        <v>45761.4416</v>
      </c>
      <c r="F1679" s="36" t="str">
        <f t="array" ref="F1679">IFNA(_xlfn.XLOOKUP(D1679,Table_Tarikan_Warkah[Nomor Tiket],Table_Tarikan_Warkah[Nama Petugas Warkah]),"")</f>
        <v/>
      </c>
      <c r="G1679" s="39" t="str">
        <f t="array" ref="G1679">IFNA(_xlfn.XLOOKUP(D1679,Table_Tarikan_Warkah[Nomor Tiket],Table_Tarikan_Warkah[Jenis Permohonan]),"")</f>
        <v>BN Jual Beli</v>
      </c>
      <c r="H1679" s="41" t="s">
        <v>20</v>
      </c>
      <c r="I1679" s="49" t="s">
        <v>23</v>
      </c>
      <c r="J1679" s="36">
        <f t="shared" si="20"/>
        <v>45756.43852</v>
      </c>
      <c r="K1679" s="58" t="s">
        <v>197</v>
      </c>
      <c r="L1679" s="49" t="s">
        <v>23</v>
      </c>
      <c r="M1679" s="36">
        <f t="shared" si="26"/>
        <v>45756.66124</v>
      </c>
      <c r="N1679" s="30" t="str">
        <f t="shared" si="27"/>
        <v>Selesai</v>
      </c>
      <c r="O1679" s="45">
        <f t="shared" si="23"/>
        <v>45756.66124</v>
      </c>
      <c r="P1679" s="47" t="b">
        <v>1</v>
      </c>
      <c r="Q1679" s="36">
        <f t="shared" si="24"/>
        <v>45756.66179</v>
      </c>
      <c r="R1679" s="47" t="b">
        <v>0</v>
      </c>
      <c r="S1679" s="42" t="str">
        <f t="shared" si="28"/>
        <v/>
      </c>
      <c r="T1679" s="42"/>
    </row>
    <row r="1680" ht="22.5" customHeight="1">
      <c r="B1680" s="42">
        <f t="shared" si="7"/>
        <v>1674</v>
      </c>
      <c r="C1680" s="31" t="s">
        <v>1767</v>
      </c>
      <c r="D1680" s="34" t="str">
        <f t="array" ref="D1680">IFNA(_xlfn.XLOOKUP(C1680,Table_Tarikan_Warkah[Nomor Sertipikat],Table_Tarikan_Warkah[Nomor Tiket]),"")</f>
        <v>K/6/110325/1</v>
      </c>
      <c r="E1680" s="36">
        <f t="array" ref="E1680">IFNA(_xlfn.XLOOKUP(D1680,Table_Tarikan_Warkah[Nomor Tiket],Table_Tarikan_Warkah[Tanggal diserahkan kepada Validator]),"")</f>
        <v>45761.44134</v>
      </c>
      <c r="F1680" s="36" t="str">
        <f t="array" ref="F1680">IFNA(_xlfn.XLOOKUP(D1680,Table_Tarikan_Warkah[Nomor Tiket],Table_Tarikan_Warkah[Nama Petugas Warkah]),"")</f>
        <v/>
      </c>
      <c r="G1680" s="39" t="str">
        <f t="array" ref="G1680">IFNA(_xlfn.XLOOKUP(D1680,Table_Tarikan_Warkah[Nomor Tiket],Table_Tarikan_Warkah[Jenis Permohonan]),"")</f>
        <v>BN Jual Beli</v>
      </c>
      <c r="H1680" s="41" t="s">
        <v>20</v>
      </c>
      <c r="I1680" s="49" t="s">
        <v>23</v>
      </c>
      <c r="J1680" s="36">
        <f t="shared" si="20"/>
        <v>45756.43868</v>
      </c>
      <c r="K1680" s="56" t="s">
        <v>197</v>
      </c>
      <c r="L1680" s="49" t="s">
        <v>23</v>
      </c>
      <c r="M1680" s="36">
        <f t="shared" si="26"/>
        <v>45756.66124</v>
      </c>
      <c r="N1680" s="30" t="str">
        <f t="shared" si="27"/>
        <v>Selesai</v>
      </c>
      <c r="O1680" s="45">
        <f t="shared" si="23"/>
        <v>45756.66124</v>
      </c>
      <c r="P1680" s="47" t="b">
        <v>1</v>
      </c>
      <c r="Q1680" s="36">
        <f t="shared" si="24"/>
        <v>45756.66186</v>
      </c>
      <c r="R1680" s="47" t="b">
        <v>0</v>
      </c>
      <c r="S1680" s="42" t="str">
        <f t="shared" si="28"/>
        <v/>
      </c>
      <c r="T1680" s="42"/>
    </row>
    <row r="1681" ht="22.5" customHeight="1">
      <c r="B1681" s="42">
        <f t="shared" si="7"/>
        <v>1675</v>
      </c>
      <c r="C1681" s="31" t="s">
        <v>1805</v>
      </c>
      <c r="D1681" s="34" t="str">
        <f t="array" ref="D1681">IFNA(_xlfn.XLOOKUP(C1681,Table_Tarikan_Warkah[Nomor Sertipikat],Table_Tarikan_Warkah[Nomor Tiket]),"")</f>
        <v>K/42/120325/1</v>
      </c>
      <c r="E1681" s="36">
        <f t="array" ref="E1681">IFNA(_xlfn.XLOOKUP(D1681,Table_Tarikan_Warkah[Nomor Tiket],Table_Tarikan_Warkah[Tanggal diserahkan kepada Validator]),"")</f>
        <v>45761.44094</v>
      </c>
      <c r="F1681" s="36" t="str">
        <f t="array" ref="F1681">IFNA(_xlfn.XLOOKUP(D1681,Table_Tarikan_Warkah[Nomor Tiket],Table_Tarikan_Warkah[Nama Petugas Warkah]),"")</f>
        <v/>
      </c>
      <c r="G1681" s="39" t="str">
        <f t="array" ref="G1681">IFNA(_xlfn.XLOOKUP(D1681,Table_Tarikan_Warkah[Nomor Tiket],Table_Tarikan_Warkah[Jenis Permohonan]),"")</f>
        <v>Bn Jual Beli</v>
      </c>
      <c r="H1681" s="41" t="s">
        <v>20</v>
      </c>
      <c r="I1681" s="49" t="s">
        <v>23</v>
      </c>
      <c r="J1681" s="36">
        <f t="shared" si="20"/>
        <v>45756.43873</v>
      </c>
      <c r="K1681" s="49" t="s">
        <v>197</v>
      </c>
      <c r="L1681" s="49" t="s">
        <v>23</v>
      </c>
      <c r="M1681" s="36">
        <f t="shared" si="26"/>
        <v>45756.66124</v>
      </c>
      <c r="N1681" s="30" t="str">
        <f t="shared" si="27"/>
        <v>Selesai</v>
      </c>
      <c r="O1681" s="45">
        <f t="shared" si="23"/>
        <v>45756.66124</v>
      </c>
      <c r="P1681" s="47" t="b">
        <v>1</v>
      </c>
      <c r="Q1681" s="36">
        <f t="shared" si="24"/>
        <v>45756.66186</v>
      </c>
      <c r="R1681" s="47" t="b">
        <v>0</v>
      </c>
      <c r="S1681" s="42" t="str">
        <f t="shared" si="28"/>
        <v/>
      </c>
      <c r="T1681" s="42"/>
    </row>
    <row r="1682" ht="22.5" customHeight="1">
      <c r="B1682" s="42">
        <f t="shared" si="7"/>
        <v>1676</v>
      </c>
      <c r="C1682" s="31" t="s">
        <v>1806</v>
      </c>
      <c r="D1682" s="34" t="str">
        <f t="array" ref="D1682">IFNA(_xlfn.XLOOKUP(C1682,Table_Tarikan_Warkah[Nomor Sertipikat],Table_Tarikan_Warkah[Nomor Tiket]),"")</f>
        <v>K/38/180325/1</v>
      </c>
      <c r="E1682" s="36">
        <f t="array" ref="E1682">IFNA(_xlfn.XLOOKUP(D1682,Table_Tarikan_Warkah[Nomor Tiket],Table_Tarikan_Warkah[Tanggal diserahkan kepada Validator]),"")</f>
        <v>45761.44106</v>
      </c>
      <c r="F1682" s="36" t="str">
        <f t="array" ref="F1682">IFNA(_xlfn.XLOOKUP(D1682,Table_Tarikan_Warkah[Nomor Tiket],Table_Tarikan_Warkah[Nama Petugas Warkah]),"")</f>
        <v/>
      </c>
      <c r="G1682" s="39" t="str">
        <f t="array" ref="G1682">IFNA(_xlfn.XLOOKUP(D1682,Table_Tarikan_Warkah[Nomor Tiket],Table_Tarikan_Warkah[Jenis Permohonan]),"")</f>
        <v>BN Jual Beli</v>
      </c>
      <c r="H1682" s="41" t="s">
        <v>20</v>
      </c>
      <c r="I1682" s="49" t="s">
        <v>23</v>
      </c>
      <c r="J1682" s="36">
        <f t="shared" si="20"/>
        <v>45756.43883</v>
      </c>
      <c r="K1682" s="56" t="s">
        <v>197</v>
      </c>
      <c r="L1682" s="49" t="s">
        <v>23</v>
      </c>
      <c r="M1682" s="36">
        <f t="shared" si="26"/>
        <v>45756.66127</v>
      </c>
      <c r="N1682" s="30" t="str">
        <f t="shared" si="27"/>
        <v>Selesai</v>
      </c>
      <c r="O1682" s="45">
        <f t="shared" si="23"/>
        <v>45756.66127</v>
      </c>
      <c r="P1682" s="47" t="b">
        <v>1</v>
      </c>
      <c r="Q1682" s="36">
        <f t="shared" si="24"/>
        <v>45756.66186</v>
      </c>
      <c r="R1682" s="47" t="b">
        <v>0</v>
      </c>
      <c r="S1682" s="42" t="str">
        <f t="shared" si="28"/>
        <v/>
      </c>
      <c r="T1682" s="42"/>
    </row>
    <row r="1683" ht="22.5" customHeight="1">
      <c r="B1683" s="42">
        <f t="shared" si="7"/>
        <v>1677</v>
      </c>
      <c r="C1683" s="31" t="s">
        <v>1807</v>
      </c>
      <c r="D1683" s="34" t="str">
        <f t="array" ref="D1683">IFNA(_xlfn.XLOOKUP(C1683,Table_Tarikan_Warkah[Nomor Sertipikat],Table_Tarikan_Warkah[Nomor Tiket]),"")</f>
        <v>K/5/190325/2</v>
      </c>
      <c r="E1683" s="36">
        <f t="array" ref="E1683">IFNA(_xlfn.XLOOKUP(D1683,Table_Tarikan_Warkah[Nomor Tiket],Table_Tarikan_Warkah[Tanggal diserahkan kepada Validator]),"")</f>
        <v>45758.48315</v>
      </c>
      <c r="F1683" s="36" t="str">
        <f t="array" ref="F1683">IFNA(_xlfn.XLOOKUP(D1683,Table_Tarikan_Warkah[Nomor Tiket],Table_Tarikan_Warkah[Nama Petugas Warkah]),"")</f>
        <v/>
      </c>
      <c r="G1683" s="39" t="str">
        <f t="array" ref="G1683">IFNA(_xlfn.XLOOKUP(D1683,Table_Tarikan_Warkah[Nomor Tiket],Table_Tarikan_Warkah[Jenis Permohonan]),"")</f>
        <v>BN HIBH</v>
      </c>
      <c r="H1683" s="41" t="s">
        <v>20</v>
      </c>
      <c r="I1683" s="49" t="s">
        <v>23</v>
      </c>
      <c r="J1683" s="36">
        <f t="shared" si="20"/>
        <v>45756.43896</v>
      </c>
      <c r="K1683" s="58" t="s">
        <v>197</v>
      </c>
      <c r="L1683" s="49" t="s">
        <v>23</v>
      </c>
      <c r="M1683" s="36">
        <f t="shared" si="26"/>
        <v>45756.66127</v>
      </c>
      <c r="N1683" s="30" t="str">
        <f t="shared" si="27"/>
        <v>Selesai</v>
      </c>
      <c r="O1683" s="45">
        <f t="shared" si="23"/>
        <v>45756.66127</v>
      </c>
      <c r="P1683" s="47" t="b">
        <v>1</v>
      </c>
      <c r="Q1683" s="36">
        <f t="shared" si="24"/>
        <v>45756.66186</v>
      </c>
      <c r="R1683" s="47" t="b">
        <v>0</v>
      </c>
      <c r="S1683" s="42" t="str">
        <f t="shared" si="28"/>
        <v/>
      </c>
      <c r="T1683" s="42"/>
    </row>
    <row r="1684" ht="22.5" customHeight="1">
      <c r="B1684" s="42">
        <f t="shared" si="7"/>
        <v>1678</v>
      </c>
      <c r="C1684" s="31" t="s">
        <v>1808</v>
      </c>
      <c r="D1684" s="34" t="str">
        <f t="array" ref="D1684">IFNA(_xlfn.XLOOKUP(C1684,Table_Tarikan_Warkah[Nomor Sertipikat],Table_Tarikan_Warkah[Nomor Tiket]),"")</f>
        <v>K/10/190325/1</v>
      </c>
      <c r="E1684" s="36" t="str">
        <f t="array" ref="E1684">IFNA(_xlfn.XLOOKUP(D1684,Table_Tarikan_Warkah[Nomor Tiket],Table_Tarikan_Warkah[Tanggal diserahkan kepada Validator]),"")</f>
        <v/>
      </c>
      <c r="F1684" s="36" t="str">
        <f t="array" ref="F1684">IFNA(_xlfn.XLOOKUP(D1684,Table_Tarikan_Warkah[Nomor Tiket],Table_Tarikan_Warkah[Nama Petugas Warkah]),"")</f>
        <v/>
      </c>
      <c r="G1684" s="39" t="str">
        <f t="array" ref="G1684">IFNA(_xlfn.XLOOKUP(D1684,Table_Tarikan_Warkah[Nomor Tiket],Table_Tarikan_Warkah[Jenis Permohonan]),"")</f>
        <v>BN JUAL BELI</v>
      </c>
      <c r="H1684" s="41" t="s">
        <v>20</v>
      </c>
      <c r="I1684" s="49" t="s">
        <v>23</v>
      </c>
      <c r="J1684" s="36">
        <f t="shared" si="20"/>
        <v>45756.45297</v>
      </c>
      <c r="K1684" s="56" t="s">
        <v>197</v>
      </c>
      <c r="L1684" s="49" t="s">
        <v>23</v>
      </c>
      <c r="M1684" s="36">
        <f t="shared" si="26"/>
        <v>45756.66127</v>
      </c>
      <c r="N1684" s="30" t="str">
        <f t="shared" si="27"/>
        <v>Selesai</v>
      </c>
      <c r="O1684" s="45">
        <f t="shared" si="23"/>
        <v>45756.66127</v>
      </c>
      <c r="P1684" s="47" t="b">
        <v>1</v>
      </c>
      <c r="Q1684" s="36">
        <f t="shared" si="24"/>
        <v>45756.66186</v>
      </c>
      <c r="R1684" s="47" t="b">
        <v>0</v>
      </c>
      <c r="S1684" s="42" t="str">
        <f t="shared" si="28"/>
        <v/>
      </c>
      <c r="T1684" s="42"/>
    </row>
    <row r="1685" ht="22.5" customHeight="1">
      <c r="B1685" s="42">
        <f t="shared" si="7"/>
        <v>1679</v>
      </c>
      <c r="C1685" s="31" t="s">
        <v>1809</v>
      </c>
      <c r="D1685" s="34" t="str">
        <f t="array" ref="D1685">IFNA(_xlfn.XLOOKUP(C1685,Table_Tarikan_Warkah[Nomor Sertipikat],Table_Tarikan_Warkah[Nomor Tiket]),"")</f>
        <v>K/8/170325/1</v>
      </c>
      <c r="E1685" s="36">
        <f t="array" ref="E1685">IFNA(_xlfn.XLOOKUP(D1685,Table_Tarikan_Warkah[Nomor Tiket],Table_Tarikan_Warkah[Tanggal diserahkan kepada Validator]),"")</f>
        <v>45758.4834</v>
      </c>
      <c r="F1685" s="36" t="str">
        <f t="array" ref="F1685">IFNA(_xlfn.XLOOKUP(D1685,Table_Tarikan_Warkah[Nomor Tiket],Table_Tarikan_Warkah[Nama Petugas Warkah]),"")</f>
        <v/>
      </c>
      <c r="G1685" s="39" t="str">
        <f t="array" ref="G1685">IFNA(_xlfn.XLOOKUP(D1685,Table_Tarikan_Warkah[Nomor Tiket],Table_Tarikan_Warkah[Jenis Permohonan]),"")</f>
        <v>BN JUAL BELI</v>
      </c>
      <c r="H1685" s="41" t="s">
        <v>20</v>
      </c>
      <c r="I1685" s="49" t="s">
        <v>23</v>
      </c>
      <c r="J1685" s="36">
        <f t="shared" si="20"/>
        <v>45756.45307</v>
      </c>
      <c r="K1685" s="58" t="s">
        <v>197</v>
      </c>
      <c r="L1685" s="49" t="s">
        <v>23</v>
      </c>
      <c r="M1685" s="36">
        <f t="shared" si="26"/>
        <v>45756.66127</v>
      </c>
      <c r="N1685" s="30" t="str">
        <f t="shared" si="27"/>
        <v>Selesai</v>
      </c>
      <c r="O1685" s="45">
        <f t="shared" si="23"/>
        <v>45756.66127</v>
      </c>
      <c r="P1685" s="47" t="b">
        <v>1</v>
      </c>
      <c r="Q1685" s="36">
        <f t="shared" si="24"/>
        <v>45756.66186</v>
      </c>
      <c r="R1685" s="47" t="b">
        <v>0</v>
      </c>
      <c r="S1685" s="42" t="str">
        <f t="shared" si="28"/>
        <v/>
      </c>
      <c r="T1685" s="42"/>
    </row>
    <row r="1686" ht="22.5" customHeight="1">
      <c r="B1686" s="42">
        <f t="shared" si="7"/>
        <v>1680</v>
      </c>
      <c r="C1686" s="31" t="s">
        <v>1810</v>
      </c>
      <c r="D1686" s="34" t="str">
        <f t="array" ref="D1686">IFNA(_xlfn.XLOOKUP(C1686,Table_Tarikan_Warkah[Nomor Sertipikat],Table_Tarikan_Warkah[Nomor Tiket]),"")</f>
        <v>K/24/260325/3</v>
      </c>
      <c r="E1686" s="36">
        <f t="array" ref="E1686">IFNA(_xlfn.XLOOKUP(D1686,Table_Tarikan_Warkah[Nomor Tiket],Table_Tarikan_Warkah[Tanggal diserahkan kepada Validator]),"")</f>
        <v>45761.43867</v>
      </c>
      <c r="F1686" s="36" t="str">
        <f t="array" ref="F1686">IFNA(_xlfn.XLOOKUP(D1686,Table_Tarikan_Warkah[Nomor Tiket],Table_Tarikan_Warkah[Nama Petugas Warkah]),"")</f>
        <v/>
      </c>
      <c r="G1686" s="39" t="str">
        <f t="array" ref="G1686">IFNA(_xlfn.XLOOKUP(D1686,Table_Tarikan_Warkah[Nomor Tiket],Table_Tarikan_Warkah[Jenis Permohonan]),"")</f>
        <v>JUAL BELI</v>
      </c>
      <c r="H1686" s="41" t="s">
        <v>11</v>
      </c>
      <c r="I1686" s="49" t="s">
        <v>23</v>
      </c>
      <c r="J1686" s="36">
        <f t="shared" si="20"/>
        <v>45756.55004</v>
      </c>
      <c r="K1686" s="56" t="s">
        <v>197</v>
      </c>
      <c r="L1686" s="49" t="s">
        <v>23</v>
      </c>
      <c r="M1686" s="36">
        <f t="shared" si="26"/>
        <v>45756.66127</v>
      </c>
      <c r="N1686" s="30" t="str">
        <f t="shared" si="27"/>
        <v>Selesai</v>
      </c>
      <c r="O1686" s="45">
        <f t="shared" si="23"/>
        <v>45756.66127</v>
      </c>
      <c r="P1686" s="47" t="b">
        <v>1</v>
      </c>
      <c r="Q1686" s="36">
        <f t="shared" si="24"/>
        <v>45756.66186</v>
      </c>
      <c r="R1686" s="47" t="b">
        <v>0</v>
      </c>
      <c r="S1686" s="42" t="str">
        <f t="shared" si="28"/>
        <v/>
      </c>
      <c r="T1686" s="42"/>
    </row>
    <row r="1687" ht="22.5" customHeight="1">
      <c r="B1687" s="42">
        <f t="shared" si="7"/>
        <v>1681</v>
      </c>
      <c r="C1687" s="31" t="s">
        <v>1811</v>
      </c>
      <c r="D1687" s="34" t="str">
        <f t="array" ref="D1687">IFNA(_xlfn.XLOOKUP(C1687,Table_Tarikan_Warkah[Nomor Sertipikat],Table_Tarikan_Warkah[Nomor Tiket]),"")</f>
        <v>K/39/190325/2</v>
      </c>
      <c r="E1687" s="36">
        <f t="array" ref="E1687">IFNA(_xlfn.XLOOKUP(D1687,Table_Tarikan_Warkah[Nomor Tiket],Table_Tarikan_Warkah[Tanggal diserahkan kepada Validator]),"")</f>
        <v>45758.48196</v>
      </c>
      <c r="F1687" s="36" t="str">
        <f t="array" ref="F1687">IFNA(_xlfn.XLOOKUP(D1687,Table_Tarikan_Warkah[Nomor Tiket],Table_Tarikan_Warkah[Nama Petugas Warkah]),"")</f>
        <v/>
      </c>
      <c r="G1687" s="39" t="str">
        <f t="array" ref="G1687">IFNA(_xlfn.XLOOKUP(D1687,Table_Tarikan_Warkah[Nomor Tiket],Table_Tarikan_Warkah[Jenis Permohonan]),"")</f>
        <v>BN JUAL BELI</v>
      </c>
      <c r="H1687" s="41" t="s">
        <v>11</v>
      </c>
      <c r="I1687" s="49" t="s">
        <v>23</v>
      </c>
      <c r="J1687" s="36">
        <f t="shared" si="20"/>
        <v>45756.5501</v>
      </c>
      <c r="K1687" s="49" t="s">
        <v>197</v>
      </c>
      <c r="L1687" s="49" t="s">
        <v>23</v>
      </c>
      <c r="M1687" s="36">
        <f t="shared" si="26"/>
        <v>45756.66127</v>
      </c>
      <c r="N1687" s="30" t="str">
        <f t="shared" si="27"/>
        <v>Selesai</v>
      </c>
      <c r="O1687" s="45">
        <f t="shared" si="23"/>
        <v>45756.66127</v>
      </c>
      <c r="P1687" s="47" t="b">
        <v>1</v>
      </c>
      <c r="Q1687" s="36">
        <f t="shared" si="24"/>
        <v>45756.66186</v>
      </c>
      <c r="R1687" s="47" t="b">
        <v>0</v>
      </c>
      <c r="S1687" s="42" t="str">
        <f t="shared" si="28"/>
        <v/>
      </c>
      <c r="T1687" s="42"/>
    </row>
    <row r="1688" ht="22.5" customHeight="1">
      <c r="B1688" s="42">
        <f t="shared" si="7"/>
        <v>1682</v>
      </c>
      <c r="C1688" s="31" t="s">
        <v>1812</v>
      </c>
      <c r="D1688" s="34" t="str">
        <f t="array" ref="D1688">IFNA(_xlfn.XLOOKUP(C1688,Table_Tarikan_Warkah[Nomor Sertipikat],Table_Tarikan_Warkah[Nomor Tiket]),"")</f>
        <v>L/47/240325/1</v>
      </c>
      <c r="E1688" s="36" t="str">
        <f t="array" ref="E1688">IFNA(_xlfn.XLOOKUP(D1688,Table_Tarikan_Warkah[Nomor Tiket],Table_Tarikan_Warkah[Tanggal diserahkan kepada Validator]),"")</f>
        <v/>
      </c>
      <c r="F1688" s="36" t="str">
        <f t="array" ref="F1688">IFNA(_xlfn.XLOOKUP(D1688,Table_Tarikan_Warkah[Nomor Tiket],Table_Tarikan_Warkah[Nama Petugas Warkah]),"")</f>
        <v/>
      </c>
      <c r="G1688" s="39" t="str">
        <f t="array" ref="G1688">IFNA(_xlfn.XLOOKUP(D1688,Table_Tarikan_Warkah[Nomor Tiket],Table_Tarikan_Warkah[Jenis Permohonan]),"")</f>
        <v>GANTI BLANGKO</v>
      </c>
      <c r="H1688" s="41" t="s">
        <v>11</v>
      </c>
      <c r="I1688" s="49" t="s">
        <v>23</v>
      </c>
      <c r="J1688" s="36">
        <f t="shared" si="20"/>
        <v>45756.5501</v>
      </c>
      <c r="K1688" s="58" t="s">
        <v>197</v>
      </c>
      <c r="L1688" s="49" t="s">
        <v>23</v>
      </c>
      <c r="M1688" s="36">
        <f t="shared" si="26"/>
        <v>45756.66127</v>
      </c>
      <c r="N1688" s="30" t="str">
        <f t="shared" si="27"/>
        <v>Selesai</v>
      </c>
      <c r="O1688" s="45">
        <f t="shared" si="23"/>
        <v>45756.66127</v>
      </c>
      <c r="P1688" s="47" t="b">
        <v>1</v>
      </c>
      <c r="Q1688" s="36">
        <f t="shared" si="24"/>
        <v>45756.66186</v>
      </c>
      <c r="R1688" s="47" t="b">
        <v>0</v>
      </c>
      <c r="S1688" s="42" t="str">
        <f t="shared" si="28"/>
        <v/>
      </c>
      <c r="T1688" s="42"/>
    </row>
    <row r="1689" ht="22.5" customHeight="1">
      <c r="B1689" s="42">
        <f t="shared" si="7"/>
        <v>1683</v>
      </c>
      <c r="C1689" s="31" t="s">
        <v>1813</v>
      </c>
      <c r="D1689" s="34" t="str">
        <f t="array" ref="D1689">IFNA(_xlfn.XLOOKUP(C1689,Table_Tarikan_Warkah[Nomor Sertipikat],Table_Tarikan_Warkah[Nomor Tiket]),"")</f>
        <v>K/21/170325/1</v>
      </c>
      <c r="E1689" s="36" t="str">
        <f t="array" ref="E1689">IFNA(_xlfn.XLOOKUP(D1689,Table_Tarikan_Warkah[Nomor Tiket],Table_Tarikan_Warkah[Tanggal diserahkan kepada Validator]),"")</f>
        <v/>
      </c>
      <c r="F1689" s="36" t="str">
        <f t="array" ref="F1689">IFNA(_xlfn.XLOOKUP(D1689,Table_Tarikan_Warkah[Nomor Tiket],Table_Tarikan_Warkah[Nama Petugas Warkah]),"")</f>
        <v/>
      </c>
      <c r="G1689" s="39" t="str">
        <f t="array" ref="G1689">IFNA(_xlfn.XLOOKUP(D1689,Table_Tarikan_Warkah[Nomor Tiket],Table_Tarikan_Warkah[Jenis Permohonan]),"")</f>
        <v>ROYA</v>
      </c>
      <c r="H1689" s="41" t="s">
        <v>11</v>
      </c>
      <c r="I1689" s="49" t="s">
        <v>23</v>
      </c>
      <c r="J1689" s="36">
        <f t="shared" si="20"/>
        <v>45756.5501</v>
      </c>
      <c r="K1689" s="56" t="s">
        <v>197</v>
      </c>
      <c r="L1689" s="49" t="s">
        <v>23</v>
      </c>
      <c r="M1689" s="36">
        <f t="shared" si="26"/>
        <v>45756.66127</v>
      </c>
      <c r="N1689" s="30" t="str">
        <f t="shared" si="27"/>
        <v>Selesai</v>
      </c>
      <c r="O1689" s="45">
        <f t="shared" si="23"/>
        <v>45756.66127</v>
      </c>
      <c r="P1689" s="47" t="b">
        <v>1</v>
      </c>
      <c r="Q1689" s="36">
        <f t="shared" si="24"/>
        <v>45756.66186</v>
      </c>
      <c r="R1689" s="47" t="b">
        <v>0</v>
      </c>
      <c r="S1689" s="42" t="str">
        <f t="shared" si="28"/>
        <v/>
      </c>
      <c r="T1689" s="42"/>
    </row>
    <row r="1690" ht="22.5" customHeight="1">
      <c r="B1690" s="42">
        <f t="shared" si="7"/>
        <v>1684</v>
      </c>
      <c r="C1690" s="31" t="s">
        <v>1814</v>
      </c>
      <c r="D1690" s="34" t="str">
        <f t="array" ref="D1690">IFNA(_xlfn.XLOOKUP(C1690,Table_Tarikan_Warkah[Nomor Sertipikat],Table_Tarikan_Warkah[Nomor Tiket]),"")</f>
        <v>K/22/260325/1</v>
      </c>
      <c r="E1690" s="36" t="str">
        <f t="array" ref="E1690">IFNA(_xlfn.XLOOKUP(D1690,Table_Tarikan_Warkah[Nomor Tiket],Table_Tarikan_Warkah[Tanggal diserahkan kepada Validator]),"")</f>
        <v/>
      </c>
      <c r="F1690" s="36" t="str">
        <f t="array" ref="F1690">IFNA(_xlfn.XLOOKUP(D1690,Table_Tarikan_Warkah[Nomor Tiket],Table_Tarikan_Warkah[Nama Petugas Warkah]),"")</f>
        <v/>
      </c>
      <c r="G1690" s="39" t="str">
        <f t="array" ref="G1690">IFNA(_xlfn.XLOOKUP(D1690,Table_Tarikan_Warkah[Nomor Tiket],Table_Tarikan_Warkah[Jenis Permohonan]),"")</f>
        <v>JUAL BELI</v>
      </c>
      <c r="H1690" s="41" t="s">
        <v>11</v>
      </c>
      <c r="I1690" s="49" t="s">
        <v>23</v>
      </c>
      <c r="J1690" s="36">
        <f t="shared" si="20"/>
        <v>45756.5501</v>
      </c>
      <c r="K1690" s="58" t="s">
        <v>197</v>
      </c>
      <c r="L1690" s="49" t="s">
        <v>23</v>
      </c>
      <c r="M1690" s="36">
        <f t="shared" si="26"/>
        <v>45756.66127</v>
      </c>
      <c r="N1690" s="30" t="str">
        <f t="shared" si="27"/>
        <v>Selesai</v>
      </c>
      <c r="O1690" s="45">
        <f t="shared" si="23"/>
        <v>45756.66127</v>
      </c>
      <c r="P1690" s="47" t="b">
        <v>1</v>
      </c>
      <c r="Q1690" s="36">
        <f t="shared" si="24"/>
        <v>45756.66186</v>
      </c>
      <c r="R1690" s="47" t="b">
        <v>0</v>
      </c>
      <c r="S1690" s="42" t="str">
        <f t="shared" si="28"/>
        <v/>
      </c>
      <c r="T1690" s="42"/>
    </row>
    <row r="1691" ht="22.5" customHeight="1">
      <c r="B1691" s="42">
        <f t="shared" si="7"/>
        <v>1685</v>
      </c>
      <c r="C1691" s="31" t="s">
        <v>1815</v>
      </c>
      <c r="D1691" s="34" t="str">
        <f t="array" ref="D1691">IFNA(_xlfn.XLOOKUP(C1691,Table_Tarikan_Warkah[Nomor Sertipikat],Table_Tarikan_Warkah[Nomor Tiket]),"")</f>
        <v>K/34/170325/1</v>
      </c>
      <c r="E1691" s="36">
        <f t="array" ref="E1691">IFNA(_xlfn.XLOOKUP(D1691,Table_Tarikan_Warkah[Nomor Tiket],Table_Tarikan_Warkah[Tanggal diserahkan kepada Validator]),"")</f>
        <v>45761.43995</v>
      </c>
      <c r="F1691" s="36" t="str">
        <f t="array" ref="F1691">IFNA(_xlfn.XLOOKUP(D1691,Table_Tarikan_Warkah[Nomor Tiket],Table_Tarikan_Warkah[Nama Petugas Warkah]),"")</f>
        <v/>
      </c>
      <c r="G1691" s="39" t="str">
        <f t="array" ref="G1691">IFNA(_xlfn.XLOOKUP(D1691,Table_Tarikan_Warkah[Nomor Tiket],Table_Tarikan_Warkah[Jenis Permohonan]),"")</f>
        <v>JUAL BELI</v>
      </c>
      <c r="H1691" s="41" t="s">
        <v>11</v>
      </c>
      <c r="I1691" s="49" t="s">
        <v>23</v>
      </c>
      <c r="J1691" s="36">
        <f t="shared" si="20"/>
        <v>45756.5501</v>
      </c>
      <c r="K1691" s="56" t="s">
        <v>197</v>
      </c>
      <c r="L1691" s="49" t="s">
        <v>23</v>
      </c>
      <c r="M1691" s="36">
        <f t="shared" si="26"/>
        <v>45756.66127</v>
      </c>
      <c r="N1691" s="30" t="str">
        <f t="shared" si="27"/>
        <v>Selesai</v>
      </c>
      <c r="O1691" s="45">
        <f t="shared" si="23"/>
        <v>45756.66127</v>
      </c>
      <c r="P1691" s="47" t="b">
        <v>1</v>
      </c>
      <c r="Q1691" s="36">
        <f t="shared" si="24"/>
        <v>45756.66186</v>
      </c>
      <c r="R1691" s="47" t="b">
        <v>0</v>
      </c>
      <c r="S1691" s="42" t="str">
        <f t="shared" si="28"/>
        <v/>
      </c>
      <c r="T1691" s="42"/>
    </row>
    <row r="1692" ht="22.5" customHeight="1">
      <c r="B1692" s="42">
        <f t="shared" si="7"/>
        <v>1686</v>
      </c>
      <c r="C1692" s="31" t="s">
        <v>1816</v>
      </c>
      <c r="D1692" s="34" t="str">
        <f t="array" ref="D1692">IFNA(_xlfn.XLOOKUP(C1692,Table_Tarikan_Warkah[Nomor Sertipikat],Table_Tarikan_Warkah[Nomor Tiket]),"")</f>
        <v>K/24/170325/1</v>
      </c>
      <c r="E1692" s="36">
        <f t="array" ref="E1692">IFNA(_xlfn.XLOOKUP(D1692,Table_Tarikan_Warkah[Nomor Tiket],Table_Tarikan_Warkah[Tanggal diserahkan kepada Validator]),"")</f>
        <v>45761.4398</v>
      </c>
      <c r="F1692" s="36" t="str">
        <f t="array" ref="F1692">IFNA(_xlfn.XLOOKUP(D1692,Table_Tarikan_Warkah[Nomor Tiket],Table_Tarikan_Warkah[Nama Petugas Warkah]),"")</f>
        <v/>
      </c>
      <c r="G1692" s="39" t="str">
        <f t="array" ref="G1692">IFNA(_xlfn.XLOOKUP(D1692,Table_Tarikan_Warkah[Nomor Tiket],Table_Tarikan_Warkah[Jenis Permohonan]),"")</f>
        <v>JUAL BELI</v>
      </c>
      <c r="H1692" s="41" t="s">
        <v>11</v>
      </c>
      <c r="I1692" s="49" t="s">
        <v>23</v>
      </c>
      <c r="J1692" s="36">
        <f t="shared" si="20"/>
        <v>45756.5501</v>
      </c>
      <c r="K1692" s="58" t="s">
        <v>197</v>
      </c>
      <c r="L1692" s="49" t="s">
        <v>23</v>
      </c>
      <c r="M1692" s="36">
        <f t="shared" si="26"/>
        <v>45756.66127</v>
      </c>
      <c r="N1692" s="30" t="str">
        <f t="shared" si="27"/>
        <v>Selesai</v>
      </c>
      <c r="O1692" s="45">
        <f t="shared" si="23"/>
        <v>45756.66127</v>
      </c>
      <c r="P1692" s="47" t="b">
        <v>1</v>
      </c>
      <c r="Q1692" s="36">
        <f t="shared" si="24"/>
        <v>45756.66191</v>
      </c>
      <c r="R1692" s="47" t="b">
        <v>0</v>
      </c>
      <c r="S1692" s="42" t="str">
        <f t="shared" si="28"/>
        <v/>
      </c>
      <c r="T1692" s="42"/>
    </row>
    <row r="1693" ht="22.5" customHeight="1">
      <c r="B1693" s="42">
        <f t="shared" si="7"/>
        <v>1687</v>
      </c>
      <c r="C1693" s="31" t="s">
        <v>1817</v>
      </c>
      <c r="D1693" s="34" t="str">
        <f t="array" ref="D1693">IFNA(_xlfn.XLOOKUP(C1693,Table_Tarikan_Warkah[Nomor Sertipikat],Table_Tarikan_Warkah[Nomor Tiket]),"")</f>
        <v>K/26/210325/1</v>
      </c>
      <c r="E1693" s="36">
        <f t="array" ref="E1693">IFNA(_xlfn.XLOOKUP(D1693,Table_Tarikan_Warkah[Nomor Tiket],Table_Tarikan_Warkah[Tanggal diserahkan kepada Validator]),"")</f>
        <v>45761.4395</v>
      </c>
      <c r="F1693" s="36" t="str">
        <f t="array" ref="F1693">IFNA(_xlfn.XLOOKUP(D1693,Table_Tarikan_Warkah[Nomor Tiket],Table_Tarikan_Warkah[Nama Petugas Warkah]),"")</f>
        <v/>
      </c>
      <c r="G1693" s="39" t="str">
        <f t="array" ref="G1693">IFNA(_xlfn.XLOOKUP(D1693,Table_Tarikan_Warkah[Nomor Tiket],Table_Tarikan_Warkah[Jenis Permohonan]),"")</f>
        <v>JUAL BELI</v>
      </c>
      <c r="H1693" s="41" t="s">
        <v>11</v>
      </c>
      <c r="I1693" s="49" t="s">
        <v>23</v>
      </c>
      <c r="J1693" s="36">
        <f t="shared" si="20"/>
        <v>45756.5501</v>
      </c>
      <c r="K1693" s="56" t="s">
        <v>197</v>
      </c>
      <c r="L1693" s="49" t="s">
        <v>23</v>
      </c>
      <c r="M1693" s="36">
        <f t="shared" si="26"/>
        <v>45756.66127</v>
      </c>
      <c r="N1693" s="30" t="str">
        <f t="shared" si="27"/>
        <v>Selesai</v>
      </c>
      <c r="O1693" s="45">
        <f t="shared" si="23"/>
        <v>45756.66127</v>
      </c>
      <c r="P1693" s="47" t="b">
        <v>1</v>
      </c>
      <c r="Q1693" s="36">
        <f t="shared" si="24"/>
        <v>45756.66191</v>
      </c>
      <c r="R1693" s="47" t="b">
        <v>0</v>
      </c>
      <c r="S1693" s="42" t="str">
        <f t="shared" si="28"/>
        <v/>
      </c>
      <c r="T1693" s="42"/>
    </row>
    <row r="1694" ht="22.5" customHeight="1">
      <c r="B1694" s="42">
        <f t="shared" si="7"/>
        <v>1688</v>
      </c>
      <c r="C1694" s="31" t="s">
        <v>1818</v>
      </c>
      <c r="D1694" s="34" t="str">
        <f t="array" ref="D1694">IFNA(_xlfn.XLOOKUP(C1694,Table_Tarikan_Warkah[Nomor Sertipikat],Table_Tarikan_Warkah[Nomor Tiket]),"")</f>
        <v>K/32/210325/1</v>
      </c>
      <c r="E1694" s="36">
        <f t="array" ref="E1694">IFNA(_xlfn.XLOOKUP(D1694,Table_Tarikan_Warkah[Nomor Tiket],Table_Tarikan_Warkah[Tanggal diserahkan kepada Validator]),"")</f>
        <v>45758.4817</v>
      </c>
      <c r="F1694" s="36" t="str">
        <f t="array" ref="F1694">IFNA(_xlfn.XLOOKUP(D1694,Table_Tarikan_Warkah[Nomor Tiket],Table_Tarikan_Warkah[Nama Petugas Warkah]),"")</f>
        <v/>
      </c>
      <c r="G1694" s="39" t="str">
        <f t="array" ref="G1694">IFNA(_xlfn.XLOOKUP(D1694,Table_Tarikan_Warkah[Nomor Tiket],Table_Tarikan_Warkah[Jenis Permohonan]),"")</f>
        <v>BN JUAL BELI</v>
      </c>
      <c r="H1694" s="41" t="s">
        <v>11</v>
      </c>
      <c r="I1694" s="49" t="s">
        <v>23</v>
      </c>
      <c r="J1694" s="36">
        <f t="shared" si="20"/>
        <v>45756.5501</v>
      </c>
      <c r="K1694" s="49" t="s">
        <v>197</v>
      </c>
      <c r="L1694" s="49" t="s">
        <v>23</v>
      </c>
      <c r="M1694" s="36">
        <f t="shared" si="26"/>
        <v>45756.66127</v>
      </c>
      <c r="N1694" s="30" t="str">
        <f t="shared" si="27"/>
        <v>Selesai</v>
      </c>
      <c r="O1694" s="45">
        <f t="shared" si="23"/>
        <v>45756.66127</v>
      </c>
      <c r="P1694" s="47" t="b">
        <v>1</v>
      </c>
      <c r="Q1694" s="36">
        <f t="shared" si="24"/>
        <v>45756.66191</v>
      </c>
      <c r="R1694" s="47" t="b">
        <v>0</v>
      </c>
      <c r="S1694" s="42" t="str">
        <f t="shared" si="28"/>
        <v/>
      </c>
      <c r="T1694" s="42"/>
    </row>
    <row r="1695" ht="22.5" customHeight="1">
      <c r="B1695" s="42">
        <f t="shared" si="7"/>
        <v>1689</v>
      </c>
      <c r="C1695" s="31" t="s">
        <v>1819</v>
      </c>
      <c r="D1695" s="34" t="str">
        <f t="array" ref="D1695">IFNA(_xlfn.XLOOKUP(C1695,Table_Tarikan_Warkah[Nomor Sertipikat],Table_Tarikan_Warkah[Nomor Tiket]),"")</f>
        <v>K/12/240325/2</v>
      </c>
      <c r="E1695" s="36">
        <f t="array" ref="E1695">IFNA(_xlfn.XLOOKUP(D1695,Table_Tarikan_Warkah[Nomor Tiket],Table_Tarikan_Warkah[Tanggal diserahkan kepada Validator]),"")</f>
        <v>45758.4821</v>
      </c>
      <c r="F1695" s="36" t="str">
        <f t="array" ref="F1695">IFNA(_xlfn.XLOOKUP(D1695,Table_Tarikan_Warkah[Nomor Tiket],Table_Tarikan_Warkah[Nama Petugas Warkah]),"")</f>
        <v/>
      </c>
      <c r="G1695" s="39" t="str">
        <f t="array" ref="G1695">IFNA(_xlfn.XLOOKUP(D1695,Table_Tarikan_Warkah[Nomor Tiket],Table_Tarikan_Warkah[Jenis Permohonan]),"")</f>
        <v>BN JUAL BELI</v>
      </c>
      <c r="H1695" s="41" t="s">
        <v>11</v>
      </c>
      <c r="I1695" s="49" t="s">
        <v>23</v>
      </c>
      <c r="J1695" s="36">
        <f t="shared" si="20"/>
        <v>45756.5501</v>
      </c>
      <c r="K1695" s="58" t="s">
        <v>197</v>
      </c>
      <c r="L1695" s="49" t="s">
        <v>23</v>
      </c>
      <c r="M1695" s="36">
        <f t="shared" si="26"/>
        <v>45756.66157</v>
      </c>
      <c r="N1695" s="30" t="str">
        <f t="shared" si="27"/>
        <v>Selesai</v>
      </c>
      <c r="O1695" s="45">
        <f t="shared" si="23"/>
        <v>45756.66157</v>
      </c>
      <c r="P1695" s="47" t="b">
        <v>1</v>
      </c>
      <c r="Q1695" s="36">
        <f t="shared" si="24"/>
        <v>45756.66191</v>
      </c>
      <c r="R1695" s="47" t="b">
        <v>0</v>
      </c>
      <c r="S1695" s="42" t="str">
        <f t="shared" si="28"/>
        <v/>
      </c>
      <c r="T1695" s="42"/>
    </row>
    <row r="1696" ht="22.5" customHeight="1">
      <c r="B1696" s="42">
        <f t="shared" si="7"/>
        <v>1690</v>
      </c>
      <c r="C1696" s="31" t="s">
        <v>1820</v>
      </c>
      <c r="D1696" s="34" t="str">
        <f t="array" ref="D1696">IFNA(_xlfn.XLOOKUP(C1696,Table_Tarikan_Warkah[Nomor Sertipikat],Table_Tarikan_Warkah[Nomor Tiket]),"")</f>
        <v>K/7/180325/1</v>
      </c>
      <c r="E1696" s="36">
        <f t="array" ref="E1696">IFNA(_xlfn.XLOOKUP(D1696,Table_Tarikan_Warkah[Nomor Tiket],Table_Tarikan_Warkah[Tanggal diserahkan kepada Validator]),"")</f>
        <v>45758.48227</v>
      </c>
      <c r="F1696" s="36" t="str">
        <f t="array" ref="F1696">IFNA(_xlfn.XLOOKUP(D1696,Table_Tarikan_Warkah[Nomor Tiket],Table_Tarikan_Warkah[Nama Petugas Warkah]),"")</f>
        <v/>
      </c>
      <c r="G1696" s="39" t="str">
        <f t="array" ref="G1696">IFNA(_xlfn.XLOOKUP(D1696,Table_Tarikan_Warkah[Nomor Tiket],Table_Tarikan_Warkah[Jenis Permohonan]),"")</f>
        <v>BN JUAL BELI</v>
      </c>
      <c r="H1696" s="41" t="s">
        <v>11</v>
      </c>
      <c r="I1696" s="49" t="s">
        <v>23</v>
      </c>
      <c r="J1696" s="36">
        <f t="shared" si="20"/>
        <v>45756.5501</v>
      </c>
      <c r="K1696" s="56" t="s">
        <v>197</v>
      </c>
      <c r="L1696" s="49" t="s">
        <v>23</v>
      </c>
      <c r="M1696" s="36">
        <f t="shared" si="26"/>
        <v>45756.66157</v>
      </c>
      <c r="N1696" s="30" t="str">
        <f t="shared" si="27"/>
        <v>Selesai</v>
      </c>
      <c r="O1696" s="45">
        <f t="shared" si="23"/>
        <v>45756.66157</v>
      </c>
      <c r="P1696" s="47" t="b">
        <v>1</v>
      </c>
      <c r="Q1696" s="36">
        <f t="shared" si="24"/>
        <v>45756.66191</v>
      </c>
      <c r="R1696" s="47" t="b">
        <v>0</v>
      </c>
      <c r="S1696" s="42" t="str">
        <f t="shared" si="28"/>
        <v/>
      </c>
      <c r="T1696" s="42"/>
    </row>
    <row r="1697" ht="22.5" customHeight="1">
      <c r="B1697" s="42">
        <f t="shared" si="7"/>
        <v>1691</v>
      </c>
      <c r="C1697" s="31" t="s">
        <v>1821</v>
      </c>
      <c r="D1697" s="34" t="str">
        <f t="array" ref="D1697">IFNA(_xlfn.XLOOKUP(C1697,Table_Tarikan_Warkah[Nomor Sertipikat],Table_Tarikan_Warkah[Nomor Tiket]),"")</f>
        <v>K/13/170325/1</v>
      </c>
      <c r="E1697" s="36">
        <f t="array" ref="E1697">IFNA(_xlfn.XLOOKUP(D1697,Table_Tarikan_Warkah[Nomor Tiket],Table_Tarikan_Warkah[Tanggal diserahkan kepada Validator]),"")</f>
        <v>45758.48149</v>
      </c>
      <c r="F1697" s="36" t="str">
        <f t="array" ref="F1697">IFNA(_xlfn.XLOOKUP(D1697,Table_Tarikan_Warkah[Nomor Tiket],Table_Tarikan_Warkah[Nama Petugas Warkah]),"")</f>
        <v/>
      </c>
      <c r="G1697" s="39" t="str">
        <f t="array" ref="G1697">IFNA(_xlfn.XLOOKUP(D1697,Table_Tarikan_Warkah[Nomor Tiket],Table_Tarikan_Warkah[Jenis Permohonan]),"")</f>
        <v>BN JUAL BELI</v>
      </c>
      <c r="H1697" s="41" t="s">
        <v>11</v>
      </c>
      <c r="I1697" s="49" t="s">
        <v>23</v>
      </c>
      <c r="J1697" s="36">
        <f t="shared" si="20"/>
        <v>45756.5501</v>
      </c>
      <c r="K1697" s="58" t="s">
        <v>197</v>
      </c>
      <c r="L1697" s="49" t="s">
        <v>23</v>
      </c>
      <c r="M1697" s="36">
        <f t="shared" si="26"/>
        <v>45756.66157</v>
      </c>
      <c r="N1697" s="30" t="str">
        <f t="shared" si="27"/>
        <v>Selesai</v>
      </c>
      <c r="O1697" s="45">
        <f t="shared" si="23"/>
        <v>45756.66157</v>
      </c>
      <c r="P1697" s="47" t="b">
        <v>1</v>
      </c>
      <c r="Q1697" s="36">
        <f t="shared" si="24"/>
        <v>45756.66191</v>
      </c>
      <c r="R1697" s="47" t="b">
        <v>0</v>
      </c>
      <c r="S1697" s="42" t="str">
        <f t="shared" si="28"/>
        <v/>
      </c>
      <c r="T1697" s="42"/>
    </row>
    <row r="1698" ht="22.5" customHeight="1">
      <c r="B1698" s="42">
        <f t="shared" si="7"/>
        <v>1692</v>
      </c>
      <c r="C1698" s="31" t="s">
        <v>1822</v>
      </c>
      <c r="D1698" s="34" t="str">
        <f t="array" ref="D1698">IFNA(_xlfn.XLOOKUP(C1698,Table_Tarikan_Warkah[Nomor Sertipikat],Table_Tarikan_Warkah[Nomor Tiket]),"")</f>
        <v>K/4/110325/1</v>
      </c>
      <c r="E1698" s="36">
        <f t="array" ref="E1698">IFNA(_xlfn.XLOOKUP(D1698,Table_Tarikan_Warkah[Nomor Tiket],Table_Tarikan_Warkah[Tanggal diserahkan kepada Validator]),"")</f>
        <v>45758.48248</v>
      </c>
      <c r="F1698" s="36" t="str">
        <f t="array" ref="F1698">IFNA(_xlfn.XLOOKUP(D1698,Table_Tarikan_Warkah[Nomor Tiket],Table_Tarikan_Warkah[Nama Petugas Warkah]),"")</f>
        <v/>
      </c>
      <c r="G1698" s="39" t="str">
        <f t="array" ref="G1698">IFNA(_xlfn.XLOOKUP(D1698,Table_Tarikan_Warkah[Nomor Tiket],Table_Tarikan_Warkah[Jenis Permohonan]),"")</f>
        <v>BN JUAL BELI</v>
      </c>
      <c r="H1698" s="41" t="s">
        <v>11</v>
      </c>
      <c r="I1698" s="49" t="s">
        <v>23</v>
      </c>
      <c r="J1698" s="36">
        <f t="shared" si="20"/>
        <v>45756.5501</v>
      </c>
      <c r="K1698" s="56" t="s">
        <v>197</v>
      </c>
      <c r="L1698" s="49" t="s">
        <v>23</v>
      </c>
      <c r="M1698" s="36">
        <f t="shared" si="26"/>
        <v>45756.6616</v>
      </c>
      <c r="N1698" s="30" t="str">
        <f t="shared" si="27"/>
        <v>Selesai</v>
      </c>
      <c r="O1698" s="45">
        <f t="shared" si="23"/>
        <v>45756.6616</v>
      </c>
      <c r="P1698" s="47" t="b">
        <v>1</v>
      </c>
      <c r="Q1698" s="36">
        <f t="shared" si="24"/>
        <v>45756.66194</v>
      </c>
      <c r="R1698" s="47" t="b">
        <v>0</v>
      </c>
      <c r="S1698" s="42" t="str">
        <f t="shared" si="28"/>
        <v/>
      </c>
      <c r="T1698" s="42"/>
    </row>
    <row r="1699" ht="22.5" customHeight="1">
      <c r="B1699" s="42">
        <f t="shared" si="7"/>
        <v>1693</v>
      </c>
      <c r="C1699" s="31" t="s">
        <v>1823</v>
      </c>
      <c r="D1699" s="34" t="str">
        <f t="array" ref="D1699">IFNA(_xlfn.XLOOKUP(C1699,Table_Tarikan_Warkah[Nomor Sertipikat],Table_Tarikan_Warkah[Nomor Tiket]),"")</f>
        <v>K/14/170325/2</v>
      </c>
      <c r="E1699" s="36">
        <f t="array" ref="E1699">IFNA(_xlfn.XLOOKUP(D1699,Table_Tarikan_Warkah[Nomor Tiket],Table_Tarikan_Warkah[Tanggal diserahkan kepada Validator]),"")</f>
        <v>45769.60071</v>
      </c>
      <c r="F1699" s="36" t="str">
        <f t="array" ref="F1699">IFNA(_xlfn.XLOOKUP(D1699,Table_Tarikan_Warkah[Nomor Tiket],Table_Tarikan_Warkah[Nama Petugas Warkah]),"")</f>
        <v/>
      </c>
      <c r="G1699" s="39" t="str">
        <f t="array" ref="G1699">IFNA(_xlfn.XLOOKUP(D1699,Table_Tarikan_Warkah[Nomor Tiket],Table_Tarikan_Warkah[Jenis Permohonan]),"")</f>
        <v>ROYA</v>
      </c>
      <c r="H1699" s="41" t="s">
        <v>11</v>
      </c>
      <c r="I1699" s="49" t="s">
        <v>23</v>
      </c>
      <c r="J1699" s="36">
        <f t="shared" si="20"/>
        <v>45756.5501</v>
      </c>
      <c r="K1699" s="49" t="s">
        <v>197</v>
      </c>
      <c r="L1699" s="49" t="s">
        <v>23</v>
      </c>
      <c r="M1699" s="36">
        <f t="shared" si="26"/>
        <v>45756.6616</v>
      </c>
      <c r="N1699" s="30" t="str">
        <f t="shared" si="27"/>
        <v>Selesai</v>
      </c>
      <c r="O1699" s="45">
        <f t="shared" si="23"/>
        <v>45756.6616</v>
      </c>
      <c r="P1699" s="47" t="b">
        <v>1</v>
      </c>
      <c r="Q1699" s="36">
        <f t="shared" si="24"/>
        <v>45756.66195</v>
      </c>
      <c r="R1699" s="47" t="b">
        <v>0</v>
      </c>
      <c r="S1699" s="42" t="str">
        <f t="shared" si="28"/>
        <v/>
      </c>
      <c r="T1699" s="42"/>
    </row>
    <row r="1700" ht="22.5" customHeight="1">
      <c r="B1700" s="42">
        <f t="shared" si="7"/>
        <v>1694</v>
      </c>
      <c r="C1700" s="31" t="s">
        <v>1824</v>
      </c>
      <c r="D1700" s="34" t="str">
        <f t="array" ref="D1700">IFNA(_xlfn.XLOOKUP(C1700,Table_Tarikan_Warkah[Nomor Sertipikat],Table_Tarikan_Warkah[Nomor Tiket]),"")</f>
        <v>L/25/190325/1</v>
      </c>
      <c r="E1700" s="36">
        <f t="array" ref="E1700">IFNA(_xlfn.XLOOKUP(D1700,Table_Tarikan_Warkah[Nomor Tiket],Table_Tarikan_Warkah[Tanggal diserahkan kepada Validator]),"")</f>
        <v>45771.39498</v>
      </c>
      <c r="F1700" s="36" t="str">
        <f t="array" ref="F1700">IFNA(_xlfn.XLOOKUP(D1700,Table_Tarikan_Warkah[Nomor Tiket],Table_Tarikan_Warkah[Nama Petugas Warkah]),"")</f>
        <v/>
      </c>
      <c r="G1700" s="39" t="str">
        <f t="array" ref="G1700">IFNA(_xlfn.XLOOKUP(D1700,Table_Tarikan_Warkah[Nomor Tiket],Table_Tarikan_Warkah[Jenis Permohonan]),"")</f>
        <v>ROYA</v>
      </c>
      <c r="H1700" s="41" t="s">
        <v>20</v>
      </c>
      <c r="I1700" s="49" t="s">
        <v>23</v>
      </c>
      <c r="J1700" s="36">
        <f t="shared" si="20"/>
        <v>45757.47544</v>
      </c>
      <c r="K1700" s="58" t="s">
        <v>197</v>
      </c>
      <c r="L1700" s="49" t="s">
        <v>23</v>
      </c>
      <c r="M1700" s="36">
        <f t="shared" si="26"/>
        <v>45757.63317</v>
      </c>
      <c r="N1700" s="30" t="str">
        <f t="shared" si="27"/>
        <v>Selesai</v>
      </c>
      <c r="O1700" s="45">
        <f t="shared" si="23"/>
        <v>45757.63317</v>
      </c>
      <c r="P1700" s="47" t="b">
        <v>1</v>
      </c>
      <c r="Q1700" s="36">
        <f t="shared" si="24"/>
        <v>45757.63324</v>
      </c>
      <c r="R1700" s="47" t="b">
        <v>0</v>
      </c>
      <c r="S1700" s="42" t="str">
        <f t="shared" si="28"/>
        <v/>
      </c>
      <c r="T1700" s="42"/>
    </row>
    <row r="1701" ht="22.5" customHeight="1">
      <c r="B1701" s="42">
        <f t="shared" si="7"/>
        <v>1695</v>
      </c>
      <c r="C1701" s="31" t="s">
        <v>1825</v>
      </c>
      <c r="D1701" s="34" t="str">
        <f t="array" ref="D1701">IFNA(_xlfn.XLOOKUP(C1701,Table_Tarikan_Warkah[Nomor Sertipikat],Table_Tarikan_Warkah[Nomor Tiket]),"")</f>
        <v>K/2/180325/1</v>
      </c>
      <c r="E1701" s="36" t="str">
        <f t="array" ref="E1701">IFNA(_xlfn.XLOOKUP(D1701,Table_Tarikan_Warkah[Nomor Tiket],Table_Tarikan_Warkah[Tanggal diserahkan kepada Validator]),"")</f>
        <v/>
      </c>
      <c r="F1701" s="36" t="str">
        <f t="array" ref="F1701">IFNA(_xlfn.XLOOKUP(D1701,Table_Tarikan_Warkah[Nomor Tiket],Table_Tarikan_Warkah[Nama Petugas Warkah]),"")</f>
        <v/>
      </c>
      <c r="G1701" s="39" t="str">
        <f t="array" ref="G1701">IFNA(_xlfn.XLOOKUP(D1701,Table_Tarikan_Warkah[Nomor Tiket],Table_Tarikan_Warkah[Jenis Permohonan]),"")</f>
        <v>ROYA</v>
      </c>
      <c r="H1701" s="41" t="s">
        <v>20</v>
      </c>
      <c r="I1701" s="49" t="s">
        <v>23</v>
      </c>
      <c r="J1701" s="36">
        <f t="shared" si="20"/>
        <v>45757.47562</v>
      </c>
      <c r="K1701" s="56" t="s">
        <v>197</v>
      </c>
      <c r="L1701" s="49" t="s">
        <v>23</v>
      </c>
      <c r="M1701" s="36">
        <f t="shared" si="26"/>
        <v>45757.63317</v>
      </c>
      <c r="N1701" s="30" t="str">
        <f t="shared" si="27"/>
        <v>Selesai</v>
      </c>
      <c r="O1701" s="45">
        <f t="shared" si="23"/>
        <v>45757.63317</v>
      </c>
      <c r="P1701" s="47" t="b">
        <v>1</v>
      </c>
      <c r="Q1701" s="36">
        <f t="shared" si="24"/>
        <v>45757.63328</v>
      </c>
      <c r="R1701" s="47" t="b">
        <v>0</v>
      </c>
      <c r="S1701" s="42" t="str">
        <f t="shared" si="28"/>
        <v/>
      </c>
      <c r="T1701" s="42"/>
    </row>
    <row r="1702" ht="22.5" customHeight="1">
      <c r="B1702" s="42">
        <f t="shared" si="7"/>
        <v>1696</v>
      </c>
      <c r="C1702" s="31" t="s">
        <v>1826</v>
      </c>
      <c r="D1702" s="34" t="str">
        <f t="array" ref="D1702">IFNA(_xlfn.XLOOKUP(C1702,Table_Tarikan_Warkah[Nomor Sertipikat],Table_Tarikan_Warkah[Nomor Tiket]),"")</f>
        <v>K/2/110325/2</v>
      </c>
      <c r="E1702" s="36">
        <f t="array" ref="E1702">IFNA(_xlfn.XLOOKUP(D1702,Table_Tarikan_Warkah[Nomor Tiket],Table_Tarikan_Warkah[Tanggal diserahkan kepada Validator]),"")</f>
        <v>45761.45317</v>
      </c>
      <c r="F1702" s="36" t="str">
        <f t="array" ref="F1702">IFNA(_xlfn.XLOOKUP(D1702,Table_Tarikan_Warkah[Nomor Tiket],Table_Tarikan_Warkah[Nama Petugas Warkah]),"")</f>
        <v/>
      </c>
      <c r="G1702" s="39" t="str">
        <f t="array" ref="G1702">IFNA(_xlfn.XLOOKUP(D1702,Table_Tarikan_Warkah[Nomor Tiket],Table_Tarikan_Warkah[Jenis Permohonan]),"")</f>
        <v>BN Jual Beli</v>
      </c>
      <c r="H1702" s="41" t="s">
        <v>20</v>
      </c>
      <c r="I1702" s="49" t="s">
        <v>23</v>
      </c>
      <c r="J1702" s="36">
        <f t="shared" si="20"/>
        <v>45757.47572</v>
      </c>
      <c r="K1702" s="49" t="s">
        <v>197</v>
      </c>
      <c r="L1702" s="49" t="s">
        <v>23</v>
      </c>
      <c r="M1702" s="36">
        <f t="shared" si="26"/>
        <v>45757.63317</v>
      </c>
      <c r="N1702" s="30" t="str">
        <f t="shared" si="27"/>
        <v>Selesai</v>
      </c>
      <c r="O1702" s="45">
        <f t="shared" si="23"/>
        <v>45757.63317</v>
      </c>
      <c r="P1702" s="47" t="b">
        <v>1</v>
      </c>
      <c r="Q1702" s="36">
        <f t="shared" si="24"/>
        <v>45757.63329</v>
      </c>
      <c r="R1702" s="47" t="b">
        <v>0</v>
      </c>
      <c r="S1702" s="42" t="str">
        <f t="shared" si="28"/>
        <v/>
      </c>
      <c r="T1702" s="42"/>
    </row>
    <row r="1703" ht="22.5" customHeight="1">
      <c r="B1703" s="42">
        <f t="shared" si="7"/>
        <v>1697</v>
      </c>
      <c r="C1703" s="31" t="s">
        <v>1827</v>
      </c>
      <c r="D1703" s="34" t="str">
        <f t="array" ref="D1703">IFNA(_xlfn.XLOOKUP(C1703,Table_Tarikan_Warkah[Nomor Sertipikat],Table_Tarikan_Warkah[Nomor Tiket]),"")</f>
        <v>L/19/170325/1</v>
      </c>
      <c r="E1703" s="36" t="str">
        <f t="array" ref="E1703">IFNA(_xlfn.XLOOKUP(D1703,Table_Tarikan_Warkah[Nomor Tiket],Table_Tarikan_Warkah[Tanggal diserahkan kepada Validator]),"")</f>
        <v/>
      </c>
      <c r="F1703" s="36" t="str">
        <f t="array" ref="F1703">IFNA(_xlfn.XLOOKUP(D1703,Table_Tarikan_Warkah[Nomor Tiket],Table_Tarikan_Warkah[Nama Petugas Warkah]),"")</f>
        <v/>
      </c>
      <c r="G1703" s="39" t="str">
        <f t="array" ref="G1703">IFNA(_xlfn.XLOOKUP(D1703,Table_Tarikan_Warkah[Nomor Tiket],Table_Tarikan_Warkah[Jenis Permohonan]),"")</f>
        <v>PH</v>
      </c>
      <c r="H1703" s="41" t="s">
        <v>20</v>
      </c>
      <c r="I1703" s="49" t="s">
        <v>23</v>
      </c>
      <c r="J1703" s="36">
        <f t="shared" si="20"/>
        <v>45757.47585</v>
      </c>
      <c r="K1703" s="58" t="s">
        <v>197</v>
      </c>
      <c r="L1703" s="49" t="s">
        <v>23</v>
      </c>
      <c r="M1703" s="36">
        <f t="shared" si="26"/>
        <v>45757.63317</v>
      </c>
      <c r="N1703" s="30" t="str">
        <f t="shared" si="27"/>
        <v>Selesai</v>
      </c>
      <c r="O1703" s="45">
        <f t="shared" si="23"/>
        <v>45757.63317</v>
      </c>
      <c r="P1703" s="47" t="b">
        <v>1</v>
      </c>
      <c r="Q1703" s="36">
        <f t="shared" si="24"/>
        <v>45757.63337</v>
      </c>
      <c r="R1703" s="47" t="b">
        <v>0</v>
      </c>
      <c r="S1703" s="42" t="str">
        <f t="shared" si="28"/>
        <v/>
      </c>
      <c r="T1703" s="42"/>
    </row>
    <row r="1704" ht="22.5" customHeight="1">
      <c r="B1704" s="42">
        <f t="shared" si="7"/>
        <v>1698</v>
      </c>
      <c r="C1704" s="31" t="s">
        <v>1828</v>
      </c>
      <c r="D1704" s="34" t="str">
        <f t="array" ref="D1704">IFNA(_xlfn.XLOOKUP(C1704,Table_Tarikan_Warkah[Nomor Sertipikat],Table_Tarikan_Warkah[Nomor Tiket]),"")</f>
        <v>K/31/240325/1</v>
      </c>
      <c r="E1704" s="36">
        <f t="array" ref="E1704">IFNA(_xlfn.XLOOKUP(D1704,Table_Tarikan_Warkah[Nomor Tiket],Table_Tarikan_Warkah[Tanggal diserahkan kepada Validator]),"")</f>
        <v>45813.4754</v>
      </c>
      <c r="F1704" s="36" t="str">
        <f t="array" ref="F1704">IFNA(_xlfn.XLOOKUP(D1704,Table_Tarikan_Warkah[Nomor Tiket],Table_Tarikan_Warkah[Nama Petugas Warkah]),"")</f>
        <v>David</v>
      </c>
      <c r="G1704" s="39" t="str">
        <f t="array" ref="G1704">IFNA(_xlfn.XLOOKUP(D1704,Table_Tarikan_Warkah[Nomor Tiket],Table_Tarikan_Warkah[Jenis Permohonan]),"")</f>
        <v>ROYA</v>
      </c>
      <c r="H1704" s="41" t="s">
        <v>20</v>
      </c>
      <c r="I1704" s="49" t="s">
        <v>23</v>
      </c>
      <c r="J1704" s="36">
        <f t="shared" si="20"/>
        <v>45757.47593</v>
      </c>
      <c r="K1704" s="56" t="s">
        <v>197</v>
      </c>
      <c r="L1704" s="49" t="s">
        <v>23</v>
      </c>
      <c r="M1704" s="36">
        <f t="shared" si="26"/>
        <v>45757.63317</v>
      </c>
      <c r="N1704" s="30" t="str">
        <f t="shared" si="27"/>
        <v>Selesai</v>
      </c>
      <c r="O1704" s="45">
        <f t="shared" si="23"/>
        <v>45757.63317</v>
      </c>
      <c r="P1704" s="47" t="b">
        <v>1</v>
      </c>
      <c r="Q1704" s="36">
        <f t="shared" si="24"/>
        <v>45757.63337</v>
      </c>
      <c r="R1704" s="47" t="b">
        <v>0</v>
      </c>
      <c r="S1704" s="42" t="str">
        <f t="shared" si="28"/>
        <v/>
      </c>
      <c r="T1704" s="42"/>
    </row>
    <row r="1705" ht="22.5" customHeight="1">
      <c r="B1705" s="42">
        <f t="shared" si="7"/>
        <v>1699</v>
      </c>
      <c r="C1705" s="31" t="s">
        <v>1829</v>
      </c>
      <c r="D1705" s="34" t="str">
        <f t="array" ref="D1705">IFNA(_xlfn.XLOOKUP(C1705,Table_Tarikan_Warkah[Nomor Sertipikat],Table_Tarikan_Warkah[Nomor Tiket]),"")</f>
        <v>K/17/200325/2</v>
      </c>
      <c r="E1705" s="36">
        <f t="array" ref="E1705">IFNA(_xlfn.XLOOKUP(D1705,Table_Tarikan_Warkah[Nomor Tiket],Table_Tarikan_Warkah[Tanggal diserahkan kepada Validator]),"")</f>
        <v>45799.70893</v>
      </c>
      <c r="F1705" s="36" t="str">
        <f t="array" ref="F1705">IFNA(_xlfn.XLOOKUP(D1705,Table_Tarikan_Warkah[Nomor Tiket],Table_Tarikan_Warkah[Nama Petugas Warkah]),"")</f>
        <v>Berry</v>
      </c>
      <c r="G1705" s="39" t="str">
        <f t="array" ref="G1705">IFNA(_xlfn.XLOOKUP(D1705,Table_Tarikan_Warkah[Nomor Tiket],Table_Tarikan_Warkah[Jenis Permohonan]),"")</f>
        <v>BN Waris</v>
      </c>
      <c r="H1705" s="41" t="s">
        <v>20</v>
      </c>
      <c r="I1705" s="49" t="s">
        <v>23</v>
      </c>
      <c r="J1705" s="36">
        <f t="shared" si="20"/>
        <v>45757.47609</v>
      </c>
      <c r="K1705" s="58" t="s">
        <v>197</v>
      </c>
      <c r="L1705" s="49" t="s">
        <v>23</v>
      </c>
      <c r="M1705" s="36">
        <f t="shared" si="26"/>
        <v>45757.63317</v>
      </c>
      <c r="N1705" s="30" t="str">
        <f t="shared" si="27"/>
        <v>Selesai</v>
      </c>
      <c r="O1705" s="45">
        <f t="shared" si="23"/>
        <v>45757.63317</v>
      </c>
      <c r="P1705" s="47" t="b">
        <v>1</v>
      </c>
      <c r="Q1705" s="36">
        <f t="shared" si="24"/>
        <v>45757.63337</v>
      </c>
      <c r="R1705" s="47" t="b">
        <v>0</v>
      </c>
      <c r="S1705" s="42" t="str">
        <f t="shared" si="28"/>
        <v/>
      </c>
      <c r="T1705" s="42"/>
    </row>
    <row r="1706" ht="22.5" customHeight="1">
      <c r="B1706" s="42">
        <f t="shared" si="7"/>
        <v>1700</v>
      </c>
      <c r="C1706" s="31" t="s">
        <v>1830</v>
      </c>
      <c r="D1706" s="34" t="str">
        <f t="array" ref="D1706">IFNA(_xlfn.XLOOKUP(C1706,Table_Tarikan_Warkah[Nomor Sertipikat],Table_Tarikan_Warkah[Nomor Tiket]),"")</f>
        <v>K/42/240325/1</v>
      </c>
      <c r="E1706" s="36" t="str">
        <f t="array" ref="E1706">IFNA(_xlfn.XLOOKUP(D1706,Table_Tarikan_Warkah[Nomor Tiket],Table_Tarikan_Warkah[Tanggal diserahkan kepada Validator]),"")</f>
        <v/>
      </c>
      <c r="F1706" s="36" t="str">
        <f t="array" ref="F1706">IFNA(_xlfn.XLOOKUP(D1706,Table_Tarikan_Warkah[Nomor Tiket],Table_Tarikan_Warkah[Nama Petugas Warkah]),"")</f>
        <v/>
      </c>
      <c r="G1706" s="39" t="str">
        <f t="array" ref="G1706">IFNA(_xlfn.XLOOKUP(D1706,Table_Tarikan_Warkah[Nomor Tiket],Table_Tarikan_Warkah[Jenis Permohonan]),"")</f>
        <v>Pemecahan</v>
      </c>
      <c r="H1706" s="41" t="s">
        <v>20</v>
      </c>
      <c r="I1706" s="49" t="s">
        <v>23</v>
      </c>
      <c r="J1706" s="36">
        <f t="shared" si="20"/>
        <v>45757.47627</v>
      </c>
      <c r="K1706" s="56" t="s">
        <v>197</v>
      </c>
      <c r="L1706" s="49" t="s">
        <v>23</v>
      </c>
      <c r="M1706" s="36">
        <f t="shared" si="26"/>
        <v>45757.63317</v>
      </c>
      <c r="N1706" s="30" t="str">
        <f t="shared" si="27"/>
        <v>Selesai</v>
      </c>
      <c r="O1706" s="45">
        <f t="shared" si="23"/>
        <v>45757.63317</v>
      </c>
      <c r="P1706" s="47" t="b">
        <v>1</v>
      </c>
      <c r="Q1706" s="36">
        <f t="shared" si="24"/>
        <v>45757.63337</v>
      </c>
      <c r="R1706" s="47" t="b">
        <v>0</v>
      </c>
      <c r="S1706" s="42" t="str">
        <f t="shared" si="28"/>
        <v/>
      </c>
      <c r="T1706" s="42"/>
    </row>
    <row r="1707" ht="22.5" customHeight="1">
      <c r="B1707" s="42">
        <f t="shared" si="7"/>
        <v>1701</v>
      </c>
      <c r="C1707" s="31" t="s">
        <v>1831</v>
      </c>
      <c r="D1707" s="34" t="str">
        <f t="array" ref="D1707">IFNA(_xlfn.XLOOKUP(C1707,Table_Tarikan_Warkah[Nomor Sertipikat],Table_Tarikan_Warkah[Nomor Tiket]),"")</f>
        <v>K/24/210225/1</v>
      </c>
      <c r="E1707" s="36">
        <f t="array" ref="E1707">IFNA(_xlfn.XLOOKUP(D1707,Table_Tarikan_Warkah[Nomor Tiket],Table_Tarikan_Warkah[Tanggal diserahkan kepada Validator]),"")</f>
        <v>45825.55395</v>
      </c>
      <c r="F1707" s="36" t="str">
        <f t="array" ref="F1707">IFNA(_xlfn.XLOOKUP(D1707,Table_Tarikan_Warkah[Nomor Tiket],Table_Tarikan_Warkah[Nama Petugas Warkah]),"")</f>
        <v>Berry</v>
      </c>
      <c r="G1707" s="39" t="str">
        <f t="array" ref="G1707">IFNA(_xlfn.XLOOKUP(D1707,Table_Tarikan_Warkah[Nomor Tiket],Table_Tarikan_Warkah[Jenis Permohonan]),"")</f>
        <v>BN Waris</v>
      </c>
      <c r="H1707" s="41" t="s">
        <v>20</v>
      </c>
      <c r="I1707" s="49" t="s">
        <v>23</v>
      </c>
      <c r="J1707" s="36">
        <f t="shared" si="20"/>
        <v>45757.47638</v>
      </c>
      <c r="K1707" s="49" t="s">
        <v>197</v>
      </c>
      <c r="L1707" s="49" t="s">
        <v>23</v>
      </c>
      <c r="M1707" s="36">
        <f t="shared" si="26"/>
        <v>45757.63317</v>
      </c>
      <c r="N1707" s="30" t="str">
        <f t="shared" si="27"/>
        <v>Selesai</v>
      </c>
      <c r="O1707" s="45">
        <f t="shared" si="23"/>
        <v>45757.63317</v>
      </c>
      <c r="P1707" s="47" t="b">
        <v>1</v>
      </c>
      <c r="Q1707" s="36">
        <f t="shared" si="24"/>
        <v>45757.63337</v>
      </c>
      <c r="R1707" s="47" t="b">
        <v>0</v>
      </c>
      <c r="S1707" s="42" t="str">
        <f t="shared" si="28"/>
        <v/>
      </c>
      <c r="T1707" s="42"/>
    </row>
    <row r="1708" ht="22.5" customHeight="1">
      <c r="B1708" s="42">
        <f t="shared" si="7"/>
        <v>1702</v>
      </c>
      <c r="C1708" s="31" t="s">
        <v>1832</v>
      </c>
      <c r="D1708" s="34" t="str">
        <f t="array" ref="D1708">IFNA(_xlfn.XLOOKUP(C1708,Table_Tarikan_Warkah[Nomor Sertipikat],Table_Tarikan_Warkah[Nomor Tiket]),"")</f>
        <v>L/24/190325/2</v>
      </c>
      <c r="E1708" s="36" t="str">
        <f t="array" ref="E1708">IFNA(_xlfn.XLOOKUP(D1708,Table_Tarikan_Warkah[Nomor Tiket],Table_Tarikan_Warkah[Tanggal diserahkan kepada Validator]),"")</f>
        <v/>
      </c>
      <c r="F1708" s="36" t="str">
        <f t="array" ref="F1708">IFNA(_xlfn.XLOOKUP(D1708,Table_Tarikan_Warkah[Nomor Tiket],Table_Tarikan_Warkah[Nama Petugas Warkah]),"")</f>
        <v/>
      </c>
      <c r="G1708" s="39" t="str">
        <f t="array" ref="G1708">IFNA(_xlfn.XLOOKUP(D1708,Table_Tarikan_Warkah[Nomor Tiket],Table_Tarikan_Warkah[Jenis Permohonan]),"")</f>
        <v>ROYA</v>
      </c>
      <c r="H1708" s="41" t="s">
        <v>11</v>
      </c>
      <c r="I1708" s="49" t="s">
        <v>23</v>
      </c>
      <c r="J1708" s="36">
        <f t="shared" si="20"/>
        <v>45758.58366</v>
      </c>
      <c r="K1708" s="56" t="s">
        <v>197</v>
      </c>
      <c r="L1708" s="49" t="s">
        <v>23</v>
      </c>
      <c r="M1708" s="36">
        <f t="shared" si="26"/>
        <v>45758.61954</v>
      </c>
      <c r="N1708" s="30" t="str">
        <f t="shared" si="27"/>
        <v>Selesai</v>
      </c>
      <c r="O1708" s="45">
        <f t="shared" si="23"/>
        <v>45758.61954</v>
      </c>
      <c r="P1708" s="47" t="b">
        <v>1</v>
      </c>
      <c r="Q1708" s="36">
        <f t="shared" si="24"/>
        <v>45758.6196</v>
      </c>
      <c r="R1708" s="47" t="b">
        <v>0</v>
      </c>
      <c r="S1708" s="42" t="str">
        <f t="shared" si="28"/>
        <v/>
      </c>
      <c r="T1708" s="42"/>
    </row>
    <row r="1709" ht="22.5" customHeight="1">
      <c r="B1709" s="42">
        <f t="shared" si="7"/>
        <v>1703</v>
      </c>
      <c r="C1709" s="31" t="s">
        <v>1833</v>
      </c>
      <c r="D1709" s="34" t="str">
        <f t="array" ref="D1709">IFNA(_xlfn.XLOOKUP(C1709,Table_Tarikan_Warkah[Nomor Sertipikat],Table_Tarikan_Warkah[Nomor Tiket]),"")</f>
        <v>K/29/260325/2</v>
      </c>
      <c r="E1709" s="36">
        <f t="array" ref="E1709">IFNA(_xlfn.XLOOKUP(D1709,Table_Tarikan_Warkah[Nomor Tiket],Table_Tarikan_Warkah[Tanggal diserahkan kepada Validator]),"")</f>
        <v>45761.45072</v>
      </c>
      <c r="F1709" s="36" t="str">
        <f t="array" ref="F1709">IFNA(_xlfn.XLOOKUP(D1709,Table_Tarikan_Warkah[Nomor Tiket],Table_Tarikan_Warkah[Nama Petugas Warkah]),"")</f>
        <v/>
      </c>
      <c r="G1709" s="39" t="str">
        <f t="array" ref="G1709">IFNA(_xlfn.XLOOKUP(D1709,Table_Tarikan_Warkah[Nomor Tiket],Table_Tarikan_Warkah[Jenis Permohonan]),"")</f>
        <v>BN JUAL BELI </v>
      </c>
      <c r="H1709" s="41" t="s">
        <v>11</v>
      </c>
      <c r="I1709" s="49" t="s">
        <v>23</v>
      </c>
      <c r="J1709" s="36">
        <f t="shared" si="20"/>
        <v>45758.58373</v>
      </c>
      <c r="K1709" s="49" t="s">
        <v>197</v>
      </c>
      <c r="L1709" s="49" t="s">
        <v>23</v>
      </c>
      <c r="M1709" s="36">
        <f t="shared" si="26"/>
        <v>45758.61954</v>
      </c>
      <c r="N1709" s="30" t="str">
        <f t="shared" si="27"/>
        <v>Selesai</v>
      </c>
      <c r="O1709" s="45">
        <f t="shared" si="23"/>
        <v>45758.61954</v>
      </c>
      <c r="P1709" s="47" t="b">
        <v>1</v>
      </c>
      <c r="Q1709" s="36">
        <f t="shared" si="24"/>
        <v>45758.6196</v>
      </c>
      <c r="R1709" s="47" t="b">
        <v>0</v>
      </c>
      <c r="S1709" s="42" t="str">
        <f t="shared" si="28"/>
        <v/>
      </c>
      <c r="T1709" s="42"/>
    </row>
    <row r="1710" ht="22.5" customHeight="1">
      <c r="B1710" s="42">
        <f t="shared" si="7"/>
        <v>1704</v>
      </c>
      <c r="C1710" s="31" t="s">
        <v>1834</v>
      </c>
      <c r="D1710" s="34" t="str">
        <f t="array" ref="D1710">IFNA(_xlfn.XLOOKUP(C1710,Table_Tarikan_Warkah[Nomor Sertipikat],Table_Tarikan_Warkah[Nomor Tiket]),"")</f>
        <v>K/23/260325/2</v>
      </c>
      <c r="E1710" s="36" t="str">
        <f t="array" ref="E1710">IFNA(_xlfn.XLOOKUP(D1710,Table_Tarikan_Warkah[Nomor Tiket],Table_Tarikan_Warkah[Tanggal diserahkan kepada Validator]),"")</f>
        <v/>
      </c>
      <c r="F1710" s="36" t="str">
        <f t="array" ref="F1710">IFNA(_xlfn.XLOOKUP(D1710,Table_Tarikan_Warkah[Nomor Tiket],Table_Tarikan_Warkah[Nama Petugas Warkah]),"")</f>
        <v/>
      </c>
      <c r="G1710" s="39" t="str">
        <f t="array" ref="G1710">IFNA(_xlfn.XLOOKUP(D1710,Table_Tarikan_Warkah[Nomor Tiket],Table_Tarikan_Warkah[Jenis Permohonan]),"")</f>
        <v>JUAL BELI</v>
      </c>
      <c r="H1710" s="41" t="s">
        <v>11</v>
      </c>
      <c r="I1710" s="49" t="s">
        <v>23</v>
      </c>
      <c r="J1710" s="36">
        <f t="shared" si="20"/>
        <v>45758.58373</v>
      </c>
      <c r="K1710" s="58" t="s">
        <v>197</v>
      </c>
      <c r="L1710" s="49" t="s">
        <v>23</v>
      </c>
      <c r="M1710" s="36">
        <f t="shared" si="26"/>
        <v>45758.61954</v>
      </c>
      <c r="N1710" s="30" t="str">
        <f t="shared" si="27"/>
        <v>Selesai</v>
      </c>
      <c r="O1710" s="45">
        <f t="shared" si="23"/>
        <v>45758.61954</v>
      </c>
      <c r="P1710" s="47" t="b">
        <v>1</v>
      </c>
      <c r="Q1710" s="36">
        <f t="shared" si="24"/>
        <v>45758.61961</v>
      </c>
      <c r="R1710" s="47" t="b">
        <v>0</v>
      </c>
      <c r="S1710" s="42" t="str">
        <f t="shared" si="28"/>
        <v/>
      </c>
      <c r="T1710" s="42"/>
    </row>
    <row r="1711" ht="22.5" customHeight="1">
      <c r="B1711" s="42">
        <f t="shared" si="7"/>
        <v>1705</v>
      </c>
      <c r="C1711" s="31" t="s">
        <v>1835</v>
      </c>
      <c r="D1711" s="34" t="str">
        <f t="array" ref="D1711">IFNA(_xlfn.XLOOKUP(C1711,Table_Tarikan_Warkah[Nomor Sertipikat],Table_Tarikan_Warkah[Nomor Tiket]),"")</f>
        <v>K/55/240325/2</v>
      </c>
      <c r="E1711" s="36">
        <f t="array" ref="E1711">IFNA(_xlfn.XLOOKUP(D1711,Table_Tarikan_Warkah[Nomor Tiket],Table_Tarikan_Warkah[Tanggal diserahkan kepada Validator]),"")</f>
        <v>45761.45059</v>
      </c>
      <c r="F1711" s="36" t="str">
        <f t="array" ref="F1711">IFNA(_xlfn.XLOOKUP(D1711,Table_Tarikan_Warkah[Nomor Tiket],Table_Tarikan_Warkah[Nama Petugas Warkah]),"")</f>
        <v/>
      </c>
      <c r="G1711" s="39" t="str">
        <f t="array" ref="G1711">IFNA(_xlfn.XLOOKUP(D1711,Table_Tarikan_Warkah[Nomor Tiket],Table_Tarikan_Warkah[Jenis Permohonan]),"")</f>
        <v>BN JUAL BELI</v>
      </c>
      <c r="H1711" s="41" t="s">
        <v>11</v>
      </c>
      <c r="I1711" s="49" t="s">
        <v>23</v>
      </c>
      <c r="J1711" s="36">
        <f t="shared" si="20"/>
        <v>45758.58373</v>
      </c>
      <c r="K1711" s="56" t="s">
        <v>197</v>
      </c>
      <c r="L1711" s="49" t="s">
        <v>23</v>
      </c>
      <c r="M1711" s="36">
        <f t="shared" si="26"/>
        <v>45758.61954</v>
      </c>
      <c r="N1711" s="30" t="str">
        <f t="shared" si="27"/>
        <v>Selesai</v>
      </c>
      <c r="O1711" s="45">
        <f t="shared" si="23"/>
        <v>45758.61954</v>
      </c>
      <c r="P1711" s="47" t="b">
        <v>1</v>
      </c>
      <c r="Q1711" s="36">
        <f t="shared" si="24"/>
        <v>45758.61962</v>
      </c>
      <c r="R1711" s="47" t="b">
        <v>0</v>
      </c>
      <c r="S1711" s="42" t="str">
        <f t="shared" si="28"/>
        <v/>
      </c>
      <c r="T1711" s="42"/>
    </row>
    <row r="1712" ht="22.5" customHeight="1">
      <c r="B1712" s="42">
        <f t="shared" si="7"/>
        <v>1706</v>
      </c>
      <c r="C1712" s="31" t="s">
        <v>1836</v>
      </c>
      <c r="D1712" s="34" t="str">
        <f t="array" ref="D1712">IFNA(_xlfn.XLOOKUP(C1712,Table_Tarikan_Warkah[Nomor Sertipikat],Table_Tarikan_Warkah[Nomor Tiket]),"")</f>
        <v>K/11/200325/1</v>
      </c>
      <c r="E1712" s="36">
        <f t="array" ref="E1712">IFNA(_xlfn.XLOOKUP(D1712,Table_Tarikan_Warkah[Nomor Tiket],Table_Tarikan_Warkah[Tanggal diserahkan kepada Validator]),"")</f>
        <v>45761.45363</v>
      </c>
      <c r="F1712" s="36" t="str">
        <f t="array" ref="F1712">IFNA(_xlfn.XLOOKUP(D1712,Table_Tarikan_Warkah[Nomor Tiket],Table_Tarikan_Warkah[Nama Petugas Warkah]),"")</f>
        <v/>
      </c>
      <c r="G1712" s="39" t="str">
        <f t="array" ref="G1712">IFNA(_xlfn.XLOOKUP(D1712,Table_Tarikan_Warkah[Nomor Tiket],Table_Tarikan_Warkah[Jenis Permohonan]),"")</f>
        <v>BN JUAL BELI</v>
      </c>
      <c r="H1712" s="41" t="s">
        <v>20</v>
      </c>
      <c r="I1712" s="49" t="s">
        <v>23</v>
      </c>
      <c r="J1712" s="36">
        <f t="shared" si="20"/>
        <v>45758.5908</v>
      </c>
      <c r="K1712" s="58" t="s">
        <v>197</v>
      </c>
      <c r="L1712" s="49" t="s">
        <v>23</v>
      </c>
      <c r="M1712" s="36">
        <f t="shared" si="26"/>
        <v>45758.61954</v>
      </c>
      <c r="N1712" s="30" t="str">
        <f t="shared" si="27"/>
        <v>Selesai</v>
      </c>
      <c r="O1712" s="45">
        <f t="shared" si="23"/>
        <v>45758.61954</v>
      </c>
      <c r="P1712" s="47" t="b">
        <v>1</v>
      </c>
      <c r="Q1712" s="36">
        <f t="shared" si="24"/>
        <v>45758.61963</v>
      </c>
      <c r="R1712" s="47" t="b">
        <v>0</v>
      </c>
      <c r="S1712" s="42" t="str">
        <f t="shared" si="28"/>
        <v/>
      </c>
      <c r="T1712" s="42"/>
    </row>
    <row r="1713" ht="22.5" customHeight="1">
      <c r="B1713" s="42">
        <f t="shared" si="7"/>
        <v>1707</v>
      </c>
      <c r="C1713" s="31" t="s">
        <v>1837</v>
      </c>
      <c r="D1713" s="34" t="str">
        <f t="array" ref="D1713">IFNA(_xlfn.XLOOKUP(C1713,Table_Tarikan_Warkah[Nomor Sertipikat],Table_Tarikan_Warkah[Nomor Tiket]),"")</f>
        <v>K/14/240325/2</v>
      </c>
      <c r="E1713" s="36">
        <f t="array" ref="E1713">IFNA(_xlfn.XLOOKUP(D1713,Table_Tarikan_Warkah[Nomor Tiket],Table_Tarikan_Warkah[Tanggal diserahkan kepada Validator]),"")</f>
        <v>45791.44914</v>
      </c>
      <c r="F1713" s="36" t="str">
        <f t="array" ref="F1713">IFNA(_xlfn.XLOOKUP(D1713,Table_Tarikan_Warkah[Nomor Tiket],Table_Tarikan_Warkah[Nama Petugas Warkah]),"")</f>
        <v>David</v>
      </c>
      <c r="G1713" s="39" t="str">
        <f t="array" ref="G1713">IFNA(_xlfn.XLOOKUP(D1713,Table_Tarikan_Warkah[Nomor Tiket],Table_Tarikan_Warkah[Jenis Permohonan]),"")</f>
        <v>ROYA</v>
      </c>
      <c r="H1713" s="41" t="s">
        <v>20</v>
      </c>
      <c r="I1713" s="49" t="s">
        <v>23</v>
      </c>
      <c r="J1713" s="36">
        <f t="shared" si="20"/>
        <v>45758.59088</v>
      </c>
      <c r="K1713" s="56" t="s">
        <v>197</v>
      </c>
      <c r="L1713" s="49" t="s">
        <v>23</v>
      </c>
      <c r="M1713" s="36">
        <f t="shared" si="26"/>
        <v>45758.61954</v>
      </c>
      <c r="N1713" s="30" t="str">
        <f t="shared" si="27"/>
        <v>Selesai</v>
      </c>
      <c r="O1713" s="45">
        <f t="shared" si="23"/>
        <v>45758.61954</v>
      </c>
      <c r="P1713" s="47" t="b">
        <v>1</v>
      </c>
      <c r="Q1713" s="36">
        <f t="shared" si="24"/>
        <v>45758.61964</v>
      </c>
      <c r="R1713" s="47" t="b">
        <v>0</v>
      </c>
      <c r="S1713" s="42" t="str">
        <f t="shared" si="28"/>
        <v/>
      </c>
      <c r="T1713" s="42"/>
    </row>
    <row r="1714" ht="22.5" customHeight="1">
      <c r="B1714" s="42">
        <f t="shared" si="7"/>
        <v>1708</v>
      </c>
      <c r="C1714" s="31" t="s">
        <v>1838</v>
      </c>
      <c r="D1714" s="34" t="str">
        <f t="array" ref="D1714">IFNA(_xlfn.XLOOKUP(C1714,Table_Tarikan_Warkah[Nomor Sertipikat],Table_Tarikan_Warkah[Nomor Tiket]),"")</f>
        <v>K/29/170325/1</v>
      </c>
      <c r="E1714" s="36">
        <f t="array" ref="E1714">IFNA(_xlfn.XLOOKUP(D1714,Table_Tarikan_Warkah[Nomor Tiket],Table_Tarikan_Warkah[Tanggal diserahkan kepada Validator]),"")</f>
        <v>45761.45331</v>
      </c>
      <c r="F1714" s="36" t="str">
        <f t="array" ref="F1714">IFNA(_xlfn.XLOOKUP(D1714,Table_Tarikan_Warkah[Nomor Tiket],Table_Tarikan_Warkah[Nama Petugas Warkah]),"")</f>
        <v/>
      </c>
      <c r="G1714" s="39" t="str">
        <f t="array" ref="G1714">IFNA(_xlfn.XLOOKUP(D1714,Table_Tarikan_Warkah[Nomor Tiket],Table_Tarikan_Warkah[Jenis Permohonan]),"")</f>
        <v>BN JUAL BELI</v>
      </c>
      <c r="H1714" s="41" t="s">
        <v>20</v>
      </c>
      <c r="I1714" s="49" t="s">
        <v>23</v>
      </c>
      <c r="J1714" s="36">
        <f t="shared" si="20"/>
        <v>45758.59102</v>
      </c>
      <c r="K1714" s="49" t="s">
        <v>197</v>
      </c>
      <c r="L1714" s="49" t="s">
        <v>23</v>
      </c>
      <c r="M1714" s="36">
        <f t="shared" si="26"/>
        <v>45758.61954</v>
      </c>
      <c r="N1714" s="30" t="str">
        <f t="shared" si="27"/>
        <v>Selesai</v>
      </c>
      <c r="O1714" s="45">
        <f t="shared" si="23"/>
        <v>45758.61954</v>
      </c>
      <c r="P1714" s="47" t="b">
        <v>1</v>
      </c>
      <c r="Q1714" s="36">
        <f t="shared" si="24"/>
        <v>45758.61971</v>
      </c>
      <c r="R1714" s="47" t="b">
        <v>0</v>
      </c>
      <c r="S1714" s="42" t="str">
        <f t="shared" si="28"/>
        <v/>
      </c>
      <c r="T1714" s="42"/>
    </row>
    <row r="1715" ht="22.5" customHeight="1">
      <c r="B1715" s="42">
        <f t="shared" si="7"/>
        <v>1709</v>
      </c>
      <c r="C1715" s="31" t="s">
        <v>1839</v>
      </c>
      <c r="D1715" s="34" t="str">
        <f t="array" ref="D1715">IFNA(_xlfn.XLOOKUP(C1715,Table_Tarikan_Warkah[Nomor Sertipikat],Table_Tarikan_Warkah[Nomor Tiket]),"")</f>
        <v>K/32/240325/1</v>
      </c>
      <c r="E1715" s="36">
        <f t="array" ref="E1715">IFNA(_xlfn.XLOOKUP(D1715,Table_Tarikan_Warkah[Nomor Tiket],Table_Tarikan_Warkah[Tanggal diserahkan kepada Validator]),"")</f>
        <v>45764.59573</v>
      </c>
      <c r="F1715" s="36" t="str">
        <f t="array" ref="F1715">IFNA(_xlfn.XLOOKUP(D1715,Table_Tarikan_Warkah[Nomor Tiket],Table_Tarikan_Warkah[Nama Petugas Warkah]),"")</f>
        <v/>
      </c>
      <c r="G1715" s="39" t="str">
        <f t="array" ref="G1715">IFNA(_xlfn.XLOOKUP(D1715,Table_Tarikan_Warkah[Nomor Tiket],Table_Tarikan_Warkah[Jenis Permohonan]),"")</f>
        <v>KEWARISAN</v>
      </c>
      <c r="H1715" s="41" t="s">
        <v>11</v>
      </c>
      <c r="I1715" s="49" t="s">
        <v>23</v>
      </c>
      <c r="J1715" s="36">
        <f t="shared" si="20"/>
        <v>45761.6058</v>
      </c>
      <c r="K1715" s="49" t="s">
        <v>197</v>
      </c>
      <c r="L1715" s="49" t="s">
        <v>23</v>
      </c>
      <c r="M1715" s="36">
        <f t="shared" si="26"/>
        <v>45762.44016</v>
      </c>
      <c r="N1715" s="30" t="str">
        <f t="shared" si="27"/>
        <v>Selesai</v>
      </c>
      <c r="O1715" s="45">
        <f t="shared" si="23"/>
        <v>45762.44016</v>
      </c>
      <c r="P1715" s="47" t="b">
        <v>1</v>
      </c>
      <c r="Q1715" s="36">
        <f t="shared" si="24"/>
        <v>45762.44029</v>
      </c>
      <c r="R1715" s="47" t="b">
        <v>0</v>
      </c>
      <c r="S1715" s="42" t="str">
        <f t="shared" si="28"/>
        <v/>
      </c>
      <c r="T1715" s="42"/>
    </row>
    <row r="1716" ht="22.5" customHeight="1">
      <c r="B1716" s="42">
        <f t="shared" si="7"/>
        <v>1710</v>
      </c>
      <c r="C1716" s="31" t="s">
        <v>1840</v>
      </c>
      <c r="D1716" s="34" t="str">
        <f t="array" ref="D1716">IFNA(_xlfn.XLOOKUP(C1716,Table_Tarikan_Warkah[Nomor Sertipikat],Table_Tarikan_Warkah[Nomor Tiket]),"")</f>
        <v>K/17/250325/1</v>
      </c>
      <c r="E1716" s="36" t="str">
        <f t="array" ref="E1716">IFNA(_xlfn.XLOOKUP(D1716,Table_Tarikan_Warkah[Nomor Tiket],Table_Tarikan_Warkah[Tanggal diserahkan kepada Validator]),"")</f>
        <v/>
      </c>
      <c r="F1716" s="36" t="str">
        <f t="array" ref="F1716">IFNA(_xlfn.XLOOKUP(D1716,Table_Tarikan_Warkah[Nomor Tiket],Table_Tarikan_Warkah[Nama Petugas Warkah]),"")</f>
        <v/>
      </c>
      <c r="G1716" s="39" t="str">
        <f t="array" ref="G1716">IFNA(_xlfn.XLOOKUP(D1716,Table_Tarikan_Warkah[Nomor Tiket],Table_Tarikan_Warkah[Jenis Permohonan]),"")</f>
        <v>ROYA</v>
      </c>
      <c r="H1716" s="41" t="s">
        <v>11</v>
      </c>
      <c r="I1716" s="49" t="s">
        <v>23</v>
      </c>
      <c r="J1716" s="36">
        <f t="shared" si="20"/>
        <v>45761.60582</v>
      </c>
      <c r="K1716" s="58" t="s">
        <v>197</v>
      </c>
      <c r="L1716" s="49" t="s">
        <v>23</v>
      </c>
      <c r="M1716" s="36">
        <f t="shared" si="26"/>
        <v>45762.44016</v>
      </c>
      <c r="N1716" s="30" t="str">
        <f t="shared" si="27"/>
        <v>Selesai</v>
      </c>
      <c r="O1716" s="45">
        <f t="shared" si="23"/>
        <v>45762.44016</v>
      </c>
      <c r="P1716" s="47" t="b">
        <v>1</v>
      </c>
      <c r="Q1716" s="36">
        <f t="shared" si="24"/>
        <v>45762.4403</v>
      </c>
      <c r="R1716" s="47" t="b">
        <v>0</v>
      </c>
      <c r="S1716" s="42" t="str">
        <f t="shared" si="28"/>
        <v/>
      </c>
      <c r="T1716" s="42"/>
    </row>
    <row r="1717" ht="22.5" customHeight="1">
      <c r="B1717" s="42">
        <f t="shared" si="7"/>
        <v>1711</v>
      </c>
      <c r="C1717" s="31" t="s">
        <v>1841</v>
      </c>
      <c r="D1717" s="34" t="str">
        <f t="array" ref="D1717">IFNA(_xlfn.XLOOKUP(C1717,Table_Tarikan_Warkah[Nomor Sertipikat],Table_Tarikan_Warkah[Nomor Tiket]),"")</f>
        <v>K/27/260325/2</v>
      </c>
      <c r="E1717" s="36">
        <f t="array" ref="E1717">IFNA(_xlfn.XLOOKUP(D1717,Table_Tarikan_Warkah[Nomor Tiket],Table_Tarikan_Warkah[Tanggal diserahkan kepada Validator]),"")</f>
        <v>45764.59594</v>
      </c>
      <c r="F1717" s="36" t="str">
        <f t="array" ref="F1717">IFNA(_xlfn.XLOOKUP(D1717,Table_Tarikan_Warkah[Nomor Tiket],Table_Tarikan_Warkah[Nama Petugas Warkah]),"")</f>
        <v/>
      </c>
      <c r="G1717" s="39" t="str">
        <f t="array" ref="G1717">IFNA(_xlfn.XLOOKUP(D1717,Table_Tarikan_Warkah[Nomor Tiket],Table_Tarikan_Warkah[Jenis Permohonan]),"")</f>
        <v>KEWARISAN</v>
      </c>
      <c r="H1717" s="41" t="s">
        <v>11</v>
      </c>
      <c r="I1717" s="49" t="s">
        <v>23</v>
      </c>
      <c r="J1717" s="36">
        <f t="shared" si="20"/>
        <v>45761.60582</v>
      </c>
      <c r="K1717" s="56" t="s">
        <v>197</v>
      </c>
      <c r="L1717" s="49" t="s">
        <v>23</v>
      </c>
      <c r="M1717" s="36">
        <f t="shared" si="26"/>
        <v>45762.44016</v>
      </c>
      <c r="N1717" s="30" t="str">
        <f t="shared" si="27"/>
        <v>Selesai</v>
      </c>
      <c r="O1717" s="45">
        <f t="shared" si="23"/>
        <v>45762.44016</v>
      </c>
      <c r="P1717" s="47" t="b">
        <v>1</v>
      </c>
      <c r="Q1717" s="36">
        <f t="shared" si="24"/>
        <v>45762.44031</v>
      </c>
      <c r="R1717" s="47" t="b">
        <v>0</v>
      </c>
      <c r="S1717" s="42" t="str">
        <f t="shared" si="28"/>
        <v/>
      </c>
      <c r="T1717" s="42"/>
    </row>
    <row r="1718" ht="22.5" customHeight="1">
      <c r="B1718" s="42">
        <f t="shared" si="7"/>
        <v>1712</v>
      </c>
      <c r="C1718" s="31" t="s">
        <v>1842</v>
      </c>
      <c r="D1718" s="34" t="str">
        <f t="array" ref="D1718">IFNA(_xlfn.XLOOKUP(C1718,Table_Tarikan_Warkah[Nomor Sertipikat],Table_Tarikan_Warkah[Nomor Tiket]),"")</f>
        <v>K/20/200325/1</v>
      </c>
      <c r="E1718" s="36">
        <f t="array" ref="E1718">IFNA(_xlfn.XLOOKUP(D1718,Table_Tarikan_Warkah[Nomor Tiket],Table_Tarikan_Warkah[Tanggal diserahkan kepada Validator]),"")</f>
        <v>45764.59464</v>
      </c>
      <c r="F1718" s="36" t="str">
        <f t="array" ref="F1718">IFNA(_xlfn.XLOOKUP(D1718,Table_Tarikan_Warkah[Nomor Tiket],Table_Tarikan_Warkah[Nama Petugas Warkah]),"")</f>
        <v/>
      </c>
      <c r="G1718" s="39" t="str">
        <f t="array" ref="G1718">IFNA(_xlfn.XLOOKUP(D1718,Table_Tarikan_Warkah[Nomor Tiket],Table_Tarikan_Warkah[Jenis Permohonan]),"")</f>
        <v>BN Jual Beli</v>
      </c>
      <c r="H1718" s="41" t="s">
        <v>11</v>
      </c>
      <c r="I1718" s="49" t="s">
        <v>23</v>
      </c>
      <c r="J1718" s="36">
        <f t="shared" si="20"/>
        <v>45761.60582</v>
      </c>
      <c r="K1718" s="58" t="s">
        <v>197</v>
      </c>
      <c r="L1718" s="49" t="s">
        <v>23</v>
      </c>
      <c r="M1718" s="36">
        <f t="shared" si="26"/>
        <v>45762.44016</v>
      </c>
      <c r="N1718" s="30" t="str">
        <f t="shared" si="27"/>
        <v>Selesai</v>
      </c>
      <c r="O1718" s="45">
        <f t="shared" si="23"/>
        <v>45762.44016</v>
      </c>
      <c r="P1718" s="47" t="b">
        <v>1</v>
      </c>
      <c r="Q1718" s="36">
        <f t="shared" si="24"/>
        <v>45762.44035</v>
      </c>
      <c r="R1718" s="47" t="b">
        <v>0</v>
      </c>
      <c r="S1718" s="42" t="str">
        <f t="shared" si="28"/>
        <v/>
      </c>
      <c r="T1718" s="42"/>
    </row>
    <row r="1719" ht="22.5" customHeight="1">
      <c r="B1719" s="42">
        <f t="shared" si="7"/>
        <v>1713</v>
      </c>
      <c r="C1719" s="31" t="s">
        <v>1843</v>
      </c>
      <c r="D1719" s="34" t="str">
        <f t="array" ref="D1719">IFNA(_xlfn.XLOOKUP(C1719,Table_Tarikan_Warkah[Nomor Sertipikat],Table_Tarikan_Warkah[Nomor Tiket]),"")</f>
        <v>K/39/180325/2</v>
      </c>
      <c r="E1719" s="36">
        <f t="array" ref="E1719">IFNA(_xlfn.XLOOKUP(D1719,Table_Tarikan_Warkah[Nomor Tiket],Table_Tarikan_Warkah[Tanggal diserahkan kepada Validator]),"")</f>
        <v>45764.59454</v>
      </c>
      <c r="F1719" s="36" t="str">
        <f t="array" ref="F1719">IFNA(_xlfn.XLOOKUP(D1719,Table_Tarikan_Warkah[Nomor Tiket],Table_Tarikan_Warkah[Nama Petugas Warkah]),"")</f>
        <v/>
      </c>
      <c r="G1719" s="39" t="str">
        <f t="array" ref="G1719">IFNA(_xlfn.XLOOKUP(D1719,Table_Tarikan_Warkah[Nomor Tiket],Table_Tarikan_Warkah[Jenis Permohonan]),"")</f>
        <v>BN Jual Beli</v>
      </c>
      <c r="H1719" s="41" t="s">
        <v>11</v>
      </c>
      <c r="I1719" s="49" t="s">
        <v>23</v>
      </c>
      <c r="J1719" s="36">
        <f t="shared" si="20"/>
        <v>45761.60582</v>
      </c>
      <c r="K1719" s="56" t="s">
        <v>197</v>
      </c>
      <c r="L1719" s="49" t="s">
        <v>23</v>
      </c>
      <c r="M1719" s="36">
        <f t="shared" si="26"/>
        <v>45762.44016</v>
      </c>
      <c r="N1719" s="30" t="str">
        <f t="shared" si="27"/>
        <v>Selesai</v>
      </c>
      <c r="O1719" s="45">
        <f t="shared" si="23"/>
        <v>45762.44016</v>
      </c>
      <c r="P1719" s="47" t="b">
        <v>1</v>
      </c>
      <c r="Q1719" s="36">
        <f t="shared" si="24"/>
        <v>45762.44033</v>
      </c>
      <c r="R1719" s="47" t="b">
        <v>0</v>
      </c>
      <c r="S1719" s="42" t="str">
        <f t="shared" si="28"/>
        <v/>
      </c>
      <c r="T1719" s="42"/>
    </row>
    <row r="1720" ht="22.5" customHeight="1">
      <c r="B1720" s="42">
        <f t="shared" si="7"/>
        <v>1714</v>
      </c>
      <c r="C1720" s="31" t="s">
        <v>1844</v>
      </c>
      <c r="D1720" s="34" t="str">
        <f t="array" ref="D1720">IFNA(_xlfn.XLOOKUP(C1720,Table_Tarikan_Warkah[Nomor Sertipikat],Table_Tarikan_Warkah[Nomor Tiket]),"")</f>
        <v>K/26/130325/1</v>
      </c>
      <c r="E1720" s="36">
        <f t="array" ref="E1720">IFNA(_xlfn.XLOOKUP(D1720,Table_Tarikan_Warkah[Nomor Tiket],Table_Tarikan_Warkah[Tanggal diserahkan kepada Validator]),"")</f>
        <v>45764.59527</v>
      </c>
      <c r="F1720" s="36" t="str">
        <f t="array" ref="F1720">IFNA(_xlfn.XLOOKUP(D1720,Table_Tarikan_Warkah[Nomor Tiket],Table_Tarikan_Warkah[Nama Petugas Warkah]),"")</f>
        <v/>
      </c>
      <c r="G1720" s="39" t="str">
        <f t="array" ref="G1720">IFNA(_xlfn.XLOOKUP(D1720,Table_Tarikan_Warkah[Nomor Tiket],Table_Tarikan_Warkah[Jenis Permohonan]),"")</f>
        <v>BN WARIS</v>
      </c>
      <c r="H1720" s="41" t="s">
        <v>11</v>
      </c>
      <c r="I1720" s="49" t="s">
        <v>23</v>
      </c>
      <c r="J1720" s="36">
        <f t="shared" si="20"/>
        <v>45761.60582</v>
      </c>
      <c r="K1720" s="49" t="s">
        <v>197</v>
      </c>
      <c r="L1720" s="49" t="s">
        <v>23</v>
      </c>
      <c r="M1720" s="36">
        <f t="shared" si="26"/>
        <v>45762.44016</v>
      </c>
      <c r="N1720" s="30" t="str">
        <f t="shared" si="27"/>
        <v>Selesai</v>
      </c>
      <c r="O1720" s="45">
        <f t="shared" si="23"/>
        <v>45762.44016</v>
      </c>
      <c r="P1720" s="47" t="b">
        <v>1</v>
      </c>
      <c r="Q1720" s="36">
        <f t="shared" si="24"/>
        <v>45762.44036</v>
      </c>
      <c r="R1720" s="47" t="b">
        <v>0</v>
      </c>
      <c r="S1720" s="42" t="str">
        <f t="shared" si="28"/>
        <v/>
      </c>
      <c r="T1720" s="42"/>
    </row>
    <row r="1721" ht="22.5" customHeight="1">
      <c r="B1721" s="42">
        <f t="shared" si="7"/>
        <v>1715</v>
      </c>
      <c r="C1721" s="31" t="s">
        <v>1845</v>
      </c>
      <c r="D1721" s="34" t="str">
        <f t="array" ref="D1721">IFNA(_xlfn.XLOOKUP(C1721,Table_Tarikan_Warkah[Nomor Sertipikat],Table_Tarikan_Warkah[Nomor Tiket]),"")</f>
        <v>K/28/130325/3</v>
      </c>
      <c r="E1721" s="36">
        <f t="array" ref="E1721">IFNA(_xlfn.XLOOKUP(D1721,Table_Tarikan_Warkah[Nomor Tiket],Table_Tarikan_Warkah[Tanggal diserahkan kepada Validator]),"")</f>
        <v>45764.59483</v>
      </c>
      <c r="F1721" s="36" t="str">
        <f t="array" ref="F1721">IFNA(_xlfn.XLOOKUP(D1721,Table_Tarikan_Warkah[Nomor Tiket],Table_Tarikan_Warkah[Nama Petugas Warkah]),"")</f>
        <v/>
      </c>
      <c r="G1721" s="39" t="str">
        <f t="array" ref="G1721">IFNA(_xlfn.XLOOKUP(D1721,Table_Tarikan_Warkah[Nomor Tiket],Table_Tarikan_Warkah[Jenis Permohonan]),"")</f>
        <v>BN WARIS</v>
      </c>
      <c r="H1721" s="41" t="s">
        <v>11</v>
      </c>
      <c r="I1721" s="49" t="s">
        <v>23</v>
      </c>
      <c r="J1721" s="36">
        <f t="shared" si="20"/>
        <v>45761.60584</v>
      </c>
      <c r="K1721" s="58" t="s">
        <v>197</v>
      </c>
      <c r="L1721" s="49" t="s">
        <v>23</v>
      </c>
      <c r="M1721" s="36">
        <f t="shared" si="26"/>
        <v>45762.44026</v>
      </c>
      <c r="N1721" s="30" t="str">
        <f t="shared" si="27"/>
        <v>Selesai</v>
      </c>
      <c r="O1721" s="45">
        <f t="shared" si="23"/>
        <v>45762.44026</v>
      </c>
      <c r="P1721" s="47" t="b">
        <v>1</v>
      </c>
      <c r="Q1721" s="36">
        <f t="shared" si="24"/>
        <v>45762.44037</v>
      </c>
      <c r="R1721" s="47" t="b">
        <v>0</v>
      </c>
      <c r="S1721" s="42" t="str">
        <f t="shared" si="28"/>
        <v/>
      </c>
      <c r="T1721" s="42"/>
    </row>
    <row r="1722" ht="22.5" customHeight="1">
      <c r="B1722" s="42">
        <f t="shared" si="7"/>
        <v>1716</v>
      </c>
      <c r="C1722" s="31" t="s">
        <v>1846</v>
      </c>
      <c r="D1722" s="34" t="str">
        <f t="array" ref="D1722">IFNA(_xlfn.XLOOKUP(C1722,Table_Tarikan_Warkah[Nomor Sertipikat],Table_Tarikan_Warkah[Nomor Tiket]),"")</f>
        <v>K/21/100325/4</v>
      </c>
      <c r="E1722" s="36">
        <f t="array" ref="E1722">IFNA(_xlfn.XLOOKUP(D1722,Table_Tarikan_Warkah[Nomor Tiket],Table_Tarikan_Warkah[Tanggal diserahkan kepada Validator]),"")</f>
        <v>45800.41047</v>
      </c>
      <c r="F1722" s="36" t="str">
        <f t="array" ref="F1722">IFNA(_xlfn.XLOOKUP(D1722,Table_Tarikan_Warkah[Nomor Tiket],Table_Tarikan_Warkah[Nama Petugas Warkah]),"")</f>
        <v>Berry</v>
      </c>
      <c r="G1722" s="39" t="str">
        <f t="array" ref="G1722">IFNA(_xlfn.XLOOKUP(D1722,Table_Tarikan_Warkah[Nomor Tiket],Table_Tarikan_Warkah[Jenis Permohonan]),"")</f>
        <v>BN JUAL BELI</v>
      </c>
      <c r="H1722" s="41" t="s">
        <v>11</v>
      </c>
      <c r="I1722" s="49" t="s">
        <v>23</v>
      </c>
      <c r="J1722" s="36">
        <f t="shared" si="20"/>
        <v>45761.60584</v>
      </c>
      <c r="K1722" s="56" t="s">
        <v>197</v>
      </c>
      <c r="L1722" s="49" t="s">
        <v>23</v>
      </c>
      <c r="M1722" s="36">
        <f t="shared" si="26"/>
        <v>45762.44026</v>
      </c>
      <c r="N1722" s="30" t="str">
        <f t="shared" si="27"/>
        <v>Selesai</v>
      </c>
      <c r="O1722" s="45">
        <f t="shared" si="23"/>
        <v>45762.44026</v>
      </c>
      <c r="P1722" s="47" t="b">
        <v>1</v>
      </c>
      <c r="Q1722" s="36">
        <f t="shared" si="24"/>
        <v>45762.44038</v>
      </c>
      <c r="R1722" s="47" t="b">
        <v>0</v>
      </c>
      <c r="S1722" s="42" t="str">
        <f t="shared" si="28"/>
        <v/>
      </c>
      <c r="T1722" s="42"/>
    </row>
    <row r="1723" ht="22.5" customHeight="1">
      <c r="B1723" s="42">
        <f t="shared" si="7"/>
        <v>1717</v>
      </c>
      <c r="C1723" s="31" t="s">
        <v>1847</v>
      </c>
      <c r="D1723" s="34" t="str">
        <f t="array" ref="D1723">IFNA(_xlfn.XLOOKUP(C1723,Table_Tarikan_Warkah[Nomor Sertipikat],Table_Tarikan_Warkah[Nomor Tiket]),"")</f>
        <v>K/24/120325/1</v>
      </c>
      <c r="E1723" s="36">
        <f t="array" ref="E1723">IFNA(_xlfn.XLOOKUP(D1723,Table_Tarikan_Warkah[Nomor Tiket],Table_Tarikan_Warkah[Tanggal diserahkan kepada Validator]),"")</f>
        <v>45764.5951</v>
      </c>
      <c r="F1723" s="36" t="str">
        <f t="array" ref="F1723">IFNA(_xlfn.XLOOKUP(D1723,Table_Tarikan_Warkah[Nomor Tiket],Table_Tarikan_Warkah[Nama Petugas Warkah]),"")</f>
        <v/>
      </c>
      <c r="G1723" s="39" t="str">
        <f t="array" ref="G1723">IFNA(_xlfn.XLOOKUP(D1723,Table_Tarikan_Warkah[Nomor Tiket],Table_Tarikan_Warkah[Jenis Permohonan]),"")</f>
        <v>BN WARIS</v>
      </c>
      <c r="H1723" s="41" t="s">
        <v>11</v>
      </c>
      <c r="I1723" s="49" t="s">
        <v>23</v>
      </c>
      <c r="J1723" s="36">
        <f t="shared" si="20"/>
        <v>45761.60584</v>
      </c>
      <c r="K1723" s="49" t="s">
        <v>197</v>
      </c>
      <c r="L1723" s="49" t="s">
        <v>23</v>
      </c>
      <c r="M1723" s="36">
        <f t="shared" si="26"/>
        <v>45762.44026</v>
      </c>
      <c r="N1723" s="30" t="str">
        <f t="shared" si="27"/>
        <v>Selesai</v>
      </c>
      <c r="O1723" s="45">
        <f t="shared" si="23"/>
        <v>45762.44026</v>
      </c>
      <c r="P1723" s="47" t="b">
        <v>1</v>
      </c>
      <c r="Q1723" s="36">
        <f t="shared" si="24"/>
        <v>45762.44039</v>
      </c>
      <c r="R1723" s="47" t="b">
        <v>0</v>
      </c>
      <c r="S1723" s="42" t="str">
        <f t="shared" si="28"/>
        <v/>
      </c>
      <c r="T1723" s="42"/>
    </row>
    <row r="1724" ht="22.5" customHeight="1">
      <c r="B1724" s="42">
        <f t="shared" si="7"/>
        <v>1718</v>
      </c>
      <c r="C1724" s="31" t="s">
        <v>1848</v>
      </c>
      <c r="D1724" s="34" t="str">
        <f t="array" ref="D1724">IFNA(_xlfn.XLOOKUP(C1724,Table_Tarikan_Warkah[Nomor Sertipikat],Table_Tarikan_Warkah[Nomor Tiket]),"")</f>
        <v>L/1/230125/1</v>
      </c>
      <c r="E1724" s="36">
        <f t="array" ref="E1724">IFNA(_xlfn.XLOOKUP(D1724,Table_Tarikan_Warkah[Nomor Tiket],Table_Tarikan_Warkah[Tanggal diserahkan kepada Validator]),"")</f>
        <v>45763.55075</v>
      </c>
      <c r="F1724" s="36" t="str">
        <f t="array" ref="F1724">IFNA(_xlfn.XLOOKUP(D1724,Table_Tarikan_Warkah[Nomor Tiket],Table_Tarikan_Warkah[Nama Petugas Warkah]),"")</f>
        <v>David</v>
      </c>
      <c r="G1724" s="39" t="str">
        <f t="array" ref="G1724">IFNA(_xlfn.XLOOKUP(D1724,Table_Tarikan_Warkah[Nomor Tiket],Table_Tarikan_Warkah[Jenis Permohonan]),"")</f>
        <v>ROYA</v>
      </c>
      <c r="H1724" s="41" t="s">
        <v>20</v>
      </c>
      <c r="I1724" s="49" t="s">
        <v>23</v>
      </c>
      <c r="J1724" s="36">
        <f t="shared" si="20"/>
        <v>45762.43624</v>
      </c>
      <c r="K1724" s="49" t="s">
        <v>197</v>
      </c>
      <c r="L1724" s="49" t="s">
        <v>23</v>
      </c>
      <c r="M1724" s="36">
        <f t="shared" si="26"/>
        <v>45762.43624</v>
      </c>
      <c r="N1724" s="30" t="str">
        <f t="shared" si="27"/>
        <v>Selesai</v>
      </c>
      <c r="O1724" s="45">
        <f t="shared" si="23"/>
        <v>45762.43624</v>
      </c>
      <c r="P1724" s="47" t="b">
        <v>1</v>
      </c>
      <c r="Q1724" s="36">
        <f t="shared" si="24"/>
        <v>45762.43624</v>
      </c>
      <c r="R1724" s="47" t="b">
        <v>0</v>
      </c>
      <c r="S1724" s="42" t="str">
        <f t="shared" si="28"/>
        <v/>
      </c>
      <c r="T1724" s="42"/>
    </row>
    <row r="1725" ht="22.5" customHeight="1">
      <c r="B1725" s="42">
        <f t="shared" si="7"/>
        <v>1719</v>
      </c>
      <c r="C1725" s="31" t="s">
        <v>1849</v>
      </c>
      <c r="D1725" s="34" t="str">
        <f t="array" ref="D1725">IFNA(_xlfn.XLOOKUP(C1725,Table_Tarikan_Warkah[Nomor Sertipikat],Table_Tarikan_Warkah[Nomor Tiket]),"")</f>
        <v>L/18/280225/1</v>
      </c>
      <c r="E1725" s="36">
        <f t="array" ref="E1725">IFNA(_xlfn.XLOOKUP(D1725,Table_Tarikan_Warkah[Nomor Tiket],Table_Tarikan_Warkah[Tanggal diserahkan kepada Validator]),"")</f>
        <v>45763.55111</v>
      </c>
      <c r="F1725" s="36" t="str">
        <f t="array" ref="F1725">IFNA(_xlfn.XLOOKUP(D1725,Table_Tarikan_Warkah[Nomor Tiket],Table_Tarikan_Warkah[Nama Petugas Warkah]),"")</f>
        <v/>
      </c>
      <c r="G1725" s="39" t="str">
        <f t="array" ref="G1725">IFNA(_xlfn.XLOOKUP(D1725,Table_Tarikan_Warkah[Nomor Tiket],Table_Tarikan_Warkah[Jenis Permohonan]),"")</f>
        <v>ROYA</v>
      </c>
      <c r="H1725" s="41" t="s">
        <v>20</v>
      </c>
      <c r="I1725" s="49" t="s">
        <v>23</v>
      </c>
      <c r="J1725" s="36">
        <f t="shared" si="20"/>
        <v>45762.43624</v>
      </c>
      <c r="K1725" s="49" t="s">
        <v>197</v>
      </c>
      <c r="L1725" s="49" t="s">
        <v>23</v>
      </c>
      <c r="M1725" s="36">
        <f t="shared" si="26"/>
        <v>45762.43624</v>
      </c>
      <c r="N1725" s="30" t="str">
        <f t="shared" si="27"/>
        <v>Selesai</v>
      </c>
      <c r="O1725" s="45">
        <f t="shared" si="23"/>
        <v>45762.43624</v>
      </c>
      <c r="P1725" s="47" t="b">
        <v>1</v>
      </c>
      <c r="Q1725" s="36">
        <f t="shared" si="24"/>
        <v>45762.43624</v>
      </c>
      <c r="R1725" s="47" t="b">
        <v>0</v>
      </c>
      <c r="S1725" s="42" t="str">
        <f t="shared" si="28"/>
        <v/>
      </c>
      <c r="T1725" s="42"/>
    </row>
    <row r="1726" ht="22.5" customHeight="1">
      <c r="B1726" s="42">
        <f t="shared" si="7"/>
        <v>1720</v>
      </c>
      <c r="C1726" s="31" t="s">
        <v>1850</v>
      </c>
      <c r="D1726" s="34" t="str">
        <f t="array" ref="D1726">IFNA(_xlfn.XLOOKUP(C1726,Table_Tarikan_Warkah[Nomor Sertipikat],Table_Tarikan_Warkah[Nomor Tiket]),"")</f>
        <v>L/8/140325/1</v>
      </c>
      <c r="E1726" s="36">
        <f t="array" ref="E1726">IFNA(_xlfn.XLOOKUP(D1726,Table_Tarikan_Warkah[Nomor Tiket],Table_Tarikan_Warkah[Tanggal diserahkan kepada Validator]),"")</f>
        <v>45763.55222</v>
      </c>
      <c r="F1726" s="36" t="str">
        <f t="array" ref="F1726">IFNA(_xlfn.XLOOKUP(D1726,Table_Tarikan_Warkah[Nomor Tiket],Table_Tarikan_Warkah[Nama Petugas Warkah]),"")</f>
        <v/>
      </c>
      <c r="G1726" s="39" t="str">
        <f t="array" ref="G1726">IFNA(_xlfn.XLOOKUP(D1726,Table_Tarikan_Warkah[Nomor Tiket],Table_Tarikan_Warkah[Jenis Permohonan]),"")</f>
        <v>ROYA</v>
      </c>
      <c r="H1726" s="41" t="s">
        <v>20</v>
      </c>
      <c r="I1726" s="49" t="s">
        <v>23</v>
      </c>
      <c r="J1726" s="36">
        <f t="shared" si="20"/>
        <v>45762.43624</v>
      </c>
      <c r="K1726" s="49" t="s">
        <v>197</v>
      </c>
      <c r="L1726" s="49" t="s">
        <v>23</v>
      </c>
      <c r="M1726" s="36">
        <f t="shared" si="26"/>
        <v>45762.43624</v>
      </c>
      <c r="N1726" s="30" t="str">
        <f t="shared" si="27"/>
        <v>Selesai</v>
      </c>
      <c r="O1726" s="45">
        <f t="shared" si="23"/>
        <v>45762.43624</v>
      </c>
      <c r="P1726" s="47" t="b">
        <v>1</v>
      </c>
      <c r="Q1726" s="36">
        <f t="shared" si="24"/>
        <v>45762.43624</v>
      </c>
      <c r="R1726" s="47" t="b">
        <v>0</v>
      </c>
      <c r="S1726" s="42" t="str">
        <f t="shared" si="28"/>
        <v/>
      </c>
      <c r="T1726" s="42"/>
    </row>
    <row r="1727" ht="22.5" customHeight="1">
      <c r="B1727" s="42">
        <f t="shared" si="7"/>
        <v>1721</v>
      </c>
      <c r="C1727" s="31" t="s">
        <v>1851</v>
      </c>
      <c r="D1727" s="34" t="str">
        <f t="array" ref="D1727">IFNA(_xlfn.XLOOKUP(C1727,Table_Tarikan_Warkah[Nomor Sertipikat],Table_Tarikan_Warkah[Nomor Tiket]),"")</f>
        <v>K/34/190325/1</v>
      </c>
      <c r="E1727" s="36">
        <f t="array" ref="E1727">IFNA(_xlfn.XLOOKUP(D1727,Table_Tarikan_Warkah[Nomor Tiket],Table_Tarikan_Warkah[Tanggal diserahkan kepada Validator]),"")</f>
        <v>45764.59622</v>
      </c>
      <c r="F1727" s="36" t="str">
        <f t="array" ref="F1727">IFNA(_xlfn.XLOOKUP(D1727,Table_Tarikan_Warkah[Nomor Tiket],Table_Tarikan_Warkah[Nama Petugas Warkah]),"")</f>
        <v/>
      </c>
      <c r="G1727" s="39" t="str">
        <f t="array" ref="G1727">IFNA(_xlfn.XLOOKUP(D1727,Table_Tarikan_Warkah[Nomor Tiket],Table_Tarikan_Warkah[Jenis Permohonan]),"")</f>
        <v>JUAL BELI</v>
      </c>
      <c r="H1727" s="41" t="s">
        <v>11</v>
      </c>
      <c r="I1727" s="49" t="s">
        <v>23</v>
      </c>
      <c r="J1727" s="36">
        <f t="shared" si="20"/>
        <v>45762.44803</v>
      </c>
      <c r="K1727" s="49" t="s">
        <v>197</v>
      </c>
      <c r="L1727" s="49" t="s">
        <v>23</v>
      </c>
      <c r="M1727" s="36">
        <f t="shared" si="26"/>
        <v>45762.65345</v>
      </c>
      <c r="N1727" s="30" t="str">
        <f t="shared" si="27"/>
        <v>Selesai</v>
      </c>
      <c r="O1727" s="45">
        <f t="shared" si="23"/>
        <v>45762.65345</v>
      </c>
      <c r="P1727" s="47" t="b">
        <v>1</v>
      </c>
      <c r="Q1727" s="36">
        <f t="shared" si="24"/>
        <v>45762.65347</v>
      </c>
      <c r="R1727" s="47" t="b">
        <v>0</v>
      </c>
      <c r="S1727" s="42" t="str">
        <f t="shared" si="28"/>
        <v/>
      </c>
      <c r="T1727" s="42"/>
    </row>
    <row r="1728" ht="22.5" customHeight="1">
      <c r="B1728" s="42">
        <f t="shared" si="7"/>
        <v>1722</v>
      </c>
      <c r="C1728" s="31" t="s">
        <v>1852</v>
      </c>
      <c r="D1728" s="34" t="str">
        <f t="array" ref="D1728">IFNA(_xlfn.XLOOKUP(C1728,Table_Tarikan_Warkah[Nomor Sertipikat],Table_Tarikan_Warkah[Nomor Tiket]),"")</f>
        <v>K/21/190325/1</v>
      </c>
      <c r="E1728" s="36" t="str">
        <f t="array" ref="E1728">IFNA(_xlfn.XLOOKUP(D1728,Table_Tarikan_Warkah[Nomor Tiket],Table_Tarikan_Warkah[Tanggal diserahkan kepada Validator]),"")</f>
        <v/>
      </c>
      <c r="F1728" s="36" t="str">
        <f t="array" ref="F1728">IFNA(_xlfn.XLOOKUP(D1728,Table_Tarikan_Warkah[Nomor Tiket],Table_Tarikan_Warkah[Nama Petugas Warkah]),"")</f>
        <v/>
      </c>
      <c r="G1728" s="39" t="str">
        <f t="array" ref="G1728">IFNA(_xlfn.XLOOKUP(D1728,Table_Tarikan_Warkah[Nomor Tiket],Table_Tarikan_Warkah[Jenis Permohonan]),"")</f>
        <v>ROYA</v>
      </c>
      <c r="H1728" s="41" t="s">
        <v>11</v>
      </c>
      <c r="I1728" s="49" t="s">
        <v>23</v>
      </c>
      <c r="J1728" s="36">
        <f t="shared" si="20"/>
        <v>45762.44803</v>
      </c>
      <c r="K1728" s="49" t="s">
        <v>197</v>
      </c>
      <c r="L1728" s="49" t="s">
        <v>23</v>
      </c>
      <c r="M1728" s="36">
        <f t="shared" si="26"/>
        <v>45762.65345</v>
      </c>
      <c r="N1728" s="30" t="str">
        <f t="shared" si="27"/>
        <v>Selesai</v>
      </c>
      <c r="O1728" s="45">
        <f t="shared" si="23"/>
        <v>45762.65345</v>
      </c>
      <c r="P1728" s="47" t="b">
        <v>1</v>
      </c>
      <c r="Q1728" s="36">
        <f t="shared" si="24"/>
        <v>45762.65347</v>
      </c>
      <c r="R1728" s="47" t="b">
        <v>0</v>
      </c>
      <c r="S1728" s="42" t="str">
        <f t="shared" si="28"/>
        <v/>
      </c>
      <c r="T1728" s="42"/>
    </row>
    <row r="1729" ht="22.5" customHeight="1">
      <c r="B1729" s="42">
        <f t="shared" si="7"/>
        <v>1723</v>
      </c>
      <c r="C1729" s="31" t="s">
        <v>1853</v>
      </c>
      <c r="D1729" s="34" t="str">
        <f t="array" ref="D1729">IFNA(_xlfn.XLOOKUP(C1729,Table_Tarikan_Warkah[Nomor Sertipikat],Table_Tarikan_Warkah[Nomor Tiket]),"")</f>
        <v>K/1/200325/1</v>
      </c>
      <c r="E1729" s="36">
        <f t="array" ref="E1729">IFNA(_xlfn.XLOOKUP(D1729,Table_Tarikan_Warkah[Nomor Tiket],Table_Tarikan_Warkah[Tanggal diserahkan kepada Validator]),"")</f>
        <v>45764.5954</v>
      </c>
      <c r="F1729" s="36" t="str">
        <f t="array" ref="F1729">IFNA(_xlfn.XLOOKUP(D1729,Table_Tarikan_Warkah[Nomor Tiket],Table_Tarikan_Warkah[Nama Petugas Warkah]),"")</f>
        <v/>
      </c>
      <c r="G1729" s="39" t="str">
        <f t="array" ref="G1729">IFNA(_xlfn.XLOOKUP(D1729,Table_Tarikan_Warkah[Nomor Tiket],Table_Tarikan_Warkah[Jenis Permohonan]),"")</f>
        <v>JUAL BELI</v>
      </c>
      <c r="H1729" s="41" t="s">
        <v>11</v>
      </c>
      <c r="I1729" s="49" t="s">
        <v>23</v>
      </c>
      <c r="J1729" s="36">
        <f t="shared" si="20"/>
        <v>45762.44803</v>
      </c>
      <c r="K1729" s="49" t="s">
        <v>197</v>
      </c>
      <c r="L1729" s="49" t="s">
        <v>23</v>
      </c>
      <c r="M1729" s="36">
        <f t="shared" si="26"/>
        <v>45762.65345</v>
      </c>
      <c r="N1729" s="30" t="str">
        <f t="shared" si="27"/>
        <v>Selesai</v>
      </c>
      <c r="O1729" s="45">
        <f t="shared" si="23"/>
        <v>45762.65345</v>
      </c>
      <c r="P1729" s="47" t="b">
        <v>1</v>
      </c>
      <c r="Q1729" s="36">
        <f t="shared" si="24"/>
        <v>45762.65347</v>
      </c>
      <c r="R1729" s="47" t="b">
        <v>0</v>
      </c>
      <c r="S1729" s="42" t="str">
        <f t="shared" si="28"/>
        <v/>
      </c>
      <c r="T1729" s="42"/>
    </row>
    <row r="1730" ht="22.5" customHeight="1">
      <c r="B1730" s="42">
        <f t="shared" si="7"/>
        <v>1724</v>
      </c>
      <c r="C1730" s="31" t="s">
        <v>1854</v>
      </c>
      <c r="D1730" s="34" t="str">
        <f t="array" ref="D1730">IFNA(_xlfn.XLOOKUP(C1730,Table_Tarikan_Warkah[Nomor Sertipikat],Table_Tarikan_Warkah[Nomor Tiket]),"")</f>
        <v>K/32/190325/1</v>
      </c>
      <c r="E1730" s="36">
        <f t="array" ref="E1730">IFNA(_xlfn.XLOOKUP(D1730,Table_Tarikan_Warkah[Nomor Tiket],Table_Tarikan_Warkah[Tanggal diserahkan kepada Validator]),"")</f>
        <v>45764.5956</v>
      </c>
      <c r="F1730" s="36" t="str">
        <f t="array" ref="F1730">IFNA(_xlfn.XLOOKUP(D1730,Table_Tarikan_Warkah[Nomor Tiket],Table_Tarikan_Warkah[Nama Petugas Warkah]),"")</f>
        <v/>
      </c>
      <c r="G1730" s="39" t="str">
        <f t="array" ref="G1730">IFNA(_xlfn.XLOOKUP(D1730,Table_Tarikan_Warkah[Nomor Tiket],Table_Tarikan_Warkah[Jenis Permohonan]),"")</f>
        <v>JUAL BELI</v>
      </c>
      <c r="H1730" s="41" t="s">
        <v>11</v>
      </c>
      <c r="I1730" s="49" t="s">
        <v>23</v>
      </c>
      <c r="J1730" s="36">
        <f t="shared" si="20"/>
        <v>45762.44803</v>
      </c>
      <c r="K1730" s="49" t="s">
        <v>197</v>
      </c>
      <c r="L1730" s="49" t="s">
        <v>23</v>
      </c>
      <c r="M1730" s="36">
        <f t="shared" si="26"/>
        <v>45762.65345</v>
      </c>
      <c r="N1730" s="30" t="str">
        <f t="shared" si="27"/>
        <v>Selesai</v>
      </c>
      <c r="O1730" s="45">
        <f t="shared" si="23"/>
        <v>45762.65345</v>
      </c>
      <c r="P1730" s="47" t="b">
        <v>1</v>
      </c>
      <c r="Q1730" s="36">
        <f t="shared" si="24"/>
        <v>45762.65347</v>
      </c>
      <c r="R1730" s="47" t="b">
        <v>0</v>
      </c>
      <c r="S1730" s="42" t="str">
        <f t="shared" si="28"/>
        <v/>
      </c>
      <c r="T1730" s="42"/>
    </row>
    <row r="1731" ht="22.5" customHeight="1">
      <c r="B1731" s="42">
        <f t="shared" si="7"/>
        <v>1725</v>
      </c>
      <c r="C1731" s="31" t="s">
        <v>1855</v>
      </c>
      <c r="D1731" s="34" t="str">
        <f t="array" ref="D1731">IFNA(_xlfn.XLOOKUP(C1731,Table_Tarikan_Warkah[Nomor Sertipikat],Table_Tarikan_Warkah[Nomor Tiket]),"")</f>
        <v>K/10/200325/1</v>
      </c>
      <c r="E1731" s="36" t="str">
        <f t="array" ref="E1731">IFNA(_xlfn.XLOOKUP(D1731,Table_Tarikan_Warkah[Nomor Tiket],Table_Tarikan_Warkah[Tanggal diserahkan kepada Validator]),"")</f>
        <v/>
      </c>
      <c r="F1731" s="36" t="str">
        <f t="array" ref="F1731">IFNA(_xlfn.XLOOKUP(D1731,Table_Tarikan_Warkah[Nomor Tiket],Table_Tarikan_Warkah[Nama Petugas Warkah]),"")</f>
        <v/>
      </c>
      <c r="G1731" s="39" t="str">
        <f t="array" ref="G1731">IFNA(_xlfn.XLOOKUP(D1731,Table_Tarikan_Warkah[Nomor Tiket],Table_Tarikan_Warkah[Jenis Permohonan]),"")</f>
        <v>BN JUAL BELI</v>
      </c>
      <c r="H1731" s="41" t="s">
        <v>20</v>
      </c>
      <c r="I1731" s="49" t="s">
        <v>23</v>
      </c>
      <c r="J1731" s="36">
        <f t="shared" si="20"/>
        <v>45762.70805</v>
      </c>
      <c r="K1731" s="49" t="s">
        <v>197</v>
      </c>
      <c r="L1731" s="49" t="s">
        <v>23</v>
      </c>
      <c r="M1731" s="36">
        <f t="shared" si="26"/>
        <v>45762.70809</v>
      </c>
      <c r="N1731" s="30" t="str">
        <f t="shared" si="27"/>
        <v>Selesai</v>
      </c>
      <c r="O1731" s="45">
        <f t="shared" si="23"/>
        <v>45762.70809</v>
      </c>
      <c r="P1731" s="47" t="b">
        <v>1</v>
      </c>
      <c r="Q1731" s="36">
        <f t="shared" si="24"/>
        <v>45762.70811</v>
      </c>
      <c r="R1731" s="47" t="b">
        <v>0</v>
      </c>
      <c r="S1731" s="42" t="str">
        <f t="shared" si="28"/>
        <v/>
      </c>
      <c r="T1731" s="42"/>
    </row>
    <row r="1732" ht="22.5" customHeight="1">
      <c r="B1732" s="42">
        <f t="shared" si="7"/>
        <v>1726</v>
      </c>
      <c r="C1732" s="31" t="s">
        <v>1856</v>
      </c>
      <c r="D1732" s="34" t="str">
        <f t="array" ref="D1732">IFNA(_xlfn.XLOOKUP(C1732,Table_Tarikan_Warkah[Nomor Sertipikat],Table_Tarikan_Warkah[Nomor Tiket]),"")</f>
        <v>K/12/250325/1</v>
      </c>
      <c r="E1732" s="36">
        <f t="array" ref="E1732">IFNA(_xlfn.XLOOKUP(D1732,Table_Tarikan_Warkah[Nomor Tiket],Table_Tarikan_Warkah[Tanggal diserahkan kepada Validator]),"")</f>
        <v>45764.59661</v>
      </c>
      <c r="F1732" s="36" t="str">
        <f t="array" ref="F1732">IFNA(_xlfn.XLOOKUP(D1732,Table_Tarikan_Warkah[Nomor Tiket],Table_Tarikan_Warkah[Nama Petugas Warkah]),"")</f>
        <v/>
      </c>
      <c r="G1732" s="39" t="str">
        <f t="array" ref="G1732">IFNA(_xlfn.XLOOKUP(D1732,Table_Tarikan_Warkah[Nomor Tiket],Table_Tarikan_Warkah[Jenis Permohonan]),"")</f>
        <v>BN HIBAH</v>
      </c>
      <c r="H1732" s="41" t="s">
        <v>20</v>
      </c>
      <c r="I1732" s="49" t="s">
        <v>23</v>
      </c>
      <c r="J1732" s="36">
        <f t="shared" si="20"/>
        <v>45762.70831</v>
      </c>
      <c r="K1732" s="49" t="s">
        <v>197</v>
      </c>
      <c r="L1732" s="49" t="s">
        <v>23</v>
      </c>
      <c r="M1732" s="36">
        <f t="shared" si="26"/>
        <v>45763.39532</v>
      </c>
      <c r="N1732" s="30" t="str">
        <f t="shared" si="27"/>
        <v>Selesai</v>
      </c>
      <c r="O1732" s="45">
        <f t="shared" si="23"/>
        <v>45763.39532</v>
      </c>
      <c r="P1732" s="47" t="b">
        <v>1</v>
      </c>
      <c r="Q1732" s="36">
        <f t="shared" si="24"/>
        <v>45763.39538</v>
      </c>
      <c r="R1732" s="47" t="b">
        <v>0</v>
      </c>
      <c r="S1732" s="42" t="str">
        <f t="shared" si="28"/>
        <v/>
      </c>
      <c r="T1732" s="42"/>
    </row>
    <row r="1733" ht="22.5" customHeight="1">
      <c r="B1733" s="42">
        <f t="shared" si="7"/>
        <v>1727</v>
      </c>
      <c r="C1733" s="31" t="s">
        <v>1857</v>
      </c>
      <c r="D1733" s="34" t="str">
        <f t="array" ref="D1733">IFNA(_xlfn.XLOOKUP(C1733,Table_Tarikan_Warkah[Nomor Sertipikat],Table_Tarikan_Warkah[Nomor Tiket]),"")</f>
        <v>K/15/260325/1</v>
      </c>
      <c r="E1733" s="36" t="str">
        <f t="array" ref="E1733">IFNA(_xlfn.XLOOKUP(D1733,Table_Tarikan_Warkah[Nomor Tiket],Table_Tarikan_Warkah[Tanggal diserahkan kepada Validator]),"")</f>
        <v/>
      </c>
      <c r="F1733" s="36" t="str">
        <f t="array" ref="F1733">IFNA(_xlfn.XLOOKUP(D1733,Table_Tarikan_Warkah[Nomor Tiket],Table_Tarikan_Warkah[Nama Petugas Warkah]),"")</f>
        <v/>
      </c>
      <c r="G1733" s="39" t="str">
        <f t="array" ref="G1733">IFNA(_xlfn.XLOOKUP(D1733,Table_Tarikan_Warkah[Nomor Tiket],Table_Tarikan_Warkah[Jenis Permohonan]),"")</f>
        <v>BN JUAL BELI</v>
      </c>
      <c r="H1733" s="41" t="s">
        <v>20</v>
      </c>
      <c r="I1733" s="49" t="s">
        <v>23</v>
      </c>
      <c r="J1733" s="36">
        <f t="shared" si="20"/>
        <v>45762.70845</v>
      </c>
      <c r="K1733" s="49" t="s">
        <v>197</v>
      </c>
      <c r="L1733" s="49" t="s">
        <v>23</v>
      </c>
      <c r="M1733" s="36">
        <f t="shared" si="26"/>
        <v>45763.39532</v>
      </c>
      <c r="N1733" s="30" t="str">
        <f t="shared" si="27"/>
        <v>Selesai</v>
      </c>
      <c r="O1733" s="45">
        <f t="shared" si="23"/>
        <v>45763.39532</v>
      </c>
      <c r="P1733" s="47" t="b">
        <v>1</v>
      </c>
      <c r="Q1733" s="36">
        <f t="shared" si="24"/>
        <v>45763.39539</v>
      </c>
      <c r="R1733" s="47" t="b">
        <v>0</v>
      </c>
      <c r="S1733" s="42" t="str">
        <f t="shared" si="28"/>
        <v/>
      </c>
      <c r="T1733" s="42"/>
    </row>
    <row r="1734" ht="22.5" customHeight="1">
      <c r="B1734" s="42">
        <f t="shared" si="7"/>
        <v>1728</v>
      </c>
      <c r="C1734" s="31" t="s">
        <v>1858</v>
      </c>
      <c r="D1734" s="34" t="str">
        <f t="array" ref="D1734">IFNA(_xlfn.XLOOKUP(C1734,Table_Tarikan_Warkah[Nomor Sertipikat],Table_Tarikan_Warkah[Nomor Tiket]),"")</f>
        <v>K/16/260325/2</v>
      </c>
      <c r="E1734" s="36">
        <f t="array" ref="E1734">IFNA(_xlfn.XLOOKUP(D1734,Table_Tarikan_Warkah[Nomor Tiket],Table_Tarikan_Warkah[Tanggal diserahkan kepada Validator]),"")</f>
        <v>45764.59675</v>
      </c>
      <c r="F1734" s="36" t="str">
        <f t="array" ref="F1734">IFNA(_xlfn.XLOOKUP(D1734,Table_Tarikan_Warkah[Nomor Tiket],Table_Tarikan_Warkah[Nama Petugas Warkah]),"")</f>
        <v/>
      </c>
      <c r="G1734" s="39" t="str">
        <f t="array" ref="G1734">IFNA(_xlfn.XLOOKUP(D1734,Table_Tarikan_Warkah[Nomor Tiket],Table_Tarikan_Warkah[Jenis Permohonan]),"")</f>
        <v>BN JUAL BELI</v>
      </c>
      <c r="H1734" s="41" t="s">
        <v>20</v>
      </c>
      <c r="I1734" s="49" t="s">
        <v>23</v>
      </c>
      <c r="J1734" s="36">
        <f t="shared" si="20"/>
        <v>45762.70857</v>
      </c>
      <c r="K1734" s="49" t="s">
        <v>197</v>
      </c>
      <c r="L1734" s="49" t="s">
        <v>23</v>
      </c>
      <c r="M1734" s="36">
        <f t="shared" si="26"/>
        <v>45763.39532</v>
      </c>
      <c r="N1734" s="30" t="str">
        <f t="shared" si="27"/>
        <v>Selesai</v>
      </c>
      <c r="O1734" s="45">
        <f t="shared" si="23"/>
        <v>45763.39532</v>
      </c>
      <c r="P1734" s="47" t="b">
        <v>1</v>
      </c>
      <c r="Q1734" s="36">
        <f t="shared" si="24"/>
        <v>45763.3954</v>
      </c>
      <c r="R1734" s="47" t="b">
        <v>0</v>
      </c>
      <c r="S1734" s="42" t="str">
        <f t="shared" si="28"/>
        <v/>
      </c>
      <c r="T1734" s="42"/>
    </row>
    <row r="1735" ht="22.5" customHeight="1">
      <c r="B1735" s="42">
        <f t="shared" si="7"/>
        <v>1729</v>
      </c>
      <c r="C1735" s="31" t="s">
        <v>1859</v>
      </c>
      <c r="D1735" s="34" t="str">
        <f t="array" ref="D1735">IFNA(_xlfn.XLOOKUP(C1735,Table_Tarikan_Warkah[Nomor Sertipikat],Table_Tarikan_Warkah[Nomor Tiket]),"")</f>
        <v>K/31/260325/1</v>
      </c>
      <c r="E1735" s="36">
        <f t="array" ref="E1735">IFNA(_xlfn.XLOOKUP(D1735,Table_Tarikan_Warkah[Nomor Tiket],Table_Tarikan_Warkah[Tanggal diserahkan kepada Validator]),"")</f>
        <v>45764.59693</v>
      </c>
      <c r="F1735" s="36" t="str">
        <f t="array" ref="F1735">IFNA(_xlfn.XLOOKUP(D1735,Table_Tarikan_Warkah[Nomor Tiket],Table_Tarikan_Warkah[Nama Petugas Warkah]),"")</f>
        <v/>
      </c>
      <c r="G1735" s="39" t="str">
        <f t="array" ref="G1735">IFNA(_xlfn.XLOOKUP(D1735,Table_Tarikan_Warkah[Nomor Tiket],Table_Tarikan_Warkah[Jenis Permohonan]),"")</f>
        <v>BN JUAL BELI</v>
      </c>
      <c r="H1735" s="41" t="s">
        <v>20</v>
      </c>
      <c r="I1735" s="49" t="s">
        <v>23</v>
      </c>
      <c r="J1735" s="36">
        <f t="shared" si="20"/>
        <v>45762.70863</v>
      </c>
      <c r="K1735" s="49" t="s">
        <v>197</v>
      </c>
      <c r="L1735" s="49" t="s">
        <v>23</v>
      </c>
      <c r="M1735" s="36">
        <f t="shared" si="26"/>
        <v>45763.39532</v>
      </c>
      <c r="N1735" s="30" t="str">
        <f t="shared" si="27"/>
        <v>Selesai</v>
      </c>
      <c r="O1735" s="45">
        <f t="shared" si="23"/>
        <v>45763.39532</v>
      </c>
      <c r="P1735" s="47" t="b">
        <v>1</v>
      </c>
      <c r="Q1735" s="36">
        <f t="shared" si="24"/>
        <v>45763.39541</v>
      </c>
      <c r="R1735" s="47" t="b">
        <v>0</v>
      </c>
      <c r="S1735" s="42" t="str">
        <f t="shared" si="28"/>
        <v/>
      </c>
      <c r="T1735" s="42"/>
    </row>
    <row r="1736" ht="22.5" customHeight="1">
      <c r="B1736" s="42">
        <f t="shared" si="7"/>
        <v>1730</v>
      </c>
      <c r="C1736" s="31" t="s">
        <v>1860</v>
      </c>
      <c r="D1736" s="34" t="str">
        <f t="array" ref="D1736">IFNA(_xlfn.XLOOKUP(C1736,Table_Tarikan_Warkah[Nomor Sertipikat],Table_Tarikan_Warkah[Nomor Tiket]),"")</f>
        <v>K/38/170325/1</v>
      </c>
      <c r="E1736" s="36">
        <f t="array" ref="E1736">IFNA(_xlfn.XLOOKUP(D1736,Table_Tarikan_Warkah[Nomor Tiket],Table_Tarikan_Warkah[Tanggal diserahkan kepada Validator]),"")</f>
        <v>45764.59713</v>
      </c>
      <c r="F1736" s="36" t="str">
        <f t="array" ref="F1736">IFNA(_xlfn.XLOOKUP(D1736,Table_Tarikan_Warkah[Nomor Tiket],Table_Tarikan_Warkah[Nama Petugas Warkah]),"")</f>
        <v/>
      </c>
      <c r="G1736" s="39" t="str">
        <f t="array" ref="G1736">IFNA(_xlfn.XLOOKUP(D1736,Table_Tarikan_Warkah[Nomor Tiket],Table_Tarikan_Warkah[Jenis Permohonan]),"")</f>
        <v>BN JUAL BELI</v>
      </c>
      <c r="H1736" s="41" t="s">
        <v>20</v>
      </c>
      <c r="I1736" s="49" t="s">
        <v>23</v>
      </c>
      <c r="J1736" s="36">
        <f t="shared" si="20"/>
        <v>45762.70878</v>
      </c>
      <c r="K1736" s="49" t="s">
        <v>197</v>
      </c>
      <c r="L1736" s="49" t="s">
        <v>23</v>
      </c>
      <c r="M1736" s="36">
        <f t="shared" si="26"/>
        <v>45763.39532</v>
      </c>
      <c r="N1736" s="30" t="str">
        <f t="shared" si="27"/>
        <v>Selesai</v>
      </c>
      <c r="O1736" s="45">
        <f t="shared" si="23"/>
        <v>45763.39532</v>
      </c>
      <c r="P1736" s="47" t="b">
        <v>1</v>
      </c>
      <c r="Q1736" s="36">
        <f t="shared" si="24"/>
        <v>45763.39541</v>
      </c>
      <c r="R1736" s="47" t="b">
        <v>0</v>
      </c>
      <c r="S1736" s="42" t="str">
        <f t="shared" si="28"/>
        <v/>
      </c>
      <c r="T1736" s="42"/>
    </row>
    <row r="1737" ht="22.5" customHeight="1">
      <c r="B1737" s="42">
        <f t="shared" si="7"/>
        <v>1731</v>
      </c>
      <c r="C1737" s="31" t="s">
        <v>1861</v>
      </c>
      <c r="D1737" s="34" t="str">
        <f t="array" ref="D1737">IFNA(_xlfn.XLOOKUP(C1737,Table_Tarikan_Warkah[Nomor Sertipikat],Table_Tarikan_Warkah[Nomor Tiket]),"")</f>
        <v>K/27/130325/2</v>
      </c>
      <c r="E1737" s="36">
        <f t="array" ref="E1737">IFNA(_xlfn.XLOOKUP(D1737,Table_Tarikan_Warkah[Nomor Tiket],Table_Tarikan_Warkah[Tanggal diserahkan kepada Validator]),"")</f>
        <v>45764.59733</v>
      </c>
      <c r="F1737" s="36" t="str">
        <f t="array" ref="F1737">IFNA(_xlfn.XLOOKUP(D1737,Table_Tarikan_Warkah[Nomor Tiket],Table_Tarikan_Warkah[Nama Petugas Warkah]),"")</f>
        <v/>
      </c>
      <c r="G1737" s="39" t="str">
        <f t="array" ref="G1737">IFNA(_xlfn.XLOOKUP(D1737,Table_Tarikan_Warkah[Nomor Tiket],Table_Tarikan_Warkah[Jenis Permohonan]),"")</f>
        <v>BN WARIS</v>
      </c>
      <c r="H1737" s="41" t="s">
        <v>20</v>
      </c>
      <c r="I1737" s="49" t="s">
        <v>23</v>
      </c>
      <c r="J1737" s="36">
        <f t="shared" si="20"/>
        <v>45762.70881</v>
      </c>
      <c r="K1737" s="49" t="s">
        <v>197</v>
      </c>
      <c r="L1737" s="49" t="s">
        <v>23</v>
      </c>
      <c r="M1737" s="36">
        <f t="shared" si="26"/>
        <v>45763.39536</v>
      </c>
      <c r="N1737" s="30" t="str">
        <f t="shared" si="27"/>
        <v>Selesai</v>
      </c>
      <c r="O1737" s="45">
        <f t="shared" si="23"/>
        <v>45763.39536</v>
      </c>
      <c r="P1737" s="47" t="b">
        <v>1</v>
      </c>
      <c r="Q1737" s="36">
        <f t="shared" si="24"/>
        <v>45763.39542</v>
      </c>
      <c r="R1737" s="47" t="b">
        <v>0</v>
      </c>
      <c r="S1737" s="42" t="str">
        <f t="shared" si="28"/>
        <v/>
      </c>
      <c r="T1737" s="42"/>
    </row>
    <row r="1738" ht="22.5" customHeight="1">
      <c r="B1738" s="42">
        <f t="shared" si="7"/>
        <v>1732</v>
      </c>
      <c r="C1738" s="31" t="s">
        <v>1862</v>
      </c>
      <c r="D1738" s="34" t="str">
        <f t="array" ref="D1738">IFNA(_xlfn.XLOOKUP(C1738,Table_Tarikan_Warkah[Nomor Sertipikat],Table_Tarikan_Warkah[Nomor Tiket]),"")</f>
        <v>K/11/190325/1</v>
      </c>
      <c r="E1738" s="36">
        <f t="array" ref="E1738">IFNA(_xlfn.XLOOKUP(D1738,Table_Tarikan_Warkah[Nomor Tiket],Table_Tarikan_Warkah[Tanggal diserahkan kepada Validator]),"")</f>
        <v>45769.43182</v>
      </c>
      <c r="F1738" s="36" t="str">
        <f t="array" ref="F1738">IFNA(_xlfn.XLOOKUP(D1738,Table_Tarikan_Warkah[Nomor Tiket],Table_Tarikan_Warkah[Nama Petugas Warkah]),"")</f>
        <v/>
      </c>
      <c r="G1738" s="39" t="str">
        <f t="array" ref="G1738">IFNA(_xlfn.XLOOKUP(D1738,Table_Tarikan_Warkah[Nomor Tiket],Table_Tarikan_Warkah[Jenis Permohonan]),"")</f>
        <v>JUAL BELI</v>
      </c>
      <c r="H1738" s="41" t="s">
        <v>11</v>
      </c>
      <c r="I1738" s="49" t="s">
        <v>23</v>
      </c>
      <c r="J1738" s="36">
        <f t="shared" si="20"/>
        <v>45763.54957</v>
      </c>
      <c r="K1738" s="49" t="s">
        <v>197</v>
      </c>
      <c r="L1738" s="49" t="s">
        <v>23</v>
      </c>
      <c r="M1738" s="36">
        <f t="shared" si="26"/>
        <v>45763.639</v>
      </c>
      <c r="N1738" s="30" t="str">
        <f t="shared" si="27"/>
        <v>Selesai</v>
      </c>
      <c r="O1738" s="45">
        <f t="shared" si="23"/>
        <v>45763.639</v>
      </c>
      <c r="P1738" s="47" t="b">
        <v>1</v>
      </c>
      <c r="Q1738" s="36">
        <f t="shared" si="24"/>
        <v>45763.6394</v>
      </c>
      <c r="R1738" s="47" t="b">
        <v>0</v>
      </c>
      <c r="S1738" s="42" t="str">
        <f t="shared" si="28"/>
        <v/>
      </c>
      <c r="T1738" s="42"/>
    </row>
    <row r="1739" ht="22.5" customHeight="1">
      <c r="B1739" s="42">
        <f t="shared" si="7"/>
        <v>1733</v>
      </c>
      <c r="C1739" s="31" t="s">
        <v>1863</v>
      </c>
      <c r="D1739" s="34" t="str">
        <f t="array" ref="D1739">IFNA(_xlfn.XLOOKUP(C1739,Table_Tarikan_Warkah[Nomor Sertipikat],Table_Tarikan_Warkah[Nomor Tiket]),"")</f>
        <v>K/11/250325/1</v>
      </c>
      <c r="E1739" s="36">
        <f t="array" ref="E1739">IFNA(_xlfn.XLOOKUP(D1739,Table_Tarikan_Warkah[Nomor Tiket],Table_Tarikan_Warkah[Tanggal diserahkan kepada Validator]),"")</f>
        <v>45769.42624</v>
      </c>
      <c r="F1739" s="36" t="str">
        <f t="array" ref="F1739">IFNA(_xlfn.XLOOKUP(D1739,Table_Tarikan_Warkah[Nomor Tiket],Table_Tarikan_Warkah[Nama Petugas Warkah]),"")</f>
        <v/>
      </c>
      <c r="G1739" s="39" t="str">
        <f t="array" ref="G1739">IFNA(_xlfn.XLOOKUP(D1739,Table_Tarikan_Warkah[Nomor Tiket],Table_Tarikan_Warkah[Jenis Permohonan]),"")</f>
        <v>BN JUAL BELI</v>
      </c>
      <c r="H1739" s="41" t="s">
        <v>11</v>
      </c>
      <c r="I1739" s="49" t="s">
        <v>23</v>
      </c>
      <c r="J1739" s="36">
        <f t="shared" si="20"/>
        <v>45763.54957</v>
      </c>
      <c r="K1739" s="49" t="s">
        <v>197</v>
      </c>
      <c r="L1739" s="49" t="s">
        <v>23</v>
      </c>
      <c r="M1739" s="36">
        <f t="shared" si="26"/>
        <v>45763.639</v>
      </c>
      <c r="N1739" s="30" t="str">
        <f t="shared" si="27"/>
        <v>Selesai</v>
      </c>
      <c r="O1739" s="45">
        <f t="shared" si="23"/>
        <v>45763.639</v>
      </c>
      <c r="P1739" s="47" t="b">
        <v>1</v>
      </c>
      <c r="Q1739" s="36">
        <f t="shared" si="24"/>
        <v>45763.6394</v>
      </c>
      <c r="R1739" s="47" t="b">
        <v>0</v>
      </c>
      <c r="S1739" s="42" t="str">
        <f t="shared" si="28"/>
        <v/>
      </c>
      <c r="T1739" s="42"/>
    </row>
    <row r="1740" ht="22.5" customHeight="1">
      <c r="B1740" s="42">
        <f t="shared" si="7"/>
        <v>1734</v>
      </c>
      <c r="C1740" s="31" t="s">
        <v>1864</v>
      </c>
      <c r="D1740" s="34" t="str">
        <f t="array" ref="D1740">IFNA(_xlfn.XLOOKUP(C1740,Table_Tarikan_Warkah[Nomor Sertipikat],Table_Tarikan_Warkah[Nomor Tiket]),"")</f>
        <v>K/18/100425/1</v>
      </c>
      <c r="E1740" s="36" t="str">
        <f t="array" ref="E1740">IFNA(_xlfn.XLOOKUP(D1740,Table_Tarikan_Warkah[Nomor Tiket],Table_Tarikan_Warkah[Tanggal diserahkan kepada Validator]),"")</f>
        <v/>
      </c>
      <c r="F1740" s="36" t="str">
        <f t="array" ref="F1740">IFNA(_xlfn.XLOOKUP(D1740,Table_Tarikan_Warkah[Nomor Tiket],Table_Tarikan_Warkah[Nama Petugas Warkah]),"")</f>
        <v/>
      </c>
      <c r="G1740" s="39" t="str">
        <f t="array" ref="G1740">IFNA(_xlfn.XLOOKUP(D1740,Table_Tarikan_Warkah[Nomor Tiket],Table_Tarikan_Warkah[Jenis Permohonan]),"")</f>
        <v>ROYA</v>
      </c>
      <c r="H1740" s="41" t="s">
        <v>11</v>
      </c>
      <c r="I1740" s="49" t="s">
        <v>23</v>
      </c>
      <c r="J1740" s="36">
        <f t="shared" si="20"/>
        <v>45763.54957</v>
      </c>
      <c r="K1740" s="49" t="s">
        <v>197</v>
      </c>
      <c r="L1740" s="49" t="s">
        <v>23</v>
      </c>
      <c r="M1740" s="36">
        <f t="shared" si="26"/>
        <v>45763.639</v>
      </c>
      <c r="N1740" s="30" t="str">
        <f t="shared" si="27"/>
        <v>Selesai</v>
      </c>
      <c r="O1740" s="45">
        <f t="shared" si="23"/>
        <v>45763.639</v>
      </c>
      <c r="P1740" s="47" t="b">
        <v>1</v>
      </c>
      <c r="Q1740" s="36">
        <f t="shared" si="24"/>
        <v>45763.6394</v>
      </c>
      <c r="R1740" s="47" t="b">
        <v>0</v>
      </c>
      <c r="S1740" s="42" t="str">
        <f t="shared" si="28"/>
        <v/>
      </c>
      <c r="T1740" s="42"/>
    </row>
    <row r="1741" ht="22.5" customHeight="1">
      <c r="B1741" s="42">
        <f t="shared" si="7"/>
        <v>1735</v>
      </c>
      <c r="C1741" s="31" t="s">
        <v>1865</v>
      </c>
      <c r="D1741" s="34" t="str">
        <f t="array" ref="D1741">IFNA(_xlfn.XLOOKUP(C1741,Table_Tarikan_Warkah[Nomor Sertipikat],Table_Tarikan_Warkah[Nomor Tiket]),"")</f>
        <v>L/2/070425/PELATARAN</v>
      </c>
      <c r="E1741" s="36" t="str">
        <f t="array" ref="E1741">IFNA(_xlfn.XLOOKUP(D1741,Table_Tarikan_Warkah[Nomor Tiket],Table_Tarikan_Warkah[Tanggal diserahkan kepada Validator]),"")</f>
        <v/>
      </c>
      <c r="F1741" s="36" t="str">
        <f t="array" ref="F1741">IFNA(_xlfn.XLOOKUP(D1741,Table_Tarikan_Warkah[Nomor Tiket],Table_Tarikan_Warkah[Nama Petugas Warkah]),"")</f>
        <v/>
      </c>
      <c r="G1741" s="39" t="str">
        <f t="array" ref="G1741">IFNA(_xlfn.XLOOKUP(D1741,Table_Tarikan_Warkah[Nomor Tiket],Table_Tarikan_Warkah[Jenis Permohonan]),"")</f>
        <v>ROYA</v>
      </c>
      <c r="H1741" s="41" t="s">
        <v>11</v>
      </c>
      <c r="I1741" s="49" t="s">
        <v>23</v>
      </c>
      <c r="J1741" s="36">
        <f t="shared" si="20"/>
        <v>45763.54957</v>
      </c>
      <c r="K1741" s="49" t="s">
        <v>197</v>
      </c>
      <c r="L1741" s="49" t="s">
        <v>23</v>
      </c>
      <c r="M1741" s="36">
        <f t="shared" si="26"/>
        <v>45763.639</v>
      </c>
      <c r="N1741" s="30" t="str">
        <f t="shared" si="27"/>
        <v>Selesai</v>
      </c>
      <c r="O1741" s="45">
        <f t="shared" si="23"/>
        <v>45763.639</v>
      </c>
      <c r="P1741" s="47" t="b">
        <v>1</v>
      </c>
      <c r="Q1741" s="36">
        <f t="shared" si="24"/>
        <v>45763.6394</v>
      </c>
      <c r="R1741" s="47" t="b">
        <v>0</v>
      </c>
      <c r="S1741" s="42" t="str">
        <f t="shared" si="28"/>
        <v/>
      </c>
      <c r="T1741" s="42"/>
    </row>
    <row r="1742" ht="22.5" customHeight="1">
      <c r="B1742" s="42">
        <f t="shared" si="7"/>
        <v>1736</v>
      </c>
      <c r="C1742" s="31" t="s">
        <v>1866</v>
      </c>
      <c r="D1742" s="34" t="str">
        <f t="array" ref="D1742">IFNA(_xlfn.XLOOKUP(C1742,Table_Tarikan_Warkah[Nomor Sertipikat],Table_Tarikan_Warkah[Nomor Tiket]),"")</f>
        <v>K/7/170325/1</v>
      </c>
      <c r="E1742" s="36" t="str">
        <f t="array" ref="E1742">IFNA(_xlfn.XLOOKUP(D1742,Table_Tarikan_Warkah[Nomor Tiket],Table_Tarikan_Warkah[Tanggal diserahkan kepada Validator]),"")</f>
        <v/>
      </c>
      <c r="F1742" s="36" t="str">
        <f t="array" ref="F1742">IFNA(_xlfn.XLOOKUP(D1742,Table_Tarikan_Warkah[Nomor Tiket],Table_Tarikan_Warkah[Nama Petugas Warkah]),"")</f>
        <v/>
      </c>
      <c r="G1742" s="39" t="str">
        <f t="array" ref="G1742">IFNA(_xlfn.XLOOKUP(D1742,Table_Tarikan_Warkah[Nomor Tiket],Table_Tarikan_Warkah[Jenis Permohonan]),"")</f>
        <v>JUAL BELI</v>
      </c>
      <c r="H1742" s="41" t="s">
        <v>11</v>
      </c>
      <c r="I1742" s="49" t="s">
        <v>23</v>
      </c>
      <c r="J1742" s="36">
        <f t="shared" si="20"/>
        <v>45763.54957</v>
      </c>
      <c r="K1742" s="49" t="s">
        <v>197</v>
      </c>
      <c r="L1742" s="49" t="s">
        <v>23</v>
      </c>
      <c r="M1742" s="36">
        <f t="shared" si="26"/>
        <v>45763.639</v>
      </c>
      <c r="N1742" s="30" t="str">
        <f t="shared" si="27"/>
        <v>Selesai</v>
      </c>
      <c r="O1742" s="45">
        <f t="shared" si="23"/>
        <v>45763.639</v>
      </c>
      <c r="P1742" s="47" t="b">
        <v>1</v>
      </c>
      <c r="Q1742" s="36">
        <f t="shared" si="24"/>
        <v>45763.63931</v>
      </c>
      <c r="R1742" s="47" t="b">
        <v>0</v>
      </c>
      <c r="S1742" s="42" t="str">
        <f t="shared" si="28"/>
        <v/>
      </c>
      <c r="T1742" s="42"/>
    </row>
    <row r="1743" ht="22.5" customHeight="1">
      <c r="B1743" s="42">
        <f t="shared" si="7"/>
        <v>1737</v>
      </c>
      <c r="C1743" s="31" t="s">
        <v>1867</v>
      </c>
      <c r="D1743" s="34" t="str">
        <f t="array" ref="D1743">IFNA(_xlfn.XLOOKUP(C1743,Table_Tarikan_Warkah[Nomor Sertipikat],Table_Tarikan_Warkah[Nomor Tiket]),"")</f>
        <v>L/1/070425/PELATARAN</v>
      </c>
      <c r="E1743" s="36" t="str">
        <f t="array" ref="E1743">IFNA(_xlfn.XLOOKUP(D1743,Table_Tarikan_Warkah[Nomor Tiket],Table_Tarikan_Warkah[Tanggal diserahkan kepada Validator]),"")</f>
        <v/>
      </c>
      <c r="F1743" s="36" t="str">
        <f t="array" ref="F1743">IFNA(_xlfn.XLOOKUP(D1743,Table_Tarikan_Warkah[Nomor Tiket],Table_Tarikan_Warkah[Nama Petugas Warkah]),"")</f>
        <v/>
      </c>
      <c r="G1743" s="39" t="str">
        <f t="array" ref="G1743">IFNA(_xlfn.XLOOKUP(D1743,Table_Tarikan_Warkah[Nomor Tiket],Table_Tarikan_Warkah[Jenis Permohonan]),"")</f>
        <v>PENINGKATAN HAK</v>
      </c>
      <c r="H1743" s="41" t="s">
        <v>11</v>
      </c>
      <c r="I1743" s="49" t="s">
        <v>23</v>
      </c>
      <c r="J1743" s="36">
        <f t="shared" si="20"/>
        <v>45763.54957</v>
      </c>
      <c r="K1743" s="49" t="s">
        <v>197</v>
      </c>
      <c r="L1743" s="49" t="s">
        <v>23</v>
      </c>
      <c r="M1743" s="36">
        <f t="shared" si="26"/>
        <v>45763.639</v>
      </c>
      <c r="N1743" s="30" t="str">
        <f t="shared" si="27"/>
        <v>Selesai</v>
      </c>
      <c r="O1743" s="45">
        <f t="shared" si="23"/>
        <v>45763.639</v>
      </c>
      <c r="P1743" s="47" t="b">
        <v>1</v>
      </c>
      <c r="Q1743" s="36">
        <f t="shared" si="24"/>
        <v>45763.6393</v>
      </c>
      <c r="R1743" s="47" t="b">
        <v>0</v>
      </c>
      <c r="S1743" s="42" t="str">
        <f t="shared" si="28"/>
        <v/>
      </c>
      <c r="T1743" s="42"/>
    </row>
    <row r="1744" ht="22.5" customHeight="1">
      <c r="B1744" s="42">
        <f t="shared" si="7"/>
        <v>1738</v>
      </c>
      <c r="C1744" s="31" t="s">
        <v>1868</v>
      </c>
      <c r="D1744" s="34" t="str">
        <f t="array" ref="D1744">IFNA(_xlfn.XLOOKUP(C1744,Table_Tarikan_Warkah[Nomor Sertipikat],Table_Tarikan_Warkah[Nomor Tiket]),"")</f>
        <v>K/54/240325/1</v>
      </c>
      <c r="E1744" s="36">
        <f t="array" ref="E1744">IFNA(_xlfn.XLOOKUP(D1744,Table_Tarikan_Warkah[Nomor Tiket],Table_Tarikan_Warkah[Tanggal diserahkan kepada Validator]),"")</f>
        <v>45769.42612</v>
      </c>
      <c r="F1744" s="36" t="str">
        <f t="array" ref="F1744">IFNA(_xlfn.XLOOKUP(D1744,Table_Tarikan_Warkah[Nomor Tiket],Table_Tarikan_Warkah[Nama Petugas Warkah]),"")</f>
        <v/>
      </c>
      <c r="G1744" s="39" t="str">
        <f t="array" ref="G1744">IFNA(_xlfn.XLOOKUP(D1744,Table_Tarikan_Warkah[Nomor Tiket],Table_Tarikan_Warkah[Jenis Permohonan]),"")</f>
        <v>BN JUAL BELI</v>
      </c>
      <c r="H1744" s="41" t="s">
        <v>11</v>
      </c>
      <c r="I1744" s="49" t="s">
        <v>23</v>
      </c>
      <c r="J1744" s="36">
        <f t="shared" si="20"/>
        <v>45763.54957</v>
      </c>
      <c r="K1744" s="49" t="s">
        <v>197</v>
      </c>
      <c r="L1744" s="49" t="s">
        <v>23</v>
      </c>
      <c r="M1744" s="36">
        <f t="shared" si="26"/>
        <v>45763.639</v>
      </c>
      <c r="N1744" s="30" t="str">
        <f t="shared" si="27"/>
        <v>Selesai</v>
      </c>
      <c r="O1744" s="45">
        <f t="shared" si="23"/>
        <v>45763.639</v>
      </c>
      <c r="P1744" s="47" t="b">
        <v>1</v>
      </c>
      <c r="Q1744" s="36">
        <f t="shared" si="24"/>
        <v>45763.63928</v>
      </c>
      <c r="R1744" s="47" t="b">
        <v>0</v>
      </c>
      <c r="S1744" s="42" t="str">
        <f t="shared" si="28"/>
        <v/>
      </c>
      <c r="T1744" s="42"/>
    </row>
    <row r="1745" ht="22.5" customHeight="1">
      <c r="B1745" s="42">
        <f t="shared" si="7"/>
        <v>1739</v>
      </c>
      <c r="C1745" s="31" t="s">
        <v>1869</v>
      </c>
      <c r="D1745" s="34" t="str">
        <f t="array" ref="D1745">IFNA(_xlfn.XLOOKUP(C1745,Table_Tarikan_Warkah[Nomor Sertipikat],Table_Tarikan_Warkah[Nomor Tiket]),"")</f>
        <v>K/20/210325/1</v>
      </c>
      <c r="E1745" s="36">
        <f t="array" ref="E1745">IFNA(_xlfn.XLOOKUP(D1745,Table_Tarikan_Warkah[Nomor Tiket],Table_Tarikan_Warkah[Tanggal diserahkan kepada Validator]),"")</f>
        <v>45769.42675</v>
      </c>
      <c r="F1745" s="36" t="str">
        <f t="array" ref="F1745">IFNA(_xlfn.XLOOKUP(D1745,Table_Tarikan_Warkah[Nomor Tiket],Table_Tarikan_Warkah[Nama Petugas Warkah]),"")</f>
        <v/>
      </c>
      <c r="G1745" s="39" t="str">
        <f t="array" ref="G1745">IFNA(_xlfn.XLOOKUP(D1745,Table_Tarikan_Warkah[Nomor Tiket],Table_Tarikan_Warkah[Jenis Permohonan]),"")</f>
        <v>Bn Jual Beli</v>
      </c>
      <c r="H1745" s="41" t="s">
        <v>11</v>
      </c>
      <c r="I1745" s="49" t="s">
        <v>23</v>
      </c>
      <c r="J1745" s="36">
        <f t="shared" si="20"/>
        <v>45763.54957</v>
      </c>
      <c r="K1745" s="49" t="s">
        <v>197</v>
      </c>
      <c r="L1745" s="49" t="s">
        <v>23</v>
      </c>
      <c r="M1745" s="36">
        <f t="shared" si="26"/>
        <v>45763.639</v>
      </c>
      <c r="N1745" s="30" t="str">
        <f t="shared" si="27"/>
        <v>Selesai</v>
      </c>
      <c r="O1745" s="45">
        <f t="shared" si="23"/>
        <v>45763.639</v>
      </c>
      <c r="P1745" s="47" t="b">
        <v>1</v>
      </c>
      <c r="Q1745" s="36">
        <f t="shared" si="24"/>
        <v>45763.63927</v>
      </c>
      <c r="R1745" s="47" t="b">
        <v>0</v>
      </c>
      <c r="S1745" s="42" t="str">
        <f t="shared" si="28"/>
        <v/>
      </c>
      <c r="T1745" s="42"/>
    </row>
    <row r="1746" ht="22.5" customHeight="1">
      <c r="B1746" s="42">
        <f t="shared" si="7"/>
        <v>1740</v>
      </c>
      <c r="C1746" s="31" t="s">
        <v>1870</v>
      </c>
      <c r="D1746" s="34" t="str">
        <f t="array" ref="D1746">IFNA(_xlfn.XLOOKUP(C1746,Table_Tarikan_Warkah[Nomor Sertipikat],Table_Tarikan_Warkah[Nomor Tiket]),"")</f>
        <v>K/15/200325/1</v>
      </c>
      <c r="E1746" s="36">
        <f t="array" ref="E1746">IFNA(_xlfn.XLOOKUP(D1746,Table_Tarikan_Warkah[Nomor Tiket],Table_Tarikan_Warkah[Tanggal diserahkan kepada Validator]),"")</f>
        <v>45769.42656</v>
      </c>
      <c r="F1746" s="36" t="str">
        <f t="array" ref="F1746">IFNA(_xlfn.XLOOKUP(D1746,Table_Tarikan_Warkah[Nomor Tiket],Table_Tarikan_Warkah[Nama Petugas Warkah]),"")</f>
        <v/>
      </c>
      <c r="G1746" s="39" t="str">
        <f t="array" ref="G1746">IFNA(_xlfn.XLOOKUP(D1746,Table_Tarikan_Warkah[Nomor Tiket],Table_Tarikan_Warkah[Jenis Permohonan]),"")</f>
        <v>BN Jual Beli</v>
      </c>
      <c r="H1746" s="41" t="s">
        <v>11</v>
      </c>
      <c r="I1746" s="49" t="s">
        <v>23</v>
      </c>
      <c r="J1746" s="36">
        <f t="shared" si="20"/>
        <v>45763.54957</v>
      </c>
      <c r="K1746" s="49" t="s">
        <v>197</v>
      </c>
      <c r="L1746" s="49" t="s">
        <v>23</v>
      </c>
      <c r="M1746" s="36">
        <f t="shared" si="26"/>
        <v>45763.63901</v>
      </c>
      <c r="N1746" s="30" t="str">
        <f t="shared" si="27"/>
        <v>Selesai</v>
      </c>
      <c r="O1746" s="45">
        <f t="shared" si="23"/>
        <v>45763.63901</v>
      </c>
      <c r="P1746" s="47" t="b">
        <v>1</v>
      </c>
      <c r="Q1746" s="36">
        <f t="shared" si="24"/>
        <v>45763.63926</v>
      </c>
      <c r="R1746" s="47" t="b">
        <v>0</v>
      </c>
      <c r="S1746" s="42" t="str">
        <f t="shared" si="28"/>
        <v/>
      </c>
      <c r="T1746" s="42"/>
    </row>
    <row r="1747" ht="22.5" customHeight="1">
      <c r="B1747" s="42">
        <f t="shared" si="7"/>
        <v>1741</v>
      </c>
      <c r="C1747" s="31" t="s">
        <v>1871</v>
      </c>
      <c r="D1747" s="34" t="str">
        <f t="array" ref="D1747">IFNA(_xlfn.XLOOKUP(C1747,Table_Tarikan_Warkah[Nomor Sertipikat],Table_Tarikan_Warkah[Nomor Tiket]),"")</f>
        <v>K/21/080425/1</v>
      </c>
      <c r="E1747" s="36" t="str">
        <f t="array" ref="E1747">IFNA(_xlfn.XLOOKUP(D1747,Table_Tarikan_Warkah[Nomor Tiket],Table_Tarikan_Warkah[Tanggal diserahkan kepada Validator]),"")</f>
        <v/>
      </c>
      <c r="F1747" s="36" t="str">
        <f t="array" ref="F1747">IFNA(_xlfn.XLOOKUP(D1747,Table_Tarikan_Warkah[Nomor Tiket],Table_Tarikan_Warkah[Nama Petugas Warkah]),"")</f>
        <v/>
      </c>
      <c r="G1747" s="39" t="str">
        <f t="array" ref="G1747">IFNA(_xlfn.XLOOKUP(D1747,Table_Tarikan_Warkah[Nomor Tiket],Table_Tarikan_Warkah[Jenis Permohonan]),"")</f>
        <v>ROYA</v>
      </c>
      <c r="H1747" s="41" t="s">
        <v>11</v>
      </c>
      <c r="I1747" s="49" t="s">
        <v>23</v>
      </c>
      <c r="J1747" s="36">
        <f t="shared" si="20"/>
        <v>45763.54957</v>
      </c>
      <c r="K1747" s="49" t="s">
        <v>197</v>
      </c>
      <c r="L1747" s="49" t="s">
        <v>23</v>
      </c>
      <c r="M1747" s="36">
        <f t="shared" si="26"/>
        <v>45763.63901</v>
      </c>
      <c r="N1747" s="30" t="str">
        <f t="shared" si="27"/>
        <v>Selesai</v>
      </c>
      <c r="O1747" s="45">
        <f t="shared" si="23"/>
        <v>45763.63901</v>
      </c>
      <c r="P1747" s="47" t="b">
        <v>1</v>
      </c>
      <c r="Q1747" s="36">
        <f t="shared" si="24"/>
        <v>45763.63925</v>
      </c>
      <c r="R1747" s="47" t="b">
        <v>0</v>
      </c>
      <c r="S1747" s="42" t="str">
        <f t="shared" si="28"/>
        <v/>
      </c>
      <c r="T1747" s="42"/>
    </row>
    <row r="1748" ht="22.5" customHeight="1">
      <c r="B1748" s="42">
        <f t="shared" si="7"/>
        <v>1742</v>
      </c>
      <c r="C1748" s="31" t="s">
        <v>1872</v>
      </c>
      <c r="D1748" s="34" t="str">
        <f t="array" ref="D1748">IFNA(_xlfn.XLOOKUP(C1748,Table_Tarikan_Warkah[Nomor Sertipikat],Table_Tarikan_Warkah[Nomor Tiket]),"")</f>
        <v>K/7/250325/2</v>
      </c>
      <c r="E1748" s="36">
        <f t="array" ref="E1748">IFNA(_xlfn.XLOOKUP(D1748,Table_Tarikan_Warkah[Nomor Tiket],Table_Tarikan_Warkah[Tanggal diserahkan kepada Validator]),"")</f>
        <v>45769.42561</v>
      </c>
      <c r="F1748" s="36" t="str">
        <f t="array" ref="F1748">IFNA(_xlfn.XLOOKUP(D1748,Table_Tarikan_Warkah[Nomor Tiket],Table_Tarikan_Warkah[Nama Petugas Warkah]),"")</f>
        <v/>
      </c>
      <c r="G1748" s="39" t="str">
        <f t="array" ref="G1748">IFNA(_xlfn.XLOOKUP(D1748,Table_Tarikan_Warkah[Nomor Tiket],Table_Tarikan_Warkah[Jenis Permohonan]),"")</f>
        <v>BN JUAL BELI</v>
      </c>
      <c r="H1748" s="41" t="s">
        <v>11</v>
      </c>
      <c r="I1748" s="49" t="s">
        <v>23</v>
      </c>
      <c r="J1748" s="36">
        <f t="shared" si="20"/>
        <v>45763.54957</v>
      </c>
      <c r="K1748" s="49" t="s">
        <v>197</v>
      </c>
      <c r="L1748" s="49" t="s">
        <v>23</v>
      </c>
      <c r="M1748" s="36">
        <f t="shared" si="26"/>
        <v>45763.63901</v>
      </c>
      <c r="N1748" s="30" t="str">
        <f t="shared" si="27"/>
        <v>Selesai</v>
      </c>
      <c r="O1748" s="45">
        <f t="shared" si="23"/>
        <v>45763.63901</v>
      </c>
      <c r="P1748" s="47" t="b">
        <v>1</v>
      </c>
      <c r="Q1748" s="36">
        <f t="shared" si="24"/>
        <v>45763.63924</v>
      </c>
      <c r="R1748" s="47" t="b">
        <v>0</v>
      </c>
      <c r="S1748" s="42" t="str">
        <f t="shared" si="28"/>
        <v/>
      </c>
      <c r="T1748" s="42"/>
    </row>
    <row r="1749" ht="22.5" customHeight="1">
      <c r="B1749" s="42">
        <f t="shared" si="7"/>
        <v>1743</v>
      </c>
      <c r="C1749" s="31" t="s">
        <v>1873</v>
      </c>
      <c r="D1749" s="34" t="str">
        <f t="array" ref="D1749">IFNA(_xlfn.XLOOKUP(C1749,Table_Tarikan_Warkah[Nomor Sertipikat],Table_Tarikan_Warkah[Nomor Tiket]),"")</f>
        <v>K/28/260325/1</v>
      </c>
      <c r="E1749" s="36">
        <f t="array" ref="E1749">IFNA(_xlfn.XLOOKUP(D1749,Table_Tarikan_Warkah[Nomor Tiket],Table_Tarikan_Warkah[Tanggal diserahkan kepada Validator]),"")</f>
        <v>45769.42367</v>
      </c>
      <c r="F1749" s="36" t="str">
        <f t="array" ref="F1749">IFNA(_xlfn.XLOOKUP(D1749,Table_Tarikan_Warkah[Nomor Tiket],Table_Tarikan_Warkah[Nama Petugas Warkah]),"")</f>
        <v/>
      </c>
      <c r="G1749" s="39" t="str">
        <f t="array" ref="G1749">IFNA(_xlfn.XLOOKUP(D1749,Table_Tarikan_Warkah[Nomor Tiket],Table_Tarikan_Warkah[Jenis Permohonan]),"")</f>
        <v>BN JUAL BELI</v>
      </c>
      <c r="H1749" s="41" t="s">
        <v>11</v>
      </c>
      <c r="I1749" s="49" t="s">
        <v>23</v>
      </c>
      <c r="J1749" s="36">
        <f t="shared" si="20"/>
        <v>45763.54957</v>
      </c>
      <c r="K1749" s="49" t="s">
        <v>197</v>
      </c>
      <c r="L1749" s="49" t="s">
        <v>23</v>
      </c>
      <c r="M1749" s="36">
        <f t="shared" si="26"/>
        <v>45763.63901</v>
      </c>
      <c r="N1749" s="30" t="str">
        <f t="shared" si="27"/>
        <v>Selesai</v>
      </c>
      <c r="O1749" s="45">
        <f t="shared" si="23"/>
        <v>45763.63901</v>
      </c>
      <c r="P1749" s="47" t="b">
        <v>1</v>
      </c>
      <c r="Q1749" s="36">
        <f t="shared" si="24"/>
        <v>45763.63923</v>
      </c>
      <c r="R1749" s="47" t="b">
        <v>0</v>
      </c>
      <c r="S1749" s="42" t="str">
        <f t="shared" si="28"/>
        <v/>
      </c>
      <c r="T1749" s="42"/>
    </row>
    <row r="1750" ht="22.5" customHeight="1">
      <c r="B1750" s="42">
        <f t="shared" si="7"/>
        <v>1744</v>
      </c>
      <c r="C1750" s="31" t="s">
        <v>1874</v>
      </c>
      <c r="D1750" s="34" t="str">
        <f t="array" ref="D1750">IFNA(_xlfn.XLOOKUP(C1750,Table_Tarikan_Warkah[Nomor Sertipikat],Table_Tarikan_Warkah[Nomor Tiket]),"")</f>
        <v>K/3/200325/1</v>
      </c>
      <c r="E1750" s="36">
        <f t="array" ref="E1750">IFNA(_xlfn.XLOOKUP(D1750,Table_Tarikan_Warkah[Nomor Tiket],Table_Tarikan_Warkah[Tanggal diserahkan kepada Validator]),"")</f>
        <v>45769.42513</v>
      </c>
      <c r="F1750" s="36" t="str">
        <f t="array" ref="F1750">IFNA(_xlfn.XLOOKUP(D1750,Table_Tarikan_Warkah[Nomor Tiket],Table_Tarikan_Warkah[Nama Petugas Warkah]),"")</f>
        <v/>
      </c>
      <c r="G1750" s="39" t="str">
        <f t="array" ref="G1750">IFNA(_xlfn.XLOOKUP(D1750,Table_Tarikan_Warkah[Nomor Tiket],Table_Tarikan_Warkah[Jenis Permohonan]),"")</f>
        <v>BN JUAL BELI</v>
      </c>
      <c r="H1750" s="41" t="s">
        <v>11</v>
      </c>
      <c r="I1750" s="49" t="s">
        <v>23</v>
      </c>
      <c r="J1750" s="36">
        <f t="shared" si="20"/>
        <v>45763.54957</v>
      </c>
      <c r="K1750" s="49" t="s">
        <v>197</v>
      </c>
      <c r="L1750" s="49" t="s">
        <v>23</v>
      </c>
      <c r="M1750" s="36">
        <f t="shared" si="26"/>
        <v>45763.63901</v>
      </c>
      <c r="N1750" s="30" t="str">
        <f t="shared" si="27"/>
        <v>Selesai</v>
      </c>
      <c r="O1750" s="45">
        <f t="shared" si="23"/>
        <v>45763.63901</v>
      </c>
      <c r="P1750" s="47" t="b">
        <v>1</v>
      </c>
      <c r="Q1750" s="36">
        <f t="shared" si="24"/>
        <v>45763.63923</v>
      </c>
      <c r="R1750" s="47" t="b">
        <v>0</v>
      </c>
      <c r="S1750" s="42" t="str">
        <f t="shared" si="28"/>
        <v/>
      </c>
      <c r="T1750" s="42"/>
    </row>
    <row r="1751" ht="22.5" customHeight="1">
      <c r="B1751" s="42">
        <f t="shared" si="7"/>
        <v>1745</v>
      </c>
      <c r="C1751" s="31" t="s">
        <v>1875</v>
      </c>
      <c r="D1751" s="34" t="str">
        <f t="array" ref="D1751">IFNA(_xlfn.XLOOKUP(C1751,Table_Tarikan_Warkah[Nomor Sertipikat],Table_Tarikan_Warkah[Nomor Tiket]),"")</f>
        <v>K/52/240325/2</v>
      </c>
      <c r="E1751" s="36">
        <f t="array" ref="E1751">IFNA(_xlfn.XLOOKUP(D1751,Table_Tarikan_Warkah[Nomor Tiket],Table_Tarikan_Warkah[Tanggal diserahkan kepada Validator]),"")</f>
        <v>45769.42545</v>
      </c>
      <c r="F1751" s="36" t="str">
        <f t="array" ref="F1751">IFNA(_xlfn.XLOOKUP(D1751,Table_Tarikan_Warkah[Nomor Tiket],Table_Tarikan_Warkah[Nama Petugas Warkah]),"")</f>
        <v/>
      </c>
      <c r="G1751" s="39" t="str">
        <f t="array" ref="G1751">IFNA(_xlfn.XLOOKUP(D1751,Table_Tarikan_Warkah[Nomor Tiket],Table_Tarikan_Warkah[Jenis Permohonan]),"")</f>
        <v>BN JUAL BELI</v>
      </c>
      <c r="H1751" s="41" t="s">
        <v>11</v>
      </c>
      <c r="I1751" s="49" t="s">
        <v>23</v>
      </c>
      <c r="J1751" s="36">
        <f t="shared" si="20"/>
        <v>45763.54957</v>
      </c>
      <c r="K1751" s="49" t="s">
        <v>197</v>
      </c>
      <c r="L1751" s="49" t="s">
        <v>23</v>
      </c>
      <c r="M1751" s="36">
        <f t="shared" si="26"/>
        <v>45763.63901</v>
      </c>
      <c r="N1751" s="30" t="str">
        <f t="shared" si="27"/>
        <v>Selesai</v>
      </c>
      <c r="O1751" s="45">
        <f t="shared" si="23"/>
        <v>45763.63901</v>
      </c>
      <c r="P1751" s="47" t="b">
        <v>1</v>
      </c>
      <c r="Q1751" s="36">
        <f t="shared" si="24"/>
        <v>45763.63922</v>
      </c>
      <c r="R1751" s="47" t="b">
        <v>0</v>
      </c>
      <c r="S1751" s="42" t="str">
        <f t="shared" si="28"/>
        <v/>
      </c>
      <c r="T1751" s="42"/>
    </row>
    <row r="1752" ht="22.5" customHeight="1">
      <c r="B1752" s="42">
        <f t="shared" si="7"/>
        <v>1746</v>
      </c>
      <c r="C1752" s="31" t="s">
        <v>1876</v>
      </c>
      <c r="D1752" s="34" t="str">
        <f t="array" ref="D1752">IFNA(_xlfn.XLOOKUP(C1752,Table_Tarikan_Warkah[Nomor Sertipikat],Table_Tarikan_Warkah[Nomor Tiket]),"")</f>
        <v>L/17/110425/1</v>
      </c>
      <c r="E1752" s="36">
        <f t="array" ref="E1752">IFNA(_xlfn.XLOOKUP(D1752,Table_Tarikan_Warkah[Nomor Tiket],Table_Tarikan_Warkah[Tanggal diserahkan kepada Validator]),"")</f>
        <v>45792.47515</v>
      </c>
      <c r="F1752" s="36" t="str">
        <f t="array" ref="F1752">IFNA(_xlfn.XLOOKUP(D1752,Table_Tarikan_Warkah[Nomor Tiket],Table_Tarikan_Warkah[Nama Petugas Warkah]),"")</f>
        <v>Berry</v>
      </c>
      <c r="G1752" s="39" t="str">
        <f t="array" ref="G1752">IFNA(_xlfn.XLOOKUP(D1752,Table_Tarikan_Warkah[Nomor Tiket],Table_Tarikan_Warkah[Jenis Permohonan]),"")</f>
        <v>ROYA</v>
      </c>
      <c r="H1752" s="41" t="s">
        <v>11</v>
      </c>
      <c r="I1752" s="49" t="s">
        <v>23</v>
      </c>
      <c r="J1752" s="36">
        <f t="shared" si="20"/>
        <v>45763.54957</v>
      </c>
      <c r="K1752" s="49" t="s">
        <v>197</v>
      </c>
      <c r="L1752" s="49" t="s">
        <v>23</v>
      </c>
      <c r="M1752" s="36">
        <f t="shared" si="26"/>
        <v>45763.63901</v>
      </c>
      <c r="N1752" s="30" t="str">
        <f t="shared" si="27"/>
        <v>Selesai</v>
      </c>
      <c r="O1752" s="45">
        <f t="shared" si="23"/>
        <v>45763.63901</v>
      </c>
      <c r="P1752" s="47" t="b">
        <v>1</v>
      </c>
      <c r="Q1752" s="36">
        <f t="shared" si="24"/>
        <v>45763.63921</v>
      </c>
      <c r="R1752" s="47" t="b">
        <v>0</v>
      </c>
      <c r="S1752" s="42" t="str">
        <f t="shared" si="28"/>
        <v/>
      </c>
      <c r="T1752" s="42"/>
    </row>
    <row r="1753" ht="22.5" customHeight="1">
      <c r="B1753" s="42">
        <f t="shared" si="7"/>
        <v>1747</v>
      </c>
      <c r="C1753" s="31" t="s">
        <v>1877</v>
      </c>
      <c r="D1753" s="34" t="str">
        <f t="array" ref="D1753">IFNA(_xlfn.XLOOKUP(C1753,Table_Tarikan_Warkah[Nomor Sertipikat],Table_Tarikan_Warkah[Nomor Tiket]),"")</f>
        <v>K/5/270325/1</v>
      </c>
      <c r="E1753" s="36">
        <f t="array" ref="E1753">IFNA(_xlfn.XLOOKUP(D1753,Table_Tarikan_Warkah[Nomor Tiket],Table_Tarikan_Warkah[Tanggal diserahkan kepada Validator]),"")</f>
        <v>45839.43182</v>
      </c>
      <c r="F1753" s="36" t="str">
        <f t="array" ref="F1753">IFNA(_xlfn.XLOOKUP(D1753,Table_Tarikan_Warkah[Nomor Tiket],Table_Tarikan_Warkah[Nama Petugas Warkah]),"")</f>
        <v>David</v>
      </c>
      <c r="G1753" s="39" t="str">
        <f t="array" ref="G1753">IFNA(_xlfn.XLOOKUP(D1753,Table_Tarikan_Warkah[Nomor Tiket],Table_Tarikan_Warkah[Jenis Permohonan]),"")</f>
        <v>ROYA</v>
      </c>
      <c r="H1753" s="41" t="s">
        <v>11</v>
      </c>
      <c r="I1753" s="49" t="s">
        <v>23</v>
      </c>
      <c r="J1753" s="36">
        <f t="shared" si="20"/>
        <v>45763.54957</v>
      </c>
      <c r="K1753" s="49" t="s">
        <v>197</v>
      </c>
      <c r="L1753" s="49" t="s">
        <v>23</v>
      </c>
      <c r="M1753" s="36">
        <f t="shared" si="26"/>
        <v>45763.63901</v>
      </c>
      <c r="N1753" s="30" t="str">
        <f t="shared" si="27"/>
        <v>Selesai</v>
      </c>
      <c r="O1753" s="45">
        <f t="shared" si="23"/>
        <v>45763.63901</v>
      </c>
      <c r="P1753" s="47" t="b">
        <v>1</v>
      </c>
      <c r="Q1753" s="36">
        <f t="shared" si="24"/>
        <v>45763.6392</v>
      </c>
      <c r="R1753" s="47" t="b">
        <v>0</v>
      </c>
      <c r="S1753" s="42" t="str">
        <f t="shared" si="28"/>
        <v/>
      </c>
      <c r="T1753" s="42"/>
    </row>
    <row r="1754" ht="22.5" customHeight="1">
      <c r="B1754" s="42">
        <f t="shared" si="7"/>
        <v>1748</v>
      </c>
      <c r="C1754" s="31" t="s">
        <v>1878</v>
      </c>
      <c r="D1754" s="34" t="str">
        <f t="array" ref="D1754">IFNA(_xlfn.XLOOKUP(C1754,Table_Tarikan_Warkah[Nomor Sertipikat],Table_Tarikan_Warkah[Nomor Tiket]),"")</f>
        <v>K/10/210325/1</v>
      </c>
      <c r="E1754" s="36">
        <f t="array" ref="E1754">IFNA(_xlfn.XLOOKUP(D1754,Table_Tarikan_Warkah[Nomor Tiket],Table_Tarikan_Warkah[Tanggal diserahkan kepada Validator]),"")</f>
        <v>45769.42951</v>
      </c>
      <c r="F1754" s="36" t="str">
        <f t="array" ref="F1754">IFNA(_xlfn.XLOOKUP(D1754,Table_Tarikan_Warkah[Nomor Tiket],Table_Tarikan_Warkah[Nama Petugas Warkah]),"")</f>
        <v/>
      </c>
      <c r="G1754" s="39" t="str">
        <f t="array" ref="G1754">IFNA(_xlfn.XLOOKUP(D1754,Table_Tarikan_Warkah[Nomor Tiket],Table_Tarikan_Warkah[Jenis Permohonan]),"")</f>
        <v>JUAL BELI</v>
      </c>
      <c r="H1754" s="41" t="s">
        <v>11</v>
      </c>
      <c r="I1754" s="49" t="s">
        <v>23</v>
      </c>
      <c r="J1754" s="36">
        <f t="shared" si="20"/>
        <v>45763.54957</v>
      </c>
      <c r="K1754" s="49" t="s">
        <v>197</v>
      </c>
      <c r="L1754" s="49" t="s">
        <v>23</v>
      </c>
      <c r="M1754" s="36">
        <f t="shared" si="26"/>
        <v>45763.63907</v>
      </c>
      <c r="N1754" s="30" t="str">
        <f t="shared" si="27"/>
        <v>Selesai</v>
      </c>
      <c r="O1754" s="45">
        <f t="shared" si="23"/>
        <v>45763.63907</v>
      </c>
      <c r="P1754" s="47" t="b">
        <v>1</v>
      </c>
      <c r="Q1754" s="36">
        <f t="shared" si="24"/>
        <v>45763.63919</v>
      </c>
      <c r="R1754" s="47" t="b">
        <v>0</v>
      </c>
      <c r="S1754" s="42" t="str">
        <f t="shared" si="28"/>
        <v/>
      </c>
      <c r="T1754" s="42"/>
    </row>
    <row r="1755" ht="22.5" customHeight="1">
      <c r="B1755" s="42">
        <f t="shared" si="7"/>
        <v>1749</v>
      </c>
      <c r="C1755" s="31" t="s">
        <v>1879</v>
      </c>
      <c r="D1755" s="34" t="str">
        <f t="array" ref="D1755">IFNA(_xlfn.XLOOKUP(C1755,Table_Tarikan_Warkah[Nomor Sertipikat],Table_Tarikan_Warkah[Nomor Tiket]),"")</f>
        <v>K/4/180325/1</v>
      </c>
      <c r="E1755" s="36">
        <f t="array" ref="E1755">IFNA(_xlfn.XLOOKUP(D1755,Table_Tarikan_Warkah[Nomor Tiket],Table_Tarikan_Warkah[Tanggal diserahkan kepada Validator]),"")</f>
        <v>45769.43013</v>
      </c>
      <c r="F1755" s="36" t="str">
        <f t="array" ref="F1755">IFNA(_xlfn.XLOOKUP(D1755,Table_Tarikan_Warkah[Nomor Tiket],Table_Tarikan_Warkah[Nama Petugas Warkah]),"")</f>
        <v/>
      </c>
      <c r="G1755" s="39" t="str">
        <f t="array" ref="G1755">IFNA(_xlfn.XLOOKUP(D1755,Table_Tarikan_Warkah[Nomor Tiket],Table_Tarikan_Warkah[Jenis Permohonan]),"")</f>
        <v>KEWARISAN</v>
      </c>
      <c r="H1755" s="41" t="s">
        <v>11</v>
      </c>
      <c r="I1755" s="49" t="s">
        <v>23</v>
      </c>
      <c r="J1755" s="36">
        <f t="shared" si="20"/>
        <v>45763.54957</v>
      </c>
      <c r="K1755" s="49" t="s">
        <v>197</v>
      </c>
      <c r="L1755" s="49" t="s">
        <v>23</v>
      </c>
      <c r="M1755" s="36">
        <f t="shared" si="26"/>
        <v>45763.63914</v>
      </c>
      <c r="N1755" s="30" t="str">
        <f t="shared" si="27"/>
        <v>Selesai</v>
      </c>
      <c r="O1755" s="45">
        <f t="shared" si="23"/>
        <v>45763.63914</v>
      </c>
      <c r="P1755" s="47" t="b">
        <v>1</v>
      </c>
      <c r="Q1755" s="36">
        <f t="shared" si="24"/>
        <v>45763.63918</v>
      </c>
      <c r="R1755" s="47" t="b">
        <v>0</v>
      </c>
      <c r="S1755" s="42" t="str">
        <f t="shared" si="28"/>
        <v/>
      </c>
      <c r="T1755" s="42"/>
    </row>
    <row r="1756" ht="22.5" customHeight="1">
      <c r="B1756" s="42">
        <f t="shared" si="7"/>
        <v>1750</v>
      </c>
      <c r="C1756" s="31" t="s">
        <v>1880</v>
      </c>
      <c r="D1756" s="34" t="str">
        <f t="array" ref="D1756">IFNA(_xlfn.XLOOKUP(C1756,Table_Tarikan_Warkah[Nomor Sertipikat],Table_Tarikan_Warkah[Nomor Tiket]),"")</f>
        <v>K/35/170325/2</v>
      </c>
      <c r="E1756" s="36">
        <f t="array" ref="E1756">IFNA(_xlfn.XLOOKUP(D1756,Table_Tarikan_Warkah[Nomor Tiket],Table_Tarikan_Warkah[Tanggal diserahkan kepada Validator]),"")</f>
        <v>45769.43201</v>
      </c>
      <c r="F1756" s="36" t="str">
        <f t="array" ref="F1756">IFNA(_xlfn.XLOOKUP(D1756,Table_Tarikan_Warkah[Nomor Tiket],Table_Tarikan_Warkah[Nama Petugas Warkah]),"")</f>
        <v/>
      </c>
      <c r="G1756" s="39" t="str">
        <f t="array" ref="G1756">IFNA(_xlfn.XLOOKUP(D1756,Table_Tarikan_Warkah[Nomor Tiket],Table_Tarikan_Warkah[Jenis Permohonan]),"")</f>
        <v>JUAL BELI</v>
      </c>
      <c r="H1756" s="41" t="s">
        <v>11</v>
      </c>
      <c r="I1756" s="49" t="s">
        <v>23</v>
      </c>
      <c r="J1756" s="36">
        <f t="shared" si="20"/>
        <v>45763.54957</v>
      </c>
      <c r="K1756" s="49" t="s">
        <v>197</v>
      </c>
      <c r="L1756" s="49" t="s">
        <v>23</v>
      </c>
      <c r="M1756" s="36">
        <f t="shared" si="26"/>
        <v>45763.63914</v>
      </c>
      <c r="N1756" s="30" t="str">
        <f t="shared" si="27"/>
        <v>Selesai</v>
      </c>
      <c r="O1756" s="45">
        <f t="shared" si="23"/>
        <v>45763.63914</v>
      </c>
      <c r="P1756" s="47" t="b">
        <v>1</v>
      </c>
      <c r="Q1756" s="36">
        <f t="shared" si="24"/>
        <v>45763.63917</v>
      </c>
      <c r="R1756" s="47" t="b">
        <v>0</v>
      </c>
      <c r="S1756" s="42" t="str">
        <f t="shared" si="28"/>
        <v/>
      </c>
      <c r="T1756" s="42"/>
    </row>
    <row r="1757" ht="22.5" customHeight="1">
      <c r="B1757" s="42">
        <f t="shared" si="7"/>
        <v>1751</v>
      </c>
      <c r="C1757" s="31" t="s">
        <v>1881</v>
      </c>
      <c r="D1757" s="34" t="str">
        <f t="array" ref="D1757">IFNA(_xlfn.XLOOKUP(C1757,Table_Tarikan_Warkah[Nomor Sertipikat],Table_Tarikan_Warkah[Nomor Tiket]),"")</f>
        <v>K/22/150425/1</v>
      </c>
      <c r="E1757" s="36">
        <f t="array" ref="E1757">IFNA(_xlfn.XLOOKUP(D1757,Table_Tarikan_Warkah[Nomor Tiket],Table_Tarikan_Warkah[Tanggal diserahkan kepada Validator]),"")</f>
        <v>45771.41316</v>
      </c>
      <c r="F1757" s="36" t="str">
        <f t="array" ref="F1757">IFNA(_xlfn.XLOOKUP(D1757,Table_Tarikan_Warkah[Nomor Tiket],Table_Tarikan_Warkah[Nama Petugas Warkah]),"")</f>
        <v/>
      </c>
      <c r="G1757" s="39" t="str">
        <f t="array" ref="G1757">IFNA(_xlfn.XLOOKUP(D1757,Table_Tarikan_Warkah[Nomor Tiket],Table_Tarikan_Warkah[Jenis Permohonan]),"")</f>
        <v>Roya</v>
      </c>
      <c r="H1757" s="41" t="s">
        <v>20</v>
      </c>
      <c r="I1757" s="49" t="s">
        <v>23</v>
      </c>
      <c r="J1757" s="36">
        <f t="shared" si="20"/>
        <v>45764.44216</v>
      </c>
      <c r="K1757" s="49" t="s">
        <v>197</v>
      </c>
      <c r="L1757" s="49" t="s">
        <v>23</v>
      </c>
      <c r="M1757" s="36">
        <f t="shared" si="26"/>
        <v>45764.44223</v>
      </c>
      <c r="N1757" s="30" t="str">
        <f t="shared" si="27"/>
        <v>Selesai</v>
      </c>
      <c r="O1757" s="45">
        <f t="shared" si="23"/>
        <v>45764.44223</v>
      </c>
      <c r="P1757" s="47" t="b">
        <v>1</v>
      </c>
      <c r="Q1757" s="36">
        <f t="shared" si="24"/>
        <v>45764.44223</v>
      </c>
      <c r="R1757" s="47" t="b">
        <v>0</v>
      </c>
      <c r="S1757" s="42" t="str">
        <f t="shared" si="28"/>
        <v/>
      </c>
      <c r="T1757" s="42"/>
    </row>
    <row r="1758" ht="22.5" customHeight="1">
      <c r="B1758" s="42">
        <f t="shared" si="7"/>
        <v>1752</v>
      </c>
      <c r="C1758" s="31" t="s">
        <v>1882</v>
      </c>
      <c r="D1758" s="34" t="str">
        <f t="array" ref="D1758">IFNA(_xlfn.XLOOKUP(C1758,Table_Tarikan_Warkah[Nomor Sertipikat],Table_Tarikan_Warkah[Nomor Tiket]),"")</f>
        <v>K/14/160425/1</v>
      </c>
      <c r="E1758" s="36">
        <f t="array" ref="E1758">IFNA(_xlfn.XLOOKUP(D1758,Table_Tarikan_Warkah[Nomor Tiket],Table_Tarikan_Warkah[Tanggal diserahkan kepada Validator]),"")</f>
        <v>45771.41262</v>
      </c>
      <c r="F1758" s="36" t="str">
        <f t="array" ref="F1758">IFNA(_xlfn.XLOOKUP(D1758,Table_Tarikan_Warkah[Nomor Tiket],Table_Tarikan_Warkah[Nama Petugas Warkah]),"")</f>
        <v/>
      </c>
      <c r="G1758" s="39" t="str">
        <f t="array" ref="G1758">IFNA(_xlfn.XLOOKUP(D1758,Table_Tarikan_Warkah[Nomor Tiket],Table_Tarikan_Warkah[Jenis Permohonan]),"")</f>
        <v>Roya</v>
      </c>
      <c r="H1758" s="41" t="s">
        <v>20</v>
      </c>
      <c r="I1758" s="49" t="s">
        <v>23</v>
      </c>
      <c r="J1758" s="36">
        <f t="shared" si="20"/>
        <v>45764.44231</v>
      </c>
      <c r="K1758" s="49" t="s">
        <v>197</v>
      </c>
      <c r="L1758" s="49" t="s">
        <v>23</v>
      </c>
      <c r="M1758" s="36">
        <f t="shared" si="26"/>
        <v>45764.44231</v>
      </c>
      <c r="N1758" s="30" t="str">
        <f t="shared" si="27"/>
        <v>Selesai</v>
      </c>
      <c r="O1758" s="45">
        <f t="shared" si="23"/>
        <v>45764.44231</v>
      </c>
      <c r="P1758" s="47" t="b">
        <v>1</v>
      </c>
      <c r="Q1758" s="36">
        <f t="shared" si="24"/>
        <v>45764.44231</v>
      </c>
      <c r="R1758" s="47" t="b">
        <v>0</v>
      </c>
      <c r="S1758" s="42" t="str">
        <f t="shared" si="28"/>
        <v/>
      </c>
      <c r="T1758" s="42"/>
    </row>
    <row r="1759" ht="22.5" customHeight="1">
      <c r="B1759" s="42">
        <f t="shared" si="7"/>
        <v>1753</v>
      </c>
      <c r="C1759" s="31" t="s">
        <v>1883</v>
      </c>
      <c r="D1759" s="34" t="str">
        <f t="array" ref="D1759">IFNA(_xlfn.XLOOKUP(C1759,Table_Tarikan_Warkah[Nomor Sertipikat],Table_Tarikan_Warkah[Nomor Tiket]),"")</f>
        <v>L/9/090425/1</v>
      </c>
      <c r="E1759" s="36" t="str">
        <f t="array" ref="E1759">IFNA(_xlfn.XLOOKUP(D1759,Table_Tarikan_Warkah[Nomor Tiket],Table_Tarikan_Warkah[Tanggal diserahkan kepada Validator]),"")</f>
        <v/>
      </c>
      <c r="F1759" s="36" t="str">
        <f t="array" ref="F1759">IFNA(_xlfn.XLOOKUP(D1759,Table_Tarikan_Warkah[Nomor Tiket],Table_Tarikan_Warkah[Nama Petugas Warkah]),"")</f>
        <v/>
      </c>
      <c r="G1759" s="39" t="str">
        <f t="array" ref="G1759">IFNA(_xlfn.XLOOKUP(D1759,Table_Tarikan_Warkah[Nomor Tiket],Table_Tarikan_Warkah[Jenis Permohonan]),"")</f>
        <v>ROYA</v>
      </c>
      <c r="H1759" s="41" t="s">
        <v>11</v>
      </c>
      <c r="I1759" s="49" t="s">
        <v>23</v>
      </c>
      <c r="J1759" s="36">
        <f t="shared" si="20"/>
        <v>45768.68602</v>
      </c>
      <c r="K1759" s="49" t="s">
        <v>197</v>
      </c>
      <c r="L1759" s="49" t="s">
        <v>23</v>
      </c>
      <c r="M1759" s="36">
        <f t="shared" si="26"/>
        <v>45764.64776</v>
      </c>
      <c r="N1759" s="30" t="str">
        <f t="shared" si="27"/>
        <v>Selesai</v>
      </c>
      <c r="O1759" s="45">
        <f t="shared" si="23"/>
        <v>45764.64776</v>
      </c>
      <c r="P1759" s="47" t="b">
        <v>1</v>
      </c>
      <c r="Q1759" s="36">
        <f t="shared" si="24"/>
        <v>45764.64798</v>
      </c>
      <c r="R1759" s="47" t="b">
        <v>0</v>
      </c>
      <c r="S1759" s="42" t="str">
        <f t="shared" si="28"/>
        <v/>
      </c>
      <c r="T1759" s="42"/>
    </row>
    <row r="1760" ht="22.5" customHeight="1">
      <c r="B1760" s="42">
        <f t="shared" si="7"/>
        <v>1754</v>
      </c>
      <c r="C1760" s="31" t="s">
        <v>1884</v>
      </c>
      <c r="D1760" s="34" t="str">
        <f t="array" ref="D1760">IFNA(_xlfn.XLOOKUP(C1760,Table_Tarikan_Warkah[Nomor Sertipikat],Table_Tarikan_Warkah[Nomor Tiket]),"")</f>
        <v>L/10/270325/1</v>
      </c>
      <c r="E1760" s="36" t="str">
        <f t="array" ref="E1760">IFNA(_xlfn.XLOOKUP(D1760,Table_Tarikan_Warkah[Nomor Tiket],Table_Tarikan_Warkah[Tanggal diserahkan kepada Validator]),"")</f>
        <v/>
      </c>
      <c r="F1760" s="36" t="str">
        <f t="array" ref="F1760">IFNA(_xlfn.XLOOKUP(D1760,Table_Tarikan_Warkah[Nomor Tiket],Table_Tarikan_Warkah[Nama Petugas Warkah]),"")</f>
        <v/>
      </c>
      <c r="G1760" s="39" t="str">
        <f t="array" ref="G1760">IFNA(_xlfn.XLOOKUP(D1760,Table_Tarikan_Warkah[Nomor Tiket],Table_Tarikan_Warkah[Jenis Permohonan]),"")</f>
        <v>ROYA</v>
      </c>
      <c r="H1760" s="41" t="s">
        <v>11</v>
      </c>
      <c r="I1760" s="49"/>
      <c r="J1760" s="36" t="str">
        <f t="shared" si="20"/>
        <v/>
      </c>
      <c r="K1760" s="49" t="s">
        <v>197</v>
      </c>
      <c r="L1760" s="49" t="s">
        <v>23</v>
      </c>
      <c r="M1760" s="36">
        <f t="shared" si="26"/>
        <v>45764.64776</v>
      </c>
      <c r="N1760" s="30" t="str">
        <f t="shared" si="27"/>
        <v>BT atau SU Belum Valid</v>
      </c>
      <c r="O1760" s="39" t="str">
        <f t="shared" si="23"/>
        <v/>
      </c>
      <c r="P1760" s="47" t="b">
        <v>1</v>
      </c>
      <c r="Q1760" s="36">
        <f t="shared" si="24"/>
        <v>45764.64799</v>
      </c>
      <c r="R1760" s="47" t="b">
        <v>0</v>
      </c>
      <c r="S1760" s="42" t="str">
        <f t="shared" si="28"/>
        <v/>
      </c>
      <c r="T1760" s="42"/>
    </row>
    <row r="1761" ht="22.5" customHeight="1">
      <c r="B1761" s="42">
        <f t="shared" si="7"/>
        <v>1755</v>
      </c>
      <c r="C1761" s="31" t="s">
        <v>1885</v>
      </c>
      <c r="D1761" s="34" t="str">
        <f t="array" ref="D1761">IFNA(_xlfn.XLOOKUP(C1761,Table_Tarikan_Warkah[Nomor Sertipikat],Table_Tarikan_Warkah[Nomor Tiket]),"")</f>
        <v>K/45/130325/1</v>
      </c>
      <c r="E1761" s="36">
        <f t="array" ref="E1761">IFNA(_xlfn.XLOOKUP(D1761,Table_Tarikan_Warkah[Nomor Tiket],Table_Tarikan_Warkah[Tanggal diserahkan kepada Validator]),"")</f>
        <v>45769.44031</v>
      </c>
      <c r="F1761" s="36" t="str">
        <f t="array" ref="F1761">IFNA(_xlfn.XLOOKUP(D1761,Table_Tarikan_Warkah[Nomor Tiket],Table_Tarikan_Warkah[Nama Petugas Warkah]),"")</f>
        <v/>
      </c>
      <c r="G1761" s="39" t="str">
        <f t="array" ref="G1761">IFNA(_xlfn.XLOOKUP(D1761,Table_Tarikan_Warkah[Nomor Tiket],Table_Tarikan_Warkah[Jenis Permohonan]),"")</f>
        <v>BN Jual Beli</v>
      </c>
      <c r="H1761" s="41" t="s">
        <v>11</v>
      </c>
      <c r="I1761" s="49"/>
      <c r="J1761" s="36" t="str">
        <f t="shared" si="20"/>
        <v/>
      </c>
      <c r="K1761" s="49" t="s">
        <v>197</v>
      </c>
      <c r="L1761" s="49" t="s">
        <v>23</v>
      </c>
      <c r="M1761" s="36">
        <f t="shared" si="26"/>
        <v>45764.64776</v>
      </c>
      <c r="N1761" s="30" t="str">
        <f t="shared" si="27"/>
        <v>BT atau SU Belum Valid</v>
      </c>
      <c r="O1761" s="39" t="str">
        <f t="shared" si="23"/>
        <v/>
      </c>
      <c r="P1761" s="47" t="b">
        <v>1</v>
      </c>
      <c r="Q1761" s="36">
        <f t="shared" si="24"/>
        <v>45764.64801</v>
      </c>
      <c r="R1761" s="47" t="b">
        <v>0</v>
      </c>
      <c r="S1761" s="42" t="str">
        <f t="shared" si="28"/>
        <v/>
      </c>
      <c r="T1761" s="42"/>
    </row>
    <row r="1762" ht="22.5" customHeight="1">
      <c r="B1762" s="42">
        <f t="shared" si="7"/>
        <v>1756</v>
      </c>
      <c r="C1762" s="31" t="s">
        <v>1886</v>
      </c>
      <c r="D1762" s="34" t="str">
        <f t="array" ref="D1762">IFNA(_xlfn.XLOOKUP(C1762,Table_Tarikan_Warkah[Nomor Sertipikat],Table_Tarikan_Warkah[Nomor Tiket]),"")</f>
        <v>K/32/140325/2</v>
      </c>
      <c r="E1762" s="36">
        <f t="array" ref="E1762">IFNA(_xlfn.XLOOKUP(D1762,Table_Tarikan_Warkah[Nomor Tiket],Table_Tarikan_Warkah[Tanggal diserahkan kepada Validator]),"")</f>
        <v>45769.44062</v>
      </c>
      <c r="F1762" s="36" t="str">
        <f t="array" ref="F1762">IFNA(_xlfn.XLOOKUP(D1762,Table_Tarikan_Warkah[Nomor Tiket],Table_Tarikan_Warkah[Nama Petugas Warkah]),"")</f>
        <v/>
      </c>
      <c r="G1762" s="39" t="str">
        <f t="array" ref="G1762">IFNA(_xlfn.XLOOKUP(D1762,Table_Tarikan_Warkah[Nomor Tiket],Table_Tarikan_Warkah[Jenis Permohonan]),"")</f>
        <v>BN Jual Beli</v>
      </c>
      <c r="H1762" s="41" t="s">
        <v>11</v>
      </c>
      <c r="I1762" s="49"/>
      <c r="J1762" s="36" t="str">
        <f t="shared" si="20"/>
        <v/>
      </c>
      <c r="K1762" s="49" t="s">
        <v>197</v>
      </c>
      <c r="L1762" s="49" t="s">
        <v>23</v>
      </c>
      <c r="M1762" s="36">
        <f t="shared" si="26"/>
        <v>45764.64776</v>
      </c>
      <c r="N1762" s="30" t="str">
        <f t="shared" si="27"/>
        <v>BT atau SU Belum Valid</v>
      </c>
      <c r="O1762" s="39" t="str">
        <f t="shared" si="23"/>
        <v/>
      </c>
      <c r="P1762" s="47" t="b">
        <v>1</v>
      </c>
      <c r="Q1762" s="36">
        <f t="shared" si="24"/>
        <v>45764.64803</v>
      </c>
      <c r="R1762" s="47" t="b">
        <v>0</v>
      </c>
      <c r="S1762" s="42" t="str">
        <f t="shared" si="28"/>
        <v/>
      </c>
      <c r="T1762" s="42"/>
    </row>
    <row r="1763" ht="22.5" customHeight="1">
      <c r="B1763" s="42">
        <f t="shared" si="7"/>
        <v>1757</v>
      </c>
      <c r="C1763" s="31" t="s">
        <v>1887</v>
      </c>
      <c r="D1763" s="34" t="str">
        <f t="array" ref="D1763">IFNA(_xlfn.XLOOKUP(C1763,Table_Tarikan_Warkah[Nomor Sertipikat],Table_Tarikan_Warkah[Nomor Tiket]),"")</f>
        <v>K/9/130325/2</v>
      </c>
      <c r="E1763" s="36">
        <f t="array" ref="E1763">IFNA(_xlfn.XLOOKUP(D1763,Table_Tarikan_Warkah[Nomor Tiket],Table_Tarikan_Warkah[Tanggal diserahkan kepada Validator]),"")</f>
        <v>45769.42714</v>
      </c>
      <c r="F1763" s="36" t="str">
        <f t="array" ref="F1763">IFNA(_xlfn.XLOOKUP(D1763,Table_Tarikan_Warkah[Nomor Tiket],Table_Tarikan_Warkah[Nama Petugas Warkah]),"")</f>
        <v/>
      </c>
      <c r="G1763" s="39" t="str">
        <f t="array" ref="G1763">IFNA(_xlfn.XLOOKUP(D1763,Table_Tarikan_Warkah[Nomor Tiket],Table_Tarikan_Warkah[Jenis Permohonan]),"")</f>
        <v>BN WARIS</v>
      </c>
      <c r="H1763" s="41" t="s">
        <v>11</v>
      </c>
      <c r="I1763" s="49"/>
      <c r="J1763" s="36" t="str">
        <f t="shared" si="20"/>
        <v/>
      </c>
      <c r="K1763" s="49" t="s">
        <v>197</v>
      </c>
      <c r="L1763" s="49" t="s">
        <v>23</v>
      </c>
      <c r="M1763" s="36">
        <f t="shared" si="26"/>
        <v>45764.64776</v>
      </c>
      <c r="N1763" s="30" t="str">
        <f t="shared" si="27"/>
        <v>BT atau SU Belum Valid</v>
      </c>
      <c r="O1763" s="39" t="str">
        <f t="shared" si="23"/>
        <v/>
      </c>
      <c r="P1763" s="47" t="b">
        <v>1</v>
      </c>
      <c r="Q1763" s="36">
        <f t="shared" si="24"/>
        <v>45764.64805</v>
      </c>
      <c r="R1763" s="47" t="b">
        <v>0</v>
      </c>
      <c r="S1763" s="42" t="str">
        <f t="shared" si="28"/>
        <v/>
      </c>
      <c r="T1763" s="42"/>
    </row>
    <row r="1764" ht="22.5" customHeight="1">
      <c r="B1764" s="42">
        <f t="shared" si="7"/>
        <v>1758</v>
      </c>
      <c r="C1764" s="31" t="s">
        <v>1888</v>
      </c>
      <c r="D1764" s="34" t="str">
        <f t="array" ref="D1764">IFNA(_xlfn.XLOOKUP(C1764,Table_Tarikan_Warkah[Nomor Sertipikat],Table_Tarikan_Warkah[Nomor Tiket]),"")</f>
        <v>K/5/140325/1</v>
      </c>
      <c r="E1764" s="36">
        <f t="array" ref="E1764">IFNA(_xlfn.XLOOKUP(D1764,Table_Tarikan_Warkah[Nomor Tiket],Table_Tarikan_Warkah[Tanggal diserahkan kepada Validator]),"")</f>
        <v>45769.42758</v>
      </c>
      <c r="F1764" s="36" t="str">
        <f t="array" ref="F1764">IFNA(_xlfn.XLOOKUP(D1764,Table_Tarikan_Warkah[Nomor Tiket],Table_Tarikan_Warkah[Nama Petugas Warkah]),"")</f>
        <v/>
      </c>
      <c r="G1764" s="39" t="str">
        <f t="array" ref="G1764">IFNA(_xlfn.XLOOKUP(D1764,Table_Tarikan_Warkah[Nomor Tiket],Table_Tarikan_Warkah[Jenis Permohonan]),"")</f>
        <v>BN JUAL BELI</v>
      </c>
      <c r="H1764" s="41" t="s">
        <v>11</v>
      </c>
      <c r="I1764" s="49"/>
      <c r="J1764" s="36" t="str">
        <f t="shared" si="20"/>
        <v/>
      </c>
      <c r="K1764" s="49" t="s">
        <v>197</v>
      </c>
      <c r="L1764" s="49" t="s">
        <v>23</v>
      </c>
      <c r="M1764" s="36">
        <f t="shared" si="26"/>
        <v>45764.64776</v>
      </c>
      <c r="N1764" s="30" t="str">
        <f t="shared" si="27"/>
        <v>BT atau SU Belum Valid</v>
      </c>
      <c r="O1764" s="39" t="str">
        <f t="shared" si="23"/>
        <v/>
      </c>
      <c r="P1764" s="47" t="b">
        <v>1</v>
      </c>
      <c r="Q1764" s="36">
        <f t="shared" si="24"/>
        <v>45764.64812</v>
      </c>
      <c r="R1764" s="47" t="b">
        <v>0</v>
      </c>
      <c r="S1764" s="42" t="str">
        <f t="shared" si="28"/>
        <v/>
      </c>
      <c r="T1764" s="42"/>
    </row>
    <row r="1765" ht="22.5" customHeight="1">
      <c r="B1765" s="42">
        <f t="shared" si="7"/>
        <v>1759</v>
      </c>
      <c r="C1765" s="31" t="s">
        <v>1889</v>
      </c>
      <c r="D1765" s="34" t="str">
        <f t="array" ref="D1765">IFNA(_xlfn.XLOOKUP(C1765,Table_Tarikan_Warkah[Nomor Sertipikat],Table_Tarikan_Warkah[Nomor Tiket]),"")</f>
        <v>K/9/100425/1</v>
      </c>
      <c r="E1765" s="36" t="str">
        <f t="array" ref="E1765">IFNA(_xlfn.XLOOKUP(D1765,Table_Tarikan_Warkah[Nomor Tiket],Table_Tarikan_Warkah[Tanggal diserahkan kepada Validator]),"")</f>
        <v/>
      </c>
      <c r="F1765" s="36" t="str">
        <f t="array" ref="F1765">IFNA(_xlfn.XLOOKUP(D1765,Table_Tarikan_Warkah[Nomor Tiket],Table_Tarikan_Warkah[Nama Petugas Warkah]),"")</f>
        <v/>
      </c>
      <c r="G1765" s="39" t="str">
        <f t="array" ref="G1765">IFNA(_xlfn.XLOOKUP(D1765,Table_Tarikan_Warkah[Nomor Tiket],Table_Tarikan_Warkah[Jenis Permohonan]),"")</f>
        <v>Roya</v>
      </c>
      <c r="H1765" s="41" t="s">
        <v>11</v>
      </c>
      <c r="I1765" s="49"/>
      <c r="J1765" s="36" t="str">
        <f t="shared" si="20"/>
        <v/>
      </c>
      <c r="K1765" s="49" t="s">
        <v>197</v>
      </c>
      <c r="L1765" s="49" t="s">
        <v>23</v>
      </c>
      <c r="M1765" s="36">
        <f t="shared" si="26"/>
        <v>45764.64776</v>
      </c>
      <c r="N1765" s="30" t="str">
        <f t="shared" si="27"/>
        <v>BT atau SU Belum Valid</v>
      </c>
      <c r="O1765" s="39" t="str">
        <f t="shared" si="23"/>
        <v/>
      </c>
      <c r="P1765" s="47" t="b">
        <v>1</v>
      </c>
      <c r="Q1765" s="36">
        <f t="shared" si="24"/>
        <v>45764.64812</v>
      </c>
      <c r="R1765" s="47" t="b">
        <v>0</v>
      </c>
      <c r="S1765" s="42" t="str">
        <f t="shared" si="28"/>
        <v/>
      </c>
      <c r="T1765" s="42"/>
    </row>
    <row r="1766" ht="22.5" customHeight="1">
      <c r="B1766" s="42">
        <f t="shared" si="7"/>
        <v>1760</v>
      </c>
      <c r="C1766" s="31" t="s">
        <v>1890</v>
      </c>
      <c r="D1766" s="34" t="str">
        <f t="array" ref="D1766">IFNA(_xlfn.XLOOKUP(C1766,Table_Tarikan_Warkah[Nomor Sertipikat],Table_Tarikan_Warkah[Nomor Tiket]),"")</f>
        <v>L/2/170325/1</v>
      </c>
      <c r="E1766" s="36">
        <f t="array" ref="E1766">IFNA(_xlfn.XLOOKUP(D1766,Table_Tarikan_Warkah[Nomor Tiket],Table_Tarikan_Warkah[Tanggal diserahkan kepada Validator]),"")</f>
        <v>45813.47639</v>
      </c>
      <c r="F1766" s="36" t="str">
        <f t="array" ref="F1766">IFNA(_xlfn.XLOOKUP(D1766,Table_Tarikan_Warkah[Nomor Tiket],Table_Tarikan_Warkah[Nama Petugas Warkah]),"")</f>
        <v>David</v>
      </c>
      <c r="G1766" s="39" t="str">
        <f t="array" ref="G1766">IFNA(_xlfn.XLOOKUP(D1766,Table_Tarikan_Warkah[Nomor Tiket],Table_Tarikan_Warkah[Jenis Permohonan]),"")</f>
        <v>ROYA</v>
      </c>
      <c r="H1766" s="41" t="s">
        <v>11</v>
      </c>
      <c r="I1766" s="49"/>
      <c r="J1766" s="36" t="str">
        <f t="shared" si="20"/>
        <v/>
      </c>
      <c r="K1766" s="49" t="s">
        <v>197</v>
      </c>
      <c r="L1766" s="49" t="s">
        <v>23</v>
      </c>
      <c r="M1766" s="36">
        <f t="shared" si="26"/>
        <v>45764.64776</v>
      </c>
      <c r="N1766" s="30" t="str">
        <f t="shared" si="27"/>
        <v>BT atau SU Belum Valid</v>
      </c>
      <c r="O1766" s="39" t="str">
        <f t="shared" si="23"/>
        <v/>
      </c>
      <c r="P1766" s="47" t="b">
        <v>1</v>
      </c>
      <c r="Q1766" s="36">
        <f t="shared" si="24"/>
        <v>45764.64812</v>
      </c>
      <c r="R1766" s="47" t="b">
        <v>0</v>
      </c>
      <c r="S1766" s="42" t="str">
        <f t="shared" si="28"/>
        <v/>
      </c>
      <c r="T1766" s="42"/>
    </row>
    <row r="1767" ht="22.5" customHeight="1">
      <c r="B1767" s="42">
        <f t="shared" si="7"/>
        <v>1761</v>
      </c>
      <c r="C1767" s="31" t="s">
        <v>1891</v>
      </c>
      <c r="D1767" s="34" t="str">
        <f t="array" ref="D1767">IFNA(_xlfn.XLOOKUP(C1767,Table_Tarikan_Warkah[Nomor Sertipikat],Table_Tarikan_Warkah[Nomor Tiket]),"")</f>
        <v>K/11/130325/4</v>
      </c>
      <c r="E1767" s="36">
        <f t="array" ref="E1767">IFNA(_xlfn.XLOOKUP(D1767,Table_Tarikan_Warkah[Nomor Tiket],Table_Tarikan_Warkah[Tanggal diserahkan kepada Validator]),"")</f>
        <v>45769.42729</v>
      </c>
      <c r="F1767" s="36" t="str">
        <f t="array" ref="F1767">IFNA(_xlfn.XLOOKUP(D1767,Table_Tarikan_Warkah[Nomor Tiket],Table_Tarikan_Warkah[Nama Petugas Warkah]),"")</f>
        <v/>
      </c>
      <c r="G1767" s="39" t="str">
        <f t="array" ref="G1767">IFNA(_xlfn.XLOOKUP(D1767,Table_Tarikan_Warkah[Nomor Tiket],Table_Tarikan_Warkah[Jenis Permohonan]),"")</f>
        <v>BN JUAL BELI</v>
      </c>
      <c r="H1767" s="41" t="s">
        <v>11</v>
      </c>
      <c r="I1767" s="49"/>
      <c r="J1767" s="36" t="str">
        <f t="shared" si="20"/>
        <v/>
      </c>
      <c r="K1767" s="49" t="s">
        <v>197</v>
      </c>
      <c r="L1767" s="49" t="s">
        <v>23</v>
      </c>
      <c r="M1767" s="36">
        <f t="shared" si="26"/>
        <v>45764.64776</v>
      </c>
      <c r="N1767" s="30" t="str">
        <f t="shared" si="27"/>
        <v>BT atau SU Belum Valid</v>
      </c>
      <c r="O1767" s="39" t="str">
        <f t="shared" si="23"/>
        <v/>
      </c>
      <c r="P1767" s="47" t="b">
        <v>1</v>
      </c>
      <c r="Q1767" s="36">
        <f t="shared" si="24"/>
        <v>45764.64812</v>
      </c>
      <c r="R1767" s="47" t="b">
        <v>0</v>
      </c>
      <c r="S1767" s="42" t="str">
        <f t="shared" si="28"/>
        <v/>
      </c>
      <c r="T1767" s="42"/>
    </row>
    <row r="1768" ht="22.5" customHeight="1">
      <c r="B1768" s="42">
        <f t="shared" si="7"/>
        <v>1762</v>
      </c>
      <c r="C1768" s="31" t="s">
        <v>1892</v>
      </c>
      <c r="D1768" s="34" t="str">
        <f t="array" ref="D1768">IFNA(_xlfn.XLOOKUP(C1768,Table_Tarikan_Warkah[Nomor Sertipikat],Table_Tarikan_Warkah[Nomor Tiket]),"")</f>
        <v>K/10/140325/1</v>
      </c>
      <c r="E1768" s="36">
        <f t="array" ref="E1768">IFNA(_xlfn.XLOOKUP(D1768,Table_Tarikan_Warkah[Nomor Tiket],Table_Tarikan_Warkah[Tanggal diserahkan kepada Validator]),"")</f>
        <v>45769.42768</v>
      </c>
      <c r="F1768" s="36" t="str">
        <f t="array" ref="F1768">IFNA(_xlfn.XLOOKUP(D1768,Table_Tarikan_Warkah[Nomor Tiket],Table_Tarikan_Warkah[Nama Petugas Warkah]),"")</f>
        <v/>
      </c>
      <c r="G1768" s="39" t="str">
        <f t="array" ref="G1768">IFNA(_xlfn.XLOOKUP(D1768,Table_Tarikan_Warkah[Nomor Tiket],Table_Tarikan_Warkah[Jenis Permohonan]),"")</f>
        <v>BN JUAL BELI</v>
      </c>
      <c r="H1768" s="41" t="s">
        <v>11</v>
      </c>
      <c r="I1768" s="49"/>
      <c r="J1768" s="36" t="str">
        <f t="shared" si="20"/>
        <v/>
      </c>
      <c r="K1768" s="49" t="s">
        <v>197</v>
      </c>
      <c r="L1768" s="49" t="s">
        <v>23</v>
      </c>
      <c r="M1768" s="36">
        <f t="shared" si="26"/>
        <v>45764.64776</v>
      </c>
      <c r="N1768" s="30" t="str">
        <f t="shared" si="27"/>
        <v>BT atau SU Belum Valid</v>
      </c>
      <c r="O1768" s="39" t="str">
        <f t="shared" si="23"/>
        <v/>
      </c>
      <c r="P1768" s="47" t="b">
        <v>1</v>
      </c>
      <c r="Q1768" s="36">
        <f t="shared" si="24"/>
        <v>45764.64812</v>
      </c>
      <c r="R1768" s="47" t="b">
        <v>0</v>
      </c>
      <c r="S1768" s="42" t="str">
        <f t="shared" si="28"/>
        <v/>
      </c>
      <c r="T1768" s="42"/>
    </row>
    <row r="1769" ht="22.5" customHeight="1">
      <c r="B1769" s="42">
        <f t="shared" si="7"/>
        <v>1763</v>
      </c>
      <c r="C1769" s="31" t="s">
        <v>1893</v>
      </c>
      <c r="D1769" s="34" t="str">
        <f t="array" ref="D1769">IFNA(_xlfn.XLOOKUP(C1769,Table_Tarikan_Warkah[Nomor Sertipikat],Table_Tarikan_Warkah[Nomor Tiket]),"")</f>
        <v>K/39/240325/3</v>
      </c>
      <c r="E1769" s="36" t="str">
        <f t="array" ref="E1769">IFNA(_xlfn.XLOOKUP(D1769,Table_Tarikan_Warkah[Nomor Tiket],Table_Tarikan_Warkah[Tanggal diserahkan kepada Validator]),"")</f>
        <v/>
      </c>
      <c r="F1769" s="36" t="str">
        <f t="array" ref="F1769">IFNA(_xlfn.XLOOKUP(D1769,Table_Tarikan_Warkah[Nomor Tiket],Table_Tarikan_Warkah[Nama Petugas Warkah]),"")</f>
        <v/>
      </c>
      <c r="G1769" s="39" t="str">
        <f t="array" ref="G1769">IFNA(_xlfn.XLOOKUP(D1769,Table_Tarikan_Warkah[Nomor Tiket],Table_Tarikan_Warkah[Jenis Permohonan]),"")</f>
        <v>ROYA</v>
      </c>
      <c r="H1769" s="41" t="s">
        <v>11</v>
      </c>
      <c r="I1769" s="49"/>
      <c r="J1769" s="36" t="str">
        <f t="shared" si="20"/>
        <v/>
      </c>
      <c r="K1769" s="49" t="s">
        <v>197</v>
      </c>
      <c r="L1769" s="49" t="s">
        <v>23</v>
      </c>
      <c r="M1769" s="36">
        <f t="shared" si="26"/>
        <v>45764.64776</v>
      </c>
      <c r="N1769" s="30" t="str">
        <f t="shared" si="27"/>
        <v>BT atau SU Belum Valid</v>
      </c>
      <c r="O1769" s="39" t="str">
        <f t="shared" si="23"/>
        <v/>
      </c>
      <c r="P1769" s="47" t="b">
        <v>1</v>
      </c>
      <c r="Q1769" s="36">
        <f t="shared" si="24"/>
        <v>45764.6482</v>
      </c>
      <c r="R1769" s="47" t="b">
        <v>0</v>
      </c>
      <c r="S1769" s="42" t="str">
        <f t="shared" si="28"/>
        <v/>
      </c>
      <c r="T1769" s="42"/>
    </row>
    <row r="1770" ht="22.5" customHeight="1">
      <c r="B1770" s="42">
        <f t="shared" si="7"/>
        <v>1764</v>
      </c>
      <c r="C1770" s="31" t="s">
        <v>1894</v>
      </c>
      <c r="D1770" s="34" t="str">
        <f t="array" ref="D1770">IFNA(_xlfn.XLOOKUP(C1770,Table_Tarikan_Warkah[Nomor Sertipikat],Table_Tarikan_Warkah[Nomor Tiket]),"")</f>
        <v>K/23/140325/2</v>
      </c>
      <c r="E1770" s="36">
        <f t="array" ref="E1770">IFNA(_xlfn.XLOOKUP(D1770,Table_Tarikan_Warkah[Nomor Tiket],Table_Tarikan_Warkah[Tanggal diserahkan kepada Validator]),"")</f>
        <v>45783.47211</v>
      </c>
      <c r="F1770" s="36" t="str">
        <f t="array" ref="F1770">IFNA(_xlfn.XLOOKUP(D1770,Table_Tarikan_Warkah[Nomor Tiket],Table_Tarikan_Warkah[Nama Petugas Warkah]),"")</f>
        <v/>
      </c>
      <c r="G1770" s="39" t="str">
        <f t="array" ref="G1770">IFNA(_xlfn.XLOOKUP(D1770,Table_Tarikan_Warkah[Nomor Tiket],Table_Tarikan_Warkah[Jenis Permohonan]),"")</f>
        <v>ROYS</v>
      </c>
      <c r="H1770" s="41" t="s">
        <v>11</v>
      </c>
      <c r="I1770" s="49"/>
      <c r="J1770" s="36" t="str">
        <f t="shared" si="20"/>
        <v/>
      </c>
      <c r="K1770" s="49" t="s">
        <v>197</v>
      </c>
      <c r="L1770" s="49" t="s">
        <v>23</v>
      </c>
      <c r="M1770" s="36">
        <f t="shared" si="26"/>
        <v>45764.64776</v>
      </c>
      <c r="N1770" s="30" t="str">
        <f t="shared" si="27"/>
        <v>BT atau SU Belum Valid</v>
      </c>
      <c r="O1770" s="39" t="str">
        <f t="shared" si="23"/>
        <v/>
      </c>
      <c r="P1770" s="47" t="b">
        <v>1</v>
      </c>
      <c r="Q1770" s="36">
        <f t="shared" si="24"/>
        <v>45764.6482</v>
      </c>
      <c r="R1770" s="47" t="b">
        <v>0</v>
      </c>
      <c r="S1770" s="42" t="str">
        <f t="shared" si="28"/>
        <v/>
      </c>
      <c r="T1770" s="42"/>
    </row>
    <row r="1771" ht="22.5" customHeight="1">
      <c r="B1771" s="42">
        <f t="shared" si="7"/>
        <v>1765</v>
      </c>
      <c r="C1771" s="31" t="s">
        <v>1895</v>
      </c>
      <c r="D1771" s="34" t="str">
        <f t="array" ref="D1771">IFNA(_xlfn.XLOOKUP(C1771,Table_Tarikan_Warkah[Nomor Sertipikat],Table_Tarikan_Warkah[Nomor Tiket]),"")</f>
        <v>K/3/210325/2</v>
      </c>
      <c r="E1771" s="36">
        <f t="array" ref="E1771">IFNA(_xlfn.XLOOKUP(D1771,Table_Tarikan_Warkah[Nomor Tiket],Table_Tarikan_Warkah[Tanggal diserahkan kepada Validator]),"")</f>
        <v>45769.43995</v>
      </c>
      <c r="F1771" s="36" t="str">
        <f t="array" ref="F1771">IFNA(_xlfn.XLOOKUP(D1771,Table_Tarikan_Warkah[Nomor Tiket],Table_Tarikan_Warkah[Nama Petugas Warkah]),"")</f>
        <v/>
      </c>
      <c r="G1771" s="39" t="str">
        <f t="array" ref="G1771">IFNA(_xlfn.XLOOKUP(D1771,Table_Tarikan_Warkah[Nomor Tiket],Table_Tarikan_Warkah[Jenis Permohonan]),"")</f>
        <v>BN Waris</v>
      </c>
      <c r="H1771" s="41" t="s">
        <v>11</v>
      </c>
      <c r="I1771" s="49"/>
      <c r="J1771" s="36" t="str">
        <f t="shared" si="20"/>
        <v/>
      </c>
      <c r="K1771" s="49" t="s">
        <v>197</v>
      </c>
      <c r="L1771" s="49" t="s">
        <v>23</v>
      </c>
      <c r="M1771" s="36">
        <f t="shared" si="26"/>
        <v>45764.64776</v>
      </c>
      <c r="N1771" s="30" t="str">
        <f t="shared" si="27"/>
        <v>BT atau SU Belum Valid</v>
      </c>
      <c r="O1771" s="39" t="str">
        <f t="shared" si="23"/>
        <v/>
      </c>
      <c r="P1771" s="47" t="b">
        <v>1</v>
      </c>
      <c r="Q1771" s="36">
        <f t="shared" si="24"/>
        <v>45764.6482</v>
      </c>
      <c r="R1771" s="47" t="b">
        <v>0</v>
      </c>
      <c r="S1771" s="42" t="str">
        <f t="shared" si="28"/>
        <v/>
      </c>
      <c r="T1771" s="42"/>
    </row>
    <row r="1772" ht="22.5" customHeight="1">
      <c r="B1772" s="42">
        <f t="shared" si="7"/>
        <v>1766</v>
      </c>
      <c r="C1772" s="31" t="s">
        <v>1896</v>
      </c>
      <c r="D1772" s="34" t="str">
        <f t="array" ref="D1772">IFNA(_xlfn.XLOOKUP(C1772,Table_Tarikan_Warkah[Nomor Sertipikat],Table_Tarikan_Warkah[Nomor Tiket]),"")</f>
        <v>K/38/070325/1</v>
      </c>
      <c r="E1772" s="36">
        <f t="array" ref="E1772">IFNA(_xlfn.XLOOKUP(D1772,Table_Tarikan_Warkah[Nomor Tiket],Table_Tarikan_Warkah[Tanggal diserahkan kepada Validator]),"")</f>
        <v>45791.45093</v>
      </c>
      <c r="F1772" s="36" t="str">
        <f t="array" ref="F1772">IFNA(_xlfn.XLOOKUP(D1772,Table_Tarikan_Warkah[Nomor Tiket],Table_Tarikan_Warkah[Nama Petugas Warkah]),"")</f>
        <v/>
      </c>
      <c r="G1772" s="39" t="str">
        <f t="array" ref="G1772">IFNA(_xlfn.XLOOKUP(D1772,Table_Tarikan_Warkah[Nomor Tiket],Table_Tarikan_Warkah[Jenis Permohonan]),"")</f>
        <v>Roya</v>
      </c>
      <c r="H1772" s="41" t="s">
        <v>11</v>
      </c>
      <c r="I1772" s="49"/>
      <c r="J1772" s="36" t="str">
        <f t="shared" si="20"/>
        <v/>
      </c>
      <c r="K1772" s="49" t="s">
        <v>197</v>
      </c>
      <c r="L1772" s="49" t="s">
        <v>23</v>
      </c>
      <c r="M1772" s="36">
        <f t="shared" si="26"/>
        <v>45764.64776</v>
      </c>
      <c r="N1772" s="30" t="str">
        <f t="shared" si="27"/>
        <v>BT atau SU Belum Valid</v>
      </c>
      <c r="O1772" s="39" t="str">
        <f t="shared" si="23"/>
        <v/>
      </c>
      <c r="P1772" s="47" t="b">
        <v>1</v>
      </c>
      <c r="Q1772" s="36">
        <f t="shared" si="24"/>
        <v>45764.6482</v>
      </c>
      <c r="R1772" s="47" t="b">
        <v>0</v>
      </c>
      <c r="S1772" s="42" t="str">
        <f t="shared" si="28"/>
        <v/>
      </c>
      <c r="T1772" s="42"/>
    </row>
    <row r="1773" ht="22.5" customHeight="1">
      <c r="B1773" s="42">
        <f t="shared" si="7"/>
        <v>1767</v>
      </c>
      <c r="C1773" s="31" t="s">
        <v>1897</v>
      </c>
      <c r="D1773" s="34" t="str">
        <f t="array" ref="D1773">IFNA(_xlfn.XLOOKUP(C1773,Table_Tarikan_Warkah[Nomor Sertipikat],Table_Tarikan_Warkah[Nomor Tiket]),"")</f>
        <v>K/43/240325/1</v>
      </c>
      <c r="E1773" s="36">
        <f t="array" ref="E1773">IFNA(_xlfn.XLOOKUP(D1773,Table_Tarikan_Warkah[Nomor Tiket],Table_Tarikan_Warkah[Tanggal diserahkan kepada Validator]),"")</f>
        <v>45769.42932</v>
      </c>
      <c r="F1773" s="36" t="str">
        <f t="array" ref="F1773">IFNA(_xlfn.XLOOKUP(D1773,Table_Tarikan_Warkah[Nomor Tiket],Table_Tarikan_Warkah[Nama Petugas Warkah]),"")</f>
        <v/>
      </c>
      <c r="G1773" s="39" t="str">
        <f t="array" ref="G1773">IFNA(_xlfn.XLOOKUP(D1773,Table_Tarikan_Warkah[Nomor Tiket],Table_Tarikan_Warkah[Jenis Permohonan]),"")</f>
        <v>BN JUAL BELI</v>
      </c>
      <c r="H1773" s="41" t="s">
        <v>11</v>
      </c>
      <c r="I1773" s="49"/>
      <c r="J1773" s="36" t="str">
        <f t="shared" si="20"/>
        <v/>
      </c>
      <c r="K1773" s="49" t="s">
        <v>197</v>
      </c>
      <c r="L1773" s="49" t="s">
        <v>23</v>
      </c>
      <c r="M1773" s="36">
        <f t="shared" si="26"/>
        <v>45764.64776</v>
      </c>
      <c r="N1773" s="30" t="str">
        <f t="shared" si="27"/>
        <v>BT atau SU Belum Valid</v>
      </c>
      <c r="O1773" s="39" t="str">
        <f t="shared" si="23"/>
        <v/>
      </c>
      <c r="P1773" s="47" t="b">
        <v>1</v>
      </c>
      <c r="Q1773" s="36">
        <f t="shared" si="24"/>
        <v>45764.6482</v>
      </c>
      <c r="R1773" s="47" t="b">
        <v>0</v>
      </c>
      <c r="S1773" s="42" t="str">
        <f t="shared" si="28"/>
        <v/>
      </c>
      <c r="T1773" s="42"/>
    </row>
    <row r="1774" ht="22.5" customHeight="1">
      <c r="B1774" s="42">
        <f t="shared" si="7"/>
        <v>1768</v>
      </c>
      <c r="C1774" s="31" t="s">
        <v>1898</v>
      </c>
      <c r="D1774" s="34" t="str">
        <f t="array" ref="D1774">IFNA(_xlfn.XLOOKUP(C1774,Table_Tarikan_Warkah[Nomor Sertipikat],Table_Tarikan_Warkah[Nomor Tiket]),"")</f>
        <v>L/36/100425/1</v>
      </c>
      <c r="E1774" s="36">
        <f t="array" ref="E1774">IFNA(_xlfn.XLOOKUP(D1774,Table_Tarikan_Warkah[Nomor Tiket],Table_Tarikan_Warkah[Tanggal diserahkan kepada Validator]),"")</f>
        <v>45793.46556</v>
      </c>
      <c r="F1774" s="36" t="str">
        <f t="array" ref="F1774">IFNA(_xlfn.XLOOKUP(D1774,Table_Tarikan_Warkah[Nomor Tiket],Table_Tarikan_Warkah[Nama Petugas Warkah]),"")</f>
        <v>David</v>
      </c>
      <c r="G1774" s="39" t="str">
        <f t="array" ref="G1774">IFNA(_xlfn.XLOOKUP(D1774,Table_Tarikan_Warkah[Nomor Tiket],Table_Tarikan_Warkah[Jenis Permohonan]),"")</f>
        <v>ROYA</v>
      </c>
      <c r="H1774" s="41" t="s">
        <v>11</v>
      </c>
      <c r="I1774" s="49"/>
      <c r="J1774" s="36" t="str">
        <f t="shared" si="20"/>
        <v/>
      </c>
      <c r="K1774" s="49" t="s">
        <v>197</v>
      </c>
      <c r="L1774" s="49" t="s">
        <v>23</v>
      </c>
      <c r="M1774" s="36">
        <f t="shared" si="26"/>
        <v>45764.64776</v>
      </c>
      <c r="N1774" s="30" t="str">
        <f t="shared" si="27"/>
        <v>BT atau SU Belum Valid</v>
      </c>
      <c r="O1774" s="39" t="str">
        <f t="shared" si="23"/>
        <v/>
      </c>
      <c r="P1774" s="47" t="b">
        <v>1</v>
      </c>
      <c r="Q1774" s="36">
        <f t="shared" si="24"/>
        <v>45764.6482</v>
      </c>
      <c r="R1774" s="47" t="b">
        <v>0</v>
      </c>
      <c r="S1774" s="42" t="str">
        <f t="shared" si="28"/>
        <v/>
      </c>
      <c r="T1774" s="42"/>
    </row>
    <row r="1775" ht="22.5" customHeight="1">
      <c r="B1775" s="42">
        <f t="shared" si="7"/>
        <v>1769</v>
      </c>
      <c r="C1775" s="31" t="s">
        <v>1899</v>
      </c>
      <c r="D1775" s="34" t="str">
        <f t="array" ref="D1775">IFNA(_xlfn.XLOOKUP(C1775,Table_Tarikan_Warkah[Nomor Sertipikat],Table_Tarikan_Warkah[Nomor Tiket]),"")</f>
        <v>L/23/080425/2</v>
      </c>
      <c r="E1775" s="36" t="str">
        <f t="array" ref="E1775">IFNA(_xlfn.XLOOKUP(D1775,Table_Tarikan_Warkah[Nomor Tiket],Table_Tarikan_Warkah[Tanggal diserahkan kepada Validator]),"")</f>
        <v/>
      </c>
      <c r="F1775" s="36" t="str">
        <f t="array" ref="F1775">IFNA(_xlfn.XLOOKUP(D1775,Table_Tarikan_Warkah[Nomor Tiket],Table_Tarikan_Warkah[Nama Petugas Warkah]),"")</f>
        <v/>
      </c>
      <c r="G1775" s="39" t="str">
        <f t="array" ref="G1775">IFNA(_xlfn.XLOOKUP(D1775,Table_Tarikan_Warkah[Nomor Tiket],Table_Tarikan_Warkah[Jenis Permohonan]),"")</f>
        <v>ROYA</v>
      </c>
      <c r="H1775" s="41" t="s">
        <v>11</v>
      </c>
      <c r="I1775" s="49"/>
      <c r="J1775" s="36" t="str">
        <f t="shared" si="20"/>
        <v/>
      </c>
      <c r="K1775" s="49" t="s">
        <v>197</v>
      </c>
      <c r="L1775" s="49" t="s">
        <v>23</v>
      </c>
      <c r="M1775" s="36">
        <f t="shared" si="26"/>
        <v>45764.64787</v>
      </c>
      <c r="N1775" s="30" t="str">
        <f t="shared" si="27"/>
        <v>BT atau SU Belum Valid</v>
      </c>
      <c r="O1775" s="39" t="str">
        <f t="shared" si="23"/>
        <v/>
      </c>
      <c r="P1775" s="47" t="b">
        <v>1</v>
      </c>
      <c r="Q1775" s="36">
        <f t="shared" si="24"/>
        <v>45764.6482</v>
      </c>
      <c r="R1775" s="47" t="b">
        <v>0</v>
      </c>
      <c r="S1775" s="42" t="str">
        <f t="shared" si="28"/>
        <v/>
      </c>
      <c r="T1775" s="42"/>
    </row>
    <row r="1776" ht="22.5" customHeight="1">
      <c r="B1776" s="42">
        <f t="shared" si="7"/>
        <v>1770</v>
      </c>
      <c r="C1776" s="31" t="s">
        <v>1900</v>
      </c>
      <c r="D1776" s="34" t="str">
        <f t="array" ref="D1776">IFNA(_xlfn.XLOOKUP(C1776,Table_Tarikan_Warkah[Nomor Sertipikat],Table_Tarikan_Warkah[Nomor Tiket]),"")</f>
        <v>L/15/090425/1</v>
      </c>
      <c r="E1776" s="36" t="str">
        <f t="array" ref="E1776">IFNA(_xlfn.XLOOKUP(D1776,Table_Tarikan_Warkah[Nomor Tiket],Table_Tarikan_Warkah[Tanggal diserahkan kepada Validator]),"")</f>
        <v/>
      </c>
      <c r="F1776" s="36" t="str">
        <f t="array" ref="F1776">IFNA(_xlfn.XLOOKUP(D1776,Table_Tarikan_Warkah[Nomor Tiket],Table_Tarikan_Warkah[Nama Petugas Warkah]),"")</f>
        <v/>
      </c>
      <c r="G1776" s="39" t="str">
        <f t="array" ref="G1776">IFNA(_xlfn.XLOOKUP(D1776,Table_Tarikan_Warkah[Nomor Tiket],Table_Tarikan_Warkah[Jenis Permohonan]),"")</f>
        <v>ROYA</v>
      </c>
      <c r="H1776" s="41" t="s">
        <v>11</v>
      </c>
      <c r="I1776" s="49"/>
      <c r="J1776" s="36" t="str">
        <f t="shared" si="20"/>
        <v/>
      </c>
      <c r="K1776" s="49" t="s">
        <v>197</v>
      </c>
      <c r="L1776" s="49" t="s">
        <v>23</v>
      </c>
      <c r="M1776" s="36">
        <f t="shared" si="26"/>
        <v>45764.64787</v>
      </c>
      <c r="N1776" s="30" t="str">
        <f t="shared" si="27"/>
        <v>BT atau SU Belum Valid</v>
      </c>
      <c r="O1776" s="39" t="str">
        <f t="shared" si="23"/>
        <v/>
      </c>
      <c r="P1776" s="47" t="b">
        <v>1</v>
      </c>
      <c r="Q1776" s="36">
        <f t="shared" si="24"/>
        <v>45764.6482</v>
      </c>
      <c r="R1776" s="47" t="b">
        <v>0</v>
      </c>
      <c r="S1776" s="42" t="str">
        <f t="shared" si="28"/>
        <v/>
      </c>
      <c r="T1776" s="42"/>
    </row>
    <row r="1777" ht="22.5" customHeight="1">
      <c r="B1777" s="42">
        <f t="shared" si="7"/>
        <v>1771</v>
      </c>
      <c r="C1777" s="31" t="s">
        <v>1901</v>
      </c>
      <c r="D1777" s="34" t="str">
        <f t="array" ref="D1777">IFNA(_xlfn.XLOOKUP(C1777,Table_Tarikan_Warkah[Nomor Sertipikat],Table_Tarikan_Warkah[Nomor Tiket]),"")</f>
        <v>K/9/250325/1</v>
      </c>
      <c r="E1777" s="36">
        <f t="array" ref="E1777">IFNA(_xlfn.XLOOKUP(D1777,Table_Tarikan_Warkah[Nomor Tiket],Table_Tarikan_Warkah[Tanggal diserahkan kepada Validator]),"")</f>
        <v>45769.42821</v>
      </c>
      <c r="F1777" s="36" t="str">
        <f t="array" ref="F1777">IFNA(_xlfn.XLOOKUP(D1777,Table_Tarikan_Warkah[Nomor Tiket],Table_Tarikan_Warkah[Nama Petugas Warkah]),"")</f>
        <v/>
      </c>
      <c r="G1777" s="39" t="str">
        <f t="array" ref="G1777">IFNA(_xlfn.XLOOKUP(D1777,Table_Tarikan_Warkah[Nomor Tiket],Table_Tarikan_Warkah[Jenis Permohonan]),"")</f>
        <v>JUAL BELI</v>
      </c>
      <c r="H1777" s="41" t="s">
        <v>11</v>
      </c>
      <c r="I1777" s="49"/>
      <c r="J1777" s="36" t="str">
        <f t="shared" si="20"/>
        <v/>
      </c>
      <c r="K1777" s="49" t="s">
        <v>197</v>
      </c>
      <c r="L1777" s="49" t="s">
        <v>23</v>
      </c>
      <c r="M1777" s="36">
        <f t="shared" si="26"/>
        <v>45764.64787</v>
      </c>
      <c r="N1777" s="30" t="str">
        <f t="shared" si="27"/>
        <v>BT atau SU Belum Valid</v>
      </c>
      <c r="O1777" s="39" t="str">
        <f t="shared" si="23"/>
        <v/>
      </c>
      <c r="P1777" s="47" t="b">
        <v>1</v>
      </c>
      <c r="Q1777" s="36">
        <f t="shared" si="24"/>
        <v>45764.6482</v>
      </c>
      <c r="R1777" s="47" t="b">
        <v>0</v>
      </c>
      <c r="S1777" s="42" t="str">
        <f t="shared" si="28"/>
        <v/>
      </c>
      <c r="T1777" s="42"/>
    </row>
    <row r="1778" ht="22.5" customHeight="1">
      <c r="B1778" s="42">
        <f t="shared" si="7"/>
        <v>1772</v>
      </c>
      <c r="C1778" s="31" t="s">
        <v>1902</v>
      </c>
      <c r="D1778" s="34" t="str">
        <f t="array" ref="D1778">IFNA(_xlfn.XLOOKUP(C1778,Table_Tarikan_Warkah[Nomor Sertipikat],Table_Tarikan_Warkah[Nomor Tiket]),"")</f>
        <v>K/7/130325/1</v>
      </c>
      <c r="E1778" s="36">
        <f t="array" ref="E1778">IFNA(_xlfn.XLOOKUP(D1778,Table_Tarikan_Warkah[Nomor Tiket],Table_Tarikan_Warkah[Tanggal diserahkan kepada Validator]),"")</f>
        <v>45769.42798</v>
      </c>
      <c r="F1778" s="36" t="str">
        <f t="array" ref="F1778">IFNA(_xlfn.XLOOKUP(D1778,Table_Tarikan_Warkah[Nomor Tiket],Table_Tarikan_Warkah[Nama Petugas Warkah]),"")</f>
        <v/>
      </c>
      <c r="G1778" s="39" t="str">
        <f t="array" ref="G1778">IFNA(_xlfn.XLOOKUP(D1778,Table_Tarikan_Warkah[Nomor Tiket],Table_Tarikan_Warkah[Jenis Permohonan]),"")</f>
        <v>JUAL BELI</v>
      </c>
      <c r="H1778" s="41" t="s">
        <v>11</v>
      </c>
      <c r="I1778" s="49"/>
      <c r="J1778" s="36" t="str">
        <f t="shared" si="20"/>
        <v/>
      </c>
      <c r="K1778" s="49" t="s">
        <v>197</v>
      </c>
      <c r="L1778" s="49" t="s">
        <v>23</v>
      </c>
      <c r="M1778" s="36">
        <f t="shared" si="26"/>
        <v>45764.64787</v>
      </c>
      <c r="N1778" s="30" t="str">
        <f t="shared" si="27"/>
        <v>BT atau SU Belum Valid</v>
      </c>
      <c r="O1778" s="39" t="str">
        <f t="shared" si="23"/>
        <v/>
      </c>
      <c r="P1778" s="47" t="b">
        <v>1</v>
      </c>
      <c r="Q1778" s="36">
        <f t="shared" si="24"/>
        <v>45764.6482</v>
      </c>
      <c r="R1778" s="47" t="b">
        <v>0</v>
      </c>
      <c r="S1778" s="42" t="str">
        <f t="shared" si="28"/>
        <v/>
      </c>
      <c r="T1778" s="42"/>
    </row>
    <row r="1779" ht="22.5" customHeight="1">
      <c r="B1779" s="42">
        <f t="shared" si="7"/>
        <v>1773</v>
      </c>
      <c r="C1779" s="31" t="s">
        <v>1903</v>
      </c>
      <c r="D1779" s="34" t="str">
        <f t="array" ref="D1779">IFNA(_xlfn.XLOOKUP(C1779,Table_Tarikan_Warkah[Nomor Sertipikat],Table_Tarikan_Warkah[Nomor Tiket]),"")</f>
        <v>K/15/180325/1</v>
      </c>
      <c r="E1779" s="36">
        <f t="array" ref="E1779">IFNA(_xlfn.XLOOKUP(D1779,Table_Tarikan_Warkah[Nomor Tiket],Table_Tarikan_Warkah[Tanggal diserahkan kepada Validator]),"")</f>
        <v>45811.36316</v>
      </c>
      <c r="F1779" s="36" t="str">
        <f t="array" ref="F1779">IFNA(_xlfn.XLOOKUP(D1779,Table_Tarikan_Warkah[Nomor Tiket],Table_Tarikan_Warkah[Nama Petugas Warkah]),"")</f>
        <v>David</v>
      </c>
      <c r="G1779" s="39" t="str">
        <f t="array" ref="G1779">IFNA(_xlfn.XLOOKUP(D1779,Table_Tarikan_Warkah[Nomor Tiket],Table_Tarikan_Warkah[Jenis Permohonan]),"")</f>
        <v>ROYA</v>
      </c>
      <c r="H1779" s="41" t="s">
        <v>11</v>
      </c>
      <c r="I1779" s="49"/>
      <c r="J1779" s="36" t="str">
        <f t="shared" si="20"/>
        <v/>
      </c>
      <c r="K1779" s="49" t="s">
        <v>197</v>
      </c>
      <c r="L1779" s="49" t="s">
        <v>23</v>
      </c>
      <c r="M1779" s="36">
        <f t="shared" si="26"/>
        <v>45764.64787</v>
      </c>
      <c r="N1779" s="30" t="str">
        <f t="shared" si="27"/>
        <v>BT atau SU Belum Valid</v>
      </c>
      <c r="O1779" s="39" t="str">
        <f t="shared" si="23"/>
        <v/>
      </c>
      <c r="P1779" s="47" t="b">
        <v>1</v>
      </c>
      <c r="Q1779" s="36">
        <f t="shared" si="24"/>
        <v>45764.6483</v>
      </c>
      <c r="R1779" s="47" t="b">
        <v>0</v>
      </c>
      <c r="S1779" s="42" t="str">
        <f t="shared" si="28"/>
        <v/>
      </c>
      <c r="T1779" s="42"/>
    </row>
    <row r="1780" ht="22.5" customHeight="1">
      <c r="B1780" s="42">
        <f t="shared" si="7"/>
        <v>1774</v>
      </c>
      <c r="C1780" s="31" t="s">
        <v>1904</v>
      </c>
      <c r="D1780" s="34" t="str">
        <f t="array" ref="D1780">IFNA(_xlfn.XLOOKUP(C1780,Table_Tarikan_Warkah[Nomor Sertipikat],Table_Tarikan_Warkah[Nomor Tiket]),"")</f>
        <v>K/4/140325/2</v>
      </c>
      <c r="E1780" s="36">
        <f t="array" ref="E1780">IFNA(_xlfn.XLOOKUP(D1780,Table_Tarikan_Warkah[Nomor Tiket],Table_Tarikan_Warkah[Tanggal diserahkan kepada Validator]),"")</f>
        <v>45769.42918</v>
      </c>
      <c r="F1780" s="36" t="str">
        <f t="array" ref="F1780">IFNA(_xlfn.XLOOKUP(D1780,Table_Tarikan_Warkah[Nomor Tiket],Table_Tarikan_Warkah[Nama Petugas Warkah]),"")</f>
        <v/>
      </c>
      <c r="G1780" s="39" t="str">
        <f t="array" ref="G1780">IFNA(_xlfn.XLOOKUP(D1780,Table_Tarikan_Warkah[Nomor Tiket],Table_Tarikan_Warkah[Jenis Permohonan]),"")</f>
        <v>KEWARISAN</v>
      </c>
      <c r="H1780" s="41" t="s">
        <v>11</v>
      </c>
      <c r="I1780" s="49"/>
      <c r="J1780" s="36" t="str">
        <f t="shared" si="20"/>
        <v/>
      </c>
      <c r="K1780" s="49" t="s">
        <v>197</v>
      </c>
      <c r="L1780" s="49" t="s">
        <v>23</v>
      </c>
      <c r="M1780" s="36">
        <f t="shared" si="26"/>
        <v>45764.64787</v>
      </c>
      <c r="N1780" s="30" t="str">
        <f t="shared" si="27"/>
        <v>BT atau SU Belum Valid</v>
      </c>
      <c r="O1780" s="39" t="str">
        <f t="shared" si="23"/>
        <v/>
      </c>
      <c r="P1780" s="47" t="b">
        <v>1</v>
      </c>
      <c r="Q1780" s="36">
        <f t="shared" si="24"/>
        <v>45764.6483</v>
      </c>
      <c r="R1780" s="47" t="b">
        <v>0</v>
      </c>
      <c r="S1780" s="42" t="str">
        <f t="shared" si="28"/>
        <v/>
      </c>
      <c r="T1780" s="42"/>
    </row>
    <row r="1781" ht="22.5" customHeight="1">
      <c r="B1781" s="42">
        <f t="shared" si="7"/>
        <v>1775</v>
      </c>
      <c r="C1781" s="31" t="s">
        <v>1905</v>
      </c>
      <c r="D1781" s="34" t="str">
        <f t="array" ref="D1781">IFNA(_xlfn.XLOOKUP(C1781,Table_Tarikan_Warkah[Nomor Sertipikat],Table_Tarikan_Warkah[Nomor Tiket]),"")</f>
        <v>K/3/190325/1</v>
      </c>
      <c r="E1781" s="36" t="str">
        <f t="array" ref="E1781">IFNA(_xlfn.XLOOKUP(D1781,Table_Tarikan_Warkah[Nomor Tiket],Table_Tarikan_Warkah[Tanggal diserahkan kepada Validator]),"")</f>
        <v/>
      </c>
      <c r="F1781" s="36" t="str">
        <f t="array" ref="F1781">IFNA(_xlfn.XLOOKUP(D1781,Table_Tarikan_Warkah[Nomor Tiket],Table_Tarikan_Warkah[Nama Petugas Warkah]),"")</f>
        <v/>
      </c>
      <c r="G1781" s="39" t="str">
        <f t="array" ref="G1781">IFNA(_xlfn.XLOOKUP(D1781,Table_Tarikan_Warkah[Nomor Tiket],Table_Tarikan_Warkah[Jenis Permohonan]),"")</f>
        <v>ROYA</v>
      </c>
      <c r="H1781" s="41" t="s">
        <v>11</v>
      </c>
      <c r="I1781" s="49"/>
      <c r="J1781" s="36" t="str">
        <f t="shared" si="20"/>
        <v/>
      </c>
      <c r="K1781" s="49" t="s">
        <v>197</v>
      </c>
      <c r="L1781" s="49" t="s">
        <v>23</v>
      </c>
      <c r="M1781" s="36">
        <f t="shared" si="26"/>
        <v>45764.64791</v>
      </c>
      <c r="N1781" s="30" t="str">
        <f t="shared" si="27"/>
        <v>BT atau SU Belum Valid</v>
      </c>
      <c r="O1781" s="39" t="str">
        <f t="shared" si="23"/>
        <v/>
      </c>
      <c r="P1781" s="47" t="b">
        <v>1</v>
      </c>
      <c r="Q1781" s="36">
        <f t="shared" si="24"/>
        <v>45764.6483</v>
      </c>
      <c r="R1781" s="47" t="b">
        <v>0</v>
      </c>
      <c r="S1781" s="42" t="str">
        <f t="shared" si="28"/>
        <v/>
      </c>
      <c r="T1781" s="42"/>
    </row>
    <row r="1782" ht="22.5" customHeight="1">
      <c r="B1782" s="42">
        <f t="shared" si="7"/>
        <v>1776</v>
      </c>
      <c r="C1782" s="31" t="s">
        <v>1906</v>
      </c>
      <c r="D1782" s="34" t="str">
        <f t="array" ref="D1782">IFNA(_xlfn.XLOOKUP(C1782,Table_Tarikan_Warkah[Nomor Sertipikat],Table_Tarikan_Warkah[Nomor Tiket]),"")</f>
        <v>K/6/060325/1</v>
      </c>
      <c r="E1782" s="36">
        <f t="array" ref="E1782">IFNA(_xlfn.XLOOKUP(D1782,Table_Tarikan_Warkah[Nomor Tiket],Table_Tarikan_Warkah[Tanggal diserahkan kepada Validator]),"")</f>
        <v>45769.42865</v>
      </c>
      <c r="F1782" s="36" t="str">
        <f t="array" ref="F1782">IFNA(_xlfn.XLOOKUP(D1782,Table_Tarikan_Warkah[Nomor Tiket],Table_Tarikan_Warkah[Nama Petugas Warkah]),"")</f>
        <v/>
      </c>
      <c r="G1782" s="39" t="str">
        <f t="array" ref="G1782">IFNA(_xlfn.XLOOKUP(D1782,Table_Tarikan_Warkah[Nomor Tiket],Table_Tarikan_Warkah[Jenis Permohonan]),"")</f>
        <v>JUAL BELI</v>
      </c>
      <c r="H1782" s="41" t="s">
        <v>11</v>
      </c>
      <c r="I1782" s="49"/>
      <c r="J1782" s="36" t="str">
        <f t="shared" si="20"/>
        <v/>
      </c>
      <c r="K1782" s="49" t="s">
        <v>197</v>
      </c>
      <c r="L1782" s="49" t="s">
        <v>23</v>
      </c>
      <c r="M1782" s="36">
        <f t="shared" si="26"/>
        <v>45764.64791</v>
      </c>
      <c r="N1782" s="30" t="str">
        <f t="shared" si="27"/>
        <v>BT atau SU Belum Valid</v>
      </c>
      <c r="O1782" s="39" t="str">
        <f t="shared" si="23"/>
        <v/>
      </c>
      <c r="P1782" s="47" t="b">
        <v>1</v>
      </c>
      <c r="Q1782" s="36">
        <f t="shared" si="24"/>
        <v>45764.6483</v>
      </c>
      <c r="R1782" s="47" t="b">
        <v>0</v>
      </c>
      <c r="S1782" s="42" t="str">
        <f t="shared" si="28"/>
        <v/>
      </c>
      <c r="T1782" s="42"/>
    </row>
    <row r="1783" ht="22.5" customHeight="1">
      <c r="B1783" s="42">
        <f t="shared" si="7"/>
        <v>1777</v>
      </c>
      <c r="C1783" s="31" t="s">
        <v>1907</v>
      </c>
      <c r="D1783" s="34" t="str">
        <f t="array" ref="D1783">IFNA(_xlfn.XLOOKUP(C1783,Table_Tarikan_Warkah[Nomor Sertipikat],Table_Tarikan_Warkah[Nomor Tiket]),"")</f>
        <v>K/21/060225/1</v>
      </c>
      <c r="E1783" s="36" t="str">
        <f t="array" ref="E1783">IFNA(_xlfn.XLOOKUP(D1783,Table_Tarikan_Warkah[Nomor Tiket],Table_Tarikan_Warkah[Tanggal diserahkan kepada Validator]),"")</f>
        <v/>
      </c>
      <c r="F1783" s="36" t="str">
        <f t="array" ref="F1783">IFNA(_xlfn.XLOOKUP(D1783,Table_Tarikan_Warkah[Nomor Tiket],Table_Tarikan_Warkah[Nama Petugas Warkah]),"")</f>
        <v/>
      </c>
      <c r="G1783" s="39" t="str">
        <f t="array" ref="G1783">IFNA(_xlfn.XLOOKUP(D1783,Table_Tarikan_Warkah[Nomor Tiket],Table_Tarikan_Warkah[Jenis Permohonan]),"")</f>
        <v>PERUBAHAN HAK</v>
      </c>
      <c r="H1783" s="41" t="s">
        <v>11</v>
      </c>
      <c r="I1783" s="49"/>
      <c r="J1783" s="36" t="str">
        <f t="shared" si="20"/>
        <v/>
      </c>
      <c r="K1783" s="49" t="s">
        <v>197</v>
      </c>
      <c r="L1783" s="49" t="s">
        <v>23</v>
      </c>
      <c r="M1783" s="36">
        <f t="shared" si="26"/>
        <v>45764.64791</v>
      </c>
      <c r="N1783" s="30" t="str">
        <f t="shared" si="27"/>
        <v>BT atau SU Belum Valid</v>
      </c>
      <c r="O1783" s="39" t="str">
        <f t="shared" si="23"/>
        <v/>
      </c>
      <c r="P1783" s="47" t="b">
        <v>1</v>
      </c>
      <c r="Q1783" s="36">
        <f t="shared" si="24"/>
        <v>45764.6483</v>
      </c>
      <c r="R1783" s="47" t="b">
        <v>0</v>
      </c>
      <c r="S1783" s="42" t="str">
        <f t="shared" si="28"/>
        <v/>
      </c>
      <c r="T1783" s="42"/>
    </row>
    <row r="1784" ht="22.5" customHeight="1">
      <c r="B1784" s="42">
        <f t="shared" si="7"/>
        <v>1778</v>
      </c>
      <c r="C1784" s="31" t="s">
        <v>1908</v>
      </c>
      <c r="D1784" s="34" t="str">
        <f t="array" ref="D1784">IFNA(_xlfn.XLOOKUP(C1784,Table_Tarikan_Warkah[Nomor Sertipikat],Table_Tarikan_Warkah[Nomor Tiket]),"")</f>
        <v>K/1/270325/1</v>
      </c>
      <c r="E1784" s="36">
        <f t="array" ref="E1784">IFNA(_xlfn.XLOOKUP(D1784,Table_Tarikan_Warkah[Nomor Tiket],Table_Tarikan_Warkah[Tanggal diserahkan kepada Validator]),"")</f>
        <v>45769.42837</v>
      </c>
      <c r="F1784" s="36" t="str">
        <f t="array" ref="F1784">IFNA(_xlfn.XLOOKUP(D1784,Table_Tarikan_Warkah[Nomor Tiket],Table_Tarikan_Warkah[Nama Petugas Warkah]),"")</f>
        <v/>
      </c>
      <c r="G1784" s="39" t="str">
        <f t="array" ref="G1784">IFNA(_xlfn.XLOOKUP(D1784,Table_Tarikan_Warkah[Nomor Tiket],Table_Tarikan_Warkah[Jenis Permohonan]),"")</f>
        <v>JUAL BELI</v>
      </c>
      <c r="H1784" s="41" t="s">
        <v>11</v>
      </c>
      <c r="I1784" s="49"/>
      <c r="J1784" s="36" t="str">
        <f t="shared" si="20"/>
        <v/>
      </c>
      <c r="K1784" s="49" t="s">
        <v>197</v>
      </c>
      <c r="L1784" s="49" t="s">
        <v>23</v>
      </c>
      <c r="M1784" s="36">
        <f t="shared" si="26"/>
        <v>45764.64791</v>
      </c>
      <c r="N1784" s="30" t="str">
        <f t="shared" si="27"/>
        <v>BT atau SU Belum Valid</v>
      </c>
      <c r="O1784" s="39" t="str">
        <f t="shared" si="23"/>
        <v/>
      </c>
      <c r="P1784" s="47" t="b">
        <v>1</v>
      </c>
      <c r="Q1784" s="36">
        <f t="shared" si="24"/>
        <v>45764.6483</v>
      </c>
      <c r="R1784" s="47" t="b">
        <v>0</v>
      </c>
      <c r="S1784" s="42" t="str">
        <f t="shared" si="28"/>
        <v/>
      </c>
      <c r="T1784" s="42"/>
    </row>
    <row r="1785" ht="22.5" customHeight="1">
      <c r="B1785" s="42">
        <f t="shared" si="7"/>
        <v>1779</v>
      </c>
      <c r="C1785" s="31" t="s">
        <v>1909</v>
      </c>
      <c r="D1785" s="34" t="str">
        <f t="array" ref="D1785">IFNA(_xlfn.XLOOKUP(C1785,Table_Tarikan_Warkah[Nomor Sertipikat],Table_Tarikan_Warkah[Nomor Tiket]),"")</f>
        <v>K/4/270325/4</v>
      </c>
      <c r="E1785" s="36">
        <f t="array" ref="E1785">IFNA(_xlfn.XLOOKUP(D1785,Table_Tarikan_Warkah[Nomor Tiket],Table_Tarikan_Warkah[Tanggal diserahkan kepada Validator]),"")</f>
        <v>45769.42885</v>
      </c>
      <c r="F1785" s="36" t="str">
        <f t="array" ref="F1785">IFNA(_xlfn.XLOOKUP(D1785,Table_Tarikan_Warkah[Nomor Tiket],Table_Tarikan_Warkah[Nama Petugas Warkah]),"")</f>
        <v/>
      </c>
      <c r="G1785" s="39" t="str">
        <f t="array" ref="G1785">IFNA(_xlfn.XLOOKUP(D1785,Table_Tarikan_Warkah[Nomor Tiket],Table_Tarikan_Warkah[Jenis Permohonan]),"")</f>
        <v>ANTONY</v>
      </c>
      <c r="H1785" s="41" t="s">
        <v>11</v>
      </c>
      <c r="I1785" s="49"/>
      <c r="J1785" s="36" t="str">
        <f t="shared" si="20"/>
        <v/>
      </c>
      <c r="K1785" s="49" t="s">
        <v>197</v>
      </c>
      <c r="L1785" s="49" t="s">
        <v>23</v>
      </c>
      <c r="M1785" s="36">
        <f t="shared" si="26"/>
        <v>45764.64791</v>
      </c>
      <c r="N1785" s="30" t="str">
        <f t="shared" si="27"/>
        <v>BT atau SU Belum Valid</v>
      </c>
      <c r="O1785" s="39" t="str">
        <f t="shared" si="23"/>
        <v/>
      </c>
      <c r="P1785" s="47" t="b">
        <v>1</v>
      </c>
      <c r="Q1785" s="36">
        <f t="shared" si="24"/>
        <v>45764.6483</v>
      </c>
      <c r="R1785" s="47" t="b">
        <v>0</v>
      </c>
      <c r="S1785" s="42" t="str">
        <f t="shared" si="28"/>
        <v/>
      </c>
      <c r="T1785" s="42"/>
    </row>
    <row r="1786" ht="22.5" customHeight="1">
      <c r="B1786" s="42">
        <f t="shared" si="7"/>
        <v>1780</v>
      </c>
      <c r="C1786" s="31" t="s">
        <v>1910</v>
      </c>
      <c r="D1786" s="34" t="str">
        <f t="array" ref="D1786">IFNA(_xlfn.XLOOKUP(C1786,Table_Tarikan_Warkah[Nomor Sertipikat],Table_Tarikan_Warkah[Nomor Tiket]),"")</f>
        <v>K/2/110425/1</v>
      </c>
      <c r="E1786" s="36" t="str">
        <f t="array" ref="E1786">IFNA(_xlfn.XLOOKUP(D1786,Table_Tarikan_Warkah[Nomor Tiket],Table_Tarikan_Warkah[Tanggal diserahkan kepada Validator]),"")</f>
        <v/>
      </c>
      <c r="F1786" s="36" t="str">
        <f t="array" ref="F1786">IFNA(_xlfn.XLOOKUP(D1786,Table_Tarikan_Warkah[Nomor Tiket],Table_Tarikan_Warkah[Nama Petugas Warkah]),"")</f>
        <v/>
      </c>
      <c r="G1786" s="39" t="str">
        <f t="array" ref="G1786">IFNA(_xlfn.XLOOKUP(D1786,Table_Tarikan_Warkah[Nomor Tiket],Table_Tarikan_Warkah[Jenis Permohonan]),"")</f>
        <v>JUAL BELI</v>
      </c>
      <c r="H1786" s="41" t="s">
        <v>11</v>
      </c>
      <c r="I1786" s="49"/>
      <c r="J1786" s="36" t="str">
        <f t="shared" si="20"/>
        <v/>
      </c>
      <c r="K1786" s="49" t="s">
        <v>197</v>
      </c>
      <c r="L1786" s="49" t="s">
        <v>23</v>
      </c>
      <c r="M1786" s="36">
        <f t="shared" si="26"/>
        <v>45764.64791</v>
      </c>
      <c r="N1786" s="30" t="str">
        <f t="shared" si="27"/>
        <v>BT atau SU Belum Valid</v>
      </c>
      <c r="O1786" s="39" t="str">
        <f t="shared" si="23"/>
        <v/>
      </c>
      <c r="P1786" s="47" t="b">
        <v>1</v>
      </c>
      <c r="Q1786" s="36">
        <f t="shared" si="24"/>
        <v>45764.6483</v>
      </c>
      <c r="R1786" s="47" t="b">
        <v>0</v>
      </c>
      <c r="S1786" s="42" t="str">
        <f t="shared" si="28"/>
        <v/>
      </c>
      <c r="T1786" s="42"/>
    </row>
    <row r="1787" ht="22.5" customHeight="1">
      <c r="B1787" s="42">
        <f t="shared" si="7"/>
        <v>1781</v>
      </c>
      <c r="C1787" s="31" t="s">
        <v>1911</v>
      </c>
      <c r="D1787" s="34" t="str">
        <f t="array" ref="D1787">IFNA(_xlfn.XLOOKUP(C1787,Table_Tarikan_Warkah[Nomor Sertipikat],Table_Tarikan_Warkah[Nomor Tiket]),"")</f>
        <v>K/21/260225/1</v>
      </c>
      <c r="E1787" s="36">
        <f t="array" ref="E1787">IFNA(_xlfn.XLOOKUP(D1787,Table_Tarikan_Warkah[Nomor Tiket],Table_Tarikan_Warkah[Tanggal diserahkan kepada Validator]),"")</f>
        <v>45769.60071</v>
      </c>
      <c r="F1787" s="36" t="str">
        <f t="array" ref="F1787">IFNA(_xlfn.XLOOKUP(D1787,Table_Tarikan_Warkah[Nomor Tiket],Table_Tarikan_Warkah[Nama Petugas Warkah]),"")</f>
        <v/>
      </c>
      <c r="G1787" s="39" t="str">
        <f t="array" ref="G1787">IFNA(_xlfn.XLOOKUP(D1787,Table_Tarikan_Warkah[Nomor Tiket],Table_Tarikan_Warkah[Jenis Permohonan]),"")</f>
        <v>BN JUAL BELI</v>
      </c>
      <c r="H1787" s="41" t="s">
        <v>20</v>
      </c>
      <c r="I1787" s="49" t="s">
        <v>23</v>
      </c>
      <c r="J1787" s="36">
        <f t="shared" si="20"/>
        <v>45764.60278</v>
      </c>
      <c r="K1787" s="49" t="s">
        <v>197</v>
      </c>
      <c r="L1787" s="49" t="s">
        <v>23</v>
      </c>
      <c r="M1787" s="36">
        <f t="shared" si="26"/>
        <v>45768.42472</v>
      </c>
      <c r="N1787" s="30" t="str">
        <f t="shared" si="27"/>
        <v>Selesai</v>
      </c>
      <c r="O1787" s="45">
        <f t="shared" si="23"/>
        <v>45768.42472</v>
      </c>
      <c r="P1787" s="47" t="b">
        <v>1</v>
      </c>
      <c r="Q1787" s="36">
        <f t="shared" si="24"/>
        <v>45768.42508</v>
      </c>
      <c r="R1787" s="47" t="b">
        <v>0</v>
      </c>
      <c r="S1787" s="42" t="str">
        <f t="shared" si="28"/>
        <v/>
      </c>
      <c r="T1787" s="42"/>
    </row>
    <row r="1788" ht="22.5" customHeight="1">
      <c r="B1788" s="42">
        <f t="shared" si="7"/>
        <v>1782</v>
      </c>
      <c r="C1788" s="31" t="s">
        <v>1912</v>
      </c>
      <c r="D1788" s="34" t="str">
        <f t="array" ref="D1788">IFNA(_xlfn.XLOOKUP(C1788,Table_Tarikan_Warkah[Nomor Sertipikat],Table_Tarikan_Warkah[Nomor Tiket]),"")</f>
        <v>L/25/140225/1</v>
      </c>
      <c r="E1788" s="36">
        <f t="array" ref="E1788">IFNA(_xlfn.XLOOKUP(D1788,Table_Tarikan_Warkah[Nomor Tiket],Table_Tarikan_Warkah[Tanggal diserahkan kepada Validator]),"")</f>
        <v>45769.60071</v>
      </c>
      <c r="F1788" s="36" t="str">
        <f t="array" ref="F1788">IFNA(_xlfn.XLOOKUP(D1788,Table_Tarikan_Warkah[Nomor Tiket],Table_Tarikan_Warkah[Nama Petugas Warkah]),"")</f>
        <v/>
      </c>
      <c r="G1788" s="39" t="str">
        <f t="array" ref="G1788">IFNA(_xlfn.XLOOKUP(D1788,Table_Tarikan_Warkah[Nomor Tiket],Table_Tarikan_Warkah[Jenis Permohonan]),"")</f>
        <v>ROYA</v>
      </c>
      <c r="H1788" s="41" t="s">
        <v>20</v>
      </c>
      <c r="I1788" s="49" t="s">
        <v>23</v>
      </c>
      <c r="J1788" s="36">
        <f t="shared" si="20"/>
        <v>45764.60289</v>
      </c>
      <c r="K1788" s="49" t="s">
        <v>197</v>
      </c>
      <c r="L1788" s="49" t="s">
        <v>23</v>
      </c>
      <c r="M1788" s="36">
        <f t="shared" si="26"/>
        <v>45768.42499</v>
      </c>
      <c r="N1788" s="30" t="str">
        <f t="shared" si="27"/>
        <v>Selesai</v>
      </c>
      <c r="O1788" s="45">
        <f t="shared" si="23"/>
        <v>45768.42499</v>
      </c>
      <c r="P1788" s="47" t="b">
        <v>1</v>
      </c>
      <c r="Q1788" s="36">
        <f t="shared" si="24"/>
        <v>45768.4251</v>
      </c>
      <c r="R1788" s="47" t="b">
        <v>0</v>
      </c>
      <c r="S1788" s="42" t="str">
        <f t="shared" si="28"/>
        <v/>
      </c>
      <c r="T1788" s="42"/>
    </row>
    <row r="1789" ht="22.5" customHeight="1">
      <c r="B1789" s="42">
        <f t="shared" si="7"/>
        <v>1783</v>
      </c>
      <c r="C1789" s="31" t="s">
        <v>1913</v>
      </c>
      <c r="D1789" s="34" t="str">
        <f t="array" ref="D1789">IFNA(_xlfn.XLOOKUP(C1789,Table_Tarikan_Warkah[Nomor Sertipikat],Table_Tarikan_Warkah[Nomor Tiket]),"")</f>
        <v>K/21/110425/1</v>
      </c>
      <c r="E1789" s="36">
        <f t="array" ref="E1789">IFNA(_xlfn.XLOOKUP(D1789,Table_Tarikan_Warkah[Nomor Tiket],Table_Tarikan_Warkah[Tanggal diserahkan kepada Validator]),"")</f>
        <v>45769.43968</v>
      </c>
      <c r="F1789" s="36" t="str">
        <f t="array" ref="F1789">IFNA(_xlfn.XLOOKUP(D1789,Table_Tarikan_Warkah[Nomor Tiket],Table_Tarikan_Warkah[Nama Petugas Warkah]),"")</f>
        <v/>
      </c>
      <c r="G1789" s="39" t="str">
        <f t="array" ref="G1789">IFNA(_xlfn.XLOOKUP(D1789,Table_Tarikan_Warkah[Nomor Tiket],Table_Tarikan_Warkah[Jenis Permohonan]),"")</f>
        <v>BN Waris</v>
      </c>
      <c r="H1789" s="41" t="s">
        <v>20</v>
      </c>
      <c r="I1789" s="49" t="s">
        <v>23</v>
      </c>
      <c r="J1789" s="36">
        <f t="shared" si="20"/>
        <v>45764.60305</v>
      </c>
      <c r="K1789" s="49" t="s">
        <v>197</v>
      </c>
      <c r="L1789" s="49" t="s">
        <v>23</v>
      </c>
      <c r="M1789" s="36">
        <f t="shared" si="26"/>
        <v>45768.52701</v>
      </c>
      <c r="N1789" s="30" t="str">
        <f t="shared" si="27"/>
        <v>Selesai</v>
      </c>
      <c r="O1789" s="45">
        <f t="shared" si="23"/>
        <v>45768.52701</v>
      </c>
      <c r="P1789" s="47" t="b">
        <v>1</v>
      </c>
      <c r="Q1789" s="36">
        <f t="shared" si="24"/>
        <v>45768.52701</v>
      </c>
      <c r="R1789" s="47" t="b">
        <v>0</v>
      </c>
      <c r="S1789" s="42" t="str">
        <f t="shared" si="28"/>
        <v/>
      </c>
      <c r="T1789" s="42"/>
    </row>
    <row r="1790" ht="22.5" customHeight="1">
      <c r="B1790" s="42">
        <f t="shared" si="7"/>
        <v>1784</v>
      </c>
      <c r="C1790" s="31" t="s">
        <v>1760</v>
      </c>
      <c r="D1790" s="34" t="str">
        <f t="array" ref="D1790">IFNA(_xlfn.XLOOKUP(C1790,Table_Tarikan_Warkah[Nomor Sertipikat],Table_Tarikan_Warkah[Nomor Tiket]),"")</f>
        <v>K/10/120325/1</v>
      </c>
      <c r="E1790" s="36">
        <f t="array" ref="E1790">IFNA(_xlfn.XLOOKUP(D1790,Table_Tarikan_Warkah[Nomor Tiket],Table_Tarikan_Warkah[Tanggal diserahkan kepada Validator]),"")</f>
        <v>45769.60071</v>
      </c>
      <c r="F1790" s="36" t="str">
        <f t="array" ref="F1790">IFNA(_xlfn.XLOOKUP(D1790,Table_Tarikan_Warkah[Nomor Tiket],Table_Tarikan_Warkah[Nama Petugas Warkah]),"")</f>
        <v/>
      </c>
      <c r="G1790" s="39" t="str">
        <f t="array" ref="G1790">IFNA(_xlfn.XLOOKUP(D1790,Table_Tarikan_Warkah[Nomor Tiket],Table_Tarikan_Warkah[Jenis Permohonan]),"")</f>
        <v>ROYA</v>
      </c>
      <c r="H1790" s="41" t="s">
        <v>20</v>
      </c>
      <c r="I1790" s="49" t="s">
        <v>23</v>
      </c>
      <c r="J1790" s="36">
        <f t="shared" si="20"/>
        <v>45764.60308</v>
      </c>
      <c r="K1790" s="49" t="s">
        <v>197</v>
      </c>
      <c r="L1790" s="49" t="s">
        <v>23</v>
      </c>
      <c r="M1790" s="36">
        <f t="shared" si="26"/>
        <v>45768.5448</v>
      </c>
      <c r="N1790" s="30" t="str">
        <f t="shared" si="27"/>
        <v>Selesai</v>
      </c>
      <c r="O1790" s="45">
        <f t="shared" si="23"/>
        <v>45768.5448</v>
      </c>
      <c r="P1790" s="47" t="b">
        <v>1</v>
      </c>
      <c r="Q1790" s="36">
        <f t="shared" si="24"/>
        <v>45768.54484</v>
      </c>
      <c r="R1790" s="47" t="b">
        <v>0</v>
      </c>
      <c r="S1790" s="42" t="str">
        <f t="shared" si="28"/>
        <v/>
      </c>
      <c r="T1790" s="42"/>
    </row>
    <row r="1791" ht="22.5" customHeight="1">
      <c r="B1791" s="42">
        <f t="shared" si="7"/>
        <v>1785</v>
      </c>
      <c r="C1791" s="31" t="s">
        <v>1914</v>
      </c>
      <c r="D1791" s="34" t="str">
        <f t="array" ref="D1791">IFNA(_xlfn.XLOOKUP(C1791,Table_Tarikan_Warkah[Nomor Sertipikat],Table_Tarikan_Warkah[Nomor Tiket]),"")</f>
        <v>K/15/230125/5</v>
      </c>
      <c r="E1791" s="36">
        <f t="array" ref="E1791">IFNA(_xlfn.XLOOKUP(D1791,Table_Tarikan_Warkah[Nomor Tiket],Table_Tarikan_Warkah[Tanggal diserahkan kepada Validator]),"")</f>
        <v>45769.60071</v>
      </c>
      <c r="F1791" s="36" t="str">
        <f t="array" ref="F1791">IFNA(_xlfn.XLOOKUP(D1791,Table_Tarikan_Warkah[Nomor Tiket],Table_Tarikan_Warkah[Nama Petugas Warkah]),"")</f>
        <v>David</v>
      </c>
      <c r="G1791" s="39" t="str">
        <f t="array" ref="G1791">IFNA(_xlfn.XLOOKUP(D1791,Table_Tarikan_Warkah[Nomor Tiket],Table_Tarikan_Warkah[Jenis Permohonan]),"")</f>
        <v>ROYA</v>
      </c>
      <c r="H1791" s="41" t="s">
        <v>20</v>
      </c>
      <c r="I1791" s="49" t="s">
        <v>23</v>
      </c>
      <c r="J1791" s="36">
        <f t="shared" si="20"/>
        <v>45764.60324</v>
      </c>
      <c r="K1791" s="49" t="s">
        <v>197</v>
      </c>
      <c r="L1791" s="49" t="s">
        <v>23</v>
      </c>
      <c r="M1791" s="36">
        <f t="shared" si="26"/>
        <v>45768.5448</v>
      </c>
      <c r="N1791" s="30" t="str">
        <f t="shared" si="27"/>
        <v>Selesai</v>
      </c>
      <c r="O1791" s="45">
        <f t="shared" si="23"/>
        <v>45768.5448</v>
      </c>
      <c r="P1791" s="47" t="b">
        <v>1</v>
      </c>
      <c r="Q1791" s="36">
        <f t="shared" si="24"/>
        <v>45768.54484</v>
      </c>
      <c r="R1791" s="47" t="b">
        <v>0</v>
      </c>
      <c r="S1791" s="42" t="str">
        <f t="shared" si="28"/>
        <v/>
      </c>
      <c r="T1791" s="42"/>
    </row>
    <row r="1792" ht="22.5" customHeight="1">
      <c r="B1792" s="42">
        <f t="shared" si="7"/>
        <v>1786</v>
      </c>
      <c r="C1792" s="31" t="s">
        <v>1915</v>
      </c>
      <c r="D1792" s="34" t="str">
        <f t="array" ref="D1792">IFNA(_xlfn.XLOOKUP(C1792,Table_Tarikan_Warkah[Nomor Sertipikat],Table_Tarikan_Warkah[Nomor Tiket]),"")</f>
        <v>L/31/070325/1</v>
      </c>
      <c r="E1792" s="36">
        <f t="array" ref="E1792">IFNA(_xlfn.XLOOKUP(D1792,Table_Tarikan_Warkah[Nomor Tiket],Table_Tarikan_Warkah[Tanggal diserahkan kepada Validator]),"")</f>
        <v>45769.60071</v>
      </c>
      <c r="F1792" s="36" t="str">
        <f t="array" ref="F1792">IFNA(_xlfn.XLOOKUP(D1792,Table_Tarikan_Warkah[Nomor Tiket],Table_Tarikan_Warkah[Nama Petugas Warkah]),"")</f>
        <v/>
      </c>
      <c r="G1792" s="39" t="str">
        <f t="array" ref="G1792">IFNA(_xlfn.XLOOKUP(D1792,Table_Tarikan_Warkah[Nomor Tiket],Table_Tarikan_Warkah[Jenis Permohonan]),"")</f>
        <v>ROYA</v>
      </c>
      <c r="H1792" s="41" t="s">
        <v>20</v>
      </c>
      <c r="I1792" s="49" t="s">
        <v>23</v>
      </c>
      <c r="J1792" s="36">
        <f t="shared" si="20"/>
        <v>45764.60637</v>
      </c>
      <c r="K1792" s="49" t="s">
        <v>197</v>
      </c>
      <c r="L1792" s="49" t="s">
        <v>23</v>
      </c>
      <c r="M1792" s="36">
        <f t="shared" si="26"/>
        <v>45768.54482</v>
      </c>
      <c r="N1792" s="30" t="str">
        <f t="shared" si="27"/>
        <v>Selesai</v>
      </c>
      <c r="O1792" s="45">
        <f t="shared" si="23"/>
        <v>45768.54482</v>
      </c>
      <c r="P1792" s="47" t="b">
        <v>1</v>
      </c>
      <c r="Q1792" s="36">
        <f t="shared" si="24"/>
        <v>45768.54491</v>
      </c>
      <c r="R1792" s="47" t="b">
        <v>0</v>
      </c>
      <c r="S1792" s="42" t="str">
        <f t="shared" si="28"/>
        <v/>
      </c>
      <c r="T1792" s="42"/>
    </row>
    <row r="1793" ht="22.5" customHeight="1">
      <c r="B1793" s="42">
        <f t="shared" si="7"/>
        <v>1787</v>
      </c>
      <c r="C1793" s="31" t="s">
        <v>1916</v>
      </c>
      <c r="D1793" s="34" t="str">
        <f t="array" ref="D1793">IFNA(_xlfn.XLOOKUP(C1793,Table_Tarikan_Warkah[Nomor Sertipikat],Table_Tarikan_Warkah[Nomor Tiket]),"")</f>
        <v>K/7/100425/1</v>
      </c>
      <c r="E1793" s="36">
        <f t="array" ref="E1793">IFNA(_xlfn.XLOOKUP(D1793,Table_Tarikan_Warkah[Nomor Tiket],Table_Tarikan_Warkah[Tanggal diserahkan kepada Validator]),"")</f>
        <v>45771.63516</v>
      </c>
      <c r="F1793" s="36" t="str">
        <f t="array" ref="F1793">IFNA(_xlfn.XLOOKUP(D1793,Table_Tarikan_Warkah[Nomor Tiket],Table_Tarikan_Warkah[Nama Petugas Warkah]),"")</f>
        <v/>
      </c>
      <c r="G1793" s="39" t="str">
        <f t="array" ref="G1793">IFNA(_xlfn.XLOOKUP(D1793,Table_Tarikan_Warkah[Nomor Tiket],Table_Tarikan_Warkah[Jenis Permohonan]),"")</f>
        <v>BN JUAL BELI</v>
      </c>
      <c r="H1793" s="41" t="s">
        <v>11</v>
      </c>
      <c r="I1793" s="49" t="s">
        <v>23</v>
      </c>
      <c r="J1793" s="36">
        <f t="shared" si="20"/>
        <v>45768.68602</v>
      </c>
      <c r="K1793" s="49" t="s">
        <v>197</v>
      </c>
      <c r="L1793" s="49" t="s">
        <v>23</v>
      </c>
      <c r="M1793" s="36">
        <f t="shared" si="26"/>
        <v>45769.57302</v>
      </c>
      <c r="N1793" s="30" t="str">
        <f t="shared" si="27"/>
        <v>Selesai</v>
      </c>
      <c r="O1793" s="45">
        <f t="shared" si="23"/>
        <v>45769.57302</v>
      </c>
      <c r="P1793" s="47" t="b">
        <v>1</v>
      </c>
      <c r="Q1793" s="36">
        <f t="shared" si="24"/>
        <v>45769.5734</v>
      </c>
      <c r="R1793" s="47" t="b">
        <v>0</v>
      </c>
      <c r="S1793" s="42" t="str">
        <f t="shared" si="28"/>
        <v/>
      </c>
      <c r="T1793" s="42"/>
    </row>
    <row r="1794" ht="22.5" customHeight="1">
      <c r="B1794" s="42">
        <f t="shared" si="7"/>
        <v>1788</v>
      </c>
      <c r="C1794" s="31" t="s">
        <v>1917</v>
      </c>
      <c r="D1794" s="34" t="str">
        <f t="array" ref="D1794">IFNA(_xlfn.XLOOKUP(C1794,Table_Tarikan_Warkah[Nomor Sertipikat],Table_Tarikan_Warkah[Nomor Tiket]),"")</f>
        <v>K/7/110425/1</v>
      </c>
      <c r="E1794" s="36">
        <f t="array" ref="E1794">IFNA(_xlfn.XLOOKUP(D1794,Table_Tarikan_Warkah[Nomor Tiket],Table_Tarikan_Warkah[Tanggal diserahkan kepada Validator]),"")</f>
        <v>45771.63533</v>
      </c>
      <c r="F1794" s="36" t="str">
        <f t="array" ref="F1794">IFNA(_xlfn.XLOOKUP(D1794,Table_Tarikan_Warkah[Nomor Tiket],Table_Tarikan_Warkah[Nama Petugas Warkah]),"")</f>
        <v/>
      </c>
      <c r="G1794" s="39" t="str">
        <f t="array" ref="G1794">IFNA(_xlfn.XLOOKUP(D1794,Table_Tarikan_Warkah[Nomor Tiket],Table_Tarikan_Warkah[Jenis Permohonan]),"")</f>
        <v>BN JUAL BELI</v>
      </c>
      <c r="H1794" s="41" t="s">
        <v>11</v>
      </c>
      <c r="I1794" s="49" t="s">
        <v>23</v>
      </c>
      <c r="J1794" s="36">
        <f t="shared" si="20"/>
        <v>45768.68602</v>
      </c>
      <c r="K1794" s="49" t="s">
        <v>197</v>
      </c>
      <c r="L1794" s="49" t="s">
        <v>23</v>
      </c>
      <c r="M1794" s="36">
        <f t="shared" si="26"/>
        <v>45769.57302</v>
      </c>
      <c r="N1794" s="30" t="str">
        <f t="shared" si="27"/>
        <v>Selesai</v>
      </c>
      <c r="O1794" s="45">
        <f t="shared" si="23"/>
        <v>45769.57302</v>
      </c>
      <c r="P1794" s="47" t="b">
        <v>1</v>
      </c>
      <c r="Q1794" s="36">
        <f t="shared" si="24"/>
        <v>45769.57341</v>
      </c>
      <c r="R1794" s="47" t="b">
        <v>0</v>
      </c>
      <c r="S1794" s="42" t="str">
        <f t="shared" si="28"/>
        <v/>
      </c>
      <c r="T1794" s="42"/>
    </row>
    <row r="1795" ht="22.5" customHeight="1">
      <c r="B1795" s="42">
        <f t="shared" si="7"/>
        <v>1789</v>
      </c>
      <c r="C1795" s="31" t="s">
        <v>1918</v>
      </c>
      <c r="D1795" s="34" t="str">
        <f t="array" ref="D1795">IFNA(_xlfn.XLOOKUP(C1795,Table_Tarikan_Warkah[Nomor Sertipikat],Table_Tarikan_Warkah[Nomor Tiket]),"")</f>
        <v>K/13/110425/1</v>
      </c>
      <c r="E1795" s="36">
        <f t="array" ref="E1795">IFNA(_xlfn.XLOOKUP(D1795,Table_Tarikan_Warkah[Nomor Tiket],Table_Tarikan_Warkah[Tanggal diserahkan kepada Validator]),"")</f>
        <v>45771.63552</v>
      </c>
      <c r="F1795" s="36" t="str">
        <f t="array" ref="F1795">IFNA(_xlfn.XLOOKUP(D1795,Table_Tarikan_Warkah[Nomor Tiket],Table_Tarikan_Warkah[Nama Petugas Warkah]),"")</f>
        <v/>
      </c>
      <c r="G1795" s="39" t="str">
        <f t="array" ref="G1795">IFNA(_xlfn.XLOOKUP(D1795,Table_Tarikan_Warkah[Nomor Tiket],Table_Tarikan_Warkah[Jenis Permohonan]),"")</f>
        <v>BN JUAL BELI</v>
      </c>
      <c r="H1795" s="41" t="s">
        <v>11</v>
      </c>
      <c r="I1795" s="49" t="s">
        <v>23</v>
      </c>
      <c r="J1795" s="36">
        <f t="shared" si="20"/>
        <v>45768.68602</v>
      </c>
      <c r="K1795" s="49" t="s">
        <v>197</v>
      </c>
      <c r="L1795" s="49" t="s">
        <v>23</v>
      </c>
      <c r="M1795" s="36">
        <f t="shared" si="26"/>
        <v>45769.57302</v>
      </c>
      <c r="N1795" s="30" t="str">
        <f t="shared" si="27"/>
        <v>Selesai</v>
      </c>
      <c r="O1795" s="45">
        <f t="shared" si="23"/>
        <v>45769.57302</v>
      </c>
      <c r="P1795" s="47" t="b">
        <v>1</v>
      </c>
      <c r="Q1795" s="36">
        <f t="shared" si="24"/>
        <v>45769.57356</v>
      </c>
      <c r="R1795" s="47" t="b">
        <v>0</v>
      </c>
      <c r="S1795" s="42" t="str">
        <f t="shared" si="28"/>
        <v/>
      </c>
      <c r="T1795" s="42"/>
    </row>
    <row r="1796" ht="22.5" customHeight="1">
      <c r="B1796" s="42">
        <f t="shared" si="7"/>
        <v>1790</v>
      </c>
      <c r="C1796" s="31" t="s">
        <v>1919</v>
      </c>
      <c r="D1796" s="34" t="str">
        <f t="array" ref="D1796">IFNA(_xlfn.XLOOKUP(C1796,Table_Tarikan_Warkah[Nomor Sertipikat],Table_Tarikan_Warkah[Nomor Tiket]),"")</f>
        <v>K/9/270325/1</v>
      </c>
      <c r="E1796" s="36">
        <f t="array" ref="E1796">IFNA(_xlfn.XLOOKUP(D1796,Table_Tarikan_Warkah[Nomor Tiket],Table_Tarikan_Warkah[Tanggal diserahkan kepada Validator]),"")</f>
        <v>45771.63147</v>
      </c>
      <c r="F1796" s="36" t="str">
        <f t="array" ref="F1796">IFNA(_xlfn.XLOOKUP(D1796,Table_Tarikan_Warkah[Nomor Tiket],Table_Tarikan_Warkah[Nama Petugas Warkah]),"")</f>
        <v/>
      </c>
      <c r="G1796" s="39" t="str">
        <f t="array" ref="G1796">IFNA(_xlfn.XLOOKUP(D1796,Table_Tarikan_Warkah[Nomor Tiket],Table_Tarikan_Warkah[Jenis Permohonan]),"")</f>
        <v>BN Jual Beli</v>
      </c>
      <c r="H1796" s="41" t="s">
        <v>11</v>
      </c>
      <c r="I1796" s="49" t="s">
        <v>23</v>
      </c>
      <c r="J1796" s="36">
        <f t="shared" si="20"/>
        <v>45768.68602</v>
      </c>
      <c r="K1796" s="49" t="s">
        <v>197</v>
      </c>
      <c r="L1796" s="49" t="s">
        <v>23</v>
      </c>
      <c r="M1796" s="36">
        <f t="shared" si="26"/>
        <v>45769.57302</v>
      </c>
      <c r="N1796" s="30" t="str">
        <f t="shared" si="27"/>
        <v>Selesai</v>
      </c>
      <c r="O1796" s="45">
        <f t="shared" si="23"/>
        <v>45769.57302</v>
      </c>
      <c r="P1796" s="47" t="b">
        <v>1</v>
      </c>
      <c r="Q1796" s="36">
        <f t="shared" si="24"/>
        <v>45769.57357</v>
      </c>
      <c r="R1796" s="47" t="b">
        <v>0</v>
      </c>
      <c r="S1796" s="42" t="str">
        <f t="shared" si="28"/>
        <v/>
      </c>
      <c r="T1796" s="42"/>
    </row>
    <row r="1797" ht="22.5" customHeight="1">
      <c r="B1797" s="42">
        <f t="shared" si="7"/>
        <v>1791</v>
      </c>
      <c r="C1797" s="31" t="s">
        <v>1920</v>
      </c>
      <c r="D1797" s="34" t="str">
        <f t="array" ref="D1797">IFNA(_xlfn.XLOOKUP(C1797,Table_Tarikan_Warkah[Nomor Sertipikat],Table_Tarikan_Warkah[Nomor Tiket]),"")</f>
        <v>K/16/110425/1</v>
      </c>
      <c r="E1797" s="36" t="str">
        <f t="array" ref="E1797">IFNA(_xlfn.XLOOKUP(D1797,Table_Tarikan_Warkah[Nomor Tiket],Table_Tarikan_Warkah[Tanggal diserahkan kepada Validator]),"")</f>
        <v/>
      </c>
      <c r="F1797" s="36" t="str">
        <f t="array" ref="F1797">IFNA(_xlfn.XLOOKUP(D1797,Table_Tarikan_Warkah[Nomor Tiket],Table_Tarikan_Warkah[Nama Petugas Warkah]),"")</f>
        <v/>
      </c>
      <c r="G1797" s="39" t="str">
        <f t="array" ref="G1797">IFNA(_xlfn.XLOOKUP(D1797,Table_Tarikan_Warkah[Nomor Tiket],Table_Tarikan_Warkah[Jenis Permohonan]),"")</f>
        <v>Perubahan Hak</v>
      </c>
      <c r="H1797" s="41" t="s">
        <v>11</v>
      </c>
      <c r="I1797" s="49" t="s">
        <v>23</v>
      </c>
      <c r="J1797" s="36">
        <f t="shared" si="20"/>
        <v>45768.68602</v>
      </c>
      <c r="K1797" s="49" t="s">
        <v>197</v>
      </c>
      <c r="L1797" s="49" t="s">
        <v>23</v>
      </c>
      <c r="M1797" s="36">
        <f t="shared" si="26"/>
        <v>45769.57302</v>
      </c>
      <c r="N1797" s="30" t="str">
        <f t="shared" si="27"/>
        <v>Selesai</v>
      </c>
      <c r="O1797" s="45">
        <f t="shared" si="23"/>
        <v>45769.57302</v>
      </c>
      <c r="P1797" s="47" t="b">
        <v>1</v>
      </c>
      <c r="Q1797" s="36">
        <f t="shared" si="24"/>
        <v>45769.5736</v>
      </c>
      <c r="R1797" s="47" t="b">
        <v>0</v>
      </c>
      <c r="S1797" s="42" t="str">
        <f t="shared" si="28"/>
        <v/>
      </c>
      <c r="T1797" s="42"/>
    </row>
    <row r="1798" ht="22.5" customHeight="1">
      <c r="B1798" s="42">
        <f t="shared" si="7"/>
        <v>1792</v>
      </c>
      <c r="C1798" s="31" t="s">
        <v>1921</v>
      </c>
      <c r="D1798" s="34" t="str">
        <f t="array" ref="D1798">IFNA(_xlfn.XLOOKUP(C1798,Table_Tarikan_Warkah[Nomor Sertipikat],Table_Tarikan_Warkah[Nomor Tiket]),"")</f>
        <v>K/35/100425/3</v>
      </c>
      <c r="E1798" s="36">
        <f t="array" ref="E1798">IFNA(_xlfn.XLOOKUP(D1798,Table_Tarikan_Warkah[Nomor Tiket],Table_Tarikan_Warkah[Tanggal diserahkan kepada Validator]),"")</f>
        <v>45771.63324</v>
      </c>
      <c r="F1798" s="36" t="str">
        <f t="array" ref="F1798">IFNA(_xlfn.XLOOKUP(D1798,Table_Tarikan_Warkah[Nomor Tiket],Table_Tarikan_Warkah[Nama Petugas Warkah]),"")</f>
        <v/>
      </c>
      <c r="G1798" s="39" t="str">
        <f t="array" ref="G1798">IFNA(_xlfn.XLOOKUP(D1798,Table_Tarikan_Warkah[Nomor Tiket],Table_Tarikan_Warkah[Jenis Permohonan]),"")</f>
        <v>BN JUAL BELI</v>
      </c>
      <c r="H1798" s="41" t="s">
        <v>11</v>
      </c>
      <c r="I1798" s="49" t="s">
        <v>23</v>
      </c>
      <c r="J1798" s="36">
        <f t="shared" si="20"/>
        <v>45768.68602</v>
      </c>
      <c r="K1798" s="49" t="s">
        <v>197</v>
      </c>
      <c r="L1798" s="49" t="s">
        <v>23</v>
      </c>
      <c r="M1798" s="36">
        <f t="shared" si="26"/>
        <v>45769.57302</v>
      </c>
      <c r="N1798" s="30" t="str">
        <f t="shared" si="27"/>
        <v>Selesai</v>
      </c>
      <c r="O1798" s="45">
        <f t="shared" si="23"/>
        <v>45769.57302</v>
      </c>
      <c r="P1798" s="47" t="b">
        <v>1</v>
      </c>
      <c r="Q1798" s="36">
        <f t="shared" si="24"/>
        <v>45769.5736</v>
      </c>
      <c r="R1798" s="47" t="b">
        <v>0</v>
      </c>
      <c r="S1798" s="42" t="str">
        <f t="shared" si="28"/>
        <v/>
      </c>
      <c r="T1798" s="42"/>
    </row>
    <row r="1799" ht="22.5" customHeight="1">
      <c r="B1799" s="42">
        <f t="shared" si="7"/>
        <v>1793</v>
      </c>
      <c r="C1799" s="31" t="s">
        <v>1922</v>
      </c>
      <c r="D1799" s="34" t="str">
        <f t="array" ref="D1799">IFNA(_xlfn.XLOOKUP(C1799,Table_Tarikan_Warkah[Nomor Sertipikat],Table_Tarikan_Warkah[Nomor Tiket]),"")</f>
        <v>K/11/080425/1</v>
      </c>
      <c r="E1799" s="36">
        <f t="array" ref="E1799">IFNA(_xlfn.XLOOKUP(D1799,Table_Tarikan_Warkah[Nomor Tiket],Table_Tarikan_Warkah[Tanggal diserahkan kepada Validator]),"")</f>
        <v>45771.63348</v>
      </c>
      <c r="F1799" s="36" t="str">
        <f t="array" ref="F1799">IFNA(_xlfn.XLOOKUP(D1799,Table_Tarikan_Warkah[Nomor Tiket],Table_Tarikan_Warkah[Nama Petugas Warkah]),"")</f>
        <v/>
      </c>
      <c r="G1799" s="39" t="str">
        <f t="array" ref="G1799">IFNA(_xlfn.XLOOKUP(D1799,Table_Tarikan_Warkah[Nomor Tiket],Table_Tarikan_Warkah[Jenis Permohonan]),"")</f>
        <v>BN JUAL BELI</v>
      </c>
      <c r="H1799" s="41" t="s">
        <v>11</v>
      </c>
      <c r="I1799" s="49" t="s">
        <v>23</v>
      </c>
      <c r="J1799" s="36">
        <f t="shared" si="20"/>
        <v>45768.68602</v>
      </c>
      <c r="K1799" s="49" t="s">
        <v>197</v>
      </c>
      <c r="L1799" s="49" t="s">
        <v>23</v>
      </c>
      <c r="M1799" s="36">
        <f t="shared" si="26"/>
        <v>45769.57302</v>
      </c>
      <c r="N1799" s="30" t="str">
        <f t="shared" si="27"/>
        <v>Selesai</v>
      </c>
      <c r="O1799" s="45">
        <f t="shared" si="23"/>
        <v>45769.57302</v>
      </c>
      <c r="P1799" s="47" t="b">
        <v>1</v>
      </c>
      <c r="Q1799" s="36">
        <f t="shared" si="24"/>
        <v>45769.57364</v>
      </c>
      <c r="R1799" s="47" t="b">
        <v>0</v>
      </c>
      <c r="S1799" s="42" t="str">
        <f t="shared" si="28"/>
        <v/>
      </c>
      <c r="T1799" s="42"/>
    </row>
    <row r="1800" ht="22.5" customHeight="1">
      <c r="B1800" s="42">
        <f t="shared" si="7"/>
        <v>1794</v>
      </c>
      <c r="C1800" s="31" t="s">
        <v>1923</v>
      </c>
      <c r="D1800" s="34" t="str">
        <f t="array" ref="D1800">IFNA(_xlfn.XLOOKUP(C1800,Table_Tarikan_Warkah[Nomor Sertipikat],Table_Tarikan_Warkah[Nomor Tiket]),"")</f>
        <v>K/33/100425/1</v>
      </c>
      <c r="E1800" s="36">
        <f t="array" ref="E1800">IFNA(_xlfn.XLOOKUP(D1800,Table_Tarikan_Warkah[Nomor Tiket],Table_Tarikan_Warkah[Tanggal diserahkan kepada Validator]),"")</f>
        <v>45771.63315</v>
      </c>
      <c r="F1800" s="36" t="str">
        <f t="array" ref="F1800">IFNA(_xlfn.XLOOKUP(D1800,Table_Tarikan_Warkah[Nomor Tiket],Table_Tarikan_Warkah[Nama Petugas Warkah]),"")</f>
        <v/>
      </c>
      <c r="G1800" s="39" t="str">
        <f t="array" ref="G1800">IFNA(_xlfn.XLOOKUP(D1800,Table_Tarikan_Warkah[Nomor Tiket],Table_Tarikan_Warkah[Jenis Permohonan]),"")</f>
        <v>BN JUAL BELI</v>
      </c>
      <c r="H1800" s="41" t="s">
        <v>11</v>
      </c>
      <c r="I1800" s="49" t="s">
        <v>23</v>
      </c>
      <c r="J1800" s="36">
        <f t="shared" si="20"/>
        <v>45768.68602</v>
      </c>
      <c r="K1800" s="49" t="s">
        <v>197</v>
      </c>
      <c r="L1800" s="49" t="s">
        <v>23</v>
      </c>
      <c r="M1800" s="36">
        <f t="shared" si="26"/>
        <v>45769.57302</v>
      </c>
      <c r="N1800" s="30" t="str">
        <f t="shared" si="27"/>
        <v>Selesai</v>
      </c>
      <c r="O1800" s="45">
        <f t="shared" si="23"/>
        <v>45769.57302</v>
      </c>
      <c r="P1800" s="47" t="b">
        <v>1</v>
      </c>
      <c r="Q1800" s="36">
        <f t="shared" si="24"/>
        <v>45769.57366</v>
      </c>
      <c r="R1800" s="47" t="b">
        <v>0</v>
      </c>
      <c r="S1800" s="42" t="str">
        <f t="shared" si="28"/>
        <v/>
      </c>
      <c r="T1800" s="42"/>
    </row>
    <row r="1801" ht="22.5" customHeight="1">
      <c r="B1801" s="42">
        <f t="shared" si="7"/>
        <v>1795</v>
      </c>
      <c r="C1801" s="31" t="s">
        <v>1924</v>
      </c>
      <c r="D1801" s="34" t="str">
        <f t="array" ref="D1801">IFNA(_xlfn.XLOOKUP(C1801,Table_Tarikan_Warkah[Nomor Sertipikat],Table_Tarikan_Warkah[Nomor Tiket]),"")</f>
        <v>L/20/080425/1</v>
      </c>
      <c r="E1801" s="36">
        <f t="array" ref="E1801">IFNA(_xlfn.XLOOKUP(D1801,Table_Tarikan_Warkah[Nomor Tiket],Table_Tarikan_Warkah[Tanggal diserahkan kepada Validator]),"")</f>
        <v>45793.46629</v>
      </c>
      <c r="F1801" s="36" t="str">
        <f t="array" ref="F1801">IFNA(_xlfn.XLOOKUP(D1801,Table_Tarikan_Warkah[Nomor Tiket],Table_Tarikan_Warkah[Nama Petugas Warkah]),"")</f>
        <v>David</v>
      </c>
      <c r="G1801" s="39" t="str">
        <f t="array" ref="G1801">IFNA(_xlfn.XLOOKUP(D1801,Table_Tarikan_Warkah[Nomor Tiket],Table_Tarikan_Warkah[Jenis Permohonan]),"")</f>
        <v>ROYA</v>
      </c>
      <c r="H1801" s="41" t="s">
        <v>11</v>
      </c>
      <c r="I1801" s="49" t="s">
        <v>23</v>
      </c>
      <c r="J1801" s="36">
        <f t="shared" si="20"/>
        <v>45768.68602</v>
      </c>
      <c r="K1801" s="49" t="s">
        <v>197</v>
      </c>
      <c r="L1801" s="49" t="s">
        <v>23</v>
      </c>
      <c r="M1801" s="36">
        <f t="shared" si="26"/>
        <v>45769.57317</v>
      </c>
      <c r="N1801" s="30" t="str">
        <f t="shared" si="27"/>
        <v>Selesai</v>
      </c>
      <c r="O1801" s="45">
        <f t="shared" si="23"/>
        <v>45769.57317</v>
      </c>
      <c r="P1801" s="47" t="b">
        <v>1</v>
      </c>
      <c r="Q1801" s="36">
        <f t="shared" si="24"/>
        <v>45769.57372</v>
      </c>
      <c r="R1801" s="47" t="b">
        <v>0</v>
      </c>
      <c r="S1801" s="42" t="str">
        <f t="shared" si="28"/>
        <v/>
      </c>
      <c r="T1801" s="42"/>
    </row>
    <row r="1802" ht="22.5" customHeight="1">
      <c r="B1802" s="42">
        <f t="shared" si="7"/>
        <v>1796</v>
      </c>
      <c r="C1802" s="31" t="s">
        <v>1925</v>
      </c>
      <c r="D1802" s="34" t="str">
        <f t="array" ref="D1802">IFNA(_xlfn.XLOOKUP(C1802,Table_Tarikan_Warkah[Nomor Sertipikat],Table_Tarikan_Warkah[Nomor Tiket]),"")</f>
        <v>L/22/080425/1</v>
      </c>
      <c r="E1802" s="36">
        <f t="array" ref="E1802">IFNA(_xlfn.XLOOKUP(D1802,Table_Tarikan_Warkah[Nomor Tiket],Table_Tarikan_Warkah[Tanggal diserahkan kepada Validator]),"")</f>
        <v>45783.49178</v>
      </c>
      <c r="F1802" s="36" t="str">
        <f t="array" ref="F1802">IFNA(_xlfn.XLOOKUP(D1802,Table_Tarikan_Warkah[Nomor Tiket],Table_Tarikan_Warkah[Nama Petugas Warkah]),"")</f>
        <v/>
      </c>
      <c r="G1802" s="39" t="str">
        <f t="array" ref="G1802">IFNA(_xlfn.XLOOKUP(D1802,Table_Tarikan_Warkah[Nomor Tiket],Table_Tarikan_Warkah[Jenis Permohonan]),"")</f>
        <v>ROYA</v>
      </c>
      <c r="H1802" s="41" t="s">
        <v>11</v>
      </c>
      <c r="I1802" s="49" t="s">
        <v>23</v>
      </c>
      <c r="J1802" s="36">
        <f t="shared" si="20"/>
        <v>45768.68602</v>
      </c>
      <c r="K1802" s="49" t="s">
        <v>197</v>
      </c>
      <c r="L1802" s="49" t="s">
        <v>23</v>
      </c>
      <c r="M1802" s="36">
        <f t="shared" si="26"/>
        <v>45769.57317</v>
      </c>
      <c r="N1802" s="30" t="str">
        <f t="shared" si="27"/>
        <v>Selesai</v>
      </c>
      <c r="O1802" s="45">
        <f t="shared" si="23"/>
        <v>45769.57317</v>
      </c>
      <c r="P1802" s="47" t="b">
        <v>1</v>
      </c>
      <c r="Q1802" s="36">
        <f t="shared" si="24"/>
        <v>45769.57373</v>
      </c>
      <c r="R1802" s="47" t="b">
        <v>0</v>
      </c>
      <c r="S1802" s="42" t="str">
        <f t="shared" si="28"/>
        <v/>
      </c>
      <c r="T1802" s="42"/>
    </row>
    <row r="1803" ht="22.5" customHeight="1">
      <c r="B1803" s="42">
        <f t="shared" si="7"/>
        <v>1797</v>
      </c>
      <c r="C1803" s="31" t="s">
        <v>1926</v>
      </c>
      <c r="D1803" s="34" t="str">
        <f t="array" ref="D1803">IFNA(_xlfn.XLOOKUP(C1803,Table_Tarikan_Warkah[Nomor Sertipikat],Table_Tarikan_Warkah[Nomor Tiket]),"")</f>
        <v>L/17/080425/1</v>
      </c>
      <c r="E1803" s="36">
        <f t="array" ref="E1803">IFNA(_xlfn.XLOOKUP(D1803,Table_Tarikan_Warkah[Nomor Tiket],Table_Tarikan_Warkah[Tanggal diserahkan kepada Validator]),"")</f>
        <v>45783.48086</v>
      </c>
      <c r="F1803" s="36" t="str">
        <f t="array" ref="F1803">IFNA(_xlfn.XLOOKUP(D1803,Table_Tarikan_Warkah[Nomor Tiket],Table_Tarikan_Warkah[Nama Petugas Warkah]),"")</f>
        <v/>
      </c>
      <c r="G1803" s="39" t="str">
        <f t="array" ref="G1803">IFNA(_xlfn.XLOOKUP(D1803,Table_Tarikan_Warkah[Nomor Tiket],Table_Tarikan_Warkah[Jenis Permohonan]),"")</f>
        <v>ROYA</v>
      </c>
      <c r="H1803" s="41" t="s">
        <v>11</v>
      </c>
      <c r="I1803" s="49" t="s">
        <v>23</v>
      </c>
      <c r="J1803" s="36">
        <f t="shared" si="20"/>
        <v>45768.68602</v>
      </c>
      <c r="K1803" s="49" t="s">
        <v>197</v>
      </c>
      <c r="L1803" s="49" t="s">
        <v>23</v>
      </c>
      <c r="M1803" s="36">
        <f t="shared" si="26"/>
        <v>45769.57317</v>
      </c>
      <c r="N1803" s="30" t="str">
        <f t="shared" si="27"/>
        <v>Selesai</v>
      </c>
      <c r="O1803" s="45">
        <f t="shared" si="23"/>
        <v>45769.57317</v>
      </c>
      <c r="P1803" s="47" t="b">
        <v>1</v>
      </c>
      <c r="Q1803" s="36">
        <f t="shared" si="24"/>
        <v>45769.57375</v>
      </c>
      <c r="R1803" s="47" t="b">
        <v>0</v>
      </c>
      <c r="S1803" s="42" t="str">
        <f t="shared" si="28"/>
        <v/>
      </c>
      <c r="T1803" s="42"/>
    </row>
    <row r="1804" ht="22.5" customHeight="1">
      <c r="B1804" s="42">
        <f t="shared" si="7"/>
        <v>1798</v>
      </c>
      <c r="C1804" s="31" t="s">
        <v>1927</v>
      </c>
      <c r="D1804" s="34" t="str">
        <f t="array" ref="D1804">IFNA(_xlfn.XLOOKUP(C1804,Table_Tarikan_Warkah[Nomor Sertipikat],Table_Tarikan_Warkah[Nomor Tiket]),"")</f>
        <v>K/31/210325/1</v>
      </c>
      <c r="E1804" s="36">
        <f t="array" ref="E1804">IFNA(_xlfn.XLOOKUP(D1804,Table_Tarikan_Warkah[Nomor Tiket],Table_Tarikan_Warkah[Tanggal diserahkan kepada Validator]),"")</f>
        <v>45771.63374</v>
      </c>
      <c r="F1804" s="36" t="str">
        <f t="array" ref="F1804">IFNA(_xlfn.XLOOKUP(D1804,Table_Tarikan_Warkah[Nomor Tiket],Table_Tarikan_Warkah[Nama Petugas Warkah]),"")</f>
        <v/>
      </c>
      <c r="G1804" s="39" t="str">
        <f t="array" ref="G1804">IFNA(_xlfn.XLOOKUP(D1804,Table_Tarikan_Warkah[Nomor Tiket],Table_Tarikan_Warkah[Jenis Permohonan]),"")</f>
        <v>HIBAH</v>
      </c>
      <c r="H1804" s="41" t="s">
        <v>11</v>
      </c>
      <c r="I1804" s="49" t="s">
        <v>23</v>
      </c>
      <c r="J1804" s="36">
        <f t="shared" si="20"/>
        <v>45768.68602</v>
      </c>
      <c r="K1804" s="49" t="s">
        <v>197</v>
      </c>
      <c r="L1804" s="49" t="s">
        <v>23</v>
      </c>
      <c r="M1804" s="36">
        <f t="shared" si="26"/>
        <v>45769.57317</v>
      </c>
      <c r="N1804" s="30" t="str">
        <f t="shared" si="27"/>
        <v>Selesai</v>
      </c>
      <c r="O1804" s="45">
        <f t="shared" si="23"/>
        <v>45769.57317</v>
      </c>
      <c r="P1804" s="47" t="b">
        <v>1</v>
      </c>
      <c r="Q1804" s="36">
        <f t="shared" si="24"/>
        <v>45769.57376</v>
      </c>
      <c r="R1804" s="47" t="b">
        <v>0</v>
      </c>
      <c r="S1804" s="42" t="str">
        <f t="shared" si="28"/>
        <v/>
      </c>
      <c r="T1804" s="42"/>
    </row>
    <row r="1805" ht="22.5" customHeight="1">
      <c r="B1805" s="42">
        <f t="shared" si="7"/>
        <v>1799</v>
      </c>
      <c r="C1805" s="31" t="s">
        <v>1928</v>
      </c>
      <c r="D1805" s="34" t="str">
        <f t="array" ref="D1805">IFNA(_xlfn.XLOOKUP(C1805,Table_Tarikan_Warkah[Nomor Sertipikat],Table_Tarikan_Warkah[Nomor Tiket]),"")</f>
        <v>L/21/100425/1</v>
      </c>
      <c r="E1805" s="36">
        <f t="array" ref="E1805">IFNA(_xlfn.XLOOKUP(D1805,Table_Tarikan_Warkah[Nomor Tiket],Table_Tarikan_Warkah[Tanggal diserahkan kepada Validator]),"")</f>
        <v>45792.47652</v>
      </c>
      <c r="F1805" s="36" t="str">
        <f t="array" ref="F1805">IFNA(_xlfn.XLOOKUP(D1805,Table_Tarikan_Warkah[Nomor Tiket],Table_Tarikan_Warkah[Nama Petugas Warkah]),"")</f>
        <v>Berry</v>
      </c>
      <c r="G1805" s="39" t="str">
        <f t="array" ref="G1805">IFNA(_xlfn.XLOOKUP(D1805,Table_Tarikan_Warkah[Nomor Tiket],Table_Tarikan_Warkah[Jenis Permohonan]),"")</f>
        <v>ROYA</v>
      </c>
      <c r="H1805" s="41" t="s">
        <v>11</v>
      </c>
      <c r="I1805" s="49" t="s">
        <v>23</v>
      </c>
      <c r="J1805" s="36">
        <f t="shared" si="20"/>
        <v>45768.68602</v>
      </c>
      <c r="K1805" s="49" t="s">
        <v>197</v>
      </c>
      <c r="L1805" s="49" t="s">
        <v>23</v>
      </c>
      <c r="M1805" s="36">
        <f t="shared" si="26"/>
        <v>45769.57317</v>
      </c>
      <c r="N1805" s="30" t="str">
        <f t="shared" si="27"/>
        <v>Selesai</v>
      </c>
      <c r="O1805" s="45">
        <f t="shared" si="23"/>
        <v>45769.57317</v>
      </c>
      <c r="P1805" s="47" t="b">
        <v>1</v>
      </c>
      <c r="Q1805" s="36">
        <f t="shared" si="24"/>
        <v>45769.57377</v>
      </c>
      <c r="R1805" s="47" t="b">
        <v>0</v>
      </c>
      <c r="S1805" s="42" t="str">
        <f t="shared" si="28"/>
        <v/>
      </c>
      <c r="T1805" s="42"/>
    </row>
    <row r="1806" ht="22.5" customHeight="1">
      <c r="B1806" s="42">
        <f t="shared" si="7"/>
        <v>1800</v>
      </c>
      <c r="C1806" s="31" t="s">
        <v>1929</v>
      </c>
      <c r="D1806" s="34" t="str">
        <f t="array" ref="D1806">IFNA(_xlfn.XLOOKUP(C1806,Table_Tarikan_Warkah[Nomor Sertipikat],Table_Tarikan_Warkah[Nomor Tiket]),"")</f>
        <v>K/36/190325/1</v>
      </c>
      <c r="E1806" s="36">
        <f t="array" ref="E1806">IFNA(_xlfn.XLOOKUP(D1806,Table_Tarikan_Warkah[Nomor Tiket],Table_Tarikan_Warkah[Tanggal diserahkan kepada Validator]),"")</f>
        <v>45771.63465</v>
      </c>
      <c r="F1806" s="36" t="str">
        <f t="array" ref="F1806">IFNA(_xlfn.XLOOKUP(D1806,Table_Tarikan_Warkah[Nomor Tiket],Table_Tarikan_Warkah[Nama Petugas Warkah]),"")</f>
        <v/>
      </c>
      <c r="G1806" s="39" t="str">
        <f t="array" ref="G1806">IFNA(_xlfn.XLOOKUP(D1806,Table_Tarikan_Warkah[Nomor Tiket],Table_Tarikan_Warkah[Jenis Permohonan]),"")</f>
        <v>BN JUAL BELI</v>
      </c>
      <c r="H1806" s="41" t="s">
        <v>20</v>
      </c>
      <c r="I1806" s="49" t="s">
        <v>23</v>
      </c>
      <c r="J1806" s="36">
        <f t="shared" si="20"/>
        <v>45769.35535</v>
      </c>
      <c r="K1806" s="49" t="s">
        <v>197</v>
      </c>
      <c r="L1806" s="49" t="s">
        <v>23</v>
      </c>
      <c r="M1806" s="36">
        <f t="shared" si="26"/>
        <v>45769.57317</v>
      </c>
      <c r="N1806" s="30" t="str">
        <f t="shared" si="27"/>
        <v>Selesai</v>
      </c>
      <c r="O1806" s="45">
        <f t="shared" si="23"/>
        <v>45769.57317</v>
      </c>
      <c r="P1806" s="47" t="b">
        <v>1</v>
      </c>
      <c r="Q1806" s="36">
        <f t="shared" si="24"/>
        <v>45769.57378</v>
      </c>
      <c r="R1806" s="47" t="b">
        <v>0</v>
      </c>
      <c r="S1806" s="42" t="str">
        <f t="shared" si="28"/>
        <v/>
      </c>
      <c r="T1806" s="42"/>
    </row>
    <row r="1807" ht="22.5" customHeight="1">
      <c r="B1807" s="42">
        <f t="shared" si="7"/>
        <v>1801</v>
      </c>
      <c r="C1807" s="31" t="s">
        <v>1930</v>
      </c>
      <c r="D1807" s="34" t="str">
        <f t="array" ref="D1807">IFNA(_xlfn.XLOOKUP(C1807,Table_Tarikan_Warkah[Nomor Sertipikat],Table_Tarikan_Warkah[Nomor Tiket]),"")</f>
        <v>K/5/100425/2</v>
      </c>
      <c r="E1807" s="36" t="str">
        <f t="array" ref="E1807">IFNA(_xlfn.XLOOKUP(D1807,Table_Tarikan_Warkah[Nomor Tiket],Table_Tarikan_Warkah[Tanggal diserahkan kepada Validator]),"")</f>
        <v/>
      </c>
      <c r="F1807" s="36" t="str">
        <f t="array" ref="F1807">IFNA(_xlfn.XLOOKUP(D1807,Table_Tarikan_Warkah[Nomor Tiket],Table_Tarikan_Warkah[Nama Petugas Warkah]),"")</f>
        <v/>
      </c>
      <c r="G1807" s="39" t="str">
        <f t="array" ref="G1807">IFNA(_xlfn.XLOOKUP(D1807,Table_Tarikan_Warkah[Nomor Tiket],Table_Tarikan_Warkah[Jenis Permohonan]),"")</f>
        <v>BN WARIS</v>
      </c>
      <c r="H1807" s="41" t="s">
        <v>20</v>
      </c>
      <c r="I1807" s="49" t="s">
        <v>23</v>
      </c>
      <c r="J1807" s="36">
        <f t="shared" si="20"/>
        <v>45769.35549</v>
      </c>
      <c r="K1807" s="49" t="s">
        <v>197</v>
      </c>
      <c r="L1807" s="49" t="s">
        <v>23</v>
      </c>
      <c r="M1807" s="36">
        <f t="shared" si="26"/>
        <v>45769.57317</v>
      </c>
      <c r="N1807" s="30" t="str">
        <f t="shared" si="27"/>
        <v>Selesai</v>
      </c>
      <c r="O1807" s="45">
        <f t="shared" si="23"/>
        <v>45769.57317</v>
      </c>
      <c r="P1807" s="47" t="b">
        <v>1</v>
      </c>
      <c r="Q1807" s="36">
        <f t="shared" si="24"/>
        <v>45769.5738</v>
      </c>
      <c r="R1807" s="47" t="b">
        <v>0</v>
      </c>
      <c r="S1807" s="42" t="str">
        <f t="shared" si="28"/>
        <v/>
      </c>
      <c r="T1807" s="42"/>
    </row>
    <row r="1808" ht="22.5" customHeight="1">
      <c r="B1808" s="42">
        <f t="shared" si="7"/>
        <v>1802</v>
      </c>
      <c r="C1808" s="31" t="s">
        <v>1931</v>
      </c>
      <c r="D1808" s="34" t="str">
        <f t="array" ref="D1808">IFNA(_xlfn.XLOOKUP(C1808,Table_Tarikan_Warkah[Nomor Sertipikat],Table_Tarikan_Warkah[Nomor Tiket]),"")</f>
        <v>K/13/260325/2</v>
      </c>
      <c r="E1808" s="36">
        <f t="array" ref="E1808">IFNA(_xlfn.XLOOKUP(D1808,Table_Tarikan_Warkah[Nomor Tiket],Table_Tarikan_Warkah[Tanggal diserahkan kepada Validator]),"")</f>
        <v>45771.63573</v>
      </c>
      <c r="F1808" s="36" t="str">
        <f t="array" ref="F1808">IFNA(_xlfn.XLOOKUP(D1808,Table_Tarikan_Warkah[Nomor Tiket],Table_Tarikan_Warkah[Nama Petugas Warkah]),"")</f>
        <v/>
      </c>
      <c r="G1808" s="39" t="str">
        <f t="array" ref="G1808">IFNA(_xlfn.XLOOKUP(D1808,Table_Tarikan_Warkah[Nomor Tiket],Table_Tarikan_Warkah[Jenis Permohonan]),"")</f>
        <v>BN JUAL BELI</v>
      </c>
      <c r="H1808" s="41" t="s">
        <v>20</v>
      </c>
      <c r="I1808" s="49" t="s">
        <v>23</v>
      </c>
      <c r="J1808" s="36">
        <f t="shared" si="20"/>
        <v>45769.35559</v>
      </c>
      <c r="K1808" s="49" t="s">
        <v>197</v>
      </c>
      <c r="L1808" s="49" t="s">
        <v>23</v>
      </c>
      <c r="M1808" s="36">
        <f t="shared" si="26"/>
        <v>45769.57317</v>
      </c>
      <c r="N1808" s="30" t="str">
        <f t="shared" si="27"/>
        <v>Selesai</v>
      </c>
      <c r="O1808" s="45">
        <f t="shared" si="23"/>
        <v>45769.57317</v>
      </c>
      <c r="P1808" s="47" t="b">
        <v>1</v>
      </c>
      <c r="Q1808" s="36">
        <f t="shared" si="24"/>
        <v>45769.57382</v>
      </c>
      <c r="R1808" s="47" t="b">
        <v>0</v>
      </c>
      <c r="S1808" s="42" t="str">
        <f t="shared" si="28"/>
        <v/>
      </c>
      <c r="T1808" s="42"/>
    </row>
    <row r="1809" ht="22.5" customHeight="1">
      <c r="B1809" s="42">
        <f t="shared" si="7"/>
        <v>1803</v>
      </c>
      <c r="C1809" s="31" t="s">
        <v>1932</v>
      </c>
      <c r="D1809" s="34" t="str">
        <f t="array" ref="D1809">IFNA(_xlfn.XLOOKUP(C1809,Table_Tarikan_Warkah[Nomor Sertipikat],Table_Tarikan_Warkah[Nomor Tiket]),"")</f>
        <v>K/24/090425/1</v>
      </c>
      <c r="E1809" s="36">
        <f t="array" ref="E1809">IFNA(_xlfn.XLOOKUP(D1809,Table_Tarikan_Warkah[Nomor Tiket],Table_Tarikan_Warkah[Tanggal diserahkan kepada Validator]),"")</f>
        <v>45783.49316</v>
      </c>
      <c r="F1809" s="36" t="str">
        <f t="array" ref="F1809">IFNA(_xlfn.XLOOKUP(D1809,Table_Tarikan_Warkah[Nomor Tiket],Table_Tarikan_Warkah[Nama Petugas Warkah]),"")</f>
        <v/>
      </c>
      <c r="G1809" s="39" t="str">
        <f t="array" ref="G1809">IFNA(_xlfn.XLOOKUP(D1809,Table_Tarikan_Warkah[Nomor Tiket],Table_Tarikan_Warkah[Jenis Permohonan]),"")</f>
        <v>Roya</v>
      </c>
      <c r="H1809" s="41" t="s">
        <v>11</v>
      </c>
      <c r="I1809" s="49" t="s">
        <v>23</v>
      </c>
      <c r="J1809" s="36">
        <f t="shared" si="20"/>
        <v>45769.51071</v>
      </c>
      <c r="K1809" s="49" t="s">
        <v>197</v>
      </c>
      <c r="L1809" s="49" t="s">
        <v>23</v>
      </c>
      <c r="M1809" s="36">
        <f t="shared" si="26"/>
        <v>45769.57323</v>
      </c>
      <c r="N1809" s="30" t="str">
        <f t="shared" si="27"/>
        <v>Selesai</v>
      </c>
      <c r="O1809" s="45">
        <f t="shared" si="23"/>
        <v>45769.57323</v>
      </c>
      <c r="P1809" s="47" t="b">
        <v>1</v>
      </c>
      <c r="Q1809" s="36">
        <f t="shared" si="24"/>
        <v>45769.57383</v>
      </c>
      <c r="R1809" s="47" t="b">
        <v>0</v>
      </c>
      <c r="S1809" s="42" t="str">
        <f t="shared" si="28"/>
        <v/>
      </c>
      <c r="T1809" s="42"/>
    </row>
    <row r="1810" ht="22.5" customHeight="1">
      <c r="B1810" s="42">
        <f t="shared" si="7"/>
        <v>1804</v>
      </c>
      <c r="C1810" s="31" t="s">
        <v>1933</v>
      </c>
      <c r="D1810" s="34" t="str">
        <f t="array" ref="D1810">IFNA(_xlfn.XLOOKUP(C1810,Table_Tarikan_Warkah[Nomor Sertipikat],Table_Tarikan_Warkah[Nomor Tiket]),"")</f>
        <v>K/4/110425/1</v>
      </c>
      <c r="E1810" s="36">
        <f t="array" ref="E1810">IFNA(_xlfn.XLOOKUP(D1810,Table_Tarikan_Warkah[Nomor Tiket],Table_Tarikan_Warkah[Tanggal diserahkan kepada Validator]),"")</f>
        <v>45791.45457</v>
      </c>
      <c r="F1810" s="36" t="str">
        <f t="array" ref="F1810">IFNA(_xlfn.XLOOKUP(D1810,Table_Tarikan_Warkah[Nomor Tiket],Table_Tarikan_Warkah[Nama Petugas Warkah]),"")</f>
        <v>David</v>
      </c>
      <c r="G1810" s="39" t="str">
        <f t="array" ref="G1810">IFNA(_xlfn.XLOOKUP(D1810,Table_Tarikan_Warkah[Nomor Tiket],Table_Tarikan_Warkah[Jenis Permohonan]),"")</f>
        <v>Roya</v>
      </c>
      <c r="H1810" s="41" t="s">
        <v>11</v>
      </c>
      <c r="I1810" s="49" t="s">
        <v>23</v>
      </c>
      <c r="J1810" s="36">
        <f t="shared" si="20"/>
        <v>45769.51075</v>
      </c>
      <c r="K1810" s="49" t="s">
        <v>197</v>
      </c>
      <c r="L1810" s="49" t="s">
        <v>23</v>
      </c>
      <c r="M1810" s="36">
        <f t="shared" si="26"/>
        <v>45769.57323</v>
      </c>
      <c r="N1810" s="30" t="str">
        <f t="shared" si="27"/>
        <v>Selesai</v>
      </c>
      <c r="O1810" s="45">
        <f t="shared" si="23"/>
        <v>45769.57323</v>
      </c>
      <c r="P1810" s="47" t="b">
        <v>1</v>
      </c>
      <c r="Q1810" s="36">
        <f t="shared" si="24"/>
        <v>45769.57414</v>
      </c>
      <c r="R1810" s="47" t="b">
        <v>0</v>
      </c>
      <c r="S1810" s="42" t="str">
        <f t="shared" si="28"/>
        <v/>
      </c>
      <c r="T1810" s="42"/>
    </row>
    <row r="1811" ht="22.5" customHeight="1">
      <c r="B1811" s="42">
        <f t="shared" si="7"/>
        <v>1805</v>
      </c>
      <c r="C1811" s="31" t="s">
        <v>1934</v>
      </c>
      <c r="D1811" s="34" t="str">
        <f t="array" ref="D1811">IFNA(_xlfn.XLOOKUP(C1811,Table_Tarikan_Warkah[Nomor Sertipikat],Table_Tarikan_Warkah[Nomor Tiket]),"")</f>
        <v>K/27/090425/1</v>
      </c>
      <c r="E1811" s="36">
        <f t="array" ref="E1811">IFNA(_xlfn.XLOOKUP(D1811,Table_Tarikan_Warkah[Nomor Tiket],Table_Tarikan_Warkah[Tanggal diserahkan kepada Validator]),"")</f>
        <v>45783.49142</v>
      </c>
      <c r="F1811" s="36" t="str">
        <f t="array" ref="F1811">IFNA(_xlfn.XLOOKUP(D1811,Table_Tarikan_Warkah[Nomor Tiket],Table_Tarikan_Warkah[Nama Petugas Warkah]),"")</f>
        <v/>
      </c>
      <c r="G1811" s="39" t="str">
        <f t="array" ref="G1811">IFNA(_xlfn.XLOOKUP(D1811,Table_Tarikan_Warkah[Nomor Tiket],Table_Tarikan_Warkah[Jenis Permohonan]),"")</f>
        <v>Roya</v>
      </c>
      <c r="H1811" s="41" t="s">
        <v>11</v>
      </c>
      <c r="I1811" s="49" t="s">
        <v>23</v>
      </c>
      <c r="J1811" s="36">
        <f t="shared" si="20"/>
        <v>45769.51075</v>
      </c>
      <c r="K1811" s="49" t="s">
        <v>197</v>
      </c>
      <c r="L1811" s="49" t="s">
        <v>23</v>
      </c>
      <c r="M1811" s="36">
        <f t="shared" si="26"/>
        <v>45769.57323</v>
      </c>
      <c r="N1811" s="30" t="str">
        <f t="shared" si="27"/>
        <v>Selesai</v>
      </c>
      <c r="O1811" s="45">
        <f t="shared" si="23"/>
        <v>45769.57323</v>
      </c>
      <c r="P1811" s="47" t="b">
        <v>1</v>
      </c>
      <c r="Q1811" s="36">
        <f t="shared" si="24"/>
        <v>45769.57422</v>
      </c>
      <c r="R1811" s="47" t="b">
        <v>0</v>
      </c>
      <c r="S1811" s="42" t="str">
        <f t="shared" si="28"/>
        <v/>
      </c>
      <c r="T1811" s="42"/>
    </row>
    <row r="1812" ht="22.5" customHeight="1">
      <c r="B1812" s="42">
        <f t="shared" si="7"/>
        <v>1806</v>
      </c>
      <c r="C1812" s="31" t="s">
        <v>1935</v>
      </c>
      <c r="D1812" s="34" t="str">
        <f t="array" ref="D1812">IFNA(_xlfn.XLOOKUP(C1812,Table_Tarikan_Warkah[Nomor Sertipikat],Table_Tarikan_Warkah[Nomor Tiket]),"")</f>
        <v>K/10/090425/1</v>
      </c>
      <c r="E1812" s="36">
        <f t="array" ref="E1812">IFNA(_xlfn.XLOOKUP(D1812,Table_Tarikan_Warkah[Nomor Tiket],Table_Tarikan_Warkah[Tanggal diserahkan kepada Validator]),"")</f>
        <v>45783.49214</v>
      </c>
      <c r="F1812" s="36" t="str">
        <f t="array" ref="F1812">IFNA(_xlfn.XLOOKUP(D1812,Table_Tarikan_Warkah[Nomor Tiket],Table_Tarikan_Warkah[Nama Petugas Warkah]),"")</f>
        <v/>
      </c>
      <c r="G1812" s="39" t="str">
        <f t="array" ref="G1812">IFNA(_xlfn.XLOOKUP(D1812,Table_Tarikan_Warkah[Nomor Tiket],Table_Tarikan_Warkah[Jenis Permohonan]),"")</f>
        <v>ROYA</v>
      </c>
      <c r="H1812" s="41" t="s">
        <v>11</v>
      </c>
      <c r="I1812" s="49" t="s">
        <v>23</v>
      </c>
      <c r="J1812" s="36">
        <f t="shared" si="20"/>
        <v>45769.51075</v>
      </c>
      <c r="K1812" s="49" t="s">
        <v>197</v>
      </c>
      <c r="L1812" s="49" t="s">
        <v>23</v>
      </c>
      <c r="M1812" s="36">
        <f t="shared" si="26"/>
        <v>45769.57323</v>
      </c>
      <c r="N1812" s="30" t="str">
        <f t="shared" si="27"/>
        <v>Selesai</v>
      </c>
      <c r="O1812" s="45">
        <f t="shared" si="23"/>
        <v>45769.57323</v>
      </c>
      <c r="P1812" s="47" t="b">
        <v>1</v>
      </c>
      <c r="Q1812" s="36">
        <f t="shared" si="24"/>
        <v>45769.57422</v>
      </c>
      <c r="R1812" s="47" t="b">
        <v>0</v>
      </c>
      <c r="S1812" s="42" t="str">
        <f t="shared" si="28"/>
        <v/>
      </c>
      <c r="T1812" s="42"/>
    </row>
    <row r="1813" ht="22.5" customHeight="1">
      <c r="B1813" s="42">
        <f t="shared" si="7"/>
        <v>1807</v>
      </c>
      <c r="C1813" s="31" t="s">
        <v>1936</v>
      </c>
      <c r="D1813" s="34" t="str">
        <f t="array" ref="D1813">IFNA(_xlfn.XLOOKUP(C1813,Table_Tarikan_Warkah[Nomor Sertipikat],Table_Tarikan_Warkah[Nomor Tiket]),"")</f>
        <v>K/13/180325/1</v>
      </c>
      <c r="E1813" s="36" t="str">
        <f t="array" ref="E1813">IFNA(_xlfn.XLOOKUP(D1813,Table_Tarikan_Warkah[Nomor Tiket],Table_Tarikan_Warkah[Tanggal diserahkan kepada Validator]),"")</f>
        <v/>
      </c>
      <c r="F1813" s="36" t="str">
        <f t="array" ref="F1813">IFNA(_xlfn.XLOOKUP(D1813,Table_Tarikan_Warkah[Nomor Tiket],Table_Tarikan_Warkah[Nama Petugas Warkah]),"")</f>
        <v/>
      </c>
      <c r="G1813" s="39" t="str">
        <f t="array" ref="G1813">IFNA(_xlfn.XLOOKUP(D1813,Table_Tarikan_Warkah[Nomor Tiket],Table_Tarikan_Warkah[Jenis Permohonan]),"")</f>
        <v>PERUBAHAN HAK</v>
      </c>
      <c r="H1813" s="41" t="s">
        <v>11</v>
      </c>
      <c r="I1813" s="49" t="s">
        <v>23</v>
      </c>
      <c r="J1813" s="36">
        <f t="shared" si="20"/>
        <v>45769.51075</v>
      </c>
      <c r="K1813" s="49" t="s">
        <v>197</v>
      </c>
      <c r="L1813" s="49" t="s">
        <v>23</v>
      </c>
      <c r="M1813" s="36">
        <f t="shared" si="26"/>
        <v>45769.57323</v>
      </c>
      <c r="N1813" s="30" t="str">
        <f t="shared" si="27"/>
        <v>Selesai</v>
      </c>
      <c r="O1813" s="45">
        <f t="shared" si="23"/>
        <v>45769.57323</v>
      </c>
      <c r="P1813" s="47" t="b">
        <v>1</v>
      </c>
      <c r="Q1813" s="36">
        <f t="shared" si="24"/>
        <v>45769.57422</v>
      </c>
      <c r="R1813" s="47" t="b">
        <v>0</v>
      </c>
      <c r="S1813" s="42" t="str">
        <f t="shared" si="28"/>
        <v/>
      </c>
      <c r="T1813" s="42"/>
    </row>
    <row r="1814" ht="22.5" customHeight="1">
      <c r="B1814" s="42">
        <f t="shared" si="7"/>
        <v>1808</v>
      </c>
      <c r="C1814" s="31" t="s">
        <v>1937</v>
      </c>
      <c r="D1814" s="34" t="str">
        <f t="array" ref="D1814">IFNA(_xlfn.XLOOKUP(C1814,Table_Tarikan_Warkah[Nomor Sertipikat],Table_Tarikan_Warkah[Nomor Tiket]),"")</f>
        <v>K/7/090425/1</v>
      </c>
      <c r="E1814" s="36" t="str">
        <f t="array" ref="E1814">IFNA(_xlfn.XLOOKUP(D1814,Table_Tarikan_Warkah[Nomor Tiket],Table_Tarikan_Warkah[Tanggal diserahkan kepada Validator]),"")</f>
        <v/>
      </c>
      <c r="F1814" s="36" t="str">
        <f t="array" ref="F1814">IFNA(_xlfn.XLOOKUP(D1814,Table_Tarikan_Warkah[Nomor Tiket],Table_Tarikan_Warkah[Nama Petugas Warkah]),"")</f>
        <v/>
      </c>
      <c r="G1814" s="39" t="str">
        <f t="array" ref="G1814">IFNA(_xlfn.XLOOKUP(D1814,Table_Tarikan_Warkah[Nomor Tiket],Table_Tarikan_Warkah[Jenis Permohonan]),"")</f>
        <v>KEWARISAN</v>
      </c>
      <c r="H1814" s="41" t="s">
        <v>11</v>
      </c>
      <c r="I1814" s="49" t="s">
        <v>23</v>
      </c>
      <c r="J1814" s="36">
        <f t="shared" si="20"/>
        <v>45769.51075</v>
      </c>
      <c r="K1814" s="49" t="s">
        <v>197</v>
      </c>
      <c r="L1814" s="49" t="s">
        <v>23</v>
      </c>
      <c r="M1814" s="36">
        <f t="shared" si="26"/>
        <v>45769.57323</v>
      </c>
      <c r="N1814" s="30" t="str">
        <f t="shared" si="27"/>
        <v>Selesai</v>
      </c>
      <c r="O1814" s="45">
        <f t="shared" si="23"/>
        <v>45769.57323</v>
      </c>
      <c r="P1814" s="47" t="b">
        <v>1</v>
      </c>
      <c r="Q1814" s="36">
        <f t="shared" si="24"/>
        <v>45769.57422</v>
      </c>
      <c r="R1814" s="47" t="b">
        <v>0</v>
      </c>
      <c r="S1814" s="42" t="str">
        <f t="shared" si="28"/>
        <v/>
      </c>
      <c r="T1814" s="42"/>
    </row>
    <row r="1815" ht="22.5" customHeight="1">
      <c r="B1815" s="42">
        <f t="shared" si="7"/>
        <v>1809</v>
      </c>
      <c r="C1815" s="31" t="s">
        <v>1938</v>
      </c>
      <c r="D1815" s="34" t="str">
        <f t="array" ref="D1815">IFNA(_xlfn.XLOOKUP(C1815,Table_Tarikan_Warkah[Nomor Sertipikat],Table_Tarikan_Warkah[Nomor Tiket]),"")</f>
        <v>L/12/080425/1</v>
      </c>
      <c r="E1815" s="36" t="str">
        <f t="array" ref="E1815">IFNA(_xlfn.XLOOKUP(D1815,Table_Tarikan_Warkah[Nomor Tiket],Table_Tarikan_Warkah[Tanggal diserahkan kepada Validator]),"")</f>
        <v/>
      </c>
      <c r="F1815" s="36" t="str">
        <f t="array" ref="F1815">IFNA(_xlfn.XLOOKUP(D1815,Table_Tarikan_Warkah[Nomor Tiket],Table_Tarikan_Warkah[Nama Petugas Warkah]),"")</f>
        <v/>
      </c>
      <c r="G1815" s="39" t="str">
        <f t="array" ref="G1815">IFNA(_xlfn.XLOOKUP(D1815,Table_Tarikan_Warkah[Nomor Tiket],Table_Tarikan_Warkah[Jenis Permohonan]),"")</f>
        <v>ROYA LELANG</v>
      </c>
      <c r="H1815" s="41" t="s">
        <v>11</v>
      </c>
      <c r="I1815" s="49" t="s">
        <v>23</v>
      </c>
      <c r="J1815" s="36">
        <f t="shared" si="20"/>
        <v>45769.51075</v>
      </c>
      <c r="K1815" s="49" t="s">
        <v>197</v>
      </c>
      <c r="L1815" s="49" t="s">
        <v>23</v>
      </c>
      <c r="M1815" s="36">
        <f t="shared" si="26"/>
        <v>45769.57323</v>
      </c>
      <c r="N1815" s="30" t="str">
        <f t="shared" si="27"/>
        <v>Selesai</v>
      </c>
      <c r="O1815" s="45">
        <f t="shared" si="23"/>
        <v>45769.57323</v>
      </c>
      <c r="P1815" s="47" t="b">
        <v>1</v>
      </c>
      <c r="Q1815" s="36">
        <f t="shared" si="24"/>
        <v>45769.57438</v>
      </c>
      <c r="R1815" s="47" t="b">
        <v>0</v>
      </c>
      <c r="S1815" s="42" t="str">
        <f t="shared" si="28"/>
        <v/>
      </c>
      <c r="T1815" s="42"/>
    </row>
    <row r="1816" ht="22.5" customHeight="1">
      <c r="B1816" s="42">
        <f t="shared" si="7"/>
        <v>1810</v>
      </c>
      <c r="C1816" s="31" t="s">
        <v>1939</v>
      </c>
      <c r="D1816" s="34" t="str">
        <f t="array" ref="D1816">IFNA(_xlfn.XLOOKUP(C1816,Table_Tarikan_Warkah[Nomor Sertipikat],Table_Tarikan_Warkah[Nomor Tiket]),"")</f>
        <v>K/22/110425/1</v>
      </c>
      <c r="E1816" s="36">
        <f t="array" ref="E1816">IFNA(_xlfn.XLOOKUP(D1816,Table_Tarikan_Warkah[Nomor Tiket],Table_Tarikan_Warkah[Tanggal diserahkan kepada Validator]),"")</f>
        <v>45771.63277</v>
      </c>
      <c r="F1816" s="36" t="str">
        <f t="array" ref="F1816">IFNA(_xlfn.XLOOKUP(D1816,Table_Tarikan_Warkah[Nomor Tiket],Table_Tarikan_Warkah[Nama Petugas Warkah]),"")</f>
        <v/>
      </c>
      <c r="G1816" s="39" t="str">
        <f t="array" ref="G1816">IFNA(_xlfn.XLOOKUP(D1816,Table_Tarikan_Warkah[Nomor Tiket],Table_Tarikan_Warkah[Jenis Permohonan]),"")</f>
        <v>BN JUAL BELI</v>
      </c>
      <c r="H1816" s="41" t="s">
        <v>11</v>
      </c>
      <c r="I1816" s="49" t="s">
        <v>23</v>
      </c>
      <c r="J1816" s="36">
        <f t="shared" si="20"/>
        <v>45769.51075</v>
      </c>
      <c r="K1816" s="49" t="s">
        <v>197</v>
      </c>
      <c r="L1816" s="49" t="s">
        <v>23</v>
      </c>
      <c r="M1816" s="36">
        <f t="shared" si="26"/>
        <v>45769.57323</v>
      </c>
      <c r="N1816" s="30" t="str">
        <f t="shared" si="27"/>
        <v>Selesai</v>
      </c>
      <c r="O1816" s="45">
        <f t="shared" si="23"/>
        <v>45769.57323</v>
      </c>
      <c r="P1816" s="47" t="b">
        <v>1</v>
      </c>
      <c r="Q1816" s="36">
        <f t="shared" si="24"/>
        <v>45769.57446</v>
      </c>
      <c r="R1816" s="47" t="b">
        <v>0</v>
      </c>
      <c r="S1816" s="42" t="str">
        <f t="shared" si="28"/>
        <v/>
      </c>
      <c r="T1816" s="42"/>
    </row>
    <row r="1817" ht="22.5" customHeight="1">
      <c r="B1817" s="42">
        <f t="shared" si="7"/>
        <v>1811</v>
      </c>
      <c r="C1817" s="31" t="s">
        <v>1940</v>
      </c>
      <c r="D1817" s="34" t="str">
        <f t="array" ref="D1817">IFNA(_xlfn.XLOOKUP(C1817,Table_Tarikan_Warkah[Nomor Sertipikat],Table_Tarikan_Warkah[Nomor Tiket]),"")</f>
        <v>K/32/100425/1</v>
      </c>
      <c r="E1817" s="36" t="str">
        <f t="array" ref="E1817">IFNA(_xlfn.XLOOKUP(D1817,Table_Tarikan_Warkah[Nomor Tiket],Table_Tarikan_Warkah[Tanggal diserahkan kepada Validator]),"")</f>
        <v/>
      </c>
      <c r="F1817" s="36" t="str">
        <f t="array" ref="F1817">IFNA(_xlfn.XLOOKUP(D1817,Table_Tarikan_Warkah[Nomor Tiket],Table_Tarikan_Warkah[Nama Petugas Warkah]),"")</f>
        <v/>
      </c>
      <c r="G1817" s="39" t="str">
        <f t="array" ref="G1817">IFNA(_xlfn.XLOOKUP(D1817,Table_Tarikan_Warkah[Nomor Tiket],Table_Tarikan_Warkah[Jenis Permohonan]),"")</f>
        <v>BN Waris</v>
      </c>
      <c r="H1817" s="41" t="s">
        <v>11</v>
      </c>
      <c r="I1817" s="49" t="s">
        <v>23</v>
      </c>
      <c r="J1817" s="36">
        <f t="shared" si="20"/>
        <v>45769.51075</v>
      </c>
      <c r="K1817" s="49" t="s">
        <v>197</v>
      </c>
      <c r="L1817" s="49" t="s">
        <v>23</v>
      </c>
      <c r="M1817" s="36">
        <f t="shared" si="26"/>
        <v>45769.57329</v>
      </c>
      <c r="N1817" s="30" t="str">
        <f t="shared" si="27"/>
        <v>Selesai</v>
      </c>
      <c r="O1817" s="45">
        <f t="shared" si="23"/>
        <v>45769.57329</v>
      </c>
      <c r="P1817" s="47" t="b">
        <v>1</v>
      </c>
      <c r="Q1817" s="36">
        <f t="shared" si="24"/>
        <v>45769.57446</v>
      </c>
      <c r="R1817" s="47" t="b">
        <v>0</v>
      </c>
      <c r="S1817" s="42" t="str">
        <f t="shared" si="28"/>
        <v/>
      </c>
      <c r="T1817" s="42"/>
    </row>
    <row r="1818" ht="22.5" customHeight="1">
      <c r="B1818" s="42">
        <f t="shared" si="7"/>
        <v>1812</v>
      </c>
      <c r="C1818" s="31" t="s">
        <v>1941</v>
      </c>
      <c r="D1818" s="34" t="str">
        <f t="array" ref="D1818">IFNA(_xlfn.XLOOKUP(C1818,Table_Tarikan_Warkah[Nomor Sertipikat],Table_Tarikan_Warkah[Nomor Tiket]),"")</f>
        <v>K/24/210325/5</v>
      </c>
      <c r="E1818" s="36">
        <f t="array" ref="E1818">IFNA(_xlfn.XLOOKUP(D1818,Table_Tarikan_Warkah[Nomor Tiket],Table_Tarikan_Warkah[Tanggal diserahkan kepada Validator]),"")</f>
        <v>45771.6318</v>
      </c>
      <c r="F1818" s="36" t="str">
        <f t="array" ref="F1818">IFNA(_xlfn.XLOOKUP(D1818,Table_Tarikan_Warkah[Nomor Tiket],Table_Tarikan_Warkah[Nama Petugas Warkah]),"")</f>
        <v/>
      </c>
      <c r="G1818" s="39" t="str">
        <f t="array" ref="G1818">IFNA(_xlfn.XLOOKUP(D1818,Table_Tarikan_Warkah[Nomor Tiket],Table_Tarikan_Warkah[Jenis Permohonan]),"")</f>
        <v>BN Jual Beli</v>
      </c>
      <c r="H1818" s="41" t="s">
        <v>11</v>
      </c>
      <c r="I1818" s="49" t="s">
        <v>23</v>
      </c>
      <c r="J1818" s="36">
        <f t="shared" si="20"/>
        <v>45769.51075</v>
      </c>
      <c r="K1818" s="49" t="s">
        <v>197</v>
      </c>
      <c r="L1818" s="49" t="s">
        <v>23</v>
      </c>
      <c r="M1818" s="36">
        <f t="shared" si="26"/>
        <v>45769.57329</v>
      </c>
      <c r="N1818" s="30" t="str">
        <f t="shared" si="27"/>
        <v>Selesai</v>
      </c>
      <c r="O1818" s="45">
        <f t="shared" si="23"/>
        <v>45769.57329</v>
      </c>
      <c r="P1818" s="47" t="b">
        <v>1</v>
      </c>
      <c r="Q1818" s="36">
        <f t="shared" si="24"/>
        <v>45769.57446</v>
      </c>
      <c r="R1818" s="47" t="b">
        <v>0</v>
      </c>
      <c r="S1818" s="42" t="str">
        <f t="shared" si="28"/>
        <v/>
      </c>
      <c r="T1818" s="42"/>
    </row>
    <row r="1819" ht="22.5" customHeight="1">
      <c r="B1819" s="42">
        <f t="shared" si="7"/>
        <v>1813</v>
      </c>
      <c r="C1819" s="31" t="s">
        <v>1942</v>
      </c>
      <c r="D1819" s="34" t="str">
        <f t="array" ref="D1819">IFNA(_xlfn.XLOOKUP(C1819,Table_Tarikan_Warkah[Nomor Sertipikat],Table_Tarikan_Warkah[Nomor Tiket]),"")</f>
        <v>K/25/100425/1</v>
      </c>
      <c r="E1819" s="36">
        <f t="array" ref="E1819">IFNA(_xlfn.XLOOKUP(D1819,Table_Tarikan_Warkah[Nomor Tiket],Table_Tarikan_Warkah[Tanggal diserahkan kepada Validator]),"")</f>
        <v>45771.63258</v>
      </c>
      <c r="F1819" s="36" t="str">
        <f t="array" ref="F1819">IFNA(_xlfn.XLOOKUP(D1819,Table_Tarikan_Warkah[Nomor Tiket],Table_Tarikan_Warkah[Nama Petugas Warkah]),"")</f>
        <v/>
      </c>
      <c r="G1819" s="39" t="str">
        <f t="array" ref="G1819">IFNA(_xlfn.XLOOKUP(D1819,Table_Tarikan_Warkah[Nomor Tiket],Table_Tarikan_Warkah[Jenis Permohonan]),"")</f>
        <v>BN Jual Beli</v>
      </c>
      <c r="H1819" s="41" t="s">
        <v>11</v>
      </c>
      <c r="I1819" s="49" t="s">
        <v>23</v>
      </c>
      <c r="J1819" s="36">
        <f t="shared" si="20"/>
        <v>45769.51075</v>
      </c>
      <c r="K1819" s="49" t="s">
        <v>197</v>
      </c>
      <c r="L1819" s="49" t="s">
        <v>23</v>
      </c>
      <c r="M1819" s="36">
        <f t="shared" si="26"/>
        <v>45769.57329</v>
      </c>
      <c r="N1819" s="30" t="str">
        <f t="shared" si="27"/>
        <v>Selesai</v>
      </c>
      <c r="O1819" s="45">
        <f t="shared" si="23"/>
        <v>45769.57329</v>
      </c>
      <c r="P1819" s="47" t="b">
        <v>1</v>
      </c>
      <c r="Q1819" s="36">
        <f t="shared" si="24"/>
        <v>45769.57446</v>
      </c>
      <c r="R1819" s="47" t="b">
        <v>0</v>
      </c>
      <c r="S1819" s="42" t="str">
        <f t="shared" si="28"/>
        <v/>
      </c>
      <c r="T1819" s="42"/>
    </row>
    <row r="1820" ht="22.5" customHeight="1">
      <c r="B1820" s="42">
        <f t="shared" si="7"/>
        <v>1814</v>
      </c>
      <c r="C1820" s="31" t="s">
        <v>1943</v>
      </c>
      <c r="D1820" s="34" t="str">
        <f t="array" ref="D1820">IFNA(_xlfn.XLOOKUP(C1820,Table_Tarikan_Warkah[Nomor Sertipikat],Table_Tarikan_Warkah[Nomor Tiket]),"")</f>
        <v>L/16/090425/1</v>
      </c>
      <c r="E1820" s="36">
        <f t="array" ref="E1820">IFNA(_xlfn.XLOOKUP(D1820,Table_Tarikan_Warkah[Nomor Tiket],Table_Tarikan_Warkah[Tanggal diserahkan kepada Validator]),"")</f>
        <v>45783.49192</v>
      </c>
      <c r="F1820" s="36" t="str">
        <f t="array" ref="F1820">IFNA(_xlfn.XLOOKUP(D1820,Table_Tarikan_Warkah[Nomor Tiket],Table_Tarikan_Warkah[Nama Petugas Warkah]),"")</f>
        <v/>
      </c>
      <c r="G1820" s="39" t="str">
        <f t="array" ref="G1820">IFNA(_xlfn.XLOOKUP(D1820,Table_Tarikan_Warkah[Nomor Tiket],Table_Tarikan_Warkah[Jenis Permohonan]),"")</f>
        <v>ROYA</v>
      </c>
      <c r="H1820" s="41" t="s">
        <v>11</v>
      </c>
      <c r="I1820" s="49" t="s">
        <v>23</v>
      </c>
      <c r="J1820" s="36">
        <f t="shared" si="20"/>
        <v>45769.51075</v>
      </c>
      <c r="K1820" s="49" t="s">
        <v>197</v>
      </c>
      <c r="L1820" s="49" t="s">
        <v>23</v>
      </c>
      <c r="M1820" s="36">
        <f t="shared" si="26"/>
        <v>45769.57329</v>
      </c>
      <c r="N1820" s="30" t="str">
        <f t="shared" si="27"/>
        <v>Selesai</v>
      </c>
      <c r="O1820" s="45">
        <f t="shared" si="23"/>
        <v>45769.57329</v>
      </c>
      <c r="P1820" s="47" t="b">
        <v>1</v>
      </c>
      <c r="Q1820" s="36">
        <f t="shared" si="24"/>
        <v>45769.57454</v>
      </c>
      <c r="R1820" s="47" t="b">
        <v>0</v>
      </c>
      <c r="S1820" s="42" t="str">
        <f t="shared" si="28"/>
        <v/>
      </c>
      <c r="T1820" s="42"/>
    </row>
    <row r="1821" ht="22.5" customHeight="1">
      <c r="B1821" s="42">
        <f t="shared" si="7"/>
        <v>1815</v>
      </c>
      <c r="C1821" s="31" t="s">
        <v>1944</v>
      </c>
      <c r="D1821" s="34" t="str">
        <f t="array" ref="D1821">IFNA(_xlfn.XLOOKUP(C1821,Table_Tarikan_Warkah[Nomor Sertipikat],Table_Tarikan_Warkah[Nomor Tiket]),"")</f>
        <v>K/12/100425/2</v>
      </c>
      <c r="E1821" s="36">
        <f t="array" ref="E1821">IFNA(_xlfn.XLOOKUP(D1821,Table_Tarikan_Warkah[Nomor Tiket],Table_Tarikan_Warkah[Tanggal diserahkan kepada Validator]),"")</f>
        <v>45771.63295</v>
      </c>
      <c r="F1821" s="36" t="str">
        <f t="array" ref="F1821">IFNA(_xlfn.XLOOKUP(D1821,Table_Tarikan_Warkah[Nomor Tiket],Table_Tarikan_Warkah[Nama Petugas Warkah]),"")</f>
        <v/>
      </c>
      <c r="G1821" s="39" t="str">
        <f t="array" ref="G1821">IFNA(_xlfn.XLOOKUP(D1821,Table_Tarikan_Warkah[Nomor Tiket],Table_Tarikan_Warkah[Jenis Permohonan]),"")</f>
        <v>BN JUAL BELI</v>
      </c>
      <c r="H1821" s="41" t="s">
        <v>11</v>
      </c>
      <c r="I1821" s="49" t="s">
        <v>23</v>
      </c>
      <c r="J1821" s="36">
        <f t="shared" si="20"/>
        <v>45769.51075</v>
      </c>
      <c r="K1821" s="49" t="s">
        <v>197</v>
      </c>
      <c r="L1821" s="49" t="s">
        <v>23</v>
      </c>
      <c r="M1821" s="36">
        <f t="shared" si="26"/>
        <v>45769.57336</v>
      </c>
      <c r="N1821" s="30" t="str">
        <f t="shared" si="27"/>
        <v>Selesai</v>
      </c>
      <c r="O1821" s="45">
        <f t="shared" si="23"/>
        <v>45769.57336</v>
      </c>
      <c r="P1821" s="47" t="b">
        <v>1</v>
      </c>
      <c r="Q1821" s="36">
        <f t="shared" si="24"/>
        <v>45769.57462</v>
      </c>
      <c r="R1821" s="47" t="b">
        <v>0</v>
      </c>
      <c r="S1821" s="42" t="str">
        <f t="shared" si="28"/>
        <v/>
      </c>
      <c r="T1821" s="42"/>
    </row>
    <row r="1822" ht="22.5" customHeight="1">
      <c r="B1822" s="42">
        <f t="shared" si="7"/>
        <v>1816</v>
      </c>
      <c r="C1822" s="31" t="s">
        <v>1945</v>
      </c>
      <c r="D1822" s="34" t="str">
        <f t="array" ref="D1822">IFNA(_xlfn.XLOOKUP(C1822,Table_Tarikan_Warkah[Nomor Sertipikat],Table_Tarikan_Warkah[Nomor Tiket]),"")</f>
        <v>K/22/100425/1</v>
      </c>
      <c r="E1822" s="36">
        <f t="array" ref="E1822">IFNA(_xlfn.XLOOKUP(D1822,Table_Tarikan_Warkah[Nomor Tiket],Table_Tarikan_Warkah[Tanggal diserahkan kepada Validator]),"")</f>
        <v>45771.63388</v>
      </c>
      <c r="F1822" s="36" t="str">
        <f t="array" ref="F1822">IFNA(_xlfn.XLOOKUP(D1822,Table_Tarikan_Warkah[Nomor Tiket],Table_Tarikan_Warkah[Nama Petugas Warkah]),"")</f>
        <v/>
      </c>
      <c r="G1822" s="39" t="str">
        <f t="array" ref="G1822">IFNA(_xlfn.XLOOKUP(D1822,Table_Tarikan_Warkah[Nomor Tiket],Table_Tarikan_Warkah[Jenis Permohonan]),"")</f>
        <v>BN JUAL BELI</v>
      </c>
      <c r="H1822" s="41" t="s">
        <v>11</v>
      </c>
      <c r="I1822" s="49" t="s">
        <v>23</v>
      </c>
      <c r="J1822" s="36">
        <f t="shared" si="20"/>
        <v>45769.51075</v>
      </c>
      <c r="K1822" s="49" t="s">
        <v>197</v>
      </c>
      <c r="L1822" s="49" t="s">
        <v>23</v>
      </c>
      <c r="M1822" s="36">
        <f t="shared" si="26"/>
        <v>45769.57336</v>
      </c>
      <c r="N1822" s="30" t="str">
        <f t="shared" si="27"/>
        <v>Selesai</v>
      </c>
      <c r="O1822" s="45">
        <f t="shared" si="23"/>
        <v>45769.57336</v>
      </c>
      <c r="P1822" s="47" t="b">
        <v>1</v>
      </c>
      <c r="Q1822" s="36">
        <f t="shared" si="24"/>
        <v>45769.57462</v>
      </c>
      <c r="R1822" s="47" t="b">
        <v>0</v>
      </c>
      <c r="S1822" s="42" t="str">
        <f t="shared" si="28"/>
        <v/>
      </c>
      <c r="T1822" s="42"/>
    </row>
    <row r="1823" ht="22.5" customHeight="1">
      <c r="B1823" s="42">
        <f t="shared" si="7"/>
        <v>1817</v>
      </c>
      <c r="C1823" s="31" t="s">
        <v>1946</v>
      </c>
      <c r="D1823" s="34" t="str">
        <f t="array" ref="D1823">IFNA(_xlfn.XLOOKUP(C1823,Table_Tarikan_Warkah[Nomor Sertipikat],Table_Tarikan_Warkah[Nomor Tiket]),"")</f>
        <v>K/33/030225/1</v>
      </c>
      <c r="E1823" s="36">
        <f t="array" ref="E1823">IFNA(_xlfn.XLOOKUP(D1823,Table_Tarikan_Warkah[Nomor Tiket],Table_Tarikan_Warkah[Tanggal diserahkan kepada Validator]),"")</f>
        <v>45771.39399</v>
      </c>
      <c r="F1823" s="36" t="str">
        <f t="array" ref="F1823">IFNA(_xlfn.XLOOKUP(D1823,Table_Tarikan_Warkah[Nomor Tiket],Table_Tarikan_Warkah[Nama Petugas Warkah]),"")</f>
        <v/>
      </c>
      <c r="G1823" s="39" t="str">
        <f t="array" ref="G1823">IFNA(_xlfn.XLOOKUP(D1823,Table_Tarikan_Warkah[Nomor Tiket],Table_Tarikan_Warkah[Jenis Permohonan]),"")</f>
        <v>Roya Waris</v>
      </c>
      <c r="H1823" s="41" t="s">
        <v>20</v>
      </c>
      <c r="I1823" s="49" t="s">
        <v>23</v>
      </c>
      <c r="J1823" s="36">
        <f t="shared" si="20"/>
        <v>45769.56313</v>
      </c>
      <c r="K1823" s="49" t="s">
        <v>26</v>
      </c>
      <c r="L1823" s="49" t="s">
        <v>23</v>
      </c>
      <c r="M1823" s="36">
        <f t="shared" si="26"/>
        <v>45769.56323</v>
      </c>
      <c r="N1823" s="30" t="str">
        <f t="shared" si="27"/>
        <v>Selesai</v>
      </c>
      <c r="O1823" s="45">
        <f t="shared" si="23"/>
        <v>45769.56323</v>
      </c>
      <c r="P1823" s="47" t="b">
        <v>1</v>
      </c>
      <c r="Q1823" s="36">
        <f t="shared" si="24"/>
        <v>45769.56333</v>
      </c>
      <c r="R1823" s="47" t="b">
        <v>0</v>
      </c>
      <c r="S1823" s="42" t="str">
        <f t="shared" si="28"/>
        <v/>
      </c>
      <c r="T1823" s="42"/>
    </row>
    <row r="1824" ht="22.5" customHeight="1">
      <c r="B1824" s="42">
        <f t="shared" si="7"/>
        <v>1818</v>
      </c>
      <c r="C1824" s="31" t="s">
        <v>1947</v>
      </c>
      <c r="D1824" s="34" t="str">
        <f t="array" ref="D1824">IFNA(_xlfn.XLOOKUP(C1824,Table_Tarikan_Warkah[Nomor Sertipikat],Table_Tarikan_Warkah[Nomor Tiket]),"")</f>
        <v>L/12/200325/1</v>
      </c>
      <c r="E1824" s="36">
        <f t="array" ref="E1824">IFNA(_xlfn.XLOOKUP(D1824,Table_Tarikan_Warkah[Nomor Tiket],Table_Tarikan_Warkah[Tanggal diserahkan kepada Validator]),"")</f>
        <v>45771.39546</v>
      </c>
      <c r="F1824" s="36" t="str">
        <f t="array" ref="F1824">IFNA(_xlfn.XLOOKUP(D1824,Table_Tarikan_Warkah[Nomor Tiket],Table_Tarikan_Warkah[Nama Petugas Warkah]),"")</f>
        <v/>
      </c>
      <c r="G1824" s="39" t="str">
        <f t="array" ref="G1824">IFNA(_xlfn.XLOOKUP(D1824,Table_Tarikan_Warkah[Nomor Tiket],Table_Tarikan_Warkah[Jenis Permohonan]),"")</f>
        <v>ROYA</v>
      </c>
      <c r="H1824" s="41" t="s">
        <v>20</v>
      </c>
      <c r="I1824" s="49" t="s">
        <v>23</v>
      </c>
      <c r="J1824" s="36">
        <f t="shared" si="20"/>
        <v>45769.56317</v>
      </c>
      <c r="K1824" s="49" t="s">
        <v>26</v>
      </c>
      <c r="L1824" s="49" t="s">
        <v>23</v>
      </c>
      <c r="M1824" s="36">
        <f t="shared" si="26"/>
        <v>45769.56333</v>
      </c>
      <c r="N1824" s="30" t="str">
        <f t="shared" si="27"/>
        <v>Selesai</v>
      </c>
      <c r="O1824" s="45">
        <f t="shared" si="23"/>
        <v>45769.56333</v>
      </c>
      <c r="P1824" s="47" t="b">
        <v>1</v>
      </c>
      <c r="Q1824" s="36">
        <f t="shared" si="24"/>
        <v>45769.56333</v>
      </c>
      <c r="R1824" s="47" t="b">
        <v>0</v>
      </c>
      <c r="S1824" s="42" t="str">
        <f t="shared" si="28"/>
        <v/>
      </c>
      <c r="T1824" s="42"/>
    </row>
    <row r="1825" ht="22.5" customHeight="1">
      <c r="B1825" s="42">
        <f t="shared" si="7"/>
        <v>1819</v>
      </c>
      <c r="C1825" s="31" t="s">
        <v>1948</v>
      </c>
      <c r="D1825" s="34" t="str">
        <f t="array" ref="D1825">IFNA(_xlfn.XLOOKUP(C1825,Table_Tarikan_Warkah[Nomor Sertipikat],Table_Tarikan_Warkah[Nomor Tiket]),"")</f>
        <v>K/4/170325/1</v>
      </c>
      <c r="E1825" s="36">
        <f t="array" ref="E1825">IFNA(_xlfn.XLOOKUP(D1825,Table_Tarikan_Warkah[Nomor Tiket],Table_Tarikan_Warkah[Tanggal diserahkan kepada Validator]),"")</f>
        <v>45771.63504</v>
      </c>
      <c r="F1825" s="36" t="str">
        <f t="array" ref="F1825">IFNA(_xlfn.XLOOKUP(D1825,Table_Tarikan_Warkah[Nomor Tiket],Table_Tarikan_Warkah[Nama Petugas Warkah]),"")</f>
        <v/>
      </c>
      <c r="G1825" s="39" t="str">
        <f t="array" ref="G1825">IFNA(_xlfn.XLOOKUP(D1825,Table_Tarikan_Warkah[Nomor Tiket],Table_Tarikan_Warkah[Jenis Permohonan]),"")</f>
        <v>BN JUAL BELI</v>
      </c>
      <c r="H1825" s="41" t="s">
        <v>20</v>
      </c>
      <c r="I1825" s="49" t="s">
        <v>23</v>
      </c>
      <c r="J1825" s="36">
        <f t="shared" si="20"/>
        <v>45770.3907</v>
      </c>
      <c r="K1825" s="49" t="s">
        <v>197</v>
      </c>
      <c r="L1825" s="49" t="s">
        <v>23</v>
      </c>
      <c r="M1825" s="36">
        <f t="shared" si="26"/>
        <v>45770.50912</v>
      </c>
      <c r="N1825" s="30" t="str">
        <f t="shared" si="27"/>
        <v>Selesai</v>
      </c>
      <c r="O1825" s="45">
        <f t="shared" si="23"/>
        <v>45770.50912</v>
      </c>
      <c r="P1825" s="47" t="b">
        <v>1</v>
      </c>
      <c r="Q1825" s="36">
        <f t="shared" si="24"/>
        <v>45770.50914</v>
      </c>
      <c r="R1825" s="47" t="b">
        <v>0</v>
      </c>
      <c r="S1825" s="42" t="str">
        <f t="shared" si="28"/>
        <v/>
      </c>
      <c r="T1825" s="42"/>
    </row>
    <row r="1826" ht="22.5" customHeight="1">
      <c r="B1826" s="42">
        <f t="shared" si="7"/>
        <v>1820</v>
      </c>
      <c r="C1826" s="31" t="s">
        <v>1949</v>
      </c>
      <c r="D1826" s="34" t="str">
        <f t="array" ref="D1826">IFNA(_xlfn.XLOOKUP(C1826,Table_Tarikan_Warkah[Nomor Sertipikat],Table_Tarikan_Warkah[Nomor Tiket]),"")</f>
        <v>K/15/250325/1</v>
      </c>
      <c r="E1826" s="36">
        <f t="array" ref="E1826">IFNA(_xlfn.XLOOKUP(D1826,Table_Tarikan_Warkah[Nomor Tiket],Table_Tarikan_Warkah[Tanggal diserahkan kepada Validator]),"")</f>
        <v>45771.63437</v>
      </c>
      <c r="F1826" s="36" t="str">
        <f t="array" ref="F1826">IFNA(_xlfn.XLOOKUP(D1826,Table_Tarikan_Warkah[Nomor Tiket],Table_Tarikan_Warkah[Nama Petugas Warkah]),"")</f>
        <v/>
      </c>
      <c r="G1826" s="39" t="str">
        <f t="array" ref="G1826">IFNA(_xlfn.XLOOKUP(D1826,Table_Tarikan_Warkah[Nomor Tiket],Table_Tarikan_Warkah[Jenis Permohonan]),"")</f>
        <v>BN WARIS</v>
      </c>
      <c r="H1826" s="41" t="s">
        <v>20</v>
      </c>
      <c r="I1826" s="49" t="s">
        <v>23</v>
      </c>
      <c r="J1826" s="36">
        <f t="shared" si="20"/>
        <v>45770.39079</v>
      </c>
      <c r="K1826" s="49" t="s">
        <v>197</v>
      </c>
      <c r="L1826" s="49" t="s">
        <v>23</v>
      </c>
      <c r="M1826" s="36">
        <f t="shared" si="26"/>
        <v>45770.50912</v>
      </c>
      <c r="N1826" s="30" t="str">
        <f t="shared" si="27"/>
        <v>Selesai</v>
      </c>
      <c r="O1826" s="45">
        <f t="shared" si="23"/>
        <v>45770.50912</v>
      </c>
      <c r="P1826" s="47" t="b">
        <v>1</v>
      </c>
      <c r="Q1826" s="36">
        <f t="shared" si="24"/>
        <v>45770.50915</v>
      </c>
      <c r="R1826" s="47" t="b">
        <v>0</v>
      </c>
      <c r="S1826" s="42" t="str">
        <f t="shared" si="28"/>
        <v/>
      </c>
      <c r="T1826" s="42"/>
    </row>
    <row r="1827" ht="22.5" customHeight="1">
      <c r="B1827" s="42">
        <f t="shared" si="7"/>
        <v>1821</v>
      </c>
      <c r="C1827" s="31" t="s">
        <v>1950</v>
      </c>
      <c r="D1827" s="34" t="str">
        <f t="array" ref="D1827">IFNA(_xlfn.XLOOKUP(C1827,Table_Tarikan_Warkah[Nomor Sertipikat],Table_Tarikan_Warkah[Nomor Tiket]),"")</f>
        <v>K/16/250325/2</v>
      </c>
      <c r="E1827" s="36">
        <f t="array" ref="E1827">IFNA(_xlfn.XLOOKUP(D1827,Table_Tarikan_Warkah[Nomor Tiket],Table_Tarikan_Warkah[Tanggal diserahkan kepada Validator]),"")</f>
        <v>45771.63484</v>
      </c>
      <c r="F1827" s="36" t="str">
        <f t="array" ref="F1827">IFNA(_xlfn.XLOOKUP(D1827,Table_Tarikan_Warkah[Nomor Tiket],Table_Tarikan_Warkah[Nama Petugas Warkah]),"")</f>
        <v/>
      </c>
      <c r="G1827" s="39" t="str">
        <f t="array" ref="G1827">IFNA(_xlfn.XLOOKUP(D1827,Table_Tarikan_Warkah[Nomor Tiket],Table_Tarikan_Warkah[Jenis Permohonan]),"")</f>
        <v>WARIS</v>
      </c>
      <c r="H1827" s="41" t="s">
        <v>20</v>
      </c>
      <c r="I1827" s="49" t="s">
        <v>23</v>
      </c>
      <c r="J1827" s="36">
        <f t="shared" si="20"/>
        <v>45770.39095</v>
      </c>
      <c r="K1827" s="49" t="s">
        <v>197</v>
      </c>
      <c r="L1827" s="49" t="s">
        <v>23</v>
      </c>
      <c r="M1827" s="36">
        <f t="shared" si="26"/>
        <v>45770.50912</v>
      </c>
      <c r="N1827" s="30" t="str">
        <f t="shared" si="27"/>
        <v>Selesai</v>
      </c>
      <c r="O1827" s="45">
        <f t="shared" si="23"/>
        <v>45770.50912</v>
      </c>
      <c r="P1827" s="47" t="b">
        <v>1</v>
      </c>
      <c r="Q1827" s="36">
        <f t="shared" si="24"/>
        <v>45770.50915</v>
      </c>
      <c r="R1827" s="47" t="b">
        <v>0</v>
      </c>
      <c r="S1827" s="42" t="str">
        <f t="shared" si="28"/>
        <v/>
      </c>
      <c r="T1827" s="42"/>
    </row>
    <row r="1828" ht="22.5" customHeight="1">
      <c r="B1828" s="42">
        <f t="shared" si="7"/>
        <v>1822</v>
      </c>
      <c r="C1828" s="31" t="s">
        <v>1951</v>
      </c>
      <c r="D1828" s="34" t="str">
        <f t="array" ref="D1828">IFNA(_xlfn.XLOOKUP(C1828,Table_Tarikan_Warkah[Nomor Sertipikat],Table_Tarikan_Warkah[Nomor Tiket]),"")</f>
        <v>K/37/210325/1</v>
      </c>
      <c r="E1828" s="36">
        <f t="array" ref="E1828">IFNA(_xlfn.XLOOKUP(D1828,Table_Tarikan_Warkah[Nomor Tiket],Table_Tarikan_Warkah[Tanggal diserahkan kepada Validator]),"")</f>
        <v>45771.63421</v>
      </c>
      <c r="F1828" s="36" t="str">
        <f t="array" ref="F1828">IFNA(_xlfn.XLOOKUP(D1828,Table_Tarikan_Warkah[Nomor Tiket],Table_Tarikan_Warkah[Nama Petugas Warkah]),"")</f>
        <v/>
      </c>
      <c r="G1828" s="39" t="str">
        <f t="array" ref="G1828">IFNA(_xlfn.XLOOKUP(D1828,Table_Tarikan_Warkah[Nomor Tiket],Table_Tarikan_Warkah[Jenis Permohonan]),"")</f>
        <v>BN WARIS</v>
      </c>
      <c r="H1828" s="41" t="s">
        <v>20</v>
      </c>
      <c r="I1828" s="49" t="s">
        <v>23</v>
      </c>
      <c r="J1828" s="36">
        <f t="shared" si="20"/>
        <v>45770.39106</v>
      </c>
      <c r="K1828" s="49" t="s">
        <v>197</v>
      </c>
      <c r="L1828" s="49" t="s">
        <v>23</v>
      </c>
      <c r="M1828" s="36">
        <f t="shared" si="26"/>
        <v>45770.50912</v>
      </c>
      <c r="N1828" s="30" t="str">
        <f t="shared" si="27"/>
        <v>Selesai</v>
      </c>
      <c r="O1828" s="45">
        <f t="shared" si="23"/>
        <v>45770.50912</v>
      </c>
      <c r="P1828" s="47" t="b">
        <v>1</v>
      </c>
      <c r="Q1828" s="36">
        <f t="shared" si="24"/>
        <v>45770.50915</v>
      </c>
      <c r="R1828" s="47" t="b">
        <v>0</v>
      </c>
      <c r="S1828" s="42" t="str">
        <f t="shared" si="28"/>
        <v/>
      </c>
      <c r="T1828" s="42"/>
    </row>
    <row r="1829" ht="22.5" customHeight="1">
      <c r="B1829" s="42">
        <f t="shared" si="7"/>
        <v>1823</v>
      </c>
      <c r="C1829" s="31" t="s">
        <v>1952</v>
      </c>
      <c r="D1829" s="34" t="str">
        <f t="array" ref="D1829">IFNA(_xlfn.XLOOKUP(C1829,Table_Tarikan_Warkah[Nomor Sertipikat],Table_Tarikan_Warkah[Nomor Tiket]),"")</f>
        <v>K/41/240325/1</v>
      </c>
      <c r="E1829" s="36">
        <f t="array" ref="E1829">IFNA(_xlfn.XLOOKUP(D1829,Table_Tarikan_Warkah[Nomor Tiket],Table_Tarikan_Warkah[Tanggal diserahkan kepada Validator]),"")</f>
        <v>45775.60528</v>
      </c>
      <c r="F1829" s="36" t="str">
        <f t="array" ref="F1829">IFNA(_xlfn.XLOOKUP(D1829,Table_Tarikan_Warkah[Nomor Tiket],Table_Tarikan_Warkah[Nama Petugas Warkah]),"")</f>
        <v/>
      </c>
      <c r="G1829" s="39" t="str">
        <f t="array" ref="G1829">IFNA(_xlfn.XLOOKUP(D1829,Table_Tarikan_Warkah[Nomor Tiket],Table_Tarikan_Warkah[Jenis Permohonan]),"")</f>
        <v>JUAL BELI</v>
      </c>
      <c r="H1829" s="41" t="s">
        <v>11</v>
      </c>
      <c r="I1829" s="49" t="s">
        <v>23</v>
      </c>
      <c r="J1829" s="36">
        <f t="shared" si="20"/>
        <v>45770.60458</v>
      </c>
      <c r="K1829" s="49" t="s">
        <v>197</v>
      </c>
      <c r="L1829" s="49" t="s">
        <v>23</v>
      </c>
      <c r="M1829" s="36">
        <f t="shared" si="26"/>
        <v>45772.64089</v>
      </c>
      <c r="N1829" s="30" t="str">
        <f t="shared" si="27"/>
        <v>Selesai</v>
      </c>
      <c r="O1829" s="45">
        <f t="shared" si="23"/>
        <v>45772.64089</v>
      </c>
      <c r="P1829" s="47" t="b">
        <v>1</v>
      </c>
      <c r="Q1829" s="36">
        <f t="shared" si="24"/>
        <v>45772.64128</v>
      </c>
      <c r="R1829" s="47" t="b">
        <v>0</v>
      </c>
      <c r="S1829" s="42" t="str">
        <f t="shared" si="28"/>
        <v/>
      </c>
      <c r="T1829" s="42"/>
    </row>
    <row r="1830" ht="22.5" customHeight="1">
      <c r="B1830" s="42">
        <f t="shared" si="7"/>
        <v>1824</v>
      </c>
      <c r="C1830" s="31" t="s">
        <v>1953</v>
      </c>
      <c r="D1830" s="34" t="str">
        <f t="array" ref="D1830">IFNA(_xlfn.XLOOKUP(C1830,Table_Tarikan_Warkah[Nomor Sertipikat],Table_Tarikan_Warkah[Nomor Tiket]),"")</f>
        <v>K/29/040325/1</v>
      </c>
      <c r="E1830" s="36" t="str">
        <f t="array" ref="E1830">IFNA(_xlfn.XLOOKUP(D1830,Table_Tarikan_Warkah[Nomor Tiket],Table_Tarikan_Warkah[Tanggal diserahkan kepada Validator]),"")</f>
        <v/>
      </c>
      <c r="F1830" s="36" t="str">
        <f t="array" ref="F1830">IFNA(_xlfn.XLOOKUP(D1830,Table_Tarikan_Warkah[Nomor Tiket],Table_Tarikan_Warkah[Nama Petugas Warkah]),"")</f>
        <v/>
      </c>
      <c r="G1830" s="39" t="str">
        <f t="array" ref="G1830">IFNA(_xlfn.XLOOKUP(D1830,Table_Tarikan_Warkah[Nomor Tiket],Table_Tarikan_Warkah[Jenis Permohonan]),"")</f>
        <v>ROYA</v>
      </c>
      <c r="H1830" s="41" t="s">
        <v>11</v>
      </c>
      <c r="I1830" s="49" t="s">
        <v>23</v>
      </c>
      <c r="J1830" s="36">
        <f t="shared" si="20"/>
        <v>45770.60459</v>
      </c>
      <c r="K1830" s="49" t="s">
        <v>197</v>
      </c>
      <c r="L1830" s="49" t="s">
        <v>23</v>
      </c>
      <c r="M1830" s="36">
        <f t="shared" si="26"/>
        <v>45772.64089</v>
      </c>
      <c r="N1830" s="30" t="str">
        <f t="shared" si="27"/>
        <v>Selesai</v>
      </c>
      <c r="O1830" s="45">
        <f t="shared" si="23"/>
        <v>45772.64089</v>
      </c>
      <c r="P1830" s="47" t="b">
        <v>1</v>
      </c>
      <c r="Q1830" s="36">
        <f t="shared" si="24"/>
        <v>45772.64129</v>
      </c>
      <c r="R1830" s="47" t="b">
        <v>0</v>
      </c>
      <c r="S1830" s="42" t="str">
        <f t="shared" si="28"/>
        <v/>
      </c>
      <c r="T1830" s="42"/>
    </row>
    <row r="1831" ht="22.5" customHeight="1">
      <c r="B1831" s="42">
        <f t="shared" si="7"/>
        <v>1825</v>
      </c>
      <c r="C1831" s="31" t="s">
        <v>1954</v>
      </c>
      <c r="D1831" s="34" t="str">
        <f t="array" ref="D1831">IFNA(_xlfn.XLOOKUP(C1831,Table_Tarikan_Warkah[Nomor Sertipikat],Table_Tarikan_Warkah[Nomor Tiket]),"")</f>
        <v>K/9/200325/1</v>
      </c>
      <c r="E1831" s="36">
        <f t="array" ref="E1831">IFNA(_xlfn.XLOOKUP(D1831,Table_Tarikan_Warkah[Nomor Tiket],Table_Tarikan_Warkah[Tanggal diserahkan kepada Validator]),"")</f>
        <v>45775.60491</v>
      </c>
      <c r="F1831" s="36" t="str">
        <f t="array" ref="F1831">IFNA(_xlfn.XLOOKUP(D1831,Table_Tarikan_Warkah[Nomor Tiket],Table_Tarikan_Warkah[Nama Petugas Warkah]),"")</f>
        <v/>
      </c>
      <c r="G1831" s="39" t="str">
        <f t="array" ref="G1831">IFNA(_xlfn.XLOOKUP(D1831,Table_Tarikan_Warkah[Nomor Tiket],Table_Tarikan_Warkah[Jenis Permohonan]),"")</f>
        <v>JUAL BELI</v>
      </c>
      <c r="H1831" s="41" t="s">
        <v>11</v>
      </c>
      <c r="I1831" s="49" t="s">
        <v>23</v>
      </c>
      <c r="J1831" s="36">
        <f t="shared" si="20"/>
        <v>45770.60459</v>
      </c>
      <c r="K1831" s="49" t="s">
        <v>197</v>
      </c>
      <c r="L1831" s="49" t="s">
        <v>23</v>
      </c>
      <c r="M1831" s="36">
        <f t="shared" si="26"/>
        <v>45772.64089</v>
      </c>
      <c r="N1831" s="30" t="str">
        <f t="shared" si="27"/>
        <v>Selesai</v>
      </c>
      <c r="O1831" s="45">
        <f t="shared" si="23"/>
        <v>45772.64089</v>
      </c>
      <c r="P1831" s="47" t="b">
        <v>1</v>
      </c>
      <c r="Q1831" s="36">
        <f t="shared" si="24"/>
        <v>45772.6413</v>
      </c>
      <c r="R1831" s="47" t="b">
        <v>0</v>
      </c>
      <c r="S1831" s="42" t="str">
        <f t="shared" si="28"/>
        <v/>
      </c>
      <c r="T1831" s="42"/>
    </row>
    <row r="1832" ht="22.5" customHeight="1">
      <c r="B1832" s="42">
        <f t="shared" si="7"/>
        <v>1826</v>
      </c>
      <c r="C1832" s="31" t="s">
        <v>1955</v>
      </c>
      <c r="D1832" s="34" t="str">
        <f t="array" ref="D1832">IFNA(_xlfn.XLOOKUP(C1832,Table_Tarikan_Warkah[Nomor Sertipikat],Table_Tarikan_Warkah[Nomor Tiket]),"")</f>
        <v>K/36/210325/4</v>
      </c>
      <c r="E1832" s="36">
        <f t="array" ref="E1832">IFNA(_xlfn.XLOOKUP(D1832,Table_Tarikan_Warkah[Nomor Tiket],Table_Tarikan_Warkah[Tanggal diserahkan kepada Validator]),"")</f>
        <v>45775.60553</v>
      </c>
      <c r="F1832" s="36" t="str">
        <f t="array" ref="F1832">IFNA(_xlfn.XLOOKUP(D1832,Table_Tarikan_Warkah[Nomor Tiket],Table_Tarikan_Warkah[Nama Petugas Warkah]),"")</f>
        <v/>
      </c>
      <c r="G1832" s="39" t="str">
        <f t="array" ref="G1832">IFNA(_xlfn.XLOOKUP(D1832,Table_Tarikan_Warkah[Nomor Tiket],Table_Tarikan_Warkah[Jenis Permohonan]),"")</f>
        <v>HIBAH</v>
      </c>
      <c r="H1832" s="41" t="s">
        <v>11</v>
      </c>
      <c r="I1832" s="49" t="s">
        <v>23</v>
      </c>
      <c r="J1832" s="36">
        <f t="shared" si="20"/>
        <v>45770.60459</v>
      </c>
      <c r="K1832" s="49" t="s">
        <v>197</v>
      </c>
      <c r="L1832" s="49" t="s">
        <v>23</v>
      </c>
      <c r="M1832" s="36">
        <f t="shared" si="26"/>
        <v>45772.64089</v>
      </c>
      <c r="N1832" s="30" t="str">
        <f t="shared" si="27"/>
        <v>Selesai</v>
      </c>
      <c r="O1832" s="45">
        <f t="shared" si="23"/>
        <v>45772.64089</v>
      </c>
      <c r="P1832" s="47" t="b">
        <v>1</v>
      </c>
      <c r="Q1832" s="36">
        <f t="shared" si="24"/>
        <v>45772.64131</v>
      </c>
      <c r="R1832" s="47" t="b">
        <v>0</v>
      </c>
      <c r="S1832" s="42" t="str">
        <f t="shared" si="28"/>
        <v/>
      </c>
      <c r="T1832" s="42"/>
    </row>
    <row r="1833" ht="22.5" customHeight="1">
      <c r="B1833" s="42">
        <f t="shared" si="7"/>
        <v>1827</v>
      </c>
      <c r="C1833" s="31" t="s">
        <v>1956</v>
      </c>
      <c r="D1833" s="34" t="str">
        <f t="array" ref="D1833">IFNA(_xlfn.XLOOKUP(C1833,Table_Tarikan_Warkah[Nomor Sertipikat],Table_Tarikan_Warkah[Nomor Tiket]),"")</f>
        <v>K/16/190325/2</v>
      </c>
      <c r="E1833" s="36">
        <f t="array" ref="E1833">IFNA(_xlfn.XLOOKUP(D1833,Table_Tarikan_Warkah[Nomor Tiket],Table_Tarikan_Warkah[Tanggal diserahkan kepada Validator]),"")</f>
        <v>45775.60268</v>
      </c>
      <c r="F1833" s="36" t="str">
        <f t="array" ref="F1833">IFNA(_xlfn.XLOOKUP(D1833,Table_Tarikan_Warkah[Nomor Tiket],Table_Tarikan_Warkah[Nama Petugas Warkah]),"")</f>
        <v/>
      </c>
      <c r="G1833" s="39" t="str">
        <f t="array" ref="G1833">IFNA(_xlfn.XLOOKUP(D1833,Table_Tarikan_Warkah[Nomor Tiket],Table_Tarikan_Warkah[Jenis Permohonan]),"")</f>
        <v>JUALBELI</v>
      </c>
      <c r="H1833" s="41" t="s">
        <v>11</v>
      </c>
      <c r="I1833" s="49" t="s">
        <v>23</v>
      </c>
      <c r="J1833" s="36">
        <f t="shared" si="20"/>
        <v>45770.60459</v>
      </c>
      <c r="K1833" s="49" t="s">
        <v>197</v>
      </c>
      <c r="L1833" s="49" t="s">
        <v>23</v>
      </c>
      <c r="M1833" s="36">
        <f t="shared" si="26"/>
        <v>45772.64089</v>
      </c>
      <c r="N1833" s="30" t="str">
        <f t="shared" si="27"/>
        <v>Selesai</v>
      </c>
      <c r="O1833" s="45">
        <f t="shared" si="23"/>
        <v>45772.64089</v>
      </c>
      <c r="P1833" s="47" t="b">
        <v>1</v>
      </c>
      <c r="Q1833" s="36">
        <f t="shared" si="24"/>
        <v>45772.64133</v>
      </c>
      <c r="R1833" s="47" t="b">
        <v>0</v>
      </c>
      <c r="S1833" s="42" t="str">
        <f t="shared" si="28"/>
        <v/>
      </c>
      <c r="T1833" s="42"/>
    </row>
    <row r="1834" ht="22.5" customHeight="1">
      <c r="B1834" s="42">
        <f t="shared" si="7"/>
        <v>1828</v>
      </c>
      <c r="C1834" s="31" t="s">
        <v>1957</v>
      </c>
      <c r="D1834" s="34" t="str">
        <f t="array" ref="D1834">IFNA(_xlfn.XLOOKUP(C1834,Table_Tarikan_Warkah[Nomor Sertipikat],Table_Tarikan_Warkah[Nomor Tiket]),"")</f>
        <v>K/15/170325/1</v>
      </c>
      <c r="E1834" s="36">
        <f t="array" ref="E1834">IFNA(_xlfn.XLOOKUP(D1834,Table_Tarikan_Warkah[Nomor Tiket],Table_Tarikan_Warkah[Tanggal diserahkan kepada Validator]),"")</f>
        <v>45775.60406</v>
      </c>
      <c r="F1834" s="36" t="str">
        <f t="array" ref="F1834">IFNA(_xlfn.XLOOKUP(D1834,Table_Tarikan_Warkah[Nomor Tiket],Table_Tarikan_Warkah[Nama Petugas Warkah]),"")</f>
        <v/>
      </c>
      <c r="G1834" s="39" t="str">
        <f t="array" ref="G1834">IFNA(_xlfn.XLOOKUP(D1834,Table_Tarikan_Warkah[Nomor Tiket],Table_Tarikan_Warkah[Jenis Permohonan]),"")</f>
        <v>JUAL BELI</v>
      </c>
      <c r="H1834" s="41" t="s">
        <v>11</v>
      </c>
      <c r="I1834" s="49" t="s">
        <v>23</v>
      </c>
      <c r="J1834" s="36">
        <f t="shared" si="20"/>
        <v>45770.60461</v>
      </c>
      <c r="K1834" s="49" t="s">
        <v>197</v>
      </c>
      <c r="L1834" s="49" t="s">
        <v>23</v>
      </c>
      <c r="M1834" s="36">
        <f t="shared" si="26"/>
        <v>45772.64089</v>
      </c>
      <c r="N1834" s="30" t="str">
        <f t="shared" si="27"/>
        <v>Selesai</v>
      </c>
      <c r="O1834" s="45">
        <f t="shared" si="23"/>
        <v>45772.64089</v>
      </c>
      <c r="P1834" s="47" t="b">
        <v>1</v>
      </c>
      <c r="Q1834" s="36">
        <f t="shared" si="24"/>
        <v>45772.64133</v>
      </c>
      <c r="R1834" s="47" t="b">
        <v>0</v>
      </c>
      <c r="S1834" s="42" t="str">
        <f t="shared" si="28"/>
        <v/>
      </c>
      <c r="T1834" s="42"/>
    </row>
    <row r="1835" ht="24.0" customHeight="1">
      <c r="B1835" s="42">
        <f t="shared" si="7"/>
        <v>1829</v>
      </c>
      <c r="C1835" s="31" t="s">
        <v>1958</v>
      </c>
      <c r="D1835" s="34" t="str">
        <f t="array" ref="D1835">IFNA(_xlfn.XLOOKUP(C1835,Table_Tarikan_Warkah[Nomor Sertipikat],Table_Tarikan_Warkah[Nomor Tiket]),"")</f>
        <v>K/35/210325/1</v>
      </c>
      <c r="E1835" s="36">
        <f t="array" ref="E1835">IFNA(_xlfn.XLOOKUP(D1835,Table_Tarikan_Warkah[Nomor Tiket],Table_Tarikan_Warkah[Tanggal diserahkan kepada Validator]),"")</f>
        <v>45775.60467</v>
      </c>
      <c r="F1835" s="36" t="str">
        <f t="array" ref="F1835">IFNA(_xlfn.XLOOKUP(D1835,Table_Tarikan_Warkah[Nomor Tiket],Table_Tarikan_Warkah[Nama Petugas Warkah]),"")</f>
        <v/>
      </c>
      <c r="G1835" s="39" t="str">
        <f t="array" ref="G1835">IFNA(_xlfn.XLOOKUP(D1835,Table_Tarikan_Warkah[Nomor Tiket],Table_Tarikan_Warkah[Jenis Permohonan]),"")</f>
        <v>JUAL BELI</v>
      </c>
      <c r="H1835" s="41" t="s">
        <v>11</v>
      </c>
      <c r="I1835" s="49" t="s">
        <v>23</v>
      </c>
      <c r="J1835" s="36">
        <f t="shared" si="20"/>
        <v>45770.60461</v>
      </c>
      <c r="K1835" s="49" t="s">
        <v>197</v>
      </c>
      <c r="L1835" s="49" t="s">
        <v>23</v>
      </c>
      <c r="M1835" s="36">
        <f t="shared" si="26"/>
        <v>45772.64089</v>
      </c>
      <c r="N1835" s="30" t="str">
        <f t="shared" si="27"/>
        <v>Selesai</v>
      </c>
      <c r="O1835" s="45">
        <f t="shared" si="23"/>
        <v>45772.64089</v>
      </c>
      <c r="P1835" s="47" t="b">
        <v>1</v>
      </c>
      <c r="Q1835" s="36">
        <f t="shared" si="24"/>
        <v>45772.64134</v>
      </c>
      <c r="R1835" s="47" t="b">
        <v>0</v>
      </c>
      <c r="S1835" s="42" t="str">
        <f t="shared" si="28"/>
        <v/>
      </c>
      <c r="T1835" s="42"/>
    </row>
    <row r="1836" ht="22.5" customHeight="1">
      <c r="B1836" s="42">
        <f t="shared" si="7"/>
        <v>1830</v>
      </c>
      <c r="C1836" s="31" t="s">
        <v>1959</v>
      </c>
      <c r="D1836" s="34" t="str">
        <f t="array" ref="D1836">IFNA(_xlfn.XLOOKUP(C1836,Table_Tarikan_Warkah[Nomor Sertipikat],Table_Tarikan_Warkah[Nomor Tiket]),"")</f>
        <v>K/30/180325/1</v>
      </c>
      <c r="E1836" s="36">
        <f t="array" ref="E1836">IFNA(_xlfn.XLOOKUP(D1836,Table_Tarikan_Warkah[Nomor Tiket],Table_Tarikan_Warkah[Tanggal diserahkan kepada Validator]),"")</f>
        <v>45775.60652</v>
      </c>
      <c r="F1836" s="36" t="str">
        <f t="array" ref="F1836">IFNA(_xlfn.XLOOKUP(D1836,Table_Tarikan_Warkah[Nomor Tiket],Table_Tarikan_Warkah[Nama Petugas Warkah]),"")</f>
        <v/>
      </c>
      <c r="G1836" s="39" t="str">
        <f t="array" ref="G1836">IFNA(_xlfn.XLOOKUP(D1836,Table_Tarikan_Warkah[Nomor Tiket],Table_Tarikan_Warkah[Jenis Permohonan]),"")</f>
        <v>JUAL BELI</v>
      </c>
      <c r="H1836" s="41" t="s">
        <v>11</v>
      </c>
      <c r="I1836" s="49" t="s">
        <v>23</v>
      </c>
      <c r="J1836" s="36">
        <f t="shared" si="20"/>
        <v>45770.60461</v>
      </c>
      <c r="K1836" s="49" t="s">
        <v>197</v>
      </c>
      <c r="L1836" s="49" t="s">
        <v>23</v>
      </c>
      <c r="M1836" s="36">
        <f t="shared" si="26"/>
        <v>45772.64089</v>
      </c>
      <c r="N1836" s="30" t="str">
        <f t="shared" si="27"/>
        <v>Selesai</v>
      </c>
      <c r="O1836" s="45">
        <f t="shared" si="23"/>
        <v>45772.64089</v>
      </c>
      <c r="P1836" s="47" t="b">
        <v>1</v>
      </c>
      <c r="Q1836" s="36">
        <f t="shared" si="24"/>
        <v>45772.64134</v>
      </c>
      <c r="R1836" s="47" t="b">
        <v>0</v>
      </c>
      <c r="S1836" s="42" t="str">
        <f t="shared" si="28"/>
        <v/>
      </c>
      <c r="T1836" s="42"/>
    </row>
    <row r="1837" ht="22.5" customHeight="1">
      <c r="B1837" s="42">
        <f t="shared" si="7"/>
        <v>1831</v>
      </c>
      <c r="C1837" s="31" t="s">
        <v>1960</v>
      </c>
      <c r="D1837" s="34" t="str">
        <f t="array" ref="D1837">IFNA(_xlfn.XLOOKUP(C1837,Table_Tarikan_Warkah[Nomor Sertipikat],Table_Tarikan_Warkah[Nomor Tiket]),"")</f>
        <v>K/10/250325/1</v>
      </c>
      <c r="E1837" s="36" t="str">
        <f t="array" ref="E1837">IFNA(_xlfn.XLOOKUP(D1837,Table_Tarikan_Warkah[Nomor Tiket],Table_Tarikan_Warkah[Tanggal diserahkan kepada Validator]),"")</f>
        <v/>
      </c>
      <c r="F1837" s="36" t="str">
        <f t="array" ref="F1837">IFNA(_xlfn.XLOOKUP(D1837,Table_Tarikan_Warkah[Nomor Tiket],Table_Tarikan_Warkah[Nama Petugas Warkah]),"")</f>
        <v/>
      </c>
      <c r="G1837" s="39" t="str">
        <f t="array" ref="G1837">IFNA(_xlfn.XLOOKUP(D1837,Table_Tarikan_Warkah[Nomor Tiket],Table_Tarikan_Warkah[Jenis Permohonan]),"")</f>
        <v>PERUBAHAN HAK</v>
      </c>
      <c r="H1837" s="41" t="s">
        <v>11</v>
      </c>
      <c r="I1837" s="49" t="s">
        <v>23</v>
      </c>
      <c r="J1837" s="36">
        <f t="shared" si="20"/>
        <v>45770.60461</v>
      </c>
      <c r="K1837" s="49" t="s">
        <v>197</v>
      </c>
      <c r="L1837" s="49" t="s">
        <v>23</v>
      </c>
      <c r="M1837" s="36">
        <f t="shared" si="26"/>
        <v>45772.64089</v>
      </c>
      <c r="N1837" s="30" t="str">
        <f t="shared" si="27"/>
        <v>Selesai</v>
      </c>
      <c r="O1837" s="45">
        <f t="shared" si="23"/>
        <v>45772.64089</v>
      </c>
      <c r="P1837" s="47" t="b">
        <v>1</v>
      </c>
      <c r="Q1837" s="36">
        <f t="shared" si="24"/>
        <v>45772.64137</v>
      </c>
      <c r="R1837" s="47" t="b">
        <v>0</v>
      </c>
      <c r="S1837" s="42" t="str">
        <f t="shared" si="28"/>
        <v/>
      </c>
      <c r="T1837" s="42"/>
    </row>
    <row r="1838" ht="22.5" customHeight="1">
      <c r="B1838" s="42">
        <f t="shared" si="7"/>
        <v>1832</v>
      </c>
      <c r="C1838" s="31" t="s">
        <v>1961</v>
      </c>
      <c r="D1838" s="34" t="str">
        <f t="array" ref="D1838">IFNA(_xlfn.XLOOKUP(C1838,Table_Tarikan_Warkah[Nomor Sertipikat],Table_Tarikan_Warkah[Nomor Tiket]),"")</f>
        <v>K/1/090425/1</v>
      </c>
      <c r="E1838" s="36">
        <f t="array" ref="E1838">IFNA(_xlfn.XLOOKUP(D1838,Table_Tarikan_Warkah[Nomor Tiket],Table_Tarikan_Warkah[Tanggal diserahkan kepada Validator]),"")</f>
        <v>45775.60876</v>
      </c>
      <c r="F1838" s="36" t="str">
        <f t="array" ref="F1838">IFNA(_xlfn.XLOOKUP(D1838,Table_Tarikan_Warkah[Nomor Tiket],Table_Tarikan_Warkah[Nama Petugas Warkah]),"")</f>
        <v/>
      </c>
      <c r="G1838" s="39" t="str">
        <f t="array" ref="G1838">IFNA(_xlfn.XLOOKUP(D1838,Table_Tarikan_Warkah[Nomor Tiket],Table_Tarikan_Warkah[Jenis Permohonan]),"")</f>
        <v>BN Jual Beli</v>
      </c>
      <c r="H1838" s="41" t="s">
        <v>20</v>
      </c>
      <c r="I1838" s="49" t="s">
        <v>23</v>
      </c>
      <c r="J1838" s="36">
        <f t="shared" si="20"/>
        <v>45771.39538</v>
      </c>
      <c r="K1838" s="49" t="s">
        <v>197</v>
      </c>
      <c r="L1838" s="49" t="s">
        <v>23</v>
      </c>
      <c r="M1838" s="36">
        <f t="shared" si="26"/>
        <v>45772.64089</v>
      </c>
      <c r="N1838" s="30" t="str">
        <f t="shared" si="27"/>
        <v>Selesai</v>
      </c>
      <c r="O1838" s="45">
        <f t="shared" si="23"/>
        <v>45772.64089</v>
      </c>
      <c r="P1838" s="47" t="b">
        <v>1</v>
      </c>
      <c r="Q1838" s="36">
        <f t="shared" si="24"/>
        <v>45772.64138</v>
      </c>
      <c r="R1838" s="47" t="b">
        <v>0</v>
      </c>
      <c r="S1838" s="42" t="str">
        <f t="shared" si="28"/>
        <v/>
      </c>
      <c r="T1838" s="42"/>
    </row>
    <row r="1839" ht="22.5" customHeight="1">
      <c r="B1839" s="42">
        <f t="shared" si="7"/>
        <v>1833</v>
      </c>
      <c r="C1839" s="31" t="s">
        <v>1962</v>
      </c>
      <c r="D1839" s="34" t="str">
        <f t="array" ref="D1839">IFNA(_xlfn.XLOOKUP(C1839,Table_Tarikan_Warkah[Nomor Sertipikat],Table_Tarikan_Warkah[Nomor Tiket]),"")</f>
        <v>K/20/110425/2</v>
      </c>
      <c r="E1839" s="36">
        <f t="array" ref="E1839">IFNA(_xlfn.XLOOKUP(D1839,Table_Tarikan_Warkah[Nomor Tiket],Table_Tarikan_Warkah[Tanggal diserahkan kepada Validator]),"")</f>
        <v>45775.60743</v>
      </c>
      <c r="F1839" s="36" t="str">
        <f t="array" ref="F1839">IFNA(_xlfn.XLOOKUP(D1839,Table_Tarikan_Warkah[Nomor Tiket],Table_Tarikan_Warkah[Nama Petugas Warkah]),"")</f>
        <v/>
      </c>
      <c r="G1839" s="39" t="str">
        <f t="array" ref="G1839">IFNA(_xlfn.XLOOKUP(D1839,Table_Tarikan_Warkah[Nomor Tiket],Table_Tarikan_Warkah[Jenis Permohonan]),"")</f>
        <v>BN Jual Beli</v>
      </c>
      <c r="H1839" s="41" t="s">
        <v>20</v>
      </c>
      <c r="I1839" s="49" t="s">
        <v>23</v>
      </c>
      <c r="J1839" s="36">
        <f t="shared" si="20"/>
        <v>45771.39548</v>
      </c>
      <c r="K1839" s="49" t="s">
        <v>197</v>
      </c>
      <c r="L1839" s="49" t="s">
        <v>23</v>
      </c>
      <c r="M1839" s="36">
        <f t="shared" si="26"/>
        <v>45772.64089</v>
      </c>
      <c r="N1839" s="30" t="str">
        <f t="shared" si="27"/>
        <v>Selesai</v>
      </c>
      <c r="O1839" s="45">
        <f t="shared" si="23"/>
        <v>45772.64089</v>
      </c>
      <c r="P1839" s="47" t="b">
        <v>1</v>
      </c>
      <c r="Q1839" s="36">
        <f t="shared" si="24"/>
        <v>45772.64139</v>
      </c>
      <c r="R1839" s="47" t="b">
        <v>0</v>
      </c>
      <c r="S1839" s="42" t="str">
        <f t="shared" si="28"/>
        <v/>
      </c>
      <c r="T1839" s="42"/>
    </row>
    <row r="1840" ht="22.5" customHeight="1">
      <c r="B1840" s="42">
        <f t="shared" si="7"/>
        <v>1834</v>
      </c>
      <c r="C1840" s="31" t="s">
        <v>1963</v>
      </c>
      <c r="D1840" s="34" t="str">
        <f t="array" ref="D1840">IFNA(_xlfn.XLOOKUP(C1840,Table_Tarikan_Warkah[Nomor Sertipikat],Table_Tarikan_Warkah[Nomor Tiket]),"")</f>
        <v>K/12/090425/1</v>
      </c>
      <c r="E1840" s="36">
        <f t="array" ref="E1840">IFNA(_xlfn.XLOOKUP(D1840,Table_Tarikan_Warkah[Nomor Tiket],Table_Tarikan_Warkah[Tanggal diserahkan kepada Validator]),"")</f>
        <v>45775.60809</v>
      </c>
      <c r="F1840" s="36" t="str">
        <f t="array" ref="F1840">IFNA(_xlfn.XLOOKUP(D1840,Table_Tarikan_Warkah[Nomor Tiket],Table_Tarikan_Warkah[Nama Petugas Warkah]),"")</f>
        <v/>
      </c>
      <c r="G1840" s="39" t="str">
        <f t="array" ref="G1840">IFNA(_xlfn.XLOOKUP(D1840,Table_Tarikan_Warkah[Nomor Tiket],Table_Tarikan_Warkah[Jenis Permohonan]),"")</f>
        <v>BN Jual Beli</v>
      </c>
      <c r="H1840" s="41" t="s">
        <v>20</v>
      </c>
      <c r="I1840" s="49" t="s">
        <v>23</v>
      </c>
      <c r="J1840" s="36">
        <f t="shared" si="20"/>
        <v>45771.39579</v>
      </c>
      <c r="K1840" s="49" t="s">
        <v>197</v>
      </c>
      <c r="L1840" s="49" t="s">
        <v>23</v>
      </c>
      <c r="M1840" s="36">
        <f t="shared" si="26"/>
        <v>45772.64089</v>
      </c>
      <c r="N1840" s="30" t="str">
        <f t="shared" si="27"/>
        <v>Selesai</v>
      </c>
      <c r="O1840" s="45">
        <f t="shared" si="23"/>
        <v>45772.64089</v>
      </c>
      <c r="P1840" s="47" t="b">
        <v>1</v>
      </c>
      <c r="Q1840" s="36">
        <f t="shared" si="24"/>
        <v>45772.6414</v>
      </c>
      <c r="R1840" s="47" t="b">
        <v>0</v>
      </c>
      <c r="S1840" s="42" t="str">
        <f t="shared" si="28"/>
        <v/>
      </c>
      <c r="T1840" s="42"/>
    </row>
    <row r="1841" ht="22.5" customHeight="1">
      <c r="B1841" s="42">
        <f t="shared" si="7"/>
        <v>1835</v>
      </c>
      <c r="C1841" s="31" t="s">
        <v>1964</v>
      </c>
      <c r="D1841" s="34" t="str">
        <f t="array" ref="D1841">IFNA(_xlfn.XLOOKUP(C1841,Table_Tarikan_Warkah[Nomor Sertipikat],Table_Tarikan_Warkah[Nomor Tiket]),"")</f>
        <v>K/26/100425/2</v>
      </c>
      <c r="E1841" s="36">
        <f t="array" ref="E1841">IFNA(_xlfn.XLOOKUP(D1841,Table_Tarikan_Warkah[Nomor Tiket],Table_Tarikan_Warkah[Tanggal diserahkan kepada Validator]),"")</f>
        <v>45775.60705</v>
      </c>
      <c r="F1841" s="36" t="str">
        <f t="array" ref="F1841">IFNA(_xlfn.XLOOKUP(D1841,Table_Tarikan_Warkah[Nomor Tiket],Table_Tarikan_Warkah[Nama Petugas Warkah]),"")</f>
        <v/>
      </c>
      <c r="G1841" s="39" t="str">
        <f t="array" ref="G1841">IFNA(_xlfn.XLOOKUP(D1841,Table_Tarikan_Warkah[Nomor Tiket],Table_Tarikan_Warkah[Jenis Permohonan]),"")</f>
        <v>BN Jual Beli</v>
      </c>
      <c r="H1841" s="41" t="s">
        <v>20</v>
      </c>
      <c r="I1841" s="49" t="s">
        <v>23</v>
      </c>
      <c r="J1841" s="36">
        <f t="shared" si="20"/>
        <v>45771.3959</v>
      </c>
      <c r="K1841" s="49" t="s">
        <v>197</v>
      </c>
      <c r="L1841" s="49" t="s">
        <v>23</v>
      </c>
      <c r="M1841" s="36">
        <f t="shared" si="26"/>
        <v>45772.64089</v>
      </c>
      <c r="N1841" s="30" t="str">
        <f t="shared" si="27"/>
        <v>Selesai</v>
      </c>
      <c r="O1841" s="45">
        <f t="shared" si="23"/>
        <v>45772.64089</v>
      </c>
      <c r="P1841" s="47" t="b">
        <v>1</v>
      </c>
      <c r="Q1841" s="36">
        <f t="shared" si="24"/>
        <v>45772.64141</v>
      </c>
      <c r="R1841" s="47" t="b">
        <v>0</v>
      </c>
      <c r="S1841" s="42" t="str">
        <f t="shared" si="28"/>
        <v/>
      </c>
      <c r="T1841" s="42"/>
    </row>
    <row r="1842" ht="22.5" customHeight="1">
      <c r="B1842" s="42">
        <f t="shared" si="7"/>
        <v>1836</v>
      </c>
      <c r="C1842" s="31" t="s">
        <v>1965</v>
      </c>
      <c r="D1842" s="34" t="str">
        <f t="array" ref="D1842">IFNA(_xlfn.XLOOKUP(C1842,Table_Tarikan_Warkah[Nomor Sertipikat],Table_Tarikan_Warkah[Nomor Tiket]),"")</f>
        <v>K/10/110425/1</v>
      </c>
      <c r="E1842" s="36">
        <f t="array" ref="E1842">IFNA(_xlfn.XLOOKUP(D1842,Table_Tarikan_Warkah[Nomor Tiket],Table_Tarikan_Warkah[Tanggal diserahkan kepada Validator]),"")</f>
        <v>45775.60693</v>
      </c>
      <c r="F1842" s="36" t="str">
        <f t="array" ref="F1842">IFNA(_xlfn.XLOOKUP(D1842,Table_Tarikan_Warkah[Nomor Tiket],Table_Tarikan_Warkah[Nama Petugas Warkah]),"")</f>
        <v/>
      </c>
      <c r="G1842" s="39" t="str">
        <f t="array" ref="G1842">IFNA(_xlfn.XLOOKUP(D1842,Table_Tarikan_Warkah[Nomor Tiket],Table_Tarikan_Warkah[Jenis Permohonan]),"")</f>
        <v>BN Jual Beli</v>
      </c>
      <c r="H1842" s="41" t="s">
        <v>20</v>
      </c>
      <c r="I1842" s="49" t="s">
        <v>23</v>
      </c>
      <c r="J1842" s="36">
        <f t="shared" si="20"/>
        <v>45771.39604</v>
      </c>
      <c r="K1842" s="49" t="s">
        <v>197</v>
      </c>
      <c r="L1842" s="49" t="s">
        <v>23</v>
      </c>
      <c r="M1842" s="36">
        <f t="shared" si="26"/>
        <v>45772.64089</v>
      </c>
      <c r="N1842" s="30" t="str">
        <f t="shared" si="27"/>
        <v>Selesai</v>
      </c>
      <c r="O1842" s="45">
        <f t="shared" si="23"/>
        <v>45772.64089</v>
      </c>
      <c r="P1842" s="47" t="b">
        <v>1</v>
      </c>
      <c r="Q1842" s="36">
        <f t="shared" si="24"/>
        <v>45772.64142</v>
      </c>
      <c r="R1842" s="47" t="b">
        <v>0</v>
      </c>
      <c r="S1842" s="42" t="str">
        <f t="shared" si="28"/>
        <v/>
      </c>
      <c r="T1842" s="42"/>
    </row>
    <row r="1843" ht="22.5" customHeight="1">
      <c r="B1843" s="42">
        <f t="shared" si="7"/>
        <v>1837</v>
      </c>
      <c r="C1843" s="31" t="s">
        <v>1966</v>
      </c>
      <c r="D1843" s="34" t="str">
        <f t="array" ref="D1843">IFNA(_xlfn.XLOOKUP(C1843,Table_Tarikan_Warkah[Nomor Sertipikat],Table_Tarikan_Warkah[Nomor Tiket]),"")</f>
        <v>K/11/060325/3</v>
      </c>
      <c r="E1843" s="36">
        <f t="array" ref="E1843">IFNA(_xlfn.XLOOKUP(D1843,Table_Tarikan_Warkah[Nomor Tiket],Table_Tarikan_Warkah[Tanggal diserahkan kepada Validator]),"")</f>
        <v>45775.60724</v>
      </c>
      <c r="F1843" s="36" t="str">
        <f t="array" ref="F1843">IFNA(_xlfn.XLOOKUP(D1843,Table_Tarikan_Warkah[Nomor Tiket],Table_Tarikan_Warkah[Nama Petugas Warkah]),"")</f>
        <v/>
      </c>
      <c r="G1843" s="39" t="str">
        <f t="array" ref="G1843">IFNA(_xlfn.XLOOKUP(D1843,Table_Tarikan_Warkah[Nomor Tiket],Table_Tarikan_Warkah[Jenis Permohonan]),"")</f>
        <v>BN PHB</v>
      </c>
      <c r="H1843" s="41" t="s">
        <v>20</v>
      </c>
      <c r="I1843" s="49" t="s">
        <v>23</v>
      </c>
      <c r="J1843" s="36">
        <f t="shared" si="20"/>
        <v>45771.39614</v>
      </c>
      <c r="K1843" s="49" t="s">
        <v>197</v>
      </c>
      <c r="L1843" s="49" t="s">
        <v>23</v>
      </c>
      <c r="M1843" s="36">
        <f t="shared" si="26"/>
        <v>45772.64112</v>
      </c>
      <c r="N1843" s="30" t="str">
        <f t="shared" si="27"/>
        <v>Selesai</v>
      </c>
      <c r="O1843" s="45">
        <f t="shared" si="23"/>
        <v>45772.64112</v>
      </c>
      <c r="P1843" s="47" t="b">
        <v>1</v>
      </c>
      <c r="Q1843" s="36">
        <f t="shared" si="24"/>
        <v>45772.64143</v>
      </c>
      <c r="R1843" s="47" t="b">
        <v>0</v>
      </c>
      <c r="S1843" s="42" t="str">
        <f t="shared" si="28"/>
        <v/>
      </c>
      <c r="T1843" s="42"/>
    </row>
    <row r="1844" ht="22.5" customHeight="1">
      <c r="B1844" s="42">
        <f t="shared" si="7"/>
        <v>1838</v>
      </c>
      <c r="C1844" s="31" t="s">
        <v>1967</v>
      </c>
      <c r="D1844" s="34" t="str">
        <f t="array" ref="D1844">IFNA(_xlfn.XLOOKUP(C1844,Table_Tarikan_Warkah[Nomor Sertipikat],Table_Tarikan_Warkah[Nomor Tiket]),"")</f>
        <v>K/38/250225/2</v>
      </c>
      <c r="E1844" s="36">
        <f t="array" ref="E1844">IFNA(_xlfn.XLOOKUP(D1844,Table_Tarikan_Warkah[Nomor Tiket],Table_Tarikan_Warkah[Tanggal diserahkan kepada Validator]),"")</f>
        <v>45775.6068</v>
      </c>
      <c r="F1844" s="36" t="str">
        <f t="array" ref="F1844">IFNA(_xlfn.XLOOKUP(D1844,Table_Tarikan_Warkah[Nomor Tiket],Table_Tarikan_Warkah[Nama Petugas Warkah]),"")</f>
        <v/>
      </c>
      <c r="G1844" s="39" t="str">
        <f t="array" ref="G1844">IFNA(_xlfn.XLOOKUP(D1844,Table_Tarikan_Warkah[Nomor Tiket],Table_Tarikan_Warkah[Jenis Permohonan]),"")</f>
        <v>BN Jual Beli</v>
      </c>
      <c r="H1844" s="41" t="s">
        <v>20</v>
      </c>
      <c r="I1844" s="49" t="s">
        <v>23</v>
      </c>
      <c r="J1844" s="36">
        <f t="shared" si="20"/>
        <v>45771.39623</v>
      </c>
      <c r="K1844" s="49" t="s">
        <v>197</v>
      </c>
      <c r="L1844" s="49" t="s">
        <v>23</v>
      </c>
      <c r="M1844" s="36">
        <f t="shared" si="26"/>
        <v>45772.64112</v>
      </c>
      <c r="N1844" s="30" t="str">
        <f t="shared" si="27"/>
        <v>Selesai</v>
      </c>
      <c r="O1844" s="45">
        <f t="shared" si="23"/>
        <v>45772.64112</v>
      </c>
      <c r="P1844" s="47" t="b">
        <v>1</v>
      </c>
      <c r="Q1844" s="36">
        <f t="shared" si="24"/>
        <v>45772.64145</v>
      </c>
      <c r="R1844" s="47" t="b">
        <v>0</v>
      </c>
      <c r="S1844" s="42" t="str">
        <f t="shared" si="28"/>
        <v/>
      </c>
      <c r="T1844" s="42"/>
    </row>
    <row r="1845" ht="22.5" customHeight="1">
      <c r="B1845" s="42">
        <f t="shared" si="7"/>
        <v>1839</v>
      </c>
      <c r="C1845" s="31" t="s">
        <v>1968</v>
      </c>
      <c r="D1845" s="34" t="str">
        <f t="array" ref="D1845">IFNA(_xlfn.XLOOKUP(C1845,Table_Tarikan_Warkah[Nomor Sertipikat],Table_Tarikan_Warkah[Nomor Tiket]),"")</f>
        <v>K/14/250325/1</v>
      </c>
      <c r="E1845" s="36" t="str">
        <f t="array" ref="E1845">IFNA(_xlfn.XLOOKUP(D1845,Table_Tarikan_Warkah[Nomor Tiket],Table_Tarikan_Warkah[Tanggal diserahkan kepada Validator]),"")</f>
        <v/>
      </c>
      <c r="F1845" s="36" t="str">
        <f t="array" ref="F1845">IFNA(_xlfn.XLOOKUP(D1845,Table_Tarikan_Warkah[Nomor Tiket],Table_Tarikan_Warkah[Nama Petugas Warkah]),"")</f>
        <v/>
      </c>
      <c r="G1845" s="39" t="str">
        <f t="array" ref="G1845">IFNA(_xlfn.XLOOKUP(D1845,Table_Tarikan_Warkah[Nomor Tiket],Table_Tarikan_Warkah[Jenis Permohonan]),"")</f>
        <v>BN Waris</v>
      </c>
      <c r="H1845" s="41" t="s">
        <v>20</v>
      </c>
      <c r="I1845" s="49" t="s">
        <v>23</v>
      </c>
      <c r="J1845" s="36">
        <f t="shared" si="20"/>
        <v>45771.3964</v>
      </c>
      <c r="K1845" s="49" t="s">
        <v>197</v>
      </c>
      <c r="L1845" s="49" t="s">
        <v>23</v>
      </c>
      <c r="M1845" s="36">
        <f t="shared" si="26"/>
        <v>45772.64112</v>
      </c>
      <c r="N1845" s="30" t="str">
        <f t="shared" si="27"/>
        <v>Selesai</v>
      </c>
      <c r="O1845" s="45">
        <f t="shared" si="23"/>
        <v>45772.64112</v>
      </c>
      <c r="P1845" s="47" t="b">
        <v>1</v>
      </c>
      <c r="Q1845" s="36">
        <f t="shared" si="24"/>
        <v>45772.64145</v>
      </c>
      <c r="R1845" s="47" t="b">
        <v>0</v>
      </c>
      <c r="S1845" s="42" t="str">
        <f t="shared" si="28"/>
        <v/>
      </c>
      <c r="T1845" s="42"/>
    </row>
    <row r="1846" ht="22.5" customHeight="1">
      <c r="B1846" s="42">
        <f t="shared" si="7"/>
        <v>1840</v>
      </c>
      <c r="C1846" s="31" t="s">
        <v>1969</v>
      </c>
      <c r="D1846" s="34" t="str">
        <f t="array" ref="D1846">IFNA(_xlfn.XLOOKUP(C1846,Table_Tarikan_Warkah[Nomor Sertipikat],Table_Tarikan_Warkah[Nomor Tiket]),"")</f>
        <v>K/13/090425/2</v>
      </c>
      <c r="E1846" s="36">
        <f t="array" ref="E1846">IFNA(_xlfn.XLOOKUP(D1846,Table_Tarikan_Warkah[Nomor Tiket],Table_Tarikan_Warkah[Tanggal diserahkan kepada Validator]),"")</f>
        <v>45775.60833</v>
      </c>
      <c r="F1846" s="36" t="str">
        <f t="array" ref="F1846">IFNA(_xlfn.XLOOKUP(D1846,Table_Tarikan_Warkah[Nomor Tiket],Table_Tarikan_Warkah[Nama Petugas Warkah]),"")</f>
        <v/>
      </c>
      <c r="G1846" s="39" t="str">
        <f t="array" ref="G1846">IFNA(_xlfn.XLOOKUP(D1846,Table_Tarikan_Warkah[Nomor Tiket],Table_Tarikan_Warkah[Jenis Permohonan]),"")</f>
        <v>BN Jual Beli</v>
      </c>
      <c r="H1846" s="41" t="s">
        <v>20</v>
      </c>
      <c r="I1846" s="49" t="s">
        <v>23</v>
      </c>
      <c r="J1846" s="36">
        <f t="shared" si="20"/>
        <v>45771.39653</v>
      </c>
      <c r="K1846" s="49" t="s">
        <v>197</v>
      </c>
      <c r="L1846" s="49" t="s">
        <v>23</v>
      </c>
      <c r="M1846" s="36">
        <f t="shared" si="26"/>
        <v>45772.64112</v>
      </c>
      <c r="N1846" s="30" t="str">
        <f t="shared" si="27"/>
        <v>Selesai</v>
      </c>
      <c r="O1846" s="45">
        <f t="shared" si="23"/>
        <v>45772.64112</v>
      </c>
      <c r="P1846" s="47" t="b">
        <v>1</v>
      </c>
      <c r="Q1846" s="36">
        <f t="shared" si="24"/>
        <v>45772.64146</v>
      </c>
      <c r="R1846" s="47" t="b">
        <v>0</v>
      </c>
      <c r="S1846" s="42" t="str">
        <f t="shared" si="28"/>
        <v/>
      </c>
      <c r="T1846" s="42"/>
    </row>
    <row r="1847" ht="22.5" customHeight="1">
      <c r="B1847" s="42">
        <f t="shared" si="7"/>
        <v>1841</v>
      </c>
      <c r="C1847" s="31" t="s">
        <v>1970</v>
      </c>
      <c r="D1847" s="34" t="str">
        <f t="array" ref="D1847">IFNA(_xlfn.XLOOKUP(C1847,Table_Tarikan_Warkah[Nomor Sertipikat],Table_Tarikan_Warkah[Nomor Tiket]),"")</f>
        <v>K/11/210325/1</v>
      </c>
      <c r="E1847" s="36" t="str">
        <f t="array" ref="E1847">IFNA(_xlfn.XLOOKUP(D1847,Table_Tarikan_Warkah[Nomor Tiket],Table_Tarikan_Warkah[Tanggal diserahkan kepada Validator]),"")</f>
        <v/>
      </c>
      <c r="F1847" s="36" t="str">
        <f t="array" ref="F1847">IFNA(_xlfn.XLOOKUP(D1847,Table_Tarikan_Warkah[Nomor Tiket],Table_Tarikan_Warkah[Nama Petugas Warkah]),"")</f>
        <v/>
      </c>
      <c r="G1847" s="39" t="str">
        <f t="array" ref="G1847">IFNA(_xlfn.XLOOKUP(D1847,Table_Tarikan_Warkah[Nomor Tiket],Table_Tarikan_Warkah[Jenis Permohonan]),"")</f>
        <v>BN Jual Beli</v>
      </c>
      <c r="H1847" s="41" t="s">
        <v>20</v>
      </c>
      <c r="I1847" s="49" t="s">
        <v>23</v>
      </c>
      <c r="J1847" s="36">
        <f t="shared" si="20"/>
        <v>45771.39661</v>
      </c>
      <c r="K1847" s="49" t="s">
        <v>197</v>
      </c>
      <c r="L1847" s="49" t="s">
        <v>23</v>
      </c>
      <c r="M1847" s="36">
        <f t="shared" si="26"/>
        <v>45772.64112</v>
      </c>
      <c r="N1847" s="30" t="str">
        <f t="shared" si="27"/>
        <v>Selesai</v>
      </c>
      <c r="O1847" s="45">
        <f t="shared" si="23"/>
        <v>45772.64112</v>
      </c>
      <c r="P1847" s="47" t="b">
        <v>1</v>
      </c>
      <c r="Q1847" s="36">
        <f t="shared" si="24"/>
        <v>45772.64147</v>
      </c>
      <c r="R1847" s="47" t="b">
        <v>0</v>
      </c>
      <c r="S1847" s="42" t="str">
        <f t="shared" si="28"/>
        <v/>
      </c>
      <c r="T1847" s="42"/>
    </row>
    <row r="1848" ht="22.5" customHeight="1">
      <c r="B1848" s="42">
        <f t="shared" si="7"/>
        <v>1842</v>
      </c>
      <c r="C1848" s="31" t="s">
        <v>1971</v>
      </c>
      <c r="D1848" s="42" t="s">
        <v>1972</v>
      </c>
      <c r="E1848" s="36" t="str">
        <f t="array" ref="E1848">IFNA(_xlfn.XLOOKUP(D1848,Table_Tarikan_Warkah[Nomor Tiket],Table_Tarikan_Warkah[Tanggal diserahkan kepada Validator]),"")</f>
        <v/>
      </c>
      <c r="F1848" s="36" t="str">
        <f t="array" ref="F1848">IFNA(_xlfn.XLOOKUP(D1848,Table_Tarikan_Warkah[Nomor Tiket],Table_Tarikan_Warkah[Nama Petugas Warkah]),"")</f>
        <v/>
      </c>
      <c r="G1848" s="39" t="str">
        <f t="array" ref="G1848">IFNA(_xlfn.XLOOKUP(D1848,Table_Tarikan_Warkah[Nomor Tiket],Table_Tarikan_Warkah[Jenis Permohonan]),"")</f>
        <v>BN Jual Beli</v>
      </c>
      <c r="H1848" s="41" t="s">
        <v>20</v>
      </c>
      <c r="I1848" s="49" t="s">
        <v>23</v>
      </c>
      <c r="J1848" s="36">
        <f t="shared" si="20"/>
        <v>45771.39684</v>
      </c>
      <c r="K1848" s="49" t="s">
        <v>197</v>
      </c>
      <c r="L1848" s="49" t="s">
        <v>23</v>
      </c>
      <c r="M1848" s="36">
        <f t="shared" si="26"/>
        <v>45772.64112</v>
      </c>
      <c r="N1848" s="30" t="str">
        <f t="shared" si="27"/>
        <v>Selesai</v>
      </c>
      <c r="O1848" s="45">
        <f t="shared" si="23"/>
        <v>45772.64112</v>
      </c>
      <c r="P1848" s="47" t="b">
        <v>1</v>
      </c>
      <c r="Q1848" s="36">
        <f t="shared" si="24"/>
        <v>45772.64154</v>
      </c>
      <c r="R1848" s="47" t="b">
        <v>0</v>
      </c>
      <c r="S1848" s="42" t="str">
        <f t="shared" si="28"/>
        <v/>
      </c>
      <c r="T1848" s="42"/>
    </row>
    <row r="1849" ht="22.5" customHeight="1">
      <c r="B1849" s="42">
        <f t="shared" si="7"/>
        <v>1843</v>
      </c>
      <c r="C1849" s="31" t="s">
        <v>1973</v>
      </c>
      <c r="D1849" s="34" t="str">
        <f t="array" ref="D1849">IFNA(_xlfn.XLOOKUP(C1849,Table_Tarikan_Warkah[Nomor Sertipikat],Table_Tarikan_Warkah[Nomor Tiket]),"")</f>
        <v>K/11/270325/1</v>
      </c>
      <c r="E1849" s="36">
        <f t="array" ref="E1849">IFNA(_xlfn.XLOOKUP(D1849,Table_Tarikan_Warkah[Nomor Tiket],Table_Tarikan_Warkah[Tanggal diserahkan kepada Validator]),"")</f>
        <v>45783.4926</v>
      </c>
      <c r="F1849" s="36" t="str">
        <f t="array" ref="F1849">IFNA(_xlfn.XLOOKUP(D1849,Table_Tarikan_Warkah[Nomor Tiket],Table_Tarikan_Warkah[Nama Petugas Warkah]),"")</f>
        <v/>
      </c>
      <c r="G1849" s="39" t="str">
        <f t="array" ref="G1849">IFNA(_xlfn.XLOOKUP(D1849,Table_Tarikan_Warkah[Nomor Tiket],Table_Tarikan_Warkah[Jenis Permohonan]),"")</f>
        <v>Roya</v>
      </c>
      <c r="H1849" s="41" t="s">
        <v>20</v>
      </c>
      <c r="I1849" s="49" t="s">
        <v>23</v>
      </c>
      <c r="J1849" s="36">
        <f t="shared" si="20"/>
        <v>45771.40505</v>
      </c>
      <c r="K1849" s="49" t="s">
        <v>197</v>
      </c>
      <c r="L1849" s="49" t="s">
        <v>23</v>
      </c>
      <c r="M1849" s="36">
        <f t="shared" si="26"/>
        <v>45772.64112</v>
      </c>
      <c r="N1849" s="30" t="str">
        <f t="shared" si="27"/>
        <v>Selesai</v>
      </c>
      <c r="O1849" s="45">
        <f t="shared" si="23"/>
        <v>45772.64112</v>
      </c>
      <c r="P1849" s="47" t="b">
        <v>1</v>
      </c>
      <c r="Q1849" s="36">
        <f t="shared" si="24"/>
        <v>45772.64155</v>
      </c>
      <c r="R1849" s="47" t="b">
        <v>0</v>
      </c>
      <c r="S1849" s="42" t="str">
        <f t="shared" si="28"/>
        <v/>
      </c>
      <c r="T1849" s="42"/>
    </row>
    <row r="1850" ht="22.5" customHeight="1">
      <c r="B1850" s="42">
        <f t="shared" si="7"/>
        <v>1844</v>
      </c>
      <c r="C1850" s="31" t="s">
        <v>1974</v>
      </c>
      <c r="D1850" s="34" t="str">
        <f t="array" ref="D1850">IFNA(_xlfn.XLOOKUP(C1850,Table_Tarikan_Warkah[Nomor Sertipikat],Table_Tarikan_Warkah[Nomor Tiket]),"")</f>
        <v>L/34/210325/1</v>
      </c>
      <c r="E1850" s="36" t="str">
        <f t="array" ref="E1850">IFNA(_xlfn.XLOOKUP(D1850,Table_Tarikan_Warkah[Nomor Tiket],Table_Tarikan_Warkah[Tanggal diserahkan kepada Validator]),"")</f>
        <v/>
      </c>
      <c r="F1850" s="36" t="str">
        <f t="array" ref="F1850">IFNA(_xlfn.XLOOKUP(D1850,Table_Tarikan_Warkah[Nomor Tiket],Table_Tarikan_Warkah[Nama Petugas Warkah]),"")</f>
        <v/>
      </c>
      <c r="G1850" s="39" t="str">
        <f t="array" ref="G1850">IFNA(_xlfn.XLOOKUP(D1850,Table_Tarikan_Warkah[Nomor Tiket],Table_Tarikan_Warkah[Jenis Permohonan]),"")</f>
        <v>BN WARIS</v>
      </c>
      <c r="H1850" s="41" t="s">
        <v>20</v>
      </c>
      <c r="I1850" s="49" t="s">
        <v>23</v>
      </c>
      <c r="J1850" s="36">
        <f t="shared" si="20"/>
        <v>45771.40519</v>
      </c>
      <c r="K1850" s="49" t="s">
        <v>197</v>
      </c>
      <c r="L1850" s="49" t="s">
        <v>23</v>
      </c>
      <c r="M1850" s="36">
        <f t="shared" si="26"/>
        <v>45772.64112</v>
      </c>
      <c r="N1850" s="30" t="str">
        <f t="shared" si="27"/>
        <v>Selesai</v>
      </c>
      <c r="O1850" s="45">
        <f t="shared" si="23"/>
        <v>45772.64112</v>
      </c>
      <c r="P1850" s="47" t="b">
        <v>1</v>
      </c>
      <c r="Q1850" s="36">
        <f t="shared" si="24"/>
        <v>45772.64158</v>
      </c>
      <c r="R1850" s="47" t="b">
        <v>0</v>
      </c>
      <c r="S1850" s="42" t="str">
        <f t="shared" si="28"/>
        <v/>
      </c>
      <c r="T1850" s="42"/>
    </row>
    <row r="1851" ht="22.5" customHeight="1">
      <c r="B1851" s="42">
        <f t="shared" si="7"/>
        <v>1845</v>
      </c>
      <c r="C1851" s="31" t="s">
        <v>1975</v>
      </c>
      <c r="D1851" s="34" t="str">
        <f t="array" ref="D1851">IFNA(_xlfn.XLOOKUP(C1851,Table_Tarikan_Warkah[Nomor Sertipikat],Table_Tarikan_Warkah[Nomor Tiket]),"")</f>
        <v>L/19/190325/1</v>
      </c>
      <c r="E1851" s="36">
        <f t="array" ref="E1851">IFNA(_xlfn.XLOOKUP(D1851,Table_Tarikan_Warkah[Nomor Tiket],Table_Tarikan_Warkah[Tanggal diserahkan kepada Validator]),"")</f>
        <v>45771.63596</v>
      </c>
      <c r="F1851" s="36" t="str">
        <f t="array" ref="F1851">IFNA(_xlfn.XLOOKUP(D1851,Table_Tarikan_Warkah[Nomor Tiket],Table_Tarikan_Warkah[Nama Petugas Warkah]),"")</f>
        <v/>
      </c>
      <c r="G1851" s="39" t="str">
        <f t="array" ref="G1851">IFNA(_xlfn.XLOOKUP(D1851,Table_Tarikan_Warkah[Nomor Tiket],Table_Tarikan_Warkah[Jenis Permohonan]),"")</f>
        <v>BN WARIS</v>
      </c>
      <c r="H1851" s="41" t="s">
        <v>20</v>
      </c>
      <c r="I1851" s="49" t="s">
        <v>23</v>
      </c>
      <c r="J1851" s="36">
        <f t="shared" si="20"/>
        <v>45771.424</v>
      </c>
      <c r="K1851" s="49" t="s">
        <v>197</v>
      </c>
      <c r="L1851" s="49" t="s">
        <v>23</v>
      </c>
      <c r="M1851" s="36">
        <f t="shared" si="26"/>
        <v>45772.64121</v>
      </c>
      <c r="N1851" s="30" t="str">
        <f t="shared" si="27"/>
        <v>Selesai</v>
      </c>
      <c r="O1851" s="45">
        <f t="shared" si="23"/>
        <v>45772.64121</v>
      </c>
      <c r="P1851" s="47" t="b">
        <v>1</v>
      </c>
      <c r="Q1851" s="36">
        <f t="shared" si="24"/>
        <v>45772.6416</v>
      </c>
      <c r="R1851" s="47" t="b">
        <v>0</v>
      </c>
      <c r="S1851" s="42" t="str">
        <f t="shared" si="28"/>
        <v/>
      </c>
      <c r="T1851" s="42"/>
    </row>
    <row r="1852" ht="22.5" customHeight="1">
      <c r="B1852" s="42">
        <f t="shared" si="7"/>
        <v>1846</v>
      </c>
      <c r="C1852" s="31" t="s">
        <v>1976</v>
      </c>
      <c r="D1852" s="30" t="s">
        <v>1977</v>
      </c>
      <c r="E1852" s="36" t="str">
        <f t="array" ref="E1852">IFNA(_xlfn.XLOOKUP(D1852,Table_Tarikan_Warkah[Nomor Tiket],Table_Tarikan_Warkah[Tanggal diserahkan kepada Validator]),"")</f>
        <v/>
      </c>
      <c r="F1852" s="36" t="str">
        <f t="array" ref="F1852">IFNA(_xlfn.XLOOKUP(D1852,Table_Tarikan_Warkah[Nomor Tiket],Table_Tarikan_Warkah[Nama Petugas Warkah]),"")</f>
        <v/>
      </c>
      <c r="G1852" s="39" t="str">
        <f t="array" ref="G1852">IFNA(_xlfn.XLOOKUP(D1852,Table_Tarikan_Warkah[Nomor Tiket],Table_Tarikan_Warkah[Jenis Permohonan]),"")</f>
        <v>BN WARIS</v>
      </c>
      <c r="H1852" s="41" t="s">
        <v>20</v>
      </c>
      <c r="I1852" s="49" t="s">
        <v>23</v>
      </c>
      <c r="J1852" s="36">
        <f t="shared" si="20"/>
        <v>45771.42454</v>
      </c>
      <c r="K1852" s="49" t="s">
        <v>197</v>
      </c>
      <c r="L1852" s="49" t="s">
        <v>23</v>
      </c>
      <c r="M1852" s="36">
        <f t="shared" si="26"/>
        <v>45772.64123</v>
      </c>
      <c r="N1852" s="30" t="str">
        <f t="shared" si="27"/>
        <v>Selesai</v>
      </c>
      <c r="O1852" s="45">
        <f t="shared" si="23"/>
        <v>45772.64123</v>
      </c>
      <c r="P1852" s="47" t="b">
        <v>1</v>
      </c>
      <c r="Q1852" s="36">
        <f t="shared" si="24"/>
        <v>45772.64163</v>
      </c>
      <c r="R1852" s="47" t="b">
        <v>0</v>
      </c>
      <c r="S1852" s="42" t="str">
        <f t="shared" si="28"/>
        <v/>
      </c>
      <c r="T1852" s="42"/>
    </row>
    <row r="1853" ht="22.5" customHeight="1">
      <c r="B1853" s="42">
        <f t="shared" si="7"/>
        <v>1847</v>
      </c>
      <c r="C1853" s="31" t="s">
        <v>1978</v>
      </c>
      <c r="D1853" s="34" t="str">
        <f t="array" ref="D1853">IFNA(_xlfn.XLOOKUP(C1853,Table_Tarikan_Warkah[Nomor Sertipikat],Table_Tarikan_Warkah[Nomor Tiket]),"")</f>
        <v>L/5/240125/1</v>
      </c>
      <c r="E1853" s="36" t="str">
        <f t="array" ref="E1853">IFNA(_xlfn.XLOOKUP(D1853,Table_Tarikan_Warkah[Nomor Tiket],Table_Tarikan_Warkah[Tanggal diserahkan kepada Validator]),"")</f>
        <v/>
      </c>
      <c r="F1853" s="36" t="str">
        <f t="array" ref="F1853">IFNA(_xlfn.XLOOKUP(D1853,Table_Tarikan_Warkah[Nomor Tiket],Table_Tarikan_Warkah[Nama Petugas Warkah]),"")</f>
        <v>David</v>
      </c>
      <c r="G1853" s="39" t="str">
        <f t="array" ref="G1853">IFNA(_xlfn.XLOOKUP(D1853,Table_Tarikan_Warkah[Nomor Tiket],Table_Tarikan_Warkah[Jenis Permohonan]),"")</f>
        <v>ROYA</v>
      </c>
      <c r="H1853" s="41" t="s">
        <v>20</v>
      </c>
      <c r="I1853" s="49" t="s">
        <v>23</v>
      </c>
      <c r="J1853" s="36">
        <f t="shared" si="20"/>
        <v>45771.59891</v>
      </c>
      <c r="K1853" s="49" t="s">
        <v>26</v>
      </c>
      <c r="L1853" s="49" t="s">
        <v>23</v>
      </c>
      <c r="M1853" s="36">
        <f t="shared" si="26"/>
        <v>45771.59899</v>
      </c>
      <c r="N1853" s="30" t="str">
        <f t="shared" si="27"/>
        <v>Selesai</v>
      </c>
      <c r="O1853" s="45">
        <f t="shared" si="23"/>
        <v>45771.59899</v>
      </c>
      <c r="P1853" s="47" t="b">
        <v>1</v>
      </c>
      <c r="Q1853" s="36">
        <f t="shared" si="24"/>
        <v>45771.59902</v>
      </c>
      <c r="R1853" s="47" t="b">
        <v>0</v>
      </c>
      <c r="S1853" s="42" t="str">
        <f t="shared" si="28"/>
        <v/>
      </c>
      <c r="T1853" s="42"/>
    </row>
    <row r="1854" ht="22.5" customHeight="1">
      <c r="B1854" s="42">
        <f t="shared" si="7"/>
        <v>1848</v>
      </c>
      <c r="C1854" s="31" t="s">
        <v>1979</v>
      </c>
      <c r="D1854" s="34" t="str">
        <f t="array" ref="D1854">IFNA(_xlfn.XLOOKUP(C1854,Table_Tarikan_Warkah[Nomor Sertipikat],Table_Tarikan_Warkah[Nomor Tiket]),"")</f>
        <v>K/33/190325/1</v>
      </c>
      <c r="E1854" s="36" t="str">
        <f t="array" ref="E1854">IFNA(_xlfn.XLOOKUP(D1854,Table_Tarikan_Warkah[Nomor Tiket],Table_Tarikan_Warkah[Tanggal diserahkan kepada Validator]),"")</f>
        <v/>
      </c>
      <c r="F1854" s="36" t="str">
        <f t="array" ref="F1854">IFNA(_xlfn.XLOOKUP(D1854,Table_Tarikan_Warkah[Nomor Tiket],Table_Tarikan_Warkah[Nama Petugas Warkah]),"")</f>
        <v/>
      </c>
      <c r="G1854" s="39" t="str">
        <f t="array" ref="G1854">IFNA(_xlfn.XLOOKUP(D1854,Table_Tarikan_Warkah[Nomor Tiket],Table_Tarikan_Warkah[Jenis Permohonan]),"")</f>
        <v>ROYA</v>
      </c>
      <c r="H1854" s="41" t="s">
        <v>20</v>
      </c>
      <c r="I1854" s="49" t="s">
        <v>23</v>
      </c>
      <c r="J1854" s="36">
        <f t="shared" si="20"/>
        <v>45771.59894</v>
      </c>
      <c r="K1854" s="49" t="s">
        <v>26</v>
      </c>
      <c r="L1854" s="49" t="s">
        <v>23</v>
      </c>
      <c r="M1854" s="36">
        <f t="shared" si="26"/>
        <v>45771.59901</v>
      </c>
      <c r="N1854" s="30" t="str">
        <f t="shared" si="27"/>
        <v>Selesai</v>
      </c>
      <c r="O1854" s="45">
        <f t="shared" si="23"/>
        <v>45771.59901</v>
      </c>
      <c r="P1854" s="47" t="b">
        <v>1</v>
      </c>
      <c r="Q1854" s="36">
        <f t="shared" si="24"/>
        <v>45771.59908</v>
      </c>
      <c r="R1854" s="47" t="b">
        <v>0</v>
      </c>
      <c r="S1854" s="42" t="str">
        <f t="shared" si="28"/>
        <v/>
      </c>
      <c r="T1854" s="42"/>
    </row>
    <row r="1855" ht="22.5" customHeight="1">
      <c r="B1855" s="42">
        <f t="shared" si="7"/>
        <v>1849</v>
      </c>
      <c r="C1855" s="31" t="s">
        <v>1980</v>
      </c>
      <c r="D1855" s="34" t="str">
        <f t="array" ref="D1855">IFNA(_xlfn.XLOOKUP(C1855,Table_Tarikan_Warkah[Nomor Sertipikat],Table_Tarikan_Warkah[Nomor Tiket]),"")</f>
        <v>K/24/240325/4</v>
      </c>
      <c r="E1855" s="36" t="str">
        <f t="array" ref="E1855">IFNA(_xlfn.XLOOKUP(D1855,Table_Tarikan_Warkah[Nomor Tiket],Table_Tarikan_Warkah[Tanggal diserahkan kepada Validator]),"")</f>
        <v/>
      </c>
      <c r="F1855" s="36" t="str">
        <f t="array" ref="F1855">IFNA(_xlfn.XLOOKUP(D1855,Table_Tarikan_Warkah[Nomor Tiket],Table_Tarikan_Warkah[Nama Petugas Warkah]),"")</f>
        <v/>
      </c>
      <c r="G1855" s="39" t="str">
        <f t="array" ref="G1855">IFNA(_xlfn.XLOOKUP(D1855,Table_Tarikan_Warkah[Nomor Tiket],Table_Tarikan_Warkah[Jenis Permohonan]),"")</f>
        <v>JUAL BELI</v>
      </c>
      <c r="H1855" s="41" t="s">
        <v>11</v>
      </c>
      <c r="I1855" s="49" t="s">
        <v>23</v>
      </c>
      <c r="J1855" s="36">
        <f t="shared" si="20"/>
        <v>45771.64348</v>
      </c>
      <c r="K1855" s="49" t="s">
        <v>197</v>
      </c>
      <c r="L1855" s="49" t="s">
        <v>23</v>
      </c>
      <c r="M1855" s="36">
        <f t="shared" si="26"/>
        <v>45772.64093</v>
      </c>
      <c r="N1855" s="30" t="str">
        <f t="shared" si="27"/>
        <v>Selesai</v>
      </c>
      <c r="O1855" s="45">
        <f t="shared" si="23"/>
        <v>45772.64093</v>
      </c>
      <c r="P1855" s="47" t="b">
        <v>1</v>
      </c>
      <c r="Q1855" s="36">
        <f t="shared" si="24"/>
        <v>45772.64175</v>
      </c>
      <c r="R1855" s="47" t="b">
        <v>0</v>
      </c>
      <c r="S1855" s="42" t="str">
        <f t="shared" si="28"/>
        <v/>
      </c>
      <c r="T1855" s="42"/>
    </row>
    <row r="1856" ht="22.5" customHeight="1">
      <c r="B1856" s="42">
        <f t="shared" si="7"/>
        <v>1850</v>
      </c>
      <c r="C1856" s="31" t="s">
        <v>1981</v>
      </c>
      <c r="D1856" s="34" t="str">
        <f t="array" ref="D1856">IFNA(_xlfn.XLOOKUP(C1856,Table_Tarikan_Warkah[Nomor Sertipikat],Table_Tarikan_Warkah[Nomor Tiket]),"")</f>
        <v>K/25/200325/1</v>
      </c>
      <c r="E1856" s="36" t="str">
        <f t="array" ref="E1856">IFNA(_xlfn.XLOOKUP(D1856,Table_Tarikan_Warkah[Nomor Tiket],Table_Tarikan_Warkah[Tanggal diserahkan kepada Validator]),"")</f>
        <v/>
      </c>
      <c r="F1856" s="36" t="str">
        <f t="array" ref="F1856">IFNA(_xlfn.XLOOKUP(D1856,Table_Tarikan_Warkah[Nomor Tiket],Table_Tarikan_Warkah[Nama Petugas Warkah]),"")</f>
        <v/>
      </c>
      <c r="G1856" s="39" t="str">
        <f t="array" ref="G1856">IFNA(_xlfn.XLOOKUP(D1856,Table_Tarikan_Warkah[Nomor Tiket],Table_Tarikan_Warkah[Jenis Permohonan]),"")</f>
        <v>KEWARISAN</v>
      </c>
      <c r="H1856" s="41" t="s">
        <v>11</v>
      </c>
      <c r="I1856" s="49" t="s">
        <v>23</v>
      </c>
      <c r="J1856" s="36">
        <f t="shared" si="20"/>
        <v>45771.6435</v>
      </c>
      <c r="K1856" s="49" t="s">
        <v>197</v>
      </c>
      <c r="L1856" s="49" t="s">
        <v>23</v>
      </c>
      <c r="M1856" s="36">
        <f t="shared" si="26"/>
        <v>45772.64093</v>
      </c>
      <c r="N1856" s="30" t="str">
        <f t="shared" si="27"/>
        <v>Selesai</v>
      </c>
      <c r="O1856" s="45">
        <f t="shared" si="23"/>
        <v>45772.64093</v>
      </c>
      <c r="P1856" s="47" t="b">
        <v>1</v>
      </c>
      <c r="Q1856" s="36">
        <f t="shared" si="24"/>
        <v>45772.64176</v>
      </c>
      <c r="R1856" s="47" t="b">
        <v>0</v>
      </c>
      <c r="S1856" s="42" t="str">
        <f t="shared" si="28"/>
        <v/>
      </c>
      <c r="T1856" s="42"/>
    </row>
    <row r="1857" ht="22.5" customHeight="1">
      <c r="B1857" s="42">
        <f t="shared" si="7"/>
        <v>1851</v>
      </c>
      <c r="C1857" s="31" t="s">
        <v>1982</v>
      </c>
      <c r="D1857" s="34" t="str">
        <f t="array" ref="D1857">IFNA(_xlfn.XLOOKUP(C1857,Table_Tarikan_Warkah[Nomor Sertipikat],Table_Tarikan_Warkah[Nomor Tiket]),"")</f>
        <v>K/26/260325/1</v>
      </c>
      <c r="E1857" s="36" t="str">
        <f t="array" ref="E1857">IFNA(_xlfn.XLOOKUP(D1857,Table_Tarikan_Warkah[Nomor Tiket],Table_Tarikan_Warkah[Tanggal diserahkan kepada Validator]),"")</f>
        <v/>
      </c>
      <c r="F1857" s="36" t="str">
        <f t="array" ref="F1857">IFNA(_xlfn.XLOOKUP(D1857,Table_Tarikan_Warkah[Nomor Tiket],Table_Tarikan_Warkah[Nama Petugas Warkah]),"")</f>
        <v/>
      </c>
      <c r="G1857" s="39" t="str">
        <f t="array" ref="G1857">IFNA(_xlfn.XLOOKUP(D1857,Table_Tarikan_Warkah[Nomor Tiket],Table_Tarikan_Warkah[Jenis Permohonan]),"")</f>
        <v>JUAL BELI</v>
      </c>
      <c r="H1857" s="41" t="s">
        <v>11</v>
      </c>
      <c r="I1857" s="49" t="s">
        <v>23</v>
      </c>
      <c r="J1857" s="36">
        <f t="shared" si="20"/>
        <v>45771.6435</v>
      </c>
      <c r="K1857" s="49" t="s">
        <v>197</v>
      </c>
      <c r="L1857" s="49" t="s">
        <v>23</v>
      </c>
      <c r="M1857" s="36">
        <f t="shared" si="26"/>
        <v>45772.64093</v>
      </c>
      <c r="N1857" s="30" t="str">
        <f t="shared" si="27"/>
        <v>Selesai</v>
      </c>
      <c r="O1857" s="45">
        <f t="shared" si="23"/>
        <v>45772.64093</v>
      </c>
      <c r="P1857" s="47" t="b">
        <v>1</v>
      </c>
      <c r="Q1857" s="36">
        <f t="shared" si="24"/>
        <v>45772.64177</v>
      </c>
      <c r="R1857" s="47" t="b">
        <v>0</v>
      </c>
      <c r="S1857" s="42" t="str">
        <f t="shared" si="28"/>
        <v/>
      </c>
      <c r="T1857" s="42"/>
    </row>
    <row r="1858" ht="22.5" customHeight="1">
      <c r="B1858" s="42">
        <f t="shared" si="7"/>
        <v>1852</v>
      </c>
      <c r="C1858" s="31" t="s">
        <v>1983</v>
      </c>
      <c r="D1858" s="34" t="str">
        <f t="array" ref="D1858">IFNA(_xlfn.XLOOKUP(C1858,Table_Tarikan_Warkah[Nomor Sertipikat],Table_Tarikan_Warkah[Nomor Tiket]),"")</f>
        <v>L/49/240325/3</v>
      </c>
      <c r="E1858" s="36" t="str">
        <f t="array" ref="E1858">IFNA(_xlfn.XLOOKUP(D1858,Table_Tarikan_Warkah[Nomor Tiket],Table_Tarikan_Warkah[Tanggal diserahkan kepada Validator]),"")</f>
        <v/>
      </c>
      <c r="F1858" s="36" t="str">
        <f t="array" ref="F1858">IFNA(_xlfn.XLOOKUP(D1858,Table_Tarikan_Warkah[Nomor Tiket],Table_Tarikan_Warkah[Nama Petugas Warkah]),"")</f>
        <v/>
      </c>
      <c r="G1858" s="39" t="str">
        <f t="array" ref="G1858">IFNA(_xlfn.XLOOKUP(D1858,Table_Tarikan_Warkah[Nomor Tiket],Table_Tarikan_Warkah[Jenis Permohonan]),"")</f>
        <v>GANTI BLANGKO</v>
      </c>
      <c r="H1858" s="41" t="s">
        <v>11</v>
      </c>
      <c r="I1858" s="49" t="s">
        <v>23</v>
      </c>
      <c r="J1858" s="36">
        <f t="shared" si="20"/>
        <v>45771.6435</v>
      </c>
      <c r="K1858" s="49" t="s">
        <v>197</v>
      </c>
      <c r="L1858" s="49" t="s">
        <v>23</v>
      </c>
      <c r="M1858" s="36">
        <f t="shared" si="26"/>
        <v>45772.64093</v>
      </c>
      <c r="N1858" s="30" t="str">
        <f t="shared" si="27"/>
        <v>Selesai</v>
      </c>
      <c r="O1858" s="45">
        <f t="shared" si="23"/>
        <v>45772.64093</v>
      </c>
      <c r="P1858" s="47" t="b">
        <v>1</v>
      </c>
      <c r="Q1858" s="36">
        <f t="shared" si="24"/>
        <v>45772.64179</v>
      </c>
      <c r="R1858" s="47" t="b">
        <v>0</v>
      </c>
      <c r="S1858" s="42" t="str">
        <f t="shared" si="28"/>
        <v/>
      </c>
      <c r="T1858" s="42"/>
    </row>
    <row r="1859" ht="22.5" customHeight="1">
      <c r="B1859" s="42">
        <f t="shared" si="7"/>
        <v>1853</v>
      </c>
      <c r="C1859" s="31" t="s">
        <v>1984</v>
      </c>
      <c r="D1859" s="34" t="str">
        <f t="array" ref="D1859">IFNA(_xlfn.XLOOKUP(C1859,Table_Tarikan_Warkah[Nomor Sertipikat],Table_Tarikan_Warkah[Nomor Tiket]),"")</f>
        <v>L/1/110425/1</v>
      </c>
      <c r="E1859" s="36">
        <f t="array" ref="E1859">IFNA(_xlfn.XLOOKUP(D1859,Table_Tarikan_Warkah[Nomor Tiket],Table_Tarikan_Warkah[Tanggal diserahkan kepada Validator]),"")</f>
        <v>45793.46804</v>
      </c>
      <c r="F1859" s="36" t="str">
        <f t="array" ref="F1859">IFNA(_xlfn.XLOOKUP(D1859,Table_Tarikan_Warkah[Nomor Tiket],Table_Tarikan_Warkah[Nama Petugas Warkah]),"")</f>
        <v>David</v>
      </c>
      <c r="G1859" s="39" t="str">
        <f t="array" ref="G1859">IFNA(_xlfn.XLOOKUP(D1859,Table_Tarikan_Warkah[Nomor Tiket],Table_Tarikan_Warkah[Jenis Permohonan]),"")</f>
        <v>ROYA</v>
      </c>
      <c r="H1859" s="41" t="s">
        <v>11</v>
      </c>
      <c r="I1859" s="49" t="s">
        <v>23</v>
      </c>
      <c r="J1859" s="36">
        <f t="shared" si="20"/>
        <v>45771.6435</v>
      </c>
      <c r="K1859" s="49" t="s">
        <v>197</v>
      </c>
      <c r="L1859" s="49" t="s">
        <v>23</v>
      </c>
      <c r="M1859" s="36">
        <f t="shared" si="26"/>
        <v>45772.64093</v>
      </c>
      <c r="N1859" s="30" t="str">
        <f t="shared" si="27"/>
        <v>Selesai</v>
      </c>
      <c r="O1859" s="45">
        <f t="shared" si="23"/>
        <v>45772.64093</v>
      </c>
      <c r="P1859" s="47" t="b">
        <v>1</v>
      </c>
      <c r="Q1859" s="36">
        <f t="shared" si="24"/>
        <v>45772.6418</v>
      </c>
      <c r="R1859" s="47" t="b">
        <v>0</v>
      </c>
      <c r="S1859" s="42" t="str">
        <f t="shared" si="28"/>
        <v/>
      </c>
      <c r="T1859" s="42"/>
    </row>
    <row r="1860" ht="22.5" customHeight="1">
      <c r="B1860" s="42">
        <f t="shared" si="7"/>
        <v>1854</v>
      </c>
      <c r="C1860" s="31" t="s">
        <v>1985</v>
      </c>
      <c r="D1860" s="34" t="str">
        <f t="array" ref="D1860">IFNA(_xlfn.XLOOKUP(C1860,Table_Tarikan_Warkah[Nomor Sertipikat],Table_Tarikan_Warkah[Nomor Tiket]),"")</f>
        <v>K/6/250325/1</v>
      </c>
      <c r="E1860" s="36" t="str">
        <f t="array" ref="E1860">IFNA(_xlfn.XLOOKUP(D1860,Table_Tarikan_Warkah[Nomor Tiket],Table_Tarikan_Warkah[Tanggal diserahkan kepada Validator]),"")</f>
        <v/>
      </c>
      <c r="F1860" s="36" t="str">
        <f t="array" ref="F1860">IFNA(_xlfn.XLOOKUP(D1860,Table_Tarikan_Warkah[Nomor Tiket],Table_Tarikan_Warkah[Nama Petugas Warkah]),"")</f>
        <v/>
      </c>
      <c r="G1860" s="39" t="str">
        <f t="array" ref="G1860">IFNA(_xlfn.XLOOKUP(D1860,Table_Tarikan_Warkah[Nomor Tiket],Table_Tarikan_Warkah[Jenis Permohonan]),"")</f>
        <v>BN JUAL BELI</v>
      </c>
      <c r="H1860" s="41" t="s">
        <v>11</v>
      </c>
      <c r="I1860" s="49" t="s">
        <v>23</v>
      </c>
      <c r="J1860" s="36">
        <f t="shared" si="20"/>
        <v>45771.6435</v>
      </c>
      <c r="K1860" s="49" t="s">
        <v>197</v>
      </c>
      <c r="L1860" s="49" t="s">
        <v>23</v>
      </c>
      <c r="M1860" s="36">
        <f t="shared" si="26"/>
        <v>45772.64093</v>
      </c>
      <c r="N1860" s="30" t="str">
        <f t="shared" si="27"/>
        <v>Selesai</v>
      </c>
      <c r="O1860" s="45">
        <f t="shared" si="23"/>
        <v>45772.64093</v>
      </c>
      <c r="P1860" s="47" t="b">
        <v>1</v>
      </c>
      <c r="Q1860" s="36">
        <f t="shared" si="24"/>
        <v>45772.64182</v>
      </c>
      <c r="R1860" s="47" t="b">
        <v>0</v>
      </c>
      <c r="S1860" s="42" t="str">
        <f t="shared" si="28"/>
        <v/>
      </c>
      <c r="T1860" s="42"/>
    </row>
    <row r="1861" ht="22.5" customHeight="1">
      <c r="B1861" s="42">
        <f t="shared" si="7"/>
        <v>1855</v>
      </c>
      <c r="C1861" s="31" t="s">
        <v>1986</v>
      </c>
      <c r="D1861" s="34" t="str">
        <f t="array" ref="D1861">IFNA(_xlfn.XLOOKUP(C1861,Table_Tarikan_Warkah[Nomor Sertipikat],Table_Tarikan_Warkah[Nomor Tiket]),"")</f>
        <v>K/11/240325/1</v>
      </c>
      <c r="E1861" s="36" t="str">
        <f t="array" ref="E1861">IFNA(_xlfn.XLOOKUP(D1861,Table_Tarikan_Warkah[Nomor Tiket],Table_Tarikan_Warkah[Tanggal diserahkan kepada Validator]),"")</f>
        <v/>
      </c>
      <c r="F1861" s="36" t="str">
        <f t="array" ref="F1861">IFNA(_xlfn.XLOOKUP(D1861,Table_Tarikan_Warkah[Nomor Tiket],Table_Tarikan_Warkah[Nama Petugas Warkah]),"")</f>
        <v/>
      </c>
      <c r="G1861" s="39" t="str">
        <f t="array" ref="G1861">IFNA(_xlfn.XLOOKUP(D1861,Table_Tarikan_Warkah[Nomor Tiket],Table_Tarikan_Warkah[Jenis Permohonan]),"")</f>
        <v>BN JUAL BELI</v>
      </c>
      <c r="H1861" s="41" t="s">
        <v>11</v>
      </c>
      <c r="I1861" s="49" t="s">
        <v>23</v>
      </c>
      <c r="J1861" s="36">
        <f t="shared" si="20"/>
        <v>45771.6435</v>
      </c>
      <c r="K1861" s="49" t="s">
        <v>197</v>
      </c>
      <c r="L1861" s="49" t="s">
        <v>23</v>
      </c>
      <c r="M1861" s="36">
        <f t="shared" si="26"/>
        <v>45772.64093</v>
      </c>
      <c r="N1861" s="30" t="str">
        <f t="shared" si="27"/>
        <v>Selesai</v>
      </c>
      <c r="O1861" s="45">
        <f t="shared" si="23"/>
        <v>45772.64093</v>
      </c>
      <c r="P1861" s="47" t="b">
        <v>1</v>
      </c>
      <c r="Q1861" s="36">
        <f t="shared" si="24"/>
        <v>45772.64182</v>
      </c>
      <c r="R1861" s="47" t="b">
        <v>0</v>
      </c>
      <c r="S1861" s="42" t="str">
        <f t="shared" si="28"/>
        <v/>
      </c>
      <c r="T1861" s="42"/>
    </row>
    <row r="1862" ht="22.5" customHeight="1">
      <c r="B1862" s="42">
        <f t="shared" si="7"/>
        <v>1856</v>
      </c>
      <c r="C1862" s="31" t="s">
        <v>1987</v>
      </c>
      <c r="D1862" s="34" t="str">
        <f t="array" ref="D1862">IFNA(_xlfn.XLOOKUP(C1862,Table_Tarikan_Warkah[Nomor Sertipikat],Table_Tarikan_Warkah[Nomor Tiket]),"")</f>
        <v>K/8/090425/2</v>
      </c>
      <c r="E1862" s="36" t="str">
        <f t="array" ref="E1862">IFNA(_xlfn.XLOOKUP(D1862,Table_Tarikan_Warkah[Nomor Tiket],Table_Tarikan_Warkah[Tanggal diserahkan kepada Validator]),"")</f>
        <v/>
      </c>
      <c r="F1862" s="36" t="str">
        <f t="array" ref="F1862">IFNA(_xlfn.XLOOKUP(D1862,Table_Tarikan_Warkah[Nomor Tiket],Table_Tarikan_Warkah[Nama Petugas Warkah]),"")</f>
        <v/>
      </c>
      <c r="G1862" s="39" t="str">
        <f t="array" ref="G1862">IFNA(_xlfn.XLOOKUP(D1862,Table_Tarikan_Warkah[Nomor Tiket],Table_Tarikan_Warkah[Jenis Permohonan]),"")</f>
        <v>JUAL BELI</v>
      </c>
      <c r="H1862" s="41" t="s">
        <v>11</v>
      </c>
      <c r="I1862" s="49" t="s">
        <v>23</v>
      </c>
      <c r="J1862" s="36">
        <f t="shared" si="20"/>
        <v>45771.64353</v>
      </c>
      <c r="K1862" s="49" t="s">
        <v>197</v>
      </c>
      <c r="L1862" s="49" t="s">
        <v>23</v>
      </c>
      <c r="M1862" s="36">
        <f t="shared" si="26"/>
        <v>45772.64093</v>
      </c>
      <c r="N1862" s="30" t="str">
        <f t="shared" si="27"/>
        <v>Selesai</v>
      </c>
      <c r="O1862" s="45">
        <f t="shared" si="23"/>
        <v>45772.64093</v>
      </c>
      <c r="P1862" s="47" t="b">
        <v>1</v>
      </c>
      <c r="Q1862" s="36">
        <f t="shared" si="24"/>
        <v>45772.64183</v>
      </c>
      <c r="R1862" s="47" t="b">
        <v>0</v>
      </c>
      <c r="S1862" s="42" t="str">
        <f t="shared" si="28"/>
        <v/>
      </c>
      <c r="T1862" s="42"/>
    </row>
    <row r="1863" ht="22.5" customHeight="1">
      <c r="B1863" s="42">
        <f t="shared" si="7"/>
        <v>1857</v>
      </c>
      <c r="C1863" s="31" t="s">
        <v>1988</v>
      </c>
      <c r="D1863" s="34" t="str">
        <f t="array" ref="D1863">IFNA(_xlfn.XLOOKUP(C1863,Table_Tarikan_Warkah[Nomor Sertipikat],Table_Tarikan_Warkah[Nomor Tiket]),"")</f>
        <v>K/51/240325/1</v>
      </c>
      <c r="E1863" s="36" t="str">
        <f t="array" ref="E1863">IFNA(_xlfn.XLOOKUP(D1863,Table_Tarikan_Warkah[Nomor Tiket],Table_Tarikan_Warkah[Tanggal diserahkan kepada Validator]),"")</f>
        <v/>
      </c>
      <c r="F1863" s="36" t="str">
        <f t="array" ref="F1863">IFNA(_xlfn.XLOOKUP(D1863,Table_Tarikan_Warkah[Nomor Tiket],Table_Tarikan_Warkah[Nama Petugas Warkah]),"")</f>
        <v/>
      </c>
      <c r="G1863" s="39" t="str">
        <f t="array" ref="G1863">IFNA(_xlfn.XLOOKUP(D1863,Table_Tarikan_Warkah[Nomor Tiket],Table_Tarikan_Warkah[Jenis Permohonan]),"")</f>
        <v>BN JUAL BELI</v>
      </c>
      <c r="H1863" s="41" t="s">
        <v>11</v>
      </c>
      <c r="I1863" s="49" t="s">
        <v>23</v>
      </c>
      <c r="J1863" s="36">
        <f t="shared" si="20"/>
        <v>45771.64353</v>
      </c>
      <c r="K1863" s="49" t="s">
        <v>197</v>
      </c>
      <c r="L1863" s="49" t="s">
        <v>23</v>
      </c>
      <c r="M1863" s="36">
        <f t="shared" si="26"/>
        <v>45772.64093</v>
      </c>
      <c r="N1863" s="30" t="str">
        <f t="shared" si="27"/>
        <v>Selesai</v>
      </c>
      <c r="O1863" s="45">
        <f t="shared" si="23"/>
        <v>45772.64093</v>
      </c>
      <c r="P1863" s="47" t="b">
        <v>1</v>
      </c>
      <c r="Q1863" s="36">
        <f t="shared" si="24"/>
        <v>45772.64184</v>
      </c>
      <c r="R1863" s="47" t="b">
        <v>0</v>
      </c>
      <c r="S1863" s="42" t="str">
        <f t="shared" si="28"/>
        <v/>
      </c>
      <c r="T1863" s="42"/>
    </row>
    <row r="1864" ht="22.5" customHeight="1">
      <c r="B1864" s="42">
        <f t="shared" si="7"/>
        <v>1858</v>
      </c>
      <c r="C1864" s="31" t="s">
        <v>1989</v>
      </c>
      <c r="D1864" s="34" t="str">
        <f t="array" ref="D1864">IFNA(_xlfn.XLOOKUP(C1864,Table_Tarikan_Warkah[Nomor Sertipikat],Table_Tarikan_Warkah[Nomor Tiket]),"")</f>
        <v>K/40/190325/1</v>
      </c>
      <c r="E1864" s="36">
        <f t="array" ref="E1864">IFNA(_xlfn.XLOOKUP(D1864,Table_Tarikan_Warkah[Nomor Tiket],Table_Tarikan_Warkah[Tanggal diserahkan kepada Validator]),"")</f>
        <v>45775.60056</v>
      </c>
      <c r="F1864" s="36" t="str">
        <f t="array" ref="F1864">IFNA(_xlfn.XLOOKUP(D1864,Table_Tarikan_Warkah[Nomor Tiket],Table_Tarikan_Warkah[Nama Petugas Warkah]),"")</f>
        <v/>
      </c>
      <c r="G1864" s="39" t="str">
        <f t="array" ref="G1864">IFNA(_xlfn.XLOOKUP(D1864,Table_Tarikan_Warkah[Nomor Tiket],Table_Tarikan_Warkah[Jenis Permohonan]),"")</f>
        <v>BN JUAL BELI</v>
      </c>
      <c r="H1864" s="41" t="s">
        <v>20</v>
      </c>
      <c r="I1864" s="49" t="s">
        <v>23</v>
      </c>
      <c r="J1864" s="36">
        <f t="shared" si="20"/>
        <v>45771.73623</v>
      </c>
      <c r="K1864" s="49" t="s">
        <v>197</v>
      </c>
      <c r="L1864" s="49" t="s">
        <v>23</v>
      </c>
      <c r="M1864" s="36">
        <f t="shared" si="26"/>
        <v>45772.64093</v>
      </c>
      <c r="N1864" s="30" t="str">
        <f t="shared" si="27"/>
        <v>Selesai</v>
      </c>
      <c r="O1864" s="45">
        <f t="shared" si="23"/>
        <v>45772.64093</v>
      </c>
      <c r="P1864" s="47" t="b">
        <v>1</v>
      </c>
      <c r="Q1864" s="36">
        <f t="shared" si="24"/>
        <v>45772.64185</v>
      </c>
      <c r="R1864" s="47" t="b">
        <v>0</v>
      </c>
      <c r="S1864" s="42" t="str">
        <f t="shared" si="28"/>
        <v/>
      </c>
      <c r="T1864" s="42"/>
    </row>
    <row r="1865" ht="22.5" customHeight="1">
      <c r="B1865" s="42">
        <f t="shared" si="7"/>
        <v>1859</v>
      </c>
      <c r="C1865" s="31" t="s">
        <v>1990</v>
      </c>
      <c r="D1865" s="34" t="str">
        <f t="array" ref="D1865">IFNA(_xlfn.XLOOKUP(C1865,Table_Tarikan_Warkah[Nomor Sertipikat],Table_Tarikan_Warkah[Nomor Tiket]),"")</f>
        <v>K/20/140425/1</v>
      </c>
      <c r="E1865" s="36">
        <f t="array" ref="E1865">IFNA(_xlfn.XLOOKUP(D1865,Table_Tarikan_Warkah[Nomor Tiket],Table_Tarikan_Warkah[Tanggal diserahkan kepada Validator]),"")</f>
        <v>45775.60106</v>
      </c>
      <c r="F1865" s="36" t="str">
        <f t="array" ref="F1865">IFNA(_xlfn.XLOOKUP(D1865,Table_Tarikan_Warkah[Nomor Tiket],Table_Tarikan_Warkah[Nama Petugas Warkah]),"")</f>
        <v/>
      </c>
      <c r="G1865" s="39" t="str">
        <f t="array" ref="G1865">IFNA(_xlfn.XLOOKUP(D1865,Table_Tarikan_Warkah[Nomor Tiket],Table_Tarikan_Warkah[Jenis Permohonan]),"")</f>
        <v>BN JUAL BELI</v>
      </c>
      <c r="H1865" s="41" t="s">
        <v>20</v>
      </c>
      <c r="I1865" s="49" t="s">
        <v>23</v>
      </c>
      <c r="J1865" s="36">
        <f t="shared" si="20"/>
        <v>45771.73625</v>
      </c>
      <c r="K1865" s="49" t="s">
        <v>197</v>
      </c>
      <c r="L1865" s="49" t="s">
        <v>23</v>
      </c>
      <c r="M1865" s="36">
        <f t="shared" si="26"/>
        <v>45772.64093</v>
      </c>
      <c r="N1865" s="30" t="str">
        <f t="shared" si="27"/>
        <v>Selesai</v>
      </c>
      <c r="O1865" s="45">
        <f t="shared" si="23"/>
        <v>45772.64093</v>
      </c>
      <c r="P1865" s="47" t="b">
        <v>1</v>
      </c>
      <c r="Q1865" s="36">
        <f t="shared" si="24"/>
        <v>45772.64188</v>
      </c>
      <c r="R1865" s="47" t="b">
        <v>0</v>
      </c>
      <c r="S1865" s="42" t="str">
        <f t="shared" si="28"/>
        <v/>
      </c>
      <c r="T1865" s="42"/>
    </row>
    <row r="1866" ht="22.5" customHeight="1">
      <c r="B1866" s="42">
        <f t="shared" si="7"/>
        <v>1860</v>
      </c>
      <c r="C1866" s="31" t="s">
        <v>1991</v>
      </c>
      <c r="D1866" s="34" t="str">
        <f t="array" ref="D1866">IFNA(_xlfn.XLOOKUP(C1866,Table_Tarikan_Warkah[Nomor Sertipikat],Table_Tarikan_Warkah[Nomor Tiket]),"")</f>
        <v>K/69/261124/2</v>
      </c>
      <c r="E1866" s="36">
        <f t="array" ref="E1866">IFNA(_xlfn.XLOOKUP(D1866,Table_Tarikan_Warkah[Nomor Tiket],Table_Tarikan_Warkah[Tanggal diserahkan kepada Validator]),"")</f>
        <v>45775.6017</v>
      </c>
      <c r="F1866" s="36" t="str">
        <f t="array" ref="F1866">IFNA(_xlfn.XLOOKUP(D1866,Table_Tarikan_Warkah[Nomor Tiket],Table_Tarikan_Warkah[Nama Petugas Warkah]),"")</f>
        <v>Berry</v>
      </c>
      <c r="G1866" s="39" t="str">
        <f t="array" ref="G1866">IFNA(_xlfn.XLOOKUP(D1866,Table_Tarikan_Warkah[Nomor Tiket],Table_Tarikan_Warkah[Jenis Permohonan]),"")</f>
        <v>BN WARIS</v>
      </c>
      <c r="H1866" s="41" t="s">
        <v>20</v>
      </c>
      <c r="I1866" s="49" t="s">
        <v>23</v>
      </c>
      <c r="J1866" s="36">
        <f t="shared" si="20"/>
        <v>45771.73626</v>
      </c>
      <c r="K1866" s="49" t="s">
        <v>197</v>
      </c>
      <c r="L1866" s="49" t="s">
        <v>23</v>
      </c>
      <c r="M1866" s="36">
        <f t="shared" si="26"/>
        <v>45772.64093</v>
      </c>
      <c r="N1866" s="30" t="str">
        <f t="shared" si="27"/>
        <v>Selesai</v>
      </c>
      <c r="O1866" s="45">
        <f t="shared" si="23"/>
        <v>45772.64093</v>
      </c>
      <c r="P1866" s="47" t="b">
        <v>1</v>
      </c>
      <c r="Q1866" s="36">
        <f t="shared" si="24"/>
        <v>45772.64203</v>
      </c>
      <c r="R1866" s="47" t="b">
        <v>0</v>
      </c>
      <c r="S1866" s="42" t="str">
        <f t="shared" si="28"/>
        <v/>
      </c>
      <c r="T1866" s="42"/>
    </row>
    <row r="1867" ht="22.5" customHeight="1">
      <c r="B1867" s="42">
        <f t="shared" si="7"/>
        <v>1861</v>
      </c>
      <c r="C1867" s="31" t="s">
        <v>1992</v>
      </c>
      <c r="D1867" s="34" t="str">
        <f t="array" ref="D1867">IFNA(_xlfn.XLOOKUP(C1867,Table_Tarikan_Warkah[Nomor Sertipikat],Table_Tarikan_Warkah[Nomor Tiket]),"")</f>
        <v>K/25/170425/1</v>
      </c>
      <c r="E1867" s="36" t="str">
        <f t="array" ref="E1867">IFNA(_xlfn.XLOOKUP(D1867,Table_Tarikan_Warkah[Nomor Tiket],Table_Tarikan_Warkah[Tanggal diserahkan kepada Validator]),"")</f>
        <v/>
      </c>
      <c r="F1867" s="36" t="str">
        <f t="array" ref="F1867">IFNA(_xlfn.XLOOKUP(D1867,Table_Tarikan_Warkah[Nomor Tiket],Table_Tarikan_Warkah[Nama Petugas Warkah]),"")</f>
        <v/>
      </c>
      <c r="G1867" s="39" t="str">
        <f t="array" ref="G1867">IFNA(_xlfn.XLOOKUP(D1867,Table_Tarikan_Warkah[Nomor Tiket],Table_Tarikan_Warkah[Jenis Permohonan]),"")</f>
        <v>BN JUAL BELI</v>
      </c>
      <c r="H1867" s="41" t="s">
        <v>20</v>
      </c>
      <c r="I1867" s="49" t="s">
        <v>23</v>
      </c>
      <c r="J1867" s="36">
        <f t="shared" si="20"/>
        <v>45771.73639</v>
      </c>
      <c r="K1867" s="49" t="s">
        <v>197</v>
      </c>
      <c r="L1867" s="49" t="s">
        <v>23</v>
      </c>
      <c r="M1867" s="36">
        <f t="shared" si="26"/>
        <v>45772.64093</v>
      </c>
      <c r="N1867" s="30" t="str">
        <f t="shared" si="27"/>
        <v>Selesai</v>
      </c>
      <c r="O1867" s="45">
        <f t="shared" si="23"/>
        <v>45772.64093</v>
      </c>
      <c r="P1867" s="47" t="b">
        <v>1</v>
      </c>
      <c r="Q1867" s="36">
        <f t="shared" si="24"/>
        <v>45772.64202</v>
      </c>
      <c r="R1867" s="47" t="b">
        <v>0</v>
      </c>
      <c r="S1867" s="42" t="str">
        <f t="shared" si="28"/>
        <v/>
      </c>
      <c r="T1867" s="42"/>
    </row>
    <row r="1868" ht="22.5" customHeight="1">
      <c r="B1868" s="42">
        <f t="shared" si="7"/>
        <v>1862</v>
      </c>
      <c r="C1868" s="31" t="s">
        <v>1993</v>
      </c>
      <c r="D1868" s="34" t="str">
        <f t="array" ref="D1868">IFNA(_xlfn.XLOOKUP(C1868,Table_Tarikan_Warkah[Nomor Sertipikat],Table_Tarikan_Warkah[Nomor Tiket]),"")</f>
        <v>K/13/170425/1</v>
      </c>
      <c r="E1868" s="36">
        <f t="array" ref="E1868">IFNA(_xlfn.XLOOKUP(D1868,Table_Tarikan_Warkah[Nomor Tiket],Table_Tarikan_Warkah[Tanggal diserahkan kepada Validator]),"")</f>
        <v>45775.59956</v>
      </c>
      <c r="F1868" s="36" t="str">
        <f t="array" ref="F1868">IFNA(_xlfn.XLOOKUP(D1868,Table_Tarikan_Warkah[Nomor Tiket],Table_Tarikan_Warkah[Nama Petugas Warkah]),"")</f>
        <v/>
      </c>
      <c r="G1868" s="39" t="str">
        <f t="array" ref="G1868">IFNA(_xlfn.XLOOKUP(D1868,Table_Tarikan_Warkah[Nomor Tiket],Table_Tarikan_Warkah[Jenis Permohonan]),"")</f>
        <v>BN JUAL BELI</v>
      </c>
      <c r="H1868" s="41" t="s">
        <v>20</v>
      </c>
      <c r="I1868" s="49" t="s">
        <v>23</v>
      </c>
      <c r="J1868" s="36">
        <f t="shared" si="20"/>
        <v>45771.73643</v>
      </c>
      <c r="K1868" s="49" t="s">
        <v>197</v>
      </c>
      <c r="L1868" s="49" t="s">
        <v>23</v>
      </c>
      <c r="M1868" s="36">
        <f t="shared" si="26"/>
        <v>45772.64093</v>
      </c>
      <c r="N1868" s="30" t="str">
        <f t="shared" si="27"/>
        <v>Selesai</v>
      </c>
      <c r="O1868" s="45">
        <f t="shared" si="23"/>
        <v>45772.64093</v>
      </c>
      <c r="P1868" s="47" t="b">
        <v>1</v>
      </c>
      <c r="Q1868" s="36">
        <f t="shared" si="24"/>
        <v>45772.64201</v>
      </c>
      <c r="R1868" s="47" t="b">
        <v>0</v>
      </c>
      <c r="S1868" s="42" t="str">
        <f t="shared" si="28"/>
        <v/>
      </c>
      <c r="T1868" s="42"/>
    </row>
    <row r="1869" ht="22.5" customHeight="1">
      <c r="B1869" s="42">
        <f t="shared" si="7"/>
        <v>1863</v>
      </c>
      <c r="C1869" s="31" t="s">
        <v>1994</v>
      </c>
      <c r="D1869" s="34" t="str">
        <f t="array" ref="D1869">IFNA(_xlfn.XLOOKUP(C1869,Table_Tarikan_Warkah[Nomor Sertipikat],Table_Tarikan_Warkah[Nomor Tiket]),"")</f>
        <v>K/6/100425/3</v>
      </c>
      <c r="E1869" s="36">
        <f t="array" ref="E1869">IFNA(_xlfn.XLOOKUP(D1869,Table_Tarikan_Warkah[Nomor Tiket],Table_Tarikan_Warkah[Tanggal diserahkan kepada Validator]),"")</f>
        <v>45792.47547</v>
      </c>
      <c r="F1869" s="36" t="str">
        <f t="array" ref="F1869">IFNA(_xlfn.XLOOKUP(D1869,Table_Tarikan_Warkah[Nomor Tiket],Table_Tarikan_Warkah[Nama Petugas Warkah]),"")</f>
        <v>Berry</v>
      </c>
      <c r="G1869" s="39" t="str">
        <f t="array" ref="G1869">IFNA(_xlfn.XLOOKUP(D1869,Table_Tarikan_Warkah[Nomor Tiket],Table_Tarikan_Warkah[Jenis Permohonan]),"")</f>
        <v>ROYA</v>
      </c>
      <c r="H1869" s="41" t="s">
        <v>20</v>
      </c>
      <c r="I1869" s="49" t="s">
        <v>23</v>
      </c>
      <c r="J1869" s="36">
        <f t="shared" si="20"/>
        <v>45771.73656</v>
      </c>
      <c r="K1869" s="49" t="s">
        <v>197</v>
      </c>
      <c r="L1869" s="49" t="s">
        <v>23</v>
      </c>
      <c r="M1869" s="36">
        <f t="shared" si="26"/>
        <v>45772.64097</v>
      </c>
      <c r="N1869" s="30" t="str">
        <f t="shared" si="27"/>
        <v>Selesai</v>
      </c>
      <c r="O1869" s="45">
        <f t="shared" si="23"/>
        <v>45772.64097</v>
      </c>
      <c r="P1869" s="47" t="b">
        <v>1</v>
      </c>
      <c r="Q1869" s="36">
        <f t="shared" si="24"/>
        <v>45772.642</v>
      </c>
      <c r="R1869" s="47" t="b">
        <v>0</v>
      </c>
      <c r="S1869" s="42" t="str">
        <f t="shared" si="28"/>
        <v/>
      </c>
      <c r="T1869" s="42"/>
    </row>
    <row r="1870" ht="22.5" customHeight="1">
      <c r="B1870" s="42">
        <f t="shared" si="7"/>
        <v>1864</v>
      </c>
      <c r="C1870" s="31" t="s">
        <v>1995</v>
      </c>
      <c r="D1870" s="34" t="str">
        <f t="array" ref="D1870">IFNA(_xlfn.XLOOKUP(C1870,Table_Tarikan_Warkah[Nomor Sertipikat],Table_Tarikan_Warkah[Nomor Tiket]),"")</f>
        <v>K/23/160425/1</v>
      </c>
      <c r="E1870" s="36">
        <f t="array" ref="E1870">IFNA(_xlfn.XLOOKUP(D1870,Table_Tarikan_Warkah[Nomor Tiket],Table_Tarikan_Warkah[Tanggal diserahkan kepada Validator]),"")</f>
        <v>45792.47622</v>
      </c>
      <c r="F1870" s="36" t="str">
        <f t="array" ref="F1870">IFNA(_xlfn.XLOOKUP(D1870,Table_Tarikan_Warkah[Nomor Tiket],Table_Tarikan_Warkah[Nama Petugas Warkah]),"")</f>
        <v>Berry</v>
      </c>
      <c r="G1870" s="39" t="str">
        <f t="array" ref="G1870">IFNA(_xlfn.XLOOKUP(D1870,Table_Tarikan_Warkah[Nomor Tiket],Table_Tarikan_Warkah[Jenis Permohonan]),"")</f>
        <v>ROYA</v>
      </c>
      <c r="H1870" s="41" t="s">
        <v>20</v>
      </c>
      <c r="I1870" s="49" t="s">
        <v>23</v>
      </c>
      <c r="J1870" s="36">
        <f t="shared" si="20"/>
        <v>45771.73672</v>
      </c>
      <c r="K1870" s="49" t="s">
        <v>197</v>
      </c>
      <c r="L1870" s="49" t="s">
        <v>23</v>
      </c>
      <c r="M1870" s="36">
        <f t="shared" si="26"/>
        <v>45772.64097</v>
      </c>
      <c r="N1870" s="30" t="str">
        <f t="shared" si="27"/>
        <v>Selesai</v>
      </c>
      <c r="O1870" s="45">
        <f t="shared" si="23"/>
        <v>45772.64097</v>
      </c>
      <c r="P1870" s="47" t="b">
        <v>1</v>
      </c>
      <c r="Q1870" s="36">
        <f t="shared" si="24"/>
        <v>45772.64199</v>
      </c>
      <c r="R1870" s="47" t="b">
        <v>0</v>
      </c>
      <c r="S1870" s="42" t="str">
        <f t="shared" si="28"/>
        <v/>
      </c>
      <c r="T1870" s="42"/>
    </row>
    <row r="1871" ht="22.5" customHeight="1">
      <c r="B1871" s="42">
        <f t="shared" si="7"/>
        <v>1865</v>
      </c>
      <c r="C1871" s="31" t="s">
        <v>1996</v>
      </c>
      <c r="D1871" s="34" t="str">
        <f t="array" ref="D1871">IFNA(_xlfn.XLOOKUP(C1871,Table_Tarikan_Warkah[Nomor Sertipikat],Table_Tarikan_Warkah[Nomor Tiket]),"")</f>
        <v>K/36/240325/1</v>
      </c>
      <c r="E1871" s="36" t="str">
        <f t="array" ref="E1871">IFNA(_xlfn.XLOOKUP(D1871,Table_Tarikan_Warkah[Nomor Tiket],Table_Tarikan_Warkah[Tanggal diserahkan kepada Validator]),"")</f>
        <v/>
      </c>
      <c r="F1871" s="36" t="str">
        <f t="array" ref="F1871">IFNA(_xlfn.XLOOKUP(D1871,Table_Tarikan_Warkah[Nomor Tiket],Table_Tarikan_Warkah[Nama Petugas Warkah]),"")</f>
        <v/>
      </c>
      <c r="G1871" s="39" t="str">
        <f t="array" ref="G1871">IFNA(_xlfn.XLOOKUP(D1871,Table_Tarikan_Warkah[Nomor Tiket],Table_Tarikan_Warkah[Jenis Permohonan]),"")</f>
        <v>BN JUAL BELI</v>
      </c>
      <c r="H1871" s="41" t="s">
        <v>11</v>
      </c>
      <c r="I1871" s="49" t="s">
        <v>23</v>
      </c>
      <c r="J1871" s="36">
        <f t="shared" si="20"/>
        <v>45772.59707</v>
      </c>
      <c r="K1871" s="49" t="s">
        <v>197</v>
      </c>
      <c r="L1871" s="49" t="s">
        <v>23</v>
      </c>
      <c r="M1871" s="36">
        <f t="shared" si="26"/>
        <v>45772.64097</v>
      </c>
      <c r="N1871" s="30" t="str">
        <f t="shared" si="27"/>
        <v>Selesai</v>
      </c>
      <c r="O1871" s="45">
        <f t="shared" si="23"/>
        <v>45772.64097</v>
      </c>
      <c r="P1871" s="47" t="b">
        <v>1</v>
      </c>
      <c r="Q1871" s="36">
        <f t="shared" si="24"/>
        <v>45776.64809</v>
      </c>
      <c r="R1871" s="47" t="b">
        <v>0</v>
      </c>
      <c r="S1871" s="42" t="str">
        <f t="shared" si="28"/>
        <v/>
      </c>
      <c r="T1871" s="42"/>
    </row>
    <row r="1872" ht="22.5" customHeight="1">
      <c r="B1872" s="42">
        <f t="shared" si="7"/>
        <v>1866</v>
      </c>
      <c r="C1872" s="31" t="s">
        <v>1997</v>
      </c>
      <c r="D1872" s="34" t="str">
        <f t="array" ref="D1872">IFNA(_xlfn.XLOOKUP(C1872,Table_Tarikan_Warkah[Nomor Sertipikat],Table_Tarikan_Warkah[Nomor Tiket]),"")</f>
        <v>K/29/140425/4</v>
      </c>
      <c r="E1872" s="36">
        <f t="array" ref="E1872">IFNA(_xlfn.XLOOKUP(D1872,Table_Tarikan_Warkah[Nomor Tiket],Table_Tarikan_Warkah[Tanggal diserahkan kepada Validator]),"")</f>
        <v>45792.48036</v>
      </c>
      <c r="F1872" s="36" t="str">
        <f t="array" ref="F1872">IFNA(_xlfn.XLOOKUP(D1872,Table_Tarikan_Warkah[Nomor Tiket],Table_Tarikan_Warkah[Nama Petugas Warkah]),"")</f>
        <v>Berry</v>
      </c>
      <c r="G1872" s="39" t="str">
        <f t="array" ref="G1872">IFNA(_xlfn.XLOOKUP(D1872,Table_Tarikan_Warkah[Nomor Tiket],Table_Tarikan_Warkah[Jenis Permohonan]),"")</f>
        <v>Roya</v>
      </c>
      <c r="H1872" s="41" t="s">
        <v>11</v>
      </c>
      <c r="I1872" s="49" t="s">
        <v>23</v>
      </c>
      <c r="J1872" s="36">
        <f t="shared" si="20"/>
        <v>45772.5971</v>
      </c>
      <c r="K1872" s="49" t="s">
        <v>197</v>
      </c>
      <c r="L1872" s="49" t="s">
        <v>23</v>
      </c>
      <c r="M1872" s="36">
        <f t="shared" si="26"/>
        <v>45772.64097</v>
      </c>
      <c r="N1872" s="30" t="str">
        <f t="shared" si="27"/>
        <v>Selesai</v>
      </c>
      <c r="O1872" s="45">
        <f t="shared" si="23"/>
        <v>45772.64097</v>
      </c>
      <c r="P1872" s="47" t="b">
        <v>1</v>
      </c>
      <c r="Q1872" s="36">
        <f t="shared" si="24"/>
        <v>45776.64809</v>
      </c>
      <c r="R1872" s="47" t="b">
        <v>0</v>
      </c>
      <c r="S1872" s="42" t="str">
        <f t="shared" si="28"/>
        <v/>
      </c>
      <c r="T1872" s="42"/>
    </row>
    <row r="1873" ht="22.5" customHeight="1">
      <c r="B1873" s="42">
        <f t="shared" si="7"/>
        <v>1867</v>
      </c>
      <c r="C1873" s="31" t="s">
        <v>1998</v>
      </c>
      <c r="D1873" s="34" t="str">
        <f t="array" ref="D1873">IFNA(_xlfn.XLOOKUP(C1873,Table_Tarikan_Warkah[Nomor Sertipikat],Table_Tarikan_Warkah[Nomor Tiket]),"")</f>
        <v>L/24/100425/1</v>
      </c>
      <c r="E1873" s="36">
        <f t="array" ref="E1873">IFNA(_xlfn.XLOOKUP(D1873,Table_Tarikan_Warkah[Nomor Tiket],Table_Tarikan_Warkah[Tanggal diserahkan kepada Validator]),"")</f>
        <v>45791.45728</v>
      </c>
      <c r="F1873" s="36" t="str">
        <f t="array" ref="F1873">IFNA(_xlfn.XLOOKUP(D1873,Table_Tarikan_Warkah[Nomor Tiket],Table_Tarikan_Warkah[Nama Petugas Warkah]),"")</f>
        <v>David</v>
      </c>
      <c r="G1873" s="39" t="str">
        <f t="array" ref="G1873">IFNA(_xlfn.XLOOKUP(D1873,Table_Tarikan_Warkah[Nomor Tiket],Table_Tarikan_Warkah[Jenis Permohonan]),"")</f>
        <v>ROYA</v>
      </c>
      <c r="H1873" s="41" t="s">
        <v>11</v>
      </c>
      <c r="I1873" s="49" t="s">
        <v>23</v>
      </c>
      <c r="J1873" s="36">
        <f t="shared" si="20"/>
        <v>45772.5971</v>
      </c>
      <c r="K1873" s="49" t="s">
        <v>197</v>
      </c>
      <c r="L1873" s="49" t="s">
        <v>23</v>
      </c>
      <c r="M1873" s="36">
        <f t="shared" si="26"/>
        <v>45772.64097</v>
      </c>
      <c r="N1873" s="30" t="str">
        <f t="shared" si="27"/>
        <v>Selesai</v>
      </c>
      <c r="O1873" s="45">
        <f t="shared" si="23"/>
        <v>45772.64097</v>
      </c>
      <c r="P1873" s="47" t="b">
        <v>1</v>
      </c>
      <c r="Q1873" s="36">
        <f t="shared" si="24"/>
        <v>45776.64809</v>
      </c>
      <c r="R1873" s="47" t="b">
        <v>0</v>
      </c>
      <c r="S1873" s="42" t="str">
        <f t="shared" si="28"/>
        <v/>
      </c>
      <c r="T1873" s="42"/>
    </row>
    <row r="1874" ht="22.5" customHeight="1">
      <c r="B1874" s="42">
        <f t="shared" si="7"/>
        <v>1868</v>
      </c>
      <c r="C1874" s="31" t="s">
        <v>1999</v>
      </c>
      <c r="D1874" s="34" t="str">
        <f t="array" ref="D1874">IFNA(_xlfn.XLOOKUP(C1874,Table_Tarikan_Warkah[Nomor Sertipikat],Table_Tarikan_Warkah[Nomor Tiket]),"")</f>
        <v>K/22/190325/2</v>
      </c>
      <c r="E1874" s="36">
        <f t="array" ref="E1874">IFNA(_xlfn.XLOOKUP(D1874,Table_Tarikan_Warkah[Nomor Tiket],Table_Tarikan_Warkah[Tanggal diserahkan kepada Validator]),"")</f>
        <v>45783.49365</v>
      </c>
      <c r="F1874" s="36" t="str">
        <f t="array" ref="F1874">IFNA(_xlfn.XLOOKUP(D1874,Table_Tarikan_Warkah[Nomor Tiket],Table_Tarikan_Warkah[Nama Petugas Warkah]),"")</f>
        <v/>
      </c>
      <c r="G1874" s="39" t="str">
        <f t="array" ref="G1874">IFNA(_xlfn.XLOOKUP(D1874,Table_Tarikan_Warkah[Nomor Tiket],Table_Tarikan_Warkah[Jenis Permohonan]),"")</f>
        <v>ROYA</v>
      </c>
      <c r="H1874" s="41" t="s">
        <v>11</v>
      </c>
      <c r="I1874" s="49" t="s">
        <v>23</v>
      </c>
      <c r="J1874" s="36">
        <f t="shared" si="20"/>
        <v>45772.5971</v>
      </c>
      <c r="K1874" s="49" t="s">
        <v>197</v>
      </c>
      <c r="L1874" s="49" t="s">
        <v>23</v>
      </c>
      <c r="M1874" s="36">
        <f t="shared" si="26"/>
        <v>45772.64097</v>
      </c>
      <c r="N1874" s="30" t="str">
        <f t="shared" si="27"/>
        <v>Selesai</v>
      </c>
      <c r="O1874" s="45">
        <f t="shared" si="23"/>
        <v>45772.64097</v>
      </c>
      <c r="P1874" s="47" t="b">
        <v>1</v>
      </c>
      <c r="Q1874" s="36">
        <f t="shared" si="24"/>
        <v>45776.64809</v>
      </c>
      <c r="R1874" s="47" t="b">
        <v>0</v>
      </c>
      <c r="S1874" s="42" t="str">
        <f t="shared" si="28"/>
        <v/>
      </c>
      <c r="T1874" s="42"/>
    </row>
    <row r="1875" ht="22.5" customHeight="1">
      <c r="B1875" s="42">
        <f t="shared" si="7"/>
        <v>1869</v>
      </c>
      <c r="C1875" s="31" t="s">
        <v>2000</v>
      </c>
      <c r="D1875" s="34" t="str">
        <f t="array" ref="D1875">IFNA(_xlfn.XLOOKUP(C1875,Table_Tarikan_Warkah[Nomor Sertipikat],Table_Tarikan_Warkah[Nomor Tiket]),"")</f>
        <v>K/6/140425/1</v>
      </c>
      <c r="E1875" s="36" t="str">
        <f t="array" ref="E1875">IFNA(_xlfn.XLOOKUP(D1875,Table_Tarikan_Warkah[Nomor Tiket],Table_Tarikan_Warkah[Tanggal diserahkan kepada Validator]),"")</f>
        <v/>
      </c>
      <c r="F1875" s="36" t="str">
        <f t="array" ref="F1875">IFNA(_xlfn.XLOOKUP(D1875,Table_Tarikan_Warkah[Nomor Tiket],Table_Tarikan_Warkah[Nama Petugas Warkah]),"")</f>
        <v/>
      </c>
      <c r="G1875" s="39" t="str">
        <f t="array" ref="G1875">IFNA(_xlfn.XLOOKUP(D1875,Table_Tarikan_Warkah[Nomor Tiket],Table_Tarikan_Warkah[Jenis Permohonan]),"")</f>
        <v>JUAL BELI</v>
      </c>
      <c r="H1875" s="41" t="s">
        <v>11</v>
      </c>
      <c r="I1875" s="49" t="s">
        <v>23</v>
      </c>
      <c r="J1875" s="36">
        <f t="shared" si="20"/>
        <v>45772.5971</v>
      </c>
      <c r="K1875" s="49" t="s">
        <v>197</v>
      </c>
      <c r="L1875" s="49" t="s">
        <v>23</v>
      </c>
      <c r="M1875" s="36">
        <f t="shared" si="26"/>
        <v>45772.64097</v>
      </c>
      <c r="N1875" s="30" t="str">
        <f t="shared" si="27"/>
        <v>Selesai</v>
      </c>
      <c r="O1875" s="45">
        <f t="shared" si="23"/>
        <v>45772.64097</v>
      </c>
      <c r="P1875" s="47" t="b">
        <v>1</v>
      </c>
      <c r="Q1875" s="36">
        <f t="shared" si="24"/>
        <v>45776.64809</v>
      </c>
      <c r="R1875" s="47" t="b">
        <v>0</v>
      </c>
      <c r="S1875" s="42" t="str">
        <f t="shared" si="28"/>
        <v/>
      </c>
      <c r="T1875" s="42"/>
    </row>
    <row r="1876" ht="22.5" customHeight="1">
      <c r="B1876" s="42">
        <f t="shared" si="7"/>
        <v>1870</v>
      </c>
      <c r="C1876" s="31" t="s">
        <v>2001</v>
      </c>
      <c r="D1876" s="34" t="str">
        <f t="array" ref="D1876">IFNA(_xlfn.XLOOKUP(C1876,Table_Tarikan_Warkah[Nomor Sertipikat],Table_Tarikan_Warkah[Nomor Tiket]),"")</f>
        <v>K/26/150425/1</v>
      </c>
      <c r="E1876" s="36" t="str">
        <f t="array" ref="E1876">IFNA(_xlfn.XLOOKUP(D1876,Table_Tarikan_Warkah[Nomor Tiket],Table_Tarikan_Warkah[Tanggal diserahkan kepada Validator]),"")</f>
        <v/>
      </c>
      <c r="F1876" s="36" t="str">
        <f t="array" ref="F1876">IFNA(_xlfn.XLOOKUP(D1876,Table_Tarikan_Warkah[Nomor Tiket],Table_Tarikan_Warkah[Nama Petugas Warkah]),"")</f>
        <v/>
      </c>
      <c r="G1876" s="39" t="str">
        <f t="array" ref="G1876">IFNA(_xlfn.XLOOKUP(D1876,Table_Tarikan_Warkah[Nomor Tiket],Table_Tarikan_Warkah[Jenis Permohonan]),"")</f>
        <v>JUAL BELI</v>
      </c>
      <c r="H1876" s="41" t="s">
        <v>11</v>
      </c>
      <c r="I1876" s="49" t="s">
        <v>23</v>
      </c>
      <c r="J1876" s="36">
        <f t="shared" si="20"/>
        <v>45772.5971</v>
      </c>
      <c r="K1876" s="49" t="s">
        <v>197</v>
      </c>
      <c r="L1876" s="49" t="s">
        <v>23</v>
      </c>
      <c r="M1876" s="36">
        <f t="shared" si="26"/>
        <v>45772.64097</v>
      </c>
      <c r="N1876" s="30" t="str">
        <f t="shared" si="27"/>
        <v>Selesai</v>
      </c>
      <c r="O1876" s="45">
        <f t="shared" si="23"/>
        <v>45772.64097</v>
      </c>
      <c r="P1876" s="47" t="b">
        <v>1</v>
      </c>
      <c r="Q1876" s="36">
        <f t="shared" si="24"/>
        <v>45776.64809</v>
      </c>
      <c r="R1876" s="47" t="b">
        <v>0</v>
      </c>
      <c r="S1876" s="42" t="str">
        <f t="shared" si="28"/>
        <v/>
      </c>
      <c r="T1876" s="42"/>
    </row>
    <row r="1877" ht="22.5" customHeight="1">
      <c r="B1877" s="42">
        <f t="shared" si="7"/>
        <v>1871</v>
      </c>
      <c r="C1877" s="31" t="s">
        <v>2002</v>
      </c>
      <c r="D1877" s="34" t="str">
        <f t="array" ref="D1877">IFNA(_xlfn.XLOOKUP(C1877,Table_Tarikan_Warkah[Nomor Sertipikat],Table_Tarikan_Warkah[Nomor Tiket]),"")</f>
        <v>K/22/140425/2</v>
      </c>
      <c r="E1877" s="36">
        <f t="array" ref="E1877">IFNA(_xlfn.XLOOKUP(D1877,Table_Tarikan_Warkah[Nomor Tiket],Table_Tarikan_Warkah[Tanggal diserahkan kepada Validator]),"")</f>
        <v>45783.49288</v>
      </c>
      <c r="F1877" s="36" t="str">
        <f t="array" ref="F1877">IFNA(_xlfn.XLOOKUP(D1877,Table_Tarikan_Warkah[Nomor Tiket],Table_Tarikan_Warkah[Nama Petugas Warkah]),"")</f>
        <v/>
      </c>
      <c r="G1877" s="39" t="str">
        <f t="array" ref="G1877">IFNA(_xlfn.XLOOKUP(D1877,Table_Tarikan_Warkah[Nomor Tiket],Table_Tarikan_Warkah[Jenis Permohonan]),"")</f>
        <v>ROYA </v>
      </c>
      <c r="H1877" s="41" t="s">
        <v>11</v>
      </c>
      <c r="I1877" s="49" t="s">
        <v>23</v>
      </c>
      <c r="J1877" s="36">
        <f t="shared" si="20"/>
        <v>45772.5971</v>
      </c>
      <c r="K1877" s="49" t="s">
        <v>197</v>
      </c>
      <c r="L1877" s="49" t="s">
        <v>23</v>
      </c>
      <c r="M1877" s="36">
        <f t="shared" si="26"/>
        <v>45772.64097</v>
      </c>
      <c r="N1877" s="30" t="str">
        <f t="shared" si="27"/>
        <v>Selesai</v>
      </c>
      <c r="O1877" s="45">
        <f t="shared" si="23"/>
        <v>45772.64097</v>
      </c>
      <c r="P1877" s="47" t="b">
        <v>1</v>
      </c>
      <c r="Q1877" s="36">
        <f t="shared" si="24"/>
        <v>45776.64809</v>
      </c>
      <c r="R1877" s="47" t="b">
        <v>0</v>
      </c>
      <c r="S1877" s="42" t="str">
        <f t="shared" si="28"/>
        <v/>
      </c>
      <c r="T1877" s="42"/>
    </row>
    <row r="1878" ht="22.5" customHeight="1">
      <c r="B1878" s="42">
        <f t="shared" si="7"/>
        <v>1872</v>
      </c>
      <c r="C1878" s="31" t="s">
        <v>2003</v>
      </c>
      <c r="D1878" s="34" t="str">
        <f t="array" ref="D1878">IFNA(_xlfn.XLOOKUP(C1878,Table_Tarikan_Warkah[Nomor Sertipikat],Table_Tarikan_Warkah[Nomor Tiket]),"")</f>
        <v>K/29/190325/1</v>
      </c>
      <c r="E1878" s="36" t="str">
        <f t="array" ref="E1878">IFNA(_xlfn.XLOOKUP(D1878,Table_Tarikan_Warkah[Nomor Tiket],Table_Tarikan_Warkah[Tanggal diserahkan kepada Validator]),"")</f>
        <v/>
      </c>
      <c r="F1878" s="36" t="str">
        <f t="array" ref="F1878">IFNA(_xlfn.XLOOKUP(D1878,Table_Tarikan_Warkah[Nomor Tiket],Table_Tarikan_Warkah[Nama Petugas Warkah]),"")</f>
        <v/>
      </c>
      <c r="G1878" s="39" t="str">
        <f t="array" ref="G1878">IFNA(_xlfn.XLOOKUP(D1878,Table_Tarikan_Warkah[Nomor Tiket],Table_Tarikan_Warkah[Jenis Permohonan]),"")</f>
        <v>JUAL BELI</v>
      </c>
      <c r="H1878" s="41" t="s">
        <v>11</v>
      </c>
      <c r="I1878" s="49" t="s">
        <v>23</v>
      </c>
      <c r="J1878" s="36">
        <f t="shared" si="20"/>
        <v>45772.5971</v>
      </c>
      <c r="K1878" s="49" t="s">
        <v>197</v>
      </c>
      <c r="L1878" s="49" t="s">
        <v>23</v>
      </c>
      <c r="M1878" s="36">
        <f t="shared" si="26"/>
        <v>45772.64097</v>
      </c>
      <c r="N1878" s="30" t="str">
        <f t="shared" si="27"/>
        <v>Selesai</v>
      </c>
      <c r="O1878" s="45">
        <f t="shared" si="23"/>
        <v>45772.64097</v>
      </c>
      <c r="P1878" s="47" t="b">
        <v>1</v>
      </c>
      <c r="Q1878" s="36">
        <f t="shared" si="24"/>
        <v>45776.64809</v>
      </c>
      <c r="R1878" s="47" t="b">
        <v>0</v>
      </c>
      <c r="S1878" s="42" t="str">
        <f t="shared" si="28"/>
        <v/>
      </c>
      <c r="T1878" s="42"/>
    </row>
    <row r="1879" ht="22.5" customHeight="1">
      <c r="B1879" s="42">
        <f t="shared" si="7"/>
        <v>1873</v>
      </c>
      <c r="C1879" s="31" t="s">
        <v>2004</v>
      </c>
      <c r="D1879" s="34" t="str">
        <f t="array" ref="D1879">IFNA(_xlfn.XLOOKUP(C1879,Table_Tarikan_Warkah[Nomor Sertipikat],Table_Tarikan_Warkah[Nomor Tiket]),"")</f>
        <v>K/35/240325/1</v>
      </c>
      <c r="E1879" s="36" t="str">
        <f t="array" ref="E1879">IFNA(_xlfn.XLOOKUP(D1879,Table_Tarikan_Warkah[Nomor Tiket],Table_Tarikan_Warkah[Tanggal diserahkan kepada Validator]),"")</f>
        <v/>
      </c>
      <c r="F1879" s="36" t="str">
        <f t="array" ref="F1879">IFNA(_xlfn.XLOOKUP(D1879,Table_Tarikan_Warkah[Nomor Tiket],Table_Tarikan_Warkah[Nama Petugas Warkah]),"")</f>
        <v/>
      </c>
      <c r="G1879" s="39" t="str">
        <f t="array" ref="G1879">IFNA(_xlfn.XLOOKUP(D1879,Table_Tarikan_Warkah[Nomor Tiket],Table_Tarikan_Warkah[Jenis Permohonan]),"")</f>
        <v>KEWARISAN</v>
      </c>
      <c r="H1879" s="41" t="s">
        <v>11</v>
      </c>
      <c r="I1879" s="49" t="s">
        <v>23</v>
      </c>
      <c r="J1879" s="36">
        <f t="shared" si="20"/>
        <v>45772.5971</v>
      </c>
      <c r="K1879" s="49" t="s">
        <v>197</v>
      </c>
      <c r="L1879" s="49" t="s">
        <v>23</v>
      </c>
      <c r="M1879" s="36">
        <f t="shared" si="26"/>
        <v>45772.64097</v>
      </c>
      <c r="N1879" s="30" t="str">
        <f t="shared" si="27"/>
        <v>Selesai</v>
      </c>
      <c r="O1879" s="45">
        <f t="shared" si="23"/>
        <v>45772.64097</v>
      </c>
      <c r="P1879" s="47" t="b">
        <v>1</v>
      </c>
      <c r="Q1879" s="36">
        <f t="shared" si="24"/>
        <v>45776.64809</v>
      </c>
      <c r="R1879" s="47" t="b">
        <v>0</v>
      </c>
      <c r="S1879" s="42" t="str">
        <f t="shared" si="28"/>
        <v/>
      </c>
      <c r="T1879" s="42"/>
    </row>
    <row r="1880" ht="22.5" customHeight="1">
      <c r="B1880" s="42">
        <f t="shared" si="7"/>
        <v>1874</v>
      </c>
      <c r="C1880" s="31" t="s">
        <v>1402</v>
      </c>
      <c r="D1880" s="34" t="str">
        <f t="array" ref="D1880">IFNA(_xlfn.XLOOKUP(C1880,Table_Tarikan_Warkah[Nomor Sertipikat],Table_Tarikan_Warkah[Nomor Tiket]),"")</f>
        <v>K/12/210225/2</v>
      </c>
      <c r="E1880" s="36">
        <f t="array" ref="E1880">IFNA(_xlfn.XLOOKUP(D1880,Table_Tarikan_Warkah[Nomor Tiket],Table_Tarikan_Warkah[Tanggal diserahkan kepada Validator]),"")</f>
        <v>45720.4392</v>
      </c>
      <c r="F1880" s="36" t="str">
        <f t="array" ref="F1880">IFNA(_xlfn.XLOOKUP(D1880,Table_Tarikan_Warkah[Nomor Tiket],Table_Tarikan_Warkah[Nama Petugas Warkah]),"")</f>
        <v/>
      </c>
      <c r="G1880" s="39" t="str">
        <f t="array" ref="G1880">IFNA(_xlfn.XLOOKUP(D1880,Table_Tarikan_Warkah[Nomor Tiket],Table_Tarikan_Warkah[Jenis Permohonan]),"")</f>
        <v>BN JUAL BELIO</v>
      </c>
      <c r="H1880" s="41" t="s">
        <v>11</v>
      </c>
      <c r="I1880" s="49" t="s">
        <v>23</v>
      </c>
      <c r="J1880" s="36">
        <f t="shared" si="20"/>
        <v>45772.5971</v>
      </c>
      <c r="K1880" s="49" t="s">
        <v>197</v>
      </c>
      <c r="L1880" s="49" t="s">
        <v>23</v>
      </c>
      <c r="M1880" s="36">
        <f t="shared" si="26"/>
        <v>45772.64097</v>
      </c>
      <c r="N1880" s="30" t="str">
        <f t="shared" si="27"/>
        <v>Selesai</v>
      </c>
      <c r="O1880" s="45">
        <f t="shared" si="23"/>
        <v>45772.64097</v>
      </c>
      <c r="P1880" s="47" t="b">
        <v>1</v>
      </c>
      <c r="Q1880" s="36">
        <f t="shared" si="24"/>
        <v>45776.64809</v>
      </c>
      <c r="R1880" s="47" t="b">
        <v>0</v>
      </c>
      <c r="S1880" s="42" t="str">
        <f t="shared" si="28"/>
        <v/>
      </c>
      <c r="T1880" s="42"/>
    </row>
    <row r="1881" ht="22.5" customHeight="1">
      <c r="B1881" s="42">
        <f t="shared" si="7"/>
        <v>1875</v>
      </c>
      <c r="C1881" s="31" t="s">
        <v>2005</v>
      </c>
      <c r="D1881" s="34" t="str">
        <f t="array" ref="D1881">IFNA(_xlfn.XLOOKUP(C1881,Table_Tarikan_Warkah[Nomor Sertipikat],Table_Tarikan_Warkah[Nomor Tiket]),"")</f>
        <v>K/17/160425/1</v>
      </c>
      <c r="E1881" s="36" t="str">
        <f t="array" ref="E1881">IFNA(_xlfn.XLOOKUP(D1881,Table_Tarikan_Warkah[Nomor Tiket],Table_Tarikan_Warkah[Tanggal diserahkan kepada Validator]),"")</f>
        <v/>
      </c>
      <c r="F1881" s="36" t="str">
        <f t="array" ref="F1881">IFNA(_xlfn.XLOOKUP(D1881,Table_Tarikan_Warkah[Nomor Tiket],Table_Tarikan_Warkah[Nama Petugas Warkah]),"")</f>
        <v/>
      </c>
      <c r="G1881" s="39" t="str">
        <f t="array" ref="G1881">IFNA(_xlfn.XLOOKUP(D1881,Table_Tarikan_Warkah[Nomor Tiket],Table_Tarikan_Warkah[Jenis Permohonan]),"")</f>
        <v>GANTI NAMA</v>
      </c>
      <c r="H1881" s="41" t="s">
        <v>11</v>
      </c>
      <c r="I1881" s="49" t="s">
        <v>23</v>
      </c>
      <c r="J1881" s="36">
        <f t="shared" si="20"/>
        <v>45772.5971</v>
      </c>
      <c r="K1881" s="49" t="s">
        <v>197</v>
      </c>
      <c r="L1881" s="49" t="s">
        <v>23</v>
      </c>
      <c r="M1881" s="36">
        <f t="shared" si="26"/>
        <v>45772.64097</v>
      </c>
      <c r="N1881" s="30" t="str">
        <f t="shared" si="27"/>
        <v>Selesai</v>
      </c>
      <c r="O1881" s="45">
        <f t="shared" si="23"/>
        <v>45772.64097</v>
      </c>
      <c r="P1881" s="47" t="b">
        <v>1</v>
      </c>
      <c r="Q1881" s="36">
        <f t="shared" si="24"/>
        <v>45776.64809</v>
      </c>
      <c r="R1881" s="47" t="b">
        <v>0</v>
      </c>
      <c r="S1881" s="42" t="str">
        <f t="shared" si="28"/>
        <v/>
      </c>
      <c r="T1881" s="42"/>
    </row>
    <row r="1882" ht="22.5" customHeight="1">
      <c r="B1882" s="42">
        <f t="shared" si="7"/>
        <v>1876</v>
      </c>
      <c r="C1882" s="31" t="s">
        <v>2006</v>
      </c>
      <c r="D1882" s="34" t="str">
        <f t="array" ref="D1882">IFNA(_xlfn.XLOOKUP(C1882,Table_Tarikan_Warkah[Nomor Sertipikat],Table_Tarikan_Warkah[Nomor Tiket]),"")</f>
        <v>K/17/190325/3</v>
      </c>
      <c r="E1882" s="36" t="str">
        <f t="array" ref="E1882">IFNA(_xlfn.XLOOKUP(D1882,Table_Tarikan_Warkah[Nomor Tiket],Table_Tarikan_Warkah[Tanggal diserahkan kepada Validator]),"")</f>
        <v/>
      </c>
      <c r="F1882" s="36" t="str">
        <f t="array" ref="F1882">IFNA(_xlfn.XLOOKUP(D1882,Table_Tarikan_Warkah[Nomor Tiket],Table_Tarikan_Warkah[Nama Petugas Warkah]),"")</f>
        <v/>
      </c>
      <c r="G1882" s="39" t="str">
        <f t="array" ref="G1882">IFNA(_xlfn.XLOOKUP(D1882,Table_Tarikan_Warkah[Nomor Tiket],Table_Tarikan_Warkah[Jenis Permohonan]),"")</f>
        <v>JUAL BELI</v>
      </c>
      <c r="H1882" s="41" t="s">
        <v>11</v>
      </c>
      <c r="I1882" s="49" t="s">
        <v>23</v>
      </c>
      <c r="J1882" s="36">
        <f t="shared" si="20"/>
        <v>45772.5971</v>
      </c>
      <c r="K1882" s="49" t="s">
        <v>197</v>
      </c>
      <c r="L1882" s="49" t="s">
        <v>23</v>
      </c>
      <c r="M1882" s="36">
        <f t="shared" si="26"/>
        <v>45772.64097</v>
      </c>
      <c r="N1882" s="30" t="str">
        <f t="shared" si="27"/>
        <v>Selesai</v>
      </c>
      <c r="O1882" s="45">
        <f t="shared" si="23"/>
        <v>45772.64097</v>
      </c>
      <c r="P1882" s="47" t="b">
        <v>1</v>
      </c>
      <c r="Q1882" s="36">
        <f t="shared" si="24"/>
        <v>45776.64809</v>
      </c>
      <c r="R1882" s="47" t="b">
        <v>0</v>
      </c>
      <c r="S1882" s="42" t="str">
        <f t="shared" si="28"/>
        <v/>
      </c>
      <c r="T1882" s="42"/>
    </row>
    <row r="1883" ht="22.5" customHeight="1">
      <c r="B1883" s="42">
        <f t="shared" si="7"/>
        <v>1877</v>
      </c>
      <c r="C1883" s="31" t="s">
        <v>2007</v>
      </c>
      <c r="D1883" s="34" t="str">
        <f t="array" ref="D1883">IFNA(_xlfn.XLOOKUP(C1883,Table_Tarikan_Warkah[Nomor Sertipikat],Table_Tarikan_Warkah[Nomor Tiket]),"")</f>
        <v>K/10/220425/1</v>
      </c>
      <c r="E1883" s="36" t="str">
        <f t="array" ref="E1883">IFNA(_xlfn.XLOOKUP(D1883,Table_Tarikan_Warkah[Nomor Tiket],Table_Tarikan_Warkah[Tanggal diserahkan kepada Validator]),"")</f>
        <v/>
      </c>
      <c r="F1883" s="36" t="str">
        <f t="array" ref="F1883">IFNA(_xlfn.XLOOKUP(D1883,Table_Tarikan_Warkah[Nomor Tiket],Table_Tarikan_Warkah[Nama Petugas Warkah]),"")</f>
        <v/>
      </c>
      <c r="G1883" s="39" t="str">
        <f t="array" ref="G1883">IFNA(_xlfn.XLOOKUP(D1883,Table_Tarikan_Warkah[Nomor Tiket],Table_Tarikan_Warkah[Jenis Permohonan]),"")</f>
        <v>JUAL BELI </v>
      </c>
      <c r="H1883" s="41" t="s">
        <v>11</v>
      </c>
      <c r="I1883" s="49" t="s">
        <v>23</v>
      </c>
      <c r="J1883" s="36">
        <f t="shared" si="20"/>
        <v>45772.5971</v>
      </c>
      <c r="K1883" s="49" t="s">
        <v>197</v>
      </c>
      <c r="L1883" s="49" t="s">
        <v>23</v>
      </c>
      <c r="M1883" s="36">
        <f t="shared" si="26"/>
        <v>45772.64103</v>
      </c>
      <c r="N1883" s="30" t="str">
        <f t="shared" si="27"/>
        <v>Selesai</v>
      </c>
      <c r="O1883" s="45">
        <f t="shared" si="23"/>
        <v>45772.64103</v>
      </c>
      <c r="P1883" s="47" t="b">
        <v>1</v>
      </c>
      <c r="Q1883" s="36">
        <f t="shared" si="24"/>
        <v>45776.64811</v>
      </c>
      <c r="R1883" s="47" t="b">
        <v>0</v>
      </c>
      <c r="S1883" s="42" t="str">
        <f t="shared" si="28"/>
        <v/>
      </c>
      <c r="T1883" s="42"/>
    </row>
    <row r="1884" ht="22.5" customHeight="1">
      <c r="B1884" s="42">
        <f t="shared" si="7"/>
        <v>1878</v>
      </c>
      <c r="C1884" s="31" t="s">
        <v>2008</v>
      </c>
      <c r="D1884" s="34" t="str">
        <f t="array" ref="D1884">IFNA(_xlfn.XLOOKUP(C1884,Table_Tarikan_Warkah[Nomor Sertipikat],Table_Tarikan_Warkah[Nomor Tiket]),"")</f>
        <v>K/8/250325/3</v>
      </c>
      <c r="E1884" s="36" t="str">
        <f t="array" ref="E1884">IFNA(_xlfn.XLOOKUP(D1884,Table_Tarikan_Warkah[Nomor Tiket],Table_Tarikan_Warkah[Tanggal diserahkan kepada Validator]),"")</f>
        <v/>
      </c>
      <c r="F1884" s="36" t="str">
        <f t="array" ref="F1884">IFNA(_xlfn.XLOOKUP(D1884,Table_Tarikan_Warkah[Nomor Tiket],Table_Tarikan_Warkah[Nama Petugas Warkah]),"")</f>
        <v/>
      </c>
      <c r="G1884" s="39" t="str">
        <f t="array" ref="G1884">IFNA(_xlfn.XLOOKUP(D1884,Table_Tarikan_Warkah[Nomor Tiket],Table_Tarikan_Warkah[Jenis Permohonan]),"")</f>
        <v>BN JUAL BELI</v>
      </c>
      <c r="H1884" s="41" t="s">
        <v>11</v>
      </c>
      <c r="I1884" s="49" t="s">
        <v>23</v>
      </c>
      <c r="J1884" s="36">
        <f t="shared" si="20"/>
        <v>45772.5971</v>
      </c>
      <c r="K1884" s="49" t="s">
        <v>197</v>
      </c>
      <c r="L1884" s="49" t="s">
        <v>23</v>
      </c>
      <c r="M1884" s="36">
        <f t="shared" si="26"/>
        <v>45772.64103</v>
      </c>
      <c r="N1884" s="30" t="str">
        <f t="shared" si="27"/>
        <v>Selesai</v>
      </c>
      <c r="O1884" s="45">
        <f t="shared" si="23"/>
        <v>45772.64103</v>
      </c>
      <c r="P1884" s="47" t="b">
        <v>1</v>
      </c>
      <c r="Q1884" s="36">
        <f t="shared" si="24"/>
        <v>45776.64811</v>
      </c>
      <c r="R1884" s="47" t="b">
        <v>0</v>
      </c>
      <c r="S1884" s="42" t="str">
        <f t="shared" si="28"/>
        <v/>
      </c>
      <c r="T1884" s="42"/>
    </row>
    <row r="1885" ht="22.5" customHeight="1">
      <c r="B1885" s="42">
        <f t="shared" si="7"/>
        <v>1879</v>
      </c>
      <c r="C1885" s="31" t="s">
        <v>2009</v>
      </c>
      <c r="D1885" s="34" t="str">
        <f t="array" ref="D1885">IFNA(_xlfn.XLOOKUP(C1885,Table_Tarikan_Warkah[Nomor Sertipikat],Table_Tarikan_Warkah[Nomor Tiket]),"")</f>
        <v>K/53/240325/3</v>
      </c>
      <c r="E1885" s="36" t="str">
        <f t="array" ref="E1885">IFNA(_xlfn.XLOOKUP(D1885,Table_Tarikan_Warkah[Nomor Tiket],Table_Tarikan_Warkah[Tanggal diserahkan kepada Validator]),"")</f>
        <v/>
      </c>
      <c r="F1885" s="36" t="str">
        <f t="array" ref="F1885">IFNA(_xlfn.XLOOKUP(D1885,Table_Tarikan_Warkah[Nomor Tiket],Table_Tarikan_Warkah[Nama Petugas Warkah]),"")</f>
        <v/>
      </c>
      <c r="G1885" s="39" t="str">
        <f t="array" ref="G1885">IFNA(_xlfn.XLOOKUP(D1885,Table_Tarikan_Warkah[Nomor Tiket],Table_Tarikan_Warkah[Jenis Permohonan]),"")</f>
        <v>BN JUAL BELI</v>
      </c>
      <c r="H1885" s="41" t="s">
        <v>11</v>
      </c>
      <c r="I1885" s="49" t="s">
        <v>23</v>
      </c>
      <c r="J1885" s="36">
        <f t="shared" si="20"/>
        <v>45772.5971</v>
      </c>
      <c r="K1885" s="49" t="s">
        <v>197</v>
      </c>
      <c r="L1885" s="49" t="s">
        <v>23</v>
      </c>
      <c r="M1885" s="36">
        <f t="shared" si="26"/>
        <v>45772.64103</v>
      </c>
      <c r="N1885" s="30" t="str">
        <f t="shared" si="27"/>
        <v>Selesai</v>
      </c>
      <c r="O1885" s="45">
        <f t="shared" si="23"/>
        <v>45772.64103</v>
      </c>
      <c r="P1885" s="47" t="b">
        <v>1</v>
      </c>
      <c r="Q1885" s="36">
        <f t="shared" si="24"/>
        <v>45776.64811</v>
      </c>
      <c r="R1885" s="47" t="b">
        <v>0</v>
      </c>
      <c r="S1885" s="42" t="str">
        <f t="shared" si="28"/>
        <v/>
      </c>
      <c r="T1885" s="42"/>
    </row>
    <row r="1886" ht="22.5" customHeight="1">
      <c r="B1886" s="42">
        <f t="shared" si="7"/>
        <v>1880</v>
      </c>
      <c r="C1886" s="31" t="s">
        <v>2010</v>
      </c>
      <c r="D1886" s="34" t="str">
        <f t="array" ref="D1886">IFNA(_xlfn.XLOOKUP(C1886,Table_Tarikan_Warkah[Nomor Sertipikat],Table_Tarikan_Warkah[Nomor Tiket]),"")</f>
        <v>K/11/100425/1</v>
      </c>
      <c r="E1886" s="36" t="str">
        <f t="array" ref="E1886">IFNA(_xlfn.XLOOKUP(D1886,Table_Tarikan_Warkah[Nomor Tiket],Table_Tarikan_Warkah[Tanggal diserahkan kepada Validator]),"")</f>
        <v/>
      </c>
      <c r="F1886" s="36" t="str">
        <f t="array" ref="F1886">IFNA(_xlfn.XLOOKUP(D1886,Table_Tarikan_Warkah[Nomor Tiket],Table_Tarikan_Warkah[Nama Petugas Warkah]),"")</f>
        <v/>
      </c>
      <c r="G1886" s="39" t="str">
        <f t="array" ref="G1886">IFNA(_xlfn.XLOOKUP(D1886,Table_Tarikan_Warkah[Nomor Tiket],Table_Tarikan_Warkah[Jenis Permohonan]),"")</f>
        <v>BN JUAL BELI</v>
      </c>
      <c r="H1886" s="41" t="s">
        <v>11</v>
      </c>
      <c r="I1886" s="49" t="s">
        <v>23</v>
      </c>
      <c r="J1886" s="36">
        <f t="shared" si="20"/>
        <v>45772.5971</v>
      </c>
      <c r="K1886" s="49" t="s">
        <v>197</v>
      </c>
      <c r="L1886" s="49" t="s">
        <v>23</v>
      </c>
      <c r="M1886" s="36">
        <f t="shared" si="26"/>
        <v>45772.64103</v>
      </c>
      <c r="N1886" s="30" t="str">
        <f t="shared" si="27"/>
        <v>Selesai</v>
      </c>
      <c r="O1886" s="45">
        <f t="shared" si="23"/>
        <v>45772.64103</v>
      </c>
      <c r="P1886" s="47" t="b">
        <v>1</v>
      </c>
      <c r="Q1886" s="36">
        <f t="shared" si="24"/>
        <v>45776.64811</v>
      </c>
      <c r="R1886" s="47" t="b">
        <v>0</v>
      </c>
      <c r="S1886" s="42" t="str">
        <f t="shared" si="28"/>
        <v/>
      </c>
      <c r="T1886" s="42"/>
    </row>
    <row r="1887" ht="22.5" customHeight="1">
      <c r="B1887" s="42">
        <f t="shared" si="7"/>
        <v>1881</v>
      </c>
      <c r="C1887" s="31" t="s">
        <v>2011</v>
      </c>
      <c r="D1887" s="34" t="str">
        <f t="array" ref="D1887">IFNA(_xlfn.XLOOKUP(C1887,Table_Tarikan_Warkah[Nomor Sertipikat],Table_Tarikan_Warkah[Nomor Tiket]),"")</f>
        <v>K/33/210325/2</v>
      </c>
      <c r="E1887" s="36" t="str">
        <f t="array" ref="E1887">IFNA(_xlfn.XLOOKUP(D1887,Table_Tarikan_Warkah[Nomor Tiket],Table_Tarikan_Warkah[Tanggal diserahkan kepada Validator]),"")</f>
        <v/>
      </c>
      <c r="F1887" s="36" t="str">
        <f t="array" ref="F1887">IFNA(_xlfn.XLOOKUP(D1887,Table_Tarikan_Warkah[Nomor Tiket],Table_Tarikan_Warkah[Nama Petugas Warkah]),"")</f>
        <v/>
      </c>
      <c r="G1887" s="39" t="str">
        <f t="array" ref="G1887">IFNA(_xlfn.XLOOKUP(D1887,Table_Tarikan_Warkah[Nomor Tiket],Table_Tarikan_Warkah[Jenis Permohonan]),"")</f>
        <v>JUAL BELI</v>
      </c>
      <c r="H1887" s="41" t="s">
        <v>11</v>
      </c>
      <c r="I1887" s="49" t="s">
        <v>23</v>
      </c>
      <c r="J1887" s="36">
        <f t="shared" si="20"/>
        <v>45772.5971</v>
      </c>
      <c r="K1887" s="49" t="s">
        <v>197</v>
      </c>
      <c r="L1887" s="49" t="s">
        <v>23</v>
      </c>
      <c r="M1887" s="36">
        <f t="shared" si="26"/>
        <v>45772.64103</v>
      </c>
      <c r="N1887" s="30" t="str">
        <f t="shared" si="27"/>
        <v>Selesai</v>
      </c>
      <c r="O1887" s="45">
        <f t="shared" si="23"/>
        <v>45772.64103</v>
      </c>
      <c r="P1887" s="47" t="b">
        <v>1</v>
      </c>
      <c r="Q1887" s="36">
        <f t="shared" si="24"/>
        <v>45776.64811</v>
      </c>
      <c r="R1887" s="47" t="b">
        <v>0</v>
      </c>
      <c r="S1887" s="42" t="str">
        <f t="shared" si="28"/>
        <v/>
      </c>
      <c r="T1887" s="42"/>
    </row>
    <row r="1888" ht="22.5" customHeight="1">
      <c r="B1888" s="42">
        <f t="shared" si="7"/>
        <v>1882</v>
      </c>
      <c r="C1888" s="31" t="s">
        <v>247</v>
      </c>
      <c r="D1888" s="34" t="str">
        <f t="array" ref="D1888">IFNA(_xlfn.XLOOKUP(C1888,Table_Tarikan_Warkah[Nomor Sertipikat],Table_Tarikan_Warkah[Nomor Tiket]),"")</f>
        <v>K/42/231024/1</v>
      </c>
      <c r="E1888" s="36" t="str">
        <f t="array" ref="E1888">IFNA(_xlfn.XLOOKUP(D1888,Table_Tarikan_Warkah[Nomor Tiket],Table_Tarikan_Warkah[Tanggal diserahkan kepada Validator]),"")</f>
        <v>23/10/2024 16.41</v>
      </c>
      <c r="F1888" s="36" t="str">
        <f t="array" ref="F1888">IFNA(_xlfn.XLOOKUP(D1888,Table_Tarikan_Warkah[Nomor Tiket],Table_Tarikan_Warkah[Nama Petugas Warkah]),"")</f>
        <v>Rahma</v>
      </c>
      <c r="G1888" s="39" t="str">
        <f t="array" ref="G1888">IFNA(_xlfn.XLOOKUP(D1888,Table_Tarikan_Warkah[Nomor Tiket],Table_Tarikan_Warkah[Jenis Permohonan]),"")</f>
        <v>BN JUAL BELI</v>
      </c>
      <c r="H1888" s="41" t="s">
        <v>11</v>
      </c>
      <c r="I1888" s="49" t="s">
        <v>23</v>
      </c>
      <c r="J1888" s="36">
        <f t="shared" si="20"/>
        <v>45772.5971</v>
      </c>
      <c r="K1888" s="49" t="s">
        <v>197</v>
      </c>
      <c r="L1888" s="49" t="s">
        <v>23</v>
      </c>
      <c r="M1888" s="36">
        <f t="shared" si="26"/>
        <v>45772.64103</v>
      </c>
      <c r="N1888" s="30" t="str">
        <f t="shared" si="27"/>
        <v>Selesai</v>
      </c>
      <c r="O1888" s="45">
        <f t="shared" si="23"/>
        <v>45772.64103</v>
      </c>
      <c r="P1888" s="47" t="b">
        <v>1</v>
      </c>
      <c r="Q1888" s="36">
        <f t="shared" si="24"/>
        <v>45776.64812</v>
      </c>
      <c r="R1888" s="47" t="b">
        <v>0</v>
      </c>
      <c r="S1888" s="42" t="str">
        <f t="shared" si="28"/>
        <v/>
      </c>
      <c r="T1888" s="42"/>
    </row>
    <row r="1889" ht="22.5" customHeight="1">
      <c r="B1889" s="42">
        <f t="shared" si="7"/>
        <v>1883</v>
      </c>
      <c r="C1889" s="31" t="s">
        <v>2012</v>
      </c>
      <c r="D1889" s="34" t="str">
        <f t="array" ref="D1889">IFNA(_xlfn.XLOOKUP(C1889,Table_Tarikan_Warkah[Nomor Sertipikat],Table_Tarikan_Warkah[Nomor Tiket]),"")</f>
        <v>K/6/200325/1</v>
      </c>
      <c r="E1889" s="36" t="str">
        <f t="array" ref="E1889">IFNA(_xlfn.XLOOKUP(D1889,Table_Tarikan_Warkah[Nomor Tiket],Table_Tarikan_Warkah[Tanggal diserahkan kepada Validator]),"")</f>
        <v/>
      </c>
      <c r="F1889" s="36" t="str">
        <f t="array" ref="F1889">IFNA(_xlfn.XLOOKUP(D1889,Table_Tarikan_Warkah[Nomor Tiket],Table_Tarikan_Warkah[Nama Petugas Warkah]),"")</f>
        <v/>
      </c>
      <c r="G1889" s="39" t="str">
        <f t="array" ref="G1889">IFNA(_xlfn.XLOOKUP(D1889,Table_Tarikan_Warkah[Nomor Tiket],Table_Tarikan_Warkah[Jenis Permohonan]),"")</f>
        <v>BN Waris</v>
      </c>
      <c r="H1889" s="41" t="s">
        <v>11</v>
      </c>
      <c r="I1889" s="49" t="s">
        <v>23</v>
      </c>
      <c r="J1889" s="36">
        <f t="shared" si="20"/>
        <v>45775.60957</v>
      </c>
      <c r="K1889" s="49" t="s">
        <v>197</v>
      </c>
      <c r="L1889" s="49" t="s">
        <v>23</v>
      </c>
      <c r="M1889" s="36">
        <f t="shared" si="26"/>
        <v>45776.64823</v>
      </c>
      <c r="N1889" s="30" t="str">
        <f t="shared" si="27"/>
        <v>Selesai</v>
      </c>
      <c r="O1889" s="45">
        <f t="shared" si="23"/>
        <v>45776.64823</v>
      </c>
      <c r="P1889" s="47" t="b">
        <v>1</v>
      </c>
      <c r="Q1889" s="36">
        <f t="shared" si="24"/>
        <v>45776.64835</v>
      </c>
      <c r="R1889" s="47" t="b">
        <v>0</v>
      </c>
      <c r="S1889" s="42" t="str">
        <f t="shared" si="28"/>
        <v/>
      </c>
      <c r="T1889" s="42"/>
    </row>
    <row r="1890" ht="22.5" customHeight="1">
      <c r="B1890" s="42">
        <f t="shared" si="7"/>
        <v>1884</v>
      </c>
      <c r="C1890" s="31" t="s">
        <v>2013</v>
      </c>
      <c r="D1890" s="34" t="str">
        <f t="array" ref="D1890">IFNA(_xlfn.XLOOKUP(C1890,Table_Tarikan_Warkah[Nomor Sertipikat],Table_Tarikan_Warkah[Nomor Tiket]),"")</f>
        <v>K/17/260325/3</v>
      </c>
      <c r="E1890" s="36" t="str">
        <f t="array" ref="E1890">IFNA(_xlfn.XLOOKUP(D1890,Table_Tarikan_Warkah[Nomor Tiket],Table_Tarikan_Warkah[Tanggal diserahkan kepada Validator]),"")</f>
        <v/>
      </c>
      <c r="F1890" s="36" t="str">
        <f t="array" ref="F1890">IFNA(_xlfn.XLOOKUP(D1890,Table_Tarikan_Warkah[Nomor Tiket],Table_Tarikan_Warkah[Nama Petugas Warkah]),"")</f>
        <v/>
      </c>
      <c r="G1890" s="39" t="str">
        <f t="array" ref="G1890">IFNA(_xlfn.XLOOKUP(D1890,Table_Tarikan_Warkah[Nomor Tiket],Table_Tarikan_Warkah[Jenis Permohonan]),"")</f>
        <v>BN JUAL BELI</v>
      </c>
      <c r="H1890" s="41" t="s">
        <v>11</v>
      </c>
      <c r="I1890" s="49" t="s">
        <v>23</v>
      </c>
      <c r="J1890" s="36">
        <f t="shared" si="20"/>
        <v>45775.6096</v>
      </c>
      <c r="K1890" s="49" t="s">
        <v>197</v>
      </c>
      <c r="L1890" s="49" t="s">
        <v>23</v>
      </c>
      <c r="M1890" s="36">
        <f t="shared" si="26"/>
        <v>45776.64823</v>
      </c>
      <c r="N1890" s="30" t="str">
        <f t="shared" si="27"/>
        <v>Selesai</v>
      </c>
      <c r="O1890" s="45">
        <f t="shared" si="23"/>
        <v>45776.64823</v>
      </c>
      <c r="P1890" s="47" t="b">
        <v>1</v>
      </c>
      <c r="Q1890" s="36">
        <f t="shared" si="24"/>
        <v>45776.64836</v>
      </c>
      <c r="R1890" s="47" t="b">
        <v>0</v>
      </c>
      <c r="S1890" s="42" t="str">
        <f t="shared" si="28"/>
        <v/>
      </c>
      <c r="T1890" s="42"/>
    </row>
    <row r="1891" ht="22.5" customHeight="1">
      <c r="B1891" s="42">
        <f t="shared" si="7"/>
        <v>1885</v>
      </c>
      <c r="C1891" s="31" t="s">
        <v>2014</v>
      </c>
      <c r="D1891" s="34" t="str">
        <f t="array" ref="D1891">IFNA(_xlfn.XLOOKUP(C1891,Table_Tarikan_Warkah[Nomor Sertipikat],Table_Tarikan_Warkah[Nomor Tiket]),"")</f>
        <v>K/16/140425/1</v>
      </c>
      <c r="E1891" s="36" t="str">
        <f t="array" ref="E1891">IFNA(_xlfn.XLOOKUP(D1891,Table_Tarikan_Warkah[Nomor Tiket],Table_Tarikan_Warkah[Tanggal diserahkan kepada Validator]),"")</f>
        <v/>
      </c>
      <c r="F1891" s="36" t="str">
        <f t="array" ref="F1891">IFNA(_xlfn.XLOOKUP(D1891,Table_Tarikan_Warkah[Nomor Tiket],Table_Tarikan_Warkah[Nama Petugas Warkah]),"")</f>
        <v/>
      </c>
      <c r="G1891" s="39" t="str">
        <f t="array" ref="G1891">IFNA(_xlfn.XLOOKUP(D1891,Table_Tarikan_Warkah[Nomor Tiket],Table_Tarikan_Warkah[Jenis Permohonan]),"")</f>
        <v>BN JUAL BELI</v>
      </c>
      <c r="H1891" s="41" t="s">
        <v>11</v>
      </c>
      <c r="I1891" s="49" t="s">
        <v>23</v>
      </c>
      <c r="J1891" s="36">
        <f t="shared" si="20"/>
        <v>45775.6096</v>
      </c>
      <c r="K1891" s="49" t="s">
        <v>197</v>
      </c>
      <c r="L1891" s="49" t="s">
        <v>23</v>
      </c>
      <c r="M1891" s="36">
        <f t="shared" si="26"/>
        <v>45776.64823</v>
      </c>
      <c r="N1891" s="30" t="str">
        <f t="shared" si="27"/>
        <v>Selesai</v>
      </c>
      <c r="O1891" s="45">
        <f t="shared" si="23"/>
        <v>45776.64823</v>
      </c>
      <c r="P1891" s="47" t="b">
        <v>1</v>
      </c>
      <c r="Q1891" s="36">
        <f t="shared" si="24"/>
        <v>45776.64837</v>
      </c>
      <c r="R1891" s="47" t="b">
        <v>0</v>
      </c>
      <c r="S1891" s="42" t="str">
        <f t="shared" si="28"/>
        <v/>
      </c>
      <c r="T1891" s="42"/>
    </row>
    <row r="1892" ht="22.5" customHeight="1">
      <c r="B1892" s="42">
        <f t="shared" si="7"/>
        <v>1886</v>
      </c>
      <c r="C1892" s="31" t="s">
        <v>2015</v>
      </c>
      <c r="D1892" s="34" t="str">
        <f t="array" ref="D1892">IFNA(_xlfn.XLOOKUP(C1892,Table_Tarikan_Warkah[Nomor Sertipikat],Table_Tarikan_Warkah[Nomor Tiket]),"")</f>
        <v>K/9/110425/3</v>
      </c>
      <c r="E1892" s="36" t="str">
        <f t="array" ref="E1892">IFNA(_xlfn.XLOOKUP(D1892,Table_Tarikan_Warkah[Nomor Tiket],Table_Tarikan_Warkah[Tanggal diserahkan kepada Validator]),"")</f>
        <v/>
      </c>
      <c r="F1892" s="36" t="str">
        <f t="array" ref="F1892">IFNA(_xlfn.XLOOKUP(D1892,Table_Tarikan_Warkah[Nomor Tiket],Table_Tarikan_Warkah[Nama Petugas Warkah]),"")</f>
        <v/>
      </c>
      <c r="G1892" s="39" t="str">
        <f t="array" ref="G1892">IFNA(_xlfn.XLOOKUP(D1892,Table_Tarikan_Warkah[Nomor Tiket],Table_Tarikan_Warkah[Jenis Permohonan]),"")</f>
        <v>BN JUAL BELI</v>
      </c>
      <c r="H1892" s="41" t="s">
        <v>11</v>
      </c>
      <c r="I1892" s="49" t="s">
        <v>23</v>
      </c>
      <c r="J1892" s="36">
        <f t="shared" si="20"/>
        <v>45775.6096</v>
      </c>
      <c r="K1892" s="49" t="s">
        <v>197</v>
      </c>
      <c r="L1892" s="49" t="s">
        <v>23</v>
      </c>
      <c r="M1892" s="36">
        <f t="shared" si="26"/>
        <v>45776.64823</v>
      </c>
      <c r="N1892" s="30" t="str">
        <f t="shared" si="27"/>
        <v>Selesai</v>
      </c>
      <c r="O1892" s="45">
        <f t="shared" si="23"/>
        <v>45776.64823</v>
      </c>
      <c r="P1892" s="47" t="b">
        <v>1</v>
      </c>
      <c r="Q1892" s="36">
        <f t="shared" si="24"/>
        <v>45776.64842</v>
      </c>
      <c r="R1892" s="47" t="b">
        <v>0</v>
      </c>
      <c r="S1892" s="42" t="str">
        <f t="shared" si="28"/>
        <v/>
      </c>
      <c r="T1892" s="42"/>
    </row>
    <row r="1893" ht="22.5" customHeight="1">
      <c r="B1893" s="42">
        <f t="shared" si="7"/>
        <v>1887</v>
      </c>
      <c r="C1893" s="31" t="s">
        <v>2016</v>
      </c>
      <c r="D1893" s="42" t="s">
        <v>2017</v>
      </c>
      <c r="E1893" s="36" t="str">
        <f t="array" ref="E1893">IFNA(_xlfn.XLOOKUP(D1893,Table_Tarikan_Warkah[Nomor Tiket],Table_Tarikan_Warkah[Tanggal diserahkan kepada Validator]),"")</f>
        <v/>
      </c>
      <c r="F1893" s="36" t="str">
        <f t="array" ref="F1893">IFNA(_xlfn.XLOOKUP(D1893,Table_Tarikan_Warkah[Nomor Tiket],Table_Tarikan_Warkah[Nama Petugas Warkah]),"")</f>
        <v/>
      </c>
      <c r="G1893" s="39" t="str">
        <f t="array" ref="G1893">IFNA(_xlfn.XLOOKUP(D1893,Table_Tarikan_Warkah[Nomor Tiket],Table_Tarikan_Warkah[Jenis Permohonan]),"")</f>
        <v>BN WARIS</v>
      </c>
      <c r="H1893" s="41" t="s">
        <v>11</v>
      </c>
      <c r="I1893" s="49" t="s">
        <v>23</v>
      </c>
      <c r="J1893" s="36">
        <f t="shared" si="20"/>
        <v>45775.6096</v>
      </c>
      <c r="K1893" s="49" t="s">
        <v>197</v>
      </c>
      <c r="L1893" s="49" t="s">
        <v>23</v>
      </c>
      <c r="M1893" s="36">
        <f t="shared" si="26"/>
        <v>45776.64823</v>
      </c>
      <c r="N1893" s="30" t="str">
        <f t="shared" si="27"/>
        <v>Selesai</v>
      </c>
      <c r="O1893" s="45">
        <f t="shared" si="23"/>
        <v>45776.64823</v>
      </c>
      <c r="P1893" s="47" t="b">
        <v>1</v>
      </c>
      <c r="Q1893" s="36">
        <f t="shared" si="24"/>
        <v>45776.64842</v>
      </c>
      <c r="R1893" s="47" t="b">
        <v>0</v>
      </c>
      <c r="S1893" s="42" t="str">
        <f t="shared" si="28"/>
        <v/>
      </c>
      <c r="T1893" s="42"/>
    </row>
    <row r="1894" ht="22.5" customHeight="1">
      <c r="B1894" s="42">
        <f t="shared" si="7"/>
        <v>1888</v>
      </c>
      <c r="C1894" s="31" t="s">
        <v>2018</v>
      </c>
      <c r="D1894" s="34" t="str">
        <f t="array" ref="D1894">IFNA(_xlfn.XLOOKUP(C1894,Table_Tarikan_Warkah[Nomor Sertipikat],Table_Tarikan_Warkah[Nomor Tiket]),"")</f>
        <v>K/38/160425/3</v>
      </c>
      <c r="E1894" s="36" t="str">
        <f t="array" ref="E1894">IFNA(_xlfn.XLOOKUP(D1894,Table_Tarikan_Warkah[Nomor Tiket],Table_Tarikan_Warkah[Tanggal diserahkan kepada Validator]),"")</f>
        <v/>
      </c>
      <c r="F1894" s="36" t="str">
        <f t="array" ref="F1894">IFNA(_xlfn.XLOOKUP(D1894,Table_Tarikan_Warkah[Nomor Tiket],Table_Tarikan_Warkah[Nama Petugas Warkah]),"")</f>
        <v/>
      </c>
      <c r="G1894" s="39" t="str">
        <f t="array" ref="G1894">IFNA(_xlfn.XLOOKUP(D1894,Table_Tarikan_Warkah[Nomor Tiket],Table_Tarikan_Warkah[Jenis Permohonan]),"")</f>
        <v>BN Jual Beli</v>
      </c>
      <c r="H1894" s="41" t="s">
        <v>11</v>
      </c>
      <c r="I1894" s="49" t="s">
        <v>23</v>
      </c>
      <c r="J1894" s="36">
        <f t="shared" si="20"/>
        <v>45775.6096</v>
      </c>
      <c r="K1894" s="49" t="s">
        <v>197</v>
      </c>
      <c r="L1894" s="49" t="s">
        <v>23</v>
      </c>
      <c r="M1894" s="36">
        <f t="shared" si="26"/>
        <v>45776.64823</v>
      </c>
      <c r="N1894" s="30" t="str">
        <f t="shared" si="27"/>
        <v>Selesai</v>
      </c>
      <c r="O1894" s="45">
        <f t="shared" si="23"/>
        <v>45776.64823</v>
      </c>
      <c r="P1894" s="47" t="b">
        <v>1</v>
      </c>
      <c r="Q1894" s="36">
        <f t="shared" si="24"/>
        <v>45776.64842</v>
      </c>
      <c r="R1894" s="47" t="b">
        <v>0</v>
      </c>
      <c r="S1894" s="42" t="str">
        <f t="shared" si="28"/>
        <v/>
      </c>
      <c r="T1894" s="42"/>
    </row>
    <row r="1895" ht="22.5" customHeight="1">
      <c r="B1895" s="42">
        <f t="shared" si="7"/>
        <v>1889</v>
      </c>
      <c r="C1895" s="31" t="s">
        <v>2019</v>
      </c>
      <c r="D1895" s="34" t="str">
        <f t="array" ref="D1895">IFNA(_xlfn.XLOOKUP(C1895,Table_Tarikan_Warkah[Nomor Sertipikat],Table_Tarikan_Warkah[Nomor Tiket]),"")</f>
        <v>K/1/170425/1</v>
      </c>
      <c r="E1895" s="36" t="str">
        <f t="array" ref="E1895">IFNA(_xlfn.XLOOKUP(D1895,Table_Tarikan_Warkah[Nomor Tiket],Table_Tarikan_Warkah[Tanggal diserahkan kepada Validator]),"")</f>
        <v/>
      </c>
      <c r="F1895" s="36" t="str">
        <f t="array" ref="F1895">IFNA(_xlfn.XLOOKUP(D1895,Table_Tarikan_Warkah[Nomor Tiket],Table_Tarikan_Warkah[Nama Petugas Warkah]),"")</f>
        <v/>
      </c>
      <c r="G1895" s="39" t="str">
        <f t="array" ref="G1895">IFNA(_xlfn.XLOOKUP(D1895,Table_Tarikan_Warkah[Nomor Tiket],Table_Tarikan_Warkah[Jenis Permohonan]),"")</f>
        <v>BN Jual Beli</v>
      </c>
      <c r="H1895" s="41" t="s">
        <v>11</v>
      </c>
      <c r="I1895" s="49" t="s">
        <v>23</v>
      </c>
      <c r="J1895" s="36">
        <f t="shared" si="20"/>
        <v>45775.6096</v>
      </c>
      <c r="K1895" s="49" t="s">
        <v>197</v>
      </c>
      <c r="L1895" s="49" t="s">
        <v>23</v>
      </c>
      <c r="M1895" s="36">
        <f t="shared" si="26"/>
        <v>45776.64823</v>
      </c>
      <c r="N1895" s="30" t="str">
        <f t="shared" si="27"/>
        <v>Selesai</v>
      </c>
      <c r="O1895" s="45">
        <f t="shared" si="23"/>
        <v>45776.64823</v>
      </c>
      <c r="P1895" s="47" t="b">
        <v>1</v>
      </c>
      <c r="Q1895" s="36">
        <f t="shared" si="24"/>
        <v>45776.64842</v>
      </c>
      <c r="R1895" s="47" t="b">
        <v>0</v>
      </c>
      <c r="S1895" s="42" t="str">
        <f t="shared" si="28"/>
        <v/>
      </c>
      <c r="T1895" s="42"/>
    </row>
    <row r="1896" ht="22.5" customHeight="1">
      <c r="B1896" s="42">
        <f t="shared" si="7"/>
        <v>1890</v>
      </c>
      <c r="C1896" s="31" t="s">
        <v>2020</v>
      </c>
      <c r="D1896" s="34" t="str">
        <f t="array" ref="D1896">IFNA(_xlfn.XLOOKUP(C1896,Table_Tarikan_Warkah[Nomor Sertipikat],Table_Tarikan_Warkah[Nomor Tiket]),"")</f>
        <v>K/19/250325/1</v>
      </c>
      <c r="E1896" s="36">
        <f t="array" ref="E1896">IFNA(_xlfn.XLOOKUP(D1896,Table_Tarikan_Warkah[Nomor Tiket],Table_Tarikan_Warkah[Tanggal diserahkan kepada Validator]),"")</f>
        <v>45791.45652</v>
      </c>
      <c r="F1896" s="36" t="str">
        <f t="array" ref="F1896">IFNA(_xlfn.XLOOKUP(D1896,Table_Tarikan_Warkah[Nomor Tiket],Table_Tarikan_Warkah[Nama Petugas Warkah]),"")</f>
        <v>David</v>
      </c>
      <c r="G1896" s="39" t="str">
        <f t="array" ref="G1896">IFNA(_xlfn.XLOOKUP(D1896,Table_Tarikan_Warkah[Nomor Tiket],Table_Tarikan_Warkah[Jenis Permohonan]),"")</f>
        <v>BN Jual Beli</v>
      </c>
      <c r="H1896" s="41" t="s">
        <v>11</v>
      </c>
      <c r="I1896" s="49" t="s">
        <v>23</v>
      </c>
      <c r="J1896" s="36">
        <f t="shared" si="20"/>
        <v>45775.6096</v>
      </c>
      <c r="K1896" s="49" t="s">
        <v>197</v>
      </c>
      <c r="L1896" s="49" t="s">
        <v>23</v>
      </c>
      <c r="M1896" s="36">
        <f t="shared" si="26"/>
        <v>45776.64823</v>
      </c>
      <c r="N1896" s="30" t="str">
        <f t="shared" si="27"/>
        <v>Selesai</v>
      </c>
      <c r="O1896" s="45">
        <f t="shared" si="23"/>
        <v>45776.64823</v>
      </c>
      <c r="P1896" s="47" t="b">
        <v>1</v>
      </c>
      <c r="Q1896" s="36">
        <f t="shared" si="24"/>
        <v>45776.64843</v>
      </c>
      <c r="R1896" s="47" t="b">
        <v>0</v>
      </c>
      <c r="S1896" s="42" t="str">
        <f t="shared" si="28"/>
        <v/>
      </c>
      <c r="T1896" s="42"/>
    </row>
    <row r="1897" ht="22.5" customHeight="1">
      <c r="B1897" s="42">
        <f t="shared" si="7"/>
        <v>1891</v>
      </c>
      <c r="C1897" s="31" t="s">
        <v>2021</v>
      </c>
      <c r="D1897" s="34" t="str">
        <f t="array" ref="D1897">IFNA(_xlfn.XLOOKUP(C1897,Table_Tarikan_Warkah[Nomor Sertipikat],Table_Tarikan_Warkah[Nomor Tiket]),"")</f>
        <v>K/16/160425/1</v>
      </c>
      <c r="E1897" s="36" t="str">
        <f t="array" ref="E1897">IFNA(_xlfn.XLOOKUP(D1897,Table_Tarikan_Warkah[Nomor Tiket],Table_Tarikan_Warkah[Tanggal diserahkan kepada Validator]),"")</f>
        <v/>
      </c>
      <c r="F1897" s="36" t="str">
        <f t="array" ref="F1897">IFNA(_xlfn.XLOOKUP(D1897,Table_Tarikan_Warkah[Nomor Tiket],Table_Tarikan_Warkah[Nama Petugas Warkah]),"")</f>
        <v/>
      </c>
      <c r="G1897" s="39" t="str">
        <f t="array" ref="G1897">IFNA(_xlfn.XLOOKUP(D1897,Table_Tarikan_Warkah[Nomor Tiket],Table_Tarikan_Warkah[Jenis Permohonan]),"")</f>
        <v>BN Jual Beli</v>
      </c>
      <c r="H1897" s="41" t="s">
        <v>11</v>
      </c>
      <c r="I1897" s="49" t="s">
        <v>23</v>
      </c>
      <c r="J1897" s="36">
        <f t="shared" si="20"/>
        <v>45775.6096</v>
      </c>
      <c r="K1897" s="49" t="s">
        <v>197</v>
      </c>
      <c r="L1897" s="49" t="s">
        <v>23</v>
      </c>
      <c r="M1897" s="36">
        <f t="shared" si="26"/>
        <v>45776.64823</v>
      </c>
      <c r="N1897" s="30" t="str">
        <f t="shared" si="27"/>
        <v>Selesai</v>
      </c>
      <c r="O1897" s="45">
        <f t="shared" si="23"/>
        <v>45776.64823</v>
      </c>
      <c r="P1897" s="47" t="b">
        <v>1</v>
      </c>
      <c r="Q1897" s="36">
        <f t="shared" si="24"/>
        <v>45776.64844</v>
      </c>
      <c r="R1897" s="47" t="b">
        <v>0</v>
      </c>
      <c r="S1897" s="42" t="str">
        <f t="shared" si="28"/>
        <v/>
      </c>
      <c r="T1897" s="42"/>
    </row>
    <row r="1898" ht="22.5" customHeight="1">
      <c r="B1898" s="42">
        <f t="shared" si="7"/>
        <v>1892</v>
      </c>
      <c r="C1898" s="31" t="s">
        <v>2022</v>
      </c>
      <c r="D1898" s="34" t="str">
        <f t="array" ref="D1898">IFNA(_xlfn.XLOOKUP(C1898,Table_Tarikan_Warkah[Nomor Sertipikat],Table_Tarikan_Warkah[Nomor Tiket]),"")</f>
        <v>L/2/240325/1</v>
      </c>
      <c r="E1898" s="36">
        <f t="array" ref="E1898">IFNA(_xlfn.XLOOKUP(D1898,Table_Tarikan_Warkah[Nomor Tiket],Table_Tarikan_Warkah[Tanggal diserahkan kepada Validator]),"")</f>
        <v>45799.51965</v>
      </c>
      <c r="F1898" s="36" t="str">
        <f t="array" ref="F1898">IFNA(_xlfn.XLOOKUP(D1898,Table_Tarikan_Warkah[Nomor Tiket],Table_Tarikan_Warkah[Nama Petugas Warkah]),"")</f>
        <v>Berry</v>
      </c>
      <c r="G1898" s="39" t="str">
        <f t="array" ref="G1898">IFNA(_xlfn.XLOOKUP(D1898,Table_Tarikan_Warkah[Nomor Tiket],Table_Tarikan_Warkah[Jenis Permohonan]),"")</f>
        <v>ROYA</v>
      </c>
      <c r="H1898" s="41" t="s">
        <v>11</v>
      </c>
      <c r="I1898" s="49" t="s">
        <v>23</v>
      </c>
      <c r="J1898" s="36">
        <f t="shared" si="20"/>
        <v>45775.6096</v>
      </c>
      <c r="K1898" s="49" t="s">
        <v>197</v>
      </c>
      <c r="L1898" s="49" t="s">
        <v>23</v>
      </c>
      <c r="M1898" s="36">
        <f t="shared" si="26"/>
        <v>45776.64823</v>
      </c>
      <c r="N1898" s="30" t="str">
        <f t="shared" si="27"/>
        <v>Selesai</v>
      </c>
      <c r="O1898" s="45">
        <f t="shared" si="23"/>
        <v>45776.64823</v>
      </c>
      <c r="P1898" s="47" t="b">
        <v>1</v>
      </c>
      <c r="Q1898" s="36">
        <f t="shared" si="24"/>
        <v>45776.64846</v>
      </c>
      <c r="R1898" s="47" t="b">
        <v>0</v>
      </c>
      <c r="S1898" s="42" t="str">
        <f t="shared" si="28"/>
        <v/>
      </c>
      <c r="T1898" s="42"/>
    </row>
    <row r="1899" ht="22.5" customHeight="1">
      <c r="B1899" s="42">
        <f t="shared" si="7"/>
        <v>1893</v>
      </c>
      <c r="C1899" s="31" t="s">
        <v>2023</v>
      </c>
      <c r="D1899" s="34" t="str">
        <f t="array" ref="D1899">IFNA(_xlfn.XLOOKUP(C1899,Table_Tarikan_Warkah[Nomor Sertipikat],Table_Tarikan_Warkah[Nomor Tiket]),"")</f>
        <v>L/50/240325/4</v>
      </c>
      <c r="E1899" s="36" t="str">
        <f t="array" ref="E1899">IFNA(_xlfn.XLOOKUP(D1899,Table_Tarikan_Warkah[Nomor Tiket],Table_Tarikan_Warkah[Tanggal diserahkan kepada Validator]),"")</f>
        <v/>
      </c>
      <c r="F1899" s="36" t="str">
        <f t="array" ref="F1899">IFNA(_xlfn.XLOOKUP(D1899,Table_Tarikan_Warkah[Nomor Tiket],Table_Tarikan_Warkah[Nama Petugas Warkah]),"")</f>
        <v/>
      </c>
      <c r="G1899" s="39" t="str">
        <f t="array" ref="G1899">IFNA(_xlfn.XLOOKUP(D1899,Table_Tarikan_Warkah[Nomor Tiket],Table_Tarikan_Warkah[Jenis Permohonan]),"")</f>
        <v>GANTI BLANGKO</v>
      </c>
      <c r="H1899" s="41" t="s">
        <v>11</v>
      </c>
      <c r="I1899" s="49" t="s">
        <v>23</v>
      </c>
      <c r="J1899" s="36">
        <f t="shared" si="20"/>
        <v>45775.6096</v>
      </c>
      <c r="K1899" s="49" t="s">
        <v>197</v>
      </c>
      <c r="L1899" s="49" t="s">
        <v>23</v>
      </c>
      <c r="M1899" s="36">
        <f t="shared" si="26"/>
        <v>45776.64823</v>
      </c>
      <c r="N1899" s="30" t="str">
        <f t="shared" si="27"/>
        <v>Selesai</v>
      </c>
      <c r="O1899" s="45">
        <f t="shared" si="23"/>
        <v>45776.64823</v>
      </c>
      <c r="P1899" s="47" t="b">
        <v>1</v>
      </c>
      <c r="Q1899" s="36">
        <f t="shared" si="24"/>
        <v>45776.64846</v>
      </c>
      <c r="R1899" s="47" t="b">
        <v>0</v>
      </c>
      <c r="S1899" s="42" t="str">
        <f t="shared" si="28"/>
        <v/>
      </c>
      <c r="T1899" s="42"/>
    </row>
    <row r="1900" ht="22.5" customHeight="1">
      <c r="B1900" s="42">
        <f t="shared" si="7"/>
        <v>1894</v>
      </c>
      <c r="C1900" s="31" t="s">
        <v>2024</v>
      </c>
      <c r="D1900" s="42" t="s">
        <v>2025</v>
      </c>
      <c r="E1900" s="36" t="str">
        <f t="array" ref="E1900">IFNA(_xlfn.XLOOKUP(D1900,Table_Tarikan_Warkah[Nomor Tiket],Table_Tarikan_Warkah[Tanggal diserahkan kepada Validator]),"")</f>
        <v/>
      </c>
      <c r="F1900" s="36" t="str">
        <f t="array" ref="F1900">IFNA(_xlfn.XLOOKUP(D1900,Table_Tarikan_Warkah[Nomor Tiket],Table_Tarikan_Warkah[Nama Petugas Warkah]),"")</f>
        <v/>
      </c>
      <c r="G1900" s="39" t="str">
        <f t="array" ref="G1900">IFNA(_xlfn.XLOOKUP(D1900,Table_Tarikan_Warkah[Nomor Tiket],Table_Tarikan_Warkah[Jenis Permohonan]),"")</f>
        <v>BN Jual Beli</v>
      </c>
      <c r="H1900" s="41" t="s">
        <v>11</v>
      </c>
      <c r="I1900" s="49" t="s">
        <v>23</v>
      </c>
      <c r="J1900" s="36">
        <f t="shared" si="20"/>
        <v>45775.6096</v>
      </c>
      <c r="K1900" s="49" t="s">
        <v>197</v>
      </c>
      <c r="L1900" s="49" t="s">
        <v>23</v>
      </c>
      <c r="M1900" s="36">
        <f t="shared" si="26"/>
        <v>45776.64823</v>
      </c>
      <c r="N1900" s="30" t="str">
        <f t="shared" si="27"/>
        <v>Selesai</v>
      </c>
      <c r="O1900" s="45">
        <f t="shared" si="23"/>
        <v>45776.64823</v>
      </c>
      <c r="P1900" s="47" t="b">
        <v>1</v>
      </c>
      <c r="Q1900" s="36">
        <f t="shared" si="24"/>
        <v>45776.64852</v>
      </c>
      <c r="R1900" s="47" t="b">
        <v>0</v>
      </c>
      <c r="S1900" s="42" t="str">
        <f t="shared" si="28"/>
        <v/>
      </c>
      <c r="T1900" s="42"/>
    </row>
    <row r="1901" ht="22.5" customHeight="1">
      <c r="B1901" s="42">
        <f t="shared" si="7"/>
        <v>1895</v>
      </c>
      <c r="C1901" s="31" t="s">
        <v>2026</v>
      </c>
      <c r="D1901" s="34" t="str">
        <f t="array" ref="D1901">IFNA(_xlfn.XLOOKUP(C1901,Table_Tarikan_Warkah[Nomor Sertipikat],Table_Tarikan_Warkah[Nomor Tiket]),"")</f>
        <v>K/15/140425/1</v>
      </c>
      <c r="E1901" s="36" t="str">
        <f t="array" ref="E1901">IFNA(_xlfn.XLOOKUP(D1901,Table_Tarikan_Warkah[Nomor Tiket],Table_Tarikan_Warkah[Tanggal diserahkan kepada Validator]),"")</f>
        <v/>
      </c>
      <c r="F1901" s="36" t="str">
        <f t="array" ref="F1901">IFNA(_xlfn.XLOOKUP(D1901,Table_Tarikan_Warkah[Nomor Tiket],Table_Tarikan_Warkah[Nama Petugas Warkah]),"")</f>
        <v/>
      </c>
      <c r="G1901" s="39" t="str">
        <f t="array" ref="G1901">IFNA(_xlfn.XLOOKUP(D1901,Table_Tarikan_Warkah[Nomor Tiket],Table_Tarikan_Warkah[Jenis Permohonan]),"")</f>
        <v>BN Jual Beli</v>
      </c>
      <c r="H1901" s="41" t="s">
        <v>11</v>
      </c>
      <c r="I1901" s="49" t="s">
        <v>23</v>
      </c>
      <c r="J1901" s="36">
        <f t="shared" si="20"/>
        <v>45775.6096</v>
      </c>
      <c r="K1901" s="49" t="s">
        <v>197</v>
      </c>
      <c r="L1901" s="49" t="s">
        <v>23</v>
      </c>
      <c r="M1901" s="36">
        <f t="shared" si="26"/>
        <v>45776.64823</v>
      </c>
      <c r="N1901" s="30" t="str">
        <f t="shared" si="27"/>
        <v>Selesai</v>
      </c>
      <c r="O1901" s="45">
        <f t="shared" si="23"/>
        <v>45776.64823</v>
      </c>
      <c r="P1901" s="47" t="b">
        <v>1</v>
      </c>
      <c r="Q1901" s="36">
        <f t="shared" si="24"/>
        <v>45776.64852</v>
      </c>
      <c r="R1901" s="47" t="b">
        <v>0</v>
      </c>
      <c r="S1901" s="42" t="str">
        <f t="shared" si="28"/>
        <v/>
      </c>
      <c r="T1901" s="42"/>
    </row>
    <row r="1902" ht="22.5" customHeight="1">
      <c r="B1902" s="42">
        <f t="shared" si="7"/>
        <v>1896</v>
      </c>
      <c r="C1902" s="31" t="s">
        <v>2027</v>
      </c>
      <c r="D1902" s="34" t="str">
        <f t="array" ref="D1902">IFNA(_xlfn.XLOOKUP(C1902,Table_Tarikan_Warkah[Nomor Sertipikat],Table_Tarikan_Warkah[Nomor Tiket]),"")</f>
        <v>K/21/140325/2</v>
      </c>
      <c r="E1902" s="36" t="str">
        <f t="array" ref="E1902">IFNA(_xlfn.XLOOKUP(D1902,Table_Tarikan_Warkah[Nomor Tiket],Table_Tarikan_Warkah[Tanggal diserahkan kepada Validator]),"")</f>
        <v/>
      </c>
      <c r="F1902" s="36" t="str">
        <f t="array" ref="F1902">IFNA(_xlfn.XLOOKUP(D1902,Table_Tarikan_Warkah[Nomor Tiket],Table_Tarikan_Warkah[Nama Petugas Warkah]),"")</f>
        <v/>
      </c>
      <c r="G1902" s="39" t="str">
        <f t="array" ref="G1902">IFNA(_xlfn.XLOOKUP(D1902,Table_Tarikan_Warkah[Nomor Tiket],Table_Tarikan_Warkah[Jenis Permohonan]),"")</f>
        <v>BN Jual Beli</v>
      </c>
      <c r="H1902" s="41" t="s">
        <v>11</v>
      </c>
      <c r="I1902" s="49" t="s">
        <v>23</v>
      </c>
      <c r="J1902" s="36">
        <f t="shared" si="20"/>
        <v>45775.6096</v>
      </c>
      <c r="K1902" s="49" t="s">
        <v>197</v>
      </c>
      <c r="L1902" s="49" t="s">
        <v>23</v>
      </c>
      <c r="M1902" s="36">
        <f t="shared" si="26"/>
        <v>45776.64823</v>
      </c>
      <c r="N1902" s="30" t="str">
        <f t="shared" si="27"/>
        <v>Selesai</v>
      </c>
      <c r="O1902" s="45">
        <f t="shared" si="23"/>
        <v>45776.64823</v>
      </c>
      <c r="P1902" s="47" t="b">
        <v>1</v>
      </c>
      <c r="Q1902" s="36">
        <f t="shared" si="24"/>
        <v>45776.64852</v>
      </c>
      <c r="R1902" s="47" t="b">
        <v>0</v>
      </c>
      <c r="S1902" s="42" t="str">
        <f t="shared" si="28"/>
        <v/>
      </c>
      <c r="T1902" s="42"/>
    </row>
    <row r="1903" ht="22.5" customHeight="1">
      <c r="B1903" s="42">
        <f t="shared" si="7"/>
        <v>1897</v>
      </c>
      <c r="C1903" s="31" t="s">
        <v>2028</v>
      </c>
      <c r="D1903" s="34" t="str">
        <f t="array" ref="D1903">IFNA(_xlfn.XLOOKUP(C1903,Table_Tarikan_Warkah[Nomor Sertipikat],Table_Tarikan_Warkah[Nomor Tiket]),"")</f>
        <v>K/7/170425/2</v>
      </c>
      <c r="E1903" s="36" t="str">
        <f t="array" ref="E1903">IFNA(_xlfn.XLOOKUP(D1903,Table_Tarikan_Warkah[Nomor Tiket],Table_Tarikan_Warkah[Tanggal diserahkan kepada Validator]),"")</f>
        <v/>
      </c>
      <c r="F1903" s="36" t="str">
        <f t="array" ref="F1903">IFNA(_xlfn.XLOOKUP(D1903,Table_Tarikan_Warkah[Nomor Tiket],Table_Tarikan_Warkah[Nama Petugas Warkah]),"")</f>
        <v/>
      </c>
      <c r="G1903" s="39" t="str">
        <f t="array" ref="G1903">IFNA(_xlfn.XLOOKUP(D1903,Table_Tarikan_Warkah[Nomor Tiket],Table_Tarikan_Warkah[Jenis Permohonan]),"")</f>
        <v>BN PHB</v>
      </c>
      <c r="H1903" s="41" t="s">
        <v>11</v>
      </c>
      <c r="I1903" s="49" t="s">
        <v>23</v>
      </c>
      <c r="J1903" s="36">
        <f t="shared" si="20"/>
        <v>45775.6096</v>
      </c>
      <c r="K1903" s="49" t="s">
        <v>197</v>
      </c>
      <c r="L1903" s="49" t="s">
        <v>23</v>
      </c>
      <c r="M1903" s="36">
        <f t="shared" si="26"/>
        <v>45776.64828</v>
      </c>
      <c r="N1903" s="30" t="str">
        <f t="shared" si="27"/>
        <v>Selesai</v>
      </c>
      <c r="O1903" s="45">
        <f t="shared" si="23"/>
        <v>45776.64828</v>
      </c>
      <c r="P1903" s="47" t="b">
        <v>1</v>
      </c>
      <c r="Q1903" s="36">
        <f t="shared" si="24"/>
        <v>45776.64852</v>
      </c>
      <c r="R1903" s="47" t="b">
        <v>0</v>
      </c>
      <c r="S1903" s="42" t="str">
        <f t="shared" si="28"/>
        <v/>
      </c>
      <c r="T1903" s="42"/>
    </row>
    <row r="1904" ht="22.5" customHeight="1">
      <c r="B1904" s="42">
        <f t="shared" si="7"/>
        <v>1898</v>
      </c>
      <c r="C1904" s="31" t="s">
        <v>2029</v>
      </c>
      <c r="D1904" s="34" t="str">
        <f t="array" ref="D1904">IFNA(_xlfn.XLOOKUP(C1904,Table_Tarikan_Warkah[Nomor Sertipikat],Table_Tarikan_Warkah[Nomor Tiket]),"")</f>
        <v>K/33/120325/1</v>
      </c>
      <c r="E1904" s="36" t="str">
        <f t="array" ref="E1904">IFNA(_xlfn.XLOOKUP(D1904,Table_Tarikan_Warkah[Nomor Tiket],Table_Tarikan_Warkah[Tanggal diserahkan kepada Validator]),"")</f>
        <v/>
      </c>
      <c r="F1904" s="36" t="str">
        <f t="array" ref="F1904">IFNA(_xlfn.XLOOKUP(D1904,Table_Tarikan_Warkah[Nomor Tiket],Table_Tarikan_Warkah[Nama Petugas Warkah]),"")</f>
        <v/>
      </c>
      <c r="G1904" s="39" t="str">
        <f t="array" ref="G1904">IFNA(_xlfn.XLOOKUP(D1904,Table_Tarikan_Warkah[Nomor Tiket],Table_Tarikan_Warkah[Jenis Permohonan]),"")</f>
        <v>BN Jual Beli</v>
      </c>
      <c r="H1904" s="41" t="s">
        <v>11</v>
      </c>
      <c r="I1904" s="49" t="s">
        <v>23</v>
      </c>
      <c r="J1904" s="36">
        <f t="shared" si="20"/>
        <v>45775.6096</v>
      </c>
      <c r="K1904" s="49" t="s">
        <v>197</v>
      </c>
      <c r="L1904" s="49" t="s">
        <v>23</v>
      </c>
      <c r="M1904" s="36">
        <f t="shared" si="26"/>
        <v>45776.64828</v>
      </c>
      <c r="N1904" s="30" t="str">
        <f t="shared" si="27"/>
        <v>Selesai</v>
      </c>
      <c r="O1904" s="45">
        <f t="shared" si="23"/>
        <v>45776.64828</v>
      </c>
      <c r="P1904" s="47" t="b">
        <v>1</v>
      </c>
      <c r="Q1904" s="36">
        <f t="shared" si="24"/>
        <v>45776.64852</v>
      </c>
      <c r="R1904" s="47" t="b">
        <v>0</v>
      </c>
      <c r="S1904" s="42" t="str">
        <f t="shared" si="28"/>
        <v/>
      </c>
      <c r="T1904" s="42"/>
    </row>
    <row r="1905" ht="22.5" customHeight="1">
      <c r="B1905" s="42">
        <f t="shared" si="7"/>
        <v>1899</v>
      </c>
      <c r="C1905" s="31" t="s">
        <v>2030</v>
      </c>
      <c r="D1905" s="34" t="str">
        <f t="array" ref="D1905">IFNA(_xlfn.XLOOKUP(C1905,Table_Tarikan_Warkah[Nomor Sertipikat],Table_Tarikan_Warkah[Nomor Tiket]),"")</f>
        <v>K/32/160425/1</v>
      </c>
      <c r="E1905" s="36" t="str">
        <f t="array" ref="E1905">IFNA(_xlfn.XLOOKUP(D1905,Table_Tarikan_Warkah[Nomor Tiket],Table_Tarikan_Warkah[Tanggal diserahkan kepada Validator]),"")</f>
        <v/>
      </c>
      <c r="F1905" s="36" t="str">
        <f t="array" ref="F1905">IFNA(_xlfn.XLOOKUP(D1905,Table_Tarikan_Warkah[Nomor Tiket],Table_Tarikan_Warkah[Nama Petugas Warkah]),"")</f>
        <v/>
      </c>
      <c r="G1905" s="39" t="str">
        <f t="array" ref="G1905">IFNA(_xlfn.XLOOKUP(D1905,Table_Tarikan_Warkah[Nomor Tiket],Table_Tarikan_Warkah[Jenis Permohonan]),"")</f>
        <v>BN Jual Beli</v>
      </c>
      <c r="H1905" s="41" t="s">
        <v>11</v>
      </c>
      <c r="I1905" s="49" t="s">
        <v>23</v>
      </c>
      <c r="J1905" s="36">
        <f t="shared" si="20"/>
        <v>45775.6096</v>
      </c>
      <c r="K1905" s="49" t="s">
        <v>197</v>
      </c>
      <c r="L1905" s="49" t="s">
        <v>23</v>
      </c>
      <c r="M1905" s="36">
        <f t="shared" si="26"/>
        <v>45776.64828</v>
      </c>
      <c r="N1905" s="30" t="str">
        <f t="shared" si="27"/>
        <v>Selesai</v>
      </c>
      <c r="O1905" s="45">
        <f t="shared" si="23"/>
        <v>45776.64828</v>
      </c>
      <c r="P1905" s="47" t="b">
        <v>1</v>
      </c>
      <c r="Q1905" s="36">
        <f t="shared" si="24"/>
        <v>45776.64853</v>
      </c>
      <c r="R1905" s="47" t="b">
        <v>0</v>
      </c>
      <c r="S1905" s="42" t="str">
        <f t="shared" si="28"/>
        <v/>
      </c>
      <c r="T1905" s="42"/>
    </row>
    <row r="1906" ht="22.5" customHeight="1">
      <c r="B1906" s="42">
        <f t="shared" si="7"/>
        <v>1900</v>
      </c>
      <c r="C1906" s="31" t="s">
        <v>208</v>
      </c>
      <c r="D1906" s="34" t="str">
        <f t="array" ref="D1906">IFNA(_xlfn.XLOOKUP(C1906,Table_Tarikan_Warkah[Nomor Sertipikat],Table_Tarikan_Warkah[Nomor Tiket]),"")</f>
        <v>K/34/181024/2</v>
      </c>
      <c r="E1906" s="36" t="str">
        <f t="array" ref="E1906">IFNA(_xlfn.XLOOKUP(D1906,Table_Tarikan_Warkah[Nomor Tiket],Table_Tarikan_Warkah[Tanggal diserahkan kepada Validator]),"")</f>
        <v>21/10/2024 11.42</v>
      </c>
      <c r="F1906" s="36" t="str">
        <f t="array" ref="F1906">IFNA(_xlfn.XLOOKUP(D1906,Table_Tarikan_Warkah[Nomor Tiket],Table_Tarikan_Warkah[Nama Petugas Warkah]),"")</f>
        <v>David</v>
      </c>
      <c r="G1906" s="39" t="str">
        <f t="array" ref="G1906">IFNA(_xlfn.XLOOKUP(D1906,Table_Tarikan_Warkah[Nomor Tiket],Table_Tarikan_Warkah[Jenis Permohonan]),"")</f>
        <v>PERALIHAN JUAL BELI</v>
      </c>
      <c r="H1906" s="41" t="s">
        <v>11</v>
      </c>
      <c r="I1906" s="49" t="s">
        <v>23</v>
      </c>
      <c r="J1906" s="36">
        <f t="shared" si="20"/>
        <v>45775.6096</v>
      </c>
      <c r="K1906" s="49" t="s">
        <v>197</v>
      </c>
      <c r="L1906" s="49" t="s">
        <v>23</v>
      </c>
      <c r="M1906" s="36">
        <f t="shared" si="26"/>
        <v>45776.64828</v>
      </c>
      <c r="N1906" s="30" t="str">
        <f t="shared" si="27"/>
        <v>Selesai</v>
      </c>
      <c r="O1906" s="45">
        <f t="shared" si="23"/>
        <v>45776.64828</v>
      </c>
      <c r="P1906" s="47" t="b">
        <v>1</v>
      </c>
      <c r="Q1906" s="36">
        <f t="shared" si="24"/>
        <v>45776.64854</v>
      </c>
      <c r="R1906" s="47" t="b">
        <v>0</v>
      </c>
      <c r="S1906" s="42" t="str">
        <f t="shared" si="28"/>
        <v/>
      </c>
      <c r="T1906" s="42"/>
    </row>
    <row r="1907" ht="22.5" customHeight="1">
      <c r="B1907" s="42">
        <f t="shared" si="7"/>
        <v>1901</v>
      </c>
      <c r="C1907" s="31" t="s">
        <v>2031</v>
      </c>
      <c r="D1907" s="34" t="str">
        <f t="array" ref="D1907">IFNA(_xlfn.XLOOKUP(C1907,Table_Tarikan_Warkah[Nomor Sertipikat],Table_Tarikan_Warkah[Nomor Tiket]),"")</f>
        <v>K/26/030325/1</v>
      </c>
      <c r="E1907" s="36" t="str">
        <f t="array" ref="E1907">IFNA(_xlfn.XLOOKUP(D1907,Table_Tarikan_Warkah[Nomor Tiket],Table_Tarikan_Warkah[Tanggal diserahkan kepada Validator]),"")</f>
        <v/>
      </c>
      <c r="F1907" s="36" t="str">
        <f t="array" ref="F1907">IFNA(_xlfn.XLOOKUP(D1907,Table_Tarikan_Warkah[Nomor Tiket],Table_Tarikan_Warkah[Nama Petugas Warkah]),"")</f>
        <v/>
      </c>
      <c r="G1907" s="39" t="str">
        <f t="array" ref="G1907">IFNA(_xlfn.XLOOKUP(D1907,Table_Tarikan_Warkah[Nomor Tiket],Table_Tarikan_Warkah[Jenis Permohonan]),"")</f>
        <v>BN Waris</v>
      </c>
      <c r="H1907" s="41" t="s">
        <v>11</v>
      </c>
      <c r="I1907" s="49" t="s">
        <v>23</v>
      </c>
      <c r="J1907" s="36">
        <f t="shared" si="20"/>
        <v>45775.6096</v>
      </c>
      <c r="K1907" s="49" t="s">
        <v>197</v>
      </c>
      <c r="L1907" s="49" t="s">
        <v>23</v>
      </c>
      <c r="M1907" s="36">
        <f t="shared" si="26"/>
        <v>45776.64832</v>
      </c>
      <c r="N1907" s="30" t="str">
        <f t="shared" si="27"/>
        <v>Selesai</v>
      </c>
      <c r="O1907" s="45">
        <f t="shared" si="23"/>
        <v>45776.64832</v>
      </c>
      <c r="P1907" s="47" t="b">
        <v>1</v>
      </c>
      <c r="Q1907" s="36">
        <f t="shared" si="24"/>
        <v>45776.64856</v>
      </c>
      <c r="R1907" s="47" t="b">
        <v>0</v>
      </c>
      <c r="S1907" s="42" t="str">
        <f t="shared" si="28"/>
        <v/>
      </c>
      <c r="T1907" s="42"/>
    </row>
    <row r="1908" ht="22.5" customHeight="1">
      <c r="B1908" s="42">
        <f t="shared" si="7"/>
        <v>1902</v>
      </c>
      <c r="C1908" s="31" t="s">
        <v>2032</v>
      </c>
      <c r="D1908" s="34" t="str">
        <f t="array" ref="D1908">IFNA(_xlfn.XLOOKUP(C1908,Table_Tarikan_Warkah[Nomor Sertipikat],Table_Tarikan_Warkah[Nomor Tiket]),"")</f>
        <v>K/20/100425/1</v>
      </c>
      <c r="E1908" s="36" t="str">
        <f t="array" ref="E1908">IFNA(_xlfn.XLOOKUP(D1908,Table_Tarikan_Warkah[Nomor Tiket],Table_Tarikan_Warkah[Tanggal diserahkan kepada Validator]),"")</f>
        <v/>
      </c>
      <c r="F1908" s="36" t="str">
        <f t="array" ref="F1908">IFNA(_xlfn.XLOOKUP(D1908,Table_Tarikan_Warkah[Nomor Tiket],Table_Tarikan_Warkah[Nama Petugas Warkah]),"")</f>
        <v/>
      </c>
      <c r="G1908" s="39" t="str">
        <f t="array" ref="G1908">IFNA(_xlfn.XLOOKUP(D1908,Table_Tarikan_Warkah[Nomor Tiket],Table_Tarikan_Warkah[Jenis Permohonan]),"")</f>
        <v>BN Jual Beli </v>
      </c>
      <c r="H1908" s="41" t="s">
        <v>11</v>
      </c>
      <c r="I1908" s="49" t="s">
        <v>23</v>
      </c>
      <c r="J1908" s="36">
        <f t="shared" si="20"/>
        <v>45775.6096</v>
      </c>
      <c r="K1908" s="49" t="s">
        <v>197</v>
      </c>
      <c r="L1908" s="49" t="s">
        <v>23</v>
      </c>
      <c r="M1908" s="36">
        <f t="shared" si="26"/>
        <v>45776.64832</v>
      </c>
      <c r="N1908" s="30" t="str">
        <f t="shared" si="27"/>
        <v>Selesai</v>
      </c>
      <c r="O1908" s="45">
        <f t="shared" si="23"/>
        <v>45776.64832</v>
      </c>
      <c r="P1908" s="47" t="b">
        <v>1</v>
      </c>
      <c r="Q1908" s="36">
        <f t="shared" si="24"/>
        <v>45776.64857</v>
      </c>
      <c r="R1908" s="47" t="b">
        <v>0</v>
      </c>
      <c r="S1908" s="42" t="str">
        <f t="shared" si="28"/>
        <v/>
      </c>
      <c r="T1908" s="42"/>
    </row>
    <row r="1909" ht="22.5" customHeight="1">
      <c r="B1909" s="42">
        <f t="shared" si="7"/>
        <v>1903</v>
      </c>
      <c r="C1909" s="31" t="s">
        <v>2033</v>
      </c>
      <c r="D1909" s="34" t="str">
        <f t="array" ref="D1909">IFNA(_xlfn.XLOOKUP(C1909,Table_Tarikan_Warkah[Nomor Sertipikat],Table_Tarikan_Warkah[Nomor Tiket]),"")</f>
        <v>K/8/260325/1</v>
      </c>
      <c r="E1909" s="36" t="str">
        <f t="array" ref="E1909">IFNA(_xlfn.XLOOKUP(D1909,Table_Tarikan_Warkah[Nomor Tiket],Table_Tarikan_Warkah[Tanggal diserahkan kepada Validator]),"")</f>
        <v/>
      </c>
      <c r="F1909" s="36" t="str">
        <f t="array" ref="F1909">IFNA(_xlfn.XLOOKUP(D1909,Table_Tarikan_Warkah[Nomor Tiket],Table_Tarikan_Warkah[Nama Petugas Warkah]),"")</f>
        <v/>
      </c>
      <c r="G1909" s="39" t="str">
        <f t="array" ref="G1909">IFNA(_xlfn.XLOOKUP(D1909,Table_Tarikan_Warkah[Nomor Tiket],Table_Tarikan_Warkah[Jenis Permohonan]),"")</f>
        <v>BN JUAL BELI</v>
      </c>
      <c r="H1909" s="41" t="s">
        <v>20</v>
      </c>
      <c r="I1909" s="49" t="s">
        <v>23</v>
      </c>
      <c r="J1909" s="36">
        <f t="shared" si="20"/>
        <v>45776.43733</v>
      </c>
      <c r="K1909" s="49" t="s">
        <v>197</v>
      </c>
      <c r="L1909" s="49" t="s">
        <v>23</v>
      </c>
      <c r="M1909" s="36">
        <f t="shared" si="26"/>
        <v>45776.43738</v>
      </c>
      <c r="N1909" s="30" t="str">
        <f t="shared" si="27"/>
        <v>Selesai</v>
      </c>
      <c r="O1909" s="45">
        <f t="shared" si="23"/>
        <v>45776.43738</v>
      </c>
      <c r="P1909" s="47" t="b">
        <v>1</v>
      </c>
      <c r="Q1909" s="36">
        <f t="shared" si="24"/>
        <v>45776.4374</v>
      </c>
      <c r="R1909" s="47" t="b">
        <v>0</v>
      </c>
      <c r="S1909" s="42" t="str">
        <f t="shared" si="28"/>
        <v/>
      </c>
      <c r="T1909" s="42"/>
    </row>
    <row r="1910" ht="22.5" customHeight="1">
      <c r="B1910" s="42">
        <f t="shared" si="7"/>
        <v>1904</v>
      </c>
      <c r="C1910" s="31" t="s">
        <v>2034</v>
      </c>
      <c r="D1910" s="34" t="str">
        <f t="array" ref="D1910">IFNA(_xlfn.XLOOKUP(C1910,Table_Tarikan_Warkah[Nomor Sertipikat],Table_Tarikan_Warkah[Nomor Tiket]),"")</f>
        <v>L/20/260325/1</v>
      </c>
      <c r="E1910" s="36" t="str">
        <f t="array" ref="E1910">IFNA(_xlfn.XLOOKUP(D1910,Table_Tarikan_Warkah[Nomor Tiket],Table_Tarikan_Warkah[Tanggal diserahkan kepada Validator]),"")</f>
        <v/>
      </c>
      <c r="F1910" s="36" t="str">
        <f t="array" ref="F1910">IFNA(_xlfn.XLOOKUP(D1910,Table_Tarikan_Warkah[Nomor Tiket],Table_Tarikan_Warkah[Nama Petugas Warkah]),"")</f>
        <v/>
      </c>
      <c r="G1910" s="39" t="str">
        <f t="array" ref="G1910">IFNA(_xlfn.XLOOKUP(D1910,Table_Tarikan_Warkah[Nomor Tiket],Table_Tarikan_Warkah[Jenis Permohonan]),"")</f>
        <v>BN JUAL- BELI</v>
      </c>
      <c r="H1910" s="41" t="s">
        <v>20</v>
      </c>
      <c r="I1910" s="49" t="s">
        <v>23</v>
      </c>
      <c r="J1910" s="36">
        <f t="shared" si="20"/>
        <v>45776.43752</v>
      </c>
      <c r="K1910" s="49" t="s">
        <v>197</v>
      </c>
      <c r="L1910" s="49" t="s">
        <v>23</v>
      </c>
      <c r="M1910" s="36">
        <f t="shared" si="26"/>
        <v>45776.43757</v>
      </c>
      <c r="N1910" s="30" t="str">
        <f t="shared" si="27"/>
        <v>Selesai</v>
      </c>
      <c r="O1910" s="45">
        <f t="shared" si="23"/>
        <v>45776.43757</v>
      </c>
      <c r="P1910" s="47" t="b">
        <v>1</v>
      </c>
      <c r="Q1910" s="36">
        <f t="shared" si="24"/>
        <v>45776.43758</v>
      </c>
      <c r="R1910" s="47" t="b">
        <v>0</v>
      </c>
      <c r="S1910" s="42" t="str">
        <f t="shared" si="28"/>
        <v/>
      </c>
      <c r="T1910" s="42"/>
    </row>
    <row r="1911" ht="22.5" customHeight="1">
      <c r="B1911" s="42">
        <f t="shared" si="7"/>
        <v>1905</v>
      </c>
      <c r="C1911" s="31" t="s">
        <v>2035</v>
      </c>
      <c r="D1911" s="34" t="str">
        <f t="array" ref="D1911">IFNA(_xlfn.XLOOKUP(C1911,Table_Tarikan_Warkah[Nomor Sertipikat],Table_Tarikan_Warkah[Nomor Tiket]),"")</f>
        <v>L/14/250425/1</v>
      </c>
      <c r="E1911" s="36" t="str">
        <f t="array" ref="E1911">IFNA(_xlfn.XLOOKUP(D1911,Table_Tarikan_Warkah[Nomor Tiket],Table_Tarikan_Warkah[Tanggal diserahkan kepada Validator]),"")</f>
        <v/>
      </c>
      <c r="F1911" s="36" t="str">
        <f t="array" ref="F1911">IFNA(_xlfn.XLOOKUP(D1911,Table_Tarikan_Warkah[Nomor Tiket],Table_Tarikan_Warkah[Nama Petugas Warkah]),"")</f>
        <v/>
      </c>
      <c r="G1911" s="39" t="str">
        <f t="array" ref="G1911">IFNA(_xlfn.XLOOKUP(D1911,Table_Tarikan_Warkah[Nomor Tiket],Table_Tarikan_Warkah[Jenis Permohonan]),"")</f>
        <v>BN JUAL - BELI</v>
      </c>
      <c r="H1911" s="41" t="s">
        <v>20</v>
      </c>
      <c r="I1911" s="49" t="s">
        <v>23</v>
      </c>
      <c r="J1911" s="36">
        <f t="shared" si="20"/>
        <v>45776.43868</v>
      </c>
      <c r="K1911" s="49" t="s">
        <v>197</v>
      </c>
      <c r="L1911" s="49" t="s">
        <v>23</v>
      </c>
      <c r="M1911" s="36">
        <f t="shared" si="26"/>
        <v>45776.43871</v>
      </c>
      <c r="N1911" s="30" t="str">
        <f t="shared" si="27"/>
        <v>Selesai</v>
      </c>
      <c r="O1911" s="45">
        <f t="shared" si="23"/>
        <v>45776.43871</v>
      </c>
      <c r="P1911" s="47" t="b">
        <v>1</v>
      </c>
      <c r="Q1911" s="36">
        <f t="shared" si="24"/>
        <v>45776.6486</v>
      </c>
      <c r="R1911" s="47" t="b">
        <v>0</v>
      </c>
      <c r="S1911" s="42" t="str">
        <f t="shared" si="28"/>
        <v/>
      </c>
      <c r="T1911" s="42"/>
    </row>
    <row r="1912" ht="22.5" customHeight="1">
      <c r="B1912" s="42">
        <f t="shared" si="7"/>
        <v>1906</v>
      </c>
      <c r="C1912" s="31" t="s">
        <v>2036</v>
      </c>
      <c r="D1912" s="34" t="str">
        <f t="array" ref="D1912">IFNA(_xlfn.XLOOKUP(C1912,Table_Tarikan_Warkah[Nomor Sertipikat],Table_Tarikan_Warkah[Nomor Tiket]),"")</f>
        <v>K/17/270325/1</v>
      </c>
      <c r="E1912" s="36" t="str">
        <f t="array" ref="E1912">IFNA(_xlfn.XLOOKUP(D1912,Table_Tarikan_Warkah[Nomor Tiket],Table_Tarikan_Warkah[Tanggal diserahkan kepada Validator]),"")</f>
        <v/>
      </c>
      <c r="F1912" s="36" t="str">
        <f t="array" ref="F1912">IFNA(_xlfn.XLOOKUP(D1912,Table_Tarikan_Warkah[Nomor Tiket],Table_Tarikan_Warkah[Nama Petugas Warkah]),"")</f>
        <v/>
      </c>
      <c r="G1912" s="39" t="str">
        <f t="array" ref="G1912">IFNA(_xlfn.XLOOKUP(D1912,Table_Tarikan_Warkah[Nomor Tiket],Table_Tarikan_Warkah[Jenis Permohonan]),"")</f>
        <v>JUAL BELI</v>
      </c>
      <c r="H1912" s="41" t="s">
        <v>20</v>
      </c>
      <c r="I1912" s="49" t="s">
        <v>23</v>
      </c>
      <c r="J1912" s="36">
        <f t="shared" si="20"/>
        <v>45776.4396</v>
      </c>
      <c r="K1912" s="49" t="s">
        <v>197</v>
      </c>
      <c r="L1912" s="49" t="s">
        <v>23</v>
      </c>
      <c r="M1912" s="36">
        <f t="shared" si="26"/>
        <v>45776.43964</v>
      </c>
      <c r="N1912" s="30" t="str">
        <f t="shared" si="27"/>
        <v>Selesai</v>
      </c>
      <c r="O1912" s="45">
        <f t="shared" si="23"/>
        <v>45776.43964</v>
      </c>
      <c r="P1912" s="47" t="b">
        <v>1</v>
      </c>
      <c r="Q1912" s="36">
        <f t="shared" si="24"/>
        <v>45776.64861</v>
      </c>
      <c r="R1912" s="47" t="b">
        <v>0</v>
      </c>
      <c r="S1912" s="42" t="str">
        <f t="shared" si="28"/>
        <v/>
      </c>
      <c r="T1912" s="42"/>
    </row>
    <row r="1913" ht="22.5" customHeight="1">
      <c r="B1913" s="42">
        <f t="shared" si="7"/>
        <v>1907</v>
      </c>
      <c r="C1913" s="31" t="s">
        <v>2037</v>
      </c>
      <c r="D1913" s="34" t="str">
        <f t="array" ref="D1913">IFNA(_xlfn.XLOOKUP(C1913,Table_Tarikan_Warkah[Nomor Sertipikat],Table_Tarikan_Warkah[Nomor Tiket]),"")</f>
        <v>K/1/260325/1</v>
      </c>
      <c r="E1913" s="36" t="str">
        <f t="array" ref="E1913">IFNA(_xlfn.XLOOKUP(D1913,Table_Tarikan_Warkah[Nomor Tiket],Table_Tarikan_Warkah[Tanggal diserahkan kepada Validator]),"")</f>
        <v/>
      </c>
      <c r="F1913" s="36" t="str">
        <f t="array" ref="F1913">IFNA(_xlfn.XLOOKUP(D1913,Table_Tarikan_Warkah[Nomor Tiket],Table_Tarikan_Warkah[Nama Petugas Warkah]),"")</f>
        <v/>
      </c>
      <c r="G1913" s="39" t="str">
        <f t="array" ref="G1913">IFNA(_xlfn.XLOOKUP(D1913,Table_Tarikan_Warkah[Nomor Tiket],Table_Tarikan_Warkah[Jenis Permohonan]),"")</f>
        <v>ROYA</v>
      </c>
      <c r="H1913" s="41" t="s">
        <v>20</v>
      </c>
      <c r="I1913" s="49" t="s">
        <v>23</v>
      </c>
      <c r="J1913" s="36">
        <f t="shared" si="20"/>
        <v>45776.51139</v>
      </c>
      <c r="K1913" s="49" t="s">
        <v>197</v>
      </c>
      <c r="L1913" s="49" t="s">
        <v>23</v>
      </c>
      <c r="M1913" s="36">
        <f t="shared" si="26"/>
        <v>45776.51145</v>
      </c>
      <c r="N1913" s="30" t="str">
        <f t="shared" si="27"/>
        <v>Selesai</v>
      </c>
      <c r="O1913" s="45">
        <f t="shared" si="23"/>
        <v>45776.51145</v>
      </c>
      <c r="P1913" s="47" t="b">
        <v>1</v>
      </c>
      <c r="Q1913" s="36">
        <f t="shared" si="24"/>
        <v>45776.51151</v>
      </c>
      <c r="R1913" s="47" t="b">
        <v>0</v>
      </c>
      <c r="S1913" s="42" t="str">
        <f t="shared" si="28"/>
        <v/>
      </c>
      <c r="T1913" s="42"/>
    </row>
    <row r="1914" ht="22.5" customHeight="1">
      <c r="B1914" s="42">
        <f t="shared" si="7"/>
        <v>1908</v>
      </c>
      <c r="C1914" s="31" t="s">
        <v>2038</v>
      </c>
      <c r="D1914" s="34" t="str">
        <f t="array" ref="D1914">IFNA(_xlfn.XLOOKUP(C1914,Table_Tarikan_Warkah[Nomor Sertipikat],Table_Tarikan_Warkah[Nomor Tiket]),"")</f>
        <v>K/19/230425/1</v>
      </c>
      <c r="E1914" s="36">
        <f t="array" ref="E1914">IFNA(_xlfn.XLOOKUP(D1914,Table_Tarikan_Warkah[Nomor Tiket],Table_Tarikan_Warkah[Tanggal diserahkan kepada Validator]),"")</f>
        <v>45792.48458</v>
      </c>
      <c r="F1914" s="36" t="str">
        <f t="array" ref="F1914">IFNA(_xlfn.XLOOKUP(D1914,Table_Tarikan_Warkah[Nomor Tiket],Table_Tarikan_Warkah[Nama Petugas Warkah]),"")</f>
        <v>Berry</v>
      </c>
      <c r="G1914" s="39" t="str">
        <f t="array" ref="G1914">IFNA(_xlfn.XLOOKUP(D1914,Table_Tarikan_Warkah[Nomor Tiket],Table_Tarikan_Warkah[Jenis Permohonan]),"")</f>
        <v>ROYA</v>
      </c>
      <c r="H1914" s="41" t="s">
        <v>11</v>
      </c>
      <c r="I1914" s="49" t="s">
        <v>23</v>
      </c>
      <c r="J1914" s="36">
        <f t="shared" si="20"/>
        <v>45776.6499</v>
      </c>
      <c r="K1914" s="49" t="s">
        <v>197</v>
      </c>
      <c r="L1914" s="49" t="s">
        <v>23</v>
      </c>
      <c r="M1914" s="36">
        <f t="shared" si="26"/>
        <v>45776.67291</v>
      </c>
      <c r="N1914" s="30" t="str">
        <f t="shared" si="27"/>
        <v>Selesai</v>
      </c>
      <c r="O1914" s="45">
        <f t="shared" si="23"/>
        <v>45776.67291</v>
      </c>
      <c r="P1914" s="47" t="b">
        <v>1</v>
      </c>
      <c r="Q1914" s="36">
        <f t="shared" si="24"/>
        <v>45776.6738</v>
      </c>
      <c r="R1914" s="47" t="b">
        <v>0</v>
      </c>
      <c r="S1914" s="42" t="str">
        <f t="shared" si="28"/>
        <v/>
      </c>
      <c r="T1914" s="42"/>
    </row>
    <row r="1915" ht="22.5" customHeight="1">
      <c r="B1915" s="42">
        <f t="shared" si="7"/>
        <v>1909</v>
      </c>
      <c r="C1915" s="31" t="s">
        <v>2039</v>
      </c>
      <c r="D1915" s="34" t="str">
        <f t="array" ref="D1915">IFNA(_xlfn.XLOOKUP(C1915,Table_Tarikan_Warkah[Nomor Sertipikat],Table_Tarikan_Warkah[Nomor Tiket]),"")</f>
        <v>K/4/170425/1</v>
      </c>
      <c r="E1915" s="36" t="str">
        <f t="array" ref="E1915">IFNA(_xlfn.XLOOKUP(D1915,Table_Tarikan_Warkah[Nomor Tiket],Table_Tarikan_Warkah[Tanggal diserahkan kepada Validator]),"")</f>
        <v/>
      </c>
      <c r="F1915" s="36" t="str">
        <f t="array" ref="F1915">IFNA(_xlfn.XLOOKUP(D1915,Table_Tarikan_Warkah[Nomor Tiket],Table_Tarikan_Warkah[Nama Petugas Warkah]),"")</f>
        <v/>
      </c>
      <c r="G1915" s="39" t="str">
        <f t="array" ref="G1915">IFNA(_xlfn.XLOOKUP(D1915,Table_Tarikan_Warkah[Nomor Tiket],Table_Tarikan_Warkah[Jenis Permohonan]),"")</f>
        <v>BN JUAL BELI</v>
      </c>
      <c r="H1915" s="41" t="s">
        <v>11</v>
      </c>
      <c r="I1915" s="49" t="s">
        <v>23</v>
      </c>
      <c r="J1915" s="36">
        <f t="shared" si="20"/>
        <v>45776.6499</v>
      </c>
      <c r="K1915" s="49" t="s">
        <v>197</v>
      </c>
      <c r="L1915" s="49" t="s">
        <v>23</v>
      </c>
      <c r="M1915" s="36">
        <f t="shared" si="26"/>
        <v>45776.67291</v>
      </c>
      <c r="N1915" s="30" t="str">
        <f t="shared" si="27"/>
        <v>Selesai</v>
      </c>
      <c r="O1915" s="45">
        <f t="shared" si="23"/>
        <v>45776.67291</v>
      </c>
      <c r="P1915" s="47" t="b">
        <v>1</v>
      </c>
      <c r="Q1915" s="36">
        <f t="shared" si="24"/>
        <v>45776.67379</v>
      </c>
      <c r="R1915" s="47" t="b">
        <v>0</v>
      </c>
      <c r="S1915" s="42" t="str">
        <f t="shared" si="28"/>
        <v/>
      </c>
      <c r="T1915" s="42"/>
    </row>
    <row r="1916" ht="22.5" customHeight="1">
      <c r="B1916" s="42">
        <f t="shared" si="7"/>
        <v>1910</v>
      </c>
      <c r="C1916" s="31" t="s">
        <v>2040</v>
      </c>
      <c r="D1916" s="34" t="str">
        <f t="array" ref="D1916">IFNA(_xlfn.XLOOKUP(C1916,Table_Tarikan_Warkah[Nomor Sertipikat],Table_Tarikan_Warkah[Nomor Tiket]),"")</f>
        <v>K/3/250325/1</v>
      </c>
      <c r="E1916" s="36" t="str">
        <f t="array" ref="E1916">IFNA(_xlfn.XLOOKUP(D1916,Table_Tarikan_Warkah[Nomor Tiket],Table_Tarikan_Warkah[Tanggal diserahkan kepada Validator]),"")</f>
        <v/>
      </c>
      <c r="F1916" s="36" t="str">
        <f t="array" ref="F1916">IFNA(_xlfn.XLOOKUP(D1916,Table_Tarikan_Warkah[Nomor Tiket],Table_Tarikan_Warkah[Nama Petugas Warkah]),"")</f>
        <v/>
      </c>
      <c r="G1916" s="39" t="str">
        <f t="array" ref="G1916">IFNA(_xlfn.XLOOKUP(D1916,Table_Tarikan_Warkah[Nomor Tiket],Table_Tarikan_Warkah[Jenis Permohonan]),"")</f>
        <v>BN JUAL BELI</v>
      </c>
      <c r="H1916" s="41" t="s">
        <v>11</v>
      </c>
      <c r="I1916" s="49" t="s">
        <v>23</v>
      </c>
      <c r="J1916" s="36">
        <f t="shared" si="20"/>
        <v>45776.6499</v>
      </c>
      <c r="K1916" s="49" t="s">
        <v>197</v>
      </c>
      <c r="L1916" s="49" t="s">
        <v>23</v>
      </c>
      <c r="M1916" s="36">
        <f t="shared" si="26"/>
        <v>45776.67291</v>
      </c>
      <c r="N1916" s="30" t="str">
        <f t="shared" si="27"/>
        <v>Selesai</v>
      </c>
      <c r="O1916" s="45">
        <f t="shared" si="23"/>
        <v>45776.67291</v>
      </c>
      <c r="P1916" s="47" t="b">
        <v>1</v>
      </c>
      <c r="Q1916" s="36">
        <f t="shared" si="24"/>
        <v>45776.67378</v>
      </c>
      <c r="R1916" s="47" t="b">
        <v>0</v>
      </c>
      <c r="S1916" s="42" t="str">
        <f t="shared" si="28"/>
        <v/>
      </c>
      <c r="T1916" s="42"/>
    </row>
    <row r="1917" ht="22.5" customHeight="1">
      <c r="B1917" s="42">
        <f t="shared" si="7"/>
        <v>1911</v>
      </c>
      <c r="C1917" s="31" t="s">
        <v>2041</v>
      </c>
      <c r="D1917" s="34" t="str">
        <f t="array" ref="D1917">IFNA(_xlfn.XLOOKUP(C1917,Table_Tarikan_Warkah[Nomor Sertipikat],Table_Tarikan_Warkah[Nomor Tiket]),"")</f>
        <v>K/23/110425/2</v>
      </c>
      <c r="E1917" s="36" t="str">
        <f t="array" ref="E1917">IFNA(_xlfn.XLOOKUP(D1917,Table_Tarikan_Warkah[Nomor Tiket],Table_Tarikan_Warkah[Tanggal diserahkan kepada Validator]),"")</f>
        <v/>
      </c>
      <c r="F1917" s="36" t="str">
        <f t="array" ref="F1917">IFNA(_xlfn.XLOOKUP(D1917,Table_Tarikan_Warkah[Nomor Tiket],Table_Tarikan_Warkah[Nama Petugas Warkah]),"")</f>
        <v/>
      </c>
      <c r="G1917" s="39" t="str">
        <f t="array" ref="G1917">IFNA(_xlfn.XLOOKUP(D1917,Table_Tarikan_Warkah[Nomor Tiket],Table_Tarikan_Warkah[Jenis Permohonan]),"")</f>
        <v>BN JUAL BELI</v>
      </c>
      <c r="H1917" s="41" t="s">
        <v>11</v>
      </c>
      <c r="I1917" s="49" t="s">
        <v>23</v>
      </c>
      <c r="J1917" s="36">
        <f t="shared" si="20"/>
        <v>45776.6499</v>
      </c>
      <c r="K1917" s="49" t="s">
        <v>197</v>
      </c>
      <c r="L1917" s="49" t="s">
        <v>23</v>
      </c>
      <c r="M1917" s="36">
        <f t="shared" si="26"/>
        <v>45776.67291</v>
      </c>
      <c r="N1917" s="30" t="str">
        <f t="shared" si="27"/>
        <v>Selesai</v>
      </c>
      <c r="O1917" s="45">
        <f t="shared" si="23"/>
        <v>45776.67291</v>
      </c>
      <c r="P1917" s="47" t="b">
        <v>1</v>
      </c>
      <c r="Q1917" s="36">
        <f t="shared" si="24"/>
        <v>45776.67376</v>
      </c>
      <c r="R1917" s="47" t="b">
        <v>0</v>
      </c>
      <c r="S1917" s="42" t="str">
        <f t="shared" si="28"/>
        <v/>
      </c>
      <c r="T1917" s="42"/>
    </row>
    <row r="1918" ht="22.5" customHeight="1">
      <c r="B1918" s="42">
        <f t="shared" si="7"/>
        <v>1912</v>
      </c>
      <c r="C1918" s="31" t="s">
        <v>2042</v>
      </c>
      <c r="D1918" s="34" t="str">
        <f t="array" ref="D1918">IFNA(_xlfn.XLOOKUP(C1918,Table_Tarikan_Warkah[Nomor Sertipikat],Table_Tarikan_Warkah[Nomor Tiket]),"")</f>
        <v>K/4/140425/3</v>
      </c>
      <c r="E1918" s="36" t="str">
        <f t="array" ref="E1918">IFNA(_xlfn.XLOOKUP(D1918,Table_Tarikan_Warkah[Nomor Tiket],Table_Tarikan_Warkah[Tanggal diserahkan kepada Validator]),"")</f>
        <v/>
      </c>
      <c r="F1918" s="36" t="str">
        <f t="array" ref="F1918">IFNA(_xlfn.XLOOKUP(D1918,Table_Tarikan_Warkah[Nomor Tiket],Table_Tarikan_Warkah[Nama Petugas Warkah]),"")</f>
        <v/>
      </c>
      <c r="G1918" s="39" t="str">
        <f t="array" ref="G1918">IFNA(_xlfn.XLOOKUP(D1918,Table_Tarikan_Warkah[Nomor Tiket],Table_Tarikan_Warkah[Jenis Permohonan]),"")</f>
        <v>BN Jual Beli</v>
      </c>
      <c r="H1918" s="41" t="s">
        <v>11</v>
      </c>
      <c r="I1918" s="49" t="s">
        <v>23</v>
      </c>
      <c r="J1918" s="36">
        <f t="shared" si="20"/>
        <v>45776.6499</v>
      </c>
      <c r="K1918" s="49" t="s">
        <v>197</v>
      </c>
      <c r="L1918" s="49" t="s">
        <v>23</v>
      </c>
      <c r="M1918" s="36">
        <f t="shared" si="26"/>
        <v>45776.67291</v>
      </c>
      <c r="N1918" s="30" t="str">
        <f t="shared" si="27"/>
        <v>Selesai</v>
      </c>
      <c r="O1918" s="45">
        <f t="shared" si="23"/>
        <v>45776.67291</v>
      </c>
      <c r="P1918" s="47" t="b">
        <v>1</v>
      </c>
      <c r="Q1918" s="36">
        <f t="shared" si="24"/>
        <v>45776.67377</v>
      </c>
      <c r="R1918" s="47" t="b">
        <v>0</v>
      </c>
      <c r="S1918" s="42" t="str">
        <f t="shared" si="28"/>
        <v/>
      </c>
      <c r="T1918" s="42"/>
    </row>
    <row r="1919" ht="22.5" customHeight="1">
      <c r="B1919" s="42">
        <f t="shared" si="7"/>
        <v>1913</v>
      </c>
      <c r="C1919" s="31" t="s">
        <v>2043</v>
      </c>
      <c r="D1919" s="34" t="str">
        <f t="array" ref="D1919">IFNA(_xlfn.XLOOKUP(C1919,Table_Tarikan_Warkah[Nomor Sertipikat],Table_Tarikan_Warkah[Nomor Tiket]),"")</f>
        <v>K/13/270325/1</v>
      </c>
      <c r="E1919" s="36" t="str">
        <f t="array" ref="E1919">IFNA(_xlfn.XLOOKUP(D1919,Table_Tarikan_Warkah[Nomor Tiket],Table_Tarikan_Warkah[Tanggal diserahkan kepada Validator]),"")</f>
        <v/>
      </c>
      <c r="F1919" s="36" t="str">
        <f t="array" ref="F1919">IFNA(_xlfn.XLOOKUP(D1919,Table_Tarikan_Warkah[Nomor Tiket],Table_Tarikan_Warkah[Nama Petugas Warkah]),"")</f>
        <v/>
      </c>
      <c r="G1919" s="39" t="str">
        <f t="array" ref="G1919">IFNA(_xlfn.XLOOKUP(D1919,Table_Tarikan_Warkah[Nomor Tiket],Table_Tarikan_Warkah[Jenis Permohonan]),"")</f>
        <v>KEWARISAN</v>
      </c>
      <c r="H1919" s="41" t="s">
        <v>11</v>
      </c>
      <c r="I1919" s="49" t="s">
        <v>23</v>
      </c>
      <c r="J1919" s="36">
        <f t="shared" si="20"/>
        <v>45776.6499</v>
      </c>
      <c r="K1919" s="49" t="s">
        <v>197</v>
      </c>
      <c r="L1919" s="49" t="s">
        <v>23</v>
      </c>
      <c r="M1919" s="36">
        <f t="shared" si="26"/>
        <v>45776.67291</v>
      </c>
      <c r="N1919" s="30" t="str">
        <f t="shared" si="27"/>
        <v>Selesai</v>
      </c>
      <c r="O1919" s="45">
        <f t="shared" si="23"/>
        <v>45776.67291</v>
      </c>
      <c r="P1919" s="47" t="b">
        <v>1</v>
      </c>
      <c r="Q1919" s="36">
        <f t="shared" si="24"/>
        <v>45776.67374</v>
      </c>
      <c r="R1919" s="47" t="b">
        <v>0</v>
      </c>
      <c r="S1919" s="42" t="str">
        <f t="shared" si="28"/>
        <v/>
      </c>
      <c r="T1919" s="42"/>
    </row>
    <row r="1920" ht="22.5" customHeight="1">
      <c r="B1920" s="42">
        <f t="shared" si="7"/>
        <v>1914</v>
      </c>
      <c r="C1920" s="31" t="s">
        <v>2044</v>
      </c>
      <c r="D1920" s="34" t="str">
        <f t="array" ref="D1920">IFNA(_xlfn.XLOOKUP(C1920,Table_Tarikan_Warkah[Nomor Sertipikat],Table_Tarikan_Warkah[Nomor Tiket]),"")</f>
        <v>K/26/160425/1</v>
      </c>
      <c r="E1920" s="36" t="str">
        <f t="array" ref="E1920">IFNA(_xlfn.XLOOKUP(D1920,Table_Tarikan_Warkah[Nomor Tiket],Table_Tarikan_Warkah[Tanggal diserahkan kepada Validator]),"")</f>
        <v/>
      </c>
      <c r="F1920" s="36" t="str">
        <f t="array" ref="F1920">IFNA(_xlfn.XLOOKUP(D1920,Table_Tarikan_Warkah[Nomor Tiket],Table_Tarikan_Warkah[Nama Petugas Warkah]),"")</f>
        <v/>
      </c>
      <c r="G1920" s="39" t="str">
        <f t="array" ref="G1920">IFNA(_xlfn.XLOOKUP(D1920,Table_Tarikan_Warkah[Nomor Tiket],Table_Tarikan_Warkah[Jenis Permohonan]),"")</f>
        <v>JUAL BELI</v>
      </c>
      <c r="H1920" s="41" t="s">
        <v>11</v>
      </c>
      <c r="I1920" s="49" t="s">
        <v>23</v>
      </c>
      <c r="J1920" s="36">
        <f t="shared" si="20"/>
        <v>45776.6499</v>
      </c>
      <c r="K1920" s="49" t="s">
        <v>197</v>
      </c>
      <c r="L1920" s="49" t="s">
        <v>23</v>
      </c>
      <c r="M1920" s="36">
        <f t="shared" si="26"/>
        <v>45776.67291</v>
      </c>
      <c r="N1920" s="30" t="str">
        <f t="shared" si="27"/>
        <v>Selesai</v>
      </c>
      <c r="O1920" s="45">
        <f t="shared" si="23"/>
        <v>45776.67291</v>
      </c>
      <c r="P1920" s="47" t="b">
        <v>1</v>
      </c>
      <c r="Q1920" s="36">
        <f t="shared" si="24"/>
        <v>45776.67373</v>
      </c>
      <c r="R1920" s="47" t="b">
        <v>0</v>
      </c>
      <c r="S1920" s="42" t="str">
        <f t="shared" si="28"/>
        <v/>
      </c>
      <c r="T1920" s="42"/>
    </row>
    <row r="1921" ht="22.5" customHeight="1">
      <c r="B1921" s="42">
        <f t="shared" si="7"/>
        <v>1915</v>
      </c>
      <c r="C1921" s="31" t="s">
        <v>2045</v>
      </c>
      <c r="D1921" s="34" t="str">
        <f t="array" ref="D1921">IFNA(_xlfn.XLOOKUP(C1921,Table_Tarikan_Warkah[Nomor Sertipikat],Table_Tarikan_Warkah[Nomor Tiket]),"")</f>
        <v>K/23/140425/1</v>
      </c>
      <c r="E1921" s="36" t="str">
        <f t="array" ref="E1921">IFNA(_xlfn.XLOOKUP(D1921,Table_Tarikan_Warkah[Nomor Tiket],Table_Tarikan_Warkah[Tanggal diserahkan kepada Validator]),"")</f>
        <v/>
      </c>
      <c r="F1921" s="36" t="str">
        <f t="array" ref="F1921">IFNA(_xlfn.XLOOKUP(D1921,Table_Tarikan_Warkah[Nomor Tiket],Table_Tarikan_Warkah[Nama Petugas Warkah]),"")</f>
        <v/>
      </c>
      <c r="G1921" s="39" t="str">
        <f t="array" ref="G1921">IFNA(_xlfn.XLOOKUP(D1921,Table_Tarikan_Warkah[Nomor Tiket],Table_Tarikan_Warkah[Jenis Permohonan]),"")</f>
        <v>JUAL BELI</v>
      </c>
      <c r="H1921" s="41" t="s">
        <v>11</v>
      </c>
      <c r="I1921" s="49" t="s">
        <v>23</v>
      </c>
      <c r="J1921" s="36">
        <f t="shared" si="20"/>
        <v>45776.6499</v>
      </c>
      <c r="K1921" s="49" t="s">
        <v>197</v>
      </c>
      <c r="L1921" s="49" t="s">
        <v>23</v>
      </c>
      <c r="M1921" s="36">
        <f t="shared" si="26"/>
        <v>45776.67291</v>
      </c>
      <c r="N1921" s="30" t="str">
        <f t="shared" si="27"/>
        <v>Selesai</v>
      </c>
      <c r="O1921" s="45">
        <f t="shared" si="23"/>
        <v>45776.67291</v>
      </c>
      <c r="P1921" s="47" t="b">
        <v>1</v>
      </c>
      <c r="Q1921" s="36">
        <f t="shared" si="24"/>
        <v>45776.67372</v>
      </c>
      <c r="R1921" s="47" t="b">
        <v>0</v>
      </c>
      <c r="S1921" s="42" t="str">
        <f t="shared" si="28"/>
        <v/>
      </c>
      <c r="T1921" s="42"/>
    </row>
    <row r="1922" ht="22.5" customHeight="1">
      <c r="B1922" s="42">
        <f t="shared" si="7"/>
        <v>1916</v>
      </c>
      <c r="C1922" s="31" t="s">
        <v>2046</v>
      </c>
      <c r="D1922" s="34" t="str">
        <f t="array" ref="D1922">IFNA(_xlfn.XLOOKUP(C1922,Table_Tarikan_Warkah[Nomor Sertipikat],Table_Tarikan_Warkah[Nomor Tiket]),"")</f>
        <v>K/24/140425/1</v>
      </c>
      <c r="E1922" s="36" t="str">
        <f t="array" ref="E1922">IFNA(_xlfn.XLOOKUP(D1922,Table_Tarikan_Warkah[Nomor Tiket],Table_Tarikan_Warkah[Tanggal diserahkan kepada Validator]),"")</f>
        <v/>
      </c>
      <c r="F1922" s="36" t="str">
        <f t="array" ref="F1922">IFNA(_xlfn.XLOOKUP(D1922,Table_Tarikan_Warkah[Nomor Tiket],Table_Tarikan_Warkah[Nama Petugas Warkah]),"")</f>
        <v/>
      </c>
      <c r="G1922" s="39" t="str">
        <f t="array" ref="G1922">IFNA(_xlfn.XLOOKUP(D1922,Table_Tarikan_Warkah[Nomor Tiket],Table_Tarikan_Warkah[Jenis Permohonan]),"")</f>
        <v>JUAL BELI</v>
      </c>
      <c r="H1922" s="41" t="s">
        <v>11</v>
      </c>
      <c r="I1922" s="49" t="s">
        <v>23</v>
      </c>
      <c r="J1922" s="36">
        <f t="shared" si="20"/>
        <v>45776.6499</v>
      </c>
      <c r="K1922" s="49" t="s">
        <v>197</v>
      </c>
      <c r="L1922" s="49" t="s">
        <v>23</v>
      </c>
      <c r="M1922" s="36">
        <f t="shared" si="26"/>
        <v>45776.67291</v>
      </c>
      <c r="N1922" s="30" t="str">
        <f t="shared" si="27"/>
        <v>Selesai</v>
      </c>
      <c r="O1922" s="45">
        <f t="shared" si="23"/>
        <v>45776.67291</v>
      </c>
      <c r="P1922" s="47" t="b">
        <v>1</v>
      </c>
      <c r="Q1922" s="36">
        <f t="shared" si="24"/>
        <v>45776.67371</v>
      </c>
      <c r="R1922" s="47" t="b">
        <v>0</v>
      </c>
      <c r="S1922" s="42" t="str">
        <f t="shared" si="28"/>
        <v/>
      </c>
      <c r="T1922" s="42"/>
    </row>
    <row r="1923" ht="22.5" customHeight="1">
      <c r="B1923" s="42">
        <f t="shared" si="7"/>
        <v>1917</v>
      </c>
      <c r="C1923" s="31" t="s">
        <v>2047</v>
      </c>
      <c r="D1923" s="34" t="str">
        <f t="array" ref="D1923">IFNA(_xlfn.XLOOKUP(C1923,Table_Tarikan_Warkah[Nomor Sertipikat],Table_Tarikan_Warkah[Nomor Tiket]),"")</f>
        <v>K/42/230425/1</v>
      </c>
      <c r="E1923" s="36" t="str">
        <f t="array" ref="E1923">IFNA(_xlfn.XLOOKUP(D1923,Table_Tarikan_Warkah[Nomor Tiket],Table_Tarikan_Warkah[Tanggal diserahkan kepada Validator]),"")</f>
        <v/>
      </c>
      <c r="F1923" s="36" t="str">
        <f t="array" ref="F1923">IFNA(_xlfn.XLOOKUP(D1923,Table_Tarikan_Warkah[Nomor Tiket],Table_Tarikan_Warkah[Nama Petugas Warkah]),"")</f>
        <v/>
      </c>
      <c r="G1923" s="39" t="str">
        <f t="array" ref="G1923">IFNA(_xlfn.XLOOKUP(D1923,Table_Tarikan_Warkah[Nomor Tiket],Table_Tarikan_Warkah[Jenis Permohonan]),"")</f>
        <v>PENINGKATAN</v>
      </c>
      <c r="H1923" s="41" t="s">
        <v>11</v>
      </c>
      <c r="I1923" s="49" t="s">
        <v>23</v>
      </c>
      <c r="J1923" s="36">
        <f t="shared" si="20"/>
        <v>45776.6499</v>
      </c>
      <c r="K1923" s="49" t="s">
        <v>197</v>
      </c>
      <c r="L1923" s="49" t="s">
        <v>23</v>
      </c>
      <c r="M1923" s="36">
        <f t="shared" si="26"/>
        <v>45776.67298</v>
      </c>
      <c r="N1923" s="30" t="str">
        <f t="shared" si="27"/>
        <v>Selesai</v>
      </c>
      <c r="O1923" s="45">
        <f t="shared" si="23"/>
        <v>45776.67298</v>
      </c>
      <c r="P1923" s="47" t="b">
        <v>1</v>
      </c>
      <c r="Q1923" s="36">
        <f t="shared" si="24"/>
        <v>45776.6737</v>
      </c>
      <c r="R1923" s="47" t="b">
        <v>0</v>
      </c>
      <c r="S1923" s="42" t="str">
        <f t="shared" si="28"/>
        <v/>
      </c>
      <c r="T1923" s="42"/>
    </row>
    <row r="1924" ht="22.5" customHeight="1">
      <c r="B1924" s="42">
        <f t="shared" si="7"/>
        <v>1918</v>
      </c>
      <c r="C1924" s="31" t="s">
        <v>2048</v>
      </c>
      <c r="D1924" s="34" t="str">
        <f t="array" ref="D1924">IFNA(_xlfn.XLOOKUP(C1924,Table_Tarikan_Warkah[Nomor Sertipikat],Table_Tarikan_Warkah[Nomor Tiket]),"")</f>
        <v>K/34/250425/1</v>
      </c>
      <c r="E1924" s="36" t="str">
        <f t="array" ref="E1924">IFNA(_xlfn.XLOOKUP(D1924,Table_Tarikan_Warkah[Nomor Tiket],Table_Tarikan_Warkah[Tanggal diserahkan kepada Validator]),"")</f>
        <v/>
      </c>
      <c r="F1924" s="36" t="str">
        <f t="array" ref="F1924">IFNA(_xlfn.XLOOKUP(D1924,Table_Tarikan_Warkah[Nomor Tiket],Table_Tarikan_Warkah[Nama Petugas Warkah]),"")</f>
        <v/>
      </c>
      <c r="G1924" s="39" t="str">
        <f t="array" ref="G1924">IFNA(_xlfn.XLOOKUP(D1924,Table_Tarikan_Warkah[Nomor Tiket],Table_Tarikan_Warkah[Jenis Permohonan]),"")</f>
        <v>ROYA</v>
      </c>
      <c r="H1924" s="41" t="s">
        <v>11</v>
      </c>
      <c r="I1924" s="49" t="s">
        <v>23</v>
      </c>
      <c r="J1924" s="36">
        <f t="shared" si="20"/>
        <v>45776.6499</v>
      </c>
      <c r="K1924" s="49" t="s">
        <v>197</v>
      </c>
      <c r="L1924" s="49" t="s">
        <v>23</v>
      </c>
      <c r="M1924" s="36">
        <f t="shared" si="26"/>
        <v>45776.67298</v>
      </c>
      <c r="N1924" s="30" t="str">
        <f t="shared" si="27"/>
        <v>Selesai</v>
      </c>
      <c r="O1924" s="45">
        <f t="shared" si="23"/>
        <v>45776.67298</v>
      </c>
      <c r="P1924" s="47" t="b">
        <v>1</v>
      </c>
      <c r="Q1924" s="36">
        <f t="shared" si="24"/>
        <v>45776.67369</v>
      </c>
      <c r="R1924" s="47" t="b">
        <v>0</v>
      </c>
      <c r="S1924" s="42" t="str">
        <f t="shared" si="28"/>
        <v/>
      </c>
      <c r="T1924" s="42"/>
    </row>
    <row r="1925" ht="22.5" customHeight="1">
      <c r="B1925" s="42">
        <f t="shared" si="7"/>
        <v>1919</v>
      </c>
      <c r="C1925" s="31" t="s">
        <v>2049</v>
      </c>
      <c r="D1925" s="34" t="str">
        <f t="array" ref="D1925">IFNA(_xlfn.XLOOKUP(C1925,Table_Tarikan_Warkah[Nomor Sertipikat],Table_Tarikan_Warkah[Nomor Tiket]),"")</f>
        <v>K/18/160425/1</v>
      </c>
      <c r="E1925" s="36" t="str">
        <f t="array" ref="E1925">IFNA(_xlfn.XLOOKUP(D1925,Table_Tarikan_Warkah[Nomor Tiket],Table_Tarikan_Warkah[Tanggal diserahkan kepada Validator]),"")</f>
        <v/>
      </c>
      <c r="F1925" s="36" t="str">
        <f t="array" ref="F1925">IFNA(_xlfn.XLOOKUP(D1925,Table_Tarikan_Warkah[Nomor Tiket],Table_Tarikan_Warkah[Nama Petugas Warkah]),"")</f>
        <v/>
      </c>
      <c r="G1925" s="39" t="str">
        <f t="array" ref="G1925">IFNA(_xlfn.XLOOKUP(D1925,Table_Tarikan_Warkah[Nomor Tiket],Table_Tarikan_Warkah[Jenis Permohonan]),"")</f>
        <v>BN JUAL BELI</v>
      </c>
      <c r="H1925" s="41" t="s">
        <v>11</v>
      </c>
      <c r="I1925" s="49" t="s">
        <v>23</v>
      </c>
      <c r="J1925" s="36">
        <f t="shared" si="20"/>
        <v>45776.6499</v>
      </c>
      <c r="K1925" s="49" t="s">
        <v>197</v>
      </c>
      <c r="L1925" s="49" t="s">
        <v>23</v>
      </c>
      <c r="M1925" s="36">
        <f t="shared" si="26"/>
        <v>45776.67298</v>
      </c>
      <c r="N1925" s="30" t="str">
        <f t="shared" si="27"/>
        <v>Selesai</v>
      </c>
      <c r="O1925" s="45">
        <f t="shared" si="23"/>
        <v>45776.67298</v>
      </c>
      <c r="P1925" s="47" t="b">
        <v>1</v>
      </c>
      <c r="Q1925" s="36">
        <f t="shared" si="24"/>
        <v>45776.67368</v>
      </c>
      <c r="R1925" s="47" t="b">
        <v>0</v>
      </c>
      <c r="S1925" s="42" t="str">
        <f t="shared" si="28"/>
        <v/>
      </c>
      <c r="T1925" s="42"/>
    </row>
    <row r="1926" ht="22.5" customHeight="1">
      <c r="B1926" s="42">
        <f t="shared" si="7"/>
        <v>1920</v>
      </c>
      <c r="C1926" s="31" t="s">
        <v>2050</v>
      </c>
      <c r="D1926" s="34" t="str">
        <f t="array" ref="D1926">IFNA(_xlfn.XLOOKUP(C1926,Table_Tarikan_Warkah[Nomor Sertipikat],Table_Tarikan_Warkah[Nomor Tiket]),"")</f>
        <v>K/3/100425/1</v>
      </c>
      <c r="E1926" s="36" t="str">
        <f t="array" ref="E1926">IFNA(_xlfn.XLOOKUP(D1926,Table_Tarikan_Warkah[Nomor Tiket],Table_Tarikan_Warkah[Tanggal diserahkan kepada Validator]),"")</f>
        <v/>
      </c>
      <c r="F1926" s="36" t="str">
        <f t="array" ref="F1926">IFNA(_xlfn.XLOOKUP(D1926,Table_Tarikan_Warkah[Nomor Tiket],Table_Tarikan_Warkah[Nama Petugas Warkah]),"")</f>
        <v/>
      </c>
      <c r="G1926" s="39" t="str">
        <f t="array" ref="G1926">IFNA(_xlfn.XLOOKUP(D1926,Table_Tarikan_Warkah[Nomor Tiket],Table_Tarikan_Warkah[Jenis Permohonan]),"")</f>
        <v>BN HIBAH</v>
      </c>
      <c r="H1926" s="41" t="s">
        <v>11</v>
      </c>
      <c r="I1926" s="49" t="s">
        <v>23</v>
      </c>
      <c r="J1926" s="36">
        <f t="shared" si="20"/>
        <v>45776.6499</v>
      </c>
      <c r="K1926" s="49" t="s">
        <v>197</v>
      </c>
      <c r="L1926" s="49" t="s">
        <v>23</v>
      </c>
      <c r="M1926" s="36">
        <f t="shared" si="26"/>
        <v>45776.67298</v>
      </c>
      <c r="N1926" s="30" t="str">
        <f t="shared" si="27"/>
        <v>Selesai</v>
      </c>
      <c r="O1926" s="45">
        <f t="shared" si="23"/>
        <v>45776.67298</v>
      </c>
      <c r="P1926" s="47" t="b">
        <v>1</v>
      </c>
      <c r="Q1926" s="36">
        <f t="shared" si="24"/>
        <v>45776.67367</v>
      </c>
      <c r="R1926" s="47" t="b">
        <v>0</v>
      </c>
      <c r="S1926" s="42" t="str">
        <f t="shared" si="28"/>
        <v/>
      </c>
      <c r="T1926" s="42"/>
    </row>
    <row r="1927" ht="22.5" customHeight="1">
      <c r="B1927" s="42">
        <f t="shared" si="7"/>
        <v>1921</v>
      </c>
      <c r="C1927" s="31" t="s">
        <v>2051</v>
      </c>
      <c r="D1927" s="34" t="str">
        <f t="array" ref="D1927">IFNA(_xlfn.XLOOKUP(C1927,Table_Tarikan_Warkah[Nomor Sertipikat],Table_Tarikan_Warkah[Nomor Tiket]),"")</f>
        <v>K/14/100425/4</v>
      </c>
      <c r="E1927" s="36" t="str">
        <f t="array" ref="E1927">IFNA(_xlfn.XLOOKUP(D1927,Table_Tarikan_Warkah[Nomor Tiket],Table_Tarikan_Warkah[Tanggal diserahkan kepada Validator]),"")</f>
        <v/>
      </c>
      <c r="F1927" s="36" t="str">
        <f t="array" ref="F1927">IFNA(_xlfn.XLOOKUP(D1927,Table_Tarikan_Warkah[Nomor Tiket],Table_Tarikan_Warkah[Nama Petugas Warkah]),"")</f>
        <v/>
      </c>
      <c r="G1927" s="39" t="str">
        <f t="array" ref="G1927">IFNA(_xlfn.XLOOKUP(D1927,Table_Tarikan_Warkah[Nomor Tiket],Table_Tarikan_Warkah[Jenis Permohonan]),"")</f>
        <v>BN JUAL BELI</v>
      </c>
      <c r="H1927" s="41" t="s">
        <v>11</v>
      </c>
      <c r="I1927" s="49" t="s">
        <v>23</v>
      </c>
      <c r="J1927" s="36">
        <f t="shared" si="20"/>
        <v>45776.6499</v>
      </c>
      <c r="K1927" s="49" t="s">
        <v>197</v>
      </c>
      <c r="L1927" s="49" t="s">
        <v>23</v>
      </c>
      <c r="M1927" s="36">
        <f t="shared" si="26"/>
        <v>45776.67298</v>
      </c>
      <c r="N1927" s="30" t="str">
        <f t="shared" si="27"/>
        <v>Selesai</v>
      </c>
      <c r="O1927" s="45">
        <f t="shared" si="23"/>
        <v>45776.67298</v>
      </c>
      <c r="P1927" s="47" t="b">
        <v>1</v>
      </c>
      <c r="Q1927" s="36">
        <f t="shared" si="24"/>
        <v>45776.67366</v>
      </c>
      <c r="R1927" s="47" t="b">
        <v>0</v>
      </c>
      <c r="S1927" s="42" t="str">
        <f t="shared" si="28"/>
        <v/>
      </c>
      <c r="T1927" s="42"/>
    </row>
    <row r="1928" ht="22.5" customHeight="1">
      <c r="B1928" s="42">
        <f t="shared" si="7"/>
        <v>1922</v>
      </c>
      <c r="C1928" s="31" t="s">
        <v>2052</v>
      </c>
      <c r="D1928" s="34" t="str">
        <f t="array" ref="D1928">IFNA(_xlfn.XLOOKUP(C1928,Table_Tarikan_Warkah[Nomor Sertipikat],Table_Tarikan_Warkah[Nomor Tiket]),"")</f>
        <v>K/13/160425/2</v>
      </c>
      <c r="E1928" s="36">
        <f t="array" ref="E1928">IFNA(_xlfn.XLOOKUP(D1928,Table_Tarikan_Warkah[Nomor Tiket],Table_Tarikan_Warkah[Tanggal diserahkan kepada Validator]),"")</f>
        <v>45799.52559</v>
      </c>
      <c r="F1928" s="36" t="str">
        <f t="array" ref="F1928">IFNA(_xlfn.XLOOKUP(D1928,Table_Tarikan_Warkah[Nomor Tiket],Table_Tarikan_Warkah[Nama Petugas Warkah]),"")</f>
        <v>Berry</v>
      </c>
      <c r="G1928" s="39" t="str">
        <f t="array" ref="G1928">IFNA(_xlfn.XLOOKUP(D1928,Table_Tarikan_Warkah[Nomor Tiket],Table_Tarikan_Warkah[Jenis Permohonan]),"")</f>
        <v>ROYA</v>
      </c>
      <c r="H1928" s="41" t="s">
        <v>11</v>
      </c>
      <c r="I1928" s="49" t="s">
        <v>23</v>
      </c>
      <c r="J1928" s="36">
        <f t="shared" si="20"/>
        <v>45776.6499</v>
      </c>
      <c r="K1928" s="49" t="s">
        <v>197</v>
      </c>
      <c r="L1928" s="49" t="s">
        <v>23</v>
      </c>
      <c r="M1928" s="36">
        <f t="shared" si="26"/>
        <v>45776.67298</v>
      </c>
      <c r="N1928" s="30" t="str">
        <f t="shared" si="27"/>
        <v>Selesai</v>
      </c>
      <c r="O1928" s="45">
        <f t="shared" si="23"/>
        <v>45776.67298</v>
      </c>
      <c r="P1928" s="47" t="b">
        <v>1</v>
      </c>
      <c r="Q1928" s="36">
        <f t="shared" si="24"/>
        <v>45776.67364</v>
      </c>
      <c r="R1928" s="47" t="b">
        <v>0</v>
      </c>
      <c r="S1928" s="42" t="str">
        <f t="shared" si="28"/>
        <v/>
      </c>
      <c r="T1928" s="42"/>
    </row>
    <row r="1929" ht="22.5" customHeight="1">
      <c r="B1929" s="42">
        <f t="shared" si="7"/>
        <v>1923</v>
      </c>
      <c r="C1929" s="31" t="s">
        <v>2053</v>
      </c>
      <c r="D1929" s="34" t="str">
        <f t="array" ref="D1929">IFNA(_xlfn.XLOOKUP(C1929,Table_Tarikan_Warkah[Nomor Sertipikat],Table_Tarikan_Warkah[Nomor Tiket]),"")</f>
        <v>K/23/180325/1</v>
      </c>
      <c r="E1929" s="36" t="str">
        <f t="array" ref="E1929">IFNA(_xlfn.XLOOKUP(D1929,Table_Tarikan_Warkah[Nomor Tiket],Table_Tarikan_Warkah[Tanggal diserahkan kepada Validator]),"")</f>
        <v/>
      </c>
      <c r="F1929" s="36" t="str">
        <f t="array" ref="F1929">IFNA(_xlfn.XLOOKUP(D1929,Table_Tarikan_Warkah[Nomor Tiket],Table_Tarikan_Warkah[Nama Petugas Warkah]),"")</f>
        <v/>
      </c>
      <c r="G1929" s="39" t="str">
        <f t="array" ref="G1929">IFNA(_xlfn.XLOOKUP(D1929,Table_Tarikan_Warkah[Nomor Tiket],Table_Tarikan_Warkah[Jenis Permohonan]),"")</f>
        <v>BN WARIS</v>
      </c>
      <c r="H1929" s="41" t="s">
        <v>11</v>
      </c>
      <c r="I1929" s="49" t="s">
        <v>23</v>
      </c>
      <c r="J1929" s="36">
        <f t="shared" si="20"/>
        <v>45776.6499</v>
      </c>
      <c r="K1929" s="49" t="s">
        <v>197</v>
      </c>
      <c r="L1929" s="49" t="s">
        <v>23</v>
      </c>
      <c r="M1929" s="36">
        <f t="shared" si="26"/>
        <v>45776.67298</v>
      </c>
      <c r="N1929" s="30" t="str">
        <f t="shared" si="27"/>
        <v>Selesai</v>
      </c>
      <c r="O1929" s="45">
        <f t="shared" si="23"/>
        <v>45776.67298</v>
      </c>
      <c r="P1929" s="47" t="b">
        <v>1</v>
      </c>
      <c r="Q1929" s="36">
        <f t="shared" si="24"/>
        <v>45776.67304</v>
      </c>
      <c r="R1929" s="47" t="b">
        <v>0</v>
      </c>
      <c r="S1929" s="42" t="str">
        <f t="shared" si="28"/>
        <v/>
      </c>
      <c r="T1929" s="42"/>
    </row>
    <row r="1930" ht="22.5" customHeight="1">
      <c r="B1930" s="42">
        <f t="shared" si="7"/>
        <v>1924</v>
      </c>
      <c r="C1930" s="31" t="s">
        <v>2054</v>
      </c>
      <c r="D1930" s="34" t="str">
        <f t="array" ref="D1930">IFNA(_xlfn.XLOOKUP(C1930,Table_Tarikan_Warkah[Nomor Sertipikat],Table_Tarikan_Warkah[Nomor Tiket]),"")</f>
        <v>K/12/160425/1</v>
      </c>
      <c r="E1930" s="36">
        <f t="array" ref="E1930">IFNA(_xlfn.XLOOKUP(D1930,Table_Tarikan_Warkah[Nomor Tiket],Table_Tarikan_Warkah[Tanggal diserahkan kepada Validator]),"")</f>
        <v>45799.51998</v>
      </c>
      <c r="F1930" s="36" t="str">
        <f t="array" ref="F1930">IFNA(_xlfn.XLOOKUP(D1930,Table_Tarikan_Warkah[Nomor Tiket],Table_Tarikan_Warkah[Nama Petugas Warkah]),"")</f>
        <v>Berry</v>
      </c>
      <c r="G1930" s="39" t="str">
        <f t="array" ref="G1930">IFNA(_xlfn.XLOOKUP(D1930,Table_Tarikan_Warkah[Nomor Tiket],Table_Tarikan_Warkah[Jenis Permohonan]),"")</f>
        <v>ROYA</v>
      </c>
      <c r="H1930" s="41" t="s">
        <v>11</v>
      </c>
      <c r="I1930" s="49" t="s">
        <v>23</v>
      </c>
      <c r="J1930" s="36">
        <f t="shared" si="20"/>
        <v>45776.6499</v>
      </c>
      <c r="K1930" s="49" t="s">
        <v>197</v>
      </c>
      <c r="L1930" s="49" t="s">
        <v>23</v>
      </c>
      <c r="M1930" s="36">
        <f t="shared" si="26"/>
        <v>45776.67298</v>
      </c>
      <c r="N1930" s="30" t="str">
        <f t="shared" si="27"/>
        <v>Selesai</v>
      </c>
      <c r="O1930" s="45">
        <f t="shared" si="23"/>
        <v>45776.67298</v>
      </c>
      <c r="P1930" s="47" t="b">
        <v>1</v>
      </c>
      <c r="Q1930" s="36">
        <f t="shared" si="24"/>
        <v>45776.67303</v>
      </c>
      <c r="R1930" s="47" t="b">
        <v>0</v>
      </c>
      <c r="S1930" s="42" t="str">
        <f t="shared" si="28"/>
        <v/>
      </c>
      <c r="T1930" s="42"/>
    </row>
    <row r="1931" ht="22.5" customHeight="1">
      <c r="B1931" s="42">
        <f t="shared" si="7"/>
        <v>1925</v>
      </c>
      <c r="C1931" s="31" t="s">
        <v>2055</v>
      </c>
      <c r="D1931" s="34" t="str">
        <f t="array" ref="D1931">IFNA(_xlfn.XLOOKUP(C1931,Table_Tarikan_Warkah[Nomor Sertipikat],Table_Tarikan_Warkah[Nomor Tiket]),"")</f>
        <v>K/28/170425/1</v>
      </c>
      <c r="E1931" s="36" t="str">
        <f t="array" ref="E1931">IFNA(_xlfn.XLOOKUP(D1931,Table_Tarikan_Warkah[Nomor Tiket],Table_Tarikan_Warkah[Tanggal diserahkan kepada Validator]),"")</f>
        <v/>
      </c>
      <c r="F1931" s="36" t="str">
        <f t="array" ref="F1931">IFNA(_xlfn.XLOOKUP(D1931,Table_Tarikan_Warkah[Nomor Tiket],Table_Tarikan_Warkah[Nama Petugas Warkah]),"")</f>
        <v/>
      </c>
      <c r="G1931" s="39" t="str">
        <f t="array" ref="G1931">IFNA(_xlfn.XLOOKUP(D1931,Table_Tarikan_Warkah[Nomor Tiket],Table_Tarikan_Warkah[Jenis Permohonan]),"")</f>
        <v>BN JUAL BELI</v>
      </c>
      <c r="H1931" s="41" t="s">
        <v>11</v>
      </c>
      <c r="I1931" s="49" t="s">
        <v>23</v>
      </c>
      <c r="J1931" s="36">
        <f t="shared" si="20"/>
        <v>45776.6499</v>
      </c>
      <c r="K1931" s="49" t="s">
        <v>197</v>
      </c>
      <c r="L1931" s="49" t="s">
        <v>23</v>
      </c>
      <c r="M1931" s="36">
        <f t="shared" si="26"/>
        <v>45776.67298</v>
      </c>
      <c r="N1931" s="30" t="str">
        <f t="shared" si="27"/>
        <v>Selesai</v>
      </c>
      <c r="O1931" s="45">
        <f t="shared" si="23"/>
        <v>45776.67298</v>
      </c>
      <c r="P1931" s="47" t="b">
        <v>1</v>
      </c>
      <c r="Q1931" s="36">
        <f t="shared" si="24"/>
        <v>45776.67301</v>
      </c>
      <c r="R1931" s="47" t="b">
        <v>0</v>
      </c>
      <c r="S1931" s="42" t="str">
        <f t="shared" si="28"/>
        <v/>
      </c>
      <c r="T1931" s="42"/>
    </row>
    <row r="1932" ht="22.5" customHeight="1">
      <c r="B1932" s="42">
        <f t="shared" si="7"/>
        <v>1926</v>
      </c>
      <c r="C1932" s="31" t="s">
        <v>2056</v>
      </c>
      <c r="D1932" s="34" t="str">
        <f t="array" ref="D1932">IFNA(_xlfn.XLOOKUP(C1932,Table_Tarikan_Warkah[Nomor Sertipikat],Table_Tarikan_Warkah[Nomor Tiket]),"")</f>
        <v>K/38/240325/2</v>
      </c>
      <c r="E1932" s="36" t="str">
        <f t="array" ref="E1932">IFNA(_xlfn.XLOOKUP(D1932,Table_Tarikan_Warkah[Nomor Tiket],Table_Tarikan_Warkah[Tanggal diserahkan kepada Validator]),"")</f>
        <v/>
      </c>
      <c r="F1932" s="36" t="str">
        <f t="array" ref="F1932">IFNA(_xlfn.XLOOKUP(D1932,Table_Tarikan_Warkah[Nomor Tiket],Table_Tarikan_Warkah[Nama Petugas Warkah]),"")</f>
        <v/>
      </c>
      <c r="G1932" s="39" t="str">
        <f t="array" ref="G1932">IFNA(_xlfn.XLOOKUP(D1932,Table_Tarikan_Warkah[Nomor Tiket],Table_Tarikan_Warkah[Jenis Permohonan]),"")</f>
        <v>BN JUAL BELI</v>
      </c>
      <c r="H1932" s="41" t="s">
        <v>20</v>
      </c>
      <c r="I1932" s="49" t="s">
        <v>23</v>
      </c>
      <c r="J1932" s="36">
        <f t="shared" si="20"/>
        <v>45777.39011</v>
      </c>
      <c r="K1932" s="49" t="s">
        <v>197</v>
      </c>
      <c r="L1932" s="49" t="s">
        <v>23</v>
      </c>
      <c r="M1932" s="36">
        <f t="shared" si="26"/>
        <v>45779.38253</v>
      </c>
      <c r="N1932" s="30" t="str">
        <f t="shared" si="27"/>
        <v>Selesai</v>
      </c>
      <c r="O1932" s="45">
        <f t="shared" si="23"/>
        <v>45779.38253</v>
      </c>
      <c r="P1932" s="47" t="b">
        <v>1</v>
      </c>
      <c r="Q1932" s="36">
        <f t="shared" si="24"/>
        <v>45783.65282</v>
      </c>
      <c r="R1932" s="47" t="b">
        <v>0</v>
      </c>
      <c r="S1932" s="42" t="str">
        <f t="shared" si="28"/>
        <v/>
      </c>
      <c r="T1932" s="42"/>
    </row>
    <row r="1933" ht="22.5" customHeight="1">
      <c r="B1933" s="42">
        <f t="shared" si="7"/>
        <v>1927</v>
      </c>
      <c r="C1933" s="31" t="s">
        <v>2057</v>
      </c>
      <c r="D1933" s="34" t="str">
        <f t="array" ref="D1933">IFNA(_xlfn.XLOOKUP(C1933,Table_Tarikan_Warkah[Nomor Sertipikat],Table_Tarikan_Warkah[Nomor Tiket]),"")</f>
        <v>K/21/260325/1</v>
      </c>
      <c r="E1933" s="36" t="str">
        <f t="array" ref="E1933">IFNA(_xlfn.XLOOKUP(D1933,Table_Tarikan_Warkah[Nomor Tiket],Table_Tarikan_Warkah[Tanggal diserahkan kepada Validator]),"")</f>
        <v/>
      </c>
      <c r="F1933" s="36" t="str">
        <f t="array" ref="F1933">IFNA(_xlfn.XLOOKUP(D1933,Table_Tarikan_Warkah[Nomor Tiket],Table_Tarikan_Warkah[Nama Petugas Warkah]),"")</f>
        <v/>
      </c>
      <c r="G1933" s="39" t="str">
        <f t="array" ref="G1933">IFNA(_xlfn.XLOOKUP(D1933,Table_Tarikan_Warkah[Nomor Tiket],Table_Tarikan_Warkah[Jenis Permohonan]),"")</f>
        <v>BN JUAL BELI</v>
      </c>
      <c r="H1933" s="41" t="s">
        <v>20</v>
      </c>
      <c r="I1933" s="49" t="s">
        <v>23</v>
      </c>
      <c r="J1933" s="36">
        <f t="shared" si="20"/>
        <v>45777.3902</v>
      </c>
      <c r="K1933" s="49" t="s">
        <v>197</v>
      </c>
      <c r="L1933" s="49" t="s">
        <v>23</v>
      </c>
      <c r="M1933" s="36">
        <f t="shared" si="26"/>
        <v>45779.38253</v>
      </c>
      <c r="N1933" s="30" t="str">
        <f t="shared" si="27"/>
        <v>Selesai</v>
      </c>
      <c r="O1933" s="45">
        <f t="shared" si="23"/>
        <v>45779.38253</v>
      </c>
      <c r="P1933" s="47" t="b">
        <v>1</v>
      </c>
      <c r="Q1933" s="36">
        <f t="shared" si="24"/>
        <v>45783.65282</v>
      </c>
      <c r="R1933" s="47" t="b">
        <v>0</v>
      </c>
      <c r="S1933" s="42" t="str">
        <f t="shared" si="28"/>
        <v/>
      </c>
      <c r="T1933" s="42"/>
    </row>
    <row r="1934" ht="22.5" customHeight="1">
      <c r="B1934" s="42">
        <f t="shared" si="7"/>
        <v>1928</v>
      </c>
      <c r="C1934" s="31" t="s">
        <v>2058</v>
      </c>
      <c r="D1934" s="34" t="str">
        <f t="array" ref="D1934">IFNA(_xlfn.XLOOKUP(C1934,Table_Tarikan_Warkah[Nomor Sertipikat],Table_Tarikan_Warkah[Nomor Tiket]),"")</f>
        <v>K/31/170325/3</v>
      </c>
      <c r="E1934" s="36" t="str">
        <f t="array" ref="E1934">IFNA(_xlfn.XLOOKUP(D1934,Table_Tarikan_Warkah[Nomor Tiket],Table_Tarikan_Warkah[Tanggal diserahkan kepada Validator]),"")</f>
        <v/>
      </c>
      <c r="F1934" s="36" t="str">
        <f t="array" ref="F1934">IFNA(_xlfn.XLOOKUP(D1934,Table_Tarikan_Warkah[Nomor Tiket],Table_Tarikan_Warkah[Nama Petugas Warkah]),"")</f>
        <v/>
      </c>
      <c r="G1934" s="39" t="str">
        <f t="array" ref="G1934">IFNA(_xlfn.XLOOKUP(D1934,Table_Tarikan_Warkah[Nomor Tiket],Table_Tarikan_Warkah[Jenis Permohonan]),"")</f>
        <v>BN JUAL BELI</v>
      </c>
      <c r="H1934" s="41" t="s">
        <v>20</v>
      </c>
      <c r="I1934" s="49" t="s">
        <v>23</v>
      </c>
      <c r="J1934" s="36">
        <f t="shared" si="20"/>
        <v>45777.39027</v>
      </c>
      <c r="K1934" s="49" t="s">
        <v>197</v>
      </c>
      <c r="L1934" s="49" t="s">
        <v>23</v>
      </c>
      <c r="M1934" s="36">
        <f t="shared" si="26"/>
        <v>45779.38253</v>
      </c>
      <c r="N1934" s="30" t="str">
        <f t="shared" si="27"/>
        <v>Selesai</v>
      </c>
      <c r="O1934" s="45">
        <f t="shared" si="23"/>
        <v>45779.38253</v>
      </c>
      <c r="P1934" s="47" t="b">
        <v>1</v>
      </c>
      <c r="Q1934" s="36">
        <f t="shared" si="24"/>
        <v>45783.65282</v>
      </c>
      <c r="R1934" s="47" t="b">
        <v>0</v>
      </c>
      <c r="S1934" s="42" t="str">
        <f t="shared" si="28"/>
        <v/>
      </c>
      <c r="T1934" s="42"/>
    </row>
    <row r="1935" ht="22.5" customHeight="1">
      <c r="B1935" s="42">
        <f t="shared" si="7"/>
        <v>1929</v>
      </c>
      <c r="C1935" s="31" t="s">
        <v>2059</v>
      </c>
      <c r="D1935" s="34" t="str">
        <f t="array" ref="D1935">IFNA(_xlfn.XLOOKUP(C1935,Table_Tarikan_Warkah[Nomor Sertipikat],Table_Tarikan_Warkah[Nomor Tiket]),"")</f>
        <v>K/27/250425/3</v>
      </c>
      <c r="E1935" s="36" t="str">
        <f t="array" ref="E1935">IFNA(_xlfn.XLOOKUP(D1935,Table_Tarikan_Warkah[Nomor Tiket],Table_Tarikan_Warkah[Tanggal diserahkan kepada Validator]),"")</f>
        <v/>
      </c>
      <c r="F1935" s="36" t="str">
        <f t="array" ref="F1935">IFNA(_xlfn.XLOOKUP(D1935,Table_Tarikan_Warkah[Nomor Tiket],Table_Tarikan_Warkah[Nama Petugas Warkah]),"")</f>
        <v/>
      </c>
      <c r="G1935" s="39" t="str">
        <f t="array" ref="G1935">IFNA(_xlfn.XLOOKUP(D1935,Table_Tarikan_Warkah[Nomor Tiket],Table_Tarikan_Warkah[Jenis Permohonan]),"")</f>
        <v>BN JUAL BELI</v>
      </c>
      <c r="H1935" s="41" t="s">
        <v>20</v>
      </c>
      <c r="I1935" s="49" t="s">
        <v>23</v>
      </c>
      <c r="J1935" s="36">
        <f t="shared" si="20"/>
        <v>45777.39039</v>
      </c>
      <c r="K1935" s="49" t="s">
        <v>197</v>
      </c>
      <c r="L1935" s="49" t="s">
        <v>23</v>
      </c>
      <c r="M1935" s="36">
        <f t="shared" si="26"/>
        <v>45779.38253</v>
      </c>
      <c r="N1935" s="30" t="str">
        <f t="shared" si="27"/>
        <v>Selesai</v>
      </c>
      <c r="O1935" s="45">
        <f t="shared" si="23"/>
        <v>45779.38253</v>
      </c>
      <c r="P1935" s="47" t="b">
        <v>1</v>
      </c>
      <c r="Q1935" s="36">
        <f t="shared" si="24"/>
        <v>45783.65282</v>
      </c>
      <c r="R1935" s="47" t="b">
        <v>0</v>
      </c>
      <c r="S1935" s="42" t="str">
        <f t="shared" si="28"/>
        <v/>
      </c>
      <c r="T1935" s="42"/>
    </row>
    <row r="1936" ht="22.5" customHeight="1">
      <c r="B1936" s="42">
        <f t="shared" si="7"/>
        <v>1930</v>
      </c>
      <c r="C1936" s="31" t="s">
        <v>2060</v>
      </c>
      <c r="D1936" s="34" t="str">
        <f t="array" ref="D1936">IFNA(_xlfn.XLOOKUP(C1936,Table_Tarikan_Warkah[Nomor Sertipikat],Table_Tarikan_Warkah[Nomor Tiket]),"")</f>
        <v>K/27/170425/3</v>
      </c>
      <c r="E1936" s="36" t="str">
        <f t="array" ref="E1936">IFNA(_xlfn.XLOOKUP(D1936,Table_Tarikan_Warkah[Nomor Tiket],Table_Tarikan_Warkah[Tanggal diserahkan kepada Validator]),"")</f>
        <v/>
      </c>
      <c r="F1936" s="36" t="str">
        <f t="array" ref="F1936">IFNA(_xlfn.XLOOKUP(D1936,Table_Tarikan_Warkah[Nomor Tiket],Table_Tarikan_Warkah[Nama Petugas Warkah]),"")</f>
        <v/>
      </c>
      <c r="G1936" s="39" t="str">
        <f t="array" ref="G1936">IFNA(_xlfn.XLOOKUP(D1936,Table_Tarikan_Warkah[Nomor Tiket],Table_Tarikan_Warkah[Jenis Permohonan]),"")</f>
        <v>BN JUAL BELI</v>
      </c>
      <c r="H1936" s="41" t="s">
        <v>20</v>
      </c>
      <c r="I1936" s="49" t="s">
        <v>23</v>
      </c>
      <c r="J1936" s="36">
        <f t="shared" si="20"/>
        <v>45777.39049</v>
      </c>
      <c r="K1936" s="49" t="s">
        <v>197</v>
      </c>
      <c r="L1936" s="49" t="s">
        <v>23</v>
      </c>
      <c r="M1936" s="36">
        <f t="shared" si="26"/>
        <v>45779.38253</v>
      </c>
      <c r="N1936" s="30" t="str">
        <f t="shared" si="27"/>
        <v>Selesai</v>
      </c>
      <c r="O1936" s="45">
        <f t="shared" si="23"/>
        <v>45779.38253</v>
      </c>
      <c r="P1936" s="47" t="b">
        <v>1</v>
      </c>
      <c r="Q1936" s="36">
        <f t="shared" si="24"/>
        <v>45783.65282</v>
      </c>
      <c r="R1936" s="47" t="b">
        <v>0</v>
      </c>
      <c r="S1936" s="42" t="str">
        <f t="shared" si="28"/>
        <v/>
      </c>
      <c r="T1936" s="42"/>
    </row>
    <row r="1937" ht="22.5" customHeight="1">
      <c r="B1937" s="42">
        <f t="shared" si="7"/>
        <v>1931</v>
      </c>
      <c r="C1937" s="31" t="s">
        <v>2061</v>
      </c>
      <c r="D1937" s="34" t="str">
        <f t="array" ref="D1937">IFNA(_xlfn.XLOOKUP(C1937,Table_Tarikan_Warkah[Nomor Sertipikat],Table_Tarikan_Warkah[Nomor Tiket]),"")</f>
        <v>K/3/180325/2</v>
      </c>
      <c r="E1937" s="36">
        <f t="array" ref="E1937">IFNA(_xlfn.XLOOKUP(D1937,Table_Tarikan_Warkah[Nomor Tiket],Table_Tarikan_Warkah[Tanggal diserahkan kepada Validator]),"")</f>
        <v>45792.48352</v>
      </c>
      <c r="F1937" s="36" t="str">
        <f t="array" ref="F1937">IFNA(_xlfn.XLOOKUP(D1937,Table_Tarikan_Warkah[Nomor Tiket],Table_Tarikan_Warkah[Nama Petugas Warkah]),"")</f>
        <v>Berry</v>
      </c>
      <c r="G1937" s="39" t="str">
        <f t="array" ref="G1937">IFNA(_xlfn.XLOOKUP(D1937,Table_Tarikan_Warkah[Nomor Tiket],Table_Tarikan_Warkah[Jenis Permohonan]),"")</f>
        <v>ROYA</v>
      </c>
      <c r="H1937" s="41" t="s">
        <v>20</v>
      </c>
      <c r="I1937" s="49" t="s">
        <v>23</v>
      </c>
      <c r="J1937" s="36">
        <f t="shared" si="20"/>
        <v>45777.4671</v>
      </c>
      <c r="K1937" s="49" t="s">
        <v>197</v>
      </c>
      <c r="L1937" s="49" t="s">
        <v>23</v>
      </c>
      <c r="M1937" s="36">
        <f t="shared" si="26"/>
        <v>45779.38253</v>
      </c>
      <c r="N1937" s="30" t="str">
        <f t="shared" si="27"/>
        <v>Selesai</v>
      </c>
      <c r="O1937" s="45">
        <f t="shared" si="23"/>
        <v>45779.38253</v>
      </c>
      <c r="P1937" s="47" t="b">
        <v>1</v>
      </c>
      <c r="Q1937" s="36">
        <f t="shared" si="24"/>
        <v>45783.65282</v>
      </c>
      <c r="R1937" s="47" t="b">
        <v>0</v>
      </c>
      <c r="S1937" s="42" t="str">
        <f t="shared" si="28"/>
        <v/>
      </c>
      <c r="T1937" s="42"/>
    </row>
    <row r="1938" ht="22.5" customHeight="1">
      <c r="B1938" s="42">
        <f t="shared" si="7"/>
        <v>1932</v>
      </c>
      <c r="C1938" s="31" t="s">
        <v>2062</v>
      </c>
      <c r="D1938" s="34" t="str">
        <f t="array" ref="D1938">IFNA(_xlfn.XLOOKUP(C1938,Table_Tarikan_Warkah[Nomor Sertipikat],Table_Tarikan_Warkah[Nomor Tiket]),"")</f>
        <v>K/13/210425/1</v>
      </c>
      <c r="E1938" s="36">
        <f t="array" ref="E1938">IFNA(_xlfn.XLOOKUP(D1938,Table_Tarikan_Warkah[Nomor Tiket],Table_Tarikan_Warkah[Tanggal diserahkan kepada Validator]),"")</f>
        <v>45868.65483</v>
      </c>
      <c r="F1938" s="36" t="str">
        <f t="array" ref="F1938">IFNA(_xlfn.XLOOKUP(D1938,Table_Tarikan_Warkah[Nomor Tiket],Table_Tarikan_Warkah[Nama Petugas Warkah]),"")</f>
        <v>David</v>
      </c>
      <c r="G1938" s="39" t="str">
        <f t="array" ref="G1938">IFNA(_xlfn.XLOOKUP(D1938,Table_Tarikan_Warkah[Nomor Tiket],Table_Tarikan_Warkah[Jenis Permohonan]),"")</f>
        <v>ROYA</v>
      </c>
      <c r="H1938" s="41" t="s">
        <v>20</v>
      </c>
      <c r="I1938" s="49" t="s">
        <v>23</v>
      </c>
      <c r="J1938" s="36">
        <f t="shared" si="20"/>
        <v>45777.46722</v>
      </c>
      <c r="K1938" s="49" t="s">
        <v>197</v>
      </c>
      <c r="L1938" s="49" t="s">
        <v>23</v>
      </c>
      <c r="M1938" s="36">
        <f t="shared" si="26"/>
        <v>45779.38253</v>
      </c>
      <c r="N1938" s="30" t="str">
        <f t="shared" si="27"/>
        <v>Selesai</v>
      </c>
      <c r="O1938" s="45">
        <f t="shared" si="23"/>
        <v>45779.38253</v>
      </c>
      <c r="P1938" s="47" t="b">
        <v>1</v>
      </c>
      <c r="Q1938" s="36">
        <f t="shared" si="24"/>
        <v>45783.65282</v>
      </c>
      <c r="R1938" s="47" t="b">
        <v>0</v>
      </c>
      <c r="S1938" s="42" t="str">
        <f t="shared" si="28"/>
        <v/>
      </c>
      <c r="T1938" s="42"/>
    </row>
    <row r="1939" ht="22.5" customHeight="1">
      <c r="B1939" s="42">
        <f t="shared" si="7"/>
        <v>1933</v>
      </c>
      <c r="C1939" s="31" t="s">
        <v>2063</v>
      </c>
      <c r="D1939" s="34" t="str">
        <f t="array" ref="D1939">IFNA(_xlfn.XLOOKUP(C1939,Table_Tarikan_Warkah[Nomor Sertipikat],Table_Tarikan_Warkah[Nomor Tiket]),"")</f>
        <v>K/18/240425/1</v>
      </c>
      <c r="E1939" s="36">
        <f t="array" ref="E1939">IFNA(_xlfn.XLOOKUP(D1939,Table_Tarikan_Warkah[Nomor Tiket],Table_Tarikan_Warkah[Tanggal diserahkan kepada Validator]),"")</f>
        <v>45792.48428</v>
      </c>
      <c r="F1939" s="36" t="str">
        <f t="array" ref="F1939">IFNA(_xlfn.XLOOKUP(D1939,Table_Tarikan_Warkah[Nomor Tiket],Table_Tarikan_Warkah[Nama Petugas Warkah]),"")</f>
        <v>Berry</v>
      </c>
      <c r="G1939" s="39" t="str">
        <f t="array" ref="G1939">IFNA(_xlfn.XLOOKUP(D1939,Table_Tarikan_Warkah[Nomor Tiket],Table_Tarikan_Warkah[Jenis Permohonan]),"")</f>
        <v>ROYA</v>
      </c>
      <c r="H1939" s="41" t="s">
        <v>20</v>
      </c>
      <c r="I1939" s="49" t="s">
        <v>23</v>
      </c>
      <c r="J1939" s="36">
        <f t="shared" si="20"/>
        <v>45777.46739</v>
      </c>
      <c r="K1939" s="49" t="s">
        <v>197</v>
      </c>
      <c r="L1939" s="49" t="s">
        <v>23</v>
      </c>
      <c r="M1939" s="36">
        <f t="shared" si="26"/>
        <v>45779.38253</v>
      </c>
      <c r="N1939" s="30" t="str">
        <f t="shared" si="27"/>
        <v>Selesai</v>
      </c>
      <c r="O1939" s="45">
        <f t="shared" si="23"/>
        <v>45779.38253</v>
      </c>
      <c r="P1939" s="47" t="b">
        <v>1</v>
      </c>
      <c r="Q1939" s="36">
        <f t="shared" si="24"/>
        <v>45783.65282</v>
      </c>
      <c r="R1939" s="47" t="b">
        <v>0</v>
      </c>
      <c r="S1939" s="42" t="str">
        <f t="shared" si="28"/>
        <v/>
      </c>
      <c r="T1939" s="42"/>
    </row>
    <row r="1940" ht="22.5" customHeight="1">
      <c r="B1940" s="42">
        <f t="shared" si="7"/>
        <v>1934</v>
      </c>
      <c r="C1940" s="31" t="s">
        <v>2064</v>
      </c>
      <c r="D1940" s="34" t="str">
        <f t="array" ref="D1940">IFNA(_xlfn.XLOOKUP(C1940,Table_Tarikan_Warkah[Nomor Sertipikat],Table_Tarikan_Warkah[Nomor Tiket]),"")</f>
        <v>L/22/210425/1</v>
      </c>
      <c r="E1940" s="36">
        <f t="array" ref="E1940">IFNA(_xlfn.XLOOKUP(D1940,Table_Tarikan_Warkah[Nomor Tiket],Table_Tarikan_Warkah[Tanggal diserahkan kepada Validator]),"")</f>
        <v>45846.66248</v>
      </c>
      <c r="F1940" s="36" t="str">
        <f t="array" ref="F1940">IFNA(_xlfn.XLOOKUP(D1940,Table_Tarikan_Warkah[Nomor Tiket],Table_Tarikan_Warkah[Nama Petugas Warkah]),"")</f>
        <v>David</v>
      </c>
      <c r="G1940" s="39" t="str">
        <f t="array" ref="G1940">IFNA(_xlfn.XLOOKUP(D1940,Table_Tarikan_Warkah[Nomor Tiket],Table_Tarikan_Warkah[Jenis Permohonan]),"")</f>
        <v>ROYA</v>
      </c>
      <c r="H1940" s="41" t="s">
        <v>11</v>
      </c>
      <c r="I1940" s="49" t="s">
        <v>23</v>
      </c>
      <c r="J1940" s="36">
        <f t="shared" si="20"/>
        <v>45777.63082</v>
      </c>
      <c r="K1940" s="49" t="s">
        <v>197</v>
      </c>
      <c r="L1940" s="49" t="s">
        <v>23</v>
      </c>
      <c r="M1940" s="36">
        <f t="shared" si="26"/>
        <v>45779.38253</v>
      </c>
      <c r="N1940" s="30" t="str">
        <f t="shared" si="27"/>
        <v>Selesai</v>
      </c>
      <c r="O1940" s="45">
        <f t="shared" si="23"/>
        <v>45779.38253</v>
      </c>
      <c r="P1940" s="47" t="b">
        <v>1</v>
      </c>
      <c r="Q1940" s="36">
        <f t="shared" si="24"/>
        <v>45783.65282</v>
      </c>
      <c r="R1940" s="47" t="b">
        <v>0</v>
      </c>
      <c r="S1940" s="42" t="str">
        <f t="shared" si="28"/>
        <v/>
      </c>
      <c r="T1940" s="42"/>
    </row>
    <row r="1941" ht="22.5" customHeight="1">
      <c r="B1941" s="42">
        <f t="shared" si="7"/>
        <v>1935</v>
      </c>
      <c r="C1941" s="31" t="s">
        <v>2065</v>
      </c>
      <c r="D1941" s="34" t="str">
        <f t="array" ref="D1941">IFNA(_xlfn.XLOOKUP(C1941,Table_Tarikan_Warkah[Nomor Sertipikat],Table_Tarikan_Warkah[Nomor Tiket]),"")</f>
        <v>K/24/250425/1</v>
      </c>
      <c r="E1941" s="36">
        <f t="array" ref="E1941">IFNA(_xlfn.XLOOKUP(D1941,Table_Tarikan_Warkah[Nomor Tiket],Table_Tarikan_Warkah[Tanggal diserahkan kepada Validator]),"")</f>
        <v>45800.61321</v>
      </c>
      <c r="F1941" s="36" t="str">
        <f t="array" ref="F1941">IFNA(_xlfn.XLOOKUP(D1941,Table_Tarikan_Warkah[Nomor Tiket],Table_Tarikan_Warkah[Nama Petugas Warkah]),"")</f>
        <v>Berry</v>
      </c>
      <c r="G1941" s="39" t="str">
        <f t="array" ref="G1941">IFNA(_xlfn.XLOOKUP(D1941,Table_Tarikan_Warkah[Nomor Tiket],Table_Tarikan_Warkah[Jenis Permohonan]),"")</f>
        <v>PERUBAHAN HAK</v>
      </c>
      <c r="H1941" s="41" t="s">
        <v>11</v>
      </c>
      <c r="I1941" s="49" t="s">
        <v>23</v>
      </c>
      <c r="J1941" s="36">
        <f t="shared" si="20"/>
        <v>45777.63089</v>
      </c>
      <c r="K1941" s="49" t="s">
        <v>197</v>
      </c>
      <c r="L1941" s="49" t="s">
        <v>23</v>
      </c>
      <c r="M1941" s="36">
        <f t="shared" si="26"/>
        <v>45779.38253</v>
      </c>
      <c r="N1941" s="30" t="str">
        <f t="shared" si="27"/>
        <v>Selesai</v>
      </c>
      <c r="O1941" s="45">
        <f t="shared" si="23"/>
        <v>45779.38253</v>
      </c>
      <c r="P1941" s="47" t="b">
        <v>1</v>
      </c>
      <c r="Q1941" s="36">
        <f t="shared" si="24"/>
        <v>45783.65282</v>
      </c>
      <c r="R1941" s="47" t="b">
        <v>0</v>
      </c>
      <c r="S1941" s="42" t="str">
        <f t="shared" si="28"/>
        <v/>
      </c>
      <c r="T1941" s="42"/>
    </row>
    <row r="1942" ht="22.5" customHeight="1">
      <c r="B1942" s="42">
        <f t="shared" si="7"/>
        <v>1936</v>
      </c>
      <c r="C1942" s="31" t="s">
        <v>2066</v>
      </c>
      <c r="D1942" s="34" t="str">
        <f t="array" ref="D1942">IFNA(_xlfn.XLOOKUP(C1942,Table_Tarikan_Warkah[Nomor Sertipikat],Table_Tarikan_Warkah[Nomor Tiket]),"")</f>
        <v>K/22/170425/1</v>
      </c>
      <c r="E1942" s="36" t="str">
        <f t="array" ref="E1942">IFNA(_xlfn.XLOOKUP(D1942,Table_Tarikan_Warkah[Nomor Tiket],Table_Tarikan_Warkah[Tanggal diserahkan kepada Validator]),"")</f>
        <v/>
      </c>
      <c r="F1942" s="36" t="str">
        <f t="array" ref="F1942">IFNA(_xlfn.XLOOKUP(D1942,Table_Tarikan_Warkah[Nomor Tiket],Table_Tarikan_Warkah[Nama Petugas Warkah]),"")</f>
        <v/>
      </c>
      <c r="G1942" s="39" t="str">
        <f t="array" ref="G1942">IFNA(_xlfn.XLOOKUP(D1942,Table_Tarikan_Warkah[Nomor Tiket],Table_Tarikan_Warkah[Jenis Permohonan]),"")</f>
        <v>BN Jual Beli</v>
      </c>
      <c r="H1942" s="41" t="s">
        <v>11</v>
      </c>
      <c r="I1942" s="49" t="s">
        <v>23</v>
      </c>
      <c r="J1942" s="36">
        <f t="shared" si="20"/>
        <v>45777.63089</v>
      </c>
      <c r="K1942" s="49" t="s">
        <v>197</v>
      </c>
      <c r="L1942" s="49" t="s">
        <v>23</v>
      </c>
      <c r="M1942" s="36">
        <f t="shared" si="26"/>
        <v>45779.38253</v>
      </c>
      <c r="N1942" s="30" t="str">
        <f t="shared" si="27"/>
        <v>Selesai</v>
      </c>
      <c r="O1942" s="45">
        <f t="shared" si="23"/>
        <v>45779.38253</v>
      </c>
      <c r="P1942" s="47" t="b">
        <v>1</v>
      </c>
      <c r="Q1942" s="36">
        <f t="shared" si="24"/>
        <v>45783.65282</v>
      </c>
      <c r="R1942" s="47" t="b">
        <v>0</v>
      </c>
      <c r="S1942" s="42" t="str">
        <f t="shared" si="28"/>
        <v/>
      </c>
      <c r="T1942" s="42"/>
    </row>
    <row r="1943" ht="22.5" customHeight="1">
      <c r="B1943" s="42">
        <f t="shared" si="7"/>
        <v>1937</v>
      </c>
      <c r="C1943" s="31" t="s">
        <v>2067</v>
      </c>
      <c r="D1943" s="34" t="str">
        <f t="array" ref="D1943">IFNA(_xlfn.XLOOKUP(C1943,Table_Tarikan_Warkah[Nomor Sertipikat],Table_Tarikan_Warkah[Nomor Tiket]),"")</f>
        <v>K/22/210325/3</v>
      </c>
      <c r="E1943" s="36" t="str">
        <f t="array" ref="E1943">IFNA(_xlfn.XLOOKUP(D1943,Table_Tarikan_Warkah[Nomor Tiket],Table_Tarikan_Warkah[Tanggal diserahkan kepada Validator]),"")</f>
        <v/>
      </c>
      <c r="F1943" s="36" t="str">
        <f t="array" ref="F1943">IFNA(_xlfn.XLOOKUP(D1943,Table_Tarikan_Warkah[Nomor Tiket],Table_Tarikan_Warkah[Nama Petugas Warkah]),"")</f>
        <v/>
      </c>
      <c r="G1943" s="39" t="str">
        <f t="array" ref="G1943">IFNA(_xlfn.XLOOKUP(D1943,Table_Tarikan_Warkah[Nomor Tiket],Table_Tarikan_Warkah[Jenis Permohonan]),"")</f>
        <v>BN jual beli</v>
      </c>
      <c r="H1943" s="41" t="s">
        <v>11</v>
      </c>
      <c r="I1943" s="49" t="s">
        <v>23</v>
      </c>
      <c r="J1943" s="36">
        <f t="shared" si="20"/>
        <v>45777.63089</v>
      </c>
      <c r="K1943" s="49" t="s">
        <v>197</v>
      </c>
      <c r="L1943" s="49" t="s">
        <v>23</v>
      </c>
      <c r="M1943" s="36">
        <f t="shared" si="26"/>
        <v>45779.38253</v>
      </c>
      <c r="N1943" s="30" t="str">
        <f t="shared" si="27"/>
        <v>Selesai</v>
      </c>
      <c r="O1943" s="45">
        <f t="shared" si="23"/>
        <v>45779.38253</v>
      </c>
      <c r="P1943" s="47" t="b">
        <v>1</v>
      </c>
      <c r="Q1943" s="36">
        <f t="shared" si="24"/>
        <v>45783.65282</v>
      </c>
      <c r="R1943" s="47" t="b">
        <v>0</v>
      </c>
      <c r="S1943" s="42" t="str">
        <f t="shared" si="28"/>
        <v/>
      </c>
      <c r="T1943" s="42"/>
    </row>
    <row r="1944" ht="22.5" customHeight="1">
      <c r="B1944" s="42">
        <f t="shared" si="7"/>
        <v>1938</v>
      </c>
      <c r="C1944" s="31" t="s">
        <v>2068</v>
      </c>
      <c r="D1944" s="34" t="str">
        <f t="array" ref="D1944">IFNA(_xlfn.XLOOKUP(C1944,Table_Tarikan_Warkah[Nomor Sertipikat],Table_Tarikan_Warkah[Nomor Tiket]),"")</f>
        <v>K/14/210325/1</v>
      </c>
      <c r="E1944" s="36" t="str">
        <f t="array" ref="E1944">IFNA(_xlfn.XLOOKUP(D1944,Table_Tarikan_Warkah[Nomor Tiket],Table_Tarikan_Warkah[Tanggal diserahkan kepada Validator]),"")</f>
        <v/>
      </c>
      <c r="F1944" s="36" t="str">
        <f t="array" ref="F1944">IFNA(_xlfn.XLOOKUP(D1944,Table_Tarikan_Warkah[Nomor Tiket],Table_Tarikan_Warkah[Nama Petugas Warkah]),"")</f>
        <v/>
      </c>
      <c r="G1944" s="39" t="str">
        <f t="array" ref="G1944">IFNA(_xlfn.XLOOKUP(D1944,Table_Tarikan_Warkah[Nomor Tiket],Table_Tarikan_Warkah[Jenis Permohonan]),"")</f>
        <v>BN Waris</v>
      </c>
      <c r="H1944" s="41" t="s">
        <v>11</v>
      </c>
      <c r="I1944" s="49" t="s">
        <v>23</v>
      </c>
      <c r="J1944" s="36">
        <f t="shared" si="20"/>
        <v>45777.63089</v>
      </c>
      <c r="K1944" s="49" t="s">
        <v>197</v>
      </c>
      <c r="L1944" s="49" t="s">
        <v>23</v>
      </c>
      <c r="M1944" s="36">
        <f t="shared" si="26"/>
        <v>45779.38253</v>
      </c>
      <c r="N1944" s="30" t="str">
        <f t="shared" si="27"/>
        <v>Selesai</v>
      </c>
      <c r="O1944" s="45">
        <f t="shared" si="23"/>
        <v>45779.38253</v>
      </c>
      <c r="P1944" s="47" t="b">
        <v>1</v>
      </c>
      <c r="Q1944" s="36">
        <f t="shared" si="24"/>
        <v>45783.65282</v>
      </c>
      <c r="R1944" s="47" t="b">
        <v>0</v>
      </c>
      <c r="S1944" s="42" t="str">
        <f t="shared" si="28"/>
        <v/>
      </c>
      <c r="T1944" s="42"/>
    </row>
    <row r="1945" ht="22.5" customHeight="1">
      <c r="B1945" s="42">
        <f t="shared" si="7"/>
        <v>1939</v>
      </c>
      <c r="C1945" s="31" t="s">
        <v>2069</v>
      </c>
      <c r="D1945" s="34" t="str">
        <f t="array" ref="D1945">IFNA(_xlfn.XLOOKUP(C1945,Table_Tarikan_Warkah[Nomor Sertipikat],Table_Tarikan_Warkah[Nomor Tiket]),"")</f>
        <v>K/18/250325/1</v>
      </c>
      <c r="E1945" s="36" t="str">
        <f t="array" ref="E1945">IFNA(_xlfn.XLOOKUP(D1945,Table_Tarikan_Warkah[Nomor Tiket],Table_Tarikan_Warkah[Tanggal diserahkan kepada Validator]),"")</f>
        <v/>
      </c>
      <c r="F1945" s="36" t="str">
        <f t="array" ref="F1945">IFNA(_xlfn.XLOOKUP(D1945,Table_Tarikan_Warkah[Nomor Tiket],Table_Tarikan_Warkah[Nama Petugas Warkah]),"")</f>
        <v/>
      </c>
      <c r="G1945" s="39" t="str">
        <f t="array" ref="G1945">IFNA(_xlfn.XLOOKUP(D1945,Table_Tarikan_Warkah[Nomor Tiket],Table_Tarikan_Warkah[Jenis Permohonan]),"")</f>
        <v>BN Waris</v>
      </c>
      <c r="H1945" s="41" t="s">
        <v>11</v>
      </c>
      <c r="I1945" s="49" t="s">
        <v>23</v>
      </c>
      <c r="J1945" s="36">
        <f t="shared" si="20"/>
        <v>45777.63089</v>
      </c>
      <c r="K1945" s="49" t="s">
        <v>197</v>
      </c>
      <c r="L1945" s="49" t="s">
        <v>23</v>
      </c>
      <c r="M1945" s="36">
        <f t="shared" si="26"/>
        <v>45779.38253</v>
      </c>
      <c r="N1945" s="30" t="str">
        <f t="shared" si="27"/>
        <v>Selesai</v>
      </c>
      <c r="O1945" s="45">
        <f t="shared" si="23"/>
        <v>45779.38253</v>
      </c>
      <c r="P1945" s="47" t="b">
        <v>1</v>
      </c>
      <c r="Q1945" s="36">
        <f t="shared" si="24"/>
        <v>45783.65282</v>
      </c>
      <c r="R1945" s="47" t="b">
        <v>0</v>
      </c>
      <c r="S1945" s="42" t="str">
        <f t="shared" si="28"/>
        <v/>
      </c>
      <c r="T1945" s="42"/>
    </row>
    <row r="1946" ht="22.5" customHeight="1">
      <c r="B1946" s="42">
        <f t="shared" si="7"/>
        <v>1940</v>
      </c>
      <c r="C1946" s="31" t="s">
        <v>2070</v>
      </c>
      <c r="D1946" s="34" t="str">
        <f t="array" ref="D1946">IFNA(_xlfn.XLOOKUP(C1946,Table_Tarikan_Warkah[Nomor Sertipikat],Table_Tarikan_Warkah[Nomor Tiket]),"")</f>
        <v>K/37/160425/2</v>
      </c>
      <c r="E1946" s="36" t="str">
        <f t="array" ref="E1946">IFNA(_xlfn.XLOOKUP(D1946,Table_Tarikan_Warkah[Nomor Tiket],Table_Tarikan_Warkah[Tanggal diserahkan kepada Validator]),"")</f>
        <v/>
      </c>
      <c r="F1946" s="36" t="str">
        <f t="array" ref="F1946">IFNA(_xlfn.XLOOKUP(D1946,Table_Tarikan_Warkah[Nomor Tiket],Table_Tarikan_Warkah[Nama Petugas Warkah]),"")</f>
        <v/>
      </c>
      <c r="G1946" s="39" t="str">
        <f t="array" ref="G1946">IFNA(_xlfn.XLOOKUP(D1946,Table_Tarikan_Warkah[Nomor Tiket],Table_Tarikan_Warkah[Jenis Permohonan]),"")</f>
        <v>BN Hibah</v>
      </c>
      <c r="H1946" s="41" t="s">
        <v>11</v>
      </c>
      <c r="I1946" s="49" t="s">
        <v>23</v>
      </c>
      <c r="J1946" s="36">
        <f t="shared" si="20"/>
        <v>45777.63089</v>
      </c>
      <c r="K1946" s="49" t="s">
        <v>197</v>
      </c>
      <c r="L1946" s="49" t="s">
        <v>23</v>
      </c>
      <c r="M1946" s="36">
        <f t="shared" si="26"/>
        <v>45779.38253</v>
      </c>
      <c r="N1946" s="30" t="str">
        <f t="shared" si="27"/>
        <v>Selesai</v>
      </c>
      <c r="O1946" s="45">
        <f t="shared" si="23"/>
        <v>45779.38253</v>
      </c>
      <c r="P1946" s="47" t="b">
        <v>1</v>
      </c>
      <c r="Q1946" s="36">
        <f t="shared" si="24"/>
        <v>45783.65282</v>
      </c>
      <c r="R1946" s="47" t="b">
        <v>0</v>
      </c>
      <c r="S1946" s="42" t="str">
        <f t="shared" si="28"/>
        <v/>
      </c>
      <c r="T1946" s="42"/>
    </row>
    <row r="1947" ht="22.5" customHeight="1">
      <c r="B1947" s="42">
        <f t="shared" si="7"/>
        <v>1941</v>
      </c>
      <c r="C1947" s="31" t="s">
        <v>2071</v>
      </c>
      <c r="D1947" s="34" t="str">
        <f t="array" ref="D1947">IFNA(_xlfn.XLOOKUP(C1947,Table_Tarikan_Warkah[Nomor Sertipikat],Table_Tarikan_Warkah[Nomor Tiket]),"")</f>
        <v>K/6/280225/2</v>
      </c>
      <c r="E1947" s="36">
        <f t="array" ref="E1947">IFNA(_xlfn.XLOOKUP(D1947,Table_Tarikan_Warkah[Nomor Tiket],Table_Tarikan_Warkah[Tanggal diserahkan kepada Validator]),"")</f>
        <v>45792.48483</v>
      </c>
      <c r="F1947" s="36" t="str">
        <f t="array" ref="F1947">IFNA(_xlfn.XLOOKUP(D1947,Table_Tarikan_Warkah[Nomor Tiket],Table_Tarikan_Warkah[Nama Petugas Warkah]),"")</f>
        <v>Berry</v>
      </c>
      <c r="G1947" s="39" t="str">
        <f t="array" ref="G1947">IFNA(_xlfn.XLOOKUP(D1947,Table_Tarikan_Warkah[Nomor Tiket],Table_Tarikan_Warkah[Jenis Permohonan]),"")</f>
        <v>ROYA</v>
      </c>
      <c r="H1947" s="41" t="s">
        <v>11</v>
      </c>
      <c r="I1947" s="49" t="s">
        <v>23</v>
      </c>
      <c r="J1947" s="36">
        <f t="shared" si="20"/>
        <v>45777.63089</v>
      </c>
      <c r="K1947" s="49" t="s">
        <v>197</v>
      </c>
      <c r="L1947" s="49" t="s">
        <v>23</v>
      </c>
      <c r="M1947" s="36">
        <f t="shared" si="26"/>
        <v>45779.38266</v>
      </c>
      <c r="N1947" s="30" t="str">
        <f t="shared" si="27"/>
        <v>Selesai</v>
      </c>
      <c r="O1947" s="45">
        <f t="shared" si="23"/>
        <v>45779.38266</v>
      </c>
      <c r="P1947" s="47" t="b">
        <v>1</v>
      </c>
      <c r="Q1947" s="36">
        <f t="shared" si="24"/>
        <v>45783.65282</v>
      </c>
      <c r="R1947" s="47" t="b">
        <v>0</v>
      </c>
      <c r="S1947" s="42" t="str">
        <f t="shared" si="28"/>
        <v/>
      </c>
      <c r="T1947" s="42"/>
    </row>
    <row r="1948" ht="22.5" customHeight="1">
      <c r="B1948" s="42">
        <f t="shared" si="7"/>
        <v>1942</v>
      </c>
      <c r="C1948" s="31" t="s">
        <v>2072</v>
      </c>
      <c r="D1948" s="34" t="str">
        <f t="array" ref="D1948">IFNA(_xlfn.XLOOKUP(C1948,Table_Tarikan_Warkah[Nomor Sertipikat],Table_Tarikan_Warkah[Nomor Tiket]),"")</f>
        <v>K/13/150425/1</v>
      </c>
      <c r="E1948" s="36">
        <f t="array" ref="E1948">IFNA(_xlfn.XLOOKUP(D1948,Table_Tarikan_Warkah[Nomor Tiket],Table_Tarikan_Warkah[Tanggal diserahkan kepada Validator]),"")</f>
        <v>45804.68052</v>
      </c>
      <c r="F1948" s="36" t="str">
        <f t="array" ref="F1948">IFNA(_xlfn.XLOOKUP(D1948,Table_Tarikan_Warkah[Nomor Tiket],Table_Tarikan_Warkah[Nama Petugas Warkah]),"")</f>
        <v>David</v>
      </c>
      <c r="G1948" s="39" t="str">
        <f t="array" ref="G1948">IFNA(_xlfn.XLOOKUP(D1948,Table_Tarikan_Warkah[Nomor Tiket],Table_Tarikan_Warkah[Jenis Permohonan]),"")</f>
        <v>Roya</v>
      </c>
      <c r="H1948" s="41" t="s">
        <v>11</v>
      </c>
      <c r="I1948" s="49" t="s">
        <v>23</v>
      </c>
      <c r="J1948" s="36">
        <f t="shared" si="20"/>
        <v>45777.63089</v>
      </c>
      <c r="K1948" s="49" t="s">
        <v>197</v>
      </c>
      <c r="L1948" s="49" t="s">
        <v>23</v>
      </c>
      <c r="M1948" s="36">
        <f t="shared" si="26"/>
        <v>45779.38266</v>
      </c>
      <c r="N1948" s="30" t="str">
        <f t="shared" si="27"/>
        <v>Selesai</v>
      </c>
      <c r="O1948" s="45">
        <f t="shared" si="23"/>
        <v>45779.38266</v>
      </c>
      <c r="P1948" s="47" t="b">
        <v>1</v>
      </c>
      <c r="Q1948" s="36">
        <f t="shared" si="24"/>
        <v>45783.65282</v>
      </c>
      <c r="R1948" s="47" t="b">
        <v>0</v>
      </c>
      <c r="S1948" s="42" t="str">
        <f t="shared" si="28"/>
        <v/>
      </c>
      <c r="T1948" s="42"/>
    </row>
    <row r="1949" ht="22.5" customHeight="1">
      <c r="B1949" s="42">
        <f t="shared" si="7"/>
        <v>1943</v>
      </c>
      <c r="C1949" s="31" t="s">
        <v>2073</v>
      </c>
      <c r="D1949" s="34" t="str">
        <f t="array" ref="D1949">IFNA(_xlfn.XLOOKUP(C1949,Table_Tarikan_Warkah[Nomor Sertipikat],Table_Tarikan_Warkah[Nomor Tiket]),"")</f>
        <v>K/36/160425/1</v>
      </c>
      <c r="E1949" s="36" t="str">
        <f t="array" ref="E1949">IFNA(_xlfn.XLOOKUP(D1949,Table_Tarikan_Warkah[Nomor Tiket],Table_Tarikan_Warkah[Tanggal diserahkan kepada Validator]),"")</f>
        <v/>
      </c>
      <c r="F1949" s="36" t="str">
        <f t="array" ref="F1949">IFNA(_xlfn.XLOOKUP(D1949,Table_Tarikan_Warkah[Nomor Tiket],Table_Tarikan_Warkah[Nama Petugas Warkah]),"")</f>
        <v/>
      </c>
      <c r="G1949" s="39" t="str">
        <f t="array" ref="G1949">IFNA(_xlfn.XLOOKUP(D1949,Table_Tarikan_Warkah[Nomor Tiket],Table_Tarikan_Warkah[Jenis Permohonan]),"")</f>
        <v>BN Jual Beli</v>
      </c>
      <c r="H1949" s="41" t="s">
        <v>11</v>
      </c>
      <c r="I1949" s="49" t="s">
        <v>23</v>
      </c>
      <c r="J1949" s="36">
        <f t="shared" si="20"/>
        <v>45777.63089</v>
      </c>
      <c r="K1949" s="49" t="s">
        <v>197</v>
      </c>
      <c r="L1949" s="49" t="s">
        <v>23</v>
      </c>
      <c r="M1949" s="36">
        <f t="shared" si="26"/>
        <v>45779.38266</v>
      </c>
      <c r="N1949" s="30" t="str">
        <f t="shared" si="27"/>
        <v>Selesai</v>
      </c>
      <c r="O1949" s="45">
        <f t="shared" si="23"/>
        <v>45779.38266</v>
      </c>
      <c r="P1949" s="47" t="b">
        <v>1</v>
      </c>
      <c r="Q1949" s="36">
        <f t="shared" si="24"/>
        <v>45783.65282</v>
      </c>
      <c r="R1949" s="47" t="b">
        <v>0</v>
      </c>
      <c r="S1949" s="42" t="str">
        <f t="shared" si="28"/>
        <v/>
      </c>
      <c r="T1949" s="42"/>
    </row>
    <row r="1950" ht="22.5" customHeight="1">
      <c r="B1950" s="42">
        <f t="shared" si="7"/>
        <v>1944</v>
      </c>
      <c r="C1950" s="31" t="s">
        <v>2074</v>
      </c>
      <c r="D1950" s="34" t="str">
        <f t="array" ref="D1950">IFNA(_xlfn.XLOOKUP(C1950,Table_Tarikan_Warkah[Nomor Sertipikat],Table_Tarikan_Warkah[Nomor Tiket]),"")</f>
        <v>K/8/150425/1</v>
      </c>
      <c r="E1950" s="36" t="str">
        <f t="array" ref="E1950">IFNA(_xlfn.XLOOKUP(D1950,Table_Tarikan_Warkah[Nomor Tiket],Table_Tarikan_Warkah[Tanggal diserahkan kepada Validator]),"")</f>
        <v/>
      </c>
      <c r="F1950" s="36" t="str">
        <f t="array" ref="F1950">IFNA(_xlfn.XLOOKUP(D1950,Table_Tarikan_Warkah[Nomor Tiket],Table_Tarikan_Warkah[Nama Petugas Warkah]),"")</f>
        <v/>
      </c>
      <c r="G1950" s="39" t="str">
        <f t="array" ref="G1950">IFNA(_xlfn.XLOOKUP(D1950,Table_Tarikan_Warkah[Nomor Tiket],Table_Tarikan_Warkah[Jenis Permohonan]),"")</f>
        <v>KEWARISAN</v>
      </c>
      <c r="H1950" s="41" t="s">
        <v>11</v>
      </c>
      <c r="I1950" s="49" t="s">
        <v>23</v>
      </c>
      <c r="J1950" s="36">
        <f t="shared" si="20"/>
        <v>45777.63089</v>
      </c>
      <c r="K1950" s="49" t="s">
        <v>197</v>
      </c>
      <c r="L1950" s="49" t="s">
        <v>23</v>
      </c>
      <c r="M1950" s="36">
        <f t="shared" si="26"/>
        <v>45779.38266</v>
      </c>
      <c r="N1950" s="30" t="str">
        <f t="shared" si="27"/>
        <v>Selesai</v>
      </c>
      <c r="O1950" s="45">
        <f t="shared" si="23"/>
        <v>45779.38266</v>
      </c>
      <c r="P1950" s="47" t="b">
        <v>1</v>
      </c>
      <c r="Q1950" s="36">
        <f t="shared" si="24"/>
        <v>45783.65282</v>
      </c>
      <c r="R1950" s="47" t="b">
        <v>0</v>
      </c>
      <c r="S1950" s="42" t="str">
        <f t="shared" si="28"/>
        <v/>
      </c>
      <c r="T1950" s="42"/>
    </row>
    <row r="1951" ht="22.5" customHeight="1">
      <c r="B1951" s="42">
        <f t="shared" si="7"/>
        <v>1945</v>
      </c>
      <c r="C1951" s="31" t="s">
        <v>2075</v>
      </c>
      <c r="D1951" s="34" t="str">
        <f t="array" ref="D1951">IFNA(_xlfn.XLOOKUP(C1951,Table_Tarikan_Warkah[Nomor Sertipikat],Table_Tarikan_Warkah[Nomor Tiket]),"")</f>
        <v>K/35/250425/2</v>
      </c>
      <c r="E1951" s="36" t="str">
        <f t="array" ref="E1951">IFNA(_xlfn.XLOOKUP(D1951,Table_Tarikan_Warkah[Nomor Tiket],Table_Tarikan_Warkah[Tanggal diserahkan kepada Validator]),"")</f>
        <v/>
      </c>
      <c r="F1951" s="36" t="str">
        <f t="array" ref="F1951">IFNA(_xlfn.XLOOKUP(D1951,Table_Tarikan_Warkah[Nomor Tiket],Table_Tarikan_Warkah[Nama Petugas Warkah]),"")</f>
        <v/>
      </c>
      <c r="G1951" s="39" t="str">
        <f t="array" ref="G1951">IFNA(_xlfn.XLOOKUP(D1951,Table_Tarikan_Warkah[Nomor Tiket],Table_Tarikan_Warkah[Jenis Permohonan]),"")</f>
        <v>JUAL BELI</v>
      </c>
      <c r="H1951" s="41" t="s">
        <v>11</v>
      </c>
      <c r="I1951" s="49" t="s">
        <v>23</v>
      </c>
      <c r="J1951" s="36">
        <f t="shared" si="20"/>
        <v>45777.63089</v>
      </c>
      <c r="K1951" s="49" t="s">
        <v>197</v>
      </c>
      <c r="L1951" s="49" t="s">
        <v>23</v>
      </c>
      <c r="M1951" s="36">
        <f t="shared" si="26"/>
        <v>45779.38266</v>
      </c>
      <c r="N1951" s="30" t="str">
        <f t="shared" si="27"/>
        <v>Selesai</v>
      </c>
      <c r="O1951" s="45">
        <f t="shared" si="23"/>
        <v>45779.38266</v>
      </c>
      <c r="P1951" s="47" t="b">
        <v>1</v>
      </c>
      <c r="Q1951" s="36">
        <f t="shared" si="24"/>
        <v>45783.65282</v>
      </c>
      <c r="R1951" s="47" t="b">
        <v>0</v>
      </c>
      <c r="S1951" s="42" t="str">
        <f t="shared" si="28"/>
        <v/>
      </c>
      <c r="T1951" s="42"/>
    </row>
    <row r="1952" ht="22.5" customHeight="1">
      <c r="B1952" s="42">
        <f t="shared" si="7"/>
        <v>1946</v>
      </c>
      <c r="C1952" s="31" t="s">
        <v>2076</v>
      </c>
      <c r="D1952" s="34" t="str">
        <f t="array" ref="D1952">IFNA(_xlfn.XLOOKUP(C1952,Table_Tarikan_Warkah[Nomor Sertipikat],Table_Tarikan_Warkah[Nomor Tiket]),"")</f>
        <v>K/21/210425/1</v>
      </c>
      <c r="E1952" s="36" t="str">
        <f t="array" ref="E1952">IFNA(_xlfn.XLOOKUP(D1952,Table_Tarikan_Warkah[Nomor Tiket],Table_Tarikan_Warkah[Tanggal diserahkan kepada Validator]),"")</f>
        <v/>
      </c>
      <c r="F1952" s="36" t="str">
        <f t="array" ref="F1952">IFNA(_xlfn.XLOOKUP(D1952,Table_Tarikan_Warkah[Nomor Tiket],Table_Tarikan_Warkah[Nama Petugas Warkah]),"")</f>
        <v/>
      </c>
      <c r="G1952" s="39" t="str">
        <f t="array" ref="G1952">IFNA(_xlfn.XLOOKUP(D1952,Table_Tarikan_Warkah[Nomor Tiket],Table_Tarikan_Warkah[Jenis Permohonan]),"")</f>
        <v>HIBAH</v>
      </c>
      <c r="H1952" s="41" t="s">
        <v>11</v>
      </c>
      <c r="I1952" s="49" t="s">
        <v>23</v>
      </c>
      <c r="J1952" s="36">
        <f t="shared" si="20"/>
        <v>45777.63089</v>
      </c>
      <c r="K1952" s="49" t="s">
        <v>197</v>
      </c>
      <c r="L1952" s="49" t="s">
        <v>23</v>
      </c>
      <c r="M1952" s="36">
        <f t="shared" si="26"/>
        <v>45779.38266</v>
      </c>
      <c r="N1952" s="30" t="str">
        <f t="shared" si="27"/>
        <v>Selesai</v>
      </c>
      <c r="O1952" s="45">
        <f t="shared" si="23"/>
        <v>45779.38266</v>
      </c>
      <c r="P1952" s="47" t="b">
        <v>1</v>
      </c>
      <c r="Q1952" s="36">
        <f t="shared" si="24"/>
        <v>45783.65282</v>
      </c>
      <c r="R1952" s="47" t="b">
        <v>0</v>
      </c>
      <c r="S1952" s="42" t="str">
        <f t="shared" si="28"/>
        <v/>
      </c>
      <c r="T1952" s="42"/>
    </row>
    <row r="1953" ht="22.5" customHeight="1">
      <c r="B1953" s="42">
        <f t="shared" si="7"/>
        <v>1947</v>
      </c>
      <c r="C1953" s="31" t="s">
        <v>2077</v>
      </c>
      <c r="D1953" s="34" t="str">
        <f t="array" ref="D1953">IFNA(_xlfn.XLOOKUP(C1953,Table_Tarikan_Warkah[Nomor Sertipikat],Table_Tarikan_Warkah[Nomor Tiket]),"")</f>
        <v>K/39/160425/1</v>
      </c>
      <c r="E1953" s="36" t="str">
        <f t="array" ref="E1953">IFNA(_xlfn.XLOOKUP(D1953,Table_Tarikan_Warkah[Nomor Tiket],Table_Tarikan_Warkah[Tanggal diserahkan kepada Validator]),"")</f>
        <v/>
      </c>
      <c r="F1953" s="36" t="str">
        <f t="array" ref="F1953">IFNA(_xlfn.XLOOKUP(D1953,Table_Tarikan_Warkah[Nomor Tiket],Table_Tarikan_Warkah[Nama Petugas Warkah]),"")</f>
        <v/>
      </c>
      <c r="G1953" s="39" t="str">
        <f t="array" ref="G1953">IFNA(_xlfn.XLOOKUP(D1953,Table_Tarikan_Warkah[Nomor Tiket],Table_Tarikan_Warkah[Jenis Permohonan]),"")</f>
        <v>BN JUAL BELI</v>
      </c>
      <c r="H1953" s="41" t="s">
        <v>11</v>
      </c>
      <c r="I1953" s="49" t="s">
        <v>23</v>
      </c>
      <c r="J1953" s="36">
        <f t="shared" si="20"/>
        <v>45777.63089</v>
      </c>
      <c r="K1953" s="49" t="s">
        <v>197</v>
      </c>
      <c r="L1953" s="49" t="s">
        <v>23</v>
      </c>
      <c r="M1953" s="36">
        <f t="shared" si="26"/>
        <v>45779.38266</v>
      </c>
      <c r="N1953" s="30" t="str">
        <f t="shared" si="27"/>
        <v>Selesai</v>
      </c>
      <c r="O1953" s="45">
        <f t="shared" si="23"/>
        <v>45779.38266</v>
      </c>
      <c r="P1953" s="47" t="b">
        <v>1</v>
      </c>
      <c r="Q1953" s="36">
        <f t="shared" si="24"/>
        <v>45783.65282</v>
      </c>
      <c r="R1953" s="47" t="b">
        <v>0</v>
      </c>
      <c r="S1953" s="42" t="str">
        <f t="shared" si="28"/>
        <v/>
      </c>
      <c r="T1953" s="42"/>
    </row>
    <row r="1954" ht="22.5" customHeight="1">
      <c r="B1954" s="42">
        <f t="shared" si="7"/>
        <v>1948</v>
      </c>
      <c r="C1954" s="31" t="s">
        <v>2038</v>
      </c>
      <c r="D1954" s="34" t="str">
        <f t="array" ref="D1954">IFNA(_xlfn.XLOOKUP(C1954,Table_Tarikan_Warkah[Nomor Sertipikat],Table_Tarikan_Warkah[Nomor Tiket]),"")</f>
        <v>K/19/230425/1</v>
      </c>
      <c r="E1954" s="36">
        <f t="array" ref="E1954">IFNA(_xlfn.XLOOKUP(D1954,Table_Tarikan_Warkah[Nomor Tiket],Table_Tarikan_Warkah[Tanggal diserahkan kepada Validator]),"")</f>
        <v>45792.48458</v>
      </c>
      <c r="F1954" s="36" t="str">
        <f t="array" ref="F1954">IFNA(_xlfn.XLOOKUP(D1954,Table_Tarikan_Warkah[Nomor Tiket],Table_Tarikan_Warkah[Nama Petugas Warkah]),"")</f>
        <v>Berry</v>
      </c>
      <c r="G1954" s="39" t="str">
        <f t="array" ref="G1954">IFNA(_xlfn.XLOOKUP(D1954,Table_Tarikan_Warkah[Nomor Tiket],Table_Tarikan_Warkah[Jenis Permohonan]),"")</f>
        <v>ROYA</v>
      </c>
      <c r="H1954" s="41" t="s">
        <v>11</v>
      </c>
      <c r="I1954" s="49" t="s">
        <v>23</v>
      </c>
      <c r="J1954" s="36">
        <f t="shared" si="20"/>
        <v>45777.63089</v>
      </c>
      <c r="K1954" s="49" t="s">
        <v>197</v>
      </c>
      <c r="L1954" s="49" t="s">
        <v>23</v>
      </c>
      <c r="M1954" s="36">
        <f t="shared" si="26"/>
        <v>45779.38266</v>
      </c>
      <c r="N1954" s="30" t="str">
        <f t="shared" si="27"/>
        <v>Selesai</v>
      </c>
      <c r="O1954" s="45">
        <f t="shared" si="23"/>
        <v>45779.38266</v>
      </c>
      <c r="P1954" s="47" t="b">
        <v>1</v>
      </c>
      <c r="Q1954" s="36">
        <f t="shared" si="24"/>
        <v>45783.65282</v>
      </c>
      <c r="R1954" s="47" t="b">
        <v>0</v>
      </c>
      <c r="S1954" s="42" t="str">
        <f t="shared" si="28"/>
        <v/>
      </c>
      <c r="T1954" s="42"/>
    </row>
    <row r="1955" ht="22.5" customHeight="1">
      <c r="B1955" s="42">
        <f t="shared" si="7"/>
        <v>1949</v>
      </c>
      <c r="C1955" s="31" t="s">
        <v>2039</v>
      </c>
      <c r="D1955" s="34" t="str">
        <f t="array" ref="D1955">IFNA(_xlfn.XLOOKUP(C1955,Table_Tarikan_Warkah[Nomor Sertipikat],Table_Tarikan_Warkah[Nomor Tiket]),"")</f>
        <v>K/4/170425/1</v>
      </c>
      <c r="E1955" s="36" t="str">
        <f t="array" ref="E1955">IFNA(_xlfn.XLOOKUP(D1955,Table_Tarikan_Warkah[Nomor Tiket],Table_Tarikan_Warkah[Tanggal diserahkan kepada Validator]),"")</f>
        <v/>
      </c>
      <c r="F1955" s="36" t="str">
        <f t="array" ref="F1955">IFNA(_xlfn.XLOOKUP(D1955,Table_Tarikan_Warkah[Nomor Tiket],Table_Tarikan_Warkah[Nama Petugas Warkah]),"")</f>
        <v/>
      </c>
      <c r="G1955" s="39" t="str">
        <f t="array" ref="G1955">IFNA(_xlfn.XLOOKUP(D1955,Table_Tarikan_Warkah[Nomor Tiket],Table_Tarikan_Warkah[Jenis Permohonan]),"")</f>
        <v>BN JUAL BELI</v>
      </c>
      <c r="H1955" s="41" t="s">
        <v>11</v>
      </c>
      <c r="I1955" s="49" t="s">
        <v>23</v>
      </c>
      <c r="J1955" s="36">
        <f t="shared" si="20"/>
        <v>45777.63089</v>
      </c>
      <c r="K1955" s="49" t="s">
        <v>197</v>
      </c>
      <c r="L1955" s="49" t="s">
        <v>23</v>
      </c>
      <c r="M1955" s="36">
        <f t="shared" si="26"/>
        <v>45779.38266</v>
      </c>
      <c r="N1955" s="30" t="str">
        <f t="shared" si="27"/>
        <v>Selesai</v>
      </c>
      <c r="O1955" s="45">
        <f t="shared" si="23"/>
        <v>45779.38266</v>
      </c>
      <c r="P1955" s="47" t="b">
        <v>1</v>
      </c>
      <c r="Q1955" s="36">
        <f t="shared" si="24"/>
        <v>45783.65282</v>
      </c>
      <c r="R1955" s="47" t="b">
        <v>0</v>
      </c>
      <c r="S1955" s="42" t="str">
        <f t="shared" si="28"/>
        <v/>
      </c>
      <c r="T1955" s="42"/>
    </row>
    <row r="1956" ht="22.5" customHeight="1">
      <c r="B1956" s="42">
        <f t="shared" si="7"/>
        <v>1950</v>
      </c>
      <c r="C1956" s="31" t="s">
        <v>2052</v>
      </c>
      <c r="D1956" s="34" t="str">
        <f t="array" ref="D1956">IFNA(_xlfn.XLOOKUP(C1956,Table_Tarikan_Warkah[Nomor Sertipikat],Table_Tarikan_Warkah[Nomor Tiket]),"")</f>
        <v>K/13/160425/2</v>
      </c>
      <c r="E1956" s="36">
        <f t="array" ref="E1956">IFNA(_xlfn.XLOOKUP(D1956,Table_Tarikan_Warkah[Nomor Tiket],Table_Tarikan_Warkah[Tanggal diserahkan kepada Validator]),"")</f>
        <v>45799.52559</v>
      </c>
      <c r="F1956" s="36" t="str">
        <f t="array" ref="F1956">IFNA(_xlfn.XLOOKUP(D1956,Table_Tarikan_Warkah[Nomor Tiket],Table_Tarikan_Warkah[Nama Petugas Warkah]),"")</f>
        <v>Berry</v>
      </c>
      <c r="G1956" s="39" t="str">
        <f t="array" ref="G1956">IFNA(_xlfn.XLOOKUP(D1956,Table_Tarikan_Warkah[Nomor Tiket],Table_Tarikan_Warkah[Jenis Permohonan]),"")</f>
        <v>ROYA</v>
      </c>
      <c r="H1956" s="41" t="s">
        <v>11</v>
      </c>
      <c r="I1956" s="49" t="s">
        <v>23</v>
      </c>
      <c r="J1956" s="36">
        <f t="shared" si="20"/>
        <v>45777.63089</v>
      </c>
      <c r="K1956" s="49" t="s">
        <v>197</v>
      </c>
      <c r="L1956" s="49" t="s">
        <v>23</v>
      </c>
      <c r="M1956" s="36">
        <f t="shared" si="26"/>
        <v>45779.38266</v>
      </c>
      <c r="N1956" s="30" t="str">
        <f t="shared" si="27"/>
        <v>Selesai</v>
      </c>
      <c r="O1956" s="45">
        <f t="shared" si="23"/>
        <v>45779.38266</v>
      </c>
      <c r="P1956" s="47" t="b">
        <v>1</v>
      </c>
      <c r="Q1956" s="36">
        <f t="shared" si="24"/>
        <v>45783.65282</v>
      </c>
      <c r="R1956" s="47" t="b">
        <v>0</v>
      </c>
      <c r="S1956" s="42" t="str">
        <f t="shared" si="28"/>
        <v/>
      </c>
      <c r="T1956" s="42"/>
    </row>
    <row r="1957" ht="22.5" customHeight="1">
      <c r="B1957" s="42">
        <f t="shared" si="7"/>
        <v>1951</v>
      </c>
      <c r="C1957" s="31" t="s">
        <v>2050</v>
      </c>
      <c r="D1957" s="34" t="str">
        <f t="array" ref="D1957">IFNA(_xlfn.XLOOKUP(C1957,Table_Tarikan_Warkah[Nomor Sertipikat],Table_Tarikan_Warkah[Nomor Tiket]),"")</f>
        <v>K/3/100425/1</v>
      </c>
      <c r="E1957" s="36" t="str">
        <f t="array" ref="E1957">IFNA(_xlfn.XLOOKUP(D1957,Table_Tarikan_Warkah[Nomor Tiket],Table_Tarikan_Warkah[Tanggal diserahkan kepada Validator]),"")</f>
        <v/>
      </c>
      <c r="F1957" s="36" t="str">
        <f t="array" ref="F1957">IFNA(_xlfn.XLOOKUP(D1957,Table_Tarikan_Warkah[Nomor Tiket],Table_Tarikan_Warkah[Nama Petugas Warkah]),"")</f>
        <v/>
      </c>
      <c r="G1957" s="39" t="str">
        <f t="array" ref="G1957">IFNA(_xlfn.XLOOKUP(D1957,Table_Tarikan_Warkah[Nomor Tiket],Table_Tarikan_Warkah[Jenis Permohonan]),"")</f>
        <v>BN HIBAH</v>
      </c>
      <c r="H1957" s="41" t="s">
        <v>11</v>
      </c>
      <c r="I1957" s="49" t="s">
        <v>23</v>
      </c>
      <c r="J1957" s="36">
        <f t="shared" si="20"/>
        <v>45777.63089</v>
      </c>
      <c r="K1957" s="49" t="s">
        <v>197</v>
      </c>
      <c r="L1957" s="49" t="s">
        <v>23</v>
      </c>
      <c r="M1957" s="36">
        <f t="shared" si="26"/>
        <v>45779.38266</v>
      </c>
      <c r="N1957" s="30" t="str">
        <f t="shared" si="27"/>
        <v>Selesai</v>
      </c>
      <c r="O1957" s="45">
        <f t="shared" si="23"/>
        <v>45779.38266</v>
      </c>
      <c r="P1957" s="47" t="b">
        <v>1</v>
      </c>
      <c r="Q1957" s="36">
        <f t="shared" si="24"/>
        <v>45783.65282</v>
      </c>
      <c r="R1957" s="47" t="b">
        <v>0</v>
      </c>
      <c r="S1957" s="42" t="str">
        <f t="shared" si="28"/>
        <v/>
      </c>
      <c r="T1957" s="42"/>
    </row>
    <row r="1958" ht="22.5" customHeight="1">
      <c r="B1958" s="42">
        <f t="shared" si="7"/>
        <v>1952</v>
      </c>
      <c r="C1958" s="31" t="s">
        <v>2049</v>
      </c>
      <c r="D1958" s="34" t="str">
        <f t="array" ref="D1958">IFNA(_xlfn.XLOOKUP(C1958,Table_Tarikan_Warkah[Nomor Sertipikat],Table_Tarikan_Warkah[Nomor Tiket]),"")</f>
        <v>K/18/160425/1</v>
      </c>
      <c r="E1958" s="36" t="str">
        <f t="array" ref="E1958">IFNA(_xlfn.XLOOKUP(D1958,Table_Tarikan_Warkah[Nomor Tiket],Table_Tarikan_Warkah[Tanggal diserahkan kepada Validator]),"")</f>
        <v/>
      </c>
      <c r="F1958" s="36" t="str">
        <f t="array" ref="F1958">IFNA(_xlfn.XLOOKUP(D1958,Table_Tarikan_Warkah[Nomor Tiket],Table_Tarikan_Warkah[Nama Petugas Warkah]),"")</f>
        <v/>
      </c>
      <c r="G1958" s="39" t="str">
        <f t="array" ref="G1958">IFNA(_xlfn.XLOOKUP(D1958,Table_Tarikan_Warkah[Nomor Tiket],Table_Tarikan_Warkah[Jenis Permohonan]),"")</f>
        <v>BN JUAL BELI</v>
      </c>
      <c r="H1958" s="41" t="s">
        <v>11</v>
      </c>
      <c r="I1958" s="49" t="s">
        <v>23</v>
      </c>
      <c r="J1958" s="36">
        <f t="shared" si="20"/>
        <v>45777.63089</v>
      </c>
      <c r="K1958" s="49" t="s">
        <v>197</v>
      </c>
      <c r="L1958" s="49" t="s">
        <v>23</v>
      </c>
      <c r="M1958" s="36">
        <f t="shared" si="26"/>
        <v>45779.38266</v>
      </c>
      <c r="N1958" s="30" t="str">
        <f t="shared" si="27"/>
        <v>Selesai</v>
      </c>
      <c r="O1958" s="45">
        <f t="shared" si="23"/>
        <v>45779.38266</v>
      </c>
      <c r="P1958" s="47" t="b">
        <v>1</v>
      </c>
      <c r="Q1958" s="36">
        <f t="shared" si="24"/>
        <v>45783.65282</v>
      </c>
      <c r="R1958" s="47" t="b">
        <v>0</v>
      </c>
      <c r="S1958" s="42" t="str">
        <f t="shared" si="28"/>
        <v/>
      </c>
      <c r="T1958" s="42"/>
    </row>
    <row r="1959" ht="22.5" customHeight="1">
      <c r="B1959" s="42">
        <f t="shared" si="7"/>
        <v>1953</v>
      </c>
      <c r="C1959" s="31" t="s">
        <v>2055</v>
      </c>
      <c r="D1959" s="34" t="str">
        <f t="array" ref="D1959">IFNA(_xlfn.XLOOKUP(C1959,Table_Tarikan_Warkah[Nomor Sertipikat],Table_Tarikan_Warkah[Nomor Tiket]),"")</f>
        <v>K/28/170425/1</v>
      </c>
      <c r="E1959" s="36" t="str">
        <f t="array" ref="E1959">IFNA(_xlfn.XLOOKUP(D1959,Table_Tarikan_Warkah[Nomor Tiket],Table_Tarikan_Warkah[Tanggal diserahkan kepada Validator]),"")</f>
        <v/>
      </c>
      <c r="F1959" s="36" t="str">
        <f t="array" ref="F1959">IFNA(_xlfn.XLOOKUP(D1959,Table_Tarikan_Warkah[Nomor Tiket],Table_Tarikan_Warkah[Nama Petugas Warkah]),"")</f>
        <v/>
      </c>
      <c r="G1959" s="39" t="str">
        <f t="array" ref="G1959">IFNA(_xlfn.XLOOKUP(D1959,Table_Tarikan_Warkah[Nomor Tiket],Table_Tarikan_Warkah[Jenis Permohonan]),"")</f>
        <v>BN JUAL BELI</v>
      </c>
      <c r="H1959" s="41" t="s">
        <v>11</v>
      </c>
      <c r="I1959" s="49" t="s">
        <v>23</v>
      </c>
      <c r="J1959" s="36">
        <f t="shared" si="20"/>
        <v>45777.63089</v>
      </c>
      <c r="K1959" s="49" t="s">
        <v>197</v>
      </c>
      <c r="L1959" s="49" t="s">
        <v>23</v>
      </c>
      <c r="M1959" s="36">
        <f t="shared" si="26"/>
        <v>45779.38266</v>
      </c>
      <c r="N1959" s="30" t="str">
        <f t="shared" si="27"/>
        <v>Selesai</v>
      </c>
      <c r="O1959" s="45">
        <f t="shared" si="23"/>
        <v>45779.38266</v>
      </c>
      <c r="P1959" s="47" t="b">
        <v>1</v>
      </c>
      <c r="Q1959" s="36">
        <f t="shared" si="24"/>
        <v>45783.65282</v>
      </c>
      <c r="R1959" s="47" t="b">
        <v>0</v>
      </c>
      <c r="S1959" s="42" t="str">
        <f t="shared" si="28"/>
        <v/>
      </c>
      <c r="T1959" s="42"/>
    </row>
    <row r="1960" ht="22.5" customHeight="1">
      <c r="B1960" s="42">
        <f t="shared" si="7"/>
        <v>1954</v>
      </c>
      <c r="C1960" s="31" t="s">
        <v>2078</v>
      </c>
      <c r="D1960" s="34" t="str">
        <f t="array" ref="D1960">IFNA(_xlfn.XLOOKUP(C1960,Table_Tarikan_Warkah[Nomor Sertipikat],Table_Tarikan_Warkah[Nomor Tiket]),"")</f>
        <v>K/9/220425/1</v>
      </c>
      <c r="E1960" s="36" t="str">
        <f t="array" ref="E1960">IFNA(_xlfn.XLOOKUP(D1960,Table_Tarikan_Warkah[Nomor Tiket],Table_Tarikan_Warkah[Tanggal diserahkan kepada Validator]),"")</f>
        <v/>
      </c>
      <c r="F1960" s="36" t="str">
        <f t="array" ref="F1960">IFNA(_xlfn.XLOOKUP(D1960,Table_Tarikan_Warkah[Nomor Tiket],Table_Tarikan_Warkah[Nama Petugas Warkah]),"")</f>
        <v/>
      </c>
      <c r="G1960" s="39" t="str">
        <f t="array" ref="G1960">IFNA(_xlfn.XLOOKUP(D1960,Table_Tarikan_Warkah[Nomor Tiket],Table_Tarikan_Warkah[Jenis Permohonan]),"")</f>
        <v>KEWARISAN</v>
      </c>
      <c r="H1960" s="41" t="s">
        <v>11</v>
      </c>
      <c r="I1960" s="49" t="s">
        <v>23</v>
      </c>
      <c r="J1960" s="36">
        <f t="shared" si="20"/>
        <v>45777.63089</v>
      </c>
      <c r="K1960" s="49" t="s">
        <v>197</v>
      </c>
      <c r="L1960" s="49" t="s">
        <v>23</v>
      </c>
      <c r="M1960" s="36">
        <f t="shared" si="26"/>
        <v>45779.38266</v>
      </c>
      <c r="N1960" s="30" t="str">
        <f t="shared" si="27"/>
        <v>Selesai</v>
      </c>
      <c r="O1960" s="45">
        <f t="shared" si="23"/>
        <v>45779.38266</v>
      </c>
      <c r="P1960" s="47" t="b">
        <v>1</v>
      </c>
      <c r="Q1960" s="36">
        <f t="shared" si="24"/>
        <v>45783.65282</v>
      </c>
      <c r="R1960" s="47" t="b">
        <v>0</v>
      </c>
      <c r="S1960" s="42" t="str">
        <f t="shared" si="28"/>
        <v/>
      </c>
      <c r="T1960" s="42"/>
    </row>
    <row r="1961" ht="22.5" customHeight="1">
      <c r="B1961" s="42">
        <f t="shared" si="7"/>
        <v>1955</v>
      </c>
      <c r="C1961" s="31" t="s">
        <v>2007</v>
      </c>
      <c r="D1961" s="34" t="str">
        <f t="array" ref="D1961">IFNA(_xlfn.XLOOKUP(C1961,Table_Tarikan_Warkah[Nomor Sertipikat],Table_Tarikan_Warkah[Nomor Tiket]),"")</f>
        <v>K/10/220425/1</v>
      </c>
      <c r="E1961" s="36" t="str">
        <f t="array" ref="E1961">IFNA(_xlfn.XLOOKUP(D1961,Table_Tarikan_Warkah[Nomor Tiket],Table_Tarikan_Warkah[Tanggal diserahkan kepada Validator]),"")</f>
        <v/>
      </c>
      <c r="F1961" s="36" t="str">
        <f t="array" ref="F1961">IFNA(_xlfn.XLOOKUP(D1961,Table_Tarikan_Warkah[Nomor Tiket],Table_Tarikan_Warkah[Nama Petugas Warkah]),"")</f>
        <v/>
      </c>
      <c r="G1961" s="39" t="str">
        <f t="array" ref="G1961">IFNA(_xlfn.XLOOKUP(D1961,Table_Tarikan_Warkah[Nomor Tiket],Table_Tarikan_Warkah[Jenis Permohonan]),"")</f>
        <v>JUAL BELI </v>
      </c>
      <c r="H1961" s="41" t="s">
        <v>11</v>
      </c>
      <c r="I1961" s="49" t="s">
        <v>23</v>
      </c>
      <c r="J1961" s="36">
        <f t="shared" si="20"/>
        <v>45777.63089</v>
      </c>
      <c r="K1961" s="49" t="s">
        <v>197</v>
      </c>
      <c r="L1961" s="49" t="s">
        <v>23</v>
      </c>
      <c r="M1961" s="36">
        <f t="shared" si="26"/>
        <v>45779.38266</v>
      </c>
      <c r="N1961" s="30" t="str">
        <f t="shared" si="27"/>
        <v>Selesai</v>
      </c>
      <c r="O1961" s="45">
        <f t="shared" si="23"/>
        <v>45779.38266</v>
      </c>
      <c r="P1961" s="47" t="b">
        <v>1</v>
      </c>
      <c r="Q1961" s="36">
        <f t="shared" si="24"/>
        <v>45783.65282</v>
      </c>
      <c r="R1961" s="47" t="b">
        <v>0</v>
      </c>
      <c r="S1961" s="42" t="str">
        <f t="shared" si="28"/>
        <v/>
      </c>
      <c r="T1961" s="42"/>
    </row>
    <row r="1962" ht="22.5" customHeight="1">
      <c r="B1962" s="42">
        <f t="shared" si="7"/>
        <v>1956</v>
      </c>
      <c r="C1962" s="31" t="s">
        <v>2079</v>
      </c>
      <c r="D1962" s="34" t="str">
        <f t="array" ref="D1962">IFNA(_xlfn.XLOOKUP(C1962,Table_Tarikan_Warkah[Nomor Sertipikat],Table_Tarikan_Warkah[Nomor Tiket]),"")</f>
        <v>L/21/150425/1</v>
      </c>
      <c r="E1962" s="36">
        <f t="array" ref="E1962">IFNA(_xlfn.XLOOKUP(D1962,Table_Tarikan_Warkah[Nomor Tiket],Table_Tarikan_Warkah[Tanggal diserahkan kepada Validator]),"")</f>
        <v>45804.68052</v>
      </c>
      <c r="F1962" s="36" t="str">
        <f t="array" ref="F1962">IFNA(_xlfn.XLOOKUP(D1962,Table_Tarikan_Warkah[Nomor Tiket],Table_Tarikan_Warkah[Nama Petugas Warkah]),"")</f>
        <v>David</v>
      </c>
      <c r="G1962" s="39" t="str">
        <f t="array" ref="G1962">IFNA(_xlfn.XLOOKUP(D1962,Table_Tarikan_Warkah[Nomor Tiket],Table_Tarikan_Warkah[Jenis Permohonan]),"")</f>
        <v>ROYA WARIS</v>
      </c>
      <c r="H1962" s="41" t="s">
        <v>11</v>
      </c>
      <c r="I1962" s="49" t="s">
        <v>23</v>
      </c>
      <c r="J1962" s="36">
        <f t="shared" si="20"/>
        <v>45777.63089</v>
      </c>
      <c r="K1962" s="49" t="s">
        <v>197</v>
      </c>
      <c r="L1962" s="49" t="s">
        <v>23</v>
      </c>
      <c r="M1962" s="36">
        <f t="shared" si="26"/>
        <v>45779.38275</v>
      </c>
      <c r="N1962" s="30" t="str">
        <f t="shared" si="27"/>
        <v>Selesai</v>
      </c>
      <c r="O1962" s="45">
        <f t="shared" si="23"/>
        <v>45779.38275</v>
      </c>
      <c r="P1962" s="47" t="b">
        <v>1</v>
      </c>
      <c r="Q1962" s="36">
        <f t="shared" si="24"/>
        <v>45783.65282</v>
      </c>
      <c r="R1962" s="47" t="b">
        <v>0</v>
      </c>
      <c r="S1962" s="42" t="str">
        <f t="shared" si="28"/>
        <v/>
      </c>
      <c r="T1962" s="42"/>
    </row>
    <row r="1963" ht="22.5" customHeight="1">
      <c r="B1963" s="42">
        <f t="shared" si="7"/>
        <v>1957</v>
      </c>
      <c r="C1963" s="31" t="s">
        <v>1974</v>
      </c>
      <c r="D1963" s="34" t="str">
        <f t="array" ref="D1963">IFNA(_xlfn.XLOOKUP(C1963,Table_Tarikan_Warkah[Nomor Sertipikat],Table_Tarikan_Warkah[Nomor Tiket]),"")</f>
        <v>L/34/210325/1</v>
      </c>
      <c r="E1963" s="36" t="str">
        <f t="array" ref="E1963">IFNA(_xlfn.XLOOKUP(D1963,Table_Tarikan_Warkah[Nomor Tiket],Table_Tarikan_Warkah[Tanggal diserahkan kepada Validator]),"")</f>
        <v/>
      </c>
      <c r="F1963" s="36" t="str">
        <f t="array" ref="F1963">IFNA(_xlfn.XLOOKUP(D1963,Table_Tarikan_Warkah[Nomor Tiket],Table_Tarikan_Warkah[Nama Petugas Warkah]),"")</f>
        <v/>
      </c>
      <c r="G1963" s="39" t="str">
        <f t="array" ref="G1963">IFNA(_xlfn.XLOOKUP(D1963,Table_Tarikan_Warkah[Nomor Tiket],Table_Tarikan_Warkah[Jenis Permohonan]),"")</f>
        <v>BN WARIS</v>
      </c>
      <c r="H1963" s="41" t="s">
        <v>11</v>
      </c>
      <c r="I1963" s="49" t="s">
        <v>23</v>
      </c>
      <c r="J1963" s="36">
        <f t="shared" si="20"/>
        <v>45777.63089</v>
      </c>
      <c r="K1963" s="49" t="s">
        <v>197</v>
      </c>
      <c r="L1963" s="49" t="s">
        <v>23</v>
      </c>
      <c r="M1963" s="36">
        <f t="shared" si="26"/>
        <v>45779.38275</v>
      </c>
      <c r="N1963" s="30" t="str">
        <f t="shared" si="27"/>
        <v>Selesai</v>
      </c>
      <c r="O1963" s="45">
        <f t="shared" si="23"/>
        <v>45779.38275</v>
      </c>
      <c r="P1963" s="47" t="b">
        <v>1</v>
      </c>
      <c r="Q1963" s="36">
        <f t="shared" si="24"/>
        <v>45783.65282</v>
      </c>
      <c r="R1963" s="47" t="b">
        <v>0</v>
      </c>
      <c r="S1963" s="42" t="str">
        <f t="shared" si="28"/>
        <v/>
      </c>
      <c r="T1963" s="42"/>
    </row>
    <row r="1964" ht="22.5" customHeight="1">
      <c r="B1964" s="42">
        <f t="shared" si="7"/>
        <v>1958</v>
      </c>
      <c r="C1964" s="31" t="s">
        <v>2080</v>
      </c>
      <c r="D1964" s="34" t="str">
        <f t="array" ref="D1964">IFNA(_xlfn.XLOOKUP(C1964,Table_Tarikan_Warkah[Nomor Sertipikat],Table_Tarikan_Warkah[Nomor Tiket]),"")</f>
        <v>L/5/160425/1</v>
      </c>
      <c r="E1964" s="36">
        <f t="array" ref="E1964">IFNA(_xlfn.XLOOKUP(D1964,Table_Tarikan_Warkah[Nomor Tiket],Table_Tarikan_Warkah[Tanggal diserahkan kepada Validator]),"")</f>
        <v>45799.52648</v>
      </c>
      <c r="F1964" s="36" t="str">
        <f t="array" ref="F1964">IFNA(_xlfn.XLOOKUP(D1964,Table_Tarikan_Warkah[Nomor Tiket],Table_Tarikan_Warkah[Nama Petugas Warkah]),"")</f>
        <v>Berry</v>
      </c>
      <c r="G1964" s="39" t="str">
        <f t="array" ref="G1964">IFNA(_xlfn.XLOOKUP(D1964,Table_Tarikan_Warkah[Nomor Tiket],Table_Tarikan_Warkah[Jenis Permohonan]),"")</f>
        <v>MARUHUM HUTAPEA</v>
      </c>
      <c r="H1964" s="41" t="s">
        <v>11</v>
      </c>
      <c r="I1964" s="49" t="s">
        <v>23</v>
      </c>
      <c r="J1964" s="36">
        <f t="shared" si="20"/>
        <v>45777.63089</v>
      </c>
      <c r="K1964" s="49" t="s">
        <v>197</v>
      </c>
      <c r="L1964" s="49" t="s">
        <v>23</v>
      </c>
      <c r="M1964" s="36">
        <f t="shared" si="26"/>
        <v>45779.38275</v>
      </c>
      <c r="N1964" s="30" t="str">
        <f t="shared" si="27"/>
        <v>Selesai</v>
      </c>
      <c r="O1964" s="45">
        <f t="shared" si="23"/>
        <v>45779.38275</v>
      </c>
      <c r="P1964" s="47" t="b">
        <v>1</v>
      </c>
      <c r="Q1964" s="36">
        <f t="shared" si="24"/>
        <v>45783.65282</v>
      </c>
      <c r="R1964" s="47" t="b">
        <v>0</v>
      </c>
      <c r="S1964" s="42" t="str">
        <f t="shared" si="28"/>
        <v/>
      </c>
      <c r="T1964" s="42"/>
    </row>
    <row r="1965" ht="22.5" customHeight="1">
      <c r="B1965" s="42">
        <f t="shared" si="7"/>
        <v>1959</v>
      </c>
      <c r="C1965" s="31" t="s">
        <v>2081</v>
      </c>
      <c r="D1965" s="34" t="str">
        <f t="array" ref="D1965">IFNA(_xlfn.XLOOKUP(C1965,Table_Tarikan_Warkah[Nomor Sertipikat],Table_Tarikan_Warkah[Nomor Tiket]),"")</f>
        <v>L/30/150425/1</v>
      </c>
      <c r="E1965" s="36">
        <f t="array" ref="E1965">IFNA(_xlfn.XLOOKUP(D1965,Table_Tarikan_Warkah[Nomor Tiket],Table_Tarikan_Warkah[Tanggal diserahkan kepada Validator]),"")</f>
        <v>45793.46903</v>
      </c>
      <c r="F1965" s="36" t="str">
        <f t="array" ref="F1965">IFNA(_xlfn.XLOOKUP(D1965,Table_Tarikan_Warkah[Nomor Tiket],Table_Tarikan_Warkah[Nama Petugas Warkah]),"")</f>
        <v>David</v>
      </c>
      <c r="G1965" s="39" t="str">
        <f t="array" ref="G1965">IFNA(_xlfn.XLOOKUP(D1965,Table_Tarikan_Warkah[Nomor Tiket],Table_Tarikan_Warkah[Jenis Permohonan]),"")</f>
        <v>ROYA</v>
      </c>
      <c r="H1965" s="41" t="s">
        <v>11</v>
      </c>
      <c r="I1965" s="49" t="s">
        <v>23</v>
      </c>
      <c r="J1965" s="36">
        <f t="shared" si="20"/>
        <v>45777.63089</v>
      </c>
      <c r="K1965" s="49" t="s">
        <v>197</v>
      </c>
      <c r="L1965" s="49" t="s">
        <v>23</v>
      </c>
      <c r="M1965" s="36">
        <f t="shared" si="26"/>
        <v>45779.38275</v>
      </c>
      <c r="N1965" s="30" t="str">
        <f t="shared" si="27"/>
        <v>Selesai</v>
      </c>
      <c r="O1965" s="45">
        <f t="shared" si="23"/>
        <v>45779.38275</v>
      </c>
      <c r="P1965" s="47" t="b">
        <v>1</v>
      </c>
      <c r="Q1965" s="36">
        <f t="shared" si="24"/>
        <v>45783.65282</v>
      </c>
      <c r="R1965" s="47" t="b">
        <v>0</v>
      </c>
      <c r="S1965" s="42" t="str">
        <f t="shared" si="28"/>
        <v/>
      </c>
      <c r="T1965" s="42"/>
    </row>
    <row r="1966" ht="22.5" customHeight="1">
      <c r="B1966" s="42">
        <f t="shared" si="7"/>
        <v>1960</v>
      </c>
      <c r="C1966" s="31" t="s">
        <v>2082</v>
      </c>
      <c r="D1966" s="34" t="str">
        <f t="array" ref="D1966">IFNA(_xlfn.XLOOKUP(C1966,Table_Tarikan_Warkah[Nomor Sertipikat],Table_Tarikan_Warkah[Nomor Tiket]),"")</f>
        <v>L/20/150425/1</v>
      </c>
      <c r="E1966" s="36">
        <f t="array" ref="E1966">IFNA(_xlfn.XLOOKUP(D1966,Table_Tarikan_Warkah[Nomor Tiket],Table_Tarikan_Warkah[Tanggal diserahkan kepada Validator]),"")</f>
        <v>45799.52597</v>
      </c>
      <c r="F1966" s="36" t="str">
        <f t="array" ref="F1966">IFNA(_xlfn.XLOOKUP(D1966,Table_Tarikan_Warkah[Nomor Tiket],Table_Tarikan_Warkah[Nama Petugas Warkah]),"")</f>
        <v>Berry</v>
      </c>
      <c r="G1966" s="39" t="str">
        <f t="array" ref="G1966">IFNA(_xlfn.XLOOKUP(D1966,Table_Tarikan_Warkah[Nomor Tiket],Table_Tarikan_Warkah[Jenis Permohonan]),"")</f>
        <v>ROYA</v>
      </c>
      <c r="H1966" s="41" t="s">
        <v>11</v>
      </c>
      <c r="I1966" s="49" t="s">
        <v>23</v>
      </c>
      <c r="J1966" s="36">
        <f t="shared" si="20"/>
        <v>45777.63089</v>
      </c>
      <c r="K1966" s="49" t="s">
        <v>197</v>
      </c>
      <c r="L1966" s="49" t="s">
        <v>23</v>
      </c>
      <c r="M1966" s="36">
        <f t="shared" si="26"/>
        <v>45779.38275</v>
      </c>
      <c r="N1966" s="30" t="str">
        <f t="shared" si="27"/>
        <v>Selesai</v>
      </c>
      <c r="O1966" s="45">
        <f t="shared" si="23"/>
        <v>45779.38275</v>
      </c>
      <c r="P1966" s="47" t="b">
        <v>1</v>
      </c>
      <c r="Q1966" s="36">
        <f t="shared" si="24"/>
        <v>45783.65282</v>
      </c>
      <c r="R1966" s="47" t="b">
        <v>0</v>
      </c>
      <c r="S1966" s="42" t="str">
        <f t="shared" si="28"/>
        <v/>
      </c>
      <c r="T1966" s="42"/>
    </row>
    <row r="1967" ht="22.5" customHeight="1">
      <c r="B1967" s="42">
        <f t="shared" si="7"/>
        <v>1961</v>
      </c>
      <c r="C1967" s="31" t="s">
        <v>2083</v>
      </c>
      <c r="D1967" s="34" t="str">
        <f t="array" ref="D1967">IFNA(_xlfn.XLOOKUP(C1967,Table_Tarikan_Warkah[Nomor Sertipikat],Table_Tarikan_Warkah[Nomor Tiket]),"")</f>
        <v>L/15/270325/1</v>
      </c>
      <c r="E1967" s="36">
        <f t="array" ref="E1967">IFNA(_xlfn.XLOOKUP(D1967,Table_Tarikan_Warkah[Nomor Tiket],Table_Tarikan_Warkah[Tanggal diserahkan kepada Validator]),"")</f>
        <v>45799.52954</v>
      </c>
      <c r="F1967" s="36" t="str">
        <f t="array" ref="F1967">IFNA(_xlfn.XLOOKUP(D1967,Table_Tarikan_Warkah[Nomor Tiket],Table_Tarikan_Warkah[Nama Petugas Warkah]),"")</f>
        <v>Berry</v>
      </c>
      <c r="G1967" s="39" t="str">
        <f t="array" ref="G1967">IFNA(_xlfn.XLOOKUP(D1967,Table_Tarikan_Warkah[Nomor Tiket],Table_Tarikan_Warkah[Jenis Permohonan]),"")</f>
        <v>ROYA WARIS</v>
      </c>
      <c r="H1967" s="41" t="s">
        <v>11</v>
      </c>
      <c r="I1967" s="49" t="s">
        <v>23</v>
      </c>
      <c r="J1967" s="36">
        <f t="shared" si="20"/>
        <v>45777.63089</v>
      </c>
      <c r="K1967" s="49" t="s">
        <v>197</v>
      </c>
      <c r="L1967" s="49" t="s">
        <v>23</v>
      </c>
      <c r="M1967" s="36">
        <f t="shared" si="26"/>
        <v>45779.38287</v>
      </c>
      <c r="N1967" s="30" t="str">
        <f t="shared" si="27"/>
        <v>Selesai</v>
      </c>
      <c r="O1967" s="45">
        <f t="shared" si="23"/>
        <v>45779.38287</v>
      </c>
      <c r="P1967" s="47" t="b">
        <v>1</v>
      </c>
      <c r="Q1967" s="36">
        <f t="shared" si="24"/>
        <v>45783.65282</v>
      </c>
      <c r="R1967" s="47" t="b">
        <v>0</v>
      </c>
      <c r="S1967" s="42" t="str">
        <f t="shared" si="28"/>
        <v/>
      </c>
      <c r="T1967" s="42"/>
    </row>
    <row r="1968" ht="22.5" customHeight="1">
      <c r="B1968" s="42">
        <f t="shared" si="7"/>
        <v>1962</v>
      </c>
      <c r="C1968" s="31" t="s">
        <v>2084</v>
      </c>
      <c r="D1968" s="34" t="str">
        <f t="array" ref="D1968">IFNA(_xlfn.XLOOKUP(C1968,Table_Tarikan_Warkah[Nomor Sertipikat],Table_Tarikan_Warkah[Nomor Tiket]),"")</f>
        <v>L/33/180325/1</v>
      </c>
      <c r="E1968" s="36" t="str">
        <f t="array" ref="E1968">IFNA(_xlfn.XLOOKUP(D1968,Table_Tarikan_Warkah[Nomor Tiket],Table_Tarikan_Warkah[Tanggal diserahkan kepada Validator]),"")</f>
        <v/>
      </c>
      <c r="F1968" s="36" t="str">
        <f t="array" ref="F1968">IFNA(_xlfn.XLOOKUP(D1968,Table_Tarikan_Warkah[Nomor Tiket],Table_Tarikan_Warkah[Nama Petugas Warkah]),"")</f>
        <v/>
      </c>
      <c r="G1968" s="39" t="str">
        <f t="array" ref="G1968">IFNA(_xlfn.XLOOKUP(D1968,Table_Tarikan_Warkah[Nomor Tiket],Table_Tarikan_Warkah[Jenis Permohonan]),"")</f>
        <v>IVOOKTALIA/CS</v>
      </c>
      <c r="H1968" s="41" t="s">
        <v>20</v>
      </c>
      <c r="I1968" s="49" t="s">
        <v>23</v>
      </c>
      <c r="J1968" s="36">
        <f t="shared" si="20"/>
        <v>45777.64227</v>
      </c>
      <c r="K1968" s="49" t="s">
        <v>197</v>
      </c>
      <c r="L1968" s="49" t="s">
        <v>23</v>
      </c>
      <c r="M1968" s="36">
        <f t="shared" si="26"/>
        <v>45777.64236</v>
      </c>
      <c r="N1968" s="30" t="str">
        <f t="shared" si="27"/>
        <v>Selesai</v>
      </c>
      <c r="O1968" s="45">
        <f t="shared" si="23"/>
        <v>45777.64236</v>
      </c>
      <c r="P1968" s="47" t="b">
        <v>1</v>
      </c>
      <c r="Q1968" s="36">
        <f t="shared" si="24"/>
        <v>45777.64237</v>
      </c>
      <c r="R1968" s="47" t="b">
        <v>0</v>
      </c>
      <c r="S1968" s="42" t="str">
        <f t="shared" si="28"/>
        <v/>
      </c>
      <c r="T1968" s="42"/>
    </row>
    <row r="1969" ht="22.5" customHeight="1">
      <c r="B1969" s="42">
        <f t="shared" si="7"/>
        <v>1963</v>
      </c>
      <c r="C1969" s="31" t="s">
        <v>2085</v>
      </c>
      <c r="D1969" s="34" t="str">
        <f t="array" ref="D1969">IFNA(_xlfn.XLOOKUP(C1969,Table_Tarikan_Warkah[Nomor Sertipikat],Table_Tarikan_Warkah[Nomor Tiket]),"")</f>
        <v>K/16/150425/1</v>
      </c>
      <c r="E1969" s="36" t="str">
        <f t="array" ref="E1969">IFNA(_xlfn.XLOOKUP(D1969,Table_Tarikan_Warkah[Nomor Tiket],Table_Tarikan_Warkah[Tanggal diserahkan kepada Validator]),"")</f>
        <v/>
      </c>
      <c r="F1969" s="36" t="str">
        <f t="array" ref="F1969">IFNA(_xlfn.XLOOKUP(D1969,Table_Tarikan_Warkah[Nomor Tiket],Table_Tarikan_Warkah[Nama Petugas Warkah]),"")</f>
        <v/>
      </c>
      <c r="G1969" s="39" t="str">
        <f t="array" ref="G1969">IFNA(_xlfn.XLOOKUP(D1969,Table_Tarikan_Warkah[Nomor Tiket],Table_Tarikan_Warkah[Jenis Permohonan]),"")</f>
        <v>BN JUAL BELI</v>
      </c>
      <c r="H1969" s="41" t="s">
        <v>20</v>
      </c>
      <c r="I1969" s="49" t="s">
        <v>23</v>
      </c>
      <c r="J1969" s="36">
        <f t="shared" si="20"/>
        <v>45777.655</v>
      </c>
      <c r="K1969" s="49" t="s">
        <v>197</v>
      </c>
      <c r="L1969" s="49" t="s">
        <v>23</v>
      </c>
      <c r="M1969" s="36">
        <f t="shared" si="26"/>
        <v>45777.65503</v>
      </c>
      <c r="N1969" s="30" t="str">
        <f t="shared" si="27"/>
        <v>Selesai</v>
      </c>
      <c r="O1969" s="45">
        <f t="shared" si="23"/>
        <v>45777.65503</v>
      </c>
      <c r="P1969" s="47" t="b">
        <v>1</v>
      </c>
      <c r="Q1969" s="36">
        <f t="shared" si="24"/>
        <v>45777.65507</v>
      </c>
      <c r="R1969" s="47" t="b">
        <v>0</v>
      </c>
      <c r="S1969" s="42" t="str">
        <f t="shared" si="28"/>
        <v/>
      </c>
      <c r="T1969" s="42"/>
    </row>
    <row r="1970" ht="22.5" customHeight="1">
      <c r="B1970" s="42">
        <f t="shared" si="7"/>
        <v>1964</v>
      </c>
      <c r="C1970" s="31" t="s">
        <v>2086</v>
      </c>
      <c r="D1970" s="34" t="str">
        <f t="array" ref="D1970">IFNA(_xlfn.XLOOKUP(C1970,Table_Tarikan_Warkah[Nomor Sertipikat],Table_Tarikan_Warkah[Nomor Tiket]),"")</f>
        <v>K/19/110425/1</v>
      </c>
      <c r="E1970" s="36" t="str">
        <f t="array" ref="E1970">IFNA(_xlfn.XLOOKUP(D1970,Table_Tarikan_Warkah[Nomor Tiket],Table_Tarikan_Warkah[Tanggal diserahkan kepada Validator]),"")</f>
        <v/>
      </c>
      <c r="F1970" s="36" t="str">
        <f t="array" ref="F1970">IFNA(_xlfn.XLOOKUP(D1970,Table_Tarikan_Warkah[Nomor Tiket],Table_Tarikan_Warkah[Nama Petugas Warkah]),"")</f>
        <v/>
      </c>
      <c r="G1970" s="39" t="str">
        <f t="array" ref="G1970">IFNA(_xlfn.XLOOKUP(D1970,Table_Tarikan_Warkah[Nomor Tiket],Table_Tarikan_Warkah[Jenis Permohonan]),"")</f>
        <v>BN Jual Beli</v>
      </c>
      <c r="H1970" s="41" t="s">
        <v>20</v>
      </c>
      <c r="I1970" s="49" t="s">
        <v>23</v>
      </c>
      <c r="J1970" s="36">
        <f t="shared" si="20"/>
        <v>45777.65589</v>
      </c>
      <c r="K1970" s="49" t="s">
        <v>197</v>
      </c>
      <c r="L1970" s="49" t="s">
        <v>23</v>
      </c>
      <c r="M1970" s="36">
        <f t="shared" si="26"/>
        <v>45777.65589</v>
      </c>
      <c r="N1970" s="30" t="str">
        <f t="shared" si="27"/>
        <v>Selesai</v>
      </c>
      <c r="O1970" s="45">
        <f t="shared" si="23"/>
        <v>45777.65589</v>
      </c>
      <c r="P1970" s="47" t="b">
        <v>1</v>
      </c>
      <c r="Q1970" s="36">
        <f t="shared" si="24"/>
        <v>45777.65592</v>
      </c>
      <c r="R1970" s="47" t="b">
        <v>0</v>
      </c>
      <c r="S1970" s="42" t="str">
        <f t="shared" si="28"/>
        <v/>
      </c>
      <c r="T1970" s="42"/>
    </row>
    <row r="1971" ht="22.5" customHeight="1">
      <c r="B1971" s="42">
        <f t="shared" si="7"/>
        <v>1965</v>
      </c>
      <c r="C1971" s="31" t="s">
        <v>2087</v>
      </c>
      <c r="D1971" s="34" t="str">
        <f t="array" ref="D1971">IFNA(_xlfn.XLOOKUP(C1971,Table_Tarikan_Warkah[Nomor Sertipikat],Table_Tarikan_Warkah[Nomor Tiket]),"")</f>
        <v>K/45/230425/1</v>
      </c>
      <c r="E1971" s="36">
        <f t="array" ref="E1971">IFNA(_xlfn.XLOOKUP(D1971,Table_Tarikan_Warkah[Nomor Tiket],Table_Tarikan_Warkah[Tanggal diserahkan kepada Validator]),"")</f>
        <v>45777.40502</v>
      </c>
      <c r="F1971" s="36" t="str">
        <f t="array" ref="F1971">IFNA(_xlfn.XLOOKUP(D1971,Table_Tarikan_Warkah[Nomor Tiket],Table_Tarikan_Warkah[Nama Petugas Warkah]),"")</f>
        <v/>
      </c>
      <c r="G1971" s="39" t="str">
        <f t="array" ref="G1971">IFNA(_xlfn.XLOOKUP(D1971,Table_Tarikan_Warkah[Nomor Tiket],Table_Tarikan_Warkah[Jenis Permohonan]),"")</f>
        <v>Roya</v>
      </c>
      <c r="H1971" s="41" t="s">
        <v>11</v>
      </c>
      <c r="I1971" s="49" t="s">
        <v>23</v>
      </c>
      <c r="J1971" s="36">
        <f t="shared" si="20"/>
        <v>45777.71299</v>
      </c>
      <c r="K1971" s="49" t="s">
        <v>197</v>
      </c>
      <c r="L1971" s="49" t="s">
        <v>23</v>
      </c>
      <c r="M1971" s="36">
        <f t="shared" si="26"/>
        <v>45783.65282</v>
      </c>
      <c r="N1971" s="30" t="str">
        <f t="shared" si="27"/>
        <v>Selesai</v>
      </c>
      <c r="O1971" s="45">
        <f t="shared" si="23"/>
        <v>45783.65282</v>
      </c>
      <c r="P1971" s="47" t="b">
        <v>1</v>
      </c>
      <c r="Q1971" s="36">
        <f t="shared" si="24"/>
        <v>45783.65282</v>
      </c>
      <c r="R1971" s="47" t="b">
        <v>0</v>
      </c>
      <c r="S1971" s="42" t="str">
        <f t="shared" si="28"/>
        <v/>
      </c>
      <c r="T1971" s="42"/>
    </row>
    <row r="1972" ht="22.5" customHeight="1">
      <c r="B1972" s="42">
        <f t="shared" si="7"/>
        <v>1966</v>
      </c>
      <c r="C1972" s="31" t="s">
        <v>2088</v>
      </c>
      <c r="D1972" s="34" t="str">
        <f t="array" ref="D1972">IFNA(_xlfn.XLOOKUP(C1972,Table_Tarikan_Warkah[Nomor Sertipikat],Table_Tarikan_Warkah[Nomor Tiket]),"")</f>
        <v>K/39/100425/1</v>
      </c>
      <c r="E1972" s="36" t="str">
        <f t="array" ref="E1972">IFNA(_xlfn.XLOOKUP(D1972,Table_Tarikan_Warkah[Nomor Tiket],Table_Tarikan_Warkah[Tanggal diserahkan kepada Validator]),"")</f>
        <v/>
      </c>
      <c r="F1972" s="36" t="str">
        <f t="array" ref="F1972">IFNA(_xlfn.XLOOKUP(D1972,Table_Tarikan_Warkah[Nomor Tiket],Table_Tarikan_Warkah[Nama Petugas Warkah]),"")</f>
        <v/>
      </c>
      <c r="G1972" s="39" t="str">
        <f t="array" ref="G1972">IFNA(_xlfn.XLOOKUP(D1972,Table_Tarikan_Warkah[Nomor Tiket],Table_Tarikan_Warkah[Jenis Permohonan]),"")</f>
        <v>BN JUAL BELI</v>
      </c>
      <c r="H1972" s="41" t="s">
        <v>11</v>
      </c>
      <c r="I1972" s="49" t="s">
        <v>23</v>
      </c>
      <c r="J1972" s="36">
        <f t="shared" si="20"/>
        <v>45779.70298</v>
      </c>
      <c r="K1972" s="49" t="s">
        <v>197</v>
      </c>
      <c r="L1972" s="49" t="s">
        <v>23</v>
      </c>
      <c r="M1972" s="36">
        <f t="shared" si="26"/>
        <v>45783.65282</v>
      </c>
      <c r="N1972" s="30" t="str">
        <f t="shared" si="27"/>
        <v>Selesai</v>
      </c>
      <c r="O1972" s="45">
        <f t="shared" si="23"/>
        <v>45783.65282</v>
      </c>
      <c r="P1972" s="47" t="b">
        <v>1</v>
      </c>
      <c r="Q1972" s="36">
        <f t="shared" si="24"/>
        <v>45783.65282</v>
      </c>
      <c r="R1972" s="47" t="b">
        <v>0</v>
      </c>
      <c r="S1972" s="42" t="str">
        <f t="shared" si="28"/>
        <v/>
      </c>
      <c r="T1972" s="42"/>
    </row>
    <row r="1973" ht="22.5" customHeight="1">
      <c r="B1973" s="42">
        <f t="shared" si="7"/>
        <v>1967</v>
      </c>
      <c r="C1973" s="31" t="s">
        <v>2089</v>
      </c>
      <c r="D1973" s="34" t="str">
        <f t="array" ref="D1973">IFNA(_xlfn.XLOOKUP(C1973,Table_Tarikan_Warkah[Nomor Sertipikat],Table_Tarikan_Warkah[Nomor Tiket]),"")</f>
        <v>K/29/170425/2</v>
      </c>
      <c r="E1973" s="36" t="str">
        <f t="array" ref="E1973">IFNA(_xlfn.XLOOKUP(D1973,Table_Tarikan_Warkah[Nomor Tiket],Table_Tarikan_Warkah[Tanggal diserahkan kepada Validator]),"")</f>
        <v/>
      </c>
      <c r="F1973" s="36" t="str">
        <f t="array" ref="F1973">IFNA(_xlfn.XLOOKUP(D1973,Table_Tarikan_Warkah[Nomor Tiket],Table_Tarikan_Warkah[Nama Petugas Warkah]),"")</f>
        <v/>
      </c>
      <c r="G1973" s="39" t="str">
        <f t="array" ref="G1973">IFNA(_xlfn.XLOOKUP(D1973,Table_Tarikan_Warkah[Nomor Tiket],Table_Tarikan_Warkah[Jenis Permohonan]),"")</f>
        <v>BN WARIS</v>
      </c>
      <c r="H1973" s="41" t="s">
        <v>11</v>
      </c>
      <c r="I1973" s="49" t="s">
        <v>23</v>
      </c>
      <c r="J1973" s="36">
        <f t="shared" si="20"/>
        <v>45779.70352</v>
      </c>
      <c r="K1973" s="49" t="s">
        <v>197</v>
      </c>
      <c r="L1973" s="49" t="s">
        <v>23</v>
      </c>
      <c r="M1973" s="36">
        <f t="shared" si="26"/>
        <v>45783.65282</v>
      </c>
      <c r="N1973" s="30" t="str">
        <f t="shared" si="27"/>
        <v>Selesai</v>
      </c>
      <c r="O1973" s="45">
        <f t="shared" si="23"/>
        <v>45783.65282</v>
      </c>
      <c r="P1973" s="47" t="b">
        <v>1</v>
      </c>
      <c r="Q1973" s="36">
        <f t="shared" si="24"/>
        <v>45783.65282</v>
      </c>
      <c r="R1973" s="47" t="b">
        <v>0</v>
      </c>
      <c r="S1973" s="42" t="str">
        <f t="shared" si="28"/>
        <v/>
      </c>
      <c r="T1973" s="42"/>
    </row>
    <row r="1974" ht="22.5" customHeight="1">
      <c r="B1974" s="42">
        <f t="shared" si="7"/>
        <v>1968</v>
      </c>
      <c r="C1974" s="31" t="s">
        <v>2090</v>
      </c>
      <c r="D1974" s="34" t="str">
        <f t="array" ref="D1974">IFNA(_xlfn.XLOOKUP(C1974,Table_Tarikan_Warkah[Nomor Sertipikat],Table_Tarikan_Warkah[Nomor Tiket]),"")</f>
        <v>K/20/230425/2</v>
      </c>
      <c r="E1974" s="36">
        <f t="array" ref="E1974">IFNA(_xlfn.XLOOKUP(D1974,Table_Tarikan_Warkah[Nomor Tiket],Table_Tarikan_Warkah[Tanggal diserahkan kepada Validator]),"")</f>
        <v>45796.48605</v>
      </c>
      <c r="F1974" s="36" t="str">
        <f t="array" ref="F1974">IFNA(_xlfn.XLOOKUP(D1974,Table_Tarikan_Warkah[Nomor Tiket],Table_Tarikan_Warkah[Nama Petugas Warkah]),"")</f>
        <v>Berry</v>
      </c>
      <c r="G1974" s="39" t="str">
        <f t="array" ref="G1974">IFNA(_xlfn.XLOOKUP(D1974,Table_Tarikan_Warkah[Nomor Tiket],Table_Tarikan_Warkah[Jenis Permohonan]),"")</f>
        <v>ROYA</v>
      </c>
      <c r="H1974" s="41" t="s">
        <v>11</v>
      </c>
      <c r="I1974" s="49" t="s">
        <v>23</v>
      </c>
      <c r="J1974" s="36">
        <f t="shared" si="20"/>
        <v>45779.70352</v>
      </c>
      <c r="K1974" s="49" t="s">
        <v>197</v>
      </c>
      <c r="L1974" s="49" t="s">
        <v>23</v>
      </c>
      <c r="M1974" s="36">
        <f t="shared" si="26"/>
        <v>45783.65282</v>
      </c>
      <c r="N1974" s="30" t="str">
        <f t="shared" si="27"/>
        <v>Selesai</v>
      </c>
      <c r="O1974" s="45">
        <f t="shared" si="23"/>
        <v>45783.65282</v>
      </c>
      <c r="P1974" s="47" t="b">
        <v>1</v>
      </c>
      <c r="Q1974" s="36">
        <f t="shared" si="24"/>
        <v>45783.65282</v>
      </c>
      <c r="R1974" s="47" t="b">
        <v>0</v>
      </c>
      <c r="S1974" s="42" t="str">
        <f t="shared" si="28"/>
        <v/>
      </c>
      <c r="T1974" s="42"/>
    </row>
    <row r="1975" ht="22.5" customHeight="1">
      <c r="B1975" s="42">
        <f t="shared" si="7"/>
        <v>1969</v>
      </c>
      <c r="C1975" s="31" t="s">
        <v>2091</v>
      </c>
      <c r="D1975" s="34" t="str">
        <f t="array" ref="D1975">IFNA(_xlfn.XLOOKUP(C1975,Table_Tarikan_Warkah[Nomor Sertipikat],Table_Tarikan_Warkah[Nomor Tiket]),"")</f>
        <v>K/14/180325/1</v>
      </c>
      <c r="E1975" s="36">
        <f t="array" ref="E1975">IFNA(_xlfn.XLOOKUP(D1975,Table_Tarikan_Warkah[Nomor Tiket],Table_Tarikan_Warkah[Tanggal diserahkan kepada Validator]),"")</f>
        <v>45796.48559</v>
      </c>
      <c r="F1975" s="36" t="str">
        <f t="array" ref="F1975">IFNA(_xlfn.XLOOKUP(D1975,Table_Tarikan_Warkah[Nomor Tiket],Table_Tarikan_Warkah[Nama Petugas Warkah]),"")</f>
        <v>Berry</v>
      </c>
      <c r="G1975" s="39" t="str">
        <f t="array" ref="G1975">IFNA(_xlfn.XLOOKUP(D1975,Table_Tarikan_Warkah[Nomor Tiket],Table_Tarikan_Warkah[Jenis Permohonan]),"")</f>
        <v>ROYA</v>
      </c>
      <c r="H1975" s="41" t="s">
        <v>11</v>
      </c>
      <c r="I1975" s="49" t="s">
        <v>23</v>
      </c>
      <c r="J1975" s="36">
        <f t="shared" si="20"/>
        <v>45779.70352</v>
      </c>
      <c r="K1975" s="49" t="s">
        <v>197</v>
      </c>
      <c r="L1975" s="49" t="s">
        <v>23</v>
      </c>
      <c r="M1975" s="36">
        <f t="shared" si="26"/>
        <v>45783.65282</v>
      </c>
      <c r="N1975" s="30" t="str">
        <f t="shared" si="27"/>
        <v>Selesai</v>
      </c>
      <c r="O1975" s="45">
        <f t="shared" si="23"/>
        <v>45783.65282</v>
      </c>
      <c r="P1975" s="47" t="b">
        <v>1</v>
      </c>
      <c r="Q1975" s="36">
        <f t="shared" si="24"/>
        <v>45783.65282</v>
      </c>
      <c r="R1975" s="47" t="b">
        <v>0</v>
      </c>
      <c r="S1975" s="42" t="str">
        <f t="shared" si="28"/>
        <v/>
      </c>
      <c r="T1975" s="42"/>
    </row>
    <row r="1976" ht="22.5" customHeight="1">
      <c r="B1976" s="42">
        <f t="shared" si="7"/>
        <v>1970</v>
      </c>
      <c r="C1976" s="31" t="s">
        <v>2092</v>
      </c>
      <c r="D1976" s="34" t="str">
        <f t="array" ref="D1976">IFNA(_xlfn.XLOOKUP(C1976,Table_Tarikan_Warkah[Nomor Sertipikat],Table_Tarikan_Warkah[Nomor Tiket]),"")</f>
        <v>K/32/250425/1</v>
      </c>
      <c r="E1976" s="36">
        <f t="array" ref="E1976">IFNA(_xlfn.XLOOKUP(D1976,Table_Tarikan_Warkah[Nomor Tiket],Table_Tarikan_Warkah[Tanggal diserahkan kepada Validator]),"")</f>
        <v>45799.52671</v>
      </c>
      <c r="F1976" s="36" t="str">
        <f t="array" ref="F1976">IFNA(_xlfn.XLOOKUP(D1976,Table_Tarikan_Warkah[Nomor Tiket],Table_Tarikan_Warkah[Nama Petugas Warkah]),"")</f>
        <v>Berry</v>
      </c>
      <c r="G1976" s="39" t="str">
        <f t="array" ref="G1976">IFNA(_xlfn.XLOOKUP(D1976,Table_Tarikan_Warkah[Nomor Tiket],Table_Tarikan_Warkah[Jenis Permohonan]),"")</f>
        <v>Roya</v>
      </c>
      <c r="H1976" s="41" t="s">
        <v>11</v>
      </c>
      <c r="I1976" s="49" t="s">
        <v>23</v>
      </c>
      <c r="J1976" s="36">
        <f t="shared" si="20"/>
        <v>45779.70354</v>
      </c>
      <c r="K1976" s="49" t="s">
        <v>197</v>
      </c>
      <c r="L1976" s="49" t="s">
        <v>23</v>
      </c>
      <c r="M1976" s="36">
        <f t="shared" si="26"/>
        <v>45783.65282</v>
      </c>
      <c r="N1976" s="30" t="str">
        <f t="shared" si="27"/>
        <v>Selesai</v>
      </c>
      <c r="O1976" s="45">
        <f t="shared" si="23"/>
        <v>45783.65282</v>
      </c>
      <c r="P1976" s="47" t="b">
        <v>1</v>
      </c>
      <c r="Q1976" s="36">
        <f t="shared" si="24"/>
        <v>45783.65282</v>
      </c>
      <c r="R1976" s="47" t="b">
        <v>0</v>
      </c>
      <c r="S1976" s="42" t="str">
        <f t="shared" si="28"/>
        <v/>
      </c>
      <c r="T1976" s="42"/>
    </row>
    <row r="1977" ht="22.5" customHeight="1">
      <c r="B1977" s="42">
        <f t="shared" si="7"/>
        <v>1971</v>
      </c>
      <c r="C1977" s="31" t="s">
        <v>2093</v>
      </c>
      <c r="D1977" s="34" t="str">
        <f t="array" ref="D1977">IFNA(_xlfn.XLOOKUP(C1977,Table_Tarikan_Warkah[Nomor Sertipikat],Table_Tarikan_Warkah[Nomor Tiket]),"")</f>
        <v>K/43/120325/1</v>
      </c>
      <c r="E1977" s="36" t="str">
        <f t="array" ref="E1977">IFNA(_xlfn.XLOOKUP(D1977,Table_Tarikan_Warkah[Nomor Tiket],Table_Tarikan_Warkah[Tanggal diserahkan kepada Validator]),"")</f>
        <v/>
      </c>
      <c r="F1977" s="36" t="str">
        <f t="array" ref="F1977">IFNA(_xlfn.XLOOKUP(D1977,Table_Tarikan_Warkah[Nomor Tiket],Table_Tarikan_Warkah[Nama Petugas Warkah]),"")</f>
        <v/>
      </c>
      <c r="G1977" s="39" t="str">
        <f t="array" ref="G1977">IFNA(_xlfn.XLOOKUP(D1977,Table_Tarikan_Warkah[Nomor Tiket],Table_Tarikan_Warkah[Jenis Permohonan]),"")</f>
        <v>Fahrul R/ Masayu Cs</v>
      </c>
      <c r="H1977" s="41" t="s">
        <v>11</v>
      </c>
      <c r="I1977" s="49" t="s">
        <v>23</v>
      </c>
      <c r="J1977" s="36">
        <f t="shared" si="20"/>
        <v>45779.70354</v>
      </c>
      <c r="K1977" s="49" t="s">
        <v>197</v>
      </c>
      <c r="L1977" s="49" t="s">
        <v>23</v>
      </c>
      <c r="M1977" s="36">
        <f t="shared" si="26"/>
        <v>45783.65282</v>
      </c>
      <c r="N1977" s="30" t="str">
        <f t="shared" si="27"/>
        <v>Selesai</v>
      </c>
      <c r="O1977" s="45">
        <f t="shared" si="23"/>
        <v>45783.65282</v>
      </c>
      <c r="P1977" s="47" t="b">
        <v>1</v>
      </c>
      <c r="Q1977" s="36">
        <f t="shared" si="24"/>
        <v>45783.65282</v>
      </c>
      <c r="R1977" s="47" t="b">
        <v>0</v>
      </c>
      <c r="S1977" s="42" t="str">
        <f t="shared" si="28"/>
        <v/>
      </c>
      <c r="T1977" s="42"/>
    </row>
    <row r="1978" ht="22.5" customHeight="1">
      <c r="B1978" s="42">
        <f t="shared" si="7"/>
        <v>1972</v>
      </c>
      <c r="C1978" s="31" t="s">
        <v>2094</v>
      </c>
      <c r="D1978" s="34" t="str">
        <f t="array" ref="D1978">IFNA(_xlfn.XLOOKUP(C1978,Table_Tarikan_Warkah[Nomor Sertipikat],Table_Tarikan_Warkah[Nomor Tiket]),"")</f>
        <v>K/18/200325/1</v>
      </c>
      <c r="E1978" s="36" t="str">
        <f t="array" ref="E1978">IFNA(_xlfn.XLOOKUP(D1978,Table_Tarikan_Warkah[Nomor Tiket],Table_Tarikan_Warkah[Tanggal diserahkan kepada Validator]),"")</f>
        <v/>
      </c>
      <c r="F1978" s="36" t="str">
        <f t="array" ref="F1978">IFNA(_xlfn.XLOOKUP(D1978,Table_Tarikan_Warkah[Nomor Tiket],Table_Tarikan_Warkah[Nama Petugas Warkah]),"")</f>
        <v/>
      </c>
      <c r="G1978" s="39" t="str">
        <f t="array" ref="G1978">IFNA(_xlfn.XLOOKUP(D1978,Table_Tarikan_Warkah[Nomor Tiket],Table_Tarikan_Warkah[Jenis Permohonan]),"")</f>
        <v>BN Jual Beli</v>
      </c>
      <c r="H1978" s="41" t="s">
        <v>11</v>
      </c>
      <c r="I1978" s="49" t="s">
        <v>23</v>
      </c>
      <c r="J1978" s="36">
        <f t="shared" si="20"/>
        <v>45779.70354</v>
      </c>
      <c r="K1978" s="49" t="s">
        <v>197</v>
      </c>
      <c r="L1978" s="49" t="s">
        <v>23</v>
      </c>
      <c r="M1978" s="36">
        <f t="shared" si="26"/>
        <v>45783.65282</v>
      </c>
      <c r="N1978" s="30" t="str">
        <f t="shared" si="27"/>
        <v>Selesai</v>
      </c>
      <c r="O1978" s="45">
        <f t="shared" si="23"/>
        <v>45783.65282</v>
      </c>
      <c r="P1978" s="47" t="b">
        <v>1</v>
      </c>
      <c r="Q1978" s="36">
        <f t="shared" si="24"/>
        <v>45783.65282</v>
      </c>
      <c r="R1978" s="47" t="b">
        <v>0</v>
      </c>
      <c r="S1978" s="42" t="str">
        <f t="shared" si="28"/>
        <v/>
      </c>
      <c r="T1978" s="42"/>
    </row>
    <row r="1979" ht="22.5" customHeight="1">
      <c r="B1979" s="42">
        <f t="shared" si="7"/>
        <v>1973</v>
      </c>
      <c r="C1979" s="31" t="s">
        <v>2095</v>
      </c>
      <c r="D1979" s="34" t="str">
        <f t="array" ref="D1979">IFNA(_xlfn.XLOOKUP(C1979,Table_Tarikan_Warkah[Nomor Sertipikat],Table_Tarikan_Warkah[Nomor Tiket]),"")</f>
        <v>L/18/250425/1</v>
      </c>
      <c r="E1979" s="36">
        <f t="array" ref="E1979">IFNA(_xlfn.XLOOKUP(D1979,Table_Tarikan_Warkah[Nomor Tiket],Table_Tarikan_Warkah[Tanggal diserahkan kepada Validator]),"")</f>
        <v>45824.62428</v>
      </c>
      <c r="F1979" s="36" t="str">
        <f t="array" ref="F1979">IFNA(_xlfn.XLOOKUP(D1979,Table_Tarikan_Warkah[Nomor Tiket],Table_Tarikan_Warkah[Nama Petugas Warkah]),"")</f>
        <v>David</v>
      </c>
      <c r="G1979" s="39" t="str">
        <f t="array" ref="G1979">IFNA(_xlfn.XLOOKUP(D1979,Table_Tarikan_Warkah[Nomor Tiket],Table_Tarikan_Warkah[Jenis Permohonan]),"")</f>
        <v>ROYA</v>
      </c>
      <c r="H1979" s="41" t="s">
        <v>11</v>
      </c>
      <c r="I1979" s="49" t="s">
        <v>23</v>
      </c>
      <c r="J1979" s="36">
        <f t="shared" si="20"/>
        <v>45779.70354</v>
      </c>
      <c r="K1979" s="49" t="s">
        <v>197</v>
      </c>
      <c r="L1979" s="49" t="s">
        <v>23</v>
      </c>
      <c r="M1979" s="36">
        <f t="shared" si="26"/>
        <v>45783.65282</v>
      </c>
      <c r="N1979" s="30" t="str">
        <f t="shared" si="27"/>
        <v>Selesai</v>
      </c>
      <c r="O1979" s="45">
        <f t="shared" si="23"/>
        <v>45783.65282</v>
      </c>
      <c r="P1979" s="47" t="b">
        <v>1</v>
      </c>
      <c r="Q1979" s="36">
        <f t="shared" si="24"/>
        <v>45783.65282</v>
      </c>
      <c r="R1979" s="47" t="b">
        <v>0</v>
      </c>
      <c r="S1979" s="42" t="str">
        <f t="shared" si="28"/>
        <v/>
      </c>
      <c r="T1979" s="42"/>
    </row>
    <row r="1980" ht="22.5" customHeight="1">
      <c r="B1980" s="42">
        <f t="shared" si="7"/>
        <v>1974</v>
      </c>
      <c r="C1980" s="31" t="s">
        <v>2096</v>
      </c>
      <c r="D1980" s="34" t="str">
        <f t="array" ref="D1980">IFNA(_xlfn.XLOOKUP(C1980,Table_Tarikan_Warkah[Nomor Sertipikat],Table_Tarikan_Warkah[Nomor Tiket]),"")</f>
        <v>L/2/250425/1</v>
      </c>
      <c r="E1980" s="36">
        <f t="array" ref="E1980">IFNA(_xlfn.XLOOKUP(D1980,Table_Tarikan_Warkah[Nomor Tiket],Table_Tarikan_Warkah[Tanggal diserahkan kepada Validator]),"")</f>
        <v>45793.46944</v>
      </c>
      <c r="F1980" s="36" t="str">
        <f t="array" ref="F1980">IFNA(_xlfn.XLOOKUP(D1980,Table_Tarikan_Warkah[Nomor Tiket],Table_Tarikan_Warkah[Nama Petugas Warkah]),"")</f>
        <v>David</v>
      </c>
      <c r="G1980" s="39" t="str">
        <f t="array" ref="G1980">IFNA(_xlfn.XLOOKUP(D1980,Table_Tarikan_Warkah[Nomor Tiket],Table_Tarikan_Warkah[Jenis Permohonan]),"")</f>
        <v>AAN PURWANINGSIH</v>
      </c>
      <c r="H1980" s="41" t="s">
        <v>11</v>
      </c>
      <c r="I1980" s="49" t="s">
        <v>23</v>
      </c>
      <c r="J1980" s="36">
        <f t="shared" si="20"/>
        <v>45779.70354</v>
      </c>
      <c r="K1980" s="49" t="s">
        <v>197</v>
      </c>
      <c r="L1980" s="49" t="s">
        <v>23</v>
      </c>
      <c r="M1980" s="36">
        <f t="shared" si="26"/>
        <v>45783.65282</v>
      </c>
      <c r="N1980" s="30" t="str">
        <f t="shared" si="27"/>
        <v>Selesai</v>
      </c>
      <c r="O1980" s="45">
        <f t="shared" si="23"/>
        <v>45783.65282</v>
      </c>
      <c r="P1980" s="47" t="b">
        <v>1</v>
      </c>
      <c r="Q1980" s="36">
        <f t="shared" si="24"/>
        <v>45783.65282</v>
      </c>
      <c r="R1980" s="47" t="b">
        <v>0</v>
      </c>
      <c r="S1980" s="42" t="str">
        <f t="shared" si="28"/>
        <v/>
      </c>
      <c r="T1980" s="42"/>
    </row>
    <row r="1981" ht="22.5" customHeight="1">
      <c r="B1981" s="42">
        <f t="shared" si="7"/>
        <v>1975</v>
      </c>
      <c r="C1981" s="31" t="s">
        <v>2097</v>
      </c>
      <c r="D1981" s="34" t="str">
        <f t="array" ref="D1981">IFNA(_xlfn.XLOOKUP(C1981,Table_Tarikan_Warkah[Nomor Sertipikat],Table_Tarikan_Warkah[Nomor Tiket]),"")</f>
        <v>L/5/140425/1</v>
      </c>
      <c r="E1981" s="36">
        <f t="array" ref="E1981">IFNA(_xlfn.XLOOKUP(D1981,Table_Tarikan_Warkah[Nomor Tiket],Table_Tarikan_Warkah[Tanggal diserahkan kepada Validator]),"")</f>
        <v>45839.43182</v>
      </c>
      <c r="F1981" s="36" t="str">
        <f t="array" ref="F1981">IFNA(_xlfn.XLOOKUP(D1981,Table_Tarikan_Warkah[Nomor Tiket],Table_Tarikan_Warkah[Nama Petugas Warkah]),"")</f>
        <v>David</v>
      </c>
      <c r="G1981" s="39" t="str">
        <f t="array" ref="G1981">IFNA(_xlfn.XLOOKUP(D1981,Table_Tarikan_Warkah[Nomor Tiket],Table_Tarikan_Warkah[Jenis Permohonan]),"")</f>
        <v>ROYA</v>
      </c>
      <c r="H1981" s="41" t="s">
        <v>11</v>
      </c>
      <c r="I1981" s="49" t="s">
        <v>23</v>
      </c>
      <c r="J1981" s="36">
        <f t="shared" si="20"/>
        <v>45779.70354</v>
      </c>
      <c r="K1981" s="49" t="s">
        <v>197</v>
      </c>
      <c r="L1981" s="49" t="s">
        <v>23</v>
      </c>
      <c r="M1981" s="36">
        <f t="shared" si="26"/>
        <v>45783.65282</v>
      </c>
      <c r="N1981" s="30" t="str">
        <f t="shared" si="27"/>
        <v>Selesai</v>
      </c>
      <c r="O1981" s="45">
        <f t="shared" si="23"/>
        <v>45783.65282</v>
      </c>
      <c r="P1981" s="47" t="b">
        <v>1</v>
      </c>
      <c r="Q1981" s="36">
        <f t="shared" si="24"/>
        <v>45783.65282</v>
      </c>
      <c r="R1981" s="47" t="b">
        <v>0</v>
      </c>
      <c r="S1981" s="42" t="str">
        <f t="shared" si="28"/>
        <v/>
      </c>
      <c r="T1981" s="42"/>
    </row>
    <row r="1982" ht="22.5" customHeight="1">
      <c r="B1982" s="42">
        <f t="shared" si="7"/>
        <v>1976</v>
      </c>
      <c r="C1982" s="31" t="s">
        <v>2098</v>
      </c>
      <c r="D1982" s="34" t="str">
        <f t="array" ref="D1982">IFNA(_xlfn.XLOOKUP(C1982,Table_Tarikan_Warkah[Nomor Sertipikat],Table_Tarikan_Warkah[Nomor Tiket]),"")</f>
        <v>K/5/220425/1</v>
      </c>
      <c r="E1982" s="36" t="str">
        <f t="array" ref="E1982">IFNA(_xlfn.XLOOKUP(D1982,Table_Tarikan_Warkah[Nomor Tiket],Table_Tarikan_Warkah[Tanggal diserahkan kepada Validator]),"")</f>
        <v/>
      </c>
      <c r="F1982" s="36" t="str">
        <f t="array" ref="F1982">IFNA(_xlfn.XLOOKUP(D1982,Table_Tarikan_Warkah[Nomor Tiket],Table_Tarikan_Warkah[Nama Petugas Warkah]),"")</f>
        <v/>
      </c>
      <c r="G1982" s="39" t="str">
        <f t="array" ref="G1982">IFNA(_xlfn.XLOOKUP(D1982,Table_Tarikan_Warkah[Nomor Tiket],Table_Tarikan_Warkah[Jenis Permohonan]),"")</f>
        <v>JUAL BELI</v>
      </c>
      <c r="H1982" s="41" t="s">
        <v>11</v>
      </c>
      <c r="I1982" s="49" t="s">
        <v>23</v>
      </c>
      <c r="J1982" s="36">
        <f t="shared" si="20"/>
        <v>45779.70354</v>
      </c>
      <c r="K1982" s="49" t="s">
        <v>197</v>
      </c>
      <c r="L1982" s="49" t="s">
        <v>23</v>
      </c>
      <c r="M1982" s="36">
        <f t="shared" si="26"/>
        <v>45783.65282</v>
      </c>
      <c r="N1982" s="30" t="str">
        <f t="shared" si="27"/>
        <v>Selesai</v>
      </c>
      <c r="O1982" s="45">
        <f t="shared" si="23"/>
        <v>45783.65282</v>
      </c>
      <c r="P1982" s="47" t="b">
        <v>1</v>
      </c>
      <c r="Q1982" s="36">
        <f t="shared" si="24"/>
        <v>45783.65282</v>
      </c>
      <c r="R1982" s="47" t="b">
        <v>0</v>
      </c>
      <c r="S1982" s="42" t="str">
        <f t="shared" si="28"/>
        <v/>
      </c>
      <c r="T1982" s="42"/>
    </row>
    <row r="1983" ht="22.5" customHeight="1">
      <c r="B1983" s="42">
        <f t="shared" si="7"/>
        <v>1977</v>
      </c>
      <c r="C1983" s="31" t="s">
        <v>2099</v>
      </c>
      <c r="D1983" s="34" t="str">
        <f t="array" ref="D1983">IFNA(_xlfn.XLOOKUP(C1983,Table_Tarikan_Warkah[Nomor Sertipikat],Table_Tarikan_Warkah[Nomor Tiket]),"")</f>
        <v>K/31/230425/1</v>
      </c>
      <c r="E1983" s="36" t="str">
        <f t="array" ref="E1983">IFNA(_xlfn.XLOOKUP(D1983,Table_Tarikan_Warkah[Nomor Tiket],Table_Tarikan_Warkah[Tanggal diserahkan kepada Validator]),"")</f>
        <v/>
      </c>
      <c r="F1983" s="36" t="str">
        <f t="array" ref="F1983">IFNA(_xlfn.XLOOKUP(D1983,Table_Tarikan_Warkah[Nomor Tiket],Table_Tarikan_Warkah[Nama Petugas Warkah]),"")</f>
        <v/>
      </c>
      <c r="G1983" s="39" t="str">
        <f t="array" ref="G1983">IFNA(_xlfn.XLOOKUP(D1983,Table_Tarikan_Warkah[Nomor Tiket],Table_Tarikan_Warkah[Jenis Permohonan]),"")</f>
        <v>JUAL BELI</v>
      </c>
      <c r="H1983" s="41" t="s">
        <v>11</v>
      </c>
      <c r="I1983" s="49" t="s">
        <v>23</v>
      </c>
      <c r="J1983" s="36">
        <f t="shared" si="20"/>
        <v>45779.70357</v>
      </c>
      <c r="K1983" s="49" t="s">
        <v>197</v>
      </c>
      <c r="L1983" s="49" t="s">
        <v>23</v>
      </c>
      <c r="M1983" s="36">
        <f t="shared" si="26"/>
        <v>45783.65282</v>
      </c>
      <c r="N1983" s="30" t="str">
        <f t="shared" si="27"/>
        <v>Selesai</v>
      </c>
      <c r="O1983" s="45">
        <f t="shared" si="23"/>
        <v>45783.65282</v>
      </c>
      <c r="P1983" s="47" t="b">
        <v>1</v>
      </c>
      <c r="Q1983" s="36">
        <f t="shared" si="24"/>
        <v>45783.65282</v>
      </c>
      <c r="R1983" s="47" t="b">
        <v>0</v>
      </c>
      <c r="S1983" s="42" t="str">
        <f t="shared" si="28"/>
        <v/>
      </c>
      <c r="T1983" s="42"/>
    </row>
    <row r="1984" ht="22.5" customHeight="1">
      <c r="B1984" s="42">
        <f t="shared" si="7"/>
        <v>1978</v>
      </c>
      <c r="C1984" s="31" t="s">
        <v>2100</v>
      </c>
      <c r="D1984" s="34" t="str">
        <f t="array" ref="D1984">IFNA(_xlfn.XLOOKUP(C1984,Table_Tarikan_Warkah[Nomor Sertipikat],Table_Tarikan_Warkah[Nomor Tiket]),"")</f>
        <v>K/9/230425/3</v>
      </c>
      <c r="E1984" s="36" t="str">
        <f t="array" ref="E1984">IFNA(_xlfn.XLOOKUP(D1984,Table_Tarikan_Warkah[Nomor Tiket],Table_Tarikan_Warkah[Tanggal diserahkan kepada Validator]),"")</f>
        <v/>
      </c>
      <c r="F1984" s="36" t="str">
        <f t="array" ref="F1984">IFNA(_xlfn.XLOOKUP(D1984,Table_Tarikan_Warkah[Nomor Tiket],Table_Tarikan_Warkah[Nama Petugas Warkah]),"")</f>
        <v/>
      </c>
      <c r="G1984" s="39" t="str">
        <f t="array" ref="G1984">IFNA(_xlfn.XLOOKUP(D1984,Table_Tarikan_Warkah[Nomor Tiket],Table_Tarikan_Warkah[Jenis Permohonan]),"")</f>
        <v>HIBAH</v>
      </c>
      <c r="H1984" s="41" t="s">
        <v>11</v>
      </c>
      <c r="I1984" s="49" t="s">
        <v>23</v>
      </c>
      <c r="J1984" s="36">
        <f t="shared" si="20"/>
        <v>45779.70357</v>
      </c>
      <c r="K1984" s="49" t="s">
        <v>197</v>
      </c>
      <c r="L1984" s="49" t="s">
        <v>23</v>
      </c>
      <c r="M1984" s="36">
        <f t="shared" si="26"/>
        <v>45783.65282</v>
      </c>
      <c r="N1984" s="30" t="str">
        <f t="shared" si="27"/>
        <v>Selesai</v>
      </c>
      <c r="O1984" s="45">
        <f t="shared" si="23"/>
        <v>45783.65282</v>
      </c>
      <c r="P1984" s="47" t="b">
        <v>1</v>
      </c>
      <c r="Q1984" s="36">
        <f t="shared" si="24"/>
        <v>45783.65282</v>
      </c>
      <c r="R1984" s="47" t="b">
        <v>0</v>
      </c>
      <c r="S1984" s="42" t="str">
        <f t="shared" si="28"/>
        <v/>
      </c>
      <c r="T1984" s="42"/>
    </row>
    <row r="1985" ht="22.5" customHeight="1">
      <c r="B1985" s="42">
        <f t="shared" si="7"/>
        <v>1979</v>
      </c>
      <c r="C1985" s="31" t="s">
        <v>2101</v>
      </c>
      <c r="D1985" s="34" t="str">
        <f t="array" ref="D1985">IFNA(_xlfn.XLOOKUP(C1985,Table_Tarikan_Warkah[Nomor Sertipikat],Table_Tarikan_Warkah[Nomor Tiket]),"")</f>
        <v>K/10/230425/4</v>
      </c>
      <c r="E1985" s="36" t="str">
        <f t="array" ref="E1985">IFNA(_xlfn.XLOOKUP(D1985,Table_Tarikan_Warkah[Nomor Tiket],Table_Tarikan_Warkah[Tanggal diserahkan kepada Validator]),"")</f>
        <v/>
      </c>
      <c r="F1985" s="36" t="str">
        <f t="array" ref="F1985">IFNA(_xlfn.XLOOKUP(D1985,Table_Tarikan_Warkah[Nomor Tiket],Table_Tarikan_Warkah[Nama Petugas Warkah]),"")</f>
        <v/>
      </c>
      <c r="G1985" s="39" t="str">
        <f t="array" ref="G1985">IFNA(_xlfn.XLOOKUP(D1985,Table_Tarikan_Warkah[Nomor Tiket],Table_Tarikan_Warkah[Jenis Permohonan]),"")</f>
        <v>JUAL BELI</v>
      </c>
      <c r="H1985" s="41" t="s">
        <v>11</v>
      </c>
      <c r="I1985" s="49" t="s">
        <v>23</v>
      </c>
      <c r="J1985" s="36">
        <f t="shared" si="20"/>
        <v>45779.70357</v>
      </c>
      <c r="K1985" s="49" t="s">
        <v>197</v>
      </c>
      <c r="L1985" s="49" t="s">
        <v>23</v>
      </c>
      <c r="M1985" s="36">
        <f t="shared" si="26"/>
        <v>45783.65282</v>
      </c>
      <c r="N1985" s="30" t="str">
        <f t="shared" si="27"/>
        <v>Selesai</v>
      </c>
      <c r="O1985" s="45">
        <f t="shared" si="23"/>
        <v>45783.65282</v>
      </c>
      <c r="P1985" s="47" t="b">
        <v>1</v>
      </c>
      <c r="Q1985" s="36">
        <f t="shared" si="24"/>
        <v>45783.65282</v>
      </c>
      <c r="R1985" s="47" t="b">
        <v>0</v>
      </c>
      <c r="S1985" s="42" t="str">
        <f t="shared" si="28"/>
        <v/>
      </c>
      <c r="T1985" s="42"/>
    </row>
    <row r="1986" ht="22.5" customHeight="1">
      <c r="B1986" s="42">
        <f t="shared" si="7"/>
        <v>1980</v>
      </c>
      <c r="C1986" s="31" t="s">
        <v>2102</v>
      </c>
      <c r="D1986" s="34" t="str">
        <f t="array" ref="D1986">IFNA(_xlfn.XLOOKUP(C1986,Table_Tarikan_Warkah[Nomor Sertipikat],Table_Tarikan_Warkah[Nomor Tiket]),"")</f>
        <v>L/6/210425/1</v>
      </c>
      <c r="E1986" s="36">
        <f t="array" ref="E1986">IFNA(_xlfn.XLOOKUP(D1986,Table_Tarikan_Warkah[Nomor Tiket],Table_Tarikan_Warkah[Tanggal diserahkan kepada Validator]),"")</f>
        <v>45793.46848</v>
      </c>
      <c r="F1986" s="36" t="str">
        <f t="array" ref="F1986">IFNA(_xlfn.XLOOKUP(D1986,Table_Tarikan_Warkah[Nomor Tiket],Table_Tarikan_Warkah[Nama Petugas Warkah]),"")</f>
        <v>David</v>
      </c>
      <c r="G1986" s="39" t="str">
        <f t="array" ref="G1986">IFNA(_xlfn.XLOOKUP(D1986,Table_Tarikan_Warkah[Nomor Tiket],Table_Tarikan_Warkah[Jenis Permohonan]),"")</f>
        <v>ROYA</v>
      </c>
      <c r="H1986" s="41" t="s">
        <v>11</v>
      </c>
      <c r="I1986" s="49" t="s">
        <v>23</v>
      </c>
      <c r="J1986" s="36">
        <f t="shared" si="20"/>
        <v>45779.70357</v>
      </c>
      <c r="K1986" s="49" t="s">
        <v>197</v>
      </c>
      <c r="L1986" s="49" t="s">
        <v>23</v>
      </c>
      <c r="M1986" s="36">
        <f t="shared" si="26"/>
        <v>45783.65282</v>
      </c>
      <c r="N1986" s="30" t="str">
        <f t="shared" si="27"/>
        <v>Selesai</v>
      </c>
      <c r="O1986" s="45">
        <f t="shared" si="23"/>
        <v>45783.65282</v>
      </c>
      <c r="P1986" s="47" t="b">
        <v>1</v>
      </c>
      <c r="Q1986" s="36">
        <f t="shared" si="24"/>
        <v>45783.65282</v>
      </c>
      <c r="R1986" s="47" t="b">
        <v>0</v>
      </c>
      <c r="S1986" s="42" t="str">
        <f t="shared" si="28"/>
        <v/>
      </c>
      <c r="T1986" s="42"/>
    </row>
    <row r="1987" ht="22.5" customHeight="1">
      <c r="B1987" s="42">
        <f t="shared" si="7"/>
        <v>1981</v>
      </c>
      <c r="C1987" s="31" t="s">
        <v>1983</v>
      </c>
      <c r="D1987" s="34" t="str">
        <f t="array" ref="D1987">IFNA(_xlfn.XLOOKUP(C1987,Table_Tarikan_Warkah[Nomor Sertipikat],Table_Tarikan_Warkah[Nomor Tiket]),"")</f>
        <v>L/49/240325/3</v>
      </c>
      <c r="E1987" s="36" t="str">
        <f t="array" ref="E1987">IFNA(_xlfn.XLOOKUP(D1987,Table_Tarikan_Warkah[Nomor Tiket],Table_Tarikan_Warkah[Tanggal diserahkan kepada Validator]),"")</f>
        <v/>
      </c>
      <c r="F1987" s="36" t="str">
        <f t="array" ref="F1987">IFNA(_xlfn.XLOOKUP(D1987,Table_Tarikan_Warkah[Nomor Tiket],Table_Tarikan_Warkah[Nama Petugas Warkah]),"")</f>
        <v/>
      </c>
      <c r="G1987" s="39" t="str">
        <f t="array" ref="G1987">IFNA(_xlfn.XLOOKUP(D1987,Table_Tarikan_Warkah[Nomor Tiket],Table_Tarikan_Warkah[Jenis Permohonan]),"")</f>
        <v>GANTI BLANGKO</v>
      </c>
      <c r="H1987" s="41" t="s">
        <v>11</v>
      </c>
      <c r="I1987" s="49" t="s">
        <v>23</v>
      </c>
      <c r="J1987" s="36">
        <f t="shared" si="20"/>
        <v>45779.70357</v>
      </c>
      <c r="K1987" s="49" t="s">
        <v>197</v>
      </c>
      <c r="L1987" s="49" t="s">
        <v>23</v>
      </c>
      <c r="M1987" s="36">
        <f t="shared" si="26"/>
        <v>45783.65282</v>
      </c>
      <c r="N1987" s="30" t="str">
        <f t="shared" si="27"/>
        <v>Selesai</v>
      </c>
      <c r="O1987" s="45">
        <f t="shared" si="23"/>
        <v>45783.65282</v>
      </c>
      <c r="P1987" s="47" t="b">
        <v>1</v>
      </c>
      <c r="Q1987" s="36">
        <f t="shared" si="24"/>
        <v>45783.65282</v>
      </c>
      <c r="R1987" s="47" t="b">
        <v>0</v>
      </c>
      <c r="S1987" s="42" t="str">
        <f t="shared" si="28"/>
        <v/>
      </c>
      <c r="T1987" s="42"/>
    </row>
    <row r="1988" ht="22.5" customHeight="1">
      <c r="B1988" s="42">
        <f t="shared" si="7"/>
        <v>1982</v>
      </c>
      <c r="C1988" s="31" t="s">
        <v>2023</v>
      </c>
      <c r="D1988" s="34" t="str">
        <f t="array" ref="D1988">IFNA(_xlfn.XLOOKUP(C1988,Table_Tarikan_Warkah[Nomor Sertipikat],Table_Tarikan_Warkah[Nomor Tiket]),"")</f>
        <v>L/50/240325/4</v>
      </c>
      <c r="E1988" s="36" t="str">
        <f t="array" ref="E1988">IFNA(_xlfn.XLOOKUP(D1988,Table_Tarikan_Warkah[Nomor Tiket],Table_Tarikan_Warkah[Tanggal diserahkan kepada Validator]),"")</f>
        <v/>
      </c>
      <c r="F1988" s="36" t="str">
        <f t="array" ref="F1988">IFNA(_xlfn.XLOOKUP(D1988,Table_Tarikan_Warkah[Nomor Tiket],Table_Tarikan_Warkah[Nama Petugas Warkah]),"")</f>
        <v/>
      </c>
      <c r="G1988" s="39" t="str">
        <f t="array" ref="G1988">IFNA(_xlfn.XLOOKUP(D1988,Table_Tarikan_Warkah[Nomor Tiket],Table_Tarikan_Warkah[Jenis Permohonan]),"")</f>
        <v>GANTI BLANGKO</v>
      </c>
      <c r="H1988" s="41" t="s">
        <v>11</v>
      </c>
      <c r="I1988" s="49" t="s">
        <v>23</v>
      </c>
      <c r="J1988" s="36">
        <f t="shared" si="20"/>
        <v>45779.70357</v>
      </c>
      <c r="K1988" s="49" t="s">
        <v>197</v>
      </c>
      <c r="L1988" s="49" t="s">
        <v>23</v>
      </c>
      <c r="M1988" s="36">
        <f t="shared" si="26"/>
        <v>45783.65282</v>
      </c>
      <c r="N1988" s="30" t="str">
        <f t="shared" si="27"/>
        <v>Selesai</v>
      </c>
      <c r="O1988" s="45">
        <f t="shared" si="23"/>
        <v>45783.65282</v>
      </c>
      <c r="P1988" s="47" t="b">
        <v>1</v>
      </c>
      <c r="Q1988" s="36">
        <f t="shared" si="24"/>
        <v>45783.65282</v>
      </c>
      <c r="R1988" s="47" t="b">
        <v>0</v>
      </c>
      <c r="S1988" s="42" t="str">
        <f t="shared" si="28"/>
        <v/>
      </c>
      <c r="T1988" s="42"/>
    </row>
    <row r="1989" ht="22.5" customHeight="1">
      <c r="B1989" s="42">
        <f t="shared" si="7"/>
        <v>1983</v>
      </c>
      <c r="C1989" s="31" t="s">
        <v>2103</v>
      </c>
      <c r="D1989" s="34" t="str">
        <f t="array" ref="D1989">IFNA(_xlfn.XLOOKUP(C1989,Table_Tarikan_Warkah[Nomor Sertipikat],Table_Tarikan_Warkah[Nomor Tiket]),"")</f>
        <v>K/34/220425/1</v>
      </c>
      <c r="E1989" s="36" t="str">
        <f t="array" ref="E1989">IFNA(_xlfn.XLOOKUP(D1989,Table_Tarikan_Warkah[Nomor Tiket],Table_Tarikan_Warkah[Tanggal diserahkan kepada Validator]),"")</f>
        <v/>
      </c>
      <c r="F1989" s="36" t="str">
        <f t="array" ref="F1989">IFNA(_xlfn.XLOOKUP(D1989,Table_Tarikan_Warkah[Nomor Tiket],Table_Tarikan_Warkah[Nama Petugas Warkah]),"")</f>
        <v/>
      </c>
      <c r="G1989" s="39" t="str">
        <f t="array" ref="G1989">IFNA(_xlfn.XLOOKUP(D1989,Table_Tarikan_Warkah[Nomor Tiket],Table_Tarikan_Warkah[Jenis Permohonan]),"")</f>
        <v>BN Jual Beli</v>
      </c>
      <c r="H1989" s="41" t="s">
        <v>11</v>
      </c>
      <c r="I1989" s="49" t="s">
        <v>23</v>
      </c>
      <c r="J1989" s="36">
        <f t="shared" si="20"/>
        <v>45779.70357</v>
      </c>
      <c r="K1989" s="49" t="s">
        <v>197</v>
      </c>
      <c r="L1989" s="49" t="s">
        <v>23</v>
      </c>
      <c r="M1989" s="36">
        <f t="shared" si="26"/>
        <v>45783.65282</v>
      </c>
      <c r="N1989" s="30" t="str">
        <f t="shared" si="27"/>
        <v>Selesai</v>
      </c>
      <c r="O1989" s="45">
        <f t="shared" si="23"/>
        <v>45783.65282</v>
      </c>
      <c r="P1989" s="47" t="b">
        <v>1</v>
      </c>
      <c r="Q1989" s="36">
        <f t="shared" si="24"/>
        <v>45783.65282</v>
      </c>
      <c r="R1989" s="47" t="b">
        <v>0</v>
      </c>
      <c r="S1989" s="42" t="str">
        <f t="shared" si="28"/>
        <v/>
      </c>
      <c r="T1989" s="42"/>
    </row>
    <row r="1990" ht="22.5" customHeight="1">
      <c r="B1990" s="42">
        <f t="shared" si="7"/>
        <v>1984</v>
      </c>
      <c r="C1990" s="31" t="s">
        <v>2104</v>
      </c>
      <c r="D1990" s="34" t="str">
        <f t="array" ref="D1990">IFNA(_xlfn.XLOOKUP(C1990,Table_Tarikan_Warkah[Nomor Sertipikat],Table_Tarikan_Warkah[Nomor Tiket]),"")</f>
        <v>K/41/220425/1</v>
      </c>
      <c r="E1990" s="36" t="str">
        <f t="array" ref="E1990">IFNA(_xlfn.XLOOKUP(D1990,Table_Tarikan_Warkah[Nomor Tiket],Table_Tarikan_Warkah[Tanggal diserahkan kepada Validator]),"")</f>
        <v/>
      </c>
      <c r="F1990" s="36" t="str">
        <f t="array" ref="F1990">IFNA(_xlfn.XLOOKUP(D1990,Table_Tarikan_Warkah[Nomor Tiket],Table_Tarikan_Warkah[Nama Petugas Warkah]),"")</f>
        <v/>
      </c>
      <c r="G1990" s="39" t="str">
        <f t="array" ref="G1990">IFNA(_xlfn.XLOOKUP(D1990,Table_Tarikan_Warkah[Nomor Tiket],Table_Tarikan_Warkah[Jenis Permohonan]),"")</f>
        <v>BN Jual Beli</v>
      </c>
      <c r="H1990" s="41" t="s">
        <v>11</v>
      </c>
      <c r="I1990" s="49" t="s">
        <v>23</v>
      </c>
      <c r="J1990" s="36">
        <f t="shared" si="20"/>
        <v>45779.70357</v>
      </c>
      <c r="K1990" s="49" t="s">
        <v>197</v>
      </c>
      <c r="L1990" s="49" t="s">
        <v>23</v>
      </c>
      <c r="M1990" s="36">
        <f t="shared" si="26"/>
        <v>45783.65282</v>
      </c>
      <c r="N1990" s="30" t="str">
        <f t="shared" si="27"/>
        <v>Selesai</v>
      </c>
      <c r="O1990" s="45">
        <f t="shared" si="23"/>
        <v>45783.65282</v>
      </c>
      <c r="P1990" s="47" t="b">
        <v>1</v>
      </c>
      <c r="Q1990" s="36">
        <f t="shared" si="24"/>
        <v>45783.65282</v>
      </c>
      <c r="R1990" s="47" t="b">
        <v>0</v>
      </c>
      <c r="S1990" s="42" t="str">
        <f t="shared" si="28"/>
        <v/>
      </c>
      <c r="T1990" s="42"/>
    </row>
    <row r="1991" ht="22.5" customHeight="1">
      <c r="B1991" s="42">
        <f t="shared" si="7"/>
        <v>1985</v>
      </c>
      <c r="C1991" s="31" t="s">
        <v>2105</v>
      </c>
      <c r="D1991" s="34" t="str">
        <f t="array" ref="D1991">IFNA(_xlfn.XLOOKUP(C1991,Table_Tarikan_Warkah[Nomor Sertipikat],Table_Tarikan_Warkah[Nomor Tiket]),"")</f>
        <v>K/2/100425/1</v>
      </c>
      <c r="E1991" s="36" t="str">
        <f t="array" ref="E1991">IFNA(_xlfn.XLOOKUP(D1991,Table_Tarikan_Warkah[Nomor Tiket],Table_Tarikan_Warkah[Tanggal diserahkan kepada Validator]),"")</f>
        <v/>
      </c>
      <c r="F1991" s="36" t="str">
        <f t="array" ref="F1991">IFNA(_xlfn.XLOOKUP(D1991,Table_Tarikan_Warkah[Nomor Tiket],Table_Tarikan_Warkah[Nama Petugas Warkah]),"")</f>
        <v/>
      </c>
      <c r="G1991" s="39" t="str">
        <f t="array" ref="G1991">IFNA(_xlfn.XLOOKUP(D1991,Table_Tarikan_Warkah[Nomor Tiket],Table_Tarikan_Warkah[Jenis Permohonan]),"")</f>
        <v>BN Jual Beli</v>
      </c>
      <c r="H1991" s="41" t="s">
        <v>11</v>
      </c>
      <c r="I1991" s="49" t="s">
        <v>23</v>
      </c>
      <c r="J1991" s="36">
        <f t="shared" si="20"/>
        <v>45779.70357</v>
      </c>
      <c r="K1991" s="49" t="s">
        <v>197</v>
      </c>
      <c r="L1991" s="49" t="s">
        <v>23</v>
      </c>
      <c r="M1991" s="36">
        <f t="shared" si="26"/>
        <v>45783.65282</v>
      </c>
      <c r="N1991" s="30" t="str">
        <f t="shared" si="27"/>
        <v>Selesai</v>
      </c>
      <c r="O1991" s="45">
        <f t="shared" si="23"/>
        <v>45783.65282</v>
      </c>
      <c r="P1991" s="47" t="b">
        <v>1</v>
      </c>
      <c r="Q1991" s="36">
        <f t="shared" si="24"/>
        <v>45783.65282</v>
      </c>
      <c r="R1991" s="47" t="b">
        <v>0</v>
      </c>
      <c r="S1991" s="42" t="str">
        <f t="shared" si="28"/>
        <v/>
      </c>
      <c r="T1991" s="42"/>
    </row>
    <row r="1992" ht="22.5" customHeight="1">
      <c r="B1992" s="42">
        <f t="shared" si="7"/>
        <v>1986</v>
      </c>
      <c r="C1992" s="31" t="s">
        <v>2106</v>
      </c>
      <c r="D1992" s="34" t="str">
        <f t="array" ref="D1992">IFNA(_xlfn.XLOOKUP(C1992,Table_Tarikan_Warkah[Nomor Sertipikat],Table_Tarikan_Warkah[Nomor Tiket]),"")</f>
        <v>K/38/240425/1</v>
      </c>
      <c r="E1992" s="36" t="str">
        <f t="array" ref="E1992">IFNA(_xlfn.XLOOKUP(D1992,Table_Tarikan_Warkah[Nomor Tiket],Table_Tarikan_Warkah[Tanggal diserahkan kepada Validator]),"")</f>
        <v/>
      </c>
      <c r="F1992" s="36" t="str">
        <f t="array" ref="F1992">IFNA(_xlfn.XLOOKUP(D1992,Table_Tarikan_Warkah[Nomor Tiket],Table_Tarikan_Warkah[Nama Petugas Warkah]),"")</f>
        <v/>
      </c>
      <c r="G1992" s="39" t="str">
        <f t="array" ref="G1992">IFNA(_xlfn.XLOOKUP(D1992,Table_Tarikan_Warkah[Nomor Tiket],Table_Tarikan_Warkah[Jenis Permohonan]),"")</f>
        <v>BN Jual Beli</v>
      </c>
      <c r="H1992" s="41" t="s">
        <v>11</v>
      </c>
      <c r="I1992" s="49" t="s">
        <v>23</v>
      </c>
      <c r="J1992" s="36">
        <f t="shared" si="20"/>
        <v>45779.70357</v>
      </c>
      <c r="K1992" s="49" t="s">
        <v>197</v>
      </c>
      <c r="L1992" s="49" t="s">
        <v>23</v>
      </c>
      <c r="M1992" s="36">
        <f t="shared" si="26"/>
        <v>45783.65282</v>
      </c>
      <c r="N1992" s="30" t="str">
        <f t="shared" si="27"/>
        <v>Selesai</v>
      </c>
      <c r="O1992" s="45">
        <f t="shared" si="23"/>
        <v>45783.65282</v>
      </c>
      <c r="P1992" s="47" t="b">
        <v>1</v>
      </c>
      <c r="Q1992" s="36">
        <f t="shared" si="24"/>
        <v>45783.65282</v>
      </c>
      <c r="R1992" s="47" t="b">
        <v>0</v>
      </c>
      <c r="S1992" s="42" t="str">
        <f t="shared" si="28"/>
        <v/>
      </c>
      <c r="T1992" s="42"/>
    </row>
    <row r="1993" ht="22.5" customHeight="1">
      <c r="B1993" s="42">
        <f t="shared" si="7"/>
        <v>1987</v>
      </c>
      <c r="C1993" s="31" t="s">
        <v>2107</v>
      </c>
      <c r="D1993" s="34" t="str">
        <f t="array" ref="D1993">IFNA(_xlfn.XLOOKUP(C1993,Table_Tarikan_Warkah[Nomor Sertipikat],Table_Tarikan_Warkah[Nomor Tiket]),"")</f>
        <v>K/19/210425/2</v>
      </c>
      <c r="E1993" s="36" t="str">
        <f t="array" ref="E1993">IFNA(_xlfn.XLOOKUP(D1993,Table_Tarikan_Warkah[Nomor Tiket],Table_Tarikan_Warkah[Tanggal diserahkan kepada Validator]),"")</f>
        <v/>
      </c>
      <c r="F1993" s="36" t="str">
        <f t="array" ref="F1993">IFNA(_xlfn.XLOOKUP(D1993,Table_Tarikan_Warkah[Nomor Tiket],Table_Tarikan_Warkah[Nama Petugas Warkah]),"")</f>
        <v/>
      </c>
      <c r="G1993" s="39" t="str">
        <f t="array" ref="G1993">IFNA(_xlfn.XLOOKUP(D1993,Table_Tarikan_Warkah[Nomor Tiket],Table_Tarikan_Warkah[Jenis Permohonan]),"")</f>
        <v>BN Waris</v>
      </c>
      <c r="H1993" s="41" t="s">
        <v>11</v>
      </c>
      <c r="I1993" s="49" t="s">
        <v>23</v>
      </c>
      <c r="J1993" s="36">
        <f t="shared" si="20"/>
        <v>45779.70357</v>
      </c>
      <c r="K1993" s="49" t="s">
        <v>197</v>
      </c>
      <c r="L1993" s="49" t="s">
        <v>23</v>
      </c>
      <c r="M1993" s="36">
        <f t="shared" si="26"/>
        <v>45783.65282</v>
      </c>
      <c r="N1993" s="30" t="str">
        <f t="shared" si="27"/>
        <v>Selesai</v>
      </c>
      <c r="O1993" s="45">
        <f t="shared" si="23"/>
        <v>45783.65282</v>
      </c>
      <c r="P1993" s="47" t="b">
        <v>1</v>
      </c>
      <c r="Q1993" s="36">
        <f t="shared" si="24"/>
        <v>45783.65282</v>
      </c>
      <c r="R1993" s="47" t="b">
        <v>0</v>
      </c>
      <c r="S1993" s="42" t="str">
        <f t="shared" si="28"/>
        <v/>
      </c>
      <c r="T1993" s="42"/>
    </row>
    <row r="1994" ht="22.5" customHeight="1">
      <c r="B1994" s="42">
        <f t="shared" si="7"/>
        <v>1988</v>
      </c>
      <c r="C1994" s="31" t="s">
        <v>2108</v>
      </c>
      <c r="D1994" s="34" t="str">
        <f t="array" ref="D1994">IFNA(_xlfn.XLOOKUP(C1994,Table_Tarikan_Warkah[Nomor Sertipikat],Table_Tarikan_Warkah[Nomor Tiket]),"")</f>
        <v>K/9/170425/2</v>
      </c>
      <c r="E1994" s="36" t="str">
        <f t="array" ref="E1994">IFNA(_xlfn.XLOOKUP(D1994,Table_Tarikan_Warkah[Nomor Tiket],Table_Tarikan_Warkah[Tanggal diserahkan kepada Validator]),"")</f>
        <v/>
      </c>
      <c r="F1994" s="36" t="str">
        <f t="array" ref="F1994">IFNA(_xlfn.XLOOKUP(D1994,Table_Tarikan_Warkah[Nomor Tiket],Table_Tarikan_Warkah[Nama Petugas Warkah]),"")</f>
        <v/>
      </c>
      <c r="G1994" s="39" t="str">
        <f t="array" ref="G1994">IFNA(_xlfn.XLOOKUP(D1994,Table_Tarikan_Warkah[Nomor Tiket],Table_Tarikan_Warkah[Jenis Permohonan]),"")</f>
        <v>BN Jual Beli</v>
      </c>
      <c r="H1994" s="41" t="s">
        <v>11</v>
      </c>
      <c r="I1994" s="49" t="s">
        <v>23</v>
      </c>
      <c r="J1994" s="36">
        <f t="shared" si="20"/>
        <v>45779.70357</v>
      </c>
      <c r="K1994" s="49" t="s">
        <v>197</v>
      </c>
      <c r="L1994" s="49" t="s">
        <v>23</v>
      </c>
      <c r="M1994" s="36">
        <f t="shared" si="26"/>
        <v>45783.65282</v>
      </c>
      <c r="N1994" s="30" t="str">
        <f t="shared" si="27"/>
        <v>Selesai</v>
      </c>
      <c r="O1994" s="45">
        <f t="shared" si="23"/>
        <v>45783.65282</v>
      </c>
      <c r="P1994" s="47" t="b">
        <v>1</v>
      </c>
      <c r="Q1994" s="36">
        <f t="shared" si="24"/>
        <v>45783.65282</v>
      </c>
      <c r="R1994" s="47" t="b">
        <v>0</v>
      </c>
      <c r="S1994" s="42" t="str">
        <f t="shared" si="28"/>
        <v/>
      </c>
      <c r="T1994" s="42"/>
    </row>
    <row r="1995" ht="22.5" customHeight="1">
      <c r="B1995" s="42">
        <f t="shared" si="7"/>
        <v>1989</v>
      </c>
      <c r="C1995" s="31" t="s">
        <v>2109</v>
      </c>
      <c r="D1995" s="34" t="str">
        <f t="array" ref="D1995">IFNA(_xlfn.XLOOKUP(C1995,Table_Tarikan_Warkah[Nomor Sertipikat],Table_Tarikan_Warkah[Nomor Tiket]),"")</f>
        <v>K/18/170425/1</v>
      </c>
      <c r="E1995" s="36" t="str">
        <f t="array" ref="E1995">IFNA(_xlfn.XLOOKUP(D1995,Table_Tarikan_Warkah[Nomor Tiket],Table_Tarikan_Warkah[Tanggal diserahkan kepada Validator]),"")</f>
        <v/>
      </c>
      <c r="F1995" s="36" t="str">
        <f t="array" ref="F1995">IFNA(_xlfn.XLOOKUP(D1995,Table_Tarikan_Warkah[Nomor Tiket],Table_Tarikan_Warkah[Nama Petugas Warkah]),"")</f>
        <v/>
      </c>
      <c r="G1995" s="39" t="str">
        <f t="array" ref="G1995">IFNA(_xlfn.XLOOKUP(D1995,Table_Tarikan_Warkah[Nomor Tiket],Table_Tarikan_Warkah[Jenis Permohonan]),"")</f>
        <v>BN Jual Beli</v>
      </c>
      <c r="H1995" s="41" t="s">
        <v>11</v>
      </c>
      <c r="I1995" s="49" t="s">
        <v>23</v>
      </c>
      <c r="J1995" s="36">
        <f t="shared" si="20"/>
        <v>45779.70357</v>
      </c>
      <c r="K1995" s="49" t="s">
        <v>197</v>
      </c>
      <c r="L1995" s="49" t="s">
        <v>23</v>
      </c>
      <c r="M1995" s="36">
        <f t="shared" si="26"/>
        <v>45783.65282</v>
      </c>
      <c r="N1995" s="30" t="str">
        <f t="shared" si="27"/>
        <v>Selesai</v>
      </c>
      <c r="O1995" s="45">
        <f t="shared" si="23"/>
        <v>45783.65282</v>
      </c>
      <c r="P1995" s="47" t="b">
        <v>1</v>
      </c>
      <c r="Q1995" s="36">
        <f t="shared" si="24"/>
        <v>45783.65282</v>
      </c>
      <c r="R1995" s="47" t="b">
        <v>0</v>
      </c>
      <c r="S1995" s="42" t="str">
        <f t="shared" si="28"/>
        <v/>
      </c>
      <c r="T1995" s="42"/>
    </row>
    <row r="1996" ht="22.5" customHeight="1">
      <c r="B1996" s="42">
        <f t="shared" si="7"/>
        <v>1990</v>
      </c>
      <c r="C1996" s="31" t="s">
        <v>2110</v>
      </c>
      <c r="D1996" s="34" t="str">
        <f t="array" ref="D1996">IFNA(_xlfn.XLOOKUP(C1996,Table_Tarikan_Warkah[Nomor Sertipikat],Table_Tarikan_Warkah[Nomor Tiket]),"")</f>
        <v>K/40/220425/1</v>
      </c>
      <c r="E1996" s="36" t="str">
        <f t="array" ref="E1996">IFNA(_xlfn.XLOOKUP(D1996,Table_Tarikan_Warkah[Nomor Tiket],Table_Tarikan_Warkah[Tanggal diserahkan kepada Validator]),"")</f>
        <v/>
      </c>
      <c r="F1996" s="36" t="str">
        <f t="array" ref="F1996">IFNA(_xlfn.XLOOKUP(D1996,Table_Tarikan_Warkah[Nomor Tiket],Table_Tarikan_Warkah[Nama Petugas Warkah]),"")</f>
        <v/>
      </c>
      <c r="G1996" s="39" t="str">
        <f t="array" ref="G1996">IFNA(_xlfn.XLOOKUP(D1996,Table_Tarikan_Warkah[Nomor Tiket],Table_Tarikan_Warkah[Jenis Permohonan]),"")</f>
        <v>BN Jual Beli</v>
      </c>
      <c r="H1996" s="41" t="s">
        <v>11</v>
      </c>
      <c r="I1996" s="49" t="s">
        <v>23</v>
      </c>
      <c r="J1996" s="36">
        <f t="shared" si="20"/>
        <v>45779.70357</v>
      </c>
      <c r="K1996" s="49" t="s">
        <v>197</v>
      </c>
      <c r="L1996" s="49" t="s">
        <v>23</v>
      </c>
      <c r="M1996" s="36">
        <f t="shared" si="26"/>
        <v>45783.65282</v>
      </c>
      <c r="N1996" s="30" t="str">
        <f t="shared" si="27"/>
        <v>Selesai</v>
      </c>
      <c r="O1996" s="45">
        <f t="shared" si="23"/>
        <v>45783.65282</v>
      </c>
      <c r="P1996" s="47" t="b">
        <v>1</v>
      </c>
      <c r="Q1996" s="36">
        <f t="shared" si="24"/>
        <v>45783.65282</v>
      </c>
      <c r="R1996" s="47" t="b">
        <v>0</v>
      </c>
      <c r="S1996" s="42" t="str">
        <f t="shared" si="28"/>
        <v/>
      </c>
      <c r="T1996" s="42"/>
    </row>
    <row r="1997" ht="22.5" customHeight="1">
      <c r="B1997" s="42">
        <f t="shared" si="7"/>
        <v>1991</v>
      </c>
      <c r="C1997" s="31" t="s">
        <v>2111</v>
      </c>
      <c r="D1997" s="34" t="str">
        <f t="array" ref="D1997">IFNA(_xlfn.XLOOKUP(C1997,Table_Tarikan_Warkah[Nomor Sertipikat],Table_Tarikan_Warkah[Nomor Tiket]),"")</f>
        <v>K/11/250425/2</v>
      </c>
      <c r="E1997" s="36" t="str">
        <f t="array" ref="E1997">IFNA(_xlfn.XLOOKUP(D1997,Table_Tarikan_Warkah[Nomor Tiket],Table_Tarikan_Warkah[Tanggal diserahkan kepada Validator]),"")</f>
        <v/>
      </c>
      <c r="F1997" s="36" t="str">
        <f t="array" ref="F1997">IFNA(_xlfn.XLOOKUP(D1997,Table_Tarikan_Warkah[Nomor Tiket],Table_Tarikan_Warkah[Nama Petugas Warkah]),"")</f>
        <v/>
      </c>
      <c r="G1997" s="39" t="str">
        <f t="array" ref="G1997">IFNA(_xlfn.XLOOKUP(D1997,Table_Tarikan_Warkah[Nomor Tiket],Table_Tarikan_Warkah[Jenis Permohonan]),"")</f>
        <v>BN Jual Beli</v>
      </c>
      <c r="H1997" s="41" t="s">
        <v>11</v>
      </c>
      <c r="I1997" s="49" t="s">
        <v>23</v>
      </c>
      <c r="J1997" s="36">
        <f t="shared" si="20"/>
        <v>45779.70357</v>
      </c>
      <c r="K1997" s="49" t="s">
        <v>197</v>
      </c>
      <c r="L1997" s="49" t="s">
        <v>23</v>
      </c>
      <c r="M1997" s="36">
        <f t="shared" si="26"/>
        <v>45783.65282</v>
      </c>
      <c r="N1997" s="30" t="str">
        <f t="shared" si="27"/>
        <v>Selesai</v>
      </c>
      <c r="O1997" s="45">
        <f t="shared" si="23"/>
        <v>45783.65282</v>
      </c>
      <c r="P1997" s="47" t="b">
        <v>1</v>
      </c>
      <c r="Q1997" s="36">
        <f t="shared" si="24"/>
        <v>45783.65282</v>
      </c>
      <c r="R1997" s="47" t="b">
        <v>0</v>
      </c>
      <c r="S1997" s="42" t="str">
        <f t="shared" si="28"/>
        <v/>
      </c>
      <c r="T1997" s="42"/>
    </row>
    <row r="1998" ht="22.5" customHeight="1">
      <c r="B1998" s="42">
        <f t="shared" si="7"/>
        <v>1992</v>
      </c>
      <c r="C1998" s="31" t="s">
        <v>2112</v>
      </c>
      <c r="D1998" s="34" t="str">
        <f t="array" ref="D1998">IFNA(_xlfn.XLOOKUP(C1998,Table_Tarikan_Warkah[Nomor Sertipikat],Table_Tarikan_Warkah[Nomor Tiket]),"")</f>
        <v>K/27/140425/2</v>
      </c>
      <c r="E1998" s="36" t="str">
        <f t="array" ref="E1998">IFNA(_xlfn.XLOOKUP(D1998,Table_Tarikan_Warkah[Nomor Tiket],Table_Tarikan_Warkah[Tanggal diserahkan kepada Validator]),"")</f>
        <v/>
      </c>
      <c r="F1998" s="36" t="str">
        <f t="array" ref="F1998">IFNA(_xlfn.XLOOKUP(D1998,Table_Tarikan_Warkah[Nomor Tiket],Table_Tarikan_Warkah[Nama Petugas Warkah]),"")</f>
        <v/>
      </c>
      <c r="G1998" s="39" t="str">
        <f t="array" ref="G1998">IFNA(_xlfn.XLOOKUP(D1998,Table_Tarikan_Warkah[Nomor Tiket],Table_Tarikan_Warkah[Jenis Permohonan]),"")</f>
        <v>BN Jual Beli</v>
      </c>
      <c r="H1998" s="41" t="s">
        <v>11</v>
      </c>
      <c r="I1998" s="49" t="s">
        <v>23</v>
      </c>
      <c r="J1998" s="36">
        <f t="shared" si="20"/>
        <v>45779.70357</v>
      </c>
      <c r="K1998" s="49" t="s">
        <v>197</v>
      </c>
      <c r="L1998" s="49" t="s">
        <v>23</v>
      </c>
      <c r="M1998" s="36">
        <f t="shared" si="26"/>
        <v>45783.65282</v>
      </c>
      <c r="N1998" s="30" t="str">
        <f t="shared" si="27"/>
        <v>Selesai</v>
      </c>
      <c r="O1998" s="45">
        <f t="shared" si="23"/>
        <v>45783.65282</v>
      </c>
      <c r="P1998" s="47" t="b">
        <v>1</v>
      </c>
      <c r="Q1998" s="36">
        <f t="shared" si="24"/>
        <v>45783.65282</v>
      </c>
      <c r="R1998" s="47" t="b">
        <v>0</v>
      </c>
      <c r="S1998" s="42" t="str">
        <f t="shared" si="28"/>
        <v/>
      </c>
      <c r="T1998" s="42"/>
    </row>
    <row r="1999" ht="22.5" customHeight="1">
      <c r="B1999" s="42">
        <f t="shared" si="7"/>
        <v>1993</v>
      </c>
      <c r="C1999" s="31" t="s">
        <v>2113</v>
      </c>
      <c r="D1999" s="34" t="str">
        <f t="array" ref="D1999">IFNA(_xlfn.XLOOKUP(C1999,Table_Tarikan_Warkah[Nomor Sertipikat],Table_Tarikan_Warkah[Nomor Tiket]),"")</f>
        <v>K/34/170425/1</v>
      </c>
      <c r="E1999" s="36" t="str">
        <f t="array" ref="E1999">IFNA(_xlfn.XLOOKUP(D1999,Table_Tarikan_Warkah[Nomor Tiket],Table_Tarikan_Warkah[Tanggal diserahkan kepada Validator]),"")</f>
        <v/>
      </c>
      <c r="F1999" s="36" t="str">
        <f t="array" ref="F1999">IFNA(_xlfn.XLOOKUP(D1999,Table_Tarikan_Warkah[Nomor Tiket],Table_Tarikan_Warkah[Nama Petugas Warkah]),"")</f>
        <v/>
      </c>
      <c r="G1999" s="39" t="str">
        <f t="array" ref="G1999">IFNA(_xlfn.XLOOKUP(D1999,Table_Tarikan_Warkah[Nomor Tiket],Table_Tarikan_Warkah[Jenis Permohonan]),"")</f>
        <v>BN JUAL BELI</v>
      </c>
      <c r="H1999" s="41" t="s">
        <v>11</v>
      </c>
      <c r="I1999" s="49" t="s">
        <v>23</v>
      </c>
      <c r="J1999" s="36">
        <f t="shared" si="20"/>
        <v>45779.70357</v>
      </c>
      <c r="K1999" s="49" t="s">
        <v>197</v>
      </c>
      <c r="L1999" s="49" t="s">
        <v>23</v>
      </c>
      <c r="M1999" s="36">
        <f t="shared" si="26"/>
        <v>45783.65282</v>
      </c>
      <c r="N1999" s="30" t="str">
        <f t="shared" si="27"/>
        <v>Selesai</v>
      </c>
      <c r="O1999" s="45">
        <f t="shared" si="23"/>
        <v>45783.65282</v>
      </c>
      <c r="P1999" s="47" t="b">
        <v>1</v>
      </c>
      <c r="Q1999" s="36">
        <f t="shared" si="24"/>
        <v>45783.65282</v>
      </c>
      <c r="R1999" s="47" t="b">
        <v>0</v>
      </c>
      <c r="S1999" s="42" t="str">
        <f t="shared" si="28"/>
        <v/>
      </c>
      <c r="T1999" s="42"/>
    </row>
    <row r="2000" ht="22.5" customHeight="1">
      <c r="B2000" s="42">
        <f t="shared" si="7"/>
        <v>1994</v>
      </c>
      <c r="C2000" s="31" t="s">
        <v>2114</v>
      </c>
      <c r="D2000" s="34" t="str">
        <f t="array" ref="D2000">IFNA(_xlfn.XLOOKUP(C2000,Table_Tarikan_Warkah[Nomor Sertipikat],Table_Tarikan_Warkah[Nomor Tiket]),"")</f>
        <v>K/8/110425/2</v>
      </c>
      <c r="E2000" s="36">
        <f t="array" ref="E2000">IFNA(_xlfn.XLOOKUP(D2000,Table_Tarikan_Warkah[Nomor Tiket],Table_Tarikan_Warkah[Tanggal diserahkan kepada Validator]),"")</f>
        <v>45804.37739</v>
      </c>
      <c r="F2000" s="36" t="str">
        <f t="array" ref="F2000">IFNA(_xlfn.XLOOKUP(D2000,Table_Tarikan_Warkah[Nomor Tiket],Table_Tarikan_Warkah[Nama Petugas Warkah]),"")</f>
        <v>Berry</v>
      </c>
      <c r="G2000" s="39" t="str">
        <f t="array" ref="G2000">IFNA(_xlfn.XLOOKUP(D2000,Table_Tarikan_Warkah[Nomor Tiket],Table_Tarikan_Warkah[Jenis Permohonan]),"")</f>
        <v>BN JUAL BELI</v>
      </c>
      <c r="H2000" s="41" t="s">
        <v>11</v>
      </c>
      <c r="I2000" s="49" t="s">
        <v>23</v>
      </c>
      <c r="J2000" s="36">
        <f t="shared" si="20"/>
        <v>45779.70359</v>
      </c>
      <c r="K2000" s="49" t="s">
        <v>197</v>
      </c>
      <c r="L2000" s="49" t="s">
        <v>23</v>
      </c>
      <c r="M2000" s="36">
        <f t="shared" si="26"/>
        <v>45783.65282</v>
      </c>
      <c r="N2000" s="30" t="str">
        <f t="shared" si="27"/>
        <v>Selesai</v>
      </c>
      <c r="O2000" s="45">
        <f t="shared" si="23"/>
        <v>45783.65282</v>
      </c>
      <c r="P2000" s="47" t="b">
        <v>1</v>
      </c>
      <c r="Q2000" s="36">
        <f t="shared" si="24"/>
        <v>45783.65282</v>
      </c>
      <c r="R2000" s="47" t="b">
        <v>0</v>
      </c>
      <c r="S2000" s="42" t="str">
        <f t="shared" si="28"/>
        <v/>
      </c>
      <c r="T2000" s="42"/>
    </row>
    <row r="2001" ht="22.5" customHeight="1">
      <c r="B2001" s="42">
        <f t="shared" si="7"/>
        <v>1995</v>
      </c>
      <c r="C2001" s="31" t="s">
        <v>2115</v>
      </c>
      <c r="D2001" s="34" t="str">
        <f t="array" ref="D2001">IFNA(_xlfn.XLOOKUP(C2001,Table_Tarikan_Warkah[Nomor Sertipikat],Table_Tarikan_Warkah[Nomor Tiket]),"")</f>
        <v>K/12/230425/1</v>
      </c>
      <c r="E2001" s="36" t="str">
        <f t="array" ref="E2001">IFNA(_xlfn.XLOOKUP(D2001,Table_Tarikan_Warkah[Nomor Tiket],Table_Tarikan_Warkah[Tanggal diserahkan kepada Validator]),"")</f>
        <v/>
      </c>
      <c r="F2001" s="36" t="str">
        <f t="array" ref="F2001">IFNA(_xlfn.XLOOKUP(D2001,Table_Tarikan_Warkah[Nomor Tiket],Table_Tarikan_Warkah[Nama Petugas Warkah]),"")</f>
        <v/>
      </c>
      <c r="G2001" s="39" t="str">
        <f t="array" ref="G2001">IFNA(_xlfn.XLOOKUP(D2001,Table_Tarikan_Warkah[Nomor Tiket],Table_Tarikan_Warkah[Jenis Permohonan]),"")</f>
        <v>BN JUAL BELI</v>
      </c>
      <c r="H2001" s="41" t="s">
        <v>11</v>
      </c>
      <c r="I2001" s="49" t="s">
        <v>23</v>
      </c>
      <c r="J2001" s="36">
        <f t="shared" si="20"/>
        <v>45779.70359</v>
      </c>
      <c r="K2001" s="49" t="s">
        <v>197</v>
      </c>
      <c r="L2001" s="49" t="s">
        <v>23</v>
      </c>
      <c r="M2001" s="36">
        <f t="shared" si="26"/>
        <v>45783.65282</v>
      </c>
      <c r="N2001" s="30" t="str">
        <f t="shared" si="27"/>
        <v>Selesai</v>
      </c>
      <c r="O2001" s="45">
        <f t="shared" si="23"/>
        <v>45783.65282</v>
      </c>
      <c r="P2001" s="47" t="b">
        <v>1</v>
      </c>
      <c r="Q2001" s="36">
        <f t="shared" si="24"/>
        <v>45783.65282</v>
      </c>
      <c r="R2001" s="47" t="b">
        <v>0</v>
      </c>
      <c r="S2001" s="42" t="str">
        <f t="shared" si="28"/>
        <v/>
      </c>
      <c r="T2001" s="42"/>
    </row>
    <row r="2002" ht="22.5" customHeight="1">
      <c r="B2002" s="42">
        <f t="shared" si="7"/>
        <v>1996</v>
      </c>
      <c r="C2002" s="31" t="s">
        <v>2116</v>
      </c>
      <c r="D2002" s="34" t="str">
        <f t="array" ref="D2002">IFNA(_xlfn.XLOOKUP(C2002,Table_Tarikan_Warkah[Nomor Sertipikat],Table_Tarikan_Warkah[Nomor Tiket]),"")</f>
        <v>K/26/250425/2</v>
      </c>
      <c r="E2002" s="36" t="str">
        <f t="array" ref="E2002">IFNA(_xlfn.XLOOKUP(D2002,Table_Tarikan_Warkah[Nomor Tiket],Table_Tarikan_Warkah[Tanggal diserahkan kepada Validator]),"")</f>
        <v/>
      </c>
      <c r="F2002" s="36" t="str">
        <f t="array" ref="F2002">IFNA(_xlfn.XLOOKUP(D2002,Table_Tarikan_Warkah[Nomor Tiket],Table_Tarikan_Warkah[Nama Petugas Warkah]),"")</f>
        <v/>
      </c>
      <c r="G2002" s="39" t="str">
        <f t="array" ref="G2002">IFNA(_xlfn.XLOOKUP(D2002,Table_Tarikan_Warkah[Nomor Tiket],Table_Tarikan_Warkah[Jenis Permohonan]),"")</f>
        <v>BN JUAL BELI</v>
      </c>
      <c r="H2002" s="41" t="s">
        <v>11</v>
      </c>
      <c r="I2002" s="49" t="s">
        <v>23</v>
      </c>
      <c r="J2002" s="36">
        <f t="shared" si="20"/>
        <v>45779.70359</v>
      </c>
      <c r="K2002" s="49" t="s">
        <v>197</v>
      </c>
      <c r="L2002" s="49" t="s">
        <v>23</v>
      </c>
      <c r="M2002" s="36">
        <f t="shared" si="26"/>
        <v>45783.65282</v>
      </c>
      <c r="N2002" s="30" t="str">
        <f t="shared" si="27"/>
        <v>Selesai</v>
      </c>
      <c r="O2002" s="45">
        <f t="shared" si="23"/>
        <v>45783.65282</v>
      </c>
      <c r="P2002" s="47" t="b">
        <v>1</v>
      </c>
      <c r="Q2002" s="36">
        <f t="shared" si="24"/>
        <v>45783.65282</v>
      </c>
      <c r="R2002" s="47" t="b">
        <v>0</v>
      </c>
      <c r="S2002" s="42" t="str">
        <f t="shared" si="28"/>
        <v/>
      </c>
      <c r="T2002" s="42"/>
    </row>
    <row r="2003" ht="22.5" customHeight="1">
      <c r="B2003" s="42">
        <f t="shared" si="7"/>
        <v>1997</v>
      </c>
      <c r="C2003" s="31" t="s">
        <v>2117</v>
      </c>
      <c r="D2003" s="34" t="str">
        <f t="array" ref="D2003">IFNA(_xlfn.XLOOKUP(C2003,Table_Tarikan_Warkah[Nomor Sertipikat],Table_Tarikan_Warkah[Nomor Tiket]),"")</f>
        <v>K/6/110425/1</v>
      </c>
      <c r="E2003" s="36">
        <f t="array" ref="E2003">IFNA(_xlfn.XLOOKUP(D2003,Table_Tarikan_Warkah[Nomor Tiket],Table_Tarikan_Warkah[Tanggal diserahkan kepada Validator]),"")</f>
        <v>45792.63439</v>
      </c>
      <c r="F2003" s="36" t="str">
        <f t="array" ref="F2003">IFNA(_xlfn.XLOOKUP(D2003,Table_Tarikan_Warkah[Nomor Tiket],Table_Tarikan_Warkah[Nama Petugas Warkah]),"")</f>
        <v>Berry</v>
      </c>
      <c r="G2003" s="39" t="str">
        <f t="array" ref="G2003">IFNA(_xlfn.XLOOKUP(D2003,Table_Tarikan_Warkah[Nomor Tiket],Table_Tarikan_Warkah[Jenis Permohonan]),"")</f>
        <v>PERUBAHAN HAK</v>
      </c>
      <c r="H2003" s="41" t="s">
        <v>11</v>
      </c>
      <c r="I2003" s="49" t="s">
        <v>23</v>
      </c>
      <c r="J2003" s="36">
        <f t="shared" si="20"/>
        <v>45779.70359</v>
      </c>
      <c r="K2003" s="49" t="s">
        <v>197</v>
      </c>
      <c r="L2003" s="49" t="s">
        <v>23</v>
      </c>
      <c r="M2003" s="36">
        <f t="shared" si="26"/>
        <v>45783.65282</v>
      </c>
      <c r="N2003" s="30" t="str">
        <f t="shared" si="27"/>
        <v>Selesai</v>
      </c>
      <c r="O2003" s="45">
        <f t="shared" si="23"/>
        <v>45783.65282</v>
      </c>
      <c r="P2003" s="47" t="b">
        <v>1</v>
      </c>
      <c r="Q2003" s="36">
        <f t="shared" si="24"/>
        <v>45783.65282</v>
      </c>
      <c r="R2003" s="47" t="b">
        <v>0</v>
      </c>
      <c r="S2003" s="42" t="str">
        <f t="shared" si="28"/>
        <v/>
      </c>
      <c r="T2003" s="42"/>
    </row>
    <row r="2004" ht="22.5" customHeight="1">
      <c r="B2004" s="42">
        <f t="shared" si="7"/>
        <v>1998</v>
      </c>
      <c r="C2004" s="31" t="s">
        <v>487</v>
      </c>
      <c r="D2004" s="34" t="str">
        <f t="array" ref="D2004">IFNA(_xlfn.XLOOKUP(C2004,Table_Tarikan_Warkah[Nomor Sertipikat],Table_Tarikan_Warkah[Nomor Tiket]),"")</f>
        <v>K/46/211124/1</v>
      </c>
      <c r="E2004" s="36" t="str">
        <f t="array" ref="E2004">IFNA(_xlfn.XLOOKUP(D2004,Table_Tarikan_Warkah[Nomor Tiket],Table_Tarikan_Warkah[Tanggal diserahkan kepada Validator]),"")</f>
        <v>25/11/2024 11.02</v>
      </c>
      <c r="F2004" s="36" t="str">
        <f t="array" ref="F2004">IFNA(_xlfn.XLOOKUP(D2004,Table_Tarikan_Warkah[Nomor Tiket],Table_Tarikan_Warkah[Nama Petugas Warkah]),"")</f>
        <v>David</v>
      </c>
      <c r="G2004" s="39" t="str">
        <f t="array" ref="G2004">IFNA(_xlfn.XLOOKUP(D2004,Table_Tarikan_Warkah[Nomor Tiket],Table_Tarikan_Warkah[Jenis Permohonan]),"")</f>
        <v>BN WARIS</v>
      </c>
      <c r="H2004" s="41" t="s">
        <v>11</v>
      </c>
      <c r="I2004" s="49" t="s">
        <v>23</v>
      </c>
      <c r="J2004" s="36">
        <f t="shared" si="20"/>
        <v>45779.70359</v>
      </c>
      <c r="K2004" s="49" t="s">
        <v>197</v>
      </c>
      <c r="L2004" s="49" t="s">
        <v>23</v>
      </c>
      <c r="M2004" s="36">
        <f t="shared" si="26"/>
        <v>45783.65282</v>
      </c>
      <c r="N2004" s="30" t="str">
        <f t="shared" si="27"/>
        <v>Selesai</v>
      </c>
      <c r="O2004" s="45">
        <f t="shared" si="23"/>
        <v>45783.65282</v>
      </c>
      <c r="P2004" s="47" t="b">
        <v>1</v>
      </c>
      <c r="Q2004" s="36">
        <f t="shared" si="24"/>
        <v>45783.65282</v>
      </c>
      <c r="R2004" s="47" t="b">
        <v>0</v>
      </c>
      <c r="S2004" s="42" t="str">
        <f t="shared" si="28"/>
        <v/>
      </c>
      <c r="T2004" s="42"/>
    </row>
    <row r="2005" ht="22.5" customHeight="1">
      <c r="B2005" s="42">
        <f t="shared" si="7"/>
        <v>1999</v>
      </c>
      <c r="C2005" s="31" t="s">
        <v>2118</v>
      </c>
      <c r="D2005" s="34" t="str">
        <f t="array" ref="D2005">IFNA(_xlfn.XLOOKUP(C2005,Table_Tarikan_Warkah[Nomor Sertipikat],Table_Tarikan_Warkah[Nomor Tiket]),"")</f>
        <v>K/34/100425/2</v>
      </c>
      <c r="E2005" s="36" t="str">
        <f t="array" ref="E2005">IFNA(_xlfn.XLOOKUP(D2005,Table_Tarikan_Warkah[Nomor Tiket],Table_Tarikan_Warkah[Tanggal diserahkan kepada Validator]),"")</f>
        <v/>
      </c>
      <c r="F2005" s="36" t="str">
        <f t="array" ref="F2005">IFNA(_xlfn.XLOOKUP(D2005,Table_Tarikan_Warkah[Nomor Tiket],Table_Tarikan_Warkah[Nama Petugas Warkah]),"")</f>
        <v/>
      </c>
      <c r="G2005" s="39" t="str">
        <f t="array" ref="G2005">IFNA(_xlfn.XLOOKUP(D2005,Table_Tarikan_Warkah[Nomor Tiket],Table_Tarikan_Warkah[Jenis Permohonan]),"")</f>
        <v>BN JUAL BELI</v>
      </c>
      <c r="H2005" s="41" t="s">
        <v>11</v>
      </c>
      <c r="I2005" s="49" t="s">
        <v>23</v>
      </c>
      <c r="J2005" s="36">
        <f t="shared" si="20"/>
        <v>45779.70359</v>
      </c>
      <c r="K2005" s="49" t="s">
        <v>197</v>
      </c>
      <c r="L2005" s="49" t="s">
        <v>23</v>
      </c>
      <c r="M2005" s="36">
        <f t="shared" si="26"/>
        <v>45783.65282</v>
      </c>
      <c r="N2005" s="30" t="str">
        <f t="shared" si="27"/>
        <v>Selesai</v>
      </c>
      <c r="O2005" s="45">
        <f t="shared" si="23"/>
        <v>45783.65282</v>
      </c>
      <c r="P2005" s="47" t="b">
        <v>1</v>
      </c>
      <c r="Q2005" s="36">
        <f t="shared" si="24"/>
        <v>45783.65282</v>
      </c>
      <c r="R2005" s="47" t="b">
        <v>0</v>
      </c>
      <c r="S2005" s="42" t="str">
        <f t="shared" si="28"/>
        <v/>
      </c>
      <c r="T2005" s="42"/>
    </row>
    <row r="2006" ht="22.5" customHeight="1">
      <c r="B2006" s="42">
        <f t="shared" si="7"/>
        <v>2000</v>
      </c>
      <c r="C2006" s="31" t="s">
        <v>2119</v>
      </c>
      <c r="D2006" s="34" t="str">
        <f t="array" ref="D2006">IFNA(_xlfn.XLOOKUP(C2006,Table_Tarikan_Warkah[Nomor Sertipikat],Table_Tarikan_Warkah[Nomor Tiket]),"")</f>
        <v>K/22/230425/1</v>
      </c>
      <c r="E2006" s="36" t="str">
        <f t="array" ref="E2006">IFNA(_xlfn.XLOOKUP(D2006,Table_Tarikan_Warkah[Nomor Tiket],Table_Tarikan_Warkah[Tanggal diserahkan kepada Validator]),"")</f>
        <v/>
      </c>
      <c r="F2006" s="36" t="str">
        <f t="array" ref="F2006">IFNA(_xlfn.XLOOKUP(D2006,Table_Tarikan_Warkah[Nomor Tiket],Table_Tarikan_Warkah[Nama Petugas Warkah]),"")</f>
        <v/>
      </c>
      <c r="G2006" s="39" t="str">
        <f t="array" ref="G2006">IFNA(_xlfn.XLOOKUP(D2006,Table_Tarikan_Warkah[Nomor Tiket],Table_Tarikan_Warkah[Jenis Permohonan]),"")</f>
        <v>ROYA</v>
      </c>
      <c r="H2006" s="41" t="s">
        <v>20</v>
      </c>
      <c r="I2006" s="49" t="s">
        <v>23</v>
      </c>
      <c r="J2006" s="36">
        <f t="shared" si="20"/>
        <v>45782.59887</v>
      </c>
      <c r="K2006" s="49" t="s">
        <v>197</v>
      </c>
      <c r="L2006" s="49" t="s">
        <v>23</v>
      </c>
      <c r="M2006" s="36">
        <f t="shared" si="26"/>
        <v>45783.65282</v>
      </c>
      <c r="N2006" s="30" t="str">
        <f t="shared" si="27"/>
        <v>Selesai</v>
      </c>
      <c r="O2006" s="45">
        <f t="shared" si="23"/>
        <v>45783.65282</v>
      </c>
      <c r="P2006" s="47" t="b">
        <v>1</v>
      </c>
      <c r="Q2006" s="36">
        <f t="shared" si="24"/>
        <v>45783.65282</v>
      </c>
      <c r="R2006" s="47" t="b">
        <v>0</v>
      </c>
      <c r="S2006" s="42" t="str">
        <f t="shared" si="28"/>
        <v/>
      </c>
      <c r="T2006" s="42"/>
    </row>
    <row r="2007" ht="22.5" customHeight="1">
      <c r="B2007" s="42">
        <f t="shared" si="7"/>
        <v>2001</v>
      </c>
      <c r="C2007" s="31" t="s">
        <v>2120</v>
      </c>
      <c r="D2007" s="34" t="str">
        <f t="array" ref="D2007">IFNA(_xlfn.XLOOKUP(C2007,Table_Tarikan_Warkah[Nomor Sertipikat],Table_Tarikan_Warkah[Nomor Tiket]),"")</f>
        <v> K/10/170425/1</v>
      </c>
      <c r="E2007" s="36" t="str">
        <f t="array" ref="E2007">IFNA(_xlfn.XLOOKUP(D2007,Table_Tarikan_Warkah[Nomor Tiket],Table_Tarikan_Warkah[Tanggal diserahkan kepada Validator]),"")</f>
        <v/>
      </c>
      <c r="F2007" s="36" t="str">
        <f t="array" ref="F2007">IFNA(_xlfn.XLOOKUP(D2007,Table_Tarikan_Warkah[Nomor Tiket],Table_Tarikan_Warkah[Nama Petugas Warkah]),"")</f>
        <v/>
      </c>
      <c r="G2007" s="39" t="str">
        <f t="array" ref="G2007">IFNA(_xlfn.XLOOKUP(D2007,Table_Tarikan_Warkah[Nomor Tiket],Table_Tarikan_Warkah[Jenis Permohonan]),"")</f>
        <v>BN WARIS</v>
      </c>
      <c r="H2007" s="41" t="s">
        <v>20</v>
      </c>
      <c r="I2007" s="49" t="s">
        <v>23</v>
      </c>
      <c r="J2007" s="36">
        <f t="shared" si="20"/>
        <v>45782.599</v>
      </c>
      <c r="K2007" s="49" t="s">
        <v>197</v>
      </c>
      <c r="L2007" s="49" t="s">
        <v>23</v>
      </c>
      <c r="M2007" s="36">
        <f t="shared" si="26"/>
        <v>45783.65282</v>
      </c>
      <c r="N2007" s="30" t="str">
        <f t="shared" si="27"/>
        <v>Selesai</v>
      </c>
      <c r="O2007" s="45">
        <f t="shared" si="23"/>
        <v>45783.65282</v>
      </c>
      <c r="P2007" s="47" t="b">
        <v>1</v>
      </c>
      <c r="Q2007" s="36">
        <f t="shared" si="24"/>
        <v>45783.65282</v>
      </c>
      <c r="R2007" s="47" t="b">
        <v>0</v>
      </c>
      <c r="S2007" s="42" t="str">
        <f t="shared" si="28"/>
        <v/>
      </c>
      <c r="T2007" s="42"/>
    </row>
    <row r="2008" ht="22.5" customHeight="1">
      <c r="B2008" s="42">
        <f t="shared" si="7"/>
        <v>2002</v>
      </c>
      <c r="C2008" s="31" t="s">
        <v>2121</v>
      </c>
      <c r="D2008" s="34" t="str">
        <f t="array" ref="D2008">IFNA(_xlfn.XLOOKUP(C2008,Table_Tarikan_Warkah[Nomor Sertipikat],Table_Tarikan_Warkah[Nomor Tiket]),"")</f>
        <v>K/19/210325/1</v>
      </c>
      <c r="E2008" s="36" t="str">
        <f t="array" ref="E2008">IFNA(_xlfn.XLOOKUP(D2008,Table_Tarikan_Warkah[Nomor Tiket],Table_Tarikan_Warkah[Tanggal diserahkan kepada Validator]),"")</f>
        <v/>
      </c>
      <c r="F2008" s="36" t="str">
        <f t="array" ref="F2008">IFNA(_xlfn.XLOOKUP(D2008,Table_Tarikan_Warkah[Nomor Tiket],Table_Tarikan_Warkah[Nama Petugas Warkah]),"")</f>
        <v/>
      </c>
      <c r="G2008" s="39" t="str">
        <f t="array" ref="G2008">IFNA(_xlfn.XLOOKUP(D2008,Table_Tarikan_Warkah[Nomor Tiket],Table_Tarikan_Warkah[Jenis Permohonan]),"")</f>
        <v>BN JUAL BELI</v>
      </c>
      <c r="H2008" s="41" t="s">
        <v>20</v>
      </c>
      <c r="I2008" s="49" t="s">
        <v>23</v>
      </c>
      <c r="J2008" s="36">
        <f t="shared" si="20"/>
        <v>45782.59909</v>
      </c>
      <c r="K2008" s="49" t="s">
        <v>197</v>
      </c>
      <c r="L2008" s="49" t="s">
        <v>23</v>
      </c>
      <c r="M2008" s="36">
        <f t="shared" si="26"/>
        <v>45783.65282</v>
      </c>
      <c r="N2008" s="30" t="str">
        <f t="shared" si="27"/>
        <v>Selesai</v>
      </c>
      <c r="O2008" s="45">
        <f t="shared" si="23"/>
        <v>45783.65282</v>
      </c>
      <c r="P2008" s="47" t="b">
        <v>1</v>
      </c>
      <c r="Q2008" s="36">
        <f t="shared" si="24"/>
        <v>45783.65282</v>
      </c>
      <c r="R2008" s="47" t="b">
        <v>0</v>
      </c>
      <c r="S2008" s="42" t="str">
        <f t="shared" si="28"/>
        <v/>
      </c>
      <c r="T2008" s="42"/>
    </row>
    <row r="2009" ht="22.5" customHeight="1">
      <c r="B2009" s="42">
        <f t="shared" si="7"/>
        <v>2003</v>
      </c>
      <c r="C2009" s="31" t="s">
        <v>2122</v>
      </c>
      <c r="D2009" s="34" t="str">
        <f t="array" ref="D2009">IFNA(_xlfn.XLOOKUP(C2009,Table_Tarikan_Warkah[Nomor Sertipikat],Table_Tarikan_Warkah[Nomor Tiket]),"")</f>
        <v>K/4/100425/1</v>
      </c>
      <c r="E2009" s="36" t="str">
        <f t="array" ref="E2009">IFNA(_xlfn.XLOOKUP(D2009,Table_Tarikan_Warkah[Nomor Tiket],Table_Tarikan_Warkah[Tanggal diserahkan kepada Validator]),"")</f>
        <v/>
      </c>
      <c r="F2009" s="36" t="str">
        <f t="array" ref="F2009">IFNA(_xlfn.XLOOKUP(D2009,Table_Tarikan_Warkah[Nomor Tiket],Table_Tarikan_Warkah[Nama Petugas Warkah]),"")</f>
        <v/>
      </c>
      <c r="G2009" s="39" t="str">
        <f t="array" ref="G2009">IFNA(_xlfn.XLOOKUP(D2009,Table_Tarikan_Warkah[Nomor Tiket],Table_Tarikan_Warkah[Jenis Permohonan]),"")</f>
        <v>BN WARIS</v>
      </c>
      <c r="H2009" s="41" t="s">
        <v>20</v>
      </c>
      <c r="I2009" s="49" t="s">
        <v>23</v>
      </c>
      <c r="J2009" s="36">
        <f t="shared" si="20"/>
        <v>45782.59919</v>
      </c>
      <c r="K2009" s="49" t="s">
        <v>197</v>
      </c>
      <c r="L2009" s="49" t="s">
        <v>23</v>
      </c>
      <c r="M2009" s="36">
        <f t="shared" si="26"/>
        <v>45783.65282</v>
      </c>
      <c r="N2009" s="30" t="str">
        <f t="shared" si="27"/>
        <v>Selesai</v>
      </c>
      <c r="O2009" s="45">
        <f t="shared" si="23"/>
        <v>45783.65282</v>
      </c>
      <c r="P2009" s="47" t="b">
        <v>1</v>
      </c>
      <c r="Q2009" s="36">
        <f t="shared" si="24"/>
        <v>45783.65282</v>
      </c>
      <c r="R2009" s="47" t="b">
        <v>0</v>
      </c>
      <c r="S2009" s="42" t="str">
        <f t="shared" si="28"/>
        <v/>
      </c>
      <c r="T2009" s="42"/>
    </row>
    <row r="2010" ht="22.5" customHeight="1">
      <c r="B2010" s="42">
        <f t="shared" si="7"/>
        <v>2004</v>
      </c>
      <c r="C2010" s="31" t="s">
        <v>2123</v>
      </c>
      <c r="D2010" s="34" t="str">
        <f t="array" ref="D2010">IFNA(_xlfn.XLOOKUP(C2010,Table_Tarikan_Warkah[Nomor Sertipikat],Table_Tarikan_Warkah[Nomor Tiket]),"")</f>
        <v>K/33/040325/1</v>
      </c>
      <c r="E2010" s="36">
        <f t="array" ref="E2010">IFNA(_xlfn.XLOOKUP(D2010,Table_Tarikan_Warkah[Nomor Tiket],Table_Tarikan_Warkah[Tanggal diserahkan kepada Validator]),"")</f>
        <v>45799.52699</v>
      </c>
      <c r="F2010" s="36" t="str">
        <f t="array" ref="F2010">IFNA(_xlfn.XLOOKUP(D2010,Table_Tarikan_Warkah[Nomor Tiket],Table_Tarikan_Warkah[Nama Petugas Warkah]),"")</f>
        <v>Berry</v>
      </c>
      <c r="G2010" s="39" t="str">
        <f t="array" ref="G2010">IFNA(_xlfn.XLOOKUP(D2010,Table_Tarikan_Warkah[Nomor Tiket],Table_Tarikan_Warkah[Jenis Permohonan]),"")</f>
        <v>ROYA</v>
      </c>
      <c r="H2010" s="41" t="s">
        <v>20</v>
      </c>
      <c r="I2010" s="49" t="s">
        <v>23</v>
      </c>
      <c r="J2010" s="36">
        <f t="shared" si="20"/>
        <v>45782.59931</v>
      </c>
      <c r="K2010" s="49" t="s">
        <v>197</v>
      </c>
      <c r="L2010" s="49" t="s">
        <v>23</v>
      </c>
      <c r="M2010" s="36">
        <f t="shared" si="26"/>
        <v>45783.65282</v>
      </c>
      <c r="N2010" s="30" t="str">
        <f t="shared" si="27"/>
        <v>Selesai</v>
      </c>
      <c r="O2010" s="45">
        <f t="shared" si="23"/>
        <v>45783.65282</v>
      </c>
      <c r="P2010" s="47" t="b">
        <v>1</v>
      </c>
      <c r="Q2010" s="36">
        <f t="shared" si="24"/>
        <v>45783.65282</v>
      </c>
      <c r="R2010" s="47" t="b">
        <v>0</v>
      </c>
      <c r="S2010" s="42" t="str">
        <f t="shared" si="28"/>
        <v/>
      </c>
      <c r="T2010" s="42"/>
    </row>
    <row r="2011" ht="22.5" customHeight="1">
      <c r="B2011" s="42">
        <f t="shared" si="7"/>
        <v>2005</v>
      </c>
      <c r="C2011" s="31" t="s">
        <v>2124</v>
      </c>
      <c r="D2011" s="34" t="str">
        <f t="array" ref="D2011">IFNA(_xlfn.XLOOKUP(C2011,Table_Tarikan_Warkah[Nomor Sertipikat],Table_Tarikan_Warkah[Nomor Tiket]),"")</f>
        <v>L/8/250425/1</v>
      </c>
      <c r="E2011" s="36" t="str">
        <f t="array" ref="E2011">IFNA(_xlfn.XLOOKUP(D2011,Table_Tarikan_Warkah[Nomor Tiket],Table_Tarikan_Warkah[Tanggal diserahkan kepada Validator]),"")</f>
        <v/>
      </c>
      <c r="F2011" s="36" t="str">
        <f t="array" ref="F2011">IFNA(_xlfn.XLOOKUP(D2011,Table_Tarikan_Warkah[Nomor Tiket],Table_Tarikan_Warkah[Nama Petugas Warkah]),"")</f>
        <v/>
      </c>
      <c r="G2011" s="39" t="str">
        <f t="array" ref="G2011">IFNA(_xlfn.XLOOKUP(D2011,Table_Tarikan_Warkah[Nomor Tiket],Table_Tarikan_Warkah[Jenis Permohonan]),"")</f>
        <v>BN LELANG</v>
      </c>
      <c r="H2011" s="41" t="s">
        <v>20</v>
      </c>
      <c r="I2011" s="49" t="s">
        <v>23</v>
      </c>
      <c r="J2011" s="36">
        <f t="shared" si="20"/>
        <v>45783.4015</v>
      </c>
      <c r="K2011" s="49" t="s">
        <v>197</v>
      </c>
      <c r="L2011" s="49" t="s">
        <v>23</v>
      </c>
      <c r="M2011" s="36">
        <f t="shared" si="26"/>
        <v>45783.40158</v>
      </c>
      <c r="N2011" s="30" t="str">
        <f t="shared" si="27"/>
        <v>Selesai</v>
      </c>
      <c r="O2011" s="45">
        <f t="shared" si="23"/>
        <v>45783.40158</v>
      </c>
      <c r="P2011" s="47" t="b">
        <v>1</v>
      </c>
      <c r="Q2011" s="36">
        <f t="shared" si="24"/>
        <v>45783.40161</v>
      </c>
      <c r="R2011" s="47" t="b">
        <v>0</v>
      </c>
      <c r="S2011" s="42" t="str">
        <f t="shared" si="28"/>
        <v/>
      </c>
      <c r="T2011" s="42"/>
    </row>
    <row r="2012" ht="22.5" customHeight="1">
      <c r="B2012" s="42">
        <f t="shared" si="7"/>
        <v>2006</v>
      </c>
      <c r="C2012" s="31" t="s">
        <v>2125</v>
      </c>
      <c r="D2012" s="34" t="str">
        <f t="array" ref="D2012">IFNA(_xlfn.XLOOKUP(C2012,Table_Tarikan_Warkah[Nomor Sertipikat],Table_Tarikan_Warkah[Nomor Tiket]),"")</f>
        <v>L/9/280425/1</v>
      </c>
      <c r="E2012" s="36" t="str">
        <f t="array" ref="E2012">IFNA(_xlfn.XLOOKUP(D2012,Table_Tarikan_Warkah[Nomor Tiket],Table_Tarikan_Warkah[Tanggal diserahkan kepada Validator]),"")</f>
        <v/>
      </c>
      <c r="F2012" s="36" t="str">
        <f t="array" ref="F2012">IFNA(_xlfn.XLOOKUP(D2012,Table_Tarikan_Warkah[Nomor Tiket],Table_Tarikan_Warkah[Nama Petugas Warkah]),"")</f>
        <v/>
      </c>
      <c r="G2012" s="39" t="str">
        <f t="array" ref="G2012">IFNA(_xlfn.XLOOKUP(D2012,Table_Tarikan_Warkah[Nomor Tiket],Table_Tarikan_Warkah[Jenis Permohonan]),"")</f>
        <v>BALIK NAMA</v>
      </c>
      <c r="H2012" s="41" t="s">
        <v>20</v>
      </c>
      <c r="I2012" s="49" t="s">
        <v>23</v>
      </c>
      <c r="J2012" s="36">
        <f t="shared" si="20"/>
        <v>45783.40169</v>
      </c>
      <c r="K2012" s="49" t="s">
        <v>197</v>
      </c>
      <c r="L2012" s="49" t="s">
        <v>23</v>
      </c>
      <c r="M2012" s="36">
        <f t="shared" si="26"/>
        <v>45783.40172</v>
      </c>
      <c r="N2012" s="30" t="str">
        <f t="shared" si="27"/>
        <v>Selesai</v>
      </c>
      <c r="O2012" s="45">
        <f t="shared" si="23"/>
        <v>45783.40172</v>
      </c>
      <c r="P2012" s="47" t="b">
        <v>1</v>
      </c>
      <c r="Q2012" s="36">
        <f t="shared" si="24"/>
        <v>45783.40178</v>
      </c>
      <c r="R2012" s="47" t="b">
        <v>0</v>
      </c>
      <c r="S2012" s="42" t="str">
        <f t="shared" si="28"/>
        <v/>
      </c>
      <c r="T2012" s="42"/>
    </row>
    <row r="2013" ht="22.5" customHeight="1">
      <c r="B2013" s="42">
        <f t="shared" si="7"/>
        <v>2007</v>
      </c>
      <c r="C2013" s="31" t="s">
        <v>2126</v>
      </c>
      <c r="D2013" s="34" t="str">
        <f t="array" ref="D2013">IFNA(_xlfn.XLOOKUP(C2013,Table_Tarikan_Warkah[Nomor Sertipikat],Table_Tarikan_Warkah[Nomor Tiket]),"")</f>
        <v>L/6/230425/1</v>
      </c>
      <c r="E2013" s="36" t="str">
        <f t="array" ref="E2013">IFNA(_xlfn.XLOOKUP(D2013,Table_Tarikan_Warkah[Nomor Tiket],Table_Tarikan_Warkah[Tanggal diserahkan kepada Validator]),"")</f>
        <v/>
      </c>
      <c r="F2013" s="36" t="str">
        <f t="array" ref="F2013">IFNA(_xlfn.XLOOKUP(D2013,Table_Tarikan_Warkah[Nomor Tiket],Table_Tarikan_Warkah[Nama Petugas Warkah]),"")</f>
        <v/>
      </c>
      <c r="G2013" s="39" t="str">
        <f t="array" ref="G2013">IFNA(_xlfn.XLOOKUP(D2013,Table_Tarikan_Warkah[Nomor Tiket],Table_Tarikan_Warkah[Jenis Permohonan]),"")</f>
        <v>BN WARIS</v>
      </c>
      <c r="H2013" s="41" t="s">
        <v>20</v>
      </c>
      <c r="I2013" s="49" t="s">
        <v>23</v>
      </c>
      <c r="J2013" s="36">
        <f t="shared" si="20"/>
        <v>45783.40196</v>
      </c>
      <c r="K2013" s="49" t="s">
        <v>197</v>
      </c>
      <c r="L2013" s="49" t="s">
        <v>23</v>
      </c>
      <c r="M2013" s="36">
        <f t="shared" si="26"/>
        <v>45783.40199</v>
      </c>
      <c r="N2013" s="30" t="str">
        <f t="shared" si="27"/>
        <v>Selesai</v>
      </c>
      <c r="O2013" s="45">
        <f t="shared" si="23"/>
        <v>45783.40199</v>
      </c>
      <c r="P2013" s="47" t="b">
        <v>1</v>
      </c>
      <c r="Q2013" s="36">
        <f t="shared" si="24"/>
        <v>45783.40219</v>
      </c>
      <c r="R2013" s="47" t="b">
        <v>0</v>
      </c>
      <c r="S2013" s="42" t="str">
        <f t="shared" si="28"/>
        <v/>
      </c>
      <c r="T2013" s="42"/>
    </row>
    <row r="2014" ht="22.5" customHeight="1">
      <c r="B2014" s="42">
        <f t="shared" si="7"/>
        <v>2008</v>
      </c>
      <c r="C2014" s="31" t="s">
        <v>2127</v>
      </c>
      <c r="D2014" s="34" t="str">
        <f t="array" ref="D2014">IFNA(_xlfn.XLOOKUP(C2014,Table_Tarikan_Warkah[Nomor Sertipikat],Table_Tarikan_Warkah[Nomor Tiket]),"")</f>
        <v>K/18/230425/2</v>
      </c>
      <c r="E2014" s="36" t="str">
        <f t="array" ref="E2014">IFNA(_xlfn.XLOOKUP(D2014,Table_Tarikan_Warkah[Nomor Tiket],Table_Tarikan_Warkah[Tanggal diserahkan kepada Validator]),"")</f>
        <v/>
      </c>
      <c r="F2014" s="36" t="str">
        <f t="array" ref="F2014">IFNA(_xlfn.XLOOKUP(D2014,Table_Tarikan_Warkah[Nomor Tiket],Table_Tarikan_Warkah[Nama Petugas Warkah]),"")</f>
        <v/>
      </c>
      <c r="G2014" s="39" t="str">
        <f t="array" ref="G2014">IFNA(_xlfn.XLOOKUP(D2014,Table_Tarikan_Warkah[Nomor Tiket],Table_Tarikan_Warkah[Jenis Permohonan]),"")</f>
        <v>JUAL BELI</v>
      </c>
      <c r="H2014" s="41" t="s">
        <v>11</v>
      </c>
      <c r="I2014" s="49" t="s">
        <v>23</v>
      </c>
      <c r="J2014" s="36">
        <f t="shared" si="20"/>
        <v>45783.57335</v>
      </c>
      <c r="K2014" s="49" t="s">
        <v>197</v>
      </c>
      <c r="L2014" s="49" t="s">
        <v>23</v>
      </c>
      <c r="M2014" s="36">
        <f t="shared" si="26"/>
        <v>45784.64379</v>
      </c>
      <c r="N2014" s="30" t="str">
        <f t="shared" si="27"/>
        <v>Selesai</v>
      </c>
      <c r="O2014" s="45">
        <f t="shared" si="23"/>
        <v>45784.64379</v>
      </c>
      <c r="P2014" s="47" t="b">
        <v>1</v>
      </c>
      <c r="Q2014" s="36">
        <f t="shared" si="24"/>
        <v>45784.64379</v>
      </c>
      <c r="R2014" s="47" t="b">
        <v>0</v>
      </c>
      <c r="S2014" s="42" t="str">
        <f t="shared" si="28"/>
        <v/>
      </c>
      <c r="T2014" s="42"/>
    </row>
    <row r="2015" ht="22.5" customHeight="1">
      <c r="B2015" s="42">
        <f t="shared" si="7"/>
        <v>2009</v>
      </c>
      <c r="C2015" s="31" t="s">
        <v>2128</v>
      </c>
      <c r="D2015" s="34" t="str">
        <f t="array" ref="D2015">IFNA(_xlfn.XLOOKUP(C2015,Table_Tarikan_Warkah[Nomor Sertipikat],Table_Tarikan_Warkah[Nomor Tiket]),"")</f>
        <v>K/34/210425/1</v>
      </c>
      <c r="E2015" s="36" t="str">
        <f t="array" ref="E2015">IFNA(_xlfn.XLOOKUP(D2015,Table_Tarikan_Warkah[Nomor Tiket],Table_Tarikan_Warkah[Tanggal diserahkan kepada Validator]),"")</f>
        <v/>
      </c>
      <c r="F2015" s="36" t="str">
        <f t="array" ref="F2015">IFNA(_xlfn.XLOOKUP(D2015,Table_Tarikan_Warkah[Nomor Tiket],Table_Tarikan_Warkah[Nama Petugas Warkah]),"")</f>
        <v/>
      </c>
      <c r="G2015" s="39" t="str">
        <f t="array" ref="G2015">IFNA(_xlfn.XLOOKUP(D2015,Table_Tarikan_Warkah[Nomor Tiket],Table_Tarikan_Warkah[Jenis Permohonan]),"")</f>
        <v>JUAL BELI</v>
      </c>
      <c r="H2015" s="41" t="s">
        <v>11</v>
      </c>
      <c r="I2015" s="49" t="s">
        <v>23</v>
      </c>
      <c r="J2015" s="36">
        <f t="shared" si="20"/>
        <v>45783.57343</v>
      </c>
      <c r="K2015" s="49" t="s">
        <v>197</v>
      </c>
      <c r="L2015" s="49" t="s">
        <v>23</v>
      </c>
      <c r="M2015" s="36">
        <f t="shared" si="26"/>
        <v>45784.64379</v>
      </c>
      <c r="N2015" s="30" t="str">
        <f t="shared" si="27"/>
        <v>Selesai</v>
      </c>
      <c r="O2015" s="45">
        <f t="shared" si="23"/>
        <v>45784.64379</v>
      </c>
      <c r="P2015" s="47" t="b">
        <v>1</v>
      </c>
      <c r="Q2015" s="36">
        <f t="shared" si="24"/>
        <v>45784.64379</v>
      </c>
      <c r="R2015" s="47" t="b">
        <v>0</v>
      </c>
      <c r="S2015" s="42" t="str">
        <f t="shared" si="28"/>
        <v/>
      </c>
      <c r="T2015" s="42"/>
    </row>
    <row r="2016" ht="22.5" customHeight="1">
      <c r="B2016" s="42">
        <f t="shared" si="7"/>
        <v>2010</v>
      </c>
      <c r="C2016" s="31" t="s">
        <v>2129</v>
      </c>
      <c r="D2016" s="34" t="str">
        <f t="array" ref="D2016">IFNA(_xlfn.XLOOKUP(C2016,Table_Tarikan_Warkah[Nomor Sertipikat],Table_Tarikan_Warkah[Nomor Tiket]),"")</f>
        <v>K/18/280425/2</v>
      </c>
      <c r="E2016" s="36" t="str">
        <f t="array" ref="E2016">IFNA(_xlfn.XLOOKUP(D2016,Table_Tarikan_Warkah[Nomor Tiket],Table_Tarikan_Warkah[Tanggal diserahkan kepada Validator]),"")</f>
        <v/>
      </c>
      <c r="F2016" s="36" t="str">
        <f t="array" ref="F2016">IFNA(_xlfn.XLOOKUP(D2016,Table_Tarikan_Warkah[Nomor Tiket],Table_Tarikan_Warkah[Nama Petugas Warkah]),"")</f>
        <v/>
      </c>
      <c r="G2016" s="39" t="str">
        <f t="array" ref="G2016">IFNA(_xlfn.XLOOKUP(D2016,Table_Tarikan_Warkah[Nomor Tiket],Table_Tarikan_Warkah[Jenis Permohonan]),"")</f>
        <v>HIBAH</v>
      </c>
      <c r="H2016" s="41" t="s">
        <v>11</v>
      </c>
      <c r="I2016" s="49" t="s">
        <v>23</v>
      </c>
      <c r="J2016" s="36">
        <f t="shared" si="20"/>
        <v>45783.57343</v>
      </c>
      <c r="K2016" s="49" t="s">
        <v>197</v>
      </c>
      <c r="L2016" s="49" t="s">
        <v>23</v>
      </c>
      <c r="M2016" s="36">
        <f t="shared" si="26"/>
        <v>45784.64379</v>
      </c>
      <c r="N2016" s="30" t="str">
        <f t="shared" si="27"/>
        <v>Selesai</v>
      </c>
      <c r="O2016" s="45">
        <f t="shared" si="23"/>
        <v>45784.64379</v>
      </c>
      <c r="P2016" s="47" t="b">
        <v>1</v>
      </c>
      <c r="Q2016" s="36">
        <f t="shared" si="24"/>
        <v>45784.64379</v>
      </c>
      <c r="R2016" s="47" t="b">
        <v>0</v>
      </c>
      <c r="S2016" s="42" t="str">
        <f t="shared" si="28"/>
        <v/>
      </c>
      <c r="T2016" s="42"/>
    </row>
    <row r="2017" ht="22.5" customHeight="1">
      <c r="B2017" s="42">
        <f t="shared" si="7"/>
        <v>2011</v>
      </c>
      <c r="C2017" s="31" t="s">
        <v>2130</v>
      </c>
      <c r="D2017" s="34" t="str">
        <f t="array" ref="D2017">IFNA(_xlfn.XLOOKUP(C2017,Table_Tarikan_Warkah[Nomor Sertipikat],Table_Tarikan_Warkah[Nomor Tiket]),"")</f>
        <v>K/28/280425/3</v>
      </c>
      <c r="E2017" s="36" t="str">
        <f t="array" ref="E2017">IFNA(_xlfn.XLOOKUP(D2017,Table_Tarikan_Warkah[Nomor Tiket],Table_Tarikan_Warkah[Tanggal diserahkan kepada Validator]),"")</f>
        <v/>
      </c>
      <c r="F2017" s="36" t="str">
        <f t="array" ref="F2017">IFNA(_xlfn.XLOOKUP(D2017,Table_Tarikan_Warkah[Nomor Tiket],Table_Tarikan_Warkah[Nama Petugas Warkah]),"")</f>
        <v/>
      </c>
      <c r="G2017" s="39" t="str">
        <f t="array" ref="G2017">IFNA(_xlfn.XLOOKUP(D2017,Table_Tarikan_Warkah[Nomor Tiket],Table_Tarikan_Warkah[Jenis Permohonan]),"")</f>
        <v>JUAL BELI</v>
      </c>
      <c r="H2017" s="41" t="s">
        <v>11</v>
      </c>
      <c r="I2017" s="49" t="s">
        <v>23</v>
      </c>
      <c r="J2017" s="36">
        <f t="shared" si="20"/>
        <v>45783.57343</v>
      </c>
      <c r="K2017" s="49" t="s">
        <v>197</v>
      </c>
      <c r="L2017" s="49" t="s">
        <v>23</v>
      </c>
      <c r="M2017" s="36">
        <f t="shared" si="26"/>
        <v>45784.64379</v>
      </c>
      <c r="N2017" s="30" t="str">
        <f t="shared" si="27"/>
        <v>Selesai</v>
      </c>
      <c r="O2017" s="45">
        <f t="shared" si="23"/>
        <v>45784.64379</v>
      </c>
      <c r="P2017" s="47" t="b">
        <v>1</v>
      </c>
      <c r="Q2017" s="36">
        <f t="shared" si="24"/>
        <v>45784.64379</v>
      </c>
      <c r="R2017" s="47" t="b">
        <v>0</v>
      </c>
      <c r="S2017" s="42" t="str">
        <f t="shared" si="28"/>
        <v/>
      </c>
      <c r="T2017" s="42"/>
    </row>
    <row r="2018" ht="22.5" customHeight="1">
      <c r="B2018" s="42">
        <f t="shared" si="7"/>
        <v>2012</v>
      </c>
      <c r="C2018" s="31" t="s">
        <v>2131</v>
      </c>
      <c r="D2018" s="34" t="str">
        <f t="array" ref="D2018">IFNA(_xlfn.XLOOKUP(C2018,Table_Tarikan_Warkah[Nomor Sertipikat],Table_Tarikan_Warkah[Nomor Tiket]),"")</f>
        <v>K/29/280425/4</v>
      </c>
      <c r="E2018" s="36" t="str">
        <f t="array" ref="E2018">IFNA(_xlfn.XLOOKUP(D2018,Table_Tarikan_Warkah[Nomor Tiket],Table_Tarikan_Warkah[Tanggal diserahkan kepada Validator]),"")</f>
        <v/>
      </c>
      <c r="F2018" s="36" t="str">
        <f t="array" ref="F2018">IFNA(_xlfn.XLOOKUP(D2018,Table_Tarikan_Warkah[Nomor Tiket],Table_Tarikan_Warkah[Nama Petugas Warkah]),"")</f>
        <v/>
      </c>
      <c r="G2018" s="39" t="str">
        <f t="array" ref="G2018">IFNA(_xlfn.XLOOKUP(D2018,Table_Tarikan_Warkah[Nomor Tiket],Table_Tarikan_Warkah[Jenis Permohonan]),"")</f>
        <v>JUAL BELI</v>
      </c>
      <c r="H2018" s="41" t="s">
        <v>11</v>
      </c>
      <c r="I2018" s="49" t="s">
        <v>23</v>
      </c>
      <c r="J2018" s="36">
        <f t="shared" si="20"/>
        <v>45783.57343</v>
      </c>
      <c r="K2018" s="49" t="s">
        <v>197</v>
      </c>
      <c r="L2018" s="49" t="s">
        <v>23</v>
      </c>
      <c r="M2018" s="36">
        <f t="shared" si="26"/>
        <v>45784.64379</v>
      </c>
      <c r="N2018" s="30" t="str">
        <f t="shared" si="27"/>
        <v>Selesai</v>
      </c>
      <c r="O2018" s="45">
        <f t="shared" si="23"/>
        <v>45784.64379</v>
      </c>
      <c r="P2018" s="47" t="b">
        <v>1</v>
      </c>
      <c r="Q2018" s="36">
        <f t="shared" si="24"/>
        <v>45784.64379</v>
      </c>
      <c r="R2018" s="47" t="b">
        <v>0</v>
      </c>
      <c r="S2018" s="42" t="str">
        <f t="shared" si="28"/>
        <v/>
      </c>
      <c r="T2018" s="42"/>
    </row>
    <row r="2019" ht="22.5" customHeight="1">
      <c r="B2019" s="42">
        <f t="shared" si="7"/>
        <v>2013</v>
      </c>
      <c r="C2019" s="31" t="s">
        <v>2132</v>
      </c>
      <c r="D2019" s="34" t="str">
        <f t="array" ref="D2019">IFNA(_xlfn.XLOOKUP(C2019,Table_Tarikan_Warkah[Nomor Sertipikat],Table_Tarikan_Warkah[Nomor Tiket]),"")</f>
        <v>K/14/280425/1</v>
      </c>
      <c r="E2019" s="36" t="str">
        <f t="array" ref="E2019">IFNA(_xlfn.XLOOKUP(D2019,Table_Tarikan_Warkah[Nomor Tiket],Table_Tarikan_Warkah[Tanggal diserahkan kepada Validator]),"")</f>
        <v/>
      </c>
      <c r="F2019" s="36" t="str">
        <f t="array" ref="F2019">IFNA(_xlfn.XLOOKUP(D2019,Table_Tarikan_Warkah[Nomor Tiket],Table_Tarikan_Warkah[Nama Petugas Warkah]),"")</f>
        <v/>
      </c>
      <c r="G2019" s="39" t="str">
        <f t="array" ref="G2019">IFNA(_xlfn.XLOOKUP(D2019,Table_Tarikan_Warkah[Nomor Tiket],Table_Tarikan_Warkah[Jenis Permohonan]),"")</f>
        <v>JUAL BELI</v>
      </c>
      <c r="H2019" s="41" t="s">
        <v>11</v>
      </c>
      <c r="I2019" s="49" t="s">
        <v>23</v>
      </c>
      <c r="J2019" s="36">
        <f t="shared" si="20"/>
        <v>45783.57343</v>
      </c>
      <c r="K2019" s="49" t="s">
        <v>197</v>
      </c>
      <c r="L2019" s="49" t="s">
        <v>23</v>
      </c>
      <c r="M2019" s="36">
        <f t="shared" si="26"/>
        <v>45784.64379</v>
      </c>
      <c r="N2019" s="30" t="str">
        <f t="shared" si="27"/>
        <v>Selesai</v>
      </c>
      <c r="O2019" s="45">
        <f t="shared" si="23"/>
        <v>45784.64379</v>
      </c>
      <c r="P2019" s="47" t="b">
        <v>1</v>
      </c>
      <c r="Q2019" s="36">
        <f t="shared" si="24"/>
        <v>45784.64379</v>
      </c>
      <c r="R2019" s="47" t="b">
        <v>0</v>
      </c>
      <c r="S2019" s="42" t="str">
        <f t="shared" si="28"/>
        <v/>
      </c>
      <c r="T2019" s="42"/>
    </row>
    <row r="2020" ht="22.5" customHeight="1">
      <c r="B2020" s="42">
        <f t="shared" si="7"/>
        <v>2014</v>
      </c>
      <c r="C2020" s="31" t="s">
        <v>2133</v>
      </c>
      <c r="D2020" s="34" t="str">
        <f t="array" ref="D2020">IFNA(_xlfn.XLOOKUP(C2020,Table_Tarikan_Warkah[Nomor Sertipikat],Table_Tarikan_Warkah[Nomor Tiket]),"")</f>
        <v>K/29/250425/1</v>
      </c>
      <c r="E2020" s="36" t="str">
        <f t="array" ref="E2020">IFNA(_xlfn.XLOOKUP(D2020,Table_Tarikan_Warkah[Nomor Tiket],Table_Tarikan_Warkah[Tanggal diserahkan kepada Validator]),"")</f>
        <v/>
      </c>
      <c r="F2020" s="36" t="str">
        <f t="array" ref="F2020">IFNA(_xlfn.XLOOKUP(D2020,Table_Tarikan_Warkah[Nomor Tiket],Table_Tarikan_Warkah[Nama Petugas Warkah]),"")</f>
        <v/>
      </c>
      <c r="G2020" s="39" t="str">
        <f t="array" ref="G2020">IFNA(_xlfn.XLOOKUP(D2020,Table_Tarikan_Warkah[Nomor Tiket],Table_Tarikan_Warkah[Jenis Permohonan]),"")</f>
        <v>JUAL BELI</v>
      </c>
      <c r="H2020" s="41" t="s">
        <v>11</v>
      </c>
      <c r="I2020" s="49" t="s">
        <v>23</v>
      </c>
      <c r="J2020" s="36">
        <f t="shared" si="20"/>
        <v>45783.57343</v>
      </c>
      <c r="K2020" s="49" t="s">
        <v>197</v>
      </c>
      <c r="L2020" s="49" t="s">
        <v>23</v>
      </c>
      <c r="M2020" s="36">
        <f t="shared" si="26"/>
        <v>45784.64379</v>
      </c>
      <c r="N2020" s="30" t="str">
        <f t="shared" si="27"/>
        <v>Selesai</v>
      </c>
      <c r="O2020" s="45">
        <f t="shared" si="23"/>
        <v>45784.64379</v>
      </c>
      <c r="P2020" s="47" t="b">
        <v>1</v>
      </c>
      <c r="Q2020" s="36">
        <f t="shared" si="24"/>
        <v>45784.64379</v>
      </c>
      <c r="R2020" s="47" t="b">
        <v>0</v>
      </c>
      <c r="S2020" s="42" t="str">
        <f t="shared" si="28"/>
        <v/>
      </c>
      <c r="T2020" s="42"/>
    </row>
    <row r="2021" ht="22.5" customHeight="1">
      <c r="B2021" s="42">
        <f t="shared" si="7"/>
        <v>2015</v>
      </c>
      <c r="C2021" s="31" t="s">
        <v>2134</v>
      </c>
      <c r="D2021" s="34" t="str">
        <f t="array" ref="D2021">IFNA(_xlfn.XLOOKUP(C2021,Table_Tarikan_Warkah[Nomor Sertipikat],Table_Tarikan_Warkah[Nomor Tiket]),"")</f>
        <v>K/28/150425/1</v>
      </c>
      <c r="E2021" s="36">
        <f t="array" ref="E2021">IFNA(_xlfn.XLOOKUP(D2021,Table_Tarikan_Warkah[Nomor Tiket],Table_Tarikan_Warkah[Tanggal diserahkan kepada Validator]),"")</f>
        <v>45819.79087</v>
      </c>
      <c r="F2021" s="36" t="str">
        <f t="array" ref="F2021">IFNA(_xlfn.XLOOKUP(D2021,Table_Tarikan_Warkah[Nomor Tiket],Table_Tarikan_Warkah[Nama Petugas Warkah]),"")</f>
        <v>Berry</v>
      </c>
      <c r="G2021" s="39" t="str">
        <f t="array" ref="G2021">IFNA(_xlfn.XLOOKUP(D2021,Table_Tarikan_Warkah[Nomor Tiket],Table_Tarikan_Warkah[Jenis Permohonan]),"")</f>
        <v>BN WARIS</v>
      </c>
      <c r="H2021" s="41" t="s">
        <v>11</v>
      </c>
      <c r="I2021" s="49" t="s">
        <v>23</v>
      </c>
      <c r="J2021" s="36">
        <f t="shared" si="20"/>
        <v>45783.57343</v>
      </c>
      <c r="K2021" s="49" t="s">
        <v>197</v>
      </c>
      <c r="L2021" s="49" t="s">
        <v>23</v>
      </c>
      <c r="M2021" s="36">
        <f t="shared" si="26"/>
        <v>45784.64379</v>
      </c>
      <c r="N2021" s="30" t="str">
        <f t="shared" si="27"/>
        <v>Selesai</v>
      </c>
      <c r="O2021" s="45">
        <f t="shared" si="23"/>
        <v>45784.64379</v>
      </c>
      <c r="P2021" s="47" t="b">
        <v>1</v>
      </c>
      <c r="Q2021" s="36">
        <f t="shared" si="24"/>
        <v>45784.64382</v>
      </c>
      <c r="R2021" s="47" t="b">
        <v>0</v>
      </c>
      <c r="S2021" s="42" t="str">
        <f t="shared" si="28"/>
        <v/>
      </c>
      <c r="T2021" s="42"/>
    </row>
    <row r="2022" ht="22.5" customHeight="1">
      <c r="B2022" s="42">
        <f t="shared" si="7"/>
        <v>2016</v>
      </c>
      <c r="C2022" s="31" t="s">
        <v>2135</v>
      </c>
      <c r="D2022" s="34" t="str">
        <f t="array" ref="D2022">IFNA(_xlfn.XLOOKUP(C2022,Table_Tarikan_Warkah[Nomor Sertipikat],Table_Tarikan_Warkah[Nomor Tiket]),"")</f>
        <v>K/47/290425/1</v>
      </c>
      <c r="E2022" s="36" t="str">
        <f t="array" ref="E2022">IFNA(_xlfn.XLOOKUP(D2022,Table_Tarikan_Warkah[Nomor Tiket],Table_Tarikan_Warkah[Tanggal diserahkan kepada Validator]),"")</f>
        <v/>
      </c>
      <c r="F2022" s="36" t="str">
        <f t="array" ref="F2022">IFNA(_xlfn.XLOOKUP(D2022,Table_Tarikan_Warkah[Nomor Tiket],Table_Tarikan_Warkah[Nama Petugas Warkah]),"")</f>
        <v/>
      </c>
      <c r="G2022" s="39" t="str">
        <f t="array" ref="G2022">IFNA(_xlfn.XLOOKUP(D2022,Table_Tarikan_Warkah[Nomor Tiket],Table_Tarikan_Warkah[Jenis Permohonan]),"")</f>
        <v>PEMECAHAN</v>
      </c>
      <c r="H2022" s="41" t="s">
        <v>11</v>
      </c>
      <c r="I2022" s="49" t="s">
        <v>23</v>
      </c>
      <c r="J2022" s="36">
        <f t="shared" si="20"/>
        <v>45783.57343</v>
      </c>
      <c r="K2022" s="49" t="s">
        <v>197</v>
      </c>
      <c r="L2022" s="49" t="s">
        <v>23</v>
      </c>
      <c r="M2022" s="36">
        <f t="shared" si="26"/>
        <v>45784.64379</v>
      </c>
      <c r="N2022" s="30" t="str">
        <f t="shared" si="27"/>
        <v>Selesai</v>
      </c>
      <c r="O2022" s="45">
        <f t="shared" si="23"/>
        <v>45784.64379</v>
      </c>
      <c r="P2022" s="47" t="b">
        <v>1</v>
      </c>
      <c r="Q2022" s="36">
        <f t="shared" si="24"/>
        <v>45784.64392</v>
      </c>
      <c r="R2022" s="47" t="b">
        <v>0</v>
      </c>
      <c r="S2022" s="42" t="str">
        <f t="shared" si="28"/>
        <v/>
      </c>
      <c r="T2022" s="42"/>
    </row>
    <row r="2023" ht="22.5" customHeight="1">
      <c r="B2023" s="42">
        <f t="shared" si="7"/>
        <v>2017</v>
      </c>
      <c r="C2023" s="31" t="s">
        <v>2136</v>
      </c>
      <c r="D2023" s="34" t="str">
        <f t="array" ref="D2023">IFNA(_xlfn.XLOOKUP(C2023,Table_Tarikan_Warkah[Nomor Sertipikat],Table_Tarikan_Warkah[Nomor Tiket]),"")</f>
        <v>K/15/230425/1</v>
      </c>
      <c r="E2023" s="36" t="str">
        <f t="array" ref="E2023">IFNA(_xlfn.XLOOKUP(D2023,Table_Tarikan_Warkah[Nomor Tiket],Table_Tarikan_Warkah[Tanggal diserahkan kepada Validator]),"")</f>
        <v/>
      </c>
      <c r="F2023" s="36" t="str">
        <f t="array" ref="F2023">IFNA(_xlfn.XLOOKUP(D2023,Table_Tarikan_Warkah[Nomor Tiket],Table_Tarikan_Warkah[Nama Petugas Warkah]),"")</f>
        <v/>
      </c>
      <c r="G2023" s="39" t="str">
        <f t="array" ref="G2023">IFNA(_xlfn.XLOOKUP(D2023,Table_Tarikan_Warkah[Nomor Tiket],Table_Tarikan_Warkah[Jenis Permohonan]),"")</f>
        <v>BN JUAL BELI</v>
      </c>
      <c r="H2023" s="41" t="s">
        <v>11</v>
      </c>
      <c r="I2023" s="49" t="s">
        <v>23</v>
      </c>
      <c r="J2023" s="36">
        <f t="shared" si="20"/>
        <v>45783.57343</v>
      </c>
      <c r="K2023" s="49" t="s">
        <v>197</v>
      </c>
      <c r="L2023" s="49" t="s">
        <v>23</v>
      </c>
      <c r="M2023" s="36">
        <f t="shared" si="26"/>
        <v>45784.64379</v>
      </c>
      <c r="N2023" s="30" t="str">
        <f t="shared" si="27"/>
        <v>Selesai</v>
      </c>
      <c r="O2023" s="45">
        <f t="shared" si="23"/>
        <v>45784.64379</v>
      </c>
      <c r="P2023" s="47" t="b">
        <v>1</v>
      </c>
      <c r="Q2023" s="36">
        <f t="shared" si="24"/>
        <v>45784.64392</v>
      </c>
      <c r="R2023" s="47" t="b">
        <v>0</v>
      </c>
      <c r="S2023" s="42" t="str">
        <f t="shared" si="28"/>
        <v/>
      </c>
      <c r="T2023" s="42"/>
    </row>
    <row r="2024" ht="22.5" customHeight="1">
      <c r="B2024" s="42">
        <f t="shared" si="7"/>
        <v>2018</v>
      </c>
      <c r="C2024" s="31" t="s">
        <v>2137</v>
      </c>
      <c r="D2024" s="34" t="str">
        <f t="array" ref="D2024">IFNA(_xlfn.XLOOKUP(C2024,Table_Tarikan_Warkah[Nomor Sertipikat],Table_Tarikan_Warkah[Nomor Tiket]),"")</f>
        <v>K/31/240425/4</v>
      </c>
      <c r="E2024" s="36" t="str">
        <f t="array" ref="E2024">IFNA(_xlfn.XLOOKUP(D2024,Table_Tarikan_Warkah[Nomor Tiket],Table_Tarikan_Warkah[Tanggal diserahkan kepada Validator]),"")</f>
        <v/>
      </c>
      <c r="F2024" s="36" t="str">
        <f t="array" ref="F2024">IFNA(_xlfn.XLOOKUP(D2024,Table_Tarikan_Warkah[Nomor Tiket],Table_Tarikan_Warkah[Nama Petugas Warkah]),"")</f>
        <v/>
      </c>
      <c r="G2024" s="39" t="str">
        <f t="array" ref="G2024">IFNA(_xlfn.XLOOKUP(D2024,Table_Tarikan_Warkah[Nomor Tiket],Table_Tarikan_Warkah[Jenis Permohonan]),"")</f>
        <v>BN JUAL BELI</v>
      </c>
      <c r="H2024" s="41" t="s">
        <v>11</v>
      </c>
      <c r="I2024" s="49" t="s">
        <v>23</v>
      </c>
      <c r="J2024" s="36">
        <f t="shared" si="20"/>
        <v>45783.57343</v>
      </c>
      <c r="K2024" s="49" t="s">
        <v>197</v>
      </c>
      <c r="L2024" s="49" t="s">
        <v>23</v>
      </c>
      <c r="M2024" s="36">
        <f t="shared" si="26"/>
        <v>45784.64379</v>
      </c>
      <c r="N2024" s="30" t="str">
        <f t="shared" si="27"/>
        <v>Selesai</v>
      </c>
      <c r="O2024" s="45">
        <f t="shared" si="23"/>
        <v>45784.64379</v>
      </c>
      <c r="P2024" s="47" t="b">
        <v>1</v>
      </c>
      <c r="Q2024" s="36">
        <f t="shared" si="24"/>
        <v>45784.64392</v>
      </c>
      <c r="R2024" s="47" t="b">
        <v>0</v>
      </c>
      <c r="S2024" s="42" t="str">
        <f t="shared" si="28"/>
        <v/>
      </c>
      <c r="T2024" s="42"/>
    </row>
    <row r="2025" ht="22.5" customHeight="1">
      <c r="B2025" s="42">
        <f t="shared" si="7"/>
        <v>2019</v>
      </c>
      <c r="C2025" s="31" t="s">
        <v>2138</v>
      </c>
      <c r="D2025" s="34" t="str">
        <f t="array" ref="D2025">IFNA(_xlfn.XLOOKUP(C2025,Table_Tarikan_Warkah[Nomor Sertipikat],Table_Tarikan_Warkah[Nomor Tiket]),"")</f>
        <v>K/13/100425/3</v>
      </c>
      <c r="E2025" s="36" t="str">
        <f t="array" ref="E2025">IFNA(_xlfn.XLOOKUP(D2025,Table_Tarikan_Warkah[Nomor Tiket],Table_Tarikan_Warkah[Tanggal diserahkan kepada Validator]),"")</f>
        <v/>
      </c>
      <c r="F2025" s="36" t="str">
        <f t="array" ref="F2025">IFNA(_xlfn.XLOOKUP(D2025,Table_Tarikan_Warkah[Nomor Tiket],Table_Tarikan_Warkah[Nama Petugas Warkah]),"")</f>
        <v/>
      </c>
      <c r="G2025" s="39" t="str">
        <f t="array" ref="G2025">IFNA(_xlfn.XLOOKUP(D2025,Table_Tarikan_Warkah[Nomor Tiket],Table_Tarikan_Warkah[Jenis Permohonan]),"")</f>
        <v>BN JUAL BELI </v>
      </c>
      <c r="H2025" s="41" t="s">
        <v>11</v>
      </c>
      <c r="I2025" s="49" t="s">
        <v>23</v>
      </c>
      <c r="J2025" s="36">
        <f t="shared" si="20"/>
        <v>45783.57343</v>
      </c>
      <c r="K2025" s="49" t="s">
        <v>197</v>
      </c>
      <c r="L2025" s="49" t="s">
        <v>23</v>
      </c>
      <c r="M2025" s="36">
        <f t="shared" si="26"/>
        <v>45784.64379</v>
      </c>
      <c r="N2025" s="30" t="str">
        <f t="shared" si="27"/>
        <v>Selesai</v>
      </c>
      <c r="O2025" s="45">
        <f t="shared" si="23"/>
        <v>45784.64379</v>
      </c>
      <c r="P2025" s="47" t="b">
        <v>1</v>
      </c>
      <c r="Q2025" s="36">
        <f t="shared" si="24"/>
        <v>45784.64392</v>
      </c>
      <c r="R2025" s="47" t="b">
        <v>0</v>
      </c>
      <c r="S2025" s="42" t="str">
        <f t="shared" si="28"/>
        <v/>
      </c>
      <c r="T2025" s="42"/>
    </row>
    <row r="2026" ht="22.5" customHeight="1">
      <c r="B2026" s="42">
        <f t="shared" si="7"/>
        <v>2020</v>
      </c>
      <c r="C2026" s="31" t="s">
        <v>2139</v>
      </c>
      <c r="D2026" s="34" t="str">
        <f t="array" ref="D2026">IFNA(_xlfn.XLOOKUP(C2026,Table_Tarikan_Warkah[Nomor Sertipikat],Table_Tarikan_Warkah[Nomor Tiket]),"")</f>
        <v>K/21/090425/1</v>
      </c>
      <c r="E2026" s="36" t="str">
        <f t="array" ref="E2026">IFNA(_xlfn.XLOOKUP(D2026,Table_Tarikan_Warkah[Nomor Tiket],Table_Tarikan_Warkah[Tanggal diserahkan kepada Validator]),"")</f>
        <v/>
      </c>
      <c r="F2026" s="36" t="str">
        <f t="array" ref="F2026">IFNA(_xlfn.XLOOKUP(D2026,Table_Tarikan_Warkah[Nomor Tiket],Table_Tarikan_Warkah[Nama Petugas Warkah]),"")</f>
        <v/>
      </c>
      <c r="G2026" s="39" t="str">
        <f t="array" ref="G2026">IFNA(_xlfn.XLOOKUP(D2026,Table_Tarikan_Warkah[Nomor Tiket],Table_Tarikan_Warkah[Jenis Permohonan]),"")</f>
        <v>BN JUAL BELI</v>
      </c>
      <c r="H2026" s="41" t="s">
        <v>11</v>
      </c>
      <c r="I2026" s="49" t="s">
        <v>23</v>
      </c>
      <c r="J2026" s="36">
        <f t="shared" si="20"/>
        <v>45783.57343</v>
      </c>
      <c r="K2026" s="49" t="s">
        <v>197</v>
      </c>
      <c r="L2026" s="49" t="s">
        <v>23</v>
      </c>
      <c r="M2026" s="36">
        <f t="shared" si="26"/>
        <v>45784.64379</v>
      </c>
      <c r="N2026" s="30" t="str">
        <f t="shared" si="27"/>
        <v>Selesai</v>
      </c>
      <c r="O2026" s="45">
        <f t="shared" si="23"/>
        <v>45784.64379</v>
      </c>
      <c r="P2026" s="47" t="b">
        <v>1</v>
      </c>
      <c r="Q2026" s="36">
        <f t="shared" si="24"/>
        <v>45784.64392</v>
      </c>
      <c r="R2026" s="47" t="b">
        <v>0</v>
      </c>
      <c r="S2026" s="42" t="str">
        <f t="shared" si="28"/>
        <v/>
      </c>
      <c r="T2026" s="42"/>
    </row>
    <row r="2027" ht="22.5" customHeight="1">
      <c r="B2027" s="42">
        <f t="shared" si="7"/>
        <v>2021</v>
      </c>
      <c r="C2027" s="31" t="s">
        <v>2140</v>
      </c>
      <c r="D2027" s="34" t="str">
        <f t="array" ref="D2027">IFNA(_xlfn.XLOOKUP(C2027,Table_Tarikan_Warkah[Nomor Sertipikat],Table_Tarikan_Warkah[Nomor Tiket]),"")</f>
        <v>K/20/280425/2</v>
      </c>
      <c r="E2027" s="36" t="str">
        <f t="array" ref="E2027">IFNA(_xlfn.XLOOKUP(D2027,Table_Tarikan_Warkah[Nomor Tiket],Table_Tarikan_Warkah[Tanggal diserahkan kepada Validator]),"")</f>
        <v/>
      </c>
      <c r="F2027" s="36" t="str">
        <f t="array" ref="F2027">IFNA(_xlfn.XLOOKUP(D2027,Table_Tarikan_Warkah[Nomor Tiket],Table_Tarikan_Warkah[Nama Petugas Warkah]),"")</f>
        <v/>
      </c>
      <c r="G2027" s="39" t="str">
        <f t="array" ref="G2027">IFNA(_xlfn.XLOOKUP(D2027,Table_Tarikan_Warkah[Nomor Tiket],Table_Tarikan_Warkah[Jenis Permohonan]),"")</f>
        <v>BN JUAL BELI</v>
      </c>
      <c r="H2027" s="41" t="s">
        <v>11</v>
      </c>
      <c r="I2027" s="49" t="s">
        <v>23</v>
      </c>
      <c r="J2027" s="36">
        <f t="shared" si="20"/>
        <v>45783.57343</v>
      </c>
      <c r="K2027" s="49" t="s">
        <v>197</v>
      </c>
      <c r="L2027" s="49" t="s">
        <v>23</v>
      </c>
      <c r="M2027" s="36">
        <f t="shared" si="26"/>
        <v>45784.64379</v>
      </c>
      <c r="N2027" s="30" t="str">
        <f t="shared" si="27"/>
        <v>Selesai</v>
      </c>
      <c r="O2027" s="45">
        <f t="shared" si="23"/>
        <v>45784.64379</v>
      </c>
      <c r="P2027" s="47" t="b">
        <v>1</v>
      </c>
      <c r="Q2027" s="36">
        <f t="shared" si="24"/>
        <v>45784.64392</v>
      </c>
      <c r="R2027" s="47" t="b">
        <v>0</v>
      </c>
      <c r="S2027" s="42" t="str">
        <f t="shared" si="28"/>
        <v/>
      </c>
      <c r="T2027" s="42"/>
    </row>
    <row r="2028" ht="22.5" customHeight="1">
      <c r="B2028" s="42">
        <f t="shared" si="7"/>
        <v>2022</v>
      </c>
      <c r="C2028" s="31" t="s">
        <v>2141</v>
      </c>
      <c r="D2028" s="34" t="str">
        <f t="array" ref="D2028">IFNA(_xlfn.XLOOKUP(C2028,Table_Tarikan_Warkah[Nomor Sertipikat],Table_Tarikan_Warkah[Nomor Tiket]),"")</f>
        <v>K/27/280425/2</v>
      </c>
      <c r="E2028" s="36" t="str">
        <f t="array" ref="E2028">IFNA(_xlfn.XLOOKUP(D2028,Table_Tarikan_Warkah[Nomor Tiket],Table_Tarikan_Warkah[Tanggal diserahkan kepada Validator]),"")</f>
        <v/>
      </c>
      <c r="F2028" s="36" t="str">
        <f t="array" ref="F2028">IFNA(_xlfn.XLOOKUP(D2028,Table_Tarikan_Warkah[Nomor Tiket],Table_Tarikan_Warkah[Nama Petugas Warkah]),"")</f>
        <v/>
      </c>
      <c r="G2028" s="39" t="str">
        <f t="array" ref="G2028">IFNA(_xlfn.XLOOKUP(D2028,Table_Tarikan_Warkah[Nomor Tiket],Table_Tarikan_Warkah[Jenis Permohonan]),"")</f>
        <v>BN HIBAH</v>
      </c>
      <c r="H2028" s="41" t="s">
        <v>11</v>
      </c>
      <c r="I2028" s="49" t="s">
        <v>23</v>
      </c>
      <c r="J2028" s="36">
        <f t="shared" si="20"/>
        <v>45783.57343</v>
      </c>
      <c r="K2028" s="49" t="s">
        <v>197</v>
      </c>
      <c r="L2028" s="49" t="s">
        <v>23</v>
      </c>
      <c r="M2028" s="36">
        <f t="shared" si="26"/>
        <v>45784.64379</v>
      </c>
      <c r="N2028" s="30" t="str">
        <f t="shared" si="27"/>
        <v>Selesai</v>
      </c>
      <c r="O2028" s="45">
        <f t="shared" si="23"/>
        <v>45784.64379</v>
      </c>
      <c r="P2028" s="47" t="b">
        <v>1</v>
      </c>
      <c r="Q2028" s="36">
        <f t="shared" si="24"/>
        <v>45784.64392</v>
      </c>
      <c r="R2028" s="47" t="b">
        <v>0</v>
      </c>
      <c r="S2028" s="42" t="str">
        <f t="shared" si="28"/>
        <v/>
      </c>
      <c r="T2028" s="42"/>
    </row>
    <row r="2029" ht="22.5" customHeight="1">
      <c r="B2029" s="42">
        <f t="shared" si="7"/>
        <v>2023</v>
      </c>
      <c r="C2029" s="31" t="s">
        <v>2142</v>
      </c>
      <c r="D2029" s="34" t="str">
        <f t="array" ref="D2029">IFNA(_xlfn.XLOOKUP(C2029,Table_Tarikan_Warkah[Nomor Sertipikat],Table_Tarikan_Warkah[Nomor Tiket]),"")</f>
        <v>L/23/250425/1</v>
      </c>
      <c r="E2029" s="36">
        <f t="array" ref="E2029">IFNA(_xlfn.XLOOKUP(D2029,Table_Tarikan_Warkah[Nomor Tiket],Table_Tarikan_Warkah[Tanggal diserahkan kepada Validator]),"")</f>
        <v>45847.64825</v>
      </c>
      <c r="F2029" s="36" t="str">
        <f t="array" ref="F2029">IFNA(_xlfn.XLOOKUP(D2029,Table_Tarikan_Warkah[Nomor Tiket],Table_Tarikan_Warkah[Nama Petugas Warkah]),"")</f>
        <v>David</v>
      </c>
      <c r="G2029" s="39" t="str">
        <f t="array" ref="G2029">IFNA(_xlfn.XLOOKUP(D2029,Table_Tarikan_Warkah[Nomor Tiket],Table_Tarikan_Warkah[Jenis Permohonan]),"")</f>
        <v>ROYA</v>
      </c>
      <c r="H2029" s="41" t="s">
        <v>11</v>
      </c>
      <c r="I2029" s="49" t="s">
        <v>23</v>
      </c>
      <c r="J2029" s="36">
        <f t="shared" si="20"/>
        <v>45783.57343</v>
      </c>
      <c r="K2029" s="49" t="s">
        <v>197</v>
      </c>
      <c r="L2029" s="49" t="s">
        <v>23</v>
      </c>
      <c r="M2029" s="36">
        <f t="shared" si="26"/>
        <v>45784.64379</v>
      </c>
      <c r="N2029" s="30" t="str">
        <f t="shared" si="27"/>
        <v>Selesai</v>
      </c>
      <c r="O2029" s="45">
        <f t="shared" si="23"/>
        <v>45784.64379</v>
      </c>
      <c r="P2029" s="47" t="b">
        <v>1</v>
      </c>
      <c r="Q2029" s="36">
        <f t="shared" si="24"/>
        <v>45784.64392</v>
      </c>
      <c r="R2029" s="47" t="b">
        <v>0</v>
      </c>
      <c r="S2029" s="42" t="str">
        <f t="shared" si="28"/>
        <v/>
      </c>
      <c r="T2029" s="42"/>
    </row>
    <row r="2030" ht="22.5" customHeight="1">
      <c r="B2030" s="42">
        <f t="shared" si="7"/>
        <v>2024</v>
      </c>
      <c r="C2030" s="31" t="s">
        <v>2143</v>
      </c>
      <c r="D2030" s="34" t="str">
        <f t="array" ref="D2030">IFNA(_xlfn.XLOOKUP(C2030,Table_Tarikan_Warkah[Nomor Sertipikat],Table_Tarikan_Warkah[Nomor Tiket]),"")</f>
        <v>L/7/220425/1</v>
      </c>
      <c r="E2030" s="36">
        <f t="array" ref="E2030">IFNA(_xlfn.XLOOKUP(D2030,Table_Tarikan_Warkah[Nomor Tiket],Table_Tarikan_Warkah[Tanggal diserahkan kepada Validator]),"")</f>
        <v>45803.47852</v>
      </c>
      <c r="F2030" s="36" t="str">
        <f t="array" ref="F2030">IFNA(_xlfn.XLOOKUP(D2030,Table_Tarikan_Warkah[Nomor Tiket],Table_Tarikan_Warkah[Nama Petugas Warkah]),"")</f>
        <v>David</v>
      </c>
      <c r="G2030" s="39" t="str">
        <f t="array" ref="G2030">IFNA(_xlfn.XLOOKUP(D2030,Table_Tarikan_Warkah[Nomor Tiket],Table_Tarikan_Warkah[Jenis Permohonan]),"")</f>
        <v> HERTANTO</v>
      </c>
      <c r="H2030" s="41" t="s">
        <v>11</v>
      </c>
      <c r="I2030" s="49" t="s">
        <v>23</v>
      </c>
      <c r="J2030" s="36">
        <f t="shared" si="20"/>
        <v>45783.57343</v>
      </c>
      <c r="K2030" s="49" t="s">
        <v>197</v>
      </c>
      <c r="L2030" s="49" t="s">
        <v>23</v>
      </c>
      <c r="M2030" s="36">
        <f t="shared" si="26"/>
        <v>45784.64379</v>
      </c>
      <c r="N2030" s="30" t="str">
        <f t="shared" si="27"/>
        <v>Selesai</v>
      </c>
      <c r="O2030" s="45">
        <f t="shared" si="23"/>
        <v>45784.64379</v>
      </c>
      <c r="P2030" s="47" t="b">
        <v>1</v>
      </c>
      <c r="Q2030" s="36">
        <f t="shared" si="24"/>
        <v>45784.64398</v>
      </c>
      <c r="R2030" s="47" t="b">
        <v>0</v>
      </c>
      <c r="S2030" s="42" t="str">
        <f t="shared" si="28"/>
        <v/>
      </c>
      <c r="T2030" s="42"/>
    </row>
    <row r="2031" ht="22.5" customHeight="1">
      <c r="B2031" s="42">
        <f t="shared" si="7"/>
        <v>2025</v>
      </c>
      <c r="C2031" s="31" t="s">
        <v>2144</v>
      </c>
      <c r="D2031" s="34" t="str">
        <f t="array" ref="D2031">IFNA(_xlfn.XLOOKUP(C2031,Table_Tarikan_Warkah[Nomor Sertipikat],Table_Tarikan_Warkah[Nomor Tiket]),"")</f>
        <v>K/16/230425/1</v>
      </c>
      <c r="E2031" s="36">
        <f t="array" ref="E2031">IFNA(_xlfn.XLOOKUP(D2031,Table_Tarikan_Warkah[Nomor Tiket],Table_Tarikan_Warkah[Tanggal diserahkan kepada Validator]),"")</f>
        <v>45799.52835</v>
      </c>
      <c r="F2031" s="36" t="str">
        <f t="array" ref="F2031">IFNA(_xlfn.XLOOKUP(D2031,Table_Tarikan_Warkah[Nomor Tiket],Table_Tarikan_Warkah[Nama Petugas Warkah]),"")</f>
        <v>Berry</v>
      </c>
      <c r="G2031" s="39" t="str">
        <f t="array" ref="G2031">IFNA(_xlfn.XLOOKUP(D2031,Table_Tarikan_Warkah[Nomor Tiket],Table_Tarikan_Warkah[Jenis Permohonan]),"")</f>
        <v>Roya</v>
      </c>
      <c r="H2031" s="41" t="s">
        <v>11</v>
      </c>
      <c r="I2031" s="49" t="s">
        <v>23</v>
      </c>
      <c r="J2031" s="36">
        <f t="shared" si="20"/>
        <v>45783.57343</v>
      </c>
      <c r="K2031" s="49" t="s">
        <v>197</v>
      </c>
      <c r="L2031" s="49" t="s">
        <v>23</v>
      </c>
      <c r="M2031" s="36">
        <f t="shared" si="26"/>
        <v>45784.64379</v>
      </c>
      <c r="N2031" s="30" t="str">
        <f t="shared" si="27"/>
        <v>Selesai</v>
      </c>
      <c r="O2031" s="45">
        <f t="shared" si="23"/>
        <v>45784.64379</v>
      </c>
      <c r="P2031" s="47" t="b">
        <v>1</v>
      </c>
      <c r="Q2031" s="36">
        <f t="shared" si="24"/>
        <v>45784.64398</v>
      </c>
      <c r="R2031" s="47" t="b">
        <v>0</v>
      </c>
      <c r="S2031" s="42" t="str">
        <f t="shared" si="28"/>
        <v/>
      </c>
      <c r="T2031" s="42"/>
    </row>
    <row r="2032" ht="22.5" customHeight="1">
      <c r="B2032" s="42">
        <f t="shared" si="7"/>
        <v>2026</v>
      </c>
      <c r="C2032" s="31" t="s">
        <v>2145</v>
      </c>
      <c r="D2032" s="34" t="str">
        <f t="array" ref="D2032">IFNA(_xlfn.XLOOKUP(C2032,Table_Tarikan_Warkah[Nomor Sertipikat],Table_Tarikan_Warkah[Nomor Tiket]),"")</f>
        <v>K/17/300425/4</v>
      </c>
      <c r="E2032" s="36" t="str">
        <f t="array" ref="E2032">IFNA(_xlfn.XLOOKUP(D2032,Table_Tarikan_Warkah[Nomor Tiket],Table_Tarikan_Warkah[Tanggal diserahkan kepada Validator]),"")</f>
        <v/>
      </c>
      <c r="F2032" s="36" t="str">
        <f t="array" ref="F2032">IFNA(_xlfn.XLOOKUP(D2032,Table_Tarikan_Warkah[Nomor Tiket],Table_Tarikan_Warkah[Nama Petugas Warkah]),"")</f>
        <v/>
      </c>
      <c r="G2032" s="39" t="str">
        <f t="array" ref="G2032">IFNA(_xlfn.XLOOKUP(D2032,Table_Tarikan_Warkah[Nomor Tiket],Table_Tarikan_Warkah[Jenis Permohonan]),"")</f>
        <v>BN JUAL BELI</v>
      </c>
      <c r="H2032" s="41" t="s">
        <v>11</v>
      </c>
      <c r="I2032" s="49" t="s">
        <v>23</v>
      </c>
      <c r="J2032" s="36">
        <f t="shared" si="20"/>
        <v>45783.57343</v>
      </c>
      <c r="K2032" s="49" t="s">
        <v>197</v>
      </c>
      <c r="L2032" s="49" t="s">
        <v>23</v>
      </c>
      <c r="M2032" s="36">
        <f t="shared" si="26"/>
        <v>45784.64379</v>
      </c>
      <c r="N2032" s="30" t="str">
        <f t="shared" si="27"/>
        <v>Selesai</v>
      </c>
      <c r="O2032" s="45">
        <f t="shared" si="23"/>
        <v>45784.64379</v>
      </c>
      <c r="P2032" s="47" t="b">
        <v>1</v>
      </c>
      <c r="Q2032" s="36">
        <f t="shared" si="24"/>
        <v>45784.64398</v>
      </c>
      <c r="R2032" s="47" t="b">
        <v>0</v>
      </c>
      <c r="S2032" s="42" t="str">
        <f t="shared" si="28"/>
        <v/>
      </c>
      <c r="T2032" s="42"/>
    </row>
    <row r="2033" ht="22.5" customHeight="1">
      <c r="B2033" s="42">
        <f t="shared" si="7"/>
        <v>2027</v>
      </c>
      <c r="C2033" s="31" t="s">
        <v>2146</v>
      </c>
      <c r="D2033" s="34" t="str">
        <f t="array" ref="D2033">IFNA(_xlfn.XLOOKUP(C2033,Table_Tarikan_Warkah[Nomor Sertipikat],Table_Tarikan_Warkah[Nomor Tiket]),"")</f>
        <v>K/26/220425/1</v>
      </c>
      <c r="E2033" s="36" t="str">
        <f t="array" ref="E2033">IFNA(_xlfn.XLOOKUP(D2033,Table_Tarikan_Warkah[Nomor Tiket],Table_Tarikan_Warkah[Tanggal diserahkan kepada Validator]),"")</f>
        <v/>
      </c>
      <c r="F2033" s="36" t="str">
        <f t="array" ref="F2033">IFNA(_xlfn.XLOOKUP(D2033,Table_Tarikan_Warkah[Nomor Tiket],Table_Tarikan_Warkah[Nama Petugas Warkah]),"")</f>
        <v/>
      </c>
      <c r="G2033" s="39" t="str">
        <f t="array" ref="G2033">IFNA(_xlfn.XLOOKUP(D2033,Table_Tarikan_Warkah[Nomor Tiket],Table_Tarikan_Warkah[Jenis Permohonan]),"")</f>
        <v>BN JUAL BELI</v>
      </c>
      <c r="H2033" s="41" t="s">
        <v>11</v>
      </c>
      <c r="I2033" s="49" t="s">
        <v>23</v>
      </c>
      <c r="J2033" s="36">
        <f t="shared" si="20"/>
        <v>45783.57343</v>
      </c>
      <c r="K2033" s="49" t="s">
        <v>197</v>
      </c>
      <c r="L2033" s="49" t="s">
        <v>23</v>
      </c>
      <c r="M2033" s="36">
        <f t="shared" si="26"/>
        <v>45784.64379</v>
      </c>
      <c r="N2033" s="30" t="str">
        <f t="shared" si="27"/>
        <v>Selesai</v>
      </c>
      <c r="O2033" s="45">
        <f t="shared" si="23"/>
        <v>45784.64379</v>
      </c>
      <c r="P2033" s="47" t="b">
        <v>1</v>
      </c>
      <c r="Q2033" s="36">
        <f t="shared" si="24"/>
        <v>45784.64398</v>
      </c>
      <c r="R2033" s="47" t="b">
        <v>0</v>
      </c>
      <c r="S2033" s="42" t="str">
        <f t="shared" si="28"/>
        <v/>
      </c>
      <c r="T2033" s="42"/>
    </row>
    <row r="2034" ht="22.5" customHeight="1">
      <c r="B2034" s="42">
        <f t="shared" si="7"/>
        <v>2028</v>
      </c>
      <c r="C2034" s="31" t="s">
        <v>2147</v>
      </c>
      <c r="D2034" s="34" t="str">
        <f t="array" ref="D2034">IFNA(_xlfn.XLOOKUP(C2034,Table_Tarikan_Warkah[Nomor Sertipikat],Table_Tarikan_Warkah[Nomor Tiket]),"")</f>
        <v>K/35/160425/1</v>
      </c>
      <c r="E2034" s="36" t="str">
        <f t="array" ref="E2034">IFNA(_xlfn.XLOOKUP(D2034,Table_Tarikan_Warkah[Nomor Tiket],Table_Tarikan_Warkah[Tanggal diserahkan kepada Validator]),"")</f>
        <v/>
      </c>
      <c r="F2034" s="36" t="str">
        <f t="array" ref="F2034">IFNA(_xlfn.XLOOKUP(D2034,Table_Tarikan_Warkah[Nomor Tiket],Table_Tarikan_Warkah[Nama Petugas Warkah]),"")</f>
        <v/>
      </c>
      <c r="G2034" s="39" t="str">
        <f t="array" ref="G2034">IFNA(_xlfn.XLOOKUP(D2034,Table_Tarikan_Warkah[Nomor Tiket],Table_Tarikan_Warkah[Jenis Permohonan]),"")</f>
        <v>BN HIBAH</v>
      </c>
      <c r="H2034" s="41" t="s">
        <v>11</v>
      </c>
      <c r="I2034" s="49" t="s">
        <v>23</v>
      </c>
      <c r="J2034" s="36">
        <f t="shared" si="20"/>
        <v>45783.57343</v>
      </c>
      <c r="K2034" s="49" t="s">
        <v>197</v>
      </c>
      <c r="L2034" s="49" t="s">
        <v>23</v>
      </c>
      <c r="M2034" s="36">
        <f t="shared" si="26"/>
        <v>45784.64379</v>
      </c>
      <c r="N2034" s="30" t="str">
        <f t="shared" si="27"/>
        <v>Selesai</v>
      </c>
      <c r="O2034" s="45">
        <f t="shared" si="23"/>
        <v>45784.64379</v>
      </c>
      <c r="P2034" s="47" t="b">
        <v>1</v>
      </c>
      <c r="Q2034" s="36">
        <f t="shared" si="24"/>
        <v>45784.64398</v>
      </c>
      <c r="R2034" s="47" t="b">
        <v>0</v>
      </c>
      <c r="S2034" s="42" t="str">
        <f t="shared" si="28"/>
        <v/>
      </c>
      <c r="T2034" s="42"/>
    </row>
    <row r="2035" ht="22.5" customHeight="1">
      <c r="B2035" s="42">
        <f t="shared" si="7"/>
        <v>2029</v>
      </c>
      <c r="C2035" s="31" t="s">
        <v>2148</v>
      </c>
      <c r="D2035" s="34" t="str">
        <f t="array" ref="D2035">IFNA(_xlfn.XLOOKUP(C2035,Table_Tarikan_Warkah[Nomor Sertipikat],Table_Tarikan_Warkah[Nomor Tiket]),"")</f>
        <v>K/17/280425/1</v>
      </c>
      <c r="E2035" s="36" t="str">
        <f t="array" ref="E2035">IFNA(_xlfn.XLOOKUP(D2035,Table_Tarikan_Warkah[Nomor Tiket],Table_Tarikan_Warkah[Tanggal diserahkan kepada Validator]),"")</f>
        <v/>
      </c>
      <c r="F2035" s="36" t="str">
        <f t="array" ref="F2035">IFNA(_xlfn.XLOOKUP(D2035,Table_Tarikan_Warkah[Nomor Tiket],Table_Tarikan_Warkah[Nama Petugas Warkah]),"")</f>
        <v/>
      </c>
      <c r="G2035" s="39" t="str">
        <f t="array" ref="G2035">IFNA(_xlfn.XLOOKUP(D2035,Table_Tarikan_Warkah[Nomor Tiket],Table_Tarikan_Warkah[Jenis Permohonan]),"")</f>
        <v>JUAL BELI</v>
      </c>
      <c r="H2035" s="41" t="s">
        <v>11</v>
      </c>
      <c r="I2035" s="49" t="s">
        <v>23</v>
      </c>
      <c r="J2035" s="36">
        <f t="shared" si="20"/>
        <v>45783.57343</v>
      </c>
      <c r="K2035" s="49" t="s">
        <v>197</v>
      </c>
      <c r="L2035" s="49" t="s">
        <v>23</v>
      </c>
      <c r="M2035" s="36">
        <f t="shared" si="26"/>
        <v>45784.64379</v>
      </c>
      <c r="N2035" s="30" t="str">
        <f t="shared" si="27"/>
        <v>Selesai</v>
      </c>
      <c r="O2035" s="45">
        <f t="shared" si="23"/>
        <v>45784.64379</v>
      </c>
      <c r="P2035" s="47" t="b">
        <v>1</v>
      </c>
      <c r="Q2035" s="36">
        <f t="shared" si="24"/>
        <v>45784.64398</v>
      </c>
      <c r="R2035" s="47" t="b">
        <v>0</v>
      </c>
      <c r="S2035" s="42" t="str">
        <f t="shared" si="28"/>
        <v/>
      </c>
      <c r="T2035" s="42"/>
    </row>
    <row r="2036" ht="22.5" customHeight="1">
      <c r="B2036" s="42">
        <f t="shared" si="7"/>
        <v>2030</v>
      </c>
      <c r="C2036" s="31" t="s">
        <v>2149</v>
      </c>
      <c r="D2036" s="34" t="str">
        <f t="array" ref="D2036">IFNA(_xlfn.XLOOKUP(C2036,Table_Tarikan_Warkah[Nomor Sertipikat],Table_Tarikan_Warkah[Nomor Tiket]),"")</f>
        <v>K/16/280425/1</v>
      </c>
      <c r="E2036" s="36">
        <f t="array" ref="E2036">IFNA(_xlfn.XLOOKUP(D2036,Table_Tarikan_Warkah[Nomor Tiket],Table_Tarikan_Warkah[Tanggal diserahkan kepada Validator]),"")</f>
        <v>45796.48634</v>
      </c>
      <c r="F2036" s="36" t="str">
        <f t="array" ref="F2036">IFNA(_xlfn.XLOOKUP(D2036,Table_Tarikan_Warkah[Nomor Tiket],Table_Tarikan_Warkah[Nama Petugas Warkah]),"")</f>
        <v>Berry</v>
      </c>
      <c r="G2036" s="39" t="str">
        <f t="array" ref="G2036">IFNA(_xlfn.XLOOKUP(D2036,Table_Tarikan_Warkah[Nomor Tiket],Table_Tarikan_Warkah[Jenis Permohonan]),"")</f>
        <v>ROYA</v>
      </c>
      <c r="H2036" s="41" t="s">
        <v>11</v>
      </c>
      <c r="I2036" s="49" t="s">
        <v>23</v>
      </c>
      <c r="J2036" s="36">
        <f t="shared" si="20"/>
        <v>45783.57343</v>
      </c>
      <c r="K2036" s="49" t="s">
        <v>197</v>
      </c>
      <c r="L2036" s="49" t="s">
        <v>23</v>
      </c>
      <c r="M2036" s="36">
        <f t="shared" si="26"/>
        <v>45784.64379</v>
      </c>
      <c r="N2036" s="30" t="str">
        <f t="shared" si="27"/>
        <v>Selesai</v>
      </c>
      <c r="O2036" s="45">
        <f t="shared" si="23"/>
        <v>45784.64379</v>
      </c>
      <c r="P2036" s="47" t="b">
        <v>1</v>
      </c>
      <c r="Q2036" s="36">
        <f t="shared" si="24"/>
        <v>45784.64398</v>
      </c>
      <c r="R2036" s="47" t="b">
        <v>0</v>
      </c>
      <c r="S2036" s="42" t="str">
        <f t="shared" si="28"/>
        <v/>
      </c>
      <c r="T2036" s="42"/>
    </row>
    <row r="2037" ht="22.5" customHeight="1">
      <c r="B2037" s="42">
        <f t="shared" si="7"/>
        <v>2031</v>
      </c>
      <c r="C2037" s="31" t="s">
        <v>2150</v>
      </c>
      <c r="D2037" s="34" t="str">
        <f t="array" ref="D2037">IFNA(_xlfn.XLOOKUP(C2037,Table_Tarikan_Warkah[Nomor Sertipikat],Table_Tarikan_Warkah[Nomor Tiket]),"")</f>
        <v>K/30/230425/1</v>
      </c>
      <c r="E2037" s="36" t="str">
        <f t="array" ref="E2037">IFNA(_xlfn.XLOOKUP(D2037,Table_Tarikan_Warkah[Nomor Tiket],Table_Tarikan_Warkah[Tanggal diserahkan kepada Validator]),"")</f>
        <v/>
      </c>
      <c r="F2037" s="36" t="str">
        <f t="array" ref="F2037">IFNA(_xlfn.XLOOKUP(D2037,Table_Tarikan_Warkah[Nomor Tiket],Table_Tarikan_Warkah[Nama Petugas Warkah]),"")</f>
        <v/>
      </c>
      <c r="G2037" s="39" t="str">
        <f t="array" ref="G2037">IFNA(_xlfn.XLOOKUP(D2037,Table_Tarikan_Warkah[Nomor Tiket],Table_Tarikan_Warkah[Jenis Permohonan]),"")</f>
        <v>JUAL BELI</v>
      </c>
      <c r="H2037" s="41" t="s">
        <v>11</v>
      </c>
      <c r="I2037" s="49" t="s">
        <v>23</v>
      </c>
      <c r="J2037" s="36">
        <f t="shared" si="20"/>
        <v>45783.57343</v>
      </c>
      <c r="K2037" s="49" t="s">
        <v>197</v>
      </c>
      <c r="L2037" s="49" t="s">
        <v>23</v>
      </c>
      <c r="M2037" s="36">
        <f t="shared" si="26"/>
        <v>45784.64379</v>
      </c>
      <c r="N2037" s="30" t="str">
        <f t="shared" si="27"/>
        <v>Selesai</v>
      </c>
      <c r="O2037" s="45">
        <f t="shared" si="23"/>
        <v>45784.64379</v>
      </c>
      <c r="P2037" s="47" t="b">
        <v>1</v>
      </c>
      <c r="Q2037" s="36">
        <f t="shared" si="24"/>
        <v>45784.64398</v>
      </c>
      <c r="R2037" s="47" t="b">
        <v>0</v>
      </c>
      <c r="S2037" s="42" t="str">
        <f t="shared" si="28"/>
        <v/>
      </c>
      <c r="T2037" s="42"/>
    </row>
    <row r="2038" ht="22.5" customHeight="1">
      <c r="B2038" s="42">
        <f t="shared" si="7"/>
        <v>2032</v>
      </c>
      <c r="C2038" s="31" t="s">
        <v>2151</v>
      </c>
      <c r="D2038" s="34" t="str">
        <f t="array" ref="D2038">IFNA(_xlfn.XLOOKUP(C2038,Table_Tarikan_Warkah[Nomor Sertipikat],Table_Tarikan_Warkah[Nomor Tiket]),"")</f>
        <v>K/2/230425/1</v>
      </c>
      <c r="E2038" s="36" t="str">
        <f t="array" ref="E2038">IFNA(_xlfn.XLOOKUP(D2038,Table_Tarikan_Warkah[Nomor Tiket],Table_Tarikan_Warkah[Tanggal diserahkan kepada Validator]),"")</f>
        <v/>
      </c>
      <c r="F2038" s="36" t="str">
        <f t="array" ref="F2038">IFNA(_xlfn.XLOOKUP(D2038,Table_Tarikan_Warkah[Nomor Tiket],Table_Tarikan_Warkah[Nama Petugas Warkah]),"")</f>
        <v/>
      </c>
      <c r="G2038" s="39" t="str">
        <f t="array" ref="G2038">IFNA(_xlfn.XLOOKUP(D2038,Table_Tarikan_Warkah[Nomor Tiket],Table_Tarikan_Warkah[Jenis Permohonan]),"")</f>
        <v>KEWARISAN</v>
      </c>
      <c r="H2038" s="41" t="s">
        <v>11</v>
      </c>
      <c r="I2038" s="49" t="s">
        <v>23</v>
      </c>
      <c r="J2038" s="36">
        <f t="shared" si="20"/>
        <v>45783.57343</v>
      </c>
      <c r="K2038" s="49" t="s">
        <v>197</v>
      </c>
      <c r="L2038" s="49" t="s">
        <v>23</v>
      </c>
      <c r="M2038" s="36">
        <f t="shared" si="26"/>
        <v>45784.64379</v>
      </c>
      <c r="N2038" s="30" t="str">
        <f t="shared" si="27"/>
        <v>Selesai</v>
      </c>
      <c r="O2038" s="45">
        <f t="shared" si="23"/>
        <v>45784.64379</v>
      </c>
      <c r="P2038" s="47" t="b">
        <v>1</v>
      </c>
      <c r="Q2038" s="36">
        <f t="shared" si="24"/>
        <v>45784.64409</v>
      </c>
      <c r="R2038" s="47" t="b">
        <v>0</v>
      </c>
      <c r="S2038" s="42" t="str">
        <f t="shared" si="28"/>
        <v/>
      </c>
      <c r="T2038" s="42"/>
    </row>
    <row r="2039" ht="22.5" customHeight="1">
      <c r="B2039" s="42">
        <f t="shared" si="7"/>
        <v>2033</v>
      </c>
      <c r="C2039" s="31" t="s">
        <v>2152</v>
      </c>
      <c r="D2039" s="34" t="str">
        <f t="array" ref="D2039">IFNA(_xlfn.XLOOKUP(C2039,Table_Tarikan_Warkah[Nomor Sertipikat],Table_Tarikan_Warkah[Nomor Tiket]),"")</f>
        <v>K/33/250425/1</v>
      </c>
      <c r="E2039" s="36">
        <f t="array" ref="E2039">IFNA(_xlfn.XLOOKUP(D2039,Table_Tarikan_Warkah[Nomor Tiket],Table_Tarikan_Warkah[Tanggal diserahkan kepada Validator]),"")</f>
        <v>45811.36337</v>
      </c>
      <c r="F2039" s="36" t="str">
        <f t="array" ref="F2039">IFNA(_xlfn.XLOOKUP(D2039,Table_Tarikan_Warkah[Nomor Tiket],Table_Tarikan_Warkah[Nama Petugas Warkah]),"")</f>
        <v>David</v>
      </c>
      <c r="G2039" s="39" t="str">
        <f t="array" ref="G2039">IFNA(_xlfn.XLOOKUP(D2039,Table_Tarikan_Warkah[Nomor Tiket],Table_Tarikan_Warkah[Jenis Permohonan]),"")</f>
        <v>ROYA</v>
      </c>
      <c r="H2039" s="41" t="s">
        <v>11</v>
      </c>
      <c r="I2039" s="49" t="s">
        <v>23</v>
      </c>
      <c r="J2039" s="36">
        <f t="shared" si="20"/>
        <v>45783.57343</v>
      </c>
      <c r="K2039" s="49" t="s">
        <v>197</v>
      </c>
      <c r="L2039" s="49" t="s">
        <v>23</v>
      </c>
      <c r="M2039" s="36">
        <f t="shared" si="26"/>
        <v>45784.64379</v>
      </c>
      <c r="N2039" s="30" t="str">
        <f t="shared" si="27"/>
        <v>Selesai</v>
      </c>
      <c r="O2039" s="45">
        <f t="shared" si="23"/>
        <v>45784.64379</v>
      </c>
      <c r="P2039" s="47" t="b">
        <v>1</v>
      </c>
      <c r="Q2039" s="36">
        <f t="shared" si="24"/>
        <v>45784.64409</v>
      </c>
      <c r="R2039" s="47" t="b">
        <v>0</v>
      </c>
      <c r="S2039" s="42" t="str">
        <f t="shared" si="28"/>
        <v/>
      </c>
      <c r="T2039" s="42"/>
    </row>
    <row r="2040" ht="22.5" customHeight="1">
      <c r="B2040" s="42">
        <f t="shared" si="7"/>
        <v>2034</v>
      </c>
      <c r="C2040" s="31" t="s">
        <v>2153</v>
      </c>
      <c r="D2040" s="34" t="str">
        <f t="array" ref="D2040">IFNA(_xlfn.XLOOKUP(C2040,Table_Tarikan_Warkah[Nomor Sertipikat],Table_Tarikan_Warkah[Nomor Tiket]),"")</f>
        <v>K/18/050325/1</v>
      </c>
      <c r="E2040" s="36" t="str">
        <f t="array" ref="E2040">IFNA(_xlfn.XLOOKUP(D2040,Table_Tarikan_Warkah[Nomor Tiket],Table_Tarikan_Warkah[Tanggal diserahkan kepada Validator]),"")</f>
        <v/>
      </c>
      <c r="F2040" s="36" t="str">
        <f t="array" ref="F2040">IFNA(_xlfn.XLOOKUP(D2040,Table_Tarikan_Warkah[Nomor Tiket],Table_Tarikan_Warkah[Nama Petugas Warkah]),"")</f>
        <v/>
      </c>
      <c r="G2040" s="39" t="str">
        <f t="array" ref="G2040">IFNA(_xlfn.XLOOKUP(D2040,Table_Tarikan_Warkah[Nomor Tiket],Table_Tarikan_Warkah[Jenis Permohonan]),"")</f>
        <v>BN WARIS</v>
      </c>
      <c r="H2040" s="41" t="s">
        <v>11</v>
      </c>
      <c r="I2040" s="49" t="s">
        <v>23</v>
      </c>
      <c r="J2040" s="36">
        <f t="shared" si="20"/>
        <v>45783.57343</v>
      </c>
      <c r="K2040" s="49" t="s">
        <v>197</v>
      </c>
      <c r="L2040" s="49" t="s">
        <v>23</v>
      </c>
      <c r="M2040" s="36">
        <f t="shared" si="26"/>
        <v>45784.64379</v>
      </c>
      <c r="N2040" s="30" t="str">
        <f t="shared" si="27"/>
        <v>Selesai</v>
      </c>
      <c r="O2040" s="45">
        <f t="shared" si="23"/>
        <v>45784.64379</v>
      </c>
      <c r="P2040" s="47" t="b">
        <v>1</v>
      </c>
      <c r="Q2040" s="36">
        <f t="shared" si="24"/>
        <v>45784.64409</v>
      </c>
      <c r="R2040" s="47" t="b">
        <v>0</v>
      </c>
      <c r="S2040" s="42" t="str">
        <f t="shared" si="28"/>
        <v/>
      </c>
      <c r="T2040" s="42"/>
    </row>
    <row r="2041" ht="22.5" customHeight="1">
      <c r="B2041" s="42">
        <f t="shared" si="7"/>
        <v>2035</v>
      </c>
      <c r="C2041" s="31" t="s">
        <v>2154</v>
      </c>
      <c r="D2041" s="34" t="str">
        <f t="array" ref="D2041">IFNA(_xlfn.XLOOKUP(C2041,Table_Tarikan_Warkah[Nomor Sertipikat],Table_Tarikan_Warkah[Nomor Tiket]),"")</f>
        <v>K/14/210425/1</v>
      </c>
      <c r="E2041" s="36">
        <f t="array" ref="E2041">IFNA(_xlfn.XLOOKUP(D2041,Table_Tarikan_Warkah[Nomor Tiket],Table_Tarikan_Warkah[Tanggal diserahkan kepada Validator]),"")</f>
        <v>45825.64788</v>
      </c>
      <c r="F2041" s="36" t="str">
        <f t="array" ref="F2041">IFNA(_xlfn.XLOOKUP(D2041,Table_Tarikan_Warkah[Nomor Tiket],Table_Tarikan_Warkah[Nama Petugas Warkah]),"")</f>
        <v>David</v>
      </c>
      <c r="G2041" s="39" t="str">
        <f t="array" ref="G2041">IFNA(_xlfn.XLOOKUP(D2041,Table_Tarikan_Warkah[Nomor Tiket],Table_Tarikan_Warkah[Jenis Permohonan]),"")</f>
        <v>ROYA</v>
      </c>
      <c r="H2041" s="41" t="s">
        <v>11</v>
      </c>
      <c r="I2041" s="49" t="s">
        <v>23</v>
      </c>
      <c r="J2041" s="36">
        <f t="shared" si="20"/>
        <v>45783.57343</v>
      </c>
      <c r="K2041" s="49" t="s">
        <v>197</v>
      </c>
      <c r="L2041" s="49" t="s">
        <v>23</v>
      </c>
      <c r="M2041" s="36">
        <f t="shared" si="26"/>
        <v>45784.64379</v>
      </c>
      <c r="N2041" s="30" t="str">
        <f t="shared" si="27"/>
        <v>Selesai</v>
      </c>
      <c r="O2041" s="45">
        <f t="shared" si="23"/>
        <v>45784.64379</v>
      </c>
      <c r="P2041" s="47" t="b">
        <v>1</v>
      </c>
      <c r="Q2041" s="36">
        <f t="shared" si="24"/>
        <v>45784.64409</v>
      </c>
      <c r="R2041" s="47" t="b">
        <v>0</v>
      </c>
      <c r="S2041" s="42" t="str">
        <f t="shared" si="28"/>
        <v/>
      </c>
      <c r="T2041" s="42"/>
    </row>
    <row r="2042" ht="22.5" customHeight="1">
      <c r="B2042" s="42">
        <f t="shared" si="7"/>
        <v>2036</v>
      </c>
      <c r="C2042" s="31" t="s">
        <v>2155</v>
      </c>
      <c r="D2042" s="34" t="str">
        <f t="array" ref="D2042">IFNA(_xlfn.XLOOKUP(C2042,Table_Tarikan_Warkah[Nomor Sertipikat],Table_Tarikan_Warkah[Nomor Tiket]),"")</f>
        <v>L/3/170425/1</v>
      </c>
      <c r="E2042" s="36">
        <f t="array" ref="E2042">IFNA(_xlfn.XLOOKUP(D2042,Table_Tarikan_Warkah[Nomor Tiket],Table_Tarikan_Warkah[Tanggal diserahkan kepada Validator]),"")</f>
        <v>45819.3629</v>
      </c>
      <c r="F2042" s="36" t="str">
        <f t="array" ref="F2042">IFNA(_xlfn.XLOOKUP(D2042,Table_Tarikan_Warkah[Nomor Tiket],Table_Tarikan_Warkah[Nama Petugas Warkah]),"")</f>
        <v>David</v>
      </c>
      <c r="G2042" s="39" t="str">
        <f t="array" ref="G2042">IFNA(_xlfn.XLOOKUP(D2042,Table_Tarikan_Warkah[Nomor Tiket],Table_Tarikan_Warkah[Jenis Permohonan]),"")</f>
        <v>ROYA</v>
      </c>
      <c r="H2042" s="41" t="s">
        <v>11</v>
      </c>
      <c r="I2042" s="49" t="s">
        <v>23</v>
      </c>
      <c r="J2042" s="36">
        <f t="shared" si="20"/>
        <v>45783.57343</v>
      </c>
      <c r="K2042" s="49" t="s">
        <v>197</v>
      </c>
      <c r="L2042" s="49" t="s">
        <v>23</v>
      </c>
      <c r="M2042" s="36">
        <f t="shared" si="26"/>
        <v>45784.64379</v>
      </c>
      <c r="N2042" s="30" t="str">
        <f t="shared" si="27"/>
        <v>Selesai</v>
      </c>
      <c r="O2042" s="45">
        <f t="shared" si="23"/>
        <v>45784.64379</v>
      </c>
      <c r="P2042" s="47" t="b">
        <v>1</v>
      </c>
      <c r="Q2042" s="36">
        <f t="shared" si="24"/>
        <v>45784.64409</v>
      </c>
      <c r="R2042" s="47" t="b">
        <v>0</v>
      </c>
      <c r="S2042" s="42" t="str">
        <f t="shared" si="28"/>
        <v/>
      </c>
      <c r="T2042" s="42"/>
    </row>
    <row r="2043" ht="22.5" customHeight="1">
      <c r="B2043" s="42">
        <f t="shared" si="7"/>
        <v>2037</v>
      </c>
      <c r="C2043" s="31" t="s">
        <v>2156</v>
      </c>
      <c r="D2043" s="34" t="str">
        <f t="array" ref="D2043">IFNA(_xlfn.XLOOKUP(C2043,Table_Tarikan_Warkah[Nomor Sertipikat],Table_Tarikan_Warkah[Nomor Tiket]),"")</f>
        <v>L/23/210425/1</v>
      </c>
      <c r="E2043" s="36">
        <f t="array" ref="E2043">IFNA(_xlfn.XLOOKUP(D2043,Table_Tarikan_Warkah[Nomor Tiket],Table_Tarikan_Warkah[Tanggal diserahkan kepada Validator]),"")</f>
        <v>45799.52814</v>
      </c>
      <c r="F2043" s="36" t="str">
        <f t="array" ref="F2043">IFNA(_xlfn.XLOOKUP(D2043,Table_Tarikan_Warkah[Nomor Tiket],Table_Tarikan_Warkah[Nama Petugas Warkah]),"")</f>
        <v>Berry</v>
      </c>
      <c r="G2043" s="39" t="str">
        <f t="array" ref="G2043">IFNA(_xlfn.XLOOKUP(D2043,Table_Tarikan_Warkah[Nomor Tiket],Table_Tarikan_Warkah[Jenis Permohonan]),"")</f>
        <v>ROYA</v>
      </c>
      <c r="H2043" s="41" t="s">
        <v>11</v>
      </c>
      <c r="I2043" s="49" t="s">
        <v>23</v>
      </c>
      <c r="J2043" s="36">
        <f t="shared" si="20"/>
        <v>45783.57343</v>
      </c>
      <c r="K2043" s="49" t="s">
        <v>197</v>
      </c>
      <c r="L2043" s="49" t="s">
        <v>23</v>
      </c>
      <c r="M2043" s="36">
        <f t="shared" si="26"/>
        <v>45784.64379</v>
      </c>
      <c r="N2043" s="30" t="str">
        <f t="shared" si="27"/>
        <v>Selesai</v>
      </c>
      <c r="O2043" s="45">
        <f t="shared" si="23"/>
        <v>45784.64379</v>
      </c>
      <c r="P2043" s="47" t="b">
        <v>1</v>
      </c>
      <c r="Q2043" s="36">
        <f t="shared" si="24"/>
        <v>45784.64409</v>
      </c>
      <c r="R2043" s="47" t="b">
        <v>0</v>
      </c>
      <c r="S2043" s="42" t="str">
        <f t="shared" si="28"/>
        <v/>
      </c>
      <c r="T2043" s="42"/>
    </row>
    <row r="2044" ht="22.5" customHeight="1">
      <c r="B2044" s="42">
        <f t="shared" si="7"/>
        <v>2038</v>
      </c>
      <c r="C2044" s="31" t="s">
        <v>2157</v>
      </c>
      <c r="D2044" s="34" t="str">
        <f t="array" ref="D2044">IFNA(_xlfn.XLOOKUP(C2044,Table_Tarikan_Warkah[Nomor Sertipikat],Table_Tarikan_Warkah[Nomor Tiket]),"")</f>
        <v>K/8/170425/1</v>
      </c>
      <c r="E2044" s="36">
        <f t="array" ref="E2044">IFNA(_xlfn.XLOOKUP(D2044,Table_Tarikan_Warkah[Nomor Tiket],Table_Tarikan_Warkah[Tanggal diserahkan kepada Validator]),"")</f>
        <v>45792.63255</v>
      </c>
      <c r="F2044" s="36" t="str">
        <f t="array" ref="F2044">IFNA(_xlfn.XLOOKUP(D2044,Table_Tarikan_Warkah[Nomor Tiket],Table_Tarikan_Warkah[Nama Petugas Warkah]),"")</f>
        <v>Berry</v>
      </c>
      <c r="G2044" s="39" t="str">
        <f t="array" ref="G2044">IFNA(_xlfn.XLOOKUP(D2044,Table_Tarikan_Warkah[Nomor Tiket],Table_Tarikan_Warkah[Jenis Permohonan]),"")</f>
        <v>Perubahan Hak</v>
      </c>
      <c r="H2044" s="41" t="s">
        <v>11</v>
      </c>
      <c r="I2044" s="49" t="s">
        <v>23</v>
      </c>
      <c r="J2044" s="36">
        <f t="shared" si="20"/>
        <v>45783.57343</v>
      </c>
      <c r="K2044" s="49" t="s">
        <v>197</v>
      </c>
      <c r="L2044" s="49" t="s">
        <v>23</v>
      </c>
      <c r="M2044" s="36">
        <f t="shared" si="26"/>
        <v>45784.64379</v>
      </c>
      <c r="N2044" s="30" t="str">
        <f t="shared" si="27"/>
        <v>Selesai</v>
      </c>
      <c r="O2044" s="45">
        <f t="shared" si="23"/>
        <v>45784.64379</v>
      </c>
      <c r="P2044" s="47" t="b">
        <v>1</v>
      </c>
      <c r="Q2044" s="36">
        <f t="shared" si="24"/>
        <v>45784.64409</v>
      </c>
      <c r="R2044" s="47" t="b">
        <v>0</v>
      </c>
      <c r="S2044" s="42" t="str">
        <f t="shared" si="28"/>
        <v/>
      </c>
      <c r="T2044" s="42"/>
    </row>
    <row r="2045" ht="22.5" customHeight="1">
      <c r="B2045" s="42">
        <f t="shared" si="7"/>
        <v>2039</v>
      </c>
      <c r="C2045" s="31" t="s">
        <v>2158</v>
      </c>
      <c r="D2045" s="34" t="str">
        <f t="array" ref="D2045">IFNA(_xlfn.XLOOKUP(C2045,Table_Tarikan_Warkah[Nomor Sertipikat],Table_Tarikan_Warkah[Nomor Tiket]),"")</f>
        <v>K/24/150425/2</v>
      </c>
      <c r="E2045" s="36">
        <f t="array" ref="E2045">IFNA(_xlfn.XLOOKUP(D2045,Table_Tarikan_Warkah[Nomor Tiket],Table_Tarikan_Warkah[Tanggal diserahkan kepada Validator]),"")</f>
        <v>45791.66017</v>
      </c>
      <c r="F2045" s="36" t="str">
        <f t="array" ref="F2045">IFNA(_xlfn.XLOOKUP(D2045,Table_Tarikan_Warkah[Nomor Tiket],Table_Tarikan_Warkah[Nama Petugas Warkah]),"")</f>
        <v>Berry</v>
      </c>
      <c r="G2045" s="39" t="str">
        <f t="array" ref="G2045">IFNA(_xlfn.XLOOKUP(D2045,Table_Tarikan_Warkah[Nomor Tiket],Table_Tarikan_Warkah[Jenis Permohonan]),"")</f>
        <v>BN Jual Beli</v>
      </c>
      <c r="H2045" s="41" t="s">
        <v>11</v>
      </c>
      <c r="I2045" s="49" t="s">
        <v>23</v>
      </c>
      <c r="J2045" s="36">
        <f t="shared" si="20"/>
        <v>45783.57343</v>
      </c>
      <c r="K2045" s="49" t="s">
        <v>197</v>
      </c>
      <c r="L2045" s="49" t="s">
        <v>23</v>
      </c>
      <c r="M2045" s="36">
        <f t="shared" si="26"/>
        <v>45784.64379</v>
      </c>
      <c r="N2045" s="30" t="str">
        <f t="shared" si="27"/>
        <v>Selesai</v>
      </c>
      <c r="O2045" s="45">
        <f t="shared" si="23"/>
        <v>45784.64379</v>
      </c>
      <c r="P2045" s="47" t="b">
        <v>1</v>
      </c>
      <c r="Q2045" s="36">
        <f t="shared" si="24"/>
        <v>45784.64409</v>
      </c>
      <c r="R2045" s="47" t="b">
        <v>0</v>
      </c>
      <c r="S2045" s="42" t="str">
        <f t="shared" si="28"/>
        <v/>
      </c>
      <c r="T2045" s="42"/>
    </row>
    <row r="2046" ht="22.5" customHeight="1">
      <c r="B2046" s="42">
        <f t="shared" si="7"/>
        <v>2040</v>
      </c>
      <c r="C2046" s="31" t="s">
        <v>2159</v>
      </c>
      <c r="D2046" s="34" t="str">
        <f t="array" ref="D2046">IFNA(_xlfn.XLOOKUP(C2046,Table_Tarikan_Warkah[Nomor Sertipikat],Table_Tarikan_Warkah[Nomor Tiket]),"")</f>
        <v>K/28/140425/3</v>
      </c>
      <c r="E2046" s="36">
        <f t="array" ref="E2046">IFNA(_xlfn.XLOOKUP(D2046,Table_Tarikan_Warkah[Nomor Tiket],Table_Tarikan_Warkah[Tanggal diserahkan kepada Validator]),"")</f>
        <v>45791.66447</v>
      </c>
      <c r="F2046" s="36" t="str">
        <f t="array" ref="F2046">IFNA(_xlfn.XLOOKUP(D2046,Table_Tarikan_Warkah[Nomor Tiket],Table_Tarikan_Warkah[Nama Petugas Warkah]),"")</f>
        <v>Berry</v>
      </c>
      <c r="G2046" s="39" t="str">
        <f t="array" ref="G2046">IFNA(_xlfn.XLOOKUP(D2046,Table_Tarikan_Warkah[Nomor Tiket],Table_Tarikan_Warkah[Jenis Permohonan]),"")</f>
        <v>BN Jual Beli</v>
      </c>
      <c r="H2046" s="41" t="s">
        <v>11</v>
      </c>
      <c r="I2046" s="49" t="s">
        <v>23</v>
      </c>
      <c r="J2046" s="36">
        <f t="shared" si="20"/>
        <v>45783.57343</v>
      </c>
      <c r="K2046" s="49" t="s">
        <v>197</v>
      </c>
      <c r="L2046" s="49" t="s">
        <v>23</v>
      </c>
      <c r="M2046" s="36">
        <f t="shared" si="26"/>
        <v>45784.64379</v>
      </c>
      <c r="N2046" s="30" t="str">
        <f t="shared" si="27"/>
        <v>Selesai</v>
      </c>
      <c r="O2046" s="45">
        <f t="shared" si="23"/>
        <v>45784.64379</v>
      </c>
      <c r="P2046" s="47" t="b">
        <v>1</v>
      </c>
      <c r="Q2046" s="36">
        <f t="shared" si="24"/>
        <v>45784.64426</v>
      </c>
      <c r="R2046" s="47" t="b">
        <v>0</v>
      </c>
      <c r="S2046" s="42" t="str">
        <f t="shared" si="28"/>
        <v/>
      </c>
      <c r="T2046" s="42"/>
    </row>
    <row r="2047" ht="22.5" customHeight="1">
      <c r="B2047" s="42">
        <f t="shared" si="7"/>
        <v>2041</v>
      </c>
      <c r="C2047" s="31" t="s">
        <v>2160</v>
      </c>
      <c r="D2047" s="34" t="str">
        <f t="array" ref="D2047">IFNA(_xlfn.XLOOKUP(C2047,Table_Tarikan_Warkah[Nomor Sertipikat],Table_Tarikan_Warkah[Nomor Tiket]),"")</f>
        <v>K/30/260325/1</v>
      </c>
      <c r="E2047" s="36">
        <f t="array" ref="E2047">IFNA(_xlfn.XLOOKUP(D2047,Table_Tarikan_Warkah[Nomor Tiket],Table_Tarikan_Warkah[Tanggal diserahkan kepada Validator]),"")</f>
        <v>45791.66704</v>
      </c>
      <c r="F2047" s="36" t="str">
        <f t="array" ref="F2047">IFNA(_xlfn.XLOOKUP(D2047,Table_Tarikan_Warkah[Nomor Tiket],Table_Tarikan_Warkah[Nama Petugas Warkah]),"")</f>
        <v>Berry</v>
      </c>
      <c r="G2047" s="39" t="str">
        <f t="array" ref="G2047">IFNA(_xlfn.XLOOKUP(D2047,Table_Tarikan_Warkah[Nomor Tiket],Table_Tarikan_Warkah[Jenis Permohonan]),"")</f>
        <v>BN Jual Beli</v>
      </c>
      <c r="H2047" s="41" t="s">
        <v>11</v>
      </c>
      <c r="I2047" s="49" t="s">
        <v>23</v>
      </c>
      <c r="J2047" s="36">
        <f t="shared" si="20"/>
        <v>45783.57343</v>
      </c>
      <c r="K2047" s="49" t="s">
        <v>197</v>
      </c>
      <c r="L2047" s="49" t="s">
        <v>23</v>
      </c>
      <c r="M2047" s="36">
        <f t="shared" si="26"/>
        <v>45784.64379</v>
      </c>
      <c r="N2047" s="30" t="str">
        <f t="shared" si="27"/>
        <v>Selesai</v>
      </c>
      <c r="O2047" s="45">
        <f t="shared" si="23"/>
        <v>45784.64379</v>
      </c>
      <c r="P2047" s="47" t="b">
        <v>1</v>
      </c>
      <c r="Q2047" s="36">
        <f t="shared" si="24"/>
        <v>45784.64426</v>
      </c>
      <c r="R2047" s="47" t="b">
        <v>0</v>
      </c>
      <c r="S2047" s="42" t="str">
        <f t="shared" si="28"/>
        <v/>
      </c>
      <c r="T2047" s="42"/>
    </row>
    <row r="2048" ht="22.5" customHeight="1">
      <c r="B2048" s="42">
        <f t="shared" si="7"/>
        <v>2042</v>
      </c>
      <c r="C2048" s="31" t="s">
        <v>2161</v>
      </c>
      <c r="D2048" s="34" t="str">
        <f t="array" ref="D2048">IFNA(_xlfn.XLOOKUP(C2048,Table_Tarikan_Warkah[Nomor Sertipikat],Table_Tarikan_Warkah[Nomor Tiket]),"")</f>
        <v>K/34/180325/2</v>
      </c>
      <c r="E2048" s="36">
        <f t="array" ref="E2048">IFNA(_xlfn.XLOOKUP(D2048,Table_Tarikan_Warkah[Nomor Tiket],Table_Tarikan_Warkah[Tanggal diserahkan kepada Validator]),"")</f>
        <v>45791.66503</v>
      </c>
      <c r="F2048" s="36" t="str">
        <f t="array" ref="F2048">IFNA(_xlfn.XLOOKUP(D2048,Table_Tarikan_Warkah[Nomor Tiket],Table_Tarikan_Warkah[Nama Petugas Warkah]),"")</f>
        <v>Berry</v>
      </c>
      <c r="G2048" s="39" t="str">
        <f t="array" ref="G2048">IFNA(_xlfn.XLOOKUP(D2048,Table_Tarikan_Warkah[Nomor Tiket],Table_Tarikan_Warkah[Jenis Permohonan]),"")</f>
        <v>BN Jua Beli</v>
      </c>
      <c r="H2048" s="41" t="s">
        <v>11</v>
      </c>
      <c r="I2048" s="49" t="s">
        <v>23</v>
      </c>
      <c r="J2048" s="36">
        <f t="shared" si="20"/>
        <v>45783.57343</v>
      </c>
      <c r="K2048" s="49" t="s">
        <v>197</v>
      </c>
      <c r="L2048" s="49" t="s">
        <v>23</v>
      </c>
      <c r="M2048" s="36">
        <f t="shared" si="26"/>
        <v>45784.64379</v>
      </c>
      <c r="N2048" s="30" t="str">
        <f t="shared" si="27"/>
        <v>Selesai</v>
      </c>
      <c r="O2048" s="45">
        <f t="shared" si="23"/>
        <v>45784.64379</v>
      </c>
      <c r="P2048" s="47" t="b">
        <v>1</v>
      </c>
      <c r="Q2048" s="36">
        <f t="shared" si="24"/>
        <v>45784.64426</v>
      </c>
      <c r="R2048" s="47" t="b">
        <v>0</v>
      </c>
      <c r="S2048" s="42" t="str">
        <f t="shared" si="28"/>
        <v/>
      </c>
      <c r="T2048" s="42"/>
    </row>
    <row r="2049" ht="22.5" customHeight="1">
      <c r="B2049" s="42">
        <f t="shared" si="7"/>
        <v>2043</v>
      </c>
      <c r="C2049" s="31" t="s">
        <v>2162</v>
      </c>
      <c r="D2049" s="34" t="str">
        <f t="array" ref="D2049">IFNA(_xlfn.XLOOKUP(C2049,Table_Tarikan_Warkah[Nomor Sertipikat],Table_Tarikan_Warkah[Nomor Tiket]),"")</f>
        <v>K/26/140425/1</v>
      </c>
      <c r="E2049" s="36">
        <f t="array" ref="E2049">IFNA(_xlfn.XLOOKUP(D2049,Table_Tarikan_Warkah[Nomor Tiket],Table_Tarikan_Warkah[Tanggal diserahkan kepada Validator]),"")</f>
        <v>45791.66796</v>
      </c>
      <c r="F2049" s="36" t="str">
        <f t="array" ref="F2049">IFNA(_xlfn.XLOOKUP(D2049,Table_Tarikan_Warkah[Nomor Tiket],Table_Tarikan_Warkah[Nama Petugas Warkah]),"")</f>
        <v>Berry</v>
      </c>
      <c r="G2049" s="39" t="str">
        <f t="array" ref="G2049">IFNA(_xlfn.XLOOKUP(D2049,Table_Tarikan_Warkah[Nomor Tiket],Table_Tarikan_Warkah[Jenis Permohonan]),"")</f>
        <v>BN Jual Beli</v>
      </c>
      <c r="H2049" s="41" t="s">
        <v>11</v>
      </c>
      <c r="I2049" s="49" t="s">
        <v>23</v>
      </c>
      <c r="J2049" s="36">
        <f t="shared" si="20"/>
        <v>45783.57343</v>
      </c>
      <c r="K2049" s="49" t="s">
        <v>197</v>
      </c>
      <c r="L2049" s="49" t="s">
        <v>23</v>
      </c>
      <c r="M2049" s="36">
        <f t="shared" si="26"/>
        <v>45784.64379</v>
      </c>
      <c r="N2049" s="30" t="str">
        <f t="shared" si="27"/>
        <v>Selesai</v>
      </c>
      <c r="O2049" s="45">
        <f t="shared" si="23"/>
        <v>45784.64379</v>
      </c>
      <c r="P2049" s="47" t="b">
        <v>1</v>
      </c>
      <c r="Q2049" s="36">
        <f t="shared" si="24"/>
        <v>45784.64426</v>
      </c>
      <c r="R2049" s="47" t="b">
        <v>0</v>
      </c>
      <c r="S2049" s="42" t="str">
        <f t="shared" si="28"/>
        <v/>
      </c>
      <c r="T2049" s="42"/>
    </row>
    <row r="2050" ht="22.5" customHeight="1">
      <c r="B2050" s="42">
        <f t="shared" si="7"/>
        <v>2044</v>
      </c>
      <c r="C2050" s="31" t="s">
        <v>2163</v>
      </c>
      <c r="D2050" s="34" t="str">
        <f t="array" ref="D2050">IFNA(_xlfn.XLOOKUP(C2050,Table_Tarikan_Warkah[Nomor Sertipikat],Table_Tarikan_Warkah[Nomor Tiket]),"")</f>
        <v>K/24/240425/1</v>
      </c>
      <c r="E2050" s="36" t="str">
        <f t="array" ref="E2050">IFNA(_xlfn.XLOOKUP(D2050,Table_Tarikan_Warkah[Nomor Tiket],Table_Tarikan_Warkah[Tanggal diserahkan kepada Validator]),"")</f>
        <v/>
      </c>
      <c r="F2050" s="36" t="str">
        <f t="array" ref="F2050">IFNA(_xlfn.XLOOKUP(D2050,Table_Tarikan_Warkah[Nomor Tiket],Table_Tarikan_Warkah[Nama Petugas Warkah]),"")</f>
        <v/>
      </c>
      <c r="G2050" s="39" t="str">
        <f t="array" ref="G2050">IFNA(_xlfn.XLOOKUP(D2050,Table_Tarikan_Warkah[Nomor Tiket],Table_Tarikan_Warkah[Jenis Permohonan]),"")</f>
        <v>Ganti Blanko</v>
      </c>
      <c r="H2050" s="41" t="s">
        <v>11</v>
      </c>
      <c r="I2050" s="49" t="s">
        <v>23</v>
      </c>
      <c r="J2050" s="36">
        <f t="shared" si="20"/>
        <v>45783.57343</v>
      </c>
      <c r="K2050" s="49" t="s">
        <v>197</v>
      </c>
      <c r="L2050" s="49" t="s">
        <v>23</v>
      </c>
      <c r="M2050" s="36">
        <f t="shared" si="26"/>
        <v>45784.64379</v>
      </c>
      <c r="N2050" s="30" t="str">
        <f t="shared" si="27"/>
        <v>Selesai</v>
      </c>
      <c r="O2050" s="45">
        <f t="shared" si="23"/>
        <v>45784.64379</v>
      </c>
      <c r="P2050" s="47" t="b">
        <v>1</v>
      </c>
      <c r="Q2050" s="36">
        <f t="shared" si="24"/>
        <v>45784.64426</v>
      </c>
      <c r="R2050" s="47" t="b">
        <v>0</v>
      </c>
      <c r="S2050" s="42" t="str">
        <f t="shared" si="28"/>
        <v/>
      </c>
      <c r="T2050" s="42"/>
    </row>
    <row r="2051" ht="22.5" customHeight="1">
      <c r="B2051" s="42">
        <f t="shared" si="7"/>
        <v>2045</v>
      </c>
      <c r="C2051" s="31" t="s">
        <v>2164</v>
      </c>
      <c r="D2051" s="34" t="str">
        <f t="array" ref="D2051">IFNA(_xlfn.XLOOKUP(C2051,Table_Tarikan_Warkah[Nomor Sertipikat],Table_Tarikan_Warkah[Nomor Tiket]),"")</f>
        <v>L/13/240425/1</v>
      </c>
      <c r="E2051" s="36">
        <f t="array" ref="E2051">IFNA(_xlfn.XLOOKUP(D2051,Table_Tarikan_Warkah[Nomor Tiket],Table_Tarikan_Warkah[Tanggal diserahkan kepada Validator]),"")</f>
        <v>45799.52787</v>
      </c>
      <c r="F2051" s="36" t="str">
        <f t="array" ref="F2051">IFNA(_xlfn.XLOOKUP(D2051,Table_Tarikan_Warkah[Nomor Tiket],Table_Tarikan_Warkah[Nama Petugas Warkah]),"")</f>
        <v>Berry</v>
      </c>
      <c r="G2051" s="39" t="str">
        <f t="array" ref="G2051">IFNA(_xlfn.XLOOKUP(D2051,Table_Tarikan_Warkah[Nomor Tiket],Table_Tarikan_Warkah[Jenis Permohonan]),"")</f>
        <v>ROYA</v>
      </c>
      <c r="H2051" s="41" t="s">
        <v>11</v>
      </c>
      <c r="I2051" s="49" t="s">
        <v>23</v>
      </c>
      <c r="J2051" s="36">
        <f t="shared" si="20"/>
        <v>45783.57343</v>
      </c>
      <c r="K2051" s="49" t="s">
        <v>197</v>
      </c>
      <c r="L2051" s="49" t="s">
        <v>23</v>
      </c>
      <c r="M2051" s="36">
        <f t="shared" si="26"/>
        <v>45784.64379</v>
      </c>
      <c r="N2051" s="30" t="str">
        <f t="shared" si="27"/>
        <v>Selesai</v>
      </c>
      <c r="O2051" s="45">
        <f t="shared" si="23"/>
        <v>45784.64379</v>
      </c>
      <c r="P2051" s="47" t="b">
        <v>1</v>
      </c>
      <c r="Q2051" s="36">
        <f t="shared" si="24"/>
        <v>45784.64426</v>
      </c>
      <c r="R2051" s="47" t="b">
        <v>0</v>
      </c>
      <c r="S2051" s="42" t="str">
        <f t="shared" si="28"/>
        <v/>
      </c>
      <c r="T2051" s="42"/>
    </row>
    <row r="2052" ht="22.5" customHeight="1">
      <c r="B2052" s="42">
        <f t="shared" si="7"/>
        <v>2046</v>
      </c>
      <c r="C2052" s="31" t="s">
        <v>2165</v>
      </c>
      <c r="D2052" s="34" t="str">
        <f t="array" ref="D2052">IFNA(_xlfn.XLOOKUP(C2052,Table_Tarikan_Warkah[Nomor Sertipikat],Table_Tarikan_Warkah[Nomor Tiket]),"")</f>
        <v>K/35/170425/2</v>
      </c>
      <c r="E2052" s="36" t="str">
        <f t="array" ref="E2052">IFNA(_xlfn.XLOOKUP(D2052,Table_Tarikan_Warkah[Nomor Tiket],Table_Tarikan_Warkah[Tanggal diserahkan kepada Validator]),"")</f>
        <v/>
      </c>
      <c r="F2052" s="36" t="str">
        <f t="array" ref="F2052">IFNA(_xlfn.XLOOKUP(D2052,Table_Tarikan_Warkah[Nomor Tiket],Table_Tarikan_Warkah[Nama Petugas Warkah]),"")</f>
        <v/>
      </c>
      <c r="G2052" s="39" t="str">
        <f t="array" ref="G2052">IFNA(_xlfn.XLOOKUP(D2052,Table_Tarikan_Warkah[Nomor Tiket],Table_Tarikan_Warkah[Jenis Permohonan]),"")</f>
        <v>BN JUAL BELI</v>
      </c>
      <c r="H2052" s="41" t="s">
        <v>11</v>
      </c>
      <c r="I2052" s="49" t="s">
        <v>23</v>
      </c>
      <c r="J2052" s="36">
        <f t="shared" si="20"/>
        <v>45783.57343</v>
      </c>
      <c r="K2052" s="49" t="s">
        <v>197</v>
      </c>
      <c r="L2052" s="49" t="s">
        <v>23</v>
      </c>
      <c r="M2052" s="36">
        <f t="shared" si="26"/>
        <v>45784.64379</v>
      </c>
      <c r="N2052" s="30" t="str">
        <f t="shared" si="27"/>
        <v>Selesai</v>
      </c>
      <c r="O2052" s="45">
        <f t="shared" si="23"/>
        <v>45784.64379</v>
      </c>
      <c r="P2052" s="47" t="b">
        <v>1</v>
      </c>
      <c r="Q2052" s="36">
        <f t="shared" si="24"/>
        <v>45784.64426</v>
      </c>
      <c r="R2052" s="47" t="b">
        <v>0</v>
      </c>
      <c r="S2052" s="42" t="str">
        <f t="shared" si="28"/>
        <v/>
      </c>
      <c r="T2052" s="42"/>
    </row>
    <row r="2053" ht="22.5" customHeight="1">
      <c r="B2053" s="42">
        <f t="shared" si="7"/>
        <v>2047</v>
      </c>
      <c r="C2053" s="31" t="s">
        <v>2166</v>
      </c>
      <c r="D2053" s="34" t="str">
        <f t="array" ref="D2053">IFNA(_xlfn.XLOOKUP(C2053,Table_Tarikan_Warkah[Nomor Sertipikat],Table_Tarikan_Warkah[Nomor Tiket]),"")</f>
        <v>K/3/130325/3</v>
      </c>
      <c r="E2053" s="36" t="str">
        <f t="array" ref="E2053">IFNA(_xlfn.XLOOKUP(D2053,Table_Tarikan_Warkah[Nomor Tiket],Table_Tarikan_Warkah[Tanggal diserahkan kepada Validator]),"")</f>
        <v/>
      </c>
      <c r="F2053" s="36" t="str">
        <f t="array" ref="F2053">IFNA(_xlfn.XLOOKUP(D2053,Table_Tarikan_Warkah[Nomor Tiket],Table_Tarikan_Warkah[Nama Petugas Warkah]),"")</f>
        <v/>
      </c>
      <c r="G2053" s="39" t="str">
        <f t="array" ref="G2053">IFNA(_xlfn.XLOOKUP(D2053,Table_Tarikan_Warkah[Nomor Tiket],Table_Tarikan_Warkah[Jenis Permohonan]),"")</f>
        <v>BN JUAL BELI</v>
      </c>
      <c r="H2053" s="41" t="s">
        <v>11</v>
      </c>
      <c r="I2053" s="49" t="s">
        <v>23</v>
      </c>
      <c r="J2053" s="36">
        <f t="shared" si="20"/>
        <v>45783.57343</v>
      </c>
      <c r="K2053" s="49" t="s">
        <v>197</v>
      </c>
      <c r="L2053" s="49" t="s">
        <v>23</v>
      </c>
      <c r="M2053" s="36">
        <f t="shared" si="26"/>
        <v>45784.64379</v>
      </c>
      <c r="N2053" s="30" t="str">
        <f t="shared" si="27"/>
        <v>Selesai</v>
      </c>
      <c r="O2053" s="45">
        <f t="shared" si="23"/>
        <v>45784.64379</v>
      </c>
      <c r="P2053" s="47" t="b">
        <v>1</v>
      </c>
      <c r="Q2053" s="36">
        <f t="shared" si="24"/>
        <v>45784.64426</v>
      </c>
      <c r="R2053" s="47" t="b">
        <v>0</v>
      </c>
      <c r="S2053" s="42" t="str">
        <f t="shared" si="28"/>
        <v/>
      </c>
      <c r="T2053" s="42"/>
    </row>
    <row r="2054" ht="22.5" customHeight="1">
      <c r="B2054" s="42">
        <f t="shared" si="7"/>
        <v>2048</v>
      </c>
      <c r="C2054" s="31" t="s">
        <v>2167</v>
      </c>
      <c r="D2054" s="34" t="str">
        <f t="array" ref="D2054">IFNA(_xlfn.XLOOKUP(C2054,Table_Tarikan_Warkah[Nomor Sertipikat],Table_Tarikan_Warkah[Nomor Tiket]),"")</f>
        <v>K/14/260325/3</v>
      </c>
      <c r="E2054" s="36" t="str">
        <f t="array" ref="E2054">IFNA(_xlfn.XLOOKUP(D2054,Table_Tarikan_Warkah[Nomor Tiket],Table_Tarikan_Warkah[Tanggal diserahkan kepada Validator]),"")</f>
        <v/>
      </c>
      <c r="F2054" s="36" t="str">
        <f t="array" ref="F2054">IFNA(_xlfn.XLOOKUP(D2054,Table_Tarikan_Warkah[Nomor Tiket],Table_Tarikan_Warkah[Nama Petugas Warkah]),"")</f>
        <v/>
      </c>
      <c r="G2054" s="39" t="str">
        <f t="array" ref="G2054">IFNA(_xlfn.XLOOKUP(D2054,Table_Tarikan_Warkah[Nomor Tiket],Table_Tarikan_Warkah[Jenis Permohonan]),"")</f>
        <v>BN JUAL BELI</v>
      </c>
      <c r="H2054" s="41" t="s">
        <v>11</v>
      </c>
      <c r="I2054" s="49" t="s">
        <v>23</v>
      </c>
      <c r="J2054" s="36">
        <f t="shared" si="20"/>
        <v>45783.57343</v>
      </c>
      <c r="K2054" s="49" t="s">
        <v>197</v>
      </c>
      <c r="L2054" s="49" t="s">
        <v>23</v>
      </c>
      <c r="M2054" s="36">
        <f t="shared" si="26"/>
        <v>45784.64379</v>
      </c>
      <c r="N2054" s="30" t="str">
        <f t="shared" si="27"/>
        <v>Selesai</v>
      </c>
      <c r="O2054" s="45">
        <f t="shared" si="23"/>
        <v>45784.64379</v>
      </c>
      <c r="P2054" s="47" t="b">
        <v>1</v>
      </c>
      <c r="Q2054" s="36">
        <f t="shared" si="24"/>
        <v>45784.64468</v>
      </c>
      <c r="R2054" s="47" t="b">
        <v>0</v>
      </c>
      <c r="S2054" s="42" t="str">
        <f t="shared" si="28"/>
        <v/>
      </c>
      <c r="T2054" s="42"/>
    </row>
    <row r="2055" ht="22.5" customHeight="1">
      <c r="B2055" s="42">
        <f t="shared" si="7"/>
        <v>2049</v>
      </c>
      <c r="C2055" s="31" t="s">
        <v>2168</v>
      </c>
      <c r="D2055" s="34" t="str">
        <f t="array" ref="D2055">IFNA(_xlfn.XLOOKUP(C2055,Table_Tarikan_Warkah[Nomor Sertipikat],Table_Tarikan_Warkah[Nomor Tiket]),"")</f>
        <v>K/3/240425/3</v>
      </c>
      <c r="E2055" s="36" t="str">
        <f t="array" ref="E2055">IFNA(_xlfn.XLOOKUP(D2055,Table_Tarikan_Warkah[Nomor Tiket],Table_Tarikan_Warkah[Tanggal diserahkan kepada Validator]),"")</f>
        <v/>
      </c>
      <c r="F2055" s="36" t="str">
        <f t="array" ref="F2055">IFNA(_xlfn.XLOOKUP(D2055,Table_Tarikan_Warkah[Nomor Tiket],Table_Tarikan_Warkah[Nama Petugas Warkah]),"")</f>
        <v/>
      </c>
      <c r="G2055" s="39" t="str">
        <f t="array" ref="G2055">IFNA(_xlfn.XLOOKUP(D2055,Table_Tarikan_Warkah[Nomor Tiket],Table_Tarikan_Warkah[Jenis Permohonan]),"")</f>
        <v>BN JUAL BELI</v>
      </c>
      <c r="H2055" s="41" t="s">
        <v>11</v>
      </c>
      <c r="I2055" s="49" t="s">
        <v>23</v>
      </c>
      <c r="J2055" s="36">
        <f t="shared" si="20"/>
        <v>45783.57347</v>
      </c>
      <c r="K2055" s="49" t="s">
        <v>197</v>
      </c>
      <c r="L2055" s="49" t="s">
        <v>23</v>
      </c>
      <c r="M2055" s="36">
        <f t="shared" si="26"/>
        <v>45784.64379</v>
      </c>
      <c r="N2055" s="30" t="str">
        <f t="shared" si="27"/>
        <v>Selesai</v>
      </c>
      <c r="O2055" s="45">
        <f t="shared" si="23"/>
        <v>45784.64379</v>
      </c>
      <c r="P2055" s="47" t="b">
        <v>1</v>
      </c>
      <c r="Q2055" s="36">
        <f t="shared" si="24"/>
        <v>45784.64469</v>
      </c>
      <c r="R2055" s="47" t="b">
        <v>0</v>
      </c>
      <c r="S2055" s="42" t="str">
        <f t="shared" si="28"/>
        <v/>
      </c>
      <c r="T2055" s="42"/>
    </row>
    <row r="2056" ht="22.5" customHeight="1">
      <c r="B2056" s="42">
        <f t="shared" si="7"/>
        <v>2050</v>
      </c>
      <c r="C2056" s="31" t="s">
        <v>2169</v>
      </c>
      <c r="D2056" s="34" t="s">
        <v>2170</v>
      </c>
      <c r="E2056" s="36" t="str">
        <f t="array" ref="E2056">IFNA(_xlfn.XLOOKUP(D2056,Table_Tarikan_Warkah[Nomor Tiket],Table_Tarikan_Warkah[Tanggal diserahkan kepada Validator]),"")</f>
        <v/>
      </c>
      <c r="F2056" s="36" t="str">
        <f t="array" ref="F2056">IFNA(_xlfn.XLOOKUP(D2056,Table_Tarikan_Warkah[Nomor Tiket],Table_Tarikan_Warkah[Nama Petugas Warkah]),"")</f>
        <v/>
      </c>
      <c r="G2056" s="39" t="str">
        <f t="array" ref="G2056">IFNA(_xlfn.XLOOKUP(D2056,Table_Tarikan_Warkah[Nomor Tiket],Table_Tarikan_Warkah[Jenis Permohonan]),"")</f>
        <v/>
      </c>
      <c r="H2056" s="41" t="s">
        <v>11</v>
      </c>
      <c r="I2056" s="49" t="s">
        <v>23</v>
      </c>
      <c r="J2056" s="36">
        <f t="shared" si="20"/>
        <v>45783.57347</v>
      </c>
      <c r="K2056" s="49" t="s">
        <v>197</v>
      </c>
      <c r="L2056" s="49" t="s">
        <v>23</v>
      </c>
      <c r="M2056" s="36">
        <f t="shared" si="26"/>
        <v>45784.64379</v>
      </c>
      <c r="N2056" s="30" t="str">
        <f t="shared" si="27"/>
        <v>Selesai</v>
      </c>
      <c r="O2056" s="45">
        <f t="shared" si="23"/>
        <v>45784.64379</v>
      </c>
      <c r="P2056" s="47" t="b">
        <v>1</v>
      </c>
      <c r="Q2056" s="36">
        <f t="shared" si="24"/>
        <v>45784.64471</v>
      </c>
      <c r="R2056" s="47" t="b">
        <v>0</v>
      </c>
      <c r="S2056" s="42" t="str">
        <f t="shared" si="28"/>
        <v/>
      </c>
      <c r="T2056" s="42"/>
    </row>
    <row r="2057" ht="22.5" customHeight="1">
      <c r="B2057" s="42">
        <f t="shared" si="7"/>
        <v>2051</v>
      </c>
      <c r="C2057" s="31" t="s">
        <v>2171</v>
      </c>
      <c r="D2057" s="34" t="str">
        <f t="array" ref="D2057">IFNA(_xlfn.XLOOKUP(C2057,Table_Tarikan_Warkah[Nomor Sertipikat],Table_Tarikan_Warkah[Nomor Tiket]),"")</f>
        <v>K/33/290425/1</v>
      </c>
      <c r="E2057" s="36" t="str">
        <f t="array" ref="E2057">IFNA(_xlfn.XLOOKUP(D2057,Table_Tarikan_Warkah[Nomor Tiket],Table_Tarikan_Warkah[Tanggal diserahkan kepada Validator]),"")</f>
        <v/>
      </c>
      <c r="F2057" s="36" t="str">
        <f t="array" ref="F2057">IFNA(_xlfn.XLOOKUP(D2057,Table_Tarikan_Warkah[Nomor Tiket],Table_Tarikan_Warkah[Nama Petugas Warkah]),"")</f>
        <v/>
      </c>
      <c r="G2057" s="39" t="str">
        <f t="array" ref="G2057">IFNA(_xlfn.XLOOKUP(D2057,Table_Tarikan_Warkah[Nomor Tiket],Table_Tarikan_Warkah[Jenis Permohonan]),"")</f>
        <v>BN WARIS</v>
      </c>
      <c r="H2057" s="41" t="s">
        <v>20</v>
      </c>
      <c r="I2057" s="49" t="s">
        <v>23</v>
      </c>
      <c r="J2057" s="36">
        <f t="shared" si="20"/>
        <v>45783.66721</v>
      </c>
      <c r="K2057" s="49" t="s">
        <v>197</v>
      </c>
      <c r="L2057" s="49" t="s">
        <v>23</v>
      </c>
      <c r="M2057" s="36">
        <f t="shared" si="26"/>
        <v>45783.66728</v>
      </c>
      <c r="N2057" s="30" t="str">
        <f t="shared" si="27"/>
        <v>Selesai</v>
      </c>
      <c r="O2057" s="45">
        <f t="shared" si="23"/>
        <v>45783.66728</v>
      </c>
      <c r="P2057" s="47" t="b">
        <v>1</v>
      </c>
      <c r="Q2057" s="36">
        <f t="shared" si="24"/>
        <v>45783.66731</v>
      </c>
      <c r="R2057" s="47" t="b">
        <v>0</v>
      </c>
      <c r="S2057" s="42" t="str">
        <f t="shared" si="28"/>
        <v/>
      </c>
      <c r="T2057" s="42"/>
    </row>
    <row r="2058" ht="22.5" customHeight="1">
      <c r="B2058" s="42">
        <f t="shared" si="7"/>
        <v>2052</v>
      </c>
      <c r="C2058" s="31" t="s">
        <v>2172</v>
      </c>
      <c r="D2058" s="34" t="str">
        <f t="array" ref="D2058">IFNA(_xlfn.XLOOKUP(C2058,Table_Tarikan_Warkah[Nomor Sertipikat],Table_Tarikan_Warkah[Nomor Tiket]),"")</f>
        <v>K/23/150425/1</v>
      </c>
      <c r="E2058" s="36">
        <f t="array" ref="E2058">IFNA(_xlfn.XLOOKUP(D2058,Table_Tarikan_Warkah[Nomor Tiket],Table_Tarikan_Warkah[Tanggal diserahkan kepada Validator]),"")</f>
        <v>45793.42127</v>
      </c>
      <c r="F2058" s="36" t="str">
        <f t="array" ref="F2058">IFNA(_xlfn.XLOOKUP(D2058,Table_Tarikan_Warkah[Nomor Tiket],Table_Tarikan_Warkah[Nama Petugas Warkah]),"")</f>
        <v>David</v>
      </c>
      <c r="G2058" s="39" t="str">
        <f t="array" ref="G2058">IFNA(_xlfn.XLOOKUP(D2058,Table_Tarikan_Warkah[Nomor Tiket],Table_Tarikan_Warkah[Jenis Permohonan]),"")</f>
        <v>BN Jual Beli</v>
      </c>
      <c r="H2058" s="41" t="s">
        <v>20</v>
      </c>
      <c r="I2058" s="49" t="s">
        <v>23</v>
      </c>
      <c r="J2058" s="36">
        <f t="shared" si="20"/>
        <v>45783.72286</v>
      </c>
      <c r="K2058" s="49" t="s">
        <v>197</v>
      </c>
      <c r="L2058" s="49" t="s">
        <v>23</v>
      </c>
      <c r="M2058" s="36">
        <f t="shared" si="26"/>
        <v>45784.64379</v>
      </c>
      <c r="N2058" s="30" t="str">
        <f t="shared" si="27"/>
        <v>Selesai</v>
      </c>
      <c r="O2058" s="45">
        <f t="shared" si="23"/>
        <v>45784.64379</v>
      </c>
      <c r="P2058" s="47" t="b">
        <v>1</v>
      </c>
      <c r="Q2058" s="36">
        <f t="shared" si="24"/>
        <v>45784.64432</v>
      </c>
      <c r="R2058" s="47" t="b">
        <v>0</v>
      </c>
      <c r="S2058" s="42" t="str">
        <f t="shared" si="28"/>
        <v/>
      </c>
      <c r="T2058" s="42"/>
    </row>
    <row r="2059" ht="22.5" customHeight="1">
      <c r="B2059" s="42">
        <f t="shared" si="7"/>
        <v>2053</v>
      </c>
      <c r="C2059" s="31" t="s">
        <v>2173</v>
      </c>
      <c r="D2059" s="34" t="str">
        <f t="array" ref="D2059">IFNA(_xlfn.XLOOKUP(C2059,Table_Tarikan_Warkah[Nomor Sertipikat],Table_Tarikan_Warkah[Nomor Tiket]),"")</f>
        <v>K/22/290425/1</v>
      </c>
      <c r="E2059" s="36">
        <f t="array" ref="E2059">IFNA(_xlfn.XLOOKUP(D2059,Table_Tarikan_Warkah[Nomor Tiket],Table_Tarikan_Warkah[Tanggal diserahkan kepada Validator]),"")</f>
        <v>45793.41942</v>
      </c>
      <c r="F2059" s="36" t="str">
        <f t="array" ref="F2059">IFNA(_xlfn.XLOOKUP(D2059,Table_Tarikan_Warkah[Nomor Tiket],Table_Tarikan_Warkah[Nama Petugas Warkah]),"")</f>
        <v>David</v>
      </c>
      <c r="G2059" s="39" t="str">
        <f t="array" ref="G2059">IFNA(_xlfn.XLOOKUP(D2059,Table_Tarikan_Warkah[Nomor Tiket],Table_Tarikan_Warkah[Jenis Permohonan]),"")</f>
        <v>BN Jual Beli</v>
      </c>
      <c r="H2059" s="41" t="s">
        <v>20</v>
      </c>
      <c r="I2059" s="49" t="s">
        <v>23</v>
      </c>
      <c r="J2059" s="36">
        <f t="shared" si="20"/>
        <v>45783.72293</v>
      </c>
      <c r="K2059" s="49" t="s">
        <v>197</v>
      </c>
      <c r="L2059" s="49" t="s">
        <v>23</v>
      </c>
      <c r="M2059" s="36">
        <f t="shared" si="26"/>
        <v>45784.64379</v>
      </c>
      <c r="N2059" s="30" t="str">
        <f t="shared" si="27"/>
        <v>Selesai</v>
      </c>
      <c r="O2059" s="45">
        <f t="shared" si="23"/>
        <v>45784.64379</v>
      </c>
      <c r="P2059" s="47" t="b">
        <v>1</v>
      </c>
      <c r="Q2059" s="36">
        <f t="shared" si="24"/>
        <v>45784.64432</v>
      </c>
      <c r="R2059" s="47" t="b">
        <v>0</v>
      </c>
      <c r="S2059" s="42" t="str">
        <f t="shared" si="28"/>
        <v/>
      </c>
      <c r="T2059" s="42"/>
    </row>
    <row r="2060" ht="22.5" customHeight="1">
      <c r="B2060" s="42">
        <f t="shared" si="7"/>
        <v>2054</v>
      </c>
      <c r="C2060" s="31" t="s">
        <v>2174</v>
      </c>
      <c r="D2060" s="42" t="s">
        <v>2175</v>
      </c>
      <c r="E2060" s="36" t="str">
        <f t="array" ref="E2060">IFNA(_xlfn.XLOOKUP(D2060,Table_Tarikan_Warkah[Nomor Tiket],Table_Tarikan_Warkah[Tanggal diserahkan kepada Validator]),"")</f>
        <v/>
      </c>
      <c r="F2060" s="36" t="str">
        <f t="array" ref="F2060">IFNA(_xlfn.XLOOKUP(D2060,Table_Tarikan_Warkah[Nomor Tiket],Table_Tarikan_Warkah[Nama Petugas Warkah]),"")</f>
        <v/>
      </c>
      <c r="G2060" s="39" t="str">
        <f t="array" ref="G2060">IFNA(_xlfn.XLOOKUP(D2060,Table_Tarikan_Warkah[Nomor Tiket],Table_Tarikan_Warkah[Jenis Permohonan]),"")</f>
        <v>BN JUAL BELI</v>
      </c>
      <c r="H2060" s="41" t="s">
        <v>20</v>
      </c>
      <c r="I2060" s="49" t="s">
        <v>23</v>
      </c>
      <c r="J2060" s="36">
        <f t="shared" si="20"/>
        <v>45783.72318</v>
      </c>
      <c r="K2060" s="49" t="s">
        <v>197</v>
      </c>
      <c r="L2060" s="49" t="s">
        <v>23</v>
      </c>
      <c r="M2060" s="36">
        <f t="shared" si="26"/>
        <v>45784.64379</v>
      </c>
      <c r="N2060" s="30" t="str">
        <f t="shared" si="27"/>
        <v>Selesai</v>
      </c>
      <c r="O2060" s="45">
        <f t="shared" si="23"/>
        <v>45784.64379</v>
      </c>
      <c r="P2060" s="47" t="b">
        <v>1</v>
      </c>
      <c r="Q2060" s="36">
        <f t="shared" si="24"/>
        <v>45784.64432</v>
      </c>
      <c r="R2060" s="47" t="b">
        <v>0</v>
      </c>
      <c r="S2060" s="42" t="str">
        <f t="shared" si="28"/>
        <v/>
      </c>
      <c r="T2060" s="42"/>
    </row>
    <row r="2061" ht="22.5" customHeight="1">
      <c r="B2061" s="42">
        <f t="shared" si="7"/>
        <v>2055</v>
      </c>
      <c r="C2061" s="31" t="s">
        <v>2176</v>
      </c>
      <c r="D2061" s="34" t="str">
        <f t="array" ref="D2061">IFNA(_xlfn.XLOOKUP(C2061,Table_Tarikan_Warkah[Nomor Sertipikat],Table_Tarikan_Warkah[Nomor Tiket]),"")</f>
        <v>L/13/300425/1</v>
      </c>
      <c r="E2061" s="36">
        <f t="array" ref="E2061">IFNA(_xlfn.XLOOKUP(D2061,Table_Tarikan_Warkah[Nomor Tiket],Table_Tarikan_Warkah[Tanggal diserahkan kepada Validator]),"")</f>
        <v>45813.47715</v>
      </c>
      <c r="F2061" s="36" t="str">
        <f t="array" ref="F2061">IFNA(_xlfn.XLOOKUP(D2061,Table_Tarikan_Warkah[Nomor Tiket],Table_Tarikan_Warkah[Nama Petugas Warkah]),"")</f>
        <v>David</v>
      </c>
      <c r="G2061" s="39" t="str">
        <f t="array" ref="G2061">IFNA(_xlfn.XLOOKUP(D2061,Table_Tarikan_Warkah[Nomor Tiket],Table_Tarikan_Warkah[Jenis Permohonan]),"")</f>
        <v>ROYA</v>
      </c>
      <c r="H2061" s="41" t="s">
        <v>20</v>
      </c>
      <c r="I2061" s="49" t="s">
        <v>23</v>
      </c>
      <c r="J2061" s="36">
        <f t="shared" si="20"/>
        <v>45783.72328</v>
      </c>
      <c r="K2061" s="49" t="s">
        <v>197</v>
      </c>
      <c r="L2061" s="49" t="s">
        <v>23</v>
      </c>
      <c r="M2061" s="36">
        <f t="shared" si="26"/>
        <v>45784.64379</v>
      </c>
      <c r="N2061" s="30" t="str">
        <f t="shared" si="27"/>
        <v>Selesai</v>
      </c>
      <c r="O2061" s="45">
        <f t="shared" si="23"/>
        <v>45784.64379</v>
      </c>
      <c r="P2061" s="47" t="b">
        <v>1</v>
      </c>
      <c r="Q2061" s="36">
        <f t="shared" si="24"/>
        <v>45784.64432</v>
      </c>
      <c r="R2061" s="47" t="b">
        <v>0</v>
      </c>
      <c r="S2061" s="42" t="str">
        <f t="shared" si="28"/>
        <v/>
      </c>
      <c r="T2061" s="42"/>
    </row>
    <row r="2062" ht="22.5" customHeight="1">
      <c r="B2062" s="42">
        <f t="shared" si="7"/>
        <v>2056</v>
      </c>
      <c r="C2062" s="31" t="s">
        <v>2177</v>
      </c>
      <c r="D2062" s="34" t="str">
        <f t="array" ref="D2062">IFNA(_xlfn.XLOOKUP(C2062,Table_Tarikan_Warkah[Nomor Sertipikat],Table_Tarikan_Warkah[Nomor Tiket]),"")</f>
        <v>L/5/150425/1</v>
      </c>
      <c r="E2062" s="36">
        <f t="array" ref="E2062">IFNA(_xlfn.XLOOKUP(D2062,Table_Tarikan_Warkah[Nomor Tiket],Table_Tarikan_Warkah[Tanggal diserahkan kepada Validator]),"")</f>
        <v>45803.47985</v>
      </c>
      <c r="F2062" s="36" t="str">
        <f t="array" ref="F2062">IFNA(_xlfn.XLOOKUP(D2062,Table_Tarikan_Warkah[Nomor Tiket],Table_Tarikan_Warkah[Nama Petugas Warkah]),"")</f>
        <v>David</v>
      </c>
      <c r="G2062" s="39" t="str">
        <f t="array" ref="G2062">IFNA(_xlfn.XLOOKUP(D2062,Table_Tarikan_Warkah[Nomor Tiket],Table_Tarikan_Warkah[Jenis Permohonan]),"")</f>
        <v>ROYA</v>
      </c>
      <c r="H2062" s="41" t="s">
        <v>20</v>
      </c>
      <c r="I2062" s="49" t="s">
        <v>23</v>
      </c>
      <c r="J2062" s="36">
        <f t="shared" si="20"/>
        <v>45783.72358</v>
      </c>
      <c r="K2062" s="49" t="s">
        <v>197</v>
      </c>
      <c r="L2062" s="49" t="s">
        <v>23</v>
      </c>
      <c r="M2062" s="36">
        <f t="shared" si="26"/>
        <v>45784.64379</v>
      </c>
      <c r="N2062" s="30" t="str">
        <f t="shared" si="27"/>
        <v>Selesai</v>
      </c>
      <c r="O2062" s="45">
        <f t="shared" si="23"/>
        <v>45784.64379</v>
      </c>
      <c r="P2062" s="47" t="b">
        <v>1</v>
      </c>
      <c r="Q2062" s="36">
        <f t="shared" si="24"/>
        <v>45784.64432</v>
      </c>
      <c r="R2062" s="47" t="b">
        <v>0</v>
      </c>
      <c r="S2062" s="42" t="str">
        <f t="shared" si="28"/>
        <v/>
      </c>
      <c r="T2062" s="42"/>
    </row>
    <row r="2063" ht="22.5" customHeight="1">
      <c r="B2063" s="42">
        <f t="shared" si="7"/>
        <v>2057</v>
      </c>
      <c r="C2063" s="31" t="s">
        <v>2178</v>
      </c>
      <c r="D2063" s="34" t="str">
        <f t="array" ref="D2063">IFNA(_xlfn.XLOOKUP(C2063,Table_Tarikan_Warkah[Nomor Sertipikat],Table_Tarikan_Warkah[Nomor Tiket]),"")</f>
        <v>L/19/290425/1</v>
      </c>
      <c r="E2063" s="36">
        <f t="array" ref="E2063">IFNA(_xlfn.XLOOKUP(D2063,Table_Tarikan_Warkah[Nomor Tiket],Table_Tarikan_Warkah[Tanggal diserahkan kepada Validator]),"")</f>
        <v>45803.4808</v>
      </c>
      <c r="F2063" s="36" t="str">
        <f t="array" ref="F2063">IFNA(_xlfn.XLOOKUP(D2063,Table_Tarikan_Warkah[Nomor Tiket],Table_Tarikan_Warkah[Nama Petugas Warkah]),"")</f>
        <v>David</v>
      </c>
      <c r="G2063" s="39" t="str">
        <f t="array" ref="G2063">IFNA(_xlfn.XLOOKUP(D2063,Table_Tarikan_Warkah[Nomor Tiket],Table_Tarikan_Warkah[Jenis Permohonan]),"")</f>
        <v>ROYA</v>
      </c>
      <c r="H2063" s="41" t="s">
        <v>20</v>
      </c>
      <c r="I2063" s="49" t="s">
        <v>23</v>
      </c>
      <c r="J2063" s="36">
        <f t="shared" si="20"/>
        <v>45783.72368</v>
      </c>
      <c r="K2063" s="49" t="s">
        <v>197</v>
      </c>
      <c r="L2063" s="49" t="s">
        <v>23</v>
      </c>
      <c r="M2063" s="36">
        <f t="shared" si="26"/>
        <v>45784.64379</v>
      </c>
      <c r="N2063" s="30" t="str">
        <f t="shared" si="27"/>
        <v>Selesai</v>
      </c>
      <c r="O2063" s="45">
        <f t="shared" si="23"/>
        <v>45784.64379</v>
      </c>
      <c r="P2063" s="47" t="b">
        <v>1</v>
      </c>
      <c r="Q2063" s="36">
        <f t="shared" si="24"/>
        <v>45784.64432</v>
      </c>
      <c r="R2063" s="47" t="b">
        <v>0</v>
      </c>
      <c r="S2063" s="42" t="str">
        <f t="shared" si="28"/>
        <v/>
      </c>
      <c r="T2063" s="42"/>
    </row>
    <row r="2064" ht="22.5" customHeight="1">
      <c r="B2064" s="42">
        <f t="shared" si="7"/>
        <v>2058</v>
      </c>
      <c r="C2064" s="31" t="s">
        <v>2179</v>
      </c>
      <c r="D2064" s="34" t="str">
        <f t="array" ref="D2064">IFNA(_xlfn.XLOOKUP(C2064,Table_Tarikan_Warkah[Nomor Sertipikat],Table_Tarikan_Warkah[Nomor Tiket]),"")</f>
        <v>K/43/220425/1</v>
      </c>
      <c r="E2064" s="36">
        <f t="array" ref="E2064">IFNA(_xlfn.XLOOKUP(D2064,Table_Tarikan_Warkah[Nomor Tiket],Table_Tarikan_Warkah[Tanggal diserahkan kepada Validator]),"")</f>
        <v>45793.3947</v>
      </c>
      <c r="F2064" s="36" t="str">
        <f t="array" ref="F2064">IFNA(_xlfn.XLOOKUP(D2064,Table_Tarikan_Warkah[Nomor Tiket],Table_Tarikan_Warkah[Nama Petugas Warkah]),"")</f>
        <v>David</v>
      </c>
      <c r="G2064" s="39" t="str">
        <f t="array" ref="G2064">IFNA(_xlfn.XLOOKUP(D2064,Table_Tarikan_Warkah[Nomor Tiket],Table_Tarikan_Warkah[Jenis Permohonan]),"")</f>
        <v>BN JUAL BELI</v>
      </c>
      <c r="H2064" s="41" t="s">
        <v>20</v>
      </c>
      <c r="I2064" s="49" t="s">
        <v>23</v>
      </c>
      <c r="J2064" s="36">
        <f t="shared" si="20"/>
        <v>45783.72379</v>
      </c>
      <c r="K2064" s="49" t="s">
        <v>197</v>
      </c>
      <c r="L2064" s="49" t="s">
        <v>23</v>
      </c>
      <c r="M2064" s="36">
        <f t="shared" si="26"/>
        <v>45784.64379</v>
      </c>
      <c r="N2064" s="30" t="str">
        <f t="shared" si="27"/>
        <v>Selesai</v>
      </c>
      <c r="O2064" s="45">
        <f t="shared" si="23"/>
        <v>45784.64379</v>
      </c>
      <c r="P2064" s="47" t="b">
        <v>1</v>
      </c>
      <c r="Q2064" s="36">
        <f t="shared" si="24"/>
        <v>45784.64432</v>
      </c>
      <c r="R2064" s="47" t="b">
        <v>0</v>
      </c>
      <c r="S2064" s="42" t="str">
        <f t="shared" si="28"/>
        <v/>
      </c>
      <c r="T2064" s="42"/>
    </row>
    <row r="2065" ht="22.5" customHeight="1">
      <c r="B2065" s="42">
        <f t="shared" si="7"/>
        <v>2059</v>
      </c>
      <c r="C2065" s="31" t="s">
        <v>2180</v>
      </c>
      <c r="D2065" s="34" t="str">
        <f t="array" ref="D2065">IFNA(_xlfn.XLOOKUP(C2065,Table_Tarikan_Warkah[Nomor Sertipikat],Table_Tarikan_Warkah[Nomor Tiket]),"")</f>
        <v>K/9/250425/1</v>
      </c>
      <c r="E2065" s="36">
        <f t="array" ref="E2065">IFNA(_xlfn.XLOOKUP(D2065,Table_Tarikan_Warkah[Nomor Tiket],Table_Tarikan_Warkah[Tanggal diserahkan kepada Validator]),"")</f>
        <v>45792.63341</v>
      </c>
      <c r="F2065" s="36" t="str">
        <f t="array" ref="F2065">IFNA(_xlfn.XLOOKUP(D2065,Table_Tarikan_Warkah[Nomor Tiket],Table_Tarikan_Warkah[Nama Petugas Warkah]),"")</f>
        <v>Berry</v>
      </c>
      <c r="G2065" s="39" t="str">
        <f t="array" ref="G2065">IFNA(_xlfn.XLOOKUP(D2065,Table_Tarikan_Warkah[Nomor Tiket],Table_Tarikan_Warkah[Jenis Permohonan]),"")</f>
        <v>PERUBAHAN HAK</v>
      </c>
      <c r="H2065" s="41" t="s">
        <v>20</v>
      </c>
      <c r="I2065" s="49" t="s">
        <v>23</v>
      </c>
      <c r="J2065" s="36">
        <f t="shared" si="20"/>
        <v>45783.72397</v>
      </c>
      <c r="K2065" s="49" t="s">
        <v>197</v>
      </c>
      <c r="L2065" s="49" t="s">
        <v>23</v>
      </c>
      <c r="M2065" s="36">
        <f t="shared" si="26"/>
        <v>45784.64379</v>
      </c>
      <c r="N2065" s="30" t="str">
        <f t="shared" si="27"/>
        <v>Selesai</v>
      </c>
      <c r="O2065" s="45">
        <f t="shared" si="23"/>
        <v>45784.64379</v>
      </c>
      <c r="P2065" s="47" t="b">
        <v>1</v>
      </c>
      <c r="Q2065" s="36">
        <f t="shared" si="24"/>
        <v>45784.64432</v>
      </c>
      <c r="R2065" s="47" t="b">
        <v>0</v>
      </c>
      <c r="S2065" s="42" t="str">
        <f t="shared" si="28"/>
        <v/>
      </c>
      <c r="T2065" s="42"/>
    </row>
    <row r="2066" ht="22.5" customHeight="1">
      <c r="B2066" s="42">
        <f t="shared" si="7"/>
        <v>2060</v>
      </c>
      <c r="C2066" s="31" t="s">
        <v>2181</v>
      </c>
      <c r="D2066" s="34" t="str">
        <f t="array" ref="D2066">IFNA(_xlfn.XLOOKUP(C2066,Table_Tarikan_Warkah[Nomor Sertipikat],Table_Tarikan_Warkah[Nomor Tiket]),"")</f>
        <v>K/13/290425/1</v>
      </c>
      <c r="E2066" s="36">
        <f t="array" ref="E2066">IFNA(_xlfn.XLOOKUP(D2066,Table_Tarikan_Warkah[Nomor Tiket],Table_Tarikan_Warkah[Tanggal diserahkan kepada Validator]),"")</f>
        <v>45799.52972</v>
      </c>
      <c r="F2066" s="36" t="str">
        <f t="array" ref="F2066">IFNA(_xlfn.XLOOKUP(D2066,Table_Tarikan_Warkah[Nomor Tiket],Table_Tarikan_Warkah[Nama Petugas Warkah]),"")</f>
        <v>Berry</v>
      </c>
      <c r="G2066" s="39" t="str">
        <f t="array" ref="G2066">IFNA(_xlfn.XLOOKUP(D2066,Table_Tarikan_Warkah[Nomor Tiket],Table_Tarikan_Warkah[Jenis Permohonan]),"")</f>
        <v>ROYA</v>
      </c>
      <c r="H2066" s="41" t="s">
        <v>20</v>
      </c>
      <c r="I2066" s="49" t="s">
        <v>23</v>
      </c>
      <c r="J2066" s="36">
        <f t="shared" si="20"/>
        <v>45783.72425</v>
      </c>
      <c r="K2066" s="49" t="s">
        <v>197</v>
      </c>
      <c r="L2066" s="49" t="s">
        <v>23</v>
      </c>
      <c r="M2066" s="36">
        <f t="shared" si="26"/>
        <v>45784.64379</v>
      </c>
      <c r="N2066" s="30" t="str">
        <f t="shared" si="27"/>
        <v>Selesai</v>
      </c>
      <c r="O2066" s="45">
        <f t="shared" si="23"/>
        <v>45784.64379</v>
      </c>
      <c r="P2066" s="47" t="b">
        <v>1</v>
      </c>
      <c r="Q2066" s="36">
        <f t="shared" si="24"/>
        <v>45784.64441</v>
      </c>
      <c r="R2066" s="47" t="b">
        <v>0</v>
      </c>
      <c r="S2066" s="42" t="str">
        <f t="shared" si="28"/>
        <v/>
      </c>
      <c r="T2066" s="42"/>
    </row>
    <row r="2067" ht="22.5" customHeight="1">
      <c r="B2067" s="42">
        <f t="shared" si="7"/>
        <v>2061</v>
      </c>
      <c r="C2067" s="31" t="s">
        <v>2182</v>
      </c>
      <c r="D2067" s="34" t="str">
        <f t="array" ref="D2067">IFNA(_xlfn.XLOOKUP(C2067,Table_Tarikan_Warkah[Nomor Sertipikat],Table_Tarikan_Warkah[Nomor Tiket]),"")</f>
        <v>K/29/210425/1</v>
      </c>
      <c r="E2067" s="36">
        <f t="array" ref="E2067">IFNA(_xlfn.XLOOKUP(D2067,Table_Tarikan_Warkah[Nomor Tiket],Table_Tarikan_Warkah[Tanggal diserahkan kepada Validator]),"")</f>
        <v>45793.40343</v>
      </c>
      <c r="F2067" s="36" t="str">
        <f t="array" ref="F2067">IFNA(_xlfn.XLOOKUP(D2067,Table_Tarikan_Warkah[Nomor Tiket],Table_Tarikan_Warkah[Nama Petugas Warkah]),"")</f>
        <v>David</v>
      </c>
      <c r="G2067" s="39" t="str">
        <f t="array" ref="G2067">IFNA(_xlfn.XLOOKUP(D2067,Table_Tarikan_Warkah[Nomor Tiket],Table_Tarikan_Warkah[Jenis Permohonan]),"")</f>
        <v>BN Jual beli</v>
      </c>
      <c r="H2067" s="41" t="s">
        <v>20</v>
      </c>
      <c r="I2067" s="49" t="s">
        <v>23</v>
      </c>
      <c r="J2067" s="36">
        <f t="shared" si="20"/>
        <v>45783.72437</v>
      </c>
      <c r="K2067" s="49" t="s">
        <v>197</v>
      </c>
      <c r="L2067" s="49" t="s">
        <v>23</v>
      </c>
      <c r="M2067" s="36">
        <f t="shared" si="26"/>
        <v>45784.64379</v>
      </c>
      <c r="N2067" s="30" t="str">
        <f t="shared" si="27"/>
        <v>Selesai</v>
      </c>
      <c r="O2067" s="45">
        <f t="shared" si="23"/>
        <v>45784.64379</v>
      </c>
      <c r="P2067" s="47" t="b">
        <v>1</v>
      </c>
      <c r="Q2067" s="36">
        <f t="shared" si="24"/>
        <v>45784.64441</v>
      </c>
      <c r="R2067" s="47" t="b">
        <v>0</v>
      </c>
      <c r="S2067" s="42" t="str">
        <f t="shared" si="28"/>
        <v/>
      </c>
      <c r="T2067" s="42"/>
    </row>
    <row r="2068" ht="22.5" customHeight="1">
      <c r="B2068" s="42">
        <f t="shared" si="7"/>
        <v>2062</v>
      </c>
      <c r="C2068" s="31" t="s">
        <v>2183</v>
      </c>
      <c r="D2068" s="34" t="str">
        <f t="array" ref="D2068">IFNA(_xlfn.XLOOKUP(C2068,Table_Tarikan_Warkah[Nomor Sertipikat],Table_Tarikan_Warkah[Nomor Tiket]),"")</f>
        <v>K/36/170425/3</v>
      </c>
      <c r="E2068" s="36">
        <f t="array" ref="E2068">IFNA(_xlfn.XLOOKUP(D2068,Table_Tarikan_Warkah[Nomor Tiket],Table_Tarikan_Warkah[Tanggal diserahkan kepada Validator]),"")</f>
        <v>45793.40301</v>
      </c>
      <c r="F2068" s="36" t="str">
        <f t="array" ref="F2068">IFNA(_xlfn.XLOOKUP(D2068,Table_Tarikan_Warkah[Nomor Tiket],Table_Tarikan_Warkah[Nama Petugas Warkah]),"")</f>
        <v>David</v>
      </c>
      <c r="G2068" s="39" t="str">
        <f t="array" ref="G2068">IFNA(_xlfn.XLOOKUP(D2068,Table_Tarikan_Warkah[Nomor Tiket],Table_Tarikan_Warkah[Jenis Permohonan]),"")</f>
        <v>BN PHB</v>
      </c>
      <c r="H2068" s="41" t="s">
        <v>20</v>
      </c>
      <c r="I2068" s="49" t="s">
        <v>23</v>
      </c>
      <c r="J2068" s="36">
        <f t="shared" si="20"/>
        <v>45783.72459</v>
      </c>
      <c r="K2068" s="49" t="s">
        <v>197</v>
      </c>
      <c r="L2068" s="49" t="s">
        <v>23</v>
      </c>
      <c r="M2068" s="36">
        <f t="shared" si="26"/>
        <v>45784.64379</v>
      </c>
      <c r="N2068" s="30" t="str">
        <f t="shared" si="27"/>
        <v>Selesai</v>
      </c>
      <c r="O2068" s="45">
        <f t="shared" si="23"/>
        <v>45784.64379</v>
      </c>
      <c r="P2068" s="47" t="b">
        <v>1</v>
      </c>
      <c r="Q2068" s="36">
        <f t="shared" si="24"/>
        <v>45784.64441</v>
      </c>
      <c r="R2068" s="47" t="b">
        <v>0</v>
      </c>
      <c r="S2068" s="42" t="str">
        <f t="shared" si="28"/>
        <v/>
      </c>
      <c r="T2068" s="42"/>
    </row>
    <row r="2069" ht="22.5" customHeight="1">
      <c r="B2069" s="42">
        <f t="shared" si="7"/>
        <v>2063</v>
      </c>
      <c r="C2069" s="31" t="s">
        <v>2184</v>
      </c>
      <c r="D2069" s="34" t="str">
        <f t="array" ref="D2069">IFNA(_xlfn.XLOOKUP(C2069,Table_Tarikan_Warkah[Nomor Sertipikat],Table_Tarikan_Warkah[Nomor Tiket]),"")</f>
        <v>K/40/290425/1</v>
      </c>
      <c r="E2069" s="36">
        <f t="array" ref="E2069">IFNA(_xlfn.XLOOKUP(D2069,Table_Tarikan_Warkah[Nomor Tiket],Table_Tarikan_Warkah[Tanggal diserahkan kepada Validator]),"")</f>
        <v>45799.52932</v>
      </c>
      <c r="F2069" s="36" t="str">
        <f t="array" ref="F2069">IFNA(_xlfn.XLOOKUP(D2069,Table_Tarikan_Warkah[Nomor Tiket],Table_Tarikan_Warkah[Nama Petugas Warkah]),"")</f>
        <v>Berry</v>
      </c>
      <c r="G2069" s="39" t="str">
        <f t="array" ref="G2069">IFNA(_xlfn.XLOOKUP(D2069,Table_Tarikan_Warkah[Nomor Tiket],Table_Tarikan_Warkah[Jenis Permohonan]),"")</f>
        <v>Roya</v>
      </c>
      <c r="H2069" s="41" t="s">
        <v>20</v>
      </c>
      <c r="I2069" s="49" t="s">
        <v>23</v>
      </c>
      <c r="J2069" s="36">
        <f t="shared" si="20"/>
        <v>45783.72477</v>
      </c>
      <c r="K2069" s="49" t="s">
        <v>197</v>
      </c>
      <c r="L2069" s="49" t="s">
        <v>23</v>
      </c>
      <c r="M2069" s="36">
        <f t="shared" si="26"/>
        <v>45784.64379</v>
      </c>
      <c r="N2069" s="30" t="str">
        <f t="shared" si="27"/>
        <v>Selesai</v>
      </c>
      <c r="O2069" s="45">
        <f t="shared" si="23"/>
        <v>45784.64379</v>
      </c>
      <c r="P2069" s="47" t="b">
        <v>1</v>
      </c>
      <c r="Q2069" s="36">
        <f t="shared" si="24"/>
        <v>45784.64441</v>
      </c>
      <c r="R2069" s="47" t="b">
        <v>0</v>
      </c>
      <c r="S2069" s="42" t="str">
        <f t="shared" si="28"/>
        <v/>
      </c>
      <c r="T2069" s="42"/>
    </row>
    <row r="2070" ht="22.5" customHeight="1">
      <c r="B2070" s="42">
        <f t="shared" si="7"/>
        <v>2064</v>
      </c>
      <c r="C2070" s="31" t="s">
        <v>2185</v>
      </c>
      <c r="D2070" s="34" t="str">
        <f t="array" ref="D2070">IFNA(_xlfn.XLOOKUP(C2070,Table_Tarikan_Warkah[Nomor Sertipikat],Table_Tarikan_Warkah[Nomor Tiket]),"")</f>
        <v>K/18/300425/1</v>
      </c>
      <c r="E2070" s="36">
        <f t="array" ref="E2070">IFNA(_xlfn.XLOOKUP(D2070,Table_Tarikan_Warkah[Nomor Tiket],Table_Tarikan_Warkah[Tanggal diserahkan kepada Validator]),"")</f>
        <v>45799.52907</v>
      </c>
      <c r="F2070" s="36" t="str">
        <f t="array" ref="F2070">IFNA(_xlfn.XLOOKUP(D2070,Table_Tarikan_Warkah[Nomor Tiket],Table_Tarikan_Warkah[Nama Petugas Warkah]),"")</f>
        <v>Berry</v>
      </c>
      <c r="G2070" s="39" t="str">
        <f t="array" ref="G2070">IFNA(_xlfn.XLOOKUP(D2070,Table_Tarikan_Warkah[Nomor Tiket],Table_Tarikan_Warkah[Jenis Permohonan]),"")</f>
        <v>Roya</v>
      </c>
      <c r="H2070" s="41" t="s">
        <v>20</v>
      </c>
      <c r="I2070" s="49" t="s">
        <v>23</v>
      </c>
      <c r="J2070" s="36">
        <f t="shared" si="20"/>
        <v>45783.72502</v>
      </c>
      <c r="K2070" s="49" t="s">
        <v>197</v>
      </c>
      <c r="L2070" s="49" t="s">
        <v>23</v>
      </c>
      <c r="M2070" s="36">
        <f t="shared" si="26"/>
        <v>45784.64379</v>
      </c>
      <c r="N2070" s="30" t="str">
        <f t="shared" si="27"/>
        <v>Selesai</v>
      </c>
      <c r="O2070" s="45">
        <f t="shared" si="23"/>
        <v>45784.64379</v>
      </c>
      <c r="P2070" s="47" t="b">
        <v>1</v>
      </c>
      <c r="Q2070" s="36">
        <f t="shared" si="24"/>
        <v>45784.64441</v>
      </c>
      <c r="R2070" s="47" t="b">
        <v>0</v>
      </c>
      <c r="S2070" s="42" t="str">
        <f t="shared" si="28"/>
        <v/>
      </c>
      <c r="T2070" s="42"/>
    </row>
    <row r="2071" ht="22.5" customHeight="1">
      <c r="B2071" s="42">
        <f t="shared" si="7"/>
        <v>2065</v>
      </c>
      <c r="C2071" s="31" t="s">
        <v>2186</v>
      </c>
      <c r="D2071" s="34" t="str">
        <f t="array" ref="D2071">IFNA(_xlfn.XLOOKUP(C2071,Table_Tarikan_Warkah[Nomor Sertipikat],Table_Tarikan_Warkah[Nomor Tiket]),"")</f>
        <v>K/44/290425/1</v>
      </c>
      <c r="E2071" s="36">
        <f t="array" ref="E2071">IFNA(_xlfn.XLOOKUP(D2071,Table_Tarikan_Warkah[Nomor Tiket],Table_Tarikan_Warkah[Tanggal diserahkan kepada Validator]),"")</f>
        <v>45793.40385</v>
      </c>
      <c r="F2071" s="36" t="str">
        <f t="array" ref="F2071">IFNA(_xlfn.XLOOKUP(D2071,Table_Tarikan_Warkah[Nomor Tiket],Table_Tarikan_Warkah[Nama Petugas Warkah]),"")</f>
        <v>David</v>
      </c>
      <c r="G2071" s="39" t="str">
        <f t="array" ref="G2071">IFNA(_xlfn.XLOOKUP(D2071,Table_Tarikan_Warkah[Nomor Tiket],Table_Tarikan_Warkah[Jenis Permohonan]),"")</f>
        <v>BN Jual Beli</v>
      </c>
      <c r="H2071" s="41" t="s">
        <v>20</v>
      </c>
      <c r="I2071" s="49" t="s">
        <v>23</v>
      </c>
      <c r="J2071" s="36">
        <f t="shared" si="20"/>
        <v>45783.72538</v>
      </c>
      <c r="K2071" s="49" t="s">
        <v>197</v>
      </c>
      <c r="L2071" s="49" t="s">
        <v>23</v>
      </c>
      <c r="M2071" s="36">
        <f t="shared" si="26"/>
        <v>45784.64379</v>
      </c>
      <c r="N2071" s="30" t="str">
        <f t="shared" si="27"/>
        <v>Selesai</v>
      </c>
      <c r="O2071" s="45">
        <f t="shared" si="23"/>
        <v>45784.64379</v>
      </c>
      <c r="P2071" s="47" t="b">
        <v>1</v>
      </c>
      <c r="Q2071" s="36">
        <f t="shared" si="24"/>
        <v>45784.64441</v>
      </c>
      <c r="R2071" s="47" t="b">
        <v>0</v>
      </c>
      <c r="S2071" s="42" t="str">
        <f t="shared" si="28"/>
        <v/>
      </c>
      <c r="T2071" s="42"/>
    </row>
    <row r="2072" ht="22.5" customHeight="1">
      <c r="B2072" s="42">
        <f t="shared" si="7"/>
        <v>2066</v>
      </c>
      <c r="C2072" s="31" t="s">
        <v>2187</v>
      </c>
      <c r="D2072" s="34" t="str">
        <f t="array" ref="D2072">IFNA(_xlfn.XLOOKUP(C2072,Table_Tarikan_Warkah[Nomor Sertipikat],Table_Tarikan_Warkah[Nomor Tiket]),"")</f>
        <v>K/4/300425/1</v>
      </c>
      <c r="E2072" s="36">
        <f t="array" ref="E2072">IFNA(_xlfn.XLOOKUP(D2072,Table_Tarikan_Warkah[Nomor Tiket],Table_Tarikan_Warkah[Tanggal diserahkan kepada Validator]),"")</f>
        <v>45793.39968</v>
      </c>
      <c r="F2072" s="36" t="str">
        <f t="array" ref="F2072">IFNA(_xlfn.XLOOKUP(D2072,Table_Tarikan_Warkah[Nomor Tiket],Table_Tarikan_Warkah[Nama Petugas Warkah]),"")</f>
        <v>David</v>
      </c>
      <c r="G2072" s="39" t="str">
        <f t="array" ref="G2072">IFNA(_xlfn.XLOOKUP(D2072,Table_Tarikan_Warkah[Nomor Tiket],Table_Tarikan_Warkah[Jenis Permohonan]),"")</f>
        <v>BN Jual Beli</v>
      </c>
      <c r="H2072" s="41" t="s">
        <v>20</v>
      </c>
      <c r="I2072" s="49" t="s">
        <v>23</v>
      </c>
      <c r="J2072" s="36">
        <f t="shared" si="20"/>
        <v>45783.72665</v>
      </c>
      <c r="K2072" s="49" t="s">
        <v>197</v>
      </c>
      <c r="L2072" s="49" t="s">
        <v>23</v>
      </c>
      <c r="M2072" s="36">
        <f t="shared" si="26"/>
        <v>45784.64379</v>
      </c>
      <c r="N2072" s="30" t="str">
        <f t="shared" si="27"/>
        <v>Selesai</v>
      </c>
      <c r="O2072" s="45">
        <f t="shared" si="23"/>
        <v>45784.64379</v>
      </c>
      <c r="P2072" s="47" t="b">
        <v>1</v>
      </c>
      <c r="Q2072" s="36">
        <f t="shared" si="24"/>
        <v>45784.64441</v>
      </c>
      <c r="R2072" s="47" t="b">
        <v>0</v>
      </c>
      <c r="S2072" s="42" t="str">
        <f t="shared" si="28"/>
        <v/>
      </c>
      <c r="T2072" s="42"/>
    </row>
    <row r="2073" ht="22.5" customHeight="1">
      <c r="B2073" s="42">
        <f t="shared" si="7"/>
        <v>2067</v>
      </c>
      <c r="C2073" s="31" t="s">
        <v>2188</v>
      </c>
      <c r="D2073" s="34" t="str">
        <f t="array" ref="D2073">IFNA(_xlfn.XLOOKUP(C2073,Table_Tarikan_Warkah[Nomor Sertipikat],Table_Tarikan_Warkah[Nomor Tiket]),"")</f>
        <v>K/6/170425/1</v>
      </c>
      <c r="E2073" s="36">
        <f t="array" ref="E2073">IFNA(_xlfn.XLOOKUP(D2073,Table_Tarikan_Warkah[Nomor Tiket],Table_Tarikan_Warkah[Tanggal diserahkan kepada Validator]),"")</f>
        <v>45793.40047</v>
      </c>
      <c r="F2073" s="36" t="str">
        <f t="array" ref="F2073">IFNA(_xlfn.XLOOKUP(D2073,Table_Tarikan_Warkah[Nomor Tiket],Table_Tarikan_Warkah[Nama Petugas Warkah]),"")</f>
        <v>David</v>
      </c>
      <c r="G2073" s="39" t="str">
        <f t="array" ref="G2073">IFNA(_xlfn.XLOOKUP(D2073,Table_Tarikan_Warkah[Nomor Tiket],Table_Tarikan_Warkah[Jenis Permohonan]),"")</f>
        <v>BN Jual Beli</v>
      </c>
      <c r="H2073" s="41" t="s">
        <v>20</v>
      </c>
      <c r="I2073" s="49" t="s">
        <v>23</v>
      </c>
      <c r="J2073" s="36">
        <f t="shared" si="20"/>
        <v>45783.72682</v>
      </c>
      <c r="K2073" s="49" t="s">
        <v>197</v>
      </c>
      <c r="L2073" s="49" t="s">
        <v>23</v>
      </c>
      <c r="M2073" s="36">
        <f t="shared" si="26"/>
        <v>45784.64379</v>
      </c>
      <c r="N2073" s="30" t="str">
        <f t="shared" si="27"/>
        <v>Selesai</v>
      </c>
      <c r="O2073" s="45">
        <f t="shared" si="23"/>
        <v>45784.64379</v>
      </c>
      <c r="P2073" s="47" t="b">
        <v>1</v>
      </c>
      <c r="Q2073" s="36">
        <f t="shared" si="24"/>
        <v>45784.64441</v>
      </c>
      <c r="R2073" s="47" t="b">
        <v>0</v>
      </c>
      <c r="S2073" s="42" t="str">
        <f t="shared" si="28"/>
        <v/>
      </c>
      <c r="T2073" s="42"/>
    </row>
    <row r="2074" ht="22.5" customHeight="1">
      <c r="B2074" s="42">
        <f t="shared" si="7"/>
        <v>2068</v>
      </c>
      <c r="C2074" s="31" t="s">
        <v>2189</v>
      </c>
      <c r="D2074" s="34" t="str">
        <f t="array" ref="D2074">IFNA(_xlfn.XLOOKUP(C2074,Table_Tarikan_Warkah[Nomor Sertipikat],Table_Tarikan_Warkah[Nomor Tiket]),"")</f>
        <v>K/2/300425/1</v>
      </c>
      <c r="E2074" s="36">
        <f t="array" ref="E2074">IFNA(_xlfn.XLOOKUP(D2074,Table_Tarikan_Warkah[Nomor Tiket],Table_Tarikan_Warkah[Tanggal diserahkan kepada Validator]),"")</f>
        <v>45799.70759</v>
      </c>
      <c r="F2074" s="36" t="str">
        <f t="array" ref="F2074">IFNA(_xlfn.XLOOKUP(D2074,Table_Tarikan_Warkah[Nomor Tiket],Table_Tarikan_Warkah[Nama Petugas Warkah]),"")</f>
        <v>Berry</v>
      </c>
      <c r="G2074" s="39" t="str">
        <f t="array" ref="G2074">IFNA(_xlfn.XLOOKUP(D2074,Table_Tarikan_Warkah[Nomor Tiket],Table_Tarikan_Warkah[Jenis Permohonan]),"")</f>
        <v>BN WARIS</v>
      </c>
      <c r="H2074" s="41" t="s">
        <v>20</v>
      </c>
      <c r="I2074" s="49" t="s">
        <v>23</v>
      </c>
      <c r="J2074" s="36">
        <f t="shared" si="20"/>
        <v>45783.72699</v>
      </c>
      <c r="K2074" s="49" t="s">
        <v>197</v>
      </c>
      <c r="L2074" s="49" t="s">
        <v>23</v>
      </c>
      <c r="M2074" s="36">
        <f t="shared" si="26"/>
        <v>45784.64379</v>
      </c>
      <c r="N2074" s="30" t="str">
        <f t="shared" si="27"/>
        <v>Selesai</v>
      </c>
      <c r="O2074" s="45">
        <f t="shared" si="23"/>
        <v>45784.64379</v>
      </c>
      <c r="P2074" s="47" t="b">
        <v>1</v>
      </c>
      <c r="Q2074" s="36">
        <f t="shared" si="24"/>
        <v>45784.64462</v>
      </c>
      <c r="R2074" s="47" t="b">
        <v>0</v>
      </c>
      <c r="S2074" s="42" t="str">
        <f t="shared" si="28"/>
        <v/>
      </c>
      <c r="T2074" s="42"/>
    </row>
    <row r="2075" ht="22.5" customHeight="1">
      <c r="B2075" s="42">
        <f t="shared" si="7"/>
        <v>2069</v>
      </c>
      <c r="C2075" s="31" t="s">
        <v>2190</v>
      </c>
      <c r="D2075" s="34" t="str">
        <f t="array" ref="D2075">IFNA(_xlfn.XLOOKUP(C2075,Table_Tarikan_Warkah[Nomor Sertipikat],Table_Tarikan_Warkah[Nomor Tiket]),"")</f>
        <v>K/13/280425/1</v>
      </c>
      <c r="E2075" s="36">
        <f t="array" ref="E2075">IFNA(_xlfn.XLOOKUP(D2075,Table_Tarikan_Warkah[Nomor Tiket],Table_Tarikan_Warkah[Tanggal diserahkan kepada Validator]),"")</f>
        <v>45800.6121</v>
      </c>
      <c r="F2075" s="36" t="str">
        <f t="array" ref="F2075">IFNA(_xlfn.XLOOKUP(D2075,Table_Tarikan_Warkah[Nomor Tiket],Table_Tarikan_Warkah[Nama Petugas Warkah]),"")</f>
        <v>Berry</v>
      </c>
      <c r="G2075" s="39" t="str">
        <f t="array" ref="G2075">IFNA(_xlfn.XLOOKUP(D2075,Table_Tarikan_Warkah[Nomor Tiket],Table_Tarikan_Warkah[Jenis Permohonan]),"")</f>
        <v>PERUBAHAN HAK</v>
      </c>
      <c r="H2075" s="41" t="s">
        <v>20</v>
      </c>
      <c r="I2075" s="49" t="s">
        <v>23</v>
      </c>
      <c r="J2075" s="36">
        <f t="shared" si="20"/>
        <v>45783.7271</v>
      </c>
      <c r="K2075" s="49" t="s">
        <v>197</v>
      </c>
      <c r="L2075" s="49" t="s">
        <v>23</v>
      </c>
      <c r="M2075" s="36">
        <f t="shared" si="26"/>
        <v>45784.64379</v>
      </c>
      <c r="N2075" s="30" t="str">
        <f t="shared" si="27"/>
        <v>Selesai</v>
      </c>
      <c r="O2075" s="45">
        <f t="shared" si="23"/>
        <v>45784.64379</v>
      </c>
      <c r="P2075" s="47" t="b">
        <v>1</v>
      </c>
      <c r="Q2075" s="36">
        <f t="shared" si="24"/>
        <v>45784.64462</v>
      </c>
      <c r="R2075" s="47" t="b">
        <v>0</v>
      </c>
      <c r="S2075" s="42" t="str">
        <f t="shared" si="28"/>
        <v/>
      </c>
      <c r="T2075" s="42"/>
    </row>
    <row r="2076" ht="22.5" customHeight="1">
      <c r="B2076" s="42">
        <f t="shared" si="7"/>
        <v>2070</v>
      </c>
      <c r="C2076" s="31" t="s">
        <v>2191</v>
      </c>
      <c r="D2076" s="34" t="str">
        <f t="array" ref="D2076">IFNA(_xlfn.XLOOKUP(C2076,Table_Tarikan_Warkah[Nomor Sertipikat],Table_Tarikan_Warkah[Nomor Tiket]),"")</f>
        <v>K/27/290425/1</v>
      </c>
      <c r="E2076" s="36">
        <f t="array" ref="E2076">IFNA(_xlfn.XLOOKUP(D2076,Table_Tarikan_Warkah[Nomor Tiket],Table_Tarikan_Warkah[Tanggal diserahkan kepada Validator]),"")</f>
        <v>45799.70777</v>
      </c>
      <c r="F2076" s="36" t="str">
        <f t="array" ref="F2076">IFNA(_xlfn.XLOOKUP(D2076,Table_Tarikan_Warkah[Nomor Tiket],Table_Tarikan_Warkah[Nama Petugas Warkah]),"")</f>
        <v>Berry</v>
      </c>
      <c r="G2076" s="39" t="str">
        <f t="array" ref="G2076">IFNA(_xlfn.XLOOKUP(D2076,Table_Tarikan_Warkah[Nomor Tiket],Table_Tarikan_Warkah[Jenis Permohonan]),"")</f>
        <v>BN JUAL BELI</v>
      </c>
      <c r="H2076" s="41" t="s">
        <v>20</v>
      </c>
      <c r="I2076" s="49" t="s">
        <v>23</v>
      </c>
      <c r="J2076" s="36">
        <f t="shared" si="20"/>
        <v>45783.72722</v>
      </c>
      <c r="K2076" s="49" t="s">
        <v>197</v>
      </c>
      <c r="L2076" s="49" t="s">
        <v>23</v>
      </c>
      <c r="M2076" s="36">
        <f t="shared" si="26"/>
        <v>45784.64379</v>
      </c>
      <c r="N2076" s="30" t="str">
        <f t="shared" si="27"/>
        <v>Selesai</v>
      </c>
      <c r="O2076" s="45">
        <f t="shared" si="23"/>
        <v>45784.64379</v>
      </c>
      <c r="P2076" s="47" t="b">
        <v>1</v>
      </c>
      <c r="Q2076" s="36">
        <f t="shared" si="24"/>
        <v>45784.64462</v>
      </c>
      <c r="R2076" s="47" t="b">
        <v>0</v>
      </c>
      <c r="S2076" s="42" t="str">
        <f t="shared" si="28"/>
        <v/>
      </c>
      <c r="T2076" s="42"/>
    </row>
    <row r="2077" ht="22.5" customHeight="1">
      <c r="B2077" s="42">
        <f t="shared" si="7"/>
        <v>2071</v>
      </c>
      <c r="C2077" s="31" t="s">
        <v>2192</v>
      </c>
      <c r="D2077" s="34" t="str">
        <f t="array" ref="D2077">IFNA(_xlfn.XLOOKUP(C2077,Table_Tarikan_Warkah[Nomor Sertipikat],Table_Tarikan_Warkah[Nomor Tiket]),"")</f>
        <v>K/21/300425/1</v>
      </c>
      <c r="E2077" s="36">
        <f t="array" ref="E2077">IFNA(_xlfn.XLOOKUP(D2077,Table_Tarikan_Warkah[Nomor Tiket],Table_Tarikan_Warkah[Tanggal diserahkan kepada Validator]),"")</f>
        <v>45791.6636</v>
      </c>
      <c r="F2077" s="36" t="str">
        <f t="array" ref="F2077">IFNA(_xlfn.XLOOKUP(D2077,Table_Tarikan_Warkah[Nomor Tiket],Table_Tarikan_Warkah[Nama Petugas Warkah]),"")</f>
        <v>Berry</v>
      </c>
      <c r="G2077" s="39" t="str">
        <f t="array" ref="G2077">IFNA(_xlfn.XLOOKUP(D2077,Table_Tarikan_Warkah[Nomor Tiket],Table_Tarikan_Warkah[Jenis Permohonan]),"")</f>
        <v>BN Jual Beli</v>
      </c>
      <c r="H2077" s="41" t="s">
        <v>20</v>
      </c>
      <c r="I2077" s="49" t="s">
        <v>23</v>
      </c>
      <c r="J2077" s="36">
        <f t="shared" si="20"/>
        <v>45784.44451</v>
      </c>
      <c r="K2077" s="49" t="s">
        <v>197</v>
      </c>
      <c r="L2077" s="49" t="s">
        <v>23</v>
      </c>
      <c r="M2077" s="36">
        <f t="shared" si="26"/>
        <v>45784.64379</v>
      </c>
      <c r="N2077" s="30" t="str">
        <f t="shared" si="27"/>
        <v>Selesai</v>
      </c>
      <c r="O2077" s="45">
        <f t="shared" si="23"/>
        <v>45784.64379</v>
      </c>
      <c r="P2077" s="47" t="b">
        <v>1</v>
      </c>
      <c r="Q2077" s="36">
        <f t="shared" si="24"/>
        <v>45784.64462</v>
      </c>
      <c r="R2077" s="47" t="b">
        <v>0</v>
      </c>
      <c r="S2077" s="42" t="str">
        <f t="shared" si="28"/>
        <v/>
      </c>
      <c r="T2077" s="42"/>
    </row>
    <row r="2078" ht="22.5" customHeight="1">
      <c r="B2078" s="42">
        <f t="shared" si="7"/>
        <v>2072</v>
      </c>
      <c r="C2078" s="31" t="s">
        <v>2193</v>
      </c>
      <c r="D2078" s="34" t="str">
        <f t="array" ref="D2078">IFNA(_xlfn.XLOOKUP(C2078,Table_Tarikan_Warkah[Nomor Sertipikat],Table_Tarikan_Warkah[Nomor Tiket]),"")</f>
        <v>K/34/230425/1</v>
      </c>
      <c r="E2078" s="36">
        <f t="array" ref="E2078">IFNA(_xlfn.XLOOKUP(D2078,Table_Tarikan_Warkah[Nomor Tiket],Table_Tarikan_Warkah[Tanggal diserahkan kepada Validator]),"")</f>
        <v>45791.66275</v>
      </c>
      <c r="F2078" s="36" t="str">
        <f t="array" ref="F2078">IFNA(_xlfn.XLOOKUP(D2078,Table_Tarikan_Warkah[Nomor Tiket],Table_Tarikan_Warkah[Nama Petugas Warkah]),"")</f>
        <v>Berry</v>
      </c>
      <c r="G2078" s="39" t="str">
        <f t="array" ref="G2078">IFNA(_xlfn.XLOOKUP(D2078,Table_Tarikan_Warkah[Nomor Tiket],Table_Tarikan_Warkah[Jenis Permohonan]),"")</f>
        <v>BN Waris</v>
      </c>
      <c r="H2078" s="41" t="s">
        <v>20</v>
      </c>
      <c r="I2078" s="49" t="s">
        <v>23</v>
      </c>
      <c r="J2078" s="36">
        <f t="shared" si="20"/>
        <v>45784.44593</v>
      </c>
      <c r="K2078" s="49" t="s">
        <v>197</v>
      </c>
      <c r="L2078" s="49" t="s">
        <v>23</v>
      </c>
      <c r="M2078" s="36">
        <f t="shared" si="26"/>
        <v>45784.64379</v>
      </c>
      <c r="N2078" s="30" t="str">
        <f t="shared" si="27"/>
        <v>Selesai</v>
      </c>
      <c r="O2078" s="45">
        <f t="shared" si="23"/>
        <v>45784.64379</v>
      </c>
      <c r="P2078" s="47" t="b">
        <v>1</v>
      </c>
      <c r="Q2078" s="36">
        <f t="shared" si="24"/>
        <v>45784.64462</v>
      </c>
      <c r="R2078" s="47" t="b">
        <v>0</v>
      </c>
      <c r="S2078" s="42" t="str">
        <f t="shared" si="28"/>
        <v/>
      </c>
      <c r="T2078" s="42"/>
    </row>
    <row r="2079" ht="22.5" customHeight="1">
      <c r="B2079" s="42">
        <f t="shared" si="7"/>
        <v>2073</v>
      </c>
      <c r="C2079" s="31" t="s">
        <v>2194</v>
      </c>
      <c r="D2079" s="34" t="str">
        <f t="array" ref="D2079">IFNA(_xlfn.XLOOKUP(C2079,Table_Tarikan_Warkah[Nomor Sertipikat],Table_Tarikan_Warkah[Nomor Tiket]),"")</f>
        <v>L/22/220425/1</v>
      </c>
      <c r="E2079" s="36">
        <f t="array" ref="E2079">IFNA(_xlfn.XLOOKUP(D2079,Table_Tarikan_Warkah[Nomor Tiket],Table_Tarikan_Warkah[Tanggal diserahkan kepada Validator]),"")</f>
        <v>45813.47678</v>
      </c>
      <c r="F2079" s="36" t="str">
        <f t="array" ref="F2079">IFNA(_xlfn.XLOOKUP(D2079,Table_Tarikan_Warkah[Nomor Tiket],Table_Tarikan_Warkah[Nama Petugas Warkah]),"")</f>
        <v>David</v>
      </c>
      <c r="G2079" s="39" t="str">
        <f t="array" ref="G2079">IFNA(_xlfn.XLOOKUP(D2079,Table_Tarikan_Warkah[Nomor Tiket],Table_Tarikan_Warkah[Jenis Permohonan]),"")</f>
        <v>ROYA</v>
      </c>
      <c r="H2079" s="41" t="s">
        <v>20</v>
      </c>
      <c r="I2079" s="49" t="s">
        <v>23</v>
      </c>
      <c r="J2079" s="36">
        <f t="shared" si="20"/>
        <v>45784.4531</v>
      </c>
      <c r="K2079" s="49" t="s">
        <v>197</v>
      </c>
      <c r="L2079" s="49" t="s">
        <v>23</v>
      </c>
      <c r="M2079" s="36">
        <f t="shared" si="26"/>
        <v>45784.64379</v>
      </c>
      <c r="N2079" s="30" t="str">
        <f t="shared" si="27"/>
        <v>Selesai</v>
      </c>
      <c r="O2079" s="45">
        <f t="shared" si="23"/>
        <v>45784.64379</v>
      </c>
      <c r="P2079" s="47" t="b">
        <v>1</v>
      </c>
      <c r="Q2079" s="36">
        <f t="shared" si="24"/>
        <v>45784.64462</v>
      </c>
      <c r="R2079" s="47" t="b">
        <v>0</v>
      </c>
      <c r="S2079" s="42" t="str">
        <f t="shared" si="28"/>
        <v/>
      </c>
      <c r="T2079" s="42"/>
    </row>
    <row r="2080" ht="22.5" customHeight="1">
      <c r="B2080" s="42">
        <f t="shared" si="7"/>
        <v>2074</v>
      </c>
      <c r="C2080" s="31" t="s">
        <v>2195</v>
      </c>
      <c r="D2080" s="34" t="str">
        <f t="array" ref="D2080">IFNA(_xlfn.XLOOKUP(C2080,Table_Tarikan_Warkah[Nomor Sertipikat],Table_Tarikan_Warkah[Nomor Tiket]),"")</f>
        <v>L/8/290425/1</v>
      </c>
      <c r="E2080" s="36">
        <f t="array" ref="E2080">IFNA(_xlfn.XLOOKUP(D2080,Table_Tarikan_Warkah[Nomor Tiket],Table_Tarikan_Warkah[Tanggal diserahkan kepada Validator]),"")</f>
        <v>45803.47894</v>
      </c>
      <c r="F2080" s="36" t="str">
        <f t="array" ref="F2080">IFNA(_xlfn.XLOOKUP(D2080,Table_Tarikan_Warkah[Nomor Tiket],Table_Tarikan_Warkah[Nama Petugas Warkah]),"")</f>
        <v>David</v>
      </c>
      <c r="G2080" s="39" t="str">
        <f t="array" ref="G2080">IFNA(_xlfn.XLOOKUP(D2080,Table_Tarikan_Warkah[Nomor Tiket],Table_Tarikan_Warkah[Jenis Permohonan]),"")</f>
        <v>ROYA</v>
      </c>
      <c r="H2080" s="41" t="s">
        <v>20</v>
      </c>
      <c r="I2080" s="49" t="s">
        <v>23</v>
      </c>
      <c r="J2080" s="36">
        <f t="shared" si="20"/>
        <v>45784.45738</v>
      </c>
      <c r="K2080" s="49" t="s">
        <v>197</v>
      </c>
      <c r="L2080" s="49" t="s">
        <v>23</v>
      </c>
      <c r="M2080" s="36">
        <f t="shared" si="26"/>
        <v>45784.64379</v>
      </c>
      <c r="N2080" s="30" t="str">
        <f t="shared" si="27"/>
        <v>Selesai</v>
      </c>
      <c r="O2080" s="45">
        <f t="shared" si="23"/>
        <v>45784.64379</v>
      </c>
      <c r="P2080" s="47" t="b">
        <v>1</v>
      </c>
      <c r="Q2080" s="36">
        <f t="shared" si="24"/>
        <v>45784.64462</v>
      </c>
      <c r="R2080" s="47" t="b">
        <v>0</v>
      </c>
      <c r="S2080" s="42" t="str">
        <f t="shared" si="28"/>
        <v/>
      </c>
      <c r="T2080" s="42"/>
    </row>
    <row r="2081" ht="22.5" customHeight="1">
      <c r="B2081" s="42">
        <f t="shared" si="7"/>
        <v>2075</v>
      </c>
      <c r="C2081" s="31" t="s">
        <v>2196</v>
      </c>
      <c r="D2081" s="34" t="str">
        <f t="array" ref="D2081">IFNA(_xlfn.XLOOKUP(C2081,Table_Tarikan_Warkah[Nomor Sertipikat],Table_Tarikan_Warkah[Nomor Tiket]),"")</f>
        <v>K/17/150425/2</v>
      </c>
      <c r="E2081" s="36" t="str">
        <f t="array" ref="E2081">IFNA(_xlfn.XLOOKUP(D2081,Table_Tarikan_Warkah[Nomor Tiket],Table_Tarikan_Warkah[Tanggal diserahkan kepada Validator]),"")</f>
        <v/>
      </c>
      <c r="F2081" s="36" t="str">
        <f t="array" ref="F2081">IFNA(_xlfn.XLOOKUP(D2081,Table_Tarikan_Warkah[Nomor Tiket],Table_Tarikan_Warkah[Nama Petugas Warkah]),"")</f>
        <v/>
      </c>
      <c r="G2081" s="39" t="str">
        <f t="array" ref="G2081">IFNA(_xlfn.XLOOKUP(D2081,Table_Tarikan_Warkah[Nomor Tiket],Table_Tarikan_Warkah[Jenis Permohonan]),"")</f>
        <v>BN JUAL BELI</v>
      </c>
      <c r="H2081" s="41" t="s">
        <v>20</v>
      </c>
      <c r="I2081" s="49" t="s">
        <v>23</v>
      </c>
      <c r="J2081" s="36">
        <f t="shared" si="20"/>
        <v>45784.48779</v>
      </c>
      <c r="K2081" s="49" t="s">
        <v>197</v>
      </c>
      <c r="L2081" s="49" t="s">
        <v>23</v>
      </c>
      <c r="M2081" s="36">
        <f t="shared" si="26"/>
        <v>45784.48785</v>
      </c>
      <c r="N2081" s="30" t="str">
        <f t="shared" si="27"/>
        <v>Selesai</v>
      </c>
      <c r="O2081" s="45">
        <f t="shared" si="23"/>
        <v>45784.48785</v>
      </c>
      <c r="P2081" s="47" t="b">
        <v>1</v>
      </c>
      <c r="Q2081" s="36">
        <f t="shared" si="24"/>
        <v>45784.48786</v>
      </c>
      <c r="R2081" s="47" t="b">
        <v>0</v>
      </c>
      <c r="S2081" s="42" t="str">
        <f t="shared" si="28"/>
        <v/>
      </c>
      <c r="T2081" s="42"/>
    </row>
    <row r="2082" ht="22.5" customHeight="1">
      <c r="B2082" s="42">
        <f t="shared" si="7"/>
        <v>2076</v>
      </c>
      <c r="C2082" s="31" t="s">
        <v>2197</v>
      </c>
      <c r="D2082" s="34" t="str">
        <f t="array" ref="D2082">IFNA(_xlfn.XLOOKUP(C2082,Table_Tarikan_Warkah[Nomor Sertipikat],Table_Tarikan_Warkah[Nomor Tiket]),"")</f>
        <v>K/30/300425/1</v>
      </c>
      <c r="E2082" s="36">
        <f t="array" ref="E2082">IFNA(_xlfn.XLOOKUP(D2082,Table_Tarikan_Warkah[Nomor Tiket],Table_Tarikan_Warkah[Tanggal diserahkan kepada Validator]),"")</f>
        <v>45804.68052</v>
      </c>
      <c r="F2082" s="36" t="str">
        <f t="array" ref="F2082">IFNA(_xlfn.XLOOKUP(D2082,Table_Tarikan_Warkah[Nomor Tiket],Table_Tarikan_Warkah[Nama Petugas Warkah]),"")</f>
        <v>David</v>
      </c>
      <c r="G2082" s="39" t="str">
        <f t="array" ref="G2082">IFNA(_xlfn.XLOOKUP(D2082,Table_Tarikan_Warkah[Nomor Tiket],Table_Tarikan_Warkah[Jenis Permohonan]),"")</f>
        <v>ROYA</v>
      </c>
      <c r="H2082" s="41" t="s">
        <v>11</v>
      </c>
      <c r="I2082" s="49" t="s">
        <v>23</v>
      </c>
      <c r="J2082" s="36">
        <f t="shared" si="20"/>
        <v>45784.66756</v>
      </c>
      <c r="K2082" s="49" t="s">
        <v>197</v>
      </c>
      <c r="L2082" s="49" t="s">
        <v>23</v>
      </c>
      <c r="M2082" s="36">
        <f t="shared" si="26"/>
        <v>45793.67431</v>
      </c>
      <c r="N2082" s="30" t="str">
        <f t="shared" si="27"/>
        <v>Selesai</v>
      </c>
      <c r="O2082" s="45">
        <f t="shared" si="23"/>
        <v>45793.67431</v>
      </c>
      <c r="P2082" s="47" t="b">
        <v>1</v>
      </c>
      <c r="Q2082" s="36">
        <f t="shared" si="24"/>
        <v>45793.67431</v>
      </c>
      <c r="R2082" s="47" t="b">
        <v>0</v>
      </c>
      <c r="S2082" s="42" t="str">
        <f t="shared" si="28"/>
        <v/>
      </c>
      <c r="T2082" s="42"/>
    </row>
    <row r="2083" ht="22.5" customHeight="1">
      <c r="B2083" s="42">
        <f t="shared" si="7"/>
        <v>2077</v>
      </c>
      <c r="C2083" s="31" t="s">
        <v>2198</v>
      </c>
      <c r="D2083" s="34" t="str">
        <f t="array" ref="D2083">IFNA(_xlfn.XLOOKUP(C2083,Table_Tarikan_Warkah[Nomor Sertipikat],Table_Tarikan_Warkah[Nomor Tiket]),"")</f>
        <v>K/15/280425/1</v>
      </c>
      <c r="E2083" s="36">
        <f t="array" ref="E2083">IFNA(_xlfn.XLOOKUP(D2083,Table_Tarikan_Warkah[Nomor Tiket],Table_Tarikan_Warkah[Tanggal diserahkan kepada Validator]),"")</f>
        <v>45791.66587</v>
      </c>
      <c r="F2083" s="36" t="str">
        <f t="array" ref="F2083">IFNA(_xlfn.XLOOKUP(D2083,Table_Tarikan_Warkah[Nomor Tiket],Table_Tarikan_Warkah[Nama Petugas Warkah]),"")</f>
        <v>Berry</v>
      </c>
      <c r="G2083" s="39" t="str">
        <f t="array" ref="G2083">IFNA(_xlfn.XLOOKUP(D2083,Table_Tarikan_Warkah[Nomor Tiket],Table_Tarikan_Warkah[Jenis Permohonan]),"")</f>
        <v>BN JUAL BELI</v>
      </c>
      <c r="H2083" s="41" t="s">
        <v>11</v>
      </c>
      <c r="I2083" s="49" t="s">
        <v>23</v>
      </c>
      <c r="J2083" s="36">
        <f t="shared" si="20"/>
        <v>45784.66761</v>
      </c>
      <c r="K2083" s="49" t="s">
        <v>197</v>
      </c>
      <c r="L2083" s="49" t="s">
        <v>23</v>
      </c>
      <c r="M2083" s="36">
        <f t="shared" si="26"/>
        <v>45793.67431</v>
      </c>
      <c r="N2083" s="30" t="str">
        <f t="shared" si="27"/>
        <v>Selesai</v>
      </c>
      <c r="O2083" s="45">
        <f t="shared" si="23"/>
        <v>45793.67431</v>
      </c>
      <c r="P2083" s="47" t="b">
        <v>1</v>
      </c>
      <c r="Q2083" s="36">
        <f t="shared" si="24"/>
        <v>45793.67431</v>
      </c>
      <c r="R2083" s="47" t="b">
        <v>0</v>
      </c>
      <c r="S2083" s="42" t="str">
        <f t="shared" si="28"/>
        <v/>
      </c>
      <c r="T2083" s="42"/>
    </row>
    <row r="2084" ht="22.5" customHeight="1">
      <c r="B2084" s="42">
        <f t="shared" si="7"/>
        <v>2078</v>
      </c>
      <c r="C2084" s="31" t="s">
        <v>2199</v>
      </c>
      <c r="D2084" s="34" t="str">
        <f t="array" ref="D2084">IFNA(_xlfn.XLOOKUP(C2084,Table_Tarikan_Warkah[Nomor Sertipikat],Table_Tarikan_Warkah[Nomor Tiket]),"")</f>
        <v>K/29/050525/1</v>
      </c>
      <c r="E2084" s="36" t="str">
        <f t="array" ref="E2084">IFNA(_xlfn.XLOOKUP(D2084,Table_Tarikan_Warkah[Nomor Tiket],Table_Tarikan_Warkah[Tanggal diserahkan kepada Validator]),"")</f>
        <v/>
      </c>
      <c r="F2084" s="36" t="str">
        <f t="array" ref="F2084">IFNA(_xlfn.XLOOKUP(D2084,Table_Tarikan_Warkah[Nomor Tiket],Table_Tarikan_Warkah[Nama Petugas Warkah]),"")</f>
        <v/>
      </c>
      <c r="G2084" s="39" t="str">
        <f t="array" ref="G2084">IFNA(_xlfn.XLOOKUP(D2084,Table_Tarikan_Warkah[Nomor Tiket],Table_Tarikan_Warkah[Jenis Permohonan]),"")</f>
        <v>HAPUS BPHTB</v>
      </c>
      <c r="H2084" s="41" t="s">
        <v>11</v>
      </c>
      <c r="I2084" s="49" t="s">
        <v>23</v>
      </c>
      <c r="J2084" s="36">
        <f t="shared" si="20"/>
        <v>45784.66761</v>
      </c>
      <c r="K2084" s="49" t="s">
        <v>197</v>
      </c>
      <c r="L2084" s="49" t="s">
        <v>23</v>
      </c>
      <c r="M2084" s="36">
        <f t="shared" si="26"/>
        <v>45793.67431</v>
      </c>
      <c r="N2084" s="30" t="str">
        <f t="shared" si="27"/>
        <v>Selesai</v>
      </c>
      <c r="O2084" s="45">
        <f t="shared" si="23"/>
        <v>45793.67431</v>
      </c>
      <c r="P2084" s="47" t="b">
        <v>1</v>
      </c>
      <c r="Q2084" s="36">
        <f t="shared" si="24"/>
        <v>45793.67431</v>
      </c>
      <c r="R2084" s="47" t="b">
        <v>0</v>
      </c>
      <c r="S2084" s="42" t="str">
        <f t="shared" si="28"/>
        <v/>
      </c>
      <c r="T2084" s="42"/>
    </row>
    <row r="2085" ht="22.5" customHeight="1">
      <c r="B2085" s="42">
        <f t="shared" si="7"/>
        <v>2079</v>
      </c>
      <c r="C2085" s="31" t="s">
        <v>2200</v>
      </c>
      <c r="D2085" s="34" t="str">
        <f t="array" ref="D2085">IFNA(_xlfn.XLOOKUP(C2085,Table_Tarikan_Warkah[Nomor Sertipikat],Table_Tarikan_Warkah[Nomor Tiket]),"")</f>
        <v>K/24/280425/1</v>
      </c>
      <c r="E2085" s="36">
        <f t="array" ref="E2085">IFNA(_xlfn.XLOOKUP(D2085,Table_Tarikan_Warkah[Nomor Tiket],Table_Tarikan_Warkah[Tanggal diserahkan kepada Validator]),"")</f>
        <v>45791.6539</v>
      </c>
      <c r="F2085" s="36" t="str">
        <f t="array" ref="F2085">IFNA(_xlfn.XLOOKUP(D2085,Table_Tarikan_Warkah[Nomor Tiket],Table_Tarikan_Warkah[Nama Petugas Warkah]),"")</f>
        <v>Berry</v>
      </c>
      <c r="G2085" s="39" t="str">
        <f t="array" ref="G2085">IFNA(_xlfn.XLOOKUP(D2085,Table_Tarikan_Warkah[Nomor Tiket],Table_Tarikan_Warkah[Jenis Permohonan]),"")</f>
        <v>JUAL BELI</v>
      </c>
      <c r="H2085" s="41" t="s">
        <v>11</v>
      </c>
      <c r="I2085" s="49" t="s">
        <v>23</v>
      </c>
      <c r="J2085" s="36">
        <f t="shared" si="20"/>
        <v>45784.66761</v>
      </c>
      <c r="K2085" s="49" t="s">
        <v>197</v>
      </c>
      <c r="L2085" s="49" t="s">
        <v>23</v>
      </c>
      <c r="M2085" s="36">
        <f t="shared" si="26"/>
        <v>45793.67431</v>
      </c>
      <c r="N2085" s="30" t="str">
        <f t="shared" si="27"/>
        <v>Selesai</v>
      </c>
      <c r="O2085" s="45">
        <f t="shared" si="23"/>
        <v>45793.67431</v>
      </c>
      <c r="P2085" s="47" t="b">
        <v>1</v>
      </c>
      <c r="Q2085" s="36">
        <f t="shared" si="24"/>
        <v>45793.67431</v>
      </c>
      <c r="R2085" s="47" t="b">
        <v>0</v>
      </c>
      <c r="S2085" s="42" t="str">
        <f t="shared" si="28"/>
        <v/>
      </c>
      <c r="T2085" s="42"/>
    </row>
    <row r="2086" ht="22.5" customHeight="1">
      <c r="B2086" s="42">
        <f t="shared" si="7"/>
        <v>2080</v>
      </c>
      <c r="C2086" s="31" t="s">
        <v>2201</v>
      </c>
      <c r="D2086" s="34" t="str">
        <f t="array" ref="D2086">IFNA(_xlfn.XLOOKUP(C2086,Table_Tarikan_Warkah[Nomor Sertipikat],Table_Tarikan_Warkah[Nomor Tiket]),"")</f>
        <v>K/25/290425/1</v>
      </c>
      <c r="E2086" s="36">
        <f t="array" ref="E2086">IFNA(_xlfn.XLOOKUP(D2086,Table_Tarikan_Warkah[Nomor Tiket],Table_Tarikan_Warkah[Tanggal diserahkan kepada Validator]),"")</f>
        <v>45791.65708</v>
      </c>
      <c r="F2086" s="36" t="str">
        <f t="array" ref="F2086">IFNA(_xlfn.XLOOKUP(D2086,Table_Tarikan_Warkah[Nomor Tiket],Table_Tarikan_Warkah[Nama Petugas Warkah]),"")</f>
        <v>Berry</v>
      </c>
      <c r="G2086" s="39" t="str">
        <f t="array" ref="G2086">IFNA(_xlfn.XLOOKUP(D2086,Table_Tarikan_Warkah[Nomor Tiket],Table_Tarikan_Warkah[Jenis Permohonan]),"")</f>
        <v>JUAL BELI</v>
      </c>
      <c r="H2086" s="41" t="s">
        <v>11</v>
      </c>
      <c r="I2086" s="49" t="s">
        <v>23</v>
      </c>
      <c r="J2086" s="36">
        <f t="shared" si="20"/>
        <v>45784.66761</v>
      </c>
      <c r="K2086" s="49" t="s">
        <v>197</v>
      </c>
      <c r="L2086" s="49" t="s">
        <v>23</v>
      </c>
      <c r="M2086" s="36">
        <f t="shared" si="26"/>
        <v>45793.67431</v>
      </c>
      <c r="N2086" s="30" t="str">
        <f t="shared" si="27"/>
        <v>Selesai</v>
      </c>
      <c r="O2086" s="45">
        <f t="shared" si="23"/>
        <v>45793.67431</v>
      </c>
      <c r="P2086" s="47" t="b">
        <v>1</v>
      </c>
      <c r="Q2086" s="36">
        <f t="shared" si="24"/>
        <v>45793.67431</v>
      </c>
      <c r="R2086" s="47" t="b">
        <v>0</v>
      </c>
      <c r="S2086" s="42" t="str">
        <f t="shared" si="28"/>
        <v/>
      </c>
      <c r="T2086" s="42"/>
    </row>
    <row r="2087" ht="22.5" customHeight="1">
      <c r="B2087" s="42">
        <f t="shared" si="7"/>
        <v>2081</v>
      </c>
      <c r="C2087" s="31" t="s">
        <v>2202</v>
      </c>
      <c r="D2087" s="34" t="str">
        <f t="array" ref="D2087">IFNA(_xlfn.XLOOKUP(C2087,Table_Tarikan_Warkah[Nomor Sertipikat],Table_Tarikan_Warkah[Nomor Tiket]),"")</f>
        <v>K/35/300425/1</v>
      </c>
      <c r="E2087" s="36">
        <f t="array" ref="E2087">IFNA(_xlfn.XLOOKUP(D2087,Table_Tarikan_Warkah[Nomor Tiket],Table_Tarikan_Warkah[Tanggal diserahkan kepada Validator]),"")</f>
        <v>45791.66645</v>
      </c>
      <c r="F2087" s="36" t="str">
        <f t="array" ref="F2087">IFNA(_xlfn.XLOOKUP(D2087,Table_Tarikan_Warkah[Nomor Tiket],Table_Tarikan_Warkah[Nama Petugas Warkah]),"")</f>
        <v>Berry</v>
      </c>
      <c r="G2087" s="39" t="str">
        <f t="array" ref="G2087">IFNA(_xlfn.XLOOKUP(D2087,Table_Tarikan_Warkah[Nomor Tiket],Table_Tarikan_Warkah[Jenis Permohonan]),"")</f>
        <v>BN JUAL BELI</v>
      </c>
      <c r="H2087" s="41" t="s">
        <v>11</v>
      </c>
      <c r="I2087" s="49" t="s">
        <v>23</v>
      </c>
      <c r="J2087" s="36">
        <f t="shared" si="20"/>
        <v>45784.66761</v>
      </c>
      <c r="K2087" s="49" t="s">
        <v>197</v>
      </c>
      <c r="L2087" s="49" t="s">
        <v>23</v>
      </c>
      <c r="M2087" s="36">
        <f t="shared" si="26"/>
        <v>45793.67431</v>
      </c>
      <c r="N2087" s="30" t="str">
        <f t="shared" si="27"/>
        <v>Selesai</v>
      </c>
      <c r="O2087" s="45">
        <f t="shared" si="23"/>
        <v>45793.67431</v>
      </c>
      <c r="P2087" s="47" t="b">
        <v>1</v>
      </c>
      <c r="Q2087" s="36">
        <f t="shared" si="24"/>
        <v>45793.67431</v>
      </c>
      <c r="R2087" s="47" t="b">
        <v>0</v>
      </c>
      <c r="S2087" s="42" t="str">
        <f t="shared" si="28"/>
        <v/>
      </c>
      <c r="T2087" s="42"/>
    </row>
    <row r="2088" ht="22.5" customHeight="1">
      <c r="B2088" s="42">
        <f t="shared" si="7"/>
        <v>2082</v>
      </c>
      <c r="C2088" s="31" t="s">
        <v>2203</v>
      </c>
      <c r="D2088" s="34" t="str">
        <f t="array" ref="D2088">IFNA(_xlfn.XLOOKUP(C2088,Table_Tarikan_Warkah[Nomor Sertipikat],Table_Tarikan_Warkah[Nomor Tiket]),"")</f>
        <v>K/17/240425/1</v>
      </c>
      <c r="E2088" s="36" t="str">
        <f t="array" ref="E2088">IFNA(_xlfn.XLOOKUP(D2088,Table_Tarikan_Warkah[Nomor Tiket],Table_Tarikan_Warkah[Tanggal diserahkan kepada Validator]),"")</f>
        <v/>
      </c>
      <c r="F2088" s="36" t="str">
        <f t="array" ref="F2088">IFNA(_xlfn.XLOOKUP(D2088,Table_Tarikan_Warkah[Nomor Tiket],Table_Tarikan_Warkah[Nama Petugas Warkah]),"")</f>
        <v/>
      </c>
      <c r="G2088" s="39" t="str">
        <f t="array" ref="G2088">IFNA(_xlfn.XLOOKUP(D2088,Table_Tarikan_Warkah[Nomor Tiket],Table_Tarikan_Warkah[Jenis Permohonan]),"")</f>
        <v>PEMECAHAN</v>
      </c>
      <c r="H2088" s="41" t="s">
        <v>11</v>
      </c>
      <c r="I2088" s="49" t="s">
        <v>23</v>
      </c>
      <c r="J2088" s="36">
        <f t="shared" si="20"/>
        <v>45784.66761</v>
      </c>
      <c r="K2088" s="49" t="s">
        <v>197</v>
      </c>
      <c r="L2088" s="49" t="s">
        <v>23</v>
      </c>
      <c r="M2088" s="36">
        <f t="shared" si="26"/>
        <v>45793.67431</v>
      </c>
      <c r="N2088" s="30" t="str">
        <f t="shared" si="27"/>
        <v>Selesai</v>
      </c>
      <c r="O2088" s="45">
        <f t="shared" si="23"/>
        <v>45793.67431</v>
      </c>
      <c r="P2088" s="47" t="b">
        <v>1</v>
      </c>
      <c r="Q2088" s="36">
        <f t="shared" si="24"/>
        <v>45793.67431</v>
      </c>
      <c r="R2088" s="47" t="b">
        <v>0</v>
      </c>
      <c r="S2088" s="42" t="str">
        <f t="shared" si="28"/>
        <v/>
      </c>
      <c r="T2088" s="42"/>
    </row>
    <row r="2089" ht="22.5" customHeight="1">
      <c r="B2089" s="42">
        <f t="shared" si="7"/>
        <v>2083</v>
      </c>
      <c r="C2089" s="31" t="s">
        <v>2204</v>
      </c>
      <c r="D2089" s="34" t="str">
        <f t="array" ref="D2089">IFNA(_xlfn.XLOOKUP(C2089,Table_Tarikan_Warkah[Nomor Sertipikat],Table_Tarikan_Warkah[Nomor Tiket]),"")</f>
        <v>K/12/050525/1</v>
      </c>
      <c r="E2089" s="36">
        <f t="array" ref="E2089">IFNA(_xlfn.XLOOKUP(D2089,Table_Tarikan_Warkah[Nomor Tiket],Table_Tarikan_Warkah[Tanggal diserahkan kepada Validator]),"")</f>
        <v>45825.6481</v>
      </c>
      <c r="F2089" s="36" t="str">
        <f t="array" ref="F2089">IFNA(_xlfn.XLOOKUP(D2089,Table_Tarikan_Warkah[Nomor Tiket],Table_Tarikan_Warkah[Nama Petugas Warkah]),"")</f>
        <v>David</v>
      </c>
      <c r="G2089" s="39" t="str">
        <f t="array" ref="G2089">IFNA(_xlfn.XLOOKUP(D2089,Table_Tarikan_Warkah[Nomor Tiket],Table_Tarikan_Warkah[Jenis Permohonan]),"")</f>
        <v>ROYA</v>
      </c>
      <c r="H2089" s="41" t="s">
        <v>11</v>
      </c>
      <c r="I2089" s="49" t="s">
        <v>23</v>
      </c>
      <c r="J2089" s="36">
        <f t="shared" si="20"/>
        <v>45784.66761</v>
      </c>
      <c r="K2089" s="49" t="s">
        <v>197</v>
      </c>
      <c r="L2089" s="49" t="s">
        <v>23</v>
      </c>
      <c r="M2089" s="36">
        <f t="shared" si="26"/>
        <v>45793.67431</v>
      </c>
      <c r="N2089" s="30" t="str">
        <f t="shared" si="27"/>
        <v>Selesai</v>
      </c>
      <c r="O2089" s="45">
        <f t="shared" si="23"/>
        <v>45793.67431</v>
      </c>
      <c r="P2089" s="47" t="b">
        <v>1</v>
      </c>
      <c r="Q2089" s="36">
        <f t="shared" si="24"/>
        <v>45793.67431</v>
      </c>
      <c r="R2089" s="47" t="b">
        <v>0</v>
      </c>
      <c r="S2089" s="42" t="str">
        <f t="shared" si="28"/>
        <v/>
      </c>
      <c r="T2089" s="42"/>
    </row>
    <row r="2090" ht="22.5" customHeight="1">
      <c r="B2090" s="42">
        <f t="shared" si="7"/>
        <v>2084</v>
      </c>
      <c r="C2090" s="31" t="s">
        <v>2205</v>
      </c>
      <c r="D2090" s="34" t="str">
        <f t="array" ref="D2090">IFNA(_xlfn.XLOOKUP(C2090,Table_Tarikan_Warkah[Nomor Sertipikat],Table_Tarikan_Warkah[Nomor Tiket]),"")</f>
        <v>K/42/290425/2</v>
      </c>
      <c r="E2090" s="36">
        <f t="array" ref="E2090">IFNA(_xlfn.XLOOKUP(D2090,Table_Tarikan_Warkah[Nomor Tiket],Table_Tarikan_Warkah[Tanggal diserahkan kepada Validator]),"")</f>
        <v>45791.65547</v>
      </c>
      <c r="F2090" s="36" t="str">
        <f t="array" ref="F2090">IFNA(_xlfn.XLOOKUP(D2090,Table_Tarikan_Warkah[Nomor Tiket],Table_Tarikan_Warkah[Nama Petugas Warkah]),"")</f>
        <v>Berry</v>
      </c>
      <c r="G2090" s="39" t="str">
        <f t="array" ref="G2090">IFNA(_xlfn.XLOOKUP(D2090,Table_Tarikan_Warkah[Nomor Tiket],Table_Tarikan_Warkah[Jenis Permohonan]),"")</f>
        <v>KEWARISAN</v>
      </c>
      <c r="H2090" s="41" t="s">
        <v>11</v>
      </c>
      <c r="I2090" s="49" t="s">
        <v>23</v>
      </c>
      <c r="J2090" s="36">
        <f t="shared" si="20"/>
        <v>45784.66761</v>
      </c>
      <c r="K2090" s="49" t="s">
        <v>197</v>
      </c>
      <c r="L2090" s="49" t="s">
        <v>23</v>
      </c>
      <c r="M2090" s="36">
        <f t="shared" si="26"/>
        <v>45793.67431</v>
      </c>
      <c r="N2090" s="30" t="str">
        <f t="shared" si="27"/>
        <v>Selesai</v>
      </c>
      <c r="O2090" s="45">
        <f t="shared" si="23"/>
        <v>45793.67431</v>
      </c>
      <c r="P2090" s="47" t="b">
        <v>1</v>
      </c>
      <c r="Q2090" s="36">
        <f t="shared" si="24"/>
        <v>45793.67431</v>
      </c>
      <c r="R2090" s="47" t="b">
        <v>0</v>
      </c>
      <c r="S2090" s="42" t="str">
        <f t="shared" si="28"/>
        <v/>
      </c>
      <c r="T2090" s="42"/>
    </row>
    <row r="2091" ht="22.5" customHeight="1">
      <c r="B2091" s="42">
        <f t="shared" si="7"/>
        <v>2085</v>
      </c>
      <c r="C2091" s="31" t="s">
        <v>2206</v>
      </c>
      <c r="D2091" s="34" t="str">
        <f t="array" ref="D2091">IFNA(_xlfn.XLOOKUP(C2091,Table_Tarikan_Warkah[Nomor Sertipikat],Table_Tarikan_Warkah[Nomor Tiket]),"")</f>
        <v>K/5/180225/2</v>
      </c>
      <c r="E2091" s="36">
        <f t="array" ref="E2091">IFNA(_xlfn.XLOOKUP(D2091,Table_Tarikan_Warkah[Nomor Tiket],Table_Tarikan_Warkah[Tanggal diserahkan kepada Validator]),"")</f>
        <v>45791.65562</v>
      </c>
      <c r="F2091" s="36" t="str">
        <f t="array" ref="F2091">IFNA(_xlfn.XLOOKUP(D2091,Table_Tarikan_Warkah[Nomor Tiket],Table_Tarikan_Warkah[Nama Petugas Warkah]),"")</f>
        <v>Berry</v>
      </c>
      <c r="G2091" s="39" t="str">
        <f t="array" ref="G2091">IFNA(_xlfn.XLOOKUP(D2091,Table_Tarikan_Warkah[Nomor Tiket],Table_Tarikan_Warkah[Jenis Permohonan]),"")</f>
        <v>JUAL BELI</v>
      </c>
      <c r="H2091" s="41" t="s">
        <v>11</v>
      </c>
      <c r="I2091" s="49" t="s">
        <v>23</v>
      </c>
      <c r="J2091" s="36">
        <f t="shared" si="20"/>
        <v>45784.66761</v>
      </c>
      <c r="K2091" s="49" t="s">
        <v>197</v>
      </c>
      <c r="L2091" s="49" t="s">
        <v>23</v>
      </c>
      <c r="M2091" s="36">
        <f t="shared" si="26"/>
        <v>45793.67431</v>
      </c>
      <c r="N2091" s="30" t="str">
        <f t="shared" si="27"/>
        <v>Selesai</v>
      </c>
      <c r="O2091" s="45">
        <f t="shared" si="23"/>
        <v>45793.67431</v>
      </c>
      <c r="P2091" s="47" t="b">
        <v>1</v>
      </c>
      <c r="Q2091" s="36">
        <f t="shared" si="24"/>
        <v>45793.67431</v>
      </c>
      <c r="R2091" s="47" t="b">
        <v>0</v>
      </c>
      <c r="S2091" s="42" t="str">
        <f t="shared" si="28"/>
        <v/>
      </c>
      <c r="T2091" s="42"/>
    </row>
    <row r="2092" ht="22.5" customHeight="1">
      <c r="B2092" s="42">
        <f t="shared" si="7"/>
        <v>2086</v>
      </c>
      <c r="C2092" s="31" t="s">
        <v>2207</v>
      </c>
      <c r="D2092" s="34" t="str">
        <f t="array" ref="D2092">IFNA(_xlfn.XLOOKUP(C2092,Table_Tarikan_Warkah[Nomor Sertipikat],Table_Tarikan_Warkah[Nomor Tiket]),"")</f>
        <v>K/27/240425/3</v>
      </c>
      <c r="E2092" s="36">
        <f t="array" ref="E2092">IFNA(_xlfn.XLOOKUP(D2092,Table_Tarikan_Warkah[Nomor Tiket],Table_Tarikan_Warkah[Tanggal diserahkan kepada Validator]),"")</f>
        <v>45791.65617</v>
      </c>
      <c r="F2092" s="36" t="str">
        <f t="array" ref="F2092">IFNA(_xlfn.XLOOKUP(D2092,Table_Tarikan_Warkah[Nomor Tiket],Table_Tarikan_Warkah[Nama Petugas Warkah]),"")</f>
        <v>Berry</v>
      </c>
      <c r="G2092" s="39" t="str">
        <f t="array" ref="G2092">IFNA(_xlfn.XLOOKUP(D2092,Table_Tarikan_Warkah[Nomor Tiket],Table_Tarikan_Warkah[Jenis Permohonan]),"")</f>
        <v>JUAL BELI</v>
      </c>
      <c r="H2092" s="41" t="s">
        <v>11</v>
      </c>
      <c r="I2092" s="49" t="s">
        <v>23</v>
      </c>
      <c r="J2092" s="36">
        <f t="shared" si="20"/>
        <v>45784.66761</v>
      </c>
      <c r="K2092" s="49" t="s">
        <v>197</v>
      </c>
      <c r="L2092" s="49" t="s">
        <v>23</v>
      </c>
      <c r="M2092" s="36">
        <f t="shared" si="26"/>
        <v>45793.67431</v>
      </c>
      <c r="N2092" s="30" t="str">
        <f t="shared" si="27"/>
        <v>Selesai</v>
      </c>
      <c r="O2092" s="45">
        <f t="shared" si="23"/>
        <v>45793.67431</v>
      </c>
      <c r="P2092" s="47" t="b">
        <v>1</v>
      </c>
      <c r="Q2092" s="36">
        <f t="shared" si="24"/>
        <v>45793.67431</v>
      </c>
      <c r="R2092" s="47" t="b">
        <v>0</v>
      </c>
      <c r="S2092" s="42" t="str">
        <f t="shared" si="28"/>
        <v/>
      </c>
      <c r="T2092" s="42"/>
    </row>
    <row r="2093" ht="22.5" customHeight="1">
      <c r="B2093" s="42">
        <f t="shared" si="7"/>
        <v>2087</v>
      </c>
      <c r="C2093" s="31" t="s">
        <v>2208</v>
      </c>
      <c r="D2093" s="34" t="str">
        <f t="array" ref="D2093">IFNA(_xlfn.XLOOKUP(C2093,Table_Tarikan_Warkah[Nomor Sertipikat],Table_Tarikan_Warkah[Nomor Tiket]),"")</f>
        <v>K/8/230425/2</v>
      </c>
      <c r="E2093" s="36">
        <f t="array" ref="E2093">IFNA(_xlfn.XLOOKUP(D2093,Table_Tarikan_Warkah[Nomor Tiket],Table_Tarikan_Warkah[Tanggal diserahkan kepada Validator]),"")</f>
        <v>45791.65669</v>
      </c>
      <c r="F2093" s="36" t="str">
        <f t="array" ref="F2093">IFNA(_xlfn.XLOOKUP(D2093,Table_Tarikan_Warkah[Nomor Tiket],Table_Tarikan_Warkah[Nama Petugas Warkah]),"")</f>
        <v>Berry</v>
      </c>
      <c r="G2093" s="39" t="str">
        <f t="array" ref="G2093">IFNA(_xlfn.XLOOKUP(D2093,Table_Tarikan_Warkah[Nomor Tiket],Table_Tarikan_Warkah[Jenis Permohonan]),"")</f>
        <v>JUAL BELI</v>
      </c>
      <c r="H2093" s="41" t="s">
        <v>11</v>
      </c>
      <c r="I2093" s="49" t="s">
        <v>23</v>
      </c>
      <c r="J2093" s="36">
        <f t="shared" si="20"/>
        <v>45784.66761</v>
      </c>
      <c r="K2093" s="49" t="s">
        <v>197</v>
      </c>
      <c r="L2093" s="49" t="s">
        <v>23</v>
      </c>
      <c r="M2093" s="36">
        <f t="shared" si="26"/>
        <v>45793.67431</v>
      </c>
      <c r="N2093" s="30" t="str">
        <f t="shared" si="27"/>
        <v>Selesai</v>
      </c>
      <c r="O2093" s="45">
        <f t="shared" si="23"/>
        <v>45793.67431</v>
      </c>
      <c r="P2093" s="47" t="b">
        <v>1</v>
      </c>
      <c r="Q2093" s="36">
        <f t="shared" si="24"/>
        <v>45793.67431</v>
      </c>
      <c r="R2093" s="47" t="b">
        <v>0</v>
      </c>
      <c r="S2093" s="42" t="str">
        <f t="shared" si="28"/>
        <v/>
      </c>
      <c r="T2093" s="42"/>
    </row>
    <row r="2094" ht="22.5" customHeight="1">
      <c r="B2094" s="42">
        <f t="shared" si="7"/>
        <v>2088</v>
      </c>
      <c r="C2094" s="31" t="s">
        <v>2209</v>
      </c>
      <c r="D2094" s="34" t="str">
        <f t="array" ref="D2094">IFNA(_xlfn.XLOOKUP(C2094,Table_Tarikan_Warkah[Nomor Sertipikat],Table_Tarikan_Warkah[Nomor Tiket]),"")</f>
        <v>K/7/020525/1</v>
      </c>
      <c r="E2094" s="36">
        <f t="array" ref="E2094">IFNA(_xlfn.XLOOKUP(D2094,Table_Tarikan_Warkah[Nomor Tiket],Table_Tarikan_Warkah[Tanggal diserahkan kepada Validator]),"")</f>
        <v>45791.66542</v>
      </c>
      <c r="F2094" s="36" t="str">
        <f t="array" ref="F2094">IFNA(_xlfn.XLOOKUP(D2094,Table_Tarikan_Warkah[Nomor Tiket],Table_Tarikan_Warkah[Nama Petugas Warkah]),"")</f>
        <v>Berry</v>
      </c>
      <c r="G2094" s="39" t="str">
        <f t="array" ref="G2094">IFNA(_xlfn.XLOOKUP(D2094,Table_Tarikan_Warkah[Nomor Tiket],Table_Tarikan_Warkah[Jenis Permohonan]),"")</f>
        <v>BN JUAL BELI</v>
      </c>
      <c r="H2094" s="41" t="s">
        <v>11</v>
      </c>
      <c r="I2094" s="49" t="s">
        <v>23</v>
      </c>
      <c r="J2094" s="36">
        <f t="shared" si="20"/>
        <v>45784.66761</v>
      </c>
      <c r="K2094" s="49" t="s">
        <v>197</v>
      </c>
      <c r="L2094" s="49" t="s">
        <v>23</v>
      </c>
      <c r="M2094" s="36">
        <f t="shared" si="26"/>
        <v>45793.67431</v>
      </c>
      <c r="N2094" s="30" t="str">
        <f t="shared" si="27"/>
        <v>Selesai</v>
      </c>
      <c r="O2094" s="45">
        <f t="shared" si="23"/>
        <v>45793.67431</v>
      </c>
      <c r="P2094" s="47" t="b">
        <v>1</v>
      </c>
      <c r="Q2094" s="36">
        <f t="shared" si="24"/>
        <v>45793.67431</v>
      </c>
      <c r="R2094" s="47" t="b">
        <v>0</v>
      </c>
      <c r="S2094" s="42" t="str">
        <f t="shared" si="28"/>
        <v/>
      </c>
      <c r="T2094" s="42"/>
    </row>
    <row r="2095" ht="22.5" customHeight="1">
      <c r="B2095" s="42">
        <f t="shared" si="7"/>
        <v>2089</v>
      </c>
      <c r="C2095" s="31" t="s">
        <v>2210</v>
      </c>
      <c r="D2095" s="34" t="str">
        <f t="array" ref="D2095">IFNA(_xlfn.XLOOKUP(C2095,Table_Tarikan_Warkah[Nomor Sertipikat],Table_Tarikan_Warkah[Nomor Tiket]),"")</f>
        <v>L/11/020525/1</v>
      </c>
      <c r="E2095" s="36">
        <f t="array" ref="E2095">IFNA(_xlfn.XLOOKUP(D2095,Table_Tarikan_Warkah[Nomor Tiket],Table_Tarikan_Warkah[Tanggal diserahkan kepada Validator]),"")</f>
        <v>45813.47696</v>
      </c>
      <c r="F2095" s="36" t="str">
        <f t="array" ref="F2095">IFNA(_xlfn.XLOOKUP(D2095,Table_Tarikan_Warkah[Nomor Tiket],Table_Tarikan_Warkah[Nama Petugas Warkah]),"")</f>
        <v>David</v>
      </c>
      <c r="G2095" s="39" t="str">
        <f t="array" ref="G2095">IFNA(_xlfn.XLOOKUP(D2095,Table_Tarikan_Warkah[Nomor Tiket],Table_Tarikan_Warkah[Jenis Permohonan]),"")</f>
        <v>ROYA</v>
      </c>
      <c r="H2095" s="41" t="s">
        <v>11</v>
      </c>
      <c r="I2095" s="49" t="s">
        <v>23</v>
      </c>
      <c r="J2095" s="36">
        <f t="shared" si="20"/>
        <v>45785.54418</v>
      </c>
      <c r="K2095" s="49" t="s">
        <v>197</v>
      </c>
      <c r="L2095" s="49" t="s">
        <v>23</v>
      </c>
      <c r="M2095" s="36">
        <f t="shared" si="26"/>
        <v>45793.67431</v>
      </c>
      <c r="N2095" s="30" t="str">
        <f t="shared" si="27"/>
        <v>Selesai</v>
      </c>
      <c r="O2095" s="45">
        <f t="shared" si="23"/>
        <v>45793.67431</v>
      </c>
      <c r="P2095" s="47" t="b">
        <v>1</v>
      </c>
      <c r="Q2095" s="36">
        <f t="shared" si="24"/>
        <v>45793.67431</v>
      </c>
      <c r="R2095" s="47" t="b">
        <v>0</v>
      </c>
      <c r="S2095" s="42" t="str">
        <f t="shared" si="28"/>
        <v/>
      </c>
      <c r="T2095" s="42"/>
    </row>
    <row r="2096" ht="22.5" customHeight="1">
      <c r="B2096" s="42">
        <f t="shared" si="7"/>
        <v>2090</v>
      </c>
      <c r="C2096" s="31" t="s">
        <v>2211</v>
      </c>
      <c r="D2096" s="34" t="str">
        <f t="array" ref="D2096">IFNA(_xlfn.XLOOKUP(C2096,Table_Tarikan_Warkah[Nomor Sertipikat],Table_Tarikan_Warkah[Nomor Tiket]),"")</f>
        <v>L/5/020525/1</v>
      </c>
      <c r="E2096" s="36">
        <f t="array" ref="E2096">IFNA(_xlfn.XLOOKUP(D2096,Table_Tarikan_Warkah[Nomor Tiket],Table_Tarikan_Warkah[Tanggal diserahkan kepada Validator]),"")</f>
        <v>45803.47873</v>
      </c>
      <c r="F2096" s="36" t="str">
        <f t="array" ref="F2096">IFNA(_xlfn.XLOOKUP(D2096,Table_Tarikan_Warkah[Nomor Tiket],Table_Tarikan_Warkah[Nama Petugas Warkah]),"")</f>
        <v>David</v>
      </c>
      <c r="G2096" s="39" t="str">
        <f t="array" ref="G2096">IFNA(_xlfn.XLOOKUP(D2096,Table_Tarikan_Warkah[Nomor Tiket],Table_Tarikan_Warkah[Jenis Permohonan]),"")</f>
        <v>ROYA</v>
      </c>
      <c r="H2096" s="41" t="s">
        <v>11</v>
      </c>
      <c r="I2096" s="49" t="s">
        <v>23</v>
      </c>
      <c r="J2096" s="36">
        <f t="shared" si="20"/>
        <v>45785.54418</v>
      </c>
      <c r="K2096" s="49" t="s">
        <v>197</v>
      </c>
      <c r="L2096" s="49" t="s">
        <v>23</v>
      </c>
      <c r="M2096" s="36">
        <f t="shared" si="26"/>
        <v>45793.67431</v>
      </c>
      <c r="N2096" s="30" t="str">
        <f t="shared" si="27"/>
        <v>Selesai</v>
      </c>
      <c r="O2096" s="45">
        <f t="shared" si="23"/>
        <v>45793.67431</v>
      </c>
      <c r="P2096" s="47" t="b">
        <v>1</v>
      </c>
      <c r="Q2096" s="36">
        <f t="shared" si="24"/>
        <v>45793.67431</v>
      </c>
      <c r="R2096" s="47" t="b">
        <v>0</v>
      </c>
      <c r="S2096" s="42" t="str">
        <f t="shared" si="28"/>
        <v/>
      </c>
      <c r="T2096" s="42"/>
    </row>
    <row r="2097" ht="22.5" customHeight="1">
      <c r="B2097" s="42">
        <f t="shared" si="7"/>
        <v>2091</v>
      </c>
      <c r="C2097" s="31" t="s">
        <v>2212</v>
      </c>
      <c r="D2097" s="34" t="str">
        <f t="array" ref="D2097">IFNA(_xlfn.XLOOKUP(C2097,Table_Tarikan_Warkah[Nomor Sertipikat],Table_Tarikan_Warkah[Nomor Tiket]),"")</f>
        <v>L/18/020525/1</v>
      </c>
      <c r="E2097" s="36">
        <f t="array" ref="E2097">IFNA(_xlfn.XLOOKUP(D2097,Table_Tarikan_Warkah[Nomor Tiket],Table_Tarikan_Warkah[Tanggal diserahkan kepada Validator]),"")</f>
        <v>45804.68052</v>
      </c>
      <c r="F2097" s="36" t="str">
        <f t="array" ref="F2097">IFNA(_xlfn.XLOOKUP(D2097,Table_Tarikan_Warkah[Nomor Tiket],Table_Tarikan_Warkah[Nama Petugas Warkah]),"")</f>
        <v>David</v>
      </c>
      <c r="G2097" s="39" t="str">
        <f t="array" ref="G2097">IFNA(_xlfn.XLOOKUP(D2097,Table_Tarikan_Warkah[Nomor Tiket],Table_Tarikan_Warkah[Jenis Permohonan]),"")</f>
        <v>HGB 1315/RAJABASA</v>
      </c>
      <c r="H2097" s="41" t="s">
        <v>11</v>
      </c>
      <c r="I2097" s="49" t="s">
        <v>23</v>
      </c>
      <c r="J2097" s="36">
        <f t="shared" si="20"/>
        <v>45785.54418</v>
      </c>
      <c r="K2097" s="49" t="s">
        <v>197</v>
      </c>
      <c r="L2097" s="49" t="s">
        <v>23</v>
      </c>
      <c r="M2097" s="36">
        <f t="shared" si="26"/>
        <v>45793.67431</v>
      </c>
      <c r="N2097" s="30" t="str">
        <f t="shared" si="27"/>
        <v>Selesai</v>
      </c>
      <c r="O2097" s="45">
        <f t="shared" si="23"/>
        <v>45793.67431</v>
      </c>
      <c r="P2097" s="47" t="b">
        <v>1</v>
      </c>
      <c r="Q2097" s="36">
        <f t="shared" si="24"/>
        <v>45793.67431</v>
      </c>
      <c r="R2097" s="47" t="b">
        <v>0</v>
      </c>
      <c r="S2097" s="42" t="str">
        <f t="shared" si="28"/>
        <v/>
      </c>
      <c r="T2097" s="42"/>
    </row>
    <row r="2098" ht="22.5" customHeight="1">
      <c r="B2098" s="42">
        <f t="shared" si="7"/>
        <v>2092</v>
      </c>
      <c r="C2098" s="31" t="s">
        <v>2213</v>
      </c>
      <c r="D2098" s="34" t="str">
        <f t="array" ref="D2098">IFNA(_xlfn.XLOOKUP(C2098,Table_Tarikan_Warkah[Nomor Sertipikat],Table_Tarikan_Warkah[Nomor Tiket]),"")</f>
        <v>L/10/260325/1</v>
      </c>
      <c r="E2098" s="36">
        <f t="array" ref="E2098">IFNA(_xlfn.XLOOKUP(D2098,Table_Tarikan_Warkah[Nomor Tiket],Table_Tarikan_Warkah[Tanggal diserahkan kepada Validator]),"")</f>
        <v>45799.5286</v>
      </c>
      <c r="F2098" s="36" t="str">
        <f t="array" ref="F2098">IFNA(_xlfn.XLOOKUP(D2098,Table_Tarikan_Warkah[Nomor Tiket],Table_Tarikan_Warkah[Nama Petugas Warkah]),"")</f>
        <v>Berry</v>
      </c>
      <c r="G2098" s="39" t="str">
        <f t="array" ref="G2098">IFNA(_xlfn.XLOOKUP(D2098,Table_Tarikan_Warkah[Nomor Tiket],Table_Tarikan_Warkah[Jenis Permohonan]),"")</f>
        <v>ROYA</v>
      </c>
      <c r="H2098" s="41" t="s">
        <v>11</v>
      </c>
      <c r="I2098" s="49" t="s">
        <v>23</v>
      </c>
      <c r="J2098" s="36">
        <f t="shared" si="20"/>
        <v>45785.54418</v>
      </c>
      <c r="K2098" s="49" t="s">
        <v>197</v>
      </c>
      <c r="L2098" s="49" t="s">
        <v>23</v>
      </c>
      <c r="M2098" s="36">
        <f t="shared" si="26"/>
        <v>45793.67431</v>
      </c>
      <c r="N2098" s="30" t="str">
        <f t="shared" si="27"/>
        <v>Selesai</v>
      </c>
      <c r="O2098" s="45">
        <f t="shared" si="23"/>
        <v>45793.67431</v>
      </c>
      <c r="P2098" s="47" t="b">
        <v>1</v>
      </c>
      <c r="Q2098" s="36">
        <f t="shared" si="24"/>
        <v>45793.67431</v>
      </c>
      <c r="R2098" s="47" t="b">
        <v>0</v>
      </c>
      <c r="S2098" s="42" t="str">
        <f t="shared" si="28"/>
        <v/>
      </c>
      <c r="T2098" s="42"/>
    </row>
    <row r="2099" ht="22.5" customHeight="1">
      <c r="B2099" s="42">
        <f t="shared" si="7"/>
        <v>2093</v>
      </c>
      <c r="C2099" s="31" t="s">
        <v>2214</v>
      </c>
      <c r="D2099" s="34" t="str">
        <f t="array" ref="D2099">IFNA(_xlfn.XLOOKUP(C2099,Table_Tarikan_Warkah[Nomor Sertipikat],Table_Tarikan_Warkah[Nomor Tiket]),"")</f>
        <v>K/17/230425/1</v>
      </c>
      <c r="E2099" s="36">
        <f t="array" ref="E2099">IFNA(_xlfn.XLOOKUP(D2099,Table_Tarikan_Warkah[Nomor Tiket],Table_Tarikan_Warkah[Tanggal diserahkan kepada Validator]),"")</f>
        <v>45791.65277</v>
      </c>
      <c r="F2099" s="36" t="str">
        <f t="array" ref="F2099">IFNA(_xlfn.XLOOKUP(D2099,Table_Tarikan_Warkah[Nomor Tiket],Table_Tarikan_Warkah[Nama Petugas Warkah]),"")</f>
        <v>Berry</v>
      </c>
      <c r="G2099" s="39" t="str">
        <f t="array" ref="G2099">IFNA(_xlfn.XLOOKUP(D2099,Table_Tarikan_Warkah[Nomor Tiket],Table_Tarikan_Warkah[Jenis Permohonan]),"")</f>
        <v>JUAL BELI</v>
      </c>
      <c r="H2099" s="41" t="s">
        <v>11</v>
      </c>
      <c r="I2099" s="49" t="s">
        <v>23</v>
      </c>
      <c r="J2099" s="36">
        <f t="shared" si="20"/>
        <v>45785.54418</v>
      </c>
      <c r="K2099" s="49" t="s">
        <v>197</v>
      </c>
      <c r="L2099" s="49" t="s">
        <v>23</v>
      </c>
      <c r="M2099" s="36">
        <f t="shared" si="26"/>
        <v>45793.67431</v>
      </c>
      <c r="N2099" s="30" t="str">
        <f t="shared" si="27"/>
        <v>Selesai</v>
      </c>
      <c r="O2099" s="45">
        <f t="shared" si="23"/>
        <v>45793.67431</v>
      </c>
      <c r="P2099" s="47" t="b">
        <v>1</v>
      </c>
      <c r="Q2099" s="36">
        <f t="shared" si="24"/>
        <v>45793.67431</v>
      </c>
      <c r="R2099" s="47" t="b">
        <v>0</v>
      </c>
      <c r="S2099" s="42" t="str">
        <f t="shared" si="28"/>
        <v/>
      </c>
      <c r="T2099" s="42"/>
    </row>
    <row r="2100" ht="22.5" customHeight="1">
      <c r="B2100" s="42">
        <f t="shared" si="7"/>
        <v>2094</v>
      </c>
      <c r="C2100" s="31" t="s">
        <v>2215</v>
      </c>
      <c r="D2100" s="34" t="str">
        <f t="array" ref="D2100">IFNA(_xlfn.XLOOKUP(C2100,Table_Tarikan_Warkah[Nomor Sertipikat],Table_Tarikan_Warkah[Nomor Tiket]),"")</f>
        <v>K/46/240325/1</v>
      </c>
      <c r="E2100" s="36">
        <f t="array" ref="E2100">IFNA(_xlfn.XLOOKUP(D2100,Table_Tarikan_Warkah[Nomor Tiket],Table_Tarikan_Warkah[Tanggal diserahkan kepada Validator]),"")</f>
        <v>45791.65449</v>
      </c>
      <c r="F2100" s="36" t="str">
        <f t="array" ref="F2100">IFNA(_xlfn.XLOOKUP(D2100,Table_Tarikan_Warkah[Nomor Tiket],Table_Tarikan_Warkah[Nama Petugas Warkah]),"")</f>
        <v>Berry</v>
      </c>
      <c r="G2100" s="39" t="str">
        <f t="array" ref="G2100">IFNA(_xlfn.XLOOKUP(D2100,Table_Tarikan_Warkah[Nomor Tiket],Table_Tarikan_Warkah[Jenis Permohonan]),"")</f>
        <v>JUAL BELI</v>
      </c>
      <c r="H2100" s="41" t="s">
        <v>11</v>
      </c>
      <c r="I2100" s="49" t="s">
        <v>23</v>
      </c>
      <c r="J2100" s="36">
        <f t="shared" si="20"/>
        <v>45785.54418</v>
      </c>
      <c r="K2100" s="49" t="s">
        <v>197</v>
      </c>
      <c r="L2100" s="49" t="s">
        <v>23</v>
      </c>
      <c r="M2100" s="36">
        <f t="shared" si="26"/>
        <v>45793.67431</v>
      </c>
      <c r="N2100" s="30" t="str">
        <f t="shared" si="27"/>
        <v>Selesai</v>
      </c>
      <c r="O2100" s="45">
        <f t="shared" si="23"/>
        <v>45793.67431</v>
      </c>
      <c r="P2100" s="47" t="b">
        <v>1</v>
      </c>
      <c r="Q2100" s="36">
        <f t="shared" si="24"/>
        <v>45793.67431</v>
      </c>
      <c r="R2100" s="47" t="b">
        <v>0</v>
      </c>
      <c r="S2100" s="42" t="str">
        <f t="shared" si="28"/>
        <v/>
      </c>
      <c r="T2100" s="42"/>
    </row>
    <row r="2101" ht="22.5" customHeight="1">
      <c r="B2101" s="42">
        <f t="shared" si="7"/>
        <v>2095</v>
      </c>
      <c r="C2101" s="31" t="s">
        <v>2216</v>
      </c>
      <c r="D2101" s="34" t="str">
        <f t="array" ref="D2101">IFNA(_xlfn.XLOOKUP(C2101,Table_Tarikan_Warkah[Nomor Sertipikat],Table_Tarikan_Warkah[Nomor Tiket]),"")</f>
        <v>L/44/130325/1</v>
      </c>
      <c r="E2101" s="36">
        <f t="array" ref="E2101">IFNA(_xlfn.XLOOKUP(D2101,Table_Tarikan_Warkah[Nomor Tiket],Table_Tarikan_Warkah[Tanggal diserahkan kepada Validator]),"")</f>
        <v>45799.52883</v>
      </c>
      <c r="F2101" s="36" t="str">
        <f t="array" ref="F2101">IFNA(_xlfn.XLOOKUP(D2101,Table_Tarikan_Warkah[Nomor Tiket],Table_Tarikan_Warkah[Nama Petugas Warkah]),"")</f>
        <v>Berry</v>
      </c>
      <c r="G2101" s="39" t="str">
        <f t="array" ref="G2101">IFNA(_xlfn.XLOOKUP(D2101,Table_Tarikan_Warkah[Nomor Tiket],Table_Tarikan_Warkah[Jenis Permohonan]),"")</f>
        <v>ROYA</v>
      </c>
      <c r="H2101" s="41" t="s">
        <v>11</v>
      </c>
      <c r="I2101" s="49" t="s">
        <v>23</v>
      </c>
      <c r="J2101" s="36">
        <f t="shared" si="20"/>
        <v>45785.54418</v>
      </c>
      <c r="K2101" s="49" t="s">
        <v>197</v>
      </c>
      <c r="L2101" s="49" t="s">
        <v>23</v>
      </c>
      <c r="M2101" s="36">
        <f t="shared" si="26"/>
        <v>45793.67431</v>
      </c>
      <c r="N2101" s="30" t="str">
        <f t="shared" si="27"/>
        <v>Selesai</v>
      </c>
      <c r="O2101" s="45">
        <f t="shared" si="23"/>
        <v>45793.67431</v>
      </c>
      <c r="P2101" s="47" t="b">
        <v>1</v>
      </c>
      <c r="Q2101" s="36">
        <f t="shared" si="24"/>
        <v>45793.67431</v>
      </c>
      <c r="R2101" s="47" t="b">
        <v>0</v>
      </c>
      <c r="S2101" s="42" t="str">
        <f t="shared" si="28"/>
        <v/>
      </c>
      <c r="T2101" s="42"/>
    </row>
    <row r="2102" ht="22.5" customHeight="1">
      <c r="B2102" s="42">
        <f t="shared" si="7"/>
        <v>2096</v>
      </c>
      <c r="C2102" s="31" t="s">
        <v>2217</v>
      </c>
      <c r="D2102" s="34" t="str">
        <f t="array" ref="D2102">IFNA(_xlfn.XLOOKUP(C2102,Table_Tarikan_Warkah[Nomor Sertipikat],Table_Tarikan_Warkah[Nomor Tiket]),"")</f>
        <v>K/32/230425/1</v>
      </c>
      <c r="E2102" s="36" t="str">
        <f t="array" ref="E2102">IFNA(_xlfn.XLOOKUP(D2102,Table_Tarikan_Warkah[Nomor Tiket],Table_Tarikan_Warkah[Tanggal diserahkan kepada Validator]),"")</f>
        <v/>
      </c>
      <c r="F2102" s="36" t="str">
        <f t="array" ref="F2102">IFNA(_xlfn.XLOOKUP(D2102,Table_Tarikan_Warkah[Nomor Tiket],Table_Tarikan_Warkah[Nama Petugas Warkah]),"")</f>
        <v/>
      </c>
      <c r="G2102" s="39" t="str">
        <f t="array" ref="G2102">IFNA(_xlfn.XLOOKUP(D2102,Table_Tarikan_Warkah[Nomor Tiket],Table_Tarikan_Warkah[Jenis Permohonan]),"")</f>
        <v>BN JUAL BELI</v>
      </c>
      <c r="H2102" s="41" t="s">
        <v>20</v>
      </c>
      <c r="I2102" s="49" t="s">
        <v>23</v>
      </c>
      <c r="J2102" s="36">
        <f t="shared" si="20"/>
        <v>45785.57964</v>
      </c>
      <c r="K2102" s="49" t="s">
        <v>197</v>
      </c>
      <c r="L2102" s="49" t="s">
        <v>23</v>
      </c>
      <c r="M2102" s="36">
        <f t="shared" si="26"/>
        <v>45785.5797</v>
      </c>
      <c r="N2102" s="30" t="str">
        <f t="shared" si="27"/>
        <v>Selesai</v>
      </c>
      <c r="O2102" s="45">
        <f t="shared" si="23"/>
        <v>45785.5797</v>
      </c>
      <c r="P2102" s="47" t="b">
        <v>1</v>
      </c>
      <c r="Q2102" s="36">
        <f t="shared" si="24"/>
        <v>45785.57972</v>
      </c>
      <c r="R2102" s="47" t="b">
        <v>0</v>
      </c>
      <c r="S2102" s="42" t="str">
        <f t="shared" si="28"/>
        <v/>
      </c>
      <c r="T2102" s="42"/>
    </row>
    <row r="2103" ht="22.5" customHeight="1">
      <c r="B2103" s="42">
        <f t="shared" si="7"/>
        <v>2097</v>
      </c>
      <c r="C2103" s="31" t="s">
        <v>2218</v>
      </c>
      <c r="D2103" s="34" t="str">
        <f t="array" ref="D2103">IFNA(_xlfn.XLOOKUP(C2103,Table_Tarikan_Warkah[Nomor Sertipikat],Table_Tarikan_Warkah[Nomor Tiket]),"")</f>
        <v>K/15/170425/1</v>
      </c>
      <c r="E2103" s="36" t="str">
        <f t="array" ref="E2103">IFNA(_xlfn.XLOOKUP(D2103,Table_Tarikan_Warkah[Nomor Tiket],Table_Tarikan_Warkah[Tanggal diserahkan kepada Validator]),"")</f>
        <v/>
      </c>
      <c r="F2103" s="36" t="str">
        <f t="array" ref="F2103">IFNA(_xlfn.XLOOKUP(D2103,Table_Tarikan_Warkah[Nomor Tiket],Table_Tarikan_Warkah[Nama Petugas Warkah]),"")</f>
        <v/>
      </c>
      <c r="G2103" s="39" t="str">
        <f t="array" ref="G2103">IFNA(_xlfn.XLOOKUP(D2103,Table_Tarikan_Warkah[Nomor Tiket],Table_Tarikan_Warkah[Jenis Permohonan]),"")</f>
        <v>BN JUAL BELI</v>
      </c>
      <c r="H2103" s="41" t="s">
        <v>20</v>
      </c>
      <c r="I2103" s="49" t="s">
        <v>23</v>
      </c>
      <c r="J2103" s="36">
        <f t="shared" si="20"/>
        <v>45785.57992</v>
      </c>
      <c r="K2103" s="49" t="s">
        <v>197</v>
      </c>
      <c r="L2103" s="49" t="s">
        <v>23</v>
      </c>
      <c r="M2103" s="36">
        <f t="shared" si="26"/>
        <v>45785.57996</v>
      </c>
      <c r="N2103" s="30" t="str">
        <f t="shared" si="27"/>
        <v>Selesai</v>
      </c>
      <c r="O2103" s="45">
        <f t="shared" si="23"/>
        <v>45785.57996</v>
      </c>
      <c r="P2103" s="47" t="b">
        <v>1</v>
      </c>
      <c r="Q2103" s="36">
        <f t="shared" si="24"/>
        <v>45785.58</v>
      </c>
      <c r="R2103" s="47" t="b">
        <v>0</v>
      </c>
      <c r="S2103" s="42" t="str">
        <f t="shared" si="28"/>
        <v/>
      </c>
      <c r="T2103" s="42"/>
    </row>
    <row r="2104" ht="22.5" customHeight="1">
      <c r="B2104" s="42">
        <f t="shared" si="7"/>
        <v>2098</v>
      </c>
      <c r="C2104" s="31" t="s">
        <v>2219</v>
      </c>
      <c r="D2104" s="34" t="str">
        <f t="array" ref="D2104">IFNA(_xlfn.XLOOKUP(C2104,Table_Tarikan_Warkah[Nomor Sertipikat],Table_Tarikan_Warkah[Nomor Tiket]),"")</f>
        <v>K/2/240425/2</v>
      </c>
      <c r="E2104" s="36" t="str">
        <f t="array" ref="E2104">IFNA(_xlfn.XLOOKUP(D2104,Table_Tarikan_Warkah[Nomor Tiket],Table_Tarikan_Warkah[Tanggal diserahkan kepada Validator]),"")</f>
        <v/>
      </c>
      <c r="F2104" s="36" t="str">
        <f t="array" ref="F2104">IFNA(_xlfn.XLOOKUP(D2104,Table_Tarikan_Warkah[Nomor Tiket],Table_Tarikan_Warkah[Nama Petugas Warkah]),"")</f>
        <v/>
      </c>
      <c r="G2104" s="39" t="str">
        <f t="array" ref="G2104">IFNA(_xlfn.XLOOKUP(D2104,Table_Tarikan_Warkah[Nomor Tiket],Table_Tarikan_Warkah[Jenis Permohonan]),"")</f>
        <v>BN JUAL BELI</v>
      </c>
      <c r="H2104" s="41" t="s">
        <v>20</v>
      </c>
      <c r="I2104" s="49" t="s">
        <v>23</v>
      </c>
      <c r="J2104" s="36">
        <f t="shared" si="20"/>
        <v>45785.58079</v>
      </c>
      <c r="K2104" s="49" t="s">
        <v>197</v>
      </c>
      <c r="L2104" s="49" t="s">
        <v>23</v>
      </c>
      <c r="M2104" s="36">
        <f t="shared" si="26"/>
        <v>45785.58083</v>
      </c>
      <c r="N2104" s="30" t="str">
        <f t="shared" si="27"/>
        <v>Selesai</v>
      </c>
      <c r="O2104" s="45">
        <f t="shared" si="23"/>
        <v>45785.58083</v>
      </c>
      <c r="P2104" s="47" t="b">
        <v>1</v>
      </c>
      <c r="Q2104" s="36">
        <f t="shared" si="24"/>
        <v>45785.58084</v>
      </c>
      <c r="R2104" s="47" t="b">
        <v>0</v>
      </c>
      <c r="S2104" s="42" t="str">
        <f t="shared" si="28"/>
        <v/>
      </c>
      <c r="T2104" s="42"/>
    </row>
    <row r="2105" ht="22.5" customHeight="1">
      <c r="B2105" s="42">
        <f t="shared" si="7"/>
        <v>2099</v>
      </c>
      <c r="C2105" s="31" t="s">
        <v>2220</v>
      </c>
      <c r="D2105" s="34" t="str">
        <f t="array" ref="D2105">IFNA(_xlfn.XLOOKUP(C2105,Table_Tarikan_Warkah[Nomor Sertipikat],Table_Tarikan_Warkah[Nomor Tiket]),"")</f>
        <v>K/37/220425/2</v>
      </c>
      <c r="E2105" s="36" t="str">
        <f t="array" ref="E2105">IFNA(_xlfn.XLOOKUP(D2105,Table_Tarikan_Warkah[Nomor Tiket],Table_Tarikan_Warkah[Tanggal diserahkan kepada Validator]),"")</f>
        <v/>
      </c>
      <c r="F2105" s="36" t="str">
        <f t="array" ref="F2105">IFNA(_xlfn.XLOOKUP(D2105,Table_Tarikan_Warkah[Nomor Tiket],Table_Tarikan_Warkah[Nama Petugas Warkah]),"")</f>
        <v/>
      </c>
      <c r="G2105" s="39" t="str">
        <f t="array" ref="G2105">IFNA(_xlfn.XLOOKUP(D2105,Table_Tarikan_Warkah[Nomor Tiket],Table_Tarikan_Warkah[Jenis Permohonan]),"")</f>
        <v>BN HIBAH</v>
      </c>
      <c r="H2105" s="41" t="s">
        <v>20</v>
      </c>
      <c r="I2105" s="49" t="s">
        <v>23</v>
      </c>
      <c r="J2105" s="36">
        <f t="shared" si="20"/>
        <v>45785.58094</v>
      </c>
      <c r="K2105" s="49" t="s">
        <v>197</v>
      </c>
      <c r="L2105" s="49" t="s">
        <v>23</v>
      </c>
      <c r="M2105" s="36">
        <f t="shared" si="26"/>
        <v>45785.58099</v>
      </c>
      <c r="N2105" s="30" t="str">
        <f t="shared" si="27"/>
        <v>Selesai</v>
      </c>
      <c r="O2105" s="45">
        <f t="shared" si="23"/>
        <v>45785.58099</v>
      </c>
      <c r="P2105" s="47" t="b">
        <v>1</v>
      </c>
      <c r="Q2105" s="36">
        <f t="shared" si="24"/>
        <v>45785.581</v>
      </c>
      <c r="R2105" s="47" t="b">
        <v>0</v>
      </c>
      <c r="S2105" s="42" t="str">
        <f t="shared" si="28"/>
        <v/>
      </c>
      <c r="T2105" s="42"/>
    </row>
    <row r="2106" ht="22.5" customHeight="1">
      <c r="B2106" s="42">
        <f t="shared" si="7"/>
        <v>2100</v>
      </c>
      <c r="C2106" s="31" t="s">
        <v>2221</v>
      </c>
      <c r="D2106" s="34" t="str">
        <f t="array" ref="D2106">IFNA(_xlfn.XLOOKUP(C2106,Table_Tarikan_Warkah[Nomor Sertipikat],Table_Tarikan_Warkah[Nomor Tiket]),"")</f>
        <v>K/17/290425/1</v>
      </c>
      <c r="E2106" s="36" t="str">
        <f t="array" ref="E2106">IFNA(_xlfn.XLOOKUP(D2106,Table_Tarikan_Warkah[Nomor Tiket],Table_Tarikan_Warkah[Tanggal diserahkan kepada Validator]),"")</f>
        <v/>
      </c>
      <c r="F2106" s="36" t="str">
        <f t="array" ref="F2106">IFNA(_xlfn.XLOOKUP(D2106,Table_Tarikan_Warkah[Nomor Tiket],Table_Tarikan_Warkah[Nama Petugas Warkah]),"")</f>
        <v/>
      </c>
      <c r="G2106" s="39" t="str">
        <f t="array" ref="G2106">IFNA(_xlfn.XLOOKUP(D2106,Table_Tarikan_Warkah[Nomor Tiket],Table_Tarikan_Warkah[Jenis Permohonan]),"")</f>
        <v>BN JUAL BELI</v>
      </c>
      <c r="H2106" s="41" t="s">
        <v>20</v>
      </c>
      <c r="I2106" s="49" t="s">
        <v>23</v>
      </c>
      <c r="J2106" s="36">
        <f t="shared" si="20"/>
        <v>45785.58113</v>
      </c>
      <c r="K2106" s="49" t="s">
        <v>197</v>
      </c>
      <c r="L2106" s="49" t="s">
        <v>23</v>
      </c>
      <c r="M2106" s="36">
        <f t="shared" si="26"/>
        <v>45785.58118</v>
      </c>
      <c r="N2106" s="30" t="str">
        <f t="shared" si="27"/>
        <v>Selesai</v>
      </c>
      <c r="O2106" s="45">
        <f t="shared" si="23"/>
        <v>45785.58118</v>
      </c>
      <c r="P2106" s="47" t="b">
        <v>1</v>
      </c>
      <c r="Q2106" s="36">
        <f t="shared" si="24"/>
        <v>45785.58119</v>
      </c>
      <c r="R2106" s="47" t="b">
        <v>0</v>
      </c>
      <c r="S2106" s="42" t="str">
        <f t="shared" si="28"/>
        <v/>
      </c>
      <c r="T2106" s="42"/>
    </row>
    <row r="2107" ht="22.5" customHeight="1">
      <c r="B2107" s="42">
        <f t="shared" si="7"/>
        <v>2101</v>
      </c>
      <c r="C2107" s="31" t="s">
        <v>2222</v>
      </c>
      <c r="D2107" s="34" t="str">
        <f t="array" ref="D2107">IFNA(_xlfn.XLOOKUP(C2107,Table_Tarikan_Warkah[Nomor Sertipikat],Table_Tarikan_Warkah[Nomor Tiket]),"")</f>
        <v>K/25/250425/1</v>
      </c>
      <c r="E2107" s="36" t="str">
        <f t="array" ref="E2107">IFNA(_xlfn.XLOOKUP(D2107,Table_Tarikan_Warkah[Nomor Tiket],Table_Tarikan_Warkah[Tanggal diserahkan kepada Validator]),"")</f>
        <v/>
      </c>
      <c r="F2107" s="36" t="str">
        <f t="array" ref="F2107">IFNA(_xlfn.XLOOKUP(D2107,Table_Tarikan_Warkah[Nomor Tiket],Table_Tarikan_Warkah[Nama Petugas Warkah]),"")</f>
        <v/>
      </c>
      <c r="G2107" s="39" t="str">
        <f t="array" ref="G2107">IFNA(_xlfn.XLOOKUP(D2107,Table_Tarikan_Warkah[Nomor Tiket],Table_Tarikan_Warkah[Jenis Permohonan]),"")</f>
        <v>BN JUAL BELI</v>
      </c>
      <c r="H2107" s="41" t="s">
        <v>20</v>
      </c>
      <c r="I2107" s="49" t="s">
        <v>23</v>
      </c>
      <c r="J2107" s="36">
        <f t="shared" si="20"/>
        <v>45785.58132</v>
      </c>
      <c r="K2107" s="49" t="s">
        <v>197</v>
      </c>
      <c r="L2107" s="49" t="s">
        <v>23</v>
      </c>
      <c r="M2107" s="36">
        <f t="shared" si="26"/>
        <v>45785.58135</v>
      </c>
      <c r="N2107" s="30" t="str">
        <f t="shared" si="27"/>
        <v>Selesai</v>
      </c>
      <c r="O2107" s="45">
        <f t="shared" si="23"/>
        <v>45785.58135</v>
      </c>
      <c r="P2107" s="47" t="b">
        <v>1</v>
      </c>
      <c r="Q2107" s="36">
        <f t="shared" si="24"/>
        <v>45785.58138</v>
      </c>
      <c r="R2107" s="47" t="b">
        <v>0</v>
      </c>
      <c r="S2107" s="42" t="str">
        <f t="shared" si="28"/>
        <v/>
      </c>
      <c r="T2107" s="42"/>
    </row>
    <row r="2108" ht="22.5" customHeight="1">
      <c r="B2108" s="42">
        <f t="shared" si="7"/>
        <v>2102</v>
      </c>
      <c r="C2108" s="31" t="s">
        <v>2223</v>
      </c>
      <c r="D2108" s="34" t="str">
        <f t="array" ref="D2108">IFNA(_xlfn.XLOOKUP(C2108,Table_Tarikan_Warkah[Nomor Sertipikat],Table_Tarikan_Warkah[Nomor Tiket]),"")</f>
        <v>K/22/240425/1</v>
      </c>
      <c r="E2108" s="36" t="str">
        <f t="array" ref="E2108">IFNA(_xlfn.XLOOKUP(D2108,Table_Tarikan_Warkah[Nomor Tiket],Table_Tarikan_Warkah[Tanggal diserahkan kepada Validator]),"")</f>
        <v/>
      </c>
      <c r="F2108" s="36" t="str">
        <f t="array" ref="F2108">IFNA(_xlfn.XLOOKUP(D2108,Table_Tarikan_Warkah[Nomor Tiket],Table_Tarikan_Warkah[Nama Petugas Warkah]),"")</f>
        <v/>
      </c>
      <c r="G2108" s="39" t="str">
        <f t="array" ref="G2108">IFNA(_xlfn.XLOOKUP(D2108,Table_Tarikan_Warkah[Nomor Tiket],Table_Tarikan_Warkah[Jenis Permohonan]),"")</f>
        <v>BN JUAL BELI</v>
      </c>
      <c r="H2108" s="41" t="s">
        <v>20</v>
      </c>
      <c r="I2108" s="49" t="s">
        <v>23</v>
      </c>
      <c r="J2108" s="36">
        <f t="shared" si="20"/>
        <v>45785.58148</v>
      </c>
      <c r="K2108" s="49" t="s">
        <v>197</v>
      </c>
      <c r="L2108" s="49" t="s">
        <v>23</v>
      </c>
      <c r="M2108" s="36">
        <f t="shared" si="26"/>
        <v>45785.58152</v>
      </c>
      <c r="N2108" s="30" t="str">
        <f t="shared" si="27"/>
        <v>Selesai</v>
      </c>
      <c r="O2108" s="45">
        <f t="shared" si="23"/>
        <v>45785.58152</v>
      </c>
      <c r="P2108" s="47" t="b">
        <v>1</v>
      </c>
      <c r="Q2108" s="36">
        <f t="shared" si="24"/>
        <v>45785.58159</v>
      </c>
      <c r="R2108" s="47" t="b">
        <v>0</v>
      </c>
      <c r="S2108" s="42" t="str">
        <f t="shared" si="28"/>
        <v/>
      </c>
      <c r="T2108" s="42"/>
    </row>
    <row r="2109" ht="22.5" customHeight="1">
      <c r="B2109" s="42">
        <f t="shared" si="7"/>
        <v>2103</v>
      </c>
      <c r="C2109" s="31" t="s">
        <v>2224</v>
      </c>
      <c r="D2109" s="34" t="str">
        <f t="array" ref="D2109">IFNA(_xlfn.XLOOKUP(C2109,Table_Tarikan_Warkah[Nomor Sertipikat],Table_Tarikan_Warkah[Nomor Tiket]),"")</f>
        <v>K/38/050225/1</v>
      </c>
      <c r="E2109" s="36" t="str">
        <f t="array" ref="E2109">IFNA(_xlfn.XLOOKUP(D2109,Table_Tarikan_Warkah[Nomor Tiket],Table_Tarikan_Warkah[Tanggal diserahkan kepada Validator]),"")</f>
        <v/>
      </c>
      <c r="F2109" s="36" t="str">
        <f t="array" ref="F2109">IFNA(_xlfn.XLOOKUP(D2109,Table_Tarikan_Warkah[Nomor Tiket],Table_Tarikan_Warkah[Nama Petugas Warkah]),"")</f>
        <v/>
      </c>
      <c r="G2109" s="39" t="str">
        <f t="array" ref="G2109">IFNA(_xlfn.XLOOKUP(D2109,Table_Tarikan_Warkah[Nomor Tiket],Table_Tarikan_Warkah[Jenis Permohonan]),"")</f>
        <v>BN JUAL BELI</v>
      </c>
      <c r="H2109" s="41" t="s">
        <v>20</v>
      </c>
      <c r="I2109" s="49" t="s">
        <v>23</v>
      </c>
      <c r="J2109" s="36">
        <f t="shared" si="20"/>
        <v>45785.58174</v>
      </c>
      <c r="K2109" s="49" t="s">
        <v>197</v>
      </c>
      <c r="L2109" s="49" t="s">
        <v>23</v>
      </c>
      <c r="M2109" s="36">
        <f t="shared" si="26"/>
        <v>45785.58179</v>
      </c>
      <c r="N2109" s="30" t="str">
        <f t="shared" si="27"/>
        <v>Selesai</v>
      </c>
      <c r="O2109" s="45">
        <f t="shared" si="23"/>
        <v>45785.58179</v>
      </c>
      <c r="P2109" s="47" t="b">
        <v>1</v>
      </c>
      <c r="Q2109" s="36">
        <f t="shared" si="24"/>
        <v>45785.58182</v>
      </c>
      <c r="R2109" s="47" t="b">
        <v>0</v>
      </c>
      <c r="S2109" s="42" t="str">
        <f t="shared" si="28"/>
        <v/>
      </c>
      <c r="T2109" s="42"/>
    </row>
    <row r="2110" ht="22.5" customHeight="1">
      <c r="B2110" s="42">
        <f t="shared" si="7"/>
        <v>2104</v>
      </c>
      <c r="C2110" s="31" t="s">
        <v>2225</v>
      </c>
      <c r="D2110" s="34" t="str">
        <f t="array" ref="D2110">IFNA(_xlfn.XLOOKUP(C2110,Table_Tarikan_Warkah[Nomor Sertipikat],Table_Tarikan_Warkah[Nomor Tiket]),"")</f>
        <v>K/16/210225/2</v>
      </c>
      <c r="E2110" s="36" t="str">
        <f t="array" ref="E2110">IFNA(_xlfn.XLOOKUP(D2110,Table_Tarikan_Warkah[Nomor Tiket],Table_Tarikan_Warkah[Tanggal diserahkan kepada Validator]),"")</f>
        <v/>
      </c>
      <c r="F2110" s="36" t="str">
        <f t="array" ref="F2110">IFNA(_xlfn.XLOOKUP(D2110,Table_Tarikan_Warkah[Nomor Tiket],Table_Tarikan_Warkah[Nama Petugas Warkah]),"")</f>
        <v/>
      </c>
      <c r="G2110" s="39" t="str">
        <f t="array" ref="G2110">IFNA(_xlfn.XLOOKUP(D2110,Table_Tarikan_Warkah[Nomor Tiket],Table_Tarikan_Warkah[Jenis Permohonan]),"")</f>
        <v>BN Jual Beli</v>
      </c>
      <c r="H2110" s="41" t="s">
        <v>20</v>
      </c>
      <c r="I2110" s="49" t="s">
        <v>23</v>
      </c>
      <c r="J2110" s="36">
        <f t="shared" si="20"/>
        <v>45785.582</v>
      </c>
      <c r="K2110" s="49" t="s">
        <v>197</v>
      </c>
      <c r="L2110" s="49" t="s">
        <v>23</v>
      </c>
      <c r="M2110" s="36">
        <f t="shared" si="26"/>
        <v>45785.58205</v>
      </c>
      <c r="N2110" s="30" t="str">
        <f t="shared" si="27"/>
        <v>Selesai</v>
      </c>
      <c r="O2110" s="45">
        <f t="shared" si="23"/>
        <v>45785.58205</v>
      </c>
      <c r="P2110" s="47" t="b">
        <v>1</v>
      </c>
      <c r="Q2110" s="36">
        <f t="shared" si="24"/>
        <v>45785.58206</v>
      </c>
      <c r="R2110" s="47" t="b">
        <v>0</v>
      </c>
      <c r="S2110" s="42" t="str">
        <f t="shared" si="28"/>
        <v/>
      </c>
      <c r="T2110" s="42"/>
    </row>
    <row r="2111" ht="22.5" customHeight="1">
      <c r="B2111" s="42">
        <f t="shared" si="7"/>
        <v>2105</v>
      </c>
      <c r="C2111" s="31" t="s">
        <v>2226</v>
      </c>
      <c r="D2111" s="34" t="str">
        <f t="array" ref="D2111">IFNA(_xlfn.XLOOKUP(C2111,Table_Tarikan_Warkah[Nomor Sertipikat],Table_Tarikan_Warkah[Nomor Tiket]),"")</f>
        <v>K/16/050525/1</v>
      </c>
      <c r="E2111" s="36">
        <f t="array" ref="E2111">IFNA(_xlfn.XLOOKUP(D2111,Table_Tarikan_Warkah[Nomor Tiket],Table_Tarikan_Warkah[Tanggal diserahkan kepada Validator]),"")</f>
        <v>45799.70738</v>
      </c>
      <c r="F2111" s="36" t="str">
        <f t="array" ref="F2111">IFNA(_xlfn.XLOOKUP(D2111,Table_Tarikan_Warkah[Nomor Tiket],Table_Tarikan_Warkah[Nama Petugas Warkah]),"")</f>
        <v>Berry</v>
      </c>
      <c r="G2111" s="39" t="str">
        <f t="array" ref="G2111">IFNA(_xlfn.XLOOKUP(D2111,Table_Tarikan_Warkah[Nomor Tiket],Table_Tarikan_Warkah[Jenis Permohonan]),"")</f>
        <v>BN JUAL BELI</v>
      </c>
      <c r="H2111" s="41" t="s">
        <v>20</v>
      </c>
      <c r="I2111" s="49" t="s">
        <v>23</v>
      </c>
      <c r="J2111" s="36">
        <f t="shared" si="20"/>
        <v>45785.67924</v>
      </c>
      <c r="K2111" s="49" t="s">
        <v>197</v>
      </c>
      <c r="L2111" s="49" t="s">
        <v>23</v>
      </c>
      <c r="M2111" s="36">
        <f t="shared" si="26"/>
        <v>45793.67431</v>
      </c>
      <c r="N2111" s="30" t="str">
        <f t="shared" si="27"/>
        <v>Selesai</v>
      </c>
      <c r="O2111" s="45">
        <f t="shared" si="23"/>
        <v>45793.67431</v>
      </c>
      <c r="P2111" s="47" t="b">
        <v>1</v>
      </c>
      <c r="Q2111" s="36">
        <f t="shared" si="24"/>
        <v>45793.67431</v>
      </c>
      <c r="R2111" s="47" t="b">
        <v>0</v>
      </c>
      <c r="S2111" s="42" t="str">
        <f t="shared" si="28"/>
        <v/>
      </c>
      <c r="T2111" s="42"/>
    </row>
    <row r="2112" ht="22.5" customHeight="1">
      <c r="B2112" s="42">
        <f t="shared" si="7"/>
        <v>2106</v>
      </c>
      <c r="C2112" s="31" t="s">
        <v>2227</v>
      </c>
      <c r="D2112" s="34" t="str">
        <f t="array" ref="D2112">IFNA(_xlfn.XLOOKUP(C2112,Table_Tarikan_Warkah[Nomor Sertipikat],Table_Tarikan_Warkah[Nomor Tiket]),"")</f>
        <v>K/3/140425/2</v>
      </c>
      <c r="E2112" s="36">
        <f t="array" ref="E2112">IFNA(_xlfn.XLOOKUP(D2112,Table_Tarikan_Warkah[Nomor Tiket],Table_Tarikan_Warkah[Tanggal diserahkan kepada Validator]),"")</f>
        <v>45793.41254</v>
      </c>
      <c r="F2112" s="36" t="str">
        <f t="array" ref="F2112">IFNA(_xlfn.XLOOKUP(D2112,Table_Tarikan_Warkah[Nomor Tiket],Table_Tarikan_Warkah[Nama Petugas Warkah]),"")</f>
        <v>David</v>
      </c>
      <c r="G2112" s="39" t="str">
        <f t="array" ref="G2112">IFNA(_xlfn.XLOOKUP(D2112,Table_Tarikan_Warkah[Nomor Tiket],Table_Tarikan_Warkah[Jenis Permohonan]),"")</f>
        <v>BN Jual Beli</v>
      </c>
      <c r="H2112" s="41" t="s">
        <v>20</v>
      </c>
      <c r="I2112" s="49" t="s">
        <v>23</v>
      </c>
      <c r="J2112" s="36">
        <f t="shared" si="20"/>
        <v>45785.67949</v>
      </c>
      <c r="K2112" s="49" t="s">
        <v>197</v>
      </c>
      <c r="L2112" s="49" t="s">
        <v>23</v>
      </c>
      <c r="M2112" s="36">
        <f t="shared" si="26"/>
        <v>45793.67431</v>
      </c>
      <c r="N2112" s="30" t="str">
        <f t="shared" si="27"/>
        <v>Selesai</v>
      </c>
      <c r="O2112" s="45">
        <f t="shared" si="23"/>
        <v>45793.67431</v>
      </c>
      <c r="P2112" s="47" t="b">
        <v>1</v>
      </c>
      <c r="Q2112" s="36">
        <f t="shared" si="24"/>
        <v>45793.67431</v>
      </c>
      <c r="R2112" s="47" t="b">
        <v>0</v>
      </c>
      <c r="S2112" s="42" t="str">
        <f t="shared" si="28"/>
        <v/>
      </c>
      <c r="T2112" s="42"/>
    </row>
    <row r="2113" ht="22.5" customHeight="1">
      <c r="B2113" s="42">
        <f t="shared" si="7"/>
        <v>2107</v>
      </c>
      <c r="C2113" s="31" t="s">
        <v>2228</v>
      </c>
      <c r="D2113" s="34" t="str">
        <f t="array" ref="D2113">IFNA(_xlfn.XLOOKUP(C2113,Table_Tarikan_Warkah[Nomor Sertipikat],Table_Tarikan_Warkah[Nomor Tiket]),"")</f>
        <v> K/15/050525/1</v>
      </c>
      <c r="E2113" s="36" t="str">
        <f t="array" ref="E2113">IFNA(_xlfn.XLOOKUP(D2113,Table_Tarikan_Warkah[Nomor Tiket],Table_Tarikan_Warkah[Tanggal diserahkan kepada Validator]),"")</f>
        <v/>
      </c>
      <c r="F2113" s="36" t="str">
        <f t="array" ref="F2113">IFNA(_xlfn.XLOOKUP(D2113,Table_Tarikan_Warkah[Nomor Tiket],Table_Tarikan_Warkah[Nama Petugas Warkah]),"")</f>
        <v/>
      </c>
      <c r="G2113" s="39" t="str">
        <f t="array" ref="G2113">IFNA(_xlfn.XLOOKUP(D2113,Table_Tarikan_Warkah[Nomor Tiket],Table_Tarikan_Warkah[Jenis Permohonan]),"")</f>
        <v>BN Jual Beli</v>
      </c>
      <c r="H2113" s="41" t="s">
        <v>20</v>
      </c>
      <c r="I2113" s="49" t="s">
        <v>23</v>
      </c>
      <c r="J2113" s="36">
        <f t="shared" si="20"/>
        <v>45785.67991</v>
      </c>
      <c r="K2113" s="49" t="s">
        <v>197</v>
      </c>
      <c r="L2113" s="49" t="s">
        <v>23</v>
      </c>
      <c r="M2113" s="36">
        <f t="shared" si="26"/>
        <v>45793.67431</v>
      </c>
      <c r="N2113" s="30" t="str">
        <f t="shared" si="27"/>
        <v>Selesai</v>
      </c>
      <c r="O2113" s="45">
        <f t="shared" si="23"/>
        <v>45793.67431</v>
      </c>
      <c r="P2113" s="47" t="b">
        <v>1</v>
      </c>
      <c r="Q2113" s="36">
        <f t="shared" si="24"/>
        <v>45793.67431</v>
      </c>
      <c r="R2113" s="47" t="b">
        <v>0</v>
      </c>
      <c r="S2113" s="42" t="str">
        <f t="shared" si="28"/>
        <v/>
      </c>
      <c r="T2113" s="42"/>
    </row>
    <row r="2114" ht="22.5" customHeight="1">
      <c r="B2114" s="42">
        <f t="shared" si="7"/>
        <v>2108</v>
      </c>
      <c r="C2114" s="31" t="s">
        <v>2173</v>
      </c>
      <c r="D2114" s="34" t="str">
        <f t="array" ref="D2114">IFNA(_xlfn.XLOOKUP(C2114,Table_Tarikan_Warkah[Nomor Sertipikat],Table_Tarikan_Warkah[Nomor Tiket]),"")</f>
        <v>K/22/290425/1</v>
      </c>
      <c r="E2114" s="36">
        <f t="array" ref="E2114">IFNA(_xlfn.XLOOKUP(D2114,Table_Tarikan_Warkah[Nomor Tiket],Table_Tarikan_Warkah[Tanggal diserahkan kepada Validator]),"")</f>
        <v>45793.41942</v>
      </c>
      <c r="F2114" s="36" t="str">
        <f t="array" ref="F2114">IFNA(_xlfn.XLOOKUP(D2114,Table_Tarikan_Warkah[Nomor Tiket],Table_Tarikan_Warkah[Nama Petugas Warkah]),"")</f>
        <v>David</v>
      </c>
      <c r="G2114" s="39" t="str">
        <f t="array" ref="G2114">IFNA(_xlfn.XLOOKUP(D2114,Table_Tarikan_Warkah[Nomor Tiket],Table_Tarikan_Warkah[Jenis Permohonan]),"")</f>
        <v>BN Jual Beli</v>
      </c>
      <c r="H2114" s="41" t="s">
        <v>20</v>
      </c>
      <c r="I2114" s="49" t="s">
        <v>23</v>
      </c>
      <c r="J2114" s="36">
        <f t="shared" si="20"/>
        <v>45785.68002</v>
      </c>
      <c r="K2114" s="49" t="s">
        <v>197</v>
      </c>
      <c r="L2114" s="49" t="s">
        <v>23</v>
      </c>
      <c r="M2114" s="36">
        <f t="shared" si="26"/>
        <v>45793.67431</v>
      </c>
      <c r="N2114" s="30" t="str">
        <f t="shared" si="27"/>
        <v>Selesai</v>
      </c>
      <c r="O2114" s="45">
        <f t="shared" si="23"/>
        <v>45793.67431</v>
      </c>
      <c r="P2114" s="47" t="b">
        <v>1</v>
      </c>
      <c r="Q2114" s="36">
        <f t="shared" si="24"/>
        <v>45793.67431</v>
      </c>
      <c r="R2114" s="47" t="b">
        <v>0</v>
      </c>
      <c r="S2114" s="42" t="str">
        <f t="shared" si="28"/>
        <v/>
      </c>
      <c r="T2114" s="42"/>
    </row>
    <row r="2115" ht="22.5" customHeight="1">
      <c r="B2115" s="42">
        <f t="shared" si="7"/>
        <v>2109</v>
      </c>
      <c r="C2115" s="31" t="s">
        <v>2174</v>
      </c>
      <c r="D2115" s="42" t="s">
        <v>2175</v>
      </c>
      <c r="E2115" s="36" t="str">
        <f t="array" ref="E2115">IFNA(_xlfn.XLOOKUP(D2115,Table_Tarikan_Warkah[Nomor Tiket],Table_Tarikan_Warkah[Tanggal diserahkan kepada Validator]),"")</f>
        <v/>
      </c>
      <c r="F2115" s="36" t="str">
        <f t="array" ref="F2115">IFNA(_xlfn.XLOOKUP(D2115,Table_Tarikan_Warkah[Nomor Tiket],Table_Tarikan_Warkah[Nama Petugas Warkah]),"")</f>
        <v/>
      </c>
      <c r="G2115" s="39" t="str">
        <f t="array" ref="G2115">IFNA(_xlfn.XLOOKUP(D2115,Table_Tarikan_Warkah[Nomor Tiket],Table_Tarikan_Warkah[Jenis Permohonan]),"")</f>
        <v>BN JUAL BELI</v>
      </c>
      <c r="H2115" s="41" t="s">
        <v>20</v>
      </c>
      <c r="I2115" s="49" t="s">
        <v>23</v>
      </c>
      <c r="J2115" s="36">
        <f t="shared" si="20"/>
        <v>45785.68028</v>
      </c>
      <c r="K2115" s="49" t="s">
        <v>197</v>
      </c>
      <c r="L2115" s="49" t="s">
        <v>23</v>
      </c>
      <c r="M2115" s="36">
        <f t="shared" si="26"/>
        <v>45793.67431</v>
      </c>
      <c r="N2115" s="30" t="str">
        <f t="shared" si="27"/>
        <v>Selesai</v>
      </c>
      <c r="O2115" s="45">
        <f t="shared" si="23"/>
        <v>45793.67431</v>
      </c>
      <c r="P2115" s="47" t="b">
        <v>1</v>
      </c>
      <c r="Q2115" s="36">
        <f t="shared" si="24"/>
        <v>45793.67431</v>
      </c>
      <c r="R2115" s="47" t="b">
        <v>0</v>
      </c>
      <c r="S2115" s="42" t="str">
        <f t="shared" si="28"/>
        <v/>
      </c>
      <c r="T2115" s="42"/>
    </row>
    <row r="2116" ht="22.5" customHeight="1">
      <c r="B2116" s="42">
        <f t="shared" si="7"/>
        <v>2110</v>
      </c>
      <c r="C2116" s="31" t="s">
        <v>2176</v>
      </c>
      <c r="D2116" s="34" t="str">
        <f t="array" ref="D2116">IFNA(_xlfn.XLOOKUP(C2116,Table_Tarikan_Warkah[Nomor Sertipikat],Table_Tarikan_Warkah[Nomor Tiket]),"")</f>
        <v>L/13/300425/1</v>
      </c>
      <c r="E2116" s="36">
        <f t="array" ref="E2116">IFNA(_xlfn.XLOOKUP(D2116,Table_Tarikan_Warkah[Nomor Tiket],Table_Tarikan_Warkah[Tanggal diserahkan kepada Validator]),"")</f>
        <v>45813.47715</v>
      </c>
      <c r="F2116" s="36" t="str">
        <f t="array" ref="F2116">IFNA(_xlfn.XLOOKUP(D2116,Table_Tarikan_Warkah[Nomor Tiket],Table_Tarikan_Warkah[Nama Petugas Warkah]),"")</f>
        <v>David</v>
      </c>
      <c r="G2116" s="39" t="str">
        <f t="array" ref="G2116">IFNA(_xlfn.XLOOKUP(D2116,Table_Tarikan_Warkah[Nomor Tiket],Table_Tarikan_Warkah[Jenis Permohonan]),"")</f>
        <v>ROYA</v>
      </c>
      <c r="H2116" s="41" t="s">
        <v>20</v>
      </c>
      <c r="I2116" s="49" t="s">
        <v>23</v>
      </c>
      <c r="J2116" s="36">
        <f t="shared" si="20"/>
        <v>45785.68042</v>
      </c>
      <c r="K2116" s="49" t="s">
        <v>197</v>
      </c>
      <c r="L2116" s="49" t="s">
        <v>23</v>
      </c>
      <c r="M2116" s="36">
        <f t="shared" si="26"/>
        <v>45793.67431</v>
      </c>
      <c r="N2116" s="30" t="str">
        <f t="shared" si="27"/>
        <v>Selesai</v>
      </c>
      <c r="O2116" s="45">
        <f t="shared" si="23"/>
        <v>45793.67431</v>
      </c>
      <c r="P2116" s="47" t="b">
        <v>1</v>
      </c>
      <c r="Q2116" s="36">
        <f t="shared" si="24"/>
        <v>45793.67431</v>
      </c>
      <c r="R2116" s="47" t="b">
        <v>0</v>
      </c>
      <c r="S2116" s="42" t="str">
        <f t="shared" si="28"/>
        <v/>
      </c>
      <c r="T2116" s="42"/>
    </row>
    <row r="2117" ht="22.5" customHeight="1">
      <c r="B2117" s="42">
        <f t="shared" si="7"/>
        <v>2111</v>
      </c>
      <c r="C2117" s="31" t="s">
        <v>2177</v>
      </c>
      <c r="D2117" s="34" t="str">
        <f t="array" ref="D2117">IFNA(_xlfn.XLOOKUP(C2117,Table_Tarikan_Warkah[Nomor Sertipikat],Table_Tarikan_Warkah[Nomor Tiket]),"")</f>
        <v>L/5/150425/1</v>
      </c>
      <c r="E2117" s="36">
        <f t="array" ref="E2117">IFNA(_xlfn.XLOOKUP(D2117,Table_Tarikan_Warkah[Nomor Tiket],Table_Tarikan_Warkah[Tanggal diserahkan kepada Validator]),"")</f>
        <v>45803.47985</v>
      </c>
      <c r="F2117" s="36" t="str">
        <f t="array" ref="F2117">IFNA(_xlfn.XLOOKUP(D2117,Table_Tarikan_Warkah[Nomor Tiket],Table_Tarikan_Warkah[Nama Petugas Warkah]),"")</f>
        <v>David</v>
      </c>
      <c r="G2117" s="39" t="str">
        <f t="array" ref="G2117">IFNA(_xlfn.XLOOKUP(D2117,Table_Tarikan_Warkah[Nomor Tiket],Table_Tarikan_Warkah[Jenis Permohonan]),"")</f>
        <v>ROYA</v>
      </c>
      <c r="H2117" s="41" t="s">
        <v>20</v>
      </c>
      <c r="I2117" s="49" t="s">
        <v>23</v>
      </c>
      <c r="J2117" s="36">
        <f t="shared" si="20"/>
        <v>45785.68056</v>
      </c>
      <c r="K2117" s="49" t="s">
        <v>197</v>
      </c>
      <c r="L2117" s="49" t="s">
        <v>23</v>
      </c>
      <c r="M2117" s="36">
        <f t="shared" si="26"/>
        <v>45793.67431</v>
      </c>
      <c r="N2117" s="30" t="str">
        <f t="shared" si="27"/>
        <v>Selesai</v>
      </c>
      <c r="O2117" s="45">
        <f t="shared" si="23"/>
        <v>45793.67431</v>
      </c>
      <c r="P2117" s="47" t="b">
        <v>1</v>
      </c>
      <c r="Q2117" s="36">
        <f t="shared" si="24"/>
        <v>45793.67431</v>
      </c>
      <c r="R2117" s="47" t="b">
        <v>0</v>
      </c>
      <c r="S2117" s="42" t="str">
        <f t="shared" si="28"/>
        <v/>
      </c>
      <c r="T2117" s="42"/>
    </row>
    <row r="2118" ht="22.5" customHeight="1">
      <c r="B2118" s="42">
        <f t="shared" si="7"/>
        <v>2112</v>
      </c>
      <c r="C2118" s="31" t="s">
        <v>2178</v>
      </c>
      <c r="D2118" s="34" t="str">
        <f t="array" ref="D2118">IFNA(_xlfn.XLOOKUP(C2118,Table_Tarikan_Warkah[Nomor Sertipikat],Table_Tarikan_Warkah[Nomor Tiket]),"")</f>
        <v>L/19/290425/1</v>
      </c>
      <c r="E2118" s="36">
        <f t="array" ref="E2118">IFNA(_xlfn.XLOOKUP(D2118,Table_Tarikan_Warkah[Nomor Tiket],Table_Tarikan_Warkah[Tanggal diserahkan kepada Validator]),"")</f>
        <v>45803.4808</v>
      </c>
      <c r="F2118" s="36" t="str">
        <f t="array" ref="F2118">IFNA(_xlfn.XLOOKUP(D2118,Table_Tarikan_Warkah[Nomor Tiket],Table_Tarikan_Warkah[Nama Petugas Warkah]),"")</f>
        <v>David</v>
      </c>
      <c r="G2118" s="39" t="str">
        <f t="array" ref="G2118">IFNA(_xlfn.XLOOKUP(D2118,Table_Tarikan_Warkah[Nomor Tiket],Table_Tarikan_Warkah[Jenis Permohonan]),"")</f>
        <v>ROYA</v>
      </c>
      <c r="H2118" s="41" t="s">
        <v>20</v>
      </c>
      <c r="I2118" s="49" t="s">
        <v>23</v>
      </c>
      <c r="J2118" s="36">
        <f t="shared" si="20"/>
        <v>45785.68145</v>
      </c>
      <c r="K2118" s="49" t="s">
        <v>197</v>
      </c>
      <c r="L2118" s="49" t="s">
        <v>23</v>
      </c>
      <c r="M2118" s="36">
        <f t="shared" si="26"/>
        <v>45793.67431</v>
      </c>
      <c r="N2118" s="30" t="str">
        <f t="shared" si="27"/>
        <v>Selesai</v>
      </c>
      <c r="O2118" s="45">
        <f t="shared" si="23"/>
        <v>45793.67431</v>
      </c>
      <c r="P2118" s="47" t="b">
        <v>1</v>
      </c>
      <c r="Q2118" s="36">
        <f t="shared" si="24"/>
        <v>45793.67431</v>
      </c>
      <c r="R2118" s="47" t="b">
        <v>0</v>
      </c>
      <c r="S2118" s="42" t="str">
        <f t="shared" si="28"/>
        <v/>
      </c>
      <c r="T2118" s="42"/>
    </row>
    <row r="2119" ht="22.5" customHeight="1">
      <c r="B2119" s="42">
        <f t="shared" si="7"/>
        <v>2113</v>
      </c>
      <c r="C2119" s="31" t="s">
        <v>2179</v>
      </c>
      <c r="D2119" s="34" t="str">
        <f t="array" ref="D2119">IFNA(_xlfn.XLOOKUP(C2119,Table_Tarikan_Warkah[Nomor Sertipikat],Table_Tarikan_Warkah[Nomor Tiket]),"")</f>
        <v>K/43/220425/1</v>
      </c>
      <c r="E2119" s="36">
        <f t="array" ref="E2119">IFNA(_xlfn.XLOOKUP(D2119,Table_Tarikan_Warkah[Nomor Tiket],Table_Tarikan_Warkah[Tanggal diserahkan kepada Validator]),"")</f>
        <v>45793.3947</v>
      </c>
      <c r="F2119" s="36" t="str">
        <f t="array" ref="F2119">IFNA(_xlfn.XLOOKUP(D2119,Table_Tarikan_Warkah[Nomor Tiket],Table_Tarikan_Warkah[Nama Petugas Warkah]),"")</f>
        <v>David</v>
      </c>
      <c r="G2119" s="39" t="str">
        <f t="array" ref="G2119">IFNA(_xlfn.XLOOKUP(D2119,Table_Tarikan_Warkah[Nomor Tiket],Table_Tarikan_Warkah[Jenis Permohonan]),"")</f>
        <v>BN JUAL BELI</v>
      </c>
      <c r="H2119" s="41" t="s">
        <v>20</v>
      </c>
      <c r="I2119" s="49" t="s">
        <v>23</v>
      </c>
      <c r="J2119" s="36">
        <f t="shared" si="20"/>
        <v>45785.68156</v>
      </c>
      <c r="K2119" s="49" t="s">
        <v>197</v>
      </c>
      <c r="L2119" s="49" t="s">
        <v>23</v>
      </c>
      <c r="M2119" s="36">
        <f t="shared" si="26"/>
        <v>45793.67431</v>
      </c>
      <c r="N2119" s="30" t="str">
        <f t="shared" si="27"/>
        <v>Selesai</v>
      </c>
      <c r="O2119" s="45">
        <f t="shared" si="23"/>
        <v>45793.67431</v>
      </c>
      <c r="P2119" s="47" t="b">
        <v>1</v>
      </c>
      <c r="Q2119" s="36">
        <f t="shared" si="24"/>
        <v>45793.67431</v>
      </c>
      <c r="R2119" s="47" t="b">
        <v>0</v>
      </c>
      <c r="S2119" s="42" t="str">
        <f t="shared" si="28"/>
        <v/>
      </c>
      <c r="T2119" s="42"/>
    </row>
    <row r="2120" ht="22.5" customHeight="1">
      <c r="B2120" s="42">
        <f t="shared" si="7"/>
        <v>2114</v>
      </c>
      <c r="C2120" s="31" t="s">
        <v>2180</v>
      </c>
      <c r="D2120" s="34" t="str">
        <f t="array" ref="D2120">IFNA(_xlfn.XLOOKUP(C2120,Table_Tarikan_Warkah[Nomor Sertipikat],Table_Tarikan_Warkah[Nomor Tiket]),"")</f>
        <v>K/9/250425/1</v>
      </c>
      <c r="E2120" s="36">
        <f t="array" ref="E2120">IFNA(_xlfn.XLOOKUP(D2120,Table_Tarikan_Warkah[Nomor Tiket],Table_Tarikan_Warkah[Tanggal diserahkan kepada Validator]),"")</f>
        <v>45792.63341</v>
      </c>
      <c r="F2120" s="36" t="str">
        <f t="array" ref="F2120">IFNA(_xlfn.XLOOKUP(D2120,Table_Tarikan_Warkah[Nomor Tiket],Table_Tarikan_Warkah[Nama Petugas Warkah]),"")</f>
        <v>Berry</v>
      </c>
      <c r="G2120" s="39" t="str">
        <f t="array" ref="G2120">IFNA(_xlfn.XLOOKUP(D2120,Table_Tarikan_Warkah[Nomor Tiket],Table_Tarikan_Warkah[Jenis Permohonan]),"")</f>
        <v>PERUBAHAN HAK</v>
      </c>
      <c r="H2120" s="41" t="s">
        <v>20</v>
      </c>
      <c r="I2120" s="49" t="s">
        <v>23</v>
      </c>
      <c r="J2120" s="36">
        <f t="shared" si="20"/>
        <v>45785.68165</v>
      </c>
      <c r="K2120" s="49" t="s">
        <v>197</v>
      </c>
      <c r="L2120" s="49" t="s">
        <v>23</v>
      </c>
      <c r="M2120" s="36">
        <f t="shared" si="26"/>
        <v>45793.67431</v>
      </c>
      <c r="N2120" s="30" t="str">
        <f t="shared" si="27"/>
        <v>Selesai</v>
      </c>
      <c r="O2120" s="45">
        <f t="shared" si="23"/>
        <v>45793.67431</v>
      </c>
      <c r="P2120" s="47" t="b">
        <v>1</v>
      </c>
      <c r="Q2120" s="36">
        <f t="shared" si="24"/>
        <v>45793.67431</v>
      </c>
      <c r="R2120" s="47" t="b">
        <v>0</v>
      </c>
      <c r="S2120" s="42" t="str">
        <f t="shared" si="28"/>
        <v/>
      </c>
      <c r="T2120" s="42"/>
    </row>
    <row r="2121" ht="22.5" customHeight="1">
      <c r="B2121" s="42">
        <f t="shared" si="7"/>
        <v>2115</v>
      </c>
      <c r="C2121" s="31" t="s">
        <v>2181</v>
      </c>
      <c r="D2121" s="34" t="str">
        <f t="array" ref="D2121">IFNA(_xlfn.XLOOKUP(C2121,Table_Tarikan_Warkah[Nomor Sertipikat],Table_Tarikan_Warkah[Nomor Tiket]),"")</f>
        <v>K/13/290425/1</v>
      </c>
      <c r="E2121" s="36">
        <f t="array" ref="E2121">IFNA(_xlfn.XLOOKUP(D2121,Table_Tarikan_Warkah[Nomor Tiket],Table_Tarikan_Warkah[Tanggal diserahkan kepada Validator]),"")</f>
        <v>45799.52972</v>
      </c>
      <c r="F2121" s="36" t="str">
        <f t="array" ref="F2121">IFNA(_xlfn.XLOOKUP(D2121,Table_Tarikan_Warkah[Nomor Tiket],Table_Tarikan_Warkah[Nama Petugas Warkah]),"")</f>
        <v>Berry</v>
      </c>
      <c r="G2121" s="39" t="str">
        <f t="array" ref="G2121">IFNA(_xlfn.XLOOKUP(D2121,Table_Tarikan_Warkah[Nomor Tiket],Table_Tarikan_Warkah[Jenis Permohonan]),"")</f>
        <v>ROYA</v>
      </c>
      <c r="H2121" s="41" t="s">
        <v>20</v>
      </c>
      <c r="I2121" s="49" t="s">
        <v>23</v>
      </c>
      <c r="J2121" s="36">
        <f t="shared" si="20"/>
        <v>45785.68174</v>
      </c>
      <c r="K2121" s="49" t="s">
        <v>197</v>
      </c>
      <c r="L2121" s="49" t="s">
        <v>23</v>
      </c>
      <c r="M2121" s="36">
        <f t="shared" si="26"/>
        <v>45793.67431</v>
      </c>
      <c r="N2121" s="30" t="str">
        <f t="shared" si="27"/>
        <v>Selesai</v>
      </c>
      <c r="O2121" s="45">
        <f t="shared" si="23"/>
        <v>45793.67431</v>
      </c>
      <c r="P2121" s="47" t="b">
        <v>1</v>
      </c>
      <c r="Q2121" s="36">
        <f t="shared" si="24"/>
        <v>45793.67431</v>
      </c>
      <c r="R2121" s="47" t="b">
        <v>0</v>
      </c>
      <c r="S2121" s="42" t="str">
        <f t="shared" si="28"/>
        <v/>
      </c>
      <c r="T2121" s="42"/>
    </row>
    <row r="2122" ht="22.5" customHeight="1">
      <c r="B2122" s="42">
        <f t="shared" si="7"/>
        <v>2116</v>
      </c>
      <c r="C2122" s="31" t="s">
        <v>2182</v>
      </c>
      <c r="D2122" s="34" t="str">
        <f t="array" ref="D2122">IFNA(_xlfn.XLOOKUP(C2122,Table_Tarikan_Warkah[Nomor Sertipikat],Table_Tarikan_Warkah[Nomor Tiket]),"")</f>
        <v>K/29/210425/1</v>
      </c>
      <c r="E2122" s="36">
        <f t="array" ref="E2122">IFNA(_xlfn.XLOOKUP(D2122,Table_Tarikan_Warkah[Nomor Tiket],Table_Tarikan_Warkah[Tanggal diserahkan kepada Validator]),"")</f>
        <v>45793.40343</v>
      </c>
      <c r="F2122" s="36" t="str">
        <f t="array" ref="F2122">IFNA(_xlfn.XLOOKUP(D2122,Table_Tarikan_Warkah[Nomor Tiket],Table_Tarikan_Warkah[Nama Petugas Warkah]),"")</f>
        <v>David</v>
      </c>
      <c r="G2122" s="39" t="str">
        <f t="array" ref="G2122">IFNA(_xlfn.XLOOKUP(D2122,Table_Tarikan_Warkah[Nomor Tiket],Table_Tarikan_Warkah[Jenis Permohonan]),"")</f>
        <v>BN Jual beli</v>
      </c>
      <c r="H2122" s="41" t="s">
        <v>20</v>
      </c>
      <c r="I2122" s="49" t="s">
        <v>23</v>
      </c>
      <c r="J2122" s="36">
        <f t="shared" si="20"/>
        <v>45785.68182</v>
      </c>
      <c r="K2122" s="49" t="s">
        <v>197</v>
      </c>
      <c r="L2122" s="49" t="s">
        <v>23</v>
      </c>
      <c r="M2122" s="36">
        <f t="shared" si="26"/>
        <v>45793.67431</v>
      </c>
      <c r="N2122" s="30" t="str">
        <f t="shared" si="27"/>
        <v>Selesai</v>
      </c>
      <c r="O2122" s="45">
        <f t="shared" si="23"/>
        <v>45793.67431</v>
      </c>
      <c r="P2122" s="47" t="b">
        <v>1</v>
      </c>
      <c r="Q2122" s="36">
        <f t="shared" si="24"/>
        <v>45793.67431</v>
      </c>
      <c r="R2122" s="47" t="b">
        <v>0</v>
      </c>
      <c r="S2122" s="42" t="str">
        <f t="shared" si="28"/>
        <v/>
      </c>
      <c r="T2122" s="42"/>
    </row>
    <row r="2123" ht="22.5" customHeight="1">
      <c r="B2123" s="42">
        <f t="shared" si="7"/>
        <v>2117</v>
      </c>
      <c r="C2123" s="31" t="s">
        <v>2183</v>
      </c>
      <c r="D2123" s="34" t="str">
        <f t="array" ref="D2123">IFNA(_xlfn.XLOOKUP(C2123,Table_Tarikan_Warkah[Nomor Sertipikat],Table_Tarikan_Warkah[Nomor Tiket]),"")</f>
        <v>K/36/170425/3</v>
      </c>
      <c r="E2123" s="36">
        <f t="array" ref="E2123">IFNA(_xlfn.XLOOKUP(D2123,Table_Tarikan_Warkah[Nomor Tiket],Table_Tarikan_Warkah[Tanggal diserahkan kepada Validator]),"")</f>
        <v>45793.40301</v>
      </c>
      <c r="F2123" s="36" t="str">
        <f t="array" ref="F2123">IFNA(_xlfn.XLOOKUP(D2123,Table_Tarikan_Warkah[Nomor Tiket],Table_Tarikan_Warkah[Nama Petugas Warkah]),"")</f>
        <v>David</v>
      </c>
      <c r="G2123" s="39" t="str">
        <f t="array" ref="G2123">IFNA(_xlfn.XLOOKUP(D2123,Table_Tarikan_Warkah[Nomor Tiket],Table_Tarikan_Warkah[Jenis Permohonan]),"")</f>
        <v>BN PHB</v>
      </c>
      <c r="H2123" s="41" t="s">
        <v>20</v>
      </c>
      <c r="I2123" s="49" t="s">
        <v>23</v>
      </c>
      <c r="J2123" s="36">
        <f t="shared" si="20"/>
        <v>45785.6825</v>
      </c>
      <c r="K2123" s="49" t="s">
        <v>197</v>
      </c>
      <c r="L2123" s="49" t="s">
        <v>23</v>
      </c>
      <c r="M2123" s="36">
        <f t="shared" si="26"/>
        <v>45793.67431</v>
      </c>
      <c r="N2123" s="30" t="str">
        <f t="shared" si="27"/>
        <v>Selesai</v>
      </c>
      <c r="O2123" s="45">
        <f t="shared" si="23"/>
        <v>45793.67431</v>
      </c>
      <c r="P2123" s="47" t="b">
        <v>1</v>
      </c>
      <c r="Q2123" s="36">
        <f t="shared" si="24"/>
        <v>45793.67431</v>
      </c>
      <c r="R2123" s="47" t="b">
        <v>0</v>
      </c>
      <c r="S2123" s="42" t="str">
        <f t="shared" si="28"/>
        <v/>
      </c>
      <c r="T2123" s="42"/>
    </row>
    <row r="2124" ht="22.5" customHeight="1">
      <c r="B2124" s="42">
        <f t="shared" si="7"/>
        <v>2118</v>
      </c>
      <c r="C2124" s="31" t="s">
        <v>2184</v>
      </c>
      <c r="D2124" s="34" t="str">
        <f t="array" ref="D2124">IFNA(_xlfn.XLOOKUP(C2124,Table_Tarikan_Warkah[Nomor Sertipikat],Table_Tarikan_Warkah[Nomor Tiket]),"")</f>
        <v>K/40/290425/1</v>
      </c>
      <c r="E2124" s="36">
        <f t="array" ref="E2124">IFNA(_xlfn.XLOOKUP(D2124,Table_Tarikan_Warkah[Nomor Tiket],Table_Tarikan_Warkah[Tanggal diserahkan kepada Validator]),"")</f>
        <v>45799.52932</v>
      </c>
      <c r="F2124" s="36" t="str">
        <f t="array" ref="F2124">IFNA(_xlfn.XLOOKUP(D2124,Table_Tarikan_Warkah[Nomor Tiket],Table_Tarikan_Warkah[Nama Petugas Warkah]),"")</f>
        <v>Berry</v>
      </c>
      <c r="G2124" s="39" t="str">
        <f t="array" ref="G2124">IFNA(_xlfn.XLOOKUP(D2124,Table_Tarikan_Warkah[Nomor Tiket],Table_Tarikan_Warkah[Jenis Permohonan]),"")</f>
        <v>Roya</v>
      </c>
      <c r="H2124" s="41" t="s">
        <v>20</v>
      </c>
      <c r="I2124" s="49" t="s">
        <v>23</v>
      </c>
      <c r="J2124" s="36">
        <f t="shared" si="20"/>
        <v>45785.68257</v>
      </c>
      <c r="K2124" s="49" t="s">
        <v>197</v>
      </c>
      <c r="L2124" s="49" t="s">
        <v>23</v>
      </c>
      <c r="M2124" s="36">
        <f t="shared" si="26"/>
        <v>45793.67431</v>
      </c>
      <c r="N2124" s="30" t="str">
        <f t="shared" si="27"/>
        <v>Selesai</v>
      </c>
      <c r="O2124" s="45">
        <f t="shared" si="23"/>
        <v>45793.67431</v>
      </c>
      <c r="P2124" s="47" t="b">
        <v>1</v>
      </c>
      <c r="Q2124" s="36">
        <f t="shared" si="24"/>
        <v>45793.67431</v>
      </c>
      <c r="R2124" s="47" t="b">
        <v>0</v>
      </c>
      <c r="S2124" s="42" t="str">
        <f t="shared" si="28"/>
        <v/>
      </c>
      <c r="T2124" s="42"/>
    </row>
    <row r="2125" ht="22.5" customHeight="1">
      <c r="B2125" s="42">
        <f t="shared" si="7"/>
        <v>2119</v>
      </c>
      <c r="C2125" s="31" t="s">
        <v>2185</v>
      </c>
      <c r="D2125" s="34" t="str">
        <f t="array" ref="D2125">IFNA(_xlfn.XLOOKUP(C2125,Table_Tarikan_Warkah[Nomor Sertipikat],Table_Tarikan_Warkah[Nomor Tiket]),"")</f>
        <v>K/18/300425/1</v>
      </c>
      <c r="E2125" s="36">
        <f t="array" ref="E2125">IFNA(_xlfn.XLOOKUP(D2125,Table_Tarikan_Warkah[Nomor Tiket],Table_Tarikan_Warkah[Tanggal diserahkan kepada Validator]),"")</f>
        <v>45799.52907</v>
      </c>
      <c r="F2125" s="36" t="str">
        <f t="array" ref="F2125">IFNA(_xlfn.XLOOKUP(D2125,Table_Tarikan_Warkah[Nomor Tiket],Table_Tarikan_Warkah[Nama Petugas Warkah]),"")</f>
        <v>Berry</v>
      </c>
      <c r="G2125" s="39" t="str">
        <f t="array" ref="G2125">IFNA(_xlfn.XLOOKUP(D2125,Table_Tarikan_Warkah[Nomor Tiket],Table_Tarikan_Warkah[Jenis Permohonan]),"")</f>
        <v>Roya</v>
      </c>
      <c r="H2125" s="41" t="s">
        <v>20</v>
      </c>
      <c r="I2125" s="49" t="s">
        <v>23</v>
      </c>
      <c r="J2125" s="36">
        <f t="shared" si="20"/>
        <v>45785.6865</v>
      </c>
      <c r="K2125" s="49" t="s">
        <v>197</v>
      </c>
      <c r="L2125" s="49" t="s">
        <v>23</v>
      </c>
      <c r="M2125" s="36">
        <f t="shared" si="26"/>
        <v>45793.67431</v>
      </c>
      <c r="N2125" s="30" t="str">
        <f t="shared" si="27"/>
        <v>Selesai</v>
      </c>
      <c r="O2125" s="45">
        <f t="shared" si="23"/>
        <v>45793.67431</v>
      </c>
      <c r="P2125" s="47" t="b">
        <v>1</v>
      </c>
      <c r="Q2125" s="36">
        <f t="shared" si="24"/>
        <v>45793.67431</v>
      </c>
      <c r="R2125" s="47" t="b">
        <v>0</v>
      </c>
      <c r="S2125" s="42" t="str">
        <f t="shared" si="28"/>
        <v/>
      </c>
      <c r="T2125" s="42"/>
    </row>
    <row r="2126" ht="22.5" customHeight="1">
      <c r="B2126" s="42">
        <f t="shared" si="7"/>
        <v>2120</v>
      </c>
      <c r="C2126" s="31" t="s">
        <v>2186</v>
      </c>
      <c r="D2126" s="34" t="str">
        <f t="array" ref="D2126">IFNA(_xlfn.XLOOKUP(C2126,Table_Tarikan_Warkah[Nomor Sertipikat],Table_Tarikan_Warkah[Nomor Tiket]),"")</f>
        <v>K/44/290425/1</v>
      </c>
      <c r="E2126" s="36">
        <f t="array" ref="E2126">IFNA(_xlfn.XLOOKUP(D2126,Table_Tarikan_Warkah[Nomor Tiket],Table_Tarikan_Warkah[Tanggal diserahkan kepada Validator]),"")</f>
        <v>45793.40385</v>
      </c>
      <c r="F2126" s="36" t="str">
        <f t="array" ref="F2126">IFNA(_xlfn.XLOOKUP(D2126,Table_Tarikan_Warkah[Nomor Tiket],Table_Tarikan_Warkah[Nama Petugas Warkah]),"")</f>
        <v>David</v>
      </c>
      <c r="G2126" s="39" t="str">
        <f t="array" ref="G2126">IFNA(_xlfn.XLOOKUP(D2126,Table_Tarikan_Warkah[Nomor Tiket],Table_Tarikan_Warkah[Jenis Permohonan]),"")</f>
        <v>BN Jual Beli</v>
      </c>
      <c r="H2126" s="41" t="s">
        <v>20</v>
      </c>
      <c r="I2126" s="49" t="s">
        <v>23</v>
      </c>
      <c r="J2126" s="36">
        <f t="shared" si="20"/>
        <v>45785.6865</v>
      </c>
      <c r="K2126" s="49" t="s">
        <v>197</v>
      </c>
      <c r="L2126" s="49" t="s">
        <v>23</v>
      </c>
      <c r="M2126" s="36">
        <f t="shared" si="26"/>
        <v>45793.67431</v>
      </c>
      <c r="N2126" s="30" t="str">
        <f t="shared" si="27"/>
        <v>Selesai</v>
      </c>
      <c r="O2126" s="45">
        <f t="shared" si="23"/>
        <v>45793.67431</v>
      </c>
      <c r="P2126" s="47" t="b">
        <v>1</v>
      </c>
      <c r="Q2126" s="36">
        <f t="shared" si="24"/>
        <v>45793.67431</v>
      </c>
      <c r="R2126" s="47" t="b">
        <v>0</v>
      </c>
      <c r="S2126" s="42" t="str">
        <f t="shared" si="28"/>
        <v/>
      </c>
      <c r="T2126" s="42"/>
    </row>
    <row r="2127" ht="22.5" customHeight="1">
      <c r="B2127" s="42">
        <f t="shared" si="7"/>
        <v>2121</v>
      </c>
      <c r="C2127" s="31" t="s">
        <v>2191</v>
      </c>
      <c r="D2127" s="34" t="str">
        <f t="array" ref="D2127">IFNA(_xlfn.XLOOKUP(C2127,Table_Tarikan_Warkah[Nomor Sertipikat],Table_Tarikan_Warkah[Nomor Tiket]),"")</f>
        <v>K/27/290425/1</v>
      </c>
      <c r="E2127" s="36">
        <f t="array" ref="E2127">IFNA(_xlfn.XLOOKUP(D2127,Table_Tarikan_Warkah[Nomor Tiket],Table_Tarikan_Warkah[Tanggal diserahkan kepada Validator]),"")</f>
        <v>45799.70777</v>
      </c>
      <c r="F2127" s="36" t="str">
        <f t="array" ref="F2127">IFNA(_xlfn.XLOOKUP(D2127,Table_Tarikan_Warkah[Nomor Tiket],Table_Tarikan_Warkah[Nama Petugas Warkah]),"")</f>
        <v>Berry</v>
      </c>
      <c r="G2127" s="39" t="str">
        <f t="array" ref="G2127">IFNA(_xlfn.XLOOKUP(D2127,Table_Tarikan_Warkah[Nomor Tiket],Table_Tarikan_Warkah[Jenis Permohonan]),"")</f>
        <v>BN JUAL BELI</v>
      </c>
      <c r="H2127" s="41" t="s">
        <v>20</v>
      </c>
      <c r="I2127" s="49" t="s">
        <v>23</v>
      </c>
      <c r="J2127" s="36">
        <f t="shared" si="20"/>
        <v>45785.6865</v>
      </c>
      <c r="K2127" s="49" t="s">
        <v>197</v>
      </c>
      <c r="L2127" s="49" t="s">
        <v>23</v>
      </c>
      <c r="M2127" s="36">
        <f t="shared" si="26"/>
        <v>45793.67431</v>
      </c>
      <c r="N2127" s="30" t="str">
        <f t="shared" si="27"/>
        <v>Selesai</v>
      </c>
      <c r="O2127" s="45">
        <f t="shared" si="23"/>
        <v>45793.67431</v>
      </c>
      <c r="P2127" s="47" t="b">
        <v>1</v>
      </c>
      <c r="Q2127" s="36">
        <f t="shared" si="24"/>
        <v>45793.67431</v>
      </c>
      <c r="R2127" s="47" t="b">
        <v>0</v>
      </c>
      <c r="S2127" s="42" t="str">
        <f t="shared" si="28"/>
        <v/>
      </c>
      <c r="T2127" s="42"/>
    </row>
    <row r="2128" ht="22.5" customHeight="1">
      <c r="B2128" s="42">
        <f t="shared" si="7"/>
        <v>2122</v>
      </c>
      <c r="C2128" s="31" t="s">
        <v>2229</v>
      </c>
      <c r="D2128" s="34" t="str">
        <f t="array" ref="D2128">IFNA(_xlfn.XLOOKUP(C2128,Table_Tarikan_Warkah[Nomor Sertipikat],Table_Tarikan_Warkah[Nomor Tiket]),"")</f>
        <v>L/5/280425/3</v>
      </c>
      <c r="E2128" s="36" t="str">
        <f t="array" ref="E2128">IFNA(_xlfn.XLOOKUP(D2128,Table_Tarikan_Warkah[Nomor Tiket],Table_Tarikan_Warkah[Tanggal diserahkan kepada Validator]),"")</f>
        <v/>
      </c>
      <c r="F2128" s="36" t="str">
        <f t="array" ref="F2128">IFNA(_xlfn.XLOOKUP(D2128,Table_Tarikan_Warkah[Nomor Tiket],Table_Tarikan_Warkah[Nama Petugas Warkah]),"")</f>
        <v/>
      </c>
      <c r="G2128" s="39" t="str">
        <f t="array" ref="G2128">IFNA(_xlfn.XLOOKUP(D2128,Table_Tarikan_Warkah[Nomor Tiket],Table_Tarikan_Warkah[Jenis Permohonan]),"")</f>
        <v>PENINGKATAN HAK</v>
      </c>
      <c r="H2128" s="41" t="s">
        <v>20</v>
      </c>
      <c r="I2128" s="49" t="s">
        <v>23</v>
      </c>
      <c r="J2128" s="36">
        <f t="shared" si="20"/>
        <v>45785.6865</v>
      </c>
      <c r="K2128" s="49" t="s">
        <v>197</v>
      </c>
      <c r="L2128" s="49" t="s">
        <v>23</v>
      </c>
      <c r="M2128" s="36">
        <f t="shared" si="26"/>
        <v>45793.67431</v>
      </c>
      <c r="N2128" s="30" t="str">
        <f t="shared" si="27"/>
        <v>Selesai</v>
      </c>
      <c r="O2128" s="45">
        <f t="shared" si="23"/>
        <v>45793.67431</v>
      </c>
      <c r="P2128" s="47" t="b">
        <v>1</v>
      </c>
      <c r="Q2128" s="36">
        <f t="shared" si="24"/>
        <v>45793.67431</v>
      </c>
      <c r="R2128" s="47" t="b">
        <v>0</v>
      </c>
      <c r="S2128" s="42" t="str">
        <f t="shared" si="28"/>
        <v/>
      </c>
      <c r="T2128" s="42"/>
    </row>
    <row r="2129" ht="22.5" customHeight="1">
      <c r="B2129" s="42">
        <f t="shared" si="7"/>
        <v>2123</v>
      </c>
      <c r="C2129" s="31" t="s">
        <v>2189</v>
      </c>
      <c r="D2129" s="34" t="str">
        <f t="array" ref="D2129">IFNA(_xlfn.XLOOKUP(C2129,Table_Tarikan_Warkah[Nomor Sertipikat],Table_Tarikan_Warkah[Nomor Tiket]),"")</f>
        <v>K/2/300425/1</v>
      </c>
      <c r="E2129" s="36">
        <f t="array" ref="E2129">IFNA(_xlfn.XLOOKUP(D2129,Table_Tarikan_Warkah[Nomor Tiket],Table_Tarikan_Warkah[Tanggal diserahkan kepada Validator]),"")</f>
        <v>45799.70759</v>
      </c>
      <c r="F2129" s="36" t="str">
        <f t="array" ref="F2129">IFNA(_xlfn.XLOOKUP(D2129,Table_Tarikan_Warkah[Nomor Tiket],Table_Tarikan_Warkah[Nama Petugas Warkah]),"")</f>
        <v>Berry</v>
      </c>
      <c r="G2129" s="39" t="str">
        <f t="array" ref="G2129">IFNA(_xlfn.XLOOKUP(D2129,Table_Tarikan_Warkah[Nomor Tiket],Table_Tarikan_Warkah[Jenis Permohonan]),"")</f>
        <v>BN WARIS</v>
      </c>
      <c r="H2129" s="41" t="s">
        <v>20</v>
      </c>
      <c r="I2129" s="49" t="s">
        <v>23</v>
      </c>
      <c r="J2129" s="36">
        <f t="shared" si="20"/>
        <v>45785.6865</v>
      </c>
      <c r="K2129" s="49" t="s">
        <v>197</v>
      </c>
      <c r="L2129" s="49" t="s">
        <v>23</v>
      </c>
      <c r="M2129" s="36">
        <f t="shared" si="26"/>
        <v>45793.67431</v>
      </c>
      <c r="N2129" s="30" t="str">
        <f t="shared" si="27"/>
        <v>Selesai</v>
      </c>
      <c r="O2129" s="45">
        <f t="shared" si="23"/>
        <v>45793.67431</v>
      </c>
      <c r="P2129" s="47" t="b">
        <v>1</v>
      </c>
      <c r="Q2129" s="36">
        <f t="shared" si="24"/>
        <v>45793.67431</v>
      </c>
      <c r="R2129" s="47" t="b">
        <v>0</v>
      </c>
      <c r="S2129" s="42" t="str">
        <f t="shared" si="28"/>
        <v/>
      </c>
      <c r="T2129" s="42"/>
    </row>
    <row r="2130" ht="22.5" customHeight="1">
      <c r="B2130" s="42">
        <f t="shared" si="7"/>
        <v>2124</v>
      </c>
      <c r="C2130" s="31" t="s">
        <v>2187</v>
      </c>
      <c r="D2130" s="34" t="str">
        <f t="array" ref="D2130">IFNA(_xlfn.XLOOKUP(C2130,Table_Tarikan_Warkah[Nomor Sertipikat],Table_Tarikan_Warkah[Nomor Tiket]),"")</f>
        <v>K/4/300425/1</v>
      </c>
      <c r="E2130" s="36">
        <f t="array" ref="E2130">IFNA(_xlfn.XLOOKUP(D2130,Table_Tarikan_Warkah[Nomor Tiket],Table_Tarikan_Warkah[Tanggal diserahkan kepada Validator]),"")</f>
        <v>45793.39968</v>
      </c>
      <c r="F2130" s="36" t="str">
        <f t="array" ref="F2130">IFNA(_xlfn.XLOOKUP(D2130,Table_Tarikan_Warkah[Nomor Tiket],Table_Tarikan_Warkah[Nama Petugas Warkah]),"")</f>
        <v>David</v>
      </c>
      <c r="G2130" s="39" t="str">
        <f t="array" ref="G2130">IFNA(_xlfn.XLOOKUP(D2130,Table_Tarikan_Warkah[Nomor Tiket],Table_Tarikan_Warkah[Jenis Permohonan]),"")</f>
        <v>BN Jual Beli</v>
      </c>
      <c r="H2130" s="41" t="s">
        <v>20</v>
      </c>
      <c r="I2130" s="49" t="s">
        <v>23</v>
      </c>
      <c r="J2130" s="36">
        <f t="shared" si="20"/>
        <v>45785.6865</v>
      </c>
      <c r="K2130" s="49" t="s">
        <v>197</v>
      </c>
      <c r="L2130" s="49" t="s">
        <v>23</v>
      </c>
      <c r="M2130" s="36">
        <f t="shared" si="26"/>
        <v>45793.67431</v>
      </c>
      <c r="N2130" s="30" t="str">
        <f t="shared" si="27"/>
        <v>Selesai</v>
      </c>
      <c r="O2130" s="45">
        <f t="shared" si="23"/>
        <v>45793.67431</v>
      </c>
      <c r="P2130" s="47" t="b">
        <v>1</v>
      </c>
      <c r="Q2130" s="36">
        <f t="shared" si="24"/>
        <v>45793.67431</v>
      </c>
      <c r="R2130" s="47" t="b">
        <v>0</v>
      </c>
      <c r="S2130" s="42" t="str">
        <f t="shared" si="28"/>
        <v/>
      </c>
      <c r="T2130" s="42"/>
    </row>
    <row r="2131" ht="22.5" customHeight="1">
      <c r="B2131" s="42">
        <f t="shared" si="7"/>
        <v>2125</v>
      </c>
      <c r="C2131" s="31" t="s">
        <v>2230</v>
      </c>
      <c r="D2131" s="34" t="str">
        <f t="array" ref="D2131">IFNA(_xlfn.XLOOKUP(C2131,Table_Tarikan_Warkah[Nomor Sertipikat],Table_Tarikan_Warkah[Nomor Tiket]),"")</f>
        <v>K/10/250425/1</v>
      </c>
      <c r="E2131" s="36">
        <f t="array" ref="E2131">IFNA(_xlfn.XLOOKUP(D2131,Table_Tarikan_Warkah[Nomor Tiket],Table_Tarikan_Warkah[Tanggal diserahkan kepada Validator]),"")</f>
        <v>45793.39622</v>
      </c>
      <c r="F2131" s="36" t="str">
        <f t="array" ref="F2131">IFNA(_xlfn.XLOOKUP(D2131,Table_Tarikan_Warkah[Nomor Tiket],Table_Tarikan_Warkah[Nama Petugas Warkah]),"")</f>
        <v>David</v>
      </c>
      <c r="G2131" s="39" t="str">
        <f t="array" ref="G2131">IFNA(_xlfn.XLOOKUP(D2131,Table_Tarikan_Warkah[Nomor Tiket],Table_Tarikan_Warkah[Jenis Permohonan]),"")</f>
        <v>BN Jual beli</v>
      </c>
      <c r="H2131" s="41" t="s">
        <v>20</v>
      </c>
      <c r="I2131" s="49" t="s">
        <v>23</v>
      </c>
      <c r="J2131" s="36">
        <f t="shared" si="20"/>
        <v>45785.6865</v>
      </c>
      <c r="K2131" s="49" t="s">
        <v>197</v>
      </c>
      <c r="L2131" s="49" t="s">
        <v>23</v>
      </c>
      <c r="M2131" s="36">
        <f t="shared" si="26"/>
        <v>45793.67431</v>
      </c>
      <c r="N2131" s="30" t="str">
        <f t="shared" si="27"/>
        <v>Selesai</v>
      </c>
      <c r="O2131" s="45">
        <f t="shared" si="23"/>
        <v>45793.67431</v>
      </c>
      <c r="P2131" s="47" t="b">
        <v>1</v>
      </c>
      <c r="Q2131" s="36">
        <f t="shared" si="24"/>
        <v>45793.67431</v>
      </c>
      <c r="R2131" s="47" t="b">
        <v>0</v>
      </c>
      <c r="S2131" s="42" t="str">
        <f t="shared" si="28"/>
        <v/>
      </c>
      <c r="T2131" s="42"/>
    </row>
    <row r="2132" ht="22.5" customHeight="1">
      <c r="B2132" s="42">
        <f t="shared" si="7"/>
        <v>2126</v>
      </c>
      <c r="C2132" s="31" t="s">
        <v>2231</v>
      </c>
      <c r="D2132" s="34" t="str">
        <f t="array" ref="D2132">IFNA(_xlfn.XLOOKUP(C2132,Table_Tarikan_Warkah[Nomor Sertipikat],Table_Tarikan_Warkah[Nomor Tiket]),"")</f>
        <v>K/1/290425/1</v>
      </c>
      <c r="E2132" s="36">
        <f t="array" ref="E2132">IFNA(_xlfn.XLOOKUP(D2132,Table_Tarikan_Warkah[Nomor Tiket],Table_Tarikan_Warkah[Tanggal diserahkan kepada Validator]),"")</f>
        <v>45793.39912</v>
      </c>
      <c r="F2132" s="36" t="str">
        <f t="array" ref="F2132">IFNA(_xlfn.XLOOKUP(D2132,Table_Tarikan_Warkah[Nomor Tiket],Table_Tarikan_Warkah[Nama Petugas Warkah]),"")</f>
        <v>David</v>
      </c>
      <c r="G2132" s="39" t="str">
        <f t="array" ref="G2132">IFNA(_xlfn.XLOOKUP(D2132,Table_Tarikan_Warkah[Nomor Tiket],Table_Tarikan_Warkah[Jenis Permohonan]),"")</f>
        <v>BN Jual Beli</v>
      </c>
      <c r="H2132" s="41" t="s">
        <v>20</v>
      </c>
      <c r="I2132" s="49" t="s">
        <v>23</v>
      </c>
      <c r="J2132" s="36">
        <f t="shared" si="20"/>
        <v>45785.6865</v>
      </c>
      <c r="K2132" s="49" t="s">
        <v>197</v>
      </c>
      <c r="L2132" s="49" t="s">
        <v>23</v>
      </c>
      <c r="M2132" s="36">
        <f t="shared" si="26"/>
        <v>45793.67431</v>
      </c>
      <c r="N2132" s="30" t="str">
        <f t="shared" si="27"/>
        <v>Selesai</v>
      </c>
      <c r="O2132" s="45">
        <f t="shared" si="23"/>
        <v>45793.67431</v>
      </c>
      <c r="P2132" s="47" t="b">
        <v>1</v>
      </c>
      <c r="Q2132" s="36">
        <f t="shared" si="24"/>
        <v>45793.67431</v>
      </c>
      <c r="R2132" s="47" t="b">
        <v>0</v>
      </c>
      <c r="S2132" s="42" t="str">
        <f t="shared" si="28"/>
        <v/>
      </c>
      <c r="T2132" s="42"/>
    </row>
    <row r="2133" ht="22.5" customHeight="1">
      <c r="B2133" s="42">
        <f t="shared" si="7"/>
        <v>2127</v>
      </c>
      <c r="C2133" s="31" t="s">
        <v>2232</v>
      </c>
      <c r="D2133" s="34" t="str">
        <f t="array" ref="D2133">IFNA(_xlfn.XLOOKUP(C2133,Table_Tarikan_Warkah[Nomor Sertipikat],Table_Tarikan_Warkah[Nomor Tiket]),"")</f>
        <v>K/27/300425/1</v>
      </c>
      <c r="E2133" s="36">
        <f t="array" ref="E2133">IFNA(_xlfn.XLOOKUP(D2133,Table_Tarikan_Warkah[Nomor Tiket],Table_Tarikan_Warkah[Tanggal diserahkan kepada Validator]),"")</f>
        <v>45792.63371</v>
      </c>
      <c r="F2133" s="36" t="str">
        <f t="array" ref="F2133">IFNA(_xlfn.XLOOKUP(D2133,Table_Tarikan_Warkah[Nomor Tiket],Table_Tarikan_Warkah[Nama Petugas Warkah]),"")</f>
        <v>Berry</v>
      </c>
      <c r="G2133" s="39" t="str">
        <f t="array" ref="G2133">IFNA(_xlfn.XLOOKUP(D2133,Table_Tarikan_Warkah[Nomor Tiket],Table_Tarikan_Warkah[Jenis Permohonan]),"")</f>
        <v>Perubahan Hak</v>
      </c>
      <c r="H2133" s="41" t="s">
        <v>20</v>
      </c>
      <c r="I2133" s="49" t="s">
        <v>23</v>
      </c>
      <c r="J2133" s="36">
        <f t="shared" si="20"/>
        <v>45785.6865</v>
      </c>
      <c r="K2133" s="49" t="s">
        <v>197</v>
      </c>
      <c r="L2133" s="49" t="s">
        <v>23</v>
      </c>
      <c r="M2133" s="36">
        <f t="shared" si="26"/>
        <v>45793.67431</v>
      </c>
      <c r="N2133" s="30" t="str">
        <f t="shared" si="27"/>
        <v>Selesai</v>
      </c>
      <c r="O2133" s="45">
        <f t="shared" si="23"/>
        <v>45793.67431</v>
      </c>
      <c r="P2133" s="47" t="b">
        <v>1</v>
      </c>
      <c r="Q2133" s="36">
        <f t="shared" si="24"/>
        <v>45793.67431</v>
      </c>
      <c r="R2133" s="47" t="b">
        <v>0</v>
      </c>
      <c r="S2133" s="42" t="str">
        <f t="shared" si="28"/>
        <v/>
      </c>
      <c r="T2133" s="42"/>
    </row>
    <row r="2134" ht="22.5" customHeight="1">
      <c r="B2134" s="42">
        <f t="shared" si="7"/>
        <v>2128</v>
      </c>
      <c r="C2134" s="31" t="s">
        <v>1070</v>
      </c>
      <c r="D2134" s="34" t="str">
        <f t="array" ref="D2134">IFNA(_xlfn.XLOOKUP(C2134,Table_Tarikan_Warkah[Nomor Sertipikat],Table_Tarikan_Warkah[Nomor Tiket]),"")</f>
        <v>K/16/150125/2</v>
      </c>
      <c r="E2134" s="36">
        <f t="array" ref="E2134">IFNA(_xlfn.XLOOKUP(D2134,Table_Tarikan_Warkah[Nomor Tiket],Table_Tarikan_Warkah[Tanggal diserahkan kepada Validator]),"")</f>
        <v>45677.62373</v>
      </c>
      <c r="F2134" s="36" t="str">
        <f t="array" ref="F2134">IFNA(_xlfn.XLOOKUP(D2134,Table_Tarikan_Warkah[Nomor Tiket],Table_Tarikan_Warkah[Nama Petugas Warkah]),"")</f>
        <v>David</v>
      </c>
      <c r="G2134" s="39" t="str">
        <f t="array" ref="G2134">IFNA(_xlfn.XLOOKUP(D2134,Table_Tarikan_Warkah[Nomor Tiket],Table_Tarikan_Warkah[Jenis Permohonan]),"")</f>
        <v>BN Jual Beli</v>
      </c>
      <c r="H2134" s="41" t="s">
        <v>20</v>
      </c>
      <c r="I2134" s="49" t="s">
        <v>23</v>
      </c>
      <c r="J2134" s="36">
        <f t="shared" si="20"/>
        <v>45785.6865</v>
      </c>
      <c r="K2134" s="49" t="s">
        <v>197</v>
      </c>
      <c r="L2134" s="49" t="s">
        <v>23</v>
      </c>
      <c r="M2134" s="36">
        <f t="shared" si="26"/>
        <v>45793.67431</v>
      </c>
      <c r="N2134" s="30" t="str">
        <f t="shared" si="27"/>
        <v>Selesai</v>
      </c>
      <c r="O2134" s="45">
        <f t="shared" si="23"/>
        <v>45793.67431</v>
      </c>
      <c r="P2134" s="47" t="b">
        <v>1</v>
      </c>
      <c r="Q2134" s="36">
        <f t="shared" si="24"/>
        <v>45793.67431</v>
      </c>
      <c r="R2134" s="47" t="b">
        <v>0</v>
      </c>
      <c r="S2134" s="42" t="str">
        <f t="shared" si="28"/>
        <v/>
      </c>
      <c r="T2134" s="42"/>
    </row>
    <row r="2135" ht="22.5" customHeight="1">
      <c r="B2135" s="42">
        <f t="shared" si="7"/>
        <v>2129</v>
      </c>
      <c r="C2135" s="31" t="s">
        <v>2233</v>
      </c>
      <c r="D2135" s="34" t="str">
        <f t="array" ref="D2135">IFNA(_xlfn.XLOOKUP(C2135,Table_Tarikan_Warkah[Nomor Sertipikat],Table_Tarikan_Warkah[Nomor Tiket]),"")</f>
        <v>K/28/250425/1</v>
      </c>
      <c r="E2135" s="36">
        <f t="array" ref="E2135">IFNA(_xlfn.XLOOKUP(D2135,Table_Tarikan_Warkah[Nomor Tiket],Table_Tarikan_Warkah[Tanggal diserahkan kepada Validator]),"")</f>
        <v>45793.39863</v>
      </c>
      <c r="F2135" s="36" t="str">
        <f t="array" ref="F2135">IFNA(_xlfn.XLOOKUP(D2135,Table_Tarikan_Warkah[Nomor Tiket],Table_Tarikan_Warkah[Nama Petugas Warkah]),"")</f>
        <v>David</v>
      </c>
      <c r="G2135" s="39" t="str">
        <f t="array" ref="G2135">IFNA(_xlfn.XLOOKUP(D2135,Table_Tarikan_Warkah[Nomor Tiket],Table_Tarikan_Warkah[Jenis Permohonan]),"")</f>
        <v>BN Jual Beli</v>
      </c>
      <c r="H2135" s="41" t="s">
        <v>20</v>
      </c>
      <c r="I2135" s="49" t="s">
        <v>23</v>
      </c>
      <c r="J2135" s="36">
        <f t="shared" si="20"/>
        <v>45785.6865</v>
      </c>
      <c r="K2135" s="49" t="s">
        <v>197</v>
      </c>
      <c r="L2135" s="49" t="s">
        <v>23</v>
      </c>
      <c r="M2135" s="36">
        <f t="shared" si="26"/>
        <v>45793.67431</v>
      </c>
      <c r="N2135" s="30" t="str">
        <f t="shared" si="27"/>
        <v>Selesai</v>
      </c>
      <c r="O2135" s="45">
        <f t="shared" si="23"/>
        <v>45793.67431</v>
      </c>
      <c r="P2135" s="47" t="b">
        <v>1</v>
      </c>
      <c r="Q2135" s="36">
        <f t="shared" si="24"/>
        <v>45793.67431</v>
      </c>
      <c r="R2135" s="47" t="b">
        <v>0</v>
      </c>
      <c r="S2135" s="42" t="str">
        <f t="shared" si="28"/>
        <v/>
      </c>
      <c r="T2135" s="42"/>
    </row>
    <row r="2136" ht="22.5" customHeight="1">
      <c r="B2136" s="42">
        <f t="shared" si="7"/>
        <v>2130</v>
      </c>
      <c r="C2136" s="31" t="s">
        <v>2234</v>
      </c>
      <c r="D2136" s="34" t="str">
        <f t="array" ref="D2136">IFNA(_xlfn.XLOOKUP(C2136,Table_Tarikan_Warkah[Nomor Sertipikat],Table_Tarikan_Warkah[Nomor Tiket]),"")</f>
        <v>K/46/290425/3</v>
      </c>
      <c r="E2136" s="36">
        <f t="array" ref="E2136">IFNA(_xlfn.XLOOKUP(D2136,Table_Tarikan_Warkah[Nomor Tiket],Table_Tarikan_Warkah[Tanggal diserahkan kepada Validator]),"")</f>
        <v>45793.39812</v>
      </c>
      <c r="F2136" s="36" t="str">
        <f t="array" ref="F2136">IFNA(_xlfn.XLOOKUP(D2136,Table_Tarikan_Warkah[Nomor Tiket],Table_Tarikan_Warkah[Nama Petugas Warkah]),"")</f>
        <v>David</v>
      </c>
      <c r="G2136" s="39" t="str">
        <f t="array" ref="G2136">IFNA(_xlfn.XLOOKUP(D2136,Table_Tarikan_Warkah[Nomor Tiket],Table_Tarikan_Warkah[Jenis Permohonan]),"")</f>
        <v>BN Jual Beli</v>
      </c>
      <c r="H2136" s="41" t="s">
        <v>20</v>
      </c>
      <c r="I2136" s="49" t="s">
        <v>23</v>
      </c>
      <c r="J2136" s="36">
        <f t="shared" si="20"/>
        <v>45785.6865</v>
      </c>
      <c r="K2136" s="49" t="s">
        <v>197</v>
      </c>
      <c r="L2136" s="49" t="s">
        <v>23</v>
      </c>
      <c r="M2136" s="36">
        <f t="shared" si="26"/>
        <v>45793.67431</v>
      </c>
      <c r="N2136" s="30" t="str">
        <f t="shared" si="27"/>
        <v>Selesai</v>
      </c>
      <c r="O2136" s="45">
        <f t="shared" si="23"/>
        <v>45793.67431</v>
      </c>
      <c r="P2136" s="47" t="b">
        <v>1</v>
      </c>
      <c r="Q2136" s="36">
        <f t="shared" si="24"/>
        <v>45793.67431</v>
      </c>
      <c r="R2136" s="47" t="b">
        <v>0</v>
      </c>
      <c r="S2136" s="42" t="str">
        <f t="shared" si="28"/>
        <v/>
      </c>
      <c r="T2136" s="42"/>
    </row>
    <row r="2137" ht="22.5" customHeight="1">
      <c r="B2137" s="42">
        <f t="shared" si="7"/>
        <v>2131</v>
      </c>
      <c r="C2137" s="31" t="s">
        <v>2235</v>
      </c>
      <c r="D2137" s="34" t="str">
        <f t="array" ref="D2137">IFNA(_xlfn.XLOOKUP(C2137,Table_Tarikan_Warkah[Nomor Sertipikat],Table_Tarikan_Warkah[Nomor Tiket]),"")</f>
        <v>K/14/290425/1</v>
      </c>
      <c r="E2137" s="36">
        <f t="array" ref="E2137">IFNA(_xlfn.XLOOKUP(D2137,Table_Tarikan_Warkah[Nomor Tiket],Table_Tarikan_Warkah[Tanggal diserahkan kepada Validator]),"")</f>
        <v>45793.39765</v>
      </c>
      <c r="F2137" s="36" t="str">
        <f t="array" ref="F2137">IFNA(_xlfn.XLOOKUP(D2137,Table_Tarikan_Warkah[Nomor Tiket],Table_Tarikan_Warkah[Nama Petugas Warkah]),"")</f>
        <v>David</v>
      </c>
      <c r="G2137" s="39" t="str">
        <f t="array" ref="G2137">IFNA(_xlfn.XLOOKUP(D2137,Table_Tarikan_Warkah[Nomor Tiket],Table_Tarikan_Warkah[Jenis Permohonan]),"")</f>
        <v>BN Jual Beli</v>
      </c>
      <c r="H2137" s="41" t="s">
        <v>20</v>
      </c>
      <c r="I2137" s="49" t="s">
        <v>23</v>
      </c>
      <c r="J2137" s="36">
        <f t="shared" si="20"/>
        <v>45785.6865</v>
      </c>
      <c r="K2137" s="49" t="s">
        <v>197</v>
      </c>
      <c r="L2137" s="49" t="s">
        <v>23</v>
      </c>
      <c r="M2137" s="36">
        <f t="shared" si="26"/>
        <v>45793.67431</v>
      </c>
      <c r="N2137" s="30" t="str">
        <f t="shared" si="27"/>
        <v>Selesai</v>
      </c>
      <c r="O2137" s="45">
        <f t="shared" si="23"/>
        <v>45793.67431</v>
      </c>
      <c r="P2137" s="47" t="b">
        <v>1</v>
      </c>
      <c r="Q2137" s="36">
        <f t="shared" si="24"/>
        <v>45793.67431</v>
      </c>
      <c r="R2137" s="47" t="b">
        <v>0</v>
      </c>
      <c r="S2137" s="42" t="str">
        <f t="shared" si="28"/>
        <v/>
      </c>
      <c r="T2137" s="42"/>
    </row>
    <row r="2138" ht="22.5" customHeight="1">
      <c r="B2138" s="42">
        <f t="shared" si="7"/>
        <v>2132</v>
      </c>
      <c r="C2138" s="31" t="s">
        <v>2236</v>
      </c>
      <c r="D2138" s="34" t="str">
        <f t="array" ref="D2138">IFNA(_xlfn.XLOOKUP(C2138,Table_Tarikan_Warkah[Nomor Sertipikat],Table_Tarikan_Warkah[Nomor Tiket]),"")</f>
        <v>K/20/240425/1</v>
      </c>
      <c r="E2138" s="36">
        <f t="array" ref="E2138">IFNA(_xlfn.XLOOKUP(D2138,Table_Tarikan_Warkah[Nomor Tiket],Table_Tarikan_Warkah[Tanggal diserahkan kepada Validator]),"")</f>
        <v>45793.39722</v>
      </c>
      <c r="F2138" s="36" t="str">
        <f t="array" ref="F2138">IFNA(_xlfn.XLOOKUP(D2138,Table_Tarikan_Warkah[Nomor Tiket],Table_Tarikan_Warkah[Nama Petugas Warkah]),"")</f>
        <v>David</v>
      </c>
      <c r="G2138" s="39" t="str">
        <f t="array" ref="G2138">IFNA(_xlfn.XLOOKUP(D2138,Table_Tarikan_Warkah[Nomor Tiket],Table_Tarikan_Warkah[Jenis Permohonan]),"")</f>
        <v>BN Jual Beli</v>
      </c>
      <c r="H2138" s="41" t="s">
        <v>20</v>
      </c>
      <c r="I2138" s="49" t="s">
        <v>23</v>
      </c>
      <c r="J2138" s="36">
        <f t="shared" si="20"/>
        <v>45785.6865</v>
      </c>
      <c r="K2138" s="49" t="s">
        <v>197</v>
      </c>
      <c r="L2138" s="49" t="s">
        <v>23</v>
      </c>
      <c r="M2138" s="36">
        <f t="shared" si="26"/>
        <v>45793.67431</v>
      </c>
      <c r="N2138" s="30" t="str">
        <f t="shared" si="27"/>
        <v>Selesai</v>
      </c>
      <c r="O2138" s="45">
        <f t="shared" si="23"/>
        <v>45793.67431</v>
      </c>
      <c r="P2138" s="47" t="b">
        <v>1</v>
      </c>
      <c r="Q2138" s="36">
        <f t="shared" si="24"/>
        <v>45793.67431</v>
      </c>
      <c r="R2138" s="47" t="b">
        <v>0</v>
      </c>
      <c r="S2138" s="42" t="str">
        <f t="shared" si="28"/>
        <v/>
      </c>
      <c r="T2138" s="42"/>
    </row>
    <row r="2139" ht="22.5" customHeight="1">
      <c r="B2139" s="42">
        <f t="shared" si="7"/>
        <v>2133</v>
      </c>
      <c r="C2139" s="31" t="s">
        <v>2237</v>
      </c>
      <c r="D2139" s="34" t="str">
        <f t="array" ref="D2139">IFNA(_xlfn.XLOOKUP(C2139,Table_Tarikan_Warkah[Nomor Sertipikat],Table_Tarikan_Warkah[Nomor Tiket]),"")</f>
        <v>K/12/260325/1</v>
      </c>
      <c r="E2139" s="36">
        <f t="array" ref="E2139">IFNA(_xlfn.XLOOKUP(D2139,Table_Tarikan_Warkah[Nomor Tiket],Table_Tarikan_Warkah[Tanggal diserahkan kepada Validator]),"")</f>
        <v>45793.39579</v>
      </c>
      <c r="F2139" s="36" t="str">
        <f t="array" ref="F2139">IFNA(_xlfn.XLOOKUP(D2139,Table_Tarikan_Warkah[Nomor Tiket],Table_Tarikan_Warkah[Nama Petugas Warkah]),"")</f>
        <v>David</v>
      </c>
      <c r="G2139" s="39" t="str">
        <f t="array" ref="G2139">IFNA(_xlfn.XLOOKUP(D2139,Table_Tarikan_Warkah[Nomor Tiket],Table_Tarikan_Warkah[Jenis Permohonan]),"")</f>
        <v>BN JUAL BELI</v>
      </c>
      <c r="H2139" s="41" t="s">
        <v>20</v>
      </c>
      <c r="I2139" s="49" t="s">
        <v>23</v>
      </c>
      <c r="J2139" s="36">
        <f t="shared" si="20"/>
        <v>45785.6865</v>
      </c>
      <c r="K2139" s="49" t="s">
        <v>197</v>
      </c>
      <c r="L2139" s="49" t="s">
        <v>23</v>
      </c>
      <c r="M2139" s="36">
        <f t="shared" si="26"/>
        <v>45793.67431</v>
      </c>
      <c r="N2139" s="30" t="str">
        <f t="shared" si="27"/>
        <v>Selesai</v>
      </c>
      <c r="O2139" s="45">
        <f t="shared" si="23"/>
        <v>45793.67431</v>
      </c>
      <c r="P2139" s="47" t="b">
        <v>1</v>
      </c>
      <c r="Q2139" s="36">
        <f t="shared" si="24"/>
        <v>45793.67431</v>
      </c>
      <c r="R2139" s="47" t="b">
        <v>0</v>
      </c>
      <c r="S2139" s="42" t="str">
        <f t="shared" si="28"/>
        <v/>
      </c>
      <c r="T2139" s="42"/>
    </row>
    <row r="2140" ht="22.5" customHeight="1">
      <c r="B2140" s="42">
        <f t="shared" si="7"/>
        <v>2134</v>
      </c>
      <c r="C2140" s="31" t="s">
        <v>2238</v>
      </c>
      <c r="D2140" s="34" t="str">
        <f t="array" ref="D2140">IFNA(_xlfn.XLOOKUP(C2140,Table_Tarikan_Warkah[Nomor Sertipikat],Table_Tarikan_Warkah[Nomor Tiket]),"")</f>
        <v>L/20/290425/1</v>
      </c>
      <c r="E2140" s="36">
        <f t="array" ref="E2140">IFNA(_xlfn.XLOOKUP(D2140,Table_Tarikan_Warkah[Nomor Tiket],Table_Tarikan_Warkah[Tanggal diserahkan kepada Validator]),"")</f>
        <v>45819.36328</v>
      </c>
      <c r="F2140" s="36" t="str">
        <f t="array" ref="F2140">IFNA(_xlfn.XLOOKUP(D2140,Table_Tarikan_Warkah[Nomor Tiket],Table_Tarikan_Warkah[Nama Petugas Warkah]),"")</f>
        <v>David</v>
      </c>
      <c r="G2140" s="39" t="str">
        <f t="array" ref="G2140">IFNA(_xlfn.XLOOKUP(D2140,Table_Tarikan_Warkah[Nomor Tiket],Table_Tarikan_Warkah[Jenis Permohonan]),"")</f>
        <v>BUDI HARYANTO</v>
      </c>
      <c r="H2140" s="41" t="s">
        <v>20</v>
      </c>
      <c r="I2140" s="49" t="s">
        <v>23</v>
      </c>
      <c r="J2140" s="36">
        <f t="shared" si="20"/>
        <v>45786.66422</v>
      </c>
      <c r="K2140" s="49" t="s">
        <v>197</v>
      </c>
      <c r="L2140" s="49" t="s">
        <v>23</v>
      </c>
      <c r="M2140" s="36">
        <f t="shared" si="26"/>
        <v>45793.67431</v>
      </c>
      <c r="N2140" s="30" t="str">
        <f t="shared" si="27"/>
        <v>Selesai</v>
      </c>
      <c r="O2140" s="45">
        <f t="shared" si="23"/>
        <v>45793.67431</v>
      </c>
      <c r="P2140" s="47" t="b">
        <v>1</v>
      </c>
      <c r="Q2140" s="36">
        <f t="shared" si="24"/>
        <v>45793.67431</v>
      </c>
      <c r="R2140" s="47" t="b">
        <v>0</v>
      </c>
      <c r="S2140" s="42" t="str">
        <f t="shared" si="28"/>
        <v/>
      </c>
      <c r="T2140" s="42"/>
    </row>
    <row r="2141" ht="22.5" customHeight="1">
      <c r="B2141" s="42">
        <f t="shared" si="7"/>
        <v>2135</v>
      </c>
      <c r="C2141" s="31" t="s">
        <v>2239</v>
      </c>
      <c r="D2141" s="34" t="str">
        <f t="array" ref="D2141">IFNA(_xlfn.XLOOKUP(C2141,Table_Tarikan_Warkah[Nomor Sertipikat],Table_Tarikan_Warkah[Nomor Tiket]),"")</f>
        <v>L/40/240425/1</v>
      </c>
      <c r="E2141" s="36">
        <f t="array" ref="E2141">IFNA(_xlfn.XLOOKUP(D2141,Table_Tarikan_Warkah[Nomor Tiket],Table_Tarikan_Warkah[Tanggal diserahkan kepada Validator]),"")</f>
        <v>45803.47916</v>
      </c>
      <c r="F2141" s="36" t="str">
        <f t="array" ref="F2141">IFNA(_xlfn.XLOOKUP(D2141,Table_Tarikan_Warkah[Nomor Tiket],Table_Tarikan_Warkah[Nama Petugas Warkah]),"")</f>
        <v>David</v>
      </c>
      <c r="G2141" s="39" t="str">
        <f t="array" ref="G2141">IFNA(_xlfn.XLOOKUP(D2141,Table_Tarikan_Warkah[Nomor Tiket],Table_Tarikan_Warkah[Jenis Permohonan]),"")</f>
        <v>ROYA</v>
      </c>
      <c r="H2141" s="41" t="s">
        <v>20</v>
      </c>
      <c r="I2141" s="49" t="s">
        <v>23</v>
      </c>
      <c r="J2141" s="36">
        <f t="shared" si="20"/>
        <v>45786.66434</v>
      </c>
      <c r="K2141" s="49" t="s">
        <v>197</v>
      </c>
      <c r="L2141" s="49" t="s">
        <v>23</v>
      </c>
      <c r="M2141" s="36">
        <f t="shared" si="26"/>
        <v>45793.67431</v>
      </c>
      <c r="N2141" s="30" t="str">
        <f t="shared" si="27"/>
        <v>Selesai</v>
      </c>
      <c r="O2141" s="45">
        <f t="shared" si="23"/>
        <v>45793.67431</v>
      </c>
      <c r="P2141" s="47" t="b">
        <v>1</v>
      </c>
      <c r="Q2141" s="36">
        <f t="shared" si="24"/>
        <v>45793.67431</v>
      </c>
      <c r="R2141" s="47" t="b">
        <v>0</v>
      </c>
      <c r="S2141" s="42" t="str">
        <f t="shared" si="28"/>
        <v/>
      </c>
      <c r="T2141" s="42"/>
    </row>
    <row r="2142" ht="22.5" customHeight="1">
      <c r="B2142" s="42">
        <f t="shared" si="7"/>
        <v>2136</v>
      </c>
      <c r="C2142" s="31" t="s">
        <v>2240</v>
      </c>
      <c r="D2142" s="34" t="str">
        <f t="array" ref="D2142">IFNA(_xlfn.XLOOKUP(C2142,Table_Tarikan_Warkah[Nomor Sertipikat],Table_Tarikan_Warkah[Nomor Tiket]),"")</f>
        <v>L/23/060525/1</v>
      </c>
      <c r="E2142" s="36">
        <f t="array" ref="E2142">IFNA(_xlfn.XLOOKUP(D2142,Table_Tarikan_Warkah[Nomor Tiket],Table_Tarikan_Warkah[Tanggal diserahkan kepada Validator]),"")</f>
        <v>45804.68052</v>
      </c>
      <c r="F2142" s="36" t="str">
        <f t="array" ref="F2142">IFNA(_xlfn.XLOOKUP(D2142,Table_Tarikan_Warkah[Nomor Tiket],Table_Tarikan_Warkah[Nama Petugas Warkah]),"")</f>
        <v>David</v>
      </c>
      <c r="G2142" s="39" t="str">
        <f t="array" ref="G2142">IFNA(_xlfn.XLOOKUP(D2142,Table_Tarikan_Warkah[Nomor Tiket],Table_Tarikan_Warkah[Jenis Permohonan]),"")</f>
        <v>ROYA</v>
      </c>
      <c r="H2142" s="41" t="s">
        <v>20</v>
      </c>
      <c r="I2142" s="49" t="s">
        <v>23</v>
      </c>
      <c r="J2142" s="36">
        <f t="shared" si="20"/>
        <v>45786.66445</v>
      </c>
      <c r="K2142" s="49" t="s">
        <v>197</v>
      </c>
      <c r="L2142" s="49" t="s">
        <v>23</v>
      </c>
      <c r="M2142" s="36">
        <f t="shared" si="26"/>
        <v>45793.67431</v>
      </c>
      <c r="N2142" s="30" t="str">
        <f t="shared" si="27"/>
        <v>Selesai</v>
      </c>
      <c r="O2142" s="45">
        <f t="shared" si="23"/>
        <v>45793.67431</v>
      </c>
      <c r="P2142" s="47" t="b">
        <v>1</v>
      </c>
      <c r="Q2142" s="36">
        <f t="shared" si="24"/>
        <v>45793.67431</v>
      </c>
      <c r="R2142" s="47" t="b">
        <v>0</v>
      </c>
      <c r="S2142" s="42" t="str">
        <f t="shared" si="28"/>
        <v/>
      </c>
      <c r="T2142" s="42"/>
    </row>
    <row r="2143" ht="22.5" customHeight="1">
      <c r="B2143" s="42">
        <f t="shared" si="7"/>
        <v>2137</v>
      </c>
      <c r="C2143" s="31" t="s">
        <v>2241</v>
      </c>
      <c r="D2143" s="34" t="str">
        <f t="array" ref="D2143">IFNA(_xlfn.XLOOKUP(C2143,Table_Tarikan_Warkah[Nomor Sertipikat],Table_Tarikan_Warkah[Nomor Tiket]),"")</f>
        <v>L/12/060525/1</v>
      </c>
      <c r="E2143" s="36">
        <f t="array" ref="E2143">IFNA(_xlfn.XLOOKUP(D2143,Table_Tarikan_Warkah[Nomor Tiket],Table_Tarikan_Warkah[Tanggal diserahkan kepada Validator]),"")</f>
        <v>45803.48001</v>
      </c>
      <c r="F2143" s="36" t="str">
        <f t="array" ref="F2143">IFNA(_xlfn.XLOOKUP(D2143,Table_Tarikan_Warkah[Nomor Tiket],Table_Tarikan_Warkah[Nama Petugas Warkah]),"")</f>
        <v>David</v>
      </c>
      <c r="G2143" s="39" t="str">
        <f t="array" ref="G2143">IFNA(_xlfn.XLOOKUP(D2143,Table_Tarikan_Warkah[Nomor Tiket],Table_Tarikan_Warkah[Jenis Permohonan]),"")</f>
        <v>ROYA</v>
      </c>
      <c r="H2143" s="41" t="s">
        <v>20</v>
      </c>
      <c r="I2143" s="49" t="s">
        <v>23</v>
      </c>
      <c r="J2143" s="36">
        <f t="shared" si="20"/>
        <v>45786.66452</v>
      </c>
      <c r="K2143" s="49" t="s">
        <v>197</v>
      </c>
      <c r="L2143" s="49" t="s">
        <v>23</v>
      </c>
      <c r="M2143" s="36">
        <f t="shared" si="26"/>
        <v>45793.67431</v>
      </c>
      <c r="N2143" s="30" t="str">
        <f t="shared" si="27"/>
        <v>Selesai</v>
      </c>
      <c r="O2143" s="45">
        <f t="shared" si="23"/>
        <v>45793.67431</v>
      </c>
      <c r="P2143" s="47" t="b">
        <v>1</v>
      </c>
      <c r="Q2143" s="36">
        <f t="shared" si="24"/>
        <v>45793.67431</v>
      </c>
      <c r="R2143" s="47" t="b">
        <v>0</v>
      </c>
      <c r="S2143" s="42" t="str">
        <f t="shared" si="28"/>
        <v/>
      </c>
      <c r="T2143" s="42"/>
    </row>
    <row r="2144" ht="22.5" customHeight="1">
      <c r="B2144" s="42">
        <f t="shared" si="7"/>
        <v>2138</v>
      </c>
      <c r="C2144" s="31" t="s">
        <v>2242</v>
      </c>
      <c r="D2144" s="34" t="str">
        <f t="array" ref="D2144">IFNA(_xlfn.XLOOKUP(C2144,Table_Tarikan_Warkah[Nomor Sertipikat],Table_Tarikan_Warkah[Nomor Tiket]),"")</f>
        <v>K/17/220425/1</v>
      </c>
      <c r="E2144" s="36">
        <f t="array" ref="E2144">IFNA(_xlfn.XLOOKUP(D2144,Table_Tarikan_Warkah[Nomor Tiket],Table_Tarikan_Warkah[Tanggal diserahkan kepada Validator]),"")</f>
        <v>45793.42082</v>
      </c>
      <c r="F2144" s="36" t="str">
        <f t="array" ref="F2144">IFNA(_xlfn.XLOOKUP(D2144,Table_Tarikan_Warkah[Nomor Tiket],Table_Tarikan_Warkah[Nama Petugas Warkah]),"")</f>
        <v>David</v>
      </c>
      <c r="G2144" s="39" t="str">
        <f t="array" ref="G2144">IFNA(_xlfn.XLOOKUP(D2144,Table_Tarikan_Warkah[Nomor Tiket],Table_Tarikan_Warkah[Jenis Permohonan]),"")</f>
        <v>BN Waris</v>
      </c>
      <c r="H2144" s="41" t="s">
        <v>20</v>
      </c>
      <c r="I2144" s="49" t="s">
        <v>23</v>
      </c>
      <c r="J2144" s="36">
        <f t="shared" si="20"/>
        <v>45786.66466</v>
      </c>
      <c r="K2144" s="49" t="s">
        <v>197</v>
      </c>
      <c r="L2144" s="49" t="s">
        <v>23</v>
      </c>
      <c r="M2144" s="36">
        <f t="shared" si="26"/>
        <v>45793.67431</v>
      </c>
      <c r="N2144" s="30" t="str">
        <f t="shared" si="27"/>
        <v>Selesai</v>
      </c>
      <c r="O2144" s="45">
        <f t="shared" si="23"/>
        <v>45793.67431</v>
      </c>
      <c r="P2144" s="47" t="b">
        <v>1</v>
      </c>
      <c r="Q2144" s="36">
        <f t="shared" si="24"/>
        <v>45793.67431</v>
      </c>
      <c r="R2144" s="47" t="b">
        <v>0</v>
      </c>
      <c r="S2144" s="42" t="str">
        <f t="shared" si="28"/>
        <v/>
      </c>
      <c r="T2144" s="42"/>
    </row>
    <row r="2145" ht="22.5" customHeight="1">
      <c r="B2145" s="42">
        <f t="shared" si="7"/>
        <v>2139</v>
      </c>
      <c r="C2145" s="31" t="s">
        <v>2243</v>
      </c>
      <c r="D2145" s="34" t="str">
        <f t="array" ref="D2145">IFNA(_xlfn.XLOOKUP(C2145,Table_Tarikan_Warkah[Nomor Sertipikat],Table_Tarikan_Warkah[Nomor Tiket]),"")</f>
        <v>K/21/250425/1</v>
      </c>
      <c r="E2145" s="36">
        <f t="array" ref="E2145">IFNA(_xlfn.XLOOKUP(D2145,Table_Tarikan_Warkah[Nomor Tiket],Table_Tarikan_Warkah[Tanggal diserahkan kepada Validator]),"")</f>
        <v>45793.41757</v>
      </c>
      <c r="F2145" s="36" t="str">
        <f t="array" ref="F2145">IFNA(_xlfn.XLOOKUP(D2145,Table_Tarikan_Warkah[Nomor Tiket],Table_Tarikan_Warkah[Nama Petugas Warkah]),"")</f>
        <v>David</v>
      </c>
      <c r="G2145" s="39" t="str">
        <f t="array" ref="G2145">IFNA(_xlfn.XLOOKUP(D2145,Table_Tarikan_Warkah[Nomor Tiket],Table_Tarikan_Warkah[Jenis Permohonan]),"")</f>
        <v>BN Jual Beli</v>
      </c>
      <c r="H2145" s="41" t="s">
        <v>20</v>
      </c>
      <c r="I2145" s="49" t="s">
        <v>23</v>
      </c>
      <c r="J2145" s="36">
        <f t="shared" si="20"/>
        <v>45786.66475</v>
      </c>
      <c r="K2145" s="49" t="s">
        <v>197</v>
      </c>
      <c r="L2145" s="49" t="s">
        <v>23</v>
      </c>
      <c r="M2145" s="36">
        <f t="shared" si="26"/>
        <v>45793.67431</v>
      </c>
      <c r="N2145" s="30" t="str">
        <f t="shared" si="27"/>
        <v>Selesai</v>
      </c>
      <c r="O2145" s="45">
        <f t="shared" si="23"/>
        <v>45793.67431</v>
      </c>
      <c r="P2145" s="47" t="b">
        <v>1</v>
      </c>
      <c r="Q2145" s="36">
        <f t="shared" si="24"/>
        <v>45793.67431</v>
      </c>
      <c r="R2145" s="47" t="b">
        <v>0</v>
      </c>
      <c r="S2145" s="42" t="str">
        <f t="shared" si="28"/>
        <v/>
      </c>
      <c r="T2145" s="42"/>
    </row>
    <row r="2146" ht="22.5" customHeight="1">
      <c r="B2146" s="42">
        <f t="shared" si="7"/>
        <v>2140</v>
      </c>
      <c r="C2146" s="31" t="s">
        <v>2244</v>
      </c>
      <c r="D2146" s="34" t="str">
        <f t="array" ref="D2146">IFNA(_xlfn.XLOOKUP(C2146,Table_Tarikan_Warkah[Nomor Sertipikat],Table_Tarikan_Warkah[Nomor Tiket]),"")</f>
        <v>K/12/300425/1</v>
      </c>
      <c r="E2146" s="36">
        <f t="array" ref="E2146">IFNA(_xlfn.XLOOKUP(D2146,Table_Tarikan_Warkah[Nomor Tiket],Table_Tarikan_Warkah[Tanggal diserahkan kepada Validator]),"")</f>
        <v>45813.47978</v>
      </c>
      <c r="F2146" s="36" t="str">
        <f t="array" ref="F2146">IFNA(_xlfn.XLOOKUP(D2146,Table_Tarikan_Warkah[Nomor Tiket],Table_Tarikan_Warkah[Nama Petugas Warkah]),"")</f>
        <v>David</v>
      </c>
      <c r="G2146" s="39" t="str">
        <f t="array" ref="G2146">IFNA(_xlfn.XLOOKUP(D2146,Table_Tarikan_Warkah[Nomor Tiket],Table_Tarikan_Warkah[Jenis Permohonan]),"")</f>
        <v>Roya</v>
      </c>
      <c r="H2146" s="41" t="s">
        <v>20</v>
      </c>
      <c r="I2146" s="49" t="s">
        <v>23</v>
      </c>
      <c r="J2146" s="36">
        <f t="shared" si="20"/>
        <v>45786.66485</v>
      </c>
      <c r="K2146" s="49" t="s">
        <v>197</v>
      </c>
      <c r="L2146" s="49" t="s">
        <v>23</v>
      </c>
      <c r="M2146" s="36">
        <f t="shared" si="26"/>
        <v>45793.67431</v>
      </c>
      <c r="N2146" s="30" t="str">
        <f t="shared" si="27"/>
        <v>Selesai</v>
      </c>
      <c r="O2146" s="45">
        <f t="shared" si="23"/>
        <v>45793.67431</v>
      </c>
      <c r="P2146" s="47" t="b">
        <v>1</v>
      </c>
      <c r="Q2146" s="36">
        <f t="shared" si="24"/>
        <v>45793.67431</v>
      </c>
      <c r="R2146" s="47" t="b">
        <v>0</v>
      </c>
      <c r="S2146" s="42" t="str">
        <f t="shared" si="28"/>
        <v/>
      </c>
      <c r="T2146" s="42"/>
    </row>
    <row r="2147" ht="22.5" customHeight="1">
      <c r="B2147" s="42">
        <f t="shared" si="7"/>
        <v>2141</v>
      </c>
      <c r="C2147" s="31" t="s">
        <v>2245</v>
      </c>
      <c r="D2147" s="34" t="str">
        <f t="array" ref="D2147">IFNA(_xlfn.XLOOKUP(C2147,Table_Tarikan_Warkah[Nomor Sertipikat],Table_Tarikan_Warkah[Nomor Tiket]),"")</f>
        <v>K/4/250425/1</v>
      </c>
      <c r="E2147" s="36">
        <f t="array" ref="E2147">IFNA(_xlfn.XLOOKUP(D2147,Table_Tarikan_Warkah[Nomor Tiket],Table_Tarikan_Warkah[Tanggal diserahkan kepada Validator]),"")</f>
        <v>45793.42032</v>
      </c>
      <c r="F2147" s="36" t="str">
        <f t="array" ref="F2147">IFNA(_xlfn.XLOOKUP(D2147,Table_Tarikan_Warkah[Nomor Tiket],Table_Tarikan_Warkah[Nama Petugas Warkah]),"")</f>
        <v>David</v>
      </c>
      <c r="G2147" s="39" t="str">
        <f t="array" ref="G2147">IFNA(_xlfn.XLOOKUP(D2147,Table_Tarikan_Warkah[Nomor Tiket],Table_Tarikan_Warkah[Jenis Permohonan]),"")</f>
        <v>BN Jual Beli</v>
      </c>
      <c r="H2147" s="41" t="s">
        <v>20</v>
      </c>
      <c r="I2147" s="49" t="s">
        <v>23</v>
      </c>
      <c r="J2147" s="36">
        <f t="shared" si="20"/>
        <v>45786.66502</v>
      </c>
      <c r="K2147" s="49" t="s">
        <v>197</v>
      </c>
      <c r="L2147" s="49" t="s">
        <v>23</v>
      </c>
      <c r="M2147" s="36">
        <f t="shared" si="26"/>
        <v>45793.67431</v>
      </c>
      <c r="N2147" s="30" t="str">
        <f t="shared" si="27"/>
        <v>Selesai</v>
      </c>
      <c r="O2147" s="45">
        <f t="shared" si="23"/>
        <v>45793.67431</v>
      </c>
      <c r="P2147" s="47" t="b">
        <v>1</v>
      </c>
      <c r="Q2147" s="36">
        <f t="shared" si="24"/>
        <v>45793.67431</v>
      </c>
      <c r="R2147" s="47" t="b">
        <v>0</v>
      </c>
      <c r="S2147" s="42" t="str">
        <f t="shared" si="28"/>
        <v/>
      </c>
      <c r="T2147" s="42"/>
    </row>
    <row r="2148" ht="22.5" customHeight="1">
      <c r="B2148" s="42">
        <f t="shared" si="7"/>
        <v>2142</v>
      </c>
      <c r="C2148" s="31" t="s">
        <v>2246</v>
      </c>
      <c r="D2148" s="34" t="str">
        <f t="array" ref="D2148">IFNA(_xlfn.XLOOKUP(C2148,Table_Tarikan_Warkah[Nomor Sertipikat],Table_Tarikan_Warkah[Nomor Tiket]),"")</f>
        <v>K/28/060525/1</v>
      </c>
      <c r="E2148" s="36">
        <f t="array" ref="E2148">IFNA(_xlfn.XLOOKUP(D2148,Table_Tarikan_Warkah[Nomor Tiket],Table_Tarikan_Warkah[Tanggal diserahkan kepada Validator]),"")</f>
        <v>45793.41041</v>
      </c>
      <c r="F2148" s="36" t="str">
        <f t="array" ref="F2148">IFNA(_xlfn.XLOOKUP(D2148,Table_Tarikan_Warkah[Nomor Tiket],Table_Tarikan_Warkah[Nama Petugas Warkah]),"")</f>
        <v>David</v>
      </c>
      <c r="G2148" s="39" t="str">
        <f t="array" ref="G2148">IFNA(_xlfn.XLOOKUP(D2148,Table_Tarikan_Warkah[Nomor Tiket],Table_Tarikan_Warkah[Jenis Permohonan]),"")</f>
        <v>BN Waris</v>
      </c>
      <c r="H2148" s="41" t="s">
        <v>20</v>
      </c>
      <c r="I2148" s="49" t="s">
        <v>23</v>
      </c>
      <c r="J2148" s="36">
        <f t="shared" si="20"/>
        <v>45786.66511</v>
      </c>
      <c r="K2148" s="49" t="s">
        <v>197</v>
      </c>
      <c r="L2148" s="49" t="s">
        <v>23</v>
      </c>
      <c r="M2148" s="36">
        <f t="shared" si="26"/>
        <v>45793.67431</v>
      </c>
      <c r="N2148" s="30" t="str">
        <f t="shared" si="27"/>
        <v>Selesai</v>
      </c>
      <c r="O2148" s="45">
        <f t="shared" si="23"/>
        <v>45793.67431</v>
      </c>
      <c r="P2148" s="47" t="b">
        <v>1</v>
      </c>
      <c r="Q2148" s="36">
        <f t="shared" si="24"/>
        <v>45793.67431</v>
      </c>
      <c r="R2148" s="47" t="b">
        <v>0</v>
      </c>
      <c r="S2148" s="42" t="str">
        <f t="shared" si="28"/>
        <v/>
      </c>
      <c r="T2148" s="42"/>
    </row>
    <row r="2149" ht="22.5" customHeight="1">
      <c r="B2149" s="42">
        <f t="shared" si="7"/>
        <v>2143</v>
      </c>
      <c r="C2149" s="31" t="s">
        <v>2247</v>
      </c>
      <c r="D2149" s="34" t="str">
        <f t="array" ref="D2149">IFNA(_xlfn.XLOOKUP(C2149,Table_Tarikan_Warkah[Nomor Sertipikat],Table_Tarikan_Warkah[Nomor Tiket]),"")</f>
        <v>K/28/300425/1</v>
      </c>
      <c r="E2149" s="36" t="str">
        <f t="array" ref="E2149">IFNA(_xlfn.XLOOKUP(D2149,Table_Tarikan_Warkah[Nomor Tiket],Table_Tarikan_Warkah[Tanggal diserahkan kepada Validator]),"")</f>
        <v/>
      </c>
      <c r="F2149" s="36" t="str">
        <f t="array" ref="F2149">IFNA(_xlfn.XLOOKUP(D2149,Table_Tarikan_Warkah[Nomor Tiket],Table_Tarikan_Warkah[Nama Petugas Warkah]),"")</f>
        <v/>
      </c>
      <c r="G2149" s="39" t="str">
        <f t="array" ref="G2149">IFNA(_xlfn.XLOOKUP(D2149,Table_Tarikan_Warkah[Nomor Tiket],Table_Tarikan_Warkah[Jenis Permohonan]),"")</f>
        <v>SERTIPIKAT RUSAK</v>
      </c>
      <c r="H2149" s="41" t="s">
        <v>20</v>
      </c>
      <c r="I2149" s="49" t="s">
        <v>23</v>
      </c>
      <c r="J2149" s="36">
        <f t="shared" si="20"/>
        <v>45791.65997</v>
      </c>
      <c r="K2149" s="49" t="s">
        <v>197</v>
      </c>
      <c r="L2149" s="49" t="s">
        <v>23</v>
      </c>
      <c r="M2149" s="36">
        <f t="shared" si="26"/>
        <v>45793.67431</v>
      </c>
      <c r="N2149" s="30" t="str">
        <f t="shared" si="27"/>
        <v>Selesai</v>
      </c>
      <c r="O2149" s="45">
        <f t="shared" si="23"/>
        <v>45793.67431</v>
      </c>
      <c r="P2149" s="47" t="b">
        <v>1</v>
      </c>
      <c r="Q2149" s="36">
        <f t="shared" si="24"/>
        <v>45793.67431</v>
      </c>
      <c r="R2149" s="47" t="b">
        <v>0</v>
      </c>
      <c r="S2149" s="42" t="str">
        <f t="shared" si="28"/>
        <v/>
      </c>
      <c r="T2149" s="42"/>
    </row>
    <row r="2150" ht="22.5" customHeight="1">
      <c r="B2150" s="42">
        <f t="shared" si="7"/>
        <v>2144</v>
      </c>
      <c r="C2150" s="31" t="s">
        <v>2248</v>
      </c>
      <c r="D2150" s="34" t="str">
        <f t="array" ref="D2150">IFNA(_xlfn.XLOOKUP(C2150,Table_Tarikan_Warkah[Nomor Sertipikat],Table_Tarikan_Warkah[Nomor Tiket]),"")</f>
        <v>K/2/170425/1</v>
      </c>
      <c r="E2150" s="36">
        <f t="array" ref="E2150">IFNA(_xlfn.XLOOKUP(D2150,Table_Tarikan_Warkah[Nomor Tiket],Table_Tarikan_Warkah[Tanggal diserahkan kepada Validator]),"")</f>
        <v>45812.60456</v>
      </c>
      <c r="F2150" s="36" t="str">
        <f t="array" ref="F2150">IFNA(_xlfn.XLOOKUP(D2150,Table_Tarikan_Warkah[Nomor Tiket],Table_Tarikan_Warkah[Nama Petugas Warkah]),"")</f>
        <v>Berry</v>
      </c>
      <c r="G2150" s="39" t="str">
        <f t="array" ref="G2150">IFNA(_xlfn.XLOOKUP(D2150,Table_Tarikan_Warkah[Nomor Tiket],Table_Tarikan_Warkah[Jenis Permohonan]),"")</f>
        <v>BN Hibah</v>
      </c>
      <c r="H2150" s="41" t="s">
        <v>20</v>
      </c>
      <c r="I2150" s="49" t="s">
        <v>23</v>
      </c>
      <c r="J2150" s="36">
        <f t="shared" si="20"/>
        <v>45791.66001</v>
      </c>
      <c r="K2150" s="49" t="s">
        <v>197</v>
      </c>
      <c r="L2150" s="49" t="s">
        <v>23</v>
      </c>
      <c r="M2150" s="36">
        <f t="shared" si="26"/>
        <v>45793.67431</v>
      </c>
      <c r="N2150" s="30" t="str">
        <f t="shared" si="27"/>
        <v>Selesai</v>
      </c>
      <c r="O2150" s="45">
        <f t="shared" si="23"/>
        <v>45793.67431</v>
      </c>
      <c r="P2150" s="47" t="b">
        <v>1</v>
      </c>
      <c r="Q2150" s="36">
        <f t="shared" si="24"/>
        <v>45793.67431</v>
      </c>
      <c r="R2150" s="47" t="b">
        <v>0</v>
      </c>
      <c r="S2150" s="42" t="str">
        <f t="shared" si="28"/>
        <v/>
      </c>
      <c r="T2150" s="42"/>
    </row>
    <row r="2151" ht="22.5" customHeight="1">
      <c r="B2151" s="42">
        <f t="shared" si="7"/>
        <v>2145</v>
      </c>
      <c r="C2151" s="31" t="s">
        <v>2249</v>
      </c>
      <c r="D2151" s="34" t="str">
        <f t="array" ref="D2151">IFNA(_xlfn.XLOOKUP(C2151,Table_Tarikan_Warkah[Nomor Sertipikat],Table_Tarikan_Warkah[Nomor Tiket]),"")</f>
        <v>K/36/240425/2</v>
      </c>
      <c r="E2151" s="36">
        <f t="array" ref="E2151">IFNA(_xlfn.XLOOKUP(D2151,Table_Tarikan_Warkah[Nomor Tiket],Table_Tarikan_Warkah[Tanggal diserahkan kepada Validator]),"")</f>
        <v>45824.62597</v>
      </c>
      <c r="F2151" s="36" t="str">
        <f t="array" ref="F2151">IFNA(_xlfn.XLOOKUP(D2151,Table_Tarikan_Warkah[Nomor Tiket],Table_Tarikan_Warkah[Nama Petugas Warkah]),"")</f>
        <v>David</v>
      </c>
      <c r="G2151" s="39" t="str">
        <f t="array" ref="G2151">IFNA(_xlfn.XLOOKUP(D2151,Table_Tarikan_Warkah[Nomor Tiket],Table_Tarikan_Warkah[Jenis Permohonan]),"")</f>
        <v>GANTI NAMA HT</v>
      </c>
      <c r="H2151" s="41" t="s">
        <v>20</v>
      </c>
      <c r="I2151" s="49" t="s">
        <v>23</v>
      </c>
      <c r="J2151" s="36">
        <f t="shared" si="20"/>
        <v>45791.66011</v>
      </c>
      <c r="K2151" s="49" t="s">
        <v>197</v>
      </c>
      <c r="L2151" s="49" t="s">
        <v>23</v>
      </c>
      <c r="M2151" s="36">
        <f t="shared" si="26"/>
        <v>45793.67431</v>
      </c>
      <c r="N2151" s="30" t="str">
        <f t="shared" si="27"/>
        <v>Selesai</v>
      </c>
      <c r="O2151" s="45">
        <f t="shared" si="23"/>
        <v>45793.67431</v>
      </c>
      <c r="P2151" s="47" t="b">
        <v>1</v>
      </c>
      <c r="Q2151" s="36">
        <f t="shared" si="24"/>
        <v>45793.67431</v>
      </c>
      <c r="R2151" s="47" t="b">
        <v>0</v>
      </c>
      <c r="S2151" s="42" t="str">
        <f t="shared" si="28"/>
        <v/>
      </c>
      <c r="T2151" s="42"/>
    </row>
    <row r="2152" ht="22.5" customHeight="1">
      <c r="B2152" s="42">
        <f t="shared" si="7"/>
        <v>2146</v>
      </c>
      <c r="C2152" s="31" t="s">
        <v>2250</v>
      </c>
      <c r="D2152" s="34" t="str">
        <f t="array" ref="D2152">IFNA(_xlfn.XLOOKUP(C2152,Table_Tarikan_Warkah[Nomor Sertipikat],Table_Tarikan_Warkah[Nomor Tiket]),"")</f>
        <v>K/15/110325/1</v>
      </c>
      <c r="E2152" s="36">
        <f t="array" ref="E2152">IFNA(_xlfn.XLOOKUP(D2152,Table_Tarikan_Warkah[Nomor Tiket],Table_Tarikan_Warkah[Tanggal diserahkan kepada Validator]),"")</f>
        <v>45799.7072</v>
      </c>
      <c r="F2152" s="36" t="str">
        <f t="array" ref="F2152">IFNA(_xlfn.XLOOKUP(D2152,Table_Tarikan_Warkah[Nomor Tiket],Table_Tarikan_Warkah[Nama Petugas Warkah]),"")</f>
        <v>Berry</v>
      </c>
      <c r="G2152" s="39" t="str">
        <f t="array" ref="G2152">IFNA(_xlfn.XLOOKUP(D2152,Table_Tarikan_Warkah[Nomor Tiket],Table_Tarikan_Warkah[Jenis Permohonan]),"")</f>
        <v>BN JUAL BELI</v>
      </c>
      <c r="H2152" s="41" t="s">
        <v>20</v>
      </c>
      <c r="I2152" s="49" t="s">
        <v>23</v>
      </c>
      <c r="J2152" s="36">
        <f t="shared" si="20"/>
        <v>45791.6602</v>
      </c>
      <c r="K2152" s="49" t="s">
        <v>197</v>
      </c>
      <c r="L2152" s="49" t="s">
        <v>23</v>
      </c>
      <c r="M2152" s="36">
        <f t="shared" si="26"/>
        <v>45793.67431</v>
      </c>
      <c r="N2152" s="30" t="str">
        <f t="shared" si="27"/>
        <v>Selesai</v>
      </c>
      <c r="O2152" s="45">
        <f t="shared" si="23"/>
        <v>45793.67431</v>
      </c>
      <c r="P2152" s="47" t="b">
        <v>1</v>
      </c>
      <c r="Q2152" s="36">
        <f t="shared" si="24"/>
        <v>45793.67431</v>
      </c>
      <c r="R2152" s="47" t="b">
        <v>0</v>
      </c>
      <c r="S2152" s="42" t="str">
        <f t="shared" si="28"/>
        <v/>
      </c>
      <c r="T2152" s="42"/>
    </row>
    <row r="2153" ht="22.5" customHeight="1">
      <c r="B2153" s="42">
        <f t="shared" si="7"/>
        <v>2147</v>
      </c>
      <c r="C2153" s="31" t="s">
        <v>2251</v>
      </c>
      <c r="D2153" s="34" t="str">
        <f t="array" ref="D2153">IFNA(_xlfn.XLOOKUP(C2153,Table_Tarikan_Warkah[Nomor Sertipikat],Table_Tarikan_Warkah[Nomor Tiket]),"")</f>
        <v>K/9/060525/2</v>
      </c>
      <c r="E2153" s="36">
        <f t="array" ref="E2153">IFNA(_xlfn.XLOOKUP(D2153,Table_Tarikan_Warkah[Nomor Tiket],Table_Tarikan_Warkah[Tanggal diserahkan kepada Validator]),"")</f>
        <v>45799.70792</v>
      </c>
      <c r="F2153" s="36" t="str">
        <f t="array" ref="F2153">IFNA(_xlfn.XLOOKUP(D2153,Table_Tarikan_Warkah[Nomor Tiket],Table_Tarikan_Warkah[Nama Petugas Warkah]),"")</f>
        <v>Berry</v>
      </c>
      <c r="G2153" s="39" t="str">
        <f t="array" ref="G2153">IFNA(_xlfn.XLOOKUP(D2153,Table_Tarikan_Warkah[Nomor Tiket],Table_Tarikan_Warkah[Jenis Permohonan]),"")</f>
        <v>BN JUAL BELI</v>
      </c>
      <c r="H2153" s="41" t="s">
        <v>20</v>
      </c>
      <c r="I2153" s="49" t="s">
        <v>23</v>
      </c>
      <c r="J2153" s="36">
        <f t="shared" si="20"/>
        <v>45791.66027</v>
      </c>
      <c r="K2153" s="49" t="s">
        <v>197</v>
      </c>
      <c r="L2153" s="49" t="s">
        <v>23</v>
      </c>
      <c r="M2153" s="36">
        <f t="shared" si="26"/>
        <v>45793.67431</v>
      </c>
      <c r="N2153" s="30" t="str">
        <f t="shared" si="27"/>
        <v>Selesai</v>
      </c>
      <c r="O2153" s="45">
        <f t="shared" si="23"/>
        <v>45793.67431</v>
      </c>
      <c r="P2153" s="47" t="b">
        <v>1</v>
      </c>
      <c r="Q2153" s="36">
        <f t="shared" si="24"/>
        <v>45793.67431</v>
      </c>
      <c r="R2153" s="47" t="b">
        <v>0</v>
      </c>
      <c r="S2153" s="42" t="str">
        <f t="shared" si="28"/>
        <v/>
      </c>
      <c r="T2153" s="42"/>
    </row>
    <row r="2154" ht="22.5" customHeight="1">
      <c r="B2154" s="42">
        <f t="shared" si="7"/>
        <v>2148</v>
      </c>
      <c r="C2154" s="31" t="s">
        <v>2252</v>
      </c>
      <c r="D2154" s="34" t="str">
        <f t="array" ref="D2154">IFNA(_xlfn.XLOOKUP(C2154,Table_Tarikan_Warkah[Nomor Sertipikat],Table_Tarikan_Warkah[Nomor Tiket]),"")</f>
        <v>L/3/060525/1</v>
      </c>
      <c r="E2154" s="36">
        <f t="array" ref="E2154">IFNA(_xlfn.XLOOKUP(D2154,Table_Tarikan_Warkah[Nomor Tiket],Table_Tarikan_Warkah[Tanggal diserahkan kepada Validator]),"")</f>
        <v>45813.47732</v>
      </c>
      <c r="F2154" s="36" t="str">
        <f t="array" ref="F2154">IFNA(_xlfn.XLOOKUP(D2154,Table_Tarikan_Warkah[Nomor Tiket],Table_Tarikan_Warkah[Nama Petugas Warkah]),"")</f>
        <v>David</v>
      </c>
      <c r="G2154" s="39" t="str">
        <f t="array" ref="G2154">IFNA(_xlfn.XLOOKUP(D2154,Table_Tarikan_Warkah[Nomor Tiket],Table_Tarikan_Warkah[Jenis Permohonan]),"")</f>
        <v>ROYA</v>
      </c>
      <c r="H2154" s="41" t="s">
        <v>20</v>
      </c>
      <c r="I2154" s="49" t="s">
        <v>23</v>
      </c>
      <c r="J2154" s="36">
        <f t="shared" si="20"/>
        <v>45791.66035</v>
      </c>
      <c r="K2154" s="49" t="s">
        <v>197</v>
      </c>
      <c r="L2154" s="49" t="s">
        <v>23</v>
      </c>
      <c r="M2154" s="36">
        <f t="shared" si="26"/>
        <v>45793.67431</v>
      </c>
      <c r="N2154" s="30" t="str">
        <f t="shared" si="27"/>
        <v>Selesai</v>
      </c>
      <c r="O2154" s="45">
        <f t="shared" si="23"/>
        <v>45793.67431</v>
      </c>
      <c r="P2154" s="47" t="b">
        <v>1</v>
      </c>
      <c r="Q2154" s="36">
        <f t="shared" si="24"/>
        <v>45793.67431</v>
      </c>
      <c r="R2154" s="47" t="b">
        <v>0</v>
      </c>
      <c r="S2154" s="42" t="str">
        <f t="shared" si="28"/>
        <v/>
      </c>
      <c r="T2154" s="42"/>
    </row>
    <row r="2155" ht="22.5" customHeight="1">
      <c r="B2155" s="42">
        <f t="shared" si="7"/>
        <v>2149</v>
      </c>
      <c r="C2155" s="31" t="s">
        <v>2253</v>
      </c>
      <c r="D2155" s="34" t="str">
        <f t="array" ref="D2155">IFNA(_xlfn.XLOOKUP(C2155,Table_Tarikan_Warkah[Nomor Sertipikat],Table_Tarikan_Warkah[Nomor Tiket]),"")</f>
        <v>L/2/030525/1</v>
      </c>
      <c r="E2155" s="36">
        <f t="array" ref="E2155">IFNA(_xlfn.XLOOKUP(D2155,Table_Tarikan_Warkah[Nomor Tiket],Table_Tarikan_Warkah[Tanggal diserahkan kepada Validator]),"")</f>
        <v>45803.48175</v>
      </c>
      <c r="F2155" s="36" t="str">
        <f t="array" ref="F2155">IFNA(_xlfn.XLOOKUP(D2155,Table_Tarikan_Warkah[Nomor Tiket],Table_Tarikan_Warkah[Nama Petugas Warkah]),"")</f>
        <v>David</v>
      </c>
      <c r="G2155" s="39" t="str">
        <f t="array" ref="G2155">IFNA(_xlfn.XLOOKUP(D2155,Table_Tarikan_Warkah[Nomor Tiket],Table_Tarikan_Warkah[Jenis Permohonan]),"")</f>
        <v>ROYA</v>
      </c>
      <c r="H2155" s="41" t="s">
        <v>20</v>
      </c>
      <c r="I2155" s="49" t="s">
        <v>23</v>
      </c>
      <c r="J2155" s="36">
        <f t="shared" si="20"/>
        <v>45791.6605</v>
      </c>
      <c r="K2155" s="49" t="s">
        <v>197</v>
      </c>
      <c r="L2155" s="49" t="s">
        <v>23</v>
      </c>
      <c r="M2155" s="36">
        <f t="shared" si="26"/>
        <v>45793.67431</v>
      </c>
      <c r="N2155" s="30" t="str">
        <f t="shared" si="27"/>
        <v>Selesai</v>
      </c>
      <c r="O2155" s="45">
        <f t="shared" si="23"/>
        <v>45793.67431</v>
      </c>
      <c r="P2155" s="47" t="b">
        <v>1</v>
      </c>
      <c r="Q2155" s="36">
        <f t="shared" si="24"/>
        <v>45793.67431</v>
      </c>
      <c r="R2155" s="47" t="b">
        <v>0</v>
      </c>
      <c r="S2155" s="42" t="str">
        <f t="shared" si="28"/>
        <v/>
      </c>
      <c r="T2155" s="42"/>
    </row>
    <row r="2156" ht="22.5" customHeight="1">
      <c r="B2156" s="42">
        <f t="shared" si="7"/>
        <v>2150</v>
      </c>
      <c r="C2156" s="31" t="s">
        <v>2254</v>
      </c>
      <c r="D2156" s="34" t="str">
        <f t="array" ref="D2156">IFNA(_xlfn.XLOOKUP(C2156,Table_Tarikan_Warkah[Nomor Sertipikat],Table_Tarikan_Warkah[Nomor Tiket]),"")</f>
        <v>L/13/050525/1</v>
      </c>
      <c r="E2156" s="36">
        <f t="array" ref="E2156">IFNA(_xlfn.XLOOKUP(D2156,Table_Tarikan_Warkah[Nomor Tiket],Table_Tarikan_Warkah[Tanggal diserahkan kepada Validator]),"")</f>
        <v>45813.47849</v>
      </c>
      <c r="F2156" s="36" t="str">
        <f t="array" ref="F2156">IFNA(_xlfn.XLOOKUP(D2156,Table_Tarikan_Warkah[Nomor Tiket],Table_Tarikan_Warkah[Nama Petugas Warkah]),"")</f>
        <v>David</v>
      </c>
      <c r="G2156" s="39" t="str">
        <f t="array" ref="G2156">IFNA(_xlfn.XLOOKUP(D2156,Table_Tarikan_Warkah[Nomor Tiket],Table_Tarikan_Warkah[Jenis Permohonan]),"")</f>
        <v>ROYA</v>
      </c>
      <c r="H2156" s="41" t="s">
        <v>20</v>
      </c>
      <c r="I2156" s="49" t="s">
        <v>23</v>
      </c>
      <c r="J2156" s="36">
        <f t="shared" si="20"/>
        <v>45791.66058</v>
      </c>
      <c r="K2156" s="49" t="s">
        <v>197</v>
      </c>
      <c r="L2156" s="49" t="s">
        <v>23</v>
      </c>
      <c r="M2156" s="36">
        <f t="shared" si="26"/>
        <v>45793.67431</v>
      </c>
      <c r="N2156" s="30" t="str">
        <f t="shared" si="27"/>
        <v>Selesai</v>
      </c>
      <c r="O2156" s="45">
        <f t="shared" si="23"/>
        <v>45793.67431</v>
      </c>
      <c r="P2156" s="47" t="b">
        <v>1</v>
      </c>
      <c r="Q2156" s="36">
        <f t="shared" si="24"/>
        <v>45793.67431</v>
      </c>
      <c r="R2156" s="47" t="b">
        <v>0</v>
      </c>
      <c r="S2156" s="42" t="str">
        <f t="shared" si="28"/>
        <v/>
      </c>
      <c r="T2156" s="42"/>
    </row>
    <row r="2157" ht="22.5" customHeight="1">
      <c r="B2157" s="42">
        <f t="shared" si="7"/>
        <v>2151</v>
      </c>
      <c r="C2157" s="31" t="s">
        <v>2255</v>
      </c>
      <c r="D2157" s="34" t="str">
        <f t="array" ref="D2157">IFNA(_xlfn.XLOOKUP(C2157,Table_Tarikan_Warkah[Nomor Sertipikat],Table_Tarikan_Warkah[Nomor Tiket]),"")</f>
        <v>K/10/160425/1</v>
      </c>
      <c r="E2157" s="36">
        <f t="array" ref="E2157">IFNA(_xlfn.XLOOKUP(D2157,Table_Tarikan_Warkah[Nomor Tiket],Table_Tarikan_Warkah[Tanggal diserahkan kepada Validator]),"")</f>
        <v>45793.4166</v>
      </c>
      <c r="F2157" s="36" t="str">
        <f t="array" ref="F2157">IFNA(_xlfn.XLOOKUP(D2157,Table_Tarikan_Warkah[Nomor Tiket],Table_Tarikan_Warkah[Nama Petugas Warkah]),"")</f>
        <v>David</v>
      </c>
      <c r="G2157" s="39" t="str">
        <f t="array" ref="G2157">IFNA(_xlfn.XLOOKUP(D2157,Table_Tarikan_Warkah[Nomor Tiket],Table_Tarikan_Warkah[Jenis Permohonan]),"")</f>
        <v>BN JUAL BELI</v>
      </c>
      <c r="H2157" s="41" t="s">
        <v>20</v>
      </c>
      <c r="I2157" s="49" t="s">
        <v>23</v>
      </c>
      <c r="J2157" s="36">
        <f t="shared" si="20"/>
        <v>45791.66089</v>
      </c>
      <c r="K2157" s="49" t="s">
        <v>197</v>
      </c>
      <c r="L2157" s="49" t="s">
        <v>23</v>
      </c>
      <c r="M2157" s="36">
        <f t="shared" si="26"/>
        <v>45793.67431</v>
      </c>
      <c r="N2157" s="30" t="str">
        <f t="shared" si="27"/>
        <v>Selesai</v>
      </c>
      <c r="O2157" s="45">
        <f t="shared" si="23"/>
        <v>45793.67431</v>
      </c>
      <c r="P2157" s="47" t="b">
        <v>1</v>
      </c>
      <c r="Q2157" s="36">
        <f t="shared" si="24"/>
        <v>45793.67431</v>
      </c>
      <c r="R2157" s="47" t="b">
        <v>0</v>
      </c>
      <c r="S2157" s="42" t="str">
        <f t="shared" si="28"/>
        <v/>
      </c>
      <c r="T2157" s="42"/>
    </row>
    <row r="2158" ht="22.5" customHeight="1">
      <c r="B2158" s="42">
        <f t="shared" si="7"/>
        <v>2152</v>
      </c>
      <c r="C2158" s="31" t="s">
        <v>2256</v>
      </c>
      <c r="D2158" s="34" t="str">
        <f t="array" ref="D2158">IFNA(_xlfn.XLOOKUP(C2158,Table_Tarikan_Warkah[Nomor Sertipikat],Table_Tarikan_Warkah[Nomor Tiket]),"")</f>
        <v>K/19/240425/2</v>
      </c>
      <c r="E2158" s="36" t="str">
        <f t="array" ref="E2158">IFNA(_xlfn.XLOOKUP(D2158,Table_Tarikan_Warkah[Nomor Tiket],Table_Tarikan_Warkah[Tanggal diserahkan kepada Validator]),"")</f>
        <v/>
      </c>
      <c r="F2158" s="36" t="str">
        <f t="array" ref="F2158">IFNA(_xlfn.XLOOKUP(D2158,Table_Tarikan_Warkah[Nomor Tiket],Table_Tarikan_Warkah[Nama Petugas Warkah]),"")</f>
        <v/>
      </c>
      <c r="G2158" s="39" t="str">
        <f t="array" ref="G2158">IFNA(_xlfn.XLOOKUP(D2158,Table_Tarikan_Warkah[Nomor Tiket],Table_Tarikan_Warkah[Jenis Permohonan]),"")</f>
        <v>BN JUAL BELI</v>
      </c>
      <c r="H2158" s="41" t="s">
        <v>20</v>
      </c>
      <c r="I2158" s="49" t="s">
        <v>23</v>
      </c>
      <c r="J2158" s="36">
        <f t="shared" si="20"/>
        <v>45791.66104</v>
      </c>
      <c r="K2158" s="49" t="s">
        <v>197</v>
      </c>
      <c r="L2158" s="49" t="s">
        <v>23</v>
      </c>
      <c r="M2158" s="36">
        <f t="shared" si="26"/>
        <v>45793.67431</v>
      </c>
      <c r="N2158" s="30" t="str">
        <f t="shared" si="27"/>
        <v>Selesai</v>
      </c>
      <c r="O2158" s="45">
        <f t="shared" si="23"/>
        <v>45793.67431</v>
      </c>
      <c r="P2158" s="47" t="b">
        <v>1</v>
      </c>
      <c r="Q2158" s="36">
        <f t="shared" si="24"/>
        <v>45793.67431</v>
      </c>
      <c r="R2158" s="47" t="b">
        <v>0</v>
      </c>
      <c r="S2158" s="42" t="str">
        <f t="shared" si="28"/>
        <v/>
      </c>
      <c r="T2158" s="42"/>
    </row>
    <row r="2159" ht="22.5" customHeight="1">
      <c r="B2159" s="42">
        <f t="shared" si="7"/>
        <v>2153</v>
      </c>
      <c r="C2159" s="31" t="s">
        <v>2257</v>
      </c>
      <c r="D2159" s="34" t="str">
        <f t="array" ref="D2159">IFNA(_xlfn.XLOOKUP(C2159,Table_Tarikan_Warkah[Nomor Sertipikat],Table_Tarikan_Warkah[Nomor Tiket]),"")</f>
        <v>L/28/050525/1</v>
      </c>
      <c r="E2159" s="36">
        <f t="array" ref="E2159">IFNA(_xlfn.XLOOKUP(D2159,Table_Tarikan_Warkah[Nomor Tiket],Table_Tarikan_Warkah[Tanggal diserahkan kepada Validator]),"")</f>
        <v>45803.48138</v>
      </c>
      <c r="F2159" s="36" t="str">
        <f t="array" ref="F2159">IFNA(_xlfn.XLOOKUP(D2159,Table_Tarikan_Warkah[Nomor Tiket],Table_Tarikan_Warkah[Nama Petugas Warkah]),"")</f>
        <v>David</v>
      </c>
      <c r="G2159" s="39" t="str">
        <f t="array" ref="G2159">IFNA(_xlfn.XLOOKUP(D2159,Table_Tarikan_Warkah[Nomor Tiket],Table_Tarikan_Warkah[Jenis Permohonan]),"")</f>
        <v>ROYA</v>
      </c>
      <c r="H2159" s="41" t="s">
        <v>20</v>
      </c>
      <c r="I2159" s="49" t="s">
        <v>23</v>
      </c>
      <c r="J2159" s="36">
        <f t="shared" si="20"/>
        <v>45791.66122</v>
      </c>
      <c r="K2159" s="49" t="s">
        <v>197</v>
      </c>
      <c r="L2159" s="49" t="s">
        <v>23</v>
      </c>
      <c r="M2159" s="36">
        <f t="shared" si="26"/>
        <v>45793.67431</v>
      </c>
      <c r="N2159" s="30" t="str">
        <f t="shared" si="27"/>
        <v>Selesai</v>
      </c>
      <c r="O2159" s="45">
        <f t="shared" si="23"/>
        <v>45793.67431</v>
      </c>
      <c r="P2159" s="47" t="b">
        <v>1</v>
      </c>
      <c r="Q2159" s="36">
        <f t="shared" si="24"/>
        <v>45793.67431</v>
      </c>
      <c r="R2159" s="47" t="b">
        <v>0</v>
      </c>
      <c r="S2159" s="42" t="str">
        <f t="shared" si="28"/>
        <v/>
      </c>
      <c r="T2159" s="42"/>
    </row>
    <row r="2160" ht="22.5" customHeight="1">
      <c r="B2160" s="42">
        <f t="shared" si="7"/>
        <v>2154</v>
      </c>
      <c r="C2160" s="31" t="s">
        <v>2258</v>
      </c>
      <c r="D2160" s="34" t="str">
        <f t="array" ref="D2160">IFNA(_xlfn.XLOOKUP(C2160,Table_Tarikan_Warkah[Nomor Sertipikat],Table_Tarikan_Warkah[Nomor Tiket]),"")</f>
        <v>K/16/290425/1</v>
      </c>
      <c r="E2160" s="36">
        <f t="array" ref="E2160">IFNA(_xlfn.XLOOKUP(D2160,Table_Tarikan_Warkah[Nomor Tiket],Table_Tarikan_Warkah[Tanggal diserahkan kepada Validator]),"")</f>
        <v>45793.41903</v>
      </c>
      <c r="F2160" s="36" t="str">
        <f t="array" ref="F2160">IFNA(_xlfn.XLOOKUP(D2160,Table_Tarikan_Warkah[Nomor Tiket],Table_Tarikan_Warkah[Nama Petugas Warkah]),"")</f>
        <v>David</v>
      </c>
      <c r="G2160" s="39" t="str">
        <f t="array" ref="G2160">IFNA(_xlfn.XLOOKUP(D2160,Table_Tarikan_Warkah[Nomor Tiket],Table_Tarikan_Warkah[Jenis Permohonan]),"")</f>
        <v>BN Jual Beli</v>
      </c>
      <c r="H2160" s="41" t="s">
        <v>20</v>
      </c>
      <c r="I2160" s="49" t="s">
        <v>23</v>
      </c>
      <c r="J2160" s="36">
        <f t="shared" si="20"/>
        <v>45791.66135</v>
      </c>
      <c r="K2160" s="49" t="s">
        <v>197</v>
      </c>
      <c r="L2160" s="49" t="s">
        <v>23</v>
      </c>
      <c r="M2160" s="36">
        <f t="shared" si="26"/>
        <v>45793.67431</v>
      </c>
      <c r="N2160" s="30" t="str">
        <f t="shared" si="27"/>
        <v>Selesai</v>
      </c>
      <c r="O2160" s="45">
        <f t="shared" si="23"/>
        <v>45793.67431</v>
      </c>
      <c r="P2160" s="47" t="b">
        <v>1</v>
      </c>
      <c r="Q2160" s="36">
        <f t="shared" si="24"/>
        <v>45793.67431</v>
      </c>
      <c r="R2160" s="47" t="b">
        <v>0</v>
      </c>
      <c r="S2160" s="42" t="str">
        <f t="shared" si="28"/>
        <v/>
      </c>
      <c r="T2160" s="42"/>
    </row>
    <row r="2161" ht="22.5" customHeight="1">
      <c r="B2161" s="42">
        <f t="shared" si="7"/>
        <v>2155</v>
      </c>
      <c r="C2161" s="31" t="s">
        <v>2259</v>
      </c>
      <c r="D2161" s="34" t="str">
        <f t="array" ref="D2161">IFNA(_xlfn.XLOOKUP(C2161,Table_Tarikan_Warkah[Nomor Sertipikat],Table_Tarikan_Warkah[Nomor Tiket]),"")</f>
        <v>K/9/150425/1</v>
      </c>
      <c r="E2161" s="36">
        <f t="array" ref="E2161">IFNA(_xlfn.XLOOKUP(D2161,Table_Tarikan_Warkah[Nomor Tiket],Table_Tarikan_Warkah[Tanggal diserahkan kepada Validator]),"")</f>
        <v>45813.47754</v>
      </c>
      <c r="F2161" s="36" t="str">
        <f t="array" ref="F2161">IFNA(_xlfn.XLOOKUP(D2161,Table_Tarikan_Warkah[Nomor Tiket],Table_Tarikan_Warkah[Nama Petugas Warkah]),"")</f>
        <v>David</v>
      </c>
      <c r="G2161" s="39" t="str">
        <f t="array" ref="G2161">IFNA(_xlfn.XLOOKUP(D2161,Table_Tarikan_Warkah[Nomor Tiket],Table_Tarikan_Warkah[Jenis Permohonan]),"")</f>
        <v>ROYA</v>
      </c>
      <c r="H2161" s="41" t="s">
        <v>20</v>
      </c>
      <c r="I2161" s="49" t="s">
        <v>23</v>
      </c>
      <c r="J2161" s="36">
        <f t="shared" si="20"/>
        <v>45791.66146</v>
      </c>
      <c r="K2161" s="49" t="s">
        <v>197</v>
      </c>
      <c r="L2161" s="49" t="s">
        <v>23</v>
      </c>
      <c r="M2161" s="36">
        <f t="shared" si="26"/>
        <v>45793.67431</v>
      </c>
      <c r="N2161" s="30" t="str">
        <f t="shared" si="27"/>
        <v>Selesai</v>
      </c>
      <c r="O2161" s="45">
        <f t="shared" si="23"/>
        <v>45793.67431</v>
      </c>
      <c r="P2161" s="47" t="b">
        <v>1</v>
      </c>
      <c r="Q2161" s="36">
        <f t="shared" si="24"/>
        <v>45793.67431</v>
      </c>
      <c r="R2161" s="47" t="b">
        <v>0</v>
      </c>
      <c r="S2161" s="42" t="str">
        <f t="shared" si="28"/>
        <v/>
      </c>
      <c r="T2161" s="42"/>
    </row>
    <row r="2162" ht="22.5" customHeight="1">
      <c r="B2162" s="42">
        <f t="shared" si="7"/>
        <v>2156</v>
      </c>
      <c r="C2162" s="31" t="s">
        <v>2260</v>
      </c>
      <c r="D2162" s="34" t="str">
        <f t="array" ref="D2162">IFNA(_xlfn.XLOOKUP(C2162,Table_Tarikan_Warkah[Nomor Sertipikat],Table_Tarikan_Warkah[Nomor Tiket]),"")</f>
        <v>K/13/220425/1</v>
      </c>
      <c r="E2162" s="36">
        <f t="array" ref="E2162">IFNA(_xlfn.XLOOKUP(D2162,Table_Tarikan_Warkah[Nomor Tiket],Table_Tarikan_Warkah[Tanggal diserahkan kepada Validator]),"")</f>
        <v>45813.47832</v>
      </c>
      <c r="F2162" s="36" t="str">
        <f t="array" ref="F2162">IFNA(_xlfn.XLOOKUP(D2162,Table_Tarikan_Warkah[Nomor Tiket],Table_Tarikan_Warkah[Nama Petugas Warkah]),"")</f>
        <v>David</v>
      </c>
      <c r="G2162" s="39" t="str">
        <f t="array" ref="G2162">IFNA(_xlfn.XLOOKUP(D2162,Table_Tarikan_Warkah[Nomor Tiket],Table_Tarikan_Warkah[Jenis Permohonan]),"")</f>
        <v>ROYA</v>
      </c>
      <c r="H2162" s="41" t="s">
        <v>20</v>
      </c>
      <c r="I2162" s="49" t="s">
        <v>23</v>
      </c>
      <c r="J2162" s="36">
        <f t="shared" si="20"/>
        <v>45791.66155</v>
      </c>
      <c r="K2162" s="49" t="s">
        <v>197</v>
      </c>
      <c r="L2162" s="49" t="s">
        <v>23</v>
      </c>
      <c r="M2162" s="36">
        <f t="shared" si="26"/>
        <v>45793.67431</v>
      </c>
      <c r="N2162" s="30" t="str">
        <f t="shared" si="27"/>
        <v>Selesai</v>
      </c>
      <c r="O2162" s="45">
        <f t="shared" si="23"/>
        <v>45793.67431</v>
      </c>
      <c r="P2162" s="47" t="b">
        <v>1</v>
      </c>
      <c r="Q2162" s="36">
        <f t="shared" si="24"/>
        <v>45793.67431</v>
      </c>
      <c r="R2162" s="47" t="b">
        <v>0</v>
      </c>
      <c r="S2162" s="42" t="str">
        <f t="shared" si="28"/>
        <v/>
      </c>
      <c r="T2162" s="42"/>
    </row>
    <row r="2163" ht="22.5" customHeight="1">
      <c r="B2163" s="42">
        <f t="shared" si="7"/>
        <v>2157</v>
      </c>
      <c r="C2163" s="31" t="s">
        <v>2261</v>
      </c>
      <c r="D2163" s="34" t="str">
        <f t="array" ref="D2163">IFNA(_xlfn.XLOOKUP(C2163,Table_Tarikan_Warkah[Nomor Sertipikat],Table_Tarikan_Warkah[Nomor Tiket]),"")</f>
        <v>K/9/210425/1</v>
      </c>
      <c r="E2163" s="36">
        <f t="array" ref="E2163">IFNA(_xlfn.XLOOKUP(D2163,Table_Tarikan_Warkah[Nomor Tiket],Table_Tarikan_Warkah[Tanggal diserahkan kepada Validator]),"")</f>
        <v>45819.3755</v>
      </c>
      <c r="F2163" s="36" t="str">
        <f t="array" ref="F2163">IFNA(_xlfn.XLOOKUP(D2163,Table_Tarikan_Warkah[Nomor Tiket],Table_Tarikan_Warkah[Nama Petugas Warkah]),"")</f>
        <v>David</v>
      </c>
      <c r="G2163" s="39" t="str">
        <f t="array" ref="G2163">IFNA(_xlfn.XLOOKUP(D2163,Table_Tarikan_Warkah[Nomor Tiket],Table_Tarikan_Warkah[Jenis Permohonan]),"")</f>
        <v>ROYA</v>
      </c>
      <c r="H2163" s="41" t="s">
        <v>20</v>
      </c>
      <c r="I2163" s="49" t="s">
        <v>23</v>
      </c>
      <c r="J2163" s="36">
        <f t="shared" si="20"/>
        <v>45791.66163</v>
      </c>
      <c r="K2163" s="49" t="s">
        <v>197</v>
      </c>
      <c r="L2163" s="49" t="s">
        <v>23</v>
      </c>
      <c r="M2163" s="36">
        <f t="shared" si="26"/>
        <v>45793.67431</v>
      </c>
      <c r="N2163" s="30" t="str">
        <f t="shared" si="27"/>
        <v>Selesai</v>
      </c>
      <c r="O2163" s="45">
        <f t="shared" si="23"/>
        <v>45793.67431</v>
      </c>
      <c r="P2163" s="47" t="b">
        <v>1</v>
      </c>
      <c r="Q2163" s="36">
        <f t="shared" si="24"/>
        <v>45793.67431</v>
      </c>
      <c r="R2163" s="47" t="b">
        <v>0</v>
      </c>
      <c r="S2163" s="42" t="str">
        <f t="shared" si="28"/>
        <v/>
      </c>
      <c r="T2163" s="42"/>
    </row>
    <row r="2164" ht="22.5" customHeight="1">
      <c r="B2164" s="42">
        <f t="shared" si="7"/>
        <v>2158</v>
      </c>
      <c r="C2164" s="31" t="s">
        <v>2262</v>
      </c>
      <c r="D2164" s="34" t="str">
        <f t="array" ref="D2164">IFNA(_xlfn.XLOOKUP(C2164,Table_Tarikan_Warkah[Nomor Sertipikat],Table_Tarikan_Warkah[Nomor Tiket]),"")</f>
        <v>K/1/050525/1</v>
      </c>
      <c r="E2164" s="36">
        <f t="array" ref="E2164">IFNA(_xlfn.XLOOKUP(D2164,Table_Tarikan_Warkah[Nomor Tiket],Table_Tarikan_Warkah[Tanggal diserahkan kepada Validator]),"")</f>
        <v>45803.48203</v>
      </c>
      <c r="F2164" s="36" t="str">
        <f t="array" ref="F2164">IFNA(_xlfn.XLOOKUP(D2164,Table_Tarikan_Warkah[Nomor Tiket],Table_Tarikan_Warkah[Nama Petugas Warkah]),"")</f>
        <v>David</v>
      </c>
      <c r="G2164" s="39" t="str">
        <f t="array" ref="G2164">IFNA(_xlfn.XLOOKUP(D2164,Table_Tarikan_Warkah[Nomor Tiket],Table_Tarikan_Warkah[Jenis Permohonan]),"")</f>
        <v>ROYA</v>
      </c>
      <c r="H2164" s="41" t="s">
        <v>20</v>
      </c>
      <c r="I2164" s="49" t="s">
        <v>23</v>
      </c>
      <c r="J2164" s="36">
        <f t="shared" si="20"/>
        <v>45791.66172</v>
      </c>
      <c r="K2164" s="49" t="s">
        <v>197</v>
      </c>
      <c r="L2164" s="49" t="s">
        <v>23</v>
      </c>
      <c r="M2164" s="36">
        <f t="shared" si="26"/>
        <v>45793.67431</v>
      </c>
      <c r="N2164" s="30" t="str">
        <f t="shared" si="27"/>
        <v>Selesai</v>
      </c>
      <c r="O2164" s="45">
        <f t="shared" si="23"/>
        <v>45793.67431</v>
      </c>
      <c r="P2164" s="47" t="b">
        <v>1</v>
      </c>
      <c r="Q2164" s="36">
        <f t="shared" si="24"/>
        <v>45793.67431</v>
      </c>
      <c r="R2164" s="47" t="b">
        <v>0</v>
      </c>
      <c r="S2164" s="42" t="str">
        <f t="shared" si="28"/>
        <v/>
      </c>
      <c r="T2164" s="42"/>
    </row>
    <row r="2165" ht="22.5" customHeight="1">
      <c r="B2165" s="42">
        <f t="shared" si="7"/>
        <v>2159</v>
      </c>
      <c r="C2165" s="31" t="s">
        <v>2263</v>
      </c>
      <c r="D2165" s="34" t="str">
        <f t="array" ref="D2165">IFNA(_xlfn.XLOOKUP(C2165,Table_Tarikan_Warkah[Nomor Sertipikat],Table_Tarikan_Warkah[Nomor Tiket]),"")</f>
        <v>L/10/020525/1</v>
      </c>
      <c r="E2165" s="36">
        <f t="array" ref="E2165">IFNA(_xlfn.XLOOKUP(D2165,Table_Tarikan_Warkah[Nomor Tiket],Table_Tarikan_Warkah[Tanggal diserahkan kepada Validator]),"")</f>
        <v>45803.48107</v>
      </c>
      <c r="F2165" s="36" t="str">
        <f t="array" ref="F2165">IFNA(_xlfn.XLOOKUP(D2165,Table_Tarikan_Warkah[Nomor Tiket],Table_Tarikan_Warkah[Nama Petugas Warkah]),"")</f>
        <v>David</v>
      </c>
      <c r="G2165" s="39" t="str">
        <f t="array" ref="G2165">IFNA(_xlfn.XLOOKUP(D2165,Table_Tarikan_Warkah[Nomor Tiket],Table_Tarikan_Warkah[Jenis Permohonan]),"")</f>
        <v>ROYA</v>
      </c>
      <c r="H2165" s="41" t="s">
        <v>20</v>
      </c>
      <c r="I2165" s="49" t="s">
        <v>23</v>
      </c>
      <c r="J2165" s="36">
        <f t="shared" si="20"/>
        <v>45791.66184</v>
      </c>
      <c r="K2165" s="49" t="s">
        <v>197</v>
      </c>
      <c r="L2165" s="49" t="s">
        <v>23</v>
      </c>
      <c r="M2165" s="36">
        <f t="shared" si="26"/>
        <v>45793.67431</v>
      </c>
      <c r="N2165" s="30" t="str">
        <f t="shared" si="27"/>
        <v>Selesai</v>
      </c>
      <c r="O2165" s="45">
        <f t="shared" si="23"/>
        <v>45793.67431</v>
      </c>
      <c r="P2165" s="47" t="b">
        <v>1</v>
      </c>
      <c r="Q2165" s="36">
        <f t="shared" si="24"/>
        <v>45793.67431</v>
      </c>
      <c r="R2165" s="47" t="b">
        <v>0</v>
      </c>
      <c r="S2165" s="42" t="str">
        <f t="shared" si="28"/>
        <v/>
      </c>
      <c r="T2165" s="42"/>
    </row>
    <row r="2166" ht="22.5" customHeight="1">
      <c r="B2166" s="42">
        <f t="shared" si="7"/>
        <v>2160</v>
      </c>
      <c r="C2166" s="31" t="s">
        <v>2264</v>
      </c>
      <c r="D2166" s="34" t="str">
        <f t="array" ref="D2166">IFNA(_xlfn.XLOOKUP(C2166,Table_Tarikan_Warkah[Nomor Sertipikat],Table_Tarikan_Warkah[Nomor Tiket]),"")</f>
        <v>K/33/220425/1</v>
      </c>
      <c r="E2166" s="36">
        <f t="array" ref="E2166">IFNA(_xlfn.XLOOKUP(D2166,Table_Tarikan_Warkah[Nomor Tiket],Table_Tarikan_Warkah[Tanggal diserahkan kepada Validator]),"")</f>
        <v>45793.4172</v>
      </c>
      <c r="F2166" s="36" t="str">
        <f t="array" ref="F2166">IFNA(_xlfn.XLOOKUP(D2166,Table_Tarikan_Warkah[Nomor Tiket],Table_Tarikan_Warkah[Nama Petugas Warkah]),"")</f>
        <v>David</v>
      </c>
      <c r="G2166" s="39" t="str">
        <f t="array" ref="G2166">IFNA(_xlfn.XLOOKUP(D2166,Table_Tarikan_Warkah[Nomor Tiket],Table_Tarikan_Warkah[Jenis Permohonan]),"")</f>
        <v>BN JUAL BELI</v>
      </c>
      <c r="H2166" s="41" t="s">
        <v>20</v>
      </c>
      <c r="I2166" s="49" t="s">
        <v>23</v>
      </c>
      <c r="J2166" s="36">
        <f t="shared" si="20"/>
        <v>45791.66197</v>
      </c>
      <c r="K2166" s="49" t="s">
        <v>197</v>
      </c>
      <c r="L2166" s="49" t="s">
        <v>23</v>
      </c>
      <c r="M2166" s="36">
        <f t="shared" si="26"/>
        <v>45793.67431</v>
      </c>
      <c r="N2166" s="30" t="str">
        <f t="shared" si="27"/>
        <v>Selesai</v>
      </c>
      <c r="O2166" s="45">
        <f t="shared" si="23"/>
        <v>45793.67431</v>
      </c>
      <c r="P2166" s="47" t="b">
        <v>1</v>
      </c>
      <c r="Q2166" s="36">
        <f t="shared" si="24"/>
        <v>45793.67431</v>
      </c>
      <c r="R2166" s="47" t="b">
        <v>0</v>
      </c>
      <c r="S2166" s="42" t="str">
        <f t="shared" si="28"/>
        <v/>
      </c>
      <c r="T2166" s="42"/>
    </row>
    <row r="2167" ht="22.5" customHeight="1">
      <c r="B2167" s="42">
        <f t="shared" si="7"/>
        <v>2161</v>
      </c>
      <c r="C2167" s="31" t="s">
        <v>2265</v>
      </c>
      <c r="D2167" s="34" t="str">
        <f t="array" ref="D2167">IFNA(_xlfn.XLOOKUP(C2167,Table_Tarikan_Warkah[Nomor Sertipikat],Table_Tarikan_Warkah[Nomor Tiket]),"")</f>
        <v>K/16/220425/1</v>
      </c>
      <c r="E2167" s="36">
        <f t="array" ref="E2167">IFNA(_xlfn.XLOOKUP(D2167,Table_Tarikan_Warkah[Nomor Tiket],Table_Tarikan_Warkah[Tanggal diserahkan kepada Validator]),"")</f>
        <v>45793.413</v>
      </c>
      <c r="F2167" s="36" t="str">
        <f t="array" ref="F2167">IFNA(_xlfn.XLOOKUP(D2167,Table_Tarikan_Warkah[Nomor Tiket],Table_Tarikan_Warkah[Nama Petugas Warkah]),"")</f>
        <v>David</v>
      </c>
      <c r="G2167" s="39" t="str">
        <f t="array" ref="G2167">IFNA(_xlfn.XLOOKUP(D2167,Table_Tarikan_Warkah[Nomor Tiket],Table_Tarikan_Warkah[Jenis Permohonan]),"")</f>
        <v>BN WARIS</v>
      </c>
      <c r="H2167" s="41" t="s">
        <v>20</v>
      </c>
      <c r="I2167" s="49" t="s">
        <v>23</v>
      </c>
      <c r="J2167" s="36">
        <f t="shared" si="20"/>
        <v>45791.66209</v>
      </c>
      <c r="K2167" s="49" t="s">
        <v>197</v>
      </c>
      <c r="L2167" s="49" t="s">
        <v>23</v>
      </c>
      <c r="M2167" s="36">
        <f t="shared" si="26"/>
        <v>45793.67431</v>
      </c>
      <c r="N2167" s="30" t="str">
        <f t="shared" si="27"/>
        <v>Selesai</v>
      </c>
      <c r="O2167" s="45">
        <f t="shared" si="23"/>
        <v>45793.67431</v>
      </c>
      <c r="P2167" s="47" t="b">
        <v>1</v>
      </c>
      <c r="Q2167" s="36">
        <f t="shared" si="24"/>
        <v>45793.67431</v>
      </c>
      <c r="R2167" s="47" t="b">
        <v>0</v>
      </c>
      <c r="S2167" s="42" t="str">
        <f t="shared" si="28"/>
        <v/>
      </c>
      <c r="T2167" s="42"/>
    </row>
    <row r="2168" ht="22.5" customHeight="1">
      <c r="B2168" s="42">
        <f t="shared" si="7"/>
        <v>2162</v>
      </c>
      <c r="C2168" s="31" t="s">
        <v>2266</v>
      </c>
      <c r="D2168" s="34" t="str">
        <f t="array" ref="D2168">IFNA(_xlfn.XLOOKUP(C2168,Table_Tarikan_Warkah[Nomor Sertipikat],Table_Tarikan_Warkah[Nomor Tiket]),"")</f>
        <v>K/36/250425/1</v>
      </c>
      <c r="E2168" s="36">
        <f t="array" ref="E2168">IFNA(_xlfn.XLOOKUP(D2168,Table_Tarikan_Warkah[Nomor Tiket],Table_Tarikan_Warkah[Tanggal diserahkan kepada Validator]),"")</f>
        <v>45793.42181</v>
      </c>
      <c r="F2168" s="36" t="str">
        <f t="array" ref="F2168">IFNA(_xlfn.XLOOKUP(D2168,Table_Tarikan_Warkah[Nomor Tiket],Table_Tarikan_Warkah[Nama Petugas Warkah]),"")</f>
        <v>David</v>
      </c>
      <c r="G2168" s="39" t="str">
        <f t="array" ref="G2168">IFNA(_xlfn.XLOOKUP(D2168,Table_Tarikan_Warkah[Nomor Tiket],Table_Tarikan_Warkah[Jenis Permohonan]),"")</f>
        <v>BN JUAL BELI</v>
      </c>
      <c r="H2168" s="41" t="s">
        <v>20</v>
      </c>
      <c r="I2168" s="49" t="s">
        <v>23</v>
      </c>
      <c r="J2168" s="36">
        <f t="shared" si="20"/>
        <v>45791.66224</v>
      </c>
      <c r="K2168" s="49" t="s">
        <v>197</v>
      </c>
      <c r="L2168" s="49" t="s">
        <v>23</v>
      </c>
      <c r="M2168" s="36">
        <f t="shared" si="26"/>
        <v>45793.67431</v>
      </c>
      <c r="N2168" s="30" t="str">
        <f t="shared" si="27"/>
        <v>Selesai</v>
      </c>
      <c r="O2168" s="45">
        <f t="shared" si="23"/>
        <v>45793.67431</v>
      </c>
      <c r="P2168" s="47" t="b">
        <v>1</v>
      </c>
      <c r="Q2168" s="36">
        <f t="shared" si="24"/>
        <v>45793.67431</v>
      </c>
      <c r="R2168" s="47" t="b">
        <v>0</v>
      </c>
      <c r="S2168" s="42" t="str">
        <f t="shared" si="28"/>
        <v/>
      </c>
      <c r="T2168" s="42"/>
    </row>
    <row r="2169" ht="22.5" customHeight="1">
      <c r="B2169" s="42">
        <f t="shared" si="7"/>
        <v>2163</v>
      </c>
      <c r="C2169" s="31" t="s">
        <v>2267</v>
      </c>
      <c r="D2169" s="34" t="str">
        <f t="array" ref="D2169">IFNA(_xlfn.XLOOKUP(C2169,Table_Tarikan_Warkah[Nomor Sertipikat],Table_Tarikan_Warkah[Nomor Tiket]),"")</f>
        <v>L/30/170425/1</v>
      </c>
      <c r="E2169" s="36">
        <f t="array" ref="E2169">IFNA(_xlfn.XLOOKUP(D2169,Table_Tarikan_Warkah[Nomor Tiket],Table_Tarikan_Warkah[Tanggal diserahkan kepada Validator]),"")</f>
        <v>45797.60304</v>
      </c>
      <c r="F2169" s="36" t="str">
        <f t="array" ref="F2169">IFNA(_xlfn.XLOOKUP(D2169,Table_Tarikan_Warkah[Nomor Tiket],Table_Tarikan_Warkah[Nama Petugas Warkah]),"")</f>
        <v>Alfiansyah</v>
      </c>
      <c r="G2169" s="39" t="str">
        <f t="array" ref="G2169">IFNA(_xlfn.XLOOKUP(D2169,Table_Tarikan_Warkah[Nomor Tiket],Table_Tarikan_Warkah[Jenis Permohonan]),"")</f>
        <v>GANTI BLANGKO</v>
      </c>
      <c r="H2169" s="41" t="s">
        <v>20</v>
      </c>
      <c r="I2169" s="49" t="s">
        <v>23</v>
      </c>
      <c r="J2169" s="36">
        <f t="shared" si="20"/>
        <v>45792.36088</v>
      </c>
      <c r="K2169" s="49" t="s">
        <v>26</v>
      </c>
      <c r="L2169" s="49" t="s">
        <v>23</v>
      </c>
      <c r="M2169" s="36">
        <f t="shared" si="26"/>
        <v>45793.67431</v>
      </c>
      <c r="N2169" s="30" t="str">
        <f t="shared" si="27"/>
        <v>Selesai</v>
      </c>
      <c r="O2169" s="45">
        <f t="shared" si="23"/>
        <v>45793.67431</v>
      </c>
      <c r="P2169" s="47" t="b">
        <v>1</v>
      </c>
      <c r="Q2169" s="36">
        <f t="shared" si="24"/>
        <v>45793.67431</v>
      </c>
      <c r="R2169" s="47" t="b">
        <v>0</v>
      </c>
      <c r="S2169" s="42" t="str">
        <f t="shared" si="28"/>
        <v/>
      </c>
      <c r="T2169" s="42"/>
    </row>
    <row r="2170" ht="22.5" customHeight="1">
      <c r="B2170" s="42">
        <f t="shared" si="7"/>
        <v>2164</v>
      </c>
      <c r="C2170" s="31" t="s">
        <v>2268</v>
      </c>
      <c r="D2170" s="34" t="str">
        <f t="array" ref="D2170">IFNA(_xlfn.XLOOKUP(C2170,Table_Tarikan_Warkah[Nomor Sertipikat],Table_Tarikan_Warkah[Nomor Tiket]),"")</f>
        <v>K/36/220425/1</v>
      </c>
      <c r="E2170" s="36">
        <f t="array" ref="E2170">IFNA(_xlfn.XLOOKUP(D2170,Table_Tarikan_Warkah[Nomor Tiket],Table_Tarikan_Warkah[Tanggal diserahkan kepada Validator]),"")</f>
        <v>45796.46477</v>
      </c>
      <c r="F2170" s="36" t="str">
        <f t="array" ref="F2170">IFNA(_xlfn.XLOOKUP(D2170,Table_Tarikan_Warkah[Nomor Tiket],Table_Tarikan_Warkah[Nama Petugas Warkah]),"")</f>
        <v>Berry</v>
      </c>
      <c r="G2170" s="39" t="str">
        <f t="array" ref="G2170">IFNA(_xlfn.XLOOKUP(D2170,Table_Tarikan_Warkah[Nomor Tiket],Table_Tarikan_Warkah[Jenis Permohonan]),"")</f>
        <v>BN JUAL BELI</v>
      </c>
      <c r="H2170" s="41" t="s">
        <v>20</v>
      </c>
      <c r="I2170" s="49" t="s">
        <v>23</v>
      </c>
      <c r="J2170" s="36">
        <f t="shared" si="20"/>
        <v>45792.65948</v>
      </c>
      <c r="K2170" s="49" t="s">
        <v>26</v>
      </c>
      <c r="L2170" s="49" t="s">
        <v>23</v>
      </c>
      <c r="M2170" s="36">
        <f t="shared" si="26"/>
        <v>45793.67431</v>
      </c>
      <c r="N2170" s="30" t="str">
        <f t="shared" si="27"/>
        <v>Selesai</v>
      </c>
      <c r="O2170" s="45">
        <f t="shared" si="23"/>
        <v>45793.67431</v>
      </c>
      <c r="P2170" s="47" t="b">
        <v>1</v>
      </c>
      <c r="Q2170" s="36">
        <f t="shared" si="24"/>
        <v>45793.67431</v>
      </c>
      <c r="R2170" s="47" t="b">
        <v>0</v>
      </c>
      <c r="S2170" s="42" t="str">
        <f t="shared" si="28"/>
        <v/>
      </c>
      <c r="T2170" s="42"/>
    </row>
    <row r="2171" ht="22.5" customHeight="1">
      <c r="B2171" s="42">
        <f t="shared" si="7"/>
        <v>2165</v>
      </c>
      <c r="C2171" s="31" t="s">
        <v>2269</v>
      </c>
      <c r="D2171" s="34" t="str">
        <f t="array" ref="D2171">IFNA(_xlfn.XLOOKUP(C2171,Table_Tarikan_Warkah[Nomor Sertipikat],Table_Tarikan_Warkah[Nomor Tiket]),"")</f>
        <v>K/45/290425/2</v>
      </c>
      <c r="E2171" s="36">
        <f t="array" ref="E2171">IFNA(_xlfn.XLOOKUP(D2171,Table_Tarikan_Warkah[Nomor Tiket],Table_Tarikan_Warkah[Tanggal diserahkan kepada Validator]),"")</f>
        <v>45796.47384</v>
      </c>
      <c r="F2171" s="36" t="str">
        <f t="array" ref="F2171">IFNA(_xlfn.XLOOKUP(D2171,Table_Tarikan_Warkah[Nomor Tiket],Table_Tarikan_Warkah[Nama Petugas Warkah]),"")</f>
        <v>Berry</v>
      </c>
      <c r="G2171" s="39" t="str">
        <f t="array" ref="G2171">IFNA(_xlfn.XLOOKUP(D2171,Table_Tarikan_Warkah[Nomor Tiket],Table_Tarikan_Warkah[Jenis Permohonan]),"")</f>
        <v>BN Jual Beli</v>
      </c>
      <c r="H2171" s="41" t="s">
        <v>20</v>
      </c>
      <c r="I2171" s="49" t="s">
        <v>23</v>
      </c>
      <c r="J2171" s="36">
        <f t="shared" si="20"/>
        <v>45792.65948</v>
      </c>
      <c r="K2171" s="49" t="s">
        <v>26</v>
      </c>
      <c r="L2171" s="49" t="s">
        <v>23</v>
      </c>
      <c r="M2171" s="36">
        <f t="shared" si="26"/>
        <v>45793.67431</v>
      </c>
      <c r="N2171" s="30" t="str">
        <f t="shared" si="27"/>
        <v>Selesai</v>
      </c>
      <c r="O2171" s="45">
        <f t="shared" si="23"/>
        <v>45793.67431</v>
      </c>
      <c r="P2171" s="47" t="b">
        <v>1</v>
      </c>
      <c r="Q2171" s="36">
        <f t="shared" si="24"/>
        <v>45793.67431</v>
      </c>
      <c r="R2171" s="47" t="b">
        <v>0</v>
      </c>
      <c r="S2171" s="42" t="str">
        <f t="shared" si="28"/>
        <v/>
      </c>
      <c r="T2171" s="42"/>
    </row>
    <row r="2172" ht="22.5" customHeight="1">
      <c r="B2172" s="42">
        <f t="shared" si="7"/>
        <v>2166</v>
      </c>
      <c r="C2172" s="31" t="s">
        <v>2270</v>
      </c>
      <c r="D2172" s="34" t="str">
        <f t="array" ref="D2172">IFNA(_xlfn.XLOOKUP(C2172,Table_Tarikan_Warkah[Nomor Sertipikat],Table_Tarikan_Warkah[Nomor Tiket]),"")</f>
        <v>K/7/080525/1</v>
      </c>
      <c r="E2172" s="36">
        <f t="array" ref="E2172">IFNA(_xlfn.XLOOKUP(D2172,Table_Tarikan_Warkah[Nomor Tiket],Table_Tarikan_Warkah[Tanggal diserahkan kepada Validator]),"")</f>
        <v>45811.36357</v>
      </c>
      <c r="F2172" s="36" t="str">
        <f t="array" ref="F2172">IFNA(_xlfn.XLOOKUP(D2172,Table_Tarikan_Warkah[Nomor Tiket],Table_Tarikan_Warkah[Nama Petugas Warkah]),"")</f>
        <v>David</v>
      </c>
      <c r="G2172" s="39" t="str">
        <f t="array" ref="G2172">IFNA(_xlfn.XLOOKUP(D2172,Table_Tarikan_Warkah[Nomor Tiket],Table_Tarikan_Warkah[Jenis Permohonan]),"")</f>
        <v>ROYA </v>
      </c>
      <c r="H2172" s="41" t="s">
        <v>20</v>
      </c>
      <c r="I2172" s="49" t="s">
        <v>23</v>
      </c>
      <c r="J2172" s="36">
        <f t="shared" si="20"/>
        <v>45792.65948</v>
      </c>
      <c r="K2172" s="49" t="s">
        <v>26</v>
      </c>
      <c r="L2172" s="49" t="s">
        <v>23</v>
      </c>
      <c r="M2172" s="36">
        <f t="shared" si="26"/>
        <v>45793.67431</v>
      </c>
      <c r="N2172" s="30" t="str">
        <f t="shared" si="27"/>
        <v>Selesai</v>
      </c>
      <c r="O2172" s="45">
        <f t="shared" si="23"/>
        <v>45793.67431</v>
      </c>
      <c r="P2172" s="47" t="b">
        <v>1</v>
      </c>
      <c r="Q2172" s="36">
        <f t="shared" si="24"/>
        <v>45793.67431</v>
      </c>
      <c r="R2172" s="47" t="b">
        <v>0</v>
      </c>
      <c r="S2172" s="42" t="str">
        <f t="shared" si="28"/>
        <v/>
      </c>
      <c r="T2172" s="42"/>
    </row>
    <row r="2173" ht="22.5" customHeight="1">
      <c r="B2173" s="42">
        <f t="shared" si="7"/>
        <v>2167</v>
      </c>
      <c r="C2173" s="31" t="s">
        <v>2271</v>
      </c>
      <c r="D2173" s="34" t="str">
        <f t="array" ref="D2173">IFNA(_xlfn.XLOOKUP(C2173,Table_Tarikan_Warkah[Nomor Sertipikat],Table_Tarikan_Warkah[Nomor Tiket]),"")</f>
        <v>K/20/300425/1</v>
      </c>
      <c r="E2173" s="36">
        <f t="array" ref="E2173">IFNA(_xlfn.XLOOKUP(D2173,Table_Tarikan_Warkah[Nomor Tiket],Table_Tarikan_Warkah[Tanggal diserahkan kepada Validator]),"")</f>
        <v>45796.46319</v>
      </c>
      <c r="F2173" s="36" t="str">
        <f t="array" ref="F2173">IFNA(_xlfn.XLOOKUP(D2173,Table_Tarikan_Warkah[Nomor Tiket],Table_Tarikan_Warkah[Nama Petugas Warkah]),"")</f>
        <v>Berry</v>
      </c>
      <c r="G2173" s="39" t="str">
        <f t="array" ref="G2173">IFNA(_xlfn.XLOOKUP(D2173,Table_Tarikan_Warkah[Nomor Tiket],Table_Tarikan_Warkah[Jenis Permohonan]),"")</f>
        <v>JUAL BELI</v>
      </c>
      <c r="H2173" s="41" t="s">
        <v>20</v>
      </c>
      <c r="I2173" s="49" t="s">
        <v>23</v>
      </c>
      <c r="J2173" s="36">
        <f t="shared" si="20"/>
        <v>45792.65948</v>
      </c>
      <c r="K2173" s="49" t="s">
        <v>26</v>
      </c>
      <c r="L2173" s="49" t="s">
        <v>23</v>
      </c>
      <c r="M2173" s="36">
        <f t="shared" si="26"/>
        <v>45793.67431</v>
      </c>
      <c r="N2173" s="30" t="str">
        <f t="shared" si="27"/>
        <v>Selesai</v>
      </c>
      <c r="O2173" s="45">
        <f t="shared" si="23"/>
        <v>45793.67431</v>
      </c>
      <c r="P2173" s="47" t="b">
        <v>1</v>
      </c>
      <c r="Q2173" s="36">
        <f t="shared" si="24"/>
        <v>45793.67431</v>
      </c>
      <c r="R2173" s="47" t="b">
        <v>0</v>
      </c>
      <c r="S2173" s="42" t="str">
        <f t="shared" si="28"/>
        <v/>
      </c>
      <c r="T2173" s="42"/>
    </row>
    <row r="2174" ht="22.5" customHeight="1">
      <c r="B2174" s="42">
        <f t="shared" si="7"/>
        <v>2168</v>
      </c>
      <c r="C2174" s="31" t="s">
        <v>2272</v>
      </c>
      <c r="D2174" s="34" t="str">
        <f t="array" ref="D2174">IFNA(_xlfn.XLOOKUP(C2174,Table_Tarikan_Warkah[Nomor Sertipikat],Table_Tarikan_Warkah[Nomor Tiket]),"")</f>
        <v>K/24/070525/1</v>
      </c>
      <c r="E2174" s="36">
        <f t="array" ref="E2174">IFNA(_xlfn.XLOOKUP(D2174,Table_Tarikan_Warkah[Nomor Tiket],Table_Tarikan_Warkah[Tanggal diserahkan kepada Validator]),"")</f>
        <v>45800.40945</v>
      </c>
      <c r="F2174" s="36" t="str">
        <f t="array" ref="F2174">IFNA(_xlfn.XLOOKUP(D2174,Table_Tarikan_Warkah[Nomor Tiket],Table_Tarikan_Warkah[Nama Petugas Warkah]),"")</f>
        <v>Berry</v>
      </c>
      <c r="G2174" s="39" t="str">
        <f t="array" ref="G2174">IFNA(_xlfn.XLOOKUP(D2174,Table_Tarikan_Warkah[Nomor Tiket],Table_Tarikan_Warkah[Jenis Permohonan]),"")</f>
        <v>JUAL BELI</v>
      </c>
      <c r="H2174" s="41" t="s">
        <v>20</v>
      </c>
      <c r="I2174" s="49" t="s">
        <v>23</v>
      </c>
      <c r="J2174" s="36">
        <f t="shared" si="20"/>
        <v>45792.65948</v>
      </c>
      <c r="K2174" s="49" t="s">
        <v>26</v>
      </c>
      <c r="L2174" s="49" t="s">
        <v>23</v>
      </c>
      <c r="M2174" s="36">
        <f t="shared" si="26"/>
        <v>45793.67431</v>
      </c>
      <c r="N2174" s="30" t="str">
        <f t="shared" si="27"/>
        <v>Selesai</v>
      </c>
      <c r="O2174" s="45">
        <f t="shared" si="23"/>
        <v>45793.67431</v>
      </c>
      <c r="P2174" s="47" t="b">
        <v>1</v>
      </c>
      <c r="Q2174" s="36">
        <f t="shared" si="24"/>
        <v>45793.67431</v>
      </c>
      <c r="R2174" s="47" t="b">
        <v>0</v>
      </c>
      <c r="S2174" s="42" t="str">
        <f t="shared" si="28"/>
        <v/>
      </c>
      <c r="T2174" s="42"/>
    </row>
    <row r="2175" ht="22.5" customHeight="1">
      <c r="B2175" s="42">
        <f t="shared" si="7"/>
        <v>2169</v>
      </c>
      <c r="C2175" s="31" t="s">
        <v>2273</v>
      </c>
      <c r="D2175" s="34" t="str">
        <f t="array" ref="D2175">IFNA(_xlfn.XLOOKUP(C2175,Table_Tarikan_Warkah[Nomor Sertipikat],Table_Tarikan_Warkah[Nomor Tiket]),"")</f>
        <v>K/27/050525/1</v>
      </c>
      <c r="E2175" s="36">
        <f t="array" ref="E2175">IFNA(_xlfn.XLOOKUP(D2175,Table_Tarikan_Warkah[Nomor Tiket],Table_Tarikan_Warkah[Tanggal diserahkan kepada Validator]),"")</f>
        <v>45796.47467</v>
      </c>
      <c r="F2175" s="36" t="str">
        <f t="array" ref="F2175">IFNA(_xlfn.XLOOKUP(D2175,Table_Tarikan_Warkah[Nomor Tiket],Table_Tarikan_Warkah[Nama Petugas Warkah]),"")</f>
        <v>Berry</v>
      </c>
      <c r="G2175" s="39" t="str">
        <f t="array" ref="G2175">IFNA(_xlfn.XLOOKUP(D2175,Table_Tarikan_Warkah[Nomor Tiket],Table_Tarikan_Warkah[Jenis Permohonan]),"")</f>
        <v>JUAL BELI</v>
      </c>
      <c r="H2175" s="41" t="s">
        <v>20</v>
      </c>
      <c r="I2175" s="49" t="s">
        <v>23</v>
      </c>
      <c r="J2175" s="36">
        <f t="shared" si="20"/>
        <v>45792.65948</v>
      </c>
      <c r="K2175" s="49" t="s">
        <v>26</v>
      </c>
      <c r="L2175" s="49" t="s">
        <v>23</v>
      </c>
      <c r="M2175" s="36">
        <f t="shared" si="26"/>
        <v>45793.67431</v>
      </c>
      <c r="N2175" s="30" t="str">
        <f t="shared" si="27"/>
        <v>Selesai</v>
      </c>
      <c r="O2175" s="45">
        <f t="shared" si="23"/>
        <v>45793.67431</v>
      </c>
      <c r="P2175" s="47" t="b">
        <v>1</v>
      </c>
      <c r="Q2175" s="36">
        <f t="shared" si="24"/>
        <v>45793.67431</v>
      </c>
      <c r="R2175" s="47" t="b">
        <v>0</v>
      </c>
      <c r="S2175" s="42" t="str">
        <f t="shared" si="28"/>
        <v/>
      </c>
      <c r="T2175" s="42"/>
    </row>
    <row r="2176" ht="22.5" customHeight="1">
      <c r="B2176" s="42">
        <f t="shared" si="7"/>
        <v>2170</v>
      </c>
      <c r="C2176" s="31" t="s">
        <v>2274</v>
      </c>
      <c r="D2176" s="34" t="str">
        <f t="array" ref="D2176">IFNA(_xlfn.XLOOKUP(C2176,Table_Tarikan_Warkah[Nomor Sertipikat],Table_Tarikan_Warkah[Nomor Tiket]),"")</f>
        <v>L/26/070525/1</v>
      </c>
      <c r="E2176" s="36">
        <f t="array" ref="E2176">IFNA(_xlfn.XLOOKUP(D2176,Table_Tarikan_Warkah[Nomor Tiket],Table_Tarikan_Warkah[Tanggal diserahkan kepada Validator]),"")</f>
        <v>45813.47808</v>
      </c>
      <c r="F2176" s="36" t="str">
        <f t="array" ref="F2176">IFNA(_xlfn.XLOOKUP(D2176,Table_Tarikan_Warkah[Nomor Tiket],Table_Tarikan_Warkah[Nama Petugas Warkah]),"")</f>
        <v>David</v>
      </c>
      <c r="G2176" s="39" t="str">
        <f t="array" ref="G2176">IFNA(_xlfn.XLOOKUP(D2176,Table_Tarikan_Warkah[Nomor Tiket],Table_Tarikan_Warkah[Jenis Permohonan]),"")</f>
        <v>ROYA</v>
      </c>
      <c r="H2176" s="41" t="s">
        <v>20</v>
      </c>
      <c r="I2176" s="49" t="s">
        <v>23</v>
      </c>
      <c r="J2176" s="36">
        <f t="shared" si="20"/>
        <v>45792.65948</v>
      </c>
      <c r="K2176" s="49" t="s">
        <v>26</v>
      </c>
      <c r="L2176" s="49" t="s">
        <v>23</v>
      </c>
      <c r="M2176" s="36">
        <f t="shared" si="26"/>
        <v>45793.67431</v>
      </c>
      <c r="N2176" s="30" t="str">
        <f t="shared" si="27"/>
        <v>Selesai</v>
      </c>
      <c r="O2176" s="45">
        <f t="shared" si="23"/>
        <v>45793.67431</v>
      </c>
      <c r="P2176" s="47" t="b">
        <v>1</v>
      </c>
      <c r="Q2176" s="36">
        <f t="shared" si="24"/>
        <v>45793.67431</v>
      </c>
      <c r="R2176" s="47" t="b">
        <v>0</v>
      </c>
      <c r="S2176" s="42" t="str">
        <f t="shared" si="28"/>
        <v/>
      </c>
      <c r="T2176" s="42"/>
    </row>
    <row r="2177" ht="22.5" customHeight="1">
      <c r="B2177" s="42">
        <f t="shared" si="7"/>
        <v>2171</v>
      </c>
      <c r="C2177" s="31" t="s">
        <v>2275</v>
      </c>
      <c r="D2177" s="34" t="str">
        <f t="array" ref="D2177">IFNA(_xlfn.XLOOKUP(C2177,Table_Tarikan_Warkah[Nomor Sertipikat],Table_Tarikan_Warkah[Nomor Tiket]),"")</f>
        <v>L/3/280425/1</v>
      </c>
      <c r="E2177" s="36">
        <f t="array" ref="E2177">IFNA(_xlfn.XLOOKUP(D2177,Table_Tarikan_Warkah[Nomor Tiket],Table_Tarikan_Warkah[Tanggal diserahkan kepada Validator]),"")</f>
        <v>45800.6127</v>
      </c>
      <c r="F2177" s="36" t="str">
        <f t="array" ref="F2177">IFNA(_xlfn.XLOOKUP(D2177,Table_Tarikan_Warkah[Nomor Tiket],Table_Tarikan_Warkah[Nama Petugas Warkah]),"")</f>
        <v>Berry</v>
      </c>
      <c r="G2177" s="39" t="str">
        <f t="array" ref="G2177">IFNA(_xlfn.XLOOKUP(D2177,Table_Tarikan_Warkah[Nomor Tiket],Table_Tarikan_Warkah[Jenis Permohonan]),"")</f>
        <v>PENINGKATAN HAK</v>
      </c>
      <c r="H2177" s="41" t="s">
        <v>20</v>
      </c>
      <c r="I2177" s="49" t="s">
        <v>23</v>
      </c>
      <c r="J2177" s="36">
        <f t="shared" si="20"/>
        <v>45792.65948</v>
      </c>
      <c r="K2177" s="49" t="s">
        <v>26</v>
      </c>
      <c r="L2177" s="49" t="s">
        <v>23</v>
      </c>
      <c r="M2177" s="36">
        <f t="shared" si="26"/>
        <v>45793.67431</v>
      </c>
      <c r="N2177" s="30" t="str">
        <f t="shared" si="27"/>
        <v>Selesai</v>
      </c>
      <c r="O2177" s="45">
        <f t="shared" si="23"/>
        <v>45793.67431</v>
      </c>
      <c r="P2177" s="47" t="b">
        <v>1</v>
      </c>
      <c r="Q2177" s="36">
        <f t="shared" si="24"/>
        <v>45793.67431</v>
      </c>
      <c r="R2177" s="47" t="b">
        <v>0</v>
      </c>
      <c r="S2177" s="42" t="str">
        <f t="shared" si="28"/>
        <v/>
      </c>
      <c r="T2177" s="42"/>
    </row>
    <row r="2178" ht="22.5" customHeight="1">
      <c r="B2178" s="42">
        <f t="shared" si="7"/>
        <v>2172</v>
      </c>
      <c r="C2178" s="31" t="s">
        <v>2276</v>
      </c>
      <c r="D2178" s="34" t="str">
        <f t="array" ref="D2178">IFNA(_xlfn.XLOOKUP(C2178,Table_Tarikan_Warkah[Nomor Sertipikat],Table_Tarikan_Warkah[Nomor Tiket]),"")</f>
        <v>L/1/070525/1</v>
      </c>
      <c r="E2178" s="36">
        <f t="array" ref="E2178">IFNA(_xlfn.XLOOKUP(D2178,Table_Tarikan_Warkah[Nomor Tiket],Table_Tarikan_Warkah[Tanggal diserahkan kepada Validator]),"")</f>
        <v>45811.36384</v>
      </c>
      <c r="F2178" s="36" t="str">
        <f t="array" ref="F2178">IFNA(_xlfn.XLOOKUP(D2178,Table_Tarikan_Warkah[Nomor Tiket],Table_Tarikan_Warkah[Nama Petugas Warkah]),"")</f>
        <v>David</v>
      </c>
      <c r="G2178" s="39" t="str">
        <f t="array" ref="G2178">IFNA(_xlfn.XLOOKUP(D2178,Table_Tarikan_Warkah[Nomor Tiket],Table_Tarikan_Warkah[Jenis Permohonan]),"")</f>
        <v>ROYA</v>
      </c>
      <c r="H2178" s="41" t="s">
        <v>20</v>
      </c>
      <c r="I2178" s="49" t="s">
        <v>23</v>
      </c>
      <c r="J2178" s="36">
        <f t="shared" si="20"/>
        <v>45792.65948</v>
      </c>
      <c r="K2178" s="49" t="s">
        <v>26</v>
      </c>
      <c r="L2178" s="49" t="s">
        <v>23</v>
      </c>
      <c r="M2178" s="36">
        <f t="shared" si="26"/>
        <v>45793.67431</v>
      </c>
      <c r="N2178" s="30" t="str">
        <f t="shared" si="27"/>
        <v>Selesai</v>
      </c>
      <c r="O2178" s="45">
        <f t="shared" si="23"/>
        <v>45793.67431</v>
      </c>
      <c r="P2178" s="47" t="b">
        <v>1</v>
      </c>
      <c r="Q2178" s="36">
        <f t="shared" si="24"/>
        <v>45793.67431</v>
      </c>
      <c r="R2178" s="47" t="b">
        <v>0</v>
      </c>
      <c r="S2178" s="42" t="str">
        <f t="shared" si="28"/>
        <v/>
      </c>
      <c r="T2178" s="42"/>
    </row>
    <row r="2179" ht="22.5" customHeight="1">
      <c r="B2179" s="42">
        <f t="shared" si="7"/>
        <v>2173</v>
      </c>
      <c r="C2179" s="31" t="s">
        <v>2277</v>
      </c>
      <c r="D2179" s="34" t="str">
        <f t="array" ref="D2179">IFNA(_xlfn.XLOOKUP(C2179,Table_Tarikan_Warkah[Nomor Sertipikat],Table_Tarikan_Warkah[Nomor Tiket]),"")</f>
        <v>L/15/070525/1</v>
      </c>
      <c r="E2179" s="36">
        <f t="array" ref="E2179">IFNA(_xlfn.XLOOKUP(D2179,Table_Tarikan_Warkah[Nomor Tiket],Table_Tarikan_Warkah[Tanggal diserahkan kepada Validator]),"")</f>
        <v>45811.36424</v>
      </c>
      <c r="F2179" s="36" t="str">
        <f t="array" ref="F2179">IFNA(_xlfn.XLOOKUP(D2179,Table_Tarikan_Warkah[Nomor Tiket],Table_Tarikan_Warkah[Nama Petugas Warkah]),"")</f>
        <v>David</v>
      </c>
      <c r="G2179" s="39" t="str">
        <f t="array" ref="G2179">IFNA(_xlfn.XLOOKUP(D2179,Table_Tarikan_Warkah[Nomor Tiket],Table_Tarikan_Warkah[Jenis Permohonan]),"")</f>
        <v>ROYA</v>
      </c>
      <c r="H2179" s="41" t="s">
        <v>20</v>
      </c>
      <c r="I2179" s="49" t="s">
        <v>23</v>
      </c>
      <c r="J2179" s="36">
        <f t="shared" si="20"/>
        <v>45792.65948</v>
      </c>
      <c r="K2179" s="49" t="s">
        <v>26</v>
      </c>
      <c r="L2179" s="49" t="s">
        <v>23</v>
      </c>
      <c r="M2179" s="36">
        <f t="shared" si="26"/>
        <v>45793.67431</v>
      </c>
      <c r="N2179" s="30" t="str">
        <f t="shared" si="27"/>
        <v>Selesai</v>
      </c>
      <c r="O2179" s="45">
        <f t="shared" si="23"/>
        <v>45793.67431</v>
      </c>
      <c r="P2179" s="47" t="b">
        <v>1</v>
      </c>
      <c r="Q2179" s="36">
        <f t="shared" si="24"/>
        <v>45793.67431</v>
      </c>
      <c r="R2179" s="47" t="b">
        <v>0</v>
      </c>
      <c r="S2179" s="42" t="str">
        <f t="shared" si="28"/>
        <v/>
      </c>
      <c r="T2179" s="42"/>
    </row>
    <row r="2180" ht="22.5" customHeight="1">
      <c r="B2180" s="42">
        <f t="shared" si="7"/>
        <v>2174</v>
      </c>
      <c r="C2180" s="31" t="s">
        <v>2278</v>
      </c>
      <c r="D2180" s="34" t="str">
        <f t="array" ref="D2180">IFNA(_xlfn.XLOOKUP(C2180,Table_Tarikan_Warkah[Nomor Sertipikat],Table_Tarikan_Warkah[Nomor Tiket]),"")</f>
        <v>K/2/020525/2</v>
      </c>
      <c r="E2180" s="36">
        <f t="array" ref="E2180">IFNA(_xlfn.XLOOKUP(D2180,Table_Tarikan_Warkah[Nomor Tiket],Table_Tarikan_Warkah[Tanggal diserahkan kepada Validator]),"")</f>
        <v>45875.63597</v>
      </c>
      <c r="F2180" s="36" t="str">
        <f t="array" ref="F2180">IFNA(_xlfn.XLOOKUP(D2180,Table_Tarikan_Warkah[Nomor Tiket],Table_Tarikan_Warkah[Nama Petugas Warkah]),"")</f>
        <v>Berry</v>
      </c>
      <c r="G2180" s="39" t="str">
        <f t="array" ref="G2180">IFNA(_xlfn.XLOOKUP(D2180,Table_Tarikan_Warkah[Nomor Tiket],Table_Tarikan_Warkah[Jenis Permohonan]),"")</f>
        <v>BN WARIS</v>
      </c>
      <c r="H2180" s="41" t="s">
        <v>20</v>
      </c>
      <c r="I2180" s="49" t="s">
        <v>23</v>
      </c>
      <c r="J2180" s="36">
        <f t="shared" si="20"/>
        <v>45792.65948</v>
      </c>
      <c r="K2180" s="49" t="s">
        <v>26</v>
      </c>
      <c r="L2180" s="49" t="s">
        <v>23</v>
      </c>
      <c r="M2180" s="36">
        <f t="shared" si="26"/>
        <v>45793.67431</v>
      </c>
      <c r="N2180" s="30" t="str">
        <f t="shared" si="27"/>
        <v>Selesai</v>
      </c>
      <c r="O2180" s="45">
        <f t="shared" si="23"/>
        <v>45793.67431</v>
      </c>
      <c r="P2180" s="47" t="b">
        <v>1</v>
      </c>
      <c r="Q2180" s="36">
        <f t="shared" si="24"/>
        <v>45793.67431</v>
      </c>
      <c r="R2180" s="47" t="b">
        <v>0</v>
      </c>
      <c r="S2180" s="42" t="str">
        <f t="shared" si="28"/>
        <v/>
      </c>
      <c r="T2180" s="42"/>
    </row>
    <row r="2181" ht="22.5" customHeight="1">
      <c r="B2181" s="42">
        <f t="shared" si="7"/>
        <v>2175</v>
      </c>
      <c r="C2181" s="31" t="s">
        <v>2279</v>
      </c>
      <c r="D2181" s="34" t="str">
        <f t="array" ref="D2181">IFNA(_xlfn.XLOOKUP(C2181,Table_Tarikan_Warkah[Nomor Sertipikat],Table_Tarikan_Warkah[Nomor Tiket]),"")</f>
        <v>K/31/150425/1</v>
      </c>
      <c r="E2181" s="36">
        <f t="array" ref="E2181">IFNA(_xlfn.XLOOKUP(D2181,Table_Tarikan_Warkah[Nomor Tiket],Table_Tarikan_Warkah[Tanggal diserahkan kepada Validator]),"")</f>
        <v>45796.47425</v>
      </c>
      <c r="F2181" s="36" t="str">
        <f t="array" ref="F2181">IFNA(_xlfn.XLOOKUP(D2181,Table_Tarikan_Warkah[Nomor Tiket],Table_Tarikan_Warkah[Nama Petugas Warkah]),"")</f>
        <v>Berry</v>
      </c>
      <c r="G2181" s="39" t="str">
        <f t="array" ref="G2181">IFNA(_xlfn.XLOOKUP(D2181,Table_Tarikan_Warkah[Nomor Tiket],Table_Tarikan_Warkah[Jenis Permohonan]),"")</f>
        <v>BN HIBAH</v>
      </c>
      <c r="H2181" s="41" t="s">
        <v>20</v>
      </c>
      <c r="I2181" s="49" t="s">
        <v>23</v>
      </c>
      <c r="J2181" s="36">
        <f t="shared" si="20"/>
        <v>45792.65948</v>
      </c>
      <c r="K2181" s="49" t="s">
        <v>26</v>
      </c>
      <c r="L2181" s="49" t="s">
        <v>23</v>
      </c>
      <c r="M2181" s="36">
        <f t="shared" si="26"/>
        <v>45793.67431</v>
      </c>
      <c r="N2181" s="30" t="str">
        <f t="shared" si="27"/>
        <v>Selesai</v>
      </c>
      <c r="O2181" s="45">
        <f t="shared" si="23"/>
        <v>45793.67431</v>
      </c>
      <c r="P2181" s="47" t="b">
        <v>1</v>
      </c>
      <c r="Q2181" s="36">
        <f t="shared" si="24"/>
        <v>45793.67431</v>
      </c>
      <c r="R2181" s="47" t="b">
        <v>0</v>
      </c>
      <c r="S2181" s="42" t="str">
        <f t="shared" si="28"/>
        <v/>
      </c>
      <c r="T2181" s="42"/>
    </row>
    <row r="2182" ht="22.5" customHeight="1">
      <c r="B2182" s="42">
        <f t="shared" si="7"/>
        <v>2176</v>
      </c>
      <c r="C2182" s="31" t="s">
        <v>2280</v>
      </c>
      <c r="D2182" s="34" t="str">
        <f t="array" ref="D2182">IFNA(_xlfn.XLOOKUP(C2182,Table_Tarikan_Warkah[Nomor Sertipikat],Table_Tarikan_Warkah[Nomor Tiket]),"")</f>
        <v>K/34/290425/2</v>
      </c>
      <c r="E2182" s="36">
        <f t="array" ref="E2182">IFNA(_xlfn.XLOOKUP(D2182,Table_Tarikan_Warkah[Nomor Tiket],Table_Tarikan_Warkah[Tanggal diserahkan kepada Validator]),"")</f>
        <v>45796.46862</v>
      </c>
      <c r="F2182" s="36" t="str">
        <f t="array" ref="F2182">IFNA(_xlfn.XLOOKUP(D2182,Table_Tarikan_Warkah[Nomor Tiket],Table_Tarikan_Warkah[Nama Petugas Warkah]),"")</f>
        <v>Berry</v>
      </c>
      <c r="G2182" s="39" t="str">
        <f t="array" ref="G2182">IFNA(_xlfn.XLOOKUP(D2182,Table_Tarikan_Warkah[Nomor Tiket],Table_Tarikan_Warkah[Jenis Permohonan]),"")</f>
        <v>BN JUAL BELI</v>
      </c>
      <c r="H2182" s="41" t="s">
        <v>20</v>
      </c>
      <c r="I2182" s="49" t="s">
        <v>23</v>
      </c>
      <c r="J2182" s="36">
        <f t="shared" si="20"/>
        <v>45792.65948</v>
      </c>
      <c r="K2182" s="49" t="s">
        <v>26</v>
      </c>
      <c r="L2182" s="49" t="s">
        <v>23</v>
      </c>
      <c r="M2182" s="36">
        <f t="shared" si="26"/>
        <v>45793.67431</v>
      </c>
      <c r="N2182" s="30" t="str">
        <f t="shared" si="27"/>
        <v>Selesai</v>
      </c>
      <c r="O2182" s="45">
        <f t="shared" si="23"/>
        <v>45793.67431</v>
      </c>
      <c r="P2182" s="47" t="b">
        <v>1</v>
      </c>
      <c r="Q2182" s="36">
        <f t="shared" si="24"/>
        <v>45793.67431</v>
      </c>
      <c r="R2182" s="47" t="b">
        <v>0</v>
      </c>
      <c r="S2182" s="42" t="str">
        <f t="shared" si="28"/>
        <v/>
      </c>
      <c r="T2182" s="42"/>
    </row>
    <row r="2183" ht="22.5" customHeight="1">
      <c r="B2183" s="42">
        <f t="shared" si="7"/>
        <v>2177</v>
      </c>
      <c r="C2183" s="31" t="s">
        <v>2281</v>
      </c>
      <c r="D2183" s="34" t="str">
        <f t="array" ref="D2183">IFNA(_xlfn.XLOOKUP(C2183,Table_Tarikan_Warkah[Nomor Sertipikat],Table_Tarikan_Warkah[Nomor Tiket]),"")</f>
        <v>L/29/060525/1</v>
      </c>
      <c r="E2183" s="36">
        <f t="array" ref="E2183">IFNA(_xlfn.XLOOKUP(D2183,Table_Tarikan_Warkah[Nomor Tiket],Table_Tarikan_Warkah[Tanggal diserahkan kepada Validator]),"")</f>
        <v>45813.47788</v>
      </c>
      <c r="F2183" s="36" t="str">
        <f t="array" ref="F2183">IFNA(_xlfn.XLOOKUP(D2183,Table_Tarikan_Warkah[Nomor Tiket],Table_Tarikan_Warkah[Nama Petugas Warkah]),"")</f>
        <v>David</v>
      </c>
      <c r="G2183" s="39" t="str">
        <f t="array" ref="G2183">IFNA(_xlfn.XLOOKUP(D2183,Table_Tarikan_Warkah[Nomor Tiket],Table_Tarikan_Warkah[Jenis Permohonan]),"")</f>
        <v>ROYA</v>
      </c>
      <c r="H2183" s="41" t="s">
        <v>20</v>
      </c>
      <c r="I2183" s="49" t="s">
        <v>23</v>
      </c>
      <c r="J2183" s="36">
        <f t="shared" si="20"/>
        <v>45792.65948</v>
      </c>
      <c r="K2183" s="49" t="s">
        <v>26</v>
      </c>
      <c r="L2183" s="49" t="s">
        <v>23</v>
      </c>
      <c r="M2183" s="36">
        <f t="shared" si="26"/>
        <v>45793.67431</v>
      </c>
      <c r="N2183" s="30" t="str">
        <f t="shared" si="27"/>
        <v>Selesai</v>
      </c>
      <c r="O2183" s="45">
        <f t="shared" si="23"/>
        <v>45793.67431</v>
      </c>
      <c r="P2183" s="47" t="b">
        <v>1</v>
      </c>
      <c r="Q2183" s="36">
        <f t="shared" si="24"/>
        <v>45793.67431</v>
      </c>
      <c r="R2183" s="47" t="b">
        <v>0</v>
      </c>
      <c r="S2183" s="42" t="str">
        <f t="shared" si="28"/>
        <v/>
      </c>
      <c r="T2183" s="42"/>
    </row>
    <row r="2184" ht="22.5" customHeight="1">
      <c r="B2184" s="42">
        <f t="shared" si="7"/>
        <v>2178</v>
      </c>
      <c r="C2184" s="31" t="s">
        <v>2282</v>
      </c>
      <c r="D2184" s="34" t="str">
        <f t="array" ref="D2184">IFNA(_xlfn.XLOOKUP(C2184,Table_Tarikan_Warkah[Nomor Sertipikat],Table_Tarikan_Warkah[Nomor Tiket]),"")</f>
        <v>L/14/060525/1</v>
      </c>
      <c r="E2184" s="36">
        <f t="array" ref="E2184">IFNA(_xlfn.XLOOKUP(D2184,Table_Tarikan_Warkah[Nomor Tiket],Table_Tarikan_Warkah[Tanggal diserahkan kepada Validator]),"")</f>
        <v>45804.68052</v>
      </c>
      <c r="F2184" s="36" t="str">
        <f t="array" ref="F2184">IFNA(_xlfn.XLOOKUP(D2184,Table_Tarikan_Warkah[Nomor Tiket],Table_Tarikan_Warkah[Nama Petugas Warkah]),"")</f>
        <v>David</v>
      </c>
      <c r="G2184" s="39" t="str">
        <f t="array" ref="G2184">IFNA(_xlfn.XLOOKUP(D2184,Table_Tarikan_Warkah[Nomor Tiket],Table_Tarikan_Warkah[Jenis Permohonan]),"")</f>
        <v>ROYA</v>
      </c>
      <c r="H2184" s="41" t="s">
        <v>20</v>
      </c>
      <c r="I2184" s="49" t="s">
        <v>23</v>
      </c>
      <c r="J2184" s="36">
        <f t="shared" si="20"/>
        <v>45792.65951</v>
      </c>
      <c r="K2184" s="49" t="s">
        <v>26</v>
      </c>
      <c r="L2184" s="49" t="s">
        <v>23</v>
      </c>
      <c r="M2184" s="36">
        <f t="shared" si="26"/>
        <v>45793.67431</v>
      </c>
      <c r="N2184" s="30" t="str">
        <f t="shared" si="27"/>
        <v>Selesai</v>
      </c>
      <c r="O2184" s="45">
        <f t="shared" si="23"/>
        <v>45793.67431</v>
      </c>
      <c r="P2184" s="47" t="b">
        <v>1</v>
      </c>
      <c r="Q2184" s="36">
        <f t="shared" si="24"/>
        <v>45793.67431</v>
      </c>
      <c r="R2184" s="47" t="b">
        <v>0</v>
      </c>
      <c r="S2184" s="42" t="str">
        <f t="shared" si="28"/>
        <v/>
      </c>
      <c r="T2184" s="42"/>
    </row>
    <row r="2185" ht="22.5" customHeight="1">
      <c r="B2185" s="42">
        <f t="shared" si="7"/>
        <v>2179</v>
      </c>
      <c r="C2185" s="31" t="s">
        <v>2283</v>
      </c>
      <c r="D2185" s="34" t="str">
        <f t="array" ref="D2185">IFNA(_xlfn.XLOOKUP(C2185,Table_Tarikan_Warkah[Nomor Sertipikat],Table_Tarikan_Warkah[Nomor Tiket]),"")</f>
        <v>K/37/240425/3</v>
      </c>
      <c r="E2185" s="36">
        <f t="array" ref="E2185">IFNA(_xlfn.XLOOKUP(D2185,Table_Tarikan_Warkah[Nomor Tiket],Table_Tarikan_Warkah[Tanggal diserahkan kepada Validator]),"")</f>
        <v>45819.37856</v>
      </c>
      <c r="F2185" s="36" t="str">
        <f t="array" ref="F2185">IFNA(_xlfn.XLOOKUP(D2185,Table_Tarikan_Warkah[Nomor Tiket],Table_Tarikan_Warkah[Nama Petugas Warkah]),"")</f>
        <v>David</v>
      </c>
      <c r="G2185" s="39" t="str">
        <f t="array" ref="G2185">IFNA(_xlfn.XLOOKUP(D2185,Table_Tarikan_Warkah[Nomor Tiket],Table_Tarikan_Warkah[Jenis Permohonan]),"")</f>
        <v>GANTI NAMA HT</v>
      </c>
      <c r="H2185" s="41" t="s">
        <v>20</v>
      </c>
      <c r="I2185" s="49" t="s">
        <v>23</v>
      </c>
      <c r="J2185" s="36">
        <f t="shared" si="20"/>
        <v>45792.65972</v>
      </c>
      <c r="K2185" s="49" t="s">
        <v>26</v>
      </c>
      <c r="L2185" s="49" t="s">
        <v>23</v>
      </c>
      <c r="M2185" s="36">
        <f t="shared" si="26"/>
        <v>45793.67431</v>
      </c>
      <c r="N2185" s="30" t="str">
        <f t="shared" si="27"/>
        <v>Selesai</v>
      </c>
      <c r="O2185" s="45">
        <f t="shared" si="23"/>
        <v>45793.67431</v>
      </c>
      <c r="P2185" s="47" t="b">
        <v>1</v>
      </c>
      <c r="Q2185" s="36">
        <f t="shared" si="24"/>
        <v>45793.67431</v>
      </c>
      <c r="R2185" s="47" t="b">
        <v>0</v>
      </c>
      <c r="S2185" s="42" t="str">
        <f t="shared" si="28"/>
        <v/>
      </c>
      <c r="T2185" s="42"/>
    </row>
    <row r="2186" ht="22.5" customHeight="1">
      <c r="B2186" s="42">
        <f t="shared" si="7"/>
        <v>2180</v>
      </c>
      <c r="C2186" s="31" t="s">
        <v>2284</v>
      </c>
      <c r="D2186" s="34" t="str">
        <f t="array" ref="D2186">IFNA(_xlfn.XLOOKUP(C2186,Table_Tarikan_Warkah[Nomor Sertipikat],Table_Tarikan_Warkah[Nomor Tiket]),"")</f>
        <v>K/34/080525/2</v>
      </c>
      <c r="E2186" s="36" t="str">
        <f t="array" ref="E2186">IFNA(_xlfn.XLOOKUP(D2186,Table_Tarikan_Warkah[Nomor Tiket],Table_Tarikan_Warkah[Tanggal diserahkan kepada Validator]),"")</f>
        <v/>
      </c>
      <c r="F2186" s="36" t="str">
        <f t="array" ref="F2186">IFNA(_xlfn.XLOOKUP(D2186,Table_Tarikan_Warkah[Nomor Tiket],Table_Tarikan_Warkah[Nama Petugas Warkah]),"")</f>
        <v/>
      </c>
      <c r="G2186" s="39" t="str">
        <f t="array" ref="G2186">IFNA(_xlfn.XLOOKUP(D2186,Table_Tarikan_Warkah[Nomor Tiket],Table_Tarikan_Warkah[Jenis Permohonan]),"")</f>
        <v>PEMECAHAN</v>
      </c>
      <c r="H2186" s="41" t="s">
        <v>20</v>
      </c>
      <c r="I2186" s="49" t="s">
        <v>23</v>
      </c>
      <c r="J2186" s="36">
        <f t="shared" si="20"/>
        <v>45792.65989</v>
      </c>
      <c r="K2186" s="49" t="s">
        <v>26</v>
      </c>
      <c r="L2186" s="49" t="s">
        <v>23</v>
      </c>
      <c r="M2186" s="36">
        <f t="shared" si="26"/>
        <v>45793.67431</v>
      </c>
      <c r="N2186" s="30" t="str">
        <f t="shared" si="27"/>
        <v>Selesai</v>
      </c>
      <c r="O2186" s="45">
        <f t="shared" si="23"/>
        <v>45793.67431</v>
      </c>
      <c r="P2186" s="47" t="b">
        <v>1</v>
      </c>
      <c r="Q2186" s="36">
        <f t="shared" si="24"/>
        <v>45793.67431</v>
      </c>
      <c r="R2186" s="47" t="b">
        <v>0</v>
      </c>
      <c r="S2186" s="42" t="str">
        <f t="shared" si="28"/>
        <v/>
      </c>
      <c r="T2186" s="42"/>
    </row>
    <row r="2187" ht="22.5" customHeight="1">
      <c r="B2187" s="42">
        <f t="shared" si="7"/>
        <v>2181</v>
      </c>
      <c r="C2187" s="31" t="s">
        <v>2285</v>
      </c>
      <c r="D2187" s="34" t="str">
        <f t="array" ref="D2187">IFNA(_xlfn.XLOOKUP(C2187,Table_Tarikan_Warkah[Nomor Sertipikat],Table_Tarikan_Warkah[Nomor Tiket]),"")</f>
        <v>K/26/210425/1</v>
      </c>
      <c r="E2187" s="36">
        <f t="array" ref="E2187">IFNA(_xlfn.XLOOKUP(D2187,Table_Tarikan_Warkah[Nomor Tiket],Table_Tarikan_Warkah[Tanggal diserahkan kepada Validator]),"")</f>
        <v>45803.43502</v>
      </c>
      <c r="F2187" s="36" t="str">
        <f t="array" ref="F2187">IFNA(_xlfn.XLOOKUP(D2187,Table_Tarikan_Warkah[Nomor Tiket],Table_Tarikan_Warkah[Nama Petugas Warkah]),"")</f>
        <v>Berry</v>
      </c>
      <c r="G2187" s="39" t="str">
        <f t="array" ref="G2187">IFNA(_xlfn.XLOOKUP(D2187,Table_Tarikan_Warkah[Nomor Tiket],Table_Tarikan_Warkah[Jenis Permohonan]),"")</f>
        <v>BN JUAL BELI</v>
      </c>
      <c r="H2187" s="41" t="s">
        <v>20</v>
      </c>
      <c r="I2187" s="49" t="s">
        <v>23</v>
      </c>
      <c r="J2187" s="36">
        <f t="shared" si="20"/>
        <v>45792.65998</v>
      </c>
      <c r="K2187" s="49" t="s">
        <v>26</v>
      </c>
      <c r="L2187" s="49" t="s">
        <v>23</v>
      </c>
      <c r="M2187" s="36">
        <f t="shared" si="26"/>
        <v>45793.67431</v>
      </c>
      <c r="N2187" s="30" t="str">
        <f t="shared" si="27"/>
        <v>Selesai</v>
      </c>
      <c r="O2187" s="45">
        <f t="shared" si="23"/>
        <v>45793.67431</v>
      </c>
      <c r="P2187" s="47" t="b">
        <v>1</v>
      </c>
      <c r="Q2187" s="36">
        <f t="shared" si="24"/>
        <v>45793.67431</v>
      </c>
      <c r="R2187" s="47" t="b">
        <v>0</v>
      </c>
      <c r="S2187" s="42" t="str">
        <f t="shared" si="28"/>
        <v/>
      </c>
      <c r="T2187" s="42"/>
    </row>
    <row r="2188" ht="22.5" customHeight="1">
      <c r="B2188" s="42">
        <f t="shared" si="7"/>
        <v>2182</v>
      </c>
      <c r="C2188" s="31" t="s">
        <v>2286</v>
      </c>
      <c r="D2188" s="34" t="str">
        <f t="array" ref="D2188">IFNA(_xlfn.XLOOKUP(C2188,Table_Tarikan_Warkah[Nomor Sertipikat],Table_Tarikan_Warkah[Nomor Tiket]),"")</f>
        <v>K/35/240425/1</v>
      </c>
      <c r="E2188" s="36">
        <f t="array" ref="E2188">IFNA(_xlfn.XLOOKUP(D2188,Table_Tarikan_Warkah[Nomor Tiket],Table_Tarikan_Warkah[Tanggal diserahkan kepada Validator]),"")</f>
        <v>45813.47914</v>
      </c>
      <c r="F2188" s="36" t="str">
        <f t="array" ref="F2188">IFNA(_xlfn.XLOOKUP(D2188,Table_Tarikan_Warkah[Nomor Tiket],Table_Tarikan_Warkah[Nama Petugas Warkah]),"")</f>
        <v>David</v>
      </c>
      <c r="G2188" s="39" t="str">
        <f t="array" ref="G2188">IFNA(_xlfn.XLOOKUP(D2188,Table_Tarikan_Warkah[Nomor Tiket],Table_Tarikan_Warkah[Jenis Permohonan]),"")</f>
        <v>GANTI NAMA HT</v>
      </c>
      <c r="H2188" s="41" t="s">
        <v>20</v>
      </c>
      <c r="I2188" s="49" t="s">
        <v>23</v>
      </c>
      <c r="J2188" s="36">
        <f t="shared" si="20"/>
        <v>45792.66009</v>
      </c>
      <c r="K2188" s="49" t="s">
        <v>26</v>
      </c>
      <c r="L2188" s="49" t="s">
        <v>23</v>
      </c>
      <c r="M2188" s="36">
        <f t="shared" si="26"/>
        <v>45793.67431</v>
      </c>
      <c r="N2188" s="30" t="str">
        <f t="shared" si="27"/>
        <v>Selesai</v>
      </c>
      <c r="O2188" s="45">
        <f t="shared" si="23"/>
        <v>45793.67431</v>
      </c>
      <c r="P2188" s="47" t="b">
        <v>1</v>
      </c>
      <c r="Q2188" s="36">
        <f t="shared" si="24"/>
        <v>45793.67431</v>
      </c>
      <c r="R2188" s="47" t="b">
        <v>0</v>
      </c>
      <c r="S2188" s="42" t="str">
        <f t="shared" si="28"/>
        <v/>
      </c>
      <c r="T2188" s="42"/>
    </row>
    <row r="2189" ht="22.5" customHeight="1">
      <c r="B2189" s="42">
        <f t="shared" si="7"/>
        <v>2183</v>
      </c>
      <c r="C2189" s="31" t="s">
        <v>2287</v>
      </c>
      <c r="D2189" s="34" t="str">
        <f t="array" ref="D2189">IFNA(_xlfn.XLOOKUP(C2189,Table_Tarikan_Warkah[Nomor Sertipikat],Table_Tarikan_Warkah[Nomor Tiket]),"")</f>
        <v>K/10/060525/1</v>
      </c>
      <c r="E2189" s="36">
        <f t="array" ref="E2189">IFNA(_xlfn.XLOOKUP(D2189,Table_Tarikan_Warkah[Nomor Tiket],Table_Tarikan_Warkah[Tanggal diserahkan kepada Validator]),"")</f>
        <v>45796.46249</v>
      </c>
      <c r="F2189" s="36" t="str">
        <f t="array" ref="F2189">IFNA(_xlfn.XLOOKUP(D2189,Table_Tarikan_Warkah[Nomor Tiket],Table_Tarikan_Warkah[Nama Petugas Warkah]),"")</f>
        <v>Berry</v>
      </c>
      <c r="G2189" s="39" t="str">
        <f t="array" ref="G2189">IFNA(_xlfn.XLOOKUP(D2189,Table_Tarikan_Warkah[Nomor Tiket],Table_Tarikan_Warkah[Jenis Permohonan]),"")</f>
        <v>BN Jual Beli</v>
      </c>
      <c r="H2189" s="41" t="s">
        <v>20</v>
      </c>
      <c r="I2189" s="49" t="s">
        <v>23</v>
      </c>
      <c r="J2189" s="36">
        <f t="shared" si="20"/>
        <v>45792.66017</v>
      </c>
      <c r="K2189" s="49" t="s">
        <v>26</v>
      </c>
      <c r="L2189" s="49" t="s">
        <v>23</v>
      </c>
      <c r="M2189" s="36">
        <f t="shared" si="26"/>
        <v>45793.67431</v>
      </c>
      <c r="N2189" s="30" t="str">
        <f t="shared" si="27"/>
        <v>Selesai</v>
      </c>
      <c r="O2189" s="45">
        <f t="shared" si="23"/>
        <v>45793.67431</v>
      </c>
      <c r="P2189" s="47" t="b">
        <v>1</v>
      </c>
      <c r="Q2189" s="36">
        <f t="shared" si="24"/>
        <v>45793.67431</v>
      </c>
      <c r="R2189" s="47" t="b">
        <v>0</v>
      </c>
      <c r="S2189" s="42" t="str">
        <f t="shared" si="28"/>
        <v/>
      </c>
      <c r="T2189" s="42"/>
    </row>
    <row r="2190" ht="22.5" customHeight="1">
      <c r="B2190" s="42">
        <f t="shared" si="7"/>
        <v>2184</v>
      </c>
      <c r="C2190" s="31" t="s">
        <v>2288</v>
      </c>
      <c r="D2190" s="34" t="str">
        <f t="array" ref="D2190">IFNA(_xlfn.XLOOKUP(C2190,Table_Tarikan_Warkah[Nomor Sertipikat],Table_Tarikan_Warkah[Nomor Tiket]),"")</f>
        <v>K/10/240425/1</v>
      </c>
      <c r="E2190" s="36">
        <f t="array" ref="E2190">IFNA(_xlfn.XLOOKUP(D2190,Table_Tarikan_Warkah[Nomor Tiket],Table_Tarikan_Warkah[Tanggal diserahkan kepada Validator]),"")</f>
        <v>45796.4642</v>
      </c>
      <c r="F2190" s="36" t="str">
        <f t="array" ref="F2190">IFNA(_xlfn.XLOOKUP(D2190,Table_Tarikan_Warkah[Nomor Tiket],Table_Tarikan_Warkah[Nama Petugas Warkah]),"")</f>
        <v>Berry</v>
      </c>
      <c r="G2190" s="39" t="str">
        <f t="array" ref="G2190">IFNA(_xlfn.XLOOKUP(D2190,Table_Tarikan_Warkah[Nomor Tiket],Table_Tarikan_Warkah[Jenis Permohonan]),"")</f>
        <v>BN Jual Beli</v>
      </c>
      <c r="H2190" s="41" t="s">
        <v>20</v>
      </c>
      <c r="I2190" s="49" t="s">
        <v>23</v>
      </c>
      <c r="J2190" s="36">
        <f t="shared" si="20"/>
        <v>45792.66029</v>
      </c>
      <c r="K2190" s="49" t="s">
        <v>26</v>
      </c>
      <c r="L2190" s="49" t="s">
        <v>23</v>
      </c>
      <c r="M2190" s="36">
        <f t="shared" si="26"/>
        <v>45793.67431</v>
      </c>
      <c r="N2190" s="30" t="str">
        <f t="shared" si="27"/>
        <v>Selesai</v>
      </c>
      <c r="O2190" s="45">
        <f t="shared" si="23"/>
        <v>45793.67431</v>
      </c>
      <c r="P2190" s="47" t="b">
        <v>1</v>
      </c>
      <c r="Q2190" s="36">
        <f t="shared" si="24"/>
        <v>45793.67431</v>
      </c>
      <c r="R2190" s="47" t="b">
        <v>0</v>
      </c>
      <c r="S2190" s="42" t="str">
        <f t="shared" si="28"/>
        <v/>
      </c>
      <c r="T2190" s="42"/>
    </row>
    <row r="2191" ht="22.5" customHeight="1">
      <c r="B2191" s="42">
        <f t="shared" si="7"/>
        <v>2185</v>
      </c>
      <c r="C2191" s="31" t="s">
        <v>2289</v>
      </c>
      <c r="D2191" s="34" t="str">
        <f t="array" ref="D2191">IFNA(_xlfn.XLOOKUP(C2191,Table_Tarikan_Warkah[Nomor Sertipikat],Table_Tarikan_Warkah[Nomor Tiket]),"")</f>
        <v>K/19/300425/2</v>
      </c>
      <c r="E2191" s="36">
        <f t="array" ref="E2191">IFNA(_xlfn.XLOOKUP(D2191,Table_Tarikan_Warkah[Nomor Tiket],Table_Tarikan_Warkah[Tanggal diserahkan kepada Validator]),"")</f>
        <v>45813.4777</v>
      </c>
      <c r="F2191" s="36" t="str">
        <f t="array" ref="F2191">IFNA(_xlfn.XLOOKUP(D2191,Table_Tarikan_Warkah[Nomor Tiket],Table_Tarikan_Warkah[Nama Petugas Warkah]),"")</f>
        <v>David</v>
      </c>
      <c r="G2191" s="39" t="str">
        <f t="array" ref="G2191">IFNA(_xlfn.XLOOKUP(D2191,Table_Tarikan_Warkah[Nomor Tiket],Table_Tarikan_Warkah[Jenis Permohonan]),"")</f>
        <v>Roya</v>
      </c>
      <c r="H2191" s="41" t="s">
        <v>20</v>
      </c>
      <c r="I2191" s="49" t="s">
        <v>23</v>
      </c>
      <c r="J2191" s="36">
        <f t="shared" si="20"/>
        <v>45792.6604</v>
      </c>
      <c r="K2191" s="49" t="s">
        <v>26</v>
      </c>
      <c r="L2191" s="49" t="s">
        <v>23</v>
      </c>
      <c r="M2191" s="36">
        <f t="shared" si="26"/>
        <v>45793.67431</v>
      </c>
      <c r="N2191" s="30" t="str">
        <f t="shared" si="27"/>
        <v>Selesai</v>
      </c>
      <c r="O2191" s="45">
        <f t="shared" si="23"/>
        <v>45793.67431</v>
      </c>
      <c r="P2191" s="47" t="b">
        <v>1</v>
      </c>
      <c r="Q2191" s="36">
        <f t="shared" si="24"/>
        <v>45793.67431</v>
      </c>
      <c r="R2191" s="47" t="b">
        <v>0</v>
      </c>
      <c r="S2191" s="42" t="str">
        <f t="shared" si="28"/>
        <v/>
      </c>
      <c r="T2191" s="42"/>
    </row>
    <row r="2192" ht="22.5" customHeight="1">
      <c r="B2192" s="42">
        <f t="shared" si="7"/>
        <v>2186</v>
      </c>
      <c r="C2192" s="31" t="s">
        <v>2290</v>
      </c>
      <c r="D2192" s="34" t="str">
        <f t="array" ref="D2192">IFNA(_xlfn.XLOOKUP(C2192,Table_Tarikan_Warkah[Nomor Sertipikat],Table_Tarikan_Warkah[Nomor Tiket]),"")</f>
        <v>K/18/060525/1</v>
      </c>
      <c r="E2192" s="36">
        <f t="array" ref="E2192">IFNA(_xlfn.XLOOKUP(D2192,Table_Tarikan_Warkah[Nomor Tiket],Table_Tarikan_Warkah[Tanggal diserahkan kepada Validator]),"")</f>
        <v>45796.47264</v>
      </c>
      <c r="F2192" s="36" t="str">
        <f t="array" ref="F2192">IFNA(_xlfn.XLOOKUP(D2192,Table_Tarikan_Warkah[Nomor Tiket],Table_Tarikan_Warkah[Nama Petugas Warkah]),"")</f>
        <v>Berry</v>
      </c>
      <c r="G2192" s="39" t="str">
        <f t="array" ref="G2192">IFNA(_xlfn.XLOOKUP(D2192,Table_Tarikan_Warkah[Nomor Tiket],Table_Tarikan_Warkah[Jenis Permohonan]),"")</f>
        <v>BN Hibah</v>
      </c>
      <c r="H2192" s="41" t="s">
        <v>20</v>
      </c>
      <c r="I2192" s="49" t="s">
        <v>23</v>
      </c>
      <c r="J2192" s="36">
        <f t="shared" si="20"/>
        <v>45792.66048</v>
      </c>
      <c r="K2192" s="49" t="s">
        <v>26</v>
      </c>
      <c r="L2192" s="49" t="s">
        <v>23</v>
      </c>
      <c r="M2192" s="36">
        <f t="shared" si="26"/>
        <v>45793.67431</v>
      </c>
      <c r="N2192" s="30" t="str">
        <f t="shared" si="27"/>
        <v>Selesai</v>
      </c>
      <c r="O2192" s="45">
        <f t="shared" si="23"/>
        <v>45793.67431</v>
      </c>
      <c r="P2192" s="47" t="b">
        <v>1</v>
      </c>
      <c r="Q2192" s="36">
        <f t="shared" si="24"/>
        <v>45793.67431</v>
      </c>
      <c r="R2192" s="47" t="b">
        <v>0</v>
      </c>
      <c r="S2192" s="42" t="str">
        <f t="shared" si="28"/>
        <v/>
      </c>
      <c r="T2192" s="42"/>
    </row>
    <row r="2193" ht="22.5" customHeight="1">
      <c r="B2193" s="42">
        <f t="shared" si="7"/>
        <v>2187</v>
      </c>
      <c r="C2193" s="31" t="s">
        <v>2291</v>
      </c>
      <c r="D2193" s="34" t="str">
        <f t="array" ref="D2193">IFNA(_xlfn.XLOOKUP(C2193,Table_Tarikan_Warkah[Nomor Sertipikat],Table_Tarikan_Warkah[Nomor Tiket]),"")</f>
        <v>L/48/240325/2</v>
      </c>
      <c r="E2193" s="36">
        <f t="array" ref="E2193">IFNA(_xlfn.XLOOKUP(D2193,Table_Tarikan_Warkah[Nomor Tiket],Table_Tarikan_Warkah[Tanggal diserahkan kepada Validator]),"")</f>
        <v>45797.60157</v>
      </c>
      <c r="F2193" s="36" t="str">
        <f t="array" ref="F2193">IFNA(_xlfn.XLOOKUP(D2193,Table_Tarikan_Warkah[Nomor Tiket],Table_Tarikan_Warkah[Nama Petugas Warkah]),"")</f>
        <v>Alfiansyah</v>
      </c>
      <c r="G2193" s="39" t="str">
        <f t="array" ref="G2193">IFNA(_xlfn.XLOOKUP(D2193,Table_Tarikan_Warkah[Nomor Tiket],Table_Tarikan_Warkah[Jenis Permohonan]),"")</f>
        <v>GANTI BLANGKO</v>
      </c>
      <c r="H2193" s="41" t="s">
        <v>20</v>
      </c>
      <c r="I2193" s="49" t="s">
        <v>23</v>
      </c>
      <c r="J2193" s="36">
        <f t="shared" si="20"/>
        <v>45792.66057</v>
      </c>
      <c r="K2193" s="49" t="s">
        <v>26</v>
      </c>
      <c r="L2193" s="49" t="s">
        <v>23</v>
      </c>
      <c r="M2193" s="36">
        <f t="shared" si="26"/>
        <v>45793.67431</v>
      </c>
      <c r="N2193" s="30" t="str">
        <f t="shared" si="27"/>
        <v>Selesai</v>
      </c>
      <c r="O2193" s="45">
        <f t="shared" si="23"/>
        <v>45793.67431</v>
      </c>
      <c r="P2193" s="47" t="b">
        <v>1</v>
      </c>
      <c r="Q2193" s="36">
        <f t="shared" si="24"/>
        <v>45793.67431</v>
      </c>
      <c r="R2193" s="47" t="b">
        <v>0</v>
      </c>
      <c r="S2193" s="42" t="str">
        <f t="shared" si="28"/>
        <v/>
      </c>
      <c r="T2193" s="42"/>
    </row>
    <row r="2194" ht="22.5" customHeight="1">
      <c r="B2194" s="42">
        <f t="shared" si="7"/>
        <v>2188</v>
      </c>
      <c r="C2194" s="31" t="s">
        <v>2292</v>
      </c>
      <c r="D2194" s="34" t="str">
        <f t="array" ref="D2194">IFNA(_xlfn.XLOOKUP(C2194,Table_Tarikan_Warkah[Nomor Sertipikat],Table_Tarikan_Warkah[Nomor Tiket]),"")</f>
        <v>L/13/070525/1</v>
      </c>
      <c r="E2194" s="36">
        <f t="array" ref="E2194">IFNA(_xlfn.XLOOKUP(D2194,Table_Tarikan_Warkah[Nomor Tiket],Table_Tarikan_Warkah[Tanggal diserahkan kepada Validator]),"")</f>
        <v>45819.36353</v>
      </c>
      <c r="F2194" s="36" t="str">
        <f t="array" ref="F2194">IFNA(_xlfn.XLOOKUP(D2194,Table_Tarikan_Warkah[Nomor Tiket],Table_Tarikan_Warkah[Nama Petugas Warkah]),"")</f>
        <v>David</v>
      </c>
      <c r="G2194" s="39" t="str">
        <f t="array" ref="G2194">IFNA(_xlfn.XLOOKUP(D2194,Table_Tarikan_Warkah[Nomor Tiket],Table_Tarikan_Warkah[Jenis Permohonan]),"")</f>
        <v>ROYA</v>
      </c>
      <c r="H2194" s="41" t="s">
        <v>20</v>
      </c>
      <c r="I2194" s="49" t="s">
        <v>23</v>
      </c>
      <c r="J2194" s="36">
        <f t="shared" si="20"/>
        <v>45792.66067</v>
      </c>
      <c r="K2194" s="49" t="s">
        <v>26</v>
      </c>
      <c r="L2194" s="49" t="s">
        <v>23</v>
      </c>
      <c r="M2194" s="36">
        <f t="shared" si="26"/>
        <v>45793.67431</v>
      </c>
      <c r="N2194" s="30" t="str">
        <f t="shared" si="27"/>
        <v>Selesai</v>
      </c>
      <c r="O2194" s="45">
        <f t="shared" si="23"/>
        <v>45793.67431</v>
      </c>
      <c r="P2194" s="47" t="b">
        <v>1</v>
      </c>
      <c r="Q2194" s="36">
        <f t="shared" si="24"/>
        <v>45793.67431</v>
      </c>
      <c r="R2194" s="47" t="b">
        <v>0</v>
      </c>
      <c r="S2194" s="42" t="str">
        <f t="shared" si="28"/>
        <v/>
      </c>
      <c r="T2194" s="42"/>
    </row>
    <row r="2195" ht="22.5" customHeight="1">
      <c r="B2195" s="42">
        <f t="shared" si="7"/>
        <v>2189</v>
      </c>
      <c r="C2195" s="31" t="s">
        <v>2293</v>
      </c>
      <c r="D2195" s="34" t="str">
        <f t="array" ref="D2195">IFNA(_xlfn.XLOOKUP(C2195,Table_Tarikan_Warkah[Nomor Sertipikat],Table_Tarikan_Warkah[Nomor Tiket]),"")</f>
        <v>K/9/240425/1</v>
      </c>
      <c r="E2195" s="36" t="str">
        <f t="array" ref="E2195">IFNA(_xlfn.XLOOKUP(D2195,Table_Tarikan_Warkah[Nomor Tiket],Table_Tarikan_Warkah[Tanggal diserahkan kepada Validator]),"")</f>
        <v/>
      </c>
      <c r="F2195" s="36" t="str">
        <f t="array" ref="F2195">IFNA(_xlfn.XLOOKUP(D2195,Table_Tarikan_Warkah[Nomor Tiket],Table_Tarikan_Warkah[Nama Petugas Warkah]),"")</f>
        <v/>
      </c>
      <c r="G2195" s="39" t="str">
        <f t="array" ref="G2195">IFNA(_xlfn.XLOOKUP(D2195,Table_Tarikan_Warkah[Nomor Tiket],Table_Tarikan_Warkah[Jenis Permohonan]),"")</f>
        <v>PEMECAHAN</v>
      </c>
      <c r="H2195" s="41" t="s">
        <v>20</v>
      </c>
      <c r="I2195" s="49" t="s">
        <v>23</v>
      </c>
      <c r="J2195" s="36">
        <f t="shared" si="20"/>
        <v>45792.66074</v>
      </c>
      <c r="K2195" s="49" t="s">
        <v>26</v>
      </c>
      <c r="L2195" s="49" t="s">
        <v>23</v>
      </c>
      <c r="M2195" s="36">
        <f t="shared" si="26"/>
        <v>45793.67431</v>
      </c>
      <c r="N2195" s="30" t="str">
        <f t="shared" si="27"/>
        <v>Selesai</v>
      </c>
      <c r="O2195" s="45">
        <f t="shared" si="23"/>
        <v>45793.67431</v>
      </c>
      <c r="P2195" s="47" t="b">
        <v>1</v>
      </c>
      <c r="Q2195" s="36">
        <f t="shared" si="24"/>
        <v>45793.67431</v>
      </c>
      <c r="R2195" s="47" t="b">
        <v>0</v>
      </c>
      <c r="S2195" s="42" t="str">
        <f t="shared" si="28"/>
        <v/>
      </c>
      <c r="T2195" s="42"/>
    </row>
    <row r="2196" ht="22.5" customHeight="1">
      <c r="B2196" s="42">
        <f t="shared" si="7"/>
        <v>2190</v>
      </c>
      <c r="C2196" s="31" t="s">
        <v>2294</v>
      </c>
      <c r="D2196" s="34" t="str">
        <f t="array" ref="D2196">IFNA(_xlfn.XLOOKUP(C2196,Table_Tarikan_Warkah[Nomor Sertipikat],Table_Tarikan_Warkah[Nomor Tiket]),"")</f>
        <v>K/11/060525/1</v>
      </c>
      <c r="E2196" s="36">
        <f t="array" ref="E2196">IFNA(_xlfn.XLOOKUP(D2196,Table_Tarikan_Warkah[Nomor Tiket],Table_Tarikan_Warkah[Tanggal diserahkan kepada Validator]),"")</f>
        <v>45803.43846</v>
      </c>
      <c r="F2196" s="36" t="str">
        <f t="array" ref="F2196">IFNA(_xlfn.XLOOKUP(D2196,Table_Tarikan_Warkah[Nomor Tiket],Table_Tarikan_Warkah[Nama Petugas Warkah]),"")</f>
        <v>Berry</v>
      </c>
      <c r="G2196" s="39" t="str">
        <f t="array" ref="G2196">IFNA(_xlfn.XLOOKUP(D2196,Table_Tarikan_Warkah[Nomor Tiket],Table_Tarikan_Warkah[Jenis Permohonan]),"")</f>
        <v>BN WARIS</v>
      </c>
      <c r="H2196" s="41" t="s">
        <v>20</v>
      </c>
      <c r="I2196" s="49" t="s">
        <v>23</v>
      </c>
      <c r="J2196" s="36">
        <f t="shared" si="20"/>
        <v>45792.66088</v>
      </c>
      <c r="K2196" s="49" t="s">
        <v>26</v>
      </c>
      <c r="L2196" s="49" t="s">
        <v>23</v>
      </c>
      <c r="M2196" s="36">
        <f t="shared" si="26"/>
        <v>45793.67431</v>
      </c>
      <c r="N2196" s="30" t="str">
        <f t="shared" si="27"/>
        <v>Selesai</v>
      </c>
      <c r="O2196" s="45">
        <f t="shared" si="23"/>
        <v>45793.67431</v>
      </c>
      <c r="P2196" s="47" t="b">
        <v>1</v>
      </c>
      <c r="Q2196" s="36">
        <f t="shared" si="24"/>
        <v>45793.67431</v>
      </c>
      <c r="R2196" s="47" t="b">
        <v>0</v>
      </c>
      <c r="S2196" s="42" t="str">
        <f t="shared" si="28"/>
        <v/>
      </c>
      <c r="T2196" s="42"/>
    </row>
    <row r="2197" ht="22.5" customHeight="1">
      <c r="B2197" s="42">
        <f t="shared" si="7"/>
        <v>2191</v>
      </c>
      <c r="C2197" s="31" t="s">
        <v>2295</v>
      </c>
      <c r="D2197" s="34" t="str">
        <f t="array" ref="D2197">IFNA(_xlfn.XLOOKUP(C2197,Table_Tarikan_Warkah[Nomor Sertipikat],Table_Tarikan_Warkah[Nomor Tiket]),"")</f>
        <v>K/18/290425/1</v>
      </c>
      <c r="E2197" s="36">
        <f t="array" ref="E2197">IFNA(_xlfn.XLOOKUP(D2197,Table_Tarikan_Warkah[Nomor Tiket],Table_Tarikan_Warkah[Tanggal diserahkan kepada Validator]),"")</f>
        <v>45796.4703</v>
      </c>
      <c r="F2197" s="36" t="str">
        <f t="array" ref="F2197">IFNA(_xlfn.XLOOKUP(D2197,Table_Tarikan_Warkah[Nomor Tiket],Table_Tarikan_Warkah[Nama Petugas Warkah]),"")</f>
        <v>Berry</v>
      </c>
      <c r="G2197" s="39" t="str">
        <f t="array" ref="G2197">IFNA(_xlfn.XLOOKUP(D2197,Table_Tarikan_Warkah[Nomor Tiket],Table_Tarikan_Warkah[Jenis Permohonan]),"")</f>
        <v>BN JUAL BELI</v>
      </c>
      <c r="H2197" s="41" t="s">
        <v>20</v>
      </c>
      <c r="I2197" s="49" t="s">
        <v>23</v>
      </c>
      <c r="J2197" s="36">
        <f t="shared" si="20"/>
        <v>45792.66098</v>
      </c>
      <c r="K2197" s="49" t="s">
        <v>26</v>
      </c>
      <c r="L2197" s="49" t="s">
        <v>23</v>
      </c>
      <c r="M2197" s="36">
        <f t="shared" si="26"/>
        <v>45793.67431</v>
      </c>
      <c r="N2197" s="30" t="str">
        <f t="shared" si="27"/>
        <v>Selesai</v>
      </c>
      <c r="O2197" s="45">
        <f t="shared" si="23"/>
        <v>45793.67431</v>
      </c>
      <c r="P2197" s="47" t="b">
        <v>1</v>
      </c>
      <c r="Q2197" s="36">
        <f t="shared" si="24"/>
        <v>45793.67431</v>
      </c>
      <c r="R2197" s="47" t="b">
        <v>0</v>
      </c>
      <c r="S2197" s="42" t="str">
        <f t="shared" si="28"/>
        <v/>
      </c>
      <c r="T2197" s="42"/>
    </row>
    <row r="2198" ht="22.5" customHeight="1">
      <c r="B2198" s="42">
        <f t="shared" si="7"/>
        <v>2192</v>
      </c>
      <c r="C2198" s="31" t="s">
        <v>2296</v>
      </c>
      <c r="D2198" s="34" t="str">
        <f t="array" ref="D2198">IFNA(_xlfn.XLOOKUP(C2198,Table_Tarikan_Warkah[Nomor Sertipikat],Table_Tarikan_Warkah[Nomor Tiket]),"")</f>
        <v>K/31/300425/1</v>
      </c>
      <c r="E2198" s="36">
        <f t="array" ref="E2198">IFNA(_xlfn.XLOOKUP(D2198,Table_Tarikan_Warkah[Nomor Tiket],Table_Tarikan_Warkah[Tanggal diserahkan kepada Validator]),"")</f>
        <v>45796.45948</v>
      </c>
      <c r="F2198" s="36" t="str">
        <f t="array" ref="F2198">IFNA(_xlfn.XLOOKUP(D2198,Table_Tarikan_Warkah[Nomor Tiket],Table_Tarikan_Warkah[Nama Petugas Warkah]),"")</f>
        <v>Berry</v>
      </c>
      <c r="G2198" s="39" t="str">
        <f t="array" ref="G2198">IFNA(_xlfn.XLOOKUP(D2198,Table_Tarikan_Warkah[Nomor Tiket],Table_Tarikan_Warkah[Jenis Permohonan]),"")</f>
        <v>BN JUAL BELI</v>
      </c>
      <c r="H2198" s="41" t="s">
        <v>20</v>
      </c>
      <c r="I2198" s="49" t="s">
        <v>23</v>
      </c>
      <c r="J2198" s="36">
        <f t="shared" si="20"/>
        <v>45792.66108</v>
      </c>
      <c r="K2198" s="49" t="s">
        <v>26</v>
      </c>
      <c r="L2198" s="49" t="s">
        <v>23</v>
      </c>
      <c r="M2198" s="36">
        <f t="shared" si="26"/>
        <v>45793.67431</v>
      </c>
      <c r="N2198" s="30" t="str">
        <f t="shared" si="27"/>
        <v>Selesai</v>
      </c>
      <c r="O2198" s="45">
        <f t="shared" si="23"/>
        <v>45793.67431</v>
      </c>
      <c r="P2198" s="47" t="b">
        <v>1</v>
      </c>
      <c r="Q2198" s="36">
        <f t="shared" si="24"/>
        <v>45793.67431</v>
      </c>
      <c r="R2198" s="47" t="b">
        <v>0</v>
      </c>
      <c r="S2198" s="42" t="str">
        <f t="shared" si="28"/>
        <v/>
      </c>
      <c r="T2198" s="42"/>
    </row>
    <row r="2199" ht="22.5" customHeight="1">
      <c r="B2199" s="42">
        <f t="shared" si="7"/>
        <v>2193</v>
      </c>
      <c r="C2199" s="31" t="s">
        <v>2297</v>
      </c>
      <c r="D2199" s="34" t="str">
        <f t="array" ref="D2199">IFNA(_xlfn.XLOOKUP(C2199,Table_Tarikan_Warkah[Nomor Sertipikat],Table_Tarikan_Warkah[Nomor Tiket]),"")</f>
        <v>K/29/300425/1</v>
      </c>
      <c r="E2199" s="36">
        <f t="array" ref="E2199">IFNA(_xlfn.XLOOKUP(D2199,Table_Tarikan_Warkah[Nomor Tiket],Table_Tarikan_Warkah[Tanggal diserahkan kepada Validator]),"")</f>
        <v>45796.47312</v>
      </c>
      <c r="F2199" s="36" t="str">
        <f t="array" ref="F2199">IFNA(_xlfn.XLOOKUP(D2199,Table_Tarikan_Warkah[Nomor Tiket],Table_Tarikan_Warkah[Nama Petugas Warkah]),"")</f>
        <v>Berry</v>
      </c>
      <c r="G2199" s="39" t="str">
        <f t="array" ref="G2199">IFNA(_xlfn.XLOOKUP(D2199,Table_Tarikan_Warkah[Nomor Tiket],Table_Tarikan_Warkah[Jenis Permohonan]),"")</f>
        <v>BN JUAL BELI</v>
      </c>
      <c r="H2199" s="41" t="s">
        <v>20</v>
      </c>
      <c r="I2199" s="49" t="s">
        <v>23</v>
      </c>
      <c r="J2199" s="36">
        <f t="shared" si="20"/>
        <v>45792.66119</v>
      </c>
      <c r="K2199" s="49" t="s">
        <v>26</v>
      </c>
      <c r="L2199" s="49" t="s">
        <v>23</v>
      </c>
      <c r="M2199" s="36">
        <f t="shared" si="26"/>
        <v>45793.67431</v>
      </c>
      <c r="N2199" s="30" t="str">
        <f t="shared" si="27"/>
        <v>Selesai</v>
      </c>
      <c r="O2199" s="45">
        <f t="shared" si="23"/>
        <v>45793.67431</v>
      </c>
      <c r="P2199" s="47" t="b">
        <v>1</v>
      </c>
      <c r="Q2199" s="36">
        <f t="shared" si="24"/>
        <v>45793.67431</v>
      </c>
      <c r="R2199" s="47" t="b">
        <v>0</v>
      </c>
      <c r="S2199" s="42" t="str">
        <f t="shared" si="28"/>
        <v/>
      </c>
      <c r="T2199" s="42"/>
    </row>
    <row r="2200" ht="22.5" customHeight="1">
      <c r="B2200" s="42">
        <f t="shared" si="7"/>
        <v>2194</v>
      </c>
      <c r="C2200" s="31" t="s">
        <v>2298</v>
      </c>
      <c r="D2200" s="34" t="str">
        <f t="array" ref="D2200">IFNA(_xlfn.XLOOKUP(C2200,Table_Tarikan_Warkah[Nomor Sertipikat],Table_Tarikan_Warkah[Nomor Tiket]),"")</f>
        <v>K/14/230425/3</v>
      </c>
      <c r="E2200" s="36">
        <f t="array" ref="E2200">IFNA(_xlfn.XLOOKUP(D2200,Table_Tarikan_Warkah[Nomor Tiket],Table_Tarikan_Warkah[Tanggal diserahkan kepada Validator]),"")</f>
        <v>45796.46694</v>
      </c>
      <c r="F2200" s="36" t="str">
        <f t="array" ref="F2200">IFNA(_xlfn.XLOOKUP(D2200,Table_Tarikan_Warkah[Nomor Tiket],Table_Tarikan_Warkah[Nama Petugas Warkah]),"")</f>
        <v>Berry</v>
      </c>
      <c r="G2200" s="39" t="str">
        <f t="array" ref="G2200">IFNA(_xlfn.XLOOKUP(D2200,Table_Tarikan_Warkah[Nomor Tiket],Table_Tarikan_Warkah[Jenis Permohonan]),"")</f>
        <v>BN JUAL BELI</v>
      </c>
      <c r="H2200" s="41" t="s">
        <v>20</v>
      </c>
      <c r="I2200" s="49" t="s">
        <v>23</v>
      </c>
      <c r="J2200" s="36">
        <f t="shared" si="20"/>
        <v>45792.66131</v>
      </c>
      <c r="K2200" s="49" t="s">
        <v>26</v>
      </c>
      <c r="L2200" s="49" t="s">
        <v>23</v>
      </c>
      <c r="M2200" s="36">
        <f t="shared" si="26"/>
        <v>45793.67431</v>
      </c>
      <c r="N2200" s="30" t="str">
        <f t="shared" si="27"/>
        <v>Selesai</v>
      </c>
      <c r="O2200" s="45">
        <f t="shared" si="23"/>
        <v>45793.67431</v>
      </c>
      <c r="P2200" s="47" t="b">
        <v>1</v>
      </c>
      <c r="Q2200" s="36">
        <f t="shared" si="24"/>
        <v>45793.67431</v>
      </c>
      <c r="R2200" s="47" t="b">
        <v>0</v>
      </c>
      <c r="S2200" s="42" t="str">
        <f t="shared" si="28"/>
        <v/>
      </c>
      <c r="T2200" s="42"/>
    </row>
    <row r="2201" ht="22.5" customHeight="1">
      <c r="B2201" s="42">
        <f t="shared" si="7"/>
        <v>2195</v>
      </c>
      <c r="C2201" s="31" t="s">
        <v>2299</v>
      </c>
      <c r="D2201" s="34" t="str">
        <f t="array" ref="D2201">IFNA(_xlfn.XLOOKUP(C2201,Table_Tarikan_Warkah[Nomor Sertipikat],Table_Tarikan_Warkah[Nomor Tiket]),"")</f>
        <v>K/5/240425/2</v>
      </c>
      <c r="E2201" s="36" t="str">
        <f t="array" ref="E2201">IFNA(_xlfn.XLOOKUP(D2201,Table_Tarikan_Warkah[Nomor Tiket],Table_Tarikan_Warkah[Tanggal diserahkan kepada Validator]),"")</f>
        <v/>
      </c>
      <c r="F2201" s="36" t="str">
        <f t="array" ref="F2201">IFNA(_xlfn.XLOOKUP(D2201,Table_Tarikan_Warkah[Nomor Tiket],Table_Tarikan_Warkah[Nama Petugas Warkah]),"")</f>
        <v/>
      </c>
      <c r="G2201" s="39" t="str">
        <f t="array" ref="G2201">IFNA(_xlfn.XLOOKUP(D2201,Table_Tarikan_Warkah[Nomor Tiket],Table_Tarikan_Warkah[Jenis Permohonan]),"")</f>
        <v>BN Jual Beli</v>
      </c>
      <c r="H2201" s="41" t="s">
        <v>20</v>
      </c>
      <c r="I2201" s="49" t="s">
        <v>23</v>
      </c>
      <c r="J2201" s="36">
        <f t="shared" si="20"/>
        <v>45792.68647</v>
      </c>
      <c r="K2201" s="49" t="s">
        <v>197</v>
      </c>
      <c r="L2201" s="49" t="s">
        <v>23</v>
      </c>
      <c r="M2201" s="36">
        <f t="shared" si="26"/>
        <v>45792.68657</v>
      </c>
      <c r="N2201" s="30" t="str">
        <f t="shared" si="27"/>
        <v>Selesai</v>
      </c>
      <c r="O2201" s="45">
        <f t="shared" si="23"/>
        <v>45792.68657</v>
      </c>
      <c r="P2201" s="47" t="b">
        <v>1</v>
      </c>
      <c r="Q2201" s="36">
        <f t="shared" si="24"/>
        <v>45792.68659</v>
      </c>
      <c r="R2201" s="47" t="b">
        <v>0</v>
      </c>
      <c r="S2201" s="42" t="str">
        <f t="shared" si="28"/>
        <v/>
      </c>
      <c r="T2201" s="42"/>
    </row>
    <row r="2202" ht="22.5" customHeight="1">
      <c r="B2202" s="42">
        <f t="shared" si="7"/>
        <v>2196</v>
      </c>
      <c r="C2202" s="31" t="s">
        <v>2256</v>
      </c>
      <c r="D2202" s="34" t="str">
        <f t="array" ref="D2202">IFNA(_xlfn.XLOOKUP(C2202,Table_Tarikan_Warkah[Nomor Sertipikat],Table_Tarikan_Warkah[Nomor Tiket]),"")</f>
        <v>K/19/240425/2</v>
      </c>
      <c r="E2202" s="36" t="str">
        <f t="array" ref="E2202">IFNA(_xlfn.XLOOKUP(D2202,Table_Tarikan_Warkah[Nomor Tiket],Table_Tarikan_Warkah[Tanggal diserahkan kepada Validator]),"")</f>
        <v/>
      </c>
      <c r="F2202" s="36" t="str">
        <f t="array" ref="F2202">IFNA(_xlfn.XLOOKUP(D2202,Table_Tarikan_Warkah[Nomor Tiket],Table_Tarikan_Warkah[Nama Petugas Warkah]),"")</f>
        <v/>
      </c>
      <c r="G2202" s="39" t="str">
        <f t="array" ref="G2202">IFNA(_xlfn.XLOOKUP(D2202,Table_Tarikan_Warkah[Nomor Tiket],Table_Tarikan_Warkah[Jenis Permohonan]),"")</f>
        <v>BN JUAL BELI</v>
      </c>
      <c r="H2202" s="41" t="s">
        <v>20</v>
      </c>
      <c r="I2202" s="49" t="s">
        <v>23</v>
      </c>
      <c r="J2202" s="36">
        <f t="shared" si="20"/>
        <v>45792.68673</v>
      </c>
      <c r="K2202" s="49" t="s">
        <v>197</v>
      </c>
      <c r="L2202" s="49" t="s">
        <v>23</v>
      </c>
      <c r="M2202" s="36">
        <f t="shared" si="26"/>
        <v>45792.68675</v>
      </c>
      <c r="N2202" s="30" t="str">
        <f t="shared" si="27"/>
        <v>Selesai</v>
      </c>
      <c r="O2202" s="45">
        <f t="shared" si="23"/>
        <v>45792.68675</v>
      </c>
      <c r="P2202" s="47" t="b">
        <v>1</v>
      </c>
      <c r="Q2202" s="36">
        <f t="shared" si="24"/>
        <v>45792.68678</v>
      </c>
      <c r="R2202" s="47" t="b">
        <v>0</v>
      </c>
      <c r="S2202" s="42" t="str">
        <f t="shared" si="28"/>
        <v/>
      </c>
      <c r="T2202" s="42"/>
    </row>
    <row r="2203" ht="22.5" customHeight="1">
      <c r="B2203" s="42">
        <f t="shared" si="7"/>
        <v>2197</v>
      </c>
      <c r="C2203" s="31" t="s">
        <v>2300</v>
      </c>
      <c r="D2203" s="34" t="str">
        <f t="array" ref="D2203">IFNA(_xlfn.XLOOKUP(C2203,Table_Tarikan_Warkah[Nomor Sertipikat],Table_Tarikan_Warkah[Nomor Tiket]),"")</f>
        <v>K/37/170325/1</v>
      </c>
      <c r="E2203" s="36">
        <f t="array" ref="E2203">IFNA(_xlfn.XLOOKUP(D2203,Table_Tarikan_Warkah[Nomor Tiket],Table_Tarikan_Warkah[Tanggal diserahkan kepada Validator]),"")</f>
        <v>45769.43216</v>
      </c>
      <c r="F2203" s="36" t="str">
        <f t="array" ref="F2203">IFNA(_xlfn.XLOOKUP(D2203,Table_Tarikan_Warkah[Nomor Tiket],Table_Tarikan_Warkah[Nama Petugas Warkah]),"")</f>
        <v/>
      </c>
      <c r="G2203" s="39" t="str">
        <f t="array" ref="G2203">IFNA(_xlfn.XLOOKUP(D2203,Table_Tarikan_Warkah[Nomor Tiket],Table_Tarikan_Warkah[Jenis Permohonan]),"")</f>
        <v>BN Jual Beli</v>
      </c>
      <c r="H2203" s="41" t="s">
        <v>20</v>
      </c>
      <c r="I2203" s="49" t="s">
        <v>23</v>
      </c>
      <c r="J2203" s="36">
        <f t="shared" si="20"/>
        <v>45792.68697</v>
      </c>
      <c r="K2203" s="49" t="s">
        <v>197</v>
      </c>
      <c r="L2203" s="49" t="s">
        <v>23</v>
      </c>
      <c r="M2203" s="36">
        <f t="shared" si="26"/>
        <v>45792.68698</v>
      </c>
      <c r="N2203" s="30" t="str">
        <f t="shared" si="27"/>
        <v>Selesai</v>
      </c>
      <c r="O2203" s="45">
        <f t="shared" si="23"/>
        <v>45792.68698</v>
      </c>
      <c r="P2203" s="47" t="b">
        <v>1</v>
      </c>
      <c r="Q2203" s="36">
        <f t="shared" si="24"/>
        <v>45792.68701</v>
      </c>
      <c r="R2203" s="47" t="b">
        <v>0</v>
      </c>
      <c r="S2203" s="42" t="str">
        <f t="shared" si="28"/>
        <v/>
      </c>
      <c r="T2203" s="42"/>
    </row>
    <row r="2204" ht="22.5" customHeight="1">
      <c r="B2204" s="42">
        <f t="shared" si="7"/>
        <v>2198</v>
      </c>
      <c r="C2204" s="31" t="s">
        <v>2301</v>
      </c>
      <c r="D2204" s="34" t="str">
        <f t="array" ref="D2204">IFNA(_xlfn.XLOOKUP(C2204,Table_Tarikan_Warkah[Nomor Sertipikat],Table_Tarikan_Warkah[Nomor Tiket]),"")</f>
        <v>L/8/220425/1</v>
      </c>
      <c r="E2204" s="36" t="str">
        <f t="array" ref="E2204">IFNA(_xlfn.XLOOKUP(D2204,Table_Tarikan_Warkah[Nomor Tiket],Table_Tarikan_Warkah[Tanggal diserahkan kepada Validator]),"")</f>
        <v/>
      </c>
      <c r="F2204" s="36" t="str">
        <f t="array" ref="F2204">IFNA(_xlfn.XLOOKUP(D2204,Table_Tarikan_Warkah[Nomor Tiket],Table_Tarikan_Warkah[Nama Petugas Warkah]),"")</f>
        <v/>
      </c>
      <c r="G2204" s="39" t="str">
        <f t="array" ref="G2204">IFNA(_xlfn.XLOOKUP(D2204,Table_Tarikan_Warkah[Nomor Tiket],Table_Tarikan_Warkah[Jenis Permohonan]),"")</f>
        <v>BN WARIS</v>
      </c>
      <c r="H2204" s="41" t="s">
        <v>20</v>
      </c>
      <c r="I2204" s="49" t="s">
        <v>23</v>
      </c>
      <c r="J2204" s="36">
        <f t="shared" si="20"/>
        <v>45792.68713</v>
      </c>
      <c r="K2204" s="49" t="s">
        <v>197</v>
      </c>
      <c r="L2204" s="49" t="s">
        <v>23</v>
      </c>
      <c r="M2204" s="36">
        <f t="shared" si="26"/>
        <v>45792.68714</v>
      </c>
      <c r="N2204" s="30" t="str">
        <f t="shared" si="27"/>
        <v>Selesai</v>
      </c>
      <c r="O2204" s="45">
        <f t="shared" si="23"/>
        <v>45792.68714</v>
      </c>
      <c r="P2204" s="47" t="b">
        <v>1</v>
      </c>
      <c r="Q2204" s="36">
        <f t="shared" si="24"/>
        <v>45796.3964</v>
      </c>
      <c r="R2204" s="47" t="b">
        <v>0</v>
      </c>
      <c r="S2204" s="42" t="str">
        <f t="shared" si="28"/>
        <v/>
      </c>
      <c r="T2204" s="42"/>
    </row>
    <row r="2205" ht="22.5" customHeight="1">
      <c r="B2205" s="42">
        <f t="shared" si="7"/>
        <v>2199</v>
      </c>
      <c r="C2205" s="31" t="s">
        <v>2302</v>
      </c>
      <c r="D2205" s="34" t="str">
        <f t="array" ref="D2205">IFNA(_xlfn.XLOOKUP(C2205,Table_Tarikan_Warkah[Nomor Sertipikat],Table_Tarikan_Warkah[Nomor Tiket]),"")</f>
        <v>K/17/170425/1</v>
      </c>
      <c r="E2205" s="36">
        <f t="array" ref="E2205">IFNA(_xlfn.XLOOKUP(D2205,Table_Tarikan_Warkah[Nomor Tiket],Table_Tarikan_Warkah[Tanggal diserahkan kepada Validator]),"")</f>
        <v>45796.47517</v>
      </c>
      <c r="F2205" s="36" t="str">
        <f t="array" ref="F2205">IFNA(_xlfn.XLOOKUP(D2205,Table_Tarikan_Warkah[Nomor Tiket],Table_Tarikan_Warkah[Nama Petugas Warkah]),"")</f>
        <v>Berry</v>
      </c>
      <c r="G2205" s="39" t="str">
        <f t="array" ref="G2205">IFNA(_xlfn.XLOOKUP(D2205,Table_Tarikan_Warkah[Nomor Tiket],Table_Tarikan_Warkah[Jenis Permohonan]),"")</f>
        <v>BN HIBAH</v>
      </c>
      <c r="H2205" s="41" t="s">
        <v>20</v>
      </c>
      <c r="I2205" s="49" t="s">
        <v>23</v>
      </c>
      <c r="J2205" s="36">
        <f t="shared" si="20"/>
        <v>45796.39629</v>
      </c>
      <c r="K2205" s="49" t="s">
        <v>197</v>
      </c>
      <c r="L2205" s="49" t="s">
        <v>23</v>
      </c>
      <c r="M2205" s="36">
        <f t="shared" si="26"/>
        <v>45796.39635</v>
      </c>
      <c r="N2205" s="30" t="str">
        <f t="shared" si="27"/>
        <v>Selesai</v>
      </c>
      <c r="O2205" s="45">
        <f t="shared" si="23"/>
        <v>45796.39635</v>
      </c>
      <c r="P2205" s="47" t="b">
        <v>1</v>
      </c>
      <c r="Q2205" s="36">
        <f t="shared" si="24"/>
        <v>45796.39638</v>
      </c>
      <c r="R2205" s="47" t="b">
        <v>0</v>
      </c>
      <c r="S2205" s="42" t="str">
        <f t="shared" si="28"/>
        <v/>
      </c>
      <c r="T2205" s="42"/>
    </row>
    <row r="2206" ht="22.5" customHeight="1">
      <c r="B2206" s="42">
        <f t="shared" si="7"/>
        <v>2200</v>
      </c>
      <c r="C2206" s="31" t="s">
        <v>2303</v>
      </c>
      <c r="D2206" s="34" t="str">
        <f t="array" ref="D2206">IFNA(_xlfn.XLOOKUP(C2206,Table_Tarikan_Warkah[Nomor Sertipikat],Table_Tarikan_Warkah[Nomor Tiket]),"")</f>
        <v>K/30/290425/2</v>
      </c>
      <c r="E2206" s="36">
        <f t="array" ref="E2206">IFNA(_xlfn.XLOOKUP(D2206,Table_Tarikan_Warkah[Nomor Tiket],Table_Tarikan_Warkah[Tanggal diserahkan kepada Validator]),"")</f>
        <v>45796.47251</v>
      </c>
      <c r="F2206" s="36" t="str">
        <f t="array" ref="F2206">IFNA(_xlfn.XLOOKUP(D2206,Table_Tarikan_Warkah[Nomor Tiket],Table_Tarikan_Warkah[Nama Petugas Warkah]),"")</f>
        <v>Berry</v>
      </c>
      <c r="G2206" s="39" t="str">
        <f t="array" ref="G2206">IFNA(_xlfn.XLOOKUP(D2206,Table_Tarikan_Warkah[Nomor Tiket],Table_Tarikan_Warkah[Jenis Permohonan]),"")</f>
        <v>BN WARIS</v>
      </c>
      <c r="H2206" s="41" t="s">
        <v>20</v>
      </c>
      <c r="I2206" s="49" t="s">
        <v>23</v>
      </c>
      <c r="J2206" s="36">
        <f t="shared" si="20"/>
        <v>45796.39665</v>
      </c>
      <c r="K2206" s="49" t="s">
        <v>197</v>
      </c>
      <c r="L2206" s="49" t="s">
        <v>23</v>
      </c>
      <c r="M2206" s="36">
        <f t="shared" si="26"/>
        <v>45796.39669</v>
      </c>
      <c r="N2206" s="30" t="str">
        <f t="shared" si="27"/>
        <v>Selesai</v>
      </c>
      <c r="O2206" s="45">
        <f t="shared" si="23"/>
        <v>45796.39669</v>
      </c>
      <c r="P2206" s="47" t="b">
        <v>1</v>
      </c>
      <c r="Q2206" s="36">
        <f t="shared" si="24"/>
        <v>45796.39672</v>
      </c>
      <c r="R2206" s="47" t="b">
        <v>0</v>
      </c>
      <c r="S2206" s="42" t="str">
        <f t="shared" si="28"/>
        <v/>
      </c>
      <c r="T2206" s="42"/>
    </row>
    <row r="2207" ht="22.5" customHeight="1">
      <c r="B2207" s="42">
        <f t="shared" si="7"/>
        <v>2201</v>
      </c>
      <c r="C2207" s="31" t="s">
        <v>2304</v>
      </c>
      <c r="D2207" s="34" t="str">
        <f t="array" ref="D2207">IFNA(_xlfn.XLOOKUP(C2207,Table_Tarikan_Warkah[Nomor Sertipikat],Table_Tarikan_Warkah[Nomor Tiket]),"")</f>
        <v>L/25/220425/1</v>
      </c>
      <c r="E2207" s="36">
        <f t="array" ref="E2207">IFNA(_xlfn.XLOOKUP(D2207,Table_Tarikan_Warkah[Nomor Tiket],Table_Tarikan_Warkah[Tanggal diserahkan kepada Validator]),"")</f>
        <v>45796.46964</v>
      </c>
      <c r="F2207" s="36" t="str">
        <f t="array" ref="F2207">IFNA(_xlfn.XLOOKUP(D2207,Table_Tarikan_Warkah[Nomor Tiket],Table_Tarikan_Warkah[Nama Petugas Warkah]),"")</f>
        <v>Berry</v>
      </c>
      <c r="G2207" s="39" t="str">
        <f t="array" ref="G2207">IFNA(_xlfn.XLOOKUP(D2207,Table_Tarikan_Warkah[Nomor Tiket],Table_Tarikan_Warkah[Jenis Permohonan]),"")</f>
        <v>BN HIBAH</v>
      </c>
      <c r="H2207" s="41" t="s">
        <v>20</v>
      </c>
      <c r="I2207" s="49" t="s">
        <v>23</v>
      </c>
      <c r="J2207" s="36">
        <f t="shared" si="20"/>
        <v>45796.39685</v>
      </c>
      <c r="K2207" s="49" t="s">
        <v>197</v>
      </c>
      <c r="L2207" s="49" t="s">
        <v>23</v>
      </c>
      <c r="M2207" s="36">
        <f t="shared" si="26"/>
        <v>45796.39688</v>
      </c>
      <c r="N2207" s="30" t="str">
        <f t="shared" si="27"/>
        <v>Selesai</v>
      </c>
      <c r="O2207" s="45">
        <f t="shared" si="23"/>
        <v>45796.39688</v>
      </c>
      <c r="P2207" s="47" t="b">
        <v>1</v>
      </c>
      <c r="Q2207" s="36">
        <f t="shared" si="24"/>
        <v>45796.3969</v>
      </c>
      <c r="R2207" s="47" t="b">
        <v>0</v>
      </c>
      <c r="S2207" s="42" t="str">
        <f t="shared" si="28"/>
        <v/>
      </c>
      <c r="T2207" s="42"/>
    </row>
    <row r="2208" ht="22.5" customHeight="1">
      <c r="B2208" s="42">
        <f t="shared" si="7"/>
        <v>2202</v>
      </c>
      <c r="C2208" s="31" t="s">
        <v>1829</v>
      </c>
      <c r="D2208" s="34" t="str">
        <f t="array" ref="D2208">IFNA(_xlfn.XLOOKUP(C2208,Table_Tarikan_Warkah[Nomor Sertipikat],Table_Tarikan_Warkah[Nomor Tiket]),"")</f>
        <v>K/17/200325/2</v>
      </c>
      <c r="E2208" s="36">
        <f t="array" ref="E2208">IFNA(_xlfn.XLOOKUP(D2208,Table_Tarikan_Warkah[Nomor Tiket],Table_Tarikan_Warkah[Tanggal diserahkan kepada Validator]),"")</f>
        <v>45799.70893</v>
      </c>
      <c r="F2208" s="36" t="str">
        <f t="array" ref="F2208">IFNA(_xlfn.XLOOKUP(D2208,Table_Tarikan_Warkah[Nomor Tiket],Table_Tarikan_Warkah[Nama Petugas Warkah]),"")</f>
        <v>Berry</v>
      </c>
      <c r="G2208" s="39" t="str">
        <f t="array" ref="G2208">IFNA(_xlfn.XLOOKUP(D2208,Table_Tarikan_Warkah[Nomor Tiket],Table_Tarikan_Warkah[Jenis Permohonan]),"")</f>
        <v>BN Waris</v>
      </c>
      <c r="H2208" s="41" t="s">
        <v>20</v>
      </c>
      <c r="I2208" s="49" t="s">
        <v>23</v>
      </c>
      <c r="J2208" s="36">
        <f t="shared" si="20"/>
        <v>45796.57881</v>
      </c>
      <c r="K2208" s="49" t="s">
        <v>26</v>
      </c>
      <c r="L2208" s="49" t="s">
        <v>23</v>
      </c>
      <c r="M2208" s="36">
        <f t="shared" si="26"/>
        <v>45798.61159</v>
      </c>
      <c r="N2208" s="30" t="str">
        <f t="shared" si="27"/>
        <v>Selesai</v>
      </c>
      <c r="O2208" s="45">
        <f t="shared" si="23"/>
        <v>45798.61159</v>
      </c>
      <c r="P2208" s="47" t="b">
        <v>1</v>
      </c>
      <c r="Q2208" s="36">
        <f t="shared" si="24"/>
        <v>45798.64669</v>
      </c>
      <c r="R2208" s="47" t="b">
        <v>0</v>
      </c>
      <c r="S2208" s="42" t="str">
        <f t="shared" si="28"/>
        <v/>
      </c>
      <c r="T2208" s="42"/>
    </row>
    <row r="2209" ht="22.5" customHeight="1">
      <c r="B2209" s="42">
        <f t="shared" si="7"/>
        <v>2203</v>
      </c>
      <c r="C2209" s="31" t="s">
        <v>2305</v>
      </c>
      <c r="D2209" s="34" t="str">
        <f t="array" ref="D2209">IFNA(_xlfn.XLOOKUP(C2209,Table_Tarikan_Warkah[Nomor Sertipikat],Table_Tarikan_Warkah[Nomor Tiket]),"")</f>
        <v>K/30/060525/1</v>
      </c>
      <c r="E2209" s="36">
        <f t="array" ref="E2209">IFNA(_xlfn.XLOOKUP(D2209,Table_Tarikan_Warkah[Nomor Tiket],Table_Tarikan_Warkah[Tanggal diserahkan kepada Validator]),"")</f>
        <v>45799.70878</v>
      </c>
      <c r="F2209" s="36" t="str">
        <f t="array" ref="F2209">IFNA(_xlfn.XLOOKUP(D2209,Table_Tarikan_Warkah[Nomor Tiket],Table_Tarikan_Warkah[Nama Petugas Warkah]),"")</f>
        <v>Berry</v>
      </c>
      <c r="G2209" s="39" t="str">
        <f t="array" ref="G2209">IFNA(_xlfn.XLOOKUP(D2209,Table_Tarikan_Warkah[Nomor Tiket],Table_Tarikan_Warkah[Jenis Permohonan]),"")</f>
        <v>BN Jual Beli</v>
      </c>
      <c r="H2209" s="41" t="s">
        <v>20</v>
      </c>
      <c r="I2209" s="49" t="s">
        <v>23</v>
      </c>
      <c r="J2209" s="36">
        <f t="shared" si="20"/>
        <v>45796.57896</v>
      </c>
      <c r="K2209" s="49" t="s">
        <v>26</v>
      </c>
      <c r="L2209" s="49" t="s">
        <v>23</v>
      </c>
      <c r="M2209" s="36">
        <f t="shared" si="26"/>
        <v>45798.61159</v>
      </c>
      <c r="N2209" s="30" t="str">
        <f t="shared" si="27"/>
        <v>Selesai</v>
      </c>
      <c r="O2209" s="45">
        <f t="shared" si="23"/>
        <v>45798.61159</v>
      </c>
      <c r="P2209" s="47" t="b">
        <v>1</v>
      </c>
      <c r="Q2209" s="36">
        <f t="shared" si="24"/>
        <v>45798.6467</v>
      </c>
      <c r="R2209" s="47" t="b">
        <v>0</v>
      </c>
      <c r="S2209" s="42" t="str">
        <f t="shared" si="28"/>
        <v/>
      </c>
      <c r="T2209" s="42"/>
    </row>
    <row r="2210" ht="22.5" customHeight="1">
      <c r="B2210" s="42">
        <f t="shared" si="7"/>
        <v>2204</v>
      </c>
      <c r="C2210" s="31" t="s">
        <v>2306</v>
      </c>
      <c r="D2210" s="34" t="str">
        <f t="array" ref="D2210">IFNA(_xlfn.XLOOKUP(C2210,Table_Tarikan_Warkah[Nomor Sertipikat],Table_Tarikan_Warkah[Nomor Tiket]),"")</f>
        <v>K/21/060525/1</v>
      </c>
      <c r="E2210" s="36">
        <f t="array" ref="E2210">IFNA(_xlfn.XLOOKUP(D2210,Table_Tarikan_Warkah[Nomor Tiket],Table_Tarikan_Warkah[Tanggal diserahkan kepada Validator]),"")</f>
        <v>45799.70847</v>
      </c>
      <c r="F2210" s="36" t="str">
        <f t="array" ref="F2210">IFNA(_xlfn.XLOOKUP(D2210,Table_Tarikan_Warkah[Nomor Tiket],Table_Tarikan_Warkah[Nama Petugas Warkah]),"")</f>
        <v>Berry</v>
      </c>
      <c r="G2210" s="39" t="str">
        <f t="array" ref="G2210">IFNA(_xlfn.XLOOKUP(D2210,Table_Tarikan_Warkah[Nomor Tiket],Table_Tarikan_Warkah[Jenis Permohonan]),"")</f>
        <v>BN Jual Beli</v>
      </c>
      <c r="H2210" s="41" t="s">
        <v>20</v>
      </c>
      <c r="I2210" s="49" t="s">
        <v>23</v>
      </c>
      <c r="J2210" s="36">
        <f t="shared" si="20"/>
        <v>45796.57909</v>
      </c>
      <c r="K2210" s="49" t="s">
        <v>26</v>
      </c>
      <c r="L2210" s="49" t="s">
        <v>23</v>
      </c>
      <c r="M2210" s="36">
        <f t="shared" si="26"/>
        <v>45798.61159</v>
      </c>
      <c r="N2210" s="30" t="str">
        <f t="shared" si="27"/>
        <v>Selesai</v>
      </c>
      <c r="O2210" s="45">
        <f t="shared" si="23"/>
        <v>45798.61159</v>
      </c>
      <c r="P2210" s="47" t="b">
        <v>1</v>
      </c>
      <c r="Q2210" s="36">
        <f t="shared" si="24"/>
        <v>45798.64672</v>
      </c>
      <c r="R2210" s="47" t="b">
        <v>0</v>
      </c>
      <c r="S2210" s="42" t="str">
        <f t="shared" si="28"/>
        <v/>
      </c>
      <c r="T2210" s="42"/>
    </row>
    <row r="2211" ht="22.5" customHeight="1">
      <c r="B2211" s="42">
        <f t="shared" si="7"/>
        <v>2205</v>
      </c>
      <c r="C2211" s="31" t="s">
        <v>2307</v>
      </c>
      <c r="D2211" s="34" t="str">
        <f t="array" ref="D2211">IFNA(_xlfn.XLOOKUP(C2211,Table_Tarikan_Warkah[Nomor Sertipikat],Table_Tarikan_Warkah[Nomor Tiket]),"")</f>
        <v>K/19/060525/2</v>
      </c>
      <c r="E2211" s="36">
        <f t="array" ref="E2211">IFNA(_xlfn.XLOOKUP(D2211,Table_Tarikan_Warkah[Nomor Tiket],Table_Tarikan_Warkah[Tanggal diserahkan kepada Validator]),"")</f>
        <v>45799.70847</v>
      </c>
      <c r="F2211" s="36" t="str">
        <f t="array" ref="F2211">IFNA(_xlfn.XLOOKUP(D2211,Table_Tarikan_Warkah[Nomor Tiket],Table_Tarikan_Warkah[Nama Petugas Warkah]),"")</f>
        <v>Berry</v>
      </c>
      <c r="G2211" s="39" t="str">
        <f t="array" ref="G2211">IFNA(_xlfn.XLOOKUP(D2211,Table_Tarikan_Warkah[Nomor Tiket],Table_Tarikan_Warkah[Jenis Permohonan]),"")</f>
        <v>BN Hibah</v>
      </c>
      <c r="H2211" s="41" t="s">
        <v>20</v>
      </c>
      <c r="I2211" s="49" t="s">
        <v>23</v>
      </c>
      <c r="J2211" s="36">
        <f t="shared" si="20"/>
        <v>45796.5792</v>
      </c>
      <c r="K2211" s="49" t="s">
        <v>26</v>
      </c>
      <c r="L2211" s="49" t="s">
        <v>23</v>
      </c>
      <c r="M2211" s="36">
        <f t="shared" si="26"/>
        <v>45798.61159</v>
      </c>
      <c r="N2211" s="30" t="str">
        <f t="shared" si="27"/>
        <v>Selesai</v>
      </c>
      <c r="O2211" s="45">
        <f t="shared" si="23"/>
        <v>45798.61159</v>
      </c>
      <c r="P2211" s="47" t="b">
        <v>1</v>
      </c>
      <c r="Q2211" s="36">
        <f t="shared" si="24"/>
        <v>45798.64672</v>
      </c>
      <c r="R2211" s="47" t="b">
        <v>0</v>
      </c>
      <c r="S2211" s="42" t="str">
        <f t="shared" si="28"/>
        <v/>
      </c>
      <c r="T2211" s="42"/>
    </row>
    <row r="2212" ht="22.5" customHeight="1">
      <c r="B2212" s="42">
        <f t="shared" si="7"/>
        <v>2206</v>
      </c>
      <c r="C2212" s="31" t="s">
        <v>2308</v>
      </c>
      <c r="D2212" s="34" t="str">
        <f t="array" ref="D2212">IFNA(_xlfn.XLOOKUP(C2212,Table_Tarikan_Warkah[Nomor Sertipikat],Table_Tarikan_Warkah[Nomor Tiket]),"")</f>
        <v>K/19/270225/2</v>
      </c>
      <c r="E2212" s="36">
        <f t="array" ref="E2212">IFNA(_xlfn.XLOOKUP(D2212,Table_Tarikan_Warkah[Nomor Tiket],Table_Tarikan_Warkah[Tanggal diserahkan kepada Validator]),"")</f>
        <v>45799.70859</v>
      </c>
      <c r="F2212" s="36" t="str">
        <f t="array" ref="F2212">IFNA(_xlfn.XLOOKUP(D2212,Table_Tarikan_Warkah[Nomor Tiket],Table_Tarikan_Warkah[Nama Petugas Warkah]),"")</f>
        <v>Berry</v>
      </c>
      <c r="G2212" s="39" t="str">
        <f t="array" ref="G2212">IFNA(_xlfn.XLOOKUP(D2212,Table_Tarikan_Warkah[Nomor Tiket],Table_Tarikan_Warkah[Jenis Permohonan]),"")</f>
        <v>BN Jual Beli</v>
      </c>
      <c r="H2212" s="41" t="s">
        <v>20</v>
      </c>
      <c r="I2212" s="49" t="s">
        <v>23</v>
      </c>
      <c r="J2212" s="36">
        <f t="shared" si="20"/>
        <v>45796.57937</v>
      </c>
      <c r="K2212" s="49" t="s">
        <v>26</v>
      </c>
      <c r="L2212" s="49" t="s">
        <v>23</v>
      </c>
      <c r="M2212" s="36">
        <f t="shared" si="26"/>
        <v>45798.61159</v>
      </c>
      <c r="N2212" s="30" t="str">
        <f t="shared" si="27"/>
        <v>Selesai</v>
      </c>
      <c r="O2212" s="45">
        <f t="shared" si="23"/>
        <v>45798.61159</v>
      </c>
      <c r="P2212" s="47" t="b">
        <v>1</v>
      </c>
      <c r="Q2212" s="36">
        <f t="shared" si="24"/>
        <v>45798.64673</v>
      </c>
      <c r="R2212" s="47" t="b">
        <v>0</v>
      </c>
      <c r="S2212" s="42" t="str">
        <f t="shared" si="28"/>
        <v/>
      </c>
      <c r="T2212" s="42"/>
    </row>
    <row r="2213" ht="22.5" customHeight="1">
      <c r="B2213" s="42">
        <f t="shared" si="7"/>
        <v>2207</v>
      </c>
      <c r="C2213" s="31" t="s">
        <v>2309</v>
      </c>
      <c r="D2213" s="34" t="str">
        <f t="array" ref="D2213">IFNA(_xlfn.XLOOKUP(C2213,Table_Tarikan_Warkah[Nomor Sertipikat],Table_Tarikan_Warkah[Nomor Tiket]),"")</f>
        <v>K/3/070525/2</v>
      </c>
      <c r="E2213" s="36">
        <f t="array" ref="E2213">IFNA(_xlfn.XLOOKUP(D2213,Table_Tarikan_Warkah[Nomor Tiket],Table_Tarikan_Warkah[Tanggal diserahkan kepada Validator]),"")</f>
        <v>45819.83279</v>
      </c>
      <c r="F2213" s="36" t="str">
        <f t="array" ref="F2213">IFNA(_xlfn.XLOOKUP(D2213,Table_Tarikan_Warkah[Nomor Tiket],Table_Tarikan_Warkah[Nama Petugas Warkah]),"")</f>
        <v>Berry</v>
      </c>
      <c r="G2213" s="39" t="str">
        <f t="array" ref="G2213">IFNA(_xlfn.XLOOKUP(D2213,Table_Tarikan_Warkah[Nomor Tiket],Table_Tarikan_Warkah[Jenis Permohonan]),"")</f>
        <v>BN Jual Beli</v>
      </c>
      <c r="H2213" s="41" t="s">
        <v>20</v>
      </c>
      <c r="I2213" s="49" t="s">
        <v>23</v>
      </c>
      <c r="J2213" s="36">
        <f t="shared" si="20"/>
        <v>45796.5795</v>
      </c>
      <c r="K2213" s="49" t="s">
        <v>26</v>
      </c>
      <c r="L2213" s="49" t="s">
        <v>23</v>
      </c>
      <c r="M2213" s="36">
        <f t="shared" si="26"/>
        <v>45798.61159</v>
      </c>
      <c r="N2213" s="30" t="str">
        <f t="shared" si="27"/>
        <v>Selesai</v>
      </c>
      <c r="O2213" s="45">
        <f t="shared" si="23"/>
        <v>45798.61159</v>
      </c>
      <c r="P2213" s="47" t="b">
        <v>1</v>
      </c>
      <c r="Q2213" s="36">
        <f t="shared" si="24"/>
        <v>45798.64674</v>
      </c>
      <c r="R2213" s="47" t="b">
        <v>0</v>
      </c>
      <c r="S2213" s="42" t="str">
        <f t="shared" si="28"/>
        <v/>
      </c>
      <c r="T2213" s="42"/>
    </row>
    <row r="2214" ht="22.5" customHeight="1">
      <c r="B2214" s="42">
        <f t="shared" si="7"/>
        <v>2208</v>
      </c>
      <c r="C2214" s="31" t="s">
        <v>2310</v>
      </c>
      <c r="D2214" s="34" t="str">
        <f t="array" ref="D2214">IFNA(_xlfn.XLOOKUP(C2214,Table_Tarikan_Warkah[Nomor Sertipikat],Table_Tarikan_Warkah[Nomor Tiket]),"")</f>
        <v>K/32/070525/1</v>
      </c>
      <c r="E2214" s="36">
        <f t="array" ref="E2214">IFNA(_xlfn.XLOOKUP(D2214,Table_Tarikan_Warkah[Nomor Tiket],Table_Tarikan_Warkah[Tanggal diserahkan kepada Validator]),"")</f>
        <v>45874.68765</v>
      </c>
      <c r="F2214" s="36" t="str">
        <f t="array" ref="F2214">IFNA(_xlfn.XLOOKUP(D2214,Table_Tarikan_Warkah[Nomor Tiket],Table_Tarikan_Warkah[Nama Petugas Warkah]),"")</f>
        <v>David</v>
      </c>
      <c r="G2214" s="39" t="str">
        <f t="array" ref="G2214">IFNA(_xlfn.XLOOKUP(D2214,Table_Tarikan_Warkah[Nomor Tiket],Table_Tarikan_Warkah[Jenis Permohonan]),"")</f>
        <v>ROYA</v>
      </c>
      <c r="H2214" s="41" t="s">
        <v>20</v>
      </c>
      <c r="I2214" s="49" t="s">
        <v>23</v>
      </c>
      <c r="J2214" s="36">
        <f t="shared" si="20"/>
        <v>45796.57964</v>
      </c>
      <c r="K2214" s="49" t="s">
        <v>26</v>
      </c>
      <c r="L2214" s="49" t="s">
        <v>23</v>
      </c>
      <c r="M2214" s="36">
        <f t="shared" si="26"/>
        <v>45798.61159</v>
      </c>
      <c r="N2214" s="30" t="str">
        <f t="shared" si="27"/>
        <v>Selesai</v>
      </c>
      <c r="O2214" s="45">
        <f t="shared" si="23"/>
        <v>45798.61159</v>
      </c>
      <c r="P2214" s="47" t="b">
        <v>1</v>
      </c>
      <c r="Q2214" s="36">
        <f t="shared" si="24"/>
        <v>45798.64676</v>
      </c>
      <c r="R2214" s="47" t="b">
        <v>0</v>
      </c>
      <c r="S2214" s="42" t="str">
        <f t="shared" si="28"/>
        <v/>
      </c>
      <c r="T2214" s="42"/>
    </row>
    <row r="2215" ht="22.5" customHeight="1">
      <c r="B2215" s="42">
        <f t="shared" si="7"/>
        <v>2209</v>
      </c>
      <c r="C2215" s="31" t="s">
        <v>2254</v>
      </c>
      <c r="D2215" s="34" t="str">
        <f t="array" ref="D2215">IFNA(_xlfn.XLOOKUP(C2215,Table_Tarikan_Warkah[Nomor Sertipikat],Table_Tarikan_Warkah[Nomor Tiket]),"")</f>
        <v>L/13/050525/1</v>
      </c>
      <c r="E2215" s="36">
        <f t="array" ref="E2215">IFNA(_xlfn.XLOOKUP(D2215,Table_Tarikan_Warkah[Nomor Tiket],Table_Tarikan_Warkah[Tanggal diserahkan kepada Validator]),"")</f>
        <v>45813.47849</v>
      </c>
      <c r="F2215" s="36" t="str">
        <f t="array" ref="F2215">IFNA(_xlfn.XLOOKUP(D2215,Table_Tarikan_Warkah[Nomor Tiket],Table_Tarikan_Warkah[Nama Petugas Warkah]),"")</f>
        <v>David</v>
      </c>
      <c r="G2215" s="39" t="str">
        <f t="array" ref="G2215">IFNA(_xlfn.XLOOKUP(D2215,Table_Tarikan_Warkah[Nomor Tiket],Table_Tarikan_Warkah[Jenis Permohonan]),"")</f>
        <v>ROYA</v>
      </c>
      <c r="H2215" s="41" t="s">
        <v>20</v>
      </c>
      <c r="I2215" s="49" t="s">
        <v>23</v>
      </c>
      <c r="J2215" s="36">
        <f t="shared" si="20"/>
        <v>45796.57974</v>
      </c>
      <c r="K2215" s="49" t="s">
        <v>26</v>
      </c>
      <c r="L2215" s="49" t="s">
        <v>23</v>
      </c>
      <c r="M2215" s="36">
        <f t="shared" si="26"/>
        <v>45798.61159</v>
      </c>
      <c r="N2215" s="30" t="str">
        <f t="shared" si="27"/>
        <v>Selesai</v>
      </c>
      <c r="O2215" s="45">
        <f t="shared" si="23"/>
        <v>45798.61159</v>
      </c>
      <c r="P2215" s="47" t="b">
        <v>1</v>
      </c>
      <c r="Q2215" s="36">
        <f t="shared" si="24"/>
        <v>45798.64677</v>
      </c>
      <c r="R2215" s="47" t="b">
        <v>0</v>
      </c>
      <c r="S2215" s="42" t="str">
        <f t="shared" si="28"/>
        <v/>
      </c>
      <c r="T2215" s="42"/>
    </row>
    <row r="2216" ht="22.5" customHeight="1">
      <c r="B2216" s="42">
        <f t="shared" si="7"/>
        <v>2210</v>
      </c>
      <c r="C2216" s="31" t="s">
        <v>2311</v>
      </c>
      <c r="D2216" s="34" t="str">
        <f t="array" ref="D2216">IFNA(_xlfn.XLOOKUP(C2216,Table_Tarikan_Warkah[Nomor Sertipikat],Table_Tarikan_Warkah[Nomor Tiket]),"")</f>
        <v>K/17/070525/2</v>
      </c>
      <c r="E2216" s="36">
        <f t="array" ref="E2216">IFNA(_xlfn.XLOOKUP(D2216,Table_Tarikan_Warkah[Nomor Tiket],Table_Tarikan_Warkah[Tanggal diserahkan kepada Validator]),"")</f>
        <v>45799.70847</v>
      </c>
      <c r="F2216" s="36" t="str">
        <f t="array" ref="F2216">IFNA(_xlfn.XLOOKUP(D2216,Table_Tarikan_Warkah[Nomor Tiket],Table_Tarikan_Warkah[Nama Petugas Warkah]),"")</f>
        <v>Berry</v>
      </c>
      <c r="G2216" s="39" t="str">
        <f t="array" ref="G2216">IFNA(_xlfn.XLOOKUP(D2216,Table_Tarikan_Warkah[Nomor Tiket],Table_Tarikan_Warkah[Jenis Permohonan]),"")</f>
        <v>BN Jual Beli</v>
      </c>
      <c r="H2216" s="41" t="s">
        <v>20</v>
      </c>
      <c r="I2216" s="49" t="s">
        <v>23</v>
      </c>
      <c r="J2216" s="36">
        <f t="shared" si="20"/>
        <v>45796.57986</v>
      </c>
      <c r="K2216" s="49" t="s">
        <v>26</v>
      </c>
      <c r="L2216" s="49" t="s">
        <v>23</v>
      </c>
      <c r="M2216" s="36">
        <f t="shared" si="26"/>
        <v>45798.61164</v>
      </c>
      <c r="N2216" s="30" t="str">
        <f t="shared" si="27"/>
        <v>Selesai</v>
      </c>
      <c r="O2216" s="45">
        <f t="shared" si="23"/>
        <v>45798.61164</v>
      </c>
      <c r="P2216" s="47" t="b">
        <v>1</v>
      </c>
      <c r="Q2216" s="36">
        <f t="shared" si="24"/>
        <v>45798.64678</v>
      </c>
      <c r="R2216" s="47" t="b">
        <v>0</v>
      </c>
      <c r="S2216" s="42" t="str">
        <f t="shared" si="28"/>
        <v/>
      </c>
      <c r="T2216" s="42"/>
    </row>
    <row r="2217" ht="22.5" customHeight="1">
      <c r="B2217" s="42">
        <f t="shared" si="7"/>
        <v>2211</v>
      </c>
      <c r="C2217" s="31" t="s">
        <v>2312</v>
      </c>
      <c r="D2217" s="34" t="str">
        <f t="array" ref="D2217">IFNA(_xlfn.XLOOKUP(C2217,Table_Tarikan_Warkah[Nomor Sertipikat],Table_Tarikan_Warkah[Nomor Tiket]),"")</f>
        <v>K/2/050525/1</v>
      </c>
      <c r="E2217" s="36" t="str">
        <f t="array" ref="E2217">IFNA(_xlfn.XLOOKUP(D2217,Table_Tarikan_Warkah[Nomor Tiket],Table_Tarikan_Warkah[Tanggal diserahkan kepada Validator]),"")</f>
        <v/>
      </c>
      <c r="F2217" s="36" t="str">
        <f t="array" ref="F2217">IFNA(_xlfn.XLOOKUP(D2217,Table_Tarikan_Warkah[Nomor Tiket],Table_Tarikan_Warkah[Nama Petugas Warkah]),"")</f>
        <v/>
      </c>
      <c r="G2217" s="39" t="str">
        <f t="array" ref="G2217">IFNA(_xlfn.XLOOKUP(D2217,Table_Tarikan_Warkah[Nomor Tiket],Table_Tarikan_Warkah[Jenis Permohonan]),"")</f>
        <v>CASSIE</v>
      </c>
      <c r="H2217" s="41" t="s">
        <v>20</v>
      </c>
      <c r="I2217" s="49" t="s">
        <v>23</v>
      </c>
      <c r="J2217" s="36">
        <f t="shared" si="20"/>
        <v>45796.57999</v>
      </c>
      <c r="K2217" s="49" t="s">
        <v>26</v>
      </c>
      <c r="L2217" s="49" t="s">
        <v>23</v>
      </c>
      <c r="M2217" s="36">
        <f t="shared" si="26"/>
        <v>45798.61164</v>
      </c>
      <c r="N2217" s="30" t="str">
        <f t="shared" si="27"/>
        <v>Selesai</v>
      </c>
      <c r="O2217" s="45">
        <f t="shared" si="23"/>
        <v>45798.61164</v>
      </c>
      <c r="P2217" s="47" t="b">
        <v>1</v>
      </c>
      <c r="Q2217" s="36">
        <f t="shared" si="24"/>
        <v>45798.64678</v>
      </c>
      <c r="R2217" s="47" t="b">
        <v>0</v>
      </c>
      <c r="S2217" s="42" t="str">
        <f t="shared" si="28"/>
        <v/>
      </c>
      <c r="T2217" s="42"/>
    </row>
    <row r="2218" ht="22.5" customHeight="1">
      <c r="B2218" s="42">
        <f t="shared" si="7"/>
        <v>2212</v>
      </c>
      <c r="C2218" s="31" t="s">
        <v>2313</v>
      </c>
      <c r="D2218" s="34" t="str">
        <f t="array" ref="D2218">IFNA(_xlfn.XLOOKUP(C2218,Table_Tarikan_Warkah[Nomor Sertipikat],Table_Tarikan_Warkah[Nomor Tiket]),"")</f>
        <v>K/4/220425/2</v>
      </c>
      <c r="E2218" s="36">
        <f t="array" ref="E2218">IFNA(_xlfn.XLOOKUP(D2218,Table_Tarikan_Warkah[Nomor Tiket],Table_Tarikan_Warkah[Tanggal diserahkan kepada Validator]),"")</f>
        <v>45798.66468</v>
      </c>
      <c r="F2218" s="36" t="str">
        <f t="array" ref="F2218">IFNA(_xlfn.XLOOKUP(D2218,Table_Tarikan_Warkah[Nomor Tiket],Table_Tarikan_Warkah[Nama Petugas Warkah]),"")</f>
        <v>Berry</v>
      </c>
      <c r="G2218" s="39" t="str">
        <f t="array" ref="G2218">IFNA(_xlfn.XLOOKUP(D2218,Table_Tarikan_Warkah[Nomor Tiket],Table_Tarikan_Warkah[Jenis Permohonan]),"")</f>
        <v>BN JUAL BELI</v>
      </c>
      <c r="H2218" s="41" t="s">
        <v>20</v>
      </c>
      <c r="I2218" s="49" t="s">
        <v>23</v>
      </c>
      <c r="J2218" s="36">
        <f t="shared" si="20"/>
        <v>45796.58014</v>
      </c>
      <c r="K2218" s="49" t="s">
        <v>26</v>
      </c>
      <c r="L2218" s="49" t="s">
        <v>23</v>
      </c>
      <c r="M2218" s="36">
        <f t="shared" si="26"/>
        <v>45798.61167</v>
      </c>
      <c r="N2218" s="30" t="str">
        <f t="shared" si="27"/>
        <v>Selesai</v>
      </c>
      <c r="O2218" s="45">
        <f t="shared" si="23"/>
        <v>45798.61167</v>
      </c>
      <c r="P2218" s="47" t="b">
        <v>1</v>
      </c>
      <c r="Q2218" s="36">
        <f t="shared" si="24"/>
        <v>45798.64679</v>
      </c>
      <c r="R2218" s="47" t="b">
        <v>0</v>
      </c>
      <c r="S2218" s="42" t="str">
        <f t="shared" si="28"/>
        <v/>
      </c>
      <c r="T2218" s="42"/>
    </row>
    <row r="2219" ht="22.5" customHeight="1">
      <c r="B2219" s="42">
        <f t="shared" si="7"/>
        <v>2213</v>
      </c>
      <c r="C2219" s="31" t="s">
        <v>2314</v>
      </c>
      <c r="D2219" s="34" t="str">
        <f t="array" ref="D2219">IFNA(_xlfn.XLOOKUP(C2219,Table_Tarikan_Warkah[Nomor Sertipikat],Table_Tarikan_Warkah[Nomor Tiket]),"")</f>
        <v> K/5/060525/1</v>
      </c>
      <c r="E2219" s="36">
        <f t="array" ref="E2219">IFNA(_xlfn.XLOOKUP(D2219,Table_Tarikan_Warkah[Nomor Tiket],Table_Tarikan_Warkah[Tanggal diserahkan kepada Validator]),"")</f>
        <v>45803.44427</v>
      </c>
      <c r="F2219" s="36" t="str">
        <f t="array" ref="F2219">IFNA(_xlfn.XLOOKUP(D2219,Table_Tarikan_Warkah[Nomor Tiket],Table_Tarikan_Warkah[Nama Petugas Warkah]),"")</f>
        <v>Berry</v>
      </c>
      <c r="G2219" s="39" t="str">
        <f t="array" ref="G2219">IFNA(_xlfn.XLOOKUP(D2219,Table_Tarikan_Warkah[Nomor Tiket],Table_Tarikan_Warkah[Jenis Permohonan]),"")</f>
        <v>BN Jual Beli</v>
      </c>
      <c r="H2219" s="41" t="s">
        <v>2315</v>
      </c>
      <c r="I2219" s="49" t="s">
        <v>23</v>
      </c>
      <c r="J2219" s="36">
        <f t="shared" si="20"/>
        <v>45797.32543</v>
      </c>
      <c r="K2219" s="49" t="s">
        <v>197</v>
      </c>
      <c r="L2219" s="49" t="s">
        <v>23</v>
      </c>
      <c r="M2219" s="36">
        <f t="shared" si="26"/>
        <v>45798.37008</v>
      </c>
      <c r="N2219" s="30" t="str">
        <f t="shared" si="27"/>
        <v>Selesai</v>
      </c>
      <c r="O2219" s="45">
        <f t="shared" si="23"/>
        <v>45798.37008</v>
      </c>
      <c r="P2219" s="47" t="b">
        <v>1</v>
      </c>
      <c r="Q2219" s="36">
        <f t="shared" si="24"/>
        <v>45798.37047</v>
      </c>
      <c r="R2219" s="47" t="b">
        <v>0</v>
      </c>
      <c r="S2219" s="42" t="str">
        <f t="shared" si="28"/>
        <v/>
      </c>
      <c r="T2219" s="42"/>
    </row>
    <row r="2220" ht="22.5" customHeight="1">
      <c r="B2220" s="42">
        <f t="shared" si="7"/>
        <v>2214</v>
      </c>
      <c r="C2220" s="31" t="s">
        <v>2316</v>
      </c>
      <c r="D2220" s="34" t="str">
        <f t="array" ref="D2220">IFNA(_xlfn.XLOOKUP(C2220,Table_Tarikan_Warkah[Nomor Sertipikat],Table_Tarikan_Warkah[Nomor Tiket]),"")</f>
        <v>K/5/130325/1</v>
      </c>
      <c r="E2220" s="36">
        <f t="array" ref="E2220">IFNA(_xlfn.XLOOKUP(D2220,Table_Tarikan_Warkah[Nomor Tiket],Table_Tarikan_Warkah[Tanggal diserahkan kepada Validator]),"")</f>
        <v>45798.6746</v>
      </c>
      <c r="F2220" s="36" t="str">
        <f t="array" ref="F2220">IFNA(_xlfn.XLOOKUP(D2220,Table_Tarikan_Warkah[Nomor Tiket],Table_Tarikan_Warkah[Nama Petugas Warkah]),"")</f>
        <v>Berry</v>
      </c>
      <c r="G2220" s="39" t="str">
        <f t="array" ref="G2220">IFNA(_xlfn.XLOOKUP(D2220,Table_Tarikan_Warkah[Nomor Tiket],Table_Tarikan_Warkah[Jenis Permohonan]),"")</f>
        <v>KEWARISAN</v>
      </c>
      <c r="H2220" s="41" t="s">
        <v>2315</v>
      </c>
      <c r="I2220" s="49" t="s">
        <v>23</v>
      </c>
      <c r="J2220" s="36">
        <f t="shared" si="20"/>
        <v>45797.32598</v>
      </c>
      <c r="K2220" s="49" t="s">
        <v>197</v>
      </c>
      <c r="L2220" s="49" t="s">
        <v>23</v>
      </c>
      <c r="M2220" s="36">
        <f t="shared" si="26"/>
        <v>45798.37008</v>
      </c>
      <c r="N2220" s="30" t="str">
        <f t="shared" si="27"/>
        <v>Selesai</v>
      </c>
      <c r="O2220" s="45">
        <f t="shared" si="23"/>
        <v>45798.37008</v>
      </c>
      <c r="P2220" s="47" t="b">
        <v>1</v>
      </c>
      <c r="Q2220" s="36">
        <f t="shared" si="24"/>
        <v>45798.37052</v>
      </c>
      <c r="R2220" s="47" t="b">
        <v>0</v>
      </c>
      <c r="S2220" s="42" t="str">
        <f t="shared" si="28"/>
        <v/>
      </c>
      <c r="T2220" s="42"/>
    </row>
    <row r="2221" ht="22.5" customHeight="1">
      <c r="B2221" s="42">
        <f t="shared" si="7"/>
        <v>2215</v>
      </c>
      <c r="C2221" s="31" t="s">
        <v>2317</v>
      </c>
      <c r="D2221" s="34" t="str">
        <f t="array" ref="D2221">IFNA(_xlfn.XLOOKUP(C2221,Table_Tarikan_Warkah[Nomor Sertipikat],Table_Tarikan_Warkah[Nomor Tiket]),"")</f>
        <v/>
      </c>
      <c r="E2221" s="36" t="str">
        <f t="array" ref="E2221">IFNA(_xlfn.XLOOKUP(D2221,Table_Tarikan_Warkah[Nomor Tiket],Table_Tarikan_Warkah[Tanggal diserahkan kepada Validator]),"")</f>
        <v/>
      </c>
      <c r="F2221" s="36" t="str">
        <f t="array" ref="F2221">IFNA(_xlfn.XLOOKUP(D2221,Table_Tarikan_Warkah[Nomor Tiket],Table_Tarikan_Warkah[Nama Petugas Warkah]),"")</f>
        <v/>
      </c>
      <c r="G2221" s="39" t="str">
        <f t="array" ref="G2221">IFNA(_xlfn.XLOOKUP(D2221,Table_Tarikan_Warkah[Nomor Tiket],Table_Tarikan_Warkah[Jenis Permohonan]),"")</f>
        <v/>
      </c>
      <c r="H2221" s="41" t="s">
        <v>2315</v>
      </c>
      <c r="I2221" s="49" t="s">
        <v>23</v>
      </c>
      <c r="J2221" s="36">
        <f t="shared" si="20"/>
        <v>45797.32659</v>
      </c>
      <c r="K2221" s="49" t="s">
        <v>197</v>
      </c>
      <c r="L2221" s="49" t="s">
        <v>23</v>
      </c>
      <c r="M2221" s="36">
        <f t="shared" si="26"/>
        <v>45798.37008</v>
      </c>
      <c r="N2221" s="30" t="str">
        <f t="shared" si="27"/>
        <v/>
      </c>
      <c r="O2221" s="39" t="str">
        <f t="shared" si="23"/>
        <v/>
      </c>
      <c r="P2221" s="47" t="b">
        <v>1</v>
      </c>
      <c r="Q2221" s="36">
        <f t="shared" si="24"/>
        <v>45798.37053</v>
      </c>
      <c r="R2221" s="47" t="b">
        <v>0</v>
      </c>
      <c r="S2221" s="42" t="str">
        <f t="shared" si="28"/>
        <v/>
      </c>
      <c r="T2221" s="42"/>
    </row>
    <row r="2222" ht="22.5" customHeight="1">
      <c r="B2222" s="42">
        <f t="shared" si="7"/>
        <v>2216</v>
      </c>
      <c r="C2222" s="31" t="s">
        <v>2318</v>
      </c>
      <c r="D2222" s="34" t="str">
        <f t="array" ref="D2222">IFNA(_xlfn.XLOOKUP(C2222,Table_Tarikan_Warkah[Nomor Sertipikat],Table_Tarikan_Warkah[Nomor Tiket]),"")</f>
        <v>K/8/080525/2</v>
      </c>
      <c r="E2222" s="36">
        <f t="array" ref="E2222">IFNA(_xlfn.XLOOKUP(D2222,Table_Tarikan_Warkah[Nomor Tiket],Table_Tarikan_Warkah[Tanggal diserahkan kepada Validator]),"")</f>
        <v>45825.64868</v>
      </c>
      <c r="F2222" s="36" t="str">
        <f t="array" ref="F2222">IFNA(_xlfn.XLOOKUP(D2222,Table_Tarikan_Warkah[Nomor Tiket],Table_Tarikan_Warkah[Nama Petugas Warkah]),"")</f>
        <v>David</v>
      </c>
      <c r="G2222" s="39" t="str">
        <f t="array" ref="G2222">IFNA(_xlfn.XLOOKUP(D2222,Table_Tarikan_Warkah[Nomor Tiket],Table_Tarikan_Warkah[Jenis Permohonan]),"")</f>
        <v>ROYA</v>
      </c>
      <c r="H2222" s="41" t="s">
        <v>2315</v>
      </c>
      <c r="I2222" s="49" t="s">
        <v>23</v>
      </c>
      <c r="J2222" s="36">
        <f t="shared" si="20"/>
        <v>45797.32692</v>
      </c>
      <c r="K2222" s="49" t="s">
        <v>197</v>
      </c>
      <c r="L2222" s="49" t="s">
        <v>23</v>
      </c>
      <c r="M2222" s="36">
        <f t="shared" si="26"/>
        <v>45798.37008</v>
      </c>
      <c r="N2222" s="30" t="str">
        <f t="shared" si="27"/>
        <v>Selesai</v>
      </c>
      <c r="O2222" s="45">
        <f t="shared" si="23"/>
        <v>45798.37008</v>
      </c>
      <c r="P2222" s="47" t="b">
        <v>1</v>
      </c>
      <c r="Q2222" s="36">
        <f t="shared" si="24"/>
        <v>45798.37055</v>
      </c>
      <c r="R2222" s="47" t="b">
        <v>0</v>
      </c>
      <c r="S2222" s="42" t="str">
        <f t="shared" si="28"/>
        <v/>
      </c>
      <c r="T2222" s="42"/>
    </row>
    <row r="2223" ht="22.5" customHeight="1">
      <c r="B2223" s="42">
        <f t="shared" si="7"/>
        <v>2217</v>
      </c>
      <c r="C2223" s="31" t="s">
        <v>2319</v>
      </c>
      <c r="D2223" s="34" t="str">
        <f t="array" ref="D2223">IFNA(_xlfn.XLOOKUP(C2223,Table_Tarikan_Warkah[Nomor Sertipikat],Table_Tarikan_Warkah[Nomor Tiket]),"")</f>
        <v>K/21/200325/1</v>
      </c>
      <c r="E2223" s="36">
        <f t="array" ref="E2223">IFNA(_xlfn.XLOOKUP(D2223,Table_Tarikan_Warkah[Nomor Tiket],Table_Tarikan_Warkah[Tanggal diserahkan kepada Validator]),"")</f>
        <v>45811.36444</v>
      </c>
      <c r="F2223" s="36" t="str">
        <f t="array" ref="F2223">IFNA(_xlfn.XLOOKUP(D2223,Table_Tarikan_Warkah[Nomor Tiket],Table_Tarikan_Warkah[Nama Petugas Warkah]),"")</f>
        <v>David</v>
      </c>
      <c r="G2223" s="39" t="str">
        <f t="array" ref="G2223">IFNA(_xlfn.XLOOKUP(D2223,Table_Tarikan_Warkah[Nomor Tiket],Table_Tarikan_Warkah[Jenis Permohonan]),"")</f>
        <v>ROYA</v>
      </c>
      <c r="H2223" s="41" t="s">
        <v>2315</v>
      </c>
      <c r="I2223" s="49" t="s">
        <v>23</v>
      </c>
      <c r="J2223" s="36">
        <f t="shared" si="20"/>
        <v>45797.32708</v>
      </c>
      <c r="K2223" s="49" t="s">
        <v>197</v>
      </c>
      <c r="L2223" s="49" t="s">
        <v>23</v>
      </c>
      <c r="M2223" s="36">
        <f t="shared" si="26"/>
        <v>45798.37008</v>
      </c>
      <c r="N2223" s="30" t="str">
        <f t="shared" si="27"/>
        <v>Selesai</v>
      </c>
      <c r="O2223" s="45">
        <f t="shared" si="23"/>
        <v>45798.37008</v>
      </c>
      <c r="P2223" s="47" t="b">
        <v>1</v>
      </c>
      <c r="Q2223" s="36">
        <f t="shared" si="24"/>
        <v>45798.37056</v>
      </c>
      <c r="R2223" s="47" t="b">
        <v>0</v>
      </c>
      <c r="S2223" s="42" t="str">
        <f t="shared" si="28"/>
        <v/>
      </c>
      <c r="T2223" s="42"/>
    </row>
    <row r="2224" ht="22.5" customHeight="1">
      <c r="B2224" s="42">
        <f t="shared" si="7"/>
        <v>2218</v>
      </c>
      <c r="C2224" s="31" t="s">
        <v>2320</v>
      </c>
      <c r="D2224" s="34" t="str">
        <f t="array" ref="D2224">IFNA(_xlfn.XLOOKUP(C2224,Table_Tarikan_Warkah[Nomor Sertipikat],Table_Tarikan_Warkah[Nomor Tiket]),"")</f>
        <v>K/21/070525/1</v>
      </c>
      <c r="E2224" s="36">
        <f t="array" ref="E2224">IFNA(_xlfn.XLOOKUP(D2224,Table_Tarikan_Warkah[Nomor Tiket],Table_Tarikan_Warkah[Tanggal diserahkan kepada Validator]),"")</f>
        <v>45825.64978</v>
      </c>
      <c r="F2224" s="36" t="str">
        <f t="array" ref="F2224">IFNA(_xlfn.XLOOKUP(D2224,Table_Tarikan_Warkah[Nomor Tiket],Table_Tarikan_Warkah[Nama Petugas Warkah]),"")</f>
        <v>David</v>
      </c>
      <c r="G2224" s="39" t="str">
        <f t="array" ref="G2224">IFNA(_xlfn.XLOOKUP(D2224,Table_Tarikan_Warkah[Nomor Tiket],Table_Tarikan_Warkah[Jenis Permohonan]),"")</f>
        <v>ROYA</v>
      </c>
      <c r="H2224" s="41" t="s">
        <v>2315</v>
      </c>
      <c r="I2224" s="49" t="s">
        <v>23</v>
      </c>
      <c r="J2224" s="36">
        <f t="shared" si="20"/>
        <v>45797.32734</v>
      </c>
      <c r="K2224" s="49" t="s">
        <v>197</v>
      </c>
      <c r="L2224" s="49" t="s">
        <v>23</v>
      </c>
      <c r="M2224" s="36">
        <f t="shared" si="26"/>
        <v>45798.37008</v>
      </c>
      <c r="N2224" s="30" t="str">
        <f t="shared" si="27"/>
        <v>Selesai</v>
      </c>
      <c r="O2224" s="45">
        <f t="shared" si="23"/>
        <v>45798.37008</v>
      </c>
      <c r="P2224" s="47" t="b">
        <v>1</v>
      </c>
      <c r="Q2224" s="36">
        <f t="shared" si="24"/>
        <v>45798.37057</v>
      </c>
      <c r="R2224" s="47" t="b">
        <v>0</v>
      </c>
      <c r="S2224" s="42" t="str">
        <f t="shared" si="28"/>
        <v/>
      </c>
      <c r="T2224" s="42"/>
    </row>
    <row r="2225" ht="22.5" customHeight="1">
      <c r="B2225" s="42">
        <f t="shared" si="7"/>
        <v>2219</v>
      </c>
      <c r="C2225" s="31" t="s">
        <v>2321</v>
      </c>
      <c r="D2225" s="34" t="str">
        <f t="array" ref="D2225">IFNA(_xlfn.XLOOKUP(C2225,Table_Tarikan_Warkah[Nomor Sertipikat],Table_Tarikan_Warkah[Nomor Tiket]),"")</f>
        <v>K/38/290425/3</v>
      </c>
      <c r="E2225" s="36">
        <f t="array" ref="E2225">IFNA(_xlfn.XLOOKUP(D2225,Table_Tarikan_Warkah[Nomor Tiket],Table_Tarikan_Warkah[Tanggal diserahkan kepada Validator]),"")</f>
        <v>45798.67476</v>
      </c>
      <c r="F2225" s="36" t="str">
        <f t="array" ref="F2225">IFNA(_xlfn.XLOOKUP(D2225,Table_Tarikan_Warkah[Nomor Tiket],Table_Tarikan_Warkah[Nama Petugas Warkah]),"")</f>
        <v>Berry</v>
      </c>
      <c r="G2225" s="39" t="str">
        <f t="array" ref="G2225">IFNA(_xlfn.XLOOKUP(D2225,Table_Tarikan_Warkah[Nomor Tiket],Table_Tarikan_Warkah[Jenis Permohonan]),"")</f>
        <v>JUAL BELI</v>
      </c>
      <c r="H2225" s="41" t="s">
        <v>2315</v>
      </c>
      <c r="I2225" s="49" t="s">
        <v>23</v>
      </c>
      <c r="J2225" s="36">
        <f t="shared" si="20"/>
        <v>45797.32796</v>
      </c>
      <c r="K2225" s="49" t="s">
        <v>197</v>
      </c>
      <c r="L2225" s="49" t="s">
        <v>23</v>
      </c>
      <c r="M2225" s="36">
        <f t="shared" si="26"/>
        <v>45798.37008</v>
      </c>
      <c r="N2225" s="30" t="str">
        <f t="shared" si="27"/>
        <v>Selesai</v>
      </c>
      <c r="O2225" s="45">
        <f t="shared" si="23"/>
        <v>45798.37008</v>
      </c>
      <c r="P2225" s="47" t="b">
        <v>1</v>
      </c>
      <c r="Q2225" s="36">
        <f t="shared" si="24"/>
        <v>45798.37057</v>
      </c>
      <c r="R2225" s="47" t="b">
        <v>0</v>
      </c>
      <c r="S2225" s="42" t="str">
        <f t="shared" si="28"/>
        <v/>
      </c>
      <c r="T2225" s="42"/>
    </row>
    <row r="2226" ht="22.5" customHeight="1">
      <c r="B2226" s="42">
        <f t="shared" si="7"/>
        <v>2220</v>
      </c>
      <c r="C2226" s="31" t="s">
        <v>2322</v>
      </c>
      <c r="D2226" s="34" t="str">
        <f t="array" ref="D2226">IFNA(_xlfn.XLOOKUP(C2226,Table_Tarikan_Warkah[Nomor Sertipikat],Table_Tarikan_Warkah[Nomor Tiket]),"")</f>
        <v>K/3/160525/1</v>
      </c>
      <c r="E2226" s="36">
        <f t="array" ref="E2226">IFNA(_xlfn.XLOOKUP(D2226,Table_Tarikan_Warkah[Nomor Tiket],Table_Tarikan_Warkah[Tanggal diserahkan kepada Validator]),"")</f>
        <v>45798.67439</v>
      </c>
      <c r="F2226" s="36" t="str">
        <f t="array" ref="F2226">IFNA(_xlfn.XLOOKUP(D2226,Table_Tarikan_Warkah[Nomor Tiket],Table_Tarikan_Warkah[Nama Petugas Warkah]),"")</f>
        <v>Berry</v>
      </c>
      <c r="G2226" s="39" t="str">
        <f t="array" ref="G2226">IFNA(_xlfn.XLOOKUP(D2226,Table_Tarikan_Warkah[Nomor Tiket],Table_Tarikan_Warkah[Jenis Permohonan]),"")</f>
        <v>JUAL BELI</v>
      </c>
      <c r="H2226" s="41" t="s">
        <v>2315</v>
      </c>
      <c r="I2226" s="49" t="s">
        <v>23</v>
      </c>
      <c r="J2226" s="36">
        <f t="shared" si="20"/>
        <v>45797.3801</v>
      </c>
      <c r="K2226" s="49" t="s">
        <v>197</v>
      </c>
      <c r="L2226" s="49" t="s">
        <v>23</v>
      </c>
      <c r="M2226" s="36">
        <f t="shared" si="26"/>
        <v>45798.37034</v>
      </c>
      <c r="N2226" s="30" t="str">
        <f t="shared" si="27"/>
        <v>Selesai</v>
      </c>
      <c r="O2226" s="45">
        <f t="shared" si="23"/>
        <v>45798.37034</v>
      </c>
      <c r="P2226" s="47" t="b">
        <v>1</v>
      </c>
      <c r="Q2226" s="36">
        <f t="shared" si="24"/>
        <v>45798.37059</v>
      </c>
      <c r="R2226" s="47" t="b">
        <v>0</v>
      </c>
      <c r="S2226" s="42" t="str">
        <f t="shared" si="28"/>
        <v/>
      </c>
      <c r="T2226" s="42"/>
    </row>
    <row r="2227" ht="22.5" customHeight="1">
      <c r="B2227" s="42">
        <f t="shared" si="7"/>
        <v>2221</v>
      </c>
      <c r="C2227" s="31" t="s">
        <v>2323</v>
      </c>
      <c r="D2227" s="34" t="str">
        <f t="array" ref="D2227">IFNA(_xlfn.XLOOKUP(C2227,Table_Tarikan_Warkah[Nomor Sertipikat],Table_Tarikan_Warkah[Nomor Tiket]),"")</f>
        <v>K/24/290425/1</v>
      </c>
      <c r="E2227" s="36">
        <f t="array" ref="E2227">IFNA(_xlfn.XLOOKUP(D2227,Table_Tarikan_Warkah[Nomor Tiket],Table_Tarikan_Warkah[Tanggal diserahkan kepada Validator]),"")</f>
        <v>45796.52348</v>
      </c>
      <c r="F2227" s="36" t="str">
        <f t="array" ref="F2227">IFNA(_xlfn.XLOOKUP(D2227,Table_Tarikan_Warkah[Nomor Tiket],Table_Tarikan_Warkah[Nama Petugas Warkah]),"")</f>
        <v/>
      </c>
      <c r="G2227" s="39" t="str">
        <f t="array" ref="G2227">IFNA(_xlfn.XLOOKUP(D2227,Table_Tarikan_Warkah[Nomor Tiket],Table_Tarikan_Warkah[Jenis Permohonan]),"")</f>
        <v>BN Jual Beli</v>
      </c>
      <c r="H2227" s="41" t="s">
        <v>20</v>
      </c>
      <c r="I2227" s="49" t="s">
        <v>23</v>
      </c>
      <c r="J2227" s="36">
        <f t="shared" si="20"/>
        <v>45797.67505</v>
      </c>
      <c r="K2227" s="49" t="s">
        <v>197</v>
      </c>
      <c r="L2227" s="49" t="s">
        <v>23</v>
      </c>
      <c r="M2227" s="36">
        <f t="shared" si="26"/>
        <v>45797.67512</v>
      </c>
      <c r="N2227" s="30" t="str">
        <f t="shared" si="27"/>
        <v>Selesai</v>
      </c>
      <c r="O2227" s="45">
        <f t="shared" si="23"/>
        <v>45797.67512</v>
      </c>
      <c r="P2227" s="47" t="b">
        <v>1</v>
      </c>
      <c r="Q2227" s="36">
        <f t="shared" si="24"/>
        <v>45797.67517</v>
      </c>
      <c r="R2227" s="47" t="b">
        <v>0</v>
      </c>
      <c r="S2227" s="42" t="str">
        <f t="shared" si="28"/>
        <v/>
      </c>
      <c r="T2227" s="42"/>
    </row>
    <row r="2228" ht="22.5" customHeight="1">
      <c r="B2228" s="42">
        <f t="shared" si="7"/>
        <v>2222</v>
      </c>
      <c r="C2228" s="31" t="s">
        <v>2324</v>
      </c>
      <c r="D2228" s="34" t="str">
        <f t="array" ref="D2228">IFNA(_xlfn.XLOOKUP(C2228,Table_Tarikan_Warkah[Nomor Sertipikat],Table_Tarikan_Warkah[Nomor Tiket]),"")</f>
        <v>K/24/090525/1</v>
      </c>
      <c r="E2228" s="36">
        <f t="array" ref="E2228">IFNA(_xlfn.XLOOKUP(D2228,Table_Tarikan_Warkah[Nomor Tiket],Table_Tarikan_Warkah[Tanggal diserahkan kepada Validator]),"")</f>
        <v>45824.59091</v>
      </c>
      <c r="F2228" s="36" t="str">
        <f t="array" ref="F2228">IFNA(_xlfn.XLOOKUP(D2228,Table_Tarikan_Warkah[Nomor Tiket],Table_Tarikan_Warkah[Nama Petugas Warkah]),"")</f>
        <v>David</v>
      </c>
      <c r="G2228" s="39" t="str">
        <f t="array" ref="G2228">IFNA(_xlfn.XLOOKUP(D2228,Table_Tarikan_Warkah[Nomor Tiket],Table_Tarikan_Warkah[Jenis Permohonan]),"")</f>
        <v>ROYA</v>
      </c>
      <c r="H2228" s="41" t="s">
        <v>20</v>
      </c>
      <c r="I2228" s="49" t="s">
        <v>23</v>
      </c>
      <c r="J2228" s="36">
        <f t="shared" si="20"/>
        <v>45797.77688</v>
      </c>
      <c r="K2228" s="49" t="s">
        <v>26</v>
      </c>
      <c r="L2228" s="49" t="s">
        <v>23</v>
      </c>
      <c r="M2228" s="36">
        <f t="shared" si="26"/>
        <v>45798.61171</v>
      </c>
      <c r="N2228" s="30" t="str">
        <f t="shared" si="27"/>
        <v>Selesai</v>
      </c>
      <c r="O2228" s="45">
        <f t="shared" si="23"/>
        <v>45798.61171</v>
      </c>
      <c r="P2228" s="47" t="b">
        <v>1</v>
      </c>
      <c r="Q2228" s="36">
        <f t="shared" si="24"/>
        <v>45798.61199</v>
      </c>
      <c r="R2228" s="47" t="b">
        <v>0</v>
      </c>
      <c r="S2228" s="42" t="str">
        <f t="shared" si="28"/>
        <v/>
      </c>
      <c r="T2228" s="42"/>
    </row>
    <row r="2229" ht="22.5" customHeight="1">
      <c r="B2229" s="42">
        <f t="shared" si="7"/>
        <v>2223</v>
      </c>
      <c r="C2229" s="31" t="s">
        <v>2325</v>
      </c>
      <c r="D2229" s="34" t="str">
        <f t="array" ref="D2229">IFNA(_xlfn.XLOOKUP(C2229,Table_Tarikan_Warkah[Nomor Sertipikat],Table_Tarikan_Warkah[Nomor Tiket]),"")</f>
        <v>K/11/050525/1</v>
      </c>
      <c r="E2229" s="36">
        <f t="array" ref="E2229">IFNA(_xlfn.XLOOKUP(D2229,Table_Tarikan_Warkah[Nomor Tiket],Table_Tarikan_Warkah[Tanggal diserahkan kepada Validator]),"")</f>
        <v>45799.70606</v>
      </c>
      <c r="F2229" s="36" t="str">
        <f t="array" ref="F2229">IFNA(_xlfn.XLOOKUP(D2229,Table_Tarikan_Warkah[Nomor Tiket],Table_Tarikan_Warkah[Nama Petugas Warkah]),"")</f>
        <v>Berry</v>
      </c>
      <c r="G2229" s="39" t="str">
        <f t="array" ref="G2229">IFNA(_xlfn.XLOOKUP(D2229,Table_Tarikan_Warkah[Nomor Tiket],Table_Tarikan_Warkah[Jenis Permohonan]),"")</f>
        <v>BN HIBAH</v>
      </c>
      <c r="H2229" s="41" t="s">
        <v>20</v>
      </c>
      <c r="I2229" s="49" t="s">
        <v>23</v>
      </c>
      <c r="J2229" s="36">
        <f t="shared" si="20"/>
        <v>45797.77699</v>
      </c>
      <c r="K2229" s="49" t="s">
        <v>26</v>
      </c>
      <c r="L2229" s="49" t="s">
        <v>23</v>
      </c>
      <c r="M2229" s="36">
        <f t="shared" si="26"/>
        <v>45798.61171</v>
      </c>
      <c r="N2229" s="30" t="str">
        <f t="shared" si="27"/>
        <v>Selesai</v>
      </c>
      <c r="O2229" s="45">
        <f t="shared" si="23"/>
        <v>45798.61171</v>
      </c>
      <c r="P2229" s="47" t="b">
        <v>1</v>
      </c>
      <c r="Q2229" s="36">
        <f t="shared" si="24"/>
        <v>45798.61199</v>
      </c>
      <c r="R2229" s="47" t="b">
        <v>0</v>
      </c>
      <c r="S2229" s="42" t="str">
        <f t="shared" si="28"/>
        <v/>
      </c>
      <c r="T2229" s="42"/>
    </row>
    <row r="2230" ht="22.5" customHeight="1">
      <c r="B2230" s="42">
        <f t="shared" si="7"/>
        <v>2224</v>
      </c>
      <c r="C2230" s="31" t="s">
        <v>2326</v>
      </c>
      <c r="D2230" s="34" t="str">
        <f t="array" ref="D2230">IFNA(_xlfn.XLOOKUP(C2230,Table_Tarikan_Warkah[Nomor Sertipikat],Table_Tarikan_Warkah[Nomor Tiket]),"")</f>
        <v>K/7/160425/1</v>
      </c>
      <c r="E2230" s="36">
        <f t="array" ref="E2230">IFNA(_xlfn.XLOOKUP(D2230,Table_Tarikan_Warkah[Nomor Tiket],Table_Tarikan_Warkah[Tanggal diserahkan kepada Validator]),"")</f>
        <v>45825.6626</v>
      </c>
      <c r="F2230" s="36" t="str">
        <f t="array" ref="F2230">IFNA(_xlfn.XLOOKUP(D2230,Table_Tarikan_Warkah[Nomor Tiket],Table_Tarikan_Warkah[Nama Petugas Warkah]),"")</f>
        <v>David</v>
      </c>
      <c r="G2230" s="39" t="str">
        <f t="array" ref="G2230">IFNA(_xlfn.XLOOKUP(D2230,Table_Tarikan_Warkah[Nomor Tiket],Table_Tarikan_Warkah[Jenis Permohonan]),"")</f>
        <v>ROYA</v>
      </c>
      <c r="H2230" s="41" t="s">
        <v>20</v>
      </c>
      <c r="I2230" s="49" t="s">
        <v>23</v>
      </c>
      <c r="J2230" s="36">
        <f t="shared" si="20"/>
        <v>45797.77711</v>
      </c>
      <c r="K2230" s="49" t="s">
        <v>26</v>
      </c>
      <c r="L2230" s="49" t="s">
        <v>23</v>
      </c>
      <c r="M2230" s="36">
        <f t="shared" si="26"/>
        <v>45798.61171</v>
      </c>
      <c r="N2230" s="30" t="str">
        <f t="shared" si="27"/>
        <v>Selesai</v>
      </c>
      <c r="O2230" s="45">
        <f t="shared" si="23"/>
        <v>45798.61171</v>
      </c>
      <c r="P2230" s="47" t="b">
        <v>1</v>
      </c>
      <c r="Q2230" s="36">
        <f t="shared" si="24"/>
        <v>45798.61199</v>
      </c>
      <c r="R2230" s="47" t="b">
        <v>0</v>
      </c>
      <c r="S2230" s="42" t="str">
        <f t="shared" si="28"/>
        <v/>
      </c>
      <c r="T2230" s="42"/>
    </row>
    <row r="2231" ht="22.5" customHeight="1">
      <c r="B2231" s="42">
        <f t="shared" si="7"/>
        <v>2225</v>
      </c>
      <c r="C2231" s="31" t="s">
        <v>2327</v>
      </c>
      <c r="D2231" s="34" t="str">
        <f t="array" ref="D2231">IFNA(_xlfn.XLOOKUP(C2231,Table_Tarikan_Warkah[Nomor Sertipikat],Table_Tarikan_Warkah[Nomor Tiket]),"")</f>
        <v>K/30/170325/2</v>
      </c>
      <c r="E2231" s="36">
        <f t="array" ref="E2231">IFNA(_xlfn.XLOOKUP(D2231,Table_Tarikan_Warkah[Nomor Tiket],Table_Tarikan_Warkah[Tanggal diserahkan kepada Validator]),"")</f>
        <v>45799.707</v>
      </c>
      <c r="F2231" s="36" t="str">
        <f t="array" ref="F2231">IFNA(_xlfn.XLOOKUP(D2231,Table_Tarikan_Warkah[Nomor Tiket],Table_Tarikan_Warkah[Nama Petugas Warkah]),"")</f>
        <v>Berry</v>
      </c>
      <c r="G2231" s="39" t="str">
        <f t="array" ref="G2231">IFNA(_xlfn.XLOOKUP(D2231,Table_Tarikan_Warkah[Nomor Tiket],Table_Tarikan_Warkah[Jenis Permohonan]),"")</f>
        <v>BN JUAL BELI</v>
      </c>
      <c r="H2231" s="41" t="s">
        <v>20</v>
      </c>
      <c r="I2231" s="49" t="s">
        <v>23</v>
      </c>
      <c r="J2231" s="36">
        <f t="shared" si="20"/>
        <v>45797.77719</v>
      </c>
      <c r="K2231" s="49" t="s">
        <v>26</v>
      </c>
      <c r="L2231" s="49" t="s">
        <v>23</v>
      </c>
      <c r="M2231" s="36">
        <f t="shared" si="26"/>
        <v>45798.61171</v>
      </c>
      <c r="N2231" s="30" t="str">
        <f t="shared" si="27"/>
        <v>Selesai</v>
      </c>
      <c r="O2231" s="45">
        <f t="shared" si="23"/>
        <v>45798.61171</v>
      </c>
      <c r="P2231" s="47" t="b">
        <v>1</v>
      </c>
      <c r="Q2231" s="36">
        <f t="shared" si="24"/>
        <v>45798.61199</v>
      </c>
      <c r="R2231" s="47" t="b">
        <v>0</v>
      </c>
      <c r="S2231" s="42" t="str">
        <f t="shared" si="28"/>
        <v/>
      </c>
      <c r="T2231" s="42"/>
    </row>
    <row r="2232" ht="22.5" customHeight="1">
      <c r="B2232" s="42">
        <f t="shared" si="7"/>
        <v>2226</v>
      </c>
      <c r="C2232" s="31" t="s">
        <v>2328</v>
      </c>
      <c r="D2232" s="34" t="str">
        <f t="array" ref="D2232">IFNA(_xlfn.XLOOKUP(C2232,Table_Tarikan_Warkah[Nomor Sertipikat],Table_Tarikan_Warkah[Nomor Tiket]),"")</f>
        <v>K/24/140525/1</v>
      </c>
      <c r="E2232" s="36">
        <f t="array" ref="E2232">IFNA(_xlfn.XLOOKUP(D2232,Table_Tarikan_Warkah[Nomor Tiket],Table_Tarikan_Warkah[Tanggal diserahkan kepada Validator]),"")</f>
        <v>45799.70622</v>
      </c>
      <c r="F2232" s="36" t="str">
        <f t="array" ref="F2232">IFNA(_xlfn.XLOOKUP(D2232,Table_Tarikan_Warkah[Nomor Tiket],Table_Tarikan_Warkah[Nama Petugas Warkah]),"")</f>
        <v>Berry</v>
      </c>
      <c r="G2232" s="39" t="str">
        <f t="array" ref="G2232">IFNA(_xlfn.XLOOKUP(D2232,Table_Tarikan_Warkah[Nomor Tiket],Table_Tarikan_Warkah[Jenis Permohonan]),"")</f>
        <v>BN JUAL BELI</v>
      </c>
      <c r="H2232" s="41" t="s">
        <v>20</v>
      </c>
      <c r="I2232" s="49" t="s">
        <v>23</v>
      </c>
      <c r="J2232" s="36">
        <f t="shared" si="20"/>
        <v>45797.77737</v>
      </c>
      <c r="K2232" s="49" t="s">
        <v>26</v>
      </c>
      <c r="L2232" s="49" t="s">
        <v>23</v>
      </c>
      <c r="M2232" s="36">
        <f t="shared" si="26"/>
        <v>45798.61171</v>
      </c>
      <c r="N2232" s="30" t="str">
        <f t="shared" si="27"/>
        <v>Selesai</v>
      </c>
      <c r="O2232" s="45">
        <f t="shared" si="23"/>
        <v>45798.61171</v>
      </c>
      <c r="P2232" s="47" t="b">
        <v>1</v>
      </c>
      <c r="Q2232" s="36">
        <f t="shared" si="24"/>
        <v>45798.61199</v>
      </c>
      <c r="R2232" s="47" t="b">
        <v>0</v>
      </c>
      <c r="S2232" s="42" t="str">
        <f t="shared" si="28"/>
        <v/>
      </c>
      <c r="T2232" s="42"/>
    </row>
    <row r="2233" ht="22.5" customHeight="1">
      <c r="B2233" s="42">
        <f t="shared" si="7"/>
        <v>2227</v>
      </c>
      <c r="C2233" s="31" t="s">
        <v>2329</v>
      </c>
      <c r="D2233" s="34" t="str">
        <f t="array" ref="D2233">IFNA(_xlfn.XLOOKUP(C2233,Table_Tarikan_Warkah[Nomor Sertipikat],Table_Tarikan_Warkah[Nomor Tiket]),"")</f>
        <v>K/13/090525/1</v>
      </c>
      <c r="E2233" s="36">
        <f t="array" ref="E2233">IFNA(_xlfn.XLOOKUP(D2233,Table_Tarikan_Warkah[Nomor Tiket],Table_Tarikan_Warkah[Tanggal diserahkan kepada Validator]),"")</f>
        <v>45799.70644</v>
      </c>
      <c r="F2233" s="36" t="str">
        <f t="array" ref="F2233">IFNA(_xlfn.XLOOKUP(D2233,Table_Tarikan_Warkah[Nomor Tiket],Table_Tarikan_Warkah[Nama Petugas Warkah]),"")</f>
        <v>Berry</v>
      </c>
      <c r="G2233" s="39" t="str">
        <f t="array" ref="G2233">IFNA(_xlfn.XLOOKUP(D2233,Table_Tarikan_Warkah[Nomor Tiket],Table_Tarikan_Warkah[Jenis Permohonan]),"")</f>
        <v>BN JUAL BELI</v>
      </c>
      <c r="H2233" s="41" t="s">
        <v>20</v>
      </c>
      <c r="I2233" s="49" t="s">
        <v>23</v>
      </c>
      <c r="J2233" s="36">
        <f t="shared" si="20"/>
        <v>45797.77752</v>
      </c>
      <c r="K2233" s="49" t="s">
        <v>26</v>
      </c>
      <c r="L2233" s="49" t="s">
        <v>23</v>
      </c>
      <c r="M2233" s="36">
        <f t="shared" si="26"/>
        <v>45798.61171</v>
      </c>
      <c r="N2233" s="30" t="str">
        <f t="shared" si="27"/>
        <v>Selesai</v>
      </c>
      <c r="O2233" s="45">
        <f t="shared" si="23"/>
        <v>45798.61171</v>
      </c>
      <c r="P2233" s="47" t="b">
        <v>1</v>
      </c>
      <c r="Q2233" s="36">
        <f t="shared" si="24"/>
        <v>45798.61199</v>
      </c>
      <c r="R2233" s="47" t="b">
        <v>0</v>
      </c>
      <c r="S2233" s="42" t="str">
        <f t="shared" si="28"/>
        <v/>
      </c>
      <c r="T2233" s="42"/>
    </row>
    <row r="2234" ht="22.5" customHeight="1">
      <c r="B2234" s="42">
        <f t="shared" si="7"/>
        <v>2228</v>
      </c>
      <c r="C2234" s="31" t="s">
        <v>2330</v>
      </c>
      <c r="D2234" s="34" t="str">
        <f t="array" ref="D2234">IFNA(_xlfn.XLOOKUP(C2234,Table_Tarikan_Warkah[Nomor Sertipikat],Table_Tarikan_Warkah[Nomor Tiket]),"")</f>
        <v>K/13/250425/1</v>
      </c>
      <c r="E2234" s="36">
        <f t="array" ref="E2234">IFNA(_xlfn.XLOOKUP(D2234,Table_Tarikan_Warkah[Nomor Tiket],Table_Tarikan_Warkah[Tanggal diserahkan kepada Validator]),"")</f>
        <v>45827.67942</v>
      </c>
      <c r="F2234" s="36" t="str">
        <f t="array" ref="F2234">IFNA(_xlfn.XLOOKUP(D2234,Table_Tarikan_Warkah[Nomor Tiket],Table_Tarikan_Warkah[Nama Petugas Warkah]),"")</f>
        <v>Berry</v>
      </c>
      <c r="G2234" s="39" t="str">
        <f t="array" ref="G2234">IFNA(_xlfn.XLOOKUP(D2234,Table_Tarikan_Warkah[Nomor Tiket],Table_Tarikan_Warkah[Jenis Permohonan]),"")</f>
        <v>Roya</v>
      </c>
      <c r="H2234" s="41" t="s">
        <v>20</v>
      </c>
      <c r="I2234" s="49" t="s">
        <v>23</v>
      </c>
      <c r="J2234" s="36">
        <f t="shared" si="20"/>
        <v>45797.7781</v>
      </c>
      <c r="K2234" s="49" t="s">
        <v>26</v>
      </c>
      <c r="L2234" s="49" t="s">
        <v>23</v>
      </c>
      <c r="M2234" s="36">
        <f t="shared" si="26"/>
        <v>45798.61171</v>
      </c>
      <c r="N2234" s="30" t="str">
        <f t="shared" si="27"/>
        <v>Selesai</v>
      </c>
      <c r="O2234" s="45">
        <f t="shared" si="23"/>
        <v>45798.61171</v>
      </c>
      <c r="P2234" s="47" t="b">
        <v>1</v>
      </c>
      <c r="Q2234" s="36">
        <f t="shared" si="24"/>
        <v>45798.61199</v>
      </c>
      <c r="R2234" s="47" t="b">
        <v>0</v>
      </c>
      <c r="S2234" s="42" t="str">
        <f t="shared" si="28"/>
        <v/>
      </c>
      <c r="T2234" s="42"/>
    </row>
    <row r="2235" ht="22.5" customHeight="1">
      <c r="B2235" s="42">
        <f t="shared" si="7"/>
        <v>2229</v>
      </c>
      <c r="C2235" s="31" t="s">
        <v>2331</v>
      </c>
      <c r="D2235" s="34" t="str">
        <f t="array" ref="D2235">IFNA(_xlfn.XLOOKUP(C2235,Table_Tarikan_Warkah[Nomor Sertipikat],Table_Tarikan_Warkah[Nomor Tiket]),"")</f>
        <v>K/41/080525/2</v>
      </c>
      <c r="E2235" s="36">
        <f t="array" ref="E2235">IFNA(_xlfn.XLOOKUP(D2235,Table_Tarikan_Warkah[Nomor Tiket],Table_Tarikan_Warkah[Tanggal diserahkan kepada Validator]),"")</f>
        <v>45803.43763</v>
      </c>
      <c r="F2235" s="36" t="str">
        <f t="array" ref="F2235">IFNA(_xlfn.XLOOKUP(D2235,Table_Tarikan_Warkah[Nomor Tiket],Table_Tarikan_Warkah[Nama Petugas Warkah]),"")</f>
        <v>Berry</v>
      </c>
      <c r="G2235" s="39" t="str">
        <f t="array" ref="G2235">IFNA(_xlfn.XLOOKUP(D2235,Table_Tarikan_Warkah[Nomor Tiket],Table_Tarikan_Warkah[Jenis Permohonan]),"")</f>
        <v>BN Jual Beli</v>
      </c>
      <c r="H2235" s="41" t="s">
        <v>20</v>
      </c>
      <c r="I2235" s="49" t="s">
        <v>23</v>
      </c>
      <c r="J2235" s="36">
        <f t="shared" si="20"/>
        <v>45797.77818</v>
      </c>
      <c r="K2235" s="49" t="s">
        <v>26</v>
      </c>
      <c r="L2235" s="49" t="s">
        <v>23</v>
      </c>
      <c r="M2235" s="36">
        <f t="shared" si="26"/>
        <v>45798.61171</v>
      </c>
      <c r="N2235" s="30" t="str">
        <f t="shared" si="27"/>
        <v>Selesai</v>
      </c>
      <c r="O2235" s="45">
        <f t="shared" si="23"/>
        <v>45798.61171</v>
      </c>
      <c r="P2235" s="47" t="b">
        <v>1</v>
      </c>
      <c r="Q2235" s="36">
        <f t="shared" si="24"/>
        <v>45798.612</v>
      </c>
      <c r="R2235" s="47" t="b">
        <v>0</v>
      </c>
      <c r="S2235" s="42" t="str">
        <f t="shared" si="28"/>
        <v/>
      </c>
      <c r="T2235" s="42"/>
    </row>
    <row r="2236" ht="22.5" customHeight="1">
      <c r="B2236" s="42">
        <f t="shared" si="7"/>
        <v>2230</v>
      </c>
      <c r="C2236" s="31" t="s">
        <v>2332</v>
      </c>
      <c r="D2236" s="34" t="str">
        <f t="array" ref="D2236">IFNA(_xlfn.XLOOKUP(C2236,Table_Tarikan_Warkah[Nomor Sertipikat],Table_Tarikan_Warkah[Nomor Tiket]),"")</f>
        <v>K/10/080525/4</v>
      </c>
      <c r="E2236" s="36">
        <f t="array" ref="E2236">IFNA(_xlfn.XLOOKUP(D2236,Table_Tarikan_Warkah[Nomor Tiket],Table_Tarikan_Warkah[Tanggal diserahkan kepada Validator]),"")</f>
        <v>45813.49002</v>
      </c>
      <c r="F2236" s="36" t="str">
        <f t="array" ref="F2236">IFNA(_xlfn.XLOOKUP(D2236,Table_Tarikan_Warkah[Nomor Tiket],Table_Tarikan_Warkah[Nama Petugas Warkah]),"")</f>
        <v>David</v>
      </c>
      <c r="G2236" s="39" t="str">
        <f t="array" ref="G2236">IFNA(_xlfn.XLOOKUP(D2236,Table_Tarikan_Warkah[Nomor Tiket],Table_Tarikan_Warkah[Jenis Permohonan]),"")</f>
        <v>ROYA </v>
      </c>
      <c r="H2236" s="41" t="s">
        <v>2315</v>
      </c>
      <c r="I2236" s="49" t="s">
        <v>23</v>
      </c>
      <c r="J2236" s="36">
        <f t="shared" si="20"/>
        <v>45797.77855</v>
      </c>
      <c r="K2236" s="49" t="s">
        <v>197</v>
      </c>
      <c r="L2236" s="49" t="s">
        <v>23</v>
      </c>
      <c r="M2236" s="36">
        <f t="shared" si="26"/>
        <v>45798.37012</v>
      </c>
      <c r="N2236" s="30" t="str">
        <f t="shared" si="27"/>
        <v>Selesai</v>
      </c>
      <c r="O2236" s="45">
        <f t="shared" si="23"/>
        <v>45798.37012</v>
      </c>
      <c r="P2236" s="47" t="b">
        <v>1</v>
      </c>
      <c r="Q2236" s="36">
        <f t="shared" si="24"/>
        <v>45798.37062</v>
      </c>
      <c r="R2236" s="47" t="b">
        <v>0</v>
      </c>
      <c r="S2236" s="42" t="str">
        <f t="shared" si="28"/>
        <v/>
      </c>
      <c r="T2236" s="42"/>
    </row>
    <row r="2237" ht="22.5" customHeight="1">
      <c r="B2237" s="42">
        <f t="shared" si="7"/>
        <v>2231</v>
      </c>
      <c r="C2237" s="31" t="s">
        <v>2333</v>
      </c>
      <c r="D2237" s="34" t="str">
        <f t="array" ref="D2237">IFNA(_xlfn.XLOOKUP(C2237,Table_Tarikan_Warkah[Nomor Sertipikat],Table_Tarikan_Warkah[Nomor Tiket]),"")</f>
        <v>L/40/090525/1</v>
      </c>
      <c r="E2237" s="36">
        <f t="array" ref="E2237">IFNA(_xlfn.XLOOKUP(D2237,Table_Tarikan_Warkah[Nomor Tiket],Table_Tarikan_Warkah[Tanggal diserahkan kepada Validator]),"")</f>
        <v>45813.47958</v>
      </c>
      <c r="F2237" s="36" t="str">
        <f t="array" ref="F2237">IFNA(_xlfn.XLOOKUP(D2237,Table_Tarikan_Warkah[Nomor Tiket],Table_Tarikan_Warkah[Nama Petugas Warkah]),"")</f>
        <v>David</v>
      </c>
      <c r="G2237" s="39" t="str">
        <f t="array" ref="G2237">IFNA(_xlfn.XLOOKUP(D2237,Table_Tarikan_Warkah[Nomor Tiket],Table_Tarikan_Warkah[Jenis Permohonan]),"")</f>
        <v>ROYA</v>
      </c>
      <c r="H2237" s="41" t="s">
        <v>2315</v>
      </c>
      <c r="I2237" s="49" t="s">
        <v>23</v>
      </c>
      <c r="J2237" s="36">
        <f t="shared" si="20"/>
        <v>45797.77874</v>
      </c>
      <c r="K2237" s="49" t="s">
        <v>197</v>
      </c>
      <c r="L2237" s="49" t="s">
        <v>23</v>
      </c>
      <c r="M2237" s="36">
        <f t="shared" si="26"/>
        <v>45798.37012</v>
      </c>
      <c r="N2237" s="30" t="str">
        <f t="shared" si="27"/>
        <v>Selesai</v>
      </c>
      <c r="O2237" s="45">
        <f t="shared" si="23"/>
        <v>45798.37012</v>
      </c>
      <c r="P2237" s="47" t="b">
        <v>1</v>
      </c>
      <c r="Q2237" s="36">
        <f t="shared" si="24"/>
        <v>45798.37071</v>
      </c>
      <c r="R2237" s="47" t="b">
        <v>0</v>
      </c>
      <c r="S2237" s="42" t="str">
        <f t="shared" si="28"/>
        <v/>
      </c>
      <c r="T2237" s="42"/>
    </row>
    <row r="2238" ht="22.5" customHeight="1">
      <c r="B2238" s="42">
        <f t="shared" si="7"/>
        <v>2232</v>
      </c>
      <c r="C2238" s="31" t="s">
        <v>2334</v>
      </c>
      <c r="D2238" s="34" t="str">
        <f t="array" ref="D2238">IFNA(_xlfn.XLOOKUP(C2238,Table_Tarikan_Warkah[Nomor Sertipikat],Table_Tarikan_Warkah[Nomor Tiket]),"")</f>
        <v/>
      </c>
      <c r="E2238" s="36" t="str">
        <f t="array" ref="E2238">IFNA(_xlfn.XLOOKUP(D2238,Table_Tarikan_Warkah[Nomor Tiket],Table_Tarikan_Warkah[Tanggal diserahkan kepada Validator]),"")</f>
        <v/>
      </c>
      <c r="F2238" s="36" t="str">
        <f t="array" ref="F2238">IFNA(_xlfn.XLOOKUP(D2238,Table_Tarikan_Warkah[Nomor Tiket],Table_Tarikan_Warkah[Nama Petugas Warkah]),"")</f>
        <v/>
      </c>
      <c r="G2238" s="39" t="str">
        <f t="array" ref="G2238">IFNA(_xlfn.XLOOKUP(D2238,Table_Tarikan_Warkah[Nomor Tiket],Table_Tarikan_Warkah[Jenis Permohonan]),"")</f>
        <v/>
      </c>
      <c r="H2238" s="41" t="s">
        <v>2315</v>
      </c>
      <c r="I2238" s="49" t="s">
        <v>23</v>
      </c>
      <c r="J2238" s="36">
        <f t="shared" si="20"/>
        <v>45797.77891</v>
      </c>
      <c r="K2238" s="49" t="s">
        <v>197</v>
      </c>
      <c r="L2238" s="49" t="s">
        <v>23</v>
      </c>
      <c r="M2238" s="36">
        <f t="shared" si="26"/>
        <v>45798.37012</v>
      </c>
      <c r="N2238" s="30" t="str">
        <f t="shared" si="27"/>
        <v/>
      </c>
      <c r="O2238" s="39" t="str">
        <f t="shared" si="23"/>
        <v/>
      </c>
      <c r="P2238" s="47" t="b">
        <v>1</v>
      </c>
      <c r="Q2238" s="36">
        <f t="shared" si="24"/>
        <v>45798.37071</v>
      </c>
      <c r="R2238" s="47" t="b">
        <v>0</v>
      </c>
      <c r="S2238" s="42" t="str">
        <f t="shared" si="28"/>
        <v/>
      </c>
      <c r="T2238" s="42"/>
    </row>
    <row r="2239" ht="22.5" customHeight="1">
      <c r="B2239" s="42">
        <f t="shared" si="7"/>
        <v>2233</v>
      </c>
      <c r="C2239" s="31" t="s">
        <v>2335</v>
      </c>
      <c r="D2239" s="34" t="str">
        <f t="array" ref="D2239">IFNA(_xlfn.XLOOKUP(C2239,Table_Tarikan_Warkah[Nomor Sertipikat],Table_Tarikan_Warkah[Nomor Tiket]),"")</f>
        <v>L/33/160525/1</v>
      </c>
      <c r="E2239" s="36">
        <f t="array" ref="E2239">IFNA(_xlfn.XLOOKUP(D2239,Table_Tarikan_Warkah[Nomor Tiket],Table_Tarikan_Warkah[Tanggal diserahkan kepada Validator]),"")</f>
        <v>45813.47933</v>
      </c>
      <c r="F2239" s="36" t="str">
        <f t="array" ref="F2239">IFNA(_xlfn.XLOOKUP(D2239,Table_Tarikan_Warkah[Nomor Tiket],Table_Tarikan_Warkah[Nama Petugas Warkah]),"")</f>
        <v>David</v>
      </c>
      <c r="G2239" s="39" t="str">
        <f t="array" ref="G2239">IFNA(_xlfn.XLOOKUP(D2239,Table_Tarikan_Warkah[Nomor Tiket],Table_Tarikan_Warkah[Jenis Permohonan]),"")</f>
        <v>ROYA </v>
      </c>
      <c r="H2239" s="41" t="s">
        <v>2315</v>
      </c>
      <c r="I2239" s="49" t="s">
        <v>23</v>
      </c>
      <c r="J2239" s="36">
        <f t="shared" si="20"/>
        <v>45797.77908</v>
      </c>
      <c r="K2239" s="49" t="s">
        <v>197</v>
      </c>
      <c r="L2239" s="49" t="s">
        <v>23</v>
      </c>
      <c r="M2239" s="36">
        <f t="shared" si="26"/>
        <v>45798.37012</v>
      </c>
      <c r="N2239" s="30" t="str">
        <f t="shared" si="27"/>
        <v>Selesai</v>
      </c>
      <c r="O2239" s="45">
        <f t="shared" si="23"/>
        <v>45798.37012</v>
      </c>
      <c r="P2239" s="47" t="b">
        <v>1</v>
      </c>
      <c r="Q2239" s="36">
        <f t="shared" si="24"/>
        <v>45798.37071</v>
      </c>
      <c r="R2239" s="47" t="b">
        <v>0</v>
      </c>
      <c r="S2239" s="42" t="str">
        <f t="shared" si="28"/>
        <v/>
      </c>
      <c r="T2239" s="42"/>
    </row>
    <row r="2240" ht="22.5" customHeight="1">
      <c r="B2240" s="42">
        <f t="shared" si="7"/>
        <v>2234</v>
      </c>
      <c r="C2240" s="31" t="s">
        <v>2336</v>
      </c>
      <c r="D2240" s="34" t="str">
        <f t="array" ref="D2240">IFNA(_xlfn.XLOOKUP(C2240,Table_Tarikan_Warkah[Nomor Sertipikat],Table_Tarikan_Warkah[Nomor Tiket]),"")</f>
        <v>L/18/090525/1</v>
      </c>
      <c r="E2240" s="36" t="str">
        <f t="array" ref="E2240">IFNA(_xlfn.XLOOKUP(D2240,Table_Tarikan_Warkah[Nomor Tiket],Table_Tarikan_Warkah[Tanggal diserahkan kepada Validator]),"")</f>
        <v/>
      </c>
      <c r="F2240" s="36" t="str">
        <f t="array" ref="F2240">IFNA(_xlfn.XLOOKUP(D2240,Table_Tarikan_Warkah[Nomor Tiket],Table_Tarikan_Warkah[Nama Petugas Warkah]),"")</f>
        <v/>
      </c>
      <c r="G2240" s="39" t="str">
        <f t="array" ref="G2240">IFNA(_xlfn.XLOOKUP(D2240,Table_Tarikan_Warkah[Nomor Tiket],Table_Tarikan_Warkah[Jenis Permohonan]),"")</f>
        <v>ROYA</v>
      </c>
      <c r="H2240" s="41" t="s">
        <v>2315</v>
      </c>
      <c r="I2240" s="49" t="s">
        <v>23</v>
      </c>
      <c r="J2240" s="36">
        <f t="shared" si="20"/>
        <v>45797.77923</v>
      </c>
      <c r="K2240" s="49" t="s">
        <v>197</v>
      </c>
      <c r="L2240" s="49" t="s">
        <v>23</v>
      </c>
      <c r="M2240" s="36">
        <f t="shared" si="26"/>
        <v>45798.37012</v>
      </c>
      <c r="N2240" s="30" t="str">
        <f t="shared" si="27"/>
        <v>Selesai</v>
      </c>
      <c r="O2240" s="45">
        <f t="shared" si="23"/>
        <v>45798.37012</v>
      </c>
      <c r="P2240" s="47" t="b">
        <v>1</v>
      </c>
      <c r="Q2240" s="36">
        <f t="shared" si="24"/>
        <v>45798.37071</v>
      </c>
      <c r="R2240" s="47" t="b">
        <v>0</v>
      </c>
      <c r="S2240" s="42" t="str">
        <f t="shared" si="28"/>
        <v/>
      </c>
      <c r="T2240" s="42"/>
    </row>
    <row r="2241" ht="22.5" customHeight="1">
      <c r="B2241" s="42">
        <f t="shared" si="7"/>
        <v>2235</v>
      </c>
      <c r="C2241" s="31" t="s">
        <v>2337</v>
      </c>
      <c r="D2241" s="34" t="str">
        <f t="array" ref="D2241">IFNA(_xlfn.XLOOKUP(C2241,Table_Tarikan_Warkah[Nomor Sertipikat],Table_Tarikan_Warkah[Nomor Tiket]),"")</f>
        <v>L/13/080525/1</v>
      </c>
      <c r="E2241" s="36">
        <f t="array" ref="E2241">IFNA(_xlfn.XLOOKUP(D2241,Table_Tarikan_Warkah[Nomor Tiket],Table_Tarikan_Warkah[Tanggal diserahkan kepada Validator]),"")</f>
        <v>45811.36543</v>
      </c>
      <c r="F2241" s="36" t="str">
        <f t="array" ref="F2241">IFNA(_xlfn.XLOOKUP(D2241,Table_Tarikan_Warkah[Nomor Tiket],Table_Tarikan_Warkah[Nama Petugas Warkah]),"")</f>
        <v>David</v>
      </c>
      <c r="G2241" s="39" t="str">
        <f t="array" ref="G2241">IFNA(_xlfn.XLOOKUP(D2241,Table_Tarikan_Warkah[Nomor Tiket],Table_Tarikan_Warkah[Jenis Permohonan]),"")</f>
        <v>ROYA</v>
      </c>
      <c r="H2241" s="41" t="s">
        <v>2315</v>
      </c>
      <c r="I2241" s="49" t="s">
        <v>23</v>
      </c>
      <c r="J2241" s="36">
        <f t="shared" si="20"/>
        <v>45797.7797</v>
      </c>
      <c r="K2241" s="49" t="s">
        <v>197</v>
      </c>
      <c r="L2241" s="49" t="s">
        <v>23</v>
      </c>
      <c r="M2241" s="36">
        <f t="shared" si="26"/>
        <v>45798.37012</v>
      </c>
      <c r="N2241" s="30" t="str">
        <f t="shared" si="27"/>
        <v>Selesai</v>
      </c>
      <c r="O2241" s="45">
        <f t="shared" si="23"/>
        <v>45798.37012</v>
      </c>
      <c r="P2241" s="47" t="b">
        <v>1</v>
      </c>
      <c r="Q2241" s="36">
        <f t="shared" si="24"/>
        <v>45798.37071</v>
      </c>
      <c r="R2241" s="47" t="b">
        <v>0</v>
      </c>
      <c r="S2241" s="42" t="str">
        <f t="shared" si="28"/>
        <v/>
      </c>
      <c r="T2241" s="42"/>
    </row>
    <row r="2242" ht="22.5" customHeight="1">
      <c r="B2242" s="42">
        <f t="shared" si="7"/>
        <v>2236</v>
      </c>
      <c r="C2242" s="31" t="s">
        <v>2338</v>
      </c>
      <c r="D2242" s="34" t="str">
        <f t="array" ref="D2242">IFNA(_xlfn.XLOOKUP(C2242,Table_Tarikan_Warkah[Nomor Sertipikat],Table_Tarikan_Warkah[Nomor Tiket]),"")</f>
        <v>K/16/150525/1</v>
      </c>
      <c r="E2242" s="36">
        <f t="array" ref="E2242">IFNA(_xlfn.XLOOKUP(D2242,Table_Tarikan_Warkah[Nomor Tiket],Table_Tarikan_Warkah[Tanggal diserahkan kepada Validator]),"")</f>
        <v>45813.49023</v>
      </c>
      <c r="F2242" s="36" t="str">
        <f t="array" ref="F2242">IFNA(_xlfn.XLOOKUP(D2242,Table_Tarikan_Warkah[Nomor Tiket],Table_Tarikan_Warkah[Nama Petugas Warkah]),"")</f>
        <v>David</v>
      </c>
      <c r="G2242" s="39" t="str">
        <f t="array" ref="G2242">IFNA(_xlfn.XLOOKUP(D2242,Table_Tarikan_Warkah[Nomor Tiket],Table_Tarikan_Warkah[Jenis Permohonan]),"")</f>
        <v>ROYA</v>
      </c>
      <c r="H2242" s="41" t="s">
        <v>2315</v>
      </c>
      <c r="I2242" s="49" t="s">
        <v>23</v>
      </c>
      <c r="J2242" s="36">
        <f t="shared" si="20"/>
        <v>45797.77996</v>
      </c>
      <c r="K2242" s="49" t="s">
        <v>197</v>
      </c>
      <c r="L2242" s="49" t="s">
        <v>23</v>
      </c>
      <c r="M2242" s="36">
        <f t="shared" si="26"/>
        <v>45798.37012</v>
      </c>
      <c r="N2242" s="30" t="str">
        <f t="shared" si="27"/>
        <v>Selesai</v>
      </c>
      <c r="O2242" s="45">
        <f t="shared" si="23"/>
        <v>45798.37012</v>
      </c>
      <c r="P2242" s="47" t="b">
        <v>1</v>
      </c>
      <c r="Q2242" s="36">
        <f t="shared" si="24"/>
        <v>45798.37071</v>
      </c>
      <c r="R2242" s="47" t="b">
        <v>0</v>
      </c>
      <c r="S2242" s="42" t="str">
        <f t="shared" si="28"/>
        <v/>
      </c>
      <c r="T2242" s="42"/>
    </row>
    <row r="2243" ht="22.5" customHeight="1">
      <c r="B2243" s="42">
        <f t="shared" si="7"/>
        <v>2237</v>
      </c>
      <c r="C2243" s="31" t="s">
        <v>2339</v>
      </c>
      <c r="D2243" s="34" t="str">
        <f t="array" ref="D2243">IFNA(_xlfn.XLOOKUP(C2243,Table_Tarikan_Warkah[Nomor Sertipikat],Table_Tarikan_Warkah[Nomor Tiket]),"")</f>
        <v>K/7/090525/1</v>
      </c>
      <c r="E2243" s="36">
        <f t="array" ref="E2243">IFNA(_xlfn.XLOOKUP(D2243,Table_Tarikan_Warkah[Nomor Tiket],Table_Tarikan_Warkah[Tanggal diserahkan kepada Validator]),"")</f>
        <v>45811.36557</v>
      </c>
      <c r="F2243" s="36" t="str">
        <f t="array" ref="F2243">IFNA(_xlfn.XLOOKUP(D2243,Table_Tarikan_Warkah[Nomor Tiket],Table_Tarikan_Warkah[Nama Petugas Warkah]),"")</f>
        <v>David</v>
      </c>
      <c r="G2243" s="39" t="str">
        <f t="array" ref="G2243">IFNA(_xlfn.XLOOKUP(D2243,Table_Tarikan_Warkah[Nomor Tiket],Table_Tarikan_Warkah[Jenis Permohonan]),"")</f>
        <v>ROYA</v>
      </c>
      <c r="H2243" s="41" t="s">
        <v>2315</v>
      </c>
      <c r="I2243" s="49" t="s">
        <v>23</v>
      </c>
      <c r="J2243" s="36">
        <f t="shared" si="20"/>
        <v>45797.7802</v>
      </c>
      <c r="K2243" s="49" t="s">
        <v>197</v>
      </c>
      <c r="L2243" s="49" t="s">
        <v>23</v>
      </c>
      <c r="M2243" s="36">
        <f t="shared" si="26"/>
        <v>45798.37023</v>
      </c>
      <c r="N2243" s="30" t="str">
        <f t="shared" si="27"/>
        <v>Selesai</v>
      </c>
      <c r="O2243" s="45">
        <f t="shared" si="23"/>
        <v>45798.37023</v>
      </c>
      <c r="P2243" s="47" t="b">
        <v>1</v>
      </c>
      <c r="Q2243" s="36">
        <f t="shared" si="24"/>
        <v>45798.37071</v>
      </c>
      <c r="R2243" s="47" t="b">
        <v>0</v>
      </c>
      <c r="S2243" s="42" t="str">
        <f t="shared" si="28"/>
        <v/>
      </c>
      <c r="T2243" s="42"/>
    </row>
    <row r="2244" ht="22.5" customHeight="1">
      <c r="B2244" s="42">
        <f t="shared" si="7"/>
        <v>2238</v>
      </c>
      <c r="C2244" s="31" t="s">
        <v>2340</v>
      </c>
      <c r="D2244" s="34" t="str">
        <f t="array" ref="D2244">IFNA(_xlfn.XLOOKUP(C2244,Table_Tarikan_Warkah[Nomor Sertipikat],Table_Tarikan_Warkah[Nomor Tiket]),"")</f>
        <v>K/8/090525/1</v>
      </c>
      <c r="E2244" s="36">
        <f t="array" ref="E2244">IFNA(_xlfn.XLOOKUP(D2244,Table_Tarikan_Warkah[Nomor Tiket],Table_Tarikan_Warkah[Tanggal diserahkan kepada Validator]),"")</f>
        <v>45805.4462</v>
      </c>
      <c r="F2244" s="36" t="str">
        <f t="array" ref="F2244">IFNA(_xlfn.XLOOKUP(D2244,Table_Tarikan_Warkah[Nomor Tiket],Table_Tarikan_Warkah[Nama Petugas Warkah]),"")</f>
        <v>Berry</v>
      </c>
      <c r="G2244" s="39" t="str">
        <f t="array" ref="G2244">IFNA(_xlfn.XLOOKUP(D2244,Table_Tarikan_Warkah[Nomor Tiket],Table_Tarikan_Warkah[Jenis Permohonan]),"")</f>
        <v>JUAL BELI</v>
      </c>
      <c r="H2244" s="41" t="s">
        <v>2315</v>
      </c>
      <c r="I2244" s="49" t="s">
        <v>23</v>
      </c>
      <c r="J2244" s="36">
        <f t="shared" si="20"/>
        <v>45797.78033</v>
      </c>
      <c r="K2244" s="49" t="s">
        <v>197</v>
      </c>
      <c r="L2244" s="49" t="s">
        <v>23</v>
      </c>
      <c r="M2244" s="36">
        <f t="shared" si="26"/>
        <v>45798.37023</v>
      </c>
      <c r="N2244" s="30" t="str">
        <f t="shared" si="27"/>
        <v>Selesai</v>
      </c>
      <c r="O2244" s="45">
        <f t="shared" si="23"/>
        <v>45798.37023</v>
      </c>
      <c r="P2244" s="47" t="b">
        <v>1</v>
      </c>
      <c r="Q2244" s="36">
        <f t="shared" si="24"/>
        <v>45798.37073</v>
      </c>
      <c r="R2244" s="47" t="b">
        <v>0</v>
      </c>
      <c r="S2244" s="42" t="str">
        <f t="shared" si="28"/>
        <v/>
      </c>
      <c r="T2244" s="42"/>
    </row>
    <row r="2245" ht="22.5" customHeight="1">
      <c r="B2245" s="42">
        <f t="shared" si="7"/>
        <v>2239</v>
      </c>
      <c r="C2245" s="31" t="s">
        <v>2341</v>
      </c>
      <c r="D2245" s="34" t="str">
        <f t="array" ref="D2245">IFNA(_xlfn.XLOOKUP(C2245,Table_Tarikan_Warkah[Nomor Sertipikat],Table_Tarikan_Warkah[Nomor Tiket]),"")</f>
        <v>K/30/140525/2</v>
      </c>
      <c r="E2245" s="36">
        <f t="array" ref="E2245">IFNA(_xlfn.XLOOKUP(D2245,Table_Tarikan_Warkah[Nomor Tiket],Table_Tarikan_Warkah[Tanggal diserahkan kepada Validator]),"")</f>
        <v>45805.44592</v>
      </c>
      <c r="F2245" s="36" t="str">
        <f t="array" ref="F2245">IFNA(_xlfn.XLOOKUP(D2245,Table_Tarikan_Warkah[Nomor Tiket],Table_Tarikan_Warkah[Nama Petugas Warkah]),"")</f>
        <v>Berry</v>
      </c>
      <c r="G2245" s="39" t="str">
        <f t="array" ref="G2245">IFNA(_xlfn.XLOOKUP(D2245,Table_Tarikan_Warkah[Nomor Tiket],Table_Tarikan_Warkah[Jenis Permohonan]),"")</f>
        <v>JUAL BELI</v>
      </c>
      <c r="H2245" s="41" t="s">
        <v>2315</v>
      </c>
      <c r="I2245" s="49" t="s">
        <v>23</v>
      </c>
      <c r="J2245" s="36">
        <f t="shared" si="20"/>
        <v>45797.7806</v>
      </c>
      <c r="K2245" s="49" t="s">
        <v>197</v>
      </c>
      <c r="L2245" s="49" t="s">
        <v>23</v>
      </c>
      <c r="M2245" s="36">
        <f t="shared" si="26"/>
        <v>45798.37041</v>
      </c>
      <c r="N2245" s="30" t="str">
        <f t="shared" si="27"/>
        <v>Selesai</v>
      </c>
      <c r="O2245" s="45">
        <f t="shared" si="23"/>
        <v>45798.37041</v>
      </c>
      <c r="P2245" s="47" t="b">
        <v>1</v>
      </c>
      <c r="Q2245" s="36">
        <f t="shared" si="24"/>
        <v>45798.3708</v>
      </c>
      <c r="R2245" s="47" t="b">
        <v>0</v>
      </c>
      <c r="S2245" s="42" t="str">
        <f t="shared" si="28"/>
        <v/>
      </c>
      <c r="T2245" s="42"/>
    </row>
    <row r="2246" ht="22.5" customHeight="1">
      <c r="B2246" s="42">
        <f t="shared" si="7"/>
        <v>2240</v>
      </c>
      <c r="C2246" s="31" t="s">
        <v>2342</v>
      </c>
      <c r="D2246" s="34" t="str">
        <f t="array" ref="D2246">IFNA(_xlfn.XLOOKUP(C2246,Table_Tarikan_Warkah[Nomor Sertipikat],Table_Tarikan_Warkah[Nomor Tiket]),"")</f>
        <v>K/19/070525/1</v>
      </c>
      <c r="E2246" s="36">
        <f t="array" ref="E2246">IFNA(_xlfn.XLOOKUP(D2246,Table_Tarikan_Warkah[Nomor Tiket],Table_Tarikan_Warkah[Tanggal diserahkan kepada Validator]),"")</f>
        <v>45803.43585</v>
      </c>
      <c r="F2246" s="36" t="str">
        <f t="array" ref="F2246">IFNA(_xlfn.XLOOKUP(D2246,Table_Tarikan_Warkah[Nomor Tiket],Table_Tarikan_Warkah[Nama Petugas Warkah]),"")</f>
        <v>Berry</v>
      </c>
      <c r="G2246" s="39" t="str">
        <f t="array" ref="G2246">IFNA(_xlfn.XLOOKUP(D2246,Table_Tarikan_Warkah[Nomor Tiket],Table_Tarikan_Warkah[Jenis Permohonan]),"")</f>
        <v>BN Jual Beli</v>
      </c>
      <c r="H2246" s="41" t="s">
        <v>20</v>
      </c>
      <c r="I2246" s="49" t="s">
        <v>23</v>
      </c>
      <c r="J2246" s="36">
        <f t="shared" si="20"/>
        <v>45797.82851</v>
      </c>
      <c r="K2246" s="49" t="s">
        <v>26</v>
      </c>
      <c r="L2246" s="49" t="s">
        <v>23</v>
      </c>
      <c r="M2246" s="36">
        <f t="shared" si="26"/>
        <v>45798.61175</v>
      </c>
      <c r="N2246" s="30" t="str">
        <f t="shared" si="27"/>
        <v>Selesai</v>
      </c>
      <c r="O2246" s="45">
        <f t="shared" si="23"/>
        <v>45798.61175</v>
      </c>
      <c r="P2246" s="47" t="b">
        <v>1</v>
      </c>
      <c r="Q2246" s="36">
        <f t="shared" si="24"/>
        <v>45798.61291</v>
      </c>
      <c r="R2246" s="47" t="b">
        <v>0</v>
      </c>
      <c r="S2246" s="42" t="str">
        <f t="shared" si="28"/>
        <v/>
      </c>
      <c r="T2246" s="42"/>
    </row>
    <row r="2247" ht="22.5" customHeight="1">
      <c r="B2247" s="42">
        <f t="shared" si="7"/>
        <v>2241</v>
      </c>
      <c r="C2247" s="31" t="s">
        <v>2343</v>
      </c>
      <c r="D2247" s="34" t="str">
        <f t="array" ref="D2247">IFNA(_xlfn.XLOOKUP(C2247,Table_Tarikan_Warkah[Nomor Sertipikat],Table_Tarikan_Warkah[Nomor Tiket]),"")</f>
        <v>L/28/080525/1</v>
      </c>
      <c r="E2247" s="36">
        <f t="array" ref="E2247">IFNA(_xlfn.XLOOKUP(D2247,Table_Tarikan_Warkah[Nomor Tiket],Table_Tarikan_Warkah[Tanggal diserahkan kepada Validator]),"")</f>
        <v>45811.36459</v>
      </c>
      <c r="F2247" s="36" t="str">
        <f t="array" ref="F2247">IFNA(_xlfn.XLOOKUP(D2247,Table_Tarikan_Warkah[Nomor Tiket],Table_Tarikan_Warkah[Nama Petugas Warkah]),"")</f>
        <v>David</v>
      </c>
      <c r="G2247" s="39" t="str">
        <f t="array" ref="G2247">IFNA(_xlfn.XLOOKUP(D2247,Table_Tarikan_Warkah[Nomor Tiket],Table_Tarikan_Warkah[Jenis Permohonan]),"")</f>
        <v>ROYA</v>
      </c>
      <c r="H2247" s="41" t="s">
        <v>20</v>
      </c>
      <c r="I2247" s="49" t="s">
        <v>23</v>
      </c>
      <c r="J2247" s="36">
        <f t="shared" si="20"/>
        <v>45797.83199</v>
      </c>
      <c r="K2247" s="49" t="s">
        <v>26</v>
      </c>
      <c r="L2247" s="49" t="s">
        <v>23</v>
      </c>
      <c r="M2247" s="36">
        <f t="shared" si="26"/>
        <v>45798.61175</v>
      </c>
      <c r="N2247" s="30" t="str">
        <f t="shared" si="27"/>
        <v>Selesai</v>
      </c>
      <c r="O2247" s="45">
        <f t="shared" si="23"/>
        <v>45798.61175</v>
      </c>
      <c r="P2247" s="47" t="b">
        <v>1</v>
      </c>
      <c r="Q2247" s="36">
        <f t="shared" si="24"/>
        <v>45798.61385</v>
      </c>
      <c r="R2247" s="47" t="b">
        <v>0</v>
      </c>
      <c r="S2247" s="42" t="str">
        <f t="shared" si="28"/>
        <v/>
      </c>
      <c r="T2247" s="42"/>
    </row>
    <row r="2248" ht="22.5" customHeight="1">
      <c r="B2248" s="42">
        <f t="shared" si="7"/>
        <v>2242</v>
      </c>
      <c r="C2248" s="31" t="s">
        <v>2344</v>
      </c>
      <c r="D2248" s="34" t="str">
        <f t="array" ref="D2248">IFNA(_xlfn.XLOOKUP(C2248,Table_Tarikan_Warkah[Nomor Sertipikat],Table_Tarikan_Warkah[Nomor Tiket]),"")</f>
        <v>K/15/080525/2</v>
      </c>
      <c r="E2248" s="36">
        <f t="array" ref="E2248">IFNA(_xlfn.XLOOKUP(D2248,Table_Tarikan_Warkah[Nomor Tiket],Table_Tarikan_Warkah[Tanggal diserahkan kepada Validator]),"")</f>
        <v>45861.61692</v>
      </c>
      <c r="F2248" s="36" t="str">
        <f t="array" ref="F2248">IFNA(_xlfn.XLOOKUP(D2248,Table_Tarikan_Warkah[Nomor Tiket],Table_Tarikan_Warkah[Nama Petugas Warkah]),"")</f>
        <v>David</v>
      </c>
      <c r="G2248" s="39" t="str">
        <f t="array" ref="G2248">IFNA(_xlfn.XLOOKUP(D2248,Table_Tarikan_Warkah[Nomor Tiket],Table_Tarikan_Warkah[Jenis Permohonan]),"")</f>
        <v>ROYA</v>
      </c>
      <c r="H2248" s="41" t="s">
        <v>20</v>
      </c>
      <c r="I2248" s="49" t="s">
        <v>23</v>
      </c>
      <c r="J2248" s="36">
        <f t="shared" si="20"/>
        <v>45797.83571</v>
      </c>
      <c r="K2248" s="49" t="s">
        <v>26</v>
      </c>
      <c r="L2248" s="49" t="s">
        <v>23</v>
      </c>
      <c r="M2248" s="36">
        <f t="shared" si="26"/>
        <v>45798.61175</v>
      </c>
      <c r="N2248" s="30" t="str">
        <f t="shared" si="27"/>
        <v>Selesai</v>
      </c>
      <c r="O2248" s="45">
        <f t="shared" si="23"/>
        <v>45798.61175</v>
      </c>
      <c r="P2248" s="47" t="b">
        <v>1</v>
      </c>
      <c r="Q2248" s="36">
        <f t="shared" si="24"/>
        <v>45798.61387</v>
      </c>
      <c r="R2248" s="47" t="b">
        <v>0</v>
      </c>
      <c r="S2248" s="42" t="str">
        <f t="shared" si="28"/>
        <v/>
      </c>
      <c r="T2248" s="42"/>
    </row>
    <row r="2249" ht="22.5" customHeight="1">
      <c r="B2249" s="42">
        <f t="shared" si="7"/>
        <v>2243</v>
      </c>
      <c r="C2249" s="31" t="s">
        <v>2345</v>
      </c>
      <c r="D2249" s="34" t="str">
        <f t="array" ref="D2249">IFNA(_xlfn.XLOOKUP(C2249,Table_Tarikan_Warkah[Nomor Sertipikat],Table_Tarikan_Warkah[Nomor Tiket]),"")</f>
        <v>L/8/070525/1</v>
      </c>
      <c r="E2249" s="36">
        <f t="array" ref="E2249">IFNA(_xlfn.XLOOKUP(D2249,Table_Tarikan_Warkah[Nomor Tiket],Table_Tarikan_Warkah[Tanggal diserahkan kepada Validator]),"")</f>
        <v>45826.52488</v>
      </c>
      <c r="F2249" s="36" t="str">
        <f t="array" ref="F2249">IFNA(_xlfn.XLOOKUP(D2249,Table_Tarikan_Warkah[Nomor Tiket],Table_Tarikan_Warkah[Nama Petugas Warkah]),"")</f>
        <v>David</v>
      </c>
      <c r="G2249" s="39" t="str">
        <f t="array" ref="G2249">IFNA(_xlfn.XLOOKUP(D2249,Table_Tarikan_Warkah[Nomor Tiket],Table_Tarikan_Warkah[Jenis Permohonan]),"")</f>
        <v>ROYA</v>
      </c>
      <c r="H2249" s="41" t="s">
        <v>20</v>
      </c>
      <c r="I2249" s="49" t="s">
        <v>23</v>
      </c>
      <c r="J2249" s="36">
        <f t="shared" si="20"/>
        <v>45797.83736</v>
      </c>
      <c r="K2249" s="49" t="s">
        <v>26</v>
      </c>
      <c r="L2249" s="49" t="s">
        <v>23</v>
      </c>
      <c r="M2249" s="36">
        <f t="shared" si="26"/>
        <v>45798.61175</v>
      </c>
      <c r="N2249" s="30" t="str">
        <f t="shared" si="27"/>
        <v>Selesai</v>
      </c>
      <c r="O2249" s="45">
        <f t="shared" si="23"/>
        <v>45798.61175</v>
      </c>
      <c r="P2249" s="47" t="b">
        <v>1</v>
      </c>
      <c r="Q2249" s="36">
        <f t="shared" si="24"/>
        <v>45798.61389</v>
      </c>
      <c r="R2249" s="47" t="b">
        <v>0</v>
      </c>
      <c r="S2249" s="42" t="str">
        <f t="shared" si="28"/>
        <v/>
      </c>
      <c r="T2249" s="42"/>
    </row>
    <row r="2250" ht="22.5" customHeight="1">
      <c r="B2250" s="42">
        <f t="shared" si="7"/>
        <v>2244</v>
      </c>
      <c r="C2250" s="31" t="s">
        <v>2346</v>
      </c>
      <c r="D2250" s="34" t="str">
        <f t="array" ref="D2250">IFNA(_xlfn.XLOOKUP(C2250,Table_Tarikan_Warkah[Nomor Sertipikat],Table_Tarikan_Warkah[Nomor Tiket]),"")</f>
        <v>L/10/090525/1</v>
      </c>
      <c r="E2250" s="36" t="str">
        <f t="array" ref="E2250">IFNA(_xlfn.XLOOKUP(D2250,Table_Tarikan_Warkah[Nomor Tiket],Table_Tarikan_Warkah[Tanggal diserahkan kepada Validator]),"")</f>
        <v/>
      </c>
      <c r="F2250" s="36" t="str">
        <f t="array" ref="F2250">IFNA(_xlfn.XLOOKUP(D2250,Table_Tarikan_Warkah[Nomor Tiket],Table_Tarikan_Warkah[Nama Petugas Warkah]),"")</f>
        <v/>
      </c>
      <c r="G2250" s="39" t="str">
        <f t="array" ref="G2250">IFNA(_xlfn.XLOOKUP(D2250,Table_Tarikan_Warkah[Nomor Tiket],Table_Tarikan_Warkah[Jenis Permohonan]),"")</f>
        <v>PTPGT</v>
      </c>
      <c r="H2250" s="41" t="s">
        <v>2315</v>
      </c>
      <c r="I2250" s="49" t="s">
        <v>23</v>
      </c>
      <c r="J2250" s="36">
        <f t="shared" si="20"/>
        <v>45798.37138</v>
      </c>
      <c r="K2250" s="49" t="s">
        <v>26</v>
      </c>
      <c r="L2250" s="49" t="s">
        <v>23</v>
      </c>
      <c r="M2250" s="36">
        <f t="shared" si="26"/>
        <v>45798.61175</v>
      </c>
      <c r="N2250" s="30" t="str">
        <f t="shared" si="27"/>
        <v>Selesai</v>
      </c>
      <c r="O2250" s="45">
        <f t="shared" si="23"/>
        <v>45798.61175</v>
      </c>
      <c r="P2250" s="47" t="b">
        <v>1</v>
      </c>
      <c r="Q2250" s="36">
        <f t="shared" si="24"/>
        <v>45799.62339</v>
      </c>
      <c r="R2250" s="47" t="b">
        <v>0</v>
      </c>
      <c r="S2250" s="42" t="str">
        <f t="shared" si="28"/>
        <v/>
      </c>
      <c r="T2250" s="42"/>
    </row>
    <row r="2251" ht="22.5" customHeight="1">
      <c r="B2251" s="42">
        <f t="shared" si="7"/>
        <v>2245</v>
      </c>
      <c r="C2251" s="31" t="s">
        <v>2347</v>
      </c>
      <c r="D2251" s="34" t="str">
        <f t="array" ref="D2251">IFNA(_xlfn.XLOOKUP(C2251,Table_Tarikan_Warkah[Nomor Sertipikat],Table_Tarikan_Warkah[Nomor Tiket]),"")</f>
        <v>K/8/100425/2</v>
      </c>
      <c r="E2251" s="36" t="str">
        <f t="array" ref="E2251">IFNA(_xlfn.XLOOKUP(D2251,Table_Tarikan_Warkah[Nomor Tiket],Table_Tarikan_Warkah[Tanggal diserahkan kepada Validator]),"")</f>
        <v/>
      </c>
      <c r="F2251" s="36" t="str">
        <f t="array" ref="F2251">IFNA(_xlfn.XLOOKUP(D2251,Table_Tarikan_Warkah[Nomor Tiket],Table_Tarikan_Warkah[Nama Petugas Warkah]),"")</f>
        <v/>
      </c>
      <c r="G2251" s="39" t="str">
        <f t="array" ref="G2251">IFNA(_xlfn.XLOOKUP(D2251,Table_Tarikan_Warkah[Nomor Tiket],Table_Tarikan_Warkah[Jenis Permohonan]),"")</f>
        <v>PTPGT PEMECAHAN</v>
      </c>
      <c r="H2251" s="41" t="s">
        <v>20</v>
      </c>
      <c r="I2251" s="49" t="s">
        <v>23</v>
      </c>
      <c r="J2251" s="36">
        <f t="shared" si="20"/>
        <v>45798.41487</v>
      </c>
      <c r="K2251" s="49" t="s">
        <v>26</v>
      </c>
      <c r="L2251" s="49" t="s">
        <v>23</v>
      </c>
      <c r="M2251" s="36">
        <f t="shared" si="26"/>
        <v>45798.61175</v>
      </c>
      <c r="N2251" s="30" t="str">
        <f t="shared" si="27"/>
        <v>Selesai</v>
      </c>
      <c r="O2251" s="45">
        <f t="shared" si="23"/>
        <v>45798.61175</v>
      </c>
      <c r="P2251" s="47" t="b">
        <v>1</v>
      </c>
      <c r="Q2251" s="36">
        <f t="shared" si="24"/>
        <v>45799.62342</v>
      </c>
      <c r="R2251" s="47" t="b">
        <v>0</v>
      </c>
      <c r="S2251" s="42" t="str">
        <f t="shared" si="28"/>
        <v/>
      </c>
      <c r="T2251" s="42"/>
    </row>
    <row r="2252" ht="22.5" customHeight="1">
      <c r="B2252" s="42">
        <f t="shared" si="7"/>
        <v>2246</v>
      </c>
      <c r="C2252" s="31" t="s">
        <v>2348</v>
      </c>
      <c r="D2252" s="34" t="str">
        <f t="array" ref="D2252">IFNA(_xlfn.XLOOKUP(C2252,Table_Tarikan_Warkah[Nomor Sertipikat],Table_Tarikan_Warkah[Nomor Tiket]),"")</f>
        <v>K/29/210325/2</v>
      </c>
      <c r="E2252" s="36">
        <f t="array" ref="E2252">IFNA(_xlfn.XLOOKUP(D2252,Table_Tarikan_Warkah[Nomor Tiket],Table_Tarikan_Warkah[Tanggal diserahkan kepada Validator]),"")</f>
        <v>45803.44065</v>
      </c>
      <c r="F2252" s="36" t="str">
        <f t="array" ref="F2252">IFNA(_xlfn.XLOOKUP(D2252,Table_Tarikan_Warkah[Nomor Tiket],Table_Tarikan_Warkah[Nama Petugas Warkah]),"")</f>
        <v>Berry</v>
      </c>
      <c r="G2252" s="39" t="str">
        <f t="array" ref="G2252">IFNA(_xlfn.XLOOKUP(D2252,Table_Tarikan_Warkah[Nomor Tiket],Table_Tarikan_Warkah[Jenis Permohonan]),"")</f>
        <v>BN JUAL BELI</v>
      </c>
      <c r="H2252" s="41" t="s">
        <v>20</v>
      </c>
      <c r="I2252" s="49" t="s">
        <v>23</v>
      </c>
      <c r="J2252" s="36">
        <f t="shared" si="20"/>
        <v>45798.41494</v>
      </c>
      <c r="K2252" s="49" t="s">
        <v>26</v>
      </c>
      <c r="L2252" s="49" t="s">
        <v>23</v>
      </c>
      <c r="M2252" s="36">
        <f t="shared" si="26"/>
        <v>45798.61175</v>
      </c>
      <c r="N2252" s="30" t="str">
        <f t="shared" si="27"/>
        <v>Selesai</v>
      </c>
      <c r="O2252" s="45">
        <f t="shared" si="23"/>
        <v>45798.61175</v>
      </c>
      <c r="P2252" s="47" t="b">
        <v>1</v>
      </c>
      <c r="Q2252" s="36">
        <f t="shared" si="24"/>
        <v>45799.62343</v>
      </c>
      <c r="R2252" s="47" t="b">
        <v>0</v>
      </c>
      <c r="S2252" s="42" t="str">
        <f t="shared" si="28"/>
        <v/>
      </c>
      <c r="T2252" s="42"/>
    </row>
    <row r="2253" ht="22.5" customHeight="1">
      <c r="B2253" s="42">
        <f t="shared" si="7"/>
        <v>2247</v>
      </c>
      <c r="C2253" s="31" t="s">
        <v>2349</v>
      </c>
      <c r="D2253" s="34" t="str">
        <f t="array" ref="D2253">IFNA(_xlfn.XLOOKUP(C2253,Table_Tarikan_Warkah[Nomor Sertipikat],Table_Tarikan_Warkah[Nomor Tiket]),"")</f>
        <v>K/15/300425/2</v>
      </c>
      <c r="E2253" s="36">
        <f t="array" ref="E2253">IFNA(_xlfn.XLOOKUP(D2253,Table_Tarikan_Warkah[Nomor Tiket],Table_Tarikan_Warkah[Tanggal diserahkan kepada Validator]),"")</f>
        <v>45803.43342</v>
      </c>
      <c r="F2253" s="36" t="str">
        <f t="array" ref="F2253">IFNA(_xlfn.XLOOKUP(D2253,Table_Tarikan_Warkah[Nomor Tiket],Table_Tarikan_Warkah[Nama Petugas Warkah]),"")</f>
        <v>Berry</v>
      </c>
      <c r="G2253" s="39" t="str">
        <f t="array" ref="G2253">IFNA(_xlfn.XLOOKUP(D2253,Table_Tarikan_Warkah[Nomor Tiket],Table_Tarikan_Warkah[Jenis Permohonan]),"")</f>
        <v>BN JUAL BELI</v>
      </c>
      <c r="H2253" s="41" t="s">
        <v>20</v>
      </c>
      <c r="I2253" s="49" t="s">
        <v>23</v>
      </c>
      <c r="J2253" s="36">
        <f t="shared" si="20"/>
        <v>45798.41508</v>
      </c>
      <c r="K2253" s="49" t="s">
        <v>26</v>
      </c>
      <c r="L2253" s="49" t="s">
        <v>23</v>
      </c>
      <c r="M2253" s="36">
        <f t="shared" si="26"/>
        <v>45798.61175</v>
      </c>
      <c r="N2253" s="30" t="str">
        <f t="shared" si="27"/>
        <v>Selesai</v>
      </c>
      <c r="O2253" s="45">
        <f t="shared" si="23"/>
        <v>45798.61175</v>
      </c>
      <c r="P2253" s="47" t="b">
        <v>1</v>
      </c>
      <c r="Q2253" s="36">
        <f t="shared" si="24"/>
        <v>45799.62347</v>
      </c>
      <c r="R2253" s="47" t="b">
        <v>0</v>
      </c>
      <c r="S2253" s="42" t="str">
        <f t="shared" si="28"/>
        <v/>
      </c>
      <c r="T2253" s="42"/>
    </row>
    <row r="2254" ht="22.5" customHeight="1">
      <c r="B2254" s="42">
        <f t="shared" si="7"/>
        <v>2248</v>
      </c>
      <c r="C2254" s="31" t="s">
        <v>2350</v>
      </c>
      <c r="D2254" s="34" t="str">
        <f t="array" ref="D2254">IFNA(_xlfn.XLOOKUP(C2254,Table_Tarikan_Warkah[Nomor Sertipikat],Table_Tarikan_Warkah[Nomor Tiket]),"")</f>
        <v>K/15/090525/1</v>
      </c>
      <c r="E2254" s="36">
        <f t="array" ref="E2254">IFNA(_xlfn.XLOOKUP(D2254,Table_Tarikan_Warkah[Nomor Tiket],Table_Tarikan_Warkah[Tanggal diserahkan kepada Validator]),"")</f>
        <v>45803.43364</v>
      </c>
      <c r="F2254" s="36" t="str">
        <f t="array" ref="F2254">IFNA(_xlfn.XLOOKUP(D2254,Table_Tarikan_Warkah[Nomor Tiket],Table_Tarikan_Warkah[Nama Petugas Warkah]),"")</f>
        <v>Berry</v>
      </c>
      <c r="G2254" s="39" t="str">
        <f t="array" ref="G2254">IFNA(_xlfn.XLOOKUP(D2254,Table_Tarikan_Warkah[Nomor Tiket],Table_Tarikan_Warkah[Jenis Permohonan]),"")</f>
        <v>BN JUAL BELI</v>
      </c>
      <c r="H2254" s="41" t="s">
        <v>20</v>
      </c>
      <c r="I2254" s="49" t="s">
        <v>23</v>
      </c>
      <c r="J2254" s="36">
        <f t="shared" si="20"/>
        <v>45798.4152</v>
      </c>
      <c r="K2254" s="49" t="s">
        <v>26</v>
      </c>
      <c r="L2254" s="49" t="s">
        <v>23</v>
      </c>
      <c r="M2254" s="36">
        <f t="shared" si="26"/>
        <v>45798.61179</v>
      </c>
      <c r="N2254" s="30" t="str">
        <f t="shared" si="27"/>
        <v>Selesai</v>
      </c>
      <c r="O2254" s="45">
        <f t="shared" si="23"/>
        <v>45798.61179</v>
      </c>
      <c r="P2254" s="47" t="b">
        <v>1</v>
      </c>
      <c r="Q2254" s="36">
        <f t="shared" si="24"/>
        <v>45799.62345</v>
      </c>
      <c r="R2254" s="47" t="b">
        <v>0</v>
      </c>
      <c r="S2254" s="42" t="str">
        <f t="shared" si="28"/>
        <v/>
      </c>
      <c r="T2254" s="42"/>
    </row>
    <row r="2255" ht="22.5" customHeight="1">
      <c r="B2255" s="42">
        <f t="shared" si="7"/>
        <v>2249</v>
      </c>
      <c r="C2255" s="31" t="s">
        <v>2351</v>
      </c>
      <c r="D2255" s="34" t="str">
        <f t="array" ref="D2255">IFNA(_xlfn.XLOOKUP(C2255,Table_Tarikan_Warkah[Nomor Sertipikat],Table_Tarikan_Warkah[Nomor Tiket]),"")</f>
        <v>K/20/080525/1</v>
      </c>
      <c r="E2255" s="36">
        <f t="array" ref="E2255">IFNA(_xlfn.XLOOKUP(D2255,Table_Tarikan_Warkah[Nomor Tiket],Table_Tarikan_Warkah[Tanggal diserahkan kepada Validator]),"")</f>
        <v>45803.43787</v>
      </c>
      <c r="F2255" s="36" t="str">
        <f t="array" ref="F2255">IFNA(_xlfn.XLOOKUP(D2255,Table_Tarikan_Warkah[Nomor Tiket],Table_Tarikan_Warkah[Nama Petugas Warkah]),"")</f>
        <v>Berry</v>
      </c>
      <c r="G2255" s="39" t="str">
        <f t="array" ref="G2255">IFNA(_xlfn.XLOOKUP(D2255,Table_Tarikan_Warkah[Nomor Tiket],Table_Tarikan_Warkah[Jenis Permohonan]),"")</f>
        <v>BN JUAL BELI</v>
      </c>
      <c r="H2255" s="41" t="s">
        <v>20</v>
      </c>
      <c r="I2255" s="49" t="s">
        <v>23</v>
      </c>
      <c r="J2255" s="36">
        <f t="shared" si="20"/>
        <v>45798.56223</v>
      </c>
      <c r="K2255" s="49" t="s">
        <v>26</v>
      </c>
      <c r="L2255" s="49" t="s">
        <v>23</v>
      </c>
      <c r="M2255" s="36">
        <f t="shared" si="26"/>
        <v>45798.61179</v>
      </c>
      <c r="N2255" s="30" t="str">
        <f t="shared" si="27"/>
        <v>Selesai</v>
      </c>
      <c r="O2255" s="45">
        <f t="shared" si="23"/>
        <v>45798.61179</v>
      </c>
      <c r="P2255" s="47" t="b">
        <v>1</v>
      </c>
      <c r="Q2255" s="36">
        <f t="shared" si="24"/>
        <v>45799.62348</v>
      </c>
      <c r="R2255" s="47" t="b">
        <v>0</v>
      </c>
      <c r="S2255" s="42" t="str">
        <f t="shared" si="28"/>
        <v/>
      </c>
      <c r="T2255" s="42"/>
    </row>
    <row r="2256" ht="22.5" customHeight="1">
      <c r="B2256" s="42">
        <f t="shared" si="7"/>
        <v>2250</v>
      </c>
      <c r="C2256" s="31" t="s">
        <v>2352</v>
      </c>
      <c r="D2256" s="34" t="str">
        <f t="array" ref="D2256">IFNA(_xlfn.XLOOKUP(C2256,Table_Tarikan_Warkah[Nomor Sertipikat],Table_Tarikan_Warkah[Nomor Tiket]),"")</f>
        <v>K/26/150525/4</v>
      </c>
      <c r="E2256" s="36">
        <f t="array" ref="E2256">IFNA(_xlfn.XLOOKUP(D2256,Table_Tarikan_Warkah[Nomor Tiket],Table_Tarikan_Warkah[Tanggal diserahkan kepada Validator]),"")</f>
        <v>45813.47873</v>
      </c>
      <c r="F2256" s="36" t="str">
        <f t="array" ref="F2256">IFNA(_xlfn.XLOOKUP(D2256,Table_Tarikan_Warkah[Nomor Tiket],Table_Tarikan_Warkah[Nama Petugas Warkah]),"")</f>
        <v>David</v>
      </c>
      <c r="G2256" s="39" t="str">
        <f t="array" ref="G2256">IFNA(_xlfn.XLOOKUP(D2256,Table_Tarikan_Warkah[Nomor Tiket],Table_Tarikan_Warkah[Jenis Permohonan]),"")</f>
        <v>GANTI NAMA HT</v>
      </c>
      <c r="H2256" s="41" t="s">
        <v>20</v>
      </c>
      <c r="I2256" s="49" t="s">
        <v>23</v>
      </c>
      <c r="J2256" s="36">
        <f t="shared" si="20"/>
        <v>45798.56696</v>
      </c>
      <c r="K2256" s="49" t="s">
        <v>26</v>
      </c>
      <c r="L2256" s="49" t="s">
        <v>23</v>
      </c>
      <c r="M2256" s="36">
        <f t="shared" si="26"/>
        <v>45798.61179</v>
      </c>
      <c r="N2256" s="30" t="str">
        <f t="shared" si="27"/>
        <v>Selesai</v>
      </c>
      <c r="O2256" s="45">
        <f t="shared" si="23"/>
        <v>45798.61179</v>
      </c>
      <c r="P2256" s="47" t="b">
        <v>1</v>
      </c>
      <c r="Q2256" s="36">
        <f t="shared" si="24"/>
        <v>45799.62349</v>
      </c>
      <c r="R2256" s="47" t="b">
        <v>0</v>
      </c>
      <c r="S2256" s="42" t="str">
        <f t="shared" si="28"/>
        <v/>
      </c>
      <c r="T2256" s="42"/>
    </row>
    <row r="2257" ht="22.5" customHeight="1">
      <c r="B2257" s="42">
        <f t="shared" si="7"/>
        <v>2251</v>
      </c>
      <c r="C2257" s="31" t="s">
        <v>2353</v>
      </c>
      <c r="D2257" s="34" t="str">
        <f t="array" ref="D2257">IFNA(_xlfn.XLOOKUP(C2257,Table_Tarikan_Warkah[Nomor Sertipikat],Table_Tarikan_Warkah[Nomor Tiket]),"")</f>
        <v>K/6/160525/1</v>
      </c>
      <c r="E2257" s="36" t="str">
        <f t="array" ref="E2257">IFNA(_xlfn.XLOOKUP(D2257,Table_Tarikan_Warkah[Nomor Tiket],Table_Tarikan_Warkah[Tanggal diserahkan kepada Validator]),"")</f>
        <v/>
      </c>
      <c r="F2257" s="36" t="str">
        <f t="array" ref="F2257">IFNA(_xlfn.XLOOKUP(D2257,Table_Tarikan_Warkah[Nomor Tiket],Table_Tarikan_Warkah[Nama Petugas Warkah]),"")</f>
        <v/>
      </c>
      <c r="G2257" s="39" t="str">
        <f t="array" ref="G2257">IFNA(_xlfn.XLOOKUP(D2257,Table_Tarikan_Warkah[Nomor Tiket],Table_Tarikan_Warkah[Jenis Permohonan]),"")</f>
        <v>GANTI NAMA HT</v>
      </c>
      <c r="H2257" s="41" t="s">
        <v>20</v>
      </c>
      <c r="I2257" s="49" t="s">
        <v>23</v>
      </c>
      <c r="J2257" s="36">
        <f t="shared" si="20"/>
        <v>45798.5737</v>
      </c>
      <c r="K2257" s="49" t="s">
        <v>26</v>
      </c>
      <c r="L2257" s="49" t="s">
        <v>23</v>
      </c>
      <c r="M2257" s="36">
        <f t="shared" si="26"/>
        <v>45798.61179</v>
      </c>
      <c r="N2257" s="30" t="str">
        <f t="shared" si="27"/>
        <v>Selesai</v>
      </c>
      <c r="O2257" s="45">
        <f t="shared" si="23"/>
        <v>45798.61179</v>
      </c>
      <c r="P2257" s="47" t="b">
        <v>1</v>
      </c>
      <c r="Q2257" s="36">
        <f t="shared" si="24"/>
        <v>45799.62355</v>
      </c>
      <c r="R2257" s="47" t="b">
        <v>0</v>
      </c>
      <c r="S2257" s="42" t="str">
        <f t="shared" si="28"/>
        <v/>
      </c>
      <c r="T2257" s="42"/>
    </row>
    <row r="2258" ht="22.5" customHeight="1">
      <c r="B2258" s="42">
        <f t="shared" si="7"/>
        <v>2252</v>
      </c>
      <c r="C2258" s="31" t="s">
        <v>2354</v>
      </c>
      <c r="D2258" s="34" t="str">
        <f t="array" ref="D2258">IFNA(_xlfn.XLOOKUP(C2258,Table_Tarikan_Warkah[Nomor Sertipikat],Table_Tarikan_Warkah[Nomor Tiket]),"")</f>
        <v>K/5/150525/1</v>
      </c>
      <c r="E2258" s="36">
        <f t="array" ref="E2258">IFNA(_xlfn.XLOOKUP(D2258,Table_Tarikan_Warkah[Nomor Tiket],Table_Tarikan_Warkah[Tanggal diserahkan kepada Validator]),"")</f>
        <v>45803.43808</v>
      </c>
      <c r="F2258" s="36" t="str">
        <f t="array" ref="F2258">IFNA(_xlfn.XLOOKUP(D2258,Table_Tarikan_Warkah[Nomor Tiket],Table_Tarikan_Warkah[Nama Petugas Warkah]),"")</f>
        <v>Berry</v>
      </c>
      <c r="G2258" s="39" t="str">
        <f t="array" ref="G2258">IFNA(_xlfn.XLOOKUP(D2258,Table_Tarikan_Warkah[Nomor Tiket],Table_Tarikan_Warkah[Jenis Permohonan]),"")</f>
        <v>BN JUAL BELI</v>
      </c>
      <c r="H2258" s="41" t="s">
        <v>20</v>
      </c>
      <c r="I2258" s="49" t="s">
        <v>23</v>
      </c>
      <c r="J2258" s="36">
        <f t="shared" si="20"/>
        <v>45798.5818</v>
      </c>
      <c r="K2258" s="49" t="s">
        <v>26</v>
      </c>
      <c r="L2258" s="49" t="s">
        <v>23</v>
      </c>
      <c r="M2258" s="36">
        <f t="shared" si="26"/>
        <v>45798.61182</v>
      </c>
      <c r="N2258" s="30" t="str">
        <f t="shared" si="27"/>
        <v>Selesai</v>
      </c>
      <c r="O2258" s="45">
        <f t="shared" si="23"/>
        <v>45798.61182</v>
      </c>
      <c r="P2258" s="47" t="b">
        <v>1</v>
      </c>
      <c r="Q2258" s="36">
        <f t="shared" si="24"/>
        <v>45799.62355</v>
      </c>
      <c r="R2258" s="47" t="b">
        <v>0</v>
      </c>
      <c r="S2258" s="42" t="str">
        <f t="shared" si="28"/>
        <v/>
      </c>
      <c r="T2258" s="42"/>
    </row>
    <row r="2259" ht="22.5" customHeight="1">
      <c r="B2259" s="42">
        <f t="shared" si="7"/>
        <v>2253</v>
      </c>
      <c r="C2259" s="31" t="s">
        <v>2355</v>
      </c>
      <c r="D2259" s="34" t="str">
        <f t="array" ref="D2259">IFNA(_xlfn.XLOOKUP(C2259,Table_Tarikan_Warkah[Nomor Sertipikat],Table_Tarikan_Warkah[Nomor Tiket]),"")</f>
        <v>K/4/150525/1</v>
      </c>
      <c r="E2259" s="36">
        <f t="array" ref="E2259">IFNA(_xlfn.XLOOKUP(D2259,Table_Tarikan_Warkah[Nomor Tiket],Table_Tarikan_Warkah[Tanggal diserahkan kepada Validator]),"")</f>
        <v>45813.48018</v>
      </c>
      <c r="F2259" s="36" t="str">
        <f t="array" ref="F2259">IFNA(_xlfn.XLOOKUP(D2259,Table_Tarikan_Warkah[Nomor Tiket],Table_Tarikan_Warkah[Nama Petugas Warkah]),"")</f>
        <v>David</v>
      </c>
      <c r="G2259" s="39" t="str">
        <f t="array" ref="G2259">IFNA(_xlfn.XLOOKUP(D2259,Table_Tarikan_Warkah[Nomor Tiket],Table_Tarikan_Warkah[Jenis Permohonan]),"")</f>
        <v>ROYA</v>
      </c>
      <c r="H2259" s="41" t="s">
        <v>20</v>
      </c>
      <c r="I2259" s="49" t="s">
        <v>23</v>
      </c>
      <c r="J2259" s="36">
        <f t="shared" si="20"/>
        <v>45798.59764</v>
      </c>
      <c r="K2259" s="49" t="s">
        <v>26</v>
      </c>
      <c r="L2259" s="49" t="s">
        <v>23</v>
      </c>
      <c r="M2259" s="36">
        <f t="shared" si="26"/>
        <v>45798.61182</v>
      </c>
      <c r="N2259" s="30" t="str">
        <f t="shared" si="27"/>
        <v>Selesai</v>
      </c>
      <c r="O2259" s="45">
        <f t="shared" si="23"/>
        <v>45798.61182</v>
      </c>
      <c r="P2259" s="47" t="b">
        <v>1</v>
      </c>
      <c r="Q2259" s="36">
        <f t="shared" si="24"/>
        <v>45799.62355</v>
      </c>
      <c r="R2259" s="47" t="b">
        <v>0</v>
      </c>
      <c r="S2259" s="42" t="str">
        <f t="shared" si="28"/>
        <v/>
      </c>
      <c r="T2259" s="42"/>
    </row>
    <row r="2260" ht="22.5" customHeight="1">
      <c r="B2260" s="42">
        <f t="shared" si="7"/>
        <v>2254</v>
      </c>
      <c r="C2260" s="31" t="s">
        <v>2356</v>
      </c>
      <c r="D2260" s="34" t="str">
        <f t="array" ref="D2260">IFNA(_xlfn.XLOOKUP(C2260,Table_Tarikan_Warkah[Nomor Sertipikat],Table_Tarikan_Warkah[Nomor Tiket]),"")</f>
        <v>L/18/080525/1</v>
      </c>
      <c r="E2260" s="36">
        <f t="array" ref="E2260">IFNA(_xlfn.XLOOKUP(D2260,Table_Tarikan_Warkah[Nomor Tiket],Table_Tarikan_Warkah[Tanggal diserahkan kepada Validator]),"")</f>
        <v>45798.67511</v>
      </c>
      <c r="F2260" s="36" t="str">
        <f t="array" ref="F2260">IFNA(_xlfn.XLOOKUP(D2260,Table_Tarikan_Warkah[Nomor Tiket],Table_Tarikan_Warkah[Nama Petugas Warkah]),"")</f>
        <v>Berry</v>
      </c>
      <c r="G2260" s="39" t="str">
        <f t="array" ref="G2260">IFNA(_xlfn.XLOOKUP(D2260,Table_Tarikan_Warkah[Nomor Tiket],Table_Tarikan_Warkah[Jenis Permohonan]),"")</f>
        <v>BN WARIS</v>
      </c>
      <c r="H2260" s="41" t="s">
        <v>20</v>
      </c>
      <c r="I2260" s="49" t="s">
        <v>23</v>
      </c>
      <c r="J2260" s="36">
        <f t="shared" si="20"/>
        <v>45798.60892</v>
      </c>
      <c r="K2260" s="49" t="s">
        <v>197</v>
      </c>
      <c r="L2260" s="49" t="s">
        <v>23</v>
      </c>
      <c r="M2260" s="36">
        <f t="shared" si="26"/>
        <v>45798.60899</v>
      </c>
      <c r="N2260" s="30" t="str">
        <f t="shared" si="27"/>
        <v>Selesai</v>
      </c>
      <c r="O2260" s="45">
        <f t="shared" si="23"/>
        <v>45798.60899</v>
      </c>
      <c r="P2260" s="47" t="b">
        <v>1</v>
      </c>
      <c r="Q2260" s="36">
        <f t="shared" si="24"/>
        <v>45799.62355</v>
      </c>
      <c r="R2260" s="47" t="b">
        <v>0</v>
      </c>
      <c r="S2260" s="42" t="str">
        <f t="shared" si="28"/>
        <v/>
      </c>
      <c r="T2260" s="42"/>
    </row>
    <row r="2261" ht="22.5" customHeight="1">
      <c r="B2261" s="42">
        <f t="shared" si="7"/>
        <v>2255</v>
      </c>
      <c r="C2261" s="31" t="s">
        <v>2357</v>
      </c>
      <c r="D2261" s="34" t="str">
        <f t="array" ref="D2261">IFNA(_xlfn.XLOOKUP(C2261,Table_Tarikan_Warkah[Nomor Sertipikat],Table_Tarikan_Warkah[Nomor Tiket]),"")</f>
        <v/>
      </c>
      <c r="E2261" s="36" t="str">
        <f t="array" ref="E2261">IFNA(_xlfn.XLOOKUP(D2261,Table_Tarikan_Warkah[Nomor Tiket],Table_Tarikan_Warkah[Tanggal diserahkan kepada Validator]),"")</f>
        <v/>
      </c>
      <c r="F2261" s="36" t="str">
        <f t="array" ref="F2261">IFNA(_xlfn.XLOOKUP(D2261,Table_Tarikan_Warkah[Nomor Tiket],Table_Tarikan_Warkah[Nama Petugas Warkah]),"")</f>
        <v/>
      </c>
      <c r="G2261" s="39" t="str">
        <f t="array" ref="G2261">IFNA(_xlfn.XLOOKUP(D2261,Table_Tarikan_Warkah[Nomor Tiket],Table_Tarikan_Warkah[Jenis Permohonan]),"")</f>
        <v/>
      </c>
      <c r="H2261" s="41" t="s">
        <v>20</v>
      </c>
      <c r="I2261" s="49" t="s">
        <v>23</v>
      </c>
      <c r="J2261" s="36">
        <f t="shared" si="20"/>
        <v>45798.60923</v>
      </c>
      <c r="K2261" s="49" t="s">
        <v>197</v>
      </c>
      <c r="L2261" s="49" t="s">
        <v>23</v>
      </c>
      <c r="M2261" s="36">
        <f t="shared" si="26"/>
        <v>45798.60929</v>
      </c>
      <c r="N2261" s="30" t="str">
        <f t="shared" si="27"/>
        <v/>
      </c>
      <c r="O2261" s="39" t="str">
        <f t="shared" si="23"/>
        <v/>
      </c>
      <c r="P2261" s="47" t="b">
        <v>1</v>
      </c>
      <c r="Q2261" s="36">
        <f t="shared" si="24"/>
        <v>45799.62355</v>
      </c>
      <c r="R2261" s="47" t="b">
        <v>0</v>
      </c>
      <c r="S2261" s="42" t="str">
        <f t="shared" si="28"/>
        <v/>
      </c>
      <c r="T2261" s="42"/>
    </row>
    <row r="2262" ht="22.5" customHeight="1">
      <c r="B2262" s="42">
        <f t="shared" si="7"/>
        <v>2256</v>
      </c>
      <c r="C2262" s="31" t="s">
        <v>2317</v>
      </c>
      <c r="D2262" s="34" t="str">
        <f t="array" ref="D2262">IFNA(_xlfn.XLOOKUP(C2262,Table_Tarikan_Warkah[Nomor Sertipikat],Table_Tarikan_Warkah[Nomor Tiket]),"")</f>
        <v/>
      </c>
      <c r="E2262" s="36" t="str">
        <f t="array" ref="E2262">IFNA(_xlfn.XLOOKUP(D2262,Table_Tarikan_Warkah[Nomor Tiket],Table_Tarikan_Warkah[Tanggal diserahkan kepada Validator]),"")</f>
        <v/>
      </c>
      <c r="F2262" s="36" t="str">
        <f t="array" ref="F2262">IFNA(_xlfn.XLOOKUP(D2262,Table_Tarikan_Warkah[Nomor Tiket],Table_Tarikan_Warkah[Nama Petugas Warkah]),"")</f>
        <v/>
      </c>
      <c r="G2262" s="39" t="str">
        <f t="array" ref="G2262">IFNA(_xlfn.XLOOKUP(D2262,Table_Tarikan_Warkah[Nomor Tiket],Table_Tarikan_Warkah[Jenis Permohonan]),"")</f>
        <v/>
      </c>
      <c r="H2262" s="41" t="s">
        <v>20</v>
      </c>
      <c r="I2262" s="49" t="s">
        <v>23</v>
      </c>
      <c r="J2262" s="36">
        <f t="shared" si="20"/>
        <v>45798.60956</v>
      </c>
      <c r="K2262" s="49" t="s">
        <v>197</v>
      </c>
      <c r="L2262" s="49" t="s">
        <v>23</v>
      </c>
      <c r="M2262" s="36">
        <f t="shared" si="26"/>
        <v>45798.60962</v>
      </c>
      <c r="N2262" s="30" t="str">
        <f t="shared" si="27"/>
        <v/>
      </c>
      <c r="O2262" s="39" t="str">
        <f t="shared" si="23"/>
        <v/>
      </c>
      <c r="P2262" s="47" t="b">
        <v>1</v>
      </c>
      <c r="Q2262" s="36">
        <f t="shared" si="24"/>
        <v>45799.62357</v>
      </c>
      <c r="R2262" s="47" t="b">
        <v>0</v>
      </c>
      <c r="S2262" s="42" t="str">
        <f t="shared" si="28"/>
        <v/>
      </c>
      <c r="T2262" s="42"/>
    </row>
    <row r="2263" ht="22.5" customHeight="1">
      <c r="B2263" s="42">
        <f t="shared" si="7"/>
        <v>2257</v>
      </c>
      <c r="C2263" s="31" t="s">
        <v>2358</v>
      </c>
      <c r="D2263" s="34" t="str">
        <f t="array" ref="D2263">IFNA(_xlfn.XLOOKUP(C2263,Table_Tarikan_Warkah[Nomor Sertipikat],Table_Tarikan_Warkah[Nomor Tiket]),"")</f>
        <v>K/16/130325/3</v>
      </c>
      <c r="E2263" s="36">
        <f t="array" ref="E2263">IFNA(_xlfn.XLOOKUP(D2263,Table_Tarikan_Warkah[Nomor Tiket],Table_Tarikan_Warkah[Tanggal diserahkan kepada Validator]),"")</f>
        <v>45825.66044</v>
      </c>
      <c r="F2263" s="36" t="str">
        <f t="array" ref="F2263">IFNA(_xlfn.XLOOKUP(D2263,Table_Tarikan_Warkah[Nomor Tiket],Table_Tarikan_Warkah[Nama Petugas Warkah]),"")</f>
        <v>David</v>
      </c>
      <c r="G2263" s="39" t="str">
        <f t="array" ref="G2263">IFNA(_xlfn.XLOOKUP(D2263,Table_Tarikan_Warkah[Nomor Tiket],Table_Tarikan_Warkah[Jenis Permohonan]),"")</f>
        <v>ROYA</v>
      </c>
      <c r="H2263" s="41" t="s">
        <v>20</v>
      </c>
      <c r="I2263" s="49" t="s">
        <v>23</v>
      </c>
      <c r="J2263" s="36">
        <f t="shared" si="20"/>
        <v>45798.64746</v>
      </c>
      <c r="K2263" s="49" t="s">
        <v>2359</v>
      </c>
      <c r="L2263" s="49" t="s">
        <v>23</v>
      </c>
      <c r="M2263" s="36">
        <f t="shared" si="26"/>
        <v>45799.62306</v>
      </c>
      <c r="N2263" s="30" t="str">
        <f t="shared" si="27"/>
        <v>Selesai</v>
      </c>
      <c r="O2263" s="45">
        <f t="shared" si="23"/>
        <v>45799.62306</v>
      </c>
      <c r="P2263" s="47" t="b">
        <v>1</v>
      </c>
      <c r="Q2263" s="36">
        <f t="shared" si="24"/>
        <v>45799.62357</v>
      </c>
      <c r="R2263" s="47" t="b">
        <v>0</v>
      </c>
      <c r="S2263" s="42" t="str">
        <f t="shared" si="28"/>
        <v/>
      </c>
      <c r="T2263" s="42"/>
    </row>
    <row r="2264" ht="22.5" customHeight="1">
      <c r="B2264" s="42">
        <f t="shared" si="7"/>
        <v>2258</v>
      </c>
      <c r="C2264" s="31" t="s">
        <v>2360</v>
      </c>
      <c r="D2264" s="34" t="str">
        <f t="array" ref="D2264">IFNA(_xlfn.XLOOKUP(C2264,Table_Tarikan_Warkah[Nomor Sertipikat],Table_Tarikan_Warkah[Nomor Tiket]),"")</f>
        <v>K/39/240425/1</v>
      </c>
      <c r="E2264" s="36">
        <f t="array" ref="E2264">IFNA(_xlfn.XLOOKUP(D2264,Table_Tarikan_Warkah[Nomor Tiket],Table_Tarikan_Warkah[Tanggal diserahkan kepada Validator]),"")</f>
        <v>45803.439</v>
      </c>
      <c r="F2264" s="36" t="str">
        <f t="array" ref="F2264">IFNA(_xlfn.XLOOKUP(D2264,Table_Tarikan_Warkah[Nomor Tiket],Table_Tarikan_Warkah[Nama Petugas Warkah]),"")</f>
        <v>Berry</v>
      </c>
      <c r="G2264" s="39" t="str">
        <f t="array" ref="G2264">IFNA(_xlfn.XLOOKUP(D2264,Table_Tarikan_Warkah[Nomor Tiket],Table_Tarikan_Warkah[Jenis Permohonan]),"")</f>
        <v>BN PHB</v>
      </c>
      <c r="H2264" s="41" t="s">
        <v>2315</v>
      </c>
      <c r="I2264" s="49" t="s">
        <v>23</v>
      </c>
      <c r="J2264" s="36">
        <f t="shared" si="20"/>
        <v>45798.80945</v>
      </c>
      <c r="K2264" s="49" t="s">
        <v>2359</v>
      </c>
      <c r="L2264" s="49" t="s">
        <v>23</v>
      </c>
      <c r="M2264" s="36">
        <f t="shared" si="26"/>
        <v>45799.62308</v>
      </c>
      <c r="N2264" s="30" t="str">
        <f t="shared" si="27"/>
        <v>Selesai</v>
      </c>
      <c r="O2264" s="45">
        <f t="shared" si="23"/>
        <v>45799.62308</v>
      </c>
      <c r="P2264" s="47" t="b">
        <v>1</v>
      </c>
      <c r="Q2264" s="36">
        <f t="shared" si="24"/>
        <v>45799.62357</v>
      </c>
      <c r="R2264" s="47" t="b">
        <v>0</v>
      </c>
      <c r="S2264" s="42" t="str">
        <f t="shared" si="28"/>
        <v/>
      </c>
      <c r="T2264" s="42"/>
    </row>
    <row r="2265" ht="22.5" customHeight="1">
      <c r="B2265" s="42">
        <f t="shared" si="7"/>
        <v>2259</v>
      </c>
      <c r="C2265" s="31" t="s">
        <v>2361</v>
      </c>
      <c r="D2265" s="34" t="str">
        <f t="array" ref="D2265">IFNA(_xlfn.XLOOKUP(C2265,Table_Tarikan_Warkah[Nomor Sertipikat],Table_Tarikan_Warkah[Nomor Tiket]),"")</f>
        <v/>
      </c>
      <c r="E2265" s="36" t="str">
        <f t="array" ref="E2265">IFNA(_xlfn.XLOOKUP(D2265,Table_Tarikan_Warkah[Nomor Tiket],Table_Tarikan_Warkah[Tanggal diserahkan kepada Validator]),"")</f>
        <v/>
      </c>
      <c r="F2265" s="36" t="str">
        <f t="array" ref="F2265">IFNA(_xlfn.XLOOKUP(D2265,Table_Tarikan_Warkah[Nomor Tiket],Table_Tarikan_Warkah[Nama Petugas Warkah]),"")</f>
        <v/>
      </c>
      <c r="G2265" s="39" t="str">
        <f t="array" ref="G2265">IFNA(_xlfn.XLOOKUP(D2265,Table_Tarikan_Warkah[Nomor Tiket],Table_Tarikan_Warkah[Jenis Permohonan]),"")</f>
        <v/>
      </c>
      <c r="H2265" s="41" t="s">
        <v>2315</v>
      </c>
      <c r="I2265" s="49" t="s">
        <v>23</v>
      </c>
      <c r="J2265" s="36">
        <f t="shared" si="20"/>
        <v>45798.80978</v>
      </c>
      <c r="K2265" s="49" t="s">
        <v>2359</v>
      </c>
      <c r="L2265" s="49" t="s">
        <v>23</v>
      </c>
      <c r="M2265" s="36">
        <f t="shared" si="26"/>
        <v>45799.62316</v>
      </c>
      <c r="N2265" s="30" t="str">
        <f t="shared" si="27"/>
        <v/>
      </c>
      <c r="O2265" s="39" t="str">
        <f t="shared" si="23"/>
        <v/>
      </c>
      <c r="P2265" s="47" t="b">
        <v>1</v>
      </c>
      <c r="Q2265" s="36">
        <f t="shared" si="24"/>
        <v>45799.62357</v>
      </c>
      <c r="R2265" s="47" t="b">
        <v>0</v>
      </c>
      <c r="S2265" s="42" t="str">
        <f t="shared" si="28"/>
        <v/>
      </c>
      <c r="T2265" s="42"/>
    </row>
    <row r="2266" ht="22.5" customHeight="1">
      <c r="B2266" s="42">
        <f t="shared" si="7"/>
        <v>2260</v>
      </c>
      <c r="C2266" s="31" t="s">
        <v>2362</v>
      </c>
      <c r="D2266" s="34" t="str">
        <f t="array" ref="D2266">IFNA(_xlfn.XLOOKUP(C2266,Table_Tarikan_Warkah[Nomor Sertipikat],Table_Tarikan_Warkah[Nomor Tiket]),"")</f>
        <v>K/17/150525/1</v>
      </c>
      <c r="E2266" s="36">
        <f t="array" ref="E2266">IFNA(_xlfn.XLOOKUP(D2266,Table_Tarikan_Warkah[Nomor Tiket],Table_Tarikan_Warkah[Tanggal diserahkan kepada Validator]),"")</f>
        <v>45803.43549</v>
      </c>
      <c r="F2266" s="36" t="str">
        <f t="array" ref="F2266">IFNA(_xlfn.XLOOKUP(D2266,Table_Tarikan_Warkah[Nomor Tiket],Table_Tarikan_Warkah[Nama Petugas Warkah]),"")</f>
        <v>Berry</v>
      </c>
      <c r="G2266" s="39" t="str">
        <f t="array" ref="G2266">IFNA(_xlfn.XLOOKUP(D2266,Table_Tarikan_Warkah[Nomor Tiket],Table_Tarikan_Warkah[Jenis Permohonan]),"")</f>
        <v>BN Jual Beli</v>
      </c>
      <c r="H2266" s="41" t="s">
        <v>2315</v>
      </c>
      <c r="I2266" s="49" t="s">
        <v>23</v>
      </c>
      <c r="J2266" s="36">
        <f t="shared" si="20"/>
        <v>45798.80994</v>
      </c>
      <c r="K2266" s="49" t="s">
        <v>2359</v>
      </c>
      <c r="L2266" s="49" t="s">
        <v>23</v>
      </c>
      <c r="M2266" s="36">
        <f t="shared" si="26"/>
        <v>45799.62316</v>
      </c>
      <c r="N2266" s="30" t="str">
        <f t="shared" si="27"/>
        <v>Selesai</v>
      </c>
      <c r="O2266" s="45">
        <f t="shared" si="23"/>
        <v>45799.62316</v>
      </c>
      <c r="P2266" s="47" t="b">
        <v>1</v>
      </c>
      <c r="Q2266" s="36">
        <f t="shared" si="24"/>
        <v>45799.62357</v>
      </c>
      <c r="R2266" s="47" t="b">
        <v>0</v>
      </c>
      <c r="S2266" s="42" t="str">
        <f t="shared" si="28"/>
        <v/>
      </c>
      <c r="T2266" s="42"/>
    </row>
    <row r="2267" ht="22.5" customHeight="1">
      <c r="B2267" s="42">
        <f t="shared" si="7"/>
        <v>2261</v>
      </c>
      <c r="C2267" s="31" t="s">
        <v>2363</v>
      </c>
      <c r="D2267" s="34" t="str">
        <f t="array" ref="D2267">IFNA(_xlfn.XLOOKUP(C2267,Table_Tarikan_Warkah[Nomor Sertipikat],Table_Tarikan_Warkah[Nomor Tiket]),"")</f>
        <v>K/42/160525/1</v>
      </c>
      <c r="E2267" s="36">
        <f t="array" ref="E2267">IFNA(_xlfn.XLOOKUP(D2267,Table_Tarikan_Warkah[Nomor Tiket],Table_Tarikan_Warkah[Tanggal diserahkan kepada Validator]),"")</f>
        <v>45803.43564</v>
      </c>
      <c r="F2267" s="36" t="str">
        <f t="array" ref="F2267">IFNA(_xlfn.XLOOKUP(D2267,Table_Tarikan_Warkah[Nomor Tiket],Table_Tarikan_Warkah[Nama Petugas Warkah]),"")</f>
        <v>Berry</v>
      </c>
      <c r="G2267" s="39" t="str">
        <f t="array" ref="G2267">IFNA(_xlfn.XLOOKUP(D2267,Table_Tarikan_Warkah[Nomor Tiket],Table_Tarikan_Warkah[Jenis Permohonan]),"")</f>
        <v>BN Jual Beli</v>
      </c>
      <c r="H2267" s="41" t="s">
        <v>2315</v>
      </c>
      <c r="I2267" s="49" t="s">
        <v>23</v>
      </c>
      <c r="J2267" s="36">
        <f t="shared" si="20"/>
        <v>45798.81006</v>
      </c>
      <c r="K2267" s="49" t="s">
        <v>2359</v>
      </c>
      <c r="L2267" s="49" t="s">
        <v>23</v>
      </c>
      <c r="M2267" s="36">
        <f t="shared" si="26"/>
        <v>45799.62334</v>
      </c>
      <c r="N2267" s="30" t="str">
        <f t="shared" si="27"/>
        <v>Selesai</v>
      </c>
      <c r="O2267" s="45">
        <f t="shared" si="23"/>
        <v>45799.62334</v>
      </c>
      <c r="P2267" s="47" t="b">
        <v>1</v>
      </c>
      <c r="Q2267" s="36">
        <f t="shared" si="24"/>
        <v>45799.6236</v>
      </c>
      <c r="R2267" s="47" t="b">
        <v>0</v>
      </c>
      <c r="S2267" s="42" t="str">
        <f t="shared" si="28"/>
        <v/>
      </c>
      <c r="T2267" s="42"/>
    </row>
    <row r="2268" ht="22.5" customHeight="1">
      <c r="B2268" s="42">
        <f t="shared" si="7"/>
        <v>2262</v>
      </c>
      <c r="C2268" s="31" t="s">
        <v>2364</v>
      </c>
      <c r="D2268" s="34" t="str">
        <f t="array" ref="D2268">IFNA(_xlfn.XLOOKUP(C2268,Table_Tarikan_Warkah[Nomor Sertipikat],Table_Tarikan_Warkah[Nomor Tiket]),"")</f>
        <v>K/14/090525/1</v>
      </c>
      <c r="E2268" s="36">
        <f t="array" ref="E2268">IFNA(_xlfn.XLOOKUP(D2268,Table_Tarikan_Warkah[Nomor Tiket],Table_Tarikan_Warkah[Tanggal diserahkan kepada Validator]),"")</f>
        <v>45803.43517</v>
      </c>
      <c r="F2268" s="36" t="str">
        <f t="array" ref="F2268">IFNA(_xlfn.XLOOKUP(D2268,Table_Tarikan_Warkah[Nomor Tiket],Table_Tarikan_Warkah[Nama Petugas Warkah]),"")</f>
        <v>Berry</v>
      </c>
      <c r="G2268" s="39" t="str">
        <f t="array" ref="G2268">IFNA(_xlfn.XLOOKUP(D2268,Table_Tarikan_Warkah[Nomor Tiket],Table_Tarikan_Warkah[Jenis Permohonan]),"")</f>
        <v>BN Jual Beli</v>
      </c>
      <c r="H2268" s="41" t="s">
        <v>2315</v>
      </c>
      <c r="I2268" s="49" t="s">
        <v>23</v>
      </c>
      <c r="J2268" s="36">
        <f t="shared" si="20"/>
        <v>45798.81027</v>
      </c>
      <c r="K2268" s="49" t="s">
        <v>2359</v>
      </c>
      <c r="L2268" s="49" t="s">
        <v>23</v>
      </c>
      <c r="M2268" s="36">
        <f t="shared" si="26"/>
        <v>45799.62334</v>
      </c>
      <c r="N2268" s="30" t="str">
        <f t="shared" si="27"/>
        <v>Selesai</v>
      </c>
      <c r="O2268" s="45">
        <f t="shared" si="23"/>
        <v>45799.62334</v>
      </c>
      <c r="P2268" s="47" t="b">
        <v>1</v>
      </c>
      <c r="Q2268" s="36">
        <f t="shared" si="24"/>
        <v>45799.6236</v>
      </c>
      <c r="R2268" s="47" t="b">
        <v>0</v>
      </c>
      <c r="S2268" s="42" t="str">
        <f t="shared" si="28"/>
        <v/>
      </c>
      <c r="T2268" s="42"/>
    </row>
    <row r="2269" ht="22.5" customHeight="1">
      <c r="B2269" s="42">
        <f t="shared" si="7"/>
        <v>2263</v>
      </c>
      <c r="C2269" s="31" t="s">
        <v>2365</v>
      </c>
      <c r="D2269" s="34" t="str">
        <f t="array" ref="D2269">IFNA(_xlfn.XLOOKUP(C2269,Table_Tarikan_Warkah[Nomor Sertipikat],Table_Tarikan_Warkah[Nomor Tiket]),"")</f>
        <v>K/33/090525/1</v>
      </c>
      <c r="E2269" s="36">
        <f t="array" ref="E2269">IFNA(_xlfn.XLOOKUP(D2269,Table_Tarikan_Warkah[Nomor Tiket],Table_Tarikan_Warkah[Tanggal diserahkan kepada Validator]),"")</f>
        <v>45803.43921</v>
      </c>
      <c r="F2269" s="36" t="str">
        <f t="array" ref="F2269">IFNA(_xlfn.XLOOKUP(D2269,Table_Tarikan_Warkah[Nomor Tiket],Table_Tarikan_Warkah[Nama Petugas Warkah]),"")</f>
        <v>Berry</v>
      </c>
      <c r="G2269" s="39" t="str">
        <f t="array" ref="G2269">IFNA(_xlfn.XLOOKUP(D2269,Table_Tarikan_Warkah[Nomor Tiket],Table_Tarikan_Warkah[Jenis Permohonan]),"")</f>
        <v>BN JUAL BELI</v>
      </c>
      <c r="H2269" s="41" t="s">
        <v>2315</v>
      </c>
      <c r="I2269" s="49" t="s">
        <v>23</v>
      </c>
      <c r="J2269" s="36">
        <f t="shared" si="20"/>
        <v>45798.81047</v>
      </c>
      <c r="K2269" s="49" t="s">
        <v>2359</v>
      </c>
      <c r="L2269" s="49" t="s">
        <v>23</v>
      </c>
      <c r="M2269" s="36">
        <f t="shared" si="26"/>
        <v>45799.62334</v>
      </c>
      <c r="N2269" s="30" t="str">
        <f t="shared" si="27"/>
        <v>Selesai</v>
      </c>
      <c r="O2269" s="45">
        <f t="shared" si="23"/>
        <v>45799.62334</v>
      </c>
      <c r="P2269" s="47" t="b">
        <v>1</v>
      </c>
      <c r="Q2269" s="36">
        <f t="shared" si="24"/>
        <v>45799.6236</v>
      </c>
      <c r="R2269" s="47" t="b">
        <v>0</v>
      </c>
      <c r="S2269" s="42" t="str">
        <f t="shared" si="28"/>
        <v/>
      </c>
      <c r="T2269" s="42"/>
    </row>
    <row r="2270" ht="22.5" customHeight="1">
      <c r="B2270" s="42">
        <f t="shared" si="7"/>
        <v>2264</v>
      </c>
      <c r="C2270" s="31" t="s">
        <v>2366</v>
      </c>
      <c r="D2270" s="34" t="str">
        <f t="array" ref="D2270">IFNA(_xlfn.XLOOKUP(C2270,Table_Tarikan_Warkah[Nomor Sertipikat],Table_Tarikan_Warkah[Nomor Tiket]),"")</f>
        <v>K/18/190525/1</v>
      </c>
      <c r="E2270" s="36">
        <f t="array" ref="E2270">IFNA(_xlfn.XLOOKUP(D2270,Table_Tarikan_Warkah[Nomor Tiket],Table_Tarikan_Warkah[Tanggal diserahkan kepada Validator]),"")</f>
        <v>45803.43862</v>
      </c>
      <c r="F2270" s="36" t="str">
        <f t="array" ref="F2270">IFNA(_xlfn.XLOOKUP(D2270,Table_Tarikan_Warkah[Nomor Tiket],Table_Tarikan_Warkah[Nama Petugas Warkah]),"")</f>
        <v>Berry</v>
      </c>
      <c r="G2270" s="39" t="str">
        <f t="array" ref="G2270">IFNA(_xlfn.XLOOKUP(D2270,Table_Tarikan_Warkah[Nomor Tiket],Table_Tarikan_Warkah[Jenis Permohonan]),"")</f>
        <v>BN JUAL BELI</v>
      </c>
      <c r="H2270" s="41" t="s">
        <v>2315</v>
      </c>
      <c r="I2270" s="49" t="s">
        <v>23</v>
      </c>
      <c r="J2270" s="36">
        <f t="shared" si="20"/>
        <v>45798.81066</v>
      </c>
      <c r="K2270" s="49" t="s">
        <v>2359</v>
      </c>
      <c r="L2270" s="49" t="s">
        <v>23</v>
      </c>
      <c r="M2270" s="36">
        <f t="shared" si="26"/>
        <v>45799.62334</v>
      </c>
      <c r="N2270" s="30" t="str">
        <f t="shared" si="27"/>
        <v>Selesai</v>
      </c>
      <c r="O2270" s="45">
        <f t="shared" si="23"/>
        <v>45799.62334</v>
      </c>
      <c r="P2270" s="47" t="b">
        <v>1</v>
      </c>
      <c r="Q2270" s="36">
        <f t="shared" si="24"/>
        <v>45799.6236</v>
      </c>
      <c r="R2270" s="47" t="b">
        <v>0</v>
      </c>
      <c r="S2270" s="42" t="str">
        <f t="shared" si="28"/>
        <v/>
      </c>
      <c r="T2270" s="42"/>
    </row>
    <row r="2271" ht="22.5" customHeight="1">
      <c r="B2271" s="42">
        <f t="shared" si="7"/>
        <v>2265</v>
      </c>
      <c r="C2271" s="31" t="s">
        <v>2367</v>
      </c>
      <c r="D2271" s="34" t="str">
        <f t="array" ref="D2271">IFNA(_xlfn.XLOOKUP(C2271,Table_Tarikan_Warkah[Nomor Sertipikat],Table_Tarikan_Warkah[Nomor Tiket]),"")</f>
        <v>K/21/080525/2</v>
      </c>
      <c r="E2271" s="36">
        <f t="array" ref="E2271">IFNA(_xlfn.XLOOKUP(D2271,Table_Tarikan_Warkah[Nomor Tiket],Table_Tarikan_Warkah[Tanggal diserahkan kepada Validator]),"")</f>
        <v>45803.43828</v>
      </c>
      <c r="F2271" s="36" t="str">
        <f t="array" ref="F2271">IFNA(_xlfn.XLOOKUP(D2271,Table_Tarikan_Warkah[Nomor Tiket],Table_Tarikan_Warkah[Nama Petugas Warkah]),"")</f>
        <v>Berry</v>
      </c>
      <c r="G2271" s="39" t="str">
        <f t="array" ref="G2271">IFNA(_xlfn.XLOOKUP(D2271,Table_Tarikan_Warkah[Nomor Tiket],Table_Tarikan_Warkah[Jenis Permohonan]),"")</f>
        <v>BN JUAL</v>
      </c>
      <c r="H2271" s="41" t="s">
        <v>2315</v>
      </c>
      <c r="I2271" s="49" t="s">
        <v>23</v>
      </c>
      <c r="J2271" s="36">
        <f t="shared" si="20"/>
        <v>45798.81107</v>
      </c>
      <c r="K2271" s="49" t="s">
        <v>2359</v>
      </c>
      <c r="L2271" s="49" t="s">
        <v>23</v>
      </c>
      <c r="M2271" s="36">
        <f t="shared" si="26"/>
        <v>45799.62334</v>
      </c>
      <c r="N2271" s="30" t="str">
        <f t="shared" si="27"/>
        <v>Selesai</v>
      </c>
      <c r="O2271" s="45">
        <f t="shared" si="23"/>
        <v>45799.62334</v>
      </c>
      <c r="P2271" s="47" t="b">
        <v>1</v>
      </c>
      <c r="Q2271" s="36">
        <f t="shared" si="24"/>
        <v>45799.6236</v>
      </c>
      <c r="R2271" s="47" t="b">
        <v>0</v>
      </c>
      <c r="S2271" s="42" t="str">
        <f t="shared" si="28"/>
        <v/>
      </c>
      <c r="T2271" s="42"/>
    </row>
    <row r="2272" ht="22.5" customHeight="1">
      <c r="B2272" s="42">
        <f t="shared" si="7"/>
        <v>2266</v>
      </c>
      <c r="C2272" s="31" t="s">
        <v>2368</v>
      </c>
      <c r="D2272" s="34" t="str">
        <f t="array" ref="D2272">IFNA(_xlfn.XLOOKUP(C2272,Table_Tarikan_Warkah[Nomor Sertipikat],Table_Tarikan_Warkah[Nomor Tiket]),"")</f>
        <v>K/34/090525/1</v>
      </c>
      <c r="E2272" s="36">
        <f t="array" ref="E2272">IFNA(_xlfn.XLOOKUP(D2272,Table_Tarikan_Warkah[Nomor Tiket],Table_Tarikan_Warkah[Tanggal diserahkan kepada Validator]),"")</f>
        <v>45803.43267</v>
      </c>
      <c r="F2272" s="36" t="str">
        <f t="array" ref="F2272">IFNA(_xlfn.XLOOKUP(D2272,Table_Tarikan_Warkah[Nomor Tiket],Table_Tarikan_Warkah[Nama Petugas Warkah]),"")</f>
        <v>Berry</v>
      </c>
      <c r="G2272" s="39" t="str">
        <f t="array" ref="G2272">IFNA(_xlfn.XLOOKUP(D2272,Table_Tarikan_Warkah[Nomor Tiket],Table_Tarikan_Warkah[Jenis Permohonan]),"")</f>
        <v>BN JUAL BELI</v>
      </c>
      <c r="H2272" s="41" t="s">
        <v>2315</v>
      </c>
      <c r="I2272" s="49" t="s">
        <v>23</v>
      </c>
      <c r="J2272" s="36">
        <f t="shared" si="20"/>
        <v>45798.81123</v>
      </c>
      <c r="K2272" s="49" t="s">
        <v>2359</v>
      </c>
      <c r="L2272" s="49" t="s">
        <v>23</v>
      </c>
      <c r="M2272" s="36">
        <f t="shared" si="26"/>
        <v>45799.62334</v>
      </c>
      <c r="N2272" s="30" t="str">
        <f t="shared" si="27"/>
        <v>Selesai</v>
      </c>
      <c r="O2272" s="45">
        <f t="shared" si="23"/>
        <v>45799.62334</v>
      </c>
      <c r="P2272" s="47" t="b">
        <v>1</v>
      </c>
      <c r="Q2272" s="36">
        <f t="shared" si="24"/>
        <v>45799.62362</v>
      </c>
      <c r="R2272" s="47" t="b">
        <v>0</v>
      </c>
      <c r="S2272" s="42" t="str">
        <f t="shared" si="28"/>
        <v/>
      </c>
      <c r="T2272" s="42"/>
    </row>
    <row r="2273" ht="22.5" customHeight="1">
      <c r="B2273" s="42">
        <f t="shared" si="7"/>
        <v>2267</v>
      </c>
      <c r="C2273" s="31" t="s">
        <v>2369</v>
      </c>
      <c r="D2273" s="34" t="str">
        <f t="array" ref="D2273">IFNA(_xlfn.XLOOKUP(C2273,Table_Tarikan_Warkah[Nomor Sertipikat],Table_Tarikan_Warkah[Nomor Tiket]),"")</f>
        <v>K/20/140525/1</v>
      </c>
      <c r="E2273" s="36" t="str">
        <f t="array" ref="E2273">IFNA(_xlfn.XLOOKUP(D2273,Table_Tarikan_Warkah[Nomor Tiket],Table_Tarikan_Warkah[Tanggal diserahkan kepada Validator]),"")</f>
        <v/>
      </c>
      <c r="F2273" s="36" t="str">
        <f t="array" ref="F2273">IFNA(_xlfn.XLOOKUP(D2273,Table_Tarikan_Warkah[Nomor Tiket],Table_Tarikan_Warkah[Nama Petugas Warkah]),"")</f>
        <v/>
      </c>
      <c r="G2273" s="39" t="str">
        <f t="array" ref="G2273">IFNA(_xlfn.XLOOKUP(D2273,Table_Tarikan_Warkah[Nomor Tiket],Table_Tarikan_Warkah[Jenis Permohonan]),"")</f>
        <v>JUAL BELI</v>
      </c>
      <c r="H2273" s="41" t="s">
        <v>2315</v>
      </c>
      <c r="I2273" s="49" t="s">
        <v>23</v>
      </c>
      <c r="J2273" s="36">
        <f t="shared" si="20"/>
        <v>45798.81142</v>
      </c>
      <c r="K2273" s="49" t="s">
        <v>2359</v>
      </c>
      <c r="L2273" s="49" t="s">
        <v>23</v>
      </c>
      <c r="M2273" s="36">
        <f t="shared" si="26"/>
        <v>45799.62334</v>
      </c>
      <c r="N2273" s="30" t="str">
        <f t="shared" si="27"/>
        <v>Selesai</v>
      </c>
      <c r="O2273" s="45">
        <f t="shared" si="23"/>
        <v>45799.62334</v>
      </c>
      <c r="P2273" s="47" t="b">
        <v>1</v>
      </c>
      <c r="Q2273" s="36">
        <f t="shared" si="24"/>
        <v>45799.62362</v>
      </c>
      <c r="R2273" s="47" t="b">
        <v>0</v>
      </c>
      <c r="S2273" s="42" t="str">
        <f t="shared" si="28"/>
        <v/>
      </c>
      <c r="T2273" s="42"/>
    </row>
    <row r="2274" ht="22.5" customHeight="1">
      <c r="B2274" s="42">
        <f t="shared" si="7"/>
        <v>2268</v>
      </c>
      <c r="C2274" s="31" t="s">
        <v>2370</v>
      </c>
      <c r="D2274" s="34" t="str">
        <f t="array" ref="D2274">IFNA(_xlfn.XLOOKUP(C2274,Table_Tarikan_Warkah[Nomor Sertipikat],Table_Tarikan_Warkah[Nomor Tiket]),"")</f>
        <v>K/8/150525/1</v>
      </c>
      <c r="E2274" s="36" t="str">
        <f t="array" ref="E2274">IFNA(_xlfn.XLOOKUP(D2274,Table_Tarikan_Warkah[Nomor Tiket],Table_Tarikan_Warkah[Tanggal diserahkan kepada Validator]),"")</f>
        <v/>
      </c>
      <c r="F2274" s="36" t="str">
        <f t="array" ref="F2274">IFNA(_xlfn.XLOOKUP(D2274,Table_Tarikan_Warkah[Nomor Tiket],Table_Tarikan_Warkah[Nama Petugas Warkah]),"")</f>
        <v/>
      </c>
      <c r="G2274" s="39" t="str">
        <f t="array" ref="G2274">IFNA(_xlfn.XLOOKUP(D2274,Table_Tarikan_Warkah[Nomor Tiket],Table_Tarikan_Warkah[Jenis Permohonan]),"")</f>
        <v>BN Jual Beli</v>
      </c>
      <c r="H2274" s="41" t="s">
        <v>2315</v>
      </c>
      <c r="I2274" s="49" t="s">
        <v>23</v>
      </c>
      <c r="J2274" s="36">
        <f t="shared" si="20"/>
        <v>45798.81159</v>
      </c>
      <c r="K2274" s="49" t="s">
        <v>2359</v>
      </c>
      <c r="L2274" s="49" t="s">
        <v>23</v>
      </c>
      <c r="M2274" s="36">
        <f t="shared" si="26"/>
        <v>45799.62334</v>
      </c>
      <c r="N2274" s="30" t="str">
        <f t="shared" si="27"/>
        <v>Selesai</v>
      </c>
      <c r="O2274" s="45">
        <f t="shared" si="23"/>
        <v>45799.62334</v>
      </c>
      <c r="P2274" s="47" t="b">
        <v>1</v>
      </c>
      <c r="Q2274" s="36">
        <f t="shared" si="24"/>
        <v>45799.62362</v>
      </c>
      <c r="R2274" s="47" t="b">
        <v>0</v>
      </c>
      <c r="S2274" s="42" t="str">
        <f t="shared" si="28"/>
        <v/>
      </c>
      <c r="T2274" s="42"/>
    </row>
    <row r="2275" ht="22.5" customHeight="1">
      <c r="B2275" s="42">
        <f t="shared" si="7"/>
        <v>2269</v>
      </c>
      <c r="C2275" s="31" t="s">
        <v>2371</v>
      </c>
      <c r="D2275" s="34" t="str">
        <f t="array" ref="D2275">IFNA(_xlfn.XLOOKUP(C2275,Table_Tarikan_Warkah[Nomor Sertipikat],Table_Tarikan_Warkah[Nomor Tiket]),"")</f>
        <v>K/10/150525/3</v>
      </c>
      <c r="E2275" s="36" t="str">
        <f t="array" ref="E2275">IFNA(_xlfn.XLOOKUP(D2275,Table_Tarikan_Warkah[Nomor Tiket],Table_Tarikan_Warkah[Tanggal diserahkan kepada Validator]),"")</f>
        <v/>
      </c>
      <c r="F2275" s="36" t="str">
        <f t="array" ref="F2275">IFNA(_xlfn.XLOOKUP(D2275,Table_Tarikan_Warkah[Nomor Tiket],Table_Tarikan_Warkah[Nama Petugas Warkah]),"")</f>
        <v/>
      </c>
      <c r="G2275" s="39" t="str">
        <f t="array" ref="G2275">IFNA(_xlfn.XLOOKUP(D2275,Table_Tarikan_Warkah[Nomor Tiket],Table_Tarikan_Warkah[Jenis Permohonan]),"")</f>
        <v>BN Jual Beli</v>
      </c>
      <c r="H2275" s="41" t="s">
        <v>2315</v>
      </c>
      <c r="I2275" s="49" t="s">
        <v>23</v>
      </c>
      <c r="J2275" s="36">
        <f t="shared" si="20"/>
        <v>45798.81176</v>
      </c>
      <c r="K2275" s="49" t="s">
        <v>2359</v>
      </c>
      <c r="L2275" s="49" t="s">
        <v>23</v>
      </c>
      <c r="M2275" s="36">
        <f t="shared" si="26"/>
        <v>45799.62334</v>
      </c>
      <c r="N2275" s="30" t="str">
        <f t="shared" si="27"/>
        <v>Selesai</v>
      </c>
      <c r="O2275" s="45">
        <f t="shared" si="23"/>
        <v>45799.62334</v>
      </c>
      <c r="P2275" s="47" t="b">
        <v>1</v>
      </c>
      <c r="Q2275" s="36">
        <f t="shared" si="24"/>
        <v>45799.62362</v>
      </c>
      <c r="R2275" s="47" t="b">
        <v>0</v>
      </c>
      <c r="S2275" s="42" t="str">
        <f t="shared" si="28"/>
        <v/>
      </c>
      <c r="T2275" s="42"/>
    </row>
    <row r="2276" ht="22.5" customHeight="1">
      <c r="B2276" s="42">
        <f t="shared" si="7"/>
        <v>2270</v>
      </c>
      <c r="C2276" s="31" t="s">
        <v>2372</v>
      </c>
      <c r="D2276" s="34" t="str">
        <f t="array" ref="D2276">IFNA(_xlfn.XLOOKUP(C2276,Table_Tarikan_Warkah[Nomor Sertipikat],Table_Tarikan_Warkah[Nomor Tiket]),"")</f>
        <v>K/2/050325/1</v>
      </c>
      <c r="E2276" s="36" t="str">
        <f t="array" ref="E2276">IFNA(_xlfn.XLOOKUP(D2276,Table_Tarikan_Warkah[Nomor Tiket],Table_Tarikan_Warkah[Tanggal diserahkan kepada Validator]),"")</f>
        <v/>
      </c>
      <c r="F2276" s="36" t="str">
        <f t="array" ref="F2276">IFNA(_xlfn.XLOOKUP(D2276,Table_Tarikan_Warkah[Nomor Tiket],Table_Tarikan_Warkah[Nama Petugas Warkah]),"")</f>
        <v/>
      </c>
      <c r="G2276" s="39" t="str">
        <f t="array" ref="G2276">IFNA(_xlfn.XLOOKUP(D2276,Table_Tarikan_Warkah[Nomor Tiket],Table_Tarikan_Warkah[Jenis Permohonan]),"")</f>
        <v>BN Jual Beli</v>
      </c>
      <c r="H2276" s="41" t="s">
        <v>2315</v>
      </c>
      <c r="I2276" s="49" t="s">
        <v>23</v>
      </c>
      <c r="J2276" s="36">
        <f t="shared" si="20"/>
        <v>45798.81191</v>
      </c>
      <c r="K2276" s="49" t="s">
        <v>2359</v>
      </c>
      <c r="L2276" s="49" t="s">
        <v>23</v>
      </c>
      <c r="M2276" s="36">
        <f t="shared" si="26"/>
        <v>45799.62334</v>
      </c>
      <c r="N2276" s="30" t="str">
        <f t="shared" si="27"/>
        <v>Selesai</v>
      </c>
      <c r="O2276" s="45">
        <f t="shared" si="23"/>
        <v>45799.62334</v>
      </c>
      <c r="P2276" s="47" t="b">
        <v>1</v>
      </c>
      <c r="Q2276" s="36">
        <f t="shared" si="24"/>
        <v>45799.62362</v>
      </c>
      <c r="R2276" s="47" t="b">
        <v>0</v>
      </c>
      <c r="S2276" s="42" t="str">
        <f t="shared" si="28"/>
        <v/>
      </c>
      <c r="T2276" s="42"/>
    </row>
    <row r="2277" ht="22.5" customHeight="1">
      <c r="B2277" s="42">
        <f t="shared" si="7"/>
        <v>2271</v>
      </c>
      <c r="C2277" s="31" t="s">
        <v>2373</v>
      </c>
      <c r="D2277" s="34" t="str">
        <f t="array" ref="D2277">IFNA(_xlfn.XLOOKUP(C2277,Table_Tarikan_Warkah[Nomor Sertipikat],Table_Tarikan_Warkah[Nomor Tiket]),"")</f>
        <v>K/9/150525/2</v>
      </c>
      <c r="E2277" s="36" t="str">
        <f t="array" ref="E2277">IFNA(_xlfn.XLOOKUP(D2277,Table_Tarikan_Warkah[Nomor Tiket],Table_Tarikan_Warkah[Tanggal diserahkan kepada Validator]),"")</f>
        <v/>
      </c>
      <c r="F2277" s="36" t="str">
        <f t="array" ref="F2277">IFNA(_xlfn.XLOOKUP(D2277,Table_Tarikan_Warkah[Nomor Tiket],Table_Tarikan_Warkah[Nama Petugas Warkah]),"")</f>
        <v/>
      </c>
      <c r="G2277" s="39" t="str">
        <f t="array" ref="G2277">IFNA(_xlfn.XLOOKUP(D2277,Table_Tarikan_Warkah[Nomor Tiket],Table_Tarikan_Warkah[Jenis Permohonan]),"")</f>
        <v>BN Jual Beli</v>
      </c>
      <c r="H2277" s="41" t="s">
        <v>2315</v>
      </c>
      <c r="I2277" s="49" t="s">
        <v>23</v>
      </c>
      <c r="J2277" s="36">
        <f t="shared" si="20"/>
        <v>45798.81204</v>
      </c>
      <c r="K2277" s="49" t="s">
        <v>2359</v>
      </c>
      <c r="L2277" s="49" t="s">
        <v>23</v>
      </c>
      <c r="M2277" s="36">
        <f t="shared" si="26"/>
        <v>45799.62334</v>
      </c>
      <c r="N2277" s="30" t="str">
        <f t="shared" si="27"/>
        <v>Selesai</v>
      </c>
      <c r="O2277" s="45">
        <f t="shared" si="23"/>
        <v>45799.62334</v>
      </c>
      <c r="P2277" s="47" t="b">
        <v>1</v>
      </c>
      <c r="Q2277" s="36">
        <f t="shared" si="24"/>
        <v>45799.62366</v>
      </c>
      <c r="R2277" s="47" t="b">
        <v>0</v>
      </c>
      <c r="S2277" s="42" t="str">
        <f t="shared" si="28"/>
        <v/>
      </c>
      <c r="T2277" s="42"/>
    </row>
    <row r="2278" ht="22.5" customHeight="1">
      <c r="B2278" s="42">
        <f t="shared" si="7"/>
        <v>2272</v>
      </c>
      <c r="C2278" s="31" t="s">
        <v>2374</v>
      </c>
      <c r="D2278" s="34" t="str">
        <f t="array" ref="D2278">IFNA(_xlfn.XLOOKUP(C2278,Table_Tarikan_Warkah[Nomor Sertipikat],Table_Tarikan_Warkah[Nomor Tiket]),"")</f>
        <v> K/11/150525/4</v>
      </c>
      <c r="E2278" s="36">
        <f t="array" ref="E2278">IFNA(_xlfn.XLOOKUP(D2278,Table_Tarikan_Warkah[Nomor Tiket],Table_Tarikan_Warkah[Tanggal diserahkan kepada Validator]),"")</f>
        <v>45803.43532</v>
      </c>
      <c r="F2278" s="36" t="str">
        <f t="array" ref="F2278">IFNA(_xlfn.XLOOKUP(D2278,Table_Tarikan_Warkah[Nomor Tiket],Table_Tarikan_Warkah[Nama Petugas Warkah]),"")</f>
        <v>Berry</v>
      </c>
      <c r="G2278" s="39" t="str">
        <f t="array" ref="G2278">IFNA(_xlfn.XLOOKUP(D2278,Table_Tarikan_Warkah[Nomor Tiket],Table_Tarikan_Warkah[Jenis Permohonan]),"")</f>
        <v>BN Jual Beli</v>
      </c>
      <c r="H2278" s="41" t="s">
        <v>2315</v>
      </c>
      <c r="I2278" s="49" t="s">
        <v>23</v>
      </c>
      <c r="J2278" s="36">
        <f t="shared" si="20"/>
        <v>45798.81226</v>
      </c>
      <c r="K2278" s="49" t="s">
        <v>2359</v>
      </c>
      <c r="L2278" s="49" t="s">
        <v>23</v>
      </c>
      <c r="M2278" s="36">
        <f t="shared" si="26"/>
        <v>45799.62334</v>
      </c>
      <c r="N2278" s="30" t="str">
        <f t="shared" si="27"/>
        <v>Selesai</v>
      </c>
      <c r="O2278" s="45">
        <f t="shared" si="23"/>
        <v>45799.62334</v>
      </c>
      <c r="P2278" s="47" t="b">
        <v>1</v>
      </c>
      <c r="Q2278" s="36">
        <f t="shared" si="24"/>
        <v>45799.62366</v>
      </c>
      <c r="R2278" s="47" t="b">
        <v>0</v>
      </c>
      <c r="S2278" s="42" t="str">
        <f t="shared" si="28"/>
        <v/>
      </c>
      <c r="T2278" s="42"/>
    </row>
    <row r="2279" ht="22.5" customHeight="1">
      <c r="B2279" s="42">
        <f t="shared" si="7"/>
        <v>2273</v>
      </c>
      <c r="C2279" s="31" t="s">
        <v>2294</v>
      </c>
      <c r="D2279" s="34" t="str">
        <f t="array" ref="D2279">IFNA(_xlfn.XLOOKUP(C2279,Table_Tarikan_Warkah[Nomor Sertipikat],Table_Tarikan_Warkah[Nomor Tiket]),"")</f>
        <v>K/11/060525/1</v>
      </c>
      <c r="E2279" s="36">
        <f t="array" ref="E2279">IFNA(_xlfn.XLOOKUP(D2279,Table_Tarikan_Warkah[Nomor Tiket],Table_Tarikan_Warkah[Tanggal diserahkan kepada Validator]),"")</f>
        <v>45803.43846</v>
      </c>
      <c r="F2279" s="36" t="str">
        <f t="array" ref="F2279">IFNA(_xlfn.XLOOKUP(D2279,Table_Tarikan_Warkah[Nomor Tiket],Table_Tarikan_Warkah[Nama Petugas Warkah]),"")</f>
        <v>Berry</v>
      </c>
      <c r="G2279" s="39" t="str">
        <f t="array" ref="G2279">IFNA(_xlfn.XLOOKUP(D2279,Table_Tarikan_Warkah[Nomor Tiket],Table_Tarikan_Warkah[Jenis Permohonan]),"")</f>
        <v>BN WARIS</v>
      </c>
      <c r="H2279" s="41" t="s">
        <v>2315</v>
      </c>
      <c r="I2279" s="49" t="s">
        <v>23</v>
      </c>
      <c r="J2279" s="36">
        <f t="shared" si="20"/>
        <v>45798.81246</v>
      </c>
      <c r="K2279" s="49" t="s">
        <v>2359</v>
      </c>
      <c r="L2279" s="49" t="s">
        <v>23</v>
      </c>
      <c r="M2279" s="36">
        <f t="shared" si="26"/>
        <v>45799.62334</v>
      </c>
      <c r="N2279" s="30" t="str">
        <f t="shared" si="27"/>
        <v>Selesai</v>
      </c>
      <c r="O2279" s="45">
        <f t="shared" si="23"/>
        <v>45799.62334</v>
      </c>
      <c r="P2279" s="47" t="b">
        <v>1</v>
      </c>
      <c r="Q2279" s="36">
        <f t="shared" si="24"/>
        <v>45799.62366</v>
      </c>
      <c r="R2279" s="47" t="b">
        <v>0</v>
      </c>
      <c r="S2279" s="42" t="str">
        <f t="shared" si="28"/>
        <v/>
      </c>
      <c r="T2279" s="42"/>
    </row>
    <row r="2280" ht="22.5" customHeight="1">
      <c r="B2280" s="42">
        <f t="shared" si="7"/>
        <v>2274</v>
      </c>
      <c r="C2280" s="31" t="s">
        <v>2375</v>
      </c>
      <c r="D2280" s="34" t="str">
        <f t="array" ref="D2280">IFNA(_xlfn.XLOOKUP(C2280,Table_Tarikan_Warkah[Nomor Sertipikat],Table_Tarikan_Warkah[Nomor Tiket]),"")</f>
        <v>K/25/150525/3</v>
      </c>
      <c r="E2280" s="36" t="str">
        <f t="array" ref="E2280">IFNA(_xlfn.XLOOKUP(D2280,Table_Tarikan_Warkah[Nomor Tiket],Table_Tarikan_Warkah[Tanggal diserahkan kepada Validator]),"")</f>
        <v/>
      </c>
      <c r="F2280" s="36" t="str">
        <f t="array" ref="F2280">IFNA(_xlfn.XLOOKUP(D2280,Table_Tarikan_Warkah[Nomor Tiket],Table_Tarikan_Warkah[Nama Petugas Warkah]),"")</f>
        <v/>
      </c>
      <c r="G2280" s="39" t="str">
        <f t="array" ref="G2280">IFNA(_xlfn.XLOOKUP(D2280,Table_Tarikan_Warkah[Nomor Tiket],Table_Tarikan_Warkah[Jenis Permohonan]),"")</f>
        <v>GANTI NAMA HT</v>
      </c>
      <c r="H2280" s="41" t="s">
        <v>2315</v>
      </c>
      <c r="I2280" s="49" t="s">
        <v>23</v>
      </c>
      <c r="J2280" s="36">
        <f t="shared" si="20"/>
        <v>45798.81988</v>
      </c>
      <c r="K2280" s="49" t="s">
        <v>2359</v>
      </c>
      <c r="L2280" s="49" t="s">
        <v>23</v>
      </c>
      <c r="M2280" s="36">
        <f t="shared" si="26"/>
        <v>45799.62334</v>
      </c>
      <c r="N2280" s="30" t="str">
        <f t="shared" si="27"/>
        <v>Selesai</v>
      </c>
      <c r="O2280" s="45">
        <f t="shared" si="23"/>
        <v>45799.62334</v>
      </c>
      <c r="P2280" s="47" t="b">
        <v>1</v>
      </c>
      <c r="Q2280" s="36">
        <f t="shared" si="24"/>
        <v>45799.62368</v>
      </c>
      <c r="R2280" s="47" t="b">
        <v>0</v>
      </c>
      <c r="S2280" s="42" t="str">
        <f t="shared" si="28"/>
        <v/>
      </c>
      <c r="T2280" s="42"/>
    </row>
    <row r="2281" ht="22.5" customHeight="1">
      <c r="B2281" s="42">
        <f t="shared" si="7"/>
        <v>2275</v>
      </c>
      <c r="C2281" s="31" t="s">
        <v>2376</v>
      </c>
      <c r="D2281" s="34" t="str">
        <f t="array" ref="D2281">IFNA(_xlfn.XLOOKUP(C2281,Table_Tarikan_Warkah[Nomor Sertipikat],Table_Tarikan_Warkah[Nomor Tiket]),"")</f>
        <v>L/6/240425/1</v>
      </c>
      <c r="E2281" s="36" t="str">
        <f t="array" ref="E2281">IFNA(_xlfn.XLOOKUP(D2281,Table_Tarikan_Warkah[Nomor Tiket],Table_Tarikan_Warkah[Tanggal diserahkan kepada Validator]),"")</f>
        <v/>
      </c>
      <c r="F2281" s="36" t="str">
        <f t="array" ref="F2281">IFNA(_xlfn.XLOOKUP(D2281,Table_Tarikan_Warkah[Nomor Tiket],Table_Tarikan_Warkah[Nama Petugas Warkah]),"")</f>
        <v/>
      </c>
      <c r="G2281" s="39" t="str">
        <f t="array" ref="G2281">IFNA(_xlfn.XLOOKUP(D2281,Table_Tarikan_Warkah[Nomor Tiket],Table_Tarikan_Warkah[Jenis Permohonan]),"")</f>
        <v>SERTIPIKAT HILANG</v>
      </c>
      <c r="H2281" s="41" t="s">
        <v>20</v>
      </c>
      <c r="I2281" s="49" t="s">
        <v>23</v>
      </c>
      <c r="J2281" s="36">
        <f t="shared" si="20"/>
        <v>45800.48725</v>
      </c>
      <c r="K2281" s="69"/>
      <c r="L2281" s="49" t="s">
        <v>23</v>
      </c>
      <c r="M2281" s="36">
        <f t="shared" si="26"/>
        <v>45874.68043</v>
      </c>
      <c r="N2281" s="30" t="str">
        <f t="shared" si="27"/>
        <v>Selesai</v>
      </c>
      <c r="O2281" s="45">
        <f t="shared" si="23"/>
        <v>45874.68043</v>
      </c>
      <c r="P2281" s="47" t="b">
        <v>0</v>
      </c>
      <c r="Q2281" s="36" t="str">
        <f t="shared" si="24"/>
        <v/>
      </c>
      <c r="R2281" s="47" t="b">
        <v>0</v>
      </c>
      <c r="S2281" s="42" t="str">
        <f t="shared" si="28"/>
        <v/>
      </c>
      <c r="T2281" s="42"/>
    </row>
    <row r="2282" ht="22.5" customHeight="1">
      <c r="B2282" s="42">
        <f t="shared" si="7"/>
        <v>2276</v>
      </c>
      <c r="C2282" s="31" t="s">
        <v>2377</v>
      </c>
      <c r="D2282" s="34" t="str">
        <f t="array" ref="D2282">IFNA(_xlfn.XLOOKUP(C2282,Table_Tarikan_Warkah[Nomor Sertipikat],Table_Tarikan_Warkah[Nomor Tiket]),"")</f>
        <v>K/41/250225/1</v>
      </c>
      <c r="E2282" s="36">
        <f t="array" ref="E2282">IFNA(_xlfn.XLOOKUP(D2282,Table_Tarikan_Warkah[Nomor Tiket],Table_Tarikan_Warkah[Tanggal diserahkan kepada Validator]),"")</f>
        <v>45812.59649</v>
      </c>
      <c r="F2282" s="36" t="str">
        <f t="array" ref="F2282">IFNA(_xlfn.XLOOKUP(D2282,Table_Tarikan_Warkah[Nomor Tiket],Table_Tarikan_Warkah[Nama Petugas Warkah]),"")</f>
        <v>Berry</v>
      </c>
      <c r="G2282" s="39" t="str">
        <f t="array" ref="G2282">IFNA(_xlfn.XLOOKUP(D2282,Table_Tarikan_Warkah[Nomor Tiket],Table_Tarikan_Warkah[Jenis Permohonan]),"")</f>
        <v>BN JUAL BELI</v>
      </c>
      <c r="H2282" s="41" t="s">
        <v>20</v>
      </c>
      <c r="I2282" s="49" t="s">
        <v>23</v>
      </c>
      <c r="J2282" s="36">
        <f t="shared" si="20"/>
        <v>45800.48736</v>
      </c>
      <c r="K2282" s="49" t="s">
        <v>2378</v>
      </c>
      <c r="L2282" s="49" t="s">
        <v>23</v>
      </c>
      <c r="M2282" s="36">
        <f t="shared" si="26"/>
        <v>45805.596</v>
      </c>
      <c r="N2282" s="30" t="str">
        <f t="shared" si="27"/>
        <v>Selesai</v>
      </c>
      <c r="O2282" s="45">
        <f t="shared" si="23"/>
        <v>45805.596</v>
      </c>
      <c r="P2282" s="47" t="b">
        <v>1</v>
      </c>
      <c r="Q2282" s="36">
        <f t="shared" si="24"/>
        <v>45805.59831</v>
      </c>
      <c r="R2282" s="47" t="b">
        <v>0</v>
      </c>
      <c r="S2282" s="42" t="str">
        <f t="shared" si="28"/>
        <v/>
      </c>
      <c r="T2282" s="42"/>
    </row>
    <row r="2283" ht="22.5" customHeight="1">
      <c r="B2283" s="42">
        <f t="shared" si="7"/>
        <v>2277</v>
      </c>
      <c r="C2283" s="31" t="s">
        <v>2379</v>
      </c>
      <c r="D2283" s="34" t="str">
        <f t="array" ref="D2283">IFNA(_xlfn.XLOOKUP(C2283,Table_Tarikan_Warkah[Nomor Sertipikat],Table_Tarikan_Warkah[Nomor Tiket]),"")</f>
        <v>K/29/160425/1</v>
      </c>
      <c r="E2283" s="36" t="str">
        <f t="array" ref="E2283">IFNA(_xlfn.XLOOKUP(D2283,Table_Tarikan_Warkah[Nomor Tiket],Table_Tarikan_Warkah[Tanggal diserahkan kepada Validator]),"")</f>
        <v/>
      </c>
      <c r="F2283" s="36" t="str">
        <f t="array" ref="F2283">IFNA(_xlfn.XLOOKUP(D2283,Table_Tarikan_Warkah[Nomor Tiket],Table_Tarikan_Warkah[Nama Petugas Warkah]),"")</f>
        <v/>
      </c>
      <c r="G2283" s="39" t="str">
        <f t="array" ref="G2283">IFNA(_xlfn.XLOOKUP(D2283,Table_Tarikan_Warkah[Nomor Tiket],Table_Tarikan_Warkah[Jenis Permohonan]),"")</f>
        <v>BN Jual Beli</v>
      </c>
      <c r="H2283" s="41" t="s">
        <v>20</v>
      </c>
      <c r="I2283" s="49" t="s">
        <v>23</v>
      </c>
      <c r="J2283" s="36">
        <f t="shared" si="20"/>
        <v>45800.48748</v>
      </c>
      <c r="K2283" s="49" t="s">
        <v>2378</v>
      </c>
      <c r="L2283" s="49" t="s">
        <v>23</v>
      </c>
      <c r="M2283" s="36">
        <f t="shared" si="26"/>
        <v>45805.59768</v>
      </c>
      <c r="N2283" s="30" t="str">
        <f t="shared" si="27"/>
        <v>Selesai</v>
      </c>
      <c r="O2283" s="45">
        <f t="shared" si="23"/>
        <v>45805.59768</v>
      </c>
      <c r="P2283" s="47" t="b">
        <v>1</v>
      </c>
      <c r="Q2283" s="36">
        <f t="shared" si="24"/>
        <v>45805.59843</v>
      </c>
      <c r="R2283" s="47" t="b">
        <v>0</v>
      </c>
      <c r="S2283" s="42" t="str">
        <f t="shared" si="28"/>
        <v/>
      </c>
      <c r="T2283" s="42"/>
    </row>
    <row r="2284" ht="22.5" customHeight="1">
      <c r="B2284" s="42">
        <f t="shared" si="7"/>
        <v>2278</v>
      </c>
      <c r="C2284" s="31" t="s">
        <v>2380</v>
      </c>
      <c r="D2284" s="34" t="str">
        <f t="array" ref="D2284">IFNA(_xlfn.XLOOKUP(C2284,Table_Tarikan_Warkah[Nomor Sertipikat],Table_Tarikan_Warkah[Nomor Tiket]),"")</f>
        <v>K/16/060525/1</v>
      </c>
      <c r="E2284" s="36">
        <f t="array" ref="E2284">IFNA(_xlfn.XLOOKUP(D2284,Table_Tarikan_Warkah[Nomor Tiket],Table_Tarikan_Warkah[Tanggal diserahkan kepada Validator]),"")</f>
        <v>45824.63022</v>
      </c>
      <c r="F2284" s="36" t="str">
        <f t="array" ref="F2284">IFNA(_xlfn.XLOOKUP(D2284,Table_Tarikan_Warkah[Nomor Tiket],Table_Tarikan_Warkah[Nama Petugas Warkah]),"")</f>
        <v>David</v>
      </c>
      <c r="G2284" s="39" t="str">
        <f t="array" ref="G2284">IFNA(_xlfn.XLOOKUP(D2284,Table_Tarikan_Warkah[Nomor Tiket],Table_Tarikan_Warkah[Jenis Permohonan]),"")</f>
        <v>ROYA</v>
      </c>
      <c r="H2284" s="41" t="s">
        <v>20</v>
      </c>
      <c r="I2284" s="49" t="s">
        <v>23</v>
      </c>
      <c r="J2284" s="36">
        <f t="shared" si="20"/>
        <v>45800.48758</v>
      </c>
      <c r="K2284" s="49" t="s">
        <v>2378</v>
      </c>
      <c r="L2284" s="49" t="s">
        <v>23</v>
      </c>
      <c r="M2284" s="36">
        <f t="shared" si="26"/>
        <v>45805.59768</v>
      </c>
      <c r="N2284" s="30" t="str">
        <f t="shared" si="27"/>
        <v>Selesai</v>
      </c>
      <c r="O2284" s="45">
        <f t="shared" si="23"/>
        <v>45805.59768</v>
      </c>
      <c r="P2284" s="47" t="b">
        <v>1</v>
      </c>
      <c r="Q2284" s="36">
        <f t="shared" si="24"/>
        <v>45805.59853</v>
      </c>
      <c r="R2284" s="47" t="b">
        <v>0</v>
      </c>
      <c r="S2284" s="42" t="str">
        <f t="shared" si="28"/>
        <v/>
      </c>
      <c r="T2284" s="42"/>
    </row>
    <row r="2285" ht="22.5" customHeight="1">
      <c r="B2285" s="42">
        <f t="shared" si="7"/>
        <v>2279</v>
      </c>
      <c r="C2285" s="31" t="s">
        <v>2381</v>
      </c>
      <c r="D2285" s="34" t="str">
        <f t="array" ref="D2285">IFNA(_xlfn.XLOOKUP(C2285,Table_Tarikan_Warkah[Nomor Sertipikat],Table_Tarikan_Warkah[Nomor Tiket]),"")</f>
        <v>K/2/140525/1</v>
      </c>
      <c r="E2285" s="36">
        <f t="array" ref="E2285">IFNA(_xlfn.XLOOKUP(D2285,Table_Tarikan_Warkah[Nomor Tiket],Table_Tarikan_Warkah[Tanggal diserahkan kepada Validator]),"")</f>
        <v>45813.47998</v>
      </c>
      <c r="F2285" s="36" t="str">
        <f t="array" ref="F2285">IFNA(_xlfn.XLOOKUP(D2285,Table_Tarikan_Warkah[Nomor Tiket],Table_Tarikan_Warkah[Nama Petugas Warkah]),"")</f>
        <v>David</v>
      </c>
      <c r="G2285" s="39" t="str">
        <f t="array" ref="G2285">IFNA(_xlfn.XLOOKUP(D2285,Table_Tarikan_Warkah[Nomor Tiket],Table_Tarikan_Warkah[Jenis Permohonan]),"")</f>
        <v>Roya</v>
      </c>
      <c r="H2285" s="41" t="s">
        <v>20</v>
      </c>
      <c r="I2285" s="49" t="s">
        <v>23</v>
      </c>
      <c r="J2285" s="36">
        <f t="shared" si="20"/>
        <v>45800.48774</v>
      </c>
      <c r="K2285" s="49" t="s">
        <v>2378</v>
      </c>
      <c r="L2285" s="49" t="s">
        <v>23</v>
      </c>
      <c r="M2285" s="36">
        <f t="shared" si="26"/>
        <v>45805.59768</v>
      </c>
      <c r="N2285" s="30" t="str">
        <f t="shared" si="27"/>
        <v>Selesai</v>
      </c>
      <c r="O2285" s="45">
        <f t="shared" si="23"/>
        <v>45805.59768</v>
      </c>
      <c r="P2285" s="47" t="b">
        <v>1</v>
      </c>
      <c r="Q2285" s="36">
        <f t="shared" si="24"/>
        <v>45805.59853</v>
      </c>
      <c r="R2285" s="47" t="b">
        <v>0</v>
      </c>
      <c r="S2285" s="42" t="str">
        <f t="shared" si="28"/>
        <v/>
      </c>
      <c r="T2285" s="42"/>
    </row>
    <row r="2286" ht="22.5" customHeight="1">
      <c r="B2286" s="42">
        <f t="shared" si="7"/>
        <v>2280</v>
      </c>
      <c r="C2286" s="31" t="s">
        <v>2382</v>
      </c>
      <c r="D2286" s="34" t="str">
        <f t="array" ref="D2286">IFNA(_xlfn.XLOOKUP(C2286,Table_Tarikan_Warkah[Nomor Sertipikat],Table_Tarikan_Warkah[Nomor Tiket]),"")</f>
        <v>K/28/160525/1</v>
      </c>
      <c r="E2286" s="36">
        <f t="array" ref="E2286">IFNA(_xlfn.XLOOKUP(D2286,Table_Tarikan_Warkah[Nomor Tiket],Table_Tarikan_Warkah[Tanggal diserahkan kepada Validator]),"")</f>
        <v>45812.59635</v>
      </c>
      <c r="F2286" s="36" t="str">
        <f t="array" ref="F2286">IFNA(_xlfn.XLOOKUP(D2286,Table_Tarikan_Warkah[Nomor Tiket],Table_Tarikan_Warkah[Nama Petugas Warkah]),"")</f>
        <v>Berry</v>
      </c>
      <c r="G2286" s="39" t="str">
        <f t="array" ref="G2286">IFNA(_xlfn.XLOOKUP(D2286,Table_Tarikan_Warkah[Nomor Tiket],Table_Tarikan_Warkah[Jenis Permohonan]),"")</f>
        <v>BN WARIS</v>
      </c>
      <c r="H2286" s="41" t="s">
        <v>2315</v>
      </c>
      <c r="I2286" s="49" t="s">
        <v>23</v>
      </c>
      <c r="J2286" s="36">
        <f t="shared" si="20"/>
        <v>45800.56447</v>
      </c>
      <c r="K2286" s="49" t="s">
        <v>2378</v>
      </c>
      <c r="L2286" s="49" t="s">
        <v>23</v>
      </c>
      <c r="M2286" s="36">
        <f t="shared" si="26"/>
        <v>45805.59768</v>
      </c>
      <c r="N2286" s="30" t="str">
        <f t="shared" si="27"/>
        <v>Selesai</v>
      </c>
      <c r="O2286" s="45">
        <f t="shared" si="23"/>
        <v>45805.59768</v>
      </c>
      <c r="P2286" s="47" t="b">
        <v>1</v>
      </c>
      <c r="Q2286" s="36">
        <f t="shared" si="24"/>
        <v>45805.59853</v>
      </c>
      <c r="R2286" s="47" t="b">
        <v>0</v>
      </c>
      <c r="S2286" s="42" t="str">
        <f t="shared" si="28"/>
        <v/>
      </c>
      <c r="T2286" s="42"/>
    </row>
    <row r="2287" ht="22.5" customHeight="1">
      <c r="B2287" s="42">
        <f t="shared" si="7"/>
        <v>2281</v>
      </c>
      <c r="C2287" s="31" t="s">
        <v>2383</v>
      </c>
      <c r="D2287" s="34" t="str">
        <f t="array" ref="D2287">IFNA(_xlfn.XLOOKUP(C2287,Table_Tarikan_Warkah[Nomor Sertipikat],Table_Tarikan_Warkah[Nomor Tiket]),"")</f>
        <v>K/12/210425/1</v>
      </c>
      <c r="E2287" s="36">
        <f t="array" ref="E2287">IFNA(_xlfn.XLOOKUP(D2287,Table_Tarikan_Warkah[Nomor Tiket],Table_Tarikan_Warkah[Tanggal diserahkan kepada Validator]),"")</f>
        <v>45852.6421</v>
      </c>
      <c r="F2287" s="36" t="str">
        <f t="array" ref="F2287">IFNA(_xlfn.XLOOKUP(D2287,Table_Tarikan_Warkah[Nomor Tiket],Table_Tarikan_Warkah[Nama Petugas Warkah]),"")</f>
        <v>David</v>
      </c>
      <c r="G2287" s="39" t="str">
        <f t="array" ref="G2287">IFNA(_xlfn.XLOOKUP(D2287,Table_Tarikan_Warkah[Nomor Tiket],Table_Tarikan_Warkah[Jenis Permohonan]),"")</f>
        <v>ROYA</v>
      </c>
      <c r="H2287" s="41" t="s">
        <v>2315</v>
      </c>
      <c r="I2287" s="49" t="s">
        <v>23</v>
      </c>
      <c r="J2287" s="36">
        <f t="shared" si="20"/>
        <v>45800.56481</v>
      </c>
      <c r="K2287" s="49" t="s">
        <v>2378</v>
      </c>
      <c r="L2287" s="49" t="s">
        <v>23</v>
      </c>
      <c r="M2287" s="36">
        <f t="shared" si="26"/>
        <v>45805.59768</v>
      </c>
      <c r="N2287" s="30" t="str">
        <f t="shared" si="27"/>
        <v>Selesai</v>
      </c>
      <c r="O2287" s="45">
        <f t="shared" si="23"/>
        <v>45805.59768</v>
      </c>
      <c r="P2287" s="47" t="b">
        <v>1</v>
      </c>
      <c r="Q2287" s="36">
        <f t="shared" si="24"/>
        <v>45805.59853</v>
      </c>
      <c r="R2287" s="47" t="b">
        <v>0</v>
      </c>
      <c r="S2287" s="42" t="str">
        <f t="shared" si="28"/>
        <v/>
      </c>
      <c r="T2287" s="42"/>
    </row>
    <row r="2288" ht="22.5" customHeight="1">
      <c r="B2288" s="42">
        <f t="shared" si="7"/>
        <v>2282</v>
      </c>
      <c r="C2288" s="31" t="s">
        <v>2384</v>
      </c>
      <c r="D2288" s="34" t="str">
        <f t="array" ref="D2288">IFNA(_xlfn.XLOOKUP(C2288,Table_Tarikan_Warkah[Nomor Sertipikat],Table_Tarikan_Warkah[Nomor Tiket]),"")</f>
        <v>K/27/150525/5</v>
      </c>
      <c r="E2288" s="36" t="str">
        <f t="array" ref="E2288">IFNA(_xlfn.XLOOKUP(D2288,Table_Tarikan_Warkah[Nomor Tiket],Table_Tarikan_Warkah[Tanggal diserahkan kepada Validator]),"")</f>
        <v/>
      </c>
      <c r="F2288" s="36" t="str">
        <f t="array" ref="F2288">IFNA(_xlfn.XLOOKUP(D2288,Table_Tarikan_Warkah[Nomor Tiket],Table_Tarikan_Warkah[Nama Petugas Warkah]),"")</f>
        <v/>
      </c>
      <c r="G2288" s="39" t="str">
        <f t="array" ref="G2288">IFNA(_xlfn.XLOOKUP(D2288,Table_Tarikan_Warkah[Nomor Tiket],Table_Tarikan_Warkah[Jenis Permohonan]),"")</f>
        <v>GANTI NAMA HT</v>
      </c>
      <c r="H2288" s="41" t="s">
        <v>2315</v>
      </c>
      <c r="I2288" s="49" t="s">
        <v>23</v>
      </c>
      <c r="J2288" s="36">
        <f t="shared" si="20"/>
        <v>45800.56497</v>
      </c>
      <c r="K2288" s="49" t="s">
        <v>2378</v>
      </c>
      <c r="L2288" s="49" t="s">
        <v>23</v>
      </c>
      <c r="M2288" s="36">
        <f t="shared" si="26"/>
        <v>45805.59768</v>
      </c>
      <c r="N2288" s="30" t="str">
        <f t="shared" si="27"/>
        <v>Selesai</v>
      </c>
      <c r="O2288" s="45">
        <f t="shared" si="23"/>
        <v>45805.59768</v>
      </c>
      <c r="P2288" s="47" t="b">
        <v>1</v>
      </c>
      <c r="Q2288" s="36">
        <f t="shared" si="24"/>
        <v>45805.59853</v>
      </c>
      <c r="R2288" s="47" t="b">
        <v>0</v>
      </c>
      <c r="S2288" s="42" t="str">
        <f t="shared" si="28"/>
        <v/>
      </c>
      <c r="T2288" s="42"/>
    </row>
    <row r="2289" ht="22.5" customHeight="1">
      <c r="B2289" s="42">
        <f t="shared" si="7"/>
        <v>2283</v>
      </c>
      <c r="C2289" s="31" t="s">
        <v>2385</v>
      </c>
      <c r="D2289" s="34" t="str">
        <f t="array" ref="D2289">IFNA(_xlfn.XLOOKUP(C2289,Table_Tarikan_Warkah[Nomor Sertipikat],Table_Tarikan_Warkah[Nomor Tiket]),"")</f>
        <v>L/1/170525/pelataran</v>
      </c>
      <c r="E2289" s="36" t="str">
        <f t="array" ref="E2289">IFNA(_xlfn.XLOOKUP(D2289,Table_Tarikan_Warkah[Nomor Tiket],Table_Tarikan_Warkah[Tanggal diserahkan kepada Validator]),"")</f>
        <v/>
      </c>
      <c r="F2289" s="36" t="str">
        <f t="array" ref="F2289">IFNA(_xlfn.XLOOKUP(D2289,Table_Tarikan_Warkah[Nomor Tiket],Table_Tarikan_Warkah[Nama Petugas Warkah]),"")</f>
        <v/>
      </c>
      <c r="G2289" s="39" t="str">
        <f t="array" ref="G2289">IFNA(_xlfn.XLOOKUP(D2289,Table_Tarikan_Warkah[Nomor Tiket],Table_Tarikan_Warkah[Jenis Permohonan]),"")</f>
        <v>ROYA</v>
      </c>
      <c r="H2289" s="41" t="s">
        <v>2315</v>
      </c>
      <c r="I2289" s="49" t="s">
        <v>23</v>
      </c>
      <c r="J2289" s="36">
        <f t="shared" si="20"/>
        <v>45800.56635</v>
      </c>
      <c r="K2289" s="49" t="s">
        <v>2378</v>
      </c>
      <c r="L2289" s="49" t="s">
        <v>23</v>
      </c>
      <c r="M2289" s="36">
        <f t="shared" si="26"/>
        <v>45805.59768</v>
      </c>
      <c r="N2289" s="30" t="str">
        <f t="shared" si="27"/>
        <v>Selesai</v>
      </c>
      <c r="O2289" s="45">
        <f t="shared" si="23"/>
        <v>45805.59768</v>
      </c>
      <c r="P2289" s="47" t="b">
        <v>1</v>
      </c>
      <c r="Q2289" s="36">
        <f t="shared" si="24"/>
        <v>45805.59853</v>
      </c>
      <c r="R2289" s="47" t="b">
        <v>0</v>
      </c>
      <c r="S2289" s="42" t="str">
        <f t="shared" si="28"/>
        <v/>
      </c>
      <c r="T2289" s="42"/>
    </row>
    <row r="2290" ht="22.5" customHeight="1">
      <c r="B2290" s="42">
        <f t="shared" si="7"/>
        <v>2284</v>
      </c>
      <c r="C2290" s="31" t="s">
        <v>2386</v>
      </c>
      <c r="D2290" s="34" t="str">
        <f t="array" ref="D2290">IFNA(_xlfn.XLOOKUP(C2290,Table_Tarikan_Warkah[Nomor Sertipikat],Table_Tarikan_Warkah[Nomor Tiket]),"")</f>
        <v>K/18/140525/3</v>
      </c>
      <c r="E2290" s="36">
        <f t="array" ref="E2290">IFNA(_xlfn.XLOOKUP(D2290,Table_Tarikan_Warkah[Nomor Tiket],Table_Tarikan_Warkah[Tanggal diserahkan kepada Validator]),"")</f>
        <v>45812.59614</v>
      </c>
      <c r="F2290" s="36" t="str">
        <f t="array" ref="F2290">IFNA(_xlfn.XLOOKUP(D2290,Table_Tarikan_Warkah[Nomor Tiket],Table_Tarikan_Warkah[Nama Petugas Warkah]),"")</f>
        <v>Berry</v>
      </c>
      <c r="G2290" s="39" t="str">
        <f t="array" ref="G2290">IFNA(_xlfn.XLOOKUP(D2290,Table_Tarikan_Warkah[Nomor Tiket],Table_Tarikan_Warkah[Jenis Permohonan]),"")</f>
        <v>BN JUAL BELI</v>
      </c>
      <c r="H2290" s="41" t="s">
        <v>2315</v>
      </c>
      <c r="I2290" s="49" t="s">
        <v>23</v>
      </c>
      <c r="J2290" s="36">
        <f t="shared" si="20"/>
        <v>45800.56652</v>
      </c>
      <c r="K2290" s="49" t="s">
        <v>2378</v>
      </c>
      <c r="L2290" s="49" t="s">
        <v>23</v>
      </c>
      <c r="M2290" s="36">
        <f t="shared" si="26"/>
        <v>45805.59768</v>
      </c>
      <c r="N2290" s="30" t="str">
        <f t="shared" si="27"/>
        <v>Selesai</v>
      </c>
      <c r="O2290" s="45">
        <f t="shared" si="23"/>
        <v>45805.59768</v>
      </c>
      <c r="P2290" s="47" t="b">
        <v>1</v>
      </c>
      <c r="Q2290" s="36">
        <f t="shared" si="24"/>
        <v>45805.59853</v>
      </c>
      <c r="R2290" s="47" t="b">
        <v>0</v>
      </c>
      <c r="S2290" s="42" t="str">
        <f t="shared" si="28"/>
        <v/>
      </c>
      <c r="T2290" s="42"/>
    </row>
    <row r="2291" ht="22.5" customHeight="1">
      <c r="B2291" s="42">
        <f t="shared" si="7"/>
        <v>2285</v>
      </c>
      <c r="C2291" s="31" t="s">
        <v>2387</v>
      </c>
      <c r="D2291" s="34" t="str">
        <f t="array" ref="D2291">IFNA(_xlfn.XLOOKUP(C2291,Table_Tarikan_Warkah[Nomor Sertipikat],Table_Tarikan_Warkah[Nomor Tiket]),"")</f>
        <v>K/32/090525/5</v>
      </c>
      <c r="E2291" s="36">
        <f t="array" ref="E2291">IFNA(_xlfn.XLOOKUP(D2291,Table_Tarikan_Warkah[Nomor Tiket],Table_Tarikan_Warkah[Tanggal diserahkan kepada Validator]),"")</f>
        <v>45805.44568</v>
      </c>
      <c r="F2291" s="36" t="str">
        <f t="array" ref="F2291">IFNA(_xlfn.XLOOKUP(D2291,Table_Tarikan_Warkah[Nomor Tiket],Table_Tarikan_Warkah[Nama Petugas Warkah]),"")</f>
        <v>Berry</v>
      </c>
      <c r="G2291" s="39" t="str">
        <f t="array" ref="G2291">IFNA(_xlfn.XLOOKUP(D2291,Table_Tarikan_Warkah[Nomor Tiket],Table_Tarikan_Warkah[Jenis Permohonan]),"")</f>
        <v>BN Jual Beli</v>
      </c>
      <c r="H2291" s="41" t="s">
        <v>2315</v>
      </c>
      <c r="I2291" s="49" t="s">
        <v>23</v>
      </c>
      <c r="J2291" s="36">
        <f t="shared" si="20"/>
        <v>45800.56673</v>
      </c>
      <c r="K2291" s="49" t="s">
        <v>2378</v>
      </c>
      <c r="L2291" s="49" t="s">
        <v>23</v>
      </c>
      <c r="M2291" s="36">
        <f t="shared" si="26"/>
        <v>45805.59768</v>
      </c>
      <c r="N2291" s="30" t="str">
        <f t="shared" si="27"/>
        <v>Selesai</v>
      </c>
      <c r="O2291" s="45">
        <f t="shared" si="23"/>
        <v>45805.59768</v>
      </c>
      <c r="P2291" s="47" t="b">
        <v>1</v>
      </c>
      <c r="Q2291" s="36">
        <f t="shared" si="24"/>
        <v>45805.59853</v>
      </c>
      <c r="R2291" s="47" t="b">
        <v>0</v>
      </c>
      <c r="S2291" s="42" t="str">
        <f t="shared" si="28"/>
        <v/>
      </c>
      <c r="T2291" s="42"/>
    </row>
    <row r="2292" ht="22.5" customHeight="1">
      <c r="B2292" s="42">
        <f t="shared" si="7"/>
        <v>2286</v>
      </c>
      <c r="C2292" s="31" t="s">
        <v>2388</v>
      </c>
      <c r="D2292" s="34" t="str">
        <f t="array" ref="D2292">IFNA(_xlfn.XLOOKUP(C2292,Table_Tarikan_Warkah[Nomor Sertipikat],Table_Tarikan_Warkah[Nomor Tiket]),"")</f>
        <v>K/30/220425/2</v>
      </c>
      <c r="E2292" s="36">
        <f t="array" ref="E2292">IFNA(_xlfn.XLOOKUP(D2292,Table_Tarikan_Warkah[Nomor Tiket],Table_Tarikan_Warkah[Tanggal diserahkan kepada Validator]),"")</f>
        <v>45938.4939</v>
      </c>
      <c r="F2292" s="36" t="str">
        <f t="array" ref="F2292">IFNA(_xlfn.XLOOKUP(D2292,Table_Tarikan_Warkah[Nomor Tiket],Table_Tarikan_Warkah[Nama Petugas Warkah]),"")</f>
        <v>Berry</v>
      </c>
      <c r="G2292" s="39" t="str">
        <f t="array" ref="G2292">IFNA(_xlfn.XLOOKUP(D2292,Table_Tarikan_Warkah[Nomor Tiket],Table_Tarikan_Warkah[Jenis Permohonan]),"")</f>
        <v>BN Jual Beli</v>
      </c>
      <c r="H2292" s="41" t="s">
        <v>2315</v>
      </c>
      <c r="I2292" s="49" t="s">
        <v>23</v>
      </c>
      <c r="J2292" s="36">
        <f t="shared" si="20"/>
        <v>45800.56694</v>
      </c>
      <c r="K2292" s="49" t="s">
        <v>2378</v>
      </c>
      <c r="L2292" s="49" t="s">
        <v>23</v>
      </c>
      <c r="M2292" s="36">
        <f t="shared" si="26"/>
        <v>45805.59768</v>
      </c>
      <c r="N2292" s="30" t="str">
        <f t="shared" si="27"/>
        <v>Selesai</v>
      </c>
      <c r="O2292" s="45">
        <f t="shared" si="23"/>
        <v>45805.59768</v>
      </c>
      <c r="P2292" s="47" t="b">
        <v>1</v>
      </c>
      <c r="Q2292" s="36">
        <f t="shared" si="24"/>
        <v>45805.59853</v>
      </c>
      <c r="R2292" s="47" t="b">
        <v>0</v>
      </c>
      <c r="S2292" s="42" t="str">
        <f t="shared" si="28"/>
        <v/>
      </c>
      <c r="T2292" s="42"/>
    </row>
    <row r="2293" ht="22.5" customHeight="1">
      <c r="B2293" s="42">
        <f t="shared" si="7"/>
        <v>2287</v>
      </c>
      <c r="C2293" s="31" t="s">
        <v>2389</v>
      </c>
      <c r="D2293" s="34" t="str">
        <f t="array" ref="D2293">IFNA(_xlfn.XLOOKUP(C2293,Table_Tarikan_Warkah[Nomor Sertipikat],Table_Tarikan_Warkah[Nomor Tiket]),"")</f>
        <v>L/25/110425/1</v>
      </c>
      <c r="E2293" s="36" t="str">
        <f t="array" ref="E2293">IFNA(_xlfn.XLOOKUP(D2293,Table_Tarikan_Warkah[Nomor Tiket],Table_Tarikan_Warkah[Tanggal diserahkan kepada Validator]),"")</f>
        <v/>
      </c>
      <c r="F2293" s="36" t="str">
        <f t="array" ref="F2293">IFNA(_xlfn.XLOOKUP(D2293,Table_Tarikan_Warkah[Nomor Tiket],Table_Tarikan_Warkah[Nama Petugas Warkah]),"")</f>
        <v/>
      </c>
      <c r="G2293" s="39" t="str">
        <f t="array" ref="G2293">IFNA(_xlfn.XLOOKUP(D2293,Table_Tarikan_Warkah[Nomor Tiket],Table_Tarikan_Warkah[Jenis Permohonan]),"")</f>
        <v>ROYA WARIS</v>
      </c>
      <c r="H2293" s="41" t="s">
        <v>2315</v>
      </c>
      <c r="I2293" s="49" t="s">
        <v>23</v>
      </c>
      <c r="J2293" s="36">
        <f t="shared" si="20"/>
        <v>45800.56726</v>
      </c>
      <c r="K2293" s="49" t="s">
        <v>2378</v>
      </c>
      <c r="L2293" s="49" t="s">
        <v>23</v>
      </c>
      <c r="M2293" s="36">
        <f t="shared" si="26"/>
        <v>45805.59768</v>
      </c>
      <c r="N2293" s="30" t="str">
        <f t="shared" si="27"/>
        <v>Selesai</v>
      </c>
      <c r="O2293" s="45">
        <f t="shared" si="23"/>
        <v>45805.59768</v>
      </c>
      <c r="P2293" s="47" t="b">
        <v>1</v>
      </c>
      <c r="Q2293" s="36">
        <f t="shared" si="24"/>
        <v>45805.59853</v>
      </c>
      <c r="R2293" s="47" t="b">
        <v>0</v>
      </c>
      <c r="S2293" s="42" t="str">
        <f t="shared" si="28"/>
        <v/>
      </c>
      <c r="T2293" s="42"/>
    </row>
    <row r="2294" ht="22.5" customHeight="1">
      <c r="B2294" s="42">
        <f t="shared" si="7"/>
        <v>2288</v>
      </c>
      <c r="C2294" s="31" t="s">
        <v>2390</v>
      </c>
      <c r="D2294" s="34" t="str">
        <f t="array" ref="D2294">IFNA(_xlfn.XLOOKUP(C2294,Table_Tarikan_Warkah[Nomor Sertipikat],Table_Tarikan_Warkah[Nomor Tiket]),"")</f>
        <v/>
      </c>
      <c r="E2294" s="36" t="str">
        <f t="array" ref="E2294">IFNA(_xlfn.XLOOKUP(D2294,Table_Tarikan_Warkah[Nomor Tiket],Table_Tarikan_Warkah[Tanggal diserahkan kepada Validator]),"")</f>
        <v/>
      </c>
      <c r="F2294" s="36" t="str">
        <f t="array" ref="F2294">IFNA(_xlfn.XLOOKUP(D2294,Table_Tarikan_Warkah[Nomor Tiket],Table_Tarikan_Warkah[Nama Petugas Warkah]),"")</f>
        <v/>
      </c>
      <c r="G2294" s="39" t="str">
        <f t="array" ref="G2294">IFNA(_xlfn.XLOOKUP(D2294,Table_Tarikan_Warkah[Nomor Tiket],Table_Tarikan_Warkah[Jenis Permohonan]),"")</f>
        <v/>
      </c>
      <c r="H2294" s="41" t="s">
        <v>2315</v>
      </c>
      <c r="I2294" s="49" t="s">
        <v>23</v>
      </c>
      <c r="J2294" s="36">
        <f t="shared" si="20"/>
        <v>45800.56753</v>
      </c>
      <c r="K2294" s="49" t="s">
        <v>2378</v>
      </c>
      <c r="L2294" s="49" t="s">
        <v>23</v>
      </c>
      <c r="M2294" s="36">
        <f t="shared" si="26"/>
        <v>45805.59768</v>
      </c>
      <c r="N2294" s="30" t="str">
        <f t="shared" si="27"/>
        <v/>
      </c>
      <c r="O2294" s="39" t="str">
        <f t="shared" si="23"/>
        <v/>
      </c>
      <c r="P2294" s="47" t="b">
        <v>1</v>
      </c>
      <c r="Q2294" s="36">
        <f t="shared" si="24"/>
        <v>45805.59853</v>
      </c>
      <c r="R2294" s="47" t="b">
        <v>0</v>
      </c>
      <c r="S2294" s="42" t="str">
        <f t="shared" si="28"/>
        <v/>
      </c>
      <c r="T2294" s="42"/>
    </row>
    <row r="2295" ht="22.5" customHeight="1">
      <c r="B2295" s="42">
        <f t="shared" si="7"/>
        <v>2289</v>
      </c>
      <c r="C2295" s="31" t="s">
        <v>2391</v>
      </c>
      <c r="D2295" s="34" t="str">
        <f t="array" ref="D2295">IFNA(_xlfn.XLOOKUP(C2295,Table_Tarikan_Warkah[Nomor Sertipikat],Table_Tarikan_Warkah[Nomor Tiket]),"")</f>
        <v>K/45/150525/2</v>
      </c>
      <c r="E2295" s="36">
        <f t="array" ref="E2295">IFNA(_xlfn.XLOOKUP(D2295,Table_Tarikan_Warkah[Nomor Tiket],Table_Tarikan_Warkah[Tanggal diserahkan kepada Validator]),"")</f>
        <v>45824.63041</v>
      </c>
      <c r="F2295" s="36" t="str">
        <f t="array" ref="F2295">IFNA(_xlfn.XLOOKUP(D2295,Table_Tarikan_Warkah[Nomor Tiket],Table_Tarikan_Warkah[Nama Petugas Warkah]),"")</f>
        <v>David</v>
      </c>
      <c r="G2295" s="39" t="str">
        <f t="array" ref="G2295">IFNA(_xlfn.XLOOKUP(D2295,Table_Tarikan_Warkah[Nomor Tiket],Table_Tarikan_Warkah[Jenis Permohonan]),"")</f>
        <v>BN JUAL BELI</v>
      </c>
      <c r="H2295" s="41" t="s">
        <v>2315</v>
      </c>
      <c r="I2295" s="49" t="s">
        <v>23</v>
      </c>
      <c r="J2295" s="36">
        <f t="shared" si="20"/>
        <v>45800.57063</v>
      </c>
      <c r="K2295" s="49" t="s">
        <v>2378</v>
      </c>
      <c r="L2295" s="49" t="s">
        <v>23</v>
      </c>
      <c r="M2295" s="36">
        <f t="shared" si="26"/>
        <v>45805.59768</v>
      </c>
      <c r="N2295" s="30" t="str">
        <f t="shared" si="27"/>
        <v>Selesai</v>
      </c>
      <c r="O2295" s="45">
        <f t="shared" si="23"/>
        <v>45805.59768</v>
      </c>
      <c r="P2295" s="47" t="b">
        <v>1</v>
      </c>
      <c r="Q2295" s="36">
        <f t="shared" si="24"/>
        <v>45805.59853</v>
      </c>
      <c r="R2295" s="47" t="b">
        <v>0</v>
      </c>
      <c r="S2295" s="42" t="str">
        <f t="shared" si="28"/>
        <v/>
      </c>
      <c r="T2295" s="42"/>
    </row>
    <row r="2296" ht="22.5" customHeight="1">
      <c r="B2296" s="42">
        <f t="shared" si="7"/>
        <v>2290</v>
      </c>
      <c r="C2296" s="31" t="s">
        <v>2392</v>
      </c>
      <c r="D2296" s="34" t="str">
        <f t="array" ref="D2296">IFNA(_xlfn.XLOOKUP(C2296,Table_Tarikan_Warkah[Nomor Sertipikat],Table_Tarikan_Warkah[Nomor Tiket]),"")</f>
        <v>K/9/290425/1</v>
      </c>
      <c r="E2296" s="36">
        <f t="array" ref="E2296">IFNA(_xlfn.XLOOKUP(D2296,Table_Tarikan_Warkah[Nomor Tiket],Table_Tarikan_Warkah[Tanggal diserahkan kepada Validator]),"")</f>
        <v>45819.37576</v>
      </c>
      <c r="F2296" s="36" t="str">
        <f t="array" ref="F2296">IFNA(_xlfn.XLOOKUP(D2296,Table_Tarikan_Warkah[Nomor Tiket],Table_Tarikan_Warkah[Nama Petugas Warkah]),"")</f>
        <v>David</v>
      </c>
      <c r="G2296" s="39" t="str">
        <f t="array" ref="G2296">IFNA(_xlfn.XLOOKUP(D2296,Table_Tarikan_Warkah[Nomor Tiket],Table_Tarikan_Warkah[Jenis Permohonan]),"")</f>
        <v>Roya</v>
      </c>
      <c r="H2296" s="41" t="s">
        <v>2315</v>
      </c>
      <c r="I2296" s="49" t="s">
        <v>23</v>
      </c>
      <c r="J2296" s="36">
        <f t="shared" si="20"/>
        <v>45800.57976</v>
      </c>
      <c r="K2296" s="49" t="s">
        <v>2378</v>
      </c>
      <c r="L2296" s="49" t="s">
        <v>23</v>
      </c>
      <c r="M2296" s="36">
        <f t="shared" si="26"/>
        <v>45805.59768</v>
      </c>
      <c r="N2296" s="30" t="str">
        <f t="shared" si="27"/>
        <v>Selesai</v>
      </c>
      <c r="O2296" s="45">
        <f t="shared" si="23"/>
        <v>45805.59768</v>
      </c>
      <c r="P2296" s="47" t="b">
        <v>1</v>
      </c>
      <c r="Q2296" s="36">
        <f t="shared" si="24"/>
        <v>45805.59853</v>
      </c>
      <c r="R2296" s="47" t="b">
        <v>0</v>
      </c>
      <c r="S2296" s="42" t="str">
        <f t="shared" si="28"/>
        <v/>
      </c>
      <c r="T2296" s="42"/>
    </row>
    <row r="2297" ht="22.5" customHeight="1">
      <c r="B2297" s="42">
        <f t="shared" si="7"/>
        <v>2291</v>
      </c>
      <c r="C2297" s="31" t="s">
        <v>2324</v>
      </c>
      <c r="D2297" s="34" t="str">
        <f t="array" ref="D2297">IFNA(_xlfn.XLOOKUP(C2297,Table_Tarikan_Warkah[Nomor Sertipikat],Table_Tarikan_Warkah[Nomor Tiket]),"")</f>
        <v>K/24/090525/1</v>
      </c>
      <c r="E2297" s="36">
        <f t="array" ref="E2297">IFNA(_xlfn.XLOOKUP(D2297,Table_Tarikan_Warkah[Nomor Tiket],Table_Tarikan_Warkah[Tanggal diserahkan kepada Validator]),"")</f>
        <v>45824.59091</v>
      </c>
      <c r="F2297" s="36" t="str">
        <f t="array" ref="F2297">IFNA(_xlfn.XLOOKUP(D2297,Table_Tarikan_Warkah[Nomor Tiket],Table_Tarikan_Warkah[Nama Petugas Warkah]),"")</f>
        <v>David</v>
      </c>
      <c r="G2297" s="39" t="str">
        <f t="array" ref="G2297">IFNA(_xlfn.XLOOKUP(D2297,Table_Tarikan_Warkah[Nomor Tiket],Table_Tarikan_Warkah[Jenis Permohonan]),"")</f>
        <v>ROYA</v>
      </c>
      <c r="H2297" s="41" t="s">
        <v>2315</v>
      </c>
      <c r="I2297" s="49" t="s">
        <v>23</v>
      </c>
      <c r="J2297" s="36">
        <f t="shared" si="20"/>
        <v>45800.57984</v>
      </c>
      <c r="K2297" s="49" t="s">
        <v>2378</v>
      </c>
      <c r="L2297" s="49" t="s">
        <v>23</v>
      </c>
      <c r="M2297" s="36">
        <f t="shared" si="26"/>
        <v>45805.59768</v>
      </c>
      <c r="N2297" s="30" t="str">
        <f t="shared" si="27"/>
        <v>Selesai</v>
      </c>
      <c r="O2297" s="45">
        <f t="shared" si="23"/>
        <v>45805.59768</v>
      </c>
      <c r="P2297" s="47" t="b">
        <v>1</v>
      </c>
      <c r="Q2297" s="36">
        <f t="shared" si="24"/>
        <v>45805.59853</v>
      </c>
      <c r="R2297" s="47" t="b">
        <v>0</v>
      </c>
      <c r="S2297" s="42" t="str">
        <f t="shared" si="28"/>
        <v/>
      </c>
      <c r="T2297" s="42"/>
    </row>
    <row r="2298" ht="22.5" customHeight="1">
      <c r="B2298" s="42">
        <f t="shared" si="7"/>
        <v>2292</v>
      </c>
      <c r="C2298" s="31" t="s">
        <v>2393</v>
      </c>
      <c r="D2298" s="34" t="str">
        <f t="array" ref="D2298">IFNA(_xlfn.XLOOKUP(C2298,Table_Tarikan_Warkah[Nomor Sertipikat],Table_Tarikan_Warkah[Nomor Tiket]),"")</f>
        <v>K/36/160525/1</v>
      </c>
      <c r="E2298" s="36">
        <f t="array" ref="E2298">IFNA(_xlfn.XLOOKUP(D2298,Table_Tarikan_Warkah[Nomor Tiket],Table_Tarikan_Warkah[Tanggal diserahkan kepada Validator]),"")</f>
        <v>45803.43939</v>
      </c>
      <c r="F2298" s="36" t="str">
        <f t="array" ref="F2298">IFNA(_xlfn.XLOOKUP(D2298,Table_Tarikan_Warkah[Nomor Tiket],Table_Tarikan_Warkah[Nama Petugas Warkah]),"")</f>
        <v>Berry</v>
      </c>
      <c r="G2298" s="39" t="str">
        <f t="array" ref="G2298">IFNA(_xlfn.XLOOKUP(D2298,Table_Tarikan_Warkah[Nomor Tiket],Table_Tarikan_Warkah[Jenis Permohonan]),"")</f>
        <v>BN Jual Beli</v>
      </c>
      <c r="H2298" s="41" t="s">
        <v>20</v>
      </c>
      <c r="I2298" s="49" t="s">
        <v>23</v>
      </c>
      <c r="J2298" s="36">
        <f t="shared" si="20"/>
        <v>45800.68092</v>
      </c>
      <c r="K2298" s="49" t="s">
        <v>197</v>
      </c>
      <c r="L2298" s="49" t="s">
        <v>23</v>
      </c>
      <c r="M2298" s="36">
        <f t="shared" si="26"/>
        <v>45800.68098</v>
      </c>
      <c r="N2298" s="30" t="str">
        <f t="shared" si="27"/>
        <v>Selesai</v>
      </c>
      <c r="O2298" s="45">
        <f t="shared" si="23"/>
        <v>45800.68098</v>
      </c>
      <c r="P2298" s="47" t="b">
        <v>1</v>
      </c>
      <c r="Q2298" s="36">
        <f t="shared" si="24"/>
        <v>45800.68099</v>
      </c>
      <c r="R2298" s="47" t="b">
        <v>0</v>
      </c>
      <c r="S2298" s="42" t="str">
        <f t="shared" si="28"/>
        <v/>
      </c>
      <c r="T2298" s="42"/>
    </row>
    <row r="2299" ht="22.5" customHeight="1">
      <c r="B2299" s="42">
        <f t="shared" si="7"/>
        <v>2293</v>
      </c>
      <c r="C2299" s="31" t="s">
        <v>2394</v>
      </c>
      <c r="D2299" s="34" t="str">
        <f t="array" ref="D2299">IFNA(_xlfn.XLOOKUP(C2299,Table_Tarikan_Warkah[Nomor Sertipikat],Table_Tarikan_Warkah[Nomor Tiket]),"")</f>
        <v>K/16/300425/3</v>
      </c>
      <c r="E2299" s="36">
        <f t="array" ref="E2299">IFNA(_xlfn.XLOOKUP(D2299,Table_Tarikan_Warkah[Nomor Tiket],Table_Tarikan_Warkah[Tanggal diserahkan kepada Validator]),"")</f>
        <v>45803.43961</v>
      </c>
      <c r="F2299" s="36" t="str">
        <f t="array" ref="F2299">IFNA(_xlfn.XLOOKUP(D2299,Table_Tarikan_Warkah[Nomor Tiket],Table_Tarikan_Warkah[Nama Petugas Warkah]),"")</f>
        <v>Berry</v>
      </c>
      <c r="G2299" s="39" t="str">
        <f t="array" ref="G2299">IFNA(_xlfn.XLOOKUP(D2299,Table_Tarikan_Warkah[Nomor Tiket],Table_Tarikan_Warkah[Jenis Permohonan]),"")</f>
        <v>BN JUAL BELI</v>
      </c>
      <c r="H2299" s="41" t="s">
        <v>20</v>
      </c>
      <c r="I2299" s="49" t="s">
        <v>23</v>
      </c>
      <c r="J2299" s="36">
        <f t="shared" si="20"/>
        <v>45800.68116</v>
      </c>
      <c r="K2299" s="49" t="s">
        <v>197</v>
      </c>
      <c r="L2299" s="49" t="s">
        <v>23</v>
      </c>
      <c r="M2299" s="36">
        <f t="shared" si="26"/>
        <v>45800.68118</v>
      </c>
      <c r="N2299" s="30" t="str">
        <f t="shared" si="27"/>
        <v>Selesai</v>
      </c>
      <c r="O2299" s="45">
        <f t="shared" si="23"/>
        <v>45800.68118</v>
      </c>
      <c r="P2299" s="47" t="b">
        <v>1</v>
      </c>
      <c r="Q2299" s="36">
        <f t="shared" si="24"/>
        <v>45800.68121</v>
      </c>
      <c r="R2299" s="47" t="b">
        <v>0</v>
      </c>
      <c r="S2299" s="42" t="str">
        <f t="shared" si="28"/>
        <v/>
      </c>
      <c r="T2299" s="42"/>
    </row>
    <row r="2300" ht="22.5" customHeight="1">
      <c r="B2300" s="42">
        <f t="shared" si="7"/>
        <v>2294</v>
      </c>
      <c r="C2300" s="31" t="s">
        <v>2395</v>
      </c>
      <c r="D2300" s="34" t="str">
        <f t="array" ref="D2300">IFNA(_xlfn.XLOOKUP(C2300,Table_Tarikan_Warkah[Nomor Sertipikat],Table_Tarikan_Warkah[Nomor Tiket]),"")</f>
        <v>L/34/240425/1</v>
      </c>
      <c r="E2300" s="36">
        <f t="array" ref="E2300">IFNA(_xlfn.XLOOKUP(D2300,Table_Tarikan_Warkah[Nomor Tiket],Table_Tarikan_Warkah[Tanggal diserahkan kepada Validator]),"")</f>
        <v>45803.4388</v>
      </c>
      <c r="F2300" s="36" t="str">
        <f t="array" ref="F2300">IFNA(_xlfn.XLOOKUP(D2300,Table_Tarikan_Warkah[Nomor Tiket],Table_Tarikan_Warkah[Nama Petugas Warkah]),"")</f>
        <v>Berry</v>
      </c>
      <c r="G2300" s="39" t="str">
        <f t="array" ref="G2300">IFNA(_xlfn.XLOOKUP(D2300,Table_Tarikan_Warkah[Nomor Tiket],Table_Tarikan_Warkah[Jenis Permohonan]),"")</f>
        <v>BN WARIS</v>
      </c>
      <c r="H2300" s="41" t="s">
        <v>20</v>
      </c>
      <c r="I2300" s="49" t="s">
        <v>23</v>
      </c>
      <c r="J2300" s="36">
        <f t="shared" si="20"/>
        <v>45800.68131</v>
      </c>
      <c r="K2300" s="49" t="s">
        <v>197</v>
      </c>
      <c r="L2300" s="49" t="s">
        <v>23</v>
      </c>
      <c r="M2300" s="36">
        <f t="shared" si="26"/>
        <v>45800.68139</v>
      </c>
      <c r="N2300" s="30" t="str">
        <f t="shared" si="27"/>
        <v>Selesai</v>
      </c>
      <c r="O2300" s="45">
        <f t="shared" si="23"/>
        <v>45800.68139</v>
      </c>
      <c r="P2300" s="47" t="b">
        <v>1</v>
      </c>
      <c r="Q2300" s="36">
        <f t="shared" si="24"/>
        <v>45800.6814</v>
      </c>
      <c r="R2300" s="47" t="b">
        <v>0</v>
      </c>
      <c r="S2300" s="42" t="str">
        <f t="shared" si="28"/>
        <v/>
      </c>
      <c r="T2300" s="42"/>
    </row>
    <row r="2301" ht="22.5" customHeight="1">
      <c r="B2301" s="42">
        <f t="shared" si="7"/>
        <v>2295</v>
      </c>
      <c r="C2301" s="31" t="s">
        <v>2390</v>
      </c>
      <c r="D2301" s="34" t="str">
        <f t="array" ref="D2301">IFNA(_xlfn.XLOOKUP(C2301,Table_Tarikan_Warkah[Nomor Sertipikat],Table_Tarikan_Warkah[Nomor Tiket]),"")</f>
        <v/>
      </c>
      <c r="E2301" s="36" t="str">
        <f t="array" ref="E2301">IFNA(_xlfn.XLOOKUP(D2301,Table_Tarikan_Warkah[Nomor Tiket],Table_Tarikan_Warkah[Tanggal diserahkan kepada Validator]),"")</f>
        <v/>
      </c>
      <c r="F2301" s="36" t="str">
        <f t="array" ref="F2301">IFNA(_xlfn.XLOOKUP(D2301,Table_Tarikan_Warkah[Nomor Tiket],Table_Tarikan_Warkah[Nama Petugas Warkah]),"")</f>
        <v/>
      </c>
      <c r="G2301" s="39" t="str">
        <f t="array" ref="G2301">IFNA(_xlfn.XLOOKUP(D2301,Table_Tarikan_Warkah[Nomor Tiket],Table_Tarikan_Warkah[Jenis Permohonan]),"")</f>
        <v/>
      </c>
      <c r="H2301" s="70"/>
      <c r="I2301" s="49"/>
      <c r="J2301" s="36" t="str">
        <f t="shared" si="20"/>
        <v/>
      </c>
      <c r="K2301" s="49" t="s">
        <v>2378</v>
      </c>
      <c r="L2301" s="49" t="s">
        <v>23</v>
      </c>
      <c r="M2301" s="36">
        <f t="shared" si="26"/>
        <v>45804.58132</v>
      </c>
      <c r="N2301" s="30" t="str">
        <f t="shared" si="27"/>
        <v/>
      </c>
      <c r="O2301" s="39" t="str">
        <f t="shared" si="23"/>
        <v/>
      </c>
      <c r="P2301" s="47" t="b">
        <v>1</v>
      </c>
      <c r="Q2301" s="36">
        <f t="shared" si="24"/>
        <v>45805.5987</v>
      </c>
      <c r="R2301" s="47" t="b">
        <v>0</v>
      </c>
      <c r="S2301" s="42" t="str">
        <f t="shared" si="28"/>
        <v/>
      </c>
      <c r="T2301" s="42"/>
    </row>
    <row r="2302" ht="22.5" customHeight="1">
      <c r="B2302" s="42">
        <f t="shared" si="7"/>
        <v>2296</v>
      </c>
      <c r="C2302" s="31" t="s">
        <v>2396</v>
      </c>
      <c r="D2302" s="34" t="str">
        <f t="array" ref="D2302">IFNA(_xlfn.XLOOKUP(C2302,Table_Tarikan_Warkah[Nomor Sertipikat],Table_Tarikan_Warkah[Nomor Tiket]),"")</f>
        <v>K/33/160425/2</v>
      </c>
      <c r="E2302" s="36">
        <f t="array" ref="E2302">IFNA(_xlfn.XLOOKUP(D2302,Table_Tarikan_Warkah[Nomor Tiket],Table_Tarikan_Warkah[Tanggal diserahkan kepada Validator]),"")</f>
        <v>45805.44481</v>
      </c>
      <c r="F2302" s="36" t="str">
        <f t="array" ref="F2302">IFNA(_xlfn.XLOOKUP(D2302,Table_Tarikan_Warkah[Nomor Tiket],Table_Tarikan_Warkah[Nama Petugas Warkah]),"")</f>
        <v>Berry</v>
      </c>
      <c r="G2302" s="39" t="str">
        <f t="array" ref="G2302">IFNA(_xlfn.XLOOKUP(D2302,Table_Tarikan_Warkah[Nomor Tiket],Table_Tarikan_Warkah[Jenis Permohonan]),"")</f>
        <v>BN Jual Beli</v>
      </c>
      <c r="H2302" s="41" t="s">
        <v>20</v>
      </c>
      <c r="I2302" s="49" t="s">
        <v>23</v>
      </c>
      <c r="J2302" s="36">
        <f t="shared" si="20"/>
        <v>45803.47547</v>
      </c>
      <c r="K2302" s="49" t="s">
        <v>2378</v>
      </c>
      <c r="L2302" s="49" t="s">
        <v>23</v>
      </c>
      <c r="M2302" s="36">
        <f t="shared" si="26"/>
        <v>45805.59789</v>
      </c>
      <c r="N2302" s="30" t="str">
        <f t="shared" si="27"/>
        <v>Selesai</v>
      </c>
      <c r="O2302" s="45">
        <f t="shared" si="23"/>
        <v>45805.59789</v>
      </c>
      <c r="P2302" s="47" t="b">
        <v>1</v>
      </c>
      <c r="Q2302" s="36">
        <f t="shared" si="24"/>
        <v>45805.59885</v>
      </c>
      <c r="R2302" s="47" t="b">
        <v>0</v>
      </c>
      <c r="S2302" s="42" t="str">
        <f t="shared" si="28"/>
        <v/>
      </c>
      <c r="T2302" s="42"/>
    </row>
    <row r="2303" ht="22.5" customHeight="1">
      <c r="B2303" s="42">
        <f t="shared" si="7"/>
        <v>2297</v>
      </c>
      <c r="C2303" s="31" t="s">
        <v>2397</v>
      </c>
      <c r="D2303" s="34" t="str">
        <f t="array" ref="D2303">IFNA(_xlfn.XLOOKUP(C2303,Table_Tarikan_Warkah[Nomor Sertipikat],Table_Tarikan_Warkah[Nomor Tiket]),"")</f>
        <v>K/4/240425/1</v>
      </c>
      <c r="E2303" s="36">
        <f t="array" ref="E2303">IFNA(_xlfn.XLOOKUP(D2303,Table_Tarikan_Warkah[Nomor Tiket],Table_Tarikan_Warkah[Tanggal diserahkan kepada Validator]),"")</f>
        <v>45805.44507</v>
      </c>
      <c r="F2303" s="36" t="str">
        <f t="array" ref="F2303">IFNA(_xlfn.XLOOKUP(D2303,Table_Tarikan_Warkah[Nomor Tiket],Table_Tarikan_Warkah[Nama Petugas Warkah]),"")</f>
        <v>Berry</v>
      </c>
      <c r="G2303" s="39" t="str">
        <f t="array" ref="G2303">IFNA(_xlfn.XLOOKUP(D2303,Table_Tarikan_Warkah[Nomor Tiket],Table_Tarikan_Warkah[Jenis Permohonan]),"")</f>
        <v>BN Jual Beli</v>
      </c>
      <c r="H2303" s="41" t="s">
        <v>20</v>
      </c>
      <c r="I2303" s="49" t="s">
        <v>23</v>
      </c>
      <c r="J2303" s="36">
        <f t="shared" si="20"/>
        <v>45803.47558</v>
      </c>
      <c r="K2303" s="49" t="s">
        <v>2378</v>
      </c>
      <c r="L2303" s="49" t="s">
        <v>23</v>
      </c>
      <c r="M2303" s="36">
        <f t="shared" si="26"/>
        <v>45805.59789</v>
      </c>
      <c r="N2303" s="30" t="str">
        <f t="shared" si="27"/>
        <v>Selesai</v>
      </c>
      <c r="O2303" s="45">
        <f t="shared" si="23"/>
        <v>45805.59789</v>
      </c>
      <c r="P2303" s="47" t="b">
        <v>1</v>
      </c>
      <c r="Q2303" s="36">
        <f t="shared" si="24"/>
        <v>45805.59885</v>
      </c>
      <c r="R2303" s="47" t="b">
        <v>0</v>
      </c>
      <c r="S2303" s="42" t="str">
        <f t="shared" si="28"/>
        <v/>
      </c>
      <c r="T2303" s="42"/>
    </row>
    <row r="2304" ht="22.5" customHeight="1">
      <c r="B2304" s="42">
        <f t="shared" si="7"/>
        <v>2298</v>
      </c>
      <c r="C2304" s="31" t="s">
        <v>2398</v>
      </c>
      <c r="D2304" s="34" t="str">
        <f t="array" ref="D2304">IFNA(_xlfn.XLOOKUP(C2304,Table_Tarikan_Warkah[Nomor Sertipikat],Table_Tarikan_Warkah[Nomor Tiket]),"")</f>
        <v>K/43/160525/1</v>
      </c>
      <c r="E2304" s="36">
        <f t="array" ref="E2304">IFNA(_xlfn.XLOOKUP(D2304,Table_Tarikan_Warkah[Nomor Tiket],Table_Tarikan_Warkah[Tanggal diserahkan kepada Validator]),"")</f>
        <v>45805.44545</v>
      </c>
      <c r="F2304" s="36" t="str">
        <f t="array" ref="F2304">IFNA(_xlfn.XLOOKUP(D2304,Table_Tarikan_Warkah[Nomor Tiket],Table_Tarikan_Warkah[Nama Petugas Warkah]),"")</f>
        <v>Berry</v>
      </c>
      <c r="G2304" s="39" t="str">
        <f t="array" ref="G2304">IFNA(_xlfn.XLOOKUP(D2304,Table_Tarikan_Warkah[Nomor Tiket],Table_Tarikan_Warkah[Jenis Permohonan]),"")</f>
        <v>BN Jual Beli</v>
      </c>
      <c r="H2304" s="41" t="s">
        <v>20</v>
      </c>
      <c r="I2304" s="49" t="s">
        <v>23</v>
      </c>
      <c r="J2304" s="36">
        <f t="shared" si="20"/>
        <v>45803.47577</v>
      </c>
      <c r="K2304" s="49" t="s">
        <v>2378</v>
      </c>
      <c r="L2304" s="49" t="s">
        <v>23</v>
      </c>
      <c r="M2304" s="36">
        <f t="shared" si="26"/>
        <v>45805.59789</v>
      </c>
      <c r="N2304" s="30" t="str">
        <f t="shared" si="27"/>
        <v>Selesai</v>
      </c>
      <c r="O2304" s="45">
        <f t="shared" si="23"/>
        <v>45805.59789</v>
      </c>
      <c r="P2304" s="47" t="b">
        <v>1</v>
      </c>
      <c r="Q2304" s="36">
        <f t="shared" si="24"/>
        <v>45805.59885</v>
      </c>
      <c r="R2304" s="47" t="b">
        <v>0</v>
      </c>
      <c r="S2304" s="42" t="str">
        <f t="shared" si="28"/>
        <v/>
      </c>
      <c r="T2304" s="42"/>
    </row>
    <row r="2305" ht="22.5" customHeight="1">
      <c r="B2305" s="42">
        <f t="shared" si="7"/>
        <v>2299</v>
      </c>
      <c r="C2305" s="31" t="s">
        <v>2399</v>
      </c>
      <c r="D2305" s="34" t="str">
        <f t="array" ref="D2305">IFNA(_xlfn.XLOOKUP(C2305,Table_Tarikan_Warkah[Nomor Sertipikat],Table_Tarikan_Warkah[Nomor Tiket]),"")</f>
        <v>K/30/160525/1</v>
      </c>
      <c r="E2305" s="36">
        <f t="array" ref="E2305">IFNA(_xlfn.XLOOKUP(D2305,Table_Tarikan_Warkah[Nomor Tiket],Table_Tarikan_Warkah[Tanggal diserahkan kepada Validator]),"")</f>
        <v>45805.44525</v>
      </c>
      <c r="F2305" s="36" t="str">
        <f t="array" ref="F2305">IFNA(_xlfn.XLOOKUP(D2305,Table_Tarikan_Warkah[Nomor Tiket],Table_Tarikan_Warkah[Nama Petugas Warkah]),"")</f>
        <v>Berry</v>
      </c>
      <c r="G2305" s="39" t="str">
        <f t="array" ref="G2305">IFNA(_xlfn.XLOOKUP(D2305,Table_Tarikan_Warkah[Nomor Tiket],Table_Tarikan_Warkah[Jenis Permohonan]),"")</f>
        <v>BN Jual Beli</v>
      </c>
      <c r="H2305" s="41" t="s">
        <v>20</v>
      </c>
      <c r="I2305" s="49" t="s">
        <v>23</v>
      </c>
      <c r="J2305" s="36">
        <f t="shared" si="20"/>
        <v>45803.47577</v>
      </c>
      <c r="K2305" s="49" t="s">
        <v>2378</v>
      </c>
      <c r="L2305" s="49" t="s">
        <v>23</v>
      </c>
      <c r="M2305" s="36">
        <f t="shared" si="26"/>
        <v>45805.59789</v>
      </c>
      <c r="N2305" s="30" t="str">
        <f t="shared" si="27"/>
        <v>Selesai</v>
      </c>
      <c r="O2305" s="45">
        <f t="shared" si="23"/>
        <v>45805.59789</v>
      </c>
      <c r="P2305" s="47" t="b">
        <v>1</v>
      </c>
      <c r="Q2305" s="36">
        <f t="shared" si="24"/>
        <v>45805.59885</v>
      </c>
      <c r="R2305" s="47" t="b">
        <v>0</v>
      </c>
      <c r="S2305" s="42" t="str">
        <f t="shared" si="28"/>
        <v/>
      </c>
      <c r="T2305" s="42"/>
    </row>
    <row r="2306" ht="22.5" customHeight="1">
      <c r="B2306" s="42">
        <f t="shared" si="7"/>
        <v>2300</v>
      </c>
      <c r="C2306" s="31" t="s">
        <v>2400</v>
      </c>
      <c r="D2306" s="34" t="str">
        <f t="array" ref="D2306">IFNA(_xlfn.XLOOKUP(C2306,Table_Tarikan_Warkah[Nomor Sertipikat],Table_Tarikan_Warkah[Nomor Tiket]),"")</f>
        <v>K/31/220425/1</v>
      </c>
      <c r="E2306" s="36">
        <f t="array" ref="E2306">IFNA(_xlfn.XLOOKUP(D2306,Table_Tarikan_Warkah[Nomor Tiket],Table_Tarikan_Warkah[Tanggal diserahkan kepada Validator]),"")</f>
        <v>45824.53468</v>
      </c>
      <c r="F2306" s="36" t="str">
        <f t="array" ref="F2306">IFNA(_xlfn.XLOOKUP(D2306,Table_Tarikan_Warkah[Nomor Tiket],Table_Tarikan_Warkah[Nama Petugas Warkah]),"")</f>
        <v>Berry</v>
      </c>
      <c r="G2306" s="39" t="str">
        <f t="array" ref="G2306">IFNA(_xlfn.XLOOKUP(D2306,Table_Tarikan_Warkah[Nomor Tiket],Table_Tarikan_Warkah[Jenis Permohonan]),"")</f>
        <v>BN PHB</v>
      </c>
      <c r="H2306" s="41" t="s">
        <v>20</v>
      </c>
      <c r="I2306" s="49" t="s">
        <v>23</v>
      </c>
      <c r="J2306" s="36">
        <f t="shared" si="20"/>
        <v>45803.47586</v>
      </c>
      <c r="K2306" s="49" t="s">
        <v>2378</v>
      </c>
      <c r="L2306" s="49" t="s">
        <v>23</v>
      </c>
      <c r="M2306" s="36">
        <f t="shared" si="26"/>
        <v>45805.59789</v>
      </c>
      <c r="N2306" s="30" t="str">
        <f t="shared" si="27"/>
        <v>Selesai</v>
      </c>
      <c r="O2306" s="45">
        <f t="shared" si="23"/>
        <v>45805.59789</v>
      </c>
      <c r="P2306" s="47" t="b">
        <v>1</v>
      </c>
      <c r="Q2306" s="36">
        <f t="shared" si="24"/>
        <v>45805.59885</v>
      </c>
      <c r="R2306" s="47" t="b">
        <v>0</v>
      </c>
      <c r="S2306" s="42" t="str">
        <f t="shared" si="28"/>
        <v/>
      </c>
      <c r="T2306" s="42"/>
    </row>
    <row r="2307" ht="22.5" customHeight="1">
      <c r="B2307" s="42">
        <f t="shared" si="7"/>
        <v>2301</v>
      </c>
      <c r="C2307" s="31" t="s">
        <v>2401</v>
      </c>
      <c r="D2307" s="34" t="str">
        <f t="array" ref="D2307">IFNA(_xlfn.XLOOKUP(C2307,Table_Tarikan_Warkah[Nomor Sertipikat],Table_Tarikan_Warkah[Nomor Tiket]),"")</f>
        <v>K/35/080525/1</v>
      </c>
      <c r="E2307" s="36" t="str">
        <f t="array" ref="E2307">IFNA(_xlfn.XLOOKUP(D2307,Table_Tarikan_Warkah[Nomor Tiket],Table_Tarikan_Warkah[Tanggal diserahkan kepada Validator]),"")</f>
        <v/>
      </c>
      <c r="F2307" s="36" t="str">
        <f t="array" ref="F2307">IFNA(_xlfn.XLOOKUP(D2307,Table_Tarikan_Warkah[Nomor Tiket],Table_Tarikan_Warkah[Nama Petugas Warkah]),"")</f>
        <v/>
      </c>
      <c r="G2307" s="39" t="str">
        <f t="array" ref="G2307">IFNA(_xlfn.XLOOKUP(D2307,Table_Tarikan_Warkah[Nomor Tiket],Table_Tarikan_Warkah[Jenis Permohonan]),"")</f>
        <v>BN Jual Beli</v>
      </c>
      <c r="H2307" s="41" t="s">
        <v>20</v>
      </c>
      <c r="I2307" s="49" t="s">
        <v>23</v>
      </c>
      <c r="J2307" s="36">
        <f t="shared" si="20"/>
        <v>45803.47595</v>
      </c>
      <c r="K2307" s="49" t="s">
        <v>2378</v>
      </c>
      <c r="L2307" s="49" t="s">
        <v>23</v>
      </c>
      <c r="M2307" s="36">
        <f t="shared" si="26"/>
        <v>45805.59789</v>
      </c>
      <c r="N2307" s="30" t="str">
        <f t="shared" si="27"/>
        <v>Selesai</v>
      </c>
      <c r="O2307" s="45">
        <f t="shared" si="23"/>
        <v>45805.59789</v>
      </c>
      <c r="P2307" s="47" t="b">
        <v>1</v>
      </c>
      <c r="Q2307" s="36">
        <f t="shared" si="24"/>
        <v>45805.59885</v>
      </c>
      <c r="R2307" s="47" t="b">
        <v>0</v>
      </c>
      <c r="S2307" s="42" t="str">
        <f t="shared" si="28"/>
        <v/>
      </c>
      <c r="T2307" s="42"/>
    </row>
    <row r="2308" ht="22.5" customHeight="1">
      <c r="B2308" s="42">
        <f t="shared" si="7"/>
        <v>2302</v>
      </c>
      <c r="C2308" s="31" t="s">
        <v>2402</v>
      </c>
      <c r="D2308" s="34" t="str">
        <f t="array" ref="D2308">IFNA(_xlfn.XLOOKUP(C2308,Table_Tarikan_Warkah[Nomor Sertipikat],Table_Tarikan_Warkah[Nomor Tiket]),"")</f>
        <v>L/13/150525/1</v>
      </c>
      <c r="E2308" s="36">
        <f t="array" ref="E2308">IFNA(_xlfn.XLOOKUP(D2308,Table_Tarikan_Warkah[Nomor Tiket],Table_Tarikan_Warkah[Tanggal diserahkan kepada Validator]),"")</f>
        <v>45827.67507</v>
      </c>
      <c r="F2308" s="36" t="str">
        <f t="array" ref="F2308">IFNA(_xlfn.XLOOKUP(D2308,Table_Tarikan_Warkah[Nomor Tiket],Table_Tarikan_Warkah[Nama Petugas Warkah]),"")</f>
        <v>Berry</v>
      </c>
      <c r="G2308" s="39" t="str">
        <f t="array" ref="G2308">IFNA(_xlfn.XLOOKUP(D2308,Table_Tarikan_Warkah[Nomor Tiket],Table_Tarikan_Warkah[Jenis Permohonan]),"")</f>
        <v>ROYA</v>
      </c>
      <c r="H2308" s="41" t="s">
        <v>20</v>
      </c>
      <c r="I2308" s="49" t="s">
        <v>23</v>
      </c>
      <c r="J2308" s="36">
        <f t="shared" si="20"/>
        <v>45803.47622</v>
      </c>
      <c r="K2308" s="49" t="s">
        <v>2378</v>
      </c>
      <c r="L2308" s="49" t="s">
        <v>23</v>
      </c>
      <c r="M2308" s="36">
        <f t="shared" si="26"/>
        <v>45805.59789</v>
      </c>
      <c r="N2308" s="30" t="str">
        <f t="shared" si="27"/>
        <v>Selesai</v>
      </c>
      <c r="O2308" s="45">
        <f t="shared" si="23"/>
        <v>45805.59789</v>
      </c>
      <c r="P2308" s="47" t="b">
        <v>1</v>
      </c>
      <c r="Q2308" s="36">
        <f t="shared" si="24"/>
        <v>45805.59885</v>
      </c>
      <c r="R2308" s="47" t="b">
        <v>0</v>
      </c>
      <c r="S2308" s="42" t="str">
        <f t="shared" si="28"/>
        <v/>
      </c>
      <c r="T2308" s="42"/>
    </row>
    <row r="2309" ht="22.5" customHeight="1">
      <c r="B2309" s="42">
        <f t="shared" si="7"/>
        <v>2303</v>
      </c>
      <c r="C2309" s="31" t="s">
        <v>2403</v>
      </c>
      <c r="D2309" s="34" t="str">
        <f t="array" ref="D2309">IFNA(_xlfn.XLOOKUP(C2309,Table_Tarikan_Warkah[Nomor Sertipikat],Table_Tarikan_Warkah[Nomor Tiket]),"")</f>
        <v>L/26/160525/1</v>
      </c>
      <c r="E2309" s="36">
        <f t="array" ref="E2309">IFNA(_xlfn.XLOOKUP(D2309,Table_Tarikan_Warkah[Nomor Tiket],Table_Tarikan_Warkah[Tanggal diserahkan kepada Validator]),"")</f>
        <v>45827.67539</v>
      </c>
      <c r="F2309" s="36" t="str">
        <f t="array" ref="F2309">IFNA(_xlfn.XLOOKUP(D2309,Table_Tarikan_Warkah[Nomor Tiket],Table_Tarikan_Warkah[Nama Petugas Warkah]),"")</f>
        <v>Berry</v>
      </c>
      <c r="G2309" s="39" t="str">
        <f t="array" ref="G2309">IFNA(_xlfn.XLOOKUP(D2309,Table_Tarikan_Warkah[Nomor Tiket],Table_Tarikan_Warkah[Jenis Permohonan]),"")</f>
        <v>ROYA WARIS</v>
      </c>
      <c r="H2309" s="41" t="s">
        <v>20</v>
      </c>
      <c r="I2309" s="49" t="s">
        <v>23</v>
      </c>
      <c r="J2309" s="36">
        <f t="shared" si="20"/>
        <v>45803.47632</v>
      </c>
      <c r="K2309" s="49" t="s">
        <v>2378</v>
      </c>
      <c r="L2309" s="49" t="s">
        <v>23</v>
      </c>
      <c r="M2309" s="36">
        <f t="shared" si="26"/>
        <v>45805.59789</v>
      </c>
      <c r="N2309" s="30" t="str">
        <f t="shared" si="27"/>
        <v>Selesai</v>
      </c>
      <c r="O2309" s="45">
        <f t="shared" si="23"/>
        <v>45805.59789</v>
      </c>
      <c r="P2309" s="47" t="b">
        <v>1</v>
      </c>
      <c r="Q2309" s="36">
        <f t="shared" si="24"/>
        <v>45805.59885</v>
      </c>
      <c r="R2309" s="47" t="b">
        <v>0</v>
      </c>
      <c r="S2309" s="42" t="str">
        <f t="shared" si="28"/>
        <v/>
      </c>
      <c r="T2309" s="42"/>
    </row>
    <row r="2310" ht="22.5" customHeight="1">
      <c r="B2310" s="42">
        <f t="shared" si="7"/>
        <v>2304</v>
      </c>
      <c r="C2310" s="31" t="s">
        <v>2404</v>
      </c>
      <c r="D2310" s="34" t="str">
        <f t="array" ref="D2310">IFNA(_xlfn.XLOOKUP(C2310,Table_Tarikan_Warkah[Nomor Sertipikat],Table_Tarikan_Warkah[Nomor Tiket]),"")</f>
        <v>K/13/210525/1</v>
      </c>
      <c r="E2310" s="36">
        <f t="array" ref="E2310">IFNA(_xlfn.XLOOKUP(D2310,Table_Tarikan_Warkah[Nomor Tiket],Table_Tarikan_Warkah[Tanggal diserahkan kepada Validator]),"")</f>
        <v>45812.59575</v>
      </c>
      <c r="F2310" s="36" t="str">
        <f t="array" ref="F2310">IFNA(_xlfn.XLOOKUP(D2310,Table_Tarikan_Warkah[Nomor Tiket],Table_Tarikan_Warkah[Nama Petugas Warkah]),"")</f>
        <v>Berry</v>
      </c>
      <c r="G2310" s="39" t="str">
        <f t="array" ref="G2310">IFNA(_xlfn.XLOOKUP(D2310,Table_Tarikan_Warkah[Nomor Tiket],Table_Tarikan_Warkah[Jenis Permohonan]),"")</f>
        <v>BN LELANG</v>
      </c>
      <c r="H2310" s="41" t="s">
        <v>20</v>
      </c>
      <c r="I2310" s="49" t="s">
        <v>23</v>
      </c>
      <c r="J2310" s="36">
        <f t="shared" si="20"/>
        <v>45803.47643</v>
      </c>
      <c r="K2310" s="49" t="s">
        <v>2378</v>
      </c>
      <c r="L2310" s="49" t="s">
        <v>23</v>
      </c>
      <c r="M2310" s="36">
        <f t="shared" si="26"/>
        <v>45805.59789</v>
      </c>
      <c r="N2310" s="30" t="str">
        <f t="shared" si="27"/>
        <v>Selesai</v>
      </c>
      <c r="O2310" s="45">
        <f t="shared" si="23"/>
        <v>45805.59789</v>
      </c>
      <c r="P2310" s="47" t="b">
        <v>1</v>
      </c>
      <c r="Q2310" s="36">
        <f t="shared" si="24"/>
        <v>45805.59885</v>
      </c>
      <c r="R2310" s="47" t="b">
        <v>0</v>
      </c>
      <c r="S2310" s="42" t="str">
        <f t="shared" si="28"/>
        <v/>
      </c>
      <c r="T2310" s="42"/>
    </row>
    <row r="2311" ht="22.5" customHeight="1">
      <c r="B2311" s="42">
        <f t="shared" si="7"/>
        <v>2305</v>
      </c>
      <c r="C2311" s="31" t="s">
        <v>2405</v>
      </c>
      <c r="D2311" s="34" t="str">
        <f t="array" ref="D2311">IFNA(_xlfn.XLOOKUP(C2311,Table_Tarikan_Warkah[Nomor Sertipikat],Table_Tarikan_Warkah[Nomor Tiket]),"")</f>
        <v>K/27/200525/1</v>
      </c>
      <c r="E2311" s="36">
        <f t="array" ref="E2311">IFNA(_xlfn.XLOOKUP(D2311,Table_Tarikan_Warkah[Nomor Tiket],Table_Tarikan_Warkah[Tanggal diserahkan kepada Validator]),"")</f>
        <v>45812.59595</v>
      </c>
      <c r="F2311" s="36" t="str">
        <f t="array" ref="F2311">IFNA(_xlfn.XLOOKUP(D2311,Table_Tarikan_Warkah[Nomor Tiket],Table_Tarikan_Warkah[Nama Petugas Warkah]),"")</f>
        <v>Berry</v>
      </c>
      <c r="G2311" s="39" t="str">
        <f t="array" ref="G2311">IFNA(_xlfn.XLOOKUP(D2311,Table_Tarikan_Warkah[Nomor Tiket],Table_Tarikan_Warkah[Jenis Permohonan]),"")</f>
        <v>BN JUAL BELI</v>
      </c>
      <c r="H2311" s="41" t="s">
        <v>20</v>
      </c>
      <c r="I2311" s="49" t="s">
        <v>23</v>
      </c>
      <c r="J2311" s="36">
        <f t="shared" si="20"/>
        <v>45803.47653</v>
      </c>
      <c r="K2311" s="49" t="s">
        <v>2378</v>
      </c>
      <c r="L2311" s="49" t="s">
        <v>23</v>
      </c>
      <c r="M2311" s="36">
        <f t="shared" si="26"/>
        <v>45805.59789</v>
      </c>
      <c r="N2311" s="30" t="str">
        <f t="shared" si="27"/>
        <v>Selesai</v>
      </c>
      <c r="O2311" s="45">
        <f t="shared" si="23"/>
        <v>45805.59789</v>
      </c>
      <c r="P2311" s="47" t="b">
        <v>1</v>
      </c>
      <c r="Q2311" s="36">
        <f t="shared" si="24"/>
        <v>45805.59885</v>
      </c>
      <c r="R2311" s="47" t="b">
        <v>0</v>
      </c>
      <c r="S2311" s="42" t="str">
        <f t="shared" si="28"/>
        <v/>
      </c>
      <c r="T2311" s="42"/>
    </row>
    <row r="2312" ht="22.5" customHeight="1">
      <c r="B2312" s="42">
        <f t="shared" si="7"/>
        <v>2306</v>
      </c>
      <c r="C2312" s="31" t="s">
        <v>2406</v>
      </c>
      <c r="D2312" s="34" t="str">
        <f t="array" ref="D2312">IFNA(_xlfn.XLOOKUP(C2312,Table_Tarikan_Warkah[Nomor Sertipikat],Table_Tarikan_Warkah[Nomor Tiket]),"")</f>
        <v>K/6/090525/1</v>
      </c>
      <c r="E2312" s="36">
        <f t="array" ref="E2312">IFNA(_xlfn.XLOOKUP(D2312,Table_Tarikan_Warkah[Nomor Tiket],Table_Tarikan_Warkah[Tanggal diserahkan kepada Validator]),"")</f>
        <v>45805.44434</v>
      </c>
      <c r="F2312" s="36" t="str">
        <f t="array" ref="F2312">IFNA(_xlfn.XLOOKUP(D2312,Table_Tarikan_Warkah[Nomor Tiket],Table_Tarikan_Warkah[Nama Petugas Warkah]),"")</f>
        <v>Berry</v>
      </c>
      <c r="G2312" s="39" t="str">
        <f t="array" ref="G2312">IFNA(_xlfn.XLOOKUP(D2312,Table_Tarikan_Warkah[Nomor Tiket],Table_Tarikan_Warkah[Jenis Permohonan]),"")</f>
        <v>BN JUAL BELI</v>
      </c>
      <c r="H2312" s="41" t="s">
        <v>20</v>
      </c>
      <c r="I2312" s="49" t="s">
        <v>23</v>
      </c>
      <c r="J2312" s="36">
        <f t="shared" si="20"/>
        <v>45803.47662</v>
      </c>
      <c r="K2312" s="49" t="s">
        <v>2378</v>
      </c>
      <c r="L2312" s="49" t="s">
        <v>23</v>
      </c>
      <c r="M2312" s="36">
        <f t="shared" si="26"/>
        <v>45805.59789</v>
      </c>
      <c r="N2312" s="30" t="str">
        <f t="shared" si="27"/>
        <v>Selesai</v>
      </c>
      <c r="O2312" s="45">
        <f t="shared" si="23"/>
        <v>45805.59789</v>
      </c>
      <c r="P2312" s="47" t="b">
        <v>1</v>
      </c>
      <c r="Q2312" s="36">
        <f t="shared" si="24"/>
        <v>45805.59885</v>
      </c>
      <c r="R2312" s="47" t="b">
        <v>0</v>
      </c>
      <c r="S2312" s="42" t="str">
        <f t="shared" si="28"/>
        <v/>
      </c>
      <c r="T2312" s="42"/>
    </row>
    <row r="2313" ht="22.5" customHeight="1">
      <c r="B2313" s="42">
        <f t="shared" si="7"/>
        <v>2307</v>
      </c>
      <c r="C2313" s="31" t="s">
        <v>2396</v>
      </c>
      <c r="D2313" s="34" t="str">
        <f t="array" ref="D2313">IFNA(_xlfn.XLOOKUP(C2313,Table_Tarikan_Warkah[Nomor Sertipikat],Table_Tarikan_Warkah[Nomor Tiket]),"")</f>
        <v>K/33/160425/2</v>
      </c>
      <c r="E2313" s="36">
        <f t="array" ref="E2313">IFNA(_xlfn.XLOOKUP(D2313,Table_Tarikan_Warkah[Nomor Tiket],Table_Tarikan_Warkah[Tanggal diserahkan kepada Validator]),"")</f>
        <v>45805.44481</v>
      </c>
      <c r="F2313" s="36" t="str">
        <f t="array" ref="F2313">IFNA(_xlfn.XLOOKUP(D2313,Table_Tarikan_Warkah[Nomor Tiket],Table_Tarikan_Warkah[Nama Petugas Warkah]),"")</f>
        <v>Berry</v>
      </c>
      <c r="G2313" s="39" t="str">
        <f t="array" ref="G2313">IFNA(_xlfn.XLOOKUP(D2313,Table_Tarikan_Warkah[Nomor Tiket],Table_Tarikan_Warkah[Jenis Permohonan]),"")</f>
        <v>BN Jual Beli</v>
      </c>
      <c r="H2313" s="70"/>
      <c r="I2313" s="49"/>
      <c r="J2313" s="36" t="str">
        <f t="shared" si="20"/>
        <v/>
      </c>
      <c r="K2313" s="49" t="s">
        <v>2378</v>
      </c>
      <c r="L2313" s="49" t="s">
        <v>23</v>
      </c>
      <c r="M2313" s="36">
        <f t="shared" si="26"/>
        <v>45805.59789</v>
      </c>
      <c r="N2313" s="30" t="str">
        <f t="shared" si="27"/>
        <v>BT atau SU Belum Valid</v>
      </c>
      <c r="O2313" s="39" t="str">
        <f t="shared" si="23"/>
        <v/>
      </c>
      <c r="P2313" s="47" t="b">
        <v>1</v>
      </c>
      <c r="Q2313" s="36">
        <f t="shared" si="24"/>
        <v>45805.59885</v>
      </c>
      <c r="R2313" s="47" t="b">
        <v>0</v>
      </c>
      <c r="S2313" s="42" t="str">
        <f t="shared" si="28"/>
        <v/>
      </c>
      <c r="T2313" s="42"/>
    </row>
    <row r="2314" ht="22.5" customHeight="1">
      <c r="B2314" s="42">
        <f t="shared" si="7"/>
        <v>2308</v>
      </c>
      <c r="C2314" s="31" t="s">
        <v>2407</v>
      </c>
      <c r="D2314" s="34" t="str">
        <f t="array" ref="D2314">IFNA(_xlfn.XLOOKUP(C2314,Table_Tarikan_Warkah[Nomor Sertipikat],Table_Tarikan_Warkah[Nomor Tiket]),"")</f>
        <v>L/12/200525/1</v>
      </c>
      <c r="E2314" s="36">
        <f t="array" ref="E2314">IFNA(_xlfn.XLOOKUP(D2314,Table_Tarikan_Warkah[Nomor Tiket],Table_Tarikan_Warkah[Tanggal diserahkan kepada Validator]),"")</f>
        <v>45824.63336</v>
      </c>
      <c r="F2314" s="36" t="str">
        <f t="array" ref="F2314">IFNA(_xlfn.XLOOKUP(D2314,Table_Tarikan_Warkah[Nomor Tiket],Table_Tarikan_Warkah[Nama Petugas Warkah]),"")</f>
        <v>David</v>
      </c>
      <c r="G2314" s="39" t="str">
        <f t="array" ref="G2314">IFNA(_xlfn.XLOOKUP(D2314,Table_Tarikan_Warkah[Nomor Tiket],Table_Tarikan_Warkah[Jenis Permohonan]),"")</f>
        <v>ROYA</v>
      </c>
      <c r="H2314" s="41" t="s">
        <v>2315</v>
      </c>
      <c r="I2314" s="49" t="s">
        <v>23</v>
      </c>
      <c r="J2314" s="36">
        <f t="shared" si="20"/>
        <v>45803.69751</v>
      </c>
      <c r="K2314" s="49" t="s">
        <v>2378</v>
      </c>
      <c r="L2314" s="49" t="s">
        <v>23</v>
      </c>
      <c r="M2314" s="36">
        <f t="shared" si="26"/>
        <v>45805.59789</v>
      </c>
      <c r="N2314" s="30" t="str">
        <f t="shared" si="27"/>
        <v>Selesai</v>
      </c>
      <c r="O2314" s="45">
        <f t="shared" si="23"/>
        <v>45805.59789</v>
      </c>
      <c r="P2314" s="47" t="b">
        <v>1</v>
      </c>
      <c r="Q2314" s="36">
        <f t="shared" si="24"/>
        <v>45805.59885</v>
      </c>
      <c r="R2314" s="47" t="b">
        <v>0</v>
      </c>
      <c r="S2314" s="42" t="str">
        <f t="shared" si="28"/>
        <v/>
      </c>
      <c r="T2314" s="42"/>
    </row>
    <row r="2315" ht="22.5" customHeight="1">
      <c r="B2315" s="42">
        <f t="shared" si="7"/>
        <v>2309</v>
      </c>
      <c r="C2315" s="31" t="s">
        <v>2408</v>
      </c>
      <c r="D2315" s="34" t="str">
        <f t="array" ref="D2315">IFNA(_xlfn.XLOOKUP(C2315,Table_Tarikan_Warkah[Nomor Sertipikat],Table_Tarikan_Warkah[Nomor Tiket]),"")</f>
        <v>K/37/080525/1</v>
      </c>
      <c r="E2315" s="36">
        <f t="array" ref="E2315">IFNA(_xlfn.XLOOKUP(D2315,Table_Tarikan_Warkah[Nomor Tiket],Table_Tarikan_Warkah[Tanggal diserahkan kepada Validator]),"")</f>
        <v>45805.68426</v>
      </c>
      <c r="F2315" s="36" t="str">
        <f t="array" ref="F2315">IFNA(_xlfn.XLOOKUP(D2315,Table_Tarikan_Warkah[Nomor Tiket],Table_Tarikan_Warkah[Nama Petugas Warkah]),"")</f>
        <v>Berry</v>
      </c>
      <c r="G2315" s="39" t="str">
        <f t="array" ref="G2315">IFNA(_xlfn.XLOOKUP(D2315,Table_Tarikan_Warkah[Nomor Tiket],Table_Tarikan_Warkah[Jenis Permohonan]),"")</f>
        <v>JUAL BELI</v>
      </c>
      <c r="H2315" s="41" t="s">
        <v>2315</v>
      </c>
      <c r="I2315" s="49" t="s">
        <v>23</v>
      </c>
      <c r="J2315" s="36">
        <f t="shared" si="20"/>
        <v>45803.70957</v>
      </c>
      <c r="K2315" s="49" t="s">
        <v>2378</v>
      </c>
      <c r="L2315" s="49" t="s">
        <v>23</v>
      </c>
      <c r="M2315" s="36">
        <f t="shared" si="26"/>
        <v>45805.59789</v>
      </c>
      <c r="N2315" s="30" t="str">
        <f t="shared" si="27"/>
        <v>Selesai</v>
      </c>
      <c r="O2315" s="45">
        <f t="shared" si="23"/>
        <v>45805.59789</v>
      </c>
      <c r="P2315" s="47" t="b">
        <v>1</v>
      </c>
      <c r="Q2315" s="36">
        <f t="shared" si="24"/>
        <v>45805.59885</v>
      </c>
      <c r="R2315" s="47" t="b">
        <v>0</v>
      </c>
      <c r="S2315" s="42" t="str">
        <f t="shared" si="28"/>
        <v/>
      </c>
      <c r="T2315" s="42"/>
    </row>
    <row r="2316" ht="22.5" customHeight="1">
      <c r="B2316" s="42">
        <f t="shared" si="7"/>
        <v>2310</v>
      </c>
      <c r="C2316" s="31" t="s">
        <v>2409</v>
      </c>
      <c r="D2316" s="34" t="str">
        <f t="array" ref="D2316">IFNA(_xlfn.XLOOKUP(C2316,Table_Tarikan_Warkah[Nomor Sertipikat],Table_Tarikan_Warkah[Nomor Tiket]),"")</f>
        <v>K/3/050525/2</v>
      </c>
      <c r="E2316" s="36">
        <f t="array" ref="E2316">IFNA(_xlfn.XLOOKUP(D2316,Table_Tarikan_Warkah[Nomor Tiket],Table_Tarikan_Warkah[Tanggal diserahkan kepada Validator]),"")</f>
        <v>45846.66026</v>
      </c>
      <c r="F2316" s="36" t="str">
        <f t="array" ref="F2316">IFNA(_xlfn.XLOOKUP(D2316,Table_Tarikan_Warkah[Nomor Tiket],Table_Tarikan_Warkah[Nama Petugas Warkah]),"")</f>
        <v>David</v>
      </c>
      <c r="G2316" s="39" t="str">
        <f t="array" ref="G2316">IFNA(_xlfn.XLOOKUP(D2316,Table_Tarikan_Warkah[Nomor Tiket],Table_Tarikan_Warkah[Jenis Permohonan]),"")</f>
        <v>CASSIE</v>
      </c>
      <c r="H2316" s="41" t="s">
        <v>2315</v>
      </c>
      <c r="I2316" s="49" t="s">
        <v>23</v>
      </c>
      <c r="J2316" s="36">
        <f t="shared" si="20"/>
        <v>45804.4366</v>
      </c>
      <c r="K2316" s="49" t="s">
        <v>2378</v>
      </c>
      <c r="L2316" s="49" t="s">
        <v>23</v>
      </c>
      <c r="M2316" s="36">
        <f t="shared" si="26"/>
        <v>45805.59789</v>
      </c>
      <c r="N2316" s="30" t="str">
        <f t="shared" si="27"/>
        <v>Selesai</v>
      </c>
      <c r="O2316" s="45">
        <f t="shared" si="23"/>
        <v>45805.59789</v>
      </c>
      <c r="P2316" s="47" t="b">
        <v>1</v>
      </c>
      <c r="Q2316" s="36">
        <f t="shared" si="24"/>
        <v>45805.59885</v>
      </c>
      <c r="R2316" s="47" t="b">
        <v>0</v>
      </c>
      <c r="S2316" s="42" t="str">
        <f t="shared" si="28"/>
        <v/>
      </c>
      <c r="T2316" s="42"/>
    </row>
    <row r="2317" ht="22.5" customHeight="1">
      <c r="B2317" s="42">
        <f t="shared" si="7"/>
        <v>2311</v>
      </c>
      <c r="C2317" s="31" t="s">
        <v>2410</v>
      </c>
      <c r="D2317" s="34" t="str">
        <f t="array" ref="D2317">IFNA(_xlfn.XLOOKUP(C2317,Table_Tarikan_Warkah[Nomor Sertipikat],Table_Tarikan_Warkah[Nomor Tiket]),"")</f>
        <v>K/9/080525/3</v>
      </c>
      <c r="E2317" s="36">
        <f t="array" ref="E2317">IFNA(_xlfn.XLOOKUP(D2317,Table_Tarikan_Warkah[Nomor Tiket],Table_Tarikan_Warkah[Tanggal diserahkan kepada Validator]),"")</f>
        <v>45819.36691</v>
      </c>
      <c r="F2317" s="36" t="str">
        <f t="array" ref="F2317">IFNA(_xlfn.XLOOKUP(D2317,Table_Tarikan_Warkah[Nomor Tiket],Table_Tarikan_Warkah[Nama Petugas Warkah]),"")</f>
        <v>David</v>
      </c>
      <c r="G2317" s="39" t="str">
        <f t="array" ref="G2317">IFNA(_xlfn.XLOOKUP(D2317,Table_Tarikan_Warkah[Nomor Tiket],Table_Tarikan_Warkah[Jenis Permohonan]),"")</f>
        <v>ROYA</v>
      </c>
      <c r="H2317" s="41" t="s">
        <v>2315</v>
      </c>
      <c r="I2317" s="49" t="s">
        <v>23</v>
      </c>
      <c r="J2317" s="36">
        <f t="shared" si="20"/>
        <v>45804.43676</v>
      </c>
      <c r="K2317" s="49" t="s">
        <v>2378</v>
      </c>
      <c r="L2317" s="49" t="s">
        <v>23</v>
      </c>
      <c r="M2317" s="36">
        <f t="shared" si="26"/>
        <v>45805.59789</v>
      </c>
      <c r="N2317" s="30" t="str">
        <f t="shared" si="27"/>
        <v>Selesai</v>
      </c>
      <c r="O2317" s="45">
        <f t="shared" si="23"/>
        <v>45805.59789</v>
      </c>
      <c r="P2317" s="47" t="b">
        <v>1</v>
      </c>
      <c r="Q2317" s="36">
        <f t="shared" si="24"/>
        <v>45805.59885</v>
      </c>
      <c r="R2317" s="47" t="b">
        <v>0</v>
      </c>
      <c r="S2317" s="42" t="str">
        <f t="shared" si="28"/>
        <v/>
      </c>
      <c r="T2317" s="42"/>
    </row>
    <row r="2318" ht="22.5" customHeight="1">
      <c r="B2318" s="42">
        <f t="shared" si="7"/>
        <v>2312</v>
      </c>
      <c r="C2318" s="31" t="s">
        <v>2411</v>
      </c>
      <c r="D2318" s="34" t="str">
        <f t="array" ref="D2318">IFNA(_xlfn.XLOOKUP(C2318,Table_Tarikan_Warkah[Nomor Sertipikat],Table_Tarikan_Warkah[Nomor Tiket]),"")</f>
        <v>K/25/280425/2</v>
      </c>
      <c r="E2318" s="36">
        <f t="array" ref="E2318">IFNA(_xlfn.XLOOKUP(D2318,Table_Tarikan_Warkah[Nomor Tiket],Table_Tarikan_Warkah[Tanggal diserahkan kepada Validator]),"")</f>
        <v>45805.68407</v>
      </c>
      <c r="F2318" s="36" t="str">
        <f t="array" ref="F2318">IFNA(_xlfn.XLOOKUP(D2318,Table_Tarikan_Warkah[Nomor Tiket],Table_Tarikan_Warkah[Nama Petugas Warkah]),"")</f>
        <v>Berry</v>
      </c>
      <c r="G2318" s="39" t="str">
        <f t="array" ref="G2318">IFNA(_xlfn.XLOOKUP(D2318,Table_Tarikan_Warkah[Nomor Tiket],Table_Tarikan_Warkah[Jenis Permohonan]),"")</f>
        <v>HIBAH</v>
      </c>
      <c r="H2318" s="41" t="s">
        <v>2315</v>
      </c>
      <c r="I2318" s="49" t="s">
        <v>23</v>
      </c>
      <c r="J2318" s="36">
        <f t="shared" si="20"/>
        <v>45804.43695</v>
      </c>
      <c r="K2318" s="49" t="s">
        <v>2378</v>
      </c>
      <c r="L2318" s="49" t="s">
        <v>23</v>
      </c>
      <c r="M2318" s="36">
        <f t="shared" si="26"/>
        <v>45805.59789</v>
      </c>
      <c r="N2318" s="30" t="str">
        <f t="shared" si="27"/>
        <v>Selesai</v>
      </c>
      <c r="O2318" s="45">
        <f t="shared" si="23"/>
        <v>45805.59789</v>
      </c>
      <c r="P2318" s="47" t="b">
        <v>1</v>
      </c>
      <c r="Q2318" s="36">
        <f t="shared" si="24"/>
        <v>45805.59885</v>
      </c>
      <c r="R2318" s="47" t="b">
        <v>0</v>
      </c>
      <c r="S2318" s="42" t="str">
        <f t="shared" si="28"/>
        <v/>
      </c>
      <c r="T2318" s="42"/>
    </row>
    <row r="2319" ht="22.5" customHeight="1">
      <c r="B2319" s="42">
        <f t="shared" si="7"/>
        <v>2313</v>
      </c>
      <c r="C2319" s="31" t="s">
        <v>2412</v>
      </c>
      <c r="D2319" s="34" t="str">
        <f t="array" ref="D2319">IFNA(_xlfn.XLOOKUP(C2319,Table_Tarikan_Warkah[Nomor Sertipikat],Table_Tarikan_Warkah[Nomor Tiket]),"")</f>
        <v>K/22/140525/1</v>
      </c>
      <c r="E2319" s="36">
        <f t="array" ref="E2319">IFNA(_xlfn.XLOOKUP(D2319,Table_Tarikan_Warkah[Nomor Tiket],Table_Tarikan_Warkah[Tanggal diserahkan kepada Validator]),"")</f>
        <v>45805.68381</v>
      </c>
      <c r="F2319" s="36" t="str">
        <f t="array" ref="F2319">IFNA(_xlfn.XLOOKUP(D2319,Table_Tarikan_Warkah[Nomor Tiket],Table_Tarikan_Warkah[Nama Petugas Warkah]),"")</f>
        <v>Berry</v>
      </c>
      <c r="G2319" s="39" t="str">
        <f t="array" ref="G2319">IFNA(_xlfn.XLOOKUP(D2319,Table_Tarikan_Warkah[Nomor Tiket],Table_Tarikan_Warkah[Jenis Permohonan]),"")</f>
        <v>JUAL BELI</v>
      </c>
      <c r="H2319" s="41" t="s">
        <v>2315</v>
      </c>
      <c r="I2319" s="49" t="s">
        <v>23</v>
      </c>
      <c r="J2319" s="36">
        <f t="shared" si="20"/>
        <v>45804.43719</v>
      </c>
      <c r="K2319" s="49" t="s">
        <v>2378</v>
      </c>
      <c r="L2319" s="49" t="s">
        <v>23</v>
      </c>
      <c r="M2319" s="36">
        <f t="shared" si="26"/>
        <v>45805.59789</v>
      </c>
      <c r="N2319" s="30" t="str">
        <f t="shared" si="27"/>
        <v>Selesai</v>
      </c>
      <c r="O2319" s="45">
        <f t="shared" si="23"/>
        <v>45805.59789</v>
      </c>
      <c r="P2319" s="47" t="b">
        <v>1</v>
      </c>
      <c r="Q2319" s="36">
        <f t="shared" si="24"/>
        <v>45805.59885</v>
      </c>
      <c r="R2319" s="47" t="b">
        <v>0</v>
      </c>
      <c r="S2319" s="42" t="str">
        <f t="shared" si="28"/>
        <v/>
      </c>
      <c r="T2319" s="42"/>
    </row>
    <row r="2320" ht="22.5" customHeight="1">
      <c r="B2320" s="42">
        <f t="shared" si="7"/>
        <v>2314</v>
      </c>
      <c r="C2320" s="31" t="s">
        <v>2413</v>
      </c>
      <c r="D2320" s="34" t="str">
        <f t="array" ref="D2320">IFNA(_xlfn.XLOOKUP(C2320,Table_Tarikan_Warkah[Nomor Sertipikat],Table_Tarikan_Warkah[Nomor Tiket]),"")</f>
        <v>K/7/150525/1</v>
      </c>
      <c r="E2320" s="36">
        <f t="array" ref="E2320">IFNA(_xlfn.XLOOKUP(D2320,Table_Tarikan_Warkah[Nomor Tiket],Table_Tarikan_Warkah[Tanggal diserahkan kepada Validator]),"")</f>
        <v>45805.68371</v>
      </c>
      <c r="F2320" s="36" t="str">
        <f t="array" ref="F2320">IFNA(_xlfn.XLOOKUP(D2320,Table_Tarikan_Warkah[Nomor Tiket],Table_Tarikan_Warkah[Nama Petugas Warkah]),"")</f>
        <v>Berry</v>
      </c>
      <c r="G2320" s="39" t="str">
        <f t="array" ref="G2320">IFNA(_xlfn.XLOOKUP(D2320,Table_Tarikan_Warkah[Nomor Tiket],Table_Tarikan_Warkah[Jenis Permohonan]),"")</f>
        <v>JUAL BELI</v>
      </c>
      <c r="H2320" s="41" t="s">
        <v>2315</v>
      </c>
      <c r="I2320" s="49" t="s">
        <v>23</v>
      </c>
      <c r="J2320" s="36">
        <f t="shared" si="20"/>
        <v>45804.43735</v>
      </c>
      <c r="K2320" s="49" t="s">
        <v>2378</v>
      </c>
      <c r="L2320" s="49" t="s">
        <v>23</v>
      </c>
      <c r="M2320" s="36">
        <f t="shared" si="26"/>
        <v>45805.59789</v>
      </c>
      <c r="N2320" s="30" t="str">
        <f t="shared" si="27"/>
        <v>Selesai</v>
      </c>
      <c r="O2320" s="45">
        <f t="shared" si="23"/>
        <v>45805.59789</v>
      </c>
      <c r="P2320" s="47" t="b">
        <v>1</v>
      </c>
      <c r="Q2320" s="36">
        <f t="shared" si="24"/>
        <v>45805.59885</v>
      </c>
      <c r="R2320" s="47" t="b">
        <v>0</v>
      </c>
      <c r="S2320" s="42" t="str">
        <f t="shared" si="28"/>
        <v/>
      </c>
      <c r="T2320" s="42"/>
    </row>
    <row r="2321" ht="22.5" customHeight="1">
      <c r="B2321" s="42">
        <f t="shared" si="7"/>
        <v>2315</v>
      </c>
      <c r="C2321" s="31" t="s">
        <v>2414</v>
      </c>
      <c r="D2321" s="34" t="str">
        <f t="array" ref="D2321">IFNA(_xlfn.XLOOKUP(C2321,Table_Tarikan_Warkah[Nomor Sertipikat],Table_Tarikan_Warkah[Nomor Tiket]),"")</f>
        <v>K/38/150525/1</v>
      </c>
      <c r="E2321" s="36">
        <f t="array" ref="E2321">IFNA(_xlfn.XLOOKUP(D2321,Table_Tarikan_Warkah[Nomor Tiket],Table_Tarikan_Warkah[Tanggal diserahkan kepada Validator]),"")</f>
        <v>45805.68443</v>
      </c>
      <c r="F2321" s="36" t="str">
        <f t="array" ref="F2321">IFNA(_xlfn.XLOOKUP(D2321,Table_Tarikan_Warkah[Nomor Tiket],Table_Tarikan_Warkah[Nama Petugas Warkah]),"")</f>
        <v>Berry</v>
      </c>
      <c r="G2321" s="39" t="str">
        <f t="array" ref="G2321">IFNA(_xlfn.XLOOKUP(D2321,Table_Tarikan_Warkah[Nomor Tiket],Table_Tarikan_Warkah[Jenis Permohonan]),"")</f>
        <v>JUAL BELI</v>
      </c>
      <c r="H2321" s="41" t="s">
        <v>2315</v>
      </c>
      <c r="I2321" s="49" t="s">
        <v>23</v>
      </c>
      <c r="J2321" s="36">
        <f t="shared" si="20"/>
        <v>45804.43762</v>
      </c>
      <c r="K2321" s="49" t="s">
        <v>2378</v>
      </c>
      <c r="L2321" s="49" t="s">
        <v>23</v>
      </c>
      <c r="M2321" s="36">
        <f t="shared" si="26"/>
        <v>45805.59789</v>
      </c>
      <c r="N2321" s="30" t="str">
        <f t="shared" si="27"/>
        <v>Selesai</v>
      </c>
      <c r="O2321" s="45">
        <f t="shared" si="23"/>
        <v>45805.59789</v>
      </c>
      <c r="P2321" s="47" t="b">
        <v>1</v>
      </c>
      <c r="Q2321" s="36">
        <f t="shared" si="24"/>
        <v>45805.59885</v>
      </c>
      <c r="R2321" s="47" t="b">
        <v>0</v>
      </c>
      <c r="S2321" s="42" t="str">
        <f t="shared" si="28"/>
        <v/>
      </c>
      <c r="T2321" s="42"/>
    </row>
    <row r="2322" ht="22.5" customHeight="1">
      <c r="B2322" s="42">
        <f t="shared" si="7"/>
        <v>2316</v>
      </c>
      <c r="C2322" s="31" t="s">
        <v>2415</v>
      </c>
      <c r="D2322" s="34" t="str">
        <f t="array" ref="D2322">IFNA(_xlfn.XLOOKUP(C2322,Table_Tarikan_Warkah[Nomor Sertipikat],Table_Tarikan_Warkah[Nomor Tiket]),"")</f>
        <v>K/27/160525/1</v>
      </c>
      <c r="E2322" s="36">
        <f t="array" ref="E2322">IFNA(_xlfn.XLOOKUP(D2322,Table_Tarikan_Warkah[Nomor Tiket],Table_Tarikan_Warkah[Tanggal diserahkan kepada Validator]),"")</f>
        <v>45805.68352</v>
      </c>
      <c r="F2322" s="36" t="str">
        <f t="array" ref="F2322">IFNA(_xlfn.XLOOKUP(D2322,Table_Tarikan_Warkah[Nomor Tiket],Table_Tarikan_Warkah[Nama Petugas Warkah]),"")</f>
        <v>Berry</v>
      </c>
      <c r="G2322" s="39" t="str">
        <f t="array" ref="G2322">IFNA(_xlfn.XLOOKUP(D2322,Table_Tarikan_Warkah[Nomor Tiket],Table_Tarikan_Warkah[Jenis Permohonan]),"")</f>
        <v>JUAL BELI</v>
      </c>
      <c r="H2322" s="41" t="s">
        <v>2315</v>
      </c>
      <c r="I2322" s="49" t="s">
        <v>23</v>
      </c>
      <c r="J2322" s="36">
        <f t="shared" si="20"/>
        <v>45804.43781</v>
      </c>
      <c r="K2322" s="49" t="s">
        <v>2378</v>
      </c>
      <c r="L2322" s="49" t="s">
        <v>23</v>
      </c>
      <c r="M2322" s="36">
        <f t="shared" si="26"/>
        <v>45805.59789</v>
      </c>
      <c r="N2322" s="30" t="str">
        <f t="shared" si="27"/>
        <v>Selesai</v>
      </c>
      <c r="O2322" s="45">
        <f t="shared" si="23"/>
        <v>45805.59789</v>
      </c>
      <c r="P2322" s="47" t="b">
        <v>1</v>
      </c>
      <c r="Q2322" s="36">
        <f t="shared" si="24"/>
        <v>45805.59885</v>
      </c>
      <c r="R2322" s="47" t="b">
        <v>0</v>
      </c>
      <c r="S2322" s="42" t="str">
        <f t="shared" si="28"/>
        <v/>
      </c>
      <c r="T2322" s="42"/>
    </row>
    <row r="2323" ht="22.5" customHeight="1">
      <c r="B2323" s="42">
        <f t="shared" si="7"/>
        <v>2317</v>
      </c>
      <c r="C2323" s="31" t="s">
        <v>2416</v>
      </c>
      <c r="D2323" s="34" t="str">
        <f t="array" ref="D2323">IFNA(_xlfn.XLOOKUP(C2323,Table_Tarikan_Warkah[Nomor Sertipikat],Table_Tarikan_Warkah[Nomor Tiket]),"")</f>
        <v>K/29/150525/1</v>
      </c>
      <c r="E2323" s="36">
        <f t="array" ref="E2323">IFNA(_xlfn.XLOOKUP(D2323,Table_Tarikan_Warkah[Nomor Tiket],Table_Tarikan_Warkah[Tanggal diserahkan kepada Validator]),"")</f>
        <v>45805.68328</v>
      </c>
      <c r="F2323" s="36" t="str">
        <f t="array" ref="F2323">IFNA(_xlfn.XLOOKUP(D2323,Table_Tarikan_Warkah[Nomor Tiket],Table_Tarikan_Warkah[Nama Petugas Warkah]),"")</f>
        <v>Berry</v>
      </c>
      <c r="G2323" s="39" t="str">
        <f t="array" ref="G2323">IFNA(_xlfn.XLOOKUP(D2323,Table_Tarikan_Warkah[Nomor Tiket],Table_Tarikan_Warkah[Jenis Permohonan]),"")</f>
        <v>JUAL BELI</v>
      </c>
      <c r="H2323" s="41" t="s">
        <v>2315</v>
      </c>
      <c r="I2323" s="49" t="s">
        <v>23</v>
      </c>
      <c r="J2323" s="36">
        <f t="shared" si="20"/>
        <v>45804.43805</v>
      </c>
      <c r="K2323" s="49" t="s">
        <v>2378</v>
      </c>
      <c r="L2323" s="49" t="s">
        <v>23</v>
      </c>
      <c r="M2323" s="36">
        <f t="shared" si="26"/>
        <v>45805.59789</v>
      </c>
      <c r="N2323" s="30" t="str">
        <f t="shared" si="27"/>
        <v>Selesai</v>
      </c>
      <c r="O2323" s="45">
        <f t="shared" si="23"/>
        <v>45805.59789</v>
      </c>
      <c r="P2323" s="47" t="b">
        <v>1</v>
      </c>
      <c r="Q2323" s="36">
        <f t="shared" si="24"/>
        <v>45805.59885</v>
      </c>
      <c r="R2323" s="47" t="b">
        <v>0</v>
      </c>
      <c r="S2323" s="42" t="str">
        <f t="shared" si="28"/>
        <v/>
      </c>
      <c r="T2323" s="42"/>
    </row>
    <row r="2324" ht="22.5" customHeight="1">
      <c r="B2324" s="42">
        <f t="shared" si="7"/>
        <v>2318</v>
      </c>
      <c r="C2324" s="31" t="s">
        <v>2417</v>
      </c>
      <c r="D2324" s="34" t="str">
        <f t="array" ref="D2324">IFNA(_xlfn.XLOOKUP(C2324,Table_Tarikan_Warkah[Nomor Sertipikat],Table_Tarikan_Warkah[Nomor Tiket]),"")</f>
        <v>K/6/200525/1</v>
      </c>
      <c r="E2324" s="36">
        <f t="array" ref="E2324">IFNA(_xlfn.XLOOKUP(D2324,Table_Tarikan_Warkah[Nomor Tiket],Table_Tarikan_Warkah[Tanggal diserahkan kepada Validator]),"")</f>
        <v>45805.6831</v>
      </c>
      <c r="F2324" s="36" t="str">
        <f t="array" ref="F2324">IFNA(_xlfn.XLOOKUP(D2324,Table_Tarikan_Warkah[Nomor Tiket],Table_Tarikan_Warkah[Nama Petugas Warkah]),"")</f>
        <v>Berry</v>
      </c>
      <c r="G2324" s="39" t="str">
        <f t="array" ref="G2324">IFNA(_xlfn.XLOOKUP(D2324,Table_Tarikan_Warkah[Nomor Tiket],Table_Tarikan_Warkah[Jenis Permohonan]),"")</f>
        <v>JUAL BELI </v>
      </c>
      <c r="H2324" s="41" t="s">
        <v>2315</v>
      </c>
      <c r="I2324" s="49" t="s">
        <v>23</v>
      </c>
      <c r="J2324" s="36">
        <f t="shared" si="20"/>
        <v>45804.43824</v>
      </c>
      <c r="K2324" s="49" t="s">
        <v>2378</v>
      </c>
      <c r="L2324" s="49" t="s">
        <v>23</v>
      </c>
      <c r="M2324" s="36">
        <f t="shared" si="26"/>
        <v>45805.59789</v>
      </c>
      <c r="N2324" s="30" t="str">
        <f t="shared" si="27"/>
        <v>Selesai</v>
      </c>
      <c r="O2324" s="45">
        <f t="shared" si="23"/>
        <v>45805.59789</v>
      </c>
      <c r="P2324" s="47" t="b">
        <v>1</v>
      </c>
      <c r="Q2324" s="36">
        <f t="shared" si="24"/>
        <v>45805.59885</v>
      </c>
      <c r="R2324" s="47" t="b">
        <v>0</v>
      </c>
      <c r="S2324" s="42" t="str">
        <f t="shared" si="28"/>
        <v/>
      </c>
      <c r="T2324" s="42"/>
    </row>
    <row r="2325" ht="22.5" customHeight="1">
      <c r="B2325" s="42">
        <f t="shared" si="7"/>
        <v>2319</v>
      </c>
      <c r="C2325" s="31" t="s">
        <v>2418</v>
      </c>
      <c r="D2325" s="34" t="str">
        <f t="array" ref="D2325">IFNA(_xlfn.XLOOKUP(C2325,Table_Tarikan_Warkah[Nomor Sertipikat],Table_Tarikan_Warkah[Nomor Tiket]),"")</f>
        <v>K/30/280425/5</v>
      </c>
      <c r="E2325" s="36">
        <f t="array" ref="E2325">IFNA(_xlfn.XLOOKUP(D2325,Table_Tarikan_Warkah[Nomor Tiket],Table_Tarikan_Warkah[Tanggal diserahkan kepada Validator]),"")</f>
        <v>45805.68289</v>
      </c>
      <c r="F2325" s="36" t="str">
        <f t="array" ref="F2325">IFNA(_xlfn.XLOOKUP(D2325,Table_Tarikan_Warkah[Nomor Tiket],Table_Tarikan_Warkah[Nama Petugas Warkah]),"")</f>
        <v>Berry</v>
      </c>
      <c r="G2325" s="39" t="str">
        <f t="array" ref="G2325">IFNA(_xlfn.XLOOKUP(D2325,Table_Tarikan_Warkah[Nomor Tiket],Table_Tarikan_Warkah[Jenis Permohonan]),"")</f>
        <v>JUAL BELI</v>
      </c>
      <c r="H2325" s="41" t="s">
        <v>2315</v>
      </c>
      <c r="I2325" s="49" t="s">
        <v>23</v>
      </c>
      <c r="J2325" s="36">
        <f t="shared" si="20"/>
        <v>45804.43838</v>
      </c>
      <c r="K2325" s="49" t="s">
        <v>2378</v>
      </c>
      <c r="L2325" s="49" t="s">
        <v>23</v>
      </c>
      <c r="M2325" s="36">
        <f t="shared" si="26"/>
        <v>45805.59789</v>
      </c>
      <c r="N2325" s="30" t="str">
        <f t="shared" si="27"/>
        <v>Selesai</v>
      </c>
      <c r="O2325" s="45">
        <f t="shared" si="23"/>
        <v>45805.59789</v>
      </c>
      <c r="P2325" s="47" t="b">
        <v>1</v>
      </c>
      <c r="Q2325" s="36">
        <f t="shared" si="24"/>
        <v>45805.59885</v>
      </c>
      <c r="R2325" s="47" t="b">
        <v>0</v>
      </c>
      <c r="S2325" s="42" t="str">
        <f t="shared" si="28"/>
        <v/>
      </c>
      <c r="T2325" s="42"/>
    </row>
    <row r="2326" ht="22.5" customHeight="1">
      <c r="B2326" s="42">
        <f t="shared" si="7"/>
        <v>2320</v>
      </c>
      <c r="C2326" s="31" t="s">
        <v>2419</v>
      </c>
      <c r="D2326" s="34" t="str">
        <f t="array" ref="D2326">IFNA(_xlfn.XLOOKUP(C2326,Table_Tarikan_Warkah[Nomor Sertipikat],Table_Tarikan_Warkah[Nomor Tiket]),"")</f>
        <v>K/16/250425/2</v>
      </c>
      <c r="E2326" s="36">
        <f t="array" ref="E2326">IFNA(_xlfn.XLOOKUP(D2326,Table_Tarikan_Warkah[Nomor Tiket],Table_Tarikan_Warkah[Tanggal diserahkan kepada Validator]),"")</f>
        <v>45805.68278</v>
      </c>
      <c r="F2326" s="36" t="str">
        <f t="array" ref="F2326">IFNA(_xlfn.XLOOKUP(D2326,Table_Tarikan_Warkah[Nomor Tiket],Table_Tarikan_Warkah[Nama Petugas Warkah]),"")</f>
        <v>Berry</v>
      </c>
      <c r="G2326" s="39" t="str">
        <f t="array" ref="G2326">IFNA(_xlfn.XLOOKUP(D2326,Table_Tarikan_Warkah[Nomor Tiket],Table_Tarikan_Warkah[Jenis Permohonan]),"")</f>
        <v>JUAL BELI</v>
      </c>
      <c r="H2326" s="41" t="s">
        <v>2315</v>
      </c>
      <c r="I2326" s="49" t="s">
        <v>23</v>
      </c>
      <c r="J2326" s="36">
        <f t="shared" si="20"/>
        <v>45804.4391</v>
      </c>
      <c r="K2326" s="49" t="s">
        <v>2378</v>
      </c>
      <c r="L2326" s="49" t="s">
        <v>23</v>
      </c>
      <c r="M2326" s="36">
        <f t="shared" si="26"/>
        <v>45805.59789</v>
      </c>
      <c r="N2326" s="30" t="str">
        <f t="shared" si="27"/>
        <v>Selesai</v>
      </c>
      <c r="O2326" s="45">
        <f t="shared" si="23"/>
        <v>45805.59789</v>
      </c>
      <c r="P2326" s="47" t="b">
        <v>1</v>
      </c>
      <c r="Q2326" s="36">
        <f t="shared" si="24"/>
        <v>45805.59885</v>
      </c>
      <c r="R2326" s="47" t="b">
        <v>0</v>
      </c>
      <c r="S2326" s="42" t="str">
        <f t="shared" si="28"/>
        <v/>
      </c>
      <c r="T2326" s="42"/>
    </row>
    <row r="2327" ht="22.5" customHeight="1">
      <c r="B2327" s="42">
        <f t="shared" si="7"/>
        <v>2321</v>
      </c>
      <c r="C2327" s="31" t="s">
        <v>2420</v>
      </c>
      <c r="D2327" s="34" t="str">
        <f t="array" ref="D2327">IFNA(_xlfn.XLOOKUP(C2327,Table_Tarikan_Warkah[Nomor Sertipikat],Table_Tarikan_Warkah[Nomor Tiket]),"")</f>
        <v>K/2/090525/1</v>
      </c>
      <c r="E2327" s="36" t="str">
        <f t="array" ref="E2327">IFNA(_xlfn.XLOOKUP(D2327,Table_Tarikan_Warkah[Nomor Tiket],Table_Tarikan_Warkah[Tanggal diserahkan kepada Validator]),"")</f>
        <v/>
      </c>
      <c r="F2327" s="36" t="str">
        <f t="array" ref="F2327">IFNA(_xlfn.XLOOKUP(D2327,Table_Tarikan_Warkah[Nomor Tiket],Table_Tarikan_Warkah[Nama Petugas Warkah]),"")</f>
        <v/>
      </c>
      <c r="G2327" s="39" t="str">
        <f t="array" ref="G2327">IFNA(_xlfn.XLOOKUP(D2327,Table_Tarikan_Warkah[Nomor Tiket],Table_Tarikan_Warkah[Jenis Permohonan]),"")</f>
        <v>PEMECAHAN</v>
      </c>
      <c r="H2327" s="41" t="s">
        <v>2315</v>
      </c>
      <c r="I2327" s="49" t="s">
        <v>23</v>
      </c>
      <c r="J2327" s="36">
        <f t="shared" si="20"/>
        <v>45804.43944</v>
      </c>
      <c r="K2327" s="49" t="s">
        <v>2378</v>
      </c>
      <c r="L2327" s="49" t="s">
        <v>23</v>
      </c>
      <c r="M2327" s="36">
        <f t="shared" si="26"/>
        <v>45805.59789</v>
      </c>
      <c r="N2327" s="30" t="str">
        <f t="shared" si="27"/>
        <v>Selesai</v>
      </c>
      <c r="O2327" s="45">
        <f t="shared" si="23"/>
        <v>45805.59789</v>
      </c>
      <c r="P2327" s="47" t="b">
        <v>1</v>
      </c>
      <c r="Q2327" s="36">
        <f t="shared" si="24"/>
        <v>45805.59885</v>
      </c>
      <c r="R2327" s="47" t="b">
        <v>0</v>
      </c>
      <c r="S2327" s="42" t="str">
        <f t="shared" si="28"/>
        <v/>
      </c>
      <c r="T2327" s="42"/>
    </row>
    <row r="2328" ht="22.5" customHeight="1">
      <c r="B2328" s="42">
        <f t="shared" si="7"/>
        <v>2322</v>
      </c>
      <c r="C2328" s="31" t="s">
        <v>2421</v>
      </c>
      <c r="D2328" s="34" t="str">
        <f t="array" ref="D2328">IFNA(_xlfn.XLOOKUP(C2328,Table_Tarikan_Warkah[Nomor Sertipikat],Table_Tarikan_Warkah[Nomor Tiket]),"")</f>
        <v>K/27/210425/1</v>
      </c>
      <c r="E2328" s="36">
        <f t="array" ref="E2328">IFNA(_xlfn.XLOOKUP(D2328,Table_Tarikan_Warkah[Nomor Tiket],Table_Tarikan_Warkah[Tanggal diserahkan kepada Validator]),"")</f>
        <v>45819.37823</v>
      </c>
      <c r="F2328" s="36" t="str">
        <f t="array" ref="F2328">IFNA(_xlfn.XLOOKUP(D2328,Table_Tarikan_Warkah[Nomor Tiket],Table_Tarikan_Warkah[Nama Petugas Warkah]),"")</f>
        <v>David</v>
      </c>
      <c r="G2328" s="39" t="str">
        <f t="array" ref="G2328">IFNA(_xlfn.XLOOKUP(D2328,Table_Tarikan_Warkah[Nomor Tiket],Table_Tarikan_Warkah[Jenis Permohonan]),"")</f>
        <v>ROYA</v>
      </c>
      <c r="H2328" s="41" t="s">
        <v>2315</v>
      </c>
      <c r="I2328" s="49" t="s">
        <v>23</v>
      </c>
      <c r="J2328" s="36">
        <f t="shared" si="20"/>
        <v>45804.43961</v>
      </c>
      <c r="K2328" s="49" t="s">
        <v>2378</v>
      </c>
      <c r="L2328" s="49" t="s">
        <v>23</v>
      </c>
      <c r="M2328" s="36">
        <f t="shared" si="26"/>
        <v>45805.59789</v>
      </c>
      <c r="N2328" s="30" t="str">
        <f t="shared" si="27"/>
        <v>Selesai</v>
      </c>
      <c r="O2328" s="45">
        <f t="shared" si="23"/>
        <v>45805.59789</v>
      </c>
      <c r="P2328" s="47" t="b">
        <v>1</v>
      </c>
      <c r="Q2328" s="36">
        <f t="shared" si="24"/>
        <v>45805.59885</v>
      </c>
      <c r="R2328" s="47" t="b">
        <v>0</v>
      </c>
      <c r="S2328" s="42" t="str">
        <f t="shared" si="28"/>
        <v/>
      </c>
      <c r="T2328" s="42"/>
    </row>
    <row r="2329" ht="22.5" customHeight="1">
      <c r="B2329" s="42">
        <f t="shared" si="7"/>
        <v>2323</v>
      </c>
      <c r="C2329" s="31" t="s">
        <v>2422</v>
      </c>
      <c r="D2329" s="34" t="str">
        <f t="array" ref="D2329">IFNA(_xlfn.XLOOKUP(C2329,Table_Tarikan_Warkah[Nomor Sertipikat],Table_Tarikan_Warkah[Nomor Tiket]),"")</f>
        <v>K/9/160425/1</v>
      </c>
      <c r="E2329" s="36">
        <f t="array" ref="E2329">IFNA(_xlfn.XLOOKUP(D2329,Table_Tarikan_Warkah[Nomor Tiket],Table_Tarikan_Warkah[Tanggal diserahkan kepada Validator]),"")</f>
        <v>45805.68264</v>
      </c>
      <c r="F2329" s="36" t="str">
        <f t="array" ref="F2329">IFNA(_xlfn.XLOOKUP(D2329,Table_Tarikan_Warkah[Nomor Tiket],Table_Tarikan_Warkah[Nama Petugas Warkah]),"")</f>
        <v>Berry</v>
      </c>
      <c r="G2329" s="39" t="str">
        <f t="array" ref="G2329">IFNA(_xlfn.XLOOKUP(D2329,Table_Tarikan_Warkah[Nomor Tiket],Table_Tarikan_Warkah[Jenis Permohonan]),"")</f>
        <v>JUAL BELI</v>
      </c>
      <c r="H2329" s="41" t="s">
        <v>2315</v>
      </c>
      <c r="I2329" s="49" t="s">
        <v>23</v>
      </c>
      <c r="J2329" s="36">
        <f t="shared" si="20"/>
        <v>45804.43985</v>
      </c>
      <c r="K2329" s="49" t="s">
        <v>2378</v>
      </c>
      <c r="L2329" s="49" t="s">
        <v>23</v>
      </c>
      <c r="M2329" s="36">
        <f t="shared" si="26"/>
        <v>45805.59789</v>
      </c>
      <c r="N2329" s="30" t="str">
        <f t="shared" si="27"/>
        <v>Selesai</v>
      </c>
      <c r="O2329" s="45">
        <f t="shared" si="23"/>
        <v>45805.59789</v>
      </c>
      <c r="P2329" s="47" t="b">
        <v>1</v>
      </c>
      <c r="Q2329" s="36">
        <f t="shared" si="24"/>
        <v>45805.59885</v>
      </c>
      <c r="R2329" s="47" t="b">
        <v>0</v>
      </c>
      <c r="S2329" s="42" t="str">
        <f t="shared" si="28"/>
        <v/>
      </c>
      <c r="T2329" s="42"/>
    </row>
    <row r="2330" ht="22.5" customHeight="1">
      <c r="B2330" s="42">
        <f t="shared" si="7"/>
        <v>2324</v>
      </c>
      <c r="C2330" s="31" t="s">
        <v>2423</v>
      </c>
      <c r="D2330" s="34" t="str">
        <f t="array" ref="D2330">IFNA(_xlfn.XLOOKUP(C2330,Table_Tarikan_Warkah[Nomor Sertipikat],Table_Tarikan_Warkah[Nomor Tiket]),"")</f>
        <v>K/16/220525/1</v>
      </c>
      <c r="E2330" s="36">
        <f t="array" ref="E2330">IFNA(_xlfn.XLOOKUP(D2330,Table_Tarikan_Warkah[Nomor Tiket],Table_Tarikan_Warkah[Tanggal diserahkan kepada Validator]),"")</f>
        <v>45819.37062</v>
      </c>
      <c r="F2330" s="36" t="str">
        <f t="array" ref="F2330">IFNA(_xlfn.XLOOKUP(D2330,Table_Tarikan_Warkah[Nomor Tiket],Table_Tarikan_Warkah[Nama Petugas Warkah]),"")</f>
        <v>David</v>
      </c>
      <c r="G2330" s="39" t="str">
        <f t="array" ref="G2330">IFNA(_xlfn.XLOOKUP(D2330,Table_Tarikan_Warkah[Nomor Tiket],Table_Tarikan_Warkah[Jenis Permohonan]),"")</f>
        <v>Roya</v>
      </c>
      <c r="H2330" s="41" t="s">
        <v>20</v>
      </c>
      <c r="I2330" s="49" t="s">
        <v>23</v>
      </c>
      <c r="J2330" s="36">
        <f t="shared" si="20"/>
        <v>45804.48465</v>
      </c>
      <c r="K2330" s="49" t="s">
        <v>2378</v>
      </c>
      <c r="L2330" s="49" t="s">
        <v>23</v>
      </c>
      <c r="M2330" s="36">
        <f t="shared" si="26"/>
        <v>45805.59789</v>
      </c>
      <c r="N2330" s="30" t="str">
        <f t="shared" si="27"/>
        <v>Selesai</v>
      </c>
      <c r="O2330" s="45">
        <f t="shared" si="23"/>
        <v>45805.59789</v>
      </c>
      <c r="P2330" s="47" t="b">
        <v>1</v>
      </c>
      <c r="Q2330" s="36">
        <f t="shared" si="24"/>
        <v>45805.59885</v>
      </c>
      <c r="R2330" s="47" t="b">
        <v>0</v>
      </c>
      <c r="S2330" s="42" t="str">
        <f t="shared" si="28"/>
        <v/>
      </c>
      <c r="T2330" s="42"/>
    </row>
    <row r="2331" ht="22.5" customHeight="1">
      <c r="B2331" s="42">
        <f t="shared" si="7"/>
        <v>2325</v>
      </c>
      <c r="C2331" s="31" t="s">
        <v>2424</v>
      </c>
      <c r="D2331" s="34" t="str">
        <f t="array" ref="D2331">IFNA(_xlfn.XLOOKUP(C2331,Table_Tarikan_Warkah[Nomor Sertipikat],Table_Tarikan_Warkah[Nomor Tiket]),"")</f>
        <v>K/25/050525/1</v>
      </c>
      <c r="E2331" s="36">
        <f t="array" ref="E2331">IFNA(_xlfn.XLOOKUP(D2331,Table_Tarikan_Warkah[Nomor Tiket],Table_Tarikan_Warkah[Tanggal diserahkan kepada Validator]),"")</f>
        <v>45824.50174</v>
      </c>
      <c r="F2331" s="36" t="str">
        <f t="array" ref="F2331">IFNA(_xlfn.XLOOKUP(D2331,Table_Tarikan_Warkah[Nomor Tiket],Table_Tarikan_Warkah[Nama Petugas Warkah]),"")</f>
        <v>Berry</v>
      </c>
      <c r="G2331" s="39" t="str">
        <f t="array" ref="G2331">IFNA(_xlfn.XLOOKUP(D2331,Table_Tarikan_Warkah[Nomor Tiket],Table_Tarikan_Warkah[Jenis Permohonan]),"")</f>
        <v>BN WARIS</v>
      </c>
      <c r="H2331" s="41" t="s">
        <v>20</v>
      </c>
      <c r="I2331" s="49" t="s">
        <v>23</v>
      </c>
      <c r="J2331" s="36">
        <f t="shared" si="20"/>
        <v>45804.48477</v>
      </c>
      <c r="K2331" s="49" t="s">
        <v>2378</v>
      </c>
      <c r="L2331" s="49" t="s">
        <v>23</v>
      </c>
      <c r="M2331" s="36">
        <f t="shared" si="26"/>
        <v>45805.59789</v>
      </c>
      <c r="N2331" s="30" t="str">
        <f t="shared" si="27"/>
        <v>Selesai</v>
      </c>
      <c r="O2331" s="45">
        <f t="shared" si="23"/>
        <v>45805.59789</v>
      </c>
      <c r="P2331" s="47" t="b">
        <v>1</v>
      </c>
      <c r="Q2331" s="36">
        <f t="shared" si="24"/>
        <v>45805.59885</v>
      </c>
      <c r="R2331" s="47" t="b">
        <v>0</v>
      </c>
      <c r="S2331" s="42" t="str">
        <f t="shared" si="28"/>
        <v/>
      </c>
      <c r="T2331" s="42"/>
    </row>
    <row r="2332" ht="22.5" customHeight="1">
      <c r="B2332" s="42">
        <f t="shared" si="7"/>
        <v>2326</v>
      </c>
      <c r="C2332" s="31" t="s">
        <v>2425</v>
      </c>
      <c r="D2332" s="34" t="str">
        <f t="array" ref="D2332">IFNA(_xlfn.XLOOKUP(C2332,Table_Tarikan_Warkah[Nomor Sertipikat],Table_Tarikan_Warkah[Nomor Tiket]),"")</f>
        <v>K/27/090525/3</v>
      </c>
      <c r="E2332" s="36">
        <f t="array" ref="E2332">IFNA(_xlfn.XLOOKUP(D2332,Table_Tarikan_Warkah[Nomor Tiket],Table_Tarikan_Warkah[Tanggal diserahkan kepada Validator]),"")</f>
        <v>45810.65925</v>
      </c>
      <c r="F2332" s="36" t="str">
        <f t="array" ref="F2332">IFNA(_xlfn.XLOOKUP(D2332,Table_Tarikan_Warkah[Nomor Tiket],Table_Tarikan_Warkah[Nama Petugas Warkah]),"")</f>
        <v>Berry</v>
      </c>
      <c r="G2332" s="39" t="str">
        <f t="array" ref="G2332">IFNA(_xlfn.XLOOKUP(D2332,Table_Tarikan_Warkah[Nomor Tiket],Table_Tarikan_Warkah[Jenis Permohonan]),"")</f>
        <v>BN WARIS</v>
      </c>
      <c r="H2332" s="41" t="s">
        <v>20</v>
      </c>
      <c r="I2332" s="49" t="s">
        <v>23</v>
      </c>
      <c r="J2332" s="36">
        <f t="shared" si="20"/>
        <v>45804.48492</v>
      </c>
      <c r="K2332" s="49" t="s">
        <v>2378</v>
      </c>
      <c r="L2332" s="49" t="s">
        <v>23</v>
      </c>
      <c r="M2332" s="36">
        <f t="shared" si="26"/>
        <v>45805.59789</v>
      </c>
      <c r="N2332" s="30" t="str">
        <f t="shared" si="27"/>
        <v>Selesai</v>
      </c>
      <c r="O2332" s="45">
        <f t="shared" si="23"/>
        <v>45805.59789</v>
      </c>
      <c r="P2332" s="47" t="b">
        <v>1</v>
      </c>
      <c r="Q2332" s="36">
        <f t="shared" si="24"/>
        <v>45805.59885</v>
      </c>
      <c r="R2332" s="47" t="b">
        <v>0</v>
      </c>
      <c r="S2332" s="42" t="str">
        <f t="shared" si="28"/>
        <v/>
      </c>
      <c r="T2332" s="42"/>
    </row>
    <row r="2333" ht="22.5" customHeight="1">
      <c r="B2333" s="42">
        <f t="shared" si="7"/>
        <v>2327</v>
      </c>
      <c r="C2333" s="31" t="s">
        <v>2426</v>
      </c>
      <c r="D2333" s="34" t="str">
        <f t="array" ref="D2333">IFNA(_xlfn.XLOOKUP(C2333,Table_Tarikan_Warkah[Nomor Sertipikat],Table_Tarikan_Warkah[Nomor Tiket]),"")</f>
        <v>K/3/110225/2</v>
      </c>
      <c r="E2333" s="36" t="str">
        <f t="array" ref="E2333">IFNA(_xlfn.XLOOKUP(D2333,Table_Tarikan_Warkah[Nomor Tiket],Table_Tarikan_Warkah[Tanggal diserahkan kepada Validator]),"")</f>
        <v/>
      </c>
      <c r="F2333" s="36" t="str">
        <f t="array" ref="F2333">IFNA(_xlfn.XLOOKUP(D2333,Table_Tarikan_Warkah[Nomor Tiket],Table_Tarikan_Warkah[Nama Petugas Warkah]),"")</f>
        <v/>
      </c>
      <c r="G2333" s="39" t="str">
        <f t="array" ref="G2333">IFNA(_xlfn.XLOOKUP(D2333,Table_Tarikan_Warkah[Nomor Tiket],Table_Tarikan_Warkah[Jenis Permohonan]),"")</f>
        <v>SKPT LELANG</v>
      </c>
      <c r="H2333" s="41" t="s">
        <v>20</v>
      </c>
      <c r="I2333" s="49" t="s">
        <v>23</v>
      </c>
      <c r="J2333" s="36">
        <f t="shared" si="20"/>
        <v>45804.48494</v>
      </c>
      <c r="K2333" s="49" t="s">
        <v>2378</v>
      </c>
      <c r="L2333" s="49" t="s">
        <v>23</v>
      </c>
      <c r="M2333" s="36">
        <f t="shared" si="26"/>
        <v>45805.59789</v>
      </c>
      <c r="N2333" s="30" t="str">
        <f t="shared" si="27"/>
        <v>Selesai</v>
      </c>
      <c r="O2333" s="45">
        <f t="shared" si="23"/>
        <v>45805.59789</v>
      </c>
      <c r="P2333" s="47" t="b">
        <v>1</v>
      </c>
      <c r="Q2333" s="36">
        <f t="shared" si="24"/>
        <v>45805.59885</v>
      </c>
      <c r="R2333" s="47" t="b">
        <v>0</v>
      </c>
      <c r="S2333" s="42" t="str">
        <f t="shared" si="28"/>
        <v/>
      </c>
      <c r="T2333" s="42"/>
    </row>
    <row r="2334" ht="22.5" customHeight="1">
      <c r="B2334" s="42">
        <f t="shared" si="7"/>
        <v>2328</v>
      </c>
      <c r="C2334" s="31" t="s">
        <v>2427</v>
      </c>
      <c r="D2334" s="34" t="str">
        <f t="array" ref="D2334">IFNA(_xlfn.XLOOKUP(C2334,Table_Tarikan_Warkah[Nomor Sertipikat],Table_Tarikan_Warkah[Nomor Tiket]),"")</f>
        <v>K/44/080525/1</v>
      </c>
      <c r="E2334" s="36">
        <f t="array" ref="E2334">IFNA(_xlfn.XLOOKUP(D2334,Table_Tarikan_Warkah[Nomor Tiket],Table_Tarikan_Warkah[Tanggal diserahkan kepada Validator]),"")</f>
        <v>45824.62721</v>
      </c>
      <c r="F2334" s="36" t="str">
        <f t="array" ref="F2334">IFNA(_xlfn.XLOOKUP(D2334,Table_Tarikan_Warkah[Nomor Tiket],Table_Tarikan_Warkah[Nama Petugas Warkah]),"")</f>
        <v>David</v>
      </c>
      <c r="G2334" s="39" t="str">
        <f t="array" ref="G2334">IFNA(_xlfn.XLOOKUP(D2334,Table_Tarikan_Warkah[Nomor Tiket],Table_Tarikan_Warkah[Jenis Permohonan]),"")</f>
        <v>ROYA</v>
      </c>
      <c r="H2334" s="41" t="s">
        <v>20</v>
      </c>
      <c r="I2334" s="49" t="s">
        <v>23</v>
      </c>
      <c r="J2334" s="36">
        <f t="shared" si="20"/>
        <v>45804.48505</v>
      </c>
      <c r="K2334" s="49" t="s">
        <v>2378</v>
      </c>
      <c r="L2334" s="49" t="s">
        <v>23</v>
      </c>
      <c r="M2334" s="36">
        <f t="shared" si="26"/>
        <v>45805.59789</v>
      </c>
      <c r="N2334" s="30" t="str">
        <f t="shared" si="27"/>
        <v>Selesai</v>
      </c>
      <c r="O2334" s="45">
        <f t="shared" si="23"/>
        <v>45805.59789</v>
      </c>
      <c r="P2334" s="47" t="b">
        <v>1</v>
      </c>
      <c r="Q2334" s="36">
        <f t="shared" si="24"/>
        <v>45805.59885</v>
      </c>
      <c r="R2334" s="47" t="b">
        <v>0</v>
      </c>
      <c r="S2334" s="42" t="str">
        <f t="shared" si="28"/>
        <v/>
      </c>
      <c r="T2334" s="42"/>
    </row>
    <row r="2335" ht="22.5" customHeight="1">
      <c r="B2335" s="42">
        <f t="shared" si="7"/>
        <v>2329</v>
      </c>
      <c r="C2335" s="31" t="s">
        <v>2428</v>
      </c>
      <c r="D2335" s="34" t="str">
        <f t="array" ref="D2335">IFNA(_xlfn.XLOOKUP(C2335,Table_Tarikan_Warkah[Nomor Sertipikat],Table_Tarikan_Warkah[Nomor Tiket]),"")</f>
        <v>K/24/150525/2</v>
      </c>
      <c r="E2335" s="36">
        <f t="array" ref="E2335">IFNA(_xlfn.XLOOKUP(D2335,Table_Tarikan_Warkah[Nomor Tiket],Table_Tarikan_Warkah[Tanggal diserahkan kepada Validator]),"")</f>
        <v>45824.62637</v>
      </c>
      <c r="F2335" s="36" t="str">
        <f t="array" ref="F2335">IFNA(_xlfn.XLOOKUP(D2335,Table_Tarikan_Warkah[Nomor Tiket],Table_Tarikan_Warkah[Nama Petugas Warkah]),"")</f>
        <v>David</v>
      </c>
      <c r="G2335" s="39" t="str">
        <f t="array" ref="G2335">IFNA(_xlfn.XLOOKUP(D2335,Table_Tarikan_Warkah[Nomor Tiket],Table_Tarikan_Warkah[Jenis Permohonan]),"")</f>
        <v>GANT NAMA HT</v>
      </c>
      <c r="H2335" s="41" t="s">
        <v>20</v>
      </c>
      <c r="I2335" s="49" t="s">
        <v>23</v>
      </c>
      <c r="J2335" s="36">
        <f t="shared" si="20"/>
        <v>45804.48517</v>
      </c>
      <c r="K2335" s="49" t="s">
        <v>2378</v>
      </c>
      <c r="L2335" s="49" t="s">
        <v>23</v>
      </c>
      <c r="M2335" s="36">
        <f t="shared" si="26"/>
        <v>45805.59789</v>
      </c>
      <c r="N2335" s="30" t="str">
        <f t="shared" si="27"/>
        <v>Selesai</v>
      </c>
      <c r="O2335" s="45">
        <f t="shared" si="23"/>
        <v>45805.59789</v>
      </c>
      <c r="P2335" s="47" t="b">
        <v>1</v>
      </c>
      <c r="Q2335" s="36">
        <f t="shared" si="24"/>
        <v>45805.59885</v>
      </c>
      <c r="R2335" s="47" t="b">
        <v>0</v>
      </c>
      <c r="S2335" s="42" t="str">
        <f t="shared" si="28"/>
        <v/>
      </c>
      <c r="T2335" s="42"/>
    </row>
    <row r="2336" ht="22.5" customHeight="1">
      <c r="B2336" s="42">
        <f t="shared" si="7"/>
        <v>2330</v>
      </c>
      <c r="C2336" s="31" t="s">
        <v>2429</v>
      </c>
      <c r="D2336" s="34" t="str">
        <f t="array" ref="D2336">IFNA(_xlfn.XLOOKUP(C2336,Table_Tarikan_Warkah[Nomor Sertipikat],Table_Tarikan_Warkah[Nomor Tiket]),"")</f>
        <v>L/2/280425/1</v>
      </c>
      <c r="E2336" s="36">
        <f t="array" ref="E2336">IFNA(_xlfn.XLOOKUP(D2336,Table_Tarikan_Warkah[Nomor Tiket],Table_Tarikan_Warkah[Tanggal diserahkan kepada Validator]),"")</f>
        <v>45824.63455</v>
      </c>
      <c r="F2336" s="36" t="str">
        <f t="array" ref="F2336">IFNA(_xlfn.XLOOKUP(D2336,Table_Tarikan_Warkah[Nomor Tiket],Table_Tarikan_Warkah[Nama Petugas Warkah]),"")</f>
        <v>David</v>
      </c>
      <c r="G2336" s="39" t="str">
        <f t="array" ref="G2336">IFNA(_xlfn.XLOOKUP(D2336,Table_Tarikan_Warkah[Nomor Tiket],Table_Tarikan_Warkah[Jenis Permohonan]),"")</f>
        <v>Roya</v>
      </c>
      <c r="H2336" s="41" t="s">
        <v>20</v>
      </c>
      <c r="I2336" s="49" t="s">
        <v>23</v>
      </c>
      <c r="J2336" s="36">
        <f t="shared" si="20"/>
        <v>45804.48629</v>
      </c>
      <c r="K2336" s="49" t="s">
        <v>2378</v>
      </c>
      <c r="L2336" s="49" t="s">
        <v>23</v>
      </c>
      <c r="M2336" s="36">
        <f t="shared" si="26"/>
        <v>45805.59789</v>
      </c>
      <c r="N2336" s="30" t="str">
        <f t="shared" si="27"/>
        <v>Selesai</v>
      </c>
      <c r="O2336" s="45">
        <f t="shared" si="23"/>
        <v>45805.59789</v>
      </c>
      <c r="P2336" s="47" t="b">
        <v>1</v>
      </c>
      <c r="Q2336" s="36">
        <f t="shared" si="24"/>
        <v>45805.59885</v>
      </c>
      <c r="R2336" s="47" t="b">
        <v>0</v>
      </c>
      <c r="S2336" s="42" t="str">
        <f t="shared" si="28"/>
        <v/>
      </c>
      <c r="T2336" s="42"/>
    </row>
    <row r="2337" ht="22.5" customHeight="1">
      <c r="B2337" s="42">
        <f t="shared" si="7"/>
        <v>2331</v>
      </c>
      <c r="C2337" s="31" t="s">
        <v>2430</v>
      </c>
      <c r="D2337" s="34" t="str">
        <f t="array" ref="D2337">IFNA(_xlfn.XLOOKUP(C2337,Table_Tarikan_Warkah[Nomor Sertipikat],Table_Tarikan_Warkah[Nomor Tiket]),"")</f>
        <v>K/34/160425/1</v>
      </c>
      <c r="E2337" s="36">
        <f t="array" ref="E2337">IFNA(_xlfn.XLOOKUP(D2337,Table_Tarikan_Warkah[Nomor Tiket],Table_Tarikan_Warkah[Tanggal diserahkan kepada Validator]),"")</f>
        <v>45810.65963</v>
      </c>
      <c r="F2337" s="36" t="str">
        <f t="array" ref="F2337">IFNA(_xlfn.XLOOKUP(D2337,Table_Tarikan_Warkah[Nomor Tiket],Table_Tarikan_Warkah[Nama Petugas Warkah]),"")</f>
        <v>Berry</v>
      </c>
      <c r="G2337" s="39" t="str">
        <f t="array" ref="G2337">IFNA(_xlfn.XLOOKUP(D2337,Table_Tarikan_Warkah[Nomor Tiket],Table_Tarikan_Warkah[Jenis Permohonan]),"")</f>
        <v>BN Jual Beli</v>
      </c>
      <c r="H2337" s="41" t="s">
        <v>20</v>
      </c>
      <c r="I2337" s="49" t="s">
        <v>23</v>
      </c>
      <c r="J2337" s="36">
        <f t="shared" si="20"/>
        <v>45804.48645</v>
      </c>
      <c r="K2337" s="49" t="s">
        <v>2378</v>
      </c>
      <c r="L2337" s="49" t="s">
        <v>23</v>
      </c>
      <c r="M2337" s="36">
        <f t="shared" si="26"/>
        <v>45805.59789</v>
      </c>
      <c r="N2337" s="30" t="str">
        <f t="shared" si="27"/>
        <v>Selesai</v>
      </c>
      <c r="O2337" s="45">
        <f t="shared" si="23"/>
        <v>45805.59789</v>
      </c>
      <c r="P2337" s="47" t="b">
        <v>1</v>
      </c>
      <c r="Q2337" s="36">
        <f t="shared" si="24"/>
        <v>45805.59885</v>
      </c>
      <c r="R2337" s="47" t="b">
        <v>0</v>
      </c>
      <c r="S2337" s="42" t="str">
        <f t="shared" si="28"/>
        <v/>
      </c>
      <c r="T2337" s="42"/>
    </row>
    <row r="2338" ht="22.5" customHeight="1">
      <c r="B2338" s="42">
        <f t="shared" si="7"/>
        <v>2332</v>
      </c>
      <c r="C2338" s="31" t="s">
        <v>2431</v>
      </c>
      <c r="D2338" s="34" t="str">
        <f t="array" ref="D2338">IFNA(_xlfn.XLOOKUP(C2338,Table_Tarikan_Warkah[Nomor Sertipikat],Table_Tarikan_Warkah[Nomor Tiket]),"")</f>
        <v>K/22/300425/2</v>
      </c>
      <c r="E2338" s="36">
        <f t="array" ref="E2338">IFNA(_xlfn.XLOOKUP(D2338,Table_Tarikan_Warkah[Nomor Tiket],Table_Tarikan_Warkah[Tanggal diserahkan kepada Validator]),"")</f>
        <v>45810.66008</v>
      </c>
      <c r="F2338" s="36" t="str">
        <f t="array" ref="F2338">IFNA(_xlfn.XLOOKUP(D2338,Table_Tarikan_Warkah[Nomor Tiket],Table_Tarikan_Warkah[Nama Petugas Warkah]),"")</f>
        <v>Berry</v>
      </c>
      <c r="G2338" s="39" t="str">
        <f t="array" ref="G2338">IFNA(_xlfn.XLOOKUP(D2338,Table_Tarikan_Warkah[Nomor Tiket],Table_Tarikan_Warkah[Jenis Permohonan]),"")</f>
        <v>BN Jual Beli</v>
      </c>
      <c r="H2338" s="41" t="s">
        <v>20</v>
      </c>
      <c r="I2338" s="49" t="s">
        <v>23</v>
      </c>
      <c r="J2338" s="36">
        <f t="shared" si="20"/>
        <v>45804.4865</v>
      </c>
      <c r="K2338" s="49" t="s">
        <v>2378</v>
      </c>
      <c r="L2338" s="49" t="s">
        <v>23</v>
      </c>
      <c r="M2338" s="36">
        <f t="shared" si="26"/>
        <v>45805.59789</v>
      </c>
      <c r="N2338" s="30" t="str">
        <f t="shared" si="27"/>
        <v>Selesai</v>
      </c>
      <c r="O2338" s="45">
        <f t="shared" si="23"/>
        <v>45805.59789</v>
      </c>
      <c r="P2338" s="47" t="b">
        <v>1</v>
      </c>
      <c r="Q2338" s="36">
        <f t="shared" si="24"/>
        <v>45805.59885</v>
      </c>
      <c r="R2338" s="47" t="b">
        <v>0</v>
      </c>
      <c r="S2338" s="42" t="str">
        <f t="shared" si="28"/>
        <v/>
      </c>
      <c r="T2338" s="42"/>
    </row>
    <row r="2339" ht="22.5" customHeight="1">
      <c r="B2339" s="42">
        <f t="shared" si="7"/>
        <v>2333</v>
      </c>
      <c r="C2339" s="31" t="s">
        <v>2432</v>
      </c>
      <c r="D2339" s="34" t="str">
        <f t="array" ref="D2339">IFNA(_xlfn.XLOOKUP(C2339,Table_Tarikan_Warkah[Nomor Sertipikat],Table_Tarikan_Warkah[Nomor Tiket]),"")</f>
        <v>K/46/230425/1</v>
      </c>
      <c r="E2339" s="36">
        <f t="array" ref="E2339">IFNA(_xlfn.XLOOKUP(D2339,Table_Tarikan_Warkah[Nomor Tiket],Table_Tarikan_Warkah[Tanggal diserahkan kepada Validator]),"")</f>
        <v>45810.65984</v>
      </c>
      <c r="F2339" s="36" t="str">
        <f t="array" ref="F2339">IFNA(_xlfn.XLOOKUP(D2339,Table_Tarikan_Warkah[Nomor Tiket],Table_Tarikan_Warkah[Nama Petugas Warkah]),"")</f>
        <v>Berry</v>
      </c>
      <c r="G2339" s="39" t="str">
        <f t="array" ref="G2339">IFNA(_xlfn.XLOOKUP(D2339,Table_Tarikan_Warkah[Nomor Tiket],Table_Tarikan_Warkah[Jenis Permohonan]),"")</f>
        <v>BN Jual Beli</v>
      </c>
      <c r="H2339" s="41" t="s">
        <v>20</v>
      </c>
      <c r="I2339" s="49" t="s">
        <v>23</v>
      </c>
      <c r="J2339" s="36">
        <f t="shared" si="20"/>
        <v>45804.48662</v>
      </c>
      <c r="K2339" s="49" t="s">
        <v>2378</v>
      </c>
      <c r="L2339" s="49" t="s">
        <v>23</v>
      </c>
      <c r="M2339" s="36">
        <f t="shared" si="26"/>
        <v>45805.59789</v>
      </c>
      <c r="N2339" s="30" t="str">
        <f t="shared" si="27"/>
        <v>Selesai</v>
      </c>
      <c r="O2339" s="45">
        <f t="shared" si="23"/>
        <v>45805.59789</v>
      </c>
      <c r="P2339" s="47" t="b">
        <v>1</v>
      </c>
      <c r="Q2339" s="36">
        <f t="shared" si="24"/>
        <v>45805.59885</v>
      </c>
      <c r="R2339" s="47" t="b">
        <v>0</v>
      </c>
      <c r="S2339" s="42" t="str">
        <f t="shared" si="28"/>
        <v/>
      </c>
      <c r="T2339" s="42"/>
    </row>
    <row r="2340" ht="22.5" customHeight="1">
      <c r="B2340" s="42">
        <f t="shared" si="7"/>
        <v>2334</v>
      </c>
      <c r="C2340" s="31" t="s">
        <v>2433</v>
      </c>
      <c r="D2340" s="34" t="str">
        <f t="array" ref="D2340">IFNA(_xlfn.XLOOKUP(C2340,Table_Tarikan_Warkah[Nomor Sertipikat],Table_Tarikan_Warkah[Nomor Tiket]),"")</f>
        <v>K/16/200325/1</v>
      </c>
      <c r="E2340" s="36">
        <f t="array" ref="E2340">IFNA(_xlfn.XLOOKUP(D2340,Table_Tarikan_Warkah[Nomor Tiket],Table_Tarikan_Warkah[Tanggal diserahkan kepada Validator]),"")</f>
        <v>45838.6546</v>
      </c>
      <c r="F2340" s="36" t="str">
        <f t="array" ref="F2340">IFNA(_xlfn.XLOOKUP(D2340,Table_Tarikan_Warkah[Nomor Tiket],Table_Tarikan_Warkah[Nama Petugas Warkah]),"")</f>
        <v>Berry</v>
      </c>
      <c r="G2340" s="39" t="str">
        <f t="array" ref="G2340">IFNA(_xlfn.XLOOKUP(D2340,Table_Tarikan_Warkah[Nomor Tiket],Table_Tarikan_Warkah[Jenis Permohonan]),"")</f>
        <v>BN Waris</v>
      </c>
      <c r="H2340" s="41" t="s">
        <v>20</v>
      </c>
      <c r="I2340" s="49" t="s">
        <v>23</v>
      </c>
      <c r="J2340" s="36">
        <f t="shared" si="20"/>
        <v>45804.48679</v>
      </c>
      <c r="K2340" s="49" t="s">
        <v>2378</v>
      </c>
      <c r="L2340" s="49" t="s">
        <v>23</v>
      </c>
      <c r="M2340" s="36">
        <f t="shared" si="26"/>
        <v>45805.59789</v>
      </c>
      <c r="N2340" s="30" t="str">
        <f t="shared" si="27"/>
        <v>Selesai</v>
      </c>
      <c r="O2340" s="45">
        <f t="shared" si="23"/>
        <v>45805.59789</v>
      </c>
      <c r="P2340" s="47" t="b">
        <v>1</v>
      </c>
      <c r="Q2340" s="36">
        <f t="shared" si="24"/>
        <v>45805.59885</v>
      </c>
      <c r="R2340" s="47" t="b">
        <v>0</v>
      </c>
      <c r="S2340" s="42" t="str">
        <f t="shared" si="28"/>
        <v/>
      </c>
      <c r="T2340" s="42"/>
    </row>
    <row r="2341" ht="22.5" customHeight="1">
      <c r="B2341" s="42">
        <f t="shared" si="7"/>
        <v>2335</v>
      </c>
      <c r="C2341" s="31" t="s">
        <v>2434</v>
      </c>
      <c r="D2341" s="34" t="str">
        <f t="array" ref="D2341">IFNA(_xlfn.XLOOKUP(C2341,Table_Tarikan_Warkah[Nomor Sertipikat],Table_Tarikan_Warkah[Nomor Tiket]),"")</f>
        <v/>
      </c>
      <c r="E2341" s="36" t="str">
        <f t="array" ref="E2341">IFNA(_xlfn.XLOOKUP(D2341,Table_Tarikan_Warkah[Nomor Tiket],Table_Tarikan_Warkah[Tanggal diserahkan kepada Validator]),"")</f>
        <v/>
      </c>
      <c r="F2341" s="36" t="str">
        <f t="array" ref="F2341">IFNA(_xlfn.XLOOKUP(D2341,Table_Tarikan_Warkah[Nomor Tiket],Table_Tarikan_Warkah[Nama Petugas Warkah]),"")</f>
        <v/>
      </c>
      <c r="G2341" s="39" t="str">
        <f t="array" ref="G2341">IFNA(_xlfn.XLOOKUP(D2341,Table_Tarikan_Warkah[Nomor Tiket],Table_Tarikan_Warkah[Jenis Permohonan]),"")</f>
        <v/>
      </c>
      <c r="H2341" s="70"/>
      <c r="I2341" s="49"/>
      <c r="J2341" s="36" t="str">
        <f t="shared" si="20"/>
        <v/>
      </c>
      <c r="K2341" s="49" t="s">
        <v>2378</v>
      </c>
      <c r="L2341" s="49" t="s">
        <v>23</v>
      </c>
      <c r="M2341" s="36">
        <f t="shared" si="26"/>
        <v>45805.59789</v>
      </c>
      <c r="N2341" s="30" t="str">
        <f t="shared" si="27"/>
        <v/>
      </c>
      <c r="O2341" s="39" t="str">
        <f t="shared" si="23"/>
        <v/>
      </c>
      <c r="P2341" s="47" t="b">
        <v>1</v>
      </c>
      <c r="Q2341" s="36">
        <f t="shared" si="24"/>
        <v>45805.59885</v>
      </c>
      <c r="R2341" s="47" t="b">
        <v>0</v>
      </c>
      <c r="S2341" s="42" t="str">
        <f t="shared" si="28"/>
        <v/>
      </c>
      <c r="T2341" s="42"/>
    </row>
    <row r="2342" ht="22.5" customHeight="1">
      <c r="B2342" s="42">
        <f t="shared" si="7"/>
        <v>2336</v>
      </c>
      <c r="C2342" s="31" t="s">
        <v>2435</v>
      </c>
      <c r="D2342" s="34" t="str">
        <f t="array" ref="D2342">IFNA(_xlfn.XLOOKUP(C2342,Table_Tarikan_Warkah[Nomor Sertipikat],Table_Tarikan_Warkah[Nomor Tiket]),"")</f>
        <v>K/8/060525/1</v>
      </c>
      <c r="E2342" s="36">
        <f t="array" ref="E2342">IFNA(_xlfn.XLOOKUP(D2342,Table_Tarikan_Warkah[Nomor Tiket],Table_Tarikan_Warkah[Tanggal diserahkan kepada Validator]),"")</f>
        <v>45810.65906</v>
      </c>
      <c r="F2342" s="36" t="str">
        <f t="array" ref="F2342">IFNA(_xlfn.XLOOKUP(D2342,Table_Tarikan_Warkah[Nomor Tiket],Table_Tarikan_Warkah[Nama Petugas Warkah]),"")</f>
        <v>Berry</v>
      </c>
      <c r="G2342" s="39" t="str">
        <f t="array" ref="G2342">IFNA(_xlfn.XLOOKUP(D2342,Table_Tarikan_Warkah[Nomor Tiket],Table_Tarikan_Warkah[Jenis Permohonan]),"")</f>
        <v>BN JUAL BELI</v>
      </c>
      <c r="H2342" s="41" t="s">
        <v>20</v>
      </c>
      <c r="I2342" s="49" t="s">
        <v>23</v>
      </c>
      <c r="J2342" s="36">
        <f t="shared" si="20"/>
        <v>45804.63389</v>
      </c>
      <c r="K2342" s="49" t="s">
        <v>2378</v>
      </c>
      <c r="L2342" s="49" t="s">
        <v>23</v>
      </c>
      <c r="M2342" s="36">
        <f t="shared" si="26"/>
        <v>45805.59814</v>
      </c>
      <c r="N2342" s="30" t="str">
        <f t="shared" si="27"/>
        <v>Selesai</v>
      </c>
      <c r="O2342" s="45">
        <f t="shared" si="23"/>
        <v>45805.59814</v>
      </c>
      <c r="P2342" s="47" t="b">
        <v>1</v>
      </c>
      <c r="Q2342" s="36">
        <f t="shared" si="24"/>
        <v>45805.60164</v>
      </c>
      <c r="R2342" s="47" t="b">
        <v>0</v>
      </c>
      <c r="S2342" s="42" t="str">
        <f t="shared" si="28"/>
        <v/>
      </c>
      <c r="T2342" s="42"/>
    </row>
    <row r="2343" ht="22.5" customHeight="1">
      <c r="B2343" s="42">
        <f t="shared" si="7"/>
        <v>2337</v>
      </c>
      <c r="C2343" s="31" t="s">
        <v>2436</v>
      </c>
      <c r="D2343" s="34" t="str">
        <f t="array" ref="D2343">IFNA(_xlfn.XLOOKUP(C2343,Table_Tarikan_Warkah[Nomor Sertipikat],Table_Tarikan_Warkah[Nomor Tiket]),"")</f>
        <v>K/25/150425/1</v>
      </c>
      <c r="E2343" s="36">
        <f t="array" ref="E2343">IFNA(_xlfn.XLOOKUP(D2343,Table_Tarikan_Warkah[Nomor Tiket],Table_Tarikan_Warkah[Tanggal diserahkan kepada Validator]),"")</f>
        <v>45812.59666</v>
      </c>
      <c r="F2343" s="36" t="str">
        <f t="array" ref="F2343">IFNA(_xlfn.XLOOKUP(D2343,Table_Tarikan_Warkah[Nomor Tiket],Table_Tarikan_Warkah[Nama Petugas Warkah]),"")</f>
        <v>Berry</v>
      </c>
      <c r="G2343" s="39" t="str">
        <f t="array" ref="G2343">IFNA(_xlfn.XLOOKUP(D2343,Table_Tarikan_Warkah[Nomor Tiket],Table_Tarikan_Warkah[Jenis Permohonan]),"")</f>
        <v>BN Jual Beli</v>
      </c>
      <c r="H2343" s="41" t="s">
        <v>20</v>
      </c>
      <c r="I2343" s="49" t="s">
        <v>23</v>
      </c>
      <c r="J2343" s="36">
        <f t="shared" si="20"/>
        <v>45804.63389</v>
      </c>
      <c r="K2343" s="49" t="s">
        <v>2378</v>
      </c>
      <c r="L2343" s="49" t="s">
        <v>23</v>
      </c>
      <c r="M2343" s="36">
        <f t="shared" si="26"/>
        <v>45805.59814</v>
      </c>
      <c r="N2343" s="30" t="str">
        <f t="shared" si="27"/>
        <v>Selesai</v>
      </c>
      <c r="O2343" s="45">
        <f t="shared" si="23"/>
        <v>45805.59814</v>
      </c>
      <c r="P2343" s="47" t="b">
        <v>1</v>
      </c>
      <c r="Q2343" s="36">
        <f t="shared" si="24"/>
        <v>45805.60164</v>
      </c>
      <c r="R2343" s="47" t="b">
        <v>0</v>
      </c>
      <c r="S2343" s="42" t="str">
        <f t="shared" si="28"/>
        <v/>
      </c>
      <c r="T2343" s="42"/>
    </row>
    <row r="2344" ht="22.5" customHeight="1">
      <c r="B2344" s="42">
        <f t="shared" si="7"/>
        <v>2338</v>
      </c>
      <c r="C2344" s="31" t="s">
        <v>2437</v>
      </c>
      <c r="D2344" s="34" t="str">
        <f t="array" ref="D2344">IFNA(_xlfn.XLOOKUP(C2344,Table_Tarikan_Warkah[Nomor Sertipikat],Table_Tarikan_Warkah[Nomor Tiket]),"")</f>
        <v>K/24/200525/4</v>
      </c>
      <c r="E2344" s="36">
        <f t="array" ref="E2344">IFNA(_xlfn.XLOOKUP(D2344,Table_Tarikan_Warkah[Nomor Tiket],Table_Tarikan_Warkah[Tanggal diserahkan kepada Validator]),"")</f>
        <v>45813.64066</v>
      </c>
      <c r="F2344" s="36" t="str">
        <f t="array" ref="F2344">IFNA(_xlfn.XLOOKUP(D2344,Table_Tarikan_Warkah[Nomor Tiket],Table_Tarikan_Warkah[Nama Petugas Warkah]),"")</f>
        <v>Berry</v>
      </c>
      <c r="G2344" s="39" t="str">
        <f t="array" ref="G2344">IFNA(_xlfn.XLOOKUP(D2344,Table_Tarikan_Warkah[Nomor Tiket],Table_Tarikan_Warkah[Jenis Permohonan]),"")</f>
        <v>BN Waris</v>
      </c>
      <c r="H2344" s="41" t="s">
        <v>20</v>
      </c>
      <c r="I2344" s="49" t="s">
        <v>23</v>
      </c>
      <c r="J2344" s="36">
        <f t="shared" si="20"/>
        <v>45804.63389</v>
      </c>
      <c r="K2344" s="49" t="s">
        <v>2378</v>
      </c>
      <c r="L2344" s="49" t="s">
        <v>23</v>
      </c>
      <c r="M2344" s="36">
        <f t="shared" si="26"/>
        <v>45805.59814</v>
      </c>
      <c r="N2344" s="30" t="str">
        <f t="shared" si="27"/>
        <v>Selesai</v>
      </c>
      <c r="O2344" s="45">
        <f t="shared" si="23"/>
        <v>45805.59814</v>
      </c>
      <c r="P2344" s="47" t="b">
        <v>1</v>
      </c>
      <c r="Q2344" s="36">
        <f t="shared" si="24"/>
        <v>45805.60164</v>
      </c>
      <c r="R2344" s="47" t="b">
        <v>0</v>
      </c>
      <c r="S2344" s="42" t="str">
        <f t="shared" si="28"/>
        <v/>
      </c>
      <c r="T2344" s="42"/>
    </row>
    <row r="2345" ht="22.5" customHeight="1">
      <c r="B2345" s="42">
        <f t="shared" si="7"/>
        <v>2339</v>
      </c>
      <c r="C2345" s="31" t="s">
        <v>2438</v>
      </c>
      <c r="D2345" s="34" t="str">
        <f t="array" ref="D2345">IFNA(_xlfn.XLOOKUP(C2345,Table_Tarikan_Warkah[Nomor Sertipikat],Table_Tarikan_Warkah[Nomor Tiket]),"")</f>
        <v>K/36/190525/1</v>
      </c>
      <c r="E2345" s="36">
        <f t="array" ref="E2345">IFNA(_xlfn.XLOOKUP(D2345,Table_Tarikan_Warkah[Nomor Tiket],Table_Tarikan_Warkah[Tanggal diserahkan kepada Validator]),"")</f>
        <v>45825.67838</v>
      </c>
      <c r="F2345" s="36" t="str">
        <f t="array" ref="F2345">IFNA(_xlfn.XLOOKUP(D2345,Table_Tarikan_Warkah[Nomor Tiket],Table_Tarikan_Warkah[Nama Petugas Warkah]),"")</f>
        <v>David</v>
      </c>
      <c r="G2345" s="39" t="str">
        <f t="array" ref="G2345">IFNA(_xlfn.XLOOKUP(D2345,Table_Tarikan_Warkah[Nomor Tiket],Table_Tarikan_Warkah[Jenis Permohonan]),"")</f>
        <v>Roya</v>
      </c>
      <c r="H2345" s="41" t="s">
        <v>20</v>
      </c>
      <c r="I2345" s="49" t="s">
        <v>23</v>
      </c>
      <c r="J2345" s="36">
        <f t="shared" si="20"/>
        <v>45804.63389</v>
      </c>
      <c r="K2345" s="49" t="s">
        <v>2378</v>
      </c>
      <c r="L2345" s="49" t="s">
        <v>23</v>
      </c>
      <c r="M2345" s="36">
        <f t="shared" si="26"/>
        <v>45805.59814</v>
      </c>
      <c r="N2345" s="30" t="str">
        <f t="shared" si="27"/>
        <v>Selesai</v>
      </c>
      <c r="O2345" s="45">
        <f t="shared" si="23"/>
        <v>45805.59814</v>
      </c>
      <c r="P2345" s="47" t="b">
        <v>1</v>
      </c>
      <c r="Q2345" s="36">
        <f t="shared" si="24"/>
        <v>45805.60164</v>
      </c>
      <c r="R2345" s="47" t="b">
        <v>0</v>
      </c>
      <c r="S2345" s="42" t="str">
        <f t="shared" si="28"/>
        <v/>
      </c>
      <c r="T2345" s="42"/>
    </row>
    <row r="2346" ht="22.5" customHeight="1">
      <c r="B2346" s="42">
        <f t="shared" si="7"/>
        <v>2340</v>
      </c>
      <c r="C2346" s="31" t="s">
        <v>2439</v>
      </c>
      <c r="D2346" s="34" t="str">
        <f t="array" ref="D2346">IFNA(_xlfn.XLOOKUP(C2346,Table_Tarikan_Warkah[Nomor Sertipikat],Table_Tarikan_Warkah[Nomor Tiket]),"")</f>
        <v>K/38/160525/1</v>
      </c>
      <c r="E2346" s="36">
        <f t="array" ref="E2346">IFNA(_xlfn.XLOOKUP(D2346,Table_Tarikan_Warkah[Nomor Tiket],Table_Tarikan_Warkah[Tanggal diserahkan kepada Validator]),"")</f>
        <v>45812.5972</v>
      </c>
      <c r="F2346" s="36" t="str">
        <f t="array" ref="F2346">IFNA(_xlfn.XLOOKUP(D2346,Table_Tarikan_Warkah[Nomor Tiket],Table_Tarikan_Warkah[Nama Petugas Warkah]),"")</f>
        <v>Berry</v>
      </c>
      <c r="G2346" s="39" t="str">
        <f t="array" ref="G2346">IFNA(_xlfn.XLOOKUP(D2346,Table_Tarikan_Warkah[Nomor Tiket],Table_Tarikan_Warkah[Jenis Permohonan]),"")</f>
        <v>BN Jual Beli</v>
      </c>
      <c r="H2346" s="41" t="s">
        <v>20</v>
      </c>
      <c r="I2346" s="49" t="s">
        <v>23</v>
      </c>
      <c r="J2346" s="36">
        <f t="shared" si="20"/>
        <v>45804.63389</v>
      </c>
      <c r="K2346" s="49" t="s">
        <v>2378</v>
      </c>
      <c r="L2346" s="49" t="s">
        <v>23</v>
      </c>
      <c r="M2346" s="36">
        <f t="shared" si="26"/>
        <v>45805.59814</v>
      </c>
      <c r="N2346" s="30" t="str">
        <f t="shared" si="27"/>
        <v>Selesai</v>
      </c>
      <c r="O2346" s="45">
        <f t="shared" si="23"/>
        <v>45805.59814</v>
      </c>
      <c r="P2346" s="47" t="b">
        <v>1</v>
      </c>
      <c r="Q2346" s="36">
        <f t="shared" si="24"/>
        <v>45805.60164</v>
      </c>
      <c r="R2346" s="47" t="b">
        <v>0</v>
      </c>
      <c r="S2346" s="42" t="str">
        <f t="shared" si="28"/>
        <v/>
      </c>
      <c r="T2346" s="42"/>
    </row>
    <row r="2347" ht="22.5" customHeight="1">
      <c r="B2347" s="42">
        <f t="shared" si="7"/>
        <v>2341</v>
      </c>
      <c r="C2347" s="31" t="s">
        <v>2440</v>
      </c>
      <c r="D2347" s="34" t="str">
        <f t="array" ref="D2347">IFNA(_xlfn.XLOOKUP(C2347,Table_Tarikan_Warkah[Nomor Sertipikat],Table_Tarikan_Warkah[Nomor Tiket]),"")</f>
        <v>K/22/060525/2</v>
      </c>
      <c r="E2347" s="36">
        <f t="array" ref="E2347">IFNA(_xlfn.XLOOKUP(D2347,Table_Tarikan_Warkah[Nomor Tiket],Table_Tarikan_Warkah[Tanggal diserahkan kepada Validator]),"")</f>
        <v>45812.59702</v>
      </c>
      <c r="F2347" s="36" t="str">
        <f t="array" ref="F2347">IFNA(_xlfn.XLOOKUP(D2347,Table_Tarikan_Warkah[Nomor Tiket],Table_Tarikan_Warkah[Nama Petugas Warkah]),"")</f>
        <v>Berry</v>
      </c>
      <c r="G2347" s="39" t="str">
        <f t="array" ref="G2347">IFNA(_xlfn.XLOOKUP(D2347,Table_Tarikan_Warkah[Nomor Tiket],Table_Tarikan_Warkah[Jenis Permohonan]),"")</f>
        <v>BN Jual Beli</v>
      </c>
      <c r="H2347" s="41" t="s">
        <v>20</v>
      </c>
      <c r="I2347" s="49" t="s">
        <v>23</v>
      </c>
      <c r="J2347" s="36">
        <f t="shared" si="20"/>
        <v>45804.63389</v>
      </c>
      <c r="K2347" s="49" t="s">
        <v>2378</v>
      </c>
      <c r="L2347" s="49" t="s">
        <v>23</v>
      </c>
      <c r="M2347" s="36">
        <f t="shared" si="26"/>
        <v>45805.59814</v>
      </c>
      <c r="N2347" s="30" t="str">
        <f t="shared" si="27"/>
        <v>Selesai</v>
      </c>
      <c r="O2347" s="45">
        <f t="shared" si="23"/>
        <v>45805.59814</v>
      </c>
      <c r="P2347" s="47" t="b">
        <v>1</v>
      </c>
      <c r="Q2347" s="36">
        <f t="shared" si="24"/>
        <v>45805.60164</v>
      </c>
      <c r="R2347" s="47" t="b">
        <v>0</v>
      </c>
      <c r="S2347" s="42" t="str">
        <f t="shared" si="28"/>
        <v/>
      </c>
      <c r="T2347" s="42"/>
    </row>
    <row r="2348" ht="22.5" customHeight="1">
      <c r="B2348" s="42">
        <f t="shared" si="7"/>
        <v>2342</v>
      </c>
      <c r="C2348" s="31" t="s">
        <v>2441</v>
      </c>
      <c r="D2348" s="34" t="str">
        <f t="array" ref="D2348">IFNA(_xlfn.XLOOKUP(C2348,Table_Tarikan_Warkah[Nomor Sertipikat],Table_Tarikan_Warkah[Nomor Tiket]),"")</f>
        <v>K/16/070525/1</v>
      </c>
      <c r="E2348" s="36">
        <f t="array" ref="E2348">IFNA(_xlfn.XLOOKUP(D2348,Table_Tarikan_Warkah[Nomor Tiket],Table_Tarikan_Warkah[Tanggal diserahkan kepada Validator]),"")</f>
        <v>45812.59684</v>
      </c>
      <c r="F2348" s="36" t="str">
        <f t="array" ref="F2348">IFNA(_xlfn.XLOOKUP(D2348,Table_Tarikan_Warkah[Nomor Tiket],Table_Tarikan_Warkah[Nama Petugas Warkah]),"")</f>
        <v>Berry</v>
      </c>
      <c r="G2348" s="39" t="str">
        <f t="array" ref="G2348">IFNA(_xlfn.XLOOKUP(D2348,Table_Tarikan_Warkah[Nomor Tiket],Table_Tarikan_Warkah[Jenis Permohonan]),"")</f>
        <v>BN Jual Beli</v>
      </c>
      <c r="H2348" s="41" t="s">
        <v>20</v>
      </c>
      <c r="I2348" s="49" t="s">
        <v>23</v>
      </c>
      <c r="J2348" s="36">
        <f t="shared" si="20"/>
        <v>45804.63389</v>
      </c>
      <c r="K2348" s="49" t="s">
        <v>2378</v>
      </c>
      <c r="L2348" s="49" t="s">
        <v>23</v>
      </c>
      <c r="M2348" s="36">
        <f t="shared" si="26"/>
        <v>45805.59814</v>
      </c>
      <c r="N2348" s="30" t="str">
        <f t="shared" si="27"/>
        <v>Selesai</v>
      </c>
      <c r="O2348" s="45">
        <f t="shared" si="23"/>
        <v>45805.59814</v>
      </c>
      <c r="P2348" s="47" t="b">
        <v>1</v>
      </c>
      <c r="Q2348" s="36">
        <f t="shared" si="24"/>
        <v>45805.60164</v>
      </c>
      <c r="R2348" s="47" t="b">
        <v>0</v>
      </c>
      <c r="S2348" s="42" t="str">
        <f t="shared" si="28"/>
        <v/>
      </c>
      <c r="T2348" s="42"/>
    </row>
    <row r="2349" ht="22.5" customHeight="1">
      <c r="B2349" s="42">
        <f t="shared" si="7"/>
        <v>2343</v>
      </c>
      <c r="C2349" s="31" t="s">
        <v>2442</v>
      </c>
      <c r="D2349" s="34" t="str">
        <f t="array" ref="D2349">IFNA(_xlfn.XLOOKUP(C2349,Table_Tarikan_Warkah[Nomor Sertipikat],Table_Tarikan_Warkah[Nomor Tiket]),"")</f>
        <v>L/4/210525/1</v>
      </c>
      <c r="E2349" s="36">
        <f t="array" ref="E2349">IFNA(_xlfn.XLOOKUP(D2349,Table_Tarikan_Warkah[Nomor Tiket],Table_Tarikan_Warkah[Tanggal diserahkan kepada Validator]),"")</f>
        <v>45833.67159</v>
      </c>
      <c r="F2349" s="36" t="str">
        <f t="array" ref="F2349">IFNA(_xlfn.XLOOKUP(D2349,Table_Tarikan_Warkah[Nomor Tiket],Table_Tarikan_Warkah[Nama Petugas Warkah]),"")</f>
        <v>David</v>
      </c>
      <c r="G2349" s="39" t="str">
        <f t="array" ref="G2349">IFNA(_xlfn.XLOOKUP(D2349,Table_Tarikan_Warkah[Nomor Tiket],Table_Tarikan_Warkah[Jenis Permohonan]),"")</f>
        <v>ROYA</v>
      </c>
      <c r="H2349" s="41" t="s">
        <v>2315</v>
      </c>
      <c r="I2349" s="49" t="s">
        <v>23</v>
      </c>
      <c r="J2349" s="36">
        <f t="shared" si="20"/>
        <v>45804.76026</v>
      </c>
      <c r="K2349" s="49" t="s">
        <v>2378</v>
      </c>
      <c r="L2349" s="49" t="s">
        <v>23</v>
      </c>
      <c r="M2349" s="36">
        <f t="shared" si="26"/>
        <v>45805.59814</v>
      </c>
      <c r="N2349" s="30" t="str">
        <f t="shared" si="27"/>
        <v>Selesai</v>
      </c>
      <c r="O2349" s="45">
        <f t="shared" si="23"/>
        <v>45805.59814</v>
      </c>
      <c r="P2349" s="47" t="b">
        <v>1</v>
      </c>
      <c r="Q2349" s="36">
        <f t="shared" si="24"/>
        <v>45805.60164</v>
      </c>
      <c r="R2349" s="47" t="b">
        <v>0</v>
      </c>
      <c r="S2349" s="42" t="str">
        <f t="shared" si="28"/>
        <v/>
      </c>
      <c r="T2349" s="42"/>
    </row>
    <row r="2350" ht="22.5" customHeight="1">
      <c r="B2350" s="42">
        <f t="shared" si="7"/>
        <v>2344</v>
      </c>
      <c r="C2350" s="31" t="s">
        <v>2443</v>
      </c>
      <c r="D2350" s="34" t="str">
        <f t="array" ref="D2350">IFNA(_xlfn.XLOOKUP(C2350,Table_Tarikan_Warkah[Nomor Sertipikat],Table_Tarikan_Warkah[Nomor Tiket]),"")</f>
        <v>L/14/200525/1</v>
      </c>
      <c r="E2350" s="36">
        <f t="array" ref="E2350">IFNA(_xlfn.XLOOKUP(D2350,Table_Tarikan_Warkah[Nomor Tiket],Table_Tarikan_Warkah[Tanggal diserahkan kepada Validator]),"")</f>
        <v>45825.67192</v>
      </c>
      <c r="F2350" s="36" t="str">
        <f t="array" ref="F2350">IFNA(_xlfn.XLOOKUP(D2350,Table_Tarikan_Warkah[Nomor Tiket],Table_Tarikan_Warkah[Nama Petugas Warkah]),"")</f>
        <v>David</v>
      </c>
      <c r="G2350" s="39" t="str">
        <f t="array" ref="G2350">IFNA(_xlfn.XLOOKUP(D2350,Table_Tarikan_Warkah[Nomor Tiket],Table_Tarikan_Warkah[Jenis Permohonan]),"")</f>
        <v>ROYA</v>
      </c>
      <c r="H2350" s="41" t="s">
        <v>2315</v>
      </c>
      <c r="I2350" s="49" t="s">
        <v>23</v>
      </c>
      <c r="J2350" s="36">
        <f t="shared" si="20"/>
        <v>45804.76051</v>
      </c>
      <c r="K2350" s="49" t="s">
        <v>2378</v>
      </c>
      <c r="L2350" s="49" t="s">
        <v>23</v>
      </c>
      <c r="M2350" s="36">
        <f t="shared" si="26"/>
        <v>45805.59814</v>
      </c>
      <c r="N2350" s="30" t="str">
        <f t="shared" si="27"/>
        <v>Selesai</v>
      </c>
      <c r="O2350" s="45">
        <f t="shared" si="23"/>
        <v>45805.59814</v>
      </c>
      <c r="P2350" s="47" t="b">
        <v>1</v>
      </c>
      <c r="Q2350" s="36">
        <f t="shared" si="24"/>
        <v>45805.60164</v>
      </c>
      <c r="R2350" s="47" t="b">
        <v>0</v>
      </c>
      <c r="S2350" s="42" t="str">
        <f t="shared" si="28"/>
        <v/>
      </c>
      <c r="T2350" s="42"/>
    </row>
    <row r="2351" ht="22.5" customHeight="1">
      <c r="B2351" s="42">
        <f t="shared" si="7"/>
        <v>2345</v>
      </c>
      <c r="C2351" s="31" t="s">
        <v>2444</v>
      </c>
      <c r="D2351" s="34" t="str">
        <f t="array" ref="D2351">IFNA(_xlfn.XLOOKUP(C2351,Table_Tarikan_Warkah[Nomor Sertipikat],Table_Tarikan_Warkah[Nomor Tiket]),"")</f>
        <v>L/20/160525/1</v>
      </c>
      <c r="E2351" s="36" t="str">
        <f t="array" ref="E2351">IFNA(_xlfn.XLOOKUP(D2351,Table_Tarikan_Warkah[Nomor Tiket],Table_Tarikan_Warkah[Tanggal diserahkan kepada Validator]),"")</f>
        <v/>
      </c>
      <c r="F2351" s="36" t="str">
        <f t="array" ref="F2351">IFNA(_xlfn.XLOOKUP(D2351,Table_Tarikan_Warkah[Nomor Tiket],Table_Tarikan_Warkah[Nama Petugas Warkah]),"")</f>
        <v/>
      </c>
      <c r="G2351" s="39" t="str">
        <f t="array" ref="G2351">IFNA(_xlfn.XLOOKUP(D2351,Table_Tarikan_Warkah[Nomor Tiket],Table_Tarikan_Warkah[Jenis Permohonan]),"")</f>
        <v>ROYA</v>
      </c>
      <c r="H2351" s="41" t="s">
        <v>2315</v>
      </c>
      <c r="I2351" s="49" t="s">
        <v>23</v>
      </c>
      <c r="J2351" s="36">
        <f t="shared" si="20"/>
        <v>45804.76066</v>
      </c>
      <c r="K2351" s="49" t="s">
        <v>2378</v>
      </c>
      <c r="L2351" s="49" t="s">
        <v>23</v>
      </c>
      <c r="M2351" s="36">
        <f t="shared" si="26"/>
        <v>45805.59814</v>
      </c>
      <c r="N2351" s="30" t="str">
        <f t="shared" si="27"/>
        <v>Selesai</v>
      </c>
      <c r="O2351" s="45">
        <f t="shared" si="23"/>
        <v>45805.59814</v>
      </c>
      <c r="P2351" s="47" t="b">
        <v>1</v>
      </c>
      <c r="Q2351" s="36">
        <f t="shared" si="24"/>
        <v>45805.60164</v>
      </c>
      <c r="R2351" s="47" t="b">
        <v>0</v>
      </c>
      <c r="S2351" s="42" t="str">
        <f t="shared" si="28"/>
        <v/>
      </c>
      <c r="T2351" s="42"/>
    </row>
    <row r="2352" ht="22.5" customHeight="1">
      <c r="B2352" s="42">
        <f t="shared" si="7"/>
        <v>2346</v>
      </c>
      <c r="C2352" s="31" t="s">
        <v>2445</v>
      </c>
      <c r="D2352" s="34" t="str">
        <f t="array" ref="D2352">IFNA(_xlfn.XLOOKUP(C2352,Table_Tarikan_Warkah[Nomor Sertipikat],Table_Tarikan_Warkah[Nomor Tiket]),"")</f>
        <v>L/2/210525/1</v>
      </c>
      <c r="E2352" s="36">
        <f t="array" ref="E2352">IFNA(_xlfn.XLOOKUP(D2352,Table_Tarikan_Warkah[Nomor Tiket],Table_Tarikan_Warkah[Tanggal diserahkan kepada Validator]),"")</f>
        <v>45824.63473</v>
      </c>
      <c r="F2352" s="36" t="str">
        <f t="array" ref="F2352">IFNA(_xlfn.XLOOKUP(D2352,Table_Tarikan_Warkah[Nomor Tiket],Table_Tarikan_Warkah[Nama Petugas Warkah]),"")</f>
        <v>David</v>
      </c>
      <c r="G2352" s="39" t="str">
        <f t="array" ref="G2352">IFNA(_xlfn.XLOOKUP(D2352,Table_Tarikan_Warkah[Nomor Tiket],Table_Tarikan_Warkah[Jenis Permohonan]),"")</f>
        <v>ROYA</v>
      </c>
      <c r="H2352" s="41" t="s">
        <v>2315</v>
      </c>
      <c r="I2352" s="49" t="s">
        <v>23</v>
      </c>
      <c r="J2352" s="36">
        <f t="shared" si="20"/>
        <v>45804.76082</v>
      </c>
      <c r="K2352" s="49" t="s">
        <v>2378</v>
      </c>
      <c r="L2352" s="49" t="s">
        <v>23</v>
      </c>
      <c r="M2352" s="36">
        <f t="shared" si="26"/>
        <v>45805.59814</v>
      </c>
      <c r="N2352" s="30" t="str">
        <f t="shared" si="27"/>
        <v>Selesai</v>
      </c>
      <c r="O2352" s="45">
        <f t="shared" si="23"/>
        <v>45805.59814</v>
      </c>
      <c r="P2352" s="47" t="b">
        <v>1</v>
      </c>
      <c r="Q2352" s="36">
        <f t="shared" si="24"/>
        <v>45805.60164</v>
      </c>
      <c r="R2352" s="47" t="b">
        <v>0</v>
      </c>
      <c r="S2352" s="42" t="str">
        <f t="shared" si="28"/>
        <v/>
      </c>
      <c r="T2352" s="42"/>
    </row>
    <row r="2353" ht="22.5" customHeight="1">
      <c r="B2353" s="42">
        <f t="shared" si="7"/>
        <v>2347</v>
      </c>
      <c r="C2353" s="31" t="s">
        <v>2446</v>
      </c>
      <c r="D2353" s="34" t="str">
        <f t="array" ref="D2353">IFNA(_xlfn.XLOOKUP(C2353,Table_Tarikan_Warkah[Nomor Sertipikat],Table_Tarikan_Warkah[Nomor Tiket]),"")</f>
        <v>K/2/160525/1</v>
      </c>
      <c r="E2353" s="36">
        <f t="array" ref="E2353">IFNA(_xlfn.XLOOKUP(D2353,Table_Tarikan_Warkah[Nomor Tiket],Table_Tarikan_Warkah[Tanggal diserahkan kepada Validator]),"")</f>
        <v>45812.59138</v>
      </c>
      <c r="F2353" s="36" t="str">
        <f t="array" ref="F2353">IFNA(_xlfn.XLOOKUP(D2353,Table_Tarikan_Warkah[Nomor Tiket],Table_Tarikan_Warkah[Nama Petugas Warkah]),"")</f>
        <v>Berry</v>
      </c>
      <c r="G2353" s="39" t="str">
        <f t="array" ref="G2353">IFNA(_xlfn.XLOOKUP(D2353,Table_Tarikan_Warkah[Nomor Tiket],Table_Tarikan_Warkah[Jenis Permohonan]),"")</f>
        <v>JUAL BELI</v>
      </c>
      <c r="H2353" s="41" t="s">
        <v>2315</v>
      </c>
      <c r="I2353" s="49" t="s">
        <v>23</v>
      </c>
      <c r="J2353" s="36">
        <f t="shared" si="20"/>
        <v>45805.71629</v>
      </c>
      <c r="K2353" s="49" t="s">
        <v>2378</v>
      </c>
      <c r="L2353" s="49" t="s">
        <v>23</v>
      </c>
      <c r="M2353" s="36">
        <f t="shared" si="26"/>
        <v>45810.66687</v>
      </c>
      <c r="N2353" s="30" t="str">
        <f t="shared" si="27"/>
        <v>Selesai</v>
      </c>
      <c r="O2353" s="45">
        <f t="shared" si="23"/>
        <v>45810.66687</v>
      </c>
      <c r="P2353" s="47" t="b">
        <v>0</v>
      </c>
      <c r="Q2353" s="36" t="str">
        <f t="shared" si="24"/>
        <v/>
      </c>
      <c r="R2353" s="47" t="b">
        <v>0</v>
      </c>
      <c r="S2353" s="42" t="str">
        <f t="shared" si="28"/>
        <v/>
      </c>
      <c r="T2353" s="42"/>
    </row>
    <row r="2354" ht="22.5" customHeight="1">
      <c r="B2354" s="42">
        <f t="shared" si="7"/>
        <v>2348</v>
      </c>
      <c r="C2354" s="31" t="s">
        <v>852</v>
      </c>
      <c r="D2354" s="34" t="str">
        <f t="array" ref="D2354">IFNA(_xlfn.XLOOKUP(C2354,Table_Tarikan_Warkah[Nomor Sertipikat],Table_Tarikan_Warkah[Nomor Tiket]),"")</f>
        <v>K/40/311224/1</v>
      </c>
      <c r="E2354" s="36">
        <f t="array" ref="E2354">IFNA(_xlfn.XLOOKUP(D2354,Table_Tarikan_Warkah[Nomor Tiket],Table_Tarikan_Warkah[Tanggal diserahkan kepada Validator]),"")</f>
        <v>0</v>
      </c>
      <c r="F2354" s="36" t="str">
        <f t="array" ref="F2354">IFNA(_xlfn.XLOOKUP(D2354,Table_Tarikan_Warkah[Nomor Tiket],Table_Tarikan_Warkah[Nama Petugas Warkah]),"")</f>
        <v>David</v>
      </c>
      <c r="G2354" s="39" t="str">
        <f t="array" ref="G2354">IFNA(_xlfn.XLOOKUP(D2354,Table_Tarikan_Warkah[Nomor Tiket],Table_Tarikan_Warkah[Jenis Permohonan]),"")</f>
        <v>BN JUAL BELI</v>
      </c>
      <c r="H2354" s="41" t="s">
        <v>2315</v>
      </c>
      <c r="I2354" s="49" t="s">
        <v>23</v>
      </c>
      <c r="J2354" s="36">
        <f t="shared" si="20"/>
        <v>45805.71657</v>
      </c>
      <c r="K2354" s="49" t="s">
        <v>2378</v>
      </c>
      <c r="L2354" s="49" t="s">
        <v>23</v>
      </c>
      <c r="M2354" s="36">
        <f t="shared" si="26"/>
        <v>45810.66673</v>
      </c>
      <c r="N2354" s="30" t="str">
        <f t="shared" si="27"/>
        <v>Selesai</v>
      </c>
      <c r="O2354" s="45">
        <f t="shared" si="23"/>
        <v>45810.66673</v>
      </c>
      <c r="P2354" s="47" t="b">
        <v>0</v>
      </c>
      <c r="Q2354" s="36" t="str">
        <f t="shared" si="24"/>
        <v/>
      </c>
      <c r="R2354" s="47" t="b">
        <v>0</v>
      </c>
      <c r="S2354" s="42" t="str">
        <f t="shared" si="28"/>
        <v/>
      </c>
      <c r="T2354" s="42"/>
    </row>
    <row r="2355" ht="22.5" customHeight="1">
      <c r="B2355" s="42">
        <f t="shared" si="7"/>
        <v>2349</v>
      </c>
      <c r="C2355" s="31" t="s">
        <v>2447</v>
      </c>
      <c r="D2355" s="34" t="str">
        <f t="array" ref="D2355">IFNA(_xlfn.XLOOKUP(C2355,Table_Tarikan_Warkah[Nomor Sertipikat],Table_Tarikan_Warkah[Nomor Tiket]),"")</f>
        <v>K/16/080525/1</v>
      </c>
      <c r="E2355" s="36" t="str">
        <f t="array" ref="E2355">IFNA(_xlfn.XLOOKUP(D2355,Table_Tarikan_Warkah[Nomor Tiket],Table_Tarikan_Warkah[Tanggal diserahkan kepada Validator]),"")</f>
        <v/>
      </c>
      <c r="F2355" s="36" t="str">
        <f t="array" ref="F2355">IFNA(_xlfn.XLOOKUP(D2355,Table_Tarikan_Warkah[Nomor Tiket],Table_Tarikan_Warkah[Nama Petugas Warkah]),"")</f>
        <v/>
      </c>
      <c r="G2355" s="39" t="str">
        <f t="array" ref="G2355">IFNA(_xlfn.XLOOKUP(D2355,Table_Tarikan_Warkah[Nomor Tiket],Table_Tarikan_Warkah[Jenis Permohonan]),"")</f>
        <v>ROYA</v>
      </c>
      <c r="H2355" s="41" t="s">
        <v>2315</v>
      </c>
      <c r="I2355" s="49" t="s">
        <v>23</v>
      </c>
      <c r="J2355" s="36">
        <f t="shared" si="20"/>
        <v>45805.7169</v>
      </c>
      <c r="K2355" s="49" t="s">
        <v>2378</v>
      </c>
      <c r="L2355" s="49" t="s">
        <v>23</v>
      </c>
      <c r="M2355" s="36">
        <f t="shared" si="26"/>
        <v>45810.68258</v>
      </c>
      <c r="N2355" s="30" t="str">
        <f t="shared" si="27"/>
        <v>Selesai</v>
      </c>
      <c r="O2355" s="45">
        <f t="shared" si="23"/>
        <v>45810.68258</v>
      </c>
      <c r="P2355" s="47" t="b">
        <v>0</v>
      </c>
      <c r="Q2355" s="36" t="str">
        <f t="shared" si="24"/>
        <v/>
      </c>
      <c r="R2355" s="47" t="b">
        <v>0</v>
      </c>
      <c r="S2355" s="42" t="str">
        <f t="shared" si="28"/>
        <v/>
      </c>
      <c r="T2355" s="42"/>
    </row>
    <row r="2356" ht="22.5" customHeight="1">
      <c r="B2356" s="42">
        <f t="shared" si="7"/>
        <v>2350</v>
      </c>
      <c r="C2356" s="31" t="s">
        <v>2448</v>
      </c>
      <c r="D2356" s="34" t="str">
        <f t="array" ref="D2356">IFNA(_xlfn.XLOOKUP(C2356,Table_Tarikan_Warkah[Nomor Sertipikat],Table_Tarikan_Warkah[Nomor Tiket]),"")</f>
        <v>K/22/020525/1</v>
      </c>
      <c r="E2356" s="36">
        <f t="array" ref="E2356">IFNA(_xlfn.XLOOKUP(D2356,Table_Tarikan_Warkah[Nomor Tiket],Table_Tarikan_Warkah[Tanggal diserahkan kepada Validator]),"")</f>
        <v>45812.59122</v>
      </c>
      <c r="F2356" s="36" t="str">
        <f t="array" ref="F2356">IFNA(_xlfn.XLOOKUP(D2356,Table_Tarikan_Warkah[Nomor Tiket],Table_Tarikan_Warkah[Nama Petugas Warkah]),"")</f>
        <v>Berry</v>
      </c>
      <c r="G2356" s="39" t="str">
        <f t="array" ref="G2356">IFNA(_xlfn.XLOOKUP(D2356,Table_Tarikan_Warkah[Nomor Tiket],Table_Tarikan_Warkah[Jenis Permohonan]),"")</f>
        <v>BN WARIS</v>
      </c>
      <c r="H2356" s="41" t="s">
        <v>2315</v>
      </c>
      <c r="I2356" s="49" t="s">
        <v>23</v>
      </c>
      <c r="J2356" s="36">
        <f t="shared" si="20"/>
        <v>45805.71709</v>
      </c>
      <c r="K2356" s="49" t="s">
        <v>2378</v>
      </c>
      <c r="L2356" s="49" t="s">
        <v>23</v>
      </c>
      <c r="M2356" s="36">
        <f t="shared" si="26"/>
        <v>45810.67905</v>
      </c>
      <c r="N2356" s="30" t="str">
        <f t="shared" si="27"/>
        <v>Selesai</v>
      </c>
      <c r="O2356" s="45">
        <f t="shared" si="23"/>
        <v>45810.67905</v>
      </c>
      <c r="P2356" s="47" t="b">
        <v>0</v>
      </c>
      <c r="Q2356" s="36" t="str">
        <f t="shared" si="24"/>
        <v/>
      </c>
      <c r="R2356" s="47" t="b">
        <v>0</v>
      </c>
      <c r="S2356" s="42" t="str">
        <f t="shared" si="28"/>
        <v/>
      </c>
      <c r="T2356" s="42"/>
    </row>
    <row r="2357" ht="22.5" customHeight="1">
      <c r="B2357" s="42">
        <f t="shared" si="7"/>
        <v>2351</v>
      </c>
      <c r="C2357" s="31" t="s">
        <v>2449</v>
      </c>
      <c r="D2357" s="42" t="s">
        <v>2450</v>
      </c>
      <c r="E2357" s="36">
        <f t="array" ref="E2357">IFNA(_xlfn.XLOOKUP(D2357,Table_Tarikan_Warkah[Nomor Tiket],Table_Tarikan_Warkah[Tanggal diserahkan kepada Validator]),"")</f>
        <v>45812.59516</v>
      </c>
      <c r="F2357" s="36" t="str">
        <f t="array" ref="F2357">IFNA(_xlfn.XLOOKUP(D2357,Table_Tarikan_Warkah[Nomor Tiket],Table_Tarikan_Warkah[Nama Petugas Warkah]),"")</f>
        <v>Berry</v>
      </c>
      <c r="G2357" s="39" t="str">
        <f t="array" ref="G2357">IFNA(_xlfn.XLOOKUP(D2357,Table_Tarikan_Warkah[Nomor Tiket],Table_Tarikan_Warkah[Jenis Permohonan]),"")</f>
        <v>BN JUAL BELI</v>
      </c>
      <c r="H2357" s="41" t="s">
        <v>20</v>
      </c>
      <c r="I2357" s="49" t="s">
        <v>23</v>
      </c>
      <c r="J2357" s="36">
        <f t="shared" si="20"/>
        <v>45810.45536</v>
      </c>
      <c r="K2357" s="49" t="s">
        <v>2378</v>
      </c>
      <c r="L2357" s="49" t="s">
        <v>23</v>
      </c>
      <c r="M2357" s="36">
        <f t="shared" si="26"/>
        <v>45810.59466</v>
      </c>
      <c r="N2357" s="30" t="str">
        <f t="shared" si="27"/>
        <v>Selesai</v>
      </c>
      <c r="O2357" s="45">
        <f t="shared" si="23"/>
        <v>45810.59466</v>
      </c>
      <c r="P2357" s="47" t="b">
        <v>0</v>
      </c>
      <c r="Q2357" s="36" t="str">
        <f t="shared" si="24"/>
        <v/>
      </c>
      <c r="R2357" s="47" t="b">
        <v>0</v>
      </c>
      <c r="S2357" s="42" t="str">
        <f t="shared" si="28"/>
        <v/>
      </c>
      <c r="T2357" s="42"/>
    </row>
    <row r="2358" ht="22.5" customHeight="1">
      <c r="B2358" s="42">
        <f t="shared" si="7"/>
        <v>2352</v>
      </c>
      <c r="C2358" s="31" t="s">
        <v>2451</v>
      </c>
      <c r="D2358" s="34" t="str">
        <f t="array" ref="D2358">IFNA(_xlfn.XLOOKUP(C2358,Table_Tarikan_Warkah[Nomor Sertipikat],Table_Tarikan_Warkah[Nomor Tiket]),"")</f>
        <v>K/14/220525/1</v>
      </c>
      <c r="E2358" s="36">
        <f t="array" ref="E2358">IFNA(_xlfn.XLOOKUP(D2358,Table_Tarikan_Warkah[Nomor Tiket],Table_Tarikan_Warkah[Tanggal diserahkan kepada Validator]),"")</f>
        <v>45812.59538</v>
      </c>
      <c r="F2358" s="36" t="str">
        <f t="array" ref="F2358">IFNA(_xlfn.XLOOKUP(D2358,Table_Tarikan_Warkah[Nomor Tiket],Table_Tarikan_Warkah[Nama Petugas Warkah]),"")</f>
        <v>Berry</v>
      </c>
      <c r="G2358" s="39" t="str">
        <f t="array" ref="G2358">IFNA(_xlfn.XLOOKUP(D2358,Table_Tarikan_Warkah[Nomor Tiket],Table_Tarikan_Warkah[Jenis Permohonan]),"")</f>
        <v>BN HIBAH</v>
      </c>
      <c r="H2358" s="41" t="s">
        <v>20</v>
      </c>
      <c r="I2358" s="49" t="s">
        <v>23</v>
      </c>
      <c r="J2358" s="36">
        <f t="shared" si="20"/>
        <v>45810.45552</v>
      </c>
      <c r="K2358" s="49" t="s">
        <v>2378</v>
      </c>
      <c r="L2358" s="49" t="s">
        <v>23</v>
      </c>
      <c r="M2358" s="36">
        <f t="shared" si="26"/>
        <v>45810.60236</v>
      </c>
      <c r="N2358" s="30" t="str">
        <f t="shared" si="27"/>
        <v>Selesai</v>
      </c>
      <c r="O2358" s="45">
        <f t="shared" si="23"/>
        <v>45810.60236</v>
      </c>
      <c r="P2358" s="47" t="b">
        <v>0</v>
      </c>
      <c r="Q2358" s="36" t="str">
        <f t="shared" si="24"/>
        <v/>
      </c>
      <c r="R2358" s="47" t="b">
        <v>0</v>
      </c>
      <c r="S2358" s="42" t="str">
        <f t="shared" si="28"/>
        <v/>
      </c>
      <c r="T2358" s="42"/>
    </row>
    <row r="2359" ht="22.5" customHeight="1">
      <c r="B2359" s="42">
        <f t="shared" si="7"/>
        <v>2353</v>
      </c>
      <c r="C2359" s="31" t="s">
        <v>2452</v>
      </c>
      <c r="D2359" s="34" t="str">
        <f t="array" ref="D2359">IFNA(_xlfn.XLOOKUP(C2359,Table_Tarikan_Warkah[Nomor Sertipikat],Table_Tarikan_Warkah[Nomor Tiket]),"")</f>
        <v>K/15/020525/1</v>
      </c>
      <c r="E2359" s="36">
        <f t="array" ref="E2359">IFNA(_xlfn.XLOOKUP(D2359,Table_Tarikan_Warkah[Nomor Tiket],Table_Tarikan_Warkah[Tanggal diserahkan kepada Validator]),"")</f>
        <v>45812.59501</v>
      </c>
      <c r="F2359" s="36" t="str">
        <f t="array" ref="F2359">IFNA(_xlfn.XLOOKUP(D2359,Table_Tarikan_Warkah[Nomor Tiket],Table_Tarikan_Warkah[Nama Petugas Warkah]),"")</f>
        <v>Berry</v>
      </c>
      <c r="G2359" s="39" t="str">
        <f t="array" ref="G2359">IFNA(_xlfn.XLOOKUP(D2359,Table_Tarikan_Warkah[Nomor Tiket],Table_Tarikan_Warkah[Jenis Permohonan]),"")</f>
        <v>JUAL BELI</v>
      </c>
      <c r="H2359" s="41" t="s">
        <v>20</v>
      </c>
      <c r="I2359" s="49" t="s">
        <v>23</v>
      </c>
      <c r="J2359" s="36">
        <f t="shared" si="20"/>
        <v>45810.45566</v>
      </c>
      <c r="K2359" s="49" t="s">
        <v>2378</v>
      </c>
      <c r="L2359" s="49" t="s">
        <v>23</v>
      </c>
      <c r="M2359" s="36">
        <f t="shared" si="26"/>
        <v>45810.60236</v>
      </c>
      <c r="N2359" s="30" t="str">
        <f t="shared" si="27"/>
        <v>Selesai</v>
      </c>
      <c r="O2359" s="45">
        <f t="shared" si="23"/>
        <v>45810.60236</v>
      </c>
      <c r="P2359" s="47" t="b">
        <v>0</v>
      </c>
      <c r="Q2359" s="36" t="str">
        <f t="shared" si="24"/>
        <v/>
      </c>
      <c r="R2359" s="47" t="b">
        <v>0</v>
      </c>
      <c r="S2359" s="42" t="str">
        <f t="shared" si="28"/>
        <v/>
      </c>
      <c r="T2359" s="42"/>
    </row>
    <row r="2360" ht="22.5" customHeight="1">
      <c r="B2360" s="42">
        <f t="shared" si="7"/>
        <v>2354</v>
      </c>
      <c r="C2360" s="31" t="s">
        <v>2453</v>
      </c>
      <c r="D2360" s="34" t="str">
        <f t="array" ref="D2360">IFNA(_xlfn.XLOOKUP(C2360,Table_Tarikan_Warkah[Nomor Sertipikat],Table_Tarikan_Warkah[Nomor Tiket]),"")</f>
        <v>K/10/190525/1</v>
      </c>
      <c r="E2360" s="36">
        <f t="array" ref="E2360">IFNA(_xlfn.XLOOKUP(D2360,Table_Tarikan_Warkah[Nomor Tiket],Table_Tarikan_Warkah[Tanggal diserahkan kepada Validator]),"")</f>
        <v>45824.63063</v>
      </c>
      <c r="F2360" s="36" t="str">
        <f t="array" ref="F2360">IFNA(_xlfn.XLOOKUP(D2360,Table_Tarikan_Warkah[Nomor Tiket],Table_Tarikan_Warkah[Nama Petugas Warkah]),"")</f>
        <v>David</v>
      </c>
      <c r="G2360" s="39" t="str">
        <f t="array" ref="G2360">IFNA(_xlfn.XLOOKUP(D2360,Table_Tarikan_Warkah[Nomor Tiket],Table_Tarikan_Warkah[Jenis Permohonan]),"")</f>
        <v>ROYA</v>
      </c>
      <c r="H2360" s="41" t="s">
        <v>20</v>
      </c>
      <c r="I2360" s="49" t="s">
        <v>23</v>
      </c>
      <c r="J2360" s="36">
        <f t="shared" si="20"/>
        <v>45810.45579</v>
      </c>
      <c r="K2360" s="49" t="s">
        <v>2378</v>
      </c>
      <c r="L2360" s="49" t="s">
        <v>23</v>
      </c>
      <c r="M2360" s="36">
        <f t="shared" si="26"/>
        <v>45810.60236</v>
      </c>
      <c r="N2360" s="30" t="str">
        <f t="shared" si="27"/>
        <v>Selesai</v>
      </c>
      <c r="O2360" s="45">
        <f t="shared" si="23"/>
        <v>45810.60236</v>
      </c>
      <c r="P2360" s="47" t="b">
        <v>0</v>
      </c>
      <c r="Q2360" s="36" t="str">
        <f t="shared" si="24"/>
        <v/>
      </c>
      <c r="R2360" s="47" t="b">
        <v>0</v>
      </c>
      <c r="S2360" s="42" t="str">
        <f t="shared" si="28"/>
        <v/>
      </c>
      <c r="T2360" s="42"/>
    </row>
    <row r="2361" ht="22.5" customHeight="1">
      <c r="B2361" s="42">
        <f t="shared" si="7"/>
        <v>2355</v>
      </c>
      <c r="C2361" s="31" t="s">
        <v>2454</v>
      </c>
      <c r="D2361" s="34" t="str">
        <f t="array" ref="D2361">IFNA(_xlfn.XLOOKUP(C2361,Table_Tarikan_Warkah[Nomor Sertipikat],Table_Tarikan_Warkah[Nomor Tiket]),"")</f>
        <v>K/35/190525/1</v>
      </c>
      <c r="E2361" s="36">
        <f t="array" ref="E2361">IFNA(_xlfn.XLOOKUP(D2361,Table_Tarikan_Warkah[Nomor Tiket],Table_Tarikan_Warkah[Tanggal diserahkan kepada Validator]),"")</f>
        <v>45812.59373</v>
      </c>
      <c r="F2361" s="36" t="str">
        <f t="array" ref="F2361">IFNA(_xlfn.XLOOKUP(D2361,Table_Tarikan_Warkah[Nomor Tiket],Table_Tarikan_Warkah[Nama Petugas Warkah]),"")</f>
        <v>Berry</v>
      </c>
      <c r="G2361" s="39" t="str">
        <f t="array" ref="G2361">IFNA(_xlfn.XLOOKUP(D2361,Table_Tarikan_Warkah[Nomor Tiket],Table_Tarikan_Warkah[Jenis Permohonan]),"")</f>
        <v>JUAL BELI</v>
      </c>
      <c r="H2361" s="41" t="s">
        <v>20</v>
      </c>
      <c r="I2361" s="49" t="s">
        <v>23</v>
      </c>
      <c r="J2361" s="36">
        <f t="shared" si="20"/>
        <v>45810.45587</v>
      </c>
      <c r="K2361" s="49" t="s">
        <v>2378</v>
      </c>
      <c r="L2361" s="49" t="s">
        <v>23</v>
      </c>
      <c r="M2361" s="36">
        <f t="shared" si="26"/>
        <v>45810.60236</v>
      </c>
      <c r="N2361" s="30" t="str">
        <f t="shared" si="27"/>
        <v>Selesai</v>
      </c>
      <c r="O2361" s="45">
        <f t="shared" si="23"/>
        <v>45810.60236</v>
      </c>
      <c r="P2361" s="47" t="b">
        <v>0</v>
      </c>
      <c r="Q2361" s="36" t="str">
        <f t="shared" si="24"/>
        <v/>
      </c>
      <c r="R2361" s="47" t="b">
        <v>0</v>
      </c>
      <c r="S2361" s="42" t="str">
        <f t="shared" si="28"/>
        <v/>
      </c>
      <c r="T2361" s="42"/>
    </row>
    <row r="2362" ht="22.5" customHeight="1">
      <c r="B2362" s="42">
        <f t="shared" si="7"/>
        <v>2356</v>
      </c>
      <c r="C2362" s="31" t="s">
        <v>2455</v>
      </c>
      <c r="D2362" s="34" t="str">
        <f t="array" ref="D2362">IFNA(_xlfn.XLOOKUP(C2362,Table_Tarikan_Warkah[Nomor Sertipikat],Table_Tarikan_Warkah[Nomor Tiket]),"")</f>
        <v>K/39/190525/1</v>
      </c>
      <c r="E2362" s="36">
        <f t="array" ref="E2362">IFNA(_xlfn.XLOOKUP(D2362,Table_Tarikan_Warkah[Nomor Tiket],Table_Tarikan_Warkah[Tanggal diserahkan kepada Validator]),"")</f>
        <v>45812.59432</v>
      </c>
      <c r="F2362" s="36" t="str">
        <f t="array" ref="F2362">IFNA(_xlfn.XLOOKUP(D2362,Table_Tarikan_Warkah[Nomor Tiket],Table_Tarikan_Warkah[Nama Petugas Warkah]),"")</f>
        <v>Berry</v>
      </c>
      <c r="G2362" s="39" t="str">
        <f t="array" ref="G2362">IFNA(_xlfn.XLOOKUP(D2362,Table_Tarikan_Warkah[Nomor Tiket],Table_Tarikan_Warkah[Jenis Permohonan]),"")</f>
        <v>JUAL BELI</v>
      </c>
      <c r="H2362" s="41" t="s">
        <v>20</v>
      </c>
      <c r="I2362" s="49" t="s">
        <v>23</v>
      </c>
      <c r="J2362" s="36">
        <f t="shared" si="20"/>
        <v>45810.456</v>
      </c>
      <c r="K2362" s="49" t="s">
        <v>2378</v>
      </c>
      <c r="L2362" s="49" t="s">
        <v>23</v>
      </c>
      <c r="M2362" s="36">
        <f t="shared" si="26"/>
        <v>45810.60236</v>
      </c>
      <c r="N2362" s="30" t="str">
        <f t="shared" si="27"/>
        <v>Selesai</v>
      </c>
      <c r="O2362" s="45">
        <f t="shared" si="23"/>
        <v>45810.60236</v>
      </c>
      <c r="P2362" s="47" t="b">
        <v>0</v>
      </c>
      <c r="Q2362" s="36" t="str">
        <f t="shared" si="24"/>
        <v/>
      </c>
      <c r="R2362" s="47" t="b">
        <v>0</v>
      </c>
      <c r="S2362" s="42" t="str">
        <f t="shared" si="28"/>
        <v/>
      </c>
      <c r="T2362" s="42"/>
    </row>
    <row r="2363" ht="22.5" customHeight="1">
      <c r="B2363" s="42">
        <f t="shared" si="7"/>
        <v>2357</v>
      </c>
      <c r="C2363" s="31" t="s">
        <v>2456</v>
      </c>
      <c r="D2363" s="34" t="str">
        <f t="array" ref="D2363">IFNA(_xlfn.XLOOKUP(C2363,Table_Tarikan_Warkah[Nomor Sertipikat],Table_Tarikan_Warkah[Nomor Tiket]),"")</f>
        <v>K/11/251124/1</v>
      </c>
      <c r="E2363" s="36">
        <f t="array" ref="E2363">IFNA(_xlfn.XLOOKUP(D2363,Table_Tarikan_Warkah[Nomor Tiket],Table_Tarikan_Warkah[Tanggal diserahkan kepada Validator]),"")</f>
        <v>45812.60709</v>
      </c>
      <c r="F2363" s="36" t="str">
        <f t="array" ref="F2363">IFNA(_xlfn.XLOOKUP(D2363,Table_Tarikan_Warkah[Nomor Tiket],Table_Tarikan_Warkah[Nama Petugas Warkah]),"")</f>
        <v>Berry</v>
      </c>
      <c r="G2363" s="39" t="str">
        <f t="array" ref="G2363">IFNA(_xlfn.XLOOKUP(D2363,Table_Tarikan_Warkah[Nomor Tiket],Table_Tarikan_Warkah[Jenis Permohonan]),"")</f>
        <v>BN Jual Beli</v>
      </c>
      <c r="H2363" s="41" t="s">
        <v>20</v>
      </c>
      <c r="I2363" s="49" t="s">
        <v>23</v>
      </c>
      <c r="J2363" s="36">
        <f t="shared" si="20"/>
        <v>45810.45615</v>
      </c>
      <c r="K2363" s="49" t="s">
        <v>2378</v>
      </c>
      <c r="L2363" s="49" t="s">
        <v>23</v>
      </c>
      <c r="M2363" s="36">
        <f t="shared" si="26"/>
        <v>45810.60236</v>
      </c>
      <c r="N2363" s="30" t="str">
        <f t="shared" si="27"/>
        <v>Selesai</v>
      </c>
      <c r="O2363" s="45">
        <f t="shared" si="23"/>
        <v>45810.60236</v>
      </c>
      <c r="P2363" s="47" t="b">
        <v>0</v>
      </c>
      <c r="Q2363" s="36" t="str">
        <f t="shared" si="24"/>
        <v/>
      </c>
      <c r="R2363" s="47" t="b">
        <v>0</v>
      </c>
      <c r="S2363" s="42" t="str">
        <f t="shared" si="28"/>
        <v/>
      </c>
      <c r="T2363" s="42"/>
    </row>
    <row r="2364" ht="22.5" customHeight="1">
      <c r="B2364" s="42">
        <f t="shared" si="7"/>
        <v>2358</v>
      </c>
      <c r="C2364" s="31" t="s">
        <v>2457</v>
      </c>
      <c r="D2364" s="34" t="str">
        <f t="array" ref="D2364">IFNA(_xlfn.XLOOKUP(C2364,Table_Tarikan_Warkah[Nomor Sertipikat],Table_Tarikan_Warkah[Nomor Tiket]),"")</f>
        <v>K/2/220525/1</v>
      </c>
      <c r="E2364" s="36">
        <f t="array" ref="E2364">IFNA(_xlfn.XLOOKUP(D2364,Table_Tarikan_Warkah[Nomor Tiket],Table_Tarikan_Warkah[Tanggal diserahkan kepada Validator]),"")</f>
        <v>45812.6081</v>
      </c>
      <c r="F2364" s="36" t="str">
        <f t="array" ref="F2364">IFNA(_xlfn.XLOOKUP(D2364,Table_Tarikan_Warkah[Nomor Tiket],Table_Tarikan_Warkah[Nama Petugas Warkah]),"")</f>
        <v>Berry</v>
      </c>
      <c r="G2364" s="39" t="str">
        <f t="array" ref="G2364">IFNA(_xlfn.XLOOKUP(D2364,Table_Tarikan_Warkah[Nomor Tiket],Table_Tarikan_Warkah[Jenis Permohonan]),"")</f>
        <v>BN Jual Beli</v>
      </c>
      <c r="H2364" s="41" t="s">
        <v>20</v>
      </c>
      <c r="I2364" s="49" t="s">
        <v>23</v>
      </c>
      <c r="J2364" s="36">
        <f t="shared" si="20"/>
        <v>45810.45633</v>
      </c>
      <c r="K2364" s="49" t="s">
        <v>2378</v>
      </c>
      <c r="L2364" s="49" t="s">
        <v>23</v>
      </c>
      <c r="M2364" s="36">
        <f t="shared" si="26"/>
        <v>45810.60236</v>
      </c>
      <c r="N2364" s="30" t="str">
        <f t="shared" si="27"/>
        <v>Selesai</v>
      </c>
      <c r="O2364" s="45">
        <f t="shared" si="23"/>
        <v>45810.60236</v>
      </c>
      <c r="P2364" s="47" t="b">
        <v>0</v>
      </c>
      <c r="Q2364" s="36" t="str">
        <f t="shared" si="24"/>
        <v/>
      </c>
      <c r="R2364" s="47" t="b">
        <v>0</v>
      </c>
      <c r="S2364" s="42" t="str">
        <f t="shared" si="28"/>
        <v/>
      </c>
      <c r="T2364" s="42"/>
    </row>
    <row r="2365" ht="22.5" customHeight="1">
      <c r="B2365" s="42">
        <f t="shared" si="7"/>
        <v>2359</v>
      </c>
      <c r="C2365" s="31" t="s">
        <v>2458</v>
      </c>
      <c r="D2365" s="34" t="str">
        <f t="array" ref="D2365">IFNA(_xlfn.XLOOKUP(C2365,Table_Tarikan_Warkah[Nomor Sertipikat],Table_Tarikan_Warkah[Nomor Tiket]),"")</f>
        <v>K/37/210525/1</v>
      </c>
      <c r="E2365" s="36">
        <f t="array" ref="E2365">IFNA(_xlfn.XLOOKUP(D2365,Table_Tarikan_Warkah[Nomor Tiket],Table_Tarikan_Warkah[Tanggal diserahkan kepada Validator]),"")</f>
        <v>45812.60833</v>
      </c>
      <c r="F2365" s="36" t="str">
        <f t="array" ref="F2365">IFNA(_xlfn.XLOOKUP(D2365,Table_Tarikan_Warkah[Nomor Tiket],Table_Tarikan_Warkah[Nama Petugas Warkah]),"")</f>
        <v>Berry</v>
      </c>
      <c r="G2365" s="39" t="str">
        <f t="array" ref="G2365">IFNA(_xlfn.XLOOKUP(D2365,Table_Tarikan_Warkah[Nomor Tiket],Table_Tarikan_Warkah[Jenis Permohonan]),"")</f>
        <v>BN Jual Beli</v>
      </c>
      <c r="H2365" s="41" t="s">
        <v>20</v>
      </c>
      <c r="I2365" s="49" t="s">
        <v>23</v>
      </c>
      <c r="J2365" s="36">
        <f t="shared" si="20"/>
        <v>45810.45642</v>
      </c>
      <c r="K2365" s="49" t="s">
        <v>2378</v>
      </c>
      <c r="L2365" s="49" t="s">
        <v>23</v>
      </c>
      <c r="M2365" s="36">
        <f t="shared" si="26"/>
        <v>45810.60236</v>
      </c>
      <c r="N2365" s="30" t="str">
        <f t="shared" si="27"/>
        <v>Selesai</v>
      </c>
      <c r="O2365" s="45">
        <f t="shared" si="23"/>
        <v>45810.60236</v>
      </c>
      <c r="P2365" s="47" t="b">
        <v>0</v>
      </c>
      <c r="Q2365" s="36" t="str">
        <f t="shared" si="24"/>
        <v/>
      </c>
      <c r="R2365" s="47" t="b">
        <v>0</v>
      </c>
      <c r="S2365" s="42" t="str">
        <f t="shared" si="28"/>
        <v/>
      </c>
      <c r="T2365" s="42"/>
    </row>
    <row r="2366" ht="22.5" customHeight="1">
      <c r="B2366" s="42">
        <f t="shared" si="7"/>
        <v>2360</v>
      </c>
      <c r="C2366" s="31" t="s">
        <v>2459</v>
      </c>
      <c r="D2366" s="34" t="str">
        <f t="array" ref="D2366">IFNA(_xlfn.XLOOKUP(C2366,Table_Tarikan_Warkah[Nomor Sertipikat],Table_Tarikan_Warkah[Nomor Tiket]),"")</f>
        <v>K/5/190525/1</v>
      </c>
      <c r="E2366" s="36">
        <f t="array" ref="E2366">IFNA(_xlfn.XLOOKUP(D2366,Table_Tarikan_Warkah[Nomor Tiket],Table_Tarikan_Warkah[Tanggal diserahkan kepada Validator]),"")</f>
        <v>45812.60856</v>
      </c>
      <c r="F2366" s="36" t="str">
        <f t="array" ref="F2366">IFNA(_xlfn.XLOOKUP(D2366,Table_Tarikan_Warkah[Nomor Tiket],Table_Tarikan_Warkah[Nama Petugas Warkah]),"")</f>
        <v>Berry</v>
      </c>
      <c r="G2366" s="39" t="str">
        <f t="array" ref="G2366">IFNA(_xlfn.XLOOKUP(D2366,Table_Tarikan_Warkah[Nomor Tiket],Table_Tarikan_Warkah[Jenis Permohonan]),"")</f>
        <v>BN Jual Beli</v>
      </c>
      <c r="H2366" s="41" t="s">
        <v>20</v>
      </c>
      <c r="I2366" s="49" t="s">
        <v>23</v>
      </c>
      <c r="J2366" s="36">
        <f t="shared" si="20"/>
        <v>45810.45653</v>
      </c>
      <c r="K2366" s="49" t="s">
        <v>2378</v>
      </c>
      <c r="L2366" s="49" t="s">
        <v>23</v>
      </c>
      <c r="M2366" s="36">
        <f t="shared" si="26"/>
        <v>45810.60236</v>
      </c>
      <c r="N2366" s="30" t="str">
        <f t="shared" si="27"/>
        <v>Selesai</v>
      </c>
      <c r="O2366" s="45">
        <f t="shared" si="23"/>
        <v>45810.60236</v>
      </c>
      <c r="P2366" s="47" t="b">
        <v>0</v>
      </c>
      <c r="Q2366" s="36" t="str">
        <f t="shared" si="24"/>
        <v/>
      </c>
      <c r="R2366" s="47" t="b">
        <v>0</v>
      </c>
      <c r="S2366" s="42" t="str">
        <f t="shared" si="28"/>
        <v/>
      </c>
      <c r="T2366" s="42"/>
    </row>
    <row r="2367" ht="22.5" customHeight="1">
      <c r="B2367" s="42">
        <f t="shared" si="7"/>
        <v>2361</v>
      </c>
      <c r="C2367" s="31" t="s">
        <v>2460</v>
      </c>
      <c r="D2367" s="34" t="str">
        <f t="array" ref="D2367">IFNA(_xlfn.XLOOKUP(C2367,Table_Tarikan_Warkah[Nomor Sertipikat],Table_Tarikan_Warkah[Nomor Tiket]),"")</f>
        <v>K/33/190525/1</v>
      </c>
      <c r="E2367" s="36">
        <f t="array" ref="E2367">IFNA(_xlfn.XLOOKUP(D2367,Table_Tarikan_Warkah[Nomor Tiket],Table_Tarikan_Warkah[Tanggal diserahkan kepada Validator]),"")</f>
        <v>45812.6088</v>
      </c>
      <c r="F2367" s="36" t="str">
        <f t="array" ref="F2367">IFNA(_xlfn.XLOOKUP(D2367,Table_Tarikan_Warkah[Nomor Tiket],Table_Tarikan_Warkah[Nama Petugas Warkah]),"")</f>
        <v>Berry</v>
      </c>
      <c r="G2367" s="39" t="str">
        <f t="array" ref="G2367">IFNA(_xlfn.XLOOKUP(D2367,Table_Tarikan_Warkah[Nomor Tiket],Table_Tarikan_Warkah[Jenis Permohonan]),"")</f>
        <v>BN Hibah</v>
      </c>
      <c r="H2367" s="41" t="s">
        <v>20</v>
      </c>
      <c r="I2367" s="49" t="s">
        <v>23</v>
      </c>
      <c r="J2367" s="36">
        <f t="shared" si="20"/>
        <v>45810.45667</v>
      </c>
      <c r="K2367" s="49" t="s">
        <v>2378</v>
      </c>
      <c r="L2367" s="49" t="s">
        <v>23</v>
      </c>
      <c r="M2367" s="36">
        <f t="shared" si="26"/>
        <v>45810.60236</v>
      </c>
      <c r="N2367" s="30" t="str">
        <f t="shared" si="27"/>
        <v>Selesai</v>
      </c>
      <c r="O2367" s="45">
        <f t="shared" si="23"/>
        <v>45810.60236</v>
      </c>
      <c r="P2367" s="47" t="b">
        <v>0</v>
      </c>
      <c r="Q2367" s="36" t="str">
        <f t="shared" si="24"/>
        <v/>
      </c>
      <c r="R2367" s="47" t="b">
        <v>0</v>
      </c>
      <c r="S2367" s="42" t="str">
        <f t="shared" si="28"/>
        <v/>
      </c>
      <c r="T2367" s="42"/>
    </row>
    <row r="2368" ht="22.5" customHeight="1">
      <c r="B2368" s="42">
        <f t="shared" si="7"/>
        <v>2362</v>
      </c>
      <c r="C2368" s="31" t="s">
        <v>2461</v>
      </c>
      <c r="D2368" s="34" t="str">
        <f t="array" ref="D2368">IFNA(_xlfn.XLOOKUP(C2368,Table_Tarikan_Warkah[Nomor Sertipikat],Table_Tarikan_Warkah[Nomor Tiket]),"")</f>
        <v>K/41/220525/2</v>
      </c>
      <c r="E2368" s="36">
        <f t="array" ref="E2368">IFNA(_xlfn.XLOOKUP(D2368,Table_Tarikan_Warkah[Nomor Tiket],Table_Tarikan_Warkah[Tanggal diserahkan kepada Validator]),"")</f>
        <v>45812.59062</v>
      </c>
      <c r="F2368" s="36" t="str">
        <f t="array" ref="F2368">IFNA(_xlfn.XLOOKUP(D2368,Table_Tarikan_Warkah[Nomor Tiket],Table_Tarikan_Warkah[Nama Petugas Warkah]),"")</f>
        <v>Berry</v>
      </c>
      <c r="G2368" s="39" t="str">
        <f t="array" ref="G2368">IFNA(_xlfn.XLOOKUP(D2368,Table_Tarikan_Warkah[Nomor Tiket],Table_Tarikan_Warkah[Jenis Permohonan]),"")</f>
        <v>BN JUAL BELI</v>
      </c>
      <c r="H2368" s="41" t="s">
        <v>2315</v>
      </c>
      <c r="I2368" s="49" t="s">
        <v>23</v>
      </c>
      <c r="J2368" s="36">
        <f t="shared" si="20"/>
        <v>45810.6092</v>
      </c>
      <c r="K2368" s="49" t="s">
        <v>2378</v>
      </c>
      <c r="L2368" s="49" t="s">
        <v>23</v>
      </c>
      <c r="M2368" s="36">
        <f t="shared" si="26"/>
        <v>45810.66866</v>
      </c>
      <c r="N2368" s="30" t="str">
        <f t="shared" si="27"/>
        <v>Selesai</v>
      </c>
      <c r="O2368" s="45">
        <f t="shared" si="23"/>
        <v>45810.66866</v>
      </c>
      <c r="P2368" s="47" t="b">
        <v>0</v>
      </c>
      <c r="Q2368" s="36" t="str">
        <f t="shared" si="24"/>
        <v/>
      </c>
      <c r="R2368" s="47" t="b">
        <v>0</v>
      </c>
      <c r="S2368" s="42" t="str">
        <f t="shared" si="28"/>
        <v/>
      </c>
      <c r="T2368" s="42"/>
    </row>
    <row r="2369" ht="22.5" customHeight="1">
      <c r="B2369" s="42">
        <f t="shared" si="7"/>
        <v>2363</v>
      </c>
      <c r="C2369" s="31" t="s">
        <v>2462</v>
      </c>
      <c r="D2369" s="34" t="str">
        <f t="array" ref="D2369">IFNA(_xlfn.XLOOKUP(C2369,Table_Tarikan_Warkah[Nomor Sertipikat],Table_Tarikan_Warkah[Nomor Tiket]),"")</f>
        <v>K/25/220525/1</v>
      </c>
      <c r="E2369" s="36">
        <f t="array" ref="E2369">IFNA(_xlfn.XLOOKUP(D2369,Table_Tarikan_Warkah[Nomor Tiket],Table_Tarikan_Warkah[Tanggal diserahkan kepada Validator]),"")</f>
        <v>45812.5903</v>
      </c>
      <c r="F2369" s="36" t="str">
        <f t="array" ref="F2369">IFNA(_xlfn.XLOOKUP(D2369,Table_Tarikan_Warkah[Nomor Tiket],Table_Tarikan_Warkah[Nama Petugas Warkah]),"")</f>
        <v>Berry</v>
      </c>
      <c r="G2369" s="39" t="str">
        <f t="array" ref="G2369">IFNA(_xlfn.XLOOKUP(D2369,Table_Tarikan_Warkah[Nomor Tiket],Table_Tarikan_Warkah[Jenis Permohonan]),"")</f>
        <v>BN JUAL BELI</v>
      </c>
      <c r="H2369" s="41" t="s">
        <v>2315</v>
      </c>
      <c r="I2369" s="49" t="s">
        <v>23</v>
      </c>
      <c r="J2369" s="36">
        <f t="shared" si="20"/>
        <v>45810.60932</v>
      </c>
      <c r="K2369" s="49" t="s">
        <v>2378</v>
      </c>
      <c r="L2369" s="49" t="s">
        <v>23</v>
      </c>
      <c r="M2369" s="36">
        <f t="shared" si="26"/>
        <v>45810.66854</v>
      </c>
      <c r="N2369" s="30" t="str">
        <f t="shared" si="27"/>
        <v>Selesai</v>
      </c>
      <c r="O2369" s="45">
        <f t="shared" si="23"/>
        <v>45810.66854</v>
      </c>
      <c r="P2369" s="47" t="b">
        <v>0</v>
      </c>
      <c r="Q2369" s="36" t="str">
        <f t="shared" si="24"/>
        <v/>
      </c>
      <c r="R2369" s="47" t="b">
        <v>0</v>
      </c>
      <c r="S2369" s="42" t="str">
        <f t="shared" si="28"/>
        <v/>
      </c>
      <c r="T2369" s="42"/>
    </row>
    <row r="2370" ht="22.5" customHeight="1">
      <c r="B2370" s="42">
        <f t="shared" si="7"/>
        <v>2364</v>
      </c>
      <c r="C2370" s="31" t="s">
        <v>2463</v>
      </c>
      <c r="D2370" s="34" t="str">
        <f t="array" ref="D2370">IFNA(_xlfn.XLOOKUP(C2370,Table_Tarikan_Warkah[Nomor Sertipikat],Table_Tarikan_Warkah[Nomor Tiket]),"")</f>
        <v>K/9/190525/1</v>
      </c>
      <c r="E2370" s="36">
        <f t="array" ref="E2370">IFNA(_xlfn.XLOOKUP(D2370,Table_Tarikan_Warkah[Nomor Tiket],Table_Tarikan_Warkah[Tanggal diserahkan kepada Validator]),"")</f>
        <v>45852.64229</v>
      </c>
      <c r="F2370" s="36" t="str">
        <f t="array" ref="F2370">IFNA(_xlfn.XLOOKUP(D2370,Table_Tarikan_Warkah[Nomor Tiket],Table_Tarikan_Warkah[Nama Petugas Warkah]),"")</f>
        <v>David</v>
      </c>
      <c r="G2370" s="39" t="str">
        <f t="array" ref="G2370">IFNA(_xlfn.XLOOKUP(D2370,Table_Tarikan_Warkah[Nomor Tiket],Table_Tarikan_Warkah[Jenis Permohonan]),"")</f>
        <v>ROYA</v>
      </c>
      <c r="H2370" s="41" t="s">
        <v>2315</v>
      </c>
      <c r="I2370" s="49" t="s">
        <v>23</v>
      </c>
      <c r="J2370" s="36">
        <f t="shared" si="20"/>
        <v>45810.60948</v>
      </c>
      <c r="K2370" s="49" t="s">
        <v>2378</v>
      </c>
      <c r="L2370" s="49" t="s">
        <v>23</v>
      </c>
      <c r="M2370" s="36">
        <f t="shared" si="26"/>
        <v>45810.66805</v>
      </c>
      <c r="N2370" s="30" t="str">
        <f t="shared" si="27"/>
        <v>Selesai</v>
      </c>
      <c r="O2370" s="45">
        <f t="shared" si="23"/>
        <v>45810.66805</v>
      </c>
      <c r="P2370" s="47" t="b">
        <v>0</v>
      </c>
      <c r="Q2370" s="36" t="str">
        <f t="shared" si="24"/>
        <v/>
      </c>
      <c r="R2370" s="47" t="b">
        <v>0</v>
      </c>
      <c r="S2370" s="42" t="str">
        <f t="shared" si="28"/>
        <v/>
      </c>
      <c r="T2370" s="42"/>
    </row>
    <row r="2371" ht="22.5" customHeight="1">
      <c r="B2371" s="42">
        <f t="shared" si="7"/>
        <v>2365</v>
      </c>
      <c r="C2371" s="31" t="s">
        <v>2464</v>
      </c>
      <c r="D2371" s="34" t="str">
        <f t="array" ref="D2371">IFNA(_xlfn.XLOOKUP(C2371,Table_Tarikan_Warkah[Nomor Sertipikat],Table_Tarikan_Warkah[Nomor Tiket]),"")</f>
        <v>K/11/210525/1</v>
      </c>
      <c r="E2371" s="36">
        <f t="array" ref="E2371">IFNA(_xlfn.XLOOKUP(D2371,Table_Tarikan_Warkah[Nomor Tiket],Table_Tarikan_Warkah[Tanggal diserahkan kepada Validator]),"")</f>
        <v>45812.59009</v>
      </c>
      <c r="F2371" s="36" t="str">
        <f t="array" ref="F2371">IFNA(_xlfn.XLOOKUP(D2371,Table_Tarikan_Warkah[Nomor Tiket],Table_Tarikan_Warkah[Nama Petugas Warkah]),"")</f>
        <v>Berry</v>
      </c>
      <c r="G2371" s="39" t="str">
        <f t="array" ref="G2371">IFNA(_xlfn.XLOOKUP(D2371,Table_Tarikan_Warkah[Nomor Tiket],Table_Tarikan_Warkah[Jenis Permohonan]),"")</f>
        <v>BN HIBAH</v>
      </c>
      <c r="H2371" s="41" t="s">
        <v>2315</v>
      </c>
      <c r="I2371" s="49" t="s">
        <v>23</v>
      </c>
      <c r="J2371" s="36">
        <f t="shared" si="20"/>
        <v>45810.60966</v>
      </c>
      <c r="K2371" s="49" t="s">
        <v>2378</v>
      </c>
      <c r="L2371" s="49" t="s">
        <v>23</v>
      </c>
      <c r="M2371" s="36">
        <f t="shared" si="26"/>
        <v>45810.66777</v>
      </c>
      <c r="N2371" s="30" t="str">
        <f t="shared" si="27"/>
        <v>Selesai</v>
      </c>
      <c r="O2371" s="45">
        <f t="shared" si="23"/>
        <v>45810.66777</v>
      </c>
      <c r="P2371" s="47" t="b">
        <v>0</v>
      </c>
      <c r="Q2371" s="36" t="str">
        <f t="shared" si="24"/>
        <v/>
      </c>
      <c r="R2371" s="47" t="b">
        <v>0</v>
      </c>
      <c r="S2371" s="42" t="str">
        <f t="shared" si="28"/>
        <v/>
      </c>
      <c r="T2371" s="42"/>
    </row>
    <row r="2372" ht="22.5" customHeight="1">
      <c r="B2372" s="42">
        <f t="shared" si="7"/>
        <v>2366</v>
      </c>
      <c r="C2372" s="31" t="s">
        <v>2465</v>
      </c>
      <c r="D2372" s="34" t="str">
        <f t="array" ref="D2372">IFNA(_xlfn.XLOOKUP(C2372,Table_Tarikan_Warkah[Nomor Sertipikat],Table_Tarikan_Warkah[Nomor Tiket]),"")</f>
        <v>K/20/220525/1</v>
      </c>
      <c r="E2372" s="36">
        <f t="array" ref="E2372">IFNA(_xlfn.XLOOKUP(D2372,Table_Tarikan_Warkah[Nomor Tiket],Table_Tarikan_Warkah[Tanggal diserahkan kepada Validator]),"")</f>
        <v>45824.63175</v>
      </c>
      <c r="F2372" s="36" t="str">
        <f t="array" ref="F2372">IFNA(_xlfn.XLOOKUP(D2372,Table_Tarikan_Warkah[Nomor Tiket],Table_Tarikan_Warkah[Nama Petugas Warkah]),"")</f>
        <v>David</v>
      </c>
      <c r="G2372" s="39" t="str">
        <f t="array" ref="G2372">IFNA(_xlfn.XLOOKUP(D2372,Table_Tarikan_Warkah[Nomor Tiket],Table_Tarikan_Warkah[Jenis Permohonan]),"")</f>
        <v>ROYA</v>
      </c>
      <c r="H2372" s="41" t="s">
        <v>2315</v>
      </c>
      <c r="I2372" s="49" t="s">
        <v>23</v>
      </c>
      <c r="J2372" s="36">
        <f t="shared" si="20"/>
        <v>45810.60988</v>
      </c>
      <c r="K2372" s="49" t="s">
        <v>2378</v>
      </c>
      <c r="L2372" s="49" t="s">
        <v>23</v>
      </c>
      <c r="M2372" s="36">
        <f t="shared" si="26"/>
        <v>45811.37856</v>
      </c>
      <c r="N2372" s="30" t="str">
        <f t="shared" si="27"/>
        <v>Selesai</v>
      </c>
      <c r="O2372" s="45">
        <f t="shared" si="23"/>
        <v>45811.37856</v>
      </c>
      <c r="P2372" s="47" t="b">
        <v>0</v>
      </c>
      <c r="Q2372" s="36" t="str">
        <f t="shared" si="24"/>
        <v/>
      </c>
      <c r="R2372" s="47" t="b">
        <v>0</v>
      </c>
      <c r="S2372" s="42" t="str">
        <f t="shared" si="28"/>
        <v/>
      </c>
      <c r="T2372" s="42"/>
    </row>
    <row r="2373" ht="22.5" customHeight="1">
      <c r="B2373" s="42">
        <f t="shared" si="7"/>
        <v>2367</v>
      </c>
      <c r="C2373" s="31" t="s">
        <v>2466</v>
      </c>
      <c r="D2373" s="34" t="str">
        <f t="array" ref="D2373">IFNA(_xlfn.XLOOKUP(C2373,Table_Tarikan_Warkah[Nomor Sertipikat],Table_Tarikan_Warkah[Nomor Tiket]),"")</f>
        <v>K/2/110225/1</v>
      </c>
      <c r="E2373" s="36" t="str">
        <f t="array" ref="E2373">IFNA(_xlfn.XLOOKUP(D2373,Table_Tarikan_Warkah[Nomor Tiket],Table_Tarikan_Warkah[Tanggal diserahkan kepada Validator]),"")</f>
        <v/>
      </c>
      <c r="F2373" s="36" t="str">
        <f t="array" ref="F2373">IFNA(_xlfn.XLOOKUP(D2373,Table_Tarikan_Warkah[Nomor Tiket],Table_Tarikan_Warkah[Nama Petugas Warkah]),"")</f>
        <v/>
      </c>
      <c r="G2373" s="39" t="str">
        <f t="array" ref="G2373">IFNA(_xlfn.XLOOKUP(D2373,Table_Tarikan_Warkah[Nomor Tiket],Table_Tarikan_Warkah[Jenis Permohonan]),"")</f>
        <v>SKPT LELANG</v>
      </c>
      <c r="H2373" s="41" t="s">
        <v>2315</v>
      </c>
      <c r="I2373" s="49" t="s">
        <v>23</v>
      </c>
      <c r="J2373" s="36">
        <f t="shared" si="20"/>
        <v>45810.61003</v>
      </c>
      <c r="K2373" s="49" t="s">
        <v>2378</v>
      </c>
      <c r="L2373" s="49" t="s">
        <v>23</v>
      </c>
      <c r="M2373" s="36">
        <f t="shared" si="26"/>
        <v>45811.37856</v>
      </c>
      <c r="N2373" s="30" t="str">
        <f t="shared" si="27"/>
        <v>Selesai</v>
      </c>
      <c r="O2373" s="45">
        <f t="shared" si="23"/>
        <v>45811.37856</v>
      </c>
      <c r="P2373" s="47" t="b">
        <v>0</v>
      </c>
      <c r="Q2373" s="36" t="str">
        <f t="shared" si="24"/>
        <v/>
      </c>
      <c r="R2373" s="47" t="b">
        <v>0</v>
      </c>
      <c r="S2373" s="42" t="str">
        <f t="shared" si="28"/>
        <v/>
      </c>
      <c r="T2373" s="42"/>
    </row>
    <row r="2374" ht="22.5" customHeight="1">
      <c r="B2374" s="42">
        <f t="shared" si="7"/>
        <v>2368</v>
      </c>
      <c r="C2374" s="31" t="s">
        <v>2467</v>
      </c>
      <c r="D2374" s="34" t="str">
        <f t="array" ref="D2374">IFNA(_xlfn.XLOOKUP(C2374,Table_Tarikan_Warkah[Nomor Sertipikat],Table_Tarikan_Warkah[Nomor Tiket]),"")</f>
        <v>K/1/190525/1</v>
      </c>
      <c r="E2374" s="36">
        <f t="array" ref="E2374">IFNA(_xlfn.XLOOKUP(D2374,Table_Tarikan_Warkah[Nomor Tiket],Table_Tarikan_Warkah[Tanggal diserahkan kepada Validator]),"")</f>
        <v>45812.58951</v>
      </c>
      <c r="F2374" s="36" t="str">
        <f t="array" ref="F2374">IFNA(_xlfn.XLOOKUP(D2374,Table_Tarikan_Warkah[Nomor Tiket],Table_Tarikan_Warkah[Nama Petugas Warkah]),"")</f>
        <v>Berry</v>
      </c>
      <c r="G2374" s="39" t="str">
        <f t="array" ref="G2374">IFNA(_xlfn.XLOOKUP(D2374,Table_Tarikan_Warkah[Nomor Tiket],Table_Tarikan_Warkah[Jenis Permohonan]),"")</f>
        <v>BN WARIS</v>
      </c>
      <c r="H2374" s="41" t="s">
        <v>2315</v>
      </c>
      <c r="I2374" s="49" t="s">
        <v>23</v>
      </c>
      <c r="J2374" s="36">
        <f t="shared" si="20"/>
        <v>45810.61033</v>
      </c>
      <c r="K2374" s="49" t="s">
        <v>2378</v>
      </c>
      <c r="L2374" s="49" t="s">
        <v>23</v>
      </c>
      <c r="M2374" s="36">
        <f t="shared" si="26"/>
        <v>45811.37869</v>
      </c>
      <c r="N2374" s="30" t="str">
        <f t="shared" si="27"/>
        <v>Selesai</v>
      </c>
      <c r="O2374" s="45">
        <f t="shared" si="23"/>
        <v>45811.37869</v>
      </c>
      <c r="P2374" s="47" t="b">
        <v>0</v>
      </c>
      <c r="Q2374" s="36" t="str">
        <f t="shared" si="24"/>
        <v/>
      </c>
      <c r="R2374" s="47" t="b">
        <v>0</v>
      </c>
      <c r="S2374" s="42" t="str">
        <f t="shared" si="28"/>
        <v/>
      </c>
      <c r="T2374" s="42"/>
    </row>
    <row r="2375" ht="22.5" customHeight="1">
      <c r="B2375" s="42">
        <f t="shared" si="7"/>
        <v>2369</v>
      </c>
      <c r="C2375" s="31" t="s">
        <v>2468</v>
      </c>
      <c r="D2375" s="34" t="str">
        <f t="array" ref="D2375">IFNA(_xlfn.XLOOKUP(C2375,Table_Tarikan_Warkah[Nomor Sertipikat],Table_Tarikan_Warkah[Nomor Tiket]),"")</f>
        <v>K/25/200525/1</v>
      </c>
      <c r="E2375" s="36">
        <f t="array" ref="E2375">IFNA(_xlfn.XLOOKUP(D2375,Table_Tarikan_Warkah[Nomor Tiket],Table_Tarikan_Warkah[Tanggal diserahkan kepada Validator]),"")</f>
        <v>45812.59102</v>
      </c>
      <c r="F2375" s="36" t="str">
        <f t="array" ref="F2375">IFNA(_xlfn.XLOOKUP(D2375,Table_Tarikan_Warkah[Nomor Tiket],Table_Tarikan_Warkah[Nama Petugas Warkah]),"")</f>
        <v>Berry</v>
      </c>
      <c r="G2375" s="39" t="str">
        <f t="array" ref="G2375">IFNA(_xlfn.XLOOKUP(D2375,Table_Tarikan_Warkah[Nomor Tiket],Table_Tarikan_Warkah[Jenis Permohonan]),"")</f>
        <v>BN WARID</v>
      </c>
      <c r="H2375" s="41" t="s">
        <v>2315</v>
      </c>
      <c r="I2375" s="49" t="s">
        <v>23</v>
      </c>
      <c r="J2375" s="36">
        <f t="shared" si="20"/>
        <v>45810.61116</v>
      </c>
      <c r="K2375" s="49" t="s">
        <v>2378</v>
      </c>
      <c r="L2375" s="49" t="s">
        <v>23</v>
      </c>
      <c r="M2375" s="36">
        <f t="shared" si="26"/>
        <v>45810.67308</v>
      </c>
      <c r="N2375" s="30" t="str">
        <f t="shared" si="27"/>
        <v>Selesai</v>
      </c>
      <c r="O2375" s="45">
        <f t="shared" si="23"/>
        <v>45810.67308</v>
      </c>
      <c r="P2375" s="47" t="b">
        <v>0</v>
      </c>
      <c r="Q2375" s="36" t="str">
        <f t="shared" si="24"/>
        <v/>
      </c>
      <c r="R2375" s="47" t="b">
        <v>0</v>
      </c>
      <c r="S2375" s="42" t="str">
        <f t="shared" si="28"/>
        <v/>
      </c>
      <c r="T2375" s="42"/>
    </row>
    <row r="2376" ht="22.5" customHeight="1">
      <c r="B2376" s="42">
        <f t="shared" si="7"/>
        <v>2370</v>
      </c>
      <c r="C2376" s="31" t="s">
        <v>2469</v>
      </c>
      <c r="D2376" s="34" t="str">
        <f t="array" ref="D2376">IFNA(_xlfn.XLOOKUP(C2376,Table_Tarikan_Warkah[Nomor Sertipikat],Table_Tarikan_Warkah[Nomor Tiket]),"")</f>
        <v>K/23/150525/1</v>
      </c>
      <c r="E2376" s="36">
        <f t="array" ref="E2376">IFNA(_xlfn.XLOOKUP(D2376,Table_Tarikan_Warkah[Nomor Tiket],Table_Tarikan_Warkah[Tanggal diserahkan kepada Validator]),"")</f>
        <v>45824.63146</v>
      </c>
      <c r="F2376" s="36" t="str">
        <f t="array" ref="F2376">IFNA(_xlfn.XLOOKUP(D2376,Table_Tarikan_Warkah[Nomor Tiket],Table_Tarikan_Warkah[Nama Petugas Warkah]),"")</f>
        <v>David</v>
      </c>
      <c r="G2376" s="39" t="str">
        <f t="array" ref="G2376">IFNA(_xlfn.XLOOKUP(D2376,Table_Tarikan_Warkah[Nomor Tiket],Table_Tarikan_Warkah[Jenis Permohonan]),"")</f>
        <v>ROYA</v>
      </c>
      <c r="H2376" s="41" t="s">
        <v>2315</v>
      </c>
      <c r="I2376" s="49" t="s">
        <v>23</v>
      </c>
      <c r="J2376" s="36">
        <f t="shared" si="20"/>
        <v>45810.61151</v>
      </c>
      <c r="K2376" s="49" t="s">
        <v>2378</v>
      </c>
      <c r="L2376" s="49" t="s">
        <v>23</v>
      </c>
      <c r="M2376" s="36">
        <f t="shared" si="26"/>
        <v>45811.37869</v>
      </c>
      <c r="N2376" s="30" t="str">
        <f t="shared" si="27"/>
        <v>Selesai</v>
      </c>
      <c r="O2376" s="45">
        <f t="shared" si="23"/>
        <v>45811.37869</v>
      </c>
      <c r="P2376" s="47" t="b">
        <v>0</v>
      </c>
      <c r="Q2376" s="36" t="str">
        <f t="shared" si="24"/>
        <v/>
      </c>
      <c r="R2376" s="47" t="b">
        <v>0</v>
      </c>
      <c r="S2376" s="42" t="str">
        <f t="shared" si="28"/>
        <v/>
      </c>
      <c r="T2376" s="42"/>
    </row>
    <row r="2377" ht="22.5" customHeight="1">
      <c r="B2377" s="42">
        <f t="shared" si="7"/>
        <v>2371</v>
      </c>
      <c r="C2377" s="31" t="s">
        <v>2470</v>
      </c>
      <c r="D2377" s="34" t="str">
        <f t="array" ref="D2377">IFNA(_xlfn.XLOOKUP(C2377,Table_Tarikan_Warkah[Nomor Sertipikat],Table_Tarikan_Warkah[Nomor Tiket]),"")</f>
        <v>K/37/160525/1</v>
      </c>
      <c r="E2377" s="36">
        <f t="array" ref="E2377">IFNA(_xlfn.XLOOKUP(D2377,Table_Tarikan_Warkah[Nomor Tiket],Table_Tarikan_Warkah[Tanggal diserahkan kepada Validator]),"")</f>
        <v>45812.5899</v>
      </c>
      <c r="F2377" s="36" t="str">
        <f t="array" ref="F2377">IFNA(_xlfn.XLOOKUP(D2377,Table_Tarikan_Warkah[Nomor Tiket],Table_Tarikan_Warkah[Nama Petugas Warkah]),"")</f>
        <v>Berry</v>
      </c>
      <c r="G2377" s="39" t="str">
        <f t="array" ref="G2377">IFNA(_xlfn.XLOOKUP(D2377,Table_Tarikan_Warkah[Nomor Tiket],Table_Tarikan_Warkah[Jenis Permohonan]),"")</f>
        <v>BN JUAL BELI</v>
      </c>
      <c r="H2377" s="41" t="s">
        <v>2315</v>
      </c>
      <c r="I2377" s="49" t="s">
        <v>23</v>
      </c>
      <c r="J2377" s="36">
        <f t="shared" si="20"/>
        <v>45810.61168</v>
      </c>
      <c r="K2377" s="49" t="s">
        <v>2378</v>
      </c>
      <c r="L2377" s="49" t="s">
        <v>23</v>
      </c>
      <c r="M2377" s="36">
        <f t="shared" si="26"/>
        <v>45810.66761</v>
      </c>
      <c r="N2377" s="30" t="str">
        <f t="shared" si="27"/>
        <v>Selesai</v>
      </c>
      <c r="O2377" s="45">
        <f t="shared" si="23"/>
        <v>45810.66761</v>
      </c>
      <c r="P2377" s="47" t="b">
        <v>0</v>
      </c>
      <c r="Q2377" s="36" t="str">
        <f t="shared" si="24"/>
        <v/>
      </c>
      <c r="R2377" s="47" t="b">
        <v>0</v>
      </c>
      <c r="S2377" s="42" t="str">
        <f t="shared" si="28"/>
        <v/>
      </c>
      <c r="T2377" s="42"/>
    </row>
    <row r="2378" ht="22.5" customHeight="1">
      <c r="B2378" s="42">
        <f t="shared" si="7"/>
        <v>2372</v>
      </c>
      <c r="C2378" s="31" t="s">
        <v>2471</v>
      </c>
      <c r="D2378" s="34" t="str">
        <f t="array" ref="D2378">IFNA(_xlfn.XLOOKUP(C2378,Table_Tarikan_Warkah[Nomor Sertipikat],Table_Tarikan_Warkah[Nomor Tiket]),"")</f>
        <v>K/8/160525/3</v>
      </c>
      <c r="E2378" s="36">
        <f t="array" ref="E2378">IFNA(_xlfn.XLOOKUP(D2378,Table_Tarikan_Warkah[Nomor Tiket],Table_Tarikan_Warkah[Tanggal diserahkan kepada Validator]),"")</f>
        <v>45825.6649</v>
      </c>
      <c r="F2378" s="36" t="str">
        <f t="array" ref="F2378">IFNA(_xlfn.XLOOKUP(D2378,Table_Tarikan_Warkah[Nomor Tiket],Table_Tarikan_Warkah[Nama Petugas Warkah]),"")</f>
        <v>David</v>
      </c>
      <c r="G2378" s="39" t="str">
        <f t="array" ref="G2378">IFNA(_xlfn.XLOOKUP(D2378,Table_Tarikan_Warkah[Nomor Tiket],Table_Tarikan_Warkah[Jenis Permohonan]),"")</f>
        <v>GANTI NAMA HT</v>
      </c>
      <c r="H2378" s="41" t="s">
        <v>2315</v>
      </c>
      <c r="I2378" s="49" t="s">
        <v>23</v>
      </c>
      <c r="J2378" s="36">
        <f t="shared" si="20"/>
        <v>45810.61184</v>
      </c>
      <c r="K2378" s="49" t="s">
        <v>2378</v>
      </c>
      <c r="L2378" s="49" t="s">
        <v>23</v>
      </c>
      <c r="M2378" s="36">
        <f t="shared" si="26"/>
        <v>45810.66748</v>
      </c>
      <c r="N2378" s="30" t="str">
        <f t="shared" si="27"/>
        <v>Selesai</v>
      </c>
      <c r="O2378" s="45">
        <f t="shared" si="23"/>
        <v>45810.66748</v>
      </c>
      <c r="P2378" s="47" t="b">
        <v>0</v>
      </c>
      <c r="Q2378" s="36" t="str">
        <f t="shared" si="24"/>
        <v/>
      </c>
      <c r="R2378" s="47" t="b">
        <v>0</v>
      </c>
      <c r="S2378" s="42" t="str">
        <f t="shared" si="28"/>
        <v/>
      </c>
      <c r="T2378" s="42"/>
    </row>
    <row r="2379" ht="22.5" customHeight="1">
      <c r="B2379" s="42">
        <f t="shared" si="7"/>
        <v>2373</v>
      </c>
      <c r="C2379" s="31" t="s">
        <v>2472</v>
      </c>
      <c r="D2379" s="34" t="str">
        <f t="array" ref="D2379">IFNA(_xlfn.XLOOKUP(C2379,Table_Tarikan_Warkah[Nomor Sertipikat],Table_Tarikan_Warkah[Nomor Tiket]),"")</f>
        <v>K/34/160525/1</v>
      </c>
      <c r="E2379" s="36">
        <f t="array" ref="E2379">IFNA(_xlfn.XLOOKUP(D2379,Table_Tarikan_Warkah[Nomor Tiket],Table_Tarikan_Warkah[Tanggal diserahkan kepada Validator]),"")</f>
        <v>45825.66148</v>
      </c>
      <c r="F2379" s="36" t="str">
        <f t="array" ref="F2379">IFNA(_xlfn.XLOOKUP(D2379,Table_Tarikan_Warkah[Nomor Tiket],Table_Tarikan_Warkah[Nama Petugas Warkah]),"")</f>
        <v>David</v>
      </c>
      <c r="G2379" s="39" t="str">
        <f t="array" ref="G2379">IFNA(_xlfn.XLOOKUP(D2379,Table_Tarikan_Warkah[Nomor Tiket],Table_Tarikan_Warkah[Jenis Permohonan]),"")</f>
        <v>ROYA</v>
      </c>
      <c r="H2379" s="41" t="s">
        <v>2315</v>
      </c>
      <c r="I2379" s="49" t="s">
        <v>23</v>
      </c>
      <c r="J2379" s="36">
        <f t="shared" si="20"/>
        <v>45810.61199</v>
      </c>
      <c r="K2379" s="49" t="s">
        <v>2378</v>
      </c>
      <c r="L2379" s="49" t="s">
        <v>23</v>
      </c>
      <c r="M2379" s="36">
        <f t="shared" si="26"/>
        <v>45811.37878</v>
      </c>
      <c r="N2379" s="30" t="str">
        <f t="shared" si="27"/>
        <v>Selesai</v>
      </c>
      <c r="O2379" s="45">
        <f t="shared" si="23"/>
        <v>45811.37878</v>
      </c>
      <c r="P2379" s="47" t="b">
        <v>0</v>
      </c>
      <c r="Q2379" s="36" t="str">
        <f t="shared" si="24"/>
        <v/>
      </c>
      <c r="R2379" s="47" t="b">
        <v>0</v>
      </c>
      <c r="S2379" s="42" t="str">
        <f t="shared" si="28"/>
        <v/>
      </c>
      <c r="T2379" s="42"/>
    </row>
    <row r="2380" ht="22.5" customHeight="1">
      <c r="B2380" s="42">
        <f t="shared" si="7"/>
        <v>2374</v>
      </c>
      <c r="C2380" s="31" t="s">
        <v>2473</v>
      </c>
      <c r="D2380" s="34" t="str">
        <f t="array" ref="D2380">IFNA(_xlfn.XLOOKUP(C2380,Table_Tarikan_Warkah[Nomor Sertipikat],Table_Tarikan_Warkah[Nomor Tiket]),"")</f>
        <v>K/16/200525/1</v>
      </c>
      <c r="E2380" s="36">
        <f t="array" ref="E2380">IFNA(_xlfn.XLOOKUP(D2380,Table_Tarikan_Warkah[Nomor Tiket],Table_Tarikan_Warkah[Tanggal diserahkan kepada Validator]),"")</f>
        <v>45812.58968</v>
      </c>
      <c r="F2380" s="36" t="str">
        <f t="array" ref="F2380">IFNA(_xlfn.XLOOKUP(D2380,Table_Tarikan_Warkah[Nomor Tiket],Table_Tarikan_Warkah[Nama Petugas Warkah]),"")</f>
        <v>Berry</v>
      </c>
      <c r="G2380" s="39" t="str">
        <f t="array" ref="G2380">IFNA(_xlfn.XLOOKUP(D2380,Table_Tarikan_Warkah[Nomor Tiket],Table_Tarikan_Warkah[Jenis Permohonan]),"")</f>
        <v>BN JUAL BELI</v>
      </c>
      <c r="H2380" s="41" t="s">
        <v>2315</v>
      </c>
      <c r="I2380" s="49" t="s">
        <v>23</v>
      </c>
      <c r="J2380" s="36">
        <f t="shared" si="20"/>
        <v>45810.61216</v>
      </c>
      <c r="K2380" s="49" t="s">
        <v>2378</v>
      </c>
      <c r="L2380" s="49" t="s">
        <v>23</v>
      </c>
      <c r="M2380" s="36">
        <f t="shared" si="26"/>
        <v>45810.66731</v>
      </c>
      <c r="N2380" s="30" t="str">
        <f t="shared" si="27"/>
        <v>Selesai</v>
      </c>
      <c r="O2380" s="45">
        <f t="shared" si="23"/>
        <v>45810.66731</v>
      </c>
      <c r="P2380" s="47" t="b">
        <v>0</v>
      </c>
      <c r="Q2380" s="36" t="str">
        <f t="shared" si="24"/>
        <v/>
      </c>
      <c r="R2380" s="47" t="b">
        <v>0</v>
      </c>
      <c r="S2380" s="42" t="str">
        <f t="shared" si="28"/>
        <v/>
      </c>
      <c r="T2380" s="42"/>
    </row>
    <row r="2381" ht="22.5" customHeight="1">
      <c r="B2381" s="42">
        <f t="shared" si="7"/>
        <v>2375</v>
      </c>
      <c r="C2381" s="31" t="s">
        <v>2326</v>
      </c>
      <c r="D2381" s="34" t="str">
        <f t="array" ref="D2381">IFNA(_xlfn.XLOOKUP(C2381,Table_Tarikan_Warkah[Nomor Sertipikat],Table_Tarikan_Warkah[Nomor Tiket]),"")</f>
        <v>K/7/160425/1</v>
      </c>
      <c r="E2381" s="36">
        <f t="array" ref="E2381">IFNA(_xlfn.XLOOKUP(D2381,Table_Tarikan_Warkah[Nomor Tiket],Table_Tarikan_Warkah[Tanggal diserahkan kepada Validator]),"")</f>
        <v>45825.6626</v>
      </c>
      <c r="F2381" s="36" t="str">
        <f t="array" ref="F2381">IFNA(_xlfn.XLOOKUP(D2381,Table_Tarikan_Warkah[Nomor Tiket],Table_Tarikan_Warkah[Nama Petugas Warkah]),"")</f>
        <v>David</v>
      </c>
      <c r="G2381" s="39" t="str">
        <f t="array" ref="G2381">IFNA(_xlfn.XLOOKUP(D2381,Table_Tarikan_Warkah[Nomor Tiket],Table_Tarikan_Warkah[Jenis Permohonan]),"")</f>
        <v>ROYA</v>
      </c>
      <c r="H2381" s="41" t="s">
        <v>2315</v>
      </c>
      <c r="I2381" s="49" t="s">
        <v>23</v>
      </c>
      <c r="J2381" s="36">
        <f t="shared" si="20"/>
        <v>45810.61236</v>
      </c>
      <c r="K2381" s="49" t="s">
        <v>2378</v>
      </c>
      <c r="L2381" s="49" t="s">
        <v>23</v>
      </c>
      <c r="M2381" s="36">
        <f t="shared" si="26"/>
        <v>45810.66717</v>
      </c>
      <c r="N2381" s="30" t="str">
        <f t="shared" si="27"/>
        <v>Selesai</v>
      </c>
      <c r="O2381" s="45">
        <f t="shared" si="23"/>
        <v>45810.66717</v>
      </c>
      <c r="P2381" s="47" t="b">
        <v>0</v>
      </c>
      <c r="Q2381" s="36" t="str">
        <f t="shared" si="24"/>
        <v/>
      </c>
      <c r="R2381" s="47" t="b">
        <v>0</v>
      </c>
      <c r="S2381" s="42" t="str">
        <f t="shared" si="28"/>
        <v/>
      </c>
      <c r="T2381" s="42"/>
    </row>
    <row r="2382" ht="22.5" customHeight="1">
      <c r="B2382" s="42">
        <f t="shared" si="7"/>
        <v>2376</v>
      </c>
      <c r="C2382" s="31" t="s">
        <v>852</v>
      </c>
      <c r="D2382" s="34" t="str">
        <f t="array" ref="D2382">IFNA(_xlfn.XLOOKUP(C2382,Table_Tarikan_Warkah[Nomor Sertipikat],Table_Tarikan_Warkah[Nomor Tiket]),"")</f>
        <v>K/40/311224/1</v>
      </c>
      <c r="E2382" s="36">
        <f t="array" ref="E2382">IFNA(_xlfn.XLOOKUP(D2382,Table_Tarikan_Warkah[Nomor Tiket],Table_Tarikan_Warkah[Tanggal diserahkan kepada Validator]),"")</f>
        <v>0</v>
      </c>
      <c r="F2382" s="36" t="str">
        <f t="array" ref="F2382">IFNA(_xlfn.XLOOKUP(D2382,Table_Tarikan_Warkah[Nomor Tiket],Table_Tarikan_Warkah[Nama Petugas Warkah]),"")</f>
        <v>David</v>
      </c>
      <c r="G2382" s="39" t="str">
        <f t="array" ref="G2382">IFNA(_xlfn.XLOOKUP(D2382,Table_Tarikan_Warkah[Nomor Tiket],Table_Tarikan_Warkah[Jenis Permohonan]),"")</f>
        <v>BN JUAL BELI</v>
      </c>
      <c r="H2382" s="70"/>
      <c r="I2382" s="49"/>
      <c r="J2382" s="36" t="str">
        <f t="shared" si="20"/>
        <v/>
      </c>
      <c r="K2382" s="49" t="s">
        <v>2378</v>
      </c>
      <c r="L2382" s="49" t="s">
        <v>23</v>
      </c>
      <c r="M2382" s="36">
        <f t="shared" si="26"/>
        <v>45811.37926</v>
      </c>
      <c r="N2382" s="30" t="str">
        <f t="shared" si="27"/>
        <v>BT atau SU Belum Valid</v>
      </c>
      <c r="O2382" s="39" t="str">
        <f t="shared" si="23"/>
        <v/>
      </c>
      <c r="P2382" s="47" t="b">
        <v>0</v>
      </c>
      <c r="Q2382" s="36" t="str">
        <f t="shared" si="24"/>
        <v/>
      </c>
      <c r="R2382" s="47" t="b">
        <v>0</v>
      </c>
      <c r="S2382" s="42" t="str">
        <f t="shared" si="28"/>
        <v/>
      </c>
      <c r="T2382" s="42"/>
    </row>
    <row r="2383" ht="22.5" customHeight="1">
      <c r="B2383" s="42">
        <f t="shared" si="7"/>
        <v>2377</v>
      </c>
      <c r="C2383" s="31" t="s">
        <v>2446</v>
      </c>
      <c r="D2383" s="34" t="str">
        <f t="array" ref="D2383">IFNA(_xlfn.XLOOKUP(C2383,Table_Tarikan_Warkah[Nomor Sertipikat],Table_Tarikan_Warkah[Nomor Tiket]),"")</f>
        <v>K/2/160525/1</v>
      </c>
      <c r="E2383" s="36">
        <f t="array" ref="E2383">IFNA(_xlfn.XLOOKUP(D2383,Table_Tarikan_Warkah[Nomor Tiket],Table_Tarikan_Warkah[Tanggal diserahkan kepada Validator]),"")</f>
        <v>45812.59138</v>
      </c>
      <c r="F2383" s="36" t="str">
        <f t="array" ref="F2383">IFNA(_xlfn.XLOOKUP(D2383,Table_Tarikan_Warkah[Nomor Tiket],Table_Tarikan_Warkah[Nama Petugas Warkah]),"")</f>
        <v>Berry</v>
      </c>
      <c r="G2383" s="39" t="str">
        <f t="array" ref="G2383">IFNA(_xlfn.XLOOKUP(D2383,Table_Tarikan_Warkah[Nomor Tiket],Table_Tarikan_Warkah[Jenis Permohonan]),"")</f>
        <v>JUAL BELI</v>
      </c>
      <c r="H2383" s="70"/>
      <c r="I2383" s="49"/>
      <c r="J2383" s="36" t="str">
        <f t="shared" si="20"/>
        <v/>
      </c>
      <c r="K2383" s="49" t="s">
        <v>2378</v>
      </c>
      <c r="L2383" s="49" t="s">
        <v>23</v>
      </c>
      <c r="M2383" s="36">
        <f t="shared" si="26"/>
        <v>45811.38418</v>
      </c>
      <c r="N2383" s="30" t="str">
        <f t="shared" si="27"/>
        <v>BT atau SU Belum Valid</v>
      </c>
      <c r="O2383" s="39" t="str">
        <f t="shared" si="23"/>
        <v/>
      </c>
      <c r="P2383" s="47" t="b">
        <v>0</v>
      </c>
      <c r="Q2383" s="36" t="str">
        <f t="shared" si="24"/>
        <v/>
      </c>
      <c r="R2383" s="47" t="b">
        <v>0</v>
      </c>
      <c r="S2383" s="42" t="str">
        <f t="shared" si="28"/>
        <v/>
      </c>
      <c r="T2383" s="42"/>
    </row>
    <row r="2384" ht="22.5" customHeight="1">
      <c r="B2384" s="42">
        <f t="shared" si="7"/>
        <v>2378</v>
      </c>
      <c r="C2384" s="31" t="s">
        <v>2326</v>
      </c>
      <c r="D2384" s="34" t="str">
        <f t="array" ref="D2384">IFNA(_xlfn.XLOOKUP(C2384,Table_Tarikan_Warkah[Nomor Sertipikat],Table_Tarikan_Warkah[Nomor Tiket]),"")</f>
        <v>K/7/160425/1</v>
      </c>
      <c r="E2384" s="36">
        <f t="array" ref="E2384">IFNA(_xlfn.XLOOKUP(D2384,Table_Tarikan_Warkah[Nomor Tiket],Table_Tarikan_Warkah[Tanggal diserahkan kepada Validator]),"")</f>
        <v>45825.6626</v>
      </c>
      <c r="F2384" s="36" t="str">
        <f t="array" ref="F2384">IFNA(_xlfn.XLOOKUP(D2384,Table_Tarikan_Warkah[Nomor Tiket],Table_Tarikan_Warkah[Nama Petugas Warkah]),"")</f>
        <v>David</v>
      </c>
      <c r="G2384" s="39" t="str">
        <f t="array" ref="G2384">IFNA(_xlfn.XLOOKUP(D2384,Table_Tarikan_Warkah[Nomor Tiket],Table_Tarikan_Warkah[Jenis Permohonan]),"")</f>
        <v>ROYA</v>
      </c>
      <c r="H2384" s="70"/>
      <c r="I2384" s="49"/>
      <c r="J2384" s="36" t="str">
        <f t="shared" si="20"/>
        <v/>
      </c>
      <c r="K2384" s="49" t="s">
        <v>2378</v>
      </c>
      <c r="L2384" s="49" t="s">
        <v>23</v>
      </c>
      <c r="M2384" s="36">
        <f t="shared" si="26"/>
        <v>45811.38418</v>
      </c>
      <c r="N2384" s="30" t="str">
        <f t="shared" si="27"/>
        <v>BT atau SU Belum Valid</v>
      </c>
      <c r="O2384" s="39" t="str">
        <f t="shared" si="23"/>
        <v/>
      </c>
      <c r="P2384" s="47" t="b">
        <v>0</v>
      </c>
      <c r="Q2384" s="36" t="str">
        <f t="shared" si="24"/>
        <v/>
      </c>
      <c r="R2384" s="47" t="b">
        <v>0</v>
      </c>
      <c r="S2384" s="42" t="str">
        <f t="shared" si="28"/>
        <v/>
      </c>
      <c r="T2384" s="42"/>
    </row>
    <row r="2385" ht="22.5" customHeight="1">
      <c r="B2385" s="42">
        <f t="shared" si="7"/>
        <v>2379</v>
      </c>
      <c r="C2385" s="31" t="s">
        <v>2473</v>
      </c>
      <c r="D2385" s="34" t="str">
        <f t="array" ref="D2385">IFNA(_xlfn.XLOOKUP(C2385,Table_Tarikan_Warkah[Nomor Sertipikat],Table_Tarikan_Warkah[Nomor Tiket]),"")</f>
        <v>K/16/200525/1</v>
      </c>
      <c r="E2385" s="36">
        <f t="array" ref="E2385">IFNA(_xlfn.XLOOKUP(D2385,Table_Tarikan_Warkah[Nomor Tiket],Table_Tarikan_Warkah[Tanggal diserahkan kepada Validator]),"")</f>
        <v>45812.58968</v>
      </c>
      <c r="F2385" s="36" t="str">
        <f t="array" ref="F2385">IFNA(_xlfn.XLOOKUP(D2385,Table_Tarikan_Warkah[Nomor Tiket],Table_Tarikan_Warkah[Nama Petugas Warkah]),"")</f>
        <v>Berry</v>
      </c>
      <c r="G2385" s="39" t="str">
        <f t="array" ref="G2385">IFNA(_xlfn.XLOOKUP(D2385,Table_Tarikan_Warkah[Nomor Tiket],Table_Tarikan_Warkah[Jenis Permohonan]),"")</f>
        <v>BN JUAL BELI</v>
      </c>
      <c r="H2385" s="70"/>
      <c r="I2385" s="49"/>
      <c r="J2385" s="36" t="str">
        <f t="shared" si="20"/>
        <v/>
      </c>
      <c r="K2385" s="49" t="s">
        <v>2378</v>
      </c>
      <c r="L2385" s="49" t="s">
        <v>23</v>
      </c>
      <c r="M2385" s="36">
        <f t="shared" si="26"/>
        <v>45811.38418</v>
      </c>
      <c r="N2385" s="30" t="str">
        <f t="shared" si="27"/>
        <v>BT atau SU Belum Valid</v>
      </c>
      <c r="O2385" s="39" t="str">
        <f t="shared" si="23"/>
        <v/>
      </c>
      <c r="P2385" s="47" t="b">
        <v>0</v>
      </c>
      <c r="Q2385" s="36" t="str">
        <f t="shared" si="24"/>
        <v/>
      </c>
      <c r="R2385" s="47" t="b">
        <v>0</v>
      </c>
      <c r="S2385" s="42" t="str">
        <f t="shared" si="28"/>
        <v/>
      </c>
      <c r="T2385" s="42"/>
    </row>
    <row r="2386" ht="22.5" customHeight="1">
      <c r="B2386" s="42">
        <f t="shared" si="7"/>
        <v>2380</v>
      </c>
      <c r="C2386" s="31" t="s">
        <v>2471</v>
      </c>
      <c r="D2386" s="34" t="str">
        <f t="array" ref="D2386">IFNA(_xlfn.XLOOKUP(C2386,Table_Tarikan_Warkah[Nomor Sertipikat],Table_Tarikan_Warkah[Nomor Tiket]),"")</f>
        <v>K/8/160525/3</v>
      </c>
      <c r="E2386" s="36">
        <f t="array" ref="E2386">IFNA(_xlfn.XLOOKUP(D2386,Table_Tarikan_Warkah[Nomor Tiket],Table_Tarikan_Warkah[Tanggal diserahkan kepada Validator]),"")</f>
        <v>45825.6649</v>
      </c>
      <c r="F2386" s="36" t="str">
        <f t="array" ref="F2386">IFNA(_xlfn.XLOOKUP(D2386,Table_Tarikan_Warkah[Nomor Tiket],Table_Tarikan_Warkah[Nama Petugas Warkah]),"")</f>
        <v>David</v>
      </c>
      <c r="G2386" s="39" t="str">
        <f t="array" ref="G2386">IFNA(_xlfn.XLOOKUP(D2386,Table_Tarikan_Warkah[Nomor Tiket],Table_Tarikan_Warkah[Jenis Permohonan]),"")</f>
        <v>GANTI NAMA HT</v>
      </c>
      <c r="H2386" s="70"/>
      <c r="I2386" s="49"/>
      <c r="J2386" s="36" t="str">
        <f t="shared" si="20"/>
        <v/>
      </c>
      <c r="K2386" s="49" t="s">
        <v>2378</v>
      </c>
      <c r="L2386" s="49" t="s">
        <v>23</v>
      </c>
      <c r="M2386" s="36">
        <f t="shared" si="26"/>
        <v>45811.38418</v>
      </c>
      <c r="N2386" s="30" t="str">
        <f t="shared" si="27"/>
        <v>BT atau SU Belum Valid</v>
      </c>
      <c r="O2386" s="39" t="str">
        <f t="shared" si="23"/>
        <v/>
      </c>
      <c r="P2386" s="47" t="b">
        <v>0</v>
      </c>
      <c r="Q2386" s="36" t="str">
        <f t="shared" si="24"/>
        <v/>
      </c>
      <c r="R2386" s="47" t="b">
        <v>0</v>
      </c>
      <c r="S2386" s="42" t="str">
        <f t="shared" si="28"/>
        <v/>
      </c>
      <c r="T2386" s="42"/>
    </row>
    <row r="2387" ht="22.5" customHeight="1">
      <c r="B2387" s="42">
        <f t="shared" si="7"/>
        <v>2381</v>
      </c>
      <c r="C2387" s="31" t="s">
        <v>2470</v>
      </c>
      <c r="D2387" s="34" t="str">
        <f t="array" ref="D2387">IFNA(_xlfn.XLOOKUP(C2387,Table_Tarikan_Warkah[Nomor Sertipikat],Table_Tarikan_Warkah[Nomor Tiket]),"")</f>
        <v>K/37/160525/1</v>
      </c>
      <c r="E2387" s="36">
        <f t="array" ref="E2387">IFNA(_xlfn.XLOOKUP(D2387,Table_Tarikan_Warkah[Nomor Tiket],Table_Tarikan_Warkah[Tanggal diserahkan kepada Validator]),"")</f>
        <v>45812.5899</v>
      </c>
      <c r="F2387" s="36" t="str">
        <f t="array" ref="F2387">IFNA(_xlfn.XLOOKUP(D2387,Table_Tarikan_Warkah[Nomor Tiket],Table_Tarikan_Warkah[Nama Petugas Warkah]),"")</f>
        <v>Berry</v>
      </c>
      <c r="G2387" s="39" t="str">
        <f t="array" ref="G2387">IFNA(_xlfn.XLOOKUP(D2387,Table_Tarikan_Warkah[Nomor Tiket],Table_Tarikan_Warkah[Jenis Permohonan]),"")</f>
        <v>BN JUAL BELI</v>
      </c>
      <c r="H2387" s="70"/>
      <c r="I2387" s="49"/>
      <c r="J2387" s="36" t="str">
        <f t="shared" si="20"/>
        <v/>
      </c>
      <c r="K2387" s="49" t="s">
        <v>2378</v>
      </c>
      <c r="L2387" s="49" t="s">
        <v>23</v>
      </c>
      <c r="M2387" s="36">
        <f t="shared" si="26"/>
        <v>45811.38418</v>
      </c>
      <c r="N2387" s="30" t="str">
        <f t="shared" si="27"/>
        <v>BT atau SU Belum Valid</v>
      </c>
      <c r="O2387" s="39" t="str">
        <f t="shared" si="23"/>
        <v/>
      </c>
      <c r="P2387" s="47" t="b">
        <v>0</v>
      </c>
      <c r="Q2387" s="36" t="str">
        <f t="shared" si="24"/>
        <v/>
      </c>
      <c r="R2387" s="47" t="b">
        <v>0</v>
      </c>
      <c r="S2387" s="42" t="str">
        <f t="shared" si="28"/>
        <v/>
      </c>
      <c r="T2387" s="42"/>
    </row>
    <row r="2388" ht="22.5" customHeight="1">
      <c r="B2388" s="42">
        <f t="shared" si="7"/>
        <v>2382</v>
      </c>
      <c r="C2388" s="31" t="s">
        <v>2464</v>
      </c>
      <c r="D2388" s="34" t="str">
        <f t="array" ref="D2388">IFNA(_xlfn.XLOOKUP(C2388,Table_Tarikan_Warkah[Nomor Sertipikat],Table_Tarikan_Warkah[Nomor Tiket]),"")</f>
        <v>K/11/210525/1</v>
      </c>
      <c r="E2388" s="36">
        <f t="array" ref="E2388">IFNA(_xlfn.XLOOKUP(D2388,Table_Tarikan_Warkah[Nomor Tiket],Table_Tarikan_Warkah[Tanggal diserahkan kepada Validator]),"")</f>
        <v>45812.59009</v>
      </c>
      <c r="F2388" s="36" t="str">
        <f t="array" ref="F2388">IFNA(_xlfn.XLOOKUP(D2388,Table_Tarikan_Warkah[Nomor Tiket],Table_Tarikan_Warkah[Nama Petugas Warkah]),"")</f>
        <v>Berry</v>
      </c>
      <c r="G2388" s="39" t="str">
        <f t="array" ref="G2388">IFNA(_xlfn.XLOOKUP(D2388,Table_Tarikan_Warkah[Nomor Tiket],Table_Tarikan_Warkah[Jenis Permohonan]),"")</f>
        <v>BN HIBAH</v>
      </c>
      <c r="H2388" s="70"/>
      <c r="I2388" s="49"/>
      <c r="J2388" s="36" t="str">
        <f t="shared" si="20"/>
        <v/>
      </c>
      <c r="K2388" s="49" t="s">
        <v>2378</v>
      </c>
      <c r="L2388" s="49" t="s">
        <v>23</v>
      </c>
      <c r="M2388" s="36">
        <f t="shared" si="26"/>
        <v>45811.38418</v>
      </c>
      <c r="N2388" s="30" t="str">
        <f t="shared" si="27"/>
        <v>BT atau SU Belum Valid</v>
      </c>
      <c r="O2388" s="39" t="str">
        <f t="shared" si="23"/>
        <v/>
      </c>
      <c r="P2388" s="47" t="b">
        <v>0</v>
      </c>
      <c r="Q2388" s="36" t="str">
        <f t="shared" si="24"/>
        <v/>
      </c>
      <c r="R2388" s="47" t="b">
        <v>0</v>
      </c>
      <c r="S2388" s="42" t="str">
        <f t="shared" si="28"/>
        <v/>
      </c>
      <c r="T2388" s="42"/>
    </row>
    <row r="2389" ht="22.5" customHeight="1">
      <c r="B2389" s="42">
        <f t="shared" si="7"/>
        <v>2383</v>
      </c>
      <c r="C2389" s="31" t="s">
        <v>2463</v>
      </c>
      <c r="D2389" s="34" t="str">
        <f t="array" ref="D2389">IFNA(_xlfn.XLOOKUP(C2389,Table_Tarikan_Warkah[Nomor Sertipikat],Table_Tarikan_Warkah[Nomor Tiket]),"")</f>
        <v>K/9/190525/1</v>
      </c>
      <c r="E2389" s="36">
        <f t="array" ref="E2389">IFNA(_xlfn.XLOOKUP(D2389,Table_Tarikan_Warkah[Nomor Tiket],Table_Tarikan_Warkah[Tanggal diserahkan kepada Validator]),"")</f>
        <v>45852.64229</v>
      </c>
      <c r="F2389" s="36" t="str">
        <f t="array" ref="F2389">IFNA(_xlfn.XLOOKUP(D2389,Table_Tarikan_Warkah[Nomor Tiket],Table_Tarikan_Warkah[Nama Petugas Warkah]),"")</f>
        <v>David</v>
      </c>
      <c r="G2389" s="39" t="str">
        <f t="array" ref="G2389">IFNA(_xlfn.XLOOKUP(D2389,Table_Tarikan_Warkah[Nomor Tiket],Table_Tarikan_Warkah[Jenis Permohonan]),"")</f>
        <v>ROYA</v>
      </c>
      <c r="H2389" s="70"/>
      <c r="I2389" s="49"/>
      <c r="J2389" s="36" t="str">
        <f t="shared" si="20"/>
        <v/>
      </c>
      <c r="K2389" s="49" t="s">
        <v>2378</v>
      </c>
      <c r="L2389" s="49" t="s">
        <v>23</v>
      </c>
      <c r="M2389" s="36">
        <f t="shared" si="26"/>
        <v>45811.38418</v>
      </c>
      <c r="N2389" s="30" t="str">
        <f t="shared" si="27"/>
        <v>BT atau SU Belum Valid</v>
      </c>
      <c r="O2389" s="39" t="str">
        <f t="shared" si="23"/>
        <v/>
      </c>
      <c r="P2389" s="47" t="b">
        <v>0</v>
      </c>
      <c r="Q2389" s="36" t="str">
        <f t="shared" si="24"/>
        <v/>
      </c>
      <c r="R2389" s="47" t="b">
        <v>0</v>
      </c>
      <c r="S2389" s="42" t="str">
        <f t="shared" si="28"/>
        <v/>
      </c>
      <c r="T2389" s="42"/>
    </row>
    <row r="2390" ht="22.5" customHeight="1">
      <c r="B2390" s="42">
        <f t="shared" si="7"/>
        <v>2384</v>
      </c>
      <c r="C2390" s="31" t="s">
        <v>2462</v>
      </c>
      <c r="D2390" s="34" t="str">
        <f t="array" ref="D2390">IFNA(_xlfn.XLOOKUP(C2390,Table_Tarikan_Warkah[Nomor Sertipikat],Table_Tarikan_Warkah[Nomor Tiket]),"")</f>
        <v>K/25/220525/1</v>
      </c>
      <c r="E2390" s="36">
        <f t="array" ref="E2390">IFNA(_xlfn.XLOOKUP(D2390,Table_Tarikan_Warkah[Nomor Tiket],Table_Tarikan_Warkah[Tanggal diserahkan kepada Validator]),"")</f>
        <v>45812.5903</v>
      </c>
      <c r="F2390" s="36" t="str">
        <f t="array" ref="F2390">IFNA(_xlfn.XLOOKUP(D2390,Table_Tarikan_Warkah[Nomor Tiket],Table_Tarikan_Warkah[Nama Petugas Warkah]),"")</f>
        <v>Berry</v>
      </c>
      <c r="G2390" s="39" t="str">
        <f t="array" ref="G2390">IFNA(_xlfn.XLOOKUP(D2390,Table_Tarikan_Warkah[Nomor Tiket],Table_Tarikan_Warkah[Jenis Permohonan]),"")</f>
        <v>BN JUAL BELI</v>
      </c>
      <c r="H2390" s="70"/>
      <c r="I2390" s="49"/>
      <c r="J2390" s="36" t="str">
        <f t="shared" si="20"/>
        <v/>
      </c>
      <c r="K2390" s="49" t="s">
        <v>2378</v>
      </c>
      <c r="L2390" s="49" t="s">
        <v>23</v>
      </c>
      <c r="M2390" s="36">
        <f t="shared" si="26"/>
        <v>45811.38418</v>
      </c>
      <c r="N2390" s="30" t="str">
        <f t="shared" si="27"/>
        <v>BT atau SU Belum Valid</v>
      </c>
      <c r="O2390" s="39" t="str">
        <f t="shared" si="23"/>
        <v/>
      </c>
      <c r="P2390" s="47" t="b">
        <v>0</v>
      </c>
      <c r="Q2390" s="36" t="str">
        <f t="shared" si="24"/>
        <v/>
      </c>
      <c r="R2390" s="47" t="b">
        <v>0</v>
      </c>
      <c r="S2390" s="42" t="str">
        <f t="shared" si="28"/>
        <v/>
      </c>
      <c r="T2390" s="42"/>
    </row>
    <row r="2391" ht="22.5" customHeight="1">
      <c r="B2391" s="42">
        <f t="shared" si="7"/>
        <v>2385</v>
      </c>
      <c r="C2391" s="31" t="s">
        <v>2461</v>
      </c>
      <c r="D2391" s="34" t="str">
        <f t="array" ref="D2391">IFNA(_xlfn.XLOOKUP(C2391,Table_Tarikan_Warkah[Nomor Sertipikat],Table_Tarikan_Warkah[Nomor Tiket]),"")</f>
        <v>K/41/220525/2</v>
      </c>
      <c r="E2391" s="36">
        <f t="array" ref="E2391">IFNA(_xlfn.XLOOKUP(D2391,Table_Tarikan_Warkah[Nomor Tiket],Table_Tarikan_Warkah[Tanggal diserahkan kepada Validator]),"")</f>
        <v>45812.59062</v>
      </c>
      <c r="F2391" s="36" t="str">
        <f t="array" ref="F2391">IFNA(_xlfn.XLOOKUP(D2391,Table_Tarikan_Warkah[Nomor Tiket],Table_Tarikan_Warkah[Nama Petugas Warkah]),"")</f>
        <v>Berry</v>
      </c>
      <c r="G2391" s="39" t="str">
        <f t="array" ref="G2391">IFNA(_xlfn.XLOOKUP(D2391,Table_Tarikan_Warkah[Nomor Tiket],Table_Tarikan_Warkah[Jenis Permohonan]),"")</f>
        <v>BN JUAL BELI</v>
      </c>
      <c r="H2391" s="70"/>
      <c r="I2391" s="49"/>
      <c r="J2391" s="36" t="str">
        <f t="shared" si="20"/>
        <v/>
      </c>
      <c r="K2391" s="49" t="s">
        <v>2378</v>
      </c>
      <c r="L2391" s="49" t="s">
        <v>23</v>
      </c>
      <c r="M2391" s="36">
        <f t="shared" si="26"/>
        <v>45811.38418</v>
      </c>
      <c r="N2391" s="30" t="str">
        <f t="shared" si="27"/>
        <v>BT atau SU Belum Valid</v>
      </c>
      <c r="O2391" s="39" t="str">
        <f t="shared" si="23"/>
        <v/>
      </c>
      <c r="P2391" s="47" t="b">
        <v>0</v>
      </c>
      <c r="Q2391" s="36" t="str">
        <f t="shared" si="24"/>
        <v/>
      </c>
      <c r="R2391" s="47" t="b">
        <v>0</v>
      </c>
      <c r="S2391" s="42" t="str">
        <f t="shared" si="28"/>
        <v/>
      </c>
      <c r="T2391" s="42"/>
    </row>
    <row r="2392" ht="22.5" customHeight="1">
      <c r="B2392" s="42">
        <f t="shared" si="7"/>
        <v>2386</v>
      </c>
      <c r="C2392" s="31" t="s">
        <v>2468</v>
      </c>
      <c r="D2392" s="34" t="str">
        <f t="array" ref="D2392">IFNA(_xlfn.XLOOKUP(C2392,Table_Tarikan_Warkah[Nomor Sertipikat],Table_Tarikan_Warkah[Nomor Tiket]),"")</f>
        <v>K/25/200525/1</v>
      </c>
      <c r="E2392" s="36">
        <f t="array" ref="E2392">IFNA(_xlfn.XLOOKUP(D2392,Table_Tarikan_Warkah[Nomor Tiket],Table_Tarikan_Warkah[Tanggal diserahkan kepada Validator]),"")</f>
        <v>45812.59102</v>
      </c>
      <c r="F2392" s="36" t="str">
        <f t="array" ref="F2392">IFNA(_xlfn.XLOOKUP(D2392,Table_Tarikan_Warkah[Nomor Tiket],Table_Tarikan_Warkah[Nama Petugas Warkah]),"")</f>
        <v>Berry</v>
      </c>
      <c r="G2392" s="39" t="str">
        <f t="array" ref="G2392">IFNA(_xlfn.XLOOKUP(D2392,Table_Tarikan_Warkah[Nomor Tiket],Table_Tarikan_Warkah[Jenis Permohonan]),"")</f>
        <v>BN WARID</v>
      </c>
      <c r="H2392" s="70"/>
      <c r="I2392" s="49"/>
      <c r="J2392" s="36" t="str">
        <f t="shared" si="20"/>
        <v/>
      </c>
      <c r="K2392" s="49" t="s">
        <v>2378</v>
      </c>
      <c r="L2392" s="49" t="s">
        <v>23</v>
      </c>
      <c r="M2392" s="36">
        <f t="shared" si="26"/>
        <v>45811.38418</v>
      </c>
      <c r="N2392" s="30" t="str">
        <f t="shared" si="27"/>
        <v>BT atau SU Belum Valid</v>
      </c>
      <c r="O2392" s="39" t="str">
        <f t="shared" si="23"/>
        <v/>
      </c>
      <c r="P2392" s="47" t="b">
        <v>0</v>
      </c>
      <c r="Q2392" s="36" t="str">
        <f t="shared" si="24"/>
        <v/>
      </c>
      <c r="R2392" s="47" t="b">
        <v>0</v>
      </c>
      <c r="S2392" s="42" t="str">
        <f t="shared" si="28"/>
        <v/>
      </c>
      <c r="T2392" s="42"/>
    </row>
    <row r="2393" ht="22.5" customHeight="1">
      <c r="B2393" s="42">
        <f t="shared" si="7"/>
        <v>2387</v>
      </c>
      <c r="C2393" s="31" t="s">
        <v>2448</v>
      </c>
      <c r="D2393" s="34" t="str">
        <f t="array" ref="D2393">IFNA(_xlfn.XLOOKUP(C2393,Table_Tarikan_Warkah[Nomor Sertipikat],Table_Tarikan_Warkah[Nomor Tiket]),"")</f>
        <v>K/22/020525/1</v>
      </c>
      <c r="E2393" s="36">
        <f t="array" ref="E2393">IFNA(_xlfn.XLOOKUP(D2393,Table_Tarikan_Warkah[Nomor Tiket],Table_Tarikan_Warkah[Tanggal diserahkan kepada Validator]),"")</f>
        <v>45812.59122</v>
      </c>
      <c r="F2393" s="36" t="str">
        <f t="array" ref="F2393">IFNA(_xlfn.XLOOKUP(D2393,Table_Tarikan_Warkah[Nomor Tiket],Table_Tarikan_Warkah[Nama Petugas Warkah]),"")</f>
        <v>Berry</v>
      </c>
      <c r="G2393" s="39" t="str">
        <f t="array" ref="G2393">IFNA(_xlfn.XLOOKUP(D2393,Table_Tarikan_Warkah[Nomor Tiket],Table_Tarikan_Warkah[Jenis Permohonan]),"")</f>
        <v>BN WARIS</v>
      </c>
      <c r="H2393" s="70"/>
      <c r="I2393" s="49"/>
      <c r="J2393" s="36" t="str">
        <f t="shared" si="20"/>
        <v/>
      </c>
      <c r="K2393" s="49" t="s">
        <v>2378</v>
      </c>
      <c r="L2393" s="49" t="s">
        <v>23</v>
      </c>
      <c r="M2393" s="36">
        <f t="shared" si="26"/>
        <v>45811.38418</v>
      </c>
      <c r="N2393" s="30" t="str">
        <f t="shared" si="27"/>
        <v>BT atau SU Belum Valid</v>
      </c>
      <c r="O2393" s="39" t="str">
        <f t="shared" si="23"/>
        <v/>
      </c>
      <c r="P2393" s="47" t="b">
        <v>0</v>
      </c>
      <c r="Q2393" s="36" t="str">
        <f t="shared" si="24"/>
        <v/>
      </c>
      <c r="R2393" s="47" t="b">
        <v>0</v>
      </c>
      <c r="S2393" s="42" t="str">
        <f t="shared" si="28"/>
        <v/>
      </c>
      <c r="T2393" s="42"/>
    </row>
    <row r="2394" ht="22.5" customHeight="1">
      <c r="B2394" s="42">
        <f t="shared" si="7"/>
        <v>2388</v>
      </c>
      <c r="C2394" s="31" t="s">
        <v>2447</v>
      </c>
      <c r="D2394" s="34" t="str">
        <f t="array" ref="D2394">IFNA(_xlfn.XLOOKUP(C2394,Table_Tarikan_Warkah[Nomor Sertipikat],Table_Tarikan_Warkah[Nomor Tiket]),"")</f>
        <v>K/16/080525/1</v>
      </c>
      <c r="E2394" s="36" t="str">
        <f t="array" ref="E2394">IFNA(_xlfn.XLOOKUP(D2394,Table_Tarikan_Warkah[Nomor Tiket],Table_Tarikan_Warkah[Tanggal diserahkan kepada Validator]),"")</f>
        <v/>
      </c>
      <c r="F2394" s="36" t="str">
        <f t="array" ref="F2394">IFNA(_xlfn.XLOOKUP(D2394,Table_Tarikan_Warkah[Nomor Tiket],Table_Tarikan_Warkah[Nama Petugas Warkah]),"")</f>
        <v/>
      </c>
      <c r="G2394" s="39" t="str">
        <f t="array" ref="G2394">IFNA(_xlfn.XLOOKUP(D2394,Table_Tarikan_Warkah[Nomor Tiket],Table_Tarikan_Warkah[Jenis Permohonan]),"")</f>
        <v>ROYA</v>
      </c>
      <c r="H2394" s="70"/>
      <c r="I2394" s="49"/>
      <c r="J2394" s="36" t="str">
        <f t="shared" si="20"/>
        <v/>
      </c>
      <c r="K2394" s="49" t="s">
        <v>2378</v>
      </c>
      <c r="L2394" s="49" t="s">
        <v>23</v>
      </c>
      <c r="M2394" s="36">
        <f t="shared" si="26"/>
        <v>45811.38418</v>
      </c>
      <c r="N2394" s="30" t="str">
        <f t="shared" si="27"/>
        <v>BT atau SU Belum Valid</v>
      </c>
      <c r="O2394" s="39" t="str">
        <f t="shared" si="23"/>
        <v/>
      </c>
      <c r="P2394" s="47" t="b">
        <v>0</v>
      </c>
      <c r="Q2394" s="36" t="str">
        <f t="shared" si="24"/>
        <v/>
      </c>
      <c r="R2394" s="47" t="b">
        <v>0</v>
      </c>
      <c r="S2394" s="42" t="str">
        <f t="shared" si="28"/>
        <v/>
      </c>
      <c r="T2394" s="42"/>
    </row>
    <row r="2395" ht="22.5" customHeight="1">
      <c r="B2395" s="42">
        <f t="shared" si="7"/>
        <v>2389</v>
      </c>
      <c r="C2395" s="31" t="s">
        <v>2474</v>
      </c>
      <c r="D2395" s="34" t="str">
        <f t="array" ref="D2395">IFNA(_xlfn.XLOOKUP(C2395,Table_Tarikan_Warkah[Nomor Sertipikat],Table_Tarikan_Warkah[Nomor Tiket]),"")</f>
        <v>L/33/280525/1</v>
      </c>
      <c r="E2395" s="36">
        <f t="array" ref="E2395">IFNA(_xlfn.XLOOKUP(D2395,Table_Tarikan_Warkah[Nomor Tiket],Table_Tarikan_Warkah[Tanggal diserahkan kepada Validator]),"")</f>
        <v>45859.66076</v>
      </c>
      <c r="F2395" s="36" t="str">
        <f t="array" ref="F2395">IFNA(_xlfn.XLOOKUP(D2395,Table_Tarikan_Warkah[Nomor Tiket],Table_Tarikan_Warkah[Nama Petugas Warkah]),"")</f>
        <v>David</v>
      </c>
      <c r="G2395" s="39" t="str">
        <f t="array" ref="G2395">IFNA(_xlfn.XLOOKUP(D2395,Table_Tarikan_Warkah[Nomor Tiket],Table_Tarikan_Warkah[Jenis Permohonan]),"")</f>
        <v>ROYA</v>
      </c>
      <c r="H2395" s="41" t="s">
        <v>2315</v>
      </c>
      <c r="I2395" s="49" t="s">
        <v>23</v>
      </c>
      <c r="J2395" s="36">
        <f t="shared" si="20"/>
        <v>45812.37882</v>
      </c>
      <c r="K2395" s="49" t="s">
        <v>2378</v>
      </c>
      <c r="L2395" s="49" t="s">
        <v>23</v>
      </c>
      <c r="M2395" s="36">
        <f t="shared" si="26"/>
        <v>45812.6203</v>
      </c>
      <c r="N2395" s="30" t="str">
        <f t="shared" si="27"/>
        <v>Selesai</v>
      </c>
      <c r="O2395" s="45">
        <f t="shared" si="23"/>
        <v>45812.6203</v>
      </c>
      <c r="P2395" s="47" t="b">
        <v>0</v>
      </c>
      <c r="Q2395" s="36" t="str">
        <f t="shared" si="24"/>
        <v/>
      </c>
      <c r="R2395" s="47" t="b">
        <v>0</v>
      </c>
      <c r="S2395" s="42" t="str">
        <f t="shared" si="28"/>
        <v/>
      </c>
      <c r="T2395" s="42"/>
    </row>
    <row r="2396" ht="22.5" customHeight="1">
      <c r="B2396" s="42">
        <f t="shared" si="7"/>
        <v>2390</v>
      </c>
      <c r="C2396" s="31" t="s">
        <v>2475</v>
      </c>
      <c r="D2396" s="34" t="str">
        <f t="array" ref="D2396">IFNA(_xlfn.XLOOKUP(C2396,Table_Tarikan_Warkah[Nomor Sertipikat],Table_Tarikan_Warkah[Nomor Tiket]),"")</f>
        <v>L/19/260525/1</v>
      </c>
      <c r="E2396" s="36">
        <f t="array" ref="E2396">IFNA(_xlfn.XLOOKUP(D2396,Table_Tarikan_Warkah[Nomor Tiket],Table_Tarikan_Warkah[Tanggal diserahkan kepada Validator]),"")</f>
        <v>45832.53448</v>
      </c>
      <c r="F2396" s="36" t="str">
        <f t="array" ref="F2396">IFNA(_xlfn.XLOOKUP(D2396,Table_Tarikan_Warkah[Nomor Tiket],Table_Tarikan_Warkah[Nama Petugas Warkah]),"")</f>
        <v>David</v>
      </c>
      <c r="G2396" s="39" t="str">
        <f t="array" ref="G2396">IFNA(_xlfn.XLOOKUP(D2396,Table_Tarikan_Warkah[Nomor Tiket],Table_Tarikan_Warkah[Jenis Permohonan]),"")</f>
        <v>ROYA</v>
      </c>
      <c r="H2396" s="41" t="s">
        <v>2315</v>
      </c>
      <c r="I2396" s="49" t="s">
        <v>23</v>
      </c>
      <c r="J2396" s="36">
        <f t="shared" si="20"/>
        <v>45812.37899</v>
      </c>
      <c r="K2396" s="49" t="s">
        <v>2378</v>
      </c>
      <c r="L2396" s="49" t="s">
        <v>23</v>
      </c>
      <c r="M2396" s="36">
        <f t="shared" si="26"/>
        <v>45812.62045</v>
      </c>
      <c r="N2396" s="30" t="str">
        <f t="shared" si="27"/>
        <v>Selesai</v>
      </c>
      <c r="O2396" s="45">
        <f t="shared" si="23"/>
        <v>45812.62045</v>
      </c>
      <c r="P2396" s="47" t="b">
        <v>0</v>
      </c>
      <c r="Q2396" s="36" t="str">
        <f t="shared" si="24"/>
        <v/>
      </c>
      <c r="R2396" s="47" t="b">
        <v>0</v>
      </c>
      <c r="S2396" s="42" t="str">
        <f t="shared" si="28"/>
        <v/>
      </c>
      <c r="T2396" s="42"/>
    </row>
    <row r="2397" ht="22.5" customHeight="1">
      <c r="B2397" s="42">
        <f t="shared" si="7"/>
        <v>2391</v>
      </c>
      <c r="C2397" s="31" t="s">
        <v>2476</v>
      </c>
      <c r="D2397" s="34" t="str">
        <f t="array" ref="D2397">IFNA(_xlfn.XLOOKUP(C2397,Table_Tarikan_Warkah[Nomor Sertipikat],Table_Tarikan_Warkah[Nomor Tiket]),"")</f>
        <v>L/37/280525/1</v>
      </c>
      <c r="E2397" s="36">
        <f t="array" ref="E2397">IFNA(_xlfn.XLOOKUP(D2397,Table_Tarikan_Warkah[Nomor Tiket],Table_Tarikan_Warkah[Tanggal diserahkan kepada Validator]),"")</f>
        <v>45825.6738</v>
      </c>
      <c r="F2397" s="36" t="str">
        <f t="array" ref="F2397">IFNA(_xlfn.XLOOKUP(D2397,Table_Tarikan_Warkah[Nomor Tiket],Table_Tarikan_Warkah[Nama Petugas Warkah]),"")</f>
        <v>David</v>
      </c>
      <c r="G2397" s="39" t="str">
        <f t="array" ref="G2397">IFNA(_xlfn.XLOOKUP(D2397,Table_Tarikan_Warkah[Nomor Tiket],Table_Tarikan_Warkah[Jenis Permohonan]),"")</f>
        <v>ROYA</v>
      </c>
      <c r="H2397" s="41" t="s">
        <v>2315</v>
      </c>
      <c r="I2397" s="49" t="s">
        <v>23</v>
      </c>
      <c r="J2397" s="36">
        <f t="shared" si="20"/>
        <v>45812.37912</v>
      </c>
      <c r="K2397" s="49" t="s">
        <v>2378</v>
      </c>
      <c r="L2397" s="49" t="s">
        <v>23</v>
      </c>
      <c r="M2397" s="36">
        <f t="shared" si="26"/>
        <v>45812.62061</v>
      </c>
      <c r="N2397" s="30" t="str">
        <f t="shared" si="27"/>
        <v>Selesai</v>
      </c>
      <c r="O2397" s="45">
        <f t="shared" si="23"/>
        <v>45812.62061</v>
      </c>
      <c r="P2397" s="47" t="b">
        <v>0</v>
      </c>
      <c r="Q2397" s="36" t="str">
        <f t="shared" si="24"/>
        <v/>
      </c>
      <c r="R2397" s="47" t="b">
        <v>0</v>
      </c>
      <c r="S2397" s="42" t="str">
        <f t="shared" si="28"/>
        <v/>
      </c>
      <c r="T2397" s="42"/>
    </row>
    <row r="2398" ht="22.5" customHeight="1">
      <c r="B2398" s="42">
        <f t="shared" si="7"/>
        <v>2392</v>
      </c>
      <c r="C2398" s="31" t="s">
        <v>2477</v>
      </c>
      <c r="D2398" s="34" t="str">
        <f t="array" ref="D2398">IFNA(_xlfn.XLOOKUP(C2398,Table_Tarikan_Warkah[Nomor Sertipikat],Table_Tarikan_Warkah[Nomor Tiket]),"")</f>
        <v>L/6/280525/1</v>
      </c>
      <c r="E2398" s="36">
        <f t="array" ref="E2398">IFNA(_xlfn.XLOOKUP(D2398,Table_Tarikan_Warkah[Nomor Tiket],Table_Tarikan_Warkah[Tanggal diserahkan kepada Validator]),"")</f>
        <v>45826.52517</v>
      </c>
      <c r="F2398" s="36" t="str">
        <f t="array" ref="F2398">IFNA(_xlfn.XLOOKUP(D2398,Table_Tarikan_Warkah[Nomor Tiket],Table_Tarikan_Warkah[Nama Petugas Warkah]),"")</f>
        <v>David</v>
      </c>
      <c r="G2398" s="39" t="str">
        <f t="array" ref="G2398">IFNA(_xlfn.XLOOKUP(D2398,Table_Tarikan_Warkah[Nomor Tiket],Table_Tarikan_Warkah[Jenis Permohonan]),"")</f>
        <v>ROYA</v>
      </c>
      <c r="H2398" s="41" t="s">
        <v>2315</v>
      </c>
      <c r="I2398" s="49" t="s">
        <v>23</v>
      </c>
      <c r="J2398" s="36">
        <f t="shared" si="20"/>
        <v>45812.37924</v>
      </c>
      <c r="K2398" s="49" t="s">
        <v>2378</v>
      </c>
      <c r="L2398" s="49" t="s">
        <v>23</v>
      </c>
      <c r="M2398" s="36">
        <f t="shared" si="26"/>
        <v>45812.62079</v>
      </c>
      <c r="N2398" s="30" t="str">
        <f t="shared" si="27"/>
        <v>Selesai</v>
      </c>
      <c r="O2398" s="45">
        <f t="shared" si="23"/>
        <v>45812.62079</v>
      </c>
      <c r="P2398" s="47" t="b">
        <v>0</v>
      </c>
      <c r="Q2398" s="36" t="str">
        <f t="shared" si="24"/>
        <v/>
      </c>
      <c r="R2398" s="47" t="b">
        <v>0</v>
      </c>
      <c r="S2398" s="42" t="str">
        <f t="shared" si="28"/>
        <v/>
      </c>
      <c r="T2398" s="42"/>
    </row>
    <row r="2399" ht="22.5" customHeight="1">
      <c r="B2399" s="42">
        <f t="shared" si="7"/>
        <v>2393</v>
      </c>
      <c r="C2399" s="31" t="s">
        <v>2478</v>
      </c>
      <c r="D2399" s="34" t="str">
        <f t="array" ref="D2399">IFNA(_xlfn.XLOOKUP(C2399,Table_Tarikan_Warkah[Nomor Sertipikat],Table_Tarikan_Warkah[Nomor Tiket]),"")</f>
        <v>L/8/220525/1</v>
      </c>
      <c r="E2399" s="36">
        <f t="array" ref="E2399">IFNA(_xlfn.XLOOKUP(D2399,Table_Tarikan_Warkah[Nomor Tiket],Table_Tarikan_Warkah[Tanggal diserahkan kepada Validator]),"")</f>
        <v>45825.68213</v>
      </c>
      <c r="F2399" s="36" t="str">
        <f t="array" ref="F2399">IFNA(_xlfn.XLOOKUP(D2399,Table_Tarikan_Warkah[Nomor Tiket],Table_Tarikan_Warkah[Nama Petugas Warkah]),"")</f>
        <v>David</v>
      </c>
      <c r="G2399" s="39" t="str">
        <f t="array" ref="G2399">IFNA(_xlfn.XLOOKUP(D2399,Table_Tarikan_Warkah[Nomor Tiket],Table_Tarikan_Warkah[Jenis Permohonan]),"")</f>
        <v>ROYA</v>
      </c>
      <c r="H2399" s="41" t="s">
        <v>2315</v>
      </c>
      <c r="I2399" s="49" t="s">
        <v>23</v>
      </c>
      <c r="J2399" s="36">
        <f t="shared" si="20"/>
        <v>45812.37958</v>
      </c>
      <c r="K2399" s="49" t="s">
        <v>2378</v>
      </c>
      <c r="L2399" s="49" t="s">
        <v>23</v>
      </c>
      <c r="M2399" s="36">
        <f t="shared" si="26"/>
        <v>45812.62087</v>
      </c>
      <c r="N2399" s="30" t="str">
        <f t="shared" si="27"/>
        <v>Selesai</v>
      </c>
      <c r="O2399" s="45">
        <f t="shared" si="23"/>
        <v>45812.62087</v>
      </c>
      <c r="P2399" s="47" t="b">
        <v>0</v>
      </c>
      <c r="Q2399" s="36" t="str">
        <f t="shared" si="24"/>
        <v/>
      </c>
      <c r="R2399" s="47" t="b">
        <v>0</v>
      </c>
      <c r="S2399" s="42" t="str">
        <f t="shared" si="28"/>
        <v/>
      </c>
      <c r="T2399" s="42"/>
    </row>
    <row r="2400" ht="22.5" customHeight="1">
      <c r="B2400" s="42">
        <f t="shared" si="7"/>
        <v>2394</v>
      </c>
      <c r="C2400" s="31" t="s">
        <v>2479</v>
      </c>
      <c r="D2400" s="34" t="str">
        <f t="array" ref="D2400">IFNA(_xlfn.XLOOKUP(C2400,Table_Tarikan_Warkah[Nomor Sertipikat],Table_Tarikan_Warkah[Nomor Tiket]),"")</f>
        <v>L/17/190525/1</v>
      </c>
      <c r="E2400" s="36" t="str">
        <f t="array" ref="E2400">IFNA(_xlfn.XLOOKUP(D2400,Table_Tarikan_Warkah[Nomor Tiket],Table_Tarikan_Warkah[Tanggal diserahkan kepada Validator]),"")</f>
        <v/>
      </c>
      <c r="F2400" s="36" t="str">
        <f t="array" ref="F2400">IFNA(_xlfn.XLOOKUP(D2400,Table_Tarikan_Warkah[Nomor Tiket],Table_Tarikan_Warkah[Nama Petugas Warkah]),"")</f>
        <v/>
      </c>
      <c r="G2400" s="39" t="str">
        <f t="array" ref="G2400">IFNA(_xlfn.XLOOKUP(D2400,Table_Tarikan_Warkah[Nomor Tiket],Table_Tarikan_Warkah[Jenis Permohonan]),"")</f>
        <v>PH</v>
      </c>
      <c r="H2400" s="41" t="s">
        <v>2315</v>
      </c>
      <c r="I2400" s="49" t="s">
        <v>23</v>
      </c>
      <c r="J2400" s="36">
        <f t="shared" si="20"/>
        <v>45812.37973</v>
      </c>
      <c r="K2400" s="49" t="s">
        <v>2378</v>
      </c>
      <c r="L2400" s="49" t="s">
        <v>23</v>
      </c>
      <c r="M2400" s="36">
        <f t="shared" si="26"/>
        <v>45812.62105</v>
      </c>
      <c r="N2400" s="30" t="str">
        <f t="shared" si="27"/>
        <v>Selesai</v>
      </c>
      <c r="O2400" s="45">
        <f t="shared" si="23"/>
        <v>45812.62105</v>
      </c>
      <c r="P2400" s="47" t="b">
        <v>0</v>
      </c>
      <c r="Q2400" s="36" t="str">
        <f t="shared" si="24"/>
        <v/>
      </c>
      <c r="R2400" s="47" t="b">
        <v>0</v>
      </c>
      <c r="S2400" s="42" t="str">
        <f t="shared" si="28"/>
        <v/>
      </c>
      <c r="T2400" s="42"/>
    </row>
    <row r="2401" ht="22.5" customHeight="1">
      <c r="B2401" s="42">
        <f t="shared" si="7"/>
        <v>2395</v>
      </c>
      <c r="C2401" s="31" t="s">
        <v>2480</v>
      </c>
      <c r="D2401" s="34" t="str">
        <f t="array" ref="D2401">IFNA(_xlfn.XLOOKUP(C2401,Table_Tarikan_Warkah[Nomor Sertipikat],Table_Tarikan_Warkah[Nomor Tiket]),"")</f>
        <v>K/3/020525/1</v>
      </c>
      <c r="E2401" s="36">
        <f t="array" ref="E2401">IFNA(_xlfn.XLOOKUP(D2401,Table_Tarikan_Warkah[Nomor Tiket],Table_Tarikan_Warkah[Tanggal diserahkan kepada Validator]),"")</f>
        <v>45819.78449</v>
      </c>
      <c r="F2401" s="36" t="str">
        <f t="array" ref="F2401">IFNA(_xlfn.XLOOKUP(D2401,Table_Tarikan_Warkah[Nomor Tiket],Table_Tarikan_Warkah[Nama Petugas Warkah]),"")</f>
        <v>Berry</v>
      </c>
      <c r="G2401" s="39" t="str">
        <f t="array" ref="G2401">IFNA(_xlfn.XLOOKUP(D2401,Table_Tarikan_Warkah[Nomor Tiket],Table_Tarikan_Warkah[Jenis Permohonan]),"")</f>
        <v>BN JUAL BELI</v>
      </c>
      <c r="H2401" s="41" t="s">
        <v>2315</v>
      </c>
      <c r="I2401" s="49" t="s">
        <v>23</v>
      </c>
      <c r="J2401" s="36">
        <f t="shared" si="20"/>
        <v>45812.37997</v>
      </c>
      <c r="K2401" s="49" t="s">
        <v>2378</v>
      </c>
      <c r="L2401" s="49" t="s">
        <v>23</v>
      </c>
      <c r="M2401" s="36">
        <f t="shared" si="26"/>
        <v>45812.62116</v>
      </c>
      <c r="N2401" s="30" t="str">
        <f t="shared" si="27"/>
        <v>Selesai</v>
      </c>
      <c r="O2401" s="45">
        <f t="shared" si="23"/>
        <v>45812.62116</v>
      </c>
      <c r="P2401" s="47" t="b">
        <v>0</v>
      </c>
      <c r="Q2401" s="36" t="str">
        <f t="shared" si="24"/>
        <v/>
      </c>
      <c r="R2401" s="47" t="b">
        <v>0</v>
      </c>
      <c r="S2401" s="42" t="str">
        <f t="shared" si="28"/>
        <v/>
      </c>
      <c r="T2401" s="42"/>
    </row>
    <row r="2402" ht="22.5" customHeight="1">
      <c r="B2402" s="42">
        <f t="shared" si="7"/>
        <v>2396</v>
      </c>
      <c r="C2402" s="31" t="s">
        <v>2481</v>
      </c>
      <c r="D2402" s="34" t="str">
        <f t="array" ref="D2402">IFNA(_xlfn.XLOOKUP(C2402,Table_Tarikan_Warkah[Nomor Sertipikat],Table_Tarikan_Warkah[Nomor Tiket]),"")</f>
        <v>L/29/220525/1</v>
      </c>
      <c r="E2402" s="36">
        <f t="array" ref="E2402">IFNA(_xlfn.XLOOKUP(D2402,Table_Tarikan_Warkah[Nomor Tiket],Table_Tarikan_Warkah[Tanggal diserahkan kepada Validator]),"")</f>
        <v>45826.53225</v>
      </c>
      <c r="F2402" s="36" t="str">
        <f t="array" ref="F2402">IFNA(_xlfn.XLOOKUP(D2402,Table_Tarikan_Warkah[Nomor Tiket],Table_Tarikan_Warkah[Nama Petugas Warkah]),"")</f>
        <v>David</v>
      </c>
      <c r="G2402" s="39" t="str">
        <f t="array" ref="G2402">IFNA(_xlfn.XLOOKUP(D2402,Table_Tarikan_Warkah[Nomor Tiket],Table_Tarikan_Warkah[Jenis Permohonan]),"")</f>
        <v>KEUMALA HAYATI</v>
      </c>
      <c r="H2402" s="41" t="s">
        <v>2315</v>
      </c>
      <c r="I2402" s="49" t="s">
        <v>23</v>
      </c>
      <c r="J2402" s="36">
        <f t="shared" si="20"/>
        <v>45812.38025</v>
      </c>
      <c r="K2402" s="49" t="s">
        <v>2378</v>
      </c>
      <c r="L2402" s="49" t="s">
        <v>23</v>
      </c>
      <c r="M2402" s="36">
        <f t="shared" si="26"/>
        <v>45812.62136</v>
      </c>
      <c r="N2402" s="30" t="str">
        <f t="shared" si="27"/>
        <v>Selesai</v>
      </c>
      <c r="O2402" s="45">
        <f t="shared" si="23"/>
        <v>45812.62136</v>
      </c>
      <c r="P2402" s="47" t="b">
        <v>0</v>
      </c>
      <c r="Q2402" s="36" t="str">
        <f t="shared" si="24"/>
        <v/>
      </c>
      <c r="R2402" s="47" t="b">
        <v>0</v>
      </c>
      <c r="S2402" s="42" t="str">
        <f t="shared" si="28"/>
        <v/>
      </c>
      <c r="T2402" s="42"/>
    </row>
    <row r="2403" ht="22.5" customHeight="1">
      <c r="B2403" s="42">
        <f t="shared" si="7"/>
        <v>2397</v>
      </c>
      <c r="C2403" s="31" t="s">
        <v>2482</v>
      </c>
      <c r="D2403" s="34" t="str">
        <f t="array" ref="D2403">IFNA(_xlfn.XLOOKUP(C2403,Table_Tarikan_Warkah[Nomor Sertipikat],Table_Tarikan_Warkah[Nomor Tiket]),"")</f>
        <v>L/7/070525/1</v>
      </c>
      <c r="E2403" s="36">
        <f t="array" ref="E2403">IFNA(_xlfn.XLOOKUP(D2403,Table_Tarikan_Warkah[Nomor Tiket],Table_Tarikan_Warkah[Tanggal diserahkan kepada Validator]),"")</f>
        <v>45828.58513</v>
      </c>
      <c r="F2403" s="36" t="str">
        <f t="array" ref="F2403">IFNA(_xlfn.XLOOKUP(D2403,Table_Tarikan_Warkah[Nomor Tiket],Table_Tarikan_Warkah[Nama Petugas Warkah]),"")</f>
        <v>Berry</v>
      </c>
      <c r="G2403" s="39" t="str">
        <f t="array" ref="G2403">IFNA(_xlfn.XLOOKUP(D2403,Table_Tarikan_Warkah[Nomor Tiket],Table_Tarikan_Warkah[Jenis Permohonan]),"")</f>
        <v>ROYA</v>
      </c>
      <c r="H2403" s="41" t="s">
        <v>2315</v>
      </c>
      <c r="I2403" s="49" t="s">
        <v>23</v>
      </c>
      <c r="J2403" s="36">
        <f t="shared" si="20"/>
        <v>45812.38044</v>
      </c>
      <c r="K2403" s="49" t="s">
        <v>2378</v>
      </c>
      <c r="L2403" s="49" t="s">
        <v>23</v>
      </c>
      <c r="M2403" s="36">
        <f t="shared" si="26"/>
        <v>45812.62144</v>
      </c>
      <c r="N2403" s="30" t="str">
        <f t="shared" si="27"/>
        <v>Selesai</v>
      </c>
      <c r="O2403" s="45">
        <f t="shared" si="23"/>
        <v>45812.62144</v>
      </c>
      <c r="P2403" s="47" t="b">
        <v>0</v>
      </c>
      <c r="Q2403" s="36" t="str">
        <f t="shared" si="24"/>
        <v/>
      </c>
      <c r="R2403" s="47" t="b">
        <v>0</v>
      </c>
      <c r="S2403" s="42" t="str">
        <f t="shared" si="28"/>
        <v/>
      </c>
      <c r="T2403" s="42"/>
    </row>
    <row r="2404" ht="22.5" customHeight="1">
      <c r="B2404" s="42">
        <f t="shared" si="7"/>
        <v>2398</v>
      </c>
      <c r="C2404" s="31" t="s">
        <v>2483</v>
      </c>
      <c r="D2404" s="34" t="str">
        <f t="array" ref="D2404">IFNA(_xlfn.XLOOKUP(C2404,Table_Tarikan_Warkah[Nomor Sertipikat],Table_Tarikan_Warkah[Nomor Tiket]),"")</f>
        <v>L/7/270525/1</v>
      </c>
      <c r="E2404" s="36">
        <f t="array" ref="E2404">IFNA(_xlfn.XLOOKUP(D2404,Table_Tarikan_Warkah[Nomor Tiket],Table_Tarikan_Warkah[Tanggal diserahkan kepada Validator]),"")</f>
        <v>45824.63542</v>
      </c>
      <c r="F2404" s="36" t="str">
        <f t="array" ref="F2404">IFNA(_xlfn.XLOOKUP(D2404,Table_Tarikan_Warkah[Nomor Tiket],Table_Tarikan_Warkah[Nama Petugas Warkah]),"")</f>
        <v>David</v>
      </c>
      <c r="G2404" s="39" t="str">
        <f t="array" ref="G2404">IFNA(_xlfn.XLOOKUP(D2404,Table_Tarikan_Warkah[Nomor Tiket],Table_Tarikan_Warkah[Jenis Permohonan]),"")</f>
        <v>ROYA</v>
      </c>
      <c r="H2404" s="41" t="s">
        <v>2315</v>
      </c>
      <c r="I2404" s="49" t="s">
        <v>23</v>
      </c>
      <c r="J2404" s="36">
        <f t="shared" si="20"/>
        <v>45812.38059</v>
      </c>
      <c r="K2404" s="49" t="s">
        <v>2378</v>
      </c>
      <c r="L2404" s="49" t="s">
        <v>23</v>
      </c>
      <c r="M2404" s="36">
        <f t="shared" si="26"/>
        <v>45812.62156</v>
      </c>
      <c r="N2404" s="30" t="str">
        <f t="shared" si="27"/>
        <v>Selesai</v>
      </c>
      <c r="O2404" s="45">
        <f t="shared" si="23"/>
        <v>45812.62156</v>
      </c>
      <c r="P2404" s="47" t="b">
        <v>0</v>
      </c>
      <c r="Q2404" s="36" t="str">
        <f t="shared" si="24"/>
        <v/>
      </c>
      <c r="R2404" s="47" t="b">
        <v>0</v>
      </c>
      <c r="S2404" s="42" t="str">
        <f t="shared" si="28"/>
        <v/>
      </c>
      <c r="T2404" s="42"/>
    </row>
    <row r="2405" ht="22.5" customHeight="1">
      <c r="B2405" s="42">
        <f t="shared" si="7"/>
        <v>2399</v>
      </c>
      <c r="C2405" s="31" t="s">
        <v>2484</v>
      </c>
      <c r="D2405" s="34" t="str">
        <f t="array" ref="D2405">IFNA(_xlfn.XLOOKUP(C2405,Table_Tarikan_Warkah[Nomor Sertipikat],Table_Tarikan_Warkah[Nomor Tiket]),"")</f>
        <v>K/41/251124/1</v>
      </c>
      <c r="E2405" s="36" t="str">
        <f t="array" ref="E2405">IFNA(_xlfn.XLOOKUP(D2405,Table_Tarikan_Warkah[Nomor Tiket],Table_Tarikan_Warkah[Tanggal diserahkan kepada Validator]),"")</f>
        <v>26/11/2024 12.03</v>
      </c>
      <c r="F2405" s="36" t="str">
        <f t="array" ref="F2405">IFNA(_xlfn.XLOOKUP(D2405,Table_Tarikan_Warkah[Nomor Tiket],Table_Tarikan_Warkah[Nama Petugas Warkah]),"")</f>
        <v>Berry</v>
      </c>
      <c r="G2405" s="39" t="str">
        <f t="array" ref="G2405">IFNA(_xlfn.XLOOKUP(D2405,Table_Tarikan_Warkah[Nomor Tiket],Table_Tarikan_Warkah[Jenis Permohonan]),"")</f>
        <v>PTPGT</v>
      </c>
      <c r="H2405" s="70"/>
      <c r="I2405" s="49"/>
      <c r="J2405" s="36" t="str">
        <f t="shared" si="20"/>
        <v/>
      </c>
      <c r="K2405" s="69"/>
      <c r="L2405" s="49" t="s">
        <v>23</v>
      </c>
      <c r="M2405" s="36">
        <f t="shared" si="26"/>
        <v>45874.68043</v>
      </c>
      <c r="N2405" s="30" t="str">
        <f t="shared" si="27"/>
        <v>BT atau SU Belum Valid</v>
      </c>
      <c r="O2405" s="39" t="str">
        <f t="shared" si="23"/>
        <v/>
      </c>
      <c r="P2405" s="47" t="b">
        <v>0</v>
      </c>
      <c r="Q2405" s="36" t="str">
        <f t="shared" si="24"/>
        <v/>
      </c>
      <c r="R2405" s="47" t="b">
        <v>0</v>
      </c>
      <c r="S2405" s="42" t="str">
        <f t="shared" si="28"/>
        <v/>
      </c>
      <c r="T2405" s="42"/>
    </row>
    <row r="2406" ht="22.5" customHeight="1">
      <c r="B2406" s="42">
        <f t="shared" si="7"/>
        <v>2400</v>
      </c>
      <c r="C2406" s="31" t="s">
        <v>2485</v>
      </c>
      <c r="D2406" s="34" t="str">
        <f t="array" ref="D2406">IFNA(_xlfn.XLOOKUP(C2406,Table_Tarikan_Warkah[Nomor Sertipikat],Table_Tarikan_Warkah[Nomor Tiket]),"")</f>
        <v>L/12/150525/1</v>
      </c>
      <c r="E2406" s="36">
        <f t="array" ref="E2406">IFNA(_xlfn.XLOOKUP(D2406,Table_Tarikan_Warkah[Nomor Tiket],Table_Tarikan_Warkah[Tanggal diserahkan kepada Validator]),"")</f>
        <v>45812.609</v>
      </c>
      <c r="F2406" s="36" t="str">
        <f t="array" ref="F2406">IFNA(_xlfn.XLOOKUP(D2406,Table_Tarikan_Warkah[Nomor Tiket],Table_Tarikan_Warkah[Nama Petugas Warkah]),"")</f>
        <v>Berry</v>
      </c>
      <c r="G2406" s="39" t="str">
        <f t="array" ref="G2406">IFNA(_xlfn.XLOOKUP(D2406,Table_Tarikan_Warkah[Nomor Tiket],Table_Tarikan_Warkah[Jenis Permohonan]),"")</f>
        <v>BN WARIS</v>
      </c>
      <c r="H2406" s="41" t="s">
        <v>20</v>
      </c>
      <c r="I2406" s="49" t="s">
        <v>23</v>
      </c>
      <c r="J2406" s="36">
        <f t="shared" si="20"/>
        <v>45812.40323</v>
      </c>
      <c r="K2406" s="49" t="s">
        <v>920</v>
      </c>
      <c r="L2406" s="49" t="s">
        <v>23</v>
      </c>
      <c r="M2406" s="36">
        <f t="shared" si="26"/>
        <v>45812.40323</v>
      </c>
      <c r="N2406" s="30" t="str">
        <f t="shared" si="27"/>
        <v>Selesai</v>
      </c>
      <c r="O2406" s="45">
        <f t="shared" si="23"/>
        <v>45812.40323</v>
      </c>
      <c r="P2406" s="47" t="b">
        <v>1</v>
      </c>
      <c r="Q2406" s="36">
        <f t="shared" si="24"/>
        <v>45812.40323</v>
      </c>
      <c r="R2406" s="47" t="b">
        <v>0</v>
      </c>
      <c r="S2406" s="42" t="str">
        <f t="shared" si="28"/>
        <v/>
      </c>
      <c r="T2406" s="42"/>
    </row>
    <row r="2407" ht="22.5" customHeight="1">
      <c r="B2407" s="42">
        <f t="shared" si="7"/>
        <v>2401</v>
      </c>
      <c r="C2407" s="31" t="s">
        <v>2486</v>
      </c>
      <c r="D2407" s="34" t="str">
        <f t="array" ref="D2407">IFNA(_xlfn.XLOOKUP(C2407,Table_Tarikan_Warkah[Nomor Sertipikat],Table_Tarikan_Warkah[Nomor Tiket]),"")</f>
        <v>L/3/250225/1</v>
      </c>
      <c r="E2407" s="36">
        <f t="array" ref="E2407">IFNA(_xlfn.XLOOKUP(D2407,Table_Tarikan_Warkah[Nomor Tiket],Table_Tarikan_Warkah[Tanggal diserahkan kepada Validator]),"")</f>
        <v>45813.47505</v>
      </c>
      <c r="F2407" s="36" t="str">
        <f t="array" ref="F2407">IFNA(_xlfn.XLOOKUP(D2407,Table_Tarikan_Warkah[Nomor Tiket],Table_Tarikan_Warkah[Nama Petugas Warkah]),"")</f>
        <v>David</v>
      </c>
      <c r="G2407" s="39" t="str">
        <f t="array" ref="G2407">IFNA(_xlfn.XLOOKUP(D2407,Table_Tarikan_Warkah[Nomor Tiket],Table_Tarikan_Warkah[Jenis Permohonan]),"")</f>
        <v>TANJUNG KARANG</v>
      </c>
      <c r="H2407" s="41" t="s">
        <v>20</v>
      </c>
      <c r="I2407" s="49" t="s">
        <v>23</v>
      </c>
      <c r="J2407" s="36">
        <f t="shared" si="20"/>
        <v>45812.56378</v>
      </c>
      <c r="K2407" s="49" t="s">
        <v>920</v>
      </c>
      <c r="L2407" s="49" t="s">
        <v>23</v>
      </c>
      <c r="M2407" s="36">
        <f t="shared" si="26"/>
        <v>45812.56395</v>
      </c>
      <c r="N2407" s="30" t="str">
        <f t="shared" si="27"/>
        <v>Selesai</v>
      </c>
      <c r="O2407" s="45">
        <f t="shared" si="23"/>
        <v>45812.56395</v>
      </c>
      <c r="P2407" s="47" t="b">
        <v>1</v>
      </c>
      <c r="Q2407" s="36">
        <f t="shared" si="24"/>
        <v>45812.56409</v>
      </c>
      <c r="R2407" s="47" t="b">
        <v>0</v>
      </c>
      <c r="S2407" s="42" t="str">
        <f t="shared" si="28"/>
        <v/>
      </c>
      <c r="T2407" s="42"/>
    </row>
    <row r="2408" ht="22.5" customHeight="1">
      <c r="B2408" s="42">
        <f t="shared" si="7"/>
        <v>2402</v>
      </c>
      <c r="C2408" s="31" t="s">
        <v>2487</v>
      </c>
      <c r="D2408" s="34" t="str">
        <f t="array" ref="D2408">IFNA(_xlfn.XLOOKUP(C2408,Table_Tarikan_Warkah[Nomor Sertipikat],Table_Tarikan_Warkah[Nomor Tiket]),"")</f>
        <v>L/14/170425/1</v>
      </c>
      <c r="E2408" s="36">
        <f t="array" ref="E2408">IFNA(_xlfn.XLOOKUP(D2408,Table_Tarikan_Warkah[Nomor Tiket],Table_Tarikan_Warkah[Tanggal diserahkan kepada Validator]),"")</f>
        <v>45813.47657</v>
      </c>
      <c r="F2408" s="36" t="str">
        <f t="array" ref="F2408">IFNA(_xlfn.XLOOKUP(D2408,Table_Tarikan_Warkah[Nomor Tiket],Table_Tarikan_Warkah[Nama Petugas Warkah]),"")</f>
        <v>David</v>
      </c>
      <c r="G2408" s="39" t="str">
        <f t="array" ref="G2408">IFNA(_xlfn.XLOOKUP(D2408,Table_Tarikan_Warkah[Nomor Tiket],Table_Tarikan_Warkah[Jenis Permohonan]),"")</f>
        <v>ROYA</v>
      </c>
      <c r="H2408" s="41" t="s">
        <v>20</v>
      </c>
      <c r="I2408" s="49" t="s">
        <v>23</v>
      </c>
      <c r="J2408" s="36">
        <f t="shared" si="20"/>
        <v>45812.56379</v>
      </c>
      <c r="K2408" s="49" t="s">
        <v>920</v>
      </c>
      <c r="L2408" s="49" t="s">
        <v>23</v>
      </c>
      <c r="M2408" s="36">
        <f t="shared" si="26"/>
        <v>45812.56395</v>
      </c>
      <c r="N2408" s="30" t="str">
        <f t="shared" si="27"/>
        <v>Selesai</v>
      </c>
      <c r="O2408" s="45">
        <f t="shared" si="23"/>
        <v>45812.56395</v>
      </c>
      <c r="P2408" s="47" t="b">
        <v>1</v>
      </c>
      <c r="Q2408" s="36">
        <f t="shared" si="24"/>
        <v>45812.56409</v>
      </c>
      <c r="R2408" s="47" t="b">
        <v>0</v>
      </c>
      <c r="S2408" s="42" t="str">
        <f t="shared" si="28"/>
        <v/>
      </c>
      <c r="T2408" s="42"/>
    </row>
    <row r="2409" ht="22.5" customHeight="1">
      <c r="B2409" s="42">
        <f t="shared" si="7"/>
        <v>2403</v>
      </c>
      <c r="C2409" s="31" t="s">
        <v>2488</v>
      </c>
      <c r="D2409" s="34" t="str">
        <f t="array" ref="D2409">IFNA(_xlfn.XLOOKUP(C2409,Table_Tarikan_Warkah[Nomor Sertipikat],Table_Tarikan_Warkah[Nomor Tiket]),"")</f>
        <v>K/7/160525/2</v>
      </c>
      <c r="E2409" s="36">
        <f t="array" ref="E2409">IFNA(_xlfn.XLOOKUP(D2409,Table_Tarikan_Warkah[Nomor Tiket],Table_Tarikan_Warkah[Tanggal diserahkan kepada Validator]),"")</f>
        <v>45813.47893</v>
      </c>
      <c r="F2409" s="36" t="str">
        <f t="array" ref="F2409">IFNA(_xlfn.XLOOKUP(D2409,Table_Tarikan_Warkah[Nomor Tiket],Table_Tarikan_Warkah[Nama Petugas Warkah]),"")</f>
        <v>David</v>
      </c>
      <c r="G2409" s="39" t="str">
        <f t="array" ref="G2409">IFNA(_xlfn.XLOOKUP(D2409,Table_Tarikan_Warkah[Nomor Tiket],Table_Tarikan_Warkah[Jenis Permohonan]),"")</f>
        <v>GANTI NAMA HT</v>
      </c>
      <c r="H2409" s="41" t="s">
        <v>20</v>
      </c>
      <c r="I2409" s="49" t="s">
        <v>23</v>
      </c>
      <c r="J2409" s="36">
        <f t="shared" si="20"/>
        <v>45812.56395</v>
      </c>
      <c r="K2409" s="49" t="s">
        <v>920</v>
      </c>
      <c r="L2409" s="49" t="s">
        <v>23</v>
      </c>
      <c r="M2409" s="36">
        <f t="shared" si="26"/>
        <v>45812.56409</v>
      </c>
      <c r="N2409" s="30" t="str">
        <f t="shared" si="27"/>
        <v>Selesai</v>
      </c>
      <c r="O2409" s="45">
        <f t="shared" si="23"/>
        <v>45812.56409</v>
      </c>
      <c r="P2409" s="47" t="b">
        <v>1</v>
      </c>
      <c r="Q2409" s="36">
        <f t="shared" si="24"/>
        <v>45812.56409</v>
      </c>
      <c r="R2409" s="47" t="b">
        <v>0</v>
      </c>
      <c r="S2409" s="42" t="str">
        <f t="shared" si="28"/>
        <v/>
      </c>
      <c r="T2409" s="42"/>
    </row>
    <row r="2410" ht="22.5" customHeight="1">
      <c r="B2410" s="42">
        <f t="shared" si="7"/>
        <v>2404</v>
      </c>
      <c r="C2410" s="31" t="s">
        <v>2489</v>
      </c>
      <c r="D2410" s="34" t="str">
        <f t="array" ref="D2410">IFNA(_xlfn.XLOOKUP(C2410,Table_Tarikan_Warkah[Nomor Sertipikat],Table_Tarikan_Warkah[Nomor Tiket]),"")</f>
        <v>K/36/250225/2</v>
      </c>
      <c r="E2410" s="36">
        <f t="array" ref="E2410">IFNA(_xlfn.XLOOKUP(D2410,Table_Tarikan_Warkah[Nomor Tiket],Table_Tarikan_Warkah[Tanggal diserahkan kepada Validator]),"")</f>
        <v>45819.82724</v>
      </c>
      <c r="F2410" s="36" t="str">
        <f t="array" ref="F2410">IFNA(_xlfn.XLOOKUP(D2410,Table_Tarikan_Warkah[Nomor Tiket],Table_Tarikan_Warkah[Nama Petugas Warkah]),"")</f>
        <v>Berry</v>
      </c>
      <c r="G2410" s="39" t="str">
        <f t="array" ref="G2410">IFNA(_xlfn.XLOOKUP(D2410,Table_Tarikan_Warkah[Nomor Tiket],Table_Tarikan_Warkah[Jenis Permohonan]),"")</f>
        <v>HIBAH</v>
      </c>
      <c r="H2410" s="41" t="s">
        <v>20</v>
      </c>
      <c r="I2410" s="49" t="s">
        <v>23</v>
      </c>
      <c r="J2410" s="36">
        <f t="shared" si="20"/>
        <v>45812.66418</v>
      </c>
      <c r="K2410" s="49" t="s">
        <v>2378</v>
      </c>
      <c r="L2410" s="49" t="s">
        <v>23</v>
      </c>
      <c r="M2410" s="36">
        <f t="shared" si="26"/>
        <v>45813.44283</v>
      </c>
      <c r="N2410" s="30" t="str">
        <f t="shared" si="27"/>
        <v>Selesai</v>
      </c>
      <c r="O2410" s="45">
        <f t="shared" si="23"/>
        <v>45813.44283</v>
      </c>
      <c r="P2410" s="47" t="b">
        <v>0</v>
      </c>
      <c r="Q2410" s="36" t="str">
        <f t="shared" si="24"/>
        <v/>
      </c>
      <c r="R2410" s="47" t="b">
        <v>0</v>
      </c>
      <c r="S2410" s="42" t="str">
        <f t="shared" si="28"/>
        <v/>
      </c>
      <c r="T2410" s="42"/>
    </row>
    <row r="2411" ht="22.5" customHeight="1">
      <c r="B2411" s="42">
        <f t="shared" si="7"/>
        <v>2405</v>
      </c>
      <c r="C2411" s="31" t="s">
        <v>2490</v>
      </c>
      <c r="D2411" s="34" t="str">
        <f t="array" ref="D2411">IFNA(_xlfn.XLOOKUP(C2411,Table_Tarikan_Warkah[Nomor Sertipikat],Table_Tarikan_Warkah[Nomor Tiket]),"")</f>
        <v>K/29/270525/1</v>
      </c>
      <c r="E2411" s="36" t="str">
        <f t="array" ref="E2411">IFNA(_xlfn.XLOOKUP(D2411,Table_Tarikan_Warkah[Nomor Tiket],Table_Tarikan_Warkah[Tanggal diserahkan kepada Validator]),"")</f>
        <v/>
      </c>
      <c r="F2411" s="36" t="str">
        <f t="array" ref="F2411">IFNA(_xlfn.XLOOKUP(D2411,Table_Tarikan_Warkah[Nomor Tiket],Table_Tarikan_Warkah[Nama Petugas Warkah]),"")</f>
        <v/>
      </c>
      <c r="G2411" s="39" t="str">
        <f t="array" ref="G2411">IFNA(_xlfn.XLOOKUP(D2411,Table_Tarikan_Warkah[Nomor Tiket],Table_Tarikan_Warkah[Jenis Permohonan]),"")</f>
        <v>Perubahan Hak</v>
      </c>
      <c r="H2411" s="41" t="s">
        <v>20</v>
      </c>
      <c r="I2411" s="49" t="s">
        <v>23</v>
      </c>
      <c r="J2411" s="36">
        <f t="shared" si="20"/>
        <v>45812.66428</v>
      </c>
      <c r="K2411" s="49" t="s">
        <v>2378</v>
      </c>
      <c r="L2411" s="49" t="s">
        <v>23</v>
      </c>
      <c r="M2411" s="36">
        <f t="shared" si="26"/>
        <v>45813.44296</v>
      </c>
      <c r="N2411" s="30" t="str">
        <f t="shared" si="27"/>
        <v>Selesai</v>
      </c>
      <c r="O2411" s="45">
        <f t="shared" si="23"/>
        <v>45813.44296</v>
      </c>
      <c r="P2411" s="47" t="b">
        <v>0</v>
      </c>
      <c r="Q2411" s="36" t="str">
        <f t="shared" si="24"/>
        <v/>
      </c>
      <c r="R2411" s="47" t="b">
        <v>0</v>
      </c>
      <c r="S2411" s="42" t="str">
        <f t="shared" si="28"/>
        <v/>
      </c>
      <c r="T2411" s="42"/>
    </row>
    <row r="2412" ht="22.5" customHeight="1">
      <c r="B2412" s="42">
        <f t="shared" si="7"/>
        <v>2406</v>
      </c>
      <c r="C2412" s="31" t="s">
        <v>2491</v>
      </c>
      <c r="D2412" s="34" t="str">
        <f t="array" ref="D2412">IFNA(_xlfn.XLOOKUP(C2412,Table_Tarikan_Warkah[Nomor Sertipikat],Table_Tarikan_Warkah[Nomor Tiket]),"")</f>
        <v>K/14/160525/1</v>
      </c>
      <c r="E2412" s="36">
        <f t="array" ref="E2412">IFNA(_xlfn.XLOOKUP(D2412,Table_Tarikan_Warkah[Nomor Tiket],Table_Tarikan_Warkah[Tanggal diserahkan kepada Validator]),"")</f>
        <v>45825.68033</v>
      </c>
      <c r="F2412" s="36" t="str">
        <f t="array" ref="F2412">IFNA(_xlfn.XLOOKUP(D2412,Table_Tarikan_Warkah[Nomor Tiket],Table_Tarikan_Warkah[Nama Petugas Warkah]),"")</f>
        <v>David</v>
      </c>
      <c r="G2412" s="39" t="str">
        <f t="array" ref="G2412">IFNA(_xlfn.XLOOKUP(D2412,Table_Tarikan_Warkah[Nomor Tiket],Table_Tarikan_Warkah[Jenis Permohonan]),"")</f>
        <v>ROYA</v>
      </c>
      <c r="H2412" s="41" t="s">
        <v>20</v>
      </c>
      <c r="I2412" s="49" t="s">
        <v>23</v>
      </c>
      <c r="J2412" s="36">
        <f t="shared" si="20"/>
        <v>45812.66442</v>
      </c>
      <c r="K2412" s="49" t="s">
        <v>2378</v>
      </c>
      <c r="L2412" s="49" t="s">
        <v>23</v>
      </c>
      <c r="M2412" s="36">
        <f t="shared" si="26"/>
        <v>45813.44312</v>
      </c>
      <c r="N2412" s="30" t="str">
        <f t="shared" si="27"/>
        <v>Selesai</v>
      </c>
      <c r="O2412" s="45">
        <f t="shared" si="23"/>
        <v>45813.44312</v>
      </c>
      <c r="P2412" s="47" t="b">
        <v>0</v>
      </c>
      <c r="Q2412" s="36" t="str">
        <f t="shared" si="24"/>
        <v/>
      </c>
      <c r="R2412" s="47" t="b">
        <v>0</v>
      </c>
      <c r="S2412" s="42" t="str">
        <f t="shared" si="28"/>
        <v/>
      </c>
      <c r="T2412" s="42"/>
    </row>
    <row r="2413" ht="22.5" customHeight="1">
      <c r="B2413" s="42">
        <f t="shared" si="7"/>
        <v>2407</v>
      </c>
      <c r="C2413" s="31" t="s">
        <v>2492</v>
      </c>
      <c r="D2413" s="34" t="str">
        <f t="array" ref="D2413">IFNA(_xlfn.XLOOKUP(C2413,Table_Tarikan_Warkah[Nomor Sertipikat],Table_Tarikan_Warkah[Nomor Tiket]),"")</f>
        <v>K/15/150525/1</v>
      </c>
      <c r="E2413" s="36">
        <f t="array" ref="E2413">IFNA(_xlfn.XLOOKUP(D2413,Table_Tarikan_Warkah[Nomor Tiket],Table_Tarikan_Warkah[Tanggal diserahkan kepada Validator]),"")</f>
        <v>45819.61586</v>
      </c>
      <c r="F2413" s="36" t="str">
        <f t="array" ref="F2413">IFNA(_xlfn.XLOOKUP(D2413,Table_Tarikan_Warkah[Nomor Tiket],Table_Tarikan_Warkah[Nama Petugas Warkah]),"")</f>
        <v>Berry</v>
      </c>
      <c r="G2413" s="39" t="str">
        <f t="array" ref="G2413">IFNA(_xlfn.XLOOKUP(D2413,Table_Tarikan_Warkah[Nomor Tiket],Table_Tarikan_Warkah[Jenis Permohonan]),"")</f>
        <v>JUAL BELI</v>
      </c>
      <c r="H2413" s="41" t="s">
        <v>20</v>
      </c>
      <c r="I2413" s="49" t="s">
        <v>23</v>
      </c>
      <c r="J2413" s="36">
        <f t="shared" si="20"/>
        <v>45812.66458</v>
      </c>
      <c r="K2413" s="49" t="s">
        <v>2378</v>
      </c>
      <c r="L2413" s="49" t="s">
        <v>23</v>
      </c>
      <c r="M2413" s="36">
        <f t="shared" si="26"/>
        <v>45813.44264</v>
      </c>
      <c r="N2413" s="30" t="str">
        <f t="shared" si="27"/>
        <v>Selesai</v>
      </c>
      <c r="O2413" s="45">
        <f t="shared" si="23"/>
        <v>45813.44264</v>
      </c>
      <c r="P2413" s="47" t="b">
        <v>0</v>
      </c>
      <c r="Q2413" s="36" t="str">
        <f t="shared" si="24"/>
        <v/>
      </c>
      <c r="R2413" s="47" t="b">
        <v>0</v>
      </c>
      <c r="S2413" s="42" t="str">
        <f t="shared" si="28"/>
        <v/>
      </c>
      <c r="T2413" s="42"/>
    </row>
    <row r="2414" ht="22.5" customHeight="1">
      <c r="B2414" s="42">
        <f t="shared" si="7"/>
        <v>2408</v>
      </c>
      <c r="C2414" s="31" t="s">
        <v>2493</v>
      </c>
      <c r="D2414" s="34" t="str">
        <f t="array" ref="D2414">IFNA(_xlfn.XLOOKUP(C2414,Table_Tarikan_Warkah[Nomor Sertipikat],Table_Tarikan_Warkah[Nomor Tiket]),"")</f>
        <v>K/28/210525/1</v>
      </c>
      <c r="E2414" s="36" t="str">
        <f t="array" ref="E2414">IFNA(_xlfn.XLOOKUP(D2414,Table_Tarikan_Warkah[Nomor Tiket],Table_Tarikan_Warkah[Tanggal diserahkan kepada Validator]),"")</f>
        <v/>
      </c>
      <c r="F2414" s="36" t="str">
        <f t="array" ref="F2414">IFNA(_xlfn.XLOOKUP(D2414,Table_Tarikan_Warkah[Nomor Tiket],Table_Tarikan_Warkah[Nama Petugas Warkah]),"")</f>
        <v/>
      </c>
      <c r="G2414" s="39" t="str">
        <f t="array" ref="G2414">IFNA(_xlfn.XLOOKUP(D2414,Table_Tarikan_Warkah[Nomor Tiket],Table_Tarikan_Warkah[Jenis Permohonan]),"")</f>
        <v>BN Jual Beli</v>
      </c>
      <c r="H2414" s="41" t="s">
        <v>20</v>
      </c>
      <c r="I2414" s="49" t="s">
        <v>23</v>
      </c>
      <c r="J2414" s="36">
        <f t="shared" si="20"/>
        <v>45812.66485</v>
      </c>
      <c r="K2414" s="49" t="s">
        <v>2378</v>
      </c>
      <c r="L2414" s="49" t="s">
        <v>23</v>
      </c>
      <c r="M2414" s="36">
        <f t="shared" si="26"/>
        <v>45813.44252</v>
      </c>
      <c r="N2414" s="30" t="str">
        <f t="shared" si="27"/>
        <v>Selesai</v>
      </c>
      <c r="O2414" s="45">
        <f t="shared" si="23"/>
        <v>45813.44252</v>
      </c>
      <c r="P2414" s="47" t="b">
        <v>0</v>
      </c>
      <c r="Q2414" s="36" t="str">
        <f t="shared" si="24"/>
        <v/>
      </c>
      <c r="R2414" s="47" t="b">
        <v>0</v>
      </c>
      <c r="S2414" s="42" t="str">
        <f t="shared" si="28"/>
        <v/>
      </c>
      <c r="T2414" s="42"/>
    </row>
    <row r="2415" ht="22.5" customHeight="1">
      <c r="B2415" s="42">
        <f t="shared" si="7"/>
        <v>2409</v>
      </c>
      <c r="C2415" s="31" t="s">
        <v>2494</v>
      </c>
      <c r="D2415" s="34" t="str">
        <f t="array" ref="D2415">IFNA(_xlfn.XLOOKUP(C2415,Table_Tarikan_Warkah[Nomor Sertipikat],Table_Tarikan_Warkah[Nomor Tiket]),"")</f>
        <v>K/34/210525/1</v>
      </c>
      <c r="E2415" s="36">
        <f t="array" ref="E2415">IFNA(_xlfn.XLOOKUP(D2415,Table_Tarikan_Warkah[Nomor Tiket],Table_Tarikan_Warkah[Tanggal diserahkan kepada Validator]),"")</f>
        <v>45819.79117</v>
      </c>
      <c r="F2415" s="36" t="str">
        <f t="array" ref="F2415">IFNA(_xlfn.XLOOKUP(D2415,Table_Tarikan_Warkah[Nomor Tiket],Table_Tarikan_Warkah[Nama Petugas Warkah]),"")</f>
        <v>Berry</v>
      </c>
      <c r="G2415" s="39" t="str">
        <f t="array" ref="G2415">IFNA(_xlfn.XLOOKUP(D2415,Table_Tarikan_Warkah[Nomor Tiket],Table_Tarikan_Warkah[Jenis Permohonan]),"")</f>
        <v>BN Jual Beli</v>
      </c>
      <c r="H2415" s="41" t="s">
        <v>20</v>
      </c>
      <c r="I2415" s="49" t="s">
        <v>23</v>
      </c>
      <c r="J2415" s="36">
        <f t="shared" si="20"/>
        <v>45812.66494</v>
      </c>
      <c r="K2415" s="49" t="s">
        <v>2378</v>
      </c>
      <c r="L2415" s="49" t="s">
        <v>23</v>
      </c>
      <c r="M2415" s="36">
        <f t="shared" si="26"/>
        <v>45813.44222</v>
      </c>
      <c r="N2415" s="30" t="str">
        <f t="shared" si="27"/>
        <v>Selesai</v>
      </c>
      <c r="O2415" s="45">
        <f t="shared" si="23"/>
        <v>45813.44222</v>
      </c>
      <c r="P2415" s="47" t="b">
        <v>0</v>
      </c>
      <c r="Q2415" s="36" t="str">
        <f t="shared" si="24"/>
        <v/>
      </c>
      <c r="R2415" s="47" t="b">
        <v>0</v>
      </c>
      <c r="S2415" s="42" t="str">
        <f t="shared" si="28"/>
        <v/>
      </c>
      <c r="T2415" s="42"/>
    </row>
    <row r="2416" ht="22.5" customHeight="1">
      <c r="B2416" s="42">
        <f t="shared" si="7"/>
        <v>2410</v>
      </c>
      <c r="C2416" s="31" t="s">
        <v>2495</v>
      </c>
      <c r="D2416" s="34" t="str">
        <f t="array" ref="D2416">IFNA(_xlfn.XLOOKUP(C2416,Table_Tarikan_Warkah[Nomor Sertipikat],Table_Tarikan_Warkah[Nomor Tiket]),"")</f>
        <v>K/8/260525/1</v>
      </c>
      <c r="E2416" s="36">
        <f t="array" ref="E2416">IFNA(_xlfn.XLOOKUP(D2416,Table_Tarikan_Warkah[Nomor Tiket],Table_Tarikan_Warkah[Tanggal diserahkan kepada Validator]),"")</f>
        <v>45819.61788</v>
      </c>
      <c r="F2416" s="36" t="str">
        <f t="array" ref="F2416">IFNA(_xlfn.XLOOKUP(D2416,Table_Tarikan_Warkah[Nomor Tiket],Table_Tarikan_Warkah[Nama Petugas Warkah]),"")</f>
        <v>Berry</v>
      </c>
      <c r="G2416" s="39" t="str">
        <f t="array" ref="G2416">IFNA(_xlfn.XLOOKUP(D2416,Table_Tarikan_Warkah[Nomor Tiket],Table_Tarikan_Warkah[Jenis Permohonan]),"")</f>
        <v>BN Jual Beli</v>
      </c>
      <c r="H2416" s="41" t="s">
        <v>20</v>
      </c>
      <c r="I2416" s="49" t="s">
        <v>23</v>
      </c>
      <c r="J2416" s="36">
        <f t="shared" si="20"/>
        <v>45812.66505</v>
      </c>
      <c r="K2416" s="49" t="s">
        <v>2378</v>
      </c>
      <c r="L2416" s="49" t="s">
        <v>23</v>
      </c>
      <c r="M2416" s="36">
        <f t="shared" si="26"/>
        <v>45813.44325</v>
      </c>
      <c r="N2416" s="30" t="str">
        <f t="shared" si="27"/>
        <v>Selesai</v>
      </c>
      <c r="O2416" s="45">
        <f t="shared" si="23"/>
        <v>45813.44325</v>
      </c>
      <c r="P2416" s="47" t="b">
        <v>0</v>
      </c>
      <c r="Q2416" s="36" t="str">
        <f t="shared" si="24"/>
        <v/>
      </c>
      <c r="R2416" s="47" t="b">
        <v>0</v>
      </c>
      <c r="S2416" s="42" t="str">
        <f t="shared" si="28"/>
        <v/>
      </c>
      <c r="T2416" s="42"/>
    </row>
    <row r="2417" ht="22.5" customHeight="1">
      <c r="B2417" s="42">
        <f t="shared" si="7"/>
        <v>2411</v>
      </c>
      <c r="C2417" s="31" t="s">
        <v>2496</v>
      </c>
      <c r="D2417" s="34" t="str">
        <f t="array" ref="D2417">IFNA(_xlfn.XLOOKUP(C2417,Table_Tarikan_Warkah[Nomor Sertipikat],Table_Tarikan_Warkah[Nomor Tiket]),"")</f>
        <v>K/42/080525/3</v>
      </c>
      <c r="E2417" s="36">
        <f t="array" ref="E2417">IFNA(_xlfn.XLOOKUP(D2417,Table_Tarikan_Warkah[Nomor Tiket],Table_Tarikan_Warkah[Tanggal diserahkan kepada Validator]),"")</f>
        <v>45828.54001</v>
      </c>
      <c r="F2417" s="36" t="str">
        <f t="array" ref="F2417">IFNA(_xlfn.XLOOKUP(D2417,Table_Tarikan_Warkah[Nomor Tiket],Table_Tarikan_Warkah[Nama Petugas Warkah]),"")</f>
        <v>Berry</v>
      </c>
      <c r="G2417" s="39" t="str">
        <f t="array" ref="G2417">IFNA(_xlfn.XLOOKUP(D2417,Table_Tarikan_Warkah[Nomor Tiket],Table_Tarikan_Warkah[Jenis Permohonan]),"")</f>
        <v>BN Jual Beli</v>
      </c>
      <c r="H2417" s="41" t="s">
        <v>20</v>
      </c>
      <c r="I2417" s="49" t="s">
        <v>23</v>
      </c>
      <c r="J2417" s="36">
        <f t="shared" si="20"/>
        <v>45812.66613</v>
      </c>
      <c r="K2417" s="49" t="s">
        <v>2378</v>
      </c>
      <c r="L2417" s="49" t="s">
        <v>23</v>
      </c>
      <c r="M2417" s="36">
        <f t="shared" si="26"/>
        <v>45813.44334</v>
      </c>
      <c r="N2417" s="30" t="str">
        <f t="shared" si="27"/>
        <v>Selesai</v>
      </c>
      <c r="O2417" s="45">
        <f t="shared" si="23"/>
        <v>45813.44334</v>
      </c>
      <c r="P2417" s="47" t="b">
        <v>0</v>
      </c>
      <c r="Q2417" s="36" t="str">
        <f t="shared" si="24"/>
        <v/>
      </c>
      <c r="R2417" s="47" t="b">
        <v>0</v>
      </c>
      <c r="S2417" s="42" t="str">
        <f t="shared" si="28"/>
        <v/>
      </c>
      <c r="T2417" s="42"/>
    </row>
    <row r="2418" ht="22.5" customHeight="1">
      <c r="B2418" s="42">
        <f t="shared" si="7"/>
        <v>2412</v>
      </c>
      <c r="C2418" s="31" t="s">
        <v>2497</v>
      </c>
      <c r="D2418" s="34" t="str">
        <f t="array" ref="D2418">IFNA(_xlfn.XLOOKUP(C2418,Table_Tarikan_Warkah[Nomor Sertipikat],Table_Tarikan_Warkah[Nomor Tiket]),"")</f>
        <v>K/9/270525/1</v>
      </c>
      <c r="E2418" s="36">
        <f t="array" ref="E2418">IFNA(_xlfn.XLOOKUP(D2418,Table_Tarikan_Warkah[Nomor Tiket],Table_Tarikan_Warkah[Tanggal diserahkan kepada Validator]),"")</f>
        <v>45825.6772</v>
      </c>
      <c r="F2418" s="36" t="str">
        <f t="array" ref="F2418">IFNA(_xlfn.XLOOKUP(D2418,Table_Tarikan_Warkah[Nomor Tiket],Table_Tarikan_Warkah[Nama Petugas Warkah]),"")</f>
        <v>David</v>
      </c>
      <c r="G2418" s="39" t="str">
        <f t="array" ref="G2418">IFNA(_xlfn.XLOOKUP(D2418,Table_Tarikan_Warkah[Nomor Tiket],Table_Tarikan_Warkah[Jenis Permohonan]),"")</f>
        <v>Roya</v>
      </c>
      <c r="H2418" s="41" t="s">
        <v>20</v>
      </c>
      <c r="I2418" s="49" t="s">
        <v>23</v>
      </c>
      <c r="J2418" s="36">
        <f t="shared" si="20"/>
        <v>45812.66634</v>
      </c>
      <c r="K2418" s="49" t="s">
        <v>2378</v>
      </c>
      <c r="L2418" s="49" t="s">
        <v>23</v>
      </c>
      <c r="M2418" s="36">
        <f t="shared" si="26"/>
        <v>45813.44344</v>
      </c>
      <c r="N2418" s="30" t="str">
        <f t="shared" si="27"/>
        <v>Selesai</v>
      </c>
      <c r="O2418" s="45">
        <f t="shared" si="23"/>
        <v>45813.44344</v>
      </c>
      <c r="P2418" s="47" t="b">
        <v>0</v>
      </c>
      <c r="Q2418" s="36" t="str">
        <f t="shared" si="24"/>
        <v/>
      </c>
      <c r="R2418" s="47" t="b">
        <v>0</v>
      </c>
      <c r="S2418" s="42" t="str">
        <f t="shared" si="28"/>
        <v/>
      </c>
      <c r="T2418" s="42"/>
    </row>
    <row r="2419" ht="22.5" customHeight="1">
      <c r="B2419" s="42">
        <f t="shared" si="7"/>
        <v>2413</v>
      </c>
      <c r="C2419" s="31" t="s">
        <v>2498</v>
      </c>
      <c r="D2419" s="34" t="str">
        <f t="array" ref="D2419">IFNA(_xlfn.XLOOKUP(C2419,Table_Tarikan_Warkah[Nomor Sertipikat],Table_Tarikan_Warkah[Nomor Tiket]),"")</f>
        <v>L/26/230525/1</v>
      </c>
      <c r="E2419" s="36">
        <f t="array" ref="E2419">IFNA(_xlfn.XLOOKUP(D2419,Table_Tarikan_Warkah[Nomor Tiket],Table_Tarikan_Warkah[Tanggal diserahkan kepada Validator]),"")</f>
        <v>45813.64132</v>
      </c>
      <c r="F2419" s="36" t="str">
        <f t="array" ref="F2419">IFNA(_xlfn.XLOOKUP(D2419,Table_Tarikan_Warkah[Nomor Tiket],Table_Tarikan_Warkah[Nama Petugas Warkah]),"")</f>
        <v>Berry</v>
      </c>
      <c r="G2419" s="39" t="str">
        <f t="array" ref="G2419">IFNA(_xlfn.XLOOKUP(D2419,Table_Tarikan_Warkah[Nomor Tiket],Table_Tarikan_Warkah[Jenis Permohonan]),"")</f>
        <v>BN WARIS</v>
      </c>
      <c r="H2419" s="41" t="s">
        <v>20</v>
      </c>
      <c r="I2419" s="49" t="s">
        <v>23</v>
      </c>
      <c r="J2419" s="36">
        <f t="shared" si="20"/>
        <v>45813.41843</v>
      </c>
      <c r="K2419" s="49" t="s">
        <v>920</v>
      </c>
      <c r="L2419" s="49" t="s">
        <v>23</v>
      </c>
      <c r="M2419" s="36">
        <f t="shared" si="26"/>
        <v>45813.41861</v>
      </c>
      <c r="N2419" s="30" t="str">
        <f t="shared" si="27"/>
        <v>Selesai</v>
      </c>
      <c r="O2419" s="45">
        <f t="shared" si="23"/>
        <v>45813.41861</v>
      </c>
      <c r="P2419" s="47" t="b">
        <v>1</v>
      </c>
      <c r="Q2419" s="36">
        <f t="shared" si="24"/>
        <v>45813.41867</v>
      </c>
      <c r="R2419" s="47" t="b">
        <v>0</v>
      </c>
      <c r="S2419" s="42" t="str">
        <f t="shared" si="28"/>
        <v/>
      </c>
      <c r="T2419" s="42"/>
    </row>
    <row r="2420" ht="22.5" customHeight="1">
      <c r="B2420" s="42">
        <f t="shared" si="7"/>
        <v>2414</v>
      </c>
      <c r="C2420" s="31" t="s">
        <v>2499</v>
      </c>
      <c r="D2420" s="34" t="str">
        <f t="array" ref="D2420">IFNA(_xlfn.XLOOKUP(C2420,Table_Tarikan_Warkah[Nomor Sertipikat],Table_Tarikan_Warkah[Nomor Tiket]),"")</f>
        <v>L/35/280525/1</v>
      </c>
      <c r="E2420" s="36">
        <f t="array" ref="E2420">IFNA(_xlfn.XLOOKUP(D2420,Table_Tarikan_Warkah[Nomor Tiket],Table_Tarikan_Warkah[Tanggal diserahkan kepada Validator]),"")</f>
        <v>45813.64119</v>
      </c>
      <c r="F2420" s="36" t="str">
        <f t="array" ref="F2420">IFNA(_xlfn.XLOOKUP(D2420,Table_Tarikan_Warkah[Nomor Tiket],Table_Tarikan_Warkah[Nama Petugas Warkah]),"")</f>
        <v>Berry</v>
      </c>
      <c r="G2420" s="39" t="str">
        <f t="array" ref="G2420">IFNA(_xlfn.XLOOKUP(D2420,Table_Tarikan_Warkah[Nomor Tiket],Table_Tarikan_Warkah[Jenis Permohonan]),"")</f>
        <v>BN LELANG</v>
      </c>
      <c r="H2420" s="41" t="s">
        <v>20</v>
      </c>
      <c r="I2420" s="49" t="s">
        <v>23</v>
      </c>
      <c r="J2420" s="36">
        <f t="shared" si="20"/>
        <v>45813.41854</v>
      </c>
      <c r="K2420" s="49" t="s">
        <v>920</v>
      </c>
      <c r="L2420" s="49" t="s">
        <v>23</v>
      </c>
      <c r="M2420" s="36">
        <f t="shared" si="26"/>
        <v>45813.41863</v>
      </c>
      <c r="N2420" s="30" t="str">
        <f t="shared" si="27"/>
        <v>Selesai</v>
      </c>
      <c r="O2420" s="45">
        <f t="shared" si="23"/>
        <v>45813.41863</v>
      </c>
      <c r="P2420" s="47" t="b">
        <v>1</v>
      </c>
      <c r="Q2420" s="36">
        <f t="shared" si="24"/>
        <v>45813.41865</v>
      </c>
      <c r="R2420" s="47" t="b">
        <v>0</v>
      </c>
      <c r="S2420" s="42" t="str">
        <f t="shared" si="28"/>
        <v/>
      </c>
      <c r="T2420" s="42"/>
    </row>
    <row r="2421" ht="22.5" customHeight="1">
      <c r="B2421" s="42">
        <f t="shared" si="7"/>
        <v>2415</v>
      </c>
      <c r="C2421" s="31" t="s">
        <v>2500</v>
      </c>
      <c r="D2421" s="34" t="str">
        <f t="array" ref="D2421">IFNA(_xlfn.XLOOKUP(C2421,Table_Tarikan_Warkah[Nomor Sertipikat],Table_Tarikan_Warkah[Nomor Tiket]),"")</f>
        <v>K/18/150525/1</v>
      </c>
      <c r="E2421" s="36">
        <f t="array" ref="E2421">IFNA(_xlfn.XLOOKUP(D2421,Table_Tarikan_Warkah[Nomor Tiket],Table_Tarikan_Warkah[Tanggal diserahkan kepada Validator]),"")</f>
        <v>45819.61752</v>
      </c>
      <c r="F2421" s="36" t="str">
        <f t="array" ref="F2421">IFNA(_xlfn.XLOOKUP(D2421,Table_Tarikan_Warkah[Nomor Tiket],Table_Tarikan_Warkah[Nama Petugas Warkah]),"")</f>
        <v>Berry</v>
      </c>
      <c r="G2421" s="39" t="str">
        <f t="array" ref="G2421">IFNA(_xlfn.XLOOKUP(D2421,Table_Tarikan_Warkah[Nomor Tiket],Table_Tarikan_Warkah[Jenis Permohonan]),"")</f>
        <v>JUAL BELI</v>
      </c>
      <c r="H2421" s="41" t="s">
        <v>20</v>
      </c>
      <c r="I2421" s="49" t="s">
        <v>23</v>
      </c>
      <c r="J2421" s="36">
        <f t="shared" si="20"/>
        <v>45813.56083</v>
      </c>
      <c r="K2421" s="49" t="s">
        <v>2378</v>
      </c>
      <c r="L2421" s="49" t="s">
        <v>23</v>
      </c>
      <c r="M2421" s="36">
        <f t="shared" si="26"/>
        <v>45813.62937</v>
      </c>
      <c r="N2421" s="30" t="str">
        <f t="shared" si="27"/>
        <v>Selesai</v>
      </c>
      <c r="O2421" s="45">
        <f t="shared" si="23"/>
        <v>45813.62937</v>
      </c>
      <c r="P2421" s="47" t="b">
        <v>0</v>
      </c>
      <c r="Q2421" s="36" t="str">
        <f t="shared" si="24"/>
        <v/>
      </c>
      <c r="R2421" s="47" t="b">
        <v>0</v>
      </c>
      <c r="S2421" s="42" t="str">
        <f t="shared" si="28"/>
        <v/>
      </c>
      <c r="T2421" s="42"/>
    </row>
    <row r="2422" ht="22.5" customHeight="1">
      <c r="B2422" s="42">
        <f t="shared" si="7"/>
        <v>2416</v>
      </c>
      <c r="C2422" s="31" t="s">
        <v>2501</v>
      </c>
      <c r="D2422" s="34" t="str">
        <f t="array" ref="D2422">IFNA(_xlfn.XLOOKUP(C2422,Table_Tarikan_Warkah[Nomor Sertipikat],Table_Tarikan_Warkah[Nomor Tiket]),"")</f>
        <v>K/33/230425/1</v>
      </c>
      <c r="E2422" s="36">
        <f t="array" ref="E2422">IFNA(_xlfn.XLOOKUP(D2422,Table_Tarikan_Warkah[Nomor Tiket],Table_Tarikan_Warkah[Tanggal diserahkan kepada Validator]),"")</f>
        <v>45819.82768</v>
      </c>
      <c r="F2422" s="36" t="str">
        <f t="array" ref="F2422">IFNA(_xlfn.XLOOKUP(D2422,Table_Tarikan_Warkah[Nomor Tiket],Table_Tarikan_Warkah[Nama Petugas Warkah]),"")</f>
        <v>Berry</v>
      </c>
      <c r="G2422" s="39" t="str">
        <f t="array" ref="G2422">IFNA(_xlfn.XLOOKUP(D2422,Table_Tarikan_Warkah[Nomor Tiket],Table_Tarikan_Warkah[Jenis Permohonan]),"")</f>
        <v>JUAL BELI</v>
      </c>
      <c r="H2422" s="41" t="s">
        <v>20</v>
      </c>
      <c r="I2422" s="49" t="s">
        <v>23</v>
      </c>
      <c r="J2422" s="36">
        <f t="shared" si="20"/>
        <v>45813.56091</v>
      </c>
      <c r="K2422" s="49" t="s">
        <v>2378</v>
      </c>
      <c r="L2422" s="49" t="s">
        <v>23</v>
      </c>
      <c r="M2422" s="36">
        <f t="shared" si="26"/>
        <v>45813.62919</v>
      </c>
      <c r="N2422" s="30" t="str">
        <f t="shared" si="27"/>
        <v>Selesai</v>
      </c>
      <c r="O2422" s="45">
        <f t="shared" si="23"/>
        <v>45813.62919</v>
      </c>
      <c r="P2422" s="47" t="b">
        <v>0</v>
      </c>
      <c r="Q2422" s="36" t="str">
        <f t="shared" si="24"/>
        <v/>
      </c>
      <c r="R2422" s="47" t="b">
        <v>0</v>
      </c>
      <c r="S2422" s="42" t="str">
        <f t="shared" si="28"/>
        <v/>
      </c>
      <c r="T2422" s="42"/>
    </row>
    <row r="2423" ht="22.5" customHeight="1">
      <c r="B2423" s="42">
        <f t="shared" si="7"/>
        <v>2417</v>
      </c>
      <c r="C2423" s="31" t="s">
        <v>2502</v>
      </c>
      <c r="D2423" s="34" t="str">
        <f t="array" ref="D2423">IFNA(_xlfn.XLOOKUP(C2423,Table_Tarikan_Warkah[Nomor Sertipikat],Table_Tarikan_Warkah[Nomor Tiket]),"")</f>
        <v>K/23/140525/2</v>
      </c>
      <c r="E2423" s="36">
        <f t="array" ref="E2423">IFNA(_xlfn.XLOOKUP(D2423,Table_Tarikan_Warkah[Nomor Tiket],Table_Tarikan_Warkah[Tanggal diserahkan kepada Validator]),"")</f>
        <v>45819.80519</v>
      </c>
      <c r="F2423" s="36" t="str">
        <f t="array" ref="F2423">IFNA(_xlfn.XLOOKUP(D2423,Table_Tarikan_Warkah[Nomor Tiket],Table_Tarikan_Warkah[Nama Petugas Warkah]),"")</f>
        <v>Berry</v>
      </c>
      <c r="G2423" s="39" t="str">
        <f t="array" ref="G2423">IFNA(_xlfn.XLOOKUP(D2423,Table_Tarikan_Warkah[Nomor Tiket],Table_Tarikan_Warkah[Jenis Permohonan]),"")</f>
        <v>JUAL BELI</v>
      </c>
      <c r="H2423" s="41" t="s">
        <v>20</v>
      </c>
      <c r="I2423" s="49" t="s">
        <v>23</v>
      </c>
      <c r="J2423" s="36">
        <f t="shared" si="20"/>
        <v>45813.56116</v>
      </c>
      <c r="K2423" s="49" t="s">
        <v>2378</v>
      </c>
      <c r="L2423" s="49" t="s">
        <v>23</v>
      </c>
      <c r="M2423" s="36">
        <f t="shared" si="26"/>
        <v>45818.4754</v>
      </c>
      <c r="N2423" s="30" t="str">
        <f t="shared" si="27"/>
        <v>Selesai</v>
      </c>
      <c r="O2423" s="45">
        <f t="shared" si="23"/>
        <v>45818.4754</v>
      </c>
      <c r="P2423" s="47" t="b">
        <v>0</v>
      </c>
      <c r="Q2423" s="36" t="str">
        <f t="shared" si="24"/>
        <v/>
      </c>
      <c r="R2423" s="47" t="b">
        <v>0</v>
      </c>
      <c r="S2423" s="42" t="str">
        <f t="shared" si="28"/>
        <v/>
      </c>
      <c r="T2423" s="42"/>
    </row>
    <row r="2424" ht="22.5" customHeight="1">
      <c r="B2424" s="42">
        <f t="shared" si="7"/>
        <v>2418</v>
      </c>
      <c r="C2424" s="31" t="s">
        <v>2503</v>
      </c>
      <c r="D2424" s="34" t="str">
        <f t="array" ref="D2424">IFNA(_xlfn.XLOOKUP(C2424,Table_Tarikan_Warkah[Nomor Sertipikat],Table_Tarikan_Warkah[Nomor Tiket]),"")</f>
        <v>K/10/270525/1</v>
      </c>
      <c r="E2424" s="36">
        <f t="array" ref="E2424">IFNA(_xlfn.XLOOKUP(D2424,Table_Tarikan_Warkah[Nomor Tiket],Table_Tarikan_Warkah[Tanggal diserahkan kepada Validator]),"")</f>
        <v>45819.80259</v>
      </c>
      <c r="F2424" s="36" t="str">
        <f t="array" ref="F2424">IFNA(_xlfn.XLOOKUP(D2424,Table_Tarikan_Warkah[Nomor Tiket],Table_Tarikan_Warkah[Nama Petugas Warkah]),"")</f>
        <v>Berry</v>
      </c>
      <c r="G2424" s="39" t="str">
        <f t="array" ref="G2424">IFNA(_xlfn.XLOOKUP(D2424,Table_Tarikan_Warkah[Nomor Tiket],Table_Tarikan_Warkah[Jenis Permohonan]),"")</f>
        <v>BN JUAL BELI</v>
      </c>
      <c r="H2424" s="41" t="s">
        <v>20</v>
      </c>
      <c r="I2424" s="49" t="s">
        <v>23</v>
      </c>
      <c r="J2424" s="36">
        <f t="shared" si="20"/>
        <v>45813.56128</v>
      </c>
      <c r="K2424" s="49" t="s">
        <v>2378</v>
      </c>
      <c r="L2424" s="49" t="s">
        <v>23</v>
      </c>
      <c r="M2424" s="36">
        <f t="shared" si="26"/>
        <v>45813.62904</v>
      </c>
      <c r="N2424" s="30" t="str">
        <f t="shared" si="27"/>
        <v>Selesai</v>
      </c>
      <c r="O2424" s="45">
        <f t="shared" si="23"/>
        <v>45813.62904</v>
      </c>
      <c r="P2424" s="47" t="b">
        <v>0</v>
      </c>
      <c r="Q2424" s="36" t="str">
        <f t="shared" si="24"/>
        <v/>
      </c>
      <c r="R2424" s="47" t="b">
        <v>0</v>
      </c>
      <c r="S2424" s="42" t="str">
        <f t="shared" si="28"/>
        <v/>
      </c>
      <c r="T2424" s="42"/>
    </row>
    <row r="2425" ht="22.5" customHeight="1">
      <c r="B2425" s="42">
        <f t="shared" si="7"/>
        <v>2419</v>
      </c>
      <c r="C2425" s="31" t="s">
        <v>2504</v>
      </c>
      <c r="D2425" s="34" t="str">
        <f t="array" ref="D2425">IFNA(_xlfn.XLOOKUP(C2425,Table_Tarikan_Warkah[Nomor Sertipikat],Table_Tarikan_Warkah[Nomor Tiket]),"")</f>
        <v>K/4/050525/3</v>
      </c>
      <c r="E2425" s="36" t="str">
        <f t="array" ref="E2425">IFNA(_xlfn.XLOOKUP(D2425,Table_Tarikan_Warkah[Nomor Tiket],Table_Tarikan_Warkah[Tanggal diserahkan kepada Validator]),"")</f>
        <v/>
      </c>
      <c r="F2425" s="36" t="str">
        <f t="array" ref="F2425">IFNA(_xlfn.XLOOKUP(D2425,Table_Tarikan_Warkah[Nomor Tiket],Table_Tarikan_Warkah[Nama Petugas Warkah]),"")</f>
        <v/>
      </c>
      <c r="G2425" s="39" t="str">
        <f t="array" ref="G2425">IFNA(_xlfn.XLOOKUP(D2425,Table_Tarikan_Warkah[Nomor Tiket],Table_Tarikan_Warkah[Jenis Permohonan]),"")</f>
        <v>CASSIE</v>
      </c>
      <c r="H2425" s="41" t="s">
        <v>20</v>
      </c>
      <c r="I2425" s="49" t="s">
        <v>23</v>
      </c>
      <c r="J2425" s="36">
        <f t="shared" si="20"/>
        <v>45813.5614</v>
      </c>
      <c r="K2425" s="49" t="s">
        <v>2378</v>
      </c>
      <c r="L2425" s="49" t="s">
        <v>23</v>
      </c>
      <c r="M2425" s="36">
        <f t="shared" si="26"/>
        <v>45818.47567</v>
      </c>
      <c r="N2425" s="30" t="str">
        <f t="shared" si="27"/>
        <v>Selesai</v>
      </c>
      <c r="O2425" s="45">
        <f t="shared" si="23"/>
        <v>45818.47567</v>
      </c>
      <c r="P2425" s="47" t="b">
        <v>0</v>
      </c>
      <c r="Q2425" s="36" t="str">
        <f t="shared" si="24"/>
        <v/>
      </c>
      <c r="R2425" s="47" t="b">
        <v>0</v>
      </c>
      <c r="S2425" s="42" t="str">
        <f t="shared" si="28"/>
        <v/>
      </c>
      <c r="T2425" s="42"/>
    </row>
    <row r="2426" ht="22.5" customHeight="1">
      <c r="B2426" s="42">
        <f t="shared" si="7"/>
        <v>2420</v>
      </c>
      <c r="C2426" s="31" t="s">
        <v>2505</v>
      </c>
      <c r="D2426" s="34" t="str">
        <f t="array" ref="D2426">IFNA(_xlfn.XLOOKUP(C2426,Table_Tarikan_Warkah[Nomor Sertipikat],Table_Tarikan_Warkah[Nomor Tiket]),"")</f>
        <v>K/29/140525/1</v>
      </c>
      <c r="E2426" s="36">
        <f t="array" ref="E2426">IFNA(_xlfn.XLOOKUP(D2426,Table_Tarikan_Warkah[Nomor Tiket],Table_Tarikan_Warkah[Tanggal diserahkan kepada Validator]),"")</f>
        <v>45819.61674</v>
      </c>
      <c r="F2426" s="36" t="str">
        <f t="array" ref="F2426">IFNA(_xlfn.XLOOKUP(D2426,Table_Tarikan_Warkah[Nomor Tiket],Table_Tarikan_Warkah[Nama Petugas Warkah]),"")</f>
        <v>Berry</v>
      </c>
      <c r="G2426" s="39" t="str">
        <f t="array" ref="G2426">IFNA(_xlfn.XLOOKUP(D2426,Table_Tarikan_Warkah[Nomor Tiket],Table_Tarikan_Warkah[Jenis Permohonan]),"")</f>
        <v>JUAL BELI</v>
      </c>
      <c r="H2426" s="41" t="s">
        <v>20</v>
      </c>
      <c r="I2426" s="49" t="s">
        <v>23</v>
      </c>
      <c r="J2426" s="36">
        <f t="shared" si="20"/>
        <v>45813.56149</v>
      </c>
      <c r="K2426" s="49" t="s">
        <v>2378</v>
      </c>
      <c r="L2426" s="49" t="s">
        <v>23</v>
      </c>
      <c r="M2426" s="36">
        <f t="shared" si="26"/>
        <v>45813.62891</v>
      </c>
      <c r="N2426" s="30" t="str">
        <f t="shared" si="27"/>
        <v>Selesai</v>
      </c>
      <c r="O2426" s="45">
        <f t="shared" si="23"/>
        <v>45813.62891</v>
      </c>
      <c r="P2426" s="47" t="b">
        <v>0</v>
      </c>
      <c r="Q2426" s="36" t="str">
        <f t="shared" si="24"/>
        <v/>
      </c>
      <c r="R2426" s="47" t="b">
        <v>0</v>
      </c>
      <c r="S2426" s="42" t="str">
        <f t="shared" si="28"/>
        <v/>
      </c>
      <c r="T2426" s="42"/>
    </row>
    <row r="2427" ht="22.5" customHeight="1">
      <c r="B2427" s="42">
        <f t="shared" si="7"/>
        <v>2421</v>
      </c>
      <c r="C2427" s="31" t="s">
        <v>2506</v>
      </c>
      <c r="D2427" s="34" t="str">
        <f t="array" ref="D2427">IFNA(_xlfn.XLOOKUP(C2427,Table_Tarikan_Warkah[Nomor Sertipikat],Table_Tarikan_Warkah[Nomor Tiket]),"")</f>
        <v>K/31/070525/1</v>
      </c>
      <c r="E2427" s="36">
        <f t="array" ref="E2427">IFNA(_xlfn.XLOOKUP(D2427,Table_Tarikan_Warkah[Nomor Tiket],Table_Tarikan_Warkah[Tanggal diserahkan kepada Validator]),"")</f>
        <v>45819.80746</v>
      </c>
      <c r="F2427" s="36" t="str">
        <f t="array" ref="F2427">IFNA(_xlfn.XLOOKUP(D2427,Table_Tarikan_Warkah[Nomor Tiket],Table_Tarikan_Warkah[Nama Petugas Warkah]),"")</f>
        <v>Berry</v>
      </c>
      <c r="G2427" s="39" t="str">
        <f t="array" ref="G2427">IFNA(_xlfn.XLOOKUP(D2427,Table_Tarikan_Warkah[Nomor Tiket],Table_Tarikan_Warkah[Jenis Permohonan]),"")</f>
        <v>BN Hibah</v>
      </c>
      <c r="H2427" s="41" t="s">
        <v>20</v>
      </c>
      <c r="I2427" s="49" t="s">
        <v>23</v>
      </c>
      <c r="J2427" s="36">
        <f t="shared" si="20"/>
        <v>45813.56277</v>
      </c>
      <c r="K2427" s="49" t="s">
        <v>2378</v>
      </c>
      <c r="L2427" s="49" t="s">
        <v>23</v>
      </c>
      <c r="M2427" s="36">
        <f t="shared" si="26"/>
        <v>45818.47581</v>
      </c>
      <c r="N2427" s="30" t="str">
        <f t="shared" si="27"/>
        <v>Selesai</v>
      </c>
      <c r="O2427" s="45">
        <f t="shared" si="23"/>
        <v>45818.47581</v>
      </c>
      <c r="P2427" s="47" t="b">
        <v>0</v>
      </c>
      <c r="Q2427" s="36" t="str">
        <f t="shared" si="24"/>
        <v/>
      </c>
      <c r="R2427" s="47" t="b">
        <v>0</v>
      </c>
      <c r="S2427" s="42" t="str">
        <f t="shared" si="28"/>
        <v/>
      </c>
      <c r="T2427" s="42"/>
    </row>
    <row r="2428" ht="22.5" customHeight="1">
      <c r="B2428" s="42">
        <f t="shared" si="7"/>
        <v>2422</v>
      </c>
      <c r="C2428" s="31" t="s">
        <v>2507</v>
      </c>
      <c r="D2428" s="34" t="str">
        <f t="array" ref="D2428">IFNA(_xlfn.XLOOKUP(C2428,Table_Tarikan_Warkah[Nomor Sertipikat],Table_Tarikan_Warkah[Nomor Tiket]),"")</f>
        <v>K/32/260525/3</v>
      </c>
      <c r="E2428" s="36" t="str">
        <f t="array" ref="E2428">IFNA(_xlfn.XLOOKUP(D2428,Table_Tarikan_Warkah[Nomor Tiket],Table_Tarikan_Warkah[Tanggal diserahkan kepada Validator]),"")</f>
        <v/>
      </c>
      <c r="F2428" s="36" t="str">
        <f t="array" ref="F2428">IFNA(_xlfn.XLOOKUP(D2428,Table_Tarikan_Warkah[Nomor Tiket],Table_Tarikan_Warkah[Nama Petugas Warkah]),"")</f>
        <v/>
      </c>
      <c r="G2428" s="39" t="str">
        <f t="array" ref="G2428">IFNA(_xlfn.XLOOKUP(D2428,Table_Tarikan_Warkah[Nomor Tiket],Table_Tarikan_Warkah[Jenis Permohonan]),"")</f>
        <v>BN Jual Beli</v>
      </c>
      <c r="H2428" s="41" t="s">
        <v>20</v>
      </c>
      <c r="I2428" s="49" t="s">
        <v>23</v>
      </c>
      <c r="J2428" s="36">
        <f t="shared" si="20"/>
        <v>45813.56303</v>
      </c>
      <c r="K2428" s="49" t="s">
        <v>2378</v>
      </c>
      <c r="L2428" s="49" t="s">
        <v>23</v>
      </c>
      <c r="M2428" s="36">
        <f t="shared" si="26"/>
        <v>45813.6287</v>
      </c>
      <c r="N2428" s="30" t="str">
        <f t="shared" si="27"/>
        <v>Selesai</v>
      </c>
      <c r="O2428" s="45">
        <f t="shared" si="23"/>
        <v>45813.6287</v>
      </c>
      <c r="P2428" s="47" t="b">
        <v>0</v>
      </c>
      <c r="Q2428" s="36" t="str">
        <f t="shared" si="24"/>
        <v/>
      </c>
      <c r="R2428" s="47" t="b">
        <v>0</v>
      </c>
      <c r="S2428" s="42" t="str">
        <f t="shared" si="28"/>
        <v/>
      </c>
      <c r="T2428" s="42"/>
    </row>
    <row r="2429" ht="22.5" customHeight="1">
      <c r="B2429" s="42">
        <f t="shared" si="7"/>
        <v>2423</v>
      </c>
      <c r="C2429" s="31" t="s">
        <v>2508</v>
      </c>
      <c r="D2429" s="34" t="str">
        <f t="array" ref="D2429">IFNA(_xlfn.XLOOKUP(C2429,Table_Tarikan_Warkah[Nomor Sertipikat],Table_Tarikan_Warkah[Nomor Tiket]),"")</f>
        <v>K/7/220525/1</v>
      </c>
      <c r="E2429" s="36">
        <f t="array" ref="E2429">IFNA(_xlfn.XLOOKUP(D2429,Table_Tarikan_Warkah[Nomor Tiket],Table_Tarikan_Warkah[Tanggal diserahkan kepada Validator]),"")</f>
        <v>45819.78491</v>
      </c>
      <c r="F2429" s="36" t="str">
        <f t="array" ref="F2429">IFNA(_xlfn.XLOOKUP(D2429,Table_Tarikan_Warkah[Nomor Tiket],Table_Tarikan_Warkah[Nama Petugas Warkah]),"")</f>
        <v>Berry</v>
      </c>
      <c r="G2429" s="39" t="str">
        <f t="array" ref="G2429">IFNA(_xlfn.XLOOKUP(D2429,Table_Tarikan_Warkah[Nomor Tiket],Table_Tarikan_Warkah[Jenis Permohonan]),"")</f>
        <v>BN JUAL BELI</v>
      </c>
      <c r="H2429" s="41" t="s">
        <v>20</v>
      </c>
      <c r="I2429" s="49" t="s">
        <v>23</v>
      </c>
      <c r="J2429" s="36">
        <f t="shared" si="20"/>
        <v>45813.56326</v>
      </c>
      <c r="K2429" s="49" t="s">
        <v>2378</v>
      </c>
      <c r="L2429" s="49" t="s">
        <v>23</v>
      </c>
      <c r="M2429" s="36">
        <f t="shared" si="26"/>
        <v>45813.6285</v>
      </c>
      <c r="N2429" s="30" t="str">
        <f t="shared" si="27"/>
        <v>Selesai</v>
      </c>
      <c r="O2429" s="45">
        <f t="shared" si="23"/>
        <v>45813.6285</v>
      </c>
      <c r="P2429" s="47" t="b">
        <v>0</v>
      </c>
      <c r="Q2429" s="36" t="str">
        <f t="shared" si="24"/>
        <v/>
      </c>
      <c r="R2429" s="47" t="b">
        <v>0</v>
      </c>
      <c r="S2429" s="42" t="str">
        <f t="shared" si="28"/>
        <v/>
      </c>
      <c r="T2429" s="42"/>
    </row>
    <row r="2430" ht="22.5" customHeight="1">
      <c r="B2430" s="42">
        <f t="shared" si="7"/>
        <v>2424</v>
      </c>
      <c r="C2430" s="31" t="s">
        <v>2509</v>
      </c>
      <c r="D2430" s="34" t="str">
        <f t="array" ref="D2430">IFNA(_xlfn.XLOOKUP(C2430,Table_Tarikan_Warkah[Nomor Sertipikat],Table_Tarikan_Warkah[Nomor Tiket]),"")</f>
        <v>K/15/230525/1</v>
      </c>
      <c r="E2430" s="36">
        <f t="array" ref="E2430">IFNA(_xlfn.XLOOKUP(D2430,Table_Tarikan_Warkah[Nomor Tiket],Table_Tarikan_Warkah[Tanggal diserahkan kepada Validator]),"")</f>
        <v>45819.61261</v>
      </c>
      <c r="F2430" s="36" t="str">
        <f t="array" ref="F2430">IFNA(_xlfn.XLOOKUP(D2430,Table_Tarikan_Warkah[Nomor Tiket],Table_Tarikan_Warkah[Nama Petugas Warkah]),"")</f>
        <v>Berry</v>
      </c>
      <c r="G2430" s="39" t="str">
        <f t="array" ref="G2430">IFNA(_xlfn.XLOOKUP(D2430,Table_Tarikan_Warkah[Nomor Tiket],Table_Tarikan_Warkah[Jenis Permohonan]),"")</f>
        <v>BN JUAL BELI</v>
      </c>
      <c r="H2430" s="41" t="s">
        <v>20</v>
      </c>
      <c r="I2430" s="49" t="s">
        <v>23</v>
      </c>
      <c r="J2430" s="36">
        <f t="shared" si="20"/>
        <v>45813.56344</v>
      </c>
      <c r="K2430" s="49" t="s">
        <v>2378</v>
      </c>
      <c r="L2430" s="49" t="s">
        <v>23</v>
      </c>
      <c r="M2430" s="36">
        <f t="shared" si="26"/>
        <v>45813.62834</v>
      </c>
      <c r="N2430" s="30" t="str">
        <f t="shared" si="27"/>
        <v>Selesai</v>
      </c>
      <c r="O2430" s="45">
        <f t="shared" si="23"/>
        <v>45813.62834</v>
      </c>
      <c r="P2430" s="47" t="b">
        <v>0</v>
      </c>
      <c r="Q2430" s="36" t="str">
        <f t="shared" si="24"/>
        <v/>
      </c>
      <c r="R2430" s="47" t="b">
        <v>0</v>
      </c>
      <c r="S2430" s="42" t="str">
        <f t="shared" si="28"/>
        <v/>
      </c>
      <c r="T2430" s="42"/>
    </row>
    <row r="2431" ht="22.5" customHeight="1">
      <c r="B2431" s="42">
        <f t="shared" si="7"/>
        <v>2425</v>
      </c>
      <c r="C2431" s="31" t="s">
        <v>2510</v>
      </c>
      <c r="D2431" s="34" t="str">
        <f t="array" ref="D2431">IFNA(_xlfn.XLOOKUP(C2431,Table_Tarikan_Warkah[Nomor Sertipikat],Table_Tarikan_Warkah[Nomor Tiket]),"")</f>
        <v>K/16/150525/2</v>
      </c>
      <c r="E2431" s="36">
        <f t="array" ref="E2431">IFNA(_xlfn.XLOOKUP(D2431,Table_Tarikan_Warkah[Nomor Tiket],Table_Tarikan_Warkah[Tanggal diserahkan kepada Validator]),"")</f>
        <v>45819.80007</v>
      </c>
      <c r="F2431" s="36" t="str">
        <f t="array" ref="F2431">IFNA(_xlfn.XLOOKUP(D2431,Table_Tarikan_Warkah[Nomor Tiket],Table_Tarikan_Warkah[Nama Petugas Warkah]),"")</f>
        <v>Berry</v>
      </c>
      <c r="G2431" s="39" t="str">
        <f t="array" ref="G2431">IFNA(_xlfn.XLOOKUP(D2431,Table_Tarikan_Warkah[Nomor Tiket],Table_Tarikan_Warkah[Jenis Permohonan]),"")</f>
        <v>BN JUAL BELI</v>
      </c>
      <c r="H2431" s="41" t="s">
        <v>20</v>
      </c>
      <c r="I2431" s="49" t="s">
        <v>23</v>
      </c>
      <c r="J2431" s="36">
        <f t="shared" si="20"/>
        <v>45813.56357</v>
      </c>
      <c r="K2431" s="49" t="s">
        <v>2378</v>
      </c>
      <c r="L2431" s="49" t="s">
        <v>23</v>
      </c>
      <c r="M2431" s="36">
        <f t="shared" si="26"/>
        <v>45818.47593</v>
      </c>
      <c r="N2431" s="30" t="str">
        <f t="shared" si="27"/>
        <v>Selesai</v>
      </c>
      <c r="O2431" s="45">
        <f t="shared" si="23"/>
        <v>45818.47593</v>
      </c>
      <c r="P2431" s="47" t="b">
        <v>0</v>
      </c>
      <c r="Q2431" s="36" t="str">
        <f t="shared" si="24"/>
        <v/>
      </c>
      <c r="R2431" s="47" t="b">
        <v>0</v>
      </c>
      <c r="S2431" s="42" t="str">
        <f t="shared" si="28"/>
        <v/>
      </c>
      <c r="T2431" s="42"/>
    </row>
    <row r="2432" ht="22.5" customHeight="1">
      <c r="B2432" s="42">
        <f t="shared" si="7"/>
        <v>2426</v>
      </c>
      <c r="C2432" s="31" t="s">
        <v>2511</v>
      </c>
      <c r="D2432" s="34" t="str">
        <f t="array" ref="D2432">IFNA(_xlfn.XLOOKUP(C2432,Table_Tarikan_Warkah[Nomor Sertipikat],Table_Tarikan_Warkah[Nomor Tiket]),"")</f>
        <v>K/6/230525/1</v>
      </c>
      <c r="E2432" s="36">
        <f t="array" ref="E2432">IFNA(_xlfn.XLOOKUP(D2432,Table_Tarikan_Warkah[Nomor Tiket],Table_Tarikan_Warkah[Tanggal diserahkan kepada Validator]),"")</f>
        <v>45819.78532</v>
      </c>
      <c r="F2432" s="36" t="str">
        <f t="array" ref="F2432">IFNA(_xlfn.XLOOKUP(D2432,Table_Tarikan_Warkah[Nomor Tiket],Table_Tarikan_Warkah[Nama Petugas Warkah]),"")</f>
        <v>Berry</v>
      </c>
      <c r="G2432" s="39" t="str">
        <f t="array" ref="G2432">IFNA(_xlfn.XLOOKUP(D2432,Table_Tarikan_Warkah[Nomor Tiket],Table_Tarikan_Warkah[Jenis Permohonan]),"")</f>
        <v>BN JUAL BELI</v>
      </c>
      <c r="H2432" s="41" t="s">
        <v>20</v>
      </c>
      <c r="I2432" s="49" t="s">
        <v>23</v>
      </c>
      <c r="J2432" s="36">
        <f t="shared" si="20"/>
        <v>45813.56366</v>
      </c>
      <c r="K2432" s="49" t="s">
        <v>2378</v>
      </c>
      <c r="L2432" s="49" t="s">
        <v>23</v>
      </c>
      <c r="M2432" s="36">
        <f t="shared" si="26"/>
        <v>45813.62811</v>
      </c>
      <c r="N2432" s="30" t="str">
        <f t="shared" si="27"/>
        <v>Selesai</v>
      </c>
      <c r="O2432" s="45">
        <f t="shared" si="23"/>
        <v>45813.62811</v>
      </c>
      <c r="P2432" s="47" t="b">
        <v>0</v>
      </c>
      <c r="Q2432" s="36" t="str">
        <f t="shared" si="24"/>
        <v/>
      </c>
      <c r="R2432" s="47" t="b">
        <v>0</v>
      </c>
      <c r="S2432" s="42" t="str">
        <f t="shared" si="28"/>
        <v/>
      </c>
      <c r="T2432" s="42"/>
    </row>
    <row r="2433" ht="22.5" customHeight="1">
      <c r="B2433" s="42">
        <f t="shared" si="7"/>
        <v>2427</v>
      </c>
      <c r="C2433" s="31" t="s">
        <v>2512</v>
      </c>
      <c r="D2433" s="34" t="str">
        <f t="array" ref="D2433">IFNA(_xlfn.XLOOKUP(C2433,Table_Tarikan_Warkah[Nomor Sertipikat],Table_Tarikan_Warkah[Nomor Tiket]),"")</f>
        <v>K/13/230525/2</v>
      </c>
      <c r="E2433" s="36">
        <f t="array" ref="E2433">IFNA(_xlfn.XLOOKUP(D2433,Table_Tarikan_Warkah[Nomor Tiket],Table_Tarikan_Warkah[Tanggal diserahkan kepada Validator]),"")</f>
        <v>45819.57912</v>
      </c>
      <c r="F2433" s="36" t="str">
        <f t="array" ref="F2433">IFNA(_xlfn.XLOOKUP(D2433,Table_Tarikan_Warkah[Nomor Tiket],Table_Tarikan_Warkah[Nama Petugas Warkah]),"")</f>
        <v>Berry</v>
      </c>
      <c r="G2433" s="39" t="str">
        <f t="array" ref="G2433">IFNA(_xlfn.XLOOKUP(D2433,Table_Tarikan_Warkah[Nomor Tiket],Table_Tarikan_Warkah[Jenis Permohonan]),"")</f>
        <v>BN JUAL BELI</v>
      </c>
      <c r="H2433" s="41" t="s">
        <v>20</v>
      </c>
      <c r="I2433" s="49" t="s">
        <v>23</v>
      </c>
      <c r="J2433" s="36">
        <f t="shared" si="20"/>
        <v>45813.56375</v>
      </c>
      <c r="K2433" s="49" t="s">
        <v>2378</v>
      </c>
      <c r="L2433" s="49" t="s">
        <v>23</v>
      </c>
      <c r="M2433" s="36">
        <f t="shared" si="26"/>
        <v>45813.62794</v>
      </c>
      <c r="N2433" s="30" t="str">
        <f t="shared" si="27"/>
        <v>Selesai</v>
      </c>
      <c r="O2433" s="45">
        <f t="shared" si="23"/>
        <v>45813.62794</v>
      </c>
      <c r="P2433" s="47" t="b">
        <v>0</v>
      </c>
      <c r="Q2433" s="36" t="str">
        <f t="shared" si="24"/>
        <v/>
      </c>
      <c r="R2433" s="47" t="b">
        <v>0</v>
      </c>
      <c r="S2433" s="42" t="str">
        <f t="shared" si="28"/>
        <v/>
      </c>
      <c r="T2433" s="42"/>
    </row>
    <row r="2434" ht="22.5" customHeight="1">
      <c r="B2434" s="42">
        <f t="shared" si="7"/>
        <v>2428</v>
      </c>
      <c r="C2434" s="31" t="s">
        <v>2513</v>
      </c>
      <c r="D2434" s="34" t="str">
        <f t="array" ref="D2434">IFNA(_xlfn.XLOOKUP(C2434,Table_Tarikan_Warkah[Nomor Sertipikat],Table_Tarikan_Warkah[Nomor Tiket]),"")</f>
        <v>K/45/230525/1</v>
      </c>
      <c r="E2434" s="36">
        <f t="array" ref="E2434">IFNA(_xlfn.XLOOKUP(D2434,Table_Tarikan_Warkah[Nomor Tiket],Table_Tarikan_Warkah[Tanggal diserahkan kepada Validator]),"")</f>
        <v>45820.4657</v>
      </c>
      <c r="F2434" s="36" t="str">
        <f t="array" ref="F2434">IFNA(_xlfn.XLOOKUP(D2434,Table_Tarikan_Warkah[Nomor Tiket],Table_Tarikan_Warkah[Nama Petugas Warkah]),"")</f>
        <v>Berry</v>
      </c>
      <c r="G2434" s="39" t="str">
        <f t="array" ref="G2434">IFNA(_xlfn.XLOOKUP(D2434,Table_Tarikan_Warkah[Nomor Tiket],Table_Tarikan_Warkah[Jenis Permohonan]),"")</f>
        <v>BN JUAL BELI</v>
      </c>
      <c r="H2434" s="41" t="s">
        <v>20</v>
      </c>
      <c r="I2434" s="49" t="s">
        <v>23</v>
      </c>
      <c r="J2434" s="36">
        <f t="shared" si="20"/>
        <v>45813.56417</v>
      </c>
      <c r="K2434" s="49" t="s">
        <v>2378</v>
      </c>
      <c r="L2434" s="49" t="s">
        <v>23</v>
      </c>
      <c r="M2434" s="36">
        <f t="shared" si="26"/>
        <v>45818.47605</v>
      </c>
      <c r="N2434" s="30" t="str">
        <f t="shared" si="27"/>
        <v>Selesai</v>
      </c>
      <c r="O2434" s="45">
        <f t="shared" si="23"/>
        <v>45818.47605</v>
      </c>
      <c r="P2434" s="47" t="b">
        <v>0</v>
      </c>
      <c r="Q2434" s="36" t="str">
        <f t="shared" si="24"/>
        <v/>
      </c>
      <c r="R2434" s="47" t="b">
        <v>0</v>
      </c>
      <c r="S2434" s="42" t="str">
        <f t="shared" si="28"/>
        <v/>
      </c>
      <c r="T2434" s="42"/>
    </row>
    <row r="2435" ht="22.5" customHeight="1">
      <c r="B2435" s="42">
        <f t="shared" si="7"/>
        <v>2429</v>
      </c>
      <c r="C2435" s="31" t="s">
        <v>2514</v>
      </c>
      <c r="D2435" s="34" t="str">
        <f t="array" ref="D2435">IFNA(_xlfn.XLOOKUP(C2435,Table_Tarikan_Warkah[Nomor Sertipikat],Table_Tarikan_Warkah[Nomor Tiket]),"")</f>
        <v>K/44/230425/1</v>
      </c>
      <c r="E2435" s="36">
        <f t="array" ref="E2435">IFNA(_xlfn.XLOOKUP(D2435,Table_Tarikan_Warkah[Nomor Tiket],Table_Tarikan_Warkah[Tanggal diserahkan kepada Validator]),"")</f>
        <v>45819.79561</v>
      </c>
      <c r="F2435" s="36" t="str">
        <f t="array" ref="F2435">IFNA(_xlfn.XLOOKUP(D2435,Table_Tarikan_Warkah[Nomor Tiket],Table_Tarikan_Warkah[Nama Petugas Warkah]),"")</f>
        <v>Berry</v>
      </c>
      <c r="G2435" s="39" t="str">
        <f t="array" ref="G2435">IFNA(_xlfn.XLOOKUP(D2435,Table_Tarikan_Warkah[Nomor Tiket],Table_Tarikan_Warkah[Jenis Permohonan]),"")</f>
        <v>BN Jual Beli</v>
      </c>
      <c r="H2435" s="41" t="s">
        <v>20</v>
      </c>
      <c r="I2435" s="49" t="s">
        <v>23</v>
      </c>
      <c r="J2435" s="36">
        <f t="shared" si="20"/>
        <v>45813.56432</v>
      </c>
      <c r="K2435" s="49" t="s">
        <v>2378</v>
      </c>
      <c r="L2435" s="49" t="s">
        <v>23</v>
      </c>
      <c r="M2435" s="36">
        <f t="shared" si="26"/>
        <v>45813.62759</v>
      </c>
      <c r="N2435" s="30" t="str">
        <f t="shared" si="27"/>
        <v>Selesai</v>
      </c>
      <c r="O2435" s="45">
        <f t="shared" si="23"/>
        <v>45813.62759</v>
      </c>
      <c r="P2435" s="47" t="b">
        <v>0</v>
      </c>
      <c r="Q2435" s="36" t="str">
        <f t="shared" si="24"/>
        <v/>
      </c>
      <c r="R2435" s="47" t="b">
        <v>0</v>
      </c>
      <c r="S2435" s="42" t="str">
        <f t="shared" si="28"/>
        <v/>
      </c>
      <c r="T2435" s="42"/>
    </row>
    <row r="2436" ht="22.5" customHeight="1">
      <c r="B2436" s="42">
        <f t="shared" si="7"/>
        <v>2430</v>
      </c>
      <c r="C2436" s="31" t="s">
        <v>2515</v>
      </c>
      <c r="D2436" s="34" t="str">
        <f t="array" ref="D2436">IFNA(_xlfn.XLOOKUP(C2436,Table_Tarikan_Warkah[Nomor Sertipikat],Table_Tarikan_Warkah[Nomor Tiket]),"")</f>
        <v>K/43/080525/4</v>
      </c>
      <c r="E2436" s="36">
        <f t="array" ref="E2436">IFNA(_xlfn.XLOOKUP(D2436,Table_Tarikan_Warkah[Nomor Tiket],Table_Tarikan_Warkah[Tanggal diserahkan kepada Validator]),"")</f>
        <v>45819.79594</v>
      </c>
      <c r="F2436" s="36" t="str">
        <f t="array" ref="F2436">IFNA(_xlfn.XLOOKUP(D2436,Table_Tarikan_Warkah[Nomor Tiket],Table_Tarikan_Warkah[Nama Petugas Warkah]),"")</f>
        <v>Berry</v>
      </c>
      <c r="G2436" s="39" t="str">
        <f t="array" ref="G2436">IFNA(_xlfn.XLOOKUP(D2436,Table_Tarikan_Warkah[Nomor Tiket],Table_Tarikan_Warkah[Jenis Permohonan]),"")</f>
        <v>BN Jual Beli</v>
      </c>
      <c r="H2436" s="41" t="s">
        <v>20</v>
      </c>
      <c r="I2436" s="49" t="s">
        <v>23</v>
      </c>
      <c r="J2436" s="36">
        <f t="shared" si="20"/>
        <v>45813.56441</v>
      </c>
      <c r="K2436" s="49" t="s">
        <v>2378</v>
      </c>
      <c r="L2436" s="49" t="s">
        <v>23</v>
      </c>
      <c r="M2436" s="36">
        <f t="shared" si="26"/>
        <v>45813.62723</v>
      </c>
      <c r="N2436" s="30" t="str">
        <f t="shared" si="27"/>
        <v>Selesai</v>
      </c>
      <c r="O2436" s="45">
        <f t="shared" si="23"/>
        <v>45813.62723</v>
      </c>
      <c r="P2436" s="47" t="b">
        <v>0</v>
      </c>
      <c r="Q2436" s="36" t="str">
        <f t="shared" si="24"/>
        <v/>
      </c>
      <c r="R2436" s="47" t="b">
        <v>0</v>
      </c>
      <c r="S2436" s="42" t="str">
        <f t="shared" si="28"/>
        <v/>
      </c>
      <c r="T2436" s="42"/>
    </row>
    <row r="2437" ht="22.5" customHeight="1">
      <c r="B2437" s="42">
        <f t="shared" si="7"/>
        <v>2431</v>
      </c>
      <c r="C2437" s="31" t="s">
        <v>2516</v>
      </c>
      <c r="D2437" s="34" t="str">
        <f t="array" ref="D2437">IFNA(_xlfn.XLOOKUP(C2437,Table_Tarikan_Warkah[Nomor Sertipikat],Table_Tarikan_Warkah[Nomor Tiket]),"")</f>
        <v>K/27/220525/1</v>
      </c>
      <c r="E2437" s="36">
        <f t="array" ref="E2437">IFNA(_xlfn.XLOOKUP(D2437,Table_Tarikan_Warkah[Nomor Tiket],Table_Tarikan_Warkah[Tanggal diserahkan kepada Validator]),"")</f>
        <v>45827.6757</v>
      </c>
      <c r="F2437" s="36" t="str">
        <f t="array" ref="F2437">IFNA(_xlfn.XLOOKUP(D2437,Table_Tarikan_Warkah[Nomor Tiket],Table_Tarikan_Warkah[Nama Petugas Warkah]),"")</f>
        <v>Berry</v>
      </c>
      <c r="G2437" s="39" t="str">
        <f t="array" ref="G2437">IFNA(_xlfn.XLOOKUP(D2437,Table_Tarikan_Warkah[Nomor Tiket],Table_Tarikan_Warkah[Jenis Permohonan]),"")</f>
        <v>Roya</v>
      </c>
      <c r="H2437" s="41" t="s">
        <v>20</v>
      </c>
      <c r="I2437" s="49" t="s">
        <v>23</v>
      </c>
      <c r="J2437" s="36">
        <f t="shared" si="20"/>
        <v>45813.56454</v>
      </c>
      <c r="K2437" s="49" t="s">
        <v>2378</v>
      </c>
      <c r="L2437" s="49" t="s">
        <v>23</v>
      </c>
      <c r="M2437" s="36">
        <f t="shared" si="26"/>
        <v>45818.4762</v>
      </c>
      <c r="N2437" s="30" t="str">
        <f t="shared" si="27"/>
        <v>Selesai</v>
      </c>
      <c r="O2437" s="45">
        <f t="shared" si="23"/>
        <v>45818.4762</v>
      </c>
      <c r="P2437" s="47" t="b">
        <v>0</v>
      </c>
      <c r="Q2437" s="36" t="str">
        <f t="shared" si="24"/>
        <v/>
      </c>
      <c r="R2437" s="47" t="b">
        <v>0</v>
      </c>
      <c r="S2437" s="42" t="str">
        <f t="shared" si="28"/>
        <v/>
      </c>
      <c r="T2437" s="42"/>
    </row>
    <row r="2438" ht="22.5" customHeight="1">
      <c r="B2438" s="42">
        <f t="shared" si="7"/>
        <v>2432</v>
      </c>
      <c r="C2438" s="31" t="s">
        <v>2517</v>
      </c>
      <c r="D2438" s="34" t="str">
        <f t="array" ref="D2438">IFNA(_xlfn.XLOOKUP(C2438,Table_Tarikan_Warkah[Nomor Sertipikat],Table_Tarikan_Warkah[Nomor Tiket]),"")</f>
        <v>K/25/140425/1</v>
      </c>
      <c r="E2438" s="36">
        <f t="array" ref="E2438">IFNA(_xlfn.XLOOKUP(D2438,Table_Tarikan_Warkah[Nomor Tiket],Table_Tarikan_Warkah[Tanggal diserahkan kepada Validator]),"")</f>
        <v>45819.80705</v>
      </c>
      <c r="F2438" s="36" t="str">
        <f t="array" ref="F2438">IFNA(_xlfn.XLOOKUP(D2438,Table_Tarikan_Warkah[Nomor Tiket],Table_Tarikan_Warkah[Nama Petugas Warkah]),"")</f>
        <v>Berry</v>
      </c>
      <c r="G2438" s="39" t="str">
        <f t="array" ref="G2438">IFNA(_xlfn.XLOOKUP(D2438,Table_Tarikan_Warkah[Nomor Tiket],Table_Tarikan_Warkah[Jenis Permohonan]),"")</f>
        <v>BN Jual Beli</v>
      </c>
      <c r="H2438" s="41" t="s">
        <v>20</v>
      </c>
      <c r="I2438" s="49" t="s">
        <v>23</v>
      </c>
      <c r="J2438" s="36">
        <f t="shared" si="20"/>
        <v>45813.5646</v>
      </c>
      <c r="K2438" s="49" t="s">
        <v>2378</v>
      </c>
      <c r="L2438" s="49" t="s">
        <v>23</v>
      </c>
      <c r="M2438" s="36">
        <f t="shared" si="26"/>
        <v>45813.62973</v>
      </c>
      <c r="N2438" s="30" t="str">
        <f t="shared" si="27"/>
        <v>Selesai</v>
      </c>
      <c r="O2438" s="45">
        <f t="shared" si="23"/>
        <v>45813.62973</v>
      </c>
      <c r="P2438" s="47" t="b">
        <v>0</v>
      </c>
      <c r="Q2438" s="36" t="str">
        <f t="shared" si="24"/>
        <v/>
      </c>
      <c r="R2438" s="47" t="b">
        <v>0</v>
      </c>
      <c r="S2438" s="42" t="str">
        <f t="shared" si="28"/>
        <v/>
      </c>
      <c r="T2438" s="42"/>
    </row>
    <row r="2439" ht="22.5" customHeight="1">
      <c r="B2439" s="42">
        <f t="shared" si="7"/>
        <v>2433</v>
      </c>
      <c r="C2439" s="31" t="s">
        <v>2518</v>
      </c>
      <c r="D2439" s="34" t="str">
        <f t="array" ref="D2439">IFNA(_xlfn.XLOOKUP(C2439,Table_Tarikan_Warkah[Nomor Sertipikat],Table_Tarikan_Warkah[Nomor Tiket]),"")</f>
        <v>K/27/140525/1</v>
      </c>
      <c r="E2439" s="36">
        <f t="array" ref="E2439">IFNA(_xlfn.XLOOKUP(D2439,Table_Tarikan_Warkah[Nomor Tiket],Table_Tarikan_Warkah[Tanggal diserahkan kepada Validator]),"")</f>
        <v>45839.6179</v>
      </c>
      <c r="F2439" s="36" t="str">
        <f t="array" ref="F2439">IFNA(_xlfn.XLOOKUP(D2439,Table_Tarikan_Warkah[Nomor Tiket],Table_Tarikan_Warkah[Nama Petugas Warkah]),"")</f>
        <v>Berry</v>
      </c>
      <c r="G2439" s="39" t="str">
        <f t="array" ref="G2439">IFNA(_xlfn.XLOOKUP(D2439,Table_Tarikan_Warkah[Nomor Tiket],Table_Tarikan_Warkah[Jenis Permohonan]),"")</f>
        <v>BN Jual Beli</v>
      </c>
      <c r="H2439" s="41" t="s">
        <v>20</v>
      </c>
      <c r="I2439" s="49" t="s">
        <v>23</v>
      </c>
      <c r="J2439" s="36">
        <f t="shared" si="20"/>
        <v>45813.56477</v>
      </c>
      <c r="K2439" s="49" t="s">
        <v>2378</v>
      </c>
      <c r="L2439" s="49" t="s">
        <v>23</v>
      </c>
      <c r="M2439" s="36">
        <f t="shared" si="26"/>
        <v>45818.47633</v>
      </c>
      <c r="N2439" s="30" t="str">
        <f t="shared" si="27"/>
        <v>Selesai</v>
      </c>
      <c r="O2439" s="45">
        <f t="shared" si="23"/>
        <v>45818.47633</v>
      </c>
      <c r="P2439" s="47" t="b">
        <v>0</v>
      </c>
      <c r="Q2439" s="36" t="str">
        <f t="shared" si="24"/>
        <v/>
      </c>
      <c r="R2439" s="47" t="b">
        <v>0</v>
      </c>
      <c r="S2439" s="42" t="str">
        <f t="shared" si="28"/>
        <v/>
      </c>
      <c r="T2439" s="42"/>
    </row>
    <row r="2440" ht="22.5" customHeight="1">
      <c r="B2440" s="42">
        <f t="shared" si="7"/>
        <v>2434</v>
      </c>
      <c r="C2440" s="31" t="s">
        <v>2519</v>
      </c>
      <c r="D2440" s="34" t="str">
        <f t="array" ref="D2440">IFNA(_xlfn.XLOOKUP(C2440,Table_Tarikan_Warkah[Nomor Sertipikat],Table_Tarikan_Warkah[Nomor Tiket]),"")</f>
        <v/>
      </c>
      <c r="E2440" s="36" t="str">
        <f t="array" ref="E2440">IFNA(_xlfn.XLOOKUP(D2440,Table_Tarikan_Warkah[Nomor Tiket],Table_Tarikan_Warkah[Tanggal diserahkan kepada Validator]),"")</f>
        <v/>
      </c>
      <c r="F2440" s="36" t="str">
        <f t="array" ref="F2440">IFNA(_xlfn.XLOOKUP(D2440,Table_Tarikan_Warkah[Nomor Tiket],Table_Tarikan_Warkah[Nama Petugas Warkah]),"")</f>
        <v/>
      </c>
      <c r="G2440" s="39" t="str">
        <f t="array" ref="G2440">IFNA(_xlfn.XLOOKUP(D2440,Table_Tarikan_Warkah[Nomor Tiket],Table_Tarikan_Warkah[Jenis Permohonan]),"")</f>
        <v/>
      </c>
      <c r="H2440" s="41" t="s">
        <v>2315</v>
      </c>
      <c r="I2440" s="49" t="s">
        <v>23</v>
      </c>
      <c r="J2440" s="36">
        <f t="shared" si="20"/>
        <v>45813.56653</v>
      </c>
      <c r="K2440" s="49" t="s">
        <v>2378</v>
      </c>
      <c r="L2440" s="49" t="s">
        <v>23</v>
      </c>
      <c r="M2440" s="36">
        <f t="shared" si="26"/>
        <v>45818.47643</v>
      </c>
      <c r="N2440" s="30" t="str">
        <f t="shared" si="27"/>
        <v/>
      </c>
      <c r="O2440" s="39" t="str">
        <f t="shared" si="23"/>
        <v/>
      </c>
      <c r="P2440" s="47" t="b">
        <v>0</v>
      </c>
      <c r="Q2440" s="36" t="str">
        <f t="shared" si="24"/>
        <v/>
      </c>
      <c r="R2440" s="47" t="b">
        <v>0</v>
      </c>
      <c r="S2440" s="42" t="str">
        <f t="shared" si="28"/>
        <v/>
      </c>
      <c r="T2440" s="42"/>
    </row>
    <row r="2441" ht="22.5" customHeight="1">
      <c r="B2441" s="42">
        <f t="shared" si="7"/>
        <v>2435</v>
      </c>
      <c r="C2441" s="31" t="s">
        <v>2520</v>
      </c>
      <c r="D2441" s="34" t="str">
        <f t="array" ref="D2441">IFNA(_xlfn.XLOOKUP(C2441,Table_Tarikan_Warkah[Nomor Sertipikat],Table_Tarikan_Warkah[Nomor Tiket]),"")</f>
        <v>L/18/210525/1</v>
      </c>
      <c r="E2441" s="36">
        <f t="array" ref="E2441">IFNA(_xlfn.XLOOKUP(D2441,Table_Tarikan_Warkah[Nomor Tiket],Table_Tarikan_Warkah[Tanggal diserahkan kepada Validator]),"")</f>
        <v>45831.66216</v>
      </c>
      <c r="F2441" s="36" t="str">
        <f t="array" ref="F2441">IFNA(_xlfn.XLOOKUP(D2441,Table_Tarikan_Warkah[Nomor Tiket],Table_Tarikan_Warkah[Nama Petugas Warkah]),"")</f>
        <v>Berry</v>
      </c>
      <c r="G2441" s="39" t="str">
        <f t="array" ref="G2441">IFNA(_xlfn.XLOOKUP(D2441,Table_Tarikan_Warkah[Nomor Tiket],Table_Tarikan_Warkah[Jenis Permohonan]),"")</f>
        <v>ROYA</v>
      </c>
      <c r="H2441" s="41" t="s">
        <v>2315</v>
      </c>
      <c r="I2441" s="49" t="s">
        <v>23</v>
      </c>
      <c r="J2441" s="36">
        <f t="shared" si="20"/>
        <v>45813.5667</v>
      </c>
      <c r="K2441" s="49" t="s">
        <v>2378</v>
      </c>
      <c r="L2441" s="49" t="s">
        <v>23</v>
      </c>
      <c r="M2441" s="36">
        <f t="shared" si="26"/>
        <v>45813.62704</v>
      </c>
      <c r="N2441" s="30" t="str">
        <f t="shared" si="27"/>
        <v>Selesai</v>
      </c>
      <c r="O2441" s="45">
        <f t="shared" si="23"/>
        <v>45813.62704</v>
      </c>
      <c r="P2441" s="47" t="b">
        <v>0</v>
      </c>
      <c r="Q2441" s="36" t="str">
        <f t="shared" si="24"/>
        <v/>
      </c>
      <c r="R2441" s="47" t="b">
        <v>0</v>
      </c>
      <c r="S2441" s="42" t="str">
        <f t="shared" si="28"/>
        <v/>
      </c>
      <c r="T2441" s="42"/>
    </row>
    <row r="2442" ht="22.5" customHeight="1">
      <c r="B2442" s="42">
        <f t="shared" si="7"/>
        <v>2436</v>
      </c>
      <c r="C2442" s="31" t="s">
        <v>2521</v>
      </c>
      <c r="D2442" s="34" t="str">
        <f t="array" ref="D2442">IFNA(_xlfn.XLOOKUP(C2442,Table_Tarikan_Warkah[Nomor Sertipikat],Table_Tarikan_Warkah[Nomor Tiket]),"")</f>
        <v>K/42/190525/2</v>
      </c>
      <c r="E2442" s="36">
        <f t="array" ref="E2442">IFNA(_xlfn.XLOOKUP(D2442,Table_Tarikan_Warkah[Nomor Tiket],Table_Tarikan_Warkah[Tanggal diserahkan kepada Validator]),"")</f>
        <v>45819.80547</v>
      </c>
      <c r="F2442" s="36" t="str">
        <f t="array" ref="F2442">IFNA(_xlfn.XLOOKUP(D2442,Table_Tarikan_Warkah[Nomor Tiket],Table_Tarikan_Warkah[Nama Petugas Warkah]),"")</f>
        <v>Berry</v>
      </c>
      <c r="G2442" s="39" t="str">
        <f t="array" ref="G2442">IFNA(_xlfn.XLOOKUP(D2442,Table_Tarikan_Warkah[Nomor Tiket],Table_Tarikan_Warkah[Jenis Permohonan]),"")</f>
        <v>JUAL BELI</v>
      </c>
      <c r="H2442" s="41" t="s">
        <v>2315</v>
      </c>
      <c r="I2442" s="49" t="s">
        <v>23</v>
      </c>
      <c r="J2442" s="36">
        <f t="shared" si="20"/>
        <v>45813.56688</v>
      </c>
      <c r="K2442" s="49" t="s">
        <v>2378</v>
      </c>
      <c r="L2442" s="49" t="s">
        <v>23</v>
      </c>
      <c r="M2442" s="36">
        <f t="shared" si="26"/>
        <v>45818.47661</v>
      </c>
      <c r="N2442" s="30" t="str">
        <f t="shared" si="27"/>
        <v>Selesai</v>
      </c>
      <c r="O2442" s="45">
        <f t="shared" si="23"/>
        <v>45818.47661</v>
      </c>
      <c r="P2442" s="47" t="b">
        <v>0</v>
      </c>
      <c r="Q2442" s="36" t="str">
        <f t="shared" si="24"/>
        <v/>
      </c>
      <c r="R2442" s="47" t="b">
        <v>0</v>
      </c>
      <c r="S2442" s="42" t="str">
        <f t="shared" si="28"/>
        <v/>
      </c>
      <c r="T2442" s="42"/>
    </row>
    <row r="2443" ht="22.5" customHeight="1">
      <c r="B2443" s="42">
        <f t="shared" si="7"/>
        <v>2437</v>
      </c>
      <c r="C2443" s="31" t="s">
        <v>2522</v>
      </c>
      <c r="D2443" s="34" t="str">
        <f t="array" ref="D2443">IFNA(_xlfn.XLOOKUP(C2443,Table_Tarikan_Warkah[Nomor Sertipikat],Table_Tarikan_Warkah[Nomor Tiket]),"")</f>
        <v>K/20/150525/1</v>
      </c>
      <c r="E2443" s="36" t="str">
        <f t="array" ref="E2443">IFNA(_xlfn.XLOOKUP(D2443,Table_Tarikan_Warkah[Nomor Tiket],Table_Tarikan_Warkah[Tanggal diserahkan kepada Validator]),"")</f>
        <v/>
      </c>
      <c r="F2443" s="36" t="str">
        <f t="array" ref="F2443">IFNA(_xlfn.XLOOKUP(D2443,Table_Tarikan_Warkah[Nomor Tiket],Table_Tarikan_Warkah[Nama Petugas Warkah]),"")</f>
        <v/>
      </c>
      <c r="G2443" s="39" t="str">
        <f t="array" ref="G2443">IFNA(_xlfn.XLOOKUP(D2443,Table_Tarikan_Warkah[Nomor Tiket],Table_Tarikan_Warkah[Jenis Permohonan]),"")</f>
        <v>Perubahan Hak</v>
      </c>
      <c r="H2443" s="41" t="s">
        <v>2315</v>
      </c>
      <c r="I2443" s="49" t="s">
        <v>23</v>
      </c>
      <c r="J2443" s="36">
        <f t="shared" si="20"/>
        <v>45813.56715</v>
      </c>
      <c r="K2443" s="49" t="s">
        <v>2378</v>
      </c>
      <c r="L2443" s="49" t="s">
        <v>23</v>
      </c>
      <c r="M2443" s="36">
        <f t="shared" si="26"/>
        <v>45818.47665</v>
      </c>
      <c r="N2443" s="30" t="str">
        <f t="shared" si="27"/>
        <v>Selesai</v>
      </c>
      <c r="O2443" s="45">
        <f t="shared" si="23"/>
        <v>45818.47665</v>
      </c>
      <c r="P2443" s="47" t="b">
        <v>0</v>
      </c>
      <c r="Q2443" s="36" t="str">
        <f t="shared" si="24"/>
        <v/>
      </c>
      <c r="R2443" s="47" t="b">
        <v>0</v>
      </c>
      <c r="S2443" s="42" t="str">
        <f t="shared" si="28"/>
        <v/>
      </c>
      <c r="T2443" s="42"/>
    </row>
    <row r="2444" ht="22.5" customHeight="1">
      <c r="B2444" s="42">
        <f t="shared" si="7"/>
        <v>2438</v>
      </c>
      <c r="C2444" s="31" t="s">
        <v>2523</v>
      </c>
      <c r="D2444" s="34" t="str">
        <f t="array" ref="D2444">IFNA(_xlfn.XLOOKUP(C2444,Table_Tarikan_Warkah[Nomor Sertipikat],Table_Tarikan_Warkah[Nomor Tiket]),"")</f>
        <v>K/20/200525/1</v>
      </c>
      <c r="E2444" s="36">
        <f t="array" ref="E2444">IFNA(_xlfn.XLOOKUP(D2444,Table_Tarikan_Warkah[Nomor Tiket],Table_Tarikan_Warkah[Tanggal diserahkan kepada Validator]),"")</f>
        <v>45819.79637</v>
      </c>
      <c r="F2444" s="36" t="str">
        <f t="array" ref="F2444">IFNA(_xlfn.XLOOKUP(D2444,Table_Tarikan_Warkah[Nomor Tiket],Table_Tarikan_Warkah[Nama Petugas Warkah]),"")</f>
        <v>Berry</v>
      </c>
      <c r="G2444" s="39" t="str">
        <f t="array" ref="G2444">IFNA(_xlfn.XLOOKUP(D2444,Table_Tarikan_Warkah[Nomor Tiket],Table_Tarikan_Warkah[Jenis Permohonan]),"")</f>
        <v>BN Jual Beli</v>
      </c>
      <c r="H2444" s="41" t="s">
        <v>2315</v>
      </c>
      <c r="I2444" s="49" t="s">
        <v>23</v>
      </c>
      <c r="J2444" s="36">
        <f t="shared" si="20"/>
        <v>45813.56741</v>
      </c>
      <c r="K2444" s="49" t="s">
        <v>2378</v>
      </c>
      <c r="L2444" s="49" t="s">
        <v>23</v>
      </c>
      <c r="M2444" s="36">
        <f t="shared" si="26"/>
        <v>45813.6269</v>
      </c>
      <c r="N2444" s="30" t="str">
        <f t="shared" si="27"/>
        <v>Selesai</v>
      </c>
      <c r="O2444" s="45">
        <f t="shared" si="23"/>
        <v>45813.6269</v>
      </c>
      <c r="P2444" s="47" t="b">
        <v>0</v>
      </c>
      <c r="Q2444" s="36" t="str">
        <f t="shared" si="24"/>
        <v/>
      </c>
      <c r="R2444" s="47" t="b">
        <v>0</v>
      </c>
      <c r="S2444" s="42" t="str">
        <f t="shared" si="28"/>
        <v/>
      </c>
      <c r="T2444" s="42"/>
    </row>
    <row r="2445" ht="22.5" customHeight="1">
      <c r="B2445" s="42">
        <f t="shared" si="7"/>
        <v>2439</v>
      </c>
      <c r="C2445" s="31" t="s">
        <v>2524</v>
      </c>
      <c r="D2445" s="34" t="str">
        <f t="array" ref="D2445">IFNA(_xlfn.XLOOKUP(C2445,Table_Tarikan_Warkah[Nomor Sertipikat],Table_Tarikan_Warkah[Nomor Tiket]),"")</f>
        <v>K/19/190525/1</v>
      </c>
      <c r="E2445" s="36" t="str">
        <f t="array" ref="E2445">IFNA(_xlfn.XLOOKUP(D2445,Table_Tarikan_Warkah[Nomor Tiket],Table_Tarikan_Warkah[Tanggal diserahkan kepada Validator]),"")</f>
        <v/>
      </c>
      <c r="F2445" s="36" t="str">
        <f t="array" ref="F2445">IFNA(_xlfn.XLOOKUP(D2445,Table_Tarikan_Warkah[Nomor Tiket],Table_Tarikan_Warkah[Nama Petugas Warkah]),"")</f>
        <v/>
      </c>
      <c r="G2445" s="39" t="str">
        <f t="array" ref="G2445">IFNA(_xlfn.XLOOKUP(D2445,Table_Tarikan_Warkah[Nomor Tiket],Table_Tarikan_Warkah[Jenis Permohonan]),"")</f>
        <v>SKPT Lelang</v>
      </c>
      <c r="H2445" s="41" t="s">
        <v>2315</v>
      </c>
      <c r="I2445" s="49" t="s">
        <v>23</v>
      </c>
      <c r="J2445" s="36">
        <f t="shared" si="20"/>
        <v>45813.56767</v>
      </c>
      <c r="K2445" s="49" t="s">
        <v>2378</v>
      </c>
      <c r="L2445" s="49" t="s">
        <v>23</v>
      </c>
      <c r="M2445" s="36">
        <f t="shared" si="26"/>
        <v>45813.62672</v>
      </c>
      <c r="N2445" s="30" t="str">
        <f t="shared" si="27"/>
        <v>Selesai</v>
      </c>
      <c r="O2445" s="45">
        <f t="shared" si="23"/>
        <v>45813.62672</v>
      </c>
      <c r="P2445" s="47" t="b">
        <v>0</v>
      </c>
      <c r="Q2445" s="36" t="str">
        <f t="shared" si="24"/>
        <v/>
      </c>
      <c r="R2445" s="47" t="b">
        <v>0</v>
      </c>
      <c r="S2445" s="42" t="str">
        <f t="shared" si="28"/>
        <v/>
      </c>
      <c r="T2445" s="42"/>
    </row>
    <row r="2446" ht="22.5" customHeight="1">
      <c r="B2446" s="42">
        <f t="shared" si="7"/>
        <v>2440</v>
      </c>
      <c r="C2446" s="31" t="s">
        <v>2525</v>
      </c>
      <c r="D2446" s="34" t="str">
        <f t="array" ref="D2446">IFNA(_xlfn.XLOOKUP(C2446,Table_Tarikan_Warkah[Nomor Sertipikat],Table_Tarikan_Warkah[Nomor Tiket]),"")</f>
        <v>L/10/210525/1</v>
      </c>
      <c r="E2446" s="36">
        <f t="array" ref="E2446">IFNA(_xlfn.XLOOKUP(D2446,Table_Tarikan_Warkah[Nomor Tiket],Table_Tarikan_Warkah[Tanggal diserahkan kepada Validator]),"")</f>
        <v>45831.65799</v>
      </c>
      <c r="F2446" s="36" t="str">
        <f t="array" ref="F2446">IFNA(_xlfn.XLOOKUP(D2446,Table_Tarikan_Warkah[Nomor Tiket],Table_Tarikan_Warkah[Nama Petugas Warkah]),"")</f>
        <v>Berry</v>
      </c>
      <c r="G2446" s="39" t="str">
        <f t="array" ref="G2446">IFNA(_xlfn.XLOOKUP(D2446,Table_Tarikan_Warkah[Nomor Tiket],Table_Tarikan_Warkah[Jenis Permohonan]),"")</f>
        <v>ROYA WARIS</v>
      </c>
      <c r="H2446" s="41" t="s">
        <v>2315</v>
      </c>
      <c r="I2446" s="49" t="s">
        <v>23</v>
      </c>
      <c r="J2446" s="36">
        <f t="shared" si="20"/>
        <v>45813.56783</v>
      </c>
      <c r="K2446" s="49" t="s">
        <v>2378</v>
      </c>
      <c r="L2446" s="49" t="s">
        <v>23</v>
      </c>
      <c r="M2446" s="36">
        <f t="shared" si="26"/>
        <v>45818.47696</v>
      </c>
      <c r="N2446" s="30" t="str">
        <f t="shared" si="27"/>
        <v>Selesai</v>
      </c>
      <c r="O2446" s="45">
        <f t="shared" si="23"/>
        <v>45818.47696</v>
      </c>
      <c r="P2446" s="47" t="b">
        <v>0</v>
      </c>
      <c r="Q2446" s="36" t="str">
        <f t="shared" si="24"/>
        <v/>
      </c>
      <c r="R2446" s="47" t="b">
        <v>0</v>
      </c>
      <c r="S2446" s="42" t="str">
        <f t="shared" si="28"/>
        <v/>
      </c>
      <c r="T2446" s="42"/>
    </row>
    <row r="2447" ht="22.5" customHeight="1">
      <c r="B2447" s="42">
        <f t="shared" si="7"/>
        <v>2441</v>
      </c>
      <c r="C2447" s="31" t="s">
        <v>2526</v>
      </c>
      <c r="D2447" s="34" t="str">
        <f t="array" ref="D2447">IFNA(_xlfn.XLOOKUP(C2447,Table_Tarikan_Warkah[Nomor Sertipikat],Table_Tarikan_Warkah[Nomor Tiket]),"")</f>
        <v>K/43/160525/2</v>
      </c>
      <c r="E2447" s="36">
        <f t="array" ref="E2447">IFNA(_xlfn.XLOOKUP(D2447,Table_Tarikan_Warkah[Nomor Tiket],Table_Tarikan_Warkah[Tanggal diserahkan kepada Validator]),"")</f>
        <v>45819.80786</v>
      </c>
      <c r="F2447" s="36" t="str">
        <f t="array" ref="F2447">IFNA(_xlfn.XLOOKUP(D2447,Table_Tarikan_Warkah[Nomor Tiket],Table_Tarikan_Warkah[Nama Petugas Warkah]),"")</f>
        <v>Berry</v>
      </c>
      <c r="G2447" s="39" t="str">
        <f t="array" ref="G2447">IFNA(_xlfn.XLOOKUP(D2447,Table_Tarikan_Warkah[Nomor Tiket],Table_Tarikan_Warkah[Jenis Permohonan]),"")</f>
        <v>BN Jual Beli</v>
      </c>
      <c r="H2447" s="41" t="s">
        <v>2315</v>
      </c>
      <c r="I2447" s="49" t="s">
        <v>23</v>
      </c>
      <c r="J2447" s="36">
        <f t="shared" si="20"/>
        <v>45813.56806</v>
      </c>
      <c r="K2447" s="49" t="s">
        <v>2378</v>
      </c>
      <c r="L2447" s="49" t="s">
        <v>23</v>
      </c>
      <c r="M2447" s="36">
        <f t="shared" si="26"/>
        <v>45813.62647</v>
      </c>
      <c r="N2447" s="30" t="str">
        <f t="shared" si="27"/>
        <v>Selesai</v>
      </c>
      <c r="O2447" s="45">
        <f t="shared" si="23"/>
        <v>45813.62647</v>
      </c>
      <c r="P2447" s="47" t="b">
        <v>0</v>
      </c>
      <c r="Q2447" s="36" t="str">
        <f t="shared" si="24"/>
        <v/>
      </c>
      <c r="R2447" s="47" t="b">
        <v>0</v>
      </c>
      <c r="S2447" s="42" t="str">
        <f t="shared" si="28"/>
        <v/>
      </c>
      <c r="T2447" s="42"/>
    </row>
    <row r="2448" ht="22.5" customHeight="1">
      <c r="B2448" s="42">
        <f t="shared" si="7"/>
        <v>2442</v>
      </c>
      <c r="C2448" s="31" t="s">
        <v>2410</v>
      </c>
      <c r="D2448" s="34" t="str">
        <f t="array" ref="D2448">IFNA(_xlfn.XLOOKUP(C2448,Table_Tarikan_Warkah[Nomor Sertipikat],Table_Tarikan_Warkah[Nomor Tiket]),"")</f>
        <v>K/9/080525/3</v>
      </c>
      <c r="E2448" s="36">
        <f t="array" ref="E2448">IFNA(_xlfn.XLOOKUP(D2448,Table_Tarikan_Warkah[Nomor Tiket],Table_Tarikan_Warkah[Tanggal diserahkan kepada Validator]),"")</f>
        <v>45819.36691</v>
      </c>
      <c r="F2448" s="36" t="str">
        <f t="array" ref="F2448">IFNA(_xlfn.XLOOKUP(D2448,Table_Tarikan_Warkah[Nomor Tiket],Table_Tarikan_Warkah[Nama Petugas Warkah]),"")</f>
        <v>David</v>
      </c>
      <c r="G2448" s="39" t="str">
        <f t="array" ref="G2448">IFNA(_xlfn.XLOOKUP(D2448,Table_Tarikan_Warkah[Nomor Tiket],Table_Tarikan_Warkah[Jenis Permohonan]),"")</f>
        <v>ROYA</v>
      </c>
      <c r="H2448" s="41" t="s">
        <v>920</v>
      </c>
      <c r="I2448" s="49" t="s">
        <v>12</v>
      </c>
      <c r="J2448" s="36">
        <f t="shared" si="20"/>
        <v>45818.39909</v>
      </c>
      <c r="K2448" s="49" t="s">
        <v>920</v>
      </c>
      <c r="L2448" s="49" t="s">
        <v>23</v>
      </c>
      <c r="M2448" s="36">
        <f t="shared" si="26"/>
        <v>45818.39914</v>
      </c>
      <c r="N2448" s="30" t="str">
        <f t="shared" si="27"/>
        <v>Selesai</v>
      </c>
      <c r="O2448" s="45">
        <f t="shared" si="23"/>
        <v>45818.39914</v>
      </c>
      <c r="P2448" s="47" t="b">
        <v>1</v>
      </c>
      <c r="Q2448" s="36">
        <f t="shared" si="24"/>
        <v>45818.39916</v>
      </c>
      <c r="R2448" s="47" t="b">
        <v>0</v>
      </c>
      <c r="S2448" s="42" t="str">
        <f t="shared" si="28"/>
        <v/>
      </c>
      <c r="T2448" s="42"/>
    </row>
    <row r="2449" ht="22.5" customHeight="1">
      <c r="B2449" s="42">
        <f t="shared" si="7"/>
        <v>2443</v>
      </c>
      <c r="C2449" s="31" t="s">
        <v>2527</v>
      </c>
      <c r="D2449" s="34" t="str">
        <f t="array" ref="D2449">IFNA(_xlfn.XLOOKUP(C2449,Table_Tarikan_Warkah[Nomor Sertipikat],Table_Tarikan_Warkah[Nomor Tiket]),"")</f>
        <v>L/23/270525/1</v>
      </c>
      <c r="E2449" s="36">
        <f t="array" ref="E2449">IFNA(_xlfn.XLOOKUP(D2449,Table_Tarikan_Warkah[Nomor Tiket],Table_Tarikan_Warkah[Tanggal diserahkan kepada Validator]),"")</f>
        <v>45839.43182</v>
      </c>
      <c r="F2449" s="36" t="str">
        <f t="array" ref="F2449">IFNA(_xlfn.XLOOKUP(D2449,Table_Tarikan_Warkah[Nomor Tiket],Table_Tarikan_Warkah[Nama Petugas Warkah]),"")</f>
        <v>David</v>
      </c>
      <c r="G2449" s="39" t="str">
        <f t="array" ref="G2449">IFNA(_xlfn.XLOOKUP(D2449,Table_Tarikan_Warkah[Nomor Tiket],Table_Tarikan_Warkah[Jenis Permohonan]),"")</f>
        <v>ROYA</v>
      </c>
      <c r="H2449" s="41" t="s">
        <v>2315</v>
      </c>
      <c r="I2449" s="49" t="s">
        <v>23</v>
      </c>
      <c r="J2449" s="36">
        <f t="shared" si="20"/>
        <v>45818.62721</v>
      </c>
      <c r="K2449" s="49" t="s">
        <v>2378</v>
      </c>
      <c r="L2449" s="49" t="s">
        <v>23</v>
      </c>
      <c r="M2449" s="36">
        <f t="shared" si="26"/>
        <v>45818.69016</v>
      </c>
      <c r="N2449" s="30" t="str">
        <f t="shared" si="27"/>
        <v>Selesai</v>
      </c>
      <c r="O2449" s="45">
        <f t="shared" si="23"/>
        <v>45818.69016</v>
      </c>
      <c r="P2449" s="47" t="b">
        <v>0</v>
      </c>
      <c r="Q2449" s="36" t="str">
        <f t="shared" si="24"/>
        <v/>
      </c>
      <c r="R2449" s="47" t="b">
        <v>0</v>
      </c>
      <c r="S2449" s="42" t="str">
        <f t="shared" si="28"/>
        <v/>
      </c>
      <c r="T2449" s="42"/>
    </row>
    <row r="2450" ht="22.5" customHeight="1">
      <c r="B2450" s="42">
        <f t="shared" si="7"/>
        <v>2444</v>
      </c>
      <c r="C2450" s="31" t="s">
        <v>2528</v>
      </c>
      <c r="D2450" s="34" t="str">
        <f t="array" ref="D2450">IFNA(_xlfn.XLOOKUP(C2450,Table_Tarikan_Warkah[Nomor Sertipikat],Table_Tarikan_Warkah[Nomor Tiket]),"")</f>
        <v>K/13/200525/1</v>
      </c>
      <c r="E2450" s="36">
        <f t="array" ref="E2450">IFNA(_xlfn.XLOOKUP(D2450,Table_Tarikan_Warkah[Nomor Tiket],Table_Tarikan_Warkah[Tanggal diserahkan kepada Validator]),"")</f>
        <v>45819.80224</v>
      </c>
      <c r="F2450" s="36" t="str">
        <f t="array" ref="F2450">IFNA(_xlfn.XLOOKUP(D2450,Table_Tarikan_Warkah[Nomor Tiket],Table_Tarikan_Warkah[Nama Petugas Warkah]),"")</f>
        <v>Berry</v>
      </c>
      <c r="G2450" s="39" t="str">
        <f t="array" ref="G2450">IFNA(_xlfn.XLOOKUP(D2450,Table_Tarikan_Warkah[Nomor Tiket],Table_Tarikan_Warkah[Jenis Permohonan]),"")</f>
        <v>BN JUAL BELI</v>
      </c>
      <c r="H2450" s="41" t="s">
        <v>2315</v>
      </c>
      <c r="I2450" s="49" t="s">
        <v>23</v>
      </c>
      <c r="J2450" s="36">
        <f t="shared" si="20"/>
        <v>45818.62721</v>
      </c>
      <c r="K2450" s="49" t="s">
        <v>2378</v>
      </c>
      <c r="L2450" s="49" t="s">
        <v>23</v>
      </c>
      <c r="M2450" s="36">
        <f t="shared" si="26"/>
        <v>45818.64219</v>
      </c>
      <c r="N2450" s="30" t="str">
        <f t="shared" si="27"/>
        <v>Selesai</v>
      </c>
      <c r="O2450" s="45">
        <f t="shared" si="23"/>
        <v>45818.64219</v>
      </c>
      <c r="P2450" s="47" t="b">
        <v>0</v>
      </c>
      <c r="Q2450" s="36" t="str">
        <f t="shared" si="24"/>
        <v/>
      </c>
      <c r="R2450" s="47" t="b">
        <v>0</v>
      </c>
      <c r="S2450" s="42" t="str">
        <f t="shared" si="28"/>
        <v/>
      </c>
      <c r="T2450" s="42"/>
    </row>
    <row r="2451" ht="22.5" customHeight="1">
      <c r="B2451" s="42">
        <f t="shared" si="7"/>
        <v>2445</v>
      </c>
      <c r="C2451" s="31" t="s">
        <v>2529</v>
      </c>
      <c r="D2451" s="34" t="str">
        <f t="array" ref="D2451">IFNA(_xlfn.XLOOKUP(C2451,Table_Tarikan_Warkah[Nomor Sertipikat],Table_Tarikan_Warkah[Nomor Tiket]),"")</f>
        <v>K/13/190525/1</v>
      </c>
      <c r="E2451" s="36">
        <f t="array" ref="E2451">IFNA(_xlfn.XLOOKUP(D2451,Table_Tarikan_Warkah[Nomor Tiket],Table_Tarikan_Warkah[Tanggal diserahkan kepada Validator]),"")</f>
        <v>45819.80194</v>
      </c>
      <c r="F2451" s="36" t="str">
        <f t="array" ref="F2451">IFNA(_xlfn.XLOOKUP(D2451,Table_Tarikan_Warkah[Nomor Tiket],Table_Tarikan_Warkah[Nama Petugas Warkah]),"")</f>
        <v>Berry</v>
      </c>
      <c r="G2451" s="39" t="str">
        <f t="array" ref="G2451">IFNA(_xlfn.XLOOKUP(D2451,Table_Tarikan_Warkah[Nomor Tiket],Table_Tarikan_Warkah[Jenis Permohonan]),"")</f>
        <v>BN JUAL BELI</v>
      </c>
      <c r="H2451" s="41" t="s">
        <v>2315</v>
      </c>
      <c r="I2451" s="49" t="s">
        <v>23</v>
      </c>
      <c r="J2451" s="36">
        <f t="shared" si="20"/>
        <v>45818.62721</v>
      </c>
      <c r="K2451" s="49" t="s">
        <v>2378</v>
      </c>
      <c r="L2451" s="49" t="s">
        <v>23</v>
      </c>
      <c r="M2451" s="36">
        <f t="shared" si="26"/>
        <v>45818.64242</v>
      </c>
      <c r="N2451" s="30" t="str">
        <f t="shared" si="27"/>
        <v>Selesai</v>
      </c>
      <c r="O2451" s="45">
        <f t="shared" si="23"/>
        <v>45818.64242</v>
      </c>
      <c r="P2451" s="47" t="b">
        <v>0</v>
      </c>
      <c r="Q2451" s="36" t="str">
        <f t="shared" si="24"/>
        <v/>
      </c>
      <c r="R2451" s="47" t="b">
        <v>0</v>
      </c>
      <c r="S2451" s="42" t="str">
        <f t="shared" si="28"/>
        <v/>
      </c>
      <c r="T2451" s="42"/>
    </row>
    <row r="2452" ht="22.5" customHeight="1">
      <c r="B2452" s="42">
        <f t="shared" si="7"/>
        <v>2446</v>
      </c>
      <c r="C2452" s="31" t="s">
        <v>2530</v>
      </c>
      <c r="D2452" s="34" t="str">
        <f t="array" ref="D2452">IFNA(_xlfn.XLOOKUP(C2452,Table_Tarikan_Warkah[Nomor Sertipikat],Table_Tarikan_Warkah[Nomor Tiket]),"")</f>
        <v>K/11/200525/2</v>
      </c>
      <c r="E2452" s="36">
        <f t="array" ref="E2452">IFNA(_xlfn.XLOOKUP(D2452,Table_Tarikan_Warkah[Nomor Tiket],Table_Tarikan_Warkah[Tanggal diserahkan kepada Validator]),"")</f>
        <v>45819.80036</v>
      </c>
      <c r="F2452" s="36" t="str">
        <f t="array" ref="F2452">IFNA(_xlfn.XLOOKUP(D2452,Table_Tarikan_Warkah[Nomor Tiket],Table_Tarikan_Warkah[Nama Petugas Warkah]),"")</f>
        <v>Berry</v>
      </c>
      <c r="G2452" s="39" t="str">
        <f t="array" ref="G2452">IFNA(_xlfn.XLOOKUP(D2452,Table_Tarikan_Warkah[Nomor Tiket],Table_Tarikan_Warkah[Jenis Permohonan]),"")</f>
        <v>BN JUAL BELI</v>
      </c>
      <c r="H2452" s="41" t="s">
        <v>2315</v>
      </c>
      <c r="I2452" s="49" t="s">
        <v>23</v>
      </c>
      <c r="J2452" s="36">
        <f t="shared" si="20"/>
        <v>45818.62721</v>
      </c>
      <c r="K2452" s="49" t="s">
        <v>2378</v>
      </c>
      <c r="L2452" s="49" t="s">
        <v>23</v>
      </c>
      <c r="M2452" s="36">
        <f t="shared" si="26"/>
        <v>45818.6429</v>
      </c>
      <c r="N2452" s="30" t="str">
        <f t="shared" si="27"/>
        <v>Selesai</v>
      </c>
      <c r="O2452" s="45">
        <f t="shared" si="23"/>
        <v>45818.6429</v>
      </c>
      <c r="P2452" s="47" t="b">
        <v>0</v>
      </c>
      <c r="Q2452" s="36" t="str">
        <f t="shared" si="24"/>
        <v/>
      </c>
      <c r="R2452" s="47" t="b">
        <v>0</v>
      </c>
      <c r="S2452" s="42" t="str">
        <f t="shared" si="28"/>
        <v/>
      </c>
      <c r="T2452" s="42"/>
    </row>
    <row r="2453" ht="22.5" customHeight="1">
      <c r="B2453" s="42">
        <f t="shared" si="7"/>
        <v>2447</v>
      </c>
      <c r="C2453" s="31" t="s">
        <v>2531</v>
      </c>
      <c r="D2453" s="34" t="str">
        <f t="array" ref="D2453">IFNA(_xlfn.XLOOKUP(C2453,Table_Tarikan_Warkah[Nomor Sertipikat],Table_Tarikan_Warkah[Nomor Tiket]),"")</f>
        <v>K/23/030625/1</v>
      </c>
      <c r="E2453" s="36" t="str">
        <f t="array" ref="E2453">IFNA(_xlfn.XLOOKUP(D2453,Table_Tarikan_Warkah[Nomor Tiket],Table_Tarikan_Warkah[Tanggal diserahkan kepada Validator]),"")</f>
        <v/>
      </c>
      <c r="F2453" s="36" t="str">
        <f t="array" ref="F2453">IFNA(_xlfn.XLOOKUP(D2453,Table_Tarikan_Warkah[Nomor Tiket],Table_Tarikan_Warkah[Nama Petugas Warkah]),"")</f>
        <v/>
      </c>
      <c r="G2453" s="39" t="str">
        <f t="array" ref="G2453">IFNA(_xlfn.XLOOKUP(D2453,Table_Tarikan_Warkah[Nomor Tiket],Table_Tarikan_Warkah[Jenis Permohonan]),"")</f>
        <v>BN WARIS</v>
      </c>
      <c r="H2453" s="41" t="s">
        <v>2315</v>
      </c>
      <c r="I2453" s="49" t="s">
        <v>23</v>
      </c>
      <c r="J2453" s="36">
        <f t="shared" si="20"/>
        <v>45818.62721</v>
      </c>
      <c r="K2453" s="49" t="s">
        <v>2378</v>
      </c>
      <c r="L2453" s="49" t="s">
        <v>23</v>
      </c>
      <c r="M2453" s="36">
        <f t="shared" si="26"/>
        <v>45819.61964</v>
      </c>
      <c r="N2453" s="30" t="str">
        <f t="shared" si="27"/>
        <v>Selesai</v>
      </c>
      <c r="O2453" s="45">
        <f t="shared" si="23"/>
        <v>45819.61964</v>
      </c>
      <c r="P2453" s="47" t="b">
        <v>0</v>
      </c>
      <c r="Q2453" s="36" t="str">
        <f t="shared" si="24"/>
        <v/>
      </c>
      <c r="R2453" s="47" t="b">
        <v>0</v>
      </c>
      <c r="S2453" s="42" t="str">
        <f t="shared" si="28"/>
        <v/>
      </c>
      <c r="T2453" s="42"/>
    </row>
    <row r="2454" ht="22.5" customHeight="1">
      <c r="B2454" s="42">
        <f t="shared" si="7"/>
        <v>2448</v>
      </c>
      <c r="C2454" s="31" t="s">
        <v>2532</v>
      </c>
      <c r="D2454" s="34" t="str">
        <f t="array" ref="D2454">IFNA(_xlfn.XLOOKUP(C2454,Table_Tarikan_Warkah[Nomor Sertipikat],Table_Tarikan_Warkah[Nomor Tiket]),"")</f>
        <v>K/19/090525/1</v>
      </c>
      <c r="E2454" s="36">
        <f t="array" ref="E2454">IFNA(_xlfn.XLOOKUP(D2454,Table_Tarikan_Warkah[Nomor Tiket],Table_Tarikan_Warkah[Tanggal diserahkan kepada Validator]),"")</f>
        <v>45820.46762</v>
      </c>
      <c r="F2454" s="36" t="str">
        <f t="array" ref="F2454">IFNA(_xlfn.XLOOKUP(D2454,Table_Tarikan_Warkah[Nomor Tiket],Table_Tarikan_Warkah[Nama Petugas Warkah]),"")</f>
        <v>Berry</v>
      </c>
      <c r="G2454" s="39" t="str">
        <f t="array" ref="G2454">IFNA(_xlfn.XLOOKUP(D2454,Table_Tarikan_Warkah[Nomor Tiket],Table_Tarikan_Warkah[Jenis Permohonan]),"")</f>
        <v>BN JUALK BELI</v>
      </c>
      <c r="H2454" s="41" t="s">
        <v>2315</v>
      </c>
      <c r="I2454" s="49" t="s">
        <v>23</v>
      </c>
      <c r="J2454" s="36">
        <f t="shared" si="20"/>
        <v>45818.62721</v>
      </c>
      <c r="K2454" s="49" t="s">
        <v>2378</v>
      </c>
      <c r="L2454" s="49" t="s">
        <v>23</v>
      </c>
      <c r="M2454" s="36">
        <f t="shared" si="26"/>
        <v>45819.61912</v>
      </c>
      <c r="N2454" s="30" t="str">
        <f t="shared" si="27"/>
        <v>Selesai</v>
      </c>
      <c r="O2454" s="45">
        <f t="shared" si="23"/>
        <v>45819.61912</v>
      </c>
      <c r="P2454" s="47" t="b">
        <v>0</v>
      </c>
      <c r="Q2454" s="36" t="str">
        <f t="shared" si="24"/>
        <v/>
      </c>
      <c r="R2454" s="47" t="b">
        <v>0</v>
      </c>
      <c r="S2454" s="42" t="str">
        <f t="shared" si="28"/>
        <v/>
      </c>
      <c r="T2454" s="42"/>
    </row>
    <row r="2455" ht="22.5" customHeight="1">
      <c r="B2455" s="42">
        <f t="shared" si="7"/>
        <v>2449</v>
      </c>
      <c r="C2455" s="31" t="s">
        <v>2533</v>
      </c>
      <c r="D2455" s="34" t="str">
        <f t="array" ref="D2455">IFNA(_xlfn.XLOOKUP(C2455,Table_Tarikan_Warkah[Nomor Sertipikat],Table_Tarikan_Warkah[Nomor Tiket]),"")</f>
        <v>L/16/270525/1</v>
      </c>
      <c r="E2455" s="36">
        <f t="array" ref="E2455">IFNA(_xlfn.XLOOKUP(D2455,Table_Tarikan_Warkah[Nomor Tiket],Table_Tarikan_Warkah[Tanggal diserahkan kepada Validator]),"")</f>
        <v>45833.66822</v>
      </c>
      <c r="F2455" s="36" t="str">
        <f t="array" ref="F2455">IFNA(_xlfn.XLOOKUP(D2455,Table_Tarikan_Warkah[Nomor Tiket],Table_Tarikan_Warkah[Nama Petugas Warkah]),"")</f>
        <v>David</v>
      </c>
      <c r="G2455" s="39" t="str">
        <f t="array" ref="G2455">IFNA(_xlfn.XLOOKUP(D2455,Table_Tarikan_Warkah[Nomor Tiket],Table_Tarikan_Warkah[Jenis Permohonan]),"")</f>
        <v>ROYA</v>
      </c>
      <c r="H2455" s="41" t="s">
        <v>2315</v>
      </c>
      <c r="I2455" s="49" t="s">
        <v>23</v>
      </c>
      <c r="J2455" s="36">
        <f t="shared" si="20"/>
        <v>45818.62721</v>
      </c>
      <c r="K2455" s="49" t="s">
        <v>2378</v>
      </c>
      <c r="L2455" s="49" t="s">
        <v>23</v>
      </c>
      <c r="M2455" s="36">
        <f t="shared" si="26"/>
        <v>45818.64315</v>
      </c>
      <c r="N2455" s="30" t="str">
        <f t="shared" si="27"/>
        <v>Selesai</v>
      </c>
      <c r="O2455" s="45">
        <f t="shared" si="23"/>
        <v>45818.64315</v>
      </c>
      <c r="P2455" s="47" t="b">
        <v>0</v>
      </c>
      <c r="Q2455" s="36" t="str">
        <f t="shared" si="24"/>
        <v/>
      </c>
      <c r="R2455" s="47" t="b">
        <v>0</v>
      </c>
      <c r="S2455" s="42" t="str">
        <f t="shared" si="28"/>
        <v/>
      </c>
      <c r="T2455" s="42"/>
    </row>
    <row r="2456" ht="22.5" customHeight="1">
      <c r="B2456" s="42">
        <f t="shared" si="7"/>
        <v>2450</v>
      </c>
      <c r="C2456" s="31" t="s">
        <v>2534</v>
      </c>
      <c r="D2456" s="34" t="str">
        <f t="array" ref="D2456">IFNA(_xlfn.XLOOKUP(C2456,Table_Tarikan_Warkah[Nomor Sertipikat],Table_Tarikan_Warkah[Nomor Tiket]),"")</f>
        <v>K/14/070525/1</v>
      </c>
      <c r="E2456" s="36">
        <f t="array" ref="E2456">IFNA(_xlfn.XLOOKUP(D2456,Table_Tarikan_Warkah[Nomor Tiket],Table_Tarikan_Warkah[Tanggal diserahkan kepada Validator]),"")</f>
        <v>45824.50302</v>
      </c>
      <c r="F2456" s="36" t="str">
        <f t="array" ref="F2456">IFNA(_xlfn.XLOOKUP(D2456,Table_Tarikan_Warkah[Nomor Tiket],Table_Tarikan_Warkah[Nama Petugas Warkah]),"")</f>
        <v>Berry</v>
      </c>
      <c r="G2456" s="39" t="str">
        <f t="array" ref="G2456">IFNA(_xlfn.XLOOKUP(D2456,Table_Tarikan_Warkah[Nomor Tiket],Table_Tarikan_Warkah[Jenis Permohonan]),"")</f>
        <v>BN JUAL BELI</v>
      </c>
      <c r="H2456" s="41" t="s">
        <v>2315</v>
      </c>
      <c r="I2456" s="49" t="s">
        <v>23</v>
      </c>
      <c r="J2456" s="36">
        <f t="shared" si="20"/>
        <v>45818.62721</v>
      </c>
      <c r="K2456" s="49" t="s">
        <v>2378</v>
      </c>
      <c r="L2456" s="49" t="s">
        <v>23</v>
      </c>
      <c r="M2456" s="36">
        <f t="shared" si="26"/>
        <v>45819.61869</v>
      </c>
      <c r="N2456" s="30" t="str">
        <f t="shared" si="27"/>
        <v>Selesai</v>
      </c>
      <c r="O2456" s="45">
        <f t="shared" si="23"/>
        <v>45819.61869</v>
      </c>
      <c r="P2456" s="47" t="b">
        <v>0</v>
      </c>
      <c r="Q2456" s="36" t="str">
        <f t="shared" si="24"/>
        <v/>
      </c>
      <c r="R2456" s="47" t="b">
        <v>0</v>
      </c>
      <c r="S2456" s="42" t="str">
        <f t="shared" si="28"/>
        <v/>
      </c>
      <c r="T2456" s="42"/>
    </row>
    <row r="2457" ht="22.5" customHeight="1">
      <c r="B2457" s="42">
        <f t="shared" si="7"/>
        <v>2451</v>
      </c>
      <c r="C2457" s="31" t="s">
        <v>2535</v>
      </c>
      <c r="D2457" s="34" t="str">
        <f t="array" ref="D2457">IFNA(_xlfn.XLOOKUP(C2457,Table_Tarikan_Warkah[Nomor Sertipikat],Table_Tarikan_Warkah[Nomor Tiket]),"")</f>
        <v>K/19/150425/2</v>
      </c>
      <c r="E2457" s="36">
        <f t="array" ref="E2457">IFNA(_xlfn.XLOOKUP(D2457,Table_Tarikan_Warkah[Nomor Tiket],Table_Tarikan_Warkah[Tanggal diserahkan kepada Validator]),"")</f>
        <v>45824.50287</v>
      </c>
      <c r="F2457" s="36" t="str">
        <f t="array" ref="F2457">IFNA(_xlfn.XLOOKUP(D2457,Table_Tarikan_Warkah[Nomor Tiket],Table_Tarikan_Warkah[Nama Petugas Warkah]),"")</f>
        <v>Berry</v>
      </c>
      <c r="G2457" s="39" t="str">
        <f t="array" ref="G2457">IFNA(_xlfn.XLOOKUP(D2457,Table_Tarikan_Warkah[Nomor Tiket],Table_Tarikan_Warkah[Jenis Permohonan]),"")</f>
        <v>BN JUAL BELI</v>
      </c>
      <c r="H2457" s="41" t="s">
        <v>2315</v>
      </c>
      <c r="I2457" s="49" t="s">
        <v>23</v>
      </c>
      <c r="J2457" s="36">
        <f t="shared" si="20"/>
        <v>45818.62721</v>
      </c>
      <c r="K2457" s="49" t="s">
        <v>2378</v>
      </c>
      <c r="L2457" s="49" t="s">
        <v>23</v>
      </c>
      <c r="M2457" s="36">
        <f t="shared" si="26"/>
        <v>45819.61737</v>
      </c>
      <c r="N2457" s="30" t="str">
        <f t="shared" si="27"/>
        <v>Selesai</v>
      </c>
      <c r="O2457" s="45">
        <f t="shared" si="23"/>
        <v>45819.61737</v>
      </c>
      <c r="P2457" s="47" t="b">
        <v>0</v>
      </c>
      <c r="Q2457" s="36" t="str">
        <f t="shared" si="24"/>
        <v/>
      </c>
      <c r="R2457" s="47" t="b">
        <v>0</v>
      </c>
      <c r="S2457" s="42" t="str">
        <f t="shared" si="28"/>
        <v/>
      </c>
      <c r="T2457" s="42"/>
    </row>
    <row r="2458" ht="22.5" customHeight="1">
      <c r="B2458" s="42">
        <f t="shared" si="7"/>
        <v>2452</v>
      </c>
      <c r="C2458" s="31" t="s">
        <v>2536</v>
      </c>
      <c r="D2458" s="34" t="str">
        <f t="array" ref="D2458">IFNA(_xlfn.XLOOKUP(C2458,Table_Tarikan_Warkah[Nomor Sertipikat],Table_Tarikan_Warkah[Nomor Tiket]),"")</f>
        <v>K/23/260525/3</v>
      </c>
      <c r="E2458" s="36">
        <f t="array" ref="E2458">IFNA(_xlfn.XLOOKUP(D2458,Table_Tarikan_Warkah[Nomor Tiket],Table_Tarikan_Warkah[Tanggal diserahkan kepada Validator]),"")</f>
        <v>45842.58868</v>
      </c>
      <c r="F2458" s="36" t="str">
        <f t="array" ref="F2458">IFNA(_xlfn.XLOOKUP(D2458,Table_Tarikan_Warkah[Nomor Tiket],Table_Tarikan_Warkah[Nama Petugas Warkah]),"")</f>
        <v>David</v>
      </c>
      <c r="G2458" s="39" t="str">
        <f t="array" ref="G2458">IFNA(_xlfn.XLOOKUP(D2458,Table_Tarikan_Warkah[Nomor Tiket],Table_Tarikan_Warkah[Jenis Permohonan]),"")</f>
        <v>ROYA</v>
      </c>
      <c r="H2458" s="41" t="s">
        <v>2315</v>
      </c>
      <c r="I2458" s="49" t="s">
        <v>23</v>
      </c>
      <c r="J2458" s="36">
        <f t="shared" si="20"/>
        <v>45818.62721</v>
      </c>
      <c r="K2458" s="49" t="s">
        <v>2378</v>
      </c>
      <c r="L2458" s="49" t="s">
        <v>23</v>
      </c>
      <c r="M2458" s="36">
        <f t="shared" si="26"/>
        <v>45818.64341</v>
      </c>
      <c r="N2458" s="30" t="str">
        <f t="shared" si="27"/>
        <v>Selesai</v>
      </c>
      <c r="O2458" s="45">
        <f t="shared" si="23"/>
        <v>45818.64341</v>
      </c>
      <c r="P2458" s="47" t="b">
        <v>0</v>
      </c>
      <c r="Q2458" s="36" t="str">
        <f t="shared" si="24"/>
        <v/>
      </c>
      <c r="R2458" s="47" t="b">
        <v>0</v>
      </c>
      <c r="S2458" s="42" t="str">
        <f t="shared" si="28"/>
        <v/>
      </c>
      <c r="T2458" s="42"/>
    </row>
    <row r="2459" ht="22.5" customHeight="1">
      <c r="B2459" s="42">
        <f t="shared" si="7"/>
        <v>2453</v>
      </c>
      <c r="C2459" s="31" t="s">
        <v>2537</v>
      </c>
      <c r="D2459" s="34" t="str">
        <f t="array" ref="D2459">IFNA(_xlfn.XLOOKUP(C2459,Table_Tarikan_Warkah[Nomor Sertipikat],Table_Tarikan_Warkah[Nomor Tiket]),"")</f>
        <v>K/3/210525/1</v>
      </c>
      <c r="E2459" s="36">
        <f t="array" ref="E2459">IFNA(_xlfn.XLOOKUP(D2459,Table_Tarikan_Warkah[Nomor Tiket],Table_Tarikan_Warkah[Tanggal diserahkan kepada Validator]),"")</f>
        <v>45824.49973</v>
      </c>
      <c r="F2459" s="36" t="str">
        <f t="array" ref="F2459">IFNA(_xlfn.XLOOKUP(D2459,Table_Tarikan_Warkah[Nomor Tiket],Table_Tarikan_Warkah[Nama Petugas Warkah]),"")</f>
        <v>Berry</v>
      </c>
      <c r="G2459" s="39" t="str">
        <f t="array" ref="G2459">IFNA(_xlfn.XLOOKUP(D2459,Table_Tarikan_Warkah[Nomor Tiket],Table_Tarikan_Warkah[Jenis Permohonan]),"")</f>
        <v>BN JUAL BELI</v>
      </c>
      <c r="H2459" s="41" t="s">
        <v>2315</v>
      </c>
      <c r="I2459" s="49" t="s">
        <v>23</v>
      </c>
      <c r="J2459" s="36">
        <f t="shared" si="20"/>
        <v>45818.62721</v>
      </c>
      <c r="K2459" s="49" t="s">
        <v>2378</v>
      </c>
      <c r="L2459" s="49" t="s">
        <v>23</v>
      </c>
      <c r="M2459" s="36">
        <f t="shared" si="26"/>
        <v>45819.622</v>
      </c>
      <c r="N2459" s="30" t="str">
        <f t="shared" si="27"/>
        <v>Selesai</v>
      </c>
      <c r="O2459" s="45">
        <f t="shared" si="23"/>
        <v>45819.622</v>
      </c>
      <c r="P2459" s="47" t="b">
        <v>0</v>
      </c>
      <c r="Q2459" s="36" t="str">
        <f t="shared" si="24"/>
        <v/>
      </c>
      <c r="R2459" s="47" t="b">
        <v>0</v>
      </c>
      <c r="S2459" s="42" t="str">
        <f t="shared" si="28"/>
        <v/>
      </c>
      <c r="T2459" s="42"/>
    </row>
    <row r="2460" ht="22.5" customHeight="1">
      <c r="B2460" s="42">
        <f t="shared" si="7"/>
        <v>2454</v>
      </c>
      <c r="C2460" s="31" t="s">
        <v>2538</v>
      </c>
      <c r="D2460" s="34" t="str">
        <f t="array" ref="D2460">IFNA(_xlfn.XLOOKUP(C2460,Table_Tarikan_Warkah[Nomor Sertipikat],Table_Tarikan_Warkah[Nomor Tiket]),"")</f>
        <v>K/10/200525/1</v>
      </c>
      <c r="E2460" s="36">
        <f t="array" ref="E2460">IFNA(_xlfn.XLOOKUP(D2460,Table_Tarikan_Warkah[Nomor Tiket],Table_Tarikan_Warkah[Tanggal diserahkan kepada Validator]),"")</f>
        <v>45833.66375</v>
      </c>
      <c r="F2460" s="36" t="str">
        <f t="array" ref="F2460">IFNA(_xlfn.XLOOKUP(D2460,Table_Tarikan_Warkah[Nomor Tiket],Table_Tarikan_Warkah[Nama Petugas Warkah]),"")</f>
        <v>David</v>
      </c>
      <c r="G2460" s="39" t="str">
        <f t="array" ref="G2460">IFNA(_xlfn.XLOOKUP(D2460,Table_Tarikan_Warkah[Nomor Tiket],Table_Tarikan_Warkah[Jenis Permohonan]),"")</f>
        <v>ROYA</v>
      </c>
      <c r="H2460" s="41" t="s">
        <v>20</v>
      </c>
      <c r="I2460" s="49" t="s">
        <v>23</v>
      </c>
      <c r="J2460" s="36">
        <f t="shared" si="20"/>
        <v>45818.62721</v>
      </c>
      <c r="K2460" s="49" t="s">
        <v>2378</v>
      </c>
      <c r="L2460" s="49" t="s">
        <v>23</v>
      </c>
      <c r="M2460" s="36">
        <f t="shared" si="26"/>
        <v>45818.64032</v>
      </c>
      <c r="N2460" s="30" t="str">
        <f t="shared" si="27"/>
        <v>Selesai</v>
      </c>
      <c r="O2460" s="45">
        <f t="shared" si="23"/>
        <v>45818.64032</v>
      </c>
      <c r="P2460" s="47" t="b">
        <v>0</v>
      </c>
      <c r="Q2460" s="36" t="str">
        <f t="shared" si="24"/>
        <v/>
      </c>
      <c r="R2460" s="47" t="b">
        <v>0</v>
      </c>
      <c r="S2460" s="42" t="str">
        <f t="shared" si="28"/>
        <v/>
      </c>
      <c r="T2460" s="42"/>
    </row>
    <row r="2461" ht="22.5" customHeight="1">
      <c r="B2461" s="42">
        <f t="shared" si="7"/>
        <v>2455</v>
      </c>
      <c r="C2461" s="31" t="s">
        <v>2539</v>
      </c>
      <c r="D2461" s="34" t="str">
        <f t="array" ref="D2461">IFNA(_xlfn.XLOOKUP(C2461,Table_Tarikan_Warkah[Nomor Sertipikat],Table_Tarikan_Warkah[Nomor Tiket]),"")</f>
        <v>K/11/080525/5</v>
      </c>
      <c r="E2461" s="36" t="str">
        <f t="array" ref="E2461">IFNA(_xlfn.XLOOKUP(D2461,Table_Tarikan_Warkah[Nomor Tiket],Table_Tarikan_Warkah[Tanggal diserahkan kepada Validator]),"")</f>
        <v/>
      </c>
      <c r="F2461" s="36" t="str">
        <f t="array" ref="F2461">IFNA(_xlfn.XLOOKUP(D2461,Table_Tarikan_Warkah[Nomor Tiket],Table_Tarikan_Warkah[Nama Petugas Warkah]),"")</f>
        <v/>
      </c>
      <c r="G2461" s="39" t="str">
        <f t="array" ref="G2461">IFNA(_xlfn.XLOOKUP(D2461,Table_Tarikan_Warkah[Nomor Tiket],Table_Tarikan_Warkah[Jenis Permohonan]),"")</f>
        <v>ROYA</v>
      </c>
      <c r="H2461" s="41" t="s">
        <v>20</v>
      </c>
      <c r="I2461" s="49" t="s">
        <v>23</v>
      </c>
      <c r="J2461" s="36">
        <f t="shared" si="20"/>
        <v>45818.62721</v>
      </c>
      <c r="K2461" s="49" t="s">
        <v>2378</v>
      </c>
      <c r="L2461" s="49" t="s">
        <v>23</v>
      </c>
      <c r="M2461" s="36">
        <f t="shared" si="26"/>
        <v>45818.64194</v>
      </c>
      <c r="N2461" s="30" t="str">
        <f t="shared" si="27"/>
        <v>Selesai</v>
      </c>
      <c r="O2461" s="45">
        <f t="shared" si="23"/>
        <v>45818.64194</v>
      </c>
      <c r="P2461" s="47" t="b">
        <v>0</v>
      </c>
      <c r="Q2461" s="36" t="str">
        <f t="shared" si="24"/>
        <v/>
      </c>
      <c r="R2461" s="47" t="b">
        <v>0</v>
      </c>
      <c r="S2461" s="42" t="str">
        <f t="shared" si="28"/>
        <v/>
      </c>
      <c r="T2461" s="42"/>
    </row>
    <row r="2462" ht="22.5" customHeight="1">
      <c r="B2462" s="42">
        <f t="shared" si="7"/>
        <v>2456</v>
      </c>
      <c r="C2462" s="31" t="s">
        <v>2540</v>
      </c>
      <c r="D2462" s="34" t="str">
        <f t="array" ref="D2462">IFNA(_xlfn.XLOOKUP(C2462,Table_Tarikan_Warkah[Nomor Sertipikat],Table_Tarikan_Warkah[Nomor Tiket]),"")</f>
        <v>K/22/160525/1</v>
      </c>
      <c r="E2462" s="36">
        <f t="array" ref="E2462">IFNA(_xlfn.XLOOKUP(D2462,Table_Tarikan_Warkah[Nomor Tiket],Table_Tarikan_Warkah[Tanggal diserahkan kepada Validator]),"")</f>
        <v>45825.67939</v>
      </c>
      <c r="F2462" s="36" t="str">
        <f t="array" ref="F2462">IFNA(_xlfn.XLOOKUP(D2462,Table_Tarikan_Warkah[Nomor Tiket],Table_Tarikan_Warkah[Nama Petugas Warkah]),"")</f>
        <v>David</v>
      </c>
      <c r="G2462" s="39" t="str">
        <f t="array" ref="G2462">IFNA(_xlfn.XLOOKUP(D2462,Table_Tarikan_Warkah[Nomor Tiket],Table_Tarikan_Warkah[Jenis Permohonan]),"")</f>
        <v>ROYA</v>
      </c>
      <c r="H2462" s="41" t="s">
        <v>20</v>
      </c>
      <c r="I2462" s="49" t="s">
        <v>23</v>
      </c>
      <c r="J2462" s="36">
        <f t="shared" si="20"/>
        <v>45818.62721</v>
      </c>
      <c r="K2462" s="49" t="s">
        <v>2378</v>
      </c>
      <c r="L2462" s="49" t="s">
        <v>23</v>
      </c>
      <c r="M2462" s="36">
        <f t="shared" si="26"/>
        <v>45818.68964</v>
      </c>
      <c r="N2462" s="30" t="str">
        <f t="shared" si="27"/>
        <v>Selesai</v>
      </c>
      <c r="O2462" s="45">
        <f t="shared" si="23"/>
        <v>45818.68964</v>
      </c>
      <c r="P2462" s="47" t="b">
        <v>0</v>
      </c>
      <c r="Q2462" s="36" t="str">
        <f t="shared" si="24"/>
        <v/>
      </c>
      <c r="R2462" s="47" t="b">
        <v>0</v>
      </c>
      <c r="S2462" s="42" t="str">
        <f t="shared" si="28"/>
        <v/>
      </c>
      <c r="T2462" s="42"/>
    </row>
    <row r="2463" ht="22.5" customHeight="1">
      <c r="B2463" s="42">
        <f t="shared" si="7"/>
        <v>2457</v>
      </c>
      <c r="C2463" s="31" t="s">
        <v>2424</v>
      </c>
      <c r="D2463" s="34" t="str">
        <f t="array" ref="D2463">IFNA(_xlfn.XLOOKUP(C2463,Table_Tarikan_Warkah[Nomor Sertipikat],Table_Tarikan_Warkah[Nomor Tiket]),"")</f>
        <v>K/25/050525/1</v>
      </c>
      <c r="E2463" s="36">
        <f t="array" ref="E2463">IFNA(_xlfn.XLOOKUP(D2463,Table_Tarikan_Warkah[Nomor Tiket],Table_Tarikan_Warkah[Tanggal diserahkan kepada Validator]),"")</f>
        <v>45824.50174</v>
      </c>
      <c r="F2463" s="36" t="str">
        <f t="array" ref="F2463">IFNA(_xlfn.XLOOKUP(D2463,Table_Tarikan_Warkah[Nomor Tiket],Table_Tarikan_Warkah[Nama Petugas Warkah]),"")</f>
        <v>Berry</v>
      </c>
      <c r="G2463" s="39" t="str">
        <f t="array" ref="G2463">IFNA(_xlfn.XLOOKUP(D2463,Table_Tarikan_Warkah[Nomor Tiket],Table_Tarikan_Warkah[Jenis Permohonan]),"")</f>
        <v>BN WARIS</v>
      </c>
      <c r="H2463" s="41" t="s">
        <v>20</v>
      </c>
      <c r="I2463" s="49" t="s">
        <v>23</v>
      </c>
      <c r="J2463" s="36">
        <f t="shared" si="20"/>
        <v>45818.62721</v>
      </c>
      <c r="K2463" s="49" t="s">
        <v>2378</v>
      </c>
      <c r="L2463" s="49" t="s">
        <v>23</v>
      </c>
      <c r="M2463" s="36">
        <f t="shared" si="26"/>
        <v>45818.68984</v>
      </c>
      <c r="N2463" s="30" t="str">
        <f t="shared" si="27"/>
        <v>Selesai</v>
      </c>
      <c r="O2463" s="45">
        <f t="shared" si="23"/>
        <v>45818.68984</v>
      </c>
      <c r="P2463" s="47" t="b">
        <v>0</v>
      </c>
      <c r="Q2463" s="36" t="str">
        <f t="shared" si="24"/>
        <v/>
      </c>
      <c r="R2463" s="47" t="b">
        <v>0</v>
      </c>
      <c r="S2463" s="42" t="str">
        <f t="shared" si="28"/>
        <v/>
      </c>
      <c r="T2463" s="42"/>
    </row>
    <row r="2464" ht="22.5" customHeight="1">
      <c r="B2464" s="42">
        <f t="shared" si="7"/>
        <v>2458</v>
      </c>
      <c r="C2464" s="31" t="s">
        <v>279</v>
      </c>
      <c r="D2464" s="34" t="str">
        <f t="array" ref="D2464">IFNA(_xlfn.XLOOKUP(C2464,Table_Tarikan_Warkah[Nomor Sertipikat],Table_Tarikan_Warkah[Nomor Tiket]),"")</f>
        <v>K/27/281024/1</v>
      </c>
      <c r="E2464" s="36" t="str">
        <f t="array" ref="E2464">IFNA(_xlfn.XLOOKUP(D2464,Table_Tarikan_Warkah[Nomor Tiket],Table_Tarikan_Warkah[Tanggal diserahkan kepada Validator]),"")</f>
        <v>29/10/2024 09.56</v>
      </c>
      <c r="F2464" s="36" t="str">
        <f t="array" ref="F2464">IFNA(_xlfn.XLOOKUP(D2464,Table_Tarikan_Warkah[Nomor Tiket],Table_Tarikan_Warkah[Nama Petugas Warkah]),"")</f>
        <v>Berry</v>
      </c>
      <c r="G2464" s="39" t="str">
        <f t="array" ref="G2464">IFNA(_xlfn.XLOOKUP(D2464,Table_Tarikan_Warkah[Nomor Tiket],Table_Tarikan_Warkah[Jenis Permohonan]),"")</f>
        <v>Perubahan Hak</v>
      </c>
      <c r="H2464" s="41" t="s">
        <v>20</v>
      </c>
      <c r="I2464" s="49" t="s">
        <v>23</v>
      </c>
      <c r="J2464" s="36">
        <f t="shared" si="20"/>
        <v>45818.62721</v>
      </c>
      <c r="K2464" s="49" t="s">
        <v>2378</v>
      </c>
      <c r="L2464" s="49" t="s">
        <v>23</v>
      </c>
      <c r="M2464" s="36">
        <f t="shared" si="26"/>
        <v>45818.64081</v>
      </c>
      <c r="N2464" s="30" t="str">
        <f t="shared" si="27"/>
        <v>Selesai</v>
      </c>
      <c r="O2464" s="45">
        <f t="shared" si="23"/>
        <v>45818.64081</v>
      </c>
      <c r="P2464" s="47" t="b">
        <v>0</v>
      </c>
      <c r="Q2464" s="36" t="str">
        <f t="shared" si="24"/>
        <v/>
      </c>
      <c r="R2464" s="47" t="b">
        <v>0</v>
      </c>
      <c r="S2464" s="42" t="str">
        <f t="shared" si="28"/>
        <v/>
      </c>
      <c r="T2464" s="42"/>
    </row>
    <row r="2465" ht="22.5" customHeight="1">
      <c r="B2465" s="42">
        <f t="shared" si="7"/>
        <v>2459</v>
      </c>
      <c r="C2465" s="31" t="s">
        <v>2541</v>
      </c>
      <c r="D2465" s="34" t="str">
        <f t="array" ref="D2465">IFNA(_xlfn.XLOOKUP(C2465,Table_Tarikan_Warkah[Nomor Sertipikat],Table_Tarikan_Warkah[Nomor Tiket]),"")</f>
        <v>K/15/220525/1</v>
      </c>
      <c r="E2465" s="36">
        <f t="array" ref="E2465">IFNA(_xlfn.XLOOKUP(D2465,Table_Tarikan_Warkah[Nomor Tiket],Table_Tarikan_Warkah[Tanggal diserahkan kepada Validator]),"")</f>
        <v>45819.79855</v>
      </c>
      <c r="F2465" s="36" t="str">
        <f t="array" ref="F2465">IFNA(_xlfn.XLOOKUP(D2465,Table_Tarikan_Warkah[Nomor Tiket],Table_Tarikan_Warkah[Nama Petugas Warkah]),"")</f>
        <v>Berry</v>
      </c>
      <c r="G2465" s="39" t="str">
        <f t="array" ref="G2465">IFNA(_xlfn.XLOOKUP(D2465,Table_Tarikan_Warkah[Nomor Tiket],Table_Tarikan_Warkah[Jenis Permohonan]),"")</f>
        <v>BN JUAL BELI</v>
      </c>
      <c r="H2465" s="41" t="s">
        <v>20</v>
      </c>
      <c r="I2465" s="49" t="s">
        <v>23</v>
      </c>
      <c r="J2465" s="36">
        <f t="shared" si="20"/>
        <v>45818.62721</v>
      </c>
      <c r="K2465" s="49" t="s">
        <v>2378</v>
      </c>
      <c r="L2465" s="49" t="s">
        <v>23</v>
      </c>
      <c r="M2465" s="36">
        <f t="shared" si="26"/>
        <v>45818.64069</v>
      </c>
      <c r="N2465" s="30" t="str">
        <f t="shared" si="27"/>
        <v>Selesai</v>
      </c>
      <c r="O2465" s="45">
        <f t="shared" si="23"/>
        <v>45818.64069</v>
      </c>
      <c r="P2465" s="47" t="b">
        <v>0</v>
      </c>
      <c r="Q2465" s="36" t="str">
        <f t="shared" si="24"/>
        <v/>
      </c>
      <c r="R2465" s="47" t="b">
        <v>0</v>
      </c>
      <c r="S2465" s="42" t="str">
        <f t="shared" si="28"/>
        <v/>
      </c>
      <c r="T2465" s="42"/>
    </row>
    <row r="2466" ht="22.5" customHeight="1">
      <c r="B2466" s="42">
        <f t="shared" si="7"/>
        <v>2460</v>
      </c>
      <c r="C2466" s="31" t="s">
        <v>2542</v>
      </c>
      <c r="D2466" s="34" t="str">
        <f t="array" ref="D2466">IFNA(_xlfn.XLOOKUP(C2466,Table_Tarikan_Warkah[Nomor Sertipikat],Table_Tarikan_Warkah[Nomor Tiket]),"")</f>
        <v>K/40/210525/1</v>
      </c>
      <c r="E2466" s="36">
        <f t="array" ref="E2466">IFNA(_xlfn.XLOOKUP(D2466,Table_Tarikan_Warkah[Nomor Tiket],Table_Tarikan_Warkah[Tanggal diserahkan kepada Validator]),"")</f>
        <v>45825.67715</v>
      </c>
      <c r="F2466" s="36" t="str">
        <f t="array" ref="F2466">IFNA(_xlfn.XLOOKUP(D2466,Table_Tarikan_Warkah[Nomor Tiket],Table_Tarikan_Warkah[Nama Petugas Warkah]),"")</f>
        <v>David</v>
      </c>
      <c r="G2466" s="39" t="str">
        <f t="array" ref="G2466">IFNA(_xlfn.XLOOKUP(D2466,Table_Tarikan_Warkah[Nomor Tiket],Table_Tarikan_Warkah[Jenis Permohonan]),"")</f>
        <v>ROYA</v>
      </c>
      <c r="H2466" s="41" t="s">
        <v>20</v>
      </c>
      <c r="I2466" s="49" t="s">
        <v>23</v>
      </c>
      <c r="J2466" s="36">
        <f t="shared" si="20"/>
        <v>45818.62721</v>
      </c>
      <c r="K2466" s="49" t="s">
        <v>2378</v>
      </c>
      <c r="L2466" s="49" t="s">
        <v>23</v>
      </c>
      <c r="M2466" s="36">
        <f t="shared" si="26"/>
        <v>45818.64009</v>
      </c>
      <c r="N2466" s="30" t="str">
        <f t="shared" si="27"/>
        <v>Selesai</v>
      </c>
      <c r="O2466" s="45">
        <f t="shared" si="23"/>
        <v>45818.64009</v>
      </c>
      <c r="P2466" s="47" t="b">
        <v>0</v>
      </c>
      <c r="Q2466" s="36" t="str">
        <f t="shared" si="24"/>
        <v/>
      </c>
      <c r="R2466" s="47" t="b">
        <v>0</v>
      </c>
      <c r="S2466" s="42" t="str">
        <f t="shared" si="28"/>
        <v/>
      </c>
      <c r="T2466" s="42"/>
    </row>
    <row r="2467" ht="22.5" customHeight="1">
      <c r="B2467" s="42">
        <f t="shared" si="7"/>
        <v>2461</v>
      </c>
      <c r="C2467" s="31" t="s">
        <v>2543</v>
      </c>
      <c r="D2467" s="34" t="str">
        <f t="array" ref="D2467">IFNA(_xlfn.XLOOKUP(C2467,Table_Tarikan_Warkah[Nomor Sertipikat],Table_Tarikan_Warkah[Nomor Tiket]),"")</f>
        <v>K/8/200525/1</v>
      </c>
      <c r="E2467" s="36">
        <f t="array" ref="E2467">IFNA(_xlfn.XLOOKUP(D2467,Table_Tarikan_Warkah[Nomor Tiket],Table_Tarikan_Warkah[Tanggal diserahkan kepada Validator]),"")</f>
        <v>45833.66312</v>
      </c>
      <c r="F2467" s="36" t="str">
        <f t="array" ref="F2467">IFNA(_xlfn.XLOOKUP(D2467,Table_Tarikan_Warkah[Nomor Tiket],Table_Tarikan_Warkah[Nama Petugas Warkah]),"")</f>
        <v>David</v>
      </c>
      <c r="G2467" s="39" t="str">
        <f t="array" ref="G2467">IFNA(_xlfn.XLOOKUP(D2467,Table_Tarikan_Warkah[Nomor Tiket],Table_Tarikan_Warkah[Jenis Permohonan]),"")</f>
        <v>GANTI NAMA HT</v>
      </c>
      <c r="H2467" s="41" t="s">
        <v>20</v>
      </c>
      <c r="I2467" s="49" t="s">
        <v>23</v>
      </c>
      <c r="J2467" s="36">
        <f t="shared" si="20"/>
        <v>45818.62721</v>
      </c>
      <c r="K2467" s="49" t="s">
        <v>2378</v>
      </c>
      <c r="L2467" s="49" t="s">
        <v>23</v>
      </c>
      <c r="M2467" s="36">
        <f t="shared" si="26"/>
        <v>45818.63981</v>
      </c>
      <c r="N2467" s="30" t="str">
        <f t="shared" si="27"/>
        <v>Selesai</v>
      </c>
      <c r="O2467" s="45">
        <f t="shared" si="23"/>
        <v>45818.63981</v>
      </c>
      <c r="P2467" s="47" t="b">
        <v>0</v>
      </c>
      <c r="Q2467" s="36" t="str">
        <f t="shared" si="24"/>
        <v/>
      </c>
      <c r="R2467" s="47" t="b">
        <v>0</v>
      </c>
      <c r="S2467" s="42" t="str">
        <f t="shared" si="28"/>
        <v/>
      </c>
      <c r="T2467" s="42"/>
    </row>
    <row r="2468" ht="22.5" customHeight="1">
      <c r="B2468" s="42">
        <f t="shared" si="7"/>
        <v>2462</v>
      </c>
      <c r="C2468" s="31" t="s">
        <v>2544</v>
      </c>
      <c r="D2468" s="34" t="str">
        <f t="array" ref="D2468">IFNA(_xlfn.XLOOKUP(C2468,Table_Tarikan_Warkah[Nomor Sertipikat],Table_Tarikan_Warkah[Nomor Tiket]),"")</f>
        <v>K/35/210525/2</v>
      </c>
      <c r="E2468" s="36">
        <f t="array" ref="E2468">IFNA(_xlfn.XLOOKUP(D2468,Table_Tarikan_Warkah[Nomor Tiket],Table_Tarikan_Warkah[Tanggal diserahkan kepada Validator]),"")</f>
        <v>45819.79832</v>
      </c>
      <c r="F2468" s="36" t="str">
        <f t="array" ref="F2468">IFNA(_xlfn.XLOOKUP(D2468,Table_Tarikan_Warkah[Nomor Tiket],Table_Tarikan_Warkah[Nama Petugas Warkah]),"")</f>
        <v>Berry</v>
      </c>
      <c r="G2468" s="39" t="str">
        <f t="array" ref="G2468">IFNA(_xlfn.XLOOKUP(D2468,Table_Tarikan_Warkah[Nomor Tiket],Table_Tarikan_Warkah[Jenis Permohonan]),"")</f>
        <v>BN Jual Beli</v>
      </c>
      <c r="H2468" s="41" t="s">
        <v>20</v>
      </c>
      <c r="I2468" s="49" t="s">
        <v>23</v>
      </c>
      <c r="J2468" s="36">
        <f t="shared" si="20"/>
        <v>45818.62721</v>
      </c>
      <c r="K2468" s="49" t="s">
        <v>2378</v>
      </c>
      <c r="L2468" s="49" t="s">
        <v>23</v>
      </c>
      <c r="M2468" s="36">
        <f t="shared" si="26"/>
        <v>45818.64136</v>
      </c>
      <c r="N2468" s="30" t="str">
        <f t="shared" si="27"/>
        <v>Selesai</v>
      </c>
      <c r="O2468" s="45">
        <f t="shared" si="23"/>
        <v>45818.64136</v>
      </c>
      <c r="P2468" s="47" t="b">
        <v>0</v>
      </c>
      <c r="Q2468" s="36" t="str">
        <f t="shared" si="24"/>
        <v/>
      </c>
      <c r="R2468" s="47" t="b">
        <v>0</v>
      </c>
      <c r="S2468" s="42" t="str">
        <f t="shared" si="28"/>
        <v/>
      </c>
      <c r="T2468" s="42"/>
    </row>
    <row r="2469" ht="22.5" customHeight="1">
      <c r="B2469" s="42">
        <f t="shared" si="7"/>
        <v>2463</v>
      </c>
      <c r="C2469" s="31" t="s">
        <v>2545</v>
      </c>
      <c r="D2469" s="34" t="str">
        <f t="array" ref="D2469">IFNA(_xlfn.XLOOKUP(C2469,Table_Tarikan_Warkah[Nomor Sertipikat],Table_Tarikan_Warkah[Nomor Tiket]),"")</f>
        <v>K/30/220525/1</v>
      </c>
      <c r="E2469" s="36">
        <f t="array" ref="E2469">IFNA(_xlfn.XLOOKUP(D2469,Table_Tarikan_Warkah[Nomor Tiket],Table_Tarikan_Warkah[Tanggal diserahkan kepada Validator]),"")</f>
        <v>45824.46441</v>
      </c>
      <c r="F2469" s="36" t="str">
        <f t="array" ref="F2469">IFNA(_xlfn.XLOOKUP(D2469,Table_Tarikan_Warkah[Nomor Tiket],Table_Tarikan_Warkah[Nama Petugas Warkah]),"")</f>
        <v>Berry</v>
      </c>
      <c r="G2469" s="39" t="str">
        <f t="array" ref="G2469">IFNA(_xlfn.XLOOKUP(D2469,Table_Tarikan_Warkah[Nomor Tiket],Table_Tarikan_Warkah[Jenis Permohonan]),"")</f>
        <v>BN JUAL BELI</v>
      </c>
      <c r="H2469" s="41" t="s">
        <v>20</v>
      </c>
      <c r="I2469" s="49" t="s">
        <v>23</v>
      </c>
      <c r="J2469" s="36">
        <f t="shared" si="20"/>
        <v>45819.56238</v>
      </c>
      <c r="K2469" s="49" t="s">
        <v>2378</v>
      </c>
      <c r="L2469" s="49" t="s">
        <v>23</v>
      </c>
      <c r="M2469" s="36">
        <f t="shared" si="26"/>
        <v>45820.47277</v>
      </c>
      <c r="N2469" s="30" t="str">
        <f t="shared" si="27"/>
        <v>Selesai</v>
      </c>
      <c r="O2469" s="45">
        <f t="shared" si="23"/>
        <v>45820.47277</v>
      </c>
      <c r="P2469" s="47" t="b">
        <v>0</v>
      </c>
      <c r="Q2469" s="36" t="str">
        <f t="shared" si="24"/>
        <v/>
      </c>
      <c r="R2469" s="47" t="b">
        <v>0</v>
      </c>
      <c r="S2469" s="42" t="str">
        <f t="shared" si="28"/>
        <v/>
      </c>
      <c r="T2469" s="42"/>
    </row>
    <row r="2470" ht="22.5" customHeight="1">
      <c r="B2470" s="42">
        <f t="shared" si="7"/>
        <v>2464</v>
      </c>
      <c r="C2470" s="31" t="s">
        <v>2546</v>
      </c>
      <c r="D2470" s="34" t="str">
        <f t="array" ref="D2470">IFNA(_xlfn.XLOOKUP(C2470,Table_Tarikan_Warkah[Nomor Sertipikat],Table_Tarikan_Warkah[Nomor Tiket]),"")</f>
        <v>K/42/030625/2</v>
      </c>
      <c r="E2470" s="36">
        <f t="array" ref="E2470">IFNA(_xlfn.XLOOKUP(D2470,Table_Tarikan_Warkah[Nomor Tiket],Table_Tarikan_Warkah[Tanggal diserahkan kepada Validator]),"")</f>
        <v>45824.46709</v>
      </c>
      <c r="F2470" s="36" t="str">
        <f t="array" ref="F2470">IFNA(_xlfn.XLOOKUP(D2470,Table_Tarikan_Warkah[Nomor Tiket],Table_Tarikan_Warkah[Nama Petugas Warkah]),"")</f>
        <v>Berry</v>
      </c>
      <c r="G2470" s="39" t="str">
        <f t="array" ref="G2470">IFNA(_xlfn.XLOOKUP(D2470,Table_Tarikan_Warkah[Nomor Tiket],Table_Tarikan_Warkah[Jenis Permohonan]),"")</f>
        <v>JUAL BELI</v>
      </c>
      <c r="H2470" s="41" t="s">
        <v>20</v>
      </c>
      <c r="I2470" s="49" t="s">
        <v>23</v>
      </c>
      <c r="J2470" s="36">
        <f t="shared" si="20"/>
        <v>45819.56249</v>
      </c>
      <c r="K2470" s="49" t="s">
        <v>2378</v>
      </c>
      <c r="L2470" s="49" t="s">
        <v>23</v>
      </c>
      <c r="M2470" s="36">
        <f t="shared" si="26"/>
        <v>45820.47307</v>
      </c>
      <c r="N2470" s="30" t="str">
        <f t="shared" si="27"/>
        <v>Selesai</v>
      </c>
      <c r="O2470" s="45">
        <f t="shared" si="23"/>
        <v>45820.47307</v>
      </c>
      <c r="P2470" s="47" t="b">
        <v>0</v>
      </c>
      <c r="Q2470" s="36" t="str">
        <f t="shared" si="24"/>
        <v/>
      </c>
      <c r="R2470" s="47" t="b">
        <v>0</v>
      </c>
      <c r="S2470" s="42" t="str">
        <f t="shared" si="28"/>
        <v/>
      </c>
      <c r="T2470" s="42"/>
    </row>
    <row r="2471" ht="22.5" customHeight="1">
      <c r="B2471" s="42">
        <f t="shared" si="7"/>
        <v>2465</v>
      </c>
      <c r="C2471" s="31" t="s">
        <v>2547</v>
      </c>
      <c r="D2471" s="34" t="str">
        <f t="array" ref="D2471">IFNA(_xlfn.XLOOKUP(C2471,Table_Tarikan_Warkah[Nomor Sertipikat],Table_Tarikan_Warkah[Nomor Tiket]),"")</f>
        <v>K/34/020625/1</v>
      </c>
      <c r="E2471" s="36">
        <f t="array" ref="E2471">IFNA(_xlfn.XLOOKUP(D2471,Table_Tarikan_Warkah[Nomor Tiket],Table_Tarikan_Warkah[Tanggal diserahkan kepada Validator]),"")</f>
        <v>45860.68659</v>
      </c>
      <c r="F2471" s="36" t="str">
        <f t="array" ref="F2471">IFNA(_xlfn.XLOOKUP(D2471,Table_Tarikan_Warkah[Nomor Tiket],Table_Tarikan_Warkah[Nama Petugas Warkah]),"")</f>
        <v>David</v>
      </c>
      <c r="G2471" s="39" t="str">
        <f t="array" ref="G2471">IFNA(_xlfn.XLOOKUP(D2471,Table_Tarikan_Warkah[Nomor Tiket],Table_Tarikan_Warkah[Jenis Permohonan]),"")</f>
        <v>ROYA</v>
      </c>
      <c r="H2471" s="41" t="s">
        <v>20</v>
      </c>
      <c r="I2471" s="49" t="s">
        <v>23</v>
      </c>
      <c r="J2471" s="36">
        <f t="shared" si="20"/>
        <v>45819.56258</v>
      </c>
      <c r="K2471" s="49" t="s">
        <v>2378</v>
      </c>
      <c r="L2471" s="49" t="s">
        <v>23</v>
      </c>
      <c r="M2471" s="36">
        <f t="shared" si="26"/>
        <v>45820.47313</v>
      </c>
      <c r="N2471" s="30" t="str">
        <f t="shared" si="27"/>
        <v>Selesai</v>
      </c>
      <c r="O2471" s="45">
        <f t="shared" si="23"/>
        <v>45820.47313</v>
      </c>
      <c r="P2471" s="47" t="b">
        <v>0</v>
      </c>
      <c r="Q2471" s="36" t="str">
        <f t="shared" si="24"/>
        <v/>
      </c>
      <c r="R2471" s="47" t="b">
        <v>0</v>
      </c>
      <c r="S2471" s="42" t="str">
        <f t="shared" si="28"/>
        <v/>
      </c>
      <c r="T2471" s="42"/>
    </row>
    <row r="2472" ht="22.5" customHeight="1">
      <c r="B2472" s="42">
        <f t="shared" si="7"/>
        <v>2466</v>
      </c>
      <c r="C2472" s="31" t="s">
        <v>2548</v>
      </c>
      <c r="D2472" s="34" t="str">
        <f t="array" ref="D2472">IFNA(_xlfn.XLOOKUP(C2472,Table_Tarikan_Warkah[Nomor Sertipikat],Table_Tarikan_Warkah[Nomor Tiket]),"")</f>
        <v>K/40/190525/2</v>
      </c>
      <c r="E2472" s="36">
        <f t="array" ref="E2472">IFNA(_xlfn.XLOOKUP(D2472,Table_Tarikan_Warkah[Nomor Tiket],Table_Tarikan_Warkah[Tanggal diserahkan kepada Validator]),"")</f>
        <v>45824.46967</v>
      </c>
      <c r="F2472" s="36" t="str">
        <f t="array" ref="F2472">IFNA(_xlfn.XLOOKUP(D2472,Table_Tarikan_Warkah[Nomor Tiket],Table_Tarikan_Warkah[Nama Petugas Warkah]),"")</f>
        <v>Berry</v>
      </c>
      <c r="G2472" s="39" t="str">
        <f t="array" ref="G2472">IFNA(_xlfn.XLOOKUP(D2472,Table_Tarikan_Warkah[Nomor Tiket],Table_Tarikan_Warkah[Jenis Permohonan]),"")</f>
        <v>JUAL BELI</v>
      </c>
      <c r="H2472" s="41" t="s">
        <v>20</v>
      </c>
      <c r="I2472" s="49" t="s">
        <v>23</v>
      </c>
      <c r="J2472" s="36">
        <f t="shared" si="20"/>
        <v>45819.56272</v>
      </c>
      <c r="K2472" s="49" t="s">
        <v>2378</v>
      </c>
      <c r="L2472" s="49" t="s">
        <v>23</v>
      </c>
      <c r="M2472" s="36">
        <f t="shared" si="26"/>
        <v>45820.47335</v>
      </c>
      <c r="N2472" s="30" t="str">
        <f t="shared" si="27"/>
        <v>Selesai</v>
      </c>
      <c r="O2472" s="45">
        <f t="shared" si="23"/>
        <v>45820.47335</v>
      </c>
      <c r="P2472" s="47" t="b">
        <v>0</v>
      </c>
      <c r="Q2472" s="36" t="str">
        <f t="shared" si="24"/>
        <v/>
      </c>
      <c r="R2472" s="47" t="b">
        <v>0</v>
      </c>
      <c r="S2472" s="42" t="str">
        <f t="shared" si="28"/>
        <v/>
      </c>
      <c r="T2472" s="42"/>
    </row>
    <row r="2473" ht="22.5" customHeight="1">
      <c r="B2473" s="42">
        <f t="shared" si="7"/>
        <v>2467</v>
      </c>
      <c r="C2473" s="31" t="s">
        <v>2549</v>
      </c>
      <c r="D2473" s="34" t="str">
        <f t="array" ref="D2473">IFNA(_xlfn.XLOOKUP(C2473,Table_Tarikan_Warkah[Nomor Sertipikat],Table_Tarikan_Warkah[Nomor Tiket]),"")</f>
        <v>K/52/040625/1</v>
      </c>
      <c r="E2473" s="36">
        <f t="array" ref="E2473">IFNA(_xlfn.XLOOKUP(D2473,Table_Tarikan_Warkah[Nomor Tiket],Table_Tarikan_Warkah[Tanggal diserahkan kepada Validator]),"")</f>
        <v>45824.47019</v>
      </c>
      <c r="F2473" s="36" t="str">
        <f t="array" ref="F2473">IFNA(_xlfn.XLOOKUP(D2473,Table_Tarikan_Warkah[Nomor Tiket],Table_Tarikan_Warkah[Nama Petugas Warkah]),"")</f>
        <v>Berry</v>
      </c>
      <c r="G2473" s="39" t="str">
        <f t="array" ref="G2473">IFNA(_xlfn.XLOOKUP(D2473,Table_Tarikan_Warkah[Nomor Tiket],Table_Tarikan_Warkah[Jenis Permohonan]),"")</f>
        <v>ROYA</v>
      </c>
      <c r="H2473" s="41" t="s">
        <v>20</v>
      </c>
      <c r="I2473" s="49" t="s">
        <v>23</v>
      </c>
      <c r="J2473" s="36">
        <f t="shared" si="20"/>
        <v>45819.56285</v>
      </c>
      <c r="K2473" s="49" t="s">
        <v>2378</v>
      </c>
      <c r="L2473" s="49" t="s">
        <v>23</v>
      </c>
      <c r="M2473" s="36">
        <f t="shared" si="26"/>
        <v>45820.47349</v>
      </c>
      <c r="N2473" s="30" t="str">
        <f t="shared" si="27"/>
        <v>Selesai</v>
      </c>
      <c r="O2473" s="45">
        <f t="shared" si="23"/>
        <v>45820.47349</v>
      </c>
      <c r="P2473" s="47" t="b">
        <v>0</v>
      </c>
      <c r="Q2473" s="36" t="str">
        <f t="shared" si="24"/>
        <v/>
      </c>
      <c r="R2473" s="47" t="b">
        <v>0</v>
      </c>
      <c r="S2473" s="42" t="str">
        <f t="shared" si="28"/>
        <v/>
      </c>
      <c r="T2473" s="42"/>
    </row>
    <row r="2474" ht="22.5" customHeight="1">
      <c r="B2474" s="42">
        <f t="shared" si="7"/>
        <v>2468</v>
      </c>
      <c r="C2474" s="31" t="s">
        <v>2550</v>
      </c>
      <c r="D2474" s="34" t="str">
        <f t="array" ref="D2474">IFNA(_xlfn.XLOOKUP(C2474,Table_Tarikan_Warkah[Nomor Sertipikat],Table_Tarikan_Warkah[Nomor Tiket]),"")</f>
        <v>K/9/240325/3</v>
      </c>
      <c r="E2474" s="36" t="str">
        <f t="array" ref="E2474">IFNA(_xlfn.XLOOKUP(D2474,Table_Tarikan_Warkah[Nomor Tiket],Table_Tarikan_Warkah[Tanggal diserahkan kepada Validator]),"")</f>
        <v/>
      </c>
      <c r="F2474" s="36" t="str">
        <f t="array" ref="F2474">IFNA(_xlfn.XLOOKUP(D2474,Table_Tarikan_Warkah[Nomor Tiket],Table_Tarikan_Warkah[Nama Petugas Warkah]),"")</f>
        <v/>
      </c>
      <c r="G2474" s="39" t="str">
        <f t="array" ref="G2474">IFNA(_xlfn.XLOOKUP(D2474,Table_Tarikan_Warkah[Nomor Tiket],Table_Tarikan_Warkah[Jenis Permohonan]),"")</f>
        <v>PTPGT (Pemecahan)</v>
      </c>
      <c r="H2474" s="41" t="s">
        <v>20</v>
      </c>
      <c r="I2474" s="49" t="s">
        <v>23</v>
      </c>
      <c r="J2474" s="36">
        <f t="shared" si="20"/>
        <v>45819.56304</v>
      </c>
      <c r="K2474" s="49" t="s">
        <v>2378</v>
      </c>
      <c r="L2474" s="49" t="s">
        <v>23</v>
      </c>
      <c r="M2474" s="36">
        <f t="shared" si="26"/>
        <v>45820.47233</v>
      </c>
      <c r="N2474" s="30" t="str">
        <f t="shared" si="27"/>
        <v>Selesai</v>
      </c>
      <c r="O2474" s="45">
        <f t="shared" si="23"/>
        <v>45820.47233</v>
      </c>
      <c r="P2474" s="47" t="b">
        <v>0</v>
      </c>
      <c r="Q2474" s="36" t="str">
        <f t="shared" si="24"/>
        <v/>
      </c>
      <c r="R2474" s="47" t="b">
        <v>0</v>
      </c>
      <c r="S2474" s="42" t="str">
        <f t="shared" si="28"/>
        <v/>
      </c>
      <c r="T2474" s="42"/>
    </row>
    <row r="2475" ht="22.5" customHeight="1">
      <c r="B2475" s="42">
        <f t="shared" si="7"/>
        <v>2469</v>
      </c>
      <c r="C2475" s="31" t="s">
        <v>2551</v>
      </c>
      <c r="D2475" s="42" t="s">
        <v>2552</v>
      </c>
      <c r="E2475" s="36">
        <f t="array" ref="E2475">IFNA(_xlfn.XLOOKUP(D2475,Table_Tarikan_Warkah[Nomor Tiket],Table_Tarikan_Warkah[Tanggal diserahkan kepada Validator]),"")</f>
        <v>45824.47142</v>
      </c>
      <c r="F2475" s="36" t="str">
        <f t="array" ref="F2475">IFNA(_xlfn.XLOOKUP(D2475,Table_Tarikan_Warkah[Nomor Tiket],Table_Tarikan_Warkah[Nama Petugas Warkah]),"")</f>
        <v>Berry</v>
      </c>
      <c r="G2475" s="39" t="str">
        <f t="array" ref="G2475">IFNA(_xlfn.XLOOKUP(D2475,Table_Tarikan_Warkah[Nomor Tiket],Table_Tarikan_Warkah[Jenis Permohonan]),"")</f>
        <v>JUAL BELI</v>
      </c>
      <c r="H2475" s="41" t="s">
        <v>20</v>
      </c>
      <c r="I2475" s="49" t="s">
        <v>23</v>
      </c>
      <c r="J2475" s="36">
        <f t="shared" si="20"/>
        <v>45819.56321</v>
      </c>
      <c r="K2475" s="49" t="s">
        <v>2378</v>
      </c>
      <c r="L2475" s="49" t="s">
        <v>23</v>
      </c>
      <c r="M2475" s="36">
        <f t="shared" si="26"/>
        <v>45820.47359</v>
      </c>
      <c r="N2475" s="30" t="str">
        <f t="shared" si="27"/>
        <v>Selesai</v>
      </c>
      <c r="O2475" s="45">
        <f t="shared" si="23"/>
        <v>45820.47359</v>
      </c>
      <c r="P2475" s="47" t="b">
        <v>0</v>
      </c>
      <c r="Q2475" s="36" t="str">
        <f t="shared" si="24"/>
        <v/>
      </c>
      <c r="R2475" s="47" t="b">
        <v>0</v>
      </c>
      <c r="S2475" s="42" t="str">
        <f t="shared" si="28"/>
        <v/>
      </c>
      <c r="T2475" s="42"/>
    </row>
    <row r="2476" ht="22.5" customHeight="1">
      <c r="B2476" s="42">
        <f t="shared" si="7"/>
        <v>2470</v>
      </c>
      <c r="C2476" s="31" t="s">
        <v>2553</v>
      </c>
      <c r="D2476" s="34" t="str">
        <f t="array" ref="D2476">IFNA(_xlfn.XLOOKUP(C2476,Table_Tarikan_Warkah[Nomor Sertipikat],Table_Tarikan_Warkah[Nomor Tiket]),"")</f>
        <v>K/28/200525/1</v>
      </c>
      <c r="E2476" s="36">
        <f t="array" ref="E2476">IFNA(_xlfn.XLOOKUP(D2476,Table_Tarikan_Warkah[Nomor Tiket],Table_Tarikan_Warkah[Tanggal diserahkan kepada Validator]),"")</f>
        <v>45824.47192</v>
      </c>
      <c r="F2476" s="36" t="str">
        <f t="array" ref="F2476">IFNA(_xlfn.XLOOKUP(D2476,Table_Tarikan_Warkah[Nomor Tiket],Table_Tarikan_Warkah[Nama Petugas Warkah]),"")</f>
        <v>Berry</v>
      </c>
      <c r="G2476" s="39" t="str">
        <f t="array" ref="G2476">IFNA(_xlfn.XLOOKUP(D2476,Table_Tarikan_Warkah[Nomor Tiket],Table_Tarikan_Warkah[Jenis Permohonan]),"")</f>
        <v>LELANG</v>
      </c>
      <c r="H2476" s="41" t="s">
        <v>20</v>
      </c>
      <c r="I2476" s="49" t="s">
        <v>23</v>
      </c>
      <c r="J2476" s="36">
        <f t="shared" si="20"/>
        <v>45819.56355</v>
      </c>
      <c r="K2476" s="49" t="s">
        <v>2378</v>
      </c>
      <c r="L2476" s="49" t="s">
        <v>23</v>
      </c>
      <c r="M2476" s="36">
        <f t="shared" si="26"/>
        <v>45820.47361</v>
      </c>
      <c r="N2476" s="30" t="str">
        <f t="shared" si="27"/>
        <v>Selesai</v>
      </c>
      <c r="O2476" s="45">
        <f t="shared" si="23"/>
        <v>45820.47361</v>
      </c>
      <c r="P2476" s="47" t="b">
        <v>0</v>
      </c>
      <c r="Q2476" s="36" t="str">
        <f t="shared" si="24"/>
        <v/>
      </c>
      <c r="R2476" s="47" t="b">
        <v>0</v>
      </c>
      <c r="S2476" s="42" t="str">
        <f t="shared" si="28"/>
        <v/>
      </c>
      <c r="T2476" s="42"/>
    </row>
    <row r="2477" ht="22.5" customHeight="1">
      <c r="B2477" s="42">
        <f t="shared" si="7"/>
        <v>2471</v>
      </c>
      <c r="C2477" s="31" t="s">
        <v>2554</v>
      </c>
      <c r="D2477" s="34" t="str">
        <f t="array" ref="D2477">IFNA(_xlfn.XLOOKUP(C2477,Table_Tarikan_Warkah[Nomor Sertipikat],Table_Tarikan_Warkah[Nomor Tiket]),"")</f>
        <v>K/3/140525/1</v>
      </c>
      <c r="E2477" s="36">
        <f t="array" ref="E2477">IFNA(_xlfn.XLOOKUP(D2477,Table_Tarikan_Warkah[Nomor Tiket],Table_Tarikan_Warkah[Tanggal diserahkan kepada Validator]),"")</f>
        <v>45825.55597</v>
      </c>
      <c r="F2477" s="36" t="str">
        <f t="array" ref="F2477">IFNA(_xlfn.XLOOKUP(D2477,Table_Tarikan_Warkah[Nomor Tiket],Table_Tarikan_Warkah[Nama Petugas Warkah]),"")</f>
        <v>Berry</v>
      </c>
      <c r="G2477" s="39" t="str">
        <f t="array" ref="G2477">IFNA(_xlfn.XLOOKUP(D2477,Table_Tarikan_Warkah[Nomor Tiket],Table_Tarikan_Warkah[Jenis Permohonan]),"")</f>
        <v>BN Jual Beli</v>
      </c>
      <c r="H2477" s="41" t="s">
        <v>20</v>
      </c>
      <c r="I2477" s="49" t="s">
        <v>23</v>
      </c>
      <c r="J2477" s="36">
        <f t="shared" si="20"/>
        <v>45819.5637</v>
      </c>
      <c r="K2477" s="49" t="s">
        <v>2378</v>
      </c>
      <c r="L2477" s="49" t="s">
        <v>23</v>
      </c>
      <c r="M2477" s="36">
        <f t="shared" si="26"/>
        <v>45820.47368</v>
      </c>
      <c r="N2477" s="30" t="str">
        <f t="shared" si="27"/>
        <v>Selesai</v>
      </c>
      <c r="O2477" s="45">
        <f t="shared" si="23"/>
        <v>45820.47368</v>
      </c>
      <c r="P2477" s="47" t="b">
        <v>0</v>
      </c>
      <c r="Q2477" s="36" t="str">
        <f t="shared" si="24"/>
        <v/>
      </c>
      <c r="R2477" s="47" t="b">
        <v>0</v>
      </c>
      <c r="S2477" s="42" t="str">
        <f t="shared" si="28"/>
        <v/>
      </c>
      <c r="T2477" s="42"/>
    </row>
    <row r="2478" ht="22.5" customHeight="1">
      <c r="B2478" s="42">
        <f t="shared" si="7"/>
        <v>2472</v>
      </c>
      <c r="C2478" s="31" t="s">
        <v>2555</v>
      </c>
      <c r="D2478" s="34" t="str">
        <f t="array" ref="D2478">IFNA(_xlfn.XLOOKUP(C2478,Table_Tarikan_Warkah[Nomor Sertipikat],Table_Tarikan_Warkah[Nomor Tiket]),"")</f>
        <v>K/28/150525/1</v>
      </c>
      <c r="E2478" s="36">
        <f t="array" ref="E2478">IFNA(_xlfn.XLOOKUP(D2478,Table_Tarikan_Warkah[Nomor Tiket],Table_Tarikan_Warkah[Tanggal diserahkan kepada Validator]),"")</f>
        <v>45824.46585</v>
      </c>
      <c r="F2478" s="36" t="str">
        <f t="array" ref="F2478">IFNA(_xlfn.XLOOKUP(D2478,Table_Tarikan_Warkah[Nomor Tiket],Table_Tarikan_Warkah[Nama Petugas Warkah]),"")</f>
        <v>Berry</v>
      </c>
      <c r="G2478" s="39" t="str">
        <f t="array" ref="G2478">IFNA(_xlfn.XLOOKUP(D2478,Table_Tarikan_Warkah[Nomor Tiket],Table_Tarikan_Warkah[Jenis Permohonan]),"")</f>
        <v>BN JUAL BELI</v>
      </c>
      <c r="H2478" s="41" t="s">
        <v>20</v>
      </c>
      <c r="I2478" s="49" t="s">
        <v>23</v>
      </c>
      <c r="J2478" s="36">
        <f t="shared" si="20"/>
        <v>45819.56381</v>
      </c>
      <c r="K2478" s="49" t="s">
        <v>2378</v>
      </c>
      <c r="L2478" s="49" t="s">
        <v>23</v>
      </c>
      <c r="M2478" s="36">
        <f t="shared" si="26"/>
        <v>45820.47376</v>
      </c>
      <c r="N2478" s="30" t="str">
        <f t="shared" si="27"/>
        <v>Selesai</v>
      </c>
      <c r="O2478" s="45">
        <f t="shared" si="23"/>
        <v>45820.47376</v>
      </c>
      <c r="P2478" s="47" t="b">
        <v>0</v>
      </c>
      <c r="Q2478" s="36" t="str">
        <f t="shared" si="24"/>
        <v/>
      </c>
      <c r="R2478" s="47" t="b">
        <v>0</v>
      </c>
      <c r="S2478" s="42" t="str">
        <f t="shared" si="28"/>
        <v/>
      </c>
      <c r="T2478" s="42"/>
    </row>
    <row r="2479" ht="22.5" customHeight="1">
      <c r="B2479" s="42">
        <f t="shared" si="7"/>
        <v>2473</v>
      </c>
      <c r="C2479" s="31" t="s">
        <v>2556</v>
      </c>
      <c r="D2479" s="34" t="str">
        <f t="array" ref="D2479">IFNA(_xlfn.XLOOKUP(C2479,Table_Tarikan_Warkah[Nomor Sertipikat],Table_Tarikan_Warkah[Nomor Tiket]),"")</f>
        <v>K/34/140425/1</v>
      </c>
      <c r="E2479" s="36">
        <f t="array" ref="E2479">IFNA(_xlfn.XLOOKUP(D2479,Table_Tarikan_Warkah[Nomor Tiket],Table_Tarikan_Warkah[Tanggal diserahkan kepada Validator]),"")</f>
        <v>45824.46681</v>
      </c>
      <c r="F2479" s="36" t="str">
        <f t="array" ref="F2479">IFNA(_xlfn.XLOOKUP(D2479,Table_Tarikan_Warkah[Nomor Tiket],Table_Tarikan_Warkah[Nama Petugas Warkah]),"")</f>
        <v>Berry</v>
      </c>
      <c r="G2479" s="39" t="str">
        <f t="array" ref="G2479">IFNA(_xlfn.XLOOKUP(D2479,Table_Tarikan_Warkah[Nomor Tiket],Table_Tarikan_Warkah[Jenis Permohonan]),"")</f>
        <v>BN JUAL BELI</v>
      </c>
      <c r="H2479" s="41" t="s">
        <v>20</v>
      </c>
      <c r="I2479" s="49" t="s">
        <v>23</v>
      </c>
      <c r="J2479" s="36">
        <f t="shared" si="20"/>
        <v>45819.56394</v>
      </c>
      <c r="K2479" s="49" t="s">
        <v>2378</v>
      </c>
      <c r="L2479" s="49" t="s">
        <v>23</v>
      </c>
      <c r="M2479" s="36">
        <f t="shared" si="26"/>
        <v>45820.47383</v>
      </c>
      <c r="N2479" s="30" t="str">
        <f t="shared" si="27"/>
        <v>Selesai</v>
      </c>
      <c r="O2479" s="45">
        <f t="shared" si="23"/>
        <v>45820.47383</v>
      </c>
      <c r="P2479" s="47" t="b">
        <v>0</v>
      </c>
      <c r="Q2479" s="36" t="str">
        <f t="shared" si="24"/>
        <v/>
      </c>
      <c r="R2479" s="47" t="b">
        <v>0</v>
      </c>
      <c r="S2479" s="42" t="str">
        <f t="shared" si="28"/>
        <v/>
      </c>
      <c r="T2479" s="42"/>
    </row>
    <row r="2480" ht="22.5" customHeight="1">
      <c r="B2480" s="42">
        <f t="shared" si="7"/>
        <v>2474</v>
      </c>
      <c r="C2480" s="31" t="s">
        <v>2557</v>
      </c>
      <c r="D2480" s="34" t="str">
        <f t="array" ref="D2480">IFNA(_xlfn.XLOOKUP(C2480,Table_Tarikan_Warkah[Nomor Sertipikat],Table_Tarikan_Warkah[Nomor Tiket]),"")</f>
        <v>L/27/260525/1</v>
      </c>
      <c r="E2480" s="36">
        <f t="array" ref="E2480">IFNA(_xlfn.XLOOKUP(D2480,Table_Tarikan_Warkah[Nomor Tiket],Table_Tarikan_Warkah[Tanggal diserahkan kepada Validator]),"")</f>
        <v>45833.67342</v>
      </c>
      <c r="F2480" s="36" t="str">
        <f t="array" ref="F2480">IFNA(_xlfn.XLOOKUP(D2480,Table_Tarikan_Warkah[Nomor Tiket],Table_Tarikan_Warkah[Nama Petugas Warkah]),"")</f>
        <v>David</v>
      </c>
      <c r="G2480" s="39" t="str">
        <f t="array" ref="G2480">IFNA(_xlfn.XLOOKUP(D2480,Table_Tarikan_Warkah[Nomor Tiket],Table_Tarikan_Warkah[Jenis Permohonan]),"")</f>
        <v>ROYA</v>
      </c>
      <c r="H2480" s="41" t="s">
        <v>2315</v>
      </c>
      <c r="I2480" s="49" t="s">
        <v>23</v>
      </c>
      <c r="J2480" s="36">
        <f t="shared" si="20"/>
        <v>45819.61536</v>
      </c>
      <c r="K2480" s="49" t="s">
        <v>2378</v>
      </c>
      <c r="L2480" s="49" t="s">
        <v>23</v>
      </c>
      <c r="M2480" s="36">
        <f t="shared" si="26"/>
        <v>45820.47093</v>
      </c>
      <c r="N2480" s="30" t="str">
        <f t="shared" si="27"/>
        <v>Selesai</v>
      </c>
      <c r="O2480" s="45">
        <f t="shared" si="23"/>
        <v>45820.47093</v>
      </c>
      <c r="P2480" s="47" t="b">
        <v>0</v>
      </c>
      <c r="Q2480" s="36" t="str">
        <f t="shared" si="24"/>
        <v/>
      </c>
      <c r="R2480" s="47" t="b">
        <v>0</v>
      </c>
      <c r="S2480" s="42" t="str">
        <f t="shared" si="28"/>
        <v/>
      </c>
      <c r="T2480" s="42"/>
    </row>
    <row r="2481" ht="22.5" customHeight="1">
      <c r="B2481" s="42">
        <f t="shared" si="7"/>
        <v>2475</v>
      </c>
      <c r="C2481" s="31" t="s">
        <v>2558</v>
      </c>
      <c r="D2481" s="34" t="str">
        <f t="array" ref="D2481">IFNA(_xlfn.XLOOKUP(C2481,Table_Tarikan_Warkah[Nomor Sertipikat],Table_Tarikan_Warkah[Nomor Tiket]),"")</f>
        <v>K/21/260525/1</v>
      </c>
      <c r="E2481" s="36" t="str">
        <f t="array" ref="E2481">IFNA(_xlfn.XLOOKUP(D2481,Table_Tarikan_Warkah[Nomor Tiket],Table_Tarikan_Warkah[Tanggal diserahkan kepada Validator]),"")</f>
        <v/>
      </c>
      <c r="F2481" s="36" t="str">
        <f t="array" ref="F2481">IFNA(_xlfn.XLOOKUP(D2481,Table_Tarikan_Warkah[Nomor Tiket],Table_Tarikan_Warkah[Nama Petugas Warkah]),"")</f>
        <v/>
      </c>
      <c r="G2481" s="39" t="str">
        <f t="array" ref="G2481">IFNA(_xlfn.XLOOKUP(D2481,Table_Tarikan_Warkah[Nomor Tiket],Table_Tarikan_Warkah[Jenis Permohonan]),"")</f>
        <v>ROYA</v>
      </c>
      <c r="H2481" s="41" t="s">
        <v>2315</v>
      </c>
      <c r="I2481" s="49" t="s">
        <v>23</v>
      </c>
      <c r="J2481" s="36">
        <f t="shared" si="20"/>
        <v>45819.61552</v>
      </c>
      <c r="K2481" s="49" t="s">
        <v>2378</v>
      </c>
      <c r="L2481" s="49" t="s">
        <v>23</v>
      </c>
      <c r="M2481" s="36">
        <f t="shared" si="26"/>
        <v>45820.47219</v>
      </c>
      <c r="N2481" s="30" t="str">
        <f t="shared" si="27"/>
        <v>Selesai</v>
      </c>
      <c r="O2481" s="45">
        <f t="shared" si="23"/>
        <v>45820.47219</v>
      </c>
      <c r="P2481" s="47" t="b">
        <v>0</v>
      </c>
      <c r="Q2481" s="36" t="str">
        <f t="shared" si="24"/>
        <v/>
      </c>
      <c r="R2481" s="47" t="b">
        <v>0</v>
      </c>
      <c r="S2481" s="42" t="str">
        <f t="shared" si="28"/>
        <v/>
      </c>
      <c r="T2481" s="42"/>
    </row>
    <row r="2482" ht="22.5" customHeight="1">
      <c r="B2482" s="42">
        <f t="shared" si="7"/>
        <v>2476</v>
      </c>
      <c r="C2482" s="31" t="s">
        <v>2559</v>
      </c>
      <c r="D2482" s="34" t="str">
        <f t="array" ref="D2482">IFNA(_xlfn.XLOOKUP(C2482,Table_Tarikan_Warkah[Nomor Sertipikat],Table_Tarikan_Warkah[Nomor Tiket]),"")</f>
        <v>K/15/210525/1</v>
      </c>
      <c r="E2482" s="36" t="str">
        <f t="array" ref="E2482">IFNA(_xlfn.XLOOKUP(D2482,Table_Tarikan_Warkah[Nomor Tiket],Table_Tarikan_Warkah[Tanggal diserahkan kepada Validator]),"")</f>
        <v/>
      </c>
      <c r="F2482" s="36" t="str">
        <f t="array" ref="F2482">IFNA(_xlfn.XLOOKUP(D2482,Table_Tarikan_Warkah[Nomor Tiket],Table_Tarikan_Warkah[Nama Petugas Warkah]),"")</f>
        <v>Berry</v>
      </c>
      <c r="G2482" s="39" t="str">
        <f t="array" ref="G2482">IFNA(_xlfn.XLOOKUP(D2482,Table_Tarikan_Warkah[Nomor Tiket],Table_Tarikan_Warkah[Jenis Permohonan]),"")</f>
        <v>BN Jual Beli</v>
      </c>
      <c r="H2482" s="41" t="s">
        <v>2315</v>
      </c>
      <c r="I2482" s="49" t="s">
        <v>23</v>
      </c>
      <c r="J2482" s="36">
        <f t="shared" si="20"/>
        <v>45819.61571</v>
      </c>
      <c r="K2482" s="49" t="s">
        <v>2378</v>
      </c>
      <c r="L2482" s="49" t="s">
        <v>23</v>
      </c>
      <c r="M2482" s="36">
        <f t="shared" si="26"/>
        <v>45820.47402</v>
      </c>
      <c r="N2482" s="30" t="str">
        <f t="shared" si="27"/>
        <v>Selesai</v>
      </c>
      <c r="O2482" s="45">
        <f t="shared" si="23"/>
        <v>45820.47402</v>
      </c>
      <c r="P2482" s="47" t="b">
        <v>0</v>
      </c>
      <c r="Q2482" s="36" t="str">
        <f t="shared" si="24"/>
        <v/>
      </c>
      <c r="R2482" s="47" t="b">
        <v>0</v>
      </c>
      <c r="S2482" s="42" t="str">
        <f t="shared" si="28"/>
        <v/>
      </c>
      <c r="T2482" s="42"/>
    </row>
    <row r="2483" ht="22.5" customHeight="1">
      <c r="B2483" s="42">
        <f t="shared" si="7"/>
        <v>2477</v>
      </c>
      <c r="C2483" s="31" t="s">
        <v>2560</v>
      </c>
      <c r="D2483" s="34" t="str">
        <f t="array" ref="D2483">IFNA(_xlfn.XLOOKUP(C2483,Table_Tarikan_Warkah[Nomor Sertipikat],Table_Tarikan_Warkah[Nomor Tiket]),"")</f>
        <v>K/22/200525/2</v>
      </c>
      <c r="E2483" s="36">
        <f t="array" ref="E2483">IFNA(_xlfn.XLOOKUP(D2483,Table_Tarikan_Warkah[Nomor Tiket],Table_Tarikan_Warkah[Tanggal diserahkan kepada Validator]),"")</f>
        <v>45828.52975</v>
      </c>
      <c r="F2483" s="36" t="str">
        <f t="array" ref="F2483">IFNA(_xlfn.XLOOKUP(D2483,Table_Tarikan_Warkah[Nomor Tiket],Table_Tarikan_Warkah[Nama Petugas Warkah]),"")</f>
        <v>Berry</v>
      </c>
      <c r="G2483" s="39" t="str">
        <f t="array" ref="G2483">IFNA(_xlfn.XLOOKUP(D2483,Table_Tarikan_Warkah[Nomor Tiket],Table_Tarikan_Warkah[Jenis Permohonan]),"")</f>
        <v>BN Waris</v>
      </c>
      <c r="H2483" s="41" t="s">
        <v>2315</v>
      </c>
      <c r="I2483" s="49" t="s">
        <v>23</v>
      </c>
      <c r="J2483" s="36">
        <f t="shared" si="20"/>
        <v>45819.6164</v>
      </c>
      <c r="K2483" s="49" t="s">
        <v>2378</v>
      </c>
      <c r="L2483" s="49" t="s">
        <v>23</v>
      </c>
      <c r="M2483" s="36">
        <f t="shared" si="26"/>
        <v>45820.47411</v>
      </c>
      <c r="N2483" s="30" t="str">
        <f t="shared" si="27"/>
        <v>Selesai</v>
      </c>
      <c r="O2483" s="45">
        <f t="shared" si="23"/>
        <v>45820.47411</v>
      </c>
      <c r="P2483" s="47" t="b">
        <v>0</v>
      </c>
      <c r="Q2483" s="36" t="str">
        <f t="shared" si="24"/>
        <v/>
      </c>
      <c r="R2483" s="47" t="b">
        <v>0</v>
      </c>
      <c r="S2483" s="42" t="str">
        <f t="shared" si="28"/>
        <v/>
      </c>
      <c r="T2483" s="42"/>
    </row>
    <row r="2484" ht="22.5" customHeight="1">
      <c r="B2484" s="42">
        <f t="shared" si="7"/>
        <v>2478</v>
      </c>
      <c r="C2484" s="31" t="s">
        <v>2561</v>
      </c>
      <c r="D2484" s="34" t="str">
        <f t="array" ref="D2484">IFNA(_xlfn.XLOOKUP(C2484,Table_Tarikan_Warkah[Nomor Sertipikat],Table_Tarikan_Warkah[Nomor Tiket]),"")</f>
        <v>K/28/050625/1</v>
      </c>
      <c r="E2484" s="36" t="str">
        <f t="array" ref="E2484">IFNA(_xlfn.XLOOKUP(D2484,Table_Tarikan_Warkah[Nomor Tiket],Table_Tarikan_Warkah[Tanggal diserahkan kepada Validator]),"")</f>
        <v/>
      </c>
      <c r="F2484" s="36" t="str">
        <f t="array" ref="F2484">IFNA(_xlfn.XLOOKUP(D2484,Table_Tarikan_Warkah[Nomor Tiket],Table_Tarikan_Warkah[Nama Petugas Warkah]),"")</f>
        <v/>
      </c>
      <c r="G2484" s="39" t="str">
        <f t="array" ref="G2484">IFNA(_xlfn.XLOOKUP(D2484,Table_Tarikan_Warkah[Nomor Tiket],Table_Tarikan_Warkah[Jenis Permohonan]),"")</f>
        <v>SKPT Lelang</v>
      </c>
      <c r="H2484" s="41" t="s">
        <v>2315</v>
      </c>
      <c r="I2484" s="49" t="s">
        <v>23</v>
      </c>
      <c r="J2484" s="36">
        <f t="shared" si="20"/>
        <v>45819.61695</v>
      </c>
      <c r="K2484" s="49" t="s">
        <v>2378</v>
      </c>
      <c r="L2484" s="49" t="s">
        <v>23</v>
      </c>
      <c r="M2484" s="36">
        <f t="shared" si="26"/>
        <v>45820.47195</v>
      </c>
      <c r="N2484" s="30" t="str">
        <f t="shared" si="27"/>
        <v>Selesai</v>
      </c>
      <c r="O2484" s="45">
        <f t="shared" si="23"/>
        <v>45820.47195</v>
      </c>
      <c r="P2484" s="47" t="b">
        <v>0</v>
      </c>
      <c r="Q2484" s="36" t="str">
        <f t="shared" si="24"/>
        <v/>
      </c>
      <c r="R2484" s="47" t="b">
        <v>0</v>
      </c>
      <c r="S2484" s="42" t="str">
        <f t="shared" si="28"/>
        <v/>
      </c>
      <c r="T2484" s="42"/>
    </row>
    <row r="2485" ht="22.5" customHeight="1">
      <c r="B2485" s="42">
        <f t="shared" si="7"/>
        <v>2479</v>
      </c>
      <c r="C2485" s="31" t="s">
        <v>2562</v>
      </c>
      <c r="D2485" s="34" t="str">
        <f t="array" ref="D2485">IFNA(_xlfn.XLOOKUP(C2485,Table_Tarikan_Warkah[Nomor Sertipikat],Table_Tarikan_Warkah[Nomor Tiket]),"")</f>
        <v>K/18/210425/1</v>
      </c>
      <c r="E2485" s="36">
        <f t="array" ref="E2485">IFNA(_xlfn.XLOOKUP(D2485,Table_Tarikan_Warkah[Nomor Tiket],Table_Tarikan_Warkah[Tanggal diserahkan kepada Validator]),"")</f>
        <v>45825.55438</v>
      </c>
      <c r="F2485" s="36" t="str">
        <f t="array" ref="F2485">IFNA(_xlfn.XLOOKUP(D2485,Table_Tarikan_Warkah[Nomor Tiket],Table_Tarikan_Warkah[Nama Petugas Warkah]),"")</f>
        <v>Berry</v>
      </c>
      <c r="G2485" s="39" t="str">
        <f t="array" ref="G2485">IFNA(_xlfn.XLOOKUP(D2485,Table_Tarikan_Warkah[Nomor Tiket],Table_Tarikan_Warkah[Jenis Permohonan]),"")</f>
        <v>BN Jual Beli</v>
      </c>
      <c r="H2485" s="41" t="s">
        <v>2315</v>
      </c>
      <c r="I2485" s="49" t="s">
        <v>23</v>
      </c>
      <c r="J2485" s="36">
        <f t="shared" si="20"/>
        <v>45819.61708</v>
      </c>
      <c r="K2485" s="49" t="s">
        <v>2378</v>
      </c>
      <c r="L2485" s="49" t="s">
        <v>23</v>
      </c>
      <c r="M2485" s="36">
        <f t="shared" si="26"/>
        <v>45820.4742</v>
      </c>
      <c r="N2485" s="30" t="str">
        <f t="shared" si="27"/>
        <v>Selesai</v>
      </c>
      <c r="O2485" s="45">
        <f t="shared" si="23"/>
        <v>45820.4742</v>
      </c>
      <c r="P2485" s="47" t="b">
        <v>0</v>
      </c>
      <c r="Q2485" s="36" t="str">
        <f t="shared" si="24"/>
        <v/>
      </c>
      <c r="R2485" s="47" t="b">
        <v>0</v>
      </c>
      <c r="S2485" s="42" t="str">
        <f t="shared" si="28"/>
        <v/>
      </c>
      <c r="T2485" s="42"/>
    </row>
    <row r="2486" ht="22.5" customHeight="1">
      <c r="B2486" s="42">
        <f t="shared" si="7"/>
        <v>2480</v>
      </c>
      <c r="C2486" s="31" t="s">
        <v>2563</v>
      </c>
      <c r="D2486" s="34" t="str">
        <f t="array" ref="D2486">IFNA(_xlfn.XLOOKUP(C2486,Table_Tarikan_Warkah[Nomor Sertipikat],Table_Tarikan_Warkah[Nomor Tiket]),"")</f>
        <v>K/42/220525/1</v>
      </c>
      <c r="E2486" s="36">
        <f t="array" ref="E2486">IFNA(_xlfn.XLOOKUP(D2486,Table_Tarikan_Warkah[Nomor Tiket],Table_Tarikan_Warkah[Tanggal diserahkan kepada Validator]),"")</f>
        <v>45825.6143</v>
      </c>
      <c r="F2486" s="36" t="str">
        <f t="array" ref="F2486">IFNA(_xlfn.XLOOKUP(D2486,Table_Tarikan_Warkah[Nomor Tiket],Table_Tarikan_Warkah[Nama Petugas Warkah]),"")</f>
        <v>Berry</v>
      </c>
      <c r="G2486" s="39" t="str">
        <f t="array" ref="G2486">IFNA(_xlfn.XLOOKUP(D2486,Table_Tarikan_Warkah[Nomor Tiket],Table_Tarikan_Warkah[Jenis Permohonan]),"")</f>
        <v>Perubahan Hak</v>
      </c>
      <c r="H2486" s="41" t="s">
        <v>2315</v>
      </c>
      <c r="I2486" s="49" t="s">
        <v>23</v>
      </c>
      <c r="J2486" s="36">
        <f t="shared" si="20"/>
        <v>45819.61737</v>
      </c>
      <c r="K2486" s="49" t="s">
        <v>2378</v>
      </c>
      <c r="L2486" s="49" t="s">
        <v>23</v>
      </c>
      <c r="M2486" s="36">
        <f t="shared" si="26"/>
        <v>45820.59947</v>
      </c>
      <c r="N2486" s="30" t="str">
        <f t="shared" si="27"/>
        <v>Selesai</v>
      </c>
      <c r="O2486" s="45">
        <f t="shared" si="23"/>
        <v>45820.59947</v>
      </c>
      <c r="P2486" s="47" t="b">
        <v>0</v>
      </c>
      <c r="Q2486" s="36" t="str">
        <f t="shared" si="24"/>
        <v/>
      </c>
      <c r="R2486" s="47" t="b">
        <v>0</v>
      </c>
      <c r="S2486" s="42" t="str">
        <f t="shared" si="28"/>
        <v/>
      </c>
      <c r="T2486" s="42"/>
    </row>
    <row r="2487" ht="22.5" customHeight="1">
      <c r="B2487" s="42">
        <f t="shared" si="7"/>
        <v>2481</v>
      </c>
      <c r="C2487" s="31" t="s">
        <v>2564</v>
      </c>
      <c r="D2487" s="34" t="str">
        <f t="array" ref="D2487">IFNA(_xlfn.XLOOKUP(C2487,Table_Tarikan_Warkah[Nomor Sertipikat],Table_Tarikan_Warkah[Nomor Tiket]),"")</f>
        <v>K/22/020625/2</v>
      </c>
      <c r="E2487" s="36">
        <f t="array" ref="E2487">IFNA(_xlfn.XLOOKUP(D2487,Table_Tarikan_Warkah[Nomor Tiket],Table_Tarikan_Warkah[Tanggal diserahkan kepada Validator]),"")</f>
        <v>45825.55473</v>
      </c>
      <c r="F2487" s="36" t="str">
        <f t="array" ref="F2487">IFNA(_xlfn.XLOOKUP(D2487,Table_Tarikan_Warkah[Nomor Tiket],Table_Tarikan_Warkah[Nama Petugas Warkah]),"")</f>
        <v>Berry</v>
      </c>
      <c r="G2487" s="39" t="str">
        <f t="array" ref="G2487">IFNA(_xlfn.XLOOKUP(D2487,Table_Tarikan_Warkah[Nomor Tiket],Table_Tarikan_Warkah[Jenis Permohonan]),"")</f>
        <v>BN Jual Beli</v>
      </c>
      <c r="H2487" s="41" t="s">
        <v>2315</v>
      </c>
      <c r="I2487" s="49" t="s">
        <v>23</v>
      </c>
      <c r="J2487" s="36">
        <f t="shared" si="20"/>
        <v>45819.61746</v>
      </c>
      <c r="K2487" s="49" t="s">
        <v>2378</v>
      </c>
      <c r="L2487" s="49" t="s">
        <v>23</v>
      </c>
      <c r="M2487" s="36">
        <f t="shared" si="26"/>
        <v>45820.47428</v>
      </c>
      <c r="N2487" s="30" t="str">
        <f t="shared" si="27"/>
        <v>Selesai</v>
      </c>
      <c r="O2487" s="45">
        <f t="shared" si="23"/>
        <v>45820.47428</v>
      </c>
      <c r="P2487" s="47" t="b">
        <v>0</v>
      </c>
      <c r="Q2487" s="36" t="str">
        <f t="shared" si="24"/>
        <v/>
      </c>
      <c r="R2487" s="47" t="b">
        <v>0</v>
      </c>
      <c r="S2487" s="42" t="str">
        <f t="shared" si="28"/>
        <v/>
      </c>
      <c r="T2487" s="42"/>
    </row>
    <row r="2488" ht="22.5" customHeight="1">
      <c r="B2488" s="42">
        <f t="shared" si="7"/>
        <v>2482</v>
      </c>
      <c r="C2488" s="31" t="s">
        <v>2565</v>
      </c>
      <c r="D2488" s="34" t="str">
        <f t="array" ref="D2488">IFNA(_xlfn.XLOOKUP(C2488,Table_Tarikan_Warkah[Nomor Sertipikat],Table_Tarikan_Warkah[Nomor Tiket]),"")</f>
        <v>K/22/040625/1</v>
      </c>
      <c r="E2488" s="36">
        <f t="array" ref="E2488">IFNA(_xlfn.XLOOKUP(D2488,Table_Tarikan_Warkah[Nomor Tiket],Table_Tarikan_Warkah[Tanggal diserahkan kepada Validator]),"")</f>
        <v>45824.47701</v>
      </c>
      <c r="F2488" s="36" t="str">
        <f t="array" ref="F2488">IFNA(_xlfn.XLOOKUP(D2488,Table_Tarikan_Warkah[Nomor Tiket],Table_Tarikan_Warkah[Nama Petugas Warkah]),"")</f>
        <v>Berry</v>
      </c>
      <c r="G2488" s="39" t="str">
        <f t="array" ref="G2488">IFNA(_xlfn.XLOOKUP(D2488,Table_Tarikan_Warkah[Nomor Tiket],Table_Tarikan_Warkah[Jenis Permohonan]),"")</f>
        <v>BN Waris</v>
      </c>
      <c r="H2488" s="41" t="s">
        <v>2315</v>
      </c>
      <c r="I2488" s="49" t="s">
        <v>23</v>
      </c>
      <c r="J2488" s="36">
        <f t="shared" si="20"/>
        <v>45819.61772</v>
      </c>
      <c r="K2488" s="49" t="s">
        <v>2378</v>
      </c>
      <c r="L2488" s="49" t="s">
        <v>23</v>
      </c>
      <c r="M2488" s="36">
        <f t="shared" si="26"/>
        <v>45819.66595</v>
      </c>
      <c r="N2488" s="30" t="str">
        <f t="shared" si="27"/>
        <v>Selesai</v>
      </c>
      <c r="O2488" s="45">
        <f t="shared" si="23"/>
        <v>45819.66595</v>
      </c>
      <c r="P2488" s="47" t="b">
        <v>0</v>
      </c>
      <c r="Q2488" s="36" t="str">
        <f t="shared" si="24"/>
        <v/>
      </c>
      <c r="R2488" s="47" t="b">
        <v>0</v>
      </c>
      <c r="S2488" s="42" t="str">
        <f t="shared" si="28"/>
        <v/>
      </c>
      <c r="T2488" s="42"/>
    </row>
    <row r="2489" ht="22.5" customHeight="1">
      <c r="B2489" s="42">
        <f t="shared" si="7"/>
        <v>2483</v>
      </c>
      <c r="C2489" s="31" t="s">
        <v>2566</v>
      </c>
      <c r="D2489" s="34" t="str">
        <f t="array" ref="D2489">IFNA(_xlfn.XLOOKUP(C2489,Table_Tarikan_Warkah[Nomor Sertipikat],Table_Tarikan_Warkah[Nomor Tiket]),"")</f>
        <v>K/28/260525/1</v>
      </c>
      <c r="E2489" s="36">
        <f t="array" ref="E2489">IFNA(_xlfn.XLOOKUP(D2489,Table_Tarikan_Warkah[Nomor Tiket],Table_Tarikan_Warkah[Tanggal diserahkan kepada Validator]),"")</f>
        <v>45824.47636</v>
      </c>
      <c r="F2489" s="36" t="str">
        <f t="array" ref="F2489">IFNA(_xlfn.XLOOKUP(D2489,Table_Tarikan_Warkah[Nomor Tiket],Table_Tarikan_Warkah[Nama Petugas Warkah]),"")</f>
        <v>Berry</v>
      </c>
      <c r="G2489" s="39" t="str">
        <f t="array" ref="G2489">IFNA(_xlfn.XLOOKUP(D2489,Table_Tarikan_Warkah[Nomor Tiket],Table_Tarikan_Warkah[Jenis Permohonan]),"")</f>
        <v>BN Jual Beli</v>
      </c>
      <c r="H2489" s="41" t="s">
        <v>2315</v>
      </c>
      <c r="I2489" s="49" t="s">
        <v>23</v>
      </c>
      <c r="J2489" s="36">
        <f t="shared" si="20"/>
        <v>45819.61777</v>
      </c>
      <c r="K2489" s="49" t="s">
        <v>2378</v>
      </c>
      <c r="L2489" s="49" t="s">
        <v>23</v>
      </c>
      <c r="M2489" s="36">
        <f t="shared" si="26"/>
        <v>45819.66555</v>
      </c>
      <c r="N2489" s="30" t="str">
        <f t="shared" si="27"/>
        <v>Selesai</v>
      </c>
      <c r="O2489" s="45">
        <f t="shared" si="23"/>
        <v>45819.66555</v>
      </c>
      <c r="P2489" s="47" t="b">
        <v>0</v>
      </c>
      <c r="Q2489" s="36" t="str">
        <f t="shared" si="24"/>
        <v/>
      </c>
      <c r="R2489" s="47" t="b">
        <v>0</v>
      </c>
      <c r="S2489" s="42" t="str">
        <f t="shared" si="28"/>
        <v/>
      </c>
      <c r="T2489" s="42"/>
    </row>
    <row r="2490" ht="22.5" customHeight="1">
      <c r="B2490" s="42">
        <f t="shared" si="7"/>
        <v>2484</v>
      </c>
      <c r="C2490" s="31" t="s">
        <v>2567</v>
      </c>
      <c r="D2490" s="34" t="str">
        <f t="array" ref="D2490">IFNA(_xlfn.XLOOKUP(C2490,Table_Tarikan_Warkah[Nomor Sertipikat],Table_Tarikan_Warkah[Nomor Tiket]),"")</f>
        <v>K/10/040625/2</v>
      </c>
      <c r="E2490" s="36">
        <f t="array" ref="E2490">IFNA(_xlfn.XLOOKUP(D2490,Table_Tarikan_Warkah[Nomor Tiket],Table_Tarikan_Warkah[Tanggal diserahkan kepada Validator]),"")</f>
        <v>45824.47524</v>
      </c>
      <c r="F2490" s="36" t="str">
        <f t="array" ref="F2490">IFNA(_xlfn.XLOOKUP(D2490,Table_Tarikan_Warkah[Nomor Tiket],Table_Tarikan_Warkah[Nama Petugas Warkah]),"")</f>
        <v>Berry</v>
      </c>
      <c r="G2490" s="39" t="str">
        <f t="array" ref="G2490">IFNA(_xlfn.XLOOKUP(D2490,Table_Tarikan_Warkah[Nomor Tiket],Table_Tarikan_Warkah[Jenis Permohonan]),"")</f>
        <v>BN Jual Beli</v>
      </c>
      <c r="H2490" s="41" t="s">
        <v>2315</v>
      </c>
      <c r="I2490" s="49" t="s">
        <v>23</v>
      </c>
      <c r="J2490" s="36">
        <f t="shared" si="20"/>
        <v>45819.61798</v>
      </c>
      <c r="K2490" s="49" t="s">
        <v>2378</v>
      </c>
      <c r="L2490" s="49" t="s">
        <v>23</v>
      </c>
      <c r="M2490" s="36">
        <f t="shared" si="26"/>
        <v>45819.66536</v>
      </c>
      <c r="N2490" s="30" t="str">
        <f t="shared" si="27"/>
        <v>Selesai</v>
      </c>
      <c r="O2490" s="45">
        <f t="shared" si="23"/>
        <v>45819.66536</v>
      </c>
      <c r="P2490" s="47" t="b">
        <v>0</v>
      </c>
      <c r="Q2490" s="36" t="str">
        <f t="shared" si="24"/>
        <v/>
      </c>
      <c r="R2490" s="47" t="b">
        <v>0</v>
      </c>
      <c r="S2490" s="42" t="str">
        <f t="shared" si="28"/>
        <v/>
      </c>
      <c r="T2490" s="42"/>
    </row>
    <row r="2491" ht="22.5" customHeight="1">
      <c r="B2491" s="42">
        <f t="shared" si="7"/>
        <v>2485</v>
      </c>
      <c r="C2491" s="31" t="s">
        <v>2568</v>
      </c>
      <c r="D2491" s="34" t="str">
        <f t="array" ref="D2491">IFNA(_xlfn.XLOOKUP(C2491,Table_Tarikan_Warkah[Nomor Sertipikat],Table_Tarikan_Warkah[Nomor Tiket]),"")</f>
        <v>K/39/280525/1</v>
      </c>
      <c r="E2491" s="36">
        <f t="array" ref="E2491">IFNA(_xlfn.XLOOKUP(D2491,Table_Tarikan_Warkah[Nomor Tiket],Table_Tarikan_Warkah[Tanggal diserahkan kepada Validator]),"")</f>
        <v>45853.72399</v>
      </c>
      <c r="F2491" s="36" t="str">
        <f t="array" ref="F2491">IFNA(_xlfn.XLOOKUP(D2491,Table_Tarikan_Warkah[Nomor Tiket],Table_Tarikan_Warkah[Nama Petugas Warkah]),"")</f>
        <v>Berry</v>
      </c>
      <c r="G2491" s="39" t="str">
        <f t="array" ref="G2491">IFNA(_xlfn.XLOOKUP(D2491,Table_Tarikan_Warkah[Nomor Tiket],Table_Tarikan_Warkah[Jenis Permohonan]),"")</f>
        <v>Roya</v>
      </c>
      <c r="H2491" s="41" t="s">
        <v>2315</v>
      </c>
      <c r="I2491" s="49" t="s">
        <v>23</v>
      </c>
      <c r="J2491" s="36">
        <f t="shared" si="20"/>
        <v>45819.61809</v>
      </c>
      <c r="K2491" s="49" t="s">
        <v>2378</v>
      </c>
      <c r="L2491" s="49" t="s">
        <v>23</v>
      </c>
      <c r="M2491" s="36">
        <f t="shared" si="26"/>
        <v>45820.47162</v>
      </c>
      <c r="N2491" s="30" t="str">
        <f t="shared" si="27"/>
        <v>Selesai</v>
      </c>
      <c r="O2491" s="45">
        <f t="shared" si="23"/>
        <v>45820.47162</v>
      </c>
      <c r="P2491" s="47" t="b">
        <v>0</v>
      </c>
      <c r="Q2491" s="36" t="str">
        <f t="shared" si="24"/>
        <v/>
      </c>
      <c r="R2491" s="47" t="b">
        <v>0</v>
      </c>
      <c r="S2491" s="42" t="str">
        <f t="shared" si="28"/>
        <v/>
      </c>
      <c r="T2491" s="42"/>
    </row>
    <row r="2492" ht="22.5" customHeight="1">
      <c r="B2492" s="42">
        <f t="shared" si="7"/>
        <v>2486</v>
      </c>
      <c r="C2492" s="31" t="s">
        <v>2569</v>
      </c>
      <c r="D2492" s="34" t="str">
        <f t="array" ref="D2492">IFNA(_xlfn.XLOOKUP(C2492,Table_Tarikan_Warkah[Nomor Sertipikat],Table_Tarikan_Warkah[Nomor Tiket]),"")</f>
        <v>K/13/050625/2</v>
      </c>
      <c r="E2492" s="36" t="str">
        <f t="array" ref="E2492">IFNA(_xlfn.XLOOKUP(D2492,Table_Tarikan_Warkah[Nomor Tiket],Table_Tarikan_Warkah[Tanggal diserahkan kepada Validator]),"")</f>
        <v/>
      </c>
      <c r="F2492" s="36" t="str">
        <f t="array" ref="F2492">IFNA(_xlfn.XLOOKUP(D2492,Table_Tarikan_Warkah[Nomor Tiket],Table_Tarikan_Warkah[Nama Petugas Warkah]),"")</f>
        <v/>
      </c>
      <c r="G2492" s="39" t="str">
        <f t="array" ref="G2492">IFNA(_xlfn.XLOOKUP(D2492,Table_Tarikan_Warkah[Nomor Tiket],Table_Tarikan_Warkah[Jenis Permohonan]),"")</f>
        <v>Perubahan Hak</v>
      </c>
      <c r="H2492" s="41" t="s">
        <v>2315</v>
      </c>
      <c r="I2492" s="49" t="s">
        <v>23</v>
      </c>
      <c r="J2492" s="36">
        <f t="shared" si="20"/>
        <v>45819.61869</v>
      </c>
      <c r="K2492" s="49" t="s">
        <v>2378</v>
      </c>
      <c r="L2492" s="49" t="s">
        <v>23</v>
      </c>
      <c r="M2492" s="36">
        <f t="shared" si="26"/>
        <v>45820.47152</v>
      </c>
      <c r="N2492" s="30" t="str">
        <f t="shared" si="27"/>
        <v>Selesai</v>
      </c>
      <c r="O2492" s="45">
        <f t="shared" si="23"/>
        <v>45820.47152</v>
      </c>
      <c r="P2492" s="47" t="b">
        <v>0</v>
      </c>
      <c r="Q2492" s="36" t="str">
        <f t="shared" si="24"/>
        <v/>
      </c>
      <c r="R2492" s="47" t="b">
        <v>0</v>
      </c>
      <c r="S2492" s="42" t="str">
        <f t="shared" si="28"/>
        <v/>
      </c>
      <c r="T2492" s="42"/>
    </row>
    <row r="2493" ht="22.5" customHeight="1">
      <c r="B2493" s="42">
        <f t="shared" si="7"/>
        <v>2487</v>
      </c>
      <c r="C2493" s="31" t="s">
        <v>2570</v>
      </c>
      <c r="D2493" s="34" t="str">
        <f t="array" ref="D2493">IFNA(_xlfn.XLOOKUP(C2493,Table_Tarikan_Warkah[Nomor Sertipikat],Table_Tarikan_Warkah[Nomor Tiket]),"")</f>
        <v>K/6/260525/1</v>
      </c>
      <c r="E2493" s="36">
        <f t="array" ref="E2493">IFNA(_xlfn.XLOOKUP(D2493,Table_Tarikan_Warkah[Nomor Tiket],Table_Tarikan_Warkah[Tanggal diserahkan kepada Validator]),"")</f>
        <v>45825.61447</v>
      </c>
      <c r="F2493" s="36" t="str">
        <f t="array" ref="F2493">IFNA(_xlfn.XLOOKUP(D2493,Table_Tarikan_Warkah[Nomor Tiket],Table_Tarikan_Warkah[Nama Petugas Warkah]),"")</f>
        <v>Berry</v>
      </c>
      <c r="G2493" s="39" t="str">
        <f t="array" ref="G2493">IFNA(_xlfn.XLOOKUP(D2493,Table_Tarikan_Warkah[Nomor Tiket],Table_Tarikan_Warkah[Jenis Permohonan]),"")</f>
        <v>Perubahan Hak</v>
      </c>
      <c r="H2493" s="41" t="s">
        <v>2315</v>
      </c>
      <c r="I2493" s="49" t="s">
        <v>23</v>
      </c>
      <c r="J2493" s="36">
        <f t="shared" si="20"/>
        <v>45819.61874</v>
      </c>
      <c r="K2493" s="49" t="s">
        <v>2378</v>
      </c>
      <c r="L2493" s="49" t="s">
        <v>23</v>
      </c>
      <c r="M2493" s="36">
        <f t="shared" si="26"/>
        <v>45819.665</v>
      </c>
      <c r="N2493" s="30" t="str">
        <f t="shared" si="27"/>
        <v>Selesai</v>
      </c>
      <c r="O2493" s="45">
        <f t="shared" si="23"/>
        <v>45819.665</v>
      </c>
      <c r="P2493" s="47" t="b">
        <v>0</v>
      </c>
      <c r="Q2493" s="36" t="str">
        <f t="shared" si="24"/>
        <v/>
      </c>
      <c r="R2493" s="47" t="b">
        <v>0</v>
      </c>
      <c r="S2493" s="42" t="str">
        <f t="shared" si="28"/>
        <v/>
      </c>
      <c r="T2493" s="42"/>
    </row>
    <row r="2494" ht="22.5" customHeight="1">
      <c r="B2494" s="42">
        <f t="shared" si="7"/>
        <v>2488</v>
      </c>
      <c r="C2494" s="31" t="s">
        <v>2571</v>
      </c>
      <c r="D2494" s="34" t="str">
        <f t="array" ref="D2494">IFNA(_xlfn.XLOOKUP(C2494,Table_Tarikan_Warkah[Nomor Sertipikat],Table_Tarikan_Warkah[Nomor Tiket]),"")</f>
        <v>K/18/230525/1</v>
      </c>
      <c r="E2494" s="36">
        <f t="array" ref="E2494">IFNA(_xlfn.XLOOKUP(D2494,Table_Tarikan_Warkah[Nomor Tiket],Table_Tarikan_Warkah[Tanggal diserahkan kepada Validator]),"")</f>
        <v>45824.47495</v>
      </c>
      <c r="F2494" s="36" t="str">
        <f t="array" ref="F2494">IFNA(_xlfn.XLOOKUP(D2494,Table_Tarikan_Warkah[Nomor Tiket],Table_Tarikan_Warkah[Nama Petugas Warkah]),"")</f>
        <v>Berry</v>
      </c>
      <c r="G2494" s="39" t="str">
        <f t="array" ref="G2494">IFNA(_xlfn.XLOOKUP(D2494,Table_Tarikan_Warkah[Nomor Tiket],Table_Tarikan_Warkah[Jenis Permohonan]),"")</f>
        <v>BN Jual Beli</v>
      </c>
      <c r="H2494" s="41" t="s">
        <v>2315</v>
      </c>
      <c r="I2494" s="49" t="s">
        <v>23</v>
      </c>
      <c r="J2494" s="36">
        <f t="shared" si="20"/>
        <v>45819.61889</v>
      </c>
      <c r="K2494" s="49" t="s">
        <v>2378</v>
      </c>
      <c r="L2494" s="49" t="s">
        <v>23</v>
      </c>
      <c r="M2494" s="36">
        <f t="shared" si="26"/>
        <v>45819.66487</v>
      </c>
      <c r="N2494" s="30" t="str">
        <f t="shared" si="27"/>
        <v>Selesai</v>
      </c>
      <c r="O2494" s="45">
        <f t="shared" si="23"/>
        <v>45819.66487</v>
      </c>
      <c r="P2494" s="47" t="b">
        <v>0</v>
      </c>
      <c r="Q2494" s="36" t="str">
        <f t="shared" si="24"/>
        <v/>
      </c>
      <c r="R2494" s="47" t="b">
        <v>0</v>
      </c>
      <c r="S2494" s="42" t="str">
        <f t="shared" si="28"/>
        <v/>
      </c>
      <c r="T2494" s="42"/>
    </row>
    <row r="2495" ht="22.5" customHeight="1">
      <c r="B2495" s="42">
        <f t="shared" si="7"/>
        <v>2489</v>
      </c>
      <c r="C2495" s="31" t="s">
        <v>2572</v>
      </c>
      <c r="D2495" s="34" t="str">
        <f t="array" ref="D2495">IFNA(_xlfn.XLOOKUP(C2495,Table_Tarikan_Warkah[Nomor Sertipikat],Table_Tarikan_Warkah[Nomor Tiket]),"")</f>
        <v>K/36/210525/1</v>
      </c>
      <c r="E2495" s="36">
        <f t="array" ref="E2495">IFNA(_xlfn.XLOOKUP(D2495,Table_Tarikan_Warkah[Nomor Tiket],Table_Tarikan_Warkah[Tanggal diserahkan kepada Validator]),"")</f>
        <v>45824.47457</v>
      </c>
      <c r="F2495" s="36" t="str">
        <f t="array" ref="F2495">IFNA(_xlfn.XLOOKUP(D2495,Table_Tarikan_Warkah[Nomor Tiket],Table_Tarikan_Warkah[Nama Petugas Warkah]),"")</f>
        <v>Berry</v>
      </c>
      <c r="G2495" s="39" t="str">
        <f t="array" ref="G2495">IFNA(_xlfn.XLOOKUP(D2495,Table_Tarikan_Warkah[Nomor Tiket],Table_Tarikan_Warkah[Jenis Permohonan]),"")</f>
        <v>BN Waris</v>
      </c>
      <c r="H2495" s="41" t="s">
        <v>2315</v>
      </c>
      <c r="I2495" s="49" t="s">
        <v>23</v>
      </c>
      <c r="J2495" s="36">
        <f t="shared" si="20"/>
        <v>45819.61904</v>
      </c>
      <c r="K2495" s="49" t="s">
        <v>2378</v>
      </c>
      <c r="L2495" s="49" t="s">
        <v>23</v>
      </c>
      <c r="M2495" s="36">
        <f t="shared" si="26"/>
        <v>45819.66465</v>
      </c>
      <c r="N2495" s="30" t="str">
        <f t="shared" si="27"/>
        <v>Selesai</v>
      </c>
      <c r="O2495" s="45">
        <f t="shared" si="23"/>
        <v>45819.66465</v>
      </c>
      <c r="P2495" s="47" t="b">
        <v>0</v>
      </c>
      <c r="Q2495" s="36" t="str">
        <f t="shared" si="24"/>
        <v/>
      </c>
      <c r="R2495" s="47" t="b">
        <v>0</v>
      </c>
      <c r="S2495" s="42" t="str">
        <f t="shared" si="28"/>
        <v/>
      </c>
      <c r="T2495" s="42"/>
    </row>
    <row r="2496" ht="22.5" customHeight="1">
      <c r="B2496" s="42">
        <f t="shared" si="7"/>
        <v>2490</v>
      </c>
      <c r="C2496" s="31" t="s">
        <v>2573</v>
      </c>
      <c r="D2496" s="34" t="str">
        <f t="array" ref="D2496">IFNA(_xlfn.XLOOKUP(C2496,Table_Tarikan_Warkah[Nomor Sertipikat],Table_Tarikan_Warkah[Nomor Tiket]),"")</f>
        <v>K/2/150525/1</v>
      </c>
      <c r="E2496" s="36" t="str">
        <f t="array" ref="E2496">IFNA(_xlfn.XLOOKUP(D2496,Table_Tarikan_Warkah[Nomor Tiket],Table_Tarikan_Warkah[Tanggal diserahkan kepada Validator]),"")</f>
        <v/>
      </c>
      <c r="F2496" s="36" t="str">
        <f t="array" ref="F2496">IFNA(_xlfn.XLOOKUP(D2496,Table_Tarikan_Warkah[Nomor Tiket],Table_Tarikan_Warkah[Nama Petugas Warkah]),"")</f>
        <v/>
      </c>
      <c r="G2496" s="39" t="str">
        <f t="array" ref="G2496">IFNA(_xlfn.XLOOKUP(D2496,Table_Tarikan_Warkah[Nomor Tiket],Table_Tarikan_Warkah[Jenis Permohonan]),"")</f>
        <v>Perubahan Hak</v>
      </c>
      <c r="H2496" s="41" t="s">
        <v>2315</v>
      </c>
      <c r="I2496" s="49" t="s">
        <v>23</v>
      </c>
      <c r="J2496" s="36">
        <f t="shared" si="20"/>
        <v>45819.61919</v>
      </c>
      <c r="K2496" s="49" t="s">
        <v>2378</v>
      </c>
      <c r="L2496" s="49" t="s">
        <v>23</v>
      </c>
      <c r="M2496" s="36">
        <f t="shared" si="26"/>
        <v>45820.47129</v>
      </c>
      <c r="N2496" s="30" t="str">
        <f t="shared" si="27"/>
        <v>Selesai</v>
      </c>
      <c r="O2496" s="45">
        <f t="shared" si="23"/>
        <v>45820.47129</v>
      </c>
      <c r="P2496" s="47" t="b">
        <v>0</v>
      </c>
      <c r="Q2496" s="36" t="str">
        <f t="shared" si="24"/>
        <v/>
      </c>
      <c r="R2496" s="47" t="b">
        <v>0</v>
      </c>
      <c r="S2496" s="42" t="str">
        <f t="shared" si="28"/>
        <v/>
      </c>
      <c r="T2496" s="42"/>
    </row>
    <row r="2497" ht="22.5" customHeight="1">
      <c r="B2497" s="42">
        <f t="shared" si="7"/>
        <v>2491</v>
      </c>
      <c r="C2497" s="31" t="s">
        <v>2574</v>
      </c>
      <c r="D2497" s="34" t="str">
        <f t="array" ref="D2497">IFNA(_xlfn.XLOOKUP(C2497,Table_Tarikan_Warkah[Nomor Sertipikat],Table_Tarikan_Warkah[Nomor Tiket]),"")</f>
        <v>K/36/260525/1</v>
      </c>
      <c r="E2497" s="36">
        <f t="array" ref="E2497">IFNA(_xlfn.XLOOKUP(D2497,Table_Tarikan_Warkah[Nomor Tiket],Table_Tarikan_Warkah[Tanggal diserahkan kepada Validator]),"")</f>
        <v>45840.5987</v>
      </c>
      <c r="F2497" s="36" t="str">
        <f t="array" ref="F2497">IFNA(_xlfn.XLOOKUP(D2497,Table_Tarikan_Warkah[Nomor Tiket],Table_Tarikan_Warkah[Nama Petugas Warkah]),"")</f>
        <v>David</v>
      </c>
      <c r="G2497" s="39" t="str">
        <f t="array" ref="G2497">IFNA(_xlfn.XLOOKUP(D2497,Table_Tarikan_Warkah[Nomor Tiket],Table_Tarikan_Warkah[Jenis Permohonan]),"")</f>
        <v>ROYA</v>
      </c>
      <c r="H2497" s="41" t="s">
        <v>2315</v>
      </c>
      <c r="I2497" s="49" t="s">
        <v>23</v>
      </c>
      <c r="J2497" s="36">
        <f t="shared" si="20"/>
        <v>45819.61933</v>
      </c>
      <c r="K2497" s="49" t="s">
        <v>2378</v>
      </c>
      <c r="L2497" s="49" t="s">
        <v>23</v>
      </c>
      <c r="M2497" s="36">
        <f t="shared" si="26"/>
        <v>45819.66456</v>
      </c>
      <c r="N2497" s="30" t="str">
        <f t="shared" si="27"/>
        <v>Selesai</v>
      </c>
      <c r="O2497" s="45">
        <f t="shared" si="23"/>
        <v>45819.66456</v>
      </c>
      <c r="P2497" s="47" t="b">
        <v>0</v>
      </c>
      <c r="Q2497" s="36" t="str">
        <f t="shared" si="24"/>
        <v/>
      </c>
      <c r="R2497" s="47" t="b">
        <v>0</v>
      </c>
      <c r="S2497" s="42" t="str">
        <f t="shared" si="28"/>
        <v/>
      </c>
      <c r="T2497" s="42"/>
    </row>
    <row r="2498" ht="22.5" customHeight="1">
      <c r="B2498" s="42">
        <f t="shared" si="7"/>
        <v>2492</v>
      </c>
      <c r="C2498" s="31" t="s">
        <v>2575</v>
      </c>
      <c r="D2498" s="34" t="str">
        <f t="array" ref="D2498">IFNA(_xlfn.XLOOKUP(C2498,Table_Tarikan_Warkah[Nomor Sertipikat],Table_Tarikan_Warkah[Nomor Tiket]),"")</f>
        <v>K/24/270525/1</v>
      </c>
      <c r="E2498" s="36">
        <f t="array" ref="E2498">IFNA(_xlfn.XLOOKUP(D2498,Table_Tarikan_Warkah[Nomor Tiket],Table_Tarikan_Warkah[Tanggal diserahkan kepada Validator]),"")</f>
        <v>45824.50589</v>
      </c>
      <c r="F2498" s="36" t="str">
        <f t="array" ref="F2498">IFNA(_xlfn.XLOOKUP(D2498,Table_Tarikan_Warkah[Nomor Tiket],Table_Tarikan_Warkah[Nama Petugas Warkah]),"")</f>
        <v>Berry</v>
      </c>
      <c r="G2498" s="39" t="str">
        <f t="array" ref="G2498">IFNA(_xlfn.XLOOKUP(D2498,Table_Tarikan_Warkah[Nomor Tiket],Table_Tarikan_Warkah[Jenis Permohonan]),"")</f>
        <v>BN JUAL BELI</v>
      </c>
      <c r="H2498" s="41" t="s">
        <v>2315</v>
      </c>
      <c r="I2498" s="49" t="s">
        <v>23</v>
      </c>
      <c r="J2498" s="36">
        <f t="shared" si="20"/>
        <v>45819.61951</v>
      </c>
      <c r="K2498" s="49" t="s">
        <v>2378</v>
      </c>
      <c r="L2498" s="49" t="s">
        <v>23</v>
      </c>
      <c r="M2498" s="36">
        <f t="shared" si="26"/>
        <v>45820.47126</v>
      </c>
      <c r="N2498" s="30" t="str">
        <f t="shared" si="27"/>
        <v>Selesai</v>
      </c>
      <c r="O2498" s="45">
        <f t="shared" si="23"/>
        <v>45820.47126</v>
      </c>
      <c r="P2498" s="47" t="b">
        <v>0</v>
      </c>
      <c r="Q2498" s="36" t="str">
        <f t="shared" si="24"/>
        <v/>
      </c>
      <c r="R2498" s="47" t="b">
        <v>0</v>
      </c>
      <c r="S2498" s="42" t="str">
        <f t="shared" si="28"/>
        <v/>
      </c>
      <c r="T2498" s="42"/>
    </row>
    <row r="2499" ht="22.5" customHeight="1">
      <c r="B2499" s="42">
        <f t="shared" si="7"/>
        <v>2493</v>
      </c>
      <c r="C2499" s="31" t="s">
        <v>2576</v>
      </c>
      <c r="D2499" s="34" t="str">
        <f t="array" ref="D2499">IFNA(_xlfn.XLOOKUP(C2499,Table_Tarikan_Warkah[Nomor Sertipikat],Table_Tarikan_Warkah[Nomor Tiket]),"")</f>
        <v>K/52/050625/2</v>
      </c>
      <c r="E2499" s="36">
        <f t="array" ref="E2499">IFNA(_xlfn.XLOOKUP(D2499,Table_Tarikan_Warkah[Nomor Tiket],Table_Tarikan_Warkah[Tanggal diserahkan kepada Validator]),"")</f>
        <v>45824.50607</v>
      </c>
      <c r="F2499" s="36" t="str">
        <f t="array" ref="F2499">IFNA(_xlfn.XLOOKUP(D2499,Table_Tarikan_Warkah[Nomor Tiket],Table_Tarikan_Warkah[Nama Petugas Warkah]),"")</f>
        <v>Berry</v>
      </c>
      <c r="G2499" s="39" t="str">
        <f t="array" ref="G2499">IFNA(_xlfn.XLOOKUP(D2499,Table_Tarikan_Warkah[Nomor Tiket],Table_Tarikan_Warkah[Jenis Permohonan]),"")</f>
        <v>BN JUAL BELI</v>
      </c>
      <c r="H2499" s="41" t="s">
        <v>2315</v>
      </c>
      <c r="I2499" s="49" t="s">
        <v>23</v>
      </c>
      <c r="J2499" s="36">
        <f t="shared" si="20"/>
        <v>45819.61977</v>
      </c>
      <c r="K2499" s="49" t="s">
        <v>2378</v>
      </c>
      <c r="L2499" s="49" t="s">
        <v>23</v>
      </c>
      <c r="M2499" s="36">
        <f t="shared" si="26"/>
        <v>45820.47446</v>
      </c>
      <c r="N2499" s="30" t="str">
        <f t="shared" si="27"/>
        <v>Selesai</v>
      </c>
      <c r="O2499" s="45">
        <f t="shared" si="23"/>
        <v>45820.47446</v>
      </c>
      <c r="P2499" s="47" t="b">
        <v>0</v>
      </c>
      <c r="Q2499" s="36" t="str">
        <f t="shared" si="24"/>
        <v/>
      </c>
      <c r="R2499" s="47" t="b">
        <v>0</v>
      </c>
      <c r="S2499" s="42" t="str">
        <f t="shared" si="28"/>
        <v/>
      </c>
      <c r="T2499" s="42"/>
    </row>
    <row r="2500" ht="22.5" customHeight="1">
      <c r="B2500" s="42">
        <f t="shared" si="7"/>
        <v>2494</v>
      </c>
      <c r="C2500" s="31" t="s">
        <v>2577</v>
      </c>
      <c r="D2500" s="34" t="str">
        <f t="array" ref="D2500">IFNA(_xlfn.XLOOKUP(C2500,Table_Tarikan_Warkah[Nomor Sertipikat],Table_Tarikan_Warkah[Nomor Tiket]),"")</f>
        <v>K/35/040625/1</v>
      </c>
      <c r="E2500" s="36">
        <f t="array" ref="E2500">IFNA(_xlfn.XLOOKUP(D2500,Table_Tarikan_Warkah[Nomor Tiket],Table_Tarikan_Warkah[Tanggal diserahkan kepada Validator]),"")</f>
        <v>45824.47227</v>
      </c>
      <c r="F2500" s="36" t="str">
        <f t="array" ref="F2500">IFNA(_xlfn.XLOOKUP(D2500,Table_Tarikan_Warkah[Nomor Tiket],Table_Tarikan_Warkah[Nama Petugas Warkah]),"")</f>
        <v>Berry</v>
      </c>
      <c r="G2500" s="39" t="str">
        <f t="array" ref="G2500">IFNA(_xlfn.XLOOKUP(D2500,Table_Tarikan_Warkah[Nomor Tiket],Table_Tarikan_Warkah[Jenis Permohonan]),"")</f>
        <v>BN Jual Beli</v>
      </c>
      <c r="H2500" s="41" t="s">
        <v>2315</v>
      </c>
      <c r="I2500" s="49" t="s">
        <v>23</v>
      </c>
      <c r="J2500" s="36">
        <f t="shared" si="20"/>
        <v>45819.61992</v>
      </c>
      <c r="K2500" s="49" t="s">
        <v>2378</v>
      </c>
      <c r="L2500" s="49" t="s">
        <v>23</v>
      </c>
      <c r="M2500" s="36">
        <f t="shared" si="26"/>
        <v>45819.66431</v>
      </c>
      <c r="N2500" s="30" t="str">
        <f t="shared" si="27"/>
        <v>Selesai</v>
      </c>
      <c r="O2500" s="45">
        <f t="shared" si="23"/>
        <v>45819.66431</v>
      </c>
      <c r="P2500" s="47" t="b">
        <v>0</v>
      </c>
      <c r="Q2500" s="36" t="str">
        <f t="shared" si="24"/>
        <v/>
      </c>
      <c r="R2500" s="47" t="b">
        <v>0</v>
      </c>
      <c r="S2500" s="42" t="str">
        <f t="shared" si="28"/>
        <v/>
      </c>
      <c r="T2500" s="42"/>
    </row>
    <row r="2501" ht="22.5" customHeight="1">
      <c r="B2501" s="42">
        <f t="shared" si="7"/>
        <v>2495</v>
      </c>
      <c r="C2501" s="31" t="s">
        <v>2578</v>
      </c>
      <c r="D2501" s="34" t="str">
        <f t="array" ref="D2501">IFNA(_xlfn.XLOOKUP(C2501,Table_Tarikan_Warkah[Nomor Sertipikat],Table_Tarikan_Warkah[Nomor Tiket]),"")</f>
        <v>K/7/040625/1</v>
      </c>
      <c r="E2501" s="36">
        <f t="array" ref="E2501">IFNA(_xlfn.XLOOKUP(D2501,Table_Tarikan_Warkah[Nomor Tiket],Table_Tarikan_Warkah[Tanggal diserahkan kepada Validator]),"")</f>
        <v>45824.50504</v>
      </c>
      <c r="F2501" s="36" t="str">
        <f t="array" ref="F2501">IFNA(_xlfn.XLOOKUP(D2501,Table_Tarikan_Warkah[Nomor Tiket],Table_Tarikan_Warkah[Nama Petugas Warkah]),"")</f>
        <v>Berry</v>
      </c>
      <c r="G2501" s="39" t="str">
        <f t="array" ref="G2501">IFNA(_xlfn.XLOOKUP(D2501,Table_Tarikan_Warkah[Nomor Tiket],Table_Tarikan_Warkah[Jenis Permohonan]),"")</f>
        <v>BN WARIS</v>
      </c>
      <c r="H2501" s="41" t="s">
        <v>2315</v>
      </c>
      <c r="I2501" s="49" t="s">
        <v>23</v>
      </c>
      <c r="J2501" s="36">
        <f t="shared" si="20"/>
        <v>45819.62024</v>
      </c>
      <c r="K2501" s="49" t="s">
        <v>2378</v>
      </c>
      <c r="L2501" s="49" t="s">
        <v>23</v>
      </c>
      <c r="M2501" s="36">
        <f t="shared" si="26"/>
        <v>45820.47115</v>
      </c>
      <c r="N2501" s="30" t="str">
        <f t="shared" si="27"/>
        <v>Selesai</v>
      </c>
      <c r="O2501" s="45">
        <f t="shared" si="23"/>
        <v>45820.47115</v>
      </c>
      <c r="P2501" s="47" t="b">
        <v>0</v>
      </c>
      <c r="Q2501" s="36" t="str">
        <f t="shared" si="24"/>
        <v/>
      </c>
      <c r="R2501" s="47" t="b">
        <v>0</v>
      </c>
      <c r="S2501" s="42" t="str">
        <f t="shared" si="28"/>
        <v/>
      </c>
      <c r="T2501" s="42"/>
    </row>
    <row r="2502" ht="22.5" customHeight="1">
      <c r="B2502" s="42">
        <f t="shared" si="7"/>
        <v>2496</v>
      </c>
      <c r="C2502" s="31" t="s">
        <v>2579</v>
      </c>
      <c r="D2502" s="34" t="str">
        <f t="array" ref="D2502">IFNA(_xlfn.XLOOKUP(C2502,Table_Tarikan_Warkah[Nomor Sertipikat],Table_Tarikan_Warkah[Nomor Tiket]),"")</f>
        <v>K/19/280425/1</v>
      </c>
      <c r="E2502" s="36">
        <f t="array" ref="E2502">IFNA(_xlfn.XLOOKUP(D2502,Table_Tarikan_Warkah[Nomor Tiket],Table_Tarikan_Warkah[Tanggal diserahkan kepada Validator]),"")</f>
        <v>45824.50866</v>
      </c>
      <c r="F2502" s="36" t="str">
        <f t="array" ref="F2502">IFNA(_xlfn.XLOOKUP(D2502,Table_Tarikan_Warkah[Nomor Tiket],Table_Tarikan_Warkah[Nama Petugas Warkah]),"")</f>
        <v>Berry</v>
      </c>
      <c r="G2502" s="39" t="str">
        <f t="array" ref="G2502">IFNA(_xlfn.XLOOKUP(D2502,Table_Tarikan_Warkah[Nomor Tiket],Table_Tarikan_Warkah[Jenis Permohonan]),"")</f>
        <v>BN JUAL BELI </v>
      </c>
      <c r="H2502" s="41" t="s">
        <v>2315</v>
      </c>
      <c r="I2502" s="49" t="s">
        <v>23</v>
      </c>
      <c r="J2502" s="36">
        <f t="shared" si="20"/>
        <v>45819.62029</v>
      </c>
      <c r="K2502" s="49" t="s">
        <v>2378</v>
      </c>
      <c r="L2502" s="49" t="s">
        <v>23</v>
      </c>
      <c r="M2502" s="36">
        <f t="shared" si="26"/>
        <v>45820.59924</v>
      </c>
      <c r="N2502" s="30" t="str">
        <f t="shared" si="27"/>
        <v>Selesai</v>
      </c>
      <c r="O2502" s="45">
        <f t="shared" si="23"/>
        <v>45820.59924</v>
      </c>
      <c r="P2502" s="47" t="b">
        <v>0</v>
      </c>
      <c r="Q2502" s="36" t="str">
        <f t="shared" si="24"/>
        <v/>
      </c>
      <c r="R2502" s="47" t="b">
        <v>0</v>
      </c>
      <c r="S2502" s="42" t="str">
        <f t="shared" si="28"/>
        <v/>
      </c>
      <c r="T2502" s="42"/>
    </row>
    <row r="2503" ht="22.5" customHeight="1">
      <c r="B2503" s="42">
        <f t="shared" si="7"/>
        <v>2497</v>
      </c>
      <c r="C2503" s="31" t="s">
        <v>2580</v>
      </c>
      <c r="D2503" s="34" t="str">
        <f t="array" ref="D2503">IFNA(_xlfn.XLOOKUP(C2503,Table_Tarikan_Warkah[Nomor Sertipikat],Table_Tarikan_Warkah[Nomor Tiket]),"")</f>
        <v>K/18/150425/1</v>
      </c>
      <c r="E2503" s="36">
        <f t="array" ref="E2503">IFNA(_xlfn.XLOOKUP(D2503,Table_Tarikan_Warkah[Nomor Tiket],Table_Tarikan_Warkah[Tanggal diserahkan kepada Validator]),"")</f>
        <v>45824.48304</v>
      </c>
      <c r="F2503" s="36" t="str">
        <f t="array" ref="F2503">IFNA(_xlfn.XLOOKUP(D2503,Table_Tarikan_Warkah[Nomor Tiket],Table_Tarikan_Warkah[Nama Petugas Warkah]),"")</f>
        <v>Berry</v>
      </c>
      <c r="G2503" s="39" t="str">
        <f t="array" ref="G2503">IFNA(_xlfn.XLOOKUP(D2503,Table_Tarikan_Warkah[Nomor Tiket],Table_Tarikan_Warkah[Jenis Permohonan]),"")</f>
        <v>BN JUAL BELI</v>
      </c>
      <c r="H2503" s="41" t="s">
        <v>2315</v>
      </c>
      <c r="I2503" s="49" t="s">
        <v>23</v>
      </c>
      <c r="J2503" s="36">
        <f t="shared" si="20"/>
        <v>45819.62048</v>
      </c>
      <c r="K2503" s="49" t="s">
        <v>2378</v>
      </c>
      <c r="L2503" s="49" t="s">
        <v>23</v>
      </c>
      <c r="M2503" s="36">
        <f t="shared" si="26"/>
        <v>45819.65927</v>
      </c>
      <c r="N2503" s="30" t="str">
        <f t="shared" si="27"/>
        <v>Selesai</v>
      </c>
      <c r="O2503" s="45">
        <f t="shared" si="23"/>
        <v>45819.65927</v>
      </c>
      <c r="P2503" s="47" t="b">
        <v>0</v>
      </c>
      <c r="Q2503" s="36" t="str">
        <f t="shared" si="24"/>
        <v/>
      </c>
      <c r="R2503" s="47" t="b">
        <v>0</v>
      </c>
      <c r="S2503" s="42" t="str">
        <f t="shared" si="28"/>
        <v/>
      </c>
      <c r="T2503" s="42"/>
    </row>
    <row r="2504" ht="22.5" customHeight="1">
      <c r="B2504" s="42">
        <f t="shared" si="7"/>
        <v>2498</v>
      </c>
      <c r="C2504" s="31" t="s">
        <v>2581</v>
      </c>
      <c r="D2504" s="34" t="str">
        <f t="array" ref="D2504">IFNA(_xlfn.XLOOKUP(C2504,Table_Tarikan_Warkah[Nomor Sertipikat],Table_Tarikan_Warkah[Nomor Tiket]),"")</f>
        <v>K/11/270525/2</v>
      </c>
      <c r="E2504" s="36">
        <f t="array" ref="E2504">IFNA(_xlfn.XLOOKUP(D2504,Table_Tarikan_Warkah[Nomor Tiket],Table_Tarikan_Warkah[Tanggal diserahkan kepada Validator]),"")</f>
        <v>45824.50504</v>
      </c>
      <c r="F2504" s="36" t="str">
        <f t="array" ref="F2504">IFNA(_xlfn.XLOOKUP(D2504,Table_Tarikan_Warkah[Nomor Tiket],Table_Tarikan_Warkah[Nama Petugas Warkah]),"")</f>
        <v>Berry</v>
      </c>
      <c r="G2504" s="39" t="str">
        <f t="array" ref="G2504">IFNA(_xlfn.XLOOKUP(D2504,Table_Tarikan_Warkah[Nomor Tiket],Table_Tarikan_Warkah[Jenis Permohonan]),"")</f>
        <v>BN JUAL BELI</v>
      </c>
      <c r="H2504" s="41" t="s">
        <v>2315</v>
      </c>
      <c r="I2504" s="49" t="s">
        <v>23</v>
      </c>
      <c r="J2504" s="36">
        <f t="shared" si="20"/>
        <v>45820.57063</v>
      </c>
      <c r="K2504" s="49" t="s">
        <v>2378</v>
      </c>
      <c r="L2504" s="49" t="s">
        <v>23</v>
      </c>
      <c r="M2504" s="36">
        <f t="shared" si="26"/>
        <v>45820.66703</v>
      </c>
      <c r="N2504" s="30" t="str">
        <f t="shared" si="27"/>
        <v>Selesai</v>
      </c>
      <c r="O2504" s="45">
        <f t="shared" si="23"/>
        <v>45820.66703</v>
      </c>
      <c r="P2504" s="47" t="b">
        <v>0</v>
      </c>
      <c r="Q2504" s="36" t="str">
        <f t="shared" si="24"/>
        <v/>
      </c>
      <c r="R2504" s="47" t="b">
        <v>0</v>
      </c>
      <c r="S2504" s="42" t="str">
        <f t="shared" si="28"/>
        <v/>
      </c>
      <c r="T2504" s="42"/>
    </row>
    <row r="2505" ht="22.5" customHeight="1">
      <c r="B2505" s="42">
        <f t="shared" si="7"/>
        <v>2499</v>
      </c>
      <c r="C2505" s="31" t="s">
        <v>2582</v>
      </c>
      <c r="D2505" s="34" t="str">
        <f t="array" ref="D2505">IFNA(_xlfn.XLOOKUP(C2505,Table_Tarikan_Warkah[Nomor Sertipikat],Table_Tarikan_Warkah[Nomor Tiket]),"")</f>
        <v>K/35/220525/1</v>
      </c>
      <c r="E2505" s="36">
        <f t="array" ref="E2505">IFNA(_xlfn.XLOOKUP(D2505,Table_Tarikan_Warkah[Nomor Tiket],Table_Tarikan_Warkah[Tanggal diserahkan kepada Validator]),"")</f>
        <v>45824.50462</v>
      </c>
      <c r="F2505" s="36" t="str">
        <f t="array" ref="F2505">IFNA(_xlfn.XLOOKUP(D2505,Table_Tarikan_Warkah[Nomor Tiket],Table_Tarikan_Warkah[Nama Petugas Warkah]),"")</f>
        <v>Berry</v>
      </c>
      <c r="G2505" s="39" t="str">
        <f t="array" ref="G2505">IFNA(_xlfn.XLOOKUP(D2505,Table_Tarikan_Warkah[Nomor Tiket],Table_Tarikan_Warkah[Jenis Permohonan]),"")</f>
        <v>BN JUAL BELI</v>
      </c>
      <c r="H2505" s="41" t="s">
        <v>2315</v>
      </c>
      <c r="I2505" s="49" t="s">
        <v>23</v>
      </c>
      <c r="J2505" s="36">
        <f t="shared" si="20"/>
        <v>45820.57161</v>
      </c>
      <c r="K2505" s="49" t="s">
        <v>2378</v>
      </c>
      <c r="L2505" s="49" t="s">
        <v>23</v>
      </c>
      <c r="M2505" s="36">
        <f t="shared" si="26"/>
        <v>45820.66736</v>
      </c>
      <c r="N2505" s="30" t="str">
        <f t="shared" si="27"/>
        <v>Selesai</v>
      </c>
      <c r="O2505" s="45">
        <f t="shared" si="23"/>
        <v>45820.66736</v>
      </c>
      <c r="P2505" s="47" t="b">
        <v>0</v>
      </c>
      <c r="Q2505" s="36" t="str">
        <f t="shared" si="24"/>
        <v/>
      </c>
      <c r="R2505" s="47" t="b">
        <v>0</v>
      </c>
      <c r="S2505" s="42" t="str">
        <f t="shared" si="28"/>
        <v/>
      </c>
      <c r="T2505" s="42"/>
    </row>
    <row r="2506" ht="22.5" customHeight="1">
      <c r="B2506" s="42">
        <f t="shared" si="7"/>
        <v>2500</v>
      </c>
      <c r="C2506" s="31" t="s">
        <v>2583</v>
      </c>
      <c r="D2506" s="34" t="str">
        <f t="array" ref="D2506">IFNA(_xlfn.XLOOKUP(C2506,Table_Tarikan_Warkah[Nomor Sertipikat],Table_Tarikan_Warkah[Nomor Tiket]),"")</f>
        <v>K/31/220525/1</v>
      </c>
      <c r="E2506" s="36">
        <f t="array" ref="E2506">IFNA(_xlfn.XLOOKUP(D2506,Table_Tarikan_Warkah[Nomor Tiket],Table_Tarikan_Warkah[Tanggal diserahkan kepada Validator]),"")</f>
        <v>45825.61407</v>
      </c>
      <c r="F2506" s="36" t="str">
        <f t="array" ref="F2506">IFNA(_xlfn.XLOOKUP(D2506,Table_Tarikan_Warkah[Nomor Tiket],Table_Tarikan_Warkah[Nama Petugas Warkah]),"")</f>
        <v>Berry</v>
      </c>
      <c r="G2506" s="39" t="str">
        <f t="array" ref="G2506">IFNA(_xlfn.XLOOKUP(D2506,Table_Tarikan_Warkah[Nomor Tiket],Table_Tarikan_Warkah[Jenis Permohonan]),"")</f>
        <v>PENINGKATAN HAK</v>
      </c>
      <c r="H2506" s="41" t="s">
        <v>2315</v>
      </c>
      <c r="I2506" s="49" t="s">
        <v>23</v>
      </c>
      <c r="J2506" s="36">
        <f t="shared" si="20"/>
        <v>45820.57248</v>
      </c>
      <c r="K2506" s="49" t="s">
        <v>2378</v>
      </c>
      <c r="L2506" s="49" t="s">
        <v>23</v>
      </c>
      <c r="M2506" s="36">
        <f t="shared" si="26"/>
        <v>45820.66963</v>
      </c>
      <c r="N2506" s="30" t="str">
        <f t="shared" si="27"/>
        <v>Selesai</v>
      </c>
      <c r="O2506" s="45">
        <f t="shared" si="23"/>
        <v>45820.66963</v>
      </c>
      <c r="P2506" s="47" t="b">
        <v>0</v>
      </c>
      <c r="Q2506" s="36" t="str">
        <f t="shared" si="24"/>
        <v/>
      </c>
      <c r="R2506" s="47" t="b">
        <v>0</v>
      </c>
      <c r="S2506" s="42" t="str">
        <f t="shared" si="28"/>
        <v/>
      </c>
      <c r="T2506" s="42"/>
    </row>
    <row r="2507" ht="22.5" customHeight="1">
      <c r="B2507" s="42">
        <f t="shared" si="7"/>
        <v>2501</v>
      </c>
      <c r="C2507" s="31" t="s">
        <v>2584</v>
      </c>
      <c r="D2507" s="34" t="str">
        <f t="array" ref="D2507">IFNA(_xlfn.XLOOKUP(C2507,Table_Tarikan_Warkah[Nomor Sertipikat],Table_Tarikan_Warkah[Nomor Tiket]),"")</f>
        <v>K/9/160525/4</v>
      </c>
      <c r="E2507" s="36">
        <f t="array" ref="E2507">IFNA(_xlfn.XLOOKUP(D2507,Table_Tarikan_Warkah[Nomor Tiket],Table_Tarikan_Warkah[Tanggal diserahkan kepada Validator]),"")</f>
        <v>45828.58853</v>
      </c>
      <c r="F2507" s="36" t="str">
        <f t="array" ref="F2507">IFNA(_xlfn.XLOOKUP(D2507,Table_Tarikan_Warkah[Nomor Tiket],Table_Tarikan_Warkah[Nama Petugas Warkah]),"")</f>
        <v>Berry</v>
      </c>
      <c r="G2507" s="39" t="str">
        <f t="array" ref="G2507">IFNA(_xlfn.XLOOKUP(D2507,Table_Tarikan_Warkah[Nomor Tiket],Table_Tarikan_Warkah[Jenis Permohonan]),"")</f>
        <v>GANTI NAMA HT</v>
      </c>
      <c r="H2507" s="41" t="s">
        <v>20</v>
      </c>
      <c r="I2507" s="49" t="s">
        <v>23</v>
      </c>
      <c r="J2507" s="36">
        <f t="shared" si="20"/>
        <v>45820.57274</v>
      </c>
      <c r="K2507" s="49" t="s">
        <v>2378</v>
      </c>
      <c r="L2507" s="49" t="s">
        <v>23</v>
      </c>
      <c r="M2507" s="36">
        <f t="shared" si="26"/>
        <v>45820.66669</v>
      </c>
      <c r="N2507" s="30" t="str">
        <f t="shared" si="27"/>
        <v>Selesai</v>
      </c>
      <c r="O2507" s="45">
        <f t="shared" si="23"/>
        <v>45820.66669</v>
      </c>
      <c r="P2507" s="47" t="b">
        <v>0</v>
      </c>
      <c r="Q2507" s="36" t="str">
        <f t="shared" si="24"/>
        <v/>
      </c>
      <c r="R2507" s="47" t="b">
        <v>0</v>
      </c>
      <c r="S2507" s="42" t="str">
        <f t="shared" si="28"/>
        <v/>
      </c>
      <c r="T2507" s="42"/>
    </row>
    <row r="2508" ht="22.5" customHeight="1">
      <c r="B2508" s="42">
        <f t="shared" si="7"/>
        <v>2502</v>
      </c>
      <c r="C2508" s="31" t="s">
        <v>2585</v>
      </c>
      <c r="D2508" s="34" t="str">
        <f t="array" ref="D2508">IFNA(_xlfn.XLOOKUP(C2508,Table_Tarikan_Warkah[Nomor Sertipikat],Table_Tarikan_Warkah[Nomor Tiket]),"")</f>
        <v>K/11/040625/1</v>
      </c>
      <c r="E2508" s="36">
        <f t="array" ref="E2508">IFNA(_xlfn.XLOOKUP(D2508,Table_Tarikan_Warkah[Nomor Tiket],Table_Tarikan_Warkah[Tanggal diserahkan kepada Validator]),"")</f>
        <v>45825.61239</v>
      </c>
      <c r="F2508" s="36" t="str">
        <f t="array" ref="F2508">IFNA(_xlfn.XLOOKUP(D2508,Table_Tarikan_Warkah[Nomor Tiket],Table_Tarikan_Warkah[Nama Petugas Warkah]),"")</f>
        <v>Berry</v>
      </c>
      <c r="G2508" s="39" t="str">
        <f t="array" ref="G2508">IFNA(_xlfn.XLOOKUP(D2508,Table_Tarikan_Warkah[Nomor Tiket],Table_Tarikan_Warkah[Jenis Permohonan]),"")</f>
        <v>PERUBAHAN HAK</v>
      </c>
      <c r="H2508" s="41" t="s">
        <v>20</v>
      </c>
      <c r="I2508" s="49" t="s">
        <v>23</v>
      </c>
      <c r="J2508" s="36">
        <f t="shared" si="20"/>
        <v>45820.57283</v>
      </c>
      <c r="K2508" s="49" t="s">
        <v>2378</v>
      </c>
      <c r="L2508" s="49" t="s">
        <v>23</v>
      </c>
      <c r="M2508" s="36">
        <f t="shared" si="26"/>
        <v>45820.66746</v>
      </c>
      <c r="N2508" s="30" t="str">
        <f t="shared" si="27"/>
        <v>Selesai</v>
      </c>
      <c r="O2508" s="45">
        <f t="shared" si="23"/>
        <v>45820.66746</v>
      </c>
      <c r="P2508" s="47" t="b">
        <v>0</v>
      </c>
      <c r="Q2508" s="36" t="str">
        <f t="shared" si="24"/>
        <v/>
      </c>
      <c r="R2508" s="47" t="b">
        <v>0</v>
      </c>
      <c r="S2508" s="42" t="str">
        <f t="shared" si="28"/>
        <v/>
      </c>
      <c r="T2508" s="42"/>
    </row>
    <row r="2509" ht="22.5" customHeight="1">
      <c r="B2509" s="42">
        <f t="shared" si="7"/>
        <v>2503</v>
      </c>
      <c r="C2509" s="31" t="s">
        <v>2586</v>
      </c>
      <c r="D2509" s="34" t="str">
        <f t="array" ref="D2509">IFNA(_xlfn.XLOOKUP(C2509,Table_Tarikan_Warkah[Nomor Sertipikat],Table_Tarikan_Warkah[Nomor Tiket]),"")</f>
        <v>K/40/220525/1</v>
      </c>
      <c r="E2509" s="36">
        <f t="array" ref="E2509">IFNA(_xlfn.XLOOKUP(D2509,Table_Tarikan_Warkah[Nomor Tiket],Table_Tarikan_Warkah[Tanggal diserahkan kepada Validator]),"")</f>
        <v>45824.46012</v>
      </c>
      <c r="F2509" s="36" t="str">
        <f t="array" ref="F2509">IFNA(_xlfn.XLOOKUP(D2509,Table_Tarikan_Warkah[Nomor Tiket],Table_Tarikan_Warkah[Nama Petugas Warkah]),"")</f>
        <v>Berry</v>
      </c>
      <c r="G2509" s="39" t="str">
        <f t="array" ref="G2509">IFNA(_xlfn.XLOOKUP(D2509,Table_Tarikan_Warkah[Nomor Tiket],Table_Tarikan_Warkah[Jenis Permohonan]),"")</f>
        <v>BN WARIS=</v>
      </c>
      <c r="H2509" s="41" t="s">
        <v>20</v>
      </c>
      <c r="I2509" s="49" t="s">
        <v>23</v>
      </c>
      <c r="J2509" s="36">
        <f t="shared" si="20"/>
        <v>45820.57291</v>
      </c>
      <c r="K2509" s="49" t="s">
        <v>2378</v>
      </c>
      <c r="L2509" s="49" t="s">
        <v>23</v>
      </c>
      <c r="M2509" s="36">
        <f t="shared" si="26"/>
        <v>45820.66753</v>
      </c>
      <c r="N2509" s="30" t="str">
        <f t="shared" si="27"/>
        <v>Selesai</v>
      </c>
      <c r="O2509" s="45">
        <f t="shared" si="23"/>
        <v>45820.66753</v>
      </c>
      <c r="P2509" s="47" t="b">
        <v>0</v>
      </c>
      <c r="Q2509" s="36" t="str">
        <f t="shared" si="24"/>
        <v/>
      </c>
      <c r="R2509" s="47" t="b">
        <v>0</v>
      </c>
      <c r="S2509" s="42" t="str">
        <f t="shared" si="28"/>
        <v/>
      </c>
      <c r="T2509" s="42"/>
    </row>
    <row r="2510" ht="22.5" customHeight="1">
      <c r="B2510" s="42">
        <f t="shared" si="7"/>
        <v>2504</v>
      </c>
      <c r="C2510" s="31" t="s">
        <v>2587</v>
      </c>
      <c r="D2510" s="34" t="str">
        <f t="array" ref="D2510">IFNA(_xlfn.XLOOKUP(C2510,Table_Tarikan_Warkah[Nomor Sertipikat],Table_Tarikan_Warkah[Nomor Tiket]),"")</f>
        <v>K/2/200525/1</v>
      </c>
      <c r="E2510" s="36">
        <f t="array" ref="E2510">IFNA(_xlfn.XLOOKUP(D2510,Table_Tarikan_Warkah[Nomor Tiket],Table_Tarikan_Warkah[Tanggal diserahkan kepada Validator]),"")</f>
        <v>45824.4642</v>
      </c>
      <c r="F2510" s="36" t="str">
        <f t="array" ref="F2510">IFNA(_xlfn.XLOOKUP(D2510,Table_Tarikan_Warkah[Nomor Tiket],Table_Tarikan_Warkah[Nama Petugas Warkah]),"")</f>
        <v>Berry</v>
      </c>
      <c r="G2510" s="39" t="str">
        <f t="array" ref="G2510">IFNA(_xlfn.XLOOKUP(D2510,Table_Tarikan_Warkah[Nomor Tiket],Table_Tarikan_Warkah[Jenis Permohonan]),"")</f>
        <v>BN WARID</v>
      </c>
      <c r="H2510" s="41" t="s">
        <v>20</v>
      </c>
      <c r="I2510" s="49" t="s">
        <v>23</v>
      </c>
      <c r="J2510" s="36">
        <f t="shared" si="20"/>
        <v>45820.57299</v>
      </c>
      <c r="K2510" s="49" t="s">
        <v>2378</v>
      </c>
      <c r="L2510" s="49" t="s">
        <v>23</v>
      </c>
      <c r="M2510" s="36">
        <f t="shared" si="26"/>
        <v>45820.6666</v>
      </c>
      <c r="N2510" s="30" t="str">
        <f t="shared" si="27"/>
        <v>Selesai</v>
      </c>
      <c r="O2510" s="45">
        <f t="shared" si="23"/>
        <v>45820.6666</v>
      </c>
      <c r="P2510" s="47" t="b">
        <v>0</v>
      </c>
      <c r="Q2510" s="36" t="str">
        <f t="shared" si="24"/>
        <v/>
      </c>
      <c r="R2510" s="47" t="b">
        <v>0</v>
      </c>
      <c r="S2510" s="42" t="str">
        <f t="shared" si="28"/>
        <v/>
      </c>
      <c r="T2510" s="42"/>
    </row>
    <row r="2511" ht="22.5" customHeight="1">
      <c r="B2511" s="42">
        <f t="shared" si="7"/>
        <v>2505</v>
      </c>
      <c r="C2511" s="31" t="s">
        <v>2588</v>
      </c>
      <c r="D2511" s="34" t="str">
        <f t="array" ref="D2511">IFNA(_xlfn.XLOOKUP(C2511,Table_Tarikan_Warkah[Nomor Sertipikat],Table_Tarikan_Warkah[Nomor Tiket]),"")</f>
        <v>K/4/020525/2</v>
      </c>
      <c r="E2511" s="36">
        <f t="array" ref="E2511">IFNA(_xlfn.XLOOKUP(D2511,Table_Tarikan_Warkah[Nomor Tiket],Table_Tarikan_Warkah[Tanggal diserahkan kepada Validator]),"")</f>
        <v>45824.45875</v>
      </c>
      <c r="F2511" s="36" t="str">
        <f t="array" ref="F2511">IFNA(_xlfn.XLOOKUP(D2511,Table_Tarikan_Warkah[Nomor Tiket],Table_Tarikan_Warkah[Nama Petugas Warkah]),"")</f>
        <v>Berry</v>
      </c>
      <c r="G2511" s="39" t="str">
        <f t="array" ref="G2511">IFNA(_xlfn.XLOOKUP(D2511,Table_Tarikan_Warkah[Nomor Tiket],Table_Tarikan_Warkah[Jenis Permohonan]),"")</f>
        <v>BN JUAL BELI</v>
      </c>
      <c r="H2511" s="41" t="s">
        <v>20</v>
      </c>
      <c r="I2511" s="49" t="s">
        <v>23</v>
      </c>
      <c r="J2511" s="36">
        <f t="shared" si="20"/>
        <v>45820.5731</v>
      </c>
      <c r="K2511" s="49" t="s">
        <v>2378</v>
      </c>
      <c r="L2511" s="49" t="s">
        <v>23</v>
      </c>
      <c r="M2511" s="36">
        <f t="shared" si="26"/>
        <v>45820.67065</v>
      </c>
      <c r="N2511" s="30" t="str">
        <f t="shared" si="27"/>
        <v>Selesai</v>
      </c>
      <c r="O2511" s="45">
        <f t="shared" si="23"/>
        <v>45820.67065</v>
      </c>
      <c r="P2511" s="47" t="b">
        <v>0</v>
      </c>
      <c r="Q2511" s="36" t="str">
        <f t="shared" si="24"/>
        <v/>
      </c>
      <c r="R2511" s="47" t="b">
        <v>0</v>
      </c>
      <c r="S2511" s="42" t="str">
        <f t="shared" si="28"/>
        <v/>
      </c>
      <c r="T2511" s="42"/>
    </row>
    <row r="2512" ht="22.5" customHeight="1">
      <c r="B2512" s="42">
        <f t="shared" si="7"/>
        <v>2506</v>
      </c>
      <c r="C2512" s="31" t="s">
        <v>2589</v>
      </c>
      <c r="D2512" s="34" t="str">
        <f t="array" ref="D2512">IFNA(_xlfn.XLOOKUP(C2512,Table_Tarikan_Warkah[Nomor Sertipikat],Table_Tarikan_Warkah[Nomor Tiket]),"")</f>
        <v>K/1/020525/1</v>
      </c>
      <c r="E2512" s="36">
        <f t="array" ref="E2512">IFNA(_xlfn.XLOOKUP(D2512,Table_Tarikan_Warkah[Nomor Tiket],Table_Tarikan_Warkah[Tanggal diserahkan kepada Validator]),"")</f>
        <v>45824.45937</v>
      </c>
      <c r="F2512" s="36" t="str">
        <f t="array" ref="F2512">IFNA(_xlfn.XLOOKUP(D2512,Table_Tarikan_Warkah[Nomor Tiket],Table_Tarikan_Warkah[Nama Petugas Warkah]),"")</f>
        <v>Berry</v>
      </c>
      <c r="G2512" s="39" t="str">
        <f t="array" ref="G2512">IFNA(_xlfn.XLOOKUP(D2512,Table_Tarikan_Warkah[Nomor Tiket],Table_Tarikan_Warkah[Jenis Permohonan]),"")</f>
        <v>BN WARIS</v>
      </c>
      <c r="H2512" s="41" t="s">
        <v>20</v>
      </c>
      <c r="I2512" s="49" t="s">
        <v>23</v>
      </c>
      <c r="J2512" s="36">
        <f t="shared" si="20"/>
        <v>45820.5734</v>
      </c>
      <c r="K2512" s="49" t="s">
        <v>2378</v>
      </c>
      <c r="L2512" s="49" t="s">
        <v>23</v>
      </c>
      <c r="M2512" s="36">
        <f t="shared" si="26"/>
        <v>45820.67047</v>
      </c>
      <c r="N2512" s="30" t="str">
        <f t="shared" si="27"/>
        <v>Selesai</v>
      </c>
      <c r="O2512" s="45">
        <f t="shared" si="23"/>
        <v>45820.67047</v>
      </c>
      <c r="P2512" s="47" t="b">
        <v>0</v>
      </c>
      <c r="Q2512" s="36" t="str">
        <f t="shared" si="24"/>
        <v/>
      </c>
      <c r="R2512" s="47" t="b">
        <v>0</v>
      </c>
      <c r="S2512" s="42" t="str">
        <f t="shared" si="28"/>
        <v/>
      </c>
      <c r="T2512" s="42"/>
    </row>
    <row r="2513" ht="22.5" customHeight="1">
      <c r="B2513" s="42">
        <f t="shared" si="7"/>
        <v>2507</v>
      </c>
      <c r="C2513" s="31" t="s">
        <v>2563</v>
      </c>
      <c r="D2513" s="34" t="str">
        <f t="array" ref="D2513">IFNA(_xlfn.XLOOKUP(C2513,Table_Tarikan_Warkah[Nomor Sertipikat],Table_Tarikan_Warkah[Nomor Tiket]),"")</f>
        <v>K/42/220525/1</v>
      </c>
      <c r="E2513" s="36">
        <f t="array" ref="E2513">IFNA(_xlfn.XLOOKUP(D2513,Table_Tarikan_Warkah[Nomor Tiket],Table_Tarikan_Warkah[Tanggal diserahkan kepada Validator]),"")</f>
        <v>45825.6143</v>
      </c>
      <c r="F2513" s="36" t="str">
        <f t="array" ref="F2513">IFNA(_xlfn.XLOOKUP(D2513,Table_Tarikan_Warkah[Nomor Tiket],Table_Tarikan_Warkah[Nama Petugas Warkah]),"")</f>
        <v>Berry</v>
      </c>
      <c r="G2513" s="39" t="str">
        <f t="array" ref="G2513">IFNA(_xlfn.XLOOKUP(D2513,Table_Tarikan_Warkah[Nomor Tiket],Table_Tarikan_Warkah[Jenis Permohonan]),"")</f>
        <v>Perubahan Hak</v>
      </c>
      <c r="H2513" s="41" t="s">
        <v>20</v>
      </c>
      <c r="I2513" s="49" t="s">
        <v>23</v>
      </c>
      <c r="J2513" s="36">
        <f t="shared" si="20"/>
        <v>45821.47789</v>
      </c>
      <c r="K2513" s="49" t="s">
        <v>2378</v>
      </c>
      <c r="L2513" s="49" t="s">
        <v>23</v>
      </c>
      <c r="M2513" s="36">
        <f t="shared" si="26"/>
        <v>45820.66893</v>
      </c>
      <c r="N2513" s="30" t="str">
        <f t="shared" si="27"/>
        <v>Selesai</v>
      </c>
      <c r="O2513" s="45">
        <f t="shared" si="23"/>
        <v>45820.66893</v>
      </c>
      <c r="P2513" s="47" t="b">
        <v>0</v>
      </c>
      <c r="Q2513" s="36" t="str">
        <f t="shared" si="24"/>
        <v/>
      </c>
      <c r="R2513" s="47" t="b">
        <v>0</v>
      </c>
      <c r="S2513" s="42" t="str">
        <f t="shared" si="28"/>
        <v/>
      </c>
      <c r="T2513" s="42"/>
    </row>
    <row r="2514" ht="22.5" customHeight="1">
      <c r="B2514" s="42">
        <f t="shared" si="7"/>
        <v>2508</v>
      </c>
      <c r="C2514" s="31" t="s">
        <v>2590</v>
      </c>
      <c r="D2514" s="34" t="str">
        <f t="array" ref="D2514">IFNA(_xlfn.XLOOKUP(C2514,Table_Tarikan_Warkah[Nomor Sertipikat],Table_Tarikan_Warkah[Nomor Tiket]),"")</f>
        <v>K/44/210525/1</v>
      </c>
      <c r="E2514" s="36">
        <f t="array" ref="E2514">IFNA(_xlfn.XLOOKUP(D2514,Table_Tarikan_Warkah[Nomor Tiket],Table_Tarikan_Warkah[Tanggal diserahkan kepada Validator]),"")</f>
        <v>45827.67763</v>
      </c>
      <c r="F2514" s="36" t="str">
        <f t="array" ref="F2514">IFNA(_xlfn.XLOOKUP(D2514,Table_Tarikan_Warkah[Nomor Tiket],Table_Tarikan_Warkah[Nama Petugas Warkah]),"")</f>
        <v>Berry</v>
      </c>
      <c r="G2514" s="39" t="str">
        <f t="array" ref="G2514">IFNA(_xlfn.XLOOKUP(D2514,Table_Tarikan_Warkah[Nomor Tiket],Table_Tarikan_Warkah[Jenis Permohonan]),"")</f>
        <v>ROYA</v>
      </c>
      <c r="H2514" s="41" t="s">
        <v>20</v>
      </c>
      <c r="I2514" s="49" t="s">
        <v>23</v>
      </c>
      <c r="J2514" s="36">
        <f t="shared" si="20"/>
        <v>45821.47799</v>
      </c>
      <c r="K2514" s="49" t="s">
        <v>2378</v>
      </c>
      <c r="L2514" s="49" t="s">
        <v>23</v>
      </c>
      <c r="M2514" s="36">
        <f t="shared" si="26"/>
        <v>45821.62432</v>
      </c>
      <c r="N2514" s="30" t="str">
        <f t="shared" si="27"/>
        <v>Selesai</v>
      </c>
      <c r="O2514" s="45">
        <f t="shared" si="23"/>
        <v>45821.62432</v>
      </c>
      <c r="P2514" s="47" t="b">
        <v>0</v>
      </c>
      <c r="Q2514" s="36" t="str">
        <f t="shared" si="24"/>
        <v/>
      </c>
      <c r="R2514" s="47" t="b">
        <v>0</v>
      </c>
      <c r="S2514" s="42" t="str">
        <f t="shared" si="28"/>
        <v/>
      </c>
      <c r="T2514" s="42"/>
    </row>
    <row r="2515" ht="22.5" customHeight="1">
      <c r="B2515" s="42">
        <f t="shared" si="7"/>
        <v>2509</v>
      </c>
      <c r="C2515" s="31" t="s">
        <v>2591</v>
      </c>
      <c r="D2515" s="34" t="str">
        <f t="array" ref="D2515">IFNA(_xlfn.XLOOKUP(C2515,Table_Tarikan_Warkah[Nomor Sertipikat],Table_Tarikan_Warkah[Nomor Tiket]),"")</f>
        <v>K/17/210525/1</v>
      </c>
      <c r="E2515" s="36">
        <f t="array" ref="E2515">IFNA(_xlfn.XLOOKUP(D2515,Table_Tarikan_Warkah[Nomor Tiket],Table_Tarikan_Warkah[Tanggal diserahkan kepada Validator]),"")</f>
        <v>45831.65618</v>
      </c>
      <c r="F2515" s="36" t="str">
        <f t="array" ref="F2515">IFNA(_xlfn.XLOOKUP(D2515,Table_Tarikan_Warkah[Nomor Tiket],Table_Tarikan_Warkah[Nama Petugas Warkah]),"")</f>
        <v>Berry</v>
      </c>
      <c r="G2515" s="39" t="str">
        <f t="array" ref="G2515">IFNA(_xlfn.XLOOKUP(D2515,Table_Tarikan_Warkah[Nomor Tiket],Table_Tarikan_Warkah[Jenis Permohonan]),"")</f>
        <v>Roya</v>
      </c>
      <c r="H2515" s="41" t="s">
        <v>20</v>
      </c>
      <c r="I2515" s="49" t="s">
        <v>23</v>
      </c>
      <c r="J2515" s="36">
        <f t="shared" si="20"/>
        <v>45821.47815</v>
      </c>
      <c r="K2515" s="49" t="s">
        <v>2378</v>
      </c>
      <c r="L2515" s="49" t="s">
        <v>23</v>
      </c>
      <c r="M2515" s="36">
        <f t="shared" si="26"/>
        <v>45821.62417</v>
      </c>
      <c r="N2515" s="30" t="str">
        <f t="shared" si="27"/>
        <v>Selesai</v>
      </c>
      <c r="O2515" s="45">
        <f t="shared" si="23"/>
        <v>45821.62417</v>
      </c>
      <c r="P2515" s="47" t="b">
        <v>0</v>
      </c>
      <c r="Q2515" s="36" t="str">
        <f t="shared" si="24"/>
        <v/>
      </c>
      <c r="R2515" s="47" t="b">
        <v>0</v>
      </c>
      <c r="S2515" s="42" t="str">
        <f t="shared" si="28"/>
        <v/>
      </c>
      <c r="T2515" s="42"/>
    </row>
    <row r="2516" ht="22.5" customHeight="1">
      <c r="B2516" s="42">
        <f t="shared" si="7"/>
        <v>2510</v>
      </c>
      <c r="C2516" s="31" t="s">
        <v>2592</v>
      </c>
      <c r="D2516" s="34" t="str">
        <f t="array" ref="D2516">IFNA(_xlfn.XLOOKUP(C2516,Table_Tarikan_Warkah[Nomor Sertipikat],Table_Tarikan_Warkah[Nomor Tiket]),"")</f>
        <v>K/23/040625/2</v>
      </c>
      <c r="E2516" s="36">
        <f t="array" ref="E2516">IFNA(_xlfn.XLOOKUP(D2516,Table_Tarikan_Warkah[Nomor Tiket],Table_Tarikan_Warkah[Tanggal diserahkan kepada Validator]),"")</f>
        <v>45825.55223</v>
      </c>
      <c r="F2516" s="36" t="str">
        <f t="array" ref="F2516">IFNA(_xlfn.XLOOKUP(D2516,Table_Tarikan_Warkah[Nomor Tiket],Table_Tarikan_Warkah[Nama Petugas Warkah]),"")</f>
        <v>Berry</v>
      </c>
      <c r="G2516" s="39" t="str">
        <f t="array" ref="G2516">IFNA(_xlfn.XLOOKUP(D2516,Table_Tarikan_Warkah[Nomor Tiket],Table_Tarikan_Warkah[Jenis Permohonan]),"")</f>
        <v>BN Jual Beli</v>
      </c>
      <c r="H2516" s="41" t="s">
        <v>20</v>
      </c>
      <c r="I2516" s="49" t="s">
        <v>23</v>
      </c>
      <c r="J2516" s="36">
        <f t="shared" si="20"/>
        <v>45821.48217</v>
      </c>
      <c r="K2516" s="49" t="s">
        <v>2378</v>
      </c>
      <c r="L2516" s="49" t="s">
        <v>23</v>
      </c>
      <c r="M2516" s="36">
        <f t="shared" si="26"/>
        <v>45821.62407</v>
      </c>
      <c r="N2516" s="30" t="str">
        <f t="shared" si="27"/>
        <v>Selesai</v>
      </c>
      <c r="O2516" s="45">
        <f t="shared" si="23"/>
        <v>45821.62407</v>
      </c>
      <c r="P2516" s="47" t="b">
        <v>0</v>
      </c>
      <c r="Q2516" s="36" t="str">
        <f t="shared" si="24"/>
        <v/>
      </c>
      <c r="R2516" s="47" t="b">
        <v>0</v>
      </c>
      <c r="S2516" s="42" t="str">
        <f t="shared" si="28"/>
        <v/>
      </c>
      <c r="T2516" s="42"/>
    </row>
    <row r="2517" ht="22.5" customHeight="1">
      <c r="B2517" s="42">
        <f t="shared" si="7"/>
        <v>2511</v>
      </c>
      <c r="C2517" s="31" t="s">
        <v>2593</v>
      </c>
      <c r="D2517" s="34" t="str">
        <f t="array" ref="D2517">IFNA(_xlfn.XLOOKUP(C2517,Table_Tarikan_Warkah[Nomor Sertipikat],Table_Tarikan_Warkah[Nomor Tiket]),"")</f>
        <v>K/37/220525/2</v>
      </c>
      <c r="E2517" s="36">
        <f t="array" ref="E2517">IFNA(_xlfn.XLOOKUP(D2517,Table_Tarikan_Warkah[Nomor Tiket],Table_Tarikan_Warkah[Tanggal diserahkan kepada Validator]),"")</f>
        <v>45825.55319</v>
      </c>
      <c r="F2517" s="36" t="str">
        <f t="array" ref="F2517">IFNA(_xlfn.XLOOKUP(D2517,Table_Tarikan_Warkah[Nomor Tiket],Table_Tarikan_Warkah[Nama Petugas Warkah]),"")</f>
        <v>Berry</v>
      </c>
      <c r="G2517" s="39" t="str">
        <f t="array" ref="G2517">IFNA(_xlfn.XLOOKUP(D2517,Table_Tarikan_Warkah[Nomor Tiket],Table_Tarikan_Warkah[Jenis Permohonan]),"")</f>
        <v>BN Jual Beli</v>
      </c>
      <c r="H2517" s="41" t="s">
        <v>20</v>
      </c>
      <c r="I2517" s="49" t="s">
        <v>23</v>
      </c>
      <c r="J2517" s="36">
        <f t="shared" si="20"/>
        <v>45821.48225</v>
      </c>
      <c r="K2517" s="49" t="s">
        <v>2378</v>
      </c>
      <c r="L2517" s="49" t="s">
        <v>23</v>
      </c>
      <c r="M2517" s="36">
        <f t="shared" si="26"/>
        <v>45821.62396</v>
      </c>
      <c r="N2517" s="30" t="str">
        <f t="shared" si="27"/>
        <v>Selesai</v>
      </c>
      <c r="O2517" s="45">
        <f t="shared" si="23"/>
        <v>45821.62396</v>
      </c>
      <c r="P2517" s="47" t="b">
        <v>0</v>
      </c>
      <c r="Q2517" s="36" t="str">
        <f t="shared" si="24"/>
        <v/>
      </c>
      <c r="R2517" s="47" t="b">
        <v>0</v>
      </c>
      <c r="S2517" s="42" t="str">
        <f t="shared" si="28"/>
        <v/>
      </c>
      <c r="T2517" s="42"/>
    </row>
    <row r="2518" ht="22.5" customHeight="1">
      <c r="B2518" s="42">
        <f t="shared" si="7"/>
        <v>2512</v>
      </c>
      <c r="C2518" s="31" t="s">
        <v>2594</v>
      </c>
      <c r="D2518" s="34" t="str">
        <f t="array" ref="D2518">IFNA(_xlfn.XLOOKUP(C2518,Table_Tarikan_Warkah[Nomor Sertipikat],Table_Tarikan_Warkah[Nomor Tiket]),"")</f>
        <v/>
      </c>
      <c r="E2518" s="36" t="str">
        <f t="array" ref="E2518">IFNA(_xlfn.XLOOKUP(D2518,Table_Tarikan_Warkah[Nomor Tiket],Table_Tarikan_Warkah[Tanggal diserahkan kepada Validator]),"")</f>
        <v/>
      </c>
      <c r="F2518" s="36" t="str">
        <f t="array" ref="F2518">IFNA(_xlfn.XLOOKUP(D2518,Table_Tarikan_Warkah[Nomor Tiket],Table_Tarikan_Warkah[Nama Petugas Warkah]),"")</f>
        <v/>
      </c>
      <c r="G2518" s="39" t="str">
        <f t="array" ref="G2518">IFNA(_xlfn.XLOOKUP(D2518,Table_Tarikan_Warkah[Nomor Tiket],Table_Tarikan_Warkah[Jenis Permohonan]),"")</f>
        <v/>
      </c>
      <c r="H2518" s="41" t="s">
        <v>20</v>
      </c>
      <c r="I2518" s="49" t="s">
        <v>23</v>
      </c>
      <c r="J2518" s="36">
        <f t="shared" si="20"/>
        <v>45821.48277</v>
      </c>
      <c r="K2518" s="49" t="s">
        <v>2378</v>
      </c>
      <c r="L2518" s="49" t="s">
        <v>23</v>
      </c>
      <c r="M2518" s="36">
        <f t="shared" si="26"/>
        <v>45821.62465</v>
      </c>
      <c r="N2518" s="30" t="str">
        <f t="shared" si="27"/>
        <v/>
      </c>
      <c r="O2518" s="39" t="str">
        <f t="shared" si="23"/>
        <v/>
      </c>
      <c r="P2518" s="47" t="b">
        <v>0</v>
      </c>
      <c r="Q2518" s="36" t="str">
        <f t="shared" si="24"/>
        <v/>
      </c>
      <c r="R2518" s="47" t="b">
        <v>0</v>
      </c>
      <c r="S2518" s="42" t="str">
        <f t="shared" si="28"/>
        <v/>
      </c>
      <c r="T2518" s="42"/>
    </row>
    <row r="2519" ht="22.5" customHeight="1">
      <c r="B2519" s="42">
        <f t="shared" si="7"/>
        <v>2513</v>
      </c>
      <c r="C2519" s="31" t="s">
        <v>2595</v>
      </c>
      <c r="D2519" s="34" t="str">
        <f t="array" ref="D2519">IFNA(_xlfn.XLOOKUP(C2519,Table_Tarikan_Warkah[Nomor Sertipikat],Table_Tarikan_Warkah[Nomor Tiket]),"")</f>
        <v>K/4/020625/1</v>
      </c>
      <c r="E2519" s="36">
        <f t="array" ref="E2519">IFNA(_xlfn.XLOOKUP(D2519,Table_Tarikan_Warkah[Nomor Tiket],Table_Tarikan_Warkah[Tanggal diserahkan kepada Validator]),"")</f>
        <v>45824.50794</v>
      </c>
      <c r="F2519" s="36" t="str">
        <f t="array" ref="F2519">IFNA(_xlfn.XLOOKUP(D2519,Table_Tarikan_Warkah[Nomor Tiket],Table_Tarikan_Warkah[Nama Petugas Warkah]),"")</f>
        <v>Berry</v>
      </c>
      <c r="G2519" s="39" t="str">
        <f t="array" ref="G2519">IFNA(_xlfn.XLOOKUP(D2519,Table_Tarikan_Warkah[Nomor Tiket],Table_Tarikan_Warkah[Jenis Permohonan]),"")</f>
        <v>BN JUAL BELI</v>
      </c>
      <c r="H2519" s="41" t="s">
        <v>20</v>
      </c>
      <c r="I2519" s="49" t="s">
        <v>23</v>
      </c>
      <c r="J2519" s="36">
        <f t="shared" si="20"/>
        <v>45821.48289</v>
      </c>
      <c r="K2519" s="49" t="s">
        <v>2378</v>
      </c>
      <c r="L2519" s="49" t="s">
        <v>23</v>
      </c>
      <c r="M2519" s="36">
        <f t="shared" si="26"/>
        <v>45821.62329</v>
      </c>
      <c r="N2519" s="30" t="str">
        <f t="shared" si="27"/>
        <v>Selesai</v>
      </c>
      <c r="O2519" s="45">
        <f t="shared" si="23"/>
        <v>45821.62329</v>
      </c>
      <c r="P2519" s="47" t="b">
        <v>0</v>
      </c>
      <c r="Q2519" s="36" t="str">
        <f t="shared" si="24"/>
        <v/>
      </c>
      <c r="R2519" s="47" t="b">
        <v>0</v>
      </c>
      <c r="S2519" s="42" t="str">
        <f t="shared" si="28"/>
        <v/>
      </c>
      <c r="T2519" s="42"/>
    </row>
    <row r="2520" ht="22.5" customHeight="1">
      <c r="B2520" s="42">
        <f t="shared" si="7"/>
        <v>2514</v>
      </c>
      <c r="C2520" s="31" t="s">
        <v>2596</v>
      </c>
      <c r="D2520" s="34" t="str">
        <f t="array" ref="D2520">IFNA(_xlfn.XLOOKUP(C2520,Table_Tarikan_Warkah[Nomor Sertipikat],Table_Tarikan_Warkah[Nomor Tiket]),"")</f>
        <v>L/16/090525/1</v>
      </c>
      <c r="E2520" s="36" t="str">
        <f t="array" ref="E2520">IFNA(_xlfn.XLOOKUP(D2520,Table_Tarikan_Warkah[Nomor Tiket],Table_Tarikan_Warkah[Tanggal diserahkan kepada Validator]),"")</f>
        <v/>
      </c>
      <c r="F2520" s="36" t="str">
        <f t="array" ref="F2520">IFNA(_xlfn.XLOOKUP(D2520,Table_Tarikan_Warkah[Nomor Tiket],Table_Tarikan_Warkah[Nama Petugas Warkah]),"")</f>
        <v/>
      </c>
      <c r="G2520" s="39" t="str">
        <f t="array" ref="G2520">IFNA(_xlfn.XLOOKUP(D2520,Table_Tarikan_Warkah[Nomor Tiket],Table_Tarikan_Warkah[Jenis Permohonan]),"")</f>
        <v>ROYA</v>
      </c>
      <c r="H2520" s="41" t="s">
        <v>2315</v>
      </c>
      <c r="I2520" s="49" t="s">
        <v>23</v>
      </c>
      <c r="J2520" s="36">
        <f t="shared" si="20"/>
        <v>45821.56921</v>
      </c>
      <c r="K2520" s="49" t="s">
        <v>2378</v>
      </c>
      <c r="L2520" s="49" t="s">
        <v>23</v>
      </c>
      <c r="M2520" s="36">
        <f t="shared" si="26"/>
        <v>45821.62257</v>
      </c>
      <c r="N2520" s="30" t="str">
        <f t="shared" si="27"/>
        <v>Selesai</v>
      </c>
      <c r="O2520" s="45">
        <f t="shared" si="23"/>
        <v>45821.62257</v>
      </c>
      <c r="P2520" s="47" t="b">
        <v>0</v>
      </c>
      <c r="Q2520" s="36" t="str">
        <f t="shared" si="24"/>
        <v/>
      </c>
      <c r="R2520" s="47" t="b">
        <v>0</v>
      </c>
      <c r="S2520" s="42" t="str">
        <f t="shared" si="28"/>
        <v/>
      </c>
      <c r="T2520" s="42"/>
    </row>
    <row r="2521" ht="22.5" customHeight="1">
      <c r="B2521" s="42">
        <f t="shared" si="7"/>
        <v>2515</v>
      </c>
      <c r="C2521" s="31" t="s">
        <v>2597</v>
      </c>
      <c r="D2521" s="34" t="str">
        <f t="array" ref="D2521">IFNA(_xlfn.XLOOKUP(C2521,Table_Tarikan_Warkah[Nomor Sertipikat],Table_Tarikan_Warkah[Nomor Tiket]),"")</f>
        <v>L/29/040625/1</v>
      </c>
      <c r="E2521" s="36">
        <f t="array" ref="E2521">IFNA(_xlfn.XLOOKUP(D2521,Table_Tarikan_Warkah[Nomor Tiket],Table_Tarikan_Warkah[Tanggal diserahkan kepada Validator]),"")</f>
        <v>45833.66581</v>
      </c>
      <c r="F2521" s="36" t="str">
        <f t="array" ref="F2521">IFNA(_xlfn.XLOOKUP(D2521,Table_Tarikan_Warkah[Nomor Tiket],Table_Tarikan_Warkah[Nama Petugas Warkah]),"")</f>
        <v>David</v>
      </c>
      <c r="G2521" s="39" t="str">
        <f t="array" ref="G2521">IFNA(_xlfn.XLOOKUP(D2521,Table_Tarikan_Warkah[Nomor Tiket],Table_Tarikan_Warkah[Jenis Permohonan]),"")</f>
        <v>ROYA</v>
      </c>
      <c r="H2521" s="41" t="s">
        <v>2315</v>
      </c>
      <c r="I2521" s="49" t="s">
        <v>23</v>
      </c>
      <c r="J2521" s="36">
        <f t="shared" si="20"/>
        <v>45821.56941</v>
      </c>
      <c r="K2521" s="49" t="s">
        <v>2378</v>
      </c>
      <c r="L2521" s="49" t="s">
        <v>23</v>
      </c>
      <c r="M2521" s="36">
        <f t="shared" si="26"/>
        <v>45821.62215</v>
      </c>
      <c r="N2521" s="30" t="str">
        <f t="shared" si="27"/>
        <v>Selesai</v>
      </c>
      <c r="O2521" s="45">
        <f t="shared" si="23"/>
        <v>45821.62215</v>
      </c>
      <c r="P2521" s="47" t="b">
        <v>0</v>
      </c>
      <c r="Q2521" s="36" t="str">
        <f t="shared" si="24"/>
        <v/>
      </c>
      <c r="R2521" s="47" t="b">
        <v>0</v>
      </c>
      <c r="S2521" s="42" t="str">
        <f t="shared" si="28"/>
        <v/>
      </c>
      <c r="T2521" s="42"/>
    </row>
    <row r="2522" ht="22.5" customHeight="1">
      <c r="B2522" s="42">
        <f t="shared" si="7"/>
        <v>2516</v>
      </c>
      <c r="C2522" s="31" t="s">
        <v>2598</v>
      </c>
      <c r="D2522" s="34" t="str">
        <f t="array" ref="D2522">IFNA(_xlfn.XLOOKUP(C2522,Table_Tarikan_Warkah[Nomor Sertipikat],Table_Tarikan_Warkah[Nomor Tiket]),"")</f>
        <v>K/2/160425/1</v>
      </c>
      <c r="E2522" s="36" t="str">
        <f t="array" ref="E2522">IFNA(_xlfn.XLOOKUP(D2522,Table_Tarikan_Warkah[Nomor Tiket],Table_Tarikan_Warkah[Tanggal diserahkan kepada Validator]),"")</f>
        <v/>
      </c>
      <c r="F2522" s="36" t="str">
        <f t="array" ref="F2522">IFNA(_xlfn.XLOOKUP(D2522,Table_Tarikan_Warkah[Nomor Tiket],Table_Tarikan_Warkah[Nama Petugas Warkah]),"")</f>
        <v/>
      </c>
      <c r="G2522" s="39" t="str">
        <f t="array" ref="G2522">IFNA(_xlfn.XLOOKUP(D2522,Table_Tarikan_Warkah[Nomor Tiket],Table_Tarikan_Warkah[Jenis Permohonan]),"")</f>
        <v>SKPT Lelang</v>
      </c>
      <c r="H2522" s="41" t="s">
        <v>2315</v>
      </c>
      <c r="I2522" s="49" t="s">
        <v>23</v>
      </c>
      <c r="J2522" s="36">
        <f t="shared" si="20"/>
        <v>45821.56964</v>
      </c>
      <c r="K2522" s="49" t="s">
        <v>2378</v>
      </c>
      <c r="L2522" s="49" t="s">
        <v>23</v>
      </c>
      <c r="M2522" s="36">
        <f t="shared" si="26"/>
        <v>45821.62235</v>
      </c>
      <c r="N2522" s="30" t="str">
        <f t="shared" si="27"/>
        <v>Selesai</v>
      </c>
      <c r="O2522" s="45">
        <f t="shared" si="23"/>
        <v>45821.62235</v>
      </c>
      <c r="P2522" s="47" t="b">
        <v>0</v>
      </c>
      <c r="Q2522" s="36" t="str">
        <f t="shared" si="24"/>
        <v/>
      </c>
      <c r="R2522" s="47" t="b">
        <v>0</v>
      </c>
      <c r="S2522" s="42" t="str">
        <f t="shared" si="28"/>
        <v/>
      </c>
      <c r="T2522" s="42"/>
    </row>
    <row r="2523" ht="22.5" customHeight="1">
      <c r="B2523" s="42">
        <f t="shared" si="7"/>
        <v>2517</v>
      </c>
      <c r="C2523" s="31" t="s">
        <v>2599</v>
      </c>
      <c r="D2523" s="34" t="str">
        <f t="array" ref="D2523">IFNA(_xlfn.XLOOKUP(C2523,Table_Tarikan_Warkah[Nomor Sertipikat],Table_Tarikan_Warkah[Nomor Tiket]),"")</f>
        <v>L/23/020625/1</v>
      </c>
      <c r="E2523" s="36">
        <f t="array" ref="E2523">IFNA(_xlfn.XLOOKUP(D2523,Table_Tarikan_Warkah[Nomor Tiket],Table_Tarikan_Warkah[Tanggal diserahkan kepada Validator]),"")</f>
        <v>45833.66559</v>
      </c>
      <c r="F2523" s="36" t="str">
        <f t="array" ref="F2523">IFNA(_xlfn.XLOOKUP(D2523,Table_Tarikan_Warkah[Nomor Tiket],Table_Tarikan_Warkah[Nama Petugas Warkah]),"")</f>
        <v>David</v>
      </c>
      <c r="G2523" s="39" t="str">
        <f t="array" ref="G2523">IFNA(_xlfn.XLOOKUP(D2523,Table_Tarikan_Warkah[Nomor Tiket],Table_Tarikan_Warkah[Jenis Permohonan]),"")</f>
        <v>ROYA</v>
      </c>
      <c r="H2523" s="41" t="s">
        <v>2315</v>
      </c>
      <c r="I2523" s="49" t="s">
        <v>23</v>
      </c>
      <c r="J2523" s="36">
        <f t="shared" si="20"/>
        <v>45821.5698</v>
      </c>
      <c r="K2523" s="49" t="s">
        <v>2378</v>
      </c>
      <c r="L2523" s="49" t="s">
        <v>23</v>
      </c>
      <c r="M2523" s="36">
        <f t="shared" si="26"/>
        <v>45821.62306</v>
      </c>
      <c r="N2523" s="30" t="str">
        <f t="shared" si="27"/>
        <v>Selesai</v>
      </c>
      <c r="O2523" s="45">
        <f t="shared" si="23"/>
        <v>45821.62306</v>
      </c>
      <c r="P2523" s="47" t="b">
        <v>0</v>
      </c>
      <c r="Q2523" s="36" t="str">
        <f t="shared" si="24"/>
        <v/>
      </c>
      <c r="R2523" s="47" t="b">
        <v>0</v>
      </c>
      <c r="S2523" s="42" t="str">
        <f t="shared" si="28"/>
        <v/>
      </c>
      <c r="T2523" s="42"/>
    </row>
    <row r="2524" ht="22.5" customHeight="1">
      <c r="B2524" s="42">
        <f t="shared" si="7"/>
        <v>2518</v>
      </c>
      <c r="C2524" s="31" t="s">
        <v>2600</v>
      </c>
      <c r="D2524" s="34" t="str">
        <f t="array" ref="D2524">IFNA(_xlfn.XLOOKUP(C2524,Table_Tarikan_Warkah[Nomor Sertipikat],Table_Tarikan_Warkah[Nomor Tiket]),"")</f>
        <v>L/22/050625/1</v>
      </c>
      <c r="E2524" s="36">
        <f t="array" ref="E2524">IFNA(_xlfn.XLOOKUP(D2524,Table_Tarikan_Warkah[Nomor Tiket],Table_Tarikan_Warkah[Tanggal diserahkan kepada Validator]),"")</f>
        <v>45831.66</v>
      </c>
      <c r="F2524" s="36" t="str">
        <f t="array" ref="F2524">IFNA(_xlfn.XLOOKUP(D2524,Table_Tarikan_Warkah[Nomor Tiket],Table_Tarikan_Warkah[Nama Petugas Warkah]),"")</f>
        <v>Berry</v>
      </c>
      <c r="G2524" s="39" t="str">
        <f t="array" ref="G2524">IFNA(_xlfn.XLOOKUP(D2524,Table_Tarikan_Warkah[Nomor Tiket],Table_Tarikan_Warkah[Jenis Permohonan]),"")</f>
        <v>ROYA</v>
      </c>
      <c r="H2524" s="41" t="s">
        <v>2315</v>
      </c>
      <c r="I2524" s="49" t="s">
        <v>23</v>
      </c>
      <c r="J2524" s="36">
        <f t="shared" si="20"/>
        <v>45821.57008</v>
      </c>
      <c r="K2524" s="49" t="s">
        <v>2378</v>
      </c>
      <c r="L2524" s="49" t="s">
        <v>23</v>
      </c>
      <c r="M2524" s="36">
        <f t="shared" si="26"/>
        <v>45821.62302</v>
      </c>
      <c r="N2524" s="30" t="str">
        <f t="shared" si="27"/>
        <v>Selesai</v>
      </c>
      <c r="O2524" s="45">
        <f t="shared" si="23"/>
        <v>45821.62302</v>
      </c>
      <c r="P2524" s="47" t="b">
        <v>0</v>
      </c>
      <c r="Q2524" s="36" t="str">
        <f t="shared" si="24"/>
        <v/>
      </c>
      <c r="R2524" s="47" t="b">
        <v>0</v>
      </c>
      <c r="S2524" s="42" t="str">
        <f t="shared" si="28"/>
        <v/>
      </c>
      <c r="T2524" s="42"/>
    </row>
    <row r="2525" ht="22.5" customHeight="1">
      <c r="B2525" s="42">
        <f t="shared" si="7"/>
        <v>2519</v>
      </c>
      <c r="C2525" s="31" t="s">
        <v>2601</v>
      </c>
      <c r="D2525" s="34" t="str">
        <f t="array" ref="D2525">IFNA(_xlfn.XLOOKUP(C2525,Table_Tarikan_Warkah[Nomor Sertipikat],Table_Tarikan_Warkah[Nomor Tiket]),"")</f>
        <v>L/3/030625/1</v>
      </c>
      <c r="E2525" s="36">
        <f t="array" ref="E2525">IFNA(_xlfn.XLOOKUP(D2525,Table_Tarikan_Warkah[Nomor Tiket],Table_Tarikan_Warkah[Tanggal diserahkan kepada Validator]),"")</f>
        <v>45831.66124</v>
      </c>
      <c r="F2525" s="36" t="str">
        <f t="array" ref="F2525">IFNA(_xlfn.XLOOKUP(D2525,Table_Tarikan_Warkah[Nomor Tiket],Table_Tarikan_Warkah[Nama Petugas Warkah]),"")</f>
        <v>Berry</v>
      </c>
      <c r="G2525" s="39" t="str">
        <f t="array" ref="G2525">IFNA(_xlfn.XLOOKUP(D2525,Table_Tarikan_Warkah[Nomor Tiket],Table_Tarikan_Warkah[Jenis Permohonan]),"")</f>
        <v>ROYA</v>
      </c>
      <c r="H2525" s="41" t="s">
        <v>2315</v>
      </c>
      <c r="I2525" s="49" t="s">
        <v>23</v>
      </c>
      <c r="J2525" s="36">
        <f t="shared" si="20"/>
        <v>45821.57022</v>
      </c>
      <c r="K2525" s="49" t="s">
        <v>2378</v>
      </c>
      <c r="L2525" s="49" t="s">
        <v>23</v>
      </c>
      <c r="M2525" s="36">
        <f t="shared" si="26"/>
        <v>45821.62317</v>
      </c>
      <c r="N2525" s="30" t="str">
        <f t="shared" si="27"/>
        <v>Selesai</v>
      </c>
      <c r="O2525" s="45">
        <f t="shared" si="23"/>
        <v>45821.62317</v>
      </c>
      <c r="P2525" s="47" t="b">
        <v>0</v>
      </c>
      <c r="Q2525" s="36" t="str">
        <f t="shared" si="24"/>
        <v/>
      </c>
      <c r="R2525" s="47" t="b">
        <v>0</v>
      </c>
      <c r="S2525" s="42" t="str">
        <f t="shared" si="28"/>
        <v/>
      </c>
      <c r="T2525" s="42"/>
    </row>
    <row r="2526" ht="22.5" customHeight="1">
      <c r="B2526" s="42">
        <f t="shared" si="7"/>
        <v>2520</v>
      </c>
      <c r="C2526" s="31" t="s">
        <v>2602</v>
      </c>
      <c r="D2526" s="34" t="str">
        <f t="array" ref="D2526">IFNA(_xlfn.XLOOKUP(C2526,Table_Tarikan_Warkah[Nomor Sertipikat],Table_Tarikan_Warkah[Nomor Tiket]),"")</f>
        <v>K/15/190525/1</v>
      </c>
      <c r="E2526" s="36">
        <f t="array" ref="E2526">IFNA(_xlfn.XLOOKUP(D2526,Table_Tarikan_Warkah[Nomor Tiket],Table_Tarikan_Warkah[Tanggal diserahkan kepada Validator]),"")</f>
        <v>45824.52844</v>
      </c>
      <c r="F2526" s="36" t="str">
        <f t="array" ref="F2526">IFNA(_xlfn.XLOOKUP(D2526,Table_Tarikan_Warkah[Nomor Tiket],Table_Tarikan_Warkah[Nama Petugas Warkah]),"")</f>
        <v>Berry</v>
      </c>
      <c r="G2526" s="39" t="str">
        <f t="array" ref="G2526">IFNA(_xlfn.XLOOKUP(D2526,Table_Tarikan_Warkah[Nomor Tiket],Table_Tarikan_Warkah[Jenis Permohonan]),"")</f>
        <v>BN Waris</v>
      </c>
      <c r="H2526" s="41" t="s">
        <v>20</v>
      </c>
      <c r="I2526" s="49" t="s">
        <v>23</v>
      </c>
      <c r="J2526" s="36">
        <f t="shared" si="20"/>
        <v>45824.38928</v>
      </c>
      <c r="K2526" s="49" t="s">
        <v>920</v>
      </c>
      <c r="L2526" s="49" t="s">
        <v>23</v>
      </c>
      <c r="M2526" s="36">
        <f t="shared" si="26"/>
        <v>45824.38931</v>
      </c>
      <c r="N2526" s="30" t="str">
        <f t="shared" si="27"/>
        <v>Selesai</v>
      </c>
      <c r="O2526" s="45">
        <f t="shared" si="23"/>
        <v>45824.38931</v>
      </c>
      <c r="P2526" s="47" t="b">
        <v>1</v>
      </c>
      <c r="Q2526" s="36">
        <f t="shared" si="24"/>
        <v>45824.38935</v>
      </c>
      <c r="R2526" s="47" t="b">
        <v>0</v>
      </c>
      <c r="S2526" s="42" t="str">
        <f t="shared" si="28"/>
        <v/>
      </c>
      <c r="T2526" s="42"/>
    </row>
    <row r="2527" ht="22.5" customHeight="1">
      <c r="B2527" s="42">
        <f t="shared" si="7"/>
        <v>2521</v>
      </c>
      <c r="C2527" s="31" t="s">
        <v>2603</v>
      </c>
      <c r="D2527" s="34" t="str">
        <f t="array" ref="D2527">IFNA(_xlfn.XLOOKUP(C2527,Table_Tarikan_Warkah[Nomor Sertipikat],Table_Tarikan_Warkah[Nomor Tiket]),"")</f>
        <v>K/17/220525/1</v>
      </c>
      <c r="E2527" s="36">
        <f t="array" ref="E2527">IFNA(_xlfn.XLOOKUP(D2527,Table_Tarikan_Warkah[Nomor Tiket],Table_Tarikan_Warkah[Tanggal diserahkan kepada Validator]),"")</f>
        <v>45824.52625</v>
      </c>
      <c r="F2527" s="36" t="str">
        <f t="array" ref="F2527">IFNA(_xlfn.XLOOKUP(D2527,Table_Tarikan_Warkah[Nomor Tiket],Table_Tarikan_Warkah[Nama Petugas Warkah]),"")</f>
        <v>Berry</v>
      </c>
      <c r="G2527" s="39" t="str">
        <f t="array" ref="G2527">IFNA(_xlfn.XLOOKUP(D2527,Table_Tarikan_Warkah[Nomor Tiket],Table_Tarikan_Warkah[Jenis Permohonan]),"")</f>
        <v>BN Jual Beli</v>
      </c>
      <c r="H2527" s="41" t="s">
        <v>20</v>
      </c>
      <c r="I2527" s="49" t="s">
        <v>23</v>
      </c>
      <c r="J2527" s="36">
        <f t="shared" si="20"/>
        <v>45824.38982</v>
      </c>
      <c r="K2527" s="49" t="s">
        <v>920</v>
      </c>
      <c r="L2527" s="49" t="s">
        <v>23</v>
      </c>
      <c r="M2527" s="36">
        <f t="shared" si="26"/>
        <v>45824.38986</v>
      </c>
      <c r="N2527" s="30" t="str">
        <f t="shared" si="27"/>
        <v>Selesai</v>
      </c>
      <c r="O2527" s="45">
        <f t="shared" si="23"/>
        <v>45824.38986</v>
      </c>
      <c r="P2527" s="47" t="b">
        <v>1</v>
      </c>
      <c r="Q2527" s="36">
        <f t="shared" si="24"/>
        <v>45824.38995</v>
      </c>
      <c r="R2527" s="47" t="b">
        <v>0</v>
      </c>
      <c r="S2527" s="42" t="str">
        <f t="shared" si="28"/>
        <v/>
      </c>
      <c r="T2527" s="42"/>
    </row>
    <row r="2528" ht="22.5" customHeight="1">
      <c r="B2528" s="42">
        <f t="shared" si="7"/>
        <v>2522</v>
      </c>
      <c r="C2528" s="31" t="s">
        <v>2604</v>
      </c>
      <c r="D2528" s="34" t="str">
        <f t="array" ref="D2528">IFNA(_xlfn.XLOOKUP(C2528,Table_Tarikan_Warkah[Nomor Sertipikat],Table_Tarikan_Warkah[Nomor Tiket]),"")</f>
        <v>K/49/050625/1</v>
      </c>
      <c r="E2528" s="36">
        <f t="array" ref="E2528">IFNA(_xlfn.XLOOKUP(D2528,Table_Tarikan_Warkah[Nomor Tiket],Table_Tarikan_Warkah[Tanggal diserahkan kepada Validator]),"")</f>
        <v>45824.52253</v>
      </c>
      <c r="F2528" s="36" t="str">
        <f t="array" ref="F2528">IFNA(_xlfn.XLOOKUP(D2528,Table_Tarikan_Warkah[Nomor Tiket],Table_Tarikan_Warkah[Nama Petugas Warkah]),"")</f>
        <v>Berry</v>
      </c>
      <c r="G2528" s="39" t="str">
        <f t="array" ref="G2528">IFNA(_xlfn.XLOOKUP(D2528,Table_Tarikan_Warkah[Nomor Tiket],Table_Tarikan_Warkah[Jenis Permohonan]),"")</f>
        <v>BN Jual Beli</v>
      </c>
      <c r="H2528" s="41" t="s">
        <v>20</v>
      </c>
      <c r="I2528" s="49" t="s">
        <v>23</v>
      </c>
      <c r="J2528" s="36">
        <f t="shared" si="20"/>
        <v>45824.39011</v>
      </c>
      <c r="K2528" s="49" t="s">
        <v>920</v>
      </c>
      <c r="L2528" s="49" t="s">
        <v>23</v>
      </c>
      <c r="M2528" s="36">
        <f t="shared" si="26"/>
        <v>45824.39015</v>
      </c>
      <c r="N2528" s="30" t="str">
        <f t="shared" si="27"/>
        <v>Selesai</v>
      </c>
      <c r="O2528" s="45">
        <f t="shared" si="23"/>
        <v>45824.39015</v>
      </c>
      <c r="P2528" s="47" t="b">
        <v>1</v>
      </c>
      <c r="Q2528" s="36">
        <f t="shared" si="24"/>
        <v>45824.3902</v>
      </c>
      <c r="R2528" s="47" t="b">
        <v>0</v>
      </c>
      <c r="S2528" s="42" t="str">
        <f t="shared" si="28"/>
        <v/>
      </c>
      <c r="T2528" s="42"/>
    </row>
    <row r="2529" ht="22.5" customHeight="1">
      <c r="B2529" s="42">
        <f t="shared" si="7"/>
        <v>2523</v>
      </c>
      <c r="C2529" s="31" t="s">
        <v>2605</v>
      </c>
      <c r="D2529" s="34" t="str">
        <f t="array" ref="D2529">IFNA(_xlfn.XLOOKUP(C2529,Table_Tarikan_Warkah[Nomor Sertipikat],Table_Tarikan_Warkah[Nomor Tiket]),"")</f>
        <v>K/40/080525/1</v>
      </c>
      <c r="E2529" s="36">
        <f t="array" ref="E2529">IFNA(_xlfn.XLOOKUP(D2529,Table_Tarikan_Warkah[Nomor Tiket],Table_Tarikan_Warkah[Tanggal diserahkan kepada Validator]),"")</f>
        <v>45824.53488</v>
      </c>
      <c r="F2529" s="36" t="str">
        <f t="array" ref="F2529">IFNA(_xlfn.XLOOKUP(D2529,Table_Tarikan_Warkah[Nomor Tiket],Table_Tarikan_Warkah[Nama Petugas Warkah]),"")</f>
        <v>Berry</v>
      </c>
      <c r="G2529" s="39" t="str">
        <f t="array" ref="G2529">IFNA(_xlfn.XLOOKUP(D2529,Table_Tarikan_Warkah[Nomor Tiket],Table_Tarikan_Warkah[Jenis Permohonan]),"")</f>
        <v>BN Jual Beli</v>
      </c>
      <c r="H2529" s="41" t="s">
        <v>20</v>
      </c>
      <c r="I2529" s="49" t="s">
        <v>23</v>
      </c>
      <c r="J2529" s="36">
        <f t="shared" si="20"/>
        <v>45824.39035</v>
      </c>
      <c r="K2529" s="49" t="s">
        <v>920</v>
      </c>
      <c r="L2529" s="49" t="s">
        <v>23</v>
      </c>
      <c r="M2529" s="36">
        <f t="shared" si="26"/>
        <v>45824.39044</v>
      </c>
      <c r="N2529" s="30" t="str">
        <f t="shared" si="27"/>
        <v>Selesai</v>
      </c>
      <c r="O2529" s="45">
        <f t="shared" si="23"/>
        <v>45824.39044</v>
      </c>
      <c r="P2529" s="47" t="b">
        <v>1</v>
      </c>
      <c r="Q2529" s="36">
        <f t="shared" si="24"/>
        <v>45824.39047</v>
      </c>
      <c r="R2529" s="47" t="b">
        <v>0</v>
      </c>
      <c r="S2529" s="42" t="str">
        <f t="shared" si="28"/>
        <v/>
      </c>
      <c r="T2529" s="42"/>
    </row>
    <row r="2530" ht="22.5" customHeight="1">
      <c r="B2530" s="42">
        <f t="shared" si="7"/>
        <v>2524</v>
      </c>
      <c r="C2530" s="31" t="s">
        <v>2606</v>
      </c>
      <c r="D2530" s="34" t="str">
        <f t="array" ref="D2530">IFNA(_xlfn.XLOOKUP(C2530,Table_Tarikan_Warkah[Nomor Sertipikat],Table_Tarikan_Warkah[Nomor Tiket]),"")</f>
        <v>K/8/230525/1</v>
      </c>
      <c r="E2530" s="36">
        <f t="array" ref="E2530">IFNA(_xlfn.XLOOKUP(D2530,Table_Tarikan_Warkah[Nomor Tiket],Table_Tarikan_Warkah[Tanggal diserahkan kepada Validator]),"")</f>
        <v>45824.50949</v>
      </c>
      <c r="F2530" s="36" t="str">
        <f t="array" ref="F2530">IFNA(_xlfn.XLOOKUP(D2530,Table_Tarikan_Warkah[Nomor Tiket],Table_Tarikan_Warkah[Nama Petugas Warkah]),"")</f>
        <v>Berry</v>
      </c>
      <c r="G2530" s="39" t="str">
        <f t="array" ref="G2530">IFNA(_xlfn.XLOOKUP(D2530,Table_Tarikan_Warkah[Nomor Tiket],Table_Tarikan_Warkah[Jenis Permohonan]),"")</f>
        <v>BN Jual Beli</v>
      </c>
      <c r="H2530" s="41" t="s">
        <v>20</v>
      </c>
      <c r="I2530" s="49" t="s">
        <v>23</v>
      </c>
      <c r="J2530" s="36">
        <f t="shared" si="20"/>
        <v>45824.39081</v>
      </c>
      <c r="K2530" s="49" t="s">
        <v>920</v>
      </c>
      <c r="L2530" s="49" t="s">
        <v>23</v>
      </c>
      <c r="M2530" s="36">
        <f t="shared" si="26"/>
        <v>45824.3909</v>
      </c>
      <c r="N2530" s="30" t="str">
        <f t="shared" si="27"/>
        <v>Selesai</v>
      </c>
      <c r="O2530" s="45">
        <f t="shared" si="23"/>
        <v>45824.3909</v>
      </c>
      <c r="P2530" s="47" t="b">
        <v>1</v>
      </c>
      <c r="Q2530" s="36">
        <f t="shared" si="24"/>
        <v>45824.39096</v>
      </c>
      <c r="R2530" s="47" t="b">
        <v>0</v>
      </c>
      <c r="S2530" s="42" t="str">
        <f t="shared" si="28"/>
        <v/>
      </c>
      <c r="T2530" s="42"/>
    </row>
    <row r="2531" ht="22.5" customHeight="1">
      <c r="B2531" s="42">
        <f t="shared" si="7"/>
        <v>2525</v>
      </c>
      <c r="C2531" s="31" t="s">
        <v>2607</v>
      </c>
      <c r="D2531" s="34" t="str">
        <f t="array" ref="D2531">IFNA(_xlfn.XLOOKUP(C2531,Table_Tarikan_Warkah[Nomor Sertipikat],Table_Tarikan_Warkah[Nomor Tiket]),"")</f>
        <v>K/9/230525/2</v>
      </c>
      <c r="E2531" s="36">
        <f t="array" ref="E2531">IFNA(_xlfn.XLOOKUP(D2531,Table_Tarikan_Warkah[Nomor Tiket],Table_Tarikan_Warkah[Tanggal diserahkan kepada Validator]),"")</f>
        <v>45824.52903</v>
      </c>
      <c r="F2531" s="36" t="str">
        <f t="array" ref="F2531">IFNA(_xlfn.XLOOKUP(D2531,Table_Tarikan_Warkah[Nomor Tiket],Table_Tarikan_Warkah[Nama Petugas Warkah]),"")</f>
        <v>Berry</v>
      </c>
      <c r="G2531" s="39" t="str">
        <f t="array" ref="G2531">IFNA(_xlfn.XLOOKUP(D2531,Table_Tarikan_Warkah[Nomor Tiket],Table_Tarikan_Warkah[Jenis Permohonan]),"")</f>
        <v>BN Jual Beli</v>
      </c>
      <c r="H2531" s="41" t="s">
        <v>20</v>
      </c>
      <c r="I2531" s="49" t="s">
        <v>23</v>
      </c>
      <c r="J2531" s="36">
        <f t="shared" si="20"/>
        <v>45824.39677</v>
      </c>
      <c r="K2531" s="49" t="s">
        <v>920</v>
      </c>
      <c r="L2531" s="49" t="s">
        <v>23</v>
      </c>
      <c r="M2531" s="36">
        <f t="shared" si="26"/>
        <v>45824.3968</v>
      </c>
      <c r="N2531" s="30" t="str">
        <f t="shared" si="27"/>
        <v>Selesai</v>
      </c>
      <c r="O2531" s="45">
        <f t="shared" si="23"/>
        <v>45824.3968</v>
      </c>
      <c r="P2531" s="47" t="b">
        <v>1</v>
      </c>
      <c r="Q2531" s="36">
        <f t="shared" si="24"/>
        <v>45824.39689</v>
      </c>
      <c r="R2531" s="47" t="b">
        <v>0</v>
      </c>
      <c r="S2531" s="42" t="str">
        <f t="shared" si="28"/>
        <v/>
      </c>
      <c r="T2531" s="42"/>
    </row>
    <row r="2532" ht="22.5" customHeight="1">
      <c r="B2532" s="42">
        <f t="shared" si="7"/>
        <v>2526</v>
      </c>
      <c r="C2532" s="31" t="s">
        <v>2608</v>
      </c>
      <c r="D2532" s="34" t="str">
        <f t="array" ref="D2532">IFNA(_xlfn.XLOOKUP(C2532,Table_Tarikan_Warkah[Nomor Sertipikat],Table_Tarikan_Warkah[Nomor Tiket]),"")</f>
        <v>K/27/210525/1</v>
      </c>
      <c r="E2532" s="36">
        <f t="array" ref="E2532">IFNA(_xlfn.XLOOKUP(D2532,Table_Tarikan_Warkah[Nomor Tiket],Table_Tarikan_Warkah[Tanggal diserahkan kepada Validator]),"")</f>
        <v>45825.55198</v>
      </c>
      <c r="F2532" s="36" t="str">
        <f t="array" ref="F2532">IFNA(_xlfn.XLOOKUP(D2532,Table_Tarikan_Warkah[Nomor Tiket],Table_Tarikan_Warkah[Nama Petugas Warkah]),"")</f>
        <v>Berry</v>
      </c>
      <c r="G2532" s="39" t="str">
        <f t="array" ref="G2532">IFNA(_xlfn.XLOOKUP(D2532,Table_Tarikan_Warkah[Nomor Tiket],Table_Tarikan_Warkah[Jenis Permohonan]),"")</f>
        <v>BN HIBAH </v>
      </c>
      <c r="H2532" s="41" t="s">
        <v>2315</v>
      </c>
      <c r="I2532" s="49" t="s">
        <v>23</v>
      </c>
      <c r="J2532" s="36">
        <f t="shared" si="20"/>
        <v>45824.46428</v>
      </c>
      <c r="K2532" s="49" t="s">
        <v>2378</v>
      </c>
      <c r="L2532" s="49" t="s">
        <v>23</v>
      </c>
      <c r="M2532" s="36">
        <f t="shared" si="26"/>
        <v>45824.57371</v>
      </c>
      <c r="N2532" s="30" t="str">
        <f t="shared" si="27"/>
        <v>Selesai</v>
      </c>
      <c r="O2532" s="45">
        <f t="shared" si="23"/>
        <v>45824.57371</v>
      </c>
      <c r="P2532" s="47" t="b">
        <v>0</v>
      </c>
      <c r="Q2532" s="36" t="str">
        <f t="shared" si="24"/>
        <v/>
      </c>
      <c r="R2532" s="47" t="b">
        <v>0</v>
      </c>
      <c r="S2532" s="42" t="str">
        <f t="shared" si="28"/>
        <v/>
      </c>
      <c r="T2532" s="42"/>
    </row>
    <row r="2533" ht="22.5" customHeight="1">
      <c r="B2533" s="42">
        <f t="shared" si="7"/>
        <v>2527</v>
      </c>
      <c r="C2533" s="31" t="s">
        <v>2609</v>
      </c>
      <c r="D2533" s="34" t="str">
        <f t="array" ref="D2533">IFNA(_xlfn.XLOOKUP(C2533,Table_Tarikan_Warkah[Nomor Sertipikat],Table_Tarikan_Warkah[Nomor Tiket]),"")</f>
        <v>K/5/130625/1</v>
      </c>
      <c r="E2533" s="36">
        <f t="array" ref="E2533">IFNA(_xlfn.XLOOKUP(D2533,Table_Tarikan_Warkah[Nomor Tiket],Table_Tarikan_Warkah[Tanggal diserahkan kepada Validator]),"")</f>
        <v>45825.51539</v>
      </c>
      <c r="F2533" s="36" t="str">
        <f t="array" ref="F2533">IFNA(_xlfn.XLOOKUP(D2533,Table_Tarikan_Warkah[Nomor Tiket],Table_Tarikan_Warkah[Nama Petugas Warkah]),"")</f>
        <v>Berry</v>
      </c>
      <c r="G2533" s="39" t="str">
        <f t="array" ref="G2533">IFNA(_xlfn.XLOOKUP(D2533,Table_Tarikan_Warkah[Nomor Tiket],Table_Tarikan_Warkah[Jenis Permohonan]),"")</f>
        <v>BN JUAL BELI</v>
      </c>
      <c r="H2533" s="41" t="s">
        <v>2315</v>
      </c>
      <c r="I2533" s="49" t="s">
        <v>23</v>
      </c>
      <c r="J2533" s="36">
        <f t="shared" si="20"/>
        <v>45824.46446</v>
      </c>
      <c r="K2533" s="49" t="s">
        <v>2378</v>
      </c>
      <c r="L2533" s="49" t="s">
        <v>23</v>
      </c>
      <c r="M2533" s="36">
        <f t="shared" si="26"/>
        <v>45824.57387</v>
      </c>
      <c r="N2533" s="30" t="str">
        <f t="shared" si="27"/>
        <v>Selesai</v>
      </c>
      <c r="O2533" s="45">
        <f t="shared" si="23"/>
        <v>45824.57387</v>
      </c>
      <c r="P2533" s="47" t="b">
        <v>0</v>
      </c>
      <c r="Q2533" s="36" t="str">
        <f t="shared" si="24"/>
        <v/>
      </c>
      <c r="R2533" s="47" t="b">
        <v>0</v>
      </c>
      <c r="S2533" s="42" t="str">
        <f t="shared" si="28"/>
        <v/>
      </c>
      <c r="T2533" s="42"/>
    </row>
    <row r="2534" ht="22.5" customHeight="1">
      <c r="B2534" s="42">
        <f t="shared" si="7"/>
        <v>2528</v>
      </c>
      <c r="C2534" s="31" t="s">
        <v>1099</v>
      </c>
      <c r="D2534" s="34" t="str">
        <f t="array" ref="D2534">IFNA(_xlfn.XLOOKUP(C2534,Table_Tarikan_Warkah[Nomor Sertipikat],Table_Tarikan_Warkah[Nomor Tiket]),"")</f>
        <v>K/14/200125/1</v>
      </c>
      <c r="E2534" s="36">
        <f t="array" ref="E2534">IFNA(_xlfn.XLOOKUP(D2534,Table_Tarikan_Warkah[Nomor Tiket],Table_Tarikan_Warkah[Tanggal diserahkan kepada Validator]),"")</f>
        <v>45678.45121</v>
      </c>
      <c r="F2534" s="36" t="str">
        <f t="array" ref="F2534">IFNA(_xlfn.XLOOKUP(D2534,Table_Tarikan_Warkah[Nomor Tiket],Table_Tarikan_Warkah[Nama Petugas Warkah]),"")</f>
        <v>Berry</v>
      </c>
      <c r="G2534" s="39" t="str">
        <f t="array" ref="G2534">IFNA(_xlfn.XLOOKUP(D2534,Table_Tarikan_Warkah[Nomor Tiket],Table_Tarikan_Warkah[Jenis Permohonan]),"")</f>
        <v>BN WARIS</v>
      </c>
      <c r="H2534" s="41" t="s">
        <v>2315</v>
      </c>
      <c r="I2534" s="49" t="s">
        <v>23</v>
      </c>
      <c r="J2534" s="36">
        <f t="shared" si="20"/>
        <v>45824.46468</v>
      </c>
      <c r="K2534" s="49" t="s">
        <v>2378</v>
      </c>
      <c r="L2534" s="49" t="s">
        <v>23</v>
      </c>
      <c r="M2534" s="36">
        <f t="shared" si="26"/>
        <v>45824.57387</v>
      </c>
      <c r="N2534" s="30" t="str">
        <f t="shared" si="27"/>
        <v>Selesai</v>
      </c>
      <c r="O2534" s="45">
        <f t="shared" si="23"/>
        <v>45824.57387</v>
      </c>
      <c r="P2534" s="47" t="b">
        <v>0</v>
      </c>
      <c r="Q2534" s="36" t="str">
        <f t="shared" si="24"/>
        <v/>
      </c>
      <c r="R2534" s="47" t="b">
        <v>0</v>
      </c>
      <c r="S2534" s="42" t="str">
        <f t="shared" si="28"/>
        <v/>
      </c>
      <c r="T2534" s="42"/>
    </row>
    <row r="2535" ht="22.5" customHeight="1">
      <c r="B2535" s="42">
        <f t="shared" si="7"/>
        <v>2529</v>
      </c>
      <c r="C2535" s="31" t="s">
        <v>2610</v>
      </c>
      <c r="D2535" s="34" t="str">
        <f t="array" ref="D2535">IFNA(_xlfn.XLOOKUP(C2535,Table_Tarikan_Warkah[Nomor Sertipikat],Table_Tarikan_Warkah[Nomor Tiket]),"")</f>
        <v>K/44/030625/2</v>
      </c>
      <c r="E2535" s="36">
        <f t="array" ref="E2535">IFNA(_xlfn.XLOOKUP(D2535,Table_Tarikan_Warkah[Nomor Tiket],Table_Tarikan_Warkah[Tanggal diserahkan kepada Validator]),"")</f>
        <v>45825.50451</v>
      </c>
      <c r="F2535" s="36" t="str">
        <f t="array" ref="F2535">IFNA(_xlfn.XLOOKUP(D2535,Table_Tarikan_Warkah[Nomor Tiket],Table_Tarikan_Warkah[Nama Petugas Warkah]),"")</f>
        <v>Berry</v>
      </c>
      <c r="G2535" s="39" t="str">
        <f t="array" ref="G2535">IFNA(_xlfn.XLOOKUP(D2535,Table_Tarikan_Warkah[Nomor Tiket],Table_Tarikan_Warkah[Jenis Permohonan]),"")</f>
        <v>BN JUAL BELI</v>
      </c>
      <c r="H2535" s="41" t="s">
        <v>20</v>
      </c>
      <c r="I2535" s="49" t="s">
        <v>23</v>
      </c>
      <c r="J2535" s="36">
        <f t="shared" si="20"/>
        <v>45824.5739</v>
      </c>
      <c r="K2535" s="49" t="s">
        <v>2378</v>
      </c>
      <c r="L2535" s="49" t="s">
        <v>23</v>
      </c>
      <c r="M2535" s="36">
        <f t="shared" si="26"/>
        <v>45824.61957</v>
      </c>
      <c r="N2535" s="30" t="str">
        <f t="shared" si="27"/>
        <v>Selesai</v>
      </c>
      <c r="O2535" s="45">
        <f t="shared" si="23"/>
        <v>45824.61957</v>
      </c>
      <c r="P2535" s="47" t="b">
        <v>0</v>
      </c>
      <c r="Q2535" s="36" t="str">
        <f t="shared" si="24"/>
        <v/>
      </c>
      <c r="R2535" s="47" t="b">
        <v>0</v>
      </c>
      <c r="S2535" s="42" t="str">
        <f t="shared" si="28"/>
        <v/>
      </c>
      <c r="T2535" s="42"/>
    </row>
    <row r="2536" ht="22.5" customHeight="1">
      <c r="B2536" s="42">
        <f t="shared" si="7"/>
        <v>2530</v>
      </c>
      <c r="C2536" s="31" t="s">
        <v>2611</v>
      </c>
      <c r="D2536" s="34" t="str">
        <f t="array" ref="D2536">IFNA(_xlfn.XLOOKUP(C2536,Table_Tarikan_Warkah[Nomor Sertipikat],Table_Tarikan_Warkah[Nomor Tiket]),"")</f>
        <v>K/36/030625/1</v>
      </c>
      <c r="E2536" s="36">
        <f t="array" ref="E2536">IFNA(_xlfn.XLOOKUP(D2536,Table_Tarikan_Warkah[Nomor Tiket],Table_Tarikan_Warkah[Tanggal diserahkan kepada Validator]),"")</f>
        <v>45825.50416</v>
      </c>
      <c r="F2536" s="36" t="str">
        <f t="array" ref="F2536">IFNA(_xlfn.XLOOKUP(D2536,Table_Tarikan_Warkah[Nomor Tiket],Table_Tarikan_Warkah[Nama Petugas Warkah]),"")</f>
        <v>Berry</v>
      </c>
      <c r="G2536" s="39" t="str">
        <f t="array" ref="G2536">IFNA(_xlfn.XLOOKUP(D2536,Table_Tarikan_Warkah[Nomor Tiket],Table_Tarikan_Warkah[Jenis Permohonan]),"")</f>
        <v>BN JUAL BELI</v>
      </c>
      <c r="H2536" s="41" t="s">
        <v>20</v>
      </c>
      <c r="I2536" s="49" t="s">
        <v>23</v>
      </c>
      <c r="J2536" s="36">
        <f t="shared" si="20"/>
        <v>45824.57401</v>
      </c>
      <c r="K2536" s="49" t="s">
        <v>2378</v>
      </c>
      <c r="L2536" s="49" t="s">
        <v>23</v>
      </c>
      <c r="M2536" s="36">
        <f t="shared" si="26"/>
        <v>45824.6295</v>
      </c>
      <c r="N2536" s="30" t="str">
        <f t="shared" si="27"/>
        <v>Selesai</v>
      </c>
      <c r="O2536" s="45">
        <f t="shared" si="23"/>
        <v>45824.6295</v>
      </c>
      <c r="P2536" s="47" t="b">
        <v>0</v>
      </c>
      <c r="Q2536" s="36" t="str">
        <f t="shared" si="24"/>
        <v/>
      </c>
      <c r="R2536" s="47" t="b">
        <v>0</v>
      </c>
      <c r="S2536" s="42" t="str">
        <f t="shared" si="28"/>
        <v/>
      </c>
      <c r="T2536" s="42"/>
    </row>
    <row r="2537" ht="22.5" customHeight="1">
      <c r="B2537" s="42">
        <f t="shared" si="7"/>
        <v>2531</v>
      </c>
      <c r="C2537" s="31" t="s">
        <v>2612</v>
      </c>
      <c r="D2537" s="34" t="str">
        <f t="array" ref="D2537">IFNA(_xlfn.XLOOKUP(C2537,Table_Tarikan_Warkah[Nomor Sertipikat],Table_Tarikan_Warkah[Nomor Tiket]),"")</f>
        <v>K/24/160525/1</v>
      </c>
      <c r="E2537" s="36">
        <f t="array" ref="E2537">IFNA(_xlfn.XLOOKUP(D2537,Table_Tarikan_Warkah[Nomor Tiket],Table_Tarikan_Warkah[Tanggal diserahkan kepada Validator]),"")</f>
        <v>45825.50871</v>
      </c>
      <c r="F2537" s="36" t="str">
        <f t="array" ref="F2537">IFNA(_xlfn.XLOOKUP(D2537,Table_Tarikan_Warkah[Nomor Tiket],Table_Tarikan_Warkah[Nama Petugas Warkah]),"")</f>
        <v>Berry</v>
      </c>
      <c r="G2537" s="39" t="str">
        <f t="array" ref="G2537">IFNA(_xlfn.XLOOKUP(D2537,Table_Tarikan_Warkah[Nomor Tiket],Table_Tarikan_Warkah[Jenis Permohonan]),"")</f>
        <v>BN JUAL BELI</v>
      </c>
      <c r="H2537" s="41" t="s">
        <v>20</v>
      </c>
      <c r="I2537" s="49" t="s">
        <v>23</v>
      </c>
      <c r="J2537" s="36">
        <f t="shared" si="20"/>
        <v>45824.57411</v>
      </c>
      <c r="K2537" s="49" t="s">
        <v>2378</v>
      </c>
      <c r="L2537" s="49" t="s">
        <v>23</v>
      </c>
      <c r="M2537" s="36">
        <f t="shared" si="26"/>
        <v>45824.61957</v>
      </c>
      <c r="N2537" s="30" t="str">
        <f t="shared" si="27"/>
        <v>Selesai</v>
      </c>
      <c r="O2537" s="45">
        <f t="shared" si="23"/>
        <v>45824.61957</v>
      </c>
      <c r="P2537" s="47" t="b">
        <v>0</v>
      </c>
      <c r="Q2537" s="36" t="str">
        <f t="shared" si="24"/>
        <v/>
      </c>
      <c r="R2537" s="47" t="b">
        <v>0</v>
      </c>
      <c r="S2537" s="42" t="str">
        <f t="shared" si="28"/>
        <v/>
      </c>
      <c r="T2537" s="42"/>
    </row>
    <row r="2538" ht="22.5" customHeight="1">
      <c r="B2538" s="42">
        <f t="shared" si="7"/>
        <v>2532</v>
      </c>
      <c r="C2538" s="31" t="s">
        <v>2613</v>
      </c>
      <c r="D2538" s="34" t="str">
        <f t="array" ref="D2538">IFNA(_xlfn.XLOOKUP(C2538,Table_Tarikan_Warkah[Nomor Sertipikat],Table_Tarikan_Warkah[Nomor Tiket]),"")</f>
        <v>K/34/050625/1</v>
      </c>
      <c r="E2538" s="36">
        <f t="array" ref="E2538">IFNA(_xlfn.XLOOKUP(D2538,Table_Tarikan_Warkah[Nomor Tiket],Table_Tarikan_Warkah[Tanggal diserahkan kepada Validator]),"")</f>
        <v>45825.50891</v>
      </c>
      <c r="F2538" s="36" t="str">
        <f t="array" ref="F2538">IFNA(_xlfn.XLOOKUP(D2538,Table_Tarikan_Warkah[Nomor Tiket],Table_Tarikan_Warkah[Nama Petugas Warkah]),"")</f>
        <v>Berry</v>
      </c>
      <c r="G2538" s="39" t="str">
        <f t="array" ref="G2538">IFNA(_xlfn.XLOOKUP(D2538,Table_Tarikan_Warkah[Nomor Tiket],Table_Tarikan_Warkah[Jenis Permohonan]),"")</f>
        <v>BN JUAL BELI</v>
      </c>
      <c r="H2538" s="41" t="s">
        <v>20</v>
      </c>
      <c r="I2538" s="49" t="s">
        <v>23</v>
      </c>
      <c r="J2538" s="36">
        <f t="shared" si="20"/>
        <v>45824.57478</v>
      </c>
      <c r="K2538" s="49" t="s">
        <v>2378</v>
      </c>
      <c r="L2538" s="49" t="s">
        <v>23</v>
      </c>
      <c r="M2538" s="36">
        <f t="shared" si="26"/>
        <v>45824.61964</v>
      </c>
      <c r="N2538" s="30" t="str">
        <f t="shared" si="27"/>
        <v>Selesai</v>
      </c>
      <c r="O2538" s="45">
        <f t="shared" si="23"/>
        <v>45824.61964</v>
      </c>
      <c r="P2538" s="47" t="b">
        <v>0</v>
      </c>
      <c r="Q2538" s="36" t="str">
        <f t="shared" si="24"/>
        <v/>
      </c>
      <c r="R2538" s="47" t="b">
        <v>0</v>
      </c>
      <c r="S2538" s="42" t="str">
        <f t="shared" si="28"/>
        <v/>
      </c>
      <c r="T2538" s="42"/>
    </row>
    <row r="2539" ht="22.5" customHeight="1">
      <c r="B2539" s="42">
        <f t="shared" si="7"/>
        <v>2533</v>
      </c>
      <c r="C2539" s="31" t="s">
        <v>2614</v>
      </c>
      <c r="D2539" s="34" t="str">
        <f t="array" ref="D2539">IFNA(_xlfn.XLOOKUP(C2539,Table_Tarikan_Warkah[Nomor Sertipikat],Table_Tarikan_Warkah[Nomor Tiket]),"")</f>
        <v>K/38/050625/1</v>
      </c>
      <c r="E2539" s="36">
        <f t="array" ref="E2539">IFNA(_xlfn.XLOOKUP(D2539,Table_Tarikan_Warkah[Nomor Tiket],Table_Tarikan_Warkah[Tanggal diserahkan kepada Validator]),"")</f>
        <v>45825.50921</v>
      </c>
      <c r="F2539" s="36" t="str">
        <f t="array" ref="F2539">IFNA(_xlfn.XLOOKUP(D2539,Table_Tarikan_Warkah[Nomor Tiket],Table_Tarikan_Warkah[Nama Petugas Warkah]),"")</f>
        <v>Berry</v>
      </c>
      <c r="G2539" s="39" t="str">
        <f t="array" ref="G2539">IFNA(_xlfn.XLOOKUP(D2539,Table_Tarikan_Warkah[Nomor Tiket],Table_Tarikan_Warkah[Jenis Permohonan]),"")</f>
        <v>BN JUAL BELI</v>
      </c>
      <c r="H2539" s="41" t="s">
        <v>20</v>
      </c>
      <c r="I2539" s="49" t="s">
        <v>23</v>
      </c>
      <c r="J2539" s="36">
        <f t="shared" si="20"/>
        <v>45824.57488</v>
      </c>
      <c r="K2539" s="49" t="s">
        <v>2378</v>
      </c>
      <c r="L2539" s="49" t="s">
        <v>23</v>
      </c>
      <c r="M2539" s="36">
        <f t="shared" si="26"/>
        <v>45824.61968</v>
      </c>
      <c r="N2539" s="30" t="str">
        <f t="shared" si="27"/>
        <v>Selesai</v>
      </c>
      <c r="O2539" s="45">
        <f t="shared" si="23"/>
        <v>45824.61968</v>
      </c>
      <c r="P2539" s="47" t="b">
        <v>0</v>
      </c>
      <c r="Q2539" s="36" t="str">
        <f t="shared" si="24"/>
        <v/>
      </c>
      <c r="R2539" s="47" t="b">
        <v>0</v>
      </c>
      <c r="S2539" s="42" t="str">
        <f t="shared" si="28"/>
        <v/>
      </c>
      <c r="T2539" s="42"/>
    </row>
    <row r="2540" ht="22.5" customHeight="1">
      <c r="B2540" s="42">
        <f t="shared" si="7"/>
        <v>2534</v>
      </c>
      <c r="C2540" s="31" t="s">
        <v>2554</v>
      </c>
      <c r="D2540" s="34" t="str">
        <f t="array" ref="D2540">IFNA(_xlfn.XLOOKUP(C2540,Table_Tarikan_Warkah[Nomor Sertipikat],Table_Tarikan_Warkah[Nomor Tiket]),"")</f>
        <v>K/3/140525/1</v>
      </c>
      <c r="E2540" s="36">
        <f t="array" ref="E2540">IFNA(_xlfn.XLOOKUP(D2540,Table_Tarikan_Warkah[Nomor Tiket],Table_Tarikan_Warkah[Tanggal diserahkan kepada Validator]),"")</f>
        <v>45825.55597</v>
      </c>
      <c r="F2540" s="36" t="str">
        <f t="array" ref="F2540">IFNA(_xlfn.XLOOKUP(D2540,Table_Tarikan_Warkah[Nomor Tiket],Table_Tarikan_Warkah[Nama Petugas Warkah]),"")</f>
        <v>Berry</v>
      </c>
      <c r="G2540" s="39" t="str">
        <f t="array" ref="G2540">IFNA(_xlfn.XLOOKUP(D2540,Table_Tarikan_Warkah[Nomor Tiket],Table_Tarikan_Warkah[Jenis Permohonan]),"")</f>
        <v>BN Jual Beli</v>
      </c>
      <c r="H2540" s="41" t="s">
        <v>20</v>
      </c>
      <c r="I2540" s="49" t="s">
        <v>23</v>
      </c>
      <c r="J2540" s="36">
        <f t="shared" si="20"/>
        <v>45824.57501</v>
      </c>
      <c r="K2540" s="49" t="s">
        <v>2378</v>
      </c>
      <c r="L2540" s="49" t="s">
        <v>23</v>
      </c>
      <c r="M2540" s="36">
        <f t="shared" si="26"/>
        <v>45824.61975</v>
      </c>
      <c r="N2540" s="30" t="str">
        <f t="shared" si="27"/>
        <v>Selesai</v>
      </c>
      <c r="O2540" s="45">
        <f t="shared" si="23"/>
        <v>45824.61975</v>
      </c>
      <c r="P2540" s="47" t="b">
        <v>0</v>
      </c>
      <c r="Q2540" s="36" t="str">
        <f t="shared" si="24"/>
        <v/>
      </c>
      <c r="R2540" s="47" t="b">
        <v>0</v>
      </c>
      <c r="S2540" s="42" t="str">
        <f t="shared" si="28"/>
        <v/>
      </c>
      <c r="T2540" s="42"/>
    </row>
    <row r="2541" ht="22.5" customHeight="1">
      <c r="B2541" s="42">
        <f t="shared" si="7"/>
        <v>2535</v>
      </c>
      <c r="C2541" s="31" t="s">
        <v>2559</v>
      </c>
      <c r="D2541" s="34" t="str">
        <f t="array" ref="D2541">IFNA(_xlfn.XLOOKUP(C2541,Table_Tarikan_Warkah[Nomor Sertipikat],Table_Tarikan_Warkah[Nomor Tiket]),"")</f>
        <v>K/15/210525/1</v>
      </c>
      <c r="E2541" s="36" t="str">
        <f t="array" ref="E2541">IFNA(_xlfn.XLOOKUP(D2541,Table_Tarikan_Warkah[Nomor Tiket],Table_Tarikan_Warkah[Tanggal diserahkan kepada Validator]),"")</f>
        <v/>
      </c>
      <c r="F2541" s="36" t="str">
        <f t="array" ref="F2541">IFNA(_xlfn.XLOOKUP(D2541,Table_Tarikan_Warkah[Nomor Tiket],Table_Tarikan_Warkah[Nama Petugas Warkah]),"")</f>
        <v>Berry</v>
      </c>
      <c r="G2541" s="39" t="str">
        <f t="array" ref="G2541">IFNA(_xlfn.XLOOKUP(D2541,Table_Tarikan_Warkah[Nomor Tiket],Table_Tarikan_Warkah[Jenis Permohonan]),"")</f>
        <v>BN Jual Beli</v>
      </c>
      <c r="H2541" s="41" t="s">
        <v>20</v>
      </c>
      <c r="I2541" s="49" t="s">
        <v>23</v>
      </c>
      <c r="J2541" s="36">
        <f t="shared" si="20"/>
        <v>45824.57534</v>
      </c>
      <c r="K2541" s="49" t="s">
        <v>2378</v>
      </c>
      <c r="L2541" s="49" t="s">
        <v>23</v>
      </c>
      <c r="M2541" s="36">
        <f t="shared" si="26"/>
        <v>45824.61987</v>
      </c>
      <c r="N2541" s="30" t="str">
        <f t="shared" si="27"/>
        <v>Selesai</v>
      </c>
      <c r="O2541" s="45">
        <f t="shared" si="23"/>
        <v>45824.61987</v>
      </c>
      <c r="P2541" s="47" t="b">
        <v>0</v>
      </c>
      <c r="Q2541" s="36" t="str">
        <f t="shared" si="24"/>
        <v/>
      </c>
      <c r="R2541" s="47" t="b">
        <v>0</v>
      </c>
      <c r="S2541" s="42" t="str">
        <f t="shared" si="28"/>
        <v/>
      </c>
      <c r="T2541" s="42"/>
    </row>
    <row r="2542" ht="22.5" customHeight="1">
      <c r="B2542" s="42">
        <f t="shared" si="7"/>
        <v>2536</v>
      </c>
      <c r="C2542" s="31" t="s">
        <v>2562</v>
      </c>
      <c r="D2542" s="34" t="str">
        <f t="array" ref="D2542">IFNA(_xlfn.XLOOKUP(C2542,Table_Tarikan_Warkah[Nomor Sertipikat],Table_Tarikan_Warkah[Nomor Tiket]),"")</f>
        <v>K/18/210425/1</v>
      </c>
      <c r="E2542" s="36">
        <f t="array" ref="E2542">IFNA(_xlfn.XLOOKUP(D2542,Table_Tarikan_Warkah[Nomor Tiket],Table_Tarikan_Warkah[Tanggal diserahkan kepada Validator]),"")</f>
        <v>45825.55438</v>
      </c>
      <c r="F2542" s="36" t="str">
        <f t="array" ref="F2542">IFNA(_xlfn.XLOOKUP(D2542,Table_Tarikan_Warkah[Nomor Tiket],Table_Tarikan_Warkah[Nama Petugas Warkah]),"")</f>
        <v>Berry</v>
      </c>
      <c r="G2542" s="39" t="str">
        <f t="array" ref="G2542">IFNA(_xlfn.XLOOKUP(D2542,Table_Tarikan_Warkah[Nomor Tiket],Table_Tarikan_Warkah[Jenis Permohonan]),"")</f>
        <v>BN Jual Beli</v>
      </c>
      <c r="H2542" s="41" t="s">
        <v>20</v>
      </c>
      <c r="I2542" s="49" t="s">
        <v>23</v>
      </c>
      <c r="J2542" s="36">
        <f t="shared" si="20"/>
        <v>45824.57544</v>
      </c>
      <c r="K2542" s="49" t="s">
        <v>2378</v>
      </c>
      <c r="L2542" s="49" t="s">
        <v>23</v>
      </c>
      <c r="M2542" s="36">
        <f t="shared" si="26"/>
        <v>45824.61995</v>
      </c>
      <c r="N2542" s="30" t="str">
        <f t="shared" si="27"/>
        <v>Selesai</v>
      </c>
      <c r="O2542" s="45">
        <f t="shared" si="23"/>
        <v>45824.61995</v>
      </c>
      <c r="P2542" s="47" t="b">
        <v>0</v>
      </c>
      <c r="Q2542" s="36" t="str">
        <f t="shared" si="24"/>
        <v/>
      </c>
      <c r="R2542" s="47" t="b">
        <v>0</v>
      </c>
      <c r="S2542" s="42" t="str">
        <f t="shared" si="28"/>
        <v/>
      </c>
      <c r="T2542" s="42"/>
    </row>
    <row r="2543" ht="22.5" customHeight="1">
      <c r="B2543" s="42">
        <f t="shared" si="7"/>
        <v>2537</v>
      </c>
      <c r="C2543" s="31" t="s">
        <v>2564</v>
      </c>
      <c r="D2543" s="34" t="str">
        <f t="array" ref="D2543">IFNA(_xlfn.XLOOKUP(C2543,Table_Tarikan_Warkah[Nomor Sertipikat],Table_Tarikan_Warkah[Nomor Tiket]),"")</f>
        <v>K/22/020625/2</v>
      </c>
      <c r="E2543" s="36">
        <f t="array" ref="E2543">IFNA(_xlfn.XLOOKUP(D2543,Table_Tarikan_Warkah[Nomor Tiket],Table_Tarikan_Warkah[Tanggal diserahkan kepada Validator]),"")</f>
        <v>45825.55473</v>
      </c>
      <c r="F2543" s="36" t="str">
        <f t="array" ref="F2543">IFNA(_xlfn.XLOOKUP(D2543,Table_Tarikan_Warkah[Nomor Tiket],Table_Tarikan_Warkah[Nama Petugas Warkah]),"")</f>
        <v>Berry</v>
      </c>
      <c r="G2543" s="39" t="str">
        <f t="array" ref="G2543">IFNA(_xlfn.XLOOKUP(D2543,Table_Tarikan_Warkah[Nomor Tiket],Table_Tarikan_Warkah[Jenis Permohonan]),"")</f>
        <v>BN Jual Beli</v>
      </c>
      <c r="H2543" s="41" t="s">
        <v>20</v>
      </c>
      <c r="I2543" s="49" t="s">
        <v>23</v>
      </c>
      <c r="J2543" s="36">
        <f t="shared" si="20"/>
        <v>45824.57564</v>
      </c>
      <c r="K2543" s="49" t="s">
        <v>2378</v>
      </c>
      <c r="L2543" s="49" t="s">
        <v>23</v>
      </c>
      <c r="M2543" s="36">
        <f t="shared" si="26"/>
        <v>45824.62055</v>
      </c>
      <c r="N2543" s="30" t="str">
        <f t="shared" si="27"/>
        <v>Selesai</v>
      </c>
      <c r="O2543" s="45">
        <f t="shared" si="23"/>
        <v>45824.62055</v>
      </c>
      <c r="P2543" s="47" t="b">
        <v>0</v>
      </c>
      <c r="Q2543" s="36" t="str">
        <f t="shared" si="24"/>
        <v/>
      </c>
      <c r="R2543" s="47" t="b">
        <v>0</v>
      </c>
      <c r="S2543" s="42" t="str">
        <f t="shared" si="28"/>
        <v/>
      </c>
      <c r="T2543" s="42"/>
    </row>
    <row r="2544" ht="22.5" customHeight="1">
      <c r="B2544" s="42">
        <f t="shared" si="7"/>
        <v>2538</v>
      </c>
      <c r="C2544" s="31" t="s">
        <v>2615</v>
      </c>
      <c r="D2544" s="34" t="str">
        <f t="array" ref="D2544">IFNA(_xlfn.XLOOKUP(C2544,Table_Tarikan_Warkah[Nomor Sertipikat],Table_Tarikan_Warkah[Nomor Tiket]),"")</f>
        <v>K/13/200525/2</v>
      </c>
      <c r="E2544" s="36">
        <f t="array" ref="E2544">IFNA(_xlfn.XLOOKUP(D2544,Table_Tarikan_Warkah[Nomor Tiket],Table_Tarikan_Warkah[Tanggal diserahkan kepada Validator]),"")</f>
        <v>45825.55079</v>
      </c>
      <c r="F2544" s="36" t="str">
        <f t="array" ref="F2544">IFNA(_xlfn.XLOOKUP(D2544,Table_Tarikan_Warkah[Nomor Tiket],Table_Tarikan_Warkah[Nama Petugas Warkah]),"")</f>
        <v>Berry</v>
      </c>
      <c r="G2544" s="39" t="str">
        <f t="array" ref="G2544">IFNA(_xlfn.XLOOKUP(D2544,Table_Tarikan_Warkah[Nomor Tiket],Table_Tarikan_Warkah[Jenis Permohonan]),"")</f>
        <v>HIBAH</v>
      </c>
      <c r="H2544" s="41" t="s">
        <v>20</v>
      </c>
      <c r="I2544" s="49" t="s">
        <v>23</v>
      </c>
      <c r="J2544" s="36">
        <f t="shared" si="20"/>
        <v>45824.5758</v>
      </c>
      <c r="K2544" s="49" t="s">
        <v>2378</v>
      </c>
      <c r="L2544" s="49" t="s">
        <v>23</v>
      </c>
      <c r="M2544" s="36">
        <f t="shared" si="26"/>
        <v>45824.62065</v>
      </c>
      <c r="N2544" s="30" t="str">
        <f t="shared" si="27"/>
        <v>Selesai</v>
      </c>
      <c r="O2544" s="45">
        <f t="shared" si="23"/>
        <v>45824.62065</v>
      </c>
      <c r="P2544" s="47" t="b">
        <v>0</v>
      </c>
      <c r="Q2544" s="36" t="str">
        <f t="shared" si="24"/>
        <v/>
      </c>
      <c r="R2544" s="47" t="b">
        <v>0</v>
      </c>
      <c r="S2544" s="42" t="str">
        <f t="shared" si="28"/>
        <v/>
      </c>
      <c r="T2544" s="42"/>
    </row>
    <row r="2545" ht="22.5" customHeight="1">
      <c r="B2545" s="42">
        <f t="shared" si="7"/>
        <v>2539</v>
      </c>
      <c r="C2545" s="31" t="s">
        <v>2616</v>
      </c>
      <c r="D2545" s="34" t="str">
        <f t="array" ref="D2545">IFNA(_xlfn.XLOOKUP(C2545,Table_Tarikan_Warkah[Nomor Sertipikat],Table_Tarikan_Warkah[Nomor Tiket]),"")</f>
        <v>K/14/030625/3</v>
      </c>
      <c r="E2545" s="36">
        <f t="array" ref="E2545">IFNA(_xlfn.XLOOKUP(D2545,Table_Tarikan_Warkah[Nomor Tiket],Table_Tarikan_Warkah[Tanggal diserahkan kepada Validator]),"")</f>
        <v>45825.51156</v>
      </c>
      <c r="F2545" s="36" t="str">
        <f t="array" ref="F2545">IFNA(_xlfn.XLOOKUP(D2545,Table_Tarikan_Warkah[Nomor Tiket],Table_Tarikan_Warkah[Nama Petugas Warkah]),"")</f>
        <v>Berry</v>
      </c>
      <c r="G2545" s="39" t="str">
        <f t="array" ref="G2545">IFNA(_xlfn.XLOOKUP(D2545,Table_Tarikan_Warkah[Nomor Tiket],Table_Tarikan_Warkah[Jenis Permohonan]),"")</f>
        <v>JUAL BELI</v>
      </c>
      <c r="H2545" s="41" t="s">
        <v>20</v>
      </c>
      <c r="I2545" s="49" t="s">
        <v>23</v>
      </c>
      <c r="J2545" s="36">
        <f t="shared" si="20"/>
        <v>45824.57589</v>
      </c>
      <c r="K2545" s="49" t="s">
        <v>2378</v>
      </c>
      <c r="L2545" s="49" t="s">
        <v>23</v>
      </c>
      <c r="M2545" s="36">
        <f t="shared" si="26"/>
        <v>45824.62094</v>
      </c>
      <c r="N2545" s="30" t="str">
        <f t="shared" si="27"/>
        <v>Selesai</v>
      </c>
      <c r="O2545" s="45">
        <f t="shared" si="23"/>
        <v>45824.62094</v>
      </c>
      <c r="P2545" s="47" t="b">
        <v>0</v>
      </c>
      <c r="Q2545" s="36" t="str">
        <f t="shared" si="24"/>
        <v/>
      </c>
      <c r="R2545" s="47" t="b">
        <v>0</v>
      </c>
      <c r="S2545" s="42" t="str">
        <f t="shared" si="28"/>
        <v/>
      </c>
      <c r="T2545" s="42"/>
    </row>
    <row r="2546" ht="22.5" customHeight="1">
      <c r="B2546" s="42">
        <f t="shared" si="7"/>
        <v>2540</v>
      </c>
      <c r="C2546" s="31" t="s">
        <v>2617</v>
      </c>
      <c r="D2546" s="34" t="str">
        <f t="array" ref="D2546">IFNA(_xlfn.XLOOKUP(C2546,Table_Tarikan_Warkah[Nomor Sertipikat],Table_Tarikan_Warkah[Nomor Tiket]),"")</f>
        <v>K/18/030625/1</v>
      </c>
      <c r="E2546" s="36">
        <f t="array" ref="E2546">IFNA(_xlfn.XLOOKUP(D2546,Table_Tarikan_Warkah[Nomor Tiket],Table_Tarikan_Warkah[Tanggal diserahkan kepada Validator]),"")</f>
        <v>45825.51202</v>
      </c>
      <c r="F2546" s="36" t="str">
        <f t="array" ref="F2546">IFNA(_xlfn.XLOOKUP(D2546,Table_Tarikan_Warkah[Nomor Tiket],Table_Tarikan_Warkah[Nama Petugas Warkah]),"")</f>
        <v>Berry</v>
      </c>
      <c r="G2546" s="39" t="str">
        <f t="array" ref="G2546">IFNA(_xlfn.XLOOKUP(D2546,Table_Tarikan_Warkah[Nomor Tiket],Table_Tarikan_Warkah[Jenis Permohonan]),"")</f>
        <v>HIBAH</v>
      </c>
      <c r="H2546" s="41" t="s">
        <v>20</v>
      </c>
      <c r="I2546" s="49" t="s">
        <v>23</v>
      </c>
      <c r="J2546" s="36">
        <f t="shared" si="20"/>
        <v>45824.57597</v>
      </c>
      <c r="K2546" s="49" t="s">
        <v>2378</v>
      </c>
      <c r="L2546" s="49" t="s">
        <v>23</v>
      </c>
      <c r="M2546" s="36">
        <f t="shared" si="26"/>
        <v>45824.62114</v>
      </c>
      <c r="N2546" s="30" t="str">
        <f t="shared" si="27"/>
        <v>Selesai</v>
      </c>
      <c r="O2546" s="45">
        <f t="shared" si="23"/>
        <v>45824.62114</v>
      </c>
      <c r="P2546" s="47" t="b">
        <v>0</v>
      </c>
      <c r="Q2546" s="36" t="str">
        <f t="shared" si="24"/>
        <v/>
      </c>
      <c r="R2546" s="47" t="b">
        <v>0</v>
      </c>
      <c r="S2546" s="42" t="str">
        <f t="shared" si="28"/>
        <v/>
      </c>
      <c r="T2546" s="42"/>
    </row>
    <row r="2547" ht="22.5" customHeight="1">
      <c r="B2547" s="42">
        <f t="shared" si="7"/>
        <v>2541</v>
      </c>
      <c r="C2547" s="31" t="s">
        <v>2618</v>
      </c>
      <c r="D2547" s="34" t="str">
        <f t="array" ref="D2547">IFNA(_xlfn.XLOOKUP(C2547,Table_Tarikan_Warkah[Nomor Sertipikat],Table_Tarikan_Warkah[Nomor Tiket]),"")</f>
        <v>K/31/280525/1</v>
      </c>
      <c r="E2547" s="36">
        <f t="array" ref="E2547">IFNA(_xlfn.XLOOKUP(D2547,Table_Tarikan_Warkah[Nomor Tiket],Table_Tarikan_Warkah[Tanggal diserahkan kepada Validator]),"")</f>
        <v>45825.55107</v>
      </c>
      <c r="F2547" s="36" t="str">
        <f t="array" ref="F2547">IFNA(_xlfn.XLOOKUP(D2547,Table_Tarikan_Warkah[Nomor Tiket],Table_Tarikan_Warkah[Nama Petugas Warkah]),"")</f>
        <v>Berry</v>
      </c>
      <c r="G2547" s="39" t="str">
        <f t="array" ref="G2547">IFNA(_xlfn.XLOOKUP(D2547,Table_Tarikan_Warkah[Nomor Tiket],Table_Tarikan_Warkah[Jenis Permohonan]),"")</f>
        <v>JUAL BELI</v>
      </c>
      <c r="H2547" s="41" t="s">
        <v>20</v>
      </c>
      <c r="I2547" s="49" t="s">
        <v>23</v>
      </c>
      <c r="J2547" s="36">
        <f t="shared" si="20"/>
        <v>45824.57624</v>
      </c>
      <c r="K2547" s="49" t="s">
        <v>2378</v>
      </c>
      <c r="L2547" s="49" t="s">
        <v>23</v>
      </c>
      <c r="M2547" s="36">
        <f t="shared" si="26"/>
        <v>45824.62114</v>
      </c>
      <c r="N2547" s="30" t="str">
        <f t="shared" si="27"/>
        <v>Selesai</v>
      </c>
      <c r="O2547" s="45">
        <f t="shared" si="23"/>
        <v>45824.62114</v>
      </c>
      <c r="P2547" s="47" t="b">
        <v>0</v>
      </c>
      <c r="Q2547" s="36" t="str">
        <f t="shared" si="24"/>
        <v/>
      </c>
      <c r="R2547" s="47" t="b">
        <v>0</v>
      </c>
      <c r="S2547" s="42" t="str">
        <f t="shared" si="28"/>
        <v/>
      </c>
      <c r="T2547" s="42"/>
    </row>
    <row r="2548" ht="22.5" customHeight="1">
      <c r="B2548" s="42">
        <f t="shared" si="7"/>
        <v>2542</v>
      </c>
      <c r="C2548" s="31" t="s">
        <v>2619</v>
      </c>
      <c r="D2548" s="34" t="str">
        <f t="array" ref="D2548">IFNA(_xlfn.XLOOKUP(C2548,Table_Tarikan_Warkah[Nomor Sertipikat],Table_Tarikan_Warkah[Nomor Tiket]),"")</f>
        <v>K/37/190525/1</v>
      </c>
      <c r="E2548" s="36" t="str">
        <f t="array" ref="E2548">IFNA(_xlfn.XLOOKUP(D2548,Table_Tarikan_Warkah[Nomor Tiket],Table_Tarikan_Warkah[Tanggal diserahkan kepada Validator]),"")</f>
        <v/>
      </c>
      <c r="F2548" s="36" t="str">
        <f t="array" ref="F2548">IFNA(_xlfn.XLOOKUP(D2548,Table_Tarikan_Warkah[Nomor Tiket],Table_Tarikan_Warkah[Nama Petugas Warkah]),"")</f>
        <v/>
      </c>
      <c r="G2548" s="39" t="str">
        <f t="array" ref="G2548">IFNA(_xlfn.XLOOKUP(D2548,Table_Tarikan_Warkah[Nomor Tiket],Table_Tarikan_Warkah[Jenis Permohonan]),"")</f>
        <v>PENATAAN BATAS</v>
      </c>
      <c r="H2548" s="41" t="s">
        <v>20</v>
      </c>
      <c r="I2548" s="49" t="s">
        <v>23</v>
      </c>
      <c r="J2548" s="36">
        <f t="shared" si="20"/>
        <v>45824.57634</v>
      </c>
      <c r="K2548" s="49" t="s">
        <v>2378</v>
      </c>
      <c r="L2548" s="49" t="s">
        <v>23</v>
      </c>
      <c r="M2548" s="36">
        <f t="shared" si="26"/>
        <v>45824.6213</v>
      </c>
      <c r="N2548" s="30" t="str">
        <f t="shared" si="27"/>
        <v>Selesai</v>
      </c>
      <c r="O2548" s="45">
        <f t="shared" si="23"/>
        <v>45824.6213</v>
      </c>
      <c r="P2548" s="47" t="b">
        <v>0</v>
      </c>
      <c r="Q2548" s="36" t="str">
        <f t="shared" si="24"/>
        <v/>
      </c>
      <c r="R2548" s="47" t="b">
        <v>0</v>
      </c>
      <c r="S2548" s="42" t="str">
        <f t="shared" si="28"/>
        <v/>
      </c>
      <c r="T2548" s="42"/>
    </row>
    <row r="2549" ht="22.5" customHeight="1">
      <c r="B2549" s="42">
        <f t="shared" si="7"/>
        <v>2543</v>
      </c>
      <c r="C2549" s="31" t="s">
        <v>2620</v>
      </c>
      <c r="D2549" s="34" t="str">
        <f t="array" ref="D2549">IFNA(_xlfn.XLOOKUP(C2549,Table_Tarikan_Warkah[Nomor Sertipikat],Table_Tarikan_Warkah[Nomor Tiket]),"")</f>
        <v/>
      </c>
      <c r="E2549" s="36" t="str">
        <f t="array" ref="E2549">IFNA(_xlfn.XLOOKUP(D2549,Table_Tarikan_Warkah[Nomor Tiket],Table_Tarikan_Warkah[Tanggal diserahkan kepada Validator]),"")</f>
        <v/>
      </c>
      <c r="F2549" s="36" t="str">
        <f t="array" ref="F2549">IFNA(_xlfn.XLOOKUP(D2549,Table_Tarikan_Warkah[Nomor Tiket],Table_Tarikan_Warkah[Nama Petugas Warkah]),"")</f>
        <v/>
      </c>
      <c r="G2549" s="39" t="str">
        <f t="array" ref="G2549">IFNA(_xlfn.XLOOKUP(D2549,Table_Tarikan_Warkah[Nomor Tiket],Table_Tarikan_Warkah[Jenis Permohonan]),"")</f>
        <v/>
      </c>
      <c r="H2549" s="70"/>
      <c r="I2549" s="49"/>
      <c r="J2549" s="36" t="str">
        <f t="shared" si="20"/>
        <v/>
      </c>
      <c r="K2549" s="49" t="s">
        <v>2378</v>
      </c>
      <c r="L2549" s="49" t="s">
        <v>23</v>
      </c>
      <c r="M2549" s="36">
        <f t="shared" si="26"/>
        <v>45824.62988</v>
      </c>
      <c r="N2549" s="30" t="str">
        <f t="shared" si="27"/>
        <v/>
      </c>
      <c r="O2549" s="39" t="str">
        <f t="shared" si="23"/>
        <v/>
      </c>
      <c r="P2549" s="47" t="b">
        <v>0</v>
      </c>
      <c r="Q2549" s="36" t="str">
        <f t="shared" si="24"/>
        <v/>
      </c>
      <c r="R2549" s="47" t="b">
        <v>0</v>
      </c>
      <c r="S2549" s="42" t="str">
        <f t="shared" si="28"/>
        <v/>
      </c>
      <c r="T2549" s="42"/>
    </row>
    <row r="2550" ht="22.5" customHeight="1">
      <c r="B2550" s="42">
        <f t="shared" si="7"/>
        <v>2544</v>
      </c>
      <c r="C2550" s="31" t="s">
        <v>2621</v>
      </c>
      <c r="D2550" s="34" t="str">
        <f t="array" ref="D2550">IFNA(_xlfn.XLOOKUP(C2550,Table_Tarikan_Warkah[Nomor Sertipikat],Table_Tarikan_Warkah[Nomor Tiket]),"")</f>
        <v>K/24/020625/1</v>
      </c>
      <c r="E2550" s="36">
        <f t="array" ref="E2550">IFNA(_xlfn.XLOOKUP(D2550,Table_Tarikan_Warkah[Nomor Tiket],Table_Tarikan_Warkah[Tanggal diserahkan kepada Validator]),"")</f>
        <v>45833.66499</v>
      </c>
      <c r="F2550" s="36" t="str">
        <f t="array" ref="F2550">IFNA(_xlfn.XLOOKUP(D2550,Table_Tarikan_Warkah[Nomor Tiket],Table_Tarikan_Warkah[Nama Petugas Warkah]),"")</f>
        <v>David</v>
      </c>
      <c r="G2550" s="39" t="str">
        <f t="array" ref="G2550">IFNA(_xlfn.XLOOKUP(D2550,Table_Tarikan_Warkah[Nomor Tiket],Table_Tarikan_Warkah[Jenis Permohonan]),"")</f>
        <v>ROYA</v>
      </c>
      <c r="H2550" s="41" t="s">
        <v>2315</v>
      </c>
      <c r="I2550" s="49" t="s">
        <v>23</v>
      </c>
      <c r="J2550" s="36">
        <f t="shared" si="20"/>
        <v>45825.38083</v>
      </c>
      <c r="K2550" s="49" t="s">
        <v>2378</v>
      </c>
      <c r="L2550" s="49" t="s">
        <v>23</v>
      </c>
      <c r="M2550" s="36">
        <f t="shared" si="26"/>
        <v>45825.45796</v>
      </c>
      <c r="N2550" s="30" t="str">
        <f t="shared" si="27"/>
        <v>Selesai</v>
      </c>
      <c r="O2550" s="45">
        <f t="shared" si="23"/>
        <v>45825.45796</v>
      </c>
      <c r="P2550" s="47" t="b">
        <v>0</v>
      </c>
      <c r="Q2550" s="36" t="str">
        <f t="shared" si="24"/>
        <v/>
      </c>
      <c r="R2550" s="47" t="b">
        <v>0</v>
      </c>
      <c r="S2550" s="42" t="str">
        <f t="shared" si="28"/>
        <v/>
      </c>
      <c r="T2550" s="42"/>
    </row>
    <row r="2551" ht="22.5" customHeight="1">
      <c r="B2551" s="42">
        <f t="shared" si="7"/>
        <v>2545</v>
      </c>
      <c r="C2551" s="31" t="s">
        <v>2622</v>
      </c>
      <c r="D2551" s="34" t="str">
        <f t="array" ref="D2551">IFNA(_xlfn.XLOOKUP(C2551,Table_Tarikan_Warkah[Nomor Sertipikat],Table_Tarikan_Warkah[Nomor Tiket]),"")</f>
        <v>K/26/030625/1</v>
      </c>
      <c r="E2551" s="36">
        <f t="array" ref="E2551">IFNA(_xlfn.XLOOKUP(D2551,Table_Tarikan_Warkah[Nomor Tiket],Table_Tarikan_Warkah[Tanggal diserahkan kepada Validator]),"")</f>
        <v>45831.54006</v>
      </c>
      <c r="F2551" s="36" t="str">
        <f t="array" ref="F2551">IFNA(_xlfn.XLOOKUP(D2551,Table_Tarikan_Warkah[Nomor Tiket],Table_Tarikan_Warkah[Nama Petugas Warkah]),"")</f>
        <v>Berry</v>
      </c>
      <c r="G2551" s="39" t="str">
        <f t="array" ref="G2551">IFNA(_xlfn.XLOOKUP(D2551,Table_Tarikan_Warkah[Nomor Tiket],Table_Tarikan_Warkah[Jenis Permohonan]),"")</f>
        <v>BN JUAL BELI</v>
      </c>
      <c r="H2551" s="41" t="s">
        <v>2315</v>
      </c>
      <c r="I2551" s="49" t="s">
        <v>23</v>
      </c>
      <c r="J2551" s="36">
        <f t="shared" si="20"/>
        <v>45825.38098</v>
      </c>
      <c r="K2551" s="49" t="s">
        <v>2378</v>
      </c>
      <c r="L2551" s="49" t="s">
        <v>23</v>
      </c>
      <c r="M2551" s="36">
        <f t="shared" si="26"/>
        <v>45825.4583</v>
      </c>
      <c r="N2551" s="30" t="str">
        <f t="shared" si="27"/>
        <v>Selesai</v>
      </c>
      <c r="O2551" s="45">
        <f t="shared" si="23"/>
        <v>45825.4583</v>
      </c>
      <c r="P2551" s="47" t="b">
        <v>0</v>
      </c>
      <c r="Q2551" s="36" t="str">
        <f t="shared" si="24"/>
        <v/>
      </c>
      <c r="R2551" s="47" t="b">
        <v>0</v>
      </c>
      <c r="S2551" s="42" t="str">
        <f t="shared" si="28"/>
        <v/>
      </c>
      <c r="T2551" s="42"/>
    </row>
    <row r="2552" ht="22.5" customHeight="1">
      <c r="B2552" s="42">
        <f t="shared" si="7"/>
        <v>2546</v>
      </c>
      <c r="C2552" s="31" t="s">
        <v>2623</v>
      </c>
      <c r="D2552" s="34" t="str">
        <f t="array" ref="D2552">IFNA(_xlfn.XLOOKUP(C2552,Table_Tarikan_Warkah[Nomor Sertipikat],Table_Tarikan_Warkah[Nomor Tiket]),"")</f>
        <v>K/48/050625/2</v>
      </c>
      <c r="E2552" s="36">
        <f t="array" ref="E2552">IFNA(_xlfn.XLOOKUP(D2552,Table_Tarikan_Warkah[Nomor Tiket],Table_Tarikan_Warkah[Tanggal diserahkan kepada Validator]),"")</f>
        <v>45831.53904</v>
      </c>
      <c r="F2552" s="36" t="str">
        <f t="array" ref="F2552">IFNA(_xlfn.XLOOKUP(D2552,Table_Tarikan_Warkah[Nomor Tiket],Table_Tarikan_Warkah[Nama Petugas Warkah]),"")</f>
        <v>Berry</v>
      </c>
      <c r="G2552" s="39" t="str">
        <f t="array" ref="G2552">IFNA(_xlfn.XLOOKUP(D2552,Table_Tarikan_Warkah[Nomor Tiket],Table_Tarikan_Warkah[Jenis Permohonan]),"")</f>
        <v>BN JUAL BELI</v>
      </c>
      <c r="H2552" s="41" t="s">
        <v>2315</v>
      </c>
      <c r="I2552" s="49" t="s">
        <v>23</v>
      </c>
      <c r="J2552" s="36">
        <f t="shared" si="20"/>
        <v>45825.38113</v>
      </c>
      <c r="K2552" s="49" t="s">
        <v>2378</v>
      </c>
      <c r="L2552" s="49" t="s">
        <v>23</v>
      </c>
      <c r="M2552" s="36">
        <f t="shared" si="26"/>
        <v>45825.45839</v>
      </c>
      <c r="N2552" s="30" t="str">
        <f t="shared" si="27"/>
        <v>Selesai</v>
      </c>
      <c r="O2552" s="45">
        <f t="shared" si="23"/>
        <v>45825.45839</v>
      </c>
      <c r="P2552" s="47" t="b">
        <v>0</v>
      </c>
      <c r="Q2552" s="36" t="str">
        <f t="shared" si="24"/>
        <v/>
      </c>
      <c r="R2552" s="47" t="b">
        <v>0</v>
      </c>
      <c r="S2552" s="42" t="str">
        <f t="shared" si="28"/>
        <v/>
      </c>
      <c r="T2552" s="42"/>
    </row>
    <row r="2553" ht="22.5" customHeight="1">
      <c r="B2553" s="42">
        <f t="shared" si="7"/>
        <v>2547</v>
      </c>
      <c r="C2553" s="31" t="s">
        <v>2624</v>
      </c>
      <c r="D2553" s="34" t="str">
        <f t="array" ref="D2553">IFNA(_xlfn.XLOOKUP(C2553,Table_Tarikan_Warkah[Nomor Sertipikat],Table_Tarikan_Warkah[Nomor Tiket]),"")</f>
        <v>K/43/120625/1</v>
      </c>
      <c r="E2553" s="36">
        <f t="array" ref="E2553">IFNA(_xlfn.XLOOKUP(D2553,Table_Tarikan_Warkah[Nomor Tiket],Table_Tarikan_Warkah[Tanggal diserahkan kepada Validator]),"")</f>
        <v>45852.64249</v>
      </c>
      <c r="F2553" s="36" t="str">
        <f t="array" ref="F2553">IFNA(_xlfn.XLOOKUP(D2553,Table_Tarikan_Warkah[Nomor Tiket],Table_Tarikan_Warkah[Nama Petugas Warkah]),"")</f>
        <v>David</v>
      </c>
      <c r="G2553" s="39" t="str">
        <f t="array" ref="G2553">IFNA(_xlfn.XLOOKUP(D2553,Table_Tarikan_Warkah[Nomor Tiket],Table_Tarikan_Warkah[Jenis Permohonan]),"")</f>
        <v>GANTI NAMA HT</v>
      </c>
      <c r="H2553" s="41" t="s">
        <v>2315</v>
      </c>
      <c r="I2553" s="49" t="s">
        <v>23</v>
      </c>
      <c r="J2553" s="36">
        <f t="shared" si="20"/>
        <v>45825.38167</v>
      </c>
      <c r="K2553" s="49" t="s">
        <v>2378</v>
      </c>
      <c r="L2553" s="49" t="s">
        <v>23</v>
      </c>
      <c r="M2553" s="36">
        <f t="shared" si="26"/>
        <v>45825.45815</v>
      </c>
      <c r="N2553" s="30" t="str">
        <f t="shared" si="27"/>
        <v>Selesai</v>
      </c>
      <c r="O2553" s="45">
        <f t="shared" si="23"/>
        <v>45825.45815</v>
      </c>
      <c r="P2553" s="47" t="b">
        <v>0</v>
      </c>
      <c r="Q2553" s="36" t="str">
        <f t="shared" si="24"/>
        <v/>
      </c>
      <c r="R2553" s="47" t="b">
        <v>0</v>
      </c>
      <c r="S2553" s="42" t="str">
        <f t="shared" si="28"/>
        <v/>
      </c>
      <c r="T2553" s="42"/>
    </row>
    <row r="2554" ht="22.5" customHeight="1">
      <c r="B2554" s="42">
        <f t="shared" si="7"/>
        <v>2548</v>
      </c>
      <c r="C2554" s="31" t="s">
        <v>2625</v>
      </c>
      <c r="D2554" s="34" t="str">
        <f t="array" ref="D2554">IFNA(_xlfn.XLOOKUP(C2554,Table_Tarikan_Warkah[Nomor Sertipikat],Table_Tarikan_Warkah[Nomor Tiket]),"")</f>
        <v>K/38/080525/4</v>
      </c>
      <c r="E2554" s="36">
        <f t="array" ref="E2554">IFNA(_xlfn.XLOOKUP(D2554,Table_Tarikan_Warkah[Nomor Tiket],Table_Tarikan_Warkah[Tanggal diserahkan kepada Validator]),"")</f>
        <v>45825.55941</v>
      </c>
      <c r="F2554" s="36" t="str">
        <f t="array" ref="F2554">IFNA(_xlfn.XLOOKUP(D2554,Table_Tarikan_Warkah[Nomor Tiket],Table_Tarikan_Warkah[Nama Petugas Warkah]),"")</f>
        <v>Berry</v>
      </c>
      <c r="G2554" s="39" t="str">
        <f t="array" ref="G2554">IFNA(_xlfn.XLOOKUP(D2554,Table_Tarikan_Warkah[Nomor Tiket],Table_Tarikan_Warkah[Jenis Permohonan]),"")</f>
        <v>BN WARIS</v>
      </c>
      <c r="H2554" s="41" t="s">
        <v>20</v>
      </c>
      <c r="I2554" s="49" t="s">
        <v>23</v>
      </c>
      <c r="J2554" s="36">
        <f t="shared" si="20"/>
        <v>45825.395</v>
      </c>
      <c r="K2554" s="49" t="s">
        <v>920</v>
      </c>
      <c r="L2554" s="49" t="s">
        <v>23</v>
      </c>
      <c r="M2554" s="36">
        <f t="shared" si="26"/>
        <v>45825.39503</v>
      </c>
      <c r="N2554" s="30" t="str">
        <f t="shared" si="27"/>
        <v>Selesai</v>
      </c>
      <c r="O2554" s="45">
        <f t="shared" si="23"/>
        <v>45825.39503</v>
      </c>
      <c r="P2554" s="47" t="b">
        <v>1</v>
      </c>
      <c r="Q2554" s="36">
        <f t="shared" si="24"/>
        <v>45825.39507</v>
      </c>
      <c r="R2554" s="47" t="b">
        <v>0</v>
      </c>
      <c r="S2554" s="42" t="str">
        <f t="shared" si="28"/>
        <v/>
      </c>
      <c r="T2554" s="42"/>
    </row>
    <row r="2555" ht="22.5" customHeight="1">
      <c r="B2555" s="42">
        <f t="shared" si="7"/>
        <v>2549</v>
      </c>
      <c r="C2555" s="31" t="s">
        <v>2626</v>
      </c>
      <c r="D2555" s="34" t="str">
        <f t="array" ref="D2555">IFNA(_xlfn.XLOOKUP(C2555,Table_Tarikan_Warkah[Nomor Sertipikat],Table_Tarikan_Warkah[Nomor Tiket]),"")</f>
        <v>K/36/280525/1</v>
      </c>
      <c r="E2555" s="36">
        <f t="array" ref="E2555">IFNA(_xlfn.XLOOKUP(D2555,Table_Tarikan_Warkah[Nomor Tiket],Table_Tarikan_Warkah[Tanggal diserahkan kepada Validator]),"")</f>
        <v>45825.51993</v>
      </c>
      <c r="F2555" s="36" t="str">
        <f t="array" ref="F2555">IFNA(_xlfn.XLOOKUP(D2555,Table_Tarikan_Warkah[Nomor Tiket],Table_Tarikan_Warkah[Nama Petugas Warkah]),"")</f>
        <v>Berry</v>
      </c>
      <c r="G2555" s="39" t="str">
        <f t="array" ref="G2555">IFNA(_xlfn.XLOOKUP(D2555,Table_Tarikan_Warkah[Nomor Tiket],Table_Tarikan_Warkah[Jenis Permohonan]),"")</f>
        <v>KEWARISAN</v>
      </c>
      <c r="H2555" s="41" t="s">
        <v>20</v>
      </c>
      <c r="I2555" s="49" t="s">
        <v>23</v>
      </c>
      <c r="J2555" s="36">
        <f t="shared" si="20"/>
        <v>45825.39519</v>
      </c>
      <c r="K2555" s="49" t="s">
        <v>920</v>
      </c>
      <c r="L2555" s="49" t="s">
        <v>23</v>
      </c>
      <c r="M2555" s="36">
        <f t="shared" si="26"/>
        <v>45825.39522</v>
      </c>
      <c r="N2555" s="30" t="str">
        <f t="shared" si="27"/>
        <v>Selesai</v>
      </c>
      <c r="O2555" s="45">
        <f t="shared" si="23"/>
        <v>45825.39522</v>
      </c>
      <c r="P2555" s="47" t="b">
        <v>1</v>
      </c>
      <c r="Q2555" s="36">
        <f t="shared" si="24"/>
        <v>45825.39525</v>
      </c>
      <c r="R2555" s="47" t="b">
        <v>0</v>
      </c>
      <c r="S2555" s="42" t="str">
        <f t="shared" si="28"/>
        <v/>
      </c>
      <c r="T2555" s="42"/>
    </row>
    <row r="2556" ht="22.5" customHeight="1">
      <c r="B2556" s="42">
        <f t="shared" si="7"/>
        <v>2550</v>
      </c>
      <c r="C2556" s="31" t="s">
        <v>2627</v>
      </c>
      <c r="D2556" s="34" t="str">
        <f t="array" ref="D2556">IFNA(_xlfn.XLOOKUP(C2556,Table_Tarikan_Warkah[Nomor Sertipikat],Table_Tarikan_Warkah[Nomor Tiket]),"")</f>
        <v>K/20/020625/1</v>
      </c>
      <c r="E2556" s="36">
        <f t="array" ref="E2556">IFNA(_xlfn.XLOOKUP(D2556,Table_Tarikan_Warkah[Nomor Tiket],Table_Tarikan_Warkah[Tanggal diserahkan kepada Validator]),"")</f>
        <v>45831.5412</v>
      </c>
      <c r="F2556" s="36" t="str">
        <f t="array" ref="F2556">IFNA(_xlfn.XLOOKUP(D2556,Table_Tarikan_Warkah[Nomor Tiket],Table_Tarikan_Warkah[Nama Petugas Warkah]),"")</f>
        <v>Berry</v>
      </c>
      <c r="G2556" s="39" t="str">
        <f t="array" ref="G2556">IFNA(_xlfn.XLOOKUP(D2556,Table_Tarikan_Warkah[Nomor Tiket],Table_Tarikan_Warkah[Jenis Permohonan]),"")</f>
        <v>BN JUAL-BELI</v>
      </c>
      <c r="H2556" s="41" t="s">
        <v>20</v>
      </c>
      <c r="I2556" s="49" t="s">
        <v>23</v>
      </c>
      <c r="J2556" s="36">
        <f t="shared" si="20"/>
        <v>45826.77951</v>
      </c>
      <c r="K2556" s="49" t="s">
        <v>2378</v>
      </c>
      <c r="L2556" s="49" t="s">
        <v>23</v>
      </c>
      <c r="M2556" s="36">
        <f t="shared" ref="M2556:M2557" si="29">IF(OR(L2559="Selesai",L2559="SELESAI (VIA PERMOHONAN)"),IF(M2556&lt;&gt;"",M2556,NOW()),"")</f>
        <v>45827.66102</v>
      </c>
      <c r="N2556" s="30" t="str">
        <f t="shared" ref="N2556:N2557" si="30">if(D2556="","", IF(AND(I2556="Selesai",L2559="Selesai"),"SELESAI",if(and(I2556="Selesai (Via Permohonan)",L2559="Selesai (Via Permohonan)"),"Selesai",if(and(I2556="Selesai (Via Permohonan)",L2559="Selesai"),"Selesai",if(and(I2556="Selesai",L2559="Selesai (Via Permohonan)"),"Selesai","BT atau SU Belum Valid")))))</f>
        <v>Selesai</v>
      </c>
      <c r="O2556" s="45">
        <f t="shared" si="23"/>
        <v>45827.66102</v>
      </c>
      <c r="P2556" s="47" t="b">
        <v>0</v>
      </c>
      <c r="Q2556" s="36" t="str">
        <f t="shared" si="24"/>
        <v/>
      </c>
      <c r="R2556" s="47" t="b">
        <v>0</v>
      </c>
      <c r="S2556" s="42" t="str">
        <f t="shared" si="28"/>
        <v/>
      </c>
      <c r="T2556" s="42"/>
    </row>
    <row r="2557" ht="22.5" customHeight="1">
      <c r="B2557" s="42">
        <f t="shared" si="7"/>
        <v>2551</v>
      </c>
      <c r="C2557" s="31" t="s">
        <v>2628</v>
      </c>
      <c r="D2557" s="34" t="str">
        <f t="array" ref="D2557">IFNA(_xlfn.XLOOKUP(C2557,Table_Tarikan_Warkah[Nomor Sertipikat],Table_Tarikan_Warkah[Nomor Tiket]),"")</f>
        <v>K/7/050625/1</v>
      </c>
      <c r="E2557" s="36">
        <f t="array" ref="E2557">IFNA(_xlfn.XLOOKUP(D2557,Table_Tarikan_Warkah[Nomor Tiket],Table_Tarikan_Warkah[Tanggal diserahkan kepada Validator]),"")</f>
        <v>45831.61815</v>
      </c>
      <c r="F2557" s="36" t="str">
        <f t="array" ref="F2557">IFNA(_xlfn.XLOOKUP(D2557,Table_Tarikan_Warkah[Nomor Tiket],Table_Tarikan_Warkah[Nama Petugas Warkah]),"")</f>
        <v>Berry</v>
      </c>
      <c r="G2557" s="39" t="str">
        <f t="array" ref="G2557">IFNA(_xlfn.XLOOKUP(D2557,Table_Tarikan_Warkah[Nomor Tiket],Table_Tarikan_Warkah[Jenis Permohonan]),"")</f>
        <v>BN Jual Beli</v>
      </c>
      <c r="H2557" s="41" t="s">
        <v>20</v>
      </c>
      <c r="I2557" s="49" t="s">
        <v>23</v>
      </c>
      <c r="J2557" s="36">
        <f t="shared" si="20"/>
        <v>45826.77951</v>
      </c>
      <c r="K2557" s="49" t="s">
        <v>2378</v>
      </c>
      <c r="L2557" s="49" t="s">
        <v>23</v>
      </c>
      <c r="M2557" s="36">
        <f t="shared" si="29"/>
        <v>45827.66104</v>
      </c>
      <c r="N2557" s="30" t="str">
        <f t="shared" si="30"/>
        <v>Selesai</v>
      </c>
      <c r="O2557" s="45">
        <f t="shared" si="23"/>
        <v>45827.66104</v>
      </c>
      <c r="P2557" s="47" t="b">
        <v>0</v>
      </c>
      <c r="Q2557" s="36" t="str">
        <f t="shared" si="24"/>
        <v/>
      </c>
      <c r="R2557" s="47" t="b">
        <v>0</v>
      </c>
      <c r="S2557" s="42" t="str">
        <f t="shared" si="28"/>
        <v/>
      </c>
      <c r="T2557" s="42"/>
    </row>
    <row r="2558" ht="22.5" customHeight="1">
      <c r="B2558" s="42">
        <f t="shared" si="7"/>
        <v>2552</v>
      </c>
      <c r="C2558" s="31" t="s">
        <v>2629</v>
      </c>
      <c r="D2558" s="34" t="str">
        <f t="array" ref="D2558">IFNA(_xlfn.XLOOKUP(C2558,Table_Tarikan_Warkah[Nomor Sertipikat],Table_Tarikan_Warkah[Nomor Tiket]),"")</f>
        <v>K/36/040625/1</v>
      </c>
      <c r="E2558" s="36" t="str">
        <f t="array" ref="E2558">IFNA(_xlfn.XLOOKUP(D2558,Table_Tarikan_Warkah[Nomor Tiket],Table_Tarikan_Warkah[Tanggal diserahkan kepada Validator]),"")</f>
        <v/>
      </c>
      <c r="F2558" s="36" t="str">
        <f t="array" ref="F2558">IFNA(_xlfn.XLOOKUP(D2558,Table_Tarikan_Warkah[Nomor Tiket],Table_Tarikan_Warkah[Nama Petugas Warkah]),"")</f>
        <v/>
      </c>
      <c r="G2558" s="39" t="str">
        <f t="array" ref="G2558">IFNA(_xlfn.XLOOKUP(D2558,Table_Tarikan_Warkah[Nomor Tiket],Table_Tarikan_Warkah[Jenis Permohonan]),"")</f>
        <v>BN Jual Beli</v>
      </c>
      <c r="H2558" s="41" t="s">
        <v>20</v>
      </c>
      <c r="I2558" s="49" t="s">
        <v>23</v>
      </c>
      <c r="J2558" s="36">
        <f t="shared" si="20"/>
        <v>45826.77951</v>
      </c>
      <c r="K2558" s="49" t="s">
        <v>2378</v>
      </c>
      <c r="L2558" s="49" t="s">
        <v>23</v>
      </c>
      <c r="M2558" s="36">
        <f>IF(OR(L2558="Selesai",L2558="SELESAI (VIA PERMOHONAN)"),IF(M2558&lt;&gt;"",M2558,NOW()),"")</f>
        <v>45827.66113</v>
      </c>
      <c r="N2558" s="30" t="str">
        <f>if(D2558="","", IF(AND(I2558="Selesai",L2558="Selesai"),"SELESAI",if(and(I2558="Selesai (Via Permohonan)",L2558="Selesai (Via Permohonan)"),"Selesai",if(and(I2558="Selesai (Via Permohonan)",L2558="Selesai"),"Selesai",if(and(I2558="Selesai",L2558="Selesai (Via Permohonan)"),"Selesai","BT atau SU Belum Valid")))))</f>
        <v>Selesai</v>
      </c>
      <c r="O2558" s="45">
        <f t="shared" si="23"/>
        <v>45827.66113</v>
      </c>
      <c r="P2558" s="47" t="b">
        <v>0</v>
      </c>
      <c r="Q2558" s="36" t="str">
        <f t="shared" si="24"/>
        <v/>
      </c>
      <c r="R2558" s="47" t="b">
        <v>0</v>
      </c>
      <c r="S2558" s="42" t="str">
        <f t="shared" si="28"/>
        <v/>
      </c>
      <c r="T2558" s="42"/>
    </row>
    <row r="2559" ht="22.5" customHeight="1">
      <c r="B2559" s="42">
        <f t="shared" si="7"/>
        <v>2553</v>
      </c>
      <c r="C2559" s="31" t="s">
        <v>2630</v>
      </c>
      <c r="D2559" s="34" t="str">
        <f t="array" ref="D2559">IFNA(_xlfn.XLOOKUP(C2559,Table_Tarikan_Warkah[Nomor Sertipikat],Table_Tarikan_Warkah[Nomor Tiket]),"")</f>
        <v>K/10/120625/1</v>
      </c>
      <c r="E2559" s="36">
        <f t="array" ref="E2559">IFNA(_xlfn.XLOOKUP(D2559,Table_Tarikan_Warkah[Nomor Tiket],Table_Tarikan_Warkah[Tanggal diserahkan kepada Validator]),"")</f>
        <v>45831.52617</v>
      </c>
      <c r="F2559" s="36" t="str">
        <f t="array" ref="F2559">IFNA(_xlfn.XLOOKUP(D2559,Table_Tarikan_Warkah[Nomor Tiket],Table_Tarikan_Warkah[Nama Petugas Warkah]),"")</f>
        <v>Berry</v>
      </c>
      <c r="G2559" s="39" t="str">
        <f t="array" ref="G2559">IFNA(_xlfn.XLOOKUP(D2559,Table_Tarikan_Warkah[Nomor Tiket],Table_Tarikan_Warkah[Jenis Permohonan]),"")</f>
        <v>BN Jual Beli</v>
      </c>
      <c r="H2559" s="41" t="s">
        <v>20</v>
      </c>
      <c r="I2559" s="49" t="s">
        <v>23</v>
      </c>
      <c r="J2559" s="36">
        <f t="shared" si="20"/>
        <v>45826.77951</v>
      </c>
      <c r="K2559" s="49" t="s">
        <v>2378</v>
      </c>
      <c r="L2559" s="49" t="s">
        <v>23</v>
      </c>
      <c r="M2559" s="36" t="str">
        <f t="shared" ref="M2559:M2560" si="31">IF(OR(#REF!="Selesai",#REF!="SELESAI (VIA PERMOHONAN)"),IF(M2559&lt;&gt;"",M2559,NOW()),"")</f>
        <v>#REF!</v>
      </c>
      <c r="N2559" s="30" t="str">
        <f t="shared" ref="N2559:N2560" si="32">if(D2559="","", IF(AND(I2559="Selesai",#REF!="Selesai"),"SELESAI",if(and(I2559="Selesai (Via Permohonan)",#REF!="Selesai (Via Permohonan)"),"Selesai",if(and(I2559="Selesai (Via Permohonan)",#REF!="Selesai"),"Selesai",if(and(I2559="Selesai",#REF!="Selesai (Via Permohonan)"),"Selesai","BT atau SU Belum Valid")))))</f>
        <v>#REF!</v>
      </c>
      <c r="O2559" s="39" t="str">
        <f t="shared" si="23"/>
        <v>#REF!</v>
      </c>
      <c r="P2559" s="47" t="b">
        <v>0</v>
      </c>
      <c r="Q2559" s="36" t="str">
        <f t="shared" si="24"/>
        <v/>
      </c>
      <c r="R2559" s="47" t="b">
        <v>0</v>
      </c>
      <c r="S2559" s="42" t="str">
        <f t="shared" si="28"/>
        <v/>
      </c>
      <c r="T2559" s="42"/>
    </row>
    <row r="2560" ht="22.5" customHeight="1">
      <c r="B2560" s="42">
        <f t="shared" si="7"/>
        <v>2554</v>
      </c>
      <c r="C2560" s="31" t="s">
        <v>2631</v>
      </c>
      <c r="D2560" s="34" t="str">
        <f t="array" ref="D2560">IFNA(_xlfn.XLOOKUP(C2560,Table_Tarikan_Warkah[Nomor Sertipikat],Table_Tarikan_Warkah[Nomor Tiket]),"")</f>
        <v>K/30/030625/1</v>
      </c>
      <c r="E2560" s="36">
        <f t="array" ref="E2560">IFNA(_xlfn.XLOOKUP(D2560,Table_Tarikan_Warkah[Nomor Tiket],Table_Tarikan_Warkah[Tanggal diserahkan kepada Validator]),"")</f>
        <v>45833.67189</v>
      </c>
      <c r="F2560" s="36" t="str">
        <f t="array" ref="F2560">IFNA(_xlfn.XLOOKUP(D2560,Table_Tarikan_Warkah[Nomor Tiket],Table_Tarikan_Warkah[Nama Petugas Warkah]),"")</f>
        <v>David</v>
      </c>
      <c r="G2560" s="39" t="str">
        <f t="array" ref="G2560">IFNA(_xlfn.XLOOKUP(D2560,Table_Tarikan_Warkah[Nomor Tiket],Table_Tarikan_Warkah[Jenis Permohonan]),"")</f>
        <v>Roya</v>
      </c>
      <c r="H2560" s="41" t="s">
        <v>20</v>
      </c>
      <c r="I2560" s="49" t="s">
        <v>23</v>
      </c>
      <c r="J2560" s="36">
        <f t="shared" si="20"/>
        <v>45826.77986</v>
      </c>
      <c r="K2560" s="49" t="s">
        <v>2378</v>
      </c>
      <c r="L2560" s="49" t="s">
        <v>23</v>
      </c>
      <c r="M2560" s="36" t="str">
        <f t="shared" si="31"/>
        <v>#REF!</v>
      </c>
      <c r="N2560" s="30" t="str">
        <f t="shared" si="32"/>
        <v>#REF!</v>
      </c>
      <c r="O2560" s="39" t="str">
        <f t="shared" si="23"/>
        <v>#REF!</v>
      </c>
      <c r="P2560" s="47" t="b">
        <v>0</v>
      </c>
      <c r="Q2560" s="36" t="str">
        <f t="shared" si="24"/>
        <v/>
      </c>
      <c r="R2560" s="47" t="b">
        <v>0</v>
      </c>
      <c r="S2560" s="42" t="str">
        <f t="shared" si="28"/>
        <v/>
      </c>
      <c r="T2560" s="42"/>
    </row>
    <row r="2561" ht="22.5" customHeight="1">
      <c r="B2561" s="42">
        <f t="shared" si="7"/>
        <v>2555</v>
      </c>
      <c r="C2561" s="31" t="s">
        <v>2632</v>
      </c>
      <c r="D2561" s="34" t="str">
        <f t="array" ref="D2561">IFNA(_xlfn.XLOOKUP(C2561,Table_Tarikan_Warkah[Nomor Sertipikat],Table_Tarikan_Warkah[Nomor Tiket]),"")</f>
        <v>K/10/030625/1</v>
      </c>
      <c r="E2561" s="36">
        <f t="array" ref="E2561">IFNA(_xlfn.XLOOKUP(D2561,Table_Tarikan_Warkah[Nomor Tiket],Table_Tarikan_Warkah[Tanggal diserahkan kepada Validator]),"")</f>
        <v>45831.5415</v>
      </c>
      <c r="F2561" s="36" t="str">
        <f t="array" ref="F2561">IFNA(_xlfn.XLOOKUP(D2561,Table_Tarikan_Warkah[Nomor Tiket],Table_Tarikan_Warkah[Nama Petugas Warkah]),"")</f>
        <v>Berry</v>
      </c>
      <c r="G2561" s="39" t="str">
        <f t="array" ref="G2561">IFNA(_xlfn.XLOOKUP(D2561,Table_Tarikan_Warkah[Nomor Tiket],Table_Tarikan_Warkah[Jenis Permohonan]),"")</f>
        <v>BN Waris</v>
      </c>
      <c r="H2561" s="41" t="s">
        <v>20</v>
      </c>
      <c r="I2561" s="49" t="s">
        <v>23</v>
      </c>
      <c r="J2561" s="36">
        <f t="shared" si="20"/>
        <v>45826.78022</v>
      </c>
      <c r="K2561" s="49" t="s">
        <v>2378</v>
      </c>
      <c r="L2561" s="49" t="s">
        <v>23</v>
      </c>
      <c r="M2561" s="36">
        <f t="shared" ref="M2561:M5241" si="33">IF(OR(L2561="Selesai",L2561="SELESAI (VIA PERMOHONAN)"),IF(M2561&lt;&gt;"",M2561,NOW()),"")</f>
        <v>45827.66118</v>
      </c>
      <c r="N2561" s="30" t="str">
        <f t="shared" ref="N2561:N5241" si="34">if(D2561="","", IF(AND(I2561="Selesai",L2561="Selesai"),"SELESAI",if(and(I2561="Selesai (Via Permohonan)",L2561="Selesai (Via Permohonan)"),"Selesai",if(and(I2561="Selesai (Via Permohonan)",L2561="Selesai"),"Selesai",if(and(I2561="Selesai",L2561="Selesai (Via Permohonan)"),"Selesai","BT atau SU Belum Valid")))))</f>
        <v>Selesai</v>
      </c>
      <c r="O2561" s="45">
        <f t="shared" si="23"/>
        <v>45827.66118</v>
      </c>
      <c r="P2561" s="47" t="b">
        <v>0</v>
      </c>
      <c r="Q2561" s="36" t="str">
        <f t="shared" si="24"/>
        <v/>
      </c>
      <c r="R2561" s="47" t="b">
        <v>0</v>
      </c>
      <c r="S2561" s="42" t="str">
        <f t="shared" si="28"/>
        <v/>
      </c>
      <c r="T2561" s="42"/>
    </row>
    <row r="2562" ht="22.5" customHeight="1">
      <c r="B2562" s="42">
        <f t="shared" si="7"/>
        <v>2556</v>
      </c>
      <c r="C2562" s="31" t="s">
        <v>2633</v>
      </c>
      <c r="D2562" s="34" t="str">
        <f t="array" ref="D2562">IFNA(_xlfn.XLOOKUP(C2562,Table_Tarikan_Warkah[Nomor Sertipikat],Table_Tarikan_Warkah[Nomor Tiket]),"")</f>
        <v>K/20/280525/1</v>
      </c>
      <c r="E2562" s="36">
        <f t="array" ref="E2562">IFNA(_xlfn.XLOOKUP(D2562,Table_Tarikan_Warkah[Nomor Tiket],Table_Tarikan_Warkah[Tanggal diserahkan kepada Validator]),"")</f>
        <v>45828.53324</v>
      </c>
      <c r="F2562" s="36" t="str">
        <f t="array" ref="F2562">IFNA(_xlfn.XLOOKUP(D2562,Table_Tarikan_Warkah[Nomor Tiket],Table_Tarikan_Warkah[Nama Petugas Warkah]),"")</f>
        <v>Berry</v>
      </c>
      <c r="G2562" s="39" t="str">
        <f t="array" ref="G2562">IFNA(_xlfn.XLOOKUP(D2562,Table_Tarikan_Warkah[Nomor Tiket],Table_Tarikan_Warkah[Jenis Permohonan]),"")</f>
        <v>JUAL BELI</v>
      </c>
      <c r="H2562" s="41" t="s">
        <v>20</v>
      </c>
      <c r="I2562" s="49" t="s">
        <v>23</v>
      </c>
      <c r="J2562" s="36">
        <f t="shared" si="20"/>
        <v>45826.78022</v>
      </c>
      <c r="K2562" s="49" t="s">
        <v>2378</v>
      </c>
      <c r="L2562" s="49" t="s">
        <v>23</v>
      </c>
      <c r="M2562" s="36">
        <f t="shared" si="33"/>
        <v>45827.66118</v>
      </c>
      <c r="N2562" s="30" t="str">
        <f t="shared" si="34"/>
        <v>Selesai</v>
      </c>
      <c r="O2562" s="45">
        <f t="shared" si="23"/>
        <v>45827.66118</v>
      </c>
      <c r="P2562" s="47" t="b">
        <v>0</v>
      </c>
      <c r="Q2562" s="36" t="str">
        <f t="shared" si="24"/>
        <v/>
      </c>
      <c r="R2562" s="47" t="b">
        <v>0</v>
      </c>
      <c r="S2562" s="42" t="str">
        <f t="shared" si="28"/>
        <v/>
      </c>
      <c r="T2562" s="42"/>
    </row>
    <row r="2563" ht="22.5" customHeight="1">
      <c r="B2563" s="42">
        <f t="shared" si="7"/>
        <v>2557</v>
      </c>
      <c r="C2563" s="31" t="s">
        <v>2634</v>
      </c>
      <c r="D2563" s="34" t="str">
        <f t="array" ref="D2563">IFNA(_xlfn.XLOOKUP(C2563,Table_Tarikan_Warkah[Nomor Sertipikat],Table_Tarikan_Warkah[Nomor Tiket]),"")</f>
        <v>K/38/260525/1</v>
      </c>
      <c r="E2563" s="36">
        <f t="array" ref="E2563">IFNA(_xlfn.XLOOKUP(D2563,Table_Tarikan_Warkah[Nomor Tiket],Table_Tarikan_Warkah[Tanggal diserahkan kepada Validator]),"")</f>
        <v>45861.61999</v>
      </c>
      <c r="F2563" s="36" t="str">
        <f t="array" ref="F2563">IFNA(_xlfn.XLOOKUP(D2563,Table_Tarikan_Warkah[Nomor Tiket],Table_Tarikan_Warkah[Nama Petugas Warkah]),"")</f>
        <v>Berry</v>
      </c>
      <c r="G2563" s="39" t="str">
        <f t="array" ref="G2563">IFNA(_xlfn.XLOOKUP(D2563,Table_Tarikan_Warkah[Nomor Tiket],Table_Tarikan_Warkah[Jenis Permohonan]),"")</f>
        <v>JUAL BELI</v>
      </c>
      <c r="H2563" s="41" t="s">
        <v>20</v>
      </c>
      <c r="I2563" s="49" t="s">
        <v>23</v>
      </c>
      <c r="J2563" s="36">
        <f t="shared" si="20"/>
        <v>45826.78022</v>
      </c>
      <c r="K2563" s="49" t="s">
        <v>2378</v>
      </c>
      <c r="L2563" s="49" t="s">
        <v>23</v>
      </c>
      <c r="M2563" s="36">
        <f t="shared" si="33"/>
        <v>45827.66118</v>
      </c>
      <c r="N2563" s="30" t="str">
        <f t="shared" si="34"/>
        <v>Selesai</v>
      </c>
      <c r="O2563" s="45">
        <f t="shared" si="23"/>
        <v>45827.66118</v>
      </c>
      <c r="P2563" s="47" t="b">
        <v>0</v>
      </c>
      <c r="Q2563" s="36" t="str">
        <f t="shared" si="24"/>
        <v/>
      </c>
      <c r="R2563" s="47" t="b">
        <v>0</v>
      </c>
      <c r="S2563" s="42" t="str">
        <f t="shared" si="28"/>
        <v/>
      </c>
      <c r="T2563" s="42"/>
    </row>
    <row r="2564" ht="22.5" customHeight="1">
      <c r="B2564" s="42">
        <f t="shared" si="7"/>
        <v>2558</v>
      </c>
      <c r="C2564" s="31" t="s">
        <v>2635</v>
      </c>
      <c r="D2564" s="34" t="str">
        <f t="array" ref="D2564">IFNA(_xlfn.XLOOKUP(C2564,Table_Tarikan_Warkah[Nomor Sertipikat],Table_Tarikan_Warkah[Nomor Tiket]),"")</f>
        <v>L/1/150625/PELATARAN</v>
      </c>
      <c r="E2564" s="36" t="str">
        <f t="array" ref="E2564">IFNA(_xlfn.XLOOKUP(D2564,Table_Tarikan_Warkah[Nomor Tiket],Table_Tarikan_Warkah[Tanggal diserahkan kepada Validator]),"")</f>
        <v/>
      </c>
      <c r="F2564" s="36" t="str">
        <f t="array" ref="F2564">IFNA(_xlfn.XLOOKUP(D2564,Table_Tarikan_Warkah[Nomor Tiket],Table_Tarikan_Warkah[Nama Petugas Warkah]),"")</f>
        <v/>
      </c>
      <c r="G2564" s="39" t="str">
        <f t="array" ref="G2564">IFNA(_xlfn.XLOOKUP(D2564,Table_Tarikan_Warkah[Nomor Tiket],Table_Tarikan_Warkah[Jenis Permohonan]),"")</f>
        <v>KEWARISAN</v>
      </c>
      <c r="H2564" s="41" t="s">
        <v>20</v>
      </c>
      <c r="I2564" s="49" t="s">
        <v>23</v>
      </c>
      <c r="J2564" s="36">
        <f t="shared" si="20"/>
        <v>45826.78022</v>
      </c>
      <c r="K2564" s="49" t="s">
        <v>2378</v>
      </c>
      <c r="L2564" s="49" t="s">
        <v>23</v>
      </c>
      <c r="M2564" s="36">
        <f t="shared" si="33"/>
        <v>45827.66118</v>
      </c>
      <c r="N2564" s="30" t="str">
        <f t="shared" si="34"/>
        <v>Selesai</v>
      </c>
      <c r="O2564" s="45">
        <f t="shared" si="23"/>
        <v>45827.66118</v>
      </c>
      <c r="P2564" s="47" t="b">
        <v>0</v>
      </c>
      <c r="Q2564" s="36" t="str">
        <f t="shared" si="24"/>
        <v/>
      </c>
      <c r="R2564" s="47" t="b">
        <v>0</v>
      </c>
      <c r="S2564" s="42" t="str">
        <f t="shared" si="28"/>
        <v/>
      </c>
      <c r="T2564" s="42"/>
    </row>
    <row r="2565" ht="22.5" customHeight="1">
      <c r="B2565" s="42">
        <f t="shared" si="7"/>
        <v>2559</v>
      </c>
      <c r="C2565" s="31" t="s">
        <v>2636</v>
      </c>
      <c r="D2565" s="34" t="str">
        <f t="array" ref="D2565">IFNA(_xlfn.XLOOKUP(C2565,Table_Tarikan_Warkah[Nomor Sertipikat],Table_Tarikan_Warkah[Nomor Tiket]),"")</f>
        <v>L/2/150625/PELATARAN</v>
      </c>
      <c r="E2565" s="36">
        <f t="array" ref="E2565">IFNA(_xlfn.XLOOKUP(D2565,Table_Tarikan_Warkah[Nomor Tiket],Table_Tarikan_Warkah[Tanggal diserahkan kepada Validator]),"")</f>
        <v>45853.72326</v>
      </c>
      <c r="F2565" s="36" t="str">
        <f t="array" ref="F2565">IFNA(_xlfn.XLOOKUP(D2565,Table_Tarikan_Warkah[Nomor Tiket],Table_Tarikan_Warkah[Nama Petugas Warkah]),"")</f>
        <v>Berry</v>
      </c>
      <c r="G2565" s="39" t="str">
        <f t="array" ref="G2565">IFNA(_xlfn.XLOOKUP(D2565,Table_Tarikan_Warkah[Nomor Tiket],Table_Tarikan_Warkah[Jenis Permohonan]),"")</f>
        <v>KEWARISAN</v>
      </c>
      <c r="H2565" s="41" t="s">
        <v>20</v>
      </c>
      <c r="I2565" s="49" t="s">
        <v>23</v>
      </c>
      <c r="J2565" s="36">
        <f t="shared" si="20"/>
        <v>45826.78058</v>
      </c>
      <c r="K2565" s="49" t="s">
        <v>2378</v>
      </c>
      <c r="L2565" s="49" t="s">
        <v>23</v>
      </c>
      <c r="M2565" s="36">
        <f t="shared" si="33"/>
        <v>45827.66118</v>
      </c>
      <c r="N2565" s="30" t="str">
        <f t="shared" si="34"/>
        <v>Selesai</v>
      </c>
      <c r="O2565" s="45">
        <f t="shared" si="23"/>
        <v>45827.66118</v>
      </c>
      <c r="P2565" s="47" t="b">
        <v>0</v>
      </c>
      <c r="Q2565" s="36" t="str">
        <f t="shared" si="24"/>
        <v/>
      </c>
      <c r="R2565" s="47" t="b">
        <v>0</v>
      </c>
      <c r="S2565" s="42" t="str">
        <f t="shared" si="28"/>
        <v/>
      </c>
      <c r="T2565" s="42"/>
    </row>
    <row r="2566" ht="22.5" customHeight="1">
      <c r="B2566" s="42">
        <f t="shared" si="7"/>
        <v>2560</v>
      </c>
      <c r="C2566" s="31" t="s">
        <v>2637</v>
      </c>
      <c r="D2566" s="34" t="str">
        <f t="array" ref="D2566">IFNA(_xlfn.XLOOKUP(C2566,Table_Tarikan_Warkah[Nomor Sertipikat],Table_Tarikan_Warkah[Nomor Tiket]),"")</f>
        <v>K/5/280525/2</v>
      </c>
      <c r="E2566" s="36">
        <f t="array" ref="E2566">IFNA(_xlfn.XLOOKUP(D2566,Table_Tarikan_Warkah[Nomor Tiket],Table_Tarikan_Warkah[Tanggal diserahkan kepada Validator]),"")</f>
        <v>45828.53224</v>
      </c>
      <c r="F2566" s="36" t="str">
        <f t="array" ref="F2566">IFNA(_xlfn.XLOOKUP(D2566,Table_Tarikan_Warkah[Nomor Tiket],Table_Tarikan_Warkah[Nama Petugas Warkah]),"")</f>
        <v>Berry</v>
      </c>
      <c r="G2566" s="39" t="str">
        <f t="array" ref="G2566">IFNA(_xlfn.XLOOKUP(D2566,Table_Tarikan_Warkah[Nomor Tiket],Table_Tarikan_Warkah[Jenis Permohonan]),"")</f>
        <v>JUAL BELI</v>
      </c>
      <c r="H2566" s="41" t="s">
        <v>20</v>
      </c>
      <c r="I2566" s="49" t="s">
        <v>23</v>
      </c>
      <c r="J2566" s="36">
        <f t="shared" si="20"/>
        <v>45826.78058</v>
      </c>
      <c r="K2566" s="49" t="s">
        <v>2378</v>
      </c>
      <c r="L2566" s="49" t="s">
        <v>23</v>
      </c>
      <c r="M2566" s="36">
        <f t="shared" si="33"/>
        <v>45827.66118</v>
      </c>
      <c r="N2566" s="30" t="str">
        <f t="shared" si="34"/>
        <v>Selesai</v>
      </c>
      <c r="O2566" s="45">
        <f t="shared" si="23"/>
        <v>45827.66118</v>
      </c>
      <c r="P2566" s="47" t="b">
        <v>0</v>
      </c>
      <c r="Q2566" s="36" t="str">
        <f t="shared" si="24"/>
        <v/>
      </c>
      <c r="R2566" s="47" t="b">
        <v>0</v>
      </c>
      <c r="S2566" s="42" t="str">
        <f t="shared" si="28"/>
        <v/>
      </c>
      <c r="T2566" s="42"/>
    </row>
    <row r="2567" ht="22.5" customHeight="1">
      <c r="B2567" s="42">
        <f t="shared" si="7"/>
        <v>2561</v>
      </c>
      <c r="C2567" s="31" t="s">
        <v>2638</v>
      </c>
      <c r="D2567" s="34" t="str">
        <f t="array" ref="D2567">IFNA(_xlfn.XLOOKUP(C2567,Table_Tarikan_Warkah[Nomor Sertipikat],Table_Tarikan_Warkah[Nomor Tiket]),"")</f>
        <v>K/32/120625/2</v>
      </c>
      <c r="E2567" s="36">
        <f t="array" ref="E2567">IFNA(_xlfn.XLOOKUP(D2567,Table_Tarikan_Warkah[Nomor Tiket],Table_Tarikan_Warkah[Tanggal diserahkan kepada Validator]),"")</f>
        <v>45832.53489</v>
      </c>
      <c r="F2567" s="36" t="str">
        <f t="array" ref="F2567">IFNA(_xlfn.XLOOKUP(D2567,Table_Tarikan_Warkah[Nomor Tiket],Table_Tarikan_Warkah[Nama Petugas Warkah]),"")</f>
        <v>David</v>
      </c>
      <c r="G2567" s="39" t="str">
        <f t="array" ref="G2567">IFNA(_xlfn.XLOOKUP(D2567,Table_Tarikan_Warkah[Nomor Tiket],Table_Tarikan_Warkah[Jenis Permohonan]),"")</f>
        <v>ROYA</v>
      </c>
      <c r="H2567" s="41" t="s">
        <v>20</v>
      </c>
      <c r="I2567" s="49" t="s">
        <v>23</v>
      </c>
      <c r="J2567" s="36">
        <f t="shared" si="20"/>
        <v>45826.78058</v>
      </c>
      <c r="K2567" s="49" t="s">
        <v>2378</v>
      </c>
      <c r="L2567" s="49" t="s">
        <v>23</v>
      </c>
      <c r="M2567" s="36">
        <f t="shared" si="33"/>
        <v>45827.66129</v>
      </c>
      <c r="N2567" s="30" t="str">
        <f t="shared" si="34"/>
        <v>Selesai</v>
      </c>
      <c r="O2567" s="45">
        <f t="shared" si="23"/>
        <v>45827.66129</v>
      </c>
      <c r="P2567" s="47" t="b">
        <v>0</v>
      </c>
      <c r="Q2567" s="36" t="str">
        <f t="shared" si="24"/>
        <v/>
      </c>
      <c r="R2567" s="47" t="b">
        <v>0</v>
      </c>
      <c r="S2567" s="42" t="str">
        <f t="shared" si="28"/>
        <v/>
      </c>
      <c r="T2567" s="42"/>
    </row>
    <row r="2568" ht="22.5" customHeight="1">
      <c r="B2568" s="42">
        <f t="shared" si="7"/>
        <v>2562</v>
      </c>
      <c r="C2568" s="31" t="s">
        <v>2639</v>
      </c>
      <c r="D2568" s="34" t="str">
        <f t="array" ref="D2568">IFNA(_xlfn.XLOOKUP(C2568,Table_Tarikan_Warkah[Nomor Sertipikat],Table_Tarikan_Warkah[Nomor Tiket]),"")</f>
        <v>K/52/030625/1</v>
      </c>
      <c r="E2568" s="36">
        <f t="array" ref="E2568">IFNA(_xlfn.XLOOKUP(D2568,Table_Tarikan_Warkah[Nomor Tiket],Table_Tarikan_Warkah[Tanggal diserahkan kepada Validator]),"")</f>
        <v>45828.5392</v>
      </c>
      <c r="F2568" s="36" t="str">
        <f t="array" ref="F2568">IFNA(_xlfn.XLOOKUP(D2568,Table_Tarikan_Warkah[Nomor Tiket],Table_Tarikan_Warkah[Nama Petugas Warkah]),"")</f>
        <v>Berry</v>
      </c>
      <c r="G2568" s="39" t="str">
        <f t="array" ref="G2568">IFNA(_xlfn.XLOOKUP(D2568,Table_Tarikan_Warkah[Nomor Tiket],Table_Tarikan_Warkah[Jenis Permohonan]),"")</f>
        <v>JUAL BELI</v>
      </c>
      <c r="H2568" s="41" t="s">
        <v>20</v>
      </c>
      <c r="I2568" s="49" t="s">
        <v>23</v>
      </c>
      <c r="J2568" s="36">
        <f t="shared" si="20"/>
        <v>45826.78093</v>
      </c>
      <c r="K2568" s="49" t="s">
        <v>2378</v>
      </c>
      <c r="L2568" s="49" t="s">
        <v>23</v>
      </c>
      <c r="M2568" s="36">
        <f t="shared" si="33"/>
        <v>45827.66129</v>
      </c>
      <c r="N2568" s="30" t="str">
        <f t="shared" si="34"/>
        <v>Selesai</v>
      </c>
      <c r="O2568" s="45">
        <f t="shared" si="23"/>
        <v>45827.66129</v>
      </c>
      <c r="P2568" s="47" t="b">
        <v>0</v>
      </c>
      <c r="Q2568" s="36" t="str">
        <f t="shared" si="24"/>
        <v/>
      </c>
      <c r="R2568" s="47" t="b">
        <v>0</v>
      </c>
      <c r="S2568" s="42" t="str">
        <f t="shared" si="28"/>
        <v/>
      </c>
      <c r="T2568" s="42"/>
    </row>
    <row r="2569" ht="22.5" customHeight="1">
      <c r="B2569" s="42">
        <f t="shared" si="7"/>
        <v>2563</v>
      </c>
      <c r="C2569" s="31" t="s">
        <v>2640</v>
      </c>
      <c r="D2569" s="34" t="str">
        <f t="array" ref="D2569">IFNA(_xlfn.XLOOKUP(C2569,Table_Tarikan_Warkah[Nomor Sertipikat],Table_Tarikan_Warkah[Nomor Tiket]),"")</f>
        <v>L/9/050625/1</v>
      </c>
      <c r="E2569" s="36">
        <f t="array" ref="E2569">IFNA(_xlfn.XLOOKUP(D2569,Table_Tarikan_Warkah[Nomor Tiket],Table_Tarikan_Warkah[Tanggal diserahkan kepada Validator]),"")</f>
        <v>45840.60005</v>
      </c>
      <c r="F2569" s="36" t="str">
        <f t="array" ref="F2569">IFNA(_xlfn.XLOOKUP(D2569,Table_Tarikan_Warkah[Nomor Tiket],Table_Tarikan_Warkah[Nama Petugas Warkah]),"")</f>
        <v>David</v>
      </c>
      <c r="G2569" s="39" t="str">
        <f t="array" ref="G2569">IFNA(_xlfn.XLOOKUP(D2569,Table_Tarikan_Warkah[Nomor Tiket],Table_Tarikan_Warkah[Jenis Permohonan]),"")</f>
        <v>ROYA</v>
      </c>
      <c r="H2569" s="41" t="s">
        <v>20</v>
      </c>
      <c r="I2569" s="49" t="s">
        <v>23</v>
      </c>
      <c r="J2569" s="36">
        <f t="shared" si="20"/>
        <v>45826.78093</v>
      </c>
      <c r="K2569" s="49" t="s">
        <v>2378</v>
      </c>
      <c r="L2569" s="49" t="s">
        <v>23</v>
      </c>
      <c r="M2569" s="36">
        <f t="shared" si="33"/>
        <v>45827.66129</v>
      </c>
      <c r="N2569" s="30" t="str">
        <f t="shared" si="34"/>
        <v>Selesai</v>
      </c>
      <c r="O2569" s="45">
        <f t="shared" si="23"/>
        <v>45827.66129</v>
      </c>
      <c r="P2569" s="47" t="b">
        <v>0</v>
      </c>
      <c r="Q2569" s="36" t="str">
        <f t="shared" si="24"/>
        <v/>
      </c>
      <c r="R2569" s="47" t="b">
        <v>0</v>
      </c>
      <c r="S2569" s="42" t="str">
        <f t="shared" si="28"/>
        <v/>
      </c>
      <c r="T2569" s="42"/>
    </row>
    <row r="2570" ht="22.5" customHeight="1">
      <c r="B2570" s="42">
        <f t="shared" si="7"/>
        <v>2564</v>
      </c>
      <c r="C2570" s="31" t="s">
        <v>2641</v>
      </c>
      <c r="D2570" s="34" t="str">
        <f t="array" ref="D2570">IFNA(_xlfn.XLOOKUP(C2570,Table_Tarikan_Warkah[Nomor Sertipikat],Table_Tarikan_Warkah[Nomor Tiket]),"")</f>
        <v>K/4/100625/1</v>
      </c>
      <c r="E2570" s="36">
        <f t="array" ref="E2570">IFNA(_xlfn.XLOOKUP(D2570,Table_Tarikan_Warkah[Nomor Tiket],Table_Tarikan_Warkah[Tanggal diserahkan kepada Validator]),"")</f>
        <v>45828.53066</v>
      </c>
      <c r="F2570" s="36" t="str">
        <f t="array" ref="F2570">IFNA(_xlfn.XLOOKUP(D2570,Table_Tarikan_Warkah[Nomor Tiket],Table_Tarikan_Warkah[Nama Petugas Warkah]),"")</f>
        <v>Berry</v>
      </c>
      <c r="G2570" s="39" t="str">
        <f t="array" ref="G2570">IFNA(_xlfn.XLOOKUP(D2570,Table_Tarikan_Warkah[Nomor Tiket],Table_Tarikan_Warkah[Jenis Permohonan]),"")</f>
        <v>BN JUAL BELI</v>
      </c>
      <c r="H2570" s="41" t="s">
        <v>20</v>
      </c>
      <c r="I2570" s="49" t="s">
        <v>23</v>
      </c>
      <c r="J2570" s="36">
        <f t="shared" si="20"/>
        <v>45826.78093</v>
      </c>
      <c r="K2570" s="49" t="s">
        <v>2378</v>
      </c>
      <c r="L2570" s="49" t="s">
        <v>23</v>
      </c>
      <c r="M2570" s="36">
        <f t="shared" si="33"/>
        <v>45827.66129</v>
      </c>
      <c r="N2570" s="30" t="str">
        <f t="shared" si="34"/>
        <v>Selesai</v>
      </c>
      <c r="O2570" s="45">
        <f t="shared" si="23"/>
        <v>45827.66129</v>
      </c>
      <c r="P2570" s="47" t="b">
        <v>0</v>
      </c>
      <c r="Q2570" s="36" t="str">
        <f t="shared" si="24"/>
        <v/>
      </c>
      <c r="R2570" s="47" t="b">
        <v>0</v>
      </c>
      <c r="S2570" s="42" t="str">
        <f t="shared" si="28"/>
        <v/>
      </c>
      <c r="T2570" s="42"/>
    </row>
    <row r="2571" ht="22.5" customHeight="1">
      <c r="B2571" s="42">
        <f t="shared" si="7"/>
        <v>2565</v>
      </c>
      <c r="C2571" s="31" t="s">
        <v>2642</v>
      </c>
      <c r="D2571" s="34" t="str">
        <f t="array" ref="D2571">IFNA(_xlfn.XLOOKUP(C2571,Table_Tarikan_Warkah[Nomor Sertipikat],Table_Tarikan_Warkah[Nomor Tiket]),"")</f>
        <v>K/42/050625/1</v>
      </c>
      <c r="E2571" s="36">
        <f t="array" ref="E2571">IFNA(_xlfn.XLOOKUP(D2571,Table_Tarikan_Warkah[Nomor Tiket],Table_Tarikan_Warkah[Tanggal diserahkan kepada Validator]),"")</f>
        <v>45828.53564</v>
      </c>
      <c r="F2571" s="36" t="str">
        <f t="array" ref="F2571">IFNA(_xlfn.XLOOKUP(D2571,Table_Tarikan_Warkah[Nomor Tiket],Table_Tarikan_Warkah[Nama Petugas Warkah]),"")</f>
        <v>Berry</v>
      </c>
      <c r="G2571" s="39" t="str">
        <f t="array" ref="G2571">IFNA(_xlfn.XLOOKUP(D2571,Table_Tarikan_Warkah[Nomor Tiket],Table_Tarikan_Warkah[Jenis Permohonan]),"")</f>
        <v>BN JUAL BELI</v>
      </c>
      <c r="H2571" s="41" t="s">
        <v>20</v>
      </c>
      <c r="I2571" s="49" t="s">
        <v>23</v>
      </c>
      <c r="J2571" s="36">
        <f t="shared" si="20"/>
        <v>45826.78093</v>
      </c>
      <c r="K2571" s="49" t="s">
        <v>2378</v>
      </c>
      <c r="L2571" s="49" t="s">
        <v>23</v>
      </c>
      <c r="M2571" s="36">
        <f t="shared" si="33"/>
        <v>45827.66129</v>
      </c>
      <c r="N2571" s="30" t="str">
        <f t="shared" si="34"/>
        <v>Selesai</v>
      </c>
      <c r="O2571" s="45">
        <f t="shared" si="23"/>
        <v>45827.66129</v>
      </c>
      <c r="P2571" s="47" t="b">
        <v>0</v>
      </c>
      <c r="Q2571" s="36" t="str">
        <f t="shared" si="24"/>
        <v/>
      </c>
      <c r="R2571" s="47" t="b">
        <v>0</v>
      </c>
      <c r="S2571" s="42" t="str">
        <f t="shared" si="28"/>
        <v/>
      </c>
      <c r="T2571" s="42"/>
    </row>
    <row r="2572" ht="22.5" customHeight="1">
      <c r="B2572" s="42">
        <f t="shared" si="7"/>
        <v>2566</v>
      </c>
      <c r="C2572" s="31" t="s">
        <v>2643</v>
      </c>
      <c r="D2572" s="34" t="str">
        <f t="array" ref="D2572">IFNA(_xlfn.XLOOKUP(C2572,Table_Tarikan_Warkah[Nomor Sertipikat],Table_Tarikan_Warkah[Nomor Tiket]),"")</f>
        <v>K/19/230525/1</v>
      </c>
      <c r="E2572" s="36">
        <f t="array" ref="E2572">IFNA(_xlfn.XLOOKUP(D2572,Table_Tarikan_Warkah[Nomor Tiket],Table_Tarikan_Warkah[Tanggal diserahkan kepada Validator]),"")</f>
        <v>45828.53148</v>
      </c>
      <c r="F2572" s="36" t="str">
        <f t="array" ref="F2572">IFNA(_xlfn.XLOOKUP(D2572,Table_Tarikan_Warkah[Nomor Tiket],Table_Tarikan_Warkah[Nama Petugas Warkah]),"")</f>
        <v>Berry</v>
      </c>
      <c r="G2572" s="39" t="str">
        <f t="array" ref="G2572">IFNA(_xlfn.XLOOKUP(D2572,Table_Tarikan_Warkah[Nomor Tiket],Table_Tarikan_Warkah[Jenis Permohonan]),"")</f>
        <v>BN JUAL BELI</v>
      </c>
      <c r="H2572" s="41" t="s">
        <v>20</v>
      </c>
      <c r="I2572" s="49" t="s">
        <v>23</v>
      </c>
      <c r="J2572" s="36">
        <f t="shared" si="20"/>
        <v>45826.7813</v>
      </c>
      <c r="K2572" s="49" t="s">
        <v>2378</v>
      </c>
      <c r="L2572" s="49" t="s">
        <v>23</v>
      </c>
      <c r="M2572" s="36">
        <f t="shared" si="33"/>
        <v>45827.66129</v>
      </c>
      <c r="N2572" s="30" t="str">
        <f t="shared" si="34"/>
        <v>Selesai</v>
      </c>
      <c r="O2572" s="45">
        <f t="shared" si="23"/>
        <v>45827.66129</v>
      </c>
      <c r="P2572" s="47" t="b">
        <v>0</v>
      </c>
      <c r="Q2572" s="36" t="str">
        <f t="shared" si="24"/>
        <v/>
      </c>
      <c r="R2572" s="47" t="b">
        <v>0</v>
      </c>
      <c r="S2572" s="42" t="str">
        <f t="shared" si="28"/>
        <v/>
      </c>
      <c r="T2572" s="42"/>
    </row>
    <row r="2573" ht="22.5" customHeight="1">
      <c r="B2573" s="42">
        <f t="shared" si="7"/>
        <v>2567</v>
      </c>
      <c r="C2573" s="31" t="s">
        <v>2644</v>
      </c>
      <c r="D2573" s="34" t="str">
        <f t="array" ref="D2573">IFNA(_xlfn.XLOOKUP(C2573,Table_Tarikan_Warkah[Nomor Sertipikat],Table_Tarikan_Warkah[Nomor Tiket]),"")</f>
        <v>K/19/280525/1</v>
      </c>
      <c r="E2573" s="36">
        <f t="array" ref="E2573">IFNA(_xlfn.XLOOKUP(D2573,Table_Tarikan_Warkah[Nomor Tiket],Table_Tarikan_Warkah[Tanggal diserahkan kepada Validator]),"")</f>
        <v>45832.53295</v>
      </c>
      <c r="F2573" s="36" t="str">
        <f t="array" ref="F2573">IFNA(_xlfn.XLOOKUP(D2573,Table_Tarikan_Warkah[Nomor Tiket],Table_Tarikan_Warkah[Nama Petugas Warkah]),"")</f>
        <v>David</v>
      </c>
      <c r="G2573" s="39" t="str">
        <f t="array" ref="G2573">IFNA(_xlfn.XLOOKUP(D2573,Table_Tarikan_Warkah[Nomor Tiket],Table_Tarikan_Warkah[Jenis Permohonan]),"")</f>
        <v>ROYA</v>
      </c>
      <c r="H2573" s="41" t="s">
        <v>2315</v>
      </c>
      <c r="I2573" s="49" t="s">
        <v>23</v>
      </c>
      <c r="J2573" s="36">
        <f t="shared" si="20"/>
        <v>45827.36787</v>
      </c>
      <c r="K2573" s="49" t="s">
        <v>2378</v>
      </c>
      <c r="L2573" s="49" t="s">
        <v>23</v>
      </c>
      <c r="M2573" s="36">
        <f t="shared" si="33"/>
        <v>45827.66129</v>
      </c>
      <c r="N2573" s="30" t="str">
        <f t="shared" si="34"/>
        <v>Selesai</v>
      </c>
      <c r="O2573" s="45">
        <f t="shared" si="23"/>
        <v>45827.66129</v>
      </c>
      <c r="P2573" s="47" t="b">
        <v>0</v>
      </c>
      <c r="Q2573" s="36" t="str">
        <f t="shared" si="24"/>
        <v/>
      </c>
      <c r="R2573" s="47" t="b">
        <v>0</v>
      </c>
      <c r="S2573" s="42" t="str">
        <f t="shared" si="28"/>
        <v/>
      </c>
      <c r="T2573" s="42"/>
    </row>
    <row r="2574" ht="22.5" customHeight="1">
      <c r="B2574" s="42">
        <f t="shared" si="7"/>
        <v>2568</v>
      </c>
      <c r="C2574" s="31" t="s">
        <v>2645</v>
      </c>
      <c r="D2574" s="34" t="str">
        <f t="array" ref="D2574">IFNA(_xlfn.XLOOKUP(C2574,Table_Tarikan_Warkah[Nomor Sertipikat],Table_Tarikan_Warkah[Nomor Tiket]),"")</f>
        <v>K/8/040625/1</v>
      </c>
      <c r="E2574" s="36">
        <f t="array" ref="E2574">IFNA(_xlfn.XLOOKUP(D2574,Table_Tarikan_Warkah[Nomor Tiket],Table_Tarikan_Warkah[Tanggal diserahkan kepada Validator]),"")</f>
        <v>45828.53245</v>
      </c>
      <c r="F2574" s="36" t="str">
        <f t="array" ref="F2574">IFNA(_xlfn.XLOOKUP(D2574,Table_Tarikan_Warkah[Nomor Tiket],Table_Tarikan_Warkah[Nama Petugas Warkah]),"")</f>
        <v>Berry</v>
      </c>
      <c r="G2574" s="39" t="str">
        <f t="array" ref="G2574">IFNA(_xlfn.XLOOKUP(D2574,Table_Tarikan_Warkah[Nomor Tiket],Table_Tarikan_Warkah[Jenis Permohonan]),"")</f>
        <v>JUAL BELI</v>
      </c>
      <c r="H2574" s="41" t="s">
        <v>2315</v>
      </c>
      <c r="I2574" s="49" t="s">
        <v>23</v>
      </c>
      <c r="J2574" s="36">
        <f t="shared" si="20"/>
        <v>45827.36804</v>
      </c>
      <c r="K2574" s="49" t="s">
        <v>2378</v>
      </c>
      <c r="L2574" s="49" t="s">
        <v>23</v>
      </c>
      <c r="M2574" s="36">
        <f t="shared" si="33"/>
        <v>45827.66129</v>
      </c>
      <c r="N2574" s="30" t="str">
        <f t="shared" si="34"/>
        <v>Selesai</v>
      </c>
      <c r="O2574" s="45">
        <f t="shared" si="23"/>
        <v>45827.66129</v>
      </c>
      <c r="P2574" s="47" t="b">
        <v>0</v>
      </c>
      <c r="Q2574" s="36" t="str">
        <f t="shared" si="24"/>
        <v/>
      </c>
      <c r="R2574" s="47" t="b">
        <v>0</v>
      </c>
      <c r="S2574" s="42" t="str">
        <f t="shared" si="28"/>
        <v/>
      </c>
      <c r="T2574" s="42"/>
    </row>
    <row r="2575" ht="22.5" customHeight="1">
      <c r="B2575" s="42">
        <f t="shared" si="7"/>
        <v>2569</v>
      </c>
      <c r="C2575" s="31" t="s">
        <v>2646</v>
      </c>
      <c r="D2575" s="34" t="str">
        <f t="array" ref="D2575">IFNA(_xlfn.XLOOKUP(C2575,Table_Tarikan_Warkah[Nomor Sertipikat],Table_Tarikan_Warkah[Nomor Tiket]),"")</f>
        <v>K/31/020625/2</v>
      </c>
      <c r="E2575" s="36">
        <f t="array" ref="E2575">IFNA(_xlfn.XLOOKUP(D2575,Table_Tarikan_Warkah[Nomor Tiket],Table_Tarikan_Warkah[Tanggal diserahkan kepada Validator]),"")</f>
        <v>45828.544</v>
      </c>
      <c r="F2575" s="36" t="str">
        <f t="array" ref="F2575">IFNA(_xlfn.XLOOKUP(D2575,Table_Tarikan_Warkah[Nomor Tiket],Table_Tarikan_Warkah[Nama Petugas Warkah]),"")</f>
        <v>Berry</v>
      </c>
      <c r="G2575" s="39" t="str">
        <f t="array" ref="G2575">IFNA(_xlfn.XLOOKUP(D2575,Table_Tarikan_Warkah[Nomor Tiket],Table_Tarikan_Warkah[Jenis Permohonan]),"")</f>
        <v>JUAL BELI</v>
      </c>
      <c r="H2575" s="41" t="s">
        <v>2315</v>
      </c>
      <c r="I2575" s="49" t="s">
        <v>23</v>
      </c>
      <c r="J2575" s="36">
        <f t="shared" si="20"/>
        <v>45827.36814</v>
      </c>
      <c r="K2575" s="49" t="s">
        <v>2378</v>
      </c>
      <c r="L2575" s="49" t="s">
        <v>23</v>
      </c>
      <c r="M2575" s="36">
        <f t="shared" si="33"/>
        <v>45827.66129</v>
      </c>
      <c r="N2575" s="30" t="str">
        <f t="shared" si="34"/>
        <v>Selesai</v>
      </c>
      <c r="O2575" s="45">
        <f t="shared" si="23"/>
        <v>45827.66129</v>
      </c>
      <c r="P2575" s="47" t="b">
        <v>0</v>
      </c>
      <c r="Q2575" s="36" t="str">
        <f t="shared" si="24"/>
        <v/>
      </c>
      <c r="R2575" s="47" t="b">
        <v>0</v>
      </c>
      <c r="S2575" s="42" t="str">
        <f t="shared" si="28"/>
        <v/>
      </c>
      <c r="T2575" s="42"/>
    </row>
    <row r="2576" ht="22.5" customHeight="1">
      <c r="B2576" s="42">
        <f t="shared" si="7"/>
        <v>2570</v>
      </c>
      <c r="C2576" s="31" t="s">
        <v>2647</v>
      </c>
      <c r="D2576" s="34" t="str">
        <f t="array" ref="D2576">IFNA(_xlfn.XLOOKUP(C2576,Table_Tarikan_Warkah[Nomor Sertipikat],Table_Tarikan_Warkah[Nomor Tiket]),"")</f>
        <v>K/35/020625/1</v>
      </c>
      <c r="E2576" s="36">
        <f t="array" ref="E2576">IFNA(_xlfn.XLOOKUP(D2576,Table_Tarikan_Warkah[Nomor Tiket],Table_Tarikan_Warkah[Tanggal diserahkan kepada Validator]),"")</f>
        <v>45828.53037</v>
      </c>
      <c r="F2576" s="36" t="str">
        <f t="array" ref="F2576">IFNA(_xlfn.XLOOKUP(D2576,Table_Tarikan_Warkah[Nomor Tiket],Table_Tarikan_Warkah[Nama Petugas Warkah]),"")</f>
        <v>Berry</v>
      </c>
      <c r="G2576" s="39" t="str">
        <f t="array" ref="G2576">IFNA(_xlfn.XLOOKUP(D2576,Table_Tarikan_Warkah[Nomor Tiket],Table_Tarikan_Warkah[Jenis Permohonan]),"")</f>
        <v>KEWARISAN</v>
      </c>
      <c r="H2576" s="41" t="s">
        <v>2315</v>
      </c>
      <c r="I2576" s="49" t="s">
        <v>23</v>
      </c>
      <c r="J2576" s="36">
        <f t="shared" si="20"/>
        <v>45827.36827</v>
      </c>
      <c r="K2576" s="49" t="s">
        <v>2378</v>
      </c>
      <c r="L2576" s="49" t="s">
        <v>23</v>
      </c>
      <c r="M2576" s="36">
        <f t="shared" si="33"/>
        <v>45827.66129</v>
      </c>
      <c r="N2576" s="30" t="str">
        <f t="shared" si="34"/>
        <v>Selesai</v>
      </c>
      <c r="O2576" s="45">
        <f t="shared" si="23"/>
        <v>45827.66129</v>
      </c>
      <c r="P2576" s="47" t="b">
        <v>0</v>
      </c>
      <c r="Q2576" s="36" t="str">
        <f t="shared" si="24"/>
        <v/>
      </c>
      <c r="R2576" s="47" t="b">
        <v>0</v>
      </c>
      <c r="S2576" s="42" t="str">
        <f t="shared" si="28"/>
        <v/>
      </c>
      <c r="T2576" s="42"/>
    </row>
    <row r="2577" ht="22.5" customHeight="1">
      <c r="B2577" s="42">
        <f t="shared" si="7"/>
        <v>2571</v>
      </c>
      <c r="C2577" s="31" t="s">
        <v>2648</v>
      </c>
      <c r="D2577" s="34" t="str">
        <f t="array" ref="D2577">IFNA(_xlfn.XLOOKUP(C2577,Table_Tarikan_Warkah[Nomor Sertipikat],Table_Tarikan_Warkah[Nomor Tiket]),"")</f>
        <v>K/44/050625/3</v>
      </c>
      <c r="E2577" s="36" t="str">
        <f t="array" ref="E2577">IFNA(_xlfn.XLOOKUP(D2577,Table_Tarikan_Warkah[Nomor Tiket],Table_Tarikan_Warkah[Tanggal diserahkan kepada Validator]),"")</f>
        <v/>
      </c>
      <c r="F2577" s="36" t="str">
        <f t="array" ref="F2577">IFNA(_xlfn.XLOOKUP(D2577,Table_Tarikan_Warkah[Nomor Tiket],Table_Tarikan_Warkah[Nama Petugas Warkah]),"")</f>
        <v/>
      </c>
      <c r="G2577" s="39" t="str">
        <f t="array" ref="G2577">IFNA(_xlfn.XLOOKUP(D2577,Table_Tarikan_Warkah[Nomor Tiket],Table_Tarikan_Warkah[Jenis Permohonan]),"")</f>
        <v>PERUBAHAN HAK</v>
      </c>
      <c r="H2577" s="41" t="s">
        <v>2315</v>
      </c>
      <c r="I2577" s="49" t="s">
        <v>23</v>
      </c>
      <c r="J2577" s="36">
        <f t="shared" si="20"/>
        <v>45827.36844</v>
      </c>
      <c r="K2577" s="49" t="s">
        <v>2378</v>
      </c>
      <c r="L2577" s="49" t="s">
        <v>23</v>
      </c>
      <c r="M2577" s="36">
        <f t="shared" si="33"/>
        <v>45828.58591</v>
      </c>
      <c r="N2577" s="30" t="str">
        <f t="shared" si="34"/>
        <v>Selesai</v>
      </c>
      <c r="O2577" s="45">
        <f t="shared" si="23"/>
        <v>45828.58591</v>
      </c>
      <c r="P2577" s="47" t="b">
        <v>0</v>
      </c>
      <c r="Q2577" s="36" t="str">
        <f t="shared" si="24"/>
        <v/>
      </c>
      <c r="R2577" s="47" t="b">
        <v>0</v>
      </c>
      <c r="S2577" s="42" t="str">
        <f t="shared" si="28"/>
        <v/>
      </c>
      <c r="T2577" s="42"/>
    </row>
    <row r="2578" ht="22.5" customHeight="1">
      <c r="B2578" s="42">
        <f t="shared" si="7"/>
        <v>2572</v>
      </c>
      <c r="C2578" s="31" t="s">
        <v>2649</v>
      </c>
      <c r="D2578" s="34" t="str">
        <f t="array" ref="D2578">IFNA(_xlfn.XLOOKUP(C2578,Table_Tarikan_Warkah[Nomor Sertipikat],Table_Tarikan_Warkah[Nomor Tiket]),"")</f>
        <v>L/6/040625/1</v>
      </c>
      <c r="E2578" s="36">
        <f t="array" ref="E2578">IFNA(_xlfn.XLOOKUP(D2578,Table_Tarikan_Warkah[Nomor Tiket],Table_Tarikan_Warkah[Tanggal diserahkan kepada Validator]),"")</f>
        <v>45840.60128</v>
      </c>
      <c r="F2578" s="36" t="str">
        <f t="array" ref="F2578">IFNA(_xlfn.XLOOKUP(D2578,Table_Tarikan_Warkah[Nomor Tiket],Table_Tarikan_Warkah[Nama Petugas Warkah]),"")</f>
        <v>David</v>
      </c>
      <c r="G2578" s="39" t="str">
        <f t="array" ref="G2578">IFNA(_xlfn.XLOOKUP(D2578,Table_Tarikan_Warkah[Nomor Tiket],Table_Tarikan_Warkah[Jenis Permohonan]),"")</f>
        <v>ROYA</v>
      </c>
      <c r="H2578" s="41" t="s">
        <v>2315</v>
      </c>
      <c r="I2578" s="49" t="s">
        <v>23</v>
      </c>
      <c r="J2578" s="36">
        <f t="shared" si="20"/>
        <v>45827.36858</v>
      </c>
      <c r="K2578" s="49" t="s">
        <v>2378</v>
      </c>
      <c r="L2578" s="49" t="s">
        <v>23</v>
      </c>
      <c r="M2578" s="36">
        <f t="shared" si="33"/>
        <v>45827.6615</v>
      </c>
      <c r="N2578" s="30" t="str">
        <f t="shared" si="34"/>
        <v>Selesai</v>
      </c>
      <c r="O2578" s="45">
        <f t="shared" si="23"/>
        <v>45827.6615</v>
      </c>
      <c r="P2578" s="47" t="b">
        <v>0</v>
      </c>
      <c r="Q2578" s="36" t="str">
        <f t="shared" si="24"/>
        <v/>
      </c>
      <c r="R2578" s="47" t="b">
        <v>0</v>
      </c>
      <c r="S2578" s="42" t="str">
        <f t="shared" si="28"/>
        <v/>
      </c>
      <c r="T2578" s="42"/>
    </row>
    <row r="2579" ht="22.5" customHeight="1">
      <c r="B2579" s="42">
        <f t="shared" si="7"/>
        <v>2573</v>
      </c>
      <c r="C2579" s="31" t="s">
        <v>2650</v>
      </c>
      <c r="D2579" s="34" t="str">
        <f t="array" ref="D2579">IFNA(_xlfn.XLOOKUP(C2579,Table_Tarikan_Warkah[Nomor Sertipikat],Table_Tarikan_Warkah[Nomor Tiket]),"")</f>
        <v>K/19/040625/4</v>
      </c>
      <c r="E2579" s="36">
        <f t="array" ref="E2579">IFNA(_xlfn.XLOOKUP(D2579,Table_Tarikan_Warkah[Nomor Tiket],Table_Tarikan_Warkah[Tanggal diserahkan kepada Validator]),"")</f>
        <v>45828.54057</v>
      </c>
      <c r="F2579" s="36" t="str">
        <f t="array" ref="F2579">IFNA(_xlfn.XLOOKUP(D2579,Table_Tarikan_Warkah[Nomor Tiket],Table_Tarikan_Warkah[Nama Petugas Warkah]),"")</f>
        <v>Berry</v>
      </c>
      <c r="G2579" s="39" t="str">
        <f t="array" ref="G2579">IFNA(_xlfn.XLOOKUP(D2579,Table_Tarikan_Warkah[Nomor Tiket],Table_Tarikan_Warkah[Jenis Permohonan]),"")</f>
        <v>BN JUAL BELI</v>
      </c>
      <c r="H2579" s="41" t="s">
        <v>2315</v>
      </c>
      <c r="I2579" s="49" t="s">
        <v>23</v>
      </c>
      <c r="J2579" s="36">
        <f t="shared" si="20"/>
        <v>45827.36872</v>
      </c>
      <c r="K2579" s="49" t="s">
        <v>2378</v>
      </c>
      <c r="L2579" s="49" t="s">
        <v>23</v>
      </c>
      <c r="M2579" s="36">
        <f t="shared" si="33"/>
        <v>45827.66157</v>
      </c>
      <c r="N2579" s="30" t="str">
        <f t="shared" si="34"/>
        <v>Selesai</v>
      </c>
      <c r="O2579" s="45">
        <f t="shared" si="23"/>
        <v>45827.66157</v>
      </c>
      <c r="P2579" s="47" t="b">
        <v>0</v>
      </c>
      <c r="Q2579" s="36" t="str">
        <f t="shared" si="24"/>
        <v/>
      </c>
      <c r="R2579" s="47" t="b">
        <v>0</v>
      </c>
      <c r="S2579" s="42" t="str">
        <f t="shared" si="28"/>
        <v/>
      </c>
      <c r="T2579" s="42"/>
    </row>
    <row r="2580" ht="22.5" customHeight="1">
      <c r="B2580" s="42">
        <f t="shared" si="7"/>
        <v>2574</v>
      </c>
      <c r="C2580" s="31" t="s">
        <v>2651</v>
      </c>
      <c r="D2580" s="34" t="str">
        <f t="array" ref="D2580">IFNA(_xlfn.XLOOKUP(C2580,Table_Tarikan_Warkah[Nomor Sertipikat],Table_Tarikan_Warkah[Nomor Tiket]),"")</f>
        <v>K/20/270525/2</v>
      </c>
      <c r="E2580" s="36">
        <f t="array" ref="E2580">IFNA(_xlfn.XLOOKUP(D2580,Table_Tarikan_Warkah[Nomor Tiket],Table_Tarikan_Warkah[Tanggal diserahkan kepada Validator]),"")</f>
        <v>45828.53638</v>
      </c>
      <c r="F2580" s="36" t="str">
        <f t="array" ref="F2580">IFNA(_xlfn.XLOOKUP(D2580,Table_Tarikan_Warkah[Nomor Tiket],Table_Tarikan_Warkah[Nama Petugas Warkah]),"")</f>
        <v>Berry</v>
      </c>
      <c r="G2580" s="39" t="str">
        <f t="array" ref="G2580">IFNA(_xlfn.XLOOKUP(D2580,Table_Tarikan_Warkah[Nomor Tiket],Table_Tarikan_Warkah[Jenis Permohonan]),"")</f>
        <v>-</v>
      </c>
      <c r="H2580" s="41" t="s">
        <v>2315</v>
      </c>
      <c r="I2580" s="49" t="s">
        <v>23</v>
      </c>
      <c r="J2580" s="36">
        <f t="shared" si="20"/>
        <v>45827.36884</v>
      </c>
      <c r="K2580" s="49" t="s">
        <v>2378</v>
      </c>
      <c r="L2580" s="49" t="s">
        <v>23</v>
      </c>
      <c r="M2580" s="36">
        <f t="shared" si="33"/>
        <v>45827.66157</v>
      </c>
      <c r="N2580" s="30" t="str">
        <f t="shared" si="34"/>
        <v>Selesai</v>
      </c>
      <c r="O2580" s="45">
        <f t="shared" si="23"/>
        <v>45827.66157</v>
      </c>
      <c r="P2580" s="47" t="b">
        <v>0</v>
      </c>
      <c r="Q2580" s="36" t="str">
        <f t="shared" si="24"/>
        <v/>
      </c>
      <c r="R2580" s="47" t="b">
        <v>0</v>
      </c>
      <c r="S2580" s="42" t="str">
        <f t="shared" si="28"/>
        <v/>
      </c>
      <c r="T2580" s="42"/>
    </row>
    <row r="2581" ht="22.5" customHeight="1">
      <c r="B2581" s="42">
        <f t="shared" si="7"/>
        <v>2575</v>
      </c>
      <c r="C2581" s="31" t="s">
        <v>2652</v>
      </c>
      <c r="D2581" s="34" t="str">
        <f t="array" ref="D2581">IFNA(_xlfn.XLOOKUP(C2581,Table_Tarikan_Warkah[Nomor Sertipikat],Table_Tarikan_Warkah[Nomor Tiket]),"")</f>
        <v>K/16/151124/1</v>
      </c>
      <c r="E2581" s="36">
        <f t="array" ref="E2581">IFNA(_xlfn.XLOOKUP(D2581,Table_Tarikan_Warkah[Nomor Tiket],Table_Tarikan_Warkah[Tanggal diserahkan kepada Validator]),"")</f>
        <v>45828.54127</v>
      </c>
      <c r="F2581" s="36" t="str">
        <f t="array" ref="F2581">IFNA(_xlfn.XLOOKUP(D2581,Table_Tarikan_Warkah[Nomor Tiket],Table_Tarikan_Warkah[Nama Petugas Warkah]),"")</f>
        <v>Berry</v>
      </c>
      <c r="G2581" s="39" t="str">
        <f t="array" ref="G2581">IFNA(_xlfn.XLOOKUP(D2581,Table_Tarikan_Warkah[Nomor Tiket],Table_Tarikan_Warkah[Jenis Permohonan]),"")</f>
        <v>BN WARIS</v>
      </c>
      <c r="H2581" s="41" t="s">
        <v>2315</v>
      </c>
      <c r="I2581" s="49" t="s">
        <v>23</v>
      </c>
      <c r="J2581" s="36">
        <f t="shared" si="20"/>
        <v>45827.36901</v>
      </c>
      <c r="K2581" s="49" t="s">
        <v>2378</v>
      </c>
      <c r="L2581" s="49" t="s">
        <v>23</v>
      </c>
      <c r="M2581" s="36">
        <f t="shared" si="33"/>
        <v>45827.66157</v>
      </c>
      <c r="N2581" s="30" t="str">
        <f t="shared" si="34"/>
        <v>Selesai</v>
      </c>
      <c r="O2581" s="45">
        <f t="shared" si="23"/>
        <v>45827.66157</v>
      </c>
      <c r="P2581" s="47" t="b">
        <v>0</v>
      </c>
      <c r="Q2581" s="36" t="str">
        <f t="shared" si="24"/>
        <v/>
      </c>
      <c r="R2581" s="47" t="b">
        <v>0</v>
      </c>
      <c r="S2581" s="42" t="str">
        <f t="shared" si="28"/>
        <v/>
      </c>
      <c r="T2581" s="42"/>
    </row>
    <row r="2582" ht="22.5" customHeight="1">
      <c r="B2582" s="42">
        <f t="shared" si="7"/>
        <v>2576</v>
      </c>
      <c r="C2582" s="31" t="s">
        <v>2653</v>
      </c>
      <c r="D2582" s="34" t="str">
        <f t="array" ref="D2582">IFNA(_xlfn.XLOOKUP(C2582,Table_Tarikan_Warkah[Nomor Sertipikat],Table_Tarikan_Warkah[Nomor Tiket]),"")</f>
        <v>K/2/030625/1</v>
      </c>
      <c r="E2582" s="36">
        <f t="array" ref="E2582">IFNA(_xlfn.XLOOKUP(D2582,Table_Tarikan_Warkah[Nomor Tiket],Table_Tarikan_Warkah[Tanggal diserahkan kepada Validator]),"")</f>
        <v>45828.53004</v>
      </c>
      <c r="F2582" s="36" t="str">
        <f t="array" ref="F2582">IFNA(_xlfn.XLOOKUP(D2582,Table_Tarikan_Warkah[Nomor Tiket],Table_Tarikan_Warkah[Nama Petugas Warkah]),"")</f>
        <v>Berry</v>
      </c>
      <c r="G2582" s="39" t="str">
        <f t="array" ref="G2582">IFNA(_xlfn.XLOOKUP(D2582,Table_Tarikan_Warkah[Nomor Tiket],Table_Tarikan_Warkah[Jenis Permohonan]),"")</f>
        <v>BN HIBAH</v>
      </c>
      <c r="H2582" s="41" t="s">
        <v>2315</v>
      </c>
      <c r="I2582" s="49" t="s">
        <v>23</v>
      </c>
      <c r="J2582" s="36">
        <f t="shared" si="20"/>
        <v>45827.36919</v>
      </c>
      <c r="K2582" s="49" t="s">
        <v>2378</v>
      </c>
      <c r="L2582" s="49" t="s">
        <v>23</v>
      </c>
      <c r="M2582" s="36">
        <f t="shared" si="33"/>
        <v>45827.65638</v>
      </c>
      <c r="N2582" s="30" t="str">
        <f t="shared" si="34"/>
        <v>Selesai</v>
      </c>
      <c r="O2582" s="45">
        <f t="shared" si="23"/>
        <v>45827.65638</v>
      </c>
      <c r="P2582" s="47" t="b">
        <v>0</v>
      </c>
      <c r="Q2582" s="36" t="str">
        <f t="shared" si="24"/>
        <v/>
      </c>
      <c r="R2582" s="47" t="b">
        <v>0</v>
      </c>
      <c r="S2582" s="42" t="str">
        <f t="shared" si="28"/>
        <v/>
      </c>
      <c r="T2582" s="42"/>
    </row>
    <row r="2583" ht="22.5" customHeight="1">
      <c r="B2583" s="42">
        <f t="shared" si="7"/>
        <v>2577</v>
      </c>
      <c r="C2583" s="31" t="s">
        <v>2654</v>
      </c>
      <c r="D2583" s="34" t="str">
        <f t="array" ref="D2583">IFNA(_xlfn.XLOOKUP(C2583,Table_Tarikan_Warkah[Nomor Sertipikat],Table_Tarikan_Warkah[Nomor Tiket]),"")</f>
        <v>K/25/040625/2</v>
      </c>
      <c r="E2583" s="36">
        <f t="array" ref="E2583">IFNA(_xlfn.XLOOKUP(D2583,Table_Tarikan_Warkah[Nomor Tiket],Table_Tarikan_Warkah[Tanggal diserahkan kepada Validator]),"")</f>
        <v>45828.5366</v>
      </c>
      <c r="F2583" s="36" t="str">
        <f t="array" ref="F2583">IFNA(_xlfn.XLOOKUP(D2583,Table_Tarikan_Warkah[Nomor Tiket],Table_Tarikan_Warkah[Nama Petugas Warkah]),"")</f>
        <v>Berry</v>
      </c>
      <c r="G2583" s="39" t="str">
        <f t="array" ref="G2583">IFNA(_xlfn.XLOOKUP(D2583,Table_Tarikan_Warkah[Nomor Tiket],Table_Tarikan_Warkah[Jenis Permohonan]),"")</f>
        <v>BN JUAL BELI</v>
      </c>
      <c r="H2583" s="41" t="s">
        <v>2315</v>
      </c>
      <c r="I2583" s="49" t="s">
        <v>23</v>
      </c>
      <c r="J2583" s="36">
        <f t="shared" si="20"/>
        <v>45827.36935</v>
      </c>
      <c r="K2583" s="49" t="s">
        <v>2378</v>
      </c>
      <c r="L2583" s="49" t="s">
        <v>23</v>
      </c>
      <c r="M2583" s="36">
        <f t="shared" si="33"/>
        <v>45827.65663</v>
      </c>
      <c r="N2583" s="30" t="str">
        <f t="shared" si="34"/>
        <v>Selesai</v>
      </c>
      <c r="O2583" s="45">
        <f t="shared" si="23"/>
        <v>45827.65663</v>
      </c>
      <c r="P2583" s="47" t="b">
        <v>0</v>
      </c>
      <c r="Q2583" s="36" t="str">
        <f t="shared" si="24"/>
        <v/>
      </c>
      <c r="R2583" s="47" t="b">
        <v>0</v>
      </c>
      <c r="S2583" s="42" t="str">
        <f t="shared" si="28"/>
        <v/>
      </c>
      <c r="T2583" s="42"/>
    </row>
    <row r="2584" ht="22.5" customHeight="1">
      <c r="B2584" s="42">
        <f t="shared" si="7"/>
        <v>2578</v>
      </c>
      <c r="C2584" s="31" t="s">
        <v>2655</v>
      </c>
      <c r="D2584" s="34" t="str">
        <f t="array" ref="D2584">IFNA(_xlfn.XLOOKUP(C2584,Table_Tarikan_Warkah[Nomor Sertipikat],Table_Tarikan_Warkah[Nomor Tiket]),"")</f>
        <v>K/3/110625/1</v>
      </c>
      <c r="E2584" s="36">
        <f t="array" ref="E2584">IFNA(_xlfn.XLOOKUP(D2584,Table_Tarikan_Warkah[Nomor Tiket],Table_Tarikan_Warkah[Tanggal diserahkan kepada Validator]),"")</f>
        <v>45828.54258</v>
      </c>
      <c r="F2584" s="36" t="str">
        <f t="array" ref="F2584">IFNA(_xlfn.XLOOKUP(D2584,Table_Tarikan_Warkah[Nomor Tiket],Table_Tarikan_Warkah[Nama Petugas Warkah]),"")</f>
        <v>Berry</v>
      </c>
      <c r="G2584" s="39" t="str">
        <f t="array" ref="G2584">IFNA(_xlfn.XLOOKUP(D2584,Table_Tarikan_Warkah[Nomor Tiket],Table_Tarikan_Warkah[Jenis Permohonan]),"")</f>
        <v>BN JUAL BELI</v>
      </c>
      <c r="H2584" s="41" t="s">
        <v>2315</v>
      </c>
      <c r="I2584" s="49" t="s">
        <v>23</v>
      </c>
      <c r="J2584" s="36">
        <f t="shared" si="20"/>
        <v>45827.36949</v>
      </c>
      <c r="K2584" s="49" t="s">
        <v>2378</v>
      </c>
      <c r="L2584" s="49" t="s">
        <v>23</v>
      </c>
      <c r="M2584" s="36">
        <f t="shared" si="33"/>
        <v>45827.66164</v>
      </c>
      <c r="N2584" s="30" t="str">
        <f t="shared" si="34"/>
        <v>Selesai</v>
      </c>
      <c r="O2584" s="45">
        <f t="shared" si="23"/>
        <v>45827.66164</v>
      </c>
      <c r="P2584" s="47" t="b">
        <v>0</v>
      </c>
      <c r="Q2584" s="36" t="str">
        <f t="shared" si="24"/>
        <v/>
      </c>
      <c r="R2584" s="47" t="b">
        <v>0</v>
      </c>
      <c r="S2584" s="42" t="str">
        <f t="shared" si="28"/>
        <v/>
      </c>
      <c r="T2584" s="42"/>
    </row>
    <row r="2585" ht="22.5" customHeight="1">
      <c r="B2585" s="42">
        <f t="shared" si="7"/>
        <v>2579</v>
      </c>
      <c r="C2585" s="31" t="s">
        <v>2656</v>
      </c>
      <c r="D2585" s="34" t="str">
        <f t="array" ref="D2585">IFNA(_xlfn.XLOOKUP(C2585,Table_Tarikan_Warkah[Nomor Sertipikat],Table_Tarikan_Warkah[Nomor Tiket]),"")</f>
        <v>K/16/270325/1</v>
      </c>
      <c r="E2585" s="36">
        <f t="array" ref="E2585">IFNA(_xlfn.XLOOKUP(D2585,Table_Tarikan_Warkah[Nomor Tiket],Table_Tarikan_Warkah[Tanggal diserahkan kepada Validator]),"")</f>
        <v>45828.52953</v>
      </c>
      <c r="F2585" s="36" t="str">
        <f t="array" ref="F2585">IFNA(_xlfn.XLOOKUP(D2585,Table_Tarikan_Warkah[Nomor Tiket],Table_Tarikan_Warkah[Nama Petugas Warkah]),"")</f>
        <v>Berry</v>
      </c>
      <c r="G2585" s="39" t="str">
        <f t="array" ref="G2585">IFNA(_xlfn.XLOOKUP(D2585,Table_Tarikan_Warkah[Nomor Tiket],Table_Tarikan_Warkah[Jenis Permohonan]),"")</f>
        <v>BN JUAL BELI</v>
      </c>
      <c r="H2585" s="41" t="s">
        <v>2315</v>
      </c>
      <c r="I2585" s="49" t="s">
        <v>23</v>
      </c>
      <c r="J2585" s="36">
        <f t="shared" si="20"/>
        <v>45827.36972</v>
      </c>
      <c r="K2585" s="49" t="s">
        <v>2378</v>
      </c>
      <c r="L2585" s="49" t="s">
        <v>23</v>
      </c>
      <c r="M2585" s="36">
        <f t="shared" si="33"/>
        <v>45827.66176</v>
      </c>
      <c r="N2585" s="30" t="str">
        <f t="shared" si="34"/>
        <v>Selesai</v>
      </c>
      <c r="O2585" s="45">
        <f t="shared" si="23"/>
        <v>45827.66176</v>
      </c>
      <c r="P2585" s="47" t="b">
        <v>0</v>
      </c>
      <c r="Q2585" s="36" t="str">
        <f t="shared" si="24"/>
        <v/>
      </c>
      <c r="R2585" s="47" t="b">
        <v>0</v>
      </c>
      <c r="S2585" s="42" t="str">
        <f t="shared" si="28"/>
        <v/>
      </c>
      <c r="T2585" s="42"/>
    </row>
    <row r="2586" ht="22.5" customHeight="1">
      <c r="B2586" s="42">
        <f t="shared" si="7"/>
        <v>2580</v>
      </c>
      <c r="C2586" s="31" t="s">
        <v>2657</v>
      </c>
      <c r="D2586" s="34" t="str">
        <f t="array" ref="D2586">IFNA(_xlfn.XLOOKUP(C2586,Table_Tarikan_Warkah[Nomor Sertipikat],Table_Tarikan_Warkah[Nomor Tiket]),"")</f>
        <v>K/25/020625/1</v>
      </c>
      <c r="E2586" s="36">
        <f t="array" ref="E2586">IFNA(_xlfn.XLOOKUP(D2586,Table_Tarikan_Warkah[Nomor Tiket],Table_Tarikan_Warkah[Tanggal diserahkan kepada Validator]),"")</f>
        <v>45828.53046</v>
      </c>
      <c r="F2586" s="36" t="str">
        <f t="array" ref="F2586">IFNA(_xlfn.XLOOKUP(D2586,Table_Tarikan_Warkah[Nomor Tiket],Table_Tarikan_Warkah[Nama Petugas Warkah]),"")</f>
        <v>Berry</v>
      </c>
      <c r="G2586" s="39" t="str">
        <f t="array" ref="G2586">IFNA(_xlfn.XLOOKUP(D2586,Table_Tarikan_Warkah[Nomor Tiket],Table_Tarikan_Warkah[Jenis Permohonan]),"")</f>
        <v>BN JUAL BELI</v>
      </c>
      <c r="H2586" s="41" t="s">
        <v>2315</v>
      </c>
      <c r="I2586" s="49" t="s">
        <v>23</v>
      </c>
      <c r="J2586" s="36">
        <f t="shared" si="20"/>
        <v>45827.37006</v>
      </c>
      <c r="K2586" s="49" t="s">
        <v>2378</v>
      </c>
      <c r="L2586" s="49" t="s">
        <v>23</v>
      </c>
      <c r="M2586" s="36">
        <f t="shared" si="33"/>
        <v>45827.66176</v>
      </c>
      <c r="N2586" s="30" t="str">
        <f t="shared" si="34"/>
        <v>Selesai</v>
      </c>
      <c r="O2586" s="45">
        <f t="shared" si="23"/>
        <v>45827.66176</v>
      </c>
      <c r="P2586" s="47" t="b">
        <v>0</v>
      </c>
      <c r="Q2586" s="36" t="str">
        <f t="shared" si="24"/>
        <v/>
      </c>
      <c r="R2586" s="47" t="b">
        <v>0</v>
      </c>
      <c r="S2586" s="42" t="str">
        <f t="shared" si="28"/>
        <v/>
      </c>
      <c r="T2586" s="42"/>
    </row>
    <row r="2587" ht="22.5" customHeight="1">
      <c r="B2587" s="42">
        <f t="shared" si="7"/>
        <v>2581</v>
      </c>
      <c r="C2587" s="31" t="s">
        <v>2658</v>
      </c>
      <c r="D2587" s="34" t="str">
        <f t="array" ref="D2587">IFNA(_xlfn.XLOOKUP(C2587,Table_Tarikan_Warkah[Nomor Sertipikat],Table_Tarikan_Warkah[Nomor Tiket]),"")</f>
        <v>L/15/100625/1</v>
      </c>
      <c r="E2587" s="36">
        <f t="array" ref="E2587">IFNA(_xlfn.XLOOKUP(D2587,Table_Tarikan_Warkah[Nomor Tiket],Table_Tarikan_Warkah[Tanggal diserahkan kepada Validator]),"")</f>
        <v>45849.46576</v>
      </c>
      <c r="F2587" s="36" t="str">
        <f t="array" ref="F2587">IFNA(_xlfn.XLOOKUP(D2587,Table_Tarikan_Warkah[Nomor Tiket],Table_Tarikan_Warkah[Nama Petugas Warkah]),"")</f>
        <v>David</v>
      </c>
      <c r="G2587" s="39" t="str">
        <f t="array" ref="G2587">IFNA(_xlfn.XLOOKUP(D2587,Table_Tarikan_Warkah[Nomor Tiket],Table_Tarikan_Warkah[Jenis Permohonan]),"")</f>
        <v>ROYA</v>
      </c>
      <c r="H2587" s="41" t="s">
        <v>2315</v>
      </c>
      <c r="I2587" s="49" t="s">
        <v>23</v>
      </c>
      <c r="J2587" s="36">
        <f t="shared" si="20"/>
        <v>45827.37031</v>
      </c>
      <c r="K2587" s="49" t="s">
        <v>2378</v>
      </c>
      <c r="L2587" s="49" t="s">
        <v>23</v>
      </c>
      <c r="M2587" s="36">
        <f t="shared" si="33"/>
        <v>45827.66176</v>
      </c>
      <c r="N2587" s="30" t="str">
        <f t="shared" si="34"/>
        <v>Selesai</v>
      </c>
      <c r="O2587" s="45">
        <f t="shared" si="23"/>
        <v>45827.66176</v>
      </c>
      <c r="P2587" s="47" t="b">
        <v>0</v>
      </c>
      <c r="Q2587" s="36" t="str">
        <f t="shared" si="24"/>
        <v/>
      </c>
      <c r="R2587" s="47" t="b">
        <v>0</v>
      </c>
      <c r="S2587" s="42" t="str">
        <f t="shared" si="28"/>
        <v/>
      </c>
      <c r="T2587" s="42"/>
    </row>
    <row r="2588" ht="22.5" customHeight="1">
      <c r="B2588" s="42">
        <f t="shared" si="7"/>
        <v>2582</v>
      </c>
      <c r="C2588" s="31" t="s">
        <v>2659</v>
      </c>
      <c r="D2588" s="34" t="str">
        <f t="array" ref="D2588">IFNA(_xlfn.XLOOKUP(C2588,Table_Tarikan_Warkah[Nomor Sertipikat],Table_Tarikan_Warkah[Nomor Tiket]),"")</f>
        <v>K/23/200525/3</v>
      </c>
      <c r="E2588" s="36">
        <f t="array" ref="E2588">IFNA(_xlfn.XLOOKUP(D2588,Table_Tarikan_Warkah[Nomor Tiket],Table_Tarikan_Warkah[Tanggal diserahkan kepada Validator]),"")</f>
        <v>45841.52845</v>
      </c>
      <c r="F2588" s="36" t="str">
        <f t="array" ref="F2588">IFNA(_xlfn.XLOOKUP(D2588,Table_Tarikan_Warkah[Nomor Tiket],Table_Tarikan_Warkah[Nama Petugas Warkah]),"")</f>
        <v>Berry</v>
      </c>
      <c r="G2588" s="39" t="str">
        <f t="array" ref="G2588">IFNA(_xlfn.XLOOKUP(D2588,Table_Tarikan_Warkah[Nomor Tiket],Table_Tarikan_Warkah[Jenis Permohonan]),"")</f>
        <v>BN Waris</v>
      </c>
      <c r="H2588" s="41" t="s">
        <v>2315</v>
      </c>
      <c r="I2588" s="49" t="s">
        <v>23</v>
      </c>
      <c r="J2588" s="36">
        <f t="shared" si="20"/>
        <v>45827.5794</v>
      </c>
      <c r="K2588" s="49" t="s">
        <v>2378</v>
      </c>
      <c r="L2588" s="49" t="s">
        <v>23</v>
      </c>
      <c r="M2588" s="36">
        <f t="shared" si="33"/>
        <v>45828.5879</v>
      </c>
      <c r="N2588" s="30" t="str">
        <f t="shared" si="34"/>
        <v>Selesai</v>
      </c>
      <c r="O2588" s="45">
        <f t="shared" si="23"/>
        <v>45828.5879</v>
      </c>
      <c r="P2588" s="47" t="b">
        <v>0</v>
      </c>
      <c r="Q2588" s="36" t="str">
        <f t="shared" si="24"/>
        <v/>
      </c>
      <c r="R2588" s="47" t="b">
        <v>0</v>
      </c>
      <c r="S2588" s="42" t="str">
        <f t="shared" si="28"/>
        <v/>
      </c>
      <c r="T2588" s="42"/>
    </row>
    <row r="2589" ht="22.5" customHeight="1">
      <c r="B2589" s="42">
        <f t="shared" si="7"/>
        <v>2583</v>
      </c>
      <c r="C2589" s="31" t="s">
        <v>2660</v>
      </c>
      <c r="D2589" s="34" t="str">
        <f t="array" ref="D2589">IFNA(_xlfn.XLOOKUP(C2589,Table_Tarikan_Warkah[Nomor Sertipikat],Table_Tarikan_Warkah[Nomor Tiket]),"")</f>
        <v>K/31/260525/2</v>
      </c>
      <c r="E2589" s="36">
        <f t="array" ref="E2589">IFNA(_xlfn.XLOOKUP(D2589,Table_Tarikan_Warkah[Nomor Tiket],Table_Tarikan_Warkah[Tanggal diserahkan kepada Validator]),"")</f>
        <v>45831.53102</v>
      </c>
      <c r="F2589" s="36" t="str">
        <f t="array" ref="F2589">IFNA(_xlfn.XLOOKUP(D2589,Table_Tarikan_Warkah[Nomor Tiket],Table_Tarikan_Warkah[Nama Petugas Warkah]),"")</f>
        <v>Berry</v>
      </c>
      <c r="G2589" s="39" t="str">
        <f t="array" ref="G2589">IFNA(_xlfn.XLOOKUP(D2589,Table_Tarikan_Warkah[Nomor Tiket],Table_Tarikan_Warkah[Jenis Permohonan]),"")</f>
        <v>BN Jual Beli</v>
      </c>
      <c r="H2589" s="41" t="s">
        <v>2315</v>
      </c>
      <c r="I2589" s="49" t="s">
        <v>23</v>
      </c>
      <c r="J2589" s="36">
        <f t="shared" si="20"/>
        <v>45827.57941</v>
      </c>
      <c r="K2589" s="49" t="s">
        <v>2378</v>
      </c>
      <c r="L2589" s="49" t="s">
        <v>23</v>
      </c>
      <c r="M2589" s="36">
        <f t="shared" si="33"/>
        <v>45828.58928</v>
      </c>
      <c r="N2589" s="30" t="str">
        <f t="shared" si="34"/>
        <v>Selesai</v>
      </c>
      <c r="O2589" s="45">
        <f t="shared" si="23"/>
        <v>45828.58928</v>
      </c>
      <c r="P2589" s="47" t="b">
        <v>0</v>
      </c>
      <c r="Q2589" s="36" t="str">
        <f t="shared" si="24"/>
        <v/>
      </c>
      <c r="R2589" s="47" t="b">
        <v>0</v>
      </c>
      <c r="S2589" s="42" t="str">
        <f t="shared" si="28"/>
        <v/>
      </c>
      <c r="T2589" s="42"/>
    </row>
    <row r="2590" ht="22.5" customHeight="1">
      <c r="B2590" s="42">
        <f t="shared" si="7"/>
        <v>2584</v>
      </c>
      <c r="C2590" s="31" t="s">
        <v>2661</v>
      </c>
      <c r="D2590" s="34" t="str">
        <f t="array" ref="D2590">IFNA(_xlfn.XLOOKUP(C2590,Table_Tarikan_Warkah[Nomor Sertipikat],Table_Tarikan_Warkah[Nomor Tiket]),"")</f>
        <v>K/21/020625/1</v>
      </c>
      <c r="E2590" s="36">
        <f t="array" ref="E2590">IFNA(_xlfn.XLOOKUP(D2590,Table_Tarikan_Warkah[Nomor Tiket],Table_Tarikan_Warkah[Tanggal diserahkan kepada Validator]),"")</f>
        <v>45831.54195</v>
      </c>
      <c r="F2590" s="36" t="str">
        <f t="array" ref="F2590">IFNA(_xlfn.XLOOKUP(D2590,Table_Tarikan_Warkah[Nomor Tiket],Table_Tarikan_Warkah[Nama Petugas Warkah]),"")</f>
        <v>Berry</v>
      </c>
      <c r="G2590" s="39" t="str">
        <f t="array" ref="G2590">IFNA(_xlfn.XLOOKUP(D2590,Table_Tarikan_Warkah[Nomor Tiket],Table_Tarikan_Warkah[Jenis Permohonan]),"")</f>
        <v>BN Jual Beli</v>
      </c>
      <c r="H2590" s="41" t="s">
        <v>2315</v>
      </c>
      <c r="I2590" s="49" t="s">
        <v>23</v>
      </c>
      <c r="J2590" s="36">
        <f t="shared" si="20"/>
        <v>45827.57956</v>
      </c>
      <c r="K2590" s="49" t="s">
        <v>2378</v>
      </c>
      <c r="L2590" s="49" t="s">
        <v>23</v>
      </c>
      <c r="M2590" s="36">
        <f t="shared" si="33"/>
        <v>45828.58922</v>
      </c>
      <c r="N2590" s="30" t="str">
        <f t="shared" si="34"/>
        <v>Selesai</v>
      </c>
      <c r="O2590" s="45">
        <f t="shared" si="23"/>
        <v>45828.58922</v>
      </c>
      <c r="P2590" s="47" t="b">
        <v>0</v>
      </c>
      <c r="Q2590" s="36" t="str">
        <f t="shared" si="24"/>
        <v/>
      </c>
      <c r="R2590" s="47" t="b">
        <v>0</v>
      </c>
      <c r="S2590" s="42" t="str">
        <f t="shared" si="28"/>
        <v/>
      </c>
      <c r="T2590" s="42"/>
    </row>
    <row r="2591" ht="22.5" customHeight="1">
      <c r="B2591" s="42">
        <f t="shared" si="7"/>
        <v>2585</v>
      </c>
      <c r="C2591" s="31" t="s">
        <v>2662</v>
      </c>
      <c r="D2591" s="34" t="str">
        <f t="array" ref="D2591">IFNA(_xlfn.XLOOKUP(C2591,Table_Tarikan_Warkah[Nomor Sertipikat],Table_Tarikan_Warkah[Nomor Tiket]),"")</f>
        <v>K/24/110625/1</v>
      </c>
      <c r="E2591" s="36">
        <f t="array" ref="E2591">IFNA(_xlfn.XLOOKUP(D2591,Table_Tarikan_Warkah[Nomor Tiket],Table_Tarikan_Warkah[Tanggal diserahkan kepada Validator]),"")</f>
        <v>45831.52893</v>
      </c>
      <c r="F2591" s="36" t="str">
        <f t="array" ref="F2591">IFNA(_xlfn.XLOOKUP(D2591,Table_Tarikan_Warkah[Nomor Tiket],Table_Tarikan_Warkah[Nama Petugas Warkah]),"")</f>
        <v>Berry</v>
      </c>
      <c r="G2591" s="39" t="str">
        <f t="array" ref="G2591">IFNA(_xlfn.XLOOKUP(D2591,Table_Tarikan_Warkah[Nomor Tiket],Table_Tarikan_Warkah[Jenis Permohonan]),"")</f>
        <v>BN Jual Beli</v>
      </c>
      <c r="H2591" s="41" t="s">
        <v>2315</v>
      </c>
      <c r="I2591" s="49" t="s">
        <v>23</v>
      </c>
      <c r="J2591" s="36">
        <f t="shared" si="20"/>
        <v>45827.57978</v>
      </c>
      <c r="K2591" s="49" t="s">
        <v>2378</v>
      </c>
      <c r="L2591" s="49" t="s">
        <v>23</v>
      </c>
      <c r="M2591" s="36">
        <f t="shared" si="33"/>
        <v>45828.58922</v>
      </c>
      <c r="N2591" s="30" t="str">
        <f t="shared" si="34"/>
        <v>Selesai</v>
      </c>
      <c r="O2591" s="45">
        <f t="shared" si="23"/>
        <v>45828.58922</v>
      </c>
      <c r="P2591" s="47" t="b">
        <v>0</v>
      </c>
      <c r="Q2591" s="36" t="str">
        <f t="shared" si="24"/>
        <v/>
      </c>
      <c r="R2591" s="47" t="b">
        <v>0</v>
      </c>
      <c r="S2591" s="42" t="str">
        <f t="shared" si="28"/>
        <v/>
      </c>
      <c r="T2591" s="42"/>
    </row>
    <row r="2592" ht="22.5" customHeight="1">
      <c r="B2592" s="42">
        <f t="shared" si="7"/>
        <v>2586</v>
      </c>
      <c r="C2592" s="31" t="s">
        <v>2663</v>
      </c>
      <c r="D2592" s="34" t="str">
        <f t="array" ref="D2592">IFNA(_xlfn.XLOOKUP(C2592,Table_Tarikan_Warkah[Nomor Sertipikat],Table_Tarikan_Warkah[Nomor Tiket]),"")</f>
        <v>K/16/110625/1</v>
      </c>
      <c r="E2592" s="36">
        <f t="array" ref="E2592">IFNA(_xlfn.XLOOKUP(D2592,Table_Tarikan_Warkah[Nomor Tiket],Table_Tarikan_Warkah[Tanggal diserahkan kepada Validator]),"")</f>
        <v>45847.67679</v>
      </c>
      <c r="F2592" s="36" t="str">
        <f t="array" ref="F2592">IFNA(_xlfn.XLOOKUP(D2592,Table_Tarikan_Warkah[Nomor Tiket],Table_Tarikan_Warkah[Nama Petugas Warkah]),"")</f>
        <v>David</v>
      </c>
      <c r="G2592" s="39" t="str">
        <f t="array" ref="G2592">IFNA(_xlfn.XLOOKUP(D2592,Table_Tarikan_Warkah[Nomor Tiket],Table_Tarikan_Warkah[Jenis Permohonan]),"")</f>
        <v>Roya</v>
      </c>
      <c r="H2592" s="41" t="s">
        <v>2315</v>
      </c>
      <c r="I2592" s="49" t="s">
        <v>23</v>
      </c>
      <c r="J2592" s="36">
        <f t="shared" si="20"/>
        <v>45827.57986</v>
      </c>
      <c r="K2592" s="49" t="s">
        <v>2378</v>
      </c>
      <c r="L2592" s="49" t="s">
        <v>23</v>
      </c>
      <c r="M2592" s="36">
        <f t="shared" si="33"/>
        <v>45828.58633</v>
      </c>
      <c r="N2592" s="30" t="str">
        <f t="shared" si="34"/>
        <v>Selesai</v>
      </c>
      <c r="O2592" s="45">
        <f t="shared" si="23"/>
        <v>45828.58633</v>
      </c>
      <c r="P2592" s="47" t="b">
        <v>0</v>
      </c>
      <c r="Q2592" s="36" t="str">
        <f t="shared" si="24"/>
        <v/>
      </c>
      <c r="R2592" s="47" t="b">
        <v>0</v>
      </c>
      <c r="S2592" s="42" t="str">
        <f t="shared" si="28"/>
        <v/>
      </c>
      <c r="T2592" s="42"/>
    </row>
    <row r="2593" ht="22.5" customHeight="1">
      <c r="B2593" s="42">
        <f t="shared" si="7"/>
        <v>2587</v>
      </c>
      <c r="C2593" s="31" t="s">
        <v>2664</v>
      </c>
      <c r="D2593" s="34" t="str">
        <f t="array" ref="D2593">IFNA(_xlfn.XLOOKUP(C2593,Table_Tarikan_Warkah[Nomor Sertipikat],Table_Tarikan_Warkah[Nomor Tiket]),"")</f>
        <v>K/12/040625/1</v>
      </c>
      <c r="E2593" s="36">
        <f t="array" ref="E2593">IFNA(_xlfn.XLOOKUP(D2593,Table_Tarikan_Warkah[Nomor Tiket],Table_Tarikan_Warkah[Tanggal diserahkan kepada Validator]),"")</f>
        <v>45831.54227</v>
      </c>
      <c r="F2593" s="36" t="str">
        <f t="array" ref="F2593">IFNA(_xlfn.XLOOKUP(D2593,Table_Tarikan_Warkah[Nomor Tiket],Table_Tarikan_Warkah[Nama Petugas Warkah]),"")</f>
        <v>Berry</v>
      </c>
      <c r="G2593" s="39" t="str">
        <f t="array" ref="G2593">IFNA(_xlfn.XLOOKUP(D2593,Table_Tarikan_Warkah[Nomor Tiket],Table_Tarikan_Warkah[Jenis Permohonan]),"")</f>
        <v>BN JUAL BELI</v>
      </c>
      <c r="H2593" s="41" t="s">
        <v>2315</v>
      </c>
      <c r="I2593" s="49" t="s">
        <v>23</v>
      </c>
      <c r="J2593" s="36">
        <f t="shared" si="20"/>
        <v>45827.58</v>
      </c>
      <c r="K2593" s="49" t="s">
        <v>2378</v>
      </c>
      <c r="L2593" s="49" t="s">
        <v>23</v>
      </c>
      <c r="M2593" s="36">
        <f t="shared" si="33"/>
        <v>45828.58641</v>
      </c>
      <c r="N2593" s="30" t="str">
        <f t="shared" si="34"/>
        <v>Selesai</v>
      </c>
      <c r="O2593" s="45">
        <f t="shared" si="23"/>
        <v>45828.58641</v>
      </c>
      <c r="P2593" s="47" t="b">
        <v>0</v>
      </c>
      <c r="Q2593" s="36" t="str">
        <f t="shared" si="24"/>
        <v/>
      </c>
      <c r="R2593" s="47" t="b">
        <v>0</v>
      </c>
      <c r="S2593" s="42" t="str">
        <f t="shared" si="28"/>
        <v/>
      </c>
      <c r="T2593" s="42"/>
    </row>
    <row r="2594" ht="22.5" customHeight="1">
      <c r="B2594" s="42">
        <f t="shared" si="7"/>
        <v>2588</v>
      </c>
      <c r="C2594" s="31" t="s">
        <v>2665</v>
      </c>
      <c r="D2594" s="34" t="str">
        <f t="array" ref="D2594">IFNA(_xlfn.XLOOKUP(C2594,Table_Tarikan_Warkah[Nomor Sertipikat],Table_Tarikan_Warkah[Nomor Tiket]),"")</f>
        <v>K/21/110625/1</v>
      </c>
      <c r="E2594" s="36">
        <f t="array" ref="E2594">IFNA(_xlfn.XLOOKUP(D2594,Table_Tarikan_Warkah[Nomor Tiket],Table_Tarikan_Warkah[Tanggal diserahkan kepada Validator]),"")</f>
        <v>45831.53138</v>
      </c>
      <c r="F2594" s="36" t="str">
        <f t="array" ref="F2594">IFNA(_xlfn.XLOOKUP(D2594,Table_Tarikan_Warkah[Nomor Tiket],Table_Tarikan_Warkah[Nama Petugas Warkah]),"")</f>
        <v>Berry</v>
      </c>
      <c r="G2594" s="39" t="str">
        <f t="array" ref="G2594">IFNA(_xlfn.XLOOKUP(D2594,Table_Tarikan_Warkah[Nomor Tiket],Table_Tarikan_Warkah[Jenis Permohonan]),"")</f>
        <v>BN HIBAH</v>
      </c>
      <c r="H2594" s="41" t="s">
        <v>2315</v>
      </c>
      <c r="I2594" s="49" t="s">
        <v>23</v>
      </c>
      <c r="J2594" s="36">
        <f t="shared" si="20"/>
        <v>45827.58015</v>
      </c>
      <c r="K2594" s="49" t="s">
        <v>2378</v>
      </c>
      <c r="L2594" s="49" t="s">
        <v>23</v>
      </c>
      <c r="M2594" s="36">
        <f t="shared" si="33"/>
        <v>45828.58904</v>
      </c>
      <c r="N2594" s="30" t="str">
        <f t="shared" si="34"/>
        <v>Selesai</v>
      </c>
      <c r="O2594" s="45">
        <f t="shared" si="23"/>
        <v>45828.58904</v>
      </c>
      <c r="P2594" s="47" t="b">
        <v>0</v>
      </c>
      <c r="Q2594" s="36" t="str">
        <f t="shared" si="24"/>
        <v/>
      </c>
      <c r="R2594" s="47" t="b">
        <v>0</v>
      </c>
      <c r="S2594" s="42" t="str">
        <f t="shared" si="28"/>
        <v/>
      </c>
      <c r="T2594" s="42"/>
    </row>
    <row r="2595" ht="22.5" customHeight="1">
      <c r="B2595" s="42">
        <f t="shared" si="7"/>
        <v>2589</v>
      </c>
      <c r="C2595" s="31" t="s">
        <v>2666</v>
      </c>
      <c r="D2595" s="34" t="str">
        <f t="array" ref="D2595">IFNA(_xlfn.XLOOKUP(C2595,Table_Tarikan_Warkah[Nomor Sertipikat],Table_Tarikan_Warkah[Nomor Tiket]),"")</f>
        <v>K/14/110625/1</v>
      </c>
      <c r="E2595" s="36">
        <f t="array" ref="E2595">IFNA(_xlfn.XLOOKUP(D2595,Table_Tarikan_Warkah[Nomor Tiket],Table_Tarikan_Warkah[Tanggal diserahkan kepada Validator]),"")</f>
        <v>45842.60765</v>
      </c>
      <c r="F2595" s="36" t="str">
        <f t="array" ref="F2595">IFNA(_xlfn.XLOOKUP(D2595,Table_Tarikan_Warkah[Nomor Tiket],Table_Tarikan_Warkah[Nama Petugas Warkah]),"")</f>
        <v>David</v>
      </c>
      <c r="G2595" s="39" t="str">
        <f t="array" ref="G2595">IFNA(_xlfn.XLOOKUP(D2595,Table_Tarikan_Warkah[Nomor Tiket],Table_Tarikan_Warkah[Jenis Permohonan]),"")</f>
        <v>ROYA LELANG</v>
      </c>
      <c r="H2595" s="41" t="s">
        <v>2315</v>
      </c>
      <c r="I2595" s="49" t="s">
        <v>23</v>
      </c>
      <c r="J2595" s="36">
        <f t="shared" si="20"/>
        <v>45827.58027</v>
      </c>
      <c r="K2595" s="49" t="s">
        <v>2378</v>
      </c>
      <c r="L2595" s="49" t="s">
        <v>23</v>
      </c>
      <c r="M2595" s="36">
        <f t="shared" si="33"/>
        <v>45828.58656</v>
      </c>
      <c r="N2595" s="30" t="str">
        <f t="shared" si="34"/>
        <v>Selesai</v>
      </c>
      <c r="O2595" s="45">
        <f t="shared" si="23"/>
        <v>45828.58656</v>
      </c>
      <c r="P2595" s="47" t="b">
        <v>0</v>
      </c>
      <c r="Q2595" s="36" t="str">
        <f t="shared" si="24"/>
        <v/>
      </c>
      <c r="R2595" s="47" t="b">
        <v>0</v>
      </c>
      <c r="S2595" s="42" t="str">
        <f t="shared" si="28"/>
        <v/>
      </c>
      <c r="T2595" s="42"/>
    </row>
    <row r="2596" ht="22.5" customHeight="1">
      <c r="B2596" s="42">
        <f t="shared" si="7"/>
        <v>2590</v>
      </c>
      <c r="C2596" s="31" t="s">
        <v>2667</v>
      </c>
      <c r="D2596" s="34" t="str">
        <f t="array" ref="D2596">IFNA(_xlfn.XLOOKUP(C2596,Table_Tarikan_Warkah[Nomor Sertipikat],Table_Tarikan_Warkah[Nomor Tiket]),"")</f>
        <v>K/19/210525/1</v>
      </c>
      <c r="E2596" s="36">
        <f t="array" ref="E2596">IFNA(_xlfn.XLOOKUP(D2596,Table_Tarikan_Warkah[Nomor Tiket],Table_Tarikan_Warkah[Tanggal diserahkan kepada Validator]),"")</f>
        <v>45840.59983</v>
      </c>
      <c r="F2596" s="36" t="str">
        <f t="array" ref="F2596">IFNA(_xlfn.XLOOKUP(D2596,Table_Tarikan_Warkah[Nomor Tiket],Table_Tarikan_Warkah[Nama Petugas Warkah]),"")</f>
        <v>David</v>
      </c>
      <c r="G2596" s="39" t="str">
        <f t="array" ref="G2596">IFNA(_xlfn.XLOOKUP(D2596,Table_Tarikan_Warkah[Nomor Tiket],Table_Tarikan_Warkah[Jenis Permohonan]),"")</f>
        <v>ROYA</v>
      </c>
      <c r="H2596" s="41" t="s">
        <v>2315</v>
      </c>
      <c r="I2596" s="49" t="s">
        <v>23</v>
      </c>
      <c r="J2596" s="36">
        <f t="shared" si="20"/>
        <v>45827.58041</v>
      </c>
      <c r="K2596" s="49" t="s">
        <v>2378</v>
      </c>
      <c r="L2596" s="49" t="s">
        <v>23</v>
      </c>
      <c r="M2596" s="36">
        <f t="shared" si="33"/>
        <v>45828.58665</v>
      </c>
      <c r="N2596" s="30" t="str">
        <f t="shared" si="34"/>
        <v>Selesai</v>
      </c>
      <c r="O2596" s="45">
        <f t="shared" si="23"/>
        <v>45828.58665</v>
      </c>
      <c r="P2596" s="47" t="b">
        <v>0</v>
      </c>
      <c r="Q2596" s="36" t="str">
        <f t="shared" si="24"/>
        <v/>
      </c>
      <c r="R2596" s="47" t="b">
        <v>0</v>
      </c>
      <c r="S2596" s="42" t="str">
        <f t="shared" si="28"/>
        <v/>
      </c>
      <c r="T2596" s="42"/>
    </row>
    <row r="2597" ht="22.5" customHeight="1">
      <c r="B2597" s="42">
        <f t="shared" si="7"/>
        <v>2591</v>
      </c>
      <c r="C2597" s="31" t="s">
        <v>2668</v>
      </c>
      <c r="D2597" s="34" t="str">
        <f t="array" ref="D2597">IFNA(_xlfn.XLOOKUP(C2597,Table_Tarikan_Warkah[Nomor Sertipikat],Table_Tarikan_Warkah[Nomor Tiket]),"")</f>
        <v>K/25/110625/1</v>
      </c>
      <c r="E2597" s="36">
        <f t="array" ref="E2597">IFNA(_xlfn.XLOOKUP(D2597,Table_Tarikan_Warkah[Nomor Tiket],Table_Tarikan_Warkah[Tanggal diserahkan kepada Validator]),"")</f>
        <v>45891.58994</v>
      </c>
      <c r="F2597" s="36" t="str">
        <f t="array" ref="F2597">IFNA(_xlfn.XLOOKUP(D2597,Table_Tarikan_Warkah[Nomor Tiket],Table_Tarikan_Warkah[Nama Petugas Warkah]),"")</f>
        <v>Berry</v>
      </c>
      <c r="G2597" s="39" t="str">
        <f t="array" ref="G2597">IFNA(_xlfn.XLOOKUP(D2597,Table_Tarikan_Warkah[Nomor Tiket],Table_Tarikan_Warkah[Jenis Permohonan]),"")</f>
        <v>ROYA</v>
      </c>
      <c r="H2597" s="41" t="s">
        <v>2315</v>
      </c>
      <c r="I2597" s="49" t="s">
        <v>23</v>
      </c>
      <c r="J2597" s="36">
        <f t="shared" si="20"/>
        <v>45827.58055</v>
      </c>
      <c r="K2597" s="49" t="s">
        <v>2378</v>
      </c>
      <c r="L2597" s="49" t="s">
        <v>23</v>
      </c>
      <c r="M2597" s="36">
        <f t="shared" si="33"/>
        <v>45828.58678</v>
      </c>
      <c r="N2597" s="30" t="str">
        <f t="shared" si="34"/>
        <v>Selesai</v>
      </c>
      <c r="O2597" s="45">
        <f t="shared" si="23"/>
        <v>45828.58678</v>
      </c>
      <c r="P2597" s="47" t="b">
        <v>0</v>
      </c>
      <c r="Q2597" s="36" t="str">
        <f t="shared" si="24"/>
        <v/>
      </c>
      <c r="R2597" s="47" t="b">
        <v>0</v>
      </c>
      <c r="S2597" s="42" t="str">
        <f t="shared" si="28"/>
        <v/>
      </c>
      <c r="T2597" s="42"/>
    </row>
    <row r="2598" ht="22.5" customHeight="1">
      <c r="B2598" s="42">
        <f t="shared" si="7"/>
        <v>2592</v>
      </c>
      <c r="C2598" s="31" t="s">
        <v>2669</v>
      </c>
      <c r="D2598" s="34" t="str">
        <f t="array" ref="D2598">IFNA(_xlfn.XLOOKUP(C2598,Table_Tarikan_Warkah[Nomor Sertipikat],Table_Tarikan_Warkah[Nomor Tiket]),"")</f>
        <v>K/7/060525/1</v>
      </c>
      <c r="E2598" s="36" t="str">
        <f t="array" ref="E2598">IFNA(_xlfn.XLOOKUP(D2598,Table_Tarikan_Warkah[Nomor Tiket],Table_Tarikan_Warkah[Tanggal diserahkan kepada Validator]),"")</f>
        <v/>
      </c>
      <c r="F2598" s="36" t="str">
        <f t="array" ref="F2598">IFNA(_xlfn.XLOOKUP(D2598,Table_Tarikan_Warkah[Nomor Tiket],Table_Tarikan_Warkah[Nama Petugas Warkah]),"")</f>
        <v/>
      </c>
      <c r="G2598" s="39" t="str">
        <f t="array" ref="G2598">IFNA(_xlfn.XLOOKUP(D2598,Table_Tarikan_Warkah[Nomor Tiket],Table_Tarikan_Warkah[Jenis Permohonan]),"")</f>
        <v>HAPUS BPHTB</v>
      </c>
      <c r="H2598" s="41" t="s">
        <v>2315</v>
      </c>
      <c r="I2598" s="49" t="s">
        <v>23</v>
      </c>
      <c r="J2598" s="36">
        <f t="shared" si="20"/>
        <v>45827.58068</v>
      </c>
      <c r="K2598" s="49" t="s">
        <v>2378</v>
      </c>
      <c r="L2598" s="49" t="s">
        <v>23</v>
      </c>
      <c r="M2598" s="36">
        <f t="shared" si="33"/>
        <v>45828.5869</v>
      </c>
      <c r="N2598" s="30" t="str">
        <f t="shared" si="34"/>
        <v>Selesai</v>
      </c>
      <c r="O2598" s="45">
        <f t="shared" si="23"/>
        <v>45828.5869</v>
      </c>
      <c r="P2598" s="47" t="b">
        <v>0</v>
      </c>
      <c r="Q2598" s="36" t="str">
        <f t="shared" si="24"/>
        <v/>
      </c>
      <c r="R2598" s="47" t="b">
        <v>0</v>
      </c>
      <c r="S2598" s="42" t="str">
        <f t="shared" si="28"/>
        <v/>
      </c>
      <c r="T2598" s="42"/>
    </row>
    <row r="2599" ht="22.5" customHeight="1">
      <c r="B2599" s="42">
        <f t="shared" si="7"/>
        <v>2593</v>
      </c>
      <c r="C2599" s="31" t="s">
        <v>2670</v>
      </c>
      <c r="D2599" s="34" t="str">
        <f t="array" ref="D2599">IFNA(_xlfn.XLOOKUP(C2599,Table_Tarikan_Warkah[Nomor Sertipikat],Table_Tarikan_Warkah[Nomor Tiket]),"")</f>
        <v>L/3/020625/1</v>
      </c>
      <c r="E2599" s="36">
        <f t="array" ref="E2599">IFNA(_xlfn.XLOOKUP(D2599,Table_Tarikan_Warkah[Nomor Tiket],Table_Tarikan_Warkah[Tanggal diserahkan kepada Validator]),"")</f>
        <v>45840.60584</v>
      </c>
      <c r="F2599" s="36" t="str">
        <f t="array" ref="F2599">IFNA(_xlfn.XLOOKUP(D2599,Table_Tarikan_Warkah[Nomor Tiket],Table_Tarikan_Warkah[Nama Petugas Warkah]),"")</f>
        <v>David</v>
      </c>
      <c r="G2599" s="39" t="str">
        <f t="array" ref="G2599">IFNA(_xlfn.XLOOKUP(D2599,Table_Tarikan_Warkah[Nomor Tiket],Table_Tarikan_Warkah[Jenis Permohonan]),"")</f>
        <v>ROYA</v>
      </c>
      <c r="H2599" s="41" t="s">
        <v>2315</v>
      </c>
      <c r="I2599" s="49" t="s">
        <v>23</v>
      </c>
      <c r="J2599" s="36">
        <f t="shared" si="20"/>
        <v>45827.58086</v>
      </c>
      <c r="K2599" s="49" t="s">
        <v>2378</v>
      </c>
      <c r="L2599" s="49" t="s">
        <v>23</v>
      </c>
      <c r="M2599" s="36">
        <f t="shared" si="33"/>
        <v>45828.58702</v>
      </c>
      <c r="N2599" s="30" t="str">
        <f t="shared" si="34"/>
        <v>Selesai</v>
      </c>
      <c r="O2599" s="45">
        <f t="shared" si="23"/>
        <v>45828.58702</v>
      </c>
      <c r="P2599" s="47" t="b">
        <v>0</v>
      </c>
      <c r="Q2599" s="36" t="str">
        <f t="shared" si="24"/>
        <v/>
      </c>
      <c r="R2599" s="47" t="b">
        <v>0</v>
      </c>
      <c r="S2599" s="42" t="str">
        <f t="shared" si="28"/>
        <v/>
      </c>
      <c r="T2599" s="42"/>
    </row>
    <row r="2600" ht="22.5" customHeight="1">
      <c r="B2600" s="42">
        <f t="shared" si="7"/>
        <v>2594</v>
      </c>
      <c r="C2600" s="31" t="s">
        <v>2671</v>
      </c>
      <c r="D2600" s="34" t="str">
        <f t="array" ref="D2600">IFNA(_xlfn.XLOOKUP(C2600,Table_Tarikan_Warkah[Nomor Sertipikat],Table_Tarikan_Warkah[Nomor Tiket]),"")</f>
        <v>L/9/100625/1</v>
      </c>
      <c r="E2600" s="36">
        <f t="array" ref="E2600">IFNA(_xlfn.XLOOKUP(D2600,Table_Tarikan_Warkah[Nomor Tiket],Table_Tarikan_Warkah[Tanggal diserahkan kepada Validator]),"")</f>
        <v>45839.43182</v>
      </c>
      <c r="F2600" s="36" t="str">
        <f t="array" ref="F2600">IFNA(_xlfn.XLOOKUP(D2600,Table_Tarikan_Warkah[Nomor Tiket],Table_Tarikan_Warkah[Nama Petugas Warkah]),"")</f>
        <v>David</v>
      </c>
      <c r="G2600" s="39" t="str">
        <f t="array" ref="G2600">IFNA(_xlfn.XLOOKUP(D2600,Table_Tarikan_Warkah[Nomor Tiket],Table_Tarikan_Warkah[Jenis Permohonan]),"")</f>
        <v>ROYA</v>
      </c>
      <c r="H2600" s="41" t="s">
        <v>2315</v>
      </c>
      <c r="I2600" s="49" t="s">
        <v>23</v>
      </c>
      <c r="J2600" s="36">
        <f t="shared" si="20"/>
        <v>45827.58102</v>
      </c>
      <c r="K2600" s="49" t="s">
        <v>2378</v>
      </c>
      <c r="L2600" s="49" t="s">
        <v>23</v>
      </c>
      <c r="M2600" s="36">
        <f t="shared" si="33"/>
        <v>45828.5871</v>
      </c>
      <c r="N2600" s="30" t="str">
        <f t="shared" si="34"/>
        <v>Selesai</v>
      </c>
      <c r="O2600" s="45">
        <f t="shared" si="23"/>
        <v>45828.5871</v>
      </c>
      <c r="P2600" s="47" t="b">
        <v>0</v>
      </c>
      <c r="Q2600" s="36" t="str">
        <f t="shared" si="24"/>
        <v/>
      </c>
      <c r="R2600" s="47" t="b">
        <v>0</v>
      </c>
      <c r="S2600" s="42" t="str">
        <f t="shared" si="28"/>
        <v/>
      </c>
      <c r="T2600" s="42"/>
    </row>
    <row r="2601" ht="22.5" customHeight="1">
      <c r="B2601" s="42">
        <f t="shared" si="7"/>
        <v>2595</v>
      </c>
      <c r="C2601" s="31" t="s">
        <v>2672</v>
      </c>
      <c r="D2601" s="34" t="str">
        <f t="array" ref="D2601">IFNA(_xlfn.XLOOKUP(C2601,Table_Tarikan_Warkah[Nomor Sertipikat],Table_Tarikan_Warkah[Nomor Tiket]),"")</f>
        <v>L/3/100625/1</v>
      </c>
      <c r="E2601" s="36">
        <f t="array" ref="E2601">IFNA(_xlfn.XLOOKUP(D2601,Table_Tarikan_Warkah[Nomor Tiket],Table_Tarikan_Warkah[Tanggal diserahkan kepada Validator]),"")</f>
        <v>45839.43182</v>
      </c>
      <c r="F2601" s="36" t="str">
        <f t="array" ref="F2601">IFNA(_xlfn.XLOOKUP(D2601,Table_Tarikan_Warkah[Nomor Tiket],Table_Tarikan_Warkah[Nama Petugas Warkah]),"")</f>
        <v>David</v>
      </c>
      <c r="G2601" s="39" t="str">
        <f t="array" ref="G2601">IFNA(_xlfn.XLOOKUP(D2601,Table_Tarikan_Warkah[Nomor Tiket],Table_Tarikan_Warkah[Jenis Permohonan]),"")</f>
        <v>ROYA</v>
      </c>
      <c r="H2601" s="41" t="s">
        <v>2315</v>
      </c>
      <c r="I2601" s="49" t="s">
        <v>23</v>
      </c>
      <c r="J2601" s="36">
        <f t="shared" si="20"/>
        <v>45827.58119</v>
      </c>
      <c r="K2601" s="49" t="s">
        <v>2378</v>
      </c>
      <c r="L2601" s="49" t="s">
        <v>23</v>
      </c>
      <c r="M2601" s="36">
        <f t="shared" si="33"/>
        <v>45828.58718</v>
      </c>
      <c r="N2601" s="30" t="str">
        <f t="shared" si="34"/>
        <v>Selesai</v>
      </c>
      <c r="O2601" s="45">
        <f t="shared" si="23"/>
        <v>45828.58718</v>
      </c>
      <c r="P2601" s="47" t="b">
        <v>0</v>
      </c>
      <c r="Q2601" s="36" t="str">
        <f t="shared" si="24"/>
        <v/>
      </c>
      <c r="R2601" s="47" t="b">
        <v>0</v>
      </c>
      <c r="S2601" s="42" t="str">
        <f t="shared" si="28"/>
        <v/>
      </c>
      <c r="T2601" s="42"/>
    </row>
    <row r="2602" ht="22.5" customHeight="1">
      <c r="B2602" s="42">
        <f t="shared" si="7"/>
        <v>2596</v>
      </c>
      <c r="C2602" s="31" t="s">
        <v>2673</v>
      </c>
      <c r="D2602" s="34" t="str">
        <f t="array" ref="D2602">IFNA(_xlfn.XLOOKUP(C2602,Table_Tarikan_Warkah[Nomor Sertipikat],Table_Tarikan_Warkah[Nomor Tiket]),"")</f>
        <v>L/8/100625/1</v>
      </c>
      <c r="E2602" s="36">
        <f t="array" ref="E2602">IFNA(_xlfn.XLOOKUP(D2602,Table_Tarikan_Warkah[Nomor Tiket],Table_Tarikan_Warkah[Tanggal diserahkan kepada Validator]),"")</f>
        <v>45840.60394</v>
      </c>
      <c r="F2602" s="36" t="str">
        <f t="array" ref="F2602">IFNA(_xlfn.XLOOKUP(D2602,Table_Tarikan_Warkah[Nomor Tiket],Table_Tarikan_Warkah[Nama Petugas Warkah]),"")</f>
        <v>David</v>
      </c>
      <c r="G2602" s="39" t="str">
        <f t="array" ref="G2602">IFNA(_xlfn.XLOOKUP(D2602,Table_Tarikan_Warkah[Nomor Tiket],Table_Tarikan_Warkah[Jenis Permohonan]),"")</f>
        <v>ROYA</v>
      </c>
      <c r="H2602" s="41" t="s">
        <v>2315</v>
      </c>
      <c r="I2602" s="49" t="s">
        <v>23</v>
      </c>
      <c r="J2602" s="36">
        <f t="shared" si="20"/>
        <v>45827.58169</v>
      </c>
      <c r="K2602" s="49" t="s">
        <v>2378</v>
      </c>
      <c r="L2602" s="49" t="s">
        <v>23</v>
      </c>
      <c r="M2602" s="36">
        <f t="shared" si="33"/>
        <v>45828.58727</v>
      </c>
      <c r="N2602" s="30" t="str">
        <f t="shared" si="34"/>
        <v>Selesai</v>
      </c>
      <c r="O2602" s="45">
        <f t="shared" si="23"/>
        <v>45828.58727</v>
      </c>
      <c r="P2602" s="47" t="b">
        <v>0</v>
      </c>
      <c r="Q2602" s="36" t="str">
        <f t="shared" si="24"/>
        <v/>
      </c>
      <c r="R2602" s="47" t="b">
        <v>0</v>
      </c>
      <c r="S2602" s="42" t="str">
        <f t="shared" si="28"/>
        <v/>
      </c>
      <c r="T2602" s="42"/>
    </row>
    <row r="2603" ht="22.5" customHeight="1">
      <c r="B2603" s="42">
        <f t="shared" si="7"/>
        <v>2597</v>
      </c>
      <c r="C2603" s="31" t="s">
        <v>2674</v>
      </c>
      <c r="D2603" s="34" t="str">
        <f t="array" ref="D2603">IFNA(_xlfn.XLOOKUP(C2603,Table_Tarikan_Warkah[Nomor Sertipikat],Table_Tarikan_Warkah[Nomor Tiket]),"")</f>
        <v>L/27/100625/1</v>
      </c>
      <c r="E2603" s="36">
        <f t="array" ref="E2603">IFNA(_xlfn.XLOOKUP(D2603,Table_Tarikan_Warkah[Nomor Tiket],Table_Tarikan_Warkah[Tanggal diserahkan kepada Validator]),"")</f>
        <v>45839.43182</v>
      </c>
      <c r="F2603" s="36" t="str">
        <f t="array" ref="F2603">IFNA(_xlfn.XLOOKUP(D2603,Table_Tarikan_Warkah[Nomor Tiket],Table_Tarikan_Warkah[Nama Petugas Warkah]),"")</f>
        <v>David</v>
      </c>
      <c r="G2603" s="39" t="str">
        <f t="array" ref="G2603">IFNA(_xlfn.XLOOKUP(D2603,Table_Tarikan_Warkah[Nomor Tiket],Table_Tarikan_Warkah[Jenis Permohonan]),"")</f>
        <v>ROYA</v>
      </c>
      <c r="H2603" s="41" t="s">
        <v>2315</v>
      </c>
      <c r="I2603" s="49" t="s">
        <v>23</v>
      </c>
      <c r="J2603" s="36">
        <f t="shared" si="20"/>
        <v>45827.58185</v>
      </c>
      <c r="K2603" s="49" t="s">
        <v>2378</v>
      </c>
      <c r="L2603" s="49" t="s">
        <v>23</v>
      </c>
      <c r="M2603" s="36">
        <f t="shared" si="33"/>
        <v>45828.58886</v>
      </c>
      <c r="N2603" s="30" t="str">
        <f t="shared" si="34"/>
        <v>Selesai</v>
      </c>
      <c r="O2603" s="45">
        <f t="shared" si="23"/>
        <v>45828.58886</v>
      </c>
      <c r="P2603" s="47" t="b">
        <v>0</v>
      </c>
      <c r="Q2603" s="36" t="str">
        <f t="shared" si="24"/>
        <v/>
      </c>
      <c r="R2603" s="47" t="b">
        <v>0</v>
      </c>
      <c r="S2603" s="42" t="str">
        <f t="shared" si="28"/>
        <v/>
      </c>
      <c r="T2603" s="42"/>
    </row>
    <row r="2604" ht="22.5" customHeight="1">
      <c r="B2604" s="42">
        <f t="shared" si="7"/>
        <v>2598</v>
      </c>
      <c r="C2604" s="31" t="s">
        <v>2675</v>
      </c>
      <c r="D2604" s="34" t="str">
        <f t="array" ref="D2604">IFNA(_xlfn.XLOOKUP(C2604,Table_Tarikan_Warkah[Nomor Sertipikat],Table_Tarikan_Warkah[Nomor Tiket]),"")</f>
        <v>K/36/130625/1</v>
      </c>
      <c r="E2604" s="36">
        <f t="array" ref="E2604">IFNA(_xlfn.XLOOKUP(D2604,Table_Tarikan_Warkah[Nomor Tiket],Table_Tarikan_Warkah[Tanggal diserahkan kepada Validator]),"")</f>
        <v>45916.4058</v>
      </c>
      <c r="F2604" s="36" t="str">
        <f t="array" ref="F2604">IFNA(_xlfn.XLOOKUP(D2604,Table_Tarikan_Warkah[Nomor Tiket],Table_Tarikan_Warkah[Nama Petugas Warkah]),"")</f>
        <v>David</v>
      </c>
      <c r="G2604" s="39" t="str">
        <f t="array" ref="G2604">IFNA(_xlfn.XLOOKUP(D2604,Table_Tarikan_Warkah[Nomor Tiket],Table_Tarikan_Warkah[Jenis Permohonan]),"")</f>
        <v>Ganti Nama HT</v>
      </c>
      <c r="H2604" s="41" t="s">
        <v>2315</v>
      </c>
      <c r="I2604" s="49" t="s">
        <v>23</v>
      </c>
      <c r="J2604" s="36">
        <f t="shared" si="20"/>
        <v>45827.58201</v>
      </c>
      <c r="K2604" s="49" t="s">
        <v>2378</v>
      </c>
      <c r="L2604" s="49" t="s">
        <v>23</v>
      </c>
      <c r="M2604" s="36">
        <f t="shared" si="33"/>
        <v>45828.58869</v>
      </c>
      <c r="N2604" s="30" t="str">
        <f t="shared" si="34"/>
        <v>Selesai</v>
      </c>
      <c r="O2604" s="45">
        <f t="shared" si="23"/>
        <v>45828.58869</v>
      </c>
      <c r="P2604" s="47" t="b">
        <v>0</v>
      </c>
      <c r="Q2604" s="36" t="str">
        <f t="shared" si="24"/>
        <v/>
      </c>
      <c r="R2604" s="47" t="b">
        <v>0</v>
      </c>
      <c r="S2604" s="42" t="str">
        <f t="shared" si="28"/>
        <v/>
      </c>
      <c r="T2604" s="42"/>
    </row>
    <row r="2605" ht="22.5" customHeight="1">
      <c r="B2605" s="42">
        <f t="shared" si="7"/>
        <v>2599</v>
      </c>
      <c r="C2605" s="31" t="s">
        <v>2676</v>
      </c>
      <c r="D2605" s="34" t="str">
        <f t="array" ref="D2605">IFNA(_xlfn.XLOOKUP(C2605,Table_Tarikan_Warkah[Nomor Sertipikat],Table_Tarikan_Warkah[Nomor Tiket]),"")</f>
        <v>K/45/050625/1</v>
      </c>
      <c r="E2605" s="36">
        <f t="array" ref="E2605">IFNA(_xlfn.XLOOKUP(D2605,Table_Tarikan_Warkah[Nomor Tiket],Table_Tarikan_Warkah[Tanggal diserahkan kepada Validator]),"")</f>
        <v>45831.53403</v>
      </c>
      <c r="F2605" s="36" t="str">
        <f t="array" ref="F2605">IFNA(_xlfn.XLOOKUP(D2605,Table_Tarikan_Warkah[Nomor Tiket],Table_Tarikan_Warkah[Nama Petugas Warkah]),"")</f>
        <v>Berry</v>
      </c>
      <c r="G2605" s="39" t="str">
        <f t="array" ref="G2605">IFNA(_xlfn.XLOOKUP(D2605,Table_Tarikan_Warkah[Nomor Tiket],Table_Tarikan_Warkah[Jenis Permohonan]),"")</f>
        <v>BN JUAL BELI</v>
      </c>
      <c r="H2605" s="41" t="s">
        <v>2315</v>
      </c>
      <c r="I2605" s="49" t="s">
        <v>23</v>
      </c>
      <c r="J2605" s="36">
        <f t="shared" si="20"/>
        <v>45828.53997</v>
      </c>
      <c r="K2605" s="49" t="s">
        <v>2378</v>
      </c>
      <c r="L2605" s="49" t="s">
        <v>23</v>
      </c>
      <c r="M2605" s="36">
        <f t="shared" si="33"/>
        <v>45828.63112</v>
      </c>
      <c r="N2605" s="30" t="str">
        <f t="shared" si="34"/>
        <v>Selesai</v>
      </c>
      <c r="O2605" s="45">
        <f t="shared" si="23"/>
        <v>45828.63112</v>
      </c>
      <c r="P2605" s="47" t="b">
        <v>0</v>
      </c>
      <c r="Q2605" s="36" t="str">
        <f t="shared" si="24"/>
        <v/>
      </c>
      <c r="R2605" s="47" t="b">
        <v>0</v>
      </c>
      <c r="S2605" s="42" t="str">
        <f t="shared" si="28"/>
        <v/>
      </c>
      <c r="T2605" s="42"/>
    </row>
    <row r="2606" ht="22.5" customHeight="1">
      <c r="B2606" s="42">
        <f t="shared" si="7"/>
        <v>2600</v>
      </c>
      <c r="C2606" s="31" t="s">
        <v>2677</v>
      </c>
      <c r="D2606" s="34" t="str">
        <f t="array" ref="D2606">IFNA(_xlfn.XLOOKUP(C2606,Table_Tarikan_Warkah[Nomor Sertipikat],Table_Tarikan_Warkah[Nomor Tiket]),"")</f>
        <v>K/15/270525/2</v>
      </c>
      <c r="E2606" s="36">
        <f t="array" ref="E2606">IFNA(_xlfn.XLOOKUP(D2606,Table_Tarikan_Warkah[Nomor Tiket],Table_Tarikan_Warkah[Tanggal diserahkan kepada Validator]),"")</f>
        <v>45831.53528</v>
      </c>
      <c r="F2606" s="36" t="str">
        <f t="array" ref="F2606">IFNA(_xlfn.XLOOKUP(D2606,Table_Tarikan_Warkah[Nomor Tiket],Table_Tarikan_Warkah[Nama Petugas Warkah]),"")</f>
        <v>Berry</v>
      </c>
      <c r="G2606" s="39" t="str">
        <f t="array" ref="G2606">IFNA(_xlfn.XLOOKUP(D2606,Table_Tarikan_Warkah[Nomor Tiket],Table_Tarikan_Warkah[Jenis Permohonan]),"")</f>
        <v>BN JUAL BELI</v>
      </c>
      <c r="H2606" s="41" t="s">
        <v>2315</v>
      </c>
      <c r="I2606" s="49" t="s">
        <v>23</v>
      </c>
      <c r="J2606" s="36">
        <f t="shared" si="20"/>
        <v>45828.5402</v>
      </c>
      <c r="K2606" s="49" t="s">
        <v>2378</v>
      </c>
      <c r="L2606" s="49" t="s">
        <v>23</v>
      </c>
      <c r="M2606" s="36">
        <f t="shared" si="33"/>
        <v>45828.6309</v>
      </c>
      <c r="N2606" s="30" t="str">
        <f t="shared" si="34"/>
        <v>Selesai</v>
      </c>
      <c r="O2606" s="45">
        <f t="shared" si="23"/>
        <v>45828.6309</v>
      </c>
      <c r="P2606" s="47" t="b">
        <v>0</v>
      </c>
      <c r="Q2606" s="36" t="str">
        <f t="shared" si="24"/>
        <v/>
      </c>
      <c r="R2606" s="47" t="b">
        <v>0</v>
      </c>
      <c r="S2606" s="42" t="str">
        <f t="shared" si="28"/>
        <v/>
      </c>
      <c r="T2606" s="42"/>
    </row>
    <row r="2607" ht="22.5" customHeight="1">
      <c r="B2607" s="42">
        <f t="shared" si="7"/>
        <v>2601</v>
      </c>
      <c r="C2607" s="31" t="s">
        <v>2678</v>
      </c>
      <c r="D2607" s="34" t="str">
        <f t="array" ref="D2607">IFNA(_xlfn.XLOOKUP(C2607,Table_Tarikan_Warkah[Nomor Sertipikat],Table_Tarikan_Warkah[Nomor Tiket]),"")</f>
        <v>K/7/130625/1</v>
      </c>
      <c r="E2607" s="36">
        <f t="array" ref="E2607">IFNA(_xlfn.XLOOKUP(D2607,Table_Tarikan_Warkah[Nomor Tiket],Table_Tarikan_Warkah[Tanggal diserahkan kepada Validator]),"")</f>
        <v>45831.53556</v>
      </c>
      <c r="F2607" s="36" t="str">
        <f t="array" ref="F2607">IFNA(_xlfn.XLOOKUP(D2607,Table_Tarikan_Warkah[Nomor Tiket],Table_Tarikan_Warkah[Nama Petugas Warkah]),"")</f>
        <v>Berry</v>
      </c>
      <c r="G2607" s="39" t="str">
        <f t="array" ref="G2607">IFNA(_xlfn.XLOOKUP(D2607,Table_Tarikan_Warkah[Nomor Tiket],Table_Tarikan_Warkah[Jenis Permohonan]),"")</f>
        <v>BN JUAL BELI</v>
      </c>
      <c r="H2607" s="41" t="s">
        <v>2315</v>
      </c>
      <c r="I2607" s="49" t="s">
        <v>23</v>
      </c>
      <c r="J2607" s="36">
        <f t="shared" si="20"/>
        <v>45828.54035</v>
      </c>
      <c r="K2607" s="49" t="s">
        <v>2378</v>
      </c>
      <c r="L2607" s="49" t="s">
        <v>23</v>
      </c>
      <c r="M2607" s="36">
        <f t="shared" si="33"/>
        <v>45828.63081</v>
      </c>
      <c r="N2607" s="30" t="str">
        <f t="shared" si="34"/>
        <v>Selesai</v>
      </c>
      <c r="O2607" s="45">
        <f t="shared" si="23"/>
        <v>45828.63081</v>
      </c>
      <c r="P2607" s="47" t="b">
        <v>0</v>
      </c>
      <c r="Q2607" s="36" t="str">
        <f t="shared" si="24"/>
        <v/>
      </c>
      <c r="R2607" s="47" t="b">
        <v>0</v>
      </c>
      <c r="S2607" s="42" t="str">
        <f t="shared" si="28"/>
        <v/>
      </c>
      <c r="T2607" s="42"/>
    </row>
    <row r="2608" ht="22.5" customHeight="1">
      <c r="B2608" s="42">
        <f t="shared" si="7"/>
        <v>2602</v>
      </c>
      <c r="C2608" s="31" t="s">
        <v>2679</v>
      </c>
      <c r="D2608" s="34" t="str">
        <f t="array" ref="D2608">IFNA(_xlfn.XLOOKUP(C2608,Table_Tarikan_Warkah[Nomor Sertipikat],Table_Tarikan_Warkah[Nomor Tiket]),"")</f>
        <v>K/38/230525/1</v>
      </c>
      <c r="E2608" s="36">
        <f t="array" ref="E2608">IFNA(_xlfn.XLOOKUP(D2608,Table_Tarikan_Warkah[Nomor Tiket],Table_Tarikan_Warkah[Tanggal diserahkan kepada Validator]),"")</f>
        <v>45831.53689</v>
      </c>
      <c r="F2608" s="36" t="str">
        <f t="array" ref="F2608">IFNA(_xlfn.XLOOKUP(D2608,Table_Tarikan_Warkah[Nomor Tiket],Table_Tarikan_Warkah[Nama Petugas Warkah]),"")</f>
        <v>Berry</v>
      </c>
      <c r="G2608" s="39" t="str">
        <f t="array" ref="G2608">IFNA(_xlfn.XLOOKUP(D2608,Table_Tarikan_Warkah[Nomor Tiket],Table_Tarikan_Warkah[Jenis Permohonan]),"")</f>
        <v>BN JUAL BELI</v>
      </c>
      <c r="H2608" s="41" t="s">
        <v>2315</v>
      </c>
      <c r="I2608" s="49" t="s">
        <v>23</v>
      </c>
      <c r="J2608" s="36">
        <f t="shared" si="20"/>
        <v>45828.54048</v>
      </c>
      <c r="K2608" s="49" t="s">
        <v>2378</v>
      </c>
      <c r="L2608" s="49" t="s">
        <v>23</v>
      </c>
      <c r="M2608" s="36">
        <f t="shared" si="33"/>
        <v>45828.63073</v>
      </c>
      <c r="N2608" s="30" t="str">
        <f t="shared" si="34"/>
        <v>Selesai</v>
      </c>
      <c r="O2608" s="45">
        <f t="shared" si="23"/>
        <v>45828.63073</v>
      </c>
      <c r="P2608" s="47" t="b">
        <v>0</v>
      </c>
      <c r="Q2608" s="36" t="str">
        <f t="shared" si="24"/>
        <v/>
      </c>
      <c r="R2608" s="47" t="b">
        <v>0</v>
      </c>
      <c r="S2608" s="42" t="str">
        <f t="shared" si="28"/>
        <v/>
      </c>
      <c r="T2608" s="42"/>
    </row>
    <row r="2609" ht="22.5" customHeight="1">
      <c r="B2609" s="42">
        <f t="shared" si="7"/>
        <v>2603</v>
      </c>
      <c r="C2609" s="31" t="s">
        <v>2680</v>
      </c>
      <c r="D2609" s="34" t="str">
        <f t="array" ref="D2609">IFNA(_xlfn.XLOOKUP(C2609,Table_Tarikan_Warkah[Nomor Sertipikat],Table_Tarikan_Warkah[Nomor Tiket]),"")</f>
        <v>L/28/120625/1</v>
      </c>
      <c r="E2609" s="36">
        <f t="array" ref="E2609">IFNA(_xlfn.XLOOKUP(D2609,Table_Tarikan_Warkah[Nomor Tiket],Table_Tarikan_Warkah[Tanggal diserahkan kepada Validator]),"")</f>
        <v>45841.70244</v>
      </c>
      <c r="F2609" s="36" t="str">
        <f t="array" ref="F2609">IFNA(_xlfn.XLOOKUP(D2609,Table_Tarikan_Warkah[Nomor Tiket],Table_Tarikan_Warkah[Nama Petugas Warkah]),"")</f>
        <v>David</v>
      </c>
      <c r="G2609" s="39" t="str">
        <f t="array" ref="G2609">IFNA(_xlfn.XLOOKUP(D2609,Table_Tarikan_Warkah[Nomor Tiket],Table_Tarikan_Warkah[Jenis Permohonan]),"")</f>
        <v>ROYA</v>
      </c>
      <c r="H2609" s="41" t="s">
        <v>2315</v>
      </c>
      <c r="I2609" s="49" t="s">
        <v>23</v>
      </c>
      <c r="J2609" s="36">
        <f t="shared" si="20"/>
        <v>45828.54065</v>
      </c>
      <c r="K2609" s="49" t="s">
        <v>2378</v>
      </c>
      <c r="L2609" s="49" t="s">
        <v>23</v>
      </c>
      <c r="M2609" s="36">
        <f t="shared" si="33"/>
        <v>45828.63063</v>
      </c>
      <c r="N2609" s="30" t="str">
        <f t="shared" si="34"/>
        <v>Selesai</v>
      </c>
      <c r="O2609" s="45">
        <f t="shared" si="23"/>
        <v>45828.63063</v>
      </c>
      <c r="P2609" s="47" t="b">
        <v>0</v>
      </c>
      <c r="Q2609" s="36" t="str">
        <f t="shared" si="24"/>
        <v/>
      </c>
      <c r="R2609" s="47" t="b">
        <v>0</v>
      </c>
      <c r="S2609" s="42" t="str">
        <f t="shared" si="28"/>
        <v/>
      </c>
      <c r="T2609" s="42"/>
    </row>
    <row r="2610" ht="22.5" customHeight="1">
      <c r="B2610" s="42">
        <f t="shared" si="7"/>
        <v>2604</v>
      </c>
      <c r="C2610" s="31" t="s">
        <v>2681</v>
      </c>
      <c r="D2610" s="34" t="str">
        <f t="array" ref="D2610">IFNA(_xlfn.XLOOKUP(C2610,Table_Tarikan_Warkah[Nomor Sertipikat],Table_Tarikan_Warkah[Nomor Tiket]),"")</f>
        <v>L/26/130625/1</v>
      </c>
      <c r="E2610" s="36">
        <f t="array" ref="E2610">IFNA(_xlfn.XLOOKUP(D2610,Table_Tarikan_Warkah[Nomor Tiket],Table_Tarikan_Warkah[Tanggal diserahkan kepada Validator]),"")</f>
        <v>45840.57186</v>
      </c>
      <c r="F2610" s="36" t="str">
        <f t="array" ref="F2610">IFNA(_xlfn.XLOOKUP(D2610,Table_Tarikan_Warkah[Nomor Tiket],Table_Tarikan_Warkah[Nama Petugas Warkah]),"")</f>
        <v>Berry</v>
      </c>
      <c r="G2610" s="39" t="str">
        <f t="array" ref="G2610">IFNA(_xlfn.XLOOKUP(D2610,Table_Tarikan_Warkah[Nomor Tiket],Table_Tarikan_Warkah[Jenis Permohonan]),"")</f>
        <v>PH</v>
      </c>
      <c r="H2610" s="41" t="s">
        <v>2315</v>
      </c>
      <c r="I2610" s="49" t="s">
        <v>23</v>
      </c>
      <c r="J2610" s="36">
        <f t="shared" si="20"/>
        <v>45828.54083</v>
      </c>
      <c r="K2610" s="49" t="s">
        <v>2378</v>
      </c>
      <c r="L2610" s="49" t="s">
        <v>23</v>
      </c>
      <c r="M2610" s="36">
        <f t="shared" si="33"/>
        <v>45828.66796</v>
      </c>
      <c r="N2610" s="30" t="str">
        <f t="shared" si="34"/>
        <v>Selesai</v>
      </c>
      <c r="O2610" s="45">
        <f t="shared" si="23"/>
        <v>45828.66796</v>
      </c>
      <c r="P2610" s="47" t="b">
        <v>0</v>
      </c>
      <c r="Q2610" s="36" t="str">
        <f t="shared" si="24"/>
        <v/>
      </c>
      <c r="R2610" s="47" t="b">
        <v>0</v>
      </c>
      <c r="S2610" s="42" t="str">
        <f t="shared" si="28"/>
        <v/>
      </c>
      <c r="T2610" s="42"/>
    </row>
    <row r="2611" ht="22.5" customHeight="1">
      <c r="B2611" s="42">
        <f t="shared" si="7"/>
        <v>2605</v>
      </c>
      <c r="C2611" s="31" t="s">
        <v>2682</v>
      </c>
      <c r="D2611" s="34" t="str">
        <f t="array" ref="D2611">IFNA(_xlfn.XLOOKUP(C2611,Table_Tarikan_Warkah[Nomor Sertipikat],Table_Tarikan_Warkah[Nomor Tiket]),"")</f>
        <v>K/43/220525/1</v>
      </c>
      <c r="E2611" s="36">
        <f t="array" ref="E2611">IFNA(_xlfn.XLOOKUP(D2611,Table_Tarikan_Warkah[Nomor Tiket],Table_Tarikan_Warkah[Tanggal diserahkan kepada Validator]),"")</f>
        <v>45855.57722</v>
      </c>
      <c r="F2611" s="36" t="str">
        <f t="array" ref="F2611">IFNA(_xlfn.XLOOKUP(D2611,Table_Tarikan_Warkah[Nomor Tiket],Table_Tarikan_Warkah[Nama Petugas Warkah]),"")</f>
        <v>Berry</v>
      </c>
      <c r="G2611" s="39" t="str">
        <f t="array" ref="G2611">IFNA(_xlfn.XLOOKUP(D2611,Table_Tarikan_Warkah[Nomor Tiket],Table_Tarikan_Warkah[Jenis Permohonan]),"")</f>
        <v>BN JUAL BELI</v>
      </c>
      <c r="H2611" s="41" t="s">
        <v>2315</v>
      </c>
      <c r="I2611" s="49" t="s">
        <v>23</v>
      </c>
      <c r="J2611" s="36">
        <f t="shared" si="20"/>
        <v>45828.54106</v>
      </c>
      <c r="K2611" s="49" t="s">
        <v>2378</v>
      </c>
      <c r="L2611" s="49" t="s">
        <v>23</v>
      </c>
      <c r="M2611" s="36">
        <f t="shared" si="33"/>
        <v>45828.6681</v>
      </c>
      <c r="N2611" s="30" t="str">
        <f t="shared" si="34"/>
        <v>Selesai</v>
      </c>
      <c r="O2611" s="45">
        <f t="shared" si="23"/>
        <v>45828.6681</v>
      </c>
      <c r="P2611" s="47" t="b">
        <v>0</v>
      </c>
      <c r="Q2611" s="36" t="str">
        <f t="shared" si="24"/>
        <v/>
      </c>
      <c r="R2611" s="47" t="b">
        <v>0</v>
      </c>
      <c r="S2611" s="42" t="str">
        <f t="shared" si="28"/>
        <v/>
      </c>
      <c r="T2611" s="42"/>
    </row>
    <row r="2612" ht="22.5" customHeight="1">
      <c r="B2612" s="42">
        <f t="shared" si="7"/>
        <v>2606</v>
      </c>
      <c r="C2612" s="31" t="s">
        <v>2683</v>
      </c>
      <c r="D2612" s="34" t="str">
        <f t="array" ref="D2612">IFNA(_xlfn.XLOOKUP(C2612,Table_Tarikan_Warkah[Nomor Sertipikat],Table_Tarikan_Warkah[Nomor Tiket]),"")</f>
        <v>K/3/270525/1</v>
      </c>
      <c r="E2612" s="36">
        <f t="array" ref="E2612">IFNA(_xlfn.XLOOKUP(D2612,Table_Tarikan_Warkah[Nomor Tiket],Table_Tarikan_Warkah[Tanggal diserahkan kepada Validator]),"")</f>
        <v>45831.52573</v>
      </c>
      <c r="F2612" s="36" t="str">
        <f t="array" ref="F2612">IFNA(_xlfn.XLOOKUP(D2612,Table_Tarikan_Warkah[Nomor Tiket],Table_Tarikan_Warkah[Nama Petugas Warkah]),"")</f>
        <v>Berry</v>
      </c>
      <c r="G2612" s="39" t="str">
        <f t="array" ref="G2612">IFNA(_xlfn.XLOOKUP(D2612,Table_Tarikan_Warkah[Nomor Tiket],Table_Tarikan_Warkah[Jenis Permohonan]),"")</f>
        <v>KEWARISAN</v>
      </c>
      <c r="H2612" s="41" t="s">
        <v>2315</v>
      </c>
      <c r="I2612" s="49" t="s">
        <v>23</v>
      </c>
      <c r="J2612" s="36">
        <f t="shared" si="20"/>
        <v>45828.54124</v>
      </c>
      <c r="K2612" s="49" t="s">
        <v>2378</v>
      </c>
      <c r="L2612" s="49" t="s">
        <v>23</v>
      </c>
      <c r="M2612" s="36">
        <f t="shared" si="33"/>
        <v>45828.63052</v>
      </c>
      <c r="N2612" s="30" t="str">
        <f t="shared" si="34"/>
        <v>Selesai</v>
      </c>
      <c r="O2612" s="45">
        <f t="shared" si="23"/>
        <v>45828.63052</v>
      </c>
      <c r="P2612" s="47" t="b">
        <v>0</v>
      </c>
      <c r="Q2612" s="36" t="str">
        <f t="shared" si="24"/>
        <v/>
      </c>
      <c r="R2612" s="47" t="b">
        <v>0</v>
      </c>
      <c r="S2612" s="42" t="str">
        <f t="shared" si="28"/>
        <v/>
      </c>
      <c r="T2612" s="42"/>
    </row>
    <row r="2613" ht="22.5" customHeight="1">
      <c r="B2613" s="42">
        <f t="shared" si="7"/>
        <v>2607</v>
      </c>
      <c r="C2613" s="31" t="s">
        <v>1234</v>
      </c>
      <c r="D2613" s="34" t="str">
        <f t="array" ref="D2613">IFNA(_xlfn.XLOOKUP(C2613,Table_Tarikan_Warkah[Nomor Sertipikat],Table_Tarikan_Warkah[Nomor Tiket]),"")</f>
        <v>K/40/100225/2</v>
      </c>
      <c r="E2613" s="36" t="str">
        <f t="array" ref="E2613">IFNA(_xlfn.XLOOKUP(D2613,Table_Tarikan_Warkah[Nomor Tiket],Table_Tarikan_Warkah[Tanggal diserahkan kepada Validator]),"")</f>
        <v/>
      </c>
      <c r="F2613" s="36" t="str">
        <f t="array" ref="F2613">IFNA(_xlfn.XLOOKUP(D2613,Table_Tarikan_Warkah[Nomor Tiket],Table_Tarikan_Warkah[Nama Petugas Warkah]),"")</f>
        <v/>
      </c>
      <c r="G2613" s="39" t="str">
        <f t="array" ref="G2613">IFNA(_xlfn.XLOOKUP(D2613,Table_Tarikan_Warkah[Nomor Tiket],Table_Tarikan_Warkah[Jenis Permohonan]),"")</f>
        <v>HAPUS BPHTB</v>
      </c>
      <c r="H2613" s="41" t="s">
        <v>2315</v>
      </c>
      <c r="I2613" s="49" t="s">
        <v>23</v>
      </c>
      <c r="J2613" s="36">
        <f t="shared" si="20"/>
        <v>45828.54231</v>
      </c>
      <c r="K2613" s="49" t="s">
        <v>2378</v>
      </c>
      <c r="L2613" s="49" t="s">
        <v>23</v>
      </c>
      <c r="M2613" s="36">
        <f t="shared" si="33"/>
        <v>45828.63043</v>
      </c>
      <c r="N2613" s="30" t="str">
        <f t="shared" si="34"/>
        <v>Selesai</v>
      </c>
      <c r="O2613" s="45">
        <f t="shared" si="23"/>
        <v>45828.63043</v>
      </c>
      <c r="P2613" s="47" t="b">
        <v>0</v>
      </c>
      <c r="Q2613" s="36" t="str">
        <f t="shared" si="24"/>
        <v/>
      </c>
      <c r="R2613" s="47" t="b">
        <v>0</v>
      </c>
      <c r="S2613" s="42" t="str">
        <f t="shared" si="28"/>
        <v/>
      </c>
      <c r="T2613" s="42"/>
    </row>
    <row r="2614" ht="22.5" customHeight="1">
      <c r="B2614" s="42">
        <f t="shared" si="7"/>
        <v>2608</v>
      </c>
      <c r="C2614" s="31" t="s">
        <v>2684</v>
      </c>
      <c r="D2614" s="34" t="str">
        <f t="array" ref="D2614">IFNA(_xlfn.XLOOKUP(C2614,Table_Tarikan_Warkah[Nomor Sertipikat],Table_Tarikan_Warkah[Nomor Tiket]),"")</f>
        <v>K/8/190525/1</v>
      </c>
      <c r="E2614" s="36" t="str">
        <f t="array" ref="E2614">IFNA(_xlfn.XLOOKUP(D2614,Table_Tarikan_Warkah[Nomor Tiket],Table_Tarikan_Warkah[Tanggal diserahkan kepada Validator]),"")</f>
        <v/>
      </c>
      <c r="F2614" s="36" t="str">
        <f t="array" ref="F2614">IFNA(_xlfn.XLOOKUP(D2614,Table_Tarikan_Warkah[Nomor Tiket],Table_Tarikan_Warkah[Nama Petugas Warkah]),"")</f>
        <v/>
      </c>
      <c r="G2614" s="39" t="str">
        <f t="array" ref="G2614">IFNA(_xlfn.XLOOKUP(D2614,Table_Tarikan_Warkah[Nomor Tiket],Table_Tarikan_Warkah[Jenis Permohonan]),"")</f>
        <v>PENINGKATAN HAK</v>
      </c>
      <c r="H2614" s="41" t="s">
        <v>2315</v>
      </c>
      <c r="I2614" s="49" t="s">
        <v>23</v>
      </c>
      <c r="J2614" s="36">
        <f t="shared" si="20"/>
        <v>45828.54254</v>
      </c>
      <c r="K2614" s="49" t="s">
        <v>2378</v>
      </c>
      <c r="L2614" s="49" t="s">
        <v>23</v>
      </c>
      <c r="M2614" s="36">
        <f t="shared" si="33"/>
        <v>45828.63015</v>
      </c>
      <c r="N2614" s="30" t="str">
        <f t="shared" si="34"/>
        <v>Selesai</v>
      </c>
      <c r="O2614" s="45">
        <f t="shared" si="23"/>
        <v>45828.63015</v>
      </c>
      <c r="P2614" s="47" t="b">
        <v>0</v>
      </c>
      <c r="Q2614" s="36" t="str">
        <f t="shared" si="24"/>
        <v/>
      </c>
      <c r="R2614" s="47" t="b">
        <v>0</v>
      </c>
      <c r="S2614" s="42" t="str">
        <f t="shared" si="28"/>
        <v/>
      </c>
      <c r="T2614" s="42"/>
    </row>
    <row r="2615" ht="22.5" customHeight="1">
      <c r="B2615" s="42">
        <f t="shared" si="7"/>
        <v>2609</v>
      </c>
      <c r="C2615" s="31" t="s">
        <v>2685</v>
      </c>
      <c r="D2615" s="34" t="str">
        <f t="array" ref="D2615">IFNA(_xlfn.XLOOKUP(C2615,Table_Tarikan_Warkah[Nomor Sertipikat],Table_Tarikan_Warkah[Nomor Tiket]),"")</f>
        <v>K/25/270525/1</v>
      </c>
      <c r="E2615" s="36">
        <f t="array" ref="E2615">IFNA(_xlfn.XLOOKUP(D2615,Table_Tarikan_Warkah[Nomor Tiket],Table_Tarikan_Warkah[Tanggal diserahkan kepada Validator]),"")</f>
        <v>45831.52515</v>
      </c>
      <c r="F2615" s="36" t="str">
        <f t="array" ref="F2615">IFNA(_xlfn.XLOOKUP(D2615,Table_Tarikan_Warkah[Nomor Tiket],Table_Tarikan_Warkah[Nama Petugas Warkah]),"")</f>
        <v>Berry</v>
      </c>
      <c r="G2615" s="39" t="str">
        <f t="array" ref="G2615">IFNA(_xlfn.XLOOKUP(D2615,Table_Tarikan_Warkah[Nomor Tiket],Table_Tarikan_Warkah[Jenis Permohonan]),"")</f>
        <v>JUAL BELI</v>
      </c>
      <c r="H2615" s="41" t="s">
        <v>2315</v>
      </c>
      <c r="I2615" s="49" t="s">
        <v>23</v>
      </c>
      <c r="J2615" s="36">
        <f t="shared" si="20"/>
        <v>45828.54269</v>
      </c>
      <c r="K2615" s="49" t="s">
        <v>2378</v>
      </c>
      <c r="L2615" s="49" t="s">
        <v>23</v>
      </c>
      <c r="M2615" s="36">
        <f t="shared" si="33"/>
        <v>45828.63034</v>
      </c>
      <c r="N2615" s="30" t="str">
        <f t="shared" si="34"/>
        <v>Selesai</v>
      </c>
      <c r="O2615" s="45">
        <f t="shared" si="23"/>
        <v>45828.63034</v>
      </c>
      <c r="P2615" s="47" t="b">
        <v>0</v>
      </c>
      <c r="Q2615" s="36" t="str">
        <f t="shared" si="24"/>
        <v/>
      </c>
      <c r="R2615" s="47" t="b">
        <v>0</v>
      </c>
      <c r="S2615" s="42" t="str">
        <f t="shared" si="28"/>
        <v/>
      </c>
      <c r="T2615" s="42"/>
    </row>
    <row r="2616" ht="22.5" customHeight="1">
      <c r="B2616" s="42">
        <f t="shared" si="7"/>
        <v>2610</v>
      </c>
      <c r="C2616" s="31" t="s">
        <v>2686</v>
      </c>
      <c r="D2616" s="34" t="str">
        <f t="array" ref="D2616">IFNA(_xlfn.XLOOKUP(C2616,Table_Tarikan_Warkah[Nomor Sertipikat],Table_Tarikan_Warkah[Nomor Tiket]),"")</f>
        <v>K/1/100625/1</v>
      </c>
      <c r="E2616" s="36">
        <f t="array" ref="E2616">IFNA(_xlfn.XLOOKUP(D2616,Table_Tarikan_Warkah[Nomor Tiket],Table_Tarikan_Warkah[Tanggal diserahkan kepada Validator]),"")</f>
        <v>45846.67187</v>
      </c>
      <c r="F2616" s="36" t="str">
        <f t="array" ref="F2616">IFNA(_xlfn.XLOOKUP(D2616,Table_Tarikan_Warkah[Nomor Tiket],Table_Tarikan_Warkah[Nama Petugas Warkah]),"")</f>
        <v>David</v>
      </c>
      <c r="G2616" s="39" t="str">
        <f t="array" ref="G2616">IFNA(_xlfn.XLOOKUP(D2616,Table_Tarikan_Warkah[Nomor Tiket],Table_Tarikan_Warkah[Jenis Permohonan]),"")</f>
        <v>Roya</v>
      </c>
      <c r="H2616" s="41" t="s">
        <v>2315</v>
      </c>
      <c r="I2616" s="49" t="s">
        <v>23</v>
      </c>
      <c r="J2616" s="36">
        <f t="shared" si="20"/>
        <v>45828.54413</v>
      </c>
      <c r="K2616" s="49" t="s">
        <v>2378</v>
      </c>
      <c r="L2616" s="49" t="s">
        <v>23</v>
      </c>
      <c r="M2616" s="36">
        <f t="shared" si="33"/>
        <v>45828.63023</v>
      </c>
      <c r="N2616" s="30" t="str">
        <f t="shared" si="34"/>
        <v>Selesai</v>
      </c>
      <c r="O2616" s="45">
        <f t="shared" si="23"/>
        <v>45828.63023</v>
      </c>
      <c r="P2616" s="47" t="b">
        <v>0</v>
      </c>
      <c r="Q2616" s="36" t="str">
        <f t="shared" si="24"/>
        <v/>
      </c>
      <c r="R2616" s="47" t="b">
        <v>0</v>
      </c>
      <c r="S2616" s="42" t="str">
        <f t="shared" si="28"/>
        <v/>
      </c>
      <c r="T2616" s="42"/>
    </row>
    <row r="2617" ht="22.5" customHeight="1">
      <c r="B2617" s="42">
        <f t="shared" si="7"/>
        <v>2611</v>
      </c>
      <c r="C2617" s="31" t="s">
        <v>1234</v>
      </c>
      <c r="D2617" s="42" t="s">
        <v>2687</v>
      </c>
      <c r="E2617" s="36">
        <f t="array" ref="E2617">IFNA(_xlfn.XLOOKUP(D2617,Table_Tarikan_Warkah[Nomor Tiket],Table_Tarikan_Warkah[Tanggal diserahkan kepada Validator]),"")</f>
        <v>45831.53723</v>
      </c>
      <c r="F2617" s="36" t="str">
        <f t="array" ref="F2617">IFNA(_xlfn.XLOOKUP(D2617,Table_Tarikan_Warkah[Nomor Tiket],Table_Tarikan_Warkah[Nama Petugas Warkah]),"")</f>
        <v>Berry</v>
      </c>
      <c r="G2617" s="39" t="str">
        <f t="array" ref="G2617">IFNA(_xlfn.XLOOKUP(D2617,Table_Tarikan_Warkah[Nomor Tiket],Table_Tarikan_Warkah[Jenis Permohonan]),"")</f>
        <v>JUAL BELI</v>
      </c>
      <c r="H2617" s="41" t="s">
        <v>20</v>
      </c>
      <c r="I2617" s="49" t="s">
        <v>23</v>
      </c>
      <c r="J2617" s="36">
        <f t="shared" si="20"/>
        <v>45831.39596</v>
      </c>
      <c r="K2617" s="49" t="s">
        <v>920</v>
      </c>
      <c r="L2617" s="49" t="s">
        <v>23</v>
      </c>
      <c r="M2617" s="36">
        <f t="shared" si="33"/>
        <v>45831.39603</v>
      </c>
      <c r="N2617" s="30" t="str">
        <f t="shared" si="34"/>
        <v>Selesai</v>
      </c>
      <c r="O2617" s="45">
        <f t="shared" si="23"/>
        <v>45831.39603</v>
      </c>
      <c r="P2617" s="47" t="b">
        <v>1</v>
      </c>
      <c r="Q2617" s="36">
        <f t="shared" si="24"/>
        <v>45831.39607</v>
      </c>
      <c r="R2617" s="47" t="b">
        <v>0</v>
      </c>
      <c r="S2617" s="42" t="str">
        <f t="shared" si="28"/>
        <v/>
      </c>
      <c r="T2617" s="42"/>
    </row>
    <row r="2618" ht="22.5" customHeight="1">
      <c r="B2618" s="42">
        <f t="shared" si="7"/>
        <v>2612</v>
      </c>
      <c r="C2618" s="31" t="s">
        <v>2688</v>
      </c>
      <c r="D2618" s="34" t="str">
        <f t="array" ref="D2618">IFNA(_xlfn.XLOOKUP(C2618,Table_Tarikan_Warkah[Nomor Sertipikat],Table_Tarikan_Warkah[Nomor Tiket]),"")</f>
        <v>K/15/050625/1</v>
      </c>
      <c r="E2618" s="36" t="str">
        <f t="array" ref="E2618">IFNA(_xlfn.XLOOKUP(D2618,Table_Tarikan_Warkah[Nomor Tiket],Table_Tarikan_Warkah[Tanggal diserahkan kepada Validator]),"")</f>
        <v/>
      </c>
      <c r="F2618" s="36" t="str">
        <f t="array" ref="F2618">IFNA(_xlfn.XLOOKUP(D2618,Table_Tarikan_Warkah[Nomor Tiket],Table_Tarikan_Warkah[Nama Petugas Warkah]),"")</f>
        <v/>
      </c>
      <c r="G2618" s="39" t="str">
        <f t="array" ref="G2618">IFNA(_xlfn.XLOOKUP(D2618,Table_Tarikan_Warkah[Nomor Tiket],Table_Tarikan_Warkah[Jenis Permohonan]),"")</f>
        <v>GANTI BLANGKO</v>
      </c>
      <c r="H2618" s="41" t="s">
        <v>2315</v>
      </c>
      <c r="I2618" s="49" t="s">
        <v>23</v>
      </c>
      <c r="J2618" s="36">
        <f t="shared" si="20"/>
        <v>45831.43006</v>
      </c>
      <c r="K2618" s="49" t="s">
        <v>2378</v>
      </c>
      <c r="L2618" s="49" t="s">
        <v>23</v>
      </c>
      <c r="M2618" s="36">
        <f t="shared" si="33"/>
        <v>45831.59046</v>
      </c>
      <c r="N2618" s="30" t="str">
        <f t="shared" si="34"/>
        <v>Selesai</v>
      </c>
      <c r="O2618" s="45">
        <f t="shared" si="23"/>
        <v>45831.59046</v>
      </c>
      <c r="P2618" s="47" t="b">
        <v>0</v>
      </c>
      <c r="Q2618" s="36" t="str">
        <f t="shared" si="24"/>
        <v/>
      </c>
      <c r="R2618" s="47" t="b">
        <v>0</v>
      </c>
      <c r="S2618" s="42" t="str">
        <f t="shared" si="28"/>
        <v/>
      </c>
      <c r="T2618" s="42"/>
    </row>
    <row r="2619" ht="22.5" customHeight="1">
      <c r="B2619" s="42">
        <f t="shared" si="7"/>
        <v>2613</v>
      </c>
      <c r="C2619" s="31" t="s">
        <v>2689</v>
      </c>
      <c r="D2619" s="34" t="str">
        <f t="array" ref="D2619">IFNA(_xlfn.XLOOKUP(C2619,Table_Tarikan_Warkah[Nomor Sertipikat],Table_Tarikan_Warkah[Nomor Tiket]),"")</f>
        <v>K/23/190525/1</v>
      </c>
      <c r="E2619" s="36" t="str">
        <f t="array" ref="E2619">IFNA(_xlfn.XLOOKUP(D2619,Table_Tarikan_Warkah[Nomor Tiket],Table_Tarikan_Warkah[Tanggal diserahkan kepada Validator]),"")</f>
        <v/>
      </c>
      <c r="F2619" s="36" t="str">
        <f t="array" ref="F2619">IFNA(_xlfn.XLOOKUP(D2619,Table_Tarikan_Warkah[Nomor Tiket],Table_Tarikan_Warkah[Nama Petugas Warkah]),"")</f>
        <v/>
      </c>
      <c r="G2619" s="39" t="str">
        <f t="array" ref="G2619">IFNA(_xlfn.XLOOKUP(D2619,Table_Tarikan_Warkah[Nomor Tiket],Table_Tarikan_Warkah[Jenis Permohonan]),"")</f>
        <v>Perubahan Hak</v>
      </c>
      <c r="H2619" s="41" t="s">
        <v>2315</v>
      </c>
      <c r="I2619" s="49" t="s">
        <v>23</v>
      </c>
      <c r="J2619" s="36">
        <f t="shared" si="20"/>
        <v>45831.4302</v>
      </c>
      <c r="K2619" s="49" t="s">
        <v>2378</v>
      </c>
      <c r="L2619" s="49" t="s">
        <v>23</v>
      </c>
      <c r="M2619" s="36">
        <f t="shared" si="33"/>
        <v>45831.599</v>
      </c>
      <c r="N2619" s="30" t="str">
        <f t="shared" si="34"/>
        <v>Selesai</v>
      </c>
      <c r="O2619" s="45">
        <f t="shared" si="23"/>
        <v>45831.599</v>
      </c>
      <c r="P2619" s="47" t="b">
        <v>0</v>
      </c>
      <c r="Q2619" s="36" t="str">
        <f t="shared" si="24"/>
        <v/>
      </c>
      <c r="R2619" s="47" t="b">
        <v>0</v>
      </c>
      <c r="S2619" s="42" t="str">
        <f t="shared" si="28"/>
        <v/>
      </c>
      <c r="T2619" s="42"/>
    </row>
    <row r="2620" ht="22.5" customHeight="1">
      <c r="B2620" s="42">
        <f t="shared" si="7"/>
        <v>2614</v>
      </c>
      <c r="C2620" s="31" t="s">
        <v>2690</v>
      </c>
      <c r="D2620" s="34" t="str">
        <f t="array" ref="D2620">IFNA(_xlfn.XLOOKUP(C2620,Table_Tarikan_Warkah[Nomor Sertipikat],Table_Tarikan_Warkah[Nomor Tiket]),"")</f>
        <v>K/37/130625/2</v>
      </c>
      <c r="E2620" s="36">
        <f t="array" ref="E2620">IFNA(_xlfn.XLOOKUP(D2620,Table_Tarikan_Warkah[Nomor Tiket],Table_Tarikan_Warkah[Tanggal diserahkan kepada Validator]),"")</f>
        <v>45876.64316</v>
      </c>
      <c r="F2620" s="36" t="str">
        <f t="array" ref="F2620">IFNA(_xlfn.XLOOKUP(D2620,Table_Tarikan_Warkah[Nomor Tiket],Table_Tarikan_Warkah[Nama Petugas Warkah]),"")</f>
        <v>David</v>
      </c>
      <c r="G2620" s="39" t="str">
        <f t="array" ref="G2620">IFNA(_xlfn.XLOOKUP(D2620,Table_Tarikan_Warkah[Nomor Tiket],Table_Tarikan_Warkah[Jenis Permohonan]),"")</f>
        <v>Ganti Nama HT</v>
      </c>
      <c r="H2620" s="41" t="s">
        <v>2315</v>
      </c>
      <c r="I2620" s="49" t="s">
        <v>23</v>
      </c>
      <c r="J2620" s="36">
        <f t="shared" si="20"/>
        <v>45831.43039</v>
      </c>
      <c r="K2620" s="49" t="s">
        <v>2378</v>
      </c>
      <c r="L2620" s="49" t="s">
        <v>23</v>
      </c>
      <c r="M2620" s="36">
        <f t="shared" si="33"/>
        <v>45831.59119</v>
      </c>
      <c r="N2620" s="30" t="str">
        <f t="shared" si="34"/>
        <v>Selesai</v>
      </c>
      <c r="O2620" s="45">
        <f t="shared" si="23"/>
        <v>45831.59119</v>
      </c>
      <c r="P2620" s="47" t="b">
        <v>0</v>
      </c>
      <c r="Q2620" s="36" t="str">
        <f t="shared" si="24"/>
        <v/>
      </c>
      <c r="R2620" s="47" t="b">
        <v>0</v>
      </c>
      <c r="S2620" s="42" t="str">
        <f t="shared" si="28"/>
        <v/>
      </c>
      <c r="T2620" s="42"/>
    </row>
    <row r="2621" ht="22.5" customHeight="1">
      <c r="B2621" s="42">
        <f t="shared" si="7"/>
        <v>2615</v>
      </c>
      <c r="C2621" s="31" t="s">
        <v>2691</v>
      </c>
      <c r="D2621" s="34" t="str">
        <f t="array" ref="D2621">IFNA(_xlfn.XLOOKUP(C2621,Table_Tarikan_Warkah[Nomor Sertipikat],Table_Tarikan_Warkah[Nomor Tiket]),"")</f>
        <v>K/7/110625/1</v>
      </c>
      <c r="E2621" s="36" t="str">
        <f t="array" ref="E2621">IFNA(_xlfn.XLOOKUP(D2621,Table_Tarikan_Warkah[Nomor Tiket],Table_Tarikan_Warkah[Tanggal diserahkan kepada Validator]),"")</f>
        <v/>
      </c>
      <c r="F2621" s="36" t="str">
        <f t="array" ref="F2621">IFNA(_xlfn.XLOOKUP(D2621,Table_Tarikan_Warkah[Nomor Tiket],Table_Tarikan_Warkah[Nama Petugas Warkah]),"")</f>
        <v/>
      </c>
      <c r="G2621" s="39" t="str">
        <f t="array" ref="G2621">IFNA(_xlfn.XLOOKUP(D2621,Table_Tarikan_Warkah[Nomor Tiket],Table_Tarikan_Warkah[Jenis Permohonan]),"")</f>
        <v>BN Hibah</v>
      </c>
      <c r="H2621" s="41" t="s">
        <v>2315</v>
      </c>
      <c r="I2621" s="49" t="s">
        <v>23</v>
      </c>
      <c r="J2621" s="36">
        <f t="shared" si="20"/>
        <v>45831.43051</v>
      </c>
      <c r="K2621" s="49" t="s">
        <v>2378</v>
      </c>
      <c r="L2621" s="49" t="s">
        <v>23</v>
      </c>
      <c r="M2621" s="36">
        <f t="shared" si="33"/>
        <v>45831.59063</v>
      </c>
      <c r="N2621" s="30" t="str">
        <f t="shared" si="34"/>
        <v>Selesai</v>
      </c>
      <c r="O2621" s="45">
        <f t="shared" si="23"/>
        <v>45831.59063</v>
      </c>
      <c r="P2621" s="47" t="b">
        <v>0</v>
      </c>
      <c r="Q2621" s="36" t="str">
        <f t="shared" si="24"/>
        <v/>
      </c>
      <c r="R2621" s="47" t="b">
        <v>0</v>
      </c>
      <c r="S2621" s="42" t="str">
        <f t="shared" si="28"/>
        <v/>
      </c>
      <c r="T2621" s="42"/>
    </row>
    <row r="2622" ht="22.5" customHeight="1">
      <c r="B2622" s="42">
        <f t="shared" si="7"/>
        <v>2616</v>
      </c>
      <c r="C2622" s="31" t="s">
        <v>2692</v>
      </c>
      <c r="D2622" s="34" t="str">
        <f t="array" ref="D2622">IFNA(_xlfn.XLOOKUP(C2622,Table_Tarikan_Warkah[Nomor Sertipikat],Table_Tarikan_Warkah[Nomor Tiket]),"")</f>
        <v>K/39/030625/1</v>
      </c>
      <c r="E2622" s="36" t="str">
        <f t="array" ref="E2622">IFNA(_xlfn.XLOOKUP(D2622,Table_Tarikan_Warkah[Nomor Tiket],Table_Tarikan_Warkah[Tanggal diserahkan kepada Validator]),"")</f>
        <v/>
      </c>
      <c r="F2622" s="36" t="str">
        <f t="array" ref="F2622">IFNA(_xlfn.XLOOKUP(D2622,Table_Tarikan_Warkah[Nomor Tiket],Table_Tarikan_Warkah[Nama Petugas Warkah]),"")</f>
        <v/>
      </c>
      <c r="G2622" s="39" t="str">
        <f t="array" ref="G2622">IFNA(_xlfn.XLOOKUP(D2622,Table_Tarikan_Warkah[Nomor Tiket],Table_Tarikan_Warkah[Jenis Permohonan]),"")</f>
        <v>BN Jual Beli</v>
      </c>
      <c r="H2622" s="41" t="s">
        <v>2315</v>
      </c>
      <c r="I2622" s="49" t="s">
        <v>23</v>
      </c>
      <c r="J2622" s="36">
        <f t="shared" si="20"/>
        <v>45831.43067</v>
      </c>
      <c r="K2622" s="49" t="s">
        <v>2378</v>
      </c>
      <c r="L2622" s="49" t="s">
        <v>23</v>
      </c>
      <c r="M2622" s="36">
        <f t="shared" si="33"/>
        <v>45831.59111</v>
      </c>
      <c r="N2622" s="30" t="str">
        <f t="shared" si="34"/>
        <v>Selesai</v>
      </c>
      <c r="O2622" s="45">
        <f t="shared" si="23"/>
        <v>45831.59111</v>
      </c>
      <c r="P2622" s="47" t="b">
        <v>0</v>
      </c>
      <c r="Q2622" s="36" t="str">
        <f t="shared" si="24"/>
        <v/>
      </c>
      <c r="R2622" s="47" t="b">
        <v>0</v>
      </c>
      <c r="S2622" s="42" t="str">
        <f t="shared" si="28"/>
        <v/>
      </c>
      <c r="T2622" s="42"/>
    </row>
    <row r="2623" ht="22.5" customHeight="1">
      <c r="B2623" s="42">
        <f t="shared" si="7"/>
        <v>2617</v>
      </c>
      <c r="C2623" s="31" t="s">
        <v>2693</v>
      </c>
      <c r="D2623" s="34" t="str">
        <f t="array" ref="D2623">IFNA(_xlfn.XLOOKUP(C2623,Table_Tarikan_Warkah[Nomor Sertipikat],Table_Tarikan_Warkah[Nomor Tiket]),"")</f>
        <v>K/34/280525/1</v>
      </c>
      <c r="E2623" s="36" t="str">
        <f t="array" ref="E2623">IFNA(_xlfn.XLOOKUP(D2623,Table_Tarikan_Warkah[Nomor Tiket],Table_Tarikan_Warkah[Tanggal diserahkan kepada Validator]),"")</f>
        <v/>
      </c>
      <c r="F2623" s="36" t="str">
        <f t="array" ref="F2623">IFNA(_xlfn.XLOOKUP(D2623,Table_Tarikan_Warkah[Nomor Tiket],Table_Tarikan_Warkah[Nama Petugas Warkah]),"")</f>
        <v/>
      </c>
      <c r="G2623" s="39" t="str">
        <f t="array" ref="G2623">IFNA(_xlfn.XLOOKUP(D2623,Table_Tarikan_Warkah[Nomor Tiket],Table_Tarikan_Warkah[Jenis Permohonan]),"")</f>
        <v>BN Hibah</v>
      </c>
      <c r="H2623" s="41" t="s">
        <v>2315</v>
      </c>
      <c r="I2623" s="49" t="s">
        <v>23</v>
      </c>
      <c r="J2623" s="36">
        <f t="shared" si="20"/>
        <v>45831.43083</v>
      </c>
      <c r="K2623" s="49" t="s">
        <v>2378</v>
      </c>
      <c r="L2623" s="49" t="s">
        <v>23</v>
      </c>
      <c r="M2623" s="36">
        <f t="shared" si="33"/>
        <v>45831.59102</v>
      </c>
      <c r="N2623" s="30" t="str">
        <f t="shared" si="34"/>
        <v>Selesai</v>
      </c>
      <c r="O2623" s="45">
        <f t="shared" si="23"/>
        <v>45831.59102</v>
      </c>
      <c r="P2623" s="47" t="b">
        <v>0</v>
      </c>
      <c r="Q2623" s="36" t="str">
        <f t="shared" si="24"/>
        <v/>
      </c>
      <c r="R2623" s="47" t="b">
        <v>0</v>
      </c>
      <c r="S2623" s="42" t="str">
        <f t="shared" si="28"/>
        <v/>
      </c>
      <c r="T2623" s="42"/>
    </row>
    <row r="2624" ht="22.5" customHeight="1">
      <c r="B2624" s="42">
        <f t="shared" si="7"/>
        <v>2618</v>
      </c>
      <c r="C2624" s="31" t="s">
        <v>2694</v>
      </c>
      <c r="D2624" s="34" t="str">
        <f t="array" ref="D2624">IFNA(_xlfn.XLOOKUP(C2624,Table_Tarikan_Warkah[Nomor Sertipikat],Table_Tarikan_Warkah[Nomor Tiket]),"")</f>
        <v>K/19/050625/1</v>
      </c>
      <c r="E2624" s="36">
        <f t="array" ref="E2624">IFNA(_xlfn.XLOOKUP(D2624,Table_Tarikan_Warkah[Nomor Tiket],Table_Tarikan_Warkah[Tanggal diserahkan kepada Validator]),"")</f>
        <v>45834.53654</v>
      </c>
      <c r="F2624" s="36" t="str">
        <f t="array" ref="F2624">IFNA(_xlfn.XLOOKUP(D2624,Table_Tarikan_Warkah[Nomor Tiket],Table_Tarikan_Warkah[Nama Petugas Warkah]),"")</f>
        <v>Berry</v>
      </c>
      <c r="G2624" s="39" t="str">
        <f t="array" ref="G2624">IFNA(_xlfn.XLOOKUP(D2624,Table_Tarikan_Warkah[Nomor Tiket],Table_Tarikan_Warkah[Jenis Permohonan]),"")</f>
        <v>BN Jual Beli</v>
      </c>
      <c r="H2624" s="41" t="s">
        <v>2315</v>
      </c>
      <c r="I2624" s="49" t="s">
        <v>23</v>
      </c>
      <c r="J2624" s="36">
        <f t="shared" si="20"/>
        <v>45831.4311</v>
      </c>
      <c r="K2624" s="49" t="s">
        <v>2378</v>
      </c>
      <c r="L2624" s="49" t="s">
        <v>23</v>
      </c>
      <c r="M2624" s="36">
        <f t="shared" si="33"/>
        <v>45831.59092</v>
      </c>
      <c r="N2624" s="30" t="str">
        <f t="shared" si="34"/>
        <v>Selesai</v>
      </c>
      <c r="O2624" s="45">
        <f t="shared" si="23"/>
        <v>45831.59092</v>
      </c>
      <c r="P2624" s="47" t="b">
        <v>0</v>
      </c>
      <c r="Q2624" s="36" t="str">
        <f t="shared" si="24"/>
        <v/>
      </c>
      <c r="R2624" s="47" t="b">
        <v>0</v>
      </c>
      <c r="S2624" s="42" t="str">
        <f t="shared" si="28"/>
        <v/>
      </c>
      <c r="T2624" s="42"/>
    </row>
    <row r="2625" ht="22.5" customHeight="1">
      <c r="B2625" s="42">
        <f t="shared" si="7"/>
        <v>2619</v>
      </c>
      <c r="C2625" s="31" t="s">
        <v>2695</v>
      </c>
      <c r="D2625" s="34" t="str">
        <f t="array" ref="D2625">IFNA(_xlfn.XLOOKUP(C2625,Table_Tarikan_Warkah[Nomor Sertipikat],Table_Tarikan_Warkah[Nomor Tiket]),"")</f>
        <v>K/37/030625/1</v>
      </c>
      <c r="E2625" s="36">
        <f t="array" ref="E2625">IFNA(_xlfn.XLOOKUP(D2625,Table_Tarikan_Warkah[Nomor Tiket],Table_Tarikan_Warkah[Tanggal diserahkan kepada Validator]),"")</f>
        <v>45890.59729</v>
      </c>
      <c r="F2625" s="36" t="str">
        <f t="array" ref="F2625">IFNA(_xlfn.XLOOKUP(D2625,Table_Tarikan_Warkah[Nomor Tiket],Table_Tarikan_Warkah[Nama Petugas Warkah]),"")</f>
        <v>Berry</v>
      </c>
      <c r="G2625" s="39" t="str">
        <f t="array" ref="G2625">IFNA(_xlfn.XLOOKUP(D2625,Table_Tarikan_Warkah[Nomor Tiket],Table_Tarikan_Warkah[Jenis Permohonan]),"")</f>
        <v>Roya</v>
      </c>
      <c r="H2625" s="41" t="s">
        <v>2315</v>
      </c>
      <c r="I2625" s="49" t="s">
        <v>23</v>
      </c>
      <c r="J2625" s="36">
        <f t="shared" si="20"/>
        <v>45831.43126</v>
      </c>
      <c r="K2625" s="49" t="s">
        <v>2378</v>
      </c>
      <c r="L2625" s="49" t="s">
        <v>23</v>
      </c>
      <c r="M2625" s="36">
        <f t="shared" si="33"/>
        <v>45831.59082</v>
      </c>
      <c r="N2625" s="30" t="str">
        <f t="shared" si="34"/>
        <v>Selesai</v>
      </c>
      <c r="O2625" s="45">
        <f t="shared" si="23"/>
        <v>45831.59082</v>
      </c>
      <c r="P2625" s="47" t="b">
        <v>0</v>
      </c>
      <c r="Q2625" s="36" t="str">
        <f t="shared" si="24"/>
        <v/>
      </c>
      <c r="R2625" s="47" t="b">
        <v>0</v>
      </c>
      <c r="S2625" s="42" t="str">
        <f t="shared" si="28"/>
        <v/>
      </c>
      <c r="T2625" s="42"/>
    </row>
    <row r="2626" ht="22.5" customHeight="1">
      <c r="B2626" s="42">
        <f t="shared" si="7"/>
        <v>2620</v>
      </c>
      <c r="C2626" s="31" t="s">
        <v>2696</v>
      </c>
      <c r="D2626" s="34" t="str">
        <f t="array" ref="D2626">IFNA(_xlfn.XLOOKUP(C2626,Table_Tarikan_Warkah[Nomor Sertipikat],Table_Tarikan_Warkah[Nomor Tiket]),"")</f>
        <v>K/1/110625/1</v>
      </c>
      <c r="E2626" s="36" t="str">
        <f t="array" ref="E2626">IFNA(_xlfn.XLOOKUP(D2626,Table_Tarikan_Warkah[Nomor Tiket],Table_Tarikan_Warkah[Tanggal diserahkan kepada Validator]),"")</f>
        <v/>
      </c>
      <c r="F2626" s="36" t="str">
        <f t="array" ref="F2626">IFNA(_xlfn.XLOOKUP(D2626,Table_Tarikan_Warkah[Nomor Tiket],Table_Tarikan_Warkah[Nama Petugas Warkah]),"")</f>
        <v/>
      </c>
      <c r="G2626" s="39" t="str">
        <f t="array" ref="G2626">IFNA(_xlfn.XLOOKUP(D2626,Table_Tarikan_Warkah[Nomor Tiket],Table_Tarikan_Warkah[Jenis Permohonan]),"")</f>
        <v>BN Waris</v>
      </c>
      <c r="H2626" s="41" t="s">
        <v>2315</v>
      </c>
      <c r="I2626" s="49" t="s">
        <v>23</v>
      </c>
      <c r="J2626" s="36">
        <f t="shared" si="20"/>
        <v>45831.43141</v>
      </c>
      <c r="K2626" s="49" t="s">
        <v>2378</v>
      </c>
      <c r="L2626" s="49" t="s">
        <v>23</v>
      </c>
      <c r="M2626" s="36">
        <f t="shared" si="33"/>
        <v>45831.59073</v>
      </c>
      <c r="N2626" s="30" t="str">
        <f t="shared" si="34"/>
        <v>Selesai</v>
      </c>
      <c r="O2626" s="45">
        <f t="shared" si="23"/>
        <v>45831.59073</v>
      </c>
      <c r="P2626" s="47" t="b">
        <v>0</v>
      </c>
      <c r="Q2626" s="36" t="str">
        <f t="shared" si="24"/>
        <v/>
      </c>
      <c r="R2626" s="47" t="b">
        <v>0</v>
      </c>
      <c r="S2626" s="42" t="str">
        <f t="shared" si="28"/>
        <v/>
      </c>
      <c r="T2626" s="42"/>
    </row>
    <row r="2627" ht="22.5" customHeight="1">
      <c r="B2627" s="42">
        <f t="shared" si="7"/>
        <v>2621</v>
      </c>
      <c r="C2627" s="31" t="s">
        <v>2697</v>
      </c>
      <c r="D2627" s="34" t="str">
        <f t="array" ref="D2627">IFNA(_xlfn.XLOOKUP(C2627,Table_Tarikan_Warkah[Nomor Sertipikat],Table_Tarikan_Warkah[Nomor Tiket]),"")</f>
        <v>L/24/050625/1</v>
      </c>
      <c r="E2627" s="36">
        <f t="array" ref="E2627">IFNA(_xlfn.XLOOKUP(D2627,Table_Tarikan_Warkah[Nomor Tiket],Table_Tarikan_Warkah[Tanggal diserahkan kepada Validator]),"")</f>
        <v>45846.66444</v>
      </c>
      <c r="F2627" s="36" t="str">
        <f t="array" ref="F2627">IFNA(_xlfn.XLOOKUP(D2627,Table_Tarikan_Warkah[Nomor Tiket],Table_Tarikan_Warkah[Nama Petugas Warkah]),"")</f>
        <v>Berry</v>
      </c>
      <c r="G2627" s="39" t="str">
        <f t="array" ref="G2627">IFNA(_xlfn.XLOOKUP(D2627,Table_Tarikan_Warkah[Nomor Tiket],Table_Tarikan_Warkah[Jenis Permohonan]),"")</f>
        <v>ROYA</v>
      </c>
      <c r="H2627" s="41" t="s">
        <v>2315</v>
      </c>
      <c r="I2627" s="49" t="s">
        <v>23</v>
      </c>
      <c r="J2627" s="36">
        <f t="shared" si="20"/>
        <v>45831.43155</v>
      </c>
      <c r="K2627" s="49" t="s">
        <v>2378</v>
      </c>
      <c r="L2627" s="49" t="s">
        <v>23</v>
      </c>
      <c r="M2627" s="36">
        <f t="shared" si="33"/>
        <v>45831.59033</v>
      </c>
      <c r="N2627" s="30" t="str">
        <f t="shared" si="34"/>
        <v>Selesai</v>
      </c>
      <c r="O2627" s="45">
        <f t="shared" si="23"/>
        <v>45831.59033</v>
      </c>
      <c r="P2627" s="47" t="b">
        <v>0</v>
      </c>
      <c r="Q2627" s="36" t="str">
        <f t="shared" si="24"/>
        <v/>
      </c>
      <c r="R2627" s="47" t="b">
        <v>0</v>
      </c>
      <c r="S2627" s="42" t="str">
        <f t="shared" si="28"/>
        <v/>
      </c>
      <c r="T2627" s="42"/>
    </row>
    <row r="2628" ht="22.5" customHeight="1">
      <c r="B2628" s="42">
        <f t="shared" si="7"/>
        <v>2622</v>
      </c>
      <c r="C2628" s="31" t="s">
        <v>2681</v>
      </c>
      <c r="D2628" s="34" t="str">
        <f t="array" ref="D2628">IFNA(_xlfn.XLOOKUP(C2628,Table_Tarikan_Warkah[Nomor Sertipikat],Table_Tarikan_Warkah[Nomor Tiket]),"")</f>
        <v>L/26/130625/1</v>
      </c>
      <c r="E2628" s="36">
        <f t="array" ref="E2628">IFNA(_xlfn.XLOOKUP(D2628,Table_Tarikan_Warkah[Nomor Tiket],Table_Tarikan_Warkah[Tanggal diserahkan kepada Validator]),"")</f>
        <v>45840.57186</v>
      </c>
      <c r="F2628" s="36" t="str">
        <f t="array" ref="F2628">IFNA(_xlfn.XLOOKUP(D2628,Table_Tarikan_Warkah[Nomor Tiket],Table_Tarikan_Warkah[Nama Petugas Warkah]),"")</f>
        <v>Berry</v>
      </c>
      <c r="G2628" s="39" t="str">
        <f t="array" ref="G2628">IFNA(_xlfn.XLOOKUP(D2628,Table_Tarikan_Warkah[Nomor Tiket],Table_Tarikan_Warkah[Jenis Permohonan]),"")</f>
        <v>PH</v>
      </c>
      <c r="H2628" s="70"/>
      <c r="I2628" s="49"/>
      <c r="J2628" s="36" t="str">
        <f t="shared" si="20"/>
        <v/>
      </c>
      <c r="K2628" s="49" t="s">
        <v>2378</v>
      </c>
      <c r="L2628" s="49" t="s">
        <v>23</v>
      </c>
      <c r="M2628" s="36">
        <f t="shared" si="33"/>
        <v>45831.59216</v>
      </c>
      <c r="N2628" s="30" t="str">
        <f t="shared" si="34"/>
        <v>BT atau SU Belum Valid</v>
      </c>
      <c r="O2628" s="39" t="str">
        <f t="shared" si="23"/>
        <v/>
      </c>
      <c r="P2628" s="47" t="b">
        <v>0</v>
      </c>
      <c r="Q2628" s="36" t="str">
        <f t="shared" si="24"/>
        <v/>
      </c>
      <c r="R2628" s="47" t="b">
        <v>0</v>
      </c>
      <c r="S2628" s="42" t="str">
        <f t="shared" si="28"/>
        <v/>
      </c>
      <c r="T2628" s="42"/>
    </row>
    <row r="2629" ht="22.5" customHeight="1">
      <c r="B2629" s="42">
        <f t="shared" si="7"/>
        <v>2623</v>
      </c>
      <c r="C2629" s="31" t="s">
        <v>2698</v>
      </c>
      <c r="D2629" s="34" t="str">
        <f t="array" ref="D2629">IFNA(_xlfn.XLOOKUP(C2629,Table_Tarikan_Warkah[Nomor Sertipikat],Table_Tarikan_Warkah[Nomor Tiket]),"")</f>
        <v>K/3/280525/1</v>
      </c>
      <c r="E2629" s="36" t="str">
        <f t="array" ref="E2629">IFNA(_xlfn.XLOOKUP(D2629,Table_Tarikan_Warkah[Nomor Tiket],Table_Tarikan_Warkah[Tanggal diserahkan kepada Validator]),"")</f>
        <v/>
      </c>
      <c r="F2629" s="36" t="str">
        <f t="array" ref="F2629">IFNA(_xlfn.XLOOKUP(D2629,Table_Tarikan_Warkah[Nomor Tiket],Table_Tarikan_Warkah[Nama Petugas Warkah]),"")</f>
        <v/>
      </c>
      <c r="G2629" s="39" t="str">
        <f t="array" ref="G2629">IFNA(_xlfn.XLOOKUP(D2629,Table_Tarikan_Warkah[Nomor Tiket],Table_Tarikan_Warkah[Jenis Permohonan]),"")</f>
        <v>JUAL BELI</v>
      </c>
      <c r="H2629" s="41" t="s">
        <v>20</v>
      </c>
      <c r="I2629" s="49" t="s">
        <v>23</v>
      </c>
      <c r="J2629" s="36">
        <f t="shared" si="20"/>
        <v>45832.46962</v>
      </c>
      <c r="K2629" s="49" t="s">
        <v>920</v>
      </c>
      <c r="L2629" s="49" t="s">
        <v>23</v>
      </c>
      <c r="M2629" s="36">
        <f t="shared" si="33"/>
        <v>45832.46966</v>
      </c>
      <c r="N2629" s="30" t="str">
        <f t="shared" si="34"/>
        <v>Selesai</v>
      </c>
      <c r="O2629" s="45">
        <f t="shared" si="23"/>
        <v>45832.46966</v>
      </c>
      <c r="P2629" s="47" t="b">
        <v>1</v>
      </c>
      <c r="Q2629" s="36">
        <f t="shared" si="24"/>
        <v>45832.46969</v>
      </c>
      <c r="R2629" s="47" t="b">
        <v>0</v>
      </c>
      <c r="S2629" s="42" t="str">
        <f t="shared" si="28"/>
        <v/>
      </c>
      <c r="T2629" s="42"/>
    </row>
    <row r="2630" ht="22.5" customHeight="1">
      <c r="B2630" s="42">
        <f t="shared" si="7"/>
        <v>2624</v>
      </c>
      <c r="C2630" s="31" t="s">
        <v>2699</v>
      </c>
      <c r="D2630" s="34" t="str">
        <f t="array" ref="D2630">IFNA(_xlfn.XLOOKUP(C2630,Table_Tarikan_Warkah[Nomor Sertipikat],Table_Tarikan_Warkah[Nomor Tiket]),"")</f>
        <v>K/45/120625/1</v>
      </c>
      <c r="E2630" s="36">
        <f t="array" ref="E2630">IFNA(_xlfn.XLOOKUP(D2630,Table_Tarikan_Warkah[Nomor Tiket],Table_Tarikan_Warkah[Tanggal diserahkan kepada Validator]),"")</f>
        <v>45842.60791</v>
      </c>
      <c r="F2630" s="36" t="str">
        <f t="array" ref="F2630">IFNA(_xlfn.XLOOKUP(D2630,Table_Tarikan_Warkah[Nomor Tiket],Table_Tarikan_Warkah[Nama Petugas Warkah]),"")</f>
        <v>David</v>
      </c>
      <c r="G2630" s="39" t="str">
        <f t="array" ref="G2630">IFNA(_xlfn.XLOOKUP(D2630,Table_Tarikan_Warkah[Nomor Tiket],Table_Tarikan_Warkah[Jenis Permohonan]),"")</f>
        <v>ROYA</v>
      </c>
      <c r="H2630" s="41" t="s">
        <v>20</v>
      </c>
      <c r="I2630" s="49" t="s">
        <v>23</v>
      </c>
      <c r="J2630" s="36">
        <f t="shared" si="20"/>
        <v>45832.47869</v>
      </c>
      <c r="K2630" s="49" t="s">
        <v>2378</v>
      </c>
      <c r="L2630" s="49" t="s">
        <v>23</v>
      </c>
      <c r="M2630" s="36">
        <f t="shared" si="33"/>
        <v>45832.63981</v>
      </c>
      <c r="N2630" s="30" t="str">
        <f t="shared" si="34"/>
        <v>Selesai</v>
      </c>
      <c r="O2630" s="45">
        <f t="shared" si="23"/>
        <v>45832.63981</v>
      </c>
      <c r="P2630" s="47" t="b">
        <v>0</v>
      </c>
      <c r="Q2630" s="36" t="str">
        <f t="shared" si="24"/>
        <v/>
      </c>
      <c r="R2630" s="47" t="b">
        <v>0</v>
      </c>
      <c r="S2630" s="42" t="str">
        <f t="shared" si="28"/>
        <v/>
      </c>
      <c r="T2630" s="42"/>
    </row>
    <row r="2631" ht="22.5" customHeight="1">
      <c r="B2631" s="42">
        <f t="shared" si="7"/>
        <v>2625</v>
      </c>
      <c r="C2631" s="31" t="s">
        <v>2700</v>
      </c>
      <c r="D2631" s="34" t="str">
        <f t="array" ref="D2631">IFNA(_xlfn.XLOOKUP(C2631,Table_Tarikan_Warkah[Nomor Sertipikat],Table_Tarikan_Warkah[Nomor Tiket]),"")</f>
        <v>K/31/170625/1</v>
      </c>
      <c r="E2631" s="36">
        <f t="array" ref="E2631">IFNA(_xlfn.XLOOKUP(D2631,Table_Tarikan_Warkah[Nomor Tiket],Table_Tarikan_Warkah[Tanggal diserahkan kepada Validator]),"")</f>
        <v>45838.65076</v>
      </c>
      <c r="F2631" s="36" t="str">
        <f t="array" ref="F2631">IFNA(_xlfn.XLOOKUP(D2631,Table_Tarikan_Warkah[Nomor Tiket],Table_Tarikan_Warkah[Nama Petugas Warkah]),"")</f>
        <v>Berry</v>
      </c>
      <c r="G2631" s="39" t="str">
        <f t="array" ref="G2631">IFNA(_xlfn.XLOOKUP(D2631,Table_Tarikan_Warkah[Nomor Tiket],Table_Tarikan_Warkah[Jenis Permohonan]),"")</f>
        <v>BN Jual Beli</v>
      </c>
      <c r="H2631" s="41" t="s">
        <v>20</v>
      </c>
      <c r="I2631" s="49" t="s">
        <v>23</v>
      </c>
      <c r="J2631" s="36">
        <f t="shared" si="20"/>
        <v>45832.47877</v>
      </c>
      <c r="K2631" s="49" t="s">
        <v>2378</v>
      </c>
      <c r="L2631" s="49" t="s">
        <v>23</v>
      </c>
      <c r="M2631" s="36">
        <f t="shared" si="33"/>
        <v>45833.49941</v>
      </c>
      <c r="N2631" s="30" t="str">
        <f t="shared" si="34"/>
        <v>Selesai</v>
      </c>
      <c r="O2631" s="45">
        <f t="shared" si="23"/>
        <v>45833.49941</v>
      </c>
      <c r="P2631" s="47" t="b">
        <v>0</v>
      </c>
      <c r="Q2631" s="36" t="str">
        <f t="shared" si="24"/>
        <v/>
      </c>
      <c r="R2631" s="47" t="b">
        <v>0</v>
      </c>
      <c r="S2631" s="42" t="str">
        <f t="shared" si="28"/>
        <v/>
      </c>
      <c r="T2631" s="42"/>
    </row>
    <row r="2632" ht="22.5" customHeight="1">
      <c r="B2632" s="42">
        <f t="shared" si="7"/>
        <v>2626</v>
      </c>
      <c r="C2632" s="31" t="s">
        <v>2701</v>
      </c>
      <c r="D2632" s="34" t="str">
        <f t="array" ref="D2632">IFNA(_xlfn.XLOOKUP(C2632,Table_Tarikan_Warkah[Nomor Sertipikat],Table_Tarikan_Warkah[Nomor Tiket]),"")</f>
        <v>K/6/130625/1</v>
      </c>
      <c r="E2632" s="36">
        <f t="array" ref="E2632">IFNA(_xlfn.XLOOKUP(D2632,Table_Tarikan_Warkah[Nomor Tiket],Table_Tarikan_Warkah[Tanggal diserahkan kepada Validator]),"")</f>
        <v>45854.57729</v>
      </c>
      <c r="F2632" s="36" t="str">
        <f t="array" ref="F2632">IFNA(_xlfn.XLOOKUP(D2632,Table_Tarikan_Warkah[Nomor Tiket],Table_Tarikan_Warkah[Nama Petugas Warkah]),"")</f>
        <v>Berry</v>
      </c>
      <c r="G2632" s="39" t="str">
        <f t="array" ref="G2632">IFNA(_xlfn.XLOOKUP(D2632,Table_Tarikan_Warkah[Nomor Tiket],Table_Tarikan_Warkah[Jenis Permohonan]),"")</f>
        <v>ROYA</v>
      </c>
      <c r="H2632" s="41" t="s">
        <v>20</v>
      </c>
      <c r="I2632" s="49" t="s">
        <v>23</v>
      </c>
      <c r="J2632" s="36">
        <f t="shared" si="20"/>
        <v>45832.47892</v>
      </c>
      <c r="K2632" s="49" t="s">
        <v>2378</v>
      </c>
      <c r="L2632" s="49" t="s">
        <v>23</v>
      </c>
      <c r="M2632" s="36">
        <f t="shared" si="33"/>
        <v>45832.64035</v>
      </c>
      <c r="N2632" s="30" t="str">
        <f t="shared" si="34"/>
        <v>Selesai</v>
      </c>
      <c r="O2632" s="45">
        <f t="shared" si="23"/>
        <v>45832.64035</v>
      </c>
      <c r="P2632" s="47" t="b">
        <v>0</v>
      </c>
      <c r="Q2632" s="36" t="str">
        <f t="shared" si="24"/>
        <v/>
      </c>
      <c r="R2632" s="47" t="b">
        <v>0</v>
      </c>
      <c r="S2632" s="42" t="str">
        <f t="shared" si="28"/>
        <v/>
      </c>
      <c r="T2632" s="42"/>
    </row>
    <row r="2633" ht="22.5" customHeight="1">
      <c r="B2633" s="42">
        <f t="shared" si="7"/>
        <v>2627</v>
      </c>
      <c r="C2633" s="31" t="s">
        <v>2702</v>
      </c>
      <c r="D2633" s="34" t="str">
        <f t="array" ref="D2633">IFNA(_xlfn.XLOOKUP(C2633,Table_Tarikan_Warkah[Nomor Sertipikat],Table_Tarikan_Warkah[Nomor Tiket]),"")</f>
        <v>K/6/060525/1</v>
      </c>
      <c r="E2633" s="36">
        <f t="array" ref="E2633">IFNA(_xlfn.XLOOKUP(D2633,Table_Tarikan_Warkah[Nomor Tiket],Table_Tarikan_Warkah[Tanggal diserahkan kepada Validator]),"")</f>
        <v>45838.65654</v>
      </c>
      <c r="F2633" s="36" t="str">
        <f t="array" ref="F2633">IFNA(_xlfn.XLOOKUP(D2633,Table_Tarikan_Warkah[Nomor Tiket],Table_Tarikan_Warkah[Nama Petugas Warkah]),"")</f>
        <v>Berry</v>
      </c>
      <c r="G2633" s="39" t="str">
        <f t="array" ref="G2633">IFNA(_xlfn.XLOOKUP(D2633,Table_Tarikan_Warkah[Nomor Tiket],Table_Tarikan_Warkah[Jenis Permohonan]),"")</f>
        <v>BN JUAL BELI</v>
      </c>
      <c r="H2633" s="41" t="s">
        <v>20</v>
      </c>
      <c r="I2633" s="49" t="s">
        <v>23</v>
      </c>
      <c r="J2633" s="36">
        <f t="shared" si="20"/>
        <v>45832.47896</v>
      </c>
      <c r="K2633" s="49" t="s">
        <v>2378</v>
      </c>
      <c r="L2633" s="49" t="s">
        <v>23</v>
      </c>
      <c r="M2633" s="36">
        <f t="shared" si="33"/>
        <v>45832.64026</v>
      </c>
      <c r="N2633" s="30" t="str">
        <f t="shared" si="34"/>
        <v>Selesai</v>
      </c>
      <c r="O2633" s="45">
        <f t="shared" si="23"/>
        <v>45832.64026</v>
      </c>
      <c r="P2633" s="47" t="b">
        <v>0</v>
      </c>
      <c r="Q2633" s="36" t="str">
        <f t="shared" si="24"/>
        <v/>
      </c>
      <c r="R2633" s="47" t="b">
        <v>0</v>
      </c>
      <c r="S2633" s="42" t="str">
        <f t="shared" si="28"/>
        <v/>
      </c>
      <c r="T2633" s="42"/>
    </row>
    <row r="2634" ht="22.5" customHeight="1">
      <c r="B2634" s="42">
        <f t="shared" si="7"/>
        <v>2628</v>
      </c>
      <c r="C2634" s="31" t="s">
        <v>2703</v>
      </c>
      <c r="D2634" s="34" t="str">
        <f t="array" ref="D2634">IFNA(_xlfn.XLOOKUP(C2634,Table_Tarikan_Warkah[Nomor Sertipikat],Table_Tarikan_Warkah[Nomor Tiket]),"")</f>
        <v>K/25/280525/2</v>
      </c>
      <c r="E2634" s="36">
        <f t="array" ref="E2634">IFNA(_xlfn.XLOOKUP(D2634,Table_Tarikan_Warkah[Nomor Tiket],Table_Tarikan_Warkah[Tanggal diserahkan kepada Validator]),"")</f>
        <v>45838.68054</v>
      </c>
      <c r="F2634" s="36" t="str">
        <f t="array" ref="F2634">IFNA(_xlfn.XLOOKUP(D2634,Table_Tarikan_Warkah[Nomor Tiket],Table_Tarikan_Warkah[Nama Petugas Warkah]),"")</f>
        <v>Berry</v>
      </c>
      <c r="G2634" s="39" t="str">
        <f t="array" ref="G2634">IFNA(_xlfn.XLOOKUP(D2634,Table_Tarikan_Warkah[Nomor Tiket],Table_Tarikan_Warkah[Jenis Permohonan]),"")</f>
        <v>BN Waris</v>
      </c>
      <c r="H2634" s="41" t="s">
        <v>20</v>
      </c>
      <c r="I2634" s="49" t="s">
        <v>23</v>
      </c>
      <c r="J2634" s="36">
        <f t="shared" si="20"/>
        <v>45832.47906</v>
      </c>
      <c r="K2634" s="49" t="s">
        <v>2378</v>
      </c>
      <c r="L2634" s="49" t="s">
        <v>23</v>
      </c>
      <c r="M2634" s="36">
        <f t="shared" si="33"/>
        <v>45832.6394</v>
      </c>
      <c r="N2634" s="30" t="str">
        <f t="shared" si="34"/>
        <v>Selesai</v>
      </c>
      <c r="O2634" s="45">
        <f t="shared" si="23"/>
        <v>45832.6394</v>
      </c>
      <c r="P2634" s="47" t="b">
        <v>0</v>
      </c>
      <c r="Q2634" s="36" t="str">
        <f t="shared" si="24"/>
        <v/>
      </c>
      <c r="R2634" s="47" t="b">
        <v>0</v>
      </c>
      <c r="S2634" s="42" t="str">
        <f t="shared" si="28"/>
        <v/>
      </c>
      <c r="T2634" s="42"/>
    </row>
    <row r="2635" ht="22.5" customHeight="1">
      <c r="B2635" s="42">
        <f t="shared" si="7"/>
        <v>2629</v>
      </c>
      <c r="C2635" s="31" t="s">
        <v>2704</v>
      </c>
      <c r="D2635" s="34" t="str">
        <f t="array" ref="D2635">IFNA(_xlfn.XLOOKUP(C2635,Table_Tarikan_Warkah[Nomor Sertipikat],Table_Tarikan_Warkah[Nomor Tiket]),"")</f>
        <v>K/14/130625/1</v>
      </c>
      <c r="E2635" s="36">
        <f t="array" ref="E2635">IFNA(_xlfn.XLOOKUP(D2635,Table_Tarikan_Warkah[Nomor Tiket],Table_Tarikan_Warkah[Tanggal diserahkan kepada Validator]),"")</f>
        <v>45849.46604</v>
      </c>
      <c r="F2635" s="36" t="str">
        <f t="array" ref="F2635">IFNA(_xlfn.XLOOKUP(D2635,Table_Tarikan_Warkah[Nomor Tiket],Table_Tarikan_Warkah[Nama Petugas Warkah]),"")</f>
        <v>David</v>
      </c>
      <c r="G2635" s="39" t="str">
        <f t="array" ref="G2635">IFNA(_xlfn.XLOOKUP(D2635,Table_Tarikan_Warkah[Nomor Tiket],Table_Tarikan_Warkah[Jenis Permohonan]),"")</f>
        <v>Roya</v>
      </c>
      <c r="H2635" s="41" t="s">
        <v>20</v>
      </c>
      <c r="I2635" s="49" t="s">
        <v>23</v>
      </c>
      <c r="J2635" s="36">
        <f t="shared" si="20"/>
        <v>45832.4792</v>
      </c>
      <c r="K2635" s="49" t="s">
        <v>2378</v>
      </c>
      <c r="L2635" s="49" t="s">
        <v>23</v>
      </c>
      <c r="M2635" s="36">
        <f t="shared" si="33"/>
        <v>45832.64015</v>
      </c>
      <c r="N2635" s="30" t="str">
        <f t="shared" si="34"/>
        <v>Selesai</v>
      </c>
      <c r="O2635" s="45">
        <f t="shared" si="23"/>
        <v>45832.64015</v>
      </c>
      <c r="P2635" s="47" t="b">
        <v>0</v>
      </c>
      <c r="Q2635" s="36" t="str">
        <f t="shared" si="24"/>
        <v/>
      </c>
      <c r="R2635" s="47" t="b">
        <v>0</v>
      </c>
      <c r="S2635" s="42" t="str">
        <f t="shared" si="28"/>
        <v/>
      </c>
      <c r="T2635" s="42"/>
    </row>
    <row r="2636" ht="22.5" customHeight="1">
      <c r="B2636" s="42">
        <f t="shared" si="7"/>
        <v>2630</v>
      </c>
      <c r="C2636" s="31" t="s">
        <v>2705</v>
      </c>
      <c r="D2636" s="34" t="str">
        <f t="array" ref="D2636">IFNA(_xlfn.XLOOKUP(C2636,Table_Tarikan_Warkah[Nomor Sertipikat],Table_Tarikan_Warkah[Nomor Tiket]),"")</f>
        <v>K/40/230525/1</v>
      </c>
      <c r="E2636" s="36">
        <f t="array" ref="E2636">IFNA(_xlfn.XLOOKUP(D2636,Table_Tarikan_Warkah[Nomor Tiket],Table_Tarikan_Warkah[Tanggal diserahkan kepada Validator]),"")</f>
        <v>45834.4372</v>
      </c>
      <c r="F2636" s="36" t="str">
        <f t="array" ref="F2636">IFNA(_xlfn.XLOOKUP(D2636,Table_Tarikan_Warkah[Nomor Tiket],Table_Tarikan_Warkah[Nama Petugas Warkah]),"")</f>
        <v>Berry</v>
      </c>
      <c r="G2636" s="39" t="str">
        <f t="array" ref="G2636">IFNA(_xlfn.XLOOKUP(D2636,Table_Tarikan_Warkah[Nomor Tiket],Table_Tarikan_Warkah[Jenis Permohonan]),"")</f>
        <v>BN WARIS</v>
      </c>
      <c r="H2636" s="41" t="s">
        <v>20</v>
      </c>
      <c r="I2636" s="49" t="s">
        <v>23</v>
      </c>
      <c r="J2636" s="36">
        <f t="shared" si="20"/>
        <v>45832.47933</v>
      </c>
      <c r="K2636" s="49" t="s">
        <v>2378</v>
      </c>
      <c r="L2636" s="49" t="s">
        <v>23</v>
      </c>
      <c r="M2636" s="36">
        <f t="shared" si="33"/>
        <v>45832.64095</v>
      </c>
      <c r="N2636" s="30" t="str">
        <f t="shared" si="34"/>
        <v>Selesai</v>
      </c>
      <c r="O2636" s="45">
        <f t="shared" si="23"/>
        <v>45832.64095</v>
      </c>
      <c r="P2636" s="47" t="b">
        <v>0</v>
      </c>
      <c r="Q2636" s="36" t="str">
        <f t="shared" si="24"/>
        <v/>
      </c>
      <c r="R2636" s="47" t="b">
        <v>0</v>
      </c>
      <c r="S2636" s="42" t="str">
        <f t="shared" si="28"/>
        <v/>
      </c>
      <c r="T2636" s="42"/>
    </row>
    <row r="2637" ht="22.5" customHeight="1">
      <c r="B2637" s="42">
        <f t="shared" si="7"/>
        <v>2631</v>
      </c>
      <c r="C2637" s="31" t="s">
        <v>2706</v>
      </c>
      <c r="D2637" s="34" t="str">
        <f t="array" ref="D2637">IFNA(_xlfn.XLOOKUP(C2637,Table_Tarikan_Warkah[Nomor Sertipikat],Table_Tarikan_Warkah[Nomor Tiket]),"")</f>
        <v>K/26/280425/1</v>
      </c>
      <c r="E2637" s="36">
        <f t="array" ref="E2637">IFNA(_xlfn.XLOOKUP(D2637,Table_Tarikan_Warkah[Nomor Tiket],Table_Tarikan_Warkah[Tanggal diserahkan kepada Validator]),"")</f>
        <v>45841.51646</v>
      </c>
      <c r="F2637" s="36" t="str">
        <f t="array" ref="F2637">IFNA(_xlfn.XLOOKUP(D2637,Table_Tarikan_Warkah[Nomor Tiket],Table_Tarikan_Warkah[Nama Petugas Warkah]),"")</f>
        <v>Berry</v>
      </c>
      <c r="G2637" s="39" t="str">
        <f t="array" ref="G2637">IFNA(_xlfn.XLOOKUP(D2637,Table_Tarikan_Warkah[Nomor Tiket],Table_Tarikan_Warkah[Jenis Permohonan]),"")</f>
        <v>BN JUAL BELI</v>
      </c>
      <c r="H2637" s="41" t="s">
        <v>20</v>
      </c>
      <c r="I2637" s="49" t="s">
        <v>23</v>
      </c>
      <c r="J2637" s="36">
        <f t="shared" si="20"/>
        <v>45832.47945</v>
      </c>
      <c r="K2637" s="49" t="s">
        <v>2378</v>
      </c>
      <c r="L2637" s="49" t="s">
        <v>23</v>
      </c>
      <c r="M2637" s="36">
        <f t="shared" si="33"/>
        <v>45833.49991</v>
      </c>
      <c r="N2637" s="30" t="str">
        <f t="shared" si="34"/>
        <v>Selesai</v>
      </c>
      <c r="O2637" s="45">
        <f t="shared" si="23"/>
        <v>45833.49991</v>
      </c>
      <c r="P2637" s="47" t="b">
        <v>0</v>
      </c>
      <c r="Q2637" s="36" t="str">
        <f t="shared" si="24"/>
        <v/>
      </c>
      <c r="R2637" s="47" t="b">
        <v>0</v>
      </c>
      <c r="S2637" s="42" t="str">
        <f t="shared" si="28"/>
        <v/>
      </c>
      <c r="T2637" s="42"/>
    </row>
    <row r="2638" ht="22.5" customHeight="1">
      <c r="B2638" s="42">
        <f t="shared" si="7"/>
        <v>2632</v>
      </c>
      <c r="C2638" s="31" t="s">
        <v>2707</v>
      </c>
      <c r="D2638" s="34" t="str">
        <f t="array" ref="D2638">IFNA(_xlfn.XLOOKUP(C2638,Table_Tarikan_Warkah[Nomor Sertipikat],Table_Tarikan_Warkah[Nomor Tiket]),"")</f>
        <v>K/3/200525/1</v>
      </c>
      <c r="E2638" s="36">
        <f t="array" ref="E2638">IFNA(_xlfn.XLOOKUP(D2638,Table_Tarikan_Warkah[Nomor Tiket],Table_Tarikan_Warkah[Tanggal diserahkan kepada Validator]),"")</f>
        <v>45838.68155</v>
      </c>
      <c r="F2638" s="36" t="str">
        <f t="array" ref="F2638">IFNA(_xlfn.XLOOKUP(D2638,Table_Tarikan_Warkah[Nomor Tiket],Table_Tarikan_Warkah[Nama Petugas Warkah]),"")</f>
        <v>Berry</v>
      </c>
      <c r="G2638" s="39" t="str">
        <f t="array" ref="G2638">IFNA(_xlfn.XLOOKUP(D2638,Table_Tarikan_Warkah[Nomor Tiket],Table_Tarikan_Warkah[Jenis Permohonan]),"")</f>
        <v>BN Jual Beli</v>
      </c>
      <c r="H2638" s="41" t="s">
        <v>20</v>
      </c>
      <c r="I2638" s="49" t="s">
        <v>23</v>
      </c>
      <c r="J2638" s="36">
        <f t="shared" si="20"/>
        <v>45832.47953</v>
      </c>
      <c r="K2638" s="49" t="s">
        <v>2378</v>
      </c>
      <c r="L2638" s="49" t="s">
        <v>23</v>
      </c>
      <c r="M2638" s="36">
        <f t="shared" si="33"/>
        <v>45832.63995</v>
      </c>
      <c r="N2638" s="30" t="str">
        <f t="shared" si="34"/>
        <v>Selesai</v>
      </c>
      <c r="O2638" s="45">
        <f t="shared" si="23"/>
        <v>45832.63995</v>
      </c>
      <c r="P2638" s="47" t="b">
        <v>0</v>
      </c>
      <c r="Q2638" s="36" t="str">
        <f t="shared" si="24"/>
        <v/>
      </c>
      <c r="R2638" s="47" t="b">
        <v>0</v>
      </c>
      <c r="S2638" s="42" t="str">
        <f t="shared" si="28"/>
        <v/>
      </c>
      <c r="T2638" s="42"/>
    </row>
    <row r="2639" ht="22.5" customHeight="1">
      <c r="B2639" s="42">
        <f t="shared" si="7"/>
        <v>2633</v>
      </c>
      <c r="C2639" s="31" t="s">
        <v>2708</v>
      </c>
      <c r="D2639" s="34" t="str">
        <f t="array" ref="D2639">IFNA(_xlfn.XLOOKUP(C2639,Table_Tarikan_Warkah[Nomor Sertipikat],Table_Tarikan_Warkah[Nomor Tiket]),"")</f>
        <v>K/30/270525/1</v>
      </c>
      <c r="E2639" s="36">
        <f t="array" ref="E2639">IFNA(_xlfn.XLOOKUP(D2639,Table_Tarikan_Warkah[Nomor Tiket],Table_Tarikan_Warkah[Tanggal diserahkan kepada Validator]),"")</f>
        <v>45838.66333</v>
      </c>
      <c r="F2639" s="36" t="str">
        <f t="array" ref="F2639">IFNA(_xlfn.XLOOKUP(D2639,Table_Tarikan_Warkah[Nomor Tiket],Table_Tarikan_Warkah[Nama Petugas Warkah]),"")</f>
        <v>Berry</v>
      </c>
      <c r="G2639" s="39" t="str">
        <f t="array" ref="G2639">IFNA(_xlfn.XLOOKUP(D2639,Table_Tarikan_Warkah[Nomor Tiket],Table_Tarikan_Warkah[Jenis Permohonan]),"")</f>
        <v>BN Jual Beli</v>
      </c>
      <c r="H2639" s="41" t="s">
        <v>20</v>
      </c>
      <c r="I2639" s="49" t="s">
        <v>23</v>
      </c>
      <c r="J2639" s="36">
        <f t="shared" si="20"/>
        <v>45832.47962</v>
      </c>
      <c r="K2639" s="49" t="s">
        <v>2378</v>
      </c>
      <c r="L2639" s="49" t="s">
        <v>23</v>
      </c>
      <c r="M2639" s="36">
        <f t="shared" si="33"/>
        <v>45832.64008</v>
      </c>
      <c r="N2639" s="30" t="str">
        <f t="shared" si="34"/>
        <v>Selesai</v>
      </c>
      <c r="O2639" s="45">
        <f t="shared" si="23"/>
        <v>45832.64008</v>
      </c>
      <c r="P2639" s="47" t="b">
        <v>0</v>
      </c>
      <c r="Q2639" s="36" t="str">
        <f t="shared" si="24"/>
        <v/>
      </c>
      <c r="R2639" s="47" t="b">
        <v>0</v>
      </c>
      <c r="S2639" s="42" t="str">
        <f t="shared" si="28"/>
        <v/>
      </c>
      <c r="T2639" s="42"/>
    </row>
    <row r="2640" ht="22.5" customHeight="1">
      <c r="B2640" s="42">
        <f t="shared" si="7"/>
        <v>2634</v>
      </c>
      <c r="C2640" s="31" t="s">
        <v>2709</v>
      </c>
      <c r="D2640" s="34" t="str">
        <f t="array" ref="D2640">IFNA(_xlfn.XLOOKUP(C2640,Table_Tarikan_Warkah[Nomor Sertipikat],Table_Tarikan_Warkah[Nomor Tiket]),"")</f>
        <v>K/41/210525/1</v>
      </c>
      <c r="E2640" s="36">
        <f t="array" ref="E2640">IFNA(_xlfn.XLOOKUP(D2640,Table_Tarikan_Warkah[Nomor Tiket],Table_Tarikan_Warkah[Tanggal diserahkan kepada Validator]),"")</f>
        <v>45853.72387</v>
      </c>
      <c r="F2640" s="36" t="str">
        <f t="array" ref="F2640">IFNA(_xlfn.XLOOKUP(D2640,Table_Tarikan_Warkah[Nomor Tiket],Table_Tarikan_Warkah[Nama Petugas Warkah]),"")</f>
        <v>Berry</v>
      </c>
      <c r="G2640" s="39" t="str">
        <f t="array" ref="G2640">IFNA(_xlfn.XLOOKUP(D2640,Table_Tarikan_Warkah[Nomor Tiket],Table_Tarikan_Warkah[Jenis Permohonan]),"")</f>
        <v>Ganti Nama HT</v>
      </c>
      <c r="H2640" s="41" t="s">
        <v>20</v>
      </c>
      <c r="I2640" s="49" t="s">
        <v>23</v>
      </c>
      <c r="J2640" s="36">
        <f t="shared" si="20"/>
        <v>45832.4797</v>
      </c>
      <c r="K2640" s="49" t="s">
        <v>2378</v>
      </c>
      <c r="L2640" s="49" t="s">
        <v>23</v>
      </c>
      <c r="M2640" s="36">
        <f t="shared" si="33"/>
        <v>45832.63963</v>
      </c>
      <c r="N2640" s="30" t="str">
        <f t="shared" si="34"/>
        <v>Selesai</v>
      </c>
      <c r="O2640" s="45">
        <f t="shared" si="23"/>
        <v>45832.63963</v>
      </c>
      <c r="P2640" s="47" t="b">
        <v>0</v>
      </c>
      <c r="Q2640" s="36" t="str">
        <f t="shared" si="24"/>
        <v/>
      </c>
      <c r="R2640" s="47" t="b">
        <v>0</v>
      </c>
      <c r="S2640" s="42" t="str">
        <f t="shared" si="28"/>
        <v/>
      </c>
      <c r="T2640" s="42"/>
    </row>
    <row r="2641" ht="22.5" customHeight="1">
      <c r="B2641" s="42">
        <f t="shared" si="7"/>
        <v>2635</v>
      </c>
      <c r="C2641" s="31" t="s">
        <v>2710</v>
      </c>
      <c r="D2641" s="34" t="str">
        <f t="array" ref="D2641">IFNA(_xlfn.XLOOKUP(C2641,Table_Tarikan_Warkah[Nomor Sertipikat],Table_Tarikan_Warkah[Nomor Tiket]),"")</f>
        <v>K/15/130625/1</v>
      </c>
      <c r="E2641" s="36">
        <f t="array" ref="E2641">IFNA(_xlfn.XLOOKUP(D2641,Table_Tarikan_Warkah[Nomor Tiket],Table_Tarikan_Warkah[Tanggal diserahkan kepada Validator]),"")</f>
        <v>45834.45526</v>
      </c>
      <c r="F2641" s="36" t="str">
        <f t="array" ref="F2641">IFNA(_xlfn.XLOOKUP(D2641,Table_Tarikan_Warkah[Nomor Tiket],Table_Tarikan_Warkah[Nama Petugas Warkah]),"")</f>
        <v>Berry</v>
      </c>
      <c r="G2641" s="39" t="str">
        <f t="array" ref="G2641">IFNA(_xlfn.XLOOKUP(D2641,Table_Tarikan_Warkah[Nomor Tiket],Table_Tarikan_Warkah[Jenis Permohonan]),"")</f>
        <v>BN JUAL BELI</v>
      </c>
      <c r="H2641" s="41" t="s">
        <v>20</v>
      </c>
      <c r="I2641" s="49" t="s">
        <v>23</v>
      </c>
      <c r="J2641" s="36">
        <f t="shared" si="20"/>
        <v>45832.47989</v>
      </c>
      <c r="K2641" s="49" t="s">
        <v>2378</v>
      </c>
      <c r="L2641" s="49" t="s">
        <v>23</v>
      </c>
      <c r="M2641" s="36">
        <f t="shared" si="33"/>
        <v>45832.63987</v>
      </c>
      <c r="N2641" s="30" t="str">
        <f t="shared" si="34"/>
        <v>Selesai</v>
      </c>
      <c r="O2641" s="45">
        <f t="shared" si="23"/>
        <v>45832.63987</v>
      </c>
      <c r="P2641" s="47" t="b">
        <v>0</v>
      </c>
      <c r="Q2641" s="36" t="str">
        <f t="shared" si="24"/>
        <v/>
      </c>
      <c r="R2641" s="47" t="b">
        <v>0</v>
      </c>
      <c r="S2641" s="42" t="str">
        <f t="shared" si="28"/>
        <v/>
      </c>
      <c r="T2641" s="42"/>
    </row>
    <row r="2642" ht="22.5" customHeight="1">
      <c r="B2642" s="42">
        <f t="shared" si="7"/>
        <v>2636</v>
      </c>
      <c r="C2642" s="31" t="s">
        <v>2711</v>
      </c>
      <c r="D2642" s="34" t="str">
        <f t="array" ref="D2642">IFNA(_xlfn.XLOOKUP(C2642,Table_Tarikan_Warkah[Nomor Sertipikat],Table_Tarikan_Warkah[Nomor Tiket]),"")</f>
        <v>K/32/170625/1</v>
      </c>
      <c r="E2642" s="36">
        <f t="array" ref="E2642">IFNA(_xlfn.XLOOKUP(D2642,Table_Tarikan_Warkah[Nomor Tiket],Table_Tarikan_Warkah[Tanggal diserahkan kepada Validator]),"")</f>
        <v>45842.60812</v>
      </c>
      <c r="F2642" s="36" t="str">
        <f t="array" ref="F2642">IFNA(_xlfn.XLOOKUP(D2642,Table_Tarikan_Warkah[Nomor Tiket],Table_Tarikan_Warkah[Nama Petugas Warkah]),"")</f>
        <v>David</v>
      </c>
      <c r="G2642" s="39" t="str">
        <f t="array" ref="G2642">IFNA(_xlfn.XLOOKUP(D2642,Table_Tarikan_Warkah[Nomor Tiket],Table_Tarikan_Warkah[Jenis Permohonan]),"")</f>
        <v>ROYA</v>
      </c>
      <c r="H2642" s="41" t="s">
        <v>2315</v>
      </c>
      <c r="I2642" s="49" t="s">
        <v>23</v>
      </c>
      <c r="J2642" s="36">
        <f t="shared" si="20"/>
        <v>45832.5985</v>
      </c>
      <c r="K2642" s="49" t="s">
        <v>2378</v>
      </c>
      <c r="L2642" s="49" t="s">
        <v>23</v>
      </c>
      <c r="M2642" s="36">
        <f t="shared" si="33"/>
        <v>45833.49666</v>
      </c>
      <c r="N2642" s="30" t="str">
        <f t="shared" si="34"/>
        <v>Selesai</v>
      </c>
      <c r="O2642" s="45">
        <f t="shared" si="23"/>
        <v>45833.49666</v>
      </c>
      <c r="P2642" s="47" t="b">
        <v>0</v>
      </c>
      <c r="Q2642" s="36" t="str">
        <f t="shared" si="24"/>
        <v/>
      </c>
      <c r="R2642" s="47" t="b">
        <v>0</v>
      </c>
      <c r="S2642" s="42" t="str">
        <f t="shared" si="28"/>
        <v/>
      </c>
      <c r="T2642" s="42"/>
    </row>
    <row r="2643" ht="22.5" customHeight="1">
      <c r="B2643" s="42">
        <f t="shared" si="7"/>
        <v>2637</v>
      </c>
      <c r="C2643" s="31" t="s">
        <v>2712</v>
      </c>
      <c r="D2643" s="34" t="str">
        <f t="array" ref="D2643">IFNA(_xlfn.XLOOKUP(C2643,Table_Tarikan_Warkah[Nomor Sertipikat],Table_Tarikan_Warkah[Nomor Tiket]),"")</f>
        <v>K/20/170625/1</v>
      </c>
      <c r="E2643" s="36">
        <f t="array" ref="E2643">IFNA(_xlfn.XLOOKUP(D2643,Table_Tarikan_Warkah[Nomor Tiket],Table_Tarikan_Warkah[Tanggal diserahkan kepada Validator]),"")</f>
        <v>45842.5864</v>
      </c>
      <c r="F2643" s="36" t="str">
        <f t="array" ref="F2643">IFNA(_xlfn.XLOOKUP(D2643,Table_Tarikan_Warkah[Nomor Tiket],Table_Tarikan_Warkah[Nama Petugas Warkah]),"")</f>
        <v>Berry</v>
      </c>
      <c r="G2643" s="39" t="str">
        <f t="array" ref="G2643">IFNA(_xlfn.XLOOKUP(D2643,Table_Tarikan_Warkah[Nomor Tiket],Table_Tarikan_Warkah[Jenis Permohonan]),"")</f>
        <v>BN JUAL BELI</v>
      </c>
      <c r="H2643" s="41" t="s">
        <v>2315</v>
      </c>
      <c r="I2643" s="49" t="s">
        <v>23</v>
      </c>
      <c r="J2643" s="36">
        <f t="shared" si="20"/>
        <v>45832.59866</v>
      </c>
      <c r="K2643" s="49" t="s">
        <v>2378</v>
      </c>
      <c r="L2643" s="49" t="s">
        <v>23</v>
      </c>
      <c r="M2643" s="36">
        <f t="shared" si="33"/>
        <v>45833.50012</v>
      </c>
      <c r="N2643" s="30" t="str">
        <f t="shared" si="34"/>
        <v>Selesai</v>
      </c>
      <c r="O2643" s="45">
        <f t="shared" si="23"/>
        <v>45833.50012</v>
      </c>
      <c r="P2643" s="47" t="b">
        <v>0</v>
      </c>
      <c r="Q2643" s="36" t="str">
        <f t="shared" si="24"/>
        <v/>
      </c>
      <c r="R2643" s="47" t="b">
        <v>0</v>
      </c>
      <c r="S2643" s="42" t="str">
        <f t="shared" si="28"/>
        <v/>
      </c>
      <c r="T2643" s="42"/>
    </row>
    <row r="2644" ht="22.5" customHeight="1">
      <c r="B2644" s="42">
        <f t="shared" si="7"/>
        <v>2638</v>
      </c>
      <c r="C2644" s="31" t="s">
        <v>2713</v>
      </c>
      <c r="D2644" s="34" t="str">
        <f t="array" ref="D2644">IFNA(_xlfn.XLOOKUP(C2644,Table_Tarikan_Warkah[Nomor Sertipikat],Table_Tarikan_Warkah[Nomor Tiket]),"")</f>
        <v>K/19/110625/1</v>
      </c>
      <c r="E2644" s="36">
        <f t="array" ref="E2644">IFNA(_xlfn.XLOOKUP(D2644,Table_Tarikan_Warkah[Nomor Tiket],Table_Tarikan_Warkah[Tanggal diserahkan kepada Validator]),"")</f>
        <v>45838.67899</v>
      </c>
      <c r="F2644" s="36" t="str">
        <f t="array" ref="F2644">IFNA(_xlfn.XLOOKUP(D2644,Table_Tarikan_Warkah[Nomor Tiket],Table_Tarikan_Warkah[Nama Petugas Warkah]),"")</f>
        <v>Berry</v>
      </c>
      <c r="G2644" s="39" t="str">
        <f t="array" ref="G2644">IFNA(_xlfn.XLOOKUP(D2644,Table_Tarikan_Warkah[Nomor Tiket],Table_Tarikan_Warkah[Jenis Permohonan]),"")</f>
        <v>BN JUAL BELI</v>
      </c>
      <c r="H2644" s="41" t="s">
        <v>2315</v>
      </c>
      <c r="I2644" s="49" t="s">
        <v>23</v>
      </c>
      <c r="J2644" s="36">
        <f t="shared" si="20"/>
        <v>45832.59878</v>
      </c>
      <c r="K2644" s="49" t="s">
        <v>2378</v>
      </c>
      <c r="L2644" s="49" t="s">
        <v>23</v>
      </c>
      <c r="M2644" s="36">
        <f t="shared" si="33"/>
        <v>45833.49342</v>
      </c>
      <c r="N2644" s="30" t="str">
        <f t="shared" si="34"/>
        <v>Selesai</v>
      </c>
      <c r="O2644" s="45">
        <f t="shared" si="23"/>
        <v>45833.49342</v>
      </c>
      <c r="P2644" s="47" t="b">
        <v>0</v>
      </c>
      <c r="Q2644" s="36" t="str">
        <f t="shared" si="24"/>
        <v/>
      </c>
      <c r="R2644" s="47" t="b">
        <v>0</v>
      </c>
      <c r="S2644" s="42" t="str">
        <f t="shared" si="28"/>
        <v/>
      </c>
      <c r="T2644" s="42"/>
    </row>
    <row r="2645" ht="22.5" customHeight="1">
      <c r="B2645" s="42">
        <f t="shared" si="7"/>
        <v>2639</v>
      </c>
      <c r="C2645" s="31" t="s">
        <v>2714</v>
      </c>
      <c r="D2645" s="34" t="str">
        <f t="array" ref="D2645">IFNA(_xlfn.XLOOKUP(C2645,Table_Tarikan_Warkah[Nomor Sertipikat],Table_Tarikan_Warkah[Nomor Tiket]),"")</f>
        <v>K/45/210525/1</v>
      </c>
      <c r="E2645" s="36">
        <f t="array" ref="E2645">IFNA(_xlfn.XLOOKUP(D2645,Table_Tarikan_Warkah[Nomor Tiket],Table_Tarikan_Warkah[Tanggal diserahkan kepada Validator]),"")</f>
        <v>45838.67797</v>
      </c>
      <c r="F2645" s="36" t="str">
        <f t="array" ref="F2645">IFNA(_xlfn.XLOOKUP(D2645,Table_Tarikan_Warkah[Nomor Tiket],Table_Tarikan_Warkah[Nama Petugas Warkah]),"")</f>
        <v>Berry</v>
      </c>
      <c r="G2645" s="39" t="str">
        <f t="array" ref="G2645">IFNA(_xlfn.XLOOKUP(D2645,Table_Tarikan_Warkah[Nomor Tiket],Table_Tarikan_Warkah[Jenis Permohonan]),"")</f>
        <v>BN JUAL BELI</v>
      </c>
      <c r="H2645" s="41" t="s">
        <v>2315</v>
      </c>
      <c r="I2645" s="49" t="s">
        <v>23</v>
      </c>
      <c r="J2645" s="36">
        <f t="shared" si="20"/>
        <v>45832.59892</v>
      </c>
      <c r="K2645" s="49" t="s">
        <v>2378</v>
      </c>
      <c r="L2645" s="49" t="s">
        <v>23</v>
      </c>
      <c r="M2645" s="36">
        <f t="shared" si="33"/>
        <v>45833.49363</v>
      </c>
      <c r="N2645" s="30" t="str">
        <f t="shared" si="34"/>
        <v>Selesai</v>
      </c>
      <c r="O2645" s="45">
        <f t="shared" si="23"/>
        <v>45833.49363</v>
      </c>
      <c r="P2645" s="47" t="b">
        <v>0</v>
      </c>
      <c r="Q2645" s="36" t="str">
        <f t="shared" si="24"/>
        <v/>
      </c>
      <c r="R2645" s="47" t="b">
        <v>0</v>
      </c>
      <c r="S2645" s="42" t="str">
        <f t="shared" si="28"/>
        <v/>
      </c>
      <c r="T2645" s="42"/>
    </row>
    <row r="2646" ht="22.5" customHeight="1">
      <c r="B2646" s="42">
        <f t="shared" si="7"/>
        <v>2640</v>
      </c>
      <c r="C2646" s="31" t="s">
        <v>2715</v>
      </c>
      <c r="D2646" s="34" t="str">
        <f t="array" ref="D2646">IFNA(_xlfn.XLOOKUP(C2646,Table_Tarikan_Warkah[Nomor Sertipikat],Table_Tarikan_Warkah[Nomor Tiket]),"")</f>
        <v>K/44/200625/1</v>
      </c>
      <c r="E2646" s="36">
        <f t="array" ref="E2646">IFNA(_xlfn.XLOOKUP(D2646,Table_Tarikan_Warkah[Nomor Tiket],Table_Tarikan_Warkah[Tanggal diserahkan kepada Validator]),"")</f>
        <v>45838.66213</v>
      </c>
      <c r="F2646" s="36" t="str">
        <f t="array" ref="F2646">IFNA(_xlfn.XLOOKUP(D2646,Table_Tarikan_Warkah[Nomor Tiket],Table_Tarikan_Warkah[Nama Petugas Warkah]),"")</f>
        <v>Berry</v>
      </c>
      <c r="G2646" s="39" t="str">
        <f t="array" ref="G2646">IFNA(_xlfn.XLOOKUP(D2646,Table_Tarikan_Warkah[Nomor Tiket],Table_Tarikan_Warkah[Jenis Permohonan]),"")</f>
        <v>BN JUAL BELI</v>
      </c>
      <c r="H2646" s="41" t="s">
        <v>2315</v>
      </c>
      <c r="I2646" s="49" t="s">
        <v>23</v>
      </c>
      <c r="J2646" s="36">
        <f t="shared" si="20"/>
        <v>45832.5991</v>
      </c>
      <c r="K2646" s="49" t="s">
        <v>2378</v>
      </c>
      <c r="L2646" s="49" t="s">
        <v>23</v>
      </c>
      <c r="M2646" s="36">
        <f t="shared" si="33"/>
        <v>45833.49909</v>
      </c>
      <c r="N2646" s="30" t="str">
        <f t="shared" si="34"/>
        <v>Selesai</v>
      </c>
      <c r="O2646" s="45">
        <f t="shared" si="23"/>
        <v>45833.49909</v>
      </c>
      <c r="P2646" s="47" t="b">
        <v>0</v>
      </c>
      <c r="Q2646" s="36" t="str">
        <f t="shared" si="24"/>
        <v/>
      </c>
      <c r="R2646" s="47" t="b">
        <v>0</v>
      </c>
      <c r="S2646" s="42" t="str">
        <f t="shared" si="28"/>
        <v/>
      </c>
      <c r="T2646" s="42"/>
    </row>
    <row r="2647" ht="22.5" customHeight="1">
      <c r="B2647" s="42">
        <f t="shared" si="7"/>
        <v>2641</v>
      </c>
      <c r="C2647" s="31" t="s">
        <v>2716</v>
      </c>
      <c r="D2647" s="34" t="str">
        <f t="array" ref="D2647">IFNA(_xlfn.XLOOKUP(C2647,Table_Tarikan_Warkah[Nomor Sertipikat],Table_Tarikan_Warkah[Nomor Tiket]),"")</f>
        <v>L/12/120625/1</v>
      </c>
      <c r="E2647" s="36">
        <f t="array" ref="E2647">IFNA(_xlfn.XLOOKUP(D2647,Table_Tarikan_Warkah[Nomor Tiket],Table_Tarikan_Warkah[Tanggal diserahkan kepada Validator]),"")</f>
        <v>45849.6502</v>
      </c>
      <c r="F2647" s="36" t="str">
        <f t="array" ref="F2647">IFNA(_xlfn.XLOOKUP(D2647,Table_Tarikan_Warkah[Nomor Tiket],Table_Tarikan_Warkah[Nama Petugas Warkah]),"")</f>
        <v>David</v>
      </c>
      <c r="G2647" s="39" t="str">
        <f t="array" ref="G2647">IFNA(_xlfn.XLOOKUP(D2647,Table_Tarikan_Warkah[Nomor Tiket],Table_Tarikan_Warkah[Jenis Permohonan]),"")</f>
        <v>ROYA</v>
      </c>
      <c r="H2647" s="41" t="s">
        <v>2315</v>
      </c>
      <c r="I2647" s="49" t="s">
        <v>23</v>
      </c>
      <c r="J2647" s="36">
        <f t="shared" si="20"/>
        <v>45832.59924</v>
      </c>
      <c r="K2647" s="49" t="s">
        <v>2378</v>
      </c>
      <c r="L2647" s="49" t="s">
        <v>23</v>
      </c>
      <c r="M2647" s="36">
        <f t="shared" si="33"/>
        <v>45833.49375</v>
      </c>
      <c r="N2647" s="30" t="str">
        <f t="shared" si="34"/>
        <v>Selesai</v>
      </c>
      <c r="O2647" s="45">
        <f t="shared" si="23"/>
        <v>45833.49375</v>
      </c>
      <c r="P2647" s="47" t="b">
        <v>0</v>
      </c>
      <c r="Q2647" s="36" t="str">
        <f t="shared" si="24"/>
        <v/>
      </c>
      <c r="R2647" s="47" t="b">
        <v>0</v>
      </c>
      <c r="S2647" s="42" t="str">
        <f t="shared" si="28"/>
        <v/>
      </c>
      <c r="T2647" s="42"/>
    </row>
    <row r="2648" ht="22.5" customHeight="1">
      <c r="B2648" s="42">
        <f t="shared" si="7"/>
        <v>2642</v>
      </c>
      <c r="C2648" s="31" t="s">
        <v>2717</v>
      </c>
      <c r="D2648" s="34" t="str">
        <f t="array" ref="D2648">IFNA(_xlfn.XLOOKUP(C2648,Table_Tarikan_Warkah[Nomor Sertipikat],Table_Tarikan_Warkah[Nomor Tiket]),"")</f>
        <v>L/17/030625/1</v>
      </c>
      <c r="E2648" s="36">
        <f t="array" ref="E2648">IFNA(_xlfn.XLOOKUP(D2648,Table_Tarikan_Warkah[Nomor Tiket],Table_Tarikan_Warkah[Tanggal diserahkan kepada Validator]),"")</f>
        <v>45848.54589</v>
      </c>
      <c r="F2648" s="36" t="str">
        <f t="array" ref="F2648">IFNA(_xlfn.XLOOKUP(D2648,Table_Tarikan_Warkah[Nomor Tiket],Table_Tarikan_Warkah[Nama Petugas Warkah]),"")</f>
        <v>David</v>
      </c>
      <c r="G2648" s="39" t="str">
        <f t="array" ref="G2648">IFNA(_xlfn.XLOOKUP(D2648,Table_Tarikan_Warkah[Nomor Tiket],Table_Tarikan_Warkah[Jenis Permohonan]),"")</f>
        <v>BN WARIS</v>
      </c>
      <c r="H2648" s="41" t="s">
        <v>2315</v>
      </c>
      <c r="I2648" s="49" t="s">
        <v>23</v>
      </c>
      <c r="J2648" s="36">
        <f t="shared" si="20"/>
        <v>45832.59953</v>
      </c>
      <c r="K2648" s="49" t="s">
        <v>2378</v>
      </c>
      <c r="L2648" s="49" t="s">
        <v>23</v>
      </c>
      <c r="M2648" s="36">
        <f t="shared" si="33"/>
        <v>45833.49636</v>
      </c>
      <c r="N2648" s="30" t="str">
        <f t="shared" si="34"/>
        <v>Selesai</v>
      </c>
      <c r="O2648" s="45">
        <f t="shared" si="23"/>
        <v>45833.49636</v>
      </c>
      <c r="P2648" s="47" t="b">
        <v>0</v>
      </c>
      <c r="Q2648" s="36" t="str">
        <f t="shared" si="24"/>
        <v/>
      </c>
      <c r="R2648" s="47" t="b">
        <v>0</v>
      </c>
      <c r="S2648" s="42" t="str">
        <f t="shared" si="28"/>
        <v/>
      </c>
      <c r="T2648" s="42"/>
    </row>
    <row r="2649" ht="22.5" customHeight="1">
      <c r="B2649" s="42">
        <f t="shared" si="7"/>
        <v>2643</v>
      </c>
      <c r="C2649" s="31" t="s">
        <v>2718</v>
      </c>
      <c r="D2649" s="34" t="str">
        <f t="array" ref="D2649">IFNA(_xlfn.XLOOKUP(C2649,Table_Tarikan_Warkah[Nomor Sertipikat],Table_Tarikan_Warkah[Nomor Tiket]),"")</f>
        <v>K/20/050625/1</v>
      </c>
      <c r="E2649" s="36">
        <f t="array" ref="E2649">IFNA(_xlfn.XLOOKUP(D2649,Table_Tarikan_Warkah[Nomor Tiket],Table_Tarikan_Warkah[Tanggal diserahkan kepada Validator]),"")</f>
        <v>45838.66434</v>
      </c>
      <c r="F2649" s="36" t="str">
        <f t="array" ref="F2649">IFNA(_xlfn.XLOOKUP(D2649,Table_Tarikan_Warkah[Nomor Tiket],Table_Tarikan_Warkah[Nama Petugas Warkah]),"")</f>
        <v>Berry</v>
      </c>
      <c r="G2649" s="39" t="str">
        <f t="array" ref="G2649">IFNA(_xlfn.XLOOKUP(D2649,Table_Tarikan_Warkah[Nomor Tiket],Table_Tarikan_Warkah[Jenis Permohonan]),"")</f>
        <v>JUAL BELI</v>
      </c>
      <c r="H2649" s="41" t="s">
        <v>2315</v>
      </c>
      <c r="I2649" s="49" t="s">
        <v>23</v>
      </c>
      <c r="J2649" s="36">
        <f t="shared" si="20"/>
        <v>45832.59967</v>
      </c>
      <c r="K2649" s="49" t="s">
        <v>2378</v>
      </c>
      <c r="L2649" s="49" t="s">
        <v>23</v>
      </c>
      <c r="M2649" s="36">
        <f t="shared" si="33"/>
        <v>45833.49391</v>
      </c>
      <c r="N2649" s="30" t="str">
        <f t="shared" si="34"/>
        <v>Selesai</v>
      </c>
      <c r="O2649" s="45">
        <f t="shared" si="23"/>
        <v>45833.49391</v>
      </c>
      <c r="P2649" s="47" t="b">
        <v>0</v>
      </c>
      <c r="Q2649" s="36" t="str">
        <f t="shared" si="24"/>
        <v/>
      </c>
      <c r="R2649" s="47" t="b">
        <v>0</v>
      </c>
      <c r="S2649" s="42" t="str">
        <f t="shared" si="28"/>
        <v/>
      </c>
      <c r="T2649" s="42"/>
    </row>
    <row r="2650" ht="22.5" customHeight="1">
      <c r="B2650" s="42">
        <f t="shared" si="7"/>
        <v>2644</v>
      </c>
      <c r="C2650" s="31" t="s">
        <v>2719</v>
      </c>
      <c r="D2650" s="34" t="str">
        <f t="array" ref="D2650">IFNA(_xlfn.XLOOKUP(C2650,Table_Tarikan_Warkah[Nomor Sertipikat],Table_Tarikan_Warkah[Nomor Tiket]),"")</f>
        <v>K/6/110625/1</v>
      </c>
      <c r="E2650" s="36">
        <f t="array" ref="E2650">IFNA(_xlfn.XLOOKUP(D2650,Table_Tarikan_Warkah[Nomor Tiket],Table_Tarikan_Warkah[Tanggal diserahkan kepada Validator]),"")</f>
        <v>45838.66574</v>
      </c>
      <c r="F2650" s="36" t="str">
        <f t="array" ref="F2650">IFNA(_xlfn.XLOOKUP(D2650,Table_Tarikan_Warkah[Nomor Tiket],Table_Tarikan_Warkah[Nama Petugas Warkah]),"")</f>
        <v>Berry</v>
      </c>
      <c r="G2650" s="39" t="str">
        <f t="array" ref="G2650">IFNA(_xlfn.XLOOKUP(D2650,Table_Tarikan_Warkah[Nomor Tiket],Table_Tarikan_Warkah[Jenis Permohonan]),"")</f>
        <v>JUAL BELI</v>
      </c>
      <c r="H2650" s="41" t="s">
        <v>2315</v>
      </c>
      <c r="I2650" s="49" t="s">
        <v>23</v>
      </c>
      <c r="J2650" s="36">
        <f t="shared" si="20"/>
        <v>45832.59982</v>
      </c>
      <c r="K2650" s="49" t="s">
        <v>2378</v>
      </c>
      <c r="L2650" s="49" t="s">
        <v>23</v>
      </c>
      <c r="M2650" s="36">
        <f t="shared" si="33"/>
        <v>45833.49893</v>
      </c>
      <c r="N2650" s="30" t="str">
        <f t="shared" si="34"/>
        <v>Selesai</v>
      </c>
      <c r="O2650" s="45">
        <f t="shared" si="23"/>
        <v>45833.49893</v>
      </c>
      <c r="P2650" s="47" t="b">
        <v>0</v>
      </c>
      <c r="Q2650" s="36" t="str">
        <f t="shared" si="24"/>
        <v/>
      </c>
      <c r="R2650" s="47" t="b">
        <v>0</v>
      </c>
      <c r="S2650" s="42" t="str">
        <f t="shared" si="28"/>
        <v/>
      </c>
      <c r="T2650" s="42"/>
    </row>
    <row r="2651" ht="22.5" customHeight="1">
      <c r="B2651" s="42">
        <f t="shared" si="7"/>
        <v>2645</v>
      </c>
      <c r="C2651" s="31" t="s">
        <v>2720</v>
      </c>
      <c r="D2651" s="34" t="str">
        <f t="array" ref="D2651">IFNA(_xlfn.XLOOKUP(C2651,Table_Tarikan_Warkah[Nomor Sertipikat],Table_Tarikan_Warkah[Nomor Tiket]),"")</f>
        <v>K/36/050625/1</v>
      </c>
      <c r="E2651" s="36">
        <f t="array" ref="E2651">IFNA(_xlfn.XLOOKUP(D2651,Table_Tarikan_Warkah[Nomor Tiket],Table_Tarikan_Warkah[Tanggal diserahkan kepada Validator]),"")</f>
        <v>45838.68488</v>
      </c>
      <c r="F2651" s="36" t="str">
        <f t="array" ref="F2651">IFNA(_xlfn.XLOOKUP(D2651,Table_Tarikan_Warkah[Nomor Tiket],Table_Tarikan_Warkah[Nama Petugas Warkah]),"")</f>
        <v>Berry</v>
      </c>
      <c r="G2651" s="39" t="str">
        <f t="array" ref="G2651">IFNA(_xlfn.XLOOKUP(D2651,Table_Tarikan_Warkah[Nomor Tiket],Table_Tarikan_Warkah[Jenis Permohonan]),"")</f>
        <v>HIBAH</v>
      </c>
      <c r="H2651" s="41" t="s">
        <v>2315</v>
      </c>
      <c r="I2651" s="49" t="s">
        <v>23</v>
      </c>
      <c r="J2651" s="36">
        <f t="shared" si="20"/>
        <v>45832.60002</v>
      </c>
      <c r="K2651" s="49" t="s">
        <v>2378</v>
      </c>
      <c r="L2651" s="49" t="s">
        <v>23</v>
      </c>
      <c r="M2651" s="36">
        <f t="shared" si="33"/>
        <v>45833.49313</v>
      </c>
      <c r="N2651" s="30" t="str">
        <f t="shared" si="34"/>
        <v>Selesai</v>
      </c>
      <c r="O2651" s="45">
        <f t="shared" si="23"/>
        <v>45833.49313</v>
      </c>
      <c r="P2651" s="47" t="b">
        <v>0</v>
      </c>
      <c r="Q2651" s="36" t="str">
        <f t="shared" si="24"/>
        <v/>
      </c>
      <c r="R2651" s="47" t="b">
        <v>0</v>
      </c>
      <c r="S2651" s="42" t="str">
        <f t="shared" si="28"/>
        <v/>
      </c>
      <c r="T2651" s="42"/>
    </row>
    <row r="2652" ht="22.5" customHeight="1">
      <c r="B2652" s="42">
        <f t="shared" si="7"/>
        <v>2646</v>
      </c>
      <c r="C2652" s="31" t="s">
        <v>2721</v>
      </c>
      <c r="D2652" s="34" t="str">
        <f t="array" ref="D2652">IFNA(_xlfn.XLOOKUP(C2652,Table_Tarikan_Warkah[Nomor Sertipikat],Table_Tarikan_Warkah[Nomor Tiket]),"")</f>
        <v>K/34/100625/2</v>
      </c>
      <c r="E2652" s="36">
        <f t="array" ref="E2652">IFNA(_xlfn.XLOOKUP(D2652,Table_Tarikan_Warkah[Nomor Tiket],Table_Tarikan_Warkah[Tanggal diserahkan kepada Validator]),"")</f>
        <v>45838.66594</v>
      </c>
      <c r="F2652" s="36" t="str">
        <f t="array" ref="F2652">IFNA(_xlfn.XLOOKUP(D2652,Table_Tarikan_Warkah[Nomor Tiket],Table_Tarikan_Warkah[Nama Petugas Warkah]),"")</f>
        <v>Berry</v>
      </c>
      <c r="G2652" s="39" t="str">
        <f t="array" ref="G2652">IFNA(_xlfn.XLOOKUP(D2652,Table_Tarikan_Warkah[Nomor Tiket],Table_Tarikan_Warkah[Jenis Permohonan]),"")</f>
        <v>JUAL BELI</v>
      </c>
      <c r="H2652" s="41" t="s">
        <v>2315</v>
      </c>
      <c r="I2652" s="49" t="s">
        <v>23</v>
      </c>
      <c r="J2652" s="36">
        <f t="shared" si="20"/>
        <v>45832.60016</v>
      </c>
      <c r="K2652" s="49" t="s">
        <v>2378</v>
      </c>
      <c r="L2652" s="49" t="s">
        <v>23</v>
      </c>
      <c r="M2652" s="36">
        <f t="shared" si="33"/>
        <v>45833.49299</v>
      </c>
      <c r="N2652" s="30" t="str">
        <f t="shared" si="34"/>
        <v>Selesai</v>
      </c>
      <c r="O2652" s="45">
        <f t="shared" si="23"/>
        <v>45833.49299</v>
      </c>
      <c r="P2652" s="47" t="b">
        <v>0</v>
      </c>
      <c r="Q2652" s="36" t="str">
        <f t="shared" si="24"/>
        <v/>
      </c>
      <c r="R2652" s="47" t="b">
        <v>0</v>
      </c>
      <c r="S2652" s="42" t="str">
        <f t="shared" si="28"/>
        <v/>
      </c>
      <c r="T2652" s="42"/>
    </row>
    <row r="2653" ht="22.5" customHeight="1">
      <c r="B2653" s="42">
        <f t="shared" si="7"/>
        <v>2647</v>
      </c>
      <c r="C2653" s="31" t="s">
        <v>2722</v>
      </c>
      <c r="D2653" s="34" t="str">
        <f t="array" ref="D2653">IFNA(_xlfn.XLOOKUP(C2653,Table_Tarikan_Warkah[Nomor Sertipikat],Table_Tarikan_Warkah[Nomor Tiket]),"")</f>
        <v>K/33/100625/1</v>
      </c>
      <c r="E2653" s="36">
        <f t="array" ref="E2653">IFNA(_xlfn.XLOOKUP(D2653,Table_Tarikan_Warkah[Nomor Tiket],Table_Tarikan_Warkah[Tanggal diserahkan kepada Validator]),"")</f>
        <v>45838.68368</v>
      </c>
      <c r="F2653" s="36" t="str">
        <f t="array" ref="F2653">IFNA(_xlfn.XLOOKUP(D2653,Table_Tarikan_Warkah[Nomor Tiket],Table_Tarikan_Warkah[Nama Petugas Warkah]),"")</f>
        <v>Berry</v>
      </c>
      <c r="G2653" s="39" t="str">
        <f t="array" ref="G2653">IFNA(_xlfn.XLOOKUP(D2653,Table_Tarikan_Warkah[Nomor Tiket],Table_Tarikan_Warkah[Jenis Permohonan]),"")</f>
        <v>JUAL BELI</v>
      </c>
      <c r="H2653" s="41" t="s">
        <v>2315</v>
      </c>
      <c r="I2653" s="49" t="s">
        <v>23</v>
      </c>
      <c r="J2653" s="36">
        <f t="shared" si="20"/>
        <v>45832.60035</v>
      </c>
      <c r="K2653" s="49" t="s">
        <v>2378</v>
      </c>
      <c r="L2653" s="49" t="s">
        <v>23</v>
      </c>
      <c r="M2653" s="36">
        <f t="shared" si="33"/>
        <v>45833.49862</v>
      </c>
      <c r="N2653" s="30" t="str">
        <f t="shared" si="34"/>
        <v>Selesai</v>
      </c>
      <c r="O2653" s="45">
        <f t="shared" si="23"/>
        <v>45833.49862</v>
      </c>
      <c r="P2653" s="47" t="b">
        <v>0</v>
      </c>
      <c r="Q2653" s="36" t="str">
        <f t="shared" si="24"/>
        <v/>
      </c>
      <c r="R2653" s="47" t="b">
        <v>0</v>
      </c>
      <c r="S2653" s="42" t="str">
        <f t="shared" si="28"/>
        <v/>
      </c>
      <c r="T2653" s="42"/>
    </row>
    <row r="2654" ht="22.5" customHeight="1">
      <c r="B2654" s="42">
        <f t="shared" si="7"/>
        <v>2648</v>
      </c>
      <c r="C2654" s="31" t="s">
        <v>2723</v>
      </c>
      <c r="D2654" s="34" t="str">
        <f t="array" ref="D2654">IFNA(_xlfn.XLOOKUP(C2654,Table_Tarikan_Warkah[Nomor Sertipikat],Table_Tarikan_Warkah[Nomor Tiket]),"")</f>
        <v>K/6/190625/3</v>
      </c>
      <c r="E2654" s="36">
        <f t="array" ref="E2654">IFNA(_xlfn.XLOOKUP(D2654,Table_Tarikan_Warkah[Nomor Tiket],Table_Tarikan_Warkah[Tanggal diserahkan kepada Validator]),"")</f>
        <v>45838.66505</v>
      </c>
      <c r="F2654" s="36" t="str">
        <f t="array" ref="F2654">IFNA(_xlfn.XLOOKUP(D2654,Table_Tarikan_Warkah[Nomor Tiket],Table_Tarikan_Warkah[Nama Petugas Warkah]),"")</f>
        <v>Berry</v>
      </c>
      <c r="G2654" s="39" t="str">
        <f t="array" ref="G2654">IFNA(_xlfn.XLOOKUP(D2654,Table_Tarikan_Warkah[Nomor Tiket],Table_Tarikan_Warkah[Jenis Permohonan]),"")</f>
        <v>JUAL BELI</v>
      </c>
      <c r="H2654" s="41" t="s">
        <v>2315</v>
      </c>
      <c r="I2654" s="49" t="s">
        <v>23</v>
      </c>
      <c r="J2654" s="36">
        <f t="shared" si="20"/>
        <v>45832.60057</v>
      </c>
      <c r="K2654" s="49" t="s">
        <v>2378</v>
      </c>
      <c r="L2654" s="49" t="s">
        <v>23</v>
      </c>
      <c r="M2654" s="36">
        <f t="shared" si="33"/>
        <v>45833.49852</v>
      </c>
      <c r="N2654" s="30" t="str">
        <f t="shared" si="34"/>
        <v>Selesai</v>
      </c>
      <c r="O2654" s="45">
        <f t="shared" si="23"/>
        <v>45833.49852</v>
      </c>
      <c r="P2654" s="47" t="b">
        <v>0</v>
      </c>
      <c r="Q2654" s="36" t="str">
        <f t="shared" si="24"/>
        <v/>
      </c>
      <c r="R2654" s="47" t="b">
        <v>0</v>
      </c>
      <c r="S2654" s="42" t="str">
        <f t="shared" si="28"/>
        <v/>
      </c>
      <c r="T2654" s="42"/>
    </row>
    <row r="2655" ht="22.5" customHeight="1">
      <c r="B2655" s="42">
        <f t="shared" si="7"/>
        <v>2649</v>
      </c>
      <c r="C2655" s="31" t="s">
        <v>2724</v>
      </c>
      <c r="D2655" s="34" t="str">
        <f t="array" ref="D2655">IFNA(_xlfn.XLOOKUP(C2655,Table_Tarikan_Warkah[Nomor Sertipikat],Table_Tarikan_Warkah[Nomor Tiket]),"")</f>
        <v>K/37/050625/2</v>
      </c>
      <c r="E2655" s="36">
        <f t="array" ref="E2655">IFNA(_xlfn.XLOOKUP(D2655,Table_Tarikan_Warkah[Nomor Tiket],Table_Tarikan_Warkah[Tanggal diserahkan kepada Validator]),"")</f>
        <v>45838.66482</v>
      </c>
      <c r="F2655" s="36" t="str">
        <f t="array" ref="F2655">IFNA(_xlfn.XLOOKUP(D2655,Table_Tarikan_Warkah[Nomor Tiket],Table_Tarikan_Warkah[Nama Petugas Warkah]),"")</f>
        <v>Berry</v>
      </c>
      <c r="G2655" s="39" t="str">
        <f t="array" ref="G2655">IFNA(_xlfn.XLOOKUP(D2655,Table_Tarikan_Warkah[Nomor Tiket],Table_Tarikan_Warkah[Jenis Permohonan]),"")</f>
        <v>HIBAH</v>
      </c>
      <c r="H2655" s="41" t="s">
        <v>2315</v>
      </c>
      <c r="I2655" s="49" t="s">
        <v>23</v>
      </c>
      <c r="J2655" s="36">
        <f t="shared" si="20"/>
        <v>45832.60076</v>
      </c>
      <c r="K2655" s="49" t="s">
        <v>2378</v>
      </c>
      <c r="L2655" s="49" t="s">
        <v>23</v>
      </c>
      <c r="M2655" s="36">
        <f t="shared" si="33"/>
        <v>45833.49839</v>
      </c>
      <c r="N2655" s="30" t="str">
        <f t="shared" si="34"/>
        <v>Selesai</v>
      </c>
      <c r="O2655" s="45">
        <f t="shared" si="23"/>
        <v>45833.49839</v>
      </c>
      <c r="P2655" s="47" t="b">
        <v>0</v>
      </c>
      <c r="Q2655" s="36" t="str">
        <f t="shared" si="24"/>
        <v/>
      </c>
      <c r="R2655" s="47" t="b">
        <v>0</v>
      </c>
      <c r="S2655" s="42" t="str">
        <f t="shared" si="28"/>
        <v/>
      </c>
      <c r="T2655" s="42"/>
    </row>
    <row r="2656" ht="22.5" customHeight="1">
      <c r="B2656" s="42">
        <f t="shared" si="7"/>
        <v>2650</v>
      </c>
      <c r="C2656" s="31" t="s">
        <v>2725</v>
      </c>
      <c r="D2656" s="34" t="str">
        <f t="array" ref="D2656">IFNA(_xlfn.XLOOKUP(C2656,Table_Tarikan_Warkah[Nomor Sertipikat],Table_Tarikan_Warkah[Nomor Tiket]),"")</f>
        <v>K/26/040625/1</v>
      </c>
      <c r="E2656" s="36">
        <f t="array" ref="E2656">IFNA(_xlfn.XLOOKUP(D2656,Table_Tarikan_Warkah[Nomor Tiket],Table_Tarikan_Warkah[Tanggal diserahkan kepada Validator]),"")</f>
        <v>45838.68349</v>
      </c>
      <c r="F2656" s="36" t="str">
        <f t="array" ref="F2656">IFNA(_xlfn.XLOOKUP(D2656,Table_Tarikan_Warkah[Nomor Tiket],Table_Tarikan_Warkah[Nama Petugas Warkah]),"")</f>
        <v>Berry</v>
      </c>
      <c r="G2656" s="39" t="str">
        <f t="array" ref="G2656">IFNA(_xlfn.XLOOKUP(D2656,Table_Tarikan_Warkah[Nomor Tiket],Table_Tarikan_Warkah[Jenis Permohonan]),"")</f>
        <v>JUAL BELI</v>
      </c>
      <c r="H2656" s="41" t="s">
        <v>2315</v>
      </c>
      <c r="I2656" s="49" t="s">
        <v>23</v>
      </c>
      <c r="J2656" s="36">
        <f t="shared" si="20"/>
        <v>45832.60097</v>
      </c>
      <c r="K2656" s="49" t="s">
        <v>2378</v>
      </c>
      <c r="L2656" s="49" t="s">
        <v>23</v>
      </c>
      <c r="M2656" s="36">
        <f t="shared" si="33"/>
        <v>45833.49829</v>
      </c>
      <c r="N2656" s="30" t="str">
        <f t="shared" si="34"/>
        <v>Selesai</v>
      </c>
      <c r="O2656" s="45">
        <f t="shared" si="23"/>
        <v>45833.49829</v>
      </c>
      <c r="P2656" s="47" t="b">
        <v>0</v>
      </c>
      <c r="Q2656" s="36" t="str">
        <f t="shared" si="24"/>
        <v/>
      </c>
      <c r="R2656" s="47" t="b">
        <v>0</v>
      </c>
      <c r="S2656" s="42" t="str">
        <f t="shared" si="28"/>
        <v/>
      </c>
      <c r="T2656" s="42"/>
    </row>
    <row r="2657" ht="22.5" customHeight="1">
      <c r="B2657" s="42">
        <f t="shared" si="7"/>
        <v>2651</v>
      </c>
      <c r="C2657" s="31" t="s">
        <v>2726</v>
      </c>
      <c r="D2657" s="34" t="str">
        <f t="array" ref="D2657">IFNA(_xlfn.XLOOKUP(C2657,Table_Tarikan_Warkah[Nomor Sertipikat],Table_Tarikan_Warkah[Nomor Tiket]),"")</f>
        <v>K/2/190525/1</v>
      </c>
      <c r="E2657" s="36">
        <f t="array" ref="E2657">IFNA(_xlfn.XLOOKUP(D2657,Table_Tarikan_Warkah[Nomor Tiket],Table_Tarikan_Warkah[Tanggal diserahkan kepada Validator]),"")</f>
        <v>45838.68669</v>
      </c>
      <c r="F2657" s="36" t="str">
        <f t="array" ref="F2657">IFNA(_xlfn.XLOOKUP(D2657,Table_Tarikan_Warkah[Nomor Tiket],Table_Tarikan_Warkah[Nama Petugas Warkah]),"")</f>
        <v>Berry</v>
      </c>
      <c r="G2657" s="39" t="str">
        <f t="array" ref="G2657">IFNA(_xlfn.XLOOKUP(D2657,Table_Tarikan_Warkah[Nomor Tiket],Table_Tarikan_Warkah[Jenis Permohonan]),"")</f>
        <v>BN JUAL BELI</v>
      </c>
      <c r="H2657" s="41" t="s">
        <v>2315</v>
      </c>
      <c r="I2657" s="49" t="s">
        <v>23</v>
      </c>
      <c r="J2657" s="36">
        <f t="shared" si="20"/>
        <v>45832.60112</v>
      </c>
      <c r="K2657" s="49" t="s">
        <v>2378</v>
      </c>
      <c r="L2657" s="49" t="s">
        <v>23</v>
      </c>
      <c r="M2657" s="36">
        <f t="shared" si="33"/>
        <v>45833.4982</v>
      </c>
      <c r="N2657" s="30" t="str">
        <f t="shared" si="34"/>
        <v>Selesai</v>
      </c>
      <c r="O2657" s="45">
        <f t="shared" si="23"/>
        <v>45833.4982</v>
      </c>
      <c r="P2657" s="47" t="b">
        <v>0</v>
      </c>
      <c r="Q2657" s="36" t="str">
        <f t="shared" si="24"/>
        <v/>
      </c>
      <c r="R2657" s="47" t="b">
        <v>0</v>
      </c>
      <c r="S2657" s="42" t="str">
        <f t="shared" si="28"/>
        <v/>
      </c>
      <c r="T2657" s="42"/>
    </row>
    <row r="2658" ht="22.5" customHeight="1">
      <c r="B2658" s="42">
        <f t="shared" si="7"/>
        <v>2652</v>
      </c>
      <c r="C2658" s="31" t="s">
        <v>2727</v>
      </c>
      <c r="D2658" s="34" t="str">
        <f t="array" ref="D2658">IFNA(_xlfn.XLOOKUP(C2658,Table_Tarikan_Warkah[Nomor Sertipikat],Table_Tarikan_Warkah[Nomor Tiket]),"")</f>
        <v>K/5/190625/2</v>
      </c>
      <c r="E2658" s="36">
        <f t="array" ref="E2658">IFNA(_xlfn.XLOOKUP(D2658,Table_Tarikan_Warkah[Nomor Tiket],Table_Tarikan_Warkah[Tanggal diserahkan kepada Validator]),"")</f>
        <v>45842.60838</v>
      </c>
      <c r="F2658" s="36" t="str">
        <f t="array" ref="F2658">IFNA(_xlfn.XLOOKUP(D2658,Table_Tarikan_Warkah[Nomor Tiket],Table_Tarikan_Warkah[Nama Petugas Warkah]),"")</f>
        <v>David</v>
      </c>
      <c r="G2658" s="39" t="str">
        <f t="array" ref="G2658">IFNA(_xlfn.XLOOKUP(D2658,Table_Tarikan_Warkah[Nomor Tiket],Table_Tarikan_Warkah[Jenis Permohonan]),"")</f>
        <v>ROYA</v>
      </c>
      <c r="H2658" s="41" t="s">
        <v>2315</v>
      </c>
      <c r="I2658" s="49" t="s">
        <v>23</v>
      </c>
      <c r="J2658" s="36">
        <f t="shared" si="20"/>
        <v>45832.60125</v>
      </c>
      <c r="K2658" s="49" t="s">
        <v>2378</v>
      </c>
      <c r="L2658" s="49" t="s">
        <v>23</v>
      </c>
      <c r="M2658" s="36">
        <f t="shared" si="33"/>
        <v>45833.49455</v>
      </c>
      <c r="N2658" s="30" t="str">
        <f t="shared" si="34"/>
        <v>Selesai</v>
      </c>
      <c r="O2658" s="45">
        <f t="shared" si="23"/>
        <v>45833.49455</v>
      </c>
      <c r="P2658" s="47" t="b">
        <v>0</v>
      </c>
      <c r="Q2658" s="36" t="str">
        <f t="shared" si="24"/>
        <v/>
      </c>
      <c r="R2658" s="47" t="b">
        <v>0</v>
      </c>
      <c r="S2658" s="42" t="str">
        <f t="shared" si="28"/>
        <v/>
      </c>
      <c r="T2658" s="42"/>
    </row>
    <row r="2659" ht="22.5" customHeight="1">
      <c r="B2659" s="42">
        <f t="shared" si="7"/>
        <v>2653</v>
      </c>
      <c r="C2659" s="31" t="s">
        <v>2728</v>
      </c>
      <c r="D2659" s="34" t="str">
        <f t="array" ref="D2659">IFNA(_xlfn.XLOOKUP(C2659,Table_Tarikan_Warkah[Nomor Sertipikat],Table_Tarikan_Warkah[Nomor Tiket]),"")</f>
        <v>K/43/130625/1</v>
      </c>
      <c r="E2659" s="36">
        <f t="array" ref="E2659">IFNA(_xlfn.XLOOKUP(D2659,Table_Tarikan_Warkah[Nomor Tiket],Table_Tarikan_Warkah[Tanggal diserahkan kepada Validator]),"")</f>
        <v>45847.6498</v>
      </c>
      <c r="F2659" s="36" t="str">
        <f t="array" ref="F2659">IFNA(_xlfn.XLOOKUP(D2659,Table_Tarikan_Warkah[Nomor Tiket],Table_Tarikan_Warkah[Nama Petugas Warkah]),"")</f>
        <v>David</v>
      </c>
      <c r="G2659" s="39" t="str">
        <f t="array" ref="G2659">IFNA(_xlfn.XLOOKUP(D2659,Table_Tarikan_Warkah[Nomor Tiket],Table_Tarikan_Warkah[Jenis Permohonan]),"")</f>
        <v>ROYA</v>
      </c>
      <c r="H2659" s="41" t="s">
        <v>2315</v>
      </c>
      <c r="I2659" s="49" t="s">
        <v>23</v>
      </c>
      <c r="J2659" s="36">
        <f t="shared" si="20"/>
        <v>45832.60165</v>
      </c>
      <c r="K2659" s="49" t="s">
        <v>2378</v>
      </c>
      <c r="L2659" s="49" t="s">
        <v>23</v>
      </c>
      <c r="M2659" s="36">
        <f t="shared" si="33"/>
        <v>45833.49479</v>
      </c>
      <c r="N2659" s="30" t="str">
        <f t="shared" si="34"/>
        <v>Selesai</v>
      </c>
      <c r="O2659" s="45">
        <f t="shared" si="23"/>
        <v>45833.49479</v>
      </c>
      <c r="P2659" s="47" t="b">
        <v>0</v>
      </c>
      <c r="Q2659" s="36" t="str">
        <f t="shared" si="24"/>
        <v/>
      </c>
      <c r="R2659" s="47" t="b">
        <v>0</v>
      </c>
      <c r="S2659" s="42" t="str">
        <f t="shared" si="28"/>
        <v/>
      </c>
      <c r="T2659" s="42"/>
    </row>
    <row r="2660" ht="22.5" customHeight="1">
      <c r="B2660" s="42">
        <f t="shared" si="7"/>
        <v>2654</v>
      </c>
      <c r="C2660" s="31" t="s">
        <v>2729</v>
      </c>
      <c r="D2660" s="34" t="str">
        <f t="array" ref="D2660">IFNA(_xlfn.XLOOKUP(C2660,Table_Tarikan_Warkah[Nomor Sertipikat],Table_Tarikan_Warkah[Nomor Tiket]),"")</f>
        <v>K/23/050625/1</v>
      </c>
      <c r="E2660" s="36">
        <f t="array" ref="E2660">IFNA(_xlfn.XLOOKUP(D2660,Table_Tarikan_Warkah[Nomor Tiket],Table_Tarikan_Warkah[Tanggal diserahkan kepada Validator]),"")</f>
        <v>45842.58716</v>
      </c>
      <c r="F2660" s="36" t="str">
        <f t="array" ref="F2660">IFNA(_xlfn.XLOOKUP(D2660,Table_Tarikan_Warkah[Nomor Tiket],Table_Tarikan_Warkah[Nama Petugas Warkah]),"")</f>
        <v>Berry</v>
      </c>
      <c r="G2660" s="39" t="str">
        <f t="array" ref="G2660">IFNA(_xlfn.XLOOKUP(D2660,Table_Tarikan_Warkah[Nomor Tiket],Table_Tarikan_Warkah[Jenis Permohonan]),"")</f>
        <v>BN JUAL BELI</v>
      </c>
      <c r="H2660" s="41" t="s">
        <v>2315</v>
      </c>
      <c r="I2660" s="49" t="s">
        <v>23</v>
      </c>
      <c r="J2660" s="36">
        <f t="shared" si="20"/>
        <v>45832.60189</v>
      </c>
      <c r="K2660" s="49" t="s">
        <v>2378</v>
      </c>
      <c r="L2660" s="49" t="s">
        <v>23</v>
      </c>
      <c r="M2660" s="36">
        <f t="shared" si="33"/>
        <v>45833.49499</v>
      </c>
      <c r="N2660" s="30" t="str">
        <f t="shared" si="34"/>
        <v>Selesai</v>
      </c>
      <c r="O2660" s="45">
        <f t="shared" si="23"/>
        <v>45833.49499</v>
      </c>
      <c r="P2660" s="47" t="b">
        <v>0</v>
      </c>
      <c r="Q2660" s="36" t="str">
        <f t="shared" si="24"/>
        <v/>
      </c>
      <c r="R2660" s="47" t="b">
        <v>0</v>
      </c>
      <c r="S2660" s="42" t="str">
        <f t="shared" si="28"/>
        <v/>
      </c>
      <c r="T2660" s="42"/>
    </row>
    <row r="2661" ht="22.5" customHeight="1">
      <c r="B2661" s="42">
        <f t="shared" si="7"/>
        <v>2655</v>
      </c>
      <c r="C2661" s="31" t="s">
        <v>2730</v>
      </c>
      <c r="D2661" s="34" t="str">
        <f t="array" ref="D2661">IFNA(_xlfn.XLOOKUP(C2661,Table_Tarikan_Warkah[Nomor Sertipikat],Table_Tarikan_Warkah[Nomor Tiket]),"")</f>
        <v>K/2/190625/2</v>
      </c>
      <c r="E2661" s="36">
        <f t="array" ref="E2661">IFNA(_xlfn.XLOOKUP(D2661,Table_Tarikan_Warkah[Nomor Tiket],Table_Tarikan_Warkah[Tanggal diserahkan kepada Validator]),"")</f>
        <v>45867.50577</v>
      </c>
      <c r="F2661" s="36" t="str">
        <f t="array" ref="F2661">IFNA(_xlfn.XLOOKUP(D2661,Table_Tarikan_Warkah[Nomor Tiket],Table_Tarikan_Warkah[Nama Petugas Warkah]),"")</f>
        <v>Berry</v>
      </c>
      <c r="G2661" s="39" t="str">
        <f t="array" ref="G2661">IFNA(_xlfn.XLOOKUP(D2661,Table_Tarikan_Warkah[Nomor Tiket],Table_Tarikan_Warkah[Jenis Permohonan]),"")</f>
        <v>ROYA</v>
      </c>
      <c r="H2661" s="41" t="s">
        <v>2315</v>
      </c>
      <c r="I2661" s="49" t="s">
        <v>23</v>
      </c>
      <c r="J2661" s="36">
        <f t="shared" si="20"/>
        <v>45832.60203</v>
      </c>
      <c r="K2661" s="49" t="s">
        <v>2378</v>
      </c>
      <c r="L2661" s="49" t="s">
        <v>23</v>
      </c>
      <c r="M2661" s="36">
        <f t="shared" si="33"/>
        <v>45833.498</v>
      </c>
      <c r="N2661" s="30" t="str">
        <f t="shared" si="34"/>
        <v>Selesai</v>
      </c>
      <c r="O2661" s="45">
        <f t="shared" si="23"/>
        <v>45833.498</v>
      </c>
      <c r="P2661" s="47" t="b">
        <v>0</v>
      </c>
      <c r="Q2661" s="36" t="str">
        <f t="shared" si="24"/>
        <v/>
      </c>
      <c r="R2661" s="47" t="b">
        <v>0</v>
      </c>
      <c r="S2661" s="42" t="str">
        <f t="shared" si="28"/>
        <v/>
      </c>
      <c r="T2661" s="42"/>
    </row>
    <row r="2662" ht="22.5" customHeight="1">
      <c r="B2662" s="42">
        <f t="shared" si="7"/>
        <v>2656</v>
      </c>
      <c r="C2662" s="31" t="s">
        <v>2731</v>
      </c>
      <c r="D2662" s="34" t="str">
        <f t="array" ref="D2662">IFNA(_xlfn.XLOOKUP(C2662,Table_Tarikan_Warkah[Nomor Sertipikat],Table_Tarikan_Warkah[Nomor Tiket]),"")</f>
        <v>K/22/030625/1</v>
      </c>
      <c r="E2662" s="36">
        <f t="array" ref="E2662">IFNA(_xlfn.XLOOKUP(D2662,Table_Tarikan_Warkah[Nomor Tiket],Table_Tarikan_Warkah[Tanggal diserahkan kepada Validator]),"")</f>
        <v>45838.68327</v>
      </c>
      <c r="F2662" s="36" t="str">
        <f t="array" ref="F2662">IFNA(_xlfn.XLOOKUP(D2662,Table_Tarikan_Warkah[Nomor Tiket],Table_Tarikan_Warkah[Nama Petugas Warkah]),"")</f>
        <v>Berry</v>
      </c>
      <c r="G2662" s="39" t="str">
        <f t="array" ref="G2662">IFNA(_xlfn.XLOOKUP(D2662,Table_Tarikan_Warkah[Nomor Tiket],Table_Tarikan_Warkah[Jenis Permohonan]),"")</f>
        <v>JUAL BELI</v>
      </c>
      <c r="H2662" s="41" t="s">
        <v>2315</v>
      </c>
      <c r="I2662" s="49" t="s">
        <v>23</v>
      </c>
      <c r="J2662" s="36">
        <f t="shared" si="20"/>
        <v>45832.60217</v>
      </c>
      <c r="K2662" s="49" t="s">
        <v>2378</v>
      </c>
      <c r="L2662" s="49" t="s">
        <v>23</v>
      </c>
      <c r="M2662" s="36">
        <f t="shared" si="33"/>
        <v>45833.49788</v>
      </c>
      <c r="N2662" s="30" t="str">
        <f t="shared" si="34"/>
        <v>Selesai</v>
      </c>
      <c r="O2662" s="45">
        <f t="shared" si="23"/>
        <v>45833.49788</v>
      </c>
      <c r="P2662" s="47" t="b">
        <v>0</v>
      </c>
      <c r="Q2662" s="36" t="str">
        <f t="shared" si="24"/>
        <v/>
      </c>
      <c r="R2662" s="47" t="b">
        <v>0</v>
      </c>
      <c r="S2662" s="42" t="str">
        <f t="shared" si="28"/>
        <v/>
      </c>
      <c r="T2662" s="42"/>
    </row>
    <row r="2663" ht="22.5" customHeight="1">
      <c r="B2663" s="42">
        <f t="shared" si="7"/>
        <v>2657</v>
      </c>
      <c r="C2663" s="31" t="s">
        <v>2732</v>
      </c>
      <c r="D2663" s="34" t="str">
        <f t="array" ref="D2663">IFNA(_xlfn.XLOOKUP(C2663,Table_Tarikan_Warkah[Nomor Sertipikat],Table_Tarikan_Warkah[Nomor Tiket]),"")</f>
        <v>K/28/170625/1</v>
      </c>
      <c r="E2663" s="36">
        <f t="array" ref="E2663">IFNA(_xlfn.XLOOKUP(D2663,Table_Tarikan_Warkah[Nomor Tiket],Table_Tarikan_Warkah[Tanggal diserahkan kepada Validator]),"")</f>
        <v>45867.5051</v>
      </c>
      <c r="F2663" s="36" t="str">
        <f t="array" ref="F2663">IFNA(_xlfn.XLOOKUP(D2663,Table_Tarikan_Warkah[Nomor Tiket],Table_Tarikan_Warkah[Nama Petugas Warkah]),"")</f>
        <v>Berry</v>
      </c>
      <c r="G2663" s="39" t="str">
        <f t="array" ref="G2663">IFNA(_xlfn.XLOOKUP(D2663,Table_Tarikan_Warkah[Nomor Tiket],Table_Tarikan_Warkah[Jenis Permohonan]),"")</f>
        <v>ROYA</v>
      </c>
      <c r="H2663" s="41" t="s">
        <v>2315</v>
      </c>
      <c r="I2663" s="49" t="s">
        <v>23</v>
      </c>
      <c r="J2663" s="36">
        <f t="shared" si="20"/>
        <v>45832.60234</v>
      </c>
      <c r="K2663" s="49" t="s">
        <v>2378</v>
      </c>
      <c r="L2663" s="49" t="s">
        <v>23</v>
      </c>
      <c r="M2663" s="36">
        <f t="shared" si="33"/>
        <v>45833.49573</v>
      </c>
      <c r="N2663" s="30" t="str">
        <f t="shared" si="34"/>
        <v>Selesai</v>
      </c>
      <c r="O2663" s="45">
        <f t="shared" si="23"/>
        <v>45833.49573</v>
      </c>
      <c r="P2663" s="47" t="b">
        <v>0</v>
      </c>
      <c r="Q2663" s="36" t="str">
        <f t="shared" si="24"/>
        <v/>
      </c>
      <c r="R2663" s="47" t="b">
        <v>0</v>
      </c>
      <c r="S2663" s="42" t="str">
        <f t="shared" si="28"/>
        <v/>
      </c>
      <c r="T2663" s="42"/>
    </row>
    <row r="2664" ht="22.5" customHeight="1">
      <c r="B2664" s="42">
        <f t="shared" si="7"/>
        <v>2658</v>
      </c>
      <c r="C2664" s="31" t="s">
        <v>2733</v>
      </c>
      <c r="D2664" s="34" t="str">
        <f t="array" ref="D2664">IFNA(_xlfn.XLOOKUP(C2664,Table_Tarikan_Warkah[Nomor Sertipikat],Table_Tarikan_Warkah[Nomor Tiket]),"")</f>
        <v>K/11/220525/1</v>
      </c>
      <c r="E2664" s="36">
        <f t="array" ref="E2664">IFNA(_xlfn.XLOOKUP(D2664,Table_Tarikan_Warkah[Nomor Tiket],Table_Tarikan_Warkah[Tanggal diserahkan kepada Validator]),"")</f>
        <v>45838.67197</v>
      </c>
      <c r="F2664" s="36" t="str">
        <f t="array" ref="F2664">IFNA(_xlfn.XLOOKUP(D2664,Table_Tarikan_Warkah[Nomor Tiket],Table_Tarikan_Warkah[Nama Petugas Warkah]),"")</f>
        <v>Berry</v>
      </c>
      <c r="G2664" s="39" t="str">
        <f t="array" ref="G2664">IFNA(_xlfn.XLOOKUP(D2664,Table_Tarikan_Warkah[Nomor Tiket],Table_Tarikan_Warkah[Jenis Permohonan]),"")</f>
        <v>BN WARIS</v>
      </c>
      <c r="H2664" s="41" t="s">
        <v>2315</v>
      </c>
      <c r="I2664" s="49" t="s">
        <v>23</v>
      </c>
      <c r="J2664" s="36">
        <f t="shared" si="20"/>
        <v>45832.60274</v>
      </c>
      <c r="K2664" s="49" t="s">
        <v>2378</v>
      </c>
      <c r="L2664" s="49" t="s">
        <v>23</v>
      </c>
      <c r="M2664" s="36">
        <f t="shared" si="33"/>
        <v>45833.49776</v>
      </c>
      <c r="N2664" s="30" t="str">
        <f t="shared" si="34"/>
        <v>Selesai</v>
      </c>
      <c r="O2664" s="45">
        <f t="shared" si="23"/>
        <v>45833.49776</v>
      </c>
      <c r="P2664" s="47" t="b">
        <v>0</v>
      </c>
      <c r="Q2664" s="36" t="str">
        <f t="shared" si="24"/>
        <v/>
      </c>
      <c r="R2664" s="47" t="b">
        <v>0</v>
      </c>
      <c r="S2664" s="42" t="str">
        <f t="shared" si="28"/>
        <v/>
      </c>
      <c r="T2664" s="42"/>
    </row>
    <row r="2665" ht="22.5" customHeight="1">
      <c r="B2665" s="42">
        <f t="shared" si="7"/>
        <v>2659</v>
      </c>
      <c r="C2665" s="31" t="s">
        <v>2734</v>
      </c>
      <c r="D2665" s="34" t="str">
        <f t="array" ref="D2665">IFNA(_xlfn.XLOOKUP(C2665,Table_Tarikan_Warkah[Nomor Sertipikat],Table_Tarikan_Warkah[Nomor Tiket]),"")</f>
        <v>K/53/050625/3</v>
      </c>
      <c r="E2665" s="36">
        <f t="array" ref="E2665">IFNA(_xlfn.XLOOKUP(D2665,Table_Tarikan_Warkah[Nomor Tiket],Table_Tarikan_Warkah[Tanggal diserahkan kepada Validator]),"")</f>
        <v>45838.67085</v>
      </c>
      <c r="F2665" s="36" t="str">
        <f t="array" ref="F2665">IFNA(_xlfn.XLOOKUP(D2665,Table_Tarikan_Warkah[Nomor Tiket],Table_Tarikan_Warkah[Nama Petugas Warkah]),"")</f>
        <v>Berry</v>
      </c>
      <c r="G2665" s="39" t="str">
        <f t="array" ref="G2665">IFNA(_xlfn.XLOOKUP(D2665,Table_Tarikan_Warkah[Nomor Tiket],Table_Tarikan_Warkah[Jenis Permohonan]),"")</f>
        <v>BN JUAL BELI</v>
      </c>
      <c r="H2665" s="41" t="s">
        <v>2315</v>
      </c>
      <c r="I2665" s="49" t="s">
        <v>23</v>
      </c>
      <c r="J2665" s="36">
        <f t="shared" si="20"/>
        <v>45832.60293</v>
      </c>
      <c r="K2665" s="49" t="s">
        <v>2378</v>
      </c>
      <c r="L2665" s="49" t="s">
        <v>23</v>
      </c>
      <c r="M2665" s="36">
        <f t="shared" si="33"/>
        <v>45833.49766</v>
      </c>
      <c r="N2665" s="30" t="str">
        <f t="shared" si="34"/>
        <v>Selesai</v>
      </c>
      <c r="O2665" s="45">
        <f t="shared" si="23"/>
        <v>45833.49766</v>
      </c>
      <c r="P2665" s="47" t="b">
        <v>0</v>
      </c>
      <c r="Q2665" s="36" t="str">
        <f t="shared" si="24"/>
        <v/>
      </c>
      <c r="R2665" s="47" t="b">
        <v>0</v>
      </c>
      <c r="S2665" s="42" t="str">
        <f t="shared" si="28"/>
        <v/>
      </c>
      <c r="T2665" s="42"/>
    </row>
    <row r="2666" ht="22.5" customHeight="1">
      <c r="B2666" s="42">
        <f t="shared" si="7"/>
        <v>2660</v>
      </c>
      <c r="C2666" s="31" t="s">
        <v>2735</v>
      </c>
      <c r="D2666" s="34" t="str">
        <f t="array" ref="D2666">IFNA(_xlfn.XLOOKUP(C2666,Table_Tarikan_Warkah[Nomor Sertipikat],Table_Tarikan_Warkah[Nomor Tiket]),"")</f>
        <v>K/51/050625/1</v>
      </c>
      <c r="E2666" s="36">
        <f t="array" ref="E2666">IFNA(_xlfn.XLOOKUP(D2666,Table_Tarikan_Warkah[Nomor Tiket],Table_Tarikan_Warkah[Tanggal diserahkan kepada Validator]),"")</f>
        <v>45838.68522</v>
      </c>
      <c r="F2666" s="36" t="str">
        <f t="array" ref="F2666">IFNA(_xlfn.XLOOKUP(D2666,Table_Tarikan_Warkah[Nomor Tiket],Table_Tarikan_Warkah[Nama Petugas Warkah]),"")</f>
        <v>Berry</v>
      </c>
      <c r="G2666" s="39" t="str">
        <f t="array" ref="G2666">IFNA(_xlfn.XLOOKUP(D2666,Table_Tarikan_Warkah[Nomor Tiket],Table_Tarikan_Warkah[Jenis Permohonan]),"")</f>
        <v>BN JUAL BELI</v>
      </c>
      <c r="H2666" s="41" t="s">
        <v>2315</v>
      </c>
      <c r="I2666" s="49" t="s">
        <v>23</v>
      </c>
      <c r="J2666" s="36">
        <f t="shared" si="20"/>
        <v>45832.60306</v>
      </c>
      <c r="K2666" s="49" t="s">
        <v>2378</v>
      </c>
      <c r="L2666" s="49" t="s">
        <v>23</v>
      </c>
      <c r="M2666" s="36">
        <f t="shared" si="33"/>
        <v>45833.49754</v>
      </c>
      <c r="N2666" s="30" t="str">
        <f t="shared" si="34"/>
        <v>Selesai</v>
      </c>
      <c r="O2666" s="45">
        <f t="shared" si="23"/>
        <v>45833.49754</v>
      </c>
      <c r="P2666" s="47" t="b">
        <v>0</v>
      </c>
      <c r="Q2666" s="36" t="str">
        <f t="shared" si="24"/>
        <v/>
      </c>
      <c r="R2666" s="47" t="b">
        <v>0</v>
      </c>
      <c r="S2666" s="42" t="str">
        <f t="shared" si="28"/>
        <v/>
      </c>
      <c r="T2666" s="42"/>
    </row>
    <row r="2667" ht="22.5" customHeight="1">
      <c r="B2667" s="42">
        <f t="shared" si="7"/>
        <v>2661</v>
      </c>
      <c r="C2667" s="31" t="s">
        <v>2736</v>
      </c>
      <c r="D2667" s="34" t="str">
        <f t="array" ref="D2667">IFNA(_xlfn.XLOOKUP(C2667,Table_Tarikan_Warkah[Nomor Sertipikat],Table_Tarikan_Warkah[Nomor Tiket]),"")</f>
        <v>K/6/170625/1</v>
      </c>
      <c r="E2667" s="36" t="str">
        <f t="array" ref="E2667">IFNA(_xlfn.XLOOKUP(D2667,Table_Tarikan_Warkah[Nomor Tiket],Table_Tarikan_Warkah[Tanggal diserahkan kepada Validator]),"")</f>
        <v/>
      </c>
      <c r="F2667" s="36" t="str">
        <f t="array" ref="F2667">IFNA(_xlfn.XLOOKUP(D2667,Table_Tarikan_Warkah[Nomor Tiket],Table_Tarikan_Warkah[Nama Petugas Warkah]),"")</f>
        <v/>
      </c>
      <c r="G2667" s="39" t="str">
        <f t="array" ref="G2667">IFNA(_xlfn.XLOOKUP(D2667,Table_Tarikan_Warkah[Nomor Tiket],Table_Tarikan_Warkah[Jenis Permohonan]),"")</f>
        <v>GANTI BLANKO</v>
      </c>
      <c r="H2667" s="41" t="s">
        <v>2315</v>
      </c>
      <c r="I2667" s="49" t="s">
        <v>23</v>
      </c>
      <c r="J2667" s="36">
        <f t="shared" si="20"/>
        <v>45832.60322</v>
      </c>
      <c r="K2667" s="49" t="s">
        <v>2378</v>
      </c>
      <c r="L2667" s="49" t="s">
        <v>23</v>
      </c>
      <c r="M2667" s="36">
        <f t="shared" si="33"/>
        <v>45833.49742</v>
      </c>
      <c r="N2667" s="30" t="str">
        <f t="shared" si="34"/>
        <v>Selesai</v>
      </c>
      <c r="O2667" s="45">
        <f t="shared" si="23"/>
        <v>45833.49742</v>
      </c>
      <c r="P2667" s="47" t="b">
        <v>0</v>
      </c>
      <c r="Q2667" s="36" t="str">
        <f t="shared" si="24"/>
        <v/>
      </c>
      <c r="R2667" s="47" t="b">
        <v>0</v>
      </c>
      <c r="S2667" s="42" t="str">
        <f t="shared" si="28"/>
        <v/>
      </c>
      <c r="T2667" s="42"/>
    </row>
    <row r="2668" ht="22.5" customHeight="1">
      <c r="B2668" s="42">
        <f t="shared" si="7"/>
        <v>2662</v>
      </c>
      <c r="C2668" s="31" t="s">
        <v>2737</v>
      </c>
      <c r="D2668" s="34" t="str">
        <f t="array" ref="D2668">IFNA(_xlfn.XLOOKUP(C2668,Table_Tarikan_Warkah[Nomor Sertipikat],Table_Tarikan_Warkah[Nomor Tiket]),"")</f>
        <v>K/32/180625/2</v>
      </c>
      <c r="E2668" s="36">
        <f t="array" ref="E2668">IFNA(_xlfn.XLOOKUP(D2668,Table_Tarikan_Warkah[Nomor Tiket],Table_Tarikan_Warkah[Tanggal diserahkan kepada Validator]),"")</f>
        <v>45838.65998</v>
      </c>
      <c r="F2668" s="36" t="str">
        <f t="array" ref="F2668">IFNA(_xlfn.XLOOKUP(D2668,Table_Tarikan_Warkah[Nomor Tiket],Table_Tarikan_Warkah[Nama Petugas Warkah]),"")</f>
        <v>Berry</v>
      </c>
      <c r="G2668" s="39" t="str">
        <f t="array" ref="G2668">IFNA(_xlfn.XLOOKUP(D2668,Table_Tarikan_Warkah[Nomor Tiket],Table_Tarikan_Warkah[Jenis Permohonan]),"")</f>
        <v>BN PENETAPAN/ PUTUSAN</v>
      </c>
      <c r="H2668" s="41" t="s">
        <v>2315</v>
      </c>
      <c r="I2668" s="49" t="s">
        <v>23</v>
      </c>
      <c r="J2668" s="36">
        <f t="shared" si="20"/>
        <v>45832.6037</v>
      </c>
      <c r="K2668" s="49" t="s">
        <v>2378</v>
      </c>
      <c r="L2668" s="49" t="s">
        <v>23</v>
      </c>
      <c r="M2668" s="36">
        <f t="shared" si="33"/>
        <v>45833.49732</v>
      </c>
      <c r="N2668" s="30" t="str">
        <f t="shared" si="34"/>
        <v>Selesai</v>
      </c>
      <c r="O2668" s="45">
        <f t="shared" si="23"/>
        <v>45833.49732</v>
      </c>
      <c r="P2668" s="47" t="b">
        <v>0</v>
      </c>
      <c r="Q2668" s="36" t="str">
        <f t="shared" si="24"/>
        <v/>
      </c>
      <c r="R2668" s="47" t="b">
        <v>0</v>
      </c>
      <c r="S2668" s="42" t="str">
        <f t="shared" si="28"/>
        <v/>
      </c>
      <c r="T2668" s="42"/>
    </row>
    <row r="2669" ht="22.5" customHeight="1">
      <c r="B2669" s="42">
        <f t="shared" si="7"/>
        <v>2663</v>
      </c>
      <c r="C2669" s="31" t="s">
        <v>2738</v>
      </c>
      <c r="D2669" s="34" t="str">
        <f t="array" ref="D2669">IFNA(_xlfn.XLOOKUP(C2669,Table_Tarikan_Warkah[Nomor Sertipikat],Table_Tarikan_Warkah[Nomor Tiket]),"")</f>
        <v>L/37/160635/1</v>
      </c>
      <c r="E2669" s="36">
        <f t="array" ref="E2669">IFNA(_xlfn.XLOOKUP(D2669,Table_Tarikan_Warkah[Nomor Tiket],Table_Tarikan_Warkah[Tanggal diserahkan kepada Validator]),"")</f>
        <v>45846.66482</v>
      </c>
      <c r="F2669" s="36" t="str">
        <f t="array" ref="F2669">IFNA(_xlfn.XLOOKUP(D2669,Table_Tarikan_Warkah[Nomor Tiket],Table_Tarikan_Warkah[Nama Petugas Warkah]),"")</f>
        <v>David</v>
      </c>
      <c r="G2669" s="39" t="str">
        <f t="array" ref="G2669">IFNA(_xlfn.XLOOKUP(D2669,Table_Tarikan_Warkah[Nomor Tiket],Table_Tarikan_Warkah[Jenis Permohonan]),"")</f>
        <v>ROYA</v>
      </c>
      <c r="H2669" s="41" t="s">
        <v>2315</v>
      </c>
      <c r="I2669" s="49" t="s">
        <v>23</v>
      </c>
      <c r="J2669" s="36">
        <f t="shared" si="20"/>
        <v>45832.60565</v>
      </c>
      <c r="K2669" s="49" t="s">
        <v>2378</v>
      </c>
      <c r="L2669" s="49" t="s">
        <v>23</v>
      </c>
      <c r="M2669" s="36">
        <f t="shared" si="33"/>
        <v>45833.4972</v>
      </c>
      <c r="N2669" s="30" t="str">
        <f t="shared" si="34"/>
        <v>Selesai</v>
      </c>
      <c r="O2669" s="45">
        <f t="shared" si="23"/>
        <v>45833.4972</v>
      </c>
      <c r="P2669" s="47" t="b">
        <v>0</v>
      </c>
      <c r="Q2669" s="36" t="str">
        <f t="shared" si="24"/>
        <v/>
      </c>
      <c r="R2669" s="47" t="b">
        <v>0</v>
      </c>
      <c r="S2669" s="42" t="str">
        <f t="shared" si="28"/>
        <v/>
      </c>
      <c r="T2669" s="42"/>
    </row>
    <row r="2670" ht="22.5" customHeight="1">
      <c r="B2670" s="42">
        <f t="shared" si="7"/>
        <v>2664</v>
      </c>
      <c r="C2670" s="31" t="s">
        <v>2739</v>
      </c>
      <c r="D2670" s="34" t="str">
        <f t="array" ref="D2670">IFNA(_xlfn.XLOOKUP(C2670,Table_Tarikan_Warkah[Nomor Sertipikat],Table_Tarikan_Warkah[Nomor Tiket]),"")</f>
        <v>L/1/210625/PELATARAN</v>
      </c>
      <c r="E2670" s="36" t="str">
        <f t="array" ref="E2670">IFNA(_xlfn.XLOOKUP(D2670,Table_Tarikan_Warkah[Nomor Tiket],Table_Tarikan_Warkah[Tanggal diserahkan kepada Validator]),"")</f>
        <v/>
      </c>
      <c r="F2670" s="36" t="str">
        <f t="array" ref="F2670">IFNA(_xlfn.XLOOKUP(D2670,Table_Tarikan_Warkah[Nomor Tiket],Table_Tarikan_Warkah[Nama Petugas Warkah]),"")</f>
        <v/>
      </c>
      <c r="G2670" s="39" t="str">
        <f t="array" ref="G2670">IFNA(_xlfn.XLOOKUP(D2670,Table_Tarikan_Warkah[Nomor Tiket],Table_Tarikan_Warkah[Jenis Permohonan]),"")</f>
        <v>ROYA</v>
      </c>
      <c r="H2670" s="41" t="s">
        <v>2315</v>
      </c>
      <c r="I2670" s="49" t="s">
        <v>23</v>
      </c>
      <c r="J2670" s="36">
        <f t="shared" si="20"/>
        <v>45832.60571</v>
      </c>
      <c r="K2670" s="49" t="s">
        <v>2378</v>
      </c>
      <c r="L2670" s="49" t="s">
        <v>23</v>
      </c>
      <c r="M2670" s="36">
        <f t="shared" si="33"/>
        <v>45833.4971</v>
      </c>
      <c r="N2670" s="30" t="str">
        <f t="shared" si="34"/>
        <v>Selesai</v>
      </c>
      <c r="O2670" s="45">
        <f t="shared" si="23"/>
        <v>45833.4971</v>
      </c>
      <c r="P2670" s="47" t="b">
        <v>0</v>
      </c>
      <c r="Q2670" s="36" t="str">
        <f t="shared" si="24"/>
        <v/>
      </c>
      <c r="R2670" s="47" t="b">
        <v>0</v>
      </c>
      <c r="S2670" s="42" t="str">
        <f t="shared" si="28"/>
        <v/>
      </c>
      <c r="T2670" s="42"/>
    </row>
    <row r="2671" ht="22.5" customHeight="1">
      <c r="B2671" s="42">
        <f t="shared" si="7"/>
        <v>2665</v>
      </c>
      <c r="C2671" s="31" t="s">
        <v>2740</v>
      </c>
      <c r="D2671" s="34" t="str">
        <f t="array" ref="D2671">IFNA(_xlfn.XLOOKUP(C2671,Table_Tarikan_Warkah[Nomor Sertipikat],Table_Tarikan_Warkah[Nomor Tiket]),"")</f>
        <v>L/2/210625/PELATARAN</v>
      </c>
      <c r="E2671" s="36" t="str">
        <f t="array" ref="E2671">IFNA(_xlfn.XLOOKUP(D2671,Table_Tarikan_Warkah[Nomor Tiket],Table_Tarikan_Warkah[Tanggal diserahkan kepada Validator]),"")</f>
        <v/>
      </c>
      <c r="F2671" s="36" t="str">
        <f t="array" ref="F2671">IFNA(_xlfn.XLOOKUP(D2671,Table_Tarikan_Warkah[Nomor Tiket],Table_Tarikan_Warkah[Nama Petugas Warkah]),"")</f>
        <v/>
      </c>
      <c r="G2671" s="39" t="str">
        <f t="array" ref="G2671">IFNA(_xlfn.XLOOKUP(D2671,Table_Tarikan_Warkah[Nomor Tiket],Table_Tarikan_Warkah[Jenis Permohonan]),"")</f>
        <v>ROYA</v>
      </c>
      <c r="H2671" s="41" t="s">
        <v>2315</v>
      </c>
      <c r="I2671" s="49" t="s">
        <v>23</v>
      </c>
      <c r="J2671" s="36">
        <f t="shared" si="20"/>
        <v>45832.60586</v>
      </c>
      <c r="K2671" s="49" t="s">
        <v>2378</v>
      </c>
      <c r="L2671" s="49" t="s">
        <v>23</v>
      </c>
      <c r="M2671" s="36">
        <f t="shared" si="33"/>
        <v>45833.49704</v>
      </c>
      <c r="N2671" s="30" t="str">
        <f t="shared" si="34"/>
        <v>Selesai</v>
      </c>
      <c r="O2671" s="45">
        <f t="shared" si="23"/>
        <v>45833.49704</v>
      </c>
      <c r="P2671" s="47" t="b">
        <v>0</v>
      </c>
      <c r="Q2671" s="36" t="str">
        <f t="shared" si="24"/>
        <v/>
      </c>
      <c r="R2671" s="47" t="b">
        <v>0</v>
      </c>
      <c r="S2671" s="42" t="str">
        <f t="shared" si="28"/>
        <v/>
      </c>
      <c r="T2671" s="42"/>
    </row>
    <row r="2672" ht="22.5" customHeight="1">
      <c r="B2672" s="42">
        <f t="shared" si="7"/>
        <v>2666</v>
      </c>
      <c r="C2672" s="31" t="s">
        <v>2741</v>
      </c>
      <c r="D2672" s="34" t="str">
        <f t="array" ref="D2672">IFNA(_xlfn.XLOOKUP(C2672,Table_Tarikan_Warkah[Nomor Sertipikat],Table_Tarikan_Warkah[Nomor Tiket]),"")</f>
        <v>K/45/030625/3</v>
      </c>
      <c r="E2672" s="36">
        <f t="array" ref="E2672">IFNA(_xlfn.XLOOKUP(D2672,Table_Tarikan_Warkah[Nomor Tiket],Table_Tarikan_Warkah[Tanggal diserahkan kepada Validator]),"")</f>
        <v>45838.65973</v>
      </c>
      <c r="F2672" s="36" t="str">
        <f t="array" ref="F2672">IFNA(_xlfn.XLOOKUP(D2672,Table_Tarikan_Warkah[Nomor Tiket],Table_Tarikan_Warkah[Nama Petugas Warkah]),"")</f>
        <v>Berry</v>
      </c>
      <c r="G2672" s="39" t="str">
        <f t="array" ref="G2672">IFNA(_xlfn.XLOOKUP(D2672,Table_Tarikan_Warkah[Nomor Tiket],Table_Tarikan_Warkah[Jenis Permohonan]),"")</f>
        <v>BN JUAL BELI</v>
      </c>
      <c r="H2672" s="41" t="s">
        <v>2315</v>
      </c>
      <c r="I2672" s="49" t="s">
        <v>23</v>
      </c>
      <c r="J2672" s="36">
        <f t="shared" si="20"/>
        <v>45833.44449</v>
      </c>
      <c r="K2672" s="49" t="s">
        <v>2378</v>
      </c>
      <c r="L2672" s="49" t="s">
        <v>23</v>
      </c>
      <c r="M2672" s="36">
        <f t="shared" si="33"/>
        <v>45833.62285</v>
      </c>
      <c r="N2672" s="30" t="str">
        <f t="shared" si="34"/>
        <v>Selesai</v>
      </c>
      <c r="O2672" s="45">
        <f t="shared" si="23"/>
        <v>45833.62285</v>
      </c>
      <c r="P2672" s="47" t="b">
        <v>0</v>
      </c>
      <c r="Q2672" s="36" t="str">
        <f t="shared" si="24"/>
        <v/>
      </c>
      <c r="R2672" s="47" t="b">
        <v>0</v>
      </c>
      <c r="S2672" s="42" t="str">
        <f t="shared" si="28"/>
        <v/>
      </c>
      <c r="T2672" s="42"/>
    </row>
    <row r="2673" ht="22.5" customHeight="1">
      <c r="B2673" s="42">
        <f t="shared" si="7"/>
        <v>2667</v>
      </c>
      <c r="C2673" s="31" t="s">
        <v>2742</v>
      </c>
      <c r="D2673" s="34" t="str">
        <f t="array" ref="D2673">IFNA(_xlfn.XLOOKUP(C2673,Table_Tarikan_Warkah[Nomor Sertipikat],Table_Tarikan_Warkah[Nomor Tiket]),"")</f>
        <v>K/3/040625/1</v>
      </c>
      <c r="E2673" s="36">
        <f t="array" ref="E2673">IFNA(_xlfn.XLOOKUP(D2673,Table_Tarikan_Warkah[Nomor Tiket],Table_Tarikan_Warkah[Tanggal diserahkan kepada Validator]),"")</f>
        <v>45846.66056</v>
      </c>
      <c r="F2673" s="36" t="str">
        <f t="array" ref="F2673">IFNA(_xlfn.XLOOKUP(D2673,Table_Tarikan_Warkah[Nomor Tiket],Table_Tarikan_Warkah[Nama Petugas Warkah]),"")</f>
        <v>David</v>
      </c>
      <c r="G2673" s="39" t="str">
        <f t="array" ref="G2673">IFNA(_xlfn.XLOOKUP(D2673,Table_Tarikan_Warkah[Nomor Tiket],Table_Tarikan_Warkah[Jenis Permohonan]),"")</f>
        <v>ROYA</v>
      </c>
      <c r="H2673" s="41" t="s">
        <v>2315</v>
      </c>
      <c r="I2673" s="49" t="s">
        <v>23</v>
      </c>
      <c r="J2673" s="36">
        <f t="shared" si="20"/>
        <v>45833.44461</v>
      </c>
      <c r="K2673" s="49" t="s">
        <v>2378</v>
      </c>
      <c r="L2673" s="49" t="s">
        <v>23</v>
      </c>
      <c r="M2673" s="36">
        <f t="shared" si="33"/>
        <v>45833.62268</v>
      </c>
      <c r="N2673" s="30" t="str">
        <f t="shared" si="34"/>
        <v>Selesai</v>
      </c>
      <c r="O2673" s="45">
        <f t="shared" si="23"/>
        <v>45833.62268</v>
      </c>
      <c r="P2673" s="47" t="b">
        <v>0</v>
      </c>
      <c r="Q2673" s="36" t="str">
        <f t="shared" si="24"/>
        <v/>
      </c>
      <c r="R2673" s="47" t="b">
        <v>0</v>
      </c>
      <c r="S2673" s="42" t="str">
        <f t="shared" si="28"/>
        <v/>
      </c>
      <c r="T2673" s="42"/>
    </row>
    <row r="2674" ht="22.5" customHeight="1">
      <c r="B2674" s="42">
        <f t="shared" si="7"/>
        <v>2668</v>
      </c>
      <c r="C2674" s="31" t="s">
        <v>2743</v>
      </c>
      <c r="D2674" s="34" t="str">
        <f t="array" ref="D2674">IFNA(_xlfn.XLOOKUP(C2674,Table_Tarikan_Warkah[Nomor Sertipikat],Table_Tarikan_Warkah[Nomor Tiket]),"")</f>
        <v>K/48/040625/1</v>
      </c>
      <c r="E2674" s="36">
        <f t="array" ref="E2674">IFNA(_xlfn.XLOOKUP(D2674,Table_Tarikan_Warkah[Nomor Tiket],Table_Tarikan_Warkah[Tanggal diserahkan kepada Validator]),"")</f>
        <v>45838.65544</v>
      </c>
      <c r="F2674" s="36" t="str">
        <f t="array" ref="F2674">IFNA(_xlfn.XLOOKUP(D2674,Table_Tarikan_Warkah[Nomor Tiket],Table_Tarikan_Warkah[Nama Petugas Warkah]),"")</f>
        <v>Berry</v>
      </c>
      <c r="G2674" s="39" t="str">
        <f t="array" ref="G2674">IFNA(_xlfn.XLOOKUP(D2674,Table_Tarikan_Warkah[Nomor Tiket],Table_Tarikan_Warkah[Jenis Permohonan]),"")</f>
        <v>BN Jual Beli</v>
      </c>
      <c r="H2674" s="41" t="s">
        <v>2315</v>
      </c>
      <c r="I2674" s="49" t="s">
        <v>23</v>
      </c>
      <c r="J2674" s="36">
        <f t="shared" si="20"/>
        <v>45833.44475</v>
      </c>
      <c r="K2674" s="49" t="s">
        <v>2378</v>
      </c>
      <c r="L2674" s="49" t="s">
        <v>23</v>
      </c>
      <c r="M2674" s="36">
        <f t="shared" si="33"/>
        <v>45833.62258</v>
      </c>
      <c r="N2674" s="30" t="str">
        <f t="shared" si="34"/>
        <v>Selesai</v>
      </c>
      <c r="O2674" s="45">
        <f t="shared" si="23"/>
        <v>45833.62258</v>
      </c>
      <c r="P2674" s="47" t="b">
        <v>0</v>
      </c>
      <c r="Q2674" s="36" t="str">
        <f t="shared" si="24"/>
        <v/>
      </c>
      <c r="R2674" s="47" t="b">
        <v>0</v>
      </c>
      <c r="S2674" s="42" t="str">
        <f t="shared" si="28"/>
        <v/>
      </c>
      <c r="T2674" s="42"/>
    </row>
    <row r="2675" ht="22.5" customHeight="1">
      <c r="B2675" s="42">
        <f t="shared" si="7"/>
        <v>2669</v>
      </c>
      <c r="C2675" s="31" t="s">
        <v>2744</v>
      </c>
      <c r="D2675" s="34" t="str">
        <f t="array" ref="D2675">IFNA(_xlfn.XLOOKUP(C2675,Table_Tarikan_Warkah[Nomor Sertipikat],Table_Tarikan_Warkah[Nomor Tiket]),"")</f>
        <v>K/17/170625/1</v>
      </c>
      <c r="E2675" s="36">
        <f t="array" ref="E2675">IFNA(_xlfn.XLOOKUP(D2675,Table_Tarikan_Warkah[Nomor Tiket],Table_Tarikan_Warkah[Tanggal diserahkan kepada Validator]),"")</f>
        <v>45840.57084</v>
      </c>
      <c r="F2675" s="36" t="str">
        <f t="array" ref="F2675">IFNA(_xlfn.XLOOKUP(D2675,Table_Tarikan_Warkah[Nomor Tiket],Table_Tarikan_Warkah[Nama Petugas Warkah]),"")</f>
        <v>Berry</v>
      </c>
      <c r="G2675" s="39" t="str">
        <f t="array" ref="G2675">IFNA(_xlfn.XLOOKUP(D2675,Table_Tarikan_Warkah[Nomor Tiket],Table_Tarikan_Warkah[Jenis Permohonan]),"")</f>
        <v>Perubahan Hak</v>
      </c>
      <c r="H2675" s="41" t="s">
        <v>2315</v>
      </c>
      <c r="I2675" s="49" t="s">
        <v>23</v>
      </c>
      <c r="J2675" s="36">
        <f t="shared" si="20"/>
        <v>45833.44502</v>
      </c>
      <c r="K2675" s="49" t="s">
        <v>2378</v>
      </c>
      <c r="L2675" s="49" t="s">
        <v>23</v>
      </c>
      <c r="M2675" s="36">
        <f t="shared" si="33"/>
        <v>45833.62249</v>
      </c>
      <c r="N2675" s="30" t="str">
        <f t="shared" si="34"/>
        <v>Selesai</v>
      </c>
      <c r="O2675" s="45">
        <f t="shared" si="23"/>
        <v>45833.62249</v>
      </c>
      <c r="P2675" s="47" t="b">
        <v>0</v>
      </c>
      <c r="Q2675" s="36" t="str">
        <f t="shared" si="24"/>
        <v/>
      </c>
      <c r="R2675" s="47" t="b">
        <v>0</v>
      </c>
      <c r="S2675" s="42" t="str">
        <f t="shared" si="28"/>
        <v/>
      </c>
      <c r="T2675" s="42"/>
    </row>
    <row r="2676" ht="22.5" customHeight="1">
      <c r="B2676" s="42">
        <f t="shared" si="7"/>
        <v>2670</v>
      </c>
      <c r="C2676" s="31" t="s">
        <v>2745</v>
      </c>
      <c r="D2676" s="34" t="str">
        <f t="array" ref="D2676">IFNA(_xlfn.XLOOKUP(C2676,Table_Tarikan_Warkah[Nomor Sertipikat],Table_Tarikan_Warkah[Nomor Tiket]),"")</f>
        <v>K/23/190625/4</v>
      </c>
      <c r="E2676" s="36">
        <f t="array" ref="E2676">IFNA(_xlfn.XLOOKUP(D2676,Table_Tarikan_Warkah[Nomor Tiket],Table_Tarikan_Warkah[Tanggal diserahkan kepada Validator]),"")</f>
        <v>45838.65223</v>
      </c>
      <c r="F2676" s="36" t="str">
        <f t="array" ref="F2676">IFNA(_xlfn.XLOOKUP(D2676,Table_Tarikan_Warkah[Nomor Tiket],Table_Tarikan_Warkah[Nama Petugas Warkah]),"")</f>
        <v>Berry</v>
      </c>
      <c r="G2676" s="39" t="str">
        <f t="array" ref="G2676">IFNA(_xlfn.XLOOKUP(D2676,Table_Tarikan_Warkah[Nomor Tiket],Table_Tarikan_Warkah[Jenis Permohonan]),"")</f>
        <v>BN Jual Beli</v>
      </c>
      <c r="H2676" s="41" t="s">
        <v>2315</v>
      </c>
      <c r="I2676" s="49" t="s">
        <v>23</v>
      </c>
      <c r="J2676" s="36">
        <f t="shared" si="20"/>
        <v>45833.44515</v>
      </c>
      <c r="K2676" s="49" t="s">
        <v>2378</v>
      </c>
      <c r="L2676" s="49" t="s">
        <v>23</v>
      </c>
      <c r="M2676" s="36">
        <f t="shared" si="33"/>
        <v>45833.62239</v>
      </c>
      <c r="N2676" s="30" t="str">
        <f t="shared" si="34"/>
        <v>Selesai</v>
      </c>
      <c r="O2676" s="45">
        <f t="shared" si="23"/>
        <v>45833.62239</v>
      </c>
      <c r="P2676" s="47" t="b">
        <v>0</v>
      </c>
      <c r="Q2676" s="36" t="str">
        <f t="shared" si="24"/>
        <v/>
      </c>
      <c r="R2676" s="47" t="b">
        <v>0</v>
      </c>
      <c r="S2676" s="42" t="str">
        <f t="shared" si="28"/>
        <v/>
      </c>
      <c r="T2676" s="42"/>
    </row>
    <row r="2677" ht="22.5" customHeight="1">
      <c r="B2677" s="42">
        <f t="shared" si="7"/>
        <v>2671</v>
      </c>
      <c r="C2677" s="31" t="s">
        <v>2746</v>
      </c>
      <c r="D2677" s="34" t="str">
        <f t="array" ref="D2677">IFNA(_xlfn.XLOOKUP(C2677,Table_Tarikan_Warkah[Nomor Sertipikat],Table_Tarikan_Warkah[Nomor Tiket]),"")</f>
        <v>K/39/180625/2</v>
      </c>
      <c r="E2677" s="36">
        <f t="array" ref="E2677">IFNA(_xlfn.XLOOKUP(D2677,Table_Tarikan_Warkah[Nomor Tiket],Table_Tarikan_Warkah[Tanggal diserahkan kepada Validator]),"")</f>
        <v>45838.65198</v>
      </c>
      <c r="F2677" s="36" t="str">
        <f t="array" ref="F2677">IFNA(_xlfn.XLOOKUP(D2677,Table_Tarikan_Warkah[Nomor Tiket],Table_Tarikan_Warkah[Nama Petugas Warkah]),"")</f>
        <v>Berry</v>
      </c>
      <c r="G2677" s="39" t="str">
        <f t="array" ref="G2677">IFNA(_xlfn.XLOOKUP(D2677,Table_Tarikan_Warkah[Nomor Tiket],Table_Tarikan_Warkah[Jenis Permohonan]),"")</f>
        <v>BN Jual Beli</v>
      </c>
      <c r="H2677" s="41" t="s">
        <v>2315</v>
      </c>
      <c r="I2677" s="49" t="s">
        <v>23</v>
      </c>
      <c r="J2677" s="36">
        <f t="shared" si="20"/>
        <v>45833.44532</v>
      </c>
      <c r="K2677" s="49" t="s">
        <v>2378</v>
      </c>
      <c r="L2677" s="49" t="s">
        <v>23</v>
      </c>
      <c r="M2677" s="36">
        <f t="shared" si="33"/>
        <v>45833.62226</v>
      </c>
      <c r="N2677" s="30" t="str">
        <f t="shared" si="34"/>
        <v>Selesai</v>
      </c>
      <c r="O2677" s="45">
        <f t="shared" si="23"/>
        <v>45833.62226</v>
      </c>
      <c r="P2677" s="47" t="b">
        <v>0</v>
      </c>
      <c r="Q2677" s="36" t="str">
        <f t="shared" si="24"/>
        <v/>
      </c>
      <c r="R2677" s="47" t="b">
        <v>0</v>
      </c>
      <c r="S2677" s="42" t="str">
        <f t="shared" si="28"/>
        <v/>
      </c>
      <c r="T2677" s="42"/>
    </row>
    <row r="2678" ht="22.5" customHeight="1">
      <c r="B2678" s="42">
        <f t="shared" si="7"/>
        <v>2672</v>
      </c>
      <c r="C2678" s="31" t="s">
        <v>2747</v>
      </c>
      <c r="D2678" s="34" t="str">
        <f t="array" ref="D2678">IFNA(_xlfn.XLOOKUP(C2678,Table_Tarikan_Warkah[Nomor Sertipikat],Table_Tarikan_Warkah[Nomor Tiket]),"")</f>
        <v>K/12/160633/2</v>
      </c>
      <c r="E2678" s="36">
        <f t="array" ref="E2678">IFNA(_xlfn.XLOOKUP(D2678,Table_Tarikan_Warkah[Nomor Tiket],Table_Tarikan_Warkah[Tanggal diserahkan kepada Validator]),"")</f>
        <v>45838.65181</v>
      </c>
      <c r="F2678" s="36" t="str">
        <f t="array" ref="F2678">IFNA(_xlfn.XLOOKUP(D2678,Table_Tarikan_Warkah[Nomor Tiket],Table_Tarikan_Warkah[Nama Petugas Warkah]),"")</f>
        <v>Berry</v>
      </c>
      <c r="G2678" s="39" t="str">
        <f t="array" ref="G2678">IFNA(_xlfn.XLOOKUP(D2678,Table_Tarikan_Warkah[Nomor Tiket],Table_Tarikan_Warkah[Jenis Permohonan]),"")</f>
        <v>BN Jual Beli</v>
      </c>
      <c r="H2678" s="41" t="s">
        <v>2315</v>
      </c>
      <c r="I2678" s="49" t="s">
        <v>23</v>
      </c>
      <c r="J2678" s="36">
        <f t="shared" si="20"/>
        <v>45833.44544</v>
      </c>
      <c r="K2678" s="49" t="s">
        <v>2378</v>
      </c>
      <c r="L2678" s="49" t="s">
        <v>23</v>
      </c>
      <c r="M2678" s="36">
        <f t="shared" si="33"/>
        <v>45833.62212</v>
      </c>
      <c r="N2678" s="30" t="str">
        <f t="shared" si="34"/>
        <v>Selesai</v>
      </c>
      <c r="O2678" s="45">
        <f t="shared" si="23"/>
        <v>45833.62212</v>
      </c>
      <c r="P2678" s="47" t="b">
        <v>0</v>
      </c>
      <c r="Q2678" s="36" t="str">
        <f t="shared" si="24"/>
        <v/>
      </c>
      <c r="R2678" s="47" t="b">
        <v>0</v>
      </c>
      <c r="S2678" s="42" t="str">
        <f t="shared" si="28"/>
        <v/>
      </c>
      <c r="T2678" s="42"/>
    </row>
    <row r="2679" ht="22.5" customHeight="1">
      <c r="B2679" s="42">
        <f t="shared" si="7"/>
        <v>2673</v>
      </c>
      <c r="C2679" s="31" t="s">
        <v>2748</v>
      </c>
      <c r="D2679" s="34" t="str">
        <f t="array" ref="D2679">IFNA(_xlfn.XLOOKUP(C2679,Table_Tarikan_Warkah[Nomor Sertipikat],Table_Tarikan_Warkah[Nomor Tiket]),"")</f>
        <v>L/13/170625/1</v>
      </c>
      <c r="E2679" s="36">
        <f t="array" ref="E2679">IFNA(_xlfn.XLOOKUP(D2679,Table_Tarikan_Warkah[Nomor Tiket],Table_Tarikan_Warkah[Tanggal diserahkan kepada Validator]),"")</f>
        <v>45874.68783</v>
      </c>
      <c r="F2679" s="36" t="str">
        <f t="array" ref="F2679">IFNA(_xlfn.XLOOKUP(D2679,Table_Tarikan_Warkah[Nomor Tiket],Table_Tarikan_Warkah[Nama Petugas Warkah]),"")</f>
        <v>David</v>
      </c>
      <c r="G2679" s="39" t="str">
        <f t="array" ref="G2679">IFNA(_xlfn.XLOOKUP(D2679,Table_Tarikan_Warkah[Nomor Tiket],Table_Tarikan_Warkah[Jenis Permohonan]),"")</f>
        <v>ROYA</v>
      </c>
      <c r="H2679" s="41" t="s">
        <v>2315</v>
      </c>
      <c r="I2679" s="49" t="s">
        <v>23</v>
      </c>
      <c r="J2679" s="36">
        <f t="shared" si="20"/>
        <v>45833.44557</v>
      </c>
      <c r="K2679" s="49" t="s">
        <v>2378</v>
      </c>
      <c r="L2679" s="49" t="s">
        <v>23</v>
      </c>
      <c r="M2679" s="36">
        <f t="shared" si="33"/>
        <v>45833.62199</v>
      </c>
      <c r="N2679" s="30" t="str">
        <f t="shared" si="34"/>
        <v>Selesai</v>
      </c>
      <c r="O2679" s="45">
        <f t="shared" si="23"/>
        <v>45833.62199</v>
      </c>
      <c r="P2679" s="47" t="b">
        <v>0</v>
      </c>
      <c r="Q2679" s="36" t="str">
        <f t="shared" si="24"/>
        <v/>
      </c>
      <c r="R2679" s="47" t="b">
        <v>0</v>
      </c>
      <c r="S2679" s="42" t="str">
        <f t="shared" si="28"/>
        <v/>
      </c>
      <c r="T2679" s="42"/>
    </row>
    <row r="2680" ht="22.5" customHeight="1">
      <c r="B2680" s="42">
        <f t="shared" si="7"/>
        <v>2674</v>
      </c>
      <c r="C2680" s="31" t="s">
        <v>2749</v>
      </c>
      <c r="D2680" s="34" t="str">
        <f t="array" ref="D2680">IFNA(_xlfn.XLOOKUP(C2680,Table_Tarikan_Warkah[Nomor Sertipikat],Table_Tarikan_Warkah[Nomor Tiket]),"")</f>
        <v>L/22/170625/1</v>
      </c>
      <c r="E2680" s="36">
        <f t="array" ref="E2680">IFNA(_xlfn.XLOOKUP(D2680,Table_Tarikan_Warkah[Nomor Tiket],Table_Tarikan_Warkah[Tanggal diserahkan kepada Validator]),"")</f>
        <v>45856.63686</v>
      </c>
      <c r="F2680" s="36" t="str">
        <f t="array" ref="F2680">IFNA(_xlfn.XLOOKUP(D2680,Table_Tarikan_Warkah[Nomor Tiket],Table_Tarikan_Warkah[Nama Petugas Warkah]),"")</f>
        <v>David</v>
      </c>
      <c r="G2680" s="39" t="str">
        <f t="array" ref="G2680">IFNA(_xlfn.XLOOKUP(D2680,Table_Tarikan_Warkah[Nomor Tiket],Table_Tarikan_Warkah[Jenis Permohonan]),"")</f>
        <v>ROYA</v>
      </c>
      <c r="H2680" s="41" t="s">
        <v>2315</v>
      </c>
      <c r="I2680" s="49" t="s">
        <v>23</v>
      </c>
      <c r="J2680" s="36">
        <f t="shared" si="20"/>
        <v>45833.4457</v>
      </c>
      <c r="K2680" s="49" t="s">
        <v>2378</v>
      </c>
      <c r="L2680" s="49" t="s">
        <v>23</v>
      </c>
      <c r="M2680" s="36">
        <f t="shared" si="33"/>
        <v>45834.4055</v>
      </c>
      <c r="N2680" s="30" t="str">
        <f t="shared" si="34"/>
        <v>Selesai</v>
      </c>
      <c r="O2680" s="45">
        <f t="shared" si="23"/>
        <v>45834.4055</v>
      </c>
      <c r="P2680" s="47" t="b">
        <v>0</v>
      </c>
      <c r="Q2680" s="36" t="str">
        <f t="shared" si="24"/>
        <v/>
      </c>
      <c r="R2680" s="47" t="b">
        <v>0</v>
      </c>
      <c r="S2680" s="42" t="str">
        <f t="shared" si="28"/>
        <v/>
      </c>
      <c r="T2680" s="42"/>
    </row>
    <row r="2681" ht="22.5" customHeight="1">
      <c r="B2681" s="42">
        <f t="shared" si="7"/>
        <v>2675</v>
      </c>
      <c r="C2681" s="31" t="s">
        <v>2750</v>
      </c>
      <c r="D2681" s="34" t="str">
        <f t="array" ref="D2681">IFNA(_xlfn.XLOOKUP(C2681,Table_Tarikan_Warkah[Nomor Sertipikat],Table_Tarikan_Warkah[Nomor Tiket]),"")</f>
        <v>L/13/130625/1</v>
      </c>
      <c r="E2681" s="36">
        <f t="array" ref="E2681">IFNA(_xlfn.XLOOKUP(D2681,Table_Tarikan_Warkah[Nomor Tiket],Table_Tarikan_Warkah[Tanggal diserahkan kepada Validator]),"")</f>
        <v>45849.47673</v>
      </c>
      <c r="F2681" s="36" t="str">
        <f t="array" ref="F2681">IFNA(_xlfn.XLOOKUP(D2681,Table_Tarikan_Warkah[Nomor Tiket],Table_Tarikan_Warkah[Nama Petugas Warkah]),"")</f>
        <v>David</v>
      </c>
      <c r="G2681" s="39" t="str">
        <f t="array" ref="G2681">IFNA(_xlfn.XLOOKUP(D2681,Table_Tarikan_Warkah[Nomor Tiket],Table_Tarikan_Warkah[Jenis Permohonan]),"")</f>
        <v>ROYA</v>
      </c>
      <c r="H2681" s="41" t="s">
        <v>2315</v>
      </c>
      <c r="I2681" s="49" t="s">
        <v>23</v>
      </c>
      <c r="J2681" s="36">
        <f t="shared" si="20"/>
        <v>45833.44585</v>
      </c>
      <c r="K2681" s="49" t="s">
        <v>2378</v>
      </c>
      <c r="L2681" s="49" t="s">
        <v>23</v>
      </c>
      <c r="M2681" s="36">
        <f t="shared" si="33"/>
        <v>45834.40761</v>
      </c>
      <c r="N2681" s="30" t="str">
        <f t="shared" si="34"/>
        <v>Selesai</v>
      </c>
      <c r="O2681" s="45">
        <f t="shared" si="23"/>
        <v>45834.40761</v>
      </c>
      <c r="P2681" s="47" t="b">
        <v>0</v>
      </c>
      <c r="Q2681" s="36" t="str">
        <f t="shared" si="24"/>
        <v/>
      </c>
      <c r="R2681" s="47" t="b">
        <v>0</v>
      </c>
      <c r="S2681" s="42" t="str">
        <f t="shared" si="28"/>
        <v/>
      </c>
      <c r="T2681" s="42"/>
    </row>
    <row r="2682" ht="22.5" customHeight="1">
      <c r="B2682" s="42">
        <f t="shared" si="7"/>
        <v>2676</v>
      </c>
      <c r="C2682" s="31" t="s">
        <v>2751</v>
      </c>
      <c r="D2682" s="34" t="str">
        <f t="array" ref="D2682">IFNA(_xlfn.XLOOKUP(C2682,Table_Tarikan_Warkah[Nomor Sertipikat],Table_Tarikan_Warkah[Nomor Tiket]),"")</f>
        <v>L/11/130625/1</v>
      </c>
      <c r="E2682" s="36">
        <f t="array" ref="E2682">IFNA(_xlfn.XLOOKUP(D2682,Table_Tarikan_Warkah[Nomor Tiket],Table_Tarikan_Warkah[Tanggal diserahkan kepada Validator]),"")</f>
        <v>45875.48719</v>
      </c>
      <c r="F2682" s="36" t="str">
        <f t="array" ref="F2682">IFNA(_xlfn.XLOOKUP(D2682,Table_Tarikan_Warkah[Nomor Tiket],Table_Tarikan_Warkah[Nama Petugas Warkah]),"")</f>
        <v>David</v>
      </c>
      <c r="G2682" s="39" t="str">
        <f t="array" ref="G2682">IFNA(_xlfn.XLOOKUP(D2682,Table_Tarikan_Warkah[Nomor Tiket],Table_Tarikan_Warkah[Jenis Permohonan]),"")</f>
        <v>ROYA</v>
      </c>
      <c r="H2682" s="41" t="s">
        <v>2315</v>
      </c>
      <c r="I2682" s="49" t="s">
        <v>23</v>
      </c>
      <c r="J2682" s="36">
        <f t="shared" si="20"/>
        <v>45833.44605</v>
      </c>
      <c r="K2682" s="49" t="s">
        <v>2378</v>
      </c>
      <c r="L2682" s="49" t="s">
        <v>23</v>
      </c>
      <c r="M2682" s="36">
        <f t="shared" si="33"/>
        <v>45834.40562</v>
      </c>
      <c r="N2682" s="30" t="str">
        <f t="shared" si="34"/>
        <v>Selesai</v>
      </c>
      <c r="O2682" s="45">
        <f t="shared" si="23"/>
        <v>45834.40562</v>
      </c>
      <c r="P2682" s="47" t="b">
        <v>0</v>
      </c>
      <c r="Q2682" s="36" t="str">
        <f t="shared" si="24"/>
        <v/>
      </c>
      <c r="R2682" s="47" t="b">
        <v>0</v>
      </c>
      <c r="S2682" s="42" t="str">
        <f t="shared" si="28"/>
        <v/>
      </c>
      <c r="T2682" s="42"/>
    </row>
    <row r="2683" ht="22.5" customHeight="1">
      <c r="B2683" s="42">
        <f t="shared" si="7"/>
        <v>2677</v>
      </c>
      <c r="C2683" s="31" t="s">
        <v>2752</v>
      </c>
      <c r="D2683" s="34" t="str">
        <f t="array" ref="D2683">IFNA(_xlfn.XLOOKUP(C2683,Table_Tarikan_Warkah[Nomor Sertipikat],Table_Tarikan_Warkah[Nomor Tiket]),"")</f>
        <v>L/19/160635/1</v>
      </c>
      <c r="E2683" s="36">
        <f t="array" ref="E2683">IFNA(_xlfn.XLOOKUP(D2683,Table_Tarikan_Warkah[Nomor Tiket],Table_Tarikan_Warkah[Tanggal diserahkan kepada Validator]),"")</f>
        <v>45849.47075</v>
      </c>
      <c r="F2683" s="36" t="str">
        <f t="array" ref="F2683">IFNA(_xlfn.XLOOKUP(D2683,Table_Tarikan_Warkah[Nomor Tiket],Table_Tarikan_Warkah[Nama Petugas Warkah]),"")</f>
        <v>David</v>
      </c>
      <c r="G2683" s="39" t="str">
        <f t="array" ref="G2683">IFNA(_xlfn.XLOOKUP(D2683,Table_Tarikan_Warkah[Nomor Tiket],Table_Tarikan_Warkah[Jenis Permohonan]),"")</f>
        <v>ROYA</v>
      </c>
      <c r="H2683" s="41" t="s">
        <v>2315</v>
      </c>
      <c r="I2683" s="49" t="s">
        <v>23</v>
      </c>
      <c r="J2683" s="36">
        <f t="shared" si="20"/>
        <v>45833.4462</v>
      </c>
      <c r="K2683" s="49" t="s">
        <v>2378</v>
      </c>
      <c r="L2683" s="49" t="s">
        <v>23</v>
      </c>
      <c r="M2683" s="36">
        <f t="shared" si="33"/>
        <v>45834.40753</v>
      </c>
      <c r="N2683" s="30" t="str">
        <f t="shared" si="34"/>
        <v>Selesai</v>
      </c>
      <c r="O2683" s="45">
        <f t="shared" si="23"/>
        <v>45834.40753</v>
      </c>
      <c r="P2683" s="47" t="b">
        <v>0</v>
      </c>
      <c r="Q2683" s="36" t="str">
        <f t="shared" si="24"/>
        <v/>
      </c>
      <c r="R2683" s="47" t="b">
        <v>0</v>
      </c>
      <c r="S2683" s="42" t="str">
        <f t="shared" si="28"/>
        <v/>
      </c>
      <c r="T2683" s="42"/>
    </row>
    <row r="2684" ht="22.5" customHeight="1">
      <c r="B2684" s="42">
        <f t="shared" si="7"/>
        <v>2678</v>
      </c>
      <c r="C2684" s="31" t="s">
        <v>2753</v>
      </c>
      <c r="D2684" s="34" t="str">
        <f t="array" ref="D2684">IFNA(_xlfn.XLOOKUP(C2684,Table_Tarikan_Warkah[Nomor Sertipikat],Table_Tarikan_Warkah[Nomor Tiket]),"")</f>
        <v>K/35/190625/1</v>
      </c>
      <c r="E2684" s="36">
        <f t="array" ref="E2684">IFNA(_xlfn.XLOOKUP(D2684,Table_Tarikan_Warkah[Nomor Tiket],Table_Tarikan_Warkah[Tanggal diserahkan kepada Validator]),"")</f>
        <v>45839.62663</v>
      </c>
      <c r="F2684" s="36" t="str">
        <f t="array" ref="F2684">IFNA(_xlfn.XLOOKUP(D2684,Table_Tarikan_Warkah[Nomor Tiket],Table_Tarikan_Warkah[Nama Petugas Warkah]),"")</f>
        <v>Berry</v>
      </c>
      <c r="G2684" s="39" t="str">
        <f t="array" ref="G2684">IFNA(_xlfn.XLOOKUP(D2684,Table_Tarikan_Warkah[Nomor Tiket],Table_Tarikan_Warkah[Jenis Permohonan]),"")</f>
        <v>BN Jual Beli</v>
      </c>
      <c r="H2684" s="41" t="s">
        <v>2315</v>
      </c>
      <c r="I2684" s="49" t="s">
        <v>23</v>
      </c>
      <c r="J2684" s="36">
        <f t="shared" si="20"/>
        <v>45833.44638</v>
      </c>
      <c r="K2684" s="49" t="s">
        <v>2378</v>
      </c>
      <c r="L2684" s="49" t="s">
        <v>23</v>
      </c>
      <c r="M2684" s="36">
        <f t="shared" si="33"/>
        <v>45834.40741</v>
      </c>
      <c r="N2684" s="30" t="str">
        <f t="shared" si="34"/>
        <v>Selesai</v>
      </c>
      <c r="O2684" s="45">
        <f t="shared" si="23"/>
        <v>45834.40741</v>
      </c>
      <c r="P2684" s="47" t="b">
        <v>0</v>
      </c>
      <c r="Q2684" s="36" t="str">
        <f t="shared" si="24"/>
        <v/>
      </c>
      <c r="R2684" s="47" t="b">
        <v>0</v>
      </c>
      <c r="S2684" s="42" t="str">
        <f t="shared" si="28"/>
        <v/>
      </c>
      <c r="T2684" s="42"/>
    </row>
    <row r="2685" ht="22.5" customHeight="1">
      <c r="B2685" s="42">
        <f t="shared" si="7"/>
        <v>2679</v>
      </c>
      <c r="C2685" s="31" t="s">
        <v>2754</v>
      </c>
      <c r="D2685" s="34" t="str">
        <f t="array" ref="D2685">IFNA(_xlfn.XLOOKUP(C2685,Table_Tarikan_Warkah[Nomor Sertipikat],Table_Tarikan_Warkah[Nomor Tiket]),"")</f>
        <v>L/14/180625/1</v>
      </c>
      <c r="E2685" s="36">
        <f t="array" ref="E2685">IFNA(_xlfn.XLOOKUP(D2685,Table_Tarikan_Warkah[Nomor Tiket],Table_Tarikan_Warkah[Tanggal diserahkan kepada Validator]),"")</f>
        <v>45847.65794</v>
      </c>
      <c r="F2685" s="36" t="str">
        <f t="array" ref="F2685">IFNA(_xlfn.XLOOKUP(D2685,Table_Tarikan_Warkah[Nomor Tiket],Table_Tarikan_Warkah[Nama Petugas Warkah]),"")</f>
        <v>David</v>
      </c>
      <c r="G2685" s="39" t="str">
        <f t="array" ref="G2685">IFNA(_xlfn.XLOOKUP(D2685,Table_Tarikan_Warkah[Nomor Tiket],Table_Tarikan_Warkah[Jenis Permohonan]),"")</f>
        <v>ROYA</v>
      </c>
      <c r="H2685" s="41" t="s">
        <v>2315</v>
      </c>
      <c r="I2685" s="49" t="s">
        <v>23</v>
      </c>
      <c r="J2685" s="36">
        <f t="shared" si="20"/>
        <v>45833.4466</v>
      </c>
      <c r="K2685" s="49" t="s">
        <v>2378</v>
      </c>
      <c r="L2685" s="49" t="s">
        <v>23</v>
      </c>
      <c r="M2685" s="36">
        <f t="shared" si="33"/>
        <v>45834.4073</v>
      </c>
      <c r="N2685" s="30" t="str">
        <f t="shared" si="34"/>
        <v>Selesai</v>
      </c>
      <c r="O2685" s="45">
        <f t="shared" si="23"/>
        <v>45834.4073</v>
      </c>
      <c r="P2685" s="47" t="b">
        <v>0</v>
      </c>
      <c r="Q2685" s="36" t="str">
        <f t="shared" si="24"/>
        <v/>
      </c>
      <c r="R2685" s="47" t="b">
        <v>0</v>
      </c>
      <c r="S2685" s="42" t="str">
        <f t="shared" si="28"/>
        <v/>
      </c>
      <c r="T2685" s="42"/>
    </row>
    <row r="2686" ht="22.5" customHeight="1">
      <c r="B2686" s="42">
        <f t="shared" si="7"/>
        <v>2680</v>
      </c>
      <c r="C2686" s="31" t="s">
        <v>2755</v>
      </c>
      <c r="D2686" s="34" t="str">
        <f t="array" ref="D2686">IFNA(_xlfn.XLOOKUP(C2686,Table_Tarikan_Warkah[Nomor Sertipikat],Table_Tarikan_Warkah[Nomor Tiket]),"")</f>
        <v>K/6/210525/2</v>
      </c>
      <c r="E2686" s="36">
        <f t="array" ref="E2686">IFNA(_xlfn.XLOOKUP(D2686,Table_Tarikan_Warkah[Nomor Tiket],Table_Tarikan_Warkah[Tanggal diserahkan kepada Validator]),"")</f>
        <v>45839.62631</v>
      </c>
      <c r="F2686" s="36" t="str">
        <f t="array" ref="F2686">IFNA(_xlfn.XLOOKUP(D2686,Table_Tarikan_Warkah[Nomor Tiket],Table_Tarikan_Warkah[Nama Petugas Warkah]),"")</f>
        <v>Berry</v>
      </c>
      <c r="G2686" s="39" t="str">
        <f t="array" ref="G2686">IFNA(_xlfn.XLOOKUP(D2686,Table_Tarikan_Warkah[Nomor Tiket],Table_Tarikan_Warkah[Jenis Permohonan]),"")</f>
        <v>BN Jual Beli</v>
      </c>
      <c r="H2686" s="41" t="s">
        <v>2315</v>
      </c>
      <c r="I2686" s="49" t="s">
        <v>23</v>
      </c>
      <c r="J2686" s="36">
        <f t="shared" si="20"/>
        <v>45833.44678</v>
      </c>
      <c r="K2686" s="49" t="s">
        <v>2378</v>
      </c>
      <c r="L2686" s="49" t="s">
        <v>23</v>
      </c>
      <c r="M2686" s="36">
        <f t="shared" si="33"/>
        <v>45834.40572</v>
      </c>
      <c r="N2686" s="30" t="str">
        <f t="shared" si="34"/>
        <v>Selesai</v>
      </c>
      <c r="O2686" s="45">
        <f t="shared" si="23"/>
        <v>45834.40572</v>
      </c>
      <c r="P2686" s="47" t="b">
        <v>0</v>
      </c>
      <c r="Q2686" s="36" t="str">
        <f t="shared" si="24"/>
        <v/>
      </c>
      <c r="R2686" s="47" t="b">
        <v>0</v>
      </c>
      <c r="S2686" s="42" t="str">
        <f t="shared" si="28"/>
        <v/>
      </c>
      <c r="T2686" s="42"/>
    </row>
    <row r="2687" ht="22.5" customHeight="1">
      <c r="B2687" s="42">
        <f t="shared" si="7"/>
        <v>2681</v>
      </c>
      <c r="C2687" s="31" t="s">
        <v>2756</v>
      </c>
      <c r="D2687" s="34" t="str">
        <f t="array" ref="D2687">IFNA(_xlfn.XLOOKUP(C2687,Table_Tarikan_Warkah[Nomor Sertipikat],Table_Tarikan_Warkah[Nomor Tiket]),"")</f>
        <v>K/35/160635/1</v>
      </c>
      <c r="E2687" s="36">
        <f t="array" ref="E2687">IFNA(_xlfn.XLOOKUP(D2687,Table_Tarikan_Warkah[Nomor Tiket],Table_Tarikan_Warkah[Tanggal diserahkan kepada Validator]),"")</f>
        <v>45842.60976</v>
      </c>
      <c r="F2687" s="36" t="str">
        <f t="array" ref="F2687">IFNA(_xlfn.XLOOKUP(D2687,Table_Tarikan_Warkah[Nomor Tiket],Table_Tarikan_Warkah[Nama Petugas Warkah]),"")</f>
        <v>David</v>
      </c>
      <c r="G2687" s="39" t="str">
        <f t="array" ref="G2687">IFNA(_xlfn.XLOOKUP(D2687,Table_Tarikan_Warkah[Nomor Tiket],Table_Tarikan_Warkah[Jenis Permohonan]),"")</f>
        <v>Roya</v>
      </c>
      <c r="H2687" s="41" t="s">
        <v>2315</v>
      </c>
      <c r="I2687" s="49" t="s">
        <v>23</v>
      </c>
      <c r="J2687" s="36">
        <f t="shared" si="20"/>
        <v>45833.44695</v>
      </c>
      <c r="K2687" s="49" t="s">
        <v>2378</v>
      </c>
      <c r="L2687" s="49" t="s">
        <v>23</v>
      </c>
      <c r="M2687" s="36">
        <f t="shared" si="33"/>
        <v>45834.40503</v>
      </c>
      <c r="N2687" s="30" t="str">
        <f t="shared" si="34"/>
        <v>Selesai</v>
      </c>
      <c r="O2687" s="45">
        <f t="shared" si="23"/>
        <v>45834.40503</v>
      </c>
      <c r="P2687" s="47" t="b">
        <v>0</v>
      </c>
      <c r="Q2687" s="36" t="str">
        <f t="shared" si="24"/>
        <v/>
      </c>
      <c r="R2687" s="47" t="b">
        <v>0</v>
      </c>
      <c r="S2687" s="42" t="str">
        <f t="shared" si="28"/>
        <v/>
      </c>
      <c r="T2687" s="42"/>
    </row>
    <row r="2688" ht="22.5" customHeight="1">
      <c r="B2688" s="42">
        <f t="shared" si="7"/>
        <v>2682</v>
      </c>
      <c r="C2688" s="31" t="s">
        <v>2757</v>
      </c>
      <c r="D2688" s="34" t="str">
        <f t="array" ref="D2688">IFNA(_xlfn.XLOOKUP(C2688,Table_Tarikan_Warkah[Nomor Sertipikat],Table_Tarikan_Warkah[Nomor Tiket]),"")</f>
        <v>K/21/040625/1</v>
      </c>
      <c r="E2688" s="36" t="str">
        <f t="array" ref="E2688">IFNA(_xlfn.XLOOKUP(D2688,Table_Tarikan_Warkah[Nomor Tiket],Table_Tarikan_Warkah[Tanggal diserahkan kepada Validator]),"")</f>
        <v/>
      </c>
      <c r="F2688" s="36" t="str">
        <f t="array" ref="F2688">IFNA(_xlfn.XLOOKUP(D2688,Table_Tarikan_Warkah[Nomor Tiket],Table_Tarikan_Warkah[Nama Petugas Warkah]),"")</f>
        <v/>
      </c>
      <c r="G2688" s="39" t="str">
        <f t="array" ref="G2688">IFNA(_xlfn.XLOOKUP(D2688,Table_Tarikan_Warkah[Nomor Tiket],Table_Tarikan_Warkah[Jenis Permohonan]),"")</f>
        <v>BN WARIS</v>
      </c>
      <c r="H2688" s="41" t="s">
        <v>2315</v>
      </c>
      <c r="I2688" s="49" t="s">
        <v>23</v>
      </c>
      <c r="J2688" s="36">
        <f t="shared" si="20"/>
        <v>45833.44715</v>
      </c>
      <c r="K2688" s="49" t="s">
        <v>2378</v>
      </c>
      <c r="L2688" s="49" t="s">
        <v>23</v>
      </c>
      <c r="M2688" s="36">
        <f t="shared" si="33"/>
        <v>45834.40526</v>
      </c>
      <c r="N2688" s="30" t="str">
        <f t="shared" si="34"/>
        <v>Selesai</v>
      </c>
      <c r="O2688" s="45">
        <f t="shared" si="23"/>
        <v>45834.40526</v>
      </c>
      <c r="P2688" s="47" t="b">
        <v>0</v>
      </c>
      <c r="Q2688" s="36" t="str">
        <f t="shared" si="24"/>
        <v/>
      </c>
      <c r="R2688" s="47" t="b">
        <v>0</v>
      </c>
      <c r="S2688" s="42" t="str">
        <f t="shared" si="28"/>
        <v/>
      </c>
      <c r="T2688" s="42"/>
    </row>
    <row r="2689" ht="22.5" customHeight="1">
      <c r="B2689" s="42">
        <f t="shared" si="7"/>
        <v>2683</v>
      </c>
      <c r="C2689" s="31" t="s">
        <v>2758</v>
      </c>
      <c r="D2689" s="34" t="str">
        <f t="array" ref="D2689">IFNA(_xlfn.XLOOKUP(C2689,Table_Tarikan_Warkah[Nomor Sertipikat],Table_Tarikan_Warkah[Nomor Tiket]),"")</f>
        <v>L/1/230625/1</v>
      </c>
      <c r="E2689" s="36">
        <f t="array" ref="E2689">IFNA(_xlfn.XLOOKUP(D2689,Table_Tarikan_Warkah[Nomor Tiket],Table_Tarikan_Warkah[Tanggal diserahkan kepada Validator]),"")</f>
        <v>45847.6583</v>
      </c>
      <c r="F2689" s="36" t="str">
        <f t="array" ref="F2689">IFNA(_xlfn.XLOOKUP(D2689,Table_Tarikan_Warkah[Nomor Tiket],Table_Tarikan_Warkah[Nama Petugas Warkah]),"")</f>
        <v>David</v>
      </c>
      <c r="G2689" s="39" t="str">
        <f t="array" ref="G2689">IFNA(_xlfn.XLOOKUP(D2689,Table_Tarikan_Warkah[Nomor Tiket],Table_Tarikan_Warkah[Jenis Permohonan]),"")</f>
        <v>ROYA</v>
      </c>
      <c r="H2689" s="41" t="s">
        <v>2315</v>
      </c>
      <c r="I2689" s="49" t="s">
        <v>23</v>
      </c>
      <c r="J2689" s="36">
        <f t="shared" si="20"/>
        <v>45834.48847</v>
      </c>
      <c r="K2689" s="49" t="s">
        <v>2378</v>
      </c>
      <c r="L2689" s="49" t="s">
        <v>23</v>
      </c>
      <c r="M2689" s="36">
        <f t="shared" si="33"/>
        <v>45834.6433</v>
      </c>
      <c r="N2689" s="30" t="str">
        <f t="shared" si="34"/>
        <v>Selesai</v>
      </c>
      <c r="O2689" s="45">
        <f t="shared" si="23"/>
        <v>45834.6433</v>
      </c>
      <c r="P2689" s="47" t="b">
        <v>0</v>
      </c>
      <c r="Q2689" s="36" t="str">
        <f t="shared" si="24"/>
        <v/>
      </c>
      <c r="R2689" s="47" t="b">
        <v>0</v>
      </c>
      <c r="S2689" s="42" t="str">
        <f t="shared" si="28"/>
        <v/>
      </c>
      <c r="T2689" s="42"/>
    </row>
    <row r="2690" ht="22.5" customHeight="1">
      <c r="B2690" s="42">
        <f t="shared" si="7"/>
        <v>2684</v>
      </c>
      <c r="C2690" s="31" t="s">
        <v>2759</v>
      </c>
      <c r="D2690" s="34" t="str">
        <f t="array" ref="D2690">IFNA(_xlfn.XLOOKUP(C2690,Table_Tarikan_Warkah[Nomor Sertipikat],Table_Tarikan_Warkah[Nomor Tiket]),"")</f>
        <v>K/39/220525/1</v>
      </c>
      <c r="E2690" s="36">
        <f t="array" ref="E2690">IFNA(_xlfn.XLOOKUP(D2690,Table_Tarikan_Warkah[Nomor Tiket],Table_Tarikan_Warkah[Tanggal diserahkan kepada Validator]),"")</f>
        <v>45839.62509</v>
      </c>
      <c r="F2690" s="36" t="str">
        <f t="array" ref="F2690">IFNA(_xlfn.XLOOKUP(D2690,Table_Tarikan_Warkah[Nomor Tiket],Table_Tarikan_Warkah[Nama Petugas Warkah]),"")</f>
        <v>Berry</v>
      </c>
      <c r="G2690" s="39" t="str">
        <f t="array" ref="G2690">IFNA(_xlfn.XLOOKUP(D2690,Table_Tarikan_Warkah[Nomor Tiket],Table_Tarikan_Warkah[Jenis Permohonan]),"")</f>
        <v>BN JUAL BELI</v>
      </c>
      <c r="H2690" s="41" t="s">
        <v>2315</v>
      </c>
      <c r="I2690" s="49" t="s">
        <v>23</v>
      </c>
      <c r="J2690" s="36">
        <f t="shared" si="20"/>
        <v>45834.48873</v>
      </c>
      <c r="K2690" s="49" t="s">
        <v>2378</v>
      </c>
      <c r="L2690" s="49" t="s">
        <v>23</v>
      </c>
      <c r="M2690" s="36">
        <f t="shared" si="33"/>
        <v>45834.64313</v>
      </c>
      <c r="N2690" s="30" t="str">
        <f t="shared" si="34"/>
        <v>Selesai</v>
      </c>
      <c r="O2690" s="45">
        <f t="shared" si="23"/>
        <v>45834.64313</v>
      </c>
      <c r="P2690" s="47" t="b">
        <v>0</v>
      </c>
      <c r="Q2690" s="36" t="str">
        <f t="shared" si="24"/>
        <v/>
      </c>
      <c r="R2690" s="47" t="b">
        <v>0</v>
      </c>
      <c r="S2690" s="42" t="str">
        <f t="shared" si="28"/>
        <v/>
      </c>
      <c r="T2690" s="42"/>
    </row>
    <row r="2691" ht="22.5" customHeight="1">
      <c r="B2691" s="42">
        <f t="shared" si="7"/>
        <v>2685</v>
      </c>
      <c r="C2691" s="31" t="s">
        <v>2760</v>
      </c>
      <c r="D2691" s="34" t="str">
        <f t="array" ref="D2691">IFNA(_xlfn.XLOOKUP(C2691,Table_Tarikan_Warkah[Nomor Sertipikat],Table_Tarikan_Warkah[Nomor Tiket]),"")</f>
        <v>K/39/230625/1</v>
      </c>
      <c r="E2691" s="36">
        <f t="array" ref="E2691">IFNA(_xlfn.XLOOKUP(D2691,Table_Tarikan_Warkah[Nomor Tiket],Table_Tarikan_Warkah[Tanggal diserahkan kepada Validator]),"")</f>
        <v>45847.66036</v>
      </c>
      <c r="F2691" s="36" t="str">
        <f t="array" ref="F2691">IFNA(_xlfn.XLOOKUP(D2691,Table_Tarikan_Warkah[Nomor Tiket],Table_Tarikan_Warkah[Nama Petugas Warkah]),"")</f>
        <v>David</v>
      </c>
      <c r="G2691" s="39" t="str">
        <f t="array" ref="G2691">IFNA(_xlfn.XLOOKUP(D2691,Table_Tarikan_Warkah[Nomor Tiket],Table_Tarikan_Warkah[Jenis Permohonan]),"")</f>
        <v>ROYA</v>
      </c>
      <c r="H2691" s="41" t="s">
        <v>2315</v>
      </c>
      <c r="I2691" s="49" t="s">
        <v>23</v>
      </c>
      <c r="J2691" s="36">
        <f t="shared" si="20"/>
        <v>45834.48916</v>
      </c>
      <c r="K2691" s="49" t="s">
        <v>2378</v>
      </c>
      <c r="L2691" s="49" t="s">
        <v>23</v>
      </c>
      <c r="M2691" s="36">
        <f t="shared" si="33"/>
        <v>45838.43449</v>
      </c>
      <c r="N2691" s="30" t="str">
        <f t="shared" si="34"/>
        <v>Selesai</v>
      </c>
      <c r="O2691" s="45">
        <f t="shared" si="23"/>
        <v>45838.43449</v>
      </c>
      <c r="P2691" s="47" t="b">
        <v>0</v>
      </c>
      <c r="Q2691" s="36" t="str">
        <f t="shared" si="24"/>
        <v/>
      </c>
      <c r="R2691" s="47" t="b">
        <v>0</v>
      </c>
      <c r="S2691" s="42" t="str">
        <f t="shared" si="28"/>
        <v/>
      </c>
      <c r="T2691" s="42"/>
    </row>
    <row r="2692" ht="22.5" customHeight="1">
      <c r="B2692" s="42">
        <f t="shared" si="7"/>
        <v>2686</v>
      </c>
      <c r="C2692" s="31" t="s">
        <v>2761</v>
      </c>
      <c r="D2692" s="34" t="str">
        <f t="array" ref="D2692">IFNA(_xlfn.XLOOKUP(C2692,Table_Tarikan_Warkah[Nomor Sertipikat],Table_Tarikan_Warkah[Nomor Tiket]),"")</f>
        <v>L/6/200625/1</v>
      </c>
      <c r="E2692" s="36" t="str">
        <f t="array" ref="E2692">IFNA(_xlfn.XLOOKUP(D2692,Table_Tarikan_Warkah[Nomor Tiket],Table_Tarikan_Warkah[Tanggal diserahkan kepada Validator]),"")</f>
        <v/>
      </c>
      <c r="F2692" s="36" t="str">
        <f t="array" ref="F2692">IFNA(_xlfn.XLOOKUP(D2692,Table_Tarikan_Warkah[Nomor Tiket],Table_Tarikan_Warkah[Nama Petugas Warkah]),"")</f>
        <v/>
      </c>
      <c r="G2692" s="39" t="str">
        <f t="array" ref="G2692">IFNA(_xlfn.XLOOKUP(D2692,Table_Tarikan_Warkah[Nomor Tiket],Table_Tarikan_Warkah[Jenis Permohonan]),"")</f>
        <v>ROYA</v>
      </c>
      <c r="H2692" s="41" t="s">
        <v>2315</v>
      </c>
      <c r="I2692" s="49" t="s">
        <v>23</v>
      </c>
      <c r="J2692" s="36">
        <f t="shared" si="20"/>
        <v>45834.48958</v>
      </c>
      <c r="K2692" s="49" t="s">
        <v>2378</v>
      </c>
      <c r="L2692" s="49" t="s">
        <v>23</v>
      </c>
      <c r="M2692" s="36">
        <f t="shared" si="33"/>
        <v>45834.64302</v>
      </c>
      <c r="N2692" s="30" t="str">
        <f t="shared" si="34"/>
        <v>Selesai</v>
      </c>
      <c r="O2692" s="45">
        <f t="shared" si="23"/>
        <v>45834.64302</v>
      </c>
      <c r="P2692" s="47" t="b">
        <v>0</v>
      </c>
      <c r="Q2692" s="36" t="str">
        <f t="shared" si="24"/>
        <v/>
      </c>
      <c r="R2692" s="47" t="b">
        <v>0</v>
      </c>
      <c r="S2692" s="42" t="str">
        <f t="shared" si="28"/>
        <v/>
      </c>
      <c r="T2692" s="42"/>
    </row>
    <row r="2693" ht="22.5" customHeight="1">
      <c r="B2693" s="42">
        <f t="shared" si="7"/>
        <v>2687</v>
      </c>
      <c r="C2693" s="31" t="s">
        <v>2762</v>
      </c>
      <c r="D2693" s="34" t="str">
        <f t="array" ref="D2693">IFNA(_xlfn.XLOOKUP(C2693,Table_Tarikan_Warkah[Nomor Sertipikat],Table_Tarikan_Warkah[Nomor Tiket]),"")</f>
        <v>L/15/200625/1</v>
      </c>
      <c r="E2693" s="36">
        <f t="array" ref="E2693">IFNA(_xlfn.XLOOKUP(D2693,Table_Tarikan_Warkah[Nomor Tiket],Table_Tarikan_Warkah[Tanggal diserahkan kepada Validator]),"")</f>
        <v>45846.66846</v>
      </c>
      <c r="F2693" s="36" t="str">
        <f t="array" ref="F2693">IFNA(_xlfn.XLOOKUP(D2693,Table_Tarikan_Warkah[Nomor Tiket],Table_Tarikan_Warkah[Nama Petugas Warkah]),"")</f>
        <v>David</v>
      </c>
      <c r="G2693" s="39" t="str">
        <f t="array" ref="G2693">IFNA(_xlfn.XLOOKUP(D2693,Table_Tarikan_Warkah[Nomor Tiket],Table_Tarikan_Warkah[Jenis Permohonan]),"")</f>
        <v>ROYA</v>
      </c>
      <c r="H2693" s="41" t="s">
        <v>2315</v>
      </c>
      <c r="I2693" s="49" t="s">
        <v>23</v>
      </c>
      <c r="J2693" s="36">
        <f t="shared" si="20"/>
        <v>45834.48977</v>
      </c>
      <c r="K2693" s="49" t="s">
        <v>2378</v>
      </c>
      <c r="L2693" s="49" t="s">
        <v>23</v>
      </c>
      <c r="M2693" s="36">
        <f t="shared" si="33"/>
        <v>45834.64278</v>
      </c>
      <c r="N2693" s="30" t="str">
        <f t="shared" si="34"/>
        <v>Selesai</v>
      </c>
      <c r="O2693" s="45">
        <f t="shared" si="23"/>
        <v>45834.64278</v>
      </c>
      <c r="P2693" s="47" t="b">
        <v>0</v>
      </c>
      <c r="Q2693" s="36" t="str">
        <f t="shared" si="24"/>
        <v/>
      </c>
      <c r="R2693" s="47" t="b">
        <v>0</v>
      </c>
      <c r="S2693" s="42" t="str">
        <f t="shared" si="28"/>
        <v/>
      </c>
      <c r="T2693" s="42"/>
    </row>
    <row r="2694" ht="22.5" customHeight="1">
      <c r="B2694" s="42">
        <f t="shared" si="7"/>
        <v>2688</v>
      </c>
      <c r="C2694" s="31" t="s">
        <v>2763</v>
      </c>
      <c r="D2694" s="34" t="str">
        <f t="array" ref="D2694">IFNA(_xlfn.XLOOKUP(C2694,Table_Tarikan_Warkah[Nomor Sertipikat],Table_Tarikan_Warkah[Nomor Tiket]),"")</f>
        <v>L/30/170625/1</v>
      </c>
      <c r="E2694" s="36">
        <f t="array" ref="E2694">IFNA(_xlfn.XLOOKUP(D2694,Table_Tarikan_Warkah[Nomor Tiket],Table_Tarikan_Warkah[Tanggal diserahkan kepada Validator]),"")</f>
        <v>45847.65947</v>
      </c>
      <c r="F2694" s="36" t="str">
        <f t="array" ref="F2694">IFNA(_xlfn.XLOOKUP(D2694,Table_Tarikan_Warkah[Nomor Tiket],Table_Tarikan_Warkah[Nama Petugas Warkah]),"")</f>
        <v>David</v>
      </c>
      <c r="G2694" s="39" t="str">
        <f t="array" ref="G2694">IFNA(_xlfn.XLOOKUP(D2694,Table_Tarikan_Warkah[Nomor Tiket],Table_Tarikan_Warkah[Jenis Permohonan]),"")</f>
        <v>ROYA</v>
      </c>
      <c r="H2694" s="41" t="s">
        <v>2315</v>
      </c>
      <c r="I2694" s="49" t="s">
        <v>23</v>
      </c>
      <c r="J2694" s="36">
        <f t="shared" si="20"/>
        <v>45834.48997</v>
      </c>
      <c r="K2694" s="49" t="s">
        <v>2378</v>
      </c>
      <c r="L2694" s="49" t="s">
        <v>23</v>
      </c>
      <c r="M2694" s="36">
        <f t="shared" si="33"/>
        <v>45834.64261</v>
      </c>
      <c r="N2694" s="30" t="str">
        <f t="shared" si="34"/>
        <v>Selesai</v>
      </c>
      <c r="O2694" s="45">
        <f t="shared" si="23"/>
        <v>45834.64261</v>
      </c>
      <c r="P2694" s="47" t="b">
        <v>0</v>
      </c>
      <c r="Q2694" s="36" t="str">
        <f t="shared" si="24"/>
        <v/>
      </c>
      <c r="R2694" s="47" t="b">
        <v>0</v>
      </c>
      <c r="S2694" s="42" t="str">
        <f t="shared" si="28"/>
        <v/>
      </c>
      <c r="T2694" s="42"/>
    </row>
    <row r="2695" ht="22.5" customHeight="1">
      <c r="B2695" s="42">
        <f t="shared" si="7"/>
        <v>2689</v>
      </c>
      <c r="C2695" s="31" t="s">
        <v>2764</v>
      </c>
      <c r="D2695" s="34" t="str">
        <f t="array" ref="D2695">IFNA(_xlfn.XLOOKUP(C2695,Table_Tarikan_Warkah[Nomor Sertipikat],Table_Tarikan_Warkah[Nomor Tiket]),"")</f>
        <v>L/19/170625/1</v>
      </c>
      <c r="E2695" s="36">
        <f t="array" ref="E2695">IFNA(_xlfn.XLOOKUP(D2695,Table_Tarikan_Warkah[Nomor Tiket],Table_Tarikan_Warkah[Tanggal diserahkan kepada Validator]),"")</f>
        <v>45849.4677</v>
      </c>
      <c r="F2695" s="36" t="str">
        <f t="array" ref="F2695">IFNA(_xlfn.XLOOKUP(D2695,Table_Tarikan_Warkah[Nomor Tiket],Table_Tarikan_Warkah[Nama Petugas Warkah]),"")</f>
        <v>David</v>
      </c>
      <c r="G2695" s="39" t="str">
        <f t="array" ref="G2695">IFNA(_xlfn.XLOOKUP(D2695,Table_Tarikan_Warkah[Nomor Tiket],Table_Tarikan_Warkah[Jenis Permohonan]),"")</f>
        <v>ROYA</v>
      </c>
      <c r="H2695" s="41" t="s">
        <v>2315</v>
      </c>
      <c r="I2695" s="49" t="s">
        <v>23</v>
      </c>
      <c r="J2695" s="36">
        <f t="shared" si="20"/>
        <v>45834.49013</v>
      </c>
      <c r="K2695" s="49" t="s">
        <v>2378</v>
      </c>
      <c r="L2695" s="49" t="s">
        <v>23</v>
      </c>
      <c r="M2695" s="36">
        <f t="shared" si="33"/>
        <v>45838.4346</v>
      </c>
      <c r="N2695" s="30" t="str">
        <f t="shared" si="34"/>
        <v>Selesai</v>
      </c>
      <c r="O2695" s="45">
        <f t="shared" si="23"/>
        <v>45838.4346</v>
      </c>
      <c r="P2695" s="47" t="b">
        <v>0</v>
      </c>
      <c r="Q2695" s="36" t="str">
        <f t="shared" si="24"/>
        <v/>
      </c>
      <c r="R2695" s="47" t="b">
        <v>0</v>
      </c>
      <c r="S2695" s="42" t="str">
        <f t="shared" si="28"/>
        <v/>
      </c>
      <c r="T2695" s="42"/>
    </row>
    <row r="2696" ht="22.5" customHeight="1">
      <c r="B2696" s="42">
        <f t="shared" si="7"/>
        <v>2690</v>
      </c>
      <c r="C2696" s="31" t="s">
        <v>2765</v>
      </c>
      <c r="D2696" s="34" t="str">
        <f t="array" ref="D2696">IFNA(_xlfn.XLOOKUP(C2696,Table_Tarikan_Warkah[Nomor Sertipikat],Table_Tarikan_Warkah[Nomor Tiket]),"")</f>
        <v>L/3/180625/1</v>
      </c>
      <c r="E2696" s="36">
        <f t="array" ref="E2696">IFNA(_xlfn.XLOOKUP(D2696,Table_Tarikan_Warkah[Nomor Tiket],Table_Tarikan_Warkah[Tanggal diserahkan kepada Validator]),"")</f>
        <v>45902.63409</v>
      </c>
      <c r="F2696" s="36" t="str">
        <f t="array" ref="F2696">IFNA(_xlfn.XLOOKUP(D2696,Table_Tarikan_Warkah[Nomor Tiket],Table_Tarikan_Warkah[Nama Petugas Warkah]),"")</f>
        <v>Berry</v>
      </c>
      <c r="G2696" s="39" t="str">
        <f t="array" ref="G2696">IFNA(_xlfn.XLOOKUP(D2696,Table_Tarikan_Warkah[Nomor Tiket],Table_Tarikan_Warkah[Jenis Permohonan]),"")</f>
        <v>ROYA</v>
      </c>
      <c r="H2696" s="41" t="s">
        <v>2315</v>
      </c>
      <c r="I2696" s="49" t="s">
        <v>23</v>
      </c>
      <c r="J2696" s="36">
        <f t="shared" si="20"/>
        <v>45834.49029</v>
      </c>
      <c r="K2696" s="49" t="s">
        <v>2378</v>
      </c>
      <c r="L2696" s="49" t="s">
        <v>23</v>
      </c>
      <c r="M2696" s="36">
        <f t="shared" si="33"/>
        <v>45838.43471</v>
      </c>
      <c r="N2696" s="30" t="str">
        <f t="shared" si="34"/>
        <v>Selesai</v>
      </c>
      <c r="O2696" s="45">
        <f t="shared" si="23"/>
        <v>45838.43471</v>
      </c>
      <c r="P2696" s="47" t="b">
        <v>0</v>
      </c>
      <c r="Q2696" s="36" t="str">
        <f t="shared" si="24"/>
        <v/>
      </c>
      <c r="R2696" s="47" t="b">
        <v>0</v>
      </c>
      <c r="S2696" s="42" t="str">
        <f t="shared" si="28"/>
        <v/>
      </c>
      <c r="T2696" s="42"/>
    </row>
    <row r="2697" ht="22.5" customHeight="1">
      <c r="B2697" s="42">
        <f t="shared" si="7"/>
        <v>2691</v>
      </c>
      <c r="C2697" s="31" t="s">
        <v>2766</v>
      </c>
      <c r="D2697" s="34" t="str">
        <f t="array" ref="D2697">IFNA(_xlfn.XLOOKUP(C2697,Table_Tarikan_Warkah[Nomor Sertipikat],Table_Tarikan_Warkah[Nomor Tiket]),"")</f>
        <v>K/10/100625/1</v>
      </c>
      <c r="E2697" s="36">
        <f t="array" ref="E2697">IFNA(_xlfn.XLOOKUP(D2697,Table_Tarikan_Warkah[Nomor Tiket],Table_Tarikan_Warkah[Tanggal diserahkan kepada Validator]),"")</f>
        <v>45841.5003</v>
      </c>
      <c r="F2697" s="36" t="str">
        <f t="array" ref="F2697">IFNA(_xlfn.XLOOKUP(D2697,Table_Tarikan_Warkah[Nomor Tiket],Table_Tarikan_Warkah[Nama Petugas Warkah]),"")</f>
        <v>Berry</v>
      </c>
      <c r="G2697" s="39" t="str">
        <f t="array" ref="G2697">IFNA(_xlfn.XLOOKUP(D2697,Table_Tarikan_Warkah[Nomor Tiket],Table_Tarikan_Warkah[Jenis Permohonan]),"")</f>
        <v>BN JUAL BELI</v>
      </c>
      <c r="H2697" s="41" t="s">
        <v>2315</v>
      </c>
      <c r="I2697" s="49" t="s">
        <v>23</v>
      </c>
      <c r="J2697" s="36">
        <f t="shared" si="20"/>
        <v>45834.49052</v>
      </c>
      <c r="K2697" s="49" t="s">
        <v>2378</v>
      </c>
      <c r="L2697" s="49" t="s">
        <v>23</v>
      </c>
      <c r="M2697" s="36">
        <f t="shared" si="33"/>
        <v>45838.43479</v>
      </c>
      <c r="N2697" s="30" t="str">
        <f t="shared" si="34"/>
        <v>Selesai</v>
      </c>
      <c r="O2697" s="45">
        <f t="shared" si="23"/>
        <v>45838.43479</v>
      </c>
      <c r="P2697" s="47" t="b">
        <v>0</v>
      </c>
      <c r="Q2697" s="36" t="str">
        <f t="shared" si="24"/>
        <v/>
      </c>
      <c r="R2697" s="47" t="b">
        <v>0</v>
      </c>
      <c r="S2697" s="42" t="str">
        <f t="shared" si="28"/>
        <v/>
      </c>
      <c r="T2697" s="42"/>
    </row>
    <row r="2698" ht="22.5" customHeight="1">
      <c r="B2698" s="42">
        <f t="shared" si="7"/>
        <v>2692</v>
      </c>
      <c r="C2698" s="31" t="s">
        <v>2767</v>
      </c>
      <c r="D2698" s="34" t="str">
        <f t="array" ref="D2698">IFNA(_xlfn.XLOOKUP(C2698,Table_Tarikan_Warkah[Nomor Sertipikat],Table_Tarikan_Warkah[Nomor Tiket]),"")</f>
        <v>K/7/100625/1</v>
      </c>
      <c r="E2698" s="36">
        <f t="array" ref="E2698">IFNA(_xlfn.XLOOKUP(D2698,Table_Tarikan_Warkah[Nomor Tiket],Table_Tarikan_Warkah[Tanggal diserahkan kepada Validator]),"")</f>
        <v>45841.52555</v>
      </c>
      <c r="F2698" s="36" t="str">
        <f t="array" ref="F2698">IFNA(_xlfn.XLOOKUP(D2698,Table_Tarikan_Warkah[Nomor Tiket],Table_Tarikan_Warkah[Nama Petugas Warkah]),"")</f>
        <v>Berry</v>
      </c>
      <c r="G2698" s="39" t="str">
        <f t="array" ref="G2698">IFNA(_xlfn.XLOOKUP(D2698,Table_Tarikan_Warkah[Nomor Tiket],Table_Tarikan_Warkah[Jenis Permohonan]),"")</f>
        <v>BN WARIS</v>
      </c>
      <c r="H2698" s="41" t="s">
        <v>2315</v>
      </c>
      <c r="I2698" s="49" t="s">
        <v>23</v>
      </c>
      <c r="J2698" s="36">
        <f t="shared" si="20"/>
        <v>45834.49063</v>
      </c>
      <c r="K2698" s="49" t="s">
        <v>2378</v>
      </c>
      <c r="L2698" s="49" t="s">
        <v>23</v>
      </c>
      <c r="M2698" s="36">
        <f t="shared" si="33"/>
        <v>45838.4349</v>
      </c>
      <c r="N2698" s="30" t="str">
        <f t="shared" si="34"/>
        <v>Selesai</v>
      </c>
      <c r="O2698" s="45">
        <f t="shared" si="23"/>
        <v>45838.4349</v>
      </c>
      <c r="P2698" s="47" t="b">
        <v>0</v>
      </c>
      <c r="Q2698" s="36" t="str">
        <f t="shared" si="24"/>
        <v/>
      </c>
      <c r="R2698" s="47" t="b">
        <v>0</v>
      </c>
      <c r="S2698" s="42" t="str">
        <f t="shared" si="28"/>
        <v/>
      </c>
      <c r="T2698" s="42"/>
    </row>
    <row r="2699" ht="22.5" customHeight="1">
      <c r="B2699" s="42">
        <f t="shared" si="7"/>
        <v>2693</v>
      </c>
      <c r="C2699" s="31" t="s">
        <v>2768</v>
      </c>
      <c r="D2699" s="34" t="str">
        <f t="array" ref="D2699">IFNA(_xlfn.XLOOKUP(C2699,Table_Tarikan_Warkah[Nomor Sertipikat],Table_Tarikan_Warkah[Nomor Tiket]),"")</f>
        <v>L/15/180625/1</v>
      </c>
      <c r="E2699" s="36">
        <f t="array" ref="E2699">IFNA(_xlfn.XLOOKUP(D2699,Table_Tarikan_Warkah[Nomor Tiket],Table_Tarikan_Warkah[Tanggal diserahkan kepada Validator]),"")</f>
        <v>45849.46799</v>
      </c>
      <c r="F2699" s="36" t="str">
        <f t="array" ref="F2699">IFNA(_xlfn.XLOOKUP(D2699,Table_Tarikan_Warkah[Nomor Tiket],Table_Tarikan_Warkah[Nama Petugas Warkah]),"")</f>
        <v>David</v>
      </c>
      <c r="G2699" s="39" t="str">
        <f t="array" ref="G2699">IFNA(_xlfn.XLOOKUP(D2699,Table_Tarikan_Warkah[Nomor Tiket],Table_Tarikan_Warkah[Jenis Permohonan]),"")</f>
        <v>ROYA</v>
      </c>
      <c r="H2699" s="41" t="s">
        <v>2315</v>
      </c>
      <c r="I2699" s="49" t="s">
        <v>23</v>
      </c>
      <c r="J2699" s="36">
        <f t="shared" si="20"/>
        <v>45834.62013</v>
      </c>
      <c r="K2699" s="49" t="s">
        <v>2378</v>
      </c>
      <c r="L2699" s="49" t="s">
        <v>23</v>
      </c>
      <c r="M2699" s="36">
        <f t="shared" si="33"/>
        <v>45838.43501</v>
      </c>
      <c r="N2699" s="30" t="str">
        <f t="shared" si="34"/>
        <v>Selesai</v>
      </c>
      <c r="O2699" s="45">
        <f t="shared" si="23"/>
        <v>45838.43501</v>
      </c>
      <c r="P2699" s="47" t="b">
        <v>0</v>
      </c>
      <c r="Q2699" s="36" t="str">
        <f t="shared" si="24"/>
        <v/>
      </c>
      <c r="R2699" s="47" t="b">
        <v>0</v>
      </c>
      <c r="S2699" s="42" t="str">
        <f t="shared" si="28"/>
        <v/>
      </c>
      <c r="T2699" s="42"/>
    </row>
    <row r="2700" ht="22.5" customHeight="1">
      <c r="B2700" s="42">
        <f t="shared" si="7"/>
        <v>2694</v>
      </c>
      <c r="C2700" s="31" t="s">
        <v>2769</v>
      </c>
      <c r="D2700" s="34" t="str">
        <f t="array" ref="D2700">IFNA(_xlfn.XLOOKUP(C2700,Table_Tarikan_Warkah[Nomor Sertipikat],Table_Tarikan_Warkah[Nomor Tiket]),"")</f>
        <v>K/42/040625/1</v>
      </c>
      <c r="E2700" s="36">
        <f t="array" ref="E2700">IFNA(_xlfn.XLOOKUP(D2700,Table_Tarikan_Warkah[Nomor Tiket],Table_Tarikan_Warkah[Tanggal diserahkan kepada Validator]),"")</f>
        <v>45838.68473</v>
      </c>
      <c r="F2700" s="36" t="str">
        <f t="array" ref="F2700">IFNA(_xlfn.XLOOKUP(D2700,Table_Tarikan_Warkah[Nomor Tiket],Table_Tarikan_Warkah[Nama Petugas Warkah]),"")</f>
        <v>Berry</v>
      </c>
      <c r="G2700" s="39" t="str">
        <f t="array" ref="G2700">IFNA(_xlfn.XLOOKUP(D2700,Table_Tarikan_Warkah[Nomor Tiket],Table_Tarikan_Warkah[Jenis Permohonan]),"")</f>
        <v>BN Jual Beli</v>
      </c>
      <c r="H2700" s="41" t="s">
        <v>20</v>
      </c>
      <c r="I2700" s="49" t="s">
        <v>23</v>
      </c>
      <c r="J2700" s="36">
        <f t="shared" si="20"/>
        <v>45834.73214</v>
      </c>
      <c r="K2700" s="49" t="s">
        <v>920</v>
      </c>
      <c r="L2700" s="49" t="s">
        <v>23</v>
      </c>
      <c r="M2700" s="36">
        <f t="shared" si="33"/>
        <v>45834.73219</v>
      </c>
      <c r="N2700" s="30" t="str">
        <f t="shared" si="34"/>
        <v>Selesai</v>
      </c>
      <c r="O2700" s="45">
        <f t="shared" si="23"/>
        <v>45834.73219</v>
      </c>
      <c r="P2700" s="47" t="b">
        <v>1</v>
      </c>
      <c r="Q2700" s="36">
        <f t="shared" si="24"/>
        <v>45834.73224</v>
      </c>
      <c r="R2700" s="47" t="b">
        <v>0</v>
      </c>
      <c r="S2700" s="42" t="str">
        <f t="shared" si="28"/>
        <v/>
      </c>
      <c r="T2700" s="42"/>
    </row>
    <row r="2701" ht="22.5" customHeight="1">
      <c r="B2701" s="42">
        <f t="shared" si="7"/>
        <v>2695</v>
      </c>
      <c r="C2701" s="31" t="s">
        <v>2770</v>
      </c>
      <c r="D2701" s="34" t="str">
        <f t="array" ref="D2701">IFNA(_xlfn.XLOOKUP(C2701,Table_Tarikan_Warkah[Nomor Sertipikat],Table_Tarikan_Warkah[Nomor Tiket]),"")</f>
        <v>K/11/160632/1</v>
      </c>
      <c r="E2701" s="36">
        <f t="array" ref="E2701">IFNA(_xlfn.XLOOKUP(D2701,Table_Tarikan_Warkah[Nomor Tiket],Table_Tarikan_Warkah[Tanggal diserahkan kepada Validator]),"")</f>
        <v>45838.6681</v>
      </c>
      <c r="F2701" s="36" t="str">
        <f t="array" ref="F2701">IFNA(_xlfn.XLOOKUP(D2701,Table_Tarikan_Warkah[Nomor Tiket],Table_Tarikan_Warkah[Nama Petugas Warkah]),"")</f>
        <v>Berry</v>
      </c>
      <c r="G2701" s="39" t="str">
        <f t="array" ref="G2701">IFNA(_xlfn.XLOOKUP(D2701,Table_Tarikan_Warkah[Nomor Tiket],Table_Tarikan_Warkah[Jenis Permohonan]),"")</f>
        <v>BN Hibah</v>
      </c>
      <c r="H2701" s="41" t="s">
        <v>20</v>
      </c>
      <c r="I2701" s="49" t="s">
        <v>23</v>
      </c>
      <c r="J2701" s="36">
        <f t="shared" si="20"/>
        <v>45834.73237</v>
      </c>
      <c r="K2701" s="49" t="s">
        <v>920</v>
      </c>
      <c r="L2701" s="49" t="s">
        <v>23</v>
      </c>
      <c r="M2701" s="36">
        <f t="shared" si="33"/>
        <v>45834.7324</v>
      </c>
      <c r="N2701" s="30" t="str">
        <f t="shared" si="34"/>
        <v>Selesai</v>
      </c>
      <c r="O2701" s="45">
        <f t="shared" si="23"/>
        <v>45834.7324</v>
      </c>
      <c r="P2701" s="47" t="b">
        <v>0</v>
      </c>
      <c r="Q2701" s="36" t="str">
        <f t="shared" si="24"/>
        <v/>
      </c>
      <c r="R2701" s="47" t="b">
        <v>0</v>
      </c>
      <c r="S2701" s="42" t="str">
        <f t="shared" si="28"/>
        <v/>
      </c>
      <c r="T2701" s="42"/>
    </row>
    <row r="2702" ht="22.5" customHeight="1">
      <c r="B2702" s="42">
        <f t="shared" si="7"/>
        <v>2696</v>
      </c>
      <c r="C2702" s="31" t="s">
        <v>2771</v>
      </c>
      <c r="D2702" s="34" t="str">
        <f t="array" ref="D2702">IFNA(_xlfn.XLOOKUP(C2702,Table_Tarikan_Warkah[Nomor Sertipikat],Table_Tarikan_Warkah[Nomor Tiket]),"")</f>
        <v>L/2/180625/1</v>
      </c>
      <c r="E2702" s="36">
        <f t="array" ref="E2702">IFNA(_xlfn.XLOOKUP(D2702,Table_Tarikan_Warkah[Nomor Tiket],Table_Tarikan_Warkah[Tanggal diserahkan kepada Validator]),"")</f>
        <v>45838.66673</v>
      </c>
      <c r="F2702" s="36" t="str">
        <f t="array" ref="F2702">IFNA(_xlfn.XLOOKUP(D2702,Table_Tarikan_Warkah[Nomor Tiket],Table_Tarikan_Warkah[Nama Petugas Warkah]),"")</f>
        <v>Berry</v>
      </c>
      <c r="G2702" s="39" t="str">
        <f t="array" ref="G2702">IFNA(_xlfn.XLOOKUP(D2702,Table_Tarikan_Warkah[Nomor Tiket],Table_Tarikan_Warkah[Jenis Permohonan]),"")</f>
        <v>BN JUAL-BELI</v>
      </c>
      <c r="H2702" s="41" t="s">
        <v>20</v>
      </c>
      <c r="I2702" s="49" t="s">
        <v>23</v>
      </c>
      <c r="J2702" s="36">
        <f t="shared" si="20"/>
        <v>45834.73256</v>
      </c>
      <c r="K2702" s="49" t="s">
        <v>920</v>
      </c>
      <c r="L2702" s="49" t="s">
        <v>23</v>
      </c>
      <c r="M2702" s="36">
        <f t="shared" si="33"/>
        <v>45834.73259</v>
      </c>
      <c r="N2702" s="30" t="str">
        <f t="shared" si="34"/>
        <v>Selesai</v>
      </c>
      <c r="O2702" s="45">
        <f t="shared" si="23"/>
        <v>45834.73259</v>
      </c>
      <c r="P2702" s="47" t="b">
        <v>0</v>
      </c>
      <c r="Q2702" s="36" t="str">
        <f t="shared" si="24"/>
        <v/>
      </c>
      <c r="R2702" s="47" t="b">
        <v>0</v>
      </c>
      <c r="S2702" s="42" t="str">
        <f t="shared" si="28"/>
        <v/>
      </c>
      <c r="T2702" s="42"/>
    </row>
    <row r="2703" ht="22.5" customHeight="1">
      <c r="B2703" s="42">
        <f t="shared" si="7"/>
        <v>2697</v>
      </c>
      <c r="C2703" s="31" t="s">
        <v>2772</v>
      </c>
      <c r="D2703" s="34" t="str">
        <f t="array" ref="D2703">IFNA(_xlfn.XLOOKUP(C2703,Table_Tarikan_Warkah[Nomor Sertipikat],Table_Tarikan_Warkah[Nomor Tiket]),"")</f>
        <v>K/13/030625/2</v>
      </c>
      <c r="E2703" s="36">
        <f t="array" ref="E2703">IFNA(_xlfn.XLOOKUP(D2703,Table_Tarikan_Warkah[Nomor Tiket],Table_Tarikan_Warkah[Tanggal diserahkan kepada Validator]),"")</f>
        <v>45839.62372</v>
      </c>
      <c r="F2703" s="36" t="str">
        <f t="array" ref="F2703">IFNA(_xlfn.XLOOKUP(D2703,Table_Tarikan_Warkah[Nomor Tiket],Table_Tarikan_Warkah[Nama Petugas Warkah]),"")</f>
        <v>Berry</v>
      </c>
      <c r="G2703" s="39" t="str">
        <f t="array" ref="G2703">IFNA(_xlfn.XLOOKUP(D2703,Table_Tarikan_Warkah[Nomor Tiket],Table_Tarikan_Warkah[Jenis Permohonan]),"")</f>
        <v>JUAL BELI</v>
      </c>
      <c r="H2703" s="41" t="s">
        <v>2315</v>
      </c>
      <c r="I2703" s="49" t="s">
        <v>23</v>
      </c>
      <c r="J2703" s="36">
        <f t="shared" si="20"/>
        <v>45838.56223</v>
      </c>
      <c r="K2703" s="49" t="s">
        <v>2378</v>
      </c>
      <c r="L2703" s="49" t="s">
        <v>23</v>
      </c>
      <c r="M2703" s="36">
        <f t="shared" si="33"/>
        <v>45838.64718</v>
      </c>
      <c r="N2703" s="30" t="str">
        <f t="shared" si="34"/>
        <v>Selesai</v>
      </c>
      <c r="O2703" s="45">
        <f t="shared" si="23"/>
        <v>45838.64718</v>
      </c>
      <c r="P2703" s="47" t="b">
        <v>0</v>
      </c>
      <c r="Q2703" s="36" t="str">
        <f t="shared" si="24"/>
        <v/>
      </c>
      <c r="R2703" s="47" t="b">
        <v>0</v>
      </c>
      <c r="S2703" s="42" t="str">
        <f t="shared" si="28"/>
        <v/>
      </c>
      <c r="T2703" s="42"/>
    </row>
    <row r="2704" ht="22.5" customHeight="1">
      <c r="B2704" s="42">
        <f t="shared" si="7"/>
        <v>2698</v>
      </c>
      <c r="C2704" s="31" t="s">
        <v>2773</v>
      </c>
      <c r="D2704" s="34" t="str">
        <f t="array" ref="D2704">IFNA(_xlfn.XLOOKUP(C2704,Table_Tarikan_Warkah[Nomor Sertipikat],Table_Tarikan_Warkah[Nomor Tiket]),"")</f>
        <v>K/36/190625/1</v>
      </c>
      <c r="E2704" s="36" t="str">
        <f t="array" ref="E2704">IFNA(_xlfn.XLOOKUP(D2704,Table_Tarikan_Warkah[Nomor Tiket],Table_Tarikan_Warkah[Tanggal diserahkan kepada Validator]),"")</f>
        <v/>
      </c>
      <c r="F2704" s="36" t="str">
        <f t="array" ref="F2704">IFNA(_xlfn.XLOOKUP(D2704,Table_Tarikan_Warkah[Nomor Tiket],Table_Tarikan_Warkah[Nama Petugas Warkah]),"")</f>
        <v/>
      </c>
      <c r="G2704" s="39" t="str">
        <f t="array" ref="G2704">IFNA(_xlfn.XLOOKUP(D2704,Table_Tarikan_Warkah[Nomor Tiket],Table_Tarikan_Warkah[Jenis Permohonan]),"")</f>
        <v>PENINGKATAN HAK</v>
      </c>
      <c r="H2704" s="41" t="s">
        <v>2315</v>
      </c>
      <c r="I2704" s="49" t="s">
        <v>23</v>
      </c>
      <c r="J2704" s="36">
        <f t="shared" si="20"/>
        <v>45838.56227</v>
      </c>
      <c r="K2704" s="49" t="s">
        <v>2378</v>
      </c>
      <c r="L2704" s="49" t="s">
        <v>23</v>
      </c>
      <c r="M2704" s="36">
        <f t="shared" si="33"/>
        <v>45838.64718</v>
      </c>
      <c r="N2704" s="30" t="str">
        <f t="shared" si="34"/>
        <v>Selesai</v>
      </c>
      <c r="O2704" s="45">
        <f t="shared" si="23"/>
        <v>45838.64718</v>
      </c>
      <c r="P2704" s="47" t="b">
        <v>0</v>
      </c>
      <c r="Q2704" s="36" t="str">
        <f t="shared" si="24"/>
        <v/>
      </c>
      <c r="R2704" s="47" t="b">
        <v>0</v>
      </c>
      <c r="S2704" s="42" t="str">
        <f t="shared" si="28"/>
        <v/>
      </c>
      <c r="T2704" s="42"/>
    </row>
    <row r="2705" ht="22.5" customHeight="1">
      <c r="B2705" s="42">
        <f t="shared" si="7"/>
        <v>2699</v>
      </c>
      <c r="C2705" s="31" t="s">
        <v>2774</v>
      </c>
      <c r="D2705" s="34" t="str">
        <f t="array" ref="D2705">IFNA(_xlfn.XLOOKUP(C2705,Table_Tarikan_Warkah[Nomor Sertipikat],Table_Tarikan_Warkah[Nomor Tiket]),"")</f>
        <v>K/13/250625/1</v>
      </c>
      <c r="E2705" s="36">
        <f t="array" ref="E2705">IFNA(_xlfn.XLOOKUP(D2705,Table_Tarikan_Warkah[Nomor Tiket],Table_Tarikan_Warkah[Tanggal diserahkan kepada Validator]),"")</f>
        <v>45922.62114</v>
      </c>
      <c r="F2705" s="36" t="str">
        <f t="array" ref="F2705">IFNA(_xlfn.XLOOKUP(D2705,Table_Tarikan_Warkah[Nomor Tiket],Table_Tarikan_Warkah[Nama Petugas Warkah]),"")</f>
        <v>David</v>
      </c>
      <c r="G2705" s="39" t="str">
        <f t="array" ref="G2705">IFNA(_xlfn.XLOOKUP(D2705,Table_Tarikan_Warkah[Nomor Tiket],Table_Tarikan_Warkah[Jenis Permohonan]),"")</f>
        <v>ROYA</v>
      </c>
      <c r="H2705" s="41" t="s">
        <v>2315</v>
      </c>
      <c r="I2705" s="49" t="s">
        <v>23</v>
      </c>
      <c r="J2705" s="36">
        <f t="shared" si="20"/>
        <v>45838.56241</v>
      </c>
      <c r="K2705" s="49" t="s">
        <v>2378</v>
      </c>
      <c r="L2705" s="49" t="s">
        <v>23</v>
      </c>
      <c r="M2705" s="36">
        <f t="shared" si="33"/>
        <v>45838.64718</v>
      </c>
      <c r="N2705" s="30" t="str">
        <f t="shared" si="34"/>
        <v>Selesai</v>
      </c>
      <c r="O2705" s="45">
        <f t="shared" si="23"/>
        <v>45838.64718</v>
      </c>
      <c r="P2705" s="47" t="b">
        <v>0</v>
      </c>
      <c r="Q2705" s="36" t="str">
        <f t="shared" si="24"/>
        <v/>
      </c>
      <c r="R2705" s="47" t="b">
        <v>0</v>
      </c>
      <c r="S2705" s="42" t="str">
        <f t="shared" si="28"/>
        <v/>
      </c>
      <c r="T2705" s="42"/>
    </row>
    <row r="2706" ht="22.5" customHeight="1">
      <c r="B2706" s="42">
        <f t="shared" si="7"/>
        <v>2700</v>
      </c>
      <c r="C2706" s="31" t="s">
        <v>2775</v>
      </c>
      <c r="D2706" s="34" t="str">
        <f t="array" ref="D2706">IFNA(_xlfn.XLOOKUP(C2706,Table_Tarikan_Warkah[Nomor Sertipikat],Table_Tarikan_Warkah[Nomor Tiket]),"")</f>
        <v>K/31/190625/1</v>
      </c>
      <c r="E2706" s="36">
        <f t="array" ref="E2706">IFNA(_xlfn.XLOOKUP(D2706,Table_Tarikan_Warkah[Nomor Tiket],Table_Tarikan_Warkah[Tanggal diserahkan kepada Validator]),"")</f>
        <v>45839.62382</v>
      </c>
      <c r="F2706" s="36" t="str">
        <f t="array" ref="F2706">IFNA(_xlfn.XLOOKUP(D2706,Table_Tarikan_Warkah[Nomor Tiket],Table_Tarikan_Warkah[Nama Petugas Warkah]),"")</f>
        <v>Berry</v>
      </c>
      <c r="G2706" s="39" t="str">
        <f t="array" ref="G2706">IFNA(_xlfn.XLOOKUP(D2706,Table_Tarikan_Warkah[Nomor Tiket],Table_Tarikan_Warkah[Jenis Permohonan]),"")</f>
        <v>JUAL BELI </v>
      </c>
      <c r="H2706" s="41" t="s">
        <v>2315</v>
      </c>
      <c r="I2706" s="49" t="s">
        <v>23</v>
      </c>
      <c r="J2706" s="36">
        <f t="shared" si="20"/>
        <v>45838.56255</v>
      </c>
      <c r="K2706" s="49" t="s">
        <v>2378</v>
      </c>
      <c r="L2706" s="49" t="s">
        <v>23</v>
      </c>
      <c r="M2706" s="36">
        <f t="shared" si="33"/>
        <v>45838.64718</v>
      </c>
      <c r="N2706" s="30" t="str">
        <f t="shared" si="34"/>
        <v>Selesai</v>
      </c>
      <c r="O2706" s="45">
        <f t="shared" si="23"/>
        <v>45838.64718</v>
      </c>
      <c r="P2706" s="47" t="b">
        <v>0</v>
      </c>
      <c r="Q2706" s="36" t="str">
        <f t="shared" si="24"/>
        <v/>
      </c>
      <c r="R2706" s="47" t="b">
        <v>0</v>
      </c>
      <c r="S2706" s="42" t="str">
        <f t="shared" si="28"/>
        <v/>
      </c>
      <c r="T2706" s="42"/>
    </row>
    <row r="2707" ht="22.5" customHeight="1">
      <c r="B2707" s="42">
        <f t="shared" si="7"/>
        <v>2701</v>
      </c>
      <c r="C2707" s="31" t="s">
        <v>2776</v>
      </c>
      <c r="D2707" s="34" t="str">
        <f t="array" ref="D2707">IFNA(_xlfn.XLOOKUP(C2707,Table_Tarikan_Warkah[Nomor Sertipikat],Table_Tarikan_Warkah[Nomor Tiket]),"")</f>
        <v>K/18/120625/2</v>
      </c>
      <c r="E2707" s="36">
        <f t="array" ref="E2707">IFNA(_xlfn.XLOOKUP(D2707,Table_Tarikan_Warkah[Nomor Tiket],Table_Tarikan_Warkah[Tanggal diserahkan kepada Validator]),"")</f>
        <v>45839.6297</v>
      </c>
      <c r="F2707" s="36" t="str">
        <f t="array" ref="F2707">IFNA(_xlfn.XLOOKUP(D2707,Table_Tarikan_Warkah[Nomor Tiket],Table_Tarikan_Warkah[Nama Petugas Warkah]),"")</f>
        <v>Berry</v>
      </c>
      <c r="G2707" s="39" t="str">
        <f t="array" ref="G2707">IFNA(_xlfn.XLOOKUP(D2707,Table_Tarikan_Warkah[Nomor Tiket],Table_Tarikan_Warkah[Jenis Permohonan]),"")</f>
        <v>JUAL BELI</v>
      </c>
      <c r="H2707" s="41" t="s">
        <v>2315</v>
      </c>
      <c r="I2707" s="49" t="s">
        <v>23</v>
      </c>
      <c r="J2707" s="36">
        <f t="shared" si="20"/>
        <v>45838.56269</v>
      </c>
      <c r="K2707" s="49" t="s">
        <v>2378</v>
      </c>
      <c r="L2707" s="49" t="s">
        <v>23</v>
      </c>
      <c r="M2707" s="36">
        <f t="shared" si="33"/>
        <v>45838.64718</v>
      </c>
      <c r="N2707" s="30" t="str">
        <f t="shared" si="34"/>
        <v>Selesai</v>
      </c>
      <c r="O2707" s="45">
        <f t="shared" si="23"/>
        <v>45838.64718</v>
      </c>
      <c r="P2707" s="47" t="b">
        <v>0</v>
      </c>
      <c r="Q2707" s="36" t="str">
        <f t="shared" si="24"/>
        <v/>
      </c>
      <c r="R2707" s="47" t="b">
        <v>0</v>
      </c>
      <c r="S2707" s="42" t="str">
        <f t="shared" si="28"/>
        <v/>
      </c>
      <c r="T2707" s="42"/>
    </row>
    <row r="2708" ht="22.5" customHeight="1">
      <c r="B2708" s="42">
        <f t="shared" si="7"/>
        <v>2702</v>
      </c>
      <c r="C2708" s="31" t="s">
        <v>2777</v>
      </c>
      <c r="D2708" s="34" t="str">
        <f t="array" ref="D2708">IFNA(_xlfn.XLOOKUP(C2708,Table_Tarikan_Warkah[Nomor Sertipikat],Table_Tarikan_Warkah[Nomor Tiket]),"")</f>
        <v>K/31/120625/1</v>
      </c>
      <c r="E2708" s="36">
        <f t="array" ref="E2708">IFNA(_xlfn.XLOOKUP(D2708,Table_Tarikan_Warkah[Nomor Tiket],Table_Tarikan_Warkah[Tanggal diserahkan kepada Validator]),"")</f>
        <v>45846.67336</v>
      </c>
      <c r="F2708" s="36" t="str">
        <f t="array" ref="F2708">IFNA(_xlfn.XLOOKUP(D2708,Table_Tarikan_Warkah[Nomor Tiket],Table_Tarikan_Warkah[Nama Petugas Warkah]),"")</f>
        <v>David</v>
      </c>
      <c r="G2708" s="39" t="str">
        <f t="array" ref="G2708">IFNA(_xlfn.XLOOKUP(D2708,Table_Tarikan_Warkah[Nomor Tiket],Table_Tarikan_Warkah[Jenis Permohonan]),"")</f>
        <v>ROYA</v>
      </c>
      <c r="H2708" s="41" t="s">
        <v>2315</v>
      </c>
      <c r="I2708" s="49" t="s">
        <v>23</v>
      </c>
      <c r="J2708" s="36">
        <f t="shared" si="20"/>
        <v>45838.56283</v>
      </c>
      <c r="K2708" s="49" t="s">
        <v>2378</v>
      </c>
      <c r="L2708" s="49" t="s">
        <v>23</v>
      </c>
      <c r="M2708" s="36">
        <f t="shared" si="33"/>
        <v>45838.64718</v>
      </c>
      <c r="N2708" s="30" t="str">
        <f t="shared" si="34"/>
        <v>Selesai</v>
      </c>
      <c r="O2708" s="45">
        <f t="shared" si="23"/>
        <v>45838.64718</v>
      </c>
      <c r="P2708" s="47" t="b">
        <v>0</v>
      </c>
      <c r="Q2708" s="36" t="str">
        <f t="shared" si="24"/>
        <v/>
      </c>
      <c r="R2708" s="47" t="b">
        <v>0</v>
      </c>
      <c r="S2708" s="42" t="str">
        <f t="shared" si="28"/>
        <v/>
      </c>
      <c r="T2708" s="42"/>
    </row>
    <row r="2709" ht="22.5" customHeight="1">
      <c r="B2709" s="42">
        <f t="shared" si="7"/>
        <v>2703</v>
      </c>
      <c r="C2709" s="31" t="s">
        <v>2778</v>
      </c>
      <c r="D2709" s="34" t="str">
        <f t="array" ref="D2709">IFNA(_xlfn.XLOOKUP(C2709,Table_Tarikan_Warkah[Nomor Sertipikat],Table_Tarikan_Warkah[Nomor Tiket]),"")</f>
        <v>K/19/190625/1</v>
      </c>
      <c r="E2709" s="36">
        <f t="array" ref="E2709">IFNA(_xlfn.XLOOKUP(D2709,Table_Tarikan_Warkah[Nomor Tiket],Table_Tarikan_Warkah[Tanggal diserahkan kepada Validator]),"")</f>
        <v>45849.65042</v>
      </c>
      <c r="F2709" s="36" t="str">
        <f t="array" ref="F2709">IFNA(_xlfn.XLOOKUP(D2709,Table_Tarikan_Warkah[Nomor Tiket],Table_Tarikan_Warkah[Nama Petugas Warkah]),"")</f>
        <v>David</v>
      </c>
      <c r="G2709" s="39" t="str">
        <f t="array" ref="G2709">IFNA(_xlfn.XLOOKUP(D2709,Table_Tarikan_Warkah[Nomor Tiket],Table_Tarikan_Warkah[Jenis Permohonan]),"")</f>
        <v>ROYA</v>
      </c>
      <c r="H2709" s="41" t="s">
        <v>2315</v>
      </c>
      <c r="I2709" s="49" t="s">
        <v>23</v>
      </c>
      <c r="J2709" s="36">
        <f t="shared" si="20"/>
        <v>45838.56297</v>
      </c>
      <c r="K2709" s="49" t="s">
        <v>2378</v>
      </c>
      <c r="L2709" s="49" t="s">
        <v>23</v>
      </c>
      <c r="M2709" s="36">
        <f t="shared" si="33"/>
        <v>45839.41742</v>
      </c>
      <c r="N2709" s="30" t="str">
        <f t="shared" si="34"/>
        <v>Selesai</v>
      </c>
      <c r="O2709" s="45">
        <f t="shared" si="23"/>
        <v>45839.41742</v>
      </c>
      <c r="P2709" s="47" t="b">
        <v>0</v>
      </c>
      <c r="Q2709" s="36" t="str">
        <f t="shared" si="24"/>
        <v/>
      </c>
      <c r="R2709" s="47" t="b">
        <v>0</v>
      </c>
      <c r="S2709" s="42" t="str">
        <f t="shared" si="28"/>
        <v/>
      </c>
      <c r="T2709" s="42"/>
    </row>
    <row r="2710" ht="22.5" customHeight="1">
      <c r="B2710" s="42">
        <f t="shared" si="7"/>
        <v>2704</v>
      </c>
      <c r="C2710" s="31" t="s">
        <v>2779</v>
      </c>
      <c r="D2710" s="34" t="str">
        <f t="array" ref="D2710">IFNA(_xlfn.XLOOKUP(C2710,Table_Tarikan_Warkah[Nomor Sertipikat],Table_Tarikan_Warkah[Nomor Tiket]),"")</f>
        <v>K/18/130625/1</v>
      </c>
      <c r="E2710" s="36">
        <f t="array" ref="E2710">IFNA(_xlfn.XLOOKUP(D2710,Table_Tarikan_Warkah[Nomor Tiket],Table_Tarikan_Warkah[Tanggal diserahkan kepada Validator]),"")</f>
        <v>45839.62297</v>
      </c>
      <c r="F2710" s="36" t="str">
        <f t="array" ref="F2710">IFNA(_xlfn.XLOOKUP(D2710,Table_Tarikan_Warkah[Nomor Tiket],Table_Tarikan_Warkah[Nama Petugas Warkah]),"")</f>
        <v>Berry</v>
      </c>
      <c r="G2710" s="39" t="str">
        <f t="array" ref="G2710">IFNA(_xlfn.XLOOKUP(D2710,Table_Tarikan_Warkah[Nomor Tiket],Table_Tarikan_Warkah[Jenis Permohonan]),"")</f>
        <v>BN JUAL BELI</v>
      </c>
      <c r="H2710" s="41" t="s">
        <v>2315</v>
      </c>
      <c r="I2710" s="49" t="s">
        <v>23</v>
      </c>
      <c r="J2710" s="36">
        <f t="shared" si="20"/>
        <v>45838.56309</v>
      </c>
      <c r="K2710" s="49" t="s">
        <v>2378</v>
      </c>
      <c r="L2710" s="49" t="s">
        <v>23</v>
      </c>
      <c r="M2710" s="36">
        <f t="shared" si="33"/>
        <v>45838.64729</v>
      </c>
      <c r="N2710" s="30" t="str">
        <f t="shared" si="34"/>
        <v>Selesai</v>
      </c>
      <c r="O2710" s="45">
        <f t="shared" si="23"/>
        <v>45838.64729</v>
      </c>
      <c r="P2710" s="47" t="b">
        <v>0</v>
      </c>
      <c r="Q2710" s="36" t="str">
        <f t="shared" si="24"/>
        <v/>
      </c>
      <c r="R2710" s="47" t="b">
        <v>0</v>
      </c>
      <c r="S2710" s="42" t="str">
        <f t="shared" si="28"/>
        <v/>
      </c>
      <c r="T2710" s="42"/>
    </row>
    <row r="2711" ht="22.5" customHeight="1">
      <c r="B2711" s="42">
        <f t="shared" si="7"/>
        <v>2705</v>
      </c>
      <c r="C2711" s="31" t="s">
        <v>2780</v>
      </c>
      <c r="D2711" s="34" t="str">
        <f t="array" ref="D2711">IFNA(_xlfn.XLOOKUP(C2711,Table_Tarikan_Warkah[Nomor Sertipikat],Table_Tarikan_Warkah[Nomor Tiket]),"")</f>
        <v>K/2/120625/1</v>
      </c>
      <c r="E2711" s="36">
        <f t="array" ref="E2711">IFNA(_xlfn.XLOOKUP(D2711,Table_Tarikan_Warkah[Nomor Tiket],Table_Tarikan_Warkah[Tanggal diserahkan kepada Validator]),"")</f>
        <v>45839.60035</v>
      </c>
      <c r="F2711" s="36" t="str">
        <f t="array" ref="F2711">IFNA(_xlfn.XLOOKUP(D2711,Table_Tarikan_Warkah[Nomor Tiket],Table_Tarikan_Warkah[Nama Petugas Warkah]),"")</f>
        <v>David</v>
      </c>
      <c r="G2711" s="39" t="str">
        <f t="array" ref="G2711">IFNA(_xlfn.XLOOKUP(D2711,Table_Tarikan_Warkah[Nomor Tiket],Table_Tarikan_Warkah[Jenis Permohonan]),"")</f>
        <v>BN JUAL BELI</v>
      </c>
      <c r="H2711" s="41" t="s">
        <v>2315</v>
      </c>
      <c r="I2711" s="49" t="s">
        <v>23</v>
      </c>
      <c r="J2711" s="36">
        <f t="shared" si="20"/>
        <v>45838.56324</v>
      </c>
      <c r="K2711" s="49" t="s">
        <v>2378</v>
      </c>
      <c r="L2711" s="49" t="s">
        <v>23</v>
      </c>
      <c r="M2711" s="36">
        <f t="shared" si="33"/>
        <v>45838.64732</v>
      </c>
      <c r="N2711" s="30" t="str">
        <f t="shared" si="34"/>
        <v>Selesai</v>
      </c>
      <c r="O2711" s="45">
        <f t="shared" si="23"/>
        <v>45838.64732</v>
      </c>
      <c r="P2711" s="47" t="b">
        <v>0</v>
      </c>
      <c r="Q2711" s="36" t="str">
        <f t="shared" si="24"/>
        <v/>
      </c>
      <c r="R2711" s="47" t="b">
        <v>0</v>
      </c>
      <c r="S2711" s="42" t="str">
        <f t="shared" si="28"/>
        <v/>
      </c>
      <c r="T2711" s="42"/>
    </row>
    <row r="2712" ht="22.5" customHeight="1">
      <c r="B2712" s="42">
        <f t="shared" si="7"/>
        <v>2706</v>
      </c>
      <c r="C2712" s="31" t="s">
        <v>2781</v>
      </c>
      <c r="D2712" s="34" t="str">
        <f t="array" ref="D2712">IFNA(_xlfn.XLOOKUP(C2712,Table_Tarikan_Warkah[Nomor Sertipikat],Table_Tarikan_Warkah[Nomor Tiket]),"")</f>
        <v>K/43/050625/2</v>
      </c>
      <c r="E2712" s="36">
        <f t="array" ref="E2712">IFNA(_xlfn.XLOOKUP(D2712,Table_Tarikan_Warkah[Nomor Tiket],Table_Tarikan_Warkah[Tanggal diserahkan kepada Validator]),"")</f>
        <v>45839.60772</v>
      </c>
      <c r="F2712" s="36" t="str">
        <f t="array" ref="F2712">IFNA(_xlfn.XLOOKUP(D2712,Table_Tarikan_Warkah[Nomor Tiket],Table_Tarikan_Warkah[Nama Petugas Warkah]),"")</f>
        <v>David</v>
      </c>
      <c r="G2712" s="39" t="str">
        <f t="array" ref="G2712">IFNA(_xlfn.XLOOKUP(D2712,Table_Tarikan_Warkah[Nomor Tiket],Table_Tarikan_Warkah[Jenis Permohonan]),"")</f>
        <v>BN JUAL BELI</v>
      </c>
      <c r="H2712" s="41" t="s">
        <v>2315</v>
      </c>
      <c r="I2712" s="49" t="s">
        <v>23</v>
      </c>
      <c r="J2712" s="36">
        <f t="shared" si="20"/>
        <v>45838.56338</v>
      </c>
      <c r="K2712" s="49" t="s">
        <v>2378</v>
      </c>
      <c r="L2712" s="49" t="s">
        <v>23</v>
      </c>
      <c r="M2712" s="36">
        <f t="shared" si="33"/>
        <v>45838.64732</v>
      </c>
      <c r="N2712" s="30" t="str">
        <f t="shared" si="34"/>
        <v>Selesai</v>
      </c>
      <c r="O2712" s="45">
        <f t="shared" si="23"/>
        <v>45838.64732</v>
      </c>
      <c r="P2712" s="47" t="b">
        <v>0</v>
      </c>
      <c r="Q2712" s="36" t="str">
        <f t="shared" si="24"/>
        <v/>
      </c>
      <c r="R2712" s="47" t="b">
        <v>0</v>
      </c>
      <c r="S2712" s="42" t="str">
        <f t="shared" si="28"/>
        <v/>
      </c>
      <c r="T2712" s="42"/>
    </row>
    <row r="2713" ht="22.5" customHeight="1">
      <c r="B2713" s="42">
        <f t="shared" si="7"/>
        <v>2707</v>
      </c>
      <c r="C2713" s="31" t="s">
        <v>2782</v>
      </c>
      <c r="D2713" s="34" t="str">
        <f t="array" ref="D2713">IFNA(_xlfn.XLOOKUP(C2713,Table_Tarikan_Warkah[Nomor Sertipikat],Table_Tarikan_Warkah[Nomor Tiket]),"")</f>
        <v>K/36/020625/1</v>
      </c>
      <c r="E2713" s="36">
        <f t="array" ref="E2713">IFNA(_xlfn.XLOOKUP(D2713,Table_Tarikan_Warkah[Nomor Tiket],Table_Tarikan_Warkah[Tanggal diserahkan kepada Validator]),"")</f>
        <v>45839.60012</v>
      </c>
      <c r="F2713" s="36" t="str">
        <f t="array" ref="F2713">IFNA(_xlfn.XLOOKUP(D2713,Table_Tarikan_Warkah[Nomor Tiket],Table_Tarikan_Warkah[Nama Petugas Warkah]),"")</f>
        <v>David</v>
      </c>
      <c r="G2713" s="39" t="str">
        <f t="array" ref="G2713">IFNA(_xlfn.XLOOKUP(D2713,Table_Tarikan_Warkah[Nomor Tiket],Table_Tarikan_Warkah[Jenis Permohonan]),"")</f>
        <v>BN JUAL BELI</v>
      </c>
      <c r="H2713" s="41" t="s">
        <v>2315</v>
      </c>
      <c r="I2713" s="49" t="s">
        <v>23</v>
      </c>
      <c r="J2713" s="36">
        <f t="shared" si="20"/>
        <v>45838.56353</v>
      </c>
      <c r="K2713" s="49" t="s">
        <v>2378</v>
      </c>
      <c r="L2713" s="49" t="s">
        <v>23</v>
      </c>
      <c r="M2713" s="36">
        <f t="shared" si="33"/>
        <v>45838.64732</v>
      </c>
      <c r="N2713" s="30" t="str">
        <f t="shared" si="34"/>
        <v>Selesai</v>
      </c>
      <c r="O2713" s="45">
        <f t="shared" si="23"/>
        <v>45838.64732</v>
      </c>
      <c r="P2713" s="47" t="b">
        <v>0</v>
      </c>
      <c r="Q2713" s="36" t="str">
        <f t="shared" si="24"/>
        <v/>
      </c>
      <c r="R2713" s="47" t="b">
        <v>0</v>
      </c>
      <c r="S2713" s="42" t="str">
        <f t="shared" si="28"/>
        <v/>
      </c>
      <c r="T2713" s="42"/>
    </row>
    <row r="2714" ht="22.5" customHeight="1">
      <c r="B2714" s="42">
        <f t="shared" si="7"/>
        <v>2708</v>
      </c>
      <c r="C2714" s="31" t="s">
        <v>2783</v>
      </c>
      <c r="D2714" s="34" t="str">
        <f t="array" ref="D2714">IFNA(_xlfn.XLOOKUP(C2714,Table_Tarikan_Warkah[Nomor Sertipikat],Table_Tarikan_Warkah[Nomor Tiket]),"")</f>
        <v>K/20/100625/1</v>
      </c>
      <c r="E2714" s="36">
        <f t="array" ref="E2714">IFNA(_xlfn.XLOOKUP(D2714,Table_Tarikan_Warkah[Nomor Tiket],Table_Tarikan_Warkah[Tanggal diserahkan kepada Validator]),"")</f>
        <v>45839.59889</v>
      </c>
      <c r="F2714" s="36" t="str">
        <f t="array" ref="F2714">IFNA(_xlfn.XLOOKUP(D2714,Table_Tarikan_Warkah[Nomor Tiket],Table_Tarikan_Warkah[Nama Petugas Warkah]),"")</f>
        <v>David</v>
      </c>
      <c r="G2714" s="39" t="str">
        <f t="array" ref="G2714">IFNA(_xlfn.XLOOKUP(D2714,Table_Tarikan_Warkah[Nomor Tiket],Table_Tarikan_Warkah[Jenis Permohonan]),"")</f>
        <v>BN HIBAH</v>
      </c>
      <c r="H2714" s="41" t="s">
        <v>2315</v>
      </c>
      <c r="I2714" s="49" t="s">
        <v>23</v>
      </c>
      <c r="J2714" s="36">
        <f t="shared" si="20"/>
        <v>45838.5637</v>
      </c>
      <c r="K2714" s="49" t="s">
        <v>2378</v>
      </c>
      <c r="L2714" s="49" t="s">
        <v>23</v>
      </c>
      <c r="M2714" s="36">
        <f t="shared" si="33"/>
        <v>45838.64732</v>
      </c>
      <c r="N2714" s="30" t="str">
        <f t="shared" si="34"/>
        <v>Selesai</v>
      </c>
      <c r="O2714" s="45">
        <f t="shared" si="23"/>
        <v>45838.64732</v>
      </c>
      <c r="P2714" s="47" t="b">
        <v>0</v>
      </c>
      <c r="Q2714" s="36" t="str">
        <f t="shared" si="24"/>
        <v/>
      </c>
      <c r="R2714" s="47" t="b">
        <v>0</v>
      </c>
      <c r="S2714" s="42" t="str">
        <f t="shared" si="28"/>
        <v/>
      </c>
      <c r="T2714" s="42"/>
    </row>
    <row r="2715" ht="22.5" customHeight="1">
      <c r="B2715" s="42">
        <f t="shared" si="7"/>
        <v>2709</v>
      </c>
      <c r="C2715" s="31" t="s">
        <v>2784</v>
      </c>
      <c r="D2715" s="34" t="str">
        <f t="array" ref="D2715">IFNA(_xlfn.XLOOKUP(C2715,Table_Tarikan_Warkah[Nomor Sertipikat],Table_Tarikan_Warkah[Nomor Tiket]),"")</f>
        <v>K/8/160629/1</v>
      </c>
      <c r="E2715" s="36">
        <f t="array" ref="E2715">IFNA(_xlfn.XLOOKUP(D2715,Table_Tarikan_Warkah[Nomor Tiket],Table_Tarikan_Warkah[Tanggal diserahkan kepada Validator]),"")</f>
        <v>45841.50649</v>
      </c>
      <c r="F2715" s="36" t="str">
        <f t="array" ref="F2715">IFNA(_xlfn.XLOOKUP(D2715,Table_Tarikan_Warkah[Nomor Tiket],Table_Tarikan_Warkah[Nama Petugas Warkah]),"")</f>
        <v>Berry</v>
      </c>
      <c r="G2715" s="39" t="str">
        <f t="array" ref="G2715">IFNA(_xlfn.XLOOKUP(D2715,Table_Tarikan_Warkah[Nomor Tiket],Table_Tarikan_Warkah[Jenis Permohonan]),"")</f>
        <v>BN JUAL BELI</v>
      </c>
      <c r="H2715" s="41" t="s">
        <v>2315</v>
      </c>
      <c r="I2715" s="49" t="s">
        <v>23</v>
      </c>
      <c r="J2715" s="36">
        <f t="shared" si="20"/>
        <v>45838.56388</v>
      </c>
      <c r="K2715" s="49" t="s">
        <v>2378</v>
      </c>
      <c r="L2715" s="49" t="s">
        <v>23</v>
      </c>
      <c r="M2715" s="36">
        <f t="shared" si="33"/>
        <v>45839.56629</v>
      </c>
      <c r="N2715" s="30" t="str">
        <f t="shared" si="34"/>
        <v>Selesai</v>
      </c>
      <c r="O2715" s="45">
        <f t="shared" si="23"/>
        <v>45839.56629</v>
      </c>
      <c r="P2715" s="47" t="b">
        <v>0</v>
      </c>
      <c r="Q2715" s="36" t="str">
        <f t="shared" si="24"/>
        <v/>
      </c>
      <c r="R2715" s="47" t="b">
        <v>0</v>
      </c>
      <c r="S2715" s="42" t="str">
        <f t="shared" si="28"/>
        <v/>
      </c>
      <c r="T2715" s="42"/>
    </row>
    <row r="2716" ht="22.5" customHeight="1">
      <c r="B2716" s="42">
        <f t="shared" si="7"/>
        <v>2710</v>
      </c>
      <c r="C2716" s="31" t="s">
        <v>2785</v>
      </c>
      <c r="D2716" s="34" t="str">
        <f t="array" ref="D2716">IFNA(_xlfn.XLOOKUP(C2716,Table_Tarikan_Warkah[Nomor Sertipikat],Table_Tarikan_Warkah[Nomor Tiket]),"")</f>
        <v>K/29/170625/1</v>
      </c>
      <c r="E2716" s="36">
        <f t="array" ref="E2716">IFNA(_xlfn.XLOOKUP(D2716,Table_Tarikan_Warkah[Nomor Tiket],Table_Tarikan_Warkah[Tanggal diserahkan kepada Validator]),"")</f>
        <v>45841.50558</v>
      </c>
      <c r="F2716" s="36" t="str">
        <f t="array" ref="F2716">IFNA(_xlfn.XLOOKUP(D2716,Table_Tarikan_Warkah[Nomor Tiket],Table_Tarikan_Warkah[Nama Petugas Warkah]),"")</f>
        <v>Berry</v>
      </c>
      <c r="G2716" s="39" t="str">
        <f t="array" ref="G2716">IFNA(_xlfn.XLOOKUP(D2716,Table_Tarikan_Warkah[Nomor Tiket],Table_Tarikan_Warkah[Jenis Permohonan]),"")</f>
        <v>BN JUAL BELI</v>
      </c>
      <c r="H2716" s="41" t="s">
        <v>2315</v>
      </c>
      <c r="I2716" s="49" t="s">
        <v>23</v>
      </c>
      <c r="J2716" s="36">
        <f t="shared" si="20"/>
        <v>45838.56402</v>
      </c>
      <c r="K2716" s="49" t="s">
        <v>2378</v>
      </c>
      <c r="L2716" s="49" t="s">
        <v>23</v>
      </c>
      <c r="M2716" s="36">
        <f t="shared" si="33"/>
        <v>45839.56618</v>
      </c>
      <c r="N2716" s="30" t="str">
        <f t="shared" si="34"/>
        <v>Selesai</v>
      </c>
      <c r="O2716" s="45">
        <f t="shared" si="23"/>
        <v>45839.56618</v>
      </c>
      <c r="P2716" s="47" t="b">
        <v>0</v>
      </c>
      <c r="Q2716" s="36" t="str">
        <f t="shared" si="24"/>
        <v/>
      </c>
      <c r="R2716" s="47" t="b">
        <v>0</v>
      </c>
      <c r="S2716" s="42" t="str">
        <f t="shared" si="28"/>
        <v/>
      </c>
      <c r="T2716" s="42"/>
    </row>
    <row r="2717" ht="22.5" customHeight="1">
      <c r="B2717" s="42">
        <f t="shared" si="7"/>
        <v>2711</v>
      </c>
      <c r="C2717" s="31" t="s">
        <v>2786</v>
      </c>
      <c r="D2717" s="34" t="str">
        <f t="array" ref="D2717">IFNA(_xlfn.XLOOKUP(C2717,Table_Tarikan_Warkah[Nomor Sertipikat],Table_Tarikan_Warkah[Nomor Tiket]),"")</f>
        <v>K/15/120625/1</v>
      </c>
      <c r="E2717" s="36">
        <f t="array" ref="E2717">IFNA(_xlfn.XLOOKUP(D2717,Table_Tarikan_Warkah[Nomor Tiket],Table_Tarikan_Warkah[Tanggal diserahkan kepada Validator]),"")</f>
        <v>45839.58645</v>
      </c>
      <c r="F2717" s="36" t="str">
        <f t="array" ref="F2717">IFNA(_xlfn.XLOOKUP(D2717,Table_Tarikan_Warkah[Nomor Tiket],Table_Tarikan_Warkah[Nama Petugas Warkah]),"")</f>
        <v>David</v>
      </c>
      <c r="G2717" s="39" t="str">
        <f t="array" ref="G2717">IFNA(_xlfn.XLOOKUP(D2717,Table_Tarikan_Warkah[Nomor Tiket],Table_Tarikan_Warkah[Jenis Permohonan]),"")</f>
        <v>BN JUAL BELI</v>
      </c>
      <c r="H2717" s="41" t="s">
        <v>2315</v>
      </c>
      <c r="I2717" s="49" t="s">
        <v>23</v>
      </c>
      <c r="J2717" s="36">
        <f t="shared" si="20"/>
        <v>45838.56416</v>
      </c>
      <c r="K2717" s="49" t="s">
        <v>2378</v>
      </c>
      <c r="L2717" s="49" t="s">
        <v>23</v>
      </c>
      <c r="M2717" s="36">
        <f t="shared" si="33"/>
        <v>45838.64738</v>
      </c>
      <c r="N2717" s="30" t="str">
        <f t="shared" si="34"/>
        <v>Selesai</v>
      </c>
      <c r="O2717" s="45">
        <f t="shared" si="23"/>
        <v>45838.64738</v>
      </c>
      <c r="P2717" s="47" t="b">
        <v>0</v>
      </c>
      <c r="Q2717" s="36" t="str">
        <f t="shared" si="24"/>
        <v/>
      </c>
      <c r="R2717" s="47" t="b">
        <v>0</v>
      </c>
      <c r="S2717" s="42" t="str">
        <f t="shared" si="28"/>
        <v/>
      </c>
      <c r="T2717" s="42"/>
    </row>
    <row r="2718" ht="22.5" customHeight="1">
      <c r="B2718" s="42">
        <f t="shared" si="7"/>
        <v>2712</v>
      </c>
      <c r="C2718" s="31" t="s">
        <v>2787</v>
      </c>
      <c r="D2718" s="34" t="str">
        <f t="array" ref="D2718">IFNA(_xlfn.XLOOKUP(C2718,Table_Tarikan_Warkah[Nomor Sertipikat],Table_Tarikan_Warkah[Nomor Tiket]),"")</f>
        <v/>
      </c>
      <c r="E2718" s="36" t="str">
        <f t="array" ref="E2718">IFNA(_xlfn.XLOOKUP(D2718,Table_Tarikan_Warkah[Nomor Tiket],Table_Tarikan_Warkah[Tanggal diserahkan kepada Validator]),"")</f>
        <v/>
      </c>
      <c r="F2718" s="36" t="str">
        <f t="array" ref="F2718">IFNA(_xlfn.XLOOKUP(D2718,Table_Tarikan_Warkah[Nomor Tiket],Table_Tarikan_Warkah[Nama Petugas Warkah]),"")</f>
        <v/>
      </c>
      <c r="G2718" s="39" t="str">
        <f t="array" ref="G2718">IFNA(_xlfn.XLOOKUP(D2718,Table_Tarikan_Warkah[Nomor Tiket],Table_Tarikan_Warkah[Jenis Permohonan]),"")</f>
        <v/>
      </c>
      <c r="H2718" s="41" t="s">
        <v>2315</v>
      </c>
      <c r="I2718" s="49" t="s">
        <v>23</v>
      </c>
      <c r="J2718" s="36">
        <f t="shared" si="20"/>
        <v>45838.5645</v>
      </c>
      <c r="K2718" s="49" t="s">
        <v>2378</v>
      </c>
      <c r="L2718" s="49" t="s">
        <v>23</v>
      </c>
      <c r="M2718" s="36">
        <f t="shared" si="33"/>
        <v>45838.6474</v>
      </c>
      <c r="N2718" s="30" t="str">
        <f t="shared" si="34"/>
        <v/>
      </c>
      <c r="O2718" s="39" t="str">
        <f t="shared" si="23"/>
        <v/>
      </c>
      <c r="P2718" s="47" t="b">
        <v>0</v>
      </c>
      <c r="Q2718" s="36" t="str">
        <f t="shared" si="24"/>
        <v/>
      </c>
      <c r="R2718" s="47" t="b">
        <v>0</v>
      </c>
      <c r="S2718" s="42" t="str">
        <f t="shared" si="28"/>
        <v/>
      </c>
      <c r="T2718" s="42"/>
    </row>
    <row r="2719" ht="22.5" customHeight="1">
      <c r="B2719" s="42">
        <f t="shared" si="7"/>
        <v>2713</v>
      </c>
      <c r="C2719" s="31" t="s">
        <v>2788</v>
      </c>
      <c r="D2719" s="34" t="str">
        <f t="array" ref="D2719">IFNA(_xlfn.XLOOKUP(C2719,Table_Tarikan_Warkah[Nomor Sertipikat],Table_Tarikan_Warkah[Nomor Tiket]),"")</f>
        <v>L/18/110625/1</v>
      </c>
      <c r="E2719" s="36">
        <f t="array" ref="E2719">IFNA(_xlfn.XLOOKUP(D2719,Table_Tarikan_Warkah[Nomor Tiket],Table_Tarikan_Warkah[Tanggal diserahkan kepada Validator]),"")</f>
        <v>45847.65697</v>
      </c>
      <c r="F2719" s="36" t="str">
        <f t="array" ref="F2719">IFNA(_xlfn.XLOOKUP(D2719,Table_Tarikan_Warkah[Nomor Tiket],Table_Tarikan_Warkah[Nama Petugas Warkah]),"")</f>
        <v>David</v>
      </c>
      <c r="G2719" s="39" t="str">
        <f t="array" ref="G2719">IFNA(_xlfn.XLOOKUP(D2719,Table_Tarikan_Warkah[Nomor Tiket],Table_Tarikan_Warkah[Jenis Permohonan]),"")</f>
        <v>ROYA</v>
      </c>
      <c r="H2719" s="41" t="s">
        <v>2315</v>
      </c>
      <c r="I2719" s="49" t="s">
        <v>23</v>
      </c>
      <c r="J2719" s="36">
        <f t="shared" si="20"/>
        <v>45838.56497</v>
      </c>
      <c r="K2719" s="49" t="s">
        <v>2378</v>
      </c>
      <c r="L2719" s="49" t="s">
        <v>23</v>
      </c>
      <c r="M2719" s="36">
        <f t="shared" si="33"/>
        <v>45838.6474</v>
      </c>
      <c r="N2719" s="30" t="str">
        <f t="shared" si="34"/>
        <v>Selesai</v>
      </c>
      <c r="O2719" s="45">
        <f t="shared" si="23"/>
        <v>45838.6474</v>
      </c>
      <c r="P2719" s="47" t="b">
        <v>0</v>
      </c>
      <c r="Q2719" s="36" t="str">
        <f t="shared" si="24"/>
        <v/>
      </c>
      <c r="R2719" s="47" t="b">
        <v>0</v>
      </c>
      <c r="S2719" s="42" t="str">
        <f t="shared" si="28"/>
        <v/>
      </c>
      <c r="T2719" s="42"/>
    </row>
    <row r="2720" ht="22.5" customHeight="1">
      <c r="B2720" s="42">
        <f t="shared" si="7"/>
        <v>2714</v>
      </c>
      <c r="C2720" s="31" t="s">
        <v>2789</v>
      </c>
      <c r="D2720" s="34" t="str">
        <f t="array" ref="D2720">IFNA(_xlfn.XLOOKUP(C2720,Table_Tarikan_Warkah[Nomor Sertipikat],Table_Tarikan_Warkah[Nomor Tiket]),"")</f>
        <v>L/27/180625/1</v>
      </c>
      <c r="E2720" s="36">
        <f t="array" ref="E2720">IFNA(_xlfn.XLOOKUP(D2720,Table_Tarikan_Warkah[Nomor Tiket],Table_Tarikan_Warkah[Tanggal diserahkan kepada Validator]),"")</f>
        <v>45849.65587</v>
      </c>
      <c r="F2720" s="36" t="str">
        <f t="array" ref="F2720">IFNA(_xlfn.XLOOKUP(D2720,Table_Tarikan_Warkah[Nomor Tiket],Table_Tarikan_Warkah[Nama Petugas Warkah]),"")</f>
        <v>David</v>
      </c>
      <c r="G2720" s="39" t="str">
        <f t="array" ref="G2720">IFNA(_xlfn.XLOOKUP(D2720,Table_Tarikan_Warkah[Nomor Tiket],Table_Tarikan_Warkah[Jenis Permohonan]),"")</f>
        <v>ROYA</v>
      </c>
      <c r="H2720" s="41" t="s">
        <v>2315</v>
      </c>
      <c r="I2720" s="49" t="s">
        <v>23</v>
      </c>
      <c r="J2720" s="36">
        <f t="shared" si="20"/>
        <v>45838.56518</v>
      </c>
      <c r="K2720" s="49" t="s">
        <v>2378</v>
      </c>
      <c r="L2720" s="49" t="s">
        <v>23</v>
      </c>
      <c r="M2720" s="36">
        <f t="shared" si="33"/>
        <v>45839.56639</v>
      </c>
      <c r="N2720" s="30" t="str">
        <f t="shared" si="34"/>
        <v>Selesai</v>
      </c>
      <c r="O2720" s="45">
        <f t="shared" si="23"/>
        <v>45839.56639</v>
      </c>
      <c r="P2720" s="47" t="b">
        <v>0</v>
      </c>
      <c r="Q2720" s="36" t="str">
        <f t="shared" si="24"/>
        <v/>
      </c>
      <c r="R2720" s="47" t="b">
        <v>0</v>
      </c>
      <c r="S2720" s="42" t="str">
        <f t="shared" si="28"/>
        <v/>
      </c>
      <c r="T2720" s="42"/>
    </row>
    <row r="2721" ht="22.5" customHeight="1">
      <c r="B2721" s="42">
        <f t="shared" si="7"/>
        <v>2715</v>
      </c>
      <c r="C2721" s="31" t="s">
        <v>2790</v>
      </c>
      <c r="D2721" s="34" t="str">
        <f t="array" ref="D2721">IFNA(_xlfn.XLOOKUP(C2721,Table_Tarikan_Warkah[Nomor Sertipikat],Table_Tarikan_Warkah[Nomor Tiket]),"")</f>
        <v>L/22/130625/1</v>
      </c>
      <c r="E2721" s="36">
        <f t="array" ref="E2721">IFNA(_xlfn.XLOOKUP(D2721,Table_Tarikan_Warkah[Nomor Tiket],Table_Tarikan_Warkah[Tanggal diserahkan kepada Validator]),"")</f>
        <v>45849.65133</v>
      </c>
      <c r="F2721" s="36" t="str">
        <f t="array" ref="F2721">IFNA(_xlfn.XLOOKUP(D2721,Table_Tarikan_Warkah[Nomor Tiket],Table_Tarikan_Warkah[Nama Petugas Warkah]),"")</f>
        <v>David</v>
      </c>
      <c r="G2721" s="39" t="str">
        <f t="array" ref="G2721">IFNA(_xlfn.XLOOKUP(D2721,Table_Tarikan_Warkah[Nomor Tiket],Table_Tarikan_Warkah[Jenis Permohonan]),"")</f>
        <v>ROYA</v>
      </c>
      <c r="H2721" s="41" t="s">
        <v>2315</v>
      </c>
      <c r="I2721" s="49" t="s">
        <v>23</v>
      </c>
      <c r="J2721" s="36">
        <f t="shared" si="20"/>
        <v>45838.56531</v>
      </c>
      <c r="K2721" s="49" t="s">
        <v>2378</v>
      </c>
      <c r="L2721" s="49" t="s">
        <v>23</v>
      </c>
      <c r="M2721" s="36">
        <f t="shared" si="33"/>
        <v>45839.56647</v>
      </c>
      <c r="N2721" s="30" t="str">
        <f t="shared" si="34"/>
        <v>Selesai</v>
      </c>
      <c r="O2721" s="45">
        <f t="shared" si="23"/>
        <v>45839.56647</v>
      </c>
      <c r="P2721" s="47" t="b">
        <v>0</v>
      </c>
      <c r="Q2721" s="36" t="str">
        <f t="shared" si="24"/>
        <v/>
      </c>
      <c r="R2721" s="47" t="b">
        <v>0</v>
      </c>
      <c r="S2721" s="42" t="str">
        <f t="shared" si="28"/>
        <v/>
      </c>
      <c r="T2721" s="42"/>
    </row>
    <row r="2722" ht="22.5" customHeight="1">
      <c r="B2722" s="42">
        <f t="shared" si="7"/>
        <v>2716</v>
      </c>
      <c r="C2722" s="31" t="s">
        <v>2791</v>
      </c>
      <c r="D2722" s="34" t="str">
        <f t="array" ref="D2722">IFNA(_xlfn.XLOOKUP(C2722,Table_Tarikan_Warkah[Nomor Sertipikat],Table_Tarikan_Warkah[Nomor Tiket]),"")</f>
        <v>K/5/180625/1</v>
      </c>
      <c r="E2722" s="36">
        <f t="array" ref="E2722">IFNA(_xlfn.XLOOKUP(D2722,Table_Tarikan_Warkah[Nomor Tiket],Table_Tarikan_Warkah[Tanggal diserahkan kepada Validator]),"")</f>
        <v>45842.58751</v>
      </c>
      <c r="F2722" s="36" t="str">
        <f t="array" ref="F2722">IFNA(_xlfn.XLOOKUP(D2722,Table_Tarikan_Warkah[Nomor Tiket],Table_Tarikan_Warkah[Nama Petugas Warkah]),"")</f>
        <v>Berry</v>
      </c>
      <c r="G2722" s="39" t="str">
        <f t="array" ref="G2722">IFNA(_xlfn.XLOOKUP(D2722,Table_Tarikan_Warkah[Nomor Tiket],Table_Tarikan_Warkah[Jenis Permohonan]),"")</f>
        <v>BN Hibah</v>
      </c>
      <c r="H2722" s="41" t="s">
        <v>2315</v>
      </c>
      <c r="I2722" s="49" t="s">
        <v>23</v>
      </c>
      <c r="J2722" s="36">
        <f t="shared" si="20"/>
        <v>45838.56546</v>
      </c>
      <c r="K2722" s="49" t="s">
        <v>2378</v>
      </c>
      <c r="L2722" s="49" t="s">
        <v>23</v>
      </c>
      <c r="M2722" s="36">
        <f t="shared" si="33"/>
        <v>45839.56658</v>
      </c>
      <c r="N2722" s="30" t="str">
        <f t="shared" si="34"/>
        <v>Selesai</v>
      </c>
      <c r="O2722" s="45">
        <f t="shared" si="23"/>
        <v>45839.56658</v>
      </c>
      <c r="P2722" s="47" t="b">
        <v>0</v>
      </c>
      <c r="Q2722" s="36" t="str">
        <f t="shared" si="24"/>
        <v/>
      </c>
      <c r="R2722" s="47" t="b">
        <v>0</v>
      </c>
      <c r="S2722" s="42" t="str">
        <f t="shared" si="28"/>
        <v/>
      </c>
      <c r="T2722" s="42"/>
    </row>
    <row r="2723" ht="22.5" customHeight="1">
      <c r="B2723" s="42">
        <f t="shared" si="7"/>
        <v>2717</v>
      </c>
      <c r="C2723" s="31" t="s">
        <v>2792</v>
      </c>
      <c r="D2723" s="34" t="str">
        <f t="array" ref="D2723">IFNA(_xlfn.XLOOKUP(C2723,Table_Tarikan_Warkah[Nomor Sertipikat],Table_Tarikan_Warkah[Nomor Tiket]),"")</f>
        <v>K/29/100625/1</v>
      </c>
      <c r="E2723" s="36">
        <f t="array" ref="E2723">IFNA(_xlfn.XLOOKUP(D2723,Table_Tarikan_Warkah[Nomor Tiket],Table_Tarikan_Warkah[Tanggal diserahkan kepada Validator]),"")</f>
        <v>45841.52595</v>
      </c>
      <c r="F2723" s="36" t="str">
        <f t="array" ref="F2723">IFNA(_xlfn.XLOOKUP(D2723,Table_Tarikan_Warkah[Nomor Tiket],Table_Tarikan_Warkah[Nama Petugas Warkah]),"")</f>
        <v>Berry</v>
      </c>
      <c r="G2723" s="39" t="str">
        <f t="array" ref="G2723">IFNA(_xlfn.XLOOKUP(D2723,Table_Tarikan_Warkah[Nomor Tiket],Table_Tarikan_Warkah[Jenis Permohonan]),"")</f>
        <v>BN Jual Beli</v>
      </c>
      <c r="H2723" s="41" t="s">
        <v>2315</v>
      </c>
      <c r="I2723" s="49" t="s">
        <v>23</v>
      </c>
      <c r="J2723" s="36">
        <f t="shared" si="20"/>
        <v>45838.56562</v>
      </c>
      <c r="K2723" s="49" t="s">
        <v>2378</v>
      </c>
      <c r="L2723" s="49" t="s">
        <v>23</v>
      </c>
      <c r="M2723" s="36">
        <f t="shared" si="33"/>
        <v>45838.64756</v>
      </c>
      <c r="N2723" s="30" t="str">
        <f t="shared" si="34"/>
        <v>Selesai</v>
      </c>
      <c r="O2723" s="45">
        <f t="shared" si="23"/>
        <v>45838.64756</v>
      </c>
      <c r="P2723" s="47" t="b">
        <v>0</v>
      </c>
      <c r="Q2723" s="36" t="str">
        <f t="shared" si="24"/>
        <v/>
      </c>
      <c r="R2723" s="47" t="b">
        <v>0</v>
      </c>
      <c r="S2723" s="42" t="str">
        <f t="shared" si="28"/>
        <v/>
      </c>
      <c r="T2723" s="42"/>
    </row>
    <row r="2724" ht="22.5" customHeight="1">
      <c r="B2724" s="42">
        <f t="shared" si="7"/>
        <v>2718</v>
      </c>
      <c r="C2724" s="31" t="s">
        <v>2793</v>
      </c>
      <c r="D2724" s="34" t="str">
        <f t="array" ref="D2724">IFNA(_xlfn.XLOOKUP(C2724,Table_Tarikan_Warkah[Nomor Sertipikat],Table_Tarikan_Warkah[Nomor Tiket]),"")</f>
        <v>K/1/120625/1</v>
      </c>
      <c r="E2724" s="36">
        <f t="array" ref="E2724">IFNA(_xlfn.XLOOKUP(D2724,Table_Tarikan_Warkah[Nomor Tiket],Table_Tarikan_Warkah[Tanggal diserahkan kepada Validator]),"")</f>
        <v>45841.5006</v>
      </c>
      <c r="F2724" s="36" t="str">
        <f t="array" ref="F2724">IFNA(_xlfn.XLOOKUP(D2724,Table_Tarikan_Warkah[Nomor Tiket],Table_Tarikan_Warkah[Nama Petugas Warkah]),"")</f>
        <v>Berry</v>
      </c>
      <c r="G2724" s="39" t="str">
        <f t="array" ref="G2724">IFNA(_xlfn.XLOOKUP(D2724,Table_Tarikan_Warkah[Nomor Tiket],Table_Tarikan_Warkah[Jenis Permohonan]),"")</f>
        <v>BN Jual Beli</v>
      </c>
      <c r="H2724" s="41" t="s">
        <v>2315</v>
      </c>
      <c r="I2724" s="49" t="s">
        <v>23</v>
      </c>
      <c r="J2724" s="36">
        <f t="shared" si="20"/>
        <v>45838.56581</v>
      </c>
      <c r="K2724" s="49" t="s">
        <v>2378</v>
      </c>
      <c r="L2724" s="49" t="s">
        <v>23</v>
      </c>
      <c r="M2724" s="36">
        <f t="shared" si="33"/>
        <v>45838.64758</v>
      </c>
      <c r="N2724" s="30" t="str">
        <f t="shared" si="34"/>
        <v>Selesai</v>
      </c>
      <c r="O2724" s="45">
        <f t="shared" si="23"/>
        <v>45838.64758</v>
      </c>
      <c r="P2724" s="47" t="b">
        <v>0</v>
      </c>
      <c r="Q2724" s="36" t="str">
        <f t="shared" si="24"/>
        <v/>
      </c>
      <c r="R2724" s="47" t="b">
        <v>0</v>
      </c>
      <c r="S2724" s="42" t="str">
        <f t="shared" si="28"/>
        <v/>
      </c>
      <c r="T2724" s="42"/>
    </row>
    <row r="2725" ht="22.5" customHeight="1">
      <c r="B2725" s="42">
        <f t="shared" si="7"/>
        <v>2719</v>
      </c>
      <c r="C2725" s="31" t="s">
        <v>2695</v>
      </c>
      <c r="D2725" s="34" t="str">
        <f t="array" ref="D2725">IFNA(_xlfn.XLOOKUP(C2725,Table_Tarikan_Warkah[Nomor Sertipikat],Table_Tarikan_Warkah[Nomor Tiket]),"")</f>
        <v>K/37/030625/1</v>
      </c>
      <c r="E2725" s="36">
        <f t="array" ref="E2725">IFNA(_xlfn.XLOOKUP(D2725,Table_Tarikan_Warkah[Nomor Tiket],Table_Tarikan_Warkah[Tanggal diserahkan kepada Validator]),"")</f>
        <v>45890.59729</v>
      </c>
      <c r="F2725" s="36" t="str">
        <f t="array" ref="F2725">IFNA(_xlfn.XLOOKUP(D2725,Table_Tarikan_Warkah[Nomor Tiket],Table_Tarikan_Warkah[Nama Petugas Warkah]),"")</f>
        <v>Berry</v>
      </c>
      <c r="G2725" s="39" t="str">
        <f t="array" ref="G2725">IFNA(_xlfn.XLOOKUP(D2725,Table_Tarikan_Warkah[Nomor Tiket],Table_Tarikan_Warkah[Jenis Permohonan]),"")</f>
        <v>Roya</v>
      </c>
      <c r="H2725" s="41" t="s">
        <v>2315</v>
      </c>
      <c r="I2725" s="49" t="s">
        <v>23</v>
      </c>
      <c r="J2725" s="36">
        <f t="shared" si="20"/>
        <v>45838.566</v>
      </c>
      <c r="K2725" s="49" t="s">
        <v>2378</v>
      </c>
      <c r="L2725" s="49" t="s">
        <v>23</v>
      </c>
      <c r="M2725" s="36">
        <f t="shared" si="33"/>
        <v>45838.64519</v>
      </c>
      <c r="N2725" s="30" t="str">
        <f t="shared" si="34"/>
        <v>Selesai</v>
      </c>
      <c r="O2725" s="45">
        <f t="shared" si="23"/>
        <v>45838.64519</v>
      </c>
      <c r="P2725" s="47" t="b">
        <v>0</v>
      </c>
      <c r="Q2725" s="36" t="str">
        <f t="shared" si="24"/>
        <v/>
      </c>
      <c r="R2725" s="47" t="b">
        <v>0</v>
      </c>
      <c r="S2725" s="42" t="str">
        <f t="shared" si="28"/>
        <v/>
      </c>
      <c r="T2725" s="42"/>
    </row>
    <row r="2726" ht="22.5" customHeight="1">
      <c r="B2726" s="42">
        <f t="shared" si="7"/>
        <v>2720</v>
      </c>
      <c r="C2726" s="31" t="s">
        <v>2794</v>
      </c>
      <c r="D2726" s="34" t="str">
        <f t="array" ref="D2726">IFNA(_xlfn.XLOOKUP(C2726,Table_Tarikan_Warkah[Nomor Sertipikat],Table_Tarikan_Warkah[Nomor Tiket]),"")</f>
        <v>L/7/190625/1</v>
      </c>
      <c r="E2726" s="36">
        <f t="array" ref="E2726">IFNA(_xlfn.XLOOKUP(D2726,Table_Tarikan_Warkah[Nomor Tiket],Table_Tarikan_Warkah[Tanggal diserahkan kepada Validator]),"")</f>
        <v>45849.41813</v>
      </c>
      <c r="F2726" s="36" t="str">
        <f t="array" ref="F2726">IFNA(_xlfn.XLOOKUP(D2726,Table_Tarikan_Warkah[Nomor Tiket],Table_Tarikan_Warkah[Nama Petugas Warkah]),"")</f>
        <v>David</v>
      </c>
      <c r="G2726" s="39" t="str">
        <f t="array" ref="G2726">IFNA(_xlfn.XLOOKUP(D2726,Table_Tarikan_Warkah[Nomor Tiket],Table_Tarikan_Warkah[Jenis Permohonan]),"")</f>
        <v>BN WARIS</v>
      </c>
      <c r="H2726" s="41" t="s">
        <v>2315</v>
      </c>
      <c r="I2726" s="49" t="s">
        <v>23</v>
      </c>
      <c r="J2726" s="36">
        <f t="shared" si="20"/>
        <v>45839.46888</v>
      </c>
      <c r="K2726" s="49" t="s">
        <v>2378</v>
      </c>
      <c r="L2726" s="49" t="s">
        <v>23</v>
      </c>
      <c r="M2726" s="36">
        <f t="shared" si="33"/>
        <v>45839.68441</v>
      </c>
      <c r="N2726" s="30" t="str">
        <f t="shared" si="34"/>
        <v>Selesai</v>
      </c>
      <c r="O2726" s="45">
        <f t="shared" si="23"/>
        <v>45839.68441</v>
      </c>
      <c r="P2726" s="47" t="b">
        <v>0</v>
      </c>
      <c r="Q2726" s="36" t="str">
        <f t="shared" si="24"/>
        <v/>
      </c>
      <c r="R2726" s="47" t="b">
        <v>0</v>
      </c>
      <c r="S2726" s="42" t="str">
        <f t="shared" si="28"/>
        <v/>
      </c>
      <c r="T2726" s="42"/>
    </row>
    <row r="2727" ht="22.5" customHeight="1">
      <c r="B2727" s="42">
        <f t="shared" si="7"/>
        <v>2721</v>
      </c>
      <c r="C2727" s="31" t="s">
        <v>2663</v>
      </c>
      <c r="D2727" s="34" t="str">
        <f t="array" ref="D2727">IFNA(_xlfn.XLOOKUP(C2727,Table_Tarikan_Warkah[Nomor Sertipikat],Table_Tarikan_Warkah[Nomor Tiket]),"")</f>
        <v>K/16/110625/1</v>
      </c>
      <c r="E2727" s="36">
        <f t="array" ref="E2727">IFNA(_xlfn.XLOOKUP(D2727,Table_Tarikan_Warkah[Nomor Tiket],Table_Tarikan_Warkah[Tanggal diserahkan kepada Validator]),"")</f>
        <v>45847.67679</v>
      </c>
      <c r="F2727" s="36" t="str">
        <f t="array" ref="F2727">IFNA(_xlfn.XLOOKUP(D2727,Table_Tarikan_Warkah[Nomor Tiket],Table_Tarikan_Warkah[Nama Petugas Warkah]),"")</f>
        <v>David</v>
      </c>
      <c r="G2727" s="39" t="str">
        <f t="array" ref="G2727">IFNA(_xlfn.XLOOKUP(D2727,Table_Tarikan_Warkah[Nomor Tiket],Table_Tarikan_Warkah[Jenis Permohonan]),"")</f>
        <v>Roya</v>
      </c>
      <c r="H2727" s="41" t="s">
        <v>2315</v>
      </c>
      <c r="I2727" s="49" t="s">
        <v>23</v>
      </c>
      <c r="J2727" s="36">
        <f t="shared" si="20"/>
        <v>45839.4689</v>
      </c>
      <c r="K2727" s="49" t="s">
        <v>2378</v>
      </c>
      <c r="L2727" s="49" t="s">
        <v>23</v>
      </c>
      <c r="M2727" s="36">
        <f t="shared" si="33"/>
        <v>45839.68436</v>
      </c>
      <c r="N2727" s="30" t="str">
        <f t="shared" si="34"/>
        <v>Selesai</v>
      </c>
      <c r="O2727" s="45">
        <f t="shared" si="23"/>
        <v>45839.68436</v>
      </c>
      <c r="P2727" s="47" t="b">
        <v>0</v>
      </c>
      <c r="Q2727" s="36" t="str">
        <f t="shared" si="24"/>
        <v/>
      </c>
      <c r="R2727" s="47" t="b">
        <v>0</v>
      </c>
      <c r="S2727" s="42" t="str">
        <f t="shared" si="28"/>
        <v/>
      </c>
      <c r="T2727" s="42"/>
    </row>
    <row r="2728" ht="22.5" customHeight="1">
      <c r="B2728" s="42">
        <f t="shared" si="7"/>
        <v>2722</v>
      </c>
      <c r="C2728" s="31" t="s">
        <v>2686</v>
      </c>
      <c r="D2728" s="34" t="str">
        <f t="array" ref="D2728">IFNA(_xlfn.XLOOKUP(C2728,Table_Tarikan_Warkah[Nomor Sertipikat],Table_Tarikan_Warkah[Nomor Tiket]),"")</f>
        <v>K/1/100625/1</v>
      </c>
      <c r="E2728" s="36">
        <f t="array" ref="E2728">IFNA(_xlfn.XLOOKUP(D2728,Table_Tarikan_Warkah[Nomor Tiket],Table_Tarikan_Warkah[Tanggal diserahkan kepada Validator]),"")</f>
        <v>45846.67187</v>
      </c>
      <c r="F2728" s="36" t="str">
        <f t="array" ref="F2728">IFNA(_xlfn.XLOOKUP(D2728,Table_Tarikan_Warkah[Nomor Tiket],Table_Tarikan_Warkah[Nama Petugas Warkah]),"")</f>
        <v>David</v>
      </c>
      <c r="G2728" s="39" t="str">
        <f t="array" ref="G2728">IFNA(_xlfn.XLOOKUP(D2728,Table_Tarikan_Warkah[Nomor Tiket],Table_Tarikan_Warkah[Jenis Permohonan]),"")</f>
        <v>Roya</v>
      </c>
      <c r="H2728" s="41" t="s">
        <v>2315</v>
      </c>
      <c r="I2728" s="49" t="s">
        <v>23</v>
      </c>
      <c r="J2728" s="36">
        <f t="shared" si="20"/>
        <v>45839.46895</v>
      </c>
      <c r="K2728" s="49" t="s">
        <v>2378</v>
      </c>
      <c r="L2728" s="49" t="s">
        <v>23</v>
      </c>
      <c r="M2728" s="36">
        <f t="shared" si="33"/>
        <v>45839.68421</v>
      </c>
      <c r="N2728" s="30" t="str">
        <f t="shared" si="34"/>
        <v>Selesai</v>
      </c>
      <c r="O2728" s="45">
        <f t="shared" si="23"/>
        <v>45839.68421</v>
      </c>
      <c r="P2728" s="47" t="b">
        <v>0</v>
      </c>
      <c r="Q2728" s="36" t="str">
        <f t="shared" si="24"/>
        <v/>
      </c>
      <c r="R2728" s="47" t="b">
        <v>0</v>
      </c>
      <c r="S2728" s="42" t="str">
        <f t="shared" si="28"/>
        <v/>
      </c>
      <c r="T2728" s="42"/>
    </row>
    <row r="2729" ht="22.5" customHeight="1">
      <c r="B2729" s="42">
        <f t="shared" si="7"/>
        <v>2723</v>
      </c>
      <c r="C2729" s="31" t="s">
        <v>2795</v>
      </c>
      <c r="D2729" s="34" t="str">
        <f t="array" ref="D2729">IFNA(_xlfn.XLOOKUP(C2729,Table_Tarikan_Warkah[Nomor Sertipikat],Table_Tarikan_Warkah[Nomor Tiket]),"")</f>
        <v>K/34/120625/1</v>
      </c>
      <c r="E2729" s="36">
        <f t="array" ref="E2729">IFNA(_xlfn.XLOOKUP(D2729,Table_Tarikan_Warkah[Nomor Tiket],Table_Tarikan_Warkah[Tanggal diserahkan kepada Validator]),"")</f>
        <v>45842.58736</v>
      </c>
      <c r="F2729" s="36" t="str">
        <f t="array" ref="F2729">IFNA(_xlfn.XLOOKUP(D2729,Table_Tarikan_Warkah[Nomor Tiket],Table_Tarikan_Warkah[Nama Petugas Warkah]),"")</f>
        <v>Berry</v>
      </c>
      <c r="G2729" s="39" t="str">
        <f t="array" ref="G2729">IFNA(_xlfn.XLOOKUP(D2729,Table_Tarikan_Warkah[Nomor Tiket],Table_Tarikan_Warkah[Jenis Permohonan]),"")</f>
        <v>BN Jual Beli</v>
      </c>
      <c r="H2729" s="41" t="s">
        <v>2315</v>
      </c>
      <c r="I2729" s="49" t="s">
        <v>23</v>
      </c>
      <c r="J2729" s="36">
        <f t="shared" si="20"/>
        <v>45839.46895</v>
      </c>
      <c r="K2729" s="49" t="s">
        <v>2378</v>
      </c>
      <c r="L2729" s="49" t="s">
        <v>23</v>
      </c>
      <c r="M2729" s="36">
        <f t="shared" si="33"/>
        <v>45839.68412</v>
      </c>
      <c r="N2729" s="30" t="str">
        <f t="shared" si="34"/>
        <v>Selesai</v>
      </c>
      <c r="O2729" s="45">
        <f t="shared" si="23"/>
        <v>45839.68412</v>
      </c>
      <c r="P2729" s="47" t="b">
        <v>0</v>
      </c>
      <c r="Q2729" s="36" t="str">
        <f t="shared" si="24"/>
        <v/>
      </c>
      <c r="R2729" s="47" t="b">
        <v>0</v>
      </c>
      <c r="S2729" s="42" t="str">
        <f t="shared" si="28"/>
        <v/>
      </c>
      <c r="T2729" s="42"/>
    </row>
    <row r="2730" ht="22.5" customHeight="1">
      <c r="B2730" s="42">
        <f t="shared" si="7"/>
        <v>2724</v>
      </c>
      <c r="C2730" s="31" t="s">
        <v>2796</v>
      </c>
      <c r="D2730" s="34" t="str">
        <f t="array" ref="D2730">IFNA(_xlfn.XLOOKUP(C2730,Table_Tarikan_Warkah[Nomor Sertipikat],Table_Tarikan_Warkah[Nomor Tiket]),"")</f>
        <v>K/20/060525/1</v>
      </c>
      <c r="E2730" s="36">
        <f t="array" ref="E2730">IFNA(_xlfn.XLOOKUP(D2730,Table_Tarikan_Warkah[Nomor Tiket],Table_Tarikan_Warkah[Tanggal diserahkan kepada Validator]),"")</f>
        <v>45846.67286</v>
      </c>
      <c r="F2730" s="36" t="str">
        <f t="array" ref="F2730">IFNA(_xlfn.XLOOKUP(D2730,Table_Tarikan_Warkah[Nomor Tiket],Table_Tarikan_Warkah[Nama Petugas Warkah]),"")</f>
        <v>David</v>
      </c>
      <c r="G2730" s="39" t="str">
        <f t="array" ref="G2730">IFNA(_xlfn.XLOOKUP(D2730,Table_Tarikan_Warkah[Nomor Tiket],Table_Tarikan_Warkah[Jenis Permohonan]),"")</f>
        <v>Roya</v>
      </c>
      <c r="H2730" s="41" t="s">
        <v>2315</v>
      </c>
      <c r="I2730" s="49" t="s">
        <v>23</v>
      </c>
      <c r="J2730" s="36">
        <f t="shared" si="20"/>
        <v>45839.46895</v>
      </c>
      <c r="K2730" s="49" t="s">
        <v>2378</v>
      </c>
      <c r="L2730" s="49" t="s">
        <v>23</v>
      </c>
      <c r="M2730" s="36">
        <f t="shared" si="33"/>
        <v>45839.68403</v>
      </c>
      <c r="N2730" s="30" t="str">
        <f t="shared" si="34"/>
        <v>Selesai</v>
      </c>
      <c r="O2730" s="45">
        <f t="shared" si="23"/>
        <v>45839.68403</v>
      </c>
      <c r="P2730" s="47" t="b">
        <v>0</v>
      </c>
      <c r="Q2730" s="36" t="str">
        <f t="shared" si="24"/>
        <v/>
      </c>
      <c r="R2730" s="47" t="b">
        <v>0</v>
      </c>
      <c r="S2730" s="42" t="str">
        <f t="shared" si="28"/>
        <v/>
      </c>
      <c r="T2730" s="42"/>
    </row>
    <row r="2731" ht="22.5" customHeight="1">
      <c r="B2731" s="42">
        <f t="shared" si="7"/>
        <v>2725</v>
      </c>
      <c r="C2731" s="31" t="s">
        <v>2797</v>
      </c>
      <c r="D2731" s="34" t="str">
        <f t="array" ref="D2731">IFNA(_xlfn.XLOOKUP(C2731,Table_Tarikan_Warkah[Nomor Sertipikat],Table_Tarikan_Warkah[Nomor Tiket]),"")</f>
        <v>K/3/190625/1</v>
      </c>
      <c r="E2731" s="36">
        <f t="array" ref="E2731">IFNA(_xlfn.XLOOKUP(D2731,Table_Tarikan_Warkah[Nomor Tiket],Table_Tarikan_Warkah[Tanggal diserahkan kepada Validator]),"")</f>
        <v>45860.66612</v>
      </c>
      <c r="F2731" s="36" t="str">
        <f t="array" ref="F2731">IFNA(_xlfn.XLOOKUP(D2731,Table_Tarikan_Warkah[Nomor Tiket],Table_Tarikan_Warkah[Nama Petugas Warkah]),"")</f>
        <v>Berry</v>
      </c>
      <c r="G2731" s="39" t="str">
        <f t="array" ref="G2731">IFNA(_xlfn.XLOOKUP(D2731,Table_Tarikan_Warkah[Nomor Tiket],Table_Tarikan_Warkah[Jenis Permohonan]),"")</f>
        <v>BN Jual Beli</v>
      </c>
      <c r="H2731" s="41" t="s">
        <v>2315</v>
      </c>
      <c r="I2731" s="49" t="s">
        <v>23</v>
      </c>
      <c r="J2731" s="36">
        <f t="shared" si="20"/>
        <v>45839.46897</v>
      </c>
      <c r="K2731" s="49" t="s">
        <v>2378</v>
      </c>
      <c r="L2731" s="49" t="s">
        <v>23</v>
      </c>
      <c r="M2731" s="36">
        <f t="shared" si="33"/>
        <v>45839.68398</v>
      </c>
      <c r="N2731" s="30" t="str">
        <f t="shared" si="34"/>
        <v>Selesai</v>
      </c>
      <c r="O2731" s="45">
        <f t="shared" si="23"/>
        <v>45839.68398</v>
      </c>
      <c r="P2731" s="47" t="b">
        <v>0</v>
      </c>
      <c r="Q2731" s="36" t="str">
        <f t="shared" si="24"/>
        <v/>
      </c>
      <c r="R2731" s="47" t="b">
        <v>0</v>
      </c>
      <c r="S2731" s="42" t="str">
        <f t="shared" si="28"/>
        <v/>
      </c>
      <c r="T2731" s="42"/>
    </row>
    <row r="2732" ht="22.5" customHeight="1">
      <c r="B2732" s="42">
        <f t="shared" si="7"/>
        <v>2726</v>
      </c>
      <c r="C2732" s="31" t="s">
        <v>2798</v>
      </c>
      <c r="D2732" s="34" t="str">
        <f t="array" ref="D2732">IFNA(_xlfn.XLOOKUP(C2732,Table_Tarikan_Warkah[Nomor Sertipikat],Table_Tarikan_Warkah[Nomor Tiket]),"")</f>
        <v>K/7/170625/2</v>
      </c>
      <c r="E2732" s="36" t="str">
        <f t="array" ref="E2732">IFNA(_xlfn.XLOOKUP(D2732,Table_Tarikan_Warkah[Nomor Tiket],Table_Tarikan_Warkah[Tanggal diserahkan kepada Validator]),"")</f>
        <v/>
      </c>
      <c r="F2732" s="36" t="str">
        <f t="array" ref="F2732">IFNA(_xlfn.XLOOKUP(D2732,Table_Tarikan_Warkah[Nomor Tiket],Table_Tarikan_Warkah[Nama Petugas Warkah]),"")</f>
        <v/>
      </c>
      <c r="G2732" s="39" t="str">
        <f t="array" ref="G2732">IFNA(_xlfn.XLOOKUP(D2732,Table_Tarikan_Warkah[Nomor Tiket],Table_Tarikan_Warkah[Jenis Permohonan]),"")</f>
        <v>GANTI BLANKO</v>
      </c>
      <c r="H2732" s="41" t="s">
        <v>2315</v>
      </c>
      <c r="I2732" s="49" t="s">
        <v>23</v>
      </c>
      <c r="J2732" s="36">
        <f t="shared" si="20"/>
        <v>45839.46898</v>
      </c>
      <c r="K2732" s="49" t="s">
        <v>2378</v>
      </c>
      <c r="L2732" s="49" t="s">
        <v>23</v>
      </c>
      <c r="M2732" s="36">
        <f t="shared" si="33"/>
        <v>45839.68381</v>
      </c>
      <c r="N2732" s="30" t="str">
        <f t="shared" si="34"/>
        <v>Selesai</v>
      </c>
      <c r="O2732" s="45">
        <f t="shared" si="23"/>
        <v>45839.68381</v>
      </c>
      <c r="P2732" s="47" t="b">
        <v>0</v>
      </c>
      <c r="Q2732" s="36" t="str">
        <f t="shared" si="24"/>
        <v/>
      </c>
      <c r="R2732" s="47" t="b">
        <v>0</v>
      </c>
      <c r="S2732" s="42" t="str">
        <f t="shared" si="28"/>
        <v/>
      </c>
      <c r="T2732" s="42"/>
    </row>
    <row r="2733" ht="22.5" customHeight="1">
      <c r="B2733" s="42">
        <f t="shared" si="7"/>
        <v>2727</v>
      </c>
      <c r="C2733" s="31" t="s">
        <v>2799</v>
      </c>
      <c r="D2733" s="34" t="str">
        <f t="array" ref="D2733">IFNA(_xlfn.XLOOKUP(C2733,Table_Tarikan_Warkah[Nomor Sertipikat],Table_Tarikan_Warkah[Nomor Tiket]),"")</f>
        <v>K/21/230425/3</v>
      </c>
      <c r="E2733" s="36">
        <f t="array" ref="E2733">IFNA(_xlfn.XLOOKUP(D2733,Table_Tarikan_Warkah[Nomor Tiket],Table_Tarikan_Warkah[Tanggal diserahkan kepada Validator]),"")</f>
        <v>45841.51202</v>
      </c>
      <c r="F2733" s="36" t="str">
        <f t="array" ref="F2733">IFNA(_xlfn.XLOOKUP(D2733,Table_Tarikan_Warkah[Nomor Tiket],Table_Tarikan_Warkah[Nama Petugas Warkah]),"")</f>
        <v>Berry</v>
      </c>
      <c r="G2733" s="39" t="str">
        <f t="array" ref="G2733">IFNA(_xlfn.XLOOKUP(D2733,Table_Tarikan_Warkah[Nomor Tiket],Table_Tarikan_Warkah[Jenis Permohonan]),"")</f>
        <v>BN JUAL BELI</v>
      </c>
      <c r="H2733" s="41" t="s">
        <v>2315</v>
      </c>
      <c r="I2733" s="49" t="s">
        <v>23</v>
      </c>
      <c r="J2733" s="36">
        <f t="shared" si="20"/>
        <v>45839.469</v>
      </c>
      <c r="K2733" s="49" t="s">
        <v>2378</v>
      </c>
      <c r="L2733" s="49" t="s">
        <v>23</v>
      </c>
      <c r="M2733" s="36">
        <f t="shared" si="33"/>
        <v>45839.6837</v>
      </c>
      <c r="N2733" s="30" t="str">
        <f t="shared" si="34"/>
        <v>Selesai</v>
      </c>
      <c r="O2733" s="45">
        <f t="shared" si="23"/>
        <v>45839.6837</v>
      </c>
      <c r="P2733" s="47" t="b">
        <v>0</v>
      </c>
      <c r="Q2733" s="36" t="str">
        <f t="shared" si="24"/>
        <v/>
      </c>
      <c r="R2733" s="47" t="b">
        <v>0</v>
      </c>
      <c r="S2733" s="42" t="str">
        <f t="shared" si="28"/>
        <v/>
      </c>
      <c r="T2733" s="42"/>
    </row>
    <row r="2734" ht="22.5" customHeight="1">
      <c r="B2734" s="42">
        <f t="shared" si="7"/>
        <v>2728</v>
      </c>
      <c r="C2734" s="31" t="s">
        <v>2800</v>
      </c>
      <c r="D2734" s="34" t="str">
        <f t="array" ref="D2734">IFNA(_xlfn.XLOOKUP(C2734,Table_Tarikan_Warkah[Nomor Sertipikat],Table_Tarikan_Warkah[Nomor Tiket]),"")</f>
        <v>K/33/200625/2</v>
      </c>
      <c r="E2734" s="36">
        <f t="array" ref="E2734">IFNA(_xlfn.XLOOKUP(D2734,Table_Tarikan_Warkah[Nomor Tiket],Table_Tarikan_Warkah[Tanggal diserahkan kepada Validator]),"")</f>
        <v>45841.51281</v>
      </c>
      <c r="F2734" s="36" t="str">
        <f t="array" ref="F2734">IFNA(_xlfn.XLOOKUP(D2734,Table_Tarikan_Warkah[Nomor Tiket],Table_Tarikan_Warkah[Nama Petugas Warkah]),"")</f>
        <v>Berry</v>
      </c>
      <c r="G2734" s="39" t="str">
        <f t="array" ref="G2734">IFNA(_xlfn.XLOOKUP(D2734,Table_Tarikan_Warkah[Nomor Tiket],Table_Tarikan_Warkah[Jenis Permohonan]),"")</f>
        <v>BN JUAL BELI </v>
      </c>
      <c r="H2734" s="41" t="s">
        <v>2315</v>
      </c>
      <c r="I2734" s="49" t="s">
        <v>23</v>
      </c>
      <c r="J2734" s="36">
        <f t="shared" si="20"/>
        <v>45839.46902</v>
      </c>
      <c r="K2734" s="49" t="s">
        <v>2378</v>
      </c>
      <c r="L2734" s="49" t="s">
        <v>23</v>
      </c>
      <c r="M2734" s="36">
        <f t="shared" si="33"/>
        <v>45839.68358</v>
      </c>
      <c r="N2734" s="30" t="str">
        <f t="shared" si="34"/>
        <v>Selesai</v>
      </c>
      <c r="O2734" s="45">
        <f t="shared" si="23"/>
        <v>45839.68358</v>
      </c>
      <c r="P2734" s="47" t="b">
        <v>0</v>
      </c>
      <c r="Q2734" s="36" t="str">
        <f t="shared" si="24"/>
        <v/>
      </c>
      <c r="R2734" s="47" t="b">
        <v>0</v>
      </c>
      <c r="S2734" s="42" t="str">
        <f t="shared" si="28"/>
        <v/>
      </c>
      <c r="T2734" s="42"/>
    </row>
    <row r="2735" ht="22.5" customHeight="1">
      <c r="B2735" s="42">
        <f t="shared" si="7"/>
        <v>2729</v>
      </c>
      <c r="C2735" s="31" t="s">
        <v>2801</v>
      </c>
      <c r="D2735" s="34" t="str">
        <f t="array" ref="D2735">IFNA(_xlfn.XLOOKUP(C2735,Table_Tarikan_Warkah[Nomor Sertipikat],Table_Tarikan_Warkah[Nomor Tiket]),"")</f>
        <v>K/32/200625/1</v>
      </c>
      <c r="E2735" s="36">
        <f t="array" ref="E2735">IFNA(_xlfn.XLOOKUP(D2735,Table_Tarikan_Warkah[Nomor Tiket],Table_Tarikan_Warkah[Tanggal diserahkan kepada Validator]),"")</f>
        <v>45841.51293</v>
      </c>
      <c r="F2735" s="36" t="str">
        <f t="array" ref="F2735">IFNA(_xlfn.XLOOKUP(D2735,Table_Tarikan_Warkah[Nomor Tiket],Table_Tarikan_Warkah[Nama Petugas Warkah]),"")</f>
        <v>Berry</v>
      </c>
      <c r="G2735" s="39" t="str">
        <f t="array" ref="G2735">IFNA(_xlfn.XLOOKUP(D2735,Table_Tarikan_Warkah[Nomor Tiket],Table_Tarikan_Warkah[Jenis Permohonan]),"")</f>
        <v>BN JUAL BELI </v>
      </c>
      <c r="H2735" s="41" t="s">
        <v>2315</v>
      </c>
      <c r="I2735" s="49" t="s">
        <v>23</v>
      </c>
      <c r="J2735" s="36">
        <f t="shared" si="20"/>
        <v>45839.46903</v>
      </c>
      <c r="K2735" s="49" t="s">
        <v>2378</v>
      </c>
      <c r="L2735" s="49" t="s">
        <v>23</v>
      </c>
      <c r="M2735" s="36">
        <f t="shared" si="33"/>
        <v>45839.68354</v>
      </c>
      <c r="N2735" s="30" t="str">
        <f t="shared" si="34"/>
        <v>Selesai</v>
      </c>
      <c r="O2735" s="45">
        <f t="shared" si="23"/>
        <v>45839.68354</v>
      </c>
      <c r="P2735" s="47" t="b">
        <v>0</v>
      </c>
      <c r="Q2735" s="36" t="str">
        <f t="shared" si="24"/>
        <v/>
      </c>
      <c r="R2735" s="47" t="b">
        <v>0</v>
      </c>
      <c r="S2735" s="42" t="str">
        <f t="shared" si="28"/>
        <v/>
      </c>
      <c r="T2735" s="42"/>
    </row>
    <row r="2736" ht="22.5" customHeight="1">
      <c r="B2736" s="42">
        <f t="shared" si="7"/>
        <v>2730</v>
      </c>
      <c r="C2736" s="31" t="s">
        <v>2802</v>
      </c>
      <c r="D2736" s="34" t="str">
        <f t="array" ref="D2736">IFNA(_xlfn.XLOOKUP(C2736,Table_Tarikan_Warkah[Nomor Sertipikat],Table_Tarikan_Warkah[Nomor Tiket]),"")</f>
        <v>K/8/130625/2</v>
      </c>
      <c r="E2736" s="36">
        <f t="array" ref="E2736">IFNA(_xlfn.XLOOKUP(D2736,Table_Tarikan_Warkah[Nomor Tiket],Table_Tarikan_Warkah[Tanggal diserahkan kepada Validator]),"")</f>
        <v>45847.50083</v>
      </c>
      <c r="F2736" s="36" t="str">
        <f t="array" ref="F2736">IFNA(_xlfn.XLOOKUP(D2736,Table_Tarikan_Warkah[Nomor Tiket],Table_Tarikan_Warkah[Nama Petugas Warkah]),"")</f>
        <v>Berry</v>
      </c>
      <c r="G2736" s="39" t="str">
        <f t="array" ref="G2736">IFNA(_xlfn.XLOOKUP(D2736,Table_Tarikan_Warkah[Nomor Tiket],Table_Tarikan_Warkah[Jenis Permohonan]),"")</f>
        <v>BN JUAL BELI</v>
      </c>
      <c r="H2736" s="41" t="s">
        <v>2315</v>
      </c>
      <c r="I2736" s="49" t="s">
        <v>23</v>
      </c>
      <c r="J2736" s="36">
        <f t="shared" si="20"/>
        <v>45839.46904</v>
      </c>
      <c r="K2736" s="49" t="s">
        <v>2378</v>
      </c>
      <c r="L2736" s="49" t="s">
        <v>23</v>
      </c>
      <c r="M2736" s="36">
        <f t="shared" si="33"/>
        <v>45839.68339</v>
      </c>
      <c r="N2736" s="30" t="str">
        <f t="shared" si="34"/>
        <v>Selesai</v>
      </c>
      <c r="O2736" s="45">
        <f t="shared" si="23"/>
        <v>45839.68339</v>
      </c>
      <c r="P2736" s="47" t="b">
        <v>0</v>
      </c>
      <c r="Q2736" s="36" t="str">
        <f t="shared" si="24"/>
        <v/>
      </c>
      <c r="R2736" s="47" t="b">
        <v>0</v>
      </c>
      <c r="S2736" s="42" t="str">
        <f t="shared" si="28"/>
        <v/>
      </c>
      <c r="T2736" s="42"/>
    </row>
    <row r="2737" ht="22.5" customHeight="1">
      <c r="B2737" s="42">
        <f t="shared" si="7"/>
        <v>2731</v>
      </c>
      <c r="C2737" s="31" t="s">
        <v>2803</v>
      </c>
      <c r="D2737" s="34" t="str">
        <f t="array" ref="D2737">IFNA(_xlfn.XLOOKUP(C2737,Table_Tarikan_Warkah[Nomor Sertipikat],Table_Tarikan_Warkah[Nomor Tiket]),"")</f>
        <v>K/31/280425/1</v>
      </c>
      <c r="E2737" s="36" t="str">
        <f t="array" ref="E2737">IFNA(_xlfn.XLOOKUP(D2737,Table_Tarikan_Warkah[Nomor Tiket],Table_Tarikan_Warkah[Tanggal diserahkan kepada Validator]),"")</f>
        <v/>
      </c>
      <c r="F2737" s="36" t="str">
        <f t="array" ref="F2737">IFNA(_xlfn.XLOOKUP(D2737,Table_Tarikan_Warkah[Nomor Tiket],Table_Tarikan_Warkah[Nama Petugas Warkah]),"")</f>
        <v/>
      </c>
      <c r="G2737" s="39" t="str">
        <f t="array" ref="G2737">IFNA(_xlfn.XLOOKUP(D2737,Table_Tarikan_Warkah[Nomor Tiket],Table_Tarikan_Warkah[Jenis Permohonan]),"")</f>
        <v>PTPGT</v>
      </c>
      <c r="H2737" s="41" t="s">
        <v>2315</v>
      </c>
      <c r="I2737" s="49" t="s">
        <v>23</v>
      </c>
      <c r="J2737" s="36">
        <f t="shared" si="20"/>
        <v>45839.46905</v>
      </c>
      <c r="K2737" s="49" t="s">
        <v>2378</v>
      </c>
      <c r="L2737" s="49" t="s">
        <v>23</v>
      </c>
      <c r="M2737" s="36">
        <f t="shared" si="33"/>
        <v>45839.68284</v>
      </c>
      <c r="N2737" s="30" t="str">
        <f t="shared" si="34"/>
        <v>Selesai</v>
      </c>
      <c r="O2737" s="45">
        <f t="shared" si="23"/>
        <v>45839.68284</v>
      </c>
      <c r="P2737" s="47" t="b">
        <v>0</v>
      </c>
      <c r="Q2737" s="36" t="str">
        <f t="shared" si="24"/>
        <v/>
      </c>
      <c r="R2737" s="47" t="b">
        <v>0</v>
      </c>
      <c r="S2737" s="42" t="str">
        <f t="shared" si="28"/>
        <v/>
      </c>
      <c r="T2737" s="42"/>
    </row>
    <row r="2738" ht="22.5" customHeight="1">
      <c r="B2738" s="42">
        <f t="shared" si="7"/>
        <v>2732</v>
      </c>
      <c r="C2738" s="31" t="s">
        <v>2804</v>
      </c>
      <c r="D2738" s="34" t="str">
        <f t="array" ref="D2738">IFNA(_xlfn.XLOOKUP(C2738,Table_Tarikan_Warkah[Nomor Sertipikat],Table_Tarikan_Warkah[Nomor Tiket]),"")</f>
        <v>K/19/180625/2</v>
      </c>
      <c r="E2738" s="36">
        <f t="array" ref="E2738">IFNA(_xlfn.XLOOKUP(D2738,Table_Tarikan_Warkah[Nomor Tiket],Table_Tarikan_Warkah[Tanggal diserahkan kepada Validator]),"")</f>
        <v>45845.71687</v>
      </c>
      <c r="F2738" s="36" t="str">
        <f t="array" ref="F2738">IFNA(_xlfn.XLOOKUP(D2738,Table_Tarikan_Warkah[Nomor Tiket],Table_Tarikan_Warkah[Nama Petugas Warkah]),"")</f>
        <v>Berry</v>
      </c>
      <c r="G2738" s="39" t="str">
        <f t="array" ref="G2738">IFNA(_xlfn.XLOOKUP(D2738,Table_Tarikan_Warkah[Nomor Tiket],Table_Tarikan_Warkah[Jenis Permohonan]),"")</f>
        <v>BN JUAL BELI</v>
      </c>
      <c r="H2738" s="41" t="s">
        <v>2315</v>
      </c>
      <c r="I2738" s="49" t="s">
        <v>23</v>
      </c>
      <c r="J2738" s="36">
        <f t="shared" si="20"/>
        <v>45839.46907</v>
      </c>
      <c r="K2738" s="49" t="s">
        <v>2378</v>
      </c>
      <c r="L2738" s="49" t="s">
        <v>23</v>
      </c>
      <c r="M2738" s="36">
        <f t="shared" si="33"/>
        <v>45841.3872</v>
      </c>
      <c r="N2738" s="30" t="str">
        <f t="shared" si="34"/>
        <v>Selesai</v>
      </c>
      <c r="O2738" s="45">
        <f t="shared" si="23"/>
        <v>45841.3872</v>
      </c>
      <c r="P2738" s="47" t="b">
        <v>0</v>
      </c>
      <c r="Q2738" s="36" t="str">
        <f t="shared" si="24"/>
        <v/>
      </c>
      <c r="R2738" s="47" t="b">
        <v>0</v>
      </c>
      <c r="S2738" s="42" t="str">
        <f t="shared" si="28"/>
        <v/>
      </c>
      <c r="T2738" s="42"/>
    </row>
    <row r="2739" ht="22.5" customHeight="1">
      <c r="B2739" s="42">
        <f t="shared" si="7"/>
        <v>2733</v>
      </c>
      <c r="C2739" s="31" t="s">
        <v>2805</v>
      </c>
      <c r="D2739" s="34" t="str">
        <f t="array" ref="D2739">IFNA(_xlfn.XLOOKUP(C2739,Table_Tarikan_Warkah[Nomor Sertipikat],Table_Tarikan_Warkah[Nomor Tiket]),"")</f>
        <v>K/32/130625/3</v>
      </c>
      <c r="E2739" s="36">
        <f t="array" ref="E2739">IFNA(_xlfn.XLOOKUP(D2739,Table_Tarikan_Warkah[Nomor Tiket],Table_Tarikan_Warkah[Tanggal diserahkan kepada Validator]),"")</f>
        <v>45841.50528</v>
      </c>
      <c r="F2739" s="36" t="str">
        <f t="array" ref="F2739">IFNA(_xlfn.XLOOKUP(D2739,Table_Tarikan_Warkah[Nomor Tiket],Table_Tarikan_Warkah[Nama Petugas Warkah]),"")</f>
        <v>Berry</v>
      </c>
      <c r="G2739" s="39" t="str">
        <f t="array" ref="G2739">IFNA(_xlfn.XLOOKUP(D2739,Table_Tarikan_Warkah[Nomor Tiket],Table_Tarikan_Warkah[Jenis Permohonan]),"")</f>
        <v>BN JUAL BELI</v>
      </c>
      <c r="H2739" s="41" t="s">
        <v>2315</v>
      </c>
      <c r="I2739" s="49" t="s">
        <v>23</v>
      </c>
      <c r="J2739" s="36">
        <f t="shared" si="20"/>
        <v>45839.46913</v>
      </c>
      <c r="K2739" s="49" t="s">
        <v>2378</v>
      </c>
      <c r="L2739" s="49" t="s">
        <v>23</v>
      </c>
      <c r="M2739" s="36">
        <f t="shared" si="33"/>
        <v>45839.68269</v>
      </c>
      <c r="N2739" s="30" t="str">
        <f t="shared" si="34"/>
        <v>Selesai</v>
      </c>
      <c r="O2739" s="45">
        <f t="shared" si="23"/>
        <v>45839.68269</v>
      </c>
      <c r="P2739" s="47" t="b">
        <v>0</v>
      </c>
      <c r="Q2739" s="36" t="str">
        <f t="shared" si="24"/>
        <v/>
      </c>
      <c r="R2739" s="47" t="b">
        <v>0</v>
      </c>
      <c r="S2739" s="42" t="str">
        <f t="shared" si="28"/>
        <v/>
      </c>
      <c r="T2739" s="42"/>
    </row>
    <row r="2740" ht="22.5" customHeight="1">
      <c r="B2740" s="42">
        <f t="shared" si="7"/>
        <v>2734</v>
      </c>
      <c r="C2740" s="31" t="s">
        <v>2806</v>
      </c>
      <c r="D2740" s="34" t="str">
        <f t="array" ref="D2740">IFNA(_xlfn.XLOOKUP(C2740,Table_Tarikan_Warkah[Nomor Sertipikat],Table_Tarikan_Warkah[Nomor Tiket]),"")</f>
        <v>K/5/080525/1</v>
      </c>
      <c r="E2740" s="36">
        <f t="array" ref="E2740">IFNA(_xlfn.XLOOKUP(D2740,Table_Tarikan_Warkah[Nomor Tiket],Table_Tarikan_Warkah[Tanggal diserahkan kepada Validator]),"")</f>
        <v>45841.5037</v>
      </c>
      <c r="F2740" s="36" t="str">
        <f t="array" ref="F2740">IFNA(_xlfn.XLOOKUP(D2740,Table_Tarikan_Warkah[Nomor Tiket],Table_Tarikan_Warkah[Nama Petugas Warkah]),"")</f>
        <v>Berry</v>
      </c>
      <c r="G2740" s="39" t="str">
        <f t="array" ref="G2740">IFNA(_xlfn.XLOOKUP(D2740,Table_Tarikan_Warkah[Nomor Tiket],Table_Tarikan_Warkah[Jenis Permohonan]),"")</f>
        <v>BN JUAL BELI</v>
      </c>
      <c r="H2740" s="41" t="s">
        <v>2315</v>
      </c>
      <c r="I2740" s="49" t="s">
        <v>23</v>
      </c>
      <c r="J2740" s="36">
        <f t="shared" si="20"/>
        <v>45839.46913</v>
      </c>
      <c r="K2740" s="49" t="s">
        <v>2378</v>
      </c>
      <c r="L2740" s="49" t="s">
        <v>23</v>
      </c>
      <c r="M2740" s="36">
        <f t="shared" si="33"/>
        <v>45839.68256</v>
      </c>
      <c r="N2740" s="30" t="str">
        <f t="shared" si="34"/>
        <v>Selesai</v>
      </c>
      <c r="O2740" s="45">
        <f t="shared" si="23"/>
        <v>45839.68256</v>
      </c>
      <c r="P2740" s="47" t="b">
        <v>0</v>
      </c>
      <c r="Q2740" s="36" t="str">
        <f t="shared" si="24"/>
        <v/>
      </c>
      <c r="R2740" s="47" t="b">
        <v>0</v>
      </c>
      <c r="S2740" s="42" t="str">
        <f t="shared" si="28"/>
        <v/>
      </c>
      <c r="T2740" s="42"/>
    </row>
    <row r="2741" ht="22.5" customHeight="1">
      <c r="B2741" s="42">
        <f t="shared" si="7"/>
        <v>2735</v>
      </c>
      <c r="C2741" s="31" t="s">
        <v>2807</v>
      </c>
      <c r="D2741" s="34" t="str">
        <f t="array" ref="D2741">IFNA(_xlfn.XLOOKUP(C2741,Table_Tarikan_Warkah[Nomor Sertipikat],Table_Tarikan_Warkah[Nomor Tiket]),"")</f>
        <v>K/1/200625/1</v>
      </c>
      <c r="E2741" s="36">
        <f t="array" ref="E2741">IFNA(_xlfn.XLOOKUP(D2741,Table_Tarikan_Warkah[Nomor Tiket],Table_Tarikan_Warkah[Tanggal diserahkan kepada Validator]),"")</f>
        <v>45841.50297</v>
      </c>
      <c r="F2741" s="36" t="str">
        <f t="array" ref="F2741">IFNA(_xlfn.XLOOKUP(D2741,Table_Tarikan_Warkah[Nomor Tiket],Table_Tarikan_Warkah[Nama Petugas Warkah]),"")</f>
        <v>Berry</v>
      </c>
      <c r="G2741" s="39" t="str">
        <f t="array" ref="G2741">IFNA(_xlfn.XLOOKUP(D2741,Table_Tarikan_Warkah[Nomor Tiket],Table_Tarikan_Warkah[Jenis Permohonan]),"")</f>
        <v>BN JUAL BELI</v>
      </c>
      <c r="H2741" s="41" t="s">
        <v>2315</v>
      </c>
      <c r="I2741" s="49" t="s">
        <v>23</v>
      </c>
      <c r="J2741" s="36">
        <f t="shared" si="20"/>
        <v>45839.46913</v>
      </c>
      <c r="K2741" s="49" t="s">
        <v>2378</v>
      </c>
      <c r="L2741" s="49" t="s">
        <v>23</v>
      </c>
      <c r="M2741" s="36">
        <f t="shared" si="33"/>
        <v>45839.68242</v>
      </c>
      <c r="N2741" s="30" t="str">
        <f t="shared" si="34"/>
        <v>Selesai</v>
      </c>
      <c r="O2741" s="45">
        <f t="shared" si="23"/>
        <v>45839.68242</v>
      </c>
      <c r="P2741" s="47" t="b">
        <v>0</v>
      </c>
      <c r="Q2741" s="36" t="str">
        <f t="shared" si="24"/>
        <v/>
      </c>
      <c r="R2741" s="47" t="b">
        <v>0</v>
      </c>
      <c r="S2741" s="42" t="str">
        <f t="shared" si="28"/>
        <v/>
      </c>
      <c r="T2741" s="42"/>
    </row>
    <row r="2742" ht="22.5" customHeight="1">
      <c r="B2742" s="42">
        <f t="shared" si="7"/>
        <v>2736</v>
      </c>
      <c r="C2742" s="31" t="s">
        <v>2808</v>
      </c>
      <c r="D2742" s="34" t="str">
        <f t="array" ref="D2742">IFNA(_xlfn.XLOOKUP(C2742,Table_Tarikan_Warkah[Nomor Sertipikat],Table_Tarikan_Warkah[Nomor Tiket]),"")</f>
        <v>K/31/230625/2</v>
      </c>
      <c r="E2742" s="36" t="str">
        <f t="array" ref="E2742">IFNA(_xlfn.XLOOKUP(D2742,Table_Tarikan_Warkah[Nomor Tiket],Table_Tarikan_Warkah[Tanggal diserahkan kepada Validator]),"")</f>
        <v/>
      </c>
      <c r="F2742" s="36" t="str">
        <f t="array" ref="F2742">IFNA(_xlfn.XLOOKUP(D2742,Table_Tarikan_Warkah[Nomor Tiket],Table_Tarikan_Warkah[Nama Petugas Warkah]),"")</f>
        <v/>
      </c>
      <c r="G2742" s="39" t="str">
        <f t="array" ref="G2742">IFNA(_xlfn.XLOOKUP(D2742,Table_Tarikan_Warkah[Nomor Tiket],Table_Tarikan_Warkah[Jenis Permohonan]),"")</f>
        <v>ROYA</v>
      </c>
      <c r="H2742" s="41" t="s">
        <v>2315</v>
      </c>
      <c r="I2742" s="49" t="s">
        <v>23</v>
      </c>
      <c r="J2742" s="36">
        <f t="shared" si="20"/>
        <v>45839.46913</v>
      </c>
      <c r="K2742" s="49" t="s">
        <v>2378</v>
      </c>
      <c r="L2742" s="49" t="s">
        <v>23</v>
      </c>
      <c r="M2742" s="36">
        <f t="shared" si="33"/>
        <v>45842.60374</v>
      </c>
      <c r="N2742" s="30" t="str">
        <f t="shared" si="34"/>
        <v>Selesai</v>
      </c>
      <c r="O2742" s="45">
        <f t="shared" si="23"/>
        <v>45842.60374</v>
      </c>
      <c r="P2742" s="47" t="b">
        <v>0</v>
      </c>
      <c r="Q2742" s="36" t="str">
        <f t="shared" si="24"/>
        <v/>
      </c>
      <c r="R2742" s="47" t="b">
        <v>0</v>
      </c>
      <c r="S2742" s="42" t="str">
        <f t="shared" si="28"/>
        <v/>
      </c>
      <c r="T2742" s="42"/>
    </row>
    <row r="2743" ht="22.5" customHeight="1">
      <c r="B2743" s="42">
        <f t="shared" si="7"/>
        <v>2737</v>
      </c>
      <c r="C2743" s="31" t="s">
        <v>2809</v>
      </c>
      <c r="D2743" s="34" t="str">
        <f t="array" ref="D2743">IFNA(_xlfn.XLOOKUP(C2743,Table_Tarikan_Warkah[Nomor Sertipikat],Table_Tarikan_Warkah[Nomor Tiket]),"")</f>
        <v>K/18/160635/1</v>
      </c>
      <c r="E2743" s="36">
        <f t="array" ref="E2743">IFNA(_xlfn.XLOOKUP(D2743,Table_Tarikan_Warkah[Nomor Tiket],Table_Tarikan_Warkah[Tanggal diserahkan kepada Validator]),"")</f>
        <v>45841.51123</v>
      </c>
      <c r="F2743" s="36" t="str">
        <f t="array" ref="F2743">IFNA(_xlfn.XLOOKUP(D2743,Table_Tarikan_Warkah[Nomor Tiket],Table_Tarikan_Warkah[Nama Petugas Warkah]),"")</f>
        <v>Berry</v>
      </c>
      <c r="G2743" s="39" t="str">
        <f t="array" ref="G2743">IFNA(_xlfn.XLOOKUP(D2743,Table_Tarikan_Warkah[Nomor Tiket],Table_Tarikan_Warkah[Jenis Permohonan]),"")</f>
        <v>HIBAH</v>
      </c>
      <c r="H2743" s="41" t="s">
        <v>2315</v>
      </c>
      <c r="I2743" s="49" t="s">
        <v>23</v>
      </c>
      <c r="J2743" s="36">
        <f t="shared" si="20"/>
        <v>45839.46913</v>
      </c>
      <c r="K2743" s="49" t="s">
        <v>2378</v>
      </c>
      <c r="L2743" s="49" t="s">
        <v>23</v>
      </c>
      <c r="M2743" s="36">
        <f t="shared" si="33"/>
        <v>45839.68231</v>
      </c>
      <c r="N2743" s="30" t="str">
        <f t="shared" si="34"/>
        <v>Selesai</v>
      </c>
      <c r="O2743" s="45">
        <f t="shared" si="23"/>
        <v>45839.68231</v>
      </c>
      <c r="P2743" s="47" t="b">
        <v>0</v>
      </c>
      <c r="Q2743" s="36" t="str">
        <f t="shared" si="24"/>
        <v/>
      </c>
      <c r="R2743" s="47" t="b">
        <v>0</v>
      </c>
      <c r="S2743" s="42" t="str">
        <f t="shared" si="28"/>
        <v/>
      </c>
      <c r="T2743" s="42"/>
    </row>
    <row r="2744" ht="22.5" customHeight="1">
      <c r="B2744" s="42">
        <f t="shared" si="7"/>
        <v>2738</v>
      </c>
      <c r="C2744" s="31" t="s">
        <v>2810</v>
      </c>
      <c r="D2744" s="34" t="str">
        <f t="array" ref="D2744">IFNA(_xlfn.XLOOKUP(C2744,Table_Tarikan_Warkah[Nomor Sertipikat],Table_Tarikan_Warkah[Nomor Tiket]),"")</f>
        <v>K/29/160635/2</v>
      </c>
      <c r="E2744" s="36">
        <f t="array" ref="E2744">IFNA(_xlfn.XLOOKUP(D2744,Table_Tarikan_Warkah[Nomor Tiket],Table_Tarikan_Warkah[Tanggal diserahkan kepada Validator]),"")</f>
        <v>45841.51086</v>
      </c>
      <c r="F2744" s="36" t="str">
        <f t="array" ref="F2744">IFNA(_xlfn.XLOOKUP(D2744,Table_Tarikan_Warkah[Nomor Tiket],Table_Tarikan_Warkah[Nama Petugas Warkah]),"")</f>
        <v>Berry</v>
      </c>
      <c r="G2744" s="39" t="str">
        <f t="array" ref="G2744">IFNA(_xlfn.XLOOKUP(D2744,Table_Tarikan_Warkah[Nomor Tiket],Table_Tarikan_Warkah[Jenis Permohonan]),"")</f>
        <v>JUAL BELI</v>
      </c>
      <c r="H2744" s="41" t="s">
        <v>2315</v>
      </c>
      <c r="I2744" s="49" t="s">
        <v>23</v>
      </c>
      <c r="J2744" s="36">
        <f t="shared" si="20"/>
        <v>45839.4692</v>
      </c>
      <c r="K2744" s="49" t="s">
        <v>2378</v>
      </c>
      <c r="L2744" s="49" t="s">
        <v>23</v>
      </c>
      <c r="M2744" s="36">
        <f t="shared" si="33"/>
        <v>45839.68218</v>
      </c>
      <c r="N2744" s="30" t="str">
        <f t="shared" si="34"/>
        <v>Selesai</v>
      </c>
      <c r="O2744" s="45">
        <f t="shared" si="23"/>
        <v>45839.68218</v>
      </c>
      <c r="P2744" s="47" t="b">
        <v>0</v>
      </c>
      <c r="Q2744" s="36" t="str">
        <f t="shared" si="24"/>
        <v/>
      </c>
      <c r="R2744" s="47" t="b">
        <v>0</v>
      </c>
      <c r="S2744" s="42" t="str">
        <f t="shared" si="28"/>
        <v/>
      </c>
      <c r="T2744" s="42"/>
    </row>
    <row r="2745" ht="22.5" customHeight="1">
      <c r="B2745" s="42">
        <f t="shared" si="7"/>
        <v>2739</v>
      </c>
      <c r="C2745" s="31" t="s">
        <v>2811</v>
      </c>
      <c r="D2745" s="34" t="str">
        <f t="array" ref="D2745">IFNA(_xlfn.XLOOKUP(C2745,Table_Tarikan_Warkah[Nomor Sertipikat],Table_Tarikan_Warkah[Nomor Tiket]),"")</f>
        <v>K/20/250625/2</v>
      </c>
      <c r="E2745" s="36">
        <f t="array" ref="E2745">IFNA(_xlfn.XLOOKUP(D2745,Table_Tarikan_Warkah[Nomor Tiket],Table_Tarikan_Warkah[Tanggal diserahkan kepada Validator]),"")</f>
        <v>45841.50921</v>
      </c>
      <c r="F2745" s="36" t="str">
        <f t="array" ref="F2745">IFNA(_xlfn.XLOOKUP(D2745,Table_Tarikan_Warkah[Nomor Tiket],Table_Tarikan_Warkah[Nama Petugas Warkah]),"")</f>
        <v>Berry</v>
      </c>
      <c r="G2745" s="39" t="str">
        <f t="array" ref="G2745">IFNA(_xlfn.XLOOKUP(D2745,Table_Tarikan_Warkah[Nomor Tiket],Table_Tarikan_Warkah[Jenis Permohonan]),"")</f>
        <v>JUAL BELI</v>
      </c>
      <c r="H2745" s="41" t="s">
        <v>2315</v>
      </c>
      <c r="I2745" s="49" t="s">
        <v>23</v>
      </c>
      <c r="J2745" s="36">
        <f t="shared" si="20"/>
        <v>45839.4692</v>
      </c>
      <c r="K2745" s="49" t="s">
        <v>2378</v>
      </c>
      <c r="L2745" s="49" t="s">
        <v>23</v>
      </c>
      <c r="M2745" s="36">
        <f t="shared" si="33"/>
        <v>45839.68204</v>
      </c>
      <c r="N2745" s="30" t="str">
        <f t="shared" si="34"/>
        <v>Selesai</v>
      </c>
      <c r="O2745" s="45">
        <f t="shared" si="23"/>
        <v>45839.68204</v>
      </c>
      <c r="P2745" s="47" t="b">
        <v>0</v>
      </c>
      <c r="Q2745" s="36" t="str">
        <f t="shared" si="24"/>
        <v/>
      </c>
      <c r="R2745" s="47" t="b">
        <v>0</v>
      </c>
      <c r="S2745" s="42" t="str">
        <f t="shared" si="28"/>
        <v/>
      </c>
      <c r="T2745" s="42"/>
    </row>
    <row r="2746" ht="22.5" customHeight="1">
      <c r="B2746" s="42">
        <f t="shared" si="7"/>
        <v>2740</v>
      </c>
      <c r="C2746" s="31" t="s">
        <v>2812</v>
      </c>
      <c r="D2746" s="34" t="str">
        <f t="array" ref="D2746">IFNA(_xlfn.XLOOKUP(C2746,Table_Tarikan_Warkah[Nomor Sertipikat],Table_Tarikan_Warkah[Nomor Tiket]),"")</f>
        <v>K/22/240625/1</v>
      </c>
      <c r="E2746" s="36">
        <f t="array" ref="E2746">IFNA(_xlfn.XLOOKUP(D2746,Table_Tarikan_Warkah[Nomor Tiket],Table_Tarikan_Warkah[Tanggal diserahkan kepada Validator]),"")</f>
        <v>45845.70215</v>
      </c>
      <c r="F2746" s="36" t="str">
        <f t="array" ref="F2746">IFNA(_xlfn.XLOOKUP(D2746,Table_Tarikan_Warkah[Nomor Tiket],Table_Tarikan_Warkah[Nama Petugas Warkah]),"")</f>
        <v>Berry</v>
      </c>
      <c r="G2746" s="39" t="str">
        <f t="array" ref="G2746">IFNA(_xlfn.XLOOKUP(D2746,Table_Tarikan_Warkah[Nomor Tiket],Table_Tarikan_Warkah[Jenis Permohonan]),"")</f>
        <v>JUAL BELI</v>
      </c>
      <c r="H2746" s="41" t="s">
        <v>2315</v>
      </c>
      <c r="I2746" s="49" t="s">
        <v>23</v>
      </c>
      <c r="J2746" s="36">
        <f t="shared" si="20"/>
        <v>45839.4692</v>
      </c>
      <c r="K2746" s="49" t="s">
        <v>2378</v>
      </c>
      <c r="L2746" s="49" t="s">
        <v>23</v>
      </c>
      <c r="M2746" s="36">
        <f t="shared" si="33"/>
        <v>45841.3872</v>
      </c>
      <c r="N2746" s="30" t="str">
        <f t="shared" si="34"/>
        <v>Selesai</v>
      </c>
      <c r="O2746" s="45">
        <f t="shared" si="23"/>
        <v>45841.3872</v>
      </c>
      <c r="P2746" s="47" t="b">
        <v>0</v>
      </c>
      <c r="Q2746" s="36" t="str">
        <f t="shared" si="24"/>
        <v/>
      </c>
      <c r="R2746" s="47" t="b">
        <v>0</v>
      </c>
      <c r="S2746" s="42" t="str">
        <f t="shared" si="28"/>
        <v/>
      </c>
      <c r="T2746" s="42"/>
    </row>
    <row r="2747" ht="22.5" customHeight="1">
      <c r="B2747" s="42">
        <f t="shared" si="7"/>
        <v>2741</v>
      </c>
      <c r="C2747" s="31" t="s">
        <v>2813</v>
      </c>
      <c r="D2747" s="34" t="str">
        <f t="array" ref="D2747">IFNA(_xlfn.XLOOKUP(C2747,Table_Tarikan_Warkah[Nomor Sertipikat],Table_Tarikan_Warkah[Nomor Tiket]),"")</f>
        <v>K/6/020625/1</v>
      </c>
      <c r="E2747" s="36">
        <f t="array" ref="E2747">IFNA(_xlfn.XLOOKUP(D2747,Table_Tarikan_Warkah[Nomor Tiket],Table_Tarikan_Warkah[Tanggal diserahkan kepada Validator]),"")</f>
        <v>45841.50874</v>
      </c>
      <c r="F2747" s="36" t="str">
        <f t="array" ref="F2747">IFNA(_xlfn.XLOOKUP(D2747,Table_Tarikan_Warkah[Nomor Tiket],Table_Tarikan_Warkah[Nama Petugas Warkah]),"")</f>
        <v>Berry</v>
      </c>
      <c r="G2747" s="39" t="str">
        <f t="array" ref="G2747">IFNA(_xlfn.XLOOKUP(D2747,Table_Tarikan_Warkah[Nomor Tiket],Table_Tarikan_Warkah[Jenis Permohonan]),"")</f>
        <v>KEWARISAN</v>
      </c>
      <c r="H2747" s="41" t="s">
        <v>2315</v>
      </c>
      <c r="I2747" s="49" t="s">
        <v>23</v>
      </c>
      <c r="J2747" s="36">
        <f t="shared" si="20"/>
        <v>45839.4692</v>
      </c>
      <c r="K2747" s="49" t="s">
        <v>2378</v>
      </c>
      <c r="L2747" s="49" t="s">
        <v>23</v>
      </c>
      <c r="M2747" s="36">
        <f t="shared" si="33"/>
        <v>45839.68186</v>
      </c>
      <c r="N2747" s="30" t="str">
        <f t="shared" si="34"/>
        <v>Selesai</v>
      </c>
      <c r="O2747" s="45">
        <f t="shared" si="23"/>
        <v>45839.68186</v>
      </c>
      <c r="P2747" s="47" t="b">
        <v>0</v>
      </c>
      <c r="Q2747" s="36" t="str">
        <f t="shared" si="24"/>
        <v/>
      </c>
      <c r="R2747" s="47" t="b">
        <v>0</v>
      </c>
      <c r="S2747" s="42" t="str">
        <f t="shared" si="28"/>
        <v/>
      </c>
      <c r="T2747" s="42"/>
    </row>
    <row r="2748" ht="22.5" customHeight="1">
      <c r="B2748" s="42">
        <f t="shared" si="7"/>
        <v>2742</v>
      </c>
      <c r="C2748" s="31" t="s">
        <v>2814</v>
      </c>
      <c r="D2748" s="34" t="str">
        <f t="array" ref="D2748">IFNA(_xlfn.XLOOKUP(C2748,Table_Tarikan_Warkah[Nomor Sertipikat],Table_Tarikan_Warkah[Nomor Tiket]),"")</f>
        <v>K/39/160635/1</v>
      </c>
      <c r="E2748" s="36">
        <f t="array" ref="E2748">IFNA(_xlfn.XLOOKUP(D2748,Table_Tarikan_Warkah[Nomor Tiket],Table_Tarikan_Warkah[Tanggal diserahkan kepada Validator]),"")</f>
        <v>45861.61746</v>
      </c>
      <c r="F2748" s="36" t="str">
        <f t="array" ref="F2748">IFNA(_xlfn.XLOOKUP(D2748,Table_Tarikan_Warkah[Nomor Tiket],Table_Tarikan_Warkah[Nama Petugas Warkah]),"")</f>
        <v>Berry</v>
      </c>
      <c r="G2748" s="39" t="str">
        <f t="array" ref="G2748">IFNA(_xlfn.XLOOKUP(D2748,Table_Tarikan_Warkah[Nomor Tiket],Table_Tarikan_Warkah[Jenis Permohonan]),"")</f>
        <v>HIBAH</v>
      </c>
      <c r="H2748" s="41" t="s">
        <v>2315</v>
      </c>
      <c r="I2748" s="49" t="s">
        <v>23</v>
      </c>
      <c r="J2748" s="36">
        <f t="shared" si="20"/>
        <v>45839.46921</v>
      </c>
      <c r="K2748" s="49" t="s">
        <v>2378</v>
      </c>
      <c r="L2748" s="49" t="s">
        <v>23</v>
      </c>
      <c r="M2748" s="36">
        <f t="shared" si="33"/>
        <v>45839.68159</v>
      </c>
      <c r="N2748" s="30" t="str">
        <f t="shared" si="34"/>
        <v>Selesai</v>
      </c>
      <c r="O2748" s="45">
        <f t="shared" si="23"/>
        <v>45839.68159</v>
      </c>
      <c r="P2748" s="47" t="b">
        <v>0</v>
      </c>
      <c r="Q2748" s="36" t="str">
        <f t="shared" si="24"/>
        <v/>
      </c>
      <c r="R2748" s="47" t="b">
        <v>0</v>
      </c>
      <c r="S2748" s="42" t="str">
        <f t="shared" si="28"/>
        <v/>
      </c>
      <c r="T2748" s="42"/>
    </row>
    <row r="2749" ht="22.5" customHeight="1">
      <c r="B2749" s="42">
        <f t="shared" si="7"/>
        <v>2743</v>
      </c>
      <c r="C2749" s="31" t="s">
        <v>2815</v>
      </c>
      <c r="D2749" s="34" t="str">
        <f t="array" ref="D2749">IFNA(_xlfn.XLOOKUP(C2749,Table_Tarikan_Warkah[Nomor Sertipikat],Table_Tarikan_Warkah[Nomor Tiket]),"")</f>
        <v>K/10/160631/1</v>
      </c>
      <c r="E2749" s="36">
        <f t="array" ref="E2749">IFNA(_xlfn.XLOOKUP(D2749,Table_Tarikan_Warkah[Nomor Tiket],Table_Tarikan_Warkah[Tanggal diserahkan kepada Validator]),"")</f>
        <v>45841.50677</v>
      </c>
      <c r="F2749" s="36" t="str">
        <f t="array" ref="F2749">IFNA(_xlfn.XLOOKUP(D2749,Table_Tarikan_Warkah[Nomor Tiket],Table_Tarikan_Warkah[Nama Petugas Warkah]),"")</f>
        <v>Berry</v>
      </c>
      <c r="G2749" s="39" t="str">
        <f t="array" ref="G2749">IFNA(_xlfn.XLOOKUP(D2749,Table_Tarikan_Warkah[Nomor Tiket],Table_Tarikan_Warkah[Jenis Permohonan]),"")</f>
        <v>JUAL BELI </v>
      </c>
      <c r="H2749" s="41" t="s">
        <v>2315</v>
      </c>
      <c r="I2749" s="49" t="s">
        <v>23</v>
      </c>
      <c r="J2749" s="36">
        <f t="shared" si="20"/>
        <v>45839.46922</v>
      </c>
      <c r="K2749" s="49" t="s">
        <v>2378</v>
      </c>
      <c r="L2749" s="49" t="s">
        <v>23</v>
      </c>
      <c r="M2749" s="36">
        <f t="shared" si="33"/>
        <v>45839.68146</v>
      </c>
      <c r="N2749" s="30" t="str">
        <f t="shared" si="34"/>
        <v>Selesai</v>
      </c>
      <c r="O2749" s="45">
        <f t="shared" si="23"/>
        <v>45839.68146</v>
      </c>
      <c r="P2749" s="47" t="b">
        <v>0</v>
      </c>
      <c r="Q2749" s="36" t="str">
        <f t="shared" si="24"/>
        <v/>
      </c>
      <c r="R2749" s="47" t="b">
        <v>0</v>
      </c>
      <c r="S2749" s="42" t="str">
        <f t="shared" si="28"/>
        <v/>
      </c>
      <c r="T2749" s="42"/>
    </row>
    <row r="2750" ht="22.5" customHeight="1">
      <c r="B2750" s="42">
        <f t="shared" si="7"/>
        <v>2744</v>
      </c>
      <c r="C2750" s="31" t="s">
        <v>2816</v>
      </c>
      <c r="D2750" s="34" t="str">
        <f t="array" ref="D2750">IFNA(_xlfn.XLOOKUP(C2750,Table_Tarikan_Warkah[Nomor Sertipikat],Table_Tarikan_Warkah[Nomor Tiket]),"")</f>
        <v>K/18/170625/1</v>
      </c>
      <c r="E2750" s="36" t="str">
        <f t="array" ref="E2750">IFNA(_xlfn.XLOOKUP(D2750,Table_Tarikan_Warkah[Nomor Tiket],Table_Tarikan_Warkah[Tanggal diserahkan kepada Validator]),"")</f>
        <v/>
      </c>
      <c r="F2750" s="36" t="str">
        <f t="array" ref="F2750">IFNA(_xlfn.XLOOKUP(D2750,Table_Tarikan_Warkah[Nomor Tiket],Table_Tarikan_Warkah[Nama Petugas Warkah]),"")</f>
        <v/>
      </c>
      <c r="G2750" s="39" t="str">
        <f t="array" ref="G2750">IFNA(_xlfn.XLOOKUP(D2750,Table_Tarikan_Warkah[Nomor Tiket],Table_Tarikan_Warkah[Jenis Permohonan]),"")</f>
        <v>PENINGKATAN HAK</v>
      </c>
      <c r="H2750" s="41" t="s">
        <v>2315</v>
      </c>
      <c r="I2750" s="49" t="s">
        <v>23</v>
      </c>
      <c r="J2750" s="36">
        <f t="shared" si="20"/>
        <v>45839.48687</v>
      </c>
      <c r="K2750" s="49" t="s">
        <v>2378</v>
      </c>
      <c r="L2750" s="49" t="s">
        <v>23</v>
      </c>
      <c r="M2750" s="36">
        <f t="shared" si="33"/>
        <v>45839.68133</v>
      </c>
      <c r="N2750" s="30" t="str">
        <f t="shared" si="34"/>
        <v>Selesai</v>
      </c>
      <c r="O2750" s="45">
        <f t="shared" si="23"/>
        <v>45839.68133</v>
      </c>
      <c r="P2750" s="47" t="b">
        <v>0</v>
      </c>
      <c r="Q2750" s="36" t="str">
        <f t="shared" si="24"/>
        <v/>
      </c>
      <c r="R2750" s="47" t="b">
        <v>0</v>
      </c>
      <c r="S2750" s="42" t="str">
        <f t="shared" si="28"/>
        <v/>
      </c>
      <c r="T2750" s="42"/>
    </row>
    <row r="2751" ht="22.5" customHeight="1">
      <c r="B2751" s="42">
        <f t="shared" si="7"/>
        <v>2745</v>
      </c>
      <c r="C2751" s="31" t="s">
        <v>2817</v>
      </c>
      <c r="D2751" s="34" t="str">
        <f t="array" ref="D2751">IFNA(_xlfn.XLOOKUP(C2751,Table_Tarikan_Warkah[Nomor Sertipikat],Table_Tarikan_Warkah[Nomor Tiket]),"")</f>
        <v/>
      </c>
      <c r="E2751" s="36" t="str">
        <f t="array" ref="E2751">IFNA(_xlfn.XLOOKUP(D2751,Table_Tarikan_Warkah[Nomor Tiket],Table_Tarikan_Warkah[Tanggal diserahkan kepada Validator]),"")</f>
        <v/>
      </c>
      <c r="F2751" s="36" t="str">
        <f t="array" ref="F2751">IFNA(_xlfn.XLOOKUP(D2751,Table_Tarikan_Warkah[Nomor Tiket],Table_Tarikan_Warkah[Nama Petugas Warkah]),"")</f>
        <v/>
      </c>
      <c r="G2751" s="39" t="str">
        <f t="array" ref="G2751">IFNA(_xlfn.XLOOKUP(D2751,Table_Tarikan_Warkah[Nomor Tiket],Table_Tarikan_Warkah[Jenis Permohonan]),"")</f>
        <v/>
      </c>
      <c r="H2751" s="41" t="s">
        <v>2315</v>
      </c>
      <c r="I2751" s="49" t="s">
        <v>23</v>
      </c>
      <c r="J2751" s="36">
        <f t="shared" si="20"/>
        <v>45840.58785</v>
      </c>
      <c r="K2751" s="49" t="s">
        <v>2378</v>
      </c>
      <c r="L2751" s="49" t="s">
        <v>23</v>
      </c>
      <c r="M2751" s="36">
        <f t="shared" si="33"/>
        <v>45839.67955</v>
      </c>
      <c r="N2751" s="30" t="str">
        <f t="shared" si="34"/>
        <v/>
      </c>
      <c r="O2751" s="39" t="str">
        <f t="shared" si="23"/>
        <v/>
      </c>
      <c r="P2751" s="47" t="b">
        <v>0</v>
      </c>
      <c r="Q2751" s="36" t="str">
        <f t="shared" si="24"/>
        <v/>
      </c>
      <c r="R2751" s="47" t="b">
        <v>0</v>
      </c>
      <c r="S2751" s="42" t="str">
        <f t="shared" si="28"/>
        <v/>
      </c>
      <c r="T2751" s="42"/>
    </row>
    <row r="2752" ht="22.5" customHeight="1">
      <c r="B2752" s="42">
        <f t="shared" si="7"/>
        <v>2746</v>
      </c>
      <c r="C2752" s="31" t="s">
        <v>2818</v>
      </c>
      <c r="D2752" s="34" t="str">
        <f t="array" ref="D2752">IFNA(_xlfn.XLOOKUP(C2752,Table_Tarikan_Warkah[Nomor Sertipikat],Table_Tarikan_Warkah[Nomor Tiket]),"")</f>
        <v/>
      </c>
      <c r="E2752" s="36" t="str">
        <f t="array" ref="E2752">IFNA(_xlfn.XLOOKUP(D2752,Table_Tarikan_Warkah[Nomor Tiket],Table_Tarikan_Warkah[Tanggal diserahkan kepada Validator]),"")</f>
        <v/>
      </c>
      <c r="F2752" s="36" t="str">
        <f t="array" ref="F2752">IFNA(_xlfn.XLOOKUP(D2752,Table_Tarikan_Warkah[Nomor Tiket],Table_Tarikan_Warkah[Nama Petugas Warkah]),"")</f>
        <v/>
      </c>
      <c r="G2752" s="39" t="str">
        <f t="array" ref="G2752">IFNA(_xlfn.XLOOKUP(D2752,Table_Tarikan_Warkah[Nomor Tiket],Table_Tarikan_Warkah[Jenis Permohonan]),"")</f>
        <v/>
      </c>
      <c r="H2752" s="41" t="s">
        <v>2315</v>
      </c>
      <c r="I2752" s="49" t="s">
        <v>23</v>
      </c>
      <c r="J2752" s="36">
        <f t="shared" si="20"/>
        <v>45840.58785</v>
      </c>
      <c r="K2752" s="49" t="s">
        <v>2378</v>
      </c>
      <c r="L2752" s="49" t="s">
        <v>23</v>
      </c>
      <c r="M2752" s="36">
        <f t="shared" si="33"/>
        <v>45839.6812</v>
      </c>
      <c r="N2752" s="30" t="str">
        <f t="shared" si="34"/>
        <v/>
      </c>
      <c r="O2752" s="39" t="str">
        <f t="shared" si="23"/>
        <v/>
      </c>
      <c r="P2752" s="47" t="b">
        <v>0</v>
      </c>
      <c r="Q2752" s="36" t="str">
        <f t="shared" si="24"/>
        <v/>
      </c>
      <c r="R2752" s="47" t="b">
        <v>0</v>
      </c>
      <c r="S2752" s="42" t="str">
        <f t="shared" si="28"/>
        <v/>
      </c>
      <c r="T2752" s="42"/>
    </row>
    <row r="2753" ht="22.5" customHeight="1">
      <c r="B2753" s="42">
        <f t="shared" si="7"/>
        <v>2747</v>
      </c>
      <c r="C2753" s="31" t="s">
        <v>2819</v>
      </c>
      <c r="D2753" s="34" t="str">
        <f t="array" ref="D2753">IFNA(_xlfn.XLOOKUP(C2753,Table_Tarikan_Warkah[Nomor Sertipikat],Table_Tarikan_Warkah[Nomor Tiket]),"")</f>
        <v>K/28/180625/1</v>
      </c>
      <c r="E2753" s="36">
        <f t="array" ref="E2753">IFNA(_xlfn.XLOOKUP(D2753,Table_Tarikan_Warkah[Nomor Tiket],Table_Tarikan_Warkah[Tanggal diserahkan kepada Validator]),"")</f>
        <v>45845.67375</v>
      </c>
      <c r="F2753" s="36" t="str">
        <f t="array" ref="F2753">IFNA(_xlfn.XLOOKUP(D2753,Table_Tarikan_Warkah[Nomor Tiket],Table_Tarikan_Warkah[Nama Petugas Warkah]),"")</f>
        <v>Berry</v>
      </c>
      <c r="G2753" s="39" t="str">
        <f t="array" ref="G2753">IFNA(_xlfn.XLOOKUP(D2753,Table_Tarikan_Warkah[Nomor Tiket],Table_Tarikan_Warkah[Jenis Permohonan]),"")</f>
        <v>BN Jual Beli</v>
      </c>
      <c r="H2753" s="41" t="s">
        <v>2315</v>
      </c>
      <c r="I2753" s="49" t="s">
        <v>23</v>
      </c>
      <c r="J2753" s="36">
        <f t="shared" si="20"/>
        <v>45840.58807</v>
      </c>
      <c r="K2753" s="49" t="s">
        <v>2378</v>
      </c>
      <c r="L2753" s="49" t="s">
        <v>23</v>
      </c>
      <c r="M2753" s="36">
        <f t="shared" si="33"/>
        <v>45842.61246</v>
      </c>
      <c r="N2753" s="30" t="str">
        <f t="shared" si="34"/>
        <v>Selesai</v>
      </c>
      <c r="O2753" s="45">
        <f t="shared" si="23"/>
        <v>45842.61246</v>
      </c>
      <c r="P2753" s="47" t="b">
        <v>0</v>
      </c>
      <c r="Q2753" s="36" t="str">
        <f t="shared" si="24"/>
        <v/>
      </c>
      <c r="R2753" s="47" t="b">
        <v>0</v>
      </c>
      <c r="S2753" s="42" t="str">
        <f t="shared" si="28"/>
        <v/>
      </c>
      <c r="T2753" s="42"/>
    </row>
    <row r="2754" ht="22.5" customHeight="1">
      <c r="B2754" s="42">
        <f t="shared" si="7"/>
        <v>2748</v>
      </c>
      <c r="C2754" s="31" t="s">
        <v>2820</v>
      </c>
      <c r="D2754" s="34" t="str">
        <f t="array" ref="D2754">IFNA(_xlfn.XLOOKUP(C2754,Table_Tarikan_Warkah[Nomor Sertipikat],Table_Tarikan_Warkah[Nomor Tiket]),"")</f>
        <v>K/40/200625/1</v>
      </c>
      <c r="E2754" s="36">
        <f t="array" ref="E2754">IFNA(_xlfn.XLOOKUP(D2754,Table_Tarikan_Warkah[Nomor Tiket],Table_Tarikan_Warkah[Tanggal diserahkan kepada Validator]),"")</f>
        <v>45845.71811</v>
      </c>
      <c r="F2754" s="36" t="str">
        <f t="array" ref="F2754">IFNA(_xlfn.XLOOKUP(D2754,Table_Tarikan_Warkah[Nomor Tiket],Table_Tarikan_Warkah[Nama Petugas Warkah]),"")</f>
        <v>Berry</v>
      </c>
      <c r="G2754" s="39" t="str">
        <f t="array" ref="G2754">IFNA(_xlfn.XLOOKUP(D2754,Table_Tarikan_Warkah[Nomor Tiket],Table_Tarikan_Warkah[Jenis Permohonan]),"")</f>
        <v>BN LELANG</v>
      </c>
      <c r="H2754" s="41" t="s">
        <v>2315</v>
      </c>
      <c r="I2754" s="49" t="s">
        <v>23</v>
      </c>
      <c r="J2754" s="36">
        <f t="shared" si="20"/>
        <v>45840.58821</v>
      </c>
      <c r="K2754" s="49" t="s">
        <v>2378</v>
      </c>
      <c r="L2754" s="49" t="s">
        <v>23</v>
      </c>
      <c r="M2754" s="36">
        <f t="shared" si="33"/>
        <v>45842.6024</v>
      </c>
      <c r="N2754" s="30" t="str">
        <f t="shared" si="34"/>
        <v>Selesai</v>
      </c>
      <c r="O2754" s="45">
        <f t="shared" si="23"/>
        <v>45842.6024</v>
      </c>
      <c r="P2754" s="47" t="b">
        <v>0</v>
      </c>
      <c r="Q2754" s="36" t="str">
        <f t="shared" si="24"/>
        <v/>
      </c>
      <c r="R2754" s="47" t="b">
        <v>0</v>
      </c>
      <c r="S2754" s="42" t="str">
        <f t="shared" si="28"/>
        <v/>
      </c>
      <c r="T2754" s="42"/>
    </row>
    <row r="2755" ht="22.5" customHeight="1">
      <c r="B2755" s="42">
        <f t="shared" si="7"/>
        <v>2749</v>
      </c>
      <c r="C2755" s="31" t="s">
        <v>2821</v>
      </c>
      <c r="D2755" s="34" t="str">
        <f t="array" ref="D2755">IFNA(_xlfn.XLOOKUP(C2755,Table_Tarikan_Warkah[Nomor Sertipikat],Table_Tarikan_Warkah[Nomor Tiket]),"")</f>
        <v>K/2/240625/2</v>
      </c>
      <c r="E2755" s="36">
        <f t="array" ref="E2755">IFNA(_xlfn.XLOOKUP(D2755,Table_Tarikan_Warkah[Nomor Tiket],Table_Tarikan_Warkah[Tanggal diserahkan kepada Validator]),"")</f>
        <v>45852.64275</v>
      </c>
      <c r="F2755" s="36" t="str">
        <f t="array" ref="F2755">IFNA(_xlfn.XLOOKUP(D2755,Table_Tarikan_Warkah[Nomor Tiket],Table_Tarikan_Warkah[Nama Petugas Warkah]),"")</f>
        <v>David</v>
      </c>
      <c r="G2755" s="39" t="str">
        <f t="array" ref="G2755">IFNA(_xlfn.XLOOKUP(D2755,Table_Tarikan_Warkah[Nomor Tiket],Table_Tarikan_Warkah[Jenis Permohonan]),"")</f>
        <v>Roya</v>
      </c>
      <c r="H2755" s="41" t="s">
        <v>2315</v>
      </c>
      <c r="I2755" s="49" t="s">
        <v>23</v>
      </c>
      <c r="J2755" s="36">
        <f t="shared" si="20"/>
        <v>45840.58873</v>
      </c>
      <c r="K2755" s="49" t="s">
        <v>2378</v>
      </c>
      <c r="L2755" s="49" t="s">
        <v>23</v>
      </c>
      <c r="M2755" s="36">
        <f t="shared" si="33"/>
        <v>45842.59286</v>
      </c>
      <c r="N2755" s="30" t="str">
        <f t="shared" si="34"/>
        <v>Selesai</v>
      </c>
      <c r="O2755" s="45">
        <f t="shared" si="23"/>
        <v>45842.59286</v>
      </c>
      <c r="P2755" s="47" t="b">
        <v>0</v>
      </c>
      <c r="Q2755" s="36" t="str">
        <f t="shared" si="24"/>
        <v/>
      </c>
      <c r="R2755" s="47" t="b">
        <v>0</v>
      </c>
      <c r="S2755" s="42" t="str">
        <f t="shared" si="28"/>
        <v/>
      </c>
      <c r="T2755" s="42"/>
    </row>
    <row r="2756" ht="22.5" customHeight="1">
      <c r="B2756" s="42">
        <f t="shared" si="7"/>
        <v>2750</v>
      </c>
      <c r="C2756" s="31" t="s">
        <v>2822</v>
      </c>
      <c r="D2756" s="34" t="str">
        <f t="array" ref="D2756">IFNA(_xlfn.XLOOKUP(C2756,Table_Tarikan_Warkah[Nomor Sertipikat],Table_Tarikan_Warkah[Nomor Tiket]),"")</f>
        <v>K/8/190625/1</v>
      </c>
      <c r="E2756" s="36">
        <f t="array" ref="E2756">IFNA(_xlfn.XLOOKUP(D2756,Table_Tarikan_Warkah[Nomor Tiket],Table_Tarikan_Warkah[Tanggal diserahkan kepada Validator]),"")</f>
        <v>45845.67253</v>
      </c>
      <c r="F2756" s="36" t="str">
        <f t="array" ref="F2756">IFNA(_xlfn.XLOOKUP(D2756,Table_Tarikan_Warkah[Nomor Tiket],Table_Tarikan_Warkah[Nama Petugas Warkah]),"")</f>
        <v>Berry</v>
      </c>
      <c r="G2756" s="39" t="str">
        <f t="array" ref="G2756">IFNA(_xlfn.XLOOKUP(D2756,Table_Tarikan_Warkah[Nomor Tiket],Table_Tarikan_Warkah[Jenis Permohonan]),"")</f>
        <v>BN Jual Beli</v>
      </c>
      <c r="H2756" s="41" t="s">
        <v>2315</v>
      </c>
      <c r="I2756" s="49" t="s">
        <v>23</v>
      </c>
      <c r="J2756" s="36">
        <f t="shared" si="20"/>
        <v>45840.58984</v>
      </c>
      <c r="K2756" s="49" t="s">
        <v>2378</v>
      </c>
      <c r="L2756" s="49" t="s">
        <v>23</v>
      </c>
      <c r="M2756" s="36">
        <f t="shared" si="33"/>
        <v>45842.60233</v>
      </c>
      <c r="N2756" s="30" t="str">
        <f t="shared" si="34"/>
        <v>Selesai</v>
      </c>
      <c r="O2756" s="45">
        <f t="shared" si="23"/>
        <v>45842.60233</v>
      </c>
      <c r="P2756" s="47" t="b">
        <v>0</v>
      </c>
      <c r="Q2756" s="36" t="str">
        <f t="shared" si="24"/>
        <v/>
      </c>
      <c r="R2756" s="47" t="b">
        <v>0</v>
      </c>
      <c r="S2756" s="42" t="str">
        <f t="shared" si="28"/>
        <v/>
      </c>
      <c r="T2756" s="42"/>
    </row>
    <row r="2757" ht="22.5" customHeight="1">
      <c r="B2757" s="42">
        <f t="shared" si="7"/>
        <v>2751</v>
      </c>
      <c r="C2757" s="31" t="s">
        <v>2823</v>
      </c>
      <c r="D2757" s="34" t="str">
        <f t="array" ref="D2757">IFNA(_xlfn.XLOOKUP(C2757,Table_Tarikan_Warkah[Nomor Sertipikat],Table_Tarikan_Warkah[Nomor Tiket]),"")</f>
        <v>K/19/250625/1</v>
      </c>
      <c r="E2757" s="36">
        <f t="array" ref="E2757">IFNA(_xlfn.XLOOKUP(D2757,Table_Tarikan_Warkah[Nomor Tiket],Table_Tarikan_Warkah[Tanggal diserahkan kepada Validator]),"")</f>
        <v>45845.66986</v>
      </c>
      <c r="F2757" s="36" t="str">
        <f t="array" ref="F2757">IFNA(_xlfn.XLOOKUP(D2757,Table_Tarikan_Warkah[Nomor Tiket],Table_Tarikan_Warkah[Nama Petugas Warkah]),"")</f>
        <v>Berry</v>
      </c>
      <c r="G2757" s="39" t="str">
        <f t="array" ref="G2757">IFNA(_xlfn.XLOOKUP(D2757,Table_Tarikan_Warkah[Nomor Tiket],Table_Tarikan_Warkah[Jenis Permohonan]),"")</f>
        <v>BN Jual Beli</v>
      </c>
      <c r="H2757" s="41" t="s">
        <v>2315</v>
      </c>
      <c r="I2757" s="49" t="s">
        <v>23</v>
      </c>
      <c r="J2757" s="36">
        <f t="shared" si="20"/>
        <v>45840.59002</v>
      </c>
      <c r="K2757" s="49" t="s">
        <v>2378</v>
      </c>
      <c r="L2757" s="49" t="s">
        <v>23</v>
      </c>
      <c r="M2757" s="36">
        <f t="shared" si="33"/>
        <v>45842.59286</v>
      </c>
      <c r="N2757" s="30" t="str">
        <f t="shared" si="34"/>
        <v>Selesai</v>
      </c>
      <c r="O2757" s="45">
        <f t="shared" si="23"/>
        <v>45842.59286</v>
      </c>
      <c r="P2757" s="47" t="b">
        <v>0</v>
      </c>
      <c r="Q2757" s="36" t="str">
        <f t="shared" si="24"/>
        <v/>
      </c>
      <c r="R2757" s="47" t="b">
        <v>0</v>
      </c>
      <c r="S2757" s="42" t="str">
        <f t="shared" si="28"/>
        <v/>
      </c>
      <c r="T2757" s="42"/>
    </row>
    <row r="2758" ht="22.5" customHeight="1">
      <c r="B2758" s="42">
        <f t="shared" si="7"/>
        <v>2752</v>
      </c>
      <c r="C2758" s="31" t="s">
        <v>2824</v>
      </c>
      <c r="D2758" s="34" t="str">
        <f t="array" ref="D2758">IFNA(_xlfn.XLOOKUP(C2758,Table_Tarikan_Warkah[Nomor Sertipikat],Table_Tarikan_Warkah[Nomor Tiket]),"")</f>
        <v>K/8/180625/1</v>
      </c>
      <c r="E2758" s="36">
        <f t="array" ref="E2758">IFNA(_xlfn.XLOOKUP(D2758,Table_Tarikan_Warkah[Nomor Tiket],Table_Tarikan_Warkah[Tanggal diserahkan kepada Validator]),"")</f>
        <v>45845.71666</v>
      </c>
      <c r="F2758" s="36" t="str">
        <f t="array" ref="F2758">IFNA(_xlfn.XLOOKUP(D2758,Table_Tarikan_Warkah[Nomor Tiket],Table_Tarikan_Warkah[Nama Petugas Warkah]),"")</f>
        <v>Berry</v>
      </c>
      <c r="G2758" s="39" t="str">
        <f t="array" ref="G2758">IFNA(_xlfn.XLOOKUP(D2758,Table_Tarikan_Warkah[Nomor Tiket],Table_Tarikan_Warkah[Jenis Permohonan]),"")</f>
        <v>BN JUAL BELI</v>
      </c>
      <c r="H2758" s="41" t="s">
        <v>2315</v>
      </c>
      <c r="I2758" s="49" t="s">
        <v>23</v>
      </c>
      <c r="J2758" s="36">
        <f t="shared" si="20"/>
        <v>45840.59018</v>
      </c>
      <c r="K2758" s="49" t="s">
        <v>2378</v>
      </c>
      <c r="L2758" s="49" t="s">
        <v>23</v>
      </c>
      <c r="M2758" s="36">
        <f t="shared" si="33"/>
        <v>45842.60224</v>
      </c>
      <c r="N2758" s="30" t="str">
        <f t="shared" si="34"/>
        <v>Selesai</v>
      </c>
      <c r="O2758" s="45">
        <f t="shared" si="23"/>
        <v>45842.60224</v>
      </c>
      <c r="P2758" s="47" t="b">
        <v>0</v>
      </c>
      <c r="Q2758" s="36" t="str">
        <f t="shared" si="24"/>
        <v/>
      </c>
      <c r="R2758" s="47" t="b">
        <v>0</v>
      </c>
      <c r="S2758" s="42" t="str">
        <f t="shared" si="28"/>
        <v/>
      </c>
      <c r="T2758" s="42"/>
    </row>
    <row r="2759" ht="22.5" customHeight="1">
      <c r="B2759" s="42">
        <f t="shared" si="7"/>
        <v>2753</v>
      </c>
      <c r="C2759" s="31" t="s">
        <v>2825</v>
      </c>
      <c r="D2759" s="34" t="str">
        <f t="array" ref="D2759">IFNA(_xlfn.XLOOKUP(C2759,Table_Tarikan_Warkah[Nomor Sertipikat],Table_Tarikan_Warkah[Nomor Tiket]),"")</f>
        <v>K/24/130625/1</v>
      </c>
      <c r="E2759" s="36">
        <f t="array" ref="E2759">IFNA(_xlfn.XLOOKUP(D2759,Table_Tarikan_Warkah[Nomor Tiket],Table_Tarikan_Warkah[Tanggal diserahkan kepada Validator]),"")</f>
        <v>45845.71639</v>
      </c>
      <c r="F2759" s="36" t="str">
        <f t="array" ref="F2759">IFNA(_xlfn.XLOOKUP(D2759,Table_Tarikan_Warkah[Nomor Tiket],Table_Tarikan_Warkah[Nama Petugas Warkah]),"")</f>
        <v>Berry</v>
      </c>
      <c r="G2759" s="39" t="str">
        <f t="array" ref="G2759">IFNA(_xlfn.XLOOKUP(D2759,Table_Tarikan_Warkah[Nomor Tiket],Table_Tarikan_Warkah[Jenis Permohonan]),"")</f>
        <v>BN JUAL BELI</v>
      </c>
      <c r="H2759" s="41" t="s">
        <v>2315</v>
      </c>
      <c r="I2759" s="49" t="s">
        <v>23</v>
      </c>
      <c r="J2759" s="36">
        <f t="shared" si="20"/>
        <v>45840.59042</v>
      </c>
      <c r="K2759" s="49" t="s">
        <v>2378</v>
      </c>
      <c r="L2759" s="49" t="s">
        <v>23</v>
      </c>
      <c r="M2759" s="36">
        <f t="shared" si="33"/>
        <v>45842.60213</v>
      </c>
      <c r="N2759" s="30" t="str">
        <f t="shared" si="34"/>
        <v>Selesai</v>
      </c>
      <c r="O2759" s="45">
        <f t="shared" si="23"/>
        <v>45842.60213</v>
      </c>
      <c r="P2759" s="47" t="b">
        <v>0</v>
      </c>
      <c r="Q2759" s="36" t="str">
        <f t="shared" si="24"/>
        <v/>
      </c>
      <c r="R2759" s="47" t="b">
        <v>0</v>
      </c>
      <c r="S2759" s="42" t="str">
        <f t="shared" si="28"/>
        <v/>
      </c>
      <c r="T2759" s="42"/>
    </row>
    <row r="2760" ht="22.5" customHeight="1">
      <c r="B2760" s="42">
        <f t="shared" si="7"/>
        <v>2754</v>
      </c>
      <c r="C2760" s="31" t="s">
        <v>2826</v>
      </c>
      <c r="D2760" s="34" t="str">
        <f t="array" ref="D2760">IFNA(_xlfn.XLOOKUP(C2760,Table_Tarikan_Warkah[Nomor Sertipikat],Table_Tarikan_Warkah[Nomor Tiket]),"")</f>
        <v>K/15/170625/1</v>
      </c>
      <c r="E2760" s="36">
        <f t="array" ref="E2760">IFNA(_xlfn.XLOOKUP(D2760,Table_Tarikan_Warkah[Nomor Tiket],Table_Tarikan_Warkah[Tanggal diserahkan kepada Validator]),"")</f>
        <v>45845.71533</v>
      </c>
      <c r="F2760" s="36" t="str">
        <f t="array" ref="F2760">IFNA(_xlfn.XLOOKUP(D2760,Table_Tarikan_Warkah[Nomor Tiket],Table_Tarikan_Warkah[Nama Petugas Warkah]),"")</f>
        <v>Berry</v>
      </c>
      <c r="G2760" s="39" t="str">
        <f t="array" ref="G2760">IFNA(_xlfn.XLOOKUP(D2760,Table_Tarikan_Warkah[Nomor Tiket],Table_Tarikan_Warkah[Jenis Permohonan]),"")</f>
        <v>BN JUAL BELI</v>
      </c>
      <c r="H2760" s="41" t="s">
        <v>2315</v>
      </c>
      <c r="I2760" s="49" t="s">
        <v>23</v>
      </c>
      <c r="J2760" s="36">
        <f t="shared" si="20"/>
        <v>45840.59059</v>
      </c>
      <c r="K2760" s="49" t="s">
        <v>2378</v>
      </c>
      <c r="L2760" s="49" t="s">
        <v>23</v>
      </c>
      <c r="M2760" s="36">
        <f t="shared" si="33"/>
        <v>45842.60204</v>
      </c>
      <c r="N2760" s="30" t="str">
        <f t="shared" si="34"/>
        <v>Selesai</v>
      </c>
      <c r="O2760" s="45">
        <f t="shared" si="23"/>
        <v>45842.60204</v>
      </c>
      <c r="P2760" s="47" t="b">
        <v>0</v>
      </c>
      <c r="Q2760" s="36" t="str">
        <f t="shared" si="24"/>
        <v/>
      </c>
      <c r="R2760" s="47" t="b">
        <v>0</v>
      </c>
      <c r="S2760" s="42" t="str">
        <f t="shared" si="28"/>
        <v/>
      </c>
      <c r="T2760" s="42"/>
    </row>
    <row r="2761" ht="22.5" customHeight="1">
      <c r="B2761" s="42">
        <f t="shared" si="7"/>
        <v>2755</v>
      </c>
      <c r="C2761" s="31" t="s">
        <v>2827</v>
      </c>
      <c r="D2761" s="34" t="str">
        <f t="array" ref="D2761">IFNA(_xlfn.XLOOKUP(C2761,Table_Tarikan_Warkah[Nomor Sertipikat],Table_Tarikan_Warkah[Nomor Tiket]),"")</f>
        <v>K/6/300425/1</v>
      </c>
      <c r="E2761" s="36" t="str">
        <f t="array" ref="E2761">IFNA(_xlfn.XLOOKUP(D2761,Table_Tarikan_Warkah[Nomor Tiket],Table_Tarikan_Warkah[Tanggal diserahkan kepada Validator]),"")</f>
        <v/>
      </c>
      <c r="F2761" s="36" t="str">
        <f t="array" ref="F2761">IFNA(_xlfn.XLOOKUP(D2761,Table_Tarikan_Warkah[Nomor Tiket],Table_Tarikan_Warkah[Nama Petugas Warkah]),"")</f>
        <v/>
      </c>
      <c r="G2761" s="39" t="str">
        <f t="array" ref="G2761">IFNA(_xlfn.XLOOKUP(D2761,Table_Tarikan_Warkah[Nomor Tiket],Table_Tarikan_Warkah[Jenis Permohonan]),"")</f>
        <v>JUAL BELI</v>
      </c>
      <c r="H2761" s="41" t="s">
        <v>2315</v>
      </c>
      <c r="I2761" s="49" t="s">
        <v>23</v>
      </c>
      <c r="J2761" s="36">
        <f t="shared" si="20"/>
        <v>45840.59069</v>
      </c>
      <c r="K2761" s="49" t="s">
        <v>2378</v>
      </c>
      <c r="L2761" s="49" t="s">
        <v>23</v>
      </c>
      <c r="M2761" s="36">
        <f t="shared" si="33"/>
        <v>45842.60194</v>
      </c>
      <c r="N2761" s="30" t="str">
        <f t="shared" si="34"/>
        <v>Selesai</v>
      </c>
      <c r="O2761" s="45">
        <f t="shared" si="23"/>
        <v>45842.60194</v>
      </c>
      <c r="P2761" s="47" t="b">
        <v>0</v>
      </c>
      <c r="Q2761" s="36" t="str">
        <f t="shared" si="24"/>
        <v/>
      </c>
      <c r="R2761" s="47" t="b">
        <v>0</v>
      </c>
      <c r="S2761" s="42" t="str">
        <f t="shared" si="28"/>
        <v/>
      </c>
      <c r="T2761" s="42"/>
    </row>
    <row r="2762" ht="22.5" customHeight="1">
      <c r="B2762" s="42">
        <f t="shared" si="7"/>
        <v>2756</v>
      </c>
      <c r="C2762" s="31" t="s">
        <v>2828</v>
      </c>
      <c r="D2762" s="34" t="str">
        <f t="array" ref="D2762">IFNA(_xlfn.XLOOKUP(C2762,Table_Tarikan_Warkah[Nomor Sertipikat],Table_Tarikan_Warkah[Nomor Tiket]),"")</f>
        <v>K/8/240625/1</v>
      </c>
      <c r="E2762" s="36" t="str">
        <f t="array" ref="E2762">IFNA(_xlfn.XLOOKUP(D2762,Table_Tarikan_Warkah[Nomor Tiket],Table_Tarikan_Warkah[Tanggal diserahkan kepada Validator]),"")</f>
        <v/>
      </c>
      <c r="F2762" s="36" t="str">
        <f t="array" ref="F2762">IFNA(_xlfn.XLOOKUP(D2762,Table_Tarikan_Warkah[Nomor Tiket],Table_Tarikan_Warkah[Nama Petugas Warkah]),"")</f>
        <v/>
      </c>
      <c r="G2762" s="39" t="str">
        <f t="array" ref="G2762">IFNA(_xlfn.XLOOKUP(D2762,Table_Tarikan_Warkah[Nomor Tiket],Table_Tarikan_Warkah[Jenis Permohonan]),"")</f>
        <v>JUAL BELI</v>
      </c>
      <c r="H2762" s="41" t="s">
        <v>2315</v>
      </c>
      <c r="I2762" s="49" t="s">
        <v>23</v>
      </c>
      <c r="J2762" s="36">
        <f t="shared" si="20"/>
        <v>45840.59093</v>
      </c>
      <c r="K2762" s="49" t="s">
        <v>2378</v>
      </c>
      <c r="L2762" s="49" t="s">
        <v>23</v>
      </c>
      <c r="M2762" s="36">
        <f t="shared" si="33"/>
        <v>45842.60101</v>
      </c>
      <c r="N2762" s="30" t="str">
        <f t="shared" si="34"/>
        <v>Selesai</v>
      </c>
      <c r="O2762" s="45">
        <f t="shared" si="23"/>
        <v>45842.60101</v>
      </c>
      <c r="P2762" s="47" t="b">
        <v>0</v>
      </c>
      <c r="Q2762" s="36" t="str">
        <f t="shared" si="24"/>
        <v/>
      </c>
      <c r="R2762" s="47" t="b">
        <v>0</v>
      </c>
      <c r="S2762" s="42" t="str">
        <f t="shared" si="28"/>
        <v/>
      </c>
      <c r="T2762" s="42"/>
    </row>
    <row r="2763" ht="22.5" customHeight="1">
      <c r="B2763" s="42">
        <f t="shared" si="7"/>
        <v>2757</v>
      </c>
      <c r="C2763" s="31" t="s">
        <v>2829</v>
      </c>
      <c r="D2763" s="34" t="str">
        <f t="array" ref="D2763">IFNA(_xlfn.XLOOKUP(C2763,Table_Tarikan_Warkah[Nomor Sertipikat],Table_Tarikan_Warkah[Nomor Tiket]),"")</f>
        <v>K/12/170625/2</v>
      </c>
      <c r="E2763" s="36">
        <f t="array" ref="E2763">IFNA(_xlfn.XLOOKUP(D2763,Table_Tarikan_Warkah[Nomor Tiket],Table_Tarikan_Warkah[Tanggal diserahkan kepada Validator]),"")</f>
        <v>45845.70396</v>
      </c>
      <c r="F2763" s="36" t="str">
        <f t="array" ref="F2763">IFNA(_xlfn.XLOOKUP(D2763,Table_Tarikan_Warkah[Nomor Tiket],Table_Tarikan_Warkah[Nama Petugas Warkah]),"")</f>
        <v>Berry</v>
      </c>
      <c r="G2763" s="39" t="str">
        <f t="array" ref="G2763">IFNA(_xlfn.XLOOKUP(D2763,Table_Tarikan_Warkah[Nomor Tiket],Table_Tarikan_Warkah[Jenis Permohonan]),"")</f>
        <v>JUAL BELI</v>
      </c>
      <c r="H2763" s="41" t="s">
        <v>2315</v>
      </c>
      <c r="I2763" s="49" t="s">
        <v>23</v>
      </c>
      <c r="J2763" s="36">
        <f t="shared" si="20"/>
        <v>45840.59101</v>
      </c>
      <c r="K2763" s="49" t="s">
        <v>2378</v>
      </c>
      <c r="L2763" s="49" t="s">
        <v>23</v>
      </c>
      <c r="M2763" s="36">
        <f t="shared" si="33"/>
        <v>45842.60087</v>
      </c>
      <c r="N2763" s="30" t="str">
        <f t="shared" si="34"/>
        <v>Selesai</v>
      </c>
      <c r="O2763" s="45">
        <f t="shared" si="23"/>
        <v>45842.60087</v>
      </c>
      <c r="P2763" s="47" t="b">
        <v>0</v>
      </c>
      <c r="Q2763" s="36" t="str">
        <f t="shared" si="24"/>
        <v/>
      </c>
      <c r="R2763" s="47" t="b">
        <v>0</v>
      </c>
      <c r="S2763" s="42" t="str">
        <f t="shared" si="28"/>
        <v/>
      </c>
      <c r="T2763" s="42"/>
    </row>
    <row r="2764" ht="22.5" customHeight="1">
      <c r="B2764" s="42">
        <f t="shared" si="7"/>
        <v>2758</v>
      </c>
      <c r="C2764" s="31" t="s">
        <v>2830</v>
      </c>
      <c r="D2764" s="34" t="str">
        <f t="array" ref="D2764">IFNA(_xlfn.XLOOKUP(C2764,Table_Tarikan_Warkah[Nomor Sertipikat],Table_Tarikan_Warkah[Nomor Tiket]),"")</f>
        <v>K/37/190625/2</v>
      </c>
      <c r="E2764" s="36">
        <f t="array" ref="E2764">IFNA(_xlfn.XLOOKUP(D2764,Table_Tarikan_Warkah[Nomor Tiket],Table_Tarikan_Warkah[Tanggal diserahkan kepada Validator]),"")</f>
        <v>45845.70426</v>
      </c>
      <c r="F2764" s="36" t="str">
        <f t="array" ref="F2764">IFNA(_xlfn.XLOOKUP(D2764,Table_Tarikan_Warkah[Nomor Tiket],Table_Tarikan_Warkah[Nama Petugas Warkah]),"")</f>
        <v>Berry</v>
      </c>
      <c r="G2764" s="39" t="str">
        <f t="array" ref="G2764">IFNA(_xlfn.XLOOKUP(D2764,Table_Tarikan_Warkah[Nomor Tiket],Table_Tarikan_Warkah[Jenis Permohonan]),"")</f>
        <v>JUAL BELI</v>
      </c>
      <c r="H2764" s="41" t="s">
        <v>2315</v>
      </c>
      <c r="I2764" s="49" t="s">
        <v>23</v>
      </c>
      <c r="J2764" s="36">
        <f t="shared" si="20"/>
        <v>45840.59115</v>
      </c>
      <c r="K2764" s="49" t="s">
        <v>2378</v>
      </c>
      <c r="L2764" s="49" t="s">
        <v>23</v>
      </c>
      <c r="M2764" s="36">
        <f t="shared" si="33"/>
        <v>45842.60075</v>
      </c>
      <c r="N2764" s="30" t="str">
        <f t="shared" si="34"/>
        <v>Selesai</v>
      </c>
      <c r="O2764" s="45">
        <f t="shared" si="23"/>
        <v>45842.60075</v>
      </c>
      <c r="P2764" s="47" t="b">
        <v>0</v>
      </c>
      <c r="Q2764" s="36" t="str">
        <f t="shared" si="24"/>
        <v/>
      </c>
      <c r="R2764" s="47" t="b">
        <v>0</v>
      </c>
      <c r="S2764" s="42" t="str">
        <f t="shared" si="28"/>
        <v/>
      </c>
      <c r="T2764" s="42"/>
    </row>
    <row r="2765" ht="22.5" customHeight="1">
      <c r="B2765" s="42">
        <f t="shared" si="7"/>
        <v>2759</v>
      </c>
      <c r="C2765" s="31" t="s">
        <v>2831</v>
      </c>
      <c r="D2765" s="34" t="str">
        <f t="array" ref="D2765">IFNA(_xlfn.XLOOKUP(C2765,Table_Tarikan_Warkah[Nomor Sertipikat],Table_Tarikan_Warkah[Nomor Tiket]),"")</f>
        <v>K/34/190625/1</v>
      </c>
      <c r="E2765" s="36">
        <f t="array" ref="E2765">IFNA(_xlfn.XLOOKUP(D2765,Table_Tarikan_Warkah[Nomor Tiket],Table_Tarikan_Warkah[Tanggal diserahkan kepada Validator]),"")</f>
        <v>45845.70462</v>
      </c>
      <c r="F2765" s="36" t="str">
        <f t="array" ref="F2765">IFNA(_xlfn.XLOOKUP(D2765,Table_Tarikan_Warkah[Nomor Tiket],Table_Tarikan_Warkah[Nama Petugas Warkah]),"")</f>
        <v>Berry</v>
      </c>
      <c r="G2765" s="39" t="str">
        <f t="array" ref="G2765">IFNA(_xlfn.XLOOKUP(D2765,Table_Tarikan_Warkah[Nomor Tiket],Table_Tarikan_Warkah[Jenis Permohonan]),"")</f>
        <v>JUAL BELI</v>
      </c>
      <c r="H2765" s="41" t="s">
        <v>2315</v>
      </c>
      <c r="I2765" s="49" t="s">
        <v>23</v>
      </c>
      <c r="J2765" s="36">
        <f t="shared" si="20"/>
        <v>45840.5913</v>
      </c>
      <c r="K2765" s="49" t="s">
        <v>2378</v>
      </c>
      <c r="L2765" s="49" t="s">
        <v>23</v>
      </c>
      <c r="M2765" s="36">
        <f t="shared" si="33"/>
        <v>45842.60065</v>
      </c>
      <c r="N2765" s="30" t="str">
        <f t="shared" si="34"/>
        <v>Selesai</v>
      </c>
      <c r="O2765" s="45">
        <f t="shared" si="23"/>
        <v>45842.60065</v>
      </c>
      <c r="P2765" s="47" t="b">
        <v>0</v>
      </c>
      <c r="Q2765" s="36" t="str">
        <f t="shared" si="24"/>
        <v/>
      </c>
      <c r="R2765" s="47" t="b">
        <v>0</v>
      </c>
      <c r="S2765" s="42" t="str">
        <f t="shared" si="28"/>
        <v/>
      </c>
      <c r="T2765" s="42"/>
    </row>
    <row r="2766" ht="22.5" customHeight="1">
      <c r="B2766" s="42">
        <f t="shared" si="7"/>
        <v>2760</v>
      </c>
      <c r="C2766" s="31" t="s">
        <v>2832</v>
      </c>
      <c r="D2766" s="34" t="str">
        <f t="array" ref="D2766">IFNA(_xlfn.XLOOKUP(C2766,Table_Tarikan_Warkah[Nomor Sertipikat],Table_Tarikan_Warkah[Nomor Tiket]),"")</f>
        <v>K/44/160635/2</v>
      </c>
      <c r="E2766" s="36">
        <f t="array" ref="E2766">IFNA(_xlfn.XLOOKUP(D2766,Table_Tarikan_Warkah[Nomor Tiket],Table_Tarikan_Warkah[Tanggal diserahkan kepada Validator]),"")</f>
        <v>45845.70551</v>
      </c>
      <c r="F2766" s="36" t="str">
        <f t="array" ref="F2766">IFNA(_xlfn.XLOOKUP(D2766,Table_Tarikan_Warkah[Nomor Tiket],Table_Tarikan_Warkah[Nama Petugas Warkah]),"")</f>
        <v>Berry</v>
      </c>
      <c r="G2766" s="39" t="str">
        <f t="array" ref="G2766">IFNA(_xlfn.XLOOKUP(D2766,Table_Tarikan_Warkah[Nomor Tiket],Table_Tarikan_Warkah[Jenis Permohonan]),"")</f>
        <v>JUAL BELI</v>
      </c>
      <c r="H2766" s="41" t="s">
        <v>2315</v>
      </c>
      <c r="I2766" s="49" t="s">
        <v>23</v>
      </c>
      <c r="J2766" s="36">
        <f t="shared" si="20"/>
        <v>45840.59162</v>
      </c>
      <c r="K2766" s="49" t="s">
        <v>2378</v>
      </c>
      <c r="L2766" s="49" t="s">
        <v>23</v>
      </c>
      <c r="M2766" s="36">
        <f t="shared" si="33"/>
        <v>45842.59749</v>
      </c>
      <c r="N2766" s="30" t="str">
        <f t="shared" si="34"/>
        <v>Selesai</v>
      </c>
      <c r="O2766" s="45">
        <f t="shared" si="23"/>
        <v>45842.59749</v>
      </c>
      <c r="P2766" s="47" t="b">
        <v>0</v>
      </c>
      <c r="Q2766" s="36" t="str">
        <f t="shared" si="24"/>
        <v/>
      </c>
      <c r="R2766" s="47" t="b">
        <v>0</v>
      </c>
      <c r="S2766" s="42" t="str">
        <f t="shared" si="28"/>
        <v/>
      </c>
      <c r="T2766" s="42"/>
    </row>
    <row r="2767" ht="22.5" customHeight="1">
      <c r="B2767" s="42">
        <f t="shared" si="7"/>
        <v>2761</v>
      </c>
      <c r="C2767" s="31" t="s">
        <v>2833</v>
      </c>
      <c r="D2767" s="34" t="str">
        <f t="array" ref="D2767">IFNA(_xlfn.XLOOKUP(C2767,Table_Tarikan_Warkah[Nomor Sertipikat],Table_Tarikan_Warkah[Nomor Tiket]),"")</f>
        <v>K/1/130625/1</v>
      </c>
      <c r="E2767" s="36" t="str">
        <f t="array" ref="E2767">IFNA(_xlfn.XLOOKUP(D2767,Table_Tarikan_Warkah[Nomor Tiket],Table_Tarikan_Warkah[Tanggal diserahkan kepada Validator]),"")</f>
        <v/>
      </c>
      <c r="F2767" s="36" t="str">
        <f t="array" ref="F2767">IFNA(_xlfn.XLOOKUP(D2767,Table_Tarikan_Warkah[Nomor Tiket],Table_Tarikan_Warkah[Nama Petugas Warkah]),"")</f>
        <v/>
      </c>
      <c r="G2767" s="39" t="str">
        <f t="array" ref="G2767">IFNA(_xlfn.XLOOKUP(D2767,Table_Tarikan_Warkah[Nomor Tiket],Table_Tarikan_Warkah[Jenis Permohonan]),"")</f>
        <v>BN JUAL BELI</v>
      </c>
      <c r="H2767" s="41" t="s">
        <v>2315</v>
      </c>
      <c r="I2767" s="49" t="s">
        <v>23</v>
      </c>
      <c r="J2767" s="36">
        <f t="shared" si="20"/>
        <v>45840.59172</v>
      </c>
      <c r="K2767" s="49" t="s">
        <v>2378</v>
      </c>
      <c r="L2767" s="49" t="s">
        <v>23</v>
      </c>
      <c r="M2767" s="36">
        <f t="shared" si="33"/>
        <v>45842.60051</v>
      </c>
      <c r="N2767" s="30" t="str">
        <f t="shared" si="34"/>
        <v>Selesai</v>
      </c>
      <c r="O2767" s="45">
        <f t="shared" si="23"/>
        <v>45842.60051</v>
      </c>
      <c r="P2767" s="47" t="b">
        <v>0</v>
      </c>
      <c r="Q2767" s="36" t="str">
        <f t="shared" si="24"/>
        <v/>
      </c>
      <c r="R2767" s="47" t="b">
        <v>0</v>
      </c>
      <c r="S2767" s="42" t="str">
        <f t="shared" si="28"/>
        <v/>
      </c>
      <c r="T2767" s="42"/>
    </row>
    <row r="2768" ht="22.5" customHeight="1">
      <c r="B2768" s="42">
        <f t="shared" si="7"/>
        <v>2762</v>
      </c>
      <c r="C2768" s="31" t="s">
        <v>2834</v>
      </c>
      <c r="D2768" s="34" t="str">
        <f t="array" ref="D2768">IFNA(_xlfn.XLOOKUP(C2768,Table_Tarikan_Warkah[Nomor Sertipikat],Table_Tarikan_Warkah[Nomor Tiket]),"")</f>
        <v>K/10/160525/5</v>
      </c>
      <c r="E2768" s="36" t="str">
        <f t="array" ref="E2768">IFNA(_xlfn.XLOOKUP(D2768,Table_Tarikan_Warkah[Nomor Tiket],Table_Tarikan_Warkah[Tanggal diserahkan kepada Validator]),"")</f>
        <v/>
      </c>
      <c r="F2768" s="36" t="str">
        <f t="array" ref="F2768">IFNA(_xlfn.XLOOKUP(D2768,Table_Tarikan_Warkah[Nomor Tiket],Table_Tarikan_Warkah[Nama Petugas Warkah]),"")</f>
        <v/>
      </c>
      <c r="G2768" s="39" t="str">
        <f t="array" ref="G2768">IFNA(_xlfn.XLOOKUP(D2768,Table_Tarikan_Warkah[Nomor Tiket],Table_Tarikan_Warkah[Jenis Permohonan]),"")</f>
        <v>GANTI NAMA HT</v>
      </c>
      <c r="H2768" s="41" t="s">
        <v>2315</v>
      </c>
      <c r="I2768" s="49" t="s">
        <v>23</v>
      </c>
      <c r="J2768" s="36">
        <f t="shared" si="20"/>
        <v>45840.59192</v>
      </c>
      <c r="K2768" s="49" t="s">
        <v>2378</v>
      </c>
      <c r="L2768" s="49" t="s">
        <v>23</v>
      </c>
      <c r="M2768" s="36">
        <f t="shared" si="33"/>
        <v>45842.60044</v>
      </c>
      <c r="N2768" s="30" t="str">
        <f t="shared" si="34"/>
        <v>Selesai</v>
      </c>
      <c r="O2768" s="45">
        <f t="shared" si="23"/>
        <v>45842.60044</v>
      </c>
      <c r="P2768" s="47" t="b">
        <v>0</v>
      </c>
      <c r="Q2768" s="36" t="str">
        <f t="shared" si="24"/>
        <v/>
      </c>
      <c r="R2768" s="47" t="b">
        <v>0</v>
      </c>
      <c r="S2768" s="42" t="str">
        <f t="shared" si="28"/>
        <v/>
      </c>
      <c r="T2768" s="42"/>
    </row>
    <row r="2769" ht="22.5" customHeight="1">
      <c r="B2769" s="42">
        <f t="shared" si="7"/>
        <v>2763</v>
      </c>
      <c r="C2769" s="31" t="s">
        <v>2835</v>
      </c>
      <c r="D2769" s="34" t="str">
        <f t="array" ref="D2769">IFNA(_xlfn.XLOOKUP(C2769,Table_Tarikan_Warkah[Nomor Sertipikat],Table_Tarikan_Warkah[Nomor Tiket]),"")</f>
        <v>K/32/240625/1</v>
      </c>
      <c r="E2769" s="36">
        <f t="array" ref="E2769">IFNA(_xlfn.XLOOKUP(D2769,Table_Tarikan_Warkah[Nomor Tiket],Table_Tarikan_Warkah[Tanggal diserahkan kepada Validator]),"")</f>
        <v>45845.69909</v>
      </c>
      <c r="F2769" s="36" t="str">
        <f t="array" ref="F2769">IFNA(_xlfn.XLOOKUP(D2769,Table_Tarikan_Warkah[Nomor Tiket],Table_Tarikan_Warkah[Nama Petugas Warkah]),"")</f>
        <v>Berry</v>
      </c>
      <c r="G2769" s="39" t="str">
        <f t="array" ref="G2769">IFNA(_xlfn.XLOOKUP(D2769,Table_Tarikan_Warkah[Nomor Tiket],Table_Tarikan_Warkah[Jenis Permohonan]),"")</f>
        <v>BN JUAL BELI</v>
      </c>
      <c r="H2769" s="41" t="s">
        <v>2315</v>
      </c>
      <c r="I2769" s="49" t="s">
        <v>23</v>
      </c>
      <c r="J2769" s="36">
        <f t="shared" si="20"/>
        <v>45840.59225</v>
      </c>
      <c r="K2769" s="49" t="s">
        <v>2378</v>
      </c>
      <c r="L2769" s="49" t="s">
        <v>23</v>
      </c>
      <c r="M2769" s="36">
        <f t="shared" si="33"/>
        <v>45842.60025</v>
      </c>
      <c r="N2769" s="30" t="str">
        <f t="shared" si="34"/>
        <v>Selesai</v>
      </c>
      <c r="O2769" s="45">
        <f t="shared" si="23"/>
        <v>45842.60025</v>
      </c>
      <c r="P2769" s="47" t="b">
        <v>0</v>
      </c>
      <c r="Q2769" s="36" t="str">
        <f t="shared" si="24"/>
        <v/>
      </c>
      <c r="R2769" s="47" t="b">
        <v>0</v>
      </c>
      <c r="S2769" s="42" t="str">
        <f t="shared" si="28"/>
        <v/>
      </c>
      <c r="T2769" s="42"/>
    </row>
    <row r="2770" ht="22.5" customHeight="1">
      <c r="B2770" s="42">
        <f t="shared" si="7"/>
        <v>2764</v>
      </c>
      <c r="C2770" s="31" t="s">
        <v>2836</v>
      </c>
      <c r="D2770" s="34" t="str">
        <f t="array" ref="D2770">IFNA(_xlfn.XLOOKUP(C2770,Table_Tarikan_Warkah[Nomor Sertipikat],Table_Tarikan_Warkah[Nomor Tiket]),"")</f>
        <v>K/3/240625/1</v>
      </c>
      <c r="E2770" s="36">
        <f t="array" ref="E2770">IFNA(_xlfn.XLOOKUP(D2770,Table_Tarikan_Warkah[Nomor Tiket],Table_Tarikan_Warkah[Tanggal diserahkan kepada Validator]),"")</f>
        <v>45859.61708</v>
      </c>
      <c r="F2770" s="36" t="str">
        <f t="array" ref="F2770">IFNA(_xlfn.XLOOKUP(D2770,Table_Tarikan_Warkah[Nomor Tiket],Table_Tarikan_Warkah[Nama Petugas Warkah]),"")</f>
        <v>Berry</v>
      </c>
      <c r="G2770" s="39" t="str">
        <f t="array" ref="G2770">IFNA(_xlfn.XLOOKUP(D2770,Table_Tarikan_Warkah[Nomor Tiket],Table_Tarikan_Warkah[Jenis Permohonan]),"")</f>
        <v>BN WARIS</v>
      </c>
      <c r="H2770" s="41" t="s">
        <v>2315</v>
      </c>
      <c r="I2770" s="49" t="s">
        <v>23</v>
      </c>
      <c r="J2770" s="36">
        <f t="shared" si="20"/>
        <v>45840.5925</v>
      </c>
      <c r="K2770" s="49" t="s">
        <v>2378</v>
      </c>
      <c r="L2770" s="49" t="s">
        <v>23</v>
      </c>
      <c r="M2770" s="36">
        <f t="shared" si="33"/>
        <v>45842.59773</v>
      </c>
      <c r="N2770" s="30" t="str">
        <f t="shared" si="34"/>
        <v>Selesai</v>
      </c>
      <c r="O2770" s="45">
        <f t="shared" si="23"/>
        <v>45842.59773</v>
      </c>
      <c r="P2770" s="47" t="b">
        <v>0</v>
      </c>
      <c r="Q2770" s="36" t="str">
        <f t="shared" si="24"/>
        <v/>
      </c>
      <c r="R2770" s="47" t="b">
        <v>0</v>
      </c>
      <c r="S2770" s="42" t="str">
        <f t="shared" si="28"/>
        <v/>
      </c>
      <c r="T2770" s="42"/>
    </row>
    <row r="2771" ht="22.5" customHeight="1">
      <c r="B2771" s="42">
        <f t="shared" si="7"/>
        <v>2765</v>
      </c>
      <c r="C2771" s="31" t="s">
        <v>2837</v>
      </c>
      <c r="D2771" s="34" t="str">
        <f t="array" ref="D2771">IFNA(_xlfn.XLOOKUP(C2771,Table_Tarikan_Warkah[Nomor Sertipikat],Table_Tarikan_Warkah[Nomor Tiket]),"")</f>
        <v>K/42/160635/1</v>
      </c>
      <c r="E2771" s="36">
        <f t="array" ref="E2771">IFNA(_xlfn.XLOOKUP(D2771,Table_Tarikan_Warkah[Nomor Tiket],Table_Tarikan_Warkah[Tanggal diserahkan kepada Validator]),"")</f>
        <v>45845.6989</v>
      </c>
      <c r="F2771" s="36" t="str">
        <f t="array" ref="F2771">IFNA(_xlfn.XLOOKUP(D2771,Table_Tarikan_Warkah[Nomor Tiket],Table_Tarikan_Warkah[Nama Petugas Warkah]),"")</f>
        <v>Berry</v>
      </c>
      <c r="G2771" s="39" t="str">
        <f t="array" ref="G2771">IFNA(_xlfn.XLOOKUP(D2771,Table_Tarikan_Warkah[Nomor Tiket],Table_Tarikan_Warkah[Jenis Permohonan]),"")</f>
        <v>BN WARIS</v>
      </c>
      <c r="H2771" s="41" t="s">
        <v>2315</v>
      </c>
      <c r="I2771" s="49" t="s">
        <v>23</v>
      </c>
      <c r="J2771" s="36">
        <f t="shared" si="20"/>
        <v>45840.59268</v>
      </c>
      <c r="K2771" s="49" t="s">
        <v>2378</v>
      </c>
      <c r="L2771" s="49" t="s">
        <v>23</v>
      </c>
      <c r="M2771" s="36">
        <f t="shared" si="33"/>
        <v>45842.59942</v>
      </c>
      <c r="N2771" s="30" t="str">
        <f t="shared" si="34"/>
        <v>Selesai</v>
      </c>
      <c r="O2771" s="45">
        <f t="shared" si="23"/>
        <v>45842.59942</v>
      </c>
      <c r="P2771" s="47" t="b">
        <v>0</v>
      </c>
      <c r="Q2771" s="36" t="str">
        <f t="shared" si="24"/>
        <v/>
      </c>
      <c r="R2771" s="47" t="b">
        <v>0</v>
      </c>
      <c r="S2771" s="42" t="str">
        <f t="shared" si="28"/>
        <v/>
      </c>
      <c r="T2771" s="42"/>
    </row>
    <row r="2772" ht="22.5" customHeight="1">
      <c r="B2772" s="42">
        <f t="shared" si="7"/>
        <v>2766</v>
      </c>
      <c r="C2772" s="31" t="s">
        <v>2838</v>
      </c>
      <c r="D2772" s="34" t="str">
        <f t="array" ref="D2772">IFNA(_xlfn.XLOOKUP(C2772,Table_Tarikan_Warkah[Nomor Sertipikat],Table_Tarikan_Warkah[Nomor Tiket]),"")</f>
        <v>K/21/100625/2</v>
      </c>
      <c r="E2772" s="36">
        <f t="array" ref="E2772">IFNA(_xlfn.XLOOKUP(D2772,Table_Tarikan_Warkah[Nomor Tiket],Table_Tarikan_Warkah[Tanggal diserahkan kepada Validator]),"")</f>
        <v>45845.69743</v>
      </c>
      <c r="F2772" s="36" t="str">
        <f t="array" ref="F2772">IFNA(_xlfn.XLOOKUP(D2772,Table_Tarikan_Warkah[Nomor Tiket],Table_Tarikan_Warkah[Nama Petugas Warkah]),"")</f>
        <v>Berry</v>
      </c>
      <c r="G2772" s="39" t="str">
        <f t="array" ref="G2772">IFNA(_xlfn.XLOOKUP(D2772,Table_Tarikan_Warkah[Nomor Tiket],Table_Tarikan_Warkah[Jenis Permohonan]),"")</f>
        <v>BN HIBAH</v>
      </c>
      <c r="H2772" s="41" t="s">
        <v>2315</v>
      </c>
      <c r="I2772" s="49" t="s">
        <v>23</v>
      </c>
      <c r="J2772" s="36">
        <f t="shared" si="20"/>
        <v>45840.59285</v>
      </c>
      <c r="K2772" s="49" t="s">
        <v>2378</v>
      </c>
      <c r="L2772" s="49" t="s">
        <v>23</v>
      </c>
      <c r="M2772" s="36">
        <f t="shared" si="33"/>
        <v>45842.59935</v>
      </c>
      <c r="N2772" s="30" t="str">
        <f t="shared" si="34"/>
        <v>Selesai</v>
      </c>
      <c r="O2772" s="45">
        <f t="shared" si="23"/>
        <v>45842.59935</v>
      </c>
      <c r="P2772" s="47" t="b">
        <v>0</v>
      </c>
      <c r="Q2772" s="36" t="str">
        <f t="shared" si="24"/>
        <v/>
      </c>
      <c r="R2772" s="47" t="b">
        <v>0</v>
      </c>
      <c r="S2772" s="42" t="str">
        <f t="shared" si="28"/>
        <v/>
      </c>
      <c r="T2772" s="42"/>
    </row>
    <row r="2773" ht="22.5" customHeight="1">
      <c r="B2773" s="42">
        <f t="shared" si="7"/>
        <v>2767</v>
      </c>
      <c r="C2773" s="31" t="s">
        <v>2839</v>
      </c>
      <c r="D2773" s="34" t="str">
        <f t="array" ref="D2773">IFNA(_xlfn.XLOOKUP(C2773,Table_Tarikan_Warkah[Nomor Sertipikat],Table_Tarikan_Warkah[Nomor Tiket]),"")</f>
        <v>K/39/190625/1</v>
      </c>
      <c r="E2773" s="36">
        <f t="array" ref="E2773">IFNA(_xlfn.XLOOKUP(D2773,Table_Tarikan_Warkah[Nomor Tiket],Table_Tarikan_Warkah[Tanggal diserahkan kepada Validator]),"")</f>
        <v>45875.63568</v>
      </c>
      <c r="F2773" s="36" t="str">
        <f t="array" ref="F2773">IFNA(_xlfn.XLOOKUP(D2773,Table_Tarikan_Warkah[Nomor Tiket],Table_Tarikan_Warkah[Nama Petugas Warkah]),"")</f>
        <v>Berry</v>
      </c>
      <c r="G2773" s="39" t="str">
        <f t="array" ref="G2773">IFNA(_xlfn.XLOOKUP(D2773,Table_Tarikan_Warkah[Nomor Tiket],Table_Tarikan_Warkah[Jenis Permohonan]),"")</f>
        <v>BN JUAL BELI</v>
      </c>
      <c r="H2773" s="41" t="s">
        <v>2315</v>
      </c>
      <c r="I2773" s="49" t="s">
        <v>23</v>
      </c>
      <c r="J2773" s="36">
        <f t="shared" si="20"/>
        <v>45840.59298</v>
      </c>
      <c r="K2773" s="49" t="s">
        <v>2378</v>
      </c>
      <c r="L2773" s="49" t="s">
        <v>23</v>
      </c>
      <c r="M2773" s="36">
        <f t="shared" si="33"/>
        <v>45842.59915</v>
      </c>
      <c r="N2773" s="30" t="str">
        <f t="shared" si="34"/>
        <v>Selesai</v>
      </c>
      <c r="O2773" s="45">
        <f t="shared" si="23"/>
        <v>45842.59915</v>
      </c>
      <c r="P2773" s="47" t="b">
        <v>0</v>
      </c>
      <c r="Q2773" s="36" t="str">
        <f t="shared" si="24"/>
        <v/>
      </c>
      <c r="R2773" s="47" t="b">
        <v>0</v>
      </c>
      <c r="S2773" s="42" t="str">
        <f t="shared" si="28"/>
        <v/>
      </c>
      <c r="T2773" s="42"/>
    </row>
    <row r="2774" ht="22.5" customHeight="1">
      <c r="B2774" s="42">
        <f t="shared" si="7"/>
        <v>2768</v>
      </c>
      <c r="C2774" s="31" t="s">
        <v>2840</v>
      </c>
      <c r="D2774" s="34" t="str">
        <f t="array" ref="D2774">IFNA(_xlfn.XLOOKUP(C2774,Table_Tarikan_Warkah[Nomor Sertipikat],Table_Tarikan_Warkah[Nomor Tiket]),"")</f>
        <v>K/48/180625/1</v>
      </c>
      <c r="E2774" s="36">
        <f t="array" ref="E2774">IFNA(_xlfn.XLOOKUP(D2774,Table_Tarikan_Warkah[Nomor Tiket],Table_Tarikan_Warkah[Tanggal diserahkan kepada Validator]),"")</f>
        <v>45845.68094</v>
      </c>
      <c r="F2774" s="36" t="str">
        <f t="array" ref="F2774">IFNA(_xlfn.XLOOKUP(D2774,Table_Tarikan_Warkah[Nomor Tiket],Table_Tarikan_Warkah[Nama Petugas Warkah]),"")</f>
        <v>Berry</v>
      </c>
      <c r="G2774" s="39" t="str">
        <f t="array" ref="G2774">IFNA(_xlfn.XLOOKUP(D2774,Table_Tarikan_Warkah[Nomor Tiket],Table_Tarikan_Warkah[Jenis Permohonan]),"")</f>
        <v>BN WARIS</v>
      </c>
      <c r="H2774" s="41" t="s">
        <v>2315</v>
      </c>
      <c r="I2774" s="49" t="s">
        <v>23</v>
      </c>
      <c r="J2774" s="36">
        <f t="shared" si="20"/>
        <v>45840.59317</v>
      </c>
      <c r="K2774" s="49" t="s">
        <v>2378</v>
      </c>
      <c r="L2774" s="49" t="s">
        <v>23</v>
      </c>
      <c r="M2774" s="36">
        <f t="shared" si="33"/>
        <v>45842.59192</v>
      </c>
      <c r="N2774" s="30" t="str">
        <f t="shared" si="34"/>
        <v>Selesai</v>
      </c>
      <c r="O2774" s="45">
        <f t="shared" si="23"/>
        <v>45842.59192</v>
      </c>
      <c r="P2774" s="47" t="b">
        <v>0</v>
      </c>
      <c r="Q2774" s="36" t="str">
        <f t="shared" si="24"/>
        <v/>
      </c>
      <c r="R2774" s="47" t="b">
        <v>0</v>
      </c>
      <c r="S2774" s="42" t="str">
        <f t="shared" si="28"/>
        <v/>
      </c>
      <c r="T2774" s="42"/>
    </row>
    <row r="2775" ht="22.5" customHeight="1">
      <c r="B2775" s="42">
        <f t="shared" si="7"/>
        <v>2769</v>
      </c>
      <c r="C2775" s="31" t="s">
        <v>2841</v>
      </c>
      <c r="D2775" s="34" t="str">
        <f t="array" ref="D2775">IFNA(_xlfn.XLOOKUP(C2775,Table_Tarikan_Warkah[Nomor Sertipikat],Table_Tarikan_Warkah[Nomor Tiket]),"")</f>
        <v>L/25/240625/1</v>
      </c>
      <c r="E2775" s="36">
        <f t="array" ref="E2775">IFNA(_xlfn.XLOOKUP(D2775,Table_Tarikan_Warkah[Nomor Tiket],Table_Tarikan_Warkah[Tanggal diserahkan kepada Validator]),"")</f>
        <v>45849.65889</v>
      </c>
      <c r="F2775" s="36" t="str">
        <f t="array" ref="F2775">IFNA(_xlfn.XLOOKUP(D2775,Table_Tarikan_Warkah[Nomor Tiket],Table_Tarikan_Warkah[Nama Petugas Warkah]),"")</f>
        <v>David</v>
      </c>
      <c r="G2775" s="39" t="str">
        <f t="array" ref="G2775">IFNA(_xlfn.XLOOKUP(D2775,Table_Tarikan_Warkah[Nomor Tiket],Table_Tarikan_Warkah[Jenis Permohonan]),"")</f>
        <v>RAHMAT HIDAYAT </v>
      </c>
      <c r="H2775" s="41" t="s">
        <v>2315</v>
      </c>
      <c r="I2775" s="49" t="s">
        <v>23</v>
      </c>
      <c r="J2775" s="36">
        <f t="shared" si="20"/>
        <v>45840.59333</v>
      </c>
      <c r="K2775" s="49" t="s">
        <v>2378</v>
      </c>
      <c r="L2775" s="49" t="s">
        <v>23</v>
      </c>
      <c r="M2775" s="36">
        <f t="shared" si="33"/>
        <v>45842.59906</v>
      </c>
      <c r="N2775" s="30" t="str">
        <f t="shared" si="34"/>
        <v>Selesai</v>
      </c>
      <c r="O2775" s="45">
        <f t="shared" si="23"/>
        <v>45842.59906</v>
      </c>
      <c r="P2775" s="47" t="b">
        <v>0</v>
      </c>
      <c r="Q2775" s="36" t="str">
        <f t="shared" si="24"/>
        <v/>
      </c>
      <c r="R2775" s="47" t="b">
        <v>0</v>
      </c>
      <c r="S2775" s="42" t="str">
        <f t="shared" si="28"/>
        <v/>
      </c>
      <c r="T2775" s="42"/>
    </row>
    <row r="2776" ht="22.5" customHeight="1">
      <c r="B2776" s="42">
        <f t="shared" si="7"/>
        <v>2770</v>
      </c>
      <c r="C2776" s="31" t="s">
        <v>2842</v>
      </c>
      <c r="D2776" s="34" t="str">
        <f t="array" ref="D2776">IFNA(_xlfn.XLOOKUP(C2776,Table_Tarikan_Warkah[Nomor Sertipikat],Table_Tarikan_Warkah[Nomor Tiket]),"")</f>
        <v>L/28/250625/1</v>
      </c>
      <c r="E2776" s="36">
        <f t="array" ref="E2776">IFNA(_xlfn.XLOOKUP(D2776,Table_Tarikan_Warkah[Nomor Tiket],Table_Tarikan_Warkah[Tanggal diserahkan kepada Validator]),"")</f>
        <v>45856.62482</v>
      </c>
      <c r="F2776" s="36" t="str">
        <f t="array" ref="F2776">IFNA(_xlfn.XLOOKUP(D2776,Table_Tarikan_Warkah[Nomor Tiket],Table_Tarikan_Warkah[Nama Petugas Warkah]),"")</f>
        <v>David</v>
      </c>
      <c r="G2776" s="39" t="str">
        <f t="array" ref="G2776">IFNA(_xlfn.XLOOKUP(D2776,Table_Tarikan_Warkah[Nomor Tiket],Table_Tarikan_Warkah[Jenis Permohonan]),"")</f>
        <v>ROYA</v>
      </c>
      <c r="H2776" s="41" t="s">
        <v>2315</v>
      </c>
      <c r="I2776" s="49" t="s">
        <v>23</v>
      </c>
      <c r="J2776" s="36">
        <f t="shared" si="20"/>
        <v>45840.59439</v>
      </c>
      <c r="K2776" s="49" t="s">
        <v>2378</v>
      </c>
      <c r="L2776" s="49" t="s">
        <v>23</v>
      </c>
      <c r="M2776" s="36">
        <f t="shared" si="33"/>
        <v>45842.59899</v>
      </c>
      <c r="N2776" s="30" t="str">
        <f t="shared" si="34"/>
        <v>Selesai</v>
      </c>
      <c r="O2776" s="45">
        <f t="shared" si="23"/>
        <v>45842.59899</v>
      </c>
      <c r="P2776" s="47" t="b">
        <v>0</v>
      </c>
      <c r="Q2776" s="36" t="str">
        <f t="shared" si="24"/>
        <v/>
      </c>
      <c r="R2776" s="47" t="b">
        <v>0</v>
      </c>
      <c r="S2776" s="42" t="str">
        <f t="shared" si="28"/>
        <v/>
      </c>
      <c r="T2776" s="42"/>
    </row>
    <row r="2777" ht="22.5" customHeight="1">
      <c r="B2777" s="42">
        <f t="shared" si="7"/>
        <v>2771</v>
      </c>
      <c r="C2777" s="31" t="s">
        <v>2843</v>
      </c>
      <c r="D2777" s="34" t="str">
        <f t="array" ref="D2777">IFNA(_xlfn.XLOOKUP(C2777,Table_Tarikan_Warkah[Nomor Sertipikat],Table_Tarikan_Warkah[Nomor Tiket]),"")</f>
        <v>L/14/240625/1</v>
      </c>
      <c r="E2777" s="36">
        <f t="array" ref="E2777">IFNA(_xlfn.XLOOKUP(D2777,Table_Tarikan_Warkah[Nomor Tiket],Table_Tarikan_Warkah[Tanggal diserahkan kepada Validator]),"")</f>
        <v>45856.62449</v>
      </c>
      <c r="F2777" s="36" t="str">
        <f t="array" ref="F2777">IFNA(_xlfn.XLOOKUP(D2777,Table_Tarikan_Warkah[Nomor Tiket],Table_Tarikan_Warkah[Nama Petugas Warkah]),"")</f>
        <v>David</v>
      </c>
      <c r="G2777" s="39" t="str">
        <f t="array" ref="G2777">IFNA(_xlfn.XLOOKUP(D2777,Table_Tarikan_Warkah[Nomor Tiket],Table_Tarikan_Warkah[Jenis Permohonan]),"")</f>
        <v>ROYA</v>
      </c>
      <c r="H2777" s="41" t="s">
        <v>2315</v>
      </c>
      <c r="I2777" s="49" t="s">
        <v>23</v>
      </c>
      <c r="J2777" s="36">
        <f t="shared" si="20"/>
        <v>45840.59456</v>
      </c>
      <c r="K2777" s="49" t="s">
        <v>2378</v>
      </c>
      <c r="L2777" s="49" t="s">
        <v>23</v>
      </c>
      <c r="M2777" s="36">
        <f t="shared" si="33"/>
        <v>45842.59891</v>
      </c>
      <c r="N2777" s="30" t="str">
        <f t="shared" si="34"/>
        <v>Selesai</v>
      </c>
      <c r="O2777" s="45">
        <f t="shared" si="23"/>
        <v>45842.59891</v>
      </c>
      <c r="P2777" s="47" t="b">
        <v>0</v>
      </c>
      <c r="Q2777" s="36" t="str">
        <f t="shared" si="24"/>
        <v/>
      </c>
      <c r="R2777" s="47" t="b">
        <v>0</v>
      </c>
      <c r="S2777" s="42" t="str">
        <f t="shared" si="28"/>
        <v/>
      </c>
      <c r="T2777" s="42"/>
    </row>
    <row r="2778" ht="22.5" customHeight="1">
      <c r="B2778" s="42">
        <f t="shared" si="7"/>
        <v>2772</v>
      </c>
      <c r="C2778" s="31" t="s">
        <v>2844</v>
      </c>
      <c r="D2778" s="34" t="str">
        <f t="array" ref="D2778">IFNA(_xlfn.XLOOKUP(C2778,Table_Tarikan_Warkah[Nomor Sertipikat],Table_Tarikan_Warkah[Nomor Tiket]),"")</f>
        <v>L/30/250625/1</v>
      </c>
      <c r="E2778" s="36" t="str">
        <f t="array" ref="E2778">IFNA(_xlfn.XLOOKUP(D2778,Table_Tarikan_Warkah[Nomor Tiket],Table_Tarikan_Warkah[Tanggal diserahkan kepada Validator]),"")</f>
        <v/>
      </c>
      <c r="F2778" s="36" t="str">
        <f t="array" ref="F2778">IFNA(_xlfn.XLOOKUP(D2778,Table_Tarikan_Warkah[Nomor Tiket],Table_Tarikan_Warkah[Nama Petugas Warkah]),"")</f>
        <v/>
      </c>
      <c r="G2778" s="39" t="str">
        <f t="array" ref="G2778">IFNA(_xlfn.XLOOKUP(D2778,Table_Tarikan_Warkah[Nomor Tiket],Table_Tarikan_Warkah[Jenis Permohonan]),"")</f>
        <v>ROYA</v>
      </c>
      <c r="H2778" s="41" t="s">
        <v>2315</v>
      </c>
      <c r="I2778" s="49" t="s">
        <v>23</v>
      </c>
      <c r="J2778" s="36">
        <f t="shared" si="20"/>
        <v>45840.59478</v>
      </c>
      <c r="K2778" s="49" t="s">
        <v>2378</v>
      </c>
      <c r="L2778" s="49" t="s">
        <v>23</v>
      </c>
      <c r="M2778" s="36">
        <f t="shared" si="33"/>
        <v>45842.59315</v>
      </c>
      <c r="N2778" s="30" t="str">
        <f t="shared" si="34"/>
        <v>Selesai</v>
      </c>
      <c r="O2778" s="45">
        <f t="shared" si="23"/>
        <v>45842.59315</v>
      </c>
      <c r="P2778" s="47" t="b">
        <v>0</v>
      </c>
      <c r="Q2778" s="36" t="str">
        <f t="shared" si="24"/>
        <v/>
      </c>
      <c r="R2778" s="47" t="b">
        <v>0</v>
      </c>
      <c r="S2778" s="42" t="str">
        <f t="shared" si="28"/>
        <v/>
      </c>
      <c r="T2778" s="42"/>
    </row>
    <row r="2779" ht="22.5" customHeight="1">
      <c r="B2779" s="42">
        <f t="shared" si="7"/>
        <v>2773</v>
      </c>
      <c r="C2779" s="31" t="s">
        <v>2845</v>
      </c>
      <c r="D2779" s="34" t="str">
        <f t="array" ref="D2779">IFNA(_xlfn.XLOOKUP(C2779,Table_Tarikan_Warkah[Nomor Sertipikat],Table_Tarikan_Warkah[Nomor Tiket]),"")</f>
        <v>K/18/180625/1</v>
      </c>
      <c r="E2779" s="36">
        <f t="array" ref="E2779">IFNA(_xlfn.XLOOKUP(D2779,Table_Tarikan_Warkah[Nomor Tiket],Table_Tarikan_Warkah[Tanggal diserahkan kepada Validator]),"")</f>
        <v>45845.71305</v>
      </c>
      <c r="F2779" s="36" t="str">
        <f t="array" ref="F2779">IFNA(_xlfn.XLOOKUP(D2779,Table_Tarikan_Warkah[Nomor Tiket],Table_Tarikan_Warkah[Nama Petugas Warkah]),"")</f>
        <v>Berry</v>
      </c>
      <c r="G2779" s="39" t="str">
        <f t="array" ref="G2779">IFNA(_xlfn.XLOOKUP(D2779,Table_Tarikan_Warkah[Nomor Tiket],Table_Tarikan_Warkah[Jenis Permohonan]),"")</f>
        <v>BN JUAL BELI</v>
      </c>
      <c r="H2779" s="41" t="s">
        <v>2315</v>
      </c>
      <c r="I2779" s="49" t="s">
        <v>23</v>
      </c>
      <c r="J2779" s="36">
        <f t="shared" si="20"/>
        <v>45840.59495</v>
      </c>
      <c r="K2779" s="49" t="s">
        <v>2378</v>
      </c>
      <c r="L2779" s="49" t="s">
        <v>23</v>
      </c>
      <c r="M2779" s="36">
        <f t="shared" si="33"/>
        <v>45842.59884</v>
      </c>
      <c r="N2779" s="30" t="str">
        <f t="shared" si="34"/>
        <v>Selesai</v>
      </c>
      <c r="O2779" s="45">
        <f t="shared" si="23"/>
        <v>45842.59884</v>
      </c>
      <c r="P2779" s="47" t="b">
        <v>0</v>
      </c>
      <c r="Q2779" s="36" t="str">
        <f t="shared" si="24"/>
        <v/>
      </c>
      <c r="R2779" s="47" t="b">
        <v>0</v>
      </c>
      <c r="S2779" s="42" t="str">
        <f t="shared" si="28"/>
        <v/>
      </c>
      <c r="T2779" s="42"/>
    </row>
    <row r="2780" ht="22.5" customHeight="1">
      <c r="B2780" s="42">
        <f t="shared" si="7"/>
        <v>2774</v>
      </c>
      <c r="C2780" s="31" t="s">
        <v>2846</v>
      </c>
      <c r="D2780" s="34" t="str">
        <f t="array" ref="D2780">IFNA(_xlfn.XLOOKUP(C2780,Table_Tarikan_Warkah[Nomor Sertipikat],Table_Tarikan_Warkah[Nomor Tiket]),"")</f>
        <v>K/17/250425/1</v>
      </c>
      <c r="E2780" s="36" t="str">
        <f t="array" ref="E2780">IFNA(_xlfn.XLOOKUP(D2780,Table_Tarikan_Warkah[Nomor Tiket],Table_Tarikan_Warkah[Tanggal diserahkan kepada Validator]),"")</f>
        <v/>
      </c>
      <c r="F2780" s="36" t="str">
        <f t="array" ref="F2780">IFNA(_xlfn.XLOOKUP(D2780,Table_Tarikan_Warkah[Nomor Tiket],Table_Tarikan_Warkah[Nama Petugas Warkah]),"")</f>
        <v/>
      </c>
      <c r="G2780" s="39" t="str">
        <f t="array" ref="G2780">IFNA(_xlfn.XLOOKUP(D2780,Table_Tarikan_Warkah[Nomor Tiket],Table_Tarikan_Warkah[Jenis Permohonan]),"")</f>
        <v>BN Jual Beli</v>
      </c>
      <c r="H2780" s="41" t="s">
        <v>2315</v>
      </c>
      <c r="I2780" s="49" t="s">
        <v>23</v>
      </c>
      <c r="J2780" s="36">
        <f t="shared" si="20"/>
        <v>45840.59513</v>
      </c>
      <c r="K2780" s="49" t="s">
        <v>2378</v>
      </c>
      <c r="L2780" s="49" t="s">
        <v>23</v>
      </c>
      <c r="M2780" s="36">
        <f t="shared" si="33"/>
        <v>45842.59866</v>
      </c>
      <c r="N2780" s="30" t="str">
        <f t="shared" si="34"/>
        <v>Selesai</v>
      </c>
      <c r="O2780" s="45">
        <f t="shared" si="23"/>
        <v>45842.59866</v>
      </c>
      <c r="P2780" s="47" t="b">
        <v>0</v>
      </c>
      <c r="Q2780" s="36" t="str">
        <f t="shared" si="24"/>
        <v/>
      </c>
      <c r="R2780" s="47" t="b">
        <v>0</v>
      </c>
      <c r="S2780" s="42" t="str">
        <f t="shared" si="28"/>
        <v/>
      </c>
      <c r="T2780" s="42"/>
    </row>
    <row r="2781" ht="22.5" customHeight="1">
      <c r="B2781" s="42">
        <f t="shared" si="7"/>
        <v>2775</v>
      </c>
      <c r="C2781" s="31" t="s">
        <v>2847</v>
      </c>
      <c r="D2781" s="34" t="str">
        <f t="array" ref="D2781">IFNA(_xlfn.XLOOKUP(C2781,Table_Tarikan_Warkah[Nomor Sertipikat],Table_Tarikan_Warkah[Nomor Tiket]),"")</f>
        <v>K/43/200625/1</v>
      </c>
      <c r="E2781" s="36">
        <f t="array" ref="E2781">IFNA(_xlfn.XLOOKUP(D2781,Table_Tarikan_Warkah[Nomor Tiket],Table_Tarikan_Warkah[Tanggal diserahkan kepada Validator]),"")</f>
        <v>45875.62516</v>
      </c>
      <c r="F2781" s="36" t="str">
        <f t="array" ref="F2781">IFNA(_xlfn.XLOOKUP(D2781,Table_Tarikan_Warkah[Nomor Tiket],Table_Tarikan_Warkah[Nama Petugas Warkah]),"")</f>
        <v>David</v>
      </c>
      <c r="G2781" s="39" t="str">
        <f t="array" ref="G2781">IFNA(_xlfn.XLOOKUP(D2781,Table_Tarikan_Warkah[Nomor Tiket],Table_Tarikan_Warkah[Jenis Permohonan]),"")</f>
        <v>ROYA</v>
      </c>
      <c r="H2781" s="41" t="s">
        <v>2315</v>
      </c>
      <c r="I2781" s="49" t="s">
        <v>23</v>
      </c>
      <c r="J2781" s="36">
        <f t="shared" si="20"/>
        <v>45840.59543</v>
      </c>
      <c r="K2781" s="49" t="s">
        <v>2378</v>
      </c>
      <c r="L2781" s="49" t="s">
        <v>23</v>
      </c>
      <c r="M2781" s="36">
        <f t="shared" si="33"/>
        <v>45842.59863</v>
      </c>
      <c r="N2781" s="30" t="str">
        <f t="shared" si="34"/>
        <v>Selesai</v>
      </c>
      <c r="O2781" s="45">
        <f t="shared" si="23"/>
        <v>45842.59863</v>
      </c>
      <c r="P2781" s="47" t="b">
        <v>0</v>
      </c>
      <c r="Q2781" s="36" t="str">
        <f t="shared" si="24"/>
        <v/>
      </c>
      <c r="R2781" s="47" t="b">
        <v>0</v>
      </c>
      <c r="S2781" s="42" t="str">
        <f t="shared" si="28"/>
        <v/>
      </c>
      <c r="T2781" s="42"/>
    </row>
    <row r="2782" ht="22.5" customHeight="1">
      <c r="B2782" s="42">
        <f t="shared" si="7"/>
        <v>2776</v>
      </c>
      <c r="C2782" s="31" t="s">
        <v>2848</v>
      </c>
      <c r="D2782" s="34" t="str">
        <f t="array" ref="D2782">IFNA(_xlfn.XLOOKUP(C2782,Table_Tarikan_Warkah[Nomor Sertipikat],Table_Tarikan_Warkah[Nomor Tiket]),"")</f>
        <v>K/23/160635/1</v>
      </c>
      <c r="E2782" s="36" t="str">
        <f t="array" ref="E2782">IFNA(_xlfn.XLOOKUP(D2782,Table_Tarikan_Warkah[Nomor Tiket],Table_Tarikan_Warkah[Tanggal diserahkan kepada Validator]),"")</f>
        <v/>
      </c>
      <c r="F2782" s="36" t="str">
        <f t="array" ref="F2782">IFNA(_xlfn.XLOOKUP(D2782,Table_Tarikan_Warkah[Nomor Tiket],Table_Tarikan_Warkah[Nama Petugas Warkah]),"")</f>
        <v/>
      </c>
      <c r="G2782" s="39" t="str">
        <f t="array" ref="G2782">IFNA(_xlfn.XLOOKUP(D2782,Table_Tarikan_Warkah[Nomor Tiket],Table_Tarikan_Warkah[Jenis Permohonan]),"")</f>
        <v>BN Jual Beli</v>
      </c>
      <c r="H2782" s="41" t="s">
        <v>2315</v>
      </c>
      <c r="I2782" s="49" t="s">
        <v>23</v>
      </c>
      <c r="J2782" s="36">
        <f t="shared" si="20"/>
        <v>45840.59566</v>
      </c>
      <c r="K2782" s="49" t="s">
        <v>2378</v>
      </c>
      <c r="L2782" s="49" t="s">
        <v>23</v>
      </c>
      <c r="M2782" s="36">
        <f t="shared" si="33"/>
        <v>45842.6046</v>
      </c>
      <c r="N2782" s="30" t="str">
        <f t="shared" si="34"/>
        <v>Selesai</v>
      </c>
      <c r="O2782" s="45">
        <f t="shared" si="23"/>
        <v>45842.6046</v>
      </c>
      <c r="P2782" s="47" t="b">
        <v>0</v>
      </c>
      <c r="Q2782" s="36" t="str">
        <f t="shared" si="24"/>
        <v/>
      </c>
      <c r="R2782" s="47" t="b">
        <v>0</v>
      </c>
      <c r="S2782" s="42" t="str">
        <f t="shared" si="28"/>
        <v/>
      </c>
      <c r="T2782" s="42"/>
    </row>
    <row r="2783" ht="22.5" customHeight="1">
      <c r="B2783" s="42">
        <f t="shared" si="7"/>
        <v>2777</v>
      </c>
      <c r="C2783" s="31" t="s">
        <v>2849</v>
      </c>
      <c r="D2783" s="34" t="str">
        <f t="array" ref="D2783">IFNA(_xlfn.XLOOKUP(C2783,Table_Tarikan_Warkah[Nomor Sertipikat],Table_Tarikan_Warkah[Nomor Tiket]),"")</f>
        <v>L/8/250625/1</v>
      </c>
      <c r="E2783" s="36">
        <f t="array" ref="E2783">IFNA(_xlfn.XLOOKUP(D2783,Table_Tarikan_Warkah[Nomor Tiket],Table_Tarikan_Warkah[Tanggal diserahkan kepada Validator]),"")</f>
        <v>45849.65163</v>
      </c>
      <c r="F2783" s="36" t="str">
        <f t="array" ref="F2783">IFNA(_xlfn.XLOOKUP(D2783,Table_Tarikan_Warkah[Nomor Tiket],Table_Tarikan_Warkah[Nama Petugas Warkah]),"")</f>
        <v>David</v>
      </c>
      <c r="G2783" s="39" t="str">
        <f t="array" ref="G2783">IFNA(_xlfn.XLOOKUP(D2783,Table_Tarikan_Warkah[Nomor Tiket],Table_Tarikan_Warkah[Jenis Permohonan]),"")</f>
        <v>ROYA</v>
      </c>
      <c r="H2783" s="41" t="s">
        <v>2315</v>
      </c>
      <c r="I2783" s="49" t="s">
        <v>23</v>
      </c>
      <c r="J2783" s="36">
        <f t="shared" si="20"/>
        <v>45840.62937</v>
      </c>
      <c r="K2783" s="49" t="s">
        <v>2378</v>
      </c>
      <c r="L2783" s="49" t="s">
        <v>23</v>
      </c>
      <c r="M2783" s="36">
        <f t="shared" si="33"/>
        <v>45842.59424</v>
      </c>
      <c r="N2783" s="30" t="str">
        <f t="shared" si="34"/>
        <v>Selesai</v>
      </c>
      <c r="O2783" s="45">
        <f t="shared" si="23"/>
        <v>45842.59424</v>
      </c>
      <c r="P2783" s="47" t="b">
        <v>0</v>
      </c>
      <c r="Q2783" s="36" t="str">
        <f t="shared" si="24"/>
        <v/>
      </c>
      <c r="R2783" s="47" t="b">
        <v>0</v>
      </c>
      <c r="S2783" s="42" t="str">
        <f t="shared" si="28"/>
        <v/>
      </c>
      <c r="T2783" s="42"/>
    </row>
    <row r="2784" ht="22.5" customHeight="1">
      <c r="B2784" s="42">
        <f t="shared" si="7"/>
        <v>2778</v>
      </c>
      <c r="C2784" s="31" t="s">
        <v>2850</v>
      </c>
      <c r="D2784" s="34" t="str">
        <f t="array" ref="D2784">IFNA(_xlfn.XLOOKUP(C2784,Table_Tarikan_Warkah[Nomor Sertipikat],Table_Tarikan_Warkah[Nomor Tiket]),"")</f>
        <v>L/40/130625/1</v>
      </c>
      <c r="E2784" s="36">
        <f t="array" ref="E2784">IFNA(_xlfn.XLOOKUP(D2784,Table_Tarikan_Warkah[Nomor Tiket],Table_Tarikan_Warkah[Tanggal diserahkan kepada Validator]),"")</f>
        <v>45841.52431</v>
      </c>
      <c r="F2784" s="36" t="str">
        <f t="array" ref="F2784">IFNA(_xlfn.XLOOKUP(D2784,Table_Tarikan_Warkah[Nomor Tiket],Table_Tarikan_Warkah[Nama Petugas Warkah]),"")</f>
        <v>Berry</v>
      </c>
      <c r="G2784" s="39" t="str">
        <f t="array" ref="G2784">IFNA(_xlfn.XLOOKUP(D2784,Table_Tarikan_Warkah[Nomor Tiket],Table_Tarikan_Warkah[Jenis Permohonan]),"")</f>
        <v>PERALIHAN HAK HIBAH</v>
      </c>
      <c r="H2784" s="41" t="s">
        <v>20</v>
      </c>
      <c r="I2784" s="49" t="s">
        <v>23</v>
      </c>
      <c r="J2784" s="36">
        <f t="shared" si="20"/>
        <v>45840.65266</v>
      </c>
      <c r="K2784" s="49" t="s">
        <v>920</v>
      </c>
      <c r="L2784" s="49" t="s">
        <v>23</v>
      </c>
      <c r="M2784" s="36">
        <f t="shared" si="33"/>
        <v>45840.65271</v>
      </c>
      <c r="N2784" s="30" t="str">
        <f t="shared" si="34"/>
        <v>Selesai</v>
      </c>
      <c r="O2784" s="45">
        <f t="shared" si="23"/>
        <v>45840.65271</v>
      </c>
      <c r="P2784" s="47" t="b">
        <v>1</v>
      </c>
      <c r="Q2784" s="36">
        <f t="shared" si="24"/>
        <v>45840.65274</v>
      </c>
      <c r="R2784" s="47" t="b">
        <v>0</v>
      </c>
      <c r="S2784" s="42" t="str">
        <f t="shared" si="28"/>
        <v/>
      </c>
      <c r="T2784" s="42"/>
    </row>
    <row r="2785" ht="22.5" customHeight="1">
      <c r="B2785" s="42">
        <f t="shared" si="7"/>
        <v>2779</v>
      </c>
      <c r="C2785" s="31" t="s">
        <v>2851</v>
      </c>
      <c r="D2785" s="34" t="str">
        <f t="array" ref="D2785">IFNA(_xlfn.XLOOKUP(C2785,Table_Tarikan_Warkah[Nomor Sertipikat],Table_Tarikan_Warkah[Nomor Tiket]),"")</f>
        <v>L/28/130625/1</v>
      </c>
      <c r="E2785" s="36">
        <f t="array" ref="E2785">IFNA(_xlfn.XLOOKUP(D2785,Table_Tarikan_Warkah[Nomor Tiket],Table_Tarikan_Warkah[Tanggal diserahkan kepada Validator]),"")</f>
        <v>45841.52204</v>
      </c>
      <c r="F2785" s="36" t="str">
        <f t="array" ref="F2785">IFNA(_xlfn.XLOOKUP(D2785,Table_Tarikan_Warkah[Nomor Tiket],Table_Tarikan_Warkah[Nama Petugas Warkah]),"")</f>
        <v>Berry</v>
      </c>
      <c r="G2785" s="39" t="str">
        <f t="array" ref="G2785">IFNA(_xlfn.XLOOKUP(D2785,Table_Tarikan_Warkah[Nomor Tiket],Table_Tarikan_Warkah[Jenis Permohonan]),"")</f>
        <v>PERALIHAN HAK HIBAH</v>
      </c>
      <c r="H2785" s="41" t="s">
        <v>20</v>
      </c>
      <c r="I2785" s="49" t="s">
        <v>23</v>
      </c>
      <c r="J2785" s="36">
        <f t="shared" si="20"/>
        <v>45840.65296</v>
      </c>
      <c r="K2785" s="49" t="s">
        <v>920</v>
      </c>
      <c r="L2785" s="49" t="s">
        <v>23</v>
      </c>
      <c r="M2785" s="36">
        <f t="shared" si="33"/>
        <v>45840.65308</v>
      </c>
      <c r="N2785" s="30" t="str">
        <f t="shared" si="34"/>
        <v>Selesai</v>
      </c>
      <c r="O2785" s="45">
        <f t="shared" si="23"/>
        <v>45840.65308</v>
      </c>
      <c r="P2785" s="47" t="b">
        <v>1</v>
      </c>
      <c r="Q2785" s="36">
        <f t="shared" si="24"/>
        <v>45840.65382</v>
      </c>
      <c r="R2785" s="47" t="b">
        <v>0</v>
      </c>
      <c r="S2785" s="42" t="str">
        <f t="shared" si="28"/>
        <v/>
      </c>
      <c r="T2785" s="42"/>
    </row>
    <row r="2786" ht="22.5" customHeight="1">
      <c r="B2786" s="42">
        <f t="shared" si="7"/>
        <v>2780</v>
      </c>
      <c r="C2786" s="31" t="s">
        <v>2852</v>
      </c>
      <c r="D2786" s="34" t="str">
        <f t="array" ref="D2786">IFNA(_xlfn.XLOOKUP(C2786,Table_Tarikan_Warkah[Nomor Sertipikat],Table_Tarikan_Warkah[Nomor Tiket]),"")</f>
        <v>L/2/270525/1</v>
      </c>
      <c r="E2786" s="36">
        <f t="array" ref="E2786">IFNA(_xlfn.XLOOKUP(D2786,Table_Tarikan_Warkah[Nomor Tiket],Table_Tarikan_Warkah[Tanggal diserahkan kepada Validator]),"")</f>
        <v>45841.52165</v>
      </c>
      <c r="F2786" s="36" t="str">
        <f t="array" ref="F2786">IFNA(_xlfn.XLOOKUP(D2786,Table_Tarikan_Warkah[Nomor Tiket],Table_Tarikan_Warkah[Nama Petugas Warkah]),"")</f>
        <v>Berry</v>
      </c>
      <c r="G2786" s="39" t="str">
        <f t="array" ref="G2786">IFNA(_xlfn.XLOOKUP(D2786,Table_Tarikan_Warkah[Nomor Tiket],Table_Tarikan_Warkah[Jenis Permohonan]),"")</f>
        <v>BN WARIS</v>
      </c>
      <c r="H2786" s="41" t="s">
        <v>20</v>
      </c>
      <c r="I2786" s="49" t="s">
        <v>23</v>
      </c>
      <c r="J2786" s="36">
        <f t="shared" si="20"/>
        <v>45840.65356</v>
      </c>
      <c r="K2786" s="49" t="s">
        <v>920</v>
      </c>
      <c r="L2786" s="49" t="s">
        <v>23</v>
      </c>
      <c r="M2786" s="36">
        <f t="shared" si="33"/>
        <v>45840.65356</v>
      </c>
      <c r="N2786" s="30" t="str">
        <f t="shared" si="34"/>
        <v>Selesai</v>
      </c>
      <c r="O2786" s="45">
        <f t="shared" si="23"/>
        <v>45840.65356</v>
      </c>
      <c r="P2786" s="47" t="b">
        <v>1</v>
      </c>
      <c r="Q2786" s="36">
        <f t="shared" si="24"/>
        <v>45840.65383</v>
      </c>
      <c r="R2786" s="47" t="b">
        <v>0</v>
      </c>
      <c r="S2786" s="42" t="str">
        <f t="shared" si="28"/>
        <v/>
      </c>
      <c r="T2786" s="42"/>
    </row>
    <row r="2787" ht="22.5" customHeight="1">
      <c r="B2787" s="42">
        <f t="shared" si="7"/>
        <v>2781</v>
      </c>
      <c r="C2787" s="31" t="s">
        <v>2853</v>
      </c>
      <c r="D2787" s="34" t="str">
        <f t="array" ref="D2787">IFNA(_xlfn.XLOOKUP(C2787,Table_Tarikan_Warkah[Nomor Sertipikat],Table_Tarikan_Warkah[Nomor Tiket]),"")</f>
        <v>K/43/160635/1</v>
      </c>
      <c r="E2787" s="36" t="str">
        <f t="array" ref="E2787">IFNA(_xlfn.XLOOKUP(D2787,Table_Tarikan_Warkah[Nomor Tiket],Table_Tarikan_Warkah[Tanggal diserahkan kepada Validator]),"")</f>
        <v/>
      </c>
      <c r="F2787" s="36" t="str">
        <f t="array" ref="F2787">IFNA(_xlfn.XLOOKUP(D2787,Table_Tarikan_Warkah[Nomor Tiket],Table_Tarikan_Warkah[Nama Petugas Warkah]),"")</f>
        <v/>
      </c>
      <c r="G2787" s="39" t="str">
        <f t="array" ref="G2787">IFNA(_xlfn.XLOOKUP(D2787,Table_Tarikan_Warkah[Nomor Tiket],Table_Tarikan_Warkah[Jenis Permohonan]),"")</f>
        <v>JUAL BELI</v>
      </c>
      <c r="H2787" s="41" t="s">
        <v>20</v>
      </c>
      <c r="I2787" s="49" t="s">
        <v>23</v>
      </c>
      <c r="J2787" s="36">
        <f t="shared" si="20"/>
        <v>45840.65367</v>
      </c>
      <c r="K2787" s="49" t="s">
        <v>920</v>
      </c>
      <c r="L2787" s="49" t="s">
        <v>23</v>
      </c>
      <c r="M2787" s="36">
        <f t="shared" si="33"/>
        <v>45840.65367</v>
      </c>
      <c r="N2787" s="30" t="str">
        <f t="shared" si="34"/>
        <v>Selesai</v>
      </c>
      <c r="O2787" s="45">
        <f t="shared" si="23"/>
        <v>45840.65367</v>
      </c>
      <c r="P2787" s="47" t="b">
        <v>1</v>
      </c>
      <c r="Q2787" s="36">
        <f t="shared" si="24"/>
        <v>45840.65384</v>
      </c>
      <c r="R2787" s="47" t="b">
        <v>0</v>
      </c>
      <c r="S2787" s="42" t="str">
        <f t="shared" si="28"/>
        <v/>
      </c>
      <c r="T2787" s="42"/>
    </row>
    <row r="2788" ht="22.5" customHeight="1">
      <c r="B2788" s="42">
        <f t="shared" si="7"/>
        <v>2782</v>
      </c>
      <c r="C2788" s="31" t="s">
        <v>2854</v>
      </c>
      <c r="D2788" s="34" t="str">
        <f t="array" ref="D2788">IFNA(_xlfn.XLOOKUP(C2788,Table_Tarikan_Warkah[Nomor Sertipikat],Table_Tarikan_Warkah[Nomor Tiket]),"")</f>
        <v>L/12/100625/1</v>
      </c>
      <c r="E2788" s="36">
        <f t="array" ref="E2788">IFNA(_xlfn.XLOOKUP(D2788,Table_Tarikan_Warkah[Nomor Tiket],Table_Tarikan_Warkah[Tanggal diserahkan kepada Validator]),"")</f>
        <v>45841.51857</v>
      </c>
      <c r="F2788" s="36" t="str">
        <f t="array" ref="F2788">IFNA(_xlfn.XLOOKUP(D2788,Table_Tarikan_Warkah[Nomor Tiket],Table_Tarikan_Warkah[Nama Petugas Warkah]),"")</f>
        <v>Berry</v>
      </c>
      <c r="G2788" s="39" t="str">
        <f t="array" ref="G2788">IFNA(_xlfn.XLOOKUP(D2788,Table_Tarikan_Warkah[Nomor Tiket],Table_Tarikan_Warkah[Jenis Permohonan]),"")</f>
        <v>BN WARIS</v>
      </c>
      <c r="H2788" s="41" t="s">
        <v>20</v>
      </c>
      <c r="I2788" s="49" t="s">
        <v>23</v>
      </c>
      <c r="J2788" s="36">
        <f t="shared" si="20"/>
        <v>45840.65375</v>
      </c>
      <c r="K2788" s="49" t="s">
        <v>920</v>
      </c>
      <c r="L2788" s="49" t="s">
        <v>23</v>
      </c>
      <c r="M2788" s="36">
        <f t="shared" si="33"/>
        <v>45840.65379</v>
      </c>
      <c r="N2788" s="30" t="str">
        <f t="shared" si="34"/>
        <v>Selesai</v>
      </c>
      <c r="O2788" s="45">
        <f t="shared" si="23"/>
        <v>45840.65379</v>
      </c>
      <c r="P2788" s="47" t="b">
        <v>1</v>
      </c>
      <c r="Q2788" s="36">
        <f t="shared" si="24"/>
        <v>45840.65385</v>
      </c>
      <c r="R2788" s="47" t="b">
        <v>0</v>
      </c>
      <c r="S2788" s="42" t="str">
        <f t="shared" si="28"/>
        <v/>
      </c>
      <c r="T2788" s="42"/>
    </row>
    <row r="2789" ht="22.5" customHeight="1">
      <c r="B2789" s="42">
        <f t="shared" si="7"/>
        <v>2783</v>
      </c>
      <c r="C2789" s="31" t="s">
        <v>2855</v>
      </c>
      <c r="D2789" s="34" t="str">
        <f t="array" ref="D2789">IFNA(_xlfn.XLOOKUP(C2789,Table_Tarikan_Warkah[Nomor Sertipikat],Table_Tarikan_Warkah[Nomor Tiket]),"")</f>
        <v>L/9/200625/1</v>
      </c>
      <c r="E2789" s="36" t="str">
        <f t="array" ref="E2789">IFNA(_xlfn.XLOOKUP(D2789,Table_Tarikan_Warkah[Nomor Tiket],Table_Tarikan_Warkah[Tanggal diserahkan kepada Validator]),"")</f>
        <v/>
      </c>
      <c r="F2789" s="36" t="str">
        <f t="array" ref="F2789">IFNA(_xlfn.XLOOKUP(D2789,Table_Tarikan_Warkah[Nomor Tiket],Table_Tarikan_Warkah[Nama Petugas Warkah]),"")</f>
        <v/>
      </c>
      <c r="G2789" s="39" t="str">
        <f t="array" ref="G2789">IFNA(_xlfn.XLOOKUP(D2789,Table_Tarikan_Warkah[Nomor Tiket],Table_Tarikan_Warkah[Jenis Permohonan]),"")</f>
        <v>BN WARIS</v>
      </c>
      <c r="H2789" s="41" t="s">
        <v>20</v>
      </c>
      <c r="I2789" s="49" t="s">
        <v>23</v>
      </c>
      <c r="J2789" s="36">
        <f t="shared" si="20"/>
        <v>45840.65401</v>
      </c>
      <c r="K2789" s="49" t="s">
        <v>920</v>
      </c>
      <c r="L2789" s="49" t="s">
        <v>23</v>
      </c>
      <c r="M2789" s="36">
        <f t="shared" si="33"/>
        <v>45840.65407</v>
      </c>
      <c r="N2789" s="30" t="str">
        <f t="shared" si="34"/>
        <v>Selesai</v>
      </c>
      <c r="O2789" s="45">
        <f t="shared" si="23"/>
        <v>45840.65407</v>
      </c>
      <c r="P2789" s="47" t="b">
        <v>1</v>
      </c>
      <c r="Q2789" s="36">
        <f t="shared" si="24"/>
        <v>45840.65409</v>
      </c>
      <c r="R2789" s="47" t="b">
        <v>0</v>
      </c>
      <c r="S2789" s="42" t="str">
        <f t="shared" si="28"/>
        <v/>
      </c>
      <c r="T2789" s="42"/>
    </row>
    <row r="2790" ht="22.5" customHeight="1">
      <c r="B2790" s="42">
        <f t="shared" si="7"/>
        <v>2784</v>
      </c>
      <c r="C2790" s="31" t="s">
        <v>2856</v>
      </c>
      <c r="D2790" s="34" t="str">
        <f t="array" ref="D2790">IFNA(_xlfn.XLOOKUP(C2790,Table_Tarikan_Warkah[Nomor Sertipikat],Table_Tarikan_Warkah[Nomor Tiket]),"")</f>
        <v>L/1/220625/PELATARAN</v>
      </c>
      <c r="E2790" s="36" t="str">
        <f t="array" ref="E2790">IFNA(_xlfn.XLOOKUP(D2790,Table_Tarikan_Warkah[Nomor Tiket],Table_Tarikan_Warkah[Tanggal diserahkan kepada Validator]),"")</f>
        <v/>
      </c>
      <c r="F2790" s="36" t="str">
        <f t="array" ref="F2790">IFNA(_xlfn.XLOOKUP(D2790,Table_Tarikan_Warkah[Nomor Tiket],Table_Tarikan_Warkah[Nama Petugas Warkah]),"")</f>
        <v/>
      </c>
      <c r="G2790" s="39" t="str">
        <f t="array" ref="G2790">IFNA(_xlfn.XLOOKUP(D2790,Table_Tarikan_Warkah[Nomor Tiket],Table_Tarikan_Warkah[Jenis Permohonan]),"")</f>
        <v>ROYA</v>
      </c>
      <c r="H2790" s="41" t="s">
        <v>2315</v>
      </c>
      <c r="I2790" s="49" t="s">
        <v>23</v>
      </c>
      <c r="J2790" s="36">
        <f t="shared" si="20"/>
        <v>45840.67257</v>
      </c>
      <c r="K2790" s="49" t="s">
        <v>2378</v>
      </c>
      <c r="L2790" s="49" t="s">
        <v>23</v>
      </c>
      <c r="M2790" s="36">
        <f t="shared" si="33"/>
        <v>45842.59473</v>
      </c>
      <c r="N2790" s="30" t="str">
        <f t="shared" si="34"/>
        <v>Selesai</v>
      </c>
      <c r="O2790" s="45">
        <f t="shared" si="23"/>
        <v>45842.59473</v>
      </c>
      <c r="P2790" s="47" t="b">
        <v>0</v>
      </c>
      <c r="Q2790" s="36" t="str">
        <f t="shared" si="24"/>
        <v/>
      </c>
      <c r="R2790" s="47" t="b">
        <v>0</v>
      </c>
      <c r="S2790" s="42" t="str">
        <f t="shared" si="28"/>
        <v/>
      </c>
      <c r="T2790" s="42"/>
    </row>
    <row r="2791" ht="22.5" customHeight="1">
      <c r="B2791" s="42">
        <f t="shared" si="7"/>
        <v>2785</v>
      </c>
      <c r="C2791" s="31" t="s">
        <v>2857</v>
      </c>
      <c r="D2791" s="34" t="str">
        <f t="array" ref="D2791">IFNA(_xlfn.XLOOKUP(C2791,Table_Tarikan_Warkah[Nomor Sertipikat],Table_Tarikan_Warkah[Nomor Tiket]),"")</f>
        <v>K/38/190625/1</v>
      </c>
      <c r="E2791" s="36">
        <f t="array" ref="E2791">IFNA(_xlfn.XLOOKUP(D2791,Table_Tarikan_Warkah[Nomor Tiket],Table_Tarikan_Warkah[Tanggal diserahkan kepada Validator]),"")</f>
        <v>45845.71197</v>
      </c>
      <c r="F2791" s="36" t="str">
        <f t="array" ref="F2791">IFNA(_xlfn.XLOOKUP(D2791,Table_Tarikan_Warkah[Nomor Tiket],Table_Tarikan_Warkah[Nama Petugas Warkah]),"")</f>
        <v>Berry</v>
      </c>
      <c r="G2791" s="39" t="str">
        <f t="array" ref="G2791">IFNA(_xlfn.XLOOKUP(D2791,Table_Tarikan_Warkah[Nomor Tiket],Table_Tarikan_Warkah[Jenis Permohonan]),"")</f>
        <v>BN JUAL BELI</v>
      </c>
      <c r="H2791" s="41" t="s">
        <v>2315</v>
      </c>
      <c r="I2791" s="49" t="s">
        <v>23</v>
      </c>
      <c r="J2791" s="36">
        <f t="shared" si="20"/>
        <v>45840.67284</v>
      </c>
      <c r="K2791" s="49" t="s">
        <v>2378</v>
      </c>
      <c r="L2791" s="49" t="s">
        <v>23</v>
      </c>
      <c r="M2791" s="36">
        <f t="shared" si="33"/>
        <v>45842.59843</v>
      </c>
      <c r="N2791" s="30" t="str">
        <f t="shared" si="34"/>
        <v>Selesai</v>
      </c>
      <c r="O2791" s="45">
        <f t="shared" si="23"/>
        <v>45842.59843</v>
      </c>
      <c r="P2791" s="47" t="b">
        <v>0</v>
      </c>
      <c r="Q2791" s="36" t="str">
        <f t="shared" si="24"/>
        <v/>
      </c>
      <c r="R2791" s="47" t="b">
        <v>0</v>
      </c>
      <c r="S2791" s="42" t="str">
        <f t="shared" si="28"/>
        <v/>
      </c>
      <c r="T2791" s="42"/>
    </row>
    <row r="2792" ht="22.5" customHeight="1">
      <c r="B2792" s="42">
        <f t="shared" si="7"/>
        <v>2786</v>
      </c>
      <c r="C2792" s="31" t="s">
        <v>2858</v>
      </c>
      <c r="D2792" s="34" t="str">
        <f t="array" ref="D2792">IFNA(_xlfn.XLOOKUP(C2792,Table_Tarikan_Warkah[Nomor Sertipikat],Table_Tarikan_Warkah[Nomor Tiket]),"")</f>
        <v>K/5/250625/1</v>
      </c>
      <c r="E2792" s="36" t="str">
        <f t="array" ref="E2792">IFNA(_xlfn.XLOOKUP(D2792,Table_Tarikan_Warkah[Nomor Tiket],Table_Tarikan_Warkah[Tanggal diserahkan kepada Validator]),"")</f>
        <v/>
      </c>
      <c r="F2792" s="36" t="str">
        <f t="array" ref="F2792">IFNA(_xlfn.XLOOKUP(D2792,Table_Tarikan_Warkah[Nomor Tiket],Table_Tarikan_Warkah[Nama Petugas Warkah]),"")</f>
        <v/>
      </c>
      <c r="G2792" s="39" t="str">
        <f t="array" ref="G2792">IFNA(_xlfn.XLOOKUP(D2792,Table_Tarikan_Warkah[Nomor Tiket],Table_Tarikan_Warkah[Jenis Permohonan]),"")</f>
        <v>PENINGKATAN HAK</v>
      </c>
      <c r="H2792" s="41" t="s">
        <v>2315</v>
      </c>
      <c r="I2792" s="49" t="s">
        <v>23</v>
      </c>
      <c r="J2792" s="36">
        <f t="shared" si="20"/>
        <v>45840.67315</v>
      </c>
      <c r="K2792" s="49" t="s">
        <v>2378</v>
      </c>
      <c r="L2792" s="49" t="s">
        <v>23</v>
      </c>
      <c r="M2792" s="36">
        <f t="shared" si="33"/>
        <v>45842.59488</v>
      </c>
      <c r="N2792" s="30" t="str">
        <f t="shared" si="34"/>
        <v>Selesai</v>
      </c>
      <c r="O2792" s="45">
        <f t="shared" si="23"/>
        <v>45842.59488</v>
      </c>
      <c r="P2792" s="47" t="b">
        <v>0</v>
      </c>
      <c r="Q2792" s="36" t="str">
        <f t="shared" si="24"/>
        <v/>
      </c>
      <c r="R2792" s="47" t="b">
        <v>0</v>
      </c>
      <c r="S2792" s="42" t="str">
        <f t="shared" si="28"/>
        <v/>
      </c>
      <c r="T2792" s="42"/>
    </row>
    <row r="2793" ht="22.5" customHeight="1">
      <c r="B2793" s="42">
        <f t="shared" si="7"/>
        <v>2787</v>
      </c>
      <c r="C2793" s="31" t="s">
        <v>2859</v>
      </c>
      <c r="D2793" s="34" t="str">
        <f t="array" ref="D2793">IFNA(_xlfn.XLOOKUP(C2793,Table_Tarikan_Warkah[Nomor Sertipikat],Table_Tarikan_Warkah[Nomor Tiket]),"")</f>
        <v>K/24/040625/1</v>
      </c>
      <c r="E2793" s="36">
        <f t="array" ref="E2793">IFNA(_xlfn.XLOOKUP(D2793,Table_Tarikan_Warkah[Nomor Tiket],Table_Tarikan_Warkah[Tanggal diserahkan kepada Validator]),"")</f>
        <v>45845.71126</v>
      </c>
      <c r="F2793" s="36" t="str">
        <f t="array" ref="F2793">IFNA(_xlfn.XLOOKUP(D2793,Table_Tarikan_Warkah[Nomor Tiket],Table_Tarikan_Warkah[Nama Petugas Warkah]),"")</f>
        <v>Berry</v>
      </c>
      <c r="G2793" s="39" t="str">
        <f t="array" ref="G2793">IFNA(_xlfn.XLOOKUP(D2793,Table_Tarikan_Warkah[Nomor Tiket],Table_Tarikan_Warkah[Jenis Permohonan]),"")</f>
        <v>BN JUAL BELI</v>
      </c>
      <c r="H2793" s="41" t="s">
        <v>2315</v>
      </c>
      <c r="I2793" s="49" t="s">
        <v>23</v>
      </c>
      <c r="J2793" s="36">
        <f t="shared" si="20"/>
        <v>45840.67331</v>
      </c>
      <c r="K2793" s="49" t="s">
        <v>2378</v>
      </c>
      <c r="L2793" s="49" t="s">
        <v>23</v>
      </c>
      <c r="M2793" s="36">
        <f t="shared" si="33"/>
        <v>45842.5951</v>
      </c>
      <c r="N2793" s="30" t="str">
        <f t="shared" si="34"/>
        <v>Selesai</v>
      </c>
      <c r="O2793" s="45">
        <f t="shared" si="23"/>
        <v>45842.5951</v>
      </c>
      <c r="P2793" s="47" t="b">
        <v>0</v>
      </c>
      <c r="Q2793" s="36" t="str">
        <f t="shared" si="24"/>
        <v/>
      </c>
      <c r="R2793" s="47" t="b">
        <v>0</v>
      </c>
      <c r="S2793" s="42" t="str">
        <f t="shared" si="28"/>
        <v/>
      </c>
      <c r="T2793" s="42"/>
    </row>
    <row r="2794" ht="22.5" customHeight="1">
      <c r="B2794" s="42">
        <f t="shared" si="7"/>
        <v>2788</v>
      </c>
      <c r="C2794" s="31" t="s">
        <v>2860</v>
      </c>
      <c r="D2794" s="34" t="str">
        <f t="array" ref="D2794">IFNA(_xlfn.XLOOKUP(C2794,Table_Tarikan_Warkah[Nomor Sertipikat],Table_Tarikan_Warkah[Nomor Tiket]),"")</f>
        <v>K/26/180625/1</v>
      </c>
      <c r="E2794" s="36">
        <f t="array" ref="E2794">IFNA(_xlfn.XLOOKUP(D2794,Table_Tarikan_Warkah[Nomor Tiket],Table_Tarikan_Warkah[Tanggal diserahkan kepada Validator]),"")</f>
        <v>45847.66519</v>
      </c>
      <c r="F2794" s="36" t="str">
        <f t="array" ref="F2794">IFNA(_xlfn.XLOOKUP(D2794,Table_Tarikan_Warkah[Nomor Tiket],Table_Tarikan_Warkah[Nama Petugas Warkah]),"")</f>
        <v>David</v>
      </c>
      <c r="G2794" s="39" t="str">
        <f t="array" ref="G2794">IFNA(_xlfn.XLOOKUP(D2794,Table_Tarikan_Warkah[Nomor Tiket],Table_Tarikan_Warkah[Jenis Permohonan]),"")</f>
        <v>Roya</v>
      </c>
      <c r="H2794" s="41" t="s">
        <v>2315</v>
      </c>
      <c r="I2794" s="49" t="s">
        <v>23</v>
      </c>
      <c r="J2794" s="36">
        <f t="shared" si="20"/>
        <v>45840.72196</v>
      </c>
      <c r="K2794" s="49" t="s">
        <v>2378</v>
      </c>
      <c r="L2794" s="49" t="s">
        <v>23</v>
      </c>
      <c r="M2794" s="36">
        <f t="shared" si="33"/>
        <v>45842.605</v>
      </c>
      <c r="N2794" s="30" t="str">
        <f t="shared" si="34"/>
        <v>Selesai</v>
      </c>
      <c r="O2794" s="45">
        <f t="shared" si="23"/>
        <v>45842.605</v>
      </c>
      <c r="P2794" s="47" t="b">
        <v>0</v>
      </c>
      <c r="Q2794" s="36" t="str">
        <f t="shared" si="24"/>
        <v/>
      </c>
      <c r="R2794" s="47" t="b">
        <v>0</v>
      </c>
      <c r="S2794" s="42" t="str">
        <f t="shared" si="28"/>
        <v/>
      </c>
      <c r="T2794" s="42"/>
    </row>
    <row r="2795" ht="22.5" customHeight="1">
      <c r="B2795" s="42">
        <f t="shared" si="7"/>
        <v>2789</v>
      </c>
      <c r="C2795" s="31" t="s">
        <v>2861</v>
      </c>
      <c r="D2795" s="34" t="str">
        <f t="array" ref="D2795">IFNA(_xlfn.XLOOKUP(C2795,Table_Tarikan_Warkah[Nomor Sertipikat],Table_Tarikan_Warkah[Nomor Tiket]),"")</f>
        <v>K/12/200625/1</v>
      </c>
      <c r="E2795" s="36" t="str">
        <f t="array" ref="E2795">IFNA(_xlfn.XLOOKUP(D2795,Table_Tarikan_Warkah[Nomor Tiket],Table_Tarikan_Warkah[Tanggal diserahkan kepada Validator]),"")</f>
        <v/>
      </c>
      <c r="F2795" s="36" t="str">
        <f t="array" ref="F2795">IFNA(_xlfn.XLOOKUP(D2795,Table_Tarikan_Warkah[Nomor Tiket],Table_Tarikan_Warkah[Nama Petugas Warkah]),"")</f>
        <v/>
      </c>
      <c r="G2795" s="39" t="str">
        <f t="array" ref="G2795">IFNA(_xlfn.XLOOKUP(D2795,Table_Tarikan_Warkah[Nomor Tiket],Table_Tarikan_Warkah[Jenis Permohonan]),"")</f>
        <v>PERUBAHAN HAK</v>
      </c>
      <c r="H2795" s="41" t="s">
        <v>20</v>
      </c>
      <c r="I2795" s="49" t="s">
        <v>23</v>
      </c>
      <c r="J2795" s="36">
        <f t="shared" si="20"/>
        <v>45841.3872</v>
      </c>
      <c r="K2795" s="49" t="s">
        <v>2378</v>
      </c>
      <c r="L2795" s="49" t="s">
        <v>23</v>
      </c>
      <c r="M2795" s="36">
        <f t="shared" si="33"/>
        <v>45842.59163</v>
      </c>
      <c r="N2795" s="30" t="str">
        <f t="shared" si="34"/>
        <v>Selesai</v>
      </c>
      <c r="O2795" s="45">
        <f t="shared" si="23"/>
        <v>45842.59163</v>
      </c>
      <c r="P2795" s="47" t="b">
        <v>0</v>
      </c>
      <c r="Q2795" s="36" t="str">
        <f t="shared" si="24"/>
        <v/>
      </c>
      <c r="R2795" s="47" t="b">
        <v>0</v>
      </c>
      <c r="S2795" s="42" t="str">
        <f t="shared" si="28"/>
        <v/>
      </c>
      <c r="T2795" s="42"/>
    </row>
    <row r="2796" ht="22.5" customHeight="1">
      <c r="B2796" s="42">
        <f t="shared" si="7"/>
        <v>2790</v>
      </c>
      <c r="C2796" s="31" t="s">
        <v>2862</v>
      </c>
      <c r="D2796" s="34" t="str">
        <f t="array" ref="D2796">IFNA(_xlfn.XLOOKUP(C2796,Table_Tarikan_Warkah[Nomor Sertipikat],Table_Tarikan_Warkah[Nomor Tiket]),"")</f>
        <v>K/13/040625/1</v>
      </c>
      <c r="E2796" s="36">
        <f t="array" ref="E2796">IFNA(_xlfn.XLOOKUP(D2796,Table_Tarikan_Warkah[Nomor Tiket],Table_Tarikan_Warkah[Tanggal diserahkan kepada Validator]),"")</f>
        <v>45845.70673</v>
      </c>
      <c r="F2796" s="36" t="str">
        <f t="array" ref="F2796">IFNA(_xlfn.XLOOKUP(D2796,Table_Tarikan_Warkah[Nomor Tiket],Table_Tarikan_Warkah[Nama Petugas Warkah]),"")</f>
        <v>Berry</v>
      </c>
      <c r="G2796" s="39" t="str">
        <f t="array" ref="G2796">IFNA(_xlfn.XLOOKUP(D2796,Table_Tarikan_Warkah[Nomor Tiket],Table_Tarikan_Warkah[Jenis Permohonan]),"")</f>
        <v>JUAL BELI</v>
      </c>
      <c r="H2796" s="41" t="s">
        <v>20</v>
      </c>
      <c r="I2796" s="49" t="s">
        <v>23</v>
      </c>
      <c r="J2796" s="36">
        <f t="shared" si="20"/>
        <v>45841.3872</v>
      </c>
      <c r="K2796" s="49" t="s">
        <v>2378</v>
      </c>
      <c r="L2796" s="49" t="s">
        <v>23</v>
      </c>
      <c r="M2796" s="36">
        <f t="shared" si="33"/>
        <v>45842.59702</v>
      </c>
      <c r="N2796" s="30" t="str">
        <f t="shared" si="34"/>
        <v>Selesai</v>
      </c>
      <c r="O2796" s="45">
        <f t="shared" si="23"/>
        <v>45842.59702</v>
      </c>
      <c r="P2796" s="47" t="b">
        <v>0</v>
      </c>
      <c r="Q2796" s="36" t="str">
        <f t="shared" si="24"/>
        <v/>
      </c>
      <c r="R2796" s="47" t="b">
        <v>0</v>
      </c>
      <c r="S2796" s="42" t="str">
        <f t="shared" si="28"/>
        <v/>
      </c>
      <c r="T2796" s="42"/>
    </row>
    <row r="2797" ht="22.5" customHeight="1">
      <c r="B2797" s="42">
        <f t="shared" si="7"/>
        <v>2791</v>
      </c>
      <c r="C2797" s="31" t="s">
        <v>2863</v>
      </c>
      <c r="D2797" s="34" t="str">
        <f t="array" ref="D2797">IFNA(_xlfn.XLOOKUP(C2797,Table_Tarikan_Warkah[Nomor Sertipikat],Table_Tarikan_Warkah[Nomor Tiket]),"")</f>
        <v>K/42/200625/1</v>
      </c>
      <c r="E2797" s="36">
        <f t="array" ref="E2797">IFNA(_xlfn.XLOOKUP(D2797,Table_Tarikan_Warkah[Nomor Tiket],Table_Tarikan_Warkah[Tanggal diserahkan kepada Validator]),"")</f>
        <v>45867.50827</v>
      </c>
      <c r="F2797" s="36" t="str">
        <f t="array" ref="F2797">IFNA(_xlfn.XLOOKUP(D2797,Table_Tarikan_Warkah[Nomor Tiket],Table_Tarikan_Warkah[Nama Petugas Warkah]),"")</f>
        <v>Berry</v>
      </c>
      <c r="G2797" s="39" t="str">
        <f t="array" ref="G2797">IFNA(_xlfn.XLOOKUP(D2797,Table_Tarikan_Warkah[Nomor Tiket],Table_Tarikan_Warkah[Jenis Permohonan]),"")</f>
        <v>ROYA</v>
      </c>
      <c r="H2797" s="41" t="s">
        <v>20</v>
      </c>
      <c r="I2797" s="49" t="s">
        <v>23</v>
      </c>
      <c r="J2797" s="36">
        <f t="shared" si="20"/>
        <v>45841.3872</v>
      </c>
      <c r="K2797" s="49" t="s">
        <v>2378</v>
      </c>
      <c r="L2797" s="49" t="s">
        <v>23</v>
      </c>
      <c r="M2797" s="36">
        <f t="shared" si="33"/>
        <v>45842.59519</v>
      </c>
      <c r="N2797" s="30" t="str">
        <f t="shared" si="34"/>
        <v>Selesai</v>
      </c>
      <c r="O2797" s="45">
        <f t="shared" si="23"/>
        <v>45842.59519</v>
      </c>
      <c r="P2797" s="47" t="b">
        <v>0</v>
      </c>
      <c r="Q2797" s="36" t="str">
        <f t="shared" si="24"/>
        <v/>
      </c>
      <c r="R2797" s="47" t="b">
        <v>0</v>
      </c>
      <c r="S2797" s="42" t="str">
        <f t="shared" si="28"/>
        <v/>
      </c>
      <c r="T2797" s="42"/>
    </row>
    <row r="2798" ht="22.5" customHeight="1">
      <c r="B2798" s="42">
        <f t="shared" si="7"/>
        <v>2792</v>
      </c>
      <c r="C2798" s="31" t="s">
        <v>2864</v>
      </c>
      <c r="D2798" s="34" t="str">
        <f t="array" ref="D2798">IFNA(_xlfn.XLOOKUP(C2798,Table_Tarikan_Warkah[Nomor Sertipikat],Table_Tarikan_Warkah[Nomor Tiket]),"")</f>
        <v>K/27/200625/1</v>
      </c>
      <c r="E2798" s="36">
        <f t="array" ref="E2798">IFNA(_xlfn.XLOOKUP(D2798,Table_Tarikan_Warkah[Nomor Tiket],Table_Tarikan_Warkah[Tanggal diserahkan kepada Validator]),"")</f>
        <v>45845.70194</v>
      </c>
      <c r="F2798" s="36" t="str">
        <f t="array" ref="F2798">IFNA(_xlfn.XLOOKUP(D2798,Table_Tarikan_Warkah[Nomor Tiket],Table_Tarikan_Warkah[Nama Petugas Warkah]),"")</f>
        <v>Berry</v>
      </c>
      <c r="G2798" s="39" t="str">
        <f t="array" ref="G2798">IFNA(_xlfn.XLOOKUP(D2798,Table_Tarikan_Warkah[Nomor Tiket],Table_Tarikan_Warkah[Jenis Permohonan]),"")</f>
        <v>JUAL BELI</v>
      </c>
      <c r="H2798" s="41" t="s">
        <v>20</v>
      </c>
      <c r="I2798" s="49" t="s">
        <v>23</v>
      </c>
      <c r="J2798" s="36">
        <f t="shared" si="20"/>
        <v>45841.3872</v>
      </c>
      <c r="K2798" s="49" t="s">
        <v>2378</v>
      </c>
      <c r="L2798" s="49" t="s">
        <v>23</v>
      </c>
      <c r="M2798" s="36">
        <f t="shared" si="33"/>
        <v>45842.61953</v>
      </c>
      <c r="N2798" s="30" t="str">
        <f t="shared" si="34"/>
        <v>Selesai</v>
      </c>
      <c r="O2798" s="45">
        <f t="shared" si="23"/>
        <v>45842.61953</v>
      </c>
      <c r="P2798" s="47" t="b">
        <v>0</v>
      </c>
      <c r="Q2798" s="36" t="str">
        <f t="shared" si="24"/>
        <v/>
      </c>
      <c r="R2798" s="47" t="b">
        <v>0</v>
      </c>
      <c r="S2798" s="42" t="str">
        <f t="shared" si="28"/>
        <v/>
      </c>
      <c r="T2798" s="42"/>
    </row>
    <row r="2799" ht="22.5" customHeight="1">
      <c r="B2799" s="42">
        <f t="shared" si="7"/>
        <v>2793</v>
      </c>
      <c r="C2799" s="31" t="s">
        <v>2865</v>
      </c>
      <c r="D2799" s="34" t="str">
        <f t="array" ref="D2799">IFNA(_xlfn.XLOOKUP(C2799,Table_Tarikan_Warkah[Nomor Sertipikat],Table_Tarikan_Warkah[Nomor Tiket]),"")</f>
        <v>K/34/180625/2</v>
      </c>
      <c r="E2799" s="36">
        <f t="array" ref="E2799">IFNA(_xlfn.XLOOKUP(D2799,Table_Tarikan_Warkah[Nomor Tiket],Table_Tarikan_Warkah[Tanggal diserahkan kepada Validator]),"")</f>
        <v>45845.70673</v>
      </c>
      <c r="F2799" s="36" t="str">
        <f t="array" ref="F2799">IFNA(_xlfn.XLOOKUP(D2799,Table_Tarikan_Warkah[Nomor Tiket],Table_Tarikan_Warkah[Nama Petugas Warkah]),"")</f>
        <v>Berry</v>
      </c>
      <c r="G2799" s="39" t="str">
        <f t="array" ref="G2799">IFNA(_xlfn.XLOOKUP(D2799,Table_Tarikan_Warkah[Nomor Tiket],Table_Tarikan_Warkah[Jenis Permohonan]),"")</f>
        <v>JUAL BELI</v>
      </c>
      <c r="H2799" s="41" t="s">
        <v>20</v>
      </c>
      <c r="I2799" s="49" t="s">
        <v>23</v>
      </c>
      <c r="J2799" s="36">
        <f t="shared" si="20"/>
        <v>45841.3872</v>
      </c>
      <c r="K2799" s="49" t="s">
        <v>2378</v>
      </c>
      <c r="L2799" s="49" t="s">
        <v>23</v>
      </c>
      <c r="M2799" s="36">
        <f t="shared" si="33"/>
        <v>45842.59658</v>
      </c>
      <c r="N2799" s="30" t="str">
        <f t="shared" si="34"/>
        <v>Selesai</v>
      </c>
      <c r="O2799" s="45">
        <f t="shared" si="23"/>
        <v>45842.59658</v>
      </c>
      <c r="P2799" s="47" t="b">
        <v>0</v>
      </c>
      <c r="Q2799" s="36" t="str">
        <f t="shared" si="24"/>
        <v/>
      </c>
      <c r="R2799" s="47" t="b">
        <v>0</v>
      </c>
      <c r="S2799" s="42" t="str">
        <f t="shared" si="28"/>
        <v/>
      </c>
      <c r="T2799" s="42"/>
    </row>
    <row r="2800" ht="22.5" customHeight="1">
      <c r="B2800" s="42">
        <f t="shared" si="7"/>
        <v>2794</v>
      </c>
      <c r="C2800" s="31" t="s">
        <v>2866</v>
      </c>
      <c r="D2800" s="34" t="str">
        <f t="array" ref="D2800">IFNA(_xlfn.XLOOKUP(C2800,Table_Tarikan_Warkah[Nomor Sertipikat],Table_Tarikan_Warkah[Nomor Tiket]),"")</f>
        <v>K/5/270525/2</v>
      </c>
      <c r="E2800" s="36">
        <f t="array" ref="E2800">IFNA(_xlfn.XLOOKUP(D2800,Table_Tarikan_Warkah[Nomor Tiket],Table_Tarikan_Warkah[Tanggal diserahkan kepada Validator]),"")</f>
        <v>45845.67063</v>
      </c>
      <c r="F2800" s="36" t="str">
        <f t="array" ref="F2800">IFNA(_xlfn.XLOOKUP(D2800,Table_Tarikan_Warkah[Nomor Tiket],Table_Tarikan_Warkah[Nama Petugas Warkah]),"")</f>
        <v>Berry</v>
      </c>
      <c r="G2800" s="39" t="str">
        <f t="array" ref="G2800">IFNA(_xlfn.XLOOKUP(D2800,Table_Tarikan_Warkah[Nomor Tiket],Table_Tarikan_Warkah[Jenis Permohonan]),"")</f>
        <v>BN Jual Beli</v>
      </c>
      <c r="H2800" s="41" t="s">
        <v>20</v>
      </c>
      <c r="I2800" s="49" t="s">
        <v>23</v>
      </c>
      <c r="J2800" s="36">
        <f t="shared" si="20"/>
        <v>45841.3872</v>
      </c>
      <c r="K2800" s="49" t="s">
        <v>2378</v>
      </c>
      <c r="L2800" s="49" t="s">
        <v>23</v>
      </c>
      <c r="M2800" s="36">
        <f t="shared" si="33"/>
        <v>45842.59649</v>
      </c>
      <c r="N2800" s="30" t="str">
        <f t="shared" si="34"/>
        <v>Selesai</v>
      </c>
      <c r="O2800" s="45">
        <f t="shared" si="23"/>
        <v>45842.59649</v>
      </c>
      <c r="P2800" s="47" t="b">
        <v>0</v>
      </c>
      <c r="Q2800" s="36" t="str">
        <f t="shared" si="24"/>
        <v/>
      </c>
      <c r="R2800" s="47" t="b">
        <v>0</v>
      </c>
      <c r="S2800" s="42" t="str">
        <f t="shared" si="28"/>
        <v/>
      </c>
      <c r="T2800" s="42"/>
    </row>
    <row r="2801" ht="22.5" customHeight="1">
      <c r="B2801" s="42">
        <f t="shared" si="7"/>
        <v>2795</v>
      </c>
      <c r="C2801" s="31" t="s">
        <v>2867</v>
      </c>
      <c r="D2801" s="34" t="str">
        <f t="array" ref="D2801">IFNA(_xlfn.XLOOKUP(C2801,Table_Tarikan_Warkah[Nomor Sertipikat],Table_Tarikan_Warkah[Nomor Tiket]),"")</f>
        <v>K/3/160625/1</v>
      </c>
      <c r="E2801" s="36">
        <f t="array" ref="E2801">IFNA(_xlfn.XLOOKUP(D2801,Table_Tarikan_Warkah[Nomor Tiket],Table_Tarikan_Warkah[Tanggal diserahkan kepada Validator]),"")</f>
        <v>45849.47048</v>
      </c>
      <c r="F2801" s="36" t="str">
        <f t="array" ref="F2801">IFNA(_xlfn.XLOOKUP(D2801,Table_Tarikan_Warkah[Nomor Tiket],Table_Tarikan_Warkah[Nama Petugas Warkah]),"")</f>
        <v>David</v>
      </c>
      <c r="G2801" s="39" t="str">
        <f t="array" ref="G2801">IFNA(_xlfn.XLOOKUP(D2801,Table_Tarikan_Warkah[Nomor Tiket],Table_Tarikan_Warkah[Jenis Permohonan]),"")</f>
        <v>Roya</v>
      </c>
      <c r="H2801" s="41" t="s">
        <v>20</v>
      </c>
      <c r="I2801" s="49" t="s">
        <v>23</v>
      </c>
      <c r="J2801" s="36">
        <f t="shared" si="20"/>
        <v>45841.39023</v>
      </c>
      <c r="K2801" s="49" t="s">
        <v>2378</v>
      </c>
      <c r="L2801" s="49" t="s">
        <v>23</v>
      </c>
      <c r="M2801" s="36">
        <f t="shared" si="33"/>
        <v>45842.5964</v>
      </c>
      <c r="N2801" s="30" t="str">
        <f t="shared" si="34"/>
        <v>Selesai</v>
      </c>
      <c r="O2801" s="45">
        <f t="shared" si="23"/>
        <v>45842.5964</v>
      </c>
      <c r="P2801" s="47" t="b">
        <v>0</v>
      </c>
      <c r="Q2801" s="36" t="str">
        <f t="shared" si="24"/>
        <v/>
      </c>
      <c r="R2801" s="47" t="b">
        <v>0</v>
      </c>
      <c r="S2801" s="42" t="str">
        <f t="shared" si="28"/>
        <v/>
      </c>
      <c r="T2801" s="42"/>
    </row>
    <row r="2802" ht="22.5" customHeight="1">
      <c r="B2802" s="42">
        <f t="shared" si="7"/>
        <v>2796</v>
      </c>
      <c r="C2802" s="31" t="s">
        <v>2868</v>
      </c>
      <c r="D2802" s="34" t="str">
        <f t="array" ref="D2802">IFNA(_xlfn.XLOOKUP(C2802,Table_Tarikan_Warkah[Nomor Sertipikat],Table_Tarikan_Warkah[Nomor Tiket]),"")</f>
        <v>K/9/170625/1</v>
      </c>
      <c r="E2802" s="36">
        <f t="array" ref="E2802">IFNA(_xlfn.XLOOKUP(D2802,Table_Tarikan_Warkah[Nomor Tiket],Table_Tarikan_Warkah[Tanggal diserahkan kepada Validator]),"")</f>
        <v>45845.71164</v>
      </c>
      <c r="F2802" s="36" t="str">
        <f t="array" ref="F2802">IFNA(_xlfn.XLOOKUP(D2802,Table_Tarikan_Warkah[Nomor Tiket],Table_Tarikan_Warkah[Nama Petugas Warkah]),"")</f>
        <v>Berry</v>
      </c>
      <c r="G2802" s="39" t="str">
        <f t="array" ref="G2802">IFNA(_xlfn.XLOOKUP(D2802,Table_Tarikan_Warkah[Nomor Tiket],Table_Tarikan_Warkah[Jenis Permohonan]),"")</f>
        <v>BN JUAL BELI</v>
      </c>
      <c r="H2802" s="41" t="s">
        <v>20</v>
      </c>
      <c r="I2802" s="49" t="s">
        <v>23</v>
      </c>
      <c r="J2802" s="36">
        <f t="shared" si="20"/>
        <v>45841.39034</v>
      </c>
      <c r="K2802" s="49" t="s">
        <v>2378</v>
      </c>
      <c r="L2802" s="49" t="s">
        <v>23</v>
      </c>
      <c r="M2802" s="36">
        <f t="shared" si="33"/>
        <v>45842.59631</v>
      </c>
      <c r="N2802" s="30" t="str">
        <f t="shared" si="34"/>
        <v>Selesai</v>
      </c>
      <c r="O2802" s="45">
        <f t="shared" si="23"/>
        <v>45842.59631</v>
      </c>
      <c r="P2802" s="47" t="b">
        <v>0</v>
      </c>
      <c r="Q2802" s="36" t="str">
        <f t="shared" si="24"/>
        <v/>
      </c>
      <c r="R2802" s="47" t="b">
        <v>0</v>
      </c>
      <c r="S2802" s="42" t="str">
        <f t="shared" si="28"/>
        <v/>
      </c>
      <c r="T2802" s="42"/>
    </row>
    <row r="2803" ht="22.5" customHeight="1">
      <c r="B2803" s="42">
        <f t="shared" si="7"/>
        <v>2797</v>
      </c>
      <c r="C2803" s="31" t="s">
        <v>2869</v>
      </c>
      <c r="D2803" s="34" t="str">
        <f t="array" ref="D2803">IFNA(_xlfn.XLOOKUP(C2803,Table_Tarikan_Warkah[Nomor Sertipikat],Table_Tarikan_Warkah[Nomor Tiket]),"")</f>
        <v>K/57/050625/1</v>
      </c>
      <c r="E2803" s="36">
        <f t="array" ref="E2803">IFNA(_xlfn.XLOOKUP(D2803,Table_Tarikan_Warkah[Nomor Tiket],Table_Tarikan_Warkah[Tanggal diserahkan kepada Validator]),"")</f>
        <v>45845.71147</v>
      </c>
      <c r="F2803" s="36" t="str">
        <f t="array" ref="F2803">IFNA(_xlfn.XLOOKUP(D2803,Table_Tarikan_Warkah[Nomor Tiket],Table_Tarikan_Warkah[Nama Petugas Warkah]),"")</f>
        <v>Berry</v>
      </c>
      <c r="G2803" s="39" t="str">
        <f t="array" ref="G2803">IFNA(_xlfn.XLOOKUP(D2803,Table_Tarikan_Warkah[Nomor Tiket],Table_Tarikan_Warkah[Jenis Permohonan]),"")</f>
        <v>BN JUAL BELI</v>
      </c>
      <c r="H2803" s="41" t="s">
        <v>20</v>
      </c>
      <c r="I2803" s="49" t="s">
        <v>23</v>
      </c>
      <c r="J2803" s="36">
        <f t="shared" si="20"/>
        <v>45841.39048</v>
      </c>
      <c r="K2803" s="49" t="s">
        <v>2378</v>
      </c>
      <c r="L2803" s="49" t="s">
        <v>23</v>
      </c>
      <c r="M2803" s="36">
        <f t="shared" si="33"/>
        <v>45842.5962</v>
      </c>
      <c r="N2803" s="30" t="str">
        <f t="shared" si="34"/>
        <v>Selesai</v>
      </c>
      <c r="O2803" s="45">
        <f t="shared" si="23"/>
        <v>45842.5962</v>
      </c>
      <c r="P2803" s="47" t="b">
        <v>0</v>
      </c>
      <c r="Q2803" s="36" t="str">
        <f t="shared" si="24"/>
        <v/>
      </c>
      <c r="R2803" s="47" t="b">
        <v>0</v>
      </c>
      <c r="S2803" s="42" t="str">
        <f t="shared" si="28"/>
        <v/>
      </c>
      <c r="T2803" s="42"/>
    </row>
    <row r="2804" ht="22.5" customHeight="1">
      <c r="B2804" s="42">
        <f t="shared" si="7"/>
        <v>2798</v>
      </c>
      <c r="C2804" s="31" t="s">
        <v>2870</v>
      </c>
      <c r="D2804" s="34" t="str">
        <f t="array" ref="D2804">IFNA(_xlfn.XLOOKUP(C2804,Table_Tarikan_Warkah[Nomor Sertipikat],Table_Tarikan_Warkah[Nomor Tiket]),"")</f>
        <v>K/37/040625/1</v>
      </c>
      <c r="E2804" s="36" t="str">
        <f t="array" ref="E2804">IFNA(_xlfn.XLOOKUP(D2804,Table_Tarikan_Warkah[Nomor Tiket],Table_Tarikan_Warkah[Tanggal diserahkan kepada Validator]),"")</f>
        <v/>
      </c>
      <c r="F2804" s="36" t="str">
        <f t="array" ref="F2804">IFNA(_xlfn.XLOOKUP(D2804,Table_Tarikan_Warkah[Nomor Tiket],Table_Tarikan_Warkah[Nama Petugas Warkah]),"")</f>
        <v/>
      </c>
      <c r="G2804" s="39" t="str">
        <f t="array" ref="G2804">IFNA(_xlfn.XLOOKUP(D2804,Table_Tarikan_Warkah[Nomor Tiket],Table_Tarikan_Warkah[Jenis Permohonan]),"")</f>
        <v>PENINGKATAN HAK</v>
      </c>
      <c r="H2804" s="41" t="s">
        <v>20</v>
      </c>
      <c r="I2804" s="49" t="s">
        <v>23</v>
      </c>
      <c r="J2804" s="36">
        <f t="shared" si="20"/>
        <v>45841.39065</v>
      </c>
      <c r="K2804" s="49" t="s">
        <v>2378</v>
      </c>
      <c r="L2804" s="49" t="s">
        <v>23</v>
      </c>
      <c r="M2804" s="36">
        <f t="shared" si="33"/>
        <v>45842.59398</v>
      </c>
      <c r="N2804" s="30" t="str">
        <f t="shared" si="34"/>
        <v>Selesai</v>
      </c>
      <c r="O2804" s="45">
        <f t="shared" si="23"/>
        <v>45842.59398</v>
      </c>
      <c r="P2804" s="47" t="b">
        <v>0</v>
      </c>
      <c r="Q2804" s="36" t="str">
        <f t="shared" si="24"/>
        <v/>
      </c>
      <c r="R2804" s="47" t="b">
        <v>0</v>
      </c>
      <c r="S2804" s="42" t="str">
        <f t="shared" si="28"/>
        <v/>
      </c>
      <c r="T2804" s="42"/>
    </row>
    <row r="2805" ht="22.5" customHeight="1">
      <c r="B2805" s="42">
        <f t="shared" si="7"/>
        <v>2799</v>
      </c>
      <c r="C2805" s="31" t="s">
        <v>2871</v>
      </c>
      <c r="D2805" s="34" t="str">
        <f t="array" ref="D2805">IFNA(_xlfn.XLOOKUP(C2805,Table_Tarikan_Warkah[Nomor Sertipikat],Table_Tarikan_Warkah[Nomor Tiket]),"")</f>
        <v>K/3/170125/1</v>
      </c>
      <c r="E2805" s="36" t="str">
        <f t="array" ref="E2805">IFNA(_xlfn.XLOOKUP(D2805,Table_Tarikan_Warkah[Nomor Tiket],Table_Tarikan_Warkah[Tanggal diserahkan kepada Validator]),"")</f>
        <v/>
      </c>
      <c r="F2805" s="36" t="str">
        <f t="array" ref="F2805">IFNA(_xlfn.XLOOKUP(D2805,Table_Tarikan_Warkah[Nomor Tiket],Table_Tarikan_Warkah[Nama Petugas Warkah]),"")</f>
        <v>David</v>
      </c>
      <c r="G2805" s="39" t="str">
        <f t="array" ref="G2805">IFNA(_xlfn.XLOOKUP(D2805,Table_Tarikan_Warkah[Nomor Tiket],Table_Tarikan_Warkah[Jenis Permohonan]),"")</f>
        <v>PENATAAN BATAS</v>
      </c>
      <c r="H2805" s="41" t="s">
        <v>20</v>
      </c>
      <c r="I2805" s="49" t="s">
        <v>23</v>
      </c>
      <c r="J2805" s="36">
        <f t="shared" si="20"/>
        <v>45841.39078</v>
      </c>
      <c r="K2805" s="49" t="s">
        <v>2378</v>
      </c>
      <c r="L2805" s="49" t="s">
        <v>23</v>
      </c>
      <c r="M2805" s="36">
        <f t="shared" si="33"/>
        <v>45842.59579</v>
      </c>
      <c r="N2805" s="30" t="str">
        <f t="shared" si="34"/>
        <v>Selesai</v>
      </c>
      <c r="O2805" s="45">
        <f t="shared" si="23"/>
        <v>45842.59579</v>
      </c>
      <c r="P2805" s="47" t="b">
        <v>0</v>
      </c>
      <c r="Q2805" s="36" t="str">
        <f t="shared" si="24"/>
        <v/>
      </c>
      <c r="R2805" s="47" t="b">
        <v>0</v>
      </c>
      <c r="S2805" s="42" t="str">
        <f t="shared" si="28"/>
        <v/>
      </c>
      <c r="T2805" s="42"/>
    </row>
    <row r="2806" ht="22.5" customHeight="1">
      <c r="B2806" s="42">
        <f t="shared" si="7"/>
        <v>2800</v>
      </c>
      <c r="C2806" s="31" t="s">
        <v>2872</v>
      </c>
      <c r="D2806" s="34" t="str">
        <f t="array" ref="D2806">IFNA(_xlfn.XLOOKUP(C2806,Table_Tarikan_Warkah[Nomor Sertipikat],Table_Tarikan_Warkah[Nomor Tiket]),"")</f>
        <v/>
      </c>
      <c r="E2806" s="36" t="str">
        <f t="array" ref="E2806">IFNA(_xlfn.XLOOKUP(D2806,Table_Tarikan_Warkah[Nomor Tiket],Table_Tarikan_Warkah[Tanggal diserahkan kepada Validator]),"")</f>
        <v/>
      </c>
      <c r="F2806" s="36" t="str">
        <f t="array" ref="F2806">IFNA(_xlfn.XLOOKUP(D2806,Table_Tarikan_Warkah[Nomor Tiket],Table_Tarikan_Warkah[Nama Petugas Warkah]),"")</f>
        <v/>
      </c>
      <c r="G2806" s="39" t="str">
        <f t="array" ref="G2806">IFNA(_xlfn.XLOOKUP(D2806,Table_Tarikan_Warkah[Nomor Tiket],Table_Tarikan_Warkah[Jenis Permohonan]),"")</f>
        <v/>
      </c>
      <c r="H2806" s="41" t="s">
        <v>20</v>
      </c>
      <c r="I2806" s="49" t="s">
        <v>23</v>
      </c>
      <c r="J2806" s="36">
        <f t="shared" si="20"/>
        <v>45841.39099</v>
      </c>
      <c r="K2806" s="49" t="s">
        <v>2378</v>
      </c>
      <c r="L2806" s="49" t="s">
        <v>23</v>
      </c>
      <c r="M2806" s="36">
        <f t="shared" si="33"/>
        <v>45842.59562</v>
      </c>
      <c r="N2806" s="30" t="str">
        <f t="shared" si="34"/>
        <v/>
      </c>
      <c r="O2806" s="39" t="str">
        <f t="shared" si="23"/>
        <v/>
      </c>
      <c r="P2806" s="47" t="b">
        <v>0</v>
      </c>
      <c r="Q2806" s="36" t="str">
        <f t="shared" si="24"/>
        <v/>
      </c>
      <c r="R2806" s="47" t="b">
        <v>0</v>
      </c>
      <c r="S2806" s="42" t="str">
        <f t="shared" si="28"/>
        <v/>
      </c>
      <c r="T2806" s="42"/>
    </row>
    <row r="2807" ht="22.5" customHeight="1">
      <c r="B2807" s="42">
        <f t="shared" si="7"/>
        <v>2801</v>
      </c>
      <c r="C2807" s="31" t="s">
        <v>2873</v>
      </c>
      <c r="D2807" s="34" t="str">
        <f t="array" ref="D2807">IFNA(_xlfn.XLOOKUP(C2807,Table_Tarikan_Warkah[Nomor Sertipikat],Table_Tarikan_Warkah[Nomor Tiket]),"")</f>
        <v>K/41/120625/1</v>
      </c>
      <c r="E2807" s="36">
        <f t="array" ref="E2807">IFNA(_xlfn.XLOOKUP(D2807,Table_Tarikan_Warkah[Nomor Tiket],Table_Tarikan_Warkah[Tanggal diserahkan kepada Validator]),"")</f>
        <v>45845.71786</v>
      </c>
      <c r="F2807" s="36" t="str">
        <f t="array" ref="F2807">IFNA(_xlfn.XLOOKUP(D2807,Table_Tarikan_Warkah[Nomor Tiket],Table_Tarikan_Warkah[Nama Petugas Warkah]),"")</f>
        <v>Berry</v>
      </c>
      <c r="G2807" s="39" t="str">
        <f t="array" ref="G2807">IFNA(_xlfn.XLOOKUP(D2807,Table_Tarikan_Warkah[Nomor Tiket],Table_Tarikan_Warkah[Jenis Permohonan]),"")</f>
        <v>BN JUAL BELI</v>
      </c>
      <c r="H2807" s="41" t="s">
        <v>20</v>
      </c>
      <c r="I2807" s="49" t="s">
        <v>23</v>
      </c>
      <c r="J2807" s="36">
        <f t="shared" si="20"/>
        <v>45841.3911</v>
      </c>
      <c r="K2807" s="49" t="s">
        <v>2378</v>
      </c>
      <c r="L2807" s="49" t="s">
        <v>23</v>
      </c>
      <c r="M2807" s="36">
        <f t="shared" si="33"/>
        <v>45842.59569</v>
      </c>
      <c r="N2807" s="30" t="str">
        <f t="shared" si="34"/>
        <v>Selesai</v>
      </c>
      <c r="O2807" s="45">
        <f t="shared" si="23"/>
        <v>45842.59569</v>
      </c>
      <c r="P2807" s="47" t="b">
        <v>0</v>
      </c>
      <c r="Q2807" s="36" t="str">
        <f t="shared" si="24"/>
        <v/>
      </c>
      <c r="R2807" s="47" t="b">
        <v>0</v>
      </c>
      <c r="S2807" s="42" t="str">
        <f t="shared" si="28"/>
        <v/>
      </c>
      <c r="T2807" s="42"/>
    </row>
    <row r="2808" ht="22.5" customHeight="1">
      <c r="B2808" s="42">
        <f t="shared" si="7"/>
        <v>2802</v>
      </c>
      <c r="C2808" s="31" t="s">
        <v>2874</v>
      </c>
      <c r="D2808" s="34" t="str">
        <f t="array" ref="D2808">IFNA(_xlfn.XLOOKUP(C2808,Table_Tarikan_Warkah[Nomor Sertipikat],Table_Tarikan_Warkah[Nomor Tiket]),"")</f>
        <v>K/1/180625/1</v>
      </c>
      <c r="E2808" s="36">
        <f t="array" ref="E2808">IFNA(_xlfn.XLOOKUP(D2808,Table_Tarikan_Warkah[Nomor Tiket],Table_Tarikan_Warkah[Tanggal diserahkan kepada Validator]),"")</f>
        <v>45848.57759</v>
      </c>
      <c r="F2808" s="36" t="str">
        <f t="array" ref="F2808">IFNA(_xlfn.XLOOKUP(D2808,Table_Tarikan_Warkah[Nomor Tiket],Table_Tarikan_Warkah[Nama Petugas Warkah]),"")</f>
        <v>David</v>
      </c>
      <c r="G2808" s="39" t="str">
        <f t="array" ref="G2808">IFNA(_xlfn.XLOOKUP(D2808,Table_Tarikan_Warkah[Nomor Tiket],Table_Tarikan_Warkah[Jenis Permohonan]),"")</f>
        <v>BN Jual Beli</v>
      </c>
      <c r="H2808" s="41" t="s">
        <v>20</v>
      </c>
      <c r="I2808" s="49" t="s">
        <v>23</v>
      </c>
      <c r="J2808" s="36">
        <f t="shared" si="20"/>
        <v>45841.3912</v>
      </c>
      <c r="K2808" s="49" t="s">
        <v>2378</v>
      </c>
      <c r="L2808" s="49" t="s">
        <v>23</v>
      </c>
      <c r="M2808" s="36">
        <f t="shared" si="33"/>
        <v>45842.59549</v>
      </c>
      <c r="N2808" s="30" t="str">
        <f t="shared" si="34"/>
        <v>Selesai</v>
      </c>
      <c r="O2808" s="45">
        <f t="shared" si="23"/>
        <v>45842.59549</v>
      </c>
      <c r="P2808" s="47" t="b">
        <v>0</v>
      </c>
      <c r="Q2808" s="36" t="str">
        <f t="shared" si="24"/>
        <v/>
      </c>
      <c r="R2808" s="47" t="b">
        <v>0</v>
      </c>
      <c r="S2808" s="42" t="str">
        <f t="shared" si="28"/>
        <v/>
      </c>
      <c r="T2808" s="42"/>
    </row>
    <row r="2809" ht="22.5" customHeight="1">
      <c r="B2809" s="42">
        <f t="shared" si="7"/>
        <v>2803</v>
      </c>
      <c r="C2809" s="31" t="s">
        <v>2875</v>
      </c>
      <c r="D2809" s="34" t="str">
        <f t="array" ref="D2809">IFNA(_xlfn.XLOOKUP(C2809,Table_Tarikan_Warkah[Nomor Sertipikat],Table_Tarikan_Warkah[Nomor Tiket]),"")</f>
        <v>L/31/270525/1</v>
      </c>
      <c r="E2809" s="36">
        <f t="array" ref="E2809">IFNA(_xlfn.XLOOKUP(D2809,Table_Tarikan_Warkah[Nomor Tiket],Table_Tarikan_Warkah[Tanggal diserahkan kepada Validator]),"")</f>
        <v>45847.50514</v>
      </c>
      <c r="F2809" s="36" t="str">
        <f t="array" ref="F2809">IFNA(_xlfn.XLOOKUP(D2809,Table_Tarikan_Warkah[Nomor Tiket],Table_Tarikan_Warkah[Nama Petugas Warkah]),"")</f>
        <v>Berry</v>
      </c>
      <c r="G2809" s="39" t="str">
        <f t="array" ref="G2809">IFNA(_xlfn.XLOOKUP(D2809,Table_Tarikan_Warkah[Nomor Tiket],Table_Tarikan_Warkah[Jenis Permohonan]),"")</f>
        <v>BN WARIS</v>
      </c>
      <c r="H2809" s="41" t="s">
        <v>20</v>
      </c>
      <c r="I2809" s="49" t="s">
        <v>23</v>
      </c>
      <c r="J2809" s="36">
        <f t="shared" si="20"/>
        <v>45841.39131</v>
      </c>
      <c r="K2809" s="49" t="s">
        <v>2378</v>
      </c>
      <c r="L2809" s="49" t="s">
        <v>23</v>
      </c>
      <c r="M2809" s="36">
        <f t="shared" si="33"/>
        <v>45842.59541</v>
      </c>
      <c r="N2809" s="30" t="str">
        <f t="shared" si="34"/>
        <v>Selesai</v>
      </c>
      <c r="O2809" s="45">
        <f t="shared" si="23"/>
        <v>45842.59541</v>
      </c>
      <c r="P2809" s="47" t="b">
        <v>0</v>
      </c>
      <c r="Q2809" s="36" t="str">
        <f t="shared" si="24"/>
        <v/>
      </c>
      <c r="R2809" s="47" t="b">
        <v>0</v>
      </c>
      <c r="S2809" s="42" t="str">
        <f t="shared" si="28"/>
        <v/>
      </c>
      <c r="T2809" s="42"/>
    </row>
    <row r="2810" ht="22.5" customHeight="1">
      <c r="B2810" s="42">
        <f t="shared" si="7"/>
        <v>2804</v>
      </c>
      <c r="C2810" s="31" t="s">
        <v>2876</v>
      </c>
      <c r="D2810" s="34" t="str">
        <f t="array" ref="D2810">IFNA(_xlfn.XLOOKUP(C2810,Table_Tarikan_Warkah[Nomor Sertipikat],Table_Tarikan_Warkah[Nomor Tiket]),"")</f>
        <v>K/6/180625/2</v>
      </c>
      <c r="E2810" s="36">
        <f t="array" ref="E2810">IFNA(_xlfn.XLOOKUP(D2810,Table_Tarikan_Warkah[Nomor Tiket],Table_Tarikan_Warkah[Tanggal diserahkan kepada Validator]),"")</f>
        <v>45845.66022</v>
      </c>
      <c r="F2810" s="36" t="str">
        <f t="array" ref="F2810">IFNA(_xlfn.XLOOKUP(D2810,Table_Tarikan_Warkah[Nomor Tiket],Table_Tarikan_Warkah[Nama Petugas Warkah]),"")</f>
        <v>Berry</v>
      </c>
      <c r="G2810" s="39" t="str">
        <f t="array" ref="G2810">IFNA(_xlfn.XLOOKUP(D2810,Table_Tarikan_Warkah[Nomor Tiket],Table_Tarikan_Warkah[Jenis Permohonan]),"")</f>
        <v>BN Hibah</v>
      </c>
      <c r="H2810" s="41" t="s">
        <v>2315</v>
      </c>
      <c r="I2810" s="49" t="s">
        <v>23</v>
      </c>
      <c r="J2810" s="36">
        <f t="shared" si="20"/>
        <v>45841.73529</v>
      </c>
      <c r="K2810" s="49" t="s">
        <v>2378</v>
      </c>
      <c r="L2810" s="49" t="s">
        <v>23</v>
      </c>
      <c r="M2810" s="36">
        <f t="shared" si="33"/>
        <v>45842.59226</v>
      </c>
      <c r="N2810" s="30" t="str">
        <f t="shared" si="34"/>
        <v>Selesai</v>
      </c>
      <c r="O2810" s="45">
        <f t="shared" si="23"/>
        <v>45842.59226</v>
      </c>
      <c r="P2810" s="47" t="b">
        <v>0</v>
      </c>
      <c r="Q2810" s="36" t="str">
        <f t="shared" si="24"/>
        <v/>
      </c>
      <c r="R2810" s="47" t="b">
        <v>0</v>
      </c>
      <c r="S2810" s="42" t="str">
        <f t="shared" si="28"/>
        <v/>
      </c>
      <c r="T2810" s="42"/>
    </row>
    <row r="2811" ht="22.5" customHeight="1">
      <c r="B2811" s="42">
        <f t="shared" si="7"/>
        <v>2805</v>
      </c>
      <c r="C2811" s="31" t="s">
        <v>2877</v>
      </c>
      <c r="D2811" s="34" t="str">
        <f t="array" ref="D2811">IFNA(_xlfn.XLOOKUP(C2811,Table_Tarikan_Warkah[Nomor Sertipikat],Table_Tarikan_Warkah[Nomor Tiket]),"")</f>
        <v>K/5/170625/1</v>
      </c>
      <c r="E2811" s="36">
        <f t="array" ref="E2811">IFNA(_xlfn.XLOOKUP(D2811,Table_Tarikan_Warkah[Nomor Tiket],Table_Tarikan_Warkah[Tanggal diserahkan kepada Validator]),"")</f>
        <v>45845.66964</v>
      </c>
      <c r="F2811" s="36" t="str">
        <f t="array" ref="F2811">IFNA(_xlfn.XLOOKUP(D2811,Table_Tarikan_Warkah[Nomor Tiket],Table_Tarikan_Warkah[Nama Petugas Warkah]),"")</f>
        <v>Berry</v>
      </c>
      <c r="G2811" s="39" t="str">
        <f t="array" ref="G2811">IFNA(_xlfn.XLOOKUP(D2811,Table_Tarikan_Warkah[Nomor Tiket],Table_Tarikan_Warkah[Jenis Permohonan]),"")</f>
        <v>BN Jual Beli</v>
      </c>
      <c r="H2811" s="41" t="s">
        <v>2315</v>
      </c>
      <c r="I2811" s="49" t="s">
        <v>23</v>
      </c>
      <c r="J2811" s="36">
        <f t="shared" si="20"/>
        <v>45841.73562</v>
      </c>
      <c r="K2811" s="49" t="s">
        <v>2378</v>
      </c>
      <c r="L2811" s="49" t="s">
        <v>23</v>
      </c>
      <c r="M2811" s="36">
        <f t="shared" si="33"/>
        <v>45842.5925</v>
      </c>
      <c r="N2811" s="30" t="str">
        <f t="shared" si="34"/>
        <v>Selesai</v>
      </c>
      <c r="O2811" s="45">
        <f t="shared" si="23"/>
        <v>45842.5925</v>
      </c>
      <c r="P2811" s="47" t="b">
        <v>0</v>
      </c>
      <c r="Q2811" s="36" t="str">
        <f t="shared" si="24"/>
        <v/>
      </c>
      <c r="R2811" s="47" t="b">
        <v>0</v>
      </c>
      <c r="S2811" s="42" t="str">
        <f t="shared" si="28"/>
        <v/>
      </c>
      <c r="T2811" s="42"/>
    </row>
    <row r="2812" ht="22.5" customHeight="1">
      <c r="B2812" s="42">
        <f t="shared" si="7"/>
        <v>2806</v>
      </c>
      <c r="C2812" s="31" t="s">
        <v>2878</v>
      </c>
      <c r="D2812" s="34" t="str">
        <f t="array" ref="D2812">IFNA(_xlfn.XLOOKUP(C2812,Table_Tarikan_Warkah[Nomor Sertipikat],Table_Tarikan_Warkah[Nomor Tiket]),"")</f>
        <v>K/37/160635/2</v>
      </c>
      <c r="E2812" s="36">
        <f t="array" ref="E2812">IFNA(_xlfn.XLOOKUP(D2812,Table_Tarikan_Warkah[Nomor Tiket],Table_Tarikan_Warkah[Tanggal diserahkan kepada Validator]),"")</f>
        <v>45845.67471</v>
      </c>
      <c r="F2812" s="36" t="str">
        <f t="array" ref="F2812">IFNA(_xlfn.XLOOKUP(D2812,Table_Tarikan_Warkah[Nomor Tiket],Table_Tarikan_Warkah[Nama Petugas Warkah]),"")</f>
        <v>Berry</v>
      </c>
      <c r="G2812" s="39" t="str">
        <f t="array" ref="G2812">IFNA(_xlfn.XLOOKUP(D2812,Table_Tarikan_Warkah[Nomor Tiket],Table_Tarikan_Warkah[Jenis Permohonan]),"")</f>
        <v>BN Waris</v>
      </c>
      <c r="H2812" s="41" t="s">
        <v>2315</v>
      </c>
      <c r="I2812" s="49" t="s">
        <v>23</v>
      </c>
      <c r="J2812" s="36">
        <f t="shared" si="20"/>
        <v>45841.73574</v>
      </c>
      <c r="K2812" s="49" t="s">
        <v>2378</v>
      </c>
      <c r="L2812" s="49" t="s">
        <v>23</v>
      </c>
      <c r="M2812" s="36">
        <f t="shared" si="33"/>
        <v>45842.61917</v>
      </c>
      <c r="N2812" s="30" t="str">
        <f t="shared" si="34"/>
        <v>Selesai</v>
      </c>
      <c r="O2812" s="45">
        <f t="shared" si="23"/>
        <v>45842.61917</v>
      </c>
      <c r="P2812" s="47" t="b">
        <v>0</v>
      </c>
      <c r="Q2812" s="36" t="str">
        <f t="shared" si="24"/>
        <v/>
      </c>
      <c r="R2812" s="47" t="b">
        <v>0</v>
      </c>
      <c r="S2812" s="42" t="str">
        <f t="shared" si="28"/>
        <v/>
      </c>
      <c r="T2812" s="42"/>
    </row>
    <row r="2813" ht="22.5" customHeight="1">
      <c r="B2813" s="42">
        <f t="shared" si="7"/>
        <v>2807</v>
      </c>
      <c r="C2813" s="31" t="s">
        <v>2879</v>
      </c>
      <c r="D2813" s="34" t="str">
        <f t="array" ref="D2813">IFNA(_xlfn.XLOOKUP(C2813,Table_Tarikan_Warkah[Nomor Sertipikat],Table_Tarikan_Warkah[Nomor Tiket]),"")</f>
        <v>K/19/200625/1</v>
      </c>
      <c r="E2813" s="36" t="str">
        <f t="array" ref="E2813">IFNA(_xlfn.XLOOKUP(D2813,Table_Tarikan_Warkah[Nomor Tiket],Table_Tarikan_Warkah[Tanggal diserahkan kepada Validator]),"")</f>
        <v/>
      </c>
      <c r="F2813" s="36" t="str">
        <f t="array" ref="F2813">IFNA(_xlfn.XLOOKUP(D2813,Table_Tarikan_Warkah[Nomor Tiket],Table_Tarikan_Warkah[Nama Petugas Warkah]),"")</f>
        <v/>
      </c>
      <c r="G2813" s="39" t="str">
        <f t="array" ref="G2813">IFNA(_xlfn.XLOOKUP(D2813,Table_Tarikan_Warkah[Nomor Tiket],Table_Tarikan_Warkah[Jenis Permohonan]),"")</f>
        <v>BN Jual Beli</v>
      </c>
      <c r="H2813" s="41" t="s">
        <v>2315</v>
      </c>
      <c r="I2813" s="49" t="s">
        <v>23</v>
      </c>
      <c r="J2813" s="36">
        <f t="shared" si="20"/>
        <v>45841.73584</v>
      </c>
      <c r="K2813" s="49" t="s">
        <v>2378</v>
      </c>
      <c r="L2813" s="49" t="s">
        <v>23</v>
      </c>
      <c r="M2813" s="36">
        <f t="shared" si="33"/>
        <v>45842.61906</v>
      </c>
      <c r="N2813" s="30" t="str">
        <f t="shared" si="34"/>
        <v>Selesai</v>
      </c>
      <c r="O2813" s="45">
        <f t="shared" si="23"/>
        <v>45842.61906</v>
      </c>
      <c r="P2813" s="47" t="b">
        <v>0</v>
      </c>
      <c r="Q2813" s="36" t="str">
        <f t="shared" si="24"/>
        <v/>
      </c>
      <c r="R2813" s="47" t="b">
        <v>0</v>
      </c>
      <c r="S2813" s="42" t="str">
        <f t="shared" si="28"/>
        <v/>
      </c>
      <c r="T2813" s="42"/>
    </row>
    <row r="2814" ht="22.5" customHeight="1">
      <c r="B2814" s="42">
        <f t="shared" si="7"/>
        <v>2808</v>
      </c>
      <c r="C2814" s="31" t="s">
        <v>2880</v>
      </c>
      <c r="D2814" s="34" t="str">
        <f t="array" ref="D2814">IFNA(_xlfn.XLOOKUP(C2814,Table_Tarikan_Warkah[Nomor Sertipikat],Table_Tarikan_Warkah[Nomor Tiket]),"")</f>
        <v>K/10/200625/1</v>
      </c>
      <c r="E2814" s="36">
        <f t="array" ref="E2814">IFNA(_xlfn.XLOOKUP(D2814,Table_Tarikan_Warkah[Nomor Tiket],Table_Tarikan_Warkah[Tanggal diserahkan kepada Validator]),"")</f>
        <v>45845.67393</v>
      </c>
      <c r="F2814" s="36" t="str">
        <f t="array" ref="F2814">IFNA(_xlfn.XLOOKUP(D2814,Table_Tarikan_Warkah[Nomor Tiket],Table_Tarikan_Warkah[Nama Petugas Warkah]),"")</f>
        <v>Berry</v>
      </c>
      <c r="G2814" s="39" t="str">
        <f t="array" ref="G2814">IFNA(_xlfn.XLOOKUP(D2814,Table_Tarikan_Warkah[Nomor Tiket],Table_Tarikan_Warkah[Jenis Permohonan]),"")</f>
        <v>BN Jual Beli</v>
      </c>
      <c r="H2814" s="41" t="s">
        <v>2315</v>
      </c>
      <c r="I2814" s="49" t="s">
        <v>23</v>
      </c>
      <c r="J2814" s="36">
        <f t="shared" si="20"/>
        <v>45841.73601</v>
      </c>
      <c r="K2814" s="49" t="s">
        <v>2378</v>
      </c>
      <c r="L2814" s="49" t="s">
        <v>23</v>
      </c>
      <c r="M2814" s="36">
        <f t="shared" si="33"/>
        <v>45842.61897</v>
      </c>
      <c r="N2814" s="30" t="str">
        <f t="shared" si="34"/>
        <v>Selesai</v>
      </c>
      <c r="O2814" s="45">
        <f t="shared" si="23"/>
        <v>45842.61897</v>
      </c>
      <c r="P2814" s="47" t="b">
        <v>0</v>
      </c>
      <c r="Q2814" s="36" t="str">
        <f t="shared" si="24"/>
        <v/>
      </c>
      <c r="R2814" s="47" t="b">
        <v>0</v>
      </c>
      <c r="S2814" s="42" t="str">
        <f t="shared" si="28"/>
        <v/>
      </c>
      <c r="T2814" s="42"/>
    </row>
    <row r="2815" ht="22.5" customHeight="1">
      <c r="B2815" s="42">
        <f t="shared" si="7"/>
        <v>2809</v>
      </c>
      <c r="C2815" s="31" t="s">
        <v>2881</v>
      </c>
      <c r="D2815" s="34" t="str">
        <f t="array" ref="D2815">IFNA(_xlfn.XLOOKUP(C2815,Table_Tarikan_Warkah[Nomor Sertipikat],Table_Tarikan_Warkah[Nomor Tiket]),"")</f>
        <v>L/12/240625/1</v>
      </c>
      <c r="E2815" s="36">
        <f t="array" ref="E2815">IFNA(_xlfn.XLOOKUP(D2815,Table_Tarikan_Warkah[Nomor Tiket],Table_Tarikan_Warkah[Tanggal diserahkan kepada Validator]),"")</f>
        <v>45849.65613</v>
      </c>
      <c r="F2815" s="36" t="str">
        <f t="array" ref="F2815">IFNA(_xlfn.XLOOKUP(D2815,Table_Tarikan_Warkah[Nomor Tiket],Table_Tarikan_Warkah[Nama Petugas Warkah]),"")</f>
        <v>David</v>
      </c>
      <c r="G2815" s="39" t="str">
        <f t="array" ref="G2815">IFNA(_xlfn.XLOOKUP(D2815,Table_Tarikan_Warkah[Nomor Tiket],Table_Tarikan_Warkah[Jenis Permohonan]),"")</f>
        <v>ROYA</v>
      </c>
      <c r="H2815" s="41" t="s">
        <v>2315</v>
      </c>
      <c r="I2815" s="49" t="s">
        <v>23</v>
      </c>
      <c r="J2815" s="36">
        <f t="shared" si="20"/>
        <v>45841.73618</v>
      </c>
      <c r="K2815" s="49" t="s">
        <v>2378</v>
      </c>
      <c r="L2815" s="49" t="s">
        <v>23</v>
      </c>
      <c r="M2815" s="36">
        <f t="shared" si="33"/>
        <v>45842.61889</v>
      </c>
      <c r="N2815" s="30" t="str">
        <f t="shared" si="34"/>
        <v>Selesai</v>
      </c>
      <c r="O2815" s="45">
        <f t="shared" si="23"/>
        <v>45842.61889</v>
      </c>
      <c r="P2815" s="47" t="b">
        <v>0</v>
      </c>
      <c r="Q2815" s="36" t="str">
        <f t="shared" si="24"/>
        <v/>
      </c>
      <c r="R2815" s="47" t="b">
        <v>0</v>
      </c>
      <c r="S2815" s="42" t="str">
        <f t="shared" si="28"/>
        <v/>
      </c>
      <c r="T2815" s="42"/>
    </row>
    <row r="2816" ht="22.5" customHeight="1">
      <c r="B2816" s="42">
        <f t="shared" si="7"/>
        <v>2810</v>
      </c>
      <c r="C2816" s="31" t="s">
        <v>2882</v>
      </c>
      <c r="D2816" s="34" t="str">
        <f t="array" ref="D2816">IFNA(_xlfn.XLOOKUP(C2816,Table_Tarikan_Warkah[Nomor Sertipikat],Table_Tarikan_Warkah[Nomor Tiket]),"")</f>
        <v>K/27/010725/1</v>
      </c>
      <c r="E2816" s="36" t="str">
        <f t="array" ref="E2816">IFNA(_xlfn.XLOOKUP(D2816,Table_Tarikan_Warkah[Nomor Tiket],Table_Tarikan_Warkah[Tanggal diserahkan kepada Validator]),"")</f>
        <v/>
      </c>
      <c r="F2816" s="36" t="str">
        <f t="array" ref="F2816">IFNA(_xlfn.XLOOKUP(D2816,Table_Tarikan_Warkah[Nomor Tiket],Table_Tarikan_Warkah[Nama Petugas Warkah]),"")</f>
        <v/>
      </c>
      <c r="G2816" s="39" t="str">
        <f t="array" ref="G2816">IFNA(_xlfn.XLOOKUP(D2816,Table_Tarikan_Warkah[Nomor Tiket],Table_Tarikan_Warkah[Jenis Permohonan]),"")</f>
        <v>PERUBAHAN HAK</v>
      </c>
      <c r="H2816" s="41" t="s">
        <v>2315</v>
      </c>
      <c r="I2816" s="49" t="s">
        <v>23</v>
      </c>
      <c r="J2816" s="36">
        <f t="shared" si="20"/>
        <v>45841.73632</v>
      </c>
      <c r="K2816" s="49" t="s">
        <v>2378</v>
      </c>
      <c r="L2816" s="49" t="s">
        <v>23</v>
      </c>
      <c r="M2816" s="36">
        <f t="shared" si="33"/>
        <v>45842.61884</v>
      </c>
      <c r="N2816" s="30" t="str">
        <f t="shared" si="34"/>
        <v>Selesai</v>
      </c>
      <c r="O2816" s="45">
        <f t="shared" si="23"/>
        <v>45842.61884</v>
      </c>
      <c r="P2816" s="47" t="b">
        <v>0</v>
      </c>
      <c r="Q2816" s="36" t="str">
        <f t="shared" si="24"/>
        <v/>
      </c>
      <c r="R2816" s="47" t="b">
        <v>0</v>
      </c>
      <c r="S2816" s="42" t="str">
        <f t="shared" si="28"/>
        <v/>
      </c>
      <c r="T2816" s="42"/>
    </row>
    <row r="2817" ht="22.5" customHeight="1">
      <c r="B2817" s="42">
        <f t="shared" si="7"/>
        <v>2811</v>
      </c>
      <c r="C2817" s="31" t="s">
        <v>2883</v>
      </c>
      <c r="D2817" s="34" t="str">
        <f t="array" ref="D2817">IFNA(_xlfn.XLOOKUP(C2817,Table_Tarikan_Warkah[Nomor Sertipikat],Table_Tarikan_Warkah[Nomor Tiket]),"")</f>
        <v>K/35/100625/1</v>
      </c>
      <c r="E2817" s="36">
        <f t="array" ref="E2817">IFNA(_xlfn.XLOOKUP(D2817,Table_Tarikan_Warkah[Nomor Tiket],Table_Tarikan_Warkah[Tanggal diserahkan kepada Validator]),"")</f>
        <v>45845.70835</v>
      </c>
      <c r="F2817" s="36" t="str">
        <f t="array" ref="F2817">IFNA(_xlfn.XLOOKUP(D2817,Table_Tarikan_Warkah[Nomor Tiket],Table_Tarikan_Warkah[Nama Petugas Warkah]),"")</f>
        <v>Berry</v>
      </c>
      <c r="G2817" s="39" t="str">
        <f t="array" ref="G2817">IFNA(_xlfn.XLOOKUP(D2817,Table_Tarikan_Warkah[Nomor Tiket],Table_Tarikan_Warkah[Jenis Permohonan]),"")</f>
        <v>BN JUAL BELI</v>
      </c>
      <c r="H2817" s="41" t="s">
        <v>2315</v>
      </c>
      <c r="I2817" s="49" t="s">
        <v>23</v>
      </c>
      <c r="J2817" s="36">
        <f t="shared" si="20"/>
        <v>45841.73648</v>
      </c>
      <c r="K2817" s="49" t="s">
        <v>2378</v>
      </c>
      <c r="L2817" s="49" t="s">
        <v>23</v>
      </c>
      <c r="M2817" s="36">
        <f t="shared" si="33"/>
        <v>45842.59139</v>
      </c>
      <c r="N2817" s="30" t="str">
        <f t="shared" si="34"/>
        <v>Selesai</v>
      </c>
      <c r="O2817" s="45">
        <f t="shared" si="23"/>
        <v>45842.59139</v>
      </c>
      <c r="P2817" s="47" t="b">
        <v>0</v>
      </c>
      <c r="Q2817" s="36" t="str">
        <f t="shared" si="24"/>
        <v/>
      </c>
      <c r="R2817" s="47" t="b">
        <v>0</v>
      </c>
      <c r="S2817" s="42" t="str">
        <f t="shared" si="28"/>
        <v/>
      </c>
      <c r="T2817" s="42"/>
    </row>
    <row r="2818" ht="22.5" customHeight="1">
      <c r="B2818" s="42">
        <f t="shared" si="7"/>
        <v>2812</v>
      </c>
      <c r="C2818" s="31" t="s">
        <v>2884</v>
      </c>
      <c r="D2818" s="34" t="str">
        <f t="array" ref="D2818">IFNA(_xlfn.XLOOKUP(C2818,Table_Tarikan_Warkah[Nomor Sertipikat],Table_Tarikan_Warkah[Nomor Tiket]),"")</f>
        <v>L/20/240625/1</v>
      </c>
      <c r="E2818" s="36">
        <f t="array" ref="E2818">IFNA(_xlfn.XLOOKUP(D2818,Table_Tarikan_Warkah[Nomor Tiket],Table_Tarikan_Warkah[Tanggal diserahkan kepada Validator]),"")</f>
        <v>45922.61835</v>
      </c>
      <c r="F2818" s="36" t="str">
        <f t="array" ref="F2818">IFNA(_xlfn.XLOOKUP(D2818,Table_Tarikan_Warkah[Nomor Tiket],Table_Tarikan_Warkah[Nama Petugas Warkah]),"")</f>
        <v>David</v>
      </c>
      <c r="G2818" s="39" t="str">
        <f t="array" ref="G2818">IFNA(_xlfn.XLOOKUP(D2818,Table_Tarikan_Warkah[Nomor Tiket],Table_Tarikan_Warkah[Jenis Permohonan]),"")</f>
        <v>ROYA</v>
      </c>
      <c r="H2818" s="41" t="s">
        <v>2315</v>
      </c>
      <c r="I2818" s="49" t="s">
        <v>23</v>
      </c>
      <c r="J2818" s="36">
        <f t="shared" si="20"/>
        <v>45841.73664</v>
      </c>
      <c r="K2818" s="49" t="s">
        <v>2378</v>
      </c>
      <c r="L2818" s="49" t="s">
        <v>23</v>
      </c>
      <c r="M2818" s="36">
        <f t="shared" si="33"/>
        <v>45842.61818</v>
      </c>
      <c r="N2818" s="30" t="str">
        <f t="shared" si="34"/>
        <v>Selesai</v>
      </c>
      <c r="O2818" s="45">
        <f t="shared" si="23"/>
        <v>45842.61818</v>
      </c>
      <c r="P2818" s="47" t="b">
        <v>0</v>
      </c>
      <c r="Q2818" s="36" t="str">
        <f t="shared" si="24"/>
        <v/>
      </c>
      <c r="R2818" s="47" t="b">
        <v>0</v>
      </c>
      <c r="S2818" s="42" t="str">
        <f t="shared" si="28"/>
        <v/>
      </c>
      <c r="T2818" s="42"/>
    </row>
    <row r="2819" ht="22.5" customHeight="1">
      <c r="B2819" s="42">
        <f t="shared" si="7"/>
        <v>2813</v>
      </c>
      <c r="C2819" s="31" t="s">
        <v>2885</v>
      </c>
      <c r="D2819" s="34" t="str">
        <f t="array" ref="D2819">IFNA(_xlfn.XLOOKUP(C2819,Table_Tarikan_Warkah[Nomor Sertipikat],Table_Tarikan_Warkah[Nomor Tiket]),"")</f>
        <v>L/26/010725/1</v>
      </c>
      <c r="E2819" s="36">
        <f t="array" ref="E2819">IFNA(_xlfn.XLOOKUP(D2819,Table_Tarikan_Warkah[Nomor Tiket],Table_Tarikan_Warkah[Tanggal diserahkan kepada Validator]),"")</f>
        <v>45898.65033</v>
      </c>
      <c r="F2819" s="36" t="str">
        <f t="array" ref="F2819">IFNA(_xlfn.XLOOKUP(D2819,Table_Tarikan_Warkah[Nomor Tiket],Table_Tarikan_Warkah[Nama Petugas Warkah]),"")</f>
        <v>Berry</v>
      </c>
      <c r="G2819" s="39" t="str">
        <f t="array" ref="G2819">IFNA(_xlfn.XLOOKUP(D2819,Table_Tarikan_Warkah[Nomor Tiket],Table_Tarikan_Warkah[Jenis Permohonan]),"")</f>
        <v>ROYA</v>
      </c>
      <c r="H2819" s="41" t="s">
        <v>2315</v>
      </c>
      <c r="I2819" s="49" t="s">
        <v>23</v>
      </c>
      <c r="J2819" s="36">
        <f t="shared" si="20"/>
        <v>45841.73681</v>
      </c>
      <c r="K2819" s="49" t="s">
        <v>2378</v>
      </c>
      <c r="L2819" s="49" t="s">
        <v>23</v>
      </c>
      <c r="M2819" s="36">
        <f t="shared" si="33"/>
        <v>45842.61824</v>
      </c>
      <c r="N2819" s="30" t="str">
        <f t="shared" si="34"/>
        <v>Selesai</v>
      </c>
      <c r="O2819" s="45">
        <f t="shared" si="23"/>
        <v>45842.61824</v>
      </c>
      <c r="P2819" s="47" t="b">
        <v>0</v>
      </c>
      <c r="Q2819" s="36" t="str">
        <f t="shared" si="24"/>
        <v/>
      </c>
      <c r="R2819" s="47" t="b">
        <v>0</v>
      </c>
      <c r="S2819" s="42" t="str">
        <f t="shared" si="28"/>
        <v/>
      </c>
      <c r="T2819" s="42"/>
    </row>
    <row r="2820" ht="22.5" customHeight="1">
      <c r="B2820" s="42">
        <f t="shared" si="7"/>
        <v>2814</v>
      </c>
      <c r="C2820" s="31" t="s">
        <v>2886</v>
      </c>
      <c r="D2820" s="34" t="str">
        <f t="array" ref="D2820">IFNA(_xlfn.XLOOKUP(C2820,Table_Tarikan_Warkah[Nomor Sertipikat],Table_Tarikan_Warkah[Nomor Tiket]),"")</f>
        <v>K/41/030725/3</v>
      </c>
      <c r="E2820" s="36">
        <f t="array" ref="E2820">IFNA(_xlfn.XLOOKUP(D2820,Table_Tarikan_Warkah[Nomor Tiket],Table_Tarikan_Warkah[Tanggal diserahkan kepada Validator]),"")</f>
        <v>45861.6189</v>
      </c>
      <c r="F2820" s="36" t="str">
        <f t="array" ref="F2820">IFNA(_xlfn.XLOOKUP(D2820,Table_Tarikan_Warkah[Nomor Tiket],Table_Tarikan_Warkah[Nama Petugas Warkah]),"")</f>
        <v>Berry</v>
      </c>
      <c r="G2820" s="39" t="str">
        <f t="array" ref="G2820">IFNA(_xlfn.XLOOKUP(D2820,Table_Tarikan_Warkah[Nomor Tiket],Table_Tarikan_Warkah[Jenis Permohonan]),"")</f>
        <v>BN Hibah</v>
      </c>
      <c r="H2820" s="41" t="s">
        <v>2315</v>
      </c>
      <c r="I2820" s="49" t="s">
        <v>23</v>
      </c>
      <c r="J2820" s="36">
        <f t="shared" si="20"/>
        <v>45845.461</v>
      </c>
      <c r="K2820" s="49" t="s">
        <v>2378</v>
      </c>
      <c r="L2820" s="49" t="s">
        <v>23</v>
      </c>
      <c r="M2820" s="36">
        <f t="shared" si="33"/>
        <v>45845.66084</v>
      </c>
      <c r="N2820" s="30" t="str">
        <f t="shared" si="34"/>
        <v>Selesai</v>
      </c>
      <c r="O2820" s="45">
        <f t="shared" si="23"/>
        <v>45845.66084</v>
      </c>
      <c r="P2820" s="47" t="b">
        <v>0</v>
      </c>
      <c r="Q2820" s="36" t="str">
        <f t="shared" si="24"/>
        <v/>
      </c>
      <c r="R2820" s="47" t="b">
        <v>0</v>
      </c>
      <c r="S2820" s="42" t="str">
        <f t="shared" si="28"/>
        <v/>
      </c>
      <c r="T2820" s="42"/>
    </row>
    <row r="2821" ht="22.5" customHeight="1">
      <c r="B2821" s="42">
        <f t="shared" si="7"/>
        <v>2815</v>
      </c>
      <c r="C2821" s="31" t="s">
        <v>2887</v>
      </c>
      <c r="D2821" s="34" t="str">
        <f t="array" ref="D2821">IFNA(_xlfn.XLOOKUP(C2821,Table_Tarikan_Warkah[Nomor Sertipikat],Table_Tarikan_Warkah[Nomor Tiket]),"")</f>
        <v>K/20/190625/1</v>
      </c>
      <c r="E2821" s="36">
        <f t="array" ref="E2821">IFNA(_xlfn.XLOOKUP(D2821,Table_Tarikan_Warkah[Nomor Tiket],Table_Tarikan_Warkah[Tanggal diserahkan kepada Validator]),"")</f>
        <v>45848.5564</v>
      </c>
      <c r="F2821" s="36" t="str">
        <f t="array" ref="F2821">IFNA(_xlfn.XLOOKUP(D2821,Table_Tarikan_Warkah[Nomor Tiket],Table_Tarikan_Warkah[Nama Petugas Warkah]),"")</f>
        <v>David</v>
      </c>
      <c r="G2821" s="39" t="str">
        <f t="array" ref="G2821">IFNA(_xlfn.XLOOKUP(D2821,Table_Tarikan_Warkah[Nomor Tiket],Table_Tarikan_Warkah[Jenis Permohonan]),"")</f>
        <v>BN Jual Beli</v>
      </c>
      <c r="H2821" s="41" t="s">
        <v>2315</v>
      </c>
      <c r="I2821" s="49" t="s">
        <v>23</v>
      </c>
      <c r="J2821" s="36">
        <f t="shared" si="20"/>
        <v>45845.46203</v>
      </c>
      <c r="K2821" s="49" t="s">
        <v>2378</v>
      </c>
      <c r="L2821" s="49" t="s">
        <v>23</v>
      </c>
      <c r="M2821" s="36">
        <f t="shared" si="33"/>
        <v>45845.66076</v>
      </c>
      <c r="N2821" s="30" t="str">
        <f t="shared" si="34"/>
        <v>Selesai</v>
      </c>
      <c r="O2821" s="45">
        <f t="shared" si="23"/>
        <v>45845.66076</v>
      </c>
      <c r="P2821" s="47" t="b">
        <v>0</v>
      </c>
      <c r="Q2821" s="36" t="str">
        <f t="shared" si="24"/>
        <v/>
      </c>
      <c r="R2821" s="47" t="b">
        <v>0</v>
      </c>
      <c r="S2821" s="42" t="str">
        <f t="shared" si="28"/>
        <v/>
      </c>
      <c r="T2821" s="42"/>
    </row>
    <row r="2822" ht="22.5" customHeight="1">
      <c r="B2822" s="42">
        <f t="shared" si="7"/>
        <v>2816</v>
      </c>
      <c r="C2822" s="31" t="s">
        <v>2888</v>
      </c>
      <c r="D2822" s="34" t="str">
        <f t="array" ref="D2822">IFNA(_xlfn.XLOOKUP(C2822,Table_Tarikan_Warkah[Nomor Sertipikat],Table_Tarikan_Warkah[Nomor Tiket]),"")</f>
        <v>K/3/190525/1</v>
      </c>
      <c r="E2822" s="36">
        <f t="array" ref="E2822">IFNA(_xlfn.XLOOKUP(D2822,Table_Tarikan_Warkah[Nomor Tiket],Table_Tarikan_Warkah[Tanggal diserahkan kepada Validator]),"")</f>
        <v>45848.55058</v>
      </c>
      <c r="F2822" s="36" t="str">
        <f t="array" ref="F2822">IFNA(_xlfn.XLOOKUP(D2822,Table_Tarikan_Warkah[Nomor Tiket],Table_Tarikan_Warkah[Nama Petugas Warkah]),"")</f>
        <v>David</v>
      </c>
      <c r="G2822" s="39" t="str">
        <f t="array" ref="G2822">IFNA(_xlfn.XLOOKUP(D2822,Table_Tarikan_Warkah[Nomor Tiket],Table_Tarikan_Warkah[Jenis Permohonan]),"")</f>
        <v>BN Waris</v>
      </c>
      <c r="H2822" s="41" t="s">
        <v>2315</v>
      </c>
      <c r="I2822" s="49" t="s">
        <v>23</v>
      </c>
      <c r="J2822" s="36">
        <f t="shared" si="20"/>
        <v>45845.46214</v>
      </c>
      <c r="K2822" s="49" t="s">
        <v>2378</v>
      </c>
      <c r="L2822" s="49" t="s">
        <v>23</v>
      </c>
      <c r="M2822" s="36">
        <f t="shared" si="33"/>
        <v>45845.66068</v>
      </c>
      <c r="N2822" s="30" t="str">
        <f t="shared" si="34"/>
        <v>Selesai</v>
      </c>
      <c r="O2822" s="45">
        <f t="shared" si="23"/>
        <v>45845.66068</v>
      </c>
      <c r="P2822" s="47" t="b">
        <v>0</v>
      </c>
      <c r="Q2822" s="36" t="str">
        <f t="shared" si="24"/>
        <v/>
      </c>
      <c r="R2822" s="47" t="b">
        <v>0</v>
      </c>
      <c r="S2822" s="42" t="str">
        <f t="shared" si="28"/>
        <v/>
      </c>
      <c r="T2822" s="42"/>
    </row>
    <row r="2823" ht="22.5" customHeight="1">
      <c r="B2823" s="42">
        <f t="shared" si="7"/>
        <v>2817</v>
      </c>
      <c r="C2823" s="31" t="s">
        <v>2889</v>
      </c>
      <c r="D2823" s="34" t="str">
        <f t="array" ref="D2823">IFNA(_xlfn.XLOOKUP(C2823,Table_Tarikan_Warkah[Nomor Sertipikat],Table_Tarikan_Warkah[Nomor Tiket]),"")</f>
        <v>K/24/020725/1</v>
      </c>
      <c r="E2823" s="36">
        <f t="array" ref="E2823">IFNA(_xlfn.XLOOKUP(D2823,Table_Tarikan_Warkah[Nomor Tiket],Table_Tarikan_Warkah[Tanggal diserahkan kepada Validator]),"")</f>
        <v>45847.49147</v>
      </c>
      <c r="F2823" s="36" t="str">
        <f t="array" ref="F2823">IFNA(_xlfn.XLOOKUP(D2823,Table_Tarikan_Warkah[Nomor Tiket],Table_Tarikan_Warkah[Nama Petugas Warkah]),"")</f>
        <v>Berry</v>
      </c>
      <c r="G2823" s="39" t="str">
        <f t="array" ref="G2823">IFNA(_xlfn.XLOOKUP(D2823,Table_Tarikan_Warkah[Nomor Tiket],Table_Tarikan_Warkah[Jenis Permohonan]),"")</f>
        <v>BN JUAL BELI</v>
      </c>
      <c r="H2823" s="41" t="s">
        <v>2315</v>
      </c>
      <c r="I2823" s="49" t="s">
        <v>23</v>
      </c>
      <c r="J2823" s="36">
        <f t="shared" si="20"/>
        <v>45845.46228</v>
      </c>
      <c r="K2823" s="49" t="s">
        <v>2378</v>
      </c>
      <c r="L2823" s="49" t="s">
        <v>23</v>
      </c>
      <c r="M2823" s="36">
        <f t="shared" si="33"/>
        <v>45845.66059</v>
      </c>
      <c r="N2823" s="30" t="str">
        <f t="shared" si="34"/>
        <v>Selesai</v>
      </c>
      <c r="O2823" s="45">
        <f t="shared" si="23"/>
        <v>45845.66059</v>
      </c>
      <c r="P2823" s="47" t="b">
        <v>0</v>
      </c>
      <c r="Q2823" s="36" t="str">
        <f t="shared" si="24"/>
        <v/>
      </c>
      <c r="R2823" s="47" t="b">
        <v>0</v>
      </c>
      <c r="S2823" s="42" t="str">
        <f t="shared" si="28"/>
        <v/>
      </c>
      <c r="T2823" s="42"/>
    </row>
    <row r="2824" ht="22.5" customHeight="1">
      <c r="B2824" s="42">
        <f t="shared" si="7"/>
        <v>2818</v>
      </c>
      <c r="C2824" s="31" t="s">
        <v>2890</v>
      </c>
      <c r="D2824" s="34" t="str">
        <f t="array" ref="D2824">IFNA(_xlfn.XLOOKUP(C2824,Table_Tarikan_Warkah[Nomor Sertipikat],Table_Tarikan_Warkah[Nomor Tiket]),"")</f>
        <v>L/38/260625/1</v>
      </c>
      <c r="E2824" s="36">
        <f t="array" ref="E2824">IFNA(_xlfn.XLOOKUP(D2824,Table_Tarikan_Warkah[Nomor Tiket],Table_Tarikan_Warkah[Tanggal diserahkan kepada Validator]),"")</f>
        <v>45855.64996</v>
      </c>
      <c r="F2824" s="36" t="str">
        <f t="array" ref="F2824">IFNA(_xlfn.XLOOKUP(D2824,Table_Tarikan_Warkah[Nomor Tiket],Table_Tarikan_Warkah[Nama Petugas Warkah]),"")</f>
        <v>David</v>
      </c>
      <c r="G2824" s="39" t="str">
        <f t="array" ref="G2824">IFNA(_xlfn.XLOOKUP(D2824,Table_Tarikan_Warkah[Nomor Tiket],Table_Tarikan_Warkah[Jenis Permohonan]),"")</f>
        <v>ROYA</v>
      </c>
      <c r="H2824" s="41" t="s">
        <v>2315</v>
      </c>
      <c r="I2824" s="49" t="s">
        <v>23</v>
      </c>
      <c r="J2824" s="36">
        <f t="shared" si="20"/>
        <v>45845.4624</v>
      </c>
      <c r="K2824" s="49" t="s">
        <v>2378</v>
      </c>
      <c r="L2824" s="49" t="s">
        <v>23</v>
      </c>
      <c r="M2824" s="36">
        <f t="shared" si="33"/>
        <v>45845.65801</v>
      </c>
      <c r="N2824" s="30" t="str">
        <f t="shared" si="34"/>
        <v>Selesai</v>
      </c>
      <c r="O2824" s="45">
        <f t="shared" si="23"/>
        <v>45845.65801</v>
      </c>
      <c r="P2824" s="47" t="b">
        <v>0</v>
      </c>
      <c r="Q2824" s="36" t="str">
        <f t="shared" si="24"/>
        <v/>
      </c>
      <c r="R2824" s="47" t="b">
        <v>0</v>
      </c>
      <c r="S2824" s="42" t="str">
        <f t="shared" si="28"/>
        <v/>
      </c>
      <c r="T2824" s="42"/>
    </row>
    <row r="2825" ht="22.5" customHeight="1">
      <c r="B2825" s="42">
        <f t="shared" si="7"/>
        <v>2819</v>
      </c>
      <c r="C2825" s="31" t="s">
        <v>2891</v>
      </c>
      <c r="D2825" s="34" t="str">
        <f t="array" ref="D2825">IFNA(_xlfn.XLOOKUP(C2825,Table_Tarikan_Warkah[Nomor Sertipikat],Table_Tarikan_Warkah[Nomor Tiket]),"")</f>
        <v>L/19/260625/1</v>
      </c>
      <c r="E2825" s="36">
        <f t="array" ref="E2825">IFNA(_xlfn.XLOOKUP(D2825,Table_Tarikan_Warkah[Nomor Tiket],Table_Tarikan_Warkah[Tanggal diserahkan kepada Validator]),"")</f>
        <v>45867.50892</v>
      </c>
      <c r="F2825" s="36" t="str">
        <f t="array" ref="F2825">IFNA(_xlfn.XLOOKUP(D2825,Table_Tarikan_Warkah[Nomor Tiket],Table_Tarikan_Warkah[Nama Petugas Warkah]),"")</f>
        <v>Berry</v>
      </c>
      <c r="G2825" s="39" t="str">
        <f t="array" ref="G2825">IFNA(_xlfn.XLOOKUP(D2825,Table_Tarikan_Warkah[Nomor Tiket],Table_Tarikan_Warkah[Jenis Permohonan]),"")</f>
        <v>ROYA</v>
      </c>
      <c r="H2825" s="41" t="s">
        <v>2315</v>
      </c>
      <c r="I2825" s="49" t="s">
        <v>23</v>
      </c>
      <c r="J2825" s="36">
        <f t="shared" si="20"/>
        <v>45845.46259</v>
      </c>
      <c r="K2825" s="49" t="s">
        <v>2378</v>
      </c>
      <c r="L2825" s="49" t="s">
        <v>23</v>
      </c>
      <c r="M2825" s="36">
        <f t="shared" si="33"/>
        <v>45845.65815</v>
      </c>
      <c r="N2825" s="30" t="str">
        <f t="shared" si="34"/>
        <v>Selesai</v>
      </c>
      <c r="O2825" s="45">
        <f t="shared" si="23"/>
        <v>45845.65815</v>
      </c>
      <c r="P2825" s="47" t="b">
        <v>0</v>
      </c>
      <c r="Q2825" s="36" t="str">
        <f t="shared" si="24"/>
        <v/>
      </c>
      <c r="R2825" s="47" t="b">
        <v>0</v>
      </c>
      <c r="S2825" s="42" t="str">
        <f t="shared" si="28"/>
        <v/>
      </c>
      <c r="T2825" s="42"/>
    </row>
    <row r="2826" ht="22.5" customHeight="1">
      <c r="B2826" s="42">
        <f t="shared" si="7"/>
        <v>2820</v>
      </c>
      <c r="C2826" s="31" t="s">
        <v>2892</v>
      </c>
      <c r="D2826" s="34" t="str">
        <f t="array" ref="D2826">IFNA(_xlfn.XLOOKUP(C2826,Table_Tarikan_Warkah[Nomor Sertipikat],Table_Tarikan_Warkah[Nomor Tiket]),"")</f>
        <v>L/6/300625/1</v>
      </c>
      <c r="E2826" s="36">
        <f t="array" ref="E2826">IFNA(_xlfn.XLOOKUP(D2826,Table_Tarikan_Warkah[Nomor Tiket],Table_Tarikan_Warkah[Tanggal diserahkan kepada Validator]),"")</f>
        <v>45860.68683</v>
      </c>
      <c r="F2826" s="36" t="str">
        <f t="array" ref="F2826">IFNA(_xlfn.XLOOKUP(D2826,Table_Tarikan_Warkah[Nomor Tiket],Table_Tarikan_Warkah[Nama Petugas Warkah]),"")</f>
        <v>David</v>
      </c>
      <c r="G2826" s="39" t="str">
        <f t="array" ref="G2826">IFNA(_xlfn.XLOOKUP(D2826,Table_Tarikan_Warkah[Nomor Tiket],Table_Tarikan_Warkah[Jenis Permohonan]),"")</f>
        <v>ROYA</v>
      </c>
      <c r="H2826" s="41" t="s">
        <v>2315</v>
      </c>
      <c r="I2826" s="49" t="s">
        <v>23</v>
      </c>
      <c r="J2826" s="36">
        <f t="shared" si="20"/>
        <v>45845.46275</v>
      </c>
      <c r="K2826" s="49" t="s">
        <v>2378</v>
      </c>
      <c r="L2826" s="49" t="s">
        <v>23</v>
      </c>
      <c r="M2826" s="36">
        <f t="shared" si="33"/>
        <v>45845.65832</v>
      </c>
      <c r="N2826" s="30" t="str">
        <f t="shared" si="34"/>
        <v>Selesai</v>
      </c>
      <c r="O2826" s="45">
        <f t="shared" si="23"/>
        <v>45845.65832</v>
      </c>
      <c r="P2826" s="47" t="b">
        <v>0</v>
      </c>
      <c r="Q2826" s="36" t="str">
        <f t="shared" si="24"/>
        <v/>
      </c>
      <c r="R2826" s="47" t="b">
        <v>0</v>
      </c>
      <c r="S2826" s="42" t="str">
        <f t="shared" si="28"/>
        <v/>
      </c>
      <c r="T2826" s="42"/>
    </row>
    <row r="2827" ht="22.5" customHeight="1">
      <c r="B2827" s="42">
        <f t="shared" si="7"/>
        <v>2821</v>
      </c>
      <c r="C2827" s="31" t="s">
        <v>2893</v>
      </c>
      <c r="D2827" s="34" t="str">
        <f t="array" ref="D2827">IFNA(_xlfn.XLOOKUP(C2827,Table_Tarikan_Warkah[Nomor Sertipikat],Table_Tarikan_Warkah[Nomor Tiket]),"")</f>
        <v>L/12/300625/1</v>
      </c>
      <c r="E2827" s="36">
        <f t="array" ref="E2827">IFNA(_xlfn.XLOOKUP(D2827,Table_Tarikan_Warkah[Nomor Tiket],Table_Tarikan_Warkah[Tanggal diserahkan kepada Validator]),"")</f>
        <v>45894.55134</v>
      </c>
      <c r="F2827" s="36" t="str">
        <f t="array" ref="F2827">IFNA(_xlfn.XLOOKUP(D2827,Table_Tarikan_Warkah[Nomor Tiket],Table_Tarikan_Warkah[Nama Petugas Warkah]),"")</f>
        <v>Berry</v>
      </c>
      <c r="G2827" s="39" t="str">
        <f t="array" ref="G2827">IFNA(_xlfn.XLOOKUP(D2827,Table_Tarikan_Warkah[Nomor Tiket],Table_Tarikan_Warkah[Jenis Permohonan]),"")</f>
        <v>ROYA</v>
      </c>
      <c r="H2827" s="41" t="s">
        <v>2315</v>
      </c>
      <c r="I2827" s="49" t="s">
        <v>23</v>
      </c>
      <c r="J2827" s="36">
        <f t="shared" si="20"/>
        <v>45845.46314</v>
      </c>
      <c r="K2827" s="49" t="s">
        <v>2378</v>
      </c>
      <c r="L2827" s="49" t="s">
        <v>23</v>
      </c>
      <c r="M2827" s="36">
        <f t="shared" si="33"/>
        <v>45845.66027</v>
      </c>
      <c r="N2827" s="30" t="str">
        <f t="shared" si="34"/>
        <v>Selesai</v>
      </c>
      <c r="O2827" s="45">
        <f t="shared" si="23"/>
        <v>45845.66027</v>
      </c>
      <c r="P2827" s="47" t="b">
        <v>0</v>
      </c>
      <c r="Q2827" s="36" t="str">
        <f t="shared" si="24"/>
        <v/>
      </c>
      <c r="R2827" s="47" t="b">
        <v>0</v>
      </c>
      <c r="S2827" s="42" t="str">
        <f t="shared" si="28"/>
        <v/>
      </c>
      <c r="T2827" s="42"/>
    </row>
    <row r="2828" ht="22.5" customHeight="1">
      <c r="B2828" s="42">
        <f t="shared" si="7"/>
        <v>2822</v>
      </c>
      <c r="C2828" s="31" t="s">
        <v>2894</v>
      </c>
      <c r="D2828" s="34" t="str">
        <f t="array" ref="D2828">IFNA(_xlfn.XLOOKUP(C2828,Table_Tarikan_Warkah[Nomor Sertipikat],Table_Tarikan_Warkah[Nomor Tiket]),"")</f>
        <v>K/47/010725/1</v>
      </c>
      <c r="E2828" s="36">
        <f t="array" ref="E2828">IFNA(_xlfn.XLOOKUP(D2828,Table_Tarikan_Warkah[Nomor Tiket],Table_Tarikan_Warkah[Tanggal diserahkan kepada Validator]),"")</f>
        <v>45847.48597</v>
      </c>
      <c r="F2828" s="36" t="str">
        <f t="array" ref="F2828">IFNA(_xlfn.XLOOKUP(D2828,Table_Tarikan_Warkah[Nomor Tiket],Table_Tarikan_Warkah[Nama Petugas Warkah]),"")</f>
        <v>Berry</v>
      </c>
      <c r="G2828" s="39" t="str">
        <f t="array" ref="G2828">IFNA(_xlfn.XLOOKUP(D2828,Table_Tarikan_Warkah[Nomor Tiket],Table_Tarikan_Warkah[Jenis Permohonan]),"")</f>
        <v>BN JUAL BELI</v>
      </c>
      <c r="H2828" s="41" t="s">
        <v>2315</v>
      </c>
      <c r="I2828" s="49" t="s">
        <v>23</v>
      </c>
      <c r="J2828" s="36">
        <f t="shared" si="20"/>
        <v>45845.46358</v>
      </c>
      <c r="K2828" s="49" t="s">
        <v>2378</v>
      </c>
      <c r="L2828" s="49" t="s">
        <v>23</v>
      </c>
      <c r="M2828" s="36">
        <f t="shared" si="33"/>
        <v>45845.66038</v>
      </c>
      <c r="N2828" s="30" t="str">
        <f t="shared" si="34"/>
        <v>Selesai</v>
      </c>
      <c r="O2828" s="45">
        <f t="shared" si="23"/>
        <v>45845.66038</v>
      </c>
      <c r="P2828" s="47" t="b">
        <v>0</v>
      </c>
      <c r="Q2828" s="36" t="str">
        <f t="shared" si="24"/>
        <v/>
      </c>
      <c r="R2828" s="47" t="b">
        <v>0</v>
      </c>
      <c r="S2828" s="42" t="str">
        <f t="shared" si="28"/>
        <v/>
      </c>
      <c r="T2828" s="42"/>
    </row>
    <row r="2829" ht="22.5" customHeight="1">
      <c r="B2829" s="42">
        <f t="shared" si="7"/>
        <v>2823</v>
      </c>
      <c r="C2829" s="31" t="s">
        <v>2895</v>
      </c>
      <c r="D2829" s="34" t="str">
        <f t="array" ref="D2829">IFNA(_xlfn.XLOOKUP(C2829,Table_Tarikan_Warkah[Nomor Sertipikat],Table_Tarikan_Warkah[Nomor Tiket]),"")</f>
        <v>K/29/250625/1</v>
      </c>
      <c r="E2829" s="36">
        <f t="array" ref="E2829">IFNA(_xlfn.XLOOKUP(D2829,Table_Tarikan_Warkah[Nomor Tiket],Table_Tarikan_Warkah[Tanggal diserahkan kepada Validator]),"")</f>
        <v>45847.49117</v>
      </c>
      <c r="F2829" s="36" t="str">
        <f t="array" ref="F2829">IFNA(_xlfn.XLOOKUP(D2829,Table_Tarikan_Warkah[Nomor Tiket],Table_Tarikan_Warkah[Nama Petugas Warkah]),"")</f>
        <v>Berry</v>
      </c>
      <c r="G2829" s="39" t="str">
        <f t="array" ref="G2829">IFNA(_xlfn.XLOOKUP(D2829,Table_Tarikan_Warkah[Nomor Tiket],Table_Tarikan_Warkah[Jenis Permohonan]),"")</f>
        <v>BN WARIS</v>
      </c>
      <c r="H2829" s="41" t="s">
        <v>2315</v>
      </c>
      <c r="I2829" s="49" t="s">
        <v>23</v>
      </c>
      <c r="J2829" s="36">
        <f t="shared" si="20"/>
        <v>45845.46373</v>
      </c>
      <c r="K2829" s="49" t="s">
        <v>2378</v>
      </c>
      <c r="L2829" s="49" t="s">
        <v>23</v>
      </c>
      <c r="M2829" s="36">
        <f t="shared" si="33"/>
        <v>45845.65844</v>
      </c>
      <c r="N2829" s="30" t="str">
        <f t="shared" si="34"/>
        <v>Selesai</v>
      </c>
      <c r="O2829" s="45">
        <f t="shared" si="23"/>
        <v>45845.65844</v>
      </c>
      <c r="P2829" s="47" t="b">
        <v>0</v>
      </c>
      <c r="Q2829" s="36" t="str">
        <f t="shared" si="24"/>
        <v/>
      </c>
      <c r="R2829" s="47" t="b">
        <v>0</v>
      </c>
      <c r="S2829" s="42" t="str">
        <f t="shared" si="28"/>
        <v/>
      </c>
      <c r="T2829" s="42"/>
    </row>
    <row r="2830" ht="22.5" customHeight="1">
      <c r="B2830" s="42">
        <f t="shared" si="7"/>
        <v>2824</v>
      </c>
      <c r="C2830" s="31" t="s">
        <v>2896</v>
      </c>
      <c r="D2830" s="34" t="str">
        <f t="array" ref="D2830">IFNA(_xlfn.XLOOKUP(C2830,Table_Tarikan_Warkah[Nomor Sertipikat],Table_Tarikan_Warkah[Nomor Tiket]),"")</f>
        <v>K/34/230625/1</v>
      </c>
      <c r="E2830" s="36">
        <f t="array" ref="E2830">IFNA(_xlfn.XLOOKUP(D2830,Table_Tarikan_Warkah[Nomor Tiket],Table_Tarikan_Warkah[Tanggal diserahkan kepada Validator]),"")</f>
        <v>45847.49085</v>
      </c>
      <c r="F2830" s="36" t="str">
        <f t="array" ref="F2830">IFNA(_xlfn.XLOOKUP(D2830,Table_Tarikan_Warkah[Nomor Tiket],Table_Tarikan_Warkah[Nama Petugas Warkah]),"")</f>
        <v>Berry</v>
      </c>
      <c r="G2830" s="39" t="str">
        <f t="array" ref="G2830">IFNA(_xlfn.XLOOKUP(D2830,Table_Tarikan_Warkah[Nomor Tiket],Table_Tarikan_Warkah[Jenis Permohonan]),"")</f>
        <v>BN HIBAH</v>
      </c>
      <c r="H2830" s="41" t="s">
        <v>2315</v>
      </c>
      <c r="I2830" s="49" t="s">
        <v>23</v>
      </c>
      <c r="J2830" s="36">
        <f t="shared" si="20"/>
        <v>45845.4639</v>
      </c>
      <c r="K2830" s="49" t="s">
        <v>2378</v>
      </c>
      <c r="L2830" s="49" t="s">
        <v>23</v>
      </c>
      <c r="M2830" s="36">
        <f t="shared" si="33"/>
        <v>45845.6586</v>
      </c>
      <c r="N2830" s="30" t="str">
        <f t="shared" si="34"/>
        <v>Selesai</v>
      </c>
      <c r="O2830" s="45">
        <f t="shared" si="23"/>
        <v>45845.6586</v>
      </c>
      <c r="P2830" s="47" t="b">
        <v>0</v>
      </c>
      <c r="Q2830" s="36" t="str">
        <f t="shared" si="24"/>
        <v/>
      </c>
      <c r="R2830" s="47" t="b">
        <v>0</v>
      </c>
      <c r="S2830" s="42" t="str">
        <f t="shared" si="28"/>
        <v/>
      </c>
      <c r="T2830" s="42"/>
    </row>
    <row r="2831" ht="22.5" customHeight="1">
      <c r="B2831" s="42">
        <f t="shared" si="7"/>
        <v>2825</v>
      </c>
      <c r="C2831" s="31" t="s">
        <v>2897</v>
      </c>
      <c r="D2831" s="34" t="str">
        <f t="array" ref="D2831">IFNA(_xlfn.XLOOKUP(C2831,Table_Tarikan_Warkah[Nomor Sertipikat],Table_Tarikan_Warkah[Nomor Tiket]),"")</f>
        <v>K/9/160630/2</v>
      </c>
      <c r="E2831" s="36">
        <f t="array" ref="E2831">IFNA(_xlfn.XLOOKUP(D2831,Table_Tarikan_Warkah[Nomor Tiket],Table_Tarikan_Warkah[Tanggal diserahkan kepada Validator]),"")</f>
        <v>45847.4878</v>
      </c>
      <c r="F2831" s="36" t="str">
        <f t="array" ref="F2831">IFNA(_xlfn.XLOOKUP(D2831,Table_Tarikan_Warkah[Nomor Tiket],Table_Tarikan_Warkah[Nama Petugas Warkah]),"")</f>
        <v>Berry</v>
      </c>
      <c r="G2831" s="39" t="str">
        <f t="array" ref="G2831">IFNA(_xlfn.XLOOKUP(D2831,Table_Tarikan_Warkah[Nomor Tiket],Table_Tarikan_Warkah[Jenis Permohonan]),"")</f>
        <v>BN JUAL BELI</v>
      </c>
      <c r="H2831" s="41" t="s">
        <v>2315</v>
      </c>
      <c r="I2831" s="49" t="s">
        <v>23</v>
      </c>
      <c r="J2831" s="36">
        <f t="shared" si="20"/>
        <v>45845.46396</v>
      </c>
      <c r="K2831" s="49" t="s">
        <v>2378</v>
      </c>
      <c r="L2831" s="49" t="s">
        <v>23</v>
      </c>
      <c r="M2831" s="36">
        <f t="shared" si="33"/>
        <v>45845.66012</v>
      </c>
      <c r="N2831" s="30" t="str">
        <f t="shared" si="34"/>
        <v>Selesai</v>
      </c>
      <c r="O2831" s="45">
        <f t="shared" si="23"/>
        <v>45845.66012</v>
      </c>
      <c r="P2831" s="47" t="b">
        <v>0</v>
      </c>
      <c r="Q2831" s="36" t="str">
        <f t="shared" si="24"/>
        <v/>
      </c>
      <c r="R2831" s="47" t="b">
        <v>0</v>
      </c>
      <c r="S2831" s="42" t="str">
        <f t="shared" si="28"/>
        <v/>
      </c>
      <c r="T2831" s="42"/>
    </row>
    <row r="2832" ht="22.5" customHeight="1">
      <c r="B2832" s="42">
        <f t="shared" si="7"/>
        <v>2826</v>
      </c>
      <c r="C2832" s="31" t="s">
        <v>2898</v>
      </c>
      <c r="D2832" s="34" t="str">
        <f t="array" ref="D2832">IFNA(_xlfn.XLOOKUP(C2832,Table_Tarikan_Warkah[Nomor Sertipikat],Table_Tarikan_Warkah[Nomor Tiket]),"")</f>
        <v>K/27/300625/1</v>
      </c>
      <c r="E2832" s="36">
        <f t="array" ref="E2832">IFNA(_xlfn.XLOOKUP(D2832,Table_Tarikan_Warkah[Nomor Tiket],Table_Tarikan_Warkah[Tanggal diserahkan kepada Validator]),"")</f>
        <v>45847.48815</v>
      </c>
      <c r="F2832" s="36" t="str">
        <f t="array" ref="F2832">IFNA(_xlfn.XLOOKUP(D2832,Table_Tarikan_Warkah[Nomor Tiket],Table_Tarikan_Warkah[Nama Petugas Warkah]),"")</f>
        <v>Berry</v>
      </c>
      <c r="G2832" s="39" t="str">
        <f t="array" ref="G2832">IFNA(_xlfn.XLOOKUP(D2832,Table_Tarikan_Warkah[Nomor Tiket],Table_Tarikan_Warkah[Jenis Permohonan]),"")</f>
        <v>BN JUAL BELI</v>
      </c>
      <c r="H2832" s="41" t="s">
        <v>2315</v>
      </c>
      <c r="I2832" s="49" t="s">
        <v>23</v>
      </c>
      <c r="J2832" s="36">
        <f t="shared" si="20"/>
        <v>45845.4642</v>
      </c>
      <c r="K2832" s="49" t="s">
        <v>2378</v>
      </c>
      <c r="L2832" s="49" t="s">
        <v>23</v>
      </c>
      <c r="M2832" s="36">
        <f t="shared" si="33"/>
        <v>45845.65882</v>
      </c>
      <c r="N2832" s="30" t="str">
        <f t="shared" si="34"/>
        <v>Selesai</v>
      </c>
      <c r="O2832" s="45">
        <f t="shared" si="23"/>
        <v>45845.65882</v>
      </c>
      <c r="P2832" s="47" t="b">
        <v>0</v>
      </c>
      <c r="Q2832" s="36" t="str">
        <f t="shared" si="24"/>
        <v/>
      </c>
      <c r="R2832" s="47" t="b">
        <v>0</v>
      </c>
      <c r="S2832" s="42" t="str">
        <f t="shared" si="28"/>
        <v/>
      </c>
      <c r="T2832" s="42"/>
    </row>
    <row r="2833" ht="22.5" customHeight="1">
      <c r="B2833" s="42">
        <f t="shared" si="7"/>
        <v>2827</v>
      </c>
      <c r="C2833" s="31" t="s">
        <v>2899</v>
      </c>
      <c r="D2833" s="34" t="str">
        <f t="array" ref="D2833">IFNA(_xlfn.XLOOKUP(C2833,Table_Tarikan_Warkah[Nomor Sertipikat],Table_Tarikan_Warkah[Nomor Tiket]),"")</f>
        <v>K/30/260625/1</v>
      </c>
      <c r="E2833" s="36">
        <f t="array" ref="E2833">IFNA(_xlfn.XLOOKUP(D2833,Table_Tarikan_Warkah[Nomor Tiket],Table_Tarikan_Warkah[Tanggal diserahkan kepada Validator]),"")</f>
        <v>45847.49324</v>
      </c>
      <c r="F2833" s="36" t="str">
        <f t="array" ref="F2833">IFNA(_xlfn.XLOOKUP(D2833,Table_Tarikan_Warkah[Nomor Tiket],Table_Tarikan_Warkah[Nama Petugas Warkah]),"")</f>
        <v>Berry</v>
      </c>
      <c r="G2833" s="39" t="str">
        <f t="array" ref="G2833">IFNA(_xlfn.XLOOKUP(D2833,Table_Tarikan_Warkah[Nomor Tiket],Table_Tarikan_Warkah[Jenis Permohonan]),"")</f>
        <v>BN JUAL BELI</v>
      </c>
      <c r="H2833" s="41" t="s">
        <v>2315</v>
      </c>
      <c r="I2833" s="49" t="s">
        <v>23</v>
      </c>
      <c r="J2833" s="36">
        <f t="shared" si="20"/>
        <v>45845.46429</v>
      </c>
      <c r="K2833" s="49" t="s">
        <v>2378</v>
      </c>
      <c r="L2833" s="49" t="s">
        <v>23</v>
      </c>
      <c r="M2833" s="36">
        <f t="shared" si="33"/>
        <v>45845.66002</v>
      </c>
      <c r="N2833" s="30" t="str">
        <f t="shared" si="34"/>
        <v>Selesai</v>
      </c>
      <c r="O2833" s="45">
        <f t="shared" si="23"/>
        <v>45845.66002</v>
      </c>
      <c r="P2833" s="47" t="b">
        <v>0</v>
      </c>
      <c r="Q2833" s="36" t="str">
        <f t="shared" si="24"/>
        <v/>
      </c>
      <c r="R2833" s="47" t="b">
        <v>0</v>
      </c>
      <c r="S2833" s="42" t="str">
        <f t="shared" si="28"/>
        <v/>
      </c>
      <c r="T2833" s="42"/>
    </row>
    <row r="2834" ht="22.5" customHeight="1">
      <c r="B2834" s="42">
        <f t="shared" si="7"/>
        <v>2828</v>
      </c>
      <c r="C2834" s="31" t="s">
        <v>2900</v>
      </c>
      <c r="D2834" s="34" t="str">
        <f t="array" ref="D2834">IFNA(_xlfn.XLOOKUP(C2834,Table_Tarikan_Warkah[Nomor Sertipikat],Table_Tarikan_Warkah[Nomor Tiket]),"")</f>
        <v>K/18/010725/1</v>
      </c>
      <c r="E2834" s="36">
        <f t="array" ref="E2834">IFNA(_xlfn.XLOOKUP(D2834,Table_Tarikan_Warkah[Nomor Tiket],Table_Tarikan_Warkah[Tanggal diserahkan kepada Validator]),"")</f>
        <v>45847.49231</v>
      </c>
      <c r="F2834" s="36" t="str">
        <f t="array" ref="F2834">IFNA(_xlfn.XLOOKUP(D2834,Table_Tarikan_Warkah[Nomor Tiket],Table_Tarikan_Warkah[Nama Petugas Warkah]),"")</f>
        <v>Berry</v>
      </c>
      <c r="G2834" s="39" t="str">
        <f t="array" ref="G2834">IFNA(_xlfn.XLOOKUP(D2834,Table_Tarikan_Warkah[Nomor Tiket],Table_Tarikan_Warkah[Jenis Permohonan]),"")</f>
        <v>BN JUAL BELI</v>
      </c>
      <c r="H2834" s="41" t="s">
        <v>2315</v>
      </c>
      <c r="I2834" s="49" t="s">
        <v>23</v>
      </c>
      <c r="J2834" s="36">
        <f t="shared" si="20"/>
        <v>45845.46455</v>
      </c>
      <c r="K2834" s="49" t="s">
        <v>2378</v>
      </c>
      <c r="L2834" s="49" t="s">
        <v>23</v>
      </c>
      <c r="M2834" s="36">
        <f t="shared" si="33"/>
        <v>45845.65896</v>
      </c>
      <c r="N2834" s="30" t="str">
        <f t="shared" si="34"/>
        <v>Selesai</v>
      </c>
      <c r="O2834" s="45">
        <f t="shared" si="23"/>
        <v>45845.65896</v>
      </c>
      <c r="P2834" s="47" t="b">
        <v>0</v>
      </c>
      <c r="Q2834" s="36" t="str">
        <f t="shared" si="24"/>
        <v/>
      </c>
      <c r="R2834" s="47" t="b">
        <v>0</v>
      </c>
      <c r="S2834" s="42" t="str">
        <f t="shared" si="28"/>
        <v/>
      </c>
      <c r="T2834" s="42"/>
    </row>
    <row r="2835" ht="22.5" customHeight="1">
      <c r="B2835" s="42">
        <f t="shared" si="7"/>
        <v>2829</v>
      </c>
      <c r="C2835" s="31" t="s">
        <v>2901</v>
      </c>
      <c r="D2835" s="34" t="str">
        <f t="array" ref="D2835">IFNA(_xlfn.XLOOKUP(C2835,Table_Tarikan_Warkah[Nomor Sertipikat],Table_Tarikan_Warkah[Nomor Tiket]),"")</f>
        <v>K/4/010725/1</v>
      </c>
      <c r="E2835" s="36" t="str">
        <f t="array" ref="E2835">IFNA(_xlfn.XLOOKUP(D2835,Table_Tarikan_Warkah[Nomor Tiket],Table_Tarikan_Warkah[Tanggal diserahkan kepada Validator]),"")</f>
        <v/>
      </c>
      <c r="F2835" s="36" t="str">
        <f t="array" ref="F2835">IFNA(_xlfn.XLOOKUP(D2835,Table_Tarikan_Warkah[Nomor Tiket],Table_Tarikan_Warkah[Nama Petugas Warkah]),"")</f>
        <v/>
      </c>
      <c r="G2835" s="39" t="str">
        <f t="array" ref="G2835">IFNA(_xlfn.XLOOKUP(D2835,Table_Tarikan_Warkah[Nomor Tiket],Table_Tarikan_Warkah[Jenis Permohonan]),"")</f>
        <v>PTPGT </v>
      </c>
      <c r="H2835" s="41" t="s">
        <v>2315</v>
      </c>
      <c r="I2835" s="49" t="s">
        <v>23</v>
      </c>
      <c r="J2835" s="36">
        <f t="shared" si="20"/>
        <v>45845.46477</v>
      </c>
      <c r="K2835" s="49" t="s">
        <v>2378</v>
      </c>
      <c r="L2835" s="49" t="s">
        <v>23</v>
      </c>
      <c r="M2835" s="36">
        <f t="shared" si="33"/>
        <v>45845.65782</v>
      </c>
      <c r="N2835" s="30" t="str">
        <f t="shared" si="34"/>
        <v>Selesai</v>
      </c>
      <c r="O2835" s="45">
        <f t="shared" si="23"/>
        <v>45845.65782</v>
      </c>
      <c r="P2835" s="47" t="b">
        <v>0</v>
      </c>
      <c r="Q2835" s="36" t="str">
        <f t="shared" si="24"/>
        <v/>
      </c>
      <c r="R2835" s="47" t="b">
        <v>0</v>
      </c>
      <c r="S2835" s="42" t="str">
        <f t="shared" si="28"/>
        <v/>
      </c>
      <c r="T2835" s="42"/>
    </row>
    <row r="2836" ht="22.5" customHeight="1">
      <c r="B2836" s="42">
        <f t="shared" si="7"/>
        <v>2830</v>
      </c>
      <c r="C2836" s="31" t="s">
        <v>2902</v>
      </c>
      <c r="D2836" s="34" t="str">
        <f t="array" ref="D2836">IFNA(_xlfn.XLOOKUP(C2836,Table_Tarikan_Warkah[Nomor Sertipikat],Table_Tarikan_Warkah[Nomor Tiket]),"")</f>
        <v/>
      </c>
      <c r="E2836" s="36" t="str">
        <f t="array" ref="E2836">IFNA(_xlfn.XLOOKUP(D2836,Table_Tarikan_Warkah[Nomor Tiket],Table_Tarikan_Warkah[Tanggal diserahkan kepada Validator]),"")</f>
        <v/>
      </c>
      <c r="F2836" s="36" t="str">
        <f t="array" ref="F2836">IFNA(_xlfn.XLOOKUP(D2836,Table_Tarikan_Warkah[Nomor Tiket],Table_Tarikan_Warkah[Nama Petugas Warkah]),"")</f>
        <v/>
      </c>
      <c r="G2836" s="39" t="str">
        <f t="array" ref="G2836">IFNA(_xlfn.XLOOKUP(D2836,Table_Tarikan_Warkah[Nomor Tiket],Table_Tarikan_Warkah[Jenis Permohonan]),"")</f>
        <v/>
      </c>
      <c r="H2836" s="70"/>
      <c r="I2836" s="49"/>
      <c r="J2836" s="36" t="str">
        <f t="shared" si="20"/>
        <v/>
      </c>
      <c r="K2836" s="49" t="s">
        <v>2378</v>
      </c>
      <c r="L2836" s="49" t="s">
        <v>23</v>
      </c>
      <c r="M2836" s="36">
        <f t="shared" si="33"/>
        <v>45845.65964</v>
      </c>
      <c r="N2836" s="30" t="str">
        <f t="shared" si="34"/>
        <v/>
      </c>
      <c r="O2836" s="39" t="str">
        <f t="shared" si="23"/>
        <v/>
      </c>
      <c r="P2836" s="47" t="b">
        <v>0</v>
      </c>
      <c r="Q2836" s="36" t="str">
        <f t="shared" si="24"/>
        <v/>
      </c>
      <c r="R2836" s="47" t="b">
        <v>0</v>
      </c>
      <c r="S2836" s="42" t="str">
        <f t="shared" si="28"/>
        <v/>
      </c>
      <c r="T2836" s="42"/>
    </row>
    <row r="2837" ht="22.5" customHeight="1">
      <c r="B2837" s="42">
        <f t="shared" si="7"/>
        <v>2831</v>
      </c>
      <c r="C2837" s="31" t="s">
        <v>2903</v>
      </c>
      <c r="D2837" s="34" t="str">
        <f t="array" ref="D2837">IFNA(_xlfn.XLOOKUP(C2837,Table_Tarikan_Warkah[Nomor Sertipikat],Table_Tarikan_Warkah[Nomor Tiket]),"")</f>
        <v>K/23/180625/1</v>
      </c>
      <c r="E2837" s="36">
        <f t="array" ref="E2837">IFNA(_xlfn.XLOOKUP(D2837,Table_Tarikan_Warkah[Nomor Tiket],Table_Tarikan_Warkah[Tanggal diserahkan kepada Validator]),"")</f>
        <v>45860.663</v>
      </c>
      <c r="F2837" s="36" t="str">
        <f t="array" ref="F2837">IFNA(_xlfn.XLOOKUP(D2837,Table_Tarikan_Warkah[Nomor Tiket],Table_Tarikan_Warkah[Nama Petugas Warkah]),"")</f>
        <v>Berry</v>
      </c>
      <c r="G2837" s="39" t="str">
        <f t="array" ref="G2837">IFNA(_xlfn.XLOOKUP(D2837,Table_Tarikan_Warkah[Nomor Tiket],Table_Tarikan_Warkah[Jenis Permohonan]),"")</f>
        <v>BN JUAL BELI</v>
      </c>
      <c r="H2837" s="41" t="s">
        <v>20</v>
      </c>
      <c r="I2837" s="49" t="s">
        <v>23</v>
      </c>
      <c r="J2837" s="36">
        <f t="shared" si="20"/>
        <v>45846.39983</v>
      </c>
      <c r="K2837" s="49" t="s">
        <v>2378</v>
      </c>
      <c r="L2837" s="49" t="s">
        <v>23</v>
      </c>
      <c r="M2837" s="36">
        <f t="shared" si="33"/>
        <v>45846.53315</v>
      </c>
      <c r="N2837" s="30" t="str">
        <f t="shared" si="34"/>
        <v>Selesai</v>
      </c>
      <c r="O2837" s="45">
        <f t="shared" si="23"/>
        <v>45846.53315</v>
      </c>
      <c r="P2837" s="47" t="b">
        <v>0</v>
      </c>
      <c r="Q2837" s="36" t="str">
        <f t="shared" si="24"/>
        <v/>
      </c>
      <c r="R2837" s="47" t="b">
        <v>0</v>
      </c>
      <c r="S2837" s="42" t="str">
        <f t="shared" si="28"/>
        <v/>
      </c>
      <c r="T2837" s="42"/>
    </row>
    <row r="2838" ht="22.5" customHeight="1">
      <c r="B2838" s="42">
        <f t="shared" si="7"/>
        <v>2832</v>
      </c>
      <c r="C2838" s="31" t="s">
        <v>2904</v>
      </c>
      <c r="D2838" s="34" t="str">
        <f t="array" ref="D2838">IFNA(_xlfn.XLOOKUP(C2838,Table_Tarikan_Warkah[Nomor Sertipikat],Table_Tarikan_Warkah[Nomor Tiket]),"")</f>
        <v>K/15/260525/1</v>
      </c>
      <c r="E2838" s="36">
        <f t="array" ref="E2838">IFNA(_xlfn.XLOOKUP(D2838,Table_Tarikan_Warkah[Nomor Tiket],Table_Tarikan_Warkah[Tanggal diserahkan kepada Validator]),"")</f>
        <v>45849.46069</v>
      </c>
      <c r="F2838" s="36" t="str">
        <f t="array" ref="F2838">IFNA(_xlfn.XLOOKUP(D2838,Table_Tarikan_Warkah[Nomor Tiket],Table_Tarikan_Warkah[Nama Petugas Warkah]),"")</f>
        <v>David</v>
      </c>
      <c r="G2838" s="39" t="str">
        <f t="array" ref="G2838">IFNA(_xlfn.XLOOKUP(D2838,Table_Tarikan_Warkah[Nomor Tiket],Table_Tarikan_Warkah[Jenis Permohonan]),"")</f>
        <v>BN Jual Beli</v>
      </c>
      <c r="H2838" s="41" t="s">
        <v>20</v>
      </c>
      <c r="I2838" s="49" t="s">
        <v>23</v>
      </c>
      <c r="J2838" s="36">
        <f t="shared" si="20"/>
        <v>45846.4001</v>
      </c>
      <c r="K2838" s="49" t="s">
        <v>2378</v>
      </c>
      <c r="L2838" s="49" t="s">
        <v>23</v>
      </c>
      <c r="M2838" s="36">
        <f t="shared" si="33"/>
        <v>45846.53325</v>
      </c>
      <c r="N2838" s="30" t="str">
        <f t="shared" si="34"/>
        <v>Selesai</v>
      </c>
      <c r="O2838" s="45">
        <f t="shared" si="23"/>
        <v>45846.53325</v>
      </c>
      <c r="P2838" s="47" t="b">
        <v>0</v>
      </c>
      <c r="Q2838" s="36" t="str">
        <f t="shared" si="24"/>
        <v/>
      </c>
      <c r="R2838" s="47" t="b">
        <v>0</v>
      </c>
      <c r="S2838" s="42" t="str">
        <f t="shared" si="28"/>
        <v/>
      </c>
      <c r="T2838" s="42"/>
    </row>
    <row r="2839" ht="22.5" customHeight="1">
      <c r="B2839" s="42">
        <f t="shared" si="7"/>
        <v>2833</v>
      </c>
      <c r="C2839" s="31" t="s">
        <v>2905</v>
      </c>
      <c r="D2839" s="34" t="str">
        <f t="array" ref="D2839">IFNA(_xlfn.XLOOKUP(C2839,Table_Tarikan_Warkah[Nomor Sertipikat],Table_Tarikan_Warkah[Nomor Tiket]),"")</f>
        <v>K/9/180625/1</v>
      </c>
      <c r="E2839" s="36">
        <f t="array" ref="E2839">IFNA(_xlfn.XLOOKUP(D2839,Table_Tarikan_Warkah[Nomor Tiket],Table_Tarikan_Warkah[Tanggal diserahkan kepada Validator]),"")</f>
        <v>45849.46177</v>
      </c>
      <c r="F2839" s="36" t="str">
        <f t="array" ref="F2839">IFNA(_xlfn.XLOOKUP(D2839,Table_Tarikan_Warkah[Nomor Tiket],Table_Tarikan_Warkah[Nama Petugas Warkah]),"")</f>
        <v>David</v>
      </c>
      <c r="G2839" s="39" t="str">
        <f t="array" ref="G2839">IFNA(_xlfn.XLOOKUP(D2839,Table_Tarikan_Warkah[Nomor Tiket],Table_Tarikan_Warkah[Jenis Permohonan]),"")</f>
        <v>BN Jual Beli</v>
      </c>
      <c r="H2839" s="41" t="s">
        <v>20</v>
      </c>
      <c r="I2839" s="49" t="s">
        <v>23</v>
      </c>
      <c r="J2839" s="36">
        <f t="shared" si="20"/>
        <v>45846.40025</v>
      </c>
      <c r="K2839" s="49" t="s">
        <v>2378</v>
      </c>
      <c r="L2839" s="49" t="s">
        <v>23</v>
      </c>
      <c r="M2839" s="36">
        <f t="shared" si="33"/>
        <v>45846.53333</v>
      </c>
      <c r="N2839" s="30" t="str">
        <f t="shared" si="34"/>
        <v>Selesai</v>
      </c>
      <c r="O2839" s="45">
        <f t="shared" si="23"/>
        <v>45846.53333</v>
      </c>
      <c r="P2839" s="47" t="b">
        <v>0</v>
      </c>
      <c r="Q2839" s="36" t="str">
        <f t="shared" si="24"/>
        <v/>
      </c>
      <c r="R2839" s="47" t="b">
        <v>0</v>
      </c>
      <c r="S2839" s="42" t="str">
        <f t="shared" si="28"/>
        <v/>
      </c>
      <c r="T2839" s="42"/>
    </row>
    <row r="2840" ht="22.5" customHeight="1">
      <c r="B2840" s="42">
        <f t="shared" si="7"/>
        <v>2834</v>
      </c>
      <c r="C2840" s="31" t="s">
        <v>2906</v>
      </c>
      <c r="D2840" s="34" t="str">
        <f t="array" ref="D2840">IFNA(_xlfn.XLOOKUP(C2840,Table_Tarikan_Warkah[Nomor Sertipikat],Table_Tarikan_Warkah[Nomor Tiket]),"")</f>
        <v>K/9/130625/1</v>
      </c>
      <c r="E2840" s="36">
        <f t="array" ref="E2840">IFNA(_xlfn.XLOOKUP(D2840,Table_Tarikan_Warkah[Nomor Tiket],Table_Tarikan_Warkah[Tanggal diserahkan kepada Validator]),"")</f>
        <v>45849.45774</v>
      </c>
      <c r="F2840" s="36" t="str">
        <f t="array" ref="F2840">IFNA(_xlfn.XLOOKUP(D2840,Table_Tarikan_Warkah[Nomor Tiket],Table_Tarikan_Warkah[Nama Petugas Warkah]),"")</f>
        <v>David</v>
      </c>
      <c r="G2840" s="39" t="str">
        <f t="array" ref="G2840">IFNA(_xlfn.XLOOKUP(D2840,Table_Tarikan_Warkah[Nomor Tiket],Table_Tarikan_Warkah[Jenis Permohonan]),"")</f>
        <v>BN Jual Beli</v>
      </c>
      <c r="H2840" s="41" t="s">
        <v>20</v>
      </c>
      <c r="I2840" s="49" t="s">
        <v>23</v>
      </c>
      <c r="J2840" s="36">
        <f t="shared" si="20"/>
        <v>45846.4004</v>
      </c>
      <c r="K2840" s="49" t="s">
        <v>2378</v>
      </c>
      <c r="L2840" s="49" t="s">
        <v>23</v>
      </c>
      <c r="M2840" s="36">
        <f t="shared" si="33"/>
        <v>45846.533</v>
      </c>
      <c r="N2840" s="30" t="str">
        <f t="shared" si="34"/>
        <v>Selesai</v>
      </c>
      <c r="O2840" s="45">
        <f t="shared" si="23"/>
        <v>45846.533</v>
      </c>
      <c r="P2840" s="47" t="b">
        <v>0</v>
      </c>
      <c r="Q2840" s="36" t="str">
        <f t="shared" si="24"/>
        <v/>
      </c>
      <c r="R2840" s="47" t="b">
        <v>0</v>
      </c>
      <c r="S2840" s="42" t="str">
        <f t="shared" si="28"/>
        <v/>
      </c>
      <c r="T2840" s="42"/>
    </row>
    <row r="2841" ht="22.5" customHeight="1">
      <c r="B2841" s="42">
        <f t="shared" si="7"/>
        <v>2835</v>
      </c>
      <c r="C2841" s="31" t="s">
        <v>2907</v>
      </c>
      <c r="D2841" s="34" t="str">
        <f t="array" ref="D2841">IFNA(_xlfn.XLOOKUP(C2841,Table_Tarikan_Warkah[Nomor Sertipikat],Table_Tarikan_Warkah[Nomor Tiket]),"")</f>
        <v>K/25/160635/2</v>
      </c>
      <c r="E2841" s="36">
        <f t="array" ref="E2841">IFNA(_xlfn.XLOOKUP(D2841,Table_Tarikan_Warkah[Nomor Tiket],Table_Tarikan_Warkah[Tanggal diserahkan kepada Validator]),"")</f>
        <v>45848.61886</v>
      </c>
      <c r="F2841" s="36" t="str">
        <f t="array" ref="F2841">IFNA(_xlfn.XLOOKUP(D2841,Table_Tarikan_Warkah[Nomor Tiket],Table_Tarikan_Warkah[Nama Petugas Warkah]),"")</f>
        <v>David</v>
      </c>
      <c r="G2841" s="39" t="str">
        <f t="array" ref="G2841">IFNA(_xlfn.XLOOKUP(D2841,Table_Tarikan_Warkah[Nomor Tiket],Table_Tarikan_Warkah[Jenis Permohonan]),"")</f>
        <v>JUAL BELI</v>
      </c>
      <c r="H2841" s="41" t="s">
        <v>20</v>
      </c>
      <c r="I2841" s="49" t="s">
        <v>23</v>
      </c>
      <c r="J2841" s="36">
        <f t="shared" si="20"/>
        <v>45846.40049</v>
      </c>
      <c r="K2841" s="49" t="s">
        <v>2378</v>
      </c>
      <c r="L2841" s="49" t="s">
        <v>23</v>
      </c>
      <c r="M2841" s="36">
        <f t="shared" si="33"/>
        <v>45846.53347</v>
      </c>
      <c r="N2841" s="30" t="str">
        <f t="shared" si="34"/>
        <v>Selesai</v>
      </c>
      <c r="O2841" s="45">
        <f t="shared" si="23"/>
        <v>45846.53347</v>
      </c>
      <c r="P2841" s="47" t="b">
        <v>0</v>
      </c>
      <c r="Q2841" s="36" t="str">
        <f t="shared" si="24"/>
        <v/>
      </c>
      <c r="R2841" s="47" t="b">
        <v>0</v>
      </c>
      <c r="S2841" s="42" t="str">
        <f t="shared" si="28"/>
        <v/>
      </c>
      <c r="T2841" s="42"/>
    </row>
    <row r="2842" ht="22.5" customHeight="1">
      <c r="B2842" s="42">
        <f t="shared" si="7"/>
        <v>2836</v>
      </c>
      <c r="C2842" s="31" t="s">
        <v>2908</v>
      </c>
      <c r="D2842" s="34" t="str">
        <f t="array" ref="D2842">IFNA(_xlfn.XLOOKUP(C2842,Table_Tarikan_Warkah[Nomor Sertipikat],Table_Tarikan_Warkah[Nomor Tiket]),"")</f>
        <v>K/22/180625/1</v>
      </c>
      <c r="E2842" s="36">
        <f t="array" ref="E2842">IFNA(_xlfn.XLOOKUP(D2842,Table_Tarikan_Warkah[Nomor Tiket],Table_Tarikan_Warkah[Tanggal diserahkan kepada Validator]),"")</f>
        <v>45848.61802</v>
      </c>
      <c r="F2842" s="36" t="str">
        <f t="array" ref="F2842">IFNA(_xlfn.XLOOKUP(D2842,Table_Tarikan_Warkah[Nomor Tiket],Table_Tarikan_Warkah[Nama Petugas Warkah]),"")</f>
        <v>David</v>
      </c>
      <c r="G2842" s="39" t="str">
        <f t="array" ref="G2842">IFNA(_xlfn.XLOOKUP(D2842,Table_Tarikan_Warkah[Nomor Tiket],Table_Tarikan_Warkah[Jenis Permohonan]),"")</f>
        <v>KEWARISAN</v>
      </c>
      <c r="H2842" s="41" t="s">
        <v>20</v>
      </c>
      <c r="I2842" s="49" t="s">
        <v>23</v>
      </c>
      <c r="J2842" s="36">
        <f t="shared" si="20"/>
        <v>45846.40064</v>
      </c>
      <c r="K2842" s="49" t="s">
        <v>2378</v>
      </c>
      <c r="L2842" s="49" t="s">
        <v>23</v>
      </c>
      <c r="M2842" s="36">
        <f t="shared" si="33"/>
        <v>45846.53354</v>
      </c>
      <c r="N2842" s="30" t="str">
        <f t="shared" si="34"/>
        <v>Selesai</v>
      </c>
      <c r="O2842" s="45">
        <f t="shared" si="23"/>
        <v>45846.53354</v>
      </c>
      <c r="P2842" s="47" t="b">
        <v>0</v>
      </c>
      <c r="Q2842" s="36" t="str">
        <f t="shared" si="24"/>
        <v/>
      </c>
      <c r="R2842" s="47" t="b">
        <v>0</v>
      </c>
      <c r="S2842" s="42" t="str">
        <f t="shared" si="28"/>
        <v/>
      </c>
      <c r="T2842" s="42"/>
    </row>
    <row r="2843" ht="22.5" customHeight="1">
      <c r="B2843" s="42">
        <f t="shared" si="7"/>
        <v>2837</v>
      </c>
      <c r="C2843" s="31" t="s">
        <v>2909</v>
      </c>
      <c r="D2843" s="34" t="str">
        <f t="array" ref="D2843">IFNA(_xlfn.XLOOKUP(C2843,Table_Tarikan_Warkah[Nomor Sertipikat],Table_Tarikan_Warkah[Nomor Tiket]),"")</f>
        <v>K/26/170625/3</v>
      </c>
      <c r="E2843" s="36">
        <f t="array" ref="E2843">IFNA(_xlfn.XLOOKUP(D2843,Table_Tarikan_Warkah[Nomor Tiket],Table_Tarikan_Warkah[Tanggal diserahkan kepada Validator]),"")</f>
        <v>45848.61918</v>
      </c>
      <c r="F2843" s="36" t="str">
        <f t="array" ref="F2843">IFNA(_xlfn.XLOOKUP(D2843,Table_Tarikan_Warkah[Nomor Tiket],Table_Tarikan_Warkah[Nama Petugas Warkah]),"")</f>
        <v>David</v>
      </c>
      <c r="G2843" s="39" t="str">
        <f t="array" ref="G2843">IFNA(_xlfn.XLOOKUP(D2843,Table_Tarikan_Warkah[Nomor Tiket],Table_Tarikan_Warkah[Jenis Permohonan]),"")</f>
        <v>JUAL BELI</v>
      </c>
      <c r="H2843" s="41" t="s">
        <v>20</v>
      </c>
      <c r="I2843" s="49" t="s">
        <v>23</v>
      </c>
      <c r="J2843" s="36">
        <f t="shared" si="20"/>
        <v>45846.40076</v>
      </c>
      <c r="K2843" s="49" t="s">
        <v>2378</v>
      </c>
      <c r="L2843" s="49" t="s">
        <v>23</v>
      </c>
      <c r="M2843" s="36">
        <f t="shared" si="33"/>
        <v>45846.53367</v>
      </c>
      <c r="N2843" s="30" t="str">
        <f t="shared" si="34"/>
        <v>Selesai</v>
      </c>
      <c r="O2843" s="45">
        <f t="shared" si="23"/>
        <v>45846.53367</v>
      </c>
      <c r="P2843" s="47" t="b">
        <v>0</v>
      </c>
      <c r="Q2843" s="36" t="str">
        <f t="shared" si="24"/>
        <v/>
      </c>
      <c r="R2843" s="47" t="b">
        <v>0</v>
      </c>
      <c r="S2843" s="42" t="str">
        <f t="shared" si="28"/>
        <v/>
      </c>
      <c r="T2843" s="42"/>
    </row>
    <row r="2844" ht="22.5" customHeight="1">
      <c r="B2844" s="42">
        <f t="shared" si="7"/>
        <v>2838</v>
      </c>
      <c r="C2844" s="31" t="s">
        <v>2910</v>
      </c>
      <c r="D2844" s="34" t="str">
        <f t="array" ref="D2844">IFNA(_xlfn.XLOOKUP(C2844,Table_Tarikan_Warkah[Nomor Sertipikat],Table_Tarikan_Warkah[Nomor Tiket]),"")</f>
        <v>K/38/240625/2</v>
      </c>
      <c r="E2844" s="36">
        <f t="array" ref="E2844">IFNA(_xlfn.XLOOKUP(D2844,Table_Tarikan_Warkah[Nomor Tiket],Table_Tarikan_Warkah[Tanggal diserahkan kepada Validator]),"")</f>
        <v>45848.52854</v>
      </c>
      <c r="F2844" s="36" t="str">
        <f t="array" ref="F2844">IFNA(_xlfn.XLOOKUP(D2844,Table_Tarikan_Warkah[Nomor Tiket],Table_Tarikan_Warkah[Nama Petugas Warkah]),"")</f>
        <v>David</v>
      </c>
      <c r="G2844" s="39" t="str">
        <f t="array" ref="G2844">IFNA(_xlfn.XLOOKUP(D2844,Table_Tarikan_Warkah[Nomor Tiket],Table_Tarikan_Warkah[Jenis Permohonan]),"")</f>
        <v>JUAL BELI</v>
      </c>
      <c r="H2844" s="41" t="s">
        <v>20</v>
      </c>
      <c r="I2844" s="49" t="s">
        <v>23</v>
      </c>
      <c r="J2844" s="36">
        <f t="shared" si="20"/>
        <v>45846.40087</v>
      </c>
      <c r="K2844" s="49" t="s">
        <v>2378</v>
      </c>
      <c r="L2844" s="49" t="s">
        <v>23</v>
      </c>
      <c r="M2844" s="36">
        <f t="shared" si="33"/>
        <v>45846.53282</v>
      </c>
      <c r="N2844" s="30" t="str">
        <f t="shared" si="34"/>
        <v>Selesai</v>
      </c>
      <c r="O2844" s="45">
        <f t="shared" si="23"/>
        <v>45846.53282</v>
      </c>
      <c r="P2844" s="47" t="b">
        <v>0</v>
      </c>
      <c r="Q2844" s="36" t="str">
        <f t="shared" si="24"/>
        <v/>
      </c>
      <c r="R2844" s="47" t="b">
        <v>0</v>
      </c>
      <c r="S2844" s="42" t="str">
        <f t="shared" si="28"/>
        <v/>
      </c>
      <c r="T2844" s="42"/>
    </row>
    <row r="2845" ht="22.5" customHeight="1">
      <c r="B2845" s="42">
        <f t="shared" si="7"/>
        <v>2839</v>
      </c>
      <c r="C2845" s="31" t="s">
        <v>2911</v>
      </c>
      <c r="D2845" s="34" t="str">
        <f t="array" ref="D2845">IFNA(_xlfn.XLOOKUP(C2845,Table_Tarikan_Warkah[Nomor Sertipikat],Table_Tarikan_Warkah[Nomor Tiket]),"")</f>
        <v>K/45/190625/3</v>
      </c>
      <c r="E2845" s="36">
        <f t="array" ref="E2845">IFNA(_xlfn.XLOOKUP(D2845,Table_Tarikan_Warkah[Nomor Tiket],Table_Tarikan_Warkah[Tanggal diserahkan kepada Validator]),"")</f>
        <v>45848.52374</v>
      </c>
      <c r="F2845" s="36" t="str">
        <f t="array" ref="F2845">IFNA(_xlfn.XLOOKUP(D2845,Table_Tarikan_Warkah[Nomor Tiket],Table_Tarikan_Warkah[Nama Petugas Warkah]),"")</f>
        <v>David</v>
      </c>
      <c r="G2845" s="39" t="str">
        <f t="array" ref="G2845">IFNA(_xlfn.XLOOKUP(D2845,Table_Tarikan_Warkah[Nomor Tiket],Table_Tarikan_Warkah[Jenis Permohonan]),"")</f>
        <v>BN JUAL BELI</v>
      </c>
      <c r="H2845" s="41" t="s">
        <v>20</v>
      </c>
      <c r="I2845" s="49" t="s">
        <v>23</v>
      </c>
      <c r="J2845" s="36">
        <f t="shared" si="20"/>
        <v>45846.40099</v>
      </c>
      <c r="K2845" s="49" t="s">
        <v>2378</v>
      </c>
      <c r="L2845" s="49" t="s">
        <v>23</v>
      </c>
      <c r="M2845" s="36">
        <f t="shared" si="33"/>
        <v>45846.53264</v>
      </c>
      <c r="N2845" s="30" t="str">
        <f t="shared" si="34"/>
        <v>Selesai</v>
      </c>
      <c r="O2845" s="45">
        <f t="shared" si="23"/>
        <v>45846.53264</v>
      </c>
      <c r="P2845" s="47" t="b">
        <v>0</v>
      </c>
      <c r="Q2845" s="36" t="str">
        <f t="shared" si="24"/>
        <v/>
      </c>
      <c r="R2845" s="47" t="b">
        <v>0</v>
      </c>
      <c r="S2845" s="42" t="str">
        <f t="shared" si="28"/>
        <v/>
      </c>
      <c r="T2845" s="42"/>
    </row>
    <row r="2846" ht="22.5" customHeight="1">
      <c r="B2846" s="42">
        <f t="shared" si="7"/>
        <v>2840</v>
      </c>
      <c r="C2846" s="31" t="s">
        <v>2912</v>
      </c>
      <c r="D2846" s="42" t="s">
        <v>2913</v>
      </c>
      <c r="E2846" s="36">
        <f t="array" ref="E2846">IFNA(_xlfn.XLOOKUP(D2846,Table_Tarikan_Warkah[Nomor Tiket],Table_Tarikan_Warkah[Tanggal diserahkan kepada Validator]),"")</f>
        <v>45848.52374</v>
      </c>
      <c r="F2846" s="36" t="str">
        <f t="array" ref="F2846">IFNA(_xlfn.XLOOKUP(D2846,Table_Tarikan_Warkah[Nomor Tiket],Table_Tarikan_Warkah[Nama Petugas Warkah]),"")</f>
        <v>David</v>
      </c>
      <c r="G2846" s="39" t="str">
        <f t="array" ref="G2846">IFNA(_xlfn.XLOOKUP(D2846,Table_Tarikan_Warkah[Nomor Tiket],Table_Tarikan_Warkah[Jenis Permohonan]),"")</f>
        <v>BN JUAL BELI</v>
      </c>
      <c r="H2846" s="41" t="s">
        <v>20</v>
      </c>
      <c r="I2846" s="49" t="s">
        <v>23</v>
      </c>
      <c r="J2846" s="36">
        <f t="shared" si="20"/>
        <v>45846.40131</v>
      </c>
      <c r="K2846" s="49" t="s">
        <v>2378</v>
      </c>
      <c r="L2846" s="49" t="s">
        <v>23</v>
      </c>
      <c r="M2846" s="36">
        <f t="shared" si="33"/>
        <v>45846.53386</v>
      </c>
      <c r="N2846" s="30" t="str">
        <f t="shared" si="34"/>
        <v>Selesai</v>
      </c>
      <c r="O2846" s="45">
        <f t="shared" si="23"/>
        <v>45846.53386</v>
      </c>
      <c r="P2846" s="47" t="b">
        <v>0</v>
      </c>
      <c r="Q2846" s="36" t="str">
        <f t="shared" si="24"/>
        <v/>
      </c>
      <c r="R2846" s="47" t="b">
        <v>0</v>
      </c>
      <c r="S2846" s="42" t="str">
        <f t="shared" si="28"/>
        <v/>
      </c>
      <c r="T2846" s="42"/>
    </row>
    <row r="2847" ht="22.5" customHeight="1">
      <c r="B2847" s="42">
        <f t="shared" si="7"/>
        <v>2841</v>
      </c>
      <c r="C2847" s="31" t="s">
        <v>2914</v>
      </c>
      <c r="D2847" s="34" t="str">
        <f t="array" ref="D2847">IFNA(_xlfn.XLOOKUP(C2847,Table_Tarikan_Warkah[Nomor Sertipikat],Table_Tarikan_Warkah[Nomor Tiket]),"")</f>
        <v>K/2/130625/2</v>
      </c>
      <c r="E2847" s="36">
        <f t="array" ref="E2847">IFNA(_xlfn.XLOOKUP(D2847,Table_Tarikan_Warkah[Nomor Tiket],Table_Tarikan_Warkah[Tanggal diserahkan kepada Validator]),"")</f>
        <v>45848.52925</v>
      </c>
      <c r="F2847" s="36" t="str">
        <f t="array" ref="F2847">IFNA(_xlfn.XLOOKUP(D2847,Table_Tarikan_Warkah[Nomor Tiket],Table_Tarikan_Warkah[Nama Petugas Warkah]),"")</f>
        <v>David</v>
      </c>
      <c r="G2847" s="39" t="str">
        <f t="array" ref="G2847">IFNA(_xlfn.XLOOKUP(D2847,Table_Tarikan_Warkah[Nomor Tiket],Table_Tarikan_Warkah[Jenis Permohonan]),"")</f>
        <v>BN JUAL BELI</v>
      </c>
      <c r="H2847" s="41" t="s">
        <v>20</v>
      </c>
      <c r="I2847" s="49" t="s">
        <v>23</v>
      </c>
      <c r="J2847" s="36">
        <f t="shared" si="20"/>
        <v>45846.40286</v>
      </c>
      <c r="K2847" s="49" t="s">
        <v>2378</v>
      </c>
      <c r="L2847" s="49" t="s">
        <v>23</v>
      </c>
      <c r="M2847" s="36">
        <f t="shared" si="33"/>
        <v>45846.53389</v>
      </c>
      <c r="N2847" s="30" t="str">
        <f t="shared" si="34"/>
        <v>Selesai</v>
      </c>
      <c r="O2847" s="45">
        <f t="shared" si="23"/>
        <v>45846.53389</v>
      </c>
      <c r="P2847" s="47" t="b">
        <v>0</v>
      </c>
      <c r="Q2847" s="36" t="str">
        <f t="shared" si="24"/>
        <v/>
      </c>
      <c r="R2847" s="47" t="b">
        <v>0</v>
      </c>
      <c r="S2847" s="42" t="str">
        <f t="shared" si="28"/>
        <v/>
      </c>
      <c r="T2847" s="42"/>
    </row>
    <row r="2848" ht="22.5" customHeight="1">
      <c r="B2848" s="42">
        <f t="shared" si="7"/>
        <v>2842</v>
      </c>
      <c r="C2848" s="31" t="s">
        <v>2915</v>
      </c>
      <c r="D2848" s="34" t="str">
        <f t="array" ref="D2848">IFNA(_xlfn.XLOOKUP(C2848,Table_Tarikan_Warkah[Nomor Sertipikat],Table_Tarikan_Warkah[Nomor Tiket]),"")</f>
        <v>K/4/110625/2</v>
      </c>
      <c r="E2848" s="36">
        <f t="array" ref="E2848">IFNA(_xlfn.XLOOKUP(D2848,Table_Tarikan_Warkah[Nomor Tiket],Table_Tarikan_Warkah[Tanggal diserahkan kepada Validator]),"")</f>
        <v>45848.52382</v>
      </c>
      <c r="F2848" s="36" t="str">
        <f t="array" ref="F2848">IFNA(_xlfn.XLOOKUP(D2848,Table_Tarikan_Warkah[Nomor Tiket],Table_Tarikan_Warkah[Nama Petugas Warkah]),"")</f>
        <v>David</v>
      </c>
      <c r="G2848" s="39" t="str">
        <f t="array" ref="G2848">IFNA(_xlfn.XLOOKUP(D2848,Table_Tarikan_Warkah[Nomor Tiket],Table_Tarikan_Warkah[Jenis Permohonan]),"")</f>
        <v>BN JUAL BELI</v>
      </c>
      <c r="H2848" s="41" t="s">
        <v>20</v>
      </c>
      <c r="I2848" s="49" t="s">
        <v>23</v>
      </c>
      <c r="J2848" s="36">
        <f t="shared" si="20"/>
        <v>45846.40346</v>
      </c>
      <c r="K2848" s="49" t="s">
        <v>2378</v>
      </c>
      <c r="L2848" s="49" t="s">
        <v>23</v>
      </c>
      <c r="M2848" s="36">
        <f t="shared" si="33"/>
        <v>45846.53253</v>
      </c>
      <c r="N2848" s="30" t="str">
        <f t="shared" si="34"/>
        <v>Selesai</v>
      </c>
      <c r="O2848" s="45">
        <f t="shared" si="23"/>
        <v>45846.53253</v>
      </c>
      <c r="P2848" s="47" t="b">
        <v>0</v>
      </c>
      <c r="Q2848" s="36" t="str">
        <f t="shared" si="24"/>
        <v/>
      </c>
      <c r="R2848" s="47" t="b">
        <v>0</v>
      </c>
      <c r="S2848" s="42" t="str">
        <f t="shared" si="28"/>
        <v/>
      </c>
      <c r="T2848" s="42"/>
    </row>
    <row r="2849" ht="22.5" customHeight="1">
      <c r="B2849" s="42">
        <f t="shared" si="7"/>
        <v>2843</v>
      </c>
      <c r="C2849" s="31" t="s">
        <v>2916</v>
      </c>
      <c r="D2849" s="34" t="str">
        <f t="array" ref="D2849">IFNA(_xlfn.XLOOKUP(C2849,Table_Tarikan_Warkah[Nomor Sertipikat],Table_Tarikan_Warkah[Nomor Tiket]),"")</f>
        <v>K/15/030625/1</v>
      </c>
      <c r="E2849" s="36">
        <f t="array" ref="E2849">IFNA(_xlfn.XLOOKUP(D2849,Table_Tarikan_Warkah[Nomor Tiket],Table_Tarikan_Warkah[Tanggal diserahkan kepada Validator]),"")</f>
        <v>45848.52462</v>
      </c>
      <c r="F2849" s="36" t="str">
        <f t="array" ref="F2849">IFNA(_xlfn.XLOOKUP(D2849,Table_Tarikan_Warkah[Nomor Tiket],Table_Tarikan_Warkah[Nama Petugas Warkah]),"")</f>
        <v>David</v>
      </c>
      <c r="G2849" s="39" t="str">
        <f t="array" ref="G2849">IFNA(_xlfn.XLOOKUP(D2849,Table_Tarikan_Warkah[Nomor Tiket],Table_Tarikan_Warkah[Jenis Permohonan]),"")</f>
        <v>BN JUAL BELI</v>
      </c>
      <c r="H2849" s="41" t="s">
        <v>20</v>
      </c>
      <c r="I2849" s="49" t="s">
        <v>23</v>
      </c>
      <c r="J2849" s="36">
        <f t="shared" si="20"/>
        <v>45846.40379</v>
      </c>
      <c r="K2849" s="49" t="s">
        <v>2378</v>
      </c>
      <c r="L2849" s="49" t="s">
        <v>23</v>
      </c>
      <c r="M2849" s="36">
        <f t="shared" si="33"/>
        <v>45846.53243</v>
      </c>
      <c r="N2849" s="30" t="str">
        <f t="shared" si="34"/>
        <v>Selesai</v>
      </c>
      <c r="O2849" s="45">
        <f t="shared" si="23"/>
        <v>45846.53243</v>
      </c>
      <c r="P2849" s="47" t="b">
        <v>0</v>
      </c>
      <c r="Q2849" s="36" t="str">
        <f t="shared" si="24"/>
        <v/>
      </c>
      <c r="R2849" s="47" t="b">
        <v>0</v>
      </c>
      <c r="S2849" s="42" t="str">
        <f t="shared" si="28"/>
        <v/>
      </c>
      <c r="T2849" s="42"/>
    </row>
    <row r="2850" ht="22.5" customHeight="1">
      <c r="B2850" s="42">
        <f t="shared" si="7"/>
        <v>2844</v>
      </c>
      <c r="C2850" s="31" t="s">
        <v>2917</v>
      </c>
      <c r="D2850" s="34" t="str">
        <f t="array" ref="D2850">IFNA(_xlfn.XLOOKUP(C2850,Table_Tarikan_Warkah[Nomor Sertipikat],Table_Tarikan_Warkah[Nomor Tiket]),"")</f>
        <v>K/10/010725/1</v>
      </c>
      <c r="E2850" s="36">
        <f t="array" ref="E2850">IFNA(_xlfn.XLOOKUP(D2850,Table_Tarikan_Warkah[Nomor Tiket],Table_Tarikan_Warkah[Tanggal diserahkan kepada Validator]),"")</f>
        <v>45848.52739</v>
      </c>
      <c r="F2850" s="36" t="str">
        <f t="array" ref="F2850">IFNA(_xlfn.XLOOKUP(D2850,Table_Tarikan_Warkah[Nomor Tiket],Table_Tarikan_Warkah[Nama Petugas Warkah]),"")</f>
        <v>David</v>
      </c>
      <c r="G2850" s="39" t="str">
        <f t="array" ref="G2850">IFNA(_xlfn.XLOOKUP(D2850,Table_Tarikan_Warkah[Nomor Tiket],Table_Tarikan_Warkah[Jenis Permohonan]),"")</f>
        <v>JUAL BELI</v>
      </c>
      <c r="H2850" s="41" t="s">
        <v>20</v>
      </c>
      <c r="I2850" s="49" t="s">
        <v>23</v>
      </c>
      <c r="J2850" s="36">
        <f t="shared" si="20"/>
        <v>45846.40407</v>
      </c>
      <c r="K2850" s="49" t="s">
        <v>2378</v>
      </c>
      <c r="L2850" s="49" t="s">
        <v>23</v>
      </c>
      <c r="M2850" s="36">
        <f t="shared" si="33"/>
        <v>45846.53404</v>
      </c>
      <c r="N2850" s="30" t="str">
        <f t="shared" si="34"/>
        <v>Selesai</v>
      </c>
      <c r="O2850" s="45">
        <f t="shared" si="23"/>
        <v>45846.53404</v>
      </c>
      <c r="P2850" s="47" t="b">
        <v>0</v>
      </c>
      <c r="Q2850" s="36" t="str">
        <f t="shared" si="24"/>
        <v/>
      </c>
      <c r="R2850" s="47" t="b">
        <v>0</v>
      </c>
      <c r="S2850" s="42" t="str">
        <f t="shared" si="28"/>
        <v/>
      </c>
      <c r="T2850" s="42"/>
    </row>
    <row r="2851" ht="22.5" customHeight="1">
      <c r="B2851" s="42">
        <f t="shared" si="7"/>
        <v>2845</v>
      </c>
      <c r="C2851" s="31" t="s">
        <v>2918</v>
      </c>
      <c r="D2851" s="34" t="str">
        <f t="array" ref="D2851">IFNA(_xlfn.XLOOKUP(C2851,Table_Tarikan_Warkah[Nomor Sertipikat],Table_Tarikan_Warkah[Nomor Tiket]),"")</f>
        <v>K/33/180625/1</v>
      </c>
      <c r="E2851" s="36">
        <f t="array" ref="E2851">IFNA(_xlfn.XLOOKUP(D2851,Table_Tarikan_Warkah[Nomor Tiket],Table_Tarikan_Warkah[Tanggal diserahkan kepada Validator]),"")</f>
        <v>45848.61752</v>
      </c>
      <c r="F2851" s="36" t="str">
        <f t="array" ref="F2851">IFNA(_xlfn.XLOOKUP(D2851,Table_Tarikan_Warkah[Nomor Tiket],Table_Tarikan_Warkah[Nama Petugas Warkah]),"")</f>
        <v>David</v>
      </c>
      <c r="G2851" s="39" t="str">
        <f t="array" ref="G2851">IFNA(_xlfn.XLOOKUP(D2851,Table_Tarikan_Warkah[Nomor Tiket],Table_Tarikan_Warkah[Jenis Permohonan]),"")</f>
        <v>JUAL BELI</v>
      </c>
      <c r="H2851" s="41" t="s">
        <v>20</v>
      </c>
      <c r="I2851" s="49" t="s">
        <v>23</v>
      </c>
      <c r="J2851" s="36">
        <f t="shared" si="20"/>
        <v>45846.40436</v>
      </c>
      <c r="K2851" s="49" t="s">
        <v>2378</v>
      </c>
      <c r="L2851" s="49" t="s">
        <v>23</v>
      </c>
      <c r="M2851" s="36">
        <f t="shared" si="33"/>
        <v>45846.53411</v>
      </c>
      <c r="N2851" s="30" t="str">
        <f t="shared" si="34"/>
        <v>Selesai</v>
      </c>
      <c r="O2851" s="45">
        <f t="shared" si="23"/>
        <v>45846.53411</v>
      </c>
      <c r="P2851" s="47" t="b">
        <v>0</v>
      </c>
      <c r="Q2851" s="36" t="str">
        <f t="shared" si="24"/>
        <v/>
      </c>
      <c r="R2851" s="47" t="b">
        <v>0</v>
      </c>
      <c r="S2851" s="42" t="str">
        <f t="shared" si="28"/>
        <v/>
      </c>
      <c r="T2851" s="42"/>
    </row>
    <row r="2852" ht="22.5" customHeight="1">
      <c r="B2852" s="42">
        <f t="shared" si="7"/>
        <v>2846</v>
      </c>
      <c r="C2852" s="31" t="s">
        <v>2919</v>
      </c>
      <c r="D2852" s="34" t="str">
        <f t="array" ref="D2852">IFNA(_xlfn.XLOOKUP(C2852,Table_Tarikan_Warkah[Nomor Sertipikat],Table_Tarikan_Warkah[Nomor Tiket]),"")</f>
        <v>K/35/180625/3</v>
      </c>
      <c r="E2852" s="36">
        <f t="array" ref="E2852">IFNA(_xlfn.XLOOKUP(D2852,Table_Tarikan_Warkah[Nomor Tiket],Table_Tarikan_Warkah[Tanggal diserahkan kepada Validator]),"")</f>
        <v>45848.61724</v>
      </c>
      <c r="F2852" s="36" t="str">
        <f t="array" ref="F2852">IFNA(_xlfn.XLOOKUP(D2852,Table_Tarikan_Warkah[Nomor Tiket],Table_Tarikan_Warkah[Nama Petugas Warkah]),"")</f>
        <v>David</v>
      </c>
      <c r="G2852" s="39" t="str">
        <f t="array" ref="G2852">IFNA(_xlfn.XLOOKUP(D2852,Table_Tarikan_Warkah[Nomor Tiket],Table_Tarikan_Warkah[Jenis Permohonan]),"")</f>
        <v>JUAL BELI</v>
      </c>
      <c r="H2852" s="41" t="s">
        <v>20</v>
      </c>
      <c r="I2852" s="49" t="s">
        <v>23</v>
      </c>
      <c r="J2852" s="36">
        <f t="shared" si="20"/>
        <v>45846.40462</v>
      </c>
      <c r="K2852" s="49" t="s">
        <v>2378</v>
      </c>
      <c r="L2852" s="49" t="s">
        <v>23</v>
      </c>
      <c r="M2852" s="36">
        <f t="shared" si="33"/>
        <v>45846.53417</v>
      </c>
      <c r="N2852" s="30" t="str">
        <f t="shared" si="34"/>
        <v>Selesai</v>
      </c>
      <c r="O2852" s="45">
        <f t="shared" si="23"/>
        <v>45846.53417</v>
      </c>
      <c r="P2852" s="47" t="b">
        <v>0</v>
      </c>
      <c r="Q2852" s="36" t="str">
        <f t="shared" si="24"/>
        <v/>
      </c>
      <c r="R2852" s="47" t="b">
        <v>0</v>
      </c>
      <c r="S2852" s="42" t="str">
        <f t="shared" si="28"/>
        <v/>
      </c>
      <c r="T2852" s="42"/>
    </row>
    <row r="2853" ht="22.5" customHeight="1">
      <c r="B2853" s="42">
        <f t="shared" si="7"/>
        <v>2847</v>
      </c>
      <c r="C2853" s="31" t="s">
        <v>2920</v>
      </c>
      <c r="D2853" s="34" t="str">
        <f t="array" ref="D2853">IFNA(_xlfn.XLOOKUP(C2853,Table_Tarikan_Warkah[Nomor Sertipikat],Table_Tarikan_Warkah[Nomor Tiket]),"")</f>
        <v>K/5/250325/1</v>
      </c>
      <c r="E2853" s="36">
        <f t="array" ref="E2853">IFNA(_xlfn.XLOOKUP(D2853,Table_Tarikan_Warkah[Nomor Tiket],Table_Tarikan_Warkah[Tanggal diserahkan kepada Validator]),"")</f>
        <v>45848.61508</v>
      </c>
      <c r="F2853" s="36" t="str">
        <f t="array" ref="F2853">IFNA(_xlfn.XLOOKUP(D2853,Table_Tarikan_Warkah[Nomor Tiket],Table_Tarikan_Warkah[Nama Petugas Warkah]),"")</f>
        <v>David</v>
      </c>
      <c r="G2853" s="39" t="str">
        <f t="array" ref="G2853">IFNA(_xlfn.XLOOKUP(D2853,Table_Tarikan_Warkah[Nomor Tiket],Table_Tarikan_Warkah[Jenis Permohonan]),"")</f>
        <v>JUAL BELI</v>
      </c>
      <c r="H2853" s="41" t="s">
        <v>20</v>
      </c>
      <c r="I2853" s="49" t="s">
        <v>23</v>
      </c>
      <c r="J2853" s="36">
        <f t="shared" si="20"/>
        <v>45846.405</v>
      </c>
      <c r="K2853" s="49" t="s">
        <v>2378</v>
      </c>
      <c r="L2853" s="49" t="s">
        <v>23</v>
      </c>
      <c r="M2853" s="36">
        <f t="shared" si="33"/>
        <v>45846.53428</v>
      </c>
      <c r="N2853" s="30" t="str">
        <f t="shared" si="34"/>
        <v>Selesai</v>
      </c>
      <c r="O2853" s="45">
        <f t="shared" si="23"/>
        <v>45846.53428</v>
      </c>
      <c r="P2853" s="47" t="b">
        <v>0</v>
      </c>
      <c r="Q2853" s="36" t="str">
        <f t="shared" si="24"/>
        <v/>
      </c>
      <c r="R2853" s="47" t="b">
        <v>0</v>
      </c>
      <c r="S2853" s="42" t="str">
        <f t="shared" si="28"/>
        <v/>
      </c>
      <c r="T2853" s="42"/>
    </row>
    <row r="2854" ht="22.5" customHeight="1">
      <c r="B2854" s="42">
        <f t="shared" si="7"/>
        <v>2848</v>
      </c>
      <c r="C2854" s="31" t="s">
        <v>2921</v>
      </c>
      <c r="D2854" s="34" t="str">
        <f t="array" ref="D2854">IFNA(_xlfn.XLOOKUP(C2854,Table_Tarikan_Warkah[Nomor Sertipikat],Table_Tarikan_Warkah[Nomor Tiket]),"")</f>
        <v>L/5/070525/1</v>
      </c>
      <c r="E2854" s="36" t="str">
        <f t="array" ref="E2854">IFNA(_xlfn.XLOOKUP(D2854,Table_Tarikan_Warkah[Nomor Tiket],Table_Tarikan_Warkah[Tanggal diserahkan kepada Validator]),"")</f>
        <v/>
      </c>
      <c r="F2854" s="36" t="str">
        <f t="array" ref="F2854">IFNA(_xlfn.XLOOKUP(D2854,Table_Tarikan_Warkah[Nomor Tiket],Table_Tarikan_Warkah[Nama Petugas Warkah]),"")</f>
        <v/>
      </c>
      <c r="G2854" s="39" t="str">
        <f t="array" ref="G2854">IFNA(_xlfn.XLOOKUP(D2854,Table_Tarikan_Warkah[Nomor Tiket],Table_Tarikan_Warkah[Jenis Permohonan]),"")</f>
        <v>BN WARIS</v>
      </c>
      <c r="H2854" s="41" t="s">
        <v>20</v>
      </c>
      <c r="I2854" s="49" t="s">
        <v>23</v>
      </c>
      <c r="J2854" s="36">
        <f t="shared" si="20"/>
        <v>45846.41238</v>
      </c>
      <c r="K2854" s="49" t="s">
        <v>920</v>
      </c>
      <c r="L2854" s="49" t="s">
        <v>23</v>
      </c>
      <c r="M2854" s="36">
        <f t="shared" si="33"/>
        <v>45846.41241</v>
      </c>
      <c r="N2854" s="30" t="str">
        <f t="shared" si="34"/>
        <v>Selesai</v>
      </c>
      <c r="O2854" s="45">
        <f t="shared" si="23"/>
        <v>45846.41241</v>
      </c>
      <c r="P2854" s="47" t="b">
        <v>1</v>
      </c>
      <c r="Q2854" s="36">
        <f t="shared" si="24"/>
        <v>45846.41245</v>
      </c>
      <c r="R2854" s="47" t="b">
        <v>0</v>
      </c>
      <c r="S2854" s="42" t="str">
        <f t="shared" si="28"/>
        <v/>
      </c>
      <c r="T2854" s="42"/>
    </row>
    <row r="2855" ht="22.5" customHeight="1">
      <c r="B2855" s="42">
        <f t="shared" si="7"/>
        <v>2849</v>
      </c>
      <c r="C2855" s="31" t="s">
        <v>2922</v>
      </c>
      <c r="D2855" s="34" t="str">
        <f t="array" ref="D2855">IFNA(_xlfn.XLOOKUP(C2855,Table_Tarikan_Warkah[Nomor Sertipikat],Table_Tarikan_Warkah[Nomor Tiket]),"")</f>
        <v>K/19/130625/1</v>
      </c>
      <c r="E2855" s="36">
        <f t="array" ref="E2855">IFNA(_xlfn.XLOOKUP(D2855,Table_Tarikan_Warkah[Nomor Tiket],Table_Tarikan_Warkah[Tanggal diserahkan kepada Validator]),"")</f>
        <v>45849.50675</v>
      </c>
      <c r="F2855" s="36" t="str">
        <f t="array" ref="F2855">IFNA(_xlfn.XLOOKUP(D2855,Table_Tarikan_Warkah[Nomor Tiket],Table_Tarikan_Warkah[Nama Petugas Warkah]),"")</f>
        <v>Berry</v>
      </c>
      <c r="G2855" s="39" t="str">
        <f t="array" ref="G2855">IFNA(_xlfn.XLOOKUP(D2855,Table_Tarikan_Warkah[Nomor Tiket],Table_Tarikan_Warkah[Jenis Permohonan]),"")</f>
        <v>KEWARISAN</v>
      </c>
      <c r="H2855" s="41" t="s">
        <v>2315</v>
      </c>
      <c r="I2855" s="49" t="s">
        <v>23</v>
      </c>
      <c r="J2855" s="36">
        <f t="shared" si="20"/>
        <v>45846.60536</v>
      </c>
      <c r="K2855" s="49" t="s">
        <v>2378</v>
      </c>
      <c r="L2855" s="49" t="s">
        <v>23</v>
      </c>
      <c r="M2855" s="36">
        <f t="shared" si="33"/>
        <v>45846.65081</v>
      </c>
      <c r="N2855" s="30" t="str">
        <f t="shared" si="34"/>
        <v>Selesai</v>
      </c>
      <c r="O2855" s="45">
        <f t="shared" si="23"/>
        <v>45846.65081</v>
      </c>
      <c r="P2855" s="47" t="b">
        <v>0</v>
      </c>
      <c r="Q2855" s="36" t="str">
        <f t="shared" si="24"/>
        <v/>
      </c>
      <c r="R2855" s="47" t="b">
        <v>0</v>
      </c>
      <c r="S2855" s="42" t="str">
        <f t="shared" si="28"/>
        <v/>
      </c>
      <c r="T2855" s="42"/>
    </row>
    <row r="2856" ht="22.5" customHeight="1">
      <c r="B2856" s="42">
        <f t="shared" si="7"/>
        <v>2850</v>
      </c>
      <c r="C2856" s="31" t="s">
        <v>2923</v>
      </c>
      <c r="D2856" s="34" t="str">
        <f t="array" ref="D2856">IFNA(_xlfn.XLOOKUP(C2856,Table_Tarikan_Warkah[Nomor Sertipikat],Table_Tarikan_Warkah[Nomor Tiket]),"")</f>
        <v>K/20/010725/2</v>
      </c>
      <c r="E2856" s="36">
        <f t="array" ref="E2856">IFNA(_xlfn.XLOOKUP(D2856,Table_Tarikan_Warkah[Nomor Tiket],Table_Tarikan_Warkah[Tanggal diserahkan kepada Validator]),"")</f>
        <v>45848.52624</v>
      </c>
      <c r="F2856" s="36" t="str">
        <f t="array" ref="F2856">IFNA(_xlfn.XLOOKUP(D2856,Table_Tarikan_Warkah[Nomor Tiket],Table_Tarikan_Warkah[Nama Petugas Warkah]),"")</f>
        <v>David</v>
      </c>
      <c r="G2856" s="39" t="str">
        <f t="array" ref="G2856">IFNA(_xlfn.XLOOKUP(D2856,Table_Tarikan_Warkah[Nomor Tiket],Table_Tarikan_Warkah[Jenis Permohonan]),"")</f>
        <v>JUAL BELI</v>
      </c>
      <c r="H2856" s="41" t="s">
        <v>2315</v>
      </c>
      <c r="I2856" s="49" t="s">
        <v>23</v>
      </c>
      <c r="J2856" s="36">
        <f t="shared" si="20"/>
        <v>45846.60553</v>
      </c>
      <c r="K2856" s="49" t="s">
        <v>2378</v>
      </c>
      <c r="L2856" s="49" t="s">
        <v>23</v>
      </c>
      <c r="M2856" s="36">
        <f t="shared" si="33"/>
        <v>45846.65067</v>
      </c>
      <c r="N2856" s="30" t="str">
        <f t="shared" si="34"/>
        <v>Selesai</v>
      </c>
      <c r="O2856" s="45">
        <f t="shared" si="23"/>
        <v>45846.65067</v>
      </c>
      <c r="P2856" s="47" t="b">
        <v>0</v>
      </c>
      <c r="Q2856" s="36" t="str">
        <f t="shared" si="24"/>
        <v/>
      </c>
      <c r="R2856" s="47" t="b">
        <v>0</v>
      </c>
      <c r="S2856" s="42" t="str">
        <f t="shared" si="28"/>
        <v/>
      </c>
      <c r="T2856" s="42"/>
    </row>
    <row r="2857" ht="22.5" customHeight="1">
      <c r="B2857" s="42">
        <f t="shared" si="7"/>
        <v>2851</v>
      </c>
      <c r="C2857" s="31" t="s">
        <v>2924</v>
      </c>
      <c r="D2857" s="34" t="str">
        <f t="array" ref="D2857">IFNA(_xlfn.XLOOKUP(C2857,Table_Tarikan_Warkah[Nomor Sertipikat],Table_Tarikan_Warkah[Nomor Tiket]),"")</f>
        <v>K/5/240625/1</v>
      </c>
      <c r="E2857" s="36" t="str">
        <f t="array" ref="E2857">IFNA(_xlfn.XLOOKUP(D2857,Table_Tarikan_Warkah[Nomor Tiket],Table_Tarikan_Warkah[Tanggal diserahkan kepada Validator]),"")</f>
        <v/>
      </c>
      <c r="F2857" s="36" t="str">
        <f t="array" ref="F2857">IFNA(_xlfn.XLOOKUP(D2857,Table_Tarikan_Warkah[Nomor Tiket],Table_Tarikan_Warkah[Nama Petugas Warkah]),"")</f>
        <v/>
      </c>
      <c r="G2857" s="39" t="str">
        <f t="array" ref="G2857">IFNA(_xlfn.XLOOKUP(D2857,Table_Tarikan_Warkah[Nomor Tiket],Table_Tarikan_Warkah[Jenis Permohonan]),"")</f>
        <v>PENATAAN BATAS</v>
      </c>
      <c r="H2857" s="41" t="s">
        <v>2315</v>
      </c>
      <c r="I2857" s="49" t="s">
        <v>23</v>
      </c>
      <c r="J2857" s="36">
        <f t="shared" si="20"/>
        <v>45846.60565</v>
      </c>
      <c r="K2857" s="49" t="s">
        <v>2378</v>
      </c>
      <c r="L2857" s="49" t="s">
        <v>23</v>
      </c>
      <c r="M2857" s="36">
        <f t="shared" si="33"/>
        <v>45846.65026</v>
      </c>
      <c r="N2857" s="30" t="str">
        <f t="shared" si="34"/>
        <v>Selesai</v>
      </c>
      <c r="O2857" s="45">
        <f t="shared" si="23"/>
        <v>45846.65026</v>
      </c>
      <c r="P2857" s="47" t="b">
        <v>0</v>
      </c>
      <c r="Q2857" s="36" t="str">
        <f t="shared" si="24"/>
        <v/>
      </c>
      <c r="R2857" s="47" t="b">
        <v>0</v>
      </c>
      <c r="S2857" s="42" t="str">
        <f t="shared" si="28"/>
        <v/>
      </c>
      <c r="T2857" s="42"/>
    </row>
    <row r="2858" ht="22.5" customHeight="1">
      <c r="B2858" s="42">
        <f t="shared" si="7"/>
        <v>2852</v>
      </c>
      <c r="C2858" s="31" t="s">
        <v>2925</v>
      </c>
      <c r="D2858" s="34" t="str">
        <f t="array" ref="D2858">IFNA(_xlfn.XLOOKUP(C2858,Table_Tarikan_Warkah[Nomor Sertipikat],Table_Tarikan_Warkah[Nomor Tiket]),"")</f>
        <v>K/11/190625/1</v>
      </c>
      <c r="E2858" s="36">
        <f t="array" ref="E2858">IFNA(_xlfn.XLOOKUP(D2858,Table_Tarikan_Warkah[Nomor Tiket],Table_Tarikan_Warkah[Tanggal diserahkan kepada Validator]),"")</f>
        <v>45848.6158</v>
      </c>
      <c r="F2858" s="36" t="str">
        <f t="array" ref="F2858">IFNA(_xlfn.XLOOKUP(D2858,Table_Tarikan_Warkah[Nomor Tiket],Table_Tarikan_Warkah[Nama Petugas Warkah]),"")</f>
        <v>David</v>
      </c>
      <c r="G2858" s="39" t="str">
        <f t="array" ref="G2858">IFNA(_xlfn.XLOOKUP(D2858,Table_Tarikan_Warkah[Nomor Tiket],Table_Tarikan_Warkah[Jenis Permohonan]),"")</f>
        <v>JUAL BELI</v>
      </c>
      <c r="H2858" s="41" t="s">
        <v>2315</v>
      </c>
      <c r="I2858" s="49" t="s">
        <v>23</v>
      </c>
      <c r="J2858" s="36">
        <f t="shared" si="20"/>
        <v>45846.6059</v>
      </c>
      <c r="K2858" s="49" t="s">
        <v>2378</v>
      </c>
      <c r="L2858" s="49" t="s">
        <v>23</v>
      </c>
      <c r="M2858" s="36">
        <f t="shared" si="33"/>
        <v>45846.65057</v>
      </c>
      <c r="N2858" s="30" t="str">
        <f t="shared" si="34"/>
        <v>Selesai</v>
      </c>
      <c r="O2858" s="45">
        <f t="shared" si="23"/>
        <v>45846.65057</v>
      </c>
      <c r="P2858" s="47" t="b">
        <v>0</v>
      </c>
      <c r="Q2858" s="36" t="str">
        <f t="shared" si="24"/>
        <v/>
      </c>
      <c r="R2858" s="47" t="b">
        <v>0</v>
      </c>
      <c r="S2858" s="42" t="str">
        <f t="shared" si="28"/>
        <v/>
      </c>
      <c r="T2858" s="42"/>
    </row>
    <row r="2859" ht="22.5" customHeight="1">
      <c r="B2859" s="42">
        <f t="shared" si="7"/>
        <v>2853</v>
      </c>
      <c r="C2859" s="31" t="s">
        <v>2926</v>
      </c>
      <c r="D2859" s="34" t="str">
        <f t="array" ref="D2859">IFNA(_xlfn.XLOOKUP(C2859,Table_Tarikan_Warkah[Nomor Sertipikat],Table_Tarikan_Warkah[Nomor Tiket]),"")</f>
        <v>K/3/200625/1</v>
      </c>
      <c r="E2859" s="36">
        <f t="array" ref="E2859">IFNA(_xlfn.XLOOKUP(D2859,Table_Tarikan_Warkah[Nomor Tiket],Table_Tarikan_Warkah[Tanggal diserahkan kepada Validator]),"")</f>
        <v>45848.61605</v>
      </c>
      <c r="F2859" s="36" t="str">
        <f t="array" ref="F2859">IFNA(_xlfn.XLOOKUP(D2859,Table_Tarikan_Warkah[Nomor Tiket],Table_Tarikan_Warkah[Nama Petugas Warkah]),"")</f>
        <v>David</v>
      </c>
      <c r="G2859" s="39" t="str">
        <f t="array" ref="G2859">IFNA(_xlfn.XLOOKUP(D2859,Table_Tarikan_Warkah[Nomor Tiket],Table_Tarikan_Warkah[Jenis Permohonan]),"")</f>
        <v>JUAL BELI</v>
      </c>
      <c r="H2859" s="41" t="s">
        <v>2315</v>
      </c>
      <c r="I2859" s="49" t="s">
        <v>23</v>
      </c>
      <c r="J2859" s="36">
        <f t="shared" si="20"/>
        <v>45846.60599</v>
      </c>
      <c r="K2859" s="49" t="s">
        <v>2378</v>
      </c>
      <c r="L2859" s="49" t="s">
        <v>23</v>
      </c>
      <c r="M2859" s="36">
        <f t="shared" si="33"/>
        <v>45846.65049</v>
      </c>
      <c r="N2859" s="30" t="str">
        <f t="shared" si="34"/>
        <v>Selesai</v>
      </c>
      <c r="O2859" s="45">
        <f t="shared" si="23"/>
        <v>45846.65049</v>
      </c>
      <c r="P2859" s="47" t="b">
        <v>0</v>
      </c>
      <c r="Q2859" s="36" t="str">
        <f t="shared" si="24"/>
        <v/>
      </c>
      <c r="R2859" s="47" t="b">
        <v>0</v>
      </c>
      <c r="S2859" s="42" t="str">
        <f t="shared" si="28"/>
        <v/>
      </c>
      <c r="T2859" s="42"/>
    </row>
    <row r="2860" ht="22.5" customHeight="1">
      <c r="B2860" s="42">
        <f t="shared" si="7"/>
        <v>2854</v>
      </c>
      <c r="C2860" s="31" t="s">
        <v>2927</v>
      </c>
      <c r="D2860" s="34" t="str">
        <f t="array" ref="D2860">IFNA(_xlfn.XLOOKUP(C2860,Table_Tarikan_Warkah[Nomor Sertipikat],Table_Tarikan_Warkah[Nomor Tiket]),"")</f>
        <v>K/24/170625/1</v>
      </c>
      <c r="E2860" s="36">
        <f t="array" ref="E2860">IFNA(_xlfn.XLOOKUP(D2860,Table_Tarikan_Warkah[Nomor Tiket],Table_Tarikan_Warkah[Tanggal diserahkan kepada Validator]),"")</f>
        <v>45848.61705</v>
      </c>
      <c r="F2860" s="36" t="str">
        <f t="array" ref="F2860">IFNA(_xlfn.XLOOKUP(D2860,Table_Tarikan_Warkah[Nomor Tiket],Table_Tarikan_Warkah[Nama Petugas Warkah]),"")</f>
        <v>David</v>
      </c>
      <c r="G2860" s="39" t="str">
        <f t="array" ref="G2860">IFNA(_xlfn.XLOOKUP(D2860,Table_Tarikan_Warkah[Nomor Tiket],Table_Tarikan_Warkah[Jenis Permohonan]),"")</f>
        <v>JUAL BELI</v>
      </c>
      <c r="H2860" s="41" t="s">
        <v>2315</v>
      </c>
      <c r="I2860" s="49" t="s">
        <v>23</v>
      </c>
      <c r="J2860" s="36">
        <f t="shared" si="20"/>
        <v>45846.60613</v>
      </c>
      <c r="K2860" s="49" t="s">
        <v>2378</v>
      </c>
      <c r="L2860" s="49" t="s">
        <v>23</v>
      </c>
      <c r="M2860" s="36">
        <f t="shared" si="33"/>
        <v>45846.6504</v>
      </c>
      <c r="N2860" s="30" t="str">
        <f t="shared" si="34"/>
        <v>Selesai</v>
      </c>
      <c r="O2860" s="45">
        <f t="shared" si="23"/>
        <v>45846.6504</v>
      </c>
      <c r="P2860" s="47" t="b">
        <v>0</v>
      </c>
      <c r="Q2860" s="36" t="str">
        <f t="shared" si="24"/>
        <v/>
      </c>
      <c r="R2860" s="47" t="b">
        <v>0</v>
      </c>
      <c r="S2860" s="42" t="str">
        <f t="shared" si="28"/>
        <v/>
      </c>
      <c r="T2860" s="42"/>
    </row>
    <row r="2861" ht="22.5" customHeight="1">
      <c r="B2861" s="42">
        <f t="shared" si="7"/>
        <v>2855</v>
      </c>
      <c r="C2861" s="31" t="s">
        <v>2928</v>
      </c>
      <c r="D2861" s="34" t="str">
        <f t="array" ref="D2861">IFNA(_xlfn.XLOOKUP(C2861,Table_Tarikan_Warkah[Nomor Sertipikat],Table_Tarikan_Warkah[Nomor Tiket]),"")</f>
        <v>K/38/120625/1</v>
      </c>
      <c r="E2861" s="36">
        <f t="array" ref="E2861">IFNA(_xlfn.XLOOKUP(D2861,Table_Tarikan_Warkah[Nomor Tiket],Table_Tarikan_Warkah[Tanggal diserahkan kepada Validator]),"")</f>
        <v>45849.43452</v>
      </c>
      <c r="F2861" s="36" t="str">
        <f t="array" ref="F2861">IFNA(_xlfn.XLOOKUP(D2861,Table_Tarikan_Warkah[Nomor Tiket],Table_Tarikan_Warkah[Nama Petugas Warkah]),"")</f>
        <v>David</v>
      </c>
      <c r="G2861" s="39" t="str">
        <f t="array" ref="G2861">IFNA(_xlfn.XLOOKUP(D2861,Table_Tarikan_Warkah[Nomor Tiket],Table_Tarikan_Warkah[Jenis Permohonan]),"")</f>
        <v>BN HIBAH</v>
      </c>
      <c r="H2861" s="41" t="s">
        <v>2315</v>
      </c>
      <c r="I2861" s="49" t="s">
        <v>23</v>
      </c>
      <c r="J2861" s="36">
        <f t="shared" si="20"/>
        <v>45846.60628</v>
      </c>
      <c r="K2861" s="49" t="s">
        <v>2378</v>
      </c>
      <c r="L2861" s="49" t="s">
        <v>23</v>
      </c>
      <c r="M2861" s="36">
        <f t="shared" si="33"/>
        <v>45847.62009</v>
      </c>
      <c r="N2861" s="30" t="str">
        <f t="shared" si="34"/>
        <v>Selesai</v>
      </c>
      <c r="O2861" s="45">
        <f t="shared" si="23"/>
        <v>45847.62009</v>
      </c>
      <c r="P2861" s="47" t="b">
        <v>0</v>
      </c>
      <c r="Q2861" s="36" t="str">
        <f t="shared" si="24"/>
        <v/>
      </c>
      <c r="R2861" s="47" t="b">
        <v>0</v>
      </c>
      <c r="S2861" s="42" t="str">
        <f t="shared" si="28"/>
        <v/>
      </c>
      <c r="T2861" s="42"/>
    </row>
    <row r="2862" ht="22.5" customHeight="1">
      <c r="B2862" s="42">
        <f t="shared" si="7"/>
        <v>2856</v>
      </c>
      <c r="C2862" s="31" t="s">
        <v>2929</v>
      </c>
      <c r="D2862" s="34" t="str">
        <f t="array" ref="D2862">IFNA(_xlfn.XLOOKUP(C2862,Table_Tarikan_Warkah[Nomor Sertipikat],Table_Tarikan_Warkah[Nomor Tiket]),"")</f>
        <v>K/34/260625/2</v>
      </c>
      <c r="E2862" s="36">
        <f t="array" ref="E2862">IFNA(_xlfn.XLOOKUP(D2862,Table_Tarikan_Warkah[Nomor Tiket],Table_Tarikan_Warkah[Tanggal diserahkan kepada Validator]),"")</f>
        <v>45848.52496</v>
      </c>
      <c r="F2862" s="36" t="str">
        <f t="array" ref="F2862">IFNA(_xlfn.XLOOKUP(D2862,Table_Tarikan_Warkah[Nomor Tiket],Table_Tarikan_Warkah[Nama Petugas Warkah]),"")</f>
        <v>David</v>
      </c>
      <c r="G2862" s="39" t="str">
        <f t="array" ref="G2862">IFNA(_xlfn.XLOOKUP(D2862,Table_Tarikan_Warkah[Nomor Tiket],Table_Tarikan_Warkah[Jenis Permohonan]),"")</f>
        <v>BN WARIIS</v>
      </c>
      <c r="H2862" s="41" t="s">
        <v>2315</v>
      </c>
      <c r="I2862" s="49" t="s">
        <v>23</v>
      </c>
      <c r="J2862" s="36">
        <f t="shared" si="20"/>
        <v>45846.60644</v>
      </c>
      <c r="K2862" s="49" t="s">
        <v>2378</v>
      </c>
      <c r="L2862" s="49" t="s">
        <v>23</v>
      </c>
      <c r="M2862" s="36">
        <f t="shared" si="33"/>
        <v>45846.66296</v>
      </c>
      <c r="N2862" s="30" t="str">
        <f t="shared" si="34"/>
        <v>Selesai</v>
      </c>
      <c r="O2862" s="45">
        <f t="shared" si="23"/>
        <v>45846.66296</v>
      </c>
      <c r="P2862" s="47" t="b">
        <v>0</v>
      </c>
      <c r="Q2862" s="36" t="str">
        <f t="shared" si="24"/>
        <v/>
      </c>
      <c r="R2862" s="47" t="b">
        <v>0</v>
      </c>
      <c r="S2862" s="42" t="str">
        <f t="shared" si="28"/>
        <v/>
      </c>
      <c r="T2862" s="42"/>
    </row>
    <row r="2863" ht="22.5" customHeight="1">
      <c r="B2863" s="42">
        <f t="shared" si="7"/>
        <v>2857</v>
      </c>
      <c r="C2863" s="31" t="s">
        <v>2930</v>
      </c>
      <c r="D2863" s="34" t="str">
        <f t="array" ref="D2863">IFNA(_xlfn.XLOOKUP(C2863,Table_Tarikan_Warkah[Nomor Sertipikat],Table_Tarikan_Warkah[Nomor Tiket]),"")</f>
        <v>K/16/030625/2</v>
      </c>
      <c r="E2863" s="36">
        <f t="array" ref="E2863">IFNA(_xlfn.XLOOKUP(D2863,Table_Tarikan_Warkah[Nomor Tiket],Table_Tarikan_Warkah[Tanggal diserahkan kepada Validator]),"")</f>
        <v>45854.57771</v>
      </c>
      <c r="F2863" s="36" t="str">
        <f t="array" ref="F2863">IFNA(_xlfn.XLOOKUP(D2863,Table_Tarikan_Warkah[Nomor Tiket],Table_Tarikan_Warkah[Nama Petugas Warkah]),"")</f>
        <v>Berry</v>
      </c>
      <c r="G2863" s="39" t="str">
        <f t="array" ref="G2863">IFNA(_xlfn.XLOOKUP(D2863,Table_Tarikan_Warkah[Nomor Tiket],Table_Tarikan_Warkah[Jenis Permohonan]),"")</f>
        <v>ROYA</v>
      </c>
      <c r="H2863" s="41" t="s">
        <v>2315</v>
      </c>
      <c r="I2863" s="49" t="s">
        <v>23</v>
      </c>
      <c r="J2863" s="36">
        <f t="shared" si="20"/>
        <v>45846.6066</v>
      </c>
      <c r="K2863" s="49" t="s">
        <v>2378</v>
      </c>
      <c r="L2863" s="49" t="s">
        <v>23</v>
      </c>
      <c r="M2863" s="36">
        <f t="shared" si="33"/>
        <v>45847.62082</v>
      </c>
      <c r="N2863" s="30" t="str">
        <f t="shared" si="34"/>
        <v>Selesai</v>
      </c>
      <c r="O2863" s="45">
        <f t="shared" si="23"/>
        <v>45847.62082</v>
      </c>
      <c r="P2863" s="47" t="b">
        <v>0</v>
      </c>
      <c r="Q2863" s="36" t="str">
        <f t="shared" si="24"/>
        <v/>
      </c>
      <c r="R2863" s="47" t="b">
        <v>0</v>
      </c>
      <c r="S2863" s="42" t="str">
        <f t="shared" si="28"/>
        <v/>
      </c>
      <c r="T2863" s="42"/>
    </row>
    <row r="2864" ht="22.5" customHeight="1">
      <c r="B2864" s="42">
        <f t="shared" si="7"/>
        <v>2858</v>
      </c>
      <c r="C2864" s="31" t="s">
        <v>2931</v>
      </c>
      <c r="D2864" s="34" t="str">
        <f t="array" ref="D2864">IFNA(_xlfn.XLOOKUP(C2864,Table_Tarikan_Warkah[Nomor Sertipikat],Table_Tarikan_Warkah[Nomor Tiket]),"")</f>
        <v>K/40/150525/1</v>
      </c>
      <c r="E2864" s="36">
        <f t="array" ref="E2864">IFNA(_xlfn.XLOOKUP(D2864,Table_Tarikan_Warkah[Nomor Tiket],Table_Tarikan_Warkah[Tanggal diserahkan kepada Validator]),"")</f>
        <v>45855.65207</v>
      </c>
      <c r="F2864" s="36" t="str">
        <f t="array" ref="F2864">IFNA(_xlfn.XLOOKUP(D2864,Table_Tarikan_Warkah[Nomor Tiket],Table_Tarikan_Warkah[Nama Petugas Warkah]),"")</f>
        <v>David</v>
      </c>
      <c r="G2864" s="39" t="str">
        <f t="array" ref="G2864">IFNA(_xlfn.XLOOKUP(D2864,Table_Tarikan_Warkah[Nomor Tiket],Table_Tarikan_Warkah[Jenis Permohonan]),"")</f>
        <v>ROYA</v>
      </c>
      <c r="H2864" s="41" t="s">
        <v>2315</v>
      </c>
      <c r="I2864" s="49" t="s">
        <v>23</v>
      </c>
      <c r="J2864" s="36">
        <f t="shared" si="20"/>
        <v>45846.60675</v>
      </c>
      <c r="K2864" s="49" t="s">
        <v>2378</v>
      </c>
      <c r="L2864" s="49" t="s">
        <v>23</v>
      </c>
      <c r="M2864" s="36">
        <f t="shared" si="33"/>
        <v>45847.6207</v>
      </c>
      <c r="N2864" s="30" t="str">
        <f t="shared" si="34"/>
        <v>Selesai</v>
      </c>
      <c r="O2864" s="45">
        <f t="shared" si="23"/>
        <v>45847.6207</v>
      </c>
      <c r="P2864" s="47" t="b">
        <v>0</v>
      </c>
      <c r="Q2864" s="36" t="str">
        <f t="shared" si="24"/>
        <v/>
      </c>
      <c r="R2864" s="47" t="b">
        <v>0</v>
      </c>
      <c r="S2864" s="42" t="str">
        <f t="shared" si="28"/>
        <v/>
      </c>
      <c r="T2864" s="42"/>
    </row>
    <row r="2865" ht="22.5" customHeight="1">
      <c r="B2865" s="42">
        <f t="shared" si="7"/>
        <v>2859</v>
      </c>
      <c r="C2865" s="31" t="s">
        <v>2932</v>
      </c>
      <c r="D2865" s="34" t="str">
        <f t="array" ref="D2865">IFNA(_xlfn.XLOOKUP(C2865,Table_Tarikan_Warkah[Nomor Sertipikat],Table_Tarikan_Warkah[Nomor Tiket]),"")</f>
        <v>K/40/180625/1</v>
      </c>
      <c r="E2865" s="36">
        <f t="array" ref="E2865">IFNA(_xlfn.XLOOKUP(D2865,Table_Tarikan_Warkah[Nomor Tiket],Table_Tarikan_Warkah[Tanggal diserahkan kepada Validator]),"")</f>
        <v>45860.66823</v>
      </c>
      <c r="F2865" s="36" t="str">
        <f t="array" ref="F2865">IFNA(_xlfn.XLOOKUP(D2865,Table_Tarikan_Warkah[Nomor Tiket],Table_Tarikan_Warkah[Nama Petugas Warkah]),"")</f>
        <v>Berry</v>
      </c>
      <c r="G2865" s="39" t="str">
        <f t="array" ref="G2865">IFNA(_xlfn.XLOOKUP(D2865,Table_Tarikan_Warkah[Nomor Tiket],Table_Tarikan_Warkah[Jenis Permohonan]),"")</f>
        <v>BN JUAL BELI</v>
      </c>
      <c r="H2865" s="41" t="s">
        <v>2315</v>
      </c>
      <c r="I2865" s="49" t="s">
        <v>23</v>
      </c>
      <c r="J2865" s="36">
        <f t="shared" si="20"/>
        <v>45846.6069</v>
      </c>
      <c r="K2865" s="49" t="s">
        <v>2378</v>
      </c>
      <c r="L2865" s="49" t="s">
        <v>23</v>
      </c>
      <c r="M2865" s="36">
        <f t="shared" si="33"/>
        <v>45846.66285</v>
      </c>
      <c r="N2865" s="30" t="str">
        <f t="shared" si="34"/>
        <v>Selesai</v>
      </c>
      <c r="O2865" s="45">
        <f t="shared" si="23"/>
        <v>45846.66285</v>
      </c>
      <c r="P2865" s="47" t="b">
        <v>0</v>
      </c>
      <c r="Q2865" s="36" t="str">
        <f t="shared" si="24"/>
        <v/>
      </c>
      <c r="R2865" s="47" t="b">
        <v>0</v>
      </c>
      <c r="S2865" s="42" t="str">
        <f t="shared" si="28"/>
        <v/>
      </c>
      <c r="T2865" s="42"/>
    </row>
    <row r="2866" ht="22.5" customHeight="1">
      <c r="B2866" s="42">
        <f t="shared" si="7"/>
        <v>2860</v>
      </c>
      <c r="C2866" s="31" t="s">
        <v>2933</v>
      </c>
      <c r="D2866" s="34" t="str">
        <f t="array" ref="D2866">IFNA(_xlfn.XLOOKUP(C2866,Table_Tarikan_Warkah[Nomor Sertipikat],Table_Tarikan_Warkah[Nomor Tiket]),"")</f>
        <v>K/6/240625/1</v>
      </c>
      <c r="E2866" s="36">
        <f t="array" ref="E2866">IFNA(_xlfn.XLOOKUP(D2866,Table_Tarikan_Warkah[Nomor Tiket],Table_Tarikan_Warkah[Tanggal diserahkan kepada Validator]),"")</f>
        <v>45852.64159</v>
      </c>
      <c r="F2866" s="36" t="str">
        <f t="array" ref="F2866">IFNA(_xlfn.XLOOKUP(D2866,Table_Tarikan_Warkah[Nomor Tiket],Table_Tarikan_Warkah[Nama Petugas Warkah]),"")</f>
        <v>Berry</v>
      </c>
      <c r="G2866" s="39" t="str">
        <f t="array" ref="G2866">IFNA(_xlfn.XLOOKUP(D2866,Table_Tarikan_Warkah[Nomor Tiket],Table_Tarikan_Warkah[Jenis Permohonan]),"")</f>
        <v>PERUBAHAN HAK</v>
      </c>
      <c r="H2866" s="41" t="s">
        <v>2315</v>
      </c>
      <c r="I2866" s="49" t="s">
        <v>23</v>
      </c>
      <c r="J2866" s="36">
        <f t="shared" si="20"/>
        <v>45846.60706</v>
      </c>
      <c r="K2866" s="49" t="s">
        <v>2378</v>
      </c>
      <c r="L2866" s="49" t="s">
        <v>23</v>
      </c>
      <c r="M2866" s="36">
        <f t="shared" si="33"/>
        <v>45847.62061</v>
      </c>
      <c r="N2866" s="30" t="str">
        <f t="shared" si="34"/>
        <v>Selesai</v>
      </c>
      <c r="O2866" s="45">
        <f t="shared" si="23"/>
        <v>45847.62061</v>
      </c>
      <c r="P2866" s="47" t="b">
        <v>0</v>
      </c>
      <c r="Q2866" s="36" t="str">
        <f t="shared" si="24"/>
        <v/>
      </c>
      <c r="R2866" s="47" t="b">
        <v>0</v>
      </c>
      <c r="S2866" s="42" t="str">
        <f t="shared" si="28"/>
        <v/>
      </c>
      <c r="T2866" s="42"/>
    </row>
    <row r="2867" ht="22.5" customHeight="1">
      <c r="B2867" s="42">
        <f t="shared" si="7"/>
        <v>2861</v>
      </c>
      <c r="C2867" s="31" t="s">
        <v>2934</v>
      </c>
      <c r="D2867" s="34" t="str">
        <f t="array" ref="D2867">IFNA(_xlfn.XLOOKUP(C2867,Table_Tarikan_Warkah[Nomor Sertipikat],Table_Tarikan_Warkah[Nomor Tiket]),"")</f>
        <v>K/7/230625/2</v>
      </c>
      <c r="E2867" s="36">
        <f t="array" ref="E2867">IFNA(_xlfn.XLOOKUP(D2867,Table_Tarikan_Warkah[Nomor Tiket],Table_Tarikan_Warkah[Tanggal diserahkan kepada Validator]),"")</f>
        <v>45849.43473</v>
      </c>
      <c r="F2867" s="36" t="str">
        <f t="array" ref="F2867">IFNA(_xlfn.XLOOKUP(D2867,Table_Tarikan_Warkah[Nomor Tiket],Table_Tarikan_Warkah[Nama Petugas Warkah]),"")</f>
        <v>David</v>
      </c>
      <c r="G2867" s="39" t="str">
        <f t="array" ref="G2867">IFNA(_xlfn.XLOOKUP(D2867,Table_Tarikan_Warkah[Nomor Tiket],Table_Tarikan_Warkah[Jenis Permohonan]),"")</f>
        <v>BN JUAL BELI</v>
      </c>
      <c r="H2867" s="41" t="s">
        <v>2315</v>
      </c>
      <c r="I2867" s="49" t="s">
        <v>23</v>
      </c>
      <c r="J2867" s="36">
        <f t="shared" si="20"/>
        <v>45846.60723</v>
      </c>
      <c r="K2867" s="49" t="s">
        <v>2378</v>
      </c>
      <c r="L2867" s="49" t="s">
        <v>23</v>
      </c>
      <c r="M2867" s="36">
        <f t="shared" si="33"/>
        <v>45846.66273</v>
      </c>
      <c r="N2867" s="30" t="str">
        <f t="shared" si="34"/>
        <v>Selesai</v>
      </c>
      <c r="O2867" s="45">
        <f t="shared" si="23"/>
        <v>45846.66273</v>
      </c>
      <c r="P2867" s="47" t="b">
        <v>0</v>
      </c>
      <c r="Q2867" s="36" t="str">
        <f t="shared" si="24"/>
        <v/>
      </c>
      <c r="R2867" s="47" t="b">
        <v>0</v>
      </c>
      <c r="S2867" s="42" t="str">
        <f t="shared" si="28"/>
        <v/>
      </c>
      <c r="T2867" s="42"/>
    </row>
    <row r="2868" ht="22.5" customHeight="1">
      <c r="B2868" s="42">
        <f t="shared" si="7"/>
        <v>2862</v>
      </c>
      <c r="C2868" s="31" t="s">
        <v>2935</v>
      </c>
      <c r="D2868" s="34" t="str">
        <f t="array" ref="D2868">IFNA(_xlfn.XLOOKUP(C2868,Table_Tarikan_Warkah[Nomor Sertipikat],Table_Tarikan_Warkah[Nomor Tiket]),"")</f>
        <v>K/14/270525/1</v>
      </c>
      <c r="E2868" s="36">
        <f t="array" ref="E2868">IFNA(_xlfn.XLOOKUP(D2868,Table_Tarikan_Warkah[Nomor Tiket],Table_Tarikan_Warkah[Tanggal diserahkan kepada Validator]),"")</f>
        <v>45849.43425</v>
      </c>
      <c r="F2868" s="36" t="str">
        <f t="array" ref="F2868">IFNA(_xlfn.XLOOKUP(D2868,Table_Tarikan_Warkah[Nomor Tiket],Table_Tarikan_Warkah[Nama Petugas Warkah]),"")</f>
        <v>David</v>
      </c>
      <c r="G2868" s="39" t="str">
        <f t="array" ref="G2868">IFNA(_xlfn.XLOOKUP(D2868,Table_Tarikan_Warkah[Nomor Tiket],Table_Tarikan_Warkah[Jenis Permohonan]),"")</f>
        <v>BN HIBAH</v>
      </c>
      <c r="H2868" s="41" t="s">
        <v>2315</v>
      </c>
      <c r="I2868" s="49" t="s">
        <v>23</v>
      </c>
      <c r="J2868" s="36">
        <f t="shared" si="20"/>
        <v>45846.6074</v>
      </c>
      <c r="K2868" s="49" t="s">
        <v>2378</v>
      </c>
      <c r="L2868" s="49" t="s">
        <v>23</v>
      </c>
      <c r="M2868" s="36">
        <f t="shared" si="33"/>
        <v>45847.46619</v>
      </c>
      <c r="N2868" s="30" t="str">
        <f t="shared" si="34"/>
        <v>Selesai</v>
      </c>
      <c r="O2868" s="45">
        <f t="shared" si="23"/>
        <v>45847.46619</v>
      </c>
      <c r="P2868" s="47" t="b">
        <v>0</v>
      </c>
      <c r="Q2868" s="36" t="str">
        <f t="shared" si="24"/>
        <v/>
      </c>
      <c r="R2868" s="47" t="b">
        <v>0</v>
      </c>
      <c r="S2868" s="42" t="str">
        <f t="shared" si="28"/>
        <v/>
      </c>
      <c r="T2868" s="42"/>
    </row>
    <row r="2869" ht="22.5" customHeight="1">
      <c r="B2869" s="42">
        <f t="shared" si="7"/>
        <v>2863</v>
      </c>
      <c r="C2869" s="31" t="s">
        <v>2936</v>
      </c>
      <c r="D2869" s="34" t="str">
        <f t="array" ref="D2869">IFNA(_xlfn.XLOOKUP(C2869,Table_Tarikan_Warkah[Nomor Sertipikat],Table_Tarikan_Warkah[Nomor Tiket]),"")</f>
        <v>K/11/170625/1</v>
      </c>
      <c r="E2869" s="36">
        <f t="array" ref="E2869">IFNA(_xlfn.XLOOKUP(D2869,Table_Tarikan_Warkah[Nomor Tiket],Table_Tarikan_Warkah[Tanggal diserahkan kepada Validator]),"")</f>
        <v>45849.43561</v>
      </c>
      <c r="F2869" s="36" t="str">
        <f t="array" ref="F2869">IFNA(_xlfn.XLOOKUP(D2869,Table_Tarikan_Warkah[Nomor Tiket],Table_Tarikan_Warkah[Nama Petugas Warkah]),"")</f>
        <v>David</v>
      </c>
      <c r="G2869" s="39" t="str">
        <f t="array" ref="G2869">IFNA(_xlfn.XLOOKUP(D2869,Table_Tarikan_Warkah[Nomor Tiket],Table_Tarikan_Warkah[Jenis Permohonan]),"")</f>
        <v>BN JUAL BELI</v>
      </c>
      <c r="H2869" s="41" t="s">
        <v>2315</v>
      </c>
      <c r="I2869" s="49" t="s">
        <v>23</v>
      </c>
      <c r="J2869" s="36">
        <f t="shared" si="20"/>
        <v>45846.60759</v>
      </c>
      <c r="K2869" s="49" t="s">
        <v>2378</v>
      </c>
      <c r="L2869" s="49" t="s">
        <v>23</v>
      </c>
      <c r="M2869" s="36">
        <f t="shared" si="33"/>
        <v>45846.66258</v>
      </c>
      <c r="N2869" s="30" t="str">
        <f t="shared" si="34"/>
        <v>Selesai</v>
      </c>
      <c r="O2869" s="45">
        <f t="shared" si="23"/>
        <v>45846.66258</v>
      </c>
      <c r="P2869" s="47" t="b">
        <v>0</v>
      </c>
      <c r="Q2869" s="36" t="str">
        <f t="shared" si="24"/>
        <v/>
      </c>
      <c r="R2869" s="47" t="b">
        <v>0</v>
      </c>
      <c r="S2869" s="42" t="str">
        <f t="shared" si="28"/>
        <v/>
      </c>
      <c r="T2869" s="42"/>
    </row>
    <row r="2870" ht="22.5" customHeight="1">
      <c r="B2870" s="42">
        <f t="shared" si="7"/>
        <v>2864</v>
      </c>
      <c r="C2870" s="31" t="s">
        <v>2937</v>
      </c>
      <c r="D2870" s="34" t="str">
        <f t="array" ref="D2870">IFNA(_xlfn.XLOOKUP(C2870,Table_Tarikan_Warkah[Nomor Sertipikat],Table_Tarikan_Warkah[Nomor Tiket]),"")</f>
        <v>K/26/190625/1</v>
      </c>
      <c r="E2870" s="36">
        <f t="array" ref="E2870">IFNA(_xlfn.XLOOKUP(D2870,Table_Tarikan_Warkah[Nomor Tiket],Table_Tarikan_Warkah[Tanggal diserahkan kepada Validator]),"")</f>
        <v>45849.43592</v>
      </c>
      <c r="F2870" s="36" t="str">
        <f t="array" ref="F2870">IFNA(_xlfn.XLOOKUP(D2870,Table_Tarikan_Warkah[Nomor Tiket],Table_Tarikan_Warkah[Nama Petugas Warkah]),"")</f>
        <v>David</v>
      </c>
      <c r="G2870" s="39" t="str">
        <f t="array" ref="G2870">IFNA(_xlfn.XLOOKUP(D2870,Table_Tarikan_Warkah[Nomor Tiket],Table_Tarikan_Warkah[Jenis Permohonan]),"")</f>
        <v>BN JUAL BELI</v>
      </c>
      <c r="H2870" s="41" t="s">
        <v>2315</v>
      </c>
      <c r="I2870" s="49" t="s">
        <v>23</v>
      </c>
      <c r="J2870" s="36">
        <f t="shared" si="20"/>
        <v>45846.60776</v>
      </c>
      <c r="K2870" s="49" t="s">
        <v>2378</v>
      </c>
      <c r="L2870" s="49" t="s">
        <v>23</v>
      </c>
      <c r="M2870" s="36">
        <f t="shared" si="33"/>
        <v>45846.66247</v>
      </c>
      <c r="N2870" s="30" t="str">
        <f t="shared" si="34"/>
        <v>Selesai</v>
      </c>
      <c r="O2870" s="45">
        <f t="shared" si="23"/>
        <v>45846.66247</v>
      </c>
      <c r="P2870" s="47" t="b">
        <v>0</v>
      </c>
      <c r="Q2870" s="36" t="str">
        <f t="shared" si="24"/>
        <v/>
      </c>
      <c r="R2870" s="47" t="b">
        <v>0</v>
      </c>
      <c r="S2870" s="42" t="str">
        <f t="shared" si="28"/>
        <v/>
      </c>
      <c r="T2870" s="42"/>
    </row>
    <row r="2871" ht="22.5" customHeight="1">
      <c r="B2871" s="42">
        <f t="shared" si="7"/>
        <v>2865</v>
      </c>
      <c r="C2871" s="31" t="s">
        <v>2938</v>
      </c>
      <c r="D2871" s="34" t="str">
        <f t="array" ref="D2871">IFNA(_xlfn.XLOOKUP(C2871,Table_Tarikan_Warkah[Nomor Sertipikat],Table_Tarikan_Warkah[Nomor Tiket]),"")</f>
        <v>K/36/200625/1</v>
      </c>
      <c r="E2871" s="36" t="str">
        <f t="array" ref="E2871">IFNA(_xlfn.XLOOKUP(D2871,Table_Tarikan_Warkah[Nomor Tiket],Table_Tarikan_Warkah[Tanggal diserahkan kepada Validator]),"")</f>
        <v/>
      </c>
      <c r="F2871" s="36" t="str">
        <f t="array" ref="F2871">IFNA(_xlfn.XLOOKUP(D2871,Table_Tarikan_Warkah[Nomor Tiket],Table_Tarikan_Warkah[Nama Petugas Warkah]),"")</f>
        <v/>
      </c>
      <c r="G2871" s="39" t="str">
        <f t="array" ref="G2871">IFNA(_xlfn.XLOOKUP(D2871,Table_Tarikan_Warkah[Nomor Tiket],Table_Tarikan_Warkah[Jenis Permohonan]),"")</f>
        <v>Roya</v>
      </c>
      <c r="H2871" s="41" t="s">
        <v>2315</v>
      </c>
      <c r="I2871" s="49" t="s">
        <v>23</v>
      </c>
      <c r="J2871" s="36">
        <f t="shared" si="20"/>
        <v>45846.60784</v>
      </c>
      <c r="K2871" s="49" t="s">
        <v>2378</v>
      </c>
      <c r="L2871" s="49" t="s">
        <v>23</v>
      </c>
      <c r="M2871" s="36">
        <f t="shared" si="33"/>
        <v>45847.46631</v>
      </c>
      <c r="N2871" s="30" t="str">
        <f t="shared" si="34"/>
        <v>Selesai</v>
      </c>
      <c r="O2871" s="45">
        <f t="shared" si="23"/>
        <v>45847.46631</v>
      </c>
      <c r="P2871" s="47" t="b">
        <v>0</v>
      </c>
      <c r="Q2871" s="36" t="str">
        <f t="shared" si="24"/>
        <v/>
      </c>
      <c r="R2871" s="47" t="b">
        <v>0</v>
      </c>
      <c r="S2871" s="42" t="str">
        <f t="shared" si="28"/>
        <v/>
      </c>
      <c r="T2871" s="42"/>
    </row>
    <row r="2872" ht="22.5" customHeight="1">
      <c r="B2872" s="42">
        <f t="shared" si="7"/>
        <v>2866</v>
      </c>
      <c r="C2872" s="31" t="s">
        <v>2939</v>
      </c>
      <c r="D2872" s="34" t="str">
        <f t="array" ref="D2872">IFNA(_xlfn.XLOOKUP(C2872,Table_Tarikan_Warkah[Nomor Sertipikat],Table_Tarikan_Warkah[Nomor Tiket]),"")</f>
        <v>K/6/030725/1</v>
      </c>
      <c r="E2872" s="36" t="str">
        <f t="array" ref="E2872">IFNA(_xlfn.XLOOKUP(D2872,Table_Tarikan_Warkah[Nomor Tiket],Table_Tarikan_Warkah[Tanggal diserahkan kepada Validator]),"")</f>
        <v/>
      </c>
      <c r="F2872" s="36" t="str">
        <f t="array" ref="F2872">IFNA(_xlfn.XLOOKUP(D2872,Table_Tarikan_Warkah[Nomor Tiket],Table_Tarikan_Warkah[Nama Petugas Warkah]),"")</f>
        <v/>
      </c>
      <c r="G2872" s="39" t="str">
        <f t="array" ref="G2872">IFNA(_xlfn.XLOOKUP(D2872,Table_Tarikan_Warkah[Nomor Tiket],Table_Tarikan_Warkah[Jenis Permohonan]),"")</f>
        <v>PTPGT (Pemecahan)</v>
      </c>
      <c r="H2872" s="41" t="s">
        <v>2315</v>
      </c>
      <c r="I2872" s="49" t="s">
        <v>23</v>
      </c>
      <c r="J2872" s="36">
        <f t="shared" si="20"/>
        <v>45846.60804</v>
      </c>
      <c r="K2872" s="49" t="s">
        <v>2378</v>
      </c>
      <c r="L2872" s="49" t="s">
        <v>23</v>
      </c>
      <c r="M2872" s="36">
        <f t="shared" si="33"/>
        <v>45846.66232</v>
      </c>
      <c r="N2872" s="30" t="str">
        <f t="shared" si="34"/>
        <v>Selesai</v>
      </c>
      <c r="O2872" s="45">
        <f t="shared" si="23"/>
        <v>45846.66232</v>
      </c>
      <c r="P2872" s="47" t="b">
        <v>0</v>
      </c>
      <c r="Q2872" s="36" t="str">
        <f t="shared" si="24"/>
        <v/>
      </c>
      <c r="R2872" s="47" t="b">
        <v>0</v>
      </c>
      <c r="S2872" s="42" t="str">
        <f t="shared" si="28"/>
        <v/>
      </c>
      <c r="T2872" s="42"/>
    </row>
    <row r="2873" ht="22.5" customHeight="1">
      <c r="B2873" s="42">
        <f t="shared" si="7"/>
        <v>2867</v>
      </c>
      <c r="C2873" s="31" t="s">
        <v>2940</v>
      </c>
      <c r="D2873" s="34" t="str">
        <f t="array" ref="D2873">IFNA(_xlfn.XLOOKUP(C2873,Table_Tarikan_Warkah[Nomor Sertipikat],Table_Tarikan_Warkah[Nomor Tiket]),"")</f>
        <v>K/18/250625/2</v>
      </c>
      <c r="E2873" s="36">
        <f t="array" ref="E2873">IFNA(_xlfn.XLOOKUP(D2873,Table_Tarikan_Warkah[Nomor Tiket],Table_Tarikan_Warkah[Tanggal diserahkan kepada Validator]),"")</f>
        <v>45849.49254</v>
      </c>
      <c r="F2873" s="36" t="str">
        <f t="array" ref="F2873">IFNA(_xlfn.XLOOKUP(D2873,Table_Tarikan_Warkah[Nomor Tiket],Table_Tarikan_Warkah[Nama Petugas Warkah]),"")</f>
        <v>Berry</v>
      </c>
      <c r="G2873" s="39" t="str">
        <f t="array" ref="G2873">IFNA(_xlfn.XLOOKUP(D2873,Table_Tarikan_Warkah[Nomor Tiket],Table_Tarikan_Warkah[Jenis Permohonan]),"")</f>
        <v>BN Jual Beli</v>
      </c>
      <c r="H2873" s="41" t="s">
        <v>2315</v>
      </c>
      <c r="I2873" s="49" t="s">
        <v>23</v>
      </c>
      <c r="J2873" s="36">
        <f t="shared" si="20"/>
        <v>45846.60821</v>
      </c>
      <c r="K2873" s="49" t="s">
        <v>2378</v>
      </c>
      <c r="L2873" s="49" t="s">
        <v>23</v>
      </c>
      <c r="M2873" s="36">
        <f t="shared" si="33"/>
        <v>45847.62036</v>
      </c>
      <c r="N2873" s="30" t="str">
        <f t="shared" si="34"/>
        <v>Selesai</v>
      </c>
      <c r="O2873" s="45">
        <f t="shared" si="23"/>
        <v>45847.62036</v>
      </c>
      <c r="P2873" s="47" t="b">
        <v>0</v>
      </c>
      <c r="Q2873" s="36" t="str">
        <f t="shared" si="24"/>
        <v/>
      </c>
      <c r="R2873" s="47" t="b">
        <v>0</v>
      </c>
      <c r="S2873" s="42" t="str">
        <f t="shared" si="28"/>
        <v/>
      </c>
      <c r="T2873" s="42"/>
    </row>
    <row r="2874" ht="22.5" customHeight="1">
      <c r="B2874" s="42">
        <f t="shared" si="7"/>
        <v>2868</v>
      </c>
      <c r="C2874" s="31" t="s">
        <v>2941</v>
      </c>
      <c r="D2874" s="34" t="str">
        <f t="array" ref="D2874">IFNA(_xlfn.XLOOKUP(C2874,Table_Tarikan_Warkah[Nomor Sertipikat],Table_Tarikan_Warkah[Nomor Tiket]),"")</f>
        <v>K/1/240625/1</v>
      </c>
      <c r="E2874" s="36">
        <f t="array" ref="E2874">IFNA(_xlfn.XLOOKUP(D2874,Table_Tarikan_Warkah[Nomor Tiket],Table_Tarikan_Warkah[Tanggal diserahkan kepada Validator]),"")</f>
        <v>45849.49387</v>
      </c>
      <c r="F2874" s="36" t="str">
        <f t="array" ref="F2874">IFNA(_xlfn.XLOOKUP(D2874,Table_Tarikan_Warkah[Nomor Tiket],Table_Tarikan_Warkah[Nama Petugas Warkah]),"")</f>
        <v>Berry</v>
      </c>
      <c r="G2874" s="39" t="str">
        <f t="array" ref="G2874">IFNA(_xlfn.XLOOKUP(D2874,Table_Tarikan_Warkah[Nomor Tiket],Table_Tarikan_Warkah[Jenis Permohonan]),"")</f>
        <v>BN Jual Beli</v>
      </c>
      <c r="H2874" s="41" t="s">
        <v>2315</v>
      </c>
      <c r="I2874" s="49" t="s">
        <v>23</v>
      </c>
      <c r="J2874" s="36">
        <f t="shared" si="20"/>
        <v>45846.60903</v>
      </c>
      <c r="K2874" s="49" t="s">
        <v>2378</v>
      </c>
      <c r="L2874" s="49" t="s">
        <v>23</v>
      </c>
      <c r="M2874" s="36">
        <f t="shared" si="33"/>
        <v>45847.63325</v>
      </c>
      <c r="N2874" s="30" t="str">
        <f t="shared" si="34"/>
        <v>Selesai</v>
      </c>
      <c r="O2874" s="45">
        <f t="shared" si="23"/>
        <v>45847.63325</v>
      </c>
      <c r="P2874" s="47" t="b">
        <v>0</v>
      </c>
      <c r="Q2874" s="36" t="str">
        <f t="shared" si="24"/>
        <v/>
      </c>
      <c r="R2874" s="47" t="b">
        <v>0</v>
      </c>
      <c r="S2874" s="42" t="str">
        <f t="shared" si="28"/>
        <v/>
      </c>
      <c r="T2874" s="42"/>
    </row>
    <row r="2875" ht="22.5" customHeight="1">
      <c r="B2875" s="42">
        <f t="shared" si="7"/>
        <v>2869</v>
      </c>
      <c r="C2875" s="31" t="s">
        <v>2942</v>
      </c>
      <c r="D2875" s="34" t="str">
        <f t="array" ref="D2875">IFNA(_xlfn.XLOOKUP(C2875,Table_Tarikan_Warkah[Nomor Sertipikat],Table_Tarikan_Warkah[Nomor Tiket]),"")</f>
        <v>K/24/180625/1</v>
      </c>
      <c r="E2875" s="36">
        <f t="array" ref="E2875">IFNA(_xlfn.XLOOKUP(D2875,Table_Tarikan_Warkah[Nomor Tiket],Table_Tarikan_Warkah[Tanggal diserahkan kepada Validator]),"")</f>
        <v>45849.49729</v>
      </c>
      <c r="F2875" s="36" t="str">
        <f t="array" ref="F2875">IFNA(_xlfn.XLOOKUP(D2875,Table_Tarikan_Warkah[Nomor Tiket],Table_Tarikan_Warkah[Nama Petugas Warkah]),"")</f>
        <v>Berry</v>
      </c>
      <c r="G2875" s="39" t="str">
        <f t="array" ref="G2875">IFNA(_xlfn.XLOOKUP(D2875,Table_Tarikan_Warkah[Nomor Tiket],Table_Tarikan_Warkah[Jenis Permohonan]),"")</f>
        <v>BN Hibah</v>
      </c>
      <c r="H2875" s="41" t="s">
        <v>2315</v>
      </c>
      <c r="I2875" s="49" t="s">
        <v>23</v>
      </c>
      <c r="J2875" s="36">
        <f t="shared" si="20"/>
        <v>45846.60919</v>
      </c>
      <c r="K2875" s="49" t="s">
        <v>2378</v>
      </c>
      <c r="L2875" s="49" t="s">
        <v>23</v>
      </c>
      <c r="M2875" s="36">
        <f t="shared" si="33"/>
        <v>45847.63438</v>
      </c>
      <c r="N2875" s="30" t="str">
        <f t="shared" si="34"/>
        <v>Selesai</v>
      </c>
      <c r="O2875" s="45">
        <f t="shared" si="23"/>
        <v>45847.63438</v>
      </c>
      <c r="P2875" s="47" t="b">
        <v>0</v>
      </c>
      <c r="Q2875" s="36" t="str">
        <f t="shared" si="24"/>
        <v/>
      </c>
      <c r="R2875" s="47" t="b">
        <v>0</v>
      </c>
      <c r="S2875" s="42" t="str">
        <f t="shared" si="28"/>
        <v/>
      </c>
      <c r="T2875" s="42"/>
    </row>
    <row r="2876" ht="22.5" customHeight="1">
      <c r="B2876" s="42">
        <f t="shared" si="7"/>
        <v>2870</v>
      </c>
      <c r="C2876" s="31" t="s">
        <v>2943</v>
      </c>
      <c r="D2876" s="34" t="str">
        <f t="array" ref="D2876">IFNA(_xlfn.XLOOKUP(C2876,Table_Tarikan_Warkah[Nomor Sertipikat],Table_Tarikan_Warkah[Nomor Tiket]),"")</f>
        <v>L/6/020725/1</v>
      </c>
      <c r="E2876" s="36">
        <f t="array" ref="E2876">IFNA(_xlfn.XLOOKUP(D2876,Table_Tarikan_Warkah[Nomor Tiket],Table_Tarikan_Warkah[Tanggal diserahkan kepada Validator]),"")</f>
        <v>45856.62521</v>
      </c>
      <c r="F2876" s="36" t="str">
        <f t="array" ref="F2876">IFNA(_xlfn.XLOOKUP(D2876,Table_Tarikan_Warkah[Nomor Tiket],Table_Tarikan_Warkah[Nama Petugas Warkah]),"")</f>
        <v>David</v>
      </c>
      <c r="G2876" s="39" t="str">
        <f t="array" ref="G2876">IFNA(_xlfn.XLOOKUP(D2876,Table_Tarikan_Warkah[Nomor Tiket],Table_Tarikan_Warkah[Jenis Permohonan]),"")</f>
        <v>ROYA</v>
      </c>
      <c r="H2876" s="41" t="s">
        <v>2315</v>
      </c>
      <c r="I2876" s="49" t="s">
        <v>23</v>
      </c>
      <c r="J2876" s="36">
        <f t="shared" si="20"/>
        <v>45846.60933</v>
      </c>
      <c r="K2876" s="49" t="s">
        <v>2378</v>
      </c>
      <c r="L2876" s="49" t="s">
        <v>23</v>
      </c>
      <c r="M2876" s="36">
        <f t="shared" si="33"/>
        <v>45847.46643</v>
      </c>
      <c r="N2876" s="30" t="str">
        <f t="shared" si="34"/>
        <v>Selesai</v>
      </c>
      <c r="O2876" s="45">
        <f t="shared" si="23"/>
        <v>45847.46643</v>
      </c>
      <c r="P2876" s="47" t="b">
        <v>0</v>
      </c>
      <c r="Q2876" s="36" t="str">
        <f t="shared" si="24"/>
        <v/>
      </c>
      <c r="R2876" s="47" t="b">
        <v>0</v>
      </c>
      <c r="S2876" s="42" t="str">
        <f t="shared" si="28"/>
        <v/>
      </c>
      <c r="T2876" s="42"/>
    </row>
    <row r="2877" ht="22.5" customHeight="1">
      <c r="B2877" s="42">
        <f t="shared" si="7"/>
        <v>2871</v>
      </c>
      <c r="C2877" s="31" t="s">
        <v>2944</v>
      </c>
      <c r="D2877" s="34" t="str">
        <f t="array" ref="D2877">IFNA(_xlfn.XLOOKUP(C2877,Table_Tarikan_Warkah[Nomor Sertipikat],Table_Tarikan_Warkah[Nomor Tiket]),"")</f>
        <v>L/4/030725/1</v>
      </c>
      <c r="E2877" s="36">
        <f t="array" ref="E2877">IFNA(_xlfn.XLOOKUP(D2877,Table_Tarikan_Warkah[Nomor Tiket],Table_Tarikan_Warkah[Tanggal diserahkan kepada Validator]),"")</f>
        <v>45868.65533</v>
      </c>
      <c r="F2877" s="36" t="str">
        <f t="array" ref="F2877">IFNA(_xlfn.XLOOKUP(D2877,Table_Tarikan_Warkah[Nomor Tiket],Table_Tarikan_Warkah[Nama Petugas Warkah]),"")</f>
        <v>David</v>
      </c>
      <c r="G2877" s="39" t="str">
        <f t="array" ref="G2877">IFNA(_xlfn.XLOOKUP(D2877,Table_Tarikan_Warkah[Nomor Tiket],Table_Tarikan_Warkah[Jenis Permohonan]),"")</f>
        <v>ROYA</v>
      </c>
      <c r="H2877" s="41" t="s">
        <v>2315</v>
      </c>
      <c r="I2877" s="49" t="s">
        <v>23</v>
      </c>
      <c r="J2877" s="36">
        <f t="shared" si="20"/>
        <v>45846.60946</v>
      </c>
      <c r="K2877" s="49" t="s">
        <v>2378</v>
      </c>
      <c r="L2877" s="49" t="s">
        <v>23</v>
      </c>
      <c r="M2877" s="36">
        <f t="shared" si="33"/>
        <v>45847.46652</v>
      </c>
      <c r="N2877" s="30" t="str">
        <f t="shared" si="34"/>
        <v>Selesai</v>
      </c>
      <c r="O2877" s="45">
        <f t="shared" si="23"/>
        <v>45847.46652</v>
      </c>
      <c r="P2877" s="47" t="b">
        <v>0</v>
      </c>
      <c r="Q2877" s="36" t="str">
        <f t="shared" si="24"/>
        <v/>
      </c>
      <c r="R2877" s="47" t="b">
        <v>0</v>
      </c>
      <c r="S2877" s="42" t="str">
        <f t="shared" si="28"/>
        <v/>
      </c>
      <c r="T2877" s="42"/>
    </row>
    <row r="2878" ht="22.5" customHeight="1">
      <c r="B2878" s="42">
        <f t="shared" si="7"/>
        <v>2872</v>
      </c>
      <c r="C2878" s="31" t="s">
        <v>2945</v>
      </c>
      <c r="D2878" s="34" t="str">
        <f t="array" ref="D2878">IFNA(_xlfn.XLOOKUP(C2878,Table_Tarikan_Warkah[Nomor Sertipikat],Table_Tarikan_Warkah[Nomor Tiket]),"")</f>
        <v>L/46/010725/1</v>
      </c>
      <c r="E2878" s="36">
        <f t="array" ref="E2878">IFNA(_xlfn.XLOOKUP(D2878,Table_Tarikan_Warkah[Nomor Tiket],Table_Tarikan_Warkah[Tanggal diserahkan kepada Validator]),"")</f>
        <v>45873.63385</v>
      </c>
      <c r="F2878" s="36" t="str">
        <f t="array" ref="F2878">IFNA(_xlfn.XLOOKUP(D2878,Table_Tarikan_Warkah[Nomor Tiket],Table_Tarikan_Warkah[Nama Petugas Warkah]),"")</f>
        <v>Berry</v>
      </c>
      <c r="G2878" s="39" t="str">
        <f t="array" ref="G2878">IFNA(_xlfn.XLOOKUP(D2878,Table_Tarikan_Warkah[Nomor Tiket],Table_Tarikan_Warkah[Jenis Permohonan]),"")</f>
        <v>ROYA</v>
      </c>
      <c r="H2878" s="41" t="s">
        <v>2315</v>
      </c>
      <c r="I2878" s="49" t="s">
        <v>23</v>
      </c>
      <c r="J2878" s="36">
        <f t="shared" si="20"/>
        <v>45846.60961</v>
      </c>
      <c r="K2878" s="49" t="s">
        <v>2378</v>
      </c>
      <c r="L2878" s="49" t="s">
        <v>23</v>
      </c>
      <c r="M2878" s="36">
        <f t="shared" si="33"/>
        <v>45847.46703</v>
      </c>
      <c r="N2878" s="30" t="str">
        <f t="shared" si="34"/>
        <v>Selesai</v>
      </c>
      <c r="O2878" s="45">
        <f t="shared" si="23"/>
        <v>45847.46703</v>
      </c>
      <c r="P2878" s="47" t="b">
        <v>0</v>
      </c>
      <c r="Q2878" s="36" t="str">
        <f t="shared" si="24"/>
        <v/>
      </c>
      <c r="R2878" s="47" t="b">
        <v>0</v>
      </c>
      <c r="S2878" s="42" t="str">
        <f t="shared" si="28"/>
        <v/>
      </c>
      <c r="T2878" s="42"/>
    </row>
    <row r="2879" ht="22.5" customHeight="1">
      <c r="B2879" s="42">
        <f t="shared" si="7"/>
        <v>2873</v>
      </c>
      <c r="C2879" s="31" t="s">
        <v>2946</v>
      </c>
      <c r="D2879" s="34" t="str">
        <f t="array" ref="D2879">IFNA(_xlfn.XLOOKUP(C2879,Table_Tarikan_Warkah[Nomor Sertipikat],Table_Tarikan_Warkah[Nomor Tiket]),"")</f>
        <v>L/1/030725/1</v>
      </c>
      <c r="E2879" s="36">
        <f t="array" ref="E2879">IFNA(_xlfn.XLOOKUP(D2879,Table_Tarikan_Warkah[Nomor Tiket],Table_Tarikan_Warkah[Tanggal diserahkan kepada Validator]),"")</f>
        <v>45855.65268</v>
      </c>
      <c r="F2879" s="36" t="str">
        <f t="array" ref="F2879">IFNA(_xlfn.XLOOKUP(D2879,Table_Tarikan_Warkah[Nomor Tiket],Table_Tarikan_Warkah[Nama Petugas Warkah]),"")</f>
        <v>David</v>
      </c>
      <c r="G2879" s="39" t="str">
        <f t="array" ref="G2879">IFNA(_xlfn.XLOOKUP(D2879,Table_Tarikan_Warkah[Nomor Tiket],Table_Tarikan_Warkah[Jenis Permohonan]),"")</f>
        <v>ROYA</v>
      </c>
      <c r="H2879" s="41" t="s">
        <v>2315</v>
      </c>
      <c r="I2879" s="49" t="s">
        <v>23</v>
      </c>
      <c r="J2879" s="36">
        <f t="shared" si="20"/>
        <v>45846.60975</v>
      </c>
      <c r="K2879" s="49" t="s">
        <v>2378</v>
      </c>
      <c r="L2879" s="49" t="s">
        <v>23</v>
      </c>
      <c r="M2879" s="36">
        <f t="shared" si="33"/>
        <v>45847.46541</v>
      </c>
      <c r="N2879" s="30" t="str">
        <f t="shared" si="34"/>
        <v>Selesai</v>
      </c>
      <c r="O2879" s="45">
        <f t="shared" si="23"/>
        <v>45847.46541</v>
      </c>
      <c r="P2879" s="47" t="b">
        <v>0</v>
      </c>
      <c r="Q2879" s="36" t="str">
        <f t="shared" si="24"/>
        <v/>
      </c>
      <c r="R2879" s="47" t="b">
        <v>0</v>
      </c>
      <c r="S2879" s="42" t="str">
        <f t="shared" si="28"/>
        <v/>
      </c>
      <c r="T2879" s="42"/>
    </row>
    <row r="2880" ht="22.5" customHeight="1">
      <c r="B2880" s="42">
        <f t="shared" si="7"/>
        <v>2874</v>
      </c>
      <c r="C2880" s="31" t="s">
        <v>2947</v>
      </c>
      <c r="D2880" s="34" t="str">
        <f t="array" ref="D2880">IFNA(_xlfn.XLOOKUP(C2880,Table_Tarikan_Warkah[Nomor Sertipikat],Table_Tarikan_Warkah[Nomor Tiket]),"")</f>
        <v>L/12/260625/1</v>
      </c>
      <c r="E2880" s="36">
        <f t="array" ref="E2880">IFNA(_xlfn.XLOOKUP(D2880,Table_Tarikan_Warkah[Nomor Tiket],Table_Tarikan_Warkah[Tanggal diserahkan kepada Validator]),"")</f>
        <v>45856.62854</v>
      </c>
      <c r="F2880" s="36" t="str">
        <f t="array" ref="F2880">IFNA(_xlfn.XLOOKUP(D2880,Table_Tarikan_Warkah[Nomor Tiket],Table_Tarikan_Warkah[Nama Petugas Warkah]),"")</f>
        <v>David</v>
      </c>
      <c r="G2880" s="39" t="str">
        <f t="array" ref="G2880">IFNA(_xlfn.XLOOKUP(D2880,Table_Tarikan_Warkah[Nomor Tiket],Table_Tarikan_Warkah[Jenis Permohonan]),"")</f>
        <v>ROYA</v>
      </c>
      <c r="H2880" s="41" t="s">
        <v>2315</v>
      </c>
      <c r="I2880" s="49" t="s">
        <v>23</v>
      </c>
      <c r="J2880" s="36">
        <f t="shared" si="20"/>
        <v>45846.60988</v>
      </c>
      <c r="K2880" s="49" t="s">
        <v>2378</v>
      </c>
      <c r="L2880" s="49" t="s">
        <v>23</v>
      </c>
      <c r="M2880" s="36">
        <f t="shared" si="33"/>
        <v>45847.46557</v>
      </c>
      <c r="N2880" s="30" t="str">
        <f t="shared" si="34"/>
        <v>Selesai</v>
      </c>
      <c r="O2880" s="45">
        <f t="shared" si="23"/>
        <v>45847.46557</v>
      </c>
      <c r="P2880" s="47" t="b">
        <v>0</v>
      </c>
      <c r="Q2880" s="36" t="str">
        <f t="shared" si="24"/>
        <v/>
      </c>
      <c r="R2880" s="47" t="b">
        <v>0</v>
      </c>
      <c r="S2880" s="42" t="str">
        <f t="shared" si="28"/>
        <v/>
      </c>
      <c r="T2880" s="42"/>
    </row>
    <row r="2881" ht="22.5" customHeight="1">
      <c r="B2881" s="42">
        <f t="shared" si="7"/>
        <v>2875</v>
      </c>
      <c r="C2881" s="31" t="s">
        <v>2948</v>
      </c>
      <c r="D2881" s="34" t="str">
        <f t="array" ref="D2881">IFNA(_xlfn.XLOOKUP(C2881,Table_Tarikan_Warkah[Nomor Sertipikat],Table_Tarikan_Warkah[Nomor Tiket]),"")</f>
        <v>L/19/030725/1</v>
      </c>
      <c r="E2881" s="36">
        <f t="array" ref="E2881">IFNA(_xlfn.XLOOKUP(D2881,Table_Tarikan_Warkah[Nomor Tiket],Table_Tarikan_Warkah[Tanggal diserahkan kepada Validator]),"")</f>
        <v>45861.61402</v>
      </c>
      <c r="F2881" s="36" t="str">
        <f t="array" ref="F2881">IFNA(_xlfn.XLOOKUP(D2881,Table_Tarikan_Warkah[Nomor Tiket],Table_Tarikan_Warkah[Nama Petugas Warkah]),"")</f>
        <v>David</v>
      </c>
      <c r="G2881" s="39" t="str">
        <f t="array" ref="G2881">IFNA(_xlfn.XLOOKUP(D2881,Table_Tarikan_Warkah[Nomor Tiket],Table_Tarikan_Warkah[Jenis Permohonan]),"")</f>
        <v>SISKA AULIA SARI</v>
      </c>
      <c r="H2881" s="41" t="s">
        <v>2315</v>
      </c>
      <c r="I2881" s="49" t="s">
        <v>23</v>
      </c>
      <c r="J2881" s="36">
        <f t="shared" si="20"/>
        <v>45846.61005</v>
      </c>
      <c r="K2881" s="49" t="s">
        <v>2378</v>
      </c>
      <c r="L2881" s="49" t="s">
        <v>23</v>
      </c>
      <c r="M2881" s="36">
        <f t="shared" si="33"/>
        <v>45847.46563</v>
      </c>
      <c r="N2881" s="30" t="str">
        <f t="shared" si="34"/>
        <v>Selesai</v>
      </c>
      <c r="O2881" s="45">
        <f t="shared" si="23"/>
        <v>45847.46563</v>
      </c>
      <c r="P2881" s="47" t="b">
        <v>0</v>
      </c>
      <c r="Q2881" s="36" t="str">
        <f t="shared" si="24"/>
        <v/>
      </c>
      <c r="R2881" s="47" t="b">
        <v>0</v>
      </c>
      <c r="S2881" s="42" t="str">
        <f t="shared" si="28"/>
        <v/>
      </c>
      <c r="T2881" s="42"/>
    </row>
    <row r="2882" ht="22.5" customHeight="1">
      <c r="B2882" s="42">
        <f t="shared" si="7"/>
        <v>2876</v>
      </c>
      <c r="C2882" s="31" t="s">
        <v>2949</v>
      </c>
      <c r="D2882" s="34" t="str">
        <f t="array" ref="D2882">IFNA(_xlfn.XLOOKUP(C2882,Table_Tarikan_Warkah[Nomor Sertipikat],Table_Tarikan_Warkah[Nomor Tiket]),"")</f>
        <v>L/5/030725/1</v>
      </c>
      <c r="E2882" s="36">
        <f t="array" ref="E2882">IFNA(_xlfn.XLOOKUP(D2882,Table_Tarikan_Warkah[Nomor Tiket],Table_Tarikan_Warkah[Tanggal diserahkan kepada Validator]),"")</f>
        <v>45856.62743</v>
      </c>
      <c r="F2882" s="36" t="str">
        <f t="array" ref="F2882">IFNA(_xlfn.XLOOKUP(D2882,Table_Tarikan_Warkah[Nomor Tiket],Table_Tarikan_Warkah[Nama Petugas Warkah]),"")</f>
        <v>David</v>
      </c>
      <c r="G2882" s="39" t="str">
        <f t="array" ref="G2882">IFNA(_xlfn.XLOOKUP(D2882,Table_Tarikan_Warkah[Nomor Tiket],Table_Tarikan_Warkah[Jenis Permohonan]),"")</f>
        <v>ROYA</v>
      </c>
      <c r="H2882" s="41" t="s">
        <v>2315</v>
      </c>
      <c r="I2882" s="49" t="s">
        <v>23</v>
      </c>
      <c r="J2882" s="36">
        <f t="shared" si="20"/>
        <v>45846.61026</v>
      </c>
      <c r="K2882" s="49" t="s">
        <v>2378</v>
      </c>
      <c r="L2882" s="49" t="s">
        <v>23</v>
      </c>
      <c r="M2882" s="36">
        <f t="shared" si="33"/>
        <v>45847.46583</v>
      </c>
      <c r="N2882" s="30" t="str">
        <f t="shared" si="34"/>
        <v>Selesai</v>
      </c>
      <c r="O2882" s="45">
        <f t="shared" si="23"/>
        <v>45847.46583</v>
      </c>
      <c r="P2882" s="47" t="b">
        <v>0</v>
      </c>
      <c r="Q2882" s="36" t="str">
        <f t="shared" si="24"/>
        <v/>
      </c>
      <c r="R2882" s="47" t="b">
        <v>0</v>
      </c>
      <c r="S2882" s="42" t="str">
        <f t="shared" si="28"/>
        <v/>
      </c>
      <c r="T2882" s="42"/>
    </row>
    <row r="2883" ht="22.5" customHeight="1">
      <c r="B2883" s="42">
        <f t="shared" si="7"/>
        <v>2877</v>
      </c>
      <c r="C2883" s="31" t="s">
        <v>2950</v>
      </c>
      <c r="D2883" s="34" t="str">
        <f t="array" ref="D2883">IFNA(_xlfn.XLOOKUP(C2883,Table_Tarikan_Warkah[Nomor Sertipikat],Table_Tarikan_Warkah[Nomor Tiket]),"")</f>
        <v>L/19/020725/1</v>
      </c>
      <c r="E2883" s="36">
        <f t="array" ref="E2883">IFNA(_xlfn.XLOOKUP(D2883,Table_Tarikan_Warkah[Nomor Tiket],Table_Tarikan_Warkah[Tanggal diserahkan kepada Validator]),"")</f>
        <v>45856.62711</v>
      </c>
      <c r="F2883" s="36" t="str">
        <f t="array" ref="F2883">IFNA(_xlfn.XLOOKUP(D2883,Table_Tarikan_Warkah[Nomor Tiket],Table_Tarikan_Warkah[Nama Petugas Warkah]),"")</f>
        <v>David</v>
      </c>
      <c r="G2883" s="39" t="str">
        <f t="array" ref="G2883">IFNA(_xlfn.XLOOKUP(D2883,Table_Tarikan_Warkah[Nomor Tiket],Table_Tarikan_Warkah[Jenis Permohonan]),"")</f>
        <v>ROYA</v>
      </c>
      <c r="H2883" s="41" t="s">
        <v>2315</v>
      </c>
      <c r="I2883" s="49" t="s">
        <v>23</v>
      </c>
      <c r="J2883" s="36">
        <f t="shared" si="20"/>
        <v>45846.61046</v>
      </c>
      <c r="K2883" s="49" t="s">
        <v>2378</v>
      </c>
      <c r="L2883" s="49" t="s">
        <v>23</v>
      </c>
      <c r="M2883" s="36">
        <f t="shared" si="33"/>
        <v>45847.4659</v>
      </c>
      <c r="N2883" s="30" t="str">
        <f t="shared" si="34"/>
        <v>Selesai</v>
      </c>
      <c r="O2883" s="45">
        <f t="shared" si="23"/>
        <v>45847.4659</v>
      </c>
      <c r="P2883" s="47" t="b">
        <v>0</v>
      </c>
      <c r="Q2883" s="36" t="str">
        <f t="shared" si="24"/>
        <v/>
      </c>
      <c r="R2883" s="47" t="b">
        <v>0</v>
      </c>
      <c r="S2883" s="42" t="str">
        <f t="shared" si="28"/>
        <v/>
      </c>
      <c r="T2883" s="42"/>
    </row>
    <row r="2884" ht="22.5" customHeight="1">
      <c r="B2884" s="42">
        <f t="shared" si="7"/>
        <v>2878</v>
      </c>
      <c r="C2884" s="31" t="s">
        <v>2951</v>
      </c>
      <c r="D2884" s="34" t="str">
        <f t="array" ref="D2884">IFNA(_xlfn.XLOOKUP(C2884,Table_Tarikan_Warkah[Nomor Sertipikat],Table_Tarikan_Warkah[Nomor Tiket]),"")</f>
        <v>L/8/300625/1</v>
      </c>
      <c r="E2884" s="36">
        <f t="array" ref="E2884">IFNA(_xlfn.XLOOKUP(D2884,Table_Tarikan_Warkah[Nomor Tiket],Table_Tarikan_Warkah[Tanggal diserahkan kepada Validator]),"")</f>
        <v>45926.58426</v>
      </c>
      <c r="F2884" s="36" t="str">
        <f t="array" ref="F2884">IFNA(_xlfn.XLOOKUP(D2884,Table_Tarikan_Warkah[Nomor Tiket],Table_Tarikan_Warkah[Nama Petugas Warkah]),"")</f>
        <v>David</v>
      </c>
      <c r="G2884" s="39" t="str">
        <f t="array" ref="G2884">IFNA(_xlfn.XLOOKUP(D2884,Table_Tarikan_Warkah[Nomor Tiket],Table_Tarikan_Warkah[Jenis Permohonan]),"")</f>
        <v>ROYA</v>
      </c>
      <c r="H2884" s="41" t="s">
        <v>2315</v>
      </c>
      <c r="I2884" s="49" t="s">
        <v>23</v>
      </c>
      <c r="J2884" s="36">
        <f t="shared" si="20"/>
        <v>45846.6106</v>
      </c>
      <c r="K2884" s="49" t="s">
        <v>2378</v>
      </c>
      <c r="L2884" s="49" t="s">
        <v>23</v>
      </c>
      <c r="M2884" s="36">
        <f t="shared" si="33"/>
        <v>45847.4668</v>
      </c>
      <c r="N2884" s="30" t="str">
        <f t="shared" si="34"/>
        <v>Selesai</v>
      </c>
      <c r="O2884" s="45">
        <f t="shared" si="23"/>
        <v>45847.4668</v>
      </c>
      <c r="P2884" s="47" t="b">
        <v>0</v>
      </c>
      <c r="Q2884" s="36" t="str">
        <f t="shared" si="24"/>
        <v/>
      </c>
      <c r="R2884" s="47" t="b">
        <v>0</v>
      </c>
      <c r="S2884" s="42" t="str">
        <f t="shared" si="28"/>
        <v/>
      </c>
      <c r="T2884" s="42"/>
    </row>
    <row r="2885" ht="22.5" customHeight="1">
      <c r="B2885" s="42">
        <f t="shared" si="7"/>
        <v>2879</v>
      </c>
      <c r="C2885" s="31" t="s">
        <v>2952</v>
      </c>
      <c r="D2885" s="34" t="str">
        <f t="array" ref="D2885">IFNA(_xlfn.XLOOKUP(C2885,Table_Tarikan_Warkah[Nomor Sertipikat],Table_Tarikan_Warkah[Nomor Tiket]),"")</f>
        <v>L/12/020725/1</v>
      </c>
      <c r="E2885" s="36">
        <f t="array" ref="E2885">IFNA(_xlfn.XLOOKUP(D2885,Table_Tarikan_Warkah[Nomor Tiket],Table_Tarikan_Warkah[Tanggal diserahkan kepada Validator]),"")</f>
        <v>45855.65243</v>
      </c>
      <c r="F2885" s="36" t="str">
        <f t="array" ref="F2885">IFNA(_xlfn.XLOOKUP(D2885,Table_Tarikan_Warkah[Nomor Tiket],Table_Tarikan_Warkah[Nama Petugas Warkah]),"")</f>
        <v>David</v>
      </c>
      <c r="G2885" s="39" t="str">
        <f t="array" ref="G2885">IFNA(_xlfn.XLOOKUP(D2885,Table_Tarikan_Warkah[Nomor Tiket],Table_Tarikan_Warkah[Jenis Permohonan]),"")</f>
        <v>ROYA</v>
      </c>
      <c r="H2885" s="41" t="s">
        <v>2315</v>
      </c>
      <c r="I2885" s="49" t="s">
        <v>23</v>
      </c>
      <c r="J2885" s="36">
        <f t="shared" si="20"/>
        <v>45846.61086</v>
      </c>
      <c r="K2885" s="49" t="s">
        <v>2378</v>
      </c>
      <c r="L2885" s="49" t="s">
        <v>23</v>
      </c>
      <c r="M2885" s="36">
        <f t="shared" si="33"/>
        <v>45847.4667</v>
      </c>
      <c r="N2885" s="30" t="str">
        <f t="shared" si="34"/>
        <v>Selesai</v>
      </c>
      <c r="O2885" s="45">
        <f t="shared" si="23"/>
        <v>45847.4667</v>
      </c>
      <c r="P2885" s="47" t="b">
        <v>0</v>
      </c>
      <c r="Q2885" s="36" t="str">
        <f t="shared" si="24"/>
        <v/>
      </c>
      <c r="R2885" s="47" t="b">
        <v>0</v>
      </c>
      <c r="S2885" s="42" t="str">
        <f t="shared" si="28"/>
        <v/>
      </c>
      <c r="T2885" s="42"/>
    </row>
    <row r="2886" ht="22.5" customHeight="1">
      <c r="B2886" s="42">
        <f t="shared" si="7"/>
        <v>2880</v>
      </c>
      <c r="C2886" s="31" t="s">
        <v>2953</v>
      </c>
      <c r="D2886" s="34" t="str">
        <f t="array" ref="D2886">IFNA(_xlfn.XLOOKUP(C2886,Table_Tarikan_Warkah[Nomor Sertipikat],Table_Tarikan_Warkah[Nomor Tiket]),"")</f>
        <v>L/1/040725/1</v>
      </c>
      <c r="E2886" s="36">
        <f t="array" ref="E2886">IFNA(_xlfn.XLOOKUP(D2886,Table_Tarikan_Warkah[Nomor Tiket],Table_Tarikan_Warkah[Tanggal diserahkan kepada Validator]),"")</f>
        <v>45861.61851</v>
      </c>
      <c r="F2886" s="36" t="str">
        <f t="array" ref="F2886">IFNA(_xlfn.XLOOKUP(D2886,Table_Tarikan_Warkah[Nomor Tiket],Table_Tarikan_Warkah[Nama Petugas Warkah]),"")</f>
        <v>Berry</v>
      </c>
      <c r="G2886" s="39" t="str">
        <f t="array" ref="G2886">IFNA(_xlfn.XLOOKUP(D2886,Table_Tarikan_Warkah[Nomor Tiket],Table_Tarikan_Warkah[Jenis Permohonan]),"")</f>
        <v>GANTI NAMA</v>
      </c>
      <c r="H2886" s="41" t="s">
        <v>20</v>
      </c>
      <c r="I2886" s="49" t="s">
        <v>23</v>
      </c>
      <c r="J2886" s="36">
        <f t="shared" si="20"/>
        <v>45847.49667</v>
      </c>
      <c r="K2886" s="49" t="s">
        <v>920</v>
      </c>
      <c r="L2886" s="49" t="s">
        <v>23</v>
      </c>
      <c r="M2886" s="36">
        <f t="shared" si="33"/>
        <v>45847.49674</v>
      </c>
      <c r="N2886" s="30" t="str">
        <f t="shared" si="34"/>
        <v>Selesai</v>
      </c>
      <c r="O2886" s="45">
        <f t="shared" si="23"/>
        <v>45847.49674</v>
      </c>
      <c r="P2886" s="47" t="b">
        <v>1</v>
      </c>
      <c r="Q2886" s="36">
        <f t="shared" si="24"/>
        <v>45847.49674</v>
      </c>
      <c r="R2886" s="47" t="b">
        <v>0</v>
      </c>
      <c r="S2886" s="42" t="str">
        <f t="shared" si="28"/>
        <v/>
      </c>
      <c r="T2886" s="42"/>
    </row>
    <row r="2887" ht="22.5" customHeight="1">
      <c r="B2887" s="42">
        <f t="shared" si="7"/>
        <v>2881</v>
      </c>
      <c r="C2887" s="31" t="s">
        <v>2954</v>
      </c>
      <c r="D2887" s="34" t="str">
        <f t="array" ref="D2887">IFNA(_xlfn.XLOOKUP(C2887,Table_Tarikan_Warkah[Nomor Sertipikat],Table_Tarikan_Warkah[Nomor Tiket]),"")</f>
        <v>L/8/020725/1</v>
      </c>
      <c r="E2887" s="36" t="str">
        <f t="array" ref="E2887">IFNA(_xlfn.XLOOKUP(D2887,Table_Tarikan_Warkah[Nomor Tiket],Table_Tarikan_Warkah[Tanggal diserahkan kepada Validator]),"")</f>
        <v/>
      </c>
      <c r="F2887" s="36" t="str">
        <f t="array" ref="F2887">IFNA(_xlfn.XLOOKUP(D2887,Table_Tarikan_Warkah[Nomor Tiket],Table_Tarikan_Warkah[Nama Petugas Warkah]),"")</f>
        <v/>
      </c>
      <c r="G2887" s="39" t="str">
        <f t="array" ref="G2887">IFNA(_xlfn.XLOOKUP(D2887,Table_Tarikan_Warkah[Nomor Tiket],Table_Tarikan_Warkah[Jenis Permohonan]),"")</f>
        <v>GANTI BLANGKO</v>
      </c>
      <c r="H2887" s="41" t="s">
        <v>2315</v>
      </c>
      <c r="I2887" s="49" t="s">
        <v>23</v>
      </c>
      <c r="J2887" s="36">
        <f t="shared" si="20"/>
        <v>45847.56767</v>
      </c>
      <c r="K2887" s="49" t="s">
        <v>2378</v>
      </c>
      <c r="L2887" s="49" t="s">
        <v>23</v>
      </c>
      <c r="M2887" s="36">
        <f t="shared" si="33"/>
        <v>45848.69528</v>
      </c>
      <c r="N2887" s="30" t="str">
        <f t="shared" si="34"/>
        <v>Selesai</v>
      </c>
      <c r="O2887" s="45">
        <f t="shared" si="23"/>
        <v>45848.69528</v>
      </c>
      <c r="P2887" s="47" t="b">
        <v>0</v>
      </c>
      <c r="Q2887" s="36" t="str">
        <f t="shared" si="24"/>
        <v/>
      </c>
      <c r="R2887" s="47" t="b">
        <v>0</v>
      </c>
      <c r="S2887" s="42" t="str">
        <f t="shared" si="28"/>
        <v/>
      </c>
      <c r="T2887" s="42"/>
    </row>
    <row r="2888" ht="22.5" customHeight="1">
      <c r="B2888" s="42">
        <f t="shared" si="7"/>
        <v>2882</v>
      </c>
      <c r="C2888" s="31" t="s">
        <v>2955</v>
      </c>
      <c r="D2888" s="34" t="str">
        <f t="array" ref="D2888">IFNA(_xlfn.XLOOKUP(C2888,Table_Tarikan_Warkah[Nomor Sertipikat],Table_Tarikan_Warkah[Nomor Tiket]),"")</f>
        <v>K/11/300625/1</v>
      </c>
      <c r="E2888" s="36">
        <f t="array" ref="E2888">IFNA(_xlfn.XLOOKUP(D2888,Table_Tarikan_Warkah[Nomor Tiket],Table_Tarikan_Warkah[Tanggal diserahkan kepada Validator]),"")</f>
        <v>45861.61578</v>
      </c>
      <c r="F2888" s="36" t="str">
        <f t="array" ref="F2888">IFNA(_xlfn.XLOOKUP(D2888,Table_Tarikan_Warkah[Nomor Tiket],Table_Tarikan_Warkah[Nama Petugas Warkah]),"")</f>
        <v>David</v>
      </c>
      <c r="G2888" s="39" t="str">
        <f t="array" ref="G2888">IFNA(_xlfn.XLOOKUP(D2888,Table_Tarikan_Warkah[Nomor Tiket],Table_Tarikan_Warkah[Jenis Permohonan]),"")</f>
        <v>ROYA</v>
      </c>
      <c r="H2888" s="41" t="s">
        <v>2315</v>
      </c>
      <c r="I2888" s="49" t="s">
        <v>23</v>
      </c>
      <c r="J2888" s="36">
        <f t="shared" si="20"/>
        <v>45847.56767</v>
      </c>
      <c r="K2888" s="49" t="s">
        <v>2378</v>
      </c>
      <c r="L2888" s="49" t="s">
        <v>23</v>
      </c>
      <c r="M2888" s="36">
        <f t="shared" si="33"/>
        <v>45848.59015</v>
      </c>
      <c r="N2888" s="30" t="str">
        <f t="shared" si="34"/>
        <v>Selesai</v>
      </c>
      <c r="O2888" s="45">
        <f t="shared" si="23"/>
        <v>45848.59015</v>
      </c>
      <c r="P2888" s="47" t="b">
        <v>0</v>
      </c>
      <c r="Q2888" s="36" t="str">
        <f t="shared" si="24"/>
        <v/>
      </c>
      <c r="R2888" s="47" t="b">
        <v>0</v>
      </c>
      <c r="S2888" s="42" t="str">
        <f t="shared" si="28"/>
        <v/>
      </c>
      <c r="T2888" s="42"/>
    </row>
    <row r="2889" ht="22.5" customHeight="1">
      <c r="B2889" s="42">
        <f t="shared" si="7"/>
        <v>2883</v>
      </c>
      <c r="C2889" s="31" t="s">
        <v>2956</v>
      </c>
      <c r="D2889" s="34" t="str">
        <f t="array" ref="D2889">IFNA(_xlfn.XLOOKUP(C2889,Table_Tarikan_Warkah[Nomor Sertipikat],Table_Tarikan_Warkah[Nomor Tiket]),"")</f>
        <v>K/24/010725/3</v>
      </c>
      <c r="E2889" s="36">
        <f t="array" ref="E2889">IFNA(_xlfn.XLOOKUP(D2889,Table_Tarikan_Warkah[Nomor Tiket],Table_Tarikan_Warkah[Tanggal diserahkan kepada Validator]),"")</f>
        <v>45849.4256</v>
      </c>
      <c r="F2889" s="36" t="str">
        <f t="array" ref="F2889">IFNA(_xlfn.XLOOKUP(D2889,Table_Tarikan_Warkah[Nomor Tiket],Table_Tarikan_Warkah[Nama Petugas Warkah]),"")</f>
        <v>David</v>
      </c>
      <c r="G2889" s="39" t="str">
        <f t="array" ref="G2889">IFNA(_xlfn.XLOOKUP(D2889,Table_Tarikan_Warkah[Nomor Tiket],Table_Tarikan_Warkah[Jenis Permohonan]),"")</f>
        <v>BN JUAL BELI</v>
      </c>
      <c r="H2889" s="41" t="s">
        <v>2315</v>
      </c>
      <c r="I2889" s="49" t="s">
        <v>23</v>
      </c>
      <c r="J2889" s="36">
        <f t="shared" si="20"/>
        <v>45847.56815</v>
      </c>
      <c r="K2889" s="49" t="s">
        <v>2378</v>
      </c>
      <c r="L2889" s="49" t="s">
        <v>23</v>
      </c>
      <c r="M2889" s="36">
        <f t="shared" si="33"/>
        <v>45847.66573</v>
      </c>
      <c r="N2889" s="30" t="str">
        <f t="shared" si="34"/>
        <v>Selesai</v>
      </c>
      <c r="O2889" s="45">
        <f t="shared" si="23"/>
        <v>45847.66573</v>
      </c>
      <c r="P2889" s="47" t="b">
        <v>0</v>
      </c>
      <c r="Q2889" s="36" t="str">
        <f t="shared" si="24"/>
        <v/>
      </c>
      <c r="R2889" s="47" t="b">
        <v>0</v>
      </c>
      <c r="S2889" s="42" t="str">
        <f t="shared" si="28"/>
        <v/>
      </c>
      <c r="T2889" s="42"/>
    </row>
    <row r="2890" ht="22.5" customHeight="1">
      <c r="B2890" s="42">
        <f t="shared" si="7"/>
        <v>2884</v>
      </c>
      <c r="C2890" s="31" t="s">
        <v>2957</v>
      </c>
      <c r="D2890" s="34" t="str">
        <f t="array" ref="D2890">IFNA(_xlfn.XLOOKUP(C2890,Table_Tarikan_Warkah[Nomor Sertipikat],Table_Tarikan_Warkah[Nomor Tiket]),"")</f>
        <v>K/25/190625/1</v>
      </c>
      <c r="E2890" s="36">
        <f t="array" ref="E2890">IFNA(_xlfn.XLOOKUP(D2890,Table_Tarikan_Warkah[Nomor Tiket],Table_Tarikan_Warkah[Tanggal diserahkan kepada Validator]),"")</f>
        <v>45849.43328</v>
      </c>
      <c r="F2890" s="36" t="str">
        <f t="array" ref="F2890">IFNA(_xlfn.XLOOKUP(D2890,Table_Tarikan_Warkah[Nomor Tiket],Table_Tarikan_Warkah[Nama Petugas Warkah]),"")</f>
        <v>David</v>
      </c>
      <c r="G2890" s="39" t="str">
        <f t="array" ref="G2890">IFNA(_xlfn.XLOOKUP(D2890,Table_Tarikan_Warkah[Nomor Tiket],Table_Tarikan_Warkah[Jenis Permohonan]),"")</f>
        <v>BN JUAL BELI</v>
      </c>
      <c r="H2890" s="41" t="s">
        <v>2315</v>
      </c>
      <c r="I2890" s="49" t="s">
        <v>23</v>
      </c>
      <c r="J2890" s="36">
        <f t="shared" si="20"/>
        <v>45847.56827</v>
      </c>
      <c r="K2890" s="49" t="s">
        <v>2378</v>
      </c>
      <c r="L2890" s="49" t="s">
        <v>23</v>
      </c>
      <c r="M2890" s="36">
        <f t="shared" si="33"/>
        <v>45847.66564</v>
      </c>
      <c r="N2890" s="30" t="str">
        <f t="shared" si="34"/>
        <v>Selesai</v>
      </c>
      <c r="O2890" s="45">
        <f t="shared" si="23"/>
        <v>45847.66564</v>
      </c>
      <c r="P2890" s="47" t="b">
        <v>0</v>
      </c>
      <c r="Q2890" s="36" t="str">
        <f t="shared" si="24"/>
        <v/>
      </c>
      <c r="R2890" s="47" t="b">
        <v>0</v>
      </c>
      <c r="S2890" s="42" t="str">
        <f t="shared" si="28"/>
        <v/>
      </c>
      <c r="T2890" s="42"/>
    </row>
    <row r="2891" ht="22.5" customHeight="1">
      <c r="B2891" s="42">
        <f t="shared" si="7"/>
        <v>2885</v>
      </c>
      <c r="C2891" s="31" t="s">
        <v>2958</v>
      </c>
      <c r="D2891" s="34" t="str">
        <f t="array" ref="D2891">IFNA(_xlfn.XLOOKUP(C2891,Table_Tarikan_Warkah[Nomor Sertipikat],Table_Tarikan_Warkah[Nomor Tiket]),"")</f>
        <v>K/24/200625/2</v>
      </c>
      <c r="E2891" s="36">
        <f t="array" ref="E2891">IFNA(_xlfn.XLOOKUP(D2891,Table_Tarikan_Warkah[Nomor Tiket],Table_Tarikan_Warkah[Tanggal diserahkan kepada Validator]),"")</f>
        <v>45849.43346</v>
      </c>
      <c r="F2891" s="36" t="str">
        <f t="array" ref="F2891">IFNA(_xlfn.XLOOKUP(D2891,Table_Tarikan_Warkah[Nomor Tiket],Table_Tarikan_Warkah[Nama Petugas Warkah]),"")</f>
        <v>David</v>
      </c>
      <c r="G2891" s="39" t="str">
        <f t="array" ref="G2891">IFNA(_xlfn.XLOOKUP(D2891,Table_Tarikan_Warkah[Nomor Tiket],Table_Tarikan_Warkah[Jenis Permohonan]),"")</f>
        <v>BN JUAL BELI</v>
      </c>
      <c r="H2891" s="41" t="s">
        <v>2315</v>
      </c>
      <c r="I2891" s="49" t="s">
        <v>23</v>
      </c>
      <c r="J2891" s="36">
        <f t="shared" si="20"/>
        <v>45847.56956</v>
      </c>
      <c r="K2891" s="49" t="s">
        <v>2378</v>
      </c>
      <c r="L2891" s="49" t="s">
        <v>23</v>
      </c>
      <c r="M2891" s="36">
        <f t="shared" si="33"/>
        <v>45847.66552</v>
      </c>
      <c r="N2891" s="30" t="str">
        <f t="shared" si="34"/>
        <v>Selesai</v>
      </c>
      <c r="O2891" s="45">
        <f t="shared" si="23"/>
        <v>45847.66552</v>
      </c>
      <c r="P2891" s="47" t="b">
        <v>0</v>
      </c>
      <c r="Q2891" s="36" t="str">
        <f t="shared" si="24"/>
        <v/>
      </c>
      <c r="R2891" s="47" t="b">
        <v>0</v>
      </c>
      <c r="S2891" s="42" t="str">
        <f t="shared" si="28"/>
        <v/>
      </c>
      <c r="T2891" s="42"/>
    </row>
    <row r="2892" ht="22.5" customHeight="1">
      <c r="B2892" s="42">
        <f t="shared" si="7"/>
        <v>2886</v>
      </c>
      <c r="C2892" s="31" t="s">
        <v>2959</v>
      </c>
      <c r="D2892" s="34" t="str">
        <f t="array" ref="D2892">IFNA(_xlfn.XLOOKUP(C2892,Table_Tarikan_Warkah[Nomor Sertipikat],Table_Tarikan_Warkah[Nomor Tiket]),"")</f>
        <v>K/13/010725/1</v>
      </c>
      <c r="E2892" s="36">
        <f t="array" ref="E2892">IFNA(_xlfn.XLOOKUP(D2892,Table_Tarikan_Warkah[Nomor Tiket],Table_Tarikan_Warkah[Tanggal diserahkan kepada Validator]),"")</f>
        <v>45854.57787</v>
      </c>
      <c r="F2892" s="36" t="str">
        <f t="array" ref="F2892">IFNA(_xlfn.XLOOKUP(D2892,Table_Tarikan_Warkah[Nomor Tiket],Table_Tarikan_Warkah[Nama Petugas Warkah]),"")</f>
        <v>Berry</v>
      </c>
      <c r="G2892" s="39" t="str">
        <f t="array" ref="G2892">IFNA(_xlfn.XLOOKUP(D2892,Table_Tarikan_Warkah[Nomor Tiket],Table_Tarikan_Warkah[Jenis Permohonan]),"")</f>
        <v>ROYA</v>
      </c>
      <c r="H2892" s="41" t="s">
        <v>2315</v>
      </c>
      <c r="I2892" s="49" t="s">
        <v>23</v>
      </c>
      <c r="J2892" s="36">
        <f t="shared" si="20"/>
        <v>45847.56972</v>
      </c>
      <c r="K2892" s="49" t="s">
        <v>2378</v>
      </c>
      <c r="L2892" s="49" t="s">
        <v>23</v>
      </c>
      <c r="M2892" s="36">
        <f t="shared" si="33"/>
        <v>45848.6959</v>
      </c>
      <c r="N2892" s="30" t="str">
        <f t="shared" si="34"/>
        <v>Selesai</v>
      </c>
      <c r="O2892" s="45">
        <f t="shared" si="23"/>
        <v>45848.6959</v>
      </c>
      <c r="P2892" s="47" t="b">
        <v>0</v>
      </c>
      <c r="Q2892" s="36" t="str">
        <f t="shared" si="24"/>
        <v/>
      </c>
      <c r="R2892" s="47" t="b">
        <v>0</v>
      </c>
      <c r="S2892" s="42" t="str">
        <f t="shared" si="28"/>
        <v/>
      </c>
      <c r="T2892" s="42"/>
    </row>
    <row r="2893" ht="22.5" customHeight="1">
      <c r="B2893" s="42">
        <f t="shared" si="7"/>
        <v>2887</v>
      </c>
      <c r="C2893" s="31" t="s">
        <v>2960</v>
      </c>
      <c r="D2893" s="34" t="str">
        <f t="array" ref="D2893">IFNA(_xlfn.XLOOKUP(C2893,Table_Tarikan_Warkah[Nomor Sertipikat],Table_Tarikan_Warkah[Nomor Tiket]),"")</f>
        <v>K/40/040725/1</v>
      </c>
      <c r="E2893" s="36" t="str">
        <f t="array" ref="E2893">IFNA(_xlfn.XLOOKUP(D2893,Table_Tarikan_Warkah[Nomor Tiket],Table_Tarikan_Warkah[Tanggal diserahkan kepada Validator]),"")</f>
        <v/>
      </c>
      <c r="F2893" s="36" t="str">
        <f t="array" ref="F2893">IFNA(_xlfn.XLOOKUP(D2893,Table_Tarikan_Warkah[Nomor Tiket],Table_Tarikan_Warkah[Nama Petugas Warkah]),"")</f>
        <v/>
      </c>
      <c r="G2893" s="39" t="str">
        <f t="array" ref="G2893">IFNA(_xlfn.XLOOKUP(D2893,Table_Tarikan_Warkah[Nomor Tiket],Table_Tarikan_Warkah[Jenis Permohonan]),"")</f>
        <v>GANTI NAMA</v>
      </c>
      <c r="H2893" s="41" t="s">
        <v>2315</v>
      </c>
      <c r="I2893" s="49" t="s">
        <v>23</v>
      </c>
      <c r="J2893" s="36">
        <f t="shared" si="20"/>
        <v>45847.56999</v>
      </c>
      <c r="K2893" s="49" t="s">
        <v>2378</v>
      </c>
      <c r="L2893" s="49" t="s">
        <v>23</v>
      </c>
      <c r="M2893" s="36">
        <f t="shared" si="33"/>
        <v>45848.69549</v>
      </c>
      <c r="N2893" s="30" t="str">
        <f t="shared" si="34"/>
        <v>Selesai</v>
      </c>
      <c r="O2893" s="45">
        <f t="shared" si="23"/>
        <v>45848.69549</v>
      </c>
      <c r="P2893" s="47" t="b">
        <v>0</v>
      </c>
      <c r="Q2893" s="36" t="str">
        <f t="shared" si="24"/>
        <v/>
      </c>
      <c r="R2893" s="47" t="b">
        <v>0</v>
      </c>
      <c r="S2893" s="42" t="str">
        <f t="shared" si="28"/>
        <v/>
      </c>
      <c r="T2893" s="42"/>
    </row>
    <row r="2894" ht="22.5" customHeight="1">
      <c r="B2894" s="42">
        <f t="shared" si="7"/>
        <v>2888</v>
      </c>
      <c r="C2894" s="31" t="s">
        <v>2961</v>
      </c>
      <c r="D2894" s="34" t="str">
        <f t="array" ref="D2894">IFNA(_xlfn.XLOOKUP(C2894,Table_Tarikan_Warkah[Nomor Sertipikat],Table_Tarikan_Warkah[Nomor Tiket]),"")</f>
        <v>K/41/040725/2</v>
      </c>
      <c r="E2894" s="36" t="str">
        <f t="array" ref="E2894">IFNA(_xlfn.XLOOKUP(D2894,Table_Tarikan_Warkah[Nomor Tiket],Table_Tarikan_Warkah[Tanggal diserahkan kepada Validator]),"")</f>
        <v/>
      </c>
      <c r="F2894" s="36" t="str">
        <f t="array" ref="F2894">IFNA(_xlfn.XLOOKUP(D2894,Table_Tarikan_Warkah[Nomor Tiket],Table_Tarikan_Warkah[Nama Petugas Warkah]),"")</f>
        <v/>
      </c>
      <c r="G2894" s="39" t="str">
        <f t="array" ref="G2894">IFNA(_xlfn.XLOOKUP(D2894,Table_Tarikan_Warkah[Nomor Tiket],Table_Tarikan_Warkah[Jenis Permohonan]),"")</f>
        <v>GANTI NAMA</v>
      </c>
      <c r="H2894" s="41" t="s">
        <v>2315</v>
      </c>
      <c r="I2894" s="49" t="s">
        <v>23</v>
      </c>
      <c r="J2894" s="36">
        <f t="shared" si="20"/>
        <v>45847.57688</v>
      </c>
      <c r="K2894" s="49" t="s">
        <v>2378</v>
      </c>
      <c r="L2894" s="49" t="s">
        <v>23</v>
      </c>
      <c r="M2894" s="36">
        <f t="shared" si="33"/>
        <v>45848.69582</v>
      </c>
      <c r="N2894" s="30" t="str">
        <f t="shared" si="34"/>
        <v>Selesai</v>
      </c>
      <c r="O2894" s="45">
        <f t="shared" si="23"/>
        <v>45848.69582</v>
      </c>
      <c r="P2894" s="47" t="b">
        <v>0</v>
      </c>
      <c r="Q2894" s="36" t="str">
        <f t="shared" si="24"/>
        <v/>
      </c>
      <c r="R2894" s="47" t="b">
        <v>0</v>
      </c>
      <c r="S2894" s="42" t="str">
        <f t="shared" si="28"/>
        <v/>
      </c>
      <c r="T2894" s="42"/>
    </row>
    <row r="2895" ht="22.5" customHeight="1">
      <c r="B2895" s="42">
        <f t="shared" si="7"/>
        <v>2889</v>
      </c>
      <c r="C2895" s="31" t="s">
        <v>2962</v>
      </c>
      <c r="D2895" s="34" t="str">
        <f t="array" ref="D2895">IFNA(_xlfn.XLOOKUP(C2895,Table_Tarikan_Warkah[Nomor Sertipikat],Table_Tarikan_Warkah[Nomor Tiket]),"")</f>
        <v>L/22/260625/1</v>
      </c>
      <c r="E2895" s="36" t="str">
        <f t="array" ref="E2895">IFNA(_xlfn.XLOOKUP(D2895,Table_Tarikan_Warkah[Nomor Tiket],Table_Tarikan_Warkah[Tanggal diserahkan kepada Validator]),"")</f>
        <v/>
      </c>
      <c r="F2895" s="36" t="str">
        <f t="array" ref="F2895">IFNA(_xlfn.XLOOKUP(D2895,Table_Tarikan_Warkah[Nomor Tiket],Table_Tarikan_Warkah[Nama Petugas Warkah]),"")</f>
        <v/>
      </c>
      <c r="G2895" s="39" t="str">
        <f t="array" ref="G2895">IFNA(_xlfn.XLOOKUP(D2895,Table_Tarikan_Warkah[Nomor Tiket],Table_Tarikan_Warkah[Jenis Permohonan]),"")</f>
        <v>SERTIPIKAT HILANG</v>
      </c>
      <c r="H2895" s="41" t="s">
        <v>2315</v>
      </c>
      <c r="I2895" s="49" t="s">
        <v>23</v>
      </c>
      <c r="J2895" s="36">
        <f t="shared" si="20"/>
        <v>45847.57707</v>
      </c>
      <c r="K2895" s="49" t="s">
        <v>2378</v>
      </c>
      <c r="L2895" s="49" t="s">
        <v>23</v>
      </c>
      <c r="M2895" s="36">
        <f t="shared" si="33"/>
        <v>45852.45626</v>
      </c>
      <c r="N2895" s="30" t="str">
        <f t="shared" si="34"/>
        <v>Selesai</v>
      </c>
      <c r="O2895" s="45">
        <f t="shared" si="23"/>
        <v>45852.45626</v>
      </c>
      <c r="P2895" s="47" t="b">
        <v>0</v>
      </c>
      <c r="Q2895" s="36" t="str">
        <f t="shared" si="24"/>
        <v/>
      </c>
      <c r="R2895" s="47" t="b">
        <v>0</v>
      </c>
      <c r="S2895" s="42" t="str">
        <f t="shared" si="28"/>
        <v/>
      </c>
      <c r="T2895" s="42"/>
    </row>
    <row r="2896" ht="22.5" customHeight="1">
      <c r="B2896" s="42">
        <f t="shared" si="7"/>
        <v>2890</v>
      </c>
      <c r="C2896" s="31" t="s">
        <v>2963</v>
      </c>
      <c r="D2896" s="34" t="str">
        <f t="array" ref="D2896">IFNA(_xlfn.XLOOKUP(C2896,Table_Tarikan_Warkah[Nomor Sertipikat],Table_Tarikan_Warkah[Nomor Tiket]),"")</f>
        <v>K/18/260625/2</v>
      </c>
      <c r="E2896" s="36">
        <f t="array" ref="E2896">IFNA(_xlfn.XLOOKUP(D2896,Table_Tarikan_Warkah[Nomor Tiket],Table_Tarikan_Warkah[Tanggal diserahkan kepada Validator]),"")</f>
        <v>45876.64331</v>
      </c>
      <c r="F2896" s="36" t="str">
        <f t="array" ref="F2896">IFNA(_xlfn.XLOOKUP(D2896,Table_Tarikan_Warkah[Nomor Tiket],Table_Tarikan_Warkah[Nama Petugas Warkah]),"")</f>
        <v>David</v>
      </c>
      <c r="G2896" s="39" t="str">
        <f t="array" ref="G2896">IFNA(_xlfn.XLOOKUP(D2896,Table_Tarikan_Warkah[Nomor Tiket],Table_Tarikan_Warkah[Jenis Permohonan]),"")</f>
        <v>Roya</v>
      </c>
      <c r="H2896" s="41" t="s">
        <v>2315</v>
      </c>
      <c r="I2896" s="49" t="s">
        <v>23</v>
      </c>
      <c r="J2896" s="36">
        <f t="shared" si="20"/>
        <v>45847.57722</v>
      </c>
      <c r="K2896" s="49" t="s">
        <v>2378</v>
      </c>
      <c r="L2896" s="49" t="s">
        <v>23</v>
      </c>
      <c r="M2896" s="36">
        <f t="shared" si="33"/>
        <v>45848.69601</v>
      </c>
      <c r="N2896" s="30" t="str">
        <f t="shared" si="34"/>
        <v>Selesai</v>
      </c>
      <c r="O2896" s="45">
        <f t="shared" si="23"/>
        <v>45848.69601</v>
      </c>
      <c r="P2896" s="47" t="b">
        <v>0</v>
      </c>
      <c r="Q2896" s="36" t="str">
        <f t="shared" si="24"/>
        <v/>
      </c>
      <c r="R2896" s="47" t="b">
        <v>0</v>
      </c>
      <c r="S2896" s="42" t="str">
        <f t="shared" si="28"/>
        <v/>
      </c>
      <c r="T2896" s="42"/>
    </row>
    <row r="2897" ht="22.5" customHeight="1">
      <c r="B2897" s="42">
        <f t="shared" si="7"/>
        <v>2891</v>
      </c>
      <c r="C2897" s="31" t="s">
        <v>2964</v>
      </c>
      <c r="D2897" s="34" t="str">
        <f t="array" ref="D2897">IFNA(_xlfn.XLOOKUP(C2897,Table_Tarikan_Warkah[Nomor Sertipikat],Table_Tarikan_Warkah[Nomor Tiket]),"")</f>
        <v>K/38/200625/2</v>
      </c>
      <c r="E2897" s="36">
        <f t="array" ref="E2897">IFNA(_xlfn.XLOOKUP(D2897,Table_Tarikan_Warkah[Nomor Tiket],Table_Tarikan_Warkah[Tanggal diserahkan kepada Validator]),"")</f>
        <v>45849.50179</v>
      </c>
      <c r="F2897" s="36" t="str">
        <f t="array" ref="F2897">IFNA(_xlfn.XLOOKUP(D2897,Table_Tarikan_Warkah[Nomor Tiket],Table_Tarikan_Warkah[Nama Petugas Warkah]),"")</f>
        <v>Berry</v>
      </c>
      <c r="G2897" s="39" t="str">
        <f t="array" ref="G2897">IFNA(_xlfn.XLOOKUP(D2897,Table_Tarikan_Warkah[Nomor Tiket],Table_Tarikan_Warkah[Jenis Permohonan]),"")</f>
        <v>BN Hibah</v>
      </c>
      <c r="H2897" s="41" t="s">
        <v>2315</v>
      </c>
      <c r="I2897" s="49" t="s">
        <v>23</v>
      </c>
      <c r="J2897" s="36">
        <f t="shared" si="20"/>
        <v>45847.57742</v>
      </c>
      <c r="K2897" s="49" t="s">
        <v>2378</v>
      </c>
      <c r="L2897" s="49" t="s">
        <v>23</v>
      </c>
      <c r="M2897" s="36">
        <f t="shared" si="33"/>
        <v>45847.66538</v>
      </c>
      <c r="N2897" s="30" t="str">
        <f t="shared" si="34"/>
        <v>Selesai</v>
      </c>
      <c r="O2897" s="45">
        <f t="shared" si="23"/>
        <v>45847.66538</v>
      </c>
      <c r="P2897" s="47" t="b">
        <v>0</v>
      </c>
      <c r="Q2897" s="36" t="str">
        <f t="shared" si="24"/>
        <v/>
      </c>
      <c r="R2897" s="47" t="b">
        <v>0</v>
      </c>
      <c r="S2897" s="42" t="str">
        <f t="shared" si="28"/>
        <v/>
      </c>
      <c r="T2897" s="42"/>
    </row>
    <row r="2898" ht="22.5" customHeight="1">
      <c r="B2898" s="42">
        <f t="shared" si="7"/>
        <v>2892</v>
      </c>
      <c r="C2898" s="31" t="s">
        <v>2965</v>
      </c>
      <c r="D2898" s="34" t="str">
        <f t="array" ref="D2898">IFNA(_xlfn.XLOOKUP(C2898,Table_Tarikan_Warkah[Nomor Sertipikat],Table_Tarikan_Warkah[Nomor Tiket]),"")</f>
        <v>K/38/160635/1</v>
      </c>
      <c r="E2898" s="36" t="str">
        <f t="array" ref="E2898">IFNA(_xlfn.XLOOKUP(D2898,Table_Tarikan_Warkah[Nomor Tiket],Table_Tarikan_Warkah[Tanggal diserahkan kepada Validator]),"")</f>
        <v/>
      </c>
      <c r="F2898" s="36" t="str">
        <f t="array" ref="F2898">IFNA(_xlfn.XLOOKUP(D2898,Table_Tarikan_Warkah[Nomor Tiket],Table_Tarikan_Warkah[Nama Petugas Warkah]),"")</f>
        <v/>
      </c>
      <c r="G2898" s="39" t="str">
        <f t="array" ref="G2898">IFNA(_xlfn.XLOOKUP(D2898,Table_Tarikan_Warkah[Nomor Tiket],Table_Tarikan_Warkah[Jenis Permohonan]),"")</f>
        <v>BN Waris</v>
      </c>
      <c r="H2898" s="41" t="s">
        <v>2315</v>
      </c>
      <c r="I2898" s="49" t="s">
        <v>23</v>
      </c>
      <c r="J2898" s="36">
        <f t="shared" si="20"/>
        <v>45847.57755</v>
      </c>
      <c r="K2898" s="49" t="s">
        <v>2378</v>
      </c>
      <c r="L2898" s="49" t="s">
        <v>23</v>
      </c>
      <c r="M2898" s="36">
        <f t="shared" si="33"/>
        <v>45847.66525</v>
      </c>
      <c r="N2898" s="30" t="str">
        <f t="shared" si="34"/>
        <v>Selesai</v>
      </c>
      <c r="O2898" s="45">
        <f t="shared" si="23"/>
        <v>45847.66525</v>
      </c>
      <c r="P2898" s="47" t="b">
        <v>0</v>
      </c>
      <c r="Q2898" s="36" t="str">
        <f t="shared" si="24"/>
        <v/>
      </c>
      <c r="R2898" s="47" t="b">
        <v>0</v>
      </c>
      <c r="S2898" s="42" t="str">
        <f t="shared" si="28"/>
        <v/>
      </c>
      <c r="T2898" s="42"/>
    </row>
    <row r="2899" ht="22.5" customHeight="1">
      <c r="B2899" s="42">
        <f t="shared" si="7"/>
        <v>2893</v>
      </c>
      <c r="C2899" s="31" t="s">
        <v>2966</v>
      </c>
      <c r="D2899" s="34" t="str">
        <f t="array" ref="D2899">IFNA(_xlfn.XLOOKUP(C2899,Table_Tarikan_Warkah[Nomor Sertipikat],Table_Tarikan_Warkah[Nomor Tiket]),"")</f>
        <v>K/33/260525/4</v>
      </c>
      <c r="E2899" s="36">
        <f t="array" ref="E2899">IFNA(_xlfn.XLOOKUP(D2899,Table_Tarikan_Warkah[Nomor Tiket],Table_Tarikan_Warkah[Tanggal diserahkan kepada Validator]),"")</f>
        <v>45853.72138</v>
      </c>
      <c r="F2899" s="36" t="str">
        <f t="array" ref="F2899">IFNA(_xlfn.XLOOKUP(D2899,Table_Tarikan_Warkah[Nomor Tiket],Table_Tarikan_Warkah[Nama Petugas Warkah]),"")</f>
        <v>Berry</v>
      </c>
      <c r="G2899" s="39" t="str">
        <f t="array" ref="G2899">IFNA(_xlfn.XLOOKUP(D2899,Table_Tarikan_Warkah[Nomor Tiket],Table_Tarikan_Warkah[Jenis Permohonan]),"")</f>
        <v>BN Hibah</v>
      </c>
      <c r="H2899" s="41" t="s">
        <v>2315</v>
      </c>
      <c r="I2899" s="49" t="s">
        <v>23</v>
      </c>
      <c r="J2899" s="36">
        <f t="shared" si="20"/>
        <v>45847.5778</v>
      </c>
      <c r="K2899" s="49" t="s">
        <v>2378</v>
      </c>
      <c r="L2899" s="49" t="s">
        <v>23</v>
      </c>
      <c r="M2899" s="36">
        <f t="shared" si="33"/>
        <v>45848.69499</v>
      </c>
      <c r="N2899" s="30" t="str">
        <f t="shared" si="34"/>
        <v>Selesai</v>
      </c>
      <c r="O2899" s="45">
        <f t="shared" si="23"/>
        <v>45848.69499</v>
      </c>
      <c r="P2899" s="47" t="b">
        <v>0</v>
      </c>
      <c r="Q2899" s="36" t="str">
        <f t="shared" si="24"/>
        <v/>
      </c>
      <c r="R2899" s="47" t="b">
        <v>0</v>
      </c>
      <c r="S2899" s="42" t="str">
        <f t="shared" si="28"/>
        <v/>
      </c>
      <c r="T2899" s="42"/>
    </row>
    <row r="2900" ht="22.5" customHeight="1">
      <c r="B2900" s="42">
        <f t="shared" si="7"/>
        <v>2894</v>
      </c>
      <c r="C2900" s="31" t="s">
        <v>2967</v>
      </c>
      <c r="D2900" s="34" t="str">
        <f t="array" ref="D2900">IFNA(_xlfn.XLOOKUP(C2900,Table_Tarikan_Warkah[Nomor Sertipikat],Table_Tarikan_Warkah[Nomor Tiket]),"")</f>
        <v>K/14/200625/1</v>
      </c>
      <c r="E2900" s="36">
        <f t="array" ref="E2900">IFNA(_xlfn.XLOOKUP(D2900,Table_Tarikan_Warkah[Nomor Tiket],Table_Tarikan_Warkah[Tanggal diserahkan kepada Validator]),"")</f>
        <v>45853.72205</v>
      </c>
      <c r="F2900" s="36" t="str">
        <f t="array" ref="F2900">IFNA(_xlfn.XLOOKUP(D2900,Table_Tarikan_Warkah[Nomor Tiket],Table_Tarikan_Warkah[Nama Petugas Warkah]),"")</f>
        <v>Berry</v>
      </c>
      <c r="G2900" s="39" t="str">
        <f t="array" ref="G2900">IFNA(_xlfn.XLOOKUP(D2900,Table_Tarikan_Warkah[Nomor Tiket],Table_Tarikan_Warkah[Jenis Permohonan]),"")</f>
        <v>BN Jual Beli</v>
      </c>
      <c r="H2900" s="41" t="s">
        <v>2315</v>
      </c>
      <c r="I2900" s="49" t="s">
        <v>23</v>
      </c>
      <c r="J2900" s="36">
        <f t="shared" si="20"/>
        <v>45847.57799</v>
      </c>
      <c r="K2900" s="49" t="s">
        <v>2378</v>
      </c>
      <c r="L2900" s="49" t="s">
        <v>23</v>
      </c>
      <c r="M2900" s="36">
        <f t="shared" si="33"/>
        <v>45848.59046</v>
      </c>
      <c r="N2900" s="30" t="str">
        <f t="shared" si="34"/>
        <v>Selesai</v>
      </c>
      <c r="O2900" s="45">
        <f t="shared" si="23"/>
        <v>45848.59046</v>
      </c>
      <c r="P2900" s="47" t="b">
        <v>0</v>
      </c>
      <c r="Q2900" s="36" t="str">
        <f t="shared" si="24"/>
        <v/>
      </c>
      <c r="R2900" s="47" t="b">
        <v>0</v>
      </c>
      <c r="S2900" s="42" t="str">
        <f t="shared" si="28"/>
        <v/>
      </c>
      <c r="T2900" s="42"/>
    </row>
    <row r="2901" ht="22.5" customHeight="1">
      <c r="B2901" s="42">
        <f t="shared" si="7"/>
        <v>2895</v>
      </c>
      <c r="C2901" s="31" t="s">
        <v>2968</v>
      </c>
      <c r="D2901" s="34" t="str">
        <f t="array" ref="D2901">IFNA(_xlfn.XLOOKUP(C2901,Table_Tarikan_Warkah[Nomor Sertipikat],Table_Tarikan_Warkah[Nomor Tiket]),"")</f>
        <v>K/17/250625/1</v>
      </c>
      <c r="E2901" s="36">
        <f t="array" ref="E2901">IFNA(_xlfn.XLOOKUP(D2901,Table_Tarikan_Warkah[Nomor Tiket],Table_Tarikan_Warkah[Tanggal diserahkan kepada Validator]),"")</f>
        <v>45849.50383</v>
      </c>
      <c r="F2901" s="36" t="str">
        <f t="array" ref="F2901">IFNA(_xlfn.XLOOKUP(D2901,Table_Tarikan_Warkah[Nomor Tiket],Table_Tarikan_Warkah[Nama Petugas Warkah]),"")</f>
        <v>Berry</v>
      </c>
      <c r="G2901" s="39" t="str">
        <f t="array" ref="G2901">IFNA(_xlfn.XLOOKUP(D2901,Table_Tarikan_Warkah[Nomor Tiket],Table_Tarikan_Warkah[Jenis Permohonan]),"")</f>
        <v>BN Jual Beli</v>
      </c>
      <c r="H2901" s="41" t="s">
        <v>2315</v>
      </c>
      <c r="I2901" s="49" t="s">
        <v>23</v>
      </c>
      <c r="J2901" s="36">
        <f t="shared" si="20"/>
        <v>45847.57813</v>
      </c>
      <c r="K2901" s="49" t="s">
        <v>2378</v>
      </c>
      <c r="L2901" s="49" t="s">
        <v>23</v>
      </c>
      <c r="M2901" s="36">
        <f t="shared" si="33"/>
        <v>45847.66514</v>
      </c>
      <c r="N2901" s="30" t="str">
        <f t="shared" si="34"/>
        <v>Selesai</v>
      </c>
      <c r="O2901" s="45">
        <f t="shared" si="23"/>
        <v>45847.66514</v>
      </c>
      <c r="P2901" s="47" t="b">
        <v>0</v>
      </c>
      <c r="Q2901" s="36" t="str">
        <f t="shared" si="24"/>
        <v/>
      </c>
      <c r="R2901" s="47" t="b">
        <v>0</v>
      </c>
      <c r="S2901" s="42" t="str">
        <f t="shared" si="28"/>
        <v/>
      </c>
      <c r="T2901" s="42"/>
    </row>
    <row r="2902" ht="22.5" customHeight="1">
      <c r="B2902" s="42">
        <f t="shared" si="7"/>
        <v>2896</v>
      </c>
      <c r="C2902" s="31" t="s">
        <v>2969</v>
      </c>
      <c r="D2902" s="34" t="str">
        <f t="array" ref="D2902">IFNA(_xlfn.XLOOKUP(C2902,Table_Tarikan_Warkah[Nomor Sertipikat],Table_Tarikan_Warkah[Nomor Tiket]),"")</f>
        <v>K/44/240625/2</v>
      </c>
      <c r="E2902" s="36">
        <f t="array" ref="E2902">IFNA(_xlfn.XLOOKUP(D2902,Table_Tarikan_Warkah[Nomor Tiket],Table_Tarikan_Warkah[Tanggal diserahkan kepada Validator]),"")</f>
        <v>45860.68589</v>
      </c>
      <c r="F2902" s="36" t="str">
        <f t="array" ref="F2902">IFNA(_xlfn.XLOOKUP(D2902,Table_Tarikan_Warkah[Nomor Tiket],Table_Tarikan_Warkah[Nama Petugas Warkah]),"")</f>
        <v>David</v>
      </c>
      <c r="G2902" s="39" t="str">
        <f t="array" ref="G2902">IFNA(_xlfn.XLOOKUP(D2902,Table_Tarikan_Warkah[Nomor Tiket],Table_Tarikan_Warkah[Jenis Permohonan]),"")</f>
        <v>Roya</v>
      </c>
      <c r="H2902" s="41" t="s">
        <v>2315</v>
      </c>
      <c r="I2902" s="49" t="s">
        <v>23</v>
      </c>
      <c r="J2902" s="36">
        <f t="shared" si="20"/>
        <v>45847.57826</v>
      </c>
      <c r="K2902" s="49" t="s">
        <v>2378</v>
      </c>
      <c r="L2902" s="49" t="s">
        <v>23</v>
      </c>
      <c r="M2902" s="36">
        <f t="shared" si="33"/>
        <v>45848.59054</v>
      </c>
      <c r="N2902" s="30" t="str">
        <f t="shared" si="34"/>
        <v>Selesai</v>
      </c>
      <c r="O2902" s="45">
        <f t="shared" si="23"/>
        <v>45848.59054</v>
      </c>
      <c r="P2902" s="47" t="b">
        <v>0</v>
      </c>
      <c r="Q2902" s="36" t="str">
        <f t="shared" si="24"/>
        <v/>
      </c>
      <c r="R2902" s="47" t="b">
        <v>0</v>
      </c>
      <c r="S2902" s="42" t="str">
        <f t="shared" si="28"/>
        <v/>
      </c>
      <c r="T2902" s="42"/>
    </row>
    <row r="2903" ht="22.5" customHeight="1">
      <c r="B2903" s="42">
        <f t="shared" si="7"/>
        <v>2897</v>
      </c>
      <c r="C2903" s="31" t="s">
        <v>2970</v>
      </c>
      <c r="D2903" s="34" t="str">
        <f t="array" ref="D2903">IFNA(_xlfn.XLOOKUP(C2903,Table_Tarikan_Warkah[Nomor Sertipikat],Table_Tarikan_Warkah[Nomor Tiket]),"")</f>
        <v>K/22/190625/3</v>
      </c>
      <c r="E2903" s="36">
        <f t="array" ref="E2903">IFNA(_xlfn.XLOOKUP(D2903,Table_Tarikan_Warkah[Nomor Tiket],Table_Tarikan_Warkah[Tanggal diserahkan kepada Validator]),"")</f>
        <v>45853.72192</v>
      </c>
      <c r="F2903" s="36" t="str">
        <f t="array" ref="F2903">IFNA(_xlfn.XLOOKUP(D2903,Table_Tarikan_Warkah[Nomor Tiket],Table_Tarikan_Warkah[Nama Petugas Warkah]),"")</f>
        <v>Berry</v>
      </c>
      <c r="G2903" s="39" t="str">
        <f t="array" ref="G2903">IFNA(_xlfn.XLOOKUP(D2903,Table_Tarikan_Warkah[Nomor Tiket],Table_Tarikan_Warkah[Jenis Permohonan]),"")</f>
        <v>BN Jual Beli</v>
      </c>
      <c r="H2903" s="41" t="s">
        <v>2315</v>
      </c>
      <c r="I2903" s="49" t="s">
        <v>23</v>
      </c>
      <c r="J2903" s="36">
        <f t="shared" si="20"/>
        <v>45847.57846</v>
      </c>
      <c r="K2903" s="49" t="s">
        <v>2378</v>
      </c>
      <c r="L2903" s="49" t="s">
        <v>23</v>
      </c>
      <c r="M2903" s="36">
        <f t="shared" si="33"/>
        <v>45848.59144</v>
      </c>
      <c r="N2903" s="30" t="str">
        <f t="shared" si="34"/>
        <v>Selesai</v>
      </c>
      <c r="O2903" s="45">
        <f t="shared" si="23"/>
        <v>45848.59144</v>
      </c>
      <c r="P2903" s="47" t="b">
        <v>0</v>
      </c>
      <c r="Q2903" s="36" t="str">
        <f t="shared" si="24"/>
        <v/>
      </c>
      <c r="R2903" s="47" t="b">
        <v>0</v>
      </c>
      <c r="S2903" s="42" t="str">
        <f t="shared" si="28"/>
        <v/>
      </c>
      <c r="T2903" s="42"/>
    </row>
    <row r="2904" ht="22.5" customHeight="1">
      <c r="B2904" s="42">
        <f t="shared" si="7"/>
        <v>2898</v>
      </c>
      <c r="C2904" s="31" t="s">
        <v>2971</v>
      </c>
      <c r="D2904" s="34" t="str">
        <f t="array" ref="D2904">IFNA(_xlfn.XLOOKUP(C2904,Table_Tarikan_Warkah[Nomor Sertipikat],Table_Tarikan_Warkah[Nomor Tiket]),"")</f>
        <v>K/27/040725/1</v>
      </c>
      <c r="E2904" s="36">
        <f t="array" ref="E2904">IFNA(_xlfn.XLOOKUP(D2904,Table_Tarikan_Warkah[Nomor Tiket],Table_Tarikan_Warkah[Tanggal diserahkan kepada Validator]),"")</f>
        <v>45861.61182</v>
      </c>
      <c r="F2904" s="36" t="str">
        <f t="array" ref="F2904">IFNA(_xlfn.XLOOKUP(D2904,Table_Tarikan_Warkah[Nomor Tiket],Table_Tarikan_Warkah[Nama Petugas Warkah]),"")</f>
        <v>David</v>
      </c>
      <c r="G2904" s="39" t="str">
        <f t="array" ref="G2904">IFNA(_xlfn.XLOOKUP(D2904,Table_Tarikan_Warkah[Nomor Tiket],Table_Tarikan_Warkah[Jenis Permohonan]),"")</f>
        <v>Roya</v>
      </c>
      <c r="H2904" s="41" t="s">
        <v>2315</v>
      </c>
      <c r="I2904" s="49" t="s">
        <v>23</v>
      </c>
      <c r="J2904" s="36">
        <f t="shared" si="20"/>
        <v>45847.57862</v>
      </c>
      <c r="K2904" s="49" t="s">
        <v>2378</v>
      </c>
      <c r="L2904" s="49" t="s">
        <v>23</v>
      </c>
      <c r="M2904" s="36">
        <f t="shared" si="33"/>
        <v>45848.54023</v>
      </c>
      <c r="N2904" s="30" t="str">
        <f t="shared" si="34"/>
        <v>Selesai</v>
      </c>
      <c r="O2904" s="45">
        <f t="shared" si="23"/>
        <v>45848.54023</v>
      </c>
      <c r="P2904" s="47" t="b">
        <v>0</v>
      </c>
      <c r="Q2904" s="36" t="str">
        <f t="shared" si="24"/>
        <v/>
      </c>
      <c r="R2904" s="47" t="b">
        <v>0</v>
      </c>
      <c r="S2904" s="42" t="str">
        <f t="shared" si="28"/>
        <v/>
      </c>
      <c r="T2904" s="42"/>
    </row>
    <row r="2905" ht="22.5" customHeight="1">
      <c r="B2905" s="42">
        <f t="shared" si="7"/>
        <v>2899</v>
      </c>
      <c r="C2905" s="31" t="s">
        <v>2972</v>
      </c>
      <c r="D2905" s="34" t="str">
        <f t="array" ref="D2905">IFNA(_xlfn.XLOOKUP(C2905,Table_Tarikan_Warkah[Nomor Sertipikat],Table_Tarikan_Warkah[Nomor Tiket]),"")</f>
        <v>L/11/200625/1</v>
      </c>
      <c r="E2905" s="36" t="str">
        <f t="array" ref="E2905">IFNA(_xlfn.XLOOKUP(D2905,Table_Tarikan_Warkah[Nomor Tiket],Table_Tarikan_Warkah[Tanggal diserahkan kepada Validator]),"")</f>
        <v/>
      </c>
      <c r="F2905" s="36" t="str">
        <f t="array" ref="F2905">IFNA(_xlfn.XLOOKUP(D2905,Table_Tarikan_Warkah[Nomor Tiket],Table_Tarikan_Warkah[Nama Petugas Warkah]),"")</f>
        <v/>
      </c>
      <c r="G2905" s="39" t="str">
        <f t="array" ref="G2905">IFNA(_xlfn.XLOOKUP(D2905,Table_Tarikan_Warkah[Nomor Tiket],Table_Tarikan_Warkah[Jenis Permohonan]),"")</f>
        <v>ROYA</v>
      </c>
      <c r="H2905" s="41" t="s">
        <v>2315</v>
      </c>
      <c r="I2905" s="49" t="s">
        <v>23</v>
      </c>
      <c r="J2905" s="36">
        <f t="shared" si="20"/>
        <v>45847.57969</v>
      </c>
      <c r="K2905" s="49" t="s">
        <v>2378</v>
      </c>
      <c r="L2905" s="49" t="s">
        <v>23</v>
      </c>
      <c r="M2905" s="36">
        <f t="shared" si="33"/>
        <v>45848.54036</v>
      </c>
      <c r="N2905" s="30" t="str">
        <f t="shared" si="34"/>
        <v>Selesai</v>
      </c>
      <c r="O2905" s="45">
        <f t="shared" si="23"/>
        <v>45848.54036</v>
      </c>
      <c r="P2905" s="47" t="b">
        <v>0</v>
      </c>
      <c r="Q2905" s="36" t="str">
        <f t="shared" si="24"/>
        <v/>
      </c>
      <c r="R2905" s="47" t="b">
        <v>0</v>
      </c>
      <c r="S2905" s="42" t="str">
        <f t="shared" si="28"/>
        <v/>
      </c>
      <c r="T2905" s="42"/>
    </row>
    <row r="2906" ht="22.5" customHeight="1">
      <c r="B2906" s="42">
        <f t="shared" si="7"/>
        <v>2900</v>
      </c>
      <c r="C2906" s="31" t="s">
        <v>2973</v>
      </c>
      <c r="D2906" s="34" t="str">
        <f t="array" ref="D2906">IFNA(_xlfn.XLOOKUP(C2906,Table_Tarikan_Warkah[Nomor Sertipikat],Table_Tarikan_Warkah[Nomor Tiket]),"")</f>
        <v>K/23/110625/1</v>
      </c>
      <c r="E2906" s="36">
        <f t="array" ref="E2906">IFNA(_xlfn.XLOOKUP(D2906,Table_Tarikan_Warkah[Nomor Tiket],Table_Tarikan_Warkah[Tanggal diserahkan kepada Validator]),"")</f>
        <v>45852.62947</v>
      </c>
      <c r="F2906" s="36" t="str">
        <f t="array" ref="F2906">IFNA(_xlfn.XLOOKUP(D2906,Table_Tarikan_Warkah[Nomor Tiket],Table_Tarikan_Warkah[Nama Petugas Warkah]),"")</f>
        <v>Berry</v>
      </c>
      <c r="G2906" s="39" t="str">
        <f t="array" ref="G2906">IFNA(_xlfn.XLOOKUP(D2906,Table_Tarikan_Warkah[Nomor Tiket],Table_Tarikan_Warkah[Jenis Permohonan]),"")</f>
        <v>KEWARISAN</v>
      </c>
      <c r="H2906" s="41" t="s">
        <v>2315</v>
      </c>
      <c r="I2906" s="49" t="s">
        <v>23</v>
      </c>
      <c r="J2906" s="36">
        <f t="shared" si="20"/>
        <v>45847.57987</v>
      </c>
      <c r="K2906" s="49" t="s">
        <v>2378</v>
      </c>
      <c r="L2906" s="49" t="s">
        <v>23</v>
      </c>
      <c r="M2906" s="36">
        <f t="shared" si="33"/>
        <v>45848.54061</v>
      </c>
      <c r="N2906" s="30" t="str">
        <f t="shared" si="34"/>
        <v>Selesai</v>
      </c>
      <c r="O2906" s="45">
        <f t="shared" si="23"/>
        <v>45848.54061</v>
      </c>
      <c r="P2906" s="47" t="b">
        <v>0</v>
      </c>
      <c r="Q2906" s="36" t="str">
        <f t="shared" si="24"/>
        <v/>
      </c>
      <c r="R2906" s="47" t="b">
        <v>0</v>
      </c>
      <c r="S2906" s="42" t="str">
        <f t="shared" si="28"/>
        <v/>
      </c>
      <c r="T2906" s="42"/>
    </row>
    <row r="2907" ht="22.5" customHeight="1">
      <c r="B2907" s="42">
        <f t="shared" si="7"/>
        <v>2901</v>
      </c>
      <c r="C2907" s="31" t="s">
        <v>2974</v>
      </c>
      <c r="D2907" s="34" t="str">
        <f t="array" ref="D2907">IFNA(_xlfn.XLOOKUP(C2907,Table_Tarikan_Warkah[Nomor Sertipikat],Table_Tarikan_Warkah[Nomor Tiket]),"")</f>
        <v>L/31/040725/1</v>
      </c>
      <c r="E2907" s="36">
        <f t="array" ref="E2907">IFNA(_xlfn.XLOOKUP(D2907,Table_Tarikan_Warkah[Nomor Tiket],Table_Tarikan_Warkah[Tanggal diserahkan kepada Validator]),"")</f>
        <v>45869.66486</v>
      </c>
      <c r="F2907" s="36" t="str">
        <f t="array" ref="F2907">IFNA(_xlfn.XLOOKUP(D2907,Table_Tarikan_Warkah[Nomor Tiket],Table_Tarikan_Warkah[Nama Petugas Warkah]),"")</f>
        <v>David</v>
      </c>
      <c r="G2907" s="39" t="str">
        <f t="array" ref="G2907">IFNA(_xlfn.XLOOKUP(D2907,Table_Tarikan_Warkah[Nomor Tiket],Table_Tarikan_Warkah[Jenis Permohonan]),"")</f>
        <v>ROYA</v>
      </c>
      <c r="H2907" s="41" t="s">
        <v>2315</v>
      </c>
      <c r="I2907" s="49" t="s">
        <v>23</v>
      </c>
      <c r="J2907" s="36">
        <f t="shared" si="20"/>
        <v>45847.58004</v>
      </c>
      <c r="K2907" s="49" t="s">
        <v>2378</v>
      </c>
      <c r="L2907" s="49" t="s">
        <v>23</v>
      </c>
      <c r="M2907" s="36">
        <f t="shared" si="33"/>
        <v>45848.59133</v>
      </c>
      <c r="N2907" s="30" t="str">
        <f t="shared" si="34"/>
        <v>Selesai</v>
      </c>
      <c r="O2907" s="45">
        <f t="shared" si="23"/>
        <v>45848.59133</v>
      </c>
      <c r="P2907" s="47" t="b">
        <v>0</v>
      </c>
      <c r="Q2907" s="36" t="str">
        <f t="shared" si="24"/>
        <v/>
      </c>
      <c r="R2907" s="47" t="b">
        <v>0</v>
      </c>
      <c r="S2907" s="42" t="str">
        <f t="shared" si="28"/>
        <v/>
      </c>
      <c r="T2907" s="42"/>
    </row>
    <row r="2908" ht="22.5" customHeight="1">
      <c r="B2908" s="42">
        <f t="shared" si="7"/>
        <v>2902</v>
      </c>
      <c r="C2908" s="31" t="s">
        <v>2975</v>
      </c>
      <c r="D2908" s="34" t="str">
        <f t="array" ref="D2908">IFNA(_xlfn.XLOOKUP(C2908,Table_Tarikan_Warkah[Nomor Sertipikat],Table_Tarikan_Warkah[Nomor Tiket]),"")</f>
        <v>L/7/030725/1</v>
      </c>
      <c r="E2908" s="36" t="str">
        <f t="array" ref="E2908">IFNA(_xlfn.XLOOKUP(D2908,Table_Tarikan_Warkah[Nomor Tiket],Table_Tarikan_Warkah[Tanggal diserahkan kepada Validator]),"")</f>
        <v/>
      </c>
      <c r="F2908" s="36" t="str">
        <f t="array" ref="F2908">IFNA(_xlfn.XLOOKUP(D2908,Table_Tarikan_Warkah[Nomor Tiket],Table_Tarikan_Warkah[Nama Petugas Warkah]),"")</f>
        <v/>
      </c>
      <c r="G2908" s="39" t="str">
        <f t="array" ref="G2908">IFNA(_xlfn.XLOOKUP(D2908,Table_Tarikan_Warkah[Nomor Tiket],Table_Tarikan_Warkah[Jenis Permohonan]),"")</f>
        <v>GANTI BLANGKO</v>
      </c>
      <c r="H2908" s="41" t="s">
        <v>2315</v>
      </c>
      <c r="I2908" s="49" t="s">
        <v>23</v>
      </c>
      <c r="J2908" s="36">
        <f t="shared" si="20"/>
        <v>45847.58018</v>
      </c>
      <c r="K2908" s="49" t="s">
        <v>2378</v>
      </c>
      <c r="L2908" s="49" t="s">
        <v>23</v>
      </c>
      <c r="M2908" s="36">
        <f t="shared" si="33"/>
        <v>45848.58962</v>
      </c>
      <c r="N2908" s="30" t="str">
        <f t="shared" si="34"/>
        <v>Selesai</v>
      </c>
      <c r="O2908" s="45">
        <f t="shared" si="23"/>
        <v>45848.58962</v>
      </c>
      <c r="P2908" s="47" t="b">
        <v>0</v>
      </c>
      <c r="Q2908" s="36" t="str">
        <f t="shared" si="24"/>
        <v/>
      </c>
      <c r="R2908" s="47" t="b">
        <v>0</v>
      </c>
      <c r="S2908" s="42" t="str">
        <f t="shared" si="28"/>
        <v/>
      </c>
      <c r="T2908" s="42"/>
    </row>
    <row r="2909" ht="22.5" customHeight="1">
      <c r="B2909" s="42">
        <f t="shared" si="7"/>
        <v>2903</v>
      </c>
      <c r="C2909" s="31" t="s">
        <v>2976</v>
      </c>
      <c r="D2909" s="34" t="str">
        <f t="array" ref="D2909">IFNA(_xlfn.XLOOKUP(C2909,Table_Tarikan_Warkah[Nomor Sertipikat],Table_Tarikan_Warkah[Nomor Tiket]),"")</f>
        <v>L/16/250625/1</v>
      </c>
      <c r="E2909" s="36">
        <f t="array" ref="E2909">IFNA(_xlfn.XLOOKUP(D2909,Table_Tarikan_Warkah[Nomor Tiket],Table_Tarikan_Warkah[Tanggal diserahkan kepada Validator]),"")</f>
        <v>45883.49278</v>
      </c>
      <c r="F2909" s="36" t="str">
        <f t="array" ref="F2909">IFNA(_xlfn.XLOOKUP(D2909,Table_Tarikan_Warkah[Nomor Tiket],Table_Tarikan_Warkah[Nama Petugas Warkah]),"")</f>
        <v>David</v>
      </c>
      <c r="G2909" s="39" t="str">
        <f t="array" ref="G2909">IFNA(_xlfn.XLOOKUP(D2909,Table_Tarikan_Warkah[Nomor Tiket],Table_Tarikan_Warkah[Jenis Permohonan]),"")</f>
        <v>ROYA</v>
      </c>
      <c r="H2909" s="41" t="s">
        <v>2315</v>
      </c>
      <c r="I2909" s="49" t="s">
        <v>23</v>
      </c>
      <c r="J2909" s="36">
        <f t="shared" si="20"/>
        <v>45847.58035</v>
      </c>
      <c r="K2909" s="49" t="s">
        <v>2378</v>
      </c>
      <c r="L2909" s="49" t="s">
        <v>23</v>
      </c>
      <c r="M2909" s="36">
        <f t="shared" si="33"/>
        <v>45848.5897</v>
      </c>
      <c r="N2909" s="30" t="str">
        <f t="shared" si="34"/>
        <v>Selesai</v>
      </c>
      <c r="O2909" s="45">
        <f t="shared" si="23"/>
        <v>45848.5897</v>
      </c>
      <c r="P2909" s="47" t="b">
        <v>0</v>
      </c>
      <c r="Q2909" s="36" t="str">
        <f t="shared" si="24"/>
        <v/>
      </c>
      <c r="R2909" s="47" t="b">
        <v>0</v>
      </c>
      <c r="S2909" s="42" t="str">
        <f t="shared" si="28"/>
        <v/>
      </c>
      <c r="T2909" s="42"/>
    </row>
    <row r="2910" ht="22.5" customHeight="1">
      <c r="B2910" s="42">
        <f t="shared" si="7"/>
        <v>2904</v>
      </c>
      <c r="C2910" s="31" t="s">
        <v>2977</v>
      </c>
      <c r="D2910" s="34" t="str">
        <f t="array" ref="D2910">IFNA(_xlfn.XLOOKUP(C2910,Table_Tarikan_Warkah[Nomor Sertipikat],Table_Tarikan_Warkah[Nomor Tiket]),"")</f>
        <v>L/12/250625/1</v>
      </c>
      <c r="E2910" s="36">
        <f t="array" ref="E2910">IFNA(_xlfn.XLOOKUP(D2910,Table_Tarikan_Warkah[Nomor Tiket],Table_Tarikan_Warkah[Tanggal diserahkan kepada Validator]),"")</f>
        <v>45859.66145</v>
      </c>
      <c r="F2910" s="36" t="str">
        <f t="array" ref="F2910">IFNA(_xlfn.XLOOKUP(D2910,Table_Tarikan_Warkah[Nomor Tiket],Table_Tarikan_Warkah[Nama Petugas Warkah]),"")</f>
        <v>David</v>
      </c>
      <c r="G2910" s="39" t="str">
        <f t="array" ref="G2910">IFNA(_xlfn.XLOOKUP(D2910,Table_Tarikan_Warkah[Nomor Tiket],Table_Tarikan_Warkah[Jenis Permohonan]),"")</f>
        <v>ROYA</v>
      </c>
      <c r="H2910" s="41" t="s">
        <v>2315</v>
      </c>
      <c r="I2910" s="49" t="s">
        <v>23</v>
      </c>
      <c r="J2910" s="36">
        <f t="shared" si="20"/>
        <v>45847.58049</v>
      </c>
      <c r="K2910" s="49" t="s">
        <v>2378</v>
      </c>
      <c r="L2910" s="49" t="s">
        <v>23</v>
      </c>
      <c r="M2910" s="36">
        <f t="shared" si="33"/>
        <v>45848.58982</v>
      </c>
      <c r="N2910" s="30" t="str">
        <f t="shared" si="34"/>
        <v>Selesai</v>
      </c>
      <c r="O2910" s="45">
        <f t="shared" si="23"/>
        <v>45848.58982</v>
      </c>
      <c r="P2910" s="47" t="b">
        <v>0</v>
      </c>
      <c r="Q2910" s="36" t="str">
        <f t="shared" si="24"/>
        <v/>
      </c>
      <c r="R2910" s="47" t="b">
        <v>0</v>
      </c>
      <c r="S2910" s="42" t="str">
        <f t="shared" si="28"/>
        <v/>
      </c>
      <c r="T2910" s="42"/>
    </row>
    <row r="2911" ht="22.5" customHeight="1">
      <c r="B2911" s="42">
        <f t="shared" si="7"/>
        <v>2905</v>
      </c>
      <c r="C2911" s="31" t="s">
        <v>2978</v>
      </c>
      <c r="D2911" s="34" t="str">
        <f t="array" ref="D2911">IFNA(_xlfn.XLOOKUP(C2911,Table_Tarikan_Warkah[Nomor Sertipikat],Table_Tarikan_Warkah[Nomor Tiket]),"")</f>
        <v>L/42/260625/1</v>
      </c>
      <c r="E2911" s="36">
        <f t="array" ref="E2911">IFNA(_xlfn.XLOOKUP(D2911,Table_Tarikan_Warkah[Nomor Tiket],Table_Tarikan_Warkah[Tanggal diserahkan kepada Validator]),"")</f>
        <v>45860.6874</v>
      </c>
      <c r="F2911" s="36" t="str">
        <f t="array" ref="F2911">IFNA(_xlfn.XLOOKUP(D2911,Table_Tarikan_Warkah[Nomor Tiket],Table_Tarikan_Warkah[Nama Petugas Warkah]),"")</f>
        <v>David</v>
      </c>
      <c r="G2911" s="39" t="str">
        <f t="array" ref="G2911">IFNA(_xlfn.XLOOKUP(D2911,Table_Tarikan_Warkah[Nomor Tiket],Table_Tarikan_Warkah[Jenis Permohonan]),"")</f>
        <v>ROYA</v>
      </c>
      <c r="H2911" s="41" t="s">
        <v>2315</v>
      </c>
      <c r="I2911" s="49" t="s">
        <v>23</v>
      </c>
      <c r="J2911" s="36">
        <f t="shared" si="20"/>
        <v>45847.58068</v>
      </c>
      <c r="K2911" s="49" t="s">
        <v>2378</v>
      </c>
      <c r="L2911" s="49" t="s">
        <v>23</v>
      </c>
      <c r="M2911" s="36">
        <f t="shared" si="33"/>
        <v>45848.59073</v>
      </c>
      <c r="N2911" s="30" t="str">
        <f t="shared" si="34"/>
        <v>Selesai</v>
      </c>
      <c r="O2911" s="45">
        <f t="shared" si="23"/>
        <v>45848.59073</v>
      </c>
      <c r="P2911" s="47" t="b">
        <v>0</v>
      </c>
      <c r="Q2911" s="36" t="str">
        <f t="shared" si="24"/>
        <v/>
      </c>
      <c r="R2911" s="47" t="b">
        <v>0</v>
      </c>
      <c r="S2911" s="42" t="str">
        <f t="shared" si="28"/>
        <v/>
      </c>
      <c r="T2911" s="42"/>
    </row>
    <row r="2912" ht="22.5" customHeight="1">
      <c r="B2912" s="42">
        <f t="shared" si="7"/>
        <v>2906</v>
      </c>
      <c r="C2912" s="31" t="s">
        <v>2979</v>
      </c>
      <c r="D2912" s="34" t="str">
        <f t="array" ref="D2912">IFNA(_xlfn.XLOOKUP(C2912,Table_Tarikan_Warkah[Nomor Sertipikat],Table_Tarikan_Warkah[Nomor Tiket]),"")</f>
        <v>K/47/030625/1</v>
      </c>
      <c r="E2912" s="36">
        <f t="array" ref="E2912">IFNA(_xlfn.XLOOKUP(D2912,Table_Tarikan_Warkah[Nomor Tiket],Table_Tarikan_Warkah[Tanggal diserahkan kepada Validator]),"")</f>
        <v>45890.59751</v>
      </c>
      <c r="F2912" s="36" t="str">
        <f t="array" ref="F2912">IFNA(_xlfn.XLOOKUP(D2912,Table_Tarikan_Warkah[Nomor Tiket],Table_Tarikan_Warkah[Nama Petugas Warkah]),"")</f>
        <v>Berry</v>
      </c>
      <c r="G2912" s="39" t="str">
        <f t="array" ref="G2912">IFNA(_xlfn.XLOOKUP(D2912,Table_Tarikan_Warkah[Nomor Tiket],Table_Tarikan_Warkah[Jenis Permohonan]),"")</f>
        <v>ROYA</v>
      </c>
      <c r="H2912" s="41" t="s">
        <v>2315</v>
      </c>
      <c r="I2912" s="49" t="s">
        <v>23</v>
      </c>
      <c r="J2912" s="36">
        <f t="shared" si="20"/>
        <v>45848.3856</v>
      </c>
      <c r="K2912" s="49" t="s">
        <v>2378</v>
      </c>
      <c r="L2912" s="49" t="s">
        <v>23</v>
      </c>
      <c r="M2912" s="36">
        <f t="shared" si="33"/>
        <v>45849.49869</v>
      </c>
      <c r="N2912" s="30" t="str">
        <f t="shared" si="34"/>
        <v>Selesai</v>
      </c>
      <c r="O2912" s="45">
        <f t="shared" si="23"/>
        <v>45849.49869</v>
      </c>
      <c r="P2912" s="47" t="b">
        <v>0</v>
      </c>
      <c r="Q2912" s="36" t="str">
        <f t="shared" si="24"/>
        <v/>
      </c>
      <c r="R2912" s="47" t="b">
        <v>0</v>
      </c>
      <c r="S2912" s="42" t="str">
        <f t="shared" si="28"/>
        <v/>
      </c>
      <c r="T2912" s="42"/>
    </row>
    <row r="2913" ht="22.5" customHeight="1">
      <c r="B2913" s="42">
        <f t="shared" si="7"/>
        <v>2907</v>
      </c>
      <c r="C2913" s="31" t="s">
        <v>2980</v>
      </c>
      <c r="D2913" s="34" t="str">
        <f t="array" ref="D2913">IFNA(_xlfn.XLOOKUP(C2913,Table_Tarikan_Warkah[Nomor Sertipikat],Table_Tarikan_Warkah[Nomor Tiket]),"")</f>
        <v>K/41/010725/1</v>
      </c>
      <c r="E2913" s="36">
        <f t="array" ref="E2913">IFNA(_xlfn.XLOOKUP(D2913,Table_Tarikan_Warkah[Nomor Tiket],Table_Tarikan_Warkah[Tanggal diserahkan kepada Validator]),"")</f>
        <v>45852.63336</v>
      </c>
      <c r="F2913" s="36" t="str">
        <f t="array" ref="F2913">IFNA(_xlfn.XLOOKUP(D2913,Table_Tarikan_Warkah[Nomor Tiket],Table_Tarikan_Warkah[Nama Petugas Warkah]),"")</f>
        <v>Berry</v>
      </c>
      <c r="G2913" s="39" t="str">
        <f t="array" ref="G2913">IFNA(_xlfn.XLOOKUP(D2913,Table_Tarikan_Warkah[Nomor Tiket],Table_Tarikan_Warkah[Jenis Permohonan]),"")</f>
        <v>BN JUAL BELI</v>
      </c>
      <c r="H2913" s="41" t="s">
        <v>2315</v>
      </c>
      <c r="I2913" s="49" t="s">
        <v>23</v>
      </c>
      <c r="J2913" s="36">
        <f t="shared" si="20"/>
        <v>45848.38579</v>
      </c>
      <c r="K2913" s="49" t="s">
        <v>2378</v>
      </c>
      <c r="L2913" s="49" t="s">
        <v>23</v>
      </c>
      <c r="M2913" s="36">
        <f t="shared" si="33"/>
        <v>45848.70992</v>
      </c>
      <c r="N2913" s="30" t="str">
        <f t="shared" si="34"/>
        <v>Selesai</v>
      </c>
      <c r="O2913" s="45">
        <f t="shared" si="23"/>
        <v>45848.70992</v>
      </c>
      <c r="P2913" s="47" t="b">
        <v>0</v>
      </c>
      <c r="Q2913" s="36" t="str">
        <f t="shared" si="24"/>
        <v/>
      </c>
      <c r="R2913" s="47" t="b">
        <v>0</v>
      </c>
      <c r="S2913" s="42" t="str">
        <f t="shared" si="28"/>
        <v/>
      </c>
      <c r="T2913" s="42"/>
    </row>
    <row r="2914" ht="22.5" customHeight="1">
      <c r="B2914" s="42">
        <f t="shared" si="7"/>
        <v>2908</v>
      </c>
      <c r="C2914" s="31" t="s">
        <v>2981</v>
      </c>
      <c r="D2914" s="34" t="str">
        <f t="array" ref="D2914">IFNA(_xlfn.XLOOKUP(C2914,Table_Tarikan_Warkah[Nomor Sertipikat],Table_Tarikan_Warkah[Nomor Tiket]),"")</f>
        <v>K/32/280425/2</v>
      </c>
      <c r="E2914" s="36" t="str">
        <f t="array" ref="E2914">IFNA(_xlfn.XLOOKUP(D2914,Table_Tarikan_Warkah[Nomor Tiket],Table_Tarikan_Warkah[Tanggal diserahkan kepada Validator]),"")</f>
        <v/>
      </c>
      <c r="F2914" s="36" t="str">
        <f t="array" ref="F2914">IFNA(_xlfn.XLOOKUP(D2914,Table_Tarikan_Warkah[Nomor Tiket],Table_Tarikan_Warkah[Nama Petugas Warkah]),"")</f>
        <v/>
      </c>
      <c r="G2914" s="39" t="str">
        <f t="array" ref="G2914">IFNA(_xlfn.XLOOKUP(D2914,Table_Tarikan_Warkah[Nomor Tiket],Table_Tarikan_Warkah[Jenis Permohonan]),"")</f>
        <v>PTPGT</v>
      </c>
      <c r="H2914" s="41" t="s">
        <v>2315</v>
      </c>
      <c r="I2914" s="49" t="s">
        <v>23</v>
      </c>
      <c r="J2914" s="36">
        <f t="shared" si="20"/>
        <v>45848.38591</v>
      </c>
      <c r="K2914" s="49" t="s">
        <v>2378</v>
      </c>
      <c r="L2914" s="49" t="s">
        <v>23</v>
      </c>
      <c r="M2914" s="36">
        <f t="shared" si="33"/>
        <v>45848.6969</v>
      </c>
      <c r="N2914" s="30" t="str">
        <f t="shared" si="34"/>
        <v>Selesai</v>
      </c>
      <c r="O2914" s="45">
        <f t="shared" si="23"/>
        <v>45848.6969</v>
      </c>
      <c r="P2914" s="47" t="b">
        <v>0</v>
      </c>
      <c r="Q2914" s="36" t="str">
        <f t="shared" si="24"/>
        <v/>
      </c>
      <c r="R2914" s="47" t="b">
        <v>0</v>
      </c>
      <c r="S2914" s="42" t="str">
        <f t="shared" si="28"/>
        <v/>
      </c>
      <c r="T2914" s="42"/>
    </row>
    <row r="2915" ht="22.5" customHeight="1">
      <c r="B2915" s="42">
        <f t="shared" si="7"/>
        <v>2909</v>
      </c>
      <c r="C2915" s="31" t="s">
        <v>2982</v>
      </c>
      <c r="D2915" s="34" t="str">
        <f t="array" ref="D2915">IFNA(_xlfn.XLOOKUP(C2915,Table_Tarikan_Warkah[Nomor Sertipikat],Table_Tarikan_Warkah[Nomor Tiket]),"")</f>
        <v>K/34/250625/2</v>
      </c>
      <c r="E2915" s="36">
        <f t="array" ref="E2915">IFNA(_xlfn.XLOOKUP(D2915,Table_Tarikan_Warkah[Nomor Tiket],Table_Tarikan_Warkah[Tanggal diserahkan kepada Validator]),"")</f>
        <v>45852.6337</v>
      </c>
      <c r="F2915" s="36" t="str">
        <f t="array" ref="F2915">IFNA(_xlfn.XLOOKUP(D2915,Table_Tarikan_Warkah[Nomor Tiket],Table_Tarikan_Warkah[Nama Petugas Warkah]),"")</f>
        <v>Berry</v>
      </c>
      <c r="G2915" s="39" t="str">
        <f t="array" ref="G2915">IFNA(_xlfn.XLOOKUP(D2915,Table_Tarikan_Warkah[Nomor Tiket],Table_Tarikan_Warkah[Jenis Permohonan]),"")</f>
        <v>BN JUAL BELI</v>
      </c>
      <c r="H2915" s="41" t="s">
        <v>2315</v>
      </c>
      <c r="I2915" s="49" t="s">
        <v>23</v>
      </c>
      <c r="J2915" s="36">
        <f t="shared" si="20"/>
        <v>45848.38608</v>
      </c>
      <c r="K2915" s="49" t="s">
        <v>2378</v>
      </c>
      <c r="L2915" s="49" t="s">
        <v>23</v>
      </c>
      <c r="M2915" s="36">
        <f t="shared" si="33"/>
        <v>45848.6968</v>
      </c>
      <c r="N2915" s="30" t="str">
        <f t="shared" si="34"/>
        <v>Selesai</v>
      </c>
      <c r="O2915" s="45">
        <f t="shared" si="23"/>
        <v>45848.6968</v>
      </c>
      <c r="P2915" s="47" t="b">
        <v>0</v>
      </c>
      <c r="Q2915" s="36" t="str">
        <f t="shared" si="24"/>
        <v/>
      </c>
      <c r="R2915" s="47" t="b">
        <v>0</v>
      </c>
      <c r="S2915" s="42" t="str">
        <f t="shared" si="28"/>
        <v/>
      </c>
      <c r="T2915" s="42"/>
    </row>
    <row r="2916" ht="22.5" customHeight="1">
      <c r="B2916" s="42">
        <f t="shared" si="7"/>
        <v>2910</v>
      </c>
      <c r="C2916" s="31" t="s">
        <v>2983</v>
      </c>
      <c r="D2916" s="34" t="str">
        <f t="array" ref="D2916">IFNA(_xlfn.XLOOKUP(C2916,Table_Tarikan_Warkah[Nomor Sertipikat],Table_Tarikan_Warkah[Nomor Tiket]),"")</f>
        <v>K/31/030725/1</v>
      </c>
      <c r="E2916" s="36">
        <f t="array" ref="E2916">IFNA(_xlfn.XLOOKUP(D2916,Table_Tarikan_Warkah[Nomor Tiket],Table_Tarikan_Warkah[Tanggal diserahkan kepada Validator]),"")</f>
        <v>45852.63386</v>
      </c>
      <c r="F2916" s="36" t="str">
        <f t="array" ref="F2916">IFNA(_xlfn.XLOOKUP(D2916,Table_Tarikan_Warkah[Nomor Tiket],Table_Tarikan_Warkah[Nama Petugas Warkah]),"")</f>
        <v>Berry</v>
      </c>
      <c r="G2916" s="39" t="str">
        <f t="array" ref="G2916">IFNA(_xlfn.XLOOKUP(D2916,Table_Tarikan_Warkah[Nomor Tiket],Table_Tarikan_Warkah[Jenis Permohonan]),"")</f>
        <v>BN WARIS</v>
      </c>
      <c r="H2916" s="41" t="s">
        <v>2315</v>
      </c>
      <c r="I2916" s="49" t="s">
        <v>23</v>
      </c>
      <c r="J2916" s="36">
        <f t="shared" si="20"/>
        <v>45848.38623</v>
      </c>
      <c r="K2916" s="49" t="s">
        <v>2378</v>
      </c>
      <c r="L2916" s="49" t="s">
        <v>23</v>
      </c>
      <c r="M2916" s="36">
        <f t="shared" si="33"/>
        <v>45848.69637</v>
      </c>
      <c r="N2916" s="30" t="str">
        <f t="shared" si="34"/>
        <v>Selesai</v>
      </c>
      <c r="O2916" s="45">
        <f t="shared" si="23"/>
        <v>45848.69637</v>
      </c>
      <c r="P2916" s="47" t="b">
        <v>0</v>
      </c>
      <c r="Q2916" s="36" t="str">
        <f t="shared" si="24"/>
        <v/>
      </c>
      <c r="R2916" s="47" t="b">
        <v>0</v>
      </c>
      <c r="S2916" s="42" t="str">
        <f t="shared" si="28"/>
        <v/>
      </c>
      <c r="T2916" s="42"/>
    </row>
    <row r="2917" ht="22.5" customHeight="1">
      <c r="B2917" s="42">
        <f t="shared" si="7"/>
        <v>2911</v>
      </c>
      <c r="C2917" s="31" t="s">
        <v>2984</v>
      </c>
      <c r="D2917" s="34" t="str">
        <f t="array" ref="D2917">IFNA(_xlfn.XLOOKUP(C2917,Table_Tarikan_Warkah[Nomor Sertipikat],Table_Tarikan_Warkah[Nomor Tiket]),"")</f>
        <v>K/15/040725/3</v>
      </c>
      <c r="E2917" s="36">
        <f t="array" ref="E2917">IFNA(_xlfn.XLOOKUP(D2917,Table_Tarikan_Warkah[Nomor Tiket],Table_Tarikan_Warkah[Tanggal diserahkan kepada Validator]),"")</f>
        <v>45852.63399</v>
      </c>
      <c r="F2917" s="36" t="str">
        <f t="array" ref="F2917">IFNA(_xlfn.XLOOKUP(D2917,Table_Tarikan_Warkah[Nomor Tiket],Table_Tarikan_Warkah[Nama Petugas Warkah]),"")</f>
        <v>Berry</v>
      </c>
      <c r="G2917" s="39" t="str">
        <f t="array" ref="G2917">IFNA(_xlfn.XLOOKUP(D2917,Table_Tarikan_Warkah[Nomor Tiket],Table_Tarikan_Warkah[Jenis Permohonan]),"")</f>
        <v>BN WARIS</v>
      </c>
      <c r="H2917" s="41" t="s">
        <v>2315</v>
      </c>
      <c r="I2917" s="49" t="s">
        <v>23</v>
      </c>
      <c r="J2917" s="36">
        <f t="shared" si="20"/>
        <v>45848.38635</v>
      </c>
      <c r="K2917" s="49" t="s">
        <v>2378</v>
      </c>
      <c r="L2917" s="49" t="s">
        <v>23</v>
      </c>
      <c r="M2917" s="36">
        <f t="shared" si="33"/>
        <v>45848.69628</v>
      </c>
      <c r="N2917" s="30" t="str">
        <f t="shared" si="34"/>
        <v>Selesai</v>
      </c>
      <c r="O2917" s="45">
        <f t="shared" si="23"/>
        <v>45848.69628</v>
      </c>
      <c r="P2917" s="47" t="b">
        <v>0</v>
      </c>
      <c r="Q2917" s="36" t="str">
        <f t="shared" si="24"/>
        <v/>
      </c>
      <c r="R2917" s="47" t="b">
        <v>0</v>
      </c>
      <c r="S2917" s="42" t="str">
        <f t="shared" si="28"/>
        <v/>
      </c>
      <c r="T2917" s="42"/>
    </row>
    <row r="2918" ht="22.5" customHeight="1">
      <c r="B2918" s="42">
        <f t="shared" si="7"/>
        <v>2912</v>
      </c>
      <c r="C2918" s="31" t="s">
        <v>2985</v>
      </c>
      <c r="D2918" s="34" t="str">
        <f t="array" ref="D2918">IFNA(_xlfn.XLOOKUP(C2918,Table_Tarikan_Warkah[Nomor Sertipikat],Table_Tarikan_Warkah[Nomor Tiket]),"")</f>
        <v>K/10/300625/1</v>
      </c>
      <c r="E2918" s="36">
        <f t="array" ref="E2918">IFNA(_xlfn.XLOOKUP(D2918,Table_Tarikan_Warkah[Nomor Tiket],Table_Tarikan_Warkah[Tanggal diserahkan kepada Validator]),"")</f>
        <v>45852.63434</v>
      </c>
      <c r="F2918" s="36" t="str">
        <f t="array" ref="F2918">IFNA(_xlfn.XLOOKUP(D2918,Table_Tarikan_Warkah[Nomor Tiket],Table_Tarikan_Warkah[Nama Petugas Warkah]),"")</f>
        <v>Berry</v>
      </c>
      <c r="G2918" s="39" t="str">
        <f t="array" ref="G2918">IFNA(_xlfn.XLOOKUP(D2918,Table_Tarikan_Warkah[Nomor Tiket],Table_Tarikan_Warkah[Jenis Permohonan]),"")</f>
        <v>BN JUAL BELI</v>
      </c>
      <c r="H2918" s="41" t="s">
        <v>2315</v>
      </c>
      <c r="I2918" s="49" t="s">
        <v>23</v>
      </c>
      <c r="J2918" s="36">
        <f t="shared" si="20"/>
        <v>45848.3865</v>
      </c>
      <c r="K2918" s="49" t="s">
        <v>2378</v>
      </c>
      <c r="L2918" s="49" t="s">
        <v>23</v>
      </c>
      <c r="M2918" s="36">
        <f t="shared" si="33"/>
        <v>45848.69621</v>
      </c>
      <c r="N2918" s="30" t="str">
        <f t="shared" si="34"/>
        <v>Selesai</v>
      </c>
      <c r="O2918" s="45">
        <f t="shared" si="23"/>
        <v>45848.69621</v>
      </c>
      <c r="P2918" s="47" t="b">
        <v>0</v>
      </c>
      <c r="Q2918" s="36" t="str">
        <f t="shared" si="24"/>
        <v/>
      </c>
      <c r="R2918" s="47" t="b">
        <v>0</v>
      </c>
      <c r="S2918" s="42" t="str">
        <f t="shared" si="28"/>
        <v/>
      </c>
      <c r="T2918" s="42"/>
    </row>
    <row r="2919" ht="22.5" customHeight="1">
      <c r="B2919" s="42">
        <f t="shared" si="7"/>
        <v>2913</v>
      </c>
      <c r="C2919" s="31" t="s">
        <v>2986</v>
      </c>
      <c r="D2919" s="34" t="str">
        <f t="array" ref="D2919">IFNA(_xlfn.XLOOKUP(C2919,Table_Tarikan_Warkah[Nomor Sertipikat],Table_Tarikan_Warkah[Nomor Tiket]),"")</f>
        <v>K/7/040725/1</v>
      </c>
      <c r="E2919" s="36">
        <f t="array" ref="E2919">IFNA(_xlfn.XLOOKUP(D2919,Table_Tarikan_Warkah[Nomor Tiket],Table_Tarikan_Warkah[Tanggal diserahkan kepada Validator]),"")</f>
        <v>45852.63297</v>
      </c>
      <c r="F2919" s="36" t="str">
        <f t="array" ref="F2919">IFNA(_xlfn.XLOOKUP(D2919,Table_Tarikan_Warkah[Nomor Tiket],Table_Tarikan_Warkah[Nama Petugas Warkah]),"")</f>
        <v>Berry</v>
      </c>
      <c r="G2919" s="39" t="str">
        <f t="array" ref="G2919">IFNA(_xlfn.XLOOKUP(D2919,Table_Tarikan_Warkah[Nomor Tiket],Table_Tarikan_Warkah[Jenis Permohonan]),"")</f>
        <v>BN HIBAH</v>
      </c>
      <c r="H2919" s="41" t="s">
        <v>2315</v>
      </c>
      <c r="I2919" s="49" t="s">
        <v>23</v>
      </c>
      <c r="J2919" s="36">
        <f t="shared" si="20"/>
        <v>45848.38664</v>
      </c>
      <c r="K2919" s="49" t="s">
        <v>2378</v>
      </c>
      <c r="L2919" s="49" t="s">
        <v>23</v>
      </c>
      <c r="M2919" s="36">
        <f t="shared" si="33"/>
        <v>45848.69475</v>
      </c>
      <c r="N2919" s="30" t="str">
        <f t="shared" si="34"/>
        <v>Selesai</v>
      </c>
      <c r="O2919" s="45">
        <f t="shared" si="23"/>
        <v>45848.69475</v>
      </c>
      <c r="P2919" s="47" t="b">
        <v>0</v>
      </c>
      <c r="Q2919" s="36" t="str">
        <f t="shared" si="24"/>
        <v/>
      </c>
      <c r="R2919" s="47" t="b">
        <v>0</v>
      </c>
      <c r="S2919" s="42" t="str">
        <f t="shared" si="28"/>
        <v/>
      </c>
      <c r="T2919" s="42"/>
    </row>
    <row r="2920" ht="22.5" customHeight="1">
      <c r="B2920" s="42">
        <f t="shared" si="7"/>
        <v>2914</v>
      </c>
      <c r="C2920" s="31" t="s">
        <v>2987</v>
      </c>
      <c r="D2920" s="34" t="str">
        <f t="array" ref="D2920">IFNA(_xlfn.XLOOKUP(C2920,Table_Tarikan_Warkah[Nomor Sertipikat],Table_Tarikan_Warkah[Nomor Tiket]),"")</f>
        <v>K/7/240625/1</v>
      </c>
      <c r="E2920" s="36">
        <f t="array" ref="E2920">IFNA(_xlfn.XLOOKUP(D2920,Table_Tarikan_Warkah[Nomor Tiket],Table_Tarikan_Warkah[Tanggal diserahkan kepada Validator]),"")</f>
        <v>45860.66317</v>
      </c>
      <c r="F2920" s="36" t="str">
        <f t="array" ref="F2920">IFNA(_xlfn.XLOOKUP(D2920,Table_Tarikan_Warkah[Nomor Tiket],Table_Tarikan_Warkah[Nama Petugas Warkah]),"")</f>
        <v>Berry</v>
      </c>
      <c r="G2920" s="39" t="str">
        <f t="array" ref="G2920">IFNA(_xlfn.XLOOKUP(D2920,Table_Tarikan_Warkah[Nomor Tiket],Table_Tarikan_Warkah[Jenis Permohonan]),"")</f>
        <v>BN Waris</v>
      </c>
      <c r="H2920" s="41" t="s">
        <v>2315</v>
      </c>
      <c r="I2920" s="49" t="s">
        <v>23</v>
      </c>
      <c r="J2920" s="36">
        <f t="shared" si="20"/>
        <v>45848.38677</v>
      </c>
      <c r="K2920" s="49" t="s">
        <v>2378</v>
      </c>
      <c r="L2920" s="49" t="s">
        <v>23</v>
      </c>
      <c r="M2920" s="36">
        <f t="shared" si="33"/>
        <v>45848.69465</v>
      </c>
      <c r="N2920" s="30" t="str">
        <f t="shared" si="34"/>
        <v>Selesai</v>
      </c>
      <c r="O2920" s="45">
        <f t="shared" si="23"/>
        <v>45848.69465</v>
      </c>
      <c r="P2920" s="47" t="b">
        <v>0</v>
      </c>
      <c r="Q2920" s="36" t="str">
        <f t="shared" si="24"/>
        <v/>
      </c>
      <c r="R2920" s="47" t="b">
        <v>0</v>
      </c>
      <c r="S2920" s="42" t="str">
        <f t="shared" si="28"/>
        <v/>
      </c>
      <c r="T2920" s="42"/>
    </row>
    <row r="2921" ht="22.5" customHeight="1">
      <c r="B2921" s="42">
        <f t="shared" si="7"/>
        <v>2915</v>
      </c>
      <c r="C2921" s="31" t="s">
        <v>2988</v>
      </c>
      <c r="D2921" s="34" t="str">
        <f t="array" ref="D2921">IFNA(_xlfn.XLOOKUP(C2921,Table_Tarikan_Warkah[Nomor Sertipikat],Table_Tarikan_Warkah[Nomor Tiket]),"")</f>
        <v>K/36/230625/1</v>
      </c>
      <c r="E2921" s="36">
        <f t="array" ref="E2921">IFNA(_xlfn.XLOOKUP(D2921,Table_Tarikan_Warkah[Nomor Tiket],Table_Tarikan_Warkah[Tanggal diserahkan kepada Validator]),"")</f>
        <v>45853.71958</v>
      </c>
      <c r="F2921" s="36" t="str">
        <f t="array" ref="F2921">IFNA(_xlfn.XLOOKUP(D2921,Table_Tarikan_Warkah[Nomor Tiket],Table_Tarikan_Warkah[Nama Petugas Warkah]),"")</f>
        <v>Berry</v>
      </c>
      <c r="G2921" s="39" t="str">
        <f t="array" ref="G2921">IFNA(_xlfn.XLOOKUP(D2921,Table_Tarikan_Warkah[Nomor Tiket],Table_Tarikan_Warkah[Jenis Permohonan]),"")</f>
        <v>BN Jual Beli</v>
      </c>
      <c r="H2921" s="41" t="s">
        <v>2315</v>
      </c>
      <c r="I2921" s="49" t="s">
        <v>23</v>
      </c>
      <c r="J2921" s="36">
        <f t="shared" si="20"/>
        <v>45848.38698</v>
      </c>
      <c r="K2921" s="49" t="s">
        <v>2378</v>
      </c>
      <c r="L2921" s="49" t="s">
        <v>23</v>
      </c>
      <c r="M2921" s="36">
        <f t="shared" si="33"/>
        <v>45849.49889</v>
      </c>
      <c r="N2921" s="30" t="str">
        <f t="shared" si="34"/>
        <v>Selesai</v>
      </c>
      <c r="O2921" s="45">
        <f t="shared" si="23"/>
        <v>45849.49889</v>
      </c>
      <c r="P2921" s="47" t="b">
        <v>0</v>
      </c>
      <c r="Q2921" s="36" t="str">
        <f t="shared" si="24"/>
        <v/>
      </c>
      <c r="R2921" s="47" t="b">
        <v>0</v>
      </c>
      <c r="S2921" s="42" t="str">
        <f t="shared" si="28"/>
        <v/>
      </c>
      <c r="T2921" s="42"/>
    </row>
    <row r="2922" ht="22.5" customHeight="1">
      <c r="B2922" s="42">
        <f t="shared" si="7"/>
        <v>2916</v>
      </c>
      <c r="C2922" s="31" t="s">
        <v>2989</v>
      </c>
      <c r="D2922" s="34" t="str">
        <f t="array" ref="D2922">IFNA(_xlfn.XLOOKUP(C2922,Table_Tarikan_Warkah[Nomor Sertipikat],Table_Tarikan_Warkah[Nomor Tiket]),"")</f>
        <v>K/32/050625/1</v>
      </c>
      <c r="E2922" s="36">
        <f t="array" ref="E2922">IFNA(_xlfn.XLOOKUP(D2922,Table_Tarikan_Warkah[Nomor Tiket],Table_Tarikan_Warkah[Tanggal diserahkan kepada Validator]),"")</f>
        <v>45856.63049</v>
      </c>
      <c r="F2922" s="36" t="str">
        <f t="array" ref="F2922">IFNA(_xlfn.XLOOKUP(D2922,Table_Tarikan_Warkah[Nomor Tiket],Table_Tarikan_Warkah[Nama Petugas Warkah]),"")</f>
        <v>David</v>
      </c>
      <c r="G2922" s="39" t="str">
        <f t="array" ref="G2922">IFNA(_xlfn.XLOOKUP(D2922,Table_Tarikan_Warkah[Nomor Tiket],Table_Tarikan_Warkah[Jenis Permohonan]),"")</f>
        <v>Roya</v>
      </c>
      <c r="H2922" s="41" t="s">
        <v>2315</v>
      </c>
      <c r="I2922" s="49" t="s">
        <v>23</v>
      </c>
      <c r="J2922" s="36">
        <f t="shared" si="20"/>
        <v>45848.3872</v>
      </c>
      <c r="K2922" s="49" t="s">
        <v>2378</v>
      </c>
      <c r="L2922" s="49" t="s">
        <v>23</v>
      </c>
      <c r="M2922" s="36">
        <f t="shared" si="33"/>
        <v>45848.69455</v>
      </c>
      <c r="N2922" s="30" t="str">
        <f t="shared" si="34"/>
        <v>Selesai</v>
      </c>
      <c r="O2922" s="45">
        <f t="shared" si="23"/>
        <v>45848.69455</v>
      </c>
      <c r="P2922" s="47" t="b">
        <v>0</v>
      </c>
      <c r="Q2922" s="36" t="str">
        <f t="shared" si="24"/>
        <v/>
      </c>
      <c r="R2922" s="47" t="b">
        <v>0</v>
      </c>
      <c r="S2922" s="42" t="str">
        <f t="shared" si="28"/>
        <v/>
      </c>
      <c r="T2922" s="42"/>
    </row>
    <row r="2923" ht="22.5" customHeight="1">
      <c r="B2923" s="42">
        <f t="shared" si="7"/>
        <v>2917</v>
      </c>
      <c r="C2923" s="31" t="s">
        <v>2990</v>
      </c>
      <c r="D2923" s="34" t="str">
        <f t="array" ref="D2923">IFNA(_xlfn.XLOOKUP(C2923,Table_Tarikan_Warkah[Nomor Sertipikat],Table_Tarikan_Warkah[Nomor Tiket]),"")</f>
        <v>K/55/040725/2</v>
      </c>
      <c r="E2923" s="36">
        <f t="array" ref="E2923">IFNA(_xlfn.XLOOKUP(D2923,Table_Tarikan_Warkah[Nomor Tiket],Table_Tarikan_Warkah[Tanggal diserahkan kepada Validator]),"")</f>
        <v>45852.62847</v>
      </c>
      <c r="F2923" s="36" t="str">
        <f t="array" ref="F2923">IFNA(_xlfn.XLOOKUP(D2923,Table_Tarikan_Warkah[Nomor Tiket],Table_Tarikan_Warkah[Nama Petugas Warkah]),"")</f>
        <v>Berry</v>
      </c>
      <c r="G2923" s="39" t="str">
        <f t="array" ref="G2923">IFNA(_xlfn.XLOOKUP(D2923,Table_Tarikan_Warkah[Nomor Tiket],Table_Tarikan_Warkah[Jenis Permohonan]),"")</f>
        <v>JUAL BELI</v>
      </c>
      <c r="H2923" s="41" t="s">
        <v>2315</v>
      </c>
      <c r="I2923" s="49" t="s">
        <v>23</v>
      </c>
      <c r="J2923" s="36">
        <f t="shared" si="20"/>
        <v>45848.38736</v>
      </c>
      <c r="K2923" s="49" t="s">
        <v>2378</v>
      </c>
      <c r="L2923" s="49" t="s">
        <v>23</v>
      </c>
      <c r="M2923" s="36">
        <f t="shared" si="33"/>
        <v>45848.69441</v>
      </c>
      <c r="N2923" s="30" t="str">
        <f t="shared" si="34"/>
        <v>Selesai</v>
      </c>
      <c r="O2923" s="45">
        <f t="shared" si="23"/>
        <v>45848.69441</v>
      </c>
      <c r="P2923" s="47" t="b">
        <v>0</v>
      </c>
      <c r="Q2923" s="36" t="str">
        <f t="shared" si="24"/>
        <v/>
      </c>
      <c r="R2923" s="47" t="b">
        <v>0</v>
      </c>
      <c r="S2923" s="42" t="str">
        <f t="shared" si="28"/>
        <v/>
      </c>
      <c r="T2923" s="42"/>
    </row>
    <row r="2924" ht="22.5" customHeight="1">
      <c r="B2924" s="42">
        <f t="shared" si="7"/>
        <v>2918</v>
      </c>
      <c r="C2924" s="31" t="s">
        <v>2991</v>
      </c>
      <c r="D2924" s="34" t="str">
        <f t="array" ref="D2924">IFNA(_xlfn.XLOOKUP(C2924,Table_Tarikan_Warkah[Nomor Sertipikat],Table_Tarikan_Warkah[Nomor Tiket]),"")</f>
        <v>K/45/200625/1</v>
      </c>
      <c r="E2924" s="36">
        <f t="array" ref="E2924">IFNA(_xlfn.XLOOKUP(D2924,Table_Tarikan_Warkah[Nomor Tiket],Table_Tarikan_Warkah[Tanggal diserahkan kepada Validator]),"")</f>
        <v>45853.72341</v>
      </c>
      <c r="F2924" s="36" t="str">
        <f t="array" ref="F2924">IFNA(_xlfn.XLOOKUP(D2924,Table_Tarikan_Warkah[Nomor Tiket],Table_Tarikan_Warkah[Nama Petugas Warkah]),"")</f>
        <v>Berry</v>
      </c>
      <c r="G2924" s="39" t="str">
        <f t="array" ref="G2924">IFNA(_xlfn.XLOOKUP(D2924,Table_Tarikan_Warkah[Nomor Tiket],Table_Tarikan_Warkah[Jenis Permohonan]),"")</f>
        <v>PENINGKATAN HAK</v>
      </c>
      <c r="H2924" s="41" t="s">
        <v>2315</v>
      </c>
      <c r="I2924" s="49" t="s">
        <v>23</v>
      </c>
      <c r="J2924" s="36">
        <f t="shared" si="20"/>
        <v>45848.38749</v>
      </c>
      <c r="K2924" s="49" t="s">
        <v>2378</v>
      </c>
      <c r="L2924" s="49" t="s">
        <v>23</v>
      </c>
      <c r="M2924" s="36">
        <f t="shared" si="33"/>
        <v>45849.49903</v>
      </c>
      <c r="N2924" s="30" t="str">
        <f t="shared" si="34"/>
        <v>Selesai</v>
      </c>
      <c r="O2924" s="45">
        <f t="shared" si="23"/>
        <v>45849.49903</v>
      </c>
      <c r="P2924" s="47" t="b">
        <v>0</v>
      </c>
      <c r="Q2924" s="36" t="str">
        <f t="shared" si="24"/>
        <v/>
      </c>
      <c r="R2924" s="47" t="b">
        <v>0</v>
      </c>
      <c r="S2924" s="42" t="str">
        <f t="shared" si="28"/>
        <v/>
      </c>
      <c r="T2924" s="42"/>
    </row>
    <row r="2925" ht="22.5" customHeight="1">
      <c r="B2925" s="42">
        <f t="shared" si="7"/>
        <v>2919</v>
      </c>
      <c r="C2925" s="31" t="s">
        <v>2992</v>
      </c>
      <c r="D2925" s="34" t="str">
        <f t="array" ref="D2925">IFNA(_xlfn.XLOOKUP(C2925,Table_Tarikan_Warkah[Nomor Sertipikat],Table_Tarikan_Warkah[Nomor Tiket]),"")</f>
        <v>K/29/230625/1</v>
      </c>
      <c r="E2925" s="36">
        <f t="array" ref="E2925">IFNA(_xlfn.XLOOKUP(D2925,Table_Tarikan_Warkah[Nomor Tiket],Table_Tarikan_Warkah[Tanggal diserahkan kepada Validator]),"")</f>
        <v>45852.63065</v>
      </c>
      <c r="F2925" s="36" t="str">
        <f t="array" ref="F2925">IFNA(_xlfn.XLOOKUP(D2925,Table_Tarikan_Warkah[Nomor Tiket],Table_Tarikan_Warkah[Nama Petugas Warkah]),"")</f>
        <v>Berry</v>
      </c>
      <c r="G2925" s="39" t="str">
        <f t="array" ref="G2925">IFNA(_xlfn.XLOOKUP(D2925,Table_Tarikan_Warkah[Nomor Tiket],Table_Tarikan_Warkah[Jenis Permohonan]),"")</f>
        <v>JUAL BELI</v>
      </c>
      <c r="H2925" s="41" t="s">
        <v>2315</v>
      </c>
      <c r="I2925" s="49" t="s">
        <v>23</v>
      </c>
      <c r="J2925" s="36">
        <f t="shared" si="20"/>
        <v>45848.3876</v>
      </c>
      <c r="K2925" s="49" t="s">
        <v>2378</v>
      </c>
      <c r="L2925" s="49" t="s">
        <v>23</v>
      </c>
      <c r="M2925" s="36">
        <f t="shared" si="33"/>
        <v>45849.49456</v>
      </c>
      <c r="N2925" s="30" t="str">
        <f t="shared" si="34"/>
        <v>Selesai</v>
      </c>
      <c r="O2925" s="45">
        <f t="shared" si="23"/>
        <v>45849.49456</v>
      </c>
      <c r="P2925" s="47" t="b">
        <v>0</v>
      </c>
      <c r="Q2925" s="36" t="str">
        <f t="shared" si="24"/>
        <v/>
      </c>
      <c r="R2925" s="47" t="b">
        <v>0</v>
      </c>
      <c r="S2925" s="42" t="str">
        <f t="shared" si="28"/>
        <v/>
      </c>
      <c r="T2925" s="42"/>
    </row>
    <row r="2926" ht="22.5" customHeight="1">
      <c r="B2926" s="42">
        <f t="shared" si="7"/>
        <v>2920</v>
      </c>
      <c r="C2926" s="31" t="s">
        <v>2993</v>
      </c>
      <c r="D2926" s="34" t="str">
        <f t="array" ref="D2926">IFNA(_xlfn.XLOOKUP(C2926,Table_Tarikan_Warkah[Nomor Sertipikat],Table_Tarikan_Warkah[Nomor Tiket]),"")</f>
        <v>K/48/040725/1</v>
      </c>
      <c r="E2926" s="36">
        <f t="array" ref="E2926">IFNA(_xlfn.XLOOKUP(D2926,Table_Tarikan_Warkah[Nomor Tiket],Table_Tarikan_Warkah[Tanggal diserahkan kepada Validator]),"")</f>
        <v>45854.578</v>
      </c>
      <c r="F2926" s="36" t="str">
        <f t="array" ref="F2926">IFNA(_xlfn.XLOOKUP(D2926,Table_Tarikan_Warkah[Nomor Tiket],Table_Tarikan_Warkah[Nama Petugas Warkah]),"")</f>
        <v>Berry</v>
      </c>
      <c r="G2926" s="39" t="str">
        <f t="array" ref="G2926">IFNA(_xlfn.XLOOKUP(D2926,Table_Tarikan_Warkah[Nomor Tiket],Table_Tarikan_Warkah[Jenis Permohonan]),"")</f>
        <v>ROYA</v>
      </c>
      <c r="H2926" s="41" t="s">
        <v>2315</v>
      </c>
      <c r="I2926" s="49" t="s">
        <v>23</v>
      </c>
      <c r="J2926" s="36">
        <f t="shared" si="20"/>
        <v>45848.38772</v>
      </c>
      <c r="K2926" s="49" t="s">
        <v>2378</v>
      </c>
      <c r="L2926" s="49" t="s">
        <v>23</v>
      </c>
      <c r="M2926" s="36">
        <f t="shared" si="33"/>
        <v>45849.49446</v>
      </c>
      <c r="N2926" s="30" t="str">
        <f t="shared" si="34"/>
        <v>Selesai</v>
      </c>
      <c r="O2926" s="45">
        <f t="shared" si="23"/>
        <v>45849.49446</v>
      </c>
      <c r="P2926" s="47" t="b">
        <v>0</v>
      </c>
      <c r="Q2926" s="36" t="str">
        <f t="shared" si="24"/>
        <v/>
      </c>
      <c r="R2926" s="47" t="b">
        <v>0</v>
      </c>
      <c r="S2926" s="42" t="str">
        <f t="shared" si="28"/>
        <v/>
      </c>
      <c r="T2926" s="42"/>
    </row>
    <row r="2927" ht="22.5" customHeight="1">
      <c r="B2927" s="42">
        <f t="shared" si="7"/>
        <v>2921</v>
      </c>
      <c r="C2927" s="31" t="s">
        <v>2994</v>
      </c>
      <c r="D2927" s="34" t="str">
        <f t="array" ref="D2927">IFNA(_xlfn.XLOOKUP(C2927,Table_Tarikan_Warkah[Nomor Sertipikat],Table_Tarikan_Warkah[Nomor Tiket]),"")</f>
        <v>K/21/010725/1</v>
      </c>
      <c r="E2927" s="36">
        <f t="array" ref="E2927">IFNA(_xlfn.XLOOKUP(D2927,Table_Tarikan_Warkah[Nomor Tiket],Table_Tarikan_Warkah[Tanggal diserahkan kepada Validator]),"")</f>
        <v>45852.62889</v>
      </c>
      <c r="F2927" s="36" t="str">
        <f t="array" ref="F2927">IFNA(_xlfn.XLOOKUP(D2927,Table_Tarikan_Warkah[Nomor Tiket],Table_Tarikan_Warkah[Nama Petugas Warkah]),"")</f>
        <v>Berry</v>
      </c>
      <c r="G2927" s="39" t="str">
        <f t="array" ref="G2927">IFNA(_xlfn.XLOOKUP(D2927,Table_Tarikan_Warkah[Nomor Tiket],Table_Tarikan_Warkah[Jenis Permohonan]),"")</f>
        <v>JUAL BELI</v>
      </c>
      <c r="H2927" s="41" t="s">
        <v>2315</v>
      </c>
      <c r="I2927" s="49" t="s">
        <v>23</v>
      </c>
      <c r="J2927" s="36">
        <f t="shared" si="20"/>
        <v>45848.38783</v>
      </c>
      <c r="K2927" s="49" t="s">
        <v>2378</v>
      </c>
      <c r="L2927" s="49" t="s">
        <v>23</v>
      </c>
      <c r="M2927" s="36">
        <f t="shared" si="33"/>
        <v>45848.69432</v>
      </c>
      <c r="N2927" s="30" t="str">
        <f t="shared" si="34"/>
        <v>Selesai</v>
      </c>
      <c r="O2927" s="45">
        <f t="shared" si="23"/>
        <v>45848.69432</v>
      </c>
      <c r="P2927" s="47" t="b">
        <v>0</v>
      </c>
      <c r="Q2927" s="36" t="str">
        <f t="shared" si="24"/>
        <v/>
      </c>
      <c r="R2927" s="47" t="b">
        <v>0</v>
      </c>
      <c r="S2927" s="42" t="str">
        <f t="shared" si="28"/>
        <v/>
      </c>
      <c r="T2927" s="42"/>
    </row>
    <row r="2928" ht="22.5" customHeight="1">
      <c r="B2928" s="42">
        <f t="shared" si="7"/>
        <v>2922</v>
      </c>
      <c r="C2928" s="31" t="s">
        <v>2995</v>
      </c>
      <c r="D2928" s="34" t="str">
        <f t="array" ref="D2928">IFNA(_xlfn.XLOOKUP(C2928,Table_Tarikan_Warkah[Nomor Sertipikat],Table_Tarikan_Warkah[Nomor Tiket]),"")</f>
        <v>L/18/270525/1</v>
      </c>
      <c r="E2928" s="36">
        <f t="array" ref="E2928">IFNA(_xlfn.XLOOKUP(D2928,Table_Tarikan_Warkah[Nomor Tiket],Table_Tarikan_Warkah[Tanggal diserahkan kepada Validator]),"")</f>
        <v>45897.49279</v>
      </c>
      <c r="F2928" s="36" t="str">
        <f t="array" ref="F2928">IFNA(_xlfn.XLOOKUP(D2928,Table_Tarikan_Warkah[Nomor Tiket],Table_Tarikan_Warkah[Nama Petugas Warkah]),"")</f>
        <v>Berry</v>
      </c>
      <c r="G2928" s="39" t="str">
        <f t="array" ref="G2928">IFNA(_xlfn.XLOOKUP(D2928,Table_Tarikan_Warkah[Nomor Tiket],Table_Tarikan_Warkah[Jenis Permohonan]),"")</f>
        <v>ROYA</v>
      </c>
      <c r="H2928" s="41" t="s">
        <v>2315</v>
      </c>
      <c r="I2928" s="49" t="s">
        <v>23</v>
      </c>
      <c r="J2928" s="36">
        <f t="shared" si="20"/>
        <v>45848.38798</v>
      </c>
      <c r="K2928" s="49" t="s">
        <v>2378</v>
      </c>
      <c r="L2928" s="49" t="s">
        <v>23</v>
      </c>
      <c r="M2928" s="36">
        <f t="shared" si="33"/>
        <v>45849.49917</v>
      </c>
      <c r="N2928" s="30" t="str">
        <f t="shared" si="34"/>
        <v>Selesai</v>
      </c>
      <c r="O2928" s="45">
        <f t="shared" si="23"/>
        <v>45849.49917</v>
      </c>
      <c r="P2928" s="47" t="b">
        <v>0</v>
      </c>
      <c r="Q2928" s="36" t="str">
        <f t="shared" si="24"/>
        <v/>
      </c>
      <c r="R2928" s="47" t="b">
        <v>0</v>
      </c>
      <c r="S2928" s="42" t="str">
        <f t="shared" si="28"/>
        <v/>
      </c>
      <c r="T2928" s="42"/>
    </row>
    <row r="2929" ht="22.5" customHeight="1">
      <c r="B2929" s="42">
        <f t="shared" si="7"/>
        <v>2923</v>
      </c>
      <c r="C2929" s="31" t="s">
        <v>2996</v>
      </c>
      <c r="D2929" s="34" t="str">
        <f t="array" ref="D2929">IFNA(_xlfn.XLOOKUP(C2929,Table_Tarikan_Warkah[Nomor Sertipikat],Table_Tarikan_Warkah[Nomor Tiket]),"")</f>
        <v>L/20/020725/1</v>
      </c>
      <c r="E2929" s="36">
        <f t="array" ref="E2929">IFNA(_xlfn.XLOOKUP(D2929,Table_Tarikan_Warkah[Nomor Tiket],Table_Tarikan_Warkah[Tanggal diserahkan kepada Validator]),"")</f>
        <v>45860.6862</v>
      </c>
      <c r="F2929" s="36" t="str">
        <f t="array" ref="F2929">IFNA(_xlfn.XLOOKUP(D2929,Table_Tarikan_Warkah[Nomor Tiket],Table_Tarikan_Warkah[Nama Petugas Warkah]),"")</f>
        <v>David</v>
      </c>
      <c r="G2929" s="39" t="str">
        <f t="array" ref="G2929">IFNA(_xlfn.XLOOKUP(D2929,Table_Tarikan_Warkah[Nomor Tiket],Table_Tarikan_Warkah[Jenis Permohonan]),"")</f>
        <v>ROYA</v>
      </c>
      <c r="H2929" s="41" t="s">
        <v>2315</v>
      </c>
      <c r="I2929" s="49" t="s">
        <v>23</v>
      </c>
      <c r="J2929" s="36">
        <f t="shared" si="20"/>
        <v>45848.38811</v>
      </c>
      <c r="K2929" s="49" t="s">
        <v>2378</v>
      </c>
      <c r="L2929" s="49" t="s">
        <v>23</v>
      </c>
      <c r="M2929" s="36">
        <f t="shared" si="33"/>
        <v>45849.49924</v>
      </c>
      <c r="N2929" s="30" t="str">
        <f t="shared" si="34"/>
        <v>Selesai</v>
      </c>
      <c r="O2929" s="45">
        <f t="shared" si="23"/>
        <v>45849.49924</v>
      </c>
      <c r="P2929" s="47" t="b">
        <v>0</v>
      </c>
      <c r="Q2929" s="36" t="str">
        <f t="shared" si="24"/>
        <v/>
      </c>
      <c r="R2929" s="47" t="b">
        <v>0</v>
      </c>
      <c r="S2929" s="42" t="str">
        <f t="shared" si="28"/>
        <v/>
      </c>
      <c r="T2929" s="42"/>
    </row>
    <row r="2930" ht="22.5" customHeight="1">
      <c r="B2930" s="42">
        <f t="shared" si="7"/>
        <v>2924</v>
      </c>
      <c r="C2930" s="31" t="s">
        <v>2997</v>
      </c>
      <c r="D2930" s="34" t="str">
        <f t="array" ref="D2930">IFNA(_xlfn.XLOOKUP(C2930,Table_Tarikan_Warkah[Nomor Sertipikat],Table_Tarikan_Warkah[Nomor Tiket]),"")</f>
        <v>K/35/010725/1</v>
      </c>
      <c r="E2930" s="36">
        <f t="array" ref="E2930">IFNA(_xlfn.XLOOKUP(D2930,Table_Tarikan_Warkah[Nomor Tiket],Table_Tarikan_Warkah[Tanggal diserahkan kepada Validator]),"")</f>
        <v>45853.72151</v>
      </c>
      <c r="F2930" s="36" t="str">
        <f t="array" ref="F2930">IFNA(_xlfn.XLOOKUP(D2930,Table_Tarikan_Warkah[Nomor Tiket],Table_Tarikan_Warkah[Nama Petugas Warkah]),"")</f>
        <v>Berry</v>
      </c>
      <c r="G2930" s="39" t="str">
        <f t="array" ref="G2930">IFNA(_xlfn.XLOOKUP(D2930,Table_Tarikan_Warkah[Nomor Tiket],Table_Tarikan_Warkah[Jenis Permohonan]),"")</f>
        <v>BN Jual Beli</v>
      </c>
      <c r="H2930" s="41" t="s">
        <v>2315</v>
      </c>
      <c r="I2930" s="49" t="s">
        <v>23</v>
      </c>
      <c r="J2930" s="36">
        <f t="shared" si="20"/>
        <v>45848.38824</v>
      </c>
      <c r="K2930" s="49" t="s">
        <v>2378</v>
      </c>
      <c r="L2930" s="49" t="s">
        <v>23</v>
      </c>
      <c r="M2930" s="36">
        <f t="shared" si="33"/>
        <v>45848.69423</v>
      </c>
      <c r="N2930" s="30" t="str">
        <f t="shared" si="34"/>
        <v>Selesai</v>
      </c>
      <c r="O2930" s="45">
        <f t="shared" si="23"/>
        <v>45848.69423</v>
      </c>
      <c r="P2930" s="47" t="b">
        <v>0</v>
      </c>
      <c r="Q2930" s="36" t="str">
        <f t="shared" si="24"/>
        <v/>
      </c>
      <c r="R2930" s="47" t="b">
        <v>0</v>
      </c>
      <c r="S2930" s="42" t="str">
        <f t="shared" si="28"/>
        <v/>
      </c>
      <c r="T2930" s="42"/>
    </row>
    <row r="2931" ht="22.5" customHeight="1">
      <c r="B2931" s="42">
        <f t="shared" si="7"/>
        <v>2925</v>
      </c>
      <c r="C2931" s="31" t="s">
        <v>2998</v>
      </c>
      <c r="D2931" s="34" t="str">
        <f t="array" ref="D2931">IFNA(_xlfn.XLOOKUP(C2931,Table_Tarikan_Warkah[Nomor Sertipikat],Table_Tarikan_Warkah[Nomor Tiket]),"")</f>
        <v>K/60/050625/1</v>
      </c>
      <c r="E2931" s="36">
        <f t="array" ref="E2931">IFNA(_xlfn.XLOOKUP(D2931,Table_Tarikan_Warkah[Nomor Tiket],Table_Tarikan_Warkah[Tanggal diserahkan kepada Validator]),"")</f>
        <v>45860.66879</v>
      </c>
      <c r="F2931" s="36" t="str">
        <f t="array" ref="F2931">IFNA(_xlfn.XLOOKUP(D2931,Table_Tarikan_Warkah[Nomor Tiket],Table_Tarikan_Warkah[Nama Petugas Warkah]),"")</f>
        <v>Berry</v>
      </c>
      <c r="G2931" s="39" t="str">
        <f t="array" ref="G2931">IFNA(_xlfn.XLOOKUP(D2931,Table_Tarikan_Warkah[Nomor Tiket],Table_Tarikan_Warkah[Jenis Permohonan]),"")</f>
        <v>BN Jual Beli</v>
      </c>
      <c r="H2931" s="41" t="s">
        <v>2315</v>
      </c>
      <c r="I2931" s="49" t="s">
        <v>23</v>
      </c>
      <c r="J2931" s="36">
        <f t="shared" si="20"/>
        <v>45848.38837</v>
      </c>
      <c r="K2931" s="49" t="s">
        <v>2378</v>
      </c>
      <c r="L2931" s="49" t="s">
        <v>23</v>
      </c>
      <c r="M2931" s="36">
        <f t="shared" si="33"/>
        <v>45849.49652</v>
      </c>
      <c r="N2931" s="30" t="str">
        <f t="shared" si="34"/>
        <v>Selesai</v>
      </c>
      <c r="O2931" s="45">
        <f t="shared" si="23"/>
        <v>45849.49652</v>
      </c>
      <c r="P2931" s="47" t="b">
        <v>0</v>
      </c>
      <c r="Q2931" s="36" t="str">
        <f t="shared" si="24"/>
        <v/>
      </c>
      <c r="R2931" s="47" t="b">
        <v>0</v>
      </c>
      <c r="S2931" s="42" t="str">
        <f t="shared" si="28"/>
        <v/>
      </c>
      <c r="T2931" s="42"/>
    </row>
    <row r="2932" ht="22.5" customHeight="1">
      <c r="B2932" s="42">
        <f t="shared" si="7"/>
        <v>2926</v>
      </c>
      <c r="C2932" s="31" t="s">
        <v>2999</v>
      </c>
      <c r="D2932" s="34" t="str">
        <f t="array" ref="D2932">IFNA(_xlfn.XLOOKUP(C2932,Table_Tarikan_Warkah[Nomor Sertipikat],Table_Tarikan_Warkah[Nomor Tiket]),"")</f>
        <v>L/3/300625/1</v>
      </c>
      <c r="E2932" s="36" t="str">
        <f t="array" ref="E2932">IFNA(_xlfn.XLOOKUP(D2932,Table_Tarikan_Warkah[Nomor Tiket],Table_Tarikan_Warkah[Tanggal diserahkan kepada Validator]),"")</f>
        <v/>
      </c>
      <c r="F2932" s="36" t="str">
        <f t="array" ref="F2932">IFNA(_xlfn.XLOOKUP(D2932,Table_Tarikan_Warkah[Nomor Tiket],Table_Tarikan_Warkah[Nama Petugas Warkah]),"")</f>
        <v/>
      </c>
      <c r="G2932" s="39" t="str">
        <f t="array" ref="G2932">IFNA(_xlfn.XLOOKUP(D2932,Table_Tarikan_Warkah[Nomor Tiket],Table_Tarikan_Warkah[Jenis Permohonan]),"")</f>
        <v>GANTI BLANGKO</v>
      </c>
      <c r="H2932" s="41" t="s">
        <v>2315</v>
      </c>
      <c r="I2932" s="49" t="s">
        <v>23</v>
      </c>
      <c r="J2932" s="36">
        <f t="shared" si="20"/>
        <v>45848.38859</v>
      </c>
      <c r="K2932" s="49" t="s">
        <v>2378</v>
      </c>
      <c r="L2932" s="49" t="s">
        <v>23</v>
      </c>
      <c r="M2932" s="36">
        <f t="shared" si="33"/>
        <v>45849.49939</v>
      </c>
      <c r="N2932" s="30" t="str">
        <f t="shared" si="34"/>
        <v>Selesai</v>
      </c>
      <c r="O2932" s="45">
        <f t="shared" si="23"/>
        <v>45849.49939</v>
      </c>
      <c r="P2932" s="47" t="b">
        <v>0</v>
      </c>
      <c r="Q2932" s="36" t="str">
        <f t="shared" si="24"/>
        <v/>
      </c>
      <c r="R2932" s="47" t="b">
        <v>0</v>
      </c>
      <c r="S2932" s="42" t="str">
        <f t="shared" si="28"/>
        <v/>
      </c>
      <c r="T2932" s="42"/>
    </row>
    <row r="2933" ht="22.5" customHeight="1">
      <c r="B2933" s="42">
        <f t="shared" si="7"/>
        <v>2927</v>
      </c>
      <c r="C2933" s="31" t="s">
        <v>3000</v>
      </c>
      <c r="D2933" s="34" t="str">
        <f t="array" ref="D2933">IFNA(_xlfn.XLOOKUP(C2933,Table_Tarikan_Warkah[Nomor Sertipikat],Table_Tarikan_Warkah[Nomor Tiket]),"")</f>
        <v>K/42/210525/2</v>
      </c>
      <c r="E2933" s="36">
        <f t="array" ref="E2933">IFNA(_xlfn.XLOOKUP(D2933,Table_Tarikan_Warkah[Nomor Tiket],Table_Tarikan_Warkah[Tanggal diserahkan kepada Validator]),"")</f>
        <v>45891.59022</v>
      </c>
      <c r="F2933" s="36" t="str">
        <f t="array" ref="F2933">IFNA(_xlfn.XLOOKUP(D2933,Table_Tarikan_Warkah[Nomor Tiket],Table_Tarikan_Warkah[Nama Petugas Warkah]),"")</f>
        <v>Berry</v>
      </c>
      <c r="G2933" s="39" t="str">
        <f t="array" ref="G2933">IFNA(_xlfn.XLOOKUP(D2933,Table_Tarikan_Warkah[Nomor Tiket],Table_Tarikan_Warkah[Jenis Permohonan]),"")</f>
        <v>Ganti Nama HT</v>
      </c>
      <c r="H2933" s="41" t="s">
        <v>20</v>
      </c>
      <c r="I2933" s="49" t="s">
        <v>23</v>
      </c>
      <c r="J2933" s="36">
        <f t="shared" si="20"/>
        <v>45848.67072</v>
      </c>
      <c r="K2933" s="49" t="s">
        <v>2378</v>
      </c>
      <c r="L2933" s="49" t="s">
        <v>23</v>
      </c>
      <c r="M2933" s="36">
        <f t="shared" si="33"/>
        <v>45849.49499</v>
      </c>
      <c r="N2933" s="30" t="str">
        <f t="shared" si="34"/>
        <v>Selesai</v>
      </c>
      <c r="O2933" s="45">
        <f t="shared" si="23"/>
        <v>45849.49499</v>
      </c>
      <c r="P2933" s="47" t="b">
        <v>0</v>
      </c>
      <c r="Q2933" s="36" t="str">
        <f t="shared" si="24"/>
        <v/>
      </c>
      <c r="R2933" s="47" t="b">
        <v>0</v>
      </c>
      <c r="S2933" s="42" t="str">
        <f t="shared" si="28"/>
        <v/>
      </c>
      <c r="T2933" s="42"/>
    </row>
    <row r="2934" ht="22.5" customHeight="1">
      <c r="B2934" s="42">
        <f t="shared" si="7"/>
        <v>2928</v>
      </c>
      <c r="C2934" s="31" t="s">
        <v>3001</v>
      </c>
      <c r="D2934" s="34" t="str">
        <f t="array" ref="D2934">IFNA(_xlfn.XLOOKUP(C2934,Table_Tarikan_Warkah[Nomor Sertipikat],Table_Tarikan_Warkah[Nomor Tiket]),"")</f>
        <v>K/1/190625/1</v>
      </c>
      <c r="E2934" s="36">
        <f t="array" ref="E2934">IFNA(_xlfn.XLOOKUP(D2934,Table_Tarikan_Warkah[Nomor Tiket],Table_Tarikan_Warkah[Tanggal diserahkan kepada Validator]),"")</f>
        <v>45909.59418</v>
      </c>
      <c r="F2934" s="36" t="str">
        <f t="array" ref="F2934">IFNA(_xlfn.XLOOKUP(D2934,Table_Tarikan_Warkah[Nomor Tiket],Table_Tarikan_Warkah[Nama Petugas Warkah]),"")</f>
        <v>Berry</v>
      </c>
      <c r="G2934" s="39" t="str">
        <f t="array" ref="G2934">IFNA(_xlfn.XLOOKUP(D2934,Table_Tarikan_Warkah[Nomor Tiket],Table_Tarikan_Warkah[Jenis Permohonan]),"")</f>
        <v>ROYA</v>
      </c>
      <c r="H2934" s="41" t="s">
        <v>20</v>
      </c>
      <c r="I2934" s="49" t="s">
        <v>23</v>
      </c>
      <c r="J2934" s="36">
        <f t="shared" si="20"/>
        <v>45848.67162</v>
      </c>
      <c r="K2934" s="49" t="s">
        <v>2378</v>
      </c>
      <c r="L2934" s="49" t="s">
        <v>23</v>
      </c>
      <c r="M2934" s="36">
        <f t="shared" si="33"/>
        <v>45849.49487</v>
      </c>
      <c r="N2934" s="30" t="str">
        <f t="shared" si="34"/>
        <v>Selesai</v>
      </c>
      <c r="O2934" s="45">
        <f t="shared" si="23"/>
        <v>45849.49487</v>
      </c>
      <c r="P2934" s="47" t="b">
        <v>0</v>
      </c>
      <c r="Q2934" s="36" t="str">
        <f t="shared" si="24"/>
        <v/>
      </c>
      <c r="R2934" s="47" t="b">
        <v>0</v>
      </c>
      <c r="S2934" s="42" t="str">
        <f t="shared" si="28"/>
        <v/>
      </c>
      <c r="T2934" s="42"/>
    </row>
    <row r="2935" ht="22.5" customHeight="1">
      <c r="B2935" s="42">
        <f t="shared" si="7"/>
        <v>2929</v>
      </c>
      <c r="C2935" s="31" t="s">
        <v>3002</v>
      </c>
      <c r="D2935" s="34" t="str">
        <f t="array" ref="D2935">IFNA(_xlfn.XLOOKUP(C2935,Table_Tarikan_Warkah[Nomor Sertipikat],Table_Tarikan_Warkah[Nomor Tiket]),"")</f>
        <v>K/29/010725/1</v>
      </c>
      <c r="E2935" s="36">
        <f t="array" ref="E2935">IFNA(_xlfn.XLOOKUP(D2935,Table_Tarikan_Warkah[Nomor Tiket],Table_Tarikan_Warkah[Tanggal diserahkan kepada Validator]),"")</f>
        <v>45856.62888</v>
      </c>
      <c r="F2935" s="36" t="str">
        <f t="array" ref="F2935">IFNA(_xlfn.XLOOKUP(D2935,Table_Tarikan_Warkah[Nomor Tiket],Table_Tarikan_Warkah[Nama Petugas Warkah]),"")</f>
        <v>David</v>
      </c>
      <c r="G2935" s="39" t="str">
        <f t="array" ref="G2935">IFNA(_xlfn.XLOOKUP(D2935,Table_Tarikan_Warkah[Nomor Tiket],Table_Tarikan_Warkah[Jenis Permohonan]),"")</f>
        <v>ROYA</v>
      </c>
      <c r="H2935" s="41" t="s">
        <v>20</v>
      </c>
      <c r="I2935" s="49" t="s">
        <v>23</v>
      </c>
      <c r="J2935" s="36">
        <f t="shared" si="20"/>
        <v>45848.67206</v>
      </c>
      <c r="K2935" s="49" t="s">
        <v>2378</v>
      </c>
      <c r="L2935" s="49" t="s">
        <v>23</v>
      </c>
      <c r="M2935" s="36">
        <f t="shared" si="33"/>
        <v>45849.49497</v>
      </c>
      <c r="N2935" s="30" t="str">
        <f t="shared" si="34"/>
        <v>Selesai</v>
      </c>
      <c r="O2935" s="45">
        <f t="shared" si="23"/>
        <v>45849.49497</v>
      </c>
      <c r="P2935" s="47" t="b">
        <v>0</v>
      </c>
      <c r="Q2935" s="36" t="str">
        <f t="shared" si="24"/>
        <v/>
      </c>
      <c r="R2935" s="47" t="b">
        <v>0</v>
      </c>
      <c r="S2935" s="42" t="str">
        <f t="shared" si="28"/>
        <v/>
      </c>
      <c r="T2935" s="42"/>
    </row>
    <row r="2936" ht="22.5" customHeight="1">
      <c r="B2936" s="42">
        <f t="shared" si="7"/>
        <v>2930</v>
      </c>
      <c r="C2936" s="31" t="s">
        <v>3003</v>
      </c>
      <c r="D2936" s="34" t="str">
        <f t="array" ref="D2936">IFNA(_xlfn.XLOOKUP(C2936,Table_Tarikan_Warkah[Nomor Sertipikat],Table_Tarikan_Warkah[Nomor Tiket]),"")</f>
        <v>K/9/030725/1</v>
      </c>
      <c r="E2936" s="36">
        <f t="array" ref="E2936">IFNA(_xlfn.XLOOKUP(D2936,Table_Tarikan_Warkah[Nomor Tiket],Table_Tarikan_Warkah[Tanggal diserahkan kepada Validator]),"")</f>
        <v>45852.62578</v>
      </c>
      <c r="F2936" s="36" t="str">
        <f t="array" ref="F2936">IFNA(_xlfn.XLOOKUP(D2936,Table_Tarikan_Warkah[Nomor Tiket],Table_Tarikan_Warkah[Nama Petugas Warkah]),"")</f>
        <v>Berry</v>
      </c>
      <c r="G2936" s="39" t="str">
        <f t="array" ref="G2936">IFNA(_xlfn.XLOOKUP(D2936,Table_Tarikan_Warkah[Nomor Tiket],Table_Tarikan_Warkah[Jenis Permohonan]),"")</f>
        <v>BN JUAL BELI</v>
      </c>
      <c r="H2936" s="41" t="s">
        <v>20</v>
      </c>
      <c r="I2936" s="49" t="s">
        <v>23</v>
      </c>
      <c r="J2936" s="36">
        <f t="shared" si="20"/>
        <v>45848.67634</v>
      </c>
      <c r="K2936" s="49" t="s">
        <v>2378</v>
      </c>
      <c r="L2936" s="49" t="s">
        <v>23</v>
      </c>
      <c r="M2936" s="36">
        <f t="shared" si="33"/>
        <v>45849.49507</v>
      </c>
      <c r="N2936" s="30" t="str">
        <f t="shared" si="34"/>
        <v>Selesai</v>
      </c>
      <c r="O2936" s="45">
        <f t="shared" si="23"/>
        <v>45849.49507</v>
      </c>
      <c r="P2936" s="47" t="b">
        <v>0</v>
      </c>
      <c r="Q2936" s="36" t="str">
        <f t="shared" si="24"/>
        <v/>
      </c>
      <c r="R2936" s="47" t="b">
        <v>0</v>
      </c>
      <c r="S2936" s="42" t="str">
        <f t="shared" si="28"/>
        <v/>
      </c>
      <c r="T2936" s="42"/>
    </row>
    <row r="2937" ht="22.5" customHeight="1">
      <c r="B2937" s="42">
        <f t="shared" si="7"/>
        <v>2931</v>
      </c>
      <c r="C2937" s="31" t="s">
        <v>3004</v>
      </c>
      <c r="D2937" s="34" t="str">
        <f t="array" ref="D2937">IFNA(_xlfn.XLOOKUP(C2937,Table_Tarikan_Warkah[Nomor Sertipikat],Table_Tarikan_Warkah[Nomor Tiket]),"")</f>
        <v>K/7/180625/1</v>
      </c>
      <c r="E2937" s="36">
        <f t="array" ref="E2937">IFNA(_xlfn.XLOOKUP(D2937,Table_Tarikan_Warkah[Nomor Tiket],Table_Tarikan_Warkah[Tanggal diserahkan kepada Validator]),"")</f>
        <v>45852.63473</v>
      </c>
      <c r="F2937" s="36" t="str">
        <f t="array" ref="F2937">IFNA(_xlfn.XLOOKUP(D2937,Table_Tarikan_Warkah[Nomor Tiket],Table_Tarikan_Warkah[Nama Petugas Warkah]),"")</f>
        <v>Berry</v>
      </c>
      <c r="G2937" s="39" t="str">
        <f t="array" ref="G2937">IFNA(_xlfn.XLOOKUP(D2937,Table_Tarikan_Warkah[Nomor Tiket],Table_Tarikan_Warkah[Jenis Permohonan]),"")</f>
        <v>BN JUAL BELI</v>
      </c>
      <c r="H2937" s="41" t="s">
        <v>20</v>
      </c>
      <c r="I2937" s="49" t="s">
        <v>23</v>
      </c>
      <c r="J2937" s="36">
        <f t="shared" si="20"/>
        <v>45848.67788</v>
      </c>
      <c r="K2937" s="49" t="s">
        <v>2378</v>
      </c>
      <c r="L2937" s="49" t="s">
        <v>23</v>
      </c>
      <c r="M2937" s="36">
        <f t="shared" si="33"/>
        <v>45849.49754</v>
      </c>
      <c r="N2937" s="30" t="str">
        <f t="shared" si="34"/>
        <v>Selesai</v>
      </c>
      <c r="O2937" s="45">
        <f t="shared" si="23"/>
        <v>45849.49754</v>
      </c>
      <c r="P2937" s="47" t="b">
        <v>0</v>
      </c>
      <c r="Q2937" s="36" t="str">
        <f t="shared" si="24"/>
        <v/>
      </c>
      <c r="R2937" s="47" t="b">
        <v>0</v>
      </c>
      <c r="S2937" s="42" t="str">
        <f t="shared" si="28"/>
        <v/>
      </c>
      <c r="T2937" s="42"/>
    </row>
    <row r="2938" ht="22.5" customHeight="1">
      <c r="B2938" s="42">
        <f t="shared" si="7"/>
        <v>2932</v>
      </c>
      <c r="C2938" s="31" t="s">
        <v>3005</v>
      </c>
      <c r="D2938" s="34" t="str">
        <f t="array" ref="D2938">IFNA(_xlfn.XLOOKUP(C2938,Table_Tarikan_Warkah[Nomor Sertipikat],Table_Tarikan_Warkah[Nomor Tiket]),"")</f>
        <v>K/40/190625/2</v>
      </c>
      <c r="E2938" s="36">
        <f t="array" ref="E2938">IFNA(_xlfn.XLOOKUP(D2938,Table_Tarikan_Warkah[Nomor Tiket],Table_Tarikan_Warkah[Tanggal diserahkan kepada Validator]),"")</f>
        <v>45852.62448</v>
      </c>
      <c r="F2938" s="36" t="str">
        <f t="array" ref="F2938">IFNA(_xlfn.XLOOKUP(D2938,Table_Tarikan_Warkah[Nomor Tiket],Table_Tarikan_Warkah[Nama Petugas Warkah]),"")</f>
        <v>Berry</v>
      </c>
      <c r="G2938" s="39" t="str">
        <f t="array" ref="G2938">IFNA(_xlfn.XLOOKUP(D2938,Table_Tarikan_Warkah[Nomor Tiket],Table_Tarikan_Warkah[Jenis Permohonan]),"")</f>
        <v>BN JUAL BELI</v>
      </c>
      <c r="H2938" s="41" t="s">
        <v>20</v>
      </c>
      <c r="I2938" s="49" t="s">
        <v>23</v>
      </c>
      <c r="J2938" s="36">
        <f t="shared" si="20"/>
        <v>45848.67842</v>
      </c>
      <c r="K2938" s="49" t="s">
        <v>2378</v>
      </c>
      <c r="L2938" s="49" t="s">
        <v>23</v>
      </c>
      <c r="M2938" s="36">
        <f t="shared" si="33"/>
        <v>45849.49728</v>
      </c>
      <c r="N2938" s="30" t="str">
        <f t="shared" si="34"/>
        <v>Selesai</v>
      </c>
      <c r="O2938" s="45">
        <f t="shared" si="23"/>
        <v>45849.49728</v>
      </c>
      <c r="P2938" s="47" t="b">
        <v>0</v>
      </c>
      <c r="Q2938" s="36" t="str">
        <f t="shared" si="24"/>
        <v/>
      </c>
      <c r="R2938" s="47" t="b">
        <v>0</v>
      </c>
      <c r="S2938" s="42" t="str">
        <f t="shared" si="28"/>
        <v/>
      </c>
      <c r="T2938" s="42"/>
    </row>
    <row r="2939" ht="22.5" customHeight="1">
      <c r="B2939" s="42">
        <f t="shared" si="7"/>
        <v>2933</v>
      </c>
      <c r="C2939" s="31" t="s">
        <v>3006</v>
      </c>
      <c r="D2939" s="34" t="str">
        <f t="array" ref="D2939">IFNA(_xlfn.XLOOKUP(C2939,Table_Tarikan_Warkah[Nomor Sertipikat],Table_Tarikan_Warkah[Nomor Tiket]),"")</f>
        <v>K/9/090525/1</v>
      </c>
      <c r="E2939" s="36">
        <f t="array" ref="E2939">IFNA(_xlfn.XLOOKUP(D2939,Table_Tarikan_Warkah[Nomor Tiket],Table_Tarikan_Warkah[Tanggal diserahkan kepada Validator]),"")</f>
        <v>45852.62174</v>
      </c>
      <c r="F2939" s="36" t="str">
        <f t="array" ref="F2939">IFNA(_xlfn.XLOOKUP(D2939,Table_Tarikan_Warkah[Nomor Tiket],Table_Tarikan_Warkah[Nama Petugas Warkah]),"")</f>
        <v>Berry</v>
      </c>
      <c r="G2939" s="39" t="str">
        <f t="array" ref="G2939">IFNA(_xlfn.XLOOKUP(D2939,Table_Tarikan_Warkah[Nomor Tiket],Table_Tarikan_Warkah[Jenis Permohonan]),"")</f>
        <v>BN WARIS</v>
      </c>
      <c r="H2939" s="41" t="s">
        <v>20</v>
      </c>
      <c r="I2939" s="49" t="s">
        <v>23</v>
      </c>
      <c r="J2939" s="36">
        <f t="shared" si="20"/>
        <v>45848.67899</v>
      </c>
      <c r="K2939" s="49" t="s">
        <v>2378</v>
      </c>
      <c r="L2939" s="49" t="s">
        <v>23</v>
      </c>
      <c r="M2939" s="36">
        <f t="shared" si="33"/>
        <v>45849.49757</v>
      </c>
      <c r="N2939" s="30" t="str">
        <f t="shared" si="34"/>
        <v>Selesai</v>
      </c>
      <c r="O2939" s="45">
        <f t="shared" si="23"/>
        <v>45849.49757</v>
      </c>
      <c r="P2939" s="47" t="b">
        <v>0</v>
      </c>
      <c r="Q2939" s="36" t="str">
        <f t="shared" si="24"/>
        <v/>
      </c>
      <c r="R2939" s="47" t="b">
        <v>0</v>
      </c>
      <c r="S2939" s="42" t="str">
        <f t="shared" si="28"/>
        <v/>
      </c>
      <c r="T2939" s="42"/>
    </row>
    <row r="2940" ht="22.5" customHeight="1">
      <c r="B2940" s="42">
        <f t="shared" si="7"/>
        <v>2934</v>
      </c>
      <c r="C2940" s="31" t="s">
        <v>3007</v>
      </c>
      <c r="D2940" s="34" t="str">
        <f t="array" ref="D2940">IFNA(_xlfn.XLOOKUP(C2940,Table_Tarikan_Warkah[Nomor Sertipikat],Table_Tarikan_Warkah[Nomor Tiket]),"")</f>
        <v>K/9/230625/1</v>
      </c>
      <c r="E2940" s="36">
        <f t="array" ref="E2940">IFNA(_xlfn.XLOOKUP(D2940,Table_Tarikan_Warkah[Nomor Tiket],Table_Tarikan_Warkah[Tanggal diserahkan kepada Validator]),"")</f>
        <v>45852.62362</v>
      </c>
      <c r="F2940" s="36" t="str">
        <f t="array" ref="F2940">IFNA(_xlfn.XLOOKUP(D2940,Table_Tarikan_Warkah[Nomor Tiket],Table_Tarikan_Warkah[Nama Petugas Warkah]),"")</f>
        <v>Berry</v>
      </c>
      <c r="G2940" s="39" t="str">
        <f t="array" ref="G2940">IFNA(_xlfn.XLOOKUP(D2940,Table_Tarikan_Warkah[Nomor Tiket],Table_Tarikan_Warkah[Jenis Permohonan]),"")</f>
        <v>BN HIBAH</v>
      </c>
      <c r="H2940" s="41" t="s">
        <v>20</v>
      </c>
      <c r="I2940" s="49" t="s">
        <v>23</v>
      </c>
      <c r="J2940" s="36">
        <f t="shared" si="20"/>
        <v>45848.6795</v>
      </c>
      <c r="K2940" s="49" t="s">
        <v>2378</v>
      </c>
      <c r="L2940" s="49" t="s">
        <v>23</v>
      </c>
      <c r="M2940" s="36">
        <f t="shared" si="33"/>
        <v>45849.49708</v>
      </c>
      <c r="N2940" s="30" t="str">
        <f t="shared" si="34"/>
        <v>Selesai</v>
      </c>
      <c r="O2940" s="45">
        <f t="shared" si="23"/>
        <v>45849.49708</v>
      </c>
      <c r="P2940" s="47" t="b">
        <v>0</v>
      </c>
      <c r="Q2940" s="36" t="str">
        <f t="shared" si="24"/>
        <v/>
      </c>
      <c r="R2940" s="47" t="b">
        <v>0</v>
      </c>
      <c r="S2940" s="42" t="str">
        <f t="shared" si="28"/>
        <v/>
      </c>
      <c r="T2940" s="42"/>
    </row>
    <row r="2941" ht="22.5" customHeight="1">
      <c r="B2941" s="42">
        <f t="shared" si="7"/>
        <v>2935</v>
      </c>
      <c r="C2941" s="31" t="s">
        <v>3008</v>
      </c>
      <c r="D2941" s="34" t="str">
        <f t="array" ref="D2941">IFNA(_xlfn.XLOOKUP(C2941,Table_Tarikan_Warkah[Nomor Sertipikat],Table_Tarikan_Warkah[Nomor Tiket]),"")</f>
        <v>K/47/040725/1</v>
      </c>
      <c r="E2941" s="36" t="str">
        <f t="array" ref="E2941">IFNA(_xlfn.XLOOKUP(D2941,Table_Tarikan_Warkah[Nomor Tiket],Table_Tarikan_Warkah[Tanggal diserahkan kepada Validator]),"")</f>
        <v/>
      </c>
      <c r="F2941" s="36" t="str">
        <f t="array" ref="F2941">IFNA(_xlfn.XLOOKUP(D2941,Table_Tarikan_Warkah[Nomor Tiket],Table_Tarikan_Warkah[Nama Petugas Warkah]),"")</f>
        <v/>
      </c>
      <c r="G2941" s="39" t="str">
        <f t="array" ref="G2941">IFNA(_xlfn.XLOOKUP(D2941,Table_Tarikan_Warkah[Nomor Tiket],Table_Tarikan_Warkah[Jenis Permohonan]),"")</f>
        <v>BN WARIS</v>
      </c>
      <c r="H2941" s="41" t="s">
        <v>20</v>
      </c>
      <c r="I2941" s="49" t="s">
        <v>23</v>
      </c>
      <c r="J2941" s="36">
        <f t="shared" si="20"/>
        <v>45848.68005</v>
      </c>
      <c r="K2941" s="49" t="s">
        <v>2378</v>
      </c>
      <c r="L2941" s="49" t="s">
        <v>23</v>
      </c>
      <c r="M2941" s="36">
        <f t="shared" si="33"/>
        <v>45849.49681</v>
      </c>
      <c r="N2941" s="30" t="str">
        <f t="shared" si="34"/>
        <v>Selesai</v>
      </c>
      <c r="O2941" s="45">
        <f t="shared" si="23"/>
        <v>45849.49681</v>
      </c>
      <c r="P2941" s="47" t="b">
        <v>0</v>
      </c>
      <c r="Q2941" s="36" t="str">
        <f t="shared" si="24"/>
        <v/>
      </c>
      <c r="R2941" s="47" t="b">
        <v>0</v>
      </c>
      <c r="S2941" s="42" t="str">
        <f t="shared" si="28"/>
        <v/>
      </c>
      <c r="T2941" s="42"/>
    </row>
    <row r="2942" ht="22.5" customHeight="1">
      <c r="B2942" s="42">
        <f t="shared" si="7"/>
        <v>2936</v>
      </c>
      <c r="C2942" s="31" t="s">
        <v>3009</v>
      </c>
      <c r="D2942" s="34" t="str">
        <f t="array" ref="D2942">IFNA(_xlfn.XLOOKUP(C2942,Table_Tarikan_Warkah[Nomor Sertipikat],Table_Tarikan_Warkah[Nomor Tiket]),"")</f>
        <v>K/37/180625/2</v>
      </c>
      <c r="E2942" s="36">
        <f t="array" ref="E2942">IFNA(_xlfn.XLOOKUP(D2942,Table_Tarikan_Warkah[Nomor Tiket],Table_Tarikan_Warkah[Tanggal diserahkan kepada Validator]),"")</f>
        <v>45852.62489</v>
      </c>
      <c r="F2942" s="36" t="str">
        <f t="array" ref="F2942">IFNA(_xlfn.XLOOKUP(D2942,Table_Tarikan_Warkah[Nomor Tiket],Table_Tarikan_Warkah[Nama Petugas Warkah]),"")</f>
        <v>Berry</v>
      </c>
      <c r="G2942" s="39" t="str">
        <f t="array" ref="G2942">IFNA(_xlfn.XLOOKUP(D2942,Table_Tarikan_Warkah[Nomor Tiket],Table_Tarikan_Warkah[Jenis Permohonan]),"")</f>
        <v>BN JUAL BELI</v>
      </c>
      <c r="H2942" s="41" t="s">
        <v>20</v>
      </c>
      <c r="I2942" s="49" t="s">
        <v>23</v>
      </c>
      <c r="J2942" s="36">
        <f t="shared" si="20"/>
        <v>45848.68051</v>
      </c>
      <c r="K2942" s="49" t="s">
        <v>2378</v>
      </c>
      <c r="L2942" s="49" t="s">
        <v>23</v>
      </c>
      <c r="M2942" s="36">
        <f t="shared" si="33"/>
        <v>45849.49715</v>
      </c>
      <c r="N2942" s="30" t="str">
        <f t="shared" si="34"/>
        <v>Selesai</v>
      </c>
      <c r="O2942" s="45">
        <f t="shared" si="23"/>
        <v>45849.49715</v>
      </c>
      <c r="P2942" s="47" t="b">
        <v>0</v>
      </c>
      <c r="Q2942" s="36" t="str">
        <f t="shared" si="24"/>
        <v/>
      </c>
      <c r="R2942" s="47" t="b">
        <v>0</v>
      </c>
      <c r="S2942" s="42" t="str">
        <f t="shared" si="28"/>
        <v/>
      </c>
      <c r="T2942" s="42"/>
    </row>
    <row r="2943" ht="22.5" customHeight="1">
      <c r="B2943" s="42">
        <f t="shared" si="7"/>
        <v>2937</v>
      </c>
      <c r="C2943" s="31" t="s">
        <v>3010</v>
      </c>
      <c r="D2943" s="34" t="str">
        <f t="array" ref="D2943">IFNA(_xlfn.XLOOKUP(C2943,Table_Tarikan_Warkah[Nomor Sertipikat],Table_Tarikan_Warkah[Nomor Tiket]),"")</f>
        <v>K/7/250625/1</v>
      </c>
      <c r="E2943" s="36">
        <f t="array" ref="E2943">IFNA(_xlfn.XLOOKUP(D2943,Table_Tarikan_Warkah[Nomor Tiket],Table_Tarikan_Warkah[Tanggal diserahkan kepada Validator]),"")</f>
        <v>45852.62502</v>
      </c>
      <c r="F2943" s="36" t="str">
        <f t="array" ref="F2943">IFNA(_xlfn.XLOOKUP(D2943,Table_Tarikan_Warkah[Nomor Tiket],Table_Tarikan_Warkah[Nama Petugas Warkah]),"")</f>
        <v>Berry</v>
      </c>
      <c r="G2943" s="39" t="str">
        <f t="array" ref="G2943">IFNA(_xlfn.XLOOKUP(D2943,Table_Tarikan_Warkah[Nomor Tiket],Table_Tarikan_Warkah[Jenis Permohonan]),"")</f>
        <v>BN JUAL BELI</v>
      </c>
      <c r="H2943" s="41" t="s">
        <v>20</v>
      </c>
      <c r="I2943" s="49" t="s">
        <v>23</v>
      </c>
      <c r="J2943" s="36">
        <f t="shared" si="20"/>
        <v>45848.68083</v>
      </c>
      <c r="K2943" s="49" t="s">
        <v>2378</v>
      </c>
      <c r="L2943" s="49" t="s">
        <v>23</v>
      </c>
      <c r="M2943" s="36">
        <f t="shared" si="33"/>
        <v>45849.49633</v>
      </c>
      <c r="N2943" s="30" t="str">
        <f t="shared" si="34"/>
        <v>Selesai</v>
      </c>
      <c r="O2943" s="45">
        <f t="shared" si="23"/>
        <v>45849.49633</v>
      </c>
      <c r="P2943" s="47" t="b">
        <v>0</v>
      </c>
      <c r="Q2943" s="36" t="str">
        <f t="shared" si="24"/>
        <v/>
      </c>
      <c r="R2943" s="47" t="b">
        <v>0</v>
      </c>
      <c r="S2943" s="42" t="str">
        <f t="shared" si="28"/>
        <v/>
      </c>
      <c r="T2943" s="42"/>
    </row>
    <row r="2944" ht="22.5" customHeight="1">
      <c r="B2944" s="42">
        <f t="shared" si="7"/>
        <v>2938</v>
      </c>
      <c r="C2944" s="31" t="s">
        <v>3011</v>
      </c>
      <c r="D2944" s="34" t="str">
        <f t="array" ref="D2944">IFNA(_xlfn.XLOOKUP(C2944,Table_Tarikan_Warkah[Nomor Sertipikat],Table_Tarikan_Warkah[Nomor Tiket]),"")</f>
        <v>K/34/260525/5</v>
      </c>
      <c r="E2944" s="36">
        <f t="array" ref="E2944">IFNA(_xlfn.XLOOKUP(D2944,Table_Tarikan_Warkah[Nomor Tiket],Table_Tarikan_Warkah[Tanggal diserahkan kepada Validator]),"")</f>
        <v>45853.72241</v>
      </c>
      <c r="F2944" s="36" t="str">
        <f t="array" ref="F2944">IFNA(_xlfn.XLOOKUP(D2944,Table_Tarikan_Warkah[Nomor Tiket],Table_Tarikan_Warkah[Nama Petugas Warkah]),"")</f>
        <v>Berry</v>
      </c>
      <c r="G2944" s="39" t="str">
        <f t="array" ref="G2944">IFNA(_xlfn.XLOOKUP(D2944,Table_Tarikan_Warkah[Nomor Tiket],Table_Tarikan_Warkah[Jenis Permohonan]),"")</f>
        <v>BN Jual Beli</v>
      </c>
      <c r="H2944" s="41" t="s">
        <v>20</v>
      </c>
      <c r="I2944" s="49" t="s">
        <v>23</v>
      </c>
      <c r="J2944" s="36">
        <f t="shared" si="20"/>
        <v>45848.68105</v>
      </c>
      <c r="K2944" s="49" t="s">
        <v>2378</v>
      </c>
      <c r="L2944" s="49" t="s">
        <v>23</v>
      </c>
      <c r="M2944" s="36">
        <f t="shared" si="33"/>
        <v>45849.49397</v>
      </c>
      <c r="N2944" s="30" t="str">
        <f t="shared" si="34"/>
        <v>Selesai</v>
      </c>
      <c r="O2944" s="45">
        <f t="shared" si="23"/>
        <v>45849.49397</v>
      </c>
      <c r="P2944" s="47" t="b">
        <v>0</v>
      </c>
      <c r="Q2944" s="36" t="str">
        <f t="shared" si="24"/>
        <v/>
      </c>
      <c r="R2944" s="47" t="b">
        <v>0</v>
      </c>
      <c r="S2944" s="42" t="str">
        <f t="shared" si="28"/>
        <v/>
      </c>
      <c r="T2944" s="42"/>
    </row>
    <row r="2945" ht="22.5" customHeight="1">
      <c r="B2945" s="42">
        <f t="shared" si="7"/>
        <v>2939</v>
      </c>
      <c r="C2945" s="31" t="s">
        <v>3012</v>
      </c>
      <c r="D2945" s="34" t="str">
        <f t="array" ref="D2945">IFNA(_xlfn.XLOOKUP(C2945,Table_Tarikan_Warkah[Nomor Sertipikat],Table_Tarikan_Warkah[Nomor Tiket]),"")</f>
        <v>K/2/110625/2</v>
      </c>
      <c r="E2945" s="36">
        <f t="array" ref="E2945">IFNA(_xlfn.XLOOKUP(D2945,Table_Tarikan_Warkah[Nomor Tiket],Table_Tarikan_Warkah[Tanggal diserahkan kepada Validator]),"")</f>
        <v>45853.723</v>
      </c>
      <c r="F2945" s="36" t="str">
        <f t="array" ref="F2945">IFNA(_xlfn.XLOOKUP(D2945,Table_Tarikan_Warkah[Nomor Tiket],Table_Tarikan_Warkah[Nama Petugas Warkah]),"")</f>
        <v>Berry</v>
      </c>
      <c r="G2945" s="39" t="str">
        <f t="array" ref="G2945">IFNA(_xlfn.XLOOKUP(D2945,Table_Tarikan_Warkah[Nomor Tiket],Table_Tarikan_Warkah[Jenis Permohonan]),"")</f>
        <v>BN Jual Beli</v>
      </c>
      <c r="H2945" s="41" t="s">
        <v>20</v>
      </c>
      <c r="I2945" s="49" t="s">
        <v>23</v>
      </c>
      <c r="J2945" s="36">
        <f t="shared" si="20"/>
        <v>45848.68226</v>
      </c>
      <c r="K2945" s="49" t="s">
        <v>2378</v>
      </c>
      <c r="L2945" s="49" t="s">
        <v>23</v>
      </c>
      <c r="M2945" s="36">
        <f t="shared" si="33"/>
        <v>45849.49527</v>
      </c>
      <c r="N2945" s="30" t="str">
        <f t="shared" si="34"/>
        <v>Selesai</v>
      </c>
      <c r="O2945" s="45">
        <f t="shared" si="23"/>
        <v>45849.49527</v>
      </c>
      <c r="P2945" s="47" t="b">
        <v>0</v>
      </c>
      <c r="Q2945" s="36" t="str">
        <f t="shared" si="24"/>
        <v/>
      </c>
      <c r="R2945" s="47" t="b">
        <v>0</v>
      </c>
      <c r="S2945" s="42" t="str">
        <f t="shared" si="28"/>
        <v/>
      </c>
      <c r="T2945" s="42"/>
    </row>
    <row r="2946" ht="22.5" customHeight="1">
      <c r="B2946" s="42">
        <f t="shared" si="7"/>
        <v>2940</v>
      </c>
      <c r="C2946" s="31" t="s">
        <v>3013</v>
      </c>
      <c r="D2946" s="34" t="str">
        <f t="array" ref="D2946">IFNA(_xlfn.XLOOKUP(C2946,Table_Tarikan_Warkah[Nomor Sertipikat],Table_Tarikan_Warkah[Nomor Tiket]),"")</f>
        <v>K/48/240625/2</v>
      </c>
      <c r="E2946" s="36">
        <f t="array" ref="E2946">IFNA(_xlfn.XLOOKUP(D2946,Table_Tarikan_Warkah[Nomor Tiket],Table_Tarikan_Warkah[Tanggal diserahkan kepada Validator]),"")</f>
        <v>45852.62618</v>
      </c>
      <c r="F2946" s="36" t="str">
        <f t="array" ref="F2946">IFNA(_xlfn.XLOOKUP(D2946,Table_Tarikan_Warkah[Nomor Tiket],Table_Tarikan_Warkah[Nama Petugas Warkah]),"")</f>
        <v>Berry</v>
      </c>
      <c r="G2946" s="39" t="str">
        <f t="array" ref="G2946">IFNA(_xlfn.XLOOKUP(D2946,Table_Tarikan_Warkah[Nomor Tiket],Table_Tarikan_Warkah[Jenis Permohonan]),"")</f>
        <v>BN JUAL BELI</v>
      </c>
      <c r="H2946" s="41" t="s">
        <v>20</v>
      </c>
      <c r="I2946" s="49" t="s">
        <v>23</v>
      </c>
      <c r="J2946" s="36">
        <f t="shared" si="20"/>
        <v>45848.68323</v>
      </c>
      <c r="K2946" s="49" t="s">
        <v>2378</v>
      </c>
      <c r="L2946" s="49" t="s">
        <v>23</v>
      </c>
      <c r="M2946" s="36">
        <f t="shared" si="33"/>
        <v>45849.49417</v>
      </c>
      <c r="N2946" s="30" t="str">
        <f t="shared" si="34"/>
        <v>Selesai</v>
      </c>
      <c r="O2946" s="45">
        <f t="shared" si="23"/>
        <v>45849.49417</v>
      </c>
      <c r="P2946" s="47" t="b">
        <v>0</v>
      </c>
      <c r="Q2946" s="36" t="str">
        <f t="shared" si="24"/>
        <v/>
      </c>
      <c r="R2946" s="47" t="b">
        <v>0</v>
      </c>
      <c r="S2946" s="42" t="str">
        <f t="shared" si="28"/>
        <v/>
      </c>
      <c r="T2946" s="42"/>
    </row>
    <row r="2947" ht="22.5" customHeight="1">
      <c r="B2947" s="42">
        <f t="shared" si="7"/>
        <v>2941</v>
      </c>
      <c r="C2947" s="31" t="s">
        <v>3014</v>
      </c>
      <c r="D2947" s="34" t="str">
        <f t="array" ref="D2947">IFNA(_xlfn.XLOOKUP(C2947,Table_Tarikan_Warkah[Nomor Sertipikat],Table_Tarikan_Warkah[Nomor Tiket]),"")</f>
        <v>K/17/280525/2</v>
      </c>
      <c r="E2947" s="36">
        <f t="array" ref="E2947">IFNA(_xlfn.XLOOKUP(D2947,Table_Tarikan_Warkah[Nomor Tiket],Table_Tarikan_Warkah[Tanggal diserahkan kepada Validator]),"")</f>
        <v>45852.63019</v>
      </c>
      <c r="F2947" s="36" t="str">
        <f t="array" ref="F2947">IFNA(_xlfn.XLOOKUP(D2947,Table_Tarikan_Warkah[Nomor Tiket],Table_Tarikan_Warkah[Nama Petugas Warkah]),"")</f>
        <v>Berry</v>
      </c>
      <c r="G2947" s="39" t="str">
        <f t="array" ref="G2947">IFNA(_xlfn.XLOOKUP(D2947,Table_Tarikan_Warkah[Nomor Tiket],Table_Tarikan_Warkah[Jenis Permohonan]),"")</f>
        <v>JUAL BELI</v>
      </c>
      <c r="H2947" s="41" t="s">
        <v>20</v>
      </c>
      <c r="I2947" s="49" t="s">
        <v>23</v>
      </c>
      <c r="J2947" s="36">
        <f t="shared" si="20"/>
        <v>45848.68621</v>
      </c>
      <c r="K2947" s="49" t="s">
        <v>2378</v>
      </c>
      <c r="L2947" s="49" t="s">
        <v>23</v>
      </c>
      <c r="M2947" s="36">
        <f t="shared" si="33"/>
        <v>45849.49621</v>
      </c>
      <c r="N2947" s="30" t="str">
        <f t="shared" si="34"/>
        <v>Selesai</v>
      </c>
      <c r="O2947" s="45">
        <f t="shared" si="23"/>
        <v>45849.49621</v>
      </c>
      <c r="P2947" s="47" t="b">
        <v>0</v>
      </c>
      <c r="Q2947" s="36" t="str">
        <f t="shared" si="24"/>
        <v/>
      </c>
      <c r="R2947" s="47" t="b">
        <v>0</v>
      </c>
      <c r="S2947" s="42" t="str">
        <f t="shared" si="28"/>
        <v/>
      </c>
      <c r="T2947" s="42"/>
    </row>
    <row r="2948" ht="22.5" customHeight="1">
      <c r="B2948" s="42">
        <f t="shared" si="7"/>
        <v>2942</v>
      </c>
      <c r="C2948" s="31" t="s">
        <v>3015</v>
      </c>
      <c r="D2948" s="34" t="str">
        <f t="array" ref="D2948">IFNA(_xlfn.XLOOKUP(C2948,Table_Tarikan_Warkah[Nomor Sertipikat],Table_Tarikan_Warkah[Nomor Tiket]),"")</f>
        <v>K/14/190625/1</v>
      </c>
      <c r="E2948" s="36">
        <f t="array" ref="E2948">IFNA(_xlfn.XLOOKUP(D2948,Table_Tarikan_Warkah[Nomor Tiket],Table_Tarikan_Warkah[Tanggal diserahkan kepada Validator]),"")</f>
        <v>45852.63051</v>
      </c>
      <c r="F2948" s="36" t="str">
        <f t="array" ref="F2948">IFNA(_xlfn.XLOOKUP(D2948,Table_Tarikan_Warkah[Nomor Tiket],Table_Tarikan_Warkah[Nama Petugas Warkah]),"")</f>
        <v>Berry</v>
      </c>
      <c r="G2948" s="39" t="str">
        <f t="array" ref="G2948">IFNA(_xlfn.XLOOKUP(D2948,Table_Tarikan_Warkah[Nomor Tiket],Table_Tarikan_Warkah[Jenis Permohonan]),"")</f>
        <v>JUAL BELI</v>
      </c>
      <c r="H2948" s="41" t="s">
        <v>20</v>
      </c>
      <c r="I2948" s="49" t="s">
        <v>23</v>
      </c>
      <c r="J2948" s="36">
        <f t="shared" si="20"/>
        <v>45848.68636</v>
      </c>
      <c r="K2948" s="49" t="s">
        <v>2378</v>
      </c>
      <c r="L2948" s="49" t="s">
        <v>23</v>
      </c>
      <c r="M2948" s="36">
        <f t="shared" si="33"/>
        <v>45849.49612</v>
      </c>
      <c r="N2948" s="30" t="str">
        <f t="shared" si="34"/>
        <v>Selesai</v>
      </c>
      <c r="O2948" s="45">
        <f t="shared" si="23"/>
        <v>45849.49612</v>
      </c>
      <c r="P2948" s="47" t="b">
        <v>0</v>
      </c>
      <c r="Q2948" s="36" t="str">
        <f t="shared" si="24"/>
        <v/>
      </c>
      <c r="R2948" s="47" t="b">
        <v>0</v>
      </c>
      <c r="S2948" s="42" t="str">
        <f t="shared" si="28"/>
        <v/>
      </c>
      <c r="T2948" s="42"/>
    </row>
    <row r="2949" ht="22.5" customHeight="1">
      <c r="B2949" s="42">
        <f t="shared" si="7"/>
        <v>2943</v>
      </c>
      <c r="C2949" s="31" t="s">
        <v>3016</v>
      </c>
      <c r="D2949" s="34" t="str">
        <f t="array" ref="D2949">IFNA(_xlfn.XLOOKUP(C2949,Table_Tarikan_Warkah[Nomor Sertipikat],Table_Tarikan_Warkah[Nomor Tiket]),"")</f>
        <v>K/29/260625/1</v>
      </c>
      <c r="E2949" s="36">
        <f t="array" ref="E2949">IFNA(_xlfn.XLOOKUP(D2949,Table_Tarikan_Warkah[Nomor Tiket],Table_Tarikan_Warkah[Tanggal diserahkan kepada Validator]),"")</f>
        <v>45853.7235</v>
      </c>
      <c r="F2949" s="36" t="str">
        <f t="array" ref="F2949">IFNA(_xlfn.XLOOKUP(D2949,Table_Tarikan_Warkah[Nomor Tiket],Table_Tarikan_Warkah[Nama Petugas Warkah]),"")</f>
        <v>Berry</v>
      </c>
      <c r="G2949" s="39" t="str">
        <f t="array" ref="G2949">IFNA(_xlfn.XLOOKUP(D2949,Table_Tarikan_Warkah[Nomor Tiket],Table_Tarikan_Warkah[Jenis Permohonan]),"")</f>
        <v>PERNINGKATAN </v>
      </c>
      <c r="H2949" s="41" t="s">
        <v>20</v>
      </c>
      <c r="I2949" s="49" t="s">
        <v>23</v>
      </c>
      <c r="J2949" s="36">
        <f t="shared" si="20"/>
        <v>45848.68663</v>
      </c>
      <c r="K2949" s="49" t="s">
        <v>2378</v>
      </c>
      <c r="L2949" s="49" t="s">
        <v>23</v>
      </c>
      <c r="M2949" s="36">
        <f t="shared" si="33"/>
        <v>45849.59276</v>
      </c>
      <c r="N2949" s="30" t="str">
        <f t="shared" si="34"/>
        <v>Selesai</v>
      </c>
      <c r="O2949" s="45">
        <f t="shared" si="23"/>
        <v>45849.59276</v>
      </c>
      <c r="P2949" s="47" t="b">
        <v>0</v>
      </c>
      <c r="Q2949" s="36" t="str">
        <f t="shared" si="24"/>
        <v/>
      </c>
      <c r="R2949" s="47" t="b">
        <v>0</v>
      </c>
      <c r="S2949" s="42" t="str">
        <f t="shared" si="28"/>
        <v/>
      </c>
      <c r="T2949" s="42"/>
    </row>
    <row r="2950" ht="22.5" customHeight="1">
      <c r="B2950" s="42">
        <f t="shared" si="7"/>
        <v>2944</v>
      </c>
      <c r="C2950" s="31" t="s">
        <v>3017</v>
      </c>
      <c r="D2950" s="34" t="str">
        <f t="array" ref="D2950">IFNA(_xlfn.XLOOKUP(C2950,Table_Tarikan_Warkah[Nomor Sertipikat],Table_Tarikan_Warkah[Nomor Tiket]),"")</f>
        <v>K/18/240625/1</v>
      </c>
      <c r="E2950" s="36">
        <f t="array" ref="E2950">IFNA(_xlfn.XLOOKUP(D2950,Table_Tarikan_Warkah[Nomor Tiket],Table_Tarikan_Warkah[Tanggal diserahkan kepada Validator]),"")</f>
        <v>45852.62562</v>
      </c>
      <c r="F2950" s="36" t="str">
        <f t="array" ref="F2950">IFNA(_xlfn.XLOOKUP(D2950,Table_Tarikan_Warkah[Nomor Tiket],Table_Tarikan_Warkah[Nama Petugas Warkah]),"")</f>
        <v>Berry</v>
      </c>
      <c r="G2950" s="39" t="str">
        <f t="array" ref="G2950">IFNA(_xlfn.XLOOKUP(D2950,Table_Tarikan_Warkah[Nomor Tiket],Table_Tarikan_Warkah[Jenis Permohonan]),"")</f>
        <v>BN JUAL BELI</v>
      </c>
      <c r="H2950" s="41" t="s">
        <v>20</v>
      </c>
      <c r="I2950" s="49" t="s">
        <v>23</v>
      </c>
      <c r="J2950" s="36">
        <f t="shared" si="20"/>
        <v>45848.688</v>
      </c>
      <c r="K2950" s="49" t="s">
        <v>2378</v>
      </c>
      <c r="L2950" s="49" t="s">
        <v>23</v>
      </c>
      <c r="M2950" s="36">
        <f t="shared" si="33"/>
        <v>45849.49596</v>
      </c>
      <c r="N2950" s="30" t="str">
        <f t="shared" si="34"/>
        <v>Selesai</v>
      </c>
      <c r="O2950" s="45">
        <f t="shared" si="23"/>
        <v>45849.49596</v>
      </c>
      <c r="P2950" s="47" t="b">
        <v>0</v>
      </c>
      <c r="Q2950" s="36" t="str">
        <f t="shared" si="24"/>
        <v/>
      </c>
      <c r="R2950" s="47" t="b">
        <v>0</v>
      </c>
      <c r="S2950" s="42" t="str">
        <f t="shared" si="28"/>
        <v/>
      </c>
      <c r="T2950" s="42"/>
    </row>
    <row r="2951" ht="22.5" customHeight="1">
      <c r="B2951" s="42">
        <f t="shared" si="7"/>
        <v>2945</v>
      </c>
      <c r="C2951" s="31" t="s">
        <v>3018</v>
      </c>
      <c r="D2951" s="34" t="str">
        <f t="array" ref="D2951">IFNA(_xlfn.XLOOKUP(C2951,Table_Tarikan_Warkah[Nomor Sertipikat],Table_Tarikan_Warkah[Nomor Tiket]),"")</f>
        <v>K/39/150525/1</v>
      </c>
      <c r="E2951" s="36">
        <f t="array" ref="E2951">IFNA(_xlfn.XLOOKUP(D2951,Table_Tarikan_Warkah[Nomor Tiket],Table_Tarikan_Warkah[Tanggal diserahkan kepada Validator]),"")</f>
        <v>45855.65418</v>
      </c>
      <c r="F2951" s="36" t="str">
        <f t="array" ref="F2951">IFNA(_xlfn.XLOOKUP(D2951,Table_Tarikan_Warkah[Nomor Tiket],Table_Tarikan_Warkah[Nama Petugas Warkah]),"")</f>
        <v>David</v>
      </c>
      <c r="G2951" s="39" t="str">
        <f t="array" ref="G2951">IFNA(_xlfn.XLOOKUP(D2951,Table_Tarikan_Warkah[Nomor Tiket],Table_Tarikan_Warkah[Jenis Permohonan]),"")</f>
        <v>ROYA</v>
      </c>
      <c r="H2951" s="41" t="s">
        <v>20</v>
      </c>
      <c r="I2951" s="49" t="s">
        <v>23</v>
      </c>
      <c r="J2951" s="36">
        <f t="shared" si="20"/>
        <v>45848.68821</v>
      </c>
      <c r="K2951" s="49" t="s">
        <v>2378</v>
      </c>
      <c r="L2951" s="49" t="s">
        <v>23</v>
      </c>
      <c r="M2951" s="36">
        <f t="shared" si="33"/>
        <v>45849.49795</v>
      </c>
      <c r="N2951" s="30" t="str">
        <f t="shared" si="34"/>
        <v>Selesai</v>
      </c>
      <c r="O2951" s="45">
        <f t="shared" si="23"/>
        <v>45849.49795</v>
      </c>
      <c r="P2951" s="47" t="b">
        <v>0</v>
      </c>
      <c r="Q2951" s="36" t="str">
        <f t="shared" si="24"/>
        <v/>
      </c>
      <c r="R2951" s="47" t="b">
        <v>0</v>
      </c>
      <c r="S2951" s="42" t="str">
        <f t="shared" si="28"/>
        <v/>
      </c>
      <c r="T2951" s="42"/>
    </row>
    <row r="2952" ht="22.5" customHeight="1">
      <c r="B2952" s="42">
        <f t="shared" si="7"/>
        <v>2946</v>
      </c>
      <c r="C2952" s="31" t="s">
        <v>3019</v>
      </c>
      <c r="D2952" s="34" t="str">
        <f t="array" ref="D2952">IFNA(_xlfn.XLOOKUP(C2952,Table_Tarikan_Warkah[Nomor Sertipikat],Table_Tarikan_Warkah[Nomor Tiket]),"")</f>
        <v>K/10/080725/1</v>
      </c>
      <c r="E2952" s="36">
        <f t="array" ref="E2952">IFNA(_xlfn.XLOOKUP(D2952,Table_Tarikan_Warkah[Nomor Tiket],Table_Tarikan_Warkah[Tanggal diserahkan kepada Validator]),"")</f>
        <v>45852.6321</v>
      </c>
      <c r="F2952" s="36" t="str">
        <f t="array" ref="F2952">IFNA(_xlfn.XLOOKUP(D2952,Table_Tarikan_Warkah[Nomor Tiket],Table_Tarikan_Warkah[Nama Petugas Warkah]),"")</f>
        <v>Berry</v>
      </c>
      <c r="G2952" s="39" t="str">
        <f t="array" ref="G2952">IFNA(_xlfn.XLOOKUP(D2952,Table_Tarikan_Warkah[Nomor Tiket],Table_Tarikan_Warkah[Jenis Permohonan]),"")</f>
        <v>HIBAH</v>
      </c>
      <c r="H2952" s="41" t="s">
        <v>2315</v>
      </c>
      <c r="I2952" s="49" t="s">
        <v>23</v>
      </c>
      <c r="J2952" s="36">
        <f t="shared" si="20"/>
        <v>45849.38797</v>
      </c>
      <c r="K2952" s="49" t="s">
        <v>2378</v>
      </c>
      <c r="L2952" s="49" t="s">
        <v>23</v>
      </c>
      <c r="M2952" s="36">
        <f t="shared" si="33"/>
        <v>45849.64139</v>
      </c>
      <c r="N2952" s="30" t="str">
        <f t="shared" si="34"/>
        <v>Selesai</v>
      </c>
      <c r="O2952" s="45">
        <f t="shared" si="23"/>
        <v>45849.64139</v>
      </c>
      <c r="P2952" s="47" t="b">
        <v>0</v>
      </c>
      <c r="Q2952" s="36" t="str">
        <f t="shared" si="24"/>
        <v/>
      </c>
      <c r="R2952" s="47" t="b">
        <v>0</v>
      </c>
      <c r="S2952" s="42" t="str">
        <f t="shared" si="28"/>
        <v/>
      </c>
      <c r="T2952" s="42"/>
    </row>
    <row r="2953" ht="22.5" customHeight="1">
      <c r="B2953" s="42">
        <f t="shared" si="7"/>
        <v>2947</v>
      </c>
      <c r="C2953" s="31" t="s">
        <v>3020</v>
      </c>
      <c r="D2953" s="34" t="str">
        <f t="array" ref="D2953">IFNA(_xlfn.XLOOKUP(C2953,Table_Tarikan_Warkah[Nomor Sertipikat],Table_Tarikan_Warkah[Nomor Tiket]),"")</f>
        <v>L/23/240625/1</v>
      </c>
      <c r="E2953" s="36">
        <f t="array" ref="E2953">IFNA(_xlfn.XLOOKUP(D2953,Table_Tarikan_Warkah[Nomor Tiket],Table_Tarikan_Warkah[Tanggal diserahkan kepada Validator]),"")</f>
        <v>45863.60756</v>
      </c>
      <c r="F2953" s="36" t="str">
        <f t="array" ref="F2953">IFNA(_xlfn.XLOOKUP(D2953,Table_Tarikan_Warkah[Nomor Tiket],Table_Tarikan_Warkah[Nama Petugas Warkah]),"")</f>
        <v>Berry</v>
      </c>
      <c r="G2953" s="39" t="str">
        <f t="array" ref="G2953">IFNA(_xlfn.XLOOKUP(D2953,Table_Tarikan_Warkah[Nomor Tiket],Table_Tarikan_Warkah[Jenis Permohonan]),"")</f>
        <v>ROYA</v>
      </c>
      <c r="H2953" s="41" t="s">
        <v>2315</v>
      </c>
      <c r="I2953" s="49" t="s">
        <v>23</v>
      </c>
      <c r="J2953" s="36">
        <f t="shared" si="20"/>
        <v>45849.38897</v>
      </c>
      <c r="K2953" s="49" t="s">
        <v>2378</v>
      </c>
      <c r="L2953" s="49" t="s">
        <v>23</v>
      </c>
      <c r="M2953" s="36">
        <f t="shared" si="33"/>
        <v>45849.64121</v>
      </c>
      <c r="N2953" s="30" t="str">
        <f t="shared" si="34"/>
        <v>Selesai</v>
      </c>
      <c r="O2953" s="45">
        <f t="shared" si="23"/>
        <v>45849.64121</v>
      </c>
      <c r="P2953" s="47" t="b">
        <v>0</v>
      </c>
      <c r="Q2953" s="36" t="str">
        <f t="shared" si="24"/>
        <v/>
      </c>
      <c r="R2953" s="47" t="b">
        <v>0</v>
      </c>
      <c r="S2953" s="42" t="str">
        <f t="shared" si="28"/>
        <v/>
      </c>
      <c r="T2953" s="42"/>
    </row>
    <row r="2954" ht="22.5" customHeight="1">
      <c r="B2954" s="42">
        <f t="shared" si="7"/>
        <v>2948</v>
      </c>
      <c r="C2954" s="31" t="s">
        <v>3021</v>
      </c>
      <c r="D2954" s="34" t="str">
        <f t="array" ref="D2954">IFNA(_xlfn.XLOOKUP(C2954,Table_Tarikan_Warkah[Nomor Sertipikat],Table_Tarikan_Warkah[Nomor Tiket]),"")</f>
        <v>K/8/170625/1</v>
      </c>
      <c r="E2954" s="36">
        <f t="array" ref="E2954">IFNA(_xlfn.XLOOKUP(D2954,Table_Tarikan_Warkah[Nomor Tiket],Table_Tarikan_Warkah[Tanggal diserahkan kepada Validator]),"")</f>
        <v>45852.62731</v>
      </c>
      <c r="F2954" s="36" t="str">
        <f t="array" ref="F2954">IFNA(_xlfn.XLOOKUP(D2954,Table_Tarikan_Warkah[Nomor Tiket],Table_Tarikan_Warkah[Nama Petugas Warkah]),"")</f>
        <v>Berry</v>
      </c>
      <c r="G2954" s="39" t="str">
        <f t="array" ref="G2954">IFNA(_xlfn.XLOOKUP(D2954,Table_Tarikan_Warkah[Nomor Tiket],Table_Tarikan_Warkah[Jenis Permohonan]),"")</f>
        <v>BN JUAL BELI</v>
      </c>
      <c r="H2954" s="41" t="s">
        <v>2315</v>
      </c>
      <c r="I2954" s="49" t="s">
        <v>23</v>
      </c>
      <c r="J2954" s="36">
        <f t="shared" si="20"/>
        <v>45849.38913</v>
      </c>
      <c r="K2954" s="49" t="s">
        <v>2378</v>
      </c>
      <c r="L2954" s="49" t="s">
        <v>23</v>
      </c>
      <c r="M2954" s="36">
        <f t="shared" si="33"/>
        <v>45849.64104</v>
      </c>
      <c r="N2954" s="30" t="str">
        <f t="shared" si="34"/>
        <v>Selesai</v>
      </c>
      <c r="O2954" s="45">
        <f t="shared" si="23"/>
        <v>45849.64104</v>
      </c>
      <c r="P2954" s="47" t="b">
        <v>0</v>
      </c>
      <c r="Q2954" s="36" t="str">
        <f t="shared" si="24"/>
        <v/>
      </c>
      <c r="R2954" s="47" t="b">
        <v>0</v>
      </c>
      <c r="S2954" s="42" t="str">
        <f t="shared" si="28"/>
        <v/>
      </c>
      <c r="T2954" s="42"/>
    </row>
    <row r="2955" ht="22.5" customHeight="1">
      <c r="B2955" s="42">
        <f t="shared" si="7"/>
        <v>2949</v>
      </c>
      <c r="C2955" s="31" t="s">
        <v>3022</v>
      </c>
      <c r="D2955" s="34" t="str">
        <f t="array" ref="D2955">IFNA(_xlfn.XLOOKUP(C2955,Table_Tarikan_Warkah[Nomor Sertipikat],Table_Tarikan_Warkah[Nomor Tiket]),"")</f>
        <v>K/36/180625/1</v>
      </c>
      <c r="E2955" s="36">
        <f t="array" ref="E2955">IFNA(_xlfn.XLOOKUP(D2955,Table_Tarikan_Warkah[Nomor Tiket],Table_Tarikan_Warkah[Tanggal diserahkan kepada Validator]),"")</f>
        <v>45852.62655</v>
      </c>
      <c r="F2955" s="36" t="str">
        <f t="array" ref="F2955">IFNA(_xlfn.XLOOKUP(D2955,Table_Tarikan_Warkah[Nomor Tiket],Table_Tarikan_Warkah[Nama Petugas Warkah]),"")</f>
        <v>Berry</v>
      </c>
      <c r="G2955" s="39" t="str">
        <f t="array" ref="G2955">IFNA(_xlfn.XLOOKUP(D2955,Table_Tarikan_Warkah[Nomor Tiket],Table_Tarikan_Warkah[Jenis Permohonan]),"")</f>
        <v>BN JUAL BELI</v>
      </c>
      <c r="H2955" s="41" t="s">
        <v>2315</v>
      </c>
      <c r="I2955" s="49" t="s">
        <v>23</v>
      </c>
      <c r="J2955" s="36">
        <f t="shared" si="20"/>
        <v>45849.38933</v>
      </c>
      <c r="K2955" s="49" t="s">
        <v>2378</v>
      </c>
      <c r="L2955" s="49" t="s">
        <v>23</v>
      </c>
      <c r="M2955" s="36">
        <f t="shared" si="33"/>
        <v>45849.64085</v>
      </c>
      <c r="N2955" s="30" t="str">
        <f t="shared" si="34"/>
        <v>Selesai</v>
      </c>
      <c r="O2955" s="45">
        <f t="shared" si="23"/>
        <v>45849.64085</v>
      </c>
      <c r="P2955" s="47" t="b">
        <v>0</v>
      </c>
      <c r="Q2955" s="36" t="str">
        <f t="shared" si="24"/>
        <v/>
      </c>
      <c r="R2955" s="47" t="b">
        <v>0</v>
      </c>
      <c r="S2955" s="42" t="str">
        <f t="shared" si="28"/>
        <v/>
      </c>
      <c r="T2955" s="42"/>
    </row>
    <row r="2956" ht="22.5" customHeight="1">
      <c r="B2956" s="42">
        <f t="shared" si="7"/>
        <v>2950</v>
      </c>
      <c r="C2956" s="31" t="s">
        <v>3023</v>
      </c>
      <c r="D2956" s="34" t="str">
        <f t="array" ref="D2956">IFNA(_xlfn.XLOOKUP(C2956,Table_Tarikan_Warkah[Nomor Sertipikat],Table_Tarikan_Warkah[Nomor Tiket]),"")</f>
        <v>K/9/240625/1</v>
      </c>
      <c r="E2956" s="36">
        <f t="array" ref="E2956">IFNA(_xlfn.XLOOKUP(D2956,Table_Tarikan_Warkah[Nomor Tiket],Table_Tarikan_Warkah[Tanggal diserahkan kepada Validator]),"")</f>
        <v>45852.62833</v>
      </c>
      <c r="F2956" s="36" t="str">
        <f t="array" ref="F2956">IFNA(_xlfn.XLOOKUP(D2956,Table_Tarikan_Warkah[Nomor Tiket],Table_Tarikan_Warkah[Nama Petugas Warkah]),"")</f>
        <v>Berry</v>
      </c>
      <c r="G2956" s="39" t="str">
        <f t="array" ref="G2956">IFNA(_xlfn.XLOOKUP(D2956,Table_Tarikan_Warkah[Nomor Tiket],Table_Tarikan_Warkah[Jenis Permohonan]),"")</f>
        <v>BN PHB</v>
      </c>
      <c r="H2956" s="41" t="s">
        <v>2315</v>
      </c>
      <c r="I2956" s="49" t="s">
        <v>23</v>
      </c>
      <c r="J2956" s="36">
        <f t="shared" si="20"/>
        <v>45849.38943</v>
      </c>
      <c r="K2956" s="49" t="s">
        <v>2378</v>
      </c>
      <c r="L2956" s="49" t="s">
        <v>23</v>
      </c>
      <c r="M2956" s="36">
        <f t="shared" si="33"/>
        <v>45849.6407</v>
      </c>
      <c r="N2956" s="30" t="str">
        <f t="shared" si="34"/>
        <v>Selesai</v>
      </c>
      <c r="O2956" s="45">
        <f t="shared" si="23"/>
        <v>45849.6407</v>
      </c>
      <c r="P2956" s="47" t="b">
        <v>0</v>
      </c>
      <c r="Q2956" s="36" t="str">
        <f t="shared" si="24"/>
        <v/>
      </c>
      <c r="R2956" s="47" t="b">
        <v>0</v>
      </c>
      <c r="S2956" s="42" t="str">
        <f t="shared" si="28"/>
        <v/>
      </c>
      <c r="T2956" s="42"/>
    </row>
    <row r="2957" ht="22.5" customHeight="1">
      <c r="B2957" s="42">
        <f t="shared" si="7"/>
        <v>2951</v>
      </c>
      <c r="C2957" s="31" t="s">
        <v>3024</v>
      </c>
      <c r="D2957" s="34" t="str">
        <f t="array" ref="D2957">IFNA(_xlfn.XLOOKUP(C2957,Table_Tarikan_Warkah[Nomor Sertipikat],Table_Tarikan_Warkah[Nomor Tiket]),"")</f>
        <v>K/7/080725/1</v>
      </c>
      <c r="E2957" s="36">
        <f t="array" ref="E2957">IFNA(_xlfn.XLOOKUP(D2957,Table_Tarikan_Warkah[Nomor Tiket],Table_Tarikan_Warkah[Tanggal diserahkan kepada Validator]),"")</f>
        <v>45852.62688</v>
      </c>
      <c r="F2957" s="36" t="str">
        <f t="array" ref="F2957">IFNA(_xlfn.XLOOKUP(D2957,Table_Tarikan_Warkah[Nomor Tiket],Table_Tarikan_Warkah[Nama Petugas Warkah]),"")</f>
        <v>Berry</v>
      </c>
      <c r="G2957" s="39" t="str">
        <f t="array" ref="G2957">IFNA(_xlfn.XLOOKUP(D2957,Table_Tarikan_Warkah[Nomor Tiket],Table_Tarikan_Warkah[Jenis Permohonan]),"")</f>
        <v>BN JUAL BELI</v>
      </c>
      <c r="H2957" s="41" t="s">
        <v>2315</v>
      </c>
      <c r="I2957" s="49" t="s">
        <v>23</v>
      </c>
      <c r="J2957" s="36">
        <f t="shared" si="20"/>
        <v>45849.38959</v>
      </c>
      <c r="K2957" s="49" t="s">
        <v>2378</v>
      </c>
      <c r="L2957" s="49" t="s">
        <v>23</v>
      </c>
      <c r="M2957" s="36">
        <f t="shared" si="33"/>
        <v>45849.6406</v>
      </c>
      <c r="N2957" s="30" t="str">
        <f t="shared" si="34"/>
        <v>Selesai</v>
      </c>
      <c r="O2957" s="45">
        <f t="shared" si="23"/>
        <v>45849.6406</v>
      </c>
      <c r="P2957" s="47" t="b">
        <v>0</v>
      </c>
      <c r="Q2957" s="36" t="str">
        <f t="shared" si="24"/>
        <v/>
      </c>
      <c r="R2957" s="47" t="b">
        <v>0</v>
      </c>
      <c r="S2957" s="42" t="str">
        <f t="shared" si="28"/>
        <v/>
      </c>
      <c r="T2957" s="42"/>
    </row>
    <row r="2958" ht="22.5" customHeight="1">
      <c r="B2958" s="42">
        <f t="shared" si="7"/>
        <v>2952</v>
      </c>
      <c r="C2958" s="31" t="s">
        <v>3025</v>
      </c>
      <c r="D2958" s="34" t="str">
        <f t="array" ref="D2958">IFNA(_xlfn.XLOOKUP(C2958,Table_Tarikan_Warkah[Nomor Sertipikat],Table_Tarikan_Warkah[Nomor Tiket]),"")</f>
        <v>K/23/260625/1</v>
      </c>
      <c r="E2958" s="36">
        <f t="array" ref="E2958">IFNA(_xlfn.XLOOKUP(D2958,Table_Tarikan_Warkah[Nomor Tiket],Table_Tarikan_Warkah[Tanggal diserahkan kepada Validator]),"")</f>
        <v>45852.62678</v>
      </c>
      <c r="F2958" s="36" t="str">
        <f t="array" ref="F2958">IFNA(_xlfn.XLOOKUP(D2958,Table_Tarikan_Warkah[Nomor Tiket],Table_Tarikan_Warkah[Nama Petugas Warkah]),"")</f>
        <v>Berry</v>
      </c>
      <c r="G2958" s="39" t="str">
        <f t="array" ref="G2958">IFNA(_xlfn.XLOOKUP(D2958,Table_Tarikan_Warkah[Nomor Tiket],Table_Tarikan_Warkah[Jenis Permohonan]),"")</f>
        <v>BN JUAL BELI</v>
      </c>
      <c r="H2958" s="41" t="s">
        <v>2315</v>
      </c>
      <c r="I2958" s="49" t="s">
        <v>23</v>
      </c>
      <c r="J2958" s="36">
        <f t="shared" si="20"/>
        <v>45849.38977</v>
      </c>
      <c r="K2958" s="49" t="s">
        <v>2378</v>
      </c>
      <c r="L2958" s="49" t="s">
        <v>23</v>
      </c>
      <c r="M2958" s="36">
        <f t="shared" si="33"/>
        <v>45849.64049</v>
      </c>
      <c r="N2958" s="30" t="str">
        <f t="shared" si="34"/>
        <v>Selesai</v>
      </c>
      <c r="O2958" s="45">
        <f t="shared" si="23"/>
        <v>45849.64049</v>
      </c>
      <c r="P2958" s="47" t="b">
        <v>0</v>
      </c>
      <c r="Q2958" s="36" t="str">
        <f t="shared" si="24"/>
        <v/>
      </c>
      <c r="R2958" s="47" t="b">
        <v>0</v>
      </c>
      <c r="S2958" s="42" t="str">
        <f t="shared" si="28"/>
        <v/>
      </c>
      <c r="T2958" s="42"/>
    </row>
    <row r="2959" ht="22.5" customHeight="1">
      <c r="B2959" s="42">
        <f t="shared" si="7"/>
        <v>2953</v>
      </c>
      <c r="C2959" s="31" t="s">
        <v>3026</v>
      </c>
      <c r="D2959" s="34" t="str">
        <f t="array" ref="D2959">IFNA(_xlfn.XLOOKUP(C2959,Table_Tarikan_Warkah[Nomor Sertipikat],Table_Tarikan_Warkah[Nomor Tiket]),"")</f>
        <v>L/27/230625/3</v>
      </c>
      <c r="E2959" s="36" t="str">
        <f t="array" ref="E2959">IFNA(_xlfn.XLOOKUP(D2959,Table_Tarikan_Warkah[Nomor Tiket],Table_Tarikan_Warkah[Tanggal diserahkan kepada Validator]),"")</f>
        <v/>
      </c>
      <c r="F2959" s="36" t="str">
        <f t="array" ref="F2959">IFNA(_xlfn.XLOOKUP(D2959,Table_Tarikan_Warkah[Nomor Tiket],Table_Tarikan_Warkah[Nama Petugas Warkah]),"")</f>
        <v/>
      </c>
      <c r="G2959" s="39" t="str">
        <f t="array" ref="G2959">IFNA(_xlfn.XLOOKUP(D2959,Table_Tarikan_Warkah[Nomor Tiket],Table_Tarikan_Warkah[Jenis Permohonan]),"")</f>
        <v>GANTI BLANGKO</v>
      </c>
      <c r="H2959" s="41" t="s">
        <v>2315</v>
      </c>
      <c r="I2959" s="49" t="s">
        <v>23</v>
      </c>
      <c r="J2959" s="36">
        <f t="shared" si="20"/>
        <v>45849.38995</v>
      </c>
      <c r="K2959" s="49" t="s">
        <v>2378</v>
      </c>
      <c r="L2959" s="49" t="s">
        <v>23</v>
      </c>
      <c r="M2959" s="36">
        <f t="shared" si="33"/>
        <v>45849.64004</v>
      </c>
      <c r="N2959" s="30" t="str">
        <f t="shared" si="34"/>
        <v>Selesai</v>
      </c>
      <c r="O2959" s="45">
        <f t="shared" si="23"/>
        <v>45849.64004</v>
      </c>
      <c r="P2959" s="47" t="b">
        <v>0</v>
      </c>
      <c r="Q2959" s="36" t="str">
        <f t="shared" si="24"/>
        <v/>
      </c>
      <c r="R2959" s="47" t="b">
        <v>0</v>
      </c>
      <c r="S2959" s="42" t="str">
        <f t="shared" si="28"/>
        <v/>
      </c>
      <c r="T2959" s="42"/>
    </row>
    <row r="2960" ht="22.5" customHeight="1">
      <c r="B2960" s="42">
        <f t="shared" si="7"/>
        <v>2954</v>
      </c>
      <c r="C2960" s="31" t="s">
        <v>3027</v>
      </c>
      <c r="D2960" s="34" t="str">
        <f t="array" ref="D2960">IFNA(_xlfn.XLOOKUP(C2960,Table_Tarikan_Warkah[Nomor Sertipikat],Table_Tarikan_Warkah[Nomor Tiket]),"")</f>
        <v>L/26/230625/2</v>
      </c>
      <c r="E2960" s="36" t="str">
        <f t="array" ref="E2960">IFNA(_xlfn.XLOOKUP(D2960,Table_Tarikan_Warkah[Nomor Tiket],Table_Tarikan_Warkah[Tanggal diserahkan kepada Validator]),"")</f>
        <v/>
      </c>
      <c r="F2960" s="36" t="str">
        <f t="array" ref="F2960">IFNA(_xlfn.XLOOKUP(D2960,Table_Tarikan_Warkah[Nomor Tiket],Table_Tarikan_Warkah[Nama Petugas Warkah]),"")</f>
        <v/>
      </c>
      <c r="G2960" s="39" t="str">
        <f t="array" ref="G2960">IFNA(_xlfn.XLOOKUP(D2960,Table_Tarikan_Warkah[Nomor Tiket],Table_Tarikan_Warkah[Jenis Permohonan]),"")</f>
        <v>GANTI BLANGKO</v>
      </c>
      <c r="H2960" s="41" t="s">
        <v>2315</v>
      </c>
      <c r="I2960" s="49" t="s">
        <v>23</v>
      </c>
      <c r="J2960" s="36">
        <f t="shared" si="20"/>
        <v>45849.39013</v>
      </c>
      <c r="K2960" s="49" t="s">
        <v>2378</v>
      </c>
      <c r="L2960" s="49" t="s">
        <v>23</v>
      </c>
      <c r="M2960" s="36">
        <f t="shared" si="33"/>
        <v>45849.63995</v>
      </c>
      <c r="N2960" s="30" t="str">
        <f t="shared" si="34"/>
        <v>Selesai</v>
      </c>
      <c r="O2960" s="45">
        <f t="shared" si="23"/>
        <v>45849.63995</v>
      </c>
      <c r="P2960" s="47" t="b">
        <v>0</v>
      </c>
      <c r="Q2960" s="36" t="str">
        <f t="shared" si="24"/>
        <v/>
      </c>
      <c r="R2960" s="47" t="b">
        <v>0</v>
      </c>
      <c r="S2960" s="42" t="str">
        <f t="shared" si="28"/>
        <v/>
      </c>
      <c r="T2960" s="42"/>
    </row>
    <row r="2961" ht="22.5" customHeight="1">
      <c r="B2961" s="42">
        <f t="shared" si="7"/>
        <v>2955</v>
      </c>
      <c r="C2961" s="31" t="s">
        <v>3028</v>
      </c>
      <c r="D2961" s="34" t="str">
        <f t="array" ref="D2961">IFNA(_xlfn.XLOOKUP(C2961,Table_Tarikan_Warkah[Nomor Sertipikat],Table_Tarikan_Warkah[Nomor Tiket]),"")</f>
        <v>K/17/230625/1</v>
      </c>
      <c r="E2961" s="36">
        <f t="array" ref="E2961">IFNA(_xlfn.XLOOKUP(D2961,Table_Tarikan_Warkah[Nomor Tiket],Table_Tarikan_Warkah[Tanggal diserahkan kepada Validator]),"")</f>
        <v>45852.62666</v>
      </c>
      <c r="F2961" s="36" t="str">
        <f t="array" ref="F2961">IFNA(_xlfn.XLOOKUP(D2961,Table_Tarikan_Warkah[Nomor Tiket],Table_Tarikan_Warkah[Nama Petugas Warkah]),"")</f>
        <v>Berry</v>
      </c>
      <c r="G2961" s="39" t="str">
        <f t="array" ref="G2961">IFNA(_xlfn.XLOOKUP(D2961,Table_Tarikan_Warkah[Nomor Tiket],Table_Tarikan_Warkah[Jenis Permohonan]),"")</f>
        <v>BN JUAL BELI</v>
      </c>
      <c r="H2961" s="41" t="s">
        <v>2315</v>
      </c>
      <c r="I2961" s="49" t="s">
        <v>23</v>
      </c>
      <c r="J2961" s="36">
        <f t="shared" si="20"/>
        <v>45849.39035</v>
      </c>
      <c r="K2961" s="49" t="s">
        <v>2378</v>
      </c>
      <c r="L2961" s="49" t="s">
        <v>23</v>
      </c>
      <c r="M2961" s="36">
        <f t="shared" si="33"/>
        <v>45849.63971</v>
      </c>
      <c r="N2961" s="30" t="str">
        <f t="shared" si="34"/>
        <v>Selesai</v>
      </c>
      <c r="O2961" s="45">
        <f t="shared" si="23"/>
        <v>45849.63971</v>
      </c>
      <c r="P2961" s="47" t="b">
        <v>0</v>
      </c>
      <c r="Q2961" s="36" t="str">
        <f t="shared" si="24"/>
        <v/>
      </c>
      <c r="R2961" s="47" t="b">
        <v>0</v>
      </c>
      <c r="S2961" s="42" t="str">
        <f t="shared" si="28"/>
        <v/>
      </c>
      <c r="T2961" s="42"/>
    </row>
    <row r="2962" ht="22.5" customHeight="1">
      <c r="B2962" s="42">
        <f t="shared" si="7"/>
        <v>2956</v>
      </c>
      <c r="C2962" s="31" t="s">
        <v>3029</v>
      </c>
      <c r="D2962" s="34" t="str">
        <f t="array" ref="D2962">IFNA(_xlfn.XLOOKUP(C2962,Table_Tarikan_Warkah[Nomor Sertipikat],Table_Tarikan_Warkah[Nomor Tiket]),"")</f>
        <v>K/18/070725/1</v>
      </c>
      <c r="E2962" s="36">
        <f t="array" ref="E2962">IFNA(_xlfn.XLOOKUP(D2962,Table_Tarikan_Warkah[Nomor Tiket],Table_Tarikan_Warkah[Tanggal diserahkan kepada Validator]),"")</f>
        <v>45852.63253</v>
      </c>
      <c r="F2962" s="36" t="str">
        <f t="array" ref="F2962">IFNA(_xlfn.XLOOKUP(D2962,Table_Tarikan_Warkah[Nomor Tiket],Table_Tarikan_Warkah[Nama Petugas Warkah]),"")</f>
        <v>Berry</v>
      </c>
      <c r="G2962" s="39" t="str">
        <f t="array" ref="G2962">IFNA(_xlfn.XLOOKUP(D2962,Table_Tarikan_Warkah[Nomor Tiket],Table_Tarikan_Warkah[Jenis Permohonan]),"")</f>
        <v>GANTI NAMA</v>
      </c>
      <c r="H2962" s="41" t="s">
        <v>2315</v>
      </c>
      <c r="I2962" s="49" t="s">
        <v>23</v>
      </c>
      <c r="J2962" s="36">
        <f t="shared" si="20"/>
        <v>45849.39098</v>
      </c>
      <c r="K2962" s="49" t="s">
        <v>2378</v>
      </c>
      <c r="L2962" s="49" t="s">
        <v>23</v>
      </c>
      <c r="M2962" s="36">
        <f t="shared" si="33"/>
        <v>45849.63954</v>
      </c>
      <c r="N2962" s="30" t="str">
        <f t="shared" si="34"/>
        <v>Selesai</v>
      </c>
      <c r="O2962" s="45">
        <f t="shared" si="23"/>
        <v>45849.63954</v>
      </c>
      <c r="P2962" s="47" t="b">
        <v>0</v>
      </c>
      <c r="Q2962" s="36" t="str">
        <f t="shared" si="24"/>
        <v/>
      </c>
      <c r="R2962" s="47" t="b">
        <v>0</v>
      </c>
      <c r="S2962" s="42" t="str">
        <f t="shared" si="28"/>
        <v/>
      </c>
      <c r="T2962" s="42"/>
    </row>
    <row r="2963" ht="22.5" customHeight="1">
      <c r="B2963" s="42">
        <f t="shared" si="7"/>
        <v>2957</v>
      </c>
      <c r="C2963" s="31" t="s">
        <v>3030</v>
      </c>
      <c r="D2963" s="34" t="str">
        <f t="array" ref="D2963">IFNA(_xlfn.XLOOKUP(C2963,Table_Tarikan_Warkah[Nomor Sertipikat],Table_Tarikan_Warkah[Nomor Tiket]),"")</f>
        <v>L/16/190525/1</v>
      </c>
      <c r="E2963" s="36" t="str">
        <f t="array" ref="E2963">IFNA(_xlfn.XLOOKUP(D2963,Table_Tarikan_Warkah[Nomor Tiket],Table_Tarikan_Warkah[Tanggal diserahkan kepada Validator]),"")</f>
        <v/>
      </c>
      <c r="F2963" s="36" t="str">
        <f t="array" ref="F2963">IFNA(_xlfn.XLOOKUP(D2963,Table_Tarikan_Warkah[Nomor Tiket],Table_Tarikan_Warkah[Nama Petugas Warkah]),"")</f>
        <v/>
      </c>
      <c r="G2963" s="39" t="str">
        <f t="array" ref="G2963">IFNA(_xlfn.XLOOKUP(D2963,Table_Tarikan_Warkah[Nomor Tiket],Table_Tarikan_Warkah[Jenis Permohonan]),"")</f>
        <v>ROYA</v>
      </c>
      <c r="H2963" s="41" t="s">
        <v>2315</v>
      </c>
      <c r="I2963" s="49" t="s">
        <v>23</v>
      </c>
      <c r="J2963" s="36">
        <f t="shared" si="20"/>
        <v>45849.39929</v>
      </c>
      <c r="K2963" s="49" t="s">
        <v>2378</v>
      </c>
      <c r="L2963" s="49" t="s">
        <v>23</v>
      </c>
      <c r="M2963" s="36">
        <f t="shared" si="33"/>
        <v>45849.63934</v>
      </c>
      <c r="N2963" s="30" t="str">
        <f t="shared" si="34"/>
        <v>Selesai</v>
      </c>
      <c r="O2963" s="45">
        <f t="shared" si="23"/>
        <v>45849.63934</v>
      </c>
      <c r="P2963" s="47" t="b">
        <v>0</v>
      </c>
      <c r="Q2963" s="36" t="str">
        <f t="shared" si="24"/>
        <v/>
      </c>
      <c r="R2963" s="47" t="b">
        <v>0</v>
      </c>
      <c r="S2963" s="42" t="str">
        <f t="shared" si="28"/>
        <v/>
      </c>
      <c r="T2963" s="42"/>
    </row>
    <row r="2964" ht="22.5" customHeight="1">
      <c r="B2964" s="42">
        <f t="shared" si="7"/>
        <v>2958</v>
      </c>
      <c r="C2964" s="31" t="s">
        <v>3031</v>
      </c>
      <c r="D2964" s="34" t="str">
        <f t="array" ref="D2964">IFNA(_xlfn.XLOOKUP(C2964,Table_Tarikan_Warkah[Nomor Sertipikat],Table_Tarikan_Warkah[Nomor Tiket]),"")</f>
        <v>K/16/280525/1</v>
      </c>
      <c r="E2964" s="36">
        <f t="array" ref="E2964">IFNA(_xlfn.XLOOKUP(D2964,Table_Tarikan_Warkah[Nomor Tiket],Table_Tarikan_Warkah[Tanggal diserahkan kepada Validator]),"")</f>
        <v>45852.63112</v>
      </c>
      <c r="F2964" s="36" t="str">
        <f t="array" ref="F2964">IFNA(_xlfn.XLOOKUP(D2964,Table_Tarikan_Warkah[Nomor Tiket],Table_Tarikan_Warkah[Nama Petugas Warkah]),"")</f>
        <v>Berry</v>
      </c>
      <c r="G2964" s="39" t="str">
        <f t="array" ref="G2964">IFNA(_xlfn.XLOOKUP(D2964,Table_Tarikan_Warkah[Nomor Tiket],Table_Tarikan_Warkah[Jenis Permohonan]),"")</f>
        <v>JUAL BELI</v>
      </c>
      <c r="H2964" s="41" t="s">
        <v>20</v>
      </c>
      <c r="I2964" s="49" t="s">
        <v>23</v>
      </c>
      <c r="J2964" s="36">
        <f t="shared" si="20"/>
        <v>45849.59276</v>
      </c>
      <c r="K2964" s="49" t="s">
        <v>2378</v>
      </c>
      <c r="L2964" s="49" t="s">
        <v>23</v>
      </c>
      <c r="M2964" s="36">
        <f t="shared" si="33"/>
        <v>45849.63892</v>
      </c>
      <c r="N2964" s="30" t="str">
        <f t="shared" si="34"/>
        <v>Selesai</v>
      </c>
      <c r="O2964" s="45">
        <f t="shared" si="23"/>
        <v>45849.63892</v>
      </c>
      <c r="P2964" s="47" t="b">
        <v>0</v>
      </c>
      <c r="Q2964" s="36" t="str">
        <f t="shared" si="24"/>
        <v/>
      </c>
      <c r="R2964" s="47" t="b">
        <v>0</v>
      </c>
      <c r="S2964" s="42" t="str">
        <f t="shared" si="28"/>
        <v/>
      </c>
      <c r="T2964" s="42"/>
    </row>
    <row r="2965" ht="22.5" customHeight="1">
      <c r="B2965" s="42">
        <f t="shared" si="7"/>
        <v>2959</v>
      </c>
      <c r="C2965" s="31" t="s">
        <v>3032</v>
      </c>
      <c r="D2965" s="34" t="str">
        <f t="array" ref="D2965">IFNA(_xlfn.XLOOKUP(C2965,Table_Tarikan_Warkah[Nomor Sertipikat],Table_Tarikan_Warkah[Nomor Tiket]),"")</f>
        <v>K/33/170625/1</v>
      </c>
      <c r="E2965" s="36">
        <f t="array" ref="E2965">IFNA(_xlfn.XLOOKUP(D2965,Table_Tarikan_Warkah[Nomor Tiket],Table_Tarikan_Warkah[Tanggal diserahkan kepada Validator]),"")</f>
        <v>45853.72095</v>
      </c>
      <c r="F2965" s="36" t="str">
        <f t="array" ref="F2965">IFNA(_xlfn.XLOOKUP(D2965,Table_Tarikan_Warkah[Nomor Tiket],Table_Tarikan_Warkah[Nama Petugas Warkah]),"")</f>
        <v>Berry</v>
      </c>
      <c r="G2965" s="39" t="str">
        <f t="array" ref="G2965">IFNA(_xlfn.XLOOKUP(D2965,Table_Tarikan_Warkah[Nomor Tiket],Table_Tarikan_Warkah[Jenis Permohonan]),"")</f>
        <v>BN Jual Beli</v>
      </c>
      <c r="H2965" s="41" t="s">
        <v>20</v>
      </c>
      <c r="I2965" s="49" t="s">
        <v>23</v>
      </c>
      <c r="J2965" s="36">
        <f t="shared" si="20"/>
        <v>45849.59276</v>
      </c>
      <c r="K2965" s="49" t="s">
        <v>2378</v>
      </c>
      <c r="L2965" s="49" t="s">
        <v>23</v>
      </c>
      <c r="M2965" s="36">
        <f t="shared" si="33"/>
        <v>45849.63879</v>
      </c>
      <c r="N2965" s="30" t="str">
        <f t="shared" si="34"/>
        <v>Selesai</v>
      </c>
      <c r="O2965" s="45">
        <f t="shared" si="23"/>
        <v>45849.63879</v>
      </c>
      <c r="P2965" s="47" t="b">
        <v>0</v>
      </c>
      <c r="Q2965" s="36" t="str">
        <f t="shared" si="24"/>
        <v/>
      </c>
      <c r="R2965" s="47" t="b">
        <v>0</v>
      </c>
      <c r="S2965" s="42" t="str">
        <f t="shared" si="28"/>
        <v/>
      </c>
      <c r="T2965" s="42"/>
    </row>
    <row r="2966" ht="22.5" customHeight="1">
      <c r="B2966" s="42">
        <f t="shared" si="7"/>
        <v>2960</v>
      </c>
      <c r="C2966" s="31" t="s">
        <v>3033</v>
      </c>
      <c r="D2966" s="34" t="str">
        <f t="array" ref="D2966">IFNA(_xlfn.XLOOKUP(C2966,Table_Tarikan_Warkah[Nomor Sertipikat],Table_Tarikan_Warkah[Nomor Tiket]),"")</f>
        <v>K/19/080725/2</v>
      </c>
      <c r="E2966" s="36">
        <f t="array" ref="E2966">IFNA(_xlfn.XLOOKUP(D2966,Table_Tarikan_Warkah[Nomor Tiket],Table_Tarikan_Warkah[Tanggal diserahkan kepada Validator]),"")</f>
        <v>45853.72107</v>
      </c>
      <c r="F2966" s="36" t="str">
        <f t="array" ref="F2966">IFNA(_xlfn.XLOOKUP(D2966,Table_Tarikan_Warkah[Nomor Tiket],Table_Tarikan_Warkah[Nama Petugas Warkah]),"")</f>
        <v>Berry</v>
      </c>
      <c r="G2966" s="39" t="str">
        <f t="array" ref="G2966">IFNA(_xlfn.XLOOKUP(D2966,Table_Tarikan_Warkah[Nomor Tiket],Table_Tarikan_Warkah[Jenis Permohonan]),"")</f>
        <v>BN Jual Beli</v>
      </c>
      <c r="H2966" s="41" t="s">
        <v>20</v>
      </c>
      <c r="I2966" s="49" t="s">
        <v>23</v>
      </c>
      <c r="J2966" s="36">
        <f t="shared" si="20"/>
        <v>45849.59276</v>
      </c>
      <c r="K2966" s="49" t="s">
        <v>2378</v>
      </c>
      <c r="L2966" s="49" t="s">
        <v>23</v>
      </c>
      <c r="M2966" s="36">
        <f t="shared" si="33"/>
        <v>45849.63868</v>
      </c>
      <c r="N2966" s="30" t="str">
        <f t="shared" si="34"/>
        <v>Selesai</v>
      </c>
      <c r="O2966" s="45">
        <f t="shared" si="23"/>
        <v>45849.63868</v>
      </c>
      <c r="P2966" s="47" t="b">
        <v>0</v>
      </c>
      <c r="Q2966" s="36" t="str">
        <f t="shared" si="24"/>
        <v/>
      </c>
      <c r="R2966" s="47" t="b">
        <v>0</v>
      </c>
      <c r="S2966" s="42" t="str">
        <f t="shared" si="28"/>
        <v/>
      </c>
      <c r="T2966" s="42"/>
    </row>
    <row r="2967" ht="22.5" customHeight="1">
      <c r="B2967" s="42">
        <f t="shared" si="7"/>
        <v>2961</v>
      </c>
      <c r="C2967" s="31" t="s">
        <v>3034</v>
      </c>
      <c r="D2967" s="34" t="str">
        <f t="array" ref="D2967">IFNA(_xlfn.XLOOKUP(C2967,Table_Tarikan_Warkah[Nomor Sertipikat],Table_Tarikan_Warkah[Nomor Tiket]),"")</f>
        <v>K/4/240625/1</v>
      </c>
      <c r="E2967" s="36">
        <f t="array" ref="E2967">IFNA(_xlfn.XLOOKUP(D2967,Table_Tarikan_Warkah[Nomor Tiket],Table_Tarikan_Warkah[Tanggal diserahkan kepada Validator]),"")</f>
        <v>45853.72061</v>
      </c>
      <c r="F2967" s="36" t="str">
        <f t="array" ref="F2967">IFNA(_xlfn.XLOOKUP(D2967,Table_Tarikan_Warkah[Nomor Tiket],Table_Tarikan_Warkah[Nama Petugas Warkah]),"")</f>
        <v>Berry</v>
      </c>
      <c r="G2967" s="39" t="str">
        <f t="array" ref="G2967">IFNA(_xlfn.XLOOKUP(D2967,Table_Tarikan_Warkah[Nomor Tiket],Table_Tarikan_Warkah[Jenis Permohonan]),"")</f>
        <v>BN Hibah</v>
      </c>
      <c r="H2967" s="41" t="s">
        <v>20</v>
      </c>
      <c r="I2967" s="49" t="s">
        <v>23</v>
      </c>
      <c r="J2967" s="36">
        <f t="shared" si="20"/>
        <v>45849.59276</v>
      </c>
      <c r="K2967" s="49" t="s">
        <v>2378</v>
      </c>
      <c r="L2967" s="49" t="s">
        <v>23</v>
      </c>
      <c r="M2967" s="36">
        <f t="shared" si="33"/>
        <v>45849.63843</v>
      </c>
      <c r="N2967" s="30" t="str">
        <f t="shared" si="34"/>
        <v>Selesai</v>
      </c>
      <c r="O2967" s="45">
        <f t="shared" si="23"/>
        <v>45849.63843</v>
      </c>
      <c r="P2967" s="47" t="b">
        <v>0</v>
      </c>
      <c r="Q2967" s="36" t="str">
        <f t="shared" si="24"/>
        <v/>
      </c>
      <c r="R2967" s="47" t="b">
        <v>0</v>
      </c>
      <c r="S2967" s="42" t="str">
        <f t="shared" si="28"/>
        <v/>
      </c>
      <c r="T2967" s="42"/>
    </row>
    <row r="2968" ht="22.5" customHeight="1">
      <c r="B2968" s="42">
        <f t="shared" si="7"/>
        <v>2962</v>
      </c>
      <c r="C2968" s="31" t="s">
        <v>3035</v>
      </c>
      <c r="D2968" s="34" t="str">
        <f t="array" ref="D2968">IFNA(_xlfn.XLOOKUP(C2968,Table_Tarikan_Warkah[Nomor Sertipikat],Table_Tarikan_Warkah[Nomor Tiket]),"")</f>
        <v>K/29/040725/1</v>
      </c>
      <c r="E2968" s="36">
        <f t="array" ref="E2968">IFNA(_xlfn.XLOOKUP(D2968,Table_Tarikan_Warkah[Nomor Tiket],Table_Tarikan_Warkah[Tanggal diserahkan kepada Validator]),"")</f>
        <v>45853.72027</v>
      </c>
      <c r="F2968" s="36" t="str">
        <f t="array" ref="F2968">IFNA(_xlfn.XLOOKUP(D2968,Table_Tarikan_Warkah[Nomor Tiket],Table_Tarikan_Warkah[Nama Petugas Warkah]),"")</f>
        <v>Berry</v>
      </c>
      <c r="G2968" s="39" t="str">
        <f t="array" ref="G2968">IFNA(_xlfn.XLOOKUP(D2968,Table_Tarikan_Warkah[Nomor Tiket],Table_Tarikan_Warkah[Jenis Permohonan]),"")</f>
        <v>BN Jual Beli</v>
      </c>
      <c r="H2968" s="41" t="s">
        <v>20</v>
      </c>
      <c r="I2968" s="49" t="s">
        <v>23</v>
      </c>
      <c r="J2968" s="36">
        <f t="shared" si="20"/>
        <v>45849.59276</v>
      </c>
      <c r="K2968" s="49" t="s">
        <v>2378</v>
      </c>
      <c r="L2968" s="49" t="s">
        <v>23</v>
      </c>
      <c r="M2968" s="36">
        <f t="shared" si="33"/>
        <v>45849.63831</v>
      </c>
      <c r="N2968" s="30" t="str">
        <f t="shared" si="34"/>
        <v>Selesai</v>
      </c>
      <c r="O2968" s="45">
        <f t="shared" si="23"/>
        <v>45849.63831</v>
      </c>
      <c r="P2968" s="47" t="b">
        <v>0</v>
      </c>
      <c r="Q2968" s="36" t="str">
        <f t="shared" si="24"/>
        <v/>
      </c>
      <c r="R2968" s="47" t="b">
        <v>0</v>
      </c>
      <c r="S2968" s="42" t="str">
        <f t="shared" si="28"/>
        <v/>
      </c>
      <c r="T2968" s="42"/>
    </row>
    <row r="2969" ht="22.5" customHeight="1">
      <c r="B2969" s="42">
        <f t="shared" si="7"/>
        <v>2963</v>
      </c>
      <c r="C2969" s="31" t="s">
        <v>3036</v>
      </c>
      <c r="D2969" s="34" t="str">
        <f t="array" ref="D2969">IFNA(_xlfn.XLOOKUP(C2969,Table_Tarikan_Warkah[Nomor Sertipikat],Table_Tarikan_Warkah[Nomor Tiket]),"")</f>
        <v>K/16/170625/1</v>
      </c>
      <c r="E2969" s="36">
        <f t="array" ref="E2969">IFNA(_xlfn.XLOOKUP(D2969,Table_Tarikan_Warkah[Nomor Tiket],Table_Tarikan_Warkah[Tanggal diserahkan kepada Validator]),"")</f>
        <v>45853.72002</v>
      </c>
      <c r="F2969" s="36" t="str">
        <f t="array" ref="F2969">IFNA(_xlfn.XLOOKUP(D2969,Table_Tarikan_Warkah[Nomor Tiket],Table_Tarikan_Warkah[Nama Petugas Warkah]),"")</f>
        <v>Berry</v>
      </c>
      <c r="G2969" s="39" t="str">
        <f t="array" ref="G2969">IFNA(_xlfn.XLOOKUP(D2969,Table_Tarikan_Warkah[Nomor Tiket],Table_Tarikan_Warkah[Jenis Permohonan]),"")</f>
        <v>BN Jual Beli</v>
      </c>
      <c r="H2969" s="41" t="s">
        <v>20</v>
      </c>
      <c r="I2969" s="49" t="s">
        <v>23</v>
      </c>
      <c r="J2969" s="36">
        <f t="shared" si="20"/>
        <v>45849.59276</v>
      </c>
      <c r="K2969" s="49" t="s">
        <v>2378</v>
      </c>
      <c r="L2969" s="49" t="s">
        <v>23</v>
      </c>
      <c r="M2969" s="36">
        <f t="shared" si="33"/>
        <v>45849.63818</v>
      </c>
      <c r="N2969" s="30" t="str">
        <f t="shared" si="34"/>
        <v>Selesai</v>
      </c>
      <c r="O2969" s="45">
        <f t="shared" si="23"/>
        <v>45849.63818</v>
      </c>
      <c r="P2969" s="47" t="b">
        <v>0</v>
      </c>
      <c r="Q2969" s="36" t="str">
        <f t="shared" si="24"/>
        <v/>
      </c>
      <c r="R2969" s="47" t="b">
        <v>0</v>
      </c>
      <c r="S2969" s="42" t="str">
        <f t="shared" si="28"/>
        <v/>
      </c>
      <c r="T2969" s="42"/>
    </row>
    <row r="2970" ht="22.5" customHeight="1">
      <c r="B2970" s="42">
        <f t="shared" si="7"/>
        <v>2964</v>
      </c>
      <c r="C2970" s="31" t="s">
        <v>3037</v>
      </c>
      <c r="D2970" s="34" t="str">
        <f t="array" ref="D2970">IFNA(_xlfn.XLOOKUP(C2970,Table_Tarikan_Warkah[Nomor Sertipikat],Table_Tarikan_Warkah[Nomor Tiket]),"")</f>
        <v>K/13/090725/1</v>
      </c>
      <c r="E2970" s="36">
        <f t="array" ref="E2970">IFNA(_xlfn.XLOOKUP(D2970,Table_Tarikan_Warkah[Nomor Tiket],Table_Tarikan_Warkah[Tanggal diserahkan kepada Validator]),"")</f>
        <v>45861.61462</v>
      </c>
      <c r="F2970" s="36" t="str">
        <f t="array" ref="F2970">IFNA(_xlfn.XLOOKUP(D2970,Table_Tarikan_Warkah[Nomor Tiket],Table_Tarikan_Warkah[Nama Petugas Warkah]),"")</f>
        <v>David</v>
      </c>
      <c r="G2970" s="39" t="str">
        <f t="array" ref="G2970">IFNA(_xlfn.XLOOKUP(D2970,Table_Tarikan_Warkah[Nomor Tiket],Table_Tarikan_Warkah[Jenis Permohonan]),"")</f>
        <v>ROYA</v>
      </c>
      <c r="H2970" s="41" t="s">
        <v>2315</v>
      </c>
      <c r="I2970" s="49" t="s">
        <v>23</v>
      </c>
      <c r="J2970" s="36">
        <f t="shared" si="20"/>
        <v>45853.55696</v>
      </c>
      <c r="K2970" s="49" t="s">
        <v>2378</v>
      </c>
      <c r="L2970" s="49" t="s">
        <v>23</v>
      </c>
      <c r="M2970" s="36">
        <f t="shared" si="33"/>
        <v>45854.59553</v>
      </c>
      <c r="N2970" s="30" t="str">
        <f t="shared" si="34"/>
        <v>Selesai</v>
      </c>
      <c r="O2970" s="45">
        <f t="shared" si="23"/>
        <v>45854.59553</v>
      </c>
      <c r="P2970" s="47" t="b">
        <v>0</v>
      </c>
      <c r="Q2970" s="36" t="str">
        <f t="shared" si="24"/>
        <v/>
      </c>
      <c r="R2970" s="47" t="b">
        <v>0</v>
      </c>
      <c r="S2970" s="42" t="str">
        <f t="shared" si="28"/>
        <v/>
      </c>
      <c r="T2970" s="42"/>
    </row>
    <row r="2971" ht="22.5" customHeight="1">
      <c r="B2971" s="42">
        <f t="shared" si="7"/>
        <v>2965</v>
      </c>
      <c r="C2971" s="31" t="s">
        <v>3038</v>
      </c>
      <c r="D2971" s="34" t="str">
        <f t="array" ref="D2971">IFNA(_xlfn.XLOOKUP(C2971,Table_Tarikan_Warkah[Nomor Sertipikat],Table_Tarikan_Warkah[Nomor Tiket]),"")</f>
        <v>K/11/020725/1</v>
      </c>
      <c r="E2971" s="36">
        <f t="array" ref="E2971">IFNA(_xlfn.XLOOKUP(D2971,Table_Tarikan_Warkah[Nomor Tiket],Table_Tarikan_Warkah[Tanggal diserahkan kepada Validator]),"")</f>
        <v>45856.52879</v>
      </c>
      <c r="F2971" s="36" t="str">
        <f t="array" ref="F2971">IFNA(_xlfn.XLOOKUP(D2971,Table_Tarikan_Warkah[Nomor Tiket],Table_Tarikan_Warkah[Nama Petugas Warkah]),"")</f>
        <v>Berry</v>
      </c>
      <c r="G2971" s="39" t="str">
        <f t="array" ref="G2971">IFNA(_xlfn.XLOOKUP(D2971,Table_Tarikan_Warkah[Nomor Tiket],Table_Tarikan_Warkah[Jenis Permohonan]),"")</f>
        <v>JUAL BELI</v>
      </c>
      <c r="H2971" s="41" t="s">
        <v>2315</v>
      </c>
      <c r="I2971" s="49" t="s">
        <v>23</v>
      </c>
      <c r="J2971" s="36">
        <f t="shared" si="20"/>
        <v>45853.55706</v>
      </c>
      <c r="K2971" s="49" t="s">
        <v>2378</v>
      </c>
      <c r="L2971" s="49" t="s">
        <v>23</v>
      </c>
      <c r="M2971" s="36">
        <f t="shared" si="33"/>
        <v>45854.59553</v>
      </c>
      <c r="N2971" s="30" t="str">
        <f t="shared" si="34"/>
        <v>Selesai</v>
      </c>
      <c r="O2971" s="45">
        <f t="shared" si="23"/>
        <v>45854.59553</v>
      </c>
      <c r="P2971" s="47" t="b">
        <v>0</v>
      </c>
      <c r="Q2971" s="36" t="str">
        <f t="shared" si="24"/>
        <v/>
      </c>
      <c r="R2971" s="47" t="b">
        <v>0</v>
      </c>
      <c r="S2971" s="42" t="str">
        <f t="shared" si="28"/>
        <v/>
      </c>
      <c r="T2971" s="42"/>
    </row>
    <row r="2972" ht="22.5" customHeight="1">
      <c r="B2972" s="42">
        <f t="shared" si="7"/>
        <v>2966</v>
      </c>
      <c r="C2972" s="31" t="s">
        <v>3039</v>
      </c>
      <c r="D2972" s="34" t="str">
        <f t="array" ref="D2972">IFNA(_xlfn.XLOOKUP(C2972,Table_Tarikan_Warkah[Nomor Sertipikat],Table_Tarikan_Warkah[Nomor Tiket]),"")</f>
        <v>K/14/090725/1</v>
      </c>
      <c r="E2972" s="36">
        <f t="array" ref="E2972">IFNA(_xlfn.XLOOKUP(D2972,Table_Tarikan_Warkah[Nomor Tiket],Table_Tarikan_Warkah[Tanggal diserahkan kepada Validator]),"")</f>
        <v>45912.52173</v>
      </c>
      <c r="F2972" s="36" t="str">
        <f t="array" ref="F2972">IFNA(_xlfn.XLOOKUP(D2972,Table_Tarikan_Warkah[Nomor Tiket],Table_Tarikan_Warkah[Nama Petugas Warkah]),"")</f>
        <v>David</v>
      </c>
      <c r="G2972" s="39" t="str">
        <f t="array" ref="G2972">IFNA(_xlfn.XLOOKUP(D2972,Table_Tarikan_Warkah[Nomor Tiket],Table_Tarikan_Warkah[Jenis Permohonan]),"")</f>
        <v>ROYA</v>
      </c>
      <c r="H2972" s="41" t="s">
        <v>2315</v>
      </c>
      <c r="I2972" s="49" t="s">
        <v>23</v>
      </c>
      <c r="J2972" s="36">
        <f t="shared" si="20"/>
        <v>45853.55722</v>
      </c>
      <c r="K2972" s="49" t="s">
        <v>2378</v>
      </c>
      <c r="L2972" s="49" t="s">
        <v>23</v>
      </c>
      <c r="M2972" s="36">
        <f t="shared" si="33"/>
        <v>45854.59553</v>
      </c>
      <c r="N2972" s="30" t="str">
        <f t="shared" si="34"/>
        <v>Selesai</v>
      </c>
      <c r="O2972" s="45">
        <f t="shared" si="23"/>
        <v>45854.59553</v>
      </c>
      <c r="P2972" s="47" t="b">
        <v>0</v>
      </c>
      <c r="Q2972" s="36" t="str">
        <f t="shared" si="24"/>
        <v/>
      </c>
      <c r="R2972" s="47" t="b">
        <v>0</v>
      </c>
      <c r="S2972" s="42" t="str">
        <f t="shared" si="28"/>
        <v/>
      </c>
      <c r="T2972" s="42"/>
    </row>
    <row r="2973" ht="22.5" customHeight="1">
      <c r="B2973" s="42">
        <f t="shared" si="7"/>
        <v>2967</v>
      </c>
      <c r="C2973" s="31" t="s">
        <v>3040</v>
      </c>
      <c r="D2973" s="34" t="str">
        <f t="array" ref="D2973">IFNA(_xlfn.XLOOKUP(C2973,Table_Tarikan_Warkah[Nomor Sertipikat],Table_Tarikan_Warkah[Nomor Tiket]),"")</f>
        <v>K/4/190625/1</v>
      </c>
      <c r="E2973" s="36">
        <f t="array" ref="E2973">IFNA(_xlfn.XLOOKUP(D2973,Table_Tarikan_Warkah[Nomor Tiket],Table_Tarikan_Warkah[Tanggal diserahkan kepada Validator]),"")</f>
        <v>45856.53313</v>
      </c>
      <c r="F2973" s="36" t="str">
        <f t="array" ref="F2973">IFNA(_xlfn.XLOOKUP(D2973,Table_Tarikan_Warkah[Nomor Tiket],Table_Tarikan_Warkah[Nama Petugas Warkah]),"")</f>
        <v>Berry</v>
      </c>
      <c r="G2973" s="39" t="str">
        <f t="array" ref="G2973">IFNA(_xlfn.XLOOKUP(D2973,Table_Tarikan_Warkah[Nomor Tiket],Table_Tarikan_Warkah[Jenis Permohonan]),"")</f>
        <v>BN WARIS</v>
      </c>
      <c r="H2973" s="41" t="s">
        <v>2315</v>
      </c>
      <c r="I2973" s="49" t="s">
        <v>23</v>
      </c>
      <c r="J2973" s="36">
        <f t="shared" si="20"/>
        <v>45853.55735</v>
      </c>
      <c r="K2973" s="49" t="s">
        <v>2378</v>
      </c>
      <c r="L2973" s="49" t="s">
        <v>23</v>
      </c>
      <c r="M2973" s="36">
        <f t="shared" si="33"/>
        <v>45854.55926</v>
      </c>
      <c r="N2973" s="30" t="str">
        <f t="shared" si="34"/>
        <v>Selesai</v>
      </c>
      <c r="O2973" s="45">
        <f t="shared" si="23"/>
        <v>45854.55926</v>
      </c>
      <c r="P2973" s="47" t="b">
        <v>0</v>
      </c>
      <c r="Q2973" s="36" t="str">
        <f t="shared" si="24"/>
        <v/>
      </c>
      <c r="R2973" s="47" t="b">
        <v>0</v>
      </c>
      <c r="S2973" s="42" t="str">
        <f t="shared" si="28"/>
        <v/>
      </c>
      <c r="T2973" s="42"/>
    </row>
    <row r="2974" ht="22.5" customHeight="1">
      <c r="B2974" s="42">
        <f t="shared" si="7"/>
        <v>2968</v>
      </c>
      <c r="C2974" s="31" t="s">
        <v>3041</v>
      </c>
      <c r="D2974" s="34" t="str">
        <f t="array" ref="D2974">IFNA(_xlfn.XLOOKUP(C2974,Table_Tarikan_Warkah[Nomor Sertipikat],Table_Tarikan_Warkah[Nomor Tiket]),"")</f>
        <v>K/9/100725/1</v>
      </c>
      <c r="E2974" s="36">
        <f t="array" ref="E2974">IFNA(_xlfn.XLOOKUP(D2974,Table_Tarikan_Warkah[Nomor Tiket],Table_Tarikan_Warkah[Tanggal diserahkan kepada Validator]),"")</f>
        <v>45888.60895</v>
      </c>
      <c r="F2974" s="36" t="str">
        <f t="array" ref="F2974">IFNA(_xlfn.XLOOKUP(D2974,Table_Tarikan_Warkah[Nomor Tiket],Table_Tarikan_Warkah[Nama Petugas Warkah]),"")</f>
        <v>Berry</v>
      </c>
      <c r="G2974" s="39" t="str">
        <f t="array" ref="G2974">IFNA(_xlfn.XLOOKUP(D2974,Table_Tarikan_Warkah[Nomor Tiket],Table_Tarikan_Warkah[Jenis Permohonan]),"")</f>
        <v>ROYA</v>
      </c>
      <c r="H2974" s="41" t="s">
        <v>2315</v>
      </c>
      <c r="I2974" s="49" t="s">
        <v>23</v>
      </c>
      <c r="J2974" s="36">
        <f t="shared" si="20"/>
        <v>45853.55751</v>
      </c>
      <c r="K2974" s="49" t="s">
        <v>2378</v>
      </c>
      <c r="L2974" s="49" t="s">
        <v>23</v>
      </c>
      <c r="M2974" s="36">
        <f t="shared" si="33"/>
        <v>45854.5605</v>
      </c>
      <c r="N2974" s="30" t="str">
        <f t="shared" si="34"/>
        <v>Selesai</v>
      </c>
      <c r="O2974" s="45">
        <f t="shared" si="23"/>
        <v>45854.5605</v>
      </c>
      <c r="P2974" s="47" t="b">
        <v>0</v>
      </c>
      <c r="Q2974" s="36" t="str">
        <f t="shared" si="24"/>
        <v/>
      </c>
      <c r="R2974" s="47" t="b">
        <v>0</v>
      </c>
      <c r="S2974" s="42" t="str">
        <f t="shared" si="28"/>
        <v/>
      </c>
      <c r="T2974" s="42"/>
    </row>
    <row r="2975" ht="22.5" customHeight="1">
      <c r="B2975" s="42">
        <f t="shared" si="7"/>
        <v>2969</v>
      </c>
      <c r="C2975" s="31" t="s">
        <v>3042</v>
      </c>
      <c r="D2975" s="34" t="str">
        <f t="array" ref="D2975">IFNA(_xlfn.XLOOKUP(C2975,Table_Tarikan_Warkah[Nomor Sertipikat],Table_Tarikan_Warkah[Nomor Tiket]),"")</f>
        <v>K/15/010725/3</v>
      </c>
      <c r="E2975" s="36">
        <f t="array" ref="E2975">IFNA(_xlfn.XLOOKUP(D2975,Table_Tarikan_Warkah[Nomor Tiket],Table_Tarikan_Warkah[Tanggal diserahkan kepada Validator]),"")</f>
        <v>45856.52054</v>
      </c>
      <c r="F2975" s="36" t="str">
        <f t="array" ref="F2975">IFNA(_xlfn.XLOOKUP(D2975,Table_Tarikan_Warkah[Nomor Tiket],Table_Tarikan_Warkah[Nama Petugas Warkah]),"")</f>
        <v>Berry</v>
      </c>
      <c r="G2975" s="39" t="str">
        <f t="array" ref="G2975">IFNA(_xlfn.XLOOKUP(D2975,Table_Tarikan_Warkah[Nomor Tiket],Table_Tarikan_Warkah[Jenis Permohonan]),"")</f>
        <v>BN JUAL BELI</v>
      </c>
      <c r="H2975" s="41" t="s">
        <v>2315</v>
      </c>
      <c r="I2975" s="49" t="s">
        <v>23</v>
      </c>
      <c r="J2975" s="36">
        <f t="shared" si="20"/>
        <v>45853.55768</v>
      </c>
      <c r="K2975" s="49" t="s">
        <v>2378</v>
      </c>
      <c r="L2975" s="49" t="s">
        <v>23</v>
      </c>
      <c r="M2975" s="36">
        <f t="shared" si="33"/>
        <v>45854.55856</v>
      </c>
      <c r="N2975" s="30" t="str">
        <f t="shared" si="34"/>
        <v>Selesai</v>
      </c>
      <c r="O2975" s="45">
        <f t="shared" si="23"/>
        <v>45854.55856</v>
      </c>
      <c r="P2975" s="47" t="b">
        <v>0</v>
      </c>
      <c r="Q2975" s="36" t="str">
        <f t="shared" si="24"/>
        <v/>
      </c>
      <c r="R2975" s="47" t="b">
        <v>0</v>
      </c>
      <c r="S2975" s="42" t="str">
        <f t="shared" si="28"/>
        <v/>
      </c>
      <c r="T2975" s="42"/>
    </row>
    <row r="2976" ht="22.5" customHeight="1">
      <c r="B2976" s="42">
        <f t="shared" si="7"/>
        <v>2970</v>
      </c>
      <c r="C2976" s="31" t="s">
        <v>3043</v>
      </c>
      <c r="D2976" s="34" t="str">
        <f t="array" ref="D2976">IFNA(_xlfn.XLOOKUP(C2976,Table_Tarikan_Warkah[Nomor Sertipikat],Table_Tarikan_Warkah[Nomor Tiket]),"")</f>
        <v>K/37/030725/2</v>
      </c>
      <c r="E2976" s="36">
        <f t="array" ref="E2976">IFNA(_xlfn.XLOOKUP(D2976,Table_Tarikan_Warkah[Nomor Tiket],Table_Tarikan_Warkah[Tanggal diserahkan kepada Validator]),"")</f>
        <v>45918.55504</v>
      </c>
      <c r="F2976" s="36" t="str">
        <f t="array" ref="F2976">IFNA(_xlfn.XLOOKUP(D2976,Table_Tarikan_Warkah[Nomor Tiket],Table_Tarikan_Warkah[Nama Petugas Warkah]),"")</f>
        <v>Berry</v>
      </c>
      <c r="G2976" s="39" t="str">
        <f t="array" ref="G2976">IFNA(_xlfn.XLOOKUP(D2976,Table_Tarikan_Warkah[Nomor Tiket],Table_Tarikan_Warkah[Jenis Permohonan]),"")</f>
        <v>BN JUAL BELI</v>
      </c>
      <c r="H2976" s="41" t="s">
        <v>2315</v>
      </c>
      <c r="I2976" s="49" t="s">
        <v>23</v>
      </c>
      <c r="J2976" s="36">
        <f t="shared" si="20"/>
        <v>45853.5578</v>
      </c>
      <c r="K2976" s="49" t="s">
        <v>2378</v>
      </c>
      <c r="L2976" s="49" t="s">
        <v>23</v>
      </c>
      <c r="M2976" s="36">
        <f t="shared" si="33"/>
        <v>45854.55871</v>
      </c>
      <c r="N2976" s="30" t="str">
        <f t="shared" si="34"/>
        <v>Selesai</v>
      </c>
      <c r="O2976" s="45">
        <f t="shared" si="23"/>
        <v>45854.55871</v>
      </c>
      <c r="P2976" s="47" t="b">
        <v>0</v>
      </c>
      <c r="Q2976" s="36" t="str">
        <f t="shared" si="24"/>
        <v/>
      </c>
      <c r="R2976" s="47" t="b">
        <v>0</v>
      </c>
      <c r="S2976" s="42" t="str">
        <f t="shared" si="28"/>
        <v/>
      </c>
      <c r="T2976" s="42"/>
    </row>
    <row r="2977" ht="22.5" customHeight="1">
      <c r="B2977" s="42">
        <f t="shared" si="7"/>
        <v>2971</v>
      </c>
      <c r="C2977" s="31" t="s">
        <v>3044</v>
      </c>
      <c r="D2977" s="34" t="str">
        <f t="array" ref="D2977">IFNA(_xlfn.XLOOKUP(C2977,Table_Tarikan_Warkah[Nomor Sertipikat],Table_Tarikan_Warkah[Nomor Tiket]),"")</f>
        <v>K/41/100725/3</v>
      </c>
      <c r="E2977" s="36">
        <f t="array" ref="E2977">IFNA(_xlfn.XLOOKUP(D2977,Table_Tarikan_Warkah[Nomor Tiket],Table_Tarikan_Warkah[Tanggal diserahkan kepada Validator]),"")</f>
        <v>45856.51918</v>
      </c>
      <c r="F2977" s="36" t="str">
        <f t="array" ref="F2977">IFNA(_xlfn.XLOOKUP(D2977,Table_Tarikan_Warkah[Nomor Tiket],Table_Tarikan_Warkah[Nama Petugas Warkah]),"")</f>
        <v>Berry</v>
      </c>
      <c r="G2977" s="39" t="str">
        <f t="array" ref="G2977">IFNA(_xlfn.XLOOKUP(D2977,Table_Tarikan_Warkah[Nomor Tiket],Table_Tarikan_Warkah[Jenis Permohonan]),"")</f>
        <v>BN JUAL BELI</v>
      </c>
      <c r="H2977" s="41" t="s">
        <v>2315</v>
      </c>
      <c r="I2977" s="49" t="s">
        <v>23</v>
      </c>
      <c r="J2977" s="36">
        <f t="shared" si="20"/>
        <v>45853.55801</v>
      </c>
      <c r="K2977" s="49" t="s">
        <v>2378</v>
      </c>
      <c r="L2977" s="49" t="s">
        <v>23</v>
      </c>
      <c r="M2977" s="36">
        <f t="shared" si="33"/>
        <v>45854.55904</v>
      </c>
      <c r="N2977" s="30" t="str">
        <f t="shared" si="34"/>
        <v>Selesai</v>
      </c>
      <c r="O2977" s="45">
        <f t="shared" si="23"/>
        <v>45854.55904</v>
      </c>
      <c r="P2977" s="47" t="b">
        <v>0</v>
      </c>
      <c r="Q2977" s="36" t="str">
        <f t="shared" si="24"/>
        <v/>
      </c>
      <c r="R2977" s="47" t="b">
        <v>0</v>
      </c>
      <c r="S2977" s="42" t="str">
        <f t="shared" si="28"/>
        <v/>
      </c>
      <c r="T2977" s="42"/>
    </row>
    <row r="2978" ht="22.5" customHeight="1">
      <c r="B2978" s="42">
        <f t="shared" si="7"/>
        <v>2972</v>
      </c>
      <c r="C2978" s="31" t="s">
        <v>3045</v>
      </c>
      <c r="D2978" s="34" t="str">
        <f t="array" ref="D2978">IFNA(_xlfn.XLOOKUP(C2978,Table_Tarikan_Warkah[Nomor Sertipikat],Table_Tarikan_Warkah[Nomor Tiket]),"")</f>
        <v>K/32/040725/1</v>
      </c>
      <c r="E2978" s="36">
        <f t="array" ref="E2978">IFNA(_xlfn.XLOOKUP(D2978,Table_Tarikan_Warkah[Nomor Tiket],Table_Tarikan_Warkah[Tanggal diserahkan kepada Validator]),"")</f>
        <v>45856.51891</v>
      </c>
      <c r="F2978" s="36" t="str">
        <f t="array" ref="F2978">IFNA(_xlfn.XLOOKUP(D2978,Table_Tarikan_Warkah[Nomor Tiket],Table_Tarikan_Warkah[Nama Petugas Warkah]),"")</f>
        <v>Berry</v>
      </c>
      <c r="G2978" s="39" t="str">
        <f t="array" ref="G2978">IFNA(_xlfn.XLOOKUP(D2978,Table_Tarikan_Warkah[Nomor Tiket],Table_Tarikan_Warkah[Jenis Permohonan]),"")</f>
        <v>BN WARIS</v>
      </c>
      <c r="H2978" s="41" t="s">
        <v>2315</v>
      </c>
      <c r="I2978" s="49" t="s">
        <v>23</v>
      </c>
      <c r="J2978" s="36">
        <f t="shared" si="20"/>
        <v>45853.55814</v>
      </c>
      <c r="K2978" s="49" t="s">
        <v>2378</v>
      </c>
      <c r="L2978" s="49" t="s">
        <v>23</v>
      </c>
      <c r="M2978" s="36">
        <f t="shared" si="33"/>
        <v>45854.55913</v>
      </c>
      <c r="N2978" s="30" t="str">
        <f t="shared" si="34"/>
        <v>Selesai</v>
      </c>
      <c r="O2978" s="45">
        <f t="shared" si="23"/>
        <v>45854.55913</v>
      </c>
      <c r="P2978" s="47" t="b">
        <v>0</v>
      </c>
      <c r="Q2978" s="36" t="str">
        <f t="shared" si="24"/>
        <v/>
      </c>
      <c r="R2978" s="47" t="b">
        <v>0</v>
      </c>
      <c r="S2978" s="42" t="str">
        <f t="shared" si="28"/>
        <v/>
      </c>
      <c r="T2978" s="42"/>
    </row>
    <row r="2979" ht="22.5" customHeight="1">
      <c r="B2979" s="42">
        <f t="shared" si="7"/>
        <v>2973</v>
      </c>
      <c r="C2979" s="31" t="s">
        <v>3046</v>
      </c>
      <c r="D2979" s="34" t="str">
        <f t="array" ref="D2979">IFNA(_xlfn.XLOOKUP(C2979,Table_Tarikan_Warkah[Nomor Sertipikat],Table_Tarikan_Warkah[Nomor Tiket]),"")</f>
        <v>K/22/020725/1</v>
      </c>
      <c r="E2979" s="36">
        <f t="array" ref="E2979">IFNA(_xlfn.XLOOKUP(D2979,Table_Tarikan_Warkah[Nomor Tiket],Table_Tarikan_Warkah[Tanggal diserahkan kepada Validator]),"")</f>
        <v>45856.51728</v>
      </c>
      <c r="F2979" s="36" t="str">
        <f t="array" ref="F2979">IFNA(_xlfn.XLOOKUP(D2979,Table_Tarikan_Warkah[Nomor Tiket],Table_Tarikan_Warkah[Nama Petugas Warkah]),"")</f>
        <v>Berry</v>
      </c>
      <c r="G2979" s="39" t="str">
        <f t="array" ref="G2979">IFNA(_xlfn.XLOOKUP(D2979,Table_Tarikan_Warkah[Nomor Tiket],Table_Tarikan_Warkah[Jenis Permohonan]),"")</f>
        <v>BN JUAL BELI</v>
      </c>
      <c r="H2979" s="41" t="s">
        <v>2315</v>
      </c>
      <c r="I2979" s="49" t="s">
        <v>23</v>
      </c>
      <c r="J2979" s="36">
        <f t="shared" si="20"/>
        <v>45853.55828</v>
      </c>
      <c r="K2979" s="49" t="s">
        <v>2378</v>
      </c>
      <c r="L2979" s="49" t="s">
        <v>23</v>
      </c>
      <c r="M2979" s="36">
        <f t="shared" si="33"/>
        <v>45854.59553</v>
      </c>
      <c r="N2979" s="30" t="str">
        <f t="shared" si="34"/>
        <v>Selesai</v>
      </c>
      <c r="O2979" s="45">
        <f t="shared" si="23"/>
        <v>45854.59553</v>
      </c>
      <c r="P2979" s="47" t="b">
        <v>0</v>
      </c>
      <c r="Q2979" s="36" t="str">
        <f t="shared" si="24"/>
        <v/>
      </c>
      <c r="R2979" s="47" t="b">
        <v>0</v>
      </c>
      <c r="S2979" s="42" t="str">
        <f t="shared" si="28"/>
        <v/>
      </c>
      <c r="T2979" s="42"/>
    </row>
    <row r="2980" ht="22.5" customHeight="1">
      <c r="B2980" s="42">
        <f t="shared" si="7"/>
        <v>2974</v>
      </c>
      <c r="C2980" s="31" t="s">
        <v>3047</v>
      </c>
      <c r="D2980" s="34" t="str">
        <f t="array" ref="D2980">IFNA(_xlfn.XLOOKUP(C2980,Table_Tarikan_Warkah[Nomor Sertipikat],Table_Tarikan_Warkah[Nomor Tiket]),"")</f>
        <v>K/11/100725/3</v>
      </c>
      <c r="E2980" s="36">
        <f t="array" ref="E2980">IFNA(_xlfn.XLOOKUP(D2980,Table_Tarikan_Warkah[Nomor Tiket],Table_Tarikan_Warkah[Tanggal diserahkan kepada Validator]),"")</f>
        <v>45888.60912</v>
      </c>
      <c r="F2980" s="36" t="str">
        <f t="array" ref="F2980">IFNA(_xlfn.XLOOKUP(D2980,Table_Tarikan_Warkah[Nomor Tiket],Table_Tarikan_Warkah[Nama Petugas Warkah]),"")</f>
        <v>Berry</v>
      </c>
      <c r="G2980" s="39" t="str">
        <f t="array" ref="G2980">IFNA(_xlfn.XLOOKUP(D2980,Table_Tarikan_Warkah[Nomor Tiket],Table_Tarikan_Warkah[Jenis Permohonan]),"")</f>
        <v>ROYA</v>
      </c>
      <c r="H2980" s="41" t="s">
        <v>2315</v>
      </c>
      <c r="I2980" s="49" t="s">
        <v>23</v>
      </c>
      <c r="J2980" s="36">
        <f t="shared" si="20"/>
        <v>45853.55851</v>
      </c>
      <c r="K2980" s="49" t="s">
        <v>2378</v>
      </c>
      <c r="L2980" s="49" t="s">
        <v>23</v>
      </c>
      <c r="M2980" s="36">
        <f t="shared" si="33"/>
        <v>45854.56026</v>
      </c>
      <c r="N2980" s="30" t="str">
        <f t="shared" si="34"/>
        <v>Selesai</v>
      </c>
      <c r="O2980" s="45">
        <f t="shared" si="23"/>
        <v>45854.56026</v>
      </c>
      <c r="P2980" s="47" t="b">
        <v>0</v>
      </c>
      <c r="Q2980" s="36" t="str">
        <f t="shared" si="24"/>
        <v/>
      </c>
      <c r="R2980" s="47" t="b">
        <v>0</v>
      </c>
      <c r="S2980" s="42" t="str">
        <f t="shared" si="28"/>
        <v/>
      </c>
      <c r="T2980" s="42"/>
    </row>
    <row r="2981" ht="22.5" customHeight="1">
      <c r="B2981" s="42">
        <f t="shared" si="7"/>
        <v>2975</v>
      </c>
      <c r="C2981" s="31" t="s">
        <v>3048</v>
      </c>
      <c r="D2981" s="34" t="str">
        <f t="array" ref="D2981">IFNA(_xlfn.XLOOKUP(C2981,Table_Tarikan_Warkah[Nomor Sertipikat],Table_Tarikan_Warkah[Nomor Tiket]),"")</f>
        <v>K/38/010725/1</v>
      </c>
      <c r="E2981" s="36">
        <f t="array" ref="E2981">IFNA(_xlfn.XLOOKUP(D2981,Table_Tarikan_Warkah[Nomor Tiket],Table_Tarikan_Warkah[Tanggal diserahkan kepada Validator]),"")</f>
        <v>45856.52077</v>
      </c>
      <c r="F2981" s="36" t="str">
        <f t="array" ref="F2981">IFNA(_xlfn.XLOOKUP(D2981,Table_Tarikan_Warkah[Nomor Tiket],Table_Tarikan_Warkah[Nama Petugas Warkah]),"")</f>
        <v>Berry</v>
      </c>
      <c r="G2981" s="39" t="str">
        <f t="array" ref="G2981">IFNA(_xlfn.XLOOKUP(D2981,Table_Tarikan_Warkah[Nomor Tiket],Table_Tarikan_Warkah[Jenis Permohonan]),"")</f>
        <v>HIBAH</v>
      </c>
      <c r="H2981" s="41" t="s">
        <v>2315</v>
      </c>
      <c r="I2981" s="49" t="s">
        <v>23</v>
      </c>
      <c r="J2981" s="36">
        <f t="shared" si="20"/>
        <v>45853.55865</v>
      </c>
      <c r="K2981" s="49" t="s">
        <v>2378</v>
      </c>
      <c r="L2981" s="49" t="s">
        <v>23</v>
      </c>
      <c r="M2981" s="36">
        <f t="shared" si="33"/>
        <v>45854.55947</v>
      </c>
      <c r="N2981" s="30" t="str">
        <f t="shared" si="34"/>
        <v>Selesai</v>
      </c>
      <c r="O2981" s="45">
        <f t="shared" si="23"/>
        <v>45854.55947</v>
      </c>
      <c r="P2981" s="47" t="b">
        <v>0</v>
      </c>
      <c r="Q2981" s="36" t="str">
        <f t="shared" si="24"/>
        <v/>
      </c>
      <c r="R2981" s="47" t="b">
        <v>0</v>
      </c>
      <c r="S2981" s="42" t="str">
        <f t="shared" si="28"/>
        <v/>
      </c>
      <c r="T2981" s="42"/>
    </row>
    <row r="2982" ht="22.5" customHeight="1">
      <c r="B2982" s="42">
        <f t="shared" si="7"/>
        <v>2976</v>
      </c>
      <c r="C2982" s="31" t="s">
        <v>3049</v>
      </c>
      <c r="D2982" s="34" t="str">
        <f t="array" ref="D2982">IFNA(_xlfn.XLOOKUP(C2982,Table_Tarikan_Warkah[Nomor Sertipikat],Table_Tarikan_Warkah[Nomor Tiket]),"")</f>
        <v>K/10/240625/1</v>
      </c>
      <c r="E2982" s="36">
        <f t="array" ref="E2982">IFNA(_xlfn.XLOOKUP(D2982,Table_Tarikan_Warkah[Nomor Tiket],Table_Tarikan_Warkah[Tanggal diserahkan kepada Validator]),"")</f>
        <v>45856.52858</v>
      </c>
      <c r="F2982" s="36" t="str">
        <f t="array" ref="F2982">IFNA(_xlfn.XLOOKUP(D2982,Table_Tarikan_Warkah[Nomor Tiket],Table_Tarikan_Warkah[Nama Petugas Warkah]),"")</f>
        <v>Berry</v>
      </c>
      <c r="G2982" s="39" t="str">
        <f t="array" ref="G2982">IFNA(_xlfn.XLOOKUP(D2982,Table_Tarikan_Warkah[Nomor Tiket],Table_Tarikan_Warkah[Jenis Permohonan]),"")</f>
        <v>KEWARISAN</v>
      </c>
      <c r="H2982" s="41" t="s">
        <v>2315</v>
      </c>
      <c r="I2982" s="49" t="s">
        <v>23</v>
      </c>
      <c r="J2982" s="36">
        <f t="shared" si="20"/>
        <v>45853.55882</v>
      </c>
      <c r="K2982" s="49" t="s">
        <v>2378</v>
      </c>
      <c r="L2982" s="49" t="s">
        <v>23</v>
      </c>
      <c r="M2982" s="36">
        <f t="shared" si="33"/>
        <v>45854.59553</v>
      </c>
      <c r="N2982" s="30" t="str">
        <f t="shared" si="34"/>
        <v>Selesai</v>
      </c>
      <c r="O2982" s="45">
        <f t="shared" si="23"/>
        <v>45854.59553</v>
      </c>
      <c r="P2982" s="47" t="b">
        <v>0</v>
      </c>
      <c r="Q2982" s="36" t="str">
        <f t="shared" si="24"/>
        <v/>
      </c>
      <c r="R2982" s="47" t="b">
        <v>0</v>
      </c>
      <c r="S2982" s="42" t="str">
        <f t="shared" si="28"/>
        <v/>
      </c>
      <c r="T2982" s="42"/>
    </row>
    <row r="2983" ht="22.5" customHeight="1">
      <c r="B2983" s="42">
        <f t="shared" si="7"/>
        <v>2977</v>
      </c>
      <c r="C2983" s="31" t="s">
        <v>3050</v>
      </c>
      <c r="D2983" s="34" t="str">
        <f t="array" ref="D2983">IFNA(_xlfn.XLOOKUP(C2983,Table_Tarikan_Warkah[Nomor Sertipikat],Table_Tarikan_Warkah[Nomor Tiket]),"")</f>
        <v>K/39/010725/2</v>
      </c>
      <c r="E2983" s="36">
        <f t="array" ref="E2983">IFNA(_xlfn.XLOOKUP(D2983,Table_Tarikan_Warkah[Nomor Tiket],Table_Tarikan_Warkah[Tanggal diserahkan kepada Validator]),"")</f>
        <v>45856.52775</v>
      </c>
      <c r="F2983" s="36" t="str">
        <f t="array" ref="F2983">IFNA(_xlfn.XLOOKUP(D2983,Table_Tarikan_Warkah[Nomor Tiket],Table_Tarikan_Warkah[Nama Petugas Warkah]),"")</f>
        <v>Berry</v>
      </c>
      <c r="G2983" s="39" t="str">
        <f t="array" ref="G2983">IFNA(_xlfn.XLOOKUP(D2983,Table_Tarikan_Warkah[Nomor Tiket],Table_Tarikan_Warkah[Jenis Permohonan]),"")</f>
        <v>HIBAH</v>
      </c>
      <c r="H2983" s="41" t="s">
        <v>2315</v>
      </c>
      <c r="I2983" s="49" t="s">
        <v>23</v>
      </c>
      <c r="J2983" s="36">
        <f t="shared" si="20"/>
        <v>45853.55893</v>
      </c>
      <c r="K2983" s="49" t="s">
        <v>2378</v>
      </c>
      <c r="L2983" s="49" t="s">
        <v>23</v>
      </c>
      <c r="M2983" s="36">
        <f t="shared" si="33"/>
        <v>45854.59553</v>
      </c>
      <c r="N2983" s="30" t="str">
        <f t="shared" si="34"/>
        <v>Selesai</v>
      </c>
      <c r="O2983" s="45">
        <f t="shared" si="23"/>
        <v>45854.59553</v>
      </c>
      <c r="P2983" s="47" t="b">
        <v>0</v>
      </c>
      <c r="Q2983" s="36" t="str">
        <f t="shared" si="24"/>
        <v/>
      </c>
      <c r="R2983" s="47" t="b">
        <v>0</v>
      </c>
      <c r="S2983" s="42" t="str">
        <f t="shared" si="28"/>
        <v/>
      </c>
      <c r="T2983" s="42"/>
    </row>
    <row r="2984" ht="22.5" customHeight="1">
      <c r="B2984" s="42">
        <f t="shared" si="7"/>
        <v>2978</v>
      </c>
      <c r="C2984" s="31" t="s">
        <v>3051</v>
      </c>
      <c r="D2984" s="34" t="str">
        <f t="array" ref="D2984">IFNA(_xlfn.XLOOKUP(C2984,Table_Tarikan_Warkah[Nomor Sertipikat],Table_Tarikan_Warkah[Nomor Tiket]),"")</f>
        <v>K/37/250625/1</v>
      </c>
      <c r="E2984" s="36">
        <f t="array" ref="E2984">IFNA(_xlfn.XLOOKUP(D2984,Table_Tarikan_Warkah[Nomor Tiket],Table_Tarikan_Warkah[Tanggal diserahkan kepada Validator]),"")</f>
        <v>45856.52753</v>
      </c>
      <c r="F2984" s="36" t="str">
        <f t="array" ref="F2984">IFNA(_xlfn.XLOOKUP(D2984,Table_Tarikan_Warkah[Nomor Tiket],Table_Tarikan_Warkah[Nama Petugas Warkah]),"")</f>
        <v>Berry</v>
      </c>
      <c r="G2984" s="39" t="str">
        <f t="array" ref="G2984">IFNA(_xlfn.XLOOKUP(D2984,Table_Tarikan_Warkah[Nomor Tiket],Table_Tarikan_Warkah[Jenis Permohonan]),"")</f>
        <v>JUAL BELI</v>
      </c>
      <c r="H2984" s="41" t="s">
        <v>2315</v>
      </c>
      <c r="I2984" s="49" t="s">
        <v>23</v>
      </c>
      <c r="J2984" s="36">
        <f t="shared" si="20"/>
        <v>45853.55908</v>
      </c>
      <c r="K2984" s="49" t="s">
        <v>2378</v>
      </c>
      <c r="L2984" s="49" t="s">
        <v>23</v>
      </c>
      <c r="M2984" s="36">
        <f t="shared" si="33"/>
        <v>45854.59553</v>
      </c>
      <c r="N2984" s="30" t="str">
        <f t="shared" si="34"/>
        <v>Selesai</v>
      </c>
      <c r="O2984" s="45">
        <f t="shared" si="23"/>
        <v>45854.59553</v>
      </c>
      <c r="P2984" s="47" t="b">
        <v>0</v>
      </c>
      <c r="Q2984" s="36" t="str">
        <f t="shared" si="24"/>
        <v/>
      </c>
      <c r="R2984" s="47" t="b">
        <v>0</v>
      </c>
      <c r="S2984" s="42" t="str">
        <f t="shared" si="28"/>
        <v/>
      </c>
      <c r="T2984" s="42"/>
    </row>
    <row r="2985" ht="22.5" customHeight="1">
      <c r="B2985" s="42">
        <f t="shared" si="7"/>
        <v>2979</v>
      </c>
      <c r="C2985" s="31" t="s">
        <v>3052</v>
      </c>
      <c r="D2985" s="34" t="str">
        <f t="array" ref="D2985">IFNA(_xlfn.XLOOKUP(C2985,Table_Tarikan_Warkah[Nomor Sertipikat],Table_Tarikan_Warkah[Nomor Tiket]),"")</f>
        <v>K/26/260625/2</v>
      </c>
      <c r="E2985" s="36">
        <f t="array" ref="E2985">IFNA(_xlfn.XLOOKUP(D2985,Table_Tarikan_Warkah[Nomor Tiket],Table_Tarikan_Warkah[Tanggal diserahkan kepada Validator]),"")</f>
        <v>45856.5263</v>
      </c>
      <c r="F2985" s="36" t="str">
        <f t="array" ref="F2985">IFNA(_xlfn.XLOOKUP(D2985,Table_Tarikan_Warkah[Nomor Tiket],Table_Tarikan_Warkah[Nama Petugas Warkah]),"")</f>
        <v>Berry</v>
      </c>
      <c r="G2985" s="39" t="str">
        <f t="array" ref="G2985">IFNA(_xlfn.XLOOKUP(D2985,Table_Tarikan_Warkah[Nomor Tiket],Table_Tarikan_Warkah[Jenis Permohonan]),"")</f>
        <v>JUAL BELI</v>
      </c>
      <c r="H2985" s="41" t="s">
        <v>2315</v>
      </c>
      <c r="I2985" s="49" t="s">
        <v>23</v>
      </c>
      <c r="J2985" s="36">
        <f t="shared" si="20"/>
        <v>45853.55925</v>
      </c>
      <c r="K2985" s="49" t="s">
        <v>2378</v>
      </c>
      <c r="L2985" s="49" t="s">
        <v>23</v>
      </c>
      <c r="M2985" s="36">
        <f t="shared" si="33"/>
        <v>45854.56081</v>
      </c>
      <c r="N2985" s="30" t="str">
        <f t="shared" si="34"/>
        <v>Selesai</v>
      </c>
      <c r="O2985" s="45">
        <f t="shared" si="23"/>
        <v>45854.56081</v>
      </c>
      <c r="P2985" s="47" t="b">
        <v>0</v>
      </c>
      <c r="Q2985" s="36" t="str">
        <f t="shared" si="24"/>
        <v/>
      </c>
      <c r="R2985" s="47" t="b">
        <v>0</v>
      </c>
      <c r="S2985" s="42" t="str">
        <f t="shared" si="28"/>
        <v/>
      </c>
      <c r="T2985" s="42"/>
    </row>
    <row r="2986" ht="22.5" customHeight="1">
      <c r="B2986" s="42">
        <f t="shared" si="7"/>
        <v>2980</v>
      </c>
      <c r="C2986" s="31" t="s">
        <v>3053</v>
      </c>
      <c r="D2986" s="34" t="str">
        <f t="array" ref="D2986">IFNA(_xlfn.XLOOKUP(C2986,Table_Tarikan_Warkah[Nomor Sertipikat],Table_Tarikan_Warkah[Nomor Tiket]),"")</f>
        <v>K/39/260625/1</v>
      </c>
      <c r="E2986" s="36">
        <f t="array" ref="E2986">IFNA(_xlfn.XLOOKUP(D2986,Table_Tarikan_Warkah[Nomor Tiket],Table_Tarikan_Warkah[Tanggal diserahkan kepada Validator]),"")</f>
        <v>45856.52656</v>
      </c>
      <c r="F2986" s="36" t="str">
        <f t="array" ref="F2986">IFNA(_xlfn.XLOOKUP(D2986,Table_Tarikan_Warkah[Nomor Tiket],Table_Tarikan_Warkah[Nama Petugas Warkah]),"")</f>
        <v>Berry</v>
      </c>
      <c r="G2986" s="39" t="str">
        <f t="array" ref="G2986">IFNA(_xlfn.XLOOKUP(D2986,Table_Tarikan_Warkah[Nomor Tiket],Table_Tarikan_Warkah[Jenis Permohonan]),"")</f>
        <v>JUAL BELI</v>
      </c>
      <c r="H2986" s="41" t="s">
        <v>2315</v>
      </c>
      <c r="I2986" s="49" t="s">
        <v>23</v>
      </c>
      <c r="J2986" s="36">
        <f t="shared" si="20"/>
        <v>45853.5594</v>
      </c>
      <c r="K2986" s="49" t="s">
        <v>2378</v>
      </c>
      <c r="L2986" s="49" t="s">
        <v>23</v>
      </c>
      <c r="M2986" s="36">
        <f t="shared" si="33"/>
        <v>45854.59553</v>
      </c>
      <c r="N2986" s="30" t="str">
        <f t="shared" si="34"/>
        <v>Selesai</v>
      </c>
      <c r="O2986" s="45">
        <f t="shared" si="23"/>
        <v>45854.59553</v>
      </c>
      <c r="P2986" s="47" t="b">
        <v>0</v>
      </c>
      <c r="Q2986" s="36" t="str">
        <f t="shared" si="24"/>
        <v/>
      </c>
      <c r="R2986" s="47" t="b">
        <v>0</v>
      </c>
      <c r="S2986" s="42" t="str">
        <f t="shared" si="28"/>
        <v/>
      </c>
      <c r="T2986" s="42"/>
    </row>
    <row r="2987" ht="22.5" customHeight="1">
      <c r="B2987" s="42">
        <f t="shared" si="7"/>
        <v>2981</v>
      </c>
      <c r="C2987" s="31" t="s">
        <v>3054</v>
      </c>
      <c r="D2987" s="34" t="str">
        <f t="array" ref="D2987">IFNA(_xlfn.XLOOKUP(C2987,Table_Tarikan_Warkah[Nomor Sertipikat],Table_Tarikan_Warkah[Nomor Tiket]),"")</f>
        <v>L/11/030725/1</v>
      </c>
      <c r="E2987" s="36">
        <f t="array" ref="E2987">IFNA(_xlfn.XLOOKUP(D2987,Table_Tarikan_Warkah[Nomor Tiket],Table_Tarikan_Warkah[Tanggal diserahkan kepada Validator]),"")</f>
        <v>45862.69411</v>
      </c>
      <c r="F2987" s="36" t="str">
        <f t="array" ref="F2987">IFNA(_xlfn.XLOOKUP(D2987,Table_Tarikan_Warkah[Nomor Tiket],Table_Tarikan_Warkah[Nama Petugas Warkah]),"")</f>
        <v>David</v>
      </c>
      <c r="G2987" s="39" t="str">
        <f t="array" ref="G2987">IFNA(_xlfn.XLOOKUP(D2987,Table_Tarikan_Warkah[Nomor Tiket],Table_Tarikan_Warkah[Jenis Permohonan]),"")</f>
        <v>PH</v>
      </c>
      <c r="H2987" s="41" t="s">
        <v>2315</v>
      </c>
      <c r="I2987" s="49" t="s">
        <v>23</v>
      </c>
      <c r="J2987" s="36">
        <f t="shared" si="20"/>
        <v>45853.55966</v>
      </c>
      <c r="K2987" s="49" t="s">
        <v>2378</v>
      </c>
      <c r="L2987" s="49" t="s">
        <v>23</v>
      </c>
      <c r="M2987" s="36">
        <f t="shared" si="33"/>
        <v>45854.59553</v>
      </c>
      <c r="N2987" s="30" t="str">
        <f t="shared" si="34"/>
        <v>Selesai</v>
      </c>
      <c r="O2987" s="45">
        <f t="shared" si="23"/>
        <v>45854.59553</v>
      </c>
      <c r="P2987" s="47" t="b">
        <v>0</v>
      </c>
      <c r="Q2987" s="36" t="str">
        <f t="shared" si="24"/>
        <v/>
      </c>
      <c r="R2987" s="47" t="b">
        <v>0</v>
      </c>
      <c r="S2987" s="42" t="str">
        <f t="shared" si="28"/>
        <v/>
      </c>
      <c r="T2987" s="42"/>
    </row>
    <row r="2988" ht="22.5" customHeight="1">
      <c r="B2988" s="42">
        <f t="shared" si="7"/>
        <v>2982</v>
      </c>
      <c r="C2988" s="31" t="s">
        <v>3055</v>
      </c>
      <c r="D2988" s="34" t="str">
        <f t="array" ref="D2988">IFNA(_xlfn.XLOOKUP(C2988,Table_Tarikan_Warkah[Nomor Sertipikat],Table_Tarikan_Warkah[Nomor Tiket]),"")</f>
        <v>L/10/070725/1</v>
      </c>
      <c r="E2988" s="36">
        <f t="array" ref="E2988">IFNA(_xlfn.XLOOKUP(D2988,Table_Tarikan_Warkah[Nomor Tiket],Table_Tarikan_Warkah[Tanggal diserahkan kepada Validator]),"")</f>
        <v>45898.65047</v>
      </c>
      <c r="F2988" s="36" t="str">
        <f t="array" ref="F2988">IFNA(_xlfn.XLOOKUP(D2988,Table_Tarikan_Warkah[Nomor Tiket],Table_Tarikan_Warkah[Nama Petugas Warkah]),"")</f>
        <v>Berry</v>
      </c>
      <c r="G2988" s="39" t="str">
        <f t="array" ref="G2988">IFNA(_xlfn.XLOOKUP(D2988,Table_Tarikan_Warkah[Nomor Tiket],Table_Tarikan_Warkah[Jenis Permohonan]),"")</f>
        <v>ROYA</v>
      </c>
      <c r="H2988" s="41" t="s">
        <v>2315</v>
      </c>
      <c r="I2988" s="49" t="s">
        <v>23</v>
      </c>
      <c r="J2988" s="36">
        <f t="shared" si="20"/>
        <v>45853.55981</v>
      </c>
      <c r="K2988" s="49" t="s">
        <v>2378</v>
      </c>
      <c r="L2988" s="49" t="s">
        <v>23</v>
      </c>
      <c r="M2988" s="36">
        <f t="shared" si="33"/>
        <v>45854.5619</v>
      </c>
      <c r="N2988" s="30" t="str">
        <f t="shared" si="34"/>
        <v>Selesai</v>
      </c>
      <c r="O2988" s="45">
        <f t="shared" si="23"/>
        <v>45854.5619</v>
      </c>
      <c r="P2988" s="47" t="b">
        <v>0</v>
      </c>
      <c r="Q2988" s="36" t="str">
        <f t="shared" si="24"/>
        <v/>
      </c>
      <c r="R2988" s="47" t="b">
        <v>0</v>
      </c>
      <c r="S2988" s="42" t="str">
        <f t="shared" si="28"/>
        <v/>
      </c>
      <c r="T2988" s="42"/>
    </row>
    <row r="2989" ht="22.5" customHeight="1">
      <c r="B2989" s="42">
        <f t="shared" si="7"/>
        <v>2983</v>
      </c>
      <c r="C2989" s="31" t="s">
        <v>3056</v>
      </c>
      <c r="D2989" s="34" t="str">
        <f t="array" ref="D2989">IFNA(_xlfn.XLOOKUP(C2989,Table_Tarikan_Warkah[Nomor Sertipikat],Table_Tarikan_Warkah[Nomor Tiket]),"")</f>
        <v>L/7/070725/2</v>
      </c>
      <c r="E2989" s="36">
        <f t="array" ref="E2989">IFNA(_xlfn.XLOOKUP(D2989,Table_Tarikan_Warkah[Nomor Tiket],Table_Tarikan_Warkah[Tanggal diserahkan kepada Validator]),"")</f>
        <v>45873.63399</v>
      </c>
      <c r="F2989" s="36" t="str">
        <f t="array" ref="F2989">IFNA(_xlfn.XLOOKUP(D2989,Table_Tarikan_Warkah[Nomor Tiket],Table_Tarikan_Warkah[Nama Petugas Warkah]),"")</f>
        <v>Berry</v>
      </c>
      <c r="G2989" s="39" t="str">
        <f t="array" ref="G2989">IFNA(_xlfn.XLOOKUP(D2989,Table_Tarikan_Warkah[Nomor Tiket],Table_Tarikan_Warkah[Jenis Permohonan]),"")</f>
        <v>ROYA</v>
      </c>
      <c r="H2989" s="41" t="s">
        <v>2315</v>
      </c>
      <c r="I2989" s="49" t="s">
        <v>23</v>
      </c>
      <c r="J2989" s="36">
        <f t="shared" si="20"/>
        <v>45853.55996</v>
      </c>
      <c r="K2989" s="49" t="s">
        <v>2378</v>
      </c>
      <c r="L2989" s="49" t="s">
        <v>23</v>
      </c>
      <c r="M2989" s="36">
        <f t="shared" si="33"/>
        <v>45854.56202</v>
      </c>
      <c r="N2989" s="30" t="str">
        <f t="shared" si="34"/>
        <v>Selesai</v>
      </c>
      <c r="O2989" s="45">
        <f t="shared" si="23"/>
        <v>45854.56202</v>
      </c>
      <c r="P2989" s="47" t="b">
        <v>0</v>
      </c>
      <c r="Q2989" s="36" t="str">
        <f t="shared" si="24"/>
        <v/>
      </c>
      <c r="R2989" s="47" t="b">
        <v>0</v>
      </c>
      <c r="S2989" s="42" t="str">
        <f t="shared" si="28"/>
        <v/>
      </c>
      <c r="T2989" s="42"/>
    </row>
    <row r="2990" ht="22.5" customHeight="1">
      <c r="B2990" s="42">
        <f t="shared" si="7"/>
        <v>2984</v>
      </c>
      <c r="C2990" s="31" t="s">
        <v>3057</v>
      </c>
      <c r="D2990" s="34" t="str">
        <f t="array" ref="D2990">IFNA(_xlfn.XLOOKUP(C2990,Table_Tarikan_Warkah[Nomor Sertipikat],Table_Tarikan_Warkah[Nomor Tiket]),"")</f>
        <v>L/2/300625/1</v>
      </c>
      <c r="E2990" s="36">
        <f t="array" ref="E2990">IFNA(_xlfn.XLOOKUP(D2990,Table_Tarikan_Warkah[Nomor Tiket],Table_Tarikan_Warkah[Tanggal diserahkan kepada Validator]),"")</f>
        <v>45873.63519</v>
      </c>
      <c r="F2990" s="36" t="str">
        <f t="array" ref="F2990">IFNA(_xlfn.XLOOKUP(D2990,Table_Tarikan_Warkah[Nomor Tiket],Table_Tarikan_Warkah[Nama Petugas Warkah]),"")</f>
        <v>Berry</v>
      </c>
      <c r="G2990" s="39" t="str">
        <f t="array" ref="G2990">IFNA(_xlfn.XLOOKUP(D2990,Table_Tarikan_Warkah[Nomor Tiket],Table_Tarikan_Warkah[Jenis Permohonan]),"")</f>
        <v>ROYA</v>
      </c>
      <c r="H2990" s="41" t="s">
        <v>2315</v>
      </c>
      <c r="I2990" s="49" t="s">
        <v>23</v>
      </c>
      <c r="J2990" s="36">
        <f t="shared" si="20"/>
        <v>45853.5602</v>
      </c>
      <c r="K2990" s="49" t="s">
        <v>2378</v>
      </c>
      <c r="L2990" s="49" t="s">
        <v>23</v>
      </c>
      <c r="M2990" s="36">
        <f t="shared" si="33"/>
        <v>45854.59553</v>
      </c>
      <c r="N2990" s="30" t="str">
        <f t="shared" si="34"/>
        <v>Selesai</v>
      </c>
      <c r="O2990" s="45">
        <f t="shared" si="23"/>
        <v>45854.59553</v>
      </c>
      <c r="P2990" s="47" t="b">
        <v>0</v>
      </c>
      <c r="Q2990" s="36" t="str">
        <f t="shared" si="24"/>
        <v/>
      </c>
      <c r="R2990" s="47" t="b">
        <v>0</v>
      </c>
      <c r="S2990" s="42" t="str">
        <f t="shared" si="28"/>
        <v/>
      </c>
      <c r="T2990" s="42"/>
    </row>
    <row r="2991" ht="22.5" customHeight="1">
      <c r="B2991" s="42">
        <f t="shared" si="7"/>
        <v>2985</v>
      </c>
      <c r="C2991" s="31" t="s">
        <v>3058</v>
      </c>
      <c r="D2991" s="34" t="str">
        <f t="array" ref="D2991">IFNA(_xlfn.XLOOKUP(C2991,Table_Tarikan_Warkah[Nomor Sertipikat],Table_Tarikan_Warkah[Nomor Tiket]),"")</f>
        <v>L/25/300625/3</v>
      </c>
      <c r="E2991" s="36">
        <f t="array" ref="E2991">IFNA(_xlfn.XLOOKUP(D2991,Table_Tarikan_Warkah[Nomor Tiket],Table_Tarikan_Warkah[Tanggal diserahkan kepada Validator]),"")</f>
        <v>45874.68723</v>
      </c>
      <c r="F2991" s="36" t="str">
        <f t="array" ref="F2991">IFNA(_xlfn.XLOOKUP(D2991,Table_Tarikan_Warkah[Nomor Tiket],Table_Tarikan_Warkah[Nama Petugas Warkah]),"")</f>
        <v>David</v>
      </c>
      <c r="G2991" s="39" t="str">
        <f t="array" ref="G2991">IFNA(_xlfn.XLOOKUP(D2991,Table_Tarikan_Warkah[Nomor Tiket],Table_Tarikan_Warkah[Jenis Permohonan]),"")</f>
        <v>ROYA</v>
      </c>
      <c r="H2991" s="41" t="s">
        <v>2315</v>
      </c>
      <c r="I2991" s="49" t="s">
        <v>23</v>
      </c>
      <c r="J2991" s="36">
        <f t="shared" si="20"/>
        <v>45853.56054</v>
      </c>
      <c r="K2991" s="49" t="s">
        <v>2378</v>
      </c>
      <c r="L2991" s="49" t="s">
        <v>23</v>
      </c>
      <c r="M2991" s="36">
        <f t="shared" si="33"/>
        <v>45854.56222</v>
      </c>
      <c r="N2991" s="30" t="str">
        <f t="shared" si="34"/>
        <v>Selesai</v>
      </c>
      <c r="O2991" s="45">
        <f t="shared" si="23"/>
        <v>45854.56222</v>
      </c>
      <c r="P2991" s="47" t="b">
        <v>0</v>
      </c>
      <c r="Q2991" s="36" t="str">
        <f t="shared" si="24"/>
        <v/>
      </c>
      <c r="R2991" s="47" t="b">
        <v>0</v>
      </c>
      <c r="S2991" s="42" t="str">
        <f t="shared" si="28"/>
        <v/>
      </c>
      <c r="T2991" s="42"/>
    </row>
    <row r="2992" ht="22.5" customHeight="1">
      <c r="B2992" s="42">
        <f t="shared" si="7"/>
        <v>2986</v>
      </c>
      <c r="C2992" s="31" t="s">
        <v>3059</v>
      </c>
      <c r="D2992" s="34" t="str">
        <f t="array" ref="D2992">IFNA(_xlfn.XLOOKUP(C2992,Table_Tarikan_Warkah[Nomor Sertipikat],Table_Tarikan_Warkah[Nomor Tiket]),"")</f>
        <v>L/6/070725/1</v>
      </c>
      <c r="E2992" s="36">
        <f t="array" ref="E2992">IFNA(_xlfn.XLOOKUP(D2992,Table_Tarikan_Warkah[Nomor Tiket],Table_Tarikan_Warkah[Tanggal diserahkan kepada Validator]),"")</f>
        <v>45874.68742</v>
      </c>
      <c r="F2992" s="36" t="str">
        <f t="array" ref="F2992">IFNA(_xlfn.XLOOKUP(D2992,Table_Tarikan_Warkah[Nomor Tiket],Table_Tarikan_Warkah[Nama Petugas Warkah]),"")</f>
        <v>David</v>
      </c>
      <c r="G2992" s="39" t="str">
        <f t="array" ref="G2992">IFNA(_xlfn.XLOOKUP(D2992,Table_Tarikan_Warkah[Nomor Tiket],Table_Tarikan_Warkah[Jenis Permohonan]),"")</f>
        <v>ROYA</v>
      </c>
      <c r="H2992" s="41" t="s">
        <v>2315</v>
      </c>
      <c r="I2992" s="49" t="s">
        <v>23</v>
      </c>
      <c r="J2992" s="36">
        <f t="shared" si="20"/>
        <v>45853.56072</v>
      </c>
      <c r="K2992" s="49" t="s">
        <v>2378</v>
      </c>
      <c r="L2992" s="49" t="s">
        <v>23</v>
      </c>
      <c r="M2992" s="36">
        <f t="shared" si="33"/>
        <v>45854.56242</v>
      </c>
      <c r="N2992" s="30" t="str">
        <f t="shared" si="34"/>
        <v>Selesai</v>
      </c>
      <c r="O2992" s="45">
        <f t="shared" si="23"/>
        <v>45854.56242</v>
      </c>
      <c r="P2992" s="47" t="b">
        <v>0</v>
      </c>
      <c r="Q2992" s="36" t="str">
        <f t="shared" si="24"/>
        <v/>
      </c>
      <c r="R2992" s="47" t="b">
        <v>0</v>
      </c>
      <c r="S2992" s="42" t="str">
        <f t="shared" si="28"/>
        <v/>
      </c>
      <c r="T2992" s="42"/>
    </row>
    <row r="2993" ht="22.5" customHeight="1">
      <c r="B2993" s="42">
        <f t="shared" si="7"/>
        <v>2987</v>
      </c>
      <c r="C2993" s="31" t="s">
        <v>3060</v>
      </c>
      <c r="D2993" s="34" t="str">
        <f t="array" ref="D2993">IFNA(_xlfn.XLOOKUP(C2993,Table_Tarikan_Warkah[Nomor Sertipikat],Table_Tarikan_Warkah[Nomor Tiket]),"")</f>
        <v>L/12/080725/1</v>
      </c>
      <c r="E2993" s="36">
        <f t="array" ref="E2993">IFNA(_xlfn.XLOOKUP(D2993,Table_Tarikan_Warkah[Nomor Tiket],Table_Tarikan_Warkah[Tanggal diserahkan kepada Validator]),"")</f>
        <v>45863.60786</v>
      </c>
      <c r="F2993" s="36" t="str">
        <f t="array" ref="F2993">IFNA(_xlfn.XLOOKUP(D2993,Table_Tarikan_Warkah[Nomor Tiket],Table_Tarikan_Warkah[Nama Petugas Warkah]),"")</f>
        <v>Berry</v>
      </c>
      <c r="G2993" s="39" t="str">
        <f t="array" ref="G2993">IFNA(_xlfn.XLOOKUP(D2993,Table_Tarikan_Warkah[Nomor Tiket],Table_Tarikan_Warkah[Jenis Permohonan]),"")</f>
        <v>ROYA</v>
      </c>
      <c r="H2993" s="41" t="s">
        <v>2315</v>
      </c>
      <c r="I2993" s="49" t="s">
        <v>23</v>
      </c>
      <c r="J2993" s="36">
        <f t="shared" si="20"/>
        <v>45853.56086</v>
      </c>
      <c r="K2993" s="49" t="s">
        <v>2378</v>
      </c>
      <c r="L2993" s="49" t="s">
        <v>23</v>
      </c>
      <c r="M2993" s="36">
        <f t="shared" si="33"/>
        <v>45854.56466</v>
      </c>
      <c r="N2993" s="30" t="str">
        <f t="shared" si="34"/>
        <v>Selesai</v>
      </c>
      <c r="O2993" s="45">
        <f t="shared" si="23"/>
        <v>45854.56466</v>
      </c>
      <c r="P2993" s="47" t="b">
        <v>0</v>
      </c>
      <c r="Q2993" s="36" t="str">
        <f t="shared" si="24"/>
        <v/>
      </c>
      <c r="R2993" s="47" t="b">
        <v>0</v>
      </c>
      <c r="S2993" s="42" t="str">
        <f t="shared" si="28"/>
        <v/>
      </c>
      <c r="T2993" s="42"/>
    </row>
    <row r="2994" ht="22.5" customHeight="1">
      <c r="B2994" s="42">
        <f t="shared" si="7"/>
        <v>2988</v>
      </c>
      <c r="C2994" s="31" t="s">
        <v>3061</v>
      </c>
      <c r="D2994" s="34" t="str">
        <f t="array" ref="D2994">IFNA(_xlfn.XLOOKUP(C2994,Table_Tarikan_Warkah[Nomor Sertipikat],Table_Tarikan_Warkah[Nomor Tiket]),"")</f>
        <v>K/30/080725/1</v>
      </c>
      <c r="E2994" s="36">
        <f t="array" ref="E2994">IFNA(_xlfn.XLOOKUP(D2994,Table_Tarikan_Warkah[Nomor Tiket],Table_Tarikan_Warkah[Tanggal diserahkan kepada Validator]),"")</f>
        <v>45856.53098</v>
      </c>
      <c r="F2994" s="36" t="str">
        <f t="array" ref="F2994">IFNA(_xlfn.XLOOKUP(D2994,Table_Tarikan_Warkah[Nomor Tiket],Table_Tarikan_Warkah[Nama Petugas Warkah]),"")</f>
        <v>Berry</v>
      </c>
      <c r="G2994" s="39" t="str">
        <f t="array" ref="G2994">IFNA(_xlfn.XLOOKUP(D2994,Table_Tarikan_Warkah[Nomor Tiket],Table_Tarikan_Warkah[Jenis Permohonan]),"")</f>
        <v>GANTI NAMA</v>
      </c>
      <c r="H2994" s="41" t="s">
        <v>2315</v>
      </c>
      <c r="I2994" s="49" t="s">
        <v>23</v>
      </c>
      <c r="J2994" s="36">
        <f t="shared" si="20"/>
        <v>45854.42071</v>
      </c>
      <c r="K2994" s="49" t="s">
        <v>2378</v>
      </c>
      <c r="L2994" s="49" t="s">
        <v>23</v>
      </c>
      <c r="M2994" s="36">
        <f t="shared" si="33"/>
        <v>45854.56454</v>
      </c>
      <c r="N2994" s="30" t="str">
        <f t="shared" si="34"/>
        <v>Selesai</v>
      </c>
      <c r="O2994" s="45">
        <f t="shared" si="23"/>
        <v>45854.56454</v>
      </c>
      <c r="P2994" s="47" t="b">
        <v>0</v>
      </c>
      <c r="Q2994" s="36" t="str">
        <f t="shared" si="24"/>
        <v/>
      </c>
      <c r="R2994" s="47" t="b">
        <v>0</v>
      </c>
      <c r="S2994" s="42" t="str">
        <f t="shared" si="28"/>
        <v/>
      </c>
      <c r="T2994" s="42"/>
    </row>
    <row r="2995" ht="22.5" customHeight="1">
      <c r="B2995" s="42">
        <f t="shared" si="7"/>
        <v>2989</v>
      </c>
      <c r="C2995" s="31" t="s">
        <v>3062</v>
      </c>
      <c r="D2995" s="34" t="str">
        <f t="array" ref="D2995">IFNA(_xlfn.XLOOKUP(C2995,Table_Tarikan_Warkah[Nomor Sertipikat],Table_Tarikan_Warkah[Nomor Tiket]),"")</f>
        <v>K/33/040725/1</v>
      </c>
      <c r="E2995" s="36">
        <f t="array" ref="E2995">IFNA(_xlfn.XLOOKUP(D2995,Table_Tarikan_Warkah[Nomor Tiket],Table_Tarikan_Warkah[Tanggal diserahkan kepada Validator]),"")</f>
        <v>45856.53228</v>
      </c>
      <c r="F2995" s="36" t="str">
        <f t="array" ref="F2995">IFNA(_xlfn.XLOOKUP(D2995,Table_Tarikan_Warkah[Nomor Tiket],Table_Tarikan_Warkah[Nama Petugas Warkah]),"")</f>
        <v>Berry</v>
      </c>
      <c r="G2995" s="39" t="str">
        <f t="array" ref="G2995">IFNA(_xlfn.XLOOKUP(D2995,Table_Tarikan_Warkah[Nomor Tiket],Table_Tarikan_Warkah[Jenis Permohonan]),"")</f>
        <v>BN JUAL BELI</v>
      </c>
      <c r="H2995" s="41" t="s">
        <v>2315</v>
      </c>
      <c r="I2995" s="49" t="s">
        <v>23</v>
      </c>
      <c r="J2995" s="36">
        <f t="shared" si="20"/>
        <v>45854.42093</v>
      </c>
      <c r="K2995" s="49" t="s">
        <v>2378</v>
      </c>
      <c r="L2995" s="49" t="s">
        <v>23</v>
      </c>
      <c r="M2995" s="36">
        <f t="shared" si="33"/>
        <v>45854.56287</v>
      </c>
      <c r="N2995" s="30" t="str">
        <f t="shared" si="34"/>
        <v>Selesai</v>
      </c>
      <c r="O2995" s="45">
        <f t="shared" si="23"/>
        <v>45854.56287</v>
      </c>
      <c r="P2995" s="47" t="b">
        <v>0</v>
      </c>
      <c r="Q2995" s="36" t="str">
        <f t="shared" si="24"/>
        <v/>
      </c>
      <c r="R2995" s="47" t="b">
        <v>0</v>
      </c>
      <c r="S2995" s="42" t="str">
        <f t="shared" si="28"/>
        <v/>
      </c>
      <c r="T2995" s="42"/>
    </row>
    <row r="2996" ht="22.5" customHeight="1">
      <c r="B2996" s="42">
        <f t="shared" si="7"/>
        <v>2990</v>
      </c>
      <c r="C2996" s="31" t="s">
        <v>3063</v>
      </c>
      <c r="D2996" s="34" t="str">
        <f t="array" ref="D2996">IFNA(_xlfn.XLOOKUP(C2996,Table_Tarikan_Warkah[Nomor Sertipikat],Table_Tarikan_Warkah[Nomor Tiket]),"")</f>
        <v>K/13/040725/1</v>
      </c>
      <c r="E2996" s="36">
        <f t="array" ref="E2996">IFNA(_xlfn.XLOOKUP(D2996,Table_Tarikan_Warkah[Nomor Tiket],Table_Tarikan_Warkah[Tanggal diserahkan kepada Validator]),"")</f>
        <v>45856.53067</v>
      </c>
      <c r="F2996" s="36" t="str">
        <f t="array" ref="F2996">IFNA(_xlfn.XLOOKUP(D2996,Table_Tarikan_Warkah[Nomor Tiket],Table_Tarikan_Warkah[Nama Petugas Warkah]),"")</f>
        <v>Berry</v>
      </c>
      <c r="G2996" s="39" t="str">
        <f t="array" ref="G2996">IFNA(_xlfn.XLOOKUP(D2996,Table_Tarikan_Warkah[Nomor Tiket],Table_Tarikan_Warkah[Jenis Permohonan]),"")</f>
        <v>BN JUAL BELI</v>
      </c>
      <c r="H2996" s="41" t="s">
        <v>2315</v>
      </c>
      <c r="I2996" s="49" t="s">
        <v>23</v>
      </c>
      <c r="J2996" s="36">
        <f t="shared" si="20"/>
        <v>45854.4211</v>
      </c>
      <c r="K2996" s="49" t="s">
        <v>2378</v>
      </c>
      <c r="L2996" s="49" t="s">
        <v>23</v>
      </c>
      <c r="M2996" s="36">
        <f t="shared" si="33"/>
        <v>45854.5644</v>
      </c>
      <c r="N2996" s="30" t="str">
        <f t="shared" si="34"/>
        <v>Selesai</v>
      </c>
      <c r="O2996" s="45">
        <f t="shared" si="23"/>
        <v>45854.5644</v>
      </c>
      <c r="P2996" s="47" t="b">
        <v>0</v>
      </c>
      <c r="Q2996" s="36" t="str">
        <f t="shared" si="24"/>
        <v/>
      </c>
      <c r="R2996" s="47" t="b">
        <v>0</v>
      </c>
      <c r="S2996" s="42" t="str">
        <f t="shared" si="28"/>
        <v/>
      </c>
      <c r="T2996" s="42"/>
    </row>
    <row r="2997" ht="22.5" customHeight="1">
      <c r="B2997" s="42">
        <f t="shared" si="7"/>
        <v>2991</v>
      </c>
      <c r="C2997" s="31" t="s">
        <v>3064</v>
      </c>
      <c r="D2997" s="34" t="str">
        <f t="array" ref="D2997">IFNA(_xlfn.XLOOKUP(C2997,Table_Tarikan_Warkah[Nomor Sertipikat],Table_Tarikan_Warkah[Nomor Tiket]),"")</f>
        <v>K/52/040725/1</v>
      </c>
      <c r="E2997" s="36">
        <f t="array" ref="E2997">IFNA(_xlfn.XLOOKUP(D2997,Table_Tarikan_Warkah[Nomor Tiket],Table_Tarikan_Warkah[Tanggal diserahkan kepada Validator]),"")</f>
        <v>45856.52909</v>
      </c>
      <c r="F2997" s="36" t="str">
        <f t="array" ref="F2997">IFNA(_xlfn.XLOOKUP(D2997,Table_Tarikan_Warkah[Nomor Tiket],Table_Tarikan_Warkah[Nama Petugas Warkah]),"")</f>
        <v>Berry</v>
      </c>
      <c r="G2997" s="39" t="str">
        <f t="array" ref="G2997">IFNA(_xlfn.XLOOKUP(D2997,Table_Tarikan_Warkah[Nomor Tiket],Table_Tarikan_Warkah[Jenis Permohonan]),"")</f>
        <v>BN JUAL BELI</v>
      </c>
      <c r="H2997" s="41" t="s">
        <v>2315</v>
      </c>
      <c r="I2997" s="49" t="s">
        <v>23</v>
      </c>
      <c r="J2997" s="36">
        <f t="shared" si="20"/>
        <v>45854.42124</v>
      </c>
      <c r="K2997" s="49" t="s">
        <v>2378</v>
      </c>
      <c r="L2997" s="49" t="s">
        <v>23</v>
      </c>
      <c r="M2997" s="36">
        <f t="shared" si="33"/>
        <v>45854.56309</v>
      </c>
      <c r="N2997" s="30" t="str">
        <f t="shared" si="34"/>
        <v>Selesai</v>
      </c>
      <c r="O2997" s="45">
        <f t="shared" si="23"/>
        <v>45854.56309</v>
      </c>
      <c r="P2997" s="47" t="b">
        <v>0</v>
      </c>
      <c r="Q2997" s="36" t="str">
        <f t="shared" si="24"/>
        <v/>
      </c>
      <c r="R2997" s="47" t="b">
        <v>0</v>
      </c>
      <c r="S2997" s="42" t="str">
        <f t="shared" si="28"/>
        <v/>
      </c>
      <c r="T2997" s="42"/>
    </row>
    <row r="2998" ht="22.5" customHeight="1">
      <c r="B2998" s="42">
        <f t="shared" si="7"/>
        <v>2992</v>
      </c>
      <c r="C2998" s="31" t="s">
        <v>3065</v>
      </c>
      <c r="D2998" s="34" t="str">
        <f t="array" ref="D2998">IFNA(_xlfn.XLOOKUP(C2998,Table_Tarikan_Warkah[Nomor Sertipikat],Table_Tarikan_Warkah[Nomor Tiket]),"")</f>
        <v>K/5/090725/2</v>
      </c>
      <c r="E2998" s="36">
        <f t="array" ref="E2998">IFNA(_xlfn.XLOOKUP(D2998,Table_Tarikan_Warkah[Nomor Tiket],Table_Tarikan_Warkah[Tanggal diserahkan kepada Validator]),"")</f>
        <v>45860.68773</v>
      </c>
      <c r="F2998" s="36" t="str">
        <f t="array" ref="F2998">IFNA(_xlfn.XLOOKUP(D2998,Table_Tarikan_Warkah[Nomor Tiket],Table_Tarikan_Warkah[Nama Petugas Warkah]),"")</f>
        <v>David</v>
      </c>
      <c r="G2998" s="39" t="str">
        <f t="array" ref="G2998">IFNA(_xlfn.XLOOKUP(D2998,Table_Tarikan_Warkah[Nomor Tiket],Table_Tarikan_Warkah[Jenis Permohonan]),"")</f>
        <v>ROYA</v>
      </c>
      <c r="H2998" s="41" t="s">
        <v>2315</v>
      </c>
      <c r="I2998" s="49" t="s">
        <v>23</v>
      </c>
      <c r="J2998" s="36">
        <f t="shared" si="20"/>
        <v>45854.42137</v>
      </c>
      <c r="K2998" s="49" t="s">
        <v>2378</v>
      </c>
      <c r="L2998" s="49" t="s">
        <v>23</v>
      </c>
      <c r="M2998" s="36">
        <f t="shared" si="33"/>
        <v>45854.56319</v>
      </c>
      <c r="N2998" s="30" t="str">
        <f t="shared" si="34"/>
        <v>Selesai</v>
      </c>
      <c r="O2998" s="45">
        <f t="shared" si="23"/>
        <v>45854.56319</v>
      </c>
      <c r="P2998" s="47" t="b">
        <v>0</v>
      </c>
      <c r="Q2998" s="36" t="str">
        <f t="shared" si="24"/>
        <v/>
      </c>
      <c r="R2998" s="47" t="b">
        <v>0</v>
      </c>
      <c r="S2998" s="42" t="str">
        <f t="shared" si="28"/>
        <v/>
      </c>
      <c r="T2998" s="42"/>
    </row>
    <row r="2999" ht="22.5" customHeight="1">
      <c r="B2999" s="42">
        <f t="shared" si="7"/>
        <v>2993</v>
      </c>
      <c r="C2999" s="31" t="s">
        <v>3066</v>
      </c>
      <c r="D2999" s="34" t="str">
        <f t="array" ref="D2999">IFNA(_xlfn.XLOOKUP(C2999,Table_Tarikan_Warkah[Nomor Sertipikat],Table_Tarikan_Warkah[Nomor Tiket]),"")</f>
        <v>K/29/050325/1</v>
      </c>
      <c r="E2999" s="36">
        <f t="array" ref="E2999">IFNA(_xlfn.XLOOKUP(D2999,Table_Tarikan_Warkah[Nomor Tiket],Table_Tarikan_Warkah[Tanggal diserahkan kepada Validator]),"")</f>
        <v>45856.53003</v>
      </c>
      <c r="F2999" s="36" t="str">
        <f t="array" ref="F2999">IFNA(_xlfn.XLOOKUP(D2999,Table_Tarikan_Warkah[Nomor Tiket],Table_Tarikan_Warkah[Nama Petugas Warkah]),"")</f>
        <v>Berry</v>
      </c>
      <c r="G2999" s="39" t="str">
        <f t="array" ref="G2999">IFNA(_xlfn.XLOOKUP(D2999,Table_Tarikan_Warkah[Nomor Tiket],Table_Tarikan_Warkah[Jenis Permohonan]),"")</f>
        <v>BN JUAL BELI</v>
      </c>
      <c r="H2999" s="41" t="s">
        <v>2315</v>
      </c>
      <c r="I2999" s="49" t="s">
        <v>23</v>
      </c>
      <c r="J2999" s="36">
        <f t="shared" si="20"/>
        <v>45854.42153</v>
      </c>
      <c r="K2999" s="49" t="s">
        <v>2378</v>
      </c>
      <c r="L2999" s="49" t="s">
        <v>23</v>
      </c>
      <c r="M2999" s="36">
        <f t="shared" si="33"/>
        <v>45854.56392</v>
      </c>
      <c r="N2999" s="30" t="str">
        <f t="shared" si="34"/>
        <v>Selesai</v>
      </c>
      <c r="O2999" s="45">
        <f t="shared" si="23"/>
        <v>45854.56392</v>
      </c>
      <c r="P2999" s="47" t="b">
        <v>0</v>
      </c>
      <c r="Q2999" s="36" t="str">
        <f t="shared" si="24"/>
        <v/>
      </c>
      <c r="R2999" s="47" t="b">
        <v>0</v>
      </c>
      <c r="S2999" s="42" t="str">
        <f t="shared" si="28"/>
        <v/>
      </c>
      <c r="T2999" s="42"/>
    </row>
    <row r="3000" ht="22.5" customHeight="1">
      <c r="B3000" s="42">
        <f t="shared" si="7"/>
        <v>2994</v>
      </c>
      <c r="C3000" s="31" t="s">
        <v>3067</v>
      </c>
      <c r="D3000" s="34" t="str">
        <f t="array" ref="D3000">IFNA(_xlfn.XLOOKUP(C3000,Table_Tarikan_Warkah[Nomor Sertipikat],Table_Tarikan_Warkah[Nomor Tiket]),"")</f>
        <v>K/22/070725/1</v>
      </c>
      <c r="E3000" s="36">
        <f t="array" ref="E3000">IFNA(_xlfn.XLOOKUP(D3000,Table_Tarikan_Warkah[Nomor Tiket],Table_Tarikan_Warkah[Tanggal diserahkan kepada Validator]),"")</f>
        <v>45861.61423</v>
      </c>
      <c r="F3000" s="36" t="str">
        <f t="array" ref="F3000">IFNA(_xlfn.XLOOKUP(D3000,Table_Tarikan_Warkah[Nomor Tiket],Table_Tarikan_Warkah[Nama Petugas Warkah]),"")</f>
        <v>David</v>
      </c>
      <c r="G3000" s="39" t="str">
        <f t="array" ref="G3000">IFNA(_xlfn.XLOOKUP(D3000,Table_Tarikan_Warkah[Nomor Tiket],Table_Tarikan_Warkah[Jenis Permohonan]),"")</f>
        <v>ROYA</v>
      </c>
      <c r="H3000" s="41" t="s">
        <v>2315</v>
      </c>
      <c r="I3000" s="49" t="s">
        <v>23</v>
      </c>
      <c r="J3000" s="36">
        <f t="shared" si="20"/>
        <v>45854.42174</v>
      </c>
      <c r="K3000" s="49" t="s">
        <v>2378</v>
      </c>
      <c r="L3000" s="49" t="s">
        <v>23</v>
      </c>
      <c r="M3000" s="36">
        <f t="shared" si="33"/>
        <v>45854.56346</v>
      </c>
      <c r="N3000" s="30" t="str">
        <f t="shared" si="34"/>
        <v>Selesai</v>
      </c>
      <c r="O3000" s="45">
        <f t="shared" si="23"/>
        <v>45854.56346</v>
      </c>
      <c r="P3000" s="47" t="b">
        <v>0</v>
      </c>
      <c r="Q3000" s="36" t="str">
        <f t="shared" si="24"/>
        <v/>
      </c>
      <c r="R3000" s="47" t="b">
        <v>0</v>
      </c>
      <c r="S3000" s="42" t="str">
        <f t="shared" si="28"/>
        <v/>
      </c>
      <c r="T3000" s="42"/>
    </row>
    <row r="3001" ht="22.5" customHeight="1">
      <c r="B3001" s="42">
        <f t="shared" si="7"/>
        <v>2995</v>
      </c>
      <c r="C3001" s="31" t="s">
        <v>3068</v>
      </c>
      <c r="D3001" s="34" t="str">
        <f t="array" ref="D3001">IFNA(_xlfn.XLOOKUP(C3001,Table_Tarikan_Warkah[Nomor Sertipikat],Table_Tarikan_Warkah[Nomor Tiket]),"")</f>
        <v>K/8/100725/1</v>
      </c>
      <c r="E3001" s="36">
        <f t="array" ref="E3001">IFNA(_xlfn.XLOOKUP(D3001,Table_Tarikan_Warkah[Nomor Tiket],Table_Tarikan_Warkah[Tanggal diserahkan kepada Validator]),"")</f>
        <v>45856.52942</v>
      </c>
      <c r="F3001" s="36" t="str">
        <f t="array" ref="F3001">IFNA(_xlfn.XLOOKUP(D3001,Table_Tarikan_Warkah[Nomor Tiket],Table_Tarikan_Warkah[Nama Petugas Warkah]),"")</f>
        <v>Berry</v>
      </c>
      <c r="G3001" s="39" t="str">
        <f t="array" ref="G3001">IFNA(_xlfn.XLOOKUP(D3001,Table_Tarikan_Warkah[Nomor Tiket],Table_Tarikan_Warkah[Jenis Permohonan]),"")</f>
        <v>BN JUAL BELI</v>
      </c>
      <c r="H3001" s="41" t="s">
        <v>2315</v>
      </c>
      <c r="I3001" s="49" t="s">
        <v>23</v>
      </c>
      <c r="J3001" s="36">
        <f t="shared" si="20"/>
        <v>45854.42191</v>
      </c>
      <c r="K3001" s="49" t="s">
        <v>2378</v>
      </c>
      <c r="L3001" s="49" t="s">
        <v>23</v>
      </c>
      <c r="M3001" s="36">
        <f t="shared" si="33"/>
        <v>45854.56356</v>
      </c>
      <c r="N3001" s="30" t="str">
        <f t="shared" si="34"/>
        <v>Selesai</v>
      </c>
      <c r="O3001" s="45">
        <f t="shared" si="23"/>
        <v>45854.56356</v>
      </c>
      <c r="P3001" s="47" t="b">
        <v>0</v>
      </c>
      <c r="Q3001" s="36" t="str">
        <f t="shared" si="24"/>
        <v/>
      </c>
      <c r="R3001" s="47" t="b">
        <v>0</v>
      </c>
      <c r="S3001" s="42" t="str">
        <f t="shared" si="28"/>
        <v/>
      </c>
      <c r="T3001" s="42"/>
    </row>
    <row r="3002" ht="22.5" customHeight="1">
      <c r="B3002" s="42">
        <f t="shared" si="7"/>
        <v>2996</v>
      </c>
      <c r="C3002" s="31" t="s">
        <v>3069</v>
      </c>
      <c r="D3002" s="34" t="str">
        <f t="array" ref="D3002">IFNA(_xlfn.XLOOKUP(C3002,Table_Tarikan_Warkah[Nomor Sertipikat],Table_Tarikan_Warkah[Nomor Tiket]),"")</f>
        <v>K/30/100725/1</v>
      </c>
      <c r="E3002" s="36">
        <f t="array" ref="E3002">IFNA(_xlfn.XLOOKUP(D3002,Table_Tarikan_Warkah[Nomor Tiket],Table_Tarikan_Warkah[Tanggal diserahkan kepada Validator]),"")</f>
        <v>45860.68799</v>
      </c>
      <c r="F3002" s="36" t="str">
        <f t="array" ref="F3002">IFNA(_xlfn.XLOOKUP(D3002,Table_Tarikan_Warkah[Nomor Tiket],Table_Tarikan_Warkah[Nama Petugas Warkah]),"")</f>
        <v>David</v>
      </c>
      <c r="G3002" s="39" t="str">
        <f t="array" ref="G3002">IFNA(_xlfn.XLOOKUP(D3002,Table_Tarikan_Warkah[Nomor Tiket],Table_Tarikan_Warkah[Jenis Permohonan]),"")</f>
        <v>ROYA</v>
      </c>
      <c r="H3002" s="41" t="s">
        <v>2315</v>
      </c>
      <c r="I3002" s="49" t="s">
        <v>23</v>
      </c>
      <c r="J3002" s="36">
        <f t="shared" si="20"/>
        <v>45854.42212</v>
      </c>
      <c r="K3002" s="49" t="s">
        <v>2378</v>
      </c>
      <c r="L3002" s="49" t="s">
        <v>23</v>
      </c>
      <c r="M3002" s="36">
        <f t="shared" si="33"/>
        <v>45854.56376</v>
      </c>
      <c r="N3002" s="30" t="str">
        <f t="shared" si="34"/>
        <v>Selesai</v>
      </c>
      <c r="O3002" s="45">
        <f t="shared" si="23"/>
        <v>45854.56376</v>
      </c>
      <c r="P3002" s="47" t="b">
        <v>0</v>
      </c>
      <c r="Q3002" s="36" t="str">
        <f t="shared" si="24"/>
        <v/>
      </c>
      <c r="R3002" s="47" t="b">
        <v>0</v>
      </c>
      <c r="S3002" s="42" t="str">
        <f t="shared" si="28"/>
        <v/>
      </c>
      <c r="T3002" s="42"/>
    </row>
    <row r="3003" ht="22.5" customHeight="1">
      <c r="B3003" s="42">
        <f t="shared" si="7"/>
        <v>2997</v>
      </c>
      <c r="C3003" s="31" t="s">
        <v>3070</v>
      </c>
      <c r="D3003" s="34" t="str">
        <f t="array" ref="D3003">IFNA(_xlfn.XLOOKUP(C3003,Table_Tarikan_Warkah[Nomor Sertipikat],Table_Tarikan_Warkah[Nomor Tiket]),"")</f>
        <v>K/18/300625/1</v>
      </c>
      <c r="E3003" s="36" t="str">
        <f t="array" ref="E3003">IFNA(_xlfn.XLOOKUP(D3003,Table_Tarikan_Warkah[Nomor Tiket],Table_Tarikan_Warkah[Tanggal diserahkan kepada Validator]),"")</f>
        <v/>
      </c>
      <c r="F3003" s="36" t="str">
        <f t="array" ref="F3003">IFNA(_xlfn.XLOOKUP(D3003,Table_Tarikan_Warkah[Nomor Tiket],Table_Tarikan_Warkah[Nama Petugas Warkah]),"")</f>
        <v/>
      </c>
      <c r="G3003" s="39" t="str">
        <f t="array" ref="G3003">IFNA(_xlfn.XLOOKUP(D3003,Table_Tarikan_Warkah[Nomor Tiket],Table_Tarikan_Warkah[Jenis Permohonan]),"")</f>
        <v>Penggabungan</v>
      </c>
      <c r="H3003" s="41" t="s">
        <v>20</v>
      </c>
      <c r="I3003" s="49" t="s">
        <v>23</v>
      </c>
      <c r="J3003" s="36">
        <f t="shared" si="20"/>
        <v>45854.80525</v>
      </c>
      <c r="K3003" s="49" t="s">
        <v>2378</v>
      </c>
      <c r="L3003" s="49" t="s">
        <v>23</v>
      </c>
      <c r="M3003" s="36">
        <f t="shared" si="33"/>
        <v>45855.67089</v>
      </c>
      <c r="N3003" s="30" t="str">
        <f t="shared" si="34"/>
        <v>Selesai</v>
      </c>
      <c r="O3003" s="45">
        <f t="shared" si="23"/>
        <v>45855.67089</v>
      </c>
      <c r="P3003" s="47" t="b">
        <v>0</v>
      </c>
      <c r="Q3003" s="36" t="str">
        <f t="shared" si="24"/>
        <v/>
      </c>
      <c r="R3003" s="47" t="b">
        <v>0</v>
      </c>
      <c r="S3003" s="42" t="str">
        <f t="shared" si="28"/>
        <v/>
      </c>
      <c r="T3003" s="42"/>
    </row>
    <row r="3004" ht="22.5" customHeight="1">
      <c r="B3004" s="42">
        <f t="shared" si="7"/>
        <v>2998</v>
      </c>
      <c r="C3004" s="31" t="s">
        <v>3071</v>
      </c>
      <c r="D3004" s="34" t="str">
        <f t="array" ref="D3004">IFNA(_xlfn.XLOOKUP(C3004,Table_Tarikan_Warkah[Nomor Sertipikat],Table_Tarikan_Warkah[Nomor Tiket]),"")</f>
        <v>K/23/090725/1</v>
      </c>
      <c r="E3004" s="36">
        <f t="array" ref="E3004">IFNA(_xlfn.XLOOKUP(D3004,Table_Tarikan_Warkah[Nomor Tiket],Table_Tarikan_Warkah[Tanggal diserahkan kepada Validator]),"")</f>
        <v>45859.63118</v>
      </c>
      <c r="F3004" s="36" t="str">
        <f t="array" ref="F3004">IFNA(_xlfn.XLOOKUP(D3004,Table_Tarikan_Warkah[Nomor Tiket],Table_Tarikan_Warkah[Nama Petugas Warkah]),"")</f>
        <v>Berry</v>
      </c>
      <c r="G3004" s="39" t="str">
        <f t="array" ref="G3004">IFNA(_xlfn.XLOOKUP(D3004,Table_Tarikan_Warkah[Nomor Tiket],Table_Tarikan_Warkah[Jenis Permohonan]),"")</f>
        <v>BN Jual Beli</v>
      </c>
      <c r="H3004" s="41" t="s">
        <v>20</v>
      </c>
      <c r="I3004" s="49" t="s">
        <v>23</v>
      </c>
      <c r="J3004" s="36">
        <f t="shared" si="20"/>
        <v>45854.80534</v>
      </c>
      <c r="K3004" s="49" t="s">
        <v>2378</v>
      </c>
      <c r="L3004" s="49" t="s">
        <v>23</v>
      </c>
      <c r="M3004" s="36">
        <f t="shared" si="33"/>
        <v>45855.68102</v>
      </c>
      <c r="N3004" s="30" t="str">
        <f t="shared" si="34"/>
        <v>Selesai</v>
      </c>
      <c r="O3004" s="45">
        <f t="shared" si="23"/>
        <v>45855.68102</v>
      </c>
      <c r="P3004" s="47" t="b">
        <v>0</v>
      </c>
      <c r="Q3004" s="36" t="str">
        <f t="shared" si="24"/>
        <v/>
      </c>
      <c r="R3004" s="47" t="b">
        <v>0</v>
      </c>
      <c r="S3004" s="42" t="str">
        <f t="shared" si="28"/>
        <v/>
      </c>
      <c r="T3004" s="42"/>
    </row>
    <row r="3005" ht="22.5" customHeight="1">
      <c r="B3005" s="42">
        <f t="shared" si="7"/>
        <v>2999</v>
      </c>
      <c r="C3005" s="31" t="s">
        <v>3072</v>
      </c>
      <c r="D3005" s="34" t="str">
        <f t="array" ref="D3005">IFNA(_xlfn.XLOOKUP(C3005,Table_Tarikan_Warkah[Nomor Sertipikat],Table_Tarikan_Warkah[Nomor Tiket]),"")</f>
        <v>K/49/240625/3</v>
      </c>
      <c r="E3005" s="36">
        <f t="array" ref="E3005">IFNA(_xlfn.XLOOKUP(D3005,Table_Tarikan_Warkah[Nomor Tiket],Table_Tarikan_Warkah[Tanggal diserahkan kepada Validator]),"")</f>
        <v>45859.61406</v>
      </c>
      <c r="F3005" s="36" t="str">
        <f t="array" ref="F3005">IFNA(_xlfn.XLOOKUP(D3005,Table_Tarikan_Warkah[Nomor Tiket],Table_Tarikan_Warkah[Nama Petugas Warkah]),"")</f>
        <v>Berry</v>
      </c>
      <c r="G3005" s="39" t="str">
        <f t="array" ref="G3005">IFNA(_xlfn.XLOOKUP(D3005,Table_Tarikan_Warkah[Nomor Tiket],Table_Tarikan_Warkah[Jenis Permohonan]),"")</f>
        <v>BN JUAL BELI</v>
      </c>
      <c r="H3005" s="41" t="s">
        <v>20</v>
      </c>
      <c r="I3005" s="49" t="s">
        <v>23</v>
      </c>
      <c r="J3005" s="36">
        <f t="shared" si="20"/>
        <v>45854.80544</v>
      </c>
      <c r="K3005" s="49" t="s">
        <v>2378</v>
      </c>
      <c r="L3005" s="49" t="s">
        <v>23</v>
      </c>
      <c r="M3005" s="36">
        <f t="shared" si="33"/>
        <v>45855.68092</v>
      </c>
      <c r="N3005" s="30" t="str">
        <f t="shared" si="34"/>
        <v>Selesai</v>
      </c>
      <c r="O3005" s="45">
        <f t="shared" si="23"/>
        <v>45855.68092</v>
      </c>
      <c r="P3005" s="47" t="b">
        <v>0</v>
      </c>
      <c r="Q3005" s="36" t="str">
        <f t="shared" si="24"/>
        <v/>
      </c>
      <c r="R3005" s="47" t="b">
        <v>0</v>
      </c>
      <c r="S3005" s="42" t="str">
        <f t="shared" si="28"/>
        <v/>
      </c>
      <c r="T3005" s="42"/>
    </row>
    <row r="3006" ht="22.5" customHeight="1">
      <c r="B3006" s="42">
        <f t="shared" si="7"/>
        <v>3000</v>
      </c>
      <c r="C3006" s="31" t="s">
        <v>3073</v>
      </c>
      <c r="D3006" s="34" t="str">
        <f t="array" ref="D3006">IFNA(_xlfn.XLOOKUP(C3006,Table_Tarikan_Warkah[Nomor Sertipikat],Table_Tarikan_Warkah[Nomor Tiket]),"")</f>
        <v>K/27/250625/4</v>
      </c>
      <c r="E3006" s="36">
        <f t="array" ref="E3006">IFNA(_xlfn.XLOOKUP(D3006,Table_Tarikan_Warkah[Nomor Tiket],Table_Tarikan_Warkah[Tanggal diserahkan kepada Validator]),"")</f>
        <v>45856.5334</v>
      </c>
      <c r="F3006" s="36" t="str">
        <f t="array" ref="F3006">IFNA(_xlfn.XLOOKUP(D3006,Table_Tarikan_Warkah[Nomor Tiket],Table_Tarikan_Warkah[Nama Petugas Warkah]),"")</f>
        <v>Berry</v>
      </c>
      <c r="G3006" s="39" t="str">
        <f t="array" ref="G3006">IFNA(_xlfn.XLOOKUP(D3006,Table_Tarikan_Warkah[Nomor Tiket],Table_Tarikan_Warkah[Jenis Permohonan]),"")</f>
        <v>BN JUAL BELI</v>
      </c>
      <c r="H3006" s="41" t="s">
        <v>20</v>
      </c>
      <c r="I3006" s="49" t="s">
        <v>23</v>
      </c>
      <c r="J3006" s="36">
        <f t="shared" si="20"/>
        <v>45854.80556</v>
      </c>
      <c r="K3006" s="49" t="s">
        <v>2378</v>
      </c>
      <c r="L3006" s="49" t="s">
        <v>23</v>
      </c>
      <c r="M3006" s="36">
        <f t="shared" si="33"/>
        <v>45855.68086</v>
      </c>
      <c r="N3006" s="30" t="str">
        <f t="shared" si="34"/>
        <v>Selesai</v>
      </c>
      <c r="O3006" s="45">
        <f t="shared" si="23"/>
        <v>45855.68086</v>
      </c>
      <c r="P3006" s="47" t="b">
        <v>0</v>
      </c>
      <c r="Q3006" s="36" t="str">
        <f t="shared" si="24"/>
        <v/>
      </c>
      <c r="R3006" s="47" t="b">
        <v>0</v>
      </c>
      <c r="S3006" s="42" t="str">
        <f t="shared" si="28"/>
        <v/>
      </c>
      <c r="T3006" s="42"/>
    </row>
    <row r="3007" ht="22.5" customHeight="1">
      <c r="B3007" s="42">
        <f t="shared" si="7"/>
        <v>3001</v>
      </c>
      <c r="C3007" s="31" t="s">
        <v>3074</v>
      </c>
      <c r="D3007" s="34" t="str">
        <f t="array" ref="D3007">IFNA(_xlfn.XLOOKUP(C3007,Table_Tarikan_Warkah[Nomor Sertipikat],Table_Tarikan_Warkah[Nomor Tiket]),"")</f>
        <v>K/16/020725/1</v>
      </c>
      <c r="E3007" s="36">
        <f t="array" ref="E3007">IFNA(_xlfn.XLOOKUP(D3007,Table_Tarikan_Warkah[Nomor Tiket],Table_Tarikan_Warkah[Tanggal diserahkan kepada Validator]),"")</f>
        <v>45859.63868</v>
      </c>
      <c r="F3007" s="36" t="str">
        <f t="array" ref="F3007">IFNA(_xlfn.XLOOKUP(D3007,Table_Tarikan_Warkah[Nomor Tiket],Table_Tarikan_Warkah[Nama Petugas Warkah]),"")</f>
        <v>Berry</v>
      </c>
      <c r="G3007" s="39" t="str">
        <f t="array" ref="G3007">IFNA(_xlfn.XLOOKUP(D3007,Table_Tarikan_Warkah[Nomor Tiket],Table_Tarikan_Warkah[Jenis Permohonan]),"")</f>
        <v>BN Jual Beli</v>
      </c>
      <c r="H3007" s="41" t="s">
        <v>20</v>
      </c>
      <c r="I3007" s="49" t="s">
        <v>23</v>
      </c>
      <c r="J3007" s="36">
        <f t="shared" si="20"/>
        <v>45854.80564</v>
      </c>
      <c r="K3007" s="49" t="s">
        <v>2378</v>
      </c>
      <c r="L3007" s="49" t="s">
        <v>23</v>
      </c>
      <c r="M3007" s="36">
        <f t="shared" si="33"/>
        <v>45855.68073</v>
      </c>
      <c r="N3007" s="30" t="str">
        <f t="shared" si="34"/>
        <v>Selesai</v>
      </c>
      <c r="O3007" s="45">
        <f t="shared" si="23"/>
        <v>45855.68073</v>
      </c>
      <c r="P3007" s="47" t="b">
        <v>0</v>
      </c>
      <c r="Q3007" s="36" t="str">
        <f t="shared" si="24"/>
        <v/>
      </c>
      <c r="R3007" s="47" t="b">
        <v>0</v>
      </c>
      <c r="S3007" s="42" t="str">
        <f t="shared" si="28"/>
        <v/>
      </c>
      <c r="T3007" s="42"/>
    </row>
    <row r="3008" ht="22.5" customHeight="1">
      <c r="B3008" s="42">
        <f t="shared" si="7"/>
        <v>3002</v>
      </c>
      <c r="C3008" s="31" t="s">
        <v>3075</v>
      </c>
      <c r="D3008" s="34" t="str">
        <f t="array" ref="D3008">IFNA(_xlfn.XLOOKUP(C3008,Table_Tarikan_Warkah[Nomor Sertipikat],Table_Tarikan_Warkah[Nomor Tiket]),"")</f>
        <v>L/24/090725/1</v>
      </c>
      <c r="E3008" s="36">
        <f t="array" ref="E3008">IFNA(_xlfn.XLOOKUP(D3008,Table_Tarikan_Warkah[Nomor Tiket],Table_Tarikan_Warkah[Tanggal diserahkan kepada Validator]),"")</f>
        <v>45863.60824</v>
      </c>
      <c r="F3008" s="36" t="str">
        <f t="array" ref="F3008">IFNA(_xlfn.XLOOKUP(D3008,Table_Tarikan_Warkah[Nomor Tiket],Table_Tarikan_Warkah[Nama Petugas Warkah]),"")</f>
        <v>Berry</v>
      </c>
      <c r="G3008" s="39" t="str">
        <f t="array" ref="G3008">IFNA(_xlfn.XLOOKUP(D3008,Table_Tarikan_Warkah[Nomor Tiket],Table_Tarikan_Warkah[Jenis Permohonan]),"")</f>
        <v>ROYA</v>
      </c>
      <c r="H3008" s="41" t="s">
        <v>20</v>
      </c>
      <c r="I3008" s="49" t="s">
        <v>23</v>
      </c>
      <c r="J3008" s="36">
        <f t="shared" si="20"/>
        <v>45854.80574</v>
      </c>
      <c r="K3008" s="49" t="s">
        <v>2378</v>
      </c>
      <c r="L3008" s="49" t="s">
        <v>23</v>
      </c>
      <c r="M3008" s="36">
        <f t="shared" si="33"/>
        <v>45855.68057</v>
      </c>
      <c r="N3008" s="30" t="str">
        <f t="shared" si="34"/>
        <v>Selesai</v>
      </c>
      <c r="O3008" s="45">
        <f t="shared" si="23"/>
        <v>45855.68057</v>
      </c>
      <c r="P3008" s="47" t="b">
        <v>0</v>
      </c>
      <c r="Q3008" s="36" t="str">
        <f t="shared" si="24"/>
        <v/>
      </c>
      <c r="R3008" s="47" t="b">
        <v>0</v>
      </c>
      <c r="S3008" s="42" t="str">
        <f t="shared" si="28"/>
        <v/>
      </c>
      <c r="T3008" s="42"/>
    </row>
    <row r="3009" ht="22.5" customHeight="1">
      <c r="B3009" s="42">
        <f t="shared" si="7"/>
        <v>3003</v>
      </c>
      <c r="C3009" s="31" t="s">
        <v>3076</v>
      </c>
      <c r="D3009" s="34" t="str">
        <f t="array" ref="D3009">IFNA(_xlfn.XLOOKUP(C3009,Table_Tarikan_Warkah[Nomor Sertipikat],Table_Tarikan_Warkah[Nomor Tiket]),"")</f>
        <v>L/24/100725/1</v>
      </c>
      <c r="E3009" s="36">
        <f t="array" ref="E3009">IFNA(_xlfn.XLOOKUP(D3009,Table_Tarikan_Warkah[Nomor Tiket],Table_Tarikan_Warkah[Tanggal diserahkan kepada Validator]),"")</f>
        <v>45863.60815</v>
      </c>
      <c r="F3009" s="36" t="str">
        <f t="array" ref="F3009">IFNA(_xlfn.XLOOKUP(D3009,Table_Tarikan_Warkah[Nomor Tiket],Table_Tarikan_Warkah[Nama Petugas Warkah]),"")</f>
        <v>Berry</v>
      </c>
      <c r="G3009" s="39" t="str">
        <f t="array" ref="G3009">IFNA(_xlfn.XLOOKUP(D3009,Table_Tarikan_Warkah[Nomor Tiket],Table_Tarikan_Warkah[Jenis Permohonan]),"")</f>
        <v>ROYA</v>
      </c>
      <c r="H3009" s="41" t="s">
        <v>20</v>
      </c>
      <c r="I3009" s="49" t="s">
        <v>23</v>
      </c>
      <c r="J3009" s="36">
        <f t="shared" si="20"/>
        <v>45854.80585</v>
      </c>
      <c r="K3009" s="49" t="s">
        <v>2378</v>
      </c>
      <c r="L3009" s="49" t="s">
        <v>23</v>
      </c>
      <c r="M3009" s="36">
        <f t="shared" si="33"/>
        <v>45855.68003</v>
      </c>
      <c r="N3009" s="30" t="str">
        <f t="shared" si="34"/>
        <v>Selesai</v>
      </c>
      <c r="O3009" s="45">
        <f t="shared" si="23"/>
        <v>45855.68003</v>
      </c>
      <c r="P3009" s="47" t="b">
        <v>0</v>
      </c>
      <c r="Q3009" s="36" t="str">
        <f t="shared" si="24"/>
        <v/>
      </c>
      <c r="R3009" s="47" t="b">
        <v>0</v>
      </c>
      <c r="S3009" s="42" t="str">
        <f t="shared" si="28"/>
        <v/>
      </c>
      <c r="T3009" s="42"/>
    </row>
    <row r="3010" ht="22.5" customHeight="1">
      <c r="B3010" s="42">
        <f t="shared" si="7"/>
        <v>3004</v>
      </c>
      <c r="C3010" s="31" t="s">
        <v>3077</v>
      </c>
      <c r="D3010" s="42" t="s">
        <v>3078</v>
      </c>
      <c r="E3010" s="36">
        <f t="array" ref="E3010">IFNA(_xlfn.XLOOKUP(D3010,Table_Tarikan_Warkah[Nomor Tiket],Table_Tarikan_Warkah[Tanggal diserahkan kepada Validator]),"")</f>
        <v>45873.63445</v>
      </c>
      <c r="F3010" s="36" t="str">
        <f t="array" ref="F3010">IFNA(_xlfn.XLOOKUP(D3010,Table_Tarikan_Warkah[Nomor Tiket],Table_Tarikan_Warkah[Nama Petugas Warkah]),"")</f>
        <v>Berry</v>
      </c>
      <c r="G3010" s="39" t="str">
        <f t="array" ref="G3010">IFNA(_xlfn.XLOOKUP(D3010,Table_Tarikan_Warkah[Nomor Tiket],Table_Tarikan_Warkah[Jenis Permohonan]),"")</f>
        <v>ROYA</v>
      </c>
      <c r="H3010" s="41" t="s">
        <v>20</v>
      </c>
      <c r="I3010" s="49" t="s">
        <v>23</v>
      </c>
      <c r="J3010" s="36">
        <f t="shared" si="20"/>
        <v>45854.80645</v>
      </c>
      <c r="K3010" s="49" t="s">
        <v>2378</v>
      </c>
      <c r="L3010" s="49" t="s">
        <v>23</v>
      </c>
      <c r="M3010" s="36">
        <f t="shared" si="33"/>
        <v>45855.68012</v>
      </c>
      <c r="N3010" s="30" t="str">
        <f t="shared" si="34"/>
        <v>Selesai</v>
      </c>
      <c r="O3010" s="45">
        <f t="shared" si="23"/>
        <v>45855.68012</v>
      </c>
      <c r="P3010" s="47" t="b">
        <v>0</v>
      </c>
      <c r="Q3010" s="36" t="str">
        <f t="shared" si="24"/>
        <v/>
      </c>
      <c r="R3010" s="47" t="b">
        <v>0</v>
      </c>
      <c r="S3010" s="42" t="str">
        <f t="shared" si="28"/>
        <v/>
      </c>
      <c r="T3010" s="42"/>
    </row>
    <row r="3011" ht="22.5" customHeight="1">
      <c r="B3011" s="42">
        <f t="shared" si="7"/>
        <v>3005</v>
      </c>
      <c r="C3011" s="31" t="s">
        <v>3079</v>
      </c>
      <c r="D3011" s="34" t="str">
        <f t="array" ref="D3011">IFNA(_xlfn.XLOOKUP(C3011,Table_Tarikan_Warkah[Nomor Sertipikat],Table_Tarikan_Warkah[Nomor Tiket]),"")</f>
        <v>K/3/260625/1</v>
      </c>
      <c r="E3011" s="36">
        <f t="array" ref="E3011">IFNA(_xlfn.XLOOKUP(D3011,Table_Tarikan_Warkah[Nomor Tiket],Table_Tarikan_Warkah[Tanggal diserahkan kepada Validator]),"")</f>
        <v>45859.62122</v>
      </c>
      <c r="F3011" s="36" t="str">
        <f t="array" ref="F3011">IFNA(_xlfn.XLOOKUP(D3011,Table_Tarikan_Warkah[Nomor Tiket],Table_Tarikan_Warkah[Nama Petugas Warkah]),"")</f>
        <v>Berry</v>
      </c>
      <c r="G3011" s="39" t="str">
        <f t="array" ref="G3011">IFNA(_xlfn.XLOOKUP(D3011,Table_Tarikan_Warkah[Nomor Tiket],Table_Tarikan_Warkah[Jenis Permohonan]),"")</f>
        <v>BN WARIS</v>
      </c>
      <c r="H3011" s="41" t="s">
        <v>20</v>
      </c>
      <c r="I3011" s="49" t="s">
        <v>23</v>
      </c>
      <c r="J3011" s="36">
        <f t="shared" si="20"/>
        <v>45854.80685</v>
      </c>
      <c r="K3011" s="49" t="s">
        <v>2378</v>
      </c>
      <c r="L3011" s="49" t="s">
        <v>23</v>
      </c>
      <c r="M3011" s="36">
        <f t="shared" si="33"/>
        <v>45855.68141</v>
      </c>
      <c r="N3011" s="30" t="str">
        <f t="shared" si="34"/>
        <v>Selesai</v>
      </c>
      <c r="O3011" s="45">
        <f t="shared" si="23"/>
        <v>45855.68141</v>
      </c>
      <c r="P3011" s="47" t="b">
        <v>0</v>
      </c>
      <c r="Q3011" s="36" t="str">
        <f t="shared" si="24"/>
        <v/>
      </c>
      <c r="R3011" s="47" t="b">
        <v>0</v>
      </c>
      <c r="S3011" s="42" t="str">
        <f t="shared" si="28"/>
        <v/>
      </c>
      <c r="T3011" s="42"/>
    </row>
    <row r="3012" ht="22.5" customHeight="1">
      <c r="B3012" s="42">
        <f t="shared" si="7"/>
        <v>3006</v>
      </c>
      <c r="C3012" s="31" t="s">
        <v>3080</v>
      </c>
      <c r="D3012" s="34" t="str">
        <f t="array" ref="D3012">IFNA(_xlfn.XLOOKUP(C3012,Table_Tarikan_Warkah[Nomor Sertipikat],Table_Tarikan_Warkah[Nomor Tiket]),"")</f>
        <v>K/4/020725/4</v>
      </c>
      <c r="E3012" s="36">
        <f t="array" ref="E3012">IFNA(_xlfn.XLOOKUP(D3012,Table_Tarikan_Warkah[Nomor Tiket],Table_Tarikan_Warkah[Tanggal diserahkan kepada Validator]),"")</f>
        <v>45859.61989</v>
      </c>
      <c r="F3012" s="36" t="str">
        <f t="array" ref="F3012">IFNA(_xlfn.XLOOKUP(D3012,Table_Tarikan_Warkah[Nomor Tiket],Table_Tarikan_Warkah[Nama Petugas Warkah]),"")</f>
        <v>Berry</v>
      </c>
      <c r="G3012" s="39" t="str">
        <f t="array" ref="G3012">IFNA(_xlfn.XLOOKUP(D3012,Table_Tarikan_Warkah[Nomor Tiket],Table_Tarikan_Warkah[Jenis Permohonan]),"")</f>
        <v>BN JUAL BELI</v>
      </c>
      <c r="H3012" s="41" t="s">
        <v>20</v>
      </c>
      <c r="I3012" s="49" t="s">
        <v>23</v>
      </c>
      <c r="J3012" s="36">
        <f t="shared" si="20"/>
        <v>45854.80698</v>
      </c>
      <c r="K3012" s="49" t="s">
        <v>2378</v>
      </c>
      <c r="L3012" s="49" t="s">
        <v>23</v>
      </c>
      <c r="M3012" s="36">
        <f t="shared" si="33"/>
        <v>45855.68022</v>
      </c>
      <c r="N3012" s="30" t="str">
        <f t="shared" si="34"/>
        <v>Selesai</v>
      </c>
      <c r="O3012" s="45">
        <f t="shared" si="23"/>
        <v>45855.68022</v>
      </c>
      <c r="P3012" s="47" t="b">
        <v>0</v>
      </c>
      <c r="Q3012" s="36" t="str">
        <f t="shared" si="24"/>
        <v/>
      </c>
      <c r="R3012" s="47" t="b">
        <v>0</v>
      </c>
      <c r="S3012" s="42" t="str">
        <f t="shared" si="28"/>
        <v/>
      </c>
      <c r="T3012" s="42"/>
    </row>
    <row r="3013" ht="22.5" customHeight="1">
      <c r="B3013" s="42">
        <f t="shared" si="7"/>
        <v>3007</v>
      </c>
      <c r="C3013" s="31" t="s">
        <v>3081</v>
      </c>
      <c r="D3013" s="34" t="str">
        <f t="array" ref="D3013">IFNA(_xlfn.XLOOKUP(C3013,Table_Tarikan_Warkah[Nomor Sertipikat],Table_Tarikan_Warkah[Nomor Tiket]),"")</f>
        <v>K/16/010725/4</v>
      </c>
      <c r="E3013" s="36">
        <f t="array" ref="E3013">IFNA(_xlfn.XLOOKUP(D3013,Table_Tarikan_Warkah[Nomor Tiket],Table_Tarikan_Warkah[Tanggal diserahkan kepada Validator]),"")</f>
        <v>45859.61942</v>
      </c>
      <c r="F3013" s="36" t="str">
        <f t="array" ref="F3013">IFNA(_xlfn.XLOOKUP(D3013,Table_Tarikan_Warkah[Nomor Tiket],Table_Tarikan_Warkah[Nama Petugas Warkah]),"")</f>
        <v>Berry</v>
      </c>
      <c r="G3013" s="39" t="str">
        <f t="array" ref="G3013">IFNA(_xlfn.XLOOKUP(D3013,Table_Tarikan_Warkah[Nomor Tiket],Table_Tarikan_Warkah[Jenis Permohonan]),"")</f>
        <v>BN JUAL BELI</v>
      </c>
      <c r="H3013" s="41" t="s">
        <v>20</v>
      </c>
      <c r="I3013" s="49" t="s">
        <v>23</v>
      </c>
      <c r="J3013" s="36">
        <f t="shared" si="20"/>
        <v>45854.80704</v>
      </c>
      <c r="K3013" s="49" t="s">
        <v>2378</v>
      </c>
      <c r="L3013" s="49" t="s">
        <v>23</v>
      </c>
      <c r="M3013" s="36">
        <f t="shared" si="33"/>
        <v>45855.68029</v>
      </c>
      <c r="N3013" s="30" t="str">
        <f t="shared" si="34"/>
        <v>Selesai</v>
      </c>
      <c r="O3013" s="45">
        <f t="shared" si="23"/>
        <v>45855.68029</v>
      </c>
      <c r="P3013" s="47" t="b">
        <v>0</v>
      </c>
      <c r="Q3013" s="36" t="str">
        <f t="shared" si="24"/>
        <v/>
      </c>
      <c r="R3013" s="47" t="b">
        <v>0</v>
      </c>
      <c r="S3013" s="42" t="str">
        <f t="shared" si="28"/>
        <v/>
      </c>
      <c r="T3013" s="42"/>
    </row>
    <row r="3014" ht="22.5" customHeight="1">
      <c r="B3014" s="42">
        <f t="shared" si="7"/>
        <v>3008</v>
      </c>
      <c r="C3014" s="31" t="s">
        <v>3082</v>
      </c>
      <c r="D3014" s="34" t="str">
        <f t="array" ref="D3014">IFNA(_xlfn.XLOOKUP(C3014,Table_Tarikan_Warkah[Nomor Sertipikat],Table_Tarikan_Warkah[Nomor Tiket]),"")</f>
        <v>K/5/230625/1</v>
      </c>
      <c r="E3014" s="36">
        <f t="array" ref="E3014">IFNA(_xlfn.XLOOKUP(D3014,Table_Tarikan_Warkah[Nomor Tiket],Table_Tarikan_Warkah[Tanggal diserahkan kepada Validator]),"")</f>
        <v>45859.63793</v>
      </c>
      <c r="F3014" s="36" t="str">
        <f t="array" ref="F3014">IFNA(_xlfn.XLOOKUP(D3014,Table_Tarikan_Warkah[Nomor Tiket],Table_Tarikan_Warkah[Nama Petugas Warkah]),"")</f>
        <v>Berry</v>
      </c>
      <c r="G3014" s="39" t="str">
        <f t="array" ref="G3014">IFNA(_xlfn.XLOOKUP(D3014,Table_Tarikan_Warkah[Nomor Tiket],Table_Tarikan_Warkah[Jenis Permohonan]),"")</f>
        <v>BN JUAL BELI</v>
      </c>
      <c r="H3014" s="41" t="s">
        <v>20</v>
      </c>
      <c r="I3014" s="49" t="s">
        <v>23</v>
      </c>
      <c r="J3014" s="36">
        <f t="shared" si="20"/>
        <v>45854.8072</v>
      </c>
      <c r="K3014" s="49" t="s">
        <v>2378</v>
      </c>
      <c r="L3014" s="49" t="s">
        <v>23</v>
      </c>
      <c r="M3014" s="36">
        <f t="shared" si="33"/>
        <v>45855.68135</v>
      </c>
      <c r="N3014" s="30" t="str">
        <f t="shared" si="34"/>
        <v>Selesai</v>
      </c>
      <c r="O3014" s="45">
        <f t="shared" si="23"/>
        <v>45855.68135</v>
      </c>
      <c r="P3014" s="47" t="b">
        <v>0</v>
      </c>
      <c r="Q3014" s="36" t="str">
        <f t="shared" si="24"/>
        <v/>
      </c>
      <c r="R3014" s="47" t="b">
        <v>0</v>
      </c>
      <c r="S3014" s="42" t="str">
        <f t="shared" si="28"/>
        <v/>
      </c>
      <c r="T3014" s="42"/>
    </row>
    <row r="3015" ht="22.5" customHeight="1">
      <c r="B3015" s="42">
        <f t="shared" si="7"/>
        <v>3009</v>
      </c>
      <c r="C3015" s="31" t="s">
        <v>3083</v>
      </c>
      <c r="D3015" s="34" t="str">
        <f t="array" ref="D3015">IFNA(_xlfn.XLOOKUP(C3015,Table_Tarikan_Warkah[Nomor Sertipikat],Table_Tarikan_Warkah[Nomor Tiket]),"")</f>
        <v>K/15/070725/1</v>
      </c>
      <c r="E3015" s="36">
        <f t="array" ref="E3015">IFNA(_xlfn.XLOOKUP(D3015,Table_Tarikan_Warkah[Nomor Tiket],Table_Tarikan_Warkah[Tanggal diserahkan kepada Validator]),"")</f>
        <v>45863.60806</v>
      </c>
      <c r="F3015" s="36" t="str">
        <f t="array" ref="F3015">IFNA(_xlfn.XLOOKUP(D3015,Table_Tarikan_Warkah[Nomor Tiket],Table_Tarikan_Warkah[Nama Petugas Warkah]),"")</f>
        <v>Berry</v>
      </c>
      <c r="G3015" s="39" t="str">
        <f t="array" ref="G3015">IFNA(_xlfn.XLOOKUP(D3015,Table_Tarikan_Warkah[Nomor Tiket],Table_Tarikan_Warkah[Jenis Permohonan]),"")</f>
        <v>ROYA</v>
      </c>
      <c r="H3015" s="41" t="s">
        <v>20</v>
      </c>
      <c r="I3015" s="49" t="s">
        <v>23</v>
      </c>
      <c r="J3015" s="36">
        <f t="shared" si="20"/>
        <v>45854.80733</v>
      </c>
      <c r="K3015" s="49" t="s">
        <v>2378</v>
      </c>
      <c r="L3015" s="49" t="s">
        <v>23</v>
      </c>
      <c r="M3015" s="36">
        <f t="shared" si="33"/>
        <v>45855.68041</v>
      </c>
      <c r="N3015" s="30" t="str">
        <f t="shared" si="34"/>
        <v>Selesai</v>
      </c>
      <c r="O3015" s="45">
        <f t="shared" si="23"/>
        <v>45855.68041</v>
      </c>
      <c r="P3015" s="47" t="b">
        <v>0</v>
      </c>
      <c r="Q3015" s="36" t="str">
        <f t="shared" si="24"/>
        <v/>
      </c>
      <c r="R3015" s="47" t="b">
        <v>0</v>
      </c>
      <c r="S3015" s="42" t="str">
        <f t="shared" si="28"/>
        <v/>
      </c>
      <c r="T3015" s="42"/>
    </row>
    <row r="3016" ht="22.5" customHeight="1">
      <c r="B3016" s="42">
        <f t="shared" si="7"/>
        <v>3010</v>
      </c>
      <c r="C3016" s="31" t="s">
        <v>2836</v>
      </c>
      <c r="D3016" s="34" t="str">
        <f t="array" ref="D3016">IFNA(_xlfn.XLOOKUP(C3016,Table_Tarikan_Warkah[Nomor Sertipikat],Table_Tarikan_Warkah[Nomor Tiket]),"")</f>
        <v>K/3/240625/1</v>
      </c>
      <c r="E3016" s="36">
        <f t="array" ref="E3016">IFNA(_xlfn.XLOOKUP(D3016,Table_Tarikan_Warkah[Nomor Tiket],Table_Tarikan_Warkah[Tanggal diserahkan kepada Validator]),"")</f>
        <v>45859.61708</v>
      </c>
      <c r="F3016" s="36" t="str">
        <f t="array" ref="F3016">IFNA(_xlfn.XLOOKUP(D3016,Table_Tarikan_Warkah[Nomor Tiket],Table_Tarikan_Warkah[Nama Petugas Warkah]),"")</f>
        <v>Berry</v>
      </c>
      <c r="G3016" s="39" t="str">
        <f t="array" ref="G3016">IFNA(_xlfn.XLOOKUP(D3016,Table_Tarikan_Warkah[Nomor Tiket],Table_Tarikan_Warkah[Jenis Permohonan]),"")</f>
        <v>BN WARIS</v>
      </c>
      <c r="H3016" s="41" t="s">
        <v>20</v>
      </c>
      <c r="I3016" s="49" t="s">
        <v>23</v>
      </c>
      <c r="J3016" s="36">
        <f t="shared" si="20"/>
        <v>45854.80742</v>
      </c>
      <c r="K3016" s="49" t="s">
        <v>2378</v>
      </c>
      <c r="L3016" s="49" t="s">
        <v>23</v>
      </c>
      <c r="M3016" s="36">
        <f t="shared" si="33"/>
        <v>45855.68127</v>
      </c>
      <c r="N3016" s="30" t="str">
        <f t="shared" si="34"/>
        <v>Selesai</v>
      </c>
      <c r="O3016" s="45">
        <f t="shared" si="23"/>
        <v>45855.68127</v>
      </c>
      <c r="P3016" s="47" t="b">
        <v>0</v>
      </c>
      <c r="Q3016" s="36" t="str">
        <f t="shared" si="24"/>
        <v/>
      </c>
      <c r="R3016" s="47" t="b">
        <v>0</v>
      </c>
      <c r="S3016" s="42" t="str">
        <f t="shared" si="28"/>
        <v/>
      </c>
      <c r="T3016" s="42"/>
    </row>
    <row r="3017" ht="22.5" customHeight="1">
      <c r="B3017" s="42">
        <f t="shared" si="7"/>
        <v>3011</v>
      </c>
      <c r="C3017" s="31" t="s">
        <v>3084</v>
      </c>
      <c r="D3017" s="34" t="str">
        <f t="array" ref="D3017">IFNA(_xlfn.XLOOKUP(C3017,Table_Tarikan_Warkah[Nomor Sertipikat],Table_Tarikan_Warkah[Nomor Tiket]),"")</f>
        <v>K/23/020725/1</v>
      </c>
      <c r="E3017" s="36">
        <f t="array" ref="E3017">IFNA(_xlfn.XLOOKUP(D3017,Table_Tarikan_Warkah[Nomor Tiket],Table_Tarikan_Warkah[Tanggal diserahkan kepada Validator]),"")</f>
        <v>45859.63836</v>
      </c>
      <c r="F3017" s="36" t="str">
        <f t="array" ref="F3017">IFNA(_xlfn.XLOOKUP(D3017,Table_Tarikan_Warkah[Nomor Tiket],Table_Tarikan_Warkah[Nama Petugas Warkah]),"")</f>
        <v>Berry</v>
      </c>
      <c r="G3017" s="39" t="str">
        <f t="array" ref="G3017">IFNA(_xlfn.XLOOKUP(D3017,Table_Tarikan_Warkah[Nomor Tiket],Table_Tarikan_Warkah[Jenis Permohonan]),"")</f>
        <v>BN Jual Beli</v>
      </c>
      <c r="H3017" s="41" t="s">
        <v>20</v>
      </c>
      <c r="I3017" s="49" t="s">
        <v>23</v>
      </c>
      <c r="J3017" s="36">
        <f t="shared" si="20"/>
        <v>45854.80751</v>
      </c>
      <c r="K3017" s="49" t="s">
        <v>2378</v>
      </c>
      <c r="L3017" s="49" t="s">
        <v>23</v>
      </c>
      <c r="M3017" s="36">
        <f t="shared" si="33"/>
        <v>45855.6812</v>
      </c>
      <c r="N3017" s="30" t="str">
        <f t="shared" si="34"/>
        <v>Selesai</v>
      </c>
      <c r="O3017" s="45">
        <f t="shared" si="23"/>
        <v>45855.6812</v>
      </c>
      <c r="P3017" s="47" t="b">
        <v>0</v>
      </c>
      <c r="Q3017" s="36" t="str">
        <f t="shared" si="24"/>
        <v/>
      </c>
      <c r="R3017" s="47" t="b">
        <v>0</v>
      </c>
      <c r="S3017" s="42" t="str">
        <f t="shared" si="28"/>
        <v/>
      </c>
      <c r="T3017" s="42"/>
    </row>
    <row r="3018" ht="22.5" customHeight="1">
      <c r="B3018" s="42">
        <f t="shared" si="7"/>
        <v>3012</v>
      </c>
      <c r="C3018" s="31" t="s">
        <v>3085</v>
      </c>
      <c r="D3018" s="34" t="str">
        <f t="array" ref="D3018">IFNA(_xlfn.XLOOKUP(C3018,Table_Tarikan_Warkah[Nomor Sertipikat],Table_Tarikan_Warkah[Nomor Tiket]),"")</f>
        <v>L/9/300625/1</v>
      </c>
      <c r="E3018" s="36">
        <f t="array" ref="E3018">IFNA(_xlfn.XLOOKUP(D3018,Table_Tarikan_Warkah[Nomor Tiket],Table_Tarikan_Warkah[Tanggal diserahkan kepada Validator]),"")</f>
        <v>45890.58896</v>
      </c>
      <c r="F3018" s="36" t="str">
        <f t="array" ref="F3018">IFNA(_xlfn.XLOOKUP(D3018,Table_Tarikan_Warkah[Nomor Tiket],Table_Tarikan_Warkah[Nama Petugas Warkah]),"")</f>
        <v>Berry</v>
      </c>
      <c r="G3018" s="39" t="str">
        <f t="array" ref="G3018">IFNA(_xlfn.XLOOKUP(D3018,Table_Tarikan_Warkah[Nomor Tiket],Table_Tarikan_Warkah[Jenis Permohonan]),"")</f>
        <v>ROYA</v>
      </c>
      <c r="H3018" s="41" t="s">
        <v>2315</v>
      </c>
      <c r="I3018" s="49" t="s">
        <v>23</v>
      </c>
      <c r="J3018" s="36">
        <f t="shared" si="20"/>
        <v>45855.36083</v>
      </c>
      <c r="K3018" s="49" t="s">
        <v>2378</v>
      </c>
      <c r="L3018" s="49" t="s">
        <v>23</v>
      </c>
      <c r="M3018" s="36">
        <f t="shared" si="33"/>
        <v>45855.67818</v>
      </c>
      <c r="N3018" s="30" t="str">
        <f t="shared" si="34"/>
        <v>Selesai</v>
      </c>
      <c r="O3018" s="45">
        <f t="shared" si="23"/>
        <v>45855.67818</v>
      </c>
      <c r="P3018" s="47" t="b">
        <v>0</v>
      </c>
      <c r="Q3018" s="36" t="str">
        <f t="shared" si="24"/>
        <v/>
      </c>
      <c r="R3018" s="47" t="b">
        <v>0</v>
      </c>
      <c r="S3018" s="42" t="str">
        <f t="shared" si="28"/>
        <v/>
      </c>
      <c r="T3018" s="42"/>
    </row>
    <row r="3019" ht="22.5" customHeight="1">
      <c r="B3019" s="42">
        <f t="shared" si="7"/>
        <v>3013</v>
      </c>
      <c r="C3019" s="31" t="s">
        <v>3086</v>
      </c>
      <c r="D3019" s="34" t="str">
        <f t="array" ref="D3019">IFNA(_xlfn.XLOOKUP(C3019,Table_Tarikan_Warkah[Nomor Sertipikat],Table_Tarikan_Warkah[Nomor Tiket]),"")</f>
        <v>L/20/110725/1</v>
      </c>
      <c r="E3019" s="36">
        <f t="array" ref="E3019">IFNA(_xlfn.XLOOKUP(D3019,Table_Tarikan_Warkah[Nomor Tiket],Table_Tarikan_Warkah[Tanggal diserahkan kepada Validator]),"")</f>
        <v>45877.49121</v>
      </c>
      <c r="F3019" s="36" t="str">
        <f t="array" ref="F3019">IFNA(_xlfn.XLOOKUP(D3019,Table_Tarikan_Warkah[Nomor Tiket],Table_Tarikan_Warkah[Nama Petugas Warkah]),"")</f>
        <v>David</v>
      </c>
      <c r="G3019" s="39" t="str">
        <f t="array" ref="G3019">IFNA(_xlfn.XLOOKUP(D3019,Table_Tarikan_Warkah[Nomor Tiket],Table_Tarikan_Warkah[Jenis Permohonan]),"")</f>
        <v>ROYA</v>
      </c>
      <c r="H3019" s="41" t="s">
        <v>2315</v>
      </c>
      <c r="I3019" s="49" t="s">
        <v>23</v>
      </c>
      <c r="J3019" s="36">
        <f t="shared" si="20"/>
        <v>45855.36114</v>
      </c>
      <c r="K3019" s="49" t="s">
        <v>2378</v>
      </c>
      <c r="L3019" s="49" t="s">
        <v>23</v>
      </c>
      <c r="M3019" s="36">
        <f t="shared" si="33"/>
        <v>45855.66887</v>
      </c>
      <c r="N3019" s="30" t="str">
        <f t="shared" si="34"/>
        <v>Selesai</v>
      </c>
      <c r="O3019" s="45">
        <f t="shared" si="23"/>
        <v>45855.66887</v>
      </c>
      <c r="P3019" s="47" t="b">
        <v>0</v>
      </c>
      <c r="Q3019" s="36" t="str">
        <f t="shared" si="24"/>
        <v/>
      </c>
      <c r="R3019" s="47" t="b">
        <v>0</v>
      </c>
      <c r="S3019" s="42" t="str">
        <f t="shared" si="28"/>
        <v/>
      </c>
      <c r="T3019" s="42"/>
    </row>
    <row r="3020" ht="22.5" customHeight="1">
      <c r="B3020" s="42">
        <f t="shared" si="7"/>
        <v>3014</v>
      </c>
      <c r="C3020" s="31" t="s">
        <v>3087</v>
      </c>
      <c r="D3020" s="34" t="str">
        <f t="array" ref="D3020">IFNA(_xlfn.XLOOKUP(C3020,Table_Tarikan_Warkah[Nomor Sertipikat],Table_Tarikan_Warkah[Nomor Tiket]),"")</f>
        <v>L/21/110725/2</v>
      </c>
      <c r="E3020" s="36">
        <f t="array" ref="E3020">IFNA(_xlfn.XLOOKUP(D3020,Table_Tarikan_Warkah[Nomor Tiket],Table_Tarikan_Warkah[Tanggal diserahkan kepada Validator]),"")</f>
        <v>45877.491</v>
      </c>
      <c r="F3020" s="36" t="str">
        <f t="array" ref="F3020">IFNA(_xlfn.XLOOKUP(D3020,Table_Tarikan_Warkah[Nomor Tiket],Table_Tarikan_Warkah[Nama Petugas Warkah]),"")</f>
        <v>David</v>
      </c>
      <c r="G3020" s="39" t="str">
        <f t="array" ref="G3020">IFNA(_xlfn.XLOOKUP(D3020,Table_Tarikan_Warkah[Nomor Tiket],Table_Tarikan_Warkah[Jenis Permohonan]),"")</f>
        <v>ROYA</v>
      </c>
      <c r="H3020" s="41" t="s">
        <v>2315</v>
      </c>
      <c r="I3020" s="49" t="s">
        <v>23</v>
      </c>
      <c r="J3020" s="36">
        <f t="shared" si="20"/>
        <v>45855.36173</v>
      </c>
      <c r="K3020" s="49" t="s">
        <v>2378</v>
      </c>
      <c r="L3020" s="49" t="s">
        <v>23</v>
      </c>
      <c r="M3020" s="36">
        <f t="shared" si="33"/>
        <v>45855.66945</v>
      </c>
      <c r="N3020" s="30" t="str">
        <f t="shared" si="34"/>
        <v>Selesai</v>
      </c>
      <c r="O3020" s="45">
        <f t="shared" si="23"/>
        <v>45855.66945</v>
      </c>
      <c r="P3020" s="47" t="b">
        <v>0</v>
      </c>
      <c r="Q3020" s="36" t="str">
        <f t="shared" si="24"/>
        <v/>
      </c>
      <c r="R3020" s="47" t="b">
        <v>0</v>
      </c>
      <c r="S3020" s="42" t="str">
        <f t="shared" si="28"/>
        <v/>
      </c>
      <c r="T3020" s="42"/>
    </row>
    <row r="3021" ht="22.5" customHeight="1">
      <c r="B3021" s="42">
        <f t="shared" si="7"/>
        <v>3015</v>
      </c>
      <c r="C3021" s="31" t="s">
        <v>3088</v>
      </c>
      <c r="D3021" s="34" t="str">
        <f t="array" ref="D3021">IFNA(_xlfn.XLOOKUP(C3021,Table_Tarikan_Warkah[Nomor Sertipikat],Table_Tarikan_Warkah[Nomor Tiket]),"")</f>
        <v>K/43/100725/1</v>
      </c>
      <c r="E3021" s="36">
        <f t="array" ref="E3021">IFNA(_xlfn.XLOOKUP(D3021,Table_Tarikan_Warkah[Nomor Tiket],Table_Tarikan_Warkah[Tanggal diserahkan kepada Validator]),"")</f>
        <v>45856.51525</v>
      </c>
      <c r="F3021" s="36" t="str">
        <f t="array" ref="F3021">IFNA(_xlfn.XLOOKUP(D3021,Table_Tarikan_Warkah[Nomor Tiket],Table_Tarikan_Warkah[Nama Petugas Warkah]),"")</f>
        <v>Berry</v>
      </c>
      <c r="G3021" s="39" t="str">
        <f t="array" ref="G3021">IFNA(_xlfn.XLOOKUP(D3021,Table_Tarikan_Warkah[Nomor Tiket],Table_Tarikan_Warkah[Jenis Permohonan]),"")</f>
        <v>JUAL BELI</v>
      </c>
      <c r="H3021" s="41" t="s">
        <v>2315</v>
      </c>
      <c r="I3021" s="49" t="s">
        <v>23</v>
      </c>
      <c r="J3021" s="36">
        <f t="shared" si="20"/>
        <v>45855.3619</v>
      </c>
      <c r="K3021" s="49" t="s">
        <v>2378</v>
      </c>
      <c r="L3021" s="49" t="s">
        <v>23</v>
      </c>
      <c r="M3021" s="36">
        <f t="shared" si="33"/>
        <v>45855.66959</v>
      </c>
      <c r="N3021" s="30" t="str">
        <f t="shared" si="34"/>
        <v>Selesai</v>
      </c>
      <c r="O3021" s="45">
        <f t="shared" si="23"/>
        <v>45855.66959</v>
      </c>
      <c r="P3021" s="47" t="b">
        <v>0</v>
      </c>
      <c r="Q3021" s="36" t="str">
        <f t="shared" si="24"/>
        <v/>
      </c>
      <c r="R3021" s="47" t="b">
        <v>0</v>
      </c>
      <c r="S3021" s="42" t="str">
        <f t="shared" si="28"/>
        <v/>
      </c>
      <c r="T3021" s="42"/>
    </row>
    <row r="3022" ht="22.5" customHeight="1">
      <c r="B3022" s="42">
        <f t="shared" si="7"/>
        <v>3016</v>
      </c>
      <c r="C3022" s="31" t="s">
        <v>3089</v>
      </c>
      <c r="D3022" s="34" t="str">
        <f t="array" ref="D3022">IFNA(_xlfn.XLOOKUP(C3022,Table_Tarikan_Warkah[Nomor Sertipikat],Table_Tarikan_Warkah[Nomor Tiket]),"")</f>
        <v>K/18/030725/1</v>
      </c>
      <c r="E3022" s="36">
        <f t="array" ref="E3022">IFNA(_xlfn.XLOOKUP(D3022,Table_Tarikan_Warkah[Nomor Tiket],Table_Tarikan_Warkah[Tanggal diserahkan kepada Validator]),"")</f>
        <v>45856.51495</v>
      </c>
      <c r="F3022" s="36" t="str">
        <f t="array" ref="F3022">IFNA(_xlfn.XLOOKUP(D3022,Table_Tarikan_Warkah[Nomor Tiket],Table_Tarikan_Warkah[Nama Petugas Warkah]),"")</f>
        <v>Berry</v>
      </c>
      <c r="G3022" s="39" t="str">
        <f t="array" ref="G3022">IFNA(_xlfn.XLOOKUP(D3022,Table_Tarikan_Warkah[Nomor Tiket],Table_Tarikan_Warkah[Jenis Permohonan]),"")</f>
        <v>JUAL BELI</v>
      </c>
      <c r="H3022" s="41" t="s">
        <v>2315</v>
      </c>
      <c r="I3022" s="49" t="s">
        <v>23</v>
      </c>
      <c r="J3022" s="36">
        <f t="shared" si="20"/>
        <v>45855.36206</v>
      </c>
      <c r="K3022" s="49" t="s">
        <v>2378</v>
      </c>
      <c r="L3022" s="49" t="s">
        <v>23</v>
      </c>
      <c r="M3022" s="36">
        <f t="shared" si="33"/>
        <v>45855.66975</v>
      </c>
      <c r="N3022" s="30" t="str">
        <f t="shared" si="34"/>
        <v>Selesai</v>
      </c>
      <c r="O3022" s="45">
        <f t="shared" si="23"/>
        <v>45855.66975</v>
      </c>
      <c r="P3022" s="47" t="b">
        <v>0</v>
      </c>
      <c r="Q3022" s="36" t="str">
        <f t="shared" si="24"/>
        <v/>
      </c>
      <c r="R3022" s="47" t="b">
        <v>0</v>
      </c>
      <c r="S3022" s="42" t="str">
        <f t="shared" si="28"/>
        <v/>
      </c>
      <c r="T3022" s="42"/>
    </row>
    <row r="3023" ht="22.5" customHeight="1">
      <c r="B3023" s="42">
        <f t="shared" si="7"/>
        <v>3017</v>
      </c>
      <c r="C3023" s="31" t="s">
        <v>3090</v>
      </c>
      <c r="D3023" s="34" t="str">
        <f t="array" ref="D3023">IFNA(_xlfn.XLOOKUP(C3023,Table_Tarikan_Warkah[Nomor Sertipikat],Table_Tarikan_Warkah[Nomor Tiket]),"")</f>
        <v>K/27/080725/1</v>
      </c>
      <c r="E3023" s="36">
        <f t="array" ref="E3023">IFNA(_xlfn.XLOOKUP(D3023,Table_Tarikan_Warkah[Nomor Tiket],Table_Tarikan_Warkah[Tanggal diserahkan kepada Validator]),"")</f>
        <v>45861.61778</v>
      </c>
      <c r="F3023" s="36" t="str">
        <f t="array" ref="F3023">IFNA(_xlfn.XLOOKUP(D3023,Table_Tarikan_Warkah[Nomor Tiket],Table_Tarikan_Warkah[Nama Petugas Warkah]),"")</f>
        <v>Berry</v>
      </c>
      <c r="G3023" s="39" t="str">
        <f t="array" ref="G3023">IFNA(_xlfn.XLOOKUP(D3023,Table_Tarikan_Warkah[Nomor Tiket],Table_Tarikan_Warkah[Jenis Permohonan]),"")</f>
        <v>BN JUAL BELI</v>
      </c>
      <c r="H3023" s="41" t="s">
        <v>2315</v>
      </c>
      <c r="I3023" s="49" t="s">
        <v>23</v>
      </c>
      <c r="J3023" s="36">
        <f t="shared" si="20"/>
        <v>45855.36226</v>
      </c>
      <c r="K3023" s="49" t="s">
        <v>2378</v>
      </c>
      <c r="L3023" s="49" t="s">
        <v>23</v>
      </c>
      <c r="M3023" s="36">
        <f t="shared" si="33"/>
        <v>45855.67037</v>
      </c>
      <c r="N3023" s="30" t="str">
        <f t="shared" si="34"/>
        <v>Selesai</v>
      </c>
      <c r="O3023" s="45">
        <f t="shared" si="23"/>
        <v>45855.67037</v>
      </c>
      <c r="P3023" s="47" t="b">
        <v>0</v>
      </c>
      <c r="Q3023" s="36" t="str">
        <f t="shared" si="24"/>
        <v/>
      </c>
      <c r="R3023" s="47" t="b">
        <v>0</v>
      </c>
      <c r="S3023" s="42" t="str">
        <f t="shared" si="28"/>
        <v/>
      </c>
      <c r="T3023" s="42"/>
    </row>
    <row r="3024" ht="22.5" customHeight="1">
      <c r="B3024" s="42">
        <f t="shared" si="7"/>
        <v>3018</v>
      </c>
      <c r="C3024" s="31" t="s">
        <v>3091</v>
      </c>
      <c r="D3024" s="34" t="str">
        <f t="array" ref="D3024">IFNA(_xlfn.XLOOKUP(C3024,Table_Tarikan_Warkah[Nomor Sertipikat],Table_Tarikan_Warkah[Nomor Tiket]),"")</f>
        <v>L/31/100725/1</v>
      </c>
      <c r="E3024" s="36">
        <f t="array" ref="E3024">IFNA(_xlfn.XLOOKUP(D3024,Table_Tarikan_Warkah[Nomor Tiket],Table_Tarikan_Warkah[Tanggal diserahkan kepada Validator]),"")</f>
        <v>45863.60844</v>
      </c>
      <c r="F3024" s="36" t="str">
        <f t="array" ref="F3024">IFNA(_xlfn.XLOOKUP(D3024,Table_Tarikan_Warkah[Nomor Tiket],Table_Tarikan_Warkah[Nama Petugas Warkah]),"")</f>
        <v>Berry</v>
      </c>
      <c r="G3024" s="39" t="str">
        <f t="array" ref="G3024">IFNA(_xlfn.XLOOKUP(D3024,Table_Tarikan_Warkah[Nomor Tiket],Table_Tarikan_Warkah[Jenis Permohonan]),"")</f>
        <v>ROYA</v>
      </c>
      <c r="H3024" s="41" t="s">
        <v>2315</v>
      </c>
      <c r="I3024" s="49" t="s">
        <v>23</v>
      </c>
      <c r="J3024" s="36">
        <f t="shared" si="20"/>
        <v>45855.36242</v>
      </c>
      <c r="K3024" s="49" t="s">
        <v>2378</v>
      </c>
      <c r="L3024" s="49" t="s">
        <v>23</v>
      </c>
      <c r="M3024" s="36">
        <f t="shared" si="33"/>
        <v>45855.67914</v>
      </c>
      <c r="N3024" s="30" t="str">
        <f t="shared" si="34"/>
        <v>Selesai</v>
      </c>
      <c r="O3024" s="45">
        <f t="shared" si="23"/>
        <v>45855.67914</v>
      </c>
      <c r="P3024" s="47" t="b">
        <v>0</v>
      </c>
      <c r="Q3024" s="36" t="str">
        <f t="shared" si="24"/>
        <v/>
      </c>
      <c r="R3024" s="47" t="b">
        <v>0</v>
      </c>
      <c r="S3024" s="42" t="str">
        <f t="shared" si="28"/>
        <v/>
      </c>
      <c r="T3024" s="42"/>
    </row>
    <row r="3025" ht="22.5" customHeight="1">
      <c r="B3025" s="42">
        <f t="shared" si="7"/>
        <v>3019</v>
      </c>
      <c r="C3025" s="31" t="s">
        <v>3092</v>
      </c>
      <c r="D3025" s="34" t="str">
        <f t="array" ref="D3025">IFNA(_xlfn.XLOOKUP(C3025,Table_Tarikan_Warkah[Nomor Sertipikat],Table_Tarikan_Warkah[Nomor Tiket]),"")</f>
        <v>L/35/040725/1</v>
      </c>
      <c r="E3025" s="36">
        <f t="array" ref="E3025">IFNA(_xlfn.XLOOKUP(D3025,Table_Tarikan_Warkah[Nomor Tiket],Table_Tarikan_Warkah[Tanggal diserahkan kepada Validator]),"")</f>
        <v>45868.65554</v>
      </c>
      <c r="F3025" s="36" t="str">
        <f t="array" ref="F3025">IFNA(_xlfn.XLOOKUP(D3025,Table_Tarikan_Warkah[Nomor Tiket],Table_Tarikan_Warkah[Nama Petugas Warkah]),"")</f>
        <v>David</v>
      </c>
      <c r="G3025" s="39" t="str">
        <f t="array" ref="G3025">IFNA(_xlfn.XLOOKUP(D3025,Table_Tarikan_Warkah[Nomor Tiket],Table_Tarikan_Warkah[Jenis Permohonan]),"")</f>
        <v>ROYA WARIS</v>
      </c>
      <c r="H3025" s="41" t="s">
        <v>2315</v>
      </c>
      <c r="I3025" s="49" t="s">
        <v>23</v>
      </c>
      <c r="J3025" s="36">
        <f t="shared" si="20"/>
        <v>45855.36252</v>
      </c>
      <c r="K3025" s="49" t="s">
        <v>2378</v>
      </c>
      <c r="L3025" s="49" t="s">
        <v>23</v>
      </c>
      <c r="M3025" s="36">
        <f t="shared" si="33"/>
        <v>45855.67904</v>
      </c>
      <c r="N3025" s="30" t="str">
        <f t="shared" si="34"/>
        <v>Selesai</v>
      </c>
      <c r="O3025" s="45">
        <f t="shared" si="23"/>
        <v>45855.67904</v>
      </c>
      <c r="P3025" s="47" t="b">
        <v>0</v>
      </c>
      <c r="Q3025" s="36" t="str">
        <f t="shared" si="24"/>
        <v/>
      </c>
      <c r="R3025" s="47" t="b">
        <v>0</v>
      </c>
      <c r="S3025" s="42" t="str">
        <f t="shared" si="28"/>
        <v/>
      </c>
      <c r="T3025" s="42"/>
    </row>
    <row r="3026" ht="22.5" customHeight="1">
      <c r="B3026" s="42">
        <f t="shared" si="7"/>
        <v>3020</v>
      </c>
      <c r="C3026" s="31" t="s">
        <v>3093</v>
      </c>
      <c r="D3026" s="34" t="str">
        <f t="array" ref="D3026">IFNA(_xlfn.XLOOKUP(C3026,Table_Tarikan_Warkah[Nomor Sertipikat],Table_Tarikan_Warkah[Nomor Tiket]),"")</f>
        <v>K/37/040725/1</v>
      </c>
      <c r="E3026" s="36">
        <f t="array" ref="E3026">IFNA(_xlfn.XLOOKUP(D3026,Table_Tarikan_Warkah[Nomor Tiket],Table_Tarikan_Warkah[Tanggal diserahkan kepada Validator]),"")</f>
        <v>45856.51326</v>
      </c>
      <c r="F3026" s="36" t="str">
        <f t="array" ref="F3026">IFNA(_xlfn.XLOOKUP(D3026,Table_Tarikan_Warkah[Nomor Tiket],Table_Tarikan_Warkah[Nama Petugas Warkah]),"")</f>
        <v>Berry</v>
      </c>
      <c r="G3026" s="39" t="str">
        <f t="array" ref="G3026">IFNA(_xlfn.XLOOKUP(D3026,Table_Tarikan_Warkah[Nomor Tiket],Table_Tarikan_Warkah[Jenis Permohonan]),"")</f>
        <v>JUAL BELI</v>
      </c>
      <c r="H3026" s="41" t="s">
        <v>2315</v>
      </c>
      <c r="I3026" s="49" t="s">
        <v>23</v>
      </c>
      <c r="J3026" s="36">
        <f t="shared" si="20"/>
        <v>45855.36271</v>
      </c>
      <c r="K3026" s="49" t="s">
        <v>2378</v>
      </c>
      <c r="L3026" s="49" t="s">
        <v>23</v>
      </c>
      <c r="M3026" s="36">
        <f t="shared" si="33"/>
        <v>45855.67904</v>
      </c>
      <c r="N3026" s="30" t="str">
        <f t="shared" si="34"/>
        <v>Selesai</v>
      </c>
      <c r="O3026" s="45">
        <f t="shared" si="23"/>
        <v>45855.67904</v>
      </c>
      <c r="P3026" s="47" t="b">
        <v>0</v>
      </c>
      <c r="Q3026" s="36" t="str">
        <f t="shared" si="24"/>
        <v/>
      </c>
      <c r="R3026" s="47" t="b">
        <v>0</v>
      </c>
      <c r="S3026" s="42" t="str">
        <f t="shared" si="28"/>
        <v/>
      </c>
      <c r="T3026" s="42"/>
    </row>
    <row r="3027" ht="22.5" customHeight="1">
      <c r="B3027" s="42">
        <f t="shared" si="7"/>
        <v>3021</v>
      </c>
      <c r="C3027" s="31" t="s">
        <v>3094</v>
      </c>
      <c r="D3027" s="34" t="str">
        <f t="array" ref="D3027">IFNA(_xlfn.XLOOKUP(C3027,Table_Tarikan_Warkah[Nomor Sertipikat],Table_Tarikan_Warkah[Nomor Tiket]),"")</f>
        <v>L/15/090725/1</v>
      </c>
      <c r="E3027" s="36" t="str">
        <f t="array" ref="E3027">IFNA(_xlfn.XLOOKUP(D3027,Table_Tarikan_Warkah[Nomor Tiket],Table_Tarikan_Warkah[Tanggal diserahkan kepada Validator]),"")</f>
        <v/>
      </c>
      <c r="F3027" s="36" t="str">
        <f t="array" ref="F3027">IFNA(_xlfn.XLOOKUP(D3027,Table_Tarikan_Warkah[Nomor Tiket],Table_Tarikan_Warkah[Nama Petugas Warkah]),"")</f>
        <v/>
      </c>
      <c r="G3027" s="39" t="str">
        <f t="array" ref="G3027">IFNA(_xlfn.XLOOKUP(D3027,Table_Tarikan_Warkah[Nomor Tiket],Table_Tarikan_Warkah[Jenis Permohonan]),"")</f>
        <v>SKPT INFORMASI</v>
      </c>
      <c r="H3027" s="41" t="s">
        <v>2315</v>
      </c>
      <c r="I3027" s="49" t="s">
        <v>23</v>
      </c>
      <c r="J3027" s="36">
        <f t="shared" si="20"/>
        <v>45855.3634</v>
      </c>
      <c r="K3027" s="49" t="s">
        <v>2378</v>
      </c>
      <c r="L3027" s="49" t="s">
        <v>23</v>
      </c>
      <c r="M3027" s="36">
        <f t="shared" si="33"/>
        <v>45855.67904</v>
      </c>
      <c r="N3027" s="30" t="str">
        <f t="shared" si="34"/>
        <v>Selesai</v>
      </c>
      <c r="O3027" s="45">
        <f t="shared" si="23"/>
        <v>45855.67904</v>
      </c>
      <c r="P3027" s="47" t="b">
        <v>0</v>
      </c>
      <c r="Q3027" s="36" t="str">
        <f t="shared" si="24"/>
        <v/>
      </c>
      <c r="R3027" s="47" t="b">
        <v>0</v>
      </c>
      <c r="S3027" s="42" t="str">
        <f t="shared" si="28"/>
        <v/>
      </c>
      <c r="T3027" s="42"/>
    </row>
    <row r="3028" ht="22.5" customHeight="1">
      <c r="B3028" s="42">
        <f t="shared" si="7"/>
        <v>3022</v>
      </c>
      <c r="C3028" s="31" t="s">
        <v>3095</v>
      </c>
      <c r="D3028" s="34" t="str">
        <f t="array" ref="D3028">IFNA(_xlfn.XLOOKUP(C3028,Table_Tarikan_Warkah[Nomor Sertipikat],Table_Tarikan_Warkah[Nomor Tiket]),"")</f>
        <v>L/14/260625/1</v>
      </c>
      <c r="E3028" s="36">
        <f t="array" ref="E3028">IFNA(_xlfn.XLOOKUP(D3028,Table_Tarikan_Warkah[Nomor Tiket],Table_Tarikan_Warkah[Tanggal diserahkan kepada Validator]),"")</f>
        <v>45912.52419</v>
      </c>
      <c r="F3028" s="36" t="str">
        <f t="array" ref="F3028">IFNA(_xlfn.XLOOKUP(D3028,Table_Tarikan_Warkah[Nomor Tiket],Table_Tarikan_Warkah[Nama Petugas Warkah]),"")</f>
        <v>David</v>
      </c>
      <c r="G3028" s="39" t="str">
        <f t="array" ref="G3028">IFNA(_xlfn.XLOOKUP(D3028,Table_Tarikan_Warkah[Nomor Tiket],Table_Tarikan_Warkah[Jenis Permohonan]),"")</f>
        <v>ROYA</v>
      </c>
      <c r="H3028" s="41" t="s">
        <v>2315</v>
      </c>
      <c r="I3028" s="49" t="s">
        <v>23</v>
      </c>
      <c r="J3028" s="36">
        <f t="shared" si="20"/>
        <v>45855.36363</v>
      </c>
      <c r="K3028" s="49" t="s">
        <v>2378</v>
      </c>
      <c r="L3028" s="49" t="s">
        <v>23</v>
      </c>
      <c r="M3028" s="36">
        <f t="shared" si="33"/>
        <v>45855.67852</v>
      </c>
      <c r="N3028" s="30" t="str">
        <f t="shared" si="34"/>
        <v>Selesai</v>
      </c>
      <c r="O3028" s="45">
        <f t="shared" si="23"/>
        <v>45855.67852</v>
      </c>
      <c r="P3028" s="47" t="b">
        <v>0</v>
      </c>
      <c r="Q3028" s="36" t="str">
        <f t="shared" si="24"/>
        <v/>
      </c>
      <c r="R3028" s="47" t="b">
        <v>0</v>
      </c>
      <c r="S3028" s="42" t="str">
        <f t="shared" si="28"/>
        <v/>
      </c>
      <c r="T3028" s="42"/>
    </row>
    <row r="3029" ht="22.5" customHeight="1">
      <c r="B3029" s="42">
        <f t="shared" si="7"/>
        <v>3023</v>
      </c>
      <c r="C3029" s="31" t="s">
        <v>3096</v>
      </c>
      <c r="D3029" s="34" t="str">
        <f t="array" ref="D3029">IFNA(_xlfn.XLOOKUP(C3029,Table_Tarikan_Warkah[Nomor Sertipikat],Table_Tarikan_Warkah[Nomor Tiket]),"")</f>
        <v>L/33/100725/1</v>
      </c>
      <c r="E3029" s="36">
        <f t="array" ref="E3029">IFNA(_xlfn.XLOOKUP(D3029,Table_Tarikan_Warkah[Nomor Tiket],Table_Tarikan_Warkah[Tanggal diserahkan kepada Validator]),"")</f>
        <v>45863.60833</v>
      </c>
      <c r="F3029" s="36" t="str">
        <f t="array" ref="F3029">IFNA(_xlfn.XLOOKUP(D3029,Table_Tarikan_Warkah[Nomor Tiket],Table_Tarikan_Warkah[Nama Petugas Warkah]),"")</f>
        <v>Berry</v>
      </c>
      <c r="G3029" s="39" t="str">
        <f t="array" ref="G3029">IFNA(_xlfn.XLOOKUP(D3029,Table_Tarikan_Warkah[Nomor Tiket],Table_Tarikan_Warkah[Jenis Permohonan]),"")</f>
        <v>ROYA</v>
      </c>
      <c r="H3029" s="41" t="s">
        <v>2315</v>
      </c>
      <c r="I3029" s="49" t="s">
        <v>23</v>
      </c>
      <c r="J3029" s="36">
        <f t="shared" si="20"/>
        <v>45855.36379</v>
      </c>
      <c r="K3029" s="49" t="s">
        <v>2378</v>
      </c>
      <c r="L3029" s="49" t="s">
        <v>23</v>
      </c>
      <c r="M3029" s="36">
        <f t="shared" si="33"/>
        <v>45855.67015</v>
      </c>
      <c r="N3029" s="30" t="str">
        <f t="shared" si="34"/>
        <v>Selesai</v>
      </c>
      <c r="O3029" s="45">
        <f t="shared" si="23"/>
        <v>45855.67015</v>
      </c>
      <c r="P3029" s="47" t="b">
        <v>0</v>
      </c>
      <c r="Q3029" s="36" t="str">
        <f t="shared" si="24"/>
        <v/>
      </c>
      <c r="R3029" s="47" t="b">
        <v>0</v>
      </c>
      <c r="S3029" s="42" t="str">
        <f t="shared" si="28"/>
        <v/>
      </c>
      <c r="T3029" s="42"/>
    </row>
    <row r="3030" ht="22.5" customHeight="1">
      <c r="B3030" s="42">
        <f t="shared" si="7"/>
        <v>3024</v>
      </c>
      <c r="C3030" s="31" t="s">
        <v>3097</v>
      </c>
      <c r="D3030" s="34" t="str">
        <f t="array" ref="D3030">IFNA(_xlfn.XLOOKUP(C3030,Table_Tarikan_Warkah[Nomor Sertipikat],Table_Tarikan_Warkah[Nomor Tiket]),"")</f>
        <v>K/4/090725/1</v>
      </c>
      <c r="E3030" s="36">
        <f t="array" ref="E3030">IFNA(_xlfn.XLOOKUP(D3030,Table_Tarikan_Warkah[Nomor Tiket],Table_Tarikan_Warkah[Tanggal diserahkan kepada Validator]),"")</f>
        <v>45863.60775</v>
      </c>
      <c r="F3030" s="36" t="str">
        <f t="array" ref="F3030">IFNA(_xlfn.XLOOKUP(D3030,Table_Tarikan_Warkah[Nomor Tiket],Table_Tarikan_Warkah[Nama Petugas Warkah]),"")</f>
        <v>Berry</v>
      </c>
      <c r="G3030" s="39" t="str">
        <f t="array" ref="G3030">IFNA(_xlfn.XLOOKUP(D3030,Table_Tarikan_Warkah[Nomor Tiket],Table_Tarikan_Warkah[Jenis Permohonan]),"")</f>
        <v>ROYA</v>
      </c>
      <c r="H3030" s="41" t="s">
        <v>2315</v>
      </c>
      <c r="I3030" s="49" t="s">
        <v>23</v>
      </c>
      <c r="J3030" s="36">
        <f t="shared" si="20"/>
        <v>45855.46235</v>
      </c>
      <c r="K3030" s="49" t="s">
        <v>2378</v>
      </c>
      <c r="L3030" s="49" t="s">
        <v>23</v>
      </c>
      <c r="M3030" s="36">
        <f t="shared" si="33"/>
        <v>45855.67052</v>
      </c>
      <c r="N3030" s="30" t="str">
        <f t="shared" si="34"/>
        <v>Selesai</v>
      </c>
      <c r="O3030" s="45">
        <f t="shared" si="23"/>
        <v>45855.67052</v>
      </c>
      <c r="P3030" s="47" t="b">
        <v>0</v>
      </c>
      <c r="Q3030" s="36" t="str">
        <f t="shared" si="24"/>
        <v/>
      </c>
      <c r="R3030" s="47" t="b">
        <v>0</v>
      </c>
      <c r="S3030" s="42" t="str">
        <f t="shared" si="28"/>
        <v/>
      </c>
      <c r="T3030" s="42"/>
    </row>
    <row r="3031" ht="22.5" customHeight="1">
      <c r="B3031" s="42">
        <f t="shared" si="7"/>
        <v>3025</v>
      </c>
      <c r="C3031" s="31" t="s">
        <v>3098</v>
      </c>
      <c r="D3031" s="34" t="str">
        <f t="array" ref="D3031">IFNA(_xlfn.XLOOKUP(C3031,Table_Tarikan_Warkah[Nomor Sertipikat],Table_Tarikan_Warkah[Nomor Tiket]),"")</f>
        <v>K/37/020625/1</v>
      </c>
      <c r="E3031" s="36">
        <f t="array" ref="E3031">IFNA(_xlfn.XLOOKUP(D3031,Table_Tarikan_Warkah[Nomor Tiket],Table_Tarikan_Warkah[Tanggal diserahkan kepada Validator]),"")</f>
        <v>45863.60765</v>
      </c>
      <c r="F3031" s="36" t="str">
        <f t="array" ref="F3031">IFNA(_xlfn.XLOOKUP(D3031,Table_Tarikan_Warkah[Nomor Tiket],Table_Tarikan_Warkah[Nama Petugas Warkah]),"")</f>
        <v>Berry</v>
      </c>
      <c r="G3031" s="39" t="str">
        <f t="array" ref="G3031">IFNA(_xlfn.XLOOKUP(D3031,Table_Tarikan_Warkah[Nomor Tiket],Table_Tarikan_Warkah[Jenis Permohonan]),"")</f>
        <v>ROYA</v>
      </c>
      <c r="H3031" s="41" t="s">
        <v>2315</v>
      </c>
      <c r="I3031" s="49" t="s">
        <v>23</v>
      </c>
      <c r="J3031" s="36">
        <f t="shared" si="20"/>
        <v>45855.46251</v>
      </c>
      <c r="K3031" s="49" t="s">
        <v>2378</v>
      </c>
      <c r="L3031" s="49" t="s">
        <v>23</v>
      </c>
      <c r="M3031" s="36">
        <f t="shared" si="33"/>
        <v>45855.67119</v>
      </c>
      <c r="N3031" s="30" t="str">
        <f t="shared" si="34"/>
        <v>Selesai</v>
      </c>
      <c r="O3031" s="45">
        <f t="shared" si="23"/>
        <v>45855.67119</v>
      </c>
      <c r="P3031" s="47" t="b">
        <v>0</v>
      </c>
      <c r="Q3031" s="36" t="str">
        <f t="shared" si="24"/>
        <v/>
      </c>
      <c r="R3031" s="47" t="b">
        <v>0</v>
      </c>
      <c r="S3031" s="42" t="str">
        <f t="shared" si="28"/>
        <v/>
      </c>
      <c r="T3031" s="42"/>
    </row>
    <row r="3032" ht="22.5" customHeight="1">
      <c r="B3032" s="42">
        <f t="shared" si="7"/>
        <v>3026</v>
      </c>
      <c r="C3032" s="31" t="s">
        <v>3099</v>
      </c>
      <c r="D3032" s="34" t="str">
        <f t="array" ref="D3032">IFNA(_xlfn.XLOOKUP(C3032,Table_Tarikan_Warkah[Nomor Sertipikat],Table_Tarikan_Warkah[Nomor Tiket]),"")</f>
        <v>K/16/080725/1</v>
      </c>
      <c r="E3032" s="36">
        <f t="array" ref="E3032">IFNA(_xlfn.XLOOKUP(D3032,Table_Tarikan_Warkah[Nomor Tiket],Table_Tarikan_Warkah[Tanggal diserahkan kepada Validator]),"")</f>
        <v>45863.60797</v>
      </c>
      <c r="F3032" s="36" t="str">
        <f t="array" ref="F3032">IFNA(_xlfn.XLOOKUP(D3032,Table_Tarikan_Warkah[Nomor Tiket],Table_Tarikan_Warkah[Nama Petugas Warkah]),"")</f>
        <v>Berry</v>
      </c>
      <c r="G3032" s="39" t="str">
        <f t="array" ref="G3032">IFNA(_xlfn.XLOOKUP(D3032,Table_Tarikan_Warkah[Nomor Tiket],Table_Tarikan_Warkah[Jenis Permohonan]),"")</f>
        <v>ROYA</v>
      </c>
      <c r="H3032" s="41" t="s">
        <v>2315</v>
      </c>
      <c r="I3032" s="49" t="s">
        <v>23</v>
      </c>
      <c r="J3032" s="36">
        <f t="shared" si="20"/>
        <v>45855.46273</v>
      </c>
      <c r="K3032" s="49" t="s">
        <v>2378</v>
      </c>
      <c r="L3032" s="49" t="s">
        <v>23</v>
      </c>
      <c r="M3032" s="36">
        <f t="shared" si="33"/>
        <v>45855.67176</v>
      </c>
      <c r="N3032" s="30" t="str">
        <f t="shared" si="34"/>
        <v>Selesai</v>
      </c>
      <c r="O3032" s="45">
        <f t="shared" si="23"/>
        <v>45855.67176</v>
      </c>
      <c r="P3032" s="47" t="b">
        <v>0</v>
      </c>
      <c r="Q3032" s="36" t="str">
        <f t="shared" si="24"/>
        <v/>
      </c>
      <c r="R3032" s="47" t="b">
        <v>0</v>
      </c>
      <c r="S3032" s="42" t="str">
        <f t="shared" si="28"/>
        <v/>
      </c>
      <c r="T3032" s="42"/>
    </row>
    <row r="3033" ht="22.5" customHeight="1">
      <c r="B3033" s="42">
        <f t="shared" si="7"/>
        <v>3027</v>
      </c>
      <c r="C3033" s="31" t="s">
        <v>3100</v>
      </c>
      <c r="D3033" s="34" t="str">
        <f t="array" ref="D3033">IFNA(_xlfn.XLOOKUP(C3033,Table_Tarikan_Warkah[Nomor Sertipikat],Table_Tarikan_Warkah[Nomor Tiket]),"")</f>
        <v>K/28/190625/2</v>
      </c>
      <c r="E3033" s="36">
        <f t="array" ref="E3033">IFNA(_xlfn.XLOOKUP(D3033,Table_Tarikan_Warkah[Nomor Tiket],Table_Tarikan_Warkah[Tanggal diserahkan kepada Validator]),"")</f>
        <v>45856.53203</v>
      </c>
      <c r="F3033" s="36" t="str">
        <f t="array" ref="F3033">IFNA(_xlfn.XLOOKUP(D3033,Table_Tarikan_Warkah[Nomor Tiket],Table_Tarikan_Warkah[Nama Petugas Warkah]),"")</f>
        <v>Berry</v>
      </c>
      <c r="G3033" s="39" t="str">
        <f t="array" ref="G3033">IFNA(_xlfn.XLOOKUP(D3033,Table_Tarikan_Warkah[Nomor Tiket],Table_Tarikan_Warkah[Jenis Permohonan]),"")</f>
        <v>BN JUAL BELI</v>
      </c>
      <c r="H3033" s="41" t="s">
        <v>2315</v>
      </c>
      <c r="I3033" s="49" t="s">
        <v>23</v>
      </c>
      <c r="J3033" s="36">
        <f t="shared" si="20"/>
        <v>45855.46286</v>
      </c>
      <c r="K3033" s="49" t="s">
        <v>2378</v>
      </c>
      <c r="L3033" s="49" t="s">
        <v>23</v>
      </c>
      <c r="M3033" s="36">
        <f t="shared" si="33"/>
        <v>45855.67166</v>
      </c>
      <c r="N3033" s="30" t="str">
        <f t="shared" si="34"/>
        <v>Selesai</v>
      </c>
      <c r="O3033" s="45">
        <f t="shared" si="23"/>
        <v>45855.67166</v>
      </c>
      <c r="P3033" s="47" t="b">
        <v>0</v>
      </c>
      <c r="Q3033" s="36" t="str">
        <f t="shared" si="24"/>
        <v/>
      </c>
      <c r="R3033" s="47" t="b">
        <v>0</v>
      </c>
      <c r="S3033" s="42" t="str">
        <f t="shared" si="28"/>
        <v/>
      </c>
      <c r="T3033" s="42"/>
    </row>
    <row r="3034" ht="22.5" customHeight="1">
      <c r="B3034" s="42">
        <f t="shared" si="7"/>
        <v>3028</v>
      </c>
      <c r="C3034" s="31" t="s">
        <v>3101</v>
      </c>
      <c r="D3034" s="34" t="str">
        <f t="array" ref="D3034">IFNA(_xlfn.XLOOKUP(C3034,Table_Tarikan_Warkah[Nomor Sertipikat],Table_Tarikan_Warkah[Nomor Tiket]),"")</f>
        <v>K/39/100725/1</v>
      </c>
      <c r="E3034" s="36">
        <f t="array" ref="E3034">IFNA(_xlfn.XLOOKUP(D3034,Table_Tarikan_Warkah[Nomor Tiket],Table_Tarikan_Warkah[Tanggal diserahkan kepada Validator]),"")</f>
        <v>45868.65506</v>
      </c>
      <c r="F3034" s="36" t="str">
        <f t="array" ref="F3034">IFNA(_xlfn.XLOOKUP(D3034,Table_Tarikan_Warkah[Nomor Tiket],Table_Tarikan_Warkah[Nama Petugas Warkah]),"")</f>
        <v>David</v>
      </c>
      <c r="G3034" s="39" t="str">
        <f t="array" ref="G3034">IFNA(_xlfn.XLOOKUP(D3034,Table_Tarikan_Warkah[Nomor Tiket],Table_Tarikan_Warkah[Jenis Permohonan]),"")</f>
        <v>ROYA</v>
      </c>
      <c r="H3034" s="41" t="s">
        <v>2315</v>
      </c>
      <c r="I3034" s="49" t="s">
        <v>23</v>
      </c>
      <c r="J3034" s="36">
        <f t="shared" si="20"/>
        <v>45855.46304</v>
      </c>
      <c r="K3034" s="49" t="s">
        <v>2378</v>
      </c>
      <c r="L3034" s="49" t="s">
        <v>23</v>
      </c>
      <c r="M3034" s="36">
        <f t="shared" si="33"/>
        <v>45855.67125</v>
      </c>
      <c r="N3034" s="30" t="str">
        <f t="shared" si="34"/>
        <v>Selesai</v>
      </c>
      <c r="O3034" s="45">
        <f t="shared" si="23"/>
        <v>45855.67125</v>
      </c>
      <c r="P3034" s="47" t="b">
        <v>0</v>
      </c>
      <c r="Q3034" s="36" t="str">
        <f t="shared" si="24"/>
        <v/>
      </c>
      <c r="R3034" s="47" t="b">
        <v>0</v>
      </c>
      <c r="S3034" s="42" t="str">
        <f t="shared" si="28"/>
        <v/>
      </c>
      <c r="T3034" s="42"/>
    </row>
    <row r="3035" ht="22.5" customHeight="1">
      <c r="B3035" s="42">
        <f t="shared" si="7"/>
        <v>3029</v>
      </c>
      <c r="C3035" s="31" t="s">
        <v>3102</v>
      </c>
      <c r="D3035" s="34" t="str">
        <f t="array" ref="D3035">IFNA(_xlfn.XLOOKUP(C3035,Table_Tarikan_Warkah[Nomor Sertipikat],Table_Tarikan_Warkah[Nomor Tiket]),"")</f>
        <v>K/14/010725/2</v>
      </c>
      <c r="E3035" s="36">
        <f t="array" ref="E3035">IFNA(_xlfn.XLOOKUP(D3035,Table_Tarikan_Warkah[Nomor Tiket],Table_Tarikan_Warkah[Tanggal diserahkan kepada Validator]),"")</f>
        <v>45859.62505</v>
      </c>
      <c r="F3035" s="36" t="str">
        <f t="array" ref="F3035">IFNA(_xlfn.XLOOKUP(D3035,Table_Tarikan_Warkah[Nomor Tiket],Table_Tarikan_Warkah[Nama Petugas Warkah]),"")</f>
        <v>Berry</v>
      </c>
      <c r="G3035" s="39" t="str">
        <f t="array" ref="G3035">IFNA(_xlfn.XLOOKUP(D3035,Table_Tarikan_Warkah[Nomor Tiket],Table_Tarikan_Warkah[Jenis Permohonan]),"")</f>
        <v>BN JUAL BELI</v>
      </c>
      <c r="H3035" s="41" t="s">
        <v>2315</v>
      </c>
      <c r="I3035" s="49" t="s">
        <v>23</v>
      </c>
      <c r="J3035" s="36">
        <f t="shared" si="20"/>
        <v>45855.4632</v>
      </c>
      <c r="K3035" s="49" t="s">
        <v>2378</v>
      </c>
      <c r="L3035" s="49" t="s">
        <v>23</v>
      </c>
      <c r="M3035" s="36">
        <f t="shared" si="33"/>
        <v>45855.67139</v>
      </c>
      <c r="N3035" s="30" t="str">
        <f t="shared" si="34"/>
        <v>Selesai</v>
      </c>
      <c r="O3035" s="45">
        <f t="shared" si="23"/>
        <v>45855.67139</v>
      </c>
      <c r="P3035" s="47" t="b">
        <v>0</v>
      </c>
      <c r="Q3035" s="36" t="str">
        <f t="shared" si="24"/>
        <v/>
      </c>
      <c r="R3035" s="47" t="b">
        <v>0</v>
      </c>
      <c r="S3035" s="42" t="str">
        <f t="shared" si="28"/>
        <v/>
      </c>
      <c r="T3035" s="42"/>
    </row>
    <row r="3036" ht="22.5" customHeight="1">
      <c r="B3036" s="42">
        <f t="shared" si="7"/>
        <v>3030</v>
      </c>
      <c r="C3036" s="31" t="s">
        <v>3103</v>
      </c>
      <c r="D3036" s="34" t="str">
        <f t="array" ref="D3036">IFNA(_xlfn.XLOOKUP(C3036,Table_Tarikan_Warkah[Nomor Sertipikat],Table_Tarikan_Warkah[Nomor Tiket]),"")</f>
        <v>K/36/030725/1</v>
      </c>
      <c r="E3036" s="36">
        <f t="array" ref="E3036">IFNA(_xlfn.XLOOKUP(D3036,Table_Tarikan_Warkah[Nomor Tiket],Table_Tarikan_Warkah[Tanggal diserahkan kepada Validator]),"")</f>
        <v>45918.55501</v>
      </c>
      <c r="F3036" s="36" t="str">
        <f t="array" ref="F3036">IFNA(_xlfn.XLOOKUP(D3036,Table_Tarikan_Warkah[Nomor Tiket],Table_Tarikan_Warkah[Nama Petugas Warkah]),"")</f>
        <v>Berry</v>
      </c>
      <c r="G3036" s="39" t="str">
        <f t="array" ref="G3036">IFNA(_xlfn.XLOOKUP(D3036,Table_Tarikan_Warkah[Nomor Tiket],Table_Tarikan_Warkah[Jenis Permohonan]),"")</f>
        <v>BN JUAL BELI</v>
      </c>
      <c r="H3036" s="41" t="s">
        <v>2315</v>
      </c>
      <c r="I3036" s="49" t="s">
        <v>23</v>
      </c>
      <c r="J3036" s="36">
        <f t="shared" si="20"/>
        <v>45855.46337</v>
      </c>
      <c r="K3036" s="49" t="s">
        <v>2378</v>
      </c>
      <c r="L3036" s="49" t="s">
        <v>23</v>
      </c>
      <c r="M3036" s="36">
        <f t="shared" si="33"/>
        <v>45855.67145</v>
      </c>
      <c r="N3036" s="30" t="str">
        <f t="shared" si="34"/>
        <v>Selesai</v>
      </c>
      <c r="O3036" s="45">
        <f t="shared" si="23"/>
        <v>45855.67145</v>
      </c>
      <c r="P3036" s="47" t="b">
        <v>0</v>
      </c>
      <c r="Q3036" s="36" t="str">
        <f t="shared" si="24"/>
        <v/>
      </c>
      <c r="R3036" s="47" t="b">
        <v>0</v>
      </c>
      <c r="S3036" s="42" t="str">
        <f t="shared" si="28"/>
        <v/>
      </c>
      <c r="T3036" s="42"/>
    </row>
    <row r="3037" ht="22.5" customHeight="1">
      <c r="B3037" s="42">
        <f t="shared" si="7"/>
        <v>3031</v>
      </c>
      <c r="C3037" s="31" t="s">
        <v>3104</v>
      </c>
      <c r="D3037" s="34" t="str">
        <f t="array" ref="D3037">IFNA(_xlfn.XLOOKUP(C3037,Table_Tarikan_Warkah[Nomor Sertipikat],Table_Tarikan_Warkah[Nomor Tiket]),"")</f>
        <v>K/33/090725/1</v>
      </c>
      <c r="E3037" s="36">
        <f t="array" ref="E3037">IFNA(_xlfn.XLOOKUP(D3037,Table_Tarikan_Warkah[Nomor Tiket],Table_Tarikan_Warkah[Tanggal diserahkan kepada Validator]),"")</f>
        <v>45859.62532</v>
      </c>
      <c r="F3037" s="36" t="str">
        <f t="array" ref="F3037">IFNA(_xlfn.XLOOKUP(D3037,Table_Tarikan_Warkah[Nomor Tiket],Table_Tarikan_Warkah[Nama Petugas Warkah]),"")</f>
        <v>Berry</v>
      </c>
      <c r="G3037" s="39" t="str">
        <f t="array" ref="G3037">IFNA(_xlfn.XLOOKUP(D3037,Table_Tarikan_Warkah[Nomor Tiket],Table_Tarikan_Warkah[Jenis Permohonan]),"")</f>
        <v>BN JUAL BELI</v>
      </c>
      <c r="H3037" s="41" t="s">
        <v>2315</v>
      </c>
      <c r="I3037" s="49" t="s">
        <v>23</v>
      </c>
      <c r="J3037" s="36">
        <f t="shared" si="20"/>
        <v>45855.46357</v>
      </c>
      <c r="K3037" s="49" t="s">
        <v>2378</v>
      </c>
      <c r="L3037" s="49" t="s">
        <v>23</v>
      </c>
      <c r="M3037" s="36">
        <f t="shared" si="33"/>
        <v>45855.67156</v>
      </c>
      <c r="N3037" s="30" t="str">
        <f t="shared" si="34"/>
        <v>Selesai</v>
      </c>
      <c r="O3037" s="45">
        <f t="shared" si="23"/>
        <v>45855.67156</v>
      </c>
      <c r="P3037" s="47" t="b">
        <v>0</v>
      </c>
      <c r="Q3037" s="36" t="str">
        <f t="shared" si="24"/>
        <v/>
      </c>
      <c r="R3037" s="47" t="b">
        <v>0</v>
      </c>
      <c r="S3037" s="42" t="str">
        <f t="shared" si="28"/>
        <v/>
      </c>
      <c r="T3037" s="42"/>
    </row>
    <row r="3038" ht="22.5" customHeight="1">
      <c r="B3038" s="42">
        <f t="shared" si="7"/>
        <v>3032</v>
      </c>
      <c r="C3038" s="31" t="s">
        <v>3105</v>
      </c>
      <c r="D3038" s="34" t="str">
        <f t="array" ref="D3038">IFNA(_xlfn.XLOOKUP(C3038,Table_Tarikan_Warkah[Nomor Sertipikat],Table_Tarikan_Warkah[Nomor Tiket]),"")</f>
        <v>L/2/110725/PELATARAN</v>
      </c>
      <c r="E3038" s="36" t="str">
        <f t="array" ref="E3038">IFNA(_xlfn.XLOOKUP(D3038,Table_Tarikan_Warkah[Nomor Tiket],Table_Tarikan_Warkah[Tanggal diserahkan kepada Validator]),"")</f>
        <v/>
      </c>
      <c r="F3038" s="36" t="str">
        <f t="array" ref="F3038">IFNA(_xlfn.XLOOKUP(D3038,Table_Tarikan_Warkah[Nomor Tiket],Table_Tarikan_Warkah[Nama Petugas Warkah]),"")</f>
        <v/>
      </c>
      <c r="G3038" s="39" t="str">
        <f t="array" ref="G3038">IFNA(_xlfn.XLOOKUP(D3038,Table_Tarikan_Warkah[Nomor Tiket],Table_Tarikan_Warkah[Jenis Permohonan]),"")</f>
        <v>ROYA</v>
      </c>
      <c r="H3038" s="70"/>
      <c r="I3038" s="49"/>
      <c r="J3038" s="36" t="str">
        <f t="shared" si="20"/>
        <v/>
      </c>
      <c r="K3038" s="49" t="s">
        <v>2378</v>
      </c>
      <c r="L3038" s="49" t="s">
        <v>23</v>
      </c>
      <c r="M3038" s="36">
        <f t="shared" si="33"/>
        <v>45855.67997</v>
      </c>
      <c r="N3038" s="30" t="str">
        <f t="shared" si="34"/>
        <v>BT atau SU Belum Valid</v>
      </c>
      <c r="O3038" s="39" t="str">
        <f t="shared" si="23"/>
        <v/>
      </c>
      <c r="P3038" s="47" t="b">
        <v>0</v>
      </c>
      <c r="Q3038" s="36" t="str">
        <f t="shared" si="24"/>
        <v/>
      </c>
      <c r="R3038" s="47" t="b">
        <v>0</v>
      </c>
      <c r="S3038" s="42" t="str">
        <f t="shared" si="28"/>
        <v/>
      </c>
      <c r="T3038" s="42"/>
    </row>
    <row r="3039" ht="22.5" customHeight="1">
      <c r="B3039" s="42">
        <f t="shared" si="7"/>
        <v>3033</v>
      </c>
      <c r="C3039" s="31" t="s">
        <v>3106</v>
      </c>
      <c r="D3039" s="34" t="str">
        <f t="array" ref="D3039">IFNA(_xlfn.XLOOKUP(C3039,Table_Tarikan_Warkah[Nomor Sertipikat],Table_Tarikan_Warkah[Nomor Tiket]),"")</f>
        <v>K/8/260625/1</v>
      </c>
      <c r="E3039" s="36">
        <f t="array" ref="E3039">IFNA(_xlfn.XLOOKUP(D3039,Table_Tarikan_Warkah[Nomor Tiket],Table_Tarikan_Warkah[Tanggal diserahkan kepada Validator]),"")</f>
        <v>45860.66172</v>
      </c>
      <c r="F3039" s="36" t="str">
        <f t="array" ref="F3039">IFNA(_xlfn.XLOOKUP(D3039,Table_Tarikan_Warkah[Nomor Tiket],Table_Tarikan_Warkah[Nama Petugas Warkah]),"")</f>
        <v>Berry</v>
      </c>
      <c r="G3039" s="39" t="str">
        <f t="array" ref="G3039">IFNA(_xlfn.XLOOKUP(D3039,Table_Tarikan_Warkah[Nomor Tiket],Table_Tarikan_Warkah[Jenis Permohonan]),"")</f>
        <v>BN WARIS</v>
      </c>
      <c r="H3039" s="41" t="s">
        <v>2315</v>
      </c>
      <c r="I3039" s="49" t="s">
        <v>23</v>
      </c>
      <c r="J3039" s="36">
        <f t="shared" si="20"/>
        <v>45856.4558</v>
      </c>
      <c r="K3039" s="49" t="s">
        <v>2378</v>
      </c>
      <c r="L3039" s="49" t="s">
        <v>23</v>
      </c>
      <c r="M3039" s="36">
        <f t="shared" si="33"/>
        <v>45856.64133</v>
      </c>
      <c r="N3039" s="30" t="str">
        <f t="shared" si="34"/>
        <v>Selesai</v>
      </c>
      <c r="O3039" s="45">
        <f t="shared" si="23"/>
        <v>45856.64133</v>
      </c>
      <c r="P3039" s="47" t="b">
        <v>0</v>
      </c>
      <c r="Q3039" s="36" t="str">
        <f t="shared" si="24"/>
        <v/>
      </c>
      <c r="R3039" s="47" t="b">
        <v>0</v>
      </c>
      <c r="S3039" s="42" t="str">
        <f t="shared" si="28"/>
        <v/>
      </c>
      <c r="T3039" s="42"/>
    </row>
    <row r="3040" ht="22.5" customHeight="1">
      <c r="B3040" s="42">
        <f t="shared" si="7"/>
        <v>3034</v>
      </c>
      <c r="C3040" s="31" t="s">
        <v>3107</v>
      </c>
      <c r="D3040" s="34" t="str">
        <f t="array" ref="D3040">IFNA(_xlfn.XLOOKUP(C3040,Table_Tarikan_Warkah[Nomor Sertipikat],Table_Tarikan_Warkah[Nomor Tiket]),"")</f>
        <v>K/28/110725/1</v>
      </c>
      <c r="E3040" s="36" t="str">
        <f t="array" ref="E3040">IFNA(_xlfn.XLOOKUP(D3040,Table_Tarikan_Warkah[Nomor Tiket],Table_Tarikan_Warkah[Tanggal diserahkan kepada Validator]),"")</f>
        <v/>
      </c>
      <c r="F3040" s="36" t="str">
        <f t="array" ref="F3040">IFNA(_xlfn.XLOOKUP(D3040,Table_Tarikan_Warkah[Nomor Tiket],Table_Tarikan_Warkah[Nama Petugas Warkah]),"")</f>
        <v/>
      </c>
      <c r="G3040" s="39" t="str">
        <f t="array" ref="G3040">IFNA(_xlfn.XLOOKUP(D3040,Table_Tarikan_Warkah[Nomor Tiket],Table_Tarikan_Warkah[Jenis Permohonan]),"")</f>
        <v>PERUBAHAN HAK</v>
      </c>
      <c r="H3040" s="41" t="s">
        <v>2315</v>
      </c>
      <c r="I3040" s="49" t="s">
        <v>23</v>
      </c>
      <c r="J3040" s="36">
        <f t="shared" si="20"/>
        <v>45856.45592</v>
      </c>
      <c r="K3040" s="49" t="s">
        <v>2378</v>
      </c>
      <c r="L3040" s="49" t="s">
        <v>23</v>
      </c>
      <c r="M3040" s="36">
        <f t="shared" si="33"/>
        <v>45856.64133</v>
      </c>
      <c r="N3040" s="30" t="str">
        <f t="shared" si="34"/>
        <v>Selesai</v>
      </c>
      <c r="O3040" s="45">
        <f t="shared" si="23"/>
        <v>45856.64133</v>
      </c>
      <c r="P3040" s="47" t="b">
        <v>0</v>
      </c>
      <c r="Q3040" s="36" t="str">
        <f t="shared" si="24"/>
        <v/>
      </c>
      <c r="R3040" s="47" t="b">
        <v>0</v>
      </c>
      <c r="S3040" s="42" t="str">
        <f t="shared" si="28"/>
        <v/>
      </c>
      <c r="T3040" s="42"/>
    </row>
    <row r="3041" ht="22.5" customHeight="1">
      <c r="B3041" s="42">
        <f t="shared" si="7"/>
        <v>3035</v>
      </c>
      <c r="C3041" s="31" t="s">
        <v>3108</v>
      </c>
      <c r="D3041" s="34" t="str">
        <f t="array" ref="D3041">IFNA(_xlfn.XLOOKUP(C3041,Table_Tarikan_Warkah[Nomor Sertipikat],Table_Tarikan_Warkah[Nomor Tiket]),"")</f>
        <v>K/15/110725/3</v>
      </c>
      <c r="E3041" s="36">
        <f t="array" ref="E3041">IFNA(_xlfn.XLOOKUP(D3041,Table_Tarikan_Warkah[Nomor Tiket],Table_Tarikan_Warkah[Tanggal diserahkan kepada Validator]),"")</f>
        <v>45916.65923</v>
      </c>
      <c r="F3041" s="36" t="str">
        <f t="array" ref="F3041">IFNA(_xlfn.XLOOKUP(D3041,Table_Tarikan_Warkah[Nomor Tiket],Table_Tarikan_Warkah[Nama Petugas Warkah]),"")</f>
        <v>Berry</v>
      </c>
      <c r="G3041" s="39" t="str">
        <f t="array" ref="G3041">IFNA(_xlfn.XLOOKUP(D3041,Table_Tarikan_Warkah[Nomor Tiket],Table_Tarikan_Warkah[Jenis Permohonan]),"")</f>
        <v>Roya</v>
      </c>
      <c r="H3041" s="41" t="s">
        <v>2315</v>
      </c>
      <c r="I3041" s="49" t="s">
        <v>23</v>
      </c>
      <c r="J3041" s="36">
        <f t="shared" si="20"/>
        <v>45856.45604</v>
      </c>
      <c r="K3041" s="49" t="s">
        <v>2378</v>
      </c>
      <c r="L3041" s="49" t="s">
        <v>23</v>
      </c>
      <c r="M3041" s="36">
        <f t="shared" si="33"/>
        <v>45856.64133</v>
      </c>
      <c r="N3041" s="30" t="str">
        <f t="shared" si="34"/>
        <v>Selesai</v>
      </c>
      <c r="O3041" s="45">
        <f t="shared" si="23"/>
        <v>45856.64133</v>
      </c>
      <c r="P3041" s="47" t="b">
        <v>0</v>
      </c>
      <c r="Q3041" s="36" t="str">
        <f t="shared" si="24"/>
        <v/>
      </c>
      <c r="R3041" s="47" t="b">
        <v>0</v>
      </c>
      <c r="S3041" s="42" t="str">
        <f t="shared" si="28"/>
        <v/>
      </c>
      <c r="T3041" s="42"/>
    </row>
    <row r="3042" ht="22.5" customHeight="1">
      <c r="B3042" s="42">
        <f t="shared" si="7"/>
        <v>3036</v>
      </c>
      <c r="C3042" s="31" t="s">
        <v>3109</v>
      </c>
      <c r="D3042" s="34" t="str">
        <f t="array" ref="D3042">IFNA(_xlfn.XLOOKUP(C3042,Table_Tarikan_Warkah[Nomor Sertipikat],Table_Tarikan_Warkah[Nomor Tiket]),"")</f>
        <v>K/20/230625/1</v>
      </c>
      <c r="E3042" s="36">
        <f t="array" ref="E3042">IFNA(_xlfn.XLOOKUP(D3042,Table_Tarikan_Warkah[Nomor Tiket],Table_Tarikan_Warkah[Tanggal diserahkan kepada Validator]),"")</f>
        <v>45859.63716</v>
      </c>
      <c r="F3042" s="36" t="str">
        <f t="array" ref="F3042">IFNA(_xlfn.XLOOKUP(D3042,Table_Tarikan_Warkah[Nomor Tiket],Table_Tarikan_Warkah[Nama Petugas Warkah]),"")</f>
        <v>Berry</v>
      </c>
      <c r="G3042" s="39" t="str">
        <f t="array" ref="G3042">IFNA(_xlfn.XLOOKUP(D3042,Table_Tarikan_Warkah[Nomor Tiket],Table_Tarikan_Warkah[Jenis Permohonan]),"")</f>
        <v>JUAL BELI </v>
      </c>
      <c r="H3042" s="41" t="s">
        <v>2315</v>
      </c>
      <c r="I3042" s="49" t="s">
        <v>23</v>
      </c>
      <c r="J3042" s="36">
        <f t="shared" si="20"/>
        <v>45856.4571</v>
      </c>
      <c r="K3042" s="49" t="s">
        <v>2378</v>
      </c>
      <c r="L3042" s="49" t="s">
        <v>23</v>
      </c>
      <c r="M3042" s="36">
        <f t="shared" si="33"/>
        <v>45856.64133</v>
      </c>
      <c r="N3042" s="30" t="str">
        <f t="shared" si="34"/>
        <v>Selesai</v>
      </c>
      <c r="O3042" s="45">
        <f t="shared" si="23"/>
        <v>45856.64133</v>
      </c>
      <c r="P3042" s="47" t="b">
        <v>0</v>
      </c>
      <c r="Q3042" s="36" t="str">
        <f t="shared" si="24"/>
        <v/>
      </c>
      <c r="R3042" s="47" t="b">
        <v>0</v>
      </c>
      <c r="S3042" s="42" t="str">
        <f t="shared" si="28"/>
        <v/>
      </c>
      <c r="T3042" s="42"/>
    </row>
    <row r="3043" ht="22.5" customHeight="1">
      <c r="B3043" s="42">
        <f t="shared" si="7"/>
        <v>3037</v>
      </c>
      <c r="C3043" s="31" t="s">
        <v>3110</v>
      </c>
      <c r="D3043" s="34" t="str">
        <f t="array" ref="D3043">IFNA(_xlfn.XLOOKUP(C3043,Table_Tarikan_Warkah[Nomor Sertipikat],Table_Tarikan_Warkah[Nomor Tiket]),"")</f>
        <v>K/30/140725/2</v>
      </c>
      <c r="E3043" s="36">
        <f t="array" ref="E3043">IFNA(_xlfn.XLOOKUP(D3043,Table_Tarikan_Warkah[Nomor Tiket],Table_Tarikan_Warkah[Tanggal diserahkan kepada Validator]),"")</f>
        <v>45859.63378</v>
      </c>
      <c r="F3043" s="36" t="str">
        <f t="array" ref="F3043">IFNA(_xlfn.XLOOKUP(D3043,Table_Tarikan_Warkah[Nomor Tiket],Table_Tarikan_Warkah[Nama Petugas Warkah]),"")</f>
        <v>Berry</v>
      </c>
      <c r="G3043" s="39" t="str">
        <f t="array" ref="G3043">IFNA(_xlfn.XLOOKUP(D3043,Table_Tarikan_Warkah[Nomor Tiket],Table_Tarikan_Warkah[Jenis Permohonan]),"")</f>
        <v>KEWARISAN</v>
      </c>
      <c r="H3043" s="41" t="s">
        <v>2315</v>
      </c>
      <c r="I3043" s="49" t="s">
        <v>23</v>
      </c>
      <c r="J3043" s="36">
        <f t="shared" si="20"/>
        <v>45856.45725</v>
      </c>
      <c r="K3043" s="49" t="s">
        <v>2378</v>
      </c>
      <c r="L3043" s="49" t="s">
        <v>23</v>
      </c>
      <c r="M3043" s="36">
        <f t="shared" si="33"/>
        <v>45856.64133</v>
      </c>
      <c r="N3043" s="30" t="str">
        <f t="shared" si="34"/>
        <v>Selesai</v>
      </c>
      <c r="O3043" s="45">
        <f t="shared" si="23"/>
        <v>45856.64133</v>
      </c>
      <c r="P3043" s="47" t="b">
        <v>0</v>
      </c>
      <c r="Q3043" s="36" t="str">
        <f t="shared" si="24"/>
        <v/>
      </c>
      <c r="R3043" s="47" t="b">
        <v>0</v>
      </c>
      <c r="S3043" s="42" t="str">
        <f t="shared" si="28"/>
        <v/>
      </c>
      <c r="T3043" s="42"/>
    </row>
    <row r="3044" ht="22.5" customHeight="1">
      <c r="B3044" s="42">
        <f t="shared" si="7"/>
        <v>3038</v>
      </c>
      <c r="C3044" s="31" t="s">
        <v>3111</v>
      </c>
      <c r="D3044" s="34" t="str">
        <f t="array" ref="D3044">IFNA(_xlfn.XLOOKUP(C3044,Table_Tarikan_Warkah[Nomor Sertipikat],Table_Tarikan_Warkah[Nomor Tiket]),"")</f>
        <v>K/37/010725/1</v>
      </c>
      <c r="E3044" s="36">
        <f t="array" ref="E3044">IFNA(_xlfn.XLOOKUP(D3044,Table_Tarikan_Warkah[Nomor Tiket],Table_Tarikan_Warkah[Tanggal diserahkan kepada Validator]),"")</f>
        <v>45859.63935</v>
      </c>
      <c r="F3044" s="36" t="str">
        <f t="array" ref="F3044">IFNA(_xlfn.XLOOKUP(D3044,Table_Tarikan_Warkah[Nomor Tiket],Table_Tarikan_Warkah[Nama Petugas Warkah]),"")</f>
        <v>Berry</v>
      </c>
      <c r="G3044" s="39" t="str">
        <f t="array" ref="G3044">IFNA(_xlfn.XLOOKUP(D3044,Table_Tarikan_Warkah[Nomor Tiket],Table_Tarikan_Warkah[Jenis Permohonan]),"")</f>
        <v>JUAL BELI</v>
      </c>
      <c r="H3044" s="41" t="s">
        <v>2315</v>
      </c>
      <c r="I3044" s="49" t="s">
        <v>23</v>
      </c>
      <c r="J3044" s="36">
        <f t="shared" si="20"/>
        <v>45856.45737</v>
      </c>
      <c r="K3044" s="49" t="s">
        <v>2378</v>
      </c>
      <c r="L3044" s="49" t="s">
        <v>23</v>
      </c>
      <c r="M3044" s="36">
        <f t="shared" si="33"/>
        <v>45856.64133</v>
      </c>
      <c r="N3044" s="30" t="str">
        <f t="shared" si="34"/>
        <v>Selesai</v>
      </c>
      <c r="O3044" s="45">
        <f t="shared" si="23"/>
        <v>45856.64133</v>
      </c>
      <c r="P3044" s="47" t="b">
        <v>0</v>
      </c>
      <c r="Q3044" s="36" t="str">
        <f t="shared" si="24"/>
        <v/>
      </c>
      <c r="R3044" s="47" t="b">
        <v>0</v>
      </c>
      <c r="S3044" s="42" t="str">
        <f t="shared" si="28"/>
        <v/>
      </c>
      <c r="T3044" s="42"/>
    </row>
    <row r="3045" ht="22.5" customHeight="1">
      <c r="B3045" s="42">
        <f t="shared" si="7"/>
        <v>3039</v>
      </c>
      <c r="C3045" s="31" t="s">
        <v>3112</v>
      </c>
      <c r="D3045" s="34" t="str">
        <f t="array" ref="D3045">IFNA(_xlfn.XLOOKUP(C3045,Table_Tarikan_Warkah[Nomor Sertipikat],Table_Tarikan_Warkah[Nomor Tiket]),"")</f>
        <v>K/34/040725/2</v>
      </c>
      <c r="E3045" s="36">
        <f t="array" ref="E3045">IFNA(_xlfn.XLOOKUP(D3045,Table_Tarikan_Warkah[Nomor Tiket],Table_Tarikan_Warkah[Tanggal diserahkan kepada Validator]),"")</f>
        <v>45860.65759</v>
      </c>
      <c r="F3045" s="36" t="str">
        <f t="array" ref="F3045">IFNA(_xlfn.XLOOKUP(D3045,Table_Tarikan_Warkah[Nomor Tiket],Table_Tarikan_Warkah[Nama Petugas Warkah]),"")</f>
        <v>Berry</v>
      </c>
      <c r="G3045" s="39" t="str">
        <f t="array" ref="G3045">IFNA(_xlfn.XLOOKUP(D3045,Table_Tarikan_Warkah[Nomor Tiket],Table_Tarikan_Warkah[Jenis Permohonan]),"")</f>
        <v>BN Jual Beli</v>
      </c>
      <c r="H3045" s="41" t="s">
        <v>2315</v>
      </c>
      <c r="I3045" s="49" t="s">
        <v>23</v>
      </c>
      <c r="J3045" s="36">
        <f t="shared" si="20"/>
        <v>45856.45751</v>
      </c>
      <c r="K3045" s="49" t="s">
        <v>2378</v>
      </c>
      <c r="L3045" s="49" t="s">
        <v>23</v>
      </c>
      <c r="M3045" s="36">
        <f t="shared" si="33"/>
        <v>45856.64133</v>
      </c>
      <c r="N3045" s="30" t="str">
        <f t="shared" si="34"/>
        <v>Selesai</v>
      </c>
      <c r="O3045" s="45">
        <f t="shared" si="23"/>
        <v>45856.64133</v>
      </c>
      <c r="P3045" s="47" t="b">
        <v>0</v>
      </c>
      <c r="Q3045" s="36" t="str">
        <f t="shared" si="24"/>
        <v/>
      </c>
      <c r="R3045" s="47" t="b">
        <v>0</v>
      </c>
      <c r="S3045" s="42" t="str">
        <f t="shared" si="28"/>
        <v/>
      </c>
      <c r="T3045" s="42"/>
    </row>
    <row r="3046" ht="22.5" customHeight="1">
      <c r="B3046" s="42">
        <f t="shared" si="7"/>
        <v>3040</v>
      </c>
      <c r="C3046" s="31" t="s">
        <v>3113</v>
      </c>
      <c r="D3046" s="34" t="str">
        <f t="array" ref="D3046">IFNA(_xlfn.XLOOKUP(C3046,Table_Tarikan_Warkah[Nomor Sertipikat],Table_Tarikan_Warkah[Nomor Tiket]),"")</f>
        <v>L/2/080725/1</v>
      </c>
      <c r="E3046" s="36" t="str">
        <f t="array" ref="E3046">IFNA(_xlfn.XLOOKUP(D3046,Table_Tarikan_Warkah[Nomor Tiket],Table_Tarikan_Warkah[Tanggal diserahkan kepada Validator]),"")</f>
        <v/>
      </c>
      <c r="F3046" s="36" t="str">
        <f t="array" ref="F3046">IFNA(_xlfn.XLOOKUP(D3046,Table_Tarikan_Warkah[Nomor Tiket],Table_Tarikan_Warkah[Nama Petugas Warkah]),"")</f>
        <v/>
      </c>
      <c r="G3046" s="39" t="str">
        <f t="array" ref="G3046">IFNA(_xlfn.XLOOKUP(D3046,Table_Tarikan_Warkah[Nomor Tiket],Table_Tarikan_Warkah[Jenis Permohonan]),"")</f>
        <v>PH</v>
      </c>
      <c r="H3046" s="41" t="s">
        <v>2315</v>
      </c>
      <c r="I3046" s="49" t="s">
        <v>23</v>
      </c>
      <c r="J3046" s="36">
        <f t="shared" si="20"/>
        <v>45856.45765</v>
      </c>
      <c r="K3046" s="49" t="s">
        <v>2378</v>
      </c>
      <c r="L3046" s="49" t="s">
        <v>23</v>
      </c>
      <c r="M3046" s="36">
        <f t="shared" si="33"/>
        <v>45856.64133</v>
      </c>
      <c r="N3046" s="30" t="str">
        <f t="shared" si="34"/>
        <v>Selesai</v>
      </c>
      <c r="O3046" s="45">
        <f t="shared" si="23"/>
        <v>45856.64133</v>
      </c>
      <c r="P3046" s="47" t="b">
        <v>0</v>
      </c>
      <c r="Q3046" s="36" t="str">
        <f t="shared" si="24"/>
        <v/>
      </c>
      <c r="R3046" s="47" t="b">
        <v>0</v>
      </c>
      <c r="S3046" s="42" t="str">
        <f t="shared" si="28"/>
        <v/>
      </c>
      <c r="T3046" s="42"/>
    </row>
    <row r="3047" ht="22.5" customHeight="1">
      <c r="B3047" s="42">
        <f t="shared" si="7"/>
        <v>3041</v>
      </c>
      <c r="C3047" s="31" t="s">
        <v>3114</v>
      </c>
      <c r="D3047" s="34" t="str">
        <f t="array" ref="D3047">IFNA(_xlfn.XLOOKUP(C3047,Table_Tarikan_Warkah[Nomor Sertipikat],Table_Tarikan_Warkah[Nomor Tiket]),"")</f>
        <v>K/34/010725/2</v>
      </c>
      <c r="E3047" s="36">
        <f t="array" ref="E3047">IFNA(_xlfn.XLOOKUP(D3047,Table_Tarikan_Warkah[Nomor Tiket],Table_Tarikan_Warkah[Tanggal diserahkan kepada Validator]),"")</f>
        <v>45860.65836</v>
      </c>
      <c r="F3047" s="36" t="str">
        <f t="array" ref="F3047">IFNA(_xlfn.XLOOKUP(D3047,Table_Tarikan_Warkah[Nomor Tiket],Table_Tarikan_Warkah[Nama Petugas Warkah]),"")</f>
        <v>Berry</v>
      </c>
      <c r="G3047" s="39" t="str">
        <f t="array" ref="G3047">IFNA(_xlfn.XLOOKUP(D3047,Table_Tarikan_Warkah[Nomor Tiket],Table_Tarikan_Warkah[Jenis Permohonan]),"")</f>
        <v>BN Waris</v>
      </c>
      <c r="H3047" s="41" t="s">
        <v>2315</v>
      </c>
      <c r="I3047" s="49" t="s">
        <v>23</v>
      </c>
      <c r="J3047" s="36">
        <f t="shared" si="20"/>
        <v>45856.4578</v>
      </c>
      <c r="K3047" s="49" t="s">
        <v>2378</v>
      </c>
      <c r="L3047" s="49" t="s">
        <v>23</v>
      </c>
      <c r="M3047" s="36">
        <f t="shared" si="33"/>
        <v>45856.64133</v>
      </c>
      <c r="N3047" s="30" t="str">
        <f t="shared" si="34"/>
        <v>Selesai</v>
      </c>
      <c r="O3047" s="45">
        <f t="shared" si="23"/>
        <v>45856.64133</v>
      </c>
      <c r="P3047" s="47" t="b">
        <v>0</v>
      </c>
      <c r="Q3047" s="36" t="str">
        <f t="shared" si="24"/>
        <v/>
      </c>
      <c r="R3047" s="47" t="b">
        <v>0</v>
      </c>
      <c r="S3047" s="42" t="str">
        <f t="shared" si="28"/>
        <v/>
      </c>
      <c r="T3047" s="42"/>
    </row>
    <row r="3048" ht="22.5" customHeight="1">
      <c r="B3048" s="42">
        <f t="shared" si="7"/>
        <v>3042</v>
      </c>
      <c r="C3048" s="31" t="s">
        <v>3115</v>
      </c>
      <c r="D3048" s="34" t="str">
        <f t="array" ref="D3048">IFNA(_xlfn.XLOOKUP(C3048,Table_Tarikan_Warkah[Nomor Sertipikat],Table_Tarikan_Warkah[Nomor Tiket]),"")</f>
        <v>K/18/080725/1</v>
      </c>
      <c r="E3048" s="36">
        <f t="array" ref="E3048">IFNA(_xlfn.XLOOKUP(D3048,Table_Tarikan_Warkah[Nomor Tiket],Table_Tarikan_Warkah[Tanggal diserahkan kepada Validator]),"")</f>
        <v>45860.66115</v>
      </c>
      <c r="F3048" s="36" t="str">
        <f t="array" ref="F3048">IFNA(_xlfn.XLOOKUP(D3048,Table_Tarikan_Warkah[Nomor Tiket],Table_Tarikan_Warkah[Nama Petugas Warkah]),"")</f>
        <v>Berry</v>
      </c>
      <c r="G3048" s="39" t="str">
        <f t="array" ref="G3048">IFNA(_xlfn.XLOOKUP(D3048,Table_Tarikan_Warkah[Nomor Tiket],Table_Tarikan_Warkah[Jenis Permohonan]),"")</f>
        <v>BN Jual Beli</v>
      </c>
      <c r="H3048" s="41" t="s">
        <v>2315</v>
      </c>
      <c r="I3048" s="49" t="s">
        <v>23</v>
      </c>
      <c r="J3048" s="36">
        <f t="shared" si="20"/>
        <v>45856.45795</v>
      </c>
      <c r="K3048" s="49" t="s">
        <v>2378</v>
      </c>
      <c r="L3048" s="49" t="s">
        <v>23</v>
      </c>
      <c r="M3048" s="36">
        <f t="shared" si="33"/>
        <v>45856.64133</v>
      </c>
      <c r="N3048" s="30" t="str">
        <f t="shared" si="34"/>
        <v>Selesai</v>
      </c>
      <c r="O3048" s="45">
        <f t="shared" si="23"/>
        <v>45856.64133</v>
      </c>
      <c r="P3048" s="47" t="b">
        <v>0</v>
      </c>
      <c r="Q3048" s="36" t="str">
        <f t="shared" si="24"/>
        <v/>
      </c>
      <c r="R3048" s="47" t="b">
        <v>0</v>
      </c>
      <c r="S3048" s="42" t="str">
        <f t="shared" si="28"/>
        <v/>
      </c>
      <c r="T3048" s="42"/>
    </row>
    <row r="3049" ht="22.5" customHeight="1">
      <c r="B3049" s="42">
        <f t="shared" si="7"/>
        <v>3043</v>
      </c>
      <c r="C3049" s="31" t="s">
        <v>3116</v>
      </c>
      <c r="D3049" s="34" t="str">
        <f t="array" ref="D3049">IFNA(_xlfn.XLOOKUP(C3049,Table_Tarikan_Warkah[Nomor Sertipikat],Table_Tarikan_Warkah[Nomor Tiket]),"")</f>
        <v>K/27/070725/1</v>
      </c>
      <c r="E3049" s="36">
        <f t="array" ref="E3049">IFNA(_xlfn.XLOOKUP(D3049,Table_Tarikan_Warkah[Nomor Tiket],Table_Tarikan_Warkah[Tanggal diserahkan kepada Validator]),"")</f>
        <v>45860.66091</v>
      </c>
      <c r="F3049" s="36" t="str">
        <f t="array" ref="F3049">IFNA(_xlfn.XLOOKUP(D3049,Table_Tarikan_Warkah[Nomor Tiket],Table_Tarikan_Warkah[Nama Petugas Warkah]),"")</f>
        <v>Berry</v>
      </c>
      <c r="G3049" s="39" t="str">
        <f t="array" ref="G3049">IFNA(_xlfn.XLOOKUP(D3049,Table_Tarikan_Warkah[Nomor Tiket],Table_Tarikan_Warkah[Jenis Permohonan]),"")</f>
        <v>BN Waris</v>
      </c>
      <c r="H3049" s="41" t="s">
        <v>2315</v>
      </c>
      <c r="I3049" s="49" t="s">
        <v>23</v>
      </c>
      <c r="J3049" s="36">
        <f t="shared" si="20"/>
        <v>45856.45808</v>
      </c>
      <c r="K3049" s="49" t="s">
        <v>2378</v>
      </c>
      <c r="L3049" s="49" t="s">
        <v>23</v>
      </c>
      <c r="M3049" s="36">
        <f t="shared" si="33"/>
        <v>45856.64133</v>
      </c>
      <c r="N3049" s="30" t="str">
        <f t="shared" si="34"/>
        <v>Selesai</v>
      </c>
      <c r="O3049" s="45">
        <f t="shared" si="23"/>
        <v>45856.64133</v>
      </c>
      <c r="P3049" s="47" t="b">
        <v>0</v>
      </c>
      <c r="Q3049" s="36" t="str">
        <f t="shared" si="24"/>
        <v/>
      </c>
      <c r="R3049" s="47" t="b">
        <v>0</v>
      </c>
      <c r="S3049" s="42" t="str">
        <f t="shared" si="28"/>
        <v/>
      </c>
      <c r="T3049" s="42"/>
    </row>
    <row r="3050" ht="22.5" customHeight="1">
      <c r="B3050" s="42">
        <f t="shared" si="7"/>
        <v>3044</v>
      </c>
      <c r="C3050" s="31" t="s">
        <v>3117</v>
      </c>
      <c r="D3050" s="34" t="str">
        <f t="array" ref="D3050">IFNA(_xlfn.XLOOKUP(C3050,Table_Tarikan_Warkah[Nomor Sertipikat],Table_Tarikan_Warkah[Nomor Tiket]),"")</f>
        <v>K/42/010725/1</v>
      </c>
      <c r="E3050" s="36">
        <f t="array" ref="E3050">IFNA(_xlfn.XLOOKUP(D3050,Table_Tarikan_Warkah[Nomor Tiket],Table_Tarikan_Warkah[Tanggal diserahkan kepada Validator]),"")</f>
        <v>45873.63475</v>
      </c>
      <c r="F3050" s="36" t="str">
        <f t="array" ref="F3050">IFNA(_xlfn.XLOOKUP(D3050,Table_Tarikan_Warkah[Nomor Tiket],Table_Tarikan_Warkah[Nama Petugas Warkah]),"")</f>
        <v>Berry</v>
      </c>
      <c r="G3050" s="39" t="str">
        <f t="array" ref="G3050">IFNA(_xlfn.XLOOKUP(D3050,Table_Tarikan_Warkah[Nomor Tiket],Table_Tarikan_Warkah[Jenis Permohonan]),"")</f>
        <v>Roya</v>
      </c>
      <c r="H3050" s="41" t="s">
        <v>2315</v>
      </c>
      <c r="I3050" s="49" t="s">
        <v>23</v>
      </c>
      <c r="J3050" s="36">
        <f t="shared" si="20"/>
        <v>45856.45821</v>
      </c>
      <c r="K3050" s="49" t="s">
        <v>2378</v>
      </c>
      <c r="L3050" s="49" t="s">
        <v>23</v>
      </c>
      <c r="M3050" s="36">
        <f t="shared" si="33"/>
        <v>45856.64133</v>
      </c>
      <c r="N3050" s="30" t="str">
        <f t="shared" si="34"/>
        <v>Selesai</v>
      </c>
      <c r="O3050" s="45">
        <f t="shared" si="23"/>
        <v>45856.64133</v>
      </c>
      <c r="P3050" s="47" t="b">
        <v>0</v>
      </c>
      <c r="Q3050" s="36" t="str">
        <f t="shared" si="24"/>
        <v/>
      </c>
      <c r="R3050" s="47" t="b">
        <v>0</v>
      </c>
      <c r="S3050" s="42" t="str">
        <f t="shared" si="28"/>
        <v/>
      </c>
      <c r="T3050" s="42"/>
    </row>
    <row r="3051" ht="22.5" customHeight="1">
      <c r="B3051" s="42">
        <f t="shared" si="7"/>
        <v>3045</v>
      </c>
      <c r="C3051" s="31" t="s">
        <v>3118</v>
      </c>
      <c r="D3051" s="34" t="str">
        <f t="array" ref="D3051">IFNA(_xlfn.XLOOKUP(C3051,Table_Tarikan_Warkah[Nomor Sertipikat],Table_Tarikan_Warkah[Nomor Tiket]),"")</f>
        <v>K/13/080725/1</v>
      </c>
      <c r="E3051" s="36">
        <f t="array" ref="E3051">IFNA(_xlfn.XLOOKUP(D3051,Table_Tarikan_Warkah[Nomor Tiket],Table_Tarikan_Warkah[Tanggal diserahkan kepada Validator]),"")</f>
        <v>45860.65939</v>
      </c>
      <c r="F3051" s="36" t="str">
        <f t="array" ref="F3051">IFNA(_xlfn.XLOOKUP(D3051,Table_Tarikan_Warkah[Nomor Tiket],Table_Tarikan_Warkah[Nama Petugas Warkah]),"")</f>
        <v>Berry</v>
      </c>
      <c r="G3051" s="39" t="str">
        <f t="array" ref="G3051">IFNA(_xlfn.XLOOKUP(D3051,Table_Tarikan_Warkah[Nomor Tiket],Table_Tarikan_Warkah[Jenis Permohonan]),"")</f>
        <v>BN Jual Beli</v>
      </c>
      <c r="H3051" s="41" t="s">
        <v>2315</v>
      </c>
      <c r="I3051" s="49" t="s">
        <v>23</v>
      </c>
      <c r="J3051" s="36">
        <f t="shared" si="20"/>
        <v>45856.45834</v>
      </c>
      <c r="K3051" s="49" t="s">
        <v>2378</v>
      </c>
      <c r="L3051" s="49" t="s">
        <v>23</v>
      </c>
      <c r="M3051" s="36">
        <f t="shared" si="33"/>
        <v>45856.64133</v>
      </c>
      <c r="N3051" s="30" t="str">
        <f t="shared" si="34"/>
        <v>Selesai</v>
      </c>
      <c r="O3051" s="45">
        <f t="shared" si="23"/>
        <v>45856.64133</v>
      </c>
      <c r="P3051" s="47" t="b">
        <v>0</v>
      </c>
      <c r="Q3051" s="36" t="str">
        <f t="shared" si="24"/>
        <v/>
      </c>
      <c r="R3051" s="47" t="b">
        <v>0</v>
      </c>
      <c r="S3051" s="42" t="str">
        <f t="shared" si="28"/>
        <v/>
      </c>
      <c r="T3051" s="42"/>
    </row>
    <row r="3052" ht="22.5" customHeight="1">
      <c r="B3052" s="42">
        <f t="shared" si="7"/>
        <v>3046</v>
      </c>
      <c r="C3052" s="31" t="s">
        <v>3119</v>
      </c>
      <c r="D3052" s="34" t="str">
        <f t="array" ref="D3052">IFNA(_xlfn.XLOOKUP(C3052,Table_Tarikan_Warkah[Nomor Sertipikat],Table_Tarikan_Warkah[Nomor Tiket]),"")</f>
        <v>K/32/250625/1</v>
      </c>
      <c r="E3052" s="36">
        <f t="array" ref="E3052">IFNA(_xlfn.XLOOKUP(D3052,Table_Tarikan_Warkah[Nomor Tiket],Table_Tarikan_Warkah[Tanggal diserahkan kepada Validator]),"")</f>
        <v>45860.65882</v>
      </c>
      <c r="F3052" s="36" t="str">
        <f t="array" ref="F3052">IFNA(_xlfn.XLOOKUP(D3052,Table_Tarikan_Warkah[Nomor Tiket],Table_Tarikan_Warkah[Nama Petugas Warkah]),"")</f>
        <v>Berry</v>
      </c>
      <c r="G3052" s="39" t="str">
        <f t="array" ref="G3052">IFNA(_xlfn.XLOOKUP(D3052,Table_Tarikan_Warkah[Nomor Tiket],Table_Tarikan_Warkah[Jenis Permohonan]),"")</f>
        <v>BN Jual Beli</v>
      </c>
      <c r="H3052" s="41" t="s">
        <v>2315</v>
      </c>
      <c r="I3052" s="49" t="s">
        <v>23</v>
      </c>
      <c r="J3052" s="36">
        <f t="shared" si="20"/>
        <v>45856.4585</v>
      </c>
      <c r="K3052" s="49" t="s">
        <v>2378</v>
      </c>
      <c r="L3052" s="49" t="s">
        <v>23</v>
      </c>
      <c r="M3052" s="36">
        <f t="shared" si="33"/>
        <v>45856.64133</v>
      </c>
      <c r="N3052" s="30" t="str">
        <f t="shared" si="34"/>
        <v>Selesai</v>
      </c>
      <c r="O3052" s="45">
        <f t="shared" si="23"/>
        <v>45856.64133</v>
      </c>
      <c r="P3052" s="47" t="b">
        <v>0</v>
      </c>
      <c r="Q3052" s="36" t="str">
        <f t="shared" si="24"/>
        <v/>
      </c>
      <c r="R3052" s="47" t="b">
        <v>0</v>
      </c>
      <c r="S3052" s="42" t="str">
        <f t="shared" si="28"/>
        <v/>
      </c>
      <c r="T3052" s="42"/>
    </row>
    <row r="3053" ht="22.5" customHeight="1">
      <c r="B3053" s="42">
        <f t="shared" si="7"/>
        <v>3047</v>
      </c>
      <c r="C3053" s="31" t="s">
        <v>3120</v>
      </c>
      <c r="D3053" s="34" t="str">
        <f t="array" ref="D3053">IFNA(_xlfn.XLOOKUP(C3053,Table_Tarikan_Warkah[Nomor Sertipikat],Table_Tarikan_Warkah[Nomor Tiket]),"")</f>
        <v>K/14/300625/1</v>
      </c>
      <c r="E3053" s="36">
        <f t="array" ref="E3053">IFNA(_xlfn.XLOOKUP(D3053,Table_Tarikan_Warkah[Nomor Tiket],Table_Tarikan_Warkah[Tanggal diserahkan kepada Validator]),"")</f>
        <v>45862.69004</v>
      </c>
      <c r="F3053" s="36" t="str">
        <f t="array" ref="F3053">IFNA(_xlfn.XLOOKUP(D3053,Table_Tarikan_Warkah[Nomor Tiket],Table_Tarikan_Warkah[Nama Petugas Warkah]),"")</f>
        <v>David</v>
      </c>
      <c r="G3053" s="39" t="str">
        <f t="array" ref="G3053">IFNA(_xlfn.XLOOKUP(D3053,Table_Tarikan_Warkah[Nomor Tiket],Table_Tarikan_Warkah[Jenis Permohonan]),"")</f>
        <v>Perubahan Hak</v>
      </c>
      <c r="H3053" s="41" t="s">
        <v>2315</v>
      </c>
      <c r="I3053" s="49" t="s">
        <v>23</v>
      </c>
      <c r="J3053" s="36">
        <f t="shared" si="20"/>
        <v>45856.45867</v>
      </c>
      <c r="K3053" s="49" t="s">
        <v>2378</v>
      </c>
      <c r="L3053" s="49" t="s">
        <v>23</v>
      </c>
      <c r="M3053" s="36">
        <f t="shared" si="33"/>
        <v>45856.64133</v>
      </c>
      <c r="N3053" s="30" t="str">
        <f t="shared" si="34"/>
        <v>Selesai</v>
      </c>
      <c r="O3053" s="45">
        <f t="shared" si="23"/>
        <v>45856.64133</v>
      </c>
      <c r="P3053" s="47" t="b">
        <v>0</v>
      </c>
      <c r="Q3053" s="36" t="str">
        <f t="shared" si="24"/>
        <v/>
      </c>
      <c r="R3053" s="47" t="b">
        <v>0</v>
      </c>
      <c r="S3053" s="42" t="str">
        <f t="shared" si="28"/>
        <v/>
      </c>
      <c r="T3053" s="42"/>
    </row>
    <row r="3054" ht="22.5" customHeight="1">
      <c r="B3054" s="42">
        <f t="shared" si="7"/>
        <v>3048</v>
      </c>
      <c r="C3054" s="31" t="s">
        <v>3121</v>
      </c>
      <c r="D3054" s="34" t="str">
        <f t="array" ref="D3054">IFNA(_xlfn.XLOOKUP(C3054,Table_Tarikan_Warkah[Nomor Sertipikat],Table_Tarikan_Warkah[Nomor Tiket]),"")</f>
        <v>K/21/090725/1</v>
      </c>
      <c r="E3054" s="36">
        <f t="array" ref="E3054">IFNA(_xlfn.XLOOKUP(D3054,Table_Tarikan_Warkah[Nomor Tiket],Table_Tarikan_Warkah[Tanggal diserahkan kepada Validator]),"")</f>
        <v>45861.61241</v>
      </c>
      <c r="F3054" s="36" t="str">
        <f t="array" ref="F3054">IFNA(_xlfn.XLOOKUP(D3054,Table_Tarikan_Warkah[Nomor Tiket],Table_Tarikan_Warkah[Nama Petugas Warkah]),"")</f>
        <v>David</v>
      </c>
      <c r="G3054" s="39" t="str">
        <f t="array" ref="G3054">IFNA(_xlfn.XLOOKUP(D3054,Table_Tarikan_Warkah[Nomor Tiket],Table_Tarikan_Warkah[Jenis Permohonan]),"")</f>
        <v>Roya</v>
      </c>
      <c r="H3054" s="41" t="s">
        <v>2315</v>
      </c>
      <c r="I3054" s="49" t="s">
        <v>23</v>
      </c>
      <c r="J3054" s="36">
        <f t="shared" si="20"/>
        <v>45856.4588</v>
      </c>
      <c r="K3054" s="49" t="s">
        <v>2378</v>
      </c>
      <c r="L3054" s="49" t="s">
        <v>23</v>
      </c>
      <c r="M3054" s="36">
        <f t="shared" si="33"/>
        <v>45856.64133</v>
      </c>
      <c r="N3054" s="30" t="str">
        <f t="shared" si="34"/>
        <v>Selesai</v>
      </c>
      <c r="O3054" s="45">
        <f t="shared" si="23"/>
        <v>45856.64133</v>
      </c>
      <c r="P3054" s="47" t="b">
        <v>0</v>
      </c>
      <c r="Q3054" s="36" t="str">
        <f t="shared" si="24"/>
        <v/>
      </c>
      <c r="R3054" s="47" t="b">
        <v>0</v>
      </c>
      <c r="S3054" s="42" t="str">
        <f t="shared" si="28"/>
        <v/>
      </c>
      <c r="T3054" s="42"/>
    </row>
    <row r="3055" ht="22.5" customHeight="1">
      <c r="B3055" s="42">
        <f t="shared" si="7"/>
        <v>3049</v>
      </c>
      <c r="C3055" s="31" t="s">
        <v>3122</v>
      </c>
      <c r="D3055" s="34" t="str">
        <f t="array" ref="D3055">IFNA(_xlfn.XLOOKUP(C3055,Table_Tarikan_Warkah[Nomor Sertipikat],Table_Tarikan_Warkah[Nomor Tiket]),"")</f>
        <v>K/41/260625/2</v>
      </c>
      <c r="E3055" s="36">
        <f t="array" ref="E3055">IFNA(_xlfn.XLOOKUP(D3055,Table_Tarikan_Warkah[Nomor Tiket],Table_Tarikan_Warkah[Tanggal diserahkan kepada Validator]),"")</f>
        <v>45860.65738</v>
      </c>
      <c r="F3055" s="36" t="str">
        <f t="array" ref="F3055">IFNA(_xlfn.XLOOKUP(D3055,Table_Tarikan_Warkah[Nomor Tiket],Table_Tarikan_Warkah[Nama Petugas Warkah]),"")</f>
        <v>Berry</v>
      </c>
      <c r="G3055" s="39" t="str">
        <f t="array" ref="G3055">IFNA(_xlfn.XLOOKUP(D3055,Table_Tarikan_Warkah[Nomor Tiket],Table_Tarikan_Warkah[Jenis Permohonan]),"")</f>
        <v>BN Jual Beli</v>
      </c>
      <c r="H3055" s="41" t="s">
        <v>2315</v>
      </c>
      <c r="I3055" s="49" t="s">
        <v>23</v>
      </c>
      <c r="J3055" s="36">
        <f t="shared" si="20"/>
        <v>45856.45894</v>
      </c>
      <c r="K3055" s="49" t="s">
        <v>2378</v>
      </c>
      <c r="L3055" s="49" t="s">
        <v>23</v>
      </c>
      <c r="M3055" s="36">
        <f t="shared" si="33"/>
        <v>45856.64133</v>
      </c>
      <c r="N3055" s="30" t="str">
        <f t="shared" si="34"/>
        <v>Selesai</v>
      </c>
      <c r="O3055" s="45">
        <f t="shared" si="23"/>
        <v>45856.64133</v>
      </c>
      <c r="P3055" s="47" t="b">
        <v>0</v>
      </c>
      <c r="Q3055" s="36" t="str">
        <f t="shared" si="24"/>
        <v/>
      </c>
      <c r="R3055" s="47" t="b">
        <v>0</v>
      </c>
      <c r="S3055" s="42" t="str">
        <f t="shared" si="28"/>
        <v/>
      </c>
      <c r="T3055" s="42"/>
    </row>
    <row r="3056" ht="22.5" customHeight="1">
      <c r="B3056" s="42">
        <f t="shared" si="7"/>
        <v>3050</v>
      </c>
      <c r="C3056" s="31" t="s">
        <v>3123</v>
      </c>
      <c r="D3056" s="34" t="str">
        <f t="array" ref="D3056">IFNA(_xlfn.XLOOKUP(C3056,Table_Tarikan_Warkah[Nomor Sertipikat],Table_Tarikan_Warkah[Nomor Tiket]),"")</f>
        <v>K/24/040725/1</v>
      </c>
      <c r="E3056" s="36">
        <f t="array" ref="E3056">IFNA(_xlfn.XLOOKUP(D3056,Table_Tarikan_Warkah[Nomor Tiket],Table_Tarikan_Warkah[Tanggal diserahkan kepada Validator]),"")</f>
        <v>45859.63471</v>
      </c>
      <c r="F3056" s="36" t="str">
        <f t="array" ref="F3056">IFNA(_xlfn.XLOOKUP(D3056,Table_Tarikan_Warkah[Nomor Tiket],Table_Tarikan_Warkah[Nama Petugas Warkah]),"")</f>
        <v>Berry</v>
      </c>
      <c r="G3056" s="39" t="str">
        <f t="array" ref="G3056">IFNA(_xlfn.XLOOKUP(D3056,Table_Tarikan_Warkah[Nomor Tiket],Table_Tarikan_Warkah[Jenis Permohonan]),"")</f>
        <v>BN Jual Beli</v>
      </c>
      <c r="H3056" s="41" t="s">
        <v>2315</v>
      </c>
      <c r="I3056" s="49" t="s">
        <v>23</v>
      </c>
      <c r="J3056" s="36">
        <f t="shared" si="20"/>
        <v>45859.41136</v>
      </c>
      <c r="K3056" s="49" t="s">
        <v>2378</v>
      </c>
      <c r="L3056" s="49" t="s">
        <v>23</v>
      </c>
      <c r="M3056" s="36">
        <f t="shared" si="33"/>
        <v>45859.41139</v>
      </c>
      <c r="N3056" s="30" t="str">
        <f t="shared" si="34"/>
        <v>Selesai</v>
      </c>
      <c r="O3056" s="45">
        <f t="shared" si="23"/>
        <v>45859.41139</v>
      </c>
      <c r="P3056" s="47" t="b">
        <v>1</v>
      </c>
      <c r="Q3056" s="36">
        <f t="shared" si="24"/>
        <v>45859.41142</v>
      </c>
      <c r="R3056" s="47" t="b">
        <v>0</v>
      </c>
      <c r="S3056" s="42" t="str">
        <f t="shared" si="28"/>
        <v/>
      </c>
      <c r="T3056" s="42"/>
    </row>
    <row r="3057" ht="22.5" customHeight="1">
      <c r="B3057" s="42">
        <f t="shared" si="7"/>
        <v>3051</v>
      </c>
      <c r="C3057" s="31" t="s">
        <v>3124</v>
      </c>
      <c r="D3057" s="34" t="str">
        <f t="array" ref="D3057">IFNA(_xlfn.XLOOKUP(C3057,Table_Tarikan_Warkah[Nomor Sertipikat],Table_Tarikan_Warkah[Nomor Tiket]),"")</f>
        <v>K/21/020725/1</v>
      </c>
      <c r="E3057" s="36">
        <f t="array" ref="E3057">IFNA(_xlfn.XLOOKUP(D3057,Table_Tarikan_Warkah[Nomor Tiket],Table_Tarikan_Warkah[Tanggal diserahkan kepada Validator]),"")</f>
        <v>45859.63446</v>
      </c>
      <c r="F3057" s="36" t="str">
        <f t="array" ref="F3057">IFNA(_xlfn.XLOOKUP(D3057,Table_Tarikan_Warkah[Nomor Tiket],Table_Tarikan_Warkah[Nama Petugas Warkah]),"")</f>
        <v>Berry</v>
      </c>
      <c r="G3057" s="39" t="str">
        <f t="array" ref="G3057">IFNA(_xlfn.XLOOKUP(D3057,Table_Tarikan_Warkah[Nomor Tiket],Table_Tarikan_Warkah[Jenis Permohonan]),"")</f>
        <v>BN Jual Beli</v>
      </c>
      <c r="H3057" s="41" t="s">
        <v>2315</v>
      </c>
      <c r="I3057" s="49" t="s">
        <v>23</v>
      </c>
      <c r="J3057" s="36">
        <f t="shared" si="20"/>
        <v>45859.41188</v>
      </c>
      <c r="K3057" s="49" t="s">
        <v>2378</v>
      </c>
      <c r="L3057" s="49" t="s">
        <v>23</v>
      </c>
      <c r="M3057" s="36">
        <f t="shared" si="33"/>
        <v>45859.41191</v>
      </c>
      <c r="N3057" s="30" t="str">
        <f t="shared" si="34"/>
        <v>Selesai</v>
      </c>
      <c r="O3057" s="45">
        <f t="shared" si="23"/>
        <v>45859.41191</v>
      </c>
      <c r="P3057" s="47" t="b">
        <v>1</v>
      </c>
      <c r="Q3057" s="36">
        <f t="shared" si="24"/>
        <v>45859.41194</v>
      </c>
      <c r="R3057" s="47" t="b">
        <v>0</v>
      </c>
      <c r="S3057" s="42" t="str">
        <f t="shared" si="28"/>
        <v/>
      </c>
      <c r="T3057" s="42"/>
    </row>
    <row r="3058" ht="22.5" customHeight="1">
      <c r="B3058" s="42">
        <f t="shared" si="7"/>
        <v>3052</v>
      </c>
      <c r="C3058" s="31" t="s">
        <v>3125</v>
      </c>
      <c r="D3058" s="34" t="str">
        <f t="array" ref="D3058">IFNA(_xlfn.XLOOKUP(C3058,Table_Tarikan_Warkah[Nomor Sertipikat],Table_Tarikan_Warkah[Nomor Tiket]),"")</f>
        <v>K/27/220125/1</v>
      </c>
      <c r="E3058" s="36" t="str">
        <f t="array" ref="E3058">IFNA(_xlfn.XLOOKUP(D3058,Table_Tarikan_Warkah[Nomor Tiket],Table_Tarikan_Warkah[Tanggal diserahkan kepada Validator]),"")</f>
        <v/>
      </c>
      <c r="F3058" s="36" t="str">
        <f t="array" ref="F3058">IFNA(_xlfn.XLOOKUP(D3058,Table_Tarikan_Warkah[Nomor Tiket],Table_Tarikan_Warkah[Nama Petugas Warkah]),"")</f>
        <v>David</v>
      </c>
      <c r="G3058" s="39" t="str">
        <f t="array" ref="G3058">IFNA(_xlfn.XLOOKUP(D3058,Table_Tarikan_Warkah[Nomor Tiket],Table_Tarikan_Warkah[Jenis Permohonan]),"")</f>
        <v>KEWARISAN</v>
      </c>
      <c r="H3058" s="41" t="s">
        <v>2315</v>
      </c>
      <c r="I3058" s="49" t="s">
        <v>23</v>
      </c>
      <c r="J3058" s="36">
        <f t="shared" si="20"/>
        <v>45859.46529</v>
      </c>
      <c r="K3058" s="49" t="s">
        <v>2378</v>
      </c>
      <c r="L3058" s="49" t="s">
        <v>23</v>
      </c>
      <c r="M3058" s="36">
        <f t="shared" si="33"/>
        <v>45859.66061</v>
      </c>
      <c r="N3058" s="30" t="str">
        <f t="shared" si="34"/>
        <v>Selesai</v>
      </c>
      <c r="O3058" s="45">
        <f t="shared" si="23"/>
        <v>45859.66061</v>
      </c>
      <c r="P3058" s="47" t="b">
        <v>0</v>
      </c>
      <c r="Q3058" s="36" t="str">
        <f t="shared" si="24"/>
        <v/>
      </c>
      <c r="R3058" s="47" t="b">
        <v>0</v>
      </c>
      <c r="S3058" s="42" t="str">
        <f t="shared" si="28"/>
        <v/>
      </c>
      <c r="T3058" s="42"/>
    </row>
    <row r="3059" ht="22.5" customHeight="1">
      <c r="B3059" s="42">
        <f t="shared" si="7"/>
        <v>3053</v>
      </c>
      <c r="C3059" s="31" t="s">
        <v>3126</v>
      </c>
      <c r="D3059" s="34" t="str">
        <f t="array" ref="D3059">IFNA(_xlfn.XLOOKUP(C3059,Table_Tarikan_Warkah[Nomor Sertipikat],Table_Tarikan_Warkah[Nomor Tiket]),"")</f>
        <v>K/15/170725/1</v>
      </c>
      <c r="E3059" s="36">
        <f t="array" ref="E3059">IFNA(_xlfn.XLOOKUP(D3059,Table_Tarikan_Warkah[Nomor Tiket],Table_Tarikan_Warkah[Tanggal diserahkan kepada Validator]),"")</f>
        <v>45860.65663</v>
      </c>
      <c r="F3059" s="36" t="str">
        <f t="array" ref="F3059">IFNA(_xlfn.XLOOKUP(D3059,Table_Tarikan_Warkah[Nomor Tiket],Table_Tarikan_Warkah[Nama Petugas Warkah]),"")</f>
        <v>Berry</v>
      </c>
      <c r="G3059" s="39" t="str">
        <f t="array" ref="G3059">IFNA(_xlfn.XLOOKUP(D3059,Table_Tarikan_Warkah[Nomor Tiket],Table_Tarikan_Warkah[Jenis Permohonan]),"")</f>
        <v>JUAL BELI</v>
      </c>
      <c r="H3059" s="41" t="s">
        <v>2315</v>
      </c>
      <c r="I3059" s="49" t="s">
        <v>23</v>
      </c>
      <c r="J3059" s="36">
        <f t="shared" si="20"/>
        <v>45859.46543</v>
      </c>
      <c r="K3059" s="49" t="s">
        <v>2378</v>
      </c>
      <c r="L3059" s="49" t="s">
        <v>23</v>
      </c>
      <c r="M3059" s="36">
        <f t="shared" si="33"/>
        <v>45859.65999</v>
      </c>
      <c r="N3059" s="30" t="str">
        <f t="shared" si="34"/>
        <v>Selesai</v>
      </c>
      <c r="O3059" s="45">
        <f t="shared" si="23"/>
        <v>45859.65999</v>
      </c>
      <c r="P3059" s="47" t="b">
        <v>0</v>
      </c>
      <c r="Q3059" s="36" t="str">
        <f t="shared" si="24"/>
        <v/>
      </c>
      <c r="R3059" s="47" t="b">
        <v>0</v>
      </c>
      <c r="S3059" s="42" t="str">
        <f t="shared" si="28"/>
        <v/>
      </c>
      <c r="T3059" s="42"/>
    </row>
    <row r="3060" ht="22.5" customHeight="1">
      <c r="B3060" s="42">
        <f t="shared" si="7"/>
        <v>3054</v>
      </c>
      <c r="C3060" s="31" t="s">
        <v>3127</v>
      </c>
      <c r="D3060" s="34" t="str">
        <f t="array" ref="D3060">IFNA(_xlfn.XLOOKUP(C3060,Table_Tarikan_Warkah[Nomor Sertipikat],Table_Tarikan_Warkah[Nomor Tiket]),"")</f>
        <v>K/44/040725/1</v>
      </c>
      <c r="E3060" s="36" t="str">
        <f t="array" ref="E3060">IFNA(_xlfn.XLOOKUP(D3060,Table_Tarikan_Warkah[Nomor Tiket],Table_Tarikan_Warkah[Tanggal diserahkan kepada Validator]),"")</f>
        <v/>
      </c>
      <c r="F3060" s="36" t="str">
        <f t="array" ref="F3060">IFNA(_xlfn.XLOOKUP(D3060,Table_Tarikan_Warkah[Nomor Tiket],Table_Tarikan_Warkah[Nama Petugas Warkah]),"")</f>
        <v/>
      </c>
      <c r="G3060" s="39" t="str">
        <f t="array" ref="G3060">IFNA(_xlfn.XLOOKUP(D3060,Table_Tarikan_Warkah[Nomor Tiket],Table_Tarikan_Warkah[Jenis Permohonan]),"")</f>
        <v>ROYA</v>
      </c>
      <c r="H3060" s="41" t="s">
        <v>2315</v>
      </c>
      <c r="I3060" s="49" t="s">
        <v>23</v>
      </c>
      <c r="J3060" s="36">
        <f t="shared" si="20"/>
        <v>45859.46565</v>
      </c>
      <c r="K3060" s="49" t="s">
        <v>2378</v>
      </c>
      <c r="L3060" s="49" t="s">
        <v>23</v>
      </c>
      <c r="M3060" s="36">
        <f t="shared" si="33"/>
        <v>45860.64352</v>
      </c>
      <c r="N3060" s="30" t="str">
        <f t="shared" si="34"/>
        <v>Selesai</v>
      </c>
      <c r="O3060" s="45">
        <f t="shared" si="23"/>
        <v>45860.64352</v>
      </c>
      <c r="P3060" s="47" t="b">
        <v>0</v>
      </c>
      <c r="Q3060" s="36" t="str">
        <f t="shared" si="24"/>
        <v/>
      </c>
      <c r="R3060" s="47" t="b">
        <v>0</v>
      </c>
      <c r="S3060" s="42" t="str">
        <f t="shared" si="28"/>
        <v/>
      </c>
      <c r="T3060" s="42"/>
    </row>
    <row r="3061" ht="22.5" customHeight="1">
      <c r="B3061" s="42">
        <f t="shared" si="7"/>
        <v>3055</v>
      </c>
      <c r="C3061" s="31" t="s">
        <v>3128</v>
      </c>
      <c r="D3061" s="34" t="str">
        <f t="array" ref="D3061">IFNA(_xlfn.XLOOKUP(C3061,Table_Tarikan_Warkah[Nomor Sertipikat],Table_Tarikan_Warkah[Nomor Tiket]),"")</f>
        <v>K/30/010725/1</v>
      </c>
      <c r="E3061" s="36">
        <f t="array" ref="E3061">IFNA(_xlfn.XLOOKUP(D3061,Table_Tarikan_Warkah[Nomor Tiket],Table_Tarikan_Warkah[Tanggal diserahkan kepada Validator]),"")</f>
        <v>45861.62698</v>
      </c>
      <c r="F3061" s="36" t="str">
        <f t="array" ref="F3061">IFNA(_xlfn.XLOOKUP(D3061,Table_Tarikan_Warkah[Nomor Tiket],Table_Tarikan_Warkah[Nama Petugas Warkah]),"")</f>
        <v>Berry</v>
      </c>
      <c r="G3061" s="39" t="str">
        <f t="array" ref="G3061">IFNA(_xlfn.XLOOKUP(D3061,Table_Tarikan_Warkah[Nomor Tiket],Table_Tarikan_Warkah[Jenis Permohonan]),"")</f>
        <v>JUAL BELI</v>
      </c>
      <c r="H3061" s="41" t="s">
        <v>2315</v>
      </c>
      <c r="I3061" s="49" t="s">
        <v>23</v>
      </c>
      <c r="J3061" s="36">
        <f t="shared" si="20"/>
        <v>45859.46579</v>
      </c>
      <c r="K3061" s="49" t="s">
        <v>2378</v>
      </c>
      <c r="L3061" s="49" t="s">
        <v>23</v>
      </c>
      <c r="M3061" s="36">
        <f t="shared" si="33"/>
        <v>45860.64669</v>
      </c>
      <c r="N3061" s="30" t="str">
        <f t="shared" si="34"/>
        <v>Selesai</v>
      </c>
      <c r="O3061" s="45">
        <f t="shared" si="23"/>
        <v>45860.64669</v>
      </c>
      <c r="P3061" s="47" t="b">
        <v>0</v>
      </c>
      <c r="Q3061" s="36" t="str">
        <f t="shared" si="24"/>
        <v/>
      </c>
      <c r="R3061" s="47" t="b">
        <v>0</v>
      </c>
      <c r="S3061" s="42" t="str">
        <f t="shared" si="28"/>
        <v/>
      </c>
      <c r="T3061" s="42"/>
    </row>
    <row r="3062" ht="22.5" customHeight="1">
      <c r="B3062" s="42">
        <f t="shared" si="7"/>
        <v>3056</v>
      </c>
      <c r="C3062" s="31" t="s">
        <v>3129</v>
      </c>
      <c r="D3062" s="34" t="str">
        <f t="array" ref="D3062">IFNA(_xlfn.XLOOKUP(C3062,Table_Tarikan_Warkah[Nomor Sertipikat],Table_Tarikan_Warkah[Nomor Tiket]),"")</f>
        <v>K/5/160626/1</v>
      </c>
      <c r="E3062" s="36" t="str">
        <f t="array" ref="E3062">IFNA(_xlfn.XLOOKUP(D3062,Table_Tarikan_Warkah[Nomor Tiket],Table_Tarikan_Warkah[Tanggal diserahkan kepada Validator]),"")</f>
        <v/>
      </c>
      <c r="F3062" s="36" t="str">
        <f t="array" ref="F3062">IFNA(_xlfn.XLOOKUP(D3062,Table_Tarikan_Warkah[Nomor Tiket],Table_Tarikan_Warkah[Nama Petugas Warkah]),"")</f>
        <v/>
      </c>
      <c r="G3062" s="39" t="str">
        <f t="array" ref="G3062">IFNA(_xlfn.XLOOKUP(D3062,Table_Tarikan_Warkah[Nomor Tiket],Table_Tarikan_Warkah[Jenis Permohonan]),"")</f>
        <v>SKPT LELANG</v>
      </c>
      <c r="H3062" s="41" t="s">
        <v>2315</v>
      </c>
      <c r="I3062" s="49" t="s">
        <v>23</v>
      </c>
      <c r="J3062" s="36">
        <f t="shared" si="20"/>
        <v>45859.46596</v>
      </c>
      <c r="K3062" s="49" t="s">
        <v>2378</v>
      </c>
      <c r="L3062" s="49" t="s">
        <v>23</v>
      </c>
      <c r="M3062" s="36">
        <f t="shared" si="33"/>
        <v>45859.66009</v>
      </c>
      <c r="N3062" s="30" t="str">
        <f t="shared" si="34"/>
        <v>Selesai</v>
      </c>
      <c r="O3062" s="45">
        <f t="shared" si="23"/>
        <v>45859.66009</v>
      </c>
      <c r="P3062" s="47" t="b">
        <v>0</v>
      </c>
      <c r="Q3062" s="36" t="str">
        <f t="shared" si="24"/>
        <v/>
      </c>
      <c r="R3062" s="47" t="b">
        <v>0</v>
      </c>
      <c r="S3062" s="42" t="str">
        <f t="shared" si="28"/>
        <v/>
      </c>
      <c r="T3062" s="42"/>
    </row>
    <row r="3063" ht="22.5" customHeight="1">
      <c r="B3063" s="42">
        <f t="shared" si="7"/>
        <v>3057</v>
      </c>
      <c r="C3063" s="31" t="s">
        <v>3130</v>
      </c>
      <c r="D3063" s="34" t="str">
        <f t="array" ref="D3063">IFNA(_xlfn.XLOOKUP(C3063,Table_Tarikan_Warkah[Nomor Sertipikat],Table_Tarikan_Warkah[Nomor Tiket]),"")</f>
        <v>L/40/140725/1</v>
      </c>
      <c r="E3063" s="36">
        <f t="array" ref="E3063">IFNA(_xlfn.XLOOKUP(D3063,Table_Tarikan_Warkah[Nomor Tiket],Table_Tarikan_Warkah[Tanggal diserahkan kepada Validator]),"")</f>
        <v>45868.65576</v>
      </c>
      <c r="F3063" s="36" t="str">
        <f t="array" ref="F3063">IFNA(_xlfn.XLOOKUP(D3063,Table_Tarikan_Warkah[Nomor Tiket],Table_Tarikan_Warkah[Nama Petugas Warkah]),"")</f>
        <v>David</v>
      </c>
      <c r="G3063" s="39" t="str">
        <f t="array" ref="G3063">IFNA(_xlfn.XLOOKUP(D3063,Table_Tarikan_Warkah[Nomor Tiket],Table_Tarikan_Warkah[Jenis Permohonan]),"")</f>
        <v>ROYA</v>
      </c>
      <c r="H3063" s="41" t="s">
        <v>2315</v>
      </c>
      <c r="I3063" s="49" t="s">
        <v>23</v>
      </c>
      <c r="J3063" s="36">
        <f t="shared" si="20"/>
        <v>45859.46614</v>
      </c>
      <c r="K3063" s="49" t="s">
        <v>2378</v>
      </c>
      <c r="L3063" s="49" t="s">
        <v>23</v>
      </c>
      <c r="M3063" s="36">
        <f t="shared" si="33"/>
        <v>45859.66025</v>
      </c>
      <c r="N3063" s="30" t="str">
        <f t="shared" si="34"/>
        <v>Selesai</v>
      </c>
      <c r="O3063" s="45">
        <f t="shared" si="23"/>
        <v>45859.66025</v>
      </c>
      <c r="P3063" s="47" t="b">
        <v>0</v>
      </c>
      <c r="Q3063" s="36" t="str">
        <f t="shared" si="24"/>
        <v/>
      </c>
      <c r="R3063" s="47" t="b">
        <v>0</v>
      </c>
      <c r="S3063" s="42" t="str">
        <f t="shared" si="28"/>
        <v/>
      </c>
      <c r="T3063" s="42"/>
    </row>
    <row r="3064" ht="22.5" customHeight="1">
      <c r="B3064" s="42">
        <f t="shared" si="7"/>
        <v>3058</v>
      </c>
      <c r="C3064" s="31" t="s">
        <v>3131</v>
      </c>
      <c r="D3064" s="34" t="str">
        <f t="array" ref="D3064">IFNA(_xlfn.XLOOKUP(C3064,Table_Tarikan_Warkah[Nomor Sertipikat],Table_Tarikan_Warkah[Nomor Tiket]),"")</f>
        <v>L/27/140725/1</v>
      </c>
      <c r="E3064" s="36">
        <f t="array" ref="E3064">IFNA(_xlfn.XLOOKUP(D3064,Table_Tarikan_Warkah[Nomor Tiket],Table_Tarikan_Warkah[Tanggal diserahkan kepada Validator]),"")</f>
        <v>45922.62064</v>
      </c>
      <c r="F3064" s="36" t="str">
        <f t="array" ref="F3064">IFNA(_xlfn.XLOOKUP(D3064,Table_Tarikan_Warkah[Nomor Tiket],Table_Tarikan_Warkah[Nama Petugas Warkah]),"")</f>
        <v>David</v>
      </c>
      <c r="G3064" s="39" t="str">
        <f t="array" ref="G3064">IFNA(_xlfn.XLOOKUP(D3064,Table_Tarikan_Warkah[Nomor Tiket],Table_Tarikan_Warkah[Jenis Permohonan]),"")</f>
        <v>ROYA</v>
      </c>
      <c r="H3064" s="41" t="s">
        <v>2315</v>
      </c>
      <c r="I3064" s="49" t="s">
        <v>23</v>
      </c>
      <c r="J3064" s="36">
        <f t="shared" si="20"/>
        <v>45859.46625</v>
      </c>
      <c r="K3064" s="49" t="s">
        <v>2378</v>
      </c>
      <c r="L3064" s="49" t="s">
        <v>23</v>
      </c>
      <c r="M3064" s="36">
        <f t="shared" si="33"/>
        <v>45859.66146</v>
      </c>
      <c r="N3064" s="30" t="str">
        <f t="shared" si="34"/>
        <v>Selesai</v>
      </c>
      <c r="O3064" s="45">
        <f t="shared" si="23"/>
        <v>45859.66146</v>
      </c>
      <c r="P3064" s="47" t="b">
        <v>0</v>
      </c>
      <c r="Q3064" s="36" t="str">
        <f t="shared" si="24"/>
        <v/>
      </c>
      <c r="R3064" s="47" t="b">
        <v>0</v>
      </c>
      <c r="S3064" s="42" t="str">
        <f t="shared" si="28"/>
        <v/>
      </c>
      <c r="T3064" s="42"/>
    </row>
    <row r="3065" ht="22.5" customHeight="1">
      <c r="B3065" s="42">
        <f t="shared" si="7"/>
        <v>3059</v>
      </c>
      <c r="C3065" s="31" t="s">
        <v>3132</v>
      </c>
      <c r="D3065" s="34" t="str">
        <f t="array" ref="D3065">IFNA(_xlfn.XLOOKUP(C3065,Table_Tarikan_Warkah[Nomor Sertipikat],Table_Tarikan_Warkah[Nomor Tiket]),"")</f>
        <v>L/16/150725/1</v>
      </c>
      <c r="E3065" s="36">
        <f t="array" ref="E3065">IFNA(_xlfn.XLOOKUP(D3065,Table_Tarikan_Warkah[Nomor Tiket],Table_Tarikan_Warkah[Tanggal diserahkan kepada Validator]),"")</f>
        <v>45873.6354</v>
      </c>
      <c r="F3065" s="36" t="str">
        <f t="array" ref="F3065">IFNA(_xlfn.XLOOKUP(D3065,Table_Tarikan_Warkah[Nomor Tiket],Table_Tarikan_Warkah[Nama Petugas Warkah]),"")</f>
        <v>Berry</v>
      </c>
      <c r="G3065" s="39" t="str">
        <f t="array" ref="G3065">IFNA(_xlfn.XLOOKUP(D3065,Table_Tarikan_Warkah[Nomor Tiket],Table_Tarikan_Warkah[Jenis Permohonan]),"")</f>
        <v>ROYA</v>
      </c>
      <c r="H3065" s="41" t="s">
        <v>2315</v>
      </c>
      <c r="I3065" s="49" t="s">
        <v>23</v>
      </c>
      <c r="J3065" s="36">
        <f t="shared" si="20"/>
        <v>45859.4664</v>
      </c>
      <c r="K3065" s="49" t="s">
        <v>2378</v>
      </c>
      <c r="L3065" s="49" t="s">
        <v>23</v>
      </c>
      <c r="M3065" s="36">
        <f t="shared" si="33"/>
        <v>45859.66138</v>
      </c>
      <c r="N3065" s="30" t="str">
        <f t="shared" si="34"/>
        <v>Selesai</v>
      </c>
      <c r="O3065" s="45">
        <f t="shared" si="23"/>
        <v>45859.66138</v>
      </c>
      <c r="P3065" s="47" t="b">
        <v>0</v>
      </c>
      <c r="Q3065" s="36" t="str">
        <f t="shared" si="24"/>
        <v/>
      </c>
      <c r="R3065" s="47" t="b">
        <v>0</v>
      </c>
      <c r="S3065" s="42" t="str">
        <f t="shared" si="28"/>
        <v/>
      </c>
      <c r="T3065" s="42"/>
    </row>
    <row r="3066" ht="22.5" customHeight="1">
      <c r="B3066" s="42">
        <f t="shared" si="7"/>
        <v>3060</v>
      </c>
      <c r="C3066" s="31" t="s">
        <v>3133</v>
      </c>
      <c r="D3066" s="34" t="str">
        <f t="array" ref="D3066">IFNA(_xlfn.XLOOKUP(C3066,Table_Tarikan_Warkah[Nomor Sertipikat],Table_Tarikan_Warkah[Nomor Tiket]),"")</f>
        <v>K/16/030725/1</v>
      </c>
      <c r="E3066" s="36">
        <f t="array" ref="E3066">IFNA(_xlfn.XLOOKUP(D3066,Table_Tarikan_Warkah[Nomor Tiket],Table_Tarikan_Warkah[Tanggal diserahkan kepada Validator]),"")</f>
        <v>45869.49615</v>
      </c>
      <c r="F3066" s="36" t="str">
        <f t="array" ref="F3066">IFNA(_xlfn.XLOOKUP(D3066,Table_Tarikan_Warkah[Nomor Tiket],Table_Tarikan_Warkah[Nama Petugas Warkah]),"")</f>
        <v>Berry</v>
      </c>
      <c r="G3066" s="39" t="str">
        <f t="array" ref="G3066">IFNA(_xlfn.XLOOKUP(D3066,Table_Tarikan_Warkah[Nomor Tiket],Table_Tarikan_Warkah[Jenis Permohonan]),"")</f>
        <v>BN Waris</v>
      </c>
      <c r="H3066" s="41" t="s">
        <v>2315</v>
      </c>
      <c r="I3066" s="49" t="s">
        <v>23</v>
      </c>
      <c r="J3066" s="36">
        <f t="shared" si="20"/>
        <v>45859.46658</v>
      </c>
      <c r="K3066" s="49" t="s">
        <v>2378</v>
      </c>
      <c r="L3066" s="49" t="s">
        <v>23</v>
      </c>
      <c r="M3066" s="36">
        <f t="shared" si="33"/>
        <v>45859.66111</v>
      </c>
      <c r="N3066" s="30" t="str">
        <f t="shared" si="34"/>
        <v>Selesai</v>
      </c>
      <c r="O3066" s="45">
        <f t="shared" si="23"/>
        <v>45859.66111</v>
      </c>
      <c r="P3066" s="47" t="b">
        <v>0</v>
      </c>
      <c r="Q3066" s="36" t="str">
        <f t="shared" si="24"/>
        <v/>
      </c>
      <c r="R3066" s="47" t="b">
        <v>0</v>
      </c>
      <c r="S3066" s="42" t="str">
        <f t="shared" si="28"/>
        <v/>
      </c>
      <c r="T3066" s="42"/>
    </row>
    <row r="3067" ht="22.5" customHeight="1">
      <c r="B3067" s="42">
        <f t="shared" si="7"/>
        <v>3061</v>
      </c>
      <c r="C3067" s="31" t="s">
        <v>2963</v>
      </c>
      <c r="D3067" s="34" t="str">
        <f t="array" ref="D3067">IFNA(_xlfn.XLOOKUP(C3067,Table_Tarikan_Warkah[Nomor Sertipikat],Table_Tarikan_Warkah[Nomor Tiket]),"")</f>
        <v>K/18/260625/2</v>
      </c>
      <c r="E3067" s="36">
        <f t="array" ref="E3067">IFNA(_xlfn.XLOOKUP(D3067,Table_Tarikan_Warkah[Nomor Tiket],Table_Tarikan_Warkah[Tanggal diserahkan kepada Validator]),"")</f>
        <v>45876.64331</v>
      </c>
      <c r="F3067" s="36" t="str">
        <f t="array" ref="F3067">IFNA(_xlfn.XLOOKUP(D3067,Table_Tarikan_Warkah[Nomor Tiket],Table_Tarikan_Warkah[Nama Petugas Warkah]),"")</f>
        <v>David</v>
      </c>
      <c r="G3067" s="39" t="str">
        <f t="array" ref="G3067">IFNA(_xlfn.XLOOKUP(D3067,Table_Tarikan_Warkah[Nomor Tiket],Table_Tarikan_Warkah[Jenis Permohonan]),"")</f>
        <v>Roya</v>
      </c>
      <c r="H3067" s="41" t="s">
        <v>2315</v>
      </c>
      <c r="I3067" s="49" t="s">
        <v>23</v>
      </c>
      <c r="J3067" s="36">
        <f t="shared" si="20"/>
        <v>45859.46675</v>
      </c>
      <c r="K3067" s="49" t="s">
        <v>2378</v>
      </c>
      <c r="L3067" s="49" t="s">
        <v>23</v>
      </c>
      <c r="M3067" s="36">
        <f t="shared" si="33"/>
        <v>45859.66089</v>
      </c>
      <c r="N3067" s="30" t="str">
        <f t="shared" si="34"/>
        <v>Selesai</v>
      </c>
      <c r="O3067" s="45">
        <f t="shared" si="23"/>
        <v>45859.66089</v>
      </c>
      <c r="P3067" s="47" t="b">
        <v>0</v>
      </c>
      <c r="Q3067" s="36" t="str">
        <f t="shared" si="24"/>
        <v/>
      </c>
      <c r="R3067" s="47" t="b">
        <v>0</v>
      </c>
      <c r="S3067" s="42" t="str">
        <f t="shared" si="28"/>
        <v/>
      </c>
      <c r="T3067" s="42"/>
    </row>
    <row r="3068" ht="22.5" customHeight="1">
      <c r="B3068" s="42">
        <f t="shared" si="7"/>
        <v>3062</v>
      </c>
      <c r="C3068" s="31" t="s">
        <v>3134</v>
      </c>
      <c r="D3068" s="34" t="str">
        <f t="array" ref="D3068">IFNA(_xlfn.XLOOKUP(C3068,Table_Tarikan_Warkah[Nomor Sertipikat],Table_Tarikan_Warkah[Nomor Tiket]),"")</f>
        <v>K/38/180625/1</v>
      </c>
      <c r="E3068" s="36">
        <f t="array" ref="E3068">IFNA(_xlfn.XLOOKUP(D3068,Table_Tarikan_Warkah[Nomor Tiket],Table_Tarikan_Warkah[Tanggal diserahkan kepada Validator]),"")</f>
        <v>45861.62677</v>
      </c>
      <c r="F3068" s="36" t="str">
        <f t="array" ref="F3068">IFNA(_xlfn.XLOOKUP(D3068,Table_Tarikan_Warkah[Nomor Tiket],Table_Tarikan_Warkah[Nama Petugas Warkah]),"")</f>
        <v>Berry</v>
      </c>
      <c r="G3068" s="39" t="str">
        <f t="array" ref="G3068">IFNA(_xlfn.XLOOKUP(D3068,Table_Tarikan_Warkah[Nomor Tiket],Table_Tarikan_Warkah[Jenis Permohonan]),"")</f>
        <v>BN Jual Beli</v>
      </c>
      <c r="H3068" s="41" t="s">
        <v>2315</v>
      </c>
      <c r="I3068" s="49" t="s">
        <v>23</v>
      </c>
      <c r="J3068" s="36">
        <f t="shared" si="20"/>
        <v>45859.4669</v>
      </c>
      <c r="K3068" s="49" t="s">
        <v>2378</v>
      </c>
      <c r="L3068" s="49" t="s">
        <v>23</v>
      </c>
      <c r="M3068" s="36">
        <f t="shared" si="33"/>
        <v>45859.66046</v>
      </c>
      <c r="N3068" s="30" t="str">
        <f t="shared" si="34"/>
        <v>Selesai</v>
      </c>
      <c r="O3068" s="45">
        <f t="shared" si="23"/>
        <v>45859.66046</v>
      </c>
      <c r="P3068" s="47" t="b">
        <v>0</v>
      </c>
      <c r="Q3068" s="36" t="str">
        <f t="shared" si="24"/>
        <v/>
      </c>
      <c r="R3068" s="47" t="b">
        <v>0</v>
      </c>
      <c r="S3068" s="42" t="str">
        <f t="shared" si="28"/>
        <v/>
      </c>
      <c r="T3068" s="42"/>
    </row>
    <row r="3069" ht="22.5" customHeight="1">
      <c r="B3069" s="42">
        <f t="shared" si="7"/>
        <v>3063</v>
      </c>
      <c r="C3069" s="31" t="s">
        <v>3135</v>
      </c>
      <c r="D3069" s="34" t="str">
        <f t="array" ref="D3069">IFNA(_xlfn.XLOOKUP(C3069,Table_Tarikan_Warkah[Nomor Sertipikat],Table_Tarikan_Warkah[Nomor Tiket]),"")</f>
        <v>K/37/200625/1</v>
      </c>
      <c r="E3069" s="36">
        <f t="array" ref="E3069">IFNA(_xlfn.XLOOKUP(D3069,Table_Tarikan_Warkah[Nomor Tiket],Table_Tarikan_Warkah[Tanggal diserahkan kepada Validator]),"")</f>
        <v>45863.60674</v>
      </c>
      <c r="F3069" s="36" t="str">
        <f t="array" ref="F3069">IFNA(_xlfn.XLOOKUP(D3069,Table_Tarikan_Warkah[Nomor Tiket],Table_Tarikan_Warkah[Nama Petugas Warkah]),"")</f>
        <v>David</v>
      </c>
      <c r="G3069" s="39" t="str">
        <f t="array" ref="G3069">IFNA(_xlfn.XLOOKUP(D3069,Table_Tarikan_Warkah[Nomor Tiket],Table_Tarikan_Warkah[Jenis Permohonan]),"")</f>
        <v>BN Hibah</v>
      </c>
      <c r="H3069" s="41" t="s">
        <v>20</v>
      </c>
      <c r="I3069" s="49" t="s">
        <v>23</v>
      </c>
      <c r="J3069" s="36">
        <f t="shared" si="20"/>
        <v>45859.67022</v>
      </c>
      <c r="K3069" s="49" t="s">
        <v>2378</v>
      </c>
      <c r="L3069" s="49" t="s">
        <v>23</v>
      </c>
      <c r="M3069" s="36">
        <f t="shared" si="33"/>
        <v>45860.64558</v>
      </c>
      <c r="N3069" s="30" t="str">
        <f t="shared" si="34"/>
        <v>Selesai</v>
      </c>
      <c r="O3069" s="45">
        <f t="shared" si="23"/>
        <v>45860.64558</v>
      </c>
      <c r="P3069" s="47" t="b">
        <v>0</v>
      </c>
      <c r="Q3069" s="36" t="str">
        <f t="shared" si="24"/>
        <v/>
      </c>
      <c r="R3069" s="47" t="b">
        <v>0</v>
      </c>
      <c r="S3069" s="42" t="str">
        <f t="shared" si="28"/>
        <v/>
      </c>
      <c r="T3069" s="42"/>
    </row>
    <row r="3070" ht="22.5" customHeight="1">
      <c r="B3070" s="42">
        <f t="shared" si="7"/>
        <v>3064</v>
      </c>
      <c r="C3070" s="31" t="s">
        <v>3136</v>
      </c>
      <c r="D3070" s="34" t="str">
        <f t="array" ref="D3070">IFNA(_xlfn.XLOOKUP(C3070,Table_Tarikan_Warkah[Nomor Sertipikat],Table_Tarikan_Warkah[Nomor Tiket]),"")</f>
        <v>K/4/160625/1</v>
      </c>
      <c r="E3070" s="36">
        <f t="array" ref="E3070">IFNA(_xlfn.XLOOKUP(D3070,Table_Tarikan_Warkah[Nomor Tiket],Table_Tarikan_Warkah[Tanggal diserahkan kepada Validator]),"")</f>
        <v>45863.60684</v>
      </c>
      <c r="F3070" s="36" t="str">
        <f t="array" ref="F3070">IFNA(_xlfn.XLOOKUP(D3070,Table_Tarikan_Warkah[Nomor Tiket],Table_Tarikan_Warkah[Nama Petugas Warkah]),"")</f>
        <v>David</v>
      </c>
      <c r="G3070" s="39" t="str">
        <f t="array" ref="G3070">IFNA(_xlfn.XLOOKUP(D3070,Table_Tarikan_Warkah[Nomor Tiket],Table_Tarikan_Warkah[Jenis Permohonan]),"")</f>
        <v>BN Jual Beli</v>
      </c>
      <c r="H3070" s="41" t="s">
        <v>20</v>
      </c>
      <c r="I3070" s="49" t="s">
        <v>23</v>
      </c>
      <c r="J3070" s="36">
        <f t="shared" si="20"/>
        <v>45859.6703</v>
      </c>
      <c r="K3070" s="49" t="s">
        <v>2378</v>
      </c>
      <c r="L3070" s="49" t="s">
        <v>23</v>
      </c>
      <c r="M3070" s="36">
        <f t="shared" si="33"/>
        <v>45860.64525</v>
      </c>
      <c r="N3070" s="30" t="str">
        <f t="shared" si="34"/>
        <v>Selesai</v>
      </c>
      <c r="O3070" s="45">
        <f t="shared" si="23"/>
        <v>45860.64525</v>
      </c>
      <c r="P3070" s="47" t="b">
        <v>0</v>
      </c>
      <c r="Q3070" s="36" t="str">
        <f t="shared" si="24"/>
        <v/>
      </c>
      <c r="R3070" s="47" t="b">
        <v>0</v>
      </c>
      <c r="S3070" s="42" t="str">
        <f t="shared" si="28"/>
        <v/>
      </c>
      <c r="T3070" s="42"/>
    </row>
    <row r="3071" ht="22.5" customHeight="1">
      <c r="B3071" s="42">
        <f t="shared" si="7"/>
        <v>3065</v>
      </c>
      <c r="C3071" s="31" t="s">
        <v>3137</v>
      </c>
      <c r="D3071" s="34" t="str">
        <f t="array" ref="D3071">IFNA(_xlfn.XLOOKUP(C3071,Table_Tarikan_Warkah[Nomor Sertipikat],Table_Tarikan_Warkah[Nomor Tiket]),"")</f>
        <v>K/47/240625/1</v>
      </c>
      <c r="E3071" s="36">
        <f t="array" ref="E3071">IFNA(_xlfn.XLOOKUP(D3071,Table_Tarikan_Warkah[Nomor Tiket],Table_Tarikan_Warkah[Tanggal diserahkan kepada Validator]),"")</f>
        <v>45861.63011</v>
      </c>
      <c r="F3071" s="36" t="str">
        <f t="array" ref="F3071">IFNA(_xlfn.XLOOKUP(D3071,Table_Tarikan_Warkah[Nomor Tiket],Table_Tarikan_Warkah[Nama Petugas Warkah]),"")</f>
        <v>Berry</v>
      </c>
      <c r="G3071" s="39" t="str">
        <f t="array" ref="G3071">IFNA(_xlfn.XLOOKUP(D3071,Table_Tarikan_Warkah[Nomor Tiket],Table_Tarikan_Warkah[Jenis Permohonan]),"")</f>
        <v>BN JUAL BELIO</v>
      </c>
      <c r="H3071" s="41" t="s">
        <v>20</v>
      </c>
      <c r="I3071" s="49" t="s">
        <v>23</v>
      </c>
      <c r="J3071" s="36">
        <f t="shared" si="20"/>
        <v>45859.67055</v>
      </c>
      <c r="K3071" s="49" t="s">
        <v>2378</v>
      </c>
      <c r="L3071" s="49" t="s">
        <v>23</v>
      </c>
      <c r="M3071" s="36">
        <f t="shared" si="33"/>
        <v>45860.64499</v>
      </c>
      <c r="N3071" s="30" t="str">
        <f t="shared" si="34"/>
        <v>Selesai</v>
      </c>
      <c r="O3071" s="45">
        <f t="shared" si="23"/>
        <v>45860.64499</v>
      </c>
      <c r="P3071" s="47" t="b">
        <v>0</v>
      </c>
      <c r="Q3071" s="36" t="str">
        <f t="shared" si="24"/>
        <v/>
      </c>
      <c r="R3071" s="47" t="b">
        <v>0</v>
      </c>
      <c r="S3071" s="42" t="str">
        <f t="shared" si="28"/>
        <v/>
      </c>
      <c r="T3071" s="42"/>
    </row>
    <row r="3072" ht="22.5" customHeight="1">
      <c r="B3072" s="42">
        <f t="shared" si="7"/>
        <v>3066</v>
      </c>
      <c r="C3072" s="31" t="s">
        <v>3138</v>
      </c>
      <c r="D3072" s="34" t="str">
        <f t="array" ref="D3072">IFNA(_xlfn.XLOOKUP(C3072,Table_Tarikan_Warkah[Nomor Sertipikat],Table_Tarikan_Warkah[Nomor Tiket]),"")</f>
        <v>L/4/110725/PELATARAN</v>
      </c>
      <c r="E3072" s="36">
        <f t="array" ref="E3072">IFNA(_xlfn.XLOOKUP(D3072,Table_Tarikan_Warkah[Nomor Tiket],Table_Tarikan_Warkah[Tanggal diserahkan kepada Validator]),"")</f>
        <v>45916.65923</v>
      </c>
      <c r="F3072" s="36" t="str">
        <f t="array" ref="F3072">IFNA(_xlfn.XLOOKUP(D3072,Table_Tarikan_Warkah[Nomor Tiket],Table_Tarikan_Warkah[Nama Petugas Warkah]),"")</f>
        <v>Berry</v>
      </c>
      <c r="G3072" s="39" t="str">
        <f t="array" ref="G3072">IFNA(_xlfn.XLOOKUP(D3072,Table_Tarikan_Warkah[Nomor Tiket],Table_Tarikan_Warkah[Jenis Permohonan]),"")</f>
        <v>ROYA</v>
      </c>
      <c r="H3072" s="41" t="s">
        <v>20</v>
      </c>
      <c r="I3072" s="49" t="s">
        <v>23</v>
      </c>
      <c r="J3072" s="36">
        <f t="shared" si="20"/>
        <v>45859.67066</v>
      </c>
      <c r="K3072" s="49" t="s">
        <v>2378</v>
      </c>
      <c r="L3072" s="49" t="s">
        <v>23</v>
      </c>
      <c r="M3072" s="36">
        <f t="shared" si="33"/>
        <v>45860.64513</v>
      </c>
      <c r="N3072" s="30" t="str">
        <f t="shared" si="34"/>
        <v>Selesai</v>
      </c>
      <c r="O3072" s="45">
        <f t="shared" si="23"/>
        <v>45860.64513</v>
      </c>
      <c r="P3072" s="47" t="b">
        <v>0</v>
      </c>
      <c r="Q3072" s="36" t="str">
        <f t="shared" si="24"/>
        <v/>
      </c>
      <c r="R3072" s="47" t="b">
        <v>0</v>
      </c>
      <c r="S3072" s="42" t="str">
        <f t="shared" si="28"/>
        <v/>
      </c>
      <c r="T3072" s="42"/>
    </row>
    <row r="3073" ht="22.5" customHeight="1">
      <c r="B3073" s="42">
        <f t="shared" si="7"/>
        <v>3067</v>
      </c>
      <c r="C3073" s="31" t="s">
        <v>3139</v>
      </c>
      <c r="D3073" s="34" t="str">
        <f t="array" ref="D3073">IFNA(_xlfn.XLOOKUP(C3073,Table_Tarikan_Warkah[Nomor Sertipikat],Table_Tarikan_Warkah[Nomor Tiket]),"")</f>
        <v>K/28/230625/1</v>
      </c>
      <c r="E3073" s="36">
        <f t="array" ref="E3073">IFNA(_xlfn.XLOOKUP(D3073,Table_Tarikan_Warkah[Nomor Tiket],Table_Tarikan_Warkah[Tanggal diserahkan kepada Validator]),"")</f>
        <v>45863.60658</v>
      </c>
      <c r="F3073" s="36" t="str">
        <f t="array" ref="F3073">IFNA(_xlfn.XLOOKUP(D3073,Table_Tarikan_Warkah[Nomor Tiket],Table_Tarikan_Warkah[Nama Petugas Warkah]),"")</f>
        <v>David</v>
      </c>
      <c r="G3073" s="39" t="str">
        <f t="array" ref="G3073">IFNA(_xlfn.XLOOKUP(D3073,Table_Tarikan_Warkah[Nomor Tiket],Table_Tarikan_Warkah[Jenis Permohonan]),"")</f>
        <v>BN Jual Beli</v>
      </c>
      <c r="H3073" s="41" t="s">
        <v>20</v>
      </c>
      <c r="I3073" s="49" t="s">
        <v>23</v>
      </c>
      <c r="J3073" s="36">
        <f t="shared" si="20"/>
        <v>45859.67084</v>
      </c>
      <c r="K3073" s="49" t="s">
        <v>2378</v>
      </c>
      <c r="L3073" s="49" t="s">
        <v>23</v>
      </c>
      <c r="M3073" s="36">
        <f t="shared" si="33"/>
        <v>45860.64739</v>
      </c>
      <c r="N3073" s="30" t="str">
        <f t="shared" si="34"/>
        <v>Selesai</v>
      </c>
      <c r="O3073" s="45">
        <f t="shared" si="23"/>
        <v>45860.64739</v>
      </c>
      <c r="P3073" s="47" t="b">
        <v>0</v>
      </c>
      <c r="Q3073" s="36" t="str">
        <f t="shared" si="24"/>
        <v/>
      </c>
      <c r="R3073" s="47" t="b">
        <v>0</v>
      </c>
      <c r="S3073" s="42" t="str">
        <f t="shared" si="28"/>
        <v/>
      </c>
      <c r="T3073" s="42"/>
    </row>
    <row r="3074" ht="22.5" customHeight="1">
      <c r="B3074" s="42">
        <f t="shared" si="7"/>
        <v>3068</v>
      </c>
      <c r="C3074" s="31" t="s">
        <v>3140</v>
      </c>
      <c r="D3074" s="34" t="str">
        <f t="array" ref="D3074">IFNA(_xlfn.XLOOKUP(C3074,Table_Tarikan_Warkah[Nomor Sertipikat],Table_Tarikan_Warkah[Nomor Tiket]),"")</f>
        <v>K/8/070725/1</v>
      </c>
      <c r="E3074" s="36">
        <f t="array" ref="E3074">IFNA(_xlfn.XLOOKUP(D3074,Table_Tarikan_Warkah[Nomor Tiket],Table_Tarikan_Warkah[Tanggal diserahkan kepada Validator]),"")</f>
        <v>45861.63052</v>
      </c>
      <c r="F3074" s="36" t="str">
        <f t="array" ref="F3074">IFNA(_xlfn.XLOOKUP(D3074,Table_Tarikan_Warkah[Nomor Tiket],Table_Tarikan_Warkah[Nama Petugas Warkah]),"")</f>
        <v>Berry</v>
      </c>
      <c r="G3074" s="39" t="str">
        <f t="array" ref="G3074">IFNA(_xlfn.XLOOKUP(D3074,Table_Tarikan_Warkah[Nomor Tiket],Table_Tarikan_Warkah[Jenis Permohonan]),"")</f>
        <v>BN JUAL BELI</v>
      </c>
      <c r="H3074" s="41" t="s">
        <v>20</v>
      </c>
      <c r="I3074" s="49" t="s">
        <v>23</v>
      </c>
      <c r="J3074" s="36">
        <f t="shared" si="20"/>
        <v>45859.67094</v>
      </c>
      <c r="K3074" s="49" t="s">
        <v>2378</v>
      </c>
      <c r="L3074" s="49" t="s">
        <v>23</v>
      </c>
      <c r="M3074" s="36">
        <f t="shared" si="33"/>
        <v>45860.64569</v>
      </c>
      <c r="N3074" s="30" t="str">
        <f t="shared" si="34"/>
        <v>Selesai</v>
      </c>
      <c r="O3074" s="45">
        <f t="shared" si="23"/>
        <v>45860.64569</v>
      </c>
      <c r="P3074" s="47" t="b">
        <v>0</v>
      </c>
      <c r="Q3074" s="36" t="str">
        <f t="shared" si="24"/>
        <v/>
      </c>
      <c r="R3074" s="47" t="b">
        <v>0</v>
      </c>
      <c r="S3074" s="42" t="str">
        <f t="shared" si="28"/>
        <v/>
      </c>
      <c r="T3074" s="42"/>
    </row>
    <row r="3075" ht="22.5" customHeight="1">
      <c r="B3075" s="42">
        <f t="shared" si="7"/>
        <v>3069</v>
      </c>
      <c r="C3075" s="31" t="s">
        <v>3141</v>
      </c>
      <c r="D3075" s="34" t="str">
        <f t="array" ref="D3075">IFNA(_xlfn.XLOOKUP(C3075,Table_Tarikan_Warkah[Nomor Sertipikat],Table_Tarikan_Warkah[Nomor Tiket]),"")</f>
        <v>K/27/020725/1</v>
      </c>
      <c r="E3075" s="36">
        <f t="array" ref="E3075">IFNA(_xlfn.XLOOKUP(D3075,Table_Tarikan_Warkah[Nomor Tiket],Table_Tarikan_Warkah[Tanggal diserahkan kepada Validator]),"")</f>
        <v>45861.63294</v>
      </c>
      <c r="F3075" s="36" t="str">
        <f t="array" ref="F3075">IFNA(_xlfn.XLOOKUP(D3075,Table_Tarikan_Warkah[Nomor Tiket],Table_Tarikan_Warkah[Nama Petugas Warkah]),"")</f>
        <v>Berry</v>
      </c>
      <c r="G3075" s="39" t="str">
        <f t="array" ref="G3075">IFNA(_xlfn.XLOOKUP(D3075,Table_Tarikan_Warkah[Nomor Tiket],Table_Tarikan_Warkah[Jenis Permohonan]),"")</f>
        <v>BN JUAL BELI</v>
      </c>
      <c r="H3075" s="41" t="s">
        <v>20</v>
      </c>
      <c r="I3075" s="49" t="s">
        <v>23</v>
      </c>
      <c r="J3075" s="36">
        <f t="shared" si="20"/>
        <v>45859.6712</v>
      </c>
      <c r="K3075" s="49" t="s">
        <v>2378</v>
      </c>
      <c r="L3075" s="49" t="s">
        <v>23</v>
      </c>
      <c r="M3075" s="36">
        <f t="shared" si="33"/>
        <v>45860.64721</v>
      </c>
      <c r="N3075" s="30" t="str">
        <f t="shared" si="34"/>
        <v>Selesai</v>
      </c>
      <c r="O3075" s="45">
        <f t="shared" si="23"/>
        <v>45860.64721</v>
      </c>
      <c r="P3075" s="47" t="b">
        <v>0</v>
      </c>
      <c r="Q3075" s="36" t="str">
        <f t="shared" si="24"/>
        <v/>
      </c>
      <c r="R3075" s="47" t="b">
        <v>0</v>
      </c>
      <c r="S3075" s="42" t="str">
        <f t="shared" si="28"/>
        <v/>
      </c>
      <c r="T3075" s="42"/>
    </row>
    <row r="3076" ht="22.5" customHeight="1">
      <c r="B3076" s="42">
        <f t="shared" si="7"/>
        <v>3070</v>
      </c>
      <c r="C3076" s="31" t="s">
        <v>3142</v>
      </c>
      <c r="D3076" s="34" t="str">
        <f t="array" ref="D3076">IFNA(_xlfn.XLOOKUP(C3076,Table_Tarikan_Warkah[Nomor Sertipikat],Table_Tarikan_Warkah[Nomor Tiket]),"")</f>
        <v>K/20/100725/2</v>
      </c>
      <c r="E3076" s="36">
        <f t="array" ref="E3076">IFNA(_xlfn.XLOOKUP(D3076,Table_Tarikan_Warkah[Nomor Tiket],Table_Tarikan_Warkah[Tanggal diserahkan kepada Validator]),"")</f>
        <v>45861.63072</v>
      </c>
      <c r="F3076" s="36" t="str">
        <f t="array" ref="F3076">IFNA(_xlfn.XLOOKUP(D3076,Table_Tarikan_Warkah[Nomor Tiket],Table_Tarikan_Warkah[Nama Petugas Warkah]),"")</f>
        <v>Berry</v>
      </c>
      <c r="G3076" s="39" t="str">
        <f t="array" ref="G3076">IFNA(_xlfn.XLOOKUP(D3076,Table_Tarikan_Warkah[Nomor Tiket],Table_Tarikan_Warkah[Jenis Permohonan]),"")</f>
        <v>BN JUAL BELI</v>
      </c>
      <c r="H3076" s="41" t="s">
        <v>20</v>
      </c>
      <c r="I3076" s="49" t="s">
        <v>23</v>
      </c>
      <c r="J3076" s="36">
        <f t="shared" si="20"/>
        <v>45859.67135</v>
      </c>
      <c r="K3076" s="49" t="s">
        <v>2378</v>
      </c>
      <c r="L3076" s="49" t="s">
        <v>23</v>
      </c>
      <c r="M3076" s="36">
        <f t="shared" si="33"/>
        <v>45860.64582</v>
      </c>
      <c r="N3076" s="30" t="str">
        <f t="shared" si="34"/>
        <v>Selesai</v>
      </c>
      <c r="O3076" s="45">
        <f t="shared" si="23"/>
        <v>45860.64582</v>
      </c>
      <c r="P3076" s="47" t="b">
        <v>0</v>
      </c>
      <c r="Q3076" s="36" t="str">
        <f t="shared" si="24"/>
        <v/>
      </c>
      <c r="R3076" s="47" t="b">
        <v>0</v>
      </c>
      <c r="S3076" s="42" t="str">
        <f t="shared" si="28"/>
        <v/>
      </c>
      <c r="T3076" s="42"/>
    </row>
    <row r="3077" ht="22.5" customHeight="1">
      <c r="B3077" s="42">
        <f t="shared" si="7"/>
        <v>3071</v>
      </c>
      <c r="C3077" s="31" t="s">
        <v>3143</v>
      </c>
      <c r="D3077" s="34" t="str">
        <f t="array" ref="D3077">IFNA(_xlfn.XLOOKUP(C3077,Table_Tarikan_Warkah[Nomor Sertipikat],Table_Tarikan_Warkah[Nomor Tiket]),"")</f>
        <v>K/25/070725/2</v>
      </c>
      <c r="E3077" s="36">
        <f t="array" ref="E3077">IFNA(_xlfn.XLOOKUP(D3077,Table_Tarikan_Warkah[Nomor Tiket],Table_Tarikan_Warkah[Tanggal diserahkan kepada Validator]),"")</f>
        <v>45861.63173</v>
      </c>
      <c r="F3077" s="36" t="str">
        <f t="array" ref="F3077">IFNA(_xlfn.XLOOKUP(D3077,Table_Tarikan_Warkah[Nomor Tiket],Table_Tarikan_Warkah[Nama Petugas Warkah]),"")</f>
        <v>Berry</v>
      </c>
      <c r="G3077" s="39" t="str">
        <f t="array" ref="G3077">IFNA(_xlfn.XLOOKUP(D3077,Table_Tarikan_Warkah[Nomor Tiket],Table_Tarikan_Warkah[Jenis Permohonan]),"")</f>
        <v>BN JUAL BELI</v>
      </c>
      <c r="H3077" s="41" t="s">
        <v>20</v>
      </c>
      <c r="I3077" s="49" t="s">
        <v>23</v>
      </c>
      <c r="J3077" s="36">
        <f t="shared" si="20"/>
        <v>45859.67142</v>
      </c>
      <c r="K3077" s="49" t="s">
        <v>2378</v>
      </c>
      <c r="L3077" s="49" t="s">
        <v>23</v>
      </c>
      <c r="M3077" s="36">
        <f t="shared" si="33"/>
        <v>45860.64603</v>
      </c>
      <c r="N3077" s="30" t="str">
        <f t="shared" si="34"/>
        <v>Selesai</v>
      </c>
      <c r="O3077" s="45">
        <f t="shared" si="23"/>
        <v>45860.64603</v>
      </c>
      <c r="P3077" s="47" t="b">
        <v>0</v>
      </c>
      <c r="Q3077" s="36" t="str">
        <f t="shared" si="24"/>
        <v/>
      </c>
      <c r="R3077" s="47" t="b">
        <v>0</v>
      </c>
      <c r="S3077" s="42" t="str">
        <f t="shared" si="28"/>
        <v/>
      </c>
      <c r="T3077" s="42"/>
    </row>
    <row r="3078" ht="22.5" customHeight="1">
      <c r="B3078" s="42">
        <f t="shared" si="7"/>
        <v>3072</v>
      </c>
      <c r="C3078" s="31" t="s">
        <v>3144</v>
      </c>
      <c r="D3078" s="34" t="str">
        <f t="array" ref="D3078">IFNA(_xlfn.XLOOKUP(C3078,Table_Tarikan_Warkah[Nomor Sertipikat],Table_Tarikan_Warkah[Nomor Tiket]),"")</f>
        <v>K/18/110725/1</v>
      </c>
      <c r="E3078" s="36">
        <f t="array" ref="E3078">IFNA(_xlfn.XLOOKUP(D3078,Table_Tarikan_Warkah[Nomor Tiket],Table_Tarikan_Warkah[Tanggal diserahkan kepada Validator]),"")</f>
        <v>45861.63199</v>
      </c>
      <c r="F3078" s="36" t="str">
        <f t="array" ref="F3078">IFNA(_xlfn.XLOOKUP(D3078,Table_Tarikan_Warkah[Nomor Tiket],Table_Tarikan_Warkah[Nama Petugas Warkah]),"")</f>
        <v>Berry</v>
      </c>
      <c r="G3078" s="39" t="str">
        <f t="array" ref="G3078">IFNA(_xlfn.XLOOKUP(D3078,Table_Tarikan_Warkah[Nomor Tiket],Table_Tarikan_Warkah[Jenis Permohonan]),"")</f>
        <v>BN JUAL BELI</v>
      </c>
      <c r="H3078" s="41" t="s">
        <v>20</v>
      </c>
      <c r="I3078" s="49" t="s">
        <v>23</v>
      </c>
      <c r="J3078" s="36">
        <f t="shared" si="20"/>
        <v>45859.67156</v>
      </c>
      <c r="K3078" s="49" t="s">
        <v>2378</v>
      </c>
      <c r="L3078" s="49" t="s">
        <v>23</v>
      </c>
      <c r="M3078" s="36">
        <f t="shared" si="33"/>
        <v>45860.64619</v>
      </c>
      <c r="N3078" s="30" t="str">
        <f t="shared" si="34"/>
        <v>Selesai</v>
      </c>
      <c r="O3078" s="45">
        <f t="shared" si="23"/>
        <v>45860.64619</v>
      </c>
      <c r="P3078" s="47" t="b">
        <v>0</v>
      </c>
      <c r="Q3078" s="36" t="str">
        <f t="shared" si="24"/>
        <v/>
      </c>
      <c r="R3078" s="47" t="b">
        <v>0</v>
      </c>
      <c r="S3078" s="42" t="str">
        <f t="shared" si="28"/>
        <v/>
      </c>
      <c r="T3078" s="42"/>
    </row>
    <row r="3079" ht="22.5" customHeight="1">
      <c r="B3079" s="42">
        <f t="shared" si="7"/>
        <v>3073</v>
      </c>
      <c r="C3079" s="31" t="s">
        <v>3145</v>
      </c>
      <c r="D3079" s="34" t="str">
        <f t="array" ref="D3079">IFNA(_xlfn.XLOOKUP(C3079,Table_Tarikan_Warkah[Nomor Sertipikat],Table_Tarikan_Warkah[Nomor Tiket]),"")</f>
        <v>K/39/080525/1</v>
      </c>
      <c r="E3079" s="36">
        <f t="array" ref="E3079">IFNA(_xlfn.XLOOKUP(D3079,Table_Tarikan_Warkah[Nomor Tiket],Table_Tarikan_Warkah[Tanggal diserahkan kepada Validator]),"")</f>
        <v>45861.62781</v>
      </c>
      <c r="F3079" s="36" t="str">
        <f t="array" ref="F3079">IFNA(_xlfn.XLOOKUP(D3079,Table_Tarikan_Warkah[Nomor Tiket],Table_Tarikan_Warkah[Nama Petugas Warkah]),"")</f>
        <v>Berry</v>
      </c>
      <c r="G3079" s="39" t="str">
        <f t="array" ref="G3079">IFNA(_xlfn.XLOOKUP(D3079,Table_Tarikan_Warkah[Nomor Tiket],Table_Tarikan_Warkah[Jenis Permohonan]),"")</f>
        <v>BN WARIS</v>
      </c>
      <c r="H3079" s="41" t="s">
        <v>2315</v>
      </c>
      <c r="I3079" s="49" t="s">
        <v>23</v>
      </c>
      <c r="J3079" s="36">
        <f t="shared" si="20"/>
        <v>45860.48026</v>
      </c>
      <c r="K3079" s="49" t="s">
        <v>2378</v>
      </c>
      <c r="L3079" s="49" t="s">
        <v>23</v>
      </c>
      <c r="M3079" s="36">
        <f t="shared" si="33"/>
        <v>45860.64447</v>
      </c>
      <c r="N3079" s="30" t="str">
        <f t="shared" si="34"/>
        <v>Selesai</v>
      </c>
      <c r="O3079" s="45">
        <f t="shared" si="23"/>
        <v>45860.64447</v>
      </c>
      <c r="P3079" s="47" t="b">
        <v>0</v>
      </c>
      <c r="Q3079" s="36" t="str">
        <f t="shared" si="24"/>
        <v/>
      </c>
      <c r="R3079" s="47" t="b">
        <v>0</v>
      </c>
      <c r="S3079" s="42" t="str">
        <f t="shared" si="28"/>
        <v/>
      </c>
      <c r="T3079" s="42"/>
    </row>
    <row r="3080" ht="22.5" customHeight="1">
      <c r="B3080" s="42">
        <f t="shared" si="7"/>
        <v>3074</v>
      </c>
      <c r="C3080" s="31" t="s">
        <v>3146</v>
      </c>
      <c r="D3080" s="34" t="str">
        <f t="array" ref="D3080">IFNA(_xlfn.XLOOKUP(C3080,Table_Tarikan_Warkah[Nomor Sertipikat],Table_Tarikan_Warkah[Nomor Tiket]),"")</f>
        <v>K/25/190525/1</v>
      </c>
      <c r="E3080" s="36" t="str">
        <f t="array" ref="E3080">IFNA(_xlfn.XLOOKUP(D3080,Table_Tarikan_Warkah[Nomor Tiket],Table_Tarikan_Warkah[Tanggal diserahkan kepada Validator]),"")</f>
        <v/>
      </c>
      <c r="F3080" s="36" t="str">
        <f t="array" ref="F3080">IFNA(_xlfn.XLOOKUP(D3080,Table_Tarikan_Warkah[Nomor Tiket],Table_Tarikan_Warkah[Nama Petugas Warkah]),"")</f>
        <v/>
      </c>
      <c r="G3080" s="39" t="str">
        <f t="array" ref="G3080">IFNA(_xlfn.XLOOKUP(D3080,Table_Tarikan_Warkah[Nomor Tiket],Table_Tarikan_Warkah[Jenis Permohonan]),"")</f>
        <v>HAPUS BPHTB</v>
      </c>
      <c r="H3080" s="41" t="s">
        <v>2315</v>
      </c>
      <c r="I3080" s="49" t="s">
        <v>23</v>
      </c>
      <c r="J3080" s="36">
        <f t="shared" si="20"/>
        <v>45860.48061</v>
      </c>
      <c r="K3080" s="49" t="s">
        <v>2378</v>
      </c>
      <c r="L3080" s="49" t="s">
        <v>23</v>
      </c>
      <c r="M3080" s="36">
        <f t="shared" si="33"/>
        <v>45861.42849</v>
      </c>
      <c r="N3080" s="30" t="str">
        <f t="shared" si="34"/>
        <v>Selesai</v>
      </c>
      <c r="O3080" s="45">
        <f t="shared" si="23"/>
        <v>45861.42849</v>
      </c>
      <c r="P3080" s="47" t="b">
        <v>0</v>
      </c>
      <c r="Q3080" s="36" t="str">
        <f t="shared" si="24"/>
        <v/>
      </c>
      <c r="R3080" s="47" t="b">
        <v>0</v>
      </c>
      <c r="S3080" s="42" t="str">
        <f t="shared" si="28"/>
        <v/>
      </c>
      <c r="T3080" s="42"/>
    </row>
    <row r="3081" ht="22.5" customHeight="1">
      <c r="B3081" s="42">
        <f t="shared" si="7"/>
        <v>3075</v>
      </c>
      <c r="C3081" s="31" t="s">
        <v>3147</v>
      </c>
      <c r="D3081" s="34" t="str">
        <f t="array" ref="D3081">IFNA(_xlfn.XLOOKUP(C3081,Table_Tarikan_Warkah[Nomor Sertipikat],Table_Tarikan_Warkah[Nomor Tiket]),"")</f>
        <v>K/11/110725/2</v>
      </c>
      <c r="E3081" s="36">
        <f t="array" ref="E3081">IFNA(_xlfn.XLOOKUP(D3081,Table_Tarikan_Warkah[Nomor Tiket],Table_Tarikan_Warkah[Tanggal diserahkan kepada Validator]),"")</f>
        <v>45861.62817</v>
      </c>
      <c r="F3081" s="36" t="str">
        <f t="array" ref="F3081">IFNA(_xlfn.XLOOKUP(D3081,Table_Tarikan_Warkah[Nomor Tiket],Table_Tarikan_Warkah[Nama Petugas Warkah]),"")</f>
        <v>Berry</v>
      </c>
      <c r="G3081" s="39" t="str">
        <f t="array" ref="G3081">IFNA(_xlfn.XLOOKUP(D3081,Table_Tarikan_Warkah[Nomor Tiket],Table_Tarikan_Warkah[Jenis Permohonan]),"")</f>
        <v>BN JUAL BELI</v>
      </c>
      <c r="H3081" s="41" t="s">
        <v>2315</v>
      </c>
      <c r="I3081" s="49" t="s">
        <v>23</v>
      </c>
      <c r="J3081" s="36">
        <f t="shared" si="20"/>
        <v>45860.48166</v>
      </c>
      <c r="K3081" s="49" t="s">
        <v>2378</v>
      </c>
      <c r="L3081" s="49" t="s">
        <v>23</v>
      </c>
      <c r="M3081" s="36">
        <f t="shared" si="33"/>
        <v>45860.64435</v>
      </c>
      <c r="N3081" s="30" t="str">
        <f t="shared" si="34"/>
        <v>Selesai</v>
      </c>
      <c r="O3081" s="45">
        <f t="shared" si="23"/>
        <v>45860.64435</v>
      </c>
      <c r="P3081" s="47" t="b">
        <v>0</v>
      </c>
      <c r="Q3081" s="36" t="str">
        <f t="shared" si="24"/>
        <v/>
      </c>
      <c r="R3081" s="47" t="b">
        <v>0</v>
      </c>
      <c r="S3081" s="42" t="str">
        <f t="shared" si="28"/>
        <v/>
      </c>
      <c r="T3081" s="42"/>
    </row>
    <row r="3082" ht="22.5" customHeight="1">
      <c r="B3082" s="42">
        <f t="shared" si="7"/>
        <v>3076</v>
      </c>
      <c r="C3082" s="31" t="s">
        <v>3148</v>
      </c>
      <c r="D3082" s="34" t="str">
        <f t="array" ref="D3082">IFNA(_xlfn.XLOOKUP(C3082,Table_Tarikan_Warkah[Nomor Sertipikat],Table_Tarikan_Warkah[Nomor Tiket]),"")</f>
        <v>K/3/040725/1</v>
      </c>
      <c r="E3082" s="36">
        <f t="array" ref="E3082">IFNA(_xlfn.XLOOKUP(D3082,Table_Tarikan_Warkah[Nomor Tiket],Table_Tarikan_Warkah[Tanggal diserahkan kepada Validator]),"")</f>
        <v>45867.38302</v>
      </c>
      <c r="F3082" s="36" t="str">
        <f t="array" ref="F3082">IFNA(_xlfn.XLOOKUP(D3082,Table_Tarikan_Warkah[Nomor Tiket],Table_Tarikan_Warkah[Nama Petugas Warkah]),"")</f>
        <v>Berry</v>
      </c>
      <c r="G3082" s="39" t="str">
        <f t="array" ref="G3082">IFNA(_xlfn.XLOOKUP(D3082,Table_Tarikan_Warkah[Nomor Tiket],Table_Tarikan_Warkah[Jenis Permohonan]),"")</f>
        <v>BN WARIS</v>
      </c>
      <c r="H3082" s="41" t="s">
        <v>2315</v>
      </c>
      <c r="I3082" s="49" t="s">
        <v>23</v>
      </c>
      <c r="J3082" s="36">
        <f t="shared" si="20"/>
        <v>45860.48166</v>
      </c>
      <c r="K3082" s="49" t="s">
        <v>2378</v>
      </c>
      <c r="L3082" s="49" t="s">
        <v>23</v>
      </c>
      <c r="M3082" s="36">
        <f t="shared" si="33"/>
        <v>45861.42856</v>
      </c>
      <c r="N3082" s="30" t="str">
        <f t="shared" si="34"/>
        <v>Selesai</v>
      </c>
      <c r="O3082" s="45">
        <f t="shared" si="23"/>
        <v>45861.42856</v>
      </c>
      <c r="P3082" s="47" t="b">
        <v>0</v>
      </c>
      <c r="Q3082" s="36" t="str">
        <f t="shared" si="24"/>
        <v/>
      </c>
      <c r="R3082" s="47" t="b">
        <v>0</v>
      </c>
      <c r="S3082" s="42" t="str">
        <f t="shared" si="28"/>
        <v/>
      </c>
      <c r="T3082" s="42"/>
    </row>
    <row r="3083" ht="22.5" customHeight="1">
      <c r="B3083" s="42">
        <f t="shared" si="7"/>
        <v>3077</v>
      </c>
      <c r="C3083" s="31" t="s">
        <v>3149</v>
      </c>
      <c r="D3083" s="34" t="str">
        <f t="array" ref="D3083">IFNA(_xlfn.XLOOKUP(C3083,Table_Tarikan_Warkah[Nomor Sertipikat],Table_Tarikan_Warkah[Nomor Tiket]),"")</f>
        <v>K/10/100725/2</v>
      </c>
      <c r="E3083" s="36">
        <f t="array" ref="E3083">IFNA(_xlfn.XLOOKUP(D3083,Table_Tarikan_Warkah[Nomor Tiket],Table_Tarikan_Warkah[Tanggal diserahkan kepada Validator]),"")</f>
        <v>45888.60905</v>
      </c>
      <c r="F3083" s="36" t="str">
        <f t="array" ref="F3083">IFNA(_xlfn.XLOOKUP(D3083,Table_Tarikan_Warkah[Nomor Tiket],Table_Tarikan_Warkah[Nama Petugas Warkah]),"")</f>
        <v>Berry</v>
      </c>
      <c r="G3083" s="39" t="str">
        <f t="array" ref="G3083">IFNA(_xlfn.XLOOKUP(D3083,Table_Tarikan_Warkah[Nomor Tiket],Table_Tarikan_Warkah[Jenis Permohonan]),"")</f>
        <v>ROYA</v>
      </c>
      <c r="H3083" s="41" t="s">
        <v>2315</v>
      </c>
      <c r="I3083" s="49" t="s">
        <v>23</v>
      </c>
      <c r="J3083" s="36">
        <f t="shared" si="20"/>
        <v>45860.48228</v>
      </c>
      <c r="K3083" s="49" t="s">
        <v>2378</v>
      </c>
      <c r="L3083" s="49" t="s">
        <v>23</v>
      </c>
      <c r="M3083" s="36">
        <f t="shared" si="33"/>
        <v>45861.42867</v>
      </c>
      <c r="N3083" s="30" t="str">
        <f t="shared" si="34"/>
        <v>Selesai</v>
      </c>
      <c r="O3083" s="45">
        <f t="shared" si="23"/>
        <v>45861.42867</v>
      </c>
      <c r="P3083" s="47" t="b">
        <v>0</v>
      </c>
      <c r="Q3083" s="36" t="str">
        <f t="shared" si="24"/>
        <v/>
      </c>
      <c r="R3083" s="47" t="b">
        <v>0</v>
      </c>
      <c r="S3083" s="42" t="str">
        <f t="shared" si="28"/>
        <v/>
      </c>
      <c r="T3083" s="42"/>
    </row>
    <row r="3084" ht="22.5" customHeight="1">
      <c r="B3084" s="42">
        <f t="shared" si="7"/>
        <v>3078</v>
      </c>
      <c r="C3084" s="31" t="s">
        <v>3150</v>
      </c>
      <c r="D3084" s="34" t="str">
        <f t="array" ref="D3084">IFNA(_xlfn.XLOOKUP(C3084,Table_Tarikan_Warkah[Nomor Sertipikat],Table_Tarikan_Warkah[Nomor Tiket]),"")</f>
        <v>K/12/100725/4</v>
      </c>
      <c r="E3084" s="36">
        <f t="array" ref="E3084">IFNA(_xlfn.XLOOKUP(D3084,Table_Tarikan_Warkah[Nomor Tiket],Table_Tarikan_Warkah[Tanggal diserahkan kepada Validator]),"")</f>
        <v>45898.65139</v>
      </c>
      <c r="F3084" s="36" t="str">
        <f t="array" ref="F3084">IFNA(_xlfn.XLOOKUP(D3084,Table_Tarikan_Warkah[Nomor Tiket],Table_Tarikan_Warkah[Nama Petugas Warkah]),"")</f>
        <v>Berry</v>
      </c>
      <c r="G3084" s="39" t="str">
        <f t="array" ref="G3084">IFNA(_xlfn.XLOOKUP(D3084,Table_Tarikan_Warkah[Nomor Tiket],Table_Tarikan_Warkah[Jenis Permohonan]),"")</f>
        <v>ROYA</v>
      </c>
      <c r="H3084" s="41" t="s">
        <v>2315</v>
      </c>
      <c r="I3084" s="49" t="s">
        <v>23</v>
      </c>
      <c r="J3084" s="36">
        <f t="shared" si="20"/>
        <v>45860.48243</v>
      </c>
      <c r="K3084" s="49" t="s">
        <v>2378</v>
      </c>
      <c r="L3084" s="49" t="s">
        <v>23</v>
      </c>
      <c r="M3084" s="36">
        <f t="shared" si="33"/>
        <v>45861.42841</v>
      </c>
      <c r="N3084" s="30" t="str">
        <f t="shared" si="34"/>
        <v>Selesai</v>
      </c>
      <c r="O3084" s="45">
        <f t="shared" si="23"/>
        <v>45861.42841</v>
      </c>
      <c r="P3084" s="47" t="b">
        <v>0</v>
      </c>
      <c r="Q3084" s="36" t="str">
        <f t="shared" si="24"/>
        <v/>
      </c>
      <c r="R3084" s="47" t="b">
        <v>0</v>
      </c>
      <c r="S3084" s="42" t="str">
        <f t="shared" si="28"/>
        <v/>
      </c>
      <c r="T3084" s="42"/>
    </row>
    <row r="3085" ht="22.5" customHeight="1">
      <c r="B3085" s="42">
        <f t="shared" si="7"/>
        <v>3079</v>
      </c>
      <c r="C3085" s="31" t="s">
        <v>3151</v>
      </c>
      <c r="D3085" s="34" t="str">
        <f t="array" ref="D3085">IFNA(_xlfn.XLOOKUP(C3085,Table_Tarikan_Warkah[Nomor Sertipikat],Table_Tarikan_Warkah[Nomor Tiket]),"")</f>
        <v>K/6/090725/1</v>
      </c>
      <c r="E3085" s="36">
        <f t="array" ref="E3085">IFNA(_xlfn.XLOOKUP(D3085,Table_Tarikan_Warkah[Nomor Tiket],Table_Tarikan_Warkah[Tanggal diserahkan kepada Validator]),"")</f>
        <v>45861.62721</v>
      </c>
      <c r="F3085" s="36" t="str">
        <f t="array" ref="F3085">IFNA(_xlfn.XLOOKUP(D3085,Table_Tarikan_Warkah[Nomor Tiket],Table_Tarikan_Warkah[Nama Petugas Warkah]),"")</f>
        <v>Berry</v>
      </c>
      <c r="G3085" s="39" t="str">
        <f t="array" ref="G3085">IFNA(_xlfn.XLOOKUP(D3085,Table_Tarikan_Warkah[Nomor Tiket],Table_Tarikan_Warkah[Jenis Permohonan]),"")</f>
        <v>JUAL BELI</v>
      </c>
      <c r="H3085" s="41" t="s">
        <v>2315</v>
      </c>
      <c r="I3085" s="49" t="s">
        <v>23</v>
      </c>
      <c r="J3085" s="36">
        <f t="shared" si="20"/>
        <v>45860.48269</v>
      </c>
      <c r="K3085" s="49" t="s">
        <v>2378</v>
      </c>
      <c r="L3085" s="49" t="s">
        <v>23</v>
      </c>
      <c r="M3085" s="36">
        <f t="shared" si="33"/>
        <v>45860.64419</v>
      </c>
      <c r="N3085" s="30" t="str">
        <f t="shared" si="34"/>
        <v>Selesai</v>
      </c>
      <c r="O3085" s="45">
        <f t="shared" si="23"/>
        <v>45860.64419</v>
      </c>
      <c r="P3085" s="47" t="b">
        <v>0</v>
      </c>
      <c r="Q3085" s="36" t="str">
        <f t="shared" si="24"/>
        <v/>
      </c>
      <c r="R3085" s="47" t="b">
        <v>0</v>
      </c>
      <c r="S3085" s="42" t="str">
        <f t="shared" si="28"/>
        <v/>
      </c>
      <c r="T3085" s="42"/>
    </row>
    <row r="3086" ht="22.5" customHeight="1">
      <c r="B3086" s="42">
        <f t="shared" si="7"/>
        <v>3080</v>
      </c>
      <c r="C3086" s="31" t="s">
        <v>3152</v>
      </c>
      <c r="D3086" s="34" t="str">
        <f t="array" ref="D3086">IFNA(_xlfn.XLOOKUP(C3086,Table_Tarikan_Warkah[Nomor Sertipikat],Table_Tarikan_Warkah[Nomor Tiket]),"")</f>
        <v>K/18/100725/1</v>
      </c>
      <c r="E3086" s="36">
        <f t="array" ref="E3086">IFNA(_xlfn.XLOOKUP(D3086,Table_Tarikan_Warkah[Nomor Tiket],Table_Tarikan_Warkah[Tanggal diserahkan kepada Validator]),"")</f>
        <v>45874.65093</v>
      </c>
      <c r="F3086" s="36" t="str">
        <f t="array" ref="F3086">IFNA(_xlfn.XLOOKUP(D3086,Table_Tarikan_Warkah[Nomor Tiket],Table_Tarikan_Warkah[Nama Petugas Warkah]),"")</f>
        <v>Berry</v>
      </c>
      <c r="G3086" s="39" t="str">
        <f t="array" ref="G3086">IFNA(_xlfn.XLOOKUP(D3086,Table_Tarikan_Warkah[Nomor Tiket],Table_Tarikan_Warkah[Jenis Permohonan]),"")</f>
        <v>BN Jual Beli</v>
      </c>
      <c r="H3086" s="41" t="s">
        <v>2315</v>
      </c>
      <c r="I3086" s="49" t="s">
        <v>23</v>
      </c>
      <c r="J3086" s="36">
        <f t="shared" si="20"/>
        <v>45860.48307</v>
      </c>
      <c r="K3086" s="49" t="s">
        <v>2378</v>
      </c>
      <c r="L3086" s="49" t="s">
        <v>23</v>
      </c>
      <c r="M3086" s="36">
        <f t="shared" si="33"/>
        <v>45861.42786</v>
      </c>
      <c r="N3086" s="30" t="str">
        <f t="shared" si="34"/>
        <v>Selesai</v>
      </c>
      <c r="O3086" s="45">
        <f t="shared" si="23"/>
        <v>45861.42786</v>
      </c>
      <c r="P3086" s="47" t="b">
        <v>0</v>
      </c>
      <c r="Q3086" s="36" t="str">
        <f t="shared" si="24"/>
        <v/>
      </c>
      <c r="R3086" s="47" t="b">
        <v>0</v>
      </c>
      <c r="S3086" s="42" t="str">
        <f t="shared" si="28"/>
        <v/>
      </c>
      <c r="T3086" s="42"/>
    </row>
    <row r="3087" ht="22.5" customHeight="1">
      <c r="B3087" s="42">
        <f t="shared" si="7"/>
        <v>3081</v>
      </c>
      <c r="C3087" s="31" t="s">
        <v>3153</v>
      </c>
      <c r="D3087" s="34" t="str">
        <f t="array" ref="D3087">IFNA(_xlfn.XLOOKUP(C3087,Table_Tarikan_Warkah[Nomor Sertipikat],Table_Tarikan_Warkah[Nomor Tiket]),"")</f>
        <v>K/13/110725/1</v>
      </c>
      <c r="E3087" s="36">
        <f t="array" ref="E3087">IFNA(_xlfn.XLOOKUP(D3087,Table_Tarikan_Warkah[Nomor Tiket],Table_Tarikan_Warkah[Tanggal diserahkan kepada Validator]),"")</f>
        <v>45897.49314</v>
      </c>
      <c r="F3087" s="36" t="str">
        <f t="array" ref="F3087">IFNA(_xlfn.XLOOKUP(D3087,Table_Tarikan_Warkah[Nomor Tiket],Table_Tarikan_Warkah[Nama Petugas Warkah]),"")</f>
        <v>Berry</v>
      </c>
      <c r="G3087" s="39" t="str">
        <f t="array" ref="G3087">IFNA(_xlfn.XLOOKUP(D3087,Table_Tarikan_Warkah[Nomor Tiket],Table_Tarikan_Warkah[Jenis Permohonan]),"")</f>
        <v>Roya</v>
      </c>
      <c r="H3087" s="41" t="s">
        <v>2315</v>
      </c>
      <c r="I3087" s="49" t="s">
        <v>23</v>
      </c>
      <c r="J3087" s="36">
        <f t="shared" si="20"/>
        <v>45860.48329</v>
      </c>
      <c r="K3087" s="49" t="s">
        <v>2378</v>
      </c>
      <c r="L3087" s="49" t="s">
        <v>23</v>
      </c>
      <c r="M3087" s="36">
        <f t="shared" si="33"/>
        <v>45861.42869</v>
      </c>
      <c r="N3087" s="30" t="str">
        <f t="shared" si="34"/>
        <v>Selesai</v>
      </c>
      <c r="O3087" s="45">
        <f t="shared" si="23"/>
        <v>45861.42869</v>
      </c>
      <c r="P3087" s="47" t="b">
        <v>0</v>
      </c>
      <c r="Q3087" s="36" t="str">
        <f t="shared" si="24"/>
        <v/>
      </c>
      <c r="R3087" s="47" t="b">
        <v>0</v>
      </c>
      <c r="S3087" s="42" t="str">
        <f t="shared" si="28"/>
        <v/>
      </c>
      <c r="T3087" s="42"/>
    </row>
    <row r="3088" ht="22.5" customHeight="1">
      <c r="B3088" s="42">
        <f t="shared" si="7"/>
        <v>3082</v>
      </c>
      <c r="C3088" s="31" t="s">
        <v>3154</v>
      </c>
      <c r="D3088" s="34" t="str">
        <f t="array" ref="D3088">IFNA(_xlfn.XLOOKUP(C3088,Table_Tarikan_Warkah[Nomor Sertipikat],Table_Tarikan_Warkah[Nomor Tiket]),"")</f>
        <v>K/14/110725/2</v>
      </c>
      <c r="E3088" s="36">
        <f t="array" ref="E3088">IFNA(_xlfn.XLOOKUP(D3088,Table_Tarikan_Warkah[Nomor Tiket],Table_Tarikan_Warkah[Tanggal diserahkan kepada Validator]),"")</f>
        <v>45898.65097</v>
      </c>
      <c r="F3088" s="36" t="str">
        <f t="array" ref="F3088">IFNA(_xlfn.XLOOKUP(D3088,Table_Tarikan_Warkah[Nomor Tiket],Table_Tarikan_Warkah[Nama Petugas Warkah]),"")</f>
        <v>Berry</v>
      </c>
      <c r="G3088" s="39" t="str">
        <f t="array" ref="G3088">IFNA(_xlfn.XLOOKUP(D3088,Table_Tarikan_Warkah[Nomor Tiket],Table_Tarikan_Warkah[Jenis Permohonan]),"")</f>
        <v>Roya</v>
      </c>
      <c r="H3088" s="41" t="s">
        <v>2315</v>
      </c>
      <c r="I3088" s="49" t="s">
        <v>23</v>
      </c>
      <c r="J3088" s="36">
        <f t="shared" si="20"/>
        <v>45860.48358</v>
      </c>
      <c r="K3088" s="49" t="s">
        <v>2378</v>
      </c>
      <c r="L3088" s="49" t="s">
        <v>23</v>
      </c>
      <c r="M3088" s="36">
        <f t="shared" si="33"/>
        <v>45860.64402</v>
      </c>
      <c r="N3088" s="30" t="str">
        <f t="shared" si="34"/>
        <v>Selesai</v>
      </c>
      <c r="O3088" s="45">
        <f t="shared" si="23"/>
        <v>45860.64402</v>
      </c>
      <c r="P3088" s="47" t="b">
        <v>0</v>
      </c>
      <c r="Q3088" s="36" t="str">
        <f t="shared" si="24"/>
        <v/>
      </c>
      <c r="R3088" s="47" t="b">
        <v>0</v>
      </c>
      <c r="S3088" s="42" t="str">
        <f t="shared" si="28"/>
        <v/>
      </c>
      <c r="T3088" s="42"/>
    </row>
    <row r="3089" ht="22.5" customHeight="1">
      <c r="B3089" s="42">
        <f t="shared" si="7"/>
        <v>3083</v>
      </c>
      <c r="C3089" s="31" t="s">
        <v>3155</v>
      </c>
      <c r="D3089" s="34" t="str">
        <f t="array" ref="D3089">IFNA(_xlfn.XLOOKUP(C3089,Table_Tarikan_Warkah[Nomor Sertipikat],Table_Tarikan_Warkah[Nomor Tiket]),"")</f>
        <v>K/30/040725/1</v>
      </c>
      <c r="E3089" s="36">
        <f t="array" ref="E3089">IFNA(_xlfn.XLOOKUP(D3089,Table_Tarikan_Warkah[Nomor Tiket],Table_Tarikan_Warkah[Tanggal diserahkan kepada Validator]),"")</f>
        <v>45863.60645</v>
      </c>
      <c r="F3089" s="36" t="str">
        <f t="array" ref="F3089">IFNA(_xlfn.XLOOKUP(D3089,Table_Tarikan_Warkah[Nomor Tiket],Table_Tarikan_Warkah[Nama Petugas Warkah]),"")</f>
        <v>David</v>
      </c>
      <c r="G3089" s="39" t="str">
        <f t="array" ref="G3089">IFNA(_xlfn.XLOOKUP(D3089,Table_Tarikan_Warkah[Nomor Tiket],Table_Tarikan_Warkah[Jenis Permohonan]),"")</f>
        <v>BN Jual Beli</v>
      </c>
      <c r="H3089" s="41" t="s">
        <v>2315</v>
      </c>
      <c r="I3089" s="49" t="s">
        <v>23</v>
      </c>
      <c r="J3089" s="36">
        <f t="shared" si="20"/>
        <v>45860.48379</v>
      </c>
      <c r="K3089" s="49" t="s">
        <v>2378</v>
      </c>
      <c r="L3089" s="49" t="s">
        <v>23</v>
      </c>
      <c r="M3089" s="36">
        <f t="shared" si="33"/>
        <v>45860.6439</v>
      </c>
      <c r="N3089" s="30" t="str">
        <f t="shared" si="34"/>
        <v>Selesai</v>
      </c>
      <c r="O3089" s="45">
        <f t="shared" si="23"/>
        <v>45860.6439</v>
      </c>
      <c r="P3089" s="47" t="b">
        <v>0</v>
      </c>
      <c r="Q3089" s="36" t="str">
        <f t="shared" si="24"/>
        <v/>
      </c>
      <c r="R3089" s="47" t="b">
        <v>0</v>
      </c>
      <c r="S3089" s="42" t="str">
        <f t="shared" si="28"/>
        <v/>
      </c>
      <c r="T3089" s="42"/>
    </row>
    <row r="3090" ht="22.5" customHeight="1">
      <c r="B3090" s="42">
        <f t="shared" si="7"/>
        <v>3084</v>
      </c>
      <c r="C3090" s="31" t="s">
        <v>3156</v>
      </c>
      <c r="D3090" s="34" t="str">
        <f t="array" ref="D3090">IFNA(_xlfn.XLOOKUP(C3090,Table_Tarikan_Warkah[Nomor Sertipikat],Table_Tarikan_Warkah[Nomor Tiket]),"")</f>
        <v>L/13/140725/1</v>
      </c>
      <c r="E3090" s="36">
        <f t="array" ref="E3090">IFNA(_xlfn.XLOOKUP(D3090,Table_Tarikan_Warkah[Nomor Tiket],Table_Tarikan_Warkah[Tanggal diserahkan kepada Validator]),"")</f>
        <v>45883.49327</v>
      </c>
      <c r="F3090" s="36" t="str">
        <f t="array" ref="F3090">IFNA(_xlfn.XLOOKUP(D3090,Table_Tarikan_Warkah[Nomor Tiket],Table_Tarikan_Warkah[Nama Petugas Warkah]),"")</f>
        <v>David</v>
      </c>
      <c r="G3090" s="39" t="str">
        <f t="array" ref="G3090">IFNA(_xlfn.XLOOKUP(D3090,Table_Tarikan_Warkah[Nomor Tiket],Table_Tarikan_Warkah[Jenis Permohonan]),"")</f>
        <v>ROYA</v>
      </c>
      <c r="H3090" s="41" t="s">
        <v>2315</v>
      </c>
      <c r="I3090" s="49" t="s">
        <v>23</v>
      </c>
      <c r="J3090" s="36">
        <f t="shared" si="20"/>
        <v>45860.48406</v>
      </c>
      <c r="K3090" s="49" t="s">
        <v>2378</v>
      </c>
      <c r="L3090" s="49" t="s">
        <v>23</v>
      </c>
      <c r="M3090" s="36">
        <f t="shared" si="33"/>
        <v>45860.64378</v>
      </c>
      <c r="N3090" s="30" t="str">
        <f t="shared" si="34"/>
        <v>Selesai</v>
      </c>
      <c r="O3090" s="45">
        <f t="shared" si="23"/>
        <v>45860.64378</v>
      </c>
      <c r="P3090" s="47" t="b">
        <v>0</v>
      </c>
      <c r="Q3090" s="36" t="str">
        <f t="shared" si="24"/>
        <v/>
      </c>
      <c r="R3090" s="47" t="b">
        <v>0</v>
      </c>
      <c r="S3090" s="42" t="str">
        <f t="shared" si="28"/>
        <v/>
      </c>
      <c r="T3090" s="42"/>
    </row>
    <row r="3091" ht="22.5" customHeight="1">
      <c r="B3091" s="42">
        <f t="shared" si="7"/>
        <v>3085</v>
      </c>
      <c r="C3091" s="31" t="s">
        <v>3157</v>
      </c>
      <c r="D3091" s="34" t="str">
        <f t="array" ref="D3091">IFNA(_xlfn.XLOOKUP(C3091,Table_Tarikan_Warkah[Nomor Sertipikat],Table_Tarikan_Warkah[Nomor Tiket]),"")</f>
        <v>L/33/110725/1</v>
      </c>
      <c r="E3091" s="36">
        <f t="array" ref="E3091">IFNA(_xlfn.XLOOKUP(D3091,Table_Tarikan_Warkah[Nomor Tiket],Table_Tarikan_Warkah[Tanggal diserahkan kepada Validator]),"")</f>
        <v>45883.49299</v>
      </c>
      <c r="F3091" s="36" t="str">
        <f t="array" ref="F3091">IFNA(_xlfn.XLOOKUP(D3091,Table_Tarikan_Warkah[Nomor Tiket],Table_Tarikan_Warkah[Nama Petugas Warkah]),"")</f>
        <v>David</v>
      </c>
      <c r="G3091" s="39" t="str">
        <f t="array" ref="G3091">IFNA(_xlfn.XLOOKUP(D3091,Table_Tarikan_Warkah[Nomor Tiket],Table_Tarikan_Warkah[Jenis Permohonan]),"")</f>
        <v>ROYA</v>
      </c>
      <c r="H3091" s="41" t="s">
        <v>2315</v>
      </c>
      <c r="I3091" s="49" t="s">
        <v>23</v>
      </c>
      <c r="J3091" s="36">
        <f t="shared" si="20"/>
        <v>45860.48422</v>
      </c>
      <c r="K3091" s="49" t="s">
        <v>2378</v>
      </c>
      <c r="L3091" s="49" t="s">
        <v>23</v>
      </c>
      <c r="M3091" s="36">
        <f t="shared" si="33"/>
        <v>45861.42875</v>
      </c>
      <c r="N3091" s="30" t="str">
        <f t="shared" si="34"/>
        <v>Selesai</v>
      </c>
      <c r="O3091" s="45">
        <f t="shared" si="23"/>
        <v>45861.42875</v>
      </c>
      <c r="P3091" s="47" t="b">
        <v>0</v>
      </c>
      <c r="Q3091" s="36" t="str">
        <f t="shared" si="24"/>
        <v/>
      </c>
      <c r="R3091" s="47" t="b">
        <v>0</v>
      </c>
      <c r="S3091" s="42" t="str">
        <f t="shared" si="28"/>
        <v/>
      </c>
      <c r="T3091" s="42"/>
    </row>
    <row r="3092" ht="22.5" customHeight="1">
      <c r="B3092" s="42">
        <f t="shared" si="7"/>
        <v>3086</v>
      </c>
      <c r="C3092" s="31" t="s">
        <v>3158</v>
      </c>
      <c r="D3092" s="34" t="str">
        <f t="array" ref="D3092">IFNA(_xlfn.XLOOKUP(C3092,Table_Tarikan_Warkah[Nomor Sertipikat],Table_Tarikan_Warkah[Nomor Tiket]),"")</f>
        <v>L/47/140725/1</v>
      </c>
      <c r="E3092" s="36">
        <f t="array" ref="E3092">IFNA(_xlfn.XLOOKUP(D3092,Table_Tarikan_Warkah[Nomor Tiket],Table_Tarikan_Warkah[Tanggal diserahkan kepada Validator]),"")</f>
        <v>45891.59063</v>
      </c>
      <c r="F3092" s="36" t="str">
        <f t="array" ref="F3092">IFNA(_xlfn.XLOOKUP(D3092,Table_Tarikan_Warkah[Nomor Tiket],Table_Tarikan_Warkah[Nama Petugas Warkah]),"")</f>
        <v>Berry</v>
      </c>
      <c r="G3092" s="39" t="str">
        <f t="array" ref="G3092">IFNA(_xlfn.XLOOKUP(D3092,Table_Tarikan_Warkah[Nomor Tiket],Table_Tarikan_Warkah[Jenis Permohonan]),"")</f>
        <v>ROYA</v>
      </c>
      <c r="H3092" s="41" t="s">
        <v>2315</v>
      </c>
      <c r="I3092" s="49" t="s">
        <v>23</v>
      </c>
      <c r="J3092" s="36">
        <f t="shared" si="20"/>
        <v>45860.4844</v>
      </c>
      <c r="K3092" s="49" t="s">
        <v>2378</v>
      </c>
      <c r="L3092" s="49" t="s">
        <v>23</v>
      </c>
      <c r="M3092" s="36">
        <f t="shared" si="33"/>
        <v>45860.64303</v>
      </c>
      <c r="N3092" s="30" t="str">
        <f t="shared" si="34"/>
        <v>Selesai</v>
      </c>
      <c r="O3092" s="45">
        <f t="shared" si="23"/>
        <v>45860.64303</v>
      </c>
      <c r="P3092" s="47" t="b">
        <v>0</v>
      </c>
      <c r="Q3092" s="36" t="str">
        <f t="shared" si="24"/>
        <v/>
      </c>
      <c r="R3092" s="47" t="b">
        <v>0</v>
      </c>
      <c r="S3092" s="42" t="str">
        <f t="shared" si="28"/>
        <v/>
      </c>
      <c r="T3092" s="42"/>
    </row>
    <row r="3093" ht="22.5" customHeight="1">
      <c r="B3093" s="42">
        <f t="shared" si="7"/>
        <v>3087</v>
      </c>
      <c r="C3093" s="31" t="s">
        <v>3159</v>
      </c>
      <c r="D3093" s="34" t="str">
        <f t="array" ref="D3093">IFNA(_xlfn.XLOOKUP(C3093,Table_Tarikan_Warkah[Nomor Sertipikat],Table_Tarikan_Warkah[Nomor Tiket]),"")</f>
        <v>L/2/030725/1</v>
      </c>
      <c r="E3093" s="36">
        <f t="array" ref="E3093">IFNA(_xlfn.XLOOKUP(D3093,Table_Tarikan_Warkah[Nomor Tiket],Table_Tarikan_Warkah[Tanggal diserahkan kepada Validator]),"")</f>
        <v>45860.66252</v>
      </c>
      <c r="F3093" s="36" t="str">
        <f t="array" ref="F3093">IFNA(_xlfn.XLOOKUP(D3093,Table_Tarikan_Warkah[Nomor Tiket],Table_Tarikan_Warkah[Nama Petugas Warkah]),"")</f>
        <v>Berry</v>
      </c>
      <c r="G3093" s="39" t="str">
        <f t="array" ref="G3093">IFNA(_xlfn.XLOOKUP(D3093,Table_Tarikan_Warkah[Nomor Tiket],Table_Tarikan_Warkah[Jenis Permohonan]),"")</f>
        <v>BN PUTUSAN PENGADILAN</v>
      </c>
      <c r="H3093" s="41" t="s">
        <v>920</v>
      </c>
      <c r="I3093" s="49" t="s">
        <v>23</v>
      </c>
      <c r="J3093" s="36">
        <f t="shared" si="20"/>
        <v>45860.48552</v>
      </c>
      <c r="K3093" s="49" t="s">
        <v>920</v>
      </c>
      <c r="L3093" s="49" t="s">
        <v>23</v>
      </c>
      <c r="M3093" s="36">
        <f t="shared" si="33"/>
        <v>45860.48558</v>
      </c>
      <c r="N3093" s="30" t="str">
        <f t="shared" si="34"/>
        <v>Selesai</v>
      </c>
      <c r="O3093" s="45">
        <f t="shared" si="23"/>
        <v>45860.48558</v>
      </c>
      <c r="P3093" s="47" t="b">
        <v>1</v>
      </c>
      <c r="Q3093" s="36">
        <f t="shared" si="24"/>
        <v>45860.48559</v>
      </c>
      <c r="R3093" s="47" t="b">
        <v>0</v>
      </c>
      <c r="S3093" s="42" t="str">
        <f t="shared" si="28"/>
        <v/>
      </c>
      <c r="T3093" s="42"/>
    </row>
    <row r="3094" ht="22.5" customHeight="1">
      <c r="B3094" s="42">
        <f t="shared" si="7"/>
        <v>3088</v>
      </c>
      <c r="C3094" s="31" t="s">
        <v>3125</v>
      </c>
      <c r="D3094" s="34" t="str">
        <f t="array" ref="D3094">IFNA(_xlfn.XLOOKUP(C3094,Table_Tarikan_Warkah[Nomor Sertipikat],Table_Tarikan_Warkah[Nomor Tiket]),"")</f>
        <v>K/27/220125/1</v>
      </c>
      <c r="E3094" s="36" t="str">
        <f t="array" ref="E3094">IFNA(_xlfn.XLOOKUP(D3094,Table_Tarikan_Warkah[Nomor Tiket],Table_Tarikan_Warkah[Tanggal diserahkan kepada Validator]),"")</f>
        <v/>
      </c>
      <c r="F3094" s="36" t="str">
        <f t="array" ref="F3094">IFNA(_xlfn.XLOOKUP(D3094,Table_Tarikan_Warkah[Nomor Tiket],Table_Tarikan_Warkah[Nama Petugas Warkah]),"")</f>
        <v>David</v>
      </c>
      <c r="G3094" s="39" t="str">
        <f t="array" ref="G3094">IFNA(_xlfn.XLOOKUP(D3094,Table_Tarikan_Warkah[Nomor Tiket],Table_Tarikan_Warkah[Jenis Permohonan]),"")</f>
        <v>KEWARISAN</v>
      </c>
      <c r="H3094" s="41" t="s">
        <v>920</v>
      </c>
      <c r="I3094" s="49" t="s">
        <v>23</v>
      </c>
      <c r="J3094" s="36">
        <f t="shared" si="20"/>
        <v>45860.48576</v>
      </c>
      <c r="K3094" s="49" t="s">
        <v>920</v>
      </c>
      <c r="L3094" s="49" t="s">
        <v>23</v>
      </c>
      <c r="M3094" s="36">
        <f t="shared" si="33"/>
        <v>45860.48576</v>
      </c>
      <c r="N3094" s="30" t="str">
        <f t="shared" si="34"/>
        <v>Selesai</v>
      </c>
      <c r="O3094" s="45">
        <f t="shared" si="23"/>
        <v>45860.48576</v>
      </c>
      <c r="P3094" s="47" t="b">
        <v>1</v>
      </c>
      <c r="Q3094" s="36">
        <f t="shared" si="24"/>
        <v>45860.4858</v>
      </c>
      <c r="R3094" s="47" t="b">
        <v>0</v>
      </c>
      <c r="S3094" s="42" t="str">
        <f t="shared" si="28"/>
        <v/>
      </c>
      <c r="T3094" s="42"/>
    </row>
    <row r="3095" ht="22.5" customHeight="1">
      <c r="B3095" s="42">
        <f t="shared" si="7"/>
        <v>3089</v>
      </c>
      <c r="C3095" s="31" t="s">
        <v>2836</v>
      </c>
      <c r="D3095" s="34" t="str">
        <f t="array" ref="D3095">IFNA(_xlfn.XLOOKUP(C3095,Table_Tarikan_Warkah[Nomor Sertipikat],Table_Tarikan_Warkah[Nomor Tiket]),"")</f>
        <v>K/3/240625/1</v>
      </c>
      <c r="E3095" s="36">
        <f t="array" ref="E3095">IFNA(_xlfn.XLOOKUP(D3095,Table_Tarikan_Warkah[Nomor Tiket],Table_Tarikan_Warkah[Tanggal diserahkan kepada Validator]),"")</f>
        <v>45859.61708</v>
      </c>
      <c r="F3095" s="36" t="str">
        <f t="array" ref="F3095">IFNA(_xlfn.XLOOKUP(D3095,Table_Tarikan_Warkah[Nomor Tiket],Table_Tarikan_Warkah[Nama Petugas Warkah]),"")</f>
        <v>Berry</v>
      </c>
      <c r="G3095" s="39" t="str">
        <f t="array" ref="G3095">IFNA(_xlfn.XLOOKUP(D3095,Table_Tarikan_Warkah[Nomor Tiket],Table_Tarikan_Warkah[Jenis Permohonan]),"")</f>
        <v>BN WARIS</v>
      </c>
      <c r="H3095" s="41" t="s">
        <v>920</v>
      </c>
      <c r="I3095" s="49" t="s">
        <v>23</v>
      </c>
      <c r="J3095" s="36">
        <f t="shared" si="20"/>
        <v>45860.48596</v>
      </c>
      <c r="K3095" s="49" t="s">
        <v>920</v>
      </c>
      <c r="L3095" s="49" t="s">
        <v>23</v>
      </c>
      <c r="M3095" s="36">
        <f t="shared" si="33"/>
        <v>45860.48596</v>
      </c>
      <c r="N3095" s="30" t="str">
        <f t="shared" si="34"/>
        <v>Selesai</v>
      </c>
      <c r="O3095" s="45">
        <f t="shared" si="23"/>
        <v>45860.48596</v>
      </c>
      <c r="P3095" s="47" t="b">
        <v>1</v>
      </c>
      <c r="Q3095" s="36">
        <f t="shared" si="24"/>
        <v>45860.486</v>
      </c>
      <c r="R3095" s="47" t="b">
        <v>0</v>
      </c>
      <c r="S3095" s="42" t="str">
        <f t="shared" si="28"/>
        <v/>
      </c>
      <c r="T3095" s="42"/>
    </row>
    <row r="3096" ht="22.5" customHeight="1">
      <c r="B3096" s="42">
        <f t="shared" si="7"/>
        <v>3090</v>
      </c>
      <c r="C3096" s="31" t="s">
        <v>3160</v>
      </c>
      <c r="D3096" s="34" t="str">
        <f t="array" ref="D3096">IFNA(_xlfn.XLOOKUP(C3096,Table_Tarikan_Warkah[Nomor Sertipikat],Table_Tarikan_Warkah[Nomor Tiket]),"")</f>
        <v>L/21/140725/1</v>
      </c>
      <c r="E3096" s="36">
        <f t="array" ref="E3096">IFNA(_xlfn.XLOOKUP(D3096,Table_Tarikan_Warkah[Nomor Tiket],Table_Tarikan_Warkah[Tanggal diserahkan kepada Validator]),"")</f>
        <v>45874.68697</v>
      </c>
      <c r="F3096" s="36" t="str">
        <f t="array" ref="F3096">IFNA(_xlfn.XLOOKUP(D3096,Table_Tarikan_Warkah[Nomor Tiket],Table_Tarikan_Warkah[Nama Petugas Warkah]),"")</f>
        <v>David</v>
      </c>
      <c r="G3096" s="39" t="str">
        <f t="array" ref="G3096">IFNA(_xlfn.XLOOKUP(D3096,Table_Tarikan_Warkah[Nomor Tiket],Table_Tarikan_Warkah[Jenis Permohonan]),"")</f>
        <v>ROYA</v>
      </c>
      <c r="H3096" s="41" t="s">
        <v>2315</v>
      </c>
      <c r="I3096" s="49" t="s">
        <v>23</v>
      </c>
      <c r="J3096" s="36">
        <f t="shared" si="20"/>
        <v>45862.36599</v>
      </c>
      <c r="K3096" s="49" t="s">
        <v>2378</v>
      </c>
      <c r="L3096" s="49" t="s">
        <v>23</v>
      </c>
      <c r="M3096" s="36">
        <f t="shared" si="33"/>
        <v>45862.64993</v>
      </c>
      <c r="N3096" s="30" t="str">
        <f t="shared" si="34"/>
        <v>Selesai</v>
      </c>
      <c r="O3096" s="45">
        <f t="shared" si="23"/>
        <v>45862.64993</v>
      </c>
      <c r="P3096" s="47" t="b">
        <v>0</v>
      </c>
      <c r="Q3096" s="36" t="str">
        <f t="shared" si="24"/>
        <v/>
      </c>
      <c r="R3096" s="47" t="b">
        <v>0</v>
      </c>
      <c r="S3096" s="42" t="str">
        <f t="shared" si="28"/>
        <v/>
      </c>
      <c r="T3096" s="42"/>
    </row>
    <row r="3097" ht="22.5" customHeight="1">
      <c r="B3097" s="42">
        <f t="shared" si="7"/>
        <v>3091</v>
      </c>
      <c r="C3097" s="31" t="s">
        <v>3161</v>
      </c>
      <c r="D3097" s="34" t="str">
        <f t="array" ref="D3097">IFNA(_xlfn.XLOOKUP(C3097,Table_Tarikan_Warkah[Nomor Sertipikat],Table_Tarikan_Warkah[Nomor Tiket]),"")</f>
        <v>L/4/170725/1</v>
      </c>
      <c r="E3097" s="36">
        <f t="array" ref="E3097">IFNA(_xlfn.XLOOKUP(D3097,Table_Tarikan_Warkah[Nomor Tiket],Table_Tarikan_Warkah[Tanggal diserahkan kepada Validator]),"")</f>
        <v>45891.59037</v>
      </c>
      <c r="F3097" s="36" t="str">
        <f t="array" ref="F3097">IFNA(_xlfn.XLOOKUP(D3097,Table_Tarikan_Warkah[Nomor Tiket],Table_Tarikan_Warkah[Nama Petugas Warkah]),"")</f>
        <v>Berry</v>
      </c>
      <c r="G3097" s="39" t="str">
        <f t="array" ref="G3097">IFNA(_xlfn.XLOOKUP(D3097,Table_Tarikan_Warkah[Nomor Tiket],Table_Tarikan_Warkah[Jenis Permohonan]),"")</f>
        <v>ROYA</v>
      </c>
      <c r="H3097" s="41" t="s">
        <v>2315</v>
      </c>
      <c r="I3097" s="49" t="s">
        <v>23</v>
      </c>
      <c r="J3097" s="36">
        <f t="shared" si="20"/>
        <v>45862.3661</v>
      </c>
      <c r="K3097" s="49" t="s">
        <v>2378</v>
      </c>
      <c r="L3097" s="49" t="s">
        <v>23</v>
      </c>
      <c r="M3097" s="36">
        <f t="shared" si="33"/>
        <v>45862.6502</v>
      </c>
      <c r="N3097" s="30" t="str">
        <f t="shared" si="34"/>
        <v>Selesai</v>
      </c>
      <c r="O3097" s="45">
        <f t="shared" si="23"/>
        <v>45862.6502</v>
      </c>
      <c r="P3097" s="47" t="b">
        <v>0</v>
      </c>
      <c r="Q3097" s="36" t="str">
        <f t="shared" si="24"/>
        <v/>
      </c>
      <c r="R3097" s="47" t="b">
        <v>0</v>
      </c>
      <c r="S3097" s="42" t="str">
        <f t="shared" si="28"/>
        <v/>
      </c>
      <c r="T3097" s="42"/>
    </row>
    <row r="3098" ht="22.5" customHeight="1">
      <c r="B3098" s="42">
        <f t="shared" si="7"/>
        <v>3092</v>
      </c>
      <c r="C3098" s="31" t="s">
        <v>3162</v>
      </c>
      <c r="D3098" s="34" t="str">
        <f t="array" ref="D3098">IFNA(_xlfn.XLOOKUP(C3098,Table_Tarikan_Warkah[Nomor Sertipikat],Table_Tarikan_Warkah[Nomor Tiket]),"")</f>
        <v>L/22/160725/1</v>
      </c>
      <c r="E3098" s="36">
        <f t="array" ref="E3098">IFNA(_xlfn.XLOOKUP(D3098,Table_Tarikan_Warkah[Nomor Tiket],Table_Tarikan_Warkah[Tanggal diserahkan kepada Validator]),"")</f>
        <v>45883.49349</v>
      </c>
      <c r="F3098" s="36" t="str">
        <f t="array" ref="F3098">IFNA(_xlfn.XLOOKUP(D3098,Table_Tarikan_Warkah[Nomor Tiket],Table_Tarikan_Warkah[Nama Petugas Warkah]),"")</f>
        <v>David</v>
      </c>
      <c r="G3098" s="39" t="str">
        <f t="array" ref="G3098">IFNA(_xlfn.XLOOKUP(D3098,Table_Tarikan_Warkah[Nomor Tiket],Table_Tarikan_Warkah[Jenis Permohonan]),"")</f>
        <v>ROYA</v>
      </c>
      <c r="H3098" s="41" t="s">
        <v>2315</v>
      </c>
      <c r="I3098" s="49" t="s">
        <v>23</v>
      </c>
      <c r="J3098" s="36">
        <f t="shared" si="20"/>
        <v>45862.36626</v>
      </c>
      <c r="K3098" s="49" t="s">
        <v>2378</v>
      </c>
      <c r="L3098" s="49" t="s">
        <v>23</v>
      </c>
      <c r="M3098" s="36">
        <f t="shared" si="33"/>
        <v>45862.64965</v>
      </c>
      <c r="N3098" s="30" t="str">
        <f t="shared" si="34"/>
        <v>Selesai</v>
      </c>
      <c r="O3098" s="45">
        <f t="shared" si="23"/>
        <v>45862.64965</v>
      </c>
      <c r="P3098" s="47" t="b">
        <v>0</v>
      </c>
      <c r="Q3098" s="36" t="str">
        <f t="shared" si="24"/>
        <v/>
      </c>
      <c r="R3098" s="47" t="b">
        <v>0</v>
      </c>
      <c r="S3098" s="42" t="str">
        <f t="shared" si="28"/>
        <v/>
      </c>
      <c r="T3098" s="42"/>
    </row>
    <row r="3099" ht="22.5" customHeight="1">
      <c r="B3099" s="42">
        <f t="shared" si="7"/>
        <v>3093</v>
      </c>
      <c r="C3099" s="31" t="s">
        <v>3163</v>
      </c>
      <c r="D3099" s="34" t="str">
        <f t="array" ref="D3099">IFNA(_xlfn.XLOOKUP(C3099,Table_Tarikan_Warkah[Nomor Sertipikat],Table_Tarikan_Warkah[Nomor Tiket]),"")</f>
        <v>K/4/150725/1</v>
      </c>
      <c r="E3099" s="36">
        <f t="array" ref="E3099">IFNA(_xlfn.XLOOKUP(D3099,Table_Tarikan_Warkah[Nomor Tiket],Table_Tarikan_Warkah[Tanggal diserahkan kepada Validator]),"")</f>
        <v>45863.60553</v>
      </c>
      <c r="F3099" s="36" t="str">
        <f t="array" ref="F3099">IFNA(_xlfn.XLOOKUP(D3099,Table_Tarikan_Warkah[Nomor Tiket],Table_Tarikan_Warkah[Nama Petugas Warkah]),"")</f>
        <v>David</v>
      </c>
      <c r="G3099" s="39" t="str">
        <f t="array" ref="G3099">IFNA(_xlfn.XLOOKUP(D3099,Table_Tarikan_Warkah[Nomor Tiket],Table_Tarikan_Warkah[Jenis Permohonan]),"")</f>
        <v>BN JUAL BELI</v>
      </c>
      <c r="H3099" s="41" t="s">
        <v>2315</v>
      </c>
      <c r="I3099" s="49" t="s">
        <v>23</v>
      </c>
      <c r="J3099" s="36">
        <f t="shared" si="20"/>
        <v>45862.42107</v>
      </c>
      <c r="K3099" s="49" t="s">
        <v>2378</v>
      </c>
      <c r="L3099" s="49" t="s">
        <v>23</v>
      </c>
      <c r="M3099" s="36">
        <f t="shared" si="33"/>
        <v>45862.64871</v>
      </c>
      <c r="N3099" s="30" t="str">
        <f t="shared" si="34"/>
        <v>Selesai</v>
      </c>
      <c r="O3099" s="45">
        <f t="shared" si="23"/>
        <v>45862.64871</v>
      </c>
      <c r="P3099" s="47" t="b">
        <v>0</v>
      </c>
      <c r="Q3099" s="36" t="str">
        <f t="shared" si="24"/>
        <v/>
      </c>
      <c r="R3099" s="47" t="b">
        <v>0</v>
      </c>
      <c r="S3099" s="42" t="str">
        <f t="shared" si="28"/>
        <v/>
      </c>
      <c r="T3099" s="42"/>
    </row>
    <row r="3100" ht="22.5" customHeight="1">
      <c r="B3100" s="42">
        <f t="shared" si="7"/>
        <v>3094</v>
      </c>
      <c r="C3100" s="31" t="s">
        <v>3164</v>
      </c>
      <c r="D3100" s="34" t="str">
        <f t="array" ref="D3100">IFNA(_xlfn.XLOOKUP(C3100,Table_Tarikan_Warkah[Nomor Sertipikat],Table_Tarikan_Warkah[Nomor Tiket]),"")</f>
        <v>K/7/300625/1</v>
      </c>
      <c r="E3100" s="36">
        <f t="array" ref="E3100">IFNA(_xlfn.XLOOKUP(D3100,Table_Tarikan_Warkah[Nomor Tiket],Table_Tarikan_Warkah[Tanggal diserahkan kepada Validator]),"")</f>
        <v>45863.60566</v>
      </c>
      <c r="F3100" s="36" t="str">
        <f t="array" ref="F3100">IFNA(_xlfn.XLOOKUP(D3100,Table_Tarikan_Warkah[Nomor Tiket],Table_Tarikan_Warkah[Nama Petugas Warkah]),"")</f>
        <v>David</v>
      </c>
      <c r="G3100" s="39" t="str">
        <f t="array" ref="G3100">IFNA(_xlfn.XLOOKUP(D3100,Table_Tarikan_Warkah[Nomor Tiket],Table_Tarikan_Warkah[Jenis Permohonan]),"")</f>
        <v>BN JUAL BELI </v>
      </c>
      <c r="H3100" s="41" t="s">
        <v>2315</v>
      </c>
      <c r="I3100" s="49" t="s">
        <v>23</v>
      </c>
      <c r="J3100" s="36">
        <f t="shared" si="20"/>
        <v>45862.42118</v>
      </c>
      <c r="K3100" s="49" t="s">
        <v>2378</v>
      </c>
      <c r="L3100" s="49" t="s">
        <v>23</v>
      </c>
      <c r="M3100" s="36">
        <f t="shared" si="33"/>
        <v>45862.64948</v>
      </c>
      <c r="N3100" s="30" t="str">
        <f t="shared" si="34"/>
        <v>Selesai</v>
      </c>
      <c r="O3100" s="45">
        <f t="shared" si="23"/>
        <v>45862.64948</v>
      </c>
      <c r="P3100" s="47" t="b">
        <v>0</v>
      </c>
      <c r="Q3100" s="36" t="str">
        <f t="shared" si="24"/>
        <v/>
      </c>
      <c r="R3100" s="47" t="b">
        <v>0</v>
      </c>
      <c r="S3100" s="42" t="str">
        <f t="shared" si="28"/>
        <v/>
      </c>
      <c r="T3100" s="42"/>
    </row>
    <row r="3101" ht="22.5" customHeight="1">
      <c r="B3101" s="42">
        <f t="shared" si="7"/>
        <v>3095</v>
      </c>
      <c r="C3101" s="31" t="s">
        <v>3165</v>
      </c>
      <c r="D3101" s="34" t="str">
        <f t="array" ref="D3101">IFNA(_xlfn.XLOOKUP(C3101,Table_Tarikan_Warkah[Nomor Sertipikat],Table_Tarikan_Warkah[Nomor Tiket]),"")</f>
        <v>K/41/140725/1</v>
      </c>
      <c r="E3101" s="36">
        <f t="array" ref="E3101">IFNA(_xlfn.XLOOKUP(D3101,Table_Tarikan_Warkah[Nomor Tiket],Table_Tarikan_Warkah[Tanggal diserahkan kepada Validator]),"")</f>
        <v>45863.60619</v>
      </c>
      <c r="F3101" s="36" t="str">
        <f t="array" ref="F3101">IFNA(_xlfn.XLOOKUP(D3101,Table_Tarikan_Warkah[Nomor Tiket],Table_Tarikan_Warkah[Nama Petugas Warkah]),"")</f>
        <v>David</v>
      </c>
      <c r="G3101" s="39" t="str">
        <f t="array" ref="G3101">IFNA(_xlfn.XLOOKUP(D3101,Table_Tarikan_Warkah[Nomor Tiket],Table_Tarikan_Warkah[Jenis Permohonan]),"")</f>
        <v>BN JUAL BELI</v>
      </c>
      <c r="H3101" s="41" t="s">
        <v>2315</v>
      </c>
      <c r="I3101" s="49" t="s">
        <v>23</v>
      </c>
      <c r="J3101" s="36">
        <f t="shared" si="20"/>
        <v>45862.4213</v>
      </c>
      <c r="K3101" s="49" t="s">
        <v>2378</v>
      </c>
      <c r="L3101" s="49" t="s">
        <v>23</v>
      </c>
      <c r="M3101" s="36">
        <f t="shared" si="33"/>
        <v>45862.64906</v>
      </c>
      <c r="N3101" s="30" t="str">
        <f t="shared" si="34"/>
        <v>Selesai</v>
      </c>
      <c r="O3101" s="45">
        <f t="shared" si="23"/>
        <v>45862.64906</v>
      </c>
      <c r="P3101" s="47" t="b">
        <v>0</v>
      </c>
      <c r="Q3101" s="36" t="str">
        <f t="shared" si="24"/>
        <v/>
      </c>
      <c r="R3101" s="47" t="b">
        <v>0</v>
      </c>
      <c r="S3101" s="42" t="str">
        <f t="shared" si="28"/>
        <v/>
      </c>
      <c r="T3101" s="42"/>
    </row>
    <row r="3102" ht="22.5" customHeight="1">
      <c r="B3102" s="42">
        <f t="shared" si="7"/>
        <v>3096</v>
      </c>
      <c r="C3102" s="31" t="s">
        <v>3166</v>
      </c>
      <c r="D3102" s="34" t="str">
        <f t="array" ref="D3102">IFNA(_xlfn.XLOOKUP(C3102,Table_Tarikan_Warkah[Nomor Sertipikat],Table_Tarikan_Warkah[Nomor Tiket]),"")</f>
        <v>K/33/070725/1</v>
      </c>
      <c r="E3102" s="36" t="str">
        <f t="array" ref="E3102">IFNA(_xlfn.XLOOKUP(D3102,Table_Tarikan_Warkah[Nomor Tiket],Table_Tarikan_Warkah[Tanggal diserahkan kepada Validator]),"")</f>
        <v/>
      </c>
      <c r="F3102" s="36" t="str">
        <f t="array" ref="F3102">IFNA(_xlfn.XLOOKUP(D3102,Table_Tarikan_Warkah[Nomor Tiket],Table_Tarikan_Warkah[Nama Petugas Warkah]),"")</f>
        <v/>
      </c>
      <c r="G3102" s="39" t="str">
        <f t="array" ref="G3102">IFNA(_xlfn.XLOOKUP(D3102,Table_Tarikan_Warkah[Nomor Tiket],Table_Tarikan_Warkah[Jenis Permohonan]),"")</f>
        <v>PERUBAHAN HAK</v>
      </c>
      <c r="H3102" s="41" t="s">
        <v>2315</v>
      </c>
      <c r="I3102" s="49" t="s">
        <v>23</v>
      </c>
      <c r="J3102" s="36">
        <f t="shared" si="20"/>
        <v>45862.42146</v>
      </c>
      <c r="K3102" s="49" t="s">
        <v>2378</v>
      </c>
      <c r="L3102" s="49" t="s">
        <v>23</v>
      </c>
      <c r="M3102" s="36">
        <f t="shared" si="33"/>
        <v>45862.64939</v>
      </c>
      <c r="N3102" s="30" t="str">
        <f t="shared" si="34"/>
        <v>Selesai</v>
      </c>
      <c r="O3102" s="45">
        <f t="shared" si="23"/>
        <v>45862.64939</v>
      </c>
      <c r="P3102" s="47" t="b">
        <v>0</v>
      </c>
      <c r="Q3102" s="36" t="str">
        <f t="shared" si="24"/>
        <v/>
      </c>
      <c r="R3102" s="47" t="b">
        <v>0</v>
      </c>
      <c r="S3102" s="42" t="str">
        <f t="shared" si="28"/>
        <v/>
      </c>
      <c r="T3102" s="42"/>
    </row>
    <row r="3103" ht="22.5" customHeight="1">
      <c r="B3103" s="42">
        <f t="shared" si="7"/>
        <v>3097</v>
      </c>
      <c r="C3103" s="31" t="s">
        <v>3167</v>
      </c>
      <c r="D3103" s="34" t="str">
        <f t="array" ref="D3103">IFNA(_xlfn.XLOOKUP(C3103,Table_Tarikan_Warkah[Nomor Sertipikat],Table_Tarikan_Warkah[Nomor Tiket]),"")</f>
        <v>K/6/100725/1</v>
      </c>
      <c r="E3103" s="36">
        <f t="array" ref="E3103">IFNA(_xlfn.XLOOKUP(D3103,Table_Tarikan_Warkah[Nomor Tiket],Table_Tarikan_Warkah[Tanggal diserahkan kepada Validator]),"")</f>
        <v>45873.63569</v>
      </c>
      <c r="F3103" s="36" t="str">
        <f t="array" ref="F3103">IFNA(_xlfn.XLOOKUP(D3103,Table_Tarikan_Warkah[Nomor Tiket],Table_Tarikan_Warkah[Nama Petugas Warkah]),"")</f>
        <v>Berry</v>
      </c>
      <c r="G3103" s="39" t="str">
        <f t="array" ref="G3103">IFNA(_xlfn.XLOOKUP(D3103,Table_Tarikan_Warkah[Nomor Tiket],Table_Tarikan_Warkah[Jenis Permohonan]),"")</f>
        <v>ROYA</v>
      </c>
      <c r="H3103" s="41" t="s">
        <v>2315</v>
      </c>
      <c r="I3103" s="49" t="s">
        <v>23</v>
      </c>
      <c r="J3103" s="36">
        <f t="shared" si="20"/>
        <v>45862.42159</v>
      </c>
      <c r="K3103" s="49" t="s">
        <v>2378</v>
      </c>
      <c r="L3103" s="49" t="s">
        <v>23</v>
      </c>
      <c r="M3103" s="36">
        <f t="shared" si="33"/>
        <v>45862.64917</v>
      </c>
      <c r="N3103" s="30" t="str">
        <f t="shared" si="34"/>
        <v>Selesai</v>
      </c>
      <c r="O3103" s="45">
        <f t="shared" si="23"/>
        <v>45862.64917</v>
      </c>
      <c r="P3103" s="47" t="b">
        <v>0</v>
      </c>
      <c r="Q3103" s="36" t="str">
        <f t="shared" si="24"/>
        <v/>
      </c>
      <c r="R3103" s="47" t="b">
        <v>0</v>
      </c>
      <c r="S3103" s="42" t="str">
        <f t="shared" si="28"/>
        <v/>
      </c>
      <c r="T3103" s="42"/>
    </row>
    <row r="3104" ht="22.5" customHeight="1">
      <c r="B3104" s="42">
        <f t="shared" si="7"/>
        <v>3098</v>
      </c>
      <c r="C3104" s="31" t="s">
        <v>3168</v>
      </c>
      <c r="D3104" s="34" t="str">
        <f t="array" ref="D3104">IFNA(_xlfn.XLOOKUP(C3104,Table_Tarikan_Warkah[Nomor Sertipikat],Table_Tarikan_Warkah[Nomor Tiket]),"")</f>
        <v>K/7/150725/1</v>
      </c>
      <c r="E3104" s="36">
        <f t="array" ref="E3104">IFNA(_xlfn.XLOOKUP(D3104,Table_Tarikan_Warkah[Nomor Tiket],Table_Tarikan_Warkah[Tanggal diserahkan kepada Validator]),"")</f>
        <v>45863.60609</v>
      </c>
      <c r="F3104" s="36" t="str">
        <f t="array" ref="F3104">IFNA(_xlfn.XLOOKUP(D3104,Table_Tarikan_Warkah[Nomor Tiket],Table_Tarikan_Warkah[Nama Petugas Warkah]),"")</f>
        <v>David</v>
      </c>
      <c r="G3104" s="39" t="str">
        <f t="array" ref="G3104">IFNA(_xlfn.XLOOKUP(D3104,Table_Tarikan_Warkah[Nomor Tiket],Table_Tarikan_Warkah[Jenis Permohonan]),"")</f>
        <v>BN HIBAH</v>
      </c>
      <c r="H3104" s="41" t="s">
        <v>2315</v>
      </c>
      <c r="I3104" s="49" t="s">
        <v>23</v>
      </c>
      <c r="J3104" s="36">
        <f t="shared" si="20"/>
        <v>45862.42171</v>
      </c>
      <c r="K3104" s="49" t="s">
        <v>2378</v>
      </c>
      <c r="L3104" s="49" t="s">
        <v>23</v>
      </c>
      <c r="M3104" s="36">
        <f t="shared" si="33"/>
        <v>45862.64894</v>
      </c>
      <c r="N3104" s="30" t="str">
        <f t="shared" si="34"/>
        <v>Selesai</v>
      </c>
      <c r="O3104" s="45">
        <f t="shared" si="23"/>
        <v>45862.64894</v>
      </c>
      <c r="P3104" s="47" t="b">
        <v>0</v>
      </c>
      <c r="Q3104" s="36" t="str">
        <f t="shared" si="24"/>
        <v/>
      </c>
      <c r="R3104" s="47" t="b">
        <v>0</v>
      </c>
      <c r="S3104" s="42" t="str">
        <f t="shared" si="28"/>
        <v/>
      </c>
      <c r="T3104" s="42"/>
    </row>
    <row r="3105" ht="22.5" customHeight="1">
      <c r="B3105" s="42">
        <f t="shared" si="7"/>
        <v>3099</v>
      </c>
      <c r="C3105" s="31" t="s">
        <v>3169</v>
      </c>
      <c r="D3105" s="34" t="str">
        <f t="array" ref="D3105">IFNA(_xlfn.XLOOKUP(C3105,Table_Tarikan_Warkah[Nomor Sertipikat],Table_Tarikan_Warkah[Nomor Tiket]),"")</f>
        <v>K/7/210525/1</v>
      </c>
      <c r="E3105" s="36">
        <f t="array" ref="E3105">IFNA(_xlfn.XLOOKUP(D3105,Table_Tarikan_Warkah[Nomor Tiket],Table_Tarikan_Warkah[Tanggal diserahkan kepada Validator]),"")</f>
        <v>45863.6063</v>
      </c>
      <c r="F3105" s="36" t="str">
        <f t="array" ref="F3105">IFNA(_xlfn.XLOOKUP(D3105,Table_Tarikan_Warkah[Nomor Tiket],Table_Tarikan_Warkah[Nama Petugas Warkah]),"")</f>
        <v>David</v>
      </c>
      <c r="G3105" s="39" t="str">
        <f t="array" ref="G3105">IFNA(_xlfn.XLOOKUP(D3105,Table_Tarikan_Warkah[Nomor Tiket],Table_Tarikan_Warkah[Jenis Permohonan]),"")</f>
        <v>BN WARIS</v>
      </c>
      <c r="H3105" s="41" t="s">
        <v>2315</v>
      </c>
      <c r="I3105" s="49" t="s">
        <v>23</v>
      </c>
      <c r="J3105" s="36">
        <f t="shared" si="20"/>
        <v>45862.42183</v>
      </c>
      <c r="K3105" s="49" t="s">
        <v>2378</v>
      </c>
      <c r="L3105" s="49" t="s">
        <v>23</v>
      </c>
      <c r="M3105" s="36">
        <f t="shared" si="33"/>
        <v>45862.64926</v>
      </c>
      <c r="N3105" s="30" t="str">
        <f t="shared" si="34"/>
        <v>Selesai</v>
      </c>
      <c r="O3105" s="45">
        <f t="shared" si="23"/>
        <v>45862.64926</v>
      </c>
      <c r="P3105" s="47" t="b">
        <v>0</v>
      </c>
      <c r="Q3105" s="36" t="str">
        <f t="shared" si="24"/>
        <v/>
      </c>
      <c r="R3105" s="47" t="b">
        <v>0</v>
      </c>
      <c r="S3105" s="42" t="str">
        <f t="shared" si="28"/>
        <v/>
      </c>
      <c r="T3105" s="42"/>
    </row>
    <row r="3106" ht="22.5" customHeight="1">
      <c r="B3106" s="42">
        <f t="shared" si="7"/>
        <v>3100</v>
      </c>
      <c r="C3106" s="31" t="s">
        <v>3170</v>
      </c>
      <c r="D3106" s="34" t="str">
        <f t="array" ref="D3106">IFNA(_xlfn.XLOOKUP(C3106,Table_Tarikan_Warkah[Nomor Sertipikat],Table_Tarikan_Warkah[Nomor Tiket]),"")</f>
        <v>K/2/110725/1</v>
      </c>
      <c r="E3106" s="36">
        <f t="array" ref="E3106">IFNA(_xlfn.XLOOKUP(D3106,Table_Tarikan_Warkah[Nomor Tiket],Table_Tarikan_Warkah[Tanggal diserahkan kepada Validator]),"")</f>
        <v>45863.60597</v>
      </c>
      <c r="F3106" s="36" t="str">
        <f t="array" ref="F3106">IFNA(_xlfn.XLOOKUP(D3106,Table_Tarikan_Warkah[Nomor Tiket],Table_Tarikan_Warkah[Nama Petugas Warkah]),"")</f>
        <v>David</v>
      </c>
      <c r="G3106" s="39" t="str">
        <f t="array" ref="G3106">IFNA(_xlfn.XLOOKUP(D3106,Table_Tarikan_Warkah[Nomor Tiket],Table_Tarikan_Warkah[Jenis Permohonan]),"")</f>
        <v>BN JUAL BELI</v>
      </c>
      <c r="H3106" s="41" t="s">
        <v>2315</v>
      </c>
      <c r="I3106" s="49" t="s">
        <v>23</v>
      </c>
      <c r="J3106" s="36">
        <f t="shared" si="20"/>
        <v>45862.42196</v>
      </c>
      <c r="K3106" s="49" t="s">
        <v>2378</v>
      </c>
      <c r="L3106" s="49" t="s">
        <v>23</v>
      </c>
      <c r="M3106" s="36">
        <f t="shared" si="33"/>
        <v>45862.64882</v>
      </c>
      <c r="N3106" s="30" t="str">
        <f t="shared" si="34"/>
        <v>Selesai</v>
      </c>
      <c r="O3106" s="45">
        <f t="shared" si="23"/>
        <v>45862.64882</v>
      </c>
      <c r="P3106" s="47" t="b">
        <v>0</v>
      </c>
      <c r="Q3106" s="36" t="str">
        <f t="shared" si="24"/>
        <v/>
      </c>
      <c r="R3106" s="47" t="b">
        <v>0</v>
      </c>
      <c r="S3106" s="42" t="str">
        <f t="shared" si="28"/>
        <v/>
      </c>
      <c r="T3106" s="42"/>
    </row>
    <row r="3107" ht="22.5" customHeight="1">
      <c r="B3107" s="42">
        <f t="shared" si="7"/>
        <v>3101</v>
      </c>
      <c r="C3107" s="31" t="s">
        <v>3171</v>
      </c>
      <c r="D3107" s="34" t="str">
        <f t="array" ref="D3107">IFNA(_xlfn.XLOOKUP(C3107,Table_Tarikan_Warkah[Nomor Sertipikat],Table_Tarikan_Warkah[Nomor Tiket]),"")</f>
        <v>K/33/260625/1</v>
      </c>
      <c r="E3107" s="36">
        <f t="array" ref="E3107">IFNA(_xlfn.XLOOKUP(D3107,Table_Tarikan_Warkah[Nomor Tiket],Table_Tarikan_Warkah[Tanggal diserahkan kepada Validator]),"")</f>
        <v>45863.60578</v>
      </c>
      <c r="F3107" s="36" t="str">
        <f t="array" ref="F3107">IFNA(_xlfn.XLOOKUP(D3107,Table_Tarikan_Warkah[Nomor Tiket],Table_Tarikan_Warkah[Nama Petugas Warkah]),"")</f>
        <v>David</v>
      </c>
      <c r="G3107" s="39" t="str">
        <f t="array" ref="G3107">IFNA(_xlfn.XLOOKUP(D3107,Table_Tarikan_Warkah[Nomor Tiket],Table_Tarikan_Warkah[Jenis Permohonan]),"")</f>
        <v>BN JUAL BELI</v>
      </c>
      <c r="H3107" s="41" t="s">
        <v>2315</v>
      </c>
      <c r="I3107" s="49" t="s">
        <v>23</v>
      </c>
      <c r="J3107" s="36">
        <f t="shared" si="20"/>
        <v>45862.42208</v>
      </c>
      <c r="K3107" s="49" t="s">
        <v>2378</v>
      </c>
      <c r="L3107" s="49" t="s">
        <v>23</v>
      </c>
      <c r="M3107" s="36">
        <f t="shared" si="33"/>
        <v>45862.64862</v>
      </c>
      <c r="N3107" s="30" t="str">
        <f t="shared" si="34"/>
        <v>Selesai</v>
      </c>
      <c r="O3107" s="45">
        <f t="shared" si="23"/>
        <v>45862.64862</v>
      </c>
      <c r="P3107" s="47" t="b">
        <v>0</v>
      </c>
      <c r="Q3107" s="36" t="str">
        <f t="shared" si="24"/>
        <v/>
      </c>
      <c r="R3107" s="47" t="b">
        <v>0</v>
      </c>
      <c r="S3107" s="42" t="str">
        <f t="shared" si="28"/>
        <v/>
      </c>
      <c r="T3107" s="42"/>
    </row>
    <row r="3108" ht="22.5" customHeight="1">
      <c r="B3108" s="42">
        <f t="shared" si="7"/>
        <v>3102</v>
      </c>
      <c r="C3108" s="31" t="s">
        <v>3172</v>
      </c>
      <c r="D3108" s="34" t="str">
        <f t="array" ref="D3108">IFNA(_xlfn.XLOOKUP(C3108,Table_Tarikan_Warkah[Nomor Sertipikat],Table_Tarikan_Warkah[Nomor Tiket]),"")</f>
        <v>K/23/110725/1</v>
      </c>
      <c r="E3108" s="36" t="str">
        <f t="array" ref="E3108">IFNA(_xlfn.XLOOKUP(D3108,Table_Tarikan_Warkah[Nomor Tiket],Table_Tarikan_Warkah[Tanggal diserahkan kepada Validator]),"")</f>
        <v/>
      </c>
      <c r="F3108" s="36" t="str">
        <f t="array" ref="F3108">IFNA(_xlfn.XLOOKUP(D3108,Table_Tarikan_Warkah[Nomor Tiket],Table_Tarikan_Warkah[Nama Petugas Warkah]),"")</f>
        <v/>
      </c>
      <c r="G3108" s="39" t="str">
        <f t="array" ref="G3108">IFNA(_xlfn.XLOOKUP(D3108,Table_Tarikan_Warkah[Nomor Tiket],Table_Tarikan_Warkah[Jenis Permohonan]),"")</f>
        <v>BN Jual Beli</v>
      </c>
      <c r="H3108" s="41" t="s">
        <v>20</v>
      </c>
      <c r="I3108" s="49" t="s">
        <v>23</v>
      </c>
      <c r="J3108" s="36">
        <f t="shared" si="20"/>
        <v>45863.41061</v>
      </c>
      <c r="K3108" s="49" t="s">
        <v>2378</v>
      </c>
      <c r="L3108" s="49" t="s">
        <v>23</v>
      </c>
      <c r="M3108" s="36">
        <f t="shared" si="33"/>
        <v>45863.72502</v>
      </c>
      <c r="N3108" s="30" t="str">
        <f t="shared" si="34"/>
        <v>Selesai</v>
      </c>
      <c r="O3108" s="45">
        <f t="shared" si="23"/>
        <v>45863.72502</v>
      </c>
      <c r="P3108" s="47" t="b">
        <v>0</v>
      </c>
      <c r="Q3108" s="36" t="str">
        <f t="shared" si="24"/>
        <v/>
      </c>
      <c r="R3108" s="47" t="b">
        <v>0</v>
      </c>
      <c r="S3108" s="42" t="str">
        <f t="shared" si="28"/>
        <v/>
      </c>
      <c r="T3108" s="42"/>
    </row>
    <row r="3109" ht="22.5" customHeight="1">
      <c r="B3109" s="42">
        <f t="shared" si="7"/>
        <v>3103</v>
      </c>
      <c r="C3109" s="31" t="s">
        <v>3173</v>
      </c>
      <c r="D3109" s="34" t="str">
        <f t="array" ref="D3109">IFNA(_xlfn.XLOOKUP(C3109,Table_Tarikan_Warkah[Nomor Sertipikat],Table_Tarikan_Warkah[Nomor Tiket]),"")</f>
        <v>K/49/040725/3</v>
      </c>
      <c r="E3109" s="36">
        <f t="array" ref="E3109">IFNA(_xlfn.XLOOKUP(D3109,Table_Tarikan_Warkah[Nomor Tiket],Table_Tarikan_Warkah[Tanggal diserahkan kepada Validator]),"")</f>
        <v>45867.68469</v>
      </c>
      <c r="F3109" s="36" t="str">
        <f t="array" ref="F3109">IFNA(_xlfn.XLOOKUP(D3109,Table_Tarikan_Warkah[Nomor Tiket],Table_Tarikan_Warkah[Nama Petugas Warkah]),"")</f>
        <v>Berry</v>
      </c>
      <c r="G3109" s="39" t="str">
        <f t="array" ref="G3109">IFNA(_xlfn.XLOOKUP(D3109,Table_Tarikan_Warkah[Nomor Tiket],Table_Tarikan_Warkah[Jenis Permohonan]),"")</f>
        <v>BN Hiibah</v>
      </c>
      <c r="H3109" s="41" t="s">
        <v>20</v>
      </c>
      <c r="I3109" s="49" t="s">
        <v>23</v>
      </c>
      <c r="J3109" s="36">
        <f t="shared" si="20"/>
        <v>45863.41072</v>
      </c>
      <c r="K3109" s="49" t="s">
        <v>2378</v>
      </c>
      <c r="L3109" s="49" t="s">
        <v>23</v>
      </c>
      <c r="M3109" s="36">
        <f t="shared" si="33"/>
        <v>45863.72502</v>
      </c>
      <c r="N3109" s="30" t="str">
        <f t="shared" si="34"/>
        <v>Selesai</v>
      </c>
      <c r="O3109" s="45">
        <f t="shared" si="23"/>
        <v>45863.72502</v>
      </c>
      <c r="P3109" s="47" t="b">
        <v>0</v>
      </c>
      <c r="Q3109" s="36" t="str">
        <f t="shared" si="24"/>
        <v/>
      </c>
      <c r="R3109" s="47" t="b">
        <v>0</v>
      </c>
      <c r="S3109" s="42" t="str">
        <f t="shared" si="28"/>
        <v/>
      </c>
      <c r="T3109" s="42"/>
    </row>
    <row r="3110" ht="22.5" customHeight="1">
      <c r="B3110" s="42">
        <f t="shared" si="7"/>
        <v>3104</v>
      </c>
      <c r="C3110" s="31" t="s">
        <v>3174</v>
      </c>
      <c r="D3110" s="34" t="str">
        <f t="array" ref="D3110">IFNA(_xlfn.XLOOKUP(C3110,Table_Tarikan_Warkah[Nomor Sertipikat],Table_Tarikan_Warkah[Nomor Tiket]),"")</f>
        <v>K/27/100725/3</v>
      </c>
      <c r="E3110" s="36">
        <f t="array" ref="E3110">IFNA(_xlfn.XLOOKUP(D3110,Table_Tarikan_Warkah[Nomor Tiket],Table_Tarikan_Warkah[Tanggal diserahkan kepada Validator]),"")</f>
        <v>45867.68669</v>
      </c>
      <c r="F3110" s="36" t="str">
        <f t="array" ref="F3110">IFNA(_xlfn.XLOOKUP(D3110,Table_Tarikan_Warkah[Nomor Tiket],Table_Tarikan_Warkah[Nama Petugas Warkah]),"")</f>
        <v>Berry</v>
      </c>
      <c r="G3110" s="39" t="str">
        <f t="array" ref="G3110">IFNA(_xlfn.XLOOKUP(D3110,Table_Tarikan_Warkah[Nomor Tiket],Table_Tarikan_Warkah[Jenis Permohonan]),"")</f>
        <v>BN Jual Beli</v>
      </c>
      <c r="H3110" s="41" t="s">
        <v>20</v>
      </c>
      <c r="I3110" s="49" t="s">
        <v>23</v>
      </c>
      <c r="J3110" s="36">
        <f t="shared" si="20"/>
        <v>45863.41084</v>
      </c>
      <c r="K3110" s="49" t="s">
        <v>2378</v>
      </c>
      <c r="L3110" s="49" t="s">
        <v>23</v>
      </c>
      <c r="M3110" s="36">
        <f t="shared" si="33"/>
        <v>45863.72502</v>
      </c>
      <c r="N3110" s="30" t="str">
        <f t="shared" si="34"/>
        <v>Selesai</v>
      </c>
      <c r="O3110" s="45">
        <f t="shared" si="23"/>
        <v>45863.72502</v>
      </c>
      <c r="P3110" s="47" t="b">
        <v>0</v>
      </c>
      <c r="Q3110" s="36" t="str">
        <f t="shared" si="24"/>
        <v/>
      </c>
      <c r="R3110" s="47" t="b">
        <v>0</v>
      </c>
      <c r="S3110" s="42" t="str">
        <f t="shared" si="28"/>
        <v/>
      </c>
      <c r="T3110" s="42"/>
    </row>
    <row r="3111" ht="22.5" customHeight="1">
      <c r="B3111" s="42">
        <f t="shared" si="7"/>
        <v>3105</v>
      </c>
      <c r="C3111" s="31" t="s">
        <v>3175</v>
      </c>
      <c r="D3111" s="34" t="str">
        <f t="array" ref="D3111">IFNA(_xlfn.XLOOKUP(C3111,Table_Tarikan_Warkah[Nomor Sertipikat],Table_Tarikan_Warkah[Nomor Tiket]),"")</f>
        <v>K/49/140725/1</v>
      </c>
      <c r="E3111" s="36">
        <f t="array" ref="E3111">IFNA(_xlfn.XLOOKUP(D3111,Table_Tarikan_Warkah[Nomor Tiket],Table_Tarikan_Warkah[Tanggal diserahkan kepada Validator]),"")</f>
        <v>45867.71695</v>
      </c>
      <c r="F3111" s="36" t="str">
        <f t="array" ref="F3111">IFNA(_xlfn.XLOOKUP(D3111,Table_Tarikan_Warkah[Nomor Tiket],Table_Tarikan_Warkah[Nama Petugas Warkah]),"")</f>
        <v>Berry</v>
      </c>
      <c r="G3111" s="39" t="str">
        <f t="array" ref="G3111">IFNA(_xlfn.XLOOKUP(D3111,Table_Tarikan_Warkah[Nomor Tiket],Table_Tarikan_Warkah[Jenis Permohonan]),"")</f>
        <v>BN Jual Beli</v>
      </c>
      <c r="H3111" s="41" t="s">
        <v>20</v>
      </c>
      <c r="I3111" s="49" t="s">
        <v>23</v>
      </c>
      <c r="J3111" s="36">
        <f t="shared" si="20"/>
        <v>45863.41093</v>
      </c>
      <c r="K3111" s="49" t="s">
        <v>2378</v>
      </c>
      <c r="L3111" s="49" t="s">
        <v>23</v>
      </c>
      <c r="M3111" s="36">
        <f t="shared" si="33"/>
        <v>45863.72502</v>
      </c>
      <c r="N3111" s="30" t="str">
        <f t="shared" si="34"/>
        <v>Selesai</v>
      </c>
      <c r="O3111" s="45">
        <f t="shared" si="23"/>
        <v>45863.72502</v>
      </c>
      <c r="P3111" s="47" t="b">
        <v>0</v>
      </c>
      <c r="Q3111" s="36" t="str">
        <f t="shared" si="24"/>
        <v/>
      </c>
      <c r="R3111" s="47" t="b">
        <v>0</v>
      </c>
      <c r="S3111" s="42" t="str">
        <f t="shared" si="28"/>
        <v/>
      </c>
      <c r="T3111" s="42"/>
    </row>
    <row r="3112" ht="22.5" customHeight="1">
      <c r="B3112" s="42">
        <f t="shared" si="7"/>
        <v>3106</v>
      </c>
      <c r="C3112" s="31" t="s">
        <v>3176</v>
      </c>
      <c r="D3112" s="34" t="str">
        <f t="array" ref="D3112">IFNA(_xlfn.XLOOKUP(C3112,Table_Tarikan_Warkah[Nomor Sertipikat],Table_Tarikan_Warkah[Nomor Tiket]),"")</f>
        <v>K/54/040725/1</v>
      </c>
      <c r="E3112" s="36">
        <f t="array" ref="E3112">IFNA(_xlfn.XLOOKUP(D3112,Table_Tarikan_Warkah[Nomor Tiket],Table_Tarikan_Warkah[Tanggal diserahkan kepada Validator]),"")</f>
        <v>45867.68019</v>
      </c>
      <c r="F3112" s="36" t="str">
        <f t="array" ref="F3112">IFNA(_xlfn.XLOOKUP(D3112,Table_Tarikan_Warkah[Nomor Tiket],Table_Tarikan_Warkah[Nama Petugas Warkah]),"")</f>
        <v>Berry</v>
      </c>
      <c r="G3112" s="39" t="str">
        <f t="array" ref="G3112">IFNA(_xlfn.XLOOKUP(D3112,Table_Tarikan_Warkah[Nomor Tiket],Table_Tarikan_Warkah[Jenis Permohonan]),"")</f>
        <v>JUAL BELI</v>
      </c>
      <c r="H3112" s="41" t="s">
        <v>20</v>
      </c>
      <c r="I3112" s="49" t="s">
        <v>23</v>
      </c>
      <c r="J3112" s="36">
        <f t="shared" si="20"/>
        <v>45863.41112</v>
      </c>
      <c r="K3112" s="49" t="s">
        <v>2378</v>
      </c>
      <c r="L3112" s="49" t="s">
        <v>23</v>
      </c>
      <c r="M3112" s="36">
        <f t="shared" si="33"/>
        <v>45863.72502</v>
      </c>
      <c r="N3112" s="30" t="str">
        <f t="shared" si="34"/>
        <v>Selesai</v>
      </c>
      <c r="O3112" s="45">
        <f t="shared" si="23"/>
        <v>45863.72502</v>
      </c>
      <c r="P3112" s="47" t="b">
        <v>0</v>
      </c>
      <c r="Q3112" s="36" t="str">
        <f t="shared" si="24"/>
        <v/>
      </c>
      <c r="R3112" s="47" t="b">
        <v>0</v>
      </c>
      <c r="S3112" s="42" t="str">
        <f t="shared" si="28"/>
        <v/>
      </c>
      <c r="T3112" s="42"/>
    </row>
    <row r="3113" ht="22.5" customHeight="1">
      <c r="B3113" s="42">
        <f t="shared" si="7"/>
        <v>3107</v>
      </c>
      <c r="C3113" s="31" t="s">
        <v>3177</v>
      </c>
      <c r="D3113" s="34" t="str">
        <f t="array" ref="D3113">IFNA(_xlfn.XLOOKUP(C3113,Table_Tarikan_Warkah[Nomor Sertipikat],Table_Tarikan_Warkah[Nomor Tiket]),"")</f>
        <v>K/2/150725/1</v>
      </c>
      <c r="E3113" s="36">
        <f t="array" ref="E3113">IFNA(_xlfn.XLOOKUP(D3113,Table_Tarikan_Warkah[Nomor Tiket],Table_Tarikan_Warkah[Tanggal diserahkan kepada Validator]),"")</f>
        <v>45870.6765</v>
      </c>
      <c r="F3113" s="36" t="str">
        <f t="array" ref="F3113">IFNA(_xlfn.XLOOKUP(D3113,Table_Tarikan_Warkah[Nomor Tiket],Table_Tarikan_Warkah[Nama Petugas Warkah]),"")</f>
        <v>Berry</v>
      </c>
      <c r="G3113" s="39" t="str">
        <f t="array" ref="G3113">IFNA(_xlfn.XLOOKUP(D3113,Table_Tarikan_Warkah[Nomor Tiket],Table_Tarikan_Warkah[Jenis Permohonan]),"")</f>
        <v>BN JUAL BELI</v>
      </c>
      <c r="H3113" s="41" t="s">
        <v>20</v>
      </c>
      <c r="I3113" s="49" t="s">
        <v>23</v>
      </c>
      <c r="J3113" s="36">
        <f t="shared" si="20"/>
        <v>45863.41125</v>
      </c>
      <c r="K3113" s="49" t="s">
        <v>2378</v>
      </c>
      <c r="L3113" s="49" t="s">
        <v>23</v>
      </c>
      <c r="M3113" s="36">
        <f t="shared" si="33"/>
        <v>45863.72502</v>
      </c>
      <c r="N3113" s="30" t="str">
        <f t="shared" si="34"/>
        <v>Selesai</v>
      </c>
      <c r="O3113" s="45">
        <f t="shared" si="23"/>
        <v>45863.72502</v>
      </c>
      <c r="P3113" s="47" t="b">
        <v>0</v>
      </c>
      <c r="Q3113" s="36" t="str">
        <f t="shared" si="24"/>
        <v/>
      </c>
      <c r="R3113" s="47" t="b">
        <v>0</v>
      </c>
      <c r="S3113" s="42" t="str">
        <f t="shared" si="28"/>
        <v/>
      </c>
      <c r="T3113" s="42"/>
    </row>
    <row r="3114" ht="22.5" customHeight="1">
      <c r="B3114" s="42">
        <f t="shared" si="7"/>
        <v>3108</v>
      </c>
      <c r="C3114" s="31" t="s">
        <v>3178</v>
      </c>
      <c r="D3114" s="34" t="str">
        <f t="array" ref="D3114">IFNA(_xlfn.XLOOKUP(C3114,Table_Tarikan_Warkah[Nomor Sertipikat],Table_Tarikan_Warkah[Nomor Tiket]),"")</f>
        <v>L/1/080725/1</v>
      </c>
      <c r="E3114" s="36">
        <f t="array" ref="E3114">IFNA(_xlfn.XLOOKUP(D3114,Table_Tarikan_Warkah[Nomor Tiket],Table_Tarikan_Warkah[Tanggal diserahkan kepada Validator]),"")</f>
        <v>45867.38258</v>
      </c>
      <c r="F3114" s="36" t="str">
        <f t="array" ref="F3114">IFNA(_xlfn.XLOOKUP(D3114,Table_Tarikan_Warkah[Nomor Tiket],Table_Tarikan_Warkah[Nama Petugas Warkah]),"")</f>
        <v>Berry</v>
      </c>
      <c r="G3114" s="39" t="str">
        <f t="array" ref="G3114">IFNA(_xlfn.XLOOKUP(D3114,Table_Tarikan_Warkah[Nomor Tiket],Table_Tarikan_Warkah[Jenis Permohonan]),"")</f>
        <v>BN WARIS</v>
      </c>
      <c r="H3114" s="41" t="s">
        <v>920</v>
      </c>
      <c r="I3114" s="49" t="s">
        <v>23</v>
      </c>
      <c r="J3114" s="36">
        <f t="shared" si="20"/>
        <v>45863.43761</v>
      </c>
      <c r="K3114" s="49" t="s">
        <v>920</v>
      </c>
      <c r="L3114" s="49" t="s">
        <v>23</v>
      </c>
      <c r="M3114" s="36">
        <f t="shared" si="33"/>
        <v>45863.43764</v>
      </c>
      <c r="N3114" s="30" t="str">
        <f t="shared" si="34"/>
        <v>Selesai</v>
      </c>
      <c r="O3114" s="45">
        <f t="shared" si="23"/>
        <v>45863.43764</v>
      </c>
      <c r="P3114" s="47" t="b">
        <v>1</v>
      </c>
      <c r="Q3114" s="36">
        <f t="shared" si="24"/>
        <v>45863.43767</v>
      </c>
      <c r="R3114" s="47" t="b">
        <v>0</v>
      </c>
      <c r="S3114" s="42" t="str">
        <f t="shared" si="28"/>
        <v/>
      </c>
      <c r="T3114" s="42"/>
    </row>
    <row r="3115" ht="22.5" customHeight="1">
      <c r="B3115" s="42">
        <f t="shared" si="7"/>
        <v>3109</v>
      </c>
      <c r="C3115" s="31" t="s">
        <v>3179</v>
      </c>
      <c r="D3115" s="34" t="str">
        <f t="array" ref="D3115">IFNA(_xlfn.XLOOKUP(C3115,Table_Tarikan_Warkah[Nomor Sertipikat],Table_Tarikan_Warkah[Nomor Tiket]),"")</f>
        <v>L/16/190625/1</v>
      </c>
      <c r="E3115" s="36">
        <f t="array" ref="E3115">IFNA(_xlfn.XLOOKUP(D3115,Table_Tarikan_Warkah[Nomor Tiket],Table_Tarikan_Warkah[Tanggal diserahkan kepada Validator]),"")</f>
        <v>45863.60707</v>
      </c>
      <c r="F3115" s="36" t="str">
        <f t="array" ref="F3115">IFNA(_xlfn.XLOOKUP(D3115,Table_Tarikan_Warkah[Nomor Tiket],Table_Tarikan_Warkah[Nama Petugas Warkah]),"")</f>
        <v>David</v>
      </c>
      <c r="G3115" s="39" t="str">
        <f t="array" ref="G3115">IFNA(_xlfn.XLOOKUP(D3115,Table_Tarikan_Warkah[Nomor Tiket],Table_Tarikan_Warkah[Jenis Permohonan]),"")</f>
        <v>BN JUAL-BELI</v>
      </c>
      <c r="H3115" s="41" t="s">
        <v>920</v>
      </c>
      <c r="I3115" s="49" t="s">
        <v>23</v>
      </c>
      <c r="J3115" s="36">
        <f t="shared" si="20"/>
        <v>45863.43778</v>
      </c>
      <c r="K3115" s="49" t="s">
        <v>920</v>
      </c>
      <c r="L3115" s="49" t="s">
        <v>23</v>
      </c>
      <c r="M3115" s="36">
        <f t="shared" si="33"/>
        <v>45863.43781</v>
      </c>
      <c r="N3115" s="30" t="str">
        <f t="shared" si="34"/>
        <v>Selesai</v>
      </c>
      <c r="O3115" s="45">
        <f t="shared" si="23"/>
        <v>45863.43781</v>
      </c>
      <c r="P3115" s="47" t="b">
        <v>1</v>
      </c>
      <c r="Q3115" s="36" t="str">
        <f>IF(#REF!=TRUE,IF(Q3115&lt;&gt;"",Q3115,NOW()),"")</f>
        <v>#REF!</v>
      </c>
      <c r="R3115" s="47" t="b">
        <v>0</v>
      </c>
      <c r="S3115" s="42" t="str">
        <f t="shared" si="28"/>
        <v/>
      </c>
      <c r="T3115" s="42"/>
    </row>
    <row r="3116" ht="22.5" customHeight="1">
      <c r="B3116" s="42">
        <f t="shared" si="7"/>
        <v>3110</v>
      </c>
      <c r="C3116" s="31" t="s">
        <v>3180</v>
      </c>
      <c r="D3116" s="34" t="str">
        <f t="array" ref="D3116">IFNA(_xlfn.XLOOKUP(C3116,Table_Tarikan_Warkah[Nomor Sertipikat],Table_Tarikan_Warkah[Nomor Tiket]),"")</f>
        <v>L/9/040725/1</v>
      </c>
      <c r="E3116" s="36">
        <f t="array" ref="E3116">IFNA(_xlfn.XLOOKUP(D3116,Table_Tarikan_Warkah[Nomor Tiket],Table_Tarikan_Warkah[Tanggal diserahkan kepada Validator]),"")</f>
        <v>45863.60697</v>
      </c>
      <c r="F3116" s="36" t="str">
        <f t="array" ref="F3116">IFNA(_xlfn.XLOOKUP(D3116,Table_Tarikan_Warkah[Nomor Tiket],Table_Tarikan_Warkah[Nama Petugas Warkah]),"")</f>
        <v>David</v>
      </c>
      <c r="G3116" s="39" t="str">
        <f t="array" ref="G3116">IFNA(_xlfn.XLOOKUP(D3116,Table_Tarikan_Warkah[Nomor Tiket],Table_Tarikan_Warkah[Jenis Permohonan]),"")</f>
        <v>BN WARIS</v>
      </c>
      <c r="H3116" s="41" t="s">
        <v>920</v>
      </c>
      <c r="I3116" s="49" t="s">
        <v>23</v>
      </c>
      <c r="J3116" s="36">
        <f t="shared" si="20"/>
        <v>45863.438</v>
      </c>
      <c r="K3116" s="49" t="s">
        <v>920</v>
      </c>
      <c r="L3116" s="49" t="s">
        <v>23</v>
      </c>
      <c r="M3116" s="36">
        <f t="shared" si="33"/>
        <v>45863.43803</v>
      </c>
      <c r="N3116" s="30" t="str">
        <f t="shared" si="34"/>
        <v>Selesai</v>
      </c>
      <c r="O3116" s="45">
        <f t="shared" si="23"/>
        <v>45863.43803</v>
      </c>
      <c r="P3116" s="71" t="b">
        <v>1</v>
      </c>
      <c r="Q3116" s="36">
        <f>IF(P3115=TRUE,IF(Q3116&lt;&gt;"",Q3116,NOW()),"")</f>
        <v>45863.43828</v>
      </c>
      <c r="R3116" s="47" t="b">
        <v>0</v>
      </c>
      <c r="S3116" s="42" t="str">
        <f t="shared" si="28"/>
        <v/>
      </c>
      <c r="T3116" s="42"/>
    </row>
    <row r="3117" ht="22.5" customHeight="1">
      <c r="B3117" s="42">
        <f t="shared" si="7"/>
        <v>3111</v>
      </c>
      <c r="C3117" s="31" t="s">
        <v>3146</v>
      </c>
      <c r="D3117" s="42" t="s">
        <v>3181</v>
      </c>
      <c r="E3117" s="36">
        <f t="array" ref="E3117">IFNA(_xlfn.XLOOKUP(D3117,Table_Tarikan_Warkah[Nomor Tiket],Table_Tarikan_Warkah[Tanggal diserahkan kepada Validator]),"")</f>
        <v>45863.60716</v>
      </c>
      <c r="F3117" s="36" t="str">
        <f t="array" ref="F3117">IFNA(_xlfn.XLOOKUP(D3117,Table_Tarikan_Warkah[Nomor Tiket],Table_Tarikan_Warkah[Nama Petugas Warkah]),"")</f>
        <v>David</v>
      </c>
      <c r="G3117" s="39" t="str">
        <f t="array" ref="G3117">IFNA(_xlfn.XLOOKUP(D3117,Table_Tarikan_Warkah[Nomor Tiket],Table_Tarikan_Warkah[Jenis Permohonan]),"")</f>
        <v>BN Waris</v>
      </c>
      <c r="H3117" s="41" t="s">
        <v>920</v>
      </c>
      <c r="I3117" s="49" t="s">
        <v>23</v>
      </c>
      <c r="J3117" s="36">
        <f t="shared" si="20"/>
        <v>45863.43871</v>
      </c>
      <c r="K3117" s="49" t="s">
        <v>920</v>
      </c>
      <c r="L3117" s="49" t="s">
        <v>23</v>
      </c>
      <c r="M3117" s="36">
        <f t="shared" si="33"/>
        <v>45863.43871</v>
      </c>
      <c r="N3117" s="30" t="str">
        <f t="shared" si="34"/>
        <v>Selesai</v>
      </c>
      <c r="O3117" s="45">
        <f t="shared" si="23"/>
        <v>45863.43871</v>
      </c>
      <c r="P3117" s="47" t="b">
        <v>0</v>
      </c>
      <c r="Q3117" s="36" t="str">
        <f t="shared" ref="Q3117:Q5241" si="35">IF(P3117=TRUE,IF(Q3117&lt;&gt;"",Q3117,NOW()),"")</f>
        <v/>
      </c>
      <c r="R3117" s="47" t="b">
        <v>0</v>
      </c>
      <c r="S3117" s="42" t="str">
        <f t="shared" si="28"/>
        <v/>
      </c>
      <c r="T3117" s="42"/>
    </row>
    <row r="3118" ht="22.5" customHeight="1">
      <c r="B3118" s="42">
        <f t="shared" si="7"/>
        <v>3112</v>
      </c>
      <c r="C3118" s="31" t="s">
        <v>3182</v>
      </c>
      <c r="D3118" s="34" t="str">
        <f t="array" ref="D3118">IFNA(_xlfn.XLOOKUP(C3118,Table_Tarikan_Warkah[Nomor Sertipikat],Table_Tarikan_Warkah[Nomor Tiket]),"")</f>
        <v>L/2/160725/1</v>
      </c>
      <c r="E3118" s="36" t="str">
        <f t="array" ref="E3118">IFNA(_xlfn.XLOOKUP(D3118,Table_Tarikan_Warkah[Nomor Tiket],Table_Tarikan_Warkah[Tanggal diserahkan kepada Validator]),"")</f>
        <v/>
      </c>
      <c r="F3118" s="36" t="str">
        <f t="array" ref="F3118">IFNA(_xlfn.XLOOKUP(D3118,Table_Tarikan_Warkah[Nomor Tiket],Table_Tarikan_Warkah[Nama Petugas Warkah]),"")</f>
        <v/>
      </c>
      <c r="G3118" s="39" t="str">
        <f t="array" ref="G3118">IFNA(_xlfn.XLOOKUP(D3118,Table_Tarikan_Warkah[Nomor Tiket],Table_Tarikan_Warkah[Jenis Permohonan]),"")</f>
        <v>ROYA</v>
      </c>
      <c r="H3118" s="41" t="s">
        <v>2315</v>
      </c>
      <c r="I3118" s="49" t="s">
        <v>23</v>
      </c>
      <c r="J3118" s="36">
        <f t="shared" si="20"/>
        <v>45863.53501</v>
      </c>
      <c r="K3118" s="49" t="s">
        <v>2378</v>
      </c>
      <c r="L3118" s="49" t="s">
        <v>23</v>
      </c>
      <c r="M3118" s="36">
        <f t="shared" si="33"/>
        <v>45866.50176</v>
      </c>
      <c r="N3118" s="30" t="str">
        <f t="shared" si="34"/>
        <v>Selesai</v>
      </c>
      <c r="O3118" s="45">
        <f t="shared" si="23"/>
        <v>45866.50176</v>
      </c>
      <c r="P3118" s="47" t="b">
        <v>0</v>
      </c>
      <c r="Q3118" s="36" t="str">
        <f t="shared" si="35"/>
        <v/>
      </c>
      <c r="R3118" s="47" t="b">
        <v>0</v>
      </c>
      <c r="S3118" s="42" t="str">
        <f t="shared" si="28"/>
        <v/>
      </c>
      <c r="T3118" s="42"/>
    </row>
    <row r="3119" ht="22.5" customHeight="1">
      <c r="B3119" s="42">
        <f t="shared" si="7"/>
        <v>3113</v>
      </c>
      <c r="C3119" s="31" t="s">
        <v>3183</v>
      </c>
      <c r="D3119" s="34" t="str">
        <f t="array" ref="D3119">IFNA(_xlfn.XLOOKUP(C3119,Table_Tarikan_Warkah[Nomor Sertipikat],Table_Tarikan_Warkah[Nomor Tiket]),"")</f>
        <v>K/4/070725/1</v>
      </c>
      <c r="E3119" s="36">
        <f t="array" ref="E3119">IFNA(_xlfn.XLOOKUP(D3119,Table_Tarikan_Warkah[Nomor Tiket],Table_Tarikan_Warkah[Tanggal diserahkan kepada Validator]),"")</f>
        <v>45867.68492</v>
      </c>
      <c r="F3119" s="36" t="str">
        <f t="array" ref="F3119">IFNA(_xlfn.XLOOKUP(D3119,Table_Tarikan_Warkah[Nomor Tiket],Table_Tarikan_Warkah[Nama Petugas Warkah]),"")</f>
        <v>Berry</v>
      </c>
      <c r="G3119" s="39" t="str">
        <f t="array" ref="G3119">IFNA(_xlfn.XLOOKUP(D3119,Table_Tarikan_Warkah[Nomor Tiket],Table_Tarikan_Warkah[Jenis Permohonan]),"")</f>
        <v>BN Jual Beli</v>
      </c>
      <c r="H3119" s="41" t="s">
        <v>2315</v>
      </c>
      <c r="I3119" s="49" t="s">
        <v>23</v>
      </c>
      <c r="J3119" s="36">
        <f t="shared" si="20"/>
        <v>45863.53515</v>
      </c>
      <c r="K3119" s="49" t="s">
        <v>2378</v>
      </c>
      <c r="L3119" s="49" t="s">
        <v>23</v>
      </c>
      <c r="M3119" s="36">
        <f t="shared" si="33"/>
        <v>45866.50915</v>
      </c>
      <c r="N3119" s="30" t="str">
        <f t="shared" si="34"/>
        <v>Selesai</v>
      </c>
      <c r="O3119" s="45">
        <f t="shared" si="23"/>
        <v>45866.50915</v>
      </c>
      <c r="P3119" s="47" t="b">
        <v>0</v>
      </c>
      <c r="Q3119" s="36" t="str">
        <f t="shared" si="35"/>
        <v/>
      </c>
      <c r="R3119" s="47" t="b">
        <v>0</v>
      </c>
      <c r="S3119" s="42" t="str">
        <f t="shared" si="28"/>
        <v/>
      </c>
      <c r="T3119" s="42"/>
    </row>
    <row r="3120" ht="22.5" customHeight="1">
      <c r="B3120" s="42">
        <f t="shared" si="7"/>
        <v>3114</v>
      </c>
      <c r="C3120" s="31" t="s">
        <v>3184</v>
      </c>
      <c r="D3120" s="34" t="str">
        <f t="array" ref="D3120">IFNA(_xlfn.XLOOKUP(C3120,Table_Tarikan_Warkah[Nomor Sertipikat],Table_Tarikan_Warkah[Nomor Tiket]),"")</f>
        <v>K/1/140725/1</v>
      </c>
      <c r="E3120" s="36">
        <f t="array" ref="E3120">IFNA(_xlfn.XLOOKUP(D3120,Table_Tarikan_Warkah[Nomor Tiket],Table_Tarikan_Warkah[Tanggal diserahkan kepada Validator]),"")</f>
        <v>45874.64564</v>
      </c>
      <c r="F3120" s="36" t="str">
        <f t="array" ref="F3120">IFNA(_xlfn.XLOOKUP(D3120,Table_Tarikan_Warkah[Nomor Tiket],Table_Tarikan_Warkah[Nama Petugas Warkah]),"")</f>
        <v>Berry</v>
      </c>
      <c r="G3120" s="39" t="str">
        <f t="array" ref="G3120">IFNA(_xlfn.XLOOKUP(D3120,Table_Tarikan_Warkah[Nomor Tiket],Table_Tarikan_Warkah[Jenis Permohonan]),"")</f>
        <v>BN Waris</v>
      </c>
      <c r="H3120" s="41" t="s">
        <v>2315</v>
      </c>
      <c r="I3120" s="49" t="s">
        <v>23</v>
      </c>
      <c r="J3120" s="36">
        <f t="shared" si="20"/>
        <v>45863.53527</v>
      </c>
      <c r="K3120" s="49" t="s">
        <v>2378</v>
      </c>
      <c r="L3120" s="49" t="s">
        <v>23</v>
      </c>
      <c r="M3120" s="36">
        <f t="shared" si="33"/>
        <v>45866.50915</v>
      </c>
      <c r="N3120" s="30" t="str">
        <f t="shared" si="34"/>
        <v>Selesai</v>
      </c>
      <c r="O3120" s="45">
        <f t="shared" si="23"/>
        <v>45866.50915</v>
      </c>
      <c r="P3120" s="47" t="b">
        <v>0</v>
      </c>
      <c r="Q3120" s="36" t="str">
        <f t="shared" si="35"/>
        <v/>
      </c>
      <c r="R3120" s="47" t="b">
        <v>0</v>
      </c>
      <c r="S3120" s="42" t="str">
        <f t="shared" si="28"/>
        <v/>
      </c>
      <c r="T3120" s="42"/>
    </row>
    <row r="3121" ht="22.5" customHeight="1">
      <c r="B3121" s="42">
        <f t="shared" si="7"/>
        <v>3115</v>
      </c>
      <c r="C3121" s="31" t="s">
        <v>3185</v>
      </c>
      <c r="D3121" s="34" t="str">
        <f t="array" ref="D3121">IFNA(_xlfn.XLOOKUP(C3121,Table_Tarikan_Warkah[Nomor Sertipikat],Table_Tarikan_Warkah[Nomor Tiket]),"")</f>
        <v>K/30/170725/1</v>
      </c>
      <c r="E3121" s="36">
        <f t="array" ref="E3121">IFNA(_xlfn.XLOOKUP(D3121,Table_Tarikan_Warkah[Nomor Tiket],Table_Tarikan_Warkah[Tanggal diserahkan kepada Validator]),"")</f>
        <v>45867.68173</v>
      </c>
      <c r="F3121" s="36" t="str">
        <f t="array" ref="F3121">IFNA(_xlfn.XLOOKUP(D3121,Table_Tarikan_Warkah[Nomor Tiket],Table_Tarikan_Warkah[Nama Petugas Warkah]),"")</f>
        <v>Berry</v>
      </c>
      <c r="G3121" s="39" t="str">
        <f t="array" ref="G3121">IFNA(_xlfn.XLOOKUP(D3121,Table_Tarikan_Warkah[Nomor Tiket],Table_Tarikan_Warkah[Jenis Permohonan]),"")</f>
        <v>HIBAH</v>
      </c>
      <c r="H3121" s="41" t="s">
        <v>2315</v>
      </c>
      <c r="I3121" s="49" t="s">
        <v>23</v>
      </c>
      <c r="J3121" s="36">
        <f t="shared" si="20"/>
        <v>45863.5354</v>
      </c>
      <c r="K3121" s="49" t="s">
        <v>2378</v>
      </c>
      <c r="L3121" s="49" t="s">
        <v>23</v>
      </c>
      <c r="M3121" s="36">
        <f t="shared" si="33"/>
        <v>45866.50915</v>
      </c>
      <c r="N3121" s="30" t="str">
        <f t="shared" si="34"/>
        <v>Selesai</v>
      </c>
      <c r="O3121" s="45">
        <f t="shared" si="23"/>
        <v>45866.50915</v>
      </c>
      <c r="P3121" s="47" t="b">
        <v>0</v>
      </c>
      <c r="Q3121" s="36" t="str">
        <f t="shared" si="35"/>
        <v/>
      </c>
      <c r="R3121" s="47" t="b">
        <v>0</v>
      </c>
      <c r="S3121" s="42" t="str">
        <f t="shared" si="28"/>
        <v/>
      </c>
      <c r="T3121" s="42"/>
    </row>
    <row r="3122" ht="22.5" customHeight="1">
      <c r="B3122" s="42">
        <f t="shared" si="7"/>
        <v>3116</v>
      </c>
      <c r="C3122" s="31" t="s">
        <v>3186</v>
      </c>
      <c r="D3122" s="34" t="str">
        <f t="array" ref="D3122">IFNA(_xlfn.XLOOKUP(C3122,Table_Tarikan_Warkah[Nomor Sertipikat],Table_Tarikan_Warkah[Nomor Tiket]),"")</f>
        <v>K/31/140725/3</v>
      </c>
      <c r="E3122" s="36">
        <f t="array" ref="E3122">IFNA(_xlfn.XLOOKUP(D3122,Table_Tarikan_Warkah[Nomor Tiket],Table_Tarikan_Warkah[Tanggal diserahkan kepada Validator]),"")</f>
        <v>45867.68149</v>
      </c>
      <c r="F3122" s="36" t="str">
        <f t="array" ref="F3122">IFNA(_xlfn.XLOOKUP(D3122,Table_Tarikan_Warkah[Nomor Tiket],Table_Tarikan_Warkah[Nama Petugas Warkah]),"")</f>
        <v>Berry</v>
      </c>
      <c r="G3122" s="39" t="str">
        <f t="array" ref="G3122">IFNA(_xlfn.XLOOKUP(D3122,Table_Tarikan_Warkah[Nomor Tiket],Table_Tarikan_Warkah[Jenis Permohonan]),"")</f>
        <v>KEWARISAN</v>
      </c>
      <c r="H3122" s="41" t="s">
        <v>2315</v>
      </c>
      <c r="I3122" s="49" t="s">
        <v>23</v>
      </c>
      <c r="J3122" s="36">
        <f t="shared" si="20"/>
        <v>45863.53552</v>
      </c>
      <c r="K3122" s="49" t="s">
        <v>2378</v>
      </c>
      <c r="L3122" s="49" t="s">
        <v>23</v>
      </c>
      <c r="M3122" s="36">
        <f t="shared" si="33"/>
        <v>45866.50915</v>
      </c>
      <c r="N3122" s="30" t="str">
        <f t="shared" si="34"/>
        <v>Selesai</v>
      </c>
      <c r="O3122" s="45">
        <f t="shared" si="23"/>
        <v>45866.50915</v>
      </c>
      <c r="P3122" s="47" t="b">
        <v>0</v>
      </c>
      <c r="Q3122" s="36" t="str">
        <f t="shared" si="35"/>
        <v/>
      </c>
      <c r="R3122" s="47" t="b">
        <v>0</v>
      </c>
      <c r="S3122" s="42" t="str">
        <f t="shared" si="28"/>
        <v/>
      </c>
      <c r="T3122" s="42"/>
    </row>
    <row r="3123" ht="22.5" customHeight="1">
      <c r="B3123" s="42">
        <f t="shared" si="7"/>
        <v>3117</v>
      </c>
      <c r="C3123" s="31" t="s">
        <v>3187</v>
      </c>
      <c r="D3123" s="34" t="str">
        <f t="array" ref="D3123">IFNA(_xlfn.XLOOKUP(C3123,Table_Tarikan_Warkah[Nomor Sertipikat],Table_Tarikan_Warkah[Nomor Tiket]),"")</f>
        <v>K/3/090725/1</v>
      </c>
      <c r="E3123" s="36">
        <f t="array" ref="E3123">IFNA(_xlfn.XLOOKUP(D3123,Table_Tarikan_Warkah[Nomor Tiket],Table_Tarikan_Warkah[Tanggal diserahkan kepada Validator]),"")</f>
        <v>45867.68326</v>
      </c>
      <c r="F3123" s="36" t="str">
        <f t="array" ref="F3123">IFNA(_xlfn.XLOOKUP(D3123,Table_Tarikan_Warkah[Nomor Tiket],Table_Tarikan_Warkah[Nama Petugas Warkah]),"")</f>
        <v>Berry</v>
      </c>
      <c r="G3123" s="39" t="str">
        <f t="array" ref="G3123">IFNA(_xlfn.XLOOKUP(D3123,Table_Tarikan_Warkah[Nomor Tiket],Table_Tarikan_Warkah[Jenis Permohonan]),"")</f>
        <v>JUAL BELI</v>
      </c>
      <c r="H3123" s="41" t="s">
        <v>2315</v>
      </c>
      <c r="I3123" s="49" t="s">
        <v>23</v>
      </c>
      <c r="J3123" s="36">
        <f t="shared" si="20"/>
        <v>45863.53565</v>
      </c>
      <c r="K3123" s="49" t="s">
        <v>2378</v>
      </c>
      <c r="L3123" s="49" t="s">
        <v>23</v>
      </c>
      <c r="M3123" s="36">
        <f t="shared" si="33"/>
        <v>45866.50462</v>
      </c>
      <c r="N3123" s="30" t="str">
        <f t="shared" si="34"/>
        <v>Selesai</v>
      </c>
      <c r="O3123" s="45">
        <f t="shared" si="23"/>
        <v>45866.50462</v>
      </c>
      <c r="P3123" s="47" t="b">
        <v>0</v>
      </c>
      <c r="Q3123" s="36" t="str">
        <f t="shared" si="35"/>
        <v/>
      </c>
      <c r="R3123" s="47" t="b">
        <v>0</v>
      </c>
      <c r="S3123" s="42" t="str">
        <f t="shared" si="28"/>
        <v/>
      </c>
      <c r="T3123" s="42"/>
    </row>
    <row r="3124" ht="22.5" customHeight="1">
      <c r="B3124" s="42">
        <f t="shared" si="7"/>
        <v>3118</v>
      </c>
      <c r="C3124" s="31" t="s">
        <v>3188</v>
      </c>
      <c r="D3124" s="34" t="str">
        <f t="array" ref="D3124">IFNA(_xlfn.XLOOKUP(C3124,Table_Tarikan_Warkah[Nomor Sertipikat],Table_Tarikan_Warkah[Nomor Tiket]),"")</f>
        <v>K/16/040725/1</v>
      </c>
      <c r="E3124" s="36">
        <f t="array" ref="E3124">IFNA(_xlfn.XLOOKUP(D3124,Table_Tarikan_Warkah[Nomor Tiket],Table_Tarikan_Warkah[Tanggal diserahkan kepada Validator]),"")</f>
        <v>45867.6841</v>
      </c>
      <c r="F3124" s="36" t="str">
        <f t="array" ref="F3124">IFNA(_xlfn.XLOOKUP(D3124,Table_Tarikan_Warkah[Nomor Tiket],Table_Tarikan_Warkah[Nama Petugas Warkah]),"")</f>
        <v>Berry</v>
      </c>
      <c r="G3124" s="39" t="str">
        <f t="array" ref="G3124">IFNA(_xlfn.XLOOKUP(D3124,Table_Tarikan_Warkah[Nomor Tiket],Table_Tarikan_Warkah[Jenis Permohonan]),"")</f>
        <v>JUAL BELI</v>
      </c>
      <c r="H3124" s="41" t="s">
        <v>2315</v>
      </c>
      <c r="I3124" s="49" t="s">
        <v>23</v>
      </c>
      <c r="J3124" s="36">
        <f t="shared" si="20"/>
        <v>45863.53596</v>
      </c>
      <c r="K3124" s="49" t="s">
        <v>2378</v>
      </c>
      <c r="L3124" s="49" t="s">
        <v>23</v>
      </c>
      <c r="M3124" s="36">
        <f t="shared" si="33"/>
        <v>45866.50899</v>
      </c>
      <c r="N3124" s="30" t="str">
        <f t="shared" si="34"/>
        <v>Selesai</v>
      </c>
      <c r="O3124" s="45">
        <f t="shared" si="23"/>
        <v>45866.50899</v>
      </c>
      <c r="P3124" s="47" t="b">
        <v>0</v>
      </c>
      <c r="Q3124" s="36" t="str">
        <f t="shared" si="35"/>
        <v/>
      </c>
      <c r="R3124" s="47" t="b">
        <v>0</v>
      </c>
      <c r="S3124" s="42" t="str">
        <f t="shared" si="28"/>
        <v/>
      </c>
      <c r="T3124" s="42"/>
    </row>
    <row r="3125" ht="22.5" customHeight="1">
      <c r="B3125" s="42">
        <f t="shared" si="7"/>
        <v>3119</v>
      </c>
      <c r="C3125" s="31" t="s">
        <v>3189</v>
      </c>
      <c r="D3125" s="34" t="str">
        <f t="array" ref="D3125">IFNA(_xlfn.XLOOKUP(C3125,Table_Tarikan_Warkah[Nomor Sertipikat],Table_Tarikan_Warkah[Nomor Tiket]),"")</f>
        <v>K/29/140725/1</v>
      </c>
      <c r="E3125" s="36">
        <f t="array" ref="E3125">IFNA(_xlfn.XLOOKUP(D3125,Table_Tarikan_Warkah[Nomor Tiket],Table_Tarikan_Warkah[Tanggal diserahkan kepada Validator]),"")</f>
        <v>45867.68127</v>
      </c>
      <c r="F3125" s="36" t="str">
        <f t="array" ref="F3125">IFNA(_xlfn.XLOOKUP(D3125,Table_Tarikan_Warkah[Nomor Tiket],Table_Tarikan_Warkah[Nama Petugas Warkah]),"")</f>
        <v>Berry</v>
      </c>
      <c r="G3125" s="39" t="str">
        <f t="array" ref="G3125">IFNA(_xlfn.XLOOKUP(D3125,Table_Tarikan_Warkah[Nomor Tiket],Table_Tarikan_Warkah[Jenis Permohonan]),"")</f>
        <v>KEWARISAN</v>
      </c>
      <c r="H3125" s="41" t="s">
        <v>2315</v>
      </c>
      <c r="I3125" s="49" t="s">
        <v>23</v>
      </c>
      <c r="J3125" s="36">
        <f t="shared" si="20"/>
        <v>45863.53609</v>
      </c>
      <c r="K3125" s="49" t="s">
        <v>2378</v>
      </c>
      <c r="L3125" s="49" t="s">
        <v>23</v>
      </c>
      <c r="M3125" s="36">
        <f t="shared" si="33"/>
        <v>45866.50899</v>
      </c>
      <c r="N3125" s="30" t="str">
        <f t="shared" si="34"/>
        <v>Selesai</v>
      </c>
      <c r="O3125" s="45">
        <f t="shared" si="23"/>
        <v>45866.50899</v>
      </c>
      <c r="P3125" s="47" t="b">
        <v>0</v>
      </c>
      <c r="Q3125" s="36" t="str">
        <f t="shared" si="35"/>
        <v/>
      </c>
      <c r="R3125" s="47" t="b">
        <v>0</v>
      </c>
      <c r="S3125" s="42" t="str">
        <f t="shared" si="28"/>
        <v/>
      </c>
      <c r="T3125" s="42"/>
    </row>
    <row r="3126" ht="22.5" customHeight="1">
      <c r="B3126" s="42">
        <f t="shared" si="7"/>
        <v>3120</v>
      </c>
      <c r="C3126" s="31" t="s">
        <v>3190</v>
      </c>
      <c r="D3126" s="34" t="str">
        <f t="array" ref="D3126">IFNA(_xlfn.XLOOKUP(C3126,Table_Tarikan_Warkah[Nomor Sertipikat],Table_Tarikan_Warkah[Nomor Tiket]),"")</f>
        <v>K/36/140725/1</v>
      </c>
      <c r="E3126" s="36">
        <f t="array" ref="E3126">IFNA(_xlfn.XLOOKUP(D3126,Table_Tarikan_Warkah[Nomor Tiket],Table_Tarikan_Warkah[Tanggal diserahkan kepada Validator]),"")</f>
        <v>45867.68043</v>
      </c>
      <c r="F3126" s="36" t="str">
        <f t="array" ref="F3126">IFNA(_xlfn.XLOOKUP(D3126,Table_Tarikan_Warkah[Nomor Tiket],Table_Tarikan_Warkah[Nama Petugas Warkah]),"")</f>
        <v>Berry</v>
      </c>
      <c r="G3126" s="39" t="str">
        <f t="array" ref="G3126">IFNA(_xlfn.XLOOKUP(D3126,Table_Tarikan_Warkah[Nomor Tiket],Table_Tarikan_Warkah[Jenis Permohonan]),"")</f>
        <v>JUAL BELI</v>
      </c>
      <c r="H3126" s="41" t="s">
        <v>2315</v>
      </c>
      <c r="I3126" s="49" t="s">
        <v>23</v>
      </c>
      <c r="J3126" s="36">
        <f t="shared" si="20"/>
        <v>45863.53623</v>
      </c>
      <c r="K3126" s="49" t="s">
        <v>2378</v>
      </c>
      <c r="L3126" s="49" t="s">
        <v>23</v>
      </c>
      <c r="M3126" s="36">
        <f t="shared" si="33"/>
        <v>45866.50899</v>
      </c>
      <c r="N3126" s="30" t="str">
        <f t="shared" si="34"/>
        <v>Selesai</v>
      </c>
      <c r="O3126" s="45">
        <f t="shared" si="23"/>
        <v>45866.50899</v>
      </c>
      <c r="P3126" s="47" t="b">
        <v>0</v>
      </c>
      <c r="Q3126" s="36" t="str">
        <f t="shared" si="35"/>
        <v/>
      </c>
      <c r="R3126" s="47" t="b">
        <v>0</v>
      </c>
      <c r="S3126" s="42" t="str">
        <f t="shared" si="28"/>
        <v/>
      </c>
      <c r="T3126" s="42"/>
    </row>
    <row r="3127" ht="22.5" customHeight="1">
      <c r="B3127" s="42">
        <f t="shared" si="7"/>
        <v>3121</v>
      </c>
      <c r="C3127" s="31" t="s">
        <v>3191</v>
      </c>
      <c r="D3127" s="34" t="str">
        <f t="array" ref="D3127">IFNA(_xlfn.XLOOKUP(C3127,Table_Tarikan_Warkah[Nomor Sertipikat],Table_Tarikan_Warkah[Nomor Tiket]),"")</f>
        <v>K/16/090725/1</v>
      </c>
      <c r="E3127" s="36">
        <f t="array" ref="E3127">IFNA(_xlfn.XLOOKUP(D3127,Table_Tarikan_Warkah[Nomor Tiket],Table_Tarikan_Warkah[Tanggal diserahkan kepada Validator]),"")</f>
        <v>45867.68347</v>
      </c>
      <c r="F3127" s="36" t="str">
        <f t="array" ref="F3127">IFNA(_xlfn.XLOOKUP(D3127,Table_Tarikan_Warkah[Nomor Tiket],Table_Tarikan_Warkah[Nama Petugas Warkah]),"")</f>
        <v>Berry</v>
      </c>
      <c r="G3127" s="39" t="str">
        <f t="array" ref="G3127">IFNA(_xlfn.XLOOKUP(D3127,Table_Tarikan_Warkah[Nomor Tiket],Table_Tarikan_Warkah[Jenis Permohonan]),"")</f>
        <v>JUAL BELI </v>
      </c>
      <c r="H3127" s="41" t="s">
        <v>2315</v>
      </c>
      <c r="I3127" s="49" t="s">
        <v>23</v>
      </c>
      <c r="J3127" s="36">
        <f t="shared" si="20"/>
        <v>45863.53638</v>
      </c>
      <c r="K3127" s="49" t="s">
        <v>2378</v>
      </c>
      <c r="L3127" s="49" t="s">
        <v>23</v>
      </c>
      <c r="M3127" s="36">
        <f t="shared" si="33"/>
        <v>45866.50899</v>
      </c>
      <c r="N3127" s="30" t="str">
        <f t="shared" si="34"/>
        <v>Selesai</v>
      </c>
      <c r="O3127" s="45">
        <f t="shared" si="23"/>
        <v>45866.50899</v>
      </c>
      <c r="P3127" s="47" t="b">
        <v>0</v>
      </c>
      <c r="Q3127" s="36" t="str">
        <f t="shared" si="35"/>
        <v/>
      </c>
      <c r="R3127" s="47" t="b">
        <v>0</v>
      </c>
      <c r="S3127" s="42" t="str">
        <f t="shared" si="28"/>
        <v/>
      </c>
      <c r="T3127" s="42"/>
    </row>
    <row r="3128" ht="22.5" customHeight="1">
      <c r="B3128" s="42">
        <f t="shared" si="7"/>
        <v>3122</v>
      </c>
      <c r="C3128" s="31" t="s">
        <v>3192</v>
      </c>
      <c r="D3128" s="34" t="str">
        <f t="array" ref="D3128">IFNA(_xlfn.XLOOKUP(C3128,Table_Tarikan_Warkah[Nomor Sertipikat],Table_Tarikan_Warkah[Nomor Tiket]),"")</f>
        <v>K/31/110725/1</v>
      </c>
      <c r="E3128" s="36">
        <f t="array" ref="E3128">IFNA(_xlfn.XLOOKUP(D3128,Table_Tarikan_Warkah[Nomor Tiket],Table_Tarikan_Warkah[Tanggal diserahkan kepada Validator]),"")</f>
        <v>45867.68103</v>
      </c>
      <c r="F3128" s="36" t="str">
        <f t="array" ref="F3128">IFNA(_xlfn.XLOOKUP(D3128,Table_Tarikan_Warkah[Nomor Tiket],Table_Tarikan_Warkah[Nama Petugas Warkah]),"")</f>
        <v>Berry</v>
      </c>
      <c r="G3128" s="39" t="str">
        <f t="array" ref="G3128">IFNA(_xlfn.XLOOKUP(D3128,Table_Tarikan_Warkah[Nomor Tiket],Table_Tarikan_Warkah[Jenis Permohonan]),"")</f>
        <v>JUAL BELI</v>
      </c>
      <c r="H3128" s="41" t="s">
        <v>2315</v>
      </c>
      <c r="I3128" s="49" t="s">
        <v>23</v>
      </c>
      <c r="J3128" s="36">
        <f t="shared" si="20"/>
        <v>45863.53654</v>
      </c>
      <c r="K3128" s="49" t="s">
        <v>2378</v>
      </c>
      <c r="L3128" s="49" t="s">
        <v>23</v>
      </c>
      <c r="M3128" s="36">
        <f t="shared" si="33"/>
        <v>45866.50899</v>
      </c>
      <c r="N3128" s="30" t="str">
        <f t="shared" si="34"/>
        <v>Selesai</v>
      </c>
      <c r="O3128" s="45">
        <f t="shared" si="23"/>
        <v>45866.50899</v>
      </c>
      <c r="P3128" s="47" t="b">
        <v>0</v>
      </c>
      <c r="Q3128" s="36" t="str">
        <f t="shared" si="35"/>
        <v/>
      </c>
      <c r="R3128" s="47" t="b">
        <v>0</v>
      </c>
      <c r="S3128" s="42" t="str">
        <f t="shared" si="28"/>
        <v/>
      </c>
      <c r="T3128" s="42"/>
    </row>
    <row r="3129" ht="22.5" customHeight="1">
      <c r="B3129" s="42">
        <f t="shared" si="7"/>
        <v>3123</v>
      </c>
      <c r="C3129" s="31" t="s">
        <v>3193</v>
      </c>
      <c r="D3129" s="34" t="str">
        <f t="array" ref="D3129">IFNA(_xlfn.XLOOKUP(C3129,Table_Tarikan_Warkah[Nomor Sertipikat],Table_Tarikan_Warkah[Nomor Tiket]),"")</f>
        <v>K/36/100725/1</v>
      </c>
      <c r="E3129" s="36">
        <f t="array" ref="E3129">IFNA(_xlfn.XLOOKUP(D3129,Table_Tarikan_Warkah[Nomor Tiket],Table_Tarikan_Warkah[Tanggal diserahkan kepada Validator]),"")</f>
        <v>45867.68074</v>
      </c>
      <c r="F3129" s="36" t="str">
        <f t="array" ref="F3129">IFNA(_xlfn.XLOOKUP(D3129,Table_Tarikan_Warkah[Nomor Tiket],Table_Tarikan_Warkah[Nama Petugas Warkah]),"")</f>
        <v>Berry</v>
      </c>
      <c r="G3129" s="39" t="str">
        <f t="array" ref="G3129">IFNA(_xlfn.XLOOKUP(D3129,Table_Tarikan_Warkah[Nomor Tiket],Table_Tarikan_Warkah[Jenis Permohonan]),"")</f>
        <v>JUAL BELI</v>
      </c>
      <c r="H3129" s="41" t="s">
        <v>2315</v>
      </c>
      <c r="I3129" s="49" t="s">
        <v>23</v>
      </c>
      <c r="J3129" s="36">
        <f t="shared" si="20"/>
        <v>45863.53669</v>
      </c>
      <c r="K3129" s="49" t="s">
        <v>2378</v>
      </c>
      <c r="L3129" s="49" t="s">
        <v>23</v>
      </c>
      <c r="M3129" s="36">
        <f t="shared" si="33"/>
        <v>45866.50899</v>
      </c>
      <c r="N3129" s="30" t="str">
        <f t="shared" si="34"/>
        <v>Selesai</v>
      </c>
      <c r="O3129" s="45">
        <f t="shared" si="23"/>
        <v>45866.50899</v>
      </c>
      <c r="P3129" s="47" t="b">
        <v>0</v>
      </c>
      <c r="Q3129" s="36" t="str">
        <f t="shared" si="35"/>
        <v/>
      </c>
      <c r="R3129" s="47" t="b">
        <v>0</v>
      </c>
      <c r="S3129" s="42" t="str">
        <f t="shared" si="28"/>
        <v/>
      </c>
      <c r="T3129" s="42"/>
    </row>
    <row r="3130" ht="22.5" customHeight="1">
      <c r="B3130" s="42">
        <f t="shared" si="7"/>
        <v>3124</v>
      </c>
      <c r="C3130" s="31" t="s">
        <v>3194</v>
      </c>
      <c r="D3130" s="34" t="str">
        <f t="array" ref="D3130">IFNA(_xlfn.XLOOKUP(C3130,Table_Tarikan_Warkah[Nomor Sertipikat],Table_Tarikan_Warkah[Nomor Tiket]),"")</f>
        <v>K/7/110725/1</v>
      </c>
      <c r="E3130" s="36">
        <f t="array" ref="E3130">IFNA(_xlfn.XLOOKUP(D3130,Table_Tarikan_Warkah[Nomor Tiket],Table_Tarikan_Warkah[Tanggal diserahkan kepada Validator]),"")</f>
        <v>45867.68371</v>
      </c>
      <c r="F3130" s="36" t="str">
        <f t="array" ref="F3130">IFNA(_xlfn.XLOOKUP(D3130,Table_Tarikan_Warkah[Nomor Tiket],Table_Tarikan_Warkah[Nama Petugas Warkah]),"")</f>
        <v>Berry</v>
      </c>
      <c r="G3130" s="39" t="str">
        <f t="array" ref="G3130">IFNA(_xlfn.XLOOKUP(D3130,Table_Tarikan_Warkah[Nomor Tiket],Table_Tarikan_Warkah[Jenis Permohonan]),"")</f>
        <v>JUAL BELI</v>
      </c>
      <c r="H3130" s="41" t="s">
        <v>2315</v>
      </c>
      <c r="I3130" s="49" t="s">
        <v>23</v>
      </c>
      <c r="J3130" s="36">
        <f t="shared" si="20"/>
        <v>45863.53682</v>
      </c>
      <c r="K3130" s="49" t="s">
        <v>2378</v>
      </c>
      <c r="L3130" s="49" t="s">
        <v>23</v>
      </c>
      <c r="M3130" s="36">
        <f t="shared" si="33"/>
        <v>45866.50899</v>
      </c>
      <c r="N3130" s="30" t="str">
        <f t="shared" si="34"/>
        <v>Selesai</v>
      </c>
      <c r="O3130" s="45">
        <f t="shared" si="23"/>
        <v>45866.50899</v>
      </c>
      <c r="P3130" s="47" t="b">
        <v>0</v>
      </c>
      <c r="Q3130" s="36" t="str">
        <f t="shared" si="35"/>
        <v/>
      </c>
      <c r="R3130" s="47" t="b">
        <v>0</v>
      </c>
      <c r="S3130" s="42" t="str">
        <f t="shared" si="28"/>
        <v/>
      </c>
      <c r="T3130" s="42"/>
    </row>
    <row r="3131" ht="22.5" customHeight="1">
      <c r="B3131" s="42">
        <f t="shared" si="7"/>
        <v>3125</v>
      </c>
      <c r="C3131" s="31" t="s">
        <v>3195</v>
      </c>
      <c r="D3131" s="34" t="str">
        <f t="array" ref="D3131">IFNA(_xlfn.XLOOKUP(C3131,Table_Tarikan_Warkah[Nomor Sertipikat],Table_Tarikan_Warkah[Nomor Tiket]),"")</f>
        <v>K/15/100725/1</v>
      </c>
      <c r="E3131" s="36">
        <f t="array" ref="E3131">IFNA(_xlfn.XLOOKUP(D3131,Table_Tarikan_Warkah[Nomor Tiket],Table_Tarikan_Warkah[Tanggal diserahkan kepada Validator]),"")</f>
        <v>45867.68645</v>
      </c>
      <c r="F3131" s="36" t="str">
        <f t="array" ref="F3131">IFNA(_xlfn.XLOOKUP(D3131,Table_Tarikan_Warkah[Nomor Tiket],Table_Tarikan_Warkah[Nama Petugas Warkah]),"")</f>
        <v>Berry</v>
      </c>
      <c r="G3131" s="39" t="str">
        <f t="array" ref="G3131">IFNA(_xlfn.XLOOKUP(D3131,Table_Tarikan_Warkah[Nomor Tiket],Table_Tarikan_Warkah[Jenis Permohonan]),"")</f>
        <v>BN Jual Beli</v>
      </c>
      <c r="H3131" s="41" t="s">
        <v>2315</v>
      </c>
      <c r="I3131" s="49" t="s">
        <v>23</v>
      </c>
      <c r="J3131" s="36">
        <f t="shared" si="20"/>
        <v>45863.53694</v>
      </c>
      <c r="K3131" s="49" t="s">
        <v>2378</v>
      </c>
      <c r="L3131" s="49" t="s">
        <v>23</v>
      </c>
      <c r="M3131" s="36">
        <f t="shared" si="33"/>
        <v>45866.50899</v>
      </c>
      <c r="N3131" s="30" t="str">
        <f t="shared" si="34"/>
        <v>Selesai</v>
      </c>
      <c r="O3131" s="45">
        <f t="shared" si="23"/>
        <v>45866.50899</v>
      </c>
      <c r="P3131" s="47" t="b">
        <v>0</v>
      </c>
      <c r="Q3131" s="36" t="str">
        <f t="shared" si="35"/>
        <v/>
      </c>
      <c r="R3131" s="47" t="b">
        <v>0</v>
      </c>
      <c r="S3131" s="42" t="str">
        <f t="shared" si="28"/>
        <v/>
      </c>
      <c r="T3131" s="42"/>
    </row>
    <row r="3132" ht="22.5" customHeight="1">
      <c r="B3132" s="42">
        <f t="shared" si="7"/>
        <v>3126</v>
      </c>
      <c r="C3132" s="31" t="s">
        <v>3196</v>
      </c>
      <c r="D3132" s="34" t="str">
        <f t="array" ref="D3132">IFNA(_xlfn.XLOOKUP(C3132,Table_Tarikan_Warkah[Nomor Sertipikat],Table_Tarikan_Warkah[Nomor Tiket]),"")</f>
        <v>K/37/230625/2</v>
      </c>
      <c r="E3132" s="36">
        <f t="array" ref="E3132">IFNA(_xlfn.XLOOKUP(D3132,Table_Tarikan_Warkah[Nomor Tiket],Table_Tarikan_Warkah[Tanggal diserahkan kepada Validator]),"")</f>
        <v>45867.68517</v>
      </c>
      <c r="F3132" s="36" t="str">
        <f t="array" ref="F3132">IFNA(_xlfn.XLOOKUP(D3132,Table_Tarikan_Warkah[Nomor Tiket],Table_Tarikan_Warkah[Nama Petugas Warkah]),"")</f>
        <v>Berry</v>
      </c>
      <c r="G3132" s="39" t="str">
        <f t="array" ref="G3132">IFNA(_xlfn.XLOOKUP(D3132,Table_Tarikan_Warkah[Nomor Tiket],Table_Tarikan_Warkah[Jenis Permohonan]),"")</f>
        <v>BN Jual Beli</v>
      </c>
      <c r="H3132" s="41" t="s">
        <v>2315</v>
      </c>
      <c r="I3132" s="49" t="s">
        <v>23</v>
      </c>
      <c r="J3132" s="36">
        <f t="shared" si="20"/>
        <v>45863.53711</v>
      </c>
      <c r="K3132" s="49" t="s">
        <v>2378</v>
      </c>
      <c r="L3132" s="49" t="s">
        <v>23</v>
      </c>
      <c r="M3132" s="36">
        <f t="shared" si="33"/>
        <v>45866.50899</v>
      </c>
      <c r="N3132" s="30" t="str">
        <f t="shared" si="34"/>
        <v>Selesai</v>
      </c>
      <c r="O3132" s="45">
        <f t="shared" si="23"/>
        <v>45866.50899</v>
      </c>
      <c r="P3132" s="47" t="b">
        <v>0</v>
      </c>
      <c r="Q3132" s="36" t="str">
        <f t="shared" si="35"/>
        <v/>
      </c>
      <c r="R3132" s="47" t="b">
        <v>0</v>
      </c>
      <c r="S3132" s="42" t="str">
        <f t="shared" si="28"/>
        <v/>
      </c>
      <c r="T3132" s="42"/>
    </row>
    <row r="3133" ht="22.5" customHeight="1">
      <c r="B3133" s="42">
        <f t="shared" si="7"/>
        <v>3127</v>
      </c>
      <c r="C3133" s="31" t="s">
        <v>3197</v>
      </c>
      <c r="D3133" s="34" t="str">
        <f t="array" ref="D3133">IFNA(_xlfn.XLOOKUP(C3133,Table_Tarikan_Warkah[Nomor Sertipikat],Table_Tarikan_Warkah[Nomor Tiket]),"")</f>
        <v>K/15/140725/1</v>
      </c>
      <c r="E3133" s="36">
        <f t="array" ref="E3133">IFNA(_xlfn.XLOOKUP(D3133,Table_Tarikan_Warkah[Nomor Tiket],Table_Tarikan_Warkah[Tanggal diserahkan kepada Validator]),"")</f>
        <v>45867.68539</v>
      </c>
      <c r="F3133" s="36" t="str">
        <f t="array" ref="F3133">IFNA(_xlfn.XLOOKUP(D3133,Table_Tarikan_Warkah[Nomor Tiket],Table_Tarikan_Warkah[Nama Petugas Warkah]),"")</f>
        <v>Berry</v>
      </c>
      <c r="G3133" s="39" t="str">
        <f t="array" ref="G3133">IFNA(_xlfn.XLOOKUP(D3133,Table_Tarikan_Warkah[Nomor Tiket],Table_Tarikan_Warkah[Jenis Permohonan]),"")</f>
        <v>BN Jual Beli</v>
      </c>
      <c r="H3133" s="41" t="s">
        <v>2315</v>
      </c>
      <c r="I3133" s="49" t="s">
        <v>23</v>
      </c>
      <c r="J3133" s="36">
        <f t="shared" si="20"/>
        <v>45863.53724</v>
      </c>
      <c r="K3133" s="49" t="s">
        <v>2378</v>
      </c>
      <c r="L3133" s="49" t="s">
        <v>23</v>
      </c>
      <c r="M3133" s="36">
        <f t="shared" si="33"/>
        <v>45866.50899</v>
      </c>
      <c r="N3133" s="30" t="str">
        <f t="shared" si="34"/>
        <v>Selesai</v>
      </c>
      <c r="O3133" s="45">
        <f t="shared" si="23"/>
        <v>45866.50899</v>
      </c>
      <c r="P3133" s="47" t="b">
        <v>0</v>
      </c>
      <c r="Q3133" s="36" t="str">
        <f t="shared" si="35"/>
        <v/>
      </c>
      <c r="R3133" s="47" t="b">
        <v>0</v>
      </c>
      <c r="S3133" s="42" t="str">
        <f t="shared" si="28"/>
        <v/>
      </c>
      <c r="T3133" s="42"/>
    </row>
    <row r="3134" ht="22.5" customHeight="1">
      <c r="B3134" s="42">
        <f t="shared" si="7"/>
        <v>3128</v>
      </c>
      <c r="C3134" s="31" t="s">
        <v>3198</v>
      </c>
      <c r="D3134" s="34" t="str">
        <f t="array" ref="D3134">IFNA(_xlfn.XLOOKUP(C3134,Table_Tarikan_Warkah[Nomor Sertipikat],Table_Tarikan_Warkah[Nomor Tiket]),"")</f>
        <v>K/16/110725/4</v>
      </c>
      <c r="E3134" s="36">
        <f t="array" ref="E3134">IFNA(_xlfn.XLOOKUP(D3134,Table_Tarikan_Warkah[Nomor Tiket],Table_Tarikan_Warkah[Tanggal diserahkan kepada Validator]),"")</f>
        <v>45867.71658</v>
      </c>
      <c r="F3134" s="36" t="str">
        <f t="array" ref="F3134">IFNA(_xlfn.XLOOKUP(D3134,Table_Tarikan_Warkah[Nomor Tiket],Table_Tarikan_Warkah[Nama Petugas Warkah]),"")</f>
        <v>Berry</v>
      </c>
      <c r="G3134" s="39" t="str">
        <f t="array" ref="G3134">IFNA(_xlfn.XLOOKUP(D3134,Table_Tarikan_Warkah[Nomor Tiket],Table_Tarikan_Warkah[Jenis Permohonan]),"")</f>
        <v>BN Jual Beli</v>
      </c>
      <c r="H3134" s="41" t="s">
        <v>2315</v>
      </c>
      <c r="I3134" s="49" t="s">
        <v>23</v>
      </c>
      <c r="J3134" s="36">
        <f t="shared" si="20"/>
        <v>45863.53737</v>
      </c>
      <c r="K3134" s="49" t="s">
        <v>2378</v>
      </c>
      <c r="L3134" s="49" t="s">
        <v>23</v>
      </c>
      <c r="M3134" s="36">
        <f t="shared" si="33"/>
        <v>45866.50899</v>
      </c>
      <c r="N3134" s="30" t="str">
        <f t="shared" si="34"/>
        <v>Selesai</v>
      </c>
      <c r="O3134" s="45">
        <f t="shared" si="23"/>
        <v>45866.50899</v>
      </c>
      <c r="P3134" s="47" t="b">
        <v>0</v>
      </c>
      <c r="Q3134" s="36" t="str">
        <f t="shared" si="35"/>
        <v/>
      </c>
      <c r="R3134" s="47" t="b">
        <v>0</v>
      </c>
      <c r="S3134" s="42" t="str">
        <f t="shared" si="28"/>
        <v/>
      </c>
      <c r="T3134" s="42"/>
    </row>
    <row r="3135" ht="22.5" customHeight="1">
      <c r="B3135" s="42">
        <f t="shared" si="7"/>
        <v>3129</v>
      </c>
      <c r="C3135" s="31" t="s">
        <v>3199</v>
      </c>
      <c r="D3135" s="34" t="str">
        <f t="array" ref="D3135">IFNA(_xlfn.XLOOKUP(C3135,Table_Tarikan_Warkah[Nomor Sertipikat],Table_Tarikan_Warkah[Nomor Tiket]),"")</f>
        <v>K/36/010725/2</v>
      </c>
      <c r="E3135" s="36">
        <f t="array" ref="E3135">IFNA(_xlfn.XLOOKUP(D3135,Table_Tarikan_Warkah[Nomor Tiket],Table_Tarikan_Warkah[Tanggal diserahkan kepada Validator]),"")</f>
        <v>45867.68566</v>
      </c>
      <c r="F3135" s="36" t="str">
        <f t="array" ref="F3135">IFNA(_xlfn.XLOOKUP(D3135,Table_Tarikan_Warkah[Nomor Tiket],Table_Tarikan_Warkah[Nama Petugas Warkah]),"")</f>
        <v>Berry</v>
      </c>
      <c r="G3135" s="39" t="str">
        <f t="array" ref="G3135">IFNA(_xlfn.XLOOKUP(D3135,Table_Tarikan_Warkah[Nomor Tiket],Table_Tarikan_Warkah[Jenis Permohonan]),"")</f>
        <v>BN Jual Beli</v>
      </c>
      <c r="H3135" s="41" t="s">
        <v>2315</v>
      </c>
      <c r="I3135" s="49" t="s">
        <v>23</v>
      </c>
      <c r="J3135" s="36">
        <f t="shared" si="20"/>
        <v>45863.53749</v>
      </c>
      <c r="K3135" s="49" t="s">
        <v>2378</v>
      </c>
      <c r="L3135" s="49" t="s">
        <v>23</v>
      </c>
      <c r="M3135" s="36">
        <f t="shared" si="33"/>
        <v>45866.50904</v>
      </c>
      <c r="N3135" s="30" t="str">
        <f t="shared" si="34"/>
        <v>Selesai</v>
      </c>
      <c r="O3135" s="45">
        <f t="shared" si="23"/>
        <v>45866.50904</v>
      </c>
      <c r="P3135" s="47" t="b">
        <v>0</v>
      </c>
      <c r="Q3135" s="36" t="str">
        <f t="shared" si="35"/>
        <v/>
      </c>
      <c r="R3135" s="47" t="b">
        <v>0</v>
      </c>
      <c r="S3135" s="42" t="str">
        <f t="shared" si="28"/>
        <v/>
      </c>
      <c r="T3135" s="42"/>
    </row>
    <row r="3136" ht="22.5" customHeight="1">
      <c r="B3136" s="42">
        <f t="shared" si="7"/>
        <v>3130</v>
      </c>
      <c r="C3136" s="31" t="s">
        <v>3200</v>
      </c>
      <c r="D3136" s="34" t="str">
        <f t="array" ref="D3136">IFNA(_xlfn.XLOOKUP(C3136,Table_Tarikan_Warkah[Nomor Sertipikat],Table_Tarikan_Warkah[Nomor Tiket]),"")</f>
        <v>K/8/230625/1</v>
      </c>
      <c r="E3136" s="36">
        <f t="array" ref="E3136">IFNA(_xlfn.XLOOKUP(D3136,Table_Tarikan_Warkah[Nomor Tiket],Table_Tarikan_Warkah[Tanggal diserahkan kepada Validator]),"")</f>
        <v>45867.71627</v>
      </c>
      <c r="F3136" s="36" t="str">
        <f t="array" ref="F3136">IFNA(_xlfn.XLOOKUP(D3136,Table_Tarikan_Warkah[Nomor Tiket],Table_Tarikan_Warkah[Nama Petugas Warkah]),"")</f>
        <v>Berry</v>
      </c>
      <c r="G3136" s="39" t="str">
        <f t="array" ref="G3136">IFNA(_xlfn.XLOOKUP(D3136,Table_Tarikan_Warkah[Nomor Tiket],Table_Tarikan_Warkah[Jenis Permohonan]),"")</f>
        <v>BN Jual Beli</v>
      </c>
      <c r="H3136" s="41" t="s">
        <v>2315</v>
      </c>
      <c r="I3136" s="49" t="s">
        <v>23</v>
      </c>
      <c r="J3136" s="36">
        <f t="shared" si="20"/>
        <v>45863.53762</v>
      </c>
      <c r="K3136" s="49" t="s">
        <v>2378</v>
      </c>
      <c r="L3136" s="49" t="s">
        <v>23</v>
      </c>
      <c r="M3136" s="36">
        <f t="shared" si="33"/>
        <v>45866.50904</v>
      </c>
      <c r="N3136" s="30" t="str">
        <f t="shared" si="34"/>
        <v>Selesai</v>
      </c>
      <c r="O3136" s="45">
        <f t="shared" si="23"/>
        <v>45866.50904</v>
      </c>
      <c r="P3136" s="47" t="b">
        <v>0</v>
      </c>
      <c r="Q3136" s="36" t="str">
        <f t="shared" si="35"/>
        <v/>
      </c>
      <c r="R3136" s="47" t="b">
        <v>0</v>
      </c>
      <c r="S3136" s="42" t="str">
        <f t="shared" si="28"/>
        <v/>
      </c>
      <c r="T3136" s="42"/>
    </row>
    <row r="3137" ht="22.5" customHeight="1">
      <c r="B3137" s="42">
        <f t="shared" si="7"/>
        <v>3131</v>
      </c>
      <c r="C3137" s="31" t="s">
        <v>3201</v>
      </c>
      <c r="D3137" s="34" t="str">
        <f t="array" ref="D3137">IFNA(_xlfn.XLOOKUP(C3137,Table_Tarikan_Warkah[Nomor Sertipikat],Table_Tarikan_Warkah[Nomor Tiket]),"")</f>
        <v>K/25/040725/2</v>
      </c>
      <c r="E3137" s="36">
        <f t="array" ref="E3137">IFNA(_xlfn.XLOOKUP(D3137,Table_Tarikan_Warkah[Nomor Tiket],Table_Tarikan_Warkah[Tanggal diserahkan kepada Validator]),"")</f>
        <v>45867.716</v>
      </c>
      <c r="F3137" s="36" t="str">
        <f t="array" ref="F3137">IFNA(_xlfn.XLOOKUP(D3137,Table_Tarikan_Warkah[Nomor Tiket],Table_Tarikan_Warkah[Nama Petugas Warkah]),"")</f>
        <v>Berry</v>
      </c>
      <c r="G3137" s="39" t="str">
        <f t="array" ref="G3137">IFNA(_xlfn.XLOOKUP(D3137,Table_Tarikan_Warkah[Nomor Tiket],Table_Tarikan_Warkah[Jenis Permohonan]),"")</f>
        <v>BN Jual Beli</v>
      </c>
      <c r="H3137" s="41" t="s">
        <v>2315</v>
      </c>
      <c r="I3137" s="49" t="s">
        <v>23</v>
      </c>
      <c r="J3137" s="36">
        <f t="shared" si="20"/>
        <v>45863.53775</v>
      </c>
      <c r="K3137" s="49" t="s">
        <v>2378</v>
      </c>
      <c r="L3137" s="49" t="s">
        <v>23</v>
      </c>
      <c r="M3137" s="36">
        <f t="shared" si="33"/>
        <v>45866.50904</v>
      </c>
      <c r="N3137" s="30" t="str">
        <f t="shared" si="34"/>
        <v>Selesai</v>
      </c>
      <c r="O3137" s="45">
        <f t="shared" si="23"/>
        <v>45866.50904</v>
      </c>
      <c r="P3137" s="47" t="b">
        <v>0</v>
      </c>
      <c r="Q3137" s="36" t="str">
        <f t="shared" si="35"/>
        <v/>
      </c>
      <c r="R3137" s="47" t="b">
        <v>0</v>
      </c>
      <c r="S3137" s="42" t="str">
        <f t="shared" si="28"/>
        <v/>
      </c>
      <c r="T3137" s="42"/>
    </row>
    <row r="3138" ht="22.5" customHeight="1">
      <c r="B3138" s="42">
        <f t="shared" si="7"/>
        <v>3132</v>
      </c>
      <c r="C3138" s="31" t="s">
        <v>3202</v>
      </c>
      <c r="D3138" s="34" t="str">
        <f t="array" ref="D3138">IFNA(_xlfn.XLOOKUP(C3138,Table_Tarikan_Warkah[Nomor Sertipikat],Table_Tarikan_Warkah[Nomor Tiket]),"")</f>
        <v>K/3/080725/1</v>
      </c>
      <c r="E3138" s="36">
        <f t="array" ref="E3138">IFNA(_xlfn.XLOOKUP(D3138,Table_Tarikan_Warkah[Nomor Tiket],Table_Tarikan_Warkah[Tanggal diserahkan kepada Validator]),"")</f>
        <v>45867.68432</v>
      </c>
      <c r="F3138" s="36" t="str">
        <f t="array" ref="F3138">IFNA(_xlfn.XLOOKUP(D3138,Table_Tarikan_Warkah[Nomor Tiket],Table_Tarikan_Warkah[Nama Petugas Warkah]),"")</f>
        <v>Berry</v>
      </c>
      <c r="G3138" s="39" t="str">
        <f t="array" ref="G3138">IFNA(_xlfn.XLOOKUP(D3138,Table_Tarikan_Warkah[Nomor Tiket],Table_Tarikan_Warkah[Jenis Permohonan]),"")</f>
        <v>Ganti Nama</v>
      </c>
      <c r="H3138" s="41" t="s">
        <v>2315</v>
      </c>
      <c r="I3138" s="49" t="s">
        <v>23</v>
      </c>
      <c r="J3138" s="36">
        <f t="shared" si="20"/>
        <v>45863.53834</v>
      </c>
      <c r="K3138" s="49" t="s">
        <v>2378</v>
      </c>
      <c r="L3138" s="49" t="s">
        <v>23</v>
      </c>
      <c r="M3138" s="36">
        <f t="shared" si="33"/>
        <v>45866.50904</v>
      </c>
      <c r="N3138" s="30" t="str">
        <f t="shared" si="34"/>
        <v>Selesai</v>
      </c>
      <c r="O3138" s="45">
        <f t="shared" si="23"/>
        <v>45866.50904</v>
      </c>
      <c r="P3138" s="47" t="b">
        <v>0</v>
      </c>
      <c r="Q3138" s="36" t="str">
        <f t="shared" si="35"/>
        <v/>
      </c>
      <c r="R3138" s="47" t="b">
        <v>0</v>
      </c>
      <c r="S3138" s="42" t="str">
        <f t="shared" si="28"/>
        <v/>
      </c>
      <c r="T3138" s="42"/>
    </row>
    <row r="3139" ht="22.5" customHeight="1">
      <c r="B3139" s="42">
        <f t="shared" si="7"/>
        <v>3133</v>
      </c>
      <c r="C3139" s="31" t="s">
        <v>3203</v>
      </c>
      <c r="D3139" s="34" t="str">
        <f t="array" ref="D3139">IFNA(_xlfn.XLOOKUP(C3139,Table_Tarikan_Warkah[Nomor Sertipikat],Table_Tarikan_Warkah[Nomor Tiket]),"")</f>
        <v>K/10/180625/1</v>
      </c>
      <c r="E3139" s="36">
        <f t="array" ref="E3139">IFNA(_xlfn.XLOOKUP(D3139,Table_Tarikan_Warkah[Nomor Tiket],Table_Tarikan_Warkah[Tanggal diserahkan kepada Validator]),"")</f>
        <v>45867.71576</v>
      </c>
      <c r="F3139" s="36" t="str">
        <f t="array" ref="F3139">IFNA(_xlfn.XLOOKUP(D3139,Table_Tarikan_Warkah[Nomor Tiket],Table_Tarikan_Warkah[Nama Petugas Warkah]),"")</f>
        <v>Berry</v>
      </c>
      <c r="G3139" s="39" t="str">
        <f t="array" ref="G3139">IFNA(_xlfn.XLOOKUP(D3139,Table_Tarikan_Warkah[Nomor Tiket],Table_Tarikan_Warkah[Jenis Permohonan]),"")</f>
        <v>BN Jual Beli</v>
      </c>
      <c r="H3139" s="41" t="s">
        <v>2315</v>
      </c>
      <c r="I3139" s="49" t="s">
        <v>23</v>
      </c>
      <c r="J3139" s="36">
        <f t="shared" si="20"/>
        <v>45863.53846</v>
      </c>
      <c r="K3139" s="49" t="s">
        <v>2378</v>
      </c>
      <c r="L3139" s="49" t="s">
        <v>23</v>
      </c>
      <c r="M3139" s="36">
        <f t="shared" si="33"/>
        <v>45866.50904</v>
      </c>
      <c r="N3139" s="30" t="str">
        <f t="shared" si="34"/>
        <v>Selesai</v>
      </c>
      <c r="O3139" s="45">
        <f t="shared" si="23"/>
        <v>45866.50904</v>
      </c>
      <c r="P3139" s="47" t="b">
        <v>0</v>
      </c>
      <c r="Q3139" s="36" t="str">
        <f t="shared" si="35"/>
        <v/>
      </c>
      <c r="R3139" s="47" t="b">
        <v>0</v>
      </c>
      <c r="S3139" s="42" t="str">
        <f t="shared" si="28"/>
        <v/>
      </c>
      <c r="T3139" s="42"/>
    </row>
    <row r="3140" ht="22.5" customHeight="1">
      <c r="B3140" s="42">
        <f t="shared" si="7"/>
        <v>3134</v>
      </c>
      <c r="C3140" s="31" t="s">
        <v>3204</v>
      </c>
      <c r="D3140" s="34" t="str">
        <f t="array" ref="D3140">IFNA(_xlfn.XLOOKUP(C3140,Table_Tarikan_Warkah[Nomor Sertipikat],Table_Tarikan_Warkah[Nomor Tiket]),"")</f>
        <v>K/15/230625/1</v>
      </c>
      <c r="E3140" s="36">
        <f t="array" ref="E3140">IFNA(_xlfn.XLOOKUP(D3140,Table_Tarikan_Warkah[Nomor Tiket],Table_Tarikan_Warkah[Tanggal diserahkan kepada Validator]),"")</f>
        <v>45867.674</v>
      </c>
      <c r="F3140" s="36" t="str">
        <f t="array" ref="F3140">IFNA(_xlfn.XLOOKUP(D3140,Table_Tarikan_Warkah[Nomor Tiket],Table_Tarikan_Warkah[Nama Petugas Warkah]),"")</f>
        <v>Berry</v>
      </c>
      <c r="G3140" s="39" t="str">
        <f t="array" ref="G3140">IFNA(_xlfn.XLOOKUP(D3140,Table_Tarikan_Warkah[Nomor Tiket],Table_Tarikan_Warkah[Jenis Permohonan]),"")</f>
        <v>BN WARIS</v>
      </c>
      <c r="H3140" s="41" t="s">
        <v>2315</v>
      </c>
      <c r="I3140" s="49" t="s">
        <v>23</v>
      </c>
      <c r="J3140" s="36">
        <f t="shared" si="20"/>
        <v>45863.53858</v>
      </c>
      <c r="K3140" s="49" t="s">
        <v>2378</v>
      </c>
      <c r="L3140" s="49" t="s">
        <v>23</v>
      </c>
      <c r="M3140" s="36">
        <f t="shared" si="33"/>
        <v>45866.50904</v>
      </c>
      <c r="N3140" s="30" t="str">
        <f t="shared" si="34"/>
        <v>Selesai</v>
      </c>
      <c r="O3140" s="45">
        <f t="shared" si="23"/>
        <v>45866.50904</v>
      </c>
      <c r="P3140" s="47" t="b">
        <v>0</v>
      </c>
      <c r="Q3140" s="36" t="str">
        <f t="shared" si="35"/>
        <v/>
      </c>
      <c r="R3140" s="47" t="b">
        <v>0</v>
      </c>
      <c r="S3140" s="42" t="str">
        <f t="shared" si="28"/>
        <v/>
      </c>
      <c r="T3140" s="42"/>
    </row>
    <row r="3141" ht="22.5" customHeight="1">
      <c r="B3141" s="42">
        <f t="shared" si="7"/>
        <v>3135</v>
      </c>
      <c r="C3141" s="31" t="s">
        <v>3205</v>
      </c>
      <c r="D3141" s="34" t="str">
        <f t="array" ref="D3141">IFNA(_xlfn.XLOOKUP(C3141,Table_Tarikan_Warkah[Nomor Sertipikat],Table_Tarikan_Warkah[Nomor Tiket]),"")</f>
        <v>K/5/160725/1</v>
      </c>
      <c r="E3141" s="36">
        <f t="array" ref="E3141">IFNA(_xlfn.XLOOKUP(D3141,Table_Tarikan_Warkah[Nomor Tiket],Table_Tarikan_Warkah[Tanggal diserahkan kepada Validator]),"")</f>
        <v>45867.67478</v>
      </c>
      <c r="F3141" s="36" t="str">
        <f t="array" ref="F3141">IFNA(_xlfn.XLOOKUP(D3141,Table_Tarikan_Warkah[Nomor Tiket],Table_Tarikan_Warkah[Nama Petugas Warkah]),"")</f>
        <v>Berry</v>
      </c>
      <c r="G3141" s="39" t="str">
        <f t="array" ref="G3141">IFNA(_xlfn.XLOOKUP(D3141,Table_Tarikan_Warkah[Nomor Tiket],Table_Tarikan_Warkah[Jenis Permohonan]),"")</f>
        <v>BN WARIS</v>
      </c>
      <c r="H3141" s="41" t="s">
        <v>2315</v>
      </c>
      <c r="I3141" s="49" t="s">
        <v>23</v>
      </c>
      <c r="J3141" s="36">
        <f t="shared" si="20"/>
        <v>45863.53882</v>
      </c>
      <c r="K3141" s="49" t="s">
        <v>2378</v>
      </c>
      <c r="L3141" s="49" t="s">
        <v>23</v>
      </c>
      <c r="M3141" s="36">
        <f t="shared" si="33"/>
        <v>45866.50904</v>
      </c>
      <c r="N3141" s="30" t="str">
        <f t="shared" si="34"/>
        <v>Selesai</v>
      </c>
      <c r="O3141" s="45">
        <f t="shared" si="23"/>
        <v>45866.50904</v>
      </c>
      <c r="P3141" s="47" t="b">
        <v>0</v>
      </c>
      <c r="Q3141" s="36" t="str">
        <f t="shared" si="35"/>
        <v/>
      </c>
      <c r="R3141" s="47" t="b">
        <v>0</v>
      </c>
      <c r="S3141" s="42" t="str">
        <f t="shared" si="28"/>
        <v/>
      </c>
      <c r="T3141" s="42"/>
    </row>
    <row r="3142" ht="22.5" customHeight="1">
      <c r="B3142" s="42">
        <f t="shared" si="7"/>
        <v>3136</v>
      </c>
      <c r="C3142" s="31" t="s">
        <v>3206</v>
      </c>
      <c r="D3142" s="34" t="str">
        <f t="array" ref="D3142">IFNA(_xlfn.XLOOKUP(C3142,Table_Tarikan_Warkah[Nomor Sertipikat],Table_Tarikan_Warkah[Nomor Tiket]),"")</f>
        <v>K/37/150725/4</v>
      </c>
      <c r="E3142" s="36">
        <f t="array" ref="E3142">IFNA(_xlfn.XLOOKUP(D3142,Table_Tarikan_Warkah[Nomor Tiket],Table_Tarikan_Warkah[Tanggal diserahkan kepada Validator]),"")</f>
        <v>45867.67506</v>
      </c>
      <c r="F3142" s="36" t="str">
        <f t="array" ref="F3142">IFNA(_xlfn.XLOOKUP(D3142,Table_Tarikan_Warkah[Nomor Tiket],Table_Tarikan_Warkah[Nama Petugas Warkah]),"")</f>
        <v>Berry</v>
      </c>
      <c r="G3142" s="39" t="str">
        <f t="array" ref="G3142">IFNA(_xlfn.XLOOKUP(D3142,Table_Tarikan_Warkah[Nomor Tiket],Table_Tarikan_Warkah[Jenis Permohonan]),"")</f>
        <v>BN WARIS</v>
      </c>
      <c r="H3142" s="41" t="s">
        <v>2315</v>
      </c>
      <c r="I3142" s="49" t="s">
        <v>23</v>
      </c>
      <c r="J3142" s="36">
        <f t="shared" si="20"/>
        <v>45863.53894</v>
      </c>
      <c r="K3142" s="49" t="s">
        <v>2378</v>
      </c>
      <c r="L3142" s="49" t="s">
        <v>23</v>
      </c>
      <c r="M3142" s="36">
        <f t="shared" si="33"/>
        <v>45866.50904</v>
      </c>
      <c r="N3142" s="30" t="str">
        <f t="shared" si="34"/>
        <v>Selesai</v>
      </c>
      <c r="O3142" s="45">
        <f t="shared" si="23"/>
        <v>45866.50904</v>
      </c>
      <c r="P3142" s="47" t="b">
        <v>0</v>
      </c>
      <c r="Q3142" s="36" t="str">
        <f t="shared" si="35"/>
        <v/>
      </c>
      <c r="R3142" s="47" t="b">
        <v>0</v>
      </c>
      <c r="S3142" s="42" t="str">
        <f t="shared" si="28"/>
        <v/>
      </c>
      <c r="T3142" s="42"/>
    </row>
    <row r="3143" ht="22.5" customHeight="1">
      <c r="B3143" s="42">
        <f t="shared" si="7"/>
        <v>3137</v>
      </c>
      <c r="C3143" s="31" t="s">
        <v>3207</v>
      </c>
      <c r="D3143" s="34" t="str">
        <f t="array" ref="D3143">IFNA(_xlfn.XLOOKUP(C3143,Table_Tarikan_Warkah[Nomor Sertipikat],Table_Tarikan_Warkah[Nomor Tiket]),"")</f>
        <v>K/9/140725/1</v>
      </c>
      <c r="E3143" s="36">
        <f t="array" ref="E3143">IFNA(_xlfn.XLOOKUP(D3143,Table_Tarikan_Warkah[Nomor Tiket],Table_Tarikan_Warkah[Tanggal diserahkan kepada Validator]),"")</f>
        <v>45874.65156</v>
      </c>
      <c r="F3143" s="36" t="str">
        <f t="array" ref="F3143">IFNA(_xlfn.XLOOKUP(D3143,Table_Tarikan_Warkah[Nomor Tiket],Table_Tarikan_Warkah[Nama Petugas Warkah]),"")</f>
        <v>Berry</v>
      </c>
      <c r="G3143" s="39" t="str">
        <f t="array" ref="G3143">IFNA(_xlfn.XLOOKUP(D3143,Table_Tarikan_Warkah[Nomor Tiket],Table_Tarikan_Warkah[Jenis Permohonan]),"")</f>
        <v>BN WARIS</v>
      </c>
      <c r="H3143" s="41" t="s">
        <v>2315</v>
      </c>
      <c r="I3143" s="49" t="s">
        <v>23</v>
      </c>
      <c r="J3143" s="36">
        <f t="shared" si="20"/>
        <v>45863.53911</v>
      </c>
      <c r="K3143" s="49" t="s">
        <v>2378</v>
      </c>
      <c r="L3143" s="49" t="s">
        <v>23</v>
      </c>
      <c r="M3143" s="36">
        <f t="shared" si="33"/>
        <v>45866.50904</v>
      </c>
      <c r="N3143" s="30" t="str">
        <f t="shared" si="34"/>
        <v>Selesai</v>
      </c>
      <c r="O3143" s="45">
        <f t="shared" si="23"/>
        <v>45866.50904</v>
      </c>
      <c r="P3143" s="47" t="b">
        <v>0</v>
      </c>
      <c r="Q3143" s="36" t="str">
        <f t="shared" si="35"/>
        <v/>
      </c>
      <c r="R3143" s="47" t="b">
        <v>0</v>
      </c>
      <c r="S3143" s="42" t="str">
        <f t="shared" si="28"/>
        <v/>
      </c>
      <c r="T3143" s="42"/>
    </row>
    <row r="3144" ht="22.5" customHeight="1">
      <c r="B3144" s="42">
        <f t="shared" si="7"/>
        <v>3138</v>
      </c>
      <c r="C3144" s="31" t="s">
        <v>3208</v>
      </c>
      <c r="D3144" s="34" t="str">
        <f t="array" ref="D3144">IFNA(_xlfn.XLOOKUP(C3144,Table_Tarikan_Warkah[Nomor Sertipikat],Table_Tarikan_Warkah[Nomor Tiket]),"")</f>
        <v>K/6/220725/1</v>
      </c>
      <c r="E3144" s="36">
        <f t="array" ref="E3144">IFNA(_xlfn.XLOOKUP(D3144,Table_Tarikan_Warkah[Nomor Tiket],Table_Tarikan_Warkah[Tanggal diserahkan kepada Validator]),"")</f>
        <v>45867.68212</v>
      </c>
      <c r="F3144" s="36" t="str">
        <f t="array" ref="F3144">IFNA(_xlfn.XLOOKUP(D3144,Table_Tarikan_Warkah[Nomor Tiket],Table_Tarikan_Warkah[Nama Petugas Warkah]),"")</f>
        <v>Berry</v>
      </c>
      <c r="G3144" s="39" t="str">
        <f t="array" ref="G3144">IFNA(_xlfn.XLOOKUP(D3144,Table_Tarikan_Warkah[Nomor Tiket],Table_Tarikan_Warkah[Jenis Permohonan]),"")</f>
        <v>JUAL BELI</v>
      </c>
      <c r="H3144" s="41" t="s">
        <v>2315</v>
      </c>
      <c r="I3144" s="49" t="s">
        <v>23</v>
      </c>
      <c r="J3144" s="36">
        <f t="shared" si="20"/>
        <v>45863.53929</v>
      </c>
      <c r="K3144" s="49" t="s">
        <v>2378</v>
      </c>
      <c r="L3144" s="49" t="s">
        <v>23</v>
      </c>
      <c r="M3144" s="36">
        <f t="shared" si="33"/>
        <v>45866.50904</v>
      </c>
      <c r="N3144" s="30" t="str">
        <f t="shared" si="34"/>
        <v>Selesai</v>
      </c>
      <c r="O3144" s="45">
        <f t="shared" si="23"/>
        <v>45866.50904</v>
      </c>
      <c r="P3144" s="47" t="b">
        <v>0</v>
      </c>
      <c r="Q3144" s="36" t="str">
        <f t="shared" si="35"/>
        <v/>
      </c>
      <c r="R3144" s="47" t="b">
        <v>0</v>
      </c>
      <c r="S3144" s="42" t="str">
        <f t="shared" si="28"/>
        <v/>
      </c>
      <c r="T3144" s="42"/>
    </row>
    <row r="3145" ht="22.5" customHeight="1">
      <c r="B3145" s="42">
        <f t="shared" si="7"/>
        <v>3139</v>
      </c>
      <c r="C3145" s="31" t="s">
        <v>3209</v>
      </c>
      <c r="D3145" s="34" t="str">
        <f t="array" ref="D3145">IFNA(_xlfn.XLOOKUP(C3145,Table_Tarikan_Warkah[Nomor Sertipikat],Table_Tarikan_Warkah[Nomor Tiket]),"")</f>
        <v>K/21/230725/3</v>
      </c>
      <c r="E3145" s="36" t="str">
        <f t="array" ref="E3145">IFNA(_xlfn.XLOOKUP(D3145,Table_Tarikan_Warkah[Nomor Tiket],Table_Tarikan_Warkah[Tanggal diserahkan kepada Validator]),"")</f>
        <v/>
      </c>
      <c r="F3145" s="36" t="str">
        <f t="array" ref="F3145">IFNA(_xlfn.XLOOKUP(D3145,Table_Tarikan_Warkah[Nomor Tiket],Table_Tarikan_Warkah[Nama Petugas Warkah]),"")</f>
        <v/>
      </c>
      <c r="G3145" s="39" t="str">
        <f t="array" ref="G3145">IFNA(_xlfn.XLOOKUP(D3145,Table_Tarikan_Warkah[Nomor Tiket],Table_Tarikan_Warkah[Jenis Permohonan]),"")</f>
        <v>ABN JUAL-BELI</v>
      </c>
      <c r="H3145" s="41" t="s">
        <v>920</v>
      </c>
      <c r="I3145" s="49" t="s">
        <v>23</v>
      </c>
      <c r="J3145" s="36">
        <f t="shared" si="20"/>
        <v>45863.55138</v>
      </c>
      <c r="K3145" s="49" t="s">
        <v>920</v>
      </c>
      <c r="L3145" s="49" t="s">
        <v>23</v>
      </c>
      <c r="M3145" s="36">
        <f t="shared" si="33"/>
        <v>45863.55144</v>
      </c>
      <c r="N3145" s="30" t="str">
        <f t="shared" si="34"/>
        <v>Selesai</v>
      </c>
      <c r="O3145" s="45">
        <f t="shared" si="23"/>
        <v>45863.55144</v>
      </c>
      <c r="P3145" s="47" t="b">
        <v>1</v>
      </c>
      <c r="Q3145" s="36">
        <f t="shared" si="35"/>
        <v>45863.5515</v>
      </c>
      <c r="R3145" s="47" t="b">
        <v>0</v>
      </c>
      <c r="S3145" s="42" t="str">
        <f t="shared" si="28"/>
        <v/>
      </c>
      <c r="T3145" s="42"/>
    </row>
    <row r="3146" ht="22.5" customHeight="1">
      <c r="B3146" s="42">
        <f t="shared" si="7"/>
        <v>3140</v>
      </c>
      <c r="C3146" s="31" t="s">
        <v>3210</v>
      </c>
      <c r="D3146" s="34" t="str">
        <f t="array" ref="D3146">IFNA(_xlfn.XLOOKUP(C3146,Table_Tarikan_Warkah[Nomor Sertipikat],Table_Tarikan_Warkah[Nomor Tiket]),"")</f>
        <v>K/62/050625/1</v>
      </c>
      <c r="E3146" s="36" t="str">
        <f t="array" ref="E3146">IFNA(_xlfn.XLOOKUP(D3146,Table_Tarikan_Warkah[Nomor Tiket],Table_Tarikan_Warkah[Tanggal diserahkan kepada Validator]),"")</f>
        <v/>
      </c>
      <c r="F3146" s="36" t="str">
        <f t="array" ref="F3146">IFNA(_xlfn.XLOOKUP(D3146,Table_Tarikan_Warkah[Nomor Tiket],Table_Tarikan_Warkah[Nama Petugas Warkah]),"")</f>
        <v/>
      </c>
      <c r="G3146" s="39" t="str">
        <f t="array" ref="G3146">IFNA(_xlfn.XLOOKUP(D3146,Table_Tarikan_Warkah[Nomor Tiket],Table_Tarikan_Warkah[Jenis Permohonan]),"")</f>
        <v>BN Jual Beli</v>
      </c>
      <c r="H3146" s="41" t="s">
        <v>920</v>
      </c>
      <c r="I3146" s="49" t="s">
        <v>23</v>
      </c>
      <c r="J3146" s="36">
        <f t="shared" si="20"/>
        <v>45863.55322</v>
      </c>
      <c r="K3146" s="49" t="s">
        <v>920</v>
      </c>
      <c r="L3146" s="49" t="s">
        <v>23</v>
      </c>
      <c r="M3146" s="36">
        <f t="shared" si="33"/>
        <v>45863.55325</v>
      </c>
      <c r="N3146" s="30" t="str">
        <f t="shared" si="34"/>
        <v>Selesai</v>
      </c>
      <c r="O3146" s="45">
        <f t="shared" si="23"/>
        <v>45863.55325</v>
      </c>
      <c r="P3146" s="47" t="b">
        <v>1</v>
      </c>
      <c r="Q3146" s="36">
        <f t="shared" si="35"/>
        <v>45863.55328</v>
      </c>
      <c r="R3146" s="47" t="b">
        <v>0</v>
      </c>
      <c r="S3146" s="42" t="str">
        <f t="shared" si="28"/>
        <v/>
      </c>
      <c r="T3146" s="42"/>
    </row>
    <row r="3147" ht="22.5" customHeight="1">
      <c r="B3147" s="42">
        <f t="shared" si="7"/>
        <v>3141</v>
      </c>
      <c r="C3147" s="31" t="s">
        <v>3211</v>
      </c>
      <c r="D3147" s="34" t="str">
        <f t="array" ref="D3147">IFNA(_xlfn.XLOOKUP(C3147,Table_Tarikan_Warkah[Nomor Sertipikat],Table_Tarikan_Warkah[Nomor Tiket]),"")</f>
        <v>L/17/160725/1</v>
      </c>
      <c r="E3147" s="36">
        <f t="array" ref="E3147">IFNA(_xlfn.XLOOKUP(D3147,Table_Tarikan_Warkah[Nomor Tiket],Table_Tarikan_Warkah[Tanggal diserahkan kepada Validator]),"")</f>
        <v>45890.59481</v>
      </c>
      <c r="F3147" s="36" t="str">
        <f t="array" ref="F3147">IFNA(_xlfn.XLOOKUP(D3147,Table_Tarikan_Warkah[Nomor Tiket],Table_Tarikan_Warkah[Nama Petugas Warkah]),"")</f>
        <v>Berry</v>
      </c>
      <c r="G3147" s="39" t="str">
        <f t="array" ref="G3147">IFNA(_xlfn.XLOOKUP(D3147,Table_Tarikan_Warkah[Nomor Tiket],Table_Tarikan_Warkah[Jenis Permohonan]),"")</f>
        <v>ROYA WARIS</v>
      </c>
      <c r="H3147" s="41" t="s">
        <v>2315</v>
      </c>
      <c r="I3147" s="49" t="s">
        <v>23</v>
      </c>
      <c r="J3147" s="36">
        <f t="shared" si="20"/>
        <v>45866.62635</v>
      </c>
      <c r="K3147" s="49" t="s">
        <v>2378</v>
      </c>
      <c r="L3147" s="49" t="s">
        <v>23</v>
      </c>
      <c r="M3147" s="36">
        <f t="shared" si="33"/>
        <v>45867.6495</v>
      </c>
      <c r="N3147" s="30" t="str">
        <f t="shared" si="34"/>
        <v>Selesai</v>
      </c>
      <c r="O3147" s="45">
        <f t="shared" si="23"/>
        <v>45867.6495</v>
      </c>
      <c r="P3147" s="47" t="b">
        <v>0</v>
      </c>
      <c r="Q3147" s="36" t="str">
        <f t="shared" si="35"/>
        <v/>
      </c>
      <c r="R3147" s="47" t="b">
        <v>0</v>
      </c>
      <c r="S3147" s="42" t="str">
        <f t="shared" si="28"/>
        <v/>
      </c>
      <c r="T3147" s="42"/>
    </row>
    <row r="3148" ht="22.5" customHeight="1">
      <c r="B3148" s="42">
        <f t="shared" si="7"/>
        <v>3142</v>
      </c>
      <c r="C3148" s="31" t="s">
        <v>3212</v>
      </c>
      <c r="D3148" s="34" t="str">
        <f t="array" ref="D3148">IFNA(_xlfn.XLOOKUP(C3148,Table_Tarikan_Warkah[Nomor Sertipikat],Table_Tarikan_Warkah[Nomor Tiket]),"")</f>
        <v>L/23/180725/1</v>
      </c>
      <c r="E3148" s="36">
        <f t="array" ref="E3148">IFNA(_xlfn.XLOOKUP(D3148,Table_Tarikan_Warkah[Nomor Tiket],Table_Tarikan_Warkah[Tanggal diserahkan kepada Validator]),"")</f>
        <v>45915.50043</v>
      </c>
      <c r="F3148" s="36" t="str">
        <f t="array" ref="F3148">IFNA(_xlfn.XLOOKUP(D3148,Table_Tarikan_Warkah[Nomor Tiket],Table_Tarikan_Warkah[Nama Petugas Warkah]),"")</f>
        <v>David</v>
      </c>
      <c r="G3148" s="39" t="str">
        <f t="array" ref="G3148">IFNA(_xlfn.XLOOKUP(D3148,Table_Tarikan_Warkah[Nomor Tiket],Table_Tarikan_Warkah[Jenis Permohonan]),"")</f>
        <v>ROYA</v>
      </c>
      <c r="H3148" s="41" t="s">
        <v>2315</v>
      </c>
      <c r="I3148" s="49" t="s">
        <v>23</v>
      </c>
      <c r="J3148" s="36">
        <f t="shared" si="20"/>
        <v>45866.62646</v>
      </c>
      <c r="K3148" s="49" t="s">
        <v>2378</v>
      </c>
      <c r="L3148" s="49" t="s">
        <v>23</v>
      </c>
      <c r="M3148" s="36">
        <f t="shared" si="33"/>
        <v>45867.64952</v>
      </c>
      <c r="N3148" s="30" t="str">
        <f t="shared" si="34"/>
        <v>Selesai</v>
      </c>
      <c r="O3148" s="45">
        <f t="shared" si="23"/>
        <v>45867.64952</v>
      </c>
      <c r="P3148" s="47" t="b">
        <v>0</v>
      </c>
      <c r="Q3148" s="36" t="str">
        <f t="shared" si="35"/>
        <v/>
      </c>
      <c r="R3148" s="47" t="b">
        <v>0</v>
      </c>
      <c r="S3148" s="42" t="str">
        <f t="shared" si="28"/>
        <v/>
      </c>
      <c r="T3148" s="42"/>
    </row>
    <row r="3149" ht="22.5" customHeight="1">
      <c r="B3149" s="42">
        <f t="shared" si="7"/>
        <v>3143</v>
      </c>
      <c r="C3149" s="31" t="s">
        <v>3213</v>
      </c>
      <c r="D3149" s="34" t="str">
        <f t="array" ref="D3149">IFNA(_xlfn.XLOOKUP(C3149,Table_Tarikan_Warkah[Nomor Sertipikat],Table_Tarikan_Warkah[Nomor Tiket]),"")</f>
        <v>K/21/070725/2</v>
      </c>
      <c r="E3149" s="36">
        <f t="array" ref="E3149">IFNA(_xlfn.XLOOKUP(D3149,Table_Tarikan_Warkah[Nomor Tiket],Table_Tarikan_Warkah[Tanggal diserahkan kepada Validator]),"")</f>
        <v>45869.49887</v>
      </c>
      <c r="F3149" s="36" t="str">
        <f t="array" ref="F3149">IFNA(_xlfn.XLOOKUP(D3149,Table_Tarikan_Warkah[Nomor Tiket],Table_Tarikan_Warkah[Nama Petugas Warkah]),"")</f>
        <v>Berry</v>
      </c>
      <c r="G3149" s="39" t="str">
        <f t="array" ref="G3149">IFNA(_xlfn.XLOOKUP(D3149,Table_Tarikan_Warkah[Nomor Tiket],Table_Tarikan_Warkah[Jenis Permohonan]),"")</f>
        <v>BN Jual Beli</v>
      </c>
      <c r="H3149" s="41" t="s">
        <v>2315</v>
      </c>
      <c r="I3149" s="49" t="s">
        <v>23</v>
      </c>
      <c r="J3149" s="36">
        <f t="shared" si="20"/>
        <v>45866.62656</v>
      </c>
      <c r="K3149" s="49" t="s">
        <v>2378</v>
      </c>
      <c r="L3149" s="49" t="s">
        <v>23</v>
      </c>
      <c r="M3149" s="36">
        <f t="shared" si="33"/>
        <v>45867.64952</v>
      </c>
      <c r="N3149" s="30" t="str">
        <f t="shared" si="34"/>
        <v>Selesai</v>
      </c>
      <c r="O3149" s="45">
        <f t="shared" si="23"/>
        <v>45867.64952</v>
      </c>
      <c r="P3149" s="47" t="b">
        <v>0</v>
      </c>
      <c r="Q3149" s="36" t="str">
        <f t="shared" si="35"/>
        <v/>
      </c>
      <c r="R3149" s="47" t="b">
        <v>0</v>
      </c>
      <c r="S3149" s="42" t="str">
        <f t="shared" si="28"/>
        <v/>
      </c>
      <c r="T3149" s="42"/>
    </row>
    <row r="3150" ht="22.5" customHeight="1">
      <c r="B3150" s="42">
        <f t="shared" si="7"/>
        <v>3144</v>
      </c>
      <c r="C3150" s="31" t="s">
        <v>3214</v>
      </c>
      <c r="D3150" s="34" t="str">
        <f t="array" ref="D3150">IFNA(_xlfn.XLOOKUP(C3150,Table_Tarikan_Warkah[Nomor Sertipikat],Table_Tarikan_Warkah[Nomor Tiket]),"")</f>
        <v>K/26/020725/2</v>
      </c>
      <c r="E3150" s="36">
        <f t="array" ref="E3150">IFNA(_xlfn.XLOOKUP(D3150,Table_Tarikan_Warkah[Nomor Tiket],Table_Tarikan_Warkah[Tanggal diserahkan kepada Validator]),"")</f>
        <v>45869.49777</v>
      </c>
      <c r="F3150" s="36" t="str">
        <f t="array" ref="F3150">IFNA(_xlfn.XLOOKUP(D3150,Table_Tarikan_Warkah[Nomor Tiket],Table_Tarikan_Warkah[Nama Petugas Warkah]),"")</f>
        <v>Berry</v>
      </c>
      <c r="G3150" s="39" t="str">
        <f t="array" ref="G3150">IFNA(_xlfn.XLOOKUP(D3150,Table_Tarikan_Warkah[Nomor Tiket],Table_Tarikan_Warkah[Jenis Permohonan]),"")</f>
        <v>BN Waris</v>
      </c>
      <c r="H3150" s="41" t="s">
        <v>2315</v>
      </c>
      <c r="I3150" s="49" t="s">
        <v>23</v>
      </c>
      <c r="J3150" s="36">
        <f t="shared" si="20"/>
        <v>45866.62676</v>
      </c>
      <c r="K3150" s="49" t="s">
        <v>2378</v>
      </c>
      <c r="L3150" s="49" t="s">
        <v>23</v>
      </c>
      <c r="M3150" s="36">
        <f t="shared" si="33"/>
        <v>45867.64952</v>
      </c>
      <c r="N3150" s="30" t="str">
        <f t="shared" si="34"/>
        <v>Selesai</v>
      </c>
      <c r="O3150" s="45">
        <f t="shared" si="23"/>
        <v>45867.64952</v>
      </c>
      <c r="P3150" s="47" t="b">
        <v>0</v>
      </c>
      <c r="Q3150" s="36" t="str">
        <f t="shared" si="35"/>
        <v/>
      </c>
      <c r="R3150" s="47" t="b">
        <v>0</v>
      </c>
      <c r="S3150" s="42" t="str">
        <f t="shared" si="28"/>
        <v/>
      </c>
      <c r="T3150" s="42"/>
    </row>
    <row r="3151" ht="22.5" customHeight="1">
      <c r="B3151" s="42">
        <f t="shared" si="7"/>
        <v>3145</v>
      </c>
      <c r="C3151" s="31" t="s">
        <v>3215</v>
      </c>
      <c r="D3151" s="34" t="str">
        <f t="array" ref="D3151">IFNA(_xlfn.XLOOKUP(C3151,Table_Tarikan_Warkah[Nomor Sertipikat],Table_Tarikan_Warkah[Nomor Tiket]),"")</f>
        <v>K/25/020725/1</v>
      </c>
      <c r="E3151" s="36">
        <f t="array" ref="E3151">IFNA(_xlfn.XLOOKUP(D3151,Table_Tarikan_Warkah[Nomor Tiket],Table_Tarikan_Warkah[Tanggal diserahkan kepada Validator]),"")</f>
        <v>45869.49758</v>
      </c>
      <c r="F3151" s="36" t="str">
        <f t="array" ref="F3151">IFNA(_xlfn.XLOOKUP(D3151,Table_Tarikan_Warkah[Nomor Tiket],Table_Tarikan_Warkah[Nama Petugas Warkah]),"")</f>
        <v>Berry</v>
      </c>
      <c r="G3151" s="39" t="str">
        <f t="array" ref="G3151">IFNA(_xlfn.XLOOKUP(D3151,Table_Tarikan_Warkah[Nomor Tiket],Table_Tarikan_Warkah[Jenis Permohonan]),"")</f>
        <v>BN Waris</v>
      </c>
      <c r="H3151" s="41" t="s">
        <v>2315</v>
      </c>
      <c r="I3151" s="49" t="s">
        <v>23</v>
      </c>
      <c r="J3151" s="36">
        <f t="shared" si="20"/>
        <v>45866.62689</v>
      </c>
      <c r="K3151" s="49" t="s">
        <v>2378</v>
      </c>
      <c r="L3151" s="49" t="s">
        <v>23</v>
      </c>
      <c r="M3151" s="36">
        <f t="shared" si="33"/>
        <v>45867.64952</v>
      </c>
      <c r="N3151" s="30" t="str">
        <f t="shared" si="34"/>
        <v>Selesai</v>
      </c>
      <c r="O3151" s="45">
        <f t="shared" si="23"/>
        <v>45867.64952</v>
      </c>
      <c r="P3151" s="47" t="b">
        <v>0</v>
      </c>
      <c r="Q3151" s="36" t="str">
        <f t="shared" si="35"/>
        <v/>
      </c>
      <c r="R3151" s="47" t="b">
        <v>0</v>
      </c>
      <c r="S3151" s="42" t="str">
        <f t="shared" si="28"/>
        <v/>
      </c>
      <c r="T3151" s="42"/>
    </row>
    <row r="3152" ht="22.5" customHeight="1">
      <c r="B3152" s="42">
        <f t="shared" si="7"/>
        <v>3146</v>
      </c>
      <c r="C3152" s="31" t="s">
        <v>3216</v>
      </c>
      <c r="D3152" s="34" t="str">
        <f t="array" ref="D3152">IFNA(_xlfn.XLOOKUP(C3152,Table_Tarikan_Warkah[Nomor Sertipikat],Table_Tarikan_Warkah[Nomor Tiket]),"")</f>
        <v>K/40/260625/1</v>
      </c>
      <c r="E3152" s="36">
        <f t="array" ref="E3152">IFNA(_xlfn.XLOOKUP(D3152,Table_Tarikan_Warkah[Nomor Tiket],Table_Tarikan_Warkah[Tanggal diserahkan kepada Validator]),"")</f>
        <v>45869.49865</v>
      </c>
      <c r="F3152" s="36" t="str">
        <f t="array" ref="F3152">IFNA(_xlfn.XLOOKUP(D3152,Table_Tarikan_Warkah[Nomor Tiket],Table_Tarikan_Warkah[Nama Petugas Warkah]),"")</f>
        <v>Berry</v>
      </c>
      <c r="G3152" s="39" t="str">
        <f t="array" ref="G3152">IFNA(_xlfn.XLOOKUP(D3152,Table_Tarikan_Warkah[Nomor Tiket],Table_Tarikan_Warkah[Jenis Permohonan]),"")</f>
        <v>BN Jual Beli</v>
      </c>
      <c r="H3152" s="41" t="s">
        <v>2315</v>
      </c>
      <c r="I3152" s="49" t="s">
        <v>23</v>
      </c>
      <c r="J3152" s="36">
        <f t="shared" si="20"/>
        <v>45866.62698</v>
      </c>
      <c r="K3152" s="49" t="s">
        <v>2378</v>
      </c>
      <c r="L3152" s="49" t="s">
        <v>23</v>
      </c>
      <c r="M3152" s="36">
        <f t="shared" si="33"/>
        <v>45867.64952</v>
      </c>
      <c r="N3152" s="30" t="str">
        <f t="shared" si="34"/>
        <v>Selesai</v>
      </c>
      <c r="O3152" s="45">
        <f t="shared" si="23"/>
        <v>45867.64952</v>
      </c>
      <c r="P3152" s="47" t="b">
        <v>0</v>
      </c>
      <c r="Q3152" s="36" t="str">
        <f t="shared" si="35"/>
        <v/>
      </c>
      <c r="R3152" s="47" t="b">
        <v>0</v>
      </c>
      <c r="S3152" s="42" t="str">
        <f t="shared" si="28"/>
        <v/>
      </c>
      <c r="T3152" s="42"/>
    </row>
    <row r="3153" ht="22.5" customHeight="1">
      <c r="B3153" s="42">
        <f t="shared" si="7"/>
        <v>3147</v>
      </c>
      <c r="C3153" s="31" t="s">
        <v>3217</v>
      </c>
      <c r="D3153" s="34" t="str">
        <f t="array" ref="D3153">IFNA(_xlfn.XLOOKUP(C3153,Table_Tarikan_Warkah[Nomor Sertipikat],Table_Tarikan_Warkah[Nomor Tiket]),"")</f>
        <v>K/13/170725/1</v>
      </c>
      <c r="E3153" s="36">
        <f t="array" ref="E3153">IFNA(_xlfn.XLOOKUP(D3153,Table_Tarikan_Warkah[Nomor Tiket],Table_Tarikan_Warkah[Tanggal diserahkan kepada Validator]),"")</f>
        <v>45876.64353</v>
      </c>
      <c r="F3153" s="36" t="str">
        <f t="array" ref="F3153">IFNA(_xlfn.XLOOKUP(D3153,Table_Tarikan_Warkah[Nomor Tiket],Table_Tarikan_Warkah[Nama Petugas Warkah]),"")</f>
        <v>David</v>
      </c>
      <c r="G3153" s="39" t="str">
        <f t="array" ref="G3153">IFNA(_xlfn.XLOOKUP(D3153,Table_Tarikan_Warkah[Nomor Tiket],Table_Tarikan_Warkah[Jenis Permohonan]),"")</f>
        <v>Roya </v>
      </c>
      <c r="H3153" s="41" t="s">
        <v>2315</v>
      </c>
      <c r="I3153" s="49" t="s">
        <v>23</v>
      </c>
      <c r="J3153" s="36">
        <f t="shared" si="20"/>
        <v>45866.62716</v>
      </c>
      <c r="K3153" s="49" t="s">
        <v>2378</v>
      </c>
      <c r="L3153" s="49" t="s">
        <v>23</v>
      </c>
      <c r="M3153" s="36">
        <f t="shared" si="33"/>
        <v>45867.64964</v>
      </c>
      <c r="N3153" s="30" t="str">
        <f t="shared" si="34"/>
        <v>Selesai</v>
      </c>
      <c r="O3153" s="45">
        <f t="shared" si="23"/>
        <v>45867.64964</v>
      </c>
      <c r="P3153" s="47" t="b">
        <v>0</v>
      </c>
      <c r="Q3153" s="36" t="str">
        <f t="shared" si="35"/>
        <v/>
      </c>
      <c r="R3153" s="47" t="b">
        <v>0</v>
      </c>
      <c r="S3153" s="42" t="str">
        <f t="shared" si="28"/>
        <v/>
      </c>
      <c r="T3153" s="42"/>
    </row>
    <row r="3154" ht="22.5" customHeight="1">
      <c r="B3154" s="42">
        <f t="shared" si="7"/>
        <v>3148</v>
      </c>
      <c r="C3154" s="31" t="s">
        <v>3218</v>
      </c>
      <c r="D3154" s="34" t="str">
        <f t="array" ref="D3154">IFNA(_xlfn.XLOOKUP(C3154,Table_Tarikan_Warkah[Nomor Sertipikat],Table_Tarikan_Warkah[Nomor Tiket]),"")</f>
        <v>K/26/100725/2</v>
      </c>
      <c r="E3154" s="36">
        <f t="array" ref="E3154">IFNA(_xlfn.XLOOKUP(D3154,Table_Tarikan_Warkah[Nomor Tiket],Table_Tarikan_Warkah[Tanggal diserahkan kepada Validator]),"")</f>
        <v>45869.49833</v>
      </c>
      <c r="F3154" s="36" t="str">
        <f t="array" ref="F3154">IFNA(_xlfn.XLOOKUP(D3154,Table_Tarikan_Warkah[Nomor Tiket],Table_Tarikan_Warkah[Nama Petugas Warkah]),"")</f>
        <v>Berry</v>
      </c>
      <c r="G3154" s="39" t="str">
        <f t="array" ref="G3154">IFNA(_xlfn.XLOOKUP(D3154,Table_Tarikan_Warkah[Nomor Tiket],Table_Tarikan_Warkah[Jenis Permohonan]),"")</f>
        <v>BN Jual Beli</v>
      </c>
      <c r="H3154" s="41" t="s">
        <v>2315</v>
      </c>
      <c r="I3154" s="49" t="s">
        <v>23</v>
      </c>
      <c r="J3154" s="36">
        <f t="shared" si="20"/>
        <v>45866.62727</v>
      </c>
      <c r="K3154" s="49" t="s">
        <v>2378</v>
      </c>
      <c r="L3154" s="49" t="s">
        <v>23</v>
      </c>
      <c r="M3154" s="36">
        <f t="shared" si="33"/>
        <v>45867.64964</v>
      </c>
      <c r="N3154" s="30" t="str">
        <f t="shared" si="34"/>
        <v>Selesai</v>
      </c>
      <c r="O3154" s="45">
        <f t="shared" si="23"/>
        <v>45867.64964</v>
      </c>
      <c r="P3154" s="47" t="b">
        <v>0</v>
      </c>
      <c r="Q3154" s="36" t="str">
        <f t="shared" si="35"/>
        <v/>
      </c>
      <c r="R3154" s="47" t="b">
        <v>0</v>
      </c>
      <c r="S3154" s="42" t="str">
        <f t="shared" si="28"/>
        <v/>
      </c>
      <c r="T3154" s="42"/>
    </row>
    <row r="3155" ht="22.5" customHeight="1">
      <c r="B3155" s="42">
        <f t="shared" si="7"/>
        <v>3149</v>
      </c>
      <c r="C3155" s="31" t="s">
        <v>3219</v>
      </c>
      <c r="D3155" s="34" t="str">
        <f t="array" ref="D3155">IFNA(_xlfn.XLOOKUP(C3155,Table_Tarikan_Warkah[Nomor Sertipikat],Table_Tarikan_Warkah[Nomor Tiket]),"")</f>
        <v>K/4/180625/1</v>
      </c>
      <c r="E3155" s="36">
        <f t="array" ref="E3155">IFNA(_xlfn.XLOOKUP(D3155,Table_Tarikan_Warkah[Nomor Tiket],Table_Tarikan_Warkah[Tanggal diserahkan kepada Validator]),"")</f>
        <v>45869.49916</v>
      </c>
      <c r="F3155" s="36" t="str">
        <f t="array" ref="F3155">IFNA(_xlfn.XLOOKUP(D3155,Table_Tarikan_Warkah[Nomor Tiket],Table_Tarikan_Warkah[Nama Petugas Warkah]),"")</f>
        <v>Berry</v>
      </c>
      <c r="G3155" s="39" t="str">
        <f t="array" ref="G3155">IFNA(_xlfn.XLOOKUP(D3155,Table_Tarikan_Warkah[Nomor Tiket],Table_Tarikan_Warkah[Jenis Permohonan]),"")</f>
        <v>BN Jual Beli</v>
      </c>
      <c r="H3155" s="41" t="s">
        <v>2315</v>
      </c>
      <c r="I3155" s="49" t="s">
        <v>23</v>
      </c>
      <c r="J3155" s="36">
        <f t="shared" si="20"/>
        <v>45866.62745</v>
      </c>
      <c r="K3155" s="49" t="s">
        <v>2378</v>
      </c>
      <c r="L3155" s="49" t="s">
        <v>23</v>
      </c>
      <c r="M3155" s="36">
        <f t="shared" si="33"/>
        <v>45867.64964</v>
      </c>
      <c r="N3155" s="30" t="str">
        <f t="shared" si="34"/>
        <v>Selesai</v>
      </c>
      <c r="O3155" s="45">
        <f t="shared" si="23"/>
        <v>45867.64964</v>
      </c>
      <c r="P3155" s="47" t="b">
        <v>0</v>
      </c>
      <c r="Q3155" s="36" t="str">
        <f t="shared" si="35"/>
        <v/>
      </c>
      <c r="R3155" s="47" t="b">
        <v>0</v>
      </c>
      <c r="S3155" s="42" t="str">
        <f t="shared" si="28"/>
        <v/>
      </c>
      <c r="T3155" s="42"/>
    </row>
    <row r="3156" ht="22.5" customHeight="1">
      <c r="B3156" s="42">
        <f t="shared" si="7"/>
        <v>3150</v>
      </c>
      <c r="C3156" s="31" t="s">
        <v>3220</v>
      </c>
      <c r="D3156" s="34" t="str">
        <f t="array" ref="D3156">IFNA(_xlfn.XLOOKUP(C3156,Table_Tarikan_Warkah[Nomor Sertipikat],Table_Tarikan_Warkah[Nomor Tiket]),"")</f>
        <v>K/28/040725/2</v>
      </c>
      <c r="E3156" s="36">
        <f t="array" ref="E3156">IFNA(_xlfn.XLOOKUP(D3156,Table_Tarikan_Warkah[Nomor Tiket],Table_Tarikan_Warkah[Tanggal diserahkan kepada Validator]),"")</f>
        <v>45869.49569</v>
      </c>
      <c r="F3156" s="36" t="str">
        <f t="array" ref="F3156">IFNA(_xlfn.XLOOKUP(D3156,Table_Tarikan_Warkah[Nomor Tiket],Table_Tarikan_Warkah[Nama Petugas Warkah]),"")</f>
        <v>Berry</v>
      </c>
      <c r="G3156" s="39" t="str">
        <f t="array" ref="G3156">IFNA(_xlfn.XLOOKUP(D3156,Table_Tarikan_Warkah[Nomor Tiket],Table_Tarikan_Warkah[Jenis Permohonan]),"")</f>
        <v>BN Jual Beli</v>
      </c>
      <c r="H3156" s="41" t="s">
        <v>2315</v>
      </c>
      <c r="I3156" s="49" t="s">
        <v>23</v>
      </c>
      <c r="J3156" s="36">
        <f t="shared" si="20"/>
        <v>45866.62755</v>
      </c>
      <c r="K3156" s="49" t="s">
        <v>2378</v>
      </c>
      <c r="L3156" s="49" t="s">
        <v>23</v>
      </c>
      <c r="M3156" s="36">
        <f t="shared" si="33"/>
        <v>45867.64964</v>
      </c>
      <c r="N3156" s="30" t="str">
        <f t="shared" si="34"/>
        <v>Selesai</v>
      </c>
      <c r="O3156" s="45">
        <f t="shared" si="23"/>
        <v>45867.64964</v>
      </c>
      <c r="P3156" s="47" t="b">
        <v>0</v>
      </c>
      <c r="Q3156" s="36" t="str">
        <f t="shared" si="35"/>
        <v/>
      </c>
      <c r="R3156" s="47" t="b">
        <v>0</v>
      </c>
      <c r="S3156" s="42" t="str">
        <f t="shared" si="28"/>
        <v/>
      </c>
      <c r="T3156" s="42"/>
    </row>
    <row r="3157" ht="22.5" customHeight="1">
      <c r="B3157" s="42">
        <f t="shared" si="7"/>
        <v>3151</v>
      </c>
      <c r="C3157" s="31" t="s">
        <v>3133</v>
      </c>
      <c r="D3157" s="34" t="str">
        <f t="array" ref="D3157">IFNA(_xlfn.XLOOKUP(C3157,Table_Tarikan_Warkah[Nomor Sertipikat],Table_Tarikan_Warkah[Nomor Tiket]),"")</f>
        <v>K/16/030725/1</v>
      </c>
      <c r="E3157" s="36">
        <f t="array" ref="E3157">IFNA(_xlfn.XLOOKUP(D3157,Table_Tarikan_Warkah[Nomor Tiket],Table_Tarikan_Warkah[Tanggal diserahkan kepada Validator]),"")</f>
        <v>45869.49615</v>
      </c>
      <c r="F3157" s="36" t="str">
        <f t="array" ref="F3157">IFNA(_xlfn.XLOOKUP(D3157,Table_Tarikan_Warkah[Nomor Tiket],Table_Tarikan_Warkah[Nama Petugas Warkah]),"")</f>
        <v>Berry</v>
      </c>
      <c r="G3157" s="39" t="str">
        <f t="array" ref="G3157">IFNA(_xlfn.XLOOKUP(D3157,Table_Tarikan_Warkah[Nomor Tiket],Table_Tarikan_Warkah[Jenis Permohonan]),"")</f>
        <v>BN Waris</v>
      </c>
      <c r="H3157" s="41" t="s">
        <v>2315</v>
      </c>
      <c r="I3157" s="49" t="s">
        <v>23</v>
      </c>
      <c r="J3157" s="36">
        <f t="shared" si="20"/>
        <v>45866.62769</v>
      </c>
      <c r="K3157" s="49" t="s">
        <v>2378</v>
      </c>
      <c r="L3157" s="49" t="s">
        <v>23</v>
      </c>
      <c r="M3157" s="36">
        <f t="shared" si="33"/>
        <v>45867.64964</v>
      </c>
      <c r="N3157" s="30" t="str">
        <f t="shared" si="34"/>
        <v>Selesai</v>
      </c>
      <c r="O3157" s="45">
        <f t="shared" si="23"/>
        <v>45867.64964</v>
      </c>
      <c r="P3157" s="47" t="b">
        <v>0</v>
      </c>
      <c r="Q3157" s="36" t="str">
        <f t="shared" si="35"/>
        <v/>
      </c>
      <c r="R3157" s="47" t="b">
        <v>0</v>
      </c>
      <c r="S3157" s="42" t="str">
        <f t="shared" si="28"/>
        <v/>
      </c>
      <c r="T3157" s="42"/>
    </row>
    <row r="3158" ht="22.5" customHeight="1">
      <c r="B3158" s="42">
        <f t="shared" si="7"/>
        <v>3152</v>
      </c>
      <c r="C3158" s="31" t="s">
        <v>3221</v>
      </c>
      <c r="D3158" s="34" t="str">
        <f t="array" ref="D3158">IFNA(_xlfn.XLOOKUP(C3158,Table_Tarikan_Warkah[Nomor Sertipikat],Table_Tarikan_Warkah[Nomor Tiket]),"")</f>
        <v>K/35/170725/2</v>
      </c>
      <c r="E3158" s="36">
        <f t="array" ref="E3158">IFNA(_xlfn.XLOOKUP(D3158,Table_Tarikan_Warkah[Nomor Tiket],Table_Tarikan_Warkah[Tanggal diserahkan kepada Validator]),"")</f>
        <v>45868.65291</v>
      </c>
      <c r="F3158" s="36" t="str">
        <f t="array" ref="F3158">IFNA(_xlfn.XLOOKUP(D3158,Table_Tarikan_Warkah[Nomor Tiket],Table_Tarikan_Warkah[Nama Petugas Warkah]),"")</f>
        <v>Berry</v>
      </c>
      <c r="G3158" s="39" t="str">
        <f t="array" ref="G3158">IFNA(_xlfn.XLOOKUP(D3158,Table_Tarikan_Warkah[Nomor Tiket],Table_Tarikan_Warkah[Jenis Permohonan]),"")</f>
        <v>BN Jual Beli</v>
      </c>
      <c r="H3158" s="41" t="s">
        <v>2315</v>
      </c>
      <c r="I3158" s="49" t="s">
        <v>23</v>
      </c>
      <c r="J3158" s="36">
        <f t="shared" si="20"/>
        <v>45866.62786</v>
      </c>
      <c r="K3158" s="49" t="s">
        <v>2378</v>
      </c>
      <c r="L3158" s="49" t="s">
        <v>23</v>
      </c>
      <c r="M3158" s="36">
        <f t="shared" si="33"/>
        <v>45868.62316</v>
      </c>
      <c r="N3158" s="30" t="str">
        <f t="shared" si="34"/>
        <v>Selesai</v>
      </c>
      <c r="O3158" s="45">
        <f t="shared" si="23"/>
        <v>45868.62316</v>
      </c>
      <c r="P3158" s="47" t="b">
        <v>0</v>
      </c>
      <c r="Q3158" s="36" t="str">
        <f t="shared" si="35"/>
        <v/>
      </c>
      <c r="R3158" s="47" t="b">
        <v>0</v>
      </c>
      <c r="S3158" s="42" t="str">
        <f t="shared" si="28"/>
        <v/>
      </c>
      <c r="T3158" s="42"/>
    </row>
    <row r="3159" ht="22.5" customHeight="1">
      <c r="B3159" s="42">
        <f t="shared" si="7"/>
        <v>3153</v>
      </c>
      <c r="C3159" s="31" t="s">
        <v>3222</v>
      </c>
      <c r="D3159" s="34" t="str">
        <f t="array" ref="D3159">IFNA(_xlfn.XLOOKUP(C3159,Table_Tarikan_Warkah[Nomor Sertipikat],Table_Tarikan_Warkah[Nomor Tiket]),"")</f>
        <v>K/24/150725/1</v>
      </c>
      <c r="E3159" s="36">
        <f t="array" ref="E3159">IFNA(_xlfn.XLOOKUP(D3159,Table_Tarikan_Warkah[Nomor Tiket],Table_Tarikan_Warkah[Tanggal diserahkan kepada Validator]),"")</f>
        <v>45930.60036</v>
      </c>
      <c r="F3159" s="36" t="str">
        <f t="array" ref="F3159">IFNA(_xlfn.XLOOKUP(D3159,Table_Tarikan_Warkah[Nomor Tiket],Table_Tarikan_Warkah[Nama Petugas Warkah]),"")</f>
        <v>David</v>
      </c>
      <c r="G3159" s="39" t="str">
        <f t="array" ref="G3159">IFNA(_xlfn.XLOOKUP(D3159,Table_Tarikan_Warkah[Nomor Tiket],Table_Tarikan_Warkah[Jenis Permohonan]),"")</f>
        <v>ROYA</v>
      </c>
      <c r="H3159" s="41" t="s">
        <v>2315</v>
      </c>
      <c r="I3159" s="49" t="s">
        <v>23</v>
      </c>
      <c r="J3159" s="36">
        <f t="shared" si="20"/>
        <v>45866.62795</v>
      </c>
      <c r="K3159" s="49" t="s">
        <v>2378</v>
      </c>
      <c r="L3159" s="49" t="s">
        <v>23</v>
      </c>
      <c r="M3159" s="36">
        <f t="shared" si="33"/>
        <v>45867.64968</v>
      </c>
      <c r="N3159" s="30" t="str">
        <f t="shared" si="34"/>
        <v>Selesai</v>
      </c>
      <c r="O3159" s="45">
        <f t="shared" si="23"/>
        <v>45867.64968</v>
      </c>
      <c r="P3159" s="47" t="b">
        <v>0</v>
      </c>
      <c r="Q3159" s="36" t="str">
        <f t="shared" si="35"/>
        <v/>
      </c>
      <c r="R3159" s="47" t="b">
        <v>0</v>
      </c>
      <c r="S3159" s="42" t="str">
        <f t="shared" si="28"/>
        <v/>
      </c>
      <c r="T3159" s="42"/>
    </row>
    <row r="3160" ht="22.5" customHeight="1">
      <c r="B3160" s="42">
        <f t="shared" si="7"/>
        <v>3154</v>
      </c>
      <c r="C3160" s="31" t="s">
        <v>3223</v>
      </c>
      <c r="D3160" s="34" t="str">
        <f t="array" ref="D3160">IFNA(_xlfn.XLOOKUP(C3160,Table_Tarikan_Warkah[Nomor Sertipikat],Table_Tarikan_Warkah[Nomor Tiket]),"")</f>
        <v>K/34/210725/2</v>
      </c>
      <c r="E3160" s="36">
        <f t="array" ref="E3160">IFNA(_xlfn.XLOOKUP(D3160,Table_Tarikan_Warkah[Nomor Tiket],Table_Tarikan_Warkah[Tanggal diserahkan kepada Validator]),"")</f>
        <v>45912.52469</v>
      </c>
      <c r="F3160" s="36" t="str">
        <f t="array" ref="F3160">IFNA(_xlfn.XLOOKUP(D3160,Table_Tarikan_Warkah[Nomor Tiket],Table_Tarikan_Warkah[Nama Petugas Warkah]),"")</f>
        <v>David</v>
      </c>
      <c r="G3160" s="39" t="str">
        <f t="array" ref="G3160">IFNA(_xlfn.XLOOKUP(D3160,Table_Tarikan_Warkah[Nomor Tiket],Table_Tarikan_Warkah[Jenis Permohonan]),"")</f>
        <v>ROYA</v>
      </c>
      <c r="H3160" s="41" t="s">
        <v>2315</v>
      </c>
      <c r="I3160" s="49" t="s">
        <v>23</v>
      </c>
      <c r="J3160" s="36">
        <f t="shared" si="20"/>
        <v>45866.62808</v>
      </c>
      <c r="K3160" s="49" t="s">
        <v>2378</v>
      </c>
      <c r="L3160" s="49" t="s">
        <v>23</v>
      </c>
      <c r="M3160" s="36">
        <f t="shared" si="33"/>
        <v>45867.64978</v>
      </c>
      <c r="N3160" s="30" t="str">
        <f t="shared" si="34"/>
        <v>Selesai</v>
      </c>
      <c r="O3160" s="45">
        <f t="shared" si="23"/>
        <v>45867.64978</v>
      </c>
      <c r="P3160" s="47" t="b">
        <v>0</v>
      </c>
      <c r="Q3160" s="36" t="str">
        <f t="shared" si="35"/>
        <v/>
      </c>
      <c r="R3160" s="47" t="b">
        <v>0</v>
      </c>
      <c r="S3160" s="42" t="str">
        <f t="shared" si="28"/>
        <v/>
      </c>
      <c r="T3160" s="42"/>
    </row>
    <row r="3161" ht="22.5" customHeight="1">
      <c r="B3161" s="42">
        <f t="shared" si="7"/>
        <v>3155</v>
      </c>
      <c r="C3161" s="31" t="s">
        <v>3224</v>
      </c>
      <c r="D3161" s="34" t="str">
        <f t="array" ref="D3161">IFNA(_xlfn.XLOOKUP(C3161,Table_Tarikan_Warkah[Nomor Sertipikat],Table_Tarikan_Warkah[Nomor Tiket]),"")</f>
        <v>K/27/110725/1</v>
      </c>
      <c r="E3161" s="36">
        <f t="array" ref="E3161">IFNA(_xlfn.XLOOKUP(D3161,Table_Tarikan_Warkah[Nomor Tiket],Table_Tarikan_Warkah[Tanggal diserahkan kepada Validator]),"")</f>
        <v>45869.49798</v>
      </c>
      <c r="F3161" s="36" t="str">
        <f t="array" ref="F3161">IFNA(_xlfn.XLOOKUP(D3161,Table_Tarikan_Warkah[Nomor Tiket],Table_Tarikan_Warkah[Nama Petugas Warkah]),"")</f>
        <v>Berry</v>
      </c>
      <c r="G3161" s="39" t="str">
        <f t="array" ref="G3161">IFNA(_xlfn.XLOOKUP(D3161,Table_Tarikan_Warkah[Nomor Tiket],Table_Tarikan_Warkah[Jenis Permohonan]),"")</f>
        <v>BN JUAL BELI</v>
      </c>
      <c r="H3161" s="41" t="s">
        <v>2315</v>
      </c>
      <c r="I3161" s="49" t="s">
        <v>23</v>
      </c>
      <c r="J3161" s="36">
        <f t="shared" si="20"/>
        <v>45866.62821</v>
      </c>
      <c r="K3161" s="49" t="s">
        <v>2378</v>
      </c>
      <c r="L3161" s="49" t="s">
        <v>23</v>
      </c>
      <c r="M3161" s="36">
        <f t="shared" si="33"/>
        <v>45867.64978</v>
      </c>
      <c r="N3161" s="30" t="str">
        <f t="shared" si="34"/>
        <v>Selesai</v>
      </c>
      <c r="O3161" s="45">
        <f t="shared" si="23"/>
        <v>45867.64978</v>
      </c>
      <c r="P3161" s="47" t="b">
        <v>0</v>
      </c>
      <c r="Q3161" s="36" t="str">
        <f t="shared" si="35"/>
        <v/>
      </c>
      <c r="R3161" s="47" t="b">
        <v>0</v>
      </c>
      <c r="S3161" s="42" t="str">
        <f t="shared" si="28"/>
        <v/>
      </c>
      <c r="T3161" s="42"/>
    </row>
    <row r="3162" ht="22.5" customHeight="1">
      <c r="B3162" s="42">
        <f t="shared" si="7"/>
        <v>3156</v>
      </c>
      <c r="C3162" s="31" t="s">
        <v>3225</v>
      </c>
      <c r="D3162" s="34" t="str">
        <f t="array" ref="D3162">IFNA(_xlfn.XLOOKUP(C3162,Table_Tarikan_Warkah[Nomor Sertipikat],Table_Tarikan_Warkah[Nomor Tiket]),"")</f>
        <v>K/32/110725/1</v>
      </c>
      <c r="E3162" s="36">
        <f t="array" ref="E3162">IFNA(_xlfn.XLOOKUP(D3162,Table_Tarikan_Warkah[Nomor Tiket],Table_Tarikan_Warkah[Tanggal diserahkan kepada Validator]),"")</f>
        <v>45869.49527</v>
      </c>
      <c r="F3162" s="36" t="str">
        <f t="array" ref="F3162">IFNA(_xlfn.XLOOKUP(D3162,Table_Tarikan_Warkah[Nomor Tiket],Table_Tarikan_Warkah[Nama Petugas Warkah]),"")</f>
        <v>Berry</v>
      </c>
      <c r="G3162" s="39" t="str">
        <f t="array" ref="G3162">IFNA(_xlfn.XLOOKUP(D3162,Table_Tarikan_Warkah[Nomor Tiket],Table_Tarikan_Warkah[Jenis Permohonan]),"")</f>
        <v>BN WARIS</v>
      </c>
      <c r="H3162" s="41" t="s">
        <v>2315</v>
      </c>
      <c r="I3162" s="49" t="s">
        <v>23</v>
      </c>
      <c r="J3162" s="36">
        <f t="shared" si="20"/>
        <v>45866.62835</v>
      </c>
      <c r="K3162" s="49" t="s">
        <v>2378</v>
      </c>
      <c r="L3162" s="49" t="s">
        <v>23</v>
      </c>
      <c r="M3162" s="36">
        <f t="shared" si="33"/>
        <v>45867.64978</v>
      </c>
      <c r="N3162" s="30" t="str">
        <f t="shared" si="34"/>
        <v>Selesai</v>
      </c>
      <c r="O3162" s="45">
        <f t="shared" si="23"/>
        <v>45867.64978</v>
      </c>
      <c r="P3162" s="47" t="b">
        <v>0</v>
      </c>
      <c r="Q3162" s="36" t="str">
        <f t="shared" si="35"/>
        <v/>
      </c>
      <c r="R3162" s="47" t="b">
        <v>0</v>
      </c>
      <c r="S3162" s="42" t="str">
        <f t="shared" si="28"/>
        <v/>
      </c>
      <c r="T3162" s="42"/>
    </row>
    <row r="3163" ht="22.5" customHeight="1">
      <c r="B3163" s="42">
        <f t="shared" si="7"/>
        <v>3157</v>
      </c>
      <c r="C3163" s="31" t="s">
        <v>3226</v>
      </c>
      <c r="D3163" s="34" t="str">
        <f t="array" ref="D3163">IFNA(_xlfn.XLOOKUP(C3163,Table_Tarikan_Warkah[Nomor Sertipikat],Table_Tarikan_Warkah[Nomor Tiket]),"")</f>
        <v>K/27/160725/1</v>
      </c>
      <c r="E3163" s="36" t="str">
        <f t="array" ref="E3163">IFNA(_xlfn.XLOOKUP(D3163,Table_Tarikan_Warkah[Nomor Tiket],Table_Tarikan_Warkah[Tanggal diserahkan kepada Validator]),"")</f>
        <v/>
      </c>
      <c r="F3163" s="36" t="str">
        <f t="array" ref="F3163">IFNA(_xlfn.XLOOKUP(D3163,Table_Tarikan_Warkah[Nomor Tiket],Table_Tarikan_Warkah[Nama Petugas Warkah]),"")</f>
        <v/>
      </c>
      <c r="G3163" s="39" t="str">
        <f t="array" ref="G3163">IFNA(_xlfn.XLOOKUP(D3163,Table_Tarikan_Warkah[Nomor Tiket],Table_Tarikan_Warkah[Jenis Permohonan]),"")</f>
        <v>PEMECAHAN</v>
      </c>
      <c r="H3163" s="41" t="s">
        <v>2315</v>
      </c>
      <c r="I3163" s="49" t="s">
        <v>23</v>
      </c>
      <c r="J3163" s="36">
        <f t="shared" si="20"/>
        <v>45866.62859</v>
      </c>
      <c r="K3163" s="49" t="s">
        <v>2378</v>
      </c>
      <c r="L3163" s="49" t="s">
        <v>23</v>
      </c>
      <c r="M3163" s="36">
        <f t="shared" si="33"/>
        <v>45867.64978</v>
      </c>
      <c r="N3163" s="30" t="str">
        <f t="shared" si="34"/>
        <v>Selesai</v>
      </c>
      <c r="O3163" s="45">
        <f t="shared" si="23"/>
        <v>45867.64978</v>
      </c>
      <c r="P3163" s="47" t="b">
        <v>0</v>
      </c>
      <c r="Q3163" s="36" t="str">
        <f t="shared" si="35"/>
        <v/>
      </c>
      <c r="R3163" s="47" t="b">
        <v>0</v>
      </c>
      <c r="S3163" s="42" t="str">
        <f t="shared" si="28"/>
        <v/>
      </c>
      <c r="T3163" s="42"/>
    </row>
    <row r="3164" ht="22.5" customHeight="1">
      <c r="B3164" s="42">
        <f t="shared" si="7"/>
        <v>3158</v>
      </c>
      <c r="C3164" s="31" t="s">
        <v>3227</v>
      </c>
      <c r="D3164" s="34" t="str">
        <f t="array" ref="D3164">IFNA(_xlfn.XLOOKUP(C3164,Table_Tarikan_Warkah[Nomor Sertipikat],Table_Tarikan_Warkah[Nomor Tiket]),"")</f>
        <v>K/36/150725/3</v>
      </c>
      <c r="E3164" s="36">
        <f t="array" ref="E3164">IFNA(_xlfn.XLOOKUP(D3164,Table_Tarikan_Warkah[Nomor Tiket],Table_Tarikan_Warkah[Tanggal diserahkan kepada Validator]),"")</f>
        <v>45869.49436</v>
      </c>
      <c r="F3164" s="36" t="str">
        <f t="array" ref="F3164">IFNA(_xlfn.XLOOKUP(D3164,Table_Tarikan_Warkah[Nomor Tiket],Table_Tarikan_Warkah[Nama Petugas Warkah]),"")</f>
        <v>Berry</v>
      </c>
      <c r="G3164" s="39" t="str">
        <f t="array" ref="G3164">IFNA(_xlfn.XLOOKUP(D3164,Table_Tarikan_Warkah[Nomor Tiket],Table_Tarikan_Warkah[Jenis Permohonan]),"")</f>
        <v>BN JUAL BELI</v>
      </c>
      <c r="H3164" s="41" t="s">
        <v>2315</v>
      </c>
      <c r="I3164" s="49" t="s">
        <v>23</v>
      </c>
      <c r="J3164" s="36">
        <f t="shared" si="20"/>
        <v>45866.62874</v>
      </c>
      <c r="K3164" s="49" t="s">
        <v>2378</v>
      </c>
      <c r="L3164" s="49" t="s">
        <v>23</v>
      </c>
      <c r="M3164" s="36">
        <f t="shared" si="33"/>
        <v>45867.64978</v>
      </c>
      <c r="N3164" s="30" t="str">
        <f t="shared" si="34"/>
        <v>Selesai</v>
      </c>
      <c r="O3164" s="45">
        <f t="shared" si="23"/>
        <v>45867.64978</v>
      </c>
      <c r="P3164" s="47" t="b">
        <v>0</v>
      </c>
      <c r="Q3164" s="36" t="str">
        <f t="shared" si="35"/>
        <v/>
      </c>
      <c r="R3164" s="47" t="b">
        <v>0</v>
      </c>
      <c r="S3164" s="42" t="str">
        <f t="shared" si="28"/>
        <v/>
      </c>
      <c r="T3164" s="42"/>
    </row>
    <row r="3165" ht="22.5" customHeight="1">
      <c r="B3165" s="42">
        <f t="shared" si="7"/>
        <v>3159</v>
      </c>
      <c r="C3165" s="31" t="s">
        <v>3228</v>
      </c>
      <c r="D3165" s="34" t="str">
        <f t="array" ref="D3165">IFNA(_xlfn.XLOOKUP(C3165,Table_Tarikan_Warkah[Nomor Sertipikat],Table_Tarikan_Warkah[Nomor Tiket]),"")</f>
        <v>K/38/290425/2</v>
      </c>
      <c r="E3165" s="36">
        <f t="array" ref="E3165">IFNA(_xlfn.XLOOKUP(D3165,Table_Tarikan_Warkah[Nomor Tiket],Table_Tarikan_Warkah[Tanggal diserahkan kepada Validator]),"")</f>
        <v>45869.49968</v>
      </c>
      <c r="F3165" s="36" t="str">
        <f t="array" ref="F3165">IFNA(_xlfn.XLOOKUP(D3165,Table_Tarikan_Warkah[Nomor Tiket],Table_Tarikan_Warkah[Nama Petugas Warkah]),"")</f>
        <v>Berry</v>
      </c>
      <c r="G3165" s="39" t="str">
        <f t="array" ref="G3165">IFNA(_xlfn.XLOOKUP(D3165,Table_Tarikan_Warkah[Nomor Tiket],Table_Tarikan_Warkah[Jenis Permohonan]),"")</f>
        <v>BN JUAL BELI</v>
      </c>
      <c r="H3165" s="41" t="s">
        <v>2315</v>
      </c>
      <c r="I3165" s="49" t="s">
        <v>23</v>
      </c>
      <c r="J3165" s="36">
        <f t="shared" si="20"/>
        <v>45866.62892</v>
      </c>
      <c r="K3165" s="49" t="s">
        <v>2378</v>
      </c>
      <c r="L3165" s="49" t="s">
        <v>23</v>
      </c>
      <c r="M3165" s="36">
        <f t="shared" si="33"/>
        <v>45867.64978</v>
      </c>
      <c r="N3165" s="30" t="str">
        <f t="shared" si="34"/>
        <v>Selesai</v>
      </c>
      <c r="O3165" s="45">
        <f t="shared" si="23"/>
        <v>45867.64978</v>
      </c>
      <c r="P3165" s="47" t="b">
        <v>0</v>
      </c>
      <c r="Q3165" s="36" t="str">
        <f t="shared" si="35"/>
        <v/>
      </c>
      <c r="R3165" s="47" t="b">
        <v>0</v>
      </c>
      <c r="S3165" s="42" t="str">
        <f t="shared" si="28"/>
        <v/>
      </c>
      <c r="T3165" s="42"/>
    </row>
    <row r="3166" ht="22.5" customHeight="1">
      <c r="B3166" s="42">
        <f t="shared" si="7"/>
        <v>3160</v>
      </c>
      <c r="C3166" s="31" t="s">
        <v>3229</v>
      </c>
      <c r="D3166" s="34" t="str">
        <f t="array" ref="D3166">IFNA(_xlfn.XLOOKUP(C3166,Table_Tarikan_Warkah[Nomor Sertipikat],Table_Tarikan_Warkah[Nomor Tiket]),"")</f>
        <v>K/25/010725/4</v>
      </c>
      <c r="E3166" s="36">
        <f t="array" ref="E3166">IFNA(_xlfn.XLOOKUP(D3166,Table_Tarikan_Warkah[Nomor Tiket],Table_Tarikan_Warkah[Tanggal diserahkan kepada Validator]),"")</f>
        <v>45868.6491</v>
      </c>
      <c r="F3166" s="36" t="str">
        <f t="array" ref="F3166">IFNA(_xlfn.XLOOKUP(D3166,Table_Tarikan_Warkah[Nomor Tiket],Table_Tarikan_Warkah[Nama Petugas Warkah]),"")</f>
        <v>Berry</v>
      </c>
      <c r="G3166" s="39" t="str">
        <f t="array" ref="G3166">IFNA(_xlfn.XLOOKUP(D3166,Table_Tarikan_Warkah[Nomor Tiket],Table_Tarikan_Warkah[Jenis Permohonan]),"")</f>
        <v>BN JUAL BELI</v>
      </c>
      <c r="H3166" s="41" t="s">
        <v>2315</v>
      </c>
      <c r="I3166" s="49" t="s">
        <v>23</v>
      </c>
      <c r="J3166" s="36">
        <f t="shared" si="20"/>
        <v>45866.62919</v>
      </c>
      <c r="K3166" s="49" t="s">
        <v>2378</v>
      </c>
      <c r="L3166" s="49" t="s">
        <v>23</v>
      </c>
      <c r="M3166" s="36">
        <f t="shared" si="33"/>
        <v>45867.64978</v>
      </c>
      <c r="N3166" s="30" t="str">
        <f t="shared" si="34"/>
        <v>Selesai</v>
      </c>
      <c r="O3166" s="45">
        <f t="shared" si="23"/>
        <v>45867.64978</v>
      </c>
      <c r="P3166" s="47" t="b">
        <v>0</v>
      </c>
      <c r="Q3166" s="36" t="str">
        <f t="shared" si="35"/>
        <v/>
      </c>
      <c r="R3166" s="47" t="b">
        <v>0</v>
      </c>
      <c r="S3166" s="42" t="str">
        <f t="shared" si="28"/>
        <v/>
      </c>
      <c r="T3166" s="42"/>
    </row>
    <row r="3167" ht="22.5" customHeight="1">
      <c r="B3167" s="42">
        <f t="shared" si="7"/>
        <v>3161</v>
      </c>
      <c r="C3167" s="31" t="s">
        <v>3230</v>
      </c>
      <c r="D3167" s="34" t="str">
        <f t="array" ref="D3167">IFNA(_xlfn.XLOOKUP(C3167,Table_Tarikan_Warkah[Nomor Sertipikat],Table_Tarikan_Warkah[Nomor Tiket]),"")</f>
        <v>K/14/210725/1</v>
      </c>
      <c r="E3167" s="36">
        <f t="array" ref="E3167">IFNA(_xlfn.XLOOKUP(D3167,Table_Tarikan_Warkah[Nomor Tiket],Table_Tarikan_Warkah[Tanggal diserahkan kepada Validator]),"")</f>
        <v>45932.70485</v>
      </c>
      <c r="F3167" s="36" t="str">
        <f t="array" ref="F3167">IFNA(_xlfn.XLOOKUP(D3167,Table_Tarikan_Warkah[Nomor Tiket],Table_Tarikan_Warkah[Nama Petugas Warkah]),"")</f>
        <v>Berry</v>
      </c>
      <c r="G3167" s="39" t="str">
        <f t="array" ref="G3167">IFNA(_xlfn.XLOOKUP(D3167,Table_Tarikan_Warkah[Nomor Tiket],Table_Tarikan_Warkah[Jenis Permohonan]),"")</f>
        <v>BN JUAL BELI</v>
      </c>
      <c r="H3167" s="41" t="s">
        <v>2315</v>
      </c>
      <c r="I3167" s="49" t="s">
        <v>23</v>
      </c>
      <c r="J3167" s="36">
        <f t="shared" si="20"/>
        <v>45866.62931</v>
      </c>
      <c r="K3167" s="49" t="s">
        <v>2378</v>
      </c>
      <c r="L3167" s="49" t="s">
        <v>23</v>
      </c>
      <c r="M3167" s="36">
        <f t="shared" si="33"/>
        <v>45867.64978</v>
      </c>
      <c r="N3167" s="30" t="str">
        <f t="shared" si="34"/>
        <v>Selesai</v>
      </c>
      <c r="O3167" s="45">
        <f t="shared" si="23"/>
        <v>45867.64978</v>
      </c>
      <c r="P3167" s="47" t="b">
        <v>0</v>
      </c>
      <c r="Q3167" s="36" t="str">
        <f t="shared" si="35"/>
        <v/>
      </c>
      <c r="R3167" s="47" t="b">
        <v>0</v>
      </c>
      <c r="S3167" s="42" t="str">
        <f t="shared" si="28"/>
        <v/>
      </c>
      <c r="T3167" s="42"/>
    </row>
    <row r="3168" ht="22.5" customHeight="1">
      <c r="B3168" s="42">
        <f t="shared" si="7"/>
        <v>3162</v>
      </c>
      <c r="C3168" s="31" t="s">
        <v>3231</v>
      </c>
      <c r="D3168" s="34" t="str">
        <f t="array" ref="D3168">IFNA(_xlfn.XLOOKUP(C3168,Table_Tarikan_Warkah[Nomor Sertipikat],Table_Tarikan_Warkah[Nomor Tiket]),"")</f>
        <v>K/30/190625/1</v>
      </c>
      <c r="E3168" s="36">
        <f t="array" ref="E3168">IFNA(_xlfn.XLOOKUP(D3168,Table_Tarikan_Warkah[Nomor Tiket],Table_Tarikan_Warkah[Tanggal diserahkan kepada Validator]),"")</f>
        <v>45868.64985</v>
      </c>
      <c r="F3168" s="36" t="str">
        <f t="array" ref="F3168">IFNA(_xlfn.XLOOKUP(D3168,Table_Tarikan_Warkah[Nomor Tiket],Table_Tarikan_Warkah[Nama Petugas Warkah]),"")</f>
        <v>Berry</v>
      </c>
      <c r="G3168" s="39" t="str">
        <f t="array" ref="G3168">IFNA(_xlfn.XLOOKUP(D3168,Table_Tarikan_Warkah[Nomor Tiket],Table_Tarikan_Warkah[Jenis Permohonan]),"")</f>
        <v>BN JUAL BELI</v>
      </c>
      <c r="H3168" s="41" t="s">
        <v>2315</v>
      </c>
      <c r="I3168" s="49" t="s">
        <v>23</v>
      </c>
      <c r="J3168" s="36">
        <f t="shared" si="20"/>
        <v>45866.6295</v>
      </c>
      <c r="K3168" s="49" t="s">
        <v>2378</v>
      </c>
      <c r="L3168" s="49" t="s">
        <v>23</v>
      </c>
      <c r="M3168" s="36">
        <f t="shared" si="33"/>
        <v>45867.64978</v>
      </c>
      <c r="N3168" s="30" t="str">
        <f t="shared" si="34"/>
        <v>Selesai</v>
      </c>
      <c r="O3168" s="45">
        <f t="shared" si="23"/>
        <v>45867.64978</v>
      </c>
      <c r="P3168" s="47" t="b">
        <v>0</v>
      </c>
      <c r="Q3168" s="36" t="str">
        <f t="shared" si="35"/>
        <v/>
      </c>
      <c r="R3168" s="47" t="b">
        <v>0</v>
      </c>
      <c r="S3168" s="42" t="str">
        <f t="shared" si="28"/>
        <v/>
      </c>
      <c r="T3168" s="42"/>
    </row>
    <row r="3169" ht="22.5" customHeight="1">
      <c r="B3169" s="42">
        <f t="shared" si="7"/>
        <v>3163</v>
      </c>
      <c r="C3169" s="31" t="s">
        <v>3232</v>
      </c>
      <c r="D3169" s="34" t="str">
        <f t="array" ref="D3169">IFNA(_xlfn.XLOOKUP(C3169,Table_Tarikan_Warkah[Nomor Sertipikat],Table_Tarikan_Warkah[Nomor Tiket]),"")</f>
        <v>K/27/180725/3</v>
      </c>
      <c r="E3169" s="36">
        <f t="array" ref="E3169">IFNA(_xlfn.XLOOKUP(D3169,Table_Tarikan_Warkah[Nomor Tiket],Table_Tarikan_Warkah[Tanggal diserahkan kepada Validator]),"")</f>
        <v>45889.53571</v>
      </c>
      <c r="F3169" s="36" t="str">
        <f t="array" ref="F3169">IFNA(_xlfn.XLOOKUP(D3169,Table_Tarikan_Warkah[Nomor Tiket],Table_Tarikan_Warkah[Nama Petugas Warkah]),"")</f>
        <v>Berry</v>
      </c>
      <c r="G3169" s="39" t="str">
        <f t="array" ref="G3169">IFNA(_xlfn.XLOOKUP(D3169,Table_Tarikan_Warkah[Nomor Tiket],Table_Tarikan_Warkah[Jenis Permohonan]),"")</f>
        <v>ROYA</v>
      </c>
      <c r="H3169" s="41" t="s">
        <v>2315</v>
      </c>
      <c r="I3169" s="49" t="s">
        <v>23</v>
      </c>
      <c r="J3169" s="36">
        <f t="shared" si="20"/>
        <v>45866.62967</v>
      </c>
      <c r="K3169" s="49" t="s">
        <v>2378</v>
      </c>
      <c r="L3169" s="49" t="s">
        <v>23</v>
      </c>
      <c r="M3169" s="36">
        <f t="shared" si="33"/>
        <v>45867.64978</v>
      </c>
      <c r="N3169" s="30" t="str">
        <f t="shared" si="34"/>
        <v>Selesai</v>
      </c>
      <c r="O3169" s="45">
        <f t="shared" si="23"/>
        <v>45867.64978</v>
      </c>
      <c r="P3169" s="47" t="b">
        <v>0</v>
      </c>
      <c r="Q3169" s="36" t="str">
        <f t="shared" si="35"/>
        <v/>
      </c>
      <c r="R3169" s="47" t="b">
        <v>0</v>
      </c>
      <c r="S3169" s="42" t="str">
        <f t="shared" si="28"/>
        <v/>
      </c>
      <c r="T3169" s="42"/>
    </row>
    <row r="3170" ht="22.5" customHeight="1">
      <c r="B3170" s="42">
        <f t="shared" si="7"/>
        <v>3164</v>
      </c>
      <c r="C3170" s="31" t="s">
        <v>3233</v>
      </c>
      <c r="D3170" s="34" t="str">
        <f t="array" ref="D3170">IFNA(_xlfn.XLOOKUP(C3170,Table_Tarikan_Warkah[Nomor Sertipikat],Table_Tarikan_Warkah[Nomor Tiket]),"")</f>
        <v>K/38/040725/1</v>
      </c>
      <c r="E3170" s="36" t="str">
        <f t="array" ref="E3170">IFNA(_xlfn.XLOOKUP(D3170,Table_Tarikan_Warkah[Nomor Tiket],Table_Tarikan_Warkah[Tanggal diserahkan kepada Validator]),"")</f>
        <v/>
      </c>
      <c r="F3170" s="36" t="str">
        <f t="array" ref="F3170">IFNA(_xlfn.XLOOKUP(D3170,Table_Tarikan_Warkah[Nomor Tiket],Table_Tarikan_Warkah[Nama Petugas Warkah]),"")</f>
        <v/>
      </c>
      <c r="G3170" s="39" t="str">
        <f t="array" ref="G3170">IFNA(_xlfn.XLOOKUP(D3170,Table_Tarikan_Warkah[Nomor Tiket],Table_Tarikan_Warkah[Jenis Permohonan]),"")</f>
        <v>TUKAR MENUKAR </v>
      </c>
      <c r="H3170" s="41" t="s">
        <v>2315</v>
      </c>
      <c r="I3170" s="49" t="s">
        <v>23</v>
      </c>
      <c r="J3170" s="36">
        <f t="shared" si="20"/>
        <v>45866.62985</v>
      </c>
      <c r="K3170" s="49" t="s">
        <v>2378</v>
      </c>
      <c r="L3170" s="49" t="s">
        <v>23</v>
      </c>
      <c r="M3170" s="36">
        <f t="shared" si="33"/>
        <v>45868.37914</v>
      </c>
      <c r="N3170" s="30" t="str">
        <f t="shared" si="34"/>
        <v>Selesai</v>
      </c>
      <c r="O3170" s="45">
        <f t="shared" si="23"/>
        <v>45868.37914</v>
      </c>
      <c r="P3170" s="47" t="b">
        <v>0</v>
      </c>
      <c r="Q3170" s="36" t="str">
        <f t="shared" si="35"/>
        <v/>
      </c>
      <c r="R3170" s="47" t="b">
        <v>0</v>
      </c>
      <c r="S3170" s="42" t="str">
        <f t="shared" si="28"/>
        <v/>
      </c>
      <c r="T3170" s="42"/>
    </row>
    <row r="3171" ht="22.5" customHeight="1">
      <c r="B3171" s="42">
        <f t="shared" si="7"/>
        <v>3165</v>
      </c>
      <c r="C3171" s="31" t="s">
        <v>3234</v>
      </c>
      <c r="D3171" s="34" t="str">
        <f t="array" ref="D3171">IFNA(_xlfn.XLOOKUP(C3171,Table_Tarikan_Warkah[Nomor Sertipikat],Table_Tarikan_Warkah[Nomor Tiket]),"")</f>
        <v>K/39/040725/2</v>
      </c>
      <c r="E3171" s="36">
        <f t="array" ref="E3171">IFNA(_xlfn.XLOOKUP(D3171,Table_Tarikan_Warkah[Nomor Tiket],Table_Tarikan_Warkah[Tanggal diserahkan kepada Validator]),"")</f>
        <v>45873.62628</v>
      </c>
      <c r="F3171" s="36" t="str">
        <f t="array" ref="F3171">IFNA(_xlfn.XLOOKUP(D3171,Table_Tarikan_Warkah[Nomor Tiket],Table_Tarikan_Warkah[Nama Petugas Warkah]),"")</f>
        <v>David</v>
      </c>
      <c r="G3171" s="39" t="str">
        <f t="array" ref="G3171">IFNA(_xlfn.XLOOKUP(D3171,Table_Tarikan_Warkah[Nomor Tiket],Table_Tarikan_Warkah[Jenis Permohonan]),"")</f>
        <v>TUKAR MENUKAR</v>
      </c>
      <c r="H3171" s="41" t="s">
        <v>2315</v>
      </c>
      <c r="I3171" s="49" t="s">
        <v>23</v>
      </c>
      <c r="J3171" s="36">
        <f t="shared" si="20"/>
        <v>45866.63016</v>
      </c>
      <c r="K3171" s="49" t="s">
        <v>2378</v>
      </c>
      <c r="L3171" s="49" t="s">
        <v>23</v>
      </c>
      <c r="M3171" s="36">
        <f t="shared" si="33"/>
        <v>45868.37916</v>
      </c>
      <c r="N3171" s="30" t="str">
        <f t="shared" si="34"/>
        <v>Selesai</v>
      </c>
      <c r="O3171" s="45">
        <f t="shared" si="23"/>
        <v>45868.37916</v>
      </c>
      <c r="P3171" s="47" t="b">
        <v>0</v>
      </c>
      <c r="Q3171" s="36" t="str">
        <f t="shared" si="35"/>
        <v/>
      </c>
      <c r="R3171" s="47" t="b">
        <v>0</v>
      </c>
      <c r="S3171" s="42" t="str">
        <f t="shared" si="28"/>
        <v/>
      </c>
      <c r="T3171" s="42"/>
    </row>
    <row r="3172" ht="22.5" customHeight="1">
      <c r="B3172" s="42">
        <f t="shared" si="7"/>
        <v>3166</v>
      </c>
      <c r="C3172" s="31" t="s">
        <v>3235</v>
      </c>
      <c r="D3172" s="34" t="str">
        <f t="array" ref="D3172">IFNA(_xlfn.XLOOKUP(C3172,Table_Tarikan_Warkah[Nomor Sertipikat],Table_Tarikan_Warkah[Nomor Tiket]),"")</f>
        <v>K/2/100725/1</v>
      </c>
      <c r="E3172" s="36">
        <f t="array" ref="E3172">IFNA(_xlfn.XLOOKUP(D3172,Table_Tarikan_Warkah[Nomor Tiket],Table_Tarikan_Warkah[Tanggal diserahkan kepada Validator]),"")</f>
        <v>45897.49346</v>
      </c>
      <c r="F3172" s="36" t="str">
        <f t="array" ref="F3172">IFNA(_xlfn.XLOOKUP(D3172,Table_Tarikan_Warkah[Nomor Tiket],Table_Tarikan_Warkah[Nama Petugas Warkah]),"")</f>
        <v>Berry</v>
      </c>
      <c r="G3172" s="39" t="str">
        <f t="array" ref="G3172">IFNA(_xlfn.XLOOKUP(D3172,Table_Tarikan_Warkah[Nomor Tiket],Table_Tarikan_Warkah[Jenis Permohonan]),"")</f>
        <v>Roya</v>
      </c>
      <c r="H3172" s="41" t="s">
        <v>2315</v>
      </c>
      <c r="I3172" s="49" t="s">
        <v>23</v>
      </c>
      <c r="J3172" s="36">
        <f t="shared" si="20"/>
        <v>45866.63026</v>
      </c>
      <c r="K3172" s="49" t="s">
        <v>2378</v>
      </c>
      <c r="L3172" s="49" t="s">
        <v>23</v>
      </c>
      <c r="M3172" s="36">
        <f t="shared" si="33"/>
        <v>45867.6527</v>
      </c>
      <c r="N3172" s="30" t="str">
        <f t="shared" si="34"/>
        <v>Selesai</v>
      </c>
      <c r="O3172" s="45">
        <f t="shared" si="23"/>
        <v>45867.6527</v>
      </c>
      <c r="P3172" s="47" t="b">
        <v>0</v>
      </c>
      <c r="Q3172" s="36" t="str">
        <f t="shared" si="35"/>
        <v/>
      </c>
      <c r="R3172" s="47" t="b">
        <v>0</v>
      </c>
      <c r="S3172" s="42" t="str">
        <f t="shared" si="28"/>
        <v/>
      </c>
      <c r="T3172" s="42"/>
    </row>
    <row r="3173" ht="22.5" customHeight="1">
      <c r="B3173" s="42">
        <f t="shared" si="7"/>
        <v>3167</v>
      </c>
      <c r="C3173" s="31" t="s">
        <v>3236</v>
      </c>
      <c r="D3173" s="34" t="str">
        <f t="array" ref="D3173">IFNA(_xlfn.XLOOKUP(C3173,Table_Tarikan_Warkah[Nomor Sertipikat],Table_Tarikan_Warkah[Nomor Tiket]),"")</f>
        <v>K/12/160725/1</v>
      </c>
      <c r="E3173" s="36">
        <f t="array" ref="E3173">IFNA(_xlfn.XLOOKUP(D3173,Table_Tarikan_Warkah[Nomor Tiket],Table_Tarikan_Warkah[Tanggal diserahkan kepada Validator]),"")</f>
        <v>45888.60943</v>
      </c>
      <c r="F3173" s="36" t="str">
        <f t="array" ref="F3173">IFNA(_xlfn.XLOOKUP(D3173,Table_Tarikan_Warkah[Nomor Tiket],Table_Tarikan_Warkah[Nama Petugas Warkah]),"")</f>
        <v>Berry</v>
      </c>
      <c r="G3173" s="39" t="str">
        <f t="array" ref="G3173">IFNA(_xlfn.XLOOKUP(D3173,Table_Tarikan_Warkah[Nomor Tiket],Table_Tarikan_Warkah[Jenis Permohonan]),"")</f>
        <v>ROYA</v>
      </c>
      <c r="H3173" s="41" t="s">
        <v>2315</v>
      </c>
      <c r="I3173" s="49" t="s">
        <v>23</v>
      </c>
      <c r="J3173" s="36">
        <f t="shared" si="20"/>
        <v>45866.63042</v>
      </c>
      <c r="K3173" s="49" t="s">
        <v>2378</v>
      </c>
      <c r="L3173" s="49" t="s">
        <v>23</v>
      </c>
      <c r="M3173" s="36">
        <f t="shared" si="33"/>
        <v>45867.65277</v>
      </c>
      <c r="N3173" s="30" t="str">
        <f t="shared" si="34"/>
        <v>Selesai</v>
      </c>
      <c r="O3173" s="45">
        <f t="shared" si="23"/>
        <v>45867.65277</v>
      </c>
      <c r="P3173" s="47" t="b">
        <v>0</v>
      </c>
      <c r="Q3173" s="36" t="str">
        <f t="shared" si="35"/>
        <v/>
      </c>
      <c r="R3173" s="47" t="b">
        <v>0</v>
      </c>
      <c r="S3173" s="42" t="str">
        <f t="shared" si="28"/>
        <v/>
      </c>
      <c r="T3173" s="42"/>
    </row>
    <row r="3174" ht="22.5" customHeight="1">
      <c r="B3174" s="42">
        <f t="shared" si="7"/>
        <v>3168</v>
      </c>
      <c r="C3174" s="31" t="s">
        <v>3237</v>
      </c>
      <c r="D3174" s="34" t="str">
        <f t="array" ref="D3174">IFNA(_xlfn.XLOOKUP(C3174,Table_Tarikan_Warkah[Nomor Sertipikat],Table_Tarikan_Warkah[Nomor Tiket]),"")</f>
        <v>K/38/080725/1</v>
      </c>
      <c r="E3174" s="36">
        <f t="array" ref="E3174">IFNA(_xlfn.XLOOKUP(D3174,Table_Tarikan_Warkah[Nomor Tiket],Table_Tarikan_Warkah[Tanggal diserahkan kepada Validator]),"")</f>
        <v>45875.6254</v>
      </c>
      <c r="F3174" s="36" t="str">
        <f t="array" ref="F3174">IFNA(_xlfn.XLOOKUP(D3174,Table_Tarikan_Warkah[Nomor Tiket],Table_Tarikan_Warkah[Nama Petugas Warkah]),"")</f>
        <v>David</v>
      </c>
      <c r="G3174" s="39" t="str">
        <f t="array" ref="G3174">IFNA(_xlfn.XLOOKUP(D3174,Table_Tarikan_Warkah[Nomor Tiket],Table_Tarikan_Warkah[Jenis Permohonan]),"")</f>
        <v>ROYA</v>
      </c>
      <c r="H3174" s="41" t="s">
        <v>2315</v>
      </c>
      <c r="I3174" s="49" t="s">
        <v>23</v>
      </c>
      <c r="J3174" s="36">
        <f t="shared" si="20"/>
        <v>45866.63062</v>
      </c>
      <c r="K3174" s="49" t="s">
        <v>2378</v>
      </c>
      <c r="L3174" s="49" t="s">
        <v>23</v>
      </c>
      <c r="M3174" s="36">
        <f t="shared" si="33"/>
        <v>45867.65277</v>
      </c>
      <c r="N3174" s="30" t="str">
        <f t="shared" si="34"/>
        <v>Selesai</v>
      </c>
      <c r="O3174" s="45">
        <f t="shared" si="23"/>
        <v>45867.65277</v>
      </c>
      <c r="P3174" s="47" t="b">
        <v>0</v>
      </c>
      <c r="Q3174" s="36" t="str">
        <f t="shared" si="35"/>
        <v/>
      </c>
      <c r="R3174" s="47" t="b">
        <v>0</v>
      </c>
      <c r="S3174" s="42" t="str">
        <f t="shared" si="28"/>
        <v/>
      </c>
      <c r="T3174" s="42"/>
    </row>
    <row r="3175" ht="22.5" customHeight="1">
      <c r="B3175" s="42">
        <f t="shared" si="7"/>
        <v>3169</v>
      </c>
      <c r="C3175" s="31" t="s">
        <v>3238</v>
      </c>
      <c r="D3175" s="34" t="str">
        <f t="array" ref="D3175">IFNA(_xlfn.XLOOKUP(C3175,Table_Tarikan_Warkah[Nomor Sertipikat],Table_Tarikan_Warkah[Nomor Tiket]),"")</f>
        <v>K/14/020725/1</v>
      </c>
      <c r="E3175" s="36">
        <f t="array" ref="E3175">IFNA(_xlfn.XLOOKUP(D3175,Table_Tarikan_Warkah[Nomor Tiket],Table_Tarikan_Warkah[Tanggal diserahkan kepada Validator]),"")</f>
        <v>45883.49375</v>
      </c>
      <c r="F3175" s="36" t="str">
        <f t="array" ref="F3175">IFNA(_xlfn.XLOOKUP(D3175,Table_Tarikan_Warkah[Nomor Tiket],Table_Tarikan_Warkah[Nama Petugas Warkah]),"")</f>
        <v>David</v>
      </c>
      <c r="G3175" s="39" t="str">
        <f t="array" ref="G3175">IFNA(_xlfn.XLOOKUP(D3175,Table_Tarikan_Warkah[Nomor Tiket],Table_Tarikan_Warkah[Jenis Permohonan]),"")</f>
        <v>ROYA</v>
      </c>
      <c r="H3175" s="41" t="s">
        <v>2315</v>
      </c>
      <c r="I3175" s="49" t="s">
        <v>23</v>
      </c>
      <c r="J3175" s="36">
        <f t="shared" si="20"/>
        <v>45866.63075</v>
      </c>
      <c r="K3175" s="49" t="s">
        <v>2378</v>
      </c>
      <c r="L3175" s="49" t="s">
        <v>23</v>
      </c>
      <c r="M3175" s="36">
        <f t="shared" si="33"/>
        <v>45867.65277</v>
      </c>
      <c r="N3175" s="30" t="str">
        <f t="shared" si="34"/>
        <v>Selesai</v>
      </c>
      <c r="O3175" s="45">
        <f t="shared" si="23"/>
        <v>45867.65277</v>
      </c>
      <c r="P3175" s="47" t="b">
        <v>0</v>
      </c>
      <c r="Q3175" s="36" t="str">
        <f t="shared" si="35"/>
        <v/>
      </c>
      <c r="R3175" s="47" t="b">
        <v>0</v>
      </c>
      <c r="S3175" s="42" t="str">
        <f t="shared" si="28"/>
        <v/>
      </c>
      <c r="T3175" s="42"/>
    </row>
    <row r="3176" ht="22.5" customHeight="1">
      <c r="B3176" s="42">
        <f t="shared" si="7"/>
        <v>3170</v>
      </c>
      <c r="C3176" s="31" t="s">
        <v>3239</v>
      </c>
      <c r="D3176" s="34" t="str">
        <f t="array" ref="D3176">IFNA(_xlfn.XLOOKUP(C3176,Table_Tarikan_Warkah[Nomor Sertipikat],Table_Tarikan_Warkah[Nomor Tiket]),"")</f>
        <v>L/6/170725/1</v>
      </c>
      <c r="E3176" s="36">
        <f t="array" ref="E3176">IFNA(_xlfn.XLOOKUP(D3176,Table_Tarikan_Warkah[Nomor Tiket],Table_Tarikan_Warkah[Tanggal diserahkan kepada Validator]),"")</f>
        <v>45890.59199</v>
      </c>
      <c r="F3176" s="36" t="str">
        <f t="array" ref="F3176">IFNA(_xlfn.XLOOKUP(D3176,Table_Tarikan_Warkah[Nomor Tiket],Table_Tarikan_Warkah[Nama Petugas Warkah]),"")</f>
        <v>Berry</v>
      </c>
      <c r="G3176" s="39" t="str">
        <f t="array" ref="G3176">IFNA(_xlfn.XLOOKUP(D3176,Table_Tarikan_Warkah[Nomor Tiket],Table_Tarikan_Warkah[Jenis Permohonan]),"")</f>
        <v>ROYA</v>
      </c>
      <c r="H3176" s="41" t="s">
        <v>2315</v>
      </c>
      <c r="I3176" s="49" t="s">
        <v>23</v>
      </c>
      <c r="J3176" s="36">
        <f t="shared" si="20"/>
        <v>45866.63093</v>
      </c>
      <c r="K3176" s="49" t="s">
        <v>2378</v>
      </c>
      <c r="L3176" s="49" t="s">
        <v>23</v>
      </c>
      <c r="M3176" s="36">
        <f t="shared" si="33"/>
        <v>45867.65303</v>
      </c>
      <c r="N3176" s="30" t="str">
        <f t="shared" si="34"/>
        <v>Selesai</v>
      </c>
      <c r="O3176" s="45">
        <f t="shared" si="23"/>
        <v>45867.65303</v>
      </c>
      <c r="P3176" s="47" t="b">
        <v>0</v>
      </c>
      <c r="Q3176" s="36" t="str">
        <f t="shared" si="35"/>
        <v/>
      </c>
      <c r="R3176" s="47" t="b">
        <v>0</v>
      </c>
      <c r="S3176" s="42" t="str">
        <f t="shared" si="28"/>
        <v/>
      </c>
      <c r="T3176" s="42"/>
    </row>
    <row r="3177" ht="22.5" customHeight="1">
      <c r="B3177" s="42">
        <f t="shared" si="7"/>
        <v>3171</v>
      </c>
      <c r="C3177" s="31" t="s">
        <v>3240</v>
      </c>
      <c r="D3177" s="34" t="str">
        <f t="array" ref="D3177">IFNA(_xlfn.XLOOKUP(C3177,Table_Tarikan_Warkah[Nomor Sertipikat],Table_Tarikan_Warkah[Nomor Tiket]),"")</f>
        <v>K/33/160725/1</v>
      </c>
      <c r="E3177" s="36">
        <f t="array" ref="E3177">IFNA(_xlfn.XLOOKUP(D3177,Table_Tarikan_Warkah[Nomor Tiket],Table_Tarikan_Warkah[Tanggal diserahkan kepada Validator]),"")</f>
        <v>45869.49705</v>
      </c>
      <c r="F3177" s="36" t="str">
        <f t="array" ref="F3177">IFNA(_xlfn.XLOOKUP(D3177,Table_Tarikan_Warkah[Nomor Tiket],Table_Tarikan_Warkah[Nama Petugas Warkah]),"")</f>
        <v>Berry</v>
      </c>
      <c r="G3177" s="39" t="str">
        <f t="array" ref="G3177">IFNA(_xlfn.XLOOKUP(D3177,Table_Tarikan_Warkah[Nomor Tiket],Table_Tarikan_Warkah[Jenis Permohonan]),"")</f>
        <v>BN Jual Beli</v>
      </c>
      <c r="H3177" s="41" t="s">
        <v>2315</v>
      </c>
      <c r="I3177" s="49" t="s">
        <v>23</v>
      </c>
      <c r="J3177" s="36">
        <f t="shared" si="20"/>
        <v>45866.63108</v>
      </c>
      <c r="K3177" s="49" t="s">
        <v>2378</v>
      </c>
      <c r="L3177" s="49" t="s">
        <v>23</v>
      </c>
      <c r="M3177" s="36">
        <f t="shared" si="33"/>
        <v>45867.65303</v>
      </c>
      <c r="N3177" s="30" t="str">
        <f t="shared" si="34"/>
        <v>Selesai</v>
      </c>
      <c r="O3177" s="45">
        <f t="shared" si="23"/>
        <v>45867.65303</v>
      </c>
      <c r="P3177" s="47" t="b">
        <v>0</v>
      </c>
      <c r="Q3177" s="36" t="str">
        <f t="shared" si="35"/>
        <v/>
      </c>
      <c r="R3177" s="47" t="b">
        <v>0</v>
      </c>
      <c r="S3177" s="42" t="str">
        <f t="shared" si="28"/>
        <v/>
      </c>
      <c r="T3177" s="42"/>
    </row>
    <row r="3178" ht="22.5" customHeight="1">
      <c r="B3178" s="42">
        <f t="shared" si="7"/>
        <v>3172</v>
      </c>
      <c r="C3178" s="31" t="s">
        <v>3241</v>
      </c>
      <c r="D3178" s="34" t="str">
        <f t="array" ref="D3178">IFNA(_xlfn.XLOOKUP(C3178,Table_Tarikan_Warkah[Nomor Sertipikat],Table_Tarikan_Warkah[Nomor Tiket]),"")</f>
        <v>K/4/170625/1</v>
      </c>
      <c r="E3178" s="36">
        <f t="array" ref="E3178">IFNA(_xlfn.XLOOKUP(D3178,Table_Tarikan_Warkah[Nomor Tiket],Table_Tarikan_Warkah[Tanggal diserahkan kepada Validator]),"")</f>
        <v>45869.49677</v>
      </c>
      <c r="F3178" s="36" t="str">
        <f t="array" ref="F3178">IFNA(_xlfn.XLOOKUP(D3178,Table_Tarikan_Warkah[Nomor Tiket],Table_Tarikan_Warkah[Nama Petugas Warkah]),"")</f>
        <v>Berry</v>
      </c>
      <c r="G3178" s="39" t="str">
        <f t="array" ref="G3178">IFNA(_xlfn.XLOOKUP(D3178,Table_Tarikan_Warkah[Nomor Tiket],Table_Tarikan_Warkah[Jenis Permohonan]),"")</f>
        <v>BN Jual Beli</v>
      </c>
      <c r="H3178" s="41" t="s">
        <v>2315</v>
      </c>
      <c r="I3178" s="49" t="s">
        <v>23</v>
      </c>
      <c r="J3178" s="36">
        <f t="shared" si="20"/>
        <v>45866.6313</v>
      </c>
      <c r="K3178" s="49" t="s">
        <v>2378</v>
      </c>
      <c r="L3178" s="49" t="s">
        <v>23</v>
      </c>
      <c r="M3178" s="36">
        <f t="shared" si="33"/>
        <v>45867.65303</v>
      </c>
      <c r="N3178" s="30" t="str">
        <f t="shared" si="34"/>
        <v>Selesai</v>
      </c>
      <c r="O3178" s="45">
        <f t="shared" si="23"/>
        <v>45867.65303</v>
      </c>
      <c r="P3178" s="47" t="b">
        <v>0</v>
      </c>
      <c r="Q3178" s="36" t="str">
        <f t="shared" si="35"/>
        <v/>
      </c>
      <c r="R3178" s="47" t="b">
        <v>0</v>
      </c>
      <c r="S3178" s="42" t="str">
        <f t="shared" si="28"/>
        <v/>
      </c>
      <c r="T3178" s="42"/>
    </row>
    <row r="3179" ht="22.5" customHeight="1">
      <c r="B3179" s="42">
        <f t="shared" si="7"/>
        <v>3173</v>
      </c>
      <c r="C3179" s="31" t="s">
        <v>3242</v>
      </c>
      <c r="D3179" s="34" t="str">
        <f t="array" ref="D3179">IFNA(_xlfn.XLOOKUP(C3179,Table_Tarikan_Warkah[Nomor Sertipikat],Table_Tarikan_Warkah[Nomor Tiket]),"")</f>
        <v>K/32/090725/1</v>
      </c>
      <c r="E3179" s="36">
        <f t="array" ref="E3179">IFNA(_xlfn.XLOOKUP(D3179,Table_Tarikan_Warkah[Nomor Tiket],Table_Tarikan_Warkah[Tanggal diserahkan kepada Validator]),"")</f>
        <v>45904.6168</v>
      </c>
      <c r="F3179" s="36" t="str">
        <f t="array" ref="F3179">IFNA(_xlfn.XLOOKUP(D3179,Table_Tarikan_Warkah[Nomor Tiket],Table_Tarikan_Warkah[Nama Petugas Warkah]),"")</f>
        <v>David</v>
      </c>
      <c r="G3179" s="39" t="str">
        <f t="array" ref="G3179">IFNA(_xlfn.XLOOKUP(D3179,Table_Tarikan_Warkah[Nomor Tiket],Table_Tarikan_Warkah[Jenis Permohonan]),"")</f>
        <v>ROYA</v>
      </c>
      <c r="H3179" s="70"/>
      <c r="I3179" s="49"/>
      <c r="J3179" s="36" t="str">
        <f t="shared" si="20"/>
        <v/>
      </c>
      <c r="K3179" s="69"/>
      <c r="L3179" s="49" t="s">
        <v>23</v>
      </c>
      <c r="M3179" s="36">
        <f t="shared" si="33"/>
        <v>45874.68043</v>
      </c>
      <c r="N3179" s="30" t="str">
        <f t="shared" si="34"/>
        <v>BT atau SU Belum Valid</v>
      </c>
      <c r="O3179" s="39" t="str">
        <f t="shared" si="23"/>
        <v/>
      </c>
      <c r="P3179" s="47" t="b">
        <v>0</v>
      </c>
      <c r="Q3179" s="36" t="str">
        <f t="shared" si="35"/>
        <v/>
      </c>
      <c r="R3179" s="47" t="b">
        <v>0</v>
      </c>
      <c r="S3179" s="42" t="str">
        <f t="shared" si="28"/>
        <v/>
      </c>
      <c r="T3179" s="42"/>
    </row>
    <row r="3180" ht="22.5" customHeight="1">
      <c r="B3180" s="42">
        <f t="shared" si="7"/>
        <v>3174</v>
      </c>
      <c r="C3180" s="31" t="s">
        <v>3243</v>
      </c>
      <c r="D3180" s="34" t="str">
        <f t="array" ref="D3180">IFNA(_xlfn.XLOOKUP(C3180,Table_Tarikan_Warkah[Nomor Sertipikat],Table_Tarikan_Warkah[Nomor Tiket]),"")</f>
        <v>K/37/100725/1</v>
      </c>
      <c r="E3180" s="36">
        <f t="array" ref="E3180">IFNA(_xlfn.XLOOKUP(D3180,Table_Tarikan_Warkah[Nomor Tiket],Table_Tarikan_Warkah[Tanggal diserahkan kepada Validator]),"")</f>
        <v>45891.59147</v>
      </c>
      <c r="F3180" s="36" t="str">
        <f t="array" ref="F3180">IFNA(_xlfn.XLOOKUP(D3180,Table_Tarikan_Warkah[Nomor Tiket],Table_Tarikan_Warkah[Nama Petugas Warkah]),"")</f>
        <v>Berry</v>
      </c>
      <c r="G3180" s="39" t="str">
        <f t="array" ref="G3180">IFNA(_xlfn.XLOOKUP(D3180,Table_Tarikan_Warkah[Nomor Tiket],Table_Tarikan_Warkah[Jenis Permohonan]),"")</f>
        <v>ROYA</v>
      </c>
      <c r="H3180" s="70"/>
      <c r="I3180" s="49"/>
      <c r="J3180" s="36" t="str">
        <f t="shared" si="20"/>
        <v/>
      </c>
      <c r="K3180" s="69"/>
      <c r="L3180" s="49" t="s">
        <v>23</v>
      </c>
      <c r="M3180" s="36">
        <f t="shared" si="33"/>
        <v>45874.68043</v>
      </c>
      <c r="N3180" s="30" t="str">
        <f t="shared" si="34"/>
        <v>BT atau SU Belum Valid</v>
      </c>
      <c r="O3180" s="39" t="str">
        <f t="shared" si="23"/>
        <v/>
      </c>
      <c r="P3180" s="47" t="b">
        <v>0</v>
      </c>
      <c r="Q3180" s="36" t="str">
        <f t="shared" si="35"/>
        <v/>
      </c>
      <c r="R3180" s="47" t="b">
        <v>0</v>
      </c>
      <c r="S3180" s="42" t="str">
        <f t="shared" si="28"/>
        <v/>
      </c>
      <c r="T3180" s="42"/>
    </row>
    <row r="3181" ht="22.5" customHeight="1">
      <c r="B3181" s="42">
        <f t="shared" si="7"/>
        <v>3175</v>
      </c>
      <c r="C3181" s="31" t="s">
        <v>3244</v>
      </c>
      <c r="D3181" s="34" t="str">
        <f t="array" ref="D3181">IFNA(_xlfn.XLOOKUP(C3181,Table_Tarikan_Warkah[Nomor Sertipikat],Table_Tarikan_Warkah[Nomor Tiket]),"")</f>
        <v>K/39/080725/1</v>
      </c>
      <c r="E3181" s="36">
        <f t="array" ref="E3181">IFNA(_xlfn.XLOOKUP(D3181,Table_Tarikan_Warkah[Nomor Tiket],Table_Tarikan_Warkah[Tanggal diserahkan kepada Validator]),"")</f>
        <v>45868.65235</v>
      </c>
      <c r="F3181" s="36" t="str">
        <f t="array" ref="F3181">IFNA(_xlfn.XLOOKUP(D3181,Table_Tarikan_Warkah[Nomor Tiket],Table_Tarikan_Warkah[Nama Petugas Warkah]),"")</f>
        <v>Berry</v>
      </c>
      <c r="G3181" s="39" t="str">
        <f t="array" ref="G3181">IFNA(_xlfn.XLOOKUP(D3181,Table_Tarikan_Warkah[Nomor Tiket],Table_Tarikan_Warkah[Jenis Permohonan]),"")</f>
        <v>JUAL BELI</v>
      </c>
      <c r="H3181" s="41" t="s">
        <v>2315</v>
      </c>
      <c r="I3181" s="49" t="s">
        <v>23</v>
      </c>
      <c r="J3181" s="36">
        <f t="shared" si="20"/>
        <v>45867.39755</v>
      </c>
      <c r="K3181" s="49" t="s">
        <v>2378</v>
      </c>
      <c r="L3181" s="49" t="s">
        <v>23</v>
      </c>
      <c r="M3181" s="36">
        <f t="shared" si="33"/>
        <v>45867.65312</v>
      </c>
      <c r="N3181" s="30" t="str">
        <f t="shared" si="34"/>
        <v>Selesai</v>
      </c>
      <c r="O3181" s="45">
        <f t="shared" si="23"/>
        <v>45867.65312</v>
      </c>
      <c r="P3181" s="47" t="b">
        <v>0</v>
      </c>
      <c r="Q3181" s="36" t="str">
        <f t="shared" si="35"/>
        <v/>
      </c>
      <c r="R3181" s="47" t="b">
        <v>0</v>
      </c>
      <c r="S3181" s="42" t="str">
        <f t="shared" si="28"/>
        <v/>
      </c>
      <c r="T3181" s="42"/>
    </row>
    <row r="3182" ht="22.5" customHeight="1">
      <c r="B3182" s="42">
        <f t="shared" si="7"/>
        <v>3176</v>
      </c>
      <c r="C3182" s="31" t="s">
        <v>3245</v>
      </c>
      <c r="D3182" s="34" t="str">
        <f t="array" ref="D3182">IFNA(_xlfn.XLOOKUP(C3182,Table_Tarikan_Warkah[Nomor Sertipikat],Table_Tarikan_Warkah[Nomor Tiket]),"")</f>
        <v>K/36/170725/1</v>
      </c>
      <c r="E3182" s="36">
        <f t="array" ref="E3182">IFNA(_xlfn.XLOOKUP(D3182,Table_Tarikan_Warkah[Nomor Tiket],Table_Tarikan_Warkah[Tanggal diserahkan kepada Validator]),"")</f>
        <v>45868.65269</v>
      </c>
      <c r="F3182" s="36" t="str">
        <f t="array" ref="F3182">IFNA(_xlfn.XLOOKUP(D3182,Table_Tarikan_Warkah[Nomor Tiket],Table_Tarikan_Warkah[Nama Petugas Warkah]),"")</f>
        <v>Berry</v>
      </c>
      <c r="G3182" s="39" t="str">
        <f t="array" ref="G3182">IFNA(_xlfn.XLOOKUP(D3182,Table_Tarikan_Warkah[Nomor Tiket],Table_Tarikan_Warkah[Jenis Permohonan]),"")</f>
        <v>JUAL BELI</v>
      </c>
      <c r="H3182" s="41" t="s">
        <v>2315</v>
      </c>
      <c r="I3182" s="49" t="s">
        <v>23</v>
      </c>
      <c r="J3182" s="36">
        <f t="shared" si="20"/>
        <v>45867.39771</v>
      </c>
      <c r="K3182" s="49" t="s">
        <v>2378</v>
      </c>
      <c r="L3182" s="49" t="s">
        <v>23</v>
      </c>
      <c r="M3182" s="36">
        <f t="shared" si="33"/>
        <v>45867.65314</v>
      </c>
      <c r="N3182" s="30" t="str">
        <f t="shared" si="34"/>
        <v>Selesai</v>
      </c>
      <c r="O3182" s="45">
        <f t="shared" si="23"/>
        <v>45867.65314</v>
      </c>
      <c r="P3182" s="47" t="b">
        <v>0</v>
      </c>
      <c r="Q3182" s="36" t="str">
        <f t="shared" si="35"/>
        <v/>
      </c>
      <c r="R3182" s="47" t="b">
        <v>0</v>
      </c>
      <c r="S3182" s="42" t="str">
        <f t="shared" si="28"/>
        <v/>
      </c>
      <c r="T3182" s="42"/>
    </row>
    <row r="3183" ht="22.5" customHeight="1">
      <c r="B3183" s="42">
        <f t="shared" si="7"/>
        <v>3177</v>
      </c>
      <c r="C3183" s="31" t="s">
        <v>3246</v>
      </c>
      <c r="D3183" s="34" t="str">
        <f t="array" ref="D3183">IFNA(_xlfn.XLOOKUP(C3183,Table_Tarikan_Warkah[Nomor Sertipikat],Table_Tarikan_Warkah[Nomor Tiket]),"")</f>
        <v>K/37/180725/1</v>
      </c>
      <c r="E3183" s="36" t="str">
        <f t="array" ref="E3183">IFNA(_xlfn.XLOOKUP(D3183,Table_Tarikan_Warkah[Nomor Tiket],Table_Tarikan_Warkah[Tanggal diserahkan kepada Validator]),"")</f>
        <v/>
      </c>
      <c r="F3183" s="36" t="str">
        <f t="array" ref="F3183">IFNA(_xlfn.XLOOKUP(D3183,Table_Tarikan_Warkah[Nomor Tiket],Table_Tarikan_Warkah[Nama Petugas Warkah]),"")</f>
        <v/>
      </c>
      <c r="G3183" s="39" t="str">
        <f t="array" ref="G3183">IFNA(_xlfn.XLOOKUP(D3183,Table_Tarikan_Warkah[Nomor Tiket],Table_Tarikan_Warkah[Jenis Permohonan]),"")</f>
        <v>JUAL BELI</v>
      </c>
      <c r="H3183" s="41" t="s">
        <v>2315</v>
      </c>
      <c r="I3183" s="49" t="s">
        <v>23</v>
      </c>
      <c r="J3183" s="36">
        <f t="shared" si="20"/>
        <v>45867.39786</v>
      </c>
      <c r="K3183" s="49" t="s">
        <v>2378</v>
      </c>
      <c r="L3183" s="49" t="s">
        <v>23</v>
      </c>
      <c r="M3183" s="36">
        <f t="shared" si="33"/>
        <v>45867.65314</v>
      </c>
      <c r="N3183" s="30" t="str">
        <f t="shared" si="34"/>
        <v>Selesai</v>
      </c>
      <c r="O3183" s="45">
        <f t="shared" si="23"/>
        <v>45867.65314</v>
      </c>
      <c r="P3183" s="47" t="b">
        <v>0</v>
      </c>
      <c r="Q3183" s="36" t="str">
        <f t="shared" si="35"/>
        <v/>
      </c>
      <c r="R3183" s="47" t="b">
        <v>0</v>
      </c>
      <c r="S3183" s="42" t="str">
        <f t="shared" si="28"/>
        <v/>
      </c>
      <c r="T3183" s="42"/>
    </row>
    <row r="3184" ht="22.5" customHeight="1">
      <c r="B3184" s="42">
        <f t="shared" si="7"/>
        <v>3178</v>
      </c>
      <c r="C3184" s="31" t="s">
        <v>3247</v>
      </c>
      <c r="D3184" s="34" t="str">
        <f t="array" ref="D3184">IFNA(_xlfn.XLOOKUP(C3184,Table_Tarikan_Warkah[Nomor Sertipikat],Table_Tarikan_Warkah[Nomor Tiket]),"")</f>
        <v>L/1/270725/PELATARAN </v>
      </c>
      <c r="E3184" s="36">
        <f t="array" ref="E3184">IFNA(_xlfn.XLOOKUP(D3184,Table_Tarikan_Warkah[Nomor Tiket],Table_Tarikan_Warkah[Tanggal diserahkan kepada Validator]),"")</f>
        <v>45869.49942</v>
      </c>
      <c r="F3184" s="36" t="str">
        <f t="array" ref="F3184">IFNA(_xlfn.XLOOKUP(D3184,Table_Tarikan_Warkah[Nomor Tiket],Table_Tarikan_Warkah[Nama Petugas Warkah]),"")</f>
        <v>Berry</v>
      </c>
      <c r="G3184" s="39" t="str">
        <f t="array" ref="G3184">IFNA(_xlfn.XLOOKUP(D3184,Table_Tarikan_Warkah[Nomor Tiket],Table_Tarikan_Warkah[Jenis Permohonan]),"")</f>
        <v>JUAL BELI </v>
      </c>
      <c r="H3184" s="41" t="s">
        <v>2315</v>
      </c>
      <c r="I3184" s="49" t="s">
        <v>23</v>
      </c>
      <c r="J3184" s="36">
        <f t="shared" si="20"/>
        <v>45867.39824</v>
      </c>
      <c r="K3184" s="49" t="s">
        <v>2378</v>
      </c>
      <c r="L3184" s="49" t="s">
        <v>23</v>
      </c>
      <c r="M3184" s="36">
        <f t="shared" si="33"/>
        <v>45867.65314</v>
      </c>
      <c r="N3184" s="30" t="str">
        <f t="shared" si="34"/>
        <v>Selesai</v>
      </c>
      <c r="O3184" s="45">
        <f t="shared" si="23"/>
        <v>45867.65314</v>
      </c>
      <c r="P3184" s="47" t="b">
        <v>0</v>
      </c>
      <c r="Q3184" s="36" t="str">
        <f t="shared" si="35"/>
        <v/>
      </c>
      <c r="R3184" s="47" t="b">
        <v>0</v>
      </c>
      <c r="S3184" s="42" t="str">
        <f t="shared" si="28"/>
        <v/>
      </c>
      <c r="T3184" s="42"/>
    </row>
    <row r="3185" ht="22.5" customHeight="1">
      <c r="B3185" s="42">
        <f t="shared" si="7"/>
        <v>3179</v>
      </c>
      <c r="C3185" s="31" t="s">
        <v>3248</v>
      </c>
      <c r="D3185" s="34" t="str">
        <f t="array" ref="D3185">IFNA(_xlfn.XLOOKUP(C3185,Table_Tarikan_Warkah[Nomor Sertipikat],Table_Tarikan_Warkah[Nomor Tiket]),"")</f>
        <v>L/1/170725/1</v>
      </c>
      <c r="E3185" s="36">
        <f t="array" ref="E3185">IFNA(_xlfn.XLOOKUP(D3185,Table_Tarikan_Warkah[Nomor Tiket],Table_Tarikan_Warkah[Tanggal diserahkan kepada Validator]),"")</f>
        <v>45877.49074</v>
      </c>
      <c r="F3185" s="36" t="str">
        <f t="array" ref="F3185">IFNA(_xlfn.XLOOKUP(D3185,Table_Tarikan_Warkah[Nomor Tiket],Table_Tarikan_Warkah[Nama Petugas Warkah]),"")</f>
        <v>David</v>
      </c>
      <c r="G3185" s="39" t="str">
        <f t="array" ref="G3185">IFNA(_xlfn.XLOOKUP(D3185,Table_Tarikan_Warkah[Nomor Tiket],Table_Tarikan_Warkah[Jenis Permohonan]),"")</f>
        <v>ROYA</v>
      </c>
      <c r="H3185" s="41" t="s">
        <v>2315</v>
      </c>
      <c r="I3185" s="49" t="s">
        <v>23</v>
      </c>
      <c r="J3185" s="36">
        <f t="shared" si="20"/>
        <v>45867.39844</v>
      </c>
      <c r="K3185" s="49" t="s">
        <v>2378</v>
      </c>
      <c r="L3185" s="49" t="s">
        <v>23</v>
      </c>
      <c r="M3185" s="36">
        <f t="shared" si="33"/>
        <v>45867.65314</v>
      </c>
      <c r="N3185" s="30" t="str">
        <f t="shared" si="34"/>
        <v>Selesai</v>
      </c>
      <c r="O3185" s="45">
        <f t="shared" si="23"/>
        <v>45867.65314</v>
      </c>
      <c r="P3185" s="47" t="b">
        <v>0</v>
      </c>
      <c r="Q3185" s="36" t="str">
        <f t="shared" si="35"/>
        <v/>
      </c>
      <c r="R3185" s="47" t="b">
        <v>0</v>
      </c>
      <c r="S3185" s="42" t="str">
        <f t="shared" si="28"/>
        <v/>
      </c>
      <c r="T3185" s="42"/>
    </row>
    <row r="3186" ht="22.5" customHeight="1">
      <c r="B3186" s="42">
        <f t="shared" si="7"/>
        <v>3180</v>
      </c>
      <c r="C3186" s="31" t="s">
        <v>3249</v>
      </c>
      <c r="D3186" s="34" t="str">
        <f t="array" ref="D3186">IFNA(_xlfn.XLOOKUP(C3186,Table_Tarikan_Warkah[Nomor Sertipikat],Table_Tarikan_Warkah[Nomor Tiket]),"")</f>
        <v>L/13/210725/1</v>
      </c>
      <c r="E3186" s="36">
        <f t="array" ref="E3186">IFNA(_xlfn.XLOOKUP(D3186,Table_Tarikan_Warkah[Nomor Tiket],Table_Tarikan_Warkah[Tanggal diserahkan kepada Validator]),"")</f>
        <v>45891.59099</v>
      </c>
      <c r="F3186" s="36" t="str">
        <f t="array" ref="F3186">IFNA(_xlfn.XLOOKUP(D3186,Table_Tarikan_Warkah[Nomor Tiket],Table_Tarikan_Warkah[Nama Petugas Warkah]),"")</f>
        <v>Berry</v>
      </c>
      <c r="G3186" s="39" t="str">
        <f t="array" ref="G3186">IFNA(_xlfn.XLOOKUP(D3186,Table_Tarikan_Warkah[Nomor Tiket],Table_Tarikan_Warkah[Jenis Permohonan]),"")</f>
        <v>ROYA</v>
      </c>
      <c r="H3186" s="41" t="s">
        <v>2315</v>
      </c>
      <c r="I3186" s="49" t="s">
        <v>23</v>
      </c>
      <c r="J3186" s="36">
        <f t="shared" si="20"/>
        <v>45867.39863</v>
      </c>
      <c r="K3186" s="49" t="s">
        <v>2378</v>
      </c>
      <c r="L3186" s="49" t="s">
        <v>23</v>
      </c>
      <c r="M3186" s="36">
        <f t="shared" si="33"/>
        <v>45867.65314</v>
      </c>
      <c r="N3186" s="30" t="str">
        <f t="shared" si="34"/>
        <v>Selesai</v>
      </c>
      <c r="O3186" s="45">
        <f t="shared" si="23"/>
        <v>45867.65314</v>
      </c>
      <c r="P3186" s="47" t="b">
        <v>0</v>
      </c>
      <c r="Q3186" s="36" t="str">
        <f t="shared" si="35"/>
        <v/>
      </c>
      <c r="R3186" s="47" t="b">
        <v>0</v>
      </c>
      <c r="S3186" s="42" t="str">
        <f t="shared" si="28"/>
        <v/>
      </c>
      <c r="T3186" s="42"/>
    </row>
    <row r="3187" ht="22.5" customHeight="1">
      <c r="B3187" s="42">
        <f t="shared" si="7"/>
        <v>3181</v>
      </c>
      <c r="C3187" s="31" t="s">
        <v>3250</v>
      </c>
      <c r="D3187" s="34" t="str">
        <f t="array" ref="D3187">IFNA(_xlfn.XLOOKUP(C3187,Table_Tarikan_Warkah[Nomor Sertipikat],Table_Tarikan_Warkah[Nomor Tiket]),"")</f>
        <v>L/24/210725/1</v>
      </c>
      <c r="E3187" s="36">
        <f t="array" ref="E3187">IFNA(_xlfn.XLOOKUP(D3187,Table_Tarikan_Warkah[Nomor Tiket],Table_Tarikan_Warkah[Tanggal diserahkan kepada Validator]),"")</f>
        <v>45898.65161</v>
      </c>
      <c r="F3187" s="36" t="str">
        <f t="array" ref="F3187">IFNA(_xlfn.XLOOKUP(D3187,Table_Tarikan_Warkah[Nomor Tiket],Table_Tarikan_Warkah[Nama Petugas Warkah]),"")</f>
        <v>Berry</v>
      </c>
      <c r="G3187" s="39" t="str">
        <f t="array" ref="G3187">IFNA(_xlfn.XLOOKUP(D3187,Table_Tarikan_Warkah[Nomor Tiket],Table_Tarikan_Warkah[Jenis Permohonan]),"")</f>
        <v>ROYA</v>
      </c>
      <c r="H3187" s="41" t="s">
        <v>2315</v>
      </c>
      <c r="I3187" s="49" t="s">
        <v>23</v>
      </c>
      <c r="J3187" s="36">
        <f t="shared" si="20"/>
        <v>45867.39895</v>
      </c>
      <c r="K3187" s="49" t="s">
        <v>2378</v>
      </c>
      <c r="L3187" s="49" t="s">
        <v>23</v>
      </c>
      <c r="M3187" s="36">
        <f t="shared" si="33"/>
        <v>45867.65314</v>
      </c>
      <c r="N3187" s="30" t="str">
        <f t="shared" si="34"/>
        <v>Selesai</v>
      </c>
      <c r="O3187" s="45">
        <f t="shared" si="23"/>
        <v>45867.65314</v>
      </c>
      <c r="P3187" s="47" t="b">
        <v>0</v>
      </c>
      <c r="Q3187" s="36" t="str">
        <f t="shared" si="35"/>
        <v/>
      </c>
      <c r="R3187" s="47" t="b">
        <v>0</v>
      </c>
      <c r="S3187" s="42" t="str">
        <f t="shared" si="28"/>
        <v/>
      </c>
      <c r="T3187" s="42"/>
    </row>
    <row r="3188" ht="22.5" customHeight="1">
      <c r="B3188" s="42">
        <f t="shared" si="7"/>
        <v>3182</v>
      </c>
      <c r="C3188" s="31" t="s">
        <v>3251</v>
      </c>
      <c r="D3188" s="34" t="str">
        <f t="array" ref="D3188">IFNA(_xlfn.XLOOKUP(C3188,Table_Tarikan_Warkah[Nomor Sertipikat],Table_Tarikan_Warkah[Nomor Tiket]),"")</f>
        <v>K/11/070725/1</v>
      </c>
      <c r="E3188" s="36">
        <f t="array" ref="E3188">IFNA(_xlfn.XLOOKUP(D3188,Table_Tarikan_Warkah[Nomor Tiket],Table_Tarikan_Warkah[Tanggal diserahkan kepada Validator]),"")</f>
        <v>45888.60972</v>
      </c>
      <c r="F3188" s="36" t="str">
        <f t="array" ref="F3188">IFNA(_xlfn.XLOOKUP(D3188,Table_Tarikan_Warkah[Nomor Tiket],Table_Tarikan_Warkah[Nama Petugas Warkah]),"")</f>
        <v>Berry</v>
      </c>
      <c r="G3188" s="39" t="str">
        <f t="array" ref="G3188">IFNA(_xlfn.XLOOKUP(D3188,Table_Tarikan_Warkah[Nomor Tiket],Table_Tarikan_Warkah[Jenis Permohonan]),"")</f>
        <v>ROYA</v>
      </c>
      <c r="H3188" s="41" t="s">
        <v>2315</v>
      </c>
      <c r="I3188" s="49" t="s">
        <v>23</v>
      </c>
      <c r="J3188" s="36">
        <f t="shared" si="20"/>
        <v>45868.37815</v>
      </c>
      <c r="K3188" s="49" t="s">
        <v>2378</v>
      </c>
      <c r="L3188" s="49" t="s">
        <v>23</v>
      </c>
      <c r="M3188" s="36">
        <f t="shared" si="33"/>
        <v>45868.62382</v>
      </c>
      <c r="N3188" s="30" t="str">
        <f t="shared" si="34"/>
        <v>Selesai</v>
      </c>
      <c r="O3188" s="45">
        <f t="shared" si="23"/>
        <v>45868.62382</v>
      </c>
      <c r="P3188" s="47" t="b">
        <v>0</v>
      </c>
      <c r="Q3188" s="36" t="str">
        <f t="shared" si="35"/>
        <v/>
      </c>
      <c r="R3188" s="47" t="b">
        <v>0</v>
      </c>
      <c r="S3188" s="42" t="str">
        <f t="shared" si="28"/>
        <v/>
      </c>
      <c r="T3188" s="42"/>
    </row>
    <row r="3189" ht="22.5" customHeight="1">
      <c r="B3189" s="42">
        <f t="shared" si="7"/>
        <v>3183</v>
      </c>
      <c r="C3189" s="31" t="s">
        <v>3252</v>
      </c>
      <c r="D3189" s="34" t="str">
        <f t="array" ref="D3189">IFNA(_xlfn.XLOOKUP(C3189,Table_Tarikan_Warkah[Nomor Sertipikat],Table_Tarikan_Warkah[Nomor Tiket]),"")</f>
        <v>K/33/210725/1</v>
      </c>
      <c r="E3189" s="36">
        <f t="array" ref="E3189">IFNA(_xlfn.XLOOKUP(D3189,Table_Tarikan_Warkah[Nomor Tiket],Table_Tarikan_Warkah[Tanggal diserahkan kepada Validator]),"")</f>
        <v>45888.61</v>
      </c>
      <c r="F3189" s="36" t="str">
        <f t="array" ref="F3189">IFNA(_xlfn.XLOOKUP(D3189,Table_Tarikan_Warkah[Nomor Tiket],Table_Tarikan_Warkah[Nama Petugas Warkah]),"")</f>
        <v>Berry</v>
      </c>
      <c r="G3189" s="39" t="str">
        <f t="array" ref="G3189">IFNA(_xlfn.XLOOKUP(D3189,Table_Tarikan_Warkah[Nomor Tiket],Table_Tarikan_Warkah[Jenis Permohonan]),"")</f>
        <v>ROYA</v>
      </c>
      <c r="H3189" s="41" t="s">
        <v>2315</v>
      </c>
      <c r="I3189" s="49" t="s">
        <v>23</v>
      </c>
      <c r="J3189" s="36">
        <f t="shared" si="20"/>
        <v>45868.37831</v>
      </c>
      <c r="K3189" s="49" t="s">
        <v>2378</v>
      </c>
      <c r="L3189" s="49" t="s">
        <v>23</v>
      </c>
      <c r="M3189" s="36">
        <f t="shared" si="33"/>
        <v>45868.6239</v>
      </c>
      <c r="N3189" s="30" t="str">
        <f t="shared" si="34"/>
        <v>Selesai</v>
      </c>
      <c r="O3189" s="45">
        <f t="shared" si="23"/>
        <v>45868.6239</v>
      </c>
      <c r="P3189" s="47" t="b">
        <v>0</v>
      </c>
      <c r="Q3189" s="36" t="str">
        <f t="shared" si="35"/>
        <v/>
      </c>
      <c r="R3189" s="47" t="b">
        <v>0</v>
      </c>
      <c r="S3189" s="42" t="str">
        <f t="shared" si="28"/>
        <v/>
      </c>
      <c r="T3189" s="42"/>
    </row>
    <row r="3190" ht="22.5" customHeight="1">
      <c r="B3190" s="42">
        <f t="shared" si="7"/>
        <v>3184</v>
      </c>
      <c r="C3190" s="31" t="s">
        <v>3253</v>
      </c>
      <c r="D3190" s="34" t="str">
        <f t="array" ref="D3190">IFNA(_xlfn.XLOOKUP(C3190,Table_Tarikan_Warkah[Nomor Sertipikat],Table_Tarikan_Warkah[Nomor Tiket]),"")</f>
        <v>K/32/080725/1</v>
      </c>
      <c r="E3190" s="36">
        <f t="array" ref="E3190">IFNA(_xlfn.XLOOKUP(D3190,Table_Tarikan_Warkah[Nomor Tiket],Table_Tarikan_Warkah[Tanggal diserahkan kepada Validator]),"")</f>
        <v>45873.62628</v>
      </c>
      <c r="F3190" s="36" t="str">
        <f t="array" ref="F3190">IFNA(_xlfn.XLOOKUP(D3190,Table_Tarikan_Warkah[Nomor Tiket],Table_Tarikan_Warkah[Nama Petugas Warkah]),"")</f>
        <v>David</v>
      </c>
      <c r="G3190" s="39" t="str">
        <f t="array" ref="G3190">IFNA(_xlfn.XLOOKUP(D3190,Table_Tarikan_Warkah[Nomor Tiket],Table_Tarikan_Warkah[Jenis Permohonan]),"")</f>
        <v>BN Jual Beli</v>
      </c>
      <c r="H3190" s="41" t="s">
        <v>2315</v>
      </c>
      <c r="I3190" s="49" t="s">
        <v>23</v>
      </c>
      <c r="J3190" s="36">
        <f t="shared" si="20"/>
        <v>45868.37848</v>
      </c>
      <c r="K3190" s="49" t="s">
        <v>2378</v>
      </c>
      <c r="L3190" s="49" t="s">
        <v>23</v>
      </c>
      <c r="M3190" s="36">
        <f t="shared" si="33"/>
        <v>45868.62396</v>
      </c>
      <c r="N3190" s="30" t="str">
        <f t="shared" si="34"/>
        <v>Selesai</v>
      </c>
      <c r="O3190" s="45">
        <f t="shared" si="23"/>
        <v>45868.62396</v>
      </c>
      <c r="P3190" s="47" t="b">
        <v>0</v>
      </c>
      <c r="Q3190" s="36" t="str">
        <f t="shared" si="35"/>
        <v/>
      </c>
      <c r="R3190" s="47" t="b">
        <v>0</v>
      </c>
      <c r="S3190" s="42" t="str">
        <f t="shared" si="28"/>
        <v/>
      </c>
      <c r="T3190" s="42"/>
    </row>
    <row r="3191" ht="22.5" customHeight="1">
      <c r="B3191" s="42">
        <f t="shared" si="7"/>
        <v>3185</v>
      </c>
      <c r="C3191" s="31" t="s">
        <v>3254</v>
      </c>
      <c r="D3191" s="34" t="str">
        <f t="array" ref="D3191">IFNA(_xlfn.XLOOKUP(C3191,Table_Tarikan_Warkah[Nomor Sertipikat],Table_Tarikan_Warkah[Nomor Tiket]),"")</f>
        <v>K/28/010725/1</v>
      </c>
      <c r="E3191" s="36">
        <f t="array" ref="E3191">IFNA(_xlfn.XLOOKUP(D3191,Table_Tarikan_Warkah[Nomor Tiket],Table_Tarikan_Warkah[Tanggal diserahkan kepada Validator]),"")</f>
        <v>45870.67433</v>
      </c>
      <c r="F3191" s="36" t="str">
        <f t="array" ref="F3191">IFNA(_xlfn.XLOOKUP(D3191,Table_Tarikan_Warkah[Nomor Tiket],Table_Tarikan_Warkah[Nama Petugas Warkah]),"")</f>
        <v>Berry</v>
      </c>
      <c r="G3191" s="39" t="str">
        <f t="array" ref="G3191">IFNA(_xlfn.XLOOKUP(D3191,Table_Tarikan_Warkah[Nomor Tiket],Table_Tarikan_Warkah[Jenis Permohonan]),"")</f>
        <v>bn waris</v>
      </c>
      <c r="H3191" s="41" t="s">
        <v>20</v>
      </c>
      <c r="I3191" s="49" t="s">
        <v>23</v>
      </c>
      <c r="J3191" s="36">
        <f t="shared" si="20"/>
        <v>45868.6443</v>
      </c>
      <c r="K3191" s="49" t="s">
        <v>2378</v>
      </c>
      <c r="L3191" s="49" t="s">
        <v>23</v>
      </c>
      <c r="M3191" s="36">
        <f t="shared" si="33"/>
        <v>45869.46518</v>
      </c>
      <c r="N3191" s="30" t="str">
        <f t="shared" si="34"/>
        <v>Selesai</v>
      </c>
      <c r="O3191" s="45">
        <f t="shared" si="23"/>
        <v>45869.46518</v>
      </c>
      <c r="P3191" s="47" t="b">
        <v>0</v>
      </c>
      <c r="Q3191" s="36" t="str">
        <f t="shared" si="35"/>
        <v/>
      </c>
      <c r="R3191" s="47" t="b">
        <v>0</v>
      </c>
      <c r="S3191" s="42" t="str">
        <f t="shared" si="28"/>
        <v/>
      </c>
      <c r="T3191" s="42"/>
    </row>
    <row r="3192" ht="22.5" customHeight="1">
      <c r="B3192" s="42">
        <f t="shared" si="7"/>
        <v>3186</v>
      </c>
      <c r="C3192" s="31" t="s">
        <v>3255</v>
      </c>
      <c r="D3192" s="34" t="str">
        <f t="array" ref="D3192">IFNA(_xlfn.XLOOKUP(C3192,Table_Tarikan_Warkah[Nomor Sertipikat],Table_Tarikan_Warkah[Nomor Tiket]),"")</f>
        <v>K/25/200625/3</v>
      </c>
      <c r="E3192" s="36">
        <f t="array" ref="E3192">IFNA(_xlfn.XLOOKUP(D3192,Table_Tarikan_Warkah[Nomor Tiket],Table_Tarikan_Warkah[Tanggal diserahkan kepada Validator]),"")</f>
        <v>45870.67406</v>
      </c>
      <c r="F3192" s="36" t="str">
        <f t="array" ref="F3192">IFNA(_xlfn.XLOOKUP(D3192,Table_Tarikan_Warkah[Nomor Tiket],Table_Tarikan_Warkah[Nama Petugas Warkah]),"")</f>
        <v>Berry</v>
      </c>
      <c r="G3192" s="39" t="str">
        <f t="array" ref="G3192">IFNA(_xlfn.XLOOKUP(D3192,Table_Tarikan_Warkah[Nomor Tiket],Table_Tarikan_Warkah[Jenis Permohonan]),"")</f>
        <v>BN WARIS</v>
      </c>
      <c r="H3192" s="41" t="s">
        <v>20</v>
      </c>
      <c r="I3192" s="49" t="s">
        <v>23</v>
      </c>
      <c r="J3192" s="36">
        <f t="shared" si="20"/>
        <v>45868.64443</v>
      </c>
      <c r="K3192" s="49" t="s">
        <v>2378</v>
      </c>
      <c r="L3192" s="49" t="s">
        <v>23</v>
      </c>
      <c r="M3192" s="36">
        <f t="shared" si="33"/>
        <v>45869.46501</v>
      </c>
      <c r="N3192" s="30" t="str">
        <f t="shared" si="34"/>
        <v>Selesai</v>
      </c>
      <c r="O3192" s="45">
        <f t="shared" si="23"/>
        <v>45869.46501</v>
      </c>
      <c r="P3192" s="47" t="b">
        <v>0</v>
      </c>
      <c r="Q3192" s="36" t="str">
        <f t="shared" si="35"/>
        <v/>
      </c>
      <c r="R3192" s="47" t="b">
        <v>0</v>
      </c>
      <c r="S3192" s="42" t="str">
        <f t="shared" si="28"/>
        <v/>
      </c>
      <c r="T3192" s="42"/>
    </row>
    <row r="3193" ht="22.5" customHeight="1">
      <c r="B3193" s="42">
        <f t="shared" si="7"/>
        <v>3187</v>
      </c>
      <c r="C3193" s="31" t="s">
        <v>3256</v>
      </c>
      <c r="D3193" s="34" t="str">
        <f t="array" ref="D3193">IFNA(_xlfn.XLOOKUP(C3193,Table_Tarikan_Warkah[Nomor Sertipikat],Table_Tarikan_Warkah[Nomor Tiket]),"")</f>
        <v>K/8/040725/1</v>
      </c>
      <c r="E3193" s="36">
        <f t="array" ref="E3193">IFNA(_xlfn.XLOOKUP(D3193,Table_Tarikan_Warkah[Nomor Tiket],Table_Tarikan_Warkah[Tanggal diserahkan kepada Validator]),"")</f>
        <v>45870.67513</v>
      </c>
      <c r="F3193" s="36" t="str">
        <f t="array" ref="F3193">IFNA(_xlfn.XLOOKUP(D3193,Table_Tarikan_Warkah[Nomor Tiket],Table_Tarikan_Warkah[Nama Petugas Warkah]),"")</f>
        <v>Berry</v>
      </c>
      <c r="G3193" s="39" t="str">
        <f t="array" ref="G3193">IFNA(_xlfn.XLOOKUP(D3193,Table_Tarikan_Warkah[Nomor Tiket],Table_Tarikan_Warkah[Jenis Permohonan]),"")</f>
        <v>BN WARIS</v>
      </c>
      <c r="H3193" s="41" t="s">
        <v>20</v>
      </c>
      <c r="I3193" s="49" t="s">
        <v>23</v>
      </c>
      <c r="J3193" s="36">
        <f t="shared" si="20"/>
        <v>45868.64452</v>
      </c>
      <c r="K3193" s="49" t="s">
        <v>2378</v>
      </c>
      <c r="L3193" s="49" t="s">
        <v>23</v>
      </c>
      <c r="M3193" s="36">
        <f t="shared" si="33"/>
        <v>45869.46483</v>
      </c>
      <c r="N3193" s="30" t="str">
        <f t="shared" si="34"/>
        <v>Selesai</v>
      </c>
      <c r="O3193" s="45">
        <f t="shared" si="23"/>
        <v>45869.46483</v>
      </c>
      <c r="P3193" s="47" t="b">
        <v>0</v>
      </c>
      <c r="Q3193" s="36" t="str">
        <f t="shared" si="35"/>
        <v/>
      </c>
      <c r="R3193" s="47" t="b">
        <v>0</v>
      </c>
      <c r="S3193" s="42" t="str">
        <f t="shared" si="28"/>
        <v/>
      </c>
      <c r="T3193" s="42"/>
    </row>
    <row r="3194" ht="22.5" customHeight="1">
      <c r="B3194" s="42">
        <f t="shared" si="7"/>
        <v>3188</v>
      </c>
      <c r="C3194" s="31" t="s">
        <v>3257</v>
      </c>
      <c r="D3194" s="34" t="str">
        <f t="array" ref="D3194">IFNA(_xlfn.XLOOKUP(C3194,Table_Tarikan_Warkah[Nomor Sertipikat],Table_Tarikan_Warkah[Nomor Tiket]),"")</f>
        <v>K/43/190625/1</v>
      </c>
      <c r="E3194" s="36">
        <f t="array" ref="E3194">IFNA(_xlfn.XLOOKUP(D3194,Table_Tarikan_Warkah[Nomor Tiket],Table_Tarikan_Warkah[Tanggal diserahkan kepada Validator]),"")</f>
        <v>45873.62628</v>
      </c>
      <c r="F3194" s="36" t="str">
        <f t="array" ref="F3194">IFNA(_xlfn.XLOOKUP(D3194,Table_Tarikan_Warkah[Nomor Tiket],Table_Tarikan_Warkah[Nama Petugas Warkah]),"")</f>
        <v>David</v>
      </c>
      <c r="G3194" s="39" t="str">
        <f t="array" ref="G3194">IFNA(_xlfn.XLOOKUP(D3194,Table_Tarikan_Warkah[Nomor Tiket],Table_Tarikan_Warkah[Jenis Permohonan]),"")</f>
        <v>BN JUAL BELI</v>
      </c>
      <c r="H3194" s="41" t="s">
        <v>20</v>
      </c>
      <c r="I3194" s="49" t="s">
        <v>23</v>
      </c>
      <c r="J3194" s="36">
        <f t="shared" si="20"/>
        <v>45868.64462</v>
      </c>
      <c r="K3194" s="49" t="s">
        <v>2378</v>
      </c>
      <c r="L3194" s="49" t="s">
        <v>23</v>
      </c>
      <c r="M3194" s="36">
        <f t="shared" si="33"/>
        <v>45869.47438</v>
      </c>
      <c r="N3194" s="30" t="str">
        <f t="shared" si="34"/>
        <v>Selesai</v>
      </c>
      <c r="O3194" s="45">
        <f t="shared" si="23"/>
        <v>45869.47438</v>
      </c>
      <c r="P3194" s="47" t="b">
        <v>0</v>
      </c>
      <c r="Q3194" s="36" t="str">
        <f t="shared" si="35"/>
        <v/>
      </c>
      <c r="R3194" s="47" t="b">
        <v>0</v>
      </c>
      <c r="S3194" s="42" t="str">
        <f t="shared" si="28"/>
        <v/>
      </c>
      <c r="T3194" s="42"/>
    </row>
    <row r="3195" ht="22.5" customHeight="1">
      <c r="B3195" s="42">
        <f t="shared" si="7"/>
        <v>3189</v>
      </c>
      <c r="C3195" s="31" t="s">
        <v>3258</v>
      </c>
      <c r="D3195" s="34" t="str">
        <f t="array" ref="D3195">IFNA(_xlfn.XLOOKUP(C3195,Table_Tarikan_Warkah[Nomor Sertipikat],Table_Tarikan_Warkah[Nomor Tiket]),"")</f>
        <v>K/35/260525/1</v>
      </c>
      <c r="E3195" s="36">
        <f t="array" ref="E3195">IFNA(_xlfn.XLOOKUP(D3195,Table_Tarikan_Warkah[Nomor Tiket],Table_Tarikan_Warkah[Tanggal diserahkan kepada Validator]),"")</f>
        <v>45873.62628</v>
      </c>
      <c r="F3195" s="36" t="str">
        <f t="array" ref="F3195">IFNA(_xlfn.XLOOKUP(D3195,Table_Tarikan_Warkah[Nomor Tiket],Table_Tarikan_Warkah[Nama Petugas Warkah]),"")</f>
        <v>David</v>
      </c>
      <c r="G3195" s="39" t="str">
        <f t="array" ref="G3195">IFNA(_xlfn.XLOOKUP(D3195,Table_Tarikan_Warkah[Nomor Tiket],Table_Tarikan_Warkah[Jenis Permohonan]),"")</f>
        <v>BN Waris</v>
      </c>
      <c r="H3195" s="41" t="s">
        <v>20</v>
      </c>
      <c r="I3195" s="49" t="s">
        <v>23</v>
      </c>
      <c r="J3195" s="36">
        <f t="shared" si="20"/>
        <v>45868.64478</v>
      </c>
      <c r="K3195" s="49" t="s">
        <v>2378</v>
      </c>
      <c r="L3195" s="49" t="s">
        <v>23</v>
      </c>
      <c r="M3195" s="36">
        <f t="shared" si="33"/>
        <v>45868.68096</v>
      </c>
      <c r="N3195" s="30" t="str">
        <f t="shared" si="34"/>
        <v>Selesai</v>
      </c>
      <c r="O3195" s="45">
        <f t="shared" si="23"/>
        <v>45868.68096</v>
      </c>
      <c r="P3195" s="47" t="b">
        <v>0</v>
      </c>
      <c r="Q3195" s="36" t="str">
        <f t="shared" si="35"/>
        <v/>
      </c>
      <c r="R3195" s="47" t="b">
        <v>0</v>
      </c>
      <c r="S3195" s="42" t="str">
        <f t="shared" si="28"/>
        <v/>
      </c>
      <c r="T3195" s="42"/>
    </row>
    <row r="3196" ht="22.5" customHeight="1">
      <c r="B3196" s="42">
        <f t="shared" si="7"/>
        <v>3190</v>
      </c>
      <c r="C3196" s="31" t="s">
        <v>3259</v>
      </c>
      <c r="D3196" s="34" t="str">
        <f t="array" ref="D3196">IFNA(_xlfn.XLOOKUP(C3196,Table_Tarikan_Warkah[Nomor Sertipikat],Table_Tarikan_Warkah[Nomor Tiket]),"")</f>
        <v>K/18/180725/1</v>
      </c>
      <c r="E3196" s="36">
        <f t="array" ref="E3196">IFNA(_xlfn.XLOOKUP(D3196,Table_Tarikan_Warkah[Nomor Tiket],Table_Tarikan_Warkah[Tanggal diserahkan kepada Validator]),"")</f>
        <v>45874.64589</v>
      </c>
      <c r="F3196" s="36" t="str">
        <f t="array" ref="F3196">IFNA(_xlfn.XLOOKUP(D3196,Table_Tarikan_Warkah[Nomor Tiket],Table_Tarikan_Warkah[Nama Petugas Warkah]),"")</f>
        <v>Berry</v>
      </c>
      <c r="G3196" s="39" t="str">
        <f t="array" ref="G3196">IFNA(_xlfn.XLOOKUP(D3196,Table_Tarikan_Warkah[Nomor Tiket],Table_Tarikan_Warkah[Jenis Permohonan]),"")</f>
        <v>BN Jual Beli</v>
      </c>
      <c r="H3196" s="41" t="s">
        <v>20</v>
      </c>
      <c r="I3196" s="49" t="s">
        <v>23</v>
      </c>
      <c r="J3196" s="36">
        <f t="shared" si="20"/>
        <v>45868.64492</v>
      </c>
      <c r="K3196" s="49" t="s">
        <v>2378</v>
      </c>
      <c r="L3196" s="49" t="s">
        <v>23</v>
      </c>
      <c r="M3196" s="36">
        <f t="shared" si="33"/>
        <v>45869.46393</v>
      </c>
      <c r="N3196" s="30" t="str">
        <f t="shared" si="34"/>
        <v>Selesai</v>
      </c>
      <c r="O3196" s="45">
        <f t="shared" si="23"/>
        <v>45869.46393</v>
      </c>
      <c r="P3196" s="47" t="b">
        <v>0</v>
      </c>
      <c r="Q3196" s="36" t="str">
        <f t="shared" si="35"/>
        <v/>
      </c>
      <c r="R3196" s="47" t="b">
        <v>0</v>
      </c>
      <c r="S3196" s="42" t="str">
        <f t="shared" si="28"/>
        <v/>
      </c>
      <c r="T3196" s="42"/>
    </row>
    <row r="3197" ht="22.5" customHeight="1">
      <c r="B3197" s="42">
        <f t="shared" si="7"/>
        <v>3191</v>
      </c>
      <c r="C3197" s="31" t="s">
        <v>3260</v>
      </c>
      <c r="D3197" s="34" t="str">
        <f t="array" ref="D3197">IFNA(_xlfn.XLOOKUP(C3197,Table_Tarikan_Warkah[Nomor Sertipikat],Table_Tarikan_Warkah[Nomor Tiket]),"")</f>
        <v>K/30/070725/1</v>
      </c>
      <c r="E3197" s="36">
        <f t="array" ref="E3197">IFNA(_xlfn.XLOOKUP(D3197,Table_Tarikan_Warkah[Nomor Tiket],Table_Tarikan_Warkah[Tanggal diserahkan kepada Validator]),"")</f>
        <v>45873.62628</v>
      </c>
      <c r="F3197" s="36" t="str">
        <f t="array" ref="F3197">IFNA(_xlfn.XLOOKUP(D3197,Table_Tarikan_Warkah[Nomor Tiket],Table_Tarikan_Warkah[Nama Petugas Warkah]),"")</f>
        <v>David</v>
      </c>
      <c r="G3197" s="39" t="str">
        <f t="array" ref="G3197">IFNA(_xlfn.XLOOKUP(D3197,Table_Tarikan_Warkah[Nomor Tiket],Table_Tarikan_Warkah[Jenis Permohonan]),"")</f>
        <v>BN Jual Beli</v>
      </c>
      <c r="H3197" s="41" t="s">
        <v>20</v>
      </c>
      <c r="I3197" s="49" t="s">
        <v>23</v>
      </c>
      <c r="J3197" s="36">
        <f t="shared" si="20"/>
        <v>45868.64498</v>
      </c>
      <c r="K3197" s="49" t="s">
        <v>2378</v>
      </c>
      <c r="L3197" s="49" t="s">
        <v>23</v>
      </c>
      <c r="M3197" s="36">
        <f t="shared" si="33"/>
        <v>45868.68103</v>
      </c>
      <c r="N3197" s="30" t="str">
        <f t="shared" si="34"/>
        <v>Selesai</v>
      </c>
      <c r="O3197" s="45">
        <f t="shared" si="23"/>
        <v>45868.68103</v>
      </c>
      <c r="P3197" s="47" t="b">
        <v>0</v>
      </c>
      <c r="Q3197" s="36" t="str">
        <f t="shared" si="35"/>
        <v/>
      </c>
      <c r="R3197" s="47" t="b">
        <v>0</v>
      </c>
      <c r="S3197" s="42" t="str">
        <f t="shared" si="28"/>
        <v/>
      </c>
      <c r="T3197" s="42"/>
    </row>
    <row r="3198" ht="22.5" customHeight="1">
      <c r="B3198" s="42">
        <f t="shared" si="7"/>
        <v>3192</v>
      </c>
      <c r="C3198" s="31" t="s">
        <v>3261</v>
      </c>
      <c r="D3198" s="34" t="str">
        <f t="array" ref="D3198">IFNA(_xlfn.XLOOKUP(C3198,Table_Tarikan_Warkah[Nomor Sertipikat],Table_Tarikan_Warkah[Nomor Tiket]),"")</f>
        <v>K/17/150725/1</v>
      </c>
      <c r="E3198" s="36">
        <f t="array" ref="E3198">IFNA(_xlfn.XLOOKUP(D3198,Table_Tarikan_Warkah[Nomor Tiket],Table_Tarikan_Warkah[Tanggal diserahkan kepada Validator]),"")</f>
        <v>45870.48713</v>
      </c>
      <c r="F3198" s="36" t="str">
        <f t="array" ref="F3198">IFNA(_xlfn.XLOOKUP(D3198,Table_Tarikan_Warkah[Nomor Tiket],Table_Tarikan_Warkah[Nama Petugas Warkah]),"")</f>
        <v>Berry</v>
      </c>
      <c r="G3198" s="39" t="str">
        <f t="array" ref="G3198">IFNA(_xlfn.XLOOKUP(D3198,Table_Tarikan_Warkah[Nomor Tiket],Table_Tarikan_Warkah[Jenis Permohonan]),"")</f>
        <v>PERUBAHAN HAK</v>
      </c>
      <c r="H3198" s="41" t="s">
        <v>20</v>
      </c>
      <c r="I3198" s="49" t="s">
        <v>23</v>
      </c>
      <c r="J3198" s="36">
        <f t="shared" si="20"/>
        <v>45868.64511</v>
      </c>
      <c r="K3198" s="49" t="s">
        <v>2378</v>
      </c>
      <c r="L3198" s="49" t="s">
        <v>23</v>
      </c>
      <c r="M3198" s="36">
        <f t="shared" si="33"/>
        <v>45869.47479</v>
      </c>
      <c r="N3198" s="30" t="str">
        <f t="shared" si="34"/>
        <v>Selesai</v>
      </c>
      <c r="O3198" s="45">
        <f t="shared" si="23"/>
        <v>45869.47479</v>
      </c>
      <c r="P3198" s="47" t="b">
        <v>0</v>
      </c>
      <c r="Q3198" s="36" t="str">
        <f t="shared" si="35"/>
        <v/>
      </c>
      <c r="R3198" s="47" t="b">
        <v>0</v>
      </c>
      <c r="S3198" s="42" t="str">
        <f t="shared" si="28"/>
        <v/>
      </c>
      <c r="T3198" s="42"/>
    </row>
    <row r="3199" ht="22.5" customHeight="1">
      <c r="B3199" s="42">
        <f t="shared" si="7"/>
        <v>3193</v>
      </c>
      <c r="C3199" s="31" t="s">
        <v>3262</v>
      </c>
      <c r="D3199" s="34" t="str">
        <f t="array" ref="D3199">IFNA(_xlfn.XLOOKUP(C3199,Table_Tarikan_Warkah[Nomor Sertipikat],Table_Tarikan_Warkah[Nomor Tiket]),"")</f>
        <v>K/1/210725/1</v>
      </c>
      <c r="E3199" s="36">
        <f t="array" ref="E3199">IFNA(_xlfn.XLOOKUP(D3199,Table_Tarikan_Warkah[Nomor Tiket],Table_Tarikan_Warkah[Tanggal diserahkan kepada Validator]),"")</f>
        <v>45873.62628</v>
      </c>
      <c r="F3199" s="36" t="str">
        <f t="array" ref="F3199">IFNA(_xlfn.XLOOKUP(D3199,Table_Tarikan_Warkah[Nomor Tiket],Table_Tarikan_Warkah[Nama Petugas Warkah]),"")</f>
        <v>David</v>
      </c>
      <c r="G3199" s="39" t="str">
        <f t="array" ref="G3199">IFNA(_xlfn.XLOOKUP(D3199,Table_Tarikan_Warkah[Nomor Tiket],Table_Tarikan_Warkah[Jenis Permohonan]),"")</f>
        <v>HIBAH</v>
      </c>
      <c r="H3199" s="41" t="s">
        <v>2315</v>
      </c>
      <c r="I3199" s="49" t="s">
        <v>23</v>
      </c>
      <c r="J3199" s="36">
        <f t="shared" si="20"/>
        <v>45869.45308</v>
      </c>
      <c r="K3199" s="49" t="s">
        <v>2378</v>
      </c>
      <c r="L3199" s="49" t="s">
        <v>23</v>
      </c>
      <c r="M3199" s="36">
        <f t="shared" si="33"/>
        <v>45869.51788</v>
      </c>
      <c r="N3199" s="30" t="str">
        <f t="shared" si="34"/>
        <v>Selesai</v>
      </c>
      <c r="O3199" s="45">
        <f t="shared" si="23"/>
        <v>45869.51788</v>
      </c>
      <c r="P3199" s="47" t="b">
        <v>0</v>
      </c>
      <c r="Q3199" s="36" t="str">
        <f t="shared" si="35"/>
        <v/>
      </c>
      <c r="R3199" s="47" t="b">
        <v>0</v>
      </c>
      <c r="S3199" s="42" t="str">
        <f t="shared" si="28"/>
        <v/>
      </c>
      <c r="T3199" s="42"/>
    </row>
    <row r="3200" ht="22.5" customHeight="1">
      <c r="B3200" s="42">
        <f t="shared" si="7"/>
        <v>3194</v>
      </c>
      <c r="C3200" s="31" t="s">
        <v>3263</v>
      </c>
      <c r="D3200" s="34" t="str">
        <f t="array" ref="D3200">IFNA(_xlfn.XLOOKUP(C3200,Table_Tarikan_Warkah[Nomor Sertipikat],Table_Tarikan_Warkah[Nomor Tiket]),"")</f>
        <v>K/32/280725/1</v>
      </c>
      <c r="E3200" s="36" t="str">
        <f t="array" ref="E3200">IFNA(_xlfn.XLOOKUP(D3200,Table_Tarikan_Warkah[Nomor Tiket],Table_Tarikan_Warkah[Tanggal diserahkan kepada Validator]),"")</f>
        <v/>
      </c>
      <c r="F3200" s="36" t="str">
        <f t="array" ref="F3200">IFNA(_xlfn.XLOOKUP(D3200,Table_Tarikan_Warkah[Nomor Tiket],Table_Tarikan_Warkah[Nama Petugas Warkah]),"")</f>
        <v/>
      </c>
      <c r="G3200" s="39" t="str">
        <f t="array" ref="G3200">IFNA(_xlfn.XLOOKUP(D3200,Table_Tarikan_Warkah[Nomor Tiket],Table_Tarikan_Warkah[Jenis Permohonan]),"")</f>
        <v>PEMECAHAN</v>
      </c>
      <c r="H3200" s="41" t="s">
        <v>2315</v>
      </c>
      <c r="I3200" s="49" t="s">
        <v>23</v>
      </c>
      <c r="J3200" s="36">
        <f t="shared" si="20"/>
        <v>45869.45322</v>
      </c>
      <c r="K3200" s="49" t="s">
        <v>2378</v>
      </c>
      <c r="L3200" s="49" t="s">
        <v>23</v>
      </c>
      <c r="M3200" s="36">
        <f t="shared" si="33"/>
        <v>45869.51794</v>
      </c>
      <c r="N3200" s="30" t="str">
        <f t="shared" si="34"/>
        <v>Selesai</v>
      </c>
      <c r="O3200" s="45">
        <f t="shared" si="23"/>
        <v>45869.51794</v>
      </c>
      <c r="P3200" s="47" t="b">
        <v>0</v>
      </c>
      <c r="Q3200" s="36" t="str">
        <f t="shared" si="35"/>
        <v/>
      </c>
      <c r="R3200" s="47" t="b">
        <v>0</v>
      </c>
      <c r="S3200" s="42" t="str">
        <f t="shared" si="28"/>
        <v/>
      </c>
      <c r="T3200" s="42"/>
    </row>
    <row r="3201" ht="22.5" customHeight="1">
      <c r="B3201" s="42">
        <f t="shared" si="7"/>
        <v>3195</v>
      </c>
      <c r="C3201" s="31" t="s">
        <v>3264</v>
      </c>
      <c r="D3201" s="34" t="str">
        <f t="array" ref="D3201">IFNA(_xlfn.XLOOKUP(C3201,Table_Tarikan_Warkah[Nomor Sertipikat],Table_Tarikan_Warkah[Nomor Tiket]),"")</f>
        <v>K/1/220725/1</v>
      </c>
      <c r="E3201" s="36">
        <f t="array" ref="E3201">IFNA(_xlfn.XLOOKUP(D3201,Table_Tarikan_Warkah[Nomor Tiket],Table_Tarikan_Warkah[Tanggal diserahkan kepada Validator]),"")</f>
        <v>45870.67488</v>
      </c>
      <c r="F3201" s="36" t="str">
        <f t="array" ref="F3201">IFNA(_xlfn.XLOOKUP(D3201,Table_Tarikan_Warkah[Nomor Tiket],Table_Tarikan_Warkah[Nama Petugas Warkah]),"")</f>
        <v>Berry</v>
      </c>
      <c r="G3201" s="39" t="str">
        <f t="array" ref="G3201">IFNA(_xlfn.XLOOKUP(D3201,Table_Tarikan_Warkah[Nomor Tiket],Table_Tarikan_Warkah[Jenis Permohonan]),"")</f>
        <v>BN JUAL BELI</v>
      </c>
      <c r="H3201" s="41" t="s">
        <v>2315</v>
      </c>
      <c r="I3201" s="49" t="s">
        <v>23</v>
      </c>
      <c r="J3201" s="36">
        <f t="shared" si="20"/>
        <v>45869.45345</v>
      </c>
      <c r="K3201" s="49" t="s">
        <v>2378</v>
      </c>
      <c r="L3201" s="49" t="s">
        <v>23</v>
      </c>
      <c r="M3201" s="36">
        <f t="shared" si="33"/>
        <v>45869.51794</v>
      </c>
      <c r="N3201" s="30" t="str">
        <f t="shared" si="34"/>
        <v>Selesai</v>
      </c>
      <c r="O3201" s="45">
        <f t="shared" si="23"/>
        <v>45869.51794</v>
      </c>
      <c r="P3201" s="47" t="b">
        <v>0</v>
      </c>
      <c r="Q3201" s="36" t="str">
        <f t="shared" si="35"/>
        <v/>
      </c>
      <c r="R3201" s="47" t="b">
        <v>0</v>
      </c>
      <c r="S3201" s="42" t="str">
        <f t="shared" si="28"/>
        <v/>
      </c>
      <c r="T3201" s="42"/>
    </row>
    <row r="3202" ht="22.5" customHeight="1">
      <c r="B3202" s="42">
        <f t="shared" si="7"/>
        <v>3196</v>
      </c>
      <c r="C3202" s="31" t="s">
        <v>3265</v>
      </c>
      <c r="D3202" s="34" t="str">
        <f t="array" ref="D3202">IFNA(_xlfn.XLOOKUP(C3202,Table_Tarikan_Warkah[Nomor Sertipikat],Table_Tarikan_Warkah[Nomor Tiket]),"")</f>
        <v>K/17/030725/1</v>
      </c>
      <c r="E3202" s="36">
        <f t="array" ref="E3202">IFNA(_xlfn.XLOOKUP(D3202,Table_Tarikan_Warkah[Nomor Tiket],Table_Tarikan_Warkah[Tanggal diserahkan kepada Validator]),"")</f>
        <v>45870.67831</v>
      </c>
      <c r="F3202" s="36" t="str">
        <f t="array" ref="F3202">IFNA(_xlfn.XLOOKUP(D3202,Table_Tarikan_Warkah[Nomor Tiket],Table_Tarikan_Warkah[Nama Petugas Warkah]),"")</f>
        <v>Berry</v>
      </c>
      <c r="G3202" s="39" t="str">
        <f t="array" ref="G3202">IFNA(_xlfn.XLOOKUP(D3202,Table_Tarikan_Warkah[Nomor Tiket],Table_Tarikan_Warkah[Jenis Permohonan]),"")</f>
        <v>BN HIBAH</v>
      </c>
      <c r="H3202" s="41" t="s">
        <v>2315</v>
      </c>
      <c r="I3202" s="49" t="s">
        <v>23</v>
      </c>
      <c r="J3202" s="36">
        <f t="shared" si="20"/>
        <v>45869.45353</v>
      </c>
      <c r="K3202" s="49" t="s">
        <v>2378</v>
      </c>
      <c r="L3202" s="49" t="s">
        <v>23</v>
      </c>
      <c r="M3202" s="36">
        <f t="shared" si="33"/>
        <v>45869.51794</v>
      </c>
      <c r="N3202" s="30" t="str">
        <f t="shared" si="34"/>
        <v>Selesai</v>
      </c>
      <c r="O3202" s="45">
        <f t="shared" si="23"/>
        <v>45869.51794</v>
      </c>
      <c r="P3202" s="47" t="b">
        <v>0</v>
      </c>
      <c r="Q3202" s="36" t="str">
        <f t="shared" si="35"/>
        <v/>
      </c>
      <c r="R3202" s="47" t="b">
        <v>0</v>
      </c>
      <c r="S3202" s="42" t="str">
        <f t="shared" si="28"/>
        <v/>
      </c>
      <c r="T3202" s="42"/>
    </row>
    <row r="3203" ht="22.5" customHeight="1">
      <c r="B3203" s="42">
        <f t="shared" si="7"/>
        <v>3197</v>
      </c>
      <c r="C3203" s="31" t="s">
        <v>3266</v>
      </c>
      <c r="D3203" s="34" t="str">
        <f t="array" ref="D3203">IFNA(_xlfn.XLOOKUP(C3203,Table_Tarikan_Warkah[Nomor Sertipikat],Table_Tarikan_Warkah[Nomor Tiket]),"")</f>
        <v>K/30/110725/1</v>
      </c>
      <c r="E3203" s="36">
        <f t="array" ref="E3203">IFNA(_xlfn.XLOOKUP(D3203,Table_Tarikan_Warkah[Nomor Tiket],Table_Tarikan_Warkah[Tanggal diserahkan kepada Validator]),"")</f>
        <v>45870.67808</v>
      </c>
      <c r="F3203" s="36" t="str">
        <f t="array" ref="F3203">IFNA(_xlfn.XLOOKUP(D3203,Table_Tarikan_Warkah[Nomor Tiket],Table_Tarikan_Warkah[Nama Petugas Warkah]),"")</f>
        <v>Berry</v>
      </c>
      <c r="G3203" s="39" t="str">
        <f t="array" ref="G3203">IFNA(_xlfn.XLOOKUP(D3203,Table_Tarikan_Warkah[Nomor Tiket],Table_Tarikan_Warkah[Jenis Permohonan]),"")</f>
        <v>BN JUAL BELI</v>
      </c>
      <c r="H3203" s="41" t="s">
        <v>2315</v>
      </c>
      <c r="I3203" s="49" t="s">
        <v>23</v>
      </c>
      <c r="J3203" s="36">
        <f t="shared" si="20"/>
        <v>45869.4537</v>
      </c>
      <c r="K3203" s="49" t="s">
        <v>2378</v>
      </c>
      <c r="L3203" s="49" t="s">
        <v>23</v>
      </c>
      <c r="M3203" s="36">
        <f t="shared" si="33"/>
        <v>45869.58131</v>
      </c>
      <c r="N3203" s="30" t="str">
        <f t="shared" si="34"/>
        <v>Selesai</v>
      </c>
      <c r="O3203" s="45">
        <f t="shared" si="23"/>
        <v>45869.58131</v>
      </c>
      <c r="P3203" s="47" t="b">
        <v>0</v>
      </c>
      <c r="Q3203" s="36" t="str">
        <f t="shared" si="35"/>
        <v/>
      </c>
      <c r="R3203" s="47" t="b">
        <v>0</v>
      </c>
      <c r="S3203" s="42" t="str">
        <f t="shared" si="28"/>
        <v/>
      </c>
      <c r="T3203" s="42"/>
    </row>
    <row r="3204" ht="22.5" customHeight="1">
      <c r="B3204" s="42">
        <f t="shared" si="7"/>
        <v>3198</v>
      </c>
      <c r="C3204" s="31" t="s">
        <v>3267</v>
      </c>
      <c r="D3204" s="34" t="str">
        <f t="array" ref="D3204">IFNA(_xlfn.XLOOKUP(C3204,Table_Tarikan_Warkah[Nomor Sertipikat],Table_Tarikan_Warkah[Nomor Tiket]),"")</f>
        <v>K/27/280725/1</v>
      </c>
      <c r="E3204" s="36">
        <f t="array" ref="E3204">IFNA(_xlfn.XLOOKUP(D3204,Table_Tarikan_Warkah[Nomor Tiket],Table_Tarikan_Warkah[Tanggal diserahkan kepada Validator]),"")</f>
        <v>45870.67671</v>
      </c>
      <c r="F3204" s="36" t="str">
        <f t="array" ref="F3204">IFNA(_xlfn.XLOOKUP(D3204,Table_Tarikan_Warkah[Nomor Tiket],Table_Tarikan_Warkah[Nama Petugas Warkah]),"")</f>
        <v>Berry</v>
      </c>
      <c r="G3204" s="39" t="str">
        <f t="array" ref="G3204">IFNA(_xlfn.XLOOKUP(D3204,Table_Tarikan_Warkah[Nomor Tiket],Table_Tarikan_Warkah[Jenis Permohonan]),"")</f>
        <v>BN JUAL BELI</v>
      </c>
      <c r="H3204" s="41" t="s">
        <v>2315</v>
      </c>
      <c r="I3204" s="49" t="s">
        <v>23</v>
      </c>
      <c r="J3204" s="36">
        <f t="shared" si="20"/>
        <v>45869.45384</v>
      </c>
      <c r="K3204" s="49" t="s">
        <v>2378</v>
      </c>
      <c r="L3204" s="49" t="s">
        <v>23</v>
      </c>
      <c r="M3204" s="36">
        <f t="shared" si="33"/>
        <v>45869.51794</v>
      </c>
      <c r="N3204" s="30" t="str">
        <f t="shared" si="34"/>
        <v>Selesai</v>
      </c>
      <c r="O3204" s="45">
        <f t="shared" si="23"/>
        <v>45869.51794</v>
      </c>
      <c r="P3204" s="47" t="b">
        <v>0</v>
      </c>
      <c r="Q3204" s="36" t="str">
        <f t="shared" si="35"/>
        <v/>
      </c>
      <c r="R3204" s="47" t="b">
        <v>0</v>
      </c>
      <c r="S3204" s="42" t="str">
        <f t="shared" si="28"/>
        <v/>
      </c>
      <c r="T3204" s="42"/>
    </row>
    <row r="3205" ht="22.5" customHeight="1">
      <c r="B3205" s="42">
        <f t="shared" si="7"/>
        <v>3199</v>
      </c>
      <c r="C3205" s="31" t="s">
        <v>3268</v>
      </c>
      <c r="D3205" s="34" t="str">
        <f t="array" ref="D3205">IFNA(_xlfn.XLOOKUP(C3205,Table_Tarikan_Warkah[Nomor Sertipikat],Table_Tarikan_Warkah[Nomor Tiket]),"")</f>
        <v>K/44/190625/2</v>
      </c>
      <c r="E3205" s="36" t="str">
        <f t="array" ref="E3205">IFNA(_xlfn.XLOOKUP(D3205,Table_Tarikan_Warkah[Nomor Tiket],Table_Tarikan_Warkah[Tanggal diserahkan kepada Validator]),"")</f>
        <v/>
      </c>
      <c r="F3205" s="36" t="str">
        <f t="array" ref="F3205">IFNA(_xlfn.XLOOKUP(D3205,Table_Tarikan_Warkah[Nomor Tiket],Table_Tarikan_Warkah[Nama Petugas Warkah]),"")</f>
        <v/>
      </c>
      <c r="G3205" s="39" t="str">
        <f t="array" ref="G3205">IFNA(_xlfn.XLOOKUP(D3205,Table_Tarikan_Warkah[Nomor Tiket],Table_Tarikan_Warkah[Jenis Permohonan]),"")</f>
        <v>BN JUAL BELI</v>
      </c>
      <c r="H3205" s="41" t="s">
        <v>2315</v>
      </c>
      <c r="I3205" s="49" t="s">
        <v>23</v>
      </c>
      <c r="J3205" s="36">
        <f t="shared" si="20"/>
        <v>45869.45404</v>
      </c>
      <c r="K3205" s="49" t="s">
        <v>2378</v>
      </c>
      <c r="L3205" s="49" t="s">
        <v>23</v>
      </c>
      <c r="M3205" s="36">
        <f t="shared" si="33"/>
        <v>45869.51796</v>
      </c>
      <c r="N3205" s="30" t="str">
        <f t="shared" si="34"/>
        <v>Selesai</v>
      </c>
      <c r="O3205" s="45">
        <f t="shared" si="23"/>
        <v>45869.51796</v>
      </c>
      <c r="P3205" s="47" t="b">
        <v>0</v>
      </c>
      <c r="Q3205" s="36" t="str">
        <f t="shared" si="35"/>
        <v/>
      </c>
      <c r="R3205" s="47" t="b">
        <v>0</v>
      </c>
      <c r="S3205" s="42" t="str">
        <f t="shared" si="28"/>
        <v/>
      </c>
      <c r="T3205" s="42"/>
    </row>
    <row r="3206" ht="22.5" customHeight="1">
      <c r="B3206" s="42">
        <f t="shared" si="7"/>
        <v>3200</v>
      </c>
      <c r="C3206" s="31" t="s">
        <v>3269</v>
      </c>
      <c r="D3206" s="34" t="str">
        <f t="array" ref="D3206">IFNA(_xlfn.XLOOKUP(C3206,Table_Tarikan_Warkah[Nomor Sertipikat],Table_Tarikan_Warkah[Nomor Tiket]),"")</f>
        <v>K/36/160725/2</v>
      </c>
      <c r="E3206" s="36">
        <f t="array" ref="E3206">IFNA(_xlfn.XLOOKUP(D3206,Table_Tarikan_Warkah[Nomor Tiket],Table_Tarikan_Warkah[Tanggal diserahkan kepada Validator]),"")</f>
        <v>45870.67538</v>
      </c>
      <c r="F3206" s="36" t="str">
        <f t="array" ref="F3206">IFNA(_xlfn.XLOOKUP(D3206,Table_Tarikan_Warkah[Nomor Tiket],Table_Tarikan_Warkah[Nama Petugas Warkah]),"")</f>
        <v>Berry</v>
      </c>
      <c r="G3206" s="39" t="str">
        <f t="array" ref="G3206">IFNA(_xlfn.XLOOKUP(D3206,Table_Tarikan_Warkah[Nomor Tiket],Table_Tarikan_Warkah[Jenis Permohonan]),"")</f>
        <v>BN JUAL BELI</v>
      </c>
      <c r="H3206" s="41" t="s">
        <v>2315</v>
      </c>
      <c r="I3206" s="49" t="s">
        <v>23</v>
      </c>
      <c r="J3206" s="36">
        <f t="shared" si="20"/>
        <v>45869.4542</v>
      </c>
      <c r="K3206" s="49" t="s">
        <v>2378</v>
      </c>
      <c r="L3206" s="49" t="s">
        <v>23</v>
      </c>
      <c r="M3206" s="36">
        <f t="shared" si="33"/>
        <v>45869.51796</v>
      </c>
      <c r="N3206" s="30" t="str">
        <f t="shared" si="34"/>
        <v>Selesai</v>
      </c>
      <c r="O3206" s="45">
        <f t="shared" si="23"/>
        <v>45869.51796</v>
      </c>
      <c r="P3206" s="47" t="b">
        <v>0</v>
      </c>
      <c r="Q3206" s="36" t="str">
        <f t="shared" si="35"/>
        <v/>
      </c>
      <c r="R3206" s="47" t="b">
        <v>0</v>
      </c>
      <c r="S3206" s="42" t="str">
        <f t="shared" si="28"/>
        <v/>
      </c>
      <c r="T3206" s="42"/>
    </row>
    <row r="3207" ht="22.5" customHeight="1">
      <c r="B3207" s="42">
        <f t="shared" si="7"/>
        <v>3201</v>
      </c>
      <c r="C3207" s="31" t="s">
        <v>3270</v>
      </c>
      <c r="D3207" s="34" t="str">
        <f t="array" ref="D3207">IFNA(_xlfn.XLOOKUP(C3207,Table_Tarikan_Warkah[Nomor Sertipikat],Table_Tarikan_Warkah[Nomor Tiket]),"")</f>
        <v>K/35/160725/1</v>
      </c>
      <c r="E3207" s="36">
        <f t="array" ref="E3207">IFNA(_xlfn.XLOOKUP(D3207,Table_Tarikan_Warkah[Nomor Tiket],Table_Tarikan_Warkah[Tanggal diserahkan kepada Validator]),"")</f>
        <v>45870.67622</v>
      </c>
      <c r="F3207" s="36" t="str">
        <f t="array" ref="F3207">IFNA(_xlfn.XLOOKUP(D3207,Table_Tarikan_Warkah[Nomor Tiket],Table_Tarikan_Warkah[Nama Petugas Warkah]),"")</f>
        <v>Berry</v>
      </c>
      <c r="G3207" s="39" t="str">
        <f t="array" ref="G3207">IFNA(_xlfn.XLOOKUP(D3207,Table_Tarikan_Warkah[Nomor Tiket],Table_Tarikan_Warkah[Jenis Permohonan]),"")</f>
        <v>BN JUAL BELI</v>
      </c>
      <c r="H3207" s="41" t="s">
        <v>2315</v>
      </c>
      <c r="I3207" s="49" t="s">
        <v>23</v>
      </c>
      <c r="J3207" s="36">
        <f t="shared" si="20"/>
        <v>45869.45432</v>
      </c>
      <c r="K3207" s="49" t="s">
        <v>2378</v>
      </c>
      <c r="L3207" s="49" t="s">
        <v>23</v>
      </c>
      <c r="M3207" s="36">
        <f t="shared" si="33"/>
        <v>45869.51796</v>
      </c>
      <c r="N3207" s="30" t="str">
        <f t="shared" si="34"/>
        <v>Selesai</v>
      </c>
      <c r="O3207" s="45">
        <f t="shared" si="23"/>
        <v>45869.51796</v>
      </c>
      <c r="P3207" s="47" t="b">
        <v>0</v>
      </c>
      <c r="Q3207" s="36" t="str">
        <f t="shared" si="35"/>
        <v/>
      </c>
      <c r="R3207" s="47" t="b">
        <v>0</v>
      </c>
      <c r="S3207" s="42" t="str">
        <f t="shared" si="28"/>
        <v/>
      </c>
      <c r="T3207" s="42"/>
    </row>
    <row r="3208" ht="22.5" customHeight="1">
      <c r="B3208" s="42">
        <f t="shared" si="7"/>
        <v>3202</v>
      </c>
      <c r="C3208" s="31" t="s">
        <v>3271</v>
      </c>
      <c r="D3208" s="34" t="str">
        <f t="array" ref="D3208">IFNA(_xlfn.XLOOKUP(C3208,Table_Tarikan_Warkah[Nomor Sertipikat],Table_Tarikan_Warkah[Nomor Tiket]),"")</f>
        <v>L/20/210725/1</v>
      </c>
      <c r="E3208" s="36">
        <f t="array" ref="E3208">IFNA(_xlfn.XLOOKUP(D3208,Table_Tarikan_Warkah[Nomor Tiket],Table_Tarikan_Warkah[Tanggal diserahkan kepada Validator]),"")</f>
        <v>45890.59505</v>
      </c>
      <c r="F3208" s="36" t="str">
        <f t="array" ref="F3208">IFNA(_xlfn.XLOOKUP(D3208,Table_Tarikan_Warkah[Nomor Tiket],Table_Tarikan_Warkah[Nama Petugas Warkah]),"")</f>
        <v>Berry</v>
      </c>
      <c r="G3208" s="39" t="str">
        <f t="array" ref="G3208">IFNA(_xlfn.XLOOKUP(D3208,Table_Tarikan_Warkah[Nomor Tiket],Table_Tarikan_Warkah[Jenis Permohonan]),"")</f>
        <v>ROYA</v>
      </c>
      <c r="H3208" s="41" t="s">
        <v>2315</v>
      </c>
      <c r="I3208" s="49" t="s">
        <v>23</v>
      </c>
      <c r="J3208" s="36">
        <f t="shared" si="20"/>
        <v>45869.45449</v>
      </c>
      <c r="K3208" s="49" t="s">
        <v>2378</v>
      </c>
      <c r="L3208" s="49" t="s">
        <v>23</v>
      </c>
      <c r="M3208" s="36">
        <f t="shared" si="33"/>
        <v>45869.51796</v>
      </c>
      <c r="N3208" s="30" t="str">
        <f t="shared" si="34"/>
        <v>Selesai</v>
      </c>
      <c r="O3208" s="45">
        <f t="shared" si="23"/>
        <v>45869.51796</v>
      </c>
      <c r="P3208" s="47" t="b">
        <v>0</v>
      </c>
      <c r="Q3208" s="36" t="str">
        <f t="shared" si="35"/>
        <v/>
      </c>
      <c r="R3208" s="47" t="b">
        <v>0</v>
      </c>
      <c r="S3208" s="42" t="str">
        <f t="shared" si="28"/>
        <v/>
      </c>
      <c r="T3208" s="42"/>
    </row>
    <row r="3209" ht="22.5" customHeight="1">
      <c r="B3209" s="42">
        <f t="shared" si="7"/>
        <v>3203</v>
      </c>
      <c r="C3209" s="31" t="s">
        <v>3272</v>
      </c>
      <c r="D3209" s="34" t="str">
        <f t="array" ref="D3209">IFNA(_xlfn.XLOOKUP(C3209,Table_Tarikan_Warkah[Nomor Sertipikat],Table_Tarikan_Warkah[Nomor Tiket]),"")</f>
        <v>L/23/170725/1</v>
      </c>
      <c r="E3209" s="36">
        <f t="array" ref="E3209">IFNA(_xlfn.XLOOKUP(D3209,Table_Tarikan_Warkah[Nomor Tiket],Table_Tarikan_Warkah[Tanggal diserahkan kepada Validator]),"")</f>
        <v>45891.59082</v>
      </c>
      <c r="F3209" s="36" t="str">
        <f t="array" ref="F3209">IFNA(_xlfn.XLOOKUP(D3209,Table_Tarikan_Warkah[Nomor Tiket],Table_Tarikan_Warkah[Nama Petugas Warkah]),"")</f>
        <v>Berry</v>
      </c>
      <c r="G3209" s="39" t="str">
        <f t="array" ref="G3209">IFNA(_xlfn.XLOOKUP(D3209,Table_Tarikan_Warkah[Nomor Tiket],Table_Tarikan_Warkah[Jenis Permohonan]),"")</f>
        <v>ROYA</v>
      </c>
      <c r="H3209" s="41" t="s">
        <v>2315</v>
      </c>
      <c r="I3209" s="49" t="s">
        <v>23</v>
      </c>
      <c r="J3209" s="36">
        <f t="shared" si="20"/>
        <v>45869.45459</v>
      </c>
      <c r="K3209" s="49" t="s">
        <v>2378</v>
      </c>
      <c r="L3209" s="49" t="s">
        <v>23</v>
      </c>
      <c r="M3209" s="36">
        <f t="shared" si="33"/>
        <v>45869.51796</v>
      </c>
      <c r="N3209" s="30" t="str">
        <f t="shared" si="34"/>
        <v>Selesai</v>
      </c>
      <c r="O3209" s="45">
        <f t="shared" si="23"/>
        <v>45869.51796</v>
      </c>
      <c r="P3209" s="47" t="b">
        <v>0</v>
      </c>
      <c r="Q3209" s="36" t="str">
        <f t="shared" si="35"/>
        <v/>
      </c>
      <c r="R3209" s="47" t="b">
        <v>0</v>
      </c>
      <c r="S3209" s="42" t="str">
        <f t="shared" si="28"/>
        <v/>
      </c>
      <c r="T3209" s="42"/>
    </row>
    <row r="3210" ht="22.5" customHeight="1">
      <c r="B3210" s="42">
        <f t="shared" si="7"/>
        <v>3204</v>
      </c>
      <c r="C3210" s="31" t="s">
        <v>3273</v>
      </c>
      <c r="D3210" s="34" t="str">
        <f t="array" ref="D3210">IFNA(_xlfn.XLOOKUP(C3210,Table_Tarikan_Warkah[Nomor Sertipikat],Table_Tarikan_Warkah[Nomor Tiket]),"")</f>
        <v>K/35/220725/2</v>
      </c>
      <c r="E3210" s="36" t="str">
        <f t="array" ref="E3210">IFNA(_xlfn.XLOOKUP(D3210,Table_Tarikan_Warkah[Nomor Tiket],Table_Tarikan_Warkah[Tanggal diserahkan kepada Validator]),"")</f>
        <v/>
      </c>
      <c r="F3210" s="36" t="str">
        <f t="array" ref="F3210">IFNA(_xlfn.XLOOKUP(D3210,Table_Tarikan_Warkah[Nomor Tiket],Table_Tarikan_Warkah[Nama Petugas Warkah]),"")</f>
        <v/>
      </c>
      <c r="G3210" s="39" t="str">
        <f t="array" ref="G3210">IFNA(_xlfn.XLOOKUP(D3210,Table_Tarikan_Warkah[Nomor Tiket],Table_Tarikan_Warkah[Jenis Permohonan]),"")</f>
        <v>BN Jual Beli</v>
      </c>
      <c r="H3210" s="41" t="s">
        <v>20</v>
      </c>
      <c r="I3210" s="49" t="s">
        <v>23</v>
      </c>
      <c r="J3210" s="36">
        <f t="shared" si="20"/>
        <v>45870.54114</v>
      </c>
      <c r="K3210" s="49" t="s">
        <v>920</v>
      </c>
      <c r="L3210" s="49" t="s">
        <v>23</v>
      </c>
      <c r="M3210" s="36">
        <f t="shared" si="33"/>
        <v>45870.54125</v>
      </c>
      <c r="N3210" s="30" t="str">
        <f t="shared" si="34"/>
        <v>Selesai</v>
      </c>
      <c r="O3210" s="45">
        <f t="shared" si="23"/>
        <v>45870.54125</v>
      </c>
      <c r="P3210" s="47" t="b">
        <v>1</v>
      </c>
      <c r="Q3210" s="36">
        <f t="shared" si="35"/>
        <v>45870.54127</v>
      </c>
      <c r="R3210" s="47" t="b">
        <v>0</v>
      </c>
      <c r="S3210" s="42" t="str">
        <f t="shared" si="28"/>
        <v/>
      </c>
      <c r="T3210" s="42"/>
    </row>
    <row r="3211" ht="22.5" customHeight="1">
      <c r="B3211" s="42">
        <f t="shared" si="7"/>
        <v>3205</v>
      </c>
      <c r="C3211" s="31" t="s">
        <v>3274</v>
      </c>
      <c r="D3211" s="34" t="str">
        <f t="array" ref="D3211">IFNA(_xlfn.XLOOKUP(C3211,Table_Tarikan_Warkah[Nomor Sertipikat],Table_Tarikan_Warkah[Nomor Tiket]),"")</f>
        <v>K/32/210725/2</v>
      </c>
      <c r="E3211" s="36">
        <f t="array" ref="E3211">IFNA(_xlfn.XLOOKUP(D3211,Table_Tarikan_Warkah[Nomor Tiket],Table_Tarikan_Warkah[Tanggal diserahkan kepada Validator]),"")</f>
        <v>45880.64659</v>
      </c>
      <c r="F3211" s="36" t="str">
        <f t="array" ref="F3211">IFNA(_xlfn.XLOOKUP(D3211,Table_Tarikan_Warkah[Nomor Tiket],Table_Tarikan_Warkah[Nama Petugas Warkah]),"")</f>
        <v>Berry</v>
      </c>
      <c r="G3211" s="39" t="str">
        <f t="array" ref="G3211">IFNA(_xlfn.XLOOKUP(D3211,Table_Tarikan_Warkah[Nomor Tiket],Table_Tarikan_Warkah[Jenis Permohonan]),"")</f>
        <v>JUAL BELI</v>
      </c>
      <c r="H3211" s="41" t="s">
        <v>2315</v>
      </c>
      <c r="I3211" s="49" t="s">
        <v>23</v>
      </c>
      <c r="J3211" s="36">
        <f t="shared" si="20"/>
        <v>45874.36561</v>
      </c>
      <c r="K3211" s="49" t="s">
        <v>2378</v>
      </c>
      <c r="L3211" s="49" t="s">
        <v>23</v>
      </c>
      <c r="M3211" s="36">
        <f t="shared" si="33"/>
        <v>45874.68014</v>
      </c>
      <c r="N3211" s="30" t="str">
        <f t="shared" si="34"/>
        <v>Selesai</v>
      </c>
      <c r="O3211" s="45">
        <f t="shared" si="23"/>
        <v>45874.68014</v>
      </c>
      <c r="P3211" s="47" t="b">
        <v>0</v>
      </c>
      <c r="Q3211" s="36" t="str">
        <f t="shared" si="35"/>
        <v/>
      </c>
      <c r="R3211" s="47" t="b">
        <v>0</v>
      </c>
      <c r="S3211" s="42" t="str">
        <f t="shared" si="28"/>
        <v/>
      </c>
      <c r="T3211" s="42"/>
    </row>
    <row r="3212" ht="22.5" customHeight="1">
      <c r="B3212" s="42">
        <f t="shared" si="7"/>
        <v>3206</v>
      </c>
      <c r="C3212" s="31" t="s">
        <v>3275</v>
      </c>
      <c r="D3212" s="34" t="str">
        <f t="array" ref="D3212">IFNA(_xlfn.XLOOKUP(C3212,Table_Tarikan_Warkah[Nomor Sertipikat],Table_Tarikan_Warkah[Nomor Tiket]),"")</f>
        <v>K/2/180725/1</v>
      </c>
      <c r="E3212" s="36">
        <f t="array" ref="E3212">IFNA(_xlfn.XLOOKUP(D3212,Table_Tarikan_Warkah[Nomor Tiket],Table_Tarikan_Warkah[Tanggal diserahkan kepada Validator]),"")</f>
        <v>45888.61461</v>
      </c>
      <c r="F3212" s="36" t="str">
        <f t="array" ref="F3212">IFNA(_xlfn.XLOOKUP(D3212,Table_Tarikan_Warkah[Nomor Tiket],Table_Tarikan_Warkah[Nama Petugas Warkah]),"")</f>
        <v>Berry</v>
      </c>
      <c r="G3212" s="39" t="str">
        <f t="array" ref="G3212">IFNA(_xlfn.XLOOKUP(D3212,Table_Tarikan_Warkah[Nomor Tiket],Table_Tarikan_Warkah[Jenis Permohonan]),"")</f>
        <v>ROYA</v>
      </c>
      <c r="H3212" s="41" t="s">
        <v>2315</v>
      </c>
      <c r="I3212" s="49" t="s">
        <v>23</v>
      </c>
      <c r="J3212" s="36">
        <f t="shared" si="20"/>
        <v>45874.36575</v>
      </c>
      <c r="K3212" s="49" t="s">
        <v>2378</v>
      </c>
      <c r="L3212" s="49" t="s">
        <v>23</v>
      </c>
      <c r="M3212" s="36">
        <f t="shared" si="33"/>
        <v>45874.68069</v>
      </c>
      <c r="N3212" s="30" t="str">
        <f t="shared" si="34"/>
        <v>Selesai</v>
      </c>
      <c r="O3212" s="45">
        <f t="shared" si="23"/>
        <v>45874.68069</v>
      </c>
      <c r="P3212" s="47" t="b">
        <v>0</v>
      </c>
      <c r="Q3212" s="36" t="str">
        <f t="shared" si="35"/>
        <v/>
      </c>
      <c r="R3212" s="47" t="b">
        <v>0</v>
      </c>
      <c r="S3212" s="42" t="str">
        <f t="shared" si="28"/>
        <v/>
      </c>
      <c r="T3212" s="42"/>
    </row>
    <row r="3213" ht="22.5" customHeight="1">
      <c r="B3213" s="42">
        <f t="shared" si="7"/>
        <v>3207</v>
      </c>
      <c r="C3213" s="31" t="s">
        <v>3276</v>
      </c>
      <c r="D3213" s="34" t="str">
        <f t="array" ref="D3213">IFNA(_xlfn.XLOOKUP(C3213,Table_Tarikan_Warkah[Nomor Sertipikat],Table_Tarikan_Warkah[Nomor Tiket]),"")</f>
        <v>K/29/220725/1</v>
      </c>
      <c r="E3213" s="36">
        <f t="array" ref="E3213">IFNA(_xlfn.XLOOKUP(D3213,Table_Tarikan_Warkah[Nomor Tiket],Table_Tarikan_Warkah[Tanggal diserahkan kepada Validator]),"")</f>
        <v>45880.645</v>
      </c>
      <c r="F3213" s="36" t="str">
        <f t="array" ref="F3213">IFNA(_xlfn.XLOOKUP(D3213,Table_Tarikan_Warkah[Nomor Tiket],Table_Tarikan_Warkah[Nama Petugas Warkah]),"")</f>
        <v>Berry</v>
      </c>
      <c r="G3213" s="39" t="str">
        <f t="array" ref="G3213">IFNA(_xlfn.XLOOKUP(D3213,Table_Tarikan_Warkah[Nomor Tiket],Table_Tarikan_Warkah[Jenis Permohonan]),"")</f>
        <v>BN Waris</v>
      </c>
      <c r="H3213" s="41" t="s">
        <v>2315</v>
      </c>
      <c r="I3213" s="49" t="s">
        <v>23</v>
      </c>
      <c r="J3213" s="36">
        <f t="shared" si="20"/>
        <v>45874.3659</v>
      </c>
      <c r="K3213" s="49" t="s">
        <v>2378</v>
      </c>
      <c r="L3213" s="49" t="s">
        <v>23</v>
      </c>
      <c r="M3213" s="36">
        <f t="shared" si="33"/>
        <v>45874.68069</v>
      </c>
      <c r="N3213" s="30" t="str">
        <f t="shared" si="34"/>
        <v>Selesai</v>
      </c>
      <c r="O3213" s="45">
        <f t="shared" si="23"/>
        <v>45874.68069</v>
      </c>
      <c r="P3213" s="47" t="b">
        <v>0</v>
      </c>
      <c r="Q3213" s="36" t="str">
        <f t="shared" si="35"/>
        <v/>
      </c>
      <c r="R3213" s="47" t="b">
        <v>0</v>
      </c>
      <c r="S3213" s="42" t="str">
        <f t="shared" si="28"/>
        <v/>
      </c>
      <c r="T3213" s="42"/>
    </row>
    <row r="3214" ht="22.5" customHeight="1">
      <c r="B3214" s="42">
        <f t="shared" si="7"/>
        <v>3208</v>
      </c>
      <c r="C3214" s="31" t="s">
        <v>3277</v>
      </c>
      <c r="D3214" s="34" t="str">
        <f t="array" ref="D3214">IFNA(_xlfn.XLOOKUP(C3214,Table_Tarikan_Warkah[Nomor Sertipikat],Table_Tarikan_Warkah[Nomor Tiket]),"")</f>
        <v>K/31/010725/1</v>
      </c>
      <c r="E3214" s="36">
        <f t="array" ref="E3214">IFNA(_xlfn.XLOOKUP(D3214,Table_Tarikan_Warkah[Nomor Tiket],Table_Tarikan_Warkah[Tanggal diserahkan kepada Validator]),"")</f>
        <v>45880.7154</v>
      </c>
      <c r="F3214" s="36" t="str">
        <f t="array" ref="F3214">IFNA(_xlfn.XLOOKUP(D3214,Table_Tarikan_Warkah[Nomor Tiket],Table_Tarikan_Warkah[Nama Petugas Warkah]),"")</f>
        <v>David</v>
      </c>
      <c r="G3214" s="39" t="str">
        <f t="array" ref="G3214">IFNA(_xlfn.XLOOKUP(D3214,Table_Tarikan_Warkah[Nomor Tiket],Table_Tarikan_Warkah[Jenis Permohonan]),"")</f>
        <v>BN JUAL BELI</v>
      </c>
      <c r="H3214" s="41" t="s">
        <v>2315</v>
      </c>
      <c r="I3214" s="49" t="s">
        <v>23</v>
      </c>
      <c r="J3214" s="36">
        <f t="shared" si="20"/>
        <v>45874.36604</v>
      </c>
      <c r="K3214" s="49" t="s">
        <v>2378</v>
      </c>
      <c r="L3214" s="49" t="s">
        <v>23</v>
      </c>
      <c r="M3214" s="36">
        <f t="shared" si="33"/>
        <v>45874.68069</v>
      </c>
      <c r="N3214" s="30" t="str">
        <f t="shared" si="34"/>
        <v>Selesai</v>
      </c>
      <c r="O3214" s="45">
        <f t="shared" si="23"/>
        <v>45874.68069</v>
      </c>
      <c r="P3214" s="47" t="b">
        <v>0</v>
      </c>
      <c r="Q3214" s="36" t="str">
        <f t="shared" si="35"/>
        <v/>
      </c>
      <c r="R3214" s="47" t="b">
        <v>0</v>
      </c>
      <c r="S3214" s="42" t="str">
        <f t="shared" si="28"/>
        <v/>
      </c>
      <c r="T3214" s="42"/>
    </row>
    <row r="3215" ht="22.5" customHeight="1">
      <c r="B3215" s="42">
        <f t="shared" si="7"/>
        <v>3209</v>
      </c>
      <c r="C3215" s="31" t="s">
        <v>3278</v>
      </c>
      <c r="D3215" s="34" t="str">
        <f t="array" ref="D3215">IFNA(_xlfn.XLOOKUP(C3215,Table_Tarikan_Warkah[Nomor Sertipikat],Table_Tarikan_Warkah[Nomor Tiket]),"")</f>
        <v>K/26/140725/1</v>
      </c>
      <c r="E3215" s="36">
        <f t="array" ref="E3215">IFNA(_xlfn.XLOOKUP(D3215,Table_Tarikan_Warkah[Nomor Tiket],Table_Tarikan_Warkah[Tanggal diserahkan kepada Validator]),"")</f>
        <v>45890.59537</v>
      </c>
      <c r="F3215" s="36" t="str">
        <f t="array" ref="F3215">IFNA(_xlfn.XLOOKUP(D3215,Table_Tarikan_Warkah[Nomor Tiket],Table_Tarikan_Warkah[Nama Petugas Warkah]),"")</f>
        <v>Berry</v>
      </c>
      <c r="G3215" s="39" t="str">
        <f t="array" ref="G3215">IFNA(_xlfn.XLOOKUP(D3215,Table_Tarikan_Warkah[Nomor Tiket],Table_Tarikan_Warkah[Jenis Permohonan]),"")</f>
        <v>ROYA</v>
      </c>
      <c r="H3215" s="41" t="s">
        <v>2315</v>
      </c>
      <c r="I3215" s="49" t="s">
        <v>23</v>
      </c>
      <c r="J3215" s="36">
        <f t="shared" si="20"/>
        <v>45874.36623</v>
      </c>
      <c r="K3215" s="49" t="s">
        <v>2378</v>
      </c>
      <c r="L3215" s="49" t="s">
        <v>23</v>
      </c>
      <c r="M3215" s="36">
        <f t="shared" si="33"/>
        <v>45874.68069</v>
      </c>
      <c r="N3215" s="30" t="str">
        <f t="shared" si="34"/>
        <v>Selesai</v>
      </c>
      <c r="O3215" s="45">
        <f t="shared" si="23"/>
        <v>45874.68069</v>
      </c>
      <c r="P3215" s="47" t="b">
        <v>0</v>
      </c>
      <c r="Q3215" s="36" t="str">
        <f t="shared" si="35"/>
        <v/>
      </c>
      <c r="R3215" s="47" t="b">
        <v>0</v>
      </c>
      <c r="S3215" s="42" t="str">
        <f t="shared" si="28"/>
        <v/>
      </c>
      <c r="T3215" s="42"/>
    </row>
    <row r="3216" ht="22.5" customHeight="1">
      <c r="B3216" s="42">
        <f t="shared" si="7"/>
        <v>3210</v>
      </c>
      <c r="C3216" s="31" t="s">
        <v>3279</v>
      </c>
      <c r="D3216" s="34" t="str">
        <f t="array" ref="D3216">IFNA(_xlfn.XLOOKUP(C3216,Table_Tarikan_Warkah[Nomor Sertipikat],Table_Tarikan_Warkah[Nomor Tiket]),"")</f>
        <v>K/36/280725/1</v>
      </c>
      <c r="E3216" s="36">
        <f t="array" ref="E3216">IFNA(_xlfn.XLOOKUP(D3216,Table_Tarikan_Warkah[Nomor Tiket],Table_Tarikan_Warkah[Tanggal diserahkan kepada Validator]),"")</f>
        <v>45880.64631</v>
      </c>
      <c r="F3216" s="36" t="str">
        <f t="array" ref="F3216">IFNA(_xlfn.XLOOKUP(D3216,Table_Tarikan_Warkah[Nomor Tiket],Table_Tarikan_Warkah[Nama Petugas Warkah]),"")</f>
        <v>Berry</v>
      </c>
      <c r="G3216" s="39" t="str">
        <f t="array" ref="G3216">IFNA(_xlfn.XLOOKUP(D3216,Table_Tarikan_Warkah[Nomor Tiket],Table_Tarikan_Warkah[Jenis Permohonan]),"")</f>
        <v>JUAL BELI</v>
      </c>
      <c r="H3216" s="41" t="s">
        <v>2315</v>
      </c>
      <c r="I3216" s="49" t="s">
        <v>23</v>
      </c>
      <c r="J3216" s="36">
        <f t="shared" si="20"/>
        <v>45874.36635</v>
      </c>
      <c r="K3216" s="49" t="s">
        <v>2378</v>
      </c>
      <c r="L3216" s="49" t="s">
        <v>23</v>
      </c>
      <c r="M3216" s="36">
        <f t="shared" si="33"/>
        <v>45874.68069</v>
      </c>
      <c r="N3216" s="30" t="str">
        <f t="shared" si="34"/>
        <v>Selesai</v>
      </c>
      <c r="O3216" s="45">
        <f t="shared" si="23"/>
        <v>45874.68069</v>
      </c>
      <c r="P3216" s="47" t="b">
        <v>0</v>
      </c>
      <c r="Q3216" s="36" t="str">
        <f t="shared" si="35"/>
        <v/>
      </c>
      <c r="R3216" s="47" t="b">
        <v>0</v>
      </c>
      <c r="S3216" s="42" t="str">
        <f t="shared" si="28"/>
        <v/>
      </c>
      <c r="T3216" s="42"/>
    </row>
    <row r="3217" ht="22.5" customHeight="1">
      <c r="B3217" s="42">
        <f t="shared" si="7"/>
        <v>3211</v>
      </c>
      <c r="C3217" s="31" t="s">
        <v>3280</v>
      </c>
      <c r="D3217" s="34" t="str">
        <f t="array" ref="D3217">IFNA(_xlfn.XLOOKUP(C3217,Table_Tarikan_Warkah[Nomor Sertipikat],Table_Tarikan_Warkah[Nomor Tiket]),"")</f>
        <v>K/18/210725/2</v>
      </c>
      <c r="E3217" s="36">
        <f t="array" ref="E3217">IFNA(_xlfn.XLOOKUP(D3217,Table_Tarikan_Warkah[Nomor Tiket],Table_Tarikan_Warkah[Tanggal diserahkan kepada Validator]),"")</f>
        <v>45880.6318</v>
      </c>
      <c r="F3217" s="36" t="str">
        <f t="array" ref="F3217">IFNA(_xlfn.XLOOKUP(D3217,Table_Tarikan_Warkah[Nomor Tiket],Table_Tarikan_Warkah[Nama Petugas Warkah]),"")</f>
        <v>David</v>
      </c>
      <c r="G3217" s="39" t="str">
        <f t="array" ref="G3217">IFNA(_xlfn.XLOOKUP(D3217,Table_Tarikan_Warkah[Nomor Tiket],Table_Tarikan_Warkah[Jenis Permohonan]),"")</f>
        <v>JUAL BELI</v>
      </c>
      <c r="H3217" s="41" t="s">
        <v>2315</v>
      </c>
      <c r="I3217" s="49" t="s">
        <v>23</v>
      </c>
      <c r="J3217" s="36">
        <f t="shared" si="20"/>
        <v>45874.36649</v>
      </c>
      <c r="K3217" s="49" t="s">
        <v>2378</v>
      </c>
      <c r="L3217" s="49" t="s">
        <v>23</v>
      </c>
      <c r="M3217" s="36">
        <f t="shared" si="33"/>
        <v>45874.68073</v>
      </c>
      <c r="N3217" s="30" t="str">
        <f t="shared" si="34"/>
        <v>Selesai</v>
      </c>
      <c r="O3217" s="45">
        <f t="shared" si="23"/>
        <v>45874.68073</v>
      </c>
      <c r="P3217" s="47" t="b">
        <v>0</v>
      </c>
      <c r="Q3217" s="36" t="str">
        <f t="shared" si="35"/>
        <v/>
      </c>
      <c r="R3217" s="47" t="b">
        <v>0</v>
      </c>
      <c r="S3217" s="42" t="str">
        <f t="shared" si="28"/>
        <v/>
      </c>
      <c r="T3217" s="42"/>
    </row>
    <row r="3218" ht="22.5" customHeight="1">
      <c r="B3218" s="42">
        <f t="shared" si="7"/>
        <v>3212</v>
      </c>
      <c r="C3218" s="31" t="s">
        <v>3281</v>
      </c>
      <c r="D3218" s="34" t="str">
        <f t="array" ref="D3218">IFNA(_xlfn.XLOOKUP(C3218,Table_Tarikan_Warkah[Nomor Sertipikat],Table_Tarikan_Warkah[Nomor Tiket]),"")</f>
        <v>K/34/240726/1</v>
      </c>
      <c r="E3218" s="36">
        <f t="array" ref="E3218">IFNA(_xlfn.XLOOKUP(D3218,Table_Tarikan_Warkah[Nomor Tiket],Table_Tarikan_Warkah[Tanggal diserahkan kepada Validator]),"")</f>
        <v>45888.61487</v>
      </c>
      <c r="F3218" s="36" t="str">
        <f t="array" ref="F3218">IFNA(_xlfn.XLOOKUP(D3218,Table_Tarikan_Warkah[Nomor Tiket],Table_Tarikan_Warkah[Nama Petugas Warkah]),"")</f>
        <v>Berry</v>
      </c>
      <c r="G3218" s="39" t="str">
        <f t="array" ref="G3218">IFNA(_xlfn.XLOOKUP(D3218,Table_Tarikan_Warkah[Nomor Tiket],Table_Tarikan_Warkah[Jenis Permohonan]),"")</f>
        <v>ROYA</v>
      </c>
      <c r="H3218" s="41" t="s">
        <v>2315</v>
      </c>
      <c r="I3218" s="49" t="s">
        <v>23</v>
      </c>
      <c r="J3218" s="36">
        <f t="shared" si="20"/>
        <v>45874.36664</v>
      </c>
      <c r="K3218" s="49" t="s">
        <v>2378</v>
      </c>
      <c r="L3218" s="49" t="s">
        <v>23</v>
      </c>
      <c r="M3218" s="36">
        <f t="shared" si="33"/>
        <v>45874.68073</v>
      </c>
      <c r="N3218" s="30" t="str">
        <f t="shared" si="34"/>
        <v>Selesai</v>
      </c>
      <c r="O3218" s="45">
        <f t="shared" si="23"/>
        <v>45874.68073</v>
      </c>
      <c r="P3218" s="47" t="b">
        <v>0</v>
      </c>
      <c r="Q3218" s="36" t="str">
        <f t="shared" si="35"/>
        <v/>
      </c>
      <c r="R3218" s="47" t="b">
        <v>0</v>
      </c>
      <c r="S3218" s="42" t="str">
        <f t="shared" si="28"/>
        <v/>
      </c>
      <c r="T3218" s="42"/>
    </row>
    <row r="3219" ht="22.5" customHeight="1">
      <c r="B3219" s="42">
        <f t="shared" si="7"/>
        <v>3213</v>
      </c>
      <c r="C3219" s="31" t="s">
        <v>3282</v>
      </c>
      <c r="D3219" s="34" t="str">
        <f t="array" ref="D3219">IFNA(_xlfn.XLOOKUP(C3219,Table_Tarikan_Warkah[Nomor Sertipikat],Table_Tarikan_Warkah[Nomor Tiket]),"")</f>
        <v>K/53/040625/2</v>
      </c>
      <c r="E3219" s="36">
        <f t="array" ref="E3219">IFNA(_xlfn.XLOOKUP(D3219,Table_Tarikan_Warkah[Nomor Tiket],Table_Tarikan_Warkah[Tanggal diserahkan kepada Validator]),"")</f>
        <v>45894.5516</v>
      </c>
      <c r="F3219" s="36" t="str">
        <f t="array" ref="F3219">IFNA(_xlfn.XLOOKUP(D3219,Table_Tarikan_Warkah[Nomor Tiket],Table_Tarikan_Warkah[Nama Petugas Warkah]),"")</f>
        <v>Berry</v>
      </c>
      <c r="G3219" s="39" t="str">
        <f t="array" ref="G3219">IFNA(_xlfn.XLOOKUP(D3219,Table_Tarikan_Warkah[Nomor Tiket],Table_Tarikan_Warkah[Jenis Permohonan]),"")</f>
        <v>ROYA</v>
      </c>
      <c r="H3219" s="41" t="s">
        <v>2315</v>
      </c>
      <c r="I3219" s="49" t="s">
        <v>23</v>
      </c>
      <c r="J3219" s="36">
        <f t="shared" si="20"/>
        <v>45874.36677</v>
      </c>
      <c r="K3219" s="49" t="s">
        <v>2378</v>
      </c>
      <c r="L3219" s="49" t="s">
        <v>23</v>
      </c>
      <c r="M3219" s="36">
        <f t="shared" si="33"/>
        <v>45874.68073</v>
      </c>
      <c r="N3219" s="30" t="str">
        <f t="shared" si="34"/>
        <v>Selesai</v>
      </c>
      <c r="O3219" s="45">
        <f t="shared" si="23"/>
        <v>45874.68073</v>
      </c>
      <c r="P3219" s="47" t="b">
        <v>0</v>
      </c>
      <c r="Q3219" s="36" t="str">
        <f t="shared" si="35"/>
        <v/>
      </c>
      <c r="R3219" s="47" t="b">
        <v>0</v>
      </c>
      <c r="S3219" s="42" t="str">
        <f t="shared" si="28"/>
        <v/>
      </c>
      <c r="T3219" s="42"/>
    </row>
    <row r="3220" ht="22.5" customHeight="1">
      <c r="B3220" s="42">
        <f t="shared" si="7"/>
        <v>3214</v>
      </c>
      <c r="C3220" s="31" t="s">
        <v>3283</v>
      </c>
      <c r="D3220" s="34" t="str">
        <f t="array" ref="D3220">IFNA(_xlfn.XLOOKUP(C3220,Table_Tarikan_Warkah[Nomor Sertipikat],Table_Tarikan_Warkah[Nomor Tiket]),"")</f>
        <v>K/32/030725/1</v>
      </c>
      <c r="E3220" s="36">
        <f t="array" ref="E3220">IFNA(_xlfn.XLOOKUP(D3220,Table_Tarikan_Warkah[Nomor Tiket],Table_Tarikan_Warkah[Tanggal diserahkan kepada Validator]),"")</f>
        <v>45888.61448</v>
      </c>
      <c r="F3220" s="36" t="str">
        <f t="array" ref="F3220">IFNA(_xlfn.XLOOKUP(D3220,Table_Tarikan_Warkah[Nomor Tiket],Table_Tarikan_Warkah[Nama Petugas Warkah]),"")</f>
        <v>Berry</v>
      </c>
      <c r="G3220" s="39" t="str">
        <f t="array" ref="G3220">IFNA(_xlfn.XLOOKUP(D3220,Table_Tarikan_Warkah[Nomor Tiket],Table_Tarikan_Warkah[Jenis Permohonan]),"")</f>
        <v>KEWARISAN</v>
      </c>
      <c r="H3220" s="41" t="s">
        <v>2315</v>
      </c>
      <c r="I3220" s="49" t="s">
        <v>23</v>
      </c>
      <c r="J3220" s="36">
        <f t="shared" si="20"/>
        <v>45874.36691</v>
      </c>
      <c r="K3220" s="49" t="s">
        <v>2378</v>
      </c>
      <c r="L3220" s="49" t="s">
        <v>23</v>
      </c>
      <c r="M3220" s="36">
        <f t="shared" si="33"/>
        <v>45874.68073</v>
      </c>
      <c r="N3220" s="30" t="str">
        <f t="shared" si="34"/>
        <v>Selesai</v>
      </c>
      <c r="O3220" s="45">
        <f t="shared" si="23"/>
        <v>45874.68073</v>
      </c>
      <c r="P3220" s="47" t="b">
        <v>0</v>
      </c>
      <c r="Q3220" s="36" t="str">
        <f t="shared" si="35"/>
        <v/>
      </c>
      <c r="R3220" s="47" t="b">
        <v>0</v>
      </c>
      <c r="S3220" s="42" t="str">
        <f t="shared" si="28"/>
        <v/>
      </c>
      <c r="T3220" s="42"/>
    </row>
    <row r="3221" ht="22.5" customHeight="1">
      <c r="B3221" s="42">
        <f t="shared" si="7"/>
        <v>3215</v>
      </c>
      <c r="C3221" s="31" t="s">
        <v>3242</v>
      </c>
      <c r="D3221" s="34" t="str">
        <f t="array" ref="D3221">IFNA(_xlfn.XLOOKUP(C3221,Table_Tarikan_Warkah[Nomor Sertipikat],Table_Tarikan_Warkah[Nomor Tiket]),"")</f>
        <v>K/32/090725/1</v>
      </c>
      <c r="E3221" s="36">
        <f t="array" ref="E3221">IFNA(_xlfn.XLOOKUP(D3221,Table_Tarikan_Warkah[Nomor Tiket],Table_Tarikan_Warkah[Tanggal diserahkan kepada Validator]),"")</f>
        <v>45904.6168</v>
      </c>
      <c r="F3221" s="36" t="str">
        <f t="array" ref="F3221">IFNA(_xlfn.XLOOKUP(D3221,Table_Tarikan_Warkah[Nomor Tiket],Table_Tarikan_Warkah[Nama Petugas Warkah]),"")</f>
        <v>David</v>
      </c>
      <c r="G3221" s="39" t="str">
        <f t="array" ref="G3221">IFNA(_xlfn.XLOOKUP(D3221,Table_Tarikan_Warkah[Nomor Tiket],Table_Tarikan_Warkah[Jenis Permohonan]),"")</f>
        <v>ROYA</v>
      </c>
      <c r="H3221" s="41" t="s">
        <v>2315</v>
      </c>
      <c r="I3221" s="49" t="s">
        <v>23</v>
      </c>
      <c r="J3221" s="36">
        <f t="shared" si="20"/>
        <v>45874.36705</v>
      </c>
      <c r="K3221" s="49" t="s">
        <v>2378</v>
      </c>
      <c r="L3221" s="49" t="s">
        <v>23</v>
      </c>
      <c r="M3221" s="36">
        <f t="shared" si="33"/>
        <v>45874.68073</v>
      </c>
      <c r="N3221" s="30" t="str">
        <f t="shared" si="34"/>
        <v>Selesai</v>
      </c>
      <c r="O3221" s="45">
        <f t="shared" si="23"/>
        <v>45874.68073</v>
      </c>
      <c r="P3221" s="47" t="b">
        <v>0</v>
      </c>
      <c r="Q3221" s="36" t="str">
        <f t="shared" si="35"/>
        <v/>
      </c>
      <c r="R3221" s="47" t="b">
        <v>0</v>
      </c>
      <c r="S3221" s="42" t="str">
        <f t="shared" si="28"/>
        <v/>
      </c>
      <c r="T3221" s="42"/>
    </row>
    <row r="3222" ht="22.5" customHeight="1">
      <c r="B3222" s="42">
        <f t="shared" si="7"/>
        <v>3216</v>
      </c>
      <c r="C3222" s="31" t="s">
        <v>3284</v>
      </c>
      <c r="D3222" s="34" t="str">
        <f t="array" ref="D3222">IFNA(_xlfn.XLOOKUP(C3222,Table_Tarikan_Warkah[Nomor Sertipikat],Table_Tarikan_Warkah[Nomor Tiket]),"")</f>
        <v>K/54/040625/3</v>
      </c>
      <c r="E3222" s="36">
        <f t="array" ref="E3222">IFNA(_xlfn.XLOOKUP(D3222,Table_Tarikan_Warkah[Nomor Tiket],Table_Tarikan_Warkah[Tanggal diserahkan kepada Validator]),"")</f>
        <v>45891.59746</v>
      </c>
      <c r="F3222" s="36" t="str">
        <f t="array" ref="F3222">IFNA(_xlfn.XLOOKUP(D3222,Table_Tarikan_Warkah[Nomor Tiket],Table_Tarikan_Warkah[Nama Petugas Warkah]),"")</f>
        <v>Berry</v>
      </c>
      <c r="G3222" s="39" t="str">
        <f t="array" ref="G3222">IFNA(_xlfn.XLOOKUP(D3222,Table_Tarikan_Warkah[Nomor Tiket],Table_Tarikan_Warkah[Jenis Permohonan]),"")</f>
        <v>ROYA </v>
      </c>
      <c r="H3222" s="41" t="s">
        <v>2315</v>
      </c>
      <c r="I3222" s="49" t="s">
        <v>23</v>
      </c>
      <c r="J3222" s="36">
        <f t="shared" si="20"/>
        <v>45874.36716</v>
      </c>
      <c r="K3222" s="49" t="s">
        <v>2378</v>
      </c>
      <c r="L3222" s="49" t="s">
        <v>23</v>
      </c>
      <c r="M3222" s="36">
        <f t="shared" si="33"/>
        <v>45874.68073</v>
      </c>
      <c r="N3222" s="30" t="str">
        <f t="shared" si="34"/>
        <v>Selesai</v>
      </c>
      <c r="O3222" s="45">
        <f t="shared" si="23"/>
        <v>45874.68073</v>
      </c>
      <c r="P3222" s="47" t="b">
        <v>0</v>
      </c>
      <c r="Q3222" s="36" t="str">
        <f t="shared" si="35"/>
        <v/>
      </c>
      <c r="R3222" s="47" t="b">
        <v>0</v>
      </c>
      <c r="S3222" s="42" t="str">
        <f t="shared" si="28"/>
        <v/>
      </c>
      <c r="T3222" s="42"/>
    </row>
    <row r="3223" ht="22.5" customHeight="1">
      <c r="B3223" s="42">
        <f t="shared" si="7"/>
        <v>3217</v>
      </c>
      <c r="C3223" s="31" t="s">
        <v>3285</v>
      </c>
      <c r="D3223" s="34" t="str">
        <f t="array" ref="D3223">IFNA(_xlfn.XLOOKUP(C3223,Table_Tarikan_Warkah[Nomor Sertipikat],Table_Tarikan_Warkah[Nomor Tiket]),"")</f>
        <v>K/11/230725/1</v>
      </c>
      <c r="E3223" s="36">
        <f t="array" ref="E3223">IFNA(_xlfn.XLOOKUP(D3223,Table_Tarikan_Warkah[Nomor Tiket],Table_Tarikan_Warkah[Tanggal diserahkan kepada Validator]),"")</f>
        <v>45880.64607</v>
      </c>
      <c r="F3223" s="36" t="str">
        <f t="array" ref="F3223">IFNA(_xlfn.XLOOKUP(D3223,Table_Tarikan_Warkah[Nomor Tiket],Table_Tarikan_Warkah[Nama Petugas Warkah]),"")</f>
        <v>Berry</v>
      </c>
      <c r="G3223" s="39" t="str">
        <f t="array" ref="G3223">IFNA(_xlfn.XLOOKUP(D3223,Table_Tarikan_Warkah[Nomor Tiket],Table_Tarikan_Warkah[Jenis Permohonan]),"")</f>
        <v>JUAL BELI</v>
      </c>
      <c r="H3223" s="41" t="s">
        <v>2315</v>
      </c>
      <c r="I3223" s="49" t="s">
        <v>23</v>
      </c>
      <c r="J3223" s="36">
        <f t="shared" si="20"/>
        <v>45874.3673</v>
      </c>
      <c r="K3223" s="49" t="s">
        <v>2378</v>
      </c>
      <c r="L3223" s="49" t="s">
        <v>23</v>
      </c>
      <c r="M3223" s="36">
        <f t="shared" si="33"/>
        <v>45874.68073</v>
      </c>
      <c r="N3223" s="30" t="str">
        <f t="shared" si="34"/>
        <v>Selesai</v>
      </c>
      <c r="O3223" s="45">
        <f t="shared" si="23"/>
        <v>45874.68073</v>
      </c>
      <c r="P3223" s="47" t="b">
        <v>0</v>
      </c>
      <c r="Q3223" s="36" t="str">
        <f t="shared" si="35"/>
        <v/>
      </c>
      <c r="R3223" s="47" t="b">
        <v>0</v>
      </c>
      <c r="S3223" s="42" t="str">
        <f t="shared" si="28"/>
        <v/>
      </c>
      <c r="T3223" s="42"/>
    </row>
    <row r="3224" ht="22.5" customHeight="1">
      <c r="B3224" s="42">
        <f t="shared" si="7"/>
        <v>3218</v>
      </c>
      <c r="C3224" s="31" t="s">
        <v>3286</v>
      </c>
      <c r="D3224" s="34" t="str">
        <f t="array" ref="D3224">IFNA(_xlfn.XLOOKUP(C3224,Table_Tarikan_Warkah[Nomor Sertipikat],Table_Tarikan_Warkah[Nomor Tiket]),"")</f>
        <v>K/6/180725/1</v>
      </c>
      <c r="E3224" s="36">
        <f t="array" ref="E3224">IFNA(_xlfn.XLOOKUP(D3224,Table_Tarikan_Warkah[Nomor Tiket],Table_Tarikan_Warkah[Tanggal diserahkan kepada Validator]),"")</f>
        <v>45880.64452</v>
      </c>
      <c r="F3224" s="36" t="str">
        <f t="array" ref="F3224">IFNA(_xlfn.XLOOKUP(D3224,Table_Tarikan_Warkah[Nomor Tiket],Table_Tarikan_Warkah[Nama Petugas Warkah]),"")</f>
        <v>Berry</v>
      </c>
      <c r="G3224" s="39" t="str">
        <f t="array" ref="G3224">IFNA(_xlfn.XLOOKUP(D3224,Table_Tarikan_Warkah[Nomor Tiket],Table_Tarikan_Warkah[Jenis Permohonan]),"")</f>
        <v>JUAL BELI</v>
      </c>
      <c r="H3224" s="41" t="s">
        <v>2315</v>
      </c>
      <c r="I3224" s="49" t="s">
        <v>23</v>
      </c>
      <c r="J3224" s="36">
        <f t="shared" si="20"/>
        <v>45874.36745</v>
      </c>
      <c r="K3224" s="49" t="s">
        <v>2378</v>
      </c>
      <c r="L3224" s="49" t="s">
        <v>23</v>
      </c>
      <c r="M3224" s="36">
        <f t="shared" si="33"/>
        <v>45874.68073</v>
      </c>
      <c r="N3224" s="30" t="str">
        <f t="shared" si="34"/>
        <v>Selesai</v>
      </c>
      <c r="O3224" s="45">
        <f t="shared" si="23"/>
        <v>45874.68073</v>
      </c>
      <c r="P3224" s="47" t="b">
        <v>0</v>
      </c>
      <c r="Q3224" s="36" t="str">
        <f t="shared" si="35"/>
        <v/>
      </c>
      <c r="R3224" s="47" t="b">
        <v>0</v>
      </c>
      <c r="S3224" s="42" t="str">
        <f t="shared" si="28"/>
        <v/>
      </c>
      <c r="T3224" s="42"/>
    </row>
    <row r="3225" ht="22.5" customHeight="1">
      <c r="B3225" s="42">
        <f t="shared" si="7"/>
        <v>3219</v>
      </c>
      <c r="C3225" s="31" t="s">
        <v>3287</v>
      </c>
      <c r="D3225" s="34" t="str">
        <f t="array" ref="D3225">IFNA(_xlfn.XLOOKUP(C3225,Table_Tarikan_Warkah[Nomor Sertipikat],Table_Tarikan_Warkah[Nomor Tiket]),"")</f>
        <v>K/30/220725/1</v>
      </c>
      <c r="E3225" s="36">
        <f t="array" ref="E3225">IFNA(_xlfn.XLOOKUP(D3225,Table_Tarikan_Warkah[Nomor Tiket],Table_Tarikan_Warkah[Tanggal diserahkan kepada Validator]),"")</f>
        <v>45880.64421</v>
      </c>
      <c r="F3225" s="36" t="str">
        <f t="array" ref="F3225">IFNA(_xlfn.XLOOKUP(D3225,Table_Tarikan_Warkah[Nomor Tiket],Table_Tarikan_Warkah[Nama Petugas Warkah]),"")</f>
        <v>David</v>
      </c>
      <c r="G3225" s="39" t="str">
        <f t="array" ref="G3225">IFNA(_xlfn.XLOOKUP(D3225,Table_Tarikan_Warkah[Nomor Tiket],Table_Tarikan_Warkah[Jenis Permohonan]),"")</f>
        <v>JUAL BELI</v>
      </c>
      <c r="H3225" s="41" t="s">
        <v>2315</v>
      </c>
      <c r="I3225" s="49" t="s">
        <v>23</v>
      </c>
      <c r="J3225" s="36">
        <f t="shared" si="20"/>
        <v>45874.36759</v>
      </c>
      <c r="K3225" s="49" t="s">
        <v>2378</v>
      </c>
      <c r="L3225" s="49" t="s">
        <v>23</v>
      </c>
      <c r="M3225" s="36">
        <f t="shared" si="33"/>
        <v>45874.68073</v>
      </c>
      <c r="N3225" s="30" t="str">
        <f t="shared" si="34"/>
        <v>Selesai</v>
      </c>
      <c r="O3225" s="45">
        <f t="shared" si="23"/>
        <v>45874.68073</v>
      </c>
      <c r="P3225" s="47" t="b">
        <v>0</v>
      </c>
      <c r="Q3225" s="36" t="str">
        <f t="shared" si="35"/>
        <v/>
      </c>
      <c r="R3225" s="47" t="b">
        <v>0</v>
      </c>
      <c r="S3225" s="42" t="str">
        <f t="shared" si="28"/>
        <v/>
      </c>
      <c r="T3225" s="42"/>
    </row>
    <row r="3226" ht="22.5" customHeight="1">
      <c r="B3226" s="42">
        <f t="shared" si="7"/>
        <v>3220</v>
      </c>
      <c r="C3226" s="31" t="s">
        <v>3288</v>
      </c>
      <c r="D3226" s="34" t="str">
        <f t="array" ref="D3226">IFNA(_xlfn.XLOOKUP(C3226,Table_Tarikan_Warkah[Nomor Sertipikat],Table_Tarikan_Warkah[Nomor Tiket]),"")</f>
        <v>K/2/040725/1</v>
      </c>
      <c r="E3226" s="36" t="str">
        <f t="array" ref="E3226">IFNA(_xlfn.XLOOKUP(D3226,Table_Tarikan_Warkah[Nomor Tiket],Table_Tarikan_Warkah[Tanggal diserahkan kepada Validator]),"")</f>
        <v/>
      </c>
      <c r="F3226" s="36" t="str">
        <f t="array" ref="F3226">IFNA(_xlfn.XLOOKUP(D3226,Table_Tarikan_Warkah[Nomor Tiket],Table_Tarikan_Warkah[Nama Petugas Warkah]),"")</f>
        <v/>
      </c>
      <c r="G3226" s="39" t="str">
        <f t="array" ref="G3226">IFNA(_xlfn.XLOOKUP(D3226,Table_Tarikan_Warkah[Nomor Tiket],Table_Tarikan_Warkah[Jenis Permohonan]),"")</f>
        <v>BN WARIS</v>
      </c>
      <c r="H3226" s="41" t="s">
        <v>2315</v>
      </c>
      <c r="I3226" s="49" t="s">
        <v>23</v>
      </c>
      <c r="J3226" s="36">
        <f t="shared" si="20"/>
        <v>45874.36773</v>
      </c>
      <c r="K3226" s="49" t="s">
        <v>2378</v>
      </c>
      <c r="L3226" s="49" t="s">
        <v>23</v>
      </c>
      <c r="M3226" s="36">
        <f t="shared" si="33"/>
        <v>45874.68073</v>
      </c>
      <c r="N3226" s="30" t="str">
        <f t="shared" si="34"/>
        <v>Selesai</v>
      </c>
      <c r="O3226" s="45">
        <f t="shared" si="23"/>
        <v>45874.68073</v>
      </c>
      <c r="P3226" s="47" t="b">
        <v>0</v>
      </c>
      <c r="Q3226" s="36" t="str">
        <f t="shared" si="35"/>
        <v/>
      </c>
      <c r="R3226" s="47" t="b">
        <v>0</v>
      </c>
      <c r="S3226" s="42" t="str">
        <f t="shared" si="28"/>
        <v/>
      </c>
      <c r="T3226" s="42"/>
    </row>
    <row r="3227" ht="22.5" customHeight="1">
      <c r="B3227" s="42">
        <f t="shared" si="7"/>
        <v>3221</v>
      </c>
      <c r="C3227" s="31" t="s">
        <v>3289</v>
      </c>
      <c r="D3227" s="34" t="str">
        <f t="array" ref="D3227">IFNA(_xlfn.XLOOKUP(C3227,Table_Tarikan_Warkah[Nomor Sertipikat],Table_Tarikan_Warkah[Nomor Tiket]),"")</f>
        <v>K/4/280725/1</v>
      </c>
      <c r="E3227" s="36" t="str">
        <f t="array" ref="E3227">IFNA(_xlfn.XLOOKUP(D3227,Table_Tarikan_Warkah[Nomor Tiket],Table_Tarikan_Warkah[Tanggal diserahkan kepada Validator]),"")</f>
        <v/>
      </c>
      <c r="F3227" s="36" t="str">
        <f t="array" ref="F3227">IFNA(_xlfn.XLOOKUP(D3227,Table_Tarikan_Warkah[Nomor Tiket],Table_Tarikan_Warkah[Nama Petugas Warkah]),"")</f>
        <v/>
      </c>
      <c r="G3227" s="39" t="str">
        <f t="array" ref="G3227">IFNA(_xlfn.XLOOKUP(D3227,Table_Tarikan_Warkah[Nomor Tiket],Table_Tarikan_Warkah[Jenis Permohonan]),"")</f>
        <v>BN JUAL BELI </v>
      </c>
      <c r="H3227" s="41" t="s">
        <v>2315</v>
      </c>
      <c r="I3227" s="49" t="s">
        <v>23</v>
      </c>
      <c r="J3227" s="36">
        <f t="shared" si="20"/>
        <v>45874.36792</v>
      </c>
      <c r="K3227" s="49" t="s">
        <v>2378</v>
      </c>
      <c r="L3227" s="49" t="s">
        <v>23</v>
      </c>
      <c r="M3227" s="36">
        <f t="shared" si="33"/>
        <v>45874.68073</v>
      </c>
      <c r="N3227" s="30" t="str">
        <f t="shared" si="34"/>
        <v>Selesai</v>
      </c>
      <c r="O3227" s="45">
        <f t="shared" si="23"/>
        <v>45874.68073</v>
      </c>
      <c r="P3227" s="47" t="b">
        <v>0</v>
      </c>
      <c r="Q3227" s="36" t="str">
        <f t="shared" si="35"/>
        <v/>
      </c>
      <c r="R3227" s="47" t="b">
        <v>0</v>
      </c>
      <c r="S3227" s="42" t="str">
        <f t="shared" si="28"/>
        <v/>
      </c>
      <c r="T3227" s="42"/>
    </row>
    <row r="3228" ht="22.5" customHeight="1">
      <c r="B3228" s="42">
        <f t="shared" si="7"/>
        <v>3222</v>
      </c>
      <c r="C3228" s="31" t="s">
        <v>3290</v>
      </c>
      <c r="D3228" s="34" t="str">
        <f t="array" ref="D3228">IFNA(_xlfn.XLOOKUP(C3228,Table_Tarikan_Warkah[Nomor Sertipikat],Table_Tarikan_Warkah[Nomor Tiket]),"")</f>
        <v>K/28/090725/1</v>
      </c>
      <c r="E3228" s="36" t="str">
        <f t="array" ref="E3228">IFNA(_xlfn.XLOOKUP(D3228,Table_Tarikan_Warkah[Nomor Tiket],Table_Tarikan_Warkah[Tanggal diserahkan kepada Validator]),"")</f>
        <v/>
      </c>
      <c r="F3228" s="36" t="str">
        <f t="array" ref="F3228">IFNA(_xlfn.XLOOKUP(D3228,Table_Tarikan_Warkah[Nomor Tiket],Table_Tarikan_Warkah[Nama Petugas Warkah]),"")</f>
        <v/>
      </c>
      <c r="G3228" s="39" t="str">
        <f t="array" ref="G3228">IFNA(_xlfn.XLOOKUP(D3228,Table_Tarikan_Warkah[Nomor Tiket],Table_Tarikan_Warkah[Jenis Permohonan]),"")</f>
        <v>ROYA</v>
      </c>
      <c r="H3228" s="41" t="s">
        <v>2315</v>
      </c>
      <c r="I3228" s="49" t="s">
        <v>23</v>
      </c>
      <c r="J3228" s="36">
        <f t="shared" si="20"/>
        <v>45874.36809</v>
      </c>
      <c r="K3228" s="49" t="s">
        <v>2378</v>
      </c>
      <c r="L3228" s="49" t="s">
        <v>23</v>
      </c>
      <c r="M3228" s="36">
        <f t="shared" si="33"/>
        <v>45874.68077</v>
      </c>
      <c r="N3228" s="30" t="str">
        <f t="shared" si="34"/>
        <v>Selesai</v>
      </c>
      <c r="O3228" s="45">
        <f t="shared" si="23"/>
        <v>45874.68077</v>
      </c>
      <c r="P3228" s="47" t="b">
        <v>0</v>
      </c>
      <c r="Q3228" s="36" t="str">
        <f t="shared" si="35"/>
        <v/>
      </c>
      <c r="R3228" s="47" t="b">
        <v>0</v>
      </c>
      <c r="S3228" s="42" t="str">
        <f t="shared" si="28"/>
        <v/>
      </c>
      <c r="T3228" s="42"/>
    </row>
    <row r="3229" ht="22.5" customHeight="1">
      <c r="B3229" s="42">
        <f t="shared" si="7"/>
        <v>3223</v>
      </c>
      <c r="C3229" s="31" t="s">
        <v>3291</v>
      </c>
      <c r="D3229" s="34" t="str">
        <f t="array" ref="D3229">IFNA(_xlfn.XLOOKUP(C3229,Table_Tarikan_Warkah[Nomor Sertipikat],Table_Tarikan_Warkah[Nomor Tiket]),"")</f>
        <v>K/38/040625/1</v>
      </c>
      <c r="E3229" s="36" t="str">
        <f t="array" ref="E3229">IFNA(_xlfn.XLOOKUP(D3229,Table_Tarikan_Warkah[Nomor Tiket],Table_Tarikan_Warkah[Tanggal diserahkan kepada Validator]),"")</f>
        <v/>
      </c>
      <c r="F3229" s="36" t="str">
        <f t="array" ref="F3229">IFNA(_xlfn.XLOOKUP(D3229,Table_Tarikan_Warkah[Nomor Tiket],Table_Tarikan_Warkah[Nama Petugas Warkah]),"")</f>
        <v/>
      </c>
      <c r="G3229" s="39" t="str">
        <f t="array" ref="G3229">IFNA(_xlfn.XLOOKUP(D3229,Table_Tarikan_Warkah[Nomor Tiket],Table_Tarikan_Warkah[Jenis Permohonan]),"")</f>
        <v>BN JUAL BELI </v>
      </c>
      <c r="H3229" s="41" t="s">
        <v>2315</v>
      </c>
      <c r="I3229" s="49" t="s">
        <v>23</v>
      </c>
      <c r="J3229" s="36">
        <f t="shared" si="20"/>
        <v>45874.3683</v>
      </c>
      <c r="K3229" s="49" t="s">
        <v>2378</v>
      </c>
      <c r="L3229" s="49" t="s">
        <v>23</v>
      </c>
      <c r="M3229" s="36">
        <f t="shared" si="33"/>
        <v>45874.68077</v>
      </c>
      <c r="N3229" s="30" t="str">
        <f t="shared" si="34"/>
        <v>Selesai</v>
      </c>
      <c r="O3229" s="45">
        <f t="shared" si="23"/>
        <v>45874.68077</v>
      </c>
      <c r="P3229" s="47" t="b">
        <v>0</v>
      </c>
      <c r="Q3229" s="36" t="str">
        <f t="shared" si="35"/>
        <v/>
      </c>
      <c r="R3229" s="47" t="b">
        <v>0</v>
      </c>
      <c r="S3229" s="42" t="str">
        <f t="shared" si="28"/>
        <v/>
      </c>
      <c r="T3229" s="42"/>
    </row>
    <row r="3230" ht="22.5" customHeight="1">
      <c r="B3230" s="42">
        <f t="shared" si="7"/>
        <v>3224</v>
      </c>
      <c r="C3230" s="31" t="s">
        <v>3292</v>
      </c>
      <c r="D3230" s="34" t="str">
        <f t="array" ref="D3230">IFNA(_xlfn.XLOOKUP(C3230,Table_Tarikan_Warkah[Nomor Sertipikat],Table_Tarikan_Warkah[Nomor Tiket]),"")</f>
        <v>K/17/080725/1</v>
      </c>
      <c r="E3230" s="36" t="str">
        <f t="array" ref="E3230">IFNA(_xlfn.XLOOKUP(D3230,Table_Tarikan_Warkah[Nomor Tiket],Table_Tarikan_Warkah[Tanggal diserahkan kepada Validator]),"")</f>
        <v/>
      </c>
      <c r="F3230" s="36" t="str">
        <f t="array" ref="F3230">IFNA(_xlfn.XLOOKUP(D3230,Table_Tarikan_Warkah[Nomor Tiket],Table_Tarikan_Warkah[Nama Petugas Warkah]),"")</f>
        <v/>
      </c>
      <c r="G3230" s="39" t="str">
        <f t="array" ref="G3230">IFNA(_xlfn.XLOOKUP(D3230,Table_Tarikan_Warkah[Nomor Tiket],Table_Tarikan_Warkah[Jenis Permohonan]),"")</f>
        <v>BN JUAL BELI</v>
      </c>
      <c r="H3230" s="41" t="s">
        <v>2315</v>
      </c>
      <c r="I3230" s="49" t="s">
        <v>23</v>
      </c>
      <c r="J3230" s="36">
        <f t="shared" si="20"/>
        <v>45874.36847</v>
      </c>
      <c r="K3230" s="49" t="s">
        <v>2378</v>
      </c>
      <c r="L3230" s="49" t="s">
        <v>23</v>
      </c>
      <c r="M3230" s="36">
        <f t="shared" si="33"/>
        <v>45874.68077</v>
      </c>
      <c r="N3230" s="30" t="str">
        <f t="shared" si="34"/>
        <v>Selesai</v>
      </c>
      <c r="O3230" s="45">
        <f t="shared" si="23"/>
        <v>45874.68077</v>
      </c>
      <c r="P3230" s="47" t="b">
        <v>0</v>
      </c>
      <c r="Q3230" s="36" t="str">
        <f t="shared" si="35"/>
        <v/>
      </c>
      <c r="R3230" s="47" t="b">
        <v>0</v>
      </c>
      <c r="S3230" s="42" t="str">
        <f t="shared" si="28"/>
        <v/>
      </c>
      <c r="T3230" s="42"/>
    </row>
    <row r="3231" ht="22.5" customHeight="1">
      <c r="B3231" s="42">
        <f t="shared" si="7"/>
        <v>3225</v>
      </c>
      <c r="C3231" s="31" t="s">
        <v>3293</v>
      </c>
      <c r="D3231" s="34" t="str">
        <f t="array" ref="D3231">IFNA(_xlfn.XLOOKUP(C3231,Table_Tarikan_Warkah[Nomor Sertipikat],Table_Tarikan_Warkah[Nomor Tiket]),"")</f>
        <v>K/34/090725/1</v>
      </c>
      <c r="E3231" s="36" t="str">
        <f t="array" ref="E3231">IFNA(_xlfn.XLOOKUP(D3231,Table_Tarikan_Warkah[Nomor Tiket],Table_Tarikan_Warkah[Tanggal diserahkan kepada Validator]),"")</f>
        <v/>
      </c>
      <c r="F3231" s="36" t="str">
        <f t="array" ref="F3231">IFNA(_xlfn.XLOOKUP(D3231,Table_Tarikan_Warkah[Nomor Tiket],Table_Tarikan_Warkah[Nama Petugas Warkah]),"")</f>
        <v/>
      </c>
      <c r="G3231" s="39" t="str">
        <f t="array" ref="G3231">IFNA(_xlfn.XLOOKUP(D3231,Table_Tarikan_Warkah[Nomor Tiket],Table_Tarikan_Warkah[Jenis Permohonan]),"")</f>
        <v>BN JUAL BELI</v>
      </c>
      <c r="H3231" s="41" t="s">
        <v>2315</v>
      </c>
      <c r="I3231" s="49" t="s">
        <v>23</v>
      </c>
      <c r="J3231" s="36">
        <f t="shared" si="20"/>
        <v>45874.36864</v>
      </c>
      <c r="K3231" s="49" t="s">
        <v>2378</v>
      </c>
      <c r="L3231" s="49" t="s">
        <v>23</v>
      </c>
      <c r="M3231" s="36">
        <f t="shared" si="33"/>
        <v>45874.68077</v>
      </c>
      <c r="N3231" s="30" t="str">
        <f t="shared" si="34"/>
        <v>Selesai</v>
      </c>
      <c r="O3231" s="45">
        <f t="shared" si="23"/>
        <v>45874.68077</v>
      </c>
      <c r="P3231" s="47" t="b">
        <v>0</v>
      </c>
      <c r="Q3231" s="36" t="str">
        <f t="shared" si="35"/>
        <v/>
      </c>
      <c r="R3231" s="47" t="b">
        <v>0</v>
      </c>
      <c r="S3231" s="42" t="str">
        <f t="shared" si="28"/>
        <v/>
      </c>
      <c r="T3231" s="42"/>
    </row>
    <row r="3232" ht="22.5" customHeight="1">
      <c r="B3232" s="42">
        <f t="shared" si="7"/>
        <v>3226</v>
      </c>
      <c r="C3232" s="31" t="s">
        <v>3294</v>
      </c>
      <c r="D3232" s="34" t="str">
        <f t="array" ref="D3232">IFNA(_xlfn.XLOOKUP(C3232,Table_Tarikan_Warkah[Nomor Sertipikat],Table_Tarikan_Warkah[Nomor Tiket]),"")</f>
        <v>K/3/210725/1</v>
      </c>
      <c r="E3232" s="36">
        <f t="array" ref="E3232">IFNA(_xlfn.XLOOKUP(D3232,Table_Tarikan_Warkah[Nomor Tiket],Table_Tarikan_Warkah[Tanggal diserahkan kepada Validator]),"")</f>
        <v>45930.60049</v>
      </c>
      <c r="F3232" s="36" t="str">
        <f t="array" ref="F3232">IFNA(_xlfn.XLOOKUP(D3232,Table_Tarikan_Warkah[Nomor Tiket],Table_Tarikan_Warkah[Nama Petugas Warkah]),"")</f>
        <v>David</v>
      </c>
      <c r="G3232" s="39" t="str">
        <f t="array" ref="G3232">IFNA(_xlfn.XLOOKUP(D3232,Table_Tarikan_Warkah[Nomor Tiket],Table_Tarikan_Warkah[Jenis Permohonan]),"")</f>
        <v>ROYA</v>
      </c>
      <c r="H3232" s="41" t="s">
        <v>2315</v>
      </c>
      <c r="I3232" s="49" t="s">
        <v>23</v>
      </c>
      <c r="J3232" s="36">
        <f t="shared" si="20"/>
        <v>45874.36877</v>
      </c>
      <c r="K3232" s="49" t="s">
        <v>2378</v>
      </c>
      <c r="L3232" s="49" t="s">
        <v>23</v>
      </c>
      <c r="M3232" s="36">
        <f t="shared" si="33"/>
        <v>45874.68077</v>
      </c>
      <c r="N3232" s="30" t="str">
        <f t="shared" si="34"/>
        <v>Selesai</v>
      </c>
      <c r="O3232" s="45">
        <f t="shared" si="23"/>
        <v>45874.68077</v>
      </c>
      <c r="P3232" s="47" t="b">
        <v>0</v>
      </c>
      <c r="Q3232" s="36" t="str">
        <f t="shared" si="35"/>
        <v/>
      </c>
      <c r="R3232" s="47" t="b">
        <v>0</v>
      </c>
      <c r="S3232" s="42" t="str">
        <f t="shared" si="28"/>
        <v/>
      </c>
      <c r="T3232" s="42"/>
    </row>
    <row r="3233" ht="22.5" customHeight="1">
      <c r="B3233" s="42">
        <f t="shared" si="7"/>
        <v>3227</v>
      </c>
      <c r="C3233" s="31" t="s">
        <v>3295</v>
      </c>
      <c r="D3233" s="34" t="str">
        <f t="array" ref="D3233">IFNA(_xlfn.XLOOKUP(C3233,Table_Tarikan_Warkah[Nomor Sertipikat],Table_Tarikan_Warkah[Nomor Tiket]),"")</f>
        <v>K/18/250725/1</v>
      </c>
      <c r="E3233" s="36" t="str">
        <f t="array" ref="E3233">IFNA(_xlfn.XLOOKUP(D3233,Table_Tarikan_Warkah[Nomor Tiket],Table_Tarikan_Warkah[Tanggal diserahkan kepada Validator]),"")</f>
        <v/>
      </c>
      <c r="F3233" s="36" t="str">
        <f t="array" ref="F3233">IFNA(_xlfn.XLOOKUP(D3233,Table_Tarikan_Warkah[Nomor Tiket],Table_Tarikan_Warkah[Nama Petugas Warkah]),"")</f>
        <v/>
      </c>
      <c r="G3233" s="39" t="str">
        <f t="array" ref="G3233">IFNA(_xlfn.XLOOKUP(D3233,Table_Tarikan_Warkah[Nomor Tiket],Table_Tarikan_Warkah[Jenis Permohonan]),"")</f>
        <v>BN JUAL BELI</v>
      </c>
      <c r="H3233" s="41" t="s">
        <v>2315</v>
      </c>
      <c r="I3233" s="49" t="s">
        <v>23</v>
      </c>
      <c r="J3233" s="36">
        <f t="shared" si="20"/>
        <v>45874.36893</v>
      </c>
      <c r="K3233" s="49" t="s">
        <v>2378</v>
      </c>
      <c r="L3233" s="49" t="s">
        <v>23</v>
      </c>
      <c r="M3233" s="36">
        <f t="shared" si="33"/>
        <v>45874.68077</v>
      </c>
      <c r="N3233" s="30" t="str">
        <f t="shared" si="34"/>
        <v>Selesai</v>
      </c>
      <c r="O3233" s="45">
        <f t="shared" si="23"/>
        <v>45874.68077</v>
      </c>
      <c r="P3233" s="47" t="b">
        <v>0</v>
      </c>
      <c r="Q3233" s="36" t="str">
        <f t="shared" si="35"/>
        <v/>
      </c>
      <c r="R3233" s="47" t="b">
        <v>0</v>
      </c>
      <c r="S3233" s="42" t="str">
        <f t="shared" si="28"/>
        <v/>
      </c>
      <c r="T3233" s="42"/>
    </row>
    <row r="3234" ht="22.5" customHeight="1">
      <c r="B3234" s="42">
        <f t="shared" si="7"/>
        <v>3228</v>
      </c>
      <c r="C3234" s="31" t="s">
        <v>3296</v>
      </c>
      <c r="D3234" s="34" t="str">
        <f t="array" ref="D3234">IFNA(_xlfn.XLOOKUP(C3234,Table_Tarikan_Warkah[Nomor Sertipikat],Table_Tarikan_Warkah[Nomor Tiket]),"")</f>
        <v>K/20/250725/3</v>
      </c>
      <c r="E3234" s="36" t="str">
        <f t="array" ref="E3234">IFNA(_xlfn.XLOOKUP(D3234,Table_Tarikan_Warkah[Nomor Tiket],Table_Tarikan_Warkah[Tanggal diserahkan kepada Validator]),"")</f>
        <v/>
      </c>
      <c r="F3234" s="36" t="str">
        <f t="array" ref="F3234">IFNA(_xlfn.XLOOKUP(D3234,Table_Tarikan_Warkah[Nomor Tiket],Table_Tarikan_Warkah[Nama Petugas Warkah]),"")</f>
        <v/>
      </c>
      <c r="G3234" s="39" t="str">
        <f t="array" ref="G3234">IFNA(_xlfn.XLOOKUP(D3234,Table_Tarikan_Warkah[Nomor Tiket],Table_Tarikan_Warkah[Jenis Permohonan]),"")</f>
        <v>BN JUAL BELI</v>
      </c>
      <c r="H3234" s="41" t="s">
        <v>2315</v>
      </c>
      <c r="I3234" s="49" t="s">
        <v>23</v>
      </c>
      <c r="J3234" s="36">
        <f t="shared" si="20"/>
        <v>45874.36906</v>
      </c>
      <c r="K3234" s="49" t="s">
        <v>2378</v>
      </c>
      <c r="L3234" s="49" t="s">
        <v>23</v>
      </c>
      <c r="M3234" s="36">
        <f t="shared" si="33"/>
        <v>45874.68077</v>
      </c>
      <c r="N3234" s="30" t="str">
        <f t="shared" si="34"/>
        <v>Selesai</v>
      </c>
      <c r="O3234" s="45">
        <f t="shared" si="23"/>
        <v>45874.68077</v>
      </c>
      <c r="P3234" s="47" t="b">
        <v>0</v>
      </c>
      <c r="Q3234" s="36" t="str">
        <f t="shared" si="35"/>
        <v/>
      </c>
      <c r="R3234" s="47" t="b">
        <v>0</v>
      </c>
      <c r="S3234" s="42" t="str">
        <f t="shared" si="28"/>
        <v/>
      </c>
      <c r="T3234" s="42"/>
    </row>
    <row r="3235" ht="22.5" customHeight="1">
      <c r="B3235" s="42">
        <f t="shared" si="7"/>
        <v>3229</v>
      </c>
      <c r="C3235" s="31" t="s">
        <v>3297</v>
      </c>
      <c r="D3235" s="34" t="str">
        <f t="array" ref="D3235">IFNA(_xlfn.XLOOKUP(C3235,Table_Tarikan_Warkah[Nomor Sertipikat],Table_Tarikan_Warkah[Nomor Tiket]),"")</f>
        <v>K/5/240725/1</v>
      </c>
      <c r="E3235" s="36" t="str">
        <f t="array" ref="E3235">IFNA(_xlfn.XLOOKUP(D3235,Table_Tarikan_Warkah[Nomor Tiket],Table_Tarikan_Warkah[Tanggal diserahkan kepada Validator]),"")</f>
        <v/>
      </c>
      <c r="F3235" s="36" t="str">
        <f t="array" ref="F3235">IFNA(_xlfn.XLOOKUP(D3235,Table_Tarikan_Warkah[Nomor Tiket],Table_Tarikan_Warkah[Nama Petugas Warkah]),"")</f>
        <v/>
      </c>
      <c r="G3235" s="39" t="str">
        <f t="array" ref="G3235">IFNA(_xlfn.XLOOKUP(D3235,Table_Tarikan_Warkah[Nomor Tiket],Table_Tarikan_Warkah[Jenis Permohonan]),"")</f>
        <v>BN JUAL BELI</v>
      </c>
      <c r="H3235" s="41" t="s">
        <v>2315</v>
      </c>
      <c r="I3235" s="49" t="s">
        <v>23</v>
      </c>
      <c r="J3235" s="36">
        <f t="shared" si="20"/>
        <v>45874.36919</v>
      </c>
      <c r="K3235" s="49" t="s">
        <v>2378</v>
      </c>
      <c r="L3235" s="49" t="s">
        <v>23</v>
      </c>
      <c r="M3235" s="36">
        <f t="shared" si="33"/>
        <v>45874.68077</v>
      </c>
      <c r="N3235" s="30" t="str">
        <f t="shared" si="34"/>
        <v>Selesai</v>
      </c>
      <c r="O3235" s="45">
        <f t="shared" si="23"/>
        <v>45874.68077</v>
      </c>
      <c r="P3235" s="47" t="b">
        <v>0</v>
      </c>
      <c r="Q3235" s="36" t="str">
        <f t="shared" si="35"/>
        <v/>
      </c>
      <c r="R3235" s="47" t="b">
        <v>0</v>
      </c>
      <c r="S3235" s="42" t="str">
        <f t="shared" si="28"/>
        <v/>
      </c>
      <c r="T3235" s="42"/>
    </row>
    <row r="3236" ht="22.5" customHeight="1">
      <c r="B3236" s="42">
        <f t="shared" si="7"/>
        <v>3230</v>
      </c>
      <c r="C3236" s="31" t="s">
        <v>3298</v>
      </c>
      <c r="D3236" s="34" t="str">
        <f t="array" ref="D3236">IFNA(_xlfn.XLOOKUP(C3236,Table_Tarikan_Warkah[Nomor Sertipikat],Table_Tarikan_Warkah[Nomor Tiket]),"")</f>
        <v>K/23/230725/1</v>
      </c>
      <c r="E3236" s="36" t="str">
        <f t="array" ref="E3236">IFNA(_xlfn.XLOOKUP(D3236,Table_Tarikan_Warkah[Nomor Tiket],Table_Tarikan_Warkah[Tanggal diserahkan kepada Validator]),"")</f>
        <v/>
      </c>
      <c r="F3236" s="36" t="str">
        <f t="array" ref="F3236">IFNA(_xlfn.XLOOKUP(D3236,Table_Tarikan_Warkah[Nomor Tiket],Table_Tarikan_Warkah[Nama Petugas Warkah]),"")</f>
        <v/>
      </c>
      <c r="G3236" s="39" t="str">
        <f t="array" ref="G3236">IFNA(_xlfn.XLOOKUP(D3236,Table_Tarikan_Warkah[Nomor Tiket],Table_Tarikan_Warkah[Jenis Permohonan]),"")</f>
        <v>PERALIHAN HAK (JUAL BELI)</v>
      </c>
      <c r="H3236" s="41" t="s">
        <v>2315</v>
      </c>
      <c r="I3236" s="49" t="s">
        <v>23</v>
      </c>
      <c r="J3236" s="36">
        <f t="shared" si="20"/>
        <v>45874.36934</v>
      </c>
      <c r="K3236" s="49" t="s">
        <v>2378</v>
      </c>
      <c r="L3236" s="49" t="s">
        <v>23</v>
      </c>
      <c r="M3236" s="36">
        <f t="shared" si="33"/>
        <v>45874.68077</v>
      </c>
      <c r="N3236" s="30" t="str">
        <f t="shared" si="34"/>
        <v>Selesai</v>
      </c>
      <c r="O3236" s="45">
        <f t="shared" si="23"/>
        <v>45874.68077</v>
      </c>
      <c r="P3236" s="47" t="b">
        <v>0</v>
      </c>
      <c r="Q3236" s="36" t="str">
        <f t="shared" si="35"/>
        <v/>
      </c>
      <c r="R3236" s="47" t="b">
        <v>0</v>
      </c>
      <c r="S3236" s="42" t="str">
        <f t="shared" si="28"/>
        <v/>
      </c>
      <c r="T3236" s="42"/>
    </row>
    <row r="3237" ht="22.5" customHeight="1">
      <c r="B3237" s="42">
        <f t="shared" si="7"/>
        <v>3231</v>
      </c>
      <c r="C3237" s="31" t="s">
        <v>3299</v>
      </c>
      <c r="D3237" s="34" t="str">
        <f t="array" ref="D3237">IFNA(_xlfn.XLOOKUP(C3237,Table_Tarikan_Warkah[Nomor Sertipikat],Table_Tarikan_Warkah[Nomor Tiket]),"")</f>
        <v>K/14/180725/1</v>
      </c>
      <c r="E3237" s="36" t="str">
        <f t="array" ref="E3237">IFNA(_xlfn.XLOOKUP(D3237,Table_Tarikan_Warkah[Nomor Tiket],Table_Tarikan_Warkah[Tanggal diserahkan kepada Validator]),"")</f>
        <v/>
      </c>
      <c r="F3237" s="36" t="str">
        <f t="array" ref="F3237">IFNA(_xlfn.XLOOKUP(D3237,Table_Tarikan_Warkah[Nomor Tiket],Table_Tarikan_Warkah[Nama Petugas Warkah]),"")</f>
        <v/>
      </c>
      <c r="G3237" s="39" t="str">
        <f t="array" ref="G3237">IFNA(_xlfn.XLOOKUP(D3237,Table_Tarikan_Warkah[Nomor Tiket],Table_Tarikan_Warkah[Jenis Permohonan]),"")</f>
        <v>BN JUAL BELI</v>
      </c>
      <c r="H3237" s="41" t="s">
        <v>2315</v>
      </c>
      <c r="I3237" s="49" t="s">
        <v>23</v>
      </c>
      <c r="J3237" s="36">
        <f t="shared" si="20"/>
        <v>45874.36958</v>
      </c>
      <c r="K3237" s="49" t="s">
        <v>2378</v>
      </c>
      <c r="L3237" s="49" t="s">
        <v>23</v>
      </c>
      <c r="M3237" s="36">
        <f t="shared" si="33"/>
        <v>45874.68077</v>
      </c>
      <c r="N3237" s="30" t="str">
        <f t="shared" si="34"/>
        <v>Selesai</v>
      </c>
      <c r="O3237" s="45">
        <f t="shared" si="23"/>
        <v>45874.68077</v>
      </c>
      <c r="P3237" s="47" t="b">
        <v>0</v>
      </c>
      <c r="Q3237" s="36" t="str">
        <f t="shared" si="35"/>
        <v/>
      </c>
      <c r="R3237" s="47" t="b">
        <v>0</v>
      </c>
      <c r="S3237" s="42" t="str">
        <f t="shared" si="28"/>
        <v/>
      </c>
      <c r="T3237" s="42"/>
    </row>
    <row r="3238" ht="22.5" customHeight="1">
      <c r="B3238" s="42">
        <f t="shared" si="7"/>
        <v>3232</v>
      </c>
      <c r="C3238" s="31" t="s">
        <v>3300</v>
      </c>
      <c r="D3238" s="34" t="str">
        <f t="array" ref="D3238">IFNA(_xlfn.XLOOKUP(C3238,Table_Tarikan_Warkah[Nomor Sertipikat],Table_Tarikan_Warkah[Nomor Tiket]),"")</f>
        <v>K/23/150725/3</v>
      </c>
      <c r="E3238" s="36">
        <f t="array" ref="E3238">IFNA(_xlfn.XLOOKUP(D3238,Table_Tarikan_Warkah[Nomor Tiket],Table_Tarikan_Warkah[Tanggal diserahkan kepada Validator]),"")</f>
        <v>45880.71968</v>
      </c>
      <c r="F3238" s="36" t="str">
        <f t="array" ref="F3238">IFNA(_xlfn.XLOOKUP(D3238,Table_Tarikan_Warkah[Nomor Tiket],Table_Tarikan_Warkah[Nama Petugas Warkah]),"")</f>
        <v>Berry</v>
      </c>
      <c r="G3238" s="39" t="str">
        <f t="array" ref="G3238">IFNA(_xlfn.XLOOKUP(D3238,Table_Tarikan_Warkah[Nomor Tiket],Table_Tarikan_Warkah[Jenis Permohonan]),"")</f>
        <v>BN HIBAH</v>
      </c>
      <c r="H3238" s="41" t="s">
        <v>2315</v>
      </c>
      <c r="I3238" s="49" t="s">
        <v>23</v>
      </c>
      <c r="J3238" s="36">
        <f t="shared" si="20"/>
        <v>45874.36986</v>
      </c>
      <c r="K3238" s="49" t="s">
        <v>2378</v>
      </c>
      <c r="L3238" s="49" t="s">
        <v>23</v>
      </c>
      <c r="M3238" s="36">
        <f t="shared" si="33"/>
        <v>45874.68077</v>
      </c>
      <c r="N3238" s="30" t="str">
        <f t="shared" si="34"/>
        <v>Selesai</v>
      </c>
      <c r="O3238" s="45">
        <f t="shared" si="23"/>
        <v>45874.68077</v>
      </c>
      <c r="P3238" s="47" t="b">
        <v>0</v>
      </c>
      <c r="Q3238" s="36" t="str">
        <f t="shared" si="35"/>
        <v/>
      </c>
      <c r="R3238" s="47" t="b">
        <v>0</v>
      </c>
      <c r="S3238" s="42" t="str">
        <f t="shared" si="28"/>
        <v/>
      </c>
      <c r="T3238" s="42"/>
    </row>
    <row r="3239" ht="22.5" customHeight="1">
      <c r="B3239" s="42">
        <f t="shared" si="7"/>
        <v>3233</v>
      </c>
      <c r="C3239" s="31" t="s">
        <v>3301</v>
      </c>
      <c r="D3239" s="34" t="str">
        <f t="array" ref="D3239">IFNA(_xlfn.XLOOKUP(C3239,Table_Tarikan_Warkah[Nomor Sertipikat],Table_Tarikan_Warkah[Nomor Tiket]),"")</f>
        <v>K/17/240725/1</v>
      </c>
      <c r="E3239" s="36" t="str">
        <f t="array" ref="E3239">IFNA(_xlfn.XLOOKUP(D3239,Table_Tarikan_Warkah[Nomor Tiket],Table_Tarikan_Warkah[Tanggal diserahkan kepada Validator]),"")</f>
        <v/>
      </c>
      <c r="F3239" s="36" t="str">
        <f t="array" ref="F3239">IFNA(_xlfn.XLOOKUP(D3239,Table_Tarikan_Warkah[Nomor Tiket],Table_Tarikan_Warkah[Nama Petugas Warkah]),"")</f>
        <v/>
      </c>
      <c r="G3239" s="39" t="str">
        <f t="array" ref="G3239">IFNA(_xlfn.XLOOKUP(D3239,Table_Tarikan_Warkah[Nomor Tiket],Table_Tarikan_Warkah[Jenis Permohonan]),"")</f>
        <v>BN JUAL BELI</v>
      </c>
      <c r="H3239" s="41" t="s">
        <v>2315</v>
      </c>
      <c r="I3239" s="49" t="s">
        <v>23</v>
      </c>
      <c r="J3239" s="36">
        <f t="shared" si="20"/>
        <v>45874.3703</v>
      </c>
      <c r="K3239" s="49" t="s">
        <v>2378</v>
      </c>
      <c r="L3239" s="49" t="s">
        <v>23</v>
      </c>
      <c r="M3239" s="36">
        <f t="shared" si="33"/>
        <v>45874.68077</v>
      </c>
      <c r="N3239" s="30" t="str">
        <f t="shared" si="34"/>
        <v>Selesai</v>
      </c>
      <c r="O3239" s="45">
        <f t="shared" si="23"/>
        <v>45874.68077</v>
      </c>
      <c r="P3239" s="47" t="b">
        <v>0</v>
      </c>
      <c r="Q3239" s="36" t="str">
        <f t="shared" si="35"/>
        <v/>
      </c>
      <c r="R3239" s="47" t="b">
        <v>0</v>
      </c>
      <c r="S3239" s="42" t="str">
        <f t="shared" si="28"/>
        <v/>
      </c>
      <c r="T3239" s="42"/>
    </row>
    <row r="3240" ht="22.5" customHeight="1">
      <c r="B3240" s="42">
        <f t="shared" si="7"/>
        <v>3234</v>
      </c>
      <c r="C3240" s="31" t="s">
        <v>3302</v>
      </c>
      <c r="D3240" s="34" t="str">
        <f t="array" ref="D3240">IFNA(_xlfn.XLOOKUP(C3240,Table_Tarikan_Warkah[Nomor Sertipikat],Table_Tarikan_Warkah[Nomor Tiket]),"")</f>
        <v>K/33/230725/2</v>
      </c>
      <c r="E3240" s="36">
        <f t="array" ref="E3240">IFNA(_xlfn.XLOOKUP(D3240,Table_Tarikan_Warkah[Nomor Tiket],Table_Tarikan_Warkah[Tanggal diserahkan kepada Validator]),"")</f>
        <v>45888.61185</v>
      </c>
      <c r="F3240" s="36" t="str">
        <f t="array" ref="F3240">IFNA(_xlfn.XLOOKUP(D3240,Table_Tarikan_Warkah[Nomor Tiket],Table_Tarikan_Warkah[Nama Petugas Warkah]),"")</f>
        <v>Berry</v>
      </c>
      <c r="G3240" s="39" t="str">
        <f t="array" ref="G3240">IFNA(_xlfn.XLOOKUP(D3240,Table_Tarikan_Warkah[Nomor Tiket],Table_Tarikan_Warkah[Jenis Permohonan]),"")</f>
        <v>Roya</v>
      </c>
      <c r="H3240" s="41" t="s">
        <v>2315</v>
      </c>
      <c r="I3240" s="49" t="s">
        <v>23</v>
      </c>
      <c r="J3240" s="36">
        <f t="shared" si="20"/>
        <v>45874.37042</v>
      </c>
      <c r="K3240" s="49" t="s">
        <v>2378</v>
      </c>
      <c r="L3240" s="49" t="s">
        <v>23</v>
      </c>
      <c r="M3240" s="36">
        <f t="shared" si="33"/>
        <v>45874.68081</v>
      </c>
      <c r="N3240" s="30" t="str">
        <f t="shared" si="34"/>
        <v>Selesai</v>
      </c>
      <c r="O3240" s="45">
        <f t="shared" si="23"/>
        <v>45874.68081</v>
      </c>
      <c r="P3240" s="47" t="b">
        <v>0</v>
      </c>
      <c r="Q3240" s="36" t="str">
        <f t="shared" si="35"/>
        <v/>
      </c>
      <c r="R3240" s="47" t="b">
        <v>0</v>
      </c>
      <c r="S3240" s="42" t="str">
        <f t="shared" si="28"/>
        <v/>
      </c>
      <c r="T3240" s="42"/>
    </row>
    <row r="3241" ht="22.5" customHeight="1">
      <c r="B3241" s="42">
        <f t="shared" si="7"/>
        <v>3235</v>
      </c>
      <c r="C3241" s="31" t="s">
        <v>3303</v>
      </c>
      <c r="D3241" s="34" t="str">
        <f t="array" ref="D3241">IFNA(_xlfn.XLOOKUP(C3241,Table_Tarikan_Warkah[Nomor Sertipikat],Table_Tarikan_Warkah[Nomor Tiket]),"")</f>
        <v>K/34/280725/1</v>
      </c>
      <c r="E3241" s="36">
        <f t="array" ref="E3241">IFNA(_xlfn.XLOOKUP(D3241,Table_Tarikan_Warkah[Nomor Tiket],Table_Tarikan_Warkah[Tanggal diserahkan kepada Validator]),"")</f>
        <v>45880.71745</v>
      </c>
      <c r="F3241" s="36" t="str">
        <f t="array" ref="F3241">IFNA(_xlfn.XLOOKUP(D3241,Table_Tarikan_Warkah[Nomor Tiket],Table_Tarikan_Warkah[Nama Petugas Warkah]),"")</f>
        <v>Berry</v>
      </c>
      <c r="G3241" s="39" t="str">
        <f t="array" ref="G3241">IFNA(_xlfn.XLOOKUP(D3241,Table_Tarikan_Warkah[Nomor Tiket],Table_Tarikan_Warkah[Jenis Permohonan]),"")</f>
        <v>BN JUAL BELI</v>
      </c>
      <c r="H3241" s="41" t="s">
        <v>2315</v>
      </c>
      <c r="I3241" s="49" t="s">
        <v>23</v>
      </c>
      <c r="J3241" s="36">
        <f t="shared" si="20"/>
        <v>45874.3706</v>
      </c>
      <c r="K3241" s="49" t="s">
        <v>2378</v>
      </c>
      <c r="L3241" s="49" t="s">
        <v>23</v>
      </c>
      <c r="M3241" s="36">
        <f t="shared" si="33"/>
        <v>45874.68081</v>
      </c>
      <c r="N3241" s="30" t="str">
        <f t="shared" si="34"/>
        <v>Selesai</v>
      </c>
      <c r="O3241" s="45">
        <f t="shared" si="23"/>
        <v>45874.68081</v>
      </c>
      <c r="P3241" s="47" t="b">
        <v>0</v>
      </c>
      <c r="Q3241" s="36" t="str">
        <f t="shared" si="35"/>
        <v/>
      </c>
      <c r="R3241" s="47" t="b">
        <v>0</v>
      </c>
      <c r="S3241" s="42" t="str">
        <f t="shared" si="28"/>
        <v/>
      </c>
      <c r="T3241" s="42"/>
    </row>
    <row r="3242" ht="22.5" customHeight="1">
      <c r="B3242" s="42">
        <f t="shared" si="7"/>
        <v>3236</v>
      </c>
      <c r="C3242" s="31" t="s">
        <v>3304</v>
      </c>
      <c r="D3242" s="34" t="str">
        <f t="array" ref="D3242">IFNA(_xlfn.XLOOKUP(C3242,Table_Tarikan_Warkah[Nomor Sertipikat],Table_Tarikan_Warkah[Nomor Tiket]),"")</f>
        <v>K/2/220725/2</v>
      </c>
      <c r="E3242" s="36">
        <f t="array" ref="E3242">IFNA(_xlfn.XLOOKUP(D3242,Table_Tarikan_Warkah[Nomor Tiket],Table_Tarikan_Warkah[Tanggal diserahkan kepada Validator]),"")</f>
        <v>45880.7154</v>
      </c>
      <c r="F3242" s="36" t="str">
        <f t="array" ref="F3242">IFNA(_xlfn.XLOOKUP(D3242,Table_Tarikan_Warkah[Nomor Tiket],Table_Tarikan_Warkah[Nama Petugas Warkah]),"")</f>
        <v>Berry</v>
      </c>
      <c r="G3242" s="39" t="str">
        <f t="array" ref="G3242">IFNA(_xlfn.XLOOKUP(D3242,Table_Tarikan_Warkah[Nomor Tiket],Table_Tarikan_Warkah[Jenis Permohonan]),"")</f>
        <v>BN JUAL BELI</v>
      </c>
      <c r="H3242" s="41" t="s">
        <v>2315</v>
      </c>
      <c r="I3242" s="49" t="s">
        <v>23</v>
      </c>
      <c r="J3242" s="36">
        <f t="shared" si="20"/>
        <v>45874.37068</v>
      </c>
      <c r="K3242" s="49" t="s">
        <v>2378</v>
      </c>
      <c r="L3242" s="49" t="s">
        <v>23</v>
      </c>
      <c r="M3242" s="36">
        <f t="shared" si="33"/>
        <v>45874.68081</v>
      </c>
      <c r="N3242" s="30" t="str">
        <f t="shared" si="34"/>
        <v>Selesai</v>
      </c>
      <c r="O3242" s="45">
        <f t="shared" si="23"/>
        <v>45874.68081</v>
      </c>
      <c r="P3242" s="47" t="b">
        <v>0</v>
      </c>
      <c r="Q3242" s="36" t="str">
        <f t="shared" si="35"/>
        <v/>
      </c>
      <c r="R3242" s="47" t="b">
        <v>0</v>
      </c>
      <c r="S3242" s="42" t="str">
        <f t="shared" si="28"/>
        <v/>
      </c>
      <c r="T3242" s="42"/>
    </row>
    <row r="3243" ht="22.5" customHeight="1">
      <c r="B3243" s="42">
        <f t="shared" si="7"/>
        <v>3237</v>
      </c>
      <c r="C3243" s="31" t="s">
        <v>3305</v>
      </c>
      <c r="D3243" s="34" t="str">
        <f t="array" ref="D3243">IFNA(_xlfn.XLOOKUP(C3243,Table_Tarikan_Warkah[Nomor Sertipikat],Table_Tarikan_Warkah[Nomor Tiket]),"")</f>
        <v>K/10/230725/1</v>
      </c>
      <c r="E3243" s="36">
        <f t="array" ref="E3243">IFNA(_xlfn.XLOOKUP(D3243,Table_Tarikan_Warkah[Nomor Tiket],Table_Tarikan_Warkah[Tanggal diserahkan kepada Validator]),"")</f>
        <v>45891.59118</v>
      </c>
      <c r="F3243" s="36" t="str">
        <f t="array" ref="F3243">IFNA(_xlfn.XLOOKUP(D3243,Table_Tarikan_Warkah[Nomor Tiket],Table_Tarikan_Warkah[Nama Petugas Warkah]),"")</f>
        <v>Berry</v>
      </c>
      <c r="G3243" s="39" t="str">
        <f t="array" ref="G3243">IFNA(_xlfn.XLOOKUP(D3243,Table_Tarikan_Warkah[Nomor Tiket],Table_Tarikan_Warkah[Jenis Permohonan]),"")</f>
        <v>ROYA</v>
      </c>
      <c r="H3243" s="41" t="s">
        <v>2315</v>
      </c>
      <c r="I3243" s="49" t="s">
        <v>23</v>
      </c>
      <c r="J3243" s="36">
        <f t="shared" si="20"/>
        <v>45874.37083</v>
      </c>
      <c r="K3243" s="49" t="s">
        <v>2378</v>
      </c>
      <c r="L3243" s="49" t="s">
        <v>23</v>
      </c>
      <c r="M3243" s="36">
        <f t="shared" si="33"/>
        <v>45874.68081</v>
      </c>
      <c r="N3243" s="30" t="str">
        <f t="shared" si="34"/>
        <v>Selesai</v>
      </c>
      <c r="O3243" s="45">
        <f t="shared" si="23"/>
        <v>45874.68081</v>
      </c>
      <c r="P3243" s="47" t="b">
        <v>0</v>
      </c>
      <c r="Q3243" s="36" t="str">
        <f t="shared" si="35"/>
        <v/>
      </c>
      <c r="R3243" s="47" t="b">
        <v>0</v>
      </c>
      <c r="S3243" s="42" t="str">
        <f t="shared" si="28"/>
        <v/>
      </c>
      <c r="T3243" s="42"/>
    </row>
    <row r="3244" ht="22.5" customHeight="1">
      <c r="B3244" s="42">
        <f t="shared" si="7"/>
        <v>3238</v>
      </c>
      <c r="C3244" s="31" t="s">
        <v>3306</v>
      </c>
      <c r="D3244" s="34" t="str">
        <f t="array" ref="D3244">IFNA(_xlfn.XLOOKUP(C3244,Table_Tarikan_Warkah[Nomor Sertipikat],Table_Tarikan_Warkah[Nomor Tiket]),"")</f>
        <v>K/17/090725/1</v>
      </c>
      <c r="E3244" s="36">
        <f t="array" ref="E3244">IFNA(_xlfn.XLOOKUP(D3244,Table_Tarikan_Warkah[Nomor Tiket],Table_Tarikan_Warkah[Tanggal diserahkan kepada Validator]),"")</f>
        <v>45880.7177</v>
      </c>
      <c r="F3244" s="36" t="str">
        <f t="array" ref="F3244">IFNA(_xlfn.XLOOKUP(D3244,Table_Tarikan_Warkah[Nomor Tiket],Table_Tarikan_Warkah[Nama Petugas Warkah]),"")</f>
        <v>Berry</v>
      </c>
      <c r="G3244" s="39" t="str">
        <f t="array" ref="G3244">IFNA(_xlfn.XLOOKUP(D3244,Table_Tarikan_Warkah[Nomor Tiket],Table_Tarikan_Warkah[Jenis Permohonan]),"")</f>
        <v>BN JUAL BELI</v>
      </c>
      <c r="H3244" s="41" t="s">
        <v>2315</v>
      </c>
      <c r="I3244" s="49" t="s">
        <v>23</v>
      </c>
      <c r="J3244" s="36">
        <f t="shared" si="20"/>
        <v>45874.37103</v>
      </c>
      <c r="K3244" s="49" t="s">
        <v>2378</v>
      </c>
      <c r="L3244" s="49" t="s">
        <v>23</v>
      </c>
      <c r="M3244" s="36">
        <f t="shared" si="33"/>
        <v>45874.68081</v>
      </c>
      <c r="N3244" s="30" t="str">
        <f t="shared" si="34"/>
        <v>Selesai</v>
      </c>
      <c r="O3244" s="45">
        <f t="shared" si="23"/>
        <v>45874.68081</v>
      </c>
      <c r="P3244" s="47" t="b">
        <v>0</v>
      </c>
      <c r="Q3244" s="36" t="str">
        <f t="shared" si="35"/>
        <v/>
      </c>
      <c r="R3244" s="47" t="b">
        <v>0</v>
      </c>
      <c r="S3244" s="42" t="str">
        <f t="shared" si="28"/>
        <v/>
      </c>
      <c r="T3244" s="42"/>
    </row>
    <row r="3245" ht="22.5" customHeight="1">
      <c r="B3245" s="42">
        <f t="shared" si="7"/>
        <v>3239</v>
      </c>
      <c r="C3245" s="31" t="s">
        <v>3307</v>
      </c>
      <c r="D3245" s="34" t="str">
        <f t="array" ref="D3245">IFNA(_xlfn.XLOOKUP(C3245,Table_Tarikan_Warkah[Nomor Sertipikat],Table_Tarikan_Warkah[Nomor Tiket]),"")</f>
        <v>K/1/070725/1</v>
      </c>
      <c r="E3245" s="36" t="str">
        <f t="array" ref="E3245">IFNA(_xlfn.XLOOKUP(D3245,Table_Tarikan_Warkah[Nomor Tiket],Table_Tarikan_Warkah[Tanggal diserahkan kepada Validator]),"")</f>
        <v/>
      </c>
      <c r="F3245" s="36" t="str">
        <f t="array" ref="F3245">IFNA(_xlfn.XLOOKUP(D3245,Table_Tarikan_Warkah[Nomor Tiket],Table_Tarikan_Warkah[Nama Petugas Warkah]),"")</f>
        <v/>
      </c>
      <c r="G3245" s="39" t="str">
        <f t="array" ref="G3245">IFNA(_xlfn.XLOOKUP(D3245,Table_Tarikan_Warkah[Nomor Tiket],Table_Tarikan_Warkah[Jenis Permohonan]),"")</f>
        <v>BN WARIS</v>
      </c>
      <c r="H3245" s="41" t="s">
        <v>2315</v>
      </c>
      <c r="I3245" s="49" t="s">
        <v>23</v>
      </c>
      <c r="J3245" s="36">
        <f t="shared" si="20"/>
        <v>45874.37115</v>
      </c>
      <c r="K3245" s="49" t="s">
        <v>2378</v>
      </c>
      <c r="L3245" s="49" t="s">
        <v>23</v>
      </c>
      <c r="M3245" s="36">
        <f t="shared" si="33"/>
        <v>45874.68081</v>
      </c>
      <c r="N3245" s="30" t="str">
        <f t="shared" si="34"/>
        <v>Selesai</v>
      </c>
      <c r="O3245" s="45">
        <f t="shared" si="23"/>
        <v>45874.68081</v>
      </c>
      <c r="P3245" s="47" t="b">
        <v>0</v>
      </c>
      <c r="Q3245" s="36" t="str">
        <f t="shared" si="35"/>
        <v/>
      </c>
      <c r="R3245" s="47" t="b">
        <v>0</v>
      </c>
      <c r="S3245" s="42" t="str">
        <f t="shared" si="28"/>
        <v/>
      </c>
      <c r="T3245" s="42"/>
    </row>
    <row r="3246" ht="22.5" customHeight="1">
      <c r="B3246" s="42">
        <f t="shared" si="7"/>
        <v>3240</v>
      </c>
      <c r="C3246" s="31" t="s">
        <v>3308</v>
      </c>
      <c r="D3246" s="34" t="str">
        <f t="array" ref="D3246">IFNA(_xlfn.XLOOKUP(C3246,Table_Tarikan_Warkah[Nomor Sertipikat],Table_Tarikan_Warkah[Nomor Tiket]),"")</f>
        <v>K/22/010725/1</v>
      </c>
      <c r="E3246" s="36">
        <f t="array" ref="E3246">IFNA(_xlfn.XLOOKUP(D3246,Table_Tarikan_Warkah[Nomor Tiket],Table_Tarikan_Warkah[Tanggal diserahkan kepada Validator]),"")</f>
        <v>45880.71724</v>
      </c>
      <c r="F3246" s="36" t="str">
        <f t="array" ref="F3246">IFNA(_xlfn.XLOOKUP(D3246,Table_Tarikan_Warkah[Nomor Tiket],Table_Tarikan_Warkah[Nama Petugas Warkah]),"")</f>
        <v>Berry</v>
      </c>
      <c r="G3246" s="39" t="str">
        <f t="array" ref="G3246">IFNA(_xlfn.XLOOKUP(D3246,Table_Tarikan_Warkah[Nomor Tiket],Table_Tarikan_Warkah[Jenis Permohonan]),"")</f>
        <v>BN JUAL BELI</v>
      </c>
      <c r="H3246" s="41" t="s">
        <v>2315</v>
      </c>
      <c r="I3246" s="49" t="s">
        <v>23</v>
      </c>
      <c r="J3246" s="36">
        <f t="shared" si="20"/>
        <v>45874.37129</v>
      </c>
      <c r="K3246" s="49" t="s">
        <v>2378</v>
      </c>
      <c r="L3246" s="49" t="s">
        <v>23</v>
      </c>
      <c r="M3246" s="36">
        <f t="shared" si="33"/>
        <v>45874.68081</v>
      </c>
      <c r="N3246" s="30" t="str">
        <f t="shared" si="34"/>
        <v>Selesai</v>
      </c>
      <c r="O3246" s="45">
        <f t="shared" si="23"/>
        <v>45874.68081</v>
      </c>
      <c r="P3246" s="47" t="b">
        <v>0</v>
      </c>
      <c r="Q3246" s="36" t="str">
        <f t="shared" si="35"/>
        <v/>
      </c>
      <c r="R3246" s="47" t="b">
        <v>0</v>
      </c>
      <c r="S3246" s="42" t="str">
        <f t="shared" si="28"/>
        <v/>
      </c>
      <c r="T3246" s="42"/>
    </row>
    <row r="3247" ht="22.5" customHeight="1">
      <c r="B3247" s="42">
        <f t="shared" si="7"/>
        <v>3241</v>
      </c>
      <c r="C3247" s="31" t="s">
        <v>3309</v>
      </c>
      <c r="D3247" s="34" t="str">
        <f t="array" ref="D3247">IFNA(_xlfn.XLOOKUP(C3247,Table_Tarikan_Warkah[Nomor Sertipikat],Table_Tarikan_Warkah[Nomor Tiket]),"")</f>
        <v>K/23/010725/2</v>
      </c>
      <c r="E3247" s="36">
        <f t="array" ref="E3247">IFNA(_xlfn.XLOOKUP(D3247,Table_Tarikan_Warkah[Nomor Tiket],Table_Tarikan_Warkah[Tanggal diserahkan kepada Validator]),"")</f>
        <v>45880.7154</v>
      </c>
      <c r="F3247" s="36" t="str">
        <f t="array" ref="F3247">IFNA(_xlfn.XLOOKUP(D3247,Table_Tarikan_Warkah[Nomor Tiket],Table_Tarikan_Warkah[Nama Petugas Warkah]),"")</f>
        <v>David</v>
      </c>
      <c r="G3247" s="39" t="str">
        <f t="array" ref="G3247">IFNA(_xlfn.XLOOKUP(D3247,Table_Tarikan_Warkah[Nomor Tiket],Table_Tarikan_Warkah[Jenis Permohonan]),"")</f>
        <v>BN JUAL BELI</v>
      </c>
      <c r="H3247" s="41" t="s">
        <v>2315</v>
      </c>
      <c r="I3247" s="49" t="s">
        <v>23</v>
      </c>
      <c r="J3247" s="36">
        <f t="shared" si="20"/>
        <v>45874.37144</v>
      </c>
      <c r="K3247" s="49" t="s">
        <v>2378</v>
      </c>
      <c r="L3247" s="49" t="s">
        <v>23</v>
      </c>
      <c r="M3247" s="36">
        <f t="shared" si="33"/>
        <v>45874.68081</v>
      </c>
      <c r="N3247" s="30" t="str">
        <f t="shared" si="34"/>
        <v>Selesai</v>
      </c>
      <c r="O3247" s="45">
        <f t="shared" si="23"/>
        <v>45874.68081</v>
      </c>
      <c r="P3247" s="47" t="b">
        <v>0</v>
      </c>
      <c r="Q3247" s="36" t="str">
        <f t="shared" si="35"/>
        <v/>
      </c>
      <c r="R3247" s="47" t="b">
        <v>0</v>
      </c>
      <c r="S3247" s="42" t="str">
        <f t="shared" si="28"/>
        <v/>
      </c>
      <c r="T3247" s="42"/>
    </row>
    <row r="3248" ht="22.5" customHeight="1">
      <c r="B3248" s="42">
        <f t="shared" si="7"/>
        <v>3242</v>
      </c>
      <c r="C3248" s="31" t="s">
        <v>3310</v>
      </c>
      <c r="D3248" s="34" t="str">
        <f t="array" ref="D3248">IFNA(_xlfn.XLOOKUP(C3248,Table_Tarikan_Warkah[Nomor Sertipikat],Table_Tarikan_Warkah[Nomor Tiket]),"")</f>
        <v>K/21/220725/2</v>
      </c>
      <c r="E3248" s="36">
        <f t="array" ref="E3248">IFNA(_xlfn.XLOOKUP(D3248,Table_Tarikan_Warkah[Nomor Tiket],Table_Tarikan_Warkah[Tanggal diserahkan kepada Validator]),"")</f>
        <v>45880.71799</v>
      </c>
      <c r="F3248" s="36" t="str">
        <f t="array" ref="F3248">IFNA(_xlfn.XLOOKUP(D3248,Table_Tarikan_Warkah[Nomor Tiket],Table_Tarikan_Warkah[Nama Petugas Warkah]),"")</f>
        <v>David</v>
      </c>
      <c r="G3248" s="39" t="str">
        <f t="array" ref="G3248">IFNA(_xlfn.XLOOKUP(D3248,Table_Tarikan_Warkah[Nomor Tiket],Table_Tarikan_Warkah[Jenis Permohonan]),"")</f>
        <v>BN JUAL BELI</v>
      </c>
      <c r="H3248" s="41" t="s">
        <v>2315</v>
      </c>
      <c r="I3248" s="49" t="s">
        <v>23</v>
      </c>
      <c r="J3248" s="36">
        <f t="shared" si="20"/>
        <v>45874.37164</v>
      </c>
      <c r="K3248" s="49" t="s">
        <v>2378</v>
      </c>
      <c r="L3248" s="49" t="s">
        <v>23</v>
      </c>
      <c r="M3248" s="36">
        <f t="shared" si="33"/>
        <v>45874.68081</v>
      </c>
      <c r="N3248" s="30" t="str">
        <f t="shared" si="34"/>
        <v>Selesai</v>
      </c>
      <c r="O3248" s="45">
        <f t="shared" si="23"/>
        <v>45874.68081</v>
      </c>
      <c r="P3248" s="47" t="b">
        <v>0</v>
      </c>
      <c r="Q3248" s="36" t="str">
        <f t="shared" si="35"/>
        <v/>
      </c>
      <c r="R3248" s="47" t="b">
        <v>0</v>
      </c>
      <c r="S3248" s="42" t="str">
        <f t="shared" si="28"/>
        <v/>
      </c>
      <c r="T3248" s="42"/>
    </row>
    <row r="3249" ht="22.5" customHeight="1">
      <c r="B3249" s="42">
        <f t="shared" si="7"/>
        <v>3243</v>
      </c>
      <c r="C3249" s="31" t="s">
        <v>3311</v>
      </c>
      <c r="D3249" s="34" t="str">
        <f t="array" ref="D3249">IFNA(_xlfn.XLOOKUP(C3249,Table_Tarikan_Warkah[Nomor Sertipikat],Table_Tarikan_Warkah[Nomor Tiket]),"")</f>
        <v>K/31/220725/1</v>
      </c>
      <c r="E3249" s="36">
        <f t="array" ref="E3249">IFNA(_xlfn.XLOOKUP(D3249,Table_Tarikan_Warkah[Nomor Tiket],Table_Tarikan_Warkah[Tanggal diserahkan kepada Validator]),"")</f>
        <v>45880.71825</v>
      </c>
      <c r="F3249" s="36" t="str">
        <f t="array" ref="F3249">IFNA(_xlfn.XLOOKUP(D3249,Table_Tarikan_Warkah[Nomor Tiket],Table_Tarikan_Warkah[Nama Petugas Warkah]),"")</f>
        <v>Berry</v>
      </c>
      <c r="G3249" s="39" t="str">
        <f t="array" ref="G3249">IFNA(_xlfn.XLOOKUP(D3249,Table_Tarikan_Warkah[Nomor Tiket],Table_Tarikan_Warkah[Jenis Permohonan]),"")</f>
        <v>BN JUAL BELI</v>
      </c>
      <c r="H3249" s="41" t="s">
        <v>2315</v>
      </c>
      <c r="I3249" s="49" t="s">
        <v>23</v>
      </c>
      <c r="J3249" s="36">
        <f t="shared" si="20"/>
        <v>45874.37179</v>
      </c>
      <c r="K3249" s="49" t="s">
        <v>2378</v>
      </c>
      <c r="L3249" s="49" t="s">
        <v>23</v>
      </c>
      <c r="M3249" s="36">
        <f t="shared" si="33"/>
        <v>45874.68081</v>
      </c>
      <c r="N3249" s="30" t="str">
        <f t="shared" si="34"/>
        <v>Selesai</v>
      </c>
      <c r="O3249" s="45">
        <f t="shared" si="23"/>
        <v>45874.68081</v>
      </c>
      <c r="P3249" s="47" t="b">
        <v>0</v>
      </c>
      <c r="Q3249" s="36" t="str">
        <f t="shared" si="35"/>
        <v/>
      </c>
      <c r="R3249" s="47" t="b">
        <v>0</v>
      </c>
      <c r="S3249" s="42" t="str">
        <f t="shared" si="28"/>
        <v/>
      </c>
      <c r="T3249" s="42"/>
    </row>
    <row r="3250" ht="22.5" customHeight="1">
      <c r="B3250" s="42">
        <f t="shared" si="7"/>
        <v>3244</v>
      </c>
      <c r="C3250" s="31" t="s">
        <v>3312</v>
      </c>
      <c r="D3250" s="34" t="str">
        <f t="array" ref="D3250">IFNA(_xlfn.XLOOKUP(C3250,Table_Tarikan_Warkah[Nomor Sertipikat],Table_Tarikan_Warkah[Nomor Tiket]),"")</f>
        <v>K/20/220725/1</v>
      </c>
      <c r="E3250" s="36">
        <f t="array" ref="E3250">IFNA(_xlfn.XLOOKUP(D3250,Table_Tarikan_Warkah[Nomor Tiket],Table_Tarikan_Warkah[Tanggal diserahkan kepada Validator]),"")</f>
        <v>45880.71849</v>
      </c>
      <c r="F3250" s="36" t="str">
        <f t="array" ref="F3250">IFNA(_xlfn.XLOOKUP(D3250,Table_Tarikan_Warkah[Nomor Tiket],Table_Tarikan_Warkah[Nama Petugas Warkah]),"")</f>
        <v>David</v>
      </c>
      <c r="G3250" s="39" t="str">
        <f t="array" ref="G3250">IFNA(_xlfn.XLOOKUP(D3250,Table_Tarikan_Warkah[Nomor Tiket],Table_Tarikan_Warkah[Jenis Permohonan]),"")</f>
        <v>BN JUAL BELI</v>
      </c>
      <c r="H3250" s="41" t="s">
        <v>2315</v>
      </c>
      <c r="I3250" s="49" t="s">
        <v>23</v>
      </c>
      <c r="J3250" s="36">
        <f t="shared" si="20"/>
        <v>45874.37203</v>
      </c>
      <c r="K3250" s="49" t="s">
        <v>2378</v>
      </c>
      <c r="L3250" s="49" t="s">
        <v>23</v>
      </c>
      <c r="M3250" s="36">
        <f t="shared" si="33"/>
        <v>45874.68081</v>
      </c>
      <c r="N3250" s="30" t="str">
        <f t="shared" si="34"/>
        <v>Selesai</v>
      </c>
      <c r="O3250" s="45">
        <f t="shared" si="23"/>
        <v>45874.68081</v>
      </c>
      <c r="P3250" s="47" t="b">
        <v>0</v>
      </c>
      <c r="Q3250" s="36" t="str">
        <f t="shared" si="35"/>
        <v/>
      </c>
      <c r="R3250" s="47" t="b">
        <v>0</v>
      </c>
      <c r="S3250" s="42" t="str">
        <f t="shared" si="28"/>
        <v/>
      </c>
      <c r="T3250" s="42"/>
    </row>
    <row r="3251" ht="22.5" customHeight="1">
      <c r="B3251" s="42">
        <f t="shared" si="7"/>
        <v>3245</v>
      </c>
      <c r="C3251" s="31" t="s">
        <v>3212</v>
      </c>
      <c r="D3251" s="34" t="str">
        <f t="array" ref="D3251">IFNA(_xlfn.XLOOKUP(C3251,Table_Tarikan_Warkah[Nomor Sertipikat],Table_Tarikan_Warkah[Nomor Tiket]),"")</f>
        <v>L/23/180725/1</v>
      </c>
      <c r="E3251" s="36">
        <f t="array" ref="E3251">IFNA(_xlfn.XLOOKUP(D3251,Table_Tarikan_Warkah[Nomor Tiket],Table_Tarikan_Warkah[Tanggal diserahkan kepada Validator]),"")</f>
        <v>45915.50043</v>
      </c>
      <c r="F3251" s="36" t="str">
        <f t="array" ref="F3251">IFNA(_xlfn.XLOOKUP(D3251,Table_Tarikan_Warkah[Nomor Tiket],Table_Tarikan_Warkah[Nama Petugas Warkah]),"")</f>
        <v>David</v>
      </c>
      <c r="G3251" s="39" t="str">
        <f t="array" ref="G3251">IFNA(_xlfn.XLOOKUP(D3251,Table_Tarikan_Warkah[Nomor Tiket],Table_Tarikan_Warkah[Jenis Permohonan]),"")</f>
        <v>ROYA</v>
      </c>
      <c r="H3251" s="41" t="s">
        <v>2315</v>
      </c>
      <c r="I3251" s="49" t="s">
        <v>23</v>
      </c>
      <c r="J3251" s="36">
        <f t="shared" si="20"/>
        <v>45874.37212</v>
      </c>
      <c r="K3251" s="49" t="s">
        <v>2378</v>
      </c>
      <c r="L3251" s="49" t="s">
        <v>23</v>
      </c>
      <c r="M3251" s="36">
        <f t="shared" si="33"/>
        <v>45874.68081</v>
      </c>
      <c r="N3251" s="30" t="str">
        <f t="shared" si="34"/>
        <v>Selesai</v>
      </c>
      <c r="O3251" s="45">
        <f t="shared" si="23"/>
        <v>45874.68081</v>
      </c>
      <c r="P3251" s="47" t="b">
        <v>0</v>
      </c>
      <c r="Q3251" s="36" t="str">
        <f t="shared" si="35"/>
        <v/>
      </c>
      <c r="R3251" s="47" t="b">
        <v>0</v>
      </c>
      <c r="S3251" s="42" t="str">
        <f t="shared" si="28"/>
        <v/>
      </c>
      <c r="T3251" s="42"/>
    </row>
    <row r="3252" ht="22.5" customHeight="1">
      <c r="B3252" s="42">
        <f t="shared" si="7"/>
        <v>3246</v>
      </c>
      <c r="C3252" s="31" t="s">
        <v>3313</v>
      </c>
      <c r="D3252" s="34" t="str">
        <f t="array" ref="D3252">IFNA(_xlfn.XLOOKUP(C3252,Table_Tarikan_Warkah[Nomor Sertipikat],Table_Tarikan_Warkah[Nomor Tiket]),"")</f>
        <v>K/16/210725/1</v>
      </c>
      <c r="E3252" s="36">
        <f t="array" ref="E3252">IFNA(_xlfn.XLOOKUP(D3252,Table_Tarikan_Warkah[Nomor Tiket],Table_Tarikan_Warkah[Tanggal diserahkan kepada Validator]),"")</f>
        <v>45880.62993</v>
      </c>
      <c r="F3252" s="36" t="str">
        <f t="array" ref="F3252">IFNA(_xlfn.XLOOKUP(D3252,Table_Tarikan_Warkah[Nomor Tiket],Table_Tarikan_Warkah[Nama Petugas Warkah]),"")</f>
        <v>David</v>
      </c>
      <c r="G3252" s="39" t="str">
        <f t="array" ref="G3252">IFNA(_xlfn.XLOOKUP(D3252,Table_Tarikan_Warkah[Nomor Tiket],Table_Tarikan_Warkah[Jenis Permohonan]),"")</f>
        <v>BN Jual Beli</v>
      </c>
      <c r="H3252" s="41" t="s">
        <v>2315</v>
      </c>
      <c r="I3252" s="49" t="s">
        <v>23</v>
      </c>
      <c r="J3252" s="36">
        <f t="shared" si="20"/>
        <v>45874.37227</v>
      </c>
      <c r="K3252" s="49" t="s">
        <v>2378</v>
      </c>
      <c r="L3252" s="49" t="s">
        <v>23</v>
      </c>
      <c r="M3252" s="36">
        <f t="shared" si="33"/>
        <v>45874.68085</v>
      </c>
      <c r="N3252" s="30" t="str">
        <f t="shared" si="34"/>
        <v>Selesai</v>
      </c>
      <c r="O3252" s="45">
        <f t="shared" si="23"/>
        <v>45874.68085</v>
      </c>
      <c r="P3252" s="47" t="b">
        <v>0</v>
      </c>
      <c r="Q3252" s="36" t="str">
        <f t="shared" si="35"/>
        <v/>
      </c>
      <c r="R3252" s="47" t="b">
        <v>0</v>
      </c>
      <c r="S3252" s="42" t="str">
        <f t="shared" si="28"/>
        <v/>
      </c>
      <c r="T3252" s="42"/>
    </row>
    <row r="3253" ht="22.5" customHeight="1">
      <c r="B3253" s="42">
        <f t="shared" si="7"/>
        <v>3247</v>
      </c>
      <c r="C3253" s="31" t="s">
        <v>3314</v>
      </c>
      <c r="D3253" s="34" t="str">
        <f t="array" ref="D3253">IFNA(_xlfn.XLOOKUP(C3253,Table_Tarikan_Warkah[Nomor Sertipikat],Table_Tarikan_Warkah[Nomor Tiket]),"")</f>
        <v>K/33/240726/2</v>
      </c>
      <c r="E3253" s="36">
        <f t="array" ref="E3253">IFNA(_xlfn.XLOOKUP(D3253,Table_Tarikan_Warkah[Nomor Tiket],Table_Tarikan_Warkah[Tanggal diserahkan kepada Validator]),"")</f>
        <v>45880.64473</v>
      </c>
      <c r="F3253" s="36" t="str">
        <f t="array" ref="F3253">IFNA(_xlfn.XLOOKUP(D3253,Table_Tarikan_Warkah[Nomor Tiket],Table_Tarikan_Warkah[Nama Petugas Warkah]),"")</f>
        <v>Berry</v>
      </c>
      <c r="G3253" s="39" t="str">
        <f t="array" ref="G3253">IFNA(_xlfn.XLOOKUP(D3253,Table_Tarikan_Warkah[Nomor Tiket],Table_Tarikan_Warkah[Jenis Permohonan]),"")</f>
        <v>BN Hibah</v>
      </c>
      <c r="H3253" s="41" t="s">
        <v>2315</v>
      </c>
      <c r="I3253" s="49" t="s">
        <v>23</v>
      </c>
      <c r="J3253" s="36">
        <f t="shared" si="20"/>
        <v>45874.37243</v>
      </c>
      <c r="K3253" s="49" t="s">
        <v>2378</v>
      </c>
      <c r="L3253" s="49" t="s">
        <v>23</v>
      </c>
      <c r="M3253" s="36">
        <f t="shared" si="33"/>
        <v>45874.68085</v>
      </c>
      <c r="N3253" s="30" t="str">
        <f t="shared" si="34"/>
        <v>Selesai</v>
      </c>
      <c r="O3253" s="45">
        <f t="shared" si="23"/>
        <v>45874.68085</v>
      </c>
      <c r="P3253" s="47" t="b">
        <v>0</v>
      </c>
      <c r="Q3253" s="36" t="str">
        <f t="shared" si="35"/>
        <v/>
      </c>
      <c r="R3253" s="47" t="b">
        <v>0</v>
      </c>
      <c r="S3253" s="42" t="str">
        <f t="shared" si="28"/>
        <v/>
      </c>
      <c r="T3253" s="42"/>
    </row>
    <row r="3254" ht="22.5" customHeight="1">
      <c r="B3254" s="42">
        <f t="shared" si="7"/>
        <v>3248</v>
      </c>
      <c r="C3254" s="31" t="s">
        <v>3315</v>
      </c>
      <c r="D3254" s="34" t="str">
        <f t="array" ref="D3254">IFNA(_xlfn.XLOOKUP(C3254,Table_Tarikan_Warkah[Nomor Sertipikat],Table_Tarikan_Warkah[Nomor Tiket]),"")</f>
        <v>K/26/040725/3</v>
      </c>
      <c r="E3254" s="36">
        <f t="array" ref="E3254">IFNA(_xlfn.XLOOKUP(D3254,Table_Tarikan_Warkah[Nomor Tiket],Table_Tarikan_Warkah[Tanggal diserahkan kepada Validator]),"")</f>
        <v>45880.64755</v>
      </c>
      <c r="F3254" s="36" t="str">
        <f t="array" ref="F3254">IFNA(_xlfn.XLOOKUP(D3254,Table_Tarikan_Warkah[Nomor Tiket],Table_Tarikan_Warkah[Nama Petugas Warkah]),"")</f>
        <v>David</v>
      </c>
      <c r="G3254" s="39" t="str">
        <f t="array" ref="G3254">IFNA(_xlfn.XLOOKUP(D3254,Table_Tarikan_Warkah[Nomor Tiket],Table_Tarikan_Warkah[Jenis Permohonan]),"")</f>
        <v>BN Jual Beli</v>
      </c>
      <c r="H3254" s="41" t="s">
        <v>2315</v>
      </c>
      <c r="I3254" s="49" t="s">
        <v>23</v>
      </c>
      <c r="J3254" s="36">
        <f t="shared" si="20"/>
        <v>45874.37257</v>
      </c>
      <c r="K3254" s="49" t="s">
        <v>2378</v>
      </c>
      <c r="L3254" s="49" t="s">
        <v>23</v>
      </c>
      <c r="M3254" s="36">
        <f t="shared" si="33"/>
        <v>45874.68085</v>
      </c>
      <c r="N3254" s="30" t="str">
        <f t="shared" si="34"/>
        <v>Selesai</v>
      </c>
      <c r="O3254" s="45">
        <f t="shared" si="23"/>
        <v>45874.68085</v>
      </c>
      <c r="P3254" s="47" t="b">
        <v>0</v>
      </c>
      <c r="Q3254" s="36" t="str">
        <f t="shared" si="35"/>
        <v/>
      </c>
      <c r="R3254" s="47" t="b">
        <v>0</v>
      </c>
      <c r="S3254" s="42" t="str">
        <f t="shared" si="28"/>
        <v/>
      </c>
      <c r="T3254" s="42"/>
    </row>
    <row r="3255" ht="22.5" customHeight="1">
      <c r="B3255" s="42">
        <f t="shared" si="7"/>
        <v>3249</v>
      </c>
      <c r="C3255" s="31" t="s">
        <v>3316</v>
      </c>
      <c r="D3255" s="34" t="str">
        <f t="array" ref="D3255">IFNA(_xlfn.XLOOKUP(C3255,Table_Tarikan_Warkah[Nomor Sertipikat],Table_Tarikan_Warkah[Nomor Tiket]),"")</f>
        <v>K/35/100725/2</v>
      </c>
      <c r="E3255" s="36">
        <f t="array" ref="E3255">IFNA(_xlfn.XLOOKUP(D3255,Table_Tarikan_Warkah[Nomor Tiket],Table_Tarikan_Warkah[Tanggal diserahkan kepada Validator]),"")</f>
        <v>45880.64777</v>
      </c>
      <c r="F3255" s="36" t="str">
        <f t="array" ref="F3255">IFNA(_xlfn.XLOOKUP(D3255,Table_Tarikan_Warkah[Nomor Tiket],Table_Tarikan_Warkah[Nama Petugas Warkah]),"")</f>
        <v>David</v>
      </c>
      <c r="G3255" s="39" t="str">
        <f t="array" ref="G3255">IFNA(_xlfn.XLOOKUP(D3255,Table_Tarikan_Warkah[Nomor Tiket],Table_Tarikan_Warkah[Jenis Permohonan]),"")</f>
        <v>BN Jual Beli</v>
      </c>
      <c r="H3255" s="41" t="s">
        <v>2315</v>
      </c>
      <c r="I3255" s="49" t="s">
        <v>23</v>
      </c>
      <c r="J3255" s="36">
        <f t="shared" si="20"/>
        <v>45874.37271</v>
      </c>
      <c r="K3255" s="49" t="s">
        <v>2378</v>
      </c>
      <c r="L3255" s="49" t="s">
        <v>23</v>
      </c>
      <c r="M3255" s="36">
        <f t="shared" si="33"/>
        <v>45874.68085</v>
      </c>
      <c r="N3255" s="30" t="str">
        <f t="shared" si="34"/>
        <v>Selesai</v>
      </c>
      <c r="O3255" s="45">
        <f t="shared" si="23"/>
        <v>45874.68085</v>
      </c>
      <c r="P3255" s="47" t="b">
        <v>0</v>
      </c>
      <c r="Q3255" s="36" t="str">
        <f t="shared" si="35"/>
        <v/>
      </c>
      <c r="R3255" s="47" t="b">
        <v>0</v>
      </c>
      <c r="S3255" s="42" t="str">
        <f t="shared" si="28"/>
        <v/>
      </c>
      <c r="T3255" s="42"/>
    </row>
    <row r="3256" ht="22.5" customHeight="1">
      <c r="B3256" s="42">
        <f t="shared" si="7"/>
        <v>3250</v>
      </c>
      <c r="C3256" s="31" t="s">
        <v>3317</v>
      </c>
      <c r="D3256" s="34" t="str">
        <f t="array" ref="D3256">IFNA(_xlfn.XLOOKUP(C3256,Table_Tarikan_Warkah[Nomor Sertipikat],Table_Tarikan_Warkah[Nomor Tiket]),"")</f>
        <v>K/30/240726/2</v>
      </c>
      <c r="E3256" s="36">
        <f t="array" ref="E3256">IFNA(_xlfn.XLOOKUP(D3256,Table_Tarikan_Warkah[Nomor Tiket],Table_Tarikan_Warkah[Tanggal diserahkan kepada Validator]),"")</f>
        <v>45880.64797</v>
      </c>
      <c r="F3256" s="36" t="str">
        <f t="array" ref="F3256">IFNA(_xlfn.XLOOKUP(D3256,Table_Tarikan_Warkah[Nomor Tiket],Table_Tarikan_Warkah[Nama Petugas Warkah]),"")</f>
        <v>David</v>
      </c>
      <c r="G3256" s="39" t="str">
        <f t="array" ref="G3256">IFNA(_xlfn.XLOOKUP(D3256,Table_Tarikan_Warkah[Nomor Tiket],Table_Tarikan_Warkah[Jenis Permohonan]),"")</f>
        <v>BN Jual Beli</v>
      </c>
      <c r="H3256" s="41" t="s">
        <v>2315</v>
      </c>
      <c r="I3256" s="49" t="s">
        <v>23</v>
      </c>
      <c r="J3256" s="36">
        <f t="shared" si="20"/>
        <v>45874.37284</v>
      </c>
      <c r="K3256" s="49" t="s">
        <v>2378</v>
      </c>
      <c r="L3256" s="49" t="s">
        <v>23</v>
      </c>
      <c r="M3256" s="36">
        <f t="shared" si="33"/>
        <v>45874.68085</v>
      </c>
      <c r="N3256" s="30" t="str">
        <f t="shared" si="34"/>
        <v>Selesai</v>
      </c>
      <c r="O3256" s="45">
        <f t="shared" si="23"/>
        <v>45874.68085</v>
      </c>
      <c r="P3256" s="47" t="b">
        <v>0</v>
      </c>
      <c r="Q3256" s="36" t="str">
        <f t="shared" si="35"/>
        <v/>
      </c>
      <c r="R3256" s="47" t="b">
        <v>0</v>
      </c>
      <c r="S3256" s="42" t="str">
        <f t="shared" si="28"/>
        <v/>
      </c>
      <c r="T3256" s="42"/>
    </row>
    <row r="3257" ht="22.5" customHeight="1">
      <c r="B3257" s="42">
        <f t="shared" si="7"/>
        <v>3251</v>
      </c>
      <c r="C3257" s="31" t="s">
        <v>3318</v>
      </c>
      <c r="D3257" s="34" t="str">
        <f t="array" ref="D3257">IFNA(_xlfn.XLOOKUP(C3257,Table_Tarikan_Warkah[Nomor Sertipikat],Table_Tarikan_Warkah[Nomor Tiket]),"")</f>
        <v>K/41/160725/1</v>
      </c>
      <c r="E3257" s="36">
        <f t="array" ref="E3257">IFNA(_xlfn.XLOOKUP(D3257,Table_Tarikan_Warkah[Nomor Tiket],Table_Tarikan_Warkah[Tanggal diserahkan kepada Validator]),"")</f>
        <v>45880.7154</v>
      </c>
      <c r="F3257" s="36" t="str">
        <f t="array" ref="F3257">IFNA(_xlfn.XLOOKUP(D3257,Table_Tarikan_Warkah[Nomor Tiket],Table_Tarikan_Warkah[Nama Petugas Warkah]),"")</f>
        <v>David</v>
      </c>
      <c r="G3257" s="39" t="str">
        <f t="array" ref="G3257">IFNA(_xlfn.XLOOKUP(D3257,Table_Tarikan_Warkah[Nomor Tiket],Table_Tarikan_Warkah[Jenis Permohonan]),"")</f>
        <v>BN Jual Beli</v>
      </c>
      <c r="H3257" s="41" t="s">
        <v>2315</v>
      </c>
      <c r="I3257" s="49" t="s">
        <v>23</v>
      </c>
      <c r="J3257" s="36">
        <f t="shared" si="20"/>
        <v>45874.37298</v>
      </c>
      <c r="K3257" s="49" t="s">
        <v>2378</v>
      </c>
      <c r="L3257" s="49" t="s">
        <v>23</v>
      </c>
      <c r="M3257" s="36">
        <f t="shared" si="33"/>
        <v>45874.68085</v>
      </c>
      <c r="N3257" s="30" t="str">
        <f t="shared" si="34"/>
        <v>Selesai</v>
      </c>
      <c r="O3257" s="45">
        <f t="shared" si="23"/>
        <v>45874.68085</v>
      </c>
      <c r="P3257" s="47" t="b">
        <v>0</v>
      </c>
      <c r="Q3257" s="36" t="str">
        <f t="shared" si="35"/>
        <v/>
      </c>
      <c r="R3257" s="47" t="b">
        <v>0</v>
      </c>
      <c r="S3257" s="42" t="str">
        <f t="shared" si="28"/>
        <v/>
      </c>
      <c r="T3257" s="42"/>
    </row>
    <row r="3258" ht="22.5" customHeight="1">
      <c r="B3258" s="42">
        <f t="shared" si="7"/>
        <v>3252</v>
      </c>
      <c r="C3258" s="31" t="s">
        <v>3319</v>
      </c>
      <c r="D3258" s="34" t="str">
        <f t="array" ref="D3258">IFNA(_xlfn.XLOOKUP(C3258,Table_Tarikan_Warkah[Nomor Sertipikat],Table_Tarikan_Warkah[Nomor Tiket]),"")</f>
        <v>K/29/240726/1</v>
      </c>
      <c r="E3258" s="36">
        <f t="array" ref="E3258">IFNA(_xlfn.XLOOKUP(D3258,Table_Tarikan_Warkah[Nomor Tiket],Table_Tarikan_Warkah[Tanggal diserahkan kepada Validator]),"")</f>
        <v>45880.64679</v>
      </c>
      <c r="F3258" s="36" t="str">
        <f t="array" ref="F3258">IFNA(_xlfn.XLOOKUP(D3258,Table_Tarikan_Warkah[Nomor Tiket],Table_Tarikan_Warkah[Nama Petugas Warkah]),"")</f>
        <v>Berry</v>
      </c>
      <c r="G3258" s="39" t="str">
        <f t="array" ref="G3258">IFNA(_xlfn.XLOOKUP(D3258,Table_Tarikan_Warkah[Nomor Tiket],Table_Tarikan_Warkah[Jenis Permohonan]),"")</f>
        <v>BN Jual Beli</v>
      </c>
      <c r="H3258" s="41" t="s">
        <v>2315</v>
      </c>
      <c r="I3258" s="49" t="s">
        <v>23</v>
      </c>
      <c r="J3258" s="36">
        <f t="shared" si="20"/>
        <v>45874.37312</v>
      </c>
      <c r="K3258" s="49" t="s">
        <v>2378</v>
      </c>
      <c r="L3258" s="49" t="s">
        <v>23</v>
      </c>
      <c r="M3258" s="36">
        <f t="shared" si="33"/>
        <v>45874.68085</v>
      </c>
      <c r="N3258" s="30" t="str">
        <f t="shared" si="34"/>
        <v>Selesai</v>
      </c>
      <c r="O3258" s="45">
        <f t="shared" si="23"/>
        <v>45874.68085</v>
      </c>
      <c r="P3258" s="47" t="b">
        <v>0</v>
      </c>
      <c r="Q3258" s="36" t="str">
        <f t="shared" si="35"/>
        <v/>
      </c>
      <c r="R3258" s="47" t="b">
        <v>0</v>
      </c>
      <c r="S3258" s="42" t="str">
        <f t="shared" si="28"/>
        <v/>
      </c>
      <c r="T3258" s="42"/>
    </row>
    <row r="3259" ht="22.5" customHeight="1">
      <c r="B3259" s="42">
        <f t="shared" si="7"/>
        <v>3253</v>
      </c>
      <c r="C3259" s="31" t="s">
        <v>3320</v>
      </c>
      <c r="D3259" s="34" t="str">
        <f t="array" ref="D3259">IFNA(_xlfn.XLOOKUP(C3259,Table_Tarikan_Warkah[Nomor Sertipikat],Table_Tarikan_Warkah[Nomor Tiket]),"")</f>
        <v>K/31/210725/1</v>
      </c>
      <c r="E3259" s="36" t="str">
        <f t="array" ref="E3259">IFNA(_xlfn.XLOOKUP(D3259,Table_Tarikan_Warkah[Nomor Tiket],Table_Tarikan_Warkah[Tanggal diserahkan kepada Validator]),"")</f>
        <v/>
      </c>
      <c r="F3259" s="36" t="str">
        <f t="array" ref="F3259">IFNA(_xlfn.XLOOKUP(D3259,Table_Tarikan_Warkah[Nomor Tiket],Table_Tarikan_Warkah[Nama Petugas Warkah]),"")</f>
        <v/>
      </c>
      <c r="G3259" s="39" t="str">
        <f t="array" ref="G3259">IFNA(_xlfn.XLOOKUP(D3259,Table_Tarikan_Warkah[Nomor Tiket],Table_Tarikan_Warkah[Jenis Permohonan]),"")</f>
        <v>JUAL BELI</v>
      </c>
      <c r="H3259" s="41" t="s">
        <v>2315</v>
      </c>
      <c r="I3259" s="49" t="s">
        <v>23</v>
      </c>
      <c r="J3259" s="36">
        <f t="shared" si="20"/>
        <v>45874.3733</v>
      </c>
      <c r="K3259" s="49" t="s">
        <v>2378</v>
      </c>
      <c r="L3259" s="49" t="s">
        <v>23</v>
      </c>
      <c r="M3259" s="36">
        <f t="shared" si="33"/>
        <v>45874.68085</v>
      </c>
      <c r="N3259" s="30" t="str">
        <f t="shared" si="34"/>
        <v>Selesai</v>
      </c>
      <c r="O3259" s="45">
        <f t="shared" si="23"/>
        <v>45874.68085</v>
      </c>
      <c r="P3259" s="47" t="b">
        <v>0</v>
      </c>
      <c r="Q3259" s="36" t="str">
        <f t="shared" si="35"/>
        <v/>
      </c>
      <c r="R3259" s="47" t="b">
        <v>0</v>
      </c>
      <c r="S3259" s="42" t="str">
        <f t="shared" si="28"/>
        <v/>
      </c>
      <c r="T3259" s="42"/>
    </row>
    <row r="3260" ht="22.5" customHeight="1">
      <c r="B3260" s="42">
        <f t="shared" si="7"/>
        <v>3254</v>
      </c>
      <c r="C3260" s="31" t="s">
        <v>3321</v>
      </c>
      <c r="D3260" s="34" t="str">
        <f t="array" ref="D3260">IFNA(_xlfn.XLOOKUP(C3260,Table_Tarikan_Warkah[Nomor Sertipikat],Table_Tarikan_Warkah[Nomor Tiket]),"")</f>
        <v>K/1/090725/1</v>
      </c>
      <c r="E3260" s="36">
        <f t="array" ref="E3260">IFNA(_xlfn.XLOOKUP(D3260,Table_Tarikan_Warkah[Nomor Tiket],Table_Tarikan_Warkah[Tanggal diserahkan kepada Validator]),"")</f>
        <v>45880.63244</v>
      </c>
      <c r="F3260" s="36" t="str">
        <f t="array" ref="F3260">IFNA(_xlfn.XLOOKUP(D3260,Table_Tarikan_Warkah[Nomor Tiket],Table_Tarikan_Warkah[Nama Petugas Warkah]),"")</f>
        <v>David</v>
      </c>
      <c r="G3260" s="39" t="str">
        <f t="array" ref="G3260">IFNA(_xlfn.XLOOKUP(D3260,Table_Tarikan_Warkah[Nomor Tiket],Table_Tarikan_Warkah[Jenis Permohonan]),"")</f>
        <v>JUAL BELI</v>
      </c>
      <c r="H3260" s="41" t="s">
        <v>2315</v>
      </c>
      <c r="I3260" s="49" t="s">
        <v>23</v>
      </c>
      <c r="J3260" s="36">
        <f t="shared" si="20"/>
        <v>45874.37353</v>
      </c>
      <c r="K3260" s="49" t="s">
        <v>2378</v>
      </c>
      <c r="L3260" s="49" t="s">
        <v>23</v>
      </c>
      <c r="M3260" s="36">
        <f t="shared" si="33"/>
        <v>45874.68085</v>
      </c>
      <c r="N3260" s="30" t="str">
        <f t="shared" si="34"/>
        <v>Selesai</v>
      </c>
      <c r="O3260" s="45">
        <f t="shared" si="23"/>
        <v>45874.68085</v>
      </c>
      <c r="P3260" s="47" t="b">
        <v>0</v>
      </c>
      <c r="Q3260" s="36" t="str">
        <f t="shared" si="35"/>
        <v/>
      </c>
      <c r="R3260" s="47" t="b">
        <v>0</v>
      </c>
      <c r="S3260" s="42" t="str">
        <f t="shared" si="28"/>
        <v/>
      </c>
      <c r="T3260" s="42"/>
    </row>
    <row r="3261" ht="22.5" customHeight="1">
      <c r="B3261" s="42">
        <f t="shared" si="7"/>
        <v>3255</v>
      </c>
      <c r="C3261" s="31" t="s">
        <v>3322</v>
      </c>
      <c r="D3261" s="34" t="str">
        <f t="array" ref="D3261">IFNA(_xlfn.XLOOKUP(C3261,Table_Tarikan_Warkah[Nomor Sertipikat],Table_Tarikan_Warkah[Nomor Tiket]),"")</f>
        <v>K/16/240725/1</v>
      </c>
      <c r="E3261" s="36">
        <f t="array" ref="E3261">IFNA(_xlfn.XLOOKUP(D3261,Table_Tarikan_Warkah[Nomor Tiket],Table_Tarikan_Warkah[Tanggal diserahkan kepada Validator]),"")</f>
        <v>45880.632</v>
      </c>
      <c r="F3261" s="36" t="str">
        <f t="array" ref="F3261">IFNA(_xlfn.XLOOKUP(D3261,Table_Tarikan_Warkah[Nomor Tiket],Table_Tarikan_Warkah[Nama Petugas Warkah]),"")</f>
        <v>David</v>
      </c>
      <c r="G3261" s="39" t="str">
        <f t="array" ref="G3261">IFNA(_xlfn.XLOOKUP(D3261,Table_Tarikan_Warkah[Nomor Tiket],Table_Tarikan_Warkah[Jenis Permohonan]),"")</f>
        <v>JUAL BELI</v>
      </c>
      <c r="H3261" s="41" t="s">
        <v>2315</v>
      </c>
      <c r="I3261" s="49" t="s">
        <v>23</v>
      </c>
      <c r="J3261" s="36">
        <f t="shared" si="20"/>
        <v>45874.37363</v>
      </c>
      <c r="K3261" s="49" t="s">
        <v>2378</v>
      </c>
      <c r="L3261" s="49" t="s">
        <v>23</v>
      </c>
      <c r="M3261" s="36">
        <f t="shared" si="33"/>
        <v>45874.68085</v>
      </c>
      <c r="N3261" s="30" t="str">
        <f t="shared" si="34"/>
        <v>Selesai</v>
      </c>
      <c r="O3261" s="45">
        <f t="shared" si="23"/>
        <v>45874.68085</v>
      </c>
      <c r="P3261" s="47" t="b">
        <v>0</v>
      </c>
      <c r="Q3261" s="36" t="str">
        <f t="shared" si="35"/>
        <v/>
      </c>
      <c r="R3261" s="47" t="b">
        <v>0</v>
      </c>
      <c r="S3261" s="42" t="str">
        <f t="shared" si="28"/>
        <v/>
      </c>
      <c r="T3261" s="42"/>
    </row>
    <row r="3262" ht="22.5" customHeight="1">
      <c r="B3262" s="42">
        <f t="shared" si="7"/>
        <v>3256</v>
      </c>
      <c r="C3262" s="31" t="s">
        <v>3323</v>
      </c>
      <c r="D3262" s="34" t="str">
        <f t="array" ref="D3262">IFNA(_xlfn.XLOOKUP(C3262,Table_Tarikan_Warkah[Nomor Sertipikat],Table_Tarikan_Warkah[Nomor Tiket]),"")</f>
        <v>K/14/220725/1</v>
      </c>
      <c r="E3262" s="36">
        <f t="array" ref="E3262">IFNA(_xlfn.XLOOKUP(D3262,Table_Tarikan_Warkah[Nomor Tiket],Table_Tarikan_Warkah[Tanggal diserahkan kepada Validator]),"")</f>
        <v>45880.7154</v>
      </c>
      <c r="F3262" s="36" t="str">
        <f t="array" ref="F3262">IFNA(_xlfn.XLOOKUP(D3262,Table_Tarikan_Warkah[Nomor Tiket],Table_Tarikan_Warkah[Nama Petugas Warkah]),"")</f>
        <v>David</v>
      </c>
      <c r="G3262" s="39" t="str">
        <f t="array" ref="G3262">IFNA(_xlfn.XLOOKUP(D3262,Table_Tarikan_Warkah[Nomor Tiket],Table_Tarikan_Warkah[Jenis Permohonan]),"")</f>
        <v>BN HIBAH</v>
      </c>
      <c r="H3262" s="41" t="s">
        <v>2315</v>
      </c>
      <c r="I3262" s="49" t="s">
        <v>23</v>
      </c>
      <c r="J3262" s="36">
        <f t="shared" si="20"/>
        <v>45875.36397</v>
      </c>
      <c r="K3262" s="49" t="s">
        <v>2378</v>
      </c>
      <c r="L3262" s="49" t="s">
        <v>23</v>
      </c>
      <c r="M3262" s="36">
        <f t="shared" si="33"/>
        <v>45875.68721</v>
      </c>
      <c r="N3262" s="30" t="str">
        <f t="shared" si="34"/>
        <v>Selesai</v>
      </c>
      <c r="O3262" s="45">
        <f t="shared" si="23"/>
        <v>45875.68721</v>
      </c>
      <c r="P3262" s="47" t="b">
        <v>0</v>
      </c>
      <c r="Q3262" s="36" t="str">
        <f t="shared" si="35"/>
        <v/>
      </c>
      <c r="R3262" s="47" t="b">
        <v>0</v>
      </c>
      <c r="S3262" s="42" t="str">
        <f t="shared" si="28"/>
        <v/>
      </c>
      <c r="T3262" s="42"/>
    </row>
    <row r="3263" ht="22.5" customHeight="1">
      <c r="B3263" s="42">
        <f t="shared" si="7"/>
        <v>3257</v>
      </c>
      <c r="C3263" s="31" t="s">
        <v>3324</v>
      </c>
      <c r="D3263" s="34" t="str">
        <f t="array" ref="D3263">IFNA(_xlfn.XLOOKUP(C3263,Table_Tarikan_Warkah[Nomor Sertipikat],Table_Tarikan_Warkah[Nomor Tiket]),"")</f>
        <v>K/4/110725/1</v>
      </c>
      <c r="E3263" s="36">
        <f t="array" ref="E3263">IFNA(_xlfn.XLOOKUP(D3263,Table_Tarikan_Warkah[Nomor Tiket],Table_Tarikan_Warkah[Tanggal diserahkan kepada Validator]),"")</f>
        <v>45883.6586</v>
      </c>
      <c r="F3263" s="36" t="str">
        <f t="array" ref="F3263">IFNA(_xlfn.XLOOKUP(D3263,Table_Tarikan_Warkah[Nomor Tiket],Table_Tarikan_Warkah[Nama Petugas Warkah]),"")</f>
        <v>David</v>
      </c>
      <c r="G3263" s="39" t="str">
        <f t="array" ref="G3263">IFNA(_xlfn.XLOOKUP(D3263,Table_Tarikan_Warkah[Nomor Tiket],Table_Tarikan_Warkah[Jenis Permohonan]),"")</f>
        <v>BN JUAL BELI</v>
      </c>
      <c r="H3263" s="41" t="s">
        <v>2315</v>
      </c>
      <c r="I3263" s="49" t="s">
        <v>23</v>
      </c>
      <c r="J3263" s="36">
        <f t="shared" si="20"/>
        <v>45875.36412</v>
      </c>
      <c r="K3263" s="49" t="s">
        <v>2378</v>
      </c>
      <c r="L3263" s="49" t="s">
        <v>23</v>
      </c>
      <c r="M3263" s="36">
        <f t="shared" si="33"/>
        <v>45875.68725</v>
      </c>
      <c r="N3263" s="30" t="str">
        <f t="shared" si="34"/>
        <v>Selesai</v>
      </c>
      <c r="O3263" s="45">
        <f t="shared" si="23"/>
        <v>45875.68725</v>
      </c>
      <c r="P3263" s="47" t="b">
        <v>0</v>
      </c>
      <c r="Q3263" s="36" t="str">
        <f t="shared" si="35"/>
        <v/>
      </c>
      <c r="R3263" s="47" t="b">
        <v>0</v>
      </c>
      <c r="S3263" s="42" t="str">
        <f t="shared" si="28"/>
        <v/>
      </c>
      <c r="T3263" s="42"/>
    </row>
    <row r="3264" ht="22.5" customHeight="1">
      <c r="B3264" s="42">
        <f t="shared" si="7"/>
        <v>3258</v>
      </c>
      <c r="C3264" s="31" t="s">
        <v>3325</v>
      </c>
      <c r="D3264" s="34" t="str">
        <f t="array" ref="D3264">IFNA(_xlfn.XLOOKUP(C3264,Table_Tarikan_Warkah[Nomor Sertipikat],Table_Tarikan_Warkah[Nomor Tiket]),"")</f>
        <v>K/5/020725/1</v>
      </c>
      <c r="E3264" s="36">
        <f t="array" ref="E3264">IFNA(_xlfn.XLOOKUP(D3264,Table_Tarikan_Warkah[Nomor Tiket],Table_Tarikan_Warkah[Tanggal diserahkan kepada Validator]),"")</f>
        <v>45890.59681</v>
      </c>
      <c r="F3264" s="36" t="str">
        <f t="array" ref="F3264">IFNA(_xlfn.XLOOKUP(D3264,Table_Tarikan_Warkah[Nomor Tiket],Table_Tarikan_Warkah[Nama Petugas Warkah]),"")</f>
        <v>Berry</v>
      </c>
      <c r="G3264" s="39" t="str">
        <f t="array" ref="G3264">IFNA(_xlfn.XLOOKUP(D3264,Table_Tarikan_Warkah[Nomor Tiket],Table_Tarikan_Warkah[Jenis Permohonan]),"")</f>
        <v>ROYA</v>
      </c>
      <c r="H3264" s="41" t="s">
        <v>2315</v>
      </c>
      <c r="I3264" s="49" t="s">
        <v>23</v>
      </c>
      <c r="J3264" s="36">
        <f t="shared" si="20"/>
        <v>45875.36439</v>
      </c>
      <c r="K3264" s="49" t="s">
        <v>2378</v>
      </c>
      <c r="L3264" s="49" t="s">
        <v>23</v>
      </c>
      <c r="M3264" s="36">
        <f t="shared" si="33"/>
        <v>45875.68725</v>
      </c>
      <c r="N3264" s="30" t="str">
        <f t="shared" si="34"/>
        <v>Selesai</v>
      </c>
      <c r="O3264" s="45">
        <f t="shared" si="23"/>
        <v>45875.68725</v>
      </c>
      <c r="P3264" s="47" t="b">
        <v>0</v>
      </c>
      <c r="Q3264" s="36" t="str">
        <f t="shared" si="35"/>
        <v/>
      </c>
      <c r="R3264" s="47" t="b">
        <v>0</v>
      </c>
      <c r="S3264" s="42" t="str">
        <f t="shared" si="28"/>
        <v/>
      </c>
      <c r="T3264" s="42"/>
    </row>
    <row r="3265" ht="22.5" customHeight="1">
      <c r="B3265" s="42">
        <f t="shared" si="7"/>
        <v>3259</v>
      </c>
      <c r="C3265" s="31" t="s">
        <v>3326</v>
      </c>
      <c r="D3265" s="34" t="str">
        <f t="array" ref="D3265">IFNA(_xlfn.XLOOKUP(C3265,Table_Tarikan_Warkah[Nomor Sertipikat],Table_Tarikan_Warkah[Nomor Tiket]),"")</f>
        <v>K/35/150725/2</v>
      </c>
      <c r="E3265" s="36" t="str">
        <f t="array" ref="E3265">IFNA(_xlfn.XLOOKUP(D3265,Table_Tarikan_Warkah[Nomor Tiket],Table_Tarikan_Warkah[Tanggal diserahkan kepada Validator]),"")</f>
        <v/>
      </c>
      <c r="F3265" s="36" t="str">
        <f t="array" ref="F3265">IFNA(_xlfn.XLOOKUP(D3265,Table_Tarikan_Warkah[Nomor Tiket],Table_Tarikan_Warkah[Nama Petugas Warkah]),"")</f>
        <v/>
      </c>
      <c r="G3265" s="39" t="str">
        <f t="array" ref="G3265">IFNA(_xlfn.XLOOKUP(D3265,Table_Tarikan_Warkah[Nomor Tiket],Table_Tarikan_Warkah[Jenis Permohonan]),"")</f>
        <v>BN JUAL BELI</v>
      </c>
      <c r="H3265" s="41" t="s">
        <v>2315</v>
      </c>
      <c r="I3265" s="49" t="s">
        <v>23</v>
      </c>
      <c r="J3265" s="36">
        <f t="shared" si="20"/>
        <v>45875.36449</v>
      </c>
      <c r="K3265" s="49" t="s">
        <v>2378</v>
      </c>
      <c r="L3265" s="49" t="s">
        <v>23</v>
      </c>
      <c r="M3265" s="36">
        <f t="shared" si="33"/>
        <v>45875.68725</v>
      </c>
      <c r="N3265" s="30" t="str">
        <f t="shared" si="34"/>
        <v>Selesai</v>
      </c>
      <c r="O3265" s="45">
        <f t="shared" si="23"/>
        <v>45875.68725</v>
      </c>
      <c r="P3265" s="47" t="b">
        <v>0</v>
      </c>
      <c r="Q3265" s="36" t="str">
        <f t="shared" si="35"/>
        <v/>
      </c>
      <c r="R3265" s="47" t="b">
        <v>0</v>
      </c>
      <c r="S3265" s="42" t="str">
        <f t="shared" si="28"/>
        <v/>
      </c>
      <c r="T3265" s="42"/>
    </row>
    <row r="3266" ht="22.5" customHeight="1">
      <c r="B3266" s="42">
        <f t="shared" si="7"/>
        <v>3260</v>
      </c>
      <c r="C3266" s="31" t="s">
        <v>3327</v>
      </c>
      <c r="D3266" s="34" t="str">
        <f t="array" ref="D3266">IFNA(_xlfn.XLOOKUP(C3266,Table_Tarikan_Warkah[Nomor Sertipikat],Table_Tarikan_Warkah[Nomor Tiket]),"")</f>
        <v>K/3/220725/1</v>
      </c>
      <c r="E3266" s="36" t="str">
        <f t="array" ref="E3266">IFNA(_xlfn.XLOOKUP(D3266,Table_Tarikan_Warkah[Nomor Tiket],Table_Tarikan_Warkah[Tanggal diserahkan kepada Validator]),"")</f>
        <v/>
      </c>
      <c r="F3266" s="36" t="str">
        <f t="array" ref="F3266">IFNA(_xlfn.XLOOKUP(D3266,Table_Tarikan_Warkah[Nomor Tiket],Table_Tarikan_Warkah[Nama Petugas Warkah]),"")</f>
        <v/>
      </c>
      <c r="G3266" s="39" t="str">
        <f t="array" ref="G3266">IFNA(_xlfn.XLOOKUP(D3266,Table_Tarikan_Warkah[Nomor Tiket],Table_Tarikan_Warkah[Jenis Permohonan]),"")</f>
        <v>BN WARIS</v>
      </c>
      <c r="H3266" s="41" t="s">
        <v>2315</v>
      </c>
      <c r="I3266" s="49" t="s">
        <v>23</v>
      </c>
      <c r="J3266" s="36">
        <f t="shared" si="20"/>
        <v>45875.36478</v>
      </c>
      <c r="K3266" s="49" t="s">
        <v>2378</v>
      </c>
      <c r="L3266" s="49" t="s">
        <v>23</v>
      </c>
      <c r="M3266" s="36">
        <f t="shared" si="33"/>
        <v>45875.68725</v>
      </c>
      <c r="N3266" s="30" t="str">
        <f t="shared" si="34"/>
        <v>Selesai</v>
      </c>
      <c r="O3266" s="45">
        <f t="shared" si="23"/>
        <v>45875.68725</v>
      </c>
      <c r="P3266" s="47" t="b">
        <v>0</v>
      </c>
      <c r="Q3266" s="36" t="str">
        <f t="shared" si="35"/>
        <v/>
      </c>
      <c r="R3266" s="47" t="b">
        <v>0</v>
      </c>
      <c r="S3266" s="42" t="str">
        <f t="shared" si="28"/>
        <v/>
      </c>
      <c r="T3266" s="42"/>
    </row>
    <row r="3267" ht="22.5" customHeight="1">
      <c r="B3267" s="42">
        <f t="shared" si="7"/>
        <v>3261</v>
      </c>
      <c r="C3267" s="31" t="s">
        <v>3328</v>
      </c>
      <c r="D3267" s="34" t="str">
        <f t="array" ref="D3267">IFNA(_xlfn.XLOOKUP(C3267,Table_Tarikan_Warkah[Nomor Sertipikat],Table_Tarikan_Warkah[Nomor Tiket]),"")</f>
        <v>K/45/010725/1</v>
      </c>
      <c r="E3267" s="36" t="str">
        <f t="array" ref="E3267">IFNA(_xlfn.XLOOKUP(D3267,Table_Tarikan_Warkah[Nomor Tiket],Table_Tarikan_Warkah[Tanggal diserahkan kepada Validator]),"")</f>
        <v/>
      </c>
      <c r="F3267" s="36" t="str">
        <f t="array" ref="F3267">IFNA(_xlfn.XLOOKUP(D3267,Table_Tarikan_Warkah[Nomor Tiket],Table_Tarikan_Warkah[Nama Petugas Warkah]),"")</f>
        <v/>
      </c>
      <c r="G3267" s="39" t="str">
        <f t="array" ref="G3267">IFNA(_xlfn.XLOOKUP(D3267,Table_Tarikan_Warkah[Nomor Tiket],Table_Tarikan_Warkah[Jenis Permohonan]),"")</f>
        <v>HAPUS BPHTB</v>
      </c>
      <c r="H3267" s="41" t="s">
        <v>2315</v>
      </c>
      <c r="I3267" s="49" t="s">
        <v>23</v>
      </c>
      <c r="J3267" s="36">
        <f t="shared" si="20"/>
        <v>45875.36512</v>
      </c>
      <c r="K3267" s="49" t="s">
        <v>2378</v>
      </c>
      <c r="L3267" s="49" t="s">
        <v>23</v>
      </c>
      <c r="M3267" s="36">
        <f t="shared" si="33"/>
        <v>45875.68725</v>
      </c>
      <c r="N3267" s="30" t="str">
        <f t="shared" si="34"/>
        <v>Selesai</v>
      </c>
      <c r="O3267" s="45">
        <f t="shared" si="23"/>
        <v>45875.68725</v>
      </c>
      <c r="P3267" s="47" t="b">
        <v>0</v>
      </c>
      <c r="Q3267" s="36" t="str">
        <f t="shared" si="35"/>
        <v/>
      </c>
      <c r="R3267" s="47" t="b">
        <v>0</v>
      </c>
      <c r="S3267" s="42" t="str">
        <f t="shared" si="28"/>
        <v/>
      </c>
      <c r="T3267" s="42"/>
    </row>
    <row r="3268" ht="22.5" customHeight="1">
      <c r="B3268" s="42">
        <f t="shared" si="7"/>
        <v>3262</v>
      </c>
      <c r="C3268" s="31" t="s">
        <v>3329</v>
      </c>
      <c r="D3268" s="34" t="str">
        <f t="array" ref="D3268">IFNA(_xlfn.XLOOKUP(C3268,Table_Tarikan_Warkah[Nomor Sertipikat],Table_Tarikan_Warkah[Nomor Tiket]),"")</f>
        <v>K/38/140725/1</v>
      </c>
      <c r="E3268" s="36">
        <f t="array" ref="E3268">IFNA(_xlfn.XLOOKUP(D3268,Table_Tarikan_Warkah[Nomor Tiket],Table_Tarikan_Warkah[Tanggal diserahkan kepada Validator]),"")</f>
        <v>45880.7154</v>
      </c>
      <c r="F3268" s="36" t="str">
        <f t="array" ref="F3268">IFNA(_xlfn.XLOOKUP(D3268,Table_Tarikan_Warkah[Nomor Tiket],Table_Tarikan_Warkah[Nama Petugas Warkah]),"")</f>
        <v>Berry</v>
      </c>
      <c r="G3268" s="39" t="str">
        <f t="array" ref="G3268">IFNA(_xlfn.XLOOKUP(D3268,Table_Tarikan_Warkah[Nomor Tiket],Table_Tarikan_Warkah[Jenis Permohonan]),"")</f>
        <v>BN JUAL BELI</v>
      </c>
      <c r="H3268" s="41" t="s">
        <v>2315</v>
      </c>
      <c r="I3268" s="49" t="s">
        <v>23</v>
      </c>
      <c r="J3268" s="36">
        <f t="shared" si="20"/>
        <v>45875.3657</v>
      </c>
      <c r="K3268" s="49" t="s">
        <v>2378</v>
      </c>
      <c r="L3268" s="49" t="s">
        <v>23</v>
      </c>
      <c r="M3268" s="36">
        <f t="shared" si="33"/>
        <v>45875.68725</v>
      </c>
      <c r="N3268" s="30" t="str">
        <f t="shared" si="34"/>
        <v>Selesai</v>
      </c>
      <c r="O3268" s="45">
        <f t="shared" si="23"/>
        <v>45875.68725</v>
      </c>
      <c r="P3268" s="47" t="b">
        <v>0</v>
      </c>
      <c r="Q3268" s="36" t="str">
        <f t="shared" si="35"/>
        <v/>
      </c>
      <c r="R3268" s="47" t="b">
        <v>0</v>
      </c>
      <c r="S3268" s="42" t="str">
        <f t="shared" si="28"/>
        <v/>
      </c>
      <c r="T3268" s="42"/>
    </row>
    <row r="3269" ht="22.5" customHeight="1">
      <c r="B3269" s="42">
        <f t="shared" si="7"/>
        <v>3263</v>
      </c>
      <c r="C3269" s="31" t="s">
        <v>3330</v>
      </c>
      <c r="D3269" s="34" t="str">
        <f t="array" ref="D3269">IFNA(_xlfn.XLOOKUP(C3269,Table_Tarikan_Warkah[Nomor Sertipikat],Table_Tarikan_Warkah[Nomor Tiket]),"")</f>
        <v>K/3/160725/1</v>
      </c>
      <c r="E3269" s="36" t="str">
        <f t="array" ref="E3269">IFNA(_xlfn.XLOOKUP(D3269,Table_Tarikan_Warkah[Nomor Tiket],Table_Tarikan_Warkah[Tanggal diserahkan kepada Validator]),"")</f>
        <v/>
      </c>
      <c r="F3269" s="36" t="str">
        <f t="array" ref="F3269">IFNA(_xlfn.XLOOKUP(D3269,Table_Tarikan_Warkah[Nomor Tiket],Table_Tarikan_Warkah[Nama Petugas Warkah]),"")</f>
        <v/>
      </c>
      <c r="G3269" s="39" t="str">
        <f t="array" ref="G3269">IFNA(_xlfn.XLOOKUP(D3269,Table_Tarikan_Warkah[Nomor Tiket],Table_Tarikan_Warkah[Jenis Permohonan]),"")</f>
        <v>PERUBAHAN HAK</v>
      </c>
      <c r="H3269" s="41" t="s">
        <v>2315</v>
      </c>
      <c r="I3269" s="49" t="s">
        <v>23</v>
      </c>
      <c r="J3269" s="36">
        <f t="shared" si="20"/>
        <v>45875.36641</v>
      </c>
      <c r="K3269" s="49" t="s">
        <v>2378</v>
      </c>
      <c r="L3269" s="49" t="s">
        <v>23</v>
      </c>
      <c r="M3269" s="36">
        <f t="shared" si="33"/>
        <v>45875.68725</v>
      </c>
      <c r="N3269" s="30" t="str">
        <f t="shared" si="34"/>
        <v>Selesai</v>
      </c>
      <c r="O3269" s="45">
        <f t="shared" si="23"/>
        <v>45875.68725</v>
      </c>
      <c r="P3269" s="47" t="b">
        <v>0</v>
      </c>
      <c r="Q3269" s="36" t="str">
        <f t="shared" si="35"/>
        <v/>
      </c>
      <c r="R3269" s="47" t="b">
        <v>0</v>
      </c>
      <c r="S3269" s="42" t="str">
        <f t="shared" si="28"/>
        <v/>
      </c>
      <c r="T3269" s="42"/>
    </row>
    <row r="3270" ht="22.5" customHeight="1">
      <c r="B3270" s="42">
        <f t="shared" si="7"/>
        <v>3264</v>
      </c>
      <c r="C3270" s="31" t="s">
        <v>3331</v>
      </c>
      <c r="D3270" s="34" t="str">
        <f t="array" ref="D3270">IFNA(_xlfn.XLOOKUP(C3270,Table_Tarikan_Warkah[Nomor Sertipikat],Table_Tarikan_Warkah[Nomor Tiket]),"")</f>
        <v>K/12/140725/2</v>
      </c>
      <c r="E3270" s="36">
        <f t="array" ref="E3270">IFNA(_xlfn.XLOOKUP(D3270,Table_Tarikan_Warkah[Nomor Tiket],Table_Tarikan_Warkah[Tanggal diserahkan kepada Validator]),"")</f>
        <v>45880.7154</v>
      </c>
      <c r="F3270" s="36" t="str">
        <f t="array" ref="F3270">IFNA(_xlfn.XLOOKUP(D3270,Table_Tarikan_Warkah[Nomor Tiket],Table_Tarikan_Warkah[Nama Petugas Warkah]),"")</f>
        <v>Berry</v>
      </c>
      <c r="G3270" s="39" t="str">
        <f t="array" ref="G3270">IFNA(_xlfn.XLOOKUP(D3270,Table_Tarikan_Warkah[Nomor Tiket],Table_Tarikan_Warkah[Jenis Permohonan]),"")</f>
        <v>BN WARIS</v>
      </c>
      <c r="H3270" s="41" t="s">
        <v>2315</v>
      </c>
      <c r="I3270" s="49" t="s">
        <v>23</v>
      </c>
      <c r="J3270" s="36">
        <f t="shared" si="20"/>
        <v>45875.3666</v>
      </c>
      <c r="K3270" s="49" t="s">
        <v>2378</v>
      </c>
      <c r="L3270" s="49" t="s">
        <v>23</v>
      </c>
      <c r="M3270" s="36">
        <f t="shared" si="33"/>
        <v>45875.68725</v>
      </c>
      <c r="N3270" s="30" t="str">
        <f t="shared" si="34"/>
        <v>Selesai</v>
      </c>
      <c r="O3270" s="45">
        <f t="shared" si="23"/>
        <v>45875.68725</v>
      </c>
      <c r="P3270" s="47" t="b">
        <v>0</v>
      </c>
      <c r="Q3270" s="36" t="str">
        <f t="shared" si="35"/>
        <v/>
      </c>
      <c r="R3270" s="47" t="b">
        <v>0</v>
      </c>
      <c r="S3270" s="42" t="str">
        <f t="shared" si="28"/>
        <v/>
      </c>
      <c r="T3270" s="42"/>
    </row>
    <row r="3271" ht="22.5" customHeight="1">
      <c r="B3271" s="42">
        <f t="shared" si="7"/>
        <v>3265</v>
      </c>
      <c r="C3271" s="31" t="s">
        <v>3332</v>
      </c>
      <c r="D3271" s="34" t="str">
        <f t="array" ref="D3271">IFNA(_xlfn.XLOOKUP(C3271,Table_Tarikan_Warkah[Nomor Sertipikat],Table_Tarikan_Warkah[Nomor Tiket]),"")</f>
        <v>K/11/140725/1</v>
      </c>
      <c r="E3271" s="36">
        <f t="array" ref="E3271">IFNA(_xlfn.XLOOKUP(D3271,Table_Tarikan_Warkah[Nomor Tiket],Table_Tarikan_Warkah[Tanggal diserahkan kepada Validator]),"")</f>
        <v>45880.7154</v>
      </c>
      <c r="F3271" s="36" t="str">
        <f t="array" ref="F3271">IFNA(_xlfn.XLOOKUP(D3271,Table_Tarikan_Warkah[Nomor Tiket],Table_Tarikan_Warkah[Nama Petugas Warkah]),"")</f>
        <v>Berry</v>
      </c>
      <c r="G3271" s="39" t="str">
        <f t="array" ref="G3271">IFNA(_xlfn.XLOOKUP(D3271,Table_Tarikan_Warkah[Nomor Tiket],Table_Tarikan_Warkah[Jenis Permohonan]),"")</f>
        <v>BN WARIS</v>
      </c>
      <c r="H3271" s="41" t="s">
        <v>2315</v>
      </c>
      <c r="I3271" s="49" t="s">
        <v>23</v>
      </c>
      <c r="J3271" s="36">
        <f t="shared" si="20"/>
        <v>45875.36671</v>
      </c>
      <c r="K3271" s="49" t="s">
        <v>2378</v>
      </c>
      <c r="L3271" s="49" t="s">
        <v>23</v>
      </c>
      <c r="M3271" s="36">
        <f t="shared" si="33"/>
        <v>45875.68725</v>
      </c>
      <c r="N3271" s="30" t="str">
        <f t="shared" si="34"/>
        <v>Selesai</v>
      </c>
      <c r="O3271" s="45">
        <f t="shared" si="23"/>
        <v>45875.68725</v>
      </c>
      <c r="P3271" s="47" t="b">
        <v>0</v>
      </c>
      <c r="Q3271" s="36" t="str">
        <f t="shared" si="35"/>
        <v/>
      </c>
      <c r="R3271" s="47" t="b">
        <v>0</v>
      </c>
      <c r="S3271" s="42" t="str">
        <f t="shared" si="28"/>
        <v/>
      </c>
      <c r="T3271" s="42"/>
    </row>
    <row r="3272" ht="22.5" customHeight="1">
      <c r="B3272" s="42">
        <f t="shared" si="7"/>
        <v>3266</v>
      </c>
      <c r="C3272" s="31" t="s">
        <v>3333</v>
      </c>
      <c r="D3272" s="34" t="str">
        <f t="array" ref="D3272">IFNA(_xlfn.XLOOKUP(C3272,Table_Tarikan_Warkah[Nomor Sertipikat],Table_Tarikan_Warkah[Nomor Tiket]),"")</f>
        <v>K/5/230725/1</v>
      </c>
      <c r="E3272" s="36">
        <f t="array" ref="E3272">IFNA(_xlfn.XLOOKUP(D3272,Table_Tarikan_Warkah[Nomor Tiket],Table_Tarikan_Warkah[Tanggal diserahkan kepada Validator]),"")</f>
        <v>45880.7154</v>
      </c>
      <c r="F3272" s="36" t="str">
        <f t="array" ref="F3272">IFNA(_xlfn.XLOOKUP(D3272,Table_Tarikan_Warkah[Nomor Tiket],Table_Tarikan_Warkah[Nama Petugas Warkah]),"")</f>
        <v>Berry</v>
      </c>
      <c r="G3272" s="39" t="str">
        <f t="array" ref="G3272">IFNA(_xlfn.XLOOKUP(D3272,Table_Tarikan_Warkah[Nomor Tiket],Table_Tarikan_Warkah[Jenis Permohonan]),"")</f>
        <v>BN JUAL BELI</v>
      </c>
      <c r="H3272" s="41" t="s">
        <v>2315</v>
      </c>
      <c r="I3272" s="49" t="s">
        <v>23</v>
      </c>
      <c r="J3272" s="36">
        <f t="shared" si="20"/>
        <v>45875.36687</v>
      </c>
      <c r="K3272" s="49" t="s">
        <v>2378</v>
      </c>
      <c r="L3272" s="49" t="s">
        <v>23</v>
      </c>
      <c r="M3272" s="36">
        <f t="shared" si="33"/>
        <v>45875.68729</v>
      </c>
      <c r="N3272" s="30" t="str">
        <f t="shared" si="34"/>
        <v>Selesai</v>
      </c>
      <c r="O3272" s="45">
        <f t="shared" si="23"/>
        <v>45875.68729</v>
      </c>
      <c r="P3272" s="47" t="b">
        <v>0</v>
      </c>
      <c r="Q3272" s="36" t="str">
        <f t="shared" si="35"/>
        <v/>
      </c>
      <c r="R3272" s="47" t="b">
        <v>0</v>
      </c>
      <c r="S3272" s="42" t="str">
        <f t="shared" si="28"/>
        <v/>
      </c>
      <c r="T3272" s="42"/>
    </row>
    <row r="3273" ht="22.5" customHeight="1">
      <c r="B3273" s="42">
        <f t="shared" si="7"/>
        <v>3267</v>
      </c>
      <c r="C3273" s="31" t="s">
        <v>3334</v>
      </c>
      <c r="D3273" s="34" t="str">
        <f t="array" ref="D3273">IFNA(_xlfn.XLOOKUP(C3273,Table_Tarikan_Warkah[Nomor Sertipikat],Table_Tarikan_Warkah[Nomor Tiket]),"")</f>
        <v>K/2/130325/2</v>
      </c>
      <c r="E3273" s="36">
        <f t="array" ref="E3273">IFNA(_xlfn.XLOOKUP(D3273,Table_Tarikan_Warkah[Nomor Tiket],Table_Tarikan_Warkah[Tanggal diserahkan kepada Validator]),"")</f>
        <v>45880.7154</v>
      </c>
      <c r="F3273" s="36" t="str">
        <f t="array" ref="F3273">IFNA(_xlfn.XLOOKUP(D3273,Table_Tarikan_Warkah[Nomor Tiket],Table_Tarikan_Warkah[Nama Petugas Warkah]),"")</f>
        <v>David</v>
      </c>
      <c r="G3273" s="39" t="str">
        <f t="array" ref="G3273">IFNA(_xlfn.XLOOKUP(D3273,Table_Tarikan_Warkah[Nomor Tiket],Table_Tarikan_Warkah[Jenis Permohonan]),"")</f>
        <v>BN JUAL BELI</v>
      </c>
      <c r="H3273" s="41" t="s">
        <v>2315</v>
      </c>
      <c r="I3273" s="49" t="s">
        <v>23</v>
      </c>
      <c r="J3273" s="36">
        <f t="shared" si="20"/>
        <v>45875.36702</v>
      </c>
      <c r="K3273" s="49" t="s">
        <v>2378</v>
      </c>
      <c r="L3273" s="49" t="s">
        <v>23</v>
      </c>
      <c r="M3273" s="36">
        <f t="shared" si="33"/>
        <v>45875.68729</v>
      </c>
      <c r="N3273" s="30" t="str">
        <f t="shared" si="34"/>
        <v>Selesai</v>
      </c>
      <c r="O3273" s="45">
        <f t="shared" si="23"/>
        <v>45875.68729</v>
      </c>
      <c r="P3273" s="47" t="b">
        <v>0</v>
      </c>
      <c r="Q3273" s="36" t="str">
        <f t="shared" si="35"/>
        <v/>
      </c>
      <c r="R3273" s="47" t="b">
        <v>0</v>
      </c>
      <c r="S3273" s="42" t="str">
        <f t="shared" si="28"/>
        <v/>
      </c>
      <c r="T3273" s="42"/>
    </row>
    <row r="3274" ht="22.5" customHeight="1">
      <c r="B3274" s="42">
        <f t="shared" si="7"/>
        <v>3268</v>
      </c>
      <c r="C3274" s="31" t="s">
        <v>3335</v>
      </c>
      <c r="D3274" s="34" t="str">
        <f t="array" ref="D3274">IFNA(_xlfn.XLOOKUP(C3274,Table_Tarikan_Warkah[Nomor Sertipikat],Table_Tarikan_Warkah[Nomor Tiket]),"")</f>
        <v>K/36/290425/2</v>
      </c>
      <c r="E3274" s="36" t="str">
        <f t="array" ref="E3274">IFNA(_xlfn.XLOOKUP(D3274,Table_Tarikan_Warkah[Nomor Tiket],Table_Tarikan_Warkah[Tanggal diserahkan kepada Validator]),"")</f>
        <v/>
      </c>
      <c r="F3274" s="36" t="str">
        <f t="array" ref="F3274">IFNA(_xlfn.XLOOKUP(D3274,Table_Tarikan_Warkah[Nomor Tiket],Table_Tarikan_Warkah[Nama Petugas Warkah]),"")</f>
        <v/>
      </c>
      <c r="G3274" s="39" t="str">
        <f t="array" ref="G3274">IFNA(_xlfn.XLOOKUP(D3274,Table_Tarikan_Warkah[Nomor Tiket],Table_Tarikan_Warkah[Jenis Permohonan]),"")</f>
        <v>BN JUAL BELI</v>
      </c>
      <c r="H3274" s="41" t="s">
        <v>2315</v>
      </c>
      <c r="I3274" s="49" t="s">
        <v>23</v>
      </c>
      <c r="J3274" s="36">
        <f t="shared" si="20"/>
        <v>45875.36761</v>
      </c>
      <c r="K3274" s="49" t="s">
        <v>2378</v>
      </c>
      <c r="L3274" s="49" t="s">
        <v>23</v>
      </c>
      <c r="M3274" s="36">
        <f t="shared" si="33"/>
        <v>45876.4664</v>
      </c>
      <c r="N3274" s="30" t="str">
        <f t="shared" si="34"/>
        <v>Selesai</v>
      </c>
      <c r="O3274" s="45">
        <f t="shared" si="23"/>
        <v>45876.4664</v>
      </c>
      <c r="P3274" s="47" t="b">
        <v>0</v>
      </c>
      <c r="Q3274" s="36" t="str">
        <f t="shared" si="35"/>
        <v/>
      </c>
      <c r="R3274" s="47" t="b">
        <v>0</v>
      </c>
      <c r="S3274" s="42" t="str">
        <f t="shared" si="28"/>
        <v/>
      </c>
      <c r="T3274" s="42"/>
    </row>
    <row r="3275" ht="22.5" customHeight="1">
      <c r="B3275" s="42">
        <f t="shared" si="7"/>
        <v>3269</v>
      </c>
      <c r="C3275" s="31" t="s">
        <v>3336</v>
      </c>
      <c r="D3275" s="34" t="str">
        <f t="array" ref="D3275">IFNA(_xlfn.XLOOKUP(C3275,Table_Tarikan_Warkah[Nomor Sertipikat],Table_Tarikan_Warkah[Nomor Tiket]),"")</f>
        <v>K/32/100725/1</v>
      </c>
      <c r="E3275" s="36">
        <f t="array" ref="E3275">IFNA(_xlfn.XLOOKUP(D3275,Table_Tarikan_Warkah[Nomor Tiket],Table_Tarikan_Warkah[Tanggal diserahkan kepada Validator]),"")</f>
        <v>45880.7154</v>
      </c>
      <c r="F3275" s="36" t="str">
        <f t="array" ref="F3275">IFNA(_xlfn.XLOOKUP(D3275,Table_Tarikan_Warkah[Nomor Tiket],Table_Tarikan_Warkah[Nama Petugas Warkah]),"")</f>
        <v>David</v>
      </c>
      <c r="G3275" s="39" t="str">
        <f t="array" ref="G3275">IFNA(_xlfn.XLOOKUP(D3275,Table_Tarikan_Warkah[Nomor Tiket],Table_Tarikan_Warkah[Jenis Permohonan]),"")</f>
        <v>BN WARIS</v>
      </c>
      <c r="H3275" s="41" t="s">
        <v>2315</v>
      </c>
      <c r="I3275" s="49" t="s">
        <v>23</v>
      </c>
      <c r="J3275" s="36">
        <f t="shared" si="20"/>
        <v>45875.36791</v>
      </c>
      <c r="K3275" s="49" t="s">
        <v>2378</v>
      </c>
      <c r="L3275" s="49" t="s">
        <v>23</v>
      </c>
      <c r="M3275" s="36">
        <f t="shared" si="33"/>
        <v>45876.46736</v>
      </c>
      <c r="N3275" s="30" t="str">
        <f t="shared" si="34"/>
        <v>Selesai</v>
      </c>
      <c r="O3275" s="45">
        <f t="shared" si="23"/>
        <v>45876.46736</v>
      </c>
      <c r="P3275" s="47" t="b">
        <v>0</v>
      </c>
      <c r="Q3275" s="36" t="str">
        <f t="shared" si="35"/>
        <v/>
      </c>
      <c r="R3275" s="47" t="b">
        <v>0</v>
      </c>
      <c r="S3275" s="42" t="str">
        <f t="shared" si="28"/>
        <v/>
      </c>
      <c r="T3275" s="42"/>
    </row>
    <row r="3276" ht="22.5" customHeight="1">
      <c r="B3276" s="42">
        <f t="shared" si="7"/>
        <v>3270</v>
      </c>
      <c r="C3276" s="31" t="s">
        <v>583</v>
      </c>
      <c r="D3276" s="34" t="str">
        <f t="array" ref="D3276">IFNA(_xlfn.XLOOKUP(C3276,Table_Tarikan_Warkah[Nomor Sertipikat],Table_Tarikan_Warkah[Nomor Tiket]),"")</f>
        <v>K/4/041224/1</v>
      </c>
      <c r="E3276" s="36" t="str">
        <f t="array" ref="E3276">IFNA(_xlfn.XLOOKUP(D3276,Table_Tarikan_Warkah[Nomor Tiket],Table_Tarikan_Warkah[Tanggal diserahkan kepada Validator]),"")</f>
        <v>05/12/2024 08.17</v>
      </c>
      <c r="F3276" s="36" t="str">
        <f t="array" ref="F3276">IFNA(_xlfn.XLOOKUP(D3276,Table_Tarikan_Warkah[Nomor Tiket],Table_Tarikan_Warkah[Nama Petugas Warkah]),"")</f>
        <v>Berry</v>
      </c>
      <c r="G3276" s="39" t="str">
        <f t="array" ref="G3276">IFNA(_xlfn.XLOOKUP(D3276,Table_Tarikan_Warkah[Nomor Tiket],Table_Tarikan_Warkah[Jenis Permohonan]),"")</f>
        <v>ROYA</v>
      </c>
      <c r="H3276" s="41" t="s">
        <v>2315</v>
      </c>
      <c r="I3276" s="49" t="s">
        <v>23</v>
      </c>
      <c r="J3276" s="36">
        <f t="shared" si="20"/>
        <v>45875.36811</v>
      </c>
      <c r="K3276" s="49" t="s">
        <v>2378</v>
      </c>
      <c r="L3276" s="49" t="s">
        <v>23</v>
      </c>
      <c r="M3276" s="36">
        <f t="shared" si="33"/>
        <v>45875.68732</v>
      </c>
      <c r="N3276" s="30" t="str">
        <f t="shared" si="34"/>
        <v>Selesai</v>
      </c>
      <c r="O3276" s="45">
        <f t="shared" si="23"/>
        <v>45875.68732</v>
      </c>
      <c r="P3276" s="47" t="b">
        <v>0</v>
      </c>
      <c r="Q3276" s="36" t="str">
        <f t="shared" si="35"/>
        <v/>
      </c>
      <c r="R3276" s="47" t="b">
        <v>0</v>
      </c>
      <c r="S3276" s="42" t="str">
        <f t="shared" si="28"/>
        <v/>
      </c>
      <c r="T3276" s="42"/>
    </row>
    <row r="3277" ht="22.5" customHeight="1">
      <c r="B3277" s="42">
        <f t="shared" si="7"/>
        <v>3271</v>
      </c>
      <c r="C3277" s="31" t="s">
        <v>3337</v>
      </c>
      <c r="D3277" s="34" t="str">
        <f t="array" ref="D3277">IFNA(_xlfn.XLOOKUP(C3277,Table_Tarikan_Warkah[Nomor Sertipikat],Table_Tarikan_Warkah[Nomor Tiket]),"")</f>
        <v>K/26/110725/1</v>
      </c>
      <c r="E3277" s="36">
        <f t="array" ref="E3277">IFNA(_xlfn.XLOOKUP(D3277,Table_Tarikan_Warkah[Nomor Tiket],Table_Tarikan_Warkah[Tanggal diserahkan kepada Validator]),"")</f>
        <v>45880.71561</v>
      </c>
      <c r="F3277" s="36" t="str">
        <f t="array" ref="F3277">IFNA(_xlfn.XLOOKUP(D3277,Table_Tarikan_Warkah[Nomor Tiket],Table_Tarikan_Warkah[Nama Petugas Warkah]),"")</f>
        <v>Berry</v>
      </c>
      <c r="G3277" s="39" t="str">
        <f t="array" ref="G3277">IFNA(_xlfn.XLOOKUP(D3277,Table_Tarikan_Warkah[Nomor Tiket],Table_Tarikan_Warkah[Jenis Permohonan]),"")</f>
        <v>BN JUAL BELI</v>
      </c>
      <c r="H3277" s="41" t="s">
        <v>2315</v>
      </c>
      <c r="I3277" s="49" t="s">
        <v>23</v>
      </c>
      <c r="J3277" s="36">
        <f t="shared" si="20"/>
        <v>45875.3684</v>
      </c>
      <c r="K3277" s="49" t="s">
        <v>2378</v>
      </c>
      <c r="L3277" s="49" t="s">
        <v>23</v>
      </c>
      <c r="M3277" s="36">
        <f t="shared" si="33"/>
        <v>45875.68737</v>
      </c>
      <c r="N3277" s="30" t="str">
        <f t="shared" si="34"/>
        <v>Selesai</v>
      </c>
      <c r="O3277" s="45">
        <f t="shared" si="23"/>
        <v>45875.68737</v>
      </c>
      <c r="P3277" s="47" t="b">
        <v>0</v>
      </c>
      <c r="Q3277" s="36" t="str">
        <f t="shared" si="35"/>
        <v/>
      </c>
      <c r="R3277" s="47" t="b">
        <v>0</v>
      </c>
      <c r="S3277" s="42" t="str">
        <f t="shared" si="28"/>
        <v/>
      </c>
      <c r="T3277" s="42"/>
    </row>
    <row r="3278" ht="22.5" customHeight="1">
      <c r="B3278" s="42">
        <f t="shared" si="7"/>
        <v>3272</v>
      </c>
      <c r="C3278" s="31" t="s">
        <v>3338</v>
      </c>
      <c r="D3278" s="34" t="str">
        <f t="array" ref="D3278">IFNA(_xlfn.XLOOKUP(C3278,Table_Tarikan_Warkah[Nomor Sertipikat],Table_Tarikan_Warkah[Nomor Tiket]),"")</f>
        <v>K/5/230425/1</v>
      </c>
      <c r="E3278" s="36">
        <f t="array" ref="E3278">IFNA(_xlfn.XLOOKUP(D3278,Table_Tarikan_Warkah[Nomor Tiket],Table_Tarikan_Warkah[Tanggal diserahkan kepada Validator]),"")</f>
        <v>45890.59775</v>
      </c>
      <c r="F3278" s="36" t="str">
        <f t="array" ref="F3278">IFNA(_xlfn.XLOOKUP(D3278,Table_Tarikan_Warkah[Nomor Tiket],Table_Tarikan_Warkah[Nama Petugas Warkah]),"")</f>
        <v>Berry</v>
      </c>
      <c r="G3278" s="39" t="str">
        <f t="array" ref="G3278">IFNA(_xlfn.XLOOKUP(D3278,Table_Tarikan_Warkah[Nomor Tiket],Table_Tarikan_Warkah[Jenis Permohonan]),"")</f>
        <v>ROYA</v>
      </c>
      <c r="H3278" s="41" t="s">
        <v>2315</v>
      </c>
      <c r="I3278" s="49" t="s">
        <v>23</v>
      </c>
      <c r="J3278" s="36">
        <f t="shared" si="20"/>
        <v>45875.36861</v>
      </c>
      <c r="K3278" s="49" t="s">
        <v>2378</v>
      </c>
      <c r="L3278" s="49" t="s">
        <v>23</v>
      </c>
      <c r="M3278" s="36">
        <f t="shared" si="33"/>
        <v>45875.68737</v>
      </c>
      <c r="N3278" s="30" t="str">
        <f t="shared" si="34"/>
        <v>Selesai</v>
      </c>
      <c r="O3278" s="45">
        <f t="shared" si="23"/>
        <v>45875.68737</v>
      </c>
      <c r="P3278" s="47" t="b">
        <v>0</v>
      </c>
      <c r="Q3278" s="36" t="str">
        <f t="shared" si="35"/>
        <v/>
      </c>
      <c r="R3278" s="47" t="b">
        <v>0</v>
      </c>
      <c r="S3278" s="42" t="str">
        <f t="shared" si="28"/>
        <v/>
      </c>
      <c r="T3278" s="42"/>
    </row>
    <row r="3279" ht="22.5" customHeight="1">
      <c r="B3279" s="42">
        <f t="shared" si="7"/>
        <v>3273</v>
      </c>
      <c r="C3279" s="31" t="s">
        <v>3339</v>
      </c>
      <c r="D3279" s="34" t="str">
        <f t="array" ref="D3279">IFNA(_xlfn.XLOOKUP(C3279,Table_Tarikan_Warkah[Nomor Sertipikat],Table_Tarikan_Warkah[Nomor Tiket]),"")</f>
        <v>K/19/090725/1</v>
      </c>
      <c r="E3279" s="36">
        <f t="array" ref="E3279">IFNA(_xlfn.XLOOKUP(D3279,Table_Tarikan_Warkah[Nomor Tiket],Table_Tarikan_Warkah[Tanggal diserahkan kepada Validator]),"")</f>
        <v>45880.64583</v>
      </c>
      <c r="F3279" s="36" t="str">
        <f t="array" ref="F3279">IFNA(_xlfn.XLOOKUP(D3279,Table_Tarikan_Warkah[Nomor Tiket],Table_Tarikan_Warkah[Nama Petugas Warkah]),"")</f>
        <v>Berry</v>
      </c>
      <c r="G3279" s="39" t="str">
        <f t="array" ref="G3279">IFNA(_xlfn.XLOOKUP(D3279,Table_Tarikan_Warkah[Nomor Tiket],Table_Tarikan_Warkah[Jenis Permohonan]),"")</f>
        <v>BN Jual Beli</v>
      </c>
      <c r="H3279" s="41" t="s">
        <v>2315</v>
      </c>
      <c r="I3279" s="49" t="s">
        <v>23</v>
      </c>
      <c r="J3279" s="36">
        <f t="shared" si="20"/>
        <v>45875.36877</v>
      </c>
      <c r="K3279" s="49" t="s">
        <v>2378</v>
      </c>
      <c r="L3279" s="49" t="s">
        <v>23</v>
      </c>
      <c r="M3279" s="36">
        <f t="shared" si="33"/>
        <v>45875.68737</v>
      </c>
      <c r="N3279" s="30" t="str">
        <f t="shared" si="34"/>
        <v>Selesai</v>
      </c>
      <c r="O3279" s="45">
        <f t="shared" si="23"/>
        <v>45875.68737</v>
      </c>
      <c r="P3279" s="47" t="b">
        <v>0</v>
      </c>
      <c r="Q3279" s="36" t="str">
        <f t="shared" si="35"/>
        <v/>
      </c>
      <c r="R3279" s="47" t="b">
        <v>0</v>
      </c>
      <c r="S3279" s="42" t="str">
        <f t="shared" si="28"/>
        <v/>
      </c>
      <c r="T3279" s="42"/>
    </row>
    <row r="3280" ht="22.5" customHeight="1">
      <c r="B3280" s="42">
        <f t="shared" si="7"/>
        <v>3274</v>
      </c>
      <c r="C3280" s="31" t="s">
        <v>3340</v>
      </c>
      <c r="D3280" s="34" t="str">
        <f t="array" ref="D3280">IFNA(_xlfn.XLOOKUP(C3280,Table_Tarikan_Warkah[Nomor Sertipikat],Table_Tarikan_Warkah[Nomor Tiket]),"")</f>
        <v>K/31/160725/1</v>
      </c>
      <c r="E3280" s="36">
        <f t="array" ref="E3280">IFNA(_xlfn.XLOOKUP(D3280,Table_Tarikan_Warkah[Nomor Tiket],Table_Tarikan_Warkah[Tanggal diserahkan kepada Validator]),"")</f>
        <v>45880.63035</v>
      </c>
      <c r="F3280" s="36" t="str">
        <f t="array" ref="F3280">IFNA(_xlfn.XLOOKUP(D3280,Table_Tarikan_Warkah[Nomor Tiket],Table_Tarikan_Warkah[Nama Petugas Warkah]),"")</f>
        <v>David</v>
      </c>
      <c r="G3280" s="39" t="str">
        <f t="array" ref="G3280">IFNA(_xlfn.XLOOKUP(D3280,Table_Tarikan_Warkah[Nomor Tiket],Table_Tarikan_Warkah[Jenis Permohonan]),"")</f>
        <v>Perubahan Hak</v>
      </c>
      <c r="H3280" s="41" t="s">
        <v>2315</v>
      </c>
      <c r="I3280" s="49" t="s">
        <v>23</v>
      </c>
      <c r="J3280" s="36">
        <f t="shared" si="20"/>
        <v>45875.36897</v>
      </c>
      <c r="K3280" s="49" t="s">
        <v>2378</v>
      </c>
      <c r="L3280" s="49" t="s">
        <v>23</v>
      </c>
      <c r="M3280" s="36">
        <f t="shared" si="33"/>
        <v>45875.68737</v>
      </c>
      <c r="N3280" s="30" t="str">
        <f t="shared" si="34"/>
        <v>Selesai</v>
      </c>
      <c r="O3280" s="45">
        <f t="shared" si="23"/>
        <v>45875.68737</v>
      </c>
      <c r="P3280" s="47" t="b">
        <v>0</v>
      </c>
      <c r="Q3280" s="36" t="str">
        <f t="shared" si="35"/>
        <v/>
      </c>
      <c r="R3280" s="47" t="b">
        <v>0</v>
      </c>
      <c r="S3280" s="42" t="str">
        <f t="shared" si="28"/>
        <v/>
      </c>
      <c r="T3280" s="42"/>
    </row>
    <row r="3281" ht="22.5" customHeight="1">
      <c r="B3281" s="42">
        <f t="shared" si="7"/>
        <v>3275</v>
      </c>
      <c r="C3281" s="31" t="s">
        <v>3341</v>
      </c>
      <c r="D3281" s="34" t="str">
        <f t="array" ref="D3281">IFNA(_xlfn.XLOOKUP(C3281,Table_Tarikan_Warkah[Nomor Sertipikat],Table_Tarikan_Warkah[Nomor Tiket]),"")</f>
        <v>K/21/120325/1</v>
      </c>
      <c r="E3281" s="36">
        <f t="array" ref="E3281">IFNA(_xlfn.XLOOKUP(D3281,Table_Tarikan_Warkah[Nomor Tiket],Table_Tarikan_Warkah[Tanggal diserahkan kepada Validator]),"")</f>
        <v>45880.7154</v>
      </c>
      <c r="F3281" s="36" t="str">
        <f t="array" ref="F3281">IFNA(_xlfn.XLOOKUP(D3281,Table_Tarikan_Warkah[Nomor Tiket],Table_Tarikan_Warkah[Nama Petugas Warkah]),"")</f>
        <v>David</v>
      </c>
      <c r="G3281" s="39" t="str">
        <f t="array" ref="G3281">IFNA(_xlfn.XLOOKUP(D3281,Table_Tarikan_Warkah[Nomor Tiket],Table_Tarikan_Warkah[Jenis Permohonan]),"")</f>
        <v>BN Waris</v>
      </c>
      <c r="H3281" s="41" t="s">
        <v>2315</v>
      </c>
      <c r="I3281" s="49" t="s">
        <v>23</v>
      </c>
      <c r="J3281" s="36">
        <f t="shared" si="20"/>
        <v>45875.36919</v>
      </c>
      <c r="K3281" s="49" t="s">
        <v>2378</v>
      </c>
      <c r="L3281" s="49" t="s">
        <v>23</v>
      </c>
      <c r="M3281" s="36">
        <f t="shared" si="33"/>
        <v>45875.68737</v>
      </c>
      <c r="N3281" s="30" t="str">
        <f t="shared" si="34"/>
        <v>Selesai</v>
      </c>
      <c r="O3281" s="45">
        <f t="shared" si="23"/>
        <v>45875.68737</v>
      </c>
      <c r="P3281" s="47" t="b">
        <v>0</v>
      </c>
      <c r="Q3281" s="36" t="str">
        <f t="shared" si="35"/>
        <v/>
      </c>
      <c r="R3281" s="47" t="b">
        <v>0</v>
      </c>
      <c r="S3281" s="42" t="str">
        <f t="shared" si="28"/>
        <v/>
      </c>
      <c r="T3281" s="42"/>
    </row>
    <row r="3282" ht="22.5" customHeight="1">
      <c r="B3282" s="42">
        <f t="shared" si="7"/>
        <v>3276</v>
      </c>
      <c r="C3282" s="31" t="s">
        <v>3342</v>
      </c>
      <c r="D3282" s="34" t="str">
        <f t="array" ref="D3282">IFNA(_xlfn.XLOOKUP(C3282,Table_Tarikan_Warkah[Nomor Sertipikat],Table_Tarikan_Warkah[Nomor Tiket]),"")</f>
        <v>K/9/280725/1</v>
      </c>
      <c r="E3282" s="36">
        <f t="array" ref="E3282">IFNA(_xlfn.XLOOKUP(D3282,Table_Tarikan_Warkah[Nomor Tiket],Table_Tarikan_Warkah[Tanggal diserahkan kepada Validator]),"")</f>
        <v>45880.64522</v>
      </c>
      <c r="F3282" s="36" t="str">
        <f t="array" ref="F3282">IFNA(_xlfn.XLOOKUP(D3282,Table_Tarikan_Warkah[Nomor Tiket],Table_Tarikan_Warkah[Nama Petugas Warkah]),"")</f>
        <v>Berry</v>
      </c>
      <c r="G3282" s="39" t="str">
        <f t="array" ref="G3282">IFNA(_xlfn.XLOOKUP(D3282,Table_Tarikan_Warkah[Nomor Tiket],Table_Tarikan_Warkah[Jenis Permohonan]),"")</f>
        <v>BN Jual Beli</v>
      </c>
      <c r="H3282" s="41" t="s">
        <v>2315</v>
      </c>
      <c r="I3282" s="49" t="s">
        <v>23</v>
      </c>
      <c r="J3282" s="36">
        <f t="shared" si="20"/>
        <v>45875.36945</v>
      </c>
      <c r="K3282" s="49" t="s">
        <v>2378</v>
      </c>
      <c r="L3282" s="49" t="s">
        <v>23</v>
      </c>
      <c r="M3282" s="36">
        <f t="shared" si="33"/>
        <v>45875.68737</v>
      </c>
      <c r="N3282" s="30" t="str">
        <f t="shared" si="34"/>
        <v>Selesai</v>
      </c>
      <c r="O3282" s="45">
        <f t="shared" si="23"/>
        <v>45875.68737</v>
      </c>
      <c r="P3282" s="47" t="b">
        <v>0</v>
      </c>
      <c r="Q3282" s="36" t="str">
        <f t="shared" si="35"/>
        <v/>
      </c>
      <c r="R3282" s="47" t="b">
        <v>0</v>
      </c>
      <c r="S3282" s="42" t="str">
        <f t="shared" si="28"/>
        <v/>
      </c>
      <c r="T3282" s="42"/>
    </row>
    <row r="3283" ht="22.5" customHeight="1">
      <c r="B3283" s="42">
        <f t="shared" si="7"/>
        <v>3277</v>
      </c>
      <c r="C3283" s="31" t="s">
        <v>3343</v>
      </c>
      <c r="D3283" s="34" t="str">
        <f t="array" ref="D3283">IFNA(_xlfn.XLOOKUP(C3283,Table_Tarikan_Warkah[Nomor Sertipikat],Table_Tarikan_Warkah[Nomor Tiket]),"")</f>
        <v>K/25/240726/1</v>
      </c>
      <c r="E3283" s="36">
        <f t="array" ref="E3283">IFNA(_xlfn.XLOOKUP(D3283,Table_Tarikan_Warkah[Nomor Tiket],Table_Tarikan_Warkah[Tanggal diserahkan kepada Validator]),"")</f>
        <v>45880.64557</v>
      </c>
      <c r="F3283" s="36" t="str">
        <f t="array" ref="F3283">IFNA(_xlfn.XLOOKUP(D3283,Table_Tarikan_Warkah[Nomor Tiket],Table_Tarikan_Warkah[Nama Petugas Warkah]),"")</f>
        <v>Berry</v>
      </c>
      <c r="G3283" s="39" t="str">
        <f t="array" ref="G3283">IFNA(_xlfn.XLOOKUP(D3283,Table_Tarikan_Warkah[Nomor Tiket],Table_Tarikan_Warkah[Jenis Permohonan]),"")</f>
        <v>BN Jual Beli</v>
      </c>
      <c r="H3283" s="41" t="s">
        <v>2315</v>
      </c>
      <c r="I3283" s="49" t="s">
        <v>23</v>
      </c>
      <c r="J3283" s="36">
        <f t="shared" si="20"/>
        <v>45875.36966</v>
      </c>
      <c r="K3283" s="49" t="s">
        <v>2378</v>
      </c>
      <c r="L3283" s="49" t="s">
        <v>23</v>
      </c>
      <c r="M3283" s="36">
        <f t="shared" si="33"/>
        <v>45875.68737</v>
      </c>
      <c r="N3283" s="30" t="str">
        <f t="shared" si="34"/>
        <v>Selesai</v>
      </c>
      <c r="O3283" s="45">
        <f t="shared" si="23"/>
        <v>45875.68737</v>
      </c>
      <c r="P3283" s="47" t="b">
        <v>0</v>
      </c>
      <c r="Q3283" s="36" t="str">
        <f t="shared" si="35"/>
        <v/>
      </c>
      <c r="R3283" s="47" t="b">
        <v>0</v>
      </c>
      <c r="S3283" s="42" t="str">
        <f t="shared" si="28"/>
        <v/>
      </c>
      <c r="T3283" s="42"/>
    </row>
    <row r="3284" ht="22.5" customHeight="1">
      <c r="B3284" s="42">
        <f t="shared" si="7"/>
        <v>3278</v>
      </c>
      <c r="C3284" s="31" t="s">
        <v>3344</v>
      </c>
      <c r="D3284" s="34" t="str">
        <f t="array" ref="D3284">IFNA(_xlfn.XLOOKUP(C3284,Table_Tarikan_Warkah[Nomor Sertipikat],Table_Tarikan_Warkah[Nomor Tiket]),"")</f>
        <v>L/27/230725/1</v>
      </c>
      <c r="E3284" s="36">
        <f t="array" ref="E3284">IFNA(_xlfn.XLOOKUP(D3284,Table_Tarikan_Warkah[Nomor Tiket],Table_Tarikan_Warkah[Tanggal diserahkan kepada Validator]),"")</f>
        <v>45891.59348</v>
      </c>
      <c r="F3284" s="36" t="str">
        <f t="array" ref="F3284">IFNA(_xlfn.XLOOKUP(D3284,Table_Tarikan_Warkah[Nomor Tiket],Table_Tarikan_Warkah[Nama Petugas Warkah]),"")</f>
        <v>Berry</v>
      </c>
      <c r="G3284" s="39" t="str">
        <f t="array" ref="G3284">IFNA(_xlfn.XLOOKUP(D3284,Table_Tarikan_Warkah[Nomor Tiket],Table_Tarikan_Warkah[Jenis Permohonan]),"")</f>
        <v>ROYA</v>
      </c>
      <c r="H3284" s="41" t="s">
        <v>2315</v>
      </c>
      <c r="I3284" s="49" t="s">
        <v>23</v>
      </c>
      <c r="J3284" s="36">
        <f t="shared" si="20"/>
        <v>45875.36982</v>
      </c>
      <c r="K3284" s="49" t="s">
        <v>2378</v>
      </c>
      <c r="L3284" s="49" t="s">
        <v>23</v>
      </c>
      <c r="M3284" s="36">
        <f t="shared" si="33"/>
        <v>45875.68744</v>
      </c>
      <c r="N3284" s="30" t="str">
        <f t="shared" si="34"/>
        <v>Selesai</v>
      </c>
      <c r="O3284" s="45">
        <f t="shared" si="23"/>
        <v>45875.68744</v>
      </c>
      <c r="P3284" s="47" t="b">
        <v>0</v>
      </c>
      <c r="Q3284" s="36" t="str">
        <f t="shared" si="35"/>
        <v/>
      </c>
      <c r="R3284" s="47" t="b">
        <v>0</v>
      </c>
      <c r="S3284" s="42" t="str">
        <f t="shared" si="28"/>
        <v/>
      </c>
      <c r="T3284" s="42"/>
    </row>
    <row r="3285" ht="22.5" customHeight="1">
      <c r="B3285" s="42">
        <f t="shared" si="7"/>
        <v>3279</v>
      </c>
      <c r="C3285" s="31" t="s">
        <v>3345</v>
      </c>
      <c r="D3285" s="34" t="str">
        <f t="array" ref="D3285">IFNA(_xlfn.XLOOKUP(C3285,Table_Tarikan_Warkah[Nomor Sertipikat],Table_Tarikan_Warkah[Nomor Tiket]),"")</f>
        <v>K/1/280725/1</v>
      </c>
      <c r="E3285" s="36">
        <f t="array" ref="E3285">IFNA(_xlfn.XLOOKUP(D3285,Table_Tarikan_Warkah[Nomor Tiket],Table_Tarikan_Warkah[Tanggal diserahkan kepada Validator]),"")</f>
        <v>45880.7154</v>
      </c>
      <c r="F3285" s="36" t="str">
        <f t="array" ref="F3285">IFNA(_xlfn.XLOOKUP(D3285,Table_Tarikan_Warkah[Nomor Tiket],Table_Tarikan_Warkah[Nama Petugas Warkah]),"")</f>
        <v>Berry</v>
      </c>
      <c r="G3285" s="39" t="str">
        <f t="array" ref="G3285">IFNA(_xlfn.XLOOKUP(D3285,Table_Tarikan_Warkah[Nomor Tiket],Table_Tarikan_Warkah[Jenis Permohonan]),"")</f>
        <v>BN Hibah</v>
      </c>
      <c r="H3285" s="41" t="s">
        <v>2315</v>
      </c>
      <c r="I3285" s="49" t="s">
        <v>23</v>
      </c>
      <c r="J3285" s="36">
        <f t="shared" si="20"/>
        <v>45875.36999</v>
      </c>
      <c r="K3285" s="49" t="s">
        <v>2378</v>
      </c>
      <c r="L3285" s="49" t="s">
        <v>23</v>
      </c>
      <c r="M3285" s="36">
        <f t="shared" si="33"/>
        <v>45875.68744</v>
      </c>
      <c r="N3285" s="30" t="str">
        <f t="shared" si="34"/>
        <v>Selesai</v>
      </c>
      <c r="O3285" s="45">
        <f t="shared" si="23"/>
        <v>45875.68744</v>
      </c>
      <c r="P3285" s="47" t="b">
        <v>0</v>
      </c>
      <c r="Q3285" s="36" t="str">
        <f t="shared" si="35"/>
        <v/>
      </c>
      <c r="R3285" s="47" t="b">
        <v>0</v>
      </c>
      <c r="S3285" s="42" t="str">
        <f t="shared" si="28"/>
        <v/>
      </c>
      <c r="T3285" s="42"/>
    </row>
    <row r="3286" ht="22.5" customHeight="1">
      <c r="B3286" s="42">
        <f t="shared" si="7"/>
        <v>3280</v>
      </c>
      <c r="C3286" s="31" t="s">
        <v>3346</v>
      </c>
      <c r="D3286" s="34" t="str">
        <f t="array" ref="D3286">IFNA(_xlfn.XLOOKUP(C3286,Table_Tarikan_Warkah[Nomor Sertipikat],Table_Tarikan_Warkah[Nomor Tiket]),"")</f>
        <v>K/8/230725/1</v>
      </c>
      <c r="E3286" s="36" t="str">
        <f t="array" ref="E3286">IFNA(_xlfn.XLOOKUP(D3286,Table_Tarikan_Warkah[Nomor Tiket],Table_Tarikan_Warkah[Tanggal diserahkan kepada Validator]),"")</f>
        <v/>
      </c>
      <c r="F3286" s="36" t="str">
        <f t="array" ref="F3286">IFNA(_xlfn.XLOOKUP(D3286,Table_Tarikan_Warkah[Nomor Tiket],Table_Tarikan_Warkah[Nama Petugas Warkah]),"")</f>
        <v/>
      </c>
      <c r="G3286" s="39" t="str">
        <f t="array" ref="G3286">IFNA(_xlfn.XLOOKUP(D3286,Table_Tarikan_Warkah[Nomor Tiket],Table_Tarikan_Warkah[Jenis Permohonan]),"")</f>
        <v>Perubahan Hak</v>
      </c>
      <c r="H3286" s="41" t="s">
        <v>2315</v>
      </c>
      <c r="I3286" s="49" t="s">
        <v>23</v>
      </c>
      <c r="J3286" s="36">
        <f t="shared" si="20"/>
        <v>45875.37019</v>
      </c>
      <c r="K3286" s="49" t="s">
        <v>2378</v>
      </c>
      <c r="L3286" s="49" t="s">
        <v>23</v>
      </c>
      <c r="M3286" s="36">
        <f t="shared" si="33"/>
        <v>45875.68744</v>
      </c>
      <c r="N3286" s="30" t="str">
        <f t="shared" si="34"/>
        <v>Selesai</v>
      </c>
      <c r="O3286" s="45">
        <f t="shared" si="23"/>
        <v>45875.68744</v>
      </c>
      <c r="P3286" s="47" t="b">
        <v>0</v>
      </c>
      <c r="Q3286" s="36" t="str">
        <f t="shared" si="35"/>
        <v/>
      </c>
      <c r="R3286" s="47" t="b">
        <v>0</v>
      </c>
      <c r="S3286" s="42" t="str">
        <f t="shared" si="28"/>
        <v/>
      </c>
      <c r="T3286" s="42"/>
    </row>
    <row r="3287" ht="22.5" customHeight="1">
      <c r="B3287" s="42">
        <f t="shared" si="7"/>
        <v>3281</v>
      </c>
      <c r="C3287" s="31" t="s">
        <v>3347</v>
      </c>
      <c r="D3287" s="34" t="str">
        <f t="array" ref="D3287">IFNA(_xlfn.XLOOKUP(C3287,Table_Tarikan_Warkah[Nomor Sertipikat],Table_Tarikan_Warkah[Nomor Tiket]),"")</f>
        <v>L/1/230725/1</v>
      </c>
      <c r="E3287" s="36">
        <f t="array" ref="E3287">IFNA(_xlfn.XLOOKUP(D3287,Table_Tarikan_Warkah[Nomor Tiket],Table_Tarikan_Warkah[Tanggal diserahkan kepada Validator]),"")</f>
        <v>45889.58125</v>
      </c>
      <c r="F3287" s="36" t="str">
        <f t="array" ref="F3287">IFNA(_xlfn.XLOOKUP(D3287,Table_Tarikan_Warkah[Nomor Tiket],Table_Tarikan_Warkah[Nama Petugas Warkah]),"")</f>
        <v>Berry</v>
      </c>
      <c r="G3287" s="39" t="str">
        <f t="array" ref="G3287">IFNA(_xlfn.XLOOKUP(D3287,Table_Tarikan_Warkah[Nomor Tiket],Table_Tarikan_Warkah[Jenis Permohonan]),"")</f>
        <v>PH</v>
      </c>
      <c r="H3287" s="41" t="s">
        <v>2315</v>
      </c>
      <c r="I3287" s="49" t="s">
        <v>23</v>
      </c>
      <c r="J3287" s="36">
        <f t="shared" si="20"/>
        <v>45875.37056</v>
      </c>
      <c r="K3287" s="49" t="s">
        <v>2378</v>
      </c>
      <c r="L3287" s="49" t="s">
        <v>23</v>
      </c>
      <c r="M3287" s="36">
        <f t="shared" si="33"/>
        <v>45875.68744</v>
      </c>
      <c r="N3287" s="30" t="str">
        <f t="shared" si="34"/>
        <v>Selesai</v>
      </c>
      <c r="O3287" s="45">
        <f t="shared" si="23"/>
        <v>45875.68744</v>
      </c>
      <c r="P3287" s="47" t="b">
        <v>0</v>
      </c>
      <c r="Q3287" s="36" t="str">
        <f t="shared" si="35"/>
        <v/>
      </c>
      <c r="R3287" s="47" t="b">
        <v>0</v>
      </c>
      <c r="S3287" s="42" t="str">
        <f t="shared" si="28"/>
        <v/>
      </c>
      <c r="T3287" s="42"/>
    </row>
    <row r="3288" ht="22.5" customHeight="1">
      <c r="B3288" s="42">
        <f t="shared" si="7"/>
        <v>3282</v>
      </c>
      <c r="C3288" s="31" t="s">
        <v>3348</v>
      </c>
      <c r="D3288" s="34" t="str">
        <f t="array" ref="D3288">IFNA(_xlfn.XLOOKUP(C3288,Table_Tarikan_Warkah[Nomor Sertipikat],Table_Tarikan_Warkah[Nomor Tiket]),"")</f>
        <v>L/17/230725/1</v>
      </c>
      <c r="E3288" s="36" t="str">
        <f t="array" ref="E3288">IFNA(_xlfn.XLOOKUP(D3288,Table_Tarikan_Warkah[Nomor Tiket],Table_Tarikan_Warkah[Tanggal diserahkan kepada Validator]),"")</f>
        <v/>
      </c>
      <c r="F3288" s="36" t="str">
        <f t="array" ref="F3288">IFNA(_xlfn.XLOOKUP(D3288,Table_Tarikan_Warkah[Nomor Tiket],Table_Tarikan_Warkah[Nama Petugas Warkah]),"")</f>
        <v/>
      </c>
      <c r="G3288" s="39" t="str">
        <f t="array" ref="G3288">IFNA(_xlfn.XLOOKUP(D3288,Table_Tarikan_Warkah[Nomor Tiket],Table_Tarikan_Warkah[Jenis Permohonan]),"")</f>
        <v>PH</v>
      </c>
      <c r="H3288" s="41" t="s">
        <v>2315</v>
      </c>
      <c r="I3288" s="49" t="s">
        <v>23</v>
      </c>
      <c r="J3288" s="36">
        <f t="shared" si="20"/>
        <v>45875.3708</v>
      </c>
      <c r="K3288" s="49" t="s">
        <v>2378</v>
      </c>
      <c r="L3288" s="49" t="s">
        <v>23</v>
      </c>
      <c r="M3288" s="36">
        <f t="shared" si="33"/>
        <v>45875.68744</v>
      </c>
      <c r="N3288" s="30" t="str">
        <f t="shared" si="34"/>
        <v>Selesai</v>
      </c>
      <c r="O3288" s="45">
        <f t="shared" si="23"/>
        <v>45875.68744</v>
      </c>
      <c r="P3288" s="47" t="b">
        <v>0</v>
      </c>
      <c r="Q3288" s="36" t="str">
        <f t="shared" si="35"/>
        <v/>
      </c>
      <c r="R3288" s="47" t="b">
        <v>0</v>
      </c>
      <c r="S3288" s="42" t="str">
        <f t="shared" si="28"/>
        <v/>
      </c>
      <c r="T3288" s="42"/>
    </row>
    <row r="3289" ht="22.5" customHeight="1">
      <c r="B3289" s="42">
        <f t="shared" si="7"/>
        <v>3283</v>
      </c>
      <c r="C3289" s="31" t="s">
        <v>3349</v>
      </c>
      <c r="D3289" s="34" t="str">
        <f t="array" ref="D3289">IFNA(_xlfn.XLOOKUP(C3289,Table_Tarikan_Warkah[Nomor Sertipikat],Table_Tarikan_Warkah[Nomor Tiket]),"")</f>
        <v>L/14/280725/1</v>
      </c>
      <c r="E3289" s="36" t="str">
        <f t="array" ref="E3289">IFNA(_xlfn.XLOOKUP(D3289,Table_Tarikan_Warkah[Nomor Tiket],Table_Tarikan_Warkah[Tanggal diserahkan kepada Validator]),"")</f>
        <v/>
      </c>
      <c r="F3289" s="36" t="str">
        <f t="array" ref="F3289">IFNA(_xlfn.XLOOKUP(D3289,Table_Tarikan_Warkah[Nomor Tiket],Table_Tarikan_Warkah[Nama Petugas Warkah]),"")</f>
        <v/>
      </c>
      <c r="G3289" s="39" t="str">
        <f t="array" ref="G3289">IFNA(_xlfn.XLOOKUP(D3289,Table_Tarikan_Warkah[Nomor Tiket],Table_Tarikan_Warkah[Jenis Permohonan]),"")</f>
        <v>ROYA</v>
      </c>
      <c r="H3289" s="41" t="s">
        <v>2315</v>
      </c>
      <c r="I3289" s="49" t="s">
        <v>23</v>
      </c>
      <c r="J3289" s="36">
        <f t="shared" si="20"/>
        <v>45875.37098</v>
      </c>
      <c r="K3289" s="49" t="s">
        <v>2378</v>
      </c>
      <c r="L3289" s="49" t="s">
        <v>23</v>
      </c>
      <c r="M3289" s="36">
        <f t="shared" si="33"/>
        <v>45875.68744</v>
      </c>
      <c r="N3289" s="30" t="str">
        <f t="shared" si="34"/>
        <v>Selesai</v>
      </c>
      <c r="O3289" s="45">
        <f t="shared" si="23"/>
        <v>45875.68744</v>
      </c>
      <c r="P3289" s="47" t="b">
        <v>0</v>
      </c>
      <c r="Q3289" s="36" t="str">
        <f t="shared" si="35"/>
        <v/>
      </c>
      <c r="R3289" s="47" t="b">
        <v>0</v>
      </c>
      <c r="S3289" s="42" t="str">
        <f t="shared" si="28"/>
        <v/>
      </c>
      <c r="T3289" s="42"/>
    </row>
    <row r="3290" ht="22.5" customHeight="1">
      <c r="B3290" s="42">
        <f t="shared" si="7"/>
        <v>3284</v>
      </c>
      <c r="C3290" s="31" t="s">
        <v>3350</v>
      </c>
      <c r="D3290" s="34" t="str">
        <f t="array" ref="D3290">IFNA(_xlfn.XLOOKUP(C3290,Table_Tarikan_Warkah[Nomor Sertipikat],Table_Tarikan_Warkah[Nomor Tiket]),"")</f>
        <v>L/20/240725/1</v>
      </c>
      <c r="E3290" s="36">
        <f t="array" ref="E3290">IFNA(_xlfn.XLOOKUP(D3290,Table_Tarikan_Warkah[Nomor Tiket],Table_Tarikan_Warkah[Tanggal diserahkan kepada Validator]),"")</f>
        <v>45916.40612</v>
      </c>
      <c r="F3290" s="36" t="str">
        <f t="array" ref="F3290">IFNA(_xlfn.XLOOKUP(D3290,Table_Tarikan_Warkah[Nomor Tiket],Table_Tarikan_Warkah[Nama Petugas Warkah]),"")</f>
        <v>David</v>
      </c>
      <c r="G3290" s="39" t="str">
        <f t="array" ref="G3290">IFNA(_xlfn.XLOOKUP(D3290,Table_Tarikan_Warkah[Nomor Tiket],Table_Tarikan_Warkah[Jenis Permohonan]),"")</f>
        <v>ROYA</v>
      </c>
      <c r="H3290" s="41" t="s">
        <v>2315</v>
      </c>
      <c r="I3290" s="49" t="s">
        <v>23</v>
      </c>
      <c r="J3290" s="36">
        <f t="shared" si="20"/>
        <v>45875.37116</v>
      </c>
      <c r="K3290" s="49" t="s">
        <v>2378</v>
      </c>
      <c r="L3290" s="49" t="s">
        <v>23</v>
      </c>
      <c r="M3290" s="36">
        <f t="shared" si="33"/>
        <v>45875.68744</v>
      </c>
      <c r="N3290" s="30" t="str">
        <f t="shared" si="34"/>
        <v>Selesai</v>
      </c>
      <c r="O3290" s="45">
        <f t="shared" si="23"/>
        <v>45875.68744</v>
      </c>
      <c r="P3290" s="47" t="b">
        <v>0</v>
      </c>
      <c r="Q3290" s="36" t="str">
        <f t="shared" si="35"/>
        <v/>
      </c>
      <c r="R3290" s="47" t="b">
        <v>0</v>
      </c>
      <c r="S3290" s="42" t="str">
        <f t="shared" si="28"/>
        <v/>
      </c>
      <c r="T3290" s="42"/>
    </row>
    <row r="3291" ht="22.5" customHeight="1">
      <c r="B3291" s="42">
        <f t="shared" si="7"/>
        <v>3285</v>
      </c>
      <c r="C3291" s="31" t="s">
        <v>3351</v>
      </c>
      <c r="D3291" s="34" t="str">
        <f t="array" ref="D3291">IFNA(_xlfn.XLOOKUP(C3291,Table_Tarikan_Warkah[Nomor Sertipikat],Table_Tarikan_Warkah[Nomor Tiket]),"")</f>
        <v>K/4/100725/1</v>
      </c>
      <c r="E3291" s="36" t="str">
        <f t="array" ref="E3291">IFNA(_xlfn.XLOOKUP(D3291,Table_Tarikan_Warkah[Nomor Tiket],Table_Tarikan_Warkah[Tanggal diserahkan kepada Validator]),"")</f>
        <v/>
      </c>
      <c r="F3291" s="36" t="str">
        <f t="array" ref="F3291">IFNA(_xlfn.XLOOKUP(D3291,Table_Tarikan_Warkah[Nomor Tiket],Table_Tarikan_Warkah[Nama Petugas Warkah]),"")</f>
        <v/>
      </c>
      <c r="G3291" s="39" t="str">
        <f t="array" ref="G3291">IFNA(_xlfn.XLOOKUP(D3291,Table_Tarikan_Warkah[Nomor Tiket],Table_Tarikan_Warkah[Jenis Permohonan]),"")</f>
        <v>PENINGKATAN HAK</v>
      </c>
      <c r="H3291" s="41" t="s">
        <v>2315</v>
      </c>
      <c r="I3291" s="49" t="s">
        <v>23</v>
      </c>
      <c r="J3291" s="36">
        <f t="shared" si="20"/>
        <v>45875.37133</v>
      </c>
      <c r="K3291" s="49" t="s">
        <v>2378</v>
      </c>
      <c r="L3291" s="49" t="s">
        <v>23</v>
      </c>
      <c r="M3291" s="36">
        <f t="shared" si="33"/>
        <v>45876.46695</v>
      </c>
      <c r="N3291" s="30" t="str">
        <f t="shared" si="34"/>
        <v>Selesai</v>
      </c>
      <c r="O3291" s="45">
        <f t="shared" si="23"/>
        <v>45876.46695</v>
      </c>
      <c r="P3291" s="47" t="b">
        <v>0</v>
      </c>
      <c r="Q3291" s="36" t="str">
        <f t="shared" si="35"/>
        <v/>
      </c>
      <c r="R3291" s="47" t="b">
        <v>0</v>
      </c>
      <c r="S3291" s="42" t="str">
        <f t="shared" si="28"/>
        <v/>
      </c>
      <c r="T3291" s="42"/>
    </row>
    <row r="3292" ht="22.5" customHeight="1">
      <c r="B3292" s="42">
        <f t="shared" si="7"/>
        <v>3286</v>
      </c>
      <c r="C3292" s="31" t="s">
        <v>3352</v>
      </c>
      <c r="D3292" s="34" t="str">
        <f t="array" ref="D3292">IFNA(_xlfn.XLOOKUP(C3292,Table_Tarikan_Warkah[Nomor Sertipikat],Table_Tarikan_Warkah[Nomor Tiket]),"")</f>
        <v>K/13/020725/1</v>
      </c>
      <c r="E3292" s="36">
        <f t="array" ref="E3292">IFNA(_xlfn.XLOOKUP(D3292,Table_Tarikan_Warkah[Nomor Tiket],Table_Tarikan_Warkah[Tanggal diserahkan kepada Validator]),"")</f>
        <v>45880.63144</v>
      </c>
      <c r="F3292" s="36" t="str">
        <f t="array" ref="F3292">IFNA(_xlfn.XLOOKUP(D3292,Table_Tarikan_Warkah[Nomor Tiket],Table_Tarikan_Warkah[Nama Petugas Warkah]),"")</f>
        <v>David</v>
      </c>
      <c r="G3292" s="39" t="str">
        <f t="array" ref="G3292">IFNA(_xlfn.XLOOKUP(D3292,Table_Tarikan_Warkah[Nomor Tiket],Table_Tarikan_Warkah[Jenis Permohonan]),"")</f>
        <v>KEWARISAN</v>
      </c>
      <c r="H3292" s="41" t="s">
        <v>2315</v>
      </c>
      <c r="I3292" s="49" t="s">
        <v>23</v>
      </c>
      <c r="J3292" s="36">
        <f t="shared" si="20"/>
        <v>45875.37154</v>
      </c>
      <c r="K3292" s="49" t="s">
        <v>2378</v>
      </c>
      <c r="L3292" s="49" t="s">
        <v>23</v>
      </c>
      <c r="M3292" s="36">
        <f t="shared" si="33"/>
        <v>45875.68746</v>
      </c>
      <c r="N3292" s="30" t="str">
        <f t="shared" si="34"/>
        <v>Selesai</v>
      </c>
      <c r="O3292" s="45">
        <f t="shared" si="23"/>
        <v>45875.68746</v>
      </c>
      <c r="P3292" s="47" t="b">
        <v>0</v>
      </c>
      <c r="Q3292" s="36" t="str">
        <f t="shared" si="35"/>
        <v/>
      </c>
      <c r="R3292" s="47" t="b">
        <v>0</v>
      </c>
      <c r="S3292" s="42" t="str">
        <f t="shared" si="28"/>
        <v/>
      </c>
      <c r="T3292" s="42"/>
    </row>
    <row r="3293" ht="22.5" customHeight="1">
      <c r="B3293" s="42">
        <f t="shared" si="7"/>
        <v>3287</v>
      </c>
      <c r="C3293" s="31" t="s">
        <v>3243</v>
      </c>
      <c r="D3293" s="34" t="str">
        <f t="array" ref="D3293">IFNA(_xlfn.XLOOKUP(C3293,Table_Tarikan_Warkah[Nomor Sertipikat],Table_Tarikan_Warkah[Nomor Tiket]),"")</f>
        <v>K/37/100725/1</v>
      </c>
      <c r="E3293" s="36">
        <f t="array" ref="E3293">IFNA(_xlfn.XLOOKUP(D3293,Table_Tarikan_Warkah[Nomor Tiket],Table_Tarikan_Warkah[Tanggal diserahkan kepada Validator]),"")</f>
        <v>45891.59147</v>
      </c>
      <c r="F3293" s="36" t="str">
        <f t="array" ref="F3293">IFNA(_xlfn.XLOOKUP(D3293,Table_Tarikan_Warkah[Nomor Tiket],Table_Tarikan_Warkah[Nama Petugas Warkah]),"")</f>
        <v>Berry</v>
      </c>
      <c r="G3293" s="39" t="str">
        <f t="array" ref="G3293">IFNA(_xlfn.XLOOKUP(D3293,Table_Tarikan_Warkah[Nomor Tiket],Table_Tarikan_Warkah[Jenis Permohonan]),"")</f>
        <v>ROYA</v>
      </c>
      <c r="H3293" s="41" t="s">
        <v>2315</v>
      </c>
      <c r="I3293" s="49" t="s">
        <v>23</v>
      </c>
      <c r="J3293" s="36">
        <f t="shared" si="20"/>
        <v>45875.37183</v>
      </c>
      <c r="K3293" s="49" t="s">
        <v>2378</v>
      </c>
      <c r="L3293" s="49" t="s">
        <v>23</v>
      </c>
      <c r="M3293" s="36">
        <f t="shared" si="33"/>
        <v>45875.68749</v>
      </c>
      <c r="N3293" s="30" t="str">
        <f t="shared" si="34"/>
        <v>Selesai</v>
      </c>
      <c r="O3293" s="45">
        <f t="shared" si="23"/>
        <v>45875.68749</v>
      </c>
      <c r="P3293" s="47" t="b">
        <v>0</v>
      </c>
      <c r="Q3293" s="36" t="str">
        <f t="shared" si="35"/>
        <v/>
      </c>
      <c r="R3293" s="47" t="b">
        <v>0</v>
      </c>
      <c r="S3293" s="42" t="str">
        <f t="shared" si="28"/>
        <v/>
      </c>
      <c r="T3293" s="42"/>
    </row>
    <row r="3294" ht="22.5" customHeight="1">
      <c r="B3294" s="42">
        <f t="shared" si="7"/>
        <v>3288</v>
      </c>
      <c r="C3294" s="31" t="s">
        <v>3353</v>
      </c>
      <c r="D3294" s="34" t="str">
        <f t="array" ref="D3294">IFNA(_xlfn.XLOOKUP(C3294,Table_Tarikan_Warkah[Nomor Sertipikat],Table_Tarikan_Warkah[Nomor Tiket]),"")</f>
        <v>K/19/240725/1</v>
      </c>
      <c r="E3294" s="36" t="str">
        <f t="array" ref="E3294">IFNA(_xlfn.XLOOKUP(D3294,Table_Tarikan_Warkah[Nomor Tiket],Table_Tarikan_Warkah[Tanggal diserahkan kepada Validator]),"")</f>
        <v/>
      </c>
      <c r="F3294" s="36" t="str">
        <f t="array" ref="F3294">IFNA(_xlfn.XLOOKUP(D3294,Table_Tarikan_Warkah[Nomor Tiket],Table_Tarikan_Warkah[Nama Petugas Warkah]),"")</f>
        <v/>
      </c>
      <c r="G3294" s="39" t="str">
        <f t="array" ref="G3294">IFNA(_xlfn.XLOOKUP(D3294,Table_Tarikan_Warkah[Nomor Tiket],Table_Tarikan_Warkah[Jenis Permohonan]),"")</f>
        <v>PEMISAHAN</v>
      </c>
      <c r="H3294" s="41" t="s">
        <v>2315</v>
      </c>
      <c r="I3294" s="49" t="s">
        <v>23</v>
      </c>
      <c r="J3294" s="36">
        <f t="shared" si="20"/>
        <v>45875.37206</v>
      </c>
      <c r="K3294" s="49" t="s">
        <v>2378</v>
      </c>
      <c r="L3294" s="49" t="s">
        <v>23</v>
      </c>
      <c r="M3294" s="36">
        <f t="shared" si="33"/>
        <v>45875.68749</v>
      </c>
      <c r="N3294" s="30" t="str">
        <f t="shared" si="34"/>
        <v>Selesai</v>
      </c>
      <c r="O3294" s="45">
        <f t="shared" si="23"/>
        <v>45875.68749</v>
      </c>
      <c r="P3294" s="47" t="b">
        <v>0</v>
      </c>
      <c r="Q3294" s="36" t="str">
        <f t="shared" si="35"/>
        <v/>
      </c>
      <c r="R3294" s="47" t="b">
        <v>0</v>
      </c>
      <c r="S3294" s="42" t="str">
        <f t="shared" si="28"/>
        <v/>
      </c>
      <c r="T3294" s="42"/>
    </row>
    <row r="3295" ht="22.5" customHeight="1">
      <c r="B3295" s="42">
        <f t="shared" si="7"/>
        <v>3289</v>
      </c>
      <c r="C3295" s="31" t="s">
        <v>3354</v>
      </c>
      <c r="D3295" s="34" t="str">
        <f t="array" ref="D3295">IFNA(_xlfn.XLOOKUP(C3295,Table_Tarikan_Warkah[Nomor Sertipikat],Table_Tarikan_Warkah[Nomor Tiket]),"")</f>
        <v>K/21/210725/1</v>
      </c>
      <c r="E3295" s="36">
        <f t="array" ref="E3295">IFNA(_xlfn.XLOOKUP(D3295,Table_Tarikan_Warkah[Nomor Tiket],Table_Tarikan_Warkah[Tanggal diserahkan kepada Validator]),"")</f>
        <v>45880.63115</v>
      </c>
      <c r="F3295" s="36" t="str">
        <f t="array" ref="F3295">IFNA(_xlfn.XLOOKUP(D3295,Table_Tarikan_Warkah[Nomor Tiket],Table_Tarikan_Warkah[Nama Petugas Warkah]),"")</f>
        <v>David</v>
      </c>
      <c r="G3295" s="39" t="str">
        <f t="array" ref="G3295">IFNA(_xlfn.XLOOKUP(D3295,Table_Tarikan_Warkah[Nomor Tiket],Table_Tarikan_Warkah[Jenis Permohonan]),"")</f>
        <v>JUAL BELI</v>
      </c>
      <c r="H3295" s="41" t="s">
        <v>2315</v>
      </c>
      <c r="I3295" s="49" t="s">
        <v>23</v>
      </c>
      <c r="J3295" s="36">
        <f t="shared" si="20"/>
        <v>45875.37227</v>
      </c>
      <c r="K3295" s="49" t="s">
        <v>2378</v>
      </c>
      <c r="L3295" s="49" t="s">
        <v>23</v>
      </c>
      <c r="M3295" s="36">
        <f t="shared" si="33"/>
        <v>45875.68749</v>
      </c>
      <c r="N3295" s="30" t="str">
        <f t="shared" si="34"/>
        <v>Selesai</v>
      </c>
      <c r="O3295" s="45">
        <f t="shared" si="23"/>
        <v>45875.68749</v>
      </c>
      <c r="P3295" s="47" t="b">
        <v>0</v>
      </c>
      <c r="Q3295" s="36" t="str">
        <f t="shared" si="35"/>
        <v/>
      </c>
      <c r="R3295" s="47" t="b">
        <v>0</v>
      </c>
      <c r="S3295" s="42" t="str">
        <f t="shared" si="28"/>
        <v/>
      </c>
      <c r="T3295" s="42"/>
    </row>
    <row r="3296" ht="22.5" customHeight="1">
      <c r="B3296" s="42">
        <f t="shared" si="7"/>
        <v>3290</v>
      </c>
      <c r="C3296" s="31" t="s">
        <v>3355</v>
      </c>
      <c r="D3296" s="34" t="str">
        <f t="array" ref="D3296">IFNA(_xlfn.XLOOKUP(C3296,Table_Tarikan_Warkah[Nomor Sertipikat],Table_Tarikan_Warkah[Nomor Tiket]),"")</f>
        <v>K/31/130625/2</v>
      </c>
      <c r="E3296" s="36">
        <f t="array" ref="E3296">IFNA(_xlfn.XLOOKUP(D3296,Table_Tarikan_Warkah[Nomor Tiket],Table_Tarikan_Warkah[Tanggal diserahkan kepada Validator]),"")</f>
        <v>45880.7154</v>
      </c>
      <c r="F3296" s="36" t="str">
        <f t="array" ref="F3296">IFNA(_xlfn.XLOOKUP(D3296,Table_Tarikan_Warkah[Nomor Tiket],Table_Tarikan_Warkah[Nama Petugas Warkah]),"")</f>
        <v>Berry</v>
      </c>
      <c r="G3296" s="39" t="str">
        <f t="array" ref="G3296">IFNA(_xlfn.XLOOKUP(D3296,Table_Tarikan_Warkah[Nomor Tiket],Table_Tarikan_Warkah[Jenis Permohonan]),"")</f>
        <v>BN HIBAH</v>
      </c>
      <c r="H3296" s="41" t="s">
        <v>2315</v>
      </c>
      <c r="I3296" s="49" t="s">
        <v>23</v>
      </c>
      <c r="J3296" s="36">
        <f t="shared" si="20"/>
        <v>45875.37249</v>
      </c>
      <c r="K3296" s="49" t="s">
        <v>2378</v>
      </c>
      <c r="L3296" s="49" t="s">
        <v>23</v>
      </c>
      <c r="M3296" s="36">
        <f t="shared" si="33"/>
        <v>45875.68749</v>
      </c>
      <c r="N3296" s="30" t="str">
        <f t="shared" si="34"/>
        <v>Selesai</v>
      </c>
      <c r="O3296" s="45">
        <f t="shared" si="23"/>
        <v>45875.68749</v>
      </c>
      <c r="P3296" s="47" t="b">
        <v>0</v>
      </c>
      <c r="Q3296" s="36" t="str">
        <f t="shared" si="35"/>
        <v/>
      </c>
      <c r="R3296" s="47" t="b">
        <v>0</v>
      </c>
      <c r="S3296" s="42" t="str">
        <f t="shared" si="28"/>
        <v/>
      </c>
      <c r="T3296" s="42"/>
    </row>
    <row r="3297" ht="22.5" customHeight="1">
      <c r="B3297" s="42">
        <f t="shared" si="7"/>
        <v>3291</v>
      </c>
      <c r="C3297" s="31" t="s">
        <v>3356</v>
      </c>
      <c r="D3297" s="34" t="str">
        <f t="array" ref="D3297">IFNA(_xlfn.XLOOKUP(C3297,Table_Tarikan_Warkah[Nomor Sertipikat],Table_Tarikan_Warkah[Nomor Tiket]),"")</f>
        <v>K/34/180725/1</v>
      </c>
      <c r="E3297" s="36">
        <f t="array" ref="E3297">IFNA(_xlfn.XLOOKUP(D3297,Table_Tarikan_Warkah[Nomor Tiket],Table_Tarikan_Warkah[Tanggal diserahkan kepada Validator]),"")</f>
        <v>45880.7154</v>
      </c>
      <c r="F3297" s="36" t="str">
        <f t="array" ref="F3297">IFNA(_xlfn.XLOOKUP(D3297,Table_Tarikan_Warkah[Nomor Tiket],Table_Tarikan_Warkah[Nama Petugas Warkah]),"")</f>
        <v>Berry</v>
      </c>
      <c r="G3297" s="39" t="str">
        <f t="array" ref="G3297">IFNA(_xlfn.XLOOKUP(D3297,Table_Tarikan_Warkah[Nomor Tiket],Table_Tarikan_Warkah[Jenis Permohonan]),"")</f>
        <v>JUAL BELI</v>
      </c>
      <c r="H3297" s="41" t="s">
        <v>2315</v>
      </c>
      <c r="I3297" s="49" t="s">
        <v>23</v>
      </c>
      <c r="J3297" s="36">
        <f t="shared" si="20"/>
        <v>45875.37267</v>
      </c>
      <c r="K3297" s="49" t="s">
        <v>2378</v>
      </c>
      <c r="L3297" s="49" t="s">
        <v>23</v>
      </c>
      <c r="M3297" s="36">
        <f t="shared" si="33"/>
        <v>45875.68759</v>
      </c>
      <c r="N3297" s="30" t="str">
        <f t="shared" si="34"/>
        <v>Selesai</v>
      </c>
      <c r="O3297" s="45">
        <f t="shared" si="23"/>
        <v>45875.68759</v>
      </c>
      <c r="P3297" s="47" t="b">
        <v>0</v>
      </c>
      <c r="Q3297" s="36" t="str">
        <f t="shared" si="35"/>
        <v/>
      </c>
      <c r="R3297" s="47" t="b">
        <v>0</v>
      </c>
      <c r="S3297" s="42" t="str">
        <f t="shared" si="28"/>
        <v/>
      </c>
      <c r="T3297" s="42"/>
    </row>
    <row r="3298" ht="22.5" customHeight="1">
      <c r="B3298" s="42">
        <f t="shared" si="7"/>
        <v>3292</v>
      </c>
      <c r="C3298" s="31" t="s">
        <v>3357</v>
      </c>
      <c r="D3298" s="34" t="str">
        <f t="array" ref="D3298">IFNA(_xlfn.XLOOKUP(C3298,Table_Tarikan_Warkah[Nomor Sertipikat],Table_Tarikan_Warkah[Nomor Tiket]),"")</f>
        <v>K/8/210725/1</v>
      </c>
      <c r="E3298" s="36">
        <f t="array" ref="E3298">IFNA(_xlfn.XLOOKUP(D3298,Table_Tarikan_Warkah[Nomor Tiket],Table_Tarikan_Warkah[Tanggal diserahkan kepada Validator]),"")</f>
        <v>45880.63085</v>
      </c>
      <c r="F3298" s="36" t="str">
        <f t="array" ref="F3298">IFNA(_xlfn.XLOOKUP(D3298,Table_Tarikan_Warkah[Nomor Tiket],Table_Tarikan_Warkah[Nama Petugas Warkah]),"")</f>
        <v>David</v>
      </c>
      <c r="G3298" s="39" t="str">
        <f t="array" ref="G3298">IFNA(_xlfn.XLOOKUP(D3298,Table_Tarikan_Warkah[Nomor Tiket],Table_Tarikan_Warkah[Jenis Permohonan]),"")</f>
        <v>JUAL BELI</v>
      </c>
      <c r="H3298" s="41" t="s">
        <v>2315</v>
      </c>
      <c r="I3298" s="49" t="s">
        <v>23</v>
      </c>
      <c r="J3298" s="36">
        <f t="shared" si="20"/>
        <v>45875.37283</v>
      </c>
      <c r="K3298" s="49" t="s">
        <v>2378</v>
      </c>
      <c r="L3298" s="49" t="s">
        <v>23</v>
      </c>
      <c r="M3298" s="36">
        <f t="shared" si="33"/>
        <v>45875.68762</v>
      </c>
      <c r="N3298" s="30" t="str">
        <f t="shared" si="34"/>
        <v>Selesai</v>
      </c>
      <c r="O3298" s="45">
        <f t="shared" si="23"/>
        <v>45875.68762</v>
      </c>
      <c r="P3298" s="47" t="b">
        <v>0</v>
      </c>
      <c r="Q3298" s="36" t="str">
        <f t="shared" si="35"/>
        <v/>
      </c>
      <c r="R3298" s="47" t="b">
        <v>0</v>
      </c>
      <c r="S3298" s="42" t="str">
        <f t="shared" si="28"/>
        <v/>
      </c>
      <c r="T3298" s="42"/>
    </row>
    <row r="3299" ht="22.5" customHeight="1">
      <c r="B3299" s="42">
        <f t="shared" si="7"/>
        <v>3293</v>
      </c>
      <c r="C3299" s="31" t="s">
        <v>3358</v>
      </c>
      <c r="D3299" s="34" t="str">
        <f t="array" ref="D3299">IFNA(_xlfn.XLOOKUP(C3299,Table_Tarikan_Warkah[Nomor Sertipikat],Table_Tarikan_Warkah[Nomor Tiket]),"")</f>
        <v>K/28/230725/3</v>
      </c>
      <c r="E3299" s="36">
        <f t="array" ref="E3299">IFNA(_xlfn.XLOOKUP(D3299,Table_Tarikan_Warkah[Nomor Tiket],Table_Tarikan_Warkah[Tanggal diserahkan kepada Validator]),"")</f>
        <v>45904.61725</v>
      </c>
      <c r="F3299" s="36" t="str">
        <f t="array" ref="F3299">IFNA(_xlfn.XLOOKUP(D3299,Table_Tarikan_Warkah[Nomor Tiket],Table_Tarikan_Warkah[Nama Petugas Warkah]),"")</f>
        <v>David</v>
      </c>
      <c r="G3299" s="39" t="str">
        <f t="array" ref="G3299">IFNA(_xlfn.XLOOKUP(D3299,Table_Tarikan_Warkah[Nomor Tiket],Table_Tarikan_Warkah[Jenis Permohonan]),"")</f>
        <v>ROYA</v>
      </c>
      <c r="H3299" s="41" t="s">
        <v>2315</v>
      </c>
      <c r="I3299" s="49" t="s">
        <v>23</v>
      </c>
      <c r="J3299" s="36">
        <f t="shared" si="20"/>
        <v>45875.37303</v>
      </c>
      <c r="K3299" s="49" t="s">
        <v>2378</v>
      </c>
      <c r="L3299" s="49" t="s">
        <v>23</v>
      </c>
      <c r="M3299" s="36">
        <f t="shared" si="33"/>
        <v>45875.68762</v>
      </c>
      <c r="N3299" s="30" t="str">
        <f t="shared" si="34"/>
        <v>Selesai</v>
      </c>
      <c r="O3299" s="45">
        <f t="shared" si="23"/>
        <v>45875.68762</v>
      </c>
      <c r="P3299" s="47" t="b">
        <v>0</v>
      </c>
      <c r="Q3299" s="36" t="str">
        <f t="shared" si="35"/>
        <v/>
      </c>
      <c r="R3299" s="47" t="b">
        <v>0</v>
      </c>
      <c r="S3299" s="42" t="str">
        <f t="shared" si="28"/>
        <v/>
      </c>
      <c r="T3299" s="42"/>
    </row>
    <row r="3300" ht="22.5" customHeight="1">
      <c r="B3300" s="42">
        <f t="shared" si="7"/>
        <v>3294</v>
      </c>
      <c r="C3300" s="31" t="s">
        <v>3359</v>
      </c>
      <c r="D3300" s="34" t="str">
        <f t="array" ref="D3300">IFNA(_xlfn.XLOOKUP(C3300,Table_Tarikan_Warkah[Nomor Sertipikat],Table_Tarikan_Warkah[Nomor Tiket]),"")</f>
        <v>K/6/210725/1</v>
      </c>
      <c r="E3300" s="36" t="str">
        <f t="array" ref="E3300">IFNA(_xlfn.XLOOKUP(D3300,Table_Tarikan_Warkah[Nomor Tiket],Table_Tarikan_Warkah[Tanggal diserahkan kepada Validator]),"")</f>
        <v/>
      </c>
      <c r="F3300" s="36" t="str">
        <f t="array" ref="F3300">IFNA(_xlfn.XLOOKUP(D3300,Table_Tarikan_Warkah[Nomor Tiket],Table_Tarikan_Warkah[Nama Petugas Warkah]),"")</f>
        <v/>
      </c>
      <c r="G3300" s="39" t="str">
        <f t="array" ref="G3300">IFNA(_xlfn.XLOOKUP(D3300,Table_Tarikan_Warkah[Nomor Tiket],Table_Tarikan_Warkah[Jenis Permohonan]),"")</f>
        <v>BN JUAL BELI</v>
      </c>
      <c r="H3300" s="41" t="s">
        <v>2315</v>
      </c>
      <c r="I3300" s="49" t="s">
        <v>23</v>
      </c>
      <c r="J3300" s="36">
        <f t="shared" si="20"/>
        <v>45875.37317</v>
      </c>
      <c r="K3300" s="49" t="s">
        <v>2378</v>
      </c>
      <c r="L3300" s="49" t="s">
        <v>23</v>
      </c>
      <c r="M3300" s="36">
        <f t="shared" si="33"/>
        <v>45875.68762</v>
      </c>
      <c r="N3300" s="30" t="str">
        <f t="shared" si="34"/>
        <v>Selesai</v>
      </c>
      <c r="O3300" s="45">
        <f t="shared" si="23"/>
        <v>45875.68762</v>
      </c>
      <c r="P3300" s="47" t="b">
        <v>0</v>
      </c>
      <c r="Q3300" s="36" t="str">
        <f t="shared" si="35"/>
        <v/>
      </c>
      <c r="R3300" s="47" t="b">
        <v>0</v>
      </c>
      <c r="S3300" s="42" t="str">
        <f t="shared" si="28"/>
        <v/>
      </c>
      <c r="T3300" s="42"/>
    </row>
    <row r="3301" ht="22.5" customHeight="1">
      <c r="B3301" s="42">
        <f t="shared" si="7"/>
        <v>3295</v>
      </c>
      <c r="C3301" s="31" t="s">
        <v>3360</v>
      </c>
      <c r="D3301" s="34" t="str">
        <f t="array" ref="D3301">IFNA(_xlfn.XLOOKUP(C3301,Table_Tarikan_Warkah[Nomor Sertipikat],Table_Tarikan_Warkah[Nomor Tiket]),"")</f>
        <v>K/33/140725/1</v>
      </c>
      <c r="E3301" s="36" t="str">
        <f t="array" ref="E3301">IFNA(_xlfn.XLOOKUP(D3301,Table_Tarikan_Warkah[Nomor Tiket],Table_Tarikan_Warkah[Tanggal diserahkan kepada Validator]),"")</f>
        <v/>
      </c>
      <c r="F3301" s="36" t="str">
        <f t="array" ref="F3301">IFNA(_xlfn.XLOOKUP(D3301,Table_Tarikan_Warkah[Nomor Tiket],Table_Tarikan_Warkah[Nama Petugas Warkah]),"")</f>
        <v/>
      </c>
      <c r="G3301" s="39" t="str">
        <f t="array" ref="G3301">IFNA(_xlfn.XLOOKUP(D3301,Table_Tarikan_Warkah[Nomor Tiket],Table_Tarikan_Warkah[Jenis Permohonan]),"")</f>
        <v>BN JUAL BELI</v>
      </c>
      <c r="H3301" s="41" t="s">
        <v>2315</v>
      </c>
      <c r="I3301" s="49" t="s">
        <v>23</v>
      </c>
      <c r="J3301" s="36">
        <f t="shared" si="20"/>
        <v>45875.37332</v>
      </c>
      <c r="K3301" s="49" t="s">
        <v>2378</v>
      </c>
      <c r="L3301" s="49" t="s">
        <v>23</v>
      </c>
      <c r="M3301" s="36">
        <f t="shared" si="33"/>
        <v>45875.68766</v>
      </c>
      <c r="N3301" s="30" t="str">
        <f t="shared" si="34"/>
        <v>Selesai</v>
      </c>
      <c r="O3301" s="45">
        <f t="shared" si="23"/>
        <v>45875.68766</v>
      </c>
      <c r="P3301" s="47" t="b">
        <v>0</v>
      </c>
      <c r="Q3301" s="36" t="str">
        <f t="shared" si="35"/>
        <v/>
      </c>
      <c r="R3301" s="47" t="b">
        <v>0</v>
      </c>
      <c r="S3301" s="42" t="str">
        <f t="shared" si="28"/>
        <v/>
      </c>
      <c r="T3301" s="42"/>
    </row>
    <row r="3302" ht="22.5" customHeight="1">
      <c r="B3302" s="42">
        <f t="shared" si="7"/>
        <v>3296</v>
      </c>
      <c r="C3302" s="31" t="s">
        <v>3361</v>
      </c>
      <c r="D3302" s="34" t="str">
        <f t="array" ref="D3302">IFNA(_xlfn.XLOOKUP(C3302,Table_Tarikan_Warkah[Nomor Sertipikat],Table_Tarikan_Warkah[Nomor Tiket]),"")</f>
        <v>K/14/250625/1</v>
      </c>
      <c r="E3302" s="36" t="str">
        <f t="array" ref="E3302">IFNA(_xlfn.XLOOKUP(D3302,Table_Tarikan_Warkah[Nomor Tiket],Table_Tarikan_Warkah[Tanggal diserahkan kepada Validator]),"")</f>
        <v/>
      </c>
      <c r="F3302" s="36" t="str">
        <f t="array" ref="F3302">IFNA(_xlfn.XLOOKUP(D3302,Table_Tarikan_Warkah[Nomor Tiket],Table_Tarikan_Warkah[Nama Petugas Warkah]),"")</f>
        <v/>
      </c>
      <c r="G3302" s="39" t="str">
        <f t="array" ref="G3302">IFNA(_xlfn.XLOOKUP(D3302,Table_Tarikan_Warkah[Nomor Tiket],Table_Tarikan_Warkah[Jenis Permohonan]),"")</f>
        <v>BN JUAL BELI</v>
      </c>
      <c r="H3302" s="41" t="s">
        <v>2315</v>
      </c>
      <c r="I3302" s="49" t="s">
        <v>23</v>
      </c>
      <c r="J3302" s="36">
        <f t="shared" si="20"/>
        <v>45875.37356</v>
      </c>
      <c r="K3302" s="49" t="s">
        <v>2378</v>
      </c>
      <c r="L3302" s="49" t="s">
        <v>23</v>
      </c>
      <c r="M3302" s="36">
        <f t="shared" si="33"/>
        <v>45875.68766</v>
      </c>
      <c r="N3302" s="30" t="str">
        <f t="shared" si="34"/>
        <v>Selesai</v>
      </c>
      <c r="O3302" s="45">
        <f t="shared" si="23"/>
        <v>45875.68766</v>
      </c>
      <c r="P3302" s="47" t="b">
        <v>0</v>
      </c>
      <c r="Q3302" s="36" t="str">
        <f t="shared" si="35"/>
        <v/>
      </c>
      <c r="R3302" s="47" t="b">
        <v>0</v>
      </c>
      <c r="S3302" s="42" t="str">
        <f t="shared" si="28"/>
        <v/>
      </c>
      <c r="T3302" s="42"/>
    </row>
    <row r="3303" ht="22.5" customHeight="1">
      <c r="B3303" s="42">
        <f t="shared" si="7"/>
        <v>3297</v>
      </c>
      <c r="C3303" s="31" t="s">
        <v>3362</v>
      </c>
      <c r="D3303" s="34" t="str">
        <f t="array" ref="D3303">IFNA(_xlfn.XLOOKUP(C3303,Table_Tarikan_Warkah[Nomor Sertipikat],Table_Tarikan_Warkah[Nomor Tiket]),"")</f>
        <v>K/18/160725/1</v>
      </c>
      <c r="E3303" s="36" t="str">
        <f t="array" ref="E3303">IFNA(_xlfn.XLOOKUP(D3303,Table_Tarikan_Warkah[Nomor Tiket],Table_Tarikan_Warkah[Tanggal diserahkan kepada Validator]),"")</f>
        <v/>
      </c>
      <c r="F3303" s="36" t="str">
        <f t="array" ref="F3303">IFNA(_xlfn.XLOOKUP(D3303,Table_Tarikan_Warkah[Nomor Tiket],Table_Tarikan_Warkah[Nama Petugas Warkah]),"")</f>
        <v/>
      </c>
      <c r="G3303" s="39" t="str">
        <f t="array" ref="G3303">IFNA(_xlfn.XLOOKUP(D3303,Table_Tarikan_Warkah[Nomor Tiket],Table_Tarikan_Warkah[Jenis Permohonan]),"")</f>
        <v>BN JUAL BELI</v>
      </c>
      <c r="H3303" s="41" t="s">
        <v>2315</v>
      </c>
      <c r="I3303" s="49" t="s">
        <v>23</v>
      </c>
      <c r="J3303" s="36">
        <f t="shared" si="20"/>
        <v>45875.37374</v>
      </c>
      <c r="K3303" s="49" t="s">
        <v>2378</v>
      </c>
      <c r="L3303" s="49" t="s">
        <v>23</v>
      </c>
      <c r="M3303" s="36">
        <f t="shared" si="33"/>
        <v>45876.46672</v>
      </c>
      <c r="N3303" s="30" t="str">
        <f t="shared" si="34"/>
        <v>Selesai</v>
      </c>
      <c r="O3303" s="45">
        <f t="shared" si="23"/>
        <v>45876.46672</v>
      </c>
      <c r="P3303" s="47" t="b">
        <v>0</v>
      </c>
      <c r="Q3303" s="36" t="str">
        <f t="shared" si="35"/>
        <v/>
      </c>
      <c r="R3303" s="47" t="b">
        <v>0</v>
      </c>
      <c r="S3303" s="42" t="str">
        <f t="shared" si="28"/>
        <v/>
      </c>
      <c r="T3303" s="42"/>
    </row>
    <row r="3304" ht="22.5" customHeight="1">
      <c r="B3304" s="42">
        <f t="shared" si="7"/>
        <v>3298</v>
      </c>
      <c r="C3304" s="31" t="s">
        <v>3363</v>
      </c>
      <c r="D3304" s="34" t="str">
        <f t="array" ref="D3304">IFNA(_xlfn.XLOOKUP(C3304,Table_Tarikan_Warkah[Nomor Sertipikat],Table_Tarikan_Warkah[Nomor Tiket]),"")</f>
        <v>K/10/220725/2</v>
      </c>
      <c r="E3304" s="36">
        <f t="array" ref="E3304">IFNA(_xlfn.XLOOKUP(D3304,Table_Tarikan_Warkah[Nomor Tiket],Table_Tarikan_Warkah[Tanggal diserahkan kepada Validator]),"")</f>
        <v>45880.7154</v>
      </c>
      <c r="F3304" s="36" t="str">
        <f t="array" ref="F3304">IFNA(_xlfn.XLOOKUP(D3304,Table_Tarikan_Warkah[Nomor Tiket],Table_Tarikan_Warkah[Nama Petugas Warkah]),"")</f>
        <v>David</v>
      </c>
      <c r="G3304" s="39" t="str">
        <f t="array" ref="G3304">IFNA(_xlfn.XLOOKUP(D3304,Table_Tarikan_Warkah[Nomor Tiket],Table_Tarikan_Warkah[Jenis Permohonan]),"")</f>
        <v>BN Waris</v>
      </c>
      <c r="H3304" s="41" t="s">
        <v>2315</v>
      </c>
      <c r="I3304" s="49" t="s">
        <v>23</v>
      </c>
      <c r="J3304" s="36">
        <f t="shared" si="20"/>
        <v>45876.36435</v>
      </c>
      <c r="K3304" s="49" t="s">
        <v>2378</v>
      </c>
      <c r="L3304" s="49" t="s">
        <v>23</v>
      </c>
      <c r="M3304" s="36">
        <f t="shared" si="33"/>
        <v>45876.46583</v>
      </c>
      <c r="N3304" s="30" t="str">
        <f t="shared" si="34"/>
        <v>Selesai</v>
      </c>
      <c r="O3304" s="45">
        <f t="shared" si="23"/>
        <v>45876.46583</v>
      </c>
      <c r="P3304" s="47" t="b">
        <v>0</v>
      </c>
      <c r="Q3304" s="36" t="str">
        <f t="shared" si="35"/>
        <v/>
      </c>
      <c r="R3304" s="47" t="b">
        <v>0</v>
      </c>
      <c r="S3304" s="42" t="str">
        <f t="shared" si="28"/>
        <v/>
      </c>
      <c r="T3304" s="42"/>
    </row>
    <row r="3305" ht="22.5" customHeight="1">
      <c r="B3305" s="42">
        <f t="shared" si="7"/>
        <v>3299</v>
      </c>
      <c r="C3305" s="31" t="s">
        <v>3364</v>
      </c>
      <c r="D3305" s="34" t="str">
        <f t="array" ref="D3305">IFNA(_xlfn.XLOOKUP(C3305,Table_Tarikan_Warkah[Nomor Sertipikat],Table_Tarikan_Warkah[Nomor Tiket]),"")</f>
        <v>K/17/300725/1</v>
      </c>
      <c r="E3305" s="36">
        <f t="array" ref="E3305">IFNA(_xlfn.XLOOKUP(D3305,Table_Tarikan_Warkah[Nomor Tiket],Table_Tarikan_Warkah[Tanggal diserahkan kepada Validator]),"")</f>
        <v>45880.71677</v>
      </c>
      <c r="F3305" s="36" t="str">
        <f t="array" ref="F3305">IFNA(_xlfn.XLOOKUP(D3305,Table_Tarikan_Warkah[Nomor Tiket],Table_Tarikan_Warkah[Nama Petugas Warkah]),"")</f>
        <v>Berry</v>
      </c>
      <c r="G3305" s="39" t="str">
        <f t="array" ref="G3305">IFNA(_xlfn.XLOOKUP(D3305,Table_Tarikan_Warkah[Nomor Tiket],Table_Tarikan_Warkah[Jenis Permohonan]),"")</f>
        <v>JUAL BELI</v>
      </c>
      <c r="H3305" s="41" t="s">
        <v>2315</v>
      </c>
      <c r="I3305" s="49" t="s">
        <v>23</v>
      </c>
      <c r="J3305" s="36">
        <f t="shared" si="20"/>
        <v>45876.36448</v>
      </c>
      <c r="K3305" s="49" t="s">
        <v>2378</v>
      </c>
      <c r="L3305" s="49" t="s">
        <v>23</v>
      </c>
      <c r="M3305" s="36">
        <f t="shared" si="33"/>
        <v>45876.46502</v>
      </c>
      <c r="N3305" s="30" t="str">
        <f t="shared" si="34"/>
        <v>Selesai</v>
      </c>
      <c r="O3305" s="45">
        <f t="shared" si="23"/>
        <v>45876.46502</v>
      </c>
      <c r="P3305" s="47" t="b">
        <v>0</v>
      </c>
      <c r="Q3305" s="36" t="str">
        <f t="shared" si="35"/>
        <v/>
      </c>
      <c r="R3305" s="47" t="b">
        <v>0</v>
      </c>
      <c r="S3305" s="42" t="str">
        <f t="shared" si="28"/>
        <v/>
      </c>
      <c r="T3305" s="42"/>
    </row>
    <row r="3306" ht="22.5" customHeight="1">
      <c r="B3306" s="42">
        <f t="shared" si="7"/>
        <v>3300</v>
      </c>
      <c r="C3306" s="31" t="s">
        <v>3365</v>
      </c>
      <c r="D3306" s="34" t="str">
        <f t="array" ref="D3306">IFNA(_xlfn.XLOOKUP(C3306,Table_Tarikan_Warkah[Nomor Sertipikat],Table_Tarikan_Warkah[Nomor Tiket]),"")</f>
        <v>K/1/160725/1</v>
      </c>
      <c r="E3306" s="36" t="str">
        <f t="array" ref="E3306">IFNA(_xlfn.XLOOKUP(D3306,Table_Tarikan_Warkah[Nomor Tiket],Table_Tarikan_Warkah[Tanggal diserahkan kepada Validator]),"")</f>
        <v/>
      </c>
      <c r="F3306" s="36" t="str">
        <f t="array" ref="F3306">IFNA(_xlfn.XLOOKUP(D3306,Table_Tarikan_Warkah[Nomor Tiket],Table_Tarikan_Warkah[Nama Petugas Warkah]),"")</f>
        <v/>
      </c>
      <c r="G3306" s="39" t="str">
        <f t="array" ref="G3306">IFNA(_xlfn.XLOOKUP(D3306,Table_Tarikan_Warkah[Nomor Tiket],Table_Tarikan_Warkah[Jenis Permohonan]),"")</f>
        <v>Perubahan Hakl</v>
      </c>
      <c r="H3306" s="41" t="s">
        <v>2315</v>
      </c>
      <c r="I3306" s="49" t="s">
        <v>23</v>
      </c>
      <c r="J3306" s="36">
        <f t="shared" si="20"/>
        <v>45876.36488</v>
      </c>
      <c r="K3306" s="49" t="s">
        <v>2378</v>
      </c>
      <c r="L3306" s="49" t="s">
        <v>23</v>
      </c>
      <c r="M3306" s="36">
        <f t="shared" si="33"/>
        <v>45876.46575</v>
      </c>
      <c r="N3306" s="30" t="str">
        <f t="shared" si="34"/>
        <v>Selesai</v>
      </c>
      <c r="O3306" s="45">
        <f t="shared" si="23"/>
        <v>45876.46575</v>
      </c>
      <c r="P3306" s="47" t="b">
        <v>0</v>
      </c>
      <c r="Q3306" s="36" t="str">
        <f t="shared" si="35"/>
        <v/>
      </c>
      <c r="R3306" s="47" t="b">
        <v>0</v>
      </c>
      <c r="S3306" s="42" t="str">
        <f t="shared" si="28"/>
        <v/>
      </c>
      <c r="T3306" s="42"/>
    </row>
    <row r="3307" ht="22.5" customHeight="1">
      <c r="B3307" s="42">
        <f t="shared" si="7"/>
        <v>3301</v>
      </c>
      <c r="C3307" s="31" t="s">
        <v>3366</v>
      </c>
      <c r="D3307" s="34" t="str">
        <f t="array" ref="D3307">IFNA(_xlfn.XLOOKUP(C3307,Table_Tarikan_Warkah[Nomor Sertipikat],Table_Tarikan_Warkah[Nomor Tiket]),"")</f>
        <v>K/14/230725/1</v>
      </c>
      <c r="E3307" s="36">
        <f t="array" ref="E3307">IFNA(_xlfn.XLOOKUP(D3307,Table_Tarikan_Warkah[Nomor Tiket],Table_Tarikan_Warkah[Tanggal diserahkan kepada Validator]),"")</f>
        <v>45880.64827</v>
      </c>
      <c r="F3307" s="36" t="str">
        <f t="array" ref="F3307">IFNA(_xlfn.XLOOKUP(D3307,Table_Tarikan_Warkah[Nomor Tiket],Table_Tarikan_Warkah[Nama Petugas Warkah]),"")</f>
        <v>David</v>
      </c>
      <c r="G3307" s="39" t="str">
        <f t="array" ref="G3307">IFNA(_xlfn.XLOOKUP(D3307,Table_Tarikan_Warkah[Nomor Tiket],Table_Tarikan_Warkah[Jenis Permohonan]),"")</f>
        <v>BN Jual Beli</v>
      </c>
      <c r="H3307" s="41" t="s">
        <v>2315</v>
      </c>
      <c r="I3307" s="49" t="s">
        <v>23</v>
      </c>
      <c r="J3307" s="36">
        <f t="shared" si="20"/>
        <v>45876.36501</v>
      </c>
      <c r="K3307" s="49" t="s">
        <v>2378</v>
      </c>
      <c r="L3307" s="49" t="s">
        <v>23</v>
      </c>
      <c r="M3307" s="36">
        <f t="shared" si="33"/>
        <v>45876.46566</v>
      </c>
      <c r="N3307" s="30" t="str">
        <f t="shared" si="34"/>
        <v>Selesai</v>
      </c>
      <c r="O3307" s="45">
        <f t="shared" si="23"/>
        <v>45876.46566</v>
      </c>
      <c r="P3307" s="47" t="b">
        <v>0</v>
      </c>
      <c r="Q3307" s="36" t="str">
        <f t="shared" si="35"/>
        <v/>
      </c>
      <c r="R3307" s="47" t="b">
        <v>0</v>
      </c>
      <c r="S3307" s="42" t="str">
        <f t="shared" si="28"/>
        <v/>
      </c>
      <c r="T3307" s="42"/>
    </row>
    <row r="3308" ht="22.5" customHeight="1">
      <c r="B3308" s="42">
        <f t="shared" si="7"/>
        <v>3302</v>
      </c>
      <c r="C3308" s="31" t="s">
        <v>3367</v>
      </c>
      <c r="D3308" s="34" t="str">
        <f t="array" ref="D3308">IFNA(_xlfn.XLOOKUP(C3308,Table_Tarikan_Warkah[Nomor Sertipikat],Table_Tarikan_Warkah[Nomor Tiket]),"")</f>
        <v>K/33/010725/1</v>
      </c>
      <c r="E3308" s="36">
        <f t="array" ref="E3308">IFNA(_xlfn.XLOOKUP(D3308,Table_Tarikan_Warkah[Nomor Tiket],Table_Tarikan_Warkah[Tanggal diserahkan kepada Validator]),"")</f>
        <v>45880.63058</v>
      </c>
      <c r="F3308" s="36" t="str">
        <f t="array" ref="F3308">IFNA(_xlfn.XLOOKUP(D3308,Table_Tarikan_Warkah[Nomor Tiket],Table_Tarikan_Warkah[Nama Petugas Warkah]),"")</f>
        <v>David</v>
      </c>
      <c r="G3308" s="39" t="str">
        <f t="array" ref="G3308">IFNA(_xlfn.XLOOKUP(D3308,Table_Tarikan_Warkah[Nomor Tiket],Table_Tarikan_Warkah[Jenis Permohonan]),"")</f>
        <v>BN Waris</v>
      </c>
      <c r="H3308" s="41" t="s">
        <v>2315</v>
      </c>
      <c r="I3308" s="49" t="s">
        <v>23</v>
      </c>
      <c r="J3308" s="36">
        <f t="shared" si="20"/>
        <v>45876.36518</v>
      </c>
      <c r="K3308" s="49" t="s">
        <v>2378</v>
      </c>
      <c r="L3308" s="49" t="s">
        <v>23</v>
      </c>
      <c r="M3308" s="36">
        <f t="shared" si="33"/>
        <v>45876.59102</v>
      </c>
      <c r="N3308" s="30" t="str">
        <f t="shared" si="34"/>
        <v>Selesai</v>
      </c>
      <c r="O3308" s="45">
        <f t="shared" si="23"/>
        <v>45876.59102</v>
      </c>
      <c r="P3308" s="47" t="b">
        <v>0</v>
      </c>
      <c r="Q3308" s="36" t="str">
        <f t="shared" si="35"/>
        <v/>
      </c>
      <c r="R3308" s="47" t="b">
        <v>0</v>
      </c>
      <c r="S3308" s="42" t="str">
        <f t="shared" si="28"/>
        <v/>
      </c>
      <c r="T3308" s="42"/>
    </row>
    <row r="3309" ht="22.5" customHeight="1">
      <c r="B3309" s="42">
        <f t="shared" si="7"/>
        <v>3303</v>
      </c>
      <c r="C3309" s="31" t="s">
        <v>3368</v>
      </c>
      <c r="D3309" s="34" t="str">
        <f t="array" ref="D3309">IFNA(_xlfn.XLOOKUP(C3309,Table_Tarikan_Warkah[Nomor Sertipikat],Table_Tarikan_Warkah[Nomor Tiket]),"")</f>
        <v>K/12/240725/1</v>
      </c>
      <c r="E3309" s="36">
        <f t="array" ref="E3309">IFNA(_xlfn.XLOOKUP(D3309,Table_Tarikan_Warkah[Nomor Tiket],Table_Tarikan_Warkah[Tanggal diserahkan kepada Validator]),"")</f>
        <v>45880.7154</v>
      </c>
      <c r="F3309" s="36" t="str">
        <f t="array" ref="F3309">IFNA(_xlfn.XLOOKUP(D3309,Table_Tarikan_Warkah[Nomor Tiket],Table_Tarikan_Warkah[Nama Petugas Warkah]),"")</f>
        <v>David</v>
      </c>
      <c r="G3309" s="39" t="str">
        <f t="array" ref="G3309">IFNA(_xlfn.XLOOKUP(D3309,Table_Tarikan_Warkah[Nomor Tiket],Table_Tarikan_Warkah[Jenis Permohonan]),"")</f>
        <v>BN Waris</v>
      </c>
      <c r="H3309" s="41" t="s">
        <v>2315</v>
      </c>
      <c r="I3309" s="49" t="s">
        <v>23</v>
      </c>
      <c r="J3309" s="36">
        <f t="shared" si="20"/>
        <v>45876.36531</v>
      </c>
      <c r="K3309" s="49" t="s">
        <v>2378</v>
      </c>
      <c r="L3309" s="49" t="s">
        <v>23</v>
      </c>
      <c r="M3309" s="36">
        <f t="shared" si="33"/>
        <v>45876.59105</v>
      </c>
      <c r="N3309" s="30" t="str">
        <f t="shared" si="34"/>
        <v>Selesai</v>
      </c>
      <c r="O3309" s="45">
        <f t="shared" si="23"/>
        <v>45876.59105</v>
      </c>
      <c r="P3309" s="47" t="b">
        <v>0</v>
      </c>
      <c r="Q3309" s="36" t="str">
        <f t="shared" si="35"/>
        <v/>
      </c>
      <c r="R3309" s="47" t="b">
        <v>0</v>
      </c>
      <c r="S3309" s="42" t="str">
        <f t="shared" si="28"/>
        <v/>
      </c>
      <c r="T3309" s="42"/>
    </row>
    <row r="3310" ht="22.5" customHeight="1">
      <c r="B3310" s="42">
        <f t="shared" si="7"/>
        <v>3304</v>
      </c>
      <c r="C3310" s="31" t="s">
        <v>3369</v>
      </c>
      <c r="D3310" s="34" t="str">
        <f t="array" ref="D3310">IFNA(_xlfn.XLOOKUP(C3310,Table_Tarikan_Warkah[Nomor Sertipikat],Table_Tarikan_Warkah[Nomor Tiket]),"")</f>
        <v>K/5/150725/1</v>
      </c>
      <c r="E3310" s="36">
        <f t="array" ref="E3310">IFNA(_xlfn.XLOOKUP(D3310,Table_Tarikan_Warkah[Nomor Tiket],Table_Tarikan_Warkah[Tanggal diserahkan kepada Validator]),"")</f>
        <v>45880.7154</v>
      </c>
      <c r="F3310" s="36" t="str">
        <f t="array" ref="F3310">IFNA(_xlfn.XLOOKUP(D3310,Table_Tarikan_Warkah[Nomor Tiket],Table_Tarikan_Warkah[Nama Petugas Warkah]),"")</f>
        <v>David</v>
      </c>
      <c r="G3310" s="39" t="str">
        <f t="array" ref="G3310">IFNA(_xlfn.XLOOKUP(D3310,Table_Tarikan_Warkah[Nomor Tiket],Table_Tarikan_Warkah[Jenis Permohonan]),"")</f>
        <v>BN Jual Beli</v>
      </c>
      <c r="H3310" s="41" t="s">
        <v>2315</v>
      </c>
      <c r="I3310" s="49" t="s">
        <v>23</v>
      </c>
      <c r="J3310" s="36">
        <f t="shared" si="20"/>
        <v>45876.36546</v>
      </c>
      <c r="K3310" s="49" t="s">
        <v>2378</v>
      </c>
      <c r="L3310" s="49" t="s">
        <v>23</v>
      </c>
      <c r="M3310" s="36">
        <f t="shared" si="33"/>
        <v>45876.46555</v>
      </c>
      <c r="N3310" s="30" t="str">
        <f t="shared" si="34"/>
        <v>Selesai</v>
      </c>
      <c r="O3310" s="45">
        <f t="shared" si="23"/>
        <v>45876.46555</v>
      </c>
      <c r="P3310" s="47" t="b">
        <v>0</v>
      </c>
      <c r="Q3310" s="36" t="str">
        <f t="shared" si="35"/>
        <v/>
      </c>
      <c r="R3310" s="47" t="b">
        <v>0</v>
      </c>
      <c r="S3310" s="42" t="str">
        <f t="shared" si="28"/>
        <v/>
      </c>
      <c r="T3310" s="42"/>
    </row>
    <row r="3311" ht="22.5" customHeight="1">
      <c r="B3311" s="42">
        <f t="shared" si="7"/>
        <v>3305</v>
      </c>
      <c r="C3311" s="31" t="s">
        <v>3370</v>
      </c>
      <c r="D3311" s="34" t="str">
        <f t="array" ref="D3311">IFNA(_xlfn.XLOOKUP(C3311,Table_Tarikan_Warkah[Nomor Sertipikat],Table_Tarikan_Warkah[Nomor Tiket]),"")</f>
        <v>K/9/220725/1</v>
      </c>
      <c r="E3311" s="36">
        <f t="array" ref="E3311">IFNA(_xlfn.XLOOKUP(D3311,Table_Tarikan_Warkah[Nomor Tiket],Table_Tarikan_Warkah[Tanggal diserahkan kepada Validator]),"")</f>
        <v>45880.7154</v>
      </c>
      <c r="F3311" s="36" t="str">
        <f t="array" ref="F3311">IFNA(_xlfn.XLOOKUP(D3311,Table_Tarikan_Warkah[Nomor Tiket],Table_Tarikan_Warkah[Nama Petugas Warkah]),"")</f>
        <v>David</v>
      </c>
      <c r="G3311" s="39" t="str">
        <f t="array" ref="G3311">IFNA(_xlfn.XLOOKUP(D3311,Table_Tarikan_Warkah[Nomor Tiket],Table_Tarikan_Warkah[Jenis Permohonan]),"")</f>
        <v>BN Jual Beli</v>
      </c>
      <c r="H3311" s="41" t="s">
        <v>2315</v>
      </c>
      <c r="I3311" s="49" t="s">
        <v>23</v>
      </c>
      <c r="J3311" s="36">
        <f t="shared" si="20"/>
        <v>45876.36577</v>
      </c>
      <c r="K3311" s="49" t="s">
        <v>2378</v>
      </c>
      <c r="L3311" s="49" t="s">
        <v>23</v>
      </c>
      <c r="M3311" s="36">
        <f t="shared" si="33"/>
        <v>45876.46545</v>
      </c>
      <c r="N3311" s="30" t="str">
        <f t="shared" si="34"/>
        <v>Selesai</v>
      </c>
      <c r="O3311" s="45">
        <f t="shared" si="23"/>
        <v>45876.46545</v>
      </c>
      <c r="P3311" s="47" t="b">
        <v>0</v>
      </c>
      <c r="Q3311" s="36" t="str">
        <f t="shared" si="35"/>
        <v/>
      </c>
      <c r="R3311" s="47" t="b">
        <v>0</v>
      </c>
      <c r="S3311" s="42" t="str">
        <f t="shared" si="28"/>
        <v/>
      </c>
      <c r="T3311" s="42"/>
    </row>
    <row r="3312" ht="22.5" customHeight="1">
      <c r="B3312" s="42">
        <f t="shared" si="7"/>
        <v>3306</v>
      </c>
      <c r="C3312" s="31" t="s">
        <v>3371</v>
      </c>
      <c r="D3312" s="34" t="str">
        <f t="array" ref="D3312">IFNA(_xlfn.XLOOKUP(C3312,Table_Tarikan_Warkah[Nomor Sertipikat],Table_Tarikan_Warkah[Nomor Tiket]),"")</f>
        <v>K/13/240725/1</v>
      </c>
      <c r="E3312" s="36">
        <f t="array" ref="E3312">IFNA(_xlfn.XLOOKUP(D3312,Table_Tarikan_Warkah[Nomor Tiket],Table_Tarikan_Warkah[Tanggal diserahkan kepada Validator]),"")</f>
        <v>45880.7154</v>
      </c>
      <c r="F3312" s="36" t="str">
        <f t="array" ref="F3312">IFNA(_xlfn.XLOOKUP(D3312,Table_Tarikan_Warkah[Nomor Tiket],Table_Tarikan_Warkah[Nama Petugas Warkah]),"")</f>
        <v>David</v>
      </c>
      <c r="G3312" s="39" t="str">
        <f t="array" ref="G3312">IFNA(_xlfn.XLOOKUP(D3312,Table_Tarikan_Warkah[Nomor Tiket],Table_Tarikan_Warkah[Jenis Permohonan]),"")</f>
        <v>BN Jual Beli</v>
      </c>
      <c r="H3312" s="41" t="s">
        <v>2315</v>
      </c>
      <c r="I3312" s="49" t="s">
        <v>23</v>
      </c>
      <c r="J3312" s="36">
        <f t="shared" si="20"/>
        <v>45876.36609</v>
      </c>
      <c r="K3312" s="49" t="s">
        <v>2378</v>
      </c>
      <c r="L3312" s="49" t="s">
        <v>23</v>
      </c>
      <c r="M3312" s="36">
        <f t="shared" si="33"/>
        <v>45876.46534</v>
      </c>
      <c r="N3312" s="30" t="str">
        <f t="shared" si="34"/>
        <v>Selesai</v>
      </c>
      <c r="O3312" s="45">
        <f t="shared" si="23"/>
        <v>45876.46534</v>
      </c>
      <c r="P3312" s="47" t="b">
        <v>0</v>
      </c>
      <c r="Q3312" s="36" t="str">
        <f t="shared" si="35"/>
        <v/>
      </c>
      <c r="R3312" s="47" t="b">
        <v>0</v>
      </c>
      <c r="S3312" s="42" t="str">
        <f t="shared" si="28"/>
        <v/>
      </c>
      <c r="T3312" s="42"/>
    </row>
    <row r="3313" ht="22.5" customHeight="1">
      <c r="B3313" s="42">
        <f t="shared" si="7"/>
        <v>3307</v>
      </c>
      <c r="C3313" s="31" t="s">
        <v>3372</v>
      </c>
      <c r="D3313" s="34" t="str">
        <f t="array" ref="D3313">IFNA(_xlfn.XLOOKUP(C3313,Table_Tarikan_Warkah[Nomor Sertipikat],Table_Tarikan_Warkah[Nomor Tiket]),"")</f>
        <v>K/29/250725/2</v>
      </c>
      <c r="E3313" s="36">
        <f t="array" ref="E3313">IFNA(_xlfn.XLOOKUP(D3313,Table_Tarikan_Warkah[Nomor Tiket],Table_Tarikan_Warkah[Tanggal diserahkan kepada Validator]),"")</f>
        <v>45880.71698</v>
      </c>
      <c r="F3313" s="36" t="str">
        <f t="array" ref="F3313">IFNA(_xlfn.XLOOKUP(D3313,Table_Tarikan_Warkah[Nomor Tiket],Table_Tarikan_Warkah[Nama Petugas Warkah]),"")</f>
        <v>Berry</v>
      </c>
      <c r="G3313" s="39" t="str">
        <f t="array" ref="G3313">IFNA(_xlfn.XLOOKUP(D3313,Table_Tarikan_Warkah[Nomor Tiket],Table_Tarikan_Warkah[Jenis Permohonan]),"")</f>
        <v>JUAL BELI</v>
      </c>
      <c r="H3313" s="41" t="s">
        <v>2315</v>
      </c>
      <c r="I3313" s="49" t="s">
        <v>23</v>
      </c>
      <c r="J3313" s="36">
        <f t="shared" si="20"/>
        <v>45876.36631</v>
      </c>
      <c r="K3313" s="49" t="s">
        <v>2378</v>
      </c>
      <c r="L3313" s="49" t="s">
        <v>23</v>
      </c>
      <c r="M3313" s="36">
        <f t="shared" si="33"/>
        <v>45876.46524</v>
      </c>
      <c r="N3313" s="30" t="str">
        <f t="shared" si="34"/>
        <v>Selesai</v>
      </c>
      <c r="O3313" s="45">
        <f t="shared" si="23"/>
        <v>45876.46524</v>
      </c>
      <c r="P3313" s="47" t="b">
        <v>0</v>
      </c>
      <c r="Q3313" s="36" t="str">
        <f t="shared" si="35"/>
        <v/>
      </c>
      <c r="R3313" s="47" t="b">
        <v>0</v>
      </c>
      <c r="S3313" s="42" t="str">
        <f t="shared" si="28"/>
        <v/>
      </c>
      <c r="T3313" s="42"/>
    </row>
    <row r="3314" ht="22.5" customHeight="1">
      <c r="B3314" s="42">
        <f t="shared" si="7"/>
        <v>3308</v>
      </c>
      <c r="C3314" s="31" t="s">
        <v>3373</v>
      </c>
      <c r="D3314" s="34" t="str">
        <f t="array" ref="D3314">IFNA(_xlfn.XLOOKUP(C3314,Table_Tarikan_Warkah[Nomor Sertipikat],Table_Tarikan_Warkah[Nomor Tiket]),"")</f>
        <v>L/21/050325/2</v>
      </c>
      <c r="E3314" s="36">
        <f t="array" ref="E3314">IFNA(_xlfn.XLOOKUP(D3314,Table_Tarikan_Warkah[Nomor Tiket],Table_Tarikan_Warkah[Tanggal diserahkan kepada Validator]),"")</f>
        <v>45876.61416</v>
      </c>
      <c r="F3314" s="36" t="str">
        <f t="array" ref="F3314">IFNA(_xlfn.XLOOKUP(D3314,Table_Tarikan_Warkah[Nomor Tiket],Table_Tarikan_Warkah[Nama Petugas Warkah]),"")</f>
        <v>Pras</v>
      </c>
      <c r="G3314" s="39" t="str">
        <f t="array" ref="G3314">IFNA(_xlfn.XLOOKUP(D3314,Table_Tarikan_Warkah[Nomor Tiket],Table_Tarikan_Warkah[Jenis Permohonan]),"")</f>
        <v>BN WARIS</v>
      </c>
      <c r="H3314" s="41" t="s">
        <v>920</v>
      </c>
      <c r="I3314" s="49" t="s">
        <v>23</v>
      </c>
      <c r="J3314" s="36">
        <f t="shared" si="20"/>
        <v>45876.49065</v>
      </c>
      <c r="K3314" s="49" t="s">
        <v>920</v>
      </c>
      <c r="L3314" s="49" t="s">
        <v>23</v>
      </c>
      <c r="M3314" s="36">
        <f t="shared" si="33"/>
        <v>45876.49073</v>
      </c>
      <c r="N3314" s="30" t="str">
        <f t="shared" si="34"/>
        <v>Selesai</v>
      </c>
      <c r="O3314" s="45">
        <f t="shared" si="23"/>
        <v>45876.49073</v>
      </c>
      <c r="P3314" s="47" t="b">
        <v>1</v>
      </c>
      <c r="Q3314" s="36">
        <f t="shared" si="35"/>
        <v>45876.49073</v>
      </c>
      <c r="R3314" s="47" t="b">
        <v>0</v>
      </c>
      <c r="S3314" s="42" t="str">
        <f t="shared" si="28"/>
        <v/>
      </c>
      <c r="T3314" s="42"/>
    </row>
    <row r="3315" ht="22.5" customHeight="1">
      <c r="B3315" s="42">
        <f t="shared" si="7"/>
        <v>3309</v>
      </c>
      <c r="C3315" s="31" t="s">
        <v>3374</v>
      </c>
      <c r="D3315" s="34" t="str">
        <f t="array" ref="D3315">IFNA(_xlfn.XLOOKUP(C3315,Table_Tarikan_Warkah[Nomor Sertipikat],Table_Tarikan_Warkah[Nomor Tiket]),"")</f>
        <v>L/1/290725/1</v>
      </c>
      <c r="E3315" s="36">
        <f t="array" ref="E3315">IFNA(_xlfn.XLOOKUP(D3315,Table_Tarikan_Warkah[Nomor Tiket],Table_Tarikan_Warkah[Tanggal diserahkan kepada Validator]),"")</f>
        <v>45876.61612</v>
      </c>
      <c r="F3315" s="36" t="str">
        <f t="array" ref="F3315">IFNA(_xlfn.XLOOKUP(D3315,Table_Tarikan_Warkah[Nomor Tiket],Table_Tarikan_Warkah[Nama Petugas Warkah]),"")</f>
        <v>Pras</v>
      </c>
      <c r="G3315" s="39" t="str">
        <f t="array" ref="G3315">IFNA(_xlfn.XLOOKUP(D3315,Table_Tarikan_Warkah[Nomor Tiket],Table_Tarikan_Warkah[Jenis Permohonan]),"")</f>
        <v>BN JUAL-BELI</v>
      </c>
      <c r="H3315" s="41" t="s">
        <v>920</v>
      </c>
      <c r="I3315" s="49" t="s">
        <v>23</v>
      </c>
      <c r="J3315" s="36">
        <f t="shared" si="20"/>
        <v>45876.49381</v>
      </c>
      <c r="K3315" s="49" t="s">
        <v>920</v>
      </c>
      <c r="L3315" s="49" t="s">
        <v>23</v>
      </c>
      <c r="M3315" s="36">
        <f t="shared" si="33"/>
        <v>45876.49381</v>
      </c>
      <c r="N3315" s="30" t="str">
        <f t="shared" si="34"/>
        <v>Selesai</v>
      </c>
      <c r="O3315" s="45">
        <f t="shared" si="23"/>
        <v>45876.49381</v>
      </c>
      <c r="P3315" s="47" t="b">
        <v>1</v>
      </c>
      <c r="Q3315" s="36">
        <f t="shared" si="35"/>
        <v>45876.49388</v>
      </c>
      <c r="R3315" s="47" t="b">
        <v>0</v>
      </c>
      <c r="S3315" s="42" t="str">
        <f t="shared" si="28"/>
        <v/>
      </c>
      <c r="T3315" s="42"/>
    </row>
    <row r="3316" ht="22.5" customHeight="1">
      <c r="B3316" s="42">
        <f t="shared" si="7"/>
        <v>3310</v>
      </c>
      <c r="C3316" s="31" t="s">
        <v>3375</v>
      </c>
      <c r="D3316" s="34" t="str">
        <f t="array" ref="D3316">IFNA(_xlfn.XLOOKUP(C3316,Table_Tarikan_Warkah[Nomor Sertipikat],Table_Tarikan_Warkah[Nomor Tiket]),"")</f>
        <v>K/27/090725/1</v>
      </c>
      <c r="E3316" s="36">
        <f t="array" ref="E3316">IFNA(_xlfn.XLOOKUP(D3316,Table_Tarikan_Warkah[Nomor Tiket],Table_Tarikan_Warkah[Tanggal diserahkan kepada Validator]),"")</f>
        <v>45880.64708</v>
      </c>
      <c r="F3316" s="36" t="str">
        <f t="array" ref="F3316">IFNA(_xlfn.XLOOKUP(D3316,Table_Tarikan_Warkah[Nomor Tiket],Table_Tarikan_Warkah[Nama Petugas Warkah]),"")</f>
        <v>David</v>
      </c>
      <c r="G3316" s="39" t="str">
        <f t="array" ref="G3316">IFNA(_xlfn.XLOOKUP(D3316,Table_Tarikan_Warkah[Nomor Tiket],Table_Tarikan_Warkah[Jenis Permohonan]),"")</f>
        <v>BN Jual Beli</v>
      </c>
      <c r="H3316" s="41" t="s">
        <v>20</v>
      </c>
      <c r="I3316" s="49" t="s">
        <v>23</v>
      </c>
      <c r="J3316" s="36">
        <f t="shared" si="20"/>
        <v>45876.49421</v>
      </c>
      <c r="K3316" s="49" t="s">
        <v>2378</v>
      </c>
      <c r="L3316" s="49" t="s">
        <v>23</v>
      </c>
      <c r="M3316" s="36">
        <f t="shared" si="33"/>
        <v>45876.64158</v>
      </c>
      <c r="N3316" s="30" t="str">
        <f t="shared" si="34"/>
        <v>Selesai</v>
      </c>
      <c r="O3316" s="45">
        <f t="shared" si="23"/>
        <v>45876.64158</v>
      </c>
      <c r="P3316" s="47" t="b">
        <v>0</v>
      </c>
      <c r="Q3316" s="36" t="str">
        <f t="shared" si="35"/>
        <v/>
      </c>
      <c r="R3316" s="47" t="b">
        <v>0</v>
      </c>
      <c r="S3316" s="42" t="str">
        <f t="shared" si="28"/>
        <v/>
      </c>
      <c r="T3316" s="42"/>
    </row>
    <row r="3317" ht="22.5" customHeight="1">
      <c r="B3317" s="42">
        <f t="shared" si="7"/>
        <v>3311</v>
      </c>
      <c r="C3317" s="31" t="s">
        <v>3376</v>
      </c>
      <c r="D3317" s="34" t="str">
        <f t="array" ref="D3317">IFNA(_xlfn.XLOOKUP(C3317,Table_Tarikan_Warkah[Nomor Sertipikat],Table_Tarikan_Warkah[Nomor Tiket]),"")</f>
        <v>K/25/170725/1</v>
      </c>
      <c r="E3317" s="36">
        <f t="array" ref="E3317">IFNA(_xlfn.XLOOKUP(D3317,Table_Tarikan_Warkah[Nomor Tiket],Table_Tarikan_Warkah[Tanggal diserahkan kepada Validator]),"")</f>
        <v>45863.60716</v>
      </c>
      <c r="F3317" s="36" t="str">
        <f t="array" ref="F3317">IFNA(_xlfn.XLOOKUP(D3317,Table_Tarikan_Warkah[Nomor Tiket],Table_Tarikan_Warkah[Nama Petugas Warkah]),"")</f>
        <v>David</v>
      </c>
      <c r="G3317" s="39" t="str">
        <f t="array" ref="G3317">IFNA(_xlfn.XLOOKUP(D3317,Table_Tarikan_Warkah[Nomor Tiket],Table_Tarikan_Warkah[Jenis Permohonan]),"")</f>
        <v>BN Waris</v>
      </c>
      <c r="H3317" s="41" t="s">
        <v>20</v>
      </c>
      <c r="I3317" s="49" t="s">
        <v>23</v>
      </c>
      <c r="J3317" s="36">
        <f t="shared" si="20"/>
        <v>45876.49482</v>
      </c>
      <c r="K3317" s="49" t="s">
        <v>2378</v>
      </c>
      <c r="L3317" s="49" t="s">
        <v>23</v>
      </c>
      <c r="M3317" s="36">
        <f t="shared" si="33"/>
        <v>45876.64162</v>
      </c>
      <c r="N3317" s="30" t="str">
        <f t="shared" si="34"/>
        <v>Selesai</v>
      </c>
      <c r="O3317" s="45">
        <f t="shared" si="23"/>
        <v>45876.64162</v>
      </c>
      <c r="P3317" s="47" t="b">
        <v>0</v>
      </c>
      <c r="Q3317" s="36" t="str">
        <f t="shared" si="35"/>
        <v/>
      </c>
      <c r="R3317" s="47" t="b">
        <v>0</v>
      </c>
      <c r="S3317" s="42" t="str">
        <f t="shared" si="28"/>
        <v/>
      </c>
      <c r="T3317" s="42"/>
    </row>
    <row r="3318" ht="22.5" customHeight="1">
      <c r="B3318" s="42">
        <f t="shared" si="7"/>
        <v>3312</v>
      </c>
      <c r="C3318" s="31" t="s">
        <v>3377</v>
      </c>
      <c r="D3318" s="34" t="str">
        <f t="array" ref="D3318">IFNA(_xlfn.XLOOKUP(C3318,Table_Tarikan_Warkah[Nomor Sertipikat],Table_Tarikan_Warkah[Nomor Tiket]),"")</f>
        <v>K/12/310725/1</v>
      </c>
      <c r="E3318" s="36">
        <f t="array" ref="E3318">IFNA(_xlfn.XLOOKUP(D3318,Table_Tarikan_Warkah[Nomor Tiket],Table_Tarikan_Warkah[Tanggal diserahkan kepada Validator]),"")</f>
        <v>45880.71897</v>
      </c>
      <c r="F3318" s="36" t="str">
        <f t="array" ref="F3318">IFNA(_xlfn.XLOOKUP(D3318,Table_Tarikan_Warkah[Nomor Tiket],Table_Tarikan_Warkah[Nama Petugas Warkah]),"")</f>
        <v>Berry</v>
      </c>
      <c r="G3318" s="39" t="str">
        <f t="array" ref="G3318">IFNA(_xlfn.XLOOKUP(D3318,Table_Tarikan_Warkah[Nomor Tiket],Table_Tarikan_Warkah[Jenis Permohonan]),"")</f>
        <v>BN PHB</v>
      </c>
      <c r="H3318" s="41" t="s">
        <v>20</v>
      </c>
      <c r="I3318" s="49" t="s">
        <v>23</v>
      </c>
      <c r="J3318" s="36">
        <f t="shared" si="20"/>
        <v>45876.49495</v>
      </c>
      <c r="K3318" s="49" t="s">
        <v>2378</v>
      </c>
      <c r="L3318" s="49" t="s">
        <v>23</v>
      </c>
      <c r="M3318" s="36">
        <f t="shared" si="33"/>
        <v>45876.64162</v>
      </c>
      <c r="N3318" s="30" t="str">
        <f t="shared" si="34"/>
        <v>Selesai</v>
      </c>
      <c r="O3318" s="45">
        <f t="shared" si="23"/>
        <v>45876.64162</v>
      </c>
      <c r="P3318" s="47" t="b">
        <v>0</v>
      </c>
      <c r="Q3318" s="36" t="str">
        <f t="shared" si="35"/>
        <v/>
      </c>
      <c r="R3318" s="47" t="b">
        <v>0</v>
      </c>
      <c r="S3318" s="42" t="str">
        <f t="shared" si="28"/>
        <v/>
      </c>
      <c r="T3318" s="42"/>
    </row>
    <row r="3319" ht="22.5" customHeight="1">
      <c r="B3319" s="42">
        <f t="shared" si="7"/>
        <v>3313</v>
      </c>
      <c r="C3319" s="31" t="s">
        <v>3378</v>
      </c>
      <c r="D3319" s="34" t="str">
        <f t="array" ref="D3319">IFNA(_xlfn.XLOOKUP(C3319,Table_Tarikan_Warkah[Nomor Sertipikat],Table_Tarikan_Warkah[Nomor Tiket]),"")</f>
        <v>K/4/240725/1</v>
      </c>
      <c r="E3319" s="36">
        <f t="array" ref="E3319">IFNA(_xlfn.XLOOKUP(D3319,Table_Tarikan_Warkah[Nomor Tiket],Table_Tarikan_Warkah[Tanggal diserahkan kepada Validator]),"")</f>
        <v>45880.71925</v>
      </c>
      <c r="F3319" s="36" t="str">
        <f t="array" ref="F3319">IFNA(_xlfn.XLOOKUP(D3319,Table_Tarikan_Warkah[Nomor Tiket],Table_Tarikan_Warkah[Nama Petugas Warkah]),"")</f>
        <v>Berry</v>
      </c>
      <c r="G3319" s="39" t="str">
        <f t="array" ref="G3319">IFNA(_xlfn.XLOOKUP(D3319,Table_Tarikan_Warkah[Nomor Tiket],Table_Tarikan_Warkah[Jenis Permohonan]),"")</f>
        <v>MEGA PUTERI</v>
      </c>
      <c r="H3319" s="41" t="s">
        <v>20</v>
      </c>
      <c r="I3319" s="49" t="s">
        <v>23</v>
      </c>
      <c r="J3319" s="36">
        <f t="shared" si="20"/>
        <v>45876.49508</v>
      </c>
      <c r="K3319" s="49" t="s">
        <v>2378</v>
      </c>
      <c r="L3319" s="49" t="s">
        <v>23</v>
      </c>
      <c r="M3319" s="36">
        <f t="shared" si="33"/>
        <v>45876.64162</v>
      </c>
      <c r="N3319" s="30" t="str">
        <f t="shared" si="34"/>
        <v>Selesai</v>
      </c>
      <c r="O3319" s="45">
        <f t="shared" si="23"/>
        <v>45876.64162</v>
      </c>
      <c r="P3319" s="47" t="b">
        <v>0</v>
      </c>
      <c r="Q3319" s="36" t="str">
        <f t="shared" si="35"/>
        <v/>
      </c>
      <c r="R3319" s="47" t="b">
        <v>0</v>
      </c>
      <c r="S3319" s="42" t="str">
        <f t="shared" si="28"/>
        <v/>
      </c>
      <c r="T3319" s="42"/>
    </row>
    <row r="3320" ht="22.5" customHeight="1">
      <c r="B3320" s="42">
        <f t="shared" si="7"/>
        <v>3314</v>
      </c>
      <c r="C3320" s="31" t="s">
        <v>3379</v>
      </c>
      <c r="D3320" s="34" t="str">
        <f t="array" ref="D3320">IFNA(_xlfn.XLOOKUP(C3320,Table_Tarikan_Warkah[Nomor Sertipikat],Table_Tarikan_Warkah[Nomor Tiket]),"")</f>
        <v>K/17/110725/1</v>
      </c>
      <c r="E3320" s="36">
        <f t="array" ref="E3320">IFNA(_xlfn.XLOOKUP(D3320,Table_Tarikan_Warkah[Nomor Tiket],Table_Tarikan_Warkah[Tanggal diserahkan kepada Validator]),"")</f>
        <v>45880.7195</v>
      </c>
      <c r="F3320" s="36" t="str">
        <f t="array" ref="F3320">IFNA(_xlfn.XLOOKUP(D3320,Table_Tarikan_Warkah[Nomor Tiket],Table_Tarikan_Warkah[Nama Petugas Warkah]),"")</f>
        <v>Berry</v>
      </c>
      <c r="G3320" s="39" t="str">
        <f t="array" ref="G3320">IFNA(_xlfn.XLOOKUP(D3320,Table_Tarikan_Warkah[Nomor Tiket],Table_Tarikan_Warkah[Jenis Permohonan]),"")</f>
        <v>BN JUAL BELI</v>
      </c>
      <c r="H3320" s="41" t="s">
        <v>20</v>
      </c>
      <c r="I3320" s="49" t="s">
        <v>23</v>
      </c>
      <c r="J3320" s="36">
        <f t="shared" si="20"/>
        <v>45876.49523</v>
      </c>
      <c r="K3320" s="49" t="s">
        <v>2378</v>
      </c>
      <c r="L3320" s="49" t="s">
        <v>23</v>
      </c>
      <c r="M3320" s="36">
        <f t="shared" si="33"/>
        <v>45876.64162</v>
      </c>
      <c r="N3320" s="30" t="str">
        <f t="shared" si="34"/>
        <v>Selesai</v>
      </c>
      <c r="O3320" s="45">
        <f t="shared" si="23"/>
        <v>45876.64162</v>
      </c>
      <c r="P3320" s="47" t="b">
        <v>0</v>
      </c>
      <c r="Q3320" s="36" t="str">
        <f t="shared" si="35"/>
        <v/>
      </c>
      <c r="R3320" s="47" t="b">
        <v>0</v>
      </c>
      <c r="S3320" s="42" t="str">
        <f t="shared" si="28"/>
        <v/>
      </c>
      <c r="T3320" s="42"/>
    </row>
    <row r="3321" ht="22.5" customHeight="1">
      <c r="B3321" s="42">
        <f t="shared" si="7"/>
        <v>3315</v>
      </c>
      <c r="C3321" s="31" t="s">
        <v>3380</v>
      </c>
      <c r="D3321" s="34" t="str">
        <f t="array" ref="D3321">IFNA(_xlfn.XLOOKUP(C3321,Table_Tarikan_Warkah[Nomor Sertipikat],Table_Tarikan_Warkah[Nomor Tiket]),"")</f>
        <v>K/24/010825/1</v>
      </c>
      <c r="E3321" s="36">
        <f t="array" ref="E3321">IFNA(_xlfn.XLOOKUP(D3321,Table_Tarikan_Warkah[Nomor Tiket],Table_Tarikan_Warkah[Tanggal diserahkan kepada Validator]),"")</f>
        <v>45880.7154</v>
      </c>
      <c r="F3321" s="36" t="str">
        <f t="array" ref="F3321">IFNA(_xlfn.XLOOKUP(D3321,Table_Tarikan_Warkah[Nomor Tiket],Table_Tarikan_Warkah[Nama Petugas Warkah]),"")</f>
        <v>Berry</v>
      </c>
      <c r="G3321" s="39" t="str">
        <f t="array" ref="G3321">IFNA(_xlfn.XLOOKUP(D3321,Table_Tarikan_Warkah[Nomor Tiket],Table_Tarikan_Warkah[Jenis Permohonan]),"")</f>
        <v>BN JUAL BELI</v>
      </c>
      <c r="H3321" s="41" t="s">
        <v>20</v>
      </c>
      <c r="I3321" s="49" t="s">
        <v>23</v>
      </c>
      <c r="J3321" s="36">
        <f t="shared" si="20"/>
        <v>45876.49533</v>
      </c>
      <c r="K3321" s="49" t="s">
        <v>2378</v>
      </c>
      <c r="L3321" s="49" t="s">
        <v>23</v>
      </c>
      <c r="M3321" s="36">
        <f t="shared" si="33"/>
        <v>45876.64162</v>
      </c>
      <c r="N3321" s="30" t="str">
        <f t="shared" si="34"/>
        <v>Selesai</v>
      </c>
      <c r="O3321" s="45">
        <f t="shared" si="23"/>
        <v>45876.64162</v>
      </c>
      <c r="P3321" s="47" t="b">
        <v>0</v>
      </c>
      <c r="Q3321" s="36" t="str">
        <f t="shared" si="35"/>
        <v/>
      </c>
      <c r="R3321" s="47" t="b">
        <v>0</v>
      </c>
      <c r="S3321" s="42" t="str">
        <f t="shared" si="28"/>
        <v/>
      </c>
      <c r="T3321" s="42"/>
    </row>
    <row r="3322" ht="22.5" customHeight="1">
      <c r="B3322" s="42">
        <f t="shared" si="7"/>
        <v>3316</v>
      </c>
      <c r="C3322" s="31" t="s">
        <v>3381</v>
      </c>
      <c r="D3322" s="34" t="str">
        <f t="array" ref="D3322">IFNA(_xlfn.XLOOKUP(C3322,Table_Tarikan_Warkah[Nomor Sertipikat],Table_Tarikan_Warkah[Nomor Tiket]),"")</f>
        <v>K/9/070725/2</v>
      </c>
      <c r="E3322" s="36">
        <f t="array" ref="E3322">IFNA(_xlfn.XLOOKUP(D3322,Table_Tarikan_Warkah[Nomor Tiket],Table_Tarikan_Warkah[Tanggal diserahkan kepada Validator]),"")</f>
        <v>45880.71872</v>
      </c>
      <c r="F3322" s="36" t="str">
        <f t="array" ref="F3322">IFNA(_xlfn.XLOOKUP(D3322,Table_Tarikan_Warkah[Nomor Tiket],Table_Tarikan_Warkah[Nama Petugas Warkah]),"")</f>
        <v>Berry</v>
      </c>
      <c r="G3322" s="39" t="str">
        <f t="array" ref="G3322">IFNA(_xlfn.XLOOKUP(D3322,Table_Tarikan_Warkah[Nomor Tiket],Table_Tarikan_Warkah[Jenis Permohonan]),"")</f>
        <v>BN PHB</v>
      </c>
      <c r="H3322" s="41" t="s">
        <v>20</v>
      </c>
      <c r="I3322" s="49" t="s">
        <v>23</v>
      </c>
      <c r="J3322" s="36">
        <f t="shared" si="20"/>
        <v>45876.49555</v>
      </c>
      <c r="K3322" s="49" t="s">
        <v>2378</v>
      </c>
      <c r="L3322" s="49" t="s">
        <v>23</v>
      </c>
      <c r="M3322" s="36">
        <f t="shared" si="33"/>
        <v>45876.64162</v>
      </c>
      <c r="N3322" s="30" t="str">
        <f t="shared" si="34"/>
        <v>Selesai</v>
      </c>
      <c r="O3322" s="45">
        <f t="shared" si="23"/>
        <v>45876.64162</v>
      </c>
      <c r="P3322" s="47" t="b">
        <v>0</v>
      </c>
      <c r="Q3322" s="36" t="str">
        <f t="shared" si="35"/>
        <v/>
      </c>
      <c r="R3322" s="47" t="b">
        <v>0</v>
      </c>
      <c r="S3322" s="42" t="str">
        <f t="shared" si="28"/>
        <v/>
      </c>
      <c r="T3322" s="42"/>
    </row>
    <row r="3323" ht="22.5" customHeight="1">
      <c r="B3323" s="42">
        <f t="shared" si="7"/>
        <v>3317</v>
      </c>
      <c r="C3323" s="31" t="s">
        <v>3382</v>
      </c>
      <c r="D3323" s="34" t="str">
        <f t="array" ref="D3323">IFNA(_xlfn.XLOOKUP(C3323,Table_Tarikan_Warkah[Nomor Sertipikat],Table_Tarikan_Warkah[Nomor Tiket]),"")</f>
        <v>K/17/310725/2</v>
      </c>
      <c r="E3323" s="36">
        <f t="array" ref="E3323">IFNA(_xlfn.XLOOKUP(D3323,Table_Tarikan_Warkah[Nomor Tiket],Table_Tarikan_Warkah[Tanggal diserahkan kepada Validator]),"")</f>
        <v>45880.7154</v>
      </c>
      <c r="F3323" s="36" t="str">
        <f t="array" ref="F3323">IFNA(_xlfn.XLOOKUP(D3323,Table_Tarikan_Warkah[Nomor Tiket],Table_Tarikan_Warkah[Nama Petugas Warkah]),"")</f>
        <v>Berry</v>
      </c>
      <c r="G3323" s="39" t="str">
        <f t="array" ref="G3323">IFNA(_xlfn.XLOOKUP(D3323,Table_Tarikan_Warkah[Nomor Tiket],Table_Tarikan_Warkah[Jenis Permohonan]),"")</f>
        <v>BN JUAL BELI</v>
      </c>
      <c r="H3323" s="41" t="s">
        <v>20</v>
      </c>
      <c r="I3323" s="49" t="s">
        <v>23</v>
      </c>
      <c r="J3323" s="36">
        <f t="shared" si="20"/>
        <v>45876.49556</v>
      </c>
      <c r="K3323" s="49" t="s">
        <v>2378</v>
      </c>
      <c r="L3323" s="49" t="s">
        <v>23</v>
      </c>
      <c r="M3323" s="36">
        <f t="shared" si="33"/>
        <v>45876.64162</v>
      </c>
      <c r="N3323" s="30" t="str">
        <f t="shared" si="34"/>
        <v>Selesai</v>
      </c>
      <c r="O3323" s="45">
        <f t="shared" si="23"/>
        <v>45876.64162</v>
      </c>
      <c r="P3323" s="47" t="b">
        <v>0</v>
      </c>
      <c r="Q3323" s="36" t="str">
        <f t="shared" si="35"/>
        <v/>
      </c>
      <c r="R3323" s="47" t="b">
        <v>0</v>
      </c>
      <c r="S3323" s="42" t="str">
        <f t="shared" si="28"/>
        <v/>
      </c>
      <c r="T3323" s="42"/>
    </row>
    <row r="3324" ht="22.5" customHeight="1">
      <c r="B3324" s="42">
        <f t="shared" si="7"/>
        <v>3318</v>
      </c>
      <c r="C3324" s="31" t="s">
        <v>3383</v>
      </c>
      <c r="D3324" s="34" t="str">
        <f t="array" ref="D3324">IFNA(_xlfn.XLOOKUP(C3324,Table_Tarikan_Warkah[Nomor Sertipikat],Table_Tarikan_Warkah[Nomor Tiket]),"")</f>
        <v>K/16/310725/1</v>
      </c>
      <c r="E3324" s="36">
        <f t="array" ref="E3324">IFNA(_xlfn.XLOOKUP(D3324,Table_Tarikan_Warkah[Nomor Tiket],Table_Tarikan_Warkah[Tanggal diserahkan kepada Validator]),"")</f>
        <v>45880.71584</v>
      </c>
      <c r="F3324" s="36" t="str">
        <f t="array" ref="F3324">IFNA(_xlfn.XLOOKUP(D3324,Table_Tarikan_Warkah[Nomor Tiket],Table_Tarikan_Warkah[Nama Petugas Warkah]),"")</f>
        <v>Berry</v>
      </c>
      <c r="G3324" s="39" t="str">
        <f t="array" ref="G3324">IFNA(_xlfn.XLOOKUP(D3324,Table_Tarikan_Warkah[Nomor Tiket],Table_Tarikan_Warkah[Jenis Permohonan]),"")</f>
        <v>BN JUAL BELI</v>
      </c>
      <c r="H3324" s="41" t="s">
        <v>20</v>
      </c>
      <c r="I3324" s="49" t="s">
        <v>23</v>
      </c>
      <c r="J3324" s="36">
        <f t="shared" si="20"/>
        <v>45876.4958</v>
      </c>
      <c r="K3324" s="49" t="s">
        <v>2378</v>
      </c>
      <c r="L3324" s="49" t="s">
        <v>23</v>
      </c>
      <c r="M3324" s="36">
        <f t="shared" si="33"/>
        <v>45876.64162</v>
      </c>
      <c r="N3324" s="30" t="str">
        <f t="shared" si="34"/>
        <v>Selesai</v>
      </c>
      <c r="O3324" s="45">
        <f t="shared" si="23"/>
        <v>45876.64162</v>
      </c>
      <c r="P3324" s="47" t="b">
        <v>0</v>
      </c>
      <c r="Q3324" s="36" t="str">
        <f t="shared" si="35"/>
        <v/>
      </c>
      <c r="R3324" s="47" t="b">
        <v>0</v>
      </c>
      <c r="S3324" s="42" t="str">
        <f t="shared" si="28"/>
        <v/>
      </c>
      <c r="T3324" s="42"/>
    </row>
    <row r="3325" ht="22.5" customHeight="1">
      <c r="B3325" s="42">
        <f t="shared" si="7"/>
        <v>3319</v>
      </c>
      <c r="C3325" s="31" t="s">
        <v>3384</v>
      </c>
      <c r="D3325" s="34" t="str">
        <f t="array" ref="D3325">IFNA(_xlfn.XLOOKUP(C3325,Table_Tarikan_Warkah[Nomor Sertipikat],Table_Tarikan_Warkah[Nomor Tiket]),"")</f>
        <v>K/25/010825/2</v>
      </c>
      <c r="E3325" s="36">
        <f t="array" ref="E3325">IFNA(_xlfn.XLOOKUP(D3325,Table_Tarikan_Warkah[Nomor Tiket],Table_Tarikan_Warkah[Tanggal diserahkan kepada Validator]),"")</f>
        <v>45880.71632</v>
      </c>
      <c r="F3325" s="36" t="str">
        <f t="array" ref="F3325">IFNA(_xlfn.XLOOKUP(D3325,Table_Tarikan_Warkah[Nomor Tiket],Table_Tarikan_Warkah[Nama Petugas Warkah]),"")</f>
        <v>Berry</v>
      </c>
      <c r="G3325" s="39" t="str">
        <f t="array" ref="G3325">IFNA(_xlfn.XLOOKUP(D3325,Table_Tarikan_Warkah[Nomor Tiket],Table_Tarikan_Warkah[Jenis Permohonan]),"")</f>
        <v>BN JUAL BELI</v>
      </c>
      <c r="H3325" s="41" t="s">
        <v>20</v>
      </c>
      <c r="I3325" s="49" t="s">
        <v>23</v>
      </c>
      <c r="J3325" s="36">
        <f t="shared" si="20"/>
        <v>45876.49596</v>
      </c>
      <c r="K3325" s="49" t="s">
        <v>2378</v>
      </c>
      <c r="L3325" s="49" t="s">
        <v>23</v>
      </c>
      <c r="M3325" s="36">
        <f t="shared" si="33"/>
        <v>45876.64162</v>
      </c>
      <c r="N3325" s="30" t="str">
        <f t="shared" si="34"/>
        <v>Selesai</v>
      </c>
      <c r="O3325" s="45">
        <f t="shared" si="23"/>
        <v>45876.64162</v>
      </c>
      <c r="P3325" s="47" t="b">
        <v>0</v>
      </c>
      <c r="Q3325" s="36" t="str">
        <f t="shared" si="35"/>
        <v/>
      </c>
      <c r="R3325" s="47" t="b">
        <v>0</v>
      </c>
      <c r="S3325" s="42" t="str">
        <f t="shared" si="28"/>
        <v/>
      </c>
      <c r="T3325" s="42"/>
    </row>
    <row r="3326" ht="22.5" customHeight="1">
      <c r="B3326" s="42">
        <f t="shared" si="7"/>
        <v>3320</v>
      </c>
      <c r="C3326" s="31" t="s">
        <v>3385</v>
      </c>
      <c r="D3326" s="34" t="str">
        <f t="array" ref="D3326">IFNA(_xlfn.XLOOKUP(C3326,Table_Tarikan_Warkah[Nomor Sertipikat],Table_Tarikan_Warkah[Nomor Tiket]),"")</f>
        <v>K/23/070725/1</v>
      </c>
      <c r="E3326" s="36">
        <f t="array" ref="E3326">IFNA(_xlfn.XLOOKUP(D3326,Table_Tarikan_Warkah[Nomor Tiket],Table_Tarikan_Warkah[Tanggal diserahkan kepada Validator]),"")</f>
        <v>45880.71612</v>
      </c>
      <c r="F3326" s="36" t="str">
        <f t="array" ref="F3326">IFNA(_xlfn.XLOOKUP(D3326,Table_Tarikan_Warkah[Nomor Tiket],Table_Tarikan_Warkah[Nama Petugas Warkah]),"")</f>
        <v>Berry</v>
      </c>
      <c r="G3326" s="39" t="str">
        <f t="array" ref="G3326">IFNA(_xlfn.XLOOKUP(D3326,Table_Tarikan_Warkah[Nomor Tiket],Table_Tarikan_Warkah[Jenis Permohonan]),"")</f>
        <v>BN WARIS</v>
      </c>
      <c r="H3326" s="41" t="s">
        <v>20</v>
      </c>
      <c r="I3326" s="49" t="s">
        <v>23</v>
      </c>
      <c r="J3326" s="36">
        <f t="shared" si="20"/>
        <v>45876.49611</v>
      </c>
      <c r="K3326" s="49" t="s">
        <v>2378</v>
      </c>
      <c r="L3326" s="49" t="s">
        <v>23</v>
      </c>
      <c r="M3326" s="36">
        <f t="shared" si="33"/>
        <v>45876.64162</v>
      </c>
      <c r="N3326" s="30" t="str">
        <f t="shared" si="34"/>
        <v>Selesai</v>
      </c>
      <c r="O3326" s="45">
        <f t="shared" si="23"/>
        <v>45876.64162</v>
      </c>
      <c r="P3326" s="47" t="b">
        <v>0</v>
      </c>
      <c r="Q3326" s="36" t="str">
        <f t="shared" si="35"/>
        <v/>
      </c>
      <c r="R3326" s="47" t="b">
        <v>0</v>
      </c>
      <c r="S3326" s="42" t="str">
        <f t="shared" si="28"/>
        <v/>
      </c>
      <c r="T3326" s="42"/>
    </row>
    <row r="3327" ht="22.5" customHeight="1">
      <c r="B3327" s="42">
        <f t="shared" si="7"/>
        <v>3321</v>
      </c>
      <c r="C3327" s="31" t="s">
        <v>3386</v>
      </c>
      <c r="D3327" s="34" t="str">
        <f t="array" ref="D3327">IFNA(_xlfn.XLOOKUP(C3327,Table_Tarikan_Warkah[Nomor Sertipikat],Table_Tarikan_Warkah[Nomor Tiket]),"")</f>
        <v>K/17/290725/1</v>
      </c>
      <c r="E3327" s="36">
        <f t="array" ref="E3327">IFNA(_xlfn.XLOOKUP(D3327,Table_Tarikan_Warkah[Nomor Tiket],Table_Tarikan_Warkah[Tanggal diserahkan kepada Validator]),"")</f>
        <v>45880.7154</v>
      </c>
      <c r="F3327" s="36" t="str">
        <f t="array" ref="F3327">IFNA(_xlfn.XLOOKUP(D3327,Table_Tarikan_Warkah[Nomor Tiket],Table_Tarikan_Warkah[Nama Petugas Warkah]),"")</f>
        <v>Berry</v>
      </c>
      <c r="G3327" s="39" t="str">
        <f t="array" ref="G3327">IFNA(_xlfn.XLOOKUP(D3327,Table_Tarikan_Warkah[Nomor Tiket],Table_Tarikan_Warkah[Jenis Permohonan]),"")</f>
        <v>BN HIBAH</v>
      </c>
      <c r="H3327" s="41" t="s">
        <v>20</v>
      </c>
      <c r="I3327" s="49" t="s">
        <v>23</v>
      </c>
      <c r="J3327" s="36">
        <f t="shared" si="20"/>
        <v>45876.49625</v>
      </c>
      <c r="K3327" s="49" t="s">
        <v>2378</v>
      </c>
      <c r="L3327" s="49" t="s">
        <v>23</v>
      </c>
      <c r="M3327" s="36">
        <f t="shared" si="33"/>
        <v>45876.64172</v>
      </c>
      <c r="N3327" s="30" t="str">
        <f t="shared" si="34"/>
        <v>Selesai</v>
      </c>
      <c r="O3327" s="45">
        <f t="shared" si="23"/>
        <v>45876.64172</v>
      </c>
      <c r="P3327" s="47" t="b">
        <v>0</v>
      </c>
      <c r="Q3327" s="36" t="str">
        <f t="shared" si="35"/>
        <v/>
      </c>
      <c r="R3327" s="47" t="b">
        <v>0</v>
      </c>
      <c r="S3327" s="42" t="str">
        <f t="shared" si="28"/>
        <v/>
      </c>
      <c r="T3327" s="42"/>
    </row>
    <row r="3328" ht="22.5" customHeight="1">
      <c r="B3328" s="42">
        <f t="shared" si="7"/>
        <v>3322</v>
      </c>
      <c r="C3328" s="31" t="s">
        <v>3387</v>
      </c>
      <c r="D3328" s="34" t="str">
        <f t="array" ref="D3328">IFNA(_xlfn.XLOOKUP(C3328,Table_Tarikan_Warkah[Nomor Sertipikat],Table_Tarikan_Warkah[Nomor Tiket]),"")</f>
        <v>K/19/210725/3</v>
      </c>
      <c r="E3328" s="36" t="str">
        <f t="array" ref="E3328">IFNA(_xlfn.XLOOKUP(D3328,Table_Tarikan_Warkah[Nomor Tiket],Table_Tarikan_Warkah[Tanggal diserahkan kepada Validator]),"")</f>
        <v/>
      </c>
      <c r="F3328" s="36" t="str">
        <f t="array" ref="F3328">IFNA(_xlfn.XLOOKUP(D3328,Table_Tarikan_Warkah[Nomor Tiket],Table_Tarikan_Warkah[Nama Petugas Warkah]),"")</f>
        <v/>
      </c>
      <c r="G3328" s="39" t="str">
        <f t="array" ref="G3328">IFNA(_xlfn.XLOOKUP(D3328,Table_Tarikan_Warkah[Nomor Tiket],Table_Tarikan_Warkah[Jenis Permohonan]),"")</f>
        <v>JUAL BELI</v>
      </c>
      <c r="H3328" s="41" t="s">
        <v>2315</v>
      </c>
      <c r="I3328" s="49" t="s">
        <v>23</v>
      </c>
      <c r="J3328" s="36">
        <f t="shared" si="20"/>
        <v>45877.40952</v>
      </c>
      <c r="K3328" s="49" t="s">
        <v>2378</v>
      </c>
      <c r="L3328" s="49" t="s">
        <v>23</v>
      </c>
      <c r="M3328" s="36">
        <f t="shared" si="33"/>
        <v>45877.66711</v>
      </c>
      <c r="N3328" s="30" t="str">
        <f t="shared" si="34"/>
        <v>Selesai</v>
      </c>
      <c r="O3328" s="45">
        <f t="shared" si="23"/>
        <v>45877.66711</v>
      </c>
      <c r="P3328" s="47" t="b">
        <v>0</v>
      </c>
      <c r="Q3328" s="36" t="str">
        <f t="shared" si="35"/>
        <v/>
      </c>
      <c r="R3328" s="47" t="b">
        <v>0</v>
      </c>
      <c r="S3328" s="42" t="str">
        <f t="shared" si="28"/>
        <v/>
      </c>
      <c r="T3328" s="42"/>
    </row>
    <row r="3329" ht="22.5" customHeight="1">
      <c r="B3329" s="42">
        <f t="shared" si="7"/>
        <v>3323</v>
      </c>
      <c r="C3329" s="31" t="s">
        <v>3388</v>
      </c>
      <c r="D3329" s="34" t="str">
        <f t="array" ref="D3329">IFNA(_xlfn.XLOOKUP(C3329,Table_Tarikan_Warkah[Nomor Sertipikat],Table_Tarikan_Warkah[Nomor Tiket]),"")</f>
        <v>K/35/290725/2</v>
      </c>
      <c r="E3329" s="36" t="str">
        <f t="array" ref="E3329">IFNA(_xlfn.XLOOKUP(D3329,Table_Tarikan_Warkah[Nomor Tiket],Table_Tarikan_Warkah[Tanggal diserahkan kepada Validator]),"")</f>
        <v/>
      </c>
      <c r="F3329" s="36" t="str">
        <f t="array" ref="F3329">IFNA(_xlfn.XLOOKUP(D3329,Table_Tarikan_Warkah[Nomor Tiket],Table_Tarikan_Warkah[Nama Petugas Warkah]),"")</f>
        <v/>
      </c>
      <c r="G3329" s="39" t="str">
        <f t="array" ref="G3329">IFNA(_xlfn.XLOOKUP(D3329,Table_Tarikan_Warkah[Nomor Tiket],Table_Tarikan_Warkah[Jenis Permohonan]),"")</f>
        <v>JUAL BELI</v>
      </c>
      <c r="H3329" s="41" t="s">
        <v>2315</v>
      </c>
      <c r="I3329" s="49" t="s">
        <v>23</v>
      </c>
      <c r="J3329" s="36">
        <f t="shared" si="20"/>
        <v>45877.40968</v>
      </c>
      <c r="K3329" s="49" t="s">
        <v>2378</v>
      </c>
      <c r="L3329" s="49" t="s">
        <v>23</v>
      </c>
      <c r="M3329" s="36">
        <f t="shared" si="33"/>
        <v>45877.66755</v>
      </c>
      <c r="N3329" s="30" t="str">
        <f t="shared" si="34"/>
        <v>Selesai</v>
      </c>
      <c r="O3329" s="45">
        <f t="shared" si="23"/>
        <v>45877.66755</v>
      </c>
      <c r="P3329" s="47" t="b">
        <v>0</v>
      </c>
      <c r="Q3329" s="36" t="str">
        <f t="shared" si="35"/>
        <v/>
      </c>
      <c r="R3329" s="47" t="b">
        <v>0</v>
      </c>
      <c r="S3329" s="42" t="str">
        <f t="shared" si="28"/>
        <v/>
      </c>
      <c r="T3329" s="42"/>
    </row>
    <row r="3330" ht="22.5" customHeight="1">
      <c r="B3330" s="42">
        <f t="shared" si="7"/>
        <v>3324</v>
      </c>
      <c r="C3330" s="31" t="s">
        <v>3389</v>
      </c>
      <c r="D3330" s="34" t="str">
        <f t="array" ref="D3330">IFNA(_xlfn.XLOOKUP(C3330,Table_Tarikan_Warkah[Nomor Sertipikat],Table_Tarikan_Warkah[Nomor Tiket]),"")</f>
        <v>K/24/280725/2</v>
      </c>
      <c r="E3330" s="36">
        <f t="array" ref="E3330">IFNA(_xlfn.XLOOKUP(D3330,Table_Tarikan_Warkah[Nomor Tiket],Table_Tarikan_Warkah[Tanggal diserahkan kepada Validator]),"")</f>
        <v>45891.59245</v>
      </c>
      <c r="F3330" s="36" t="str">
        <f t="array" ref="F3330">IFNA(_xlfn.XLOOKUP(D3330,Table_Tarikan_Warkah[Nomor Tiket],Table_Tarikan_Warkah[Nama Petugas Warkah]),"")</f>
        <v>Berry</v>
      </c>
      <c r="G3330" s="39" t="str">
        <f t="array" ref="G3330">IFNA(_xlfn.XLOOKUP(D3330,Table_Tarikan_Warkah[Nomor Tiket],Table_Tarikan_Warkah[Jenis Permohonan]),"")</f>
        <v>GANTI NAMA HT</v>
      </c>
      <c r="H3330" s="41" t="s">
        <v>2315</v>
      </c>
      <c r="I3330" s="49" t="s">
        <v>23</v>
      </c>
      <c r="J3330" s="36">
        <f t="shared" si="20"/>
        <v>45877.40986</v>
      </c>
      <c r="K3330" s="49" t="s">
        <v>2378</v>
      </c>
      <c r="L3330" s="49" t="s">
        <v>23</v>
      </c>
      <c r="M3330" s="36">
        <f t="shared" si="33"/>
        <v>45877.66714</v>
      </c>
      <c r="N3330" s="30" t="str">
        <f t="shared" si="34"/>
        <v>Selesai</v>
      </c>
      <c r="O3330" s="45">
        <f t="shared" si="23"/>
        <v>45877.66714</v>
      </c>
      <c r="P3330" s="47" t="b">
        <v>0</v>
      </c>
      <c r="Q3330" s="36" t="str">
        <f t="shared" si="35"/>
        <v/>
      </c>
      <c r="R3330" s="47" t="b">
        <v>0</v>
      </c>
      <c r="S3330" s="42" t="str">
        <f t="shared" si="28"/>
        <v/>
      </c>
      <c r="T3330" s="42"/>
    </row>
    <row r="3331" ht="22.5" customHeight="1">
      <c r="B3331" s="42">
        <f t="shared" si="7"/>
        <v>3325</v>
      </c>
      <c r="C3331" s="31" t="s">
        <v>3390</v>
      </c>
      <c r="D3331" s="34" t="str">
        <f t="array" ref="D3331">IFNA(_xlfn.XLOOKUP(C3331,Table_Tarikan_Warkah[Nomor Sertipikat],Table_Tarikan_Warkah[Nomor Tiket]),"")</f>
        <v>K/23/280725/1</v>
      </c>
      <c r="E3331" s="36" t="str">
        <f t="array" ref="E3331">IFNA(_xlfn.XLOOKUP(D3331,Table_Tarikan_Warkah[Nomor Tiket],Table_Tarikan_Warkah[Tanggal diserahkan kepada Validator]),"")</f>
        <v/>
      </c>
      <c r="F3331" s="36" t="str">
        <f t="array" ref="F3331">IFNA(_xlfn.XLOOKUP(D3331,Table_Tarikan_Warkah[Nomor Tiket],Table_Tarikan_Warkah[Nama Petugas Warkah]),"")</f>
        <v/>
      </c>
      <c r="G3331" s="39" t="str">
        <f t="array" ref="G3331">IFNA(_xlfn.XLOOKUP(D3331,Table_Tarikan_Warkah[Nomor Tiket],Table_Tarikan_Warkah[Jenis Permohonan]),"")</f>
        <v>JUAL BELI</v>
      </c>
      <c r="H3331" s="41" t="s">
        <v>2315</v>
      </c>
      <c r="I3331" s="49" t="s">
        <v>23</v>
      </c>
      <c r="J3331" s="36">
        <f t="shared" si="20"/>
        <v>45877.41007</v>
      </c>
      <c r="K3331" s="49" t="s">
        <v>2378</v>
      </c>
      <c r="L3331" s="49" t="s">
        <v>23</v>
      </c>
      <c r="M3331" s="36">
        <f t="shared" si="33"/>
        <v>45877.66746</v>
      </c>
      <c r="N3331" s="30" t="str">
        <f t="shared" si="34"/>
        <v>Selesai</v>
      </c>
      <c r="O3331" s="45">
        <f t="shared" si="23"/>
        <v>45877.66746</v>
      </c>
      <c r="P3331" s="47" t="b">
        <v>0</v>
      </c>
      <c r="Q3331" s="36" t="str">
        <f t="shared" si="35"/>
        <v/>
      </c>
      <c r="R3331" s="47" t="b">
        <v>0</v>
      </c>
      <c r="S3331" s="42" t="str">
        <f t="shared" si="28"/>
        <v/>
      </c>
      <c r="T3331" s="42"/>
    </row>
    <row r="3332" ht="22.5" customHeight="1">
      <c r="B3332" s="42">
        <f t="shared" si="7"/>
        <v>3326</v>
      </c>
      <c r="C3332" s="31" t="s">
        <v>3391</v>
      </c>
      <c r="D3332" s="34" t="str">
        <f t="array" ref="D3332">IFNA(_xlfn.XLOOKUP(C3332,Table_Tarikan_Warkah[Nomor Sertipikat],Table_Tarikan_Warkah[Nomor Tiket]),"")</f>
        <v>K/3/170725/1</v>
      </c>
      <c r="E3332" s="36" t="str">
        <f t="array" ref="E3332">IFNA(_xlfn.XLOOKUP(D3332,Table_Tarikan_Warkah[Nomor Tiket],Table_Tarikan_Warkah[Tanggal diserahkan kepada Validator]),"")</f>
        <v/>
      </c>
      <c r="F3332" s="36" t="str">
        <f t="array" ref="F3332">IFNA(_xlfn.XLOOKUP(D3332,Table_Tarikan_Warkah[Nomor Tiket],Table_Tarikan_Warkah[Nama Petugas Warkah]),"")</f>
        <v/>
      </c>
      <c r="G3332" s="39" t="str">
        <f t="array" ref="G3332">IFNA(_xlfn.XLOOKUP(D3332,Table_Tarikan_Warkah[Nomor Tiket],Table_Tarikan_Warkah[Jenis Permohonan]),"")</f>
        <v>KEWARISAN</v>
      </c>
      <c r="H3332" s="41" t="s">
        <v>2315</v>
      </c>
      <c r="I3332" s="49" t="s">
        <v>23</v>
      </c>
      <c r="J3332" s="36">
        <f t="shared" si="20"/>
        <v>45877.41021</v>
      </c>
      <c r="K3332" s="49" t="s">
        <v>2378</v>
      </c>
      <c r="L3332" s="49" t="s">
        <v>23</v>
      </c>
      <c r="M3332" s="36">
        <f t="shared" si="33"/>
        <v>45877.66717</v>
      </c>
      <c r="N3332" s="30" t="str">
        <f t="shared" si="34"/>
        <v>Selesai</v>
      </c>
      <c r="O3332" s="45">
        <f t="shared" si="23"/>
        <v>45877.66717</v>
      </c>
      <c r="P3332" s="47" t="b">
        <v>0</v>
      </c>
      <c r="Q3332" s="36" t="str">
        <f t="shared" si="35"/>
        <v/>
      </c>
      <c r="R3332" s="47" t="b">
        <v>0</v>
      </c>
      <c r="S3332" s="42" t="str">
        <f t="shared" si="28"/>
        <v/>
      </c>
      <c r="T3332" s="42"/>
    </row>
    <row r="3333" ht="22.5" customHeight="1">
      <c r="B3333" s="42">
        <f t="shared" si="7"/>
        <v>3327</v>
      </c>
      <c r="C3333" s="31" t="s">
        <v>3392</v>
      </c>
      <c r="D3333" s="34" t="str">
        <f t="array" ref="D3333">IFNA(_xlfn.XLOOKUP(C3333,Table_Tarikan_Warkah[Nomor Sertipikat],Table_Tarikan_Warkah[Nomor Tiket]),"")</f>
        <v>K/19/050825/1</v>
      </c>
      <c r="E3333" s="36" t="str">
        <f t="array" ref="E3333">IFNA(_xlfn.XLOOKUP(D3333,Table_Tarikan_Warkah[Nomor Tiket],Table_Tarikan_Warkah[Tanggal diserahkan kepada Validator]),"")</f>
        <v/>
      </c>
      <c r="F3333" s="36" t="str">
        <f t="array" ref="F3333">IFNA(_xlfn.XLOOKUP(D3333,Table_Tarikan_Warkah[Nomor Tiket],Table_Tarikan_Warkah[Nama Petugas Warkah]),"")</f>
        <v/>
      </c>
      <c r="G3333" s="39" t="str">
        <f t="array" ref="G3333">IFNA(_xlfn.XLOOKUP(D3333,Table_Tarikan_Warkah[Nomor Tiket],Table_Tarikan_Warkah[Jenis Permohonan]),"")</f>
        <v>ROYA</v>
      </c>
      <c r="H3333" s="41" t="s">
        <v>2315</v>
      </c>
      <c r="I3333" s="49" t="s">
        <v>23</v>
      </c>
      <c r="J3333" s="36">
        <f t="shared" si="20"/>
        <v>45877.41034</v>
      </c>
      <c r="K3333" s="49" t="s">
        <v>2378</v>
      </c>
      <c r="L3333" s="49" t="s">
        <v>23</v>
      </c>
      <c r="M3333" s="36">
        <f t="shared" si="33"/>
        <v>45877.66742</v>
      </c>
      <c r="N3333" s="30" t="str">
        <f t="shared" si="34"/>
        <v>Selesai</v>
      </c>
      <c r="O3333" s="45">
        <f t="shared" si="23"/>
        <v>45877.66742</v>
      </c>
      <c r="P3333" s="47" t="b">
        <v>0</v>
      </c>
      <c r="Q3333" s="36" t="str">
        <f t="shared" si="35"/>
        <v/>
      </c>
      <c r="R3333" s="47" t="b">
        <v>0</v>
      </c>
      <c r="S3333" s="42" t="str">
        <f t="shared" si="28"/>
        <v/>
      </c>
      <c r="T3333" s="42"/>
    </row>
    <row r="3334" ht="22.5" customHeight="1">
      <c r="B3334" s="42">
        <f t="shared" si="7"/>
        <v>3328</v>
      </c>
      <c r="C3334" s="31" t="s">
        <v>3393</v>
      </c>
      <c r="D3334" s="34" t="str">
        <f t="array" ref="D3334">IFNA(_xlfn.XLOOKUP(C3334,Table_Tarikan_Warkah[Nomor Sertipikat],Table_Tarikan_Warkah[Nomor Tiket]),"")</f>
        <v>K/15/050825/1</v>
      </c>
      <c r="E3334" s="36" t="str">
        <f t="array" ref="E3334">IFNA(_xlfn.XLOOKUP(D3334,Table_Tarikan_Warkah[Nomor Tiket],Table_Tarikan_Warkah[Tanggal diserahkan kepada Validator]),"")</f>
        <v/>
      </c>
      <c r="F3334" s="36" t="str">
        <f t="array" ref="F3334">IFNA(_xlfn.XLOOKUP(D3334,Table_Tarikan_Warkah[Nomor Tiket],Table_Tarikan_Warkah[Nama Petugas Warkah]),"")</f>
        <v/>
      </c>
      <c r="G3334" s="39" t="str">
        <f t="array" ref="G3334">IFNA(_xlfn.XLOOKUP(D3334,Table_Tarikan_Warkah[Nomor Tiket],Table_Tarikan_Warkah[Jenis Permohonan]),"")</f>
        <v>JUAL BELI</v>
      </c>
      <c r="H3334" s="41" t="s">
        <v>2315</v>
      </c>
      <c r="I3334" s="49" t="s">
        <v>23</v>
      </c>
      <c r="J3334" s="36">
        <f t="shared" si="20"/>
        <v>45877.4105</v>
      </c>
      <c r="K3334" s="49" t="s">
        <v>2378</v>
      </c>
      <c r="L3334" s="49" t="s">
        <v>23</v>
      </c>
      <c r="M3334" s="36">
        <f t="shared" si="33"/>
        <v>45880.44441</v>
      </c>
      <c r="N3334" s="30" t="str">
        <f t="shared" si="34"/>
        <v>Selesai</v>
      </c>
      <c r="O3334" s="45">
        <f t="shared" si="23"/>
        <v>45880.44441</v>
      </c>
      <c r="P3334" s="47" t="b">
        <v>0</v>
      </c>
      <c r="Q3334" s="36" t="str">
        <f t="shared" si="35"/>
        <v/>
      </c>
      <c r="R3334" s="47" t="b">
        <v>0</v>
      </c>
      <c r="S3334" s="42" t="str">
        <f t="shared" si="28"/>
        <v/>
      </c>
      <c r="T3334" s="42"/>
    </row>
    <row r="3335" ht="22.5" customHeight="1">
      <c r="B3335" s="42">
        <f t="shared" si="7"/>
        <v>3329</v>
      </c>
      <c r="C3335" s="31" t="s">
        <v>3394</v>
      </c>
      <c r="D3335" s="34" t="str">
        <f t="array" ref="D3335">IFNA(_xlfn.XLOOKUP(C3335,Table_Tarikan_Warkah[Nomor Sertipikat],Table_Tarikan_Warkah[Nomor Tiket]),"")</f>
        <v>K/42/180625/1</v>
      </c>
      <c r="E3335" s="36" t="str">
        <f t="array" ref="E3335">IFNA(_xlfn.XLOOKUP(D3335,Table_Tarikan_Warkah[Nomor Tiket],Table_Tarikan_Warkah[Tanggal diserahkan kepada Validator]),"")</f>
        <v/>
      </c>
      <c r="F3335" s="36" t="str">
        <f t="array" ref="F3335">IFNA(_xlfn.XLOOKUP(D3335,Table_Tarikan_Warkah[Nomor Tiket],Table_Tarikan_Warkah[Nama Petugas Warkah]),"")</f>
        <v/>
      </c>
      <c r="G3335" s="39" t="str">
        <f t="array" ref="G3335">IFNA(_xlfn.XLOOKUP(D3335,Table_Tarikan_Warkah[Nomor Tiket],Table_Tarikan_Warkah[Jenis Permohonan]),"")</f>
        <v>JUAL BELI</v>
      </c>
      <c r="H3335" s="41" t="s">
        <v>2315</v>
      </c>
      <c r="I3335" s="49" t="s">
        <v>23</v>
      </c>
      <c r="J3335" s="36">
        <f t="shared" si="20"/>
        <v>45877.41063</v>
      </c>
      <c r="K3335" s="49" t="s">
        <v>2378</v>
      </c>
      <c r="L3335" s="49" t="s">
        <v>23</v>
      </c>
      <c r="M3335" s="36">
        <f t="shared" si="33"/>
        <v>45877.66727</v>
      </c>
      <c r="N3335" s="30" t="str">
        <f t="shared" si="34"/>
        <v>Selesai</v>
      </c>
      <c r="O3335" s="45">
        <f t="shared" si="23"/>
        <v>45877.66727</v>
      </c>
      <c r="P3335" s="47" t="b">
        <v>0</v>
      </c>
      <c r="Q3335" s="36" t="str">
        <f t="shared" si="35"/>
        <v/>
      </c>
      <c r="R3335" s="47" t="b">
        <v>0</v>
      </c>
      <c r="S3335" s="42" t="str">
        <f t="shared" si="28"/>
        <v/>
      </c>
      <c r="T3335" s="42"/>
    </row>
    <row r="3336" ht="22.5" customHeight="1">
      <c r="B3336" s="42">
        <f t="shared" si="7"/>
        <v>3330</v>
      </c>
      <c r="C3336" s="31" t="s">
        <v>3395</v>
      </c>
      <c r="D3336" s="34" t="str">
        <f t="array" ref="D3336">IFNA(_xlfn.XLOOKUP(C3336,Table_Tarikan_Warkah[Nomor Sertipikat],Table_Tarikan_Warkah[Nomor Tiket]),"")</f>
        <v>K/37/250725/1</v>
      </c>
      <c r="E3336" s="36" t="str">
        <f t="array" ref="E3336">IFNA(_xlfn.XLOOKUP(D3336,Table_Tarikan_Warkah[Nomor Tiket],Table_Tarikan_Warkah[Tanggal diserahkan kepada Validator]),"")</f>
        <v/>
      </c>
      <c r="F3336" s="36" t="str">
        <f t="array" ref="F3336">IFNA(_xlfn.XLOOKUP(D3336,Table_Tarikan_Warkah[Nomor Tiket],Table_Tarikan_Warkah[Nama Petugas Warkah]),"")</f>
        <v/>
      </c>
      <c r="G3336" s="39" t="str">
        <f t="array" ref="G3336">IFNA(_xlfn.XLOOKUP(D3336,Table_Tarikan_Warkah[Nomor Tiket],Table_Tarikan_Warkah[Jenis Permohonan]),"")</f>
        <v>JUAL BELI</v>
      </c>
      <c r="H3336" s="41" t="s">
        <v>2315</v>
      </c>
      <c r="I3336" s="49" t="s">
        <v>23</v>
      </c>
      <c r="J3336" s="36">
        <f t="shared" si="20"/>
        <v>45877.4108</v>
      </c>
      <c r="K3336" s="49" t="s">
        <v>2378</v>
      </c>
      <c r="L3336" s="49" t="s">
        <v>23</v>
      </c>
      <c r="M3336" s="36">
        <f t="shared" si="33"/>
        <v>45877.66682</v>
      </c>
      <c r="N3336" s="30" t="str">
        <f t="shared" si="34"/>
        <v>Selesai</v>
      </c>
      <c r="O3336" s="45">
        <f t="shared" si="23"/>
        <v>45877.66682</v>
      </c>
      <c r="P3336" s="47" t="b">
        <v>0</v>
      </c>
      <c r="Q3336" s="36" t="str">
        <f t="shared" si="35"/>
        <v/>
      </c>
      <c r="R3336" s="47" t="b">
        <v>0</v>
      </c>
      <c r="S3336" s="42" t="str">
        <f t="shared" si="28"/>
        <v/>
      </c>
      <c r="T3336" s="42"/>
    </row>
    <row r="3337" ht="22.5" customHeight="1">
      <c r="B3337" s="42">
        <f t="shared" si="7"/>
        <v>3331</v>
      </c>
      <c r="C3337" s="31" t="s">
        <v>3396</v>
      </c>
      <c r="D3337" s="34" t="str">
        <f t="array" ref="D3337">IFNA(_xlfn.XLOOKUP(C3337,Table_Tarikan_Warkah[Nomor Sertipikat],Table_Tarikan_Warkah[Nomor Tiket]),"")</f>
        <v>K/19/310725/1</v>
      </c>
      <c r="E3337" s="36">
        <f t="array" ref="E3337">IFNA(_xlfn.XLOOKUP(D3337,Table_Tarikan_Warkah[Nomor Tiket],Table_Tarikan_Warkah[Tanggal diserahkan kepada Validator]),"")</f>
        <v>45888.61507</v>
      </c>
      <c r="F3337" s="36" t="str">
        <f t="array" ref="F3337">IFNA(_xlfn.XLOOKUP(D3337,Table_Tarikan_Warkah[Nomor Tiket],Table_Tarikan_Warkah[Nama Petugas Warkah]),"")</f>
        <v>Berry</v>
      </c>
      <c r="G3337" s="39" t="str">
        <f t="array" ref="G3337">IFNA(_xlfn.XLOOKUP(D3337,Table_Tarikan_Warkah[Nomor Tiket],Table_Tarikan_Warkah[Jenis Permohonan]),"")</f>
        <v>ROYA</v>
      </c>
      <c r="H3337" s="41" t="s">
        <v>2315</v>
      </c>
      <c r="I3337" s="49" t="s">
        <v>23</v>
      </c>
      <c r="J3337" s="36">
        <f t="shared" si="20"/>
        <v>45877.41095</v>
      </c>
      <c r="K3337" s="49" t="s">
        <v>2378</v>
      </c>
      <c r="L3337" s="49" t="s">
        <v>23</v>
      </c>
      <c r="M3337" s="36">
        <f t="shared" si="33"/>
        <v>45877.66666</v>
      </c>
      <c r="N3337" s="30" t="str">
        <f t="shared" si="34"/>
        <v>Selesai</v>
      </c>
      <c r="O3337" s="45">
        <f t="shared" si="23"/>
        <v>45877.66666</v>
      </c>
      <c r="P3337" s="47" t="b">
        <v>0</v>
      </c>
      <c r="Q3337" s="36" t="str">
        <f t="shared" si="35"/>
        <v/>
      </c>
      <c r="R3337" s="47" t="b">
        <v>0</v>
      </c>
      <c r="S3337" s="42" t="str">
        <f t="shared" si="28"/>
        <v/>
      </c>
      <c r="T3337" s="42"/>
    </row>
    <row r="3338" ht="22.5" customHeight="1">
      <c r="B3338" s="42">
        <f t="shared" si="7"/>
        <v>3332</v>
      </c>
      <c r="C3338" s="31" t="s">
        <v>3397</v>
      </c>
      <c r="D3338" s="34" t="str">
        <f t="array" ref="D3338">IFNA(_xlfn.XLOOKUP(C3338,Table_Tarikan_Warkah[Nomor Sertipikat],Table_Tarikan_Warkah[Nomor Tiket]),"")</f>
        <v>K/23/010825/1</v>
      </c>
      <c r="E3338" s="36">
        <f t="array" ref="E3338">IFNA(_xlfn.XLOOKUP(D3338,Table_Tarikan_Warkah[Nomor Tiket],Table_Tarikan_Warkah[Tanggal diserahkan kepada Validator]),"")</f>
        <v>45880.72027</v>
      </c>
      <c r="F3338" s="36" t="str">
        <f t="array" ref="F3338">IFNA(_xlfn.XLOOKUP(D3338,Table_Tarikan_Warkah[Nomor Tiket],Table_Tarikan_Warkah[Nama Petugas Warkah]),"")</f>
        <v>Berry</v>
      </c>
      <c r="G3338" s="39" t="str">
        <f t="array" ref="G3338">IFNA(_xlfn.XLOOKUP(D3338,Table_Tarikan_Warkah[Nomor Tiket],Table_Tarikan_Warkah[Jenis Permohonan]),"")</f>
        <v>JUAL BELI</v>
      </c>
      <c r="H3338" s="41" t="s">
        <v>2315</v>
      </c>
      <c r="I3338" s="49" t="s">
        <v>23</v>
      </c>
      <c r="J3338" s="36">
        <f t="shared" si="20"/>
        <v>45877.4111</v>
      </c>
      <c r="K3338" s="49" t="s">
        <v>2378</v>
      </c>
      <c r="L3338" s="49" t="s">
        <v>23</v>
      </c>
      <c r="M3338" s="36">
        <f t="shared" si="33"/>
        <v>45877.66909</v>
      </c>
      <c r="N3338" s="30" t="str">
        <f t="shared" si="34"/>
        <v>Selesai</v>
      </c>
      <c r="O3338" s="45">
        <f t="shared" si="23"/>
        <v>45877.66909</v>
      </c>
      <c r="P3338" s="47" t="b">
        <v>0</v>
      </c>
      <c r="Q3338" s="36" t="str">
        <f t="shared" si="35"/>
        <v/>
      </c>
      <c r="R3338" s="47" t="b">
        <v>0</v>
      </c>
      <c r="S3338" s="42" t="str">
        <f t="shared" si="28"/>
        <v/>
      </c>
      <c r="T3338" s="42"/>
    </row>
    <row r="3339" ht="22.5" customHeight="1">
      <c r="B3339" s="42">
        <f t="shared" si="7"/>
        <v>3333</v>
      </c>
      <c r="C3339" s="31" t="s">
        <v>3398</v>
      </c>
      <c r="D3339" s="34" t="str">
        <f t="array" ref="D3339">IFNA(_xlfn.XLOOKUP(C3339,Table_Tarikan_Warkah[Nomor Sertipikat],Table_Tarikan_Warkah[Nomor Tiket]),"")</f>
        <v>K/3/040825/1</v>
      </c>
      <c r="E3339" s="36">
        <f t="array" ref="E3339">IFNA(_xlfn.XLOOKUP(D3339,Table_Tarikan_Warkah[Nomor Tiket],Table_Tarikan_Warkah[Tanggal diserahkan kepada Validator]),"")</f>
        <v>45890.59701</v>
      </c>
      <c r="F3339" s="36" t="str">
        <f t="array" ref="F3339">IFNA(_xlfn.XLOOKUP(D3339,Table_Tarikan_Warkah[Nomor Tiket],Table_Tarikan_Warkah[Nama Petugas Warkah]),"")</f>
        <v>Berry</v>
      </c>
      <c r="G3339" s="39" t="str">
        <f t="array" ref="G3339">IFNA(_xlfn.XLOOKUP(D3339,Table_Tarikan_Warkah[Nomor Tiket],Table_Tarikan_Warkah[Jenis Permohonan]),"")</f>
        <v>ROYA</v>
      </c>
      <c r="H3339" s="41" t="s">
        <v>2315</v>
      </c>
      <c r="I3339" s="49" t="s">
        <v>23</v>
      </c>
      <c r="J3339" s="36">
        <f t="shared" si="20"/>
        <v>45877.41125</v>
      </c>
      <c r="K3339" s="49" t="s">
        <v>2378</v>
      </c>
      <c r="L3339" s="49" t="s">
        <v>23</v>
      </c>
      <c r="M3339" s="36">
        <f t="shared" si="33"/>
        <v>45877.66666</v>
      </c>
      <c r="N3339" s="30" t="str">
        <f t="shared" si="34"/>
        <v>Selesai</v>
      </c>
      <c r="O3339" s="45">
        <f t="shared" si="23"/>
        <v>45877.66666</v>
      </c>
      <c r="P3339" s="47" t="b">
        <v>0</v>
      </c>
      <c r="Q3339" s="36" t="str">
        <f t="shared" si="35"/>
        <v/>
      </c>
      <c r="R3339" s="47" t="b">
        <v>0</v>
      </c>
      <c r="S3339" s="42" t="str">
        <f t="shared" si="28"/>
        <v/>
      </c>
      <c r="T3339" s="42"/>
    </row>
    <row r="3340" ht="22.5" customHeight="1">
      <c r="B3340" s="42">
        <f t="shared" si="7"/>
        <v>3334</v>
      </c>
      <c r="C3340" s="31" t="s">
        <v>3399</v>
      </c>
      <c r="D3340" s="34" t="str">
        <f t="array" ref="D3340">IFNA(_xlfn.XLOOKUP(C3340,Table_Tarikan_Warkah[Nomor Sertipikat],Table_Tarikan_Warkah[Nomor Tiket]),"")</f>
        <v>K/14/010825/1</v>
      </c>
      <c r="E3340" s="36">
        <f t="array" ref="E3340">IFNA(_xlfn.XLOOKUP(D3340,Table_Tarikan_Warkah[Nomor Tiket],Table_Tarikan_Warkah[Tanggal diserahkan kepada Validator]),"")</f>
        <v>45958.51992</v>
      </c>
      <c r="F3340" s="36" t="str">
        <f t="array" ref="F3340">IFNA(_xlfn.XLOOKUP(D3340,Table_Tarikan_Warkah[Nomor Tiket],Table_Tarikan_Warkah[Nama Petugas Warkah]),"")</f>
        <v>David</v>
      </c>
      <c r="G3340" s="39" t="str">
        <f t="array" ref="G3340">IFNA(_xlfn.XLOOKUP(D3340,Table_Tarikan_Warkah[Nomor Tiket],Table_Tarikan_Warkah[Jenis Permohonan]),"")</f>
        <v>ROYA</v>
      </c>
      <c r="H3340" s="41" t="s">
        <v>2315</v>
      </c>
      <c r="I3340" s="49" t="s">
        <v>23</v>
      </c>
      <c r="J3340" s="36">
        <f t="shared" si="20"/>
        <v>45877.4114</v>
      </c>
      <c r="K3340" s="49" t="s">
        <v>2378</v>
      </c>
      <c r="L3340" s="49" t="s">
        <v>23</v>
      </c>
      <c r="M3340" s="36">
        <f t="shared" si="33"/>
        <v>45877.66666</v>
      </c>
      <c r="N3340" s="30" t="str">
        <f t="shared" si="34"/>
        <v>Selesai</v>
      </c>
      <c r="O3340" s="45">
        <f t="shared" si="23"/>
        <v>45877.66666</v>
      </c>
      <c r="P3340" s="47" t="b">
        <v>0</v>
      </c>
      <c r="Q3340" s="36" t="str">
        <f t="shared" si="35"/>
        <v/>
      </c>
      <c r="R3340" s="47" t="b">
        <v>0</v>
      </c>
      <c r="S3340" s="42" t="str">
        <f t="shared" si="28"/>
        <v/>
      </c>
      <c r="T3340" s="42"/>
    </row>
    <row r="3341" ht="22.5" customHeight="1">
      <c r="B3341" s="42">
        <f t="shared" si="7"/>
        <v>3335</v>
      </c>
      <c r="C3341" s="31" t="s">
        <v>3400</v>
      </c>
      <c r="D3341" s="34" t="str">
        <f t="array" ref="D3341">IFNA(_xlfn.XLOOKUP(C3341,Table_Tarikan_Warkah[Nomor Sertipikat],Table_Tarikan_Warkah[Nomor Tiket]),"")</f>
        <v>K/22/150725/2</v>
      </c>
      <c r="E3341" s="36" t="str">
        <f t="array" ref="E3341">IFNA(_xlfn.XLOOKUP(D3341,Table_Tarikan_Warkah[Nomor Tiket],Table_Tarikan_Warkah[Tanggal diserahkan kepada Validator]),"")</f>
        <v/>
      </c>
      <c r="F3341" s="36" t="str">
        <f t="array" ref="F3341">IFNA(_xlfn.XLOOKUP(D3341,Table_Tarikan_Warkah[Nomor Tiket],Table_Tarikan_Warkah[Nama Petugas Warkah]),"")</f>
        <v/>
      </c>
      <c r="G3341" s="39" t="str">
        <f t="array" ref="G3341">IFNA(_xlfn.XLOOKUP(D3341,Table_Tarikan_Warkah[Nomor Tiket],Table_Tarikan_Warkah[Jenis Permohonan]),"")</f>
        <v>BN WARIS</v>
      </c>
      <c r="H3341" s="41" t="s">
        <v>2315</v>
      </c>
      <c r="I3341" s="49" t="s">
        <v>23</v>
      </c>
      <c r="J3341" s="36">
        <f t="shared" si="20"/>
        <v>45877.41155</v>
      </c>
      <c r="K3341" s="49" t="s">
        <v>2378</v>
      </c>
      <c r="L3341" s="49" t="s">
        <v>23</v>
      </c>
      <c r="M3341" s="36">
        <f t="shared" si="33"/>
        <v>45877.66774</v>
      </c>
      <c r="N3341" s="30" t="str">
        <f t="shared" si="34"/>
        <v>Selesai</v>
      </c>
      <c r="O3341" s="45">
        <f t="shared" si="23"/>
        <v>45877.66774</v>
      </c>
      <c r="P3341" s="47" t="b">
        <v>0</v>
      </c>
      <c r="Q3341" s="36" t="str">
        <f t="shared" si="35"/>
        <v/>
      </c>
      <c r="R3341" s="47" t="b">
        <v>0</v>
      </c>
      <c r="S3341" s="42" t="str">
        <f t="shared" si="28"/>
        <v/>
      </c>
      <c r="T3341" s="42"/>
    </row>
    <row r="3342" ht="22.5" customHeight="1">
      <c r="B3342" s="42">
        <f t="shared" si="7"/>
        <v>3336</v>
      </c>
      <c r="C3342" s="31" t="s">
        <v>3401</v>
      </c>
      <c r="D3342" s="34" t="str">
        <f t="array" ref="D3342">IFNA(_xlfn.XLOOKUP(C3342,Table_Tarikan_Warkah[Nomor Sertipikat],Table_Tarikan_Warkah[Nomor Tiket]),"")</f>
        <v>K/18/290725/2</v>
      </c>
      <c r="E3342" s="36">
        <f t="array" ref="E3342">IFNA(_xlfn.XLOOKUP(D3342,Table_Tarikan_Warkah[Nomor Tiket],Table_Tarikan_Warkah[Tanggal diserahkan kepada Validator]),"")</f>
        <v>45883.65741</v>
      </c>
      <c r="F3342" s="36" t="str">
        <f t="array" ref="F3342">IFNA(_xlfn.XLOOKUP(D3342,Table_Tarikan_Warkah[Nomor Tiket],Table_Tarikan_Warkah[Nama Petugas Warkah]),"")</f>
        <v>Berry</v>
      </c>
      <c r="G3342" s="39" t="str">
        <f t="array" ref="G3342">IFNA(_xlfn.XLOOKUP(D3342,Table_Tarikan_Warkah[Nomor Tiket],Table_Tarikan_Warkah[Jenis Permohonan]),"")</f>
        <v>BN HIBAH</v>
      </c>
      <c r="H3342" s="41" t="s">
        <v>2315</v>
      </c>
      <c r="I3342" s="49" t="s">
        <v>23</v>
      </c>
      <c r="J3342" s="36">
        <f t="shared" si="20"/>
        <v>45877.41169</v>
      </c>
      <c r="K3342" s="49" t="s">
        <v>2378</v>
      </c>
      <c r="L3342" s="49" t="s">
        <v>23</v>
      </c>
      <c r="M3342" s="36">
        <f t="shared" si="33"/>
        <v>45880.44452</v>
      </c>
      <c r="N3342" s="30" t="str">
        <f t="shared" si="34"/>
        <v>Selesai</v>
      </c>
      <c r="O3342" s="45">
        <f t="shared" si="23"/>
        <v>45880.44452</v>
      </c>
      <c r="P3342" s="47" t="b">
        <v>0</v>
      </c>
      <c r="Q3342" s="36" t="str">
        <f t="shared" si="35"/>
        <v/>
      </c>
      <c r="R3342" s="47" t="b">
        <v>0</v>
      </c>
      <c r="S3342" s="42" t="str">
        <f t="shared" si="28"/>
        <v/>
      </c>
      <c r="T3342" s="42"/>
    </row>
    <row r="3343" ht="22.5" customHeight="1">
      <c r="B3343" s="42">
        <f t="shared" si="7"/>
        <v>3337</v>
      </c>
      <c r="C3343" s="31" t="s">
        <v>3402</v>
      </c>
      <c r="D3343" s="34" t="str">
        <f t="array" ref="D3343">IFNA(_xlfn.XLOOKUP(C3343,Table_Tarikan_Warkah[Nomor Sertipikat],Table_Tarikan_Warkah[Nomor Tiket]),"")</f>
        <v>K/15/010825/1</v>
      </c>
      <c r="E3343" s="36" t="str">
        <f t="array" ref="E3343">IFNA(_xlfn.XLOOKUP(D3343,Table_Tarikan_Warkah[Nomor Tiket],Table_Tarikan_Warkah[Tanggal diserahkan kepada Validator]),"")</f>
        <v/>
      </c>
      <c r="F3343" s="36" t="str">
        <f t="array" ref="F3343">IFNA(_xlfn.XLOOKUP(D3343,Table_Tarikan_Warkah[Nomor Tiket],Table_Tarikan_Warkah[Nama Petugas Warkah]),"")</f>
        <v/>
      </c>
      <c r="G3343" s="39" t="str">
        <f t="array" ref="G3343">IFNA(_xlfn.XLOOKUP(D3343,Table_Tarikan_Warkah[Nomor Tiket],Table_Tarikan_Warkah[Jenis Permohonan]),"")</f>
        <v>JUAL BELI</v>
      </c>
      <c r="H3343" s="41" t="s">
        <v>2315</v>
      </c>
      <c r="I3343" s="49" t="s">
        <v>23</v>
      </c>
      <c r="J3343" s="36">
        <f t="shared" si="20"/>
        <v>45877.41184</v>
      </c>
      <c r="K3343" s="49" t="s">
        <v>2378</v>
      </c>
      <c r="L3343" s="49" t="s">
        <v>23</v>
      </c>
      <c r="M3343" s="36">
        <f t="shared" si="33"/>
        <v>45877.66882</v>
      </c>
      <c r="N3343" s="30" t="str">
        <f t="shared" si="34"/>
        <v>Selesai</v>
      </c>
      <c r="O3343" s="45">
        <f t="shared" si="23"/>
        <v>45877.66882</v>
      </c>
      <c r="P3343" s="47" t="b">
        <v>0</v>
      </c>
      <c r="Q3343" s="36" t="str">
        <f t="shared" si="35"/>
        <v/>
      </c>
      <c r="R3343" s="47" t="b">
        <v>0</v>
      </c>
      <c r="S3343" s="42" t="str">
        <f t="shared" si="28"/>
        <v/>
      </c>
      <c r="T3343" s="42"/>
    </row>
    <row r="3344" ht="22.5" customHeight="1">
      <c r="B3344" s="42">
        <f t="shared" si="7"/>
        <v>3338</v>
      </c>
      <c r="C3344" s="31" t="s">
        <v>3403</v>
      </c>
      <c r="D3344" s="34" t="str">
        <f t="array" ref="D3344">IFNA(_xlfn.XLOOKUP(C3344,Table_Tarikan_Warkah[Nomor Sertipikat],Table_Tarikan_Warkah[Nomor Tiket]),"")</f>
        <v>K/45/310725/1</v>
      </c>
      <c r="E3344" s="36" t="str">
        <f t="array" ref="E3344">IFNA(_xlfn.XLOOKUP(D3344,Table_Tarikan_Warkah[Nomor Tiket],Table_Tarikan_Warkah[Tanggal diserahkan kepada Validator]),"")</f>
        <v/>
      </c>
      <c r="F3344" s="36" t="str">
        <f t="array" ref="F3344">IFNA(_xlfn.XLOOKUP(D3344,Table_Tarikan_Warkah[Nomor Tiket],Table_Tarikan_Warkah[Nama Petugas Warkah]),"")</f>
        <v/>
      </c>
      <c r="G3344" s="39" t="str">
        <f t="array" ref="G3344">IFNA(_xlfn.XLOOKUP(D3344,Table_Tarikan_Warkah[Nomor Tiket],Table_Tarikan_Warkah[Jenis Permohonan]),"")</f>
        <v>JUAL BELI</v>
      </c>
      <c r="H3344" s="41" t="s">
        <v>2315</v>
      </c>
      <c r="I3344" s="49" t="s">
        <v>23</v>
      </c>
      <c r="J3344" s="36">
        <f t="shared" si="20"/>
        <v>45877.41201</v>
      </c>
      <c r="K3344" s="49" t="s">
        <v>2378</v>
      </c>
      <c r="L3344" s="49" t="s">
        <v>23</v>
      </c>
      <c r="M3344" s="36">
        <f t="shared" si="33"/>
        <v>45877.66596</v>
      </c>
      <c r="N3344" s="30" t="str">
        <f t="shared" si="34"/>
        <v>Selesai</v>
      </c>
      <c r="O3344" s="45">
        <f t="shared" si="23"/>
        <v>45877.66596</v>
      </c>
      <c r="P3344" s="47" t="b">
        <v>0</v>
      </c>
      <c r="Q3344" s="36" t="str">
        <f t="shared" si="35"/>
        <v/>
      </c>
      <c r="R3344" s="47" t="b">
        <v>0</v>
      </c>
      <c r="S3344" s="42" t="str">
        <f t="shared" si="28"/>
        <v/>
      </c>
      <c r="T3344" s="42"/>
    </row>
    <row r="3345" ht="22.5" customHeight="1">
      <c r="B3345" s="42">
        <f t="shared" si="7"/>
        <v>3339</v>
      </c>
      <c r="C3345" s="31" t="s">
        <v>3404</v>
      </c>
      <c r="D3345" s="34" t="str">
        <f t="array" ref="D3345">IFNA(_xlfn.XLOOKUP(C3345,Table_Tarikan_Warkah[Nomor Sertipikat],Table_Tarikan_Warkah[Nomor Tiket]),"")</f>
        <v>K/21/010825/1</v>
      </c>
      <c r="E3345" s="36">
        <f t="array" ref="E3345">IFNA(_xlfn.XLOOKUP(D3345,Table_Tarikan_Warkah[Nomor Tiket],Table_Tarikan_Warkah[Tanggal diserahkan kepada Validator]),"")</f>
        <v>45882.53745</v>
      </c>
      <c r="F3345" s="36" t="str">
        <f t="array" ref="F3345">IFNA(_xlfn.XLOOKUP(D3345,Table_Tarikan_Warkah[Nomor Tiket],Table_Tarikan_Warkah[Nama Petugas Warkah]),"")</f>
        <v>David</v>
      </c>
      <c r="G3345" s="39" t="str">
        <f t="array" ref="G3345">IFNA(_xlfn.XLOOKUP(D3345,Table_Tarikan_Warkah[Nomor Tiket],Table_Tarikan_Warkah[Jenis Permohonan]),"")</f>
        <v>JUAL BELI</v>
      </c>
      <c r="H3345" s="41" t="s">
        <v>2315</v>
      </c>
      <c r="I3345" s="49" t="s">
        <v>23</v>
      </c>
      <c r="J3345" s="36">
        <f t="shared" si="20"/>
        <v>45877.41218</v>
      </c>
      <c r="K3345" s="49" t="s">
        <v>2378</v>
      </c>
      <c r="L3345" s="49" t="s">
        <v>23</v>
      </c>
      <c r="M3345" s="36">
        <f t="shared" si="33"/>
        <v>45877.66166</v>
      </c>
      <c r="N3345" s="30" t="str">
        <f t="shared" si="34"/>
        <v>Selesai</v>
      </c>
      <c r="O3345" s="45">
        <f t="shared" si="23"/>
        <v>45877.66166</v>
      </c>
      <c r="P3345" s="47" t="b">
        <v>0</v>
      </c>
      <c r="Q3345" s="36" t="str">
        <f t="shared" si="35"/>
        <v/>
      </c>
      <c r="R3345" s="47" t="b">
        <v>0</v>
      </c>
      <c r="S3345" s="42" t="str">
        <f t="shared" si="28"/>
        <v/>
      </c>
      <c r="T3345" s="42"/>
    </row>
    <row r="3346" ht="22.5" customHeight="1">
      <c r="B3346" s="42">
        <f t="shared" si="7"/>
        <v>3340</v>
      </c>
      <c r="C3346" s="31" t="s">
        <v>3405</v>
      </c>
      <c r="D3346" s="34" t="str">
        <f t="array" ref="D3346">IFNA(_xlfn.XLOOKUP(C3346,Table_Tarikan_Warkah[Nomor Sertipikat],Table_Tarikan_Warkah[Nomor Tiket]),"")</f>
        <v>K/7/230725/1</v>
      </c>
      <c r="E3346" s="36" t="str">
        <f t="array" ref="E3346">IFNA(_xlfn.XLOOKUP(D3346,Table_Tarikan_Warkah[Nomor Tiket],Table_Tarikan_Warkah[Tanggal diserahkan kepada Validator]),"")</f>
        <v/>
      </c>
      <c r="F3346" s="36" t="str">
        <f t="array" ref="F3346">IFNA(_xlfn.XLOOKUP(D3346,Table_Tarikan_Warkah[Nomor Tiket],Table_Tarikan_Warkah[Nama Petugas Warkah]),"")</f>
        <v/>
      </c>
      <c r="G3346" s="39" t="str">
        <f t="array" ref="G3346">IFNA(_xlfn.XLOOKUP(D3346,Table_Tarikan_Warkah[Nomor Tiket],Table_Tarikan_Warkah[Jenis Permohonan]),"")</f>
        <v>JUAL BELI</v>
      </c>
      <c r="H3346" s="41" t="s">
        <v>2315</v>
      </c>
      <c r="I3346" s="49" t="s">
        <v>23</v>
      </c>
      <c r="J3346" s="36">
        <f t="shared" si="20"/>
        <v>45877.41233</v>
      </c>
      <c r="K3346" s="49" t="s">
        <v>2378</v>
      </c>
      <c r="L3346" s="49" t="s">
        <v>23</v>
      </c>
      <c r="M3346" s="36">
        <f t="shared" si="33"/>
        <v>45877.66182</v>
      </c>
      <c r="N3346" s="30" t="str">
        <f t="shared" si="34"/>
        <v>Selesai</v>
      </c>
      <c r="O3346" s="45">
        <f t="shared" si="23"/>
        <v>45877.66182</v>
      </c>
      <c r="P3346" s="47" t="b">
        <v>0</v>
      </c>
      <c r="Q3346" s="36" t="str">
        <f t="shared" si="35"/>
        <v/>
      </c>
      <c r="R3346" s="47" t="b">
        <v>0</v>
      </c>
      <c r="S3346" s="42" t="str">
        <f t="shared" si="28"/>
        <v/>
      </c>
      <c r="T3346" s="42"/>
    </row>
    <row r="3347" ht="22.5" customHeight="1">
      <c r="B3347" s="42">
        <f t="shared" si="7"/>
        <v>3341</v>
      </c>
      <c r="C3347" s="31" t="s">
        <v>3406</v>
      </c>
      <c r="D3347" s="34" t="str">
        <f t="array" ref="D3347">IFNA(_xlfn.XLOOKUP(C3347,Table_Tarikan_Warkah[Nomor Sertipikat],Table_Tarikan_Warkah[Nomor Tiket]),"")</f>
        <v>K/9/010825/3</v>
      </c>
      <c r="E3347" s="36" t="str">
        <f t="array" ref="E3347">IFNA(_xlfn.XLOOKUP(D3347,Table_Tarikan_Warkah[Nomor Tiket],Table_Tarikan_Warkah[Tanggal diserahkan kepada Validator]),"")</f>
        <v/>
      </c>
      <c r="F3347" s="36" t="str">
        <f t="array" ref="F3347">IFNA(_xlfn.XLOOKUP(D3347,Table_Tarikan_Warkah[Nomor Tiket],Table_Tarikan_Warkah[Nama Petugas Warkah]),"")</f>
        <v/>
      </c>
      <c r="G3347" s="39" t="str">
        <f t="array" ref="G3347">IFNA(_xlfn.XLOOKUP(D3347,Table_Tarikan_Warkah[Nomor Tiket],Table_Tarikan_Warkah[Jenis Permohonan]),"")</f>
        <v>BN JUAL BELI</v>
      </c>
      <c r="H3347" s="41" t="s">
        <v>2315</v>
      </c>
      <c r="I3347" s="49" t="s">
        <v>23</v>
      </c>
      <c r="J3347" s="36">
        <f t="shared" si="20"/>
        <v>45877.41251</v>
      </c>
      <c r="K3347" s="49" t="s">
        <v>2378</v>
      </c>
      <c r="L3347" s="49" t="s">
        <v>23</v>
      </c>
      <c r="M3347" s="36">
        <f t="shared" si="33"/>
        <v>45877.66598</v>
      </c>
      <c r="N3347" s="30" t="str">
        <f t="shared" si="34"/>
        <v>Selesai</v>
      </c>
      <c r="O3347" s="45">
        <f t="shared" si="23"/>
        <v>45877.66598</v>
      </c>
      <c r="P3347" s="47" t="b">
        <v>0</v>
      </c>
      <c r="Q3347" s="36" t="str">
        <f t="shared" si="35"/>
        <v/>
      </c>
      <c r="R3347" s="47" t="b">
        <v>0</v>
      </c>
      <c r="S3347" s="42" t="str">
        <f t="shared" si="28"/>
        <v/>
      </c>
      <c r="T3347" s="42"/>
    </row>
    <row r="3348" ht="22.5" customHeight="1">
      <c r="B3348" s="42">
        <f t="shared" si="7"/>
        <v>3342</v>
      </c>
      <c r="C3348" s="31" t="s">
        <v>3407</v>
      </c>
      <c r="D3348" s="34" t="str">
        <f t="array" ref="D3348">IFNA(_xlfn.XLOOKUP(C3348,Table_Tarikan_Warkah[Nomor Sertipikat],Table_Tarikan_Warkah[Nomor Tiket]),"")</f>
        <v>K/26/250725/1</v>
      </c>
      <c r="E3348" s="36" t="str">
        <f t="array" ref="E3348">IFNA(_xlfn.XLOOKUP(D3348,Table_Tarikan_Warkah[Nomor Tiket],Table_Tarikan_Warkah[Tanggal diserahkan kepada Validator]),"")</f>
        <v/>
      </c>
      <c r="F3348" s="36" t="str">
        <f t="array" ref="F3348">IFNA(_xlfn.XLOOKUP(D3348,Table_Tarikan_Warkah[Nomor Tiket],Table_Tarikan_Warkah[Nama Petugas Warkah]),"")</f>
        <v/>
      </c>
      <c r="G3348" s="39" t="str">
        <f t="array" ref="G3348">IFNA(_xlfn.XLOOKUP(D3348,Table_Tarikan_Warkah[Nomor Tiket],Table_Tarikan_Warkah[Jenis Permohonan]),"")</f>
        <v>PEMECAHAN</v>
      </c>
      <c r="H3348" s="41" t="s">
        <v>2315</v>
      </c>
      <c r="I3348" s="49" t="s">
        <v>23</v>
      </c>
      <c r="J3348" s="36">
        <f t="shared" si="20"/>
        <v>45877.41334</v>
      </c>
      <c r="K3348" s="49" t="s">
        <v>2378</v>
      </c>
      <c r="L3348" s="49" t="s">
        <v>23</v>
      </c>
      <c r="M3348" s="36">
        <f t="shared" si="33"/>
        <v>45880.44406</v>
      </c>
      <c r="N3348" s="30" t="str">
        <f t="shared" si="34"/>
        <v>Selesai</v>
      </c>
      <c r="O3348" s="45">
        <f t="shared" si="23"/>
        <v>45880.44406</v>
      </c>
      <c r="P3348" s="47" t="b">
        <v>0</v>
      </c>
      <c r="Q3348" s="36" t="str">
        <f t="shared" si="35"/>
        <v/>
      </c>
      <c r="R3348" s="47" t="b">
        <v>0</v>
      </c>
      <c r="S3348" s="42" t="str">
        <f t="shared" si="28"/>
        <v/>
      </c>
      <c r="T3348" s="42"/>
    </row>
    <row r="3349" ht="22.5" customHeight="1">
      <c r="B3349" s="42">
        <f t="shared" si="7"/>
        <v>3343</v>
      </c>
      <c r="C3349" s="31" t="s">
        <v>3408</v>
      </c>
      <c r="D3349" s="34" t="str">
        <f t="array" ref="D3349">IFNA(_xlfn.XLOOKUP(C3349,Table_Tarikan_Warkah[Nomor Sertipikat],Table_Tarikan_Warkah[Nomor Tiket]),"")</f>
        <v>K/11/290725/1</v>
      </c>
      <c r="E3349" s="36" t="str">
        <f t="array" ref="E3349">IFNA(_xlfn.XLOOKUP(D3349,Table_Tarikan_Warkah[Nomor Tiket],Table_Tarikan_Warkah[Tanggal diserahkan kepada Validator]),"")</f>
        <v/>
      </c>
      <c r="F3349" s="36" t="str">
        <f t="array" ref="F3349">IFNA(_xlfn.XLOOKUP(D3349,Table_Tarikan_Warkah[Nomor Tiket],Table_Tarikan_Warkah[Nama Petugas Warkah]),"")</f>
        <v/>
      </c>
      <c r="G3349" s="39" t="str">
        <f t="array" ref="G3349">IFNA(_xlfn.XLOOKUP(D3349,Table_Tarikan_Warkah[Nomor Tiket],Table_Tarikan_Warkah[Jenis Permohonan]),"")</f>
        <v>BN JUAL BELI</v>
      </c>
      <c r="H3349" s="41" t="s">
        <v>2315</v>
      </c>
      <c r="I3349" s="49" t="s">
        <v>23</v>
      </c>
      <c r="J3349" s="36">
        <f t="shared" si="20"/>
        <v>45877.41351</v>
      </c>
      <c r="K3349" s="49" t="s">
        <v>2378</v>
      </c>
      <c r="L3349" s="49" t="s">
        <v>23</v>
      </c>
      <c r="M3349" s="36">
        <f t="shared" si="33"/>
        <v>45877.66839</v>
      </c>
      <c r="N3349" s="30" t="str">
        <f t="shared" si="34"/>
        <v>Selesai</v>
      </c>
      <c r="O3349" s="45">
        <f t="shared" si="23"/>
        <v>45877.66839</v>
      </c>
      <c r="P3349" s="47" t="b">
        <v>0</v>
      </c>
      <c r="Q3349" s="36" t="str">
        <f t="shared" si="35"/>
        <v/>
      </c>
      <c r="R3349" s="47" t="b">
        <v>0</v>
      </c>
      <c r="S3349" s="42" t="str">
        <f t="shared" si="28"/>
        <v/>
      </c>
      <c r="T3349" s="42"/>
    </row>
    <row r="3350" ht="22.5" customHeight="1">
      <c r="B3350" s="42">
        <f t="shared" si="7"/>
        <v>3344</v>
      </c>
      <c r="C3350" s="31" t="s">
        <v>3409</v>
      </c>
      <c r="D3350" s="34" t="str">
        <f t="array" ref="D3350">IFNA(_xlfn.XLOOKUP(C3350,Table_Tarikan_Warkah[Nomor Sertipikat],Table_Tarikan_Warkah[Nomor Tiket]),"")</f>
        <v>K/26/111224/1</v>
      </c>
      <c r="E3350" s="36" t="str">
        <f t="array" ref="E3350">IFNA(_xlfn.XLOOKUP(D3350,Table_Tarikan_Warkah[Nomor Tiket],Table_Tarikan_Warkah[Tanggal diserahkan kepada Validator]),"")</f>
        <v/>
      </c>
      <c r="F3350" s="36" t="str">
        <f t="array" ref="F3350">IFNA(_xlfn.XLOOKUP(D3350,Table_Tarikan_Warkah[Nomor Tiket],Table_Tarikan_Warkah[Nama Petugas Warkah]),"")</f>
        <v/>
      </c>
      <c r="G3350" s="39" t="str">
        <f t="array" ref="G3350">IFNA(_xlfn.XLOOKUP(D3350,Table_Tarikan_Warkah[Nomor Tiket],Table_Tarikan_Warkah[Jenis Permohonan]),"")</f>
        <v>HAPUS BPHTB</v>
      </c>
      <c r="H3350" s="41" t="s">
        <v>2315</v>
      </c>
      <c r="I3350" s="49" t="s">
        <v>23</v>
      </c>
      <c r="J3350" s="36">
        <f t="shared" si="20"/>
        <v>45877.41366</v>
      </c>
      <c r="K3350" s="49" t="s">
        <v>2378</v>
      </c>
      <c r="L3350" s="49" t="s">
        <v>23</v>
      </c>
      <c r="M3350" s="36">
        <f t="shared" si="33"/>
        <v>45877.66794</v>
      </c>
      <c r="N3350" s="30" t="str">
        <f t="shared" si="34"/>
        <v>Selesai</v>
      </c>
      <c r="O3350" s="45">
        <f t="shared" si="23"/>
        <v>45877.66794</v>
      </c>
      <c r="P3350" s="47" t="b">
        <v>0</v>
      </c>
      <c r="Q3350" s="36" t="str">
        <f t="shared" si="35"/>
        <v/>
      </c>
      <c r="R3350" s="47" t="b">
        <v>0</v>
      </c>
      <c r="S3350" s="42" t="str">
        <f t="shared" si="28"/>
        <v/>
      </c>
      <c r="T3350" s="42"/>
    </row>
    <row r="3351" ht="22.5" customHeight="1">
      <c r="B3351" s="42">
        <f t="shared" si="7"/>
        <v>3345</v>
      </c>
      <c r="C3351" s="31" t="s">
        <v>3410</v>
      </c>
      <c r="D3351" s="34" t="str">
        <f t="array" ref="D3351">IFNA(_xlfn.XLOOKUP(C3351,Table_Tarikan_Warkah[Nomor Sertipikat],Table_Tarikan_Warkah[Nomor Tiket]),"")</f>
        <v>K/12/300725/1</v>
      </c>
      <c r="E3351" s="36">
        <f t="array" ref="E3351">IFNA(_xlfn.XLOOKUP(D3351,Table_Tarikan_Warkah[Nomor Tiket],Table_Tarikan_Warkah[Tanggal diserahkan kepada Validator]),"")</f>
        <v>45890.67416</v>
      </c>
      <c r="F3351" s="36" t="str">
        <f t="array" ref="F3351">IFNA(_xlfn.XLOOKUP(D3351,Table_Tarikan_Warkah[Nomor Tiket],Table_Tarikan_Warkah[Nama Petugas Warkah]),"")</f>
        <v>Berry</v>
      </c>
      <c r="G3351" s="39" t="str">
        <f t="array" ref="G3351">IFNA(_xlfn.XLOOKUP(D3351,Table_Tarikan_Warkah[Nomor Tiket],Table_Tarikan_Warkah[Jenis Permohonan]),"")</f>
        <v>GANTI NAMA</v>
      </c>
      <c r="H3351" s="41" t="s">
        <v>2315</v>
      </c>
      <c r="I3351" s="49" t="s">
        <v>23</v>
      </c>
      <c r="J3351" s="36">
        <f t="shared" si="20"/>
        <v>45877.41382</v>
      </c>
      <c r="K3351" s="49" t="s">
        <v>2378</v>
      </c>
      <c r="L3351" s="49" t="s">
        <v>23</v>
      </c>
      <c r="M3351" s="36">
        <f t="shared" si="33"/>
        <v>45880.44398</v>
      </c>
      <c r="N3351" s="30" t="str">
        <f t="shared" si="34"/>
        <v>Selesai</v>
      </c>
      <c r="O3351" s="45">
        <f t="shared" si="23"/>
        <v>45880.44398</v>
      </c>
      <c r="P3351" s="47" t="b">
        <v>0</v>
      </c>
      <c r="Q3351" s="36" t="str">
        <f t="shared" si="35"/>
        <v/>
      </c>
      <c r="R3351" s="47" t="b">
        <v>0</v>
      </c>
      <c r="S3351" s="42" t="str">
        <f t="shared" si="28"/>
        <v/>
      </c>
      <c r="T3351" s="42"/>
    </row>
    <row r="3352" ht="22.5" customHeight="1">
      <c r="B3352" s="42">
        <f t="shared" si="7"/>
        <v>3346</v>
      </c>
      <c r="C3352" s="31" t="s">
        <v>3411</v>
      </c>
      <c r="D3352" s="34" t="str">
        <f t="array" ref="D3352">IFNA(_xlfn.XLOOKUP(C3352,Table_Tarikan_Warkah[Nomor Sertipikat],Table_Tarikan_Warkah[Nomor Tiket]),"")</f>
        <v>K/22/170725/1</v>
      </c>
      <c r="E3352" s="36" t="str">
        <f t="array" ref="E3352">IFNA(_xlfn.XLOOKUP(D3352,Table_Tarikan_Warkah[Nomor Tiket],Table_Tarikan_Warkah[Tanggal diserahkan kepada Validator]),"")</f>
        <v/>
      </c>
      <c r="F3352" s="36" t="str">
        <f t="array" ref="F3352">IFNA(_xlfn.XLOOKUP(D3352,Table_Tarikan_Warkah[Nomor Tiket],Table_Tarikan_Warkah[Nama Petugas Warkah]),"")</f>
        <v/>
      </c>
      <c r="G3352" s="39" t="str">
        <f t="array" ref="G3352">IFNA(_xlfn.XLOOKUP(D3352,Table_Tarikan_Warkah[Nomor Tiket],Table_Tarikan_Warkah[Jenis Permohonan]),"")</f>
        <v>BN JUAL BELI</v>
      </c>
      <c r="H3352" s="41" t="s">
        <v>2315</v>
      </c>
      <c r="I3352" s="49" t="s">
        <v>23</v>
      </c>
      <c r="J3352" s="36">
        <f t="shared" si="20"/>
        <v>45877.41398</v>
      </c>
      <c r="K3352" s="49" t="s">
        <v>2378</v>
      </c>
      <c r="L3352" s="49" t="s">
        <v>23</v>
      </c>
      <c r="M3352" s="36">
        <f t="shared" si="33"/>
        <v>45877.66632</v>
      </c>
      <c r="N3352" s="30" t="str">
        <f t="shared" si="34"/>
        <v>Selesai</v>
      </c>
      <c r="O3352" s="45">
        <f t="shared" si="23"/>
        <v>45877.66632</v>
      </c>
      <c r="P3352" s="47" t="b">
        <v>0</v>
      </c>
      <c r="Q3352" s="36" t="str">
        <f t="shared" si="35"/>
        <v/>
      </c>
      <c r="R3352" s="47" t="b">
        <v>0</v>
      </c>
      <c r="S3352" s="42" t="str">
        <f t="shared" si="28"/>
        <v/>
      </c>
      <c r="T3352" s="42"/>
    </row>
    <row r="3353" ht="22.5" customHeight="1">
      <c r="B3353" s="42">
        <f t="shared" si="7"/>
        <v>3347</v>
      </c>
      <c r="C3353" s="31" t="s">
        <v>3412</v>
      </c>
      <c r="D3353" s="34" t="str">
        <f t="array" ref="D3353">IFNA(_xlfn.XLOOKUP(C3353,Table_Tarikan_Warkah[Nomor Sertipikat],Table_Tarikan_Warkah[Nomor Tiket]),"")</f>
        <v>K/31/010825/1</v>
      </c>
      <c r="E3353" s="36" t="str">
        <f t="array" ref="E3353">IFNA(_xlfn.XLOOKUP(D3353,Table_Tarikan_Warkah[Nomor Tiket],Table_Tarikan_Warkah[Tanggal diserahkan kepada Validator]),"")</f>
        <v/>
      </c>
      <c r="F3353" s="36" t="str">
        <f t="array" ref="F3353">IFNA(_xlfn.XLOOKUP(D3353,Table_Tarikan_Warkah[Nomor Tiket],Table_Tarikan_Warkah[Nama Petugas Warkah]),"")</f>
        <v/>
      </c>
      <c r="G3353" s="39" t="str">
        <f t="array" ref="G3353">IFNA(_xlfn.XLOOKUP(D3353,Table_Tarikan_Warkah[Nomor Tiket],Table_Tarikan_Warkah[Jenis Permohonan]),"")</f>
        <v>PENINGKATAN HAK</v>
      </c>
      <c r="H3353" s="41" t="s">
        <v>2315</v>
      </c>
      <c r="I3353" s="49" t="s">
        <v>23</v>
      </c>
      <c r="J3353" s="36">
        <f t="shared" si="20"/>
        <v>45877.41412</v>
      </c>
      <c r="K3353" s="49" t="s">
        <v>2378</v>
      </c>
      <c r="L3353" s="49" t="s">
        <v>23</v>
      </c>
      <c r="M3353" s="36">
        <f t="shared" si="33"/>
        <v>45877.666</v>
      </c>
      <c r="N3353" s="30" t="str">
        <f t="shared" si="34"/>
        <v>Selesai</v>
      </c>
      <c r="O3353" s="45">
        <f t="shared" si="23"/>
        <v>45877.666</v>
      </c>
      <c r="P3353" s="47" t="b">
        <v>0</v>
      </c>
      <c r="Q3353" s="36" t="str">
        <f t="shared" si="35"/>
        <v/>
      </c>
      <c r="R3353" s="47" t="b">
        <v>0</v>
      </c>
      <c r="S3353" s="42" t="str">
        <f t="shared" si="28"/>
        <v/>
      </c>
      <c r="T3353" s="42"/>
    </row>
    <row r="3354" ht="22.5" customHeight="1">
      <c r="B3354" s="42">
        <f t="shared" si="7"/>
        <v>3348</v>
      </c>
      <c r="C3354" s="31" t="s">
        <v>3413</v>
      </c>
      <c r="D3354" s="34" t="str">
        <f t="array" ref="D3354">IFNA(_xlfn.XLOOKUP(C3354,Table_Tarikan_Warkah[Nomor Sertipikat],Table_Tarikan_Warkah[Nomor Tiket]),"")</f>
        <v>K/26/280725/1</v>
      </c>
      <c r="E3354" s="36" t="str">
        <f t="array" ref="E3354">IFNA(_xlfn.XLOOKUP(D3354,Table_Tarikan_Warkah[Nomor Tiket],Table_Tarikan_Warkah[Tanggal diserahkan kepada Validator]),"")</f>
        <v/>
      </c>
      <c r="F3354" s="36" t="str">
        <f t="array" ref="F3354">IFNA(_xlfn.XLOOKUP(D3354,Table_Tarikan_Warkah[Nomor Tiket],Table_Tarikan_Warkah[Nama Petugas Warkah]),"")</f>
        <v/>
      </c>
      <c r="G3354" s="39" t="str">
        <f t="array" ref="G3354">IFNA(_xlfn.XLOOKUP(D3354,Table_Tarikan_Warkah[Nomor Tiket],Table_Tarikan_Warkah[Jenis Permohonan]),"")</f>
        <v>BN JUAL BELI</v>
      </c>
      <c r="H3354" s="41" t="s">
        <v>2315</v>
      </c>
      <c r="I3354" s="49" t="s">
        <v>23</v>
      </c>
      <c r="J3354" s="36">
        <f t="shared" si="20"/>
        <v>45877.41426</v>
      </c>
      <c r="K3354" s="49" t="s">
        <v>2378</v>
      </c>
      <c r="L3354" s="49" t="s">
        <v>23</v>
      </c>
      <c r="M3354" s="36">
        <f t="shared" si="33"/>
        <v>45877.66602</v>
      </c>
      <c r="N3354" s="30" t="str">
        <f t="shared" si="34"/>
        <v>Selesai</v>
      </c>
      <c r="O3354" s="45">
        <f t="shared" si="23"/>
        <v>45877.66602</v>
      </c>
      <c r="P3354" s="47" t="b">
        <v>0</v>
      </c>
      <c r="Q3354" s="36" t="str">
        <f t="shared" si="35"/>
        <v/>
      </c>
      <c r="R3354" s="47" t="b">
        <v>0</v>
      </c>
      <c r="S3354" s="42" t="str">
        <f t="shared" si="28"/>
        <v/>
      </c>
      <c r="T3354" s="42"/>
    </row>
    <row r="3355" ht="22.5" customHeight="1">
      <c r="B3355" s="42">
        <f t="shared" si="7"/>
        <v>3349</v>
      </c>
      <c r="C3355" s="31" t="s">
        <v>3414</v>
      </c>
      <c r="D3355" s="34" t="str">
        <f t="array" ref="D3355">IFNA(_xlfn.XLOOKUP(C3355,Table_Tarikan_Warkah[Nomor Sertipikat],Table_Tarikan_Warkah[Nomor Tiket]),"")</f>
        <v>K/33/310725/1</v>
      </c>
      <c r="E3355" s="36" t="str">
        <f t="array" ref="E3355">IFNA(_xlfn.XLOOKUP(D3355,Table_Tarikan_Warkah[Nomor Tiket],Table_Tarikan_Warkah[Tanggal diserahkan kepada Validator]),"")</f>
        <v/>
      </c>
      <c r="F3355" s="36" t="str">
        <f t="array" ref="F3355">IFNA(_xlfn.XLOOKUP(D3355,Table_Tarikan_Warkah[Nomor Tiket],Table_Tarikan_Warkah[Nama Petugas Warkah]),"")</f>
        <v/>
      </c>
      <c r="G3355" s="39" t="str">
        <f t="array" ref="G3355">IFNA(_xlfn.XLOOKUP(D3355,Table_Tarikan_Warkah[Nomor Tiket],Table_Tarikan_Warkah[Jenis Permohonan]),"")</f>
        <v>WAKAF</v>
      </c>
      <c r="H3355" s="41" t="s">
        <v>2315</v>
      </c>
      <c r="I3355" s="49" t="s">
        <v>23</v>
      </c>
      <c r="J3355" s="36">
        <f t="shared" si="20"/>
        <v>45877.41452</v>
      </c>
      <c r="K3355" s="49" t="s">
        <v>2378</v>
      </c>
      <c r="L3355" s="49" t="s">
        <v>23</v>
      </c>
      <c r="M3355" s="36">
        <f t="shared" si="33"/>
        <v>45877.66602</v>
      </c>
      <c r="N3355" s="30" t="str">
        <f t="shared" si="34"/>
        <v>Selesai</v>
      </c>
      <c r="O3355" s="45">
        <f t="shared" si="23"/>
        <v>45877.66602</v>
      </c>
      <c r="P3355" s="47" t="b">
        <v>0</v>
      </c>
      <c r="Q3355" s="36" t="str">
        <f t="shared" si="35"/>
        <v/>
      </c>
      <c r="R3355" s="47" t="b">
        <v>0</v>
      </c>
      <c r="S3355" s="42" t="str">
        <f t="shared" si="28"/>
        <v/>
      </c>
      <c r="T3355" s="42"/>
    </row>
    <row r="3356" ht="22.5" customHeight="1">
      <c r="B3356" s="42">
        <f t="shared" si="7"/>
        <v>3350</v>
      </c>
      <c r="C3356" s="31" t="s">
        <v>3415</v>
      </c>
      <c r="D3356" s="34" t="str">
        <f t="array" ref="D3356">IFNA(_xlfn.XLOOKUP(C3356,Table_Tarikan_Warkah[Nomor Sertipikat],Table_Tarikan_Warkah[Nomor Tiket]),"")</f>
        <v>L/5/250725/1</v>
      </c>
      <c r="E3356" s="36">
        <f t="array" ref="E3356">IFNA(_xlfn.XLOOKUP(D3356,Table_Tarikan_Warkah[Nomor Tiket],Table_Tarikan_Warkah[Tanggal diserahkan kepada Validator]),"")</f>
        <v>45894.5518</v>
      </c>
      <c r="F3356" s="36" t="str">
        <f t="array" ref="F3356">IFNA(_xlfn.XLOOKUP(D3356,Table_Tarikan_Warkah[Nomor Tiket],Table_Tarikan_Warkah[Nama Petugas Warkah]),"")</f>
        <v>Berry</v>
      </c>
      <c r="G3356" s="39" t="str">
        <f t="array" ref="G3356">IFNA(_xlfn.XLOOKUP(D3356,Table_Tarikan_Warkah[Nomor Tiket],Table_Tarikan_Warkah[Jenis Permohonan]),"")</f>
        <v>ROYA</v>
      </c>
      <c r="H3356" s="41" t="s">
        <v>2315</v>
      </c>
      <c r="I3356" s="49" t="s">
        <v>23</v>
      </c>
      <c r="J3356" s="36">
        <f t="shared" si="20"/>
        <v>45877.41476</v>
      </c>
      <c r="K3356" s="49" t="s">
        <v>2378</v>
      </c>
      <c r="L3356" s="49" t="s">
        <v>23</v>
      </c>
      <c r="M3356" s="36">
        <f t="shared" si="33"/>
        <v>45880.44394</v>
      </c>
      <c r="N3356" s="30" t="str">
        <f t="shared" si="34"/>
        <v>Selesai</v>
      </c>
      <c r="O3356" s="45">
        <f t="shared" si="23"/>
        <v>45880.44394</v>
      </c>
      <c r="P3356" s="47" t="b">
        <v>0</v>
      </c>
      <c r="Q3356" s="36" t="str">
        <f t="shared" si="35"/>
        <v/>
      </c>
      <c r="R3356" s="47" t="b">
        <v>0</v>
      </c>
      <c r="S3356" s="42" t="str">
        <f t="shared" si="28"/>
        <v/>
      </c>
      <c r="T3356" s="42"/>
    </row>
    <row r="3357" ht="22.5" customHeight="1">
      <c r="B3357" s="42">
        <f t="shared" si="7"/>
        <v>3351</v>
      </c>
      <c r="C3357" s="31" t="s">
        <v>3416</v>
      </c>
      <c r="D3357" s="34" t="str">
        <f t="array" ref="D3357">IFNA(_xlfn.XLOOKUP(C3357,Table_Tarikan_Warkah[Nomor Sertipikat],Table_Tarikan_Warkah[Nomor Tiket]),"")</f>
        <v>K/32/250725/1</v>
      </c>
      <c r="E3357" s="36" t="str">
        <f t="array" ref="E3357">IFNA(_xlfn.XLOOKUP(D3357,Table_Tarikan_Warkah[Nomor Tiket],Table_Tarikan_Warkah[Tanggal diserahkan kepada Validator]),"")</f>
        <v/>
      </c>
      <c r="F3357" s="36" t="str">
        <f t="array" ref="F3357">IFNA(_xlfn.XLOOKUP(D3357,Table_Tarikan_Warkah[Nomor Tiket],Table_Tarikan_Warkah[Nama Petugas Warkah]),"")</f>
        <v/>
      </c>
      <c r="G3357" s="39" t="str">
        <f t="array" ref="G3357">IFNA(_xlfn.XLOOKUP(D3357,Table_Tarikan_Warkah[Nomor Tiket],Table_Tarikan_Warkah[Jenis Permohonan]),"")</f>
        <v>BN Waris</v>
      </c>
      <c r="H3357" s="41" t="s">
        <v>2315</v>
      </c>
      <c r="I3357" s="49" t="s">
        <v>23</v>
      </c>
      <c r="J3357" s="36">
        <f t="shared" si="20"/>
        <v>45877.41494</v>
      </c>
      <c r="K3357" s="49" t="s">
        <v>2378</v>
      </c>
      <c r="L3357" s="49" t="s">
        <v>23</v>
      </c>
      <c r="M3357" s="36">
        <f t="shared" si="33"/>
        <v>45877.66605</v>
      </c>
      <c r="N3357" s="30" t="str">
        <f t="shared" si="34"/>
        <v>Selesai</v>
      </c>
      <c r="O3357" s="45">
        <f t="shared" si="23"/>
        <v>45877.66605</v>
      </c>
      <c r="P3357" s="47" t="b">
        <v>0</v>
      </c>
      <c r="Q3357" s="36" t="str">
        <f t="shared" si="35"/>
        <v/>
      </c>
      <c r="R3357" s="47" t="b">
        <v>0</v>
      </c>
      <c r="S3357" s="42" t="str">
        <f t="shared" si="28"/>
        <v/>
      </c>
      <c r="T3357" s="42"/>
    </row>
    <row r="3358" ht="22.5" customHeight="1">
      <c r="B3358" s="42">
        <f t="shared" si="7"/>
        <v>3352</v>
      </c>
      <c r="C3358" s="31" t="s">
        <v>3417</v>
      </c>
      <c r="D3358" s="34" t="str">
        <f t="array" ref="D3358">IFNA(_xlfn.XLOOKUP(C3358,Table_Tarikan_Warkah[Nomor Sertipikat],Table_Tarikan_Warkah[Nomor Tiket]),"")</f>
        <v>K/11/010825/1</v>
      </c>
      <c r="E3358" s="36">
        <f t="array" ref="E3358">IFNA(_xlfn.XLOOKUP(D3358,Table_Tarikan_Warkah[Nomor Tiket],Table_Tarikan_Warkah[Tanggal diserahkan kepada Validator]),"")</f>
        <v>45926.58302</v>
      </c>
      <c r="F3358" s="36" t="str">
        <f t="array" ref="F3358">IFNA(_xlfn.XLOOKUP(D3358,Table_Tarikan_Warkah[Nomor Tiket],Table_Tarikan_Warkah[Nama Petugas Warkah]),"")</f>
        <v>David</v>
      </c>
      <c r="G3358" s="39" t="str">
        <f t="array" ref="G3358">IFNA(_xlfn.XLOOKUP(D3358,Table_Tarikan_Warkah[Nomor Tiket],Table_Tarikan_Warkah[Jenis Permohonan]),"")</f>
        <v>Roya</v>
      </c>
      <c r="H3358" s="41" t="s">
        <v>2315</v>
      </c>
      <c r="I3358" s="49" t="s">
        <v>23</v>
      </c>
      <c r="J3358" s="36">
        <f t="shared" si="20"/>
        <v>45877.41509</v>
      </c>
      <c r="K3358" s="49" t="s">
        <v>2378</v>
      </c>
      <c r="L3358" s="49" t="s">
        <v>23</v>
      </c>
      <c r="M3358" s="36">
        <f t="shared" si="33"/>
        <v>45877.66607</v>
      </c>
      <c r="N3358" s="30" t="str">
        <f t="shared" si="34"/>
        <v>Selesai</v>
      </c>
      <c r="O3358" s="45">
        <f t="shared" si="23"/>
        <v>45877.66607</v>
      </c>
      <c r="P3358" s="47" t="b">
        <v>0</v>
      </c>
      <c r="Q3358" s="36" t="str">
        <f t="shared" si="35"/>
        <v/>
      </c>
      <c r="R3358" s="47" t="b">
        <v>0</v>
      </c>
      <c r="S3358" s="42" t="str">
        <f t="shared" si="28"/>
        <v/>
      </c>
      <c r="T3358" s="42"/>
    </row>
    <row r="3359" ht="22.5" customHeight="1">
      <c r="B3359" s="42">
        <f t="shared" si="7"/>
        <v>3353</v>
      </c>
      <c r="C3359" s="31" t="s">
        <v>3418</v>
      </c>
      <c r="D3359" s="34" t="str">
        <f t="array" ref="D3359">IFNA(_xlfn.XLOOKUP(C3359,Table_Tarikan_Warkah[Nomor Sertipikat],Table_Tarikan_Warkah[Nomor Tiket]),"")</f>
        <v>K/9/290725/1</v>
      </c>
      <c r="E3359" s="36" t="str">
        <f t="array" ref="E3359">IFNA(_xlfn.XLOOKUP(D3359,Table_Tarikan_Warkah[Nomor Tiket],Table_Tarikan_Warkah[Tanggal diserahkan kepada Validator]),"")</f>
        <v/>
      </c>
      <c r="F3359" s="36" t="str">
        <f t="array" ref="F3359">IFNA(_xlfn.XLOOKUP(D3359,Table_Tarikan_Warkah[Nomor Tiket],Table_Tarikan_Warkah[Nama Petugas Warkah]),"")</f>
        <v/>
      </c>
      <c r="G3359" s="39" t="str">
        <f t="array" ref="G3359">IFNA(_xlfn.XLOOKUP(D3359,Table_Tarikan_Warkah[Nomor Tiket],Table_Tarikan_Warkah[Jenis Permohonan]),"")</f>
        <v>BN Jual Beli</v>
      </c>
      <c r="H3359" s="41" t="s">
        <v>2315</v>
      </c>
      <c r="I3359" s="49" t="s">
        <v>23</v>
      </c>
      <c r="J3359" s="36">
        <f t="shared" si="20"/>
        <v>45877.41524</v>
      </c>
      <c r="K3359" s="49" t="s">
        <v>2378</v>
      </c>
      <c r="L3359" s="49" t="s">
        <v>23</v>
      </c>
      <c r="M3359" s="36">
        <f t="shared" si="33"/>
        <v>45877.66607</v>
      </c>
      <c r="N3359" s="30" t="str">
        <f t="shared" si="34"/>
        <v>Selesai</v>
      </c>
      <c r="O3359" s="45">
        <f t="shared" si="23"/>
        <v>45877.66607</v>
      </c>
      <c r="P3359" s="47" t="b">
        <v>0</v>
      </c>
      <c r="Q3359" s="36" t="str">
        <f t="shared" si="35"/>
        <v/>
      </c>
      <c r="R3359" s="47" t="b">
        <v>0</v>
      </c>
      <c r="S3359" s="42" t="str">
        <f t="shared" si="28"/>
        <v/>
      </c>
      <c r="T3359" s="42"/>
    </row>
    <row r="3360" ht="22.5" customHeight="1">
      <c r="B3360" s="42">
        <f t="shared" si="7"/>
        <v>3354</v>
      </c>
      <c r="C3360" s="31" t="s">
        <v>3419</v>
      </c>
      <c r="D3360" s="34" t="str">
        <f t="array" ref="D3360">IFNA(_xlfn.XLOOKUP(C3360,Table_Tarikan_Warkah[Nomor Sertipikat],Table_Tarikan_Warkah[Nomor Tiket]),"")</f>
        <v>K/20/280725/3</v>
      </c>
      <c r="E3360" s="36">
        <f t="array" ref="E3360">IFNA(_xlfn.XLOOKUP(D3360,Table_Tarikan_Warkah[Nomor Tiket],Table_Tarikan_Warkah[Tanggal diserahkan kepada Validator]),"")</f>
        <v>45904.61622</v>
      </c>
      <c r="F3360" s="36" t="str">
        <f t="array" ref="F3360">IFNA(_xlfn.XLOOKUP(D3360,Table_Tarikan_Warkah[Nomor Tiket],Table_Tarikan_Warkah[Nama Petugas Warkah]),"")</f>
        <v>David</v>
      </c>
      <c r="G3360" s="39" t="str">
        <f t="array" ref="G3360">IFNA(_xlfn.XLOOKUP(D3360,Table_Tarikan_Warkah[Nomor Tiket],Table_Tarikan_Warkah[Jenis Permohonan]),"")</f>
        <v>Roya</v>
      </c>
      <c r="H3360" s="41" t="s">
        <v>2315</v>
      </c>
      <c r="I3360" s="49" t="s">
        <v>23</v>
      </c>
      <c r="J3360" s="36">
        <f t="shared" si="20"/>
        <v>45877.41539</v>
      </c>
      <c r="K3360" s="49" t="s">
        <v>2378</v>
      </c>
      <c r="L3360" s="49" t="s">
        <v>23</v>
      </c>
      <c r="M3360" s="36">
        <f t="shared" si="33"/>
        <v>45880.44379</v>
      </c>
      <c r="N3360" s="30" t="str">
        <f t="shared" si="34"/>
        <v>Selesai</v>
      </c>
      <c r="O3360" s="45">
        <f t="shared" si="23"/>
        <v>45880.44379</v>
      </c>
      <c r="P3360" s="47" t="b">
        <v>0</v>
      </c>
      <c r="Q3360" s="36" t="str">
        <f t="shared" si="35"/>
        <v/>
      </c>
      <c r="R3360" s="47" t="b">
        <v>0</v>
      </c>
      <c r="S3360" s="42" t="str">
        <f t="shared" si="28"/>
        <v/>
      </c>
      <c r="T3360" s="42"/>
    </row>
    <row r="3361" ht="22.5" customHeight="1">
      <c r="B3361" s="42">
        <f t="shared" si="7"/>
        <v>3355</v>
      </c>
      <c r="C3361" s="31" t="s">
        <v>3420</v>
      </c>
      <c r="D3361" s="34" t="str">
        <f t="array" ref="D3361">IFNA(_xlfn.XLOOKUP(C3361,Table_Tarikan_Warkah[Nomor Sertipikat],Table_Tarikan_Warkah[Nomor Tiket]),"")</f>
        <v>K/21/050825/1</v>
      </c>
      <c r="E3361" s="36">
        <f t="array" ref="E3361">IFNA(_xlfn.XLOOKUP(D3361,Table_Tarikan_Warkah[Nomor Tiket],Table_Tarikan_Warkah[Tanggal diserahkan kepada Validator]),"")</f>
        <v>45945.68058</v>
      </c>
      <c r="F3361" s="36" t="str">
        <f t="array" ref="F3361">IFNA(_xlfn.XLOOKUP(D3361,Table_Tarikan_Warkah[Nomor Tiket],Table_Tarikan_Warkah[Nama Petugas Warkah]),"")</f>
        <v>Berry</v>
      </c>
      <c r="G3361" s="39" t="str">
        <f t="array" ref="G3361">IFNA(_xlfn.XLOOKUP(D3361,Table_Tarikan_Warkah[Nomor Tiket],Table_Tarikan_Warkah[Jenis Permohonan]),"")</f>
        <v>Perubahan Hak</v>
      </c>
      <c r="H3361" s="41" t="s">
        <v>2315</v>
      </c>
      <c r="I3361" s="49" t="s">
        <v>23</v>
      </c>
      <c r="J3361" s="36">
        <f t="shared" si="20"/>
        <v>45877.41552</v>
      </c>
      <c r="K3361" s="49" t="s">
        <v>2378</v>
      </c>
      <c r="L3361" s="49" t="s">
        <v>23</v>
      </c>
      <c r="M3361" s="36">
        <f t="shared" si="33"/>
        <v>45877.66609</v>
      </c>
      <c r="N3361" s="30" t="str">
        <f t="shared" si="34"/>
        <v>Selesai</v>
      </c>
      <c r="O3361" s="45">
        <f t="shared" si="23"/>
        <v>45877.66609</v>
      </c>
      <c r="P3361" s="47" t="b">
        <v>0</v>
      </c>
      <c r="Q3361" s="36" t="str">
        <f t="shared" si="35"/>
        <v/>
      </c>
      <c r="R3361" s="47" t="b">
        <v>0</v>
      </c>
      <c r="S3361" s="42" t="str">
        <f t="shared" si="28"/>
        <v/>
      </c>
      <c r="T3361" s="42"/>
    </row>
    <row r="3362" ht="22.5" customHeight="1">
      <c r="B3362" s="42">
        <f t="shared" si="7"/>
        <v>3356</v>
      </c>
      <c r="C3362" s="31" t="s">
        <v>3421</v>
      </c>
      <c r="D3362" s="34" t="str">
        <f t="array" ref="D3362">IFNA(_xlfn.XLOOKUP(C3362,Table_Tarikan_Warkah[Nomor Sertipikat],Table_Tarikan_Warkah[Nomor Tiket]),"")</f>
        <v>K/30/300725/1</v>
      </c>
      <c r="E3362" s="36" t="str">
        <f t="array" ref="E3362">IFNA(_xlfn.XLOOKUP(D3362,Table_Tarikan_Warkah[Nomor Tiket],Table_Tarikan_Warkah[Tanggal diserahkan kepada Validator]),"")</f>
        <v/>
      </c>
      <c r="F3362" s="36" t="str">
        <f t="array" ref="F3362">IFNA(_xlfn.XLOOKUP(D3362,Table_Tarikan_Warkah[Nomor Tiket],Table_Tarikan_Warkah[Nama Petugas Warkah]),"")</f>
        <v/>
      </c>
      <c r="G3362" s="39" t="str">
        <f t="array" ref="G3362">IFNA(_xlfn.XLOOKUP(D3362,Table_Tarikan_Warkah[Nomor Tiket],Table_Tarikan_Warkah[Jenis Permohonan]),"")</f>
        <v>BN Jual Beli</v>
      </c>
      <c r="H3362" s="41" t="s">
        <v>2315</v>
      </c>
      <c r="I3362" s="49" t="s">
        <v>23</v>
      </c>
      <c r="J3362" s="36">
        <f t="shared" si="20"/>
        <v>45877.41568</v>
      </c>
      <c r="K3362" s="49" t="s">
        <v>2378</v>
      </c>
      <c r="L3362" s="49" t="s">
        <v>23</v>
      </c>
      <c r="M3362" s="36">
        <f t="shared" si="33"/>
        <v>45877.66611</v>
      </c>
      <c r="N3362" s="30" t="str">
        <f t="shared" si="34"/>
        <v>Selesai</v>
      </c>
      <c r="O3362" s="45">
        <f t="shared" si="23"/>
        <v>45877.66611</v>
      </c>
      <c r="P3362" s="47" t="b">
        <v>0</v>
      </c>
      <c r="Q3362" s="36" t="str">
        <f t="shared" si="35"/>
        <v/>
      </c>
      <c r="R3362" s="47" t="b">
        <v>0</v>
      </c>
      <c r="S3362" s="42" t="str">
        <f t="shared" si="28"/>
        <v/>
      </c>
      <c r="T3362" s="42"/>
    </row>
    <row r="3363" ht="22.5" customHeight="1">
      <c r="B3363" s="42">
        <f t="shared" si="7"/>
        <v>3357</v>
      </c>
      <c r="C3363" s="31" t="s">
        <v>3422</v>
      </c>
      <c r="D3363" s="34" t="str">
        <f t="array" ref="D3363">IFNA(_xlfn.XLOOKUP(C3363,Table_Tarikan_Warkah[Nomor Sertipikat],Table_Tarikan_Warkah[Nomor Tiket]),"")</f>
        <v>K/7/280725/1</v>
      </c>
      <c r="E3363" s="36" t="str">
        <f t="array" ref="E3363">IFNA(_xlfn.XLOOKUP(D3363,Table_Tarikan_Warkah[Nomor Tiket],Table_Tarikan_Warkah[Tanggal diserahkan kepada Validator]),"")</f>
        <v/>
      </c>
      <c r="F3363" s="36" t="str">
        <f t="array" ref="F3363">IFNA(_xlfn.XLOOKUP(D3363,Table_Tarikan_Warkah[Nomor Tiket],Table_Tarikan_Warkah[Nama Petugas Warkah]),"")</f>
        <v/>
      </c>
      <c r="G3363" s="39" t="str">
        <f t="array" ref="G3363">IFNA(_xlfn.XLOOKUP(D3363,Table_Tarikan_Warkah[Nomor Tiket],Table_Tarikan_Warkah[Jenis Permohonan]),"")</f>
        <v>BN Jual Beli</v>
      </c>
      <c r="H3363" s="41" t="s">
        <v>2315</v>
      </c>
      <c r="I3363" s="49" t="s">
        <v>23</v>
      </c>
      <c r="J3363" s="36">
        <f t="shared" si="20"/>
        <v>45877.41588</v>
      </c>
      <c r="K3363" s="49" t="s">
        <v>2378</v>
      </c>
      <c r="L3363" s="49" t="s">
        <v>23</v>
      </c>
      <c r="M3363" s="36">
        <f t="shared" si="33"/>
        <v>45877.66611</v>
      </c>
      <c r="N3363" s="30" t="str">
        <f t="shared" si="34"/>
        <v>Selesai</v>
      </c>
      <c r="O3363" s="45">
        <f t="shared" si="23"/>
        <v>45877.66611</v>
      </c>
      <c r="P3363" s="47" t="b">
        <v>0</v>
      </c>
      <c r="Q3363" s="36" t="str">
        <f t="shared" si="35"/>
        <v/>
      </c>
      <c r="R3363" s="47" t="b">
        <v>0</v>
      </c>
      <c r="S3363" s="42" t="str">
        <f t="shared" si="28"/>
        <v/>
      </c>
      <c r="T3363" s="42"/>
    </row>
    <row r="3364" ht="22.5" customHeight="1">
      <c r="B3364" s="42">
        <f t="shared" si="7"/>
        <v>3358</v>
      </c>
      <c r="C3364" s="31" t="s">
        <v>3423</v>
      </c>
      <c r="D3364" s="34" t="str">
        <f t="array" ref="D3364">IFNA(_xlfn.XLOOKUP(C3364,Table_Tarikan_Warkah[Nomor Sertipikat],Table_Tarikan_Warkah[Nomor Tiket]),"")</f>
        <v>K/30/180725/1</v>
      </c>
      <c r="E3364" s="36" t="str">
        <f t="array" ref="E3364">IFNA(_xlfn.XLOOKUP(D3364,Table_Tarikan_Warkah[Nomor Tiket],Table_Tarikan_Warkah[Tanggal diserahkan kepada Validator]),"")</f>
        <v/>
      </c>
      <c r="F3364" s="36" t="str">
        <f t="array" ref="F3364">IFNA(_xlfn.XLOOKUP(D3364,Table_Tarikan_Warkah[Nomor Tiket],Table_Tarikan_Warkah[Nama Petugas Warkah]),"")</f>
        <v/>
      </c>
      <c r="G3364" s="39" t="str">
        <f t="array" ref="G3364">IFNA(_xlfn.XLOOKUP(D3364,Table_Tarikan_Warkah[Nomor Tiket],Table_Tarikan_Warkah[Jenis Permohonan]),"")</f>
        <v>BN Jual Beli</v>
      </c>
      <c r="H3364" s="41" t="s">
        <v>2315</v>
      </c>
      <c r="I3364" s="49" t="s">
        <v>23</v>
      </c>
      <c r="J3364" s="36">
        <f t="shared" si="20"/>
        <v>45877.41604</v>
      </c>
      <c r="K3364" s="49" t="s">
        <v>2378</v>
      </c>
      <c r="L3364" s="49" t="s">
        <v>23</v>
      </c>
      <c r="M3364" s="36">
        <f t="shared" si="33"/>
        <v>45877.66611</v>
      </c>
      <c r="N3364" s="30" t="str">
        <f t="shared" si="34"/>
        <v>Selesai</v>
      </c>
      <c r="O3364" s="45">
        <f t="shared" si="23"/>
        <v>45877.66611</v>
      </c>
      <c r="P3364" s="47" t="b">
        <v>0</v>
      </c>
      <c r="Q3364" s="36" t="str">
        <f t="shared" si="35"/>
        <v/>
      </c>
      <c r="R3364" s="47" t="b">
        <v>0</v>
      </c>
      <c r="S3364" s="42" t="str">
        <f t="shared" si="28"/>
        <v/>
      </c>
      <c r="T3364" s="42"/>
    </row>
    <row r="3365" ht="22.5" customHeight="1">
      <c r="B3365" s="42">
        <f t="shared" si="7"/>
        <v>3359</v>
      </c>
      <c r="C3365" s="31" t="s">
        <v>3424</v>
      </c>
      <c r="D3365" s="34" t="str">
        <f t="array" ref="D3365">IFNA(_xlfn.XLOOKUP(C3365,Table_Tarikan_Warkah[Nomor Sertipikat],Table_Tarikan_Warkah[Nomor Tiket]),"")</f>
        <v>K/23/210725/1</v>
      </c>
      <c r="E3365" s="36" t="str">
        <f t="array" ref="E3365">IFNA(_xlfn.XLOOKUP(D3365,Table_Tarikan_Warkah[Nomor Tiket],Table_Tarikan_Warkah[Tanggal diserahkan kepada Validator]),"")</f>
        <v/>
      </c>
      <c r="F3365" s="36" t="str">
        <f t="array" ref="F3365">IFNA(_xlfn.XLOOKUP(D3365,Table_Tarikan_Warkah[Nomor Tiket],Table_Tarikan_Warkah[Nama Petugas Warkah]),"")</f>
        <v/>
      </c>
      <c r="G3365" s="39" t="str">
        <f t="array" ref="G3365">IFNA(_xlfn.XLOOKUP(D3365,Table_Tarikan_Warkah[Nomor Tiket],Table_Tarikan_Warkah[Jenis Permohonan]),"")</f>
        <v>BN Waris</v>
      </c>
      <c r="H3365" s="41" t="s">
        <v>2315</v>
      </c>
      <c r="I3365" s="49" t="s">
        <v>23</v>
      </c>
      <c r="J3365" s="36">
        <f t="shared" si="20"/>
        <v>45877.41621</v>
      </c>
      <c r="K3365" s="49" t="s">
        <v>2378</v>
      </c>
      <c r="L3365" s="49" t="s">
        <v>23</v>
      </c>
      <c r="M3365" s="36">
        <f t="shared" si="33"/>
        <v>45877.66611</v>
      </c>
      <c r="N3365" s="30" t="str">
        <f t="shared" si="34"/>
        <v>Selesai</v>
      </c>
      <c r="O3365" s="45">
        <f t="shared" si="23"/>
        <v>45877.66611</v>
      </c>
      <c r="P3365" s="47" t="b">
        <v>0</v>
      </c>
      <c r="Q3365" s="36" t="str">
        <f t="shared" si="35"/>
        <v/>
      </c>
      <c r="R3365" s="47" t="b">
        <v>0</v>
      </c>
      <c r="S3365" s="42" t="str">
        <f t="shared" si="28"/>
        <v/>
      </c>
      <c r="T3365" s="42"/>
    </row>
    <row r="3366" ht="22.5" customHeight="1">
      <c r="B3366" s="42">
        <f t="shared" si="7"/>
        <v>3360</v>
      </c>
      <c r="C3366" s="31" t="s">
        <v>3425</v>
      </c>
      <c r="D3366" s="34" t="str">
        <f t="array" ref="D3366">IFNA(_xlfn.XLOOKUP(C3366,Table_Tarikan_Warkah[Nomor Sertipikat],Table_Tarikan_Warkah[Nomor Tiket]),"")</f>
        <v>K/3/180725/1</v>
      </c>
      <c r="E3366" s="36" t="str">
        <f t="array" ref="E3366">IFNA(_xlfn.XLOOKUP(D3366,Table_Tarikan_Warkah[Nomor Tiket],Table_Tarikan_Warkah[Tanggal diserahkan kepada Validator]),"")</f>
        <v/>
      </c>
      <c r="F3366" s="36" t="str">
        <f t="array" ref="F3366">IFNA(_xlfn.XLOOKUP(D3366,Table_Tarikan_Warkah[Nomor Tiket],Table_Tarikan_Warkah[Nama Petugas Warkah]),"")</f>
        <v/>
      </c>
      <c r="G3366" s="39" t="str">
        <f t="array" ref="G3366">IFNA(_xlfn.XLOOKUP(D3366,Table_Tarikan_Warkah[Nomor Tiket],Table_Tarikan_Warkah[Jenis Permohonan]),"")</f>
        <v>BN Jual Beli</v>
      </c>
      <c r="H3366" s="41" t="s">
        <v>2315</v>
      </c>
      <c r="I3366" s="49" t="s">
        <v>23</v>
      </c>
      <c r="J3366" s="36">
        <f t="shared" si="20"/>
        <v>45877.41637</v>
      </c>
      <c r="K3366" s="49" t="s">
        <v>2378</v>
      </c>
      <c r="L3366" s="49" t="s">
        <v>23</v>
      </c>
      <c r="M3366" s="36">
        <f t="shared" si="33"/>
        <v>45877.66611</v>
      </c>
      <c r="N3366" s="30" t="str">
        <f t="shared" si="34"/>
        <v>Selesai</v>
      </c>
      <c r="O3366" s="45">
        <f t="shared" si="23"/>
        <v>45877.66611</v>
      </c>
      <c r="P3366" s="47" t="b">
        <v>0</v>
      </c>
      <c r="Q3366" s="36" t="str">
        <f t="shared" si="35"/>
        <v/>
      </c>
      <c r="R3366" s="47" t="b">
        <v>0</v>
      </c>
      <c r="S3366" s="42" t="str">
        <f t="shared" si="28"/>
        <v/>
      </c>
      <c r="T3366" s="42"/>
    </row>
    <row r="3367" ht="22.5" customHeight="1">
      <c r="B3367" s="42">
        <f t="shared" si="7"/>
        <v>3361</v>
      </c>
      <c r="C3367" s="31" t="s">
        <v>3426</v>
      </c>
      <c r="D3367" s="34" t="str">
        <f t="array" ref="D3367">IFNA(_xlfn.XLOOKUP(C3367,Table_Tarikan_Warkah[Nomor Sertipikat],Table_Tarikan_Warkah[Nomor Tiket]),"")</f>
        <v>K/9/160725/2</v>
      </c>
      <c r="E3367" s="36">
        <f t="array" ref="E3367">IFNA(_xlfn.XLOOKUP(D3367,Table_Tarikan_Warkah[Nomor Tiket],Table_Tarikan_Warkah[Tanggal diserahkan kepada Validator]),"")</f>
        <v>45883.6559</v>
      </c>
      <c r="F3367" s="36" t="str">
        <f t="array" ref="F3367">IFNA(_xlfn.XLOOKUP(D3367,Table_Tarikan_Warkah[Nomor Tiket],Table_Tarikan_Warkah[Nama Petugas Warkah]),"")</f>
        <v>David</v>
      </c>
      <c r="G3367" s="39" t="str">
        <f t="array" ref="G3367">IFNA(_xlfn.XLOOKUP(D3367,Table_Tarikan_Warkah[Nomor Tiket],Table_Tarikan_Warkah[Jenis Permohonan]),"")</f>
        <v>BN JUAL BELI</v>
      </c>
      <c r="H3367" s="41" t="s">
        <v>20</v>
      </c>
      <c r="I3367" s="49" t="s">
        <v>23</v>
      </c>
      <c r="J3367" s="36">
        <f t="shared" si="20"/>
        <v>45880.46183</v>
      </c>
      <c r="K3367" s="49" t="s">
        <v>2378</v>
      </c>
      <c r="L3367" s="49" t="s">
        <v>23</v>
      </c>
      <c r="M3367" s="36">
        <f t="shared" si="33"/>
        <v>45880.69051</v>
      </c>
      <c r="N3367" s="30" t="str">
        <f t="shared" si="34"/>
        <v>Selesai</v>
      </c>
      <c r="O3367" s="45">
        <f t="shared" si="23"/>
        <v>45880.69051</v>
      </c>
      <c r="P3367" s="47" t="b">
        <v>0</v>
      </c>
      <c r="Q3367" s="36" t="str">
        <f t="shared" si="35"/>
        <v/>
      </c>
      <c r="R3367" s="47" t="b">
        <v>0</v>
      </c>
      <c r="S3367" s="42" t="str">
        <f t="shared" si="28"/>
        <v/>
      </c>
      <c r="T3367" s="42"/>
    </row>
    <row r="3368" ht="22.5" customHeight="1">
      <c r="B3368" s="42">
        <f t="shared" si="7"/>
        <v>3362</v>
      </c>
      <c r="C3368" s="31" t="s">
        <v>3427</v>
      </c>
      <c r="D3368" s="34" t="str">
        <f t="array" ref="D3368">IFNA(_xlfn.XLOOKUP(C3368,Table_Tarikan_Warkah[Nomor Sertipikat],Table_Tarikan_Warkah[Nomor Tiket]),"")</f>
        <v>K/22/310725/1</v>
      </c>
      <c r="E3368" s="36">
        <f t="array" ref="E3368">IFNA(_xlfn.XLOOKUP(D3368,Table_Tarikan_Warkah[Nomor Tiket],Table_Tarikan_Warkah[Tanggal diserahkan kepada Validator]),"")</f>
        <v>45883.6576</v>
      </c>
      <c r="F3368" s="36" t="str">
        <f t="array" ref="F3368">IFNA(_xlfn.XLOOKUP(D3368,Table_Tarikan_Warkah[Nomor Tiket],Table_Tarikan_Warkah[Nama Petugas Warkah]),"")</f>
        <v>David</v>
      </c>
      <c r="G3368" s="39" t="str">
        <f t="array" ref="G3368">IFNA(_xlfn.XLOOKUP(D3368,Table_Tarikan_Warkah[Nomor Tiket],Table_Tarikan_Warkah[Jenis Permohonan]),"")</f>
        <v>BN JUAL BELI</v>
      </c>
      <c r="H3368" s="41" t="s">
        <v>20</v>
      </c>
      <c r="I3368" s="49" t="s">
        <v>23</v>
      </c>
      <c r="J3368" s="36">
        <f t="shared" si="20"/>
        <v>45880.46199</v>
      </c>
      <c r="K3368" s="49" t="s">
        <v>2378</v>
      </c>
      <c r="L3368" s="49" t="s">
        <v>23</v>
      </c>
      <c r="M3368" s="36">
        <f t="shared" si="33"/>
        <v>45880.69042</v>
      </c>
      <c r="N3368" s="30" t="str">
        <f t="shared" si="34"/>
        <v>Selesai</v>
      </c>
      <c r="O3368" s="45">
        <f t="shared" si="23"/>
        <v>45880.69042</v>
      </c>
      <c r="P3368" s="47" t="b">
        <v>0</v>
      </c>
      <c r="Q3368" s="36" t="str">
        <f t="shared" si="35"/>
        <v/>
      </c>
      <c r="R3368" s="47" t="b">
        <v>0</v>
      </c>
      <c r="S3368" s="42" t="str">
        <f t="shared" si="28"/>
        <v/>
      </c>
      <c r="T3368" s="42"/>
    </row>
    <row r="3369" ht="22.5" customHeight="1">
      <c r="B3369" s="42">
        <f t="shared" si="7"/>
        <v>3363</v>
      </c>
      <c r="C3369" s="31" t="s">
        <v>3428</v>
      </c>
      <c r="D3369" s="34" t="str">
        <f t="array" ref="D3369">IFNA(_xlfn.XLOOKUP(C3369,Table_Tarikan_Warkah[Nomor Sertipikat],Table_Tarikan_Warkah[Nomor Tiket]),"")</f>
        <v>K/1/050825/1</v>
      </c>
      <c r="E3369" s="36" t="str">
        <f t="array" ref="E3369">IFNA(_xlfn.XLOOKUP(D3369,Table_Tarikan_Warkah[Nomor Tiket],Table_Tarikan_Warkah[Tanggal diserahkan kepada Validator]),"")</f>
        <v/>
      </c>
      <c r="F3369" s="36" t="str">
        <f t="array" ref="F3369">IFNA(_xlfn.XLOOKUP(D3369,Table_Tarikan_Warkah[Nomor Tiket],Table_Tarikan_Warkah[Nama Petugas Warkah]),"")</f>
        <v/>
      </c>
      <c r="G3369" s="39" t="str">
        <f t="array" ref="G3369">IFNA(_xlfn.XLOOKUP(D3369,Table_Tarikan_Warkah[Nomor Tiket],Table_Tarikan_Warkah[Jenis Permohonan]),"")</f>
        <v>BN WARIS</v>
      </c>
      <c r="H3369" s="41" t="s">
        <v>20</v>
      </c>
      <c r="I3369" s="49" t="s">
        <v>23</v>
      </c>
      <c r="J3369" s="36">
        <f t="shared" si="20"/>
        <v>45880.46202</v>
      </c>
      <c r="K3369" s="49" t="s">
        <v>2378</v>
      </c>
      <c r="L3369" s="49" t="s">
        <v>23</v>
      </c>
      <c r="M3369" s="36">
        <f t="shared" si="33"/>
        <v>45881.58463</v>
      </c>
      <c r="N3369" s="30" t="str">
        <f t="shared" si="34"/>
        <v>Selesai</v>
      </c>
      <c r="O3369" s="45">
        <f t="shared" si="23"/>
        <v>45881.58463</v>
      </c>
      <c r="P3369" s="47" t="b">
        <v>0</v>
      </c>
      <c r="Q3369" s="36" t="str">
        <f t="shared" si="35"/>
        <v/>
      </c>
      <c r="R3369" s="47" t="b">
        <v>0</v>
      </c>
      <c r="S3369" s="42" t="str">
        <f t="shared" si="28"/>
        <v/>
      </c>
      <c r="T3369" s="42"/>
    </row>
    <row r="3370" ht="22.5" customHeight="1">
      <c r="B3370" s="42">
        <f t="shared" si="7"/>
        <v>3364</v>
      </c>
      <c r="C3370" s="31" t="s">
        <v>3429</v>
      </c>
      <c r="D3370" s="34" t="str">
        <f t="array" ref="D3370">IFNA(_xlfn.XLOOKUP(C3370,Table_Tarikan_Warkah[Nomor Sertipikat],Table_Tarikan_Warkah[Nomor Tiket]),"")</f>
        <v>K/39/160525/1</v>
      </c>
      <c r="E3370" s="36" t="str">
        <f t="array" ref="E3370">IFNA(_xlfn.XLOOKUP(D3370,Table_Tarikan_Warkah[Nomor Tiket],Table_Tarikan_Warkah[Tanggal diserahkan kepada Validator]),"")</f>
        <v/>
      </c>
      <c r="F3370" s="36" t="str">
        <f t="array" ref="F3370">IFNA(_xlfn.XLOOKUP(D3370,Table_Tarikan_Warkah[Nomor Tiket],Table_Tarikan_Warkah[Nama Petugas Warkah]),"")</f>
        <v/>
      </c>
      <c r="G3370" s="39" t="str">
        <f t="array" ref="G3370">IFNA(_xlfn.XLOOKUP(D3370,Table_Tarikan_Warkah[Nomor Tiket],Table_Tarikan_Warkah[Jenis Permohonan]),"")</f>
        <v>ROYA</v>
      </c>
      <c r="H3370" s="41" t="s">
        <v>20</v>
      </c>
      <c r="I3370" s="49" t="s">
        <v>23</v>
      </c>
      <c r="J3370" s="36">
        <f t="shared" si="20"/>
        <v>45880.46216</v>
      </c>
      <c r="K3370" s="49" t="s">
        <v>2378</v>
      </c>
      <c r="L3370" s="49" t="s">
        <v>23</v>
      </c>
      <c r="M3370" s="36">
        <f t="shared" si="33"/>
        <v>45881.46739</v>
      </c>
      <c r="N3370" s="30" t="str">
        <f t="shared" si="34"/>
        <v>Selesai</v>
      </c>
      <c r="O3370" s="45">
        <f t="shared" si="23"/>
        <v>45881.46739</v>
      </c>
      <c r="P3370" s="47" t="b">
        <v>0</v>
      </c>
      <c r="Q3370" s="36" t="str">
        <f t="shared" si="35"/>
        <v/>
      </c>
      <c r="R3370" s="47" t="b">
        <v>0</v>
      </c>
      <c r="S3370" s="42" t="str">
        <f t="shared" si="28"/>
        <v/>
      </c>
      <c r="T3370" s="42"/>
    </row>
    <row r="3371" ht="22.5" customHeight="1">
      <c r="B3371" s="42">
        <f t="shared" si="7"/>
        <v>3365</v>
      </c>
      <c r="C3371" s="31" t="s">
        <v>3430</v>
      </c>
      <c r="D3371" s="34" t="str">
        <f t="array" ref="D3371">IFNA(_xlfn.XLOOKUP(C3371,Table_Tarikan_Warkah[Nomor Sertipikat],Table_Tarikan_Warkah[Nomor Tiket]),"")</f>
        <v>L/3/290725/1</v>
      </c>
      <c r="E3371" s="36" t="str">
        <f t="array" ref="E3371">IFNA(_xlfn.XLOOKUP(D3371,Table_Tarikan_Warkah[Nomor Tiket],Table_Tarikan_Warkah[Tanggal diserahkan kepada Validator]),"")</f>
        <v/>
      </c>
      <c r="F3371" s="36" t="str">
        <f t="array" ref="F3371">IFNA(_xlfn.XLOOKUP(D3371,Table_Tarikan_Warkah[Nomor Tiket],Table_Tarikan_Warkah[Nama Petugas Warkah]),"")</f>
        <v/>
      </c>
      <c r="G3371" s="39" t="str">
        <f t="array" ref="G3371">IFNA(_xlfn.XLOOKUP(D3371,Table_Tarikan_Warkah[Nomor Tiket],Table_Tarikan_Warkah[Jenis Permohonan]),"")</f>
        <v>PH</v>
      </c>
      <c r="H3371" s="41" t="s">
        <v>20</v>
      </c>
      <c r="I3371" s="49" t="s">
        <v>23</v>
      </c>
      <c r="J3371" s="36">
        <f t="shared" si="20"/>
        <v>45880.46227</v>
      </c>
      <c r="K3371" s="49" t="s">
        <v>2378</v>
      </c>
      <c r="L3371" s="49" t="s">
        <v>23</v>
      </c>
      <c r="M3371" s="36">
        <f t="shared" si="33"/>
        <v>45881.58461</v>
      </c>
      <c r="N3371" s="30" t="str">
        <f t="shared" si="34"/>
        <v>Selesai</v>
      </c>
      <c r="O3371" s="45">
        <f t="shared" si="23"/>
        <v>45881.58461</v>
      </c>
      <c r="P3371" s="47" t="b">
        <v>0</v>
      </c>
      <c r="Q3371" s="36" t="str">
        <f t="shared" si="35"/>
        <v/>
      </c>
      <c r="R3371" s="47" t="b">
        <v>0</v>
      </c>
      <c r="S3371" s="42" t="str">
        <f t="shared" si="28"/>
        <v/>
      </c>
      <c r="T3371" s="42"/>
    </row>
    <row r="3372" ht="22.5" customHeight="1">
      <c r="B3372" s="42">
        <f t="shared" si="7"/>
        <v>3366</v>
      </c>
      <c r="C3372" s="31" t="s">
        <v>3431</v>
      </c>
      <c r="D3372" s="34" t="str">
        <f t="array" ref="D3372">IFNA(_xlfn.XLOOKUP(C3372,Table_Tarikan_Warkah[Nomor Sertipikat],Table_Tarikan_Warkah[Nomor Tiket]),"")</f>
        <v>L/7/290725/1</v>
      </c>
      <c r="E3372" s="36">
        <f t="array" ref="E3372">IFNA(_xlfn.XLOOKUP(D3372,Table_Tarikan_Warkah[Nomor Tiket],Table_Tarikan_Warkah[Tanggal diserahkan kepada Validator]),"")</f>
        <v>45904.61598</v>
      </c>
      <c r="F3372" s="36" t="str">
        <f t="array" ref="F3372">IFNA(_xlfn.XLOOKUP(D3372,Table_Tarikan_Warkah[Nomor Tiket],Table_Tarikan_Warkah[Nama Petugas Warkah]),"")</f>
        <v>David</v>
      </c>
      <c r="G3372" s="39" t="str">
        <f t="array" ref="G3372">IFNA(_xlfn.XLOOKUP(D3372,Table_Tarikan_Warkah[Nomor Tiket],Table_Tarikan_Warkah[Jenis Permohonan]),"")</f>
        <v>ROYA</v>
      </c>
      <c r="H3372" s="41" t="s">
        <v>20</v>
      </c>
      <c r="I3372" s="49" t="s">
        <v>23</v>
      </c>
      <c r="J3372" s="36">
        <f t="shared" si="20"/>
        <v>45880.46246</v>
      </c>
      <c r="K3372" s="49" t="s">
        <v>2378</v>
      </c>
      <c r="L3372" s="49" t="s">
        <v>23</v>
      </c>
      <c r="M3372" s="36">
        <f t="shared" si="33"/>
        <v>45880.69025</v>
      </c>
      <c r="N3372" s="30" t="str">
        <f t="shared" si="34"/>
        <v>Selesai</v>
      </c>
      <c r="O3372" s="45">
        <f t="shared" si="23"/>
        <v>45880.69025</v>
      </c>
      <c r="P3372" s="47" t="b">
        <v>0</v>
      </c>
      <c r="Q3372" s="36" t="str">
        <f t="shared" si="35"/>
        <v/>
      </c>
      <c r="R3372" s="47" t="b">
        <v>0</v>
      </c>
      <c r="S3372" s="42" t="str">
        <f t="shared" si="28"/>
        <v/>
      </c>
      <c r="T3372" s="42"/>
    </row>
    <row r="3373" ht="22.5" customHeight="1">
      <c r="B3373" s="42">
        <f t="shared" si="7"/>
        <v>3367</v>
      </c>
      <c r="C3373" s="31" t="s">
        <v>3432</v>
      </c>
      <c r="D3373" s="34" t="str">
        <f t="array" ref="D3373">IFNA(_xlfn.XLOOKUP(C3373,Table_Tarikan_Warkah[Nomor Sertipikat],Table_Tarikan_Warkah[Nomor Tiket]),"")</f>
        <v>L/10/040825/1</v>
      </c>
      <c r="E3373" s="36">
        <f t="array" ref="E3373">IFNA(_xlfn.XLOOKUP(D3373,Table_Tarikan_Warkah[Nomor Tiket],Table_Tarikan_Warkah[Tanggal diserahkan kepada Validator]),"")</f>
        <v>45926.58449</v>
      </c>
      <c r="F3373" s="36" t="str">
        <f t="array" ref="F3373">IFNA(_xlfn.XLOOKUP(D3373,Table_Tarikan_Warkah[Nomor Tiket],Table_Tarikan_Warkah[Nama Petugas Warkah]),"")</f>
        <v>David</v>
      </c>
      <c r="G3373" s="39" t="str">
        <f t="array" ref="G3373">IFNA(_xlfn.XLOOKUP(D3373,Table_Tarikan_Warkah[Nomor Tiket],Table_Tarikan_Warkah[Jenis Permohonan]),"")</f>
        <v>ROYA</v>
      </c>
      <c r="H3373" s="41" t="s">
        <v>20</v>
      </c>
      <c r="I3373" s="49" t="s">
        <v>23</v>
      </c>
      <c r="J3373" s="36">
        <f t="shared" si="20"/>
        <v>45880.4626</v>
      </c>
      <c r="K3373" s="49" t="s">
        <v>2378</v>
      </c>
      <c r="L3373" s="49" t="s">
        <v>23</v>
      </c>
      <c r="M3373" s="36">
        <f t="shared" si="33"/>
        <v>45880.69033</v>
      </c>
      <c r="N3373" s="30" t="str">
        <f t="shared" si="34"/>
        <v>Selesai</v>
      </c>
      <c r="O3373" s="45">
        <f t="shared" si="23"/>
        <v>45880.69033</v>
      </c>
      <c r="P3373" s="47" t="b">
        <v>0</v>
      </c>
      <c r="Q3373" s="36" t="str">
        <f t="shared" si="35"/>
        <v/>
      </c>
      <c r="R3373" s="47" t="b">
        <v>0</v>
      </c>
      <c r="S3373" s="42" t="str">
        <f t="shared" si="28"/>
        <v/>
      </c>
      <c r="T3373" s="42"/>
    </row>
    <row r="3374" ht="22.5" customHeight="1">
      <c r="B3374" s="42">
        <f t="shared" si="7"/>
        <v>3368</v>
      </c>
      <c r="C3374" s="31" t="s">
        <v>3433</v>
      </c>
      <c r="D3374" s="34" t="str">
        <f t="array" ref="D3374">IFNA(_xlfn.XLOOKUP(C3374,Table_Tarikan_Warkah[Nomor Sertipikat],Table_Tarikan_Warkah[Nomor Tiket]),"")</f>
        <v>L/16/290725/1</v>
      </c>
      <c r="E3374" s="36">
        <f t="array" ref="E3374">IFNA(_xlfn.XLOOKUP(D3374,Table_Tarikan_Warkah[Nomor Tiket],Table_Tarikan_Warkah[Tanggal diserahkan kepada Validator]),"")</f>
        <v>45889.58088</v>
      </c>
      <c r="F3374" s="36" t="str">
        <f t="array" ref="F3374">IFNA(_xlfn.XLOOKUP(D3374,Table_Tarikan_Warkah[Nomor Tiket],Table_Tarikan_Warkah[Nama Petugas Warkah]),"")</f>
        <v>Berry</v>
      </c>
      <c r="G3374" s="39" t="str">
        <f t="array" ref="G3374">IFNA(_xlfn.XLOOKUP(D3374,Table_Tarikan_Warkah[Nomor Tiket],Table_Tarikan_Warkah[Jenis Permohonan]),"")</f>
        <v>PH</v>
      </c>
      <c r="H3374" s="41" t="s">
        <v>20</v>
      </c>
      <c r="I3374" s="49" t="s">
        <v>23</v>
      </c>
      <c r="J3374" s="36">
        <f t="shared" si="20"/>
        <v>45880.46271</v>
      </c>
      <c r="K3374" s="49" t="s">
        <v>2378</v>
      </c>
      <c r="L3374" s="49" t="s">
        <v>23</v>
      </c>
      <c r="M3374" s="36">
        <f t="shared" si="33"/>
        <v>45881.58451</v>
      </c>
      <c r="N3374" s="30" t="str">
        <f t="shared" si="34"/>
        <v>Selesai</v>
      </c>
      <c r="O3374" s="45">
        <f t="shared" si="23"/>
        <v>45881.58451</v>
      </c>
      <c r="P3374" s="47" t="b">
        <v>0</v>
      </c>
      <c r="Q3374" s="36" t="str">
        <f t="shared" si="35"/>
        <v/>
      </c>
      <c r="R3374" s="47" t="b">
        <v>0</v>
      </c>
      <c r="S3374" s="42" t="str">
        <f t="shared" si="28"/>
        <v/>
      </c>
      <c r="T3374" s="42"/>
    </row>
    <row r="3375" ht="22.5" customHeight="1">
      <c r="B3375" s="42">
        <f t="shared" si="7"/>
        <v>3369</v>
      </c>
      <c r="C3375" s="31" t="s">
        <v>3434</v>
      </c>
      <c r="D3375" s="34" t="str">
        <f t="array" ref="D3375">IFNA(_xlfn.XLOOKUP(C3375,Table_Tarikan_Warkah[Nomor Sertipikat],Table_Tarikan_Warkah[Nomor Tiket]),"")</f>
        <v>L/4/010825/1</v>
      </c>
      <c r="E3375" s="36">
        <f t="array" ref="E3375">IFNA(_xlfn.XLOOKUP(D3375,Table_Tarikan_Warkah[Nomor Tiket],Table_Tarikan_Warkah[Tanggal diserahkan kepada Validator]),"")</f>
        <v>45930.60078</v>
      </c>
      <c r="F3375" s="36" t="str">
        <f t="array" ref="F3375">IFNA(_xlfn.XLOOKUP(D3375,Table_Tarikan_Warkah[Nomor Tiket],Table_Tarikan_Warkah[Nama Petugas Warkah]),"")</f>
        <v>David</v>
      </c>
      <c r="G3375" s="39" t="str">
        <f t="array" ref="G3375">IFNA(_xlfn.XLOOKUP(D3375,Table_Tarikan_Warkah[Nomor Tiket],Table_Tarikan_Warkah[Jenis Permohonan]),"")</f>
        <v>ROYA</v>
      </c>
      <c r="H3375" s="41" t="s">
        <v>20</v>
      </c>
      <c r="I3375" s="49" t="s">
        <v>23</v>
      </c>
      <c r="J3375" s="36">
        <f t="shared" si="20"/>
        <v>45880.46285</v>
      </c>
      <c r="K3375" s="49" t="s">
        <v>2378</v>
      </c>
      <c r="L3375" s="49" t="s">
        <v>23</v>
      </c>
      <c r="M3375" s="36">
        <f t="shared" si="33"/>
        <v>45880.69023</v>
      </c>
      <c r="N3375" s="30" t="str">
        <f t="shared" si="34"/>
        <v>Selesai</v>
      </c>
      <c r="O3375" s="45">
        <f t="shared" si="23"/>
        <v>45880.69023</v>
      </c>
      <c r="P3375" s="47" t="b">
        <v>0</v>
      </c>
      <c r="Q3375" s="36" t="str">
        <f t="shared" si="35"/>
        <v/>
      </c>
      <c r="R3375" s="47" t="b">
        <v>0</v>
      </c>
      <c r="S3375" s="42" t="str">
        <f t="shared" si="28"/>
        <v/>
      </c>
      <c r="T3375" s="42"/>
    </row>
    <row r="3376" ht="22.5" customHeight="1">
      <c r="B3376" s="42">
        <f t="shared" si="7"/>
        <v>3370</v>
      </c>
      <c r="C3376" s="31" t="s">
        <v>3435</v>
      </c>
      <c r="D3376" s="34" t="str">
        <f t="array" ref="D3376">IFNA(_xlfn.XLOOKUP(C3376,Table_Tarikan_Warkah[Nomor Sertipikat],Table_Tarikan_Warkah[Nomor Tiket]),"")</f>
        <v>K/6/010825/1</v>
      </c>
      <c r="E3376" s="36">
        <f t="array" ref="E3376">IFNA(_xlfn.XLOOKUP(D3376,Table_Tarikan_Warkah[Nomor Tiket],Table_Tarikan_Warkah[Tanggal diserahkan kepada Validator]),"")</f>
        <v>45904.61714</v>
      </c>
      <c r="F3376" s="36" t="str">
        <f t="array" ref="F3376">IFNA(_xlfn.XLOOKUP(D3376,Table_Tarikan_Warkah[Nomor Tiket],Table_Tarikan_Warkah[Nama Petugas Warkah]),"")</f>
        <v>David</v>
      </c>
      <c r="G3376" s="39" t="str">
        <f t="array" ref="G3376">IFNA(_xlfn.XLOOKUP(D3376,Table_Tarikan_Warkah[Nomor Tiket],Table_Tarikan_Warkah[Jenis Permohonan]),"")</f>
        <v>ROYA</v>
      </c>
      <c r="H3376" s="41" t="s">
        <v>2315</v>
      </c>
      <c r="I3376" s="49" t="s">
        <v>23</v>
      </c>
      <c r="J3376" s="36">
        <f t="shared" si="20"/>
        <v>45880.56806</v>
      </c>
      <c r="K3376" s="49" t="s">
        <v>2378</v>
      </c>
      <c r="L3376" s="49" t="s">
        <v>23</v>
      </c>
      <c r="M3376" s="36">
        <f t="shared" si="33"/>
        <v>45881.46642</v>
      </c>
      <c r="N3376" s="30" t="str">
        <f t="shared" si="34"/>
        <v>Selesai</v>
      </c>
      <c r="O3376" s="45">
        <f t="shared" si="23"/>
        <v>45881.46642</v>
      </c>
      <c r="P3376" s="47" t="b">
        <v>0</v>
      </c>
      <c r="Q3376" s="36" t="str">
        <f t="shared" si="35"/>
        <v/>
      </c>
      <c r="R3376" s="47" t="b">
        <v>0</v>
      </c>
      <c r="S3376" s="42" t="str">
        <f t="shared" si="28"/>
        <v/>
      </c>
      <c r="T3376" s="42"/>
    </row>
    <row r="3377" ht="22.5" customHeight="1">
      <c r="B3377" s="42">
        <f t="shared" si="7"/>
        <v>3371</v>
      </c>
      <c r="C3377" s="31" t="s">
        <v>3436</v>
      </c>
      <c r="D3377" s="34" t="str">
        <f t="array" ref="D3377">IFNA(_xlfn.XLOOKUP(C3377,Table_Tarikan_Warkah[Nomor Sertipikat],Table_Tarikan_Warkah[Nomor Tiket]),"")</f>
        <v>K/25/250725/2</v>
      </c>
      <c r="E3377" s="36">
        <f t="array" ref="E3377">IFNA(_xlfn.XLOOKUP(D3377,Table_Tarikan_Warkah[Nomor Tiket],Table_Tarikan_Warkah[Tanggal diserahkan kepada Validator]),"")</f>
        <v>45883.65994</v>
      </c>
      <c r="F3377" s="36" t="str">
        <f t="array" ref="F3377">IFNA(_xlfn.XLOOKUP(D3377,Table_Tarikan_Warkah[Nomor Tiket],Table_Tarikan_Warkah[Nama Petugas Warkah]),"")</f>
        <v>David</v>
      </c>
      <c r="G3377" s="39" t="str">
        <f t="array" ref="G3377">IFNA(_xlfn.XLOOKUP(D3377,Table_Tarikan_Warkah[Nomor Tiket],Table_Tarikan_Warkah[Jenis Permohonan]),"")</f>
        <v>DIAN EKA SARI / IRSAN</v>
      </c>
      <c r="H3377" s="41" t="s">
        <v>2315</v>
      </c>
      <c r="I3377" s="49" t="s">
        <v>23</v>
      </c>
      <c r="J3377" s="36">
        <f t="shared" si="20"/>
        <v>45880.56822</v>
      </c>
      <c r="K3377" s="49" t="s">
        <v>2378</v>
      </c>
      <c r="L3377" s="49" t="s">
        <v>23</v>
      </c>
      <c r="M3377" s="36">
        <f t="shared" si="33"/>
        <v>45881.46753</v>
      </c>
      <c r="N3377" s="30" t="str">
        <f t="shared" si="34"/>
        <v>Selesai</v>
      </c>
      <c r="O3377" s="45">
        <f t="shared" si="23"/>
        <v>45881.46753</v>
      </c>
      <c r="P3377" s="47" t="b">
        <v>0</v>
      </c>
      <c r="Q3377" s="36" t="str">
        <f t="shared" si="35"/>
        <v/>
      </c>
      <c r="R3377" s="47" t="b">
        <v>0</v>
      </c>
      <c r="S3377" s="42" t="str">
        <f t="shared" si="28"/>
        <v/>
      </c>
      <c r="T3377" s="42"/>
    </row>
    <row r="3378" ht="22.5" customHeight="1">
      <c r="B3378" s="42">
        <f t="shared" si="7"/>
        <v>3372</v>
      </c>
      <c r="C3378" s="31" t="s">
        <v>3437</v>
      </c>
      <c r="D3378" s="34" t="str">
        <f t="array" ref="D3378">IFNA(_xlfn.XLOOKUP(C3378,Table_Tarikan_Warkah[Nomor Sertipikat],Table_Tarikan_Warkah[Nomor Tiket]),"")</f>
        <v>K/28/250725/1</v>
      </c>
      <c r="E3378" s="36">
        <f t="array" ref="E3378">IFNA(_xlfn.XLOOKUP(D3378,Table_Tarikan_Warkah[Nomor Tiket],Table_Tarikan_Warkah[Tanggal diserahkan kepada Validator]),"")</f>
        <v>45883.66072</v>
      </c>
      <c r="F3378" s="36" t="str">
        <f t="array" ref="F3378">IFNA(_xlfn.XLOOKUP(D3378,Table_Tarikan_Warkah[Nomor Tiket],Table_Tarikan_Warkah[Nama Petugas Warkah]),"")</f>
        <v>Berry</v>
      </c>
      <c r="G3378" s="39" t="str">
        <f t="array" ref="G3378">IFNA(_xlfn.XLOOKUP(D3378,Table_Tarikan_Warkah[Nomor Tiket],Table_Tarikan_Warkah[Jenis Permohonan]),"")</f>
        <v>JUAL BELI</v>
      </c>
      <c r="H3378" s="41" t="s">
        <v>2315</v>
      </c>
      <c r="I3378" s="49" t="s">
        <v>23</v>
      </c>
      <c r="J3378" s="36">
        <f t="shared" si="20"/>
        <v>45880.56843</v>
      </c>
      <c r="K3378" s="49" t="s">
        <v>2378</v>
      </c>
      <c r="L3378" s="49" t="s">
        <v>23</v>
      </c>
      <c r="M3378" s="36">
        <f t="shared" si="33"/>
        <v>45881.46904</v>
      </c>
      <c r="N3378" s="30" t="str">
        <f t="shared" si="34"/>
        <v>Selesai</v>
      </c>
      <c r="O3378" s="45">
        <f t="shared" si="23"/>
        <v>45881.46904</v>
      </c>
      <c r="P3378" s="47" t="b">
        <v>0</v>
      </c>
      <c r="Q3378" s="36" t="str">
        <f t="shared" si="35"/>
        <v/>
      </c>
      <c r="R3378" s="47" t="b">
        <v>0</v>
      </c>
      <c r="S3378" s="42" t="str">
        <f t="shared" si="28"/>
        <v/>
      </c>
      <c r="T3378" s="42"/>
    </row>
    <row r="3379" ht="22.5" customHeight="1">
      <c r="B3379" s="42">
        <f t="shared" si="7"/>
        <v>3373</v>
      </c>
      <c r="C3379" s="31" t="s">
        <v>3438</v>
      </c>
      <c r="D3379" s="34" t="str">
        <f t="array" ref="D3379">IFNA(_xlfn.XLOOKUP(C3379,Table_Tarikan_Warkah[Nomor Sertipikat],Table_Tarikan_Warkah[Nomor Tiket]),"")</f>
        <v>K/37/280725/2</v>
      </c>
      <c r="E3379" s="36">
        <f t="array" ref="E3379">IFNA(_xlfn.XLOOKUP(D3379,Table_Tarikan_Warkah[Nomor Tiket],Table_Tarikan_Warkah[Tanggal diserahkan kepada Validator]),"")</f>
        <v>45883.66225</v>
      </c>
      <c r="F3379" s="36" t="str">
        <f t="array" ref="F3379">IFNA(_xlfn.XLOOKUP(D3379,Table_Tarikan_Warkah[Nomor Tiket],Table_Tarikan_Warkah[Nama Petugas Warkah]),"")</f>
        <v>Berry</v>
      </c>
      <c r="G3379" s="39" t="str">
        <f t="array" ref="G3379">IFNA(_xlfn.XLOOKUP(D3379,Table_Tarikan_Warkah[Nomor Tiket],Table_Tarikan_Warkah[Jenis Permohonan]),"")</f>
        <v>JUAL BELI</v>
      </c>
      <c r="H3379" s="41" t="s">
        <v>2315</v>
      </c>
      <c r="I3379" s="49" t="s">
        <v>23</v>
      </c>
      <c r="J3379" s="36">
        <f t="shared" si="20"/>
        <v>45880.56857</v>
      </c>
      <c r="K3379" s="49" t="s">
        <v>2378</v>
      </c>
      <c r="L3379" s="49" t="s">
        <v>23</v>
      </c>
      <c r="M3379" s="36">
        <f t="shared" si="33"/>
        <v>45881.46881</v>
      </c>
      <c r="N3379" s="30" t="str">
        <f t="shared" si="34"/>
        <v>Selesai</v>
      </c>
      <c r="O3379" s="45">
        <f t="shared" si="23"/>
        <v>45881.46881</v>
      </c>
      <c r="P3379" s="47" t="b">
        <v>0</v>
      </c>
      <c r="Q3379" s="36" t="str">
        <f t="shared" si="35"/>
        <v/>
      </c>
      <c r="R3379" s="47" t="b">
        <v>0</v>
      </c>
      <c r="S3379" s="42" t="str">
        <f t="shared" si="28"/>
        <v/>
      </c>
      <c r="T3379" s="42"/>
    </row>
    <row r="3380" ht="22.5" customHeight="1">
      <c r="B3380" s="42">
        <f t="shared" si="7"/>
        <v>3374</v>
      </c>
      <c r="C3380" s="31" t="s">
        <v>3439</v>
      </c>
      <c r="D3380" s="34" t="str">
        <f t="array" ref="D3380">IFNA(_xlfn.XLOOKUP(C3380,Table_Tarikan_Warkah[Nomor Sertipikat],Table_Tarikan_Warkah[Nomor Tiket]),"")</f>
        <v>K/38/280725/3</v>
      </c>
      <c r="E3380" s="36">
        <f t="array" ref="E3380">IFNA(_xlfn.XLOOKUP(D3380,Table_Tarikan_Warkah[Nomor Tiket],Table_Tarikan_Warkah[Tanggal diserahkan kepada Validator]),"")</f>
        <v>45883.66276</v>
      </c>
      <c r="F3380" s="36" t="str">
        <f t="array" ref="F3380">IFNA(_xlfn.XLOOKUP(D3380,Table_Tarikan_Warkah[Nomor Tiket],Table_Tarikan_Warkah[Nama Petugas Warkah]),"")</f>
        <v>Berry</v>
      </c>
      <c r="G3380" s="39" t="str">
        <f t="array" ref="G3380">IFNA(_xlfn.XLOOKUP(D3380,Table_Tarikan_Warkah[Nomor Tiket],Table_Tarikan_Warkah[Jenis Permohonan]),"")</f>
        <v>JUAL BELI </v>
      </c>
      <c r="H3380" s="41" t="s">
        <v>2315</v>
      </c>
      <c r="I3380" s="49" t="s">
        <v>23</v>
      </c>
      <c r="J3380" s="36">
        <f t="shared" si="20"/>
        <v>45880.56875</v>
      </c>
      <c r="K3380" s="49" t="s">
        <v>2378</v>
      </c>
      <c r="L3380" s="49" t="s">
        <v>23</v>
      </c>
      <c r="M3380" s="36">
        <f t="shared" si="33"/>
        <v>45881.4687</v>
      </c>
      <c r="N3380" s="30" t="str">
        <f t="shared" si="34"/>
        <v>Selesai</v>
      </c>
      <c r="O3380" s="45">
        <f t="shared" si="23"/>
        <v>45881.4687</v>
      </c>
      <c r="P3380" s="47" t="b">
        <v>0</v>
      </c>
      <c r="Q3380" s="36" t="str">
        <f t="shared" si="35"/>
        <v/>
      </c>
      <c r="R3380" s="47" t="b">
        <v>0</v>
      </c>
      <c r="S3380" s="42" t="str">
        <f t="shared" si="28"/>
        <v/>
      </c>
      <c r="T3380" s="42"/>
    </row>
    <row r="3381" ht="22.5" customHeight="1">
      <c r="B3381" s="42">
        <f t="shared" si="7"/>
        <v>3375</v>
      </c>
      <c r="C3381" s="31" t="s">
        <v>3440</v>
      </c>
      <c r="D3381" s="34" t="str">
        <f t="array" ref="D3381">IFNA(_xlfn.XLOOKUP(C3381,Table_Tarikan_Warkah[Nomor Sertipikat],Table_Tarikan_Warkah[Nomor Tiket]),"")</f>
        <v>K/36/180725/1</v>
      </c>
      <c r="E3381" s="36">
        <f t="array" ref="E3381">IFNA(_xlfn.XLOOKUP(D3381,Table_Tarikan_Warkah[Nomor Tiket],Table_Tarikan_Warkah[Tanggal diserahkan kepada Validator]),"")</f>
        <v>45883.66319</v>
      </c>
      <c r="F3381" s="36" t="str">
        <f t="array" ref="F3381">IFNA(_xlfn.XLOOKUP(D3381,Table_Tarikan_Warkah[Nomor Tiket],Table_Tarikan_Warkah[Nama Petugas Warkah]),"")</f>
        <v>David</v>
      </c>
      <c r="G3381" s="39" t="str">
        <f t="array" ref="G3381">IFNA(_xlfn.XLOOKUP(D3381,Table_Tarikan_Warkah[Nomor Tiket],Table_Tarikan_Warkah[Jenis Permohonan]),"")</f>
        <v>JUAL BELI</v>
      </c>
      <c r="H3381" s="41" t="s">
        <v>2315</v>
      </c>
      <c r="I3381" s="49" t="s">
        <v>23</v>
      </c>
      <c r="J3381" s="36">
        <f t="shared" si="20"/>
        <v>45880.56886</v>
      </c>
      <c r="K3381" s="49" t="s">
        <v>2378</v>
      </c>
      <c r="L3381" s="49" t="s">
        <v>23</v>
      </c>
      <c r="M3381" s="36">
        <f t="shared" si="33"/>
        <v>45881.46762</v>
      </c>
      <c r="N3381" s="30" t="str">
        <f t="shared" si="34"/>
        <v>Selesai</v>
      </c>
      <c r="O3381" s="45">
        <f t="shared" si="23"/>
        <v>45881.46762</v>
      </c>
      <c r="P3381" s="47" t="b">
        <v>0</v>
      </c>
      <c r="Q3381" s="36" t="str">
        <f t="shared" si="35"/>
        <v/>
      </c>
      <c r="R3381" s="47" t="b">
        <v>0</v>
      </c>
      <c r="S3381" s="42" t="str">
        <f t="shared" si="28"/>
        <v/>
      </c>
      <c r="T3381" s="42"/>
    </row>
    <row r="3382" ht="22.5" customHeight="1">
      <c r="B3382" s="42">
        <f t="shared" si="7"/>
        <v>3376</v>
      </c>
      <c r="C3382" s="31" t="s">
        <v>3441</v>
      </c>
      <c r="D3382" s="34" t="str">
        <f t="array" ref="D3382">IFNA(_xlfn.XLOOKUP(C3382,Table_Tarikan_Warkah[Nomor Sertipikat],Table_Tarikan_Warkah[Nomor Tiket]),"")</f>
        <v>K/10/010825/4</v>
      </c>
      <c r="E3382" s="36" t="str">
        <f t="array" ref="E3382">IFNA(_xlfn.XLOOKUP(D3382,Table_Tarikan_Warkah[Nomor Tiket],Table_Tarikan_Warkah[Tanggal diserahkan kepada Validator]),"")</f>
        <v/>
      </c>
      <c r="F3382" s="36" t="str">
        <f t="array" ref="F3382">IFNA(_xlfn.XLOOKUP(D3382,Table_Tarikan_Warkah[Nomor Tiket],Table_Tarikan_Warkah[Nama Petugas Warkah]),"")</f>
        <v/>
      </c>
      <c r="G3382" s="39" t="str">
        <f t="array" ref="G3382">IFNA(_xlfn.XLOOKUP(D3382,Table_Tarikan_Warkah[Nomor Tiket],Table_Tarikan_Warkah[Jenis Permohonan]),"")</f>
        <v>BN JUAL BELI</v>
      </c>
      <c r="H3382" s="41" t="s">
        <v>2315</v>
      </c>
      <c r="I3382" s="49" t="s">
        <v>23</v>
      </c>
      <c r="J3382" s="36">
        <f t="shared" si="20"/>
        <v>45880.57009</v>
      </c>
      <c r="K3382" s="49" t="s">
        <v>2378</v>
      </c>
      <c r="L3382" s="49" t="s">
        <v>23</v>
      </c>
      <c r="M3382" s="36">
        <f t="shared" si="33"/>
        <v>45881.46786</v>
      </c>
      <c r="N3382" s="30" t="str">
        <f t="shared" si="34"/>
        <v>Selesai</v>
      </c>
      <c r="O3382" s="45">
        <f t="shared" si="23"/>
        <v>45881.46786</v>
      </c>
      <c r="P3382" s="47" t="b">
        <v>0</v>
      </c>
      <c r="Q3382" s="36" t="str">
        <f t="shared" si="35"/>
        <v/>
      </c>
      <c r="R3382" s="47" t="b">
        <v>0</v>
      </c>
      <c r="S3382" s="42" t="str">
        <f t="shared" si="28"/>
        <v/>
      </c>
      <c r="T3382" s="42"/>
    </row>
    <row r="3383" ht="22.5" customHeight="1">
      <c r="B3383" s="42">
        <f t="shared" si="7"/>
        <v>3377</v>
      </c>
      <c r="C3383" s="31" t="s">
        <v>3442</v>
      </c>
      <c r="D3383" s="34" t="str">
        <f t="array" ref="D3383">IFNA(_xlfn.XLOOKUP(C3383,Table_Tarikan_Warkah[Nomor Sertipikat],Table_Tarikan_Warkah[Nomor Tiket]),"")</f>
        <v>K/17/210725/1</v>
      </c>
      <c r="E3383" s="36" t="str">
        <f t="array" ref="E3383">IFNA(_xlfn.XLOOKUP(D3383,Table_Tarikan_Warkah[Nomor Tiket],Table_Tarikan_Warkah[Tanggal diserahkan kepada Validator]),"")</f>
        <v/>
      </c>
      <c r="F3383" s="36" t="str">
        <f t="array" ref="F3383">IFNA(_xlfn.XLOOKUP(D3383,Table_Tarikan_Warkah[Nomor Tiket],Table_Tarikan_Warkah[Nama Petugas Warkah]),"")</f>
        <v/>
      </c>
      <c r="G3383" s="39" t="str">
        <f t="array" ref="G3383">IFNA(_xlfn.XLOOKUP(D3383,Table_Tarikan_Warkah[Nomor Tiket],Table_Tarikan_Warkah[Jenis Permohonan]),"")</f>
        <v>ROYA</v>
      </c>
      <c r="H3383" s="41" t="s">
        <v>2315</v>
      </c>
      <c r="I3383" s="49" t="s">
        <v>23</v>
      </c>
      <c r="J3383" s="36">
        <f t="shared" si="20"/>
        <v>45880.57031</v>
      </c>
      <c r="K3383" s="49" t="s">
        <v>2378</v>
      </c>
      <c r="L3383" s="49" t="s">
        <v>23</v>
      </c>
      <c r="M3383" s="36">
        <f t="shared" si="33"/>
        <v>45881.4684</v>
      </c>
      <c r="N3383" s="30" t="str">
        <f t="shared" si="34"/>
        <v>Selesai</v>
      </c>
      <c r="O3383" s="45">
        <f t="shared" si="23"/>
        <v>45881.4684</v>
      </c>
      <c r="P3383" s="47" t="b">
        <v>0</v>
      </c>
      <c r="Q3383" s="36" t="str">
        <f t="shared" si="35"/>
        <v/>
      </c>
      <c r="R3383" s="47" t="b">
        <v>0</v>
      </c>
      <c r="S3383" s="42" t="str">
        <f t="shared" si="28"/>
        <v/>
      </c>
      <c r="T3383" s="42"/>
    </row>
    <row r="3384" ht="22.5" customHeight="1">
      <c r="B3384" s="42">
        <f t="shared" si="7"/>
        <v>3378</v>
      </c>
      <c r="C3384" s="31" t="s">
        <v>3443</v>
      </c>
      <c r="D3384" s="34" t="str">
        <f t="array" ref="D3384">IFNA(_xlfn.XLOOKUP(C3384,Table_Tarikan_Warkah[Nomor Sertipikat],Table_Tarikan_Warkah[Nomor Tiket]),"")</f>
        <v>K/38/250725/1</v>
      </c>
      <c r="E3384" s="36">
        <f t="array" ref="E3384">IFNA(_xlfn.XLOOKUP(D3384,Table_Tarikan_Warkah[Nomor Tiket],Table_Tarikan_Warkah[Tanggal diserahkan kepada Validator]),"")</f>
        <v>45904.61662</v>
      </c>
      <c r="F3384" s="36" t="str">
        <f t="array" ref="F3384">IFNA(_xlfn.XLOOKUP(D3384,Table_Tarikan_Warkah[Nomor Tiket],Table_Tarikan_Warkah[Nama Petugas Warkah]),"")</f>
        <v>David</v>
      </c>
      <c r="G3384" s="39" t="str">
        <f t="array" ref="G3384">IFNA(_xlfn.XLOOKUP(D3384,Table_Tarikan_Warkah[Nomor Tiket],Table_Tarikan_Warkah[Jenis Permohonan]),"")</f>
        <v>ROYA</v>
      </c>
      <c r="H3384" s="41" t="s">
        <v>2315</v>
      </c>
      <c r="I3384" s="49" t="s">
        <v>23</v>
      </c>
      <c r="J3384" s="36">
        <f t="shared" si="20"/>
        <v>45880.57051</v>
      </c>
      <c r="K3384" s="49" t="s">
        <v>2378</v>
      </c>
      <c r="L3384" s="49" t="s">
        <v>23</v>
      </c>
      <c r="M3384" s="36">
        <f t="shared" si="33"/>
        <v>45881.46859</v>
      </c>
      <c r="N3384" s="30" t="str">
        <f t="shared" si="34"/>
        <v>Selesai</v>
      </c>
      <c r="O3384" s="45">
        <f t="shared" si="23"/>
        <v>45881.46859</v>
      </c>
      <c r="P3384" s="47" t="b">
        <v>0</v>
      </c>
      <c r="Q3384" s="36" t="str">
        <f t="shared" si="35"/>
        <v/>
      </c>
      <c r="R3384" s="47" t="b">
        <v>0</v>
      </c>
      <c r="S3384" s="42" t="str">
        <f t="shared" si="28"/>
        <v/>
      </c>
      <c r="T3384" s="42"/>
    </row>
    <row r="3385" ht="22.5" customHeight="1">
      <c r="B3385" s="42">
        <f t="shared" si="7"/>
        <v>3379</v>
      </c>
      <c r="C3385" s="31" t="s">
        <v>3444</v>
      </c>
      <c r="D3385" s="34" t="str">
        <f t="array" ref="D3385">IFNA(_xlfn.XLOOKUP(C3385,Table_Tarikan_Warkah[Nomor Sertipikat],Table_Tarikan_Warkah[Nomor Tiket]),"")</f>
        <v>K/24/060825/1</v>
      </c>
      <c r="E3385" s="36" t="str">
        <f t="array" ref="E3385">IFNA(_xlfn.XLOOKUP(D3385,Table_Tarikan_Warkah[Nomor Tiket],Table_Tarikan_Warkah[Tanggal diserahkan kepada Validator]),"")</f>
        <v/>
      </c>
      <c r="F3385" s="36" t="str">
        <f t="array" ref="F3385">IFNA(_xlfn.XLOOKUP(D3385,Table_Tarikan_Warkah[Nomor Tiket],Table_Tarikan_Warkah[Nama Petugas Warkah]),"")</f>
        <v/>
      </c>
      <c r="G3385" s="39" t="str">
        <f t="array" ref="G3385">IFNA(_xlfn.XLOOKUP(D3385,Table_Tarikan_Warkah[Nomor Tiket],Table_Tarikan_Warkah[Jenis Permohonan]),"")</f>
        <v>ROYA</v>
      </c>
      <c r="H3385" s="41" t="s">
        <v>2315</v>
      </c>
      <c r="I3385" s="49" t="s">
        <v>23</v>
      </c>
      <c r="J3385" s="36">
        <f t="shared" si="20"/>
        <v>45880.57075</v>
      </c>
      <c r="K3385" s="49" t="s">
        <v>2378</v>
      </c>
      <c r="L3385" s="49" t="s">
        <v>23</v>
      </c>
      <c r="M3385" s="36">
        <f t="shared" si="33"/>
        <v>45881.46859</v>
      </c>
      <c r="N3385" s="30" t="str">
        <f t="shared" si="34"/>
        <v>Selesai</v>
      </c>
      <c r="O3385" s="45">
        <f t="shared" si="23"/>
        <v>45881.46859</v>
      </c>
      <c r="P3385" s="47" t="b">
        <v>0</v>
      </c>
      <c r="Q3385" s="36" t="str">
        <f t="shared" si="35"/>
        <v/>
      </c>
      <c r="R3385" s="47" t="b">
        <v>0</v>
      </c>
      <c r="S3385" s="42" t="str">
        <f t="shared" si="28"/>
        <v/>
      </c>
      <c r="T3385" s="42"/>
    </row>
    <row r="3386" ht="22.5" customHeight="1">
      <c r="B3386" s="42">
        <f t="shared" si="7"/>
        <v>3380</v>
      </c>
      <c r="C3386" s="31" t="s">
        <v>3445</v>
      </c>
      <c r="D3386" s="34" t="str">
        <f t="array" ref="D3386">IFNA(_xlfn.XLOOKUP(C3386,Table_Tarikan_Warkah[Nomor Sertipikat],Table_Tarikan_Warkah[Nomor Tiket]),"")</f>
        <v>K/19/250725/2</v>
      </c>
      <c r="E3386" s="36">
        <f t="array" ref="E3386">IFNA(_xlfn.XLOOKUP(D3386,Table_Tarikan_Warkah[Nomor Tiket],Table_Tarikan_Warkah[Tanggal diserahkan kepada Validator]),"")</f>
        <v>45882.63827</v>
      </c>
      <c r="F3386" s="36" t="str">
        <f t="array" ref="F3386">IFNA(_xlfn.XLOOKUP(D3386,Table_Tarikan_Warkah[Nomor Tiket],Table_Tarikan_Warkah[Nama Petugas Warkah]),"")</f>
        <v>David</v>
      </c>
      <c r="G3386" s="39" t="str">
        <f t="array" ref="G3386">IFNA(_xlfn.XLOOKUP(D3386,Table_Tarikan_Warkah[Nomor Tiket],Table_Tarikan_Warkah[Jenis Permohonan]),"")</f>
        <v>BN JUAL BELI</v>
      </c>
      <c r="H3386" s="41" t="s">
        <v>920</v>
      </c>
      <c r="I3386" s="49" t="s">
        <v>23</v>
      </c>
      <c r="J3386" s="36">
        <f t="shared" si="20"/>
        <v>45880.73342</v>
      </c>
      <c r="K3386" s="49" t="s">
        <v>920</v>
      </c>
      <c r="L3386" s="49" t="s">
        <v>23</v>
      </c>
      <c r="M3386" s="36">
        <f t="shared" si="33"/>
        <v>45880.73346</v>
      </c>
      <c r="N3386" s="30" t="str">
        <f t="shared" si="34"/>
        <v>Selesai</v>
      </c>
      <c r="O3386" s="45">
        <f t="shared" si="23"/>
        <v>45880.73346</v>
      </c>
      <c r="P3386" s="47" t="b">
        <v>1</v>
      </c>
      <c r="Q3386" s="36">
        <f t="shared" si="35"/>
        <v>45880.73349</v>
      </c>
      <c r="R3386" s="47" t="b">
        <v>0</v>
      </c>
      <c r="S3386" s="42" t="str">
        <f t="shared" si="28"/>
        <v/>
      </c>
      <c r="T3386" s="42"/>
    </row>
    <row r="3387" ht="22.5" customHeight="1">
      <c r="B3387" s="42">
        <f t="shared" si="7"/>
        <v>3381</v>
      </c>
      <c r="C3387" s="31" t="s">
        <v>3446</v>
      </c>
      <c r="D3387" s="34" t="str">
        <f t="array" ref="D3387">IFNA(_xlfn.XLOOKUP(C3387,Table_Tarikan_Warkah[Nomor Sertipikat],Table_Tarikan_Warkah[Nomor Tiket]),"")</f>
        <v>K/9/310725/1</v>
      </c>
      <c r="E3387" s="36">
        <f t="array" ref="E3387">IFNA(_xlfn.XLOOKUP(D3387,Table_Tarikan_Warkah[Nomor Tiket],Table_Tarikan_Warkah[Tanggal diserahkan kepada Validator]),"")</f>
        <v>45882.63827</v>
      </c>
      <c r="F3387" s="36" t="str">
        <f t="array" ref="F3387">IFNA(_xlfn.XLOOKUP(D3387,Table_Tarikan_Warkah[Nomor Tiket],Table_Tarikan_Warkah[Nama Petugas Warkah]),"")</f>
        <v>David</v>
      </c>
      <c r="G3387" s="39" t="str">
        <f t="array" ref="G3387">IFNA(_xlfn.XLOOKUP(D3387,Table_Tarikan_Warkah[Nomor Tiket],Table_Tarikan_Warkah[Jenis Permohonan]),"")</f>
        <v>BN Jual Beli</v>
      </c>
      <c r="H3387" s="41" t="s">
        <v>920</v>
      </c>
      <c r="I3387" s="49" t="s">
        <v>23</v>
      </c>
      <c r="J3387" s="36">
        <f t="shared" si="20"/>
        <v>45880.73363</v>
      </c>
      <c r="K3387" s="49" t="s">
        <v>920</v>
      </c>
      <c r="L3387" s="49" t="s">
        <v>23</v>
      </c>
      <c r="M3387" s="36">
        <f t="shared" si="33"/>
        <v>45880.73366</v>
      </c>
      <c r="N3387" s="30" t="str">
        <f t="shared" si="34"/>
        <v>Selesai</v>
      </c>
      <c r="O3387" s="45">
        <f t="shared" si="23"/>
        <v>45880.73366</v>
      </c>
      <c r="P3387" s="47" t="b">
        <v>1</v>
      </c>
      <c r="Q3387" s="36">
        <f t="shared" si="35"/>
        <v>45880.73368</v>
      </c>
      <c r="R3387" s="47" t="b">
        <v>0</v>
      </c>
      <c r="S3387" s="42" t="str">
        <f t="shared" si="28"/>
        <v/>
      </c>
      <c r="T3387" s="42"/>
    </row>
    <row r="3388" ht="22.5" customHeight="1">
      <c r="B3388" s="42">
        <f t="shared" si="7"/>
        <v>3382</v>
      </c>
      <c r="C3388" s="31" t="s">
        <v>3447</v>
      </c>
      <c r="D3388" s="34" t="str">
        <f t="array" ref="D3388">IFNA(_xlfn.XLOOKUP(C3388,Table_Tarikan_Warkah[Nomor Sertipikat],Table_Tarikan_Warkah[Nomor Tiket]),"")</f>
        <v>K/21/300725/1</v>
      </c>
      <c r="E3388" s="36">
        <f t="array" ref="E3388">IFNA(_xlfn.XLOOKUP(D3388,Table_Tarikan_Warkah[Nomor Tiket],Table_Tarikan_Warkah[Tanggal diserahkan kepada Validator]),"")</f>
        <v>45882.63827</v>
      </c>
      <c r="F3388" s="36" t="str">
        <f t="array" ref="F3388">IFNA(_xlfn.XLOOKUP(D3388,Table_Tarikan_Warkah[Nomor Tiket],Table_Tarikan_Warkah[Nama Petugas Warkah]),"")</f>
        <v>David</v>
      </c>
      <c r="G3388" s="39" t="str">
        <f t="array" ref="G3388">IFNA(_xlfn.XLOOKUP(D3388,Table_Tarikan_Warkah[Nomor Tiket],Table_Tarikan_Warkah[Jenis Permohonan]),"")</f>
        <v>BN Jual Beli</v>
      </c>
      <c r="H3388" s="41" t="s">
        <v>920</v>
      </c>
      <c r="I3388" s="49" t="s">
        <v>23</v>
      </c>
      <c r="J3388" s="36">
        <f t="shared" si="20"/>
        <v>45880.73384</v>
      </c>
      <c r="K3388" s="49" t="s">
        <v>920</v>
      </c>
      <c r="L3388" s="49" t="s">
        <v>23</v>
      </c>
      <c r="M3388" s="36">
        <f t="shared" si="33"/>
        <v>45880.73387</v>
      </c>
      <c r="N3388" s="30" t="str">
        <f t="shared" si="34"/>
        <v>Selesai</v>
      </c>
      <c r="O3388" s="45">
        <f t="shared" si="23"/>
        <v>45880.73387</v>
      </c>
      <c r="P3388" s="47" t="b">
        <v>1</v>
      </c>
      <c r="Q3388" s="36">
        <f t="shared" si="35"/>
        <v>45880.73389</v>
      </c>
      <c r="R3388" s="47" t="b">
        <v>0</v>
      </c>
      <c r="S3388" s="42" t="str">
        <f t="shared" si="28"/>
        <v/>
      </c>
      <c r="T3388" s="42"/>
    </row>
    <row r="3389" ht="22.5" customHeight="1">
      <c r="B3389" s="42">
        <f t="shared" si="7"/>
        <v>3383</v>
      </c>
      <c r="C3389" s="31" t="s">
        <v>3448</v>
      </c>
      <c r="D3389" s="34" t="str">
        <f t="array" ref="D3389">IFNA(_xlfn.XLOOKUP(C3389,Table_Tarikan_Warkah[Nomor Sertipikat],Table_Tarikan_Warkah[Nomor Tiket]),"")</f>
        <v>K/26/290725/1</v>
      </c>
      <c r="E3389" s="36">
        <f t="array" ref="E3389">IFNA(_xlfn.XLOOKUP(D3389,Table_Tarikan_Warkah[Nomor Tiket],Table_Tarikan_Warkah[Tanggal diserahkan kepada Validator]),"")</f>
        <v>45882.63827</v>
      </c>
      <c r="F3389" s="36" t="str">
        <f t="array" ref="F3389">IFNA(_xlfn.XLOOKUP(D3389,Table_Tarikan_Warkah[Nomor Tiket],Table_Tarikan_Warkah[Nama Petugas Warkah]),"")</f>
        <v>David</v>
      </c>
      <c r="G3389" s="39" t="str">
        <f t="array" ref="G3389">IFNA(_xlfn.XLOOKUP(D3389,Table_Tarikan_Warkah[Nomor Tiket],Table_Tarikan_Warkah[Jenis Permohonan]),"")</f>
        <v>BN Jual Beli</v>
      </c>
      <c r="H3389" s="41" t="s">
        <v>920</v>
      </c>
      <c r="I3389" s="49" t="s">
        <v>23</v>
      </c>
      <c r="J3389" s="36">
        <f t="shared" si="20"/>
        <v>45880.734</v>
      </c>
      <c r="K3389" s="49" t="s">
        <v>920</v>
      </c>
      <c r="L3389" s="49" t="s">
        <v>23</v>
      </c>
      <c r="M3389" s="36">
        <f t="shared" si="33"/>
        <v>45880.73403</v>
      </c>
      <c r="N3389" s="30" t="str">
        <f t="shared" si="34"/>
        <v>Selesai</v>
      </c>
      <c r="O3389" s="45">
        <f t="shared" si="23"/>
        <v>45880.73403</v>
      </c>
      <c r="P3389" s="47" t="b">
        <v>1</v>
      </c>
      <c r="Q3389" s="36">
        <f t="shared" si="35"/>
        <v>45880.73405</v>
      </c>
      <c r="R3389" s="47" t="b">
        <v>0</v>
      </c>
      <c r="S3389" s="42" t="str">
        <f t="shared" si="28"/>
        <v/>
      </c>
      <c r="T3389" s="42"/>
    </row>
    <row r="3390" ht="22.5" customHeight="1">
      <c r="B3390" s="42">
        <f t="shared" si="7"/>
        <v>3384</v>
      </c>
      <c r="C3390" s="31" t="s">
        <v>3449</v>
      </c>
      <c r="D3390" s="34" t="str">
        <f t="array" ref="D3390">IFNA(_xlfn.XLOOKUP(C3390,Table_Tarikan_Warkah[Nomor Sertipikat],Table_Tarikan_Warkah[Nomor Tiket]),"")</f>
        <v>K/8/290725/1</v>
      </c>
      <c r="E3390" s="36">
        <f t="array" ref="E3390">IFNA(_xlfn.XLOOKUP(D3390,Table_Tarikan_Warkah[Nomor Tiket],Table_Tarikan_Warkah[Tanggal diserahkan kepada Validator]),"")</f>
        <v>45882.63827</v>
      </c>
      <c r="F3390" s="36" t="str">
        <f t="array" ref="F3390">IFNA(_xlfn.XLOOKUP(D3390,Table_Tarikan_Warkah[Nomor Tiket],Table_Tarikan_Warkah[Nama Petugas Warkah]),"")</f>
        <v>David</v>
      </c>
      <c r="G3390" s="39" t="str">
        <f t="array" ref="G3390">IFNA(_xlfn.XLOOKUP(D3390,Table_Tarikan_Warkah[Nomor Tiket],Table_Tarikan_Warkah[Jenis Permohonan]),"")</f>
        <v>BN Jual Beli</v>
      </c>
      <c r="H3390" s="41" t="s">
        <v>920</v>
      </c>
      <c r="I3390" s="49" t="s">
        <v>23</v>
      </c>
      <c r="J3390" s="36">
        <f t="shared" si="20"/>
        <v>45880.73421</v>
      </c>
      <c r="K3390" s="49" t="s">
        <v>920</v>
      </c>
      <c r="L3390" s="49" t="s">
        <v>23</v>
      </c>
      <c r="M3390" s="36">
        <f t="shared" si="33"/>
        <v>45880.73422</v>
      </c>
      <c r="N3390" s="30" t="str">
        <f t="shared" si="34"/>
        <v>Selesai</v>
      </c>
      <c r="O3390" s="45">
        <f t="shared" si="23"/>
        <v>45880.73422</v>
      </c>
      <c r="P3390" s="47" t="b">
        <v>1</v>
      </c>
      <c r="Q3390" s="36">
        <f t="shared" si="35"/>
        <v>45880.73424</v>
      </c>
      <c r="R3390" s="47" t="b">
        <v>0</v>
      </c>
      <c r="S3390" s="42" t="str">
        <f t="shared" si="28"/>
        <v/>
      </c>
      <c r="T3390" s="42"/>
    </row>
    <row r="3391" ht="22.5" customHeight="1">
      <c r="B3391" s="42">
        <f t="shared" si="7"/>
        <v>3385</v>
      </c>
      <c r="C3391" s="31" t="s">
        <v>3450</v>
      </c>
      <c r="D3391" s="34" t="str">
        <f t="array" ref="D3391">IFNA(_xlfn.XLOOKUP(C3391,Table_Tarikan_Warkah[Nomor Sertipikat],Table_Tarikan_Warkah[Nomor Tiket]),"")</f>
        <v>K/40/250725/1</v>
      </c>
      <c r="E3391" s="36">
        <f t="array" ref="E3391">IFNA(_xlfn.XLOOKUP(D3391,Table_Tarikan_Warkah[Nomor Tiket],Table_Tarikan_Warkah[Tanggal diserahkan kepada Validator]),"")</f>
        <v>45882.63827</v>
      </c>
      <c r="F3391" s="36" t="str">
        <f t="array" ref="F3391">IFNA(_xlfn.XLOOKUP(D3391,Table_Tarikan_Warkah[Nomor Tiket],Table_Tarikan_Warkah[Nama Petugas Warkah]),"")</f>
        <v>Berry</v>
      </c>
      <c r="G3391" s="39" t="str">
        <f t="array" ref="G3391">IFNA(_xlfn.XLOOKUP(D3391,Table_Tarikan_Warkah[Nomor Tiket],Table_Tarikan_Warkah[Jenis Permohonan]),"")</f>
        <v>BN Hibah</v>
      </c>
      <c r="H3391" s="41" t="s">
        <v>920</v>
      </c>
      <c r="I3391" s="49" t="s">
        <v>23</v>
      </c>
      <c r="J3391" s="36">
        <f t="shared" si="20"/>
        <v>45880.73443</v>
      </c>
      <c r="K3391" s="49" t="s">
        <v>920</v>
      </c>
      <c r="L3391" s="49" t="s">
        <v>23</v>
      </c>
      <c r="M3391" s="36">
        <f t="shared" si="33"/>
        <v>45880.73445</v>
      </c>
      <c r="N3391" s="30" t="str">
        <f t="shared" si="34"/>
        <v>Selesai</v>
      </c>
      <c r="O3391" s="45">
        <f t="shared" si="23"/>
        <v>45880.73445</v>
      </c>
      <c r="P3391" s="47" t="b">
        <v>1</v>
      </c>
      <c r="Q3391" s="36">
        <f t="shared" si="35"/>
        <v>45880.73447</v>
      </c>
      <c r="R3391" s="47" t="b">
        <v>0</v>
      </c>
      <c r="S3391" s="42" t="str">
        <f t="shared" si="28"/>
        <v/>
      </c>
      <c r="T3391" s="42"/>
    </row>
    <row r="3392" ht="22.5" customHeight="1">
      <c r="B3392" s="42">
        <f t="shared" si="7"/>
        <v>3386</v>
      </c>
      <c r="C3392" s="31" t="s">
        <v>3409</v>
      </c>
      <c r="D3392" s="42" t="s">
        <v>3451</v>
      </c>
      <c r="E3392" s="36">
        <f t="array" ref="E3392">IFNA(_xlfn.XLOOKUP(D3392,Table_Tarikan_Warkah[Nomor Tiket],Table_Tarikan_Warkah[Tanggal diserahkan kepada Validator]),"")</f>
        <v>45882.63827</v>
      </c>
      <c r="F3392" s="36" t="str">
        <f t="array" ref="F3392">IFNA(_xlfn.XLOOKUP(D3392,Table_Tarikan_Warkah[Nomor Tiket],Table_Tarikan_Warkah[Nama Petugas Warkah]),"")</f>
        <v>David</v>
      </c>
      <c r="G3392" s="39" t="str">
        <f t="array" ref="G3392">IFNA(_xlfn.XLOOKUP(D3392,Table_Tarikan_Warkah[Nomor Tiket],Table_Tarikan_Warkah[Jenis Permohonan]),"")</f>
        <v>JUAL BELI</v>
      </c>
      <c r="H3392" s="41" t="s">
        <v>920</v>
      </c>
      <c r="I3392" s="49" t="s">
        <v>23</v>
      </c>
      <c r="J3392" s="36">
        <f t="shared" si="20"/>
        <v>45880.73487</v>
      </c>
      <c r="K3392" s="49" t="s">
        <v>920</v>
      </c>
      <c r="L3392" s="49" t="s">
        <v>23</v>
      </c>
      <c r="M3392" s="36">
        <f t="shared" si="33"/>
        <v>45880.73492</v>
      </c>
      <c r="N3392" s="30" t="str">
        <f t="shared" si="34"/>
        <v>Selesai</v>
      </c>
      <c r="O3392" s="45">
        <f t="shared" si="23"/>
        <v>45880.73492</v>
      </c>
      <c r="P3392" s="47" t="b">
        <v>1</v>
      </c>
      <c r="Q3392" s="36">
        <f t="shared" si="35"/>
        <v>45880.73495</v>
      </c>
      <c r="R3392" s="47" t="b">
        <v>0</v>
      </c>
      <c r="S3392" s="42" t="str">
        <f t="shared" si="28"/>
        <v/>
      </c>
      <c r="T3392" s="42"/>
    </row>
    <row r="3393" ht="22.5" customHeight="1">
      <c r="B3393" s="42">
        <f t="shared" si="7"/>
        <v>3387</v>
      </c>
      <c r="C3393" s="31" t="s">
        <v>3452</v>
      </c>
      <c r="D3393" s="34" t="str">
        <f t="array" ref="D3393">IFNA(_xlfn.XLOOKUP(C3393,Table_Tarikan_Warkah[Nomor Sertipikat],Table_Tarikan_Warkah[Nomor Tiket]),"")</f>
        <v>L/4/190726/1</v>
      </c>
      <c r="E3393" s="36">
        <f t="array" ref="E3393">IFNA(_xlfn.XLOOKUP(D3393,Table_Tarikan_Warkah[Nomor Tiket],Table_Tarikan_Warkah[Tanggal diserahkan kepada Validator]),"")</f>
        <v>45882.63827</v>
      </c>
      <c r="F3393" s="36" t="str">
        <f t="array" ref="F3393">IFNA(_xlfn.XLOOKUP(D3393,Table_Tarikan_Warkah[Nomor Tiket],Table_Tarikan_Warkah[Nama Petugas Warkah]),"")</f>
        <v>Berry</v>
      </c>
      <c r="G3393" s="39" t="str">
        <f t="array" ref="G3393">IFNA(_xlfn.XLOOKUP(D3393,Table_Tarikan_Warkah[Nomor Tiket],Table_Tarikan_Warkah[Jenis Permohonan]),"")</f>
        <v>GANTI TAHUN LAHIR</v>
      </c>
      <c r="H3393" s="41" t="s">
        <v>920</v>
      </c>
      <c r="I3393" s="49" t="s">
        <v>23</v>
      </c>
      <c r="J3393" s="36">
        <f t="shared" si="20"/>
        <v>45880.73547</v>
      </c>
      <c r="K3393" s="49" t="s">
        <v>920</v>
      </c>
      <c r="L3393" s="49" t="s">
        <v>23</v>
      </c>
      <c r="M3393" s="36">
        <f t="shared" si="33"/>
        <v>45880.73573</v>
      </c>
      <c r="N3393" s="30" t="str">
        <f t="shared" si="34"/>
        <v>Selesai</v>
      </c>
      <c r="O3393" s="45">
        <f t="shared" si="23"/>
        <v>45880.73573</v>
      </c>
      <c r="P3393" s="47" t="b">
        <v>1</v>
      </c>
      <c r="Q3393" s="36">
        <f t="shared" si="35"/>
        <v>45880.73576</v>
      </c>
      <c r="R3393" s="47" t="b">
        <v>0</v>
      </c>
      <c r="S3393" s="42" t="str">
        <f t="shared" si="28"/>
        <v/>
      </c>
      <c r="T3393" s="42"/>
    </row>
    <row r="3394" ht="22.5" customHeight="1">
      <c r="B3394" s="42">
        <f t="shared" si="7"/>
        <v>3388</v>
      </c>
      <c r="C3394" s="31" t="s">
        <v>3453</v>
      </c>
      <c r="D3394" s="34" t="str">
        <f t="array" ref="D3394">IFNA(_xlfn.XLOOKUP(C3394,Table_Tarikan_Warkah[Nomor Sertipikat],Table_Tarikan_Warkah[Nomor Tiket]),"")</f>
        <v>K/6/150725/2</v>
      </c>
      <c r="E3394" s="36">
        <f t="array" ref="E3394">IFNA(_xlfn.XLOOKUP(D3394,Table_Tarikan_Warkah[Nomor Tiket],Table_Tarikan_Warkah[Tanggal diserahkan kepada Validator]),"")</f>
        <v>45882.63827</v>
      </c>
      <c r="F3394" s="36" t="str">
        <f t="array" ref="F3394">IFNA(_xlfn.XLOOKUP(D3394,Table_Tarikan_Warkah[Nomor Tiket],Table_Tarikan_Warkah[Nama Petugas Warkah]),"")</f>
        <v>David</v>
      </c>
      <c r="G3394" s="39" t="str">
        <f t="array" ref="G3394">IFNA(_xlfn.XLOOKUP(D3394,Table_Tarikan_Warkah[Nomor Tiket],Table_Tarikan_Warkah[Jenis Permohonan]),"")</f>
        <v>BN Jual Beli</v>
      </c>
      <c r="H3394" s="41" t="s">
        <v>920</v>
      </c>
      <c r="I3394" s="49" t="s">
        <v>23</v>
      </c>
      <c r="J3394" s="36">
        <f t="shared" si="20"/>
        <v>45881.44036</v>
      </c>
      <c r="K3394" s="49" t="s">
        <v>920</v>
      </c>
      <c r="L3394" s="49" t="s">
        <v>23</v>
      </c>
      <c r="M3394" s="36">
        <f t="shared" si="33"/>
        <v>45881.44036</v>
      </c>
      <c r="N3394" s="30" t="str">
        <f t="shared" si="34"/>
        <v>Selesai</v>
      </c>
      <c r="O3394" s="45">
        <f t="shared" si="23"/>
        <v>45881.44036</v>
      </c>
      <c r="P3394" s="47" t="b">
        <v>1</v>
      </c>
      <c r="Q3394" s="36">
        <f t="shared" si="35"/>
        <v>45881.44036</v>
      </c>
      <c r="R3394" s="47" t="b">
        <v>0</v>
      </c>
      <c r="S3394" s="42" t="str">
        <f t="shared" si="28"/>
        <v/>
      </c>
      <c r="T3394" s="42"/>
    </row>
    <row r="3395" ht="22.5" customHeight="1">
      <c r="B3395" s="42">
        <f t="shared" si="7"/>
        <v>3389</v>
      </c>
      <c r="C3395" s="31" t="s">
        <v>3454</v>
      </c>
      <c r="D3395" s="34" t="str">
        <f t="array" ref="D3395">IFNA(_xlfn.XLOOKUP(C3395,Table_Tarikan_Warkah[Nomor Sertipikat],Table_Tarikan_Warkah[Nomor Tiket]),"")</f>
        <v>K/7/310725/1</v>
      </c>
      <c r="E3395" s="36">
        <f t="array" ref="E3395">IFNA(_xlfn.XLOOKUP(D3395,Table_Tarikan_Warkah[Nomor Tiket],Table_Tarikan_Warkah[Tanggal diserahkan kepada Validator]),"")</f>
        <v>45882.63827</v>
      </c>
      <c r="F3395" s="36" t="str">
        <f t="array" ref="F3395">IFNA(_xlfn.XLOOKUP(D3395,Table_Tarikan_Warkah[Nomor Tiket],Table_Tarikan_Warkah[Nama Petugas Warkah]),"")</f>
        <v>David</v>
      </c>
      <c r="G3395" s="39" t="str">
        <f t="array" ref="G3395">IFNA(_xlfn.XLOOKUP(D3395,Table_Tarikan_Warkah[Nomor Tiket],Table_Tarikan_Warkah[Jenis Permohonan]),"")</f>
        <v>BN Hibah</v>
      </c>
      <c r="H3395" s="41" t="s">
        <v>920</v>
      </c>
      <c r="I3395" s="49" t="s">
        <v>23</v>
      </c>
      <c r="J3395" s="36">
        <f t="shared" si="20"/>
        <v>45881.44054</v>
      </c>
      <c r="K3395" s="49" t="s">
        <v>920</v>
      </c>
      <c r="L3395" s="49" t="s">
        <v>23</v>
      </c>
      <c r="M3395" s="36">
        <f t="shared" si="33"/>
        <v>45881.44054</v>
      </c>
      <c r="N3395" s="30" t="str">
        <f t="shared" si="34"/>
        <v>Selesai</v>
      </c>
      <c r="O3395" s="45">
        <f t="shared" si="23"/>
        <v>45881.44054</v>
      </c>
      <c r="P3395" s="47" t="b">
        <v>1</v>
      </c>
      <c r="Q3395" s="36">
        <f t="shared" si="35"/>
        <v>45881.44055</v>
      </c>
      <c r="R3395" s="47" t="b">
        <v>0</v>
      </c>
      <c r="S3395" s="42" t="str">
        <f t="shared" si="28"/>
        <v/>
      </c>
      <c r="T3395" s="42"/>
    </row>
    <row r="3396" ht="22.5" customHeight="1">
      <c r="B3396" s="42">
        <f t="shared" si="7"/>
        <v>3390</v>
      </c>
      <c r="C3396" s="31" t="s">
        <v>3455</v>
      </c>
      <c r="D3396" s="34" t="str">
        <f t="array" ref="D3396">IFNA(_xlfn.XLOOKUP(C3396,Table_Tarikan_Warkah[Nomor Sertipikat],Table_Tarikan_Warkah[Nomor Tiket]),"")</f>
        <v>K/15/180725/1</v>
      </c>
      <c r="E3396" s="36">
        <f t="array" ref="E3396">IFNA(_xlfn.XLOOKUP(D3396,Table_Tarikan_Warkah[Nomor Tiket],Table_Tarikan_Warkah[Tanggal diserahkan kepada Validator]),"")</f>
        <v>45882.63827</v>
      </c>
      <c r="F3396" s="36" t="str">
        <f t="array" ref="F3396">IFNA(_xlfn.XLOOKUP(D3396,Table_Tarikan_Warkah[Nomor Tiket],Table_Tarikan_Warkah[Nama Petugas Warkah]),"")</f>
        <v>Berry</v>
      </c>
      <c r="G3396" s="39" t="str">
        <f t="array" ref="G3396">IFNA(_xlfn.XLOOKUP(D3396,Table_Tarikan_Warkah[Nomor Tiket],Table_Tarikan_Warkah[Jenis Permohonan]),"")</f>
        <v>BN Jual Beli</v>
      </c>
      <c r="H3396" s="41" t="s">
        <v>920</v>
      </c>
      <c r="I3396" s="49" t="s">
        <v>23</v>
      </c>
      <c r="J3396" s="36">
        <f t="shared" si="20"/>
        <v>45881.44066</v>
      </c>
      <c r="K3396" s="49" t="s">
        <v>920</v>
      </c>
      <c r="L3396" s="49" t="s">
        <v>23</v>
      </c>
      <c r="M3396" s="36">
        <f t="shared" si="33"/>
        <v>45881.44069</v>
      </c>
      <c r="N3396" s="30" t="str">
        <f t="shared" si="34"/>
        <v>Selesai</v>
      </c>
      <c r="O3396" s="45">
        <f t="shared" si="23"/>
        <v>45881.44069</v>
      </c>
      <c r="P3396" s="47" t="b">
        <v>1</v>
      </c>
      <c r="Q3396" s="36">
        <f t="shared" si="35"/>
        <v>45881.4407</v>
      </c>
      <c r="R3396" s="47" t="b">
        <v>0</v>
      </c>
      <c r="S3396" s="42" t="str">
        <f t="shared" si="28"/>
        <v/>
      </c>
      <c r="T3396" s="42"/>
    </row>
    <row r="3397" ht="22.5" customHeight="1">
      <c r="B3397" s="42">
        <f t="shared" si="7"/>
        <v>3391</v>
      </c>
      <c r="C3397" s="31" t="s">
        <v>3456</v>
      </c>
      <c r="D3397" s="34" t="str">
        <f t="array" ref="D3397">IFNA(_xlfn.XLOOKUP(C3397,Table_Tarikan_Warkah[Nomor Sertipikat],Table_Tarikan_Warkah[Nomor Tiket]),"")</f>
        <v>L/11/310725/1</v>
      </c>
      <c r="E3397" s="36" t="str">
        <f t="array" ref="E3397">IFNA(_xlfn.XLOOKUP(D3397,Table_Tarikan_Warkah[Nomor Tiket],Table_Tarikan_Warkah[Tanggal diserahkan kepada Validator]),"")</f>
        <v/>
      </c>
      <c r="F3397" s="36" t="str">
        <f t="array" ref="F3397">IFNA(_xlfn.XLOOKUP(D3397,Table_Tarikan_Warkah[Nomor Tiket],Table_Tarikan_Warkah[Nama Petugas Warkah]),"")</f>
        <v/>
      </c>
      <c r="G3397" s="39" t="str">
        <f t="array" ref="G3397">IFNA(_xlfn.XLOOKUP(D3397,Table_Tarikan_Warkah[Nomor Tiket],Table_Tarikan_Warkah[Jenis Permohonan]),"")</f>
        <v>ROYA</v>
      </c>
      <c r="H3397" s="41" t="s">
        <v>2315</v>
      </c>
      <c r="I3397" s="49" t="s">
        <v>23</v>
      </c>
      <c r="J3397" s="36">
        <f t="shared" si="20"/>
        <v>45881.49035</v>
      </c>
      <c r="K3397" s="49" t="s">
        <v>2378</v>
      </c>
      <c r="L3397" s="49" t="s">
        <v>23</v>
      </c>
      <c r="M3397" s="36">
        <f t="shared" si="33"/>
        <v>45881.65525</v>
      </c>
      <c r="N3397" s="30" t="str">
        <f t="shared" si="34"/>
        <v>Selesai</v>
      </c>
      <c r="O3397" s="45">
        <f t="shared" si="23"/>
        <v>45881.65525</v>
      </c>
      <c r="P3397" s="47" t="b">
        <v>0</v>
      </c>
      <c r="Q3397" s="36" t="str">
        <f t="shared" si="35"/>
        <v/>
      </c>
      <c r="R3397" s="47" t="b">
        <v>0</v>
      </c>
      <c r="S3397" s="42" t="str">
        <f t="shared" si="28"/>
        <v/>
      </c>
      <c r="T3397" s="42"/>
    </row>
    <row r="3398" ht="22.5" customHeight="1">
      <c r="B3398" s="42">
        <f t="shared" si="7"/>
        <v>3392</v>
      </c>
      <c r="C3398" s="31" t="s">
        <v>3457</v>
      </c>
      <c r="D3398" s="34" t="str">
        <f t="array" ref="D3398">IFNA(_xlfn.XLOOKUP(C3398,Table_Tarikan_Warkah[Nomor Sertipikat],Table_Tarikan_Warkah[Nomor Tiket]),"")</f>
        <v>K/1/300725/1</v>
      </c>
      <c r="E3398" s="36">
        <f t="array" ref="E3398">IFNA(_xlfn.XLOOKUP(D3398,Table_Tarikan_Warkah[Nomor Tiket],Table_Tarikan_Warkah[Tanggal diserahkan kepada Validator]),"")</f>
        <v>45883.65611</v>
      </c>
      <c r="F3398" s="36" t="str">
        <f t="array" ref="F3398">IFNA(_xlfn.XLOOKUP(D3398,Table_Tarikan_Warkah[Nomor Tiket],Table_Tarikan_Warkah[Nama Petugas Warkah]),"")</f>
        <v>David</v>
      </c>
      <c r="G3398" s="39" t="str">
        <f t="array" ref="G3398">IFNA(_xlfn.XLOOKUP(D3398,Table_Tarikan_Warkah[Nomor Tiket],Table_Tarikan_Warkah[Jenis Permohonan]),"")</f>
        <v>BN JUAL BELI</v>
      </c>
      <c r="H3398" s="41" t="s">
        <v>2315</v>
      </c>
      <c r="I3398" s="49" t="s">
        <v>23</v>
      </c>
      <c r="J3398" s="36">
        <f t="shared" si="20"/>
        <v>45881.49046</v>
      </c>
      <c r="K3398" s="49" t="s">
        <v>2378</v>
      </c>
      <c r="L3398" s="49" t="s">
        <v>23</v>
      </c>
      <c r="M3398" s="36">
        <f t="shared" si="33"/>
        <v>45882.38332</v>
      </c>
      <c r="N3398" s="30" t="str">
        <f t="shared" si="34"/>
        <v>Selesai</v>
      </c>
      <c r="O3398" s="45">
        <f t="shared" si="23"/>
        <v>45882.38332</v>
      </c>
      <c r="P3398" s="47" t="b">
        <v>0</v>
      </c>
      <c r="Q3398" s="36" t="str">
        <f t="shared" si="35"/>
        <v/>
      </c>
      <c r="R3398" s="47" t="b">
        <v>0</v>
      </c>
      <c r="S3398" s="42" t="str">
        <f t="shared" si="28"/>
        <v/>
      </c>
      <c r="T3398" s="42"/>
    </row>
    <row r="3399" ht="22.5" customHeight="1">
      <c r="B3399" s="42">
        <f t="shared" si="7"/>
        <v>3393</v>
      </c>
      <c r="C3399" s="31" t="s">
        <v>3458</v>
      </c>
      <c r="D3399" s="34" t="str">
        <f t="array" ref="D3399">IFNA(_xlfn.XLOOKUP(C3399,Table_Tarikan_Warkah[Nomor Sertipikat],Table_Tarikan_Warkah[Nomor Tiket]),"")</f>
        <v>K/13/310725/2</v>
      </c>
      <c r="E3399" s="36">
        <f t="array" ref="E3399">IFNA(_xlfn.XLOOKUP(D3399,Table_Tarikan_Warkah[Nomor Tiket],Table_Tarikan_Warkah[Tanggal diserahkan kepada Validator]),"")</f>
        <v>45883.6578</v>
      </c>
      <c r="F3399" s="36" t="str">
        <f t="array" ref="F3399">IFNA(_xlfn.XLOOKUP(D3399,Table_Tarikan_Warkah[Nomor Tiket],Table_Tarikan_Warkah[Nama Petugas Warkah]),"")</f>
        <v>David</v>
      </c>
      <c r="G3399" s="39" t="str">
        <f t="array" ref="G3399">IFNA(_xlfn.XLOOKUP(D3399,Table_Tarikan_Warkah[Nomor Tiket],Table_Tarikan_Warkah[Jenis Permohonan]),"")</f>
        <v>BN PHB</v>
      </c>
      <c r="H3399" s="41" t="s">
        <v>2315</v>
      </c>
      <c r="I3399" s="49" t="s">
        <v>23</v>
      </c>
      <c r="J3399" s="36">
        <f t="shared" si="20"/>
        <v>45881.49061</v>
      </c>
      <c r="K3399" s="49" t="s">
        <v>2378</v>
      </c>
      <c r="L3399" s="49" t="s">
        <v>23</v>
      </c>
      <c r="M3399" s="36">
        <f t="shared" si="33"/>
        <v>45881.65528</v>
      </c>
      <c r="N3399" s="30" t="str">
        <f t="shared" si="34"/>
        <v>Selesai</v>
      </c>
      <c r="O3399" s="45">
        <f t="shared" si="23"/>
        <v>45881.65528</v>
      </c>
      <c r="P3399" s="47" t="b">
        <v>0</v>
      </c>
      <c r="Q3399" s="36" t="str">
        <f t="shared" si="35"/>
        <v/>
      </c>
      <c r="R3399" s="47" t="b">
        <v>0</v>
      </c>
      <c r="S3399" s="42" t="str">
        <f t="shared" si="28"/>
        <v/>
      </c>
      <c r="T3399" s="42"/>
    </row>
    <row r="3400" ht="22.5" customHeight="1">
      <c r="B3400" s="42">
        <f t="shared" si="7"/>
        <v>3394</v>
      </c>
      <c r="C3400" s="31" t="s">
        <v>3459</v>
      </c>
      <c r="D3400" s="34" t="str">
        <f t="array" ref="D3400">IFNA(_xlfn.XLOOKUP(C3400,Table_Tarikan_Warkah[Nomor Sertipikat],Table_Tarikan_Warkah[Nomor Tiket]),"")</f>
        <v>K/24/310725/3</v>
      </c>
      <c r="E3400" s="36">
        <f t="array" ref="E3400">IFNA(_xlfn.XLOOKUP(D3400,Table_Tarikan_Warkah[Nomor Tiket],Table_Tarikan_Warkah[Tanggal diserahkan kepada Validator]),"")</f>
        <v>45883.65561</v>
      </c>
      <c r="F3400" s="36" t="str">
        <f t="array" ref="F3400">IFNA(_xlfn.XLOOKUP(D3400,Table_Tarikan_Warkah[Nomor Tiket],Table_Tarikan_Warkah[Nama Petugas Warkah]),"")</f>
        <v>David</v>
      </c>
      <c r="G3400" s="39" t="str">
        <f t="array" ref="G3400">IFNA(_xlfn.XLOOKUP(D3400,Table_Tarikan_Warkah[Nomor Tiket],Table_Tarikan_Warkah[Jenis Permohonan]),"")</f>
        <v>BN JUAL BELI</v>
      </c>
      <c r="H3400" s="41" t="s">
        <v>2315</v>
      </c>
      <c r="I3400" s="49" t="s">
        <v>23</v>
      </c>
      <c r="J3400" s="36">
        <f t="shared" si="20"/>
        <v>45881.49086</v>
      </c>
      <c r="K3400" s="49" t="s">
        <v>2378</v>
      </c>
      <c r="L3400" s="49" t="s">
        <v>23</v>
      </c>
      <c r="M3400" s="36">
        <f t="shared" si="33"/>
        <v>45881.65531</v>
      </c>
      <c r="N3400" s="30" t="str">
        <f t="shared" si="34"/>
        <v>Selesai</v>
      </c>
      <c r="O3400" s="45">
        <f t="shared" si="23"/>
        <v>45881.65531</v>
      </c>
      <c r="P3400" s="47" t="b">
        <v>0</v>
      </c>
      <c r="Q3400" s="36" t="str">
        <f t="shared" si="35"/>
        <v/>
      </c>
      <c r="R3400" s="47" t="b">
        <v>0</v>
      </c>
      <c r="S3400" s="42" t="str">
        <f t="shared" si="28"/>
        <v/>
      </c>
      <c r="T3400" s="42"/>
    </row>
    <row r="3401" ht="22.5" customHeight="1">
      <c r="B3401" s="42">
        <f t="shared" si="7"/>
        <v>3395</v>
      </c>
      <c r="C3401" s="31" t="s">
        <v>3460</v>
      </c>
      <c r="D3401" s="34" t="str">
        <f t="array" ref="D3401">IFNA(_xlfn.XLOOKUP(C3401,Table_Tarikan_Warkah[Nomor Sertipikat],Table_Tarikan_Warkah[Nomor Tiket]),"")</f>
        <v>K/19/290725/3</v>
      </c>
      <c r="E3401" s="36">
        <f t="array" ref="E3401">IFNA(_xlfn.XLOOKUP(D3401,Table_Tarikan_Warkah[Nomor Tiket],Table_Tarikan_Warkah[Tanggal diserahkan kepada Validator]),"")</f>
        <v>45883.65684</v>
      </c>
      <c r="F3401" s="36" t="str">
        <f t="array" ref="F3401">IFNA(_xlfn.XLOOKUP(D3401,Table_Tarikan_Warkah[Nomor Tiket],Table_Tarikan_Warkah[Nama Petugas Warkah]),"")</f>
        <v>Berry</v>
      </c>
      <c r="G3401" s="39" t="str">
        <f t="array" ref="G3401">IFNA(_xlfn.XLOOKUP(D3401,Table_Tarikan_Warkah[Nomor Tiket],Table_Tarikan_Warkah[Jenis Permohonan]),"")</f>
        <v>BN HIBAH</v>
      </c>
      <c r="H3401" s="41" t="s">
        <v>2315</v>
      </c>
      <c r="I3401" s="49" t="s">
        <v>23</v>
      </c>
      <c r="J3401" s="36">
        <f t="shared" si="20"/>
        <v>45881.49094</v>
      </c>
      <c r="K3401" s="49" t="s">
        <v>2378</v>
      </c>
      <c r="L3401" s="49" t="s">
        <v>23</v>
      </c>
      <c r="M3401" s="36">
        <f t="shared" si="33"/>
        <v>45881.65531</v>
      </c>
      <c r="N3401" s="30" t="str">
        <f t="shared" si="34"/>
        <v>Selesai</v>
      </c>
      <c r="O3401" s="45">
        <f t="shared" si="23"/>
        <v>45881.65531</v>
      </c>
      <c r="P3401" s="47" t="b">
        <v>0</v>
      </c>
      <c r="Q3401" s="36" t="str">
        <f t="shared" si="35"/>
        <v/>
      </c>
      <c r="R3401" s="47" t="b">
        <v>0</v>
      </c>
      <c r="S3401" s="42" t="str">
        <f t="shared" si="28"/>
        <v/>
      </c>
      <c r="T3401" s="42"/>
    </row>
    <row r="3402" ht="22.5" customHeight="1">
      <c r="B3402" s="42">
        <f t="shared" si="7"/>
        <v>3396</v>
      </c>
      <c r="C3402" s="31" t="s">
        <v>3461</v>
      </c>
      <c r="D3402" s="34" t="str">
        <f t="array" ref="D3402">IFNA(_xlfn.XLOOKUP(C3402,Table_Tarikan_Warkah[Nomor Sertipikat],Table_Tarikan_Warkah[Nomor Tiket]),"")</f>
        <v>K/1/250725/1</v>
      </c>
      <c r="E3402" s="36">
        <f t="array" ref="E3402">IFNA(_xlfn.XLOOKUP(D3402,Table_Tarikan_Warkah[Nomor Tiket],Table_Tarikan_Warkah[Tanggal diserahkan kepada Validator]),"")</f>
        <v>45883.6583</v>
      </c>
      <c r="F3402" s="36" t="str">
        <f t="array" ref="F3402">IFNA(_xlfn.XLOOKUP(D3402,Table_Tarikan_Warkah[Nomor Tiket],Table_Tarikan_Warkah[Nama Petugas Warkah]),"")</f>
        <v>David</v>
      </c>
      <c r="G3402" s="39" t="str">
        <f t="array" ref="G3402">IFNA(_xlfn.XLOOKUP(D3402,Table_Tarikan_Warkah[Nomor Tiket],Table_Tarikan_Warkah[Jenis Permohonan]),"")</f>
        <v>BN TUKAR MENUKAR</v>
      </c>
      <c r="H3402" s="41" t="s">
        <v>2315</v>
      </c>
      <c r="I3402" s="49" t="s">
        <v>23</v>
      </c>
      <c r="J3402" s="36">
        <f t="shared" si="20"/>
        <v>45881.49114</v>
      </c>
      <c r="K3402" s="49" t="s">
        <v>2378</v>
      </c>
      <c r="L3402" s="49" t="s">
        <v>23</v>
      </c>
      <c r="M3402" s="36">
        <f t="shared" si="33"/>
        <v>45881.65531</v>
      </c>
      <c r="N3402" s="30" t="str">
        <f t="shared" si="34"/>
        <v>Selesai</v>
      </c>
      <c r="O3402" s="45">
        <f t="shared" si="23"/>
        <v>45881.65531</v>
      </c>
      <c r="P3402" s="47" t="b">
        <v>0</v>
      </c>
      <c r="Q3402" s="36" t="str">
        <f t="shared" si="35"/>
        <v/>
      </c>
      <c r="R3402" s="47" t="b">
        <v>0</v>
      </c>
      <c r="S3402" s="42" t="str">
        <f t="shared" si="28"/>
        <v/>
      </c>
      <c r="T3402" s="42"/>
    </row>
    <row r="3403" ht="22.5" customHeight="1">
      <c r="B3403" s="42">
        <f t="shared" si="7"/>
        <v>3397</v>
      </c>
      <c r="C3403" s="31" t="s">
        <v>3462</v>
      </c>
      <c r="D3403" s="34" t="str">
        <f t="array" ref="D3403">IFNA(_xlfn.XLOOKUP(C3403,Table_Tarikan_Warkah[Nomor Sertipikat],Table_Tarikan_Warkah[Nomor Tiket]),"")</f>
        <v>K/32/290725/1</v>
      </c>
      <c r="E3403" s="36">
        <f t="array" ref="E3403">IFNA(_xlfn.XLOOKUP(D3403,Table_Tarikan_Warkah[Nomor Tiket],Table_Tarikan_Warkah[Tanggal diserahkan kepada Validator]),"")</f>
        <v>45883.65624</v>
      </c>
      <c r="F3403" s="36" t="str">
        <f t="array" ref="F3403">IFNA(_xlfn.XLOOKUP(D3403,Table_Tarikan_Warkah[Nomor Tiket],Table_Tarikan_Warkah[Nama Petugas Warkah]),"")</f>
        <v>Berry</v>
      </c>
      <c r="G3403" s="39" t="str">
        <f t="array" ref="G3403">IFNA(_xlfn.XLOOKUP(D3403,Table_Tarikan_Warkah[Nomor Tiket],Table_Tarikan_Warkah[Jenis Permohonan]),"")</f>
        <v>BN JUAL BELI</v>
      </c>
      <c r="H3403" s="41" t="s">
        <v>2315</v>
      </c>
      <c r="I3403" s="49" t="s">
        <v>23</v>
      </c>
      <c r="J3403" s="36">
        <f t="shared" si="20"/>
        <v>45881.49131</v>
      </c>
      <c r="K3403" s="49" t="s">
        <v>2378</v>
      </c>
      <c r="L3403" s="49" t="s">
        <v>23</v>
      </c>
      <c r="M3403" s="36">
        <f t="shared" si="33"/>
        <v>45881.65531</v>
      </c>
      <c r="N3403" s="30" t="str">
        <f t="shared" si="34"/>
        <v>Selesai</v>
      </c>
      <c r="O3403" s="45">
        <f t="shared" si="23"/>
        <v>45881.65531</v>
      </c>
      <c r="P3403" s="47" t="b">
        <v>0</v>
      </c>
      <c r="Q3403" s="36" t="str">
        <f t="shared" si="35"/>
        <v/>
      </c>
      <c r="R3403" s="47" t="b">
        <v>0</v>
      </c>
      <c r="S3403" s="42" t="str">
        <f t="shared" si="28"/>
        <v/>
      </c>
      <c r="T3403" s="42"/>
    </row>
    <row r="3404" ht="22.5" customHeight="1">
      <c r="B3404" s="42">
        <f t="shared" si="7"/>
        <v>3398</v>
      </c>
      <c r="C3404" s="31" t="s">
        <v>3347</v>
      </c>
      <c r="D3404" s="34" t="str">
        <f t="array" ref="D3404">IFNA(_xlfn.XLOOKUP(C3404,Table_Tarikan_Warkah[Nomor Sertipikat],Table_Tarikan_Warkah[Nomor Tiket]),"")</f>
        <v>L/1/230725/1</v>
      </c>
      <c r="E3404" s="36">
        <f t="array" ref="E3404">IFNA(_xlfn.XLOOKUP(D3404,Table_Tarikan_Warkah[Nomor Tiket],Table_Tarikan_Warkah[Tanggal diserahkan kepada Validator]),"")</f>
        <v>45889.58125</v>
      </c>
      <c r="F3404" s="36" t="str">
        <f t="array" ref="F3404">IFNA(_xlfn.XLOOKUP(D3404,Table_Tarikan_Warkah[Nomor Tiket],Table_Tarikan_Warkah[Nama Petugas Warkah]),"")</f>
        <v>Berry</v>
      </c>
      <c r="G3404" s="39" t="str">
        <f t="array" ref="G3404">IFNA(_xlfn.XLOOKUP(D3404,Table_Tarikan_Warkah[Nomor Tiket],Table_Tarikan_Warkah[Jenis Permohonan]),"")</f>
        <v>PH</v>
      </c>
      <c r="H3404" s="41" t="s">
        <v>2315</v>
      </c>
      <c r="I3404" s="49" t="s">
        <v>23</v>
      </c>
      <c r="J3404" s="36">
        <f t="shared" si="20"/>
        <v>45881.49142</v>
      </c>
      <c r="K3404" s="49" t="s">
        <v>2378</v>
      </c>
      <c r="L3404" s="49" t="s">
        <v>23</v>
      </c>
      <c r="M3404" s="36">
        <f t="shared" si="33"/>
        <v>45881.65531</v>
      </c>
      <c r="N3404" s="30" t="str">
        <f t="shared" si="34"/>
        <v>Selesai</v>
      </c>
      <c r="O3404" s="45">
        <f t="shared" si="23"/>
        <v>45881.65531</v>
      </c>
      <c r="P3404" s="47" t="b">
        <v>0</v>
      </c>
      <c r="Q3404" s="36" t="str">
        <f t="shared" si="35"/>
        <v/>
      </c>
      <c r="R3404" s="47" t="b">
        <v>0</v>
      </c>
      <c r="S3404" s="42" t="str">
        <f t="shared" si="28"/>
        <v/>
      </c>
      <c r="T3404" s="42"/>
    </row>
    <row r="3405" ht="22.5" customHeight="1">
      <c r="B3405" s="42">
        <f t="shared" si="7"/>
        <v>3399</v>
      </c>
      <c r="C3405" s="31" t="s">
        <v>3463</v>
      </c>
      <c r="D3405" s="34" t="str">
        <f t="array" ref="D3405">IFNA(_xlfn.XLOOKUP(C3405,Table_Tarikan_Warkah[Nomor Sertipikat],Table_Tarikan_Warkah[Nomor Tiket]),"")</f>
        <v>K/5/060825/1</v>
      </c>
      <c r="E3405" s="36">
        <f t="array" ref="E3405">IFNA(_xlfn.XLOOKUP(D3405,Table_Tarikan_Warkah[Nomor Tiket],Table_Tarikan_Warkah[Tanggal diserahkan kepada Validator]),"")</f>
        <v>45915.64804</v>
      </c>
      <c r="F3405" s="36" t="str">
        <f t="array" ref="F3405">IFNA(_xlfn.XLOOKUP(D3405,Table_Tarikan_Warkah[Nomor Tiket],Table_Tarikan_Warkah[Nama Petugas Warkah]),"")</f>
        <v>Berry</v>
      </c>
      <c r="G3405" s="39" t="str">
        <f t="array" ref="G3405">IFNA(_xlfn.XLOOKUP(D3405,Table_Tarikan_Warkah[Nomor Tiket],Table_Tarikan_Warkah[Jenis Permohonan]),"")</f>
        <v>HAPUS BPHTB</v>
      </c>
      <c r="H3405" s="41" t="s">
        <v>2315</v>
      </c>
      <c r="I3405" s="49" t="s">
        <v>23</v>
      </c>
      <c r="J3405" s="36">
        <f t="shared" si="20"/>
        <v>45881.49164</v>
      </c>
      <c r="K3405" s="49" t="s">
        <v>2378</v>
      </c>
      <c r="L3405" s="49" t="s">
        <v>23</v>
      </c>
      <c r="M3405" s="36">
        <f t="shared" si="33"/>
        <v>45881.65544</v>
      </c>
      <c r="N3405" s="30" t="str">
        <f t="shared" si="34"/>
        <v>Selesai</v>
      </c>
      <c r="O3405" s="45">
        <f t="shared" si="23"/>
        <v>45881.65544</v>
      </c>
      <c r="P3405" s="47" t="b">
        <v>0</v>
      </c>
      <c r="Q3405" s="36" t="str">
        <f t="shared" si="35"/>
        <v/>
      </c>
      <c r="R3405" s="47" t="b">
        <v>0</v>
      </c>
      <c r="S3405" s="42" t="str">
        <f t="shared" si="28"/>
        <v/>
      </c>
      <c r="T3405" s="42"/>
    </row>
    <row r="3406" ht="22.5" customHeight="1">
      <c r="B3406" s="42">
        <f t="shared" si="7"/>
        <v>3400</v>
      </c>
      <c r="C3406" s="31" t="s">
        <v>3212</v>
      </c>
      <c r="D3406" s="34" t="str">
        <f t="array" ref="D3406">IFNA(_xlfn.XLOOKUP(C3406,Table_Tarikan_Warkah[Nomor Sertipikat],Table_Tarikan_Warkah[Nomor Tiket]),"")</f>
        <v>L/23/180725/1</v>
      </c>
      <c r="E3406" s="36">
        <f t="array" ref="E3406">IFNA(_xlfn.XLOOKUP(D3406,Table_Tarikan_Warkah[Nomor Tiket],Table_Tarikan_Warkah[Tanggal diserahkan kepada Validator]),"")</f>
        <v>45915.50043</v>
      </c>
      <c r="F3406" s="36" t="str">
        <f t="array" ref="F3406">IFNA(_xlfn.XLOOKUP(D3406,Table_Tarikan_Warkah[Nomor Tiket],Table_Tarikan_Warkah[Nama Petugas Warkah]),"")</f>
        <v>David</v>
      </c>
      <c r="G3406" s="39" t="str">
        <f t="array" ref="G3406">IFNA(_xlfn.XLOOKUP(D3406,Table_Tarikan_Warkah[Nomor Tiket],Table_Tarikan_Warkah[Jenis Permohonan]),"")</f>
        <v>ROYA</v>
      </c>
      <c r="H3406" s="41" t="s">
        <v>2315</v>
      </c>
      <c r="I3406" s="49" t="s">
        <v>23</v>
      </c>
      <c r="J3406" s="36">
        <f t="shared" si="20"/>
        <v>45881.49172</v>
      </c>
      <c r="K3406" s="49" t="s">
        <v>2378</v>
      </c>
      <c r="L3406" s="49" t="s">
        <v>23</v>
      </c>
      <c r="M3406" s="36">
        <f t="shared" si="33"/>
        <v>45881.65546</v>
      </c>
      <c r="N3406" s="30" t="str">
        <f t="shared" si="34"/>
        <v>Selesai</v>
      </c>
      <c r="O3406" s="45">
        <f t="shared" si="23"/>
        <v>45881.65546</v>
      </c>
      <c r="P3406" s="47" t="b">
        <v>0</v>
      </c>
      <c r="Q3406" s="36" t="str">
        <f t="shared" si="35"/>
        <v/>
      </c>
      <c r="R3406" s="47" t="b">
        <v>0</v>
      </c>
      <c r="S3406" s="42" t="str">
        <f t="shared" si="28"/>
        <v/>
      </c>
      <c r="T3406" s="42"/>
    </row>
    <row r="3407" ht="22.5" customHeight="1">
      <c r="B3407" s="42">
        <f t="shared" si="7"/>
        <v>3401</v>
      </c>
      <c r="C3407" s="31" t="s">
        <v>3464</v>
      </c>
      <c r="D3407" s="34" t="str">
        <f t="array" ref="D3407">IFNA(_xlfn.XLOOKUP(C3407,Table_Tarikan_Warkah[Nomor Sertipikat],Table_Tarikan_Warkah[Nomor Tiket]),"")</f>
        <v>L/20/050325/1</v>
      </c>
      <c r="E3407" s="36">
        <f t="array" ref="E3407">IFNA(_xlfn.XLOOKUP(D3407,Table_Tarikan_Warkah[Nomor Tiket],Table_Tarikan_Warkah[Tanggal diserahkan kepada Validator]),"")</f>
        <v>45883.65509</v>
      </c>
      <c r="F3407" s="36" t="str">
        <f t="array" ref="F3407">IFNA(_xlfn.XLOOKUP(D3407,Table_Tarikan_Warkah[Nomor Tiket],Table_Tarikan_Warkah[Nama Petugas Warkah]),"")</f>
        <v>David</v>
      </c>
      <c r="G3407" s="39" t="str">
        <f t="array" ref="G3407">IFNA(_xlfn.XLOOKUP(D3407,Table_Tarikan_Warkah[Nomor Tiket],Table_Tarikan_Warkah[Jenis Permohonan]),"")</f>
        <v>BN WARIS</v>
      </c>
      <c r="H3407" s="41" t="s">
        <v>2315</v>
      </c>
      <c r="I3407" s="49" t="s">
        <v>23</v>
      </c>
      <c r="J3407" s="36">
        <f t="shared" si="20"/>
        <v>45881.49181</v>
      </c>
      <c r="K3407" s="49" t="s">
        <v>2378</v>
      </c>
      <c r="L3407" s="49" t="s">
        <v>23</v>
      </c>
      <c r="M3407" s="36">
        <f t="shared" si="33"/>
        <v>45881.65546</v>
      </c>
      <c r="N3407" s="30" t="str">
        <f t="shared" si="34"/>
        <v>Selesai</v>
      </c>
      <c r="O3407" s="45">
        <f t="shared" si="23"/>
        <v>45881.65546</v>
      </c>
      <c r="P3407" s="47" t="b">
        <v>0</v>
      </c>
      <c r="Q3407" s="36" t="str">
        <f t="shared" si="35"/>
        <v/>
      </c>
      <c r="R3407" s="47" t="b">
        <v>0</v>
      </c>
      <c r="S3407" s="42" t="str">
        <f t="shared" si="28"/>
        <v/>
      </c>
      <c r="T3407" s="42"/>
    </row>
    <row r="3408" ht="22.5" customHeight="1">
      <c r="B3408" s="42">
        <f t="shared" si="7"/>
        <v>3402</v>
      </c>
      <c r="C3408" s="31" t="s">
        <v>3344</v>
      </c>
      <c r="D3408" s="34" t="str">
        <f t="array" ref="D3408">IFNA(_xlfn.XLOOKUP(C3408,Table_Tarikan_Warkah[Nomor Sertipikat],Table_Tarikan_Warkah[Nomor Tiket]),"")</f>
        <v>L/27/230725/1</v>
      </c>
      <c r="E3408" s="36">
        <f t="array" ref="E3408">IFNA(_xlfn.XLOOKUP(D3408,Table_Tarikan_Warkah[Nomor Tiket],Table_Tarikan_Warkah[Tanggal diserahkan kepada Validator]),"")</f>
        <v>45891.59348</v>
      </c>
      <c r="F3408" s="36" t="str">
        <f t="array" ref="F3408">IFNA(_xlfn.XLOOKUP(D3408,Table_Tarikan_Warkah[Nomor Tiket],Table_Tarikan_Warkah[Nama Petugas Warkah]),"")</f>
        <v>Berry</v>
      </c>
      <c r="G3408" s="39" t="str">
        <f t="array" ref="G3408">IFNA(_xlfn.XLOOKUP(D3408,Table_Tarikan_Warkah[Nomor Tiket],Table_Tarikan_Warkah[Jenis Permohonan]),"")</f>
        <v>ROYA</v>
      </c>
      <c r="H3408" s="41" t="s">
        <v>2315</v>
      </c>
      <c r="I3408" s="49" t="s">
        <v>23</v>
      </c>
      <c r="J3408" s="36">
        <f t="shared" si="20"/>
        <v>45881.49196</v>
      </c>
      <c r="K3408" s="49" t="s">
        <v>2378</v>
      </c>
      <c r="L3408" s="49" t="s">
        <v>23</v>
      </c>
      <c r="M3408" s="36">
        <f t="shared" si="33"/>
        <v>45881.65546</v>
      </c>
      <c r="N3408" s="30" t="str">
        <f t="shared" si="34"/>
        <v>Selesai</v>
      </c>
      <c r="O3408" s="45">
        <f t="shared" si="23"/>
        <v>45881.65546</v>
      </c>
      <c r="P3408" s="47" t="b">
        <v>0</v>
      </c>
      <c r="Q3408" s="36" t="str">
        <f t="shared" si="35"/>
        <v/>
      </c>
      <c r="R3408" s="47" t="b">
        <v>0</v>
      </c>
      <c r="S3408" s="42" t="str">
        <f t="shared" si="28"/>
        <v/>
      </c>
      <c r="T3408" s="42"/>
    </row>
    <row r="3409" ht="22.5" customHeight="1">
      <c r="B3409" s="42">
        <f t="shared" si="7"/>
        <v>3403</v>
      </c>
      <c r="C3409" s="31" t="s">
        <v>3465</v>
      </c>
      <c r="D3409" s="34" t="str">
        <f t="array" ref="D3409">IFNA(_xlfn.XLOOKUP(C3409,Table_Tarikan_Warkah[Nomor Sertipikat],Table_Tarikan_Warkah[Nomor Tiket]),"")</f>
        <v>L/22/190525/1</v>
      </c>
      <c r="E3409" s="36" t="str">
        <f t="array" ref="E3409">IFNA(_xlfn.XLOOKUP(D3409,Table_Tarikan_Warkah[Nomor Tiket],Table_Tarikan_Warkah[Tanggal diserahkan kepada Validator]),"")</f>
        <v/>
      </c>
      <c r="F3409" s="36" t="str">
        <f t="array" ref="F3409">IFNA(_xlfn.XLOOKUP(D3409,Table_Tarikan_Warkah[Nomor Tiket],Table_Tarikan_Warkah[Nama Petugas Warkah]),"")</f>
        <v/>
      </c>
      <c r="G3409" s="39" t="str">
        <f t="array" ref="G3409">IFNA(_xlfn.XLOOKUP(D3409,Table_Tarikan_Warkah[Nomor Tiket],Table_Tarikan_Warkah[Jenis Permohonan]),"")</f>
        <v>PENGHAPUSAN BPHTB</v>
      </c>
      <c r="H3409" s="41" t="s">
        <v>2315</v>
      </c>
      <c r="I3409" s="49" t="s">
        <v>23</v>
      </c>
      <c r="J3409" s="36">
        <f t="shared" si="20"/>
        <v>45881.49233</v>
      </c>
      <c r="K3409" s="49" t="s">
        <v>2378</v>
      </c>
      <c r="L3409" s="49" t="s">
        <v>23</v>
      </c>
      <c r="M3409" s="36">
        <f t="shared" si="33"/>
        <v>45881.65546</v>
      </c>
      <c r="N3409" s="30" t="str">
        <f t="shared" si="34"/>
        <v>Selesai</v>
      </c>
      <c r="O3409" s="45">
        <f t="shared" si="23"/>
        <v>45881.65546</v>
      </c>
      <c r="P3409" s="47" t="b">
        <v>0</v>
      </c>
      <c r="Q3409" s="36" t="str">
        <f t="shared" si="35"/>
        <v/>
      </c>
      <c r="R3409" s="47" t="b">
        <v>0</v>
      </c>
      <c r="S3409" s="42" t="str">
        <f t="shared" si="28"/>
        <v/>
      </c>
      <c r="T3409" s="42"/>
    </row>
    <row r="3410" ht="22.5" customHeight="1">
      <c r="B3410" s="42">
        <f t="shared" si="7"/>
        <v>3404</v>
      </c>
      <c r="C3410" s="31" t="s">
        <v>3466</v>
      </c>
      <c r="D3410" s="34" t="str">
        <f t="array" ref="D3410">IFNA(_xlfn.XLOOKUP(C3410,Table_Tarikan_Warkah[Nomor Sertipikat],Table_Tarikan_Warkah[Nomor Tiket]),"")</f>
        <v>L/15/250725/1</v>
      </c>
      <c r="E3410" s="36">
        <f t="array" ref="E3410">IFNA(_xlfn.XLOOKUP(D3410,Table_Tarikan_Warkah[Nomor Tiket],Table_Tarikan_Warkah[Tanggal diserahkan kepada Validator]),"")</f>
        <v>45883.65548</v>
      </c>
      <c r="F3410" s="36" t="str">
        <f t="array" ref="F3410">IFNA(_xlfn.XLOOKUP(D3410,Table_Tarikan_Warkah[Nomor Tiket],Table_Tarikan_Warkah[Nama Petugas Warkah]),"")</f>
        <v>David</v>
      </c>
      <c r="G3410" s="39" t="str">
        <f t="array" ref="G3410">IFNA(_xlfn.XLOOKUP(D3410,Table_Tarikan_Warkah[Nomor Tiket],Table_Tarikan_Warkah[Jenis Permohonan]),"")</f>
        <v>BN WARIS</v>
      </c>
      <c r="H3410" s="41" t="s">
        <v>2315</v>
      </c>
      <c r="I3410" s="49" t="s">
        <v>23</v>
      </c>
      <c r="J3410" s="36">
        <f t="shared" si="20"/>
        <v>45881.49233</v>
      </c>
      <c r="K3410" s="49" t="s">
        <v>2378</v>
      </c>
      <c r="L3410" s="49" t="s">
        <v>23</v>
      </c>
      <c r="M3410" s="36">
        <f t="shared" si="33"/>
        <v>45881.65546</v>
      </c>
      <c r="N3410" s="30" t="str">
        <f t="shared" si="34"/>
        <v>Selesai</v>
      </c>
      <c r="O3410" s="45">
        <f t="shared" si="23"/>
        <v>45881.65546</v>
      </c>
      <c r="P3410" s="47" t="b">
        <v>0</v>
      </c>
      <c r="Q3410" s="36" t="str">
        <f t="shared" si="35"/>
        <v/>
      </c>
      <c r="R3410" s="47" t="b">
        <v>0</v>
      </c>
      <c r="S3410" s="42" t="str">
        <f t="shared" si="28"/>
        <v/>
      </c>
      <c r="T3410" s="42"/>
    </row>
    <row r="3411" ht="22.5" customHeight="1">
      <c r="B3411" s="42">
        <f t="shared" si="7"/>
        <v>3405</v>
      </c>
      <c r="C3411" s="31" t="s">
        <v>3467</v>
      </c>
      <c r="D3411" s="34" t="str">
        <f t="array" ref="D3411">IFNA(_xlfn.XLOOKUP(C3411,Table_Tarikan_Warkah[Nomor Sertipikat],Table_Tarikan_Warkah[Nomor Tiket]),"")</f>
        <v>L/15/310725/1</v>
      </c>
      <c r="E3411" s="36">
        <f t="array" ref="E3411">IFNA(_xlfn.XLOOKUP(D3411,Table_Tarikan_Warkah[Nomor Tiket],Table_Tarikan_Warkah[Tanggal diserahkan kepada Validator]),"")</f>
        <v>45891.59323</v>
      </c>
      <c r="F3411" s="36" t="str">
        <f t="array" ref="F3411">IFNA(_xlfn.XLOOKUP(D3411,Table_Tarikan_Warkah[Nomor Tiket],Table_Tarikan_Warkah[Nama Petugas Warkah]),"")</f>
        <v>Berry</v>
      </c>
      <c r="G3411" s="39" t="str">
        <f t="array" ref="G3411">IFNA(_xlfn.XLOOKUP(D3411,Table_Tarikan_Warkah[Nomor Tiket],Table_Tarikan_Warkah[Jenis Permohonan]),"")</f>
        <v>ROYA</v>
      </c>
      <c r="H3411" s="41" t="s">
        <v>2315</v>
      </c>
      <c r="I3411" s="49" t="s">
        <v>23</v>
      </c>
      <c r="J3411" s="36">
        <f t="shared" si="20"/>
        <v>45881.49235</v>
      </c>
      <c r="K3411" s="49" t="s">
        <v>2378</v>
      </c>
      <c r="L3411" s="49" t="s">
        <v>23</v>
      </c>
      <c r="M3411" s="36">
        <f t="shared" si="33"/>
        <v>45881.65546</v>
      </c>
      <c r="N3411" s="30" t="str">
        <f t="shared" si="34"/>
        <v>Selesai</v>
      </c>
      <c r="O3411" s="45">
        <f t="shared" si="23"/>
        <v>45881.65546</v>
      </c>
      <c r="P3411" s="47" t="b">
        <v>0</v>
      </c>
      <c r="Q3411" s="36" t="str">
        <f t="shared" si="35"/>
        <v/>
      </c>
      <c r="R3411" s="47" t="b">
        <v>0</v>
      </c>
      <c r="S3411" s="42" t="str">
        <f t="shared" si="28"/>
        <v/>
      </c>
      <c r="T3411" s="42"/>
    </row>
    <row r="3412" ht="22.5" customHeight="1">
      <c r="B3412" s="42">
        <f t="shared" si="7"/>
        <v>3406</v>
      </c>
      <c r="C3412" s="31" t="s">
        <v>3468</v>
      </c>
      <c r="D3412" s="34" t="str">
        <f t="array" ref="D3412">IFNA(_xlfn.XLOOKUP(C3412,Table_Tarikan_Warkah[Nomor Sertipikat],Table_Tarikan_Warkah[Nomor Tiket]),"")</f>
        <v>K/28/050825/5</v>
      </c>
      <c r="E3412" s="36">
        <f t="array" ref="E3412">IFNA(_xlfn.XLOOKUP(D3412,Table_Tarikan_Warkah[Nomor Tiket],Table_Tarikan_Warkah[Tanggal diserahkan kepada Validator]),"")</f>
        <v>45894.56491</v>
      </c>
      <c r="F3412" s="36" t="str">
        <f t="array" ref="F3412">IFNA(_xlfn.XLOOKUP(D3412,Table_Tarikan_Warkah[Nomor Tiket],Table_Tarikan_Warkah[Nama Petugas Warkah]),"")</f>
        <v>Berry</v>
      </c>
      <c r="G3412" s="39" t="str">
        <f t="array" ref="G3412">IFNA(_xlfn.XLOOKUP(D3412,Table_Tarikan_Warkah[Nomor Tiket],Table_Tarikan_Warkah[Jenis Permohonan]),"")</f>
        <v>JUAL BELI</v>
      </c>
      <c r="H3412" s="41" t="s">
        <v>2315</v>
      </c>
      <c r="I3412" s="49" t="s">
        <v>23</v>
      </c>
      <c r="J3412" s="36">
        <f t="shared" si="20"/>
        <v>45881.49251</v>
      </c>
      <c r="K3412" s="49" t="s">
        <v>2378</v>
      </c>
      <c r="L3412" s="49" t="s">
        <v>23</v>
      </c>
      <c r="M3412" s="36">
        <f t="shared" si="33"/>
        <v>45881.65546</v>
      </c>
      <c r="N3412" s="30" t="str">
        <f t="shared" si="34"/>
        <v>Selesai</v>
      </c>
      <c r="O3412" s="45">
        <f t="shared" si="23"/>
        <v>45881.65546</v>
      </c>
      <c r="P3412" s="47" t="b">
        <v>0</v>
      </c>
      <c r="Q3412" s="36" t="str">
        <f t="shared" si="35"/>
        <v/>
      </c>
      <c r="R3412" s="47" t="b">
        <v>0</v>
      </c>
      <c r="S3412" s="42" t="str">
        <f t="shared" si="28"/>
        <v/>
      </c>
      <c r="T3412" s="42"/>
    </row>
    <row r="3413" ht="22.5" customHeight="1">
      <c r="B3413" s="42">
        <f t="shared" si="7"/>
        <v>3407</v>
      </c>
      <c r="C3413" s="31" t="s">
        <v>3469</v>
      </c>
      <c r="D3413" s="34" t="str">
        <f t="array" ref="D3413">IFNA(_xlfn.XLOOKUP(C3413,Table_Tarikan_Warkah[Nomor Sertipikat],Table_Tarikan_Warkah[Nomor Tiket]),"")</f>
        <v>K/18/300725/1</v>
      </c>
      <c r="E3413" s="36">
        <f t="array" ref="E3413">IFNA(_xlfn.XLOOKUP(D3413,Table_Tarikan_Warkah[Nomor Tiket],Table_Tarikan_Warkah[Tanggal diserahkan kepada Validator]),"")</f>
        <v>45883.65921</v>
      </c>
      <c r="F3413" s="36" t="str">
        <f t="array" ref="F3413">IFNA(_xlfn.XLOOKUP(D3413,Table_Tarikan_Warkah[Nomor Tiket],Table_Tarikan_Warkah[Nama Petugas Warkah]),"")</f>
        <v>David</v>
      </c>
      <c r="G3413" s="39" t="str">
        <f t="array" ref="G3413">IFNA(_xlfn.XLOOKUP(D3413,Table_Tarikan_Warkah[Nomor Tiket],Table_Tarikan_Warkah[Jenis Permohonan]),"")</f>
        <v>BN JUAL BELI</v>
      </c>
      <c r="H3413" s="41" t="s">
        <v>2315</v>
      </c>
      <c r="I3413" s="49" t="s">
        <v>23</v>
      </c>
      <c r="J3413" s="36">
        <f t="shared" si="20"/>
        <v>45881.49269</v>
      </c>
      <c r="K3413" s="62" t="s">
        <v>2378</v>
      </c>
      <c r="L3413" s="49" t="s">
        <v>23</v>
      </c>
      <c r="M3413" s="36">
        <f t="shared" si="33"/>
        <v>45881.65922</v>
      </c>
      <c r="N3413" s="30" t="str">
        <f t="shared" si="34"/>
        <v>Selesai</v>
      </c>
      <c r="O3413" s="45">
        <f t="shared" si="23"/>
        <v>45881.65922</v>
      </c>
      <c r="P3413" s="47" t="b">
        <v>0</v>
      </c>
      <c r="Q3413" s="36" t="str">
        <f t="shared" si="35"/>
        <v/>
      </c>
      <c r="R3413" s="47" t="b">
        <v>0</v>
      </c>
      <c r="S3413" s="42" t="str">
        <f t="shared" si="28"/>
        <v/>
      </c>
      <c r="T3413" s="42"/>
    </row>
    <row r="3414" ht="22.5" customHeight="1">
      <c r="B3414" s="42">
        <f t="shared" si="7"/>
        <v>3408</v>
      </c>
      <c r="C3414" s="31" t="s">
        <v>3470</v>
      </c>
      <c r="D3414" s="34" t="str">
        <f t="array" ref="D3414">IFNA(_xlfn.XLOOKUP(C3414,Table_Tarikan_Warkah[Nomor Sertipikat],Table_Tarikan_Warkah[Nomor Tiket]),"")</f>
        <v>K/30/310725/1</v>
      </c>
      <c r="E3414" s="36">
        <f t="array" ref="E3414">IFNA(_xlfn.XLOOKUP(D3414,Table_Tarikan_Warkah[Nomor Tiket],Table_Tarikan_Warkah[Tanggal diserahkan kepada Validator]),"")</f>
        <v>45883.65941</v>
      </c>
      <c r="F3414" s="36" t="str">
        <f t="array" ref="F3414">IFNA(_xlfn.XLOOKUP(D3414,Table_Tarikan_Warkah[Nomor Tiket],Table_Tarikan_Warkah[Nama Petugas Warkah]),"")</f>
        <v>David</v>
      </c>
      <c r="G3414" s="39" t="str">
        <f t="array" ref="G3414">IFNA(_xlfn.XLOOKUP(D3414,Table_Tarikan_Warkah[Nomor Tiket],Table_Tarikan_Warkah[Jenis Permohonan]),"")</f>
        <v>BN JUAL BELI</v>
      </c>
      <c r="H3414" s="41" t="s">
        <v>2315</v>
      </c>
      <c r="I3414" s="49" t="s">
        <v>23</v>
      </c>
      <c r="J3414" s="36">
        <f t="shared" si="20"/>
        <v>45881.49305</v>
      </c>
      <c r="K3414" s="49" t="s">
        <v>2378</v>
      </c>
      <c r="L3414" s="49" t="s">
        <v>23</v>
      </c>
      <c r="M3414" s="36">
        <f t="shared" si="33"/>
        <v>45881.65554</v>
      </c>
      <c r="N3414" s="30" t="str">
        <f t="shared" si="34"/>
        <v>Selesai</v>
      </c>
      <c r="O3414" s="45">
        <f t="shared" si="23"/>
        <v>45881.65554</v>
      </c>
      <c r="P3414" s="47" t="b">
        <v>0</v>
      </c>
      <c r="Q3414" s="36" t="str">
        <f t="shared" si="35"/>
        <v/>
      </c>
      <c r="R3414" s="47" t="b">
        <v>0</v>
      </c>
      <c r="S3414" s="42" t="str">
        <f t="shared" si="28"/>
        <v/>
      </c>
      <c r="T3414" s="42"/>
    </row>
    <row r="3415" ht="22.5" customHeight="1">
      <c r="B3415" s="42">
        <f t="shared" si="7"/>
        <v>3409</v>
      </c>
      <c r="C3415" s="31" t="s">
        <v>3471</v>
      </c>
      <c r="D3415" s="34" t="str">
        <f t="array" ref="D3415">IFNA(_xlfn.XLOOKUP(C3415,Table_Tarikan_Warkah[Nomor Sertipikat],Table_Tarikan_Warkah[Nomor Tiket]),"")</f>
        <v>L/13/290725/1</v>
      </c>
      <c r="E3415" s="36" t="str">
        <f t="array" ref="E3415">IFNA(_xlfn.XLOOKUP(D3415,Table_Tarikan_Warkah[Nomor Tiket],Table_Tarikan_Warkah[Tanggal diserahkan kepada Validator]),"")</f>
        <v/>
      </c>
      <c r="F3415" s="36" t="str">
        <f t="array" ref="F3415">IFNA(_xlfn.XLOOKUP(D3415,Table_Tarikan_Warkah[Nomor Tiket],Table_Tarikan_Warkah[Nama Petugas Warkah]),"")</f>
        <v/>
      </c>
      <c r="G3415" s="39" t="str">
        <f t="array" ref="G3415">IFNA(_xlfn.XLOOKUP(D3415,Table_Tarikan_Warkah[Nomor Tiket],Table_Tarikan_Warkah[Jenis Permohonan]),"")</f>
        <v>PH</v>
      </c>
      <c r="H3415" s="41" t="s">
        <v>2315</v>
      </c>
      <c r="I3415" s="49" t="s">
        <v>23</v>
      </c>
      <c r="J3415" s="36">
        <f t="shared" si="20"/>
        <v>45881.49305</v>
      </c>
      <c r="K3415" s="49" t="s">
        <v>2378</v>
      </c>
      <c r="L3415" s="49" t="s">
        <v>23</v>
      </c>
      <c r="M3415" s="36">
        <f t="shared" si="33"/>
        <v>45881.6559</v>
      </c>
      <c r="N3415" s="30" t="str">
        <f t="shared" si="34"/>
        <v>Selesai</v>
      </c>
      <c r="O3415" s="45">
        <f t="shared" si="23"/>
        <v>45881.6559</v>
      </c>
      <c r="P3415" s="47" t="b">
        <v>0</v>
      </c>
      <c r="Q3415" s="36" t="str">
        <f t="shared" si="35"/>
        <v/>
      </c>
      <c r="R3415" s="47" t="b">
        <v>0</v>
      </c>
      <c r="S3415" s="42" t="str">
        <f t="shared" si="28"/>
        <v/>
      </c>
      <c r="T3415" s="42"/>
    </row>
    <row r="3416" ht="22.5" customHeight="1">
      <c r="B3416" s="42">
        <f t="shared" si="7"/>
        <v>3410</v>
      </c>
      <c r="C3416" s="31" t="s">
        <v>3472</v>
      </c>
      <c r="D3416" s="34" t="str">
        <f t="array" ref="D3416">IFNA(_xlfn.XLOOKUP(C3416,Table_Tarikan_Warkah[Nomor Sertipikat],Table_Tarikan_Warkah[Nomor Tiket]),"")</f>
        <v>L/30/010825/1</v>
      </c>
      <c r="E3416" s="36" t="str">
        <f t="array" ref="E3416">IFNA(_xlfn.XLOOKUP(D3416,Table_Tarikan_Warkah[Nomor Tiket],Table_Tarikan_Warkah[Tanggal diserahkan kepada Validator]),"")</f>
        <v/>
      </c>
      <c r="F3416" s="36" t="str">
        <f t="array" ref="F3416">IFNA(_xlfn.XLOOKUP(D3416,Table_Tarikan_Warkah[Nomor Tiket],Table_Tarikan_Warkah[Nama Petugas Warkah]),"")</f>
        <v/>
      </c>
      <c r="G3416" s="39" t="str">
        <f t="array" ref="G3416">IFNA(_xlfn.XLOOKUP(D3416,Table_Tarikan_Warkah[Nomor Tiket],Table_Tarikan_Warkah[Jenis Permohonan]),"")</f>
        <v>PENGHAPUSAN BPHTB</v>
      </c>
      <c r="H3416" s="41" t="s">
        <v>2315</v>
      </c>
      <c r="I3416" s="49" t="s">
        <v>23</v>
      </c>
      <c r="J3416" s="36">
        <f t="shared" si="20"/>
        <v>45881.49307</v>
      </c>
      <c r="K3416" s="49" t="s">
        <v>2378</v>
      </c>
      <c r="L3416" s="49" t="s">
        <v>23</v>
      </c>
      <c r="M3416" s="36">
        <f t="shared" si="33"/>
        <v>45881.6559</v>
      </c>
      <c r="N3416" s="30" t="str">
        <f t="shared" si="34"/>
        <v>Selesai</v>
      </c>
      <c r="O3416" s="45">
        <f t="shared" si="23"/>
        <v>45881.6559</v>
      </c>
      <c r="P3416" s="47" t="b">
        <v>0</v>
      </c>
      <c r="Q3416" s="36" t="str">
        <f t="shared" si="35"/>
        <v/>
      </c>
      <c r="R3416" s="47" t="b">
        <v>0</v>
      </c>
      <c r="S3416" s="42" t="str">
        <f t="shared" si="28"/>
        <v/>
      </c>
      <c r="T3416" s="42"/>
    </row>
    <row r="3417" ht="22.5" customHeight="1">
      <c r="B3417" s="42">
        <f t="shared" si="7"/>
        <v>3411</v>
      </c>
      <c r="C3417" s="31" t="s">
        <v>3473</v>
      </c>
      <c r="D3417" s="34" t="str">
        <f t="array" ref="D3417">IFNA(_xlfn.XLOOKUP(C3417,Table_Tarikan_Warkah[Nomor Sertipikat],Table_Tarikan_Warkah[Nomor Tiket]),"")</f>
        <v>L/12/050825/1</v>
      </c>
      <c r="E3417" s="36" t="str">
        <f t="array" ref="E3417">IFNA(_xlfn.XLOOKUP(D3417,Table_Tarikan_Warkah[Nomor Tiket],Table_Tarikan_Warkah[Tanggal diserahkan kepada Validator]),"")</f>
        <v/>
      </c>
      <c r="F3417" s="36" t="str">
        <f t="array" ref="F3417">IFNA(_xlfn.XLOOKUP(D3417,Table_Tarikan_Warkah[Nomor Tiket],Table_Tarikan_Warkah[Nama Petugas Warkah]),"")</f>
        <v/>
      </c>
      <c r="G3417" s="39" t="str">
        <f t="array" ref="G3417">IFNA(_xlfn.XLOOKUP(D3417,Table_Tarikan_Warkah[Nomor Tiket],Table_Tarikan_Warkah[Jenis Permohonan]),"")</f>
        <v>ROYA</v>
      </c>
      <c r="H3417" s="41" t="s">
        <v>2315</v>
      </c>
      <c r="I3417" s="49" t="s">
        <v>23</v>
      </c>
      <c r="J3417" s="36">
        <f t="shared" si="20"/>
        <v>45881.56383</v>
      </c>
      <c r="K3417" s="49" t="s">
        <v>2378</v>
      </c>
      <c r="L3417" s="49" t="s">
        <v>23</v>
      </c>
      <c r="M3417" s="36">
        <f t="shared" si="33"/>
        <v>45881.6559</v>
      </c>
      <c r="N3417" s="30" t="str">
        <f t="shared" si="34"/>
        <v>Selesai</v>
      </c>
      <c r="O3417" s="45">
        <f t="shared" si="23"/>
        <v>45881.6559</v>
      </c>
      <c r="P3417" s="47" t="b">
        <v>0</v>
      </c>
      <c r="Q3417" s="36" t="str">
        <f t="shared" si="35"/>
        <v/>
      </c>
      <c r="R3417" s="47" t="b">
        <v>0</v>
      </c>
      <c r="S3417" s="42" t="str">
        <f t="shared" si="28"/>
        <v/>
      </c>
      <c r="T3417" s="42"/>
    </row>
    <row r="3418" ht="22.5" customHeight="1">
      <c r="B3418" s="42">
        <f t="shared" si="7"/>
        <v>3412</v>
      </c>
      <c r="C3418" s="31" t="s">
        <v>3474</v>
      </c>
      <c r="D3418" s="34" t="str">
        <f t="array" ref="D3418">IFNA(_xlfn.XLOOKUP(C3418,Table_Tarikan_Warkah[Nomor Sertipikat],Table_Tarikan_Warkah[Nomor Tiket]),"")</f>
        <v>K/4/220725/1</v>
      </c>
      <c r="E3418" s="36" t="str">
        <f t="array" ref="E3418">IFNA(_xlfn.XLOOKUP(D3418,Table_Tarikan_Warkah[Nomor Tiket],Table_Tarikan_Warkah[Tanggal diserahkan kepada Validator]),"")</f>
        <v/>
      </c>
      <c r="F3418" s="36" t="str">
        <f t="array" ref="F3418">IFNA(_xlfn.XLOOKUP(D3418,Table_Tarikan_Warkah[Nomor Tiket],Table_Tarikan_Warkah[Nama Petugas Warkah]),"")</f>
        <v/>
      </c>
      <c r="G3418" s="39" t="str">
        <f t="array" ref="G3418">IFNA(_xlfn.XLOOKUP(D3418,Table_Tarikan_Warkah[Nomor Tiket],Table_Tarikan_Warkah[Jenis Permohonan]),"")</f>
        <v>KEWARISAN</v>
      </c>
      <c r="H3418" s="41" t="s">
        <v>2315</v>
      </c>
      <c r="I3418" s="49" t="s">
        <v>23</v>
      </c>
      <c r="J3418" s="36">
        <f t="shared" si="20"/>
        <v>45881.56405</v>
      </c>
      <c r="K3418" s="49" t="s">
        <v>2378</v>
      </c>
      <c r="L3418" s="49" t="s">
        <v>23</v>
      </c>
      <c r="M3418" s="36">
        <f t="shared" si="33"/>
        <v>45881.6559</v>
      </c>
      <c r="N3418" s="30" t="str">
        <f t="shared" si="34"/>
        <v>Selesai</v>
      </c>
      <c r="O3418" s="45">
        <f t="shared" si="23"/>
        <v>45881.6559</v>
      </c>
      <c r="P3418" s="47" t="b">
        <v>0</v>
      </c>
      <c r="Q3418" s="36" t="str">
        <f t="shared" si="35"/>
        <v/>
      </c>
      <c r="R3418" s="47" t="b">
        <v>0</v>
      </c>
      <c r="S3418" s="42" t="str">
        <f t="shared" si="28"/>
        <v/>
      </c>
      <c r="T3418" s="42"/>
    </row>
    <row r="3419" ht="22.5" customHeight="1">
      <c r="B3419" s="42">
        <f t="shared" si="7"/>
        <v>3413</v>
      </c>
      <c r="C3419" s="31" t="s">
        <v>3475</v>
      </c>
      <c r="D3419" s="34" t="str">
        <f t="array" ref="D3419">IFNA(_xlfn.XLOOKUP(C3419,Table_Tarikan_Warkah[Nomor Sertipikat],Table_Tarikan_Warkah[Nomor Tiket]),"")</f>
        <v>K/3/070725/1</v>
      </c>
      <c r="E3419" s="36">
        <f t="array" ref="E3419">IFNA(_xlfn.XLOOKUP(D3419,Table_Tarikan_Warkah[Nomor Tiket],Table_Tarikan_Warkah[Tanggal diserahkan kepada Validator]),"")</f>
        <v>45883.66377</v>
      </c>
      <c r="F3419" s="36" t="str">
        <f t="array" ref="F3419">IFNA(_xlfn.XLOOKUP(D3419,Table_Tarikan_Warkah[Nomor Tiket],Table_Tarikan_Warkah[Nama Petugas Warkah]),"")</f>
        <v>Berry</v>
      </c>
      <c r="G3419" s="39" t="str">
        <f t="array" ref="G3419">IFNA(_xlfn.XLOOKUP(D3419,Table_Tarikan_Warkah[Nomor Tiket],Table_Tarikan_Warkah[Jenis Permohonan]),"")</f>
        <v>JUAL BELI</v>
      </c>
      <c r="H3419" s="41" t="s">
        <v>920</v>
      </c>
      <c r="I3419" s="49" t="s">
        <v>23</v>
      </c>
      <c r="J3419" s="36">
        <f t="shared" si="20"/>
        <v>45883.42093</v>
      </c>
      <c r="K3419" s="49" t="s">
        <v>920</v>
      </c>
      <c r="L3419" s="49" t="s">
        <v>23</v>
      </c>
      <c r="M3419" s="36">
        <f t="shared" si="33"/>
        <v>45883.42099</v>
      </c>
      <c r="N3419" s="30" t="str">
        <f t="shared" si="34"/>
        <v>Selesai</v>
      </c>
      <c r="O3419" s="45">
        <f t="shared" si="23"/>
        <v>45883.42099</v>
      </c>
      <c r="P3419" s="47" t="b">
        <v>1</v>
      </c>
      <c r="Q3419" s="36">
        <f t="shared" si="35"/>
        <v>45883.42101</v>
      </c>
      <c r="R3419" s="47" t="b">
        <v>0</v>
      </c>
      <c r="S3419" s="42" t="str">
        <f t="shared" si="28"/>
        <v/>
      </c>
      <c r="T3419" s="42"/>
    </row>
    <row r="3420" ht="22.5" customHeight="1">
      <c r="B3420" s="42">
        <f t="shared" si="7"/>
        <v>3414</v>
      </c>
      <c r="C3420" s="31" t="s">
        <v>3476</v>
      </c>
      <c r="D3420" s="34" t="str">
        <f t="array" ref="D3420">IFNA(_xlfn.XLOOKUP(C3420,Table_Tarikan_Warkah[Nomor Sertipikat],Table_Tarikan_Warkah[Nomor Tiket]),"")</f>
        <v>K/19/300725/2</v>
      </c>
      <c r="E3420" s="36">
        <f t="array" ref="E3420">IFNA(_xlfn.XLOOKUP(D3420,Table_Tarikan_Warkah[Nomor Tiket],Table_Tarikan_Warkah[Tanggal diserahkan kepada Validator]),"")</f>
        <v>45883.66414</v>
      </c>
      <c r="F3420" s="36" t="str">
        <f t="array" ref="F3420">IFNA(_xlfn.XLOOKUP(D3420,Table_Tarikan_Warkah[Nomor Tiket],Table_Tarikan_Warkah[Nama Petugas Warkah]),"")</f>
        <v>Berry</v>
      </c>
      <c r="G3420" s="39" t="str">
        <f t="array" ref="G3420">IFNA(_xlfn.XLOOKUP(D3420,Table_Tarikan_Warkah[Nomor Tiket],Table_Tarikan_Warkah[Jenis Permohonan]),"")</f>
        <v>BN JUAL BELI</v>
      </c>
      <c r="H3420" s="41" t="s">
        <v>920</v>
      </c>
      <c r="I3420" s="49" t="s">
        <v>23</v>
      </c>
      <c r="J3420" s="36">
        <f t="shared" si="20"/>
        <v>45883.42119</v>
      </c>
      <c r="K3420" s="49" t="s">
        <v>920</v>
      </c>
      <c r="L3420" s="49" t="s">
        <v>23</v>
      </c>
      <c r="M3420" s="36">
        <f t="shared" si="33"/>
        <v>45883.42121</v>
      </c>
      <c r="N3420" s="30" t="str">
        <f t="shared" si="34"/>
        <v>Selesai</v>
      </c>
      <c r="O3420" s="45">
        <f t="shared" si="23"/>
        <v>45883.42121</v>
      </c>
      <c r="P3420" s="47" t="b">
        <v>1</v>
      </c>
      <c r="Q3420" s="36">
        <f t="shared" si="35"/>
        <v>45883.42123</v>
      </c>
      <c r="R3420" s="47" t="b">
        <v>0</v>
      </c>
      <c r="S3420" s="42" t="str">
        <f t="shared" si="28"/>
        <v/>
      </c>
      <c r="T3420" s="42"/>
    </row>
    <row r="3421" ht="22.5" customHeight="1">
      <c r="B3421" s="42">
        <f t="shared" si="7"/>
        <v>3415</v>
      </c>
      <c r="C3421" s="31" t="s">
        <v>3477</v>
      </c>
      <c r="D3421" s="34" t="str">
        <f t="array" ref="D3421">IFNA(_xlfn.XLOOKUP(C3421,Table_Tarikan_Warkah[Nomor Sertipikat],Table_Tarikan_Warkah[Nomor Tiket]),"")</f>
        <v>K/13/040825/2</v>
      </c>
      <c r="E3421" s="36">
        <f t="array" ref="E3421">IFNA(_xlfn.XLOOKUP(D3421,Table_Tarikan_Warkah[Nomor Tiket],Table_Tarikan_Warkah[Tanggal diserahkan kepada Validator]),"")</f>
        <v>45888.62261</v>
      </c>
      <c r="F3421" s="36" t="str">
        <f t="array" ref="F3421">IFNA(_xlfn.XLOOKUP(D3421,Table_Tarikan_Warkah[Nomor Tiket],Table_Tarikan_Warkah[Nama Petugas Warkah]),"")</f>
        <v>David</v>
      </c>
      <c r="G3421" s="39" t="str">
        <f t="array" ref="G3421">IFNA(_xlfn.XLOOKUP(D3421,Table_Tarikan_Warkah[Nomor Tiket],Table_Tarikan_Warkah[Jenis Permohonan]),"")</f>
        <v>BN Jual Beli</v>
      </c>
      <c r="H3421" s="41" t="s">
        <v>2315</v>
      </c>
      <c r="I3421" s="49" t="s">
        <v>23</v>
      </c>
      <c r="J3421" s="36">
        <f t="shared" si="20"/>
        <v>45883.56761</v>
      </c>
      <c r="K3421" s="49" t="s">
        <v>2378</v>
      </c>
      <c r="L3421" s="49" t="s">
        <v>23</v>
      </c>
      <c r="M3421" s="36">
        <f t="shared" si="33"/>
        <v>45883.64341</v>
      </c>
      <c r="N3421" s="30" t="str">
        <f t="shared" si="34"/>
        <v>Selesai</v>
      </c>
      <c r="O3421" s="45">
        <f t="shared" si="23"/>
        <v>45883.64341</v>
      </c>
      <c r="P3421" s="47" t="b">
        <v>0</v>
      </c>
      <c r="Q3421" s="36" t="str">
        <f t="shared" si="35"/>
        <v/>
      </c>
      <c r="R3421" s="47" t="b">
        <v>0</v>
      </c>
      <c r="S3421" s="42" t="str">
        <f t="shared" si="28"/>
        <v/>
      </c>
      <c r="T3421" s="42"/>
    </row>
    <row r="3422" ht="22.5" customHeight="1">
      <c r="B3422" s="42">
        <f t="shared" si="7"/>
        <v>3416</v>
      </c>
      <c r="C3422" s="31" t="s">
        <v>3478</v>
      </c>
      <c r="D3422" s="34" t="str">
        <f t="array" ref="D3422">IFNA(_xlfn.XLOOKUP(C3422,Table_Tarikan_Warkah[Nomor Sertipikat],Table_Tarikan_Warkah[Nomor Tiket]),"")</f>
        <v>K/10/310725/2</v>
      </c>
      <c r="E3422" s="36">
        <f t="array" ref="E3422">IFNA(_xlfn.XLOOKUP(D3422,Table_Tarikan_Warkah[Nomor Tiket],Table_Tarikan_Warkah[Tanggal diserahkan kepada Validator]),"")</f>
        <v>45890.67361</v>
      </c>
      <c r="F3422" s="36" t="str">
        <f t="array" ref="F3422">IFNA(_xlfn.XLOOKUP(D3422,Table_Tarikan_Warkah[Nomor Tiket],Table_Tarikan_Warkah[Nama Petugas Warkah]),"")</f>
        <v>Berry</v>
      </c>
      <c r="G3422" s="39" t="str">
        <f t="array" ref="G3422">IFNA(_xlfn.XLOOKUP(D3422,Table_Tarikan_Warkah[Nomor Tiket],Table_Tarikan_Warkah[Jenis Permohonan]),"")</f>
        <v>BN Jual Beli</v>
      </c>
      <c r="H3422" s="41" t="s">
        <v>2315</v>
      </c>
      <c r="I3422" s="49" t="s">
        <v>23</v>
      </c>
      <c r="J3422" s="36">
        <f t="shared" si="20"/>
        <v>45883.56776</v>
      </c>
      <c r="K3422" s="49" t="s">
        <v>2378</v>
      </c>
      <c r="L3422" s="49" t="s">
        <v>23</v>
      </c>
      <c r="M3422" s="36">
        <f t="shared" si="33"/>
        <v>45883.64346</v>
      </c>
      <c r="N3422" s="30" t="str">
        <f t="shared" si="34"/>
        <v>Selesai</v>
      </c>
      <c r="O3422" s="45">
        <f t="shared" si="23"/>
        <v>45883.64346</v>
      </c>
      <c r="P3422" s="47" t="b">
        <v>0</v>
      </c>
      <c r="Q3422" s="36" t="str">
        <f t="shared" si="35"/>
        <v/>
      </c>
      <c r="R3422" s="47" t="b">
        <v>0</v>
      </c>
      <c r="S3422" s="42" t="str">
        <f t="shared" si="28"/>
        <v/>
      </c>
      <c r="T3422" s="42"/>
    </row>
    <row r="3423" ht="22.5" customHeight="1">
      <c r="B3423" s="42">
        <f t="shared" si="7"/>
        <v>3417</v>
      </c>
      <c r="C3423" s="31" t="s">
        <v>3419</v>
      </c>
      <c r="D3423" s="34" t="str">
        <f t="array" ref="D3423">IFNA(_xlfn.XLOOKUP(C3423,Table_Tarikan_Warkah[Nomor Sertipikat],Table_Tarikan_Warkah[Nomor Tiket]),"")</f>
        <v>K/20/280725/3</v>
      </c>
      <c r="E3423" s="36">
        <f t="array" ref="E3423">IFNA(_xlfn.XLOOKUP(D3423,Table_Tarikan_Warkah[Nomor Tiket],Table_Tarikan_Warkah[Tanggal diserahkan kepada Validator]),"")</f>
        <v>45904.61622</v>
      </c>
      <c r="F3423" s="36" t="str">
        <f t="array" ref="F3423">IFNA(_xlfn.XLOOKUP(D3423,Table_Tarikan_Warkah[Nomor Tiket],Table_Tarikan_Warkah[Nama Petugas Warkah]),"")</f>
        <v>David</v>
      </c>
      <c r="G3423" s="39" t="str">
        <f t="array" ref="G3423">IFNA(_xlfn.XLOOKUP(D3423,Table_Tarikan_Warkah[Nomor Tiket],Table_Tarikan_Warkah[Jenis Permohonan]),"")</f>
        <v>Roya</v>
      </c>
      <c r="H3423" s="41" t="s">
        <v>2315</v>
      </c>
      <c r="I3423" s="49" t="s">
        <v>23</v>
      </c>
      <c r="J3423" s="36">
        <f t="shared" si="20"/>
        <v>45883.56791</v>
      </c>
      <c r="K3423" s="49" t="s">
        <v>2378</v>
      </c>
      <c r="L3423" s="49" t="s">
        <v>23</v>
      </c>
      <c r="M3423" s="36">
        <f t="shared" si="33"/>
        <v>45883.64346</v>
      </c>
      <c r="N3423" s="30" t="str">
        <f t="shared" si="34"/>
        <v>Selesai</v>
      </c>
      <c r="O3423" s="45">
        <f t="shared" si="23"/>
        <v>45883.64346</v>
      </c>
      <c r="P3423" s="47" t="b">
        <v>0</v>
      </c>
      <c r="Q3423" s="36" t="str">
        <f t="shared" si="35"/>
        <v/>
      </c>
      <c r="R3423" s="47" t="b">
        <v>0</v>
      </c>
      <c r="S3423" s="42" t="str">
        <f t="shared" si="28"/>
        <v/>
      </c>
      <c r="T3423" s="42"/>
    </row>
    <row r="3424" ht="22.5" customHeight="1">
      <c r="B3424" s="42">
        <f t="shared" si="7"/>
        <v>3418</v>
      </c>
      <c r="C3424" s="31" t="s">
        <v>3479</v>
      </c>
      <c r="D3424" s="34" t="str">
        <f t="array" ref="D3424">IFNA(_xlfn.XLOOKUP(C3424,Table_Tarikan_Warkah[Nomor Sertipikat],Table_Tarikan_Warkah[Nomor Tiket]),"")</f>
        <v>K/24/250725/1</v>
      </c>
      <c r="E3424" s="36">
        <f t="array" ref="E3424">IFNA(_xlfn.XLOOKUP(D3424,Table_Tarikan_Warkah[Nomor Tiket],Table_Tarikan_Warkah[Tanggal diserahkan kepada Validator]),"")</f>
        <v>45904.61703</v>
      </c>
      <c r="F3424" s="36" t="str">
        <f t="array" ref="F3424">IFNA(_xlfn.XLOOKUP(D3424,Table_Tarikan_Warkah[Nomor Tiket],Table_Tarikan_Warkah[Nama Petugas Warkah]),"")</f>
        <v>David</v>
      </c>
      <c r="G3424" s="39" t="str">
        <f t="array" ref="G3424">IFNA(_xlfn.XLOOKUP(D3424,Table_Tarikan_Warkah[Nomor Tiket],Table_Tarikan_Warkah[Jenis Permohonan]),"")</f>
        <v>Roya</v>
      </c>
      <c r="H3424" s="41" t="s">
        <v>2315</v>
      </c>
      <c r="I3424" s="49" t="s">
        <v>23</v>
      </c>
      <c r="J3424" s="36">
        <f t="shared" si="20"/>
        <v>45883.56805</v>
      </c>
      <c r="K3424" s="49" t="s">
        <v>2378</v>
      </c>
      <c r="L3424" s="49" t="s">
        <v>23</v>
      </c>
      <c r="M3424" s="36">
        <f t="shared" si="33"/>
        <v>45883.64346</v>
      </c>
      <c r="N3424" s="30" t="str">
        <f t="shared" si="34"/>
        <v>Selesai</v>
      </c>
      <c r="O3424" s="45">
        <f t="shared" si="23"/>
        <v>45883.64346</v>
      </c>
      <c r="P3424" s="47" t="b">
        <v>0</v>
      </c>
      <c r="Q3424" s="36" t="str">
        <f t="shared" si="35"/>
        <v/>
      </c>
      <c r="R3424" s="47" t="b">
        <v>0</v>
      </c>
      <c r="S3424" s="42" t="str">
        <f t="shared" si="28"/>
        <v/>
      </c>
      <c r="T3424" s="42"/>
    </row>
    <row r="3425" ht="22.5" customHeight="1">
      <c r="B3425" s="42">
        <f t="shared" si="7"/>
        <v>3419</v>
      </c>
      <c r="C3425" s="31" t="s">
        <v>3480</v>
      </c>
      <c r="D3425" s="34" t="str">
        <f t="array" ref="D3425">IFNA(_xlfn.XLOOKUP(C3425,Table_Tarikan_Warkah[Nomor Sertipikat],Table_Tarikan_Warkah[Nomor Tiket]),"")</f>
        <v>K/18/010825/3</v>
      </c>
      <c r="E3425" s="36">
        <f t="array" ref="E3425">IFNA(_xlfn.XLOOKUP(D3425,Table_Tarikan_Warkah[Nomor Tiket],Table_Tarikan_Warkah[Tanggal diserahkan kepada Validator]),"")</f>
        <v>45888.62289</v>
      </c>
      <c r="F3425" s="36" t="str">
        <f t="array" ref="F3425">IFNA(_xlfn.XLOOKUP(D3425,Table_Tarikan_Warkah[Nomor Tiket],Table_Tarikan_Warkah[Nama Petugas Warkah]),"")</f>
        <v>David</v>
      </c>
      <c r="G3425" s="39" t="str">
        <f t="array" ref="G3425">IFNA(_xlfn.XLOOKUP(D3425,Table_Tarikan_Warkah[Nomor Tiket],Table_Tarikan_Warkah[Jenis Permohonan]),"")</f>
        <v>BN Jual Beli</v>
      </c>
      <c r="H3425" s="41" t="s">
        <v>2315</v>
      </c>
      <c r="I3425" s="49" t="s">
        <v>23</v>
      </c>
      <c r="J3425" s="36">
        <f t="shared" si="20"/>
        <v>45883.56818</v>
      </c>
      <c r="K3425" s="49" t="s">
        <v>2378</v>
      </c>
      <c r="L3425" s="49" t="s">
        <v>23</v>
      </c>
      <c r="M3425" s="36">
        <f t="shared" si="33"/>
        <v>45883.64346</v>
      </c>
      <c r="N3425" s="30" t="str">
        <f t="shared" si="34"/>
        <v>Selesai</v>
      </c>
      <c r="O3425" s="45">
        <f t="shared" si="23"/>
        <v>45883.64346</v>
      </c>
      <c r="P3425" s="47" t="b">
        <v>0</v>
      </c>
      <c r="Q3425" s="36" t="str">
        <f t="shared" si="35"/>
        <v/>
      </c>
      <c r="R3425" s="47" t="b">
        <v>0</v>
      </c>
      <c r="S3425" s="42" t="str">
        <f t="shared" si="28"/>
        <v/>
      </c>
      <c r="T3425" s="42"/>
    </row>
    <row r="3426" ht="22.5" customHeight="1">
      <c r="B3426" s="42">
        <f t="shared" si="7"/>
        <v>3420</v>
      </c>
      <c r="C3426" s="31" t="s">
        <v>3481</v>
      </c>
      <c r="D3426" s="34" t="str">
        <f t="array" ref="D3426">IFNA(_xlfn.XLOOKUP(C3426,Table_Tarikan_Warkah[Nomor Sertipikat],Table_Tarikan_Warkah[Nomor Tiket]),"")</f>
        <v>K/14/300725/1</v>
      </c>
      <c r="E3426" s="36">
        <f t="array" ref="E3426">IFNA(_xlfn.XLOOKUP(D3426,Table_Tarikan_Warkah[Nomor Tiket],Table_Tarikan_Warkah[Tanggal diserahkan kepada Validator]),"")</f>
        <v>45890.66692</v>
      </c>
      <c r="F3426" s="36" t="str">
        <f t="array" ref="F3426">IFNA(_xlfn.XLOOKUP(D3426,Table_Tarikan_Warkah[Nomor Tiket],Table_Tarikan_Warkah[Nama Petugas Warkah]),"")</f>
        <v>Berry</v>
      </c>
      <c r="G3426" s="39" t="str">
        <f t="array" ref="G3426">IFNA(_xlfn.XLOOKUP(D3426,Table_Tarikan_Warkah[Nomor Tiket],Table_Tarikan_Warkah[Jenis Permohonan]),"")</f>
        <v>BN Jual Beli</v>
      </c>
      <c r="H3426" s="41" t="s">
        <v>2315</v>
      </c>
      <c r="I3426" s="49" t="s">
        <v>23</v>
      </c>
      <c r="J3426" s="36">
        <f t="shared" si="20"/>
        <v>45883.56845</v>
      </c>
      <c r="K3426" s="49" t="s">
        <v>2378</v>
      </c>
      <c r="L3426" s="49" t="s">
        <v>23</v>
      </c>
      <c r="M3426" s="36">
        <f t="shared" si="33"/>
        <v>45889.6274</v>
      </c>
      <c r="N3426" s="30" t="str">
        <f t="shared" si="34"/>
        <v>Selesai</v>
      </c>
      <c r="O3426" s="45">
        <f t="shared" si="23"/>
        <v>45889.6274</v>
      </c>
      <c r="P3426" s="47" t="b">
        <v>0</v>
      </c>
      <c r="Q3426" s="36" t="str">
        <f t="shared" si="35"/>
        <v/>
      </c>
      <c r="R3426" s="47" t="b">
        <v>0</v>
      </c>
      <c r="S3426" s="42" t="str">
        <f t="shared" si="28"/>
        <v/>
      </c>
      <c r="T3426" s="42"/>
    </row>
    <row r="3427" ht="22.5" customHeight="1">
      <c r="B3427" s="42">
        <f t="shared" si="7"/>
        <v>3421</v>
      </c>
      <c r="C3427" s="31" t="s">
        <v>3482</v>
      </c>
      <c r="D3427" s="34" t="str">
        <f t="array" ref="D3427">IFNA(_xlfn.XLOOKUP(C3427,Table_Tarikan_Warkah[Nomor Sertipikat],Table_Tarikan_Warkah[Nomor Tiket]),"")</f>
        <v>K/1/060825/1</v>
      </c>
      <c r="E3427" s="36">
        <f t="array" ref="E3427">IFNA(_xlfn.XLOOKUP(D3427,Table_Tarikan_Warkah[Nomor Tiket],Table_Tarikan_Warkah[Tanggal diserahkan kepada Validator]),"")</f>
        <v>45897.49433</v>
      </c>
      <c r="F3427" s="36" t="str">
        <f t="array" ref="F3427">IFNA(_xlfn.XLOOKUP(D3427,Table_Tarikan_Warkah[Nomor Tiket],Table_Tarikan_Warkah[Nama Petugas Warkah]),"")</f>
        <v>Berry</v>
      </c>
      <c r="G3427" s="39" t="str">
        <f t="array" ref="G3427">IFNA(_xlfn.XLOOKUP(D3427,Table_Tarikan_Warkah[Nomor Tiket],Table_Tarikan_Warkah[Jenis Permohonan]),"")</f>
        <v>Ganti Blanko Lama</v>
      </c>
      <c r="H3427" s="41" t="s">
        <v>2315</v>
      </c>
      <c r="I3427" s="49" t="s">
        <v>23</v>
      </c>
      <c r="J3427" s="36">
        <f t="shared" si="20"/>
        <v>45883.5686</v>
      </c>
      <c r="K3427" s="49" t="s">
        <v>2378</v>
      </c>
      <c r="L3427" s="49" t="s">
        <v>23</v>
      </c>
      <c r="M3427" s="36">
        <f t="shared" si="33"/>
        <v>45883.64348</v>
      </c>
      <c r="N3427" s="30" t="str">
        <f t="shared" si="34"/>
        <v>Selesai</v>
      </c>
      <c r="O3427" s="45">
        <f t="shared" si="23"/>
        <v>45883.64348</v>
      </c>
      <c r="P3427" s="47" t="b">
        <v>0</v>
      </c>
      <c r="Q3427" s="36" t="str">
        <f t="shared" si="35"/>
        <v/>
      </c>
      <c r="R3427" s="47" t="b">
        <v>0</v>
      </c>
      <c r="S3427" s="42" t="str">
        <f t="shared" si="28"/>
        <v/>
      </c>
      <c r="T3427" s="42"/>
    </row>
    <row r="3428" ht="22.5" customHeight="1">
      <c r="B3428" s="42">
        <f t="shared" si="7"/>
        <v>3422</v>
      </c>
      <c r="C3428" s="31" t="s">
        <v>3483</v>
      </c>
      <c r="D3428" s="34" t="str">
        <f t="array" ref="D3428">IFNA(_xlfn.XLOOKUP(C3428,Table_Tarikan_Warkah[Nomor Sertipikat],Table_Tarikan_Warkah[Nomor Tiket]),"")</f>
        <v>K/5/040825/1</v>
      </c>
      <c r="E3428" s="36" t="str">
        <f t="array" ref="E3428">IFNA(_xlfn.XLOOKUP(D3428,Table_Tarikan_Warkah[Nomor Tiket],Table_Tarikan_Warkah[Tanggal diserahkan kepada Validator]),"")</f>
        <v/>
      </c>
      <c r="F3428" s="36" t="str">
        <f t="array" ref="F3428">IFNA(_xlfn.XLOOKUP(D3428,Table_Tarikan_Warkah[Nomor Tiket],Table_Tarikan_Warkah[Nama Petugas Warkah]),"")</f>
        <v/>
      </c>
      <c r="G3428" s="39" t="str">
        <f t="array" ref="G3428">IFNA(_xlfn.XLOOKUP(D3428,Table_Tarikan_Warkah[Nomor Tiket],Table_Tarikan_Warkah[Jenis Permohonan]),"")</f>
        <v>Perubahan Hak</v>
      </c>
      <c r="H3428" s="41" t="s">
        <v>2315</v>
      </c>
      <c r="I3428" s="49" t="s">
        <v>23</v>
      </c>
      <c r="J3428" s="36">
        <f t="shared" si="20"/>
        <v>45883.56879</v>
      </c>
      <c r="K3428" s="49" t="s">
        <v>2378</v>
      </c>
      <c r="L3428" s="49" t="s">
        <v>23</v>
      </c>
      <c r="M3428" s="36">
        <f t="shared" si="33"/>
        <v>45889.62733</v>
      </c>
      <c r="N3428" s="30" t="str">
        <f t="shared" si="34"/>
        <v>Selesai</v>
      </c>
      <c r="O3428" s="45">
        <f t="shared" si="23"/>
        <v>45889.62733</v>
      </c>
      <c r="P3428" s="47" t="b">
        <v>0</v>
      </c>
      <c r="Q3428" s="36" t="str">
        <f t="shared" si="35"/>
        <v/>
      </c>
      <c r="R3428" s="47" t="b">
        <v>0</v>
      </c>
      <c r="S3428" s="42" t="str">
        <f t="shared" si="28"/>
        <v/>
      </c>
      <c r="T3428" s="42"/>
    </row>
    <row r="3429" ht="22.5" customHeight="1">
      <c r="B3429" s="42">
        <f t="shared" si="7"/>
        <v>3423</v>
      </c>
      <c r="C3429" s="31" t="s">
        <v>3484</v>
      </c>
      <c r="D3429" s="34" t="str">
        <f t="array" ref="D3429">IFNA(_xlfn.XLOOKUP(C3429,Table_Tarikan_Warkah[Nomor Sertipikat],Table_Tarikan_Warkah[Nomor Tiket]),"")</f>
        <v>K/26/010825/3</v>
      </c>
      <c r="E3429" s="36">
        <f t="array" ref="E3429">IFNA(_xlfn.XLOOKUP(D3429,Table_Tarikan_Warkah[Nomor Tiket],Table_Tarikan_Warkah[Tanggal diserahkan kepada Validator]),"")</f>
        <v>45890.66957</v>
      </c>
      <c r="F3429" s="36" t="str">
        <f t="array" ref="F3429">IFNA(_xlfn.XLOOKUP(D3429,Table_Tarikan_Warkah[Nomor Tiket],Table_Tarikan_Warkah[Nama Petugas Warkah]),"")</f>
        <v>Berry</v>
      </c>
      <c r="G3429" s="39" t="str">
        <f t="array" ref="G3429">IFNA(_xlfn.XLOOKUP(D3429,Table_Tarikan_Warkah[Nomor Tiket],Table_Tarikan_Warkah[Jenis Permohonan]),"")</f>
        <v>BN JUAL BELI</v>
      </c>
      <c r="H3429" s="41" t="s">
        <v>20</v>
      </c>
      <c r="I3429" s="49" t="s">
        <v>23</v>
      </c>
      <c r="J3429" s="36">
        <f t="shared" si="20"/>
        <v>45888.50134</v>
      </c>
      <c r="K3429" s="49" t="s">
        <v>2378</v>
      </c>
      <c r="L3429" s="49" t="s">
        <v>23</v>
      </c>
      <c r="M3429" s="36">
        <f t="shared" si="33"/>
        <v>45889.6283</v>
      </c>
      <c r="N3429" s="30" t="str">
        <f t="shared" si="34"/>
        <v>Selesai</v>
      </c>
      <c r="O3429" s="45">
        <f t="shared" si="23"/>
        <v>45889.6283</v>
      </c>
      <c r="P3429" s="47" t="b">
        <v>0</v>
      </c>
      <c r="Q3429" s="36" t="str">
        <f t="shared" si="35"/>
        <v/>
      </c>
      <c r="R3429" s="47" t="b">
        <v>0</v>
      </c>
      <c r="S3429" s="42" t="str">
        <f t="shared" si="28"/>
        <v/>
      </c>
      <c r="T3429" s="42"/>
    </row>
    <row r="3430" ht="22.5" customHeight="1">
      <c r="B3430" s="42">
        <f t="shared" si="7"/>
        <v>3424</v>
      </c>
      <c r="C3430" s="31" t="s">
        <v>3485</v>
      </c>
      <c r="D3430" s="34" t="str">
        <f t="array" ref="D3430">IFNA(_xlfn.XLOOKUP(C3430,Table_Tarikan_Warkah[Nomor Sertipikat],Table_Tarikan_Warkah[Nomor Tiket]),"")</f>
        <v>K/23/310725/2</v>
      </c>
      <c r="E3430" s="36">
        <f t="array" ref="E3430">IFNA(_xlfn.XLOOKUP(D3430,Table_Tarikan_Warkah[Nomor Tiket],Table_Tarikan_Warkah[Tanggal diserahkan kepada Validator]),"")</f>
        <v>45890.67192</v>
      </c>
      <c r="F3430" s="36" t="str">
        <f t="array" ref="F3430">IFNA(_xlfn.XLOOKUP(D3430,Table_Tarikan_Warkah[Nomor Tiket],Table_Tarikan_Warkah[Nama Petugas Warkah]),"")</f>
        <v>Berry</v>
      </c>
      <c r="G3430" s="39" t="str">
        <f t="array" ref="G3430">IFNA(_xlfn.XLOOKUP(D3430,Table_Tarikan_Warkah[Nomor Tiket],Table_Tarikan_Warkah[Jenis Permohonan]),"")</f>
        <v>BN JUAL BELI</v>
      </c>
      <c r="H3430" s="41" t="s">
        <v>20</v>
      </c>
      <c r="I3430" s="49" t="s">
        <v>23</v>
      </c>
      <c r="J3430" s="36">
        <f t="shared" si="20"/>
        <v>45888.50156</v>
      </c>
      <c r="K3430" s="49" t="s">
        <v>2378</v>
      </c>
      <c r="L3430" s="49" t="s">
        <v>23</v>
      </c>
      <c r="M3430" s="36">
        <f t="shared" si="33"/>
        <v>45889.62819</v>
      </c>
      <c r="N3430" s="30" t="str">
        <f t="shared" si="34"/>
        <v>Selesai</v>
      </c>
      <c r="O3430" s="45">
        <f t="shared" si="23"/>
        <v>45889.62819</v>
      </c>
      <c r="P3430" s="47" t="b">
        <v>0</v>
      </c>
      <c r="Q3430" s="36" t="str">
        <f t="shared" si="35"/>
        <v/>
      </c>
      <c r="R3430" s="47" t="b">
        <v>0</v>
      </c>
      <c r="S3430" s="42" t="str">
        <f t="shared" si="28"/>
        <v/>
      </c>
      <c r="T3430" s="42"/>
    </row>
    <row r="3431" ht="22.5" customHeight="1">
      <c r="B3431" s="42">
        <f t="shared" si="7"/>
        <v>3425</v>
      </c>
      <c r="C3431" s="31" t="s">
        <v>3486</v>
      </c>
      <c r="D3431" s="34" t="str">
        <f t="array" ref="D3431">IFNA(_xlfn.XLOOKUP(C3431,Table_Tarikan_Warkah[Nomor Sertipikat],Table_Tarikan_Warkah[Nomor Tiket]),"")</f>
        <v>K/28/290725/2</v>
      </c>
      <c r="E3431" s="36">
        <f t="array" ref="E3431">IFNA(_xlfn.XLOOKUP(D3431,Table_Tarikan_Warkah[Nomor Tiket],Table_Tarikan_Warkah[Tanggal diserahkan kepada Validator]),"")</f>
        <v>45890.67226</v>
      </c>
      <c r="F3431" s="36" t="str">
        <f t="array" ref="F3431">IFNA(_xlfn.XLOOKUP(D3431,Table_Tarikan_Warkah[Nomor Tiket],Table_Tarikan_Warkah[Nama Petugas Warkah]),"")</f>
        <v>Berry</v>
      </c>
      <c r="G3431" s="39" t="str">
        <f t="array" ref="G3431">IFNA(_xlfn.XLOOKUP(D3431,Table_Tarikan_Warkah[Nomor Tiket],Table_Tarikan_Warkah[Jenis Permohonan]),"")</f>
        <v>BN JUAL BELI</v>
      </c>
      <c r="H3431" s="41" t="s">
        <v>20</v>
      </c>
      <c r="I3431" s="49" t="s">
        <v>23</v>
      </c>
      <c r="J3431" s="36">
        <f t="shared" si="20"/>
        <v>45888.50159</v>
      </c>
      <c r="K3431" s="49" t="s">
        <v>2378</v>
      </c>
      <c r="L3431" s="49" t="s">
        <v>23</v>
      </c>
      <c r="M3431" s="36">
        <f t="shared" si="33"/>
        <v>45889.62801</v>
      </c>
      <c r="N3431" s="30" t="str">
        <f t="shared" si="34"/>
        <v>Selesai</v>
      </c>
      <c r="O3431" s="45">
        <f t="shared" si="23"/>
        <v>45889.62801</v>
      </c>
      <c r="P3431" s="47" t="b">
        <v>0</v>
      </c>
      <c r="Q3431" s="36" t="str">
        <f t="shared" si="35"/>
        <v/>
      </c>
      <c r="R3431" s="47" t="b">
        <v>0</v>
      </c>
      <c r="S3431" s="42" t="str">
        <f t="shared" si="28"/>
        <v/>
      </c>
      <c r="T3431" s="42"/>
    </row>
    <row r="3432" ht="22.5" customHeight="1">
      <c r="B3432" s="42">
        <f t="shared" si="7"/>
        <v>3426</v>
      </c>
      <c r="C3432" s="31" t="s">
        <v>3487</v>
      </c>
      <c r="D3432" s="34" t="str">
        <f t="array" ref="D3432">IFNA(_xlfn.XLOOKUP(C3432,Table_Tarikan_Warkah[Nomor Sertipikat],Table_Tarikan_Warkah[Nomor Tiket]),"")</f>
        <v>K/20/070725/1</v>
      </c>
      <c r="E3432" s="36">
        <f t="array" ref="E3432">IFNA(_xlfn.XLOOKUP(D3432,Table_Tarikan_Warkah[Nomor Tiket],Table_Tarikan_Warkah[Tanggal diserahkan kepada Validator]),"")</f>
        <v>45890.66809</v>
      </c>
      <c r="F3432" s="36" t="str">
        <f t="array" ref="F3432">IFNA(_xlfn.XLOOKUP(D3432,Table_Tarikan_Warkah[Nomor Tiket],Table_Tarikan_Warkah[Nama Petugas Warkah]),"")</f>
        <v>Berry</v>
      </c>
      <c r="G3432" s="39" t="str">
        <f t="array" ref="G3432">IFNA(_xlfn.XLOOKUP(D3432,Table_Tarikan_Warkah[Nomor Tiket],Table_Tarikan_Warkah[Jenis Permohonan]),"")</f>
        <v>BN Jual Beli</v>
      </c>
      <c r="H3432" s="41" t="s">
        <v>20</v>
      </c>
      <c r="I3432" s="49" t="s">
        <v>23</v>
      </c>
      <c r="J3432" s="36">
        <f t="shared" si="20"/>
        <v>45888.5018</v>
      </c>
      <c r="K3432" s="49" t="s">
        <v>2378</v>
      </c>
      <c r="L3432" s="49" t="s">
        <v>23</v>
      </c>
      <c r="M3432" s="36">
        <f t="shared" si="33"/>
        <v>45889.62784</v>
      </c>
      <c r="N3432" s="30" t="str">
        <f t="shared" si="34"/>
        <v>Selesai</v>
      </c>
      <c r="O3432" s="45">
        <f t="shared" si="23"/>
        <v>45889.62784</v>
      </c>
      <c r="P3432" s="47" t="b">
        <v>0</v>
      </c>
      <c r="Q3432" s="36" t="str">
        <f t="shared" si="35"/>
        <v/>
      </c>
      <c r="R3432" s="47" t="b">
        <v>0</v>
      </c>
      <c r="S3432" s="42" t="str">
        <f t="shared" si="28"/>
        <v/>
      </c>
      <c r="T3432" s="42"/>
    </row>
    <row r="3433" ht="22.5" customHeight="1">
      <c r="B3433" s="42">
        <f t="shared" si="7"/>
        <v>3427</v>
      </c>
      <c r="C3433" s="31" t="s">
        <v>3488</v>
      </c>
      <c r="D3433" s="34" t="str">
        <f t="array" ref="D3433">IFNA(_xlfn.XLOOKUP(C3433,Table_Tarikan_Warkah[Nomor Sertipikat],Table_Tarikan_Warkah[Nomor Tiket]),"")</f>
        <v>K/21/200525/1</v>
      </c>
      <c r="E3433" s="36">
        <f t="array" ref="E3433">IFNA(_xlfn.XLOOKUP(D3433,Table_Tarikan_Warkah[Nomor Tiket],Table_Tarikan_Warkah[Tanggal diserahkan kepada Validator]),"")</f>
        <v>45890.6686</v>
      </c>
      <c r="F3433" s="36" t="str">
        <f t="array" ref="F3433">IFNA(_xlfn.XLOOKUP(D3433,Table_Tarikan_Warkah[Nomor Tiket],Table_Tarikan_Warkah[Nama Petugas Warkah]),"")</f>
        <v>Berry</v>
      </c>
      <c r="G3433" s="39" t="str">
        <f t="array" ref="G3433">IFNA(_xlfn.XLOOKUP(D3433,Table_Tarikan_Warkah[Nomor Tiket],Table_Tarikan_Warkah[Jenis Permohonan]),"")</f>
        <v>BN Waris</v>
      </c>
      <c r="H3433" s="41" t="s">
        <v>20</v>
      </c>
      <c r="I3433" s="49" t="s">
        <v>23</v>
      </c>
      <c r="J3433" s="36">
        <f t="shared" si="20"/>
        <v>45888.50201</v>
      </c>
      <c r="K3433" s="49" t="s">
        <v>2378</v>
      </c>
      <c r="L3433" s="49" t="s">
        <v>23</v>
      </c>
      <c r="M3433" s="36">
        <f t="shared" si="33"/>
        <v>45889.62773</v>
      </c>
      <c r="N3433" s="30" t="str">
        <f t="shared" si="34"/>
        <v>Selesai</v>
      </c>
      <c r="O3433" s="45">
        <f t="shared" si="23"/>
        <v>45889.62773</v>
      </c>
      <c r="P3433" s="47" t="b">
        <v>0</v>
      </c>
      <c r="Q3433" s="36" t="str">
        <f t="shared" si="35"/>
        <v/>
      </c>
      <c r="R3433" s="47" t="b">
        <v>0</v>
      </c>
      <c r="S3433" s="42" t="str">
        <f t="shared" si="28"/>
        <v/>
      </c>
      <c r="T3433" s="42"/>
    </row>
    <row r="3434" ht="22.5" customHeight="1">
      <c r="B3434" s="42">
        <f t="shared" si="7"/>
        <v>3428</v>
      </c>
      <c r="C3434" s="31" t="s">
        <v>3489</v>
      </c>
      <c r="D3434" s="34" t="str">
        <f t="array" ref="D3434">IFNA(_xlfn.XLOOKUP(C3434,Table_Tarikan_Warkah[Nomor Sertipikat],Table_Tarikan_Warkah[Nomor Tiket]),"")</f>
        <v>K/12/040825/1</v>
      </c>
      <c r="E3434" s="36" t="str">
        <f t="array" ref="E3434">IFNA(_xlfn.XLOOKUP(D3434,Table_Tarikan_Warkah[Nomor Tiket],Table_Tarikan_Warkah[Tanggal diserahkan kepada Validator]),"")</f>
        <v/>
      </c>
      <c r="F3434" s="36" t="str">
        <f t="array" ref="F3434">IFNA(_xlfn.XLOOKUP(D3434,Table_Tarikan_Warkah[Nomor Tiket],Table_Tarikan_Warkah[Nama Petugas Warkah]),"")</f>
        <v/>
      </c>
      <c r="G3434" s="39" t="str">
        <f t="array" ref="G3434">IFNA(_xlfn.XLOOKUP(D3434,Table_Tarikan_Warkah[Nomor Tiket],Table_Tarikan_Warkah[Jenis Permohonan]),"")</f>
        <v>BN Jual Beli</v>
      </c>
      <c r="H3434" s="41" t="s">
        <v>20</v>
      </c>
      <c r="I3434" s="49" t="s">
        <v>23</v>
      </c>
      <c r="J3434" s="36">
        <f t="shared" si="20"/>
        <v>45888.50212</v>
      </c>
      <c r="K3434" s="49" t="s">
        <v>2378</v>
      </c>
      <c r="L3434" s="49" t="s">
        <v>23</v>
      </c>
      <c r="M3434" s="36">
        <f t="shared" si="33"/>
        <v>45889.62765</v>
      </c>
      <c r="N3434" s="30" t="str">
        <f t="shared" si="34"/>
        <v>Selesai</v>
      </c>
      <c r="O3434" s="45">
        <f t="shared" si="23"/>
        <v>45889.62765</v>
      </c>
      <c r="P3434" s="47" t="b">
        <v>0</v>
      </c>
      <c r="Q3434" s="36" t="str">
        <f t="shared" si="35"/>
        <v/>
      </c>
      <c r="R3434" s="47" t="b">
        <v>0</v>
      </c>
      <c r="S3434" s="42" t="str">
        <f t="shared" si="28"/>
        <v/>
      </c>
      <c r="T3434" s="42"/>
    </row>
    <row r="3435" ht="22.5" customHeight="1">
      <c r="B3435" s="42">
        <f t="shared" si="7"/>
        <v>3429</v>
      </c>
      <c r="C3435" s="31" t="s">
        <v>3490</v>
      </c>
      <c r="D3435" s="34" t="str">
        <f t="array" ref="D3435">IFNA(_xlfn.XLOOKUP(C3435,Table_Tarikan_Warkah[Nomor Sertipikat],Table_Tarikan_Warkah[Nomor Tiket]),"")</f>
        <v>K/17/260625/1</v>
      </c>
      <c r="E3435" s="36">
        <f t="array" ref="E3435">IFNA(_xlfn.XLOOKUP(D3435,Table_Tarikan_Warkah[Nomor Tiket],Table_Tarikan_Warkah[Tanggal diserahkan kepada Validator]),"")</f>
        <v>45890.66917</v>
      </c>
      <c r="F3435" s="36" t="str">
        <f t="array" ref="F3435">IFNA(_xlfn.XLOOKUP(D3435,Table_Tarikan_Warkah[Nomor Tiket],Table_Tarikan_Warkah[Nama Petugas Warkah]),"")</f>
        <v>Berry</v>
      </c>
      <c r="G3435" s="39" t="str">
        <f t="array" ref="G3435">IFNA(_xlfn.XLOOKUP(D3435,Table_Tarikan_Warkah[Nomor Tiket],Table_Tarikan_Warkah[Jenis Permohonan]),"")</f>
        <v>BN Waris</v>
      </c>
      <c r="H3435" s="41" t="s">
        <v>20</v>
      </c>
      <c r="I3435" s="49" t="s">
        <v>23</v>
      </c>
      <c r="J3435" s="36">
        <f t="shared" si="20"/>
        <v>45888.50224</v>
      </c>
      <c r="K3435" s="49" t="s">
        <v>2378</v>
      </c>
      <c r="L3435" s="49" t="s">
        <v>23</v>
      </c>
      <c r="M3435" s="36">
        <f t="shared" si="33"/>
        <v>45889.62756</v>
      </c>
      <c r="N3435" s="30" t="str">
        <f t="shared" si="34"/>
        <v>Selesai</v>
      </c>
      <c r="O3435" s="45">
        <f t="shared" si="23"/>
        <v>45889.62756</v>
      </c>
      <c r="P3435" s="47" t="b">
        <v>0</v>
      </c>
      <c r="Q3435" s="36" t="str">
        <f t="shared" si="35"/>
        <v/>
      </c>
      <c r="R3435" s="47" t="b">
        <v>0</v>
      </c>
      <c r="S3435" s="42" t="str">
        <f t="shared" si="28"/>
        <v/>
      </c>
      <c r="T3435" s="42"/>
    </row>
    <row r="3436" ht="22.5" customHeight="1">
      <c r="B3436" s="42">
        <f t="shared" si="7"/>
        <v>3430</v>
      </c>
      <c r="C3436" s="31" t="s">
        <v>3491</v>
      </c>
      <c r="D3436" s="34" t="str">
        <f t="array" ref="D3436">IFNA(_xlfn.XLOOKUP(C3436,Table_Tarikan_Warkah[Nomor Sertipikat],Table_Tarikan_Warkah[Nomor Tiket]),"")</f>
        <v>K/39/290725/2</v>
      </c>
      <c r="E3436" s="36">
        <f t="array" ref="E3436">IFNA(_xlfn.XLOOKUP(D3436,Table_Tarikan_Warkah[Nomor Tiket],Table_Tarikan_Warkah[Tanggal diserahkan kepada Validator]),"")</f>
        <v>45894.57598</v>
      </c>
      <c r="F3436" s="36" t="str">
        <f t="array" ref="F3436">IFNA(_xlfn.XLOOKUP(D3436,Table_Tarikan_Warkah[Nomor Tiket],Table_Tarikan_Warkah[Nama Petugas Warkah]),"")</f>
        <v>Berry</v>
      </c>
      <c r="G3436" s="39" t="str">
        <f t="array" ref="G3436">IFNA(_xlfn.XLOOKUP(D3436,Table_Tarikan_Warkah[Nomor Tiket],Table_Tarikan_Warkah[Jenis Permohonan]),"")</f>
        <v>BN Jual Beli</v>
      </c>
      <c r="H3436" s="41" t="s">
        <v>20</v>
      </c>
      <c r="I3436" s="49" t="s">
        <v>23</v>
      </c>
      <c r="J3436" s="36">
        <f t="shared" si="20"/>
        <v>45888.50236</v>
      </c>
      <c r="K3436" s="49" t="s">
        <v>2378</v>
      </c>
      <c r="L3436" s="49" t="s">
        <v>23</v>
      </c>
      <c r="M3436" s="36">
        <f t="shared" si="33"/>
        <v>45891.6031</v>
      </c>
      <c r="N3436" s="30" t="str">
        <f t="shared" si="34"/>
        <v>Selesai</v>
      </c>
      <c r="O3436" s="45">
        <f t="shared" si="23"/>
        <v>45891.6031</v>
      </c>
      <c r="P3436" s="47" t="b">
        <v>0</v>
      </c>
      <c r="Q3436" s="36" t="str">
        <f t="shared" si="35"/>
        <v/>
      </c>
      <c r="R3436" s="47" t="b">
        <v>0</v>
      </c>
      <c r="S3436" s="42" t="str">
        <f t="shared" si="28"/>
        <v/>
      </c>
      <c r="T3436" s="42"/>
    </row>
    <row r="3437" ht="22.5" customHeight="1">
      <c r="B3437" s="42">
        <f t="shared" si="7"/>
        <v>3431</v>
      </c>
      <c r="C3437" s="31" t="s">
        <v>3492</v>
      </c>
      <c r="D3437" s="34" t="str">
        <f t="array" ref="D3437">IFNA(_xlfn.XLOOKUP(C3437,Table_Tarikan_Warkah[Nomor Sertipikat],Table_Tarikan_Warkah[Nomor Tiket]),"")</f>
        <v>K/39/110825/1</v>
      </c>
      <c r="E3437" s="36">
        <f t="array" ref="E3437">IFNA(_xlfn.XLOOKUP(D3437,Table_Tarikan_Warkah[Nomor Tiket],Table_Tarikan_Warkah[Tanggal diserahkan kepada Validator]),"")</f>
        <v>45926.54747</v>
      </c>
      <c r="F3437" s="36" t="str">
        <f t="array" ref="F3437">IFNA(_xlfn.XLOOKUP(D3437,Table_Tarikan_Warkah[Nomor Tiket],Table_Tarikan_Warkah[Nama Petugas Warkah]),"")</f>
        <v>Berry</v>
      </c>
      <c r="G3437" s="39" t="str">
        <f t="array" ref="G3437">IFNA(_xlfn.XLOOKUP(D3437,Table_Tarikan_Warkah[Nomor Tiket],Table_Tarikan_Warkah[Jenis Permohonan]),"")</f>
        <v>Roya</v>
      </c>
      <c r="H3437" s="41" t="s">
        <v>20</v>
      </c>
      <c r="I3437" s="49" t="s">
        <v>23</v>
      </c>
      <c r="J3437" s="36">
        <f t="shared" si="20"/>
        <v>45888.50248</v>
      </c>
      <c r="K3437" s="49" t="s">
        <v>2378</v>
      </c>
      <c r="L3437" s="49" t="s">
        <v>23</v>
      </c>
      <c r="M3437" s="36">
        <f t="shared" si="33"/>
        <v>45891.60301</v>
      </c>
      <c r="N3437" s="30" t="str">
        <f t="shared" si="34"/>
        <v>Selesai</v>
      </c>
      <c r="O3437" s="45">
        <f t="shared" si="23"/>
        <v>45891.60301</v>
      </c>
      <c r="P3437" s="47" t="b">
        <v>0</v>
      </c>
      <c r="Q3437" s="36" t="str">
        <f t="shared" si="35"/>
        <v/>
      </c>
      <c r="R3437" s="47" t="b">
        <v>0</v>
      </c>
      <c r="S3437" s="42" t="str">
        <f t="shared" si="28"/>
        <v/>
      </c>
      <c r="T3437" s="42"/>
    </row>
    <row r="3438" ht="22.5" customHeight="1">
      <c r="B3438" s="42">
        <f t="shared" si="7"/>
        <v>3432</v>
      </c>
      <c r="C3438" s="31" t="s">
        <v>3493</v>
      </c>
      <c r="D3438" s="34" t="str">
        <f t="array" ref="D3438">IFNA(_xlfn.XLOOKUP(C3438,Table_Tarikan_Warkah[Nomor Sertipikat],Table_Tarikan_Warkah[Nomor Tiket]),"")</f>
        <v>K/1/080425/1</v>
      </c>
      <c r="E3438" s="36" t="str">
        <f t="array" ref="E3438">IFNA(_xlfn.XLOOKUP(D3438,Table_Tarikan_Warkah[Nomor Tiket],Table_Tarikan_Warkah[Tanggal diserahkan kepada Validator]),"")</f>
        <v/>
      </c>
      <c r="F3438" s="36" t="str">
        <f t="array" ref="F3438">IFNA(_xlfn.XLOOKUP(D3438,Table_Tarikan_Warkah[Nomor Tiket],Table_Tarikan_Warkah[Nama Petugas Warkah]),"")</f>
        <v/>
      </c>
      <c r="G3438" s="39" t="str">
        <f t="array" ref="G3438">IFNA(_xlfn.XLOOKUP(D3438,Table_Tarikan_Warkah[Nomor Tiket],Table_Tarikan_Warkah[Jenis Permohonan]),"")</f>
        <v>SKPT Informasi</v>
      </c>
      <c r="H3438" s="41" t="s">
        <v>20</v>
      </c>
      <c r="I3438" s="49" t="s">
        <v>23</v>
      </c>
      <c r="J3438" s="36">
        <f t="shared" si="20"/>
        <v>45888.50265</v>
      </c>
      <c r="K3438" s="49" t="s">
        <v>2378</v>
      </c>
      <c r="L3438" s="49" t="s">
        <v>23</v>
      </c>
      <c r="M3438" s="36">
        <f t="shared" si="33"/>
        <v>45895.66314</v>
      </c>
      <c r="N3438" s="30" t="str">
        <f t="shared" si="34"/>
        <v>Selesai</v>
      </c>
      <c r="O3438" s="45">
        <f t="shared" si="23"/>
        <v>45895.66314</v>
      </c>
      <c r="P3438" s="47" t="b">
        <v>0</v>
      </c>
      <c r="Q3438" s="36" t="str">
        <f t="shared" si="35"/>
        <v/>
      </c>
      <c r="R3438" s="47" t="b">
        <v>0</v>
      </c>
      <c r="S3438" s="42" t="str">
        <f t="shared" si="28"/>
        <v/>
      </c>
      <c r="T3438" s="42"/>
    </row>
    <row r="3439" ht="22.5" customHeight="1">
      <c r="B3439" s="42">
        <f t="shared" si="7"/>
        <v>3433</v>
      </c>
      <c r="C3439" s="31" t="s">
        <v>3494</v>
      </c>
      <c r="D3439" s="34" t="str">
        <f t="array" ref="D3439">IFNA(_xlfn.XLOOKUP(C3439,Table_Tarikan_Warkah[Nomor Sertipikat],Table_Tarikan_Warkah[Nomor Tiket]),"")</f>
        <v>K/26/180725/2</v>
      </c>
      <c r="E3439" s="36">
        <f t="array" ref="E3439">IFNA(_xlfn.XLOOKUP(D3439,Table_Tarikan_Warkah[Nomor Tiket],Table_Tarikan_Warkah[Tanggal diserahkan kepada Validator]),"")</f>
        <v>45894.58262</v>
      </c>
      <c r="F3439" s="36" t="str">
        <f t="array" ref="F3439">IFNA(_xlfn.XLOOKUP(D3439,Table_Tarikan_Warkah[Nomor Tiket],Table_Tarikan_Warkah[Nama Petugas Warkah]),"")</f>
        <v>Berry</v>
      </c>
      <c r="G3439" s="39" t="str">
        <f t="array" ref="G3439">IFNA(_xlfn.XLOOKUP(D3439,Table_Tarikan_Warkah[Nomor Tiket],Table_Tarikan_Warkah[Jenis Permohonan]),"")</f>
        <v>BN JUAL BELI</v>
      </c>
      <c r="H3439" s="41" t="s">
        <v>20</v>
      </c>
      <c r="I3439" s="49" t="s">
        <v>23</v>
      </c>
      <c r="J3439" s="36">
        <f t="shared" si="20"/>
        <v>45888.50276</v>
      </c>
      <c r="K3439" s="49" t="s">
        <v>2378</v>
      </c>
      <c r="L3439" s="49" t="s">
        <v>23</v>
      </c>
      <c r="M3439" s="36">
        <f t="shared" si="33"/>
        <v>45891.60327</v>
      </c>
      <c r="N3439" s="30" t="str">
        <f t="shared" si="34"/>
        <v>Selesai</v>
      </c>
      <c r="O3439" s="45">
        <f t="shared" si="23"/>
        <v>45891.60327</v>
      </c>
      <c r="P3439" s="47" t="b">
        <v>0</v>
      </c>
      <c r="Q3439" s="36" t="str">
        <f t="shared" si="35"/>
        <v/>
      </c>
      <c r="R3439" s="47" t="b">
        <v>0</v>
      </c>
      <c r="S3439" s="42" t="str">
        <f t="shared" si="28"/>
        <v/>
      </c>
      <c r="T3439" s="42"/>
    </row>
    <row r="3440" ht="22.5" customHeight="1">
      <c r="B3440" s="42">
        <f t="shared" si="7"/>
        <v>3434</v>
      </c>
      <c r="C3440" s="31" t="s">
        <v>3495</v>
      </c>
      <c r="D3440" s="34" t="str">
        <f t="array" ref="D3440">IFNA(_xlfn.XLOOKUP(C3440,Table_Tarikan_Warkah[Nomor Sertipikat],Table_Tarikan_Warkah[Nomor Tiket]),"")</f>
        <v>K/9/040825/1</v>
      </c>
      <c r="E3440" s="36">
        <f t="array" ref="E3440">IFNA(_xlfn.XLOOKUP(D3440,Table_Tarikan_Warkah[Nomor Tiket],Table_Tarikan_Warkah[Tanggal diserahkan kepada Validator]),"")</f>
        <v>45890.67249</v>
      </c>
      <c r="F3440" s="36" t="str">
        <f t="array" ref="F3440">IFNA(_xlfn.XLOOKUP(D3440,Table_Tarikan_Warkah[Nomor Tiket],Table_Tarikan_Warkah[Nama Petugas Warkah]),"")</f>
        <v>Berry</v>
      </c>
      <c r="G3440" s="39" t="str">
        <f t="array" ref="G3440">IFNA(_xlfn.XLOOKUP(D3440,Table_Tarikan_Warkah[Nomor Tiket],Table_Tarikan_Warkah[Jenis Permohonan]),"")</f>
        <v>BN JUAL BELI</v>
      </c>
      <c r="H3440" s="41" t="s">
        <v>20</v>
      </c>
      <c r="I3440" s="49" t="s">
        <v>23</v>
      </c>
      <c r="J3440" s="36">
        <f t="shared" si="20"/>
        <v>45888.50285</v>
      </c>
      <c r="K3440" s="49" t="s">
        <v>2378</v>
      </c>
      <c r="L3440" s="49" t="s">
        <v>23</v>
      </c>
      <c r="M3440" s="36">
        <f t="shared" si="33"/>
        <v>45889.62695</v>
      </c>
      <c r="N3440" s="30" t="str">
        <f t="shared" si="34"/>
        <v>Selesai</v>
      </c>
      <c r="O3440" s="45">
        <f t="shared" si="23"/>
        <v>45889.62695</v>
      </c>
      <c r="P3440" s="47" t="b">
        <v>0</v>
      </c>
      <c r="Q3440" s="36" t="str">
        <f t="shared" si="35"/>
        <v/>
      </c>
      <c r="R3440" s="47" t="b">
        <v>0</v>
      </c>
      <c r="S3440" s="42" t="str">
        <f t="shared" si="28"/>
        <v/>
      </c>
      <c r="T3440" s="42"/>
    </row>
    <row r="3441" ht="22.5" customHeight="1">
      <c r="B3441" s="42">
        <f t="shared" si="7"/>
        <v>3435</v>
      </c>
      <c r="C3441" s="31" t="s">
        <v>3496</v>
      </c>
      <c r="D3441" s="34" t="str">
        <f t="array" ref="D3441">IFNA(_xlfn.XLOOKUP(C3441,Table_Tarikan_Warkah[Nomor Sertipikat],Table_Tarikan_Warkah[Nomor Tiket]),"")</f>
        <v>L/30/050825/1</v>
      </c>
      <c r="E3441" s="36" t="str">
        <f t="array" ref="E3441">IFNA(_xlfn.XLOOKUP(D3441,Table_Tarikan_Warkah[Nomor Tiket],Table_Tarikan_Warkah[Tanggal diserahkan kepada Validator]),"")</f>
        <v/>
      </c>
      <c r="F3441" s="36" t="str">
        <f t="array" ref="F3441">IFNA(_xlfn.XLOOKUP(D3441,Table_Tarikan_Warkah[Nomor Tiket],Table_Tarikan_Warkah[Nama Petugas Warkah]),"")</f>
        <v/>
      </c>
      <c r="G3441" s="39" t="str">
        <f t="array" ref="G3441">IFNA(_xlfn.XLOOKUP(D3441,Table_Tarikan_Warkah[Nomor Tiket],Table_Tarikan_Warkah[Jenis Permohonan]),"")</f>
        <v>ROYA</v>
      </c>
      <c r="H3441" s="41" t="s">
        <v>20</v>
      </c>
      <c r="I3441" s="49" t="s">
        <v>23</v>
      </c>
      <c r="J3441" s="36">
        <f t="shared" si="20"/>
        <v>45888.50293</v>
      </c>
      <c r="K3441" s="49" t="s">
        <v>2378</v>
      </c>
      <c r="L3441" s="49" t="s">
        <v>23</v>
      </c>
      <c r="M3441" s="36">
        <f t="shared" si="33"/>
        <v>45891.60335</v>
      </c>
      <c r="N3441" s="30" t="str">
        <f t="shared" si="34"/>
        <v>Selesai</v>
      </c>
      <c r="O3441" s="45">
        <f t="shared" si="23"/>
        <v>45891.60335</v>
      </c>
      <c r="P3441" s="47" t="b">
        <v>0</v>
      </c>
      <c r="Q3441" s="36" t="str">
        <f t="shared" si="35"/>
        <v/>
      </c>
      <c r="R3441" s="47" t="b">
        <v>0</v>
      </c>
      <c r="S3441" s="42" t="str">
        <f t="shared" si="28"/>
        <v/>
      </c>
      <c r="T3441" s="42"/>
    </row>
    <row r="3442" ht="22.5" customHeight="1">
      <c r="B3442" s="42">
        <f t="shared" si="7"/>
        <v>3436</v>
      </c>
      <c r="C3442" s="31" t="s">
        <v>3497</v>
      </c>
      <c r="D3442" s="34" t="str">
        <f t="array" ref="D3442">IFNA(_xlfn.XLOOKUP(C3442,Table_Tarikan_Warkah[Nomor Sertipikat],Table_Tarikan_Warkah[Nomor Tiket]),"")</f>
        <v>L/38/310725/1</v>
      </c>
      <c r="E3442" s="36">
        <f t="array" ref="E3442">IFNA(_xlfn.XLOOKUP(D3442,Table_Tarikan_Warkah[Nomor Tiket],Table_Tarikan_Warkah[Tanggal diserahkan kepada Validator]),"")</f>
        <v>45951.48105</v>
      </c>
      <c r="F3442" s="36" t="str">
        <f t="array" ref="F3442">IFNA(_xlfn.XLOOKUP(D3442,Table_Tarikan_Warkah[Nomor Tiket],Table_Tarikan_Warkah[Nama Petugas Warkah]),"")</f>
        <v>Berry</v>
      </c>
      <c r="G3442" s="39" t="str">
        <f t="array" ref="G3442">IFNA(_xlfn.XLOOKUP(D3442,Table_Tarikan_Warkah[Nomor Tiket],Table_Tarikan_Warkah[Jenis Permohonan]),"")</f>
        <v>ROYA</v>
      </c>
      <c r="H3442" s="41" t="s">
        <v>20</v>
      </c>
      <c r="I3442" s="49" t="s">
        <v>23</v>
      </c>
      <c r="J3442" s="36">
        <f t="shared" si="20"/>
        <v>45888.50305</v>
      </c>
      <c r="K3442" s="49" t="s">
        <v>2378</v>
      </c>
      <c r="L3442" s="49" t="s">
        <v>23</v>
      </c>
      <c r="M3442" s="36">
        <f t="shared" si="33"/>
        <v>45891.60348</v>
      </c>
      <c r="N3442" s="30" t="str">
        <f t="shared" si="34"/>
        <v>Selesai</v>
      </c>
      <c r="O3442" s="45">
        <f t="shared" si="23"/>
        <v>45891.60348</v>
      </c>
      <c r="P3442" s="47" t="b">
        <v>0</v>
      </c>
      <c r="Q3442" s="36" t="str">
        <f t="shared" si="35"/>
        <v/>
      </c>
      <c r="R3442" s="47" t="b">
        <v>0</v>
      </c>
      <c r="S3442" s="42" t="str">
        <f t="shared" si="28"/>
        <v/>
      </c>
      <c r="T3442" s="42"/>
    </row>
    <row r="3443" ht="22.5" customHeight="1">
      <c r="B3443" s="42">
        <f t="shared" si="7"/>
        <v>3437</v>
      </c>
      <c r="C3443" s="31" t="s">
        <v>3498</v>
      </c>
      <c r="D3443" s="34" t="str">
        <f t="array" ref="D3443">IFNA(_xlfn.XLOOKUP(C3443,Table_Tarikan_Warkah[Nomor Sertipikat],Table_Tarikan_Warkah[Nomor Tiket]),"")</f>
        <v>L/4/060825/1</v>
      </c>
      <c r="E3443" s="36" t="str">
        <f t="array" ref="E3443">IFNA(_xlfn.XLOOKUP(D3443,Table_Tarikan_Warkah[Nomor Tiket],Table_Tarikan_Warkah[Tanggal diserahkan kepada Validator]),"")</f>
        <v/>
      </c>
      <c r="F3443" s="36" t="str">
        <f t="array" ref="F3443">IFNA(_xlfn.XLOOKUP(D3443,Table_Tarikan_Warkah[Nomor Tiket],Table_Tarikan_Warkah[Nama Petugas Warkah]),"")</f>
        <v/>
      </c>
      <c r="G3443" s="39" t="str">
        <f t="array" ref="G3443">IFNA(_xlfn.XLOOKUP(D3443,Table_Tarikan_Warkah[Nomor Tiket],Table_Tarikan_Warkah[Jenis Permohonan]),"")</f>
        <v>ROYA</v>
      </c>
      <c r="H3443" s="41" t="s">
        <v>20</v>
      </c>
      <c r="I3443" s="49" t="s">
        <v>23</v>
      </c>
      <c r="J3443" s="36">
        <f t="shared" si="20"/>
        <v>45888.50316</v>
      </c>
      <c r="K3443" s="49" t="s">
        <v>2378</v>
      </c>
      <c r="L3443" s="49" t="s">
        <v>23</v>
      </c>
      <c r="M3443" s="36">
        <f t="shared" si="33"/>
        <v>45891.60357</v>
      </c>
      <c r="N3443" s="30" t="str">
        <f t="shared" si="34"/>
        <v>Selesai</v>
      </c>
      <c r="O3443" s="45">
        <f t="shared" si="23"/>
        <v>45891.60357</v>
      </c>
      <c r="P3443" s="47" t="b">
        <v>0</v>
      </c>
      <c r="Q3443" s="36" t="str">
        <f t="shared" si="35"/>
        <v/>
      </c>
      <c r="R3443" s="47" t="b">
        <v>0</v>
      </c>
      <c r="S3443" s="42" t="str">
        <f t="shared" si="28"/>
        <v/>
      </c>
      <c r="T3443" s="42"/>
    </row>
    <row r="3444" ht="22.5" customHeight="1">
      <c r="B3444" s="42">
        <f t="shared" si="7"/>
        <v>3438</v>
      </c>
      <c r="C3444" s="31" t="s">
        <v>3349</v>
      </c>
      <c r="D3444" s="34" t="str">
        <f t="array" ref="D3444">IFNA(_xlfn.XLOOKUP(C3444,Table_Tarikan_Warkah[Nomor Sertipikat],Table_Tarikan_Warkah[Nomor Tiket]),"")</f>
        <v>L/14/280725/1</v>
      </c>
      <c r="E3444" s="36" t="str">
        <f t="array" ref="E3444">IFNA(_xlfn.XLOOKUP(D3444,Table_Tarikan_Warkah[Nomor Tiket],Table_Tarikan_Warkah[Tanggal diserahkan kepada Validator]),"")</f>
        <v/>
      </c>
      <c r="F3444" s="36" t="str">
        <f t="array" ref="F3444">IFNA(_xlfn.XLOOKUP(D3444,Table_Tarikan_Warkah[Nomor Tiket],Table_Tarikan_Warkah[Nama Petugas Warkah]),"")</f>
        <v/>
      </c>
      <c r="G3444" s="39" t="str">
        <f t="array" ref="G3444">IFNA(_xlfn.XLOOKUP(D3444,Table_Tarikan_Warkah[Nomor Tiket],Table_Tarikan_Warkah[Jenis Permohonan]),"")</f>
        <v>ROYA</v>
      </c>
      <c r="H3444" s="41" t="s">
        <v>20</v>
      </c>
      <c r="I3444" s="49" t="s">
        <v>23</v>
      </c>
      <c r="J3444" s="36">
        <f t="shared" si="20"/>
        <v>45888.50327</v>
      </c>
      <c r="K3444" s="49" t="s">
        <v>2378</v>
      </c>
      <c r="L3444" s="49" t="s">
        <v>23</v>
      </c>
      <c r="M3444" s="36">
        <f t="shared" si="33"/>
        <v>45889.62671</v>
      </c>
      <c r="N3444" s="30" t="str">
        <f t="shared" si="34"/>
        <v>Selesai</v>
      </c>
      <c r="O3444" s="45">
        <f t="shared" si="23"/>
        <v>45889.62671</v>
      </c>
      <c r="P3444" s="47" t="b">
        <v>0</v>
      </c>
      <c r="Q3444" s="36" t="str">
        <f t="shared" si="35"/>
        <v/>
      </c>
      <c r="R3444" s="47" t="b">
        <v>0</v>
      </c>
      <c r="S3444" s="42" t="str">
        <f t="shared" si="28"/>
        <v/>
      </c>
      <c r="T3444" s="42"/>
    </row>
    <row r="3445" ht="22.5" customHeight="1">
      <c r="B3445" s="42">
        <f t="shared" si="7"/>
        <v>3439</v>
      </c>
      <c r="C3445" s="31" t="s">
        <v>3499</v>
      </c>
      <c r="D3445" s="34" t="str">
        <f t="array" ref="D3445">IFNA(_xlfn.XLOOKUP(C3445,Table_Tarikan_Warkah[Nomor Sertipikat],Table_Tarikan_Warkah[Nomor Tiket]),"")</f>
        <v>L/6/060825/1</v>
      </c>
      <c r="E3445" s="36" t="str">
        <f t="array" ref="E3445">IFNA(_xlfn.XLOOKUP(D3445,Table_Tarikan_Warkah[Nomor Tiket],Table_Tarikan_Warkah[Tanggal diserahkan kepada Validator]),"")</f>
        <v/>
      </c>
      <c r="F3445" s="36" t="str">
        <f t="array" ref="F3445">IFNA(_xlfn.XLOOKUP(D3445,Table_Tarikan_Warkah[Nomor Tiket],Table_Tarikan_Warkah[Nama Petugas Warkah]),"")</f>
        <v/>
      </c>
      <c r="G3445" s="39" t="str">
        <f t="array" ref="G3445">IFNA(_xlfn.XLOOKUP(D3445,Table_Tarikan_Warkah[Nomor Tiket],Table_Tarikan_Warkah[Jenis Permohonan]),"")</f>
        <v>ROYA</v>
      </c>
      <c r="H3445" s="41" t="s">
        <v>20</v>
      </c>
      <c r="I3445" s="49" t="s">
        <v>23</v>
      </c>
      <c r="J3445" s="36">
        <f t="shared" si="20"/>
        <v>45888.50342</v>
      </c>
      <c r="K3445" s="49" t="s">
        <v>2378</v>
      </c>
      <c r="L3445" s="49" t="s">
        <v>23</v>
      </c>
      <c r="M3445" s="36">
        <f t="shared" si="33"/>
        <v>45889.62644</v>
      </c>
      <c r="N3445" s="30" t="str">
        <f t="shared" si="34"/>
        <v>Selesai</v>
      </c>
      <c r="O3445" s="45">
        <f t="shared" si="23"/>
        <v>45889.62644</v>
      </c>
      <c r="P3445" s="47" t="b">
        <v>0</v>
      </c>
      <c r="Q3445" s="36" t="str">
        <f t="shared" si="35"/>
        <v/>
      </c>
      <c r="R3445" s="47" t="b">
        <v>0</v>
      </c>
      <c r="S3445" s="42" t="str">
        <f t="shared" si="28"/>
        <v/>
      </c>
      <c r="T3445" s="42"/>
    </row>
    <row r="3446" ht="22.5" customHeight="1">
      <c r="B3446" s="42">
        <f t="shared" si="7"/>
        <v>3440</v>
      </c>
      <c r="C3446" s="31" t="s">
        <v>3500</v>
      </c>
      <c r="D3446" s="34" t="str">
        <f t="array" ref="D3446">IFNA(_xlfn.XLOOKUP(C3446,Table_Tarikan_Warkah[Nomor Sertipikat],Table_Tarikan_Warkah[Nomor Tiket]),"")</f>
        <v>L/33/300725/1</v>
      </c>
      <c r="E3446" s="36">
        <f t="array" ref="E3446">IFNA(_xlfn.XLOOKUP(D3446,Table_Tarikan_Warkah[Nomor Tiket],Table_Tarikan_Warkah[Tanggal diserahkan kepada Validator]),"")</f>
        <v>45923.61597</v>
      </c>
      <c r="F3446" s="36" t="str">
        <f t="array" ref="F3446">IFNA(_xlfn.XLOOKUP(D3446,Table_Tarikan_Warkah[Nomor Tiket],Table_Tarikan_Warkah[Nama Petugas Warkah]),"")</f>
        <v>David</v>
      </c>
      <c r="G3446" s="39" t="str">
        <f t="array" ref="G3446">IFNA(_xlfn.XLOOKUP(D3446,Table_Tarikan_Warkah[Nomor Tiket],Table_Tarikan_Warkah[Jenis Permohonan]),"")</f>
        <v>ROYA</v>
      </c>
      <c r="H3446" s="41" t="s">
        <v>20</v>
      </c>
      <c r="I3446" s="49" t="s">
        <v>23</v>
      </c>
      <c r="J3446" s="36">
        <f t="shared" si="20"/>
        <v>45888.50353</v>
      </c>
      <c r="K3446" s="49" t="s">
        <v>2378</v>
      </c>
      <c r="L3446" s="49" t="s">
        <v>23</v>
      </c>
      <c r="M3446" s="36">
        <f t="shared" si="33"/>
        <v>45889.62641</v>
      </c>
      <c r="N3446" s="30" t="str">
        <f t="shared" si="34"/>
        <v>Selesai</v>
      </c>
      <c r="O3446" s="45">
        <f t="shared" si="23"/>
        <v>45889.62641</v>
      </c>
      <c r="P3446" s="47" t="b">
        <v>0</v>
      </c>
      <c r="Q3446" s="36" t="str">
        <f t="shared" si="35"/>
        <v/>
      </c>
      <c r="R3446" s="47" t="b">
        <v>0</v>
      </c>
      <c r="S3446" s="42" t="str">
        <f t="shared" si="28"/>
        <v/>
      </c>
      <c r="T3446" s="42"/>
    </row>
    <row r="3447" ht="22.5" customHeight="1">
      <c r="B3447" s="42">
        <f t="shared" si="7"/>
        <v>3441</v>
      </c>
      <c r="C3447" s="31" t="s">
        <v>3501</v>
      </c>
      <c r="D3447" s="34" t="str">
        <f t="array" ref="D3447">IFNA(_xlfn.XLOOKUP(C3447,Table_Tarikan_Warkah[Nomor Sertipikat],Table_Tarikan_Warkah[Nomor Tiket]),"")</f>
        <v>L/1/010825/1</v>
      </c>
      <c r="E3447" s="36">
        <f t="array" ref="E3447">IFNA(_xlfn.XLOOKUP(D3447,Table_Tarikan_Warkah[Nomor Tiket],Table_Tarikan_Warkah[Tanggal diserahkan kepada Validator]),"")</f>
        <v>45929.59861</v>
      </c>
      <c r="F3447" s="36" t="str">
        <f t="array" ref="F3447">IFNA(_xlfn.XLOOKUP(D3447,Table_Tarikan_Warkah[Nomor Tiket],Table_Tarikan_Warkah[Nama Petugas Warkah]),"")</f>
        <v>Berry</v>
      </c>
      <c r="G3447" s="39" t="str">
        <f t="array" ref="G3447">IFNA(_xlfn.XLOOKUP(D3447,Table_Tarikan_Warkah[Nomor Tiket],Table_Tarikan_Warkah[Jenis Permohonan]),"")</f>
        <v>PH</v>
      </c>
      <c r="H3447" s="41" t="s">
        <v>20</v>
      </c>
      <c r="I3447" s="49" t="s">
        <v>23</v>
      </c>
      <c r="J3447" s="36">
        <f t="shared" si="20"/>
        <v>45889.4133</v>
      </c>
      <c r="K3447" s="49" t="s">
        <v>2378</v>
      </c>
      <c r="L3447" s="49" t="s">
        <v>23</v>
      </c>
      <c r="M3447" s="36">
        <f t="shared" si="33"/>
        <v>45894.65586</v>
      </c>
      <c r="N3447" s="30" t="str">
        <f t="shared" si="34"/>
        <v>Selesai</v>
      </c>
      <c r="O3447" s="45">
        <f t="shared" si="23"/>
        <v>45894.65586</v>
      </c>
      <c r="P3447" s="47" t="b">
        <v>0</v>
      </c>
      <c r="Q3447" s="36" t="str">
        <f t="shared" si="35"/>
        <v/>
      </c>
      <c r="R3447" s="47" t="b">
        <v>0</v>
      </c>
      <c r="S3447" s="42" t="str">
        <f t="shared" si="28"/>
        <v/>
      </c>
      <c r="T3447" s="42"/>
    </row>
    <row r="3448" ht="22.5" customHeight="1">
      <c r="B3448" s="42">
        <f t="shared" si="7"/>
        <v>3442</v>
      </c>
      <c r="C3448" s="31" t="s">
        <v>3502</v>
      </c>
      <c r="D3448" s="34" t="str">
        <f t="array" ref="D3448">IFNA(_xlfn.XLOOKUP(C3448,Table_Tarikan_Warkah[Nomor Sertipikat],Table_Tarikan_Warkah[Nomor Tiket]),"")</f>
        <v>K/23/050825/1</v>
      </c>
      <c r="E3448" s="36" t="str">
        <f t="array" ref="E3448">IFNA(_xlfn.XLOOKUP(D3448,Table_Tarikan_Warkah[Nomor Tiket],Table_Tarikan_Warkah[Tanggal diserahkan kepada Validator]),"")</f>
        <v/>
      </c>
      <c r="F3448" s="36" t="str">
        <f t="array" ref="F3448">IFNA(_xlfn.XLOOKUP(D3448,Table_Tarikan_Warkah[Nomor Tiket],Table_Tarikan_Warkah[Nama Petugas Warkah]),"")</f>
        <v/>
      </c>
      <c r="G3448" s="39" t="str">
        <f t="array" ref="G3448">IFNA(_xlfn.XLOOKUP(D3448,Table_Tarikan_Warkah[Nomor Tiket],Table_Tarikan_Warkah[Jenis Permohonan]),"")</f>
        <v>BN JUAL BELI</v>
      </c>
      <c r="H3448" s="41" t="s">
        <v>20</v>
      </c>
      <c r="I3448" s="49" t="s">
        <v>23</v>
      </c>
      <c r="J3448" s="36">
        <f t="shared" si="20"/>
        <v>45889.4134</v>
      </c>
      <c r="K3448" s="49" t="s">
        <v>2378</v>
      </c>
      <c r="L3448" s="49" t="s">
        <v>23</v>
      </c>
      <c r="M3448" s="36">
        <f t="shared" si="33"/>
        <v>45895.66314</v>
      </c>
      <c r="N3448" s="30" t="str">
        <f t="shared" si="34"/>
        <v>Selesai</v>
      </c>
      <c r="O3448" s="45">
        <f t="shared" si="23"/>
        <v>45895.66314</v>
      </c>
      <c r="P3448" s="47" t="b">
        <v>0</v>
      </c>
      <c r="Q3448" s="36" t="str">
        <f t="shared" si="35"/>
        <v/>
      </c>
      <c r="R3448" s="47" t="b">
        <v>0</v>
      </c>
      <c r="S3448" s="42" t="str">
        <f t="shared" si="28"/>
        <v/>
      </c>
      <c r="T3448" s="42"/>
    </row>
    <row r="3449" ht="22.5" customHeight="1">
      <c r="B3449" s="42">
        <f t="shared" si="7"/>
        <v>3443</v>
      </c>
      <c r="C3449" s="31" t="s">
        <v>3503</v>
      </c>
      <c r="D3449" s="34" t="str">
        <f t="array" ref="D3449">IFNA(_xlfn.XLOOKUP(C3449,Table_Tarikan_Warkah[Nomor Sertipikat],Table_Tarikan_Warkah[Nomor Tiket]),"")</f>
        <v>L/17/050825/1</v>
      </c>
      <c r="E3449" s="36">
        <f t="array" ref="E3449">IFNA(_xlfn.XLOOKUP(D3449,Table_Tarikan_Warkah[Nomor Tiket],Table_Tarikan_Warkah[Tanggal diserahkan kepada Validator]),"")</f>
        <v>45883.66347</v>
      </c>
      <c r="F3449" s="36" t="str">
        <f t="array" ref="F3449">IFNA(_xlfn.XLOOKUP(D3449,Table_Tarikan_Warkah[Nomor Tiket],Table_Tarikan_Warkah[Nama Petugas Warkah]),"")</f>
        <v>Berry</v>
      </c>
      <c r="G3449" s="39" t="str">
        <f t="array" ref="G3449">IFNA(_xlfn.XLOOKUP(D3449,Table_Tarikan_Warkah[Nomor Tiket],Table_Tarikan_Warkah[Jenis Permohonan]),"")</f>
        <v>PH</v>
      </c>
      <c r="H3449" s="41" t="s">
        <v>20</v>
      </c>
      <c r="I3449" s="49" t="s">
        <v>23</v>
      </c>
      <c r="J3449" s="36">
        <f t="shared" si="20"/>
        <v>45889.4135</v>
      </c>
      <c r="K3449" s="49" t="s">
        <v>2378</v>
      </c>
      <c r="L3449" s="49" t="s">
        <v>23</v>
      </c>
      <c r="M3449" s="36">
        <f t="shared" si="33"/>
        <v>45889.62624</v>
      </c>
      <c r="N3449" s="30" t="str">
        <f t="shared" si="34"/>
        <v>Selesai</v>
      </c>
      <c r="O3449" s="45">
        <f t="shared" si="23"/>
        <v>45889.62624</v>
      </c>
      <c r="P3449" s="47" t="b">
        <v>0</v>
      </c>
      <c r="Q3449" s="36" t="str">
        <f t="shared" si="35"/>
        <v/>
      </c>
      <c r="R3449" s="47" t="b">
        <v>0</v>
      </c>
      <c r="S3449" s="42" t="str">
        <f t="shared" si="28"/>
        <v/>
      </c>
      <c r="T3449" s="42"/>
    </row>
    <row r="3450" ht="22.5" customHeight="1">
      <c r="B3450" s="42">
        <f t="shared" si="7"/>
        <v>3444</v>
      </c>
      <c r="C3450" s="31" t="s">
        <v>3504</v>
      </c>
      <c r="D3450" s="34" t="str">
        <f t="array" ref="D3450">IFNA(_xlfn.XLOOKUP(C3450,Table_Tarikan_Warkah[Nomor Sertipikat],Table_Tarikan_Warkah[Nomor Tiket]),"")</f>
        <v>K/14/040825/3</v>
      </c>
      <c r="E3450" s="36">
        <f t="array" ref="E3450">IFNA(_xlfn.XLOOKUP(D3450,Table_Tarikan_Warkah[Nomor Tiket],Table_Tarikan_Warkah[Tanggal diserahkan kepada Validator]),"")</f>
        <v>45894.57576</v>
      </c>
      <c r="F3450" s="36" t="str">
        <f t="array" ref="F3450">IFNA(_xlfn.XLOOKUP(D3450,Table_Tarikan_Warkah[Nomor Tiket],Table_Tarikan_Warkah[Nama Petugas Warkah]),"")</f>
        <v>Berry</v>
      </c>
      <c r="G3450" s="39" t="str">
        <f t="array" ref="G3450">IFNA(_xlfn.XLOOKUP(D3450,Table_Tarikan_Warkah[Nomor Tiket],Table_Tarikan_Warkah[Jenis Permohonan]),"")</f>
        <v>BN Jual Beli</v>
      </c>
      <c r="H3450" s="41" t="s">
        <v>20</v>
      </c>
      <c r="I3450" s="49" t="s">
        <v>23</v>
      </c>
      <c r="J3450" s="36">
        <f t="shared" si="20"/>
        <v>45889.41361</v>
      </c>
      <c r="K3450" s="49" t="s">
        <v>2378</v>
      </c>
      <c r="L3450" s="49" t="s">
        <v>23</v>
      </c>
      <c r="M3450" s="36">
        <f t="shared" si="33"/>
        <v>45891.60376</v>
      </c>
      <c r="N3450" s="30" t="str">
        <f t="shared" si="34"/>
        <v>Selesai</v>
      </c>
      <c r="O3450" s="45">
        <f t="shared" si="23"/>
        <v>45891.60376</v>
      </c>
      <c r="P3450" s="47" t="b">
        <v>0</v>
      </c>
      <c r="Q3450" s="36" t="str">
        <f t="shared" si="35"/>
        <v/>
      </c>
      <c r="R3450" s="47" t="b">
        <v>0</v>
      </c>
      <c r="S3450" s="42" t="str">
        <f t="shared" si="28"/>
        <v/>
      </c>
      <c r="T3450" s="42"/>
    </row>
    <row r="3451" ht="22.5" customHeight="1">
      <c r="B3451" s="42">
        <f t="shared" si="7"/>
        <v>3445</v>
      </c>
      <c r="C3451" s="31" t="s">
        <v>3505</v>
      </c>
      <c r="D3451" s="34" t="str">
        <f t="array" ref="D3451">IFNA(_xlfn.XLOOKUP(C3451,Table_Tarikan_Warkah[Nomor Sertipikat],Table_Tarikan_Warkah[Nomor Tiket]),"")</f>
        <v>K/2/300725/2</v>
      </c>
      <c r="E3451" s="36" t="str">
        <f t="array" ref="E3451">IFNA(_xlfn.XLOOKUP(D3451,Table_Tarikan_Warkah[Nomor Tiket],Table_Tarikan_Warkah[Tanggal diserahkan kepada Validator]),"")</f>
        <v/>
      </c>
      <c r="F3451" s="36" t="str">
        <f t="array" ref="F3451">IFNA(_xlfn.XLOOKUP(D3451,Table_Tarikan_Warkah[Nomor Tiket],Table_Tarikan_Warkah[Nama Petugas Warkah]),"")</f>
        <v/>
      </c>
      <c r="G3451" s="39" t="str">
        <f t="array" ref="G3451">IFNA(_xlfn.XLOOKUP(D3451,Table_Tarikan_Warkah[Nomor Tiket],Table_Tarikan_Warkah[Jenis Permohonan]),"")</f>
        <v>BN JUAL BELI</v>
      </c>
      <c r="H3451" s="41" t="s">
        <v>20</v>
      </c>
      <c r="I3451" s="49" t="s">
        <v>23</v>
      </c>
      <c r="J3451" s="36">
        <f t="shared" si="20"/>
        <v>45889.4141</v>
      </c>
      <c r="K3451" s="49" t="s">
        <v>2378</v>
      </c>
      <c r="L3451" s="49" t="s">
        <v>23</v>
      </c>
      <c r="M3451" s="36">
        <f t="shared" si="33"/>
        <v>45895.66314</v>
      </c>
      <c r="N3451" s="30" t="str">
        <f t="shared" si="34"/>
        <v>Selesai</v>
      </c>
      <c r="O3451" s="45">
        <f t="shared" si="23"/>
        <v>45895.66314</v>
      </c>
      <c r="P3451" s="47" t="b">
        <v>0</v>
      </c>
      <c r="Q3451" s="36" t="str">
        <f t="shared" si="35"/>
        <v/>
      </c>
      <c r="R3451" s="47" t="b">
        <v>0</v>
      </c>
      <c r="S3451" s="42" t="str">
        <f t="shared" si="28"/>
        <v/>
      </c>
      <c r="T3451" s="42"/>
    </row>
    <row r="3452" ht="22.5" customHeight="1">
      <c r="B3452" s="42">
        <f t="shared" si="7"/>
        <v>3446</v>
      </c>
      <c r="C3452" s="31" t="s">
        <v>3506</v>
      </c>
      <c r="D3452" s="34" t="str">
        <f t="array" ref="D3452">IFNA(_xlfn.XLOOKUP(C3452,Table_Tarikan_Warkah[Nomor Sertipikat],Table_Tarikan_Warkah[Nomor Tiket]),"")</f>
        <v>K/29/290725/3</v>
      </c>
      <c r="E3452" s="36">
        <f t="array" ref="E3452">IFNA(_xlfn.XLOOKUP(D3452,Table_Tarikan_Warkah[Nomor Tiket],Table_Tarikan_Warkah[Tanggal diserahkan kepada Validator]),"")</f>
        <v>45890.6728</v>
      </c>
      <c r="F3452" s="36" t="str">
        <f t="array" ref="F3452">IFNA(_xlfn.XLOOKUP(D3452,Table_Tarikan_Warkah[Nomor Tiket],Table_Tarikan_Warkah[Nama Petugas Warkah]),"")</f>
        <v>Berry</v>
      </c>
      <c r="G3452" s="39" t="str">
        <f t="array" ref="G3452">IFNA(_xlfn.XLOOKUP(D3452,Table_Tarikan_Warkah[Nomor Tiket],Table_Tarikan_Warkah[Jenis Permohonan]),"")</f>
        <v>BN HIBAH</v>
      </c>
      <c r="H3452" s="41" t="s">
        <v>20</v>
      </c>
      <c r="I3452" s="49" t="s">
        <v>23</v>
      </c>
      <c r="J3452" s="36">
        <f t="shared" si="20"/>
        <v>45889.41435</v>
      </c>
      <c r="K3452" s="49" t="s">
        <v>2378</v>
      </c>
      <c r="L3452" s="49" t="s">
        <v>23</v>
      </c>
      <c r="M3452" s="36">
        <f t="shared" si="33"/>
        <v>45889.62613</v>
      </c>
      <c r="N3452" s="30" t="str">
        <f t="shared" si="34"/>
        <v>Selesai</v>
      </c>
      <c r="O3452" s="45">
        <f t="shared" si="23"/>
        <v>45889.62613</v>
      </c>
      <c r="P3452" s="47" t="b">
        <v>0</v>
      </c>
      <c r="Q3452" s="36" t="str">
        <f t="shared" si="35"/>
        <v/>
      </c>
      <c r="R3452" s="47" t="b">
        <v>0</v>
      </c>
      <c r="S3452" s="42" t="str">
        <f t="shared" si="28"/>
        <v/>
      </c>
      <c r="T3452" s="42"/>
    </row>
    <row r="3453" ht="22.5" customHeight="1">
      <c r="B3453" s="42">
        <f t="shared" si="7"/>
        <v>3447</v>
      </c>
      <c r="C3453" s="31" t="s">
        <v>3507</v>
      </c>
      <c r="D3453" s="34" t="str">
        <f t="array" ref="D3453">IFNA(_xlfn.XLOOKUP(C3453,Table_Tarikan_Warkah[Nomor Sertipikat],Table_Tarikan_Warkah[Nomor Tiket]),"")</f>
        <v>K/28/300725/1</v>
      </c>
      <c r="E3453" s="36">
        <f t="array" ref="E3453">IFNA(_xlfn.XLOOKUP(D3453,Table_Tarikan_Warkah[Nomor Tiket],Table_Tarikan_Warkah[Tanggal diserahkan kepada Validator]),"")</f>
        <v>45890.67311</v>
      </c>
      <c r="F3453" s="36" t="str">
        <f t="array" ref="F3453">IFNA(_xlfn.XLOOKUP(D3453,Table_Tarikan_Warkah[Nomor Tiket],Table_Tarikan_Warkah[Nama Petugas Warkah]),"")</f>
        <v>Berry</v>
      </c>
      <c r="G3453" s="39" t="str">
        <f t="array" ref="G3453">IFNA(_xlfn.XLOOKUP(D3453,Table_Tarikan_Warkah[Nomor Tiket],Table_Tarikan_Warkah[Jenis Permohonan]),"")</f>
        <v>BN JUAL BELI</v>
      </c>
      <c r="H3453" s="41" t="s">
        <v>20</v>
      </c>
      <c r="I3453" s="49" t="s">
        <v>23</v>
      </c>
      <c r="J3453" s="36">
        <f t="shared" si="20"/>
        <v>45889.41452</v>
      </c>
      <c r="K3453" s="49" t="s">
        <v>2378</v>
      </c>
      <c r="L3453" s="49" t="s">
        <v>23</v>
      </c>
      <c r="M3453" s="36">
        <f t="shared" si="33"/>
        <v>45889.62606</v>
      </c>
      <c r="N3453" s="30" t="str">
        <f t="shared" si="34"/>
        <v>Selesai</v>
      </c>
      <c r="O3453" s="45">
        <f t="shared" si="23"/>
        <v>45889.62606</v>
      </c>
      <c r="P3453" s="47" t="b">
        <v>0</v>
      </c>
      <c r="Q3453" s="36" t="str">
        <f t="shared" si="35"/>
        <v/>
      </c>
      <c r="R3453" s="47" t="b">
        <v>0</v>
      </c>
      <c r="S3453" s="42" t="str">
        <f t="shared" si="28"/>
        <v/>
      </c>
      <c r="T3453" s="42"/>
    </row>
    <row r="3454" ht="22.5" customHeight="1">
      <c r="B3454" s="42">
        <f t="shared" si="7"/>
        <v>3448</v>
      </c>
      <c r="C3454" s="31" t="s">
        <v>3508</v>
      </c>
      <c r="D3454" s="34" t="str">
        <f t="array" ref="D3454">IFNA(_xlfn.XLOOKUP(C3454,Table_Tarikan_Warkah[Nomor Sertipikat],Table_Tarikan_Warkah[Nomor Tiket]),"")</f>
        <v>K/14/310725/1</v>
      </c>
      <c r="E3454" s="36">
        <f t="array" ref="E3454">IFNA(_xlfn.XLOOKUP(D3454,Table_Tarikan_Warkah[Nomor Tiket],Table_Tarikan_Warkah[Tanggal diserahkan kepada Validator]),"")</f>
        <v>45894.58699</v>
      </c>
      <c r="F3454" s="36" t="str">
        <f t="array" ref="F3454">IFNA(_xlfn.XLOOKUP(D3454,Table_Tarikan_Warkah[Nomor Tiket],Table_Tarikan_Warkah[Nama Petugas Warkah]),"")</f>
        <v>Berry</v>
      </c>
      <c r="G3454" s="39" t="str">
        <f t="array" ref="G3454">IFNA(_xlfn.XLOOKUP(D3454,Table_Tarikan_Warkah[Nomor Tiket],Table_Tarikan_Warkah[Jenis Permohonan]),"")</f>
        <v>BN HIBAH</v>
      </c>
      <c r="H3454" s="41" t="s">
        <v>20</v>
      </c>
      <c r="I3454" s="49" t="s">
        <v>23</v>
      </c>
      <c r="J3454" s="36">
        <f t="shared" si="20"/>
        <v>45889.4148</v>
      </c>
      <c r="K3454" s="49" t="s">
        <v>2378</v>
      </c>
      <c r="L3454" s="49" t="s">
        <v>23</v>
      </c>
      <c r="M3454" s="36">
        <f t="shared" si="33"/>
        <v>45891.60395</v>
      </c>
      <c r="N3454" s="30" t="str">
        <f t="shared" si="34"/>
        <v>Selesai</v>
      </c>
      <c r="O3454" s="45">
        <f t="shared" si="23"/>
        <v>45891.60395</v>
      </c>
      <c r="P3454" s="47" t="b">
        <v>0</v>
      </c>
      <c r="Q3454" s="36" t="str">
        <f t="shared" si="35"/>
        <v/>
      </c>
      <c r="R3454" s="47" t="b">
        <v>0</v>
      </c>
      <c r="S3454" s="42" t="str">
        <f t="shared" si="28"/>
        <v/>
      </c>
      <c r="T3454" s="42"/>
    </row>
    <row r="3455" ht="22.5" customHeight="1">
      <c r="B3455" s="42">
        <f t="shared" si="7"/>
        <v>3449</v>
      </c>
      <c r="C3455" s="31" t="s">
        <v>3509</v>
      </c>
      <c r="D3455" s="34" t="str">
        <f t="array" ref="D3455">IFNA(_xlfn.XLOOKUP(C3455,Table_Tarikan_Warkah[Nomor Sertipikat],Table_Tarikan_Warkah[Nomor Tiket]),"")</f>
        <v>K/31/300725/1</v>
      </c>
      <c r="E3455" s="36">
        <f t="array" ref="E3455">IFNA(_xlfn.XLOOKUP(D3455,Table_Tarikan_Warkah[Nomor Tiket],Table_Tarikan_Warkah[Tanggal diserahkan kepada Validator]),"")</f>
        <v>45894.58834</v>
      </c>
      <c r="F3455" s="36" t="str">
        <f t="array" ref="F3455">IFNA(_xlfn.XLOOKUP(D3455,Table_Tarikan_Warkah[Nomor Tiket],Table_Tarikan_Warkah[Nama Petugas Warkah]),"")</f>
        <v>Berry</v>
      </c>
      <c r="G3455" s="39" t="str">
        <f t="array" ref="G3455">IFNA(_xlfn.XLOOKUP(D3455,Table_Tarikan_Warkah[Nomor Tiket],Table_Tarikan_Warkah[Jenis Permohonan]),"")</f>
        <v>BN JUAL BELI</v>
      </c>
      <c r="H3455" s="41" t="s">
        <v>20</v>
      </c>
      <c r="I3455" s="49" t="s">
        <v>23</v>
      </c>
      <c r="J3455" s="36">
        <f t="shared" si="20"/>
        <v>45889.4149</v>
      </c>
      <c r="K3455" s="49" t="s">
        <v>2378</v>
      </c>
      <c r="L3455" s="49" t="s">
        <v>23</v>
      </c>
      <c r="M3455" s="36">
        <f t="shared" si="33"/>
        <v>45891.60408</v>
      </c>
      <c r="N3455" s="30" t="str">
        <f t="shared" si="34"/>
        <v>Selesai</v>
      </c>
      <c r="O3455" s="45">
        <f t="shared" si="23"/>
        <v>45891.60408</v>
      </c>
      <c r="P3455" s="47" t="b">
        <v>0</v>
      </c>
      <c r="Q3455" s="36" t="str">
        <f t="shared" si="35"/>
        <v/>
      </c>
      <c r="R3455" s="47" t="b">
        <v>0</v>
      </c>
      <c r="S3455" s="42" t="str">
        <f t="shared" si="28"/>
        <v/>
      </c>
      <c r="T3455" s="42"/>
    </row>
    <row r="3456" ht="22.5" customHeight="1">
      <c r="B3456" s="42">
        <f t="shared" si="7"/>
        <v>3450</v>
      </c>
      <c r="C3456" s="31" t="s">
        <v>3510</v>
      </c>
      <c r="D3456" s="34" t="str">
        <f t="array" ref="D3456">IFNA(_xlfn.XLOOKUP(C3456,Table_Tarikan_Warkah[Nomor Sertipikat],Table_Tarikan_Warkah[Nomor Tiket]),"")</f>
        <v>L/4/300725/1</v>
      </c>
      <c r="E3456" s="36" t="str">
        <f t="array" ref="E3456">IFNA(_xlfn.XLOOKUP(D3456,Table_Tarikan_Warkah[Nomor Tiket],Table_Tarikan_Warkah[Tanggal diserahkan kepada Validator]),"")</f>
        <v/>
      </c>
      <c r="F3456" s="36" t="str">
        <f t="array" ref="F3456">IFNA(_xlfn.XLOOKUP(D3456,Table_Tarikan_Warkah[Nomor Tiket],Table_Tarikan_Warkah[Nama Petugas Warkah]),"")</f>
        <v/>
      </c>
      <c r="G3456" s="39" t="str">
        <f t="array" ref="G3456">IFNA(_xlfn.XLOOKUP(D3456,Table_Tarikan_Warkah[Nomor Tiket],Table_Tarikan_Warkah[Jenis Permohonan]),"")</f>
        <v>ROYA</v>
      </c>
      <c r="H3456" s="41" t="s">
        <v>20</v>
      </c>
      <c r="I3456" s="49" t="s">
        <v>23</v>
      </c>
      <c r="J3456" s="36">
        <f t="shared" si="20"/>
        <v>45889.41501</v>
      </c>
      <c r="K3456" s="49" t="s">
        <v>2378</v>
      </c>
      <c r="L3456" s="49" t="s">
        <v>23</v>
      </c>
      <c r="M3456" s="36">
        <f t="shared" si="33"/>
        <v>45891.60415</v>
      </c>
      <c r="N3456" s="30" t="str">
        <f t="shared" si="34"/>
        <v>Selesai</v>
      </c>
      <c r="O3456" s="45">
        <f t="shared" si="23"/>
        <v>45891.60415</v>
      </c>
      <c r="P3456" s="47" t="b">
        <v>0</v>
      </c>
      <c r="Q3456" s="36" t="str">
        <f t="shared" si="35"/>
        <v/>
      </c>
      <c r="R3456" s="47" t="b">
        <v>0</v>
      </c>
      <c r="S3456" s="42" t="str">
        <f t="shared" si="28"/>
        <v/>
      </c>
      <c r="T3456" s="42"/>
    </row>
    <row r="3457" ht="22.5" customHeight="1">
      <c r="B3457" s="42">
        <f t="shared" si="7"/>
        <v>3451</v>
      </c>
      <c r="C3457" s="31" t="s">
        <v>3511</v>
      </c>
      <c r="D3457" s="34" t="str">
        <f t="array" ref="D3457">IFNA(_xlfn.XLOOKUP(C3457,Table_Tarikan_Warkah[Nomor Sertipikat],Table_Tarikan_Warkah[Nomor Tiket]),"")</f>
        <v>K/26/300725/2</v>
      </c>
      <c r="E3457" s="36">
        <f t="array" ref="E3457">IFNA(_xlfn.XLOOKUP(D3457,Table_Tarikan_Warkah[Nomor Tiket],Table_Tarikan_Warkah[Tanggal diserahkan kepada Validator]),"")</f>
        <v>45915.50328</v>
      </c>
      <c r="F3457" s="36" t="str">
        <f t="array" ref="F3457">IFNA(_xlfn.XLOOKUP(D3457,Table_Tarikan_Warkah[Nomor Tiket],Table_Tarikan_Warkah[Nama Petugas Warkah]),"")</f>
        <v>David</v>
      </c>
      <c r="G3457" s="39" t="str">
        <f t="array" ref="G3457">IFNA(_xlfn.XLOOKUP(D3457,Table_Tarikan_Warkah[Nomor Tiket],Table_Tarikan_Warkah[Jenis Permohonan]),"")</f>
        <v>ROYA</v>
      </c>
      <c r="H3457" s="41" t="s">
        <v>2315</v>
      </c>
      <c r="I3457" s="49" t="s">
        <v>23</v>
      </c>
      <c r="J3457" s="36">
        <f t="shared" si="20"/>
        <v>45889.61612</v>
      </c>
      <c r="K3457" s="49" t="s">
        <v>2378</v>
      </c>
      <c r="L3457" s="49" t="s">
        <v>23</v>
      </c>
      <c r="M3457" s="36">
        <f t="shared" si="33"/>
        <v>45891.60279</v>
      </c>
      <c r="N3457" s="30" t="str">
        <f t="shared" si="34"/>
        <v>Selesai</v>
      </c>
      <c r="O3457" s="45">
        <f t="shared" si="23"/>
        <v>45891.60279</v>
      </c>
      <c r="P3457" s="47" t="b">
        <v>0</v>
      </c>
      <c r="Q3457" s="36" t="str">
        <f t="shared" si="35"/>
        <v/>
      </c>
      <c r="R3457" s="47" t="b">
        <v>0</v>
      </c>
      <c r="S3457" s="42" t="str">
        <f t="shared" si="28"/>
        <v/>
      </c>
      <c r="T3457" s="42"/>
    </row>
    <row r="3458" ht="22.5" customHeight="1">
      <c r="B3458" s="42">
        <f t="shared" si="7"/>
        <v>3452</v>
      </c>
      <c r="C3458" s="31" t="s">
        <v>3512</v>
      </c>
      <c r="D3458" s="34" t="str">
        <f t="array" ref="D3458">IFNA(_xlfn.XLOOKUP(C3458,Table_Tarikan_Warkah[Nomor Sertipikat],Table_Tarikan_Warkah[Nomor Tiket]),"")</f>
        <v>L/13/260625/1</v>
      </c>
      <c r="E3458" s="36" t="str">
        <f t="array" ref="E3458">IFNA(_xlfn.XLOOKUP(D3458,Table_Tarikan_Warkah[Nomor Tiket],Table_Tarikan_Warkah[Tanggal diserahkan kepada Validator]),"")</f>
        <v/>
      </c>
      <c r="F3458" s="36" t="str">
        <f t="array" ref="F3458">IFNA(_xlfn.XLOOKUP(D3458,Table_Tarikan_Warkah[Nomor Tiket],Table_Tarikan_Warkah[Nama Petugas Warkah]),"")</f>
        <v/>
      </c>
      <c r="G3458" s="39" t="str">
        <f t="array" ref="G3458">IFNA(_xlfn.XLOOKUP(D3458,Table_Tarikan_Warkah[Nomor Tiket],Table_Tarikan_Warkah[Jenis Permohonan]),"")</f>
        <v>SKPT INFORMASI</v>
      </c>
      <c r="H3458" s="41" t="s">
        <v>2315</v>
      </c>
      <c r="I3458" s="49" t="s">
        <v>23</v>
      </c>
      <c r="J3458" s="36">
        <f t="shared" si="20"/>
        <v>45889.61623</v>
      </c>
      <c r="K3458" s="49" t="s">
        <v>2378</v>
      </c>
      <c r="L3458" s="49" t="s">
        <v>23</v>
      </c>
      <c r="M3458" s="36">
        <f t="shared" si="33"/>
        <v>45889.64322</v>
      </c>
      <c r="N3458" s="30" t="str">
        <f t="shared" si="34"/>
        <v>Selesai</v>
      </c>
      <c r="O3458" s="45">
        <f t="shared" si="23"/>
        <v>45889.64322</v>
      </c>
      <c r="P3458" s="47" t="b">
        <v>0</v>
      </c>
      <c r="Q3458" s="36" t="str">
        <f t="shared" si="35"/>
        <v/>
      </c>
      <c r="R3458" s="47" t="b">
        <v>0</v>
      </c>
      <c r="S3458" s="42" t="str">
        <f t="shared" si="28"/>
        <v/>
      </c>
      <c r="T3458" s="42"/>
    </row>
    <row r="3459" ht="22.5" customHeight="1">
      <c r="B3459" s="42">
        <f t="shared" si="7"/>
        <v>3453</v>
      </c>
      <c r="C3459" s="31" t="s">
        <v>3513</v>
      </c>
      <c r="D3459" s="34" t="str">
        <f t="array" ref="D3459">IFNA(_xlfn.XLOOKUP(C3459,Table_Tarikan_Warkah[Nomor Sertipikat],Table_Tarikan_Warkah[Nomor Tiket]),"")</f>
        <v>K/25/280725/3</v>
      </c>
      <c r="E3459" s="36">
        <f t="array" ref="E3459">IFNA(_xlfn.XLOOKUP(D3459,Table_Tarikan_Warkah[Nomor Tiket],Table_Tarikan_Warkah[Tanggal diserahkan kepada Validator]),"")</f>
        <v>45924.68971</v>
      </c>
      <c r="F3459" s="36" t="str">
        <f t="array" ref="F3459">IFNA(_xlfn.XLOOKUP(D3459,Table_Tarikan_Warkah[Nomor Tiket],Table_Tarikan_Warkah[Nama Petugas Warkah]),"")</f>
        <v>Berry</v>
      </c>
      <c r="G3459" s="39" t="str">
        <f t="array" ref="G3459">IFNA(_xlfn.XLOOKUP(D3459,Table_Tarikan_Warkah[Nomor Tiket],Table_Tarikan_Warkah[Jenis Permohonan]),"")</f>
        <v>GANTI NAMA HT</v>
      </c>
      <c r="H3459" s="41" t="s">
        <v>2315</v>
      </c>
      <c r="I3459" s="49" t="s">
        <v>23</v>
      </c>
      <c r="J3459" s="36">
        <f t="shared" si="20"/>
        <v>45889.61649</v>
      </c>
      <c r="K3459" s="49" t="s">
        <v>2378</v>
      </c>
      <c r="L3459" s="49" t="s">
        <v>23</v>
      </c>
      <c r="M3459" s="36">
        <f t="shared" si="33"/>
        <v>45891.60271</v>
      </c>
      <c r="N3459" s="30" t="str">
        <f t="shared" si="34"/>
        <v>Selesai</v>
      </c>
      <c r="O3459" s="45">
        <f t="shared" si="23"/>
        <v>45891.60271</v>
      </c>
      <c r="P3459" s="47" t="b">
        <v>0</v>
      </c>
      <c r="Q3459" s="36" t="str">
        <f t="shared" si="35"/>
        <v/>
      </c>
      <c r="R3459" s="47" t="b">
        <v>0</v>
      </c>
      <c r="S3459" s="42" t="str">
        <f t="shared" si="28"/>
        <v/>
      </c>
      <c r="T3459" s="42"/>
    </row>
    <row r="3460" ht="22.5" customHeight="1">
      <c r="B3460" s="42">
        <f t="shared" si="7"/>
        <v>3454</v>
      </c>
      <c r="C3460" s="31" t="s">
        <v>3514</v>
      </c>
      <c r="D3460" s="34" t="str">
        <f t="array" ref="D3460">IFNA(_xlfn.XLOOKUP(C3460,Table_Tarikan_Warkah[Nomor Sertipikat],Table_Tarikan_Warkah[Nomor Tiket]),"")</f>
        <v>K/32/010825/1</v>
      </c>
      <c r="E3460" s="36">
        <f t="array" ref="E3460">IFNA(_xlfn.XLOOKUP(D3460,Table_Tarikan_Warkah[Nomor Tiket],Table_Tarikan_Warkah[Tanggal diserahkan kepada Validator]),"")</f>
        <v>45894.57684</v>
      </c>
      <c r="F3460" s="36" t="str">
        <f t="array" ref="F3460">IFNA(_xlfn.XLOOKUP(D3460,Table_Tarikan_Warkah[Nomor Tiket],Table_Tarikan_Warkah[Nama Petugas Warkah]),"")</f>
        <v>Berry</v>
      </c>
      <c r="G3460" s="39" t="str">
        <f t="array" ref="G3460">IFNA(_xlfn.XLOOKUP(D3460,Table_Tarikan_Warkah[Nomor Tiket],Table_Tarikan_Warkah[Jenis Permohonan]),"")</f>
        <v>BN Jual Beli</v>
      </c>
      <c r="H3460" s="41" t="s">
        <v>2315</v>
      </c>
      <c r="I3460" s="49" t="s">
        <v>23</v>
      </c>
      <c r="J3460" s="36">
        <f t="shared" si="20"/>
        <v>45889.61673</v>
      </c>
      <c r="K3460" s="49" t="s">
        <v>2378</v>
      </c>
      <c r="L3460" s="49" t="s">
        <v>23</v>
      </c>
      <c r="M3460" s="36">
        <f t="shared" si="33"/>
        <v>45891.60248</v>
      </c>
      <c r="N3460" s="30" t="str">
        <f t="shared" si="34"/>
        <v>Selesai</v>
      </c>
      <c r="O3460" s="45">
        <f t="shared" si="23"/>
        <v>45891.60248</v>
      </c>
      <c r="P3460" s="47" t="b">
        <v>0</v>
      </c>
      <c r="Q3460" s="36" t="str">
        <f t="shared" si="35"/>
        <v/>
      </c>
      <c r="R3460" s="47" t="b">
        <v>0</v>
      </c>
      <c r="S3460" s="42" t="str">
        <f t="shared" si="28"/>
        <v/>
      </c>
      <c r="T3460" s="42"/>
    </row>
    <row r="3461" ht="22.5" customHeight="1">
      <c r="B3461" s="42">
        <f t="shared" si="7"/>
        <v>3455</v>
      </c>
      <c r="C3461" s="31" t="s">
        <v>3515</v>
      </c>
      <c r="D3461" s="34" t="str">
        <f t="array" ref="D3461">IFNA(_xlfn.XLOOKUP(C3461,Table_Tarikan_Warkah[Nomor Sertipikat],Table_Tarikan_Warkah[Nomor Tiket]),"")</f>
        <v>K/30/290725/1</v>
      </c>
      <c r="E3461" s="36">
        <f t="array" ref="E3461">IFNA(_xlfn.XLOOKUP(D3461,Table_Tarikan_Warkah[Nomor Tiket],Table_Tarikan_Warkah[Tanggal diserahkan kepada Validator]),"")</f>
        <v>45890.66885</v>
      </c>
      <c r="F3461" s="36" t="str">
        <f t="array" ref="F3461">IFNA(_xlfn.XLOOKUP(D3461,Table_Tarikan_Warkah[Nomor Tiket],Table_Tarikan_Warkah[Nama Petugas Warkah]),"")</f>
        <v>Berry</v>
      </c>
      <c r="G3461" s="39" t="str">
        <f t="array" ref="G3461">IFNA(_xlfn.XLOOKUP(D3461,Table_Tarikan_Warkah[Nomor Tiket],Table_Tarikan_Warkah[Jenis Permohonan]),"")</f>
        <v>BN Waris</v>
      </c>
      <c r="H3461" s="41" t="s">
        <v>2315</v>
      </c>
      <c r="I3461" s="49" t="s">
        <v>23</v>
      </c>
      <c r="J3461" s="36">
        <f t="shared" si="20"/>
        <v>45889.61707</v>
      </c>
      <c r="K3461" s="49" t="s">
        <v>2378</v>
      </c>
      <c r="L3461" s="49" t="s">
        <v>23</v>
      </c>
      <c r="M3461" s="36">
        <f t="shared" si="33"/>
        <v>45889.64275</v>
      </c>
      <c r="N3461" s="30" t="str">
        <f t="shared" si="34"/>
        <v>Selesai</v>
      </c>
      <c r="O3461" s="45">
        <f t="shared" si="23"/>
        <v>45889.64275</v>
      </c>
      <c r="P3461" s="47" t="b">
        <v>0</v>
      </c>
      <c r="Q3461" s="36" t="str">
        <f t="shared" si="35"/>
        <v/>
      </c>
      <c r="R3461" s="47" t="b">
        <v>0</v>
      </c>
      <c r="S3461" s="42" t="str">
        <f t="shared" si="28"/>
        <v/>
      </c>
      <c r="T3461" s="42"/>
    </row>
    <row r="3462" ht="22.5" customHeight="1">
      <c r="B3462" s="42">
        <f t="shared" si="7"/>
        <v>3456</v>
      </c>
      <c r="C3462" s="31" t="s">
        <v>3516</v>
      </c>
      <c r="D3462" s="34" t="str">
        <f t="array" ref="D3462">IFNA(_xlfn.XLOOKUP(C3462,Table_Tarikan_Warkah[Nomor Sertipikat],Table_Tarikan_Warkah[Nomor Tiket]),"")</f>
        <v>K/17/040825/1</v>
      </c>
      <c r="E3462" s="36" t="str">
        <f t="array" ref="E3462">IFNA(_xlfn.XLOOKUP(D3462,Table_Tarikan_Warkah[Nomor Tiket],Table_Tarikan_Warkah[Tanggal diserahkan kepada Validator]),"")</f>
        <v/>
      </c>
      <c r="F3462" s="36" t="str">
        <f t="array" ref="F3462">IFNA(_xlfn.XLOOKUP(D3462,Table_Tarikan_Warkah[Nomor Tiket],Table_Tarikan_Warkah[Nama Petugas Warkah]),"")</f>
        <v/>
      </c>
      <c r="G3462" s="39" t="str">
        <f t="array" ref="G3462">IFNA(_xlfn.XLOOKUP(D3462,Table_Tarikan_Warkah[Nomor Tiket],Table_Tarikan_Warkah[Jenis Permohonan]),"")</f>
        <v>BN Jual Beli</v>
      </c>
      <c r="H3462" s="41" t="s">
        <v>2315</v>
      </c>
      <c r="I3462" s="49" t="s">
        <v>23</v>
      </c>
      <c r="J3462" s="36">
        <f t="shared" si="20"/>
        <v>45889.61716</v>
      </c>
      <c r="K3462" s="49" t="s">
        <v>2378</v>
      </c>
      <c r="L3462" s="49" t="s">
        <v>23</v>
      </c>
      <c r="M3462" s="36">
        <f t="shared" si="33"/>
        <v>45895.66314</v>
      </c>
      <c r="N3462" s="30" t="str">
        <f t="shared" si="34"/>
        <v>Selesai</v>
      </c>
      <c r="O3462" s="45">
        <f t="shared" si="23"/>
        <v>45895.66314</v>
      </c>
      <c r="P3462" s="47" t="b">
        <v>0</v>
      </c>
      <c r="Q3462" s="36" t="str">
        <f t="shared" si="35"/>
        <v/>
      </c>
      <c r="R3462" s="47" t="b">
        <v>0</v>
      </c>
      <c r="S3462" s="42" t="str">
        <f t="shared" si="28"/>
        <v/>
      </c>
      <c r="T3462" s="42"/>
    </row>
    <row r="3463" ht="22.5" customHeight="1">
      <c r="B3463" s="42">
        <f t="shared" si="7"/>
        <v>3457</v>
      </c>
      <c r="C3463" s="31" t="s">
        <v>3517</v>
      </c>
      <c r="D3463" s="34" t="str">
        <f t="array" ref="D3463">IFNA(_xlfn.XLOOKUP(C3463,Table_Tarikan_Warkah[Nomor Sertipikat],Table_Tarikan_Warkah[Nomor Tiket]),"")</f>
        <v>K/32/050825/2</v>
      </c>
      <c r="E3463" s="36">
        <f t="array" ref="E3463">IFNA(_xlfn.XLOOKUP(D3463,Table_Tarikan_Warkah[Nomor Tiket],Table_Tarikan_Warkah[Tanggal diserahkan kepada Validator]),"")</f>
        <v>45891.59801</v>
      </c>
      <c r="F3463" s="36" t="str">
        <f t="array" ref="F3463">IFNA(_xlfn.XLOOKUP(D3463,Table_Tarikan_Warkah[Nomor Tiket],Table_Tarikan_Warkah[Nama Petugas Warkah]),"")</f>
        <v>Berry</v>
      </c>
      <c r="G3463" s="39" t="str">
        <f t="array" ref="G3463">IFNA(_xlfn.XLOOKUP(D3463,Table_Tarikan_Warkah[Nomor Tiket],Table_Tarikan_Warkah[Jenis Permohonan]),"")</f>
        <v>BN Jual Beli</v>
      </c>
      <c r="H3463" s="41" t="s">
        <v>2315</v>
      </c>
      <c r="I3463" s="49" t="s">
        <v>23</v>
      </c>
      <c r="J3463" s="36">
        <f t="shared" si="20"/>
        <v>45889.61732</v>
      </c>
      <c r="K3463" s="49" t="s">
        <v>2378</v>
      </c>
      <c r="L3463" s="49" t="s">
        <v>23</v>
      </c>
      <c r="M3463" s="36">
        <f t="shared" si="33"/>
        <v>45890.65756</v>
      </c>
      <c r="N3463" s="30" t="str">
        <f t="shared" si="34"/>
        <v>Selesai</v>
      </c>
      <c r="O3463" s="45">
        <f t="shared" si="23"/>
        <v>45890.65756</v>
      </c>
      <c r="P3463" s="47" t="b">
        <v>0</v>
      </c>
      <c r="Q3463" s="36" t="str">
        <f t="shared" si="35"/>
        <v/>
      </c>
      <c r="R3463" s="47" t="b">
        <v>0</v>
      </c>
      <c r="S3463" s="42" t="str">
        <f t="shared" si="28"/>
        <v/>
      </c>
      <c r="T3463" s="42"/>
    </row>
    <row r="3464" ht="22.5" customHeight="1">
      <c r="B3464" s="42">
        <f t="shared" si="7"/>
        <v>3458</v>
      </c>
      <c r="C3464" s="31" t="s">
        <v>3518</v>
      </c>
      <c r="D3464" s="34" t="s">
        <v>3519</v>
      </c>
      <c r="E3464" s="36">
        <f t="array" ref="E3464">IFNA(_xlfn.XLOOKUP(D3464,Table_Tarikan_Warkah[Nomor Tiket],Table_Tarikan_Warkah[Tanggal diserahkan kepada Validator]),"")</f>
        <v>45891.59866</v>
      </c>
      <c r="F3464" s="36" t="str">
        <f t="array" ref="F3464">IFNA(_xlfn.XLOOKUP(D3464,Table_Tarikan_Warkah[Nomor Tiket],Table_Tarikan_Warkah[Nama Petugas Warkah]),"")</f>
        <v>Berry</v>
      </c>
      <c r="G3464" s="39" t="str">
        <f t="array" ref="G3464">IFNA(_xlfn.XLOOKUP(D3464,Table_Tarikan_Warkah[Nomor Tiket],Table_Tarikan_Warkah[Jenis Permohonan]),"")</f>
        <v>BN Jual Beli</v>
      </c>
      <c r="H3464" s="41" t="s">
        <v>2315</v>
      </c>
      <c r="I3464" s="49" t="s">
        <v>23</v>
      </c>
      <c r="J3464" s="36">
        <f t="shared" si="20"/>
        <v>45889.61813</v>
      </c>
      <c r="K3464" s="49" t="s">
        <v>2378</v>
      </c>
      <c r="L3464" s="49" t="s">
        <v>23</v>
      </c>
      <c r="M3464" s="36">
        <f t="shared" si="33"/>
        <v>45890.65741</v>
      </c>
      <c r="N3464" s="30" t="str">
        <f t="shared" si="34"/>
        <v>Selesai</v>
      </c>
      <c r="O3464" s="45">
        <f t="shared" si="23"/>
        <v>45890.65741</v>
      </c>
      <c r="P3464" s="47" t="b">
        <v>0</v>
      </c>
      <c r="Q3464" s="36" t="str">
        <f t="shared" si="35"/>
        <v/>
      </c>
      <c r="R3464" s="47" t="b">
        <v>0</v>
      </c>
      <c r="S3464" s="42" t="str">
        <f t="shared" si="28"/>
        <v/>
      </c>
      <c r="T3464" s="42"/>
    </row>
    <row r="3465" ht="22.5" customHeight="1">
      <c r="B3465" s="42">
        <f t="shared" si="7"/>
        <v>3459</v>
      </c>
      <c r="C3465" s="31" t="s">
        <v>3520</v>
      </c>
      <c r="D3465" s="34" t="str">
        <f t="array" ref="D3465">IFNA(_xlfn.XLOOKUP(C3465,Table_Tarikan_Warkah[Nomor Sertipikat],Table_Tarikan_Warkah[Nomor Tiket]),"")</f>
        <v>K/17/010825/2</v>
      </c>
      <c r="E3465" s="36">
        <f t="array" ref="E3465">IFNA(_xlfn.XLOOKUP(D3465,Table_Tarikan_Warkah[Nomor Tiket],Table_Tarikan_Warkah[Tanggal diserahkan kepada Validator]),"")</f>
        <v>45891.59935</v>
      </c>
      <c r="F3465" s="36" t="str">
        <f t="array" ref="F3465">IFNA(_xlfn.XLOOKUP(D3465,Table_Tarikan_Warkah[Nomor Tiket],Table_Tarikan_Warkah[Nama Petugas Warkah]),"")</f>
        <v>Berry</v>
      </c>
      <c r="G3465" s="39" t="str">
        <f t="array" ref="G3465">IFNA(_xlfn.XLOOKUP(D3465,Table_Tarikan_Warkah[Nomor Tiket],Table_Tarikan_Warkah[Jenis Permohonan]),"")</f>
        <v>BN Jual Beli</v>
      </c>
      <c r="H3465" s="41" t="s">
        <v>2315</v>
      </c>
      <c r="I3465" s="49" t="s">
        <v>23</v>
      </c>
      <c r="J3465" s="36">
        <f t="shared" si="20"/>
        <v>45889.61841</v>
      </c>
      <c r="K3465" s="49" t="s">
        <v>2378</v>
      </c>
      <c r="L3465" s="49" t="s">
        <v>23</v>
      </c>
      <c r="M3465" s="36">
        <f t="shared" si="33"/>
        <v>45890.65729</v>
      </c>
      <c r="N3465" s="30" t="str">
        <f t="shared" si="34"/>
        <v>Selesai</v>
      </c>
      <c r="O3465" s="45">
        <f t="shared" si="23"/>
        <v>45890.65729</v>
      </c>
      <c r="P3465" s="47" t="b">
        <v>0</v>
      </c>
      <c r="Q3465" s="36" t="str">
        <f t="shared" si="35"/>
        <v/>
      </c>
      <c r="R3465" s="47" t="b">
        <v>0</v>
      </c>
      <c r="S3465" s="42" t="str">
        <f t="shared" si="28"/>
        <v/>
      </c>
      <c r="T3465" s="42"/>
    </row>
    <row r="3466" ht="22.5" customHeight="1">
      <c r="B3466" s="42">
        <f t="shared" si="7"/>
        <v>3460</v>
      </c>
      <c r="C3466" s="31" t="s">
        <v>3521</v>
      </c>
      <c r="D3466" s="34" t="str">
        <f t="array" ref="D3466">IFNA(_xlfn.XLOOKUP(C3466,Table_Tarikan_Warkah[Nomor Sertipikat],Table_Tarikan_Warkah[Nomor Tiket]),"")</f>
        <v>K/40/310725/1</v>
      </c>
      <c r="E3466" s="36">
        <f t="array" ref="E3466">IFNA(_xlfn.XLOOKUP(D3466,Table_Tarikan_Warkah[Nomor Tiket],Table_Tarikan_Warkah[Tanggal diserahkan kepada Validator]),"")</f>
        <v>45894.58212</v>
      </c>
      <c r="F3466" s="36" t="str">
        <f t="array" ref="F3466">IFNA(_xlfn.XLOOKUP(D3466,Table_Tarikan_Warkah[Nomor Tiket],Table_Tarikan_Warkah[Nama Petugas Warkah]),"")</f>
        <v>Berry</v>
      </c>
      <c r="G3466" s="39" t="str">
        <f t="array" ref="G3466">IFNA(_xlfn.XLOOKUP(D3466,Table_Tarikan_Warkah[Nomor Tiket],Table_Tarikan_Warkah[Jenis Permohonan]),"")</f>
        <v>JUAL BELI</v>
      </c>
      <c r="H3466" s="41" t="s">
        <v>2315</v>
      </c>
      <c r="I3466" s="49" t="s">
        <v>23</v>
      </c>
      <c r="J3466" s="36">
        <f t="shared" si="20"/>
        <v>45889.61863</v>
      </c>
      <c r="K3466" s="49" t="s">
        <v>2378</v>
      </c>
      <c r="L3466" s="49" t="s">
        <v>23</v>
      </c>
      <c r="M3466" s="36">
        <f t="shared" si="33"/>
        <v>45891.60222</v>
      </c>
      <c r="N3466" s="30" t="str">
        <f t="shared" si="34"/>
        <v>Selesai</v>
      </c>
      <c r="O3466" s="45">
        <f t="shared" si="23"/>
        <v>45891.60222</v>
      </c>
      <c r="P3466" s="47" t="b">
        <v>0</v>
      </c>
      <c r="Q3466" s="36" t="str">
        <f t="shared" si="35"/>
        <v/>
      </c>
      <c r="R3466" s="47" t="b">
        <v>0</v>
      </c>
      <c r="S3466" s="42" t="str">
        <f t="shared" si="28"/>
        <v/>
      </c>
      <c r="T3466" s="42"/>
    </row>
    <row r="3467" ht="22.5" customHeight="1">
      <c r="B3467" s="42">
        <f t="shared" si="7"/>
        <v>3461</v>
      </c>
      <c r="C3467" s="31" t="s">
        <v>3522</v>
      </c>
      <c r="D3467" s="34" t="str">
        <f t="array" ref="D3467">IFNA(_xlfn.XLOOKUP(C3467,Table_Tarikan_Warkah[Nomor Sertipikat],Table_Tarikan_Warkah[Nomor Tiket]),"")</f>
        <v>K/10/060825/1</v>
      </c>
      <c r="E3467" s="36">
        <f t="array" ref="E3467">IFNA(_xlfn.XLOOKUP(D3467,Table_Tarikan_Warkah[Nomor Tiket],Table_Tarikan_Warkah[Tanggal diserahkan kepada Validator]),"")</f>
        <v>45915.64774</v>
      </c>
      <c r="F3467" s="36" t="str">
        <f t="array" ref="F3467">IFNA(_xlfn.XLOOKUP(D3467,Table_Tarikan_Warkah[Nomor Tiket],Table_Tarikan_Warkah[Nama Petugas Warkah]),"")</f>
        <v>Berry</v>
      </c>
      <c r="G3467" s="39" t="str">
        <f t="array" ref="G3467">IFNA(_xlfn.XLOOKUP(D3467,Table_Tarikan_Warkah[Nomor Tiket],Table_Tarikan_Warkah[Jenis Permohonan]),"")</f>
        <v>ROYA</v>
      </c>
      <c r="H3467" s="41" t="s">
        <v>2315</v>
      </c>
      <c r="I3467" s="49" t="s">
        <v>23</v>
      </c>
      <c r="J3467" s="36">
        <f t="shared" si="20"/>
        <v>45889.61887</v>
      </c>
      <c r="K3467" s="49" t="s">
        <v>2378</v>
      </c>
      <c r="L3467" s="49" t="s">
        <v>23</v>
      </c>
      <c r="M3467" s="36">
        <f t="shared" si="33"/>
        <v>45891.60214</v>
      </c>
      <c r="N3467" s="30" t="str">
        <f t="shared" si="34"/>
        <v>Selesai</v>
      </c>
      <c r="O3467" s="45">
        <f t="shared" si="23"/>
        <v>45891.60214</v>
      </c>
      <c r="P3467" s="47" t="b">
        <v>0</v>
      </c>
      <c r="Q3467" s="36" t="str">
        <f t="shared" si="35"/>
        <v/>
      </c>
      <c r="R3467" s="47" t="b">
        <v>0</v>
      </c>
      <c r="S3467" s="42" t="str">
        <f t="shared" si="28"/>
        <v/>
      </c>
      <c r="T3467" s="42"/>
    </row>
    <row r="3468" ht="22.5" customHeight="1">
      <c r="B3468" s="42">
        <f t="shared" si="7"/>
        <v>3462</v>
      </c>
      <c r="C3468" s="31" t="s">
        <v>3523</v>
      </c>
      <c r="D3468" s="34" t="str">
        <f t="array" ref="D3468">IFNA(_xlfn.XLOOKUP(C3468,Table_Tarikan_Warkah[Nomor Sertipikat],Table_Tarikan_Warkah[Nomor Tiket]),"")</f>
        <v>K/7/010825/1</v>
      </c>
      <c r="E3468" s="36">
        <f t="array" ref="E3468">IFNA(_xlfn.XLOOKUP(D3468,Table_Tarikan_Warkah[Nomor Tiket],Table_Tarikan_Warkah[Tanggal diserahkan kepada Validator]),"")</f>
        <v>45894.57544</v>
      </c>
      <c r="F3468" s="36" t="str">
        <f t="array" ref="F3468">IFNA(_xlfn.XLOOKUP(D3468,Table_Tarikan_Warkah[Nomor Tiket],Table_Tarikan_Warkah[Nama Petugas Warkah]),"")</f>
        <v>Berry</v>
      </c>
      <c r="G3468" s="39" t="str">
        <f t="array" ref="G3468">IFNA(_xlfn.XLOOKUP(D3468,Table_Tarikan_Warkah[Nomor Tiket],Table_Tarikan_Warkah[Jenis Permohonan]),"")</f>
        <v>BN WARIS</v>
      </c>
      <c r="H3468" s="41" t="s">
        <v>2315</v>
      </c>
      <c r="I3468" s="49" t="s">
        <v>23</v>
      </c>
      <c r="J3468" s="36">
        <f t="shared" si="20"/>
        <v>45889.6191</v>
      </c>
      <c r="K3468" s="49" t="s">
        <v>2378</v>
      </c>
      <c r="L3468" s="49" t="s">
        <v>23</v>
      </c>
      <c r="M3468" s="36">
        <f t="shared" si="33"/>
        <v>45890.65713</v>
      </c>
      <c r="N3468" s="30" t="str">
        <f t="shared" si="34"/>
        <v>Selesai</v>
      </c>
      <c r="O3468" s="45">
        <f t="shared" si="23"/>
        <v>45890.65713</v>
      </c>
      <c r="P3468" s="47" t="b">
        <v>0</v>
      </c>
      <c r="Q3468" s="36" t="str">
        <f t="shared" si="35"/>
        <v/>
      </c>
      <c r="R3468" s="47" t="b">
        <v>0</v>
      </c>
      <c r="S3468" s="42" t="str">
        <f t="shared" si="28"/>
        <v/>
      </c>
      <c r="T3468" s="42"/>
    </row>
    <row r="3469" ht="22.5" customHeight="1">
      <c r="B3469" s="42">
        <f t="shared" si="7"/>
        <v>3463</v>
      </c>
      <c r="C3469" s="31" t="s">
        <v>3524</v>
      </c>
      <c r="D3469" s="34" t="str">
        <f t="array" ref="D3469">IFNA(_xlfn.XLOOKUP(C3469,Table_Tarikan_Warkah[Nomor Sertipikat],Table_Tarikan_Warkah[Nomor Tiket]),"")</f>
        <v>L/14/290725/1</v>
      </c>
      <c r="E3469" s="36" t="str">
        <f t="array" ref="E3469">IFNA(_xlfn.XLOOKUP(D3469,Table_Tarikan_Warkah[Nomor Tiket],Table_Tarikan_Warkah[Tanggal diserahkan kepada Validator]),"")</f>
        <v/>
      </c>
      <c r="F3469" s="36" t="str">
        <f t="array" ref="F3469">IFNA(_xlfn.XLOOKUP(D3469,Table_Tarikan_Warkah[Nomor Tiket],Table_Tarikan_Warkah[Nama Petugas Warkah]),"")</f>
        <v/>
      </c>
      <c r="G3469" s="39" t="str">
        <f t="array" ref="G3469">IFNA(_xlfn.XLOOKUP(D3469,Table_Tarikan_Warkah[Nomor Tiket],Table_Tarikan_Warkah[Jenis Permohonan]),"")</f>
        <v>BN WARIS</v>
      </c>
      <c r="H3469" s="41" t="s">
        <v>2315</v>
      </c>
      <c r="I3469" s="49" t="s">
        <v>23</v>
      </c>
      <c r="J3469" s="36">
        <f t="shared" si="20"/>
        <v>45889.61925</v>
      </c>
      <c r="K3469" s="49" t="s">
        <v>2378</v>
      </c>
      <c r="L3469" s="49" t="s">
        <v>23</v>
      </c>
      <c r="M3469" s="36">
        <f t="shared" si="33"/>
        <v>45895.66314</v>
      </c>
      <c r="N3469" s="30" t="str">
        <f t="shared" si="34"/>
        <v>Selesai</v>
      </c>
      <c r="O3469" s="45">
        <f t="shared" si="23"/>
        <v>45895.66314</v>
      </c>
      <c r="P3469" s="47" t="b">
        <v>0</v>
      </c>
      <c r="Q3469" s="36" t="str">
        <f t="shared" si="35"/>
        <v/>
      </c>
      <c r="R3469" s="47" t="b">
        <v>0</v>
      </c>
      <c r="S3469" s="42" t="str">
        <f t="shared" si="28"/>
        <v/>
      </c>
      <c r="T3469" s="42"/>
    </row>
    <row r="3470" ht="22.5" customHeight="1">
      <c r="B3470" s="42">
        <f t="shared" si="7"/>
        <v>3464</v>
      </c>
      <c r="C3470" s="31" t="s">
        <v>3525</v>
      </c>
      <c r="D3470" s="34" t="str">
        <f t="array" ref="D3470">IFNA(_xlfn.XLOOKUP(C3470,Table_Tarikan_Warkah[Nomor Sertipikat],Table_Tarikan_Warkah[Nomor Tiket]),"")</f>
        <v>K/27/050825/4</v>
      </c>
      <c r="E3470" s="36" t="str">
        <f t="array" ref="E3470">IFNA(_xlfn.XLOOKUP(D3470,Table_Tarikan_Warkah[Nomor Tiket],Table_Tarikan_Warkah[Tanggal diserahkan kepada Validator]),"")</f>
        <v/>
      </c>
      <c r="F3470" s="36" t="str">
        <f t="array" ref="F3470">IFNA(_xlfn.XLOOKUP(D3470,Table_Tarikan_Warkah[Nomor Tiket],Table_Tarikan_Warkah[Nama Petugas Warkah]),"")</f>
        <v/>
      </c>
      <c r="G3470" s="39" t="str">
        <f t="array" ref="G3470">IFNA(_xlfn.XLOOKUP(D3470,Table_Tarikan_Warkah[Nomor Tiket],Table_Tarikan_Warkah[Jenis Permohonan]),"")</f>
        <v>JUAL BELI</v>
      </c>
      <c r="H3470" s="41" t="s">
        <v>2315</v>
      </c>
      <c r="I3470" s="49" t="s">
        <v>23</v>
      </c>
      <c r="J3470" s="36">
        <f t="shared" si="20"/>
        <v>45889.61939</v>
      </c>
      <c r="K3470" s="49" t="s">
        <v>2378</v>
      </c>
      <c r="L3470" s="49" t="s">
        <v>23</v>
      </c>
      <c r="M3470" s="36">
        <f t="shared" si="33"/>
        <v>45890.65691</v>
      </c>
      <c r="N3470" s="30" t="str">
        <f t="shared" si="34"/>
        <v>Selesai</v>
      </c>
      <c r="O3470" s="45">
        <f t="shared" si="23"/>
        <v>45890.65691</v>
      </c>
      <c r="P3470" s="47" t="b">
        <v>0</v>
      </c>
      <c r="Q3470" s="36" t="str">
        <f t="shared" si="35"/>
        <v/>
      </c>
      <c r="R3470" s="47" t="b">
        <v>0</v>
      </c>
      <c r="S3470" s="42" t="str">
        <f t="shared" si="28"/>
        <v/>
      </c>
      <c r="T3470" s="42"/>
    </row>
    <row r="3471" ht="22.5" customHeight="1">
      <c r="B3471" s="42">
        <f t="shared" si="7"/>
        <v>3465</v>
      </c>
      <c r="C3471" s="31" t="s">
        <v>3526</v>
      </c>
      <c r="D3471" s="34"/>
      <c r="E3471" s="36" t="str">
        <f t="array" ref="E3471">IFNA(_xlfn.XLOOKUP(D3471,Table_Tarikan_Warkah[Nomor Tiket],Table_Tarikan_Warkah[Tanggal diserahkan kepada Validator]),"")</f>
        <v/>
      </c>
      <c r="F3471" s="36" t="str">
        <f t="array" ref="F3471">IFNA(_xlfn.XLOOKUP(D3471,Table_Tarikan_Warkah[Nomor Tiket],Table_Tarikan_Warkah[Nama Petugas Warkah]),"")</f>
        <v/>
      </c>
      <c r="G3471" s="39" t="str">
        <f t="array" ref="G3471">IFNA(_xlfn.XLOOKUP(D3471,Table_Tarikan_Warkah[Nomor Tiket],Table_Tarikan_Warkah[Jenis Permohonan]),"")</f>
        <v/>
      </c>
      <c r="H3471" s="41" t="s">
        <v>2315</v>
      </c>
      <c r="I3471" s="49" t="s">
        <v>23</v>
      </c>
      <c r="J3471" s="36">
        <f t="shared" si="20"/>
        <v>45889.62054</v>
      </c>
      <c r="K3471" s="49" t="s">
        <v>2378</v>
      </c>
      <c r="L3471" s="49" t="s">
        <v>23</v>
      </c>
      <c r="M3471" s="36">
        <f t="shared" si="33"/>
        <v>45890.65671</v>
      </c>
      <c r="N3471" s="30" t="str">
        <f t="shared" si="34"/>
        <v/>
      </c>
      <c r="O3471" s="39" t="str">
        <f t="shared" si="23"/>
        <v/>
      </c>
      <c r="P3471" s="47" t="b">
        <v>0</v>
      </c>
      <c r="Q3471" s="36" t="str">
        <f t="shared" si="35"/>
        <v/>
      </c>
      <c r="R3471" s="47" t="b">
        <v>0</v>
      </c>
      <c r="S3471" s="42" t="str">
        <f t="shared" si="28"/>
        <v/>
      </c>
      <c r="T3471" s="42"/>
    </row>
    <row r="3472" ht="22.5" customHeight="1">
      <c r="B3472" s="42">
        <f t="shared" si="7"/>
        <v>3466</v>
      </c>
      <c r="C3472" s="31" t="s">
        <v>3527</v>
      </c>
      <c r="D3472" s="34" t="str">
        <f t="array" ref="D3472">IFNA(_xlfn.XLOOKUP(C3472,Table_Tarikan_Warkah[Nomor Sertipikat],Table_Tarikan_Warkah[Nomor Tiket]),"")</f>
        <v>K/46/310725/2</v>
      </c>
      <c r="E3472" s="36">
        <f t="array" ref="E3472">IFNA(_xlfn.XLOOKUP(D3472,Table_Tarikan_Warkah[Nomor Tiket],Table_Tarikan_Warkah[Tanggal diserahkan kepada Validator]),"")</f>
        <v>45894.55759</v>
      </c>
      <c r="F3472" s="36" t="str">
        <f t="array" ref="F3472">IFNA(_xlfn.XLOOKUP(D3472,Table_Tarikan_Warkah[Nomor Tiket],Table_Tarikan_Warkah[Nama Petugas Warkah]),"")</f>
        <v>David</v>
      </c>
      <c r="G3472" s="39" t="str">
        <f t="array" ref="G3472">IFNA(_xlfn.XLOOKUP(D3472,Table_Tarikan_Warkah[Nomor Tiket],Table_Tarikan_Warkah[Jenis Permohonan]),"")</f>
        <v>JUAL BELI</v>
      </c>
      <c r="H3472" s="41" t="s">
        <v>2315</v>
      </c>
      <c r="I3472" s="49" t="s">
        <v>23</v>
      </c>
      <c r="J3472" s="36">
        <f t="shared" si="20"/>
        <v>45889.62069</v>
      </c>
      <c r="K3472" s="49" t="s">
        <v>2378</v>
      </c>
      <c r="L3472" s="49" t="s">
        <v>23</v>
      </c>
      <c r="M3472" s="36">
        <f t="shared" si="33"/>
        <v>45890.65658</v>
      </c>
      <c r="N3472" s="30" t="str">
        <f t="shared" si="34"/>
        <v>Selesai</v>
      </c>
      <c r="O3472" s="45">
        <f t="shared" si="23"/>
        <v>45890.65658</v>
      </c>
      <c r="P3472" s="47" t="b">
        <v>0</v>
      </c>
      <c r="Q3472" s="36" t="str">
        <f t="shared" si="35"/>
        <v/>
      </c>
      <c r="R3472" s="47" t="b">
        <v>0</v>
      </c>
      <c r="S3472" s="42" t="str">
        <f t="shared" si="28"/>
        <v/>
      </c>
      <c r="T3472" s="42"/>
    </row>
    <row r="3473" ht="22.5" customHeight="1">
      <c r="B3473" s="42">
        <f t="shared" si="7"/>
        <v>3467</v>
      </c>
      <c r="C3473" s="31" t="s">
        <v>3528</v>
      </c>
      <c r="D3473" s="34" t="str">
        <f t="array" ref="D3473">IFNA(_xlfn.XLOOKUP(C3473,Table_Tarikan_Warkah[Nomor Sertipikat],Table_Tarikan_Warkah[Nomor Tiket]),"")</f>
        <v>K/11/090725/1</v>
      </c>
      <c r="E3473" s="36" t="str">
        <f t="array" ref="E3473">IFNA(_xlfn.XLOOKUP(D3473,Table_Tarikan_Warkah[Nomor Tiket],Table_Tarikan_Warkah[Tanggal diserahkan kepada Validator]),"")</f>
        <v/>
      </c>
      <c r="F3473" s="36" t="str">
        <f t="array" ref="F3473">IFNA(_xlfn.XLOOKUP(D3473,Table_Tarikan_Warkah[Nomor Tiket],Table_Tarikan_Warkah[Nama Petugas Warkah]),"")</f>
        <v/>
      </c>
      <c r="G3473" s="39" t="str">
        <f t="array" ref="G3473">IFNA(_xlfn.XLOOKUP(D3473,Table_Tarikan_Warkah[Nomor Tiket],Table_Tarikan_Warkah[Jenis Permohonan]),"")</f>
        <v>JUAL BELI</v>
      </c>
      <c r="H3473" s="41" t="s">
        <v>2315</v>
      </c>
      <c r="I3473" s="49" t="s">
        <v>23</v>
      </c>
      <c r="J3473" s="36">
        <f t="shared" si="20"/>
        <v>45889.62092</v>
      </c>
      <c r="K3473" s="49" t="s">
        <v>2378</v>
      </c>
      <c r="L3473" s="49" t="s">
        <v>23</v>
      </c>
      <c r="M3473" s="36">
        <f t="shared" si="33"/>
        <v>45895.66314</v>
      </c>
      <c r="N3473" s="30" t="str">
        <f t="shared" si="34"/>
        <v>Selesai</v>
      </c>
      <c r="O3473" s="45">
        <f t="shared" si="23"/>
        <v>45895.66314</v>
      </c>
      <c r="P3473" s="47" t="b">
        <v>0</v>
      </c>
      <c r="Q3473" s="36" t="str">
        <f t="shared" si="35"/>
        <v/>
      </c>
      <c r="R3473" s="47" t="b">
        <v>0</v>
      </c>
      <c r="S3473" s="42" t="str">
        <f t="shared" si="28"/>
        <v/>
      </c>
      <c r="T3473" s="42"/>
    </row>
    <row r="3474" ht="22.5" customHeight="1">
      <c r="B3474" s="42">
        <f t="shared" si="7"/>
        <v>3468</v>
      </c>
      <c r="C3474" s="31" t="s">
        <v>3529</v>
      </c>
      <c r="D3474" s="34" t="str">
        <f t="array" ref="D3474">IFNA(_xlfn.XLOOKUP(C3474,Table_Tarikan_Warkah[Nomor Sertipikat],Table_Tarikan_Warkah[Nomor Tiket]),"")</f>
        <v>K/31/250625/1</v>
      </c>
      <c r="E3474" s="36">
        <f t="array" ref="E3474">IFNA(_xlfn.XLOOKUP(D3474,Table_Tarikan_Warkah[Nomor Tiket],Table_Tarikan_Warkah[Tanggal diserahkan kepada Validator]),"")</f>
        <v>45894.5579</v>
      </c>
      <c r="F3474" s="36" t="str">
        <f t="array" ref="F3474">IFNA(_xlfn.XLOOKUP(D3474,Table_Tarikan_Warkah[Nomor Tiket],Table_Tarikan_Warkah[Nama Petugas Warkah]),"")</f>
        <v>Berry</v>
      </c>
      <c r="G3474" s="39" t="str">
        <f t="array" ref="G3474">IFNA(_xlfn.XLOOKUP(D3474,Table_Tarikan_Warkah[Nomor Tiket],Table_Tarikan_Warkah[Jenis Permohonan]),"")</f>
        <v>JUAL BELI</v>
      </c>
      <c r="H3474" s="41" t="s">
        <v>2315</v>
      </c>
      <c r="I3474" s="49" t="s">
        <v>23</v>
      </c>
      <c r="J3474" s="36">
        <f t="shared" si="20"/>
        <v>45889.62106</v>
      </c>
      <c r="K3474" s="49" t="s">
        <v>2378</v>
      </c>
      <c r="L3474" s="49" t="s">
        <v>23</v>
      </c>
      <c r="M3474" s="36">
        <f t="shared" si="33"/>
        <v>45890.65644</v>
      </c>
      <c r="N3474" s="30" t="str">
        <f t="shared" si="34"/>
        <v>Selesai</v>
      </c>
      <c r="O3474" s="45">
        <f t="shared" si="23"/>
        <v>45890.65644</v>
      </c>
      <c r="P3474" s="47" t="b">
        <v>0</v>
      </c>
      <c r="Q3474" s="36" t="str">
        <f t="shared" si="35"/>
        <v/>
      </c>
      <c r="R3474" s="47" t="b">
        <v>0</v>
      </c>
      <c r="S3474" s="42" t="str">
        <f t="shared" si="28"/>
        <v/>
      </c>
      <c r="T3474" s="42"/>
    </row>
    <row r="3475" ht="22.5" customHeight="1">
      <c r="B3475" s="42">
        <f t="shared" si="7"/>
        <v>3469</v>
      </c>
      <c r="C3475" s="31" t="s">
        <v>3530</v>
      </c>
      <c r="D3475" s="34" t="str">
        <f t="array" ref="D3475">IFNA(_xlfn.XLOOKUP(C3475,Table_Tarikan_Warkah[Nomor Sertipikat],Table_Tarikan_Warkah[Nomor Tiket]),"")</f>
        <v>K/17/250725/1</v>
      </c>
      <c r="E3475" s="36">
        <f t="array" ref="E3475">IFNA(_xlfn.XLOOKUP(D3475,Table_Tarikan_Warkah[Nomor Tiket],Table_Tarikan_Warkah[Tanggal diserahkan kepada Validator]),"")</f>
        <v>45894.56463</v>
      </c>
      <c r="F3475" s="36" t="str">
        <f t="array" ref="F3475">IFNA(_xlfn.XLOOKUP(D3475,Table_Tarikan_Warkah[Nomor Tiket],Table_Tarikan_Warkah[Nama Petugas Warkah]),"")</f>
        <v>Berry</v>
      </c>
      <c r="G3475" s="39" t="str">
        <f t="array" ref="G3475">IFNA(_xlfn.XLOOKUP(D3475,Table_Tarikan_Warkah[Nomor Tiket],Table_Tarikan_Warkah[Jenis Permohonan]),"")</f>
        <v>JUAL BELI</v>
      </c>
      <c r="H3475" s="41" t="s">
        <v>2315</v>
      </c>
      <c r="I3475" s="49" t="s">
        <v>23</v>
      </c>
      <c r="J3475" s="36">
        <f t="shared" si="20"/>
        <v>45889.62127</v>
      </c>
      <c r="K3475" s="49" t="s">
        <v>2378</v>
      </c>
      <c r="L3475" s="49" t="s">
        <v>23</v>
      </c>
      <c r="M3475" s="36">
        <f t="shared" si="33"/>
        <v>45890.656</v>
      </c>
      <c r="N3475" s="30" t="str">
        <f t="shared" si="34"/>
        <v>Selesai</v>
      </c>
      <c r="O3475" s="45">
        <f t="shared" si="23"/>
        <v>45890.656</v>
      </c>
      <c r="P3475" s="47" t="b">
        <v>0</v>
      </c>
      <c r="Q3475" s="36" t="str">
        <f t="shared" si="35"/>
        <v/>
      </c>
      <c r="R3475" s="47" t="b">
        <v>0</v>
      </c>
      <c r="S3475" s="42" t="str">
        <f t="shared" si="28"/>
        <v/>
      </c>
      <c r="T3475" s="42"/>
    </row>
    <row r="3476" ht="22.5" customHeight="1">
      <c r="B3476" s="42">
        <f t="shared" si="7"/>
        <v>3470</v>
      </c>
      <c r="C3476" s="31" t="s">
        <v>3531</v>
      </c>
      <c r="D3476" s="34" t="str">
        <f t="array" ref="D3476">IFNA(_xlfn.XLOOKUP(C3476,Table_Tarikan_Warkah[Nomor Sertipikat],Table_Tarikan_Warkah[Nomor Tiket]),"")</f>
        <v>K/22/230725/1</v>
      </c>
      <c r="E3476" s="36">
        <f t="array" ref="E3476">IFNA(_xlfn.XLOOKUP(D3476,Table_Tarikan_Warkah[Nomor Tiket],Table_Tarikan_Warkah[Tanggal diserahkan kepada Validator]),"")</f>
        <v>45894.59537</v>
      </c>
      <c r="F3476" s="36" t="str">
        <f t="array" ref="F3476">IFNA(_xlfn.XLOOKUP(D3476,Table_Tarikan_Warkah[Nomor Tiket],Table_Tarikan_Warkah[Nama Petugas Warkah]),"")</f>
        <v>Berry</v>
      </c>
      <c r="G3476" s="39" t="str">
        <f t="array" ref="G3476">IFNA(_xlfn.XLOOKUP(D3476,Table_Tarikan_Warkah[Nomor Tiket],Table_Tarikan_Warkah[Jenis Permohonan]),"")</f>
        <v>JUAL BELI</v>
      </c>
      <c r="H3476" s="41" t="s">
        <v>2315</v>
      </c>
      <c r="I3476" s="49" t="s">
        <v>23</v>
      </c>
      <c r="J3476" s="36">
        <f t="shared" si="20"/>
        <v>45889.62142</v>
      </c>
      <c r="K3476" s="49" t="s">
        <v>2378</v>
      </c>
      <c r="L3476" s="49" t="s">
        <v>23</v>
      </c>
      <c r="M3476" s="36">
        <f t="shared" si="33"/>
        <v>45891.60174</v>
      </c>
      <c r="N3476" s="30" t="str">
        <f t="shared" si="34"/>
        <v>Selesai</v>
      </c>
      <c r="O3476" s="45">
        <f t="shared" si="23"/>
        <v>45891.60174</v>
      </c>
      <c r="P3476" s="47" t="b">
        <v>0</v>
      </c>
      <c r="Q3476" s="36" t="str">
        <f t="shared" si="35"/>
        <v/>
      </c>
      <c r="R3476" s="47" t="b">
        <v>0</v>
      </c>
      <c r="S3476" s="42" t="str">
        <f t="shared" si="28"/>
        <v/>
      </c>
      <c r="T3476" s="42"/>
    </row>
    <row r="3477" ht="22.5" customHeight="1">
      <c r="B3477" s="42">
        <f t="shared" si="7"/>
        <v>3471</v>
      </c>
      <c r="C3477" s="31" t="s">
        <v>3532</v>
      </c>
      <c r="D3477" s="34" t="str">
        <f t="array" ref="D3477">IFNA(_xlfn.XLOOKUP(C3477,Table_Tarikan_Warkah[Nomor Sertipikat],Table_Tarikan_Warkah[Nomor Tiket]),"")</f>
        <v>K/27/310725/1</v>
      </c>
      <c r="E3477" s="36">
        <f t="array" ref="E3477">IFNA(_xlfn.XLOOKUP(D3477,Table_Tarikan_Warkah[Nomor Tiket],Table_Tarikan_Warkah[Tanggal diserahkan kepada Validator]),"")</f>
        <v>45915.5036</v>
      </c>
      <c r="F3477" s="36" t="str">
        <f t="array" ref="F3477">IFNA(_xlfn.XLOOKUP(D3477,Table_Tarikan_Warkah[Nomor Tiket],Table_Tarikan_Warkah[Nama Petugas Warkah]),"")</f>
        <v>David</v>
      </c>
      <c r="G3477" s="39" t="str">
        <f t="array" ref="G3477">IFNA(_xlfn.XLOOKUP(D3477,Table_Tarikan_Warkah[Nomor Tiket],Table_Tarikan_Warkah[Jenis Permohonan]),"")</f>
        <v>ROYA</v>
      </c>
      <c r="H3477" s="41" t="s">
        <v>2315</v>
      </c>
      <c r="I3477" s="49" t="s">
        <v>23</v>
      </c>
      <c r="J3477" s="36">
        <f t="shared" si="20"/>
        <v>45889.62165</v>
      </c>
      <c r="K3477" s="49" t="s">
        <v>2378</v>
      </c>
      <c r="L3477" s="49" t="s">
        <v>23</v>
      </c>
      <c r="M3477" s="36">
        <f t="shared" si="33"/>
        <v>45891.60194</v>
      </c>
      <c r="N3477" s="30" t="str">
        <f t="shared" si="34"/>
        <v>Selesai</v>
      </c>
      <c r="O3477" s="45">
        <f t="shared" si="23"/>
        <v>45891.60194</v>
      </c>
      <c r="P3477" s="47" t="b">
        <v>0</v>
      </c>
      <c r="Q3477" s="36" t="str">
        <f t="shared" si="35"/>
        <v/>
      </c>
      <c r="R3477" s="47" t="b">
        <v>0</v>
      </c>
      <c r="S3477" s="42" t="str">
        <f t="shared" si="28"/>
        <v/>
      </c>
      <c r="T3477" s="42"/>
    </row>
    <row r="3478" ht="22.5" customHeight="1">
      <c r="B3478" s="42">
        <f t="shared" si="7"/>
        <v>3472</v>
      </c>
      <c r="C3478" s="31" t="s">
        <v>3533</v>
      </c>
      <c r="D3478" s="34" t="str">
        <f t="array" ref="D3478">IFNA(_xlfn.XLOOKUP(C3478,Table_Tarikan_Warkah[Nomor Sertipikat],Table_Tarikan_Warkah[Nomor Tiket]),"")</f>
        <v>K/8/220725/1</v>
      </c>
      <c r="E3478" s="36">
        <f t="array" ref="E3478">IFNA(_xlfn.XLOOKUP(D3478,Table_Tarikan_Warkah[Nomor Tiket],Table_Tarikan_Warkah[Tanggal diserahkan kepada Validator]),"")</f>
        <v>45894.56525</v>
      </c>
      <c r="F3478" s="36" t="str">
        <f t="array" ref="F3478">IFNA(_xlfn.XLOOKUP(D3478,Table_Tarikan_Warkah[Nomor Tiket],Table_Tarikan_Warkah[Nama Petugas Warkah]),"")</f>
        <v>Berry</v>
      </c>
      <c r="G3478" s="39" t="str">
        <f t="array" ref="G3478">IFNA(_xlfn.XLOOKUP(D3478,Table_Tarikan_Warkah[Nomor Tiket],Table_Tarikan_Warkah[Jenis Permohonan]),"")</f>
        <v>JUAL BELI</v>
      </c>
      <c r="H3478" s="41" t="s">
        <v>2315</v>
      </c>
      <c r="I3478" s="49" t="s">
        <v>23</v>
      </c>
      <c r="J3478" s="36">
        <f t="shared" si="20"/>
        <v>45889.62189</v>
      </c>
      <c r="K3478" s="49" t="s">
        <v>2378</v>
      </c>
      <c r="L3478" s="49" t="s">
        <v>23</v>
      </c>
      <c r="M3478" s="36">
        <f t="shared" si="33"/>
        <v>45890.65576</v>
      </c>
      <c r="N3478" s="30" t="str">
        <f t="shared" si="34"/>
        <v>Selesai</v>
      </c>
      <c r="O3478" s="45">
        <f t="shared" si="23"/>
        <v>45890.65576</v>
      </c>
      <c r="P3478" s="47" t="b">
        <v>0</v>
      </c>
      <c r="Q3478" s="36" t="str">
        <f t="shared" si="35"/>
        <v/>
      </c>
      <c r="R3478" s="47" t="b">
        <v>0</v>
      </c>
      <c r="S3478" s="42" t="str">
        <f t="shared" si="28"/>
        <v/>
      </c>
      <c r="T3478" s="42"/>
    </row>
    <row r="3479" ht="22.5" customHeight="1">
      <c r="B3479" s="42">
        <f t="shared" si="7"/>
        <v>3473</v>
      </c>
      <c r="C3479" s="31" t="s">
        <v>3534</v>
      </c>
      <c r="D3479" s="34" t="str">
        <f t="array" ref="D3479">IFNA(_xlfn.XLOOKUP(C3479,Table_Tarikan_Warkah[Nomor Sertipikat],Table_Tarikan_Warkah[Nomor Tiket]),"")</f>
        <v>L/16/070826/1</v>
      </c>
      <c r="E3479" s="36" t="str">
        <f t="array" ref="E3479">IFNA(_xlfn.XLOOKUP(D3479,Table_Tarikan_Warkah[Nomor Tiket],Table_Tarikan_Warkah[Tanggal diserahkan kepada Validator]),"")</f>
        <v/>
      </c>
      <c r="F3479" s="36" t="str">
        <f t="array" ref="F3479">IFNA(_xlfn.XLOOKUP(D3479,Table_Tarikan_Warkah[Nomor Tiket],Table_Tarikan_Warkah[Nama Petugas Warkah]),"")</f>
        <v/>
      </c>
      <c r="G3479" s="39" t="str">
        <f t="array" ref="G3479">IFNA(_xlfn.XLOOKUP(D3479,Table_Tarikan_Warkah[Nomor Tiket],Table_Tarikan_Warkah[Jenis Permohonan]),"")</f>
        <v>ROYA</v>
      </c>
      <c r="H3479" s="41" t="s">
        <v>20</v>
      </c>
      <c r="I3479" s="49" t="s">
        <v>23</v>
      </c>
      <c r="J3479" s="36">
        <f t="shared" si="20"/>
        <v>45889.74393</v>
      </c>
      <c r="K3479" s="49" t="s">
        <v>2378</v>
      </c>
      <c r="L3479" s="49" t="s">
        <v>23</v>
      </c>
      <c r="M3479" s="36">
        <f t="shared" si="33"/>
        <v>45891.60119</v>
      </c>
      <c r="N3479" s="30" t="str">
        <f t="shared" si="34"/>
        <v>Selesai</v>
      </c>
      <c r="O3479" s="45">
        <f t="shared" si="23"/>
        <v>45891.60119</v>
      </c>
      <c r="P3479" s="47" t="b">
        <v>0</v>
      </c>
      <c r="Q3479" s="36" t="str">
        <f t="shared" si="35"/>
        <v/>
      </c>
      <c r="R3479" s="47" t="b">
        <v>0</v>
      </c>
      <c r="S3479" s="42" t="str">
        <f t="shared" si="28"/>
        <v/>
      </c>
      <c r="T3479" s="42"/>
    </row>
    <row r="3480" ht="22.5" customHeight="1">
      <c r="B3480" s="42">
        <f t="shared" si="7"/>
        <v>3474</v>
      </c>
      <c r="C3480" s="31" t="s">
        <v>3535</v>
      </c>
      <c r="D3480" s="34" t="str">
        <f t="array" ref="D3480">IFNA(_xlfn.XLOOKUP(C3480,Table_Tarikan_Warkah[Nomor Sertipikat],Table_Tarikan_Warkah[Nomor Tiket]),"")</f>
        <v>L/40/080625/1</v>
      </c>
      <c r="E3480" s="36" t="str">
        <f t="array" ref="E3480">IFNA(_xlfn.XLOOKUP(D3480,Table_Tarikan_Warkah[Nomor Tiket],Table_Tarikan_Warkah[Tanggal diserahkan kepada Validator]),"")</f>
        <v/>
      </c>
      <c r="F3480" s="36" t="str">
        <f t="array" ref="F3480">IFNA(_xlfn.XLOOKUP(D3480,Table_Tarikan_Warkah[Nomor Tiket],Table_Tarikan_Warkah[Nama Petugas Warkah]),"")</f>
        <v/>
      </c>
      <c r="G3480" s="39" t="str">
        <f t="array" ref="G3480">IFNA(_xlfn.XLOOKUP(D3480,Table_Tarikan_Warkah[Nomor Tiket],Table_Tarikan_Warkah[Jenis Permohonan]),"")</f>
        <v>PENINGKATAN HAK</v>
      </c>
      <c r="H3480" s="41" t="s">
        <v>20</v>
      </c>
      <c r="I3480" s="49" t="s">
        <v>23</v>
      </c>
      <c r="J3480" s="36">
        <f t="shared" si="20"/>
        <v>45889.74404</v>
      </c>
      <c r="K3480" s="49" t="s">
        <v>2378</v>
      </c>
      <c r="L3480" s="49" t="s">
        <v>23</v>
      </c>
      <c r="M3480" s="36">
        <f t="shared" si="33"/>
        <v>45891.60126</v>
      </c>
      <c r="N3480" s="30" t="str">
        <f t="shared" si="34"/>
        <v>Selesai</v>
      </c>
      <c r="O3480" s="45">
        <f t="shared" si="23"/>
        <v>45891.60126</v>
      </c>
      <c r="P3480" s="47" t="b">
        <v>0</v>
      </c>
      <c r="Q3480" s="36" t="str">
        <f t="shared" si="35"/>
        <v/>
      </c>
      <c r="R3480" s="47" t="b">
        <v>0</v>
      </c>
      <c r="S3480" s="42" t="str">
        <f t="shared" si="28"/>
        <v/>
      </c>
      <c r="T3480" s="42"/>
    </row>
    <row r="3481" ht="22.5" customHeight="1">
      <c r="B3481" s="42">
        <f t="shared" si="7"/>
        <v>3475</v>
      </c>
      <c r="C3481" s="31" t="s">
        <v>3536</v>
      </c>
      <c r="D3481" s="34" t="str">
        <f t="array" ref="D3481">IFNA(_xlfn.XLOOKUP(C3481,Table_Tarikan_Warkah[Nomor Sertipikat],Table_Tarikan_Warkah[Nomor Tiket]),"")</f>
        <v>L/39/080625/1</v>
      </c>
      <c r="E3481" s="36" t="str">
        <f t="array" ref="E3481">IFNA(_xlfn.XLOOKUP(D3481,Table_Tarikan_Warkah[Nomor Tiket],Table_Tarikan_Warkah[Tanggal diserahkan kepada Validator]),"")</f>
        <v/>
      </c>
      <c r="F3481" s="36" t="str">
        <f t="array" ref="F3481">IFNA(_xlfn.XLOOKUP(D3481,Table_Tarikan_Warkah[Nomor Tiket],Table_Tarikan_Warkah[Nama Petugas Warkah]),"")</f>
        <v/>
      </c>
      <c r="G3481" s="39" t="str">
        <f t="array" ref="G3481">IFNA(_xlfn.XLOOKUP(D3481,Table_Tarikan_Warkah[Nomor Tiket],Table_Tarikan_Warkah[Jenis Permohonan]),"")</f>
        <v>PENINGKATAN HAK</v>
      </c>
      <c r="H3481" s="41" t="s">
        <v>20</v>
      </c>
      <c r="I3481" s="49" t="s">
        <v>23</v>
      </c>
      <c r="J3481" s="36">
        <f t="shared" si="20"/>
        <v>45889.7442</v>
      </c>
      <c r="K3481" s="49" t="s">
        <v>2378</v>
      </c>
      <c r="L3481" s="49" t="s">
        <v>23</v>
      </c>
      <c r="M3481" s="36">
        <f t="shared" si="33"/>
        <v>45891.60134</v>
      </c>
      <c r="N3481" s="30" t="str">
        <f t="shared" si="34"/>
        <v>Selesai</v>
      </c>
      <c r="O3481" s="45">
        <f t="shared" si="23"/>
        <v>45891.60134</v>
      </c>
      <c r="P3481" s="47" t="b">
        <v>0</v>
      </c>
      <c r="Q3481" s="36" t="str">
        <f t="shared" si="35"/>
        <v/>
      </c>
      <c r="R3481" s="47" t="b">
        <v>0</v>
      </c>
      <c r="S3481" s="42" t="str">
        <f t="shared" si="28"/>
        <v/>
      </c>
      <c r="T3481" s="42"/>
    </row>
    <row r="3482" ht="22.5" customHeight="1">
      <c r="B3482" s="42">
        <f t="shared" si="7"/>
        <v>3476</v>
      </c>
      <c r="C3482" s="31" t="s">
        <v>3537</v>
      </c>
      <c r="D3482" s="34" t="str">
        <f t="array" ref="D3482">IFNA(_xlfn.XLOOKUP(C3482,Table_Tarikan_Warkah[Nomor Sertipikat],Table_Tarikan_Warkah[Nomor Tiket]),"")</f>
        <v>K/11/230725/2</v>
      </c>
      <c r="E3482" s="36" t="str">
        <f t="array" ref="E3482">IFNA(_xlfn.XLOOKUP(D3482,Table_Tarikan_Warkah[Nomor Tiket],Table_Tarikan_Warkah[Tanggal diserahkan kepada Validator]),"")</f>
        <v/>
      </c>
      <c r="F3482" s="36" t="str">
        <f t="array" ref="F3482">IFNA(_xlfn.XLOOKUP(D3482,Table_Tarikan_Warkah[Nomor Tiket],Table_Tarikan_Warkah[Nama Petugas Warkah]),"")</f>
        <v/>
      </c>
      <c r="G3482" s="39" t="str">
        <f t="array" ref="G3482">IFNA(_xlfn.XLOOKUP(D3482,Table_Tarikan_Warkah[Nomor Tiket],Table_Tarikan_Warkah[Jenis Permohonan]),"")</f>
        <v>PERUBAHAN HAK</v>
      </c>
      <c r="H3482" s="41" t="s">
        <v>20</v>
      </c>
      <c r="I3482" s="49" t="s">
        <v>23</v>
      </c>
      <c r="J3482" s="36">
        <f t="shared" si="20"/>
        <v>45889.74429</v>
      </c>
      <c r="K3482" s="49" t="s">
        <v>2378</v>
      </c>
      <c r="L3482" s="49" t="s">
        <v>23</v>
      </c>
      <c r="M3482" s="36">
        <f t="shared" si="33"/>
        <v>45894.65289</v>
      </c>
      <c r="N3482" s="30" t="str">
        <f t="shared" si="34"/>
        <v>Selesai</v>
      </c>
      <c r="O3482" s="45">
        <f t="shared" si="23"/>
        <v>45894.65289</v>
      </c>
      <c r="P3482" s="47" t="b">
        <v>0</v>
      </c>
      <c r="Q3482" s="36" t="str">
        <f t="shared" si="35"/>
        <v/>
      </c>
      <c r="R3482" s="47" t="b">
        <v>0</v>
      </c>
      <c r="S3482" s="42" t="str">
        <f t="shared" si="28"/>
        <v/>
      </c>
      <c r="T3482" s="42"/>
    </row>
    <row r="3483" ht="22.5" customHeight="1">
      <c r="B3483" s="42">
        <f t="shared" si="7"/>
        <v>3477</v>
      </c>
      <c r="C3483" s="31" t="s">
        <v>3538</v>
      </c>
      <c r="D3483" s="34" t="str">
        <f t="array" ref="D3483">IFNA(_xlfn.XLOOKUP(C3483,Table_Tarikan_Warkah[Nomor Sertipikat],Table_Tarikan_Warkah[Nomor Tiket]),"")</f>
        <v>K/3/230725/1</v>
      </c>
      <c r="E3483" s="36">
        <f t="array" ref="E3483">IFNA(_xlfn.XLOOKUP(D3483,Table_Tarikan_Warkah[Nomor Tiket],Table_Tarikan_Warkah[Tanggal diserahkan kepada Validator]),"")</f>
        <v>45894.59294</v>
      </c>
      <c r="F3483" s="36" t="str">
        <f t="array" ref="F3483">IFNA(_xlfn.XLOOKUP(D3483,Table_Tarikan_Warkah[Nomor Tiket],Table_Tarikan_Warkah[Nama Petugas Warkah]),"")</f>
        <v>Berry</v>
      </c>
      <c r="G3483" s="39" t="str">
        <f t="array" ref="G3483">IFNA(_xlfn.XLOOKUP(D3483,Table_Tarikan_Warkah[Nomor Tiket],Table_Tarikan_Warkah[Jenis Permohonan]),"")</f>
        <v>BN JUAL BELI</v>
      </c>
      <c r="H3483" s="41" t="s">
        <v>20</v>
      </c>
      <c r="I3483" s="49" t="s">
        <v>23</v>
      </c>
      <c r="J3483" s="36">
        <f t="shared" si="20"/>
        <v>45889.74438</v>
      </c>
      <c r="K3483" s="49" t="s">
        <v>2378</v>
      </c>
      <c r="L3483" s="49" t="s">
        <v>23</v>
      </c>
      <c r="M3483" s="36">
        <f t="shared" si="33"/>
        <v>45891.60154</v>
      </c>
      <c r="N3483" s="30" t="str">
        <f t="shared" si="34"/>
        <v>Selesai</v>
      </c>
      <c r="O3483" s="45">
        <f t="shared" si="23"/>
        <v>45891.60154</v>
      </c>
      <c r="P3483" s="47" t="b">
        <v>0</v>
      </c>
      <c r="Q3483" s="36" t="str">
        <f t="shared" si="35"/>
        <v/>
      </c>
      <c r="R3483" s="47" t="b">
        <v>0</v>
      </c>
      <c r="S3483" s="42" t="str">
        <f t="shared" si="28"/>
        <v/>
      </c>
      <c r="T3483" s="42"/>
    </row>
    <row r="3484" ht="22.5" customHeight="1">
      <c r="B3484" s="42">
        <f t="shared" si="7"/>
        <v>3478</v>
      </c>
      <c r="C3484" s="31" t="s">
        <v>3539</v>
      </c>
      <c r="D3484" s="34" t="str">
        <f t="array" ref="D3484">IFNA(_xlfn.XLOOKUP(C3484,Table_Tarikan_Warkah[Nomor Sertipikat],Table_Tarikan_Warkah[Nomor Tiket]),"")</f>
        <v>K/36/260625/1</v>
      </c>
      <c r="E3484" s="36">
        <f t="array" ref="E3484">IFNA(_xlfn.XLOOKUP(D3484,Table_Tarikan_Warkah[Nomor Tiket],Table_Tarikan_Warkah[Tanggal diserahkan kepada Validator]),"")</f>
        <v>45894.57469</v>
      </c>
      <c r="F3484" s="36" t="str">
        <f t="array" ref="F3484">IFNA(_xlfn.XLOOKUP(D3484,Table_Tarikan_Warkah[Nomor Tiket],Table_Tarikan_Warkah[Nama Petugas Warkah]),"")</f>
        <v>Berry</v>
      </c>
      <c r="G3484" s="39" t="str">
        <f t="array" ref="G3484">IFNA(_xlfn.XLOOKUP(D3484,Table_Tarikan_Warkah[Nomor Tiket],Table_Tarikan_Warkah[Jenis Permohonan]),"")</f>
        <v>JUAL BELI</v>
      </c>
      <c r="H3484" s="41" t="s">
        <v>20</v>
      </c>
      <c r="I3484" s="49" t="s">
        <v>23</v>
      </c>
      <c r="J3484" s="36">
        <f t="shared" si="20"/>
        <v>45889.74447</v>
      </c>
      <c r="K3484" s="49" t="s">
        <v>2378</v>
      </c>
      <c r="L3484" s="49" t="s">
        <v>23</v>
      </c>
      <c r="M3484" s="36">
        <f t="shared" si="33"/>
        <v>45890.65113</v>
      </c>
      <c r="N3484" s="30" t="str">
        <f t="shared" si="34"/>
        <v>Selesai</v>
      </c>
      <c r="O3484" s="45">
        <f t="shared" si="23"/>
        <v>45890.65113</v>
      </c>
      <c r="P3484" s="47" t="b">
        <v>0</v>
      </c>
      <c r="Q3484" s="36" t="str">
        <f t="shared" si="35"/>
        <v/>
      </c>
      <c r="R3484" s="47" t="b">
        <v>0</v>
      </c>
      <c r="S3484" s="42" t="str">
        <f t="shared" si="28"/>
        <v/>
      </c>
      <c r="T3484" s="42"/>
    </row>
    <row r="3485" ht="22.5" customHeight="1">
      <c r="B3485" s="42">
        <f t="shared" si="7"/>
        <v>3479</v>
      </c>
      <c r="C3485" s="31" t="s">
        <v>3540</v>
      </c>
      <c r="D3485" s="34" t="str">
        <f t="array" ref="D3485">IFNA(_xlfn.XLOOKUP(C3485,Table_Tarikan_Warkah[Nomor Sertipikat],Table_Tarikan_Warkah[Nomor Tiket]),"")</f>
        <v>K/6/040825/1</v>
      </c>
      <c r="E3485" s="36">
        <f t="array" ref="E3485">IFNA(_xlfn.XLOOKUP(D3485,Table_Tarikan_Warkah[Nomor Tiket],Table_Tarikan_Warkah[Tanggal diserahkan kepada Validator]),"")</f>
        <v>45894.57435</v>
      </c>
      <c r="F3485" s="36" t="str">
        <f t="array" ref="F3485">IFNA(_xlfn.XLOOKUP(D3485,Table_Tarikan_Warkah[Nomor Tiket],Table_Tarikan_Warkah[Nama Petugas Warkah]),"")</f>
        <v>Berry</v>
      </c>
      <c r="G3485" s="39" t="str">
        <f t="array" ref="G3485">IFNA(_xlfn.XLOOKUP(D3485,Table_Tarikan_Warkah[Nomor Tiket],Table_Tarikan_Warkah[Jenis Permohonan]),"")</f>
        <v>JUAL BELI</v>
      </c>
      <c r="H3485" s="41" t="s">
        <v>20</v>
      </c>
      <c r="I3485" s="49" t="s">
        <v>23</v>
      </c>
      <c r="J3485" s="36">
        <f t="shared" si="20"/>
        <v>45889.74466</v>
      </c>
      <c r="K3485" s="49" t="s">
        <v>2378</v>
      </c>
      <c r="L3485" s="49" t="s">
        <v>23</v>
      </c>
      <c r="M3485" s="36">
        <f t="shared" si="33"/>
        <v>45890.65134</v>
      </c>
      <c r="N3485" s="30" t="str">
        <f t="shared" si="34"/>
        <v>Selesai</v>
      </c>
      <c r="O3485" s="45">
        <f t="shared" si="23"/>
        <v>45890.65134</v>
      </c>
      <c r="P3485" s="47" t="b">
        <v>0</v>
      </c>
      <c r="Q3485" s="36" t="str">
        <f t="shared" si="35"/>
        <v/>
      </c>
      <c r="R3485" s="47" t="b">
        <v>0</v>
      </c>
      <c r="S3485" s="42" t="str">
        <f t="shared" si="28"/>
        <v/>
      </c>
      <c r="T3485" s="42"/>
    </row>
    <row r="3486" ht="22.5" customHeight="1">
      <c r="B3486" s="42">
        <f t="shared" si="7"/>
        <v>3480</v>
      </c>
      <c r="C3486" s="31" t="s">
        <v>3541</v>
      </c>
      <c r="D3486" s="34" t="str">
        <f t="array" ref="D3486">IFNA(_xlfn.XLOOKUP(C3486,Table_Tarikan_Warkah[Nomor Sertipikat],Table_Tarikan_Warkah[Nomor Tiket]),"")</f>
        <v>K/25/050825/2</v>
      </c>
      <c r="E3486" s="36" t="str">
        <f t="array" ref="E3486">IFNA(_xlfn.XLOOKUP(D3486,Table_Tarikan_Warkah[Nomor Tiket],Table_Tarikan_Warkah[Tanggal diserahkan kepada Validator]),"")</f>
        <v/>
      </c>
      <c r="F3486" s="36" t="str">
        <f t="array" ref="F3486">IFNA(_xlfn.XLOOKUP(D3486,Table_Tarikan_Warkah[Nomor Tiket],Table_Tarikan_Warkah[Nama Petugas Warkah]),"")</f>
        <v/>
      </c>
      <c r="G3486" s="39" t="str">
        <f t="array" ref="G3486">IFNA(_xlfn.XLOOKUP(D3486,Table_Tarikan_Warkah[Nomor Tiket],Table_Tarikan_Warkah[Jenis Permohonan]),"")</f>
        <v>JUAL BELI</v>
      </c>
      <c r="H3486" s="41" t="s">
        <v>20</v>
      </c>
      <c r="I3486" s="49" t="s">
        <v>23</v>
      </c>
      <c r="J3486" s="36">
        <f t="shared" si="20"/>
        <v>45889.74475</v>
      </c>
      <c r="K3486" s="49" t="s">
        <v>2378</v>
      </c>
      <c r="L3486" s="49" t="s">
        <v>23</v>
      </c>
      <c r="M3486" s="36">
        <f t="shared" si="33"/>
        <v>45890.65149</v>
      </c>
      <c r="N3486" s="30" t="str">
        <f t="shared" si="34"/>
        <v>Selesai</v>
      </c>
      <c r="O3486" s="45">
        <f t="shared" si="23"/>
        <v>45890.65149</v>
      </c>
      <c r="P3486" s="47" t="b">
        <v>0</v>
      </c>
      <c r="Q3486" s="36" t="str">
        <f t="shared" si="35"/>
        <v/>
      </c>
      <c r="R3486" s="47" t="b">
        <v>0</v>
      </c>
      <c r="S3486" s="42" t="str">
        <f t="shared" si="28"/>
        <v/>
      </c>
      <c r="T3486" s="42"/>
    </row>
    <row r="3487" ht="22.5" customHeight="1">
      <c r="B3487" s="42">
        <f t="shared" si="7"/>
        <v>3481</v>
      </c>
      <c r="C3487" s="31" t="s">
        <v>3542</v>
      </c>
      <c r="D3487" s="34" t="str">
        <f t="array" ref="D3487">IFNA(_xlfn.XLOOKUP(C3487,Table_Tarikan_Warkah[Nomor Sertipikat],Table_Tarikan_Warkah[Nomor Tiket]),"")</f>
        <v>K/24/070827/1</v>
      </c>
      <c r="E3487" s="36" t="str">
        <f t="array" ref="E3487">IFNA(_xlfn.XLOOKUP(D3487,Table_Tarikan_Warkah[Nomor Tiket],Table_Tarikan_Warkah[Tanggal diserahkan kepada Validator]),"")</f>
        <v/>
      </c>
      <c r="F3487" s="36" t="str">
        <f t="array" ref="F3487">IFNA(_xlfn.XLOOKUP(D3487,Table_Tarikan_Warkah[Nomor Tiket],Table_Tarikan_Warkah[Nama Petugas Warkah]),"")</f>
        <v/>
      </c>
      <c r="G3487" s="39" t="str">
        <f t="array" ref="G3487">IFNA(_xlfn.XLOOKUP(D3487,Table_Tarikan_Warkah[Nomor Tiket],Table_Tarikan_Warkah[Jenis Permohonan]),"")</f>
        <v>BN JUAL BELI</v>
      </c>
      <c r="H3487" s="41" t="s">
        <v>20</v>
      </c>
      <c r="I3487" s="49" t="s">
        <v>23</v>
      </c>
      <c r="J3487" s="36">
        <f t="shared" si="20"/>
        <v>45889.74485</v>
      </c>
      <c r="K3487" s="49" t="s">
        <v>2378</v>
      </c>
      <c r="L3487" s="49" t="s">
        <v>23</v>
      </c>
      <c r="M3487" s="36">
        <f t="shared" si="33"/>
        <v>45890.65164</v>
      </c>
      <c r="N3487" s="30" t="str">
        <f t="shared" si="34"/>
        <v>Selesai</v>
      </c>
      <c r="O3487" s="45">
        <f t="shared" si="23"/>
        <v>45890.65164</v>
      </c>
      <c r="P3487" s="47" t="b">
        <v>0</v>
      </c>
      <c r="Q3487" s="36" t="str">
        <f t="shared" si="35"/>
        <v/>
      </c>
      <c r="R3487" s="47" t="b">
        <v>0</v>
      </c>
      <c r="S3487" s="42" t="str">
        <f t="shared" si="28"/>
        <v/>
      </c>
      <c r="T3487" s="42"/>
    </row>
    <row r="3488" ht="22.5" customHeight="1">
      <c r="B3488" s="42">
        <f t="shared" si="7"/>
        <v>3482</v>
      </c>
      <c r="C3488" s="31" t="s">
        <v>3543</v>
      </c>
      <c r="D3488" s="34" t="str">
        <f t="array" ref="D3488">IFNA(_xlfn.XLOOKUP(C3488,Table_Tarikan_Warkah[Nomor Sertipikat],Table_Tarikan_Warkah[Nomor Tiket]),"")</f>
        <v>K/7/040825/2</v>
      </c>
      <c r="E3488" s="36">
        <f t="array" ref="E3488">IFNA(_xlfn.XLOOKUP(D3488,Table_Tarikan_Warkah[Nomor Tiket],Table_Tarikan_Warkah[Tanggal diserahkan kepada Validator]),"")</f>
        <v>45894.56599</v>
      </c>
      <c r="F3488" s="36" t="str">
        <f t="array" ref="F3488">IFNA(_xlfn.XLOOKUP(D3488,Table_Tarikan_Warkah[Nomor Tiket],Table_Tarikan_Warkah[Nama Petugas Warkah]),"")</f>
        <v>Berry</v>
      </c>
      <c r="G3488" s="39" t="str">
        <f t="array" ref="G3488">IFNA(_xlfn.XLOOKUP(D3488,Table_Tarikan_Warkah[Nomor Tiket],Table_Tarikan_Warkah[Jenis Permohonan]),"")</f>
        <v>JUAL BELI</v>
      </c>
      <c r="H3488" s="41" t="s">
        <v>20</v>
      </c>
      <c r="I3488" s="49" t="s">
        <v>23</v>
      </c>
      <c r="J3488" s="36">
        <f t="shared" si="20"/>
        <v>45889.74499</v>
      </c>
      <c r="K3488" s="49" t="s">
        <v>2378</v>
      </c>
      <c r="L3488" s="49" t="s">
        <v>23</v>
      </c>
      <c r="M3488" s="36">
        <f t="shared" si="33"/>
        <v>45890.65493</v>
      </c>
      <c r="N3488" s="30" t="str">
        <f t="shared" si="34"/>
        <v>Selesai</v>
      </c>
      <c r="O3488" s="45">
        <f t="shared" si="23"/>
        <v>45890.65493</v>
      </c>
      <c r="P3488" s="47" t="b">
        <v>0</v>
      </c>
      <c r="Q3488" s="36" t="str">
        <f t="shared" si="35"/>
        <v/>
      </c>
      <c r="R3488" s="47" t="b">
        <v>0</v>
      </c>
      <c r="S3488" s="42" t="str">
        <f t="shared" si="28"/>
        <v/>
      </c>
      <c r="T3488" s="42"/>
    </row>
    <row r="3489" ht="22.5" customHeight="1">
      <c r="B3489" s="42">
        <f t="shared" si="7"/>
        <v>3483</v>
      </c>
      <c r="C3489" s="31" t="s">
        <v>3544</v>
      </c>
      <c r="D3489" s="34" t="str">
        <f t="array" ref="D3489">IFNA(_xlfn.XLOOKUP(C3489,Table_Tarikan_Warkah[Nomor Sertipikat],Table_Tarikan_Warkah[Nomor Tiket]),"")</f>
        <v>K/26/050825/3</v>
      </c>
      <c r="E3489" s="36">
        <f t="array" ref="E3489">IFNA(_xlfn.XLOOKUP(D3489,Table_Tarikan_Warkah[Nomor Tiket],Table_Tarikan_Warkah[Tanggal diserahkan kepada Validator]),"")</f>
        <v>45894.57236</v>
      </c>
      <c r="F3489" s="36" t="str">
        <f t="array" ref="F3489">IFNA(_xlfn.XLOOKUP(D3489,Table_Tarikan_Warkah[Nomor Tiket],Table_Tarikan_Warkah[Nama Petugas Warkah]),"")</f>
        <v>Berry</v>
      </c>
      <c r="G3489" s="39" t="str">
        <f t="array" ref="G3489">IFNA(_xlfn.XLOOKUP(D3489,Table_Tarikan_Warkah[Nomor Tiket],Table_Tarikan_Warkah[Jenis Permohonan]),"")</f>
        <v>JUAL BELI</v>
      </c>
      <c r="H3489" s="41" t="s">
        <v>20</v>
      </c>
      <c r="I3489" s="49" t="s">
        <v>23</v>
      </c>
      <c r="J3489" s="36">
        <f t="shared" si="20"/>
        <v>45890.35972</v>
      </c>
      <c r="K3489" s="49" t="s">
        <v>2378</v>
      </c>
      <c r="L3489" s="49" t="s">
        <v>23</v>
      </c>
      <c r="M3489" s="36">
        <f t="shared" si="33"/>
        <v>45890.65508</v>
      </c>
      <c r="N3489" s="30" t="str">
        <f t="shared" si="34"/>
        <v>Selesai</v>
      </c>
      <c r="O3489" s="45">
        <f t="shared" si="23"/>
        <v>45890.65508</v>
      </c>
      <c r="P3489" s="47" t="b">
        <v>0</v>
      </c>
      <c r="Q3489" s="36" t="str">
        <f t="shared" si="35"/>
        <v/>
      </c>
      <c r="R3489" s="47" t="b">
        <v>0</v>
      </c>
      <c r="S3489" s="42" t="str">
        <f t="shared" si="28"/>
        <v/>
      </c>
      <c r="T3489" s="42"/>
    </row>
    <row r="3490" ht="22.5" customHeight="1">
      <c r="B3490" s="42">
        <f t="shared" si="7"/>
        <v>3484</v>
      </c>
      <c r="C3490" s="31" t="s">
        <v>3545</v>
      </c>
      <c r="D3490" s="34" t="str">
        <f t="array" ref="D3490">IFNA(_xlfn.XLOOKUP(C3490,Table_Tarikan_Warkah[Nomor Sertipikat],Table_Tarikan_Warkah[Nomor Tiket]),"")</f>
        <v>K/16/010825/1</v>
      </c>
      <c r="E3490" s="36">
        <f t="array" ref="E3490">IFNA(_xlfn.XLOOKUP(D3490,Table_Tarikan_Warkah[Nomor Tiket],Table_Tarikan_Warkah[Tanggal diserahkan kepada Validator]),"")</f>
        <v>45891.5989</v>
      </c>
      <c r="F3490" s="36" t="str">
        <f t="array" ref="F3490">IFNA(_xlfn.XLOOKUP(D3490,Table_Tarikan_Warkah[Nomor Tiket],Table_Tarikan_Warkah[Nama Petugas Warkah]),"")</f>
        <v>Berry</v>
      </c>
      <c r="G3490" s="39" t="str">
        <f t="array" ref="G3490">IFNA(_xlfn.XLOOKUP(D3490,Table_Tarikan_Warkah[Nomor Tiket],Table_Tarikan_Warkah[Jenis Permohonan]),"")</f>
        <v>BN Jual Beli</v>
      </c>
      <c r="H3490" s="41" t="s">
        <v>2315</v>
      </c>
      <c r="I3490" s="49" t="s">
        <v>23</v>
      </c>
      <c r="J3490" s="36">
        <f t="shared" si="20"/>
        <v>45890.54329</v>
      </c>
      <c r="K3490" s="49" t="s">
        <v>2378</v>
      </c>
      <c r="L3490" s="49" t="s">
        <v>23</v>
      </c>
      <c r="M3490" s="36">
        <f t="shared" si="33"/>
        <v>45890.65084</v>
      </c>
      <c r="N3490" s="30" t="str">
        <f t="shared" si="34"/>
        <v>Selesai</v>
      </c>
      <c r="O3490" s="45">
        <f t="shared" si="23"/>
        <v>45890.65084</v>
      </c>
      <c r="P3490" s="47" t="b">
        <v>0</v>
      </c>
      <c r="Q3490" s="36" t="str">
        <f t="shared" si="35"/>
        <v/>
      </c>
      <c r="R3490" s="47" t="b">
        <v>0</v>
      </c>
      <c r="S3490" s="42" t="str">
        <f t="shared" si="28"/>
        <v/>
      </c>
      <c r="T3490" s="42"/>
    </row>
    <row r="3491" ht="22.5" customHeight="1">
      <c r="B3491" s="42">
        <f t="shared" si="7"/>
        <v>3485</v>
      </c>
      <c r="C3491" s="31" t="s">
        <v>3546</v>
      </c>
      <c r="D3491" s="34" t="str">
        <f t="array" ref="D3491">IFNA(_xlfn.XLOOKUP(C3491,Table_Tarikan_Warkah[Nomor Sertipikat],Table_Tarikan_Warkah[Nomor Tiket]),"")</f>
        <v>K/25/220725/1</v>
      </c>
      <c r="E3491" s="36">
        <f t="array" ref="E3491">IFNA(_xlfn.XLOOKUP(D3491,Table_Tarikan_Warkah[Nomor Tiket],Table_Tarikan_Warkah[Tanggal diserahkan kepada Validator]),"")</f>
        <v>45894.57621</v>
      </c>
      <c r="F3491" s="36" t="str">
        <f t="array" ref="F3491">IFNA(_xlfn.XLOOKUP(D3491,Table_Tarikan_Warkah[Nomor Tiket],Table_Tarikan_Warkah[Nama Petugas Warkah]),"")</f>
        <v>Berry</v>
      </c>
      <c r="G3491" s="39" t="str">
        <f t="array" ref="G3491">IFNA(_xlfn.XLOOKUP(D3491,Table_Tarikan_Warkah[Nomor Tiket],Table_Tarikan_Warkah[Jenis Permohonan]),"")</f>
        <v>BN Waris</v>
      </c>
      <c r="H3491" s="41" t="s">
        <v>2315</v>
      </c>
      <c r="I3491" s="49" t="s">
        <v>23</v>
      </c>
      <c r="J3491" s="36">
        <f t="shared" si="20"/>
        <v>45890.54345</v>
      </c>
      <c r="K3491" s="49" t="s">
        <v>2378</v>
      </c>
      <c r="L3491" s="49" t="s">
        <v>23</v>
      </c>
      <c r="M3491" s="36">
        <f t="shared" si="33"/>
        <v>45891.60516</v>
      </c>
      <c r="N3491" s="30" t="str">
        <f t="shared" si="34"/>
        <v>Selesai</v>
      </c>
      <c r="O3491" s="45">
        <f t="shared" si="23"/>
        <v>45891.60516</v>
      </c>
      <c r="P3491" s="47" t="b">
        <v>0</v>
      </c>
      <c r="Q3491" s="36" t="str">
        <f t="shared" si="35"/>
        <v/>
      </c>
      <c r="R3491" s="47" t="b">
        <v>0</v>
      </c>
      <c r="S3491" s="42" t="str">
        <f t="shared" si="28"/>
        <v/>
      </c>
      <c r="T3491" s="42"/>
    </row>
    <row r="3492" ht="22.5" customHeight="1">
      <c r="B3492" s="42">
        <f t="shared" si="7"/>
        <v>3486</v>
      </c>
      <c r="C3492" s="31" t="s">
        <v>3547</v>
      </c>
      <c r="D3492" s="34" t="str">
        <f t="array" ref="D3492">IFNA(_xlfn.XLOOKUP(C3492,Table_Tarikan_Warkah[Nomor Sertipikat],Table_Tarikan_Warkah[Nomor Tiket]),"")</f>
        <v>L/1/020825/1</v>
      </c>
      <c r="E3492" s="36" t="str">
        <f t="array" ref="E3492">IFNA(_xlfn.XLOOKUP(D3492,Table_Tarikan_Warkah[Nomor Tiket],Table_Tarikan_Warkah[Tanggal diserahkan kepada Validator]),"")</f>
        <v/>
      </c>
      <c r="F3492" s="36" t="str">
        <f t="array" ref="F3492">IFNA(_xlfn.XLOOKUP(D3492,Table_Tarikan_Warkah[Nomor Tiket],Table_Tarikan_Warkah[Nama Petugas Warkah]),"")</f>
        <v/>
      </c>
      <c r="G3492" s="39" t="str">
        <f t="array" ref="G3492">IFNA(_xlfn.XLOOKUP(D3492,Table_Tarikan_Warkah[Nomor Tiket],Table_Tarikan_Warkah[Jenis Permohonan]),"")</f>
        <v>PTPGT</v>
      </c>
      <c r="H3492" s="41" t="s">
        <v>2315</v>
      </c>
      <c r="I3492" s="49" t="s">
        <v>23</v>
      </c>
      <c r="J3492" s="36">
        <f t="shared" si="20"/>
        <v>45890.5436</v>
      </c>
      <c r="K3492" s="49" t="s">
        <v>2378</v>
      </c>
      <c r="L3492" s="49" t="s">
        <v>23</v>
      </c>
      <c r="M3492" s="36">
        <f t="shared" si="33"/>
        <v>45891.60537</v>
      </c>
      <c r="N3492" s="30" t="str">
        <f t="shared" si="34"/>
        <v>Selesai</v>
      </c>
      <c r="O3492" s="45">
        <f t="shared" si="23"/>
        <v>45891.60537</v>
      </c>
      <c r="P3492" s="47" t="b">
        <v>0</v>
      </c>
      <c r="Q3492" s="36" t="str">
        <f t="shared" si="35"/>
        <v/>
      </c>
      <c r="R3492" s="47" t="b">
        <v>0</v>
      </c>
      <c r="S3492" s="42" t="str">
        <f t="shared" si="28"/>
        <v/>
      </c>
      <c r="T3492" s="42"/>
    </row>
    <row r="3493" ht="22.5" customHeight="1">
      <c r="B3493" s="42">
        <f t="shared" si="7"/>
        <v>3487</v>
      </c>
      <c r="C3493" s="31" t="s">
        <v>3548</v>
      </c>
      <c r="D3493" s="34" t="str">
        <f t="array" ref="D3493">IFNA(_xlfn.XLOOKUP(C3493,Table_Tarikan_Warkah[Nomor Sertipikat],Table_Tarikan_Warkah[Nomor Tiket]),"")</f>
        <v>K/4/040825/1</v>
      </c>
      <c r="E3493" s="36">
        <f t="array" ref="E3493">IFNA(_xlfn.XLOOKUP(D3493,Table_Tarikan_Warkah[Nomor Tiket],Table_Tarikan_Warkah[Tanggal diserahkan kepada Validator]),"")</f>
        <v>45894.57792</v>
      </c>
      <c r="F3493" s="36" t="str">
        <f t="array" ref="F3493">IFNA(_xlfn.XLOOKUP(D3493,Table_Tarikan_Warkah[Nomor Tiket],Table_Tarikan_Warkah[Nama Petugas Warkah]),"")</f>
        <v>Berry</v>
      </c>
      <c r="G3493" s="39" t="str">
        <f t="array" ref="G3493">IFNA(_xlfn.XLOOKUP(D3493,Table_Tarikan_Warkah[Nomor Tiket],Table_Tarikan_Warkah[Jenis Permohonan]),"")</f>
        <v>BN WARIS</v>
      </c>
      <c r="H3493" s="41" t="s">
        <v>2315</v>
      </c>
      <c r="I3493" s="49" t="s">
        <v>23</v>
      </c>
      <c r="J3493" s="36">
        <f t="shared" si="20"/>
        <v>45890.54383</v>
      </c>
      <c r="K3493" s="49" t="s">
        <v>2378</v>
      </c>
      <c r="L3493" s="49" t="s">
        <v>23</v>
      </c>
      <c r="M3493" s="36">
        <f t="shared" si="33"/>
        <v>45891.60545</v>
      </c>
      <c r="N3493" s="30" t="str">
        <f t="shared" si="34"/>
        <v>Selesai</v>
      </c>
      <c r="O3493" s="45">
        <f t="shared" si="23"/>
        <v>45891.60545</v>
      </c>
      <c r="P3493" s="47" t="b">
        <v>0</v>
      </c>
      <c r="Q3493" s="36" t="str">
        <f t="shared" si="35"/>
        <v/>
      </c>
      <c r="R3493" s="47" t="b">
        <v>0</v>
      </c>
      <c r="S3493" s="42" t="str">
        <f t="shared" si="28"/>
        <v/>
      </c>
      <c r="T3493" s="42"/>
    </row>
    <row r="3494" ht="22.5" customHeight="1">
      <c r="B3494" s="42">
        <f t="shared" si="7"/>
        <v>3488</v>
      </c>
      <c r="C3494" s="31" t="s">
        <v>3549</v>
      </c>
      <c r="D3494" s="34" t="str">
        <f t="array" ref="D3494">IFNA(_xlfn.XLOOKUP(C3494,Table_Tarikan_Warkah[Nomor Sertipikat],Table_Tarikan_Warkah[Nomor Tiket]),"")</f>
        <v>K/30/110825/1</v>
      </c>
      <c r="E3494" s="36">
        <f t="array" ref="E3494">IFNA(_xlfn.XLOOKUP(D3494,Table_Tarikan_Warkah[Nomor Tiket],Table_Tarikan_Warkah[Tanggal diserahkan kepada Validator]),"")</f>
        <v>45908.6672</v>
      </c>
      <c r="F3494" s="36" t="str">
        <f t="array" ref="F3494">IFNA(_xlfn.XLOOKUP(D3494,Table_Tarikan_Warkah[Nomor Tiket],Table_Tarikan_Warkah[Nama Petugas Warkah]),"")</f>
        <v>David</v>
      </c>
      <c r="G3494" s="39" t="str">
        <f t="array" ref="G3494">IFNA(_xlfn.XLOOKUP(D3494,Table_Tarikan_Warkah[Nomor Tiket],Table_Tarikan_Warkah[Jenis Permohonan]),"")</f>
        <v>BN JUAL BELI</v>
      </c>
      <c r="H3494" s="41" t="s">
        <v>2315</v>
      </c>
      <c r="I3494" s="49" t="s">
        <v>23</v>
      </c>
      <c r="J3494" s="36">
        <f t="shared" si="20"/>
        <v>45890.54403</v>
      </c>
      <c r="K3494" s="49" t="s">
        <v>2378</v>
      </c>
      <c r="L3494" s="49" t="s">
        <v>23</v>
      </c>
      <c r="M3494" s="36">
        <f t="shared" si="33"/>
        <v>45890.65068</v>
      </c>
      <c r="N3494" s="30" t="str">
        <f t="shared" si="34"/>
        <v>Selesai</v>
      </c>
      <c r="O3494" s="45">
        <f t="shared" si="23"/>
        <v>45890.65068</v>
      </c>
      <c r="P3494" s="47" t="b">
        <v>0</v>
      </c>
      <c r="Q3494" s="36" t="str">
        <f t="shared" si="35"/>
        <v/>
      </c>
      <c r="R3494" s="47" t="b">
        <v>0</v>
      </c>
      <c r="S3494" s="42" t="str">
        <f t="shared" si="28"/>
        <v/>
      </c>
      <c r="T3494" s="42"/>
    </row>
    <row r="3495" ht="22.5" customHeight="1">
      <c r="B3495" s="42">
        <f t="shared" si="7"/>
        <v>3489</v>
      </c>
      <c r="C3495" s="31" t="s">
        <v>3550</v>
      </c>
      <c r="D3495" s="34" t="str">
        <f t="array" ref="D3495">IFNA(_xlfn.XLOOKUP(C3495,Table_Tarikan_Warkah[Nomor Sertipikat],Table_Tarikan_Warkah[Nomor Tiket]),"")</f>
        <v>K/18/130825/2</v>
      </c>
      <c r="E3495" s="36" t="str">
        <f t="array" ref="E3495">IFNA(_xlfn.XLOOKUP(D3495,Table_Tarikan_Warkah[Nomor Tiket],Table_Tarikan_Warkah[Tanggal diserahkan kepada Validator]),"")</f>
        <v/>
      </c>
      <c r="F3495" s="36" t="str">
        <f t="array" ref="F3495">IFNA(_xlfn.XLOOKUP(D3495,Table_Tarikan_Warkah[Nomor Tiket],Table_Tarikan_Warkah[Nama Petugas Warkah]),"")</f>
        <v/>
      </c>
      <c r="G3495" s="39" t="str">
        <f t="array" ref="G3495">IFNA(_xlfn.XLOOKUP(D3495,Table_Tarikan_Warkah[Nomor Tiket],Table_Tarikan_Warkah[Jenis Permohonan]),"")</f>
        <v>PENATAAN BATAS</v>
      </c>
      <c r="H3495" s="41" t="s">
        <v>2315</v>
      </c>
      <c r="I3495" s="49" t="s">
        <v>23</v>
      </c>
      <c r="J3495" s="36">
        <f t="shared" si="20"/>
        <v>45890.5442</v>
      </c>
      <c r="K3495" s="49" t="s">
        <v>2378</v>
      </c>
      <c r="L3495" s="49" t="s">
        <v>23</v>
      </c>
      <c r="M3495" s="36">
        <f t="shared" si="33"/>
        <v>45890.65038</v>
      </c>
      <c r="N3495" s="30" t="str">
        <f t="shared" si="34"/>
        <v>Selesai</v>
      </c>
      <c r="O3495" s="45">
        <f t="shared" si="23"/>
        <v>45890.65038</v>
      </c>
      <c r="P3495" s="47" t="b">
        <v>0</v>
      </c>
      <c r="Q3495" s="36" t="str">
        <f t="shared" si="35"/>
        <v/>
      </c>
      <c r="R3495" s="47" t="b">
        <v>0</v>
      </c>
      <c r="S3495" s="42" t="str">
        <f t="shared" si="28"/>
        <v/>
      </c>
      <c r="T3495" s="42"/>
    </row>
    <row r="3496" ht="22.5" customHeight="1">
      <c r="B3496" s="42">
        <f t="shared" si="7"/>
        <v>3490</v>
      </c>
      <c r="C3496" s="31" t="s">
        <v>3551</v>
      </c>
      <c r="D3496" s="34" t="str">
        <f t="array" ref="D3496">IFNA(_xlfn.XLOOKUP(C3496,Table_Tarikan_Warkah[Nomor Sertipikat],Table_Tarikan_Warkah[Nomor Tiket]),"")</f>
        <v>K/34/080825/2</v>
      </c>
      <c r="E3496" s="36" t="str">
        <f t="array" ref="E3496">IFNA(_xlfn.XLOOKUP(D3496,Table_Tarikan_Warkah[Nomor Tiket],Table_Tarikan_Warkah[Tanggal diserahkan kepada Validator]),"")</f>
        <v/>
      </c>
      <c r="F3496" s="36" t="str">
        <f t="array" ref="F3496">IFNA(_xlfn.XLOOKUP(D3496,Table_Tarikan_Warkah[Nomor Tiket],Table_Tarikan_Warkah[Nama Petugas Warkah]),"")</f>
        <v/>
      </c>
      <c r="G3496" s="39" t="str">
        <f t="array" ref="G3496">IFNA(_xlfn.XLOOKUP(D3496,Table_Tarikan_Warkah[Nomor Tiket],Table_Tarikan_Warkah[Jenis Permohonan]),"")</f>
        <v>BN JUAL BELI</v>
      </c>
      <c r="H3496" s="41" t="s">
        <v>2315</v>
      </c>
      <c r="I3496" s="49" t="s">
        <v>23</v>
      </c>
      <c r="J3496" s="36">
        <f t="shared" si="20"/>
        <v>45890.54436</v>
      </c>
      <c r="K3496" s="49" t="s">
        <v>2378</v>
      </c>
      <c r="L3496" s="49" t="s">
        <v>23</v>
      </c>
      <c r="M3496" s="36">
        <f t="shared" si="33"/>
        <v>45891.60478</v>
      </c>
      <c r="N3496" s="30" t="str">
        <f t="shared" si="34"/>
        <v>Selesai</v>
      </c>
      <c r="O3496" s="45">
        <f t="shared" si="23"/>
        <v>45891.60478</v>
      </c>
      <c r="P3496" s="47" t="b">
        <v>0</v>
      </c>
      <c r="Q3496" s="36" t="str">
        <f t="shared" si="35"/>
        <v/>
      </c>
      <c r="R3496" s="47" t="b">
        <v>0</v>
      </c>
      <c r="S3496" s="42" t="str">
        <f t="shared" si="28"/>
        <v/>
      </c>
      <c r="T3496" s="42"/>
    </row>
    <row r="3497" ht="22.5" customHeight="1">
      <c r="B3497" s="42">
        <f t="shared" si="7"/>
        <v>3491</v>
      </c>
      <c r="C3497" s="31" t="s">
        <v>3552</v>
      </c>
      <c r="D3497" s="34" t="str">
        <f t="array" ref="D3497">IFNA(_xlfn.XLOOKUP(C3497,Table_Tarikan_Warkah[Nomor Sertipikat],Table_Tarikan_Warkah[Nomor Tiket]),"")</f>
        <v>K/29/010825/1</v>
      </c>
      <c r="E3497" s="36" t="str">
        <f t="array" ref="E3497">IFNA(_xlfn.XLOOKUP(D3497,Table_Tarikan_Warkah[Nomor Tiket],Table_Tarikan_Warkah[Tanggal diserahkan kepada Validator]),"")</f>
        <v/>
      </c>
      <c r="F3497" s="36" t="str">
        <f t="array" ref="F3497">IFNA(_xlfn.XLOOKUP(D3497,Table_Tarikan_Warkah[Nomor Tiket],Table_Tarikan_Warkah[Nama Petugas Warkah]),"")</f>
        <v/>
      </c>
      <c r="G3497" s="39" t="str">
        <f t="array" ref="G3497">IFNA(_xlfn.XLOOKUP(D3497,Table_Tarikan_Warkah[Nomor Tiket],Table_Tarikan_Warkah[Jenis Permohonan]),"")</f>
        <v>JUAL BELI</v>
      </c>
      <c r="H3497" s="41" t="s">
        <v>2315</v>
      </c>
      <c r="I3497" s="49" t="s">
        <v>23</v>
      </c>
      <c r="J3497" s="36">
        <f t="shared" si="20"/>
        <v>45890.54452</v>
      </c>
      <c r="K3497" s="49" t="s">
        <v>2378</v>
      </c>
      <c r="L3497" s="49" t="s">
        <v>23</v>
      </c>
      <c r="M3497" s="36">
        <f t="shared" si="33"/>
        <v>45895.66314</v>
      </c>
      <c r="N3497" s="30" t="str">
        <f t="shared" si="34"/>
        <v>Selesai</v>
      </c>
      <c r="O3497" s="45">
        <f t="shared" si="23"/>
        <v>45895.66314</v>
      </c>
      <c r="P3497" s="47" t="b">
        <v>0</v>
      </c>
      <c r="Q3497" s="36" t="str">
        <f t="shared" si="35"/>
        <v/>
      </c>
      <c r="R3497" s="47" t="b">
        <v>0</v>
      </c>
      <c r="S3497" s="42" t="str">
        <f t="shared" si="28"/>
        <v/>
      </c>
      <c r="T3497" s="42"/>
    </row>
    <row r="3498" ht="22.5" customHeight="1">
      <c r="B3498" s="42">
        <f t="shared" si="7"/>
        <v>3492</v>
      </c>
      <c r="C3498" s="31" t="s">
        <v>3553</v>
      </c>
      <c r="D3498" s="34" t="str">
        <f t="array" ref="D3498">IFNA(_xlfn.XLOOKUP(C3498,Table_Tarikan_Warkah[Nomor Sertipikat],Table_Tarikan_Warkah[Nomor Tiket]),"")</f>
        <v>K/36/010825/1</v>
      </c>
      <c r="E3498" s="36">
        <f t="array" ref="E3498">IFNA(_xlfn.XLOOKUP(D3498,Table_Tarikan_Warkah[Nomor Tiket],Table_Tarikan_Warkah[Tanggal diserahkan kepada Validator]),"")</f>
        <v>45894.58029</v>
      </c>
      <c r="F3498" s="36" t="str">
        <f t="array" ref="F3498">IFNA(_xlfn.XLOOKUP(D3498,Table_Tarikan_Warkah[Nomor Tiket],Table_Tarikan_Warkah[Nama Petugas Warkah]),"")</f>
        <v>Berry</v>
      </c>
      <c r="G3498" s="39" t="str">
        <f t="array" ref="G3498">IFNA(_xlfn.XLOOKUP(D3498,Table_Tarikan_Warkah[Nomor Tiket],Table_Tarikan_Warkah[Jenis Permohonan]),"")</f>
        <v>KEWARISAN</v>
      </c>
      <c r="H3498" s="41" t="s">
        <v>2315</v>
      </c>
      <c r="I3498" s="49" t="s">
        <v>23</v>
      </c>
      <c r="J3498" s="36">
        <f t="shared" si="20"/>
        <v>45890.54465</v>
      </c>
      <c r="K3498" s="49" t="s">
        <v>2378</v>
      </c>
      <c r="L3498" s="49" t="s">
        <v>23</v>
      </c>
      <c r="M3498" s="36">
        <f t="shared" si="33"/>
        <v>45891.60565</v>
      </c>
      <c r="N3498" s="30" t="str">
        <f t="shared" si="34"/>
        <v>Selesai</v>
      </c>
      <c r="O3498" s="45">
        <f t="shared" si="23"/>
        <v>45891.60565</v>
      </c>
      <c r="P3498" s="47" t="b">
        <v>0</v>
      </c>
      <c r="Q3498" s="36" t="str">
        <f t="shared" si="35"/>
        <v/>
      </c>
      <c r="R3498" s="47" t="b">
        <v>0</v>
      </c>
      <c r="S3498" s="42" t="str">
        <f t="shared" si="28"/>
        <v/>
      </c>
      <c r="T3498" s="42"/>
    </row>
    <row r="3499" ht="22.5" customHeight="1">
      <c r="B3499" s="42">
        <f t="shared" si="7"/>
        <v>3493</v>
      </c>
      <c r="C3499" s="31" t="s">
        <v>3554</v>
      </c>
      <c r="D3499" s="34" t="str">
        <f t="array" ref="D3499">IFNA(_xlfn.XLOOKUP(C3499,Table_Tarikan_Warkah[Nomor Sertipikat],Table_Tarikan_Warkah[Nomor Tiket]),"")</f>
        <v>K/38/010825/1</v>
      </c>
      <c r="E3499" s="36">
        <f t="array" ref="E3499">IFNA(_xlfn.XLOOKUP(D3499,Table_Tarikan_Warkah[Nomor Tiket],Table_Tarikan_Warkah[Tanggal diserahkan kepada Validator]),"")</f>
        <v>45912.53188</v>
      </c>
      <c r="F3499" s="36" t="str">
        <f t="array" ref="F3499">IFNA(_xlfn.XLOOKUP(D3499,Table_Tarikan_Warkah[Nomor Tiket],Table_Tarikan_Warkah[Nama Petugas Warkah]),"")</f>
        <v>Berry</v>
      </c>
      <c r="G3499" s="39" t="str">
        <f t="array" ref="G3499">IFNA(_xlfn.XLOOKUP(D3499,Table_Tarikan_Warkah[Nomor Tiket],Table_Tarikan_Warkah[Jenis Permohonan]),"")</f>
        <v>BN JUAL BELI</v>
      </c>
      <c r="H3499" s="41" t="s">
        <v>2315</v>
      </c>
      <c r="I3499" s="49" t="s">
        <v>23</v>
      </c>
      <c r="J3499" s="36">
        <f t="shared" si="20"/>
        <v>45890.54493</v>
      </c>
      <c r="K3499" s="49" t="s">
        <v>2378</v>
      </c>
      <c r="L3499" s="49" t="s">
        <v>23</v>
      </c>
      <c r="M3499" s="36">
        <f t="shared" si="33"/>
        <v>45890.65013</v>
      </c>
      <c r="N3499" s="30" t="str">
        <f t="shared" si="34"/>
        <v>Selesai</v>
      </c>
      <c r="O3499" s="45">
        <f t="shared" si="23"/>
        <v>45890.65013</v>
      </c>
      <c r="P3499" s="47" t="b">
        <v>0</v>
      </c>
      <c r="Q3499" s="36" t="str">
        <f t="shared" si="35"/>
        <v/>
      </c>
      <c r="R3499" s="47" t="b">
        <v>0</v>
      </c>
      <c r="S3499" s="42" t="str">
        <f t="shared" si="28"/>
        <v/>
      </c>
      <c r="T3499" s="42"/>
    </row>
    <row r="3500" ht="22.5" customHeight="1">
      <c r="B3500" s="42">
        <f t="shared" si="7"/>
        <v>3494</v>
      </c>
      <c r="C3500" s="31" t="s">
        <v>3555</v>
      </c>
      <c r="D3500" s="34" t="str">
        <f t="array" ref="D3500">IFNA(_xlfn.XLOOKUP(C3500,Table_Tarikan_Warkah[Nomor Sertipikat],Table_Tarikan_Warkah[Nomor Tiket]),"")</f>
        <v>K/43/310725/1</v>
      </c>
      <c r="E3500" s="36">
        <f t="array" ref="E3500">IFNA(_xlfn.XLOOKUP(D3500,Table_Tarikan_Warkah[Nomor Tiket],Table_Tarikan_Warkah[Tanggal diserahkan kepada Validator]),"")</f>
        <v>45894.57973</v>
      </c>
      <c r="F3500" s="36" t="str">
        <f t="array" ref="F3500">IFNA(_xlfn.XLOOKUP(D3500,Table_Tarikan_Warkah[Nomor Tiket],Table_Tarikan_Warkah[Nama Petugas Warkah]),"")</f>
        <v>Berry</v>
      </c>
      <c r="G3500" s="39" t="str">
        <f t="array" ref="G3500">IFNA(_xlfn.XLOOKUP(D3500,Table_Tarikan_Warkah[Nomor Tiket],Table_Tarikan_Warkah[Jenis Permohonan]),"")</f>
        <v>BN HIBAH</v>
      </c>
      <c r="H3500" s="41" t="s">
        <v>2315</v>
      </c>
      <c r="I3500" s="49" t="s">
        <v>23</v>
      </c>
      <c r="J3500" s="36">
        <f t="shared" si="20"/>
        <v>45890.54508</v>
      </c>
      <c r="K3500" s="49" t="s">
        <v>2378</v>
      </c>
      <c r="L3500" s="49" t="s">
        <v>23</v>
      </c>
      <c r="M3500" s="36">
        <f t="shared" si="33"/>
        <v>45891.60583</v>
      </c>
      <c r="N3500" s="30" t="str">
        <f t="shared" si="34"/>
        <v>Selesai</v>
      </c>
      <c r="O3500" s="45">
        <f t="shared" si="23"/>
        <v>45891.60583</v>
      </c>
      <c r="P3500" s="47" t="b">
        <v>0</v>
      </c>
      <c r="Q3500" s="36" t="str">
        <f t="shared" si="35"/>
        <v/>
      </c>
      <c r="R3500" s="47" t="b">
        <v>0</v>
      </c>
      <c r="S3500" s="42" t="str">
        <f t="shared" si="28"/>
        <v/>
      </c>
      <c r="T3500" s="42"/>
    </row>
    <row r="3501" ht="22.5" customHeight="1">
      <c r="B3501" s="42">
        <f t="shared" si="7"/>
        <v>3495</v>
      </c>
      <c r="C3501" s="31" t="s">
        <v>3556</v>
      </c>
      <c r="D3501" s="34" t="str">
        <f t="array" ref="D3501">IFNA(_xlfn.XLOOKUP(C3501,Table_Tarikan_Warkah[Nomor Sertipikat],Table_Tarikan_Warkah[Nomor Tiket]),"")</f>
        <v>K/28/080825/1</v>
      </c>
      <c r="E3501" s="36" t="str">
        <f t="array" ref="E3501">IFNA(_xlfn.XLOOKUP(D3501,Table_Tarikan_Warkah[Nomor Tiket],Table_Tarikan_Warkah[Tanggal diserahkan kepada Validator]),"")</f>
        <v/>
      </c>
      <c r="F3501" s="36" t="str">
        <f t="array" ref="F3501">IFNA(_xlfn.XLOOKUP(D3501,Table_Tarikan_Warkah[Nomor Tiket],Table_Tarikan_Warkah[Nama Petugas Warkah]),"")</f>
        <v/>
      </c>
      <c r="G3501" s="39" t="str">
        <f t="array" ref="G3501">IFNA(_xlfn.XLOOKUP(D3501,Table_Tarikan_Warkah[Nomor Tiket],Table_Tarikan_Warkah[Jenis Permohonan]),"")</f>
        <v>Roya</v>
      </c>
      <c r="H3501" s="41" t="s">
        <v>2315</v>
      </c>
      <c r="I3501" s="49" t="s">
        <v>23</v>
      </c>
      <c r="J3501" s="36">
        <f t="shared" si="20"/>
        <v>45890.54526</v>
      </c>
      <c r="K3501" s="49" t="s">
        <v>2378</v>
      </c>
      <c r="L3501" s="49" t="s">
        <v>23</v>
      </c>
      <c r="M3501" s="36">
        <f t="shared" si="33"/>
        <v>45890.64995</v>
      </c>
      <c r="N3501" s="30" t="str">
        <f t="shared" si="34"/>
        <v>Selesai</v>
      </c>
      <c r="O3501" s="45">
        <f t="shared" si="23"/>
        <v>45890.64995</v>
      </c>
      <c r="P3501" s="47" t="b">
        <v>0</v>
      </c>
      <c r="Q3501" s="36" t="str">
        <f t="shared" si="35"/>
        <v/>
      </c>
      <c r="R3501" s="47" t="b">
        <v>0</v>
      </c>
      <c r="S3501" s="42" t="str">
        <f t="shared" si="28"/>
        <v/>
      </c>
      <c r="T3501" s="42"/>
    </row>
    <row r="3502" ht="22.5" customHeight="1">
      <c r="B3502" s="42">
        <f t="shared" si="7"/>
        <v>3496</v>
      </c>
      <c r="C3502" s="31" t="s">
        <v>3557</v>
      </c>
      <c r="D3502" s="34" t="str">
        <f t="array" ref="D3502">IFNA(_xlfn.XLOOKUP(C3502,Table_Tarikan_Warkah[Nomor Sertipikat],Table_Tarikan_Warkah[Nomor Tiket]),"")</f>
        <v>K/1/310725/1</v>
      </c>
      <c r="E3502" s="36">
        <f t="array" ref="E3502">IFNA(_xlfn.XLOOKUP(D3502,Table_Tarikan_Warkah[Nomor Tiket],Table_Tarikan_Warkah[Tanggal diserahkan kepada Validator]),"")</f>
        <v>45894.59503</v>
      </c>
      <c r="F3502" s="36" t="str">
        <f t="array" ref="F3502">IFNA(_xlfn.XLOOKUP(D3502,Table_Tarikan_Warkah[Nomor Tiket],Table_Tarikan_Warkah[Nama Petugas Warkah]),"")</f>
        <v>Berry</v>
      </c>
      <c r="G3502" s="39" t="str">
        <f t="array" ref="G3502">IFNA(_xlfn.XLOOKUP(D3502,Table_Tarikan_Warkah[Nomor Tiket],Table_Tarikan_Warkah[Jenis Permohonan]),"")</f>
        <v>BN JUAL BELI</v>
      </c>
      <c r="H3502" s="41" t="s">
        <v>2315</v>
      </c>
      <c r="I3502" s="49" t="s">
        <v>23</v>
      </c>
      <c r="J3502" s="36">
        <f t="shared" si="20"/>
        <v>45890.54543</v>
      </c>
      <c r="K3502" s="49" t="s">
        <v>2378</v>
      </c>
      <c r="L3502" s="49" t="s">
        <v>23</v>
      </c>
      <c r="M3502" s="36">
        <f t="shared" si="33"/>
        <v>45891.60593</v>
      </c>
      <c r="N3502" s="30" t="str">
        <f t="shared" si="34"/>
        <v>Selesai</v>
      </c>
      <c r="O3502" s="45">
        <f t="shared" si="23"/>
        <v>45891.60593</v>
      </c>
      <c r="P3502" s="47" t="b">
        <v>0</v>
      </c>
      <c r="Q3502" s="36" t="str">
        <f t="shared" si="35"/>
        <v/>
      </c>
      <c r="R3502" s="47" t="b">
        <v>0</v>
      </c>
      <c r="S3502" s="42" t="str">
        <f t="shared" si="28"/>
        <v/>
      </c>
      <c r="T3502" s="42"/>
    </row>
    <row r="3503" ht="22.5" customHeight="1">
      <c r="B3503" s="42">
        <f t="shared" si="7"/>
        <v>3497</v>
      </c>
      <c r="C3503" s="31" t="s">
        <v>3558</v>
      </c>
      <c r="D3503" s="34" t="str">
        <f t="array" ref="D3503">IFNA(_xlfn.XLOOKUP(C3503,Table_Tarikan_Warkah[Nomor Sertipikat],Table_Tarikan_Warkah[Nomor Tiket]),"")</f>
        <v>K/24/110825/4</v>
      </c>
      <c r="E3503" s="36">
        <f t="array" ref="E3503">IFNA(_xlfn.XLOOKUP(D3503,Table_Tarikan_Warkah[Nomor Tiket],Table_Tarikan_Warkah[Tanggal diserahkan kepada Validator]),"")</f>
        <v>45908.63553</v>
      </c>
      <c r="F3503" s="36" t="str">
        <f t="array" ref="F3503">IFNA(_xlfn.XLOOKUP(D3503,Table_Tarikan_Warkah[Nomor Tiket],Table_Tarikan_Warkah[Nama Petugas Warkah]),"")</f>
        <v>Berry</v>
      </c>
      <c r="G3503" s="39" t="str">
        <f t="array" ref="G3503">IFNA(_xlfn.XLOOKUP(D3503,Table_Tarikan_Warkah[Nomor Tiket],Table_Tarikan_Warkah[Jenis Permohonan]),"")</f>
        <v>BN Pewarisan</v>
      </c>
      <c r="H3503" s="41" t="s">
        <v>2315</v>
      </c>
      <c r="I3503" s="49" t="s">
        <v>23</v>
      </c>
      <c r="J3503" s="36">
        <f t="shared" si="20"/>
        <v>45890.54558</v>
      </c>
      <c r="K3503" s="49" t="s">
        <v>2378</v>
      </c>
      <c r="L3503" s="49" t="s">
        <v>23</v>
      </c>
      <c r="M3503" s="36">
        <f t="shared" si="33"/>
        <v>45891.606</v>
      </c>
      <c r="N3503" s="30" t="str">
        <f t="shared" si="34"/>
        <v>Selesai</v>
      </c>
      <c r="O3503" s="45">
        <f t="shared" si="23"/>
        <v>45891.606</v>
      </c>
      <c r="P3503" s="47" t="b">
        <v>0</v>
      </c>
      <c r="Q3503" s="36" t="str">
        <f t="shared" si="35"/>
        <v/>
      </c>
      <c r="R3503" s="47" t="b">
        <v>0</v>
      </c>
      <c r="S3503" s="42" t="str">
        <f t="shared" si="28"/>
        <v/>
      </c>
      <c r="T3503" s="42"/>
    </row>
    <row r="3504" ht="22.5" customHeight="1">
      <c r="B3504" s="42">
        <f t="shared" si="7"/>
        <v>3498</v>
      </c>
      <c r="C3504" s="31" t="s">
        <v>3559</v>
      </c>
      <c r="D3504" s="34" t="str">
        <f t="array" ref="D3504">IFNA(_xlfn.XLOOKUP(C3504,Table_Tarikan_Warkah[Nomor Sertipikat],Table_Tarikan_Warkah[Nomor Tiket]),"")</f>
        <v>K/14/050825/1</v>
      </c>
      <c r="E3504" s="36">
        <f t="array" ref="E3504">IFNA(_xlfn.XLOOKUP(D3504,Table_Tarikan_Warkah[Nomor Tiket],Table_Tarikan_Warkah[Tanggal diserahkan kepada Validator]),"")</f>
        <v>45891.5929</v>
      </c>
      <c r="F3504" s="36" t="str">
        <f t="array" ref="F3504">IFNA(_xlfn.XLOOKUP(D3504,Table_Tarikan_Warkah[Nomor Tiket],Table_Tarikan_Warkah[Nama Petugas Warkah]),"")</f>
        <v>Berry</v>
      </c>
      <c r="G3504" s="39" t="str">
        <f t="array" ref="G3504">IFNA(_xlfn.XLOOKUP(D3504,Table_Tarikan_Warkah[Nomor Tiket],Table_Tarikan_Warkah[Jenis Permohonan]),"")</f>
        <v>BN JUAL BELI</v>
      </c>
      <c r="H3504" s="41" t="s">
        <v>2315</v>
      </c>
      <c r="I3504" s="49" t="s">
        <v>23</v>
      </c>
      <c r="J3504" s="36">
        <f t="shared" si="20"/>
        <v>45890.54581</v>
      </c>
      <c r="K3504" s="49" t="s">
        <v>2378</v>
      </c>
      <c r="L3504" s="49" t="s">
        <v>23</v>
      </c>
      <c r="M3504" s="36">
        <f t="shared" si="33"/>
        <v>45891.60618</v>
      </c>
      <c r="N3504" s="30" t="str">
        <f t="shared" si="34"/>
        <v>Selesai</v>
      </c>
      <c r="O3504" s="45">
        <f t="shared" si="23"/>
        <v>45891.60618</v>
      </c>
      <c r="P3504" s="47" t="b">
        <v>0</v>
      </c>
      <c r="Q3504" s="36" t="str">
        <f t="shared" si="35"/>
        <v/>
      </c>
      <c r="R3504" s="47" t="b">
        <v>0</v>
      </c>
      <c r="S3504" s="42" t="str">
        <f t="shared" si="28"/>
        <v/>
      </c>
      <c r="T3504" s="42"/>
    </row>
    <row r="3505" ht="22.5" customHeight="1">
      <c r="B3505" s="42">
        <f t="shared" si="7"/>
        <v>3499</v>
      </c>
      <c r="C3505" s="31" t="s">
        <v>3560</v>
      </c>
      <c r="D3505" s="34" t="str">
        <f t="array" ref="D3505">IFNA(_xlfn.XLOOKUP(C3505,Table_Tarikan_Warkah[Nomor Sertipikat],Table_Tarikan_Warkah[Nomor Tiket]),"")</f>
        <v>K/25/160725/1</v>
      </c>
      <c r="E3505" s="36">
        <f t="array" ref="E3505">IFNA(_xlfn.XLOOKUP(D3505,Table_Tarikan_Warkah[Nomor Tiket],Table_Tarikan_Warkah[Tanggal diserahkan kepada Validator]),"")</f>
        <v>45891.59845</v>
      </c>
      <c r="F3505" s="36" t="str">
        <f t="array" ref="F3505">IFNA(_xlfn.XLOOKUP(D3505,Table_Tarikan_Warkah[Nomor Tiket],Table_Tarikan_Warkah[Nama Petugas Warkah]),"")</f>
        <v>Berry</v>
      </c>
      <c r="G3505" s="39" t="str">
        <f t="array" ref="G3505">IFNA(_xlfn.XLOOKUP(D3505,Table_Tarikan_Warkah[Nomor Tiket],Table_Tarikan_Warkah[Jenis Permohonan]),"")</f>
        <v>BN JUAL BELI</v>
      </c>
      <c r="H3505" s="41" t="s">
        <v>2315</v>
      </c>
      <c r="I3505" s="49" t="s">
        <v>23</v>
      </c>
      <c r="J3505" s="36">
        <f t="shared" si="20"/>
        <v>45890.54597</v>
      </c>
      <c r="K3505" s="49" t="s">
        <v>2378</v>
      </c>
      <c r="L3505" s="49" t="s">
        <v>23</v>
      </c>
      <c r="M3505" s="36">
        <f t="shared" si="33"/>
        <v>45890.64984</v>
      </c>
      <c r="N3505" s="30" t="str">
        <f t="shared" si="34"/>
        <v>Selesai</v>
      </c>
      <c r="O3505" s="45">
        <f t="shared" si="23"/>
        <v>45890.64984</v>
      </c>
      <c r="P3505" s="47" t="b">
        <v>0</v>
      </c>
      <c r="Q3505" s="36" t="str">
        <f t="shared" si="35"/>
        <v/>
      </c>
      <c r="R3505" s="47" t="b">
        <v>0</v>
      </c>
      <c r="S3505" s="42" t="str">
        <f t="shared" si="28"/>
        <v/>
      </c>
      <c r="T3505" s="42"/>
    </row>
    <row r="3506" ht="22.5" customHeight="1">
      <c r="B3506" s="42">
        <f t="shared" si="7"/>
        <v>3500</v>
      </c>
      <c r="C3506" s="31" t="s">
        <v>3561</v>
      </c>
      <c r="D3506" s="34" t="str">
        <f t="array" ref="D3506">IFNA(_xlfn.XLOOKUP(C3506,Table_Tarikan_Warkah[Nomor Sertipikat],Table_Tarikan_Warkah[Nomor Tiket]),"")</f>
        <v>K/20/040825/2</v>
      </c>
      <c r="E3506" s="36">
        <f t="array" ref="E3506">IFNA(_xlfn.XLOOKUP(D3506,Table_Tarikan_Warkah[Nomor Tiket],Table_Tarikan_Warkah[Tanggal diserahkan kepada Validator]),"")</f>
        <v>45894.58669</v>
      </c>
      <c r="F3506" s="36" t="str">
        <f t="array" ref="F3506">IFNA(_xlfn.XLOOKUP(D3506,Table_Tarikan_Warkah[Nomor Tiket],Table_Tarikan_Warkah[Nama Petugas Warkah]),"")</f>
        <v>Berry</v>
      </c>
      <c r="G3506" s="39" t="str">
        <f t="array" ref="G3506">IFNA(_xlfn.XLOOKUP(D3506,Table_Tarikan_Warkah[Nomor Tiket],Table_Tarikan_Warkah[Jenis Permohonan]),"")</f>
        <v>BN JUAL BELI</v>
      </c>
      <c r="H3506" s="41" t="s">
        <v>2315</v>
      </c>
      <c r="I3506" s="49" t="s">
        <v>23</v>
      </c>
      <c r="J3506" s="36">
        <f t="shared" si="20"/>
        <v>45890.54613</v>
      </c>
      <c r="K3506" s="49" t="s">
        <v>2378</v>
      </c>
      <c r="L3506" s="49" t="s">
        <v>23</v>
      </c>
      <c r="M3506" s="36">
        <f t="shared" si="33"/>
        <v>45891.60629</v>
      </c>
      <c r="N3506" s="30" t="str">
        <f t="shared" si="34"/>
        <v>Selesai</v>
      </c>
      <c r="O3506" s="45">
        <f t="shared" si="23"/>
        <v>45891.60629</v>
      </c>
      <c r="P3506" s="47" t="b">
        <v>0</v>
      </c>
      <c r="Q3506" s="36" t="str">
        <f t="shared" si="35"/>
        <v/>
      </c>
      <c r="R3506" s="47" t="b">
        <v>0</v>
      </c>
      <c r="S3506" s="42" t="str">
        <f t="shared" si="28"/>
        <v/>
      </c>
      <c r="T3506" s="42"/>
    </row>
    <row r="3507" ht="22.5" customHeight="1">
      <c r="B3507" s="42">
        <f t="shared" si="7"/>
        <v>3501</v>
      </c>
      <c r="C3507" s="31" t="s">
        <v>3562</v>
      </c>
      <c r="D3507" s="34" t="str">
        <f t="array" ref="D3507">IFNA(_xlfn.XLOOKUP(C3507,Table_Tarikan_Warkah[Nomor Sertipikat],Table_Tarikan_Warkah[Nomor Tiket]),"")</f>
        <v>K/19/180725/1</v>
      </c>
      <c r="E3507" s="36">
        <f t="array" ref="E3507">IFNA(_xlfn.XLOOKUP(D3507,Table_Tarikan_Warkah[Nomor Tiket],Table_Tarikan_Warkah[Tanggal diserahkan kepada Validator]),"")</f>
        <v>45894.58412</v>
      </c>
      <c r="F3507" s="36" t="str">
        <f t="array" ref="F3507">IFNA(_xlfn.XLOOKUP(D3507,Table_Tarikan_Warkah[Nomor Tiket],Table_Tarikan_Warkah[Nama Petugas Warkah]),"")</f>
        <v>Berry</v>
      </c>
      <c r="G3507" s="39" t="str">
        <f t="array" ref="G3507">IFNA(_xlfn.XLOOKUP(D3507,Table_Tarikan_Warkah[Nomor Tiket],Table_Tarikan_Warkah[Jenis Permohonan]),"")</f>
        <v>BN WARIS</v>
      </c>
      <c r="H3507" s="41" t="s">
        <v>2315</v>
      </c>
      <c r="I3507" s="49" t="s">
        <v>23</v>
      </c>
      <c r="J3507" s="36">
        <f t="shared" si="20"/>
        <v>45890.54629</v>
      </c>
      <c r="K3507" s="49" t="s">
        <v>2378</v>
      </c>
      <c r="L3507" s="49" t="s">
        <v>23</v>
      </c>
      <c r="M3507" s="36">
        <f t="shared" si="33"/>
        <v>45891.60663</v>
      </c>
      <c r="N3507" s="30" t="str">
        <f t="shared" si="34"/>
        <v>Selesai</v>
      </c>
      <c r="O3507" s="45">
        <f t="shared" si="23"/>
        <v>45891.60663</v>
      </c>
      <c r="P3507" s="47" t="b">
        <v>0</v>
      </c>
      <c r="Q3507" s="36" t="str">
        <f t="shared" si="35"/>
        <v/>
      </c>
      <c r="R3507" s="47" t="b">
        <v>0</v>
      </c>
      <c r="S3507" s="42" t="str">
        <f t="shared" si="28"/>
        <v/>
      </c>
      <c r="T3507" s="42"/>
    </row>
    <row r="3508" ht="22.5" customHeight="1">
      <c r="B3508" s="42">
        <f t="shared" si="7"/>
        <v>3502</v>
      </c>
      <c r="C3508" s="31" t="s">
        <v>3563</v>
      </c>
      <c r="D3508" s="34" t="str">
        <f t="array" ref="D3508">IFNA(_xlfn.XLOOKUP(C3508,Table_Tarikan_Warkah[Nomor Sertipikat],Table_Tarikan_Warkah[Nomor Tiket]),"")</f>
        <v>K/25/070827/1</v>
      </c>
      <c r="E3508" s="36">
        <f t="array" ref="E3508">IFNA(_xlfn.XLOOKUP(D3508,Table_Tarikan_Warkah[Nomor Tiket],Table_Tarikan_Warkah[Tanggal diserahkan kepada Validator]),"")</f>
        <v>45894.5663</v>
      </c>
      <c r="F3508" s="36" t="str">
        <f t="array" ref="F3508">IFNA(_xlfn.XLOOKUP(D3508,Table_Tarikan_Warkah[Nomor Tiket],Table_Tarikan_Warkah[Nama Petugas Warkah]),"")</f>
        <v>Berry</v>
      </c>
      <c r="G3508" s="39" t="str">
        <f t="array" ref="G3508">IFNA(_xlfn.XLOOKUP(D3508,Table_Tarikan_Warkah[Nomor Tiket],Table_Tarikan_Warkah[Jenis Permohonan]),"")</f>
        <v>Penghapusan BPHTB PTSL</v>
      </c>
      <c r="H3508" s="41" t="s">
        <v>2315</v>
      </c>
      <c r="I3508" s="49" t="s">
        <v>23</v>
      </c>
      <c r="J3508" s="36">
        <f t="shared" si="20"/>
        <v>45890.54643</v>
      </c>
      <c r="K3508" s="49" t="s">
        <v>2378</v>
      </c>
      <c r="L3508" s="49" t="s">
        <v>23</v>
      </c>
      <c r="M3508" s="36">
        <f t="shared" si="33"/>
        <v>45890.64972</v>
      </c>
      <c r="N3508" s="30" t="str">
        <f t="shared" si="34"/>
        <v>Selesai</v>
      </c>
      <c r="O3508" s="45">
        <f t="shared" si="23"/>
        <v>45890.64972</v>
      </c>
      <c r="P3508" s="47" t="b">
        <v>0</v>
      </c>
      <c r="Q3508" s="36" t="str">
        <f t="shared" si="35"/>
        <v/>
      </c>
      <c r="R3508" s="47" t="b">
        <v>0</v>
      </c>
      <c r="S3508" s="42" t="str">
        <f t="shared" si="28"/>
        <v/>
      </c>
      <c r="T3508" s="42"/>
    </row>
    <row r="3509" ht="22.5" customHeight="1">
      <c r="B3509" s="42">
        <f t="shared" si="7"/>
        <v>3503</v>
      </c>
      <c r="C3509" s="31" t="s">
        <v>3564</v>
      </c>
      <c r="D3509" s="34" t="str">
        <f t="array" ref="D3509">IFNA(_xlfn.XLOOKUP(C3509,Table_Tarikan_Warkah[Nomor Sertipikat],Table_Tarikan_Warkah[Nomor Tiket]),"")</f>
        <v>K/21/080825/1</v>
      </c>
      <c r="E3509" s="36" t="str">
        <f t="array" ref="E3509">IFNA(_xlfn.XLOOKUP(D3509,Table_Tarikan_Warkah[Nomor Tiket],Table_Tarikan_Warkah[Tanggal diserahkan kepada Validator]),"")</f>
        <v/>
      </c>
      <c r="F3509" s="36" t="str">
        <f t="array" ref="F3509">IFNA(_xlfn.XLOOKUP(D3509,Table_Tarikan_Warkah[Nomor Tiket],Table_Tarikan_Warkah[Nama Petugas Warkah]),"")</f>
        <v/>
      </c>
      <c r="G3509" s="39" t="str">
        <f t="array" ref="G3509">IFNA(_xlfn.XLOOKUP(D3509,Table_Tarikan_Warkah[Nomor Tiket],Table_Tarikan_Warkah[Jenis Permohonan]),"")</f>
        <v>BN Jual Beli</v>
      </c>
      <c r="H3509" s="41" t="s">
        <v>2315</v>
      </c>
      <c r="I3509" s="49" t="s">
        <v>23</v>
      </c>
      <c r="J3509" s="36">
        <f t="shared" si="20"/>
        <v>45890.54656</v>
      </c>
      <c r="K3509" s="49" t="s">
        <v>2378</v>
      </c>
      <c r="L3509" s="49" t="s">
        <v>23</v>
      </c>
      <c r="M3509" s="36">
        <f t="shared" si="33"/>
        <v>45890.64961</v>
      </c>
      <c r="N3509" s="30" t="str">
        <f t="shared" si="34"/>
        <v>Selesai</v>
      </c>
      <c r="O3509" s="45">
        <f t="shared" si="23"/>
        <v>45890.64961</v>
      </c>
      <c r="P3509" s="47" t="b">
        <v>0</v>
      </c>
      <c r="Q3509" s="36" t="str">
        <f t="shared" si="35"/>
        <v/>
      </c>
      <c r="R3509" s="47" t="b">
        <v>0</v>
      </c>
      <c r="S3509" s="42" t="str">
        <f t="shared" si="28"/>
        <v/>
      </c>
      <c r="T3509" s="42"/>
    </row>
    <row r="3510" ht="22.5" customHeight="1">
      <c r="B3510" s="42">
        <f t="shared" si="7"/>
        <v>3504</v>
      </c>
      <c r="C3510" s="31" t="s">
        <v>3565</v>
      </c>
      <c r="D3510" s="34" t="str">
        <f t="array" ref="D3510">IFNA(_xlfn.XLOOKUP(C3510,Table_Tarikan_Warkah[Nomor Sertipikat],Table_Tarikan_Warkah[Nomor Tiket]),"")</f>
        <v>K/33/050825/1</v>
      </c>
      <c r="E3510" s="36" t="str">
        <f t="array" ref="E3510">IFNA(_xlfn.XLOOKUP(D3510,Table_Tarikan_Warkah[Nomor Tiket],Table_Tarikan_Warkah[Tanggal diserahkan kepada Validator]),"")</f>
        <v/>
      </c>
      <c r="F3510" s="36" t="str">
        <f t="array" ref="F3510">IFNA(_xlfn.XLOOKUP(D3510,Table_Tarikan_Warkah[Nomor Tiket],Table_Tarikan_Warkah[Nama Petugas Warkah]),"")</f>
        <v/>
      </c>
      <c r="G3510" s="39" t="str">
        <f t="array" ref="G3510">IFNA(_xlfn.XLOOKUP(D3510,Table_Tarikan_Warkah[Nomor Tiket],Table_Tarikan_Warkah[Jenis Permohonan]),"")</f>
        <v>BN JUAL BELI</v>
      </c>
      <c r="H3510" s="41" t="s">
        <v>2315</v>
      </c>
      <c r="I3510" s="49" t="s">
        <v>23</v>
      </c>
      <c r="J3510" s="36">
        <f t="shared" si="20"/>
        <v>45890.54674</v>
      </c>
      <c r="K3510" s="49" t="s">
        <v>2378</v>
      </c>
      <c r="L3510" s="49" t="s">
        <v>23</v>
      </c>
      <c r="M3510" s="36">
        <f t="shared" si="33"/>
        <v>45890.64929</v>
      </c>
      <c r="N3510" s="30" t="str">
        <f t="shared" si="34"/>
        <v>Selesai</v>
      </c>
      <c r="O3510" s="45">
        <f t="shared" si="23"/>
        <v>45890.64929</v>
      </c>
      <c r="P3510" s="47" t="b">
        <v>0</v>
      </c>
      <c r="Q3510" s="36" t="str">
        <f t="shared" si="35"/>
        <v/>
      </c>
      <c r="R3510" s="47" t="b">
        <v>0</v>
      </c>
      <c r="S3510" s="42" t="str">
        <f t="shared" si="28"/>
        <v/>
      </c>
      <c r="T3510" s="42"/>
    </row>
    <row r="3511" ht="22.5" customHeight="1">
      <c r="B3511" s="42">
        <f t="shared" si="7"/>
        <v>3505</v>
      </c>
      <c r="C3511" s="31" t="s">
        <v>3566</v>
      </c>
      <c r="D3511" s="34" t="str">
        <f t="array" ref="D3511">IFNA(_xlfn.XLOOKUP(C3511,Table_Tarikan_Warkah[Nomor Sertipikat],Table_Tarikan_Warkah[Nomor Tiket]),"")</f>
        <v>K/35/240726/1</v>
      </c>
      <c r="E3511" s="36">
        <f t="array" ref="E3511">IFNA(_xlfn.XLOOKUP(D3511,Table_Tarikan_Warkah[Nomor Tiket],Table_Tarikan_Warkah[Tanggal diserahkan kepada Validator]),"")</f>
        <v>45891.59775</v>
      </c>
      <c r="F3511" s="36" t="str">
        <f t="array" ref="F3511">IFNA(_xlfn.XLOOKUP(D3511,Table_Tarikan_Warkah[Nomor Tiket],Table_Tarikan_Warkah[Nama Petugas Warkah]),"")</f>
        <v>Berry</v>
      </c>
      <c r="G3511" s="39" t="str">
        <f t="array" ref="G3511">IFNA(_xlfn.XLOOKUP(D3511,Table_Tarikan_Warkah[Nomor Tiket],Table_Tarikan_Warkah[Jenis Permohonan]),"")</f>
        <v>BN JUAL BELI</v>
      </c>
      <c r="H3511" s="41" t="s">
        <v>2315</v>
      </c>
      <c r="I3511" s="49" t="s">
        <v>23</v>
      </c>
      <c r="J3511" s="36">
        <f t="shared" si="20"/>
        <v>45890.54693</v>
      </c>
      <c r="K3511" s="49" t="s">
        <v>2378</v>
      </c>
      <c r="L3511" s="49" t="s">
        <v>23</v>
      </c>
      <c r="M3511" s="36">
        <f t="shared" si="33"/>
        <v>45890.64917</v>
      </c>
      <c r="N3511" s="30" t="str">
        <f t="shared" si="34"/>
        <v>Selesai</v>
      </c>
      <c r="O3511" s="45">
        <f t="shared" si="23"/>
        <v>45890.64917</v>
      </c>
      <c r="P3511" s="47" t="b">
        <v>0</v>
      </c>
      <c r="Q3511" s="36" t="str">
        <f t="shared" si="35"/>
        <v/>
      </c>
      <c r="R3511" s="47" t="b">
        <v>0</v>
      </c>
      <c r="S3511" s="42" t="str">
        <f t="shared" si="28"/>
        <v/>
      </c>
      <c r="T3511" s="42"/>
    </row>
    <row r="3512" ht="22.5" customHeight="1">
      <c r="B3512" s="42">
        <f t="shared" si="7"/>
        <v>3506</v>
      </c>
      <c r="C3512" s="31" t="s">
        <v>3567</v>
      </c>
      <c r="D3512" s="34" t="str">
        <f t="array" ref="D3512">IFNA(_xlfn.XLOOKUP(C3512,Table_Tarikan_Warkah[Nomor Sertipikat],Table_Tarikan_Warkah[Nomor Tiket]),"")</f>
        <v>K/19/040825/1</v>
      </c>
      <c r="E3512" s="36">
        <f t="array" ref="E3512">IFNA(_xlfn.XLOOKUP(D3512,Table_Tarikan_Warkah[Nomor Tiket],Table_Tarikan_Warkah[Tanggal diserahkan kepada Validator]),"")</f>
        <v>45894.58523</v>
      </c>
      <c r="F3512" s="36" t="str">
        <f t="array" ref="F3512">IFNA(_xlfn.XLOOKUP(D3512,Table_Tarikan_Warkah[Nomor Tiket],Table_Tarikan_Warkah[Nama Petugas Warkah]),"")</f>
        <v>Berry</v>
      </c>
      <c r="G3512" s="39" t="str">
        <f t="array" ref="G3512">IFNA(_xlfn.XLOOKUP(D3512,Table_Tarikan_Warkah[Nomor Tiket],Table_Tarikan_Warkah[Jenis Permohonan]),"")</f>
        <v>BN JUAL BELI</v>
      </c>
      <c r="H3512" s="41" t="s">
        <v>2315</v>
      </c>
      <c r="I3512" s="49" t="s">
        <v>23</v>
      </c>
      <c r="J3512" s="36">
        <f t="shared" si="20"/>
        <v>45890.5471</v>
      </c>
      <c r="K3512" s="49" t="s">
        <v>2378</v>
      </c>
      <c r="L3512" s="49" t="s">
        <v>23</v>
      </c>
      <c r="M3512" s="36">
        <f t="shared" si="33"/>
        <v>45891.60643</v>
      </c>
      <c r="N3512" s="30" t="str">
        <f t="shared" si="34"/>
        <v>Selesai</v>
      </c>
      <c r="O3512" s="45">
        <f t="shared" si="23"/>
        <v>45891.60643</v>
      </c>
      <c r="P3512" s="47" t="b">
        <v>0</v>
      </c>
      <c r="Q3512" s="36" t="str">
        <f t="shared" si="35"/>
        <v/>
      </c>
      <c r="R3512" s="47" t="b">
        <v>0</v>
      </c>
      <c r="S3512" s="42" t="str">
        <f t="shared" si="28"/>
        <v/>
      </c>
      <c r="T3512" s="42"/>
    </row>
    <row r="3513" ht="22.5" customHeight="1">
      <c r="B3513" s="42">
        <f t="shared" si="7"/>
        <v>3507</v>
      </c>
      <c r="C3513" s="31" t="s">
        <v>3568</v>
      </c>
      <c r="D3513" s="34" t="str">
        <f t="array" ref="D3513">IFNA(_xlfn.XLOOKUP(C3513,Table_Tarikan_Warkah[Nomor Sertipikat],Table_Tarikan_Warkah[Nomor Tiket]),"")</f>
        <v>K/26/140825/2</v>
      </c>
      <c r="E3513" s="36">
        <f t="array" ref="E3513">IFNA(_xlfn.XLOOKUP(D3513,Table_Tarikan_Warkah[Nomor Tiket],Table_Tarikan_Warkah[Tanggal diserahkan kepada Validator]),"")</f>
        <v>45902.63345</v>
      </c>
      <c r="F3513" s="36" t="str">
        <f t="array" ref="F3513">IFNA(_xlfn.XLOOKUP(D3513,Table_Tarikan_Warkah[Nomor Tiket],Table_Tarikan_Warkah[Nama Petugas Warkah]),"")</f>
        <v>David</v>
      </c>
      <c r="G3513" s="39" t="str">
        <f t="array" ref="G3513">IFNA(_xlfn.XLOOKUP(D3513,Table_Tarikan_Warkah[Nomor Tiket],Table_Tarikan_Warkah[Jenis Permohonan]),"")</f>
        <v>BN Wakif</v>
      </c>
      <c r="H3513" s="41" t="s">
        <v>2315</v>
      </c>
      <c r="I3513" s="49" t="s">
        <v>23</v>
      </c>
      <c r="J3513" s="36">
        <f t="shared" si="20"/>
        <v>45890.54731</v>
      </c>
      <c r="K3513" s="49" t="s">
        <v>2378</v>
      </c>
      <c r="L3513" s="49" t="s">
        <v>23</v>
      </c>
      <c r="M3513" s="36">
        <f t="shared" si="33"/>
        <v>45891.6044</v>
      </c>
      <c r="N3513" s="30" t="str">
        <f t="shared" si="34"/>
        <v>Selesai</v>
      </c>
      <c r="O3513" s="45">
        <f t="shared" si="23"/>
        <v>45891.6044</v>
      </c>
      <c r="P3513" s="47" t="b">
        <v>0</v>
      </c>
      <c r="Q3513" s="36" t="str">
        <f t="shared" si="35"/>
        <v/>
      </c>
      <c r="R3513" s="47" t="b">
        <v>0</v>
      </c>
      <c r="S3513" s="42" t="str">
        <f t="shared" si="28"/>
        <v/>
      </c>
      <c r="T3513" s="42"/>
    </row>
    <row r="3514" ht="22.5" customHeight="1">
      <c r="B3514" s="42">
        <f t="shared" si="7"/>
        <v>3508</v>
      </c>
      <c r="C3514" s="31" t="s">
        <v>3569</v>
      </c>
      <c r="D3514" s="34" t="str">
        <f t="array" ref="D3514">IFNA(_xlfn.XLOOKUP(C3514,Table_Tarikan_Warkah[Nomor Sertipikat],Table_Tarikan_Warkah[Nomor Tiket]),"")</f>
        <v>K/24/080525/1</v>
      </c>
      <c r="E3514" s="36">
        <f t="array" ref="E3514">IFNA(_xlfn.XLOOKUP(D3514,Table_Tarikan_Warkah[Nomor Tiket],Table_Tarikan_Warkah[Tanggal diserahkan kepada Validator]),"")</f>
        <v>45894.58081</v>
      </c>
      <c r="F3514" s="36" t="str">
        <f t="array" ref="F3514">IFNA(_xlfn.XLOOKUP(D3514,Table_Tarikan_Warkah[Nomor Tiket],Table_Tarikan_Warkah[Nama Petugas Warkah]),"")</f>
        <v>Berry</v>
      </c>
      <c r="G3514" s="39" t="str">
        <f t="array" ref="G3514">IFNA(_xlfn.XLOOKUP(D3514,Table_Tarikan_Warkah[Nomor Tiket],Table_Tarikan_Warkah[Jenis Permohonan]),"")</f>
        <v>KEWARISAN</v>
      </c>
      <c r="H3514" s="41" t="s">
        <v>2315</v>
      </c>
      <c r="I3514" s="49" t="s">
        <v>23</v>
      </c>
      <c r="J3514" s="36">
        <f t="shared" si="20"/>
        <v>45890.54746</v>
      </c>
      <c r="K3514" s="49" t="s">
        <v>2378</v>
      </c>
      <c r="L3514" s="49" t="s">
        <v>23</v>
      </c>
      <c r="M3514" s="36">
        <f t="shared" si="33"/>
        <v>45891.60495</v>
      </c>
      <c r="N3514" s="30" t="str">
        <f t="shared" si="34"/>
        <v>Selesai</v>
      </c>
      <c r="O3514" s="45">
        <f t="shared" si="23"/>
        <v>45891.60495</v>
      </c>
      <c r="P3514" s="47" t="b">
        <v>0</v>
      </c>
      <c r="Q3514" s="36" t="str">
        <f t="shared" si="35"/>
        <v/>
      </c>
      <c r="R3514" s="47" t="b">
        <v>0</v>
      </c>
      <c r="S3514" s="42" t="str">
        <f t="shared" si="28"/>
        <v/>
      </c>
      <c r="T3514" s="42"/>
    </row>
    <row r="3515" ht="22.5" customHeight="1">
      <c r="B3515" s="42">
        <f t="shared" si="7"/>
        <v>3509</v>
      </c>
      <c r="C3515" s="31" t="s">
        <v>3570</v>
      </c>
      <c r="D3515" s="34" t="str">
        <f t="array" ref="D3515">IFNA(_xlfn.XLOOKUP(C3515,Table_Tarikan_Warkah[Nomor Sertipikat],Table_Tarikan_Warkah[Nomor Tiket]),"")</f>
        <v>K/40/290725/1</v>
      </c>
      <c r="E3515" s="36" t="str">
        <f t="array" ref="E3515">IFNA(_xlfn.XLOOKUP(D3515,Table_Tarikan_Warkah[Nomor Tiket],Table_Tarikan_Warkah[Tanggal diserahkan kepada Validator]),"")</f>
        <v/>
      </c>
      <c r="F3515" s="36" t="str">
        <f t="array" ref="F3515">IFNA(_xlfn.XLOOKUP(D3515,Table_Tarikan_Warkah[Nomor Tiket],Table_Tarikan_Warkah[Nama Petugas Warkah]),"")</f>
        <v/>
      </c>
      <c r="G3515" s="39" t="str">
        <f t="array" ref="G3515">IFNA(_xlfn.XLOOKUP(D3515,Table_Tarikan_Warkah[Nomor Tiket],Table_Tarikan_Warkah[Jenis Permohonan]),"")</f>
        <v>PEMECAHAN</v>
      </c>
      <c r="H3515" s="70"/>
      <c r="I3515" s="49"/>
      <c r="J3515" s="36" t="str">
        <f t="shared" si="20"/>
        <v/>
      </c>
      <c r="K3515" s="49" t="s">
        <v>2378</v>
      </c>
      <c r="L3515" s="49" t="s">
        <v>23</v>
      </c>
      <c r="M3515" s="36">
        <f t="shared" si="33"/>
        <v>45890.65866</v>
      </c>
      <c r="N3515" s="30" t="str">
        <f t="shared" si="34"/>
        <v>BT atau SU Belum Valid</v>
      </c>
      <c r="O3515" s="39" t="str">
        <f t="shared" si="23"/>
        <v/>
      </c>
      <c r="P3515" s="47" t="b">
        <v>0</v>
      </c>
      <c r="Q3515" s="36" t="str">
        <f t="shared" si="35"/>
        <v/>
      </c>
      <c r="R3515" s="47" t="b">
        <v>0</v>
      </c>
      <c r="S3515" s="42" t="str">
        <f t="shared" si="28"/>
        <v/>
      </c>
      <c r="T3515" s="42"/>
    </row>
    <row r="3516" ht="22.5" customHeight="1">
      <c r="B3516" s="42">
        <f t="shared" si="7"/>
        <v>3510</v>
      </c>
      <c r="C3516" s="31" t="s">
        <v>3571</v>
      </c>
      <c r="D3516" s="34" t="str">
        <f t="array" ref="D3516">IFNA(_xlfn.XLOOKUP(C3516,Table_Tarikan_Warkah[Nomor Sertipikat],Table_Tarikan_Warkah[Nomor Tiket]),"")</f>
        <v>L/3/190726/1</v>
      </c>
      <c r="E3516" s="36" t="str">
        <f t="array" ref="E3516">IFNA(_xlfn.XLOOKUP(D3516,Table_Tarikan_Warkah[Nomor Tiket],Table_Tarikan_Warkah[Tanggal diserahkan kepada Validator]),"")</f>
        <v/>
      </c>
      <c r="F3516" s="36" t="str">
        <f t="array" ref="F3516">IFNA(_xlfn.XLOOKUP(D3516,Table_Tarikan_Warkah[Nomor Tiket],Table_Tarikan_Warkah[Nama Petugas Warkah]),"")</f>
        <v/>
      </c>
      <c r="G3516" s="39" t="str">
        <f t="array" ref="G3516">IFNA(_xlfn.XLOOKUP(D3516,Table_Tarikan_Warkah[Nomor Tiket],Table_Tarikan_Warkah[Jenis Permohonan]),"")</f>
        <v>ROYA</v>
      </c>
      <c r="H3516" s="41" t="s">
        <v>20</v>
      </c>
      <c r="I3516" s="49" t="s">
        <v>23</v>
      </c>
      <c r="J3516" s="36">
        <f t="shared" si="20"/>
        <v>45891.38627</v>
      </c>
      <c r="K3516" s="49" t="s">
        <v>2378</v>
      </c>
      <c r="L3516" s="49" t="s">
        <v>23</v>
      </c>
      <c r="M3516" s="36">
        <f t="shared" si="33"/>
        <v>45894.65357</v>
      </c>
      <c r="N3516" s="30" t="str">
        <f t="shared" si="34"/>
        <v>Selesai</v>
      </c>
      <c r="O3516" s="45">
        <f t="shared" si="23"/>
        <v>45894.65357</v>
      </c>
      <c r="P3516" s="47" t="b">
        <v>0</v>
      </c>
      <c r="Q3516" s="36" t="str">
        <f t="shared" si="35"/>
        <v/>
      </c>
      <c r="R3516" s="47" t="b">
        <v>0</v>
      </c>
      <c r="S3516" s="42" t="str">
        <f t="shared" si="28"/>
        <v/>
      </c>
      <c r="T3516" s="42"/>
    </row>
    <row r="3517" ht="22.5" customHeight="1">
      <c r="B3517" s="42">
        <f t="shared" si="7"/>
        <v>3511</v>
      </c>
      <c r="C3517" s="31" t="s">
        <v>3572</v>
      </c>
      <c r="D3517" s="34" t="str">
        <f t="array" ref="D3517">IFNA(_xlfn.XLOOKUP(C3517,Table_Tarikan_Warkah[Nomor Sertipikat],Table_Tarikan_Warkah[Nomor Tiket]),"")</f>
        <v>K/13/300725/2</v>
      </c>
      <c r="E3517" s="36" t="str">
        <f t="array" ref="E3517">IFNA(_xlfn.XLOOKUP(D3517,Table_Tarikan_Warkah[Nomor Tiket],Table_Tarikan_Warkah[Tanggal diserahkan kepada Validator]),"")</f>
        <v/>
      </c>
      <c r="F3517" s="36" t="str">
        <f t="array" ref="F3517">IFNA(_xlfn.XLOOKUP(D3517,Table_Tarikan_Warkah[Nomor Tiket],Table_Tarikan_Warkah[Nama Petugas Warkah]),"")</f>
        <v/>
      </c>
      <c r="G3517" s="39" t="str">
        <f t="array" ref="G3517">IFNA(_xlfn.XLOOKUP(D3517,Table_Tarikan_Warkah[Nomor Tiket],Table_Tarikan_Warkah[Jenis Permohonan]),"")</f>
        <v>PENINGKATAN HAK</v>
      </c>
      <c r="H3517" s="41" t="s">
        <v>20</v>
      </c>
      <c r="I3517" s="49" t="s">
        <v>23</v>
      </c>
      <c r="J3517" s="36">
        <f t="shared" si="20"/>
        <v>45891.38627</v>
      </c>
      <c r="K3517" s="49" t="s">
        <v>2378</v>
      </c>
      <c r="L3517" s="49" t="s">
        <v>23</v>
      </c>
      <c r="M3517" s="36">
        <f t="shared" si="33"/>
        <v>45894.65127</v>
      </c>
      <c r="N3517" s="30" t="str">
        <f t="shared" si="34"/>
        <v>Selesai</v>
      </c>
      <c r="O3517" s="45">
        <f t="shared" si="23"/>
        <v>45894.65127</v>
      </c>
      <c r="P3517" s="47" t="b">
        <v>0</v>
      </c>
      <c r="Q3517" s="36" t="str">
        <f t="shared" si="35"/>
        <v/>
      </c>
      <c r="R3517" s="47" t="b">
        <v>0</v>
      </c>
      <c r="S3517" s="42" t="str">
        <f t="shared" si="28"/>
        <v/>
      </c>
      <c r="T3517" s="42"/>
    </row>
    <row r="3518" ht="22.5" customHeight="1">
      <c r="B3518" s="42">
        <f t="shared" si="7"/>
        <v>3512</v>
      </c>
      <c r="C3518" s="31" t="s">
        <v>3573</v>
      </c>
      <c r="D3518" s="34" t="str">
        <f t="array" ref="D3518">IFNA(_xlfn.XLOOKUP(C3518,Table_Tarikan_Warkah[Nomor Sertipikat],Table_Tarikan_Warkah[Nomor Tiket]),"")</f>
        <v>L/23/070827/1</v>
      </c>
      <c r="E3518" s="36" t="str">
        <f t="array" ref="E3518">IFNA(_xlfn.XLOOKUP(D3518,Table_Tarikan_Warkah[Nomor Tiket],Table_Tarikan_Warkah[Tanggal diserahkan kepada Validator]),"")</f>
        <v/>
      </c>
      <c r="F3518" s="36" t="str">
        <f t="array" ref="F3518">IFNA(_xlfn.XLOOKUP(D3518,Table_Tarikan_Warkah[Nomor Tiket],Table_Tarikan_Warkah[Nama Petugas Warkah]),"")</f>
        <v/>
      </c>
      <c r="G3518" s="39" t="str">
        <f t="array" ref="G3518">IFNA(_xlfn.XLOOKUP(D3518,Table_Tarikan_Warkah[Nomor Tiket],Table_Tarikan_Warkah[Jenis Permohonan]),"")</f>
        <v>PENINGKATAN HAK</v>
      </c>
      <c r="H3518" s="41" t="s">
        <v>20</v>
      </c>
      <c r="I3518" s="49" t="s">
        <v>23</v>
      </c>
      <c r="J3518" s="36">
        <f t="shared" si="20"/>
        <v>45891.38633</v>
      </c>
      <c r="K3518" s="49" t="s">
        <v>2378</v>
      </c>
      <c r="L3518" s="49" t="s">
        <v>23</v>
      </c>
      <c r="M3518" s="36">
        <f t="shared" si="33"/>
        <v>45895.66314</v>
      </c>
      <c r="N3518" s="30" t="str">
        <f t="shared" si="34"/>
        <v>Selesai</v>
      </c>
      <c r="O3518" s="45">
        <f t="shared" si="23"/>
        <v>45895.66314</v>
      </c>
      <c r="P3518" s="47" t="b">
        <v>0</v>
      </c>
      <c r="Q3518" s="36" t="str">
        <f t="shared" si="35"/>
        <v/>
      </c>
      <c r="R3518" s="47" t="b">
        <v>0</v>
      </c>
      <c r="S3518" s="42" t="str">
        <f t="shared" si="28"/>
        <v/>
      </c>
      <c r="T3518" s="42"/>
    </row>
    <row r="3519" ht="22.5" customHeight="1">
      <c r="B3519" s="42">
        <f t="shared" si="7"/>
        <v>3513</v>
      </c>
      <c r="C3519" s="31" t="s">
        <v>3574</v>
      </c>
      <c r="D3519" s="34" t="str">
        <f t="array" ref="D3519">IFNA(_xlfn.XLOOKUP(C3519,Table_Tarikan_Warkah[Nomor Sertipikat],Table_Tarikan_Warkah[Nomor Tiket]),"")</f>
        <v>K/2/050825/1</v>
      </c>
      <c r="E3519" s="36" t="str">
        <f t="array" ref="E3519">IFNA(_xlfn.XLOOKUP(D3519,Table_Tarikan_Warkah[Nomor Tiket],Table_Tarikan_Warkah[Tanggal diserahkan kepada Validator]),"")</f>
        <v/>
      </c>
      <c r="F3519" s="36" t="str">
        <f t="array" ref="F3519">IFNA(_xlfn.XLOOKUP(D3519,Table_Tarikan_Warkah[Nomor Tiket],Table_Tarikan_Warkah[Nama Petugas Warkah]),"")</f>
        <v/>
      </c>
      <c r="G3519" s="39" t="str">
        <f t="array" ref="G3519">IFNA(_xlfn.XLOOKUP(D3519,Table_Tarikan_Warkah[Nomor Tiket],Table_Tarikan_Warkah[Jenis Permohonan]),"")</f>
        <v>BN WARIS</v>
      </c>
      <c r="H3519" s="41" t="s">
        <v>20</v>
      </c>
      <c r="I3519" s="49" t="s">
        <v>23</v>
      </c>
      <c r="J3519" s="36">
        <f t="shared" si="20"/>
        <v>45891.38648</v>
      </c>
      <c r="K3519" s="49" t="s">
        <v>2378</v>
      </c>
      <c r="L3519" s="49" t="s">
        <v>23</v>
      </c>
      <c r="M3519" s="36">
        <f t="shared" si="33"/>
        <v>45894.65367</v>
      </c>
      <c r="N3519" s="30" t="str">
        <f t="shared" si="34"/>
        <v>Selesai</v>
      </c>
      <c r="O3519" s="45">
        <f t="shared" si="23"/>
        <v>45894.65367</v>
      </c>
      <c r="P3519" s="47" t="b">
        <v>0</v>
      </c>
      <c r="Q3519" s="36" t="str">
        <f t="shared" si="35"/>
        <v/>
      </c>
      <c r="R3519" s="47" t="b">
        <v>0</v>
      </c>
      <c r="S3519" s="42" t="str">
        <f t="shared" si="28"/>
        <v/>
      </c>
      <c r="T3519" s="42"/>
    </row>
    <row r="3520" ht="22.5" customHeight="1">
      <c r="B3520" s="42">
        <f t="shared" si="7"/>
        <v>3514</v>
      </c>
      <c r="C3520" s="31" t="s">
        <v>3575</v>
      </c>
      <c r="D3520" s="34" t="str">
        <f t="array" ref="D3520">IFNA(_xlfn.XLOOKUP(C3520,Table_Tarikan_Warkah[Nomor Sertipikat],Table_Tarikan_Warkah[Nomor Tiket]),"")</f>
        <v>K/5/010825/1</v>
      </c>
      <c r="E3520" s="36" t="str">
        <f t="array" ref="E3520">IFNA(_xlfn.XLOOKUP(D3520,Table_Tarikan_Warkah[Nomor Tiket],Table_Tarikan_Warkah[Tanggal diserahkan kepada Validator]),"")</f>
        <v/>
      </c>
      <c r="F3520" s="36" t="str">
        <f t="array" ref="F3520">IFNA(_xlfn.XLOOKUP(D3520,Table_Tarikan_Warkah[Nomor Tiket],Table_Tarikan_Warkah[Nama Petugas Warkah]),"")</f>
        <v/>
      </c>
      <c r="G3520" s="39" t="str">
        <f t="array" ref="G3520">IFNA(_xlfn.XLOOKUP(D3520,Table_Tarikan_Warkah[Nomor Tiket],Table_Tarikan_Warkah[Jenis Permohonan]),"")</f>
        <v>JUAL BELI</v>
      </c>
      <c r="H3520" s="41" t="s">
        <v>20</v>
      </c>
      <c r="I3520" s="49" t="s">
        <v>23</v>
      </c>
      <c r="J3520" s="36">
        <f t="shared" si="20"/>
        <v>45891.38657</v>
      </c>
      <c r="K3520" s="49" t="s">
        <v>2378</v>
      </c>
      <c r="L3520" s="49" t="s">
        <v>23</v>
      </c>
      <c r="M3520" s="36">
        <f t="shared" si="33"/>
        <v>45894.65383</v>
      </c>
      <c r="N3520" s="30" t="str">
        <f t="shared" si="34"/>
        <v>Selesai</v>
      </c>
      <c r="O3520" s="45">
        <f t="shared" si="23"/>
        <v>45894.65383</v>
      </c>
      <c r="P3520" s="47" t="b">
        <v>0</v>
      </c>
      <c r="Q3520" s="36" t="str">
        <f t="shared" si="35"/>
        <v/>
      </c>
      <c r="R3520" s="47" t="b">
        <v>0</v>
      </c>
      <c r="S3520" s="42" t="str">
        <f t="shared" si="28"/>
        <v/>
      </c>
      <c r="T3520" s="42"/>
    </row>
    <row r="3521" ht="22.5" customHeight="1">
      <c r="B3521" s="42">
        <f t="shared" si="7"/>
        <v>3515</v>
      </c>
      <c r="C3521" s="31" t="s">
        <v>3576</v>
      </c>
      <c r="D3521" s="34" t="str">
        <f t="array" ref="D3521">IFNA(_xlfn.XLOOKUP(C3521,Table_Tarikan_Warkah[Nomor Sertipikat],Table_Tarikan_Warkah[Nomor Tiket]),"")</f>
        <v>L/38/080826/1</v>
      </c>
      <c r="E3521" s="36" t="str">
        <f t="array" ref="E3521">IFNA(_xlfn.XLOOKUP(D3521,Table_Tarikan_Warkah[Nomor Tiket],Table_Tarikan_Warkah[Tanggal diserahkan kepada Validator]),"")</f>
        <v/>
      </c>
      <c r="F3521" s="36" t="str">
        <f t="array" ref="F3521">IFNA(_xlfn.XLOOKUP(D3521,Table_Tarikan_Warkah[Nomor Tiket],Table_Tarikan_Warkah[Nama Petugas Warkah]),"")</f>
        <v/>
      </c>
      <c r="G3521" s="39" t="str">
        <f t="array" ref="G3521">IFNA(_xlfn.XLOOKUP(D3521,Table_Tarikan_Warkah[Nomor Tiket],Table_Tarikan_Warkah[Jenis Permohonan]),"")</f>
        <v>ROYA</v>
      </c>
      <c r="H3521" s="41" t="s">
        <v>20</v>
      </c>
      <c r="I3521" s="49" t="s">
        <v>23</v>
      </c>
      <c r="J3521" s="36">
        <f t="shared" si="20"/>
        <v>45891.38671</v>
      </c>
      <c r="K3521" s="49" t="s">
        <v>2378</v>
      </c>
      <c r="L3521" s="49" t="s">
        <v>23</v>
      </c>
      <c r="M3521" s="36">
        <f t="shared" si="33"/>
        <v>45894.65103</v>
      </c>
      <c r="N3521" s="30" t="str">
        <f t="shared" si="34"/>
        <v>Selesai</v>
      </c>
      <c r="O3521" s="45">
        <f t="shared" si="23"/>
        <v>45894.65103</v>
      </c>
      <c r="P3521" s="47" t="b">
        <v>0</v>
      </c>
      <c r="Q3521" s="36" t="str">
        <f t="shared" si="35"/>
        <v/>
      </c>
      <c r="R3521" s="47" t="b">
        <v>0</v>
      </c>
      <c r="S3521" s="42" t="str">
        <f t="shared" si="28"/>
        <v/>
      </c>
      <c r="T3521" s="42"/>
    </row>
    <row r="3522" ht="22.5" customHeight="1">
      <c r="B3522" s="42">
        <f t="shared" si="7"/>
        <v>3516</v>
      </c>
      <c r="C3522" s="31" t="s">
        <v>3577</v>
      </c>
      <c r="D3522" s="34" t="str">
        <f t="array" ref="D3522">IFNA(_xlfn.XLOOKUP(C3522,Table_Tarikan_Warkah[Nomor Sertipikat],Table_Tarikan_Warkah[Nomor Tiket]),"")</f>
        <v>L/27/120825/1</v>
      </c>
      <c r="E3522" s="36" t="str">
        <f t="array" ref="E3522">IFNA(_xlfn.XLOOKUP(D3522,Table_Tarikan_Warkah[Nomor Tiket],Table_Tarikan_Warkah[Tanggal diserahkan kepada Validator]),"")</f>
        <v/>
      </c>
      <c r="F3522" s="36" t="str">
        <f t="array" ref="F3522">IFNA(_xlfn.XLOOKUP(D3522,Table_Tarikan_Warkah[Nomor Tiket],Table_Tarikan_Warkah[Nama Petugas Warkah]),"")</f>
        <v/>
      </c>
      <c r="G3522" s="39" t="str">
        <f t="array" ref="G3522">IFNA(_xlfn.XLOOKUP(D3522,Table_Tarikan_Warkah[Nomor Tiket],Table_Tarikan_Warkah[Jenis Permohonan]),"")</f>
        <v>PENINGKATAN HAK</v>
      </c>
      <c r="H3522" s="41" t="s">
        <v>20</v>
      </c>
      <c r="I3522" s="49" t="s">
        <v>23</v>
      </c>
      <c r="J3522" s="36">
        <f t="shared" si="20"/>
        <v>45891.3868</v>
      </c>
      <c r="K3522" s="49" t="s">
        <v>2378</v>
      </c>
      <c r="L3522" s="49" t="s">
        <v>23</v>
      </c>
      <c r="M3522" s="36">
        <f t="shared" si="33"/>
        <v>45894.65093</v>
      </c>
      <c r="N3522" s="30" t="str">
        <f t="shared" si="34"/>
        <v>Selesai</v>
      </c>
      <c r="O3522" s="45">
        <f t="shared" si="23"/>
        <v>45894.65093</v>
      </c>
      <c r="P3522" s="47" t="b">
        <v>0</v>
      </c>
      <c r="Q3522" s="36" t="str">
        <f t="shared" si="35"/>
        <v/>
      </c>
      <c r="R3522" s="47" t="b">
        <v>0</v>
      </c>
      <c r="S3522" s="42" t="str">
        <f t="shared" si="28"/>
        <v/>
      </c>
      <c r="T3522" s="42"/>
    </row>
    <row r="3523" ht="22.5" customHeight="1">
      <c r="B3523" s="42">
        <f t="shared" si="7"/>
        <v>3517</v>
      </c>
      <c r="C3523" s="31" t="s">
        <v>3578</v>
      </c>
      <c r="D3523" s="34" t="str">
        <f t="array" ref="D3523">IFNA(_xlfn.XLOOKUP(C3523,Table_Tarikan_Warkah[Nomor Sertipikat],Table_Tarikan_Warkah[Nomor Tiket]),"")</f>
        <v>L/19/070826/1</v>
      </c>
      <c r="E3523" s="36">
        <f t="array" ref="E3523">IFNA(_xlfn.XLOOKUP(D3523,Table_Tarikan_Warkah[Nomor Tiket],Table_Tarikan_Warkah[Tanggal diserahkan kepada Validator]),"")</f>
        <v>45916.40541</v>
      </c>
      <c r="F3523" s="36" t="str">
        <f t="array" ref="F3523">IFNA(_xlfn.XLOOKUP(D3523,Table_Tarikan_Warkah[Nomor Tiket],Table_Tarikan_Warkah[Nama Petugas Warkah]),"")</f>
        <v>David</v>
      </c>
      <c r="G3523" s="39" t="str">
        <f t="array" ref="G3523">IFNA(_xlfn.XLOOKUP(D3523,Table_Tarikan_Warkah[Nomor Tiket],Table_Tarikan_Warkah[Jenis Permohonan]),"")</f>
        <v>ROYA</v>
      </c>
      <c r="H3523" s="41" t="s">
        <v>20</v>
      </c>
      <c r="I3523" s="49" t="s">
        <v>23</v>
      </c>
      <c r="J3523" s="36">
        <f t="shared" si="20"/>
        <v>45891.38693</v>
      </c>
      <c r="K3523" s="49" t="s">
        <v>2378</v>
      </c>
      <c r="L3523" s="49" t="s">
        <v>23</v>
      </c>
      <c r="M3523" s="36">
        <f t="shared" si="33"/>
        <v>45894.65405</v>
      </c>
      <c r="N3523" s="30" t="str">
        <f t="shared" si="34"/>
        <v>Selesai</v>
      </c>
      <c r="O3523" s="45">
        <f t="shared" si="23"/>
        <v>45894.65405</v>
      </c>
      <c r="P3523" s="47" t="b">
        <v>0</v>
      </c>
      <c r="Q3523" s="36" t="str">
        <f t="shared" si="35"/>
        <v/>
      </c>
      <c r="R3523" s="47" t="b">
        <v>0</v>
      </c>
      <c r="S3523" s="42" t="str">
        <f t="shared" si="28"/>
        <v/>
      </c>
      <c r="T3523" s="42"/>
    </row>
    <row r="3524" ht="22.5" customHeight="1">
      <c r="B3524" s="42">
        <f t="shared" si="7"/>
        <v>3518</v>
      </c>
      <c r="C3524" s="31" t="s">
        <v>3579</v>
      </c>
      <c r="D3524" s="34" t="str">
        <f t="array" ref="D3524">IFNA(_xlfn.XLOOKUP(C3524,Table_Tarikan_Warkah[Nomor Sertipikat],Table_Tarikan_Warkah[Nomor Tiket]),"")</f>
        <v>L/2/060825/1</v>
      </c>
      <c r="E3524" s="36" t="str">
        <f t="array" ref="E3524">IFNA(_xlfn.XLOOKUP(D3524,Table_Tarikan_Warkah[Nomor Tiket],Table_Tarikan_Warkah[Tanggal diserahkan kepada Validator]),"")</f>
        <v/>
      </c>
      <c r="F3524" s="36" t="str">
        <f t="array" ref="F3524">IFNA(_xlfn.XLOOKUP(D3524,Table_Tarikan_Warkah[Nomor Tiket],Table_Tarikan_Warkah[Nama Petugas Warkah]),"")</f>
        <v/>
      </c>
      <c r="G3524" s="39" t="str">
        <f t="array" ref="G3524">IFNA(_xlfn.XLOOKUP(D3524,Table_Tarikan_Warkah[Nomor Tiket],Table_Tarikan_Warkah[Jenis Permohonan]),"")</f>
        <v>ROYA</v>
      </c>
      <c r="H3524" s="41" t="s">
        <v>20</v>
      </c>
      <c r="I3524" s="49" t="s">
        <v>23</v>
      </c>
      <c r="J3524" s="36">
        <f t="shared" si="20"/>
        <v>45891.38702</v>
      </c>
      <c r="K3524" s="49" t="s">
        <v>2378</v>
      </c>
      <c r="L3524" s="49" t="s">
        <v>23</v>
      </c>
      <c r="M3524" s="36">
        <f t="shared" si="33"/>
        <v>45894.65084</v>
      </c>
      <c r="N3524" s="30" t="str">
        <f t="shared" si="34"/>
        <v>Selesai</v>
      </c>
      <c r="O3524" s="45">
        <f t="shared" si="23"/>
        <v>45894.65084</v>
      </c>
      <c r="P3524" s="47" t="b">
        <v>0</v>
      </c>
      <c r="Q3524" s="36" t="str">
        <f t="shared" si="35"/>
        <v/>
      </c>
      <c r="R3524" s="47" t="b">
        <v>0</v>
      </c>
      <c r="S3524" s="42" t="str">
        <f t="shared" si="28"/>
        <v/>
      </c>
      <c r="T3524" s="42"/>
    </row>
    <row r="3525" ht="22.5" customHeight="1">
      <c r="B3525" s="42">
        <f t="shared" si="7"/>
        <v>3519</v>
      </c>
      <c r="C3525" s="31" t="s">
        <v>3580</v>
      </c>
      <c r="D3525" s="34" t="str">
        <f t="array" ref="D3525">IFNA(_xlfn.XLOOKUP(C3525,Table_Tarikan_Warkah[Nomor Sertipikat],Table_Tarikan_Warkah[Nomor Tiket]),"")</f>
        <v>L/11/060825/1</v>
      </c>
      <c r="E3525" s="36" t="str">
        <f t="array" ref="E3525">IFNA(_xlfn.XLOOKUP(D3525,Table_Tarikan_Warkah[Nomor Tiket],Table_Tarikan_Warkah[Tanggal diserahkan kepada Validator]),"")</f>
        <v/>
      </c>
      <c r="F3525" s="36" t="str">
        <f t="array" ref="F3525">IFNA(_xlfn.XLOOKUP(D3525,Table_Tarikan_Warkah[Nomor Tiket],Table_Tarikan_Warkah[Nama Petugas Warkah]),"")</f>
        <v/>
      </c>
      <c r="G3525" s="39" t="str">
        <f t="array" ref="G3525">IFNA(_xlfn.XLOOKUP(D3525,Table_Tarikan_Warkah[Nomor Tiket],Table_Tarikan_Warkah[Jenis Permohonan]),"")</f>
        <v>ROYA</v>
      </c>
      <c r="H3525" s="41" t="s">
        <v>20</v>
      </c>
      <c r="I3525" s="49" t="s">
        <v>23</v>
      </c>
      <c r="J3525" s="36">
        <f t="shared" si="20"/>
        <v>45891.38712</v>
      </c>
      <c r="K3525" s="49" t="s">
        <v>2378</v>
      </c>
      <c r="L3525" s="49" t="s">
        <v>23</v>
      </c>
      <c r="M3525" s="36">
        <f t="shared" si="33"/>
        <v>45894.65076</v>
      </c>
      <c r="N3525" s="30" t="str">
        <f t="shared" si="34"/>
        <v>Selesai</v>
      </c>
      <c r="O3525" s="45">
        <f t="shared" si="23"/>
        <v>45894.65076</v>
      </c>
      <c r="P3525" s="47" t="b">
        <v>0</v>
      </c>
      <c r="Q3525" s="36" t="str">
        <f t="shared" si="35"/>
        <v/>
      </c>
      <c r="R3525" s="47" t="b">
        <v>0</v>
      </c>
      <c r="S3525" s="42" t="str">
        <f t="shared" si="28"/>
        <v/>
      </c>
      <c r="T3525" s="42"/>
    </row>
    <row r="3526" ht="22.5" customHeight="1">
      <c r="B3526" s="42">
        <f t="shared" si="7"/>
        <v>3520</v>
      </c>
      <c r="C3526" s="31" t="s">
        <v>3581</v>
      </c>
      <c r="D3526" s="34" t="str">
        <f t="array" ref="D3526">IFNA(_xlfn.XLOOKUP(C3526,Table_Tarikan_Warkah[Nomor Sertipikat],Table_Tarikan_Warkah[Nomor Tiket]),"")</f>
        <v>L/7/080825/2</v>
      </c>
      <c r="E3526" s="36" t="str">
        <f t="array" ref="E3526">IFNA(_xlfn.XLOOKUP(D3526,Table_Tarikan_Warkah[Nomor Tiket],Table_Tarikan_Warkah[Tanggal diserahkan kepada Validator]),"")</f>
        <v/>
      </c>
      <c r="F3526" s="36" t="str">
        <f t="array" ref="F3526">IFNA(_xlfn.XLOOKUP(D3526,Table_Tarikan_Warkah[Nomor Tiket],Table_Tarikan_Warkah[Nama Petugas Warkah]),"")</f>
        <v/>
      </c>
      <c r="G3526" s="39" t="str">
        <f t="array" ref="G3526">IFNA(_xlfn.XLOOKUP(D3526,Table_Tarikan_Warkah[Nomor Tiket],Table_Tarikan_Warkah[Jenis Permohonan]),"")</f>
        <v>ROYA</v>
      </c>
      <c r="H3526" s="41" t="s">
        <v>20</v>
      </c>
      <c r="I3526" s="49" t="s">
        <v>23</v>
      </c>
      <c r="J3526" s="36">
        <f t="shared" si="20"/>
        <v>45891.38727</v>
      </c>
      <c r="K3526" s="49" t="s">
        <v>2378</v>
      </c>
      <c r="L3526" s="49" t="s">
        <v>23</v>
      </c>
      <c r="M3526" s="36">
        <f t="shared" si="33"/>
        <v>45894.6542</v>
      </c>
      <c r="N3526" s="30" t="str">
        <f t="shared" si="34"/>
        <v>Selesai</v>
      </c>
      <c r="O3526" s="45">
        <f t="shared" si="23"/>
        <v>45894.6542</v>
      </c>
      <c r="P3526" s="47" t="b">
        <v>0</v>
      </c>
      <c r="Q3526" s="36" t="str">
        <f t="shared" si="35"/>
        <v/>
      </c>
      <c r="R3526" s="47" t="b">
        <v>0</v>
      </c>
      <c r="S3526" s="42" t="str">
        <f t="shared" si="28"/>
        <v/>
      </c>
      <c r="T3526" s="42"/>
    </row>
    <row r="3527" ht="22.5" customHeight="1">
      <c r="B3527" s="42">
        <f t="shared" si="7"/>
        <v>3521</v>
      </c>
      <c r="C3527" s="31" t="s">
        <v>3582</v>
      </c>
      <c r="D3527" s="34" t="str">
        <f t="array" ref="D3527">IFNA(_xlfn.XLOOKUP(C3527,Table_Tarikan_Warkah[Nomor Sertipikat],Table_Tarikan_Warkah[Nomor Tiket]),"")</f>
        <v>L/3/070825/1</v>
      </c>
      <c r="E3527" s="36" t="str">
        <f t="array" ref="E3527">IFNA(_xlfn.XLOOKUP(D3527,Table_Tarikan_Warkah[Nomor Tiket],Table_Tarikan_Warkah[Tanggal diserahkan kepada Validator]),"")</f>
        <v/>
      </c>
      <c r="F3527" s="36" t="str">
        <f t="array" ref="F3527">IFNA(_xlfn.XLOOKUP(D3527,Table_Tarikan_Warkah[Nomor Tiket],Table_Tarikan_Warkah[Nama Petugas Warkah]),"")</f>
        <v/>
      </c>
      <c r="G3527" s="39" t="str">
        <f t="array" ref="G3527">IFNA(_xlfn.XLOOKUP(D3527,Table_Tarikan_Warkah[Nomor Tiket],Table_Tarikan_Warkah[Jenis Permohonan]),"")</f>
        <v>ROYA</v>
      </c>
      <c r="H3527" s="41" t="s">
        <v>20</v>
      </c>
      <c r="I3527" s="49" t="s">
        <v>23</v>
      </c>
      <c r="J3527" s="36">
        <f t="shared" si="20"/>
        <v>45891.38736</v>
      </c>
      <c r="K3527" s="49" t="s">
        <v>2378</v>
      </c>
      <c r="L3527" s="49" t="s">
        <v>23</v>
      </c>
      <c r="M3527" s="36">
        <f t="shared" si="33"/>
        <v>45894.6514</v>
      </c>
      <c r="N3527" s="30" t="str">
        <f t="shared" si="34"/>
        <v>Selesai</v>
      </c>
      <c r="O3527" s="45">
        <f t="shared" si="23"/>
        <v>45894.6514</v>
      </c>
      <c r="P3527" s="47" t="b">
        <v>0</v>
      </c>
      <c r="Q3527" s="36" t="str">
        <f t="shared" si="35"/>
        <v/>
      </c>
      <c r="R3527" s="47" t="b">
        <v>0</v>
      </c>
      <c r="S3527" s="42" t="str">
        <f t="shared" si="28"/>
        <v/>
      </c>
      <c r="T3527" s="42"/>
    </row>
    <row r="3528" ht="22.5" customHeight="1">
      <c r="B3528" s="42">
        <f t="shared" si="7"/>
        <v>3522</v>
      </c>
      <c r="C3528" s="31" t="s">
        <v>3583</v>
      </c>
      <c r="D3528" s="34" t="str">
        <f t="array" ref="D3528">IFNA(_xlfn.XLOOKUP(C3528,Table_Tarikan_Warkah[Nomor Sertipikat],Table_Tarikan_Warkah[Nomor Tiket]),"")</f>
        <v>L/6/070825/1</v>
      </c>
      <c r="E3528" s="36" t="str">
        <f t="array" ref="E3528">IFNA(_xlfn.XLOOKUP(D3528,Table_Tarikan_Warkah[Nomor Tiket],Table_Tarikan_Warkah[Tanggal diserahkan kepada Validator]),"")</f>
        <v/>
      </c>
      <c r="F3528" s="36" t="str">
        <f t="array" ref="F3528">IFNA(_xlfn.XLOOKUP(D3528,Table_Tarikan_Warkah[Nomor Tiket],Table_Tarikan_Warkah[Nama Petugas Warkah]),"")</f>
        <v/>
      </c>
      <c r="G3528" s="39" t="str">
        <f t="array" ref="G3528">IFNA(_xlfn.XLOOKUP(D3528,Table_Tarikan_Warkah[Nomor Tiket],Table_Tarikan_Warkah[Jenis Permohonan]),"")</f>
        <v>ROYA</v>
      </c>
      <c r="H3528" s="41" t="s">
        <v>20</v>
      </c>
      <c r="I3528" s="49" t="s">
        <v>23</v>
      </c>
      <c r="J3528" s="36">
        <f t="shared" si="20"/>
        <v>45891.38762</v>
      </c>
      <c r="K3528" s="49" t="s">
        <v>2378</v>
      </c>
      <c r="L3528" s="49" t="s">
        <v>23</v>
      </c>
      <c r="M3528" s="36">
        <f t="shared" si="33"/>
        <v>45894.65264</v>
      </c>
      <c r="N3528" s="30" t="str">
        <f t="shared" si="34"/>
        <v>Selesai</v>
      </c>
      <c r="O3528" s="45">
        <f t="shared" si="23"/>
        <v>45894.65264</v>
      </c>
      <c r="P3528" s="47" t="b">
        <v>0</v>
      </c>
      <c r="Q3528" s="36" t="str">
        <f t="shared" si="35"/>
        <v/>
      </c>
      <c r="R3528" s="47" t="b">
        <v>0</v>
      </c>
      <c r="S3528" s="42" t="str">
        <f t="shared" si="28"/>
        <v/>
      </c>
      <c r="T3528" s="42"/>
    </row>
    <row r="3529" ht="22.5" customHeight="1">
      <c r="B3529" s="42">
        <f t="shared" si="7"/>
        <v>3523</v>
      </c>
      <c r="C3529" s="31" t="s">
        <v>3584</v>
      </c>
      <c r="D3529" s="34" t="str">
        <f t="array" ref="D3529">IFNA(_xlfn.XLOOKUP(C3529,Table_Tarikan_Warkah[Nomor Sertipikat],Table_Tarikan_Warkah[Nomor Tiket]),"")</f>
        <v>K/7/070825/1</v>
      </c>
      <c r="E3529" s="36" t="str">
        <f t="array" ref="E3529">IFNA(_xlfn.XLOOKUP(D3529,Table_Tarikan_Warkah[Nomor Tiket],Table_Tarikan_Warkah[Tanggal diserahkan kepada Validator]),"")</f>
        <v/>
      </c>
      <c r="F3529" s="36" t="str">
        <f t="array" ref="F3529">IFNA(_xlfn.XLOOKUP(D3529,Table_Tarikan_Warkah[Nomor Tiket],Table_Tarikan_Warkah[Nama Petugas Warkah]),"")</f>
        <v/>
      </c>
      <c r="G3529" s="39" t="str">
        <f t="array" ref="G3529">IFNA(_xlfn.XLOOKUP(D3529,Table_Tarikan_Warkah[Nomor Tiket],Table_Tarikan_Warkah[Jenis Permohonan]),"")</f>
        <v>BN WARIS</v>
      </c>
      <c r="H3529" s="41" t="s">
        <v>2315</v>
      </c>
      <c r="I3529" s="49" t="s">
        <v>23</v>
      </c>
      <c r="J3529" s="36">
        <f t="shared" si="20"/>
        <v>45891.46569</v>
      </c>
      <c r="K3529" s="49" t="s">
        <v>2378</v>
      </c>
      <c r="L3529" s="49" t="s">
        <v>23</v>
      </c>
      <c r="M3529" s="36">
        <f t="shared" si="33"/>
        <v>45894.65447</v>
      </c>
      <c r="N3529" s="30" t="str">
        <f t="shared" si="34"/>
        <v>Selesai</v>
      </c>
      <c r="O3529" s="45">
        <f t="shared" si="23"/>
        <v>45894.65447</v>
      </c>
      <c r="P3529" s="47" t="b">
        <v>0</v>
      </c>
      <c r="Q3529" s="36" t="str">
        <f t="shared" si="35"/>
        <v/>
      </c>
      <c r="R3529" s="47" t="b">
        <v>0</v>
      </c>
      <c r="S3529" s="42" t="str">
        <f t="shared" si="28"/>
        <v/>
      </c>
      <c r="T3529" s="42"/>
    </row>
    <row r="3530" ht="22.5" customHeight="1">
      <c r="B3530" s="42">
        <f t="shared" si="7"/>
        <v>3524</v>
      </c>
      <c r="C3530" s="31" t="s">
        <v>3585</v>
      </c>
      <c r="D3530" s="34" t="str">
        <f t="array" ref="D3530">IFNA(_xlfn.XLOOKUP(C3530,Table_Tarikan_Warkah[Nomor Sertipikat],Table_Tarikan_Warkah[Nomor Tiket]),"")</f>
        <v>K/7/120825/1</v>
      </c>
      <c r="E3530" s="36">
        <f t="array" ref="E3530">IFNA(_xlfn.XLOOKUP(D3530,Table_Tarikan_Warkah[Nomor Tiket],Table_Tarikan_Warkah[Tanggal diserahkan kepada Validator]),"")</f>
        <v>45915.50405</v>
      </c>
      <c r="F3530" s="36" t="str">
        <f t="array" ref="F3530">IFNA(_xlfn.XLOOKUP(D3530,Table_Tarikan_Warkah[Nomor Tiket],Table_Tarikan_Warkah[Nama Petugas Warkah]),"")</f>
        <v>David</v>
      </c>
      <c r="G3530" s="39" t="str">
        <f t="array" ref="G3530">IFNA(_xlfn.XLOOKUP(D3530,Table_Tarikan_Warkah[Nomor Tiket],Table_Tarikan_Warkah[Jenis Permohonan]),"")</f>
        <v>BN Hibah</v>
      </c>
      <c r="H3530" s="41" t="s">
        <v>2315</v>
      </c>
      <c r="I3530" s="49" t="s">
        <v>23</v>
      </c>
      <c r="J3530" s="36">
        <f t="shared" si="20"/>
        <v>45891.46603</v>
      </c>
      <c r="K3530" s="49" t="s">
        <v>2378</v>
      </c>
      <c r="L3530" s="49" t="s">
        <v>23</v>
      </c>
      <c r="M3530" s="36">
        <f t="shared" si="33"/>
        <v>45894.65457</v>
      </c>
      <c r="N3530" s="30" t="str">
        <f t="shared" si="34"/>
        <v>Selesai</v>
      </c>
      <c r="O3530" s="45">
        <f t="shared" si="23"/>
        <v>45894.65457</v>
      </c>
      <c r="P3530" s="47" t="b">
        <v>0</v>
      </c>
      <c r="Q3530" s="36" t="str">
        <f t="shared" si="35"/>
        <v/>
      </c>
      <c r="R3530" s="47" t="b">
        <v>0</v>
      </c>
      <c r="S3530" s="42" t="str">
        <f t="shared" si="28"/>
        <v/>
      </c>
      <c r="T3530" s="42"/>
    </row>
    <row r="3531" ht="22.5" customHeight="1">
      <c r="B3531" s="42">
        <f t="shared" si="7"/>
        <v>3525</v>
      </c>
      <c r="C3531" s="31" t="s">
        <v>3586</v>
      </c>
      <c r="D3531" s="34" t="str">
        <f t="array" ref="D3531">IFNA(_xlfn.XLOOKUP(C3531,Table_Tarikan_Warkah[Nomor Sertipikat],Table_Tarikan_Warkah[Nomor Tiket]),"")</f>
        <v>K/12/120825/1</v>
      </c>
      <c r="E3531" s="36">
        <f t="array" ref="E3531">IFNA(_xlfn.XLOOKUP(D3531,Table_Tarikan_Warkah[Nomor Tiket],Table_Tarikan_Warkah[Tanggal diserahkan kepada Validator]),"")</f>
        <v>45938.49361</v>
      </c>
      <c r="F3531" s="36" t="str">
        <f t="array" ref="F3531">IFNA(_xlfn.XLOOKUP(D3531,Table_Tarikan_Warkah[Nomor Tiket],Table_Tarikan_Warkah[Nama Petugas Warkah]),"")</f>
        <v>Berry</v>
      </c>
      <c r="G3531" s="39" t="str">
        <f t="array" ref="G3531">IFNA(_xlfn.XLOOKUP(D3531,Table_Tarikan_Warkah[Nomor Tiket],Table_Tarikan_Warkah[Jenis Permohonan]),"")</f>
        <v>BN Pewarisan</v>
      </c>
      <c r="H3531" s="41" t="s">
        <v>2315</v>
      </c>
      <c r="I3531" s="49" t="s">
        <v>23</v>
      </c>
      <c r="J3531" s="36">
        <f t="shared" si="20"/>
        <v>45891.46614</v>
      </c>
      <c r="K3531" s="49" t="s">
        <v>2378</v>
      </c>
      <c r="L3531" s="49" t="s">
        <v>23</v>
      </c>
      <c r="M3531" s="36">
        <f t="shared" si="33"/>
        <v>45891.60668</v>
      </c>
      <c r="N3531" s="30" t="str">
        <f t="shared" si="34"/>
        <v>Selesai</v>
      </c>
      <c r="O3531" s="45">
        <f t="shared" si="23"/>
        <v>45891.60668</v>
      </c>
      <c r="P3531" s="47" t="b">
        <v>0</v>
      </c>
      <c r="Q3531" s="36" t="str">
        <f t="shared" si="35"/>
        <v/>
      </c>
      <c r="R3531" s="47" t="b">
        <v>0</v>
      </c>
      <c r="S3531" s="42" t="str">
        <f t="shared" si="28"/>
        <v/>
      </c>
      <c r="T3531" s="42"/>
    </row>
    <row r="3532" ht="22.5" customHeight="1">
      <c r="B3532" s="42">
        <f t="shared" si="7"/>
        <v>3526</v>
      </c>
      <c r="C3532" s="31" t="s">
        <v>3587</v>
      </c>
      <c r="D3532" s="34" t="str">
        <f t="array" ref="D3532">IFNA(_xlfn.XLOOKUP(C3532,Table_Tarikan_Warkah[Nomor Sertipikat],Table_Tarikan_Warkah[Nomor Tiket]),"")</f>
        <v>K/31/180625/1</v>
      </c>
      <c r="E3532" s="36" t="str">
        <f t="array" ref="E3532">IFNA(_xlfn.XLOOKUP(D3532,Table_Tarikan_Warkah[Nomor Tiket],Table_Tarikan_Warkah[Tanggal diserahkan kepada Validator]),"")</f>
        <v/>
      </c>
      <c r="F3532" s="36" t="str">
        <f t="array" ref="F3532">IFNA(_xlfn.XLOOKUP(D3532,Table_Tarikan_Warkah[Nomor Tiket],Table_Tarikan_Warkah[Nama Petugas Warkah]),"")</f>
        <v/>
      </c>
      <c r="G3532" s="39" t="str">
        <f t="array" ref="G3532">IFNA(_xlfn.XLOOKUP(D3532,Table_Tarikan_Warkah[Nomor Tiket],Table_Tarikan_Warkah[Jenis Permohonan]),"")</f>
        <v>PERUBAHAN HAK</v>
      </c>
      <c r="H3532" s="41" t="s">
        <v>2315</v>
      </c>
      <c r="I3532" s="49" t="s">
        <v>23</v>
      </c>
      <c r="J3532" s="36">
        <f t="shared" si="20"/>
        <v>45891.46631</v>
      </c>
      <c r="K3532" s="49" t="s">
        <v>2378</v>
      </c>
      <c r="L3532" s="49" t="s">
        <v>23</v>
      </c>
      <c r="M3532" s="36">
        <f t="shared" si="33"/>
        <v>45895.66314</v>
      </c>
      <c r="N3532" s="30" t="str">
        <f t="shared" si="34"/>
        <v>Selesai</v>
      </c>
      <c r="O3532" s="45">
        <f t="shared" si="23"/>
        <v>45895.66314</v>
      </c>
      <c r="P3532" s="47" t="b">
        <v>0</v>
      </c>
      <c r="Q3532" s="36" t="str">
        <f t="shared" si="35"/>
        <v/>
      </c>
      <c r="R3532" s="47" t="b">
        <v>0</v>
      </c>
      <c r="S3532" s="42" t="str">
        <f t="shared" si="28"/>
        <v/>
      </c>
      <c r="T3532" s="42"/>
    </row>
    <row r="3533" ht="22.5" customHeight="1">
      <c r="B3533" s="42">
        <f t="shared" si="7"/>
        <v>3527</v>
      </c>
      <c r="C3533" s="31" t="s">
        <v>3588</v>
      </c>
      <c r="D3533" s="34" t="str">
        <f t="array" ref="D3533">IFNA(_xlfn.XLOOKUP(C3533,Table_Tarikan_Warkah[Nomor Sertipikat],Table_Tarikan_Warkah[Nomor Tiket]),"")</f>
        <v>K/29/160725/2</v>
      </c>
      <c r="E3533" s="36" t="str">
        <f t="array" ref="E3533">IFNA(_xlfn.XLOOKUP(D3533,Table_Tarikan_Warkah[Nomor Tiket],Table_Tarikan_Warkah[Tanggal diserahkan kepada Validator]),"")</f>
        <v/>
      </c>
      <c r="F3533" s="36" t="str">
        <f t="array" ref="F3533">IFNA(_xlfn.XLOOKUP(D3533,Table_Tarikan_Warkah[Nomor Tiket],Table_Tarikan_Warkah[Nama Petugas Warkah]),"")</f>
        <v/>
      </c>
      <c r="G3533" s="39" t="str">
        <f t="array" ref="G3533">IFNA(_xlfn.XLOOKUP(D3533,Table_Tarikan_Warkah[Nomor Tiket],Table_Tarikan_Warkah[Jenis Permohonan]),"")</f>
        <v>BN JUAL BELI</v>
      </c>
      <c r="H3533" s="41" t="s">
        <v>2315</v>
      </c>
      <c r="I3533" s="49" t="s">
        <v>23</v>
      </c>
      <c r="J3533" s="36">
        <f t="shared" si="20"/>
        <v>45891.46642</v>
      </c>
      <c r="K3533" s="49" t="s">
        <v>2378</v>
      </c>
      <c r="L3533" s="49" t="s">
        <v>23</v>
      </c>
      <c r="M3533" s="36">
        <f t="shared" si="33"/>
        <v>45894.65472</v>
      </c>
      <c r="N3533" s="30" t="str">
        <f t="shared" si="34"/>
        <v>Selesai</v>
      </c>
      <c r="O3533" s="45">
        <f t="shared" si="23"/>
        <v>45894.65472</v>
      </c>
      <c r="P3533" s="47" t="b">
        <v>0</v>
      </c>
      <c r="Q3533" s="36" t="str">
        <f t="shared" si="35"/>
        <v/>
      </c>
      <c r="R3533" s="47" t="b">
        <v>0</v>
      </c>
      <c r="S3533" s="42" t="str">
        <f t="shared" si="28"/>
        <v/>
      </c>
      <c r="T3533" s="42"/>
    </row>
    <row r="3534" ht="22.5" customHeight="1">
      <c r="B3534" s="42">
        <f t="shared" si="7"/>
        <v>3528</v>
      </c>
      <c r="C3534" s="31" t="s">
        <v>3589</v>
      </c>
      <c r="D3534" s="34" t="str">
        <f t="array" ref="D3534">IFNA(_xlfn.XLOOKUP(C3534,Table_Tarikan_Warkah[Nomor Sertipikat],Table_Tarikan_Warkah[Nomor Tiket]),"")</f>
        <v>K/4/130825/1</v>
      </c>
      <c r="E3534" s="36">
        <f t="array" ref="E3534">IFNA(_xlfn.XLOOKUP(D3534,Table_Tarikan_Warkah[Nomor Tiket],Table_Tarikan_Warkah[Tanggal diserahkan kepada Validator]),"")</f>
        <v>45930.60088</v>
      </c>
      <c r="F3534" s="36" t="str">
        <f t="array" ref="F3534">IFNA(_xlfn.XLOOKUP(D3534,Table_Tarikan_Warkah[Nomor Tiket],Table_Tarikan_Warkah[Nama Petugas Warkah]),"")</f>
        <v>David</v>
      </c>
      <c r="G3534" s="39" t="str">
        <f t="array" ref="G3534">IFNA(_xlfn.XLOOKUP(D3534,Table_Tarikan_Warkah[Nomor Tiket],Table_Tarikan_Warkah[Jenis Permohonan]),"")</f>
        <v>BN Pewarisan</v>
      </c>
      <c r="H3534" s="41" t="s">
        <v>2315</v>
      </c>
      <c r="I3534" s="49" t="s">
        <v>23</v>
      </c>
      <c r="J3534" s="36">
        <f t="shared" si="20"/>
        <v>45891.46659</v>
      </c>
      <c r="K3534" s="49" t="s">
        <v>2378</v>
      </c>
      <c r="L3534" s="49" t="s">
        <v>23</v>
      </c>
      <c r="M3534" s="36">
        <f t="shared" si="33"/>
        <v>45894.65488</v>
      </c>
      <c r="N3534" s="30" t="str">
        <f t="shared" si="34"/>
        <v>Selesai</v>
      </c>
      <c r="O3534" s="45">
        <f t="shared" si="23"/>
        <v>45894.65488</v>
      </c>
      <c r="P3534" s="47" t="b">
        <v>0</v>
      </c>
      <c r="Q3534" s="36" t="str">
        <f t="shared" si="35"/>
        <v/>
      </c>
      <c r="R3534" s="47" t="b">
        <v>0</v>
      </c>
      <c r="S3534" s="42" t="str">
        <f t="shared" si="28"/>
        <v/>
      </c>
      <c r="T3534" s="42"/>
    </row>
    <row r="3535" ht="22.5" customHeight="1">
      <c r="B3535" s="42">
        <f t="shared" si="7"/>
        <v>3529</v>
      </c>
      <c r="C3535" s="31" t="s">
        <v>3590</v>
      </c>
      <c r="D3535" s="34" t="str">
        <f t="array" ref="D3535">IFNA(_xlfn.XLOOKUP(C3535,Table_Tarikan_Warkah[Nomor Sertipikat],Table_Tarikan_Warkah[Nomor Tiket]),"")</f>
        <v>K/19/280725/2</v>
      </c>
      <c r="E3535" s="36">
        <f t="array" ref="E3535">IFNA(_xlfn.XLOOKUP(D3535,Table_Tarikan_Warkah[Nomor Tiket],Table_Tarikan_Warkah[Tanggal diserahkan kepada Validator]),"")</f>
        <v>45894.54839</v>
      </c>
      <c r="F3535" s="36" t="str">
        <f t="array" ref="F3535">IFNA(_xlfn.XLOOKUP(D3535,Table_Tarikan_Warkah[Nomor Tiket],Table_Tarikan_Warkah[Nama Petugas Warkah]),"")</f>
        <v>David</v>
      </c>
      <c r="G3535" s="39" t="str">
        <f t="array" ref="G3535">IFNA(_xlfn.XLOOKUP(D3535,Table_Tarikan_Warkah[Nomor Tiket],Table_Tarikan_Warkah[Jenis Permohonan]),"")</f>
        <v>BN Jual Beli</v>
      </c>
      <c r="H3535" s="41" t="s">
        <v>2315</v>
      </c>
      <c r="I3535" s="49" t="s">
        <v>23</v>
      </c>
      <c r="J3535" s="36">
        <f t="shared" si="20"/>
        <v>45891.46672</v>
      </c>
      <c r="K3535" s="49" t="s">
        <v>2378</v>
      </c>
      <c r="L3535" s="49" t="s">
        <v>23</v>
      </c>
      <c r="M3535" s="36">
        <f t="shared" si="33"/>
        <v>45891.6067</v>
      </c>
      <c r="N3535" s="30" t="str">
        <f t="shared" si="34"/>
        <v>Selesai</v>
      </c>
      <c r="O3535" s="45">
        <f t="shared" si="23"/>
        <v>45891.6067</v>
      </c>
      <c r="P3535" s="47" t="b">
        <v>0</v>
      </c>
      <c r="Q3535" s="36" t="str">
        <f t="shared" si="35"/>
        <v/>
      </c>
      <c r="R3535" s="47" t="b">
        <v>0</v>
      </c>
      <c r="S3535" s="42" t="str">
        <f t="shared" si="28"/>
        <v/>
      </c>
      <c r="T3535" s="42"/>
    </row>
    <row r="3536" ht="22.5" customHeight="1">
      <c r="B3536" s="42">
        <f t="shared" si="7"/>
        <v>3530</v>
      </c>
      <c r="C3536" s="31" t="s">
        <v>3591</v>
      </c>
      <c r="D3536" s="34" t="str">
        <f t="array" ref="D3536">IFNA(_xlfn.XLOOKUP(C3536,Table_Tarikan_Warkah[Nomor Sertipikat],Table_Tarikan_Warkah[Nomor Tiket]),"")</f>
        <v>K/12/140825/1</v>
      </c>
      <c r="E3536" s="36" t="str">
        <f t="array" ref="E3536">IFNA(_xlfn.XLOOKUP(D3536,Table_Tarikan_Warkah[Nomor Tiket],Table_Tarikan_Warkah[Tanggal diserahkan kepada Validator]),"")</f>
        <v/>
      </c>
      <c r="F3536" s="36" t="str">
        <f t="array" ref="F3536">IFNA(_xlfn.XLOOKUP(D3536,Table_Tarikan_Warkah[Nomor Tiket],Table_Tarikan_Warkah[Nama Petugas Warkah]),"")</f>
        <v/>
      </c>
      <c r="G3536" s="39" t="str">
        <f t="array" ref="G3536">IFNA(_xlfn.XLOOKUP(D3536,Table_Tarikan_Warkah[Nomor Tiket],Table_Tarikan_Warkah[Jenis Permohonan]),"")</f>
        <v>SKPT Lelang</v>
      </c>
      <c r="H3536" s="41" t="s">
        <v>2315</v>
      </c>
      <c r="I3536" s="49" t="s">
        <v>23</v>
      </c>
      <c r="J3536" s="36">
        <f t="shared" si="20"/>
        <v>45891.46688</v>
      </c>
      <c r="K3536" s="49" t="s">
        <v>2378</v>
      </c>
      <c r="L3536" s="49" t="s">
        <v>23</v>
      </c>
      <c r="M3536" s="36">
        <f t="shared" si="33"/>
        <v>45891.60065</v>
      </c>
      <c r="N3536" s="30" t="str">
        <f t="shared" si="34"/>
        <v>Selesai</v>
      </c>
      <c r="O3536" s="45">
        <f t="shared" si="23"/>
        <v>45891.60065</v>
      </c>
      <c r="P3536" s="47" t="b">
        <v>0</v>
      </c>
      <c r="Q3536" s="36" t="str">
        <f t="shared" si="35"/>
        <v/>
      </c>
      <c r="R3536" s="47" t="b">
        <v>0</v>
      </c>
      <c r="S3536" s="42" t="str">
        <f t="shared" si="28"/>
        <v/>
      </c>
      <c r="T3536" s="42"/>
    </row>
    <row r="3537" ht="22.5" customHeight="1">
      <c r="B3537" s="42">
        <f t="shared" si="7"/>
        <v>3531</v>
      </c>
      <c r="C3537" s="31" t="s">
        <v>3592</v>
      </c>
      <c r="D3537" s="34" t="str">
        <f t="array" ref="D3537">IFNA(_xlfn.XLOOKUP(C3537,Table_Tarikan_Warkah[Nomor Sertipikat],Table_Tarikan_Warkah[Nomor Tiket]),"")</f>
        <v>K/31/290725/1</v>
      </c>
      <c r="E3537" s="36">
        <f t="array" ref="E3537">IFNA(_xlfn.XLOOKUP(D3537,Table_Tarikan_Warkah[Nomor Tiket],Table_Tarikan_Warkah[Tanggal diserahkan kepada Validator]),"")</f>
        <v>45904.61691</v>
      </c>
      <c r="F3537" s="36" t="str">
        <f t="array" ref="F3537">IFNA(_xlfn.XLOOKUP(D3537,Table_Tarikan_Warkah[Nomor Tiket],Table_Tarikan_Warkah[Nama Petugas Warkah]),"")</f>
        <v>David</v>
      </c>
      <c r="G3537" s="39" t="str">
        <f t="array" ref="G3537">IFNA(_xlfn.XLOOKUP(D3537,Table_Tarikan_Warkah[Nomor Tiket],Table_Tarikan_Warkah[Jenis Permohonan]),"")</f>
        <v>ROYA</v>
      </c>
      <c r="H3537" s="41" t="s">
        <v>2315</v>
      </c>
      <c r="I3537" s="49" t="s">
        <v>23</v>
      </c>
      <c r="J3537" s="36">
        <f t="shared" si="20"/>
        <v>45891.46703</v>
      </c>
      <c r="K3537" s="49" t="s">
        <v>2378</v>
      </c>
      <c r="L3537" s="49" t="s">
        <v>23</v>
      </c>
      <c r="M3537" s="36">
        <f t="shared" si="33"/>
        <v>45894.65502</v>
      </c>
      <c r="N3537" s="30" t="str">
        <f t="shared" si="34"/>
        <v>Selesai</v>
      </c>
      <c r="O3537" s="45">
        <f t="shared" si="23"/>
        <v>45894.65502</v>
      </c>
      <c r="P3537" s="47" t="b">
        <v>0</v>
      </c>
      <c r="Q3537" s="36" t="str">
        <f t="shared" si="35"/>
        <v/>
      </c>
      <c r="R3537" s="47" t="b">
        <v>0</v>
      </c>
      <c r="S3537" s="42" t="str">
        <f t="shared" si="28"/>
        <v/>
      </c>
      <c r="T3537" s="42"/>
    </row>
    <row r="3538" ht="22.5" customHeight="1">
      <c r="B3538" s="42">
        <f t="shared" si="7"/>
        <v>3532</v>
      </c>
      <c r="C3538" s="31" t="s">
        <v>3593</v>
      </c>
      <c r="D3538" s="34" t="str">
        <f t="array" ref="D3538">IFNA(_xlfn.XLOOKUP(C3538,Table_Tarikan_Warkah[Nomor Sertipikat],Table_Tarikan_Warkah[Nomor Tiket]),"")</f>
        <v>L/31/140826/1</v>
      </c>
      <c r="E3538" s="36" t="str">
        <f t="array" ref="E3538">IFNA(_xlfn.XLOOKUP(D3538,Table_Tarikan_Warkah[Nomor Tiket],Table_Tarikan_Warkah[Tanggal diserahkan kepada Validator]),"")</f>
        <v/>
      </c>
      <c r="F3538" s="36" t="str">
        <f t="array" ref="F3538">IFNA(_xlfn.XLOOKUP(D3538,Table_Tarikan_Warkah[Nomor Tiket],Table_Tarikan_Warkah[Nama Petugas Warkah]),"")</f>
        <v/>
      </c>
      <c r="G3538" s="39" t="str">
        <f t="array" ref="G3538">IFNA(_xlfn.XLOOKUP(D3538,Table_Tarikan_Warkah[Nomor Tiket],Table_Tarikan_Warkah[Jenis Permohonan]),"")</f>
        <v>PENINGKATAN HAK</v>
      </c>
      <c r="H3538" s="41" t="s">
        <v>2315</v>
      </c>
      <c r="I3538" s="49" t="s">
        <v>23</v>
      </c>
      <c r="J3538" s="36">
        <f t="shared" si="20"/>
        <v>45891.46717</v>
      </c>
      <c r="K3538" s="49" t="s">
        <v>2378</v>
      </c>
      <c r="L3538" s="49" t="s">
        <v>23</v>
      </c>
      <c r="M3538" s="36">
        <f t="shared" si="33"/>
        <v>45894.65514</v>
      </c>
      <c r="N3538" s="30" t="str">
        <f t="shared" si="34"/>
        <v>Selesai</v>
      </c>
      <c r="O3538" s="45">
        <f t="shared" si="23"/>
        <v>45894.65514</v>
      </c>
      <c r="P3538" s="47" t="b">
        <v>0</v>
      </c>
      <c r="Q3538" s="36" t="str">
        <f t="shared" si="35"/>
        <v/>
      </c>
      <c r="R3538" s="47" t="b">
        <v>0</v>
      </c>
      <c r="S3538" s="42" t="str">
        <f t="shared" si="28"/>
        <v/>
      </c>
      <c r="T3538" s="42"/>
    </row>
    <row r="3539" ht="22.5" customHeight="1">
      <c r="B3539" s="42">
        <f t="shared" si="7"/>
        <v>3533</v>
      </c>
      <c r="C3539" s="31" t="s">
        <v>3594</v>
      </c>
      <c r="D3539" s="34" t="str">
        <f t="array" ref="D3539">IFNA(_xlfn.XLOOKUP(C3539,Table_Tarikan_Warkah[Nomor Sertipikat],Table_Tarikan_Warkah[Nomor Tiket]),"")</f>
        <v>L/15/130826/1</v>
      </c>
      <c r="E3539" s="36">
        <f t="array" ref="E3539">IFNA(_xlfn.XLOOKUP(D3539,Table_Tarikan_Warkah[Nomor Tiket],Table_Tarikan_Warkah[Tanggal diserahkan kepada Validator]),"")</f>
        <v>45926.54767</v>
      </c>
      <c r="F3539" s="36" t="str">
        <f t="array" ref="F3539">IFNA(_xlfn.XLOOKUP(D3539,Table_Tarikan_Warkah[Nomor Tiket],Table_Tarikan_Warkah[Nama Petugas Warkah]),"")</f>
        <v>Berry</v>
      </c>
      <c r="G3539" s="39" t="str">
        <f t="array" ref="G3539">IFNA(_xlfn.XLOOKUP(D3539,Table_Tarikan_Warkah[Nomor Tiket],Table_Tarikan_Warkah[Jenis Permohonan]),"")</f>
        <v>ROYA</v>
      </c>
      <c r="H3539" s="41" t="s">
        <v>2315</v>
      </c>
      <c r="I3539" s="49" t="s">
        <v>23</v>
      </c>
      <c r="J3539" s="36">
        <f t="shared" si="20"/>
        <v>45891.46756</v>
      </c>
      <c r="K3539" s="49" t="s">
        <v>2378</v>
      </c>
      <c r="L3539" s="49" t="s">
        <v>23</v>
      </c>
      <c r="M3539" s="36">
        <f t="shared" si="33"/>
        <v>45894.65531</v>
      </c>
      <c r="N3539" s="30" t="str">
        <f t="shared" si="34"/>
        <v>Selesai</v>
      </c>
      <c r="O3539" s="45">
        <f t="shared" si="23"/>
        <v>45894.65531</v>
      </c>
      <c r="P3539" s="47" t="b">
        <v>0</v>
      </c>
      <c r="Q3539" s="36" t="str">
        <f t="shared" si="35"/>
        <v/>
      </c>
      <c r="R3539" s="47" t="b">
        <v>0</v>
      </c>
      <c r="S3539" s="42" t="str">
        <f t="shared" si="28"/>
        <v/>
      </c>
      <c r="T3539" s="42"/>
    </row>
    <row r="3540" ht="22.5" customHeight="1">
      <c r="B3540" s="42">
        <f t="shared" si="7"/>
        <v>3534</v>
      </c>
      <c r="C3540" s="31" t="s">
        <v>3595</v>
      </c>
      <c r="D3540" s="34" t="str">
        <f t="array" ref="D3540">IFNA(_xlfn.XLOOKUP(C3540,Table_Tarikan_Warkah[Nomor Sertipikat],Table_Tarikan_Warkah[Nomor Tiket]),"")</f>
        <v>K/29/050825/1</v>
      </c>
      <c r="E3540" s="36">
        <f t="array" ref="E3540">IFNA(_xlfn.XLOOKUP(D3540,Table_Tarikan_Warkah[Nomor Tiket],Table_Tarikan_Warkah[Tanggal diserahkan kepada Validator]),"")</f>
        <v>45883.66016</v>
      </c>
      <c r="F3540" s="36" t="str">
        <f t="array" ref="F3540">IFNA(_xlfn.XLOOKUP(D3540,Table_Tarikan_Warkah[Nomor Tiket],Table_Tarikan_Warkah[Nama Petugas Warkah]),"")</f>
        <v>David</v>
      </c>
      <c r="G3540" s="39" t="str">
        <f t="array" ref="G3540">IFNA(_xlfn.XLOOKUP(D3540,Table_Tarikan_Warkah[Nomor Tiket],Table_Tarikan_Warkah[Jenis Permohonan]),"")</f>
        <v>PERUBAHAN HAK</v>
      </c>
      <c r="H3540" s="41" t="s">
        <v>2315</v>
      </c>
      <c r="I3540" s="49" t="s">
        <v>23</v>
      </c>
      <c r="J3540" s="36">
        <f t="shared" si="20"/>
        <v>45891.46782</v>
      </c>
      <c r="K3540" s="49" t="s">
        <v>2378</v>
      </c>
      <c r="L3540" s="49" t="s">
        <v>23</v>
      </c>
      <c r="M3540" s="36">
        <f t="shared" si="33"/>
        <v>45891.60048</v>
      </c>
      <c r="N3540" s="30" t="str">
        <f t="shared" si="34"/>
        <v>Selesai</v>
      </c>
      <c r="O3540" s="45">
        <f t="shared" si="23"/>
        <v>45891.60048</v>
      </c>
      <c r="P3540" s="47" t="b">
        <v>0</v>
      </c>
      <c r="Q3540" s="36" t="str">
        <f t="shared" si="35"/>
        <v/>
      </c>
      <c r="R3540" s="47" t="b">
        <v>0</v>
      </c>
      <c r="S3540" s="42" t="str">
        <f t="shared" si="28"/>
        <v/>
      </c>
      <c r="T3540" s="42"/>
    </row>
    <row r="3541" ht="22.5" customHeight="1">
      <c r="B3541" s="42">
        <f t="shared" si="7"/>
        <v>3535</v>
      </c>
      <c r="C3541" s="31" t="s">
        <v>3596</v>
      </c>
      <c r="D3541" s="34" t="str">
        <f t="array" ref="D3541">IFNA(_xlfn.XLOOKUP(C3541,Table_Tarikan_Warkah[Nomor Sertipikat],Table_Tarikan_Warkah[Nomor Tiket]),"")</f>
        <v>L/21/310725/1</v>
      </c>
      <c r="E3541" s="36" t="str">
        <f t="array" ref="E3541">IFNA(_xlfn.XLOOKUP(D3541,Table_Tarikan_Warkah[Nomor Tiket],Table_Tarikan_Warkah[Tanggal diserahkan kepada Validator]),"")</f>
        <v/>
      </c>
      <c r="F3541" s="36" t="str">
        <f t="array" ref="F3541">IFNA(_xlfn.XLOOKUP(D3541,Table_Tarikan_Warkah[Nomor Tiket],Table_Tarikan_Warkah[Nama Petugas Warkah]),"")</f>
        <v/>
      </c>
      <c r="G3541" s="39" t="str">
        <f t="array" ref="G3541">IFNA(_xlfn.XLOOKUP(D3541,Table_Tarikan_Warkah[Nomor Tiket],Table_Tarikan_Warkah[Jenis Permohonan]),"")</f>
        <v>ROYA</v>
      </c>
      <c r="H3541" s="41" t="s">
        <v>2315</v>
      </c>
      <c r="I3541" s="49" t="s">
        <v>23</v>
      </c>
      <c r="J3541" s="36">
        <f t="shared" si="20"/>
        <v>45891.46808</v>
      </c>
      <c r="K3541" s="49" t="s">
        <v>2378</v>
      </c>
      <c r="L3541" s="49" t="s">
        <v>23</v>
      </c>
      <c r="M3541" s="36">
        <f t="shared" si="33"/>
        <v>45894.65557</v>
      </c>
      <c r="N3541" s="30" t="str">
        <f t="shared" si="34"/>
        <v>Selesai</v>
      </c>
      <c r="O3541" s="45">
        <f t="shared" si="23"/>
        <v>45894.65557</v>
      </c>
      <c r="P3541" s="47" t="b">
        <v>0</v>
      </c>
      <c r="Q3541" s="36" t="str">
        <f t="shared" si="35"/>
        <v/>
      </c>
      <c r="R3541" s="47" t="b">
        <v>0</v>
      </c>
      <c r="S3541" s="42" t="str">
        <f t="shared" si="28"/>
        <v/>
      </c>
      <c r="T3541" s="42"/>
    </row>
    <row r="3542" ht="22.5" customHeight="1">
      <c r="B3542" s="42">
        <f t="shared" si="7"/>
        <v>3536</v>
      </c>
      <c r="C3542" s="31" t="s">
        <v>3597</v>
      </c>
      <c r="D3542" s="34" t="str">
        <f t="array" ref="D3542">IFNA(_xlfn.XLOOKUP(C3542,Table_Tarikan_Warkah[Nomor Sertipikat],Table_Tarikan_Warkah[Nomor Tiket]),"")</f>
        <v>L/25/110825/1</v>
      </c>
      <c r="E3542" s="36">
        <f t="array" ref="E3542">IFNA(_xlfn.XLOOKUP(D3542,Table_Tarikan_Warkah[Nomor Tiket],Table_Tarikan_Warkah[Tanggal diserahkan kepada Validator]),"")</f>
        <v>45894.58315</v>
      </c>
      <c r="F3542" s="36" t="str">
        <f t="array" ref="F3542">IFNA(_xlfn.XLOOKUP(D3542,Table_Tarikan_Warkah[Nomor Tiket],Table_Tarikan_Warkah[Nama Petugas Warkah]),"")</f>
        <v>Berry</v>
      </c>
      <c r="G3542" s="39" t="str">
        <f t="array" ref="G3542">IFNA(_xlfn.XLOOKUP(D3542,Table_Tarikan_Warkah[Nomor Tiket],Table_Tarikan_Warkah[Jenis Permohonan]),"")</f>
        <v>ROYA WARIS</v>
      </c>
      <c r="H3542" s="41" t="s">
        <v>2315</v>
      </c>
      <c r="I3542" s="49" t="s">
        <v>23</v>
      </c>
      <c r="J3542" s="36">
        <f t="shared" si="20"/>
        <v>45891.46826</v>
      </c>
      <c r="K3542" s="49" t="s">
        <v>2378</v>
      </c>
      <c r="L3542" s="49" t="s">
        <v>23</v>
      </c>
      <c r="M3542" s="36">
        <f t="shared" si="33"/>
        <v>45894.65548</v>
      </c>
      <c r="N3542" s="30" t="str">
        <f t="shared" si="34"/>
        <v>Selesai</v>
      </c>
      <c r="O3542" s="45">
        <f t="shared" si="23"/>
        <v>45894.65548</v>
      </c>
      <c r="P3542" s="47" t="b">
        <v>0</v>
      </c>
      <c r="Q3542" s="36" t="str">
        <f t="shared" si="35"/>
        <v/>
      </c>
      <c r="R3542" s="47" t="b">
        <v>0</v>
      </c>
      <c r="S3542" s="42" t="str">
        <f t="shared" si="28"/>
        <v/>
      </c>
      <c r="T3542" s="42"/>
    </row>
    <row r="3543" ht="22.5" customHeight="1">
      <c r="B3543" s="42">
        <f t="shared" si="7"/>
        <v>3537</v>
      </c>
      <c r="C3543" s="31" t="s">
        <v>3598</v>
      </c>
      <c r="D3543" s="34" t="str">
        <f t="array" ref="D3543">IFNA(_xlfn.XLOOKUP(C3543,Table_Tarikan_Warkah[Nomor Sertipikat],Table_Tarikan_Warkah[Nomor Tiket]),"")</f>
        <v>K/6/120825/1</v>
      </c>
      <c r="E3543" s="36" t="str">
        <f t="array" ref="E3543">IFNA(_xlfn.XLOOKUP(D3543,Table_Tarikan_Warkah[Nomor Tiket],Table_Tarikan_Warkah[Tanggal diserahkan kepada Validator]),"")</f>
        <v/>
      </c>
      <c r="F3543" s="36" t="str">
        <f t="array" ref="F3543">IFNA(_xlfn.XLOOKUP(D3543,Table_Tarikan_Warkah[Nomor Tiket],Table_Tarikan_Warkah[Nama Petugas Warkah]),"")</f>
        <v/>
      </c>
      <c r="G3543" s="39" t="str">
        <f t="array" ref="G3543">IFNA(_xlfn.XLOOKUP(D3543,Table_Tarikan_Warkah[Nomor Tiket],Table_Tarikan_Warkah[Jenis Permohonan]),"")</f>
        <v>Roya</v>
      </c>
      <c r="H3543" s="41" t="s">
        <v>2315</v>
      </c>
      <c r="I3543" s="49" t="s">
        <v>23</v>
      </c>
      <c r="J3543" s="36">
        <f t="shared" si="20"/>
        <v>45891.46841</v>
      </c>
      <c r="K3543" s="49" t="s">
        <v>2378</v>
      </c>
      <c r="L3543" s="49" t="s">
        <v>23</v>
      </c>
      <c r="M3543" s="36">
        <f t="shared" si="33"/>
        <v>45894.65315</v>
      </c>
      <c r="N3543" s="30" t="str">
        <f t="shared" si="34"/>
        <v>Selesai</v>
      </c>
      <c r="O3543" s="45">
        <f t="shared" si="23"/>
        <v>45894.65315</v>
      </c>
      <c r="P3543" s="47" t="b">
        <v>0</v>
      </c>
      <c r="Q3543" s="36" t="str">
        <f t="shared" si="35"/>
        <v/>
      </c>
      <c r="R3543" s="47" t="b">
        <v>0</v>
      </c>
      <c r="S3543" s="42" t="str">
        <f t="shared" si="28"/>
        <v/>
      </c>
      <c r="T3543" s="42"/>
    </row>
    <row r="3544" ht="22.5" customHeight="1">
      <c r="B3544" s="42">
        <f t="shared" si="7"/>
        <v>3538</v>
      </c>
      <c r="C3544" s="31" t="s">
        <v>3599</v>
      </c>
      <c r="D3544" s="34" t="str">
        <f t="array" ref="D3544">IFNA(_xlfn.XLOOKUP(C3544,Table_Tarikan_Warkah[Nomor Sertipikat],Table_Tarikan_Warkah[Nomor Tiket]),"")</f>
        <v>K/10/070825/1</v>
      </c>
      <c r="E3544" s="36" t="str">
        <f t="array" ref="E3544">IFNA(_xlfn.XLOOKUP(D3544,Table_Tarikan_Warkah[Nomor Tiket],Table_Tarikan_Warkah[Tanggal diserahkan kepada Validator]),"")</f>
        <v/>
      </c>
      <c r="F3544" s="36" t="str">
        <f t="array" ref="F3544">IFNA(_xlfn.XLOOKUP(D3544,Table_Tarikan_Warkah[Nomor Tiket],Table_Tarikan_Warkah[Nama Petugas Warkah]),"")</f>
        <v/>
      </c>
      <c r="G3544" s="39" t="str">
        <f t="array" ref="G3544">IFNA(_xlfn.XLOOKUP(D3544,Table_Tarikan_Warkah[Nomor Tiket],Table_Tarikan_Warkah[Jenis Permohonan]),"")</f>
        <v>PENATAAN BATAS </v>
      </c>
      <c r="H3544" s="41" t="s">
        <v>2315</v>
      </c>
      <c r="I3544" s="49" t="s">
        <v>23</v>
      </c>
      <c r="J3544" s="36">
        <f t="shared" si="20"/>
        <v>45891.4686</v>
      </c>
      <c r="K3544" s="49" t="s">
        <v>2378</v>
      </c>
      <c r="L3544" s="49" t="s">
        <v>23</v>
      </c>
      <c r="M3544" s="36">
        <f t="shared" si="33"/>
        <v>45894.65304</v>
      </c>
      <c r="N3544" s="30" t="str">
        <f t="shared" si="34"/>
        <v>Selesai</v>
      </c>
      <c r="O3544" s="45">
        <f t="shared" si="23"/>
        <v>45894.65304</v>
      </c>
      <c r="P3544" s="47" t="b">
        <v>0</v>
      </c>
      <c r="Q3544" s="36" t="str">
        <f t="shared" si="35"/>
        <v/>
      </c>
      <c r="R3544" s="47" t="b">
        <v>0</v>
      </c>
      <c r="S3544" s="42" t="str">
        <f t="shared" si="28"/>
        <v/>
      </c>
      <c r="T3544" s="42"/>
    </row>
    <row r="3545" ht="22.5" customHeight="1">
      <c r="B3545" s="42">
        <f t="shared" si="7"/>
        <v>3539</v>
      </c>
      <c r="C3545" s="31" t="s">
        <v>3600</v>
      </c>
      <c r="D3545" s="34" t="str">
        <f t="array" ref="D3545">IFNA(_xlfn.XLOOKUP(C3545,Table_Tarikan_Warkah[Nomor Sertipikat],Table_Tarikan_Warkah[Nomor Tiket]),"")</f>
        <v>K/32/110825/1</v>
      </c>
      <c r="E3545" s="36">
        <f t="array" ref="E3545">IFNA(_xlfn.XLOOKUP(D3545,Table_Tarikan_Warkah[Nomor Tiket],Table_Tarikan_Warkah[Tanggal diserahkan kepada Validator]),"")</f>
        <v>45996.58963</v>
      </c>
      <c r="F3545" s="36" t="str">
        <f t="array" ref="F3545">IFNA(_xlfn.XLOOKUP(D3545,Table_Tarikan_Warkah[Nomor Tiket],Table_Tarikan_Warkah[Nama Petugas Warkah]),"")</f>
        <v>Berry</v>
      </c>
      <c r="G3545" s="39" t="str">
        <f t="array" ref="G3545">IFNA(_xlfn.XLOOKUP(D3545,Table_Tarikan_Warkah[Nomor Tiket],Table_Tarikan_Warkah[Jenis Permohonan]),"")</f>
        <v>BN JUAL BELI</v>
      </c>
      <c r="H3545" s="41" t="s">
        <v>2315</v>
      </c>
      <c r="I3545" s="49" t="s">
        <v>23</v>
      </c>
      <c r="J3545" s="36">
        <f t="shared" si="20"/>
        <v>45891.46874</v>
      </c>
      <c r="K3545" s="49" t="s">
        <v>2378</v>
      </c>
      <c r="L3545" s="49" t="s">
        <v>23</v>
      </c>
      <c r="M3545" s="36">
        <f t="shared" si="33"/>
        <v>45894.65335</v>
      </c>
      <c r="N3545" s="30" t="str">
        <f t="shared" si="34"/>
        <v>Selesai</v>
      </c>
      <c r="O3545" s="45">
        <f t="shared" si="23"/>
        <v>45894.65335</v>
      </c>
      <c r="P3545" s="47" t="b">
        <v>0</v>
      </c>
      <c r="Q3545" s="36" t="str">
        <f t="shared" si="35"/>
        <v/>
      </c>
      <c r="R3545" s="47" t="b">
        <v>0</v>
      </c>
      <c r="S3545" s="42" t="str">
        <f t="shared" si="28"/>
        <v/>
      </c>
      <c r="T3545" s="42"/>
    </row>
    <row r="3546" ht="22.5" customHeight="1">
      <c r="B3546" s="42">
        <f t="shared" si="7"/>
        <v>3540</v>
      </c>
      <c r="C3546" s="31" t="s">
        <v>3441</v>
      </c>
      <c r="D3546" s="34" t="str">
        <f t="array" ref="D3546">IFNA(_xlfn.XLOOKUP(C3546,Table_Tarikan_Warkah[Nomor Sertipikat],Table_Tarikan_Warkah[Nomor Tiket]),"")</f>
        <v>K/10/010825/4</v>
      </c>
      <c r="E3546" s="36" t="str">
        <f t="array" ref="E3546">IFNA(_xlfn.XLOOKUP(D3546,Table_Tarikan_Warkah[Nomor Tiket],Table_Tarikan_Warkah[Tanggal diserahkan kepada Validator]),"")</f>
        <v/>
      </c>
      <c r="F3546" s="36" t="str">
        <f t="array" ref="F3546">IFNA(_xlfn.XLOOKUP(D3546,Table_Tarikan_Warkah[Nomor Tiket],Table_Tarikan_Warkah[Nama Petugas Warkah]),"")</f>
        <v/>
      </c>
      <c r="G3546" s="39" t="str">
        <f t="array" ref="G3546">IFNA(_xlfn.XLOOKUP(D3546,Table_Tarikan_Warkah[Nomor Tiket],Table_Tarikan_Warkah[Jenis Permohonan]),"")</f>
        <v>BN JUAL BELI</v>
      </c>
      <c r="H3546" s="41" t="s">
        <v>2315</v>
      </c>
      <c r="I3546" s="49" t="s">
        <v>23</v>
      </c>
      <c r="J3546" s="36">
        <f t="shared" si="20"/>
        <v>45891.46889</v>
      </c>
      <c r="K3546" s="49" t="s">
        <v>2378</v>
      </c>
      <c r="L3546" s="49" t="s">
        <v>23</v>
      </c>
      <c r="M3546" s="36">
        <f t="shared" si="33"/>
        <v>45894.65205</v>
      </c>
      <c r="N3546" s="30" t="str">
        <f t="shared" si="34"/>
        <v>Selesai</v>
      </c>
      <c r="O3546" s="45">
        <f t="shared" si="23"/>
        <v>45894.65205</v>
      </c>
      <c r="P3546" s="47" t="b">
        <v>0</v>
      </c>
      <c r="Q3546" s="36" t="str">
        <f t="shared" si="35"/>
        <v/>
      </c>
      <c r="R3546" s="47" t="b">
        <v>0</v>
      </c>
      <c r="S3546" s="42" t="str">
        <f t="shared" si="28"/>
        <v/>
      </c>
      <c r="T3546" s="42"/>
    </row>
    <row r="3547" ht="22.5" customHeight="1">
      <c r="B3547" s="42">
        <f t="shared" si="7"/>
        <v>3541</v>
      </c>
      <c r="C3547" s="31" t="s">
        <v>3601</v>
      </c>
      <c r="D3547" s="34" t="str">
        <f t="array" ref="D3547">IFNA(_xlfn.XLOOKUP(C3547,Table_Tarikan_Warkah[Nomor Sertipikat],Table_Tarikan_Warkah[Nomor Tiket]),"")</f>
        <v>K/34/050825/1</v>
      </c>
      <c r="E3547" s="36">
        <f t="array" ref="E3547">IFNA(_xlfn.XLOOKUP(D3547,Table_Tarikan_Warkah[Nomor Tiket],Table_Tarikan_Warkah[Tanggal diserahkan kepada Validator]),"")</f>
        <v>45891.59913</v>
      </c>
      <c r="F3547" s="36" t="str">
        <f t="array" ref="F3547">IFNA(_xlfn.XLOOKUP(D3547,Table_Tarikan_Warkah[Nomor Tiket],Table_Tarikan_Warkah[Nama Petugas Warkah]),"")</f>
        <v>Berry</v>
      </c>
      <c r="G3547" s="39" t="str">
        <f t="array" ref="G3547">IFNA(_xlfn.XLOOKUP(D3547,Table_Tarikan_Warkah[Nomor Tiket],Table_Tarikan_Warkah[Jenis Permohonan]),"")</f>
        <v>BN WARIS</v>
      </c>
      <c r="H3547" s="41" t="s">
        <v>2315</v>
      </c>
      <c r="I3547" s="49" t="s">
        <v>23</v>
      </c>
      <c r="J3547" s="36">
        <f t="shared" si="20"/>
        <v>45891.46905</v>
      </c>
      <c r="K3547" s="49" t="s">
        <v>2378</v>
      </c>
      <c r="L3547" s="49" t="s">
        <v>23</v>
      </c>
      <c r="M3547" s="36">
        <f t="shared" si="33"/>
        <v>45894.65194</v>
      </c>
      <c r="N3547" s="30" t="str">
        <f t="shared" si="34"/>
        <v>Selesai</v>
      </c>
      <c r="O3547" s="45">
        <f t="shared" si="23"/>
        <v>45894.65194</v>
      </c>
      <c r="P3547" s="47" t="b">
        <v>0</v>
      </c>
      <c r="Q3547" s="36" t="str">
        <f t="shared" si="35"/>
        <v/>
      </c>
      <c r="R3547" s="47" t="b">
        <v>0</v>
      </c>
      <c r="S3547" s="42" t="str">
        <f t="shared" si="28"/>
        <v/>
      </c>
      <c r="T3547" s="42"/>
    </row>
    <row r="3548" ht="22.5" customHeight="1">
      <c r="B3548" s="42">
        <f t="shared" si="7"/>
        <v>3542</v>
      </c>
      <c r="C3548" s="31" t="s">
        <v>3602</v>
      </c>
      <c r="D3548" s="34" t="str">
        <f t="array" ref="D3548">IFNA(_xlfn.XLOOKUP(C3548,Table_Tarikan_Warkah[Nomor Sertipikat],Table_Tarikan_Warkah[Nomor Tiket]),"")</f>
        <v>K/17/070826/1</v>
      </c>
      <c r="E3548" s="36">
        <f t="array" ref="E3548">IFNA(_xlfn.XLOOKUP(D3548,Table_Tarikan_Warkah[Nomor Tiket],Table_Tarikan_Warkah[Tanggal diserahkan kepada Validator]),"")</f>
        <v>45912.5251</v>
      </c>
      <c r="F3548" s="36" t="str">
        <f t="array" ref="F3548">IFNA(_xlfn.XLOOKUP(D3548,Table_Tarikan_Warkah[Nomor Tiket],Table_Tarikan_Warkah[Nama Petugas Warkah]),"")</f>
        <v>David</v>
      </c>
      <c r="G3548" s="39" t="str">
        <f t="array" ref="G3548">IFNA(_xlfn.XLOOKUP(D3548,Table_Tarikan_Warkah[Nomor Tiket],Table_Tarikan_Warkah[Jenis Permohonan]),"")</f>
        <v>ROYA</v>
      </c>
      <c r="H3548" s="41" t="s">
        <v>2315</v>
      </c>
      <c r="I3548" s="49" t="s">
        <v>23</v>
      </c>
      <c r="J3548" s="36">
        <f t="shared" si="20"/>
        <v>45891.4692</v>
      </c>
      <c r="K3548" s="49" t="s">
        <v>2378</v>
      </c>
      <c r="L3548" s="49" t="s">
        <v>23</v>
      </c>
      <c r="M3548" s="36">
        <f t="shared" si="33"/>
        <v>45894.65182</v>
      </c>
      <c r="N3548" s="30" t="str">
        <f t="shared" si="34"/>
        <v>Selesai</v>
      </c>
      <c r="O3548" s="45">
        <f t="shared" si="23"/>
        <v>45894.65182</v>
      </c>
      <c r="P3548" s="47" t="b">
        <v>0</v>
      </c>
      <c r="Q3548" s="36" t="str">
        <f t="shared" si="35"/>
        <v/>
      </c>
      <c r="R3548" s="47" t="b">
        <v>0</v>
      </c>
      <c r="S3548" s="42" t="str">
        <f t="shared" si="28"/>
        <v/>
      </c>
      <c r="T3548" s="42"/>
    </row>
    <row r="3549" ht="22.5" customHeight="1">
      <c r="B3549" s="42">
        <f t="shared" si="7"/>
        <v>3543</v>
      </c>
      <c r="C3549" s="31" t="s">
        <v>3603</v>
      </c>
      <c r="D3549" s="34" t="str">
        <f t="array" ref="D3549">IFNA(_xlfn.XLOOKUP(C3549,Table_Tarikan_Warkah[Nomor Sertipikat],Table_Tarikan_Warkah[Nomor Tiket]),"")</f>
        <v>K/8/010825/2</v>
      </c>
      <c r="E3549" s="36" t="str">
        <f t="array" ref="E3549">IFNA(_xlfn.XLOOKUP(D3549,Table_Tarikan_Warkah[Nomor Tiket],Table_Tarikan_Warkah[Tanggal diserahkan kepada Validator]),"")</f>
        <v/>
      </c>
      <c r="F3549" s="36" t="str">
        <f t="array" ref="F3549">IFNA(_xlfn.XLOOKUP(D3549,Table_Tarikan_Warkah[Nomor Tiket],Table_Tarikan_Warkah[Nama Petugas Warkah]),"")</f>
        <v/>
      </c>
      <c r="G3549" s="39" t="str">
        <f t="array" ref="G3549">IFNA(_xlfn.XLOOKUP(D3549,Table_Tarikan_Warkah[Nomor Tiket],Table_Tarikan_Warkah[Jenis Permohonan]),"")</f>
        <v>BN JUAL BELI</v>
      </c>
      <c r="H3549" s="41" t="s">
        <v>2315</v>
      </c>
      <c r="I3549" s="49" t="s">
        <v>23</v>
      </c>
      <c r="J3549" s="36">
        <f t="shared" si="20"/>
        <v>45891.46942</v>
      </c>
      <c r="K3549" s="49" t="s">
        <v>2378</v>
      </c>
      <c r="L3549" s="49" t="s">
        <v>23</v>
      </c>
      <c r="M3549" s="36">
        <f t="shared" si="33"/>
        <v>45894.65174</v>
      </c>
      <c r="N3549" s="30" t="str">
        <f t="shared" si="34"/>
        <v>Selesai</v>
      </c>
      <c r="O3549" s="45">
        <f t="shared" si="23"/>
        <v>45894.65174</v>
      </c>
      <c r="P3549" s="47" t="b">
        <v>0</v>
      </c>
      <c r="Q3549" s="36" t="str">
        <f t="shared" si="35"/>
        <v/>
      </c>
      <c r="R3549" s="47" t="b">
        <v>0</v>
      </c>
      <c r="S3549" s="42" t="str">
        <f t="shared" si="28"/>
        <v/>
      </c>
      <c r="T3549" s="42"/>
    </row>
    <row r="3550" ht="22.5" customHeight="1">
      <c r="B3550" s="42">
        <f t="shared" si="7"/>
        <v>3544</v>
      </c>
      <c r="C3550" s="31" t="s">
        <v>3604</v>
      </c>
      <c r="D3550" s="34" t="str">
        <f t="array" ref="D3550">IFNA(_xlfn.XLOOKUP(C3550,Table_Tarikan_Warkah[Nomor Sertipikat],Table_Tarikan_Warkah[Nomor Tiket]),"")</f>
        <v>K/25/080825/1</v>
      </c>
      <c r="E3550" s="36" t="str">
        <f t="array" ref="E3550">IFNA(_xlfn.XLOOKUP(D3550,Table_Tarikan_Warkah[Nomor Tiket],Table_Tarikan_Warkah[Tanggal diserahkan kepada Validator]),"")</f>
        <v/>
      </c>
      <c r="F3550" s="36" t="str">
        <f t="array" ref="F3550">IFNA(_xlfn.XLOOKUP(D3550,Table_Tarikan_Warkah[Nomor Tiket],Table_Tarikan_Warkah[Nama Petugas Warkah]),"")</f>
        <v/>
      </c>
      <c r="G3550" s="39" t="str">
        <f t="array" ref="G3550">IFNA(_xlfn.XLOOKUP(D3550,Table_Tarikan_Warkah[Nomor Tiket],Table_Tarikan_Warkah[Jenis Permohonan]),"")</f>
        <v>BN JUAL BELI</v>
      </c>
      <c r="H3550" s="41" t="s">
        <v>2315</v>
      </c>
      <c r="I3550" s="49" t="s">
        <v>23</v>
      </c>
      <c r="J3550" s="36">
        <f t="shared" si="20"/>
        <v>45891.46957</v>
      </c>
      <c r="K3550" s="49" t="s">
        <v>2378</v>
      </c>
      <c r="L3550" s="49" t="s">
        <v>23</v>
      </c>
      <c r="M3550" s="36">
        <f t="shared" si="33"/>
        <v>45894.6516</v>
      </c>
      <c r="N3550" s="30" t="str">
        <f t="shared" si="34"/>
        <v>Selesai</v>
      </c>
      <c r="O3550" s="45">
        <f t="shared" si="23"/>
        <v>45894.6516</v>
      </c>
      <c r="P3550" s="47" t="b">
        <v>0</v>
      </c>
      <c r="Q3550" s="36" t="str">
        <f t="shared" si="35"/>
        <v/>
      </c>
      <c r="R3550" s="47" t="b">
        <v>0</v>
      </c>
      <c r="S3550" s="42" t="str">
        <f t="shared" si="28"/>
        <v/>
      </c>
      <c r="T3550" s="42"/>
    </row>
    <row r="3551" ht="22.5" customHeight="1">
      <c r="B3551" s="42">
        <f t="shared" si="7"/>
        <v>3545</v>
      </c>
      <c r="C3551" s="31" t="s">
        <v>3605</v>
      </c>
      <c r="D3551" s="34" t="str">
        <f t="array" ref="D3551">IFNA(_xlfn.XLOOKUP(C3551,Table_Tarikan_Warkah[Nomor Sertipikat],Table_Tarikan_Warkah[Nomor Tiket]),"")</f>
        <v>K/22/210725/1</v>
      </c>
      <c r="E3551" s="36">
        <f t="array" ref="E3551">IFNA(_xlfn.XLOOKUP(D3551,Table_Tarikan_Warkah[Nomor Tiket],Table_Tarikan_Warkah[Tanggal diserahkan kepada Validator]),"")</f>
        <v>45897.6559</v>
      </c>
      <c r="F3551" s="36" t="str">
        <f t="array" ref="F3551">IFNA(_xlfn.XLOOKUP(D3551,Table_Tarikan_Warkah[Nomor Tiket],Table_Tarikan_Warkah[Nama Petugas Warkah]),"")</f>
        <v>Berry</v>
      </c>
      <c r="G3551" s="39" t="str">
        <f t="array" ref="G3551">IFNA(_xlfn.XLOOKUP(D3551,Table_Tarikan_Warkah[Nomor Tiket],Table_Tarikan_Warkah[Jenis Permohonan]),"")</f>
        <v>BN Jual Beli</v>
      </c>
      <c r="H3551" s="41" t="s">
        <v>2315</v>
      </c>
      <c r="I3551" s="49" t="s">
        <v>23</v>
      </c>
      <c r="J3551" s="36">
        <f t="shared" si="20"/>
        <v>45894.60639</v>
      </c>
      <c r="K3551" s="49" t="s">
        <v>2378</v>
      </c>
      <c r="L3551" s="49" t="s">
        <v>23</v>
      </c>
      <c r="M3551" s="36">
        <f t="shared" si="33"/>
        <v>45894.67929</v>
      </c>
      <c r="N3551" s="30" t="str">
        <f t="shared" si="34"/>
        <v>Selesai</v>
      </c>
      <c r="O3551" s="45">
        <f t="shared" si="23"/>
        <v>45894.67929</v>
      </c>
      <c r="P3551" s="47" t="b">
        <v>0</v>
      </c>
      <c r="Q3551" s="36" t="str">
        <f t="shared" si="35"/>
        <v/>
      </c>
      <c r="R3551" s="47" t="b">
        <v>0</v>
      </c>
      <c r="S3551" s="42" t="str">
        <f t="shared" si="28"/>
        <v/>
      </c>
      <c r="T3551" s="42"/>
    </row>
    <row r="3552" ht="22.5" customHeight="1">
      <c r="B3552" s="42">
        <f t="shared" si="7"/>
        <v>3546</v>
      </c>
      <c r="C3552" s="31" t="s">
        <v>3606</v>
      </c>
      <c r="D3552" s="34" t="str">
        <f t="array" ref="D3552">IFNA(_xlfn.XLOOKUP(C3552,Table_Tarikan_Warkah[Nomor Sertipikat],Table_Tarikan_Warkah[Nomor Tiket]),"")</f>
        <v>K/37/300725/1</v>
      </c>
      <c r="E3552" s="36" t="str">
        <f t="array" ref="E3552">IFNA(_xlfn.XLOOKUP(D3552,Table_Tarikan_Warkah[Nomor Tiket],Table_Tarikan_Warkah[Tanggal diserahkan kepada Validator]),"")</f>
        <v/>
      </c>
      <c r="F3552" s="36" t="str">
        <f t="array" ref="F3552">IFNA(_xlfn.XLOOKUP(D3552,Table_Tarikan_Warkah[Nomor Tiket],Table_Tarikan_Warkah[Nama Petugas Warkah]),"")</f>
        <v/>
      </c>
      <c r="G3552" s="39" t="str">
        <f t="array" ref="G3552">IFNA(_xlfn.XLOOKUP(D3552,Table_Tarikan_Warkah[Nomor Tiket],Table_Tarikan_Warkah[Jenis Permohonan]),"")</f>
        <v>Penggabungan</v>
      </c>
      <c r="H3552" s="41" t="s">
        <v>2315</v>
      </c>
      <c r="I3552" s="49" t="s">
        <v>23</v>
      </c>
      <c r="J3552" s="36">
        <f t="shared" si="20"/>
        <v>45894.60662</v>
      </c>
      <c r="K3552" s="49" t="s">
        <v>2378</v>
      </c>
      <c r="L3552" s="49" t="s">
        <v>23</v>
      </c>
      <c r="M3552" s="36">
        <f t="shared" si="33"/>
        <v>45895.61453</v>
      </c>
      <c r="N3552" s="30" t="str">
        <f t="shared" si="34"/>
        <v>Selesai</v>
      </c>
      <c r="O3552" s="45">
        <f t="shared" si="23"/>
        <v>45895.61453</v>
      </c>
      <c r="P3552" s="47" t="b">
        <v>0</v>
      </c>
      <c r="Q3552" s="36" t="str">
        <f t="shared" si="35"/>
        <v/>
      </c>
      <c r="R3552" s="47" t="b">
        <v>0</v>
      </c>
      <c r="S3552" s="42" t="str">
        <f t="shared" si="28"/>
        <v/>
      </c>
      <c r="T3552" s="42"/>
    </row>
    <row r="3553" ht="22.5" customHeight="1">
      <c r="B3553" s="42">
        <f t="shared" si="7"/>
        <v>3547</v>
      </c>
      <c r="C3553" s="31" t="s">
        <v>3607</v>
      </c>
      <c r="D3553" s="34" t="str">
        <f t="array" ref="D3553">IFNA(_xlfn.XLOOKUP(C3553,Table_Tarikan_Warkah[Nomor Sertipikat],Table_Tarikan_Warkah[Nomor Tiket]),"")</f>
        <v>K/23/150825/2</v>
      </c>
      <c r="E3553" s="36" t="str">
        <f t="array" ref="E3553">IFNA(_xlfn.XLOOKUP(D3553,Table_Tarikan_Warkah[Nomor Tiket],Table_Tarikan_Warkah[Tanggal diserahkan kepada Validator]),"")</f>
        <v/>
      </c>
      <c r="F3553" s="36" t="str">
        <f t="array" ref="F3553">IFNA(_xlfn.XLOOKUP(D3553,Table_Tarikan_Warkah[Nomor Tiket],Table_Tarikan_Warkah[Nama Petugas Warkah]),"")</f>
        <v/>
      </c>
      <c r="G3553" s="39" t="str">
        <f t="array" ref="G3553">IFNA(_xlfn.XLOOKUP(D3553,Table_Tarikan_Warkah[Nomor Tiket],Table_Tarikan_Warkah[Jenis Permohonan]),"")</f>
        <v>BN JUAL BELI</v>
      </c>
      <c r="H3553" s="41" t="s">
        <v>2315</v>
      </c>
      <c r="I3553" s="49" t="s">
        <v>23</v>
      </c>
      <c r="J3553" s="36">
        <f t="shared" si="20"/>
        <v>45894.60679</v>
      </c>
      <c r="K3553" s="49" t="s">
        <v>2378</v>
      </c>
      <c r="L3553" s="49" t="s">
        <v>23</v>
      </c>
      <c r="M3553" s="36">
        <f t="shared" si="33"/>
        <v>45894.67799</v>
      </c>
      <c r="N3553" s="30" t="str">
        <f t="shared" si="34"/>
        <v>Selesai</v>
      </c>
      <c r="O3553" s="45">
        <f t="shared" si="23"/>
        <v>45894.67799</v>
      </c>
      <c r="P3553" s="47" t="b">
        <v>0</v>
      </c>
      <c r="Q3553" s="36" t="str">
        <f t="shared" si="35"/>
        <v/>
      </c>
      <c r="R3553" s="47" t="b">
        <v>0</v>
      </c>
      <c r="S3553" s="42" t="str">
        <f t="shared" si="28"/>
        <v/>
      </c>
      <c r="T3553" s="42"/>
    </row>
    <row r="3554" ht="22.5" customHeight="1">
      <c r="B3554" s="42">
        <f t="shared" si="7"/>
        <v>3548</v>
      </c>
      <c r="C3554" s="31" t="s">
        <v>3608</v>
      </c>
      <c r="D3554" s="34" t="str">
        <f t="array" ref="D3554">IFNA(_xlfn.XLOOKUP(C3554,Table_Tarikan_Warkah[Nomor Sertipikat],Table_Tarikan_Warkah[Nomor Tiket]),"")</f>
        <v>K/16/150825/1</v>
      </c>
      <c r="E3554" s="36" t="str">
        <f t="array" ref="E3554">IFNA(_xlfn.XLOOKUP(D3554,Table_Tarikan_Warkah[Nomor Tiket],Table_Tarikan_Warkah[Tanggal diserahkan kepada Validator]),"")</f>
        <v/>
      </c>
      <c r="F3554" s="36" t="str">
        <f t="array" ref="F3554">IFNA(_xlfn.XLOOKUP(D3554,Table_Tarikan_Warkah[Nomor Tiket],Table_Tarikan_Warkah[Nama Petugas Warkah]),"")</f>
        <v/>
      </c>
      <c r="G3554" s="39" t="str">
        <f t="array" ref="G3554">IFNA(_xlfn.XLOOKUP(D3554,Table_Tarikan_Warkah[Nomor Tiket],Table_Tarikan_Warkah[Jenis Permohonan]),"")</f>
        <v>ROYA</v>
      </c>
      <c r="H3554" s="41" t="s">
        <v>2315</v>
      </c>
      <c r="I3554" s="49" t="s">
        <v>23</v>
      </c>
      <c r="J3554" s="36">
        <f t="shared" si="20"/>
        <v>45894.60701</v>
      </c>
      <c r="K3554" s="49" t="s">
        <v>2378</v>
      </c>
      <c r="L3554" s="49" t="s">
        <v>23</v>
      </c>
      <c r="M3554" s="36">
        <f t="shared" si="33"/>
        <v>45895.61148</v>
      </c>
      <c r="N3554" s="30" t="str">
        <f t="shared" si="34"/>
        <v>Selesai</v>
      </c>
      <c r="O3554" s="45">
        <f t="shared" si="23"/>
        <v>45895.61148</v>
      </c>
      <c r="P3554" s="47" t="b">
        <v>0</v>
      </c>
      <c r="Q3554" s="36" t="str">
        <f t="shared" si="35"/>
        <v/>
      </c>
      <c r="R3554" s="47" t="b">
        <v>0</v>
      </c>
      <c r="S3554" s="42" t="str">
        <f t="shared" si="28"/>
        <v/>
      </c>
      <c r="T3554" s="42"/>
    </row>
    <row r="3555" ht="22.5" customHeight="1">
      <c r="B3555" s="42">
        <f t="shared" si="7"/>
        <v>3549</v>
      </c>
      <c r="C3555" s="31" t="s">
        <v>3609</v>
      </c>
      <c r="D3555" s="34" t="str">
        <f t="array" ref="D3555">IFNA(_xlfn.XLOOKUP(C3555,Table_Tarikan_Warkah[Nomor Sertipikat],Table_Tarikan_Warkah[Nomor Tiket]),"")</f>
        <v>L/3/010825/1</v>
      </c>
      <c r="E3555" s="36" t="str">
        <f t="array" ref="E3555">IFNA(_xlfn.XLOOKUP(D3555,Table_Tarikan_Warkah[Nomor Tiket],Table_Tarikan_Warkah[Tanggal diserahkan kepada Validator]),"")</f>
        <v/>
      </c>
      <c r="F3555" s="36" t="str">
        <f t="array" ref="F3555">IFNA(_xlfn.XLOOKUP(D3555,Table_Tarikan_Warkah[Nomor Tiket],Table_Tarikan_Warkah[Nama Petugas Warkah]),"")</f>
        <v/>
      </c>
      <c r="G3555" s="39" t="str">
        <f t="array" ref="G3555">IFNA(_xlfn.XLOOKUP(D3555,Table_Tarikan_Warkah[Nomor Tiket],Table_Tarikan_Warkah[Jenis Permohonan]),"")</f>
        <v>BN WARIS</v>
      </c>
      <c r="H3555" s="41" t="s">
        <v>2315</v>
      </c>
      <c r="I3555" s="49" t="s">
        <v>23</v>
      </c>
      <c r="J3555" s="36">
        <f t="shared" si="20"/>
        <v>45894.60716</v>
      </c>
      <c r="K3555" s="49" t="s">
        <v>2378</v>
      </c>
      <c r="L3555" s="49" t="s">
        <v>23</v>
      </c>
      <c r="M3555" s="36">
        <f t="shared" si="33"/>
        <v>45895.61286</v>
      </c>
      <c r="N3555" s="30" t="str">
        <f t="shared" si="34"/>
        <v>Selesai</v>
      </c>
      <c r="O3555" s="45">
        <f t="shared" si="23"/>
        <v>45895.61286</v>
      </c>
      <c r="P3555" s="47" t="b">
        <v>0</v>
      </c>
      <c r="Q3555" s="36" t="str">
        <f t="shared" si="35"/>
        <v/>
      </c>
      <c r="R3555" s="47" t="b">
        <v>0</v>
      </c>
      <c r="S3555" s="42" t="str">
        <f t="shared" si="28"/>
        <v/>
      </c>
      <c r="T3555" s="42"/>
    </row>
    <row r="3556" ht="22.5" customHeight="1">
      <c r="B3556" s="42">
        <f t="shared" si="7"/>
        <v>3550</v>
      </c>
      <c r="C3556" s="31" t="s">
        <v>3610</v>
      </c>
      <c r="D3556" s="34" t="str">
        <f t="array" ref="D3556">IFNA(_xlfn.XLOOKUP(C3556,Table_Tarikan_Warkah[Nomor Sertipikat],Table_Tarikan_Warkah[Nomor Tiket]),"")</f>
        <v>L/8/040825/1</v>
      </c>
      <c r="E3556" s="36" t="str">
        <f t="array" ref="E3556">IFNA(_xlfn.XLOOKUP(D3556,Table_Tarikan_Warkah[Nomor Tiket],Table_Tarikan_Warkah[Tanggal diserahkan kepada Validator]),"")</f>
        <v/>
      </c>
      <c r="F3556" s="36" t="str">
        <f t="array" ref="F3556">IFNA(_xlfn.XLOOKUP(D3556,Table_Tarikan_Warkah[Nomor Tiket],Table_Tarikan_Warkah[Nama Petugas Warkah]),"")</f>
        <v/>
      </c>
      <c r="G3556" s="39" t="str">
        <f t="array" ref="G3556">IFNA(_xlfn.XLOOKUP(D3556,Table_Tarikan_Warkah[Nomor Tiket],Table_Tarikan_Warkah[Jenis Permohonan]),"")</f>
        <v>BN WARIS</v>
      </c>
      <c r="H3556" s="41" t="s">
        <v>2315</v>
      </c>
      <c r="I3556" s="49" t="s">
        <v>23</v>
      </c>
      <c r="J3556" s="36">
        <f t="shared" si="20"/>
        <v>45894.6073</v>
      </c>
      <c r="K3556" s="49" t="s">
        <v>2378</v>
      </c>
      <c r="L3556" s="49" t="s">
        <v>23</v>
      </c>
      <c r="M3556" s="36">
        <f t="shared" si="33"/>
        <v>45895.6131</v>
      </c>
      <c r="N3556" s="30" t="str">
        <f t="shared" si="34"/>
        <v>Selesai</v>
      </c>
      <c r="O3556" s="45">
        <f t="shared" si="23"/>
        <v>45895.6131</v>
      </c>
      <c r="P3556" s="47" t="b">
        <v>0</v>
      </c>
      <c r="Q3556" s="36" t="str">
        <f t="shared" si="35"/>
        <v/>
      </c>
      <c r="R3556" s="47" t="b">
        <v>0</v>
      </c>
      <c r="S3556" s="42" t="str">
        <f t="shared" si="28"/>
        <v/>
      </c>
      <c r="T3556" s="42"/>
    </row>
    <row r="3557" ht="22.5" customHeight="1">
      <c r="B3557" s="42">
        <f t="shared" si="7"/>
        <v>3551</v>
      </c>
      <c r="C3557" s="31" t="s">
        <v>3611</v>
      </c>
      <c r="D3557" s="34" t="str">
        <f t="array" ref="D3557">IFNA(_xlfn.XLOOKUP(C3557,Table_Tarikan_Warkah[Nomor Sertipikat],Table_Tarikan_Warkah[Nomor Tiket]),"")</f>
        <v>L/10/050825/1</v>
      </c>
      <c r="E3557" s="36" t="str">
        <f t="array" ref="E3557">IFNA(_xlfn.XLOOKUP(D3557,Table_Tarikan_Warkah[Nomor Tiket],Table_Tarikan_Warkah[Tanggal diserahkan kepada Validator]),"")</f>
        <v/>
      </c>
      <c r="F3557" s="36" t="str">
        <f t="array" ref="F3557">IFNA(_xlfn.XLOOKUP(D3557,Table_Tarikan_Warkah[Nomor Tiket],Table_Tarikan_Warkah[Nama Petugas Warkah]),"")</f>
        <v/>
      </c>
      <c r="G3557" s="39" t="str">
        <f t="array" ref="G3557">IFNA(_xlfn.XLOOKUP(D3557,Table_Tarikan_Warkah[Nomor Tiket],Table_Tarikan_Warkah[Jenis Permohonan]),"")</f>
        <v>ROYA WARIS</v>
      </c>
      <c r="H3557" s="41" t="s">
        <v>2315</v>
      </c>
      <c r="I3557" s="49" t="s">
        <v>23</v>
      </c>
      <c r="J3557" s="36">
        <f t="shared" si="20"/>
        <v>45894.60743</v>
      </c>
      <c r="K3557" s="49" t="s">
        <v>2378</v>
      </c>
      <c r="L3557" s="49" t="s">
        <v>23</v>
      </c>
      <c r="M3557" s="36">
        <f t="shared" si="33"/>
        <v>45894.67906</v>
      </c>
      <c r="N3557" s="30" t="str">
        <f t="shared" si="34"/>
        <v>Selesai</v>
      </c>
      <c r="O3557" s="45">
        <f t="shared" si="23"/>
        <v>45894.67906</v>
      </c>
      <c r="P3557" s="47" t="b">
        <v>0</v>
      </c>
      <c r="Q3557" s="36" t="str">
        <f t="shared" si="35"/>
        <v/>
      </c>
      <c r="R3557" s="47" t="b">
        <v>0</v>
      </c>
      <c r="S3557" s="42" t="str">
        <f t="shared" si="28"/>
        <v/>
      </c>
      <c r="T3557" s="42"/>
    </row>
    <row r="3558" ht="22.5" customHeight="1">
      <c r="B3558" s="42">
        <f t="shared" si="7"/>
        <v>3552</v>
      </c>
      <c r="C3558" s="31" t="s">
        <v>3612</v>
      </c>
      <c r="D3558" s="34" t="str">
        <f t="array" ref="D3558">IFNA(_xlfn.XLOOKUP(C3558,Table_Tarikan_Warkah[Nomor Sertipikat],Table_Tarikan_Warkah[Nomor Tiket]),"")</f>
        <v>L/19/110825/1</v>
      </c>
      <c r="E3558" s="36" t="str">
        <f t="array" ref="E3558">IFNA(_xlfn.XLOOKUP(D3558,Table_Tarikan_Warkah[Nomor Tiket],Table_Tarikan_Warkah[Tanggal diserahkan kepada Validator]),"")</f>
        <v/>
      </c>
      <c r="F3558" s="36" t="str">
        <f t="array" ref="F3558">IFNA(_xlfn.XLOOKUP(D3558,Table_Tarikan_Warkah[Nomor Tiket],Table_Tarikan_Warkah[Nama Petugas Warkah]),"")</f>
        <v/>
      </c>
      <c r="G3558" s="39" t="str">
        <f t="array" ref="G3558">IFNA(_xlfn.XLOOKUP(D3558,Table_Tarikan_Warkah[Nomor Tiket],Table_Tarikan_Warkah[Jenis Permohonan]),"")</f>
        <v>PENINGKATAN HAK</v>
      </c>
      <c r="H3558" s="41" t="s">
        <v>2315</v>
      </c>
      <c r="I3558" s="49" t="s">
        <v>23</v>
      </c>
      <c r="J3558" s="36">
        <f t="shared" si="20"/>
        <v>45894.6076</v>
      </c>
      <c r="K3558" s="49" t="s">
        <v>2378</v>
      </c>
      <c r="L3558" s="49" t="s">
        <v>23</v>
      </c>
      <c r="M3558" s="36">
        <f t="shared" si="33"/>
        <v>45895.61322</v>
      </c>
      <c r="N3558" s="30" t="str">
        <f t="shared" si="34"/>
        <v>Selesai</v>
      </c>
      <c r="O3558" s="45">
        <f t="shared" si="23"/>
        <v>45895.61322</v>
      </c>
      <c r="P3558" s="47" t="b">
        <v>0</v>
      </c>
      <c r="Q3558" s="36" t="str">
        <f t="shared" si="35"/>
        <v/>
      </c>
      <c r="R3558" s="47" t="b">
        <v>0</v>
      </c>
      <c r="S3558" s="42" t="str">
        <f t="shared" si="28"/>
        <v/>
      </c>
      <c r="T3558" s="42"/>
    </row>
    <row r="3559" ht="22.5" customHeight="1">
      <c r="B3559" s="42">
        <f t="shared" si="7"/>
        <v>3553</v>
      </c>
      <c r="C3559" s="31" t="s">
        <v>3613</v>
      </c>
      <c r="D3559" s="34" t="str">
        <f t="array" ref="D3559">IFNA(_xlfn.XLOOKUP(C3559,Table_Tarikan_Warkah[Nomor Sertipikat],Table_Tarikan_Warkah[Nomor Tiket]),"")</f>
        <v>L/20/070826/1</v>
      </c>
      <c r="E3559" s="36">
        <f t="array" ref="E3559">IFNA(_xlfn.XLOOKUP(D3559,Table_Tarikan_Warkah[Nomor Tiket],Table_Tarikan_Warkah[Tanggal diserahkan kepada Validator]),"")</f>
        <v>45908.6276</v>
      </c>
      <c r="F3559" s="36" t="str">
        <f t="array" ref="F3559">IFNA(_xlfn.XLOOKUP(D3559,Table_Tarikan_Warkah[Nomor Tiket],Table_Tarikan_Warkah[Nama Petugas Warkah]),"")</f>
        <v>David</v>
      </c>
      <c r="G3559" s="39" t="str">
        <f t="array" ref="G3559">IFNA(_xlfn.XLOOKUP(D3559,Table_Tarikan_Warkah[Nomor Tiket],Table_Tarikan_Warkah[Jenis Permohonan]),"")</f>
        <v>ROYA</v>
      </c>
      <c r="H3559" s="41" t="s">
        <v>2315</v>
      </c>
      <c r="I3559" s="49" t="s">
        <v>23</v>
      </c>
      <c r="J3559" s="36">
        <f t="shared" si="20"/>
        <v>45894.60785</v>
      </c>
      <c r="K3559" s="49" t="s">
        <v>2378</v>
      </c>
      <c r="L3559" s="49" t="s">
        <v>23</v>
      </c>
      <c r="M3559" s="36">
        <f t="shared" si="33"/>
        <v>45894.66811</v>
      </c>
      <c r="N3559" s="30" t="str">
        <f t="shared" si="34"/>
        <v>Selesai</v>
      </c>
      <c r="O3559" s="45">
        <f t="shared" si="23"/>
        <v>45894.66811</v>
      </c>
      <c r="P3559" s="47" t="b">
        <v>0</v>
      </c>
      <c r="Q3559" s="36" t="str">
        <f t="shared" si="35"/>
        <v/>
      </c>
      <c r="R3559" s="47" t="b">
        <v>0</v>
      </c>
      <c r="S3559" s="42" t="str">
        <f t="shared" si="28"/>
        <v/>
      </c>
      <c r="T3559" s="42"/>
    </row>
    <row r="3560" ht="22.5" customHeight="1">
      <c r="B3560" s="42">
        <f t="shared" si="7"/>
        <v>3554</v>
      </c>
      <c r="C3560" s="31" t="s">
        <v>3614</v>
      </c>
      <c r="D3560" s="34" t="str">
        <f t="array" ref="D3560">IFNA(_xlfn.XLOOKUP(C3560,Table_Tarikan_Warkah[Nomor Sertipikat],Table_Tarikan_Warkah[Nomor Tiket]),"")</f>
        <v>L/10/130825/1</v>
      </c>
      <c r="E3560" s="36" t="str">
        <f t="array" ref="E3560">IFNA(_xlfn.XLOOKUP(D3560,Table_Tarikan_Warkah[Nomor Tiket],Table_Tarikan_Warkah[Tanggal diserahkan kepada Validator]),"")</f>
        <v/>
      </c>
      <c r="F3560" s="36" t="str">
        <f t="array" ref="F3560">IFNA(_xlfn.XLOOKUP(D3560,Table_Tarikan_Warkah[Nomor Tiket],Table_Tarikan_Warkah[Nama Petugas Warkah]),"")</f>
        <v/>
      </c>
      <c r="G3560" s="39" t="str">
        <f t="array" ref="G3560">IFNA(_xlfn.XLOOKUP(D3560,Table_Tarikan_Warkah[Nomor Tiket],Table_Tarikan_Warkah[Jenis Permohonan]),"")</f>
        <v>ROYA</v>
      </c>
      <c r="H3560" s="41" t="s">
        <v>2315</v>
      </c>
      <c r="I3560" s="49" t="s">
        <v>23</v>
      </c>
      <c r="J3560" s="36">
        <f t="shared" si="20"/>
        <v>45894.60807</v>
      </c>
      <c r="K3560" s="49" t="s">
        <v>2378</v>
      </c>
      <c r="L3560" s="49" t="s">
        <v>23</v>
      </c>
      <c r="M3560" s="36">
        <f t="shared" si="33"/>
        <v>45895.61347</v>
      </c>
      <c r="N3560" s="30" t="str">
        <f t="shared" si="34"/>
        <v>Selesai</v>
      </c>
      <c r="O3560" s="45">
        <f t="shared" si="23"/>
        <v>45895.61347</v>
      </c>
      <c r="P3560" s="47" t="b">
        <v>0</v>
      </c>
      <c r="Q3560" s="36" t="str">
        <f t="shared" si="35"/>
        <v/>
      </c>
      <c r="R3560" s="47" t="b">
        <v>0</v>
      </c>
      <c r="S3560" s="42" t="str">
        <f t="shared" si="28"/>
        <v/>
      </c>
      <c r="T3560" s="42"/>
    </row>
    <row r="3561" ht="22.5" customHeight="1">
      <c r="B3561" s="42">
        <f t="shared" si="7"/>
        <v>3555</v>
      </c>
      <c r="C3561" s="31" t="s">
        <v>3615</v>
      </c>
      <c r="D3561" s="34" t="str">
        <f t="array" ref="D3561">IFNA(_xlfn.XLOOKUP(C3561,Table_Tarikan_Warkah[Nomor Sertipikat],Table_Tarikan_Warkah[Nomor Tiket]),"")</f>
        <v>L/17/140825/1</v>
      </c>
      <c r="E3561" s="36">
        <f t="array" ref="E3561">IFNA(_xlfn.XLOOKUP(D3561,Table_Tarikan_Warkah[Nomor Tiket],Table_Tarikan_Warkah[Tanggal diserahkan kepada Validator]),"")</f>
        <v>45908.63182</v>
      </c>
      <c r="F3561" s="36" t="str">
        <f t="array" ref="F3561">IFNA(_xlfn.XLOOKUP(D3561,Table_Tarikan_Warkah[Nomor Tiket],Table_Tarikan_Warkah[Nama Petugas Warkah]),"")</f>
        <v>Berry</v>
      </c>
      <c r="G3561" s="39" t="str">
        <f t="array" ref="G3561">IFNA(_xlfn.XLOOKUP(D3561,Table_Tarikan_Warkah[Nomor Tiket],Table_Tarikan_Warkah[Jenis Permohonan]),"")</f>
        <v>ROYA</v>
      </c>
      <c r="H3561" s="41" t="s">
        <v>2315</v>
      </c>
      <c r="I3561" s="49" t="s">
        <v>23</v>
      </c>
      <c r="J3561" s="36">
        <f t="shared" si="20"/>
        <v>45894.60816</v>
      </c>
      <c r="K3561" s="49" t="s">
        <v>2378</v>
      </c>
      <c r="L3561" s="49" t="s">
        <v>23</v>
      </c>
      <c r="M3561" s="36">
        <f t="shared" si="33"/>
        <v>45895.61362</v>
      </c>
      <c r="N3561" s="30" t="str">
        <f t="shared" si="34"/>
        <v>Selesai</v>
      </c>
      <c r="O3561" s="45">
        <f t="shared" si="23"/>
        <v>45895.61362</v>
      </c>
      <c r="P3561" s="47" t="b">
        <v>0</v>
      </c>
      <c r="Q3561" s="36" t="str">
        <f t="shared" si="35"/>
        <v/>
      </c>
      <c r="R3561" s="47" t="b">
        <v>0</v>
      </c>
      <c r="S3561" s="42" t="str">
        <f t="shared" si="28"/>
        <v/>
      </c>
      <c r="T3561" s="42"/>
    </row>
    <row r="3562" ht="22.5" customHeight="1">
      <c r="B3562" s="42">
        <f t="shared" si="7"/>
        <v>3556</v>
      </c>
      <c r="C3562" s="31" t="s">
        <v>3616</v>
      </c>
      <c r="D3562" s="34" t="str">
        <f t="array" ref="D3562">IFNA(_xlfn.XLOOKUP(C3562,Table_Tarikan_Warkah[Nomor Sertipikat],Table_Tarikan_Warkah[Nomor Tiket]),"")</f>
        <v>K/10/290725/1</v>
      </c>
      <c r="E3562" s="36" t="str">
        <f t="array" ref="E3562">IFNA(_xlfn.XLOOKUP(D3562,Table_Tarikan_Warkah[Nomor Tiket],Table_Tarikan_Warkah[Tanggal diserahkan kepada Validator]),"")</f>
        <v/>
      </c>
      <c r="F3562" s="36" t="str">
        <f t="array" ref="F3562">IFNA(_xlfn.XLOOKUP(D3562,Table_Tarikan_Warkah[Nomor Tiket],Table_Tarikan_Warkah[Nama Petugas Warkah]),"")</f>
        <v/>
      </c>
      <c r="G3562" s="39" t="str">
        <f t="array" ref="G3562">IFNA(_xlfn.XLOOKUP(D3562,Table_Tarikan_Warkah[Nomor Tiket],Table_Tarikan_Warkah[Jenis Permohonan]),"")</f>
        <v>BN JUAL BELI</v>
      </c>
      <c r="H3562" s="41" t="s">
        <v>2315</v>
      </c>
      <c r="I3562" s="49" t="s">
        <v>23</v>
      </c>
      <c r="J3562" s="36">
        <f t="shared" si="20"/>
        <v>45894.60832</v>
      </c>
      <c r="K3562" s="49" t="s">
        <v>2378</v>
      </c>
      <c r="L3562" s="49" t="s">
        <v>23</v>
      </c>
      <c r="M3562" s="36">
        <f t="shared" si="33"/>
        <v>45894.66834</v>
      </c>
      <c r="N3562" s="30" t="str">
        <f t="shared" si="34"/>
        <v>Selesai</v>
      </c>
      <c r="O3562" s="45">
        <f t="shared" si="23"/>
        <v>45894.66834</v>
      </c>
      <c r="P3562" s="47" t="b">
        <v>0</v>
      </c>
      <c r="Q3562" s="36" t="str">
        <f t="shared" si="35"/>
        <v/>
      </c>
      <c r="R3562" s="47" t="b">
        <v>0</v>
      </c>
      <c r="S3562" s="42" t="str">
        <f t="shared" si="28"/>
        <v/>
      </c>
      <c r="T3562" s="42"/>
    </row>
    <row r="3563" ht="22.5" customHeight="1">
      <c r="B3563" s="42">
        <f t="shared" si="7"/>
        <v>3557</v>
      </c>
      <c r="C3563" s="31" t="s">
        <v>3617</v>
      </c>
      <c r="D3563" s="34" t="str">
        <f t="array" ref="D3563">IFNA(_xlfn.XLOOKUP(C3563,Table_Tarikan_Warkah[Nomor Sertipikat],Table_Tarikan_Warkah[Nomor Tiket]),"")</f>
        <v/>
      </c>
      <c r="E3563" s="36" t="str">
        <f t="array" ref="E3563">IFNA(_xlfn.XLOOKUP(D3563,Table_Tarikan_Warkah[Nomor Tiket],Table_Tarikan_Warkah[Tanggal diserahkan kepada Validator]),"")</f>
        <v/>
      </c>
      <c r="F3563" s="36" t="str">
        <f t="array" ref="F3563">IFNA(_xlfn.XLOOKUP(D3563,Table_Tarikan_Warkah[Nomor Tiket],Table_Tarikan_Warkah[Nama Petugas Warkah]),"")</f>
        <v/>
      </c>
      <c r="G3563" s="39" t="str">
        <f t="array" ref="G3563">IFNA(_xlfn.XLOOKUP(D3563,Table_Tarikan_Warkah[Nomor Tiket],Table_Tarikan_Warkah[Jenis Permohonan]),"")</f>
        <v/>
      </c>
      <c r="H3563" s="41" t="s">
        <v>2315</v>
      </c>
      <c r="I3563" s="49" t="s">
        <v>23</v>
      </c>
      <c r="J3563" s="36">
        <f t="shared" si="20"/>
        <v>45894.60855</v>
      </c>
      <c r="K3563" s="49" t="s">
        <v>2378</v>
      </c>
      <c r="L3563" s="49" t="s">
        <v>23</v>
      </c>
      <c r="M3563" s="36">
        <f t="shared" si="33"/>
        <v>45895.6138</v>
      </c>
      <c r="N3563" s="30" t="str">
        <f t="shared" si="34"/>
        <v/>
      </c>
      <c r="O3563" s="39" t="str">
        <f t="shared" si="23"/>
        <v/>
      </c>
      <c r="P3563" s="47" t="b">
        <v>0</v>
      </c>
      <c r="Q3563" s="36" t="str">
        <f t="shared" si="35"/>
        <v/>
      </c>
      <c r="R3563" s="47" t="b">
        <v>0</v>
      </c>
      <c r="S3563" s="42" t="str">
        <f t="shared" si="28"/>
        <v/>
      </c>
      <c r="T3563" s="42"/>
    </row>
    <row r="3564" ht="22.5" customHeight="1">
      <c r="B3564" s="42">
        <f t="shared" si="7"/>
        <v>3558</v>
      </c>
      <c r="C3564" s="31" t="s">
        <v>3568</v>
      </c>
      <c r="D3564" s="34" t="str">
        <f t="array" ref="D3564">IFNA(_xlfn.XLOOKUP(C3564,Table_Tarikan_Warkah[Nomor Sertipikat],Table_Tarikan_Warkah[Nomor Tiket]),"")</f>
        <v>K/26/140825/2</v>
      </c>
      <c r="E3564" s="36">
        <f t="array" ref="E3564">IFNA(_xlfn.XLOOKUP(D3564,Table_Tarikan_Warkah[Nomor Tiket],Table_Tarikan_Warkah[Tanggal diserahkan kepada Validator]),"")</f>
        <v>45902.63345</v>
      </c>
      <c r="F3564" s="36" t="str">
        <f t="array" ref="F3564">IFNA(_xlfn.XLOOKUP(D3564,Table_Tarikan_Warkah[Nomor Tiket],Table_Tarikan_Warkah[Nama Petugas Warkah]),"")</f>
        <v>David</v>
      </c>
      <c r="G3564" s="39" t="str">
        <f t="array" ref="G3564">IFNA(_xlfn.XLOOKUP(D3564,Table_Tarikan_Warkah[Nomor Tiket],Table_Tarikan_Warkah[Jenis Permohonan]),"")</f>
        <v>BN Wakif</v>
      </c>
      <c r="H3564" s="41" t="s">
        <v>2315</v>
      </c>
      <c r="I3564" s="49" t="s">
        <v>23</v>
      </c>
      <c r="J3564" s="36">
        <f t="shared" si="20"/>
        <v>45894.60871</v>
      </c>
      <c r="K3564" s="49" t="s">
        <v>2378</v>
      </c>
      <c r="L3564" s="49" t="s">
        <v>23</v>
      </c>
      <c r="M3564" s="36">
        <f t="shared" si="33"/>
        <v>45894.6781</v>
      </c>
      <c r="N3564" s="30" t="str">
        <f t="shared" si="34"/>
        <v>Selesai</v>
      </c>
      <c r="O3564" s="45">
        <f t="shared" si="23"/>
        <v>45894.6781</v>
      </c>
      <c r="P3564" s="47" t="b">
        <v>0</v>
      </c>
      <c r="Q3564" s="36" t="str">
        <f t="shared" si="35"/>
        <v/>
      </c>
      <c r="R3564" s="47" t="b">
        <v>0</v>
      </c>
      <c r="S3564" s="42" t="str">
        <f t="shared" si="28"/>
        <v/>
      </c>
      <c r="T3564" s="42"/>
    </row>
    <row r="3565" ht="22.5" customHeight="1">
      <c r="B3565" s="42">
        <f t="shared" si="7"/>
        <v>3559</v>
      </c>
      <c r="C3565" s="31" t="s">
        <v>3618</v>
      </c>
      <c r="D3565" s="34" t="str">
        <f t="array" ref="D3565">IFNA(_xlfn.XLOOKUP(C3565,Table_Tarikan_Warkah[Nomor Sertipikat],Table_Tarikan_Warkah[Nomor Tiket]),"")</f>
        <v>K/13/130825/1</v>
      </c>
      <c r="E3565" s="36" t="str">
        <f t="array" ref="E3565">IFNA(_xlfn.XLOOKUP(D3565,Table_Tarikan_Warkah[Nomor Tiket],Table_Tarikan_Warkah[Tanggal diserahkan kepada Validator]),"")</f>
        <v/>
      </c>
      <c r="F3565" s="36" t="str">
        <f t="array" ref="F3565">IFNA(_xlfn.XLOOKUP(D3565,Table_Tarikan_Warkah[Nomor Tiket],Table_Tarikan_Warkah[Nama Petugas Warkah]),"")</f>
        <v/>
      </c>
      <c r="G3565" s="39" t="str">
        <f t="array" ref="G3565">IFNA(_xlfn.XLOOKUP(D3565,Table_Tarikan_Warkah[Nomor Tiket],Table_Tarikan_Warkah[Jenis Permohonan]),"")</f>
        <v>Hapus BPHTB</v>
      </c>
      <c r="H3565" s="41" t="s">
        <v>2315</v>
      </c>
      <c r="I3565" s="49" t="s">
        <v>23</v>
      </c>
      <c r="J3565" s="36">
        <f t="shared" si="20"/>
        <v>45894.60904</v>
      </c>
      <c r="K3565" s="49" t="s">
        <v>2378</v>
      </c>
      <c r="L3565" s="49" t="s">
        <v>23</v>
      </c>
      <c r="M3565" s="36">
        <f t="shared" si="33"/>
        <v>45894.66848</v>
      </c>
      <c r="N3565" s="30" t="str">
        <f t="shared" si="34"/>
        <v>Selesai</v>
      </c>
      <c r="O3565" s="45">
        <f t="shared" si="23"/>
        <v>45894.66848</v>
      </c>
      <c r="P3565" s="47" t="b">
        <v>0</v>
      </c>
      <c r="Q3565" s="36" t="str">
        <f t="shared" si="35"/>
        <v/>
      </c>
      <c r="R3565" s="47" t="b">
        <v>0</v>
      </c>
      <c r="S3565" s="42" t="str">
        <f t="shared" si="28"/>
        <v/>
      </c>
      <c r="T3565" s="42"/>
    </row>
    <row r="3566" ht="22.5" customHeight="1">
      <c r="B3566" s="42">
        <f t="shared" si="7"/>
        <v>3560</v>
      </c>
      <c r="C3566" s="31" t="s">
        <v>3619</v>
      </c>
      <c r="D3566" s="34" t="str">
        <f t="array" ref="D3566">IFNA(_xlfn.XLOOKUP(C3566,Table_Tarikan_Warkah[Nomor Sertipikat],Table_Tarikan_Warkah[Nomor Tiket]),"")</f>
        <v>K/23/080725/2</v>
      </c>
      <c r="E3566" s="36" t="str">
        <f t="array" ref="E3566">IFNA(_xlfn.XLOOKUP(D3566,Table_Tarikan_Warkah[Nomor Tiket],Table_Tarikan_Warkah[Tanggal diserahkan kepada Validator]),"")</f>
        <v/>
      </c>
      <c r="F3566" s="36" t="str">
        <f t="array" ref="F3566">IFNA(_xlfn.XLOOKUP(D3566,Table_Tarikan_Warkah[Nomor Tiket],Table_Tarikan_Warkah[Nama Petugas Warkah]),"")</f>
        <v/>
      </c>
      <c r="G3566" s="39" t="str">
        <f t="array" ref="G3566">IFNA(_xlfn.XLOOKUP(D3566,Table_Tarikan_Warkah[Nomor Tiket],Table_Tarikan_Warkah[Jenis Permohonan]),"")</f>
        <v>PERUBAHN HAK</v>
      </c>
      <c r="H3566" s="41" t="s">
        <v>2315</v>
      </c>
      <c r="I3566" s="49" t="s">
        <v>23</v>
      </c>
      <c r="J3566" s="36">
        <f t="shared" si="20"/>
        <v>45895.36453</v>
      </c>
      <c r="K3566" s="49" t="s">
        <v>2378</v>
      </c>
      <c r="L3566" s="49" t="s">
        <v>23</v>
      </c>
      <c r="M3566" s="36">
        <f t="shared" si="33"/>
        <v>45895.60865</v>
      </c>
      <c r="N3566" s="30" t="str">
        <f t="shared" si="34"/>
        <v>Selesai</v>
      </c>
      <c r="O3566" s="45">
        <f t="shared" si="23"/>
        <v>45895.60865</v>
      </c>
      <c r="P3566" s="47" t="b">
        <v>0</v>
      </c>
      <c r="Q3566" s="36" t="str">
        <f t="shared" si="35"/>
        <v/>
      </c>
      <c r="R3566" s="47" t="b">
        <v>0</v>
      </c>
      <c r="S3566" s="42" t="str">
        <f t="shared" si="28"/>
        <v/>
      </c>
      <c r="T3566" s="42"/>
    </row>
    <row r="3567" ht="22.5" customHeight="1">
      <c r="B3567" s="42">
        <f t="shared" si="7"/>
        <v>3561</v>
      </c>
      <c r="C3567" s="31" t="s">
        <v>3620</v>
      </c>
      <c r="D3567" s="34" t="str">
        <f t="array" ref="D3567">IFNA(_xlfn.XLOOKUP(C3567,Table_Tarikan_Warkah[Nomor Sertipikat],Table_Tarikan_Warkah[Nomor Tiket]),"")</f>
        <v>K/23/040825/3</v>
      </c>
      <c r="E3567" s="36" t="str">
        <f t="array" ref="E3567">IFNA(_xlfn.XLOOKUP(D3567,Table_Tarikan_Warkah[Nomor Tiket],Table_Tarikan_Warkah[Tanggal diserahkan kepada Validator]),"")</f>
        <v/>
      </c>
      <c r="F3567" s="36" t="str">
        <f t="array" ref="F3567">IFNA(_xlfn.XLOOKUP(D3567,Table_Tarikan_Warkah[Nomor Tiket],Table_Tarikan_Warkah[Nama Petugas Warkah]),"")</f>
        <v/>
      </c>
      <c r="G3567" s="39" t="str">
        <f t="array" ref="G3567">IFNA(_xlfn.XLOOKUP(D3567,Table_Tarikan_Warkah[Nomor Tiket],Table_Tarikan_Warkah[Jenis Permohonan]),"")</f>
        <v>BN Jual Beli</v>
      </c>
      <c r="H3567" s="41" t="s">
        <v>2315</v>
      </c>
      <c r="I3567" s="49" t="s">
        <v>23</v>
      </c>
      <c r="J3567" s="36">
        <f t="shared" si="20"/>
        <v>45895.36483</v>
      </c>
      <c r="K3567" s="49" t="s">
        <v>2378</v>
      </c>
      <c r="L3567" s="49" t="s">
        <v>23</v>
      </c>
      <c r="M3567" s="36">
        <f t="shared" si="33"/>
        <v>45895.60855</v>
      </c>
      <c r="N3567" s="30" t="str">
        <f t="shared" si="34"/>
        <v>Selesai</v>
      </c>
      <c r="O3567" s="45">
        <f t="shared" si="23"/>
        <v>45895.60855</v>
      </c>
      <c r="P3567" s="47" t="b">
        <v>0</v>
      </c>
      <c r="Q3567" s="36" t="str">
        <f t="shared" si="35"/>
        <v/>
      </c>
      <c r="R3567" s="47" t="b">
        <v>0</v>
      </c>
      <c r="S3567" s="42" t="str">
        <f t="shared" si="28"/>
        <v/>
      </c>
      <c r="T3567" s="42"/>
    </row>
    <row r="3568" ht="22.5" customHeight="1">
      <c r="B3568" s="42">
        <f t="shared" si="7"/>
        <v>3562</v>
      </c>
      <c r="C3568" s="31" t="s">
        <v>3621</v>
      </c>
      <c r="D3568" s="34" t="str">
        <f t="array" ref="D3568">IFNA(_xlfn.XLOOKUP(C3568,Table_Tarikan_Warkah[Nomor Sertipikat],Table_Tarikan_Warkah[Nomor Tiket]),"")</f>
        <v>K/38/290725/1</v>
      </c>
      <c r="E3568" s="36" t="str">
        <f t="array" ref="E3568">IFNA(_xlfn.XLOOKUP(D3568,Table_Tarikan_Warkah[Nomor Tiket],Table_Tarikan_Warkah[Tanggal diserahkan kepada Validator]),"")</f>
        <v/>
      </c>
      <c r="F3568" s="36" t="str">
        <f t="array" ref="F3568">IFNA(_xlfn.XLOOKUP(D3568,Table_Tarikan_Warkah[Nomor Tiket],Table_Tarikan_Warkah[Nama Petugas Warkah]),"")</f>
        <v/>
      </c>
      <c r="G3568" s="39" t="str">
        <f t="array" ref="G3568">IFNA(_xlfn.XLOOKUP(D3568,Table_Tarikan_Warkah[Nomor Tiket],Table_Tarikan_Warkah[Jenis Permohonan]),"")</f>
        <v>BN Jual Beli</v>
      </c>
      <c r="H3568" s="41" t="s">
        <v>2315</v>
      </c>
      <c r="I3568" s="49" t="s">
        <v>23</v>
      </c>
      <c r="J3568" s="36">
        <f t="shared" si="20"/>
        <v>45895.36498</v>
      </c>
      <c r="K3568" s="49" t="s">
        <v>2378</v>
      </c>
      <c r="L3568" s="49" t="s">
        <v>23</v>
      </c>
      <c r="M3568" s="36">
        <f t="shared" si="33"/>
        <v>45895.60826</v>
      </c>
      <c r="N3568" s="30" t="str">
        <f t="shared" si="34"/>
        <v>Selesai</v>
      </c>
      <c r="O3568" s="45">
        <f t="shared" si="23"/>
        <v>45895.60826</v>
      </c>
      <c r="P3568" s="47" t="b">
        <v>0</v>
      </c>
      <c r="Q3568" s="36" t="str">
        <f t="shared" si="35"/>
        <v/>
      </c>
      <c r="R3568" s="47" t="b">
        <v>0</v>
      </c>
      <c r="S3568" s="42" t="str">
        <f t="shared" si="28"/>
        <v/>
      </c>
      <c r="T3568" s="42"/>
    </row>
    <row r="3569" ht="22.5" customHeight="1">
      <c r="B3569" s="42">
        <f t="shared" si="7"/>
        <v>3563</v>
      </c>
      <c r="C3569" s="31" t="s">
        <v>3622</v>
      </c>
      <c r="D3569" s="34" t="str">
        <f t="array" ref="D3569">IFNA(_xlfn.XLOOKUP(C3569,Table_Tarikan_Warkah[Nomor Sertipikat],Table_Tarikan_Warkah[Nomor Tiket]),"")</f>
        <v>K/26/070827/1</v>
      </c>
      <c r="E3569" s="36" t="str">
        <f t="array" ref="E3569">IFNA(_xlfn.XLOOKUP(D3569,Table_Tarikan_Warkah[Nomor Tiket],Table_Tarikan_Warkah[Tanggal diserahkan kepada Validator]),"")</f>
        <v/>
      </c>
      <c r="F3569" s="36" t="str">
        <f t="array" ref="F3569">IFNA(_xlfn.XLOOKUP(D3569,Table_Tarikan_Warkah[Nomor Tiket],Table_Tarikan_Warkah[Nama Petugas Warkah]),"")</f>
        <v/>
      </c>
      <c r="G3569" s="39" t="str">
        <f t="array" ref="G3569">IFNA(_xlfn.XLOOKUP(D3569,Table_Tarikan_Warkah[Nomor Tiket],Table_Tarikan_Warkah[Jenis Permohonan]),"")</f>
        <v>BN WARIS</v>
      </c>
      <c r="H3569" s="41" t="s">
        <v>2315</v>
      </c>
      <c r="I3569" s="49" t="s">
        <v>23</v>
      </c>
      <c r="J3569" s="36">
        <f t="shared" si="20"/>
        <v>45895.36515</v>
      </c>
      <c r="K3569" s="49" t="s">
        <v>2378</v>
      </c>
      <c r="L3569" s="49" t="s">
        <v>23</v>
      </c>
      <c r="M3569" s="36">
        <f t="shared" si="33"/>
        <v>45895.60813</v>
      </c>
      <c r="N3569" s="30" t="str">
        <f t="shared" si="34"/>
        <v>Selesai</v>
      </c>
      <c r="O3569" s="45">
        <f t="shared" si="23"/>
        <v>45895.60813</v>
      </c>
      <c r="P3569" s="47" t="b">
        <v>0</v>
      </c>
      <c r="Q3569" s="36" t="str">
        <f t="shared" si="35"/>
        <v/>
      </c>
      <c r="R3569" s="47" t="b">
        <v>0</v>
      </c>
      <c r="S3569" s="42" t="str">
        <f t="shared" si="28"/>
        <v/>
      </c>
      <c r="T3569" s="42"/>
    </row>
    <row r="3570" ht="22.5" customHeight="1">
      <c r="B3570" s="42">
        <f t="shared" si="7"/>
        <v>3564</v>
      </c>
      <c r="C3570" s="31" t="s">
        <v>3623</v>
      </c>
      <c r="D3570" s="34" t="str">
        <f t="array" ref="D3570">IFNA(_xlfn.XLOOKUP(C3570,Table_Tarikan_Warkah[Nomor Sertipikat],Table_Tarikan_Warkah[Nomor Tiket]),"")</f>
        <v>K/7/130825/1</v>
      </c>
      <c r="E3570" s="36" t="str">
        <f t="array" ref="E3570">IFNA(_xlfn.XLOOKUP(D3570,Table_Tarikan_Warkah[Nomor Tiket],Table_Tarikan_Warkah[Tanggal diserahkan kepada Validator]),"")</f>
        <v/>
      </c>
      <c r="F3570" s="36" t="str">
        <f t="array" ref="F3570">IFNA(_xlfn.XLOOKUP(D3570,Table_Tarikan_Warkah[Nomor Tiket],Table_Tarikan_Warkah[Nama Petugas Warkah]),"")</f>
        <v/>
      </c>
      <c r="G3570" s="39" t="str">
        <f t="array" ref="G3570">IFNA(_xlfn.XLOOKUP(D3570,Table_Tarikan_Warkah[Nomor Tiket],Table_Tarikan_Warkah[Jenis Permohonan]),"")</f>
        <v>ROYA</v>
      </c>
      <c r="H3570" s="41" t="s">
        <v>2315</v>
      </c>
      <c r="I3570" s="49" t="s">
        <v>23</v>
      </c>
      <c r="J3570" s="36">
        <f t="shared" si="20"/>
        <v>45895.36532</v>
      </c>
      <c r="K3570" s="49" t="s">
        <v>2378</v>
      </c>
      <c r="L3570" s="49" t="s">
        <v>23</v>
      </c>
      <c r="M3570" s="36">
        <f t="shared" si="33"/>
        <v>45895.608</v>
      </c>
      <c r="N3570" s="30" t="str">
        <f t="shared" si="34"/>
        <v>Selesai</v>
      </c>
      <c r="O3570" s="45">
        <f t="shared" si="23"/>
        <v>45895.608</v>
      </c>
      <c r="P3570" s="47" t="b">
        <v>0</v>
      </c>
      <c r="Q3570" s="36" t="str">
        <f t="shared" si="35"/>
        <v/>
      </c>
      <c r="R3570" s="47" t="b">
        <v>0</v>
      </c>
      <c r="S3570" s="42" t="str">
        <f t="shared" si="28"/>
        <v/>
      </c>
      <c r="T3570" s="42"/>
    </row>
    <row r="3571" ht="22.5" customHeight="1">
      <c r="B3571" s="42">
        <f t="shared" si="7"/>
        <v>3565</v>
      </c>
      <c r="C3571" s="31" t="s">
        <v>3624</v>
      </c>
      <c r="D3571" s="34" t="str">
        <f t="array" ref="D3571">IFNA(_xlfn.XLOOKUP(C3571,Table_Tarikan_Warkah[Nomor Sertipikat],Table_Tarikan_Warkah[Nomor Tiket]),"")</f>
        <v>K/8/110825/1</v>
      </c>
      <c r="E3571" s="36" t="str">
        <f t="array" ref="E3571">IFNA(_xlfn.XLOOKUP(D3571,Table_Tarikan_Warkah[Nomor Tiket],Table_Tarikan_Warkah[Tanggal diserahkan kepada Validator]),"")</f>
        <v/>
      </c>
      <c r="F3571" s="36" t="str">
        <f t="array" ref="F3571">IFNA(_xlfn.XLOOKUP(D3571,Table_Tarikan_Warkah[Nomor Tiket],Table_Tarikan_Warkah[Nama Petugas Warkah]),"")</f>
        <v/>
      </c>
      <c r="G3571" s="39" t="str">
        <f t="array" ref="G3571">IFNA(_xlfn.XLOOKUP(D3571,Table_Tarikan_Warkah[Nomor Tiket],Table_Tarikan_Warkah[Jenis Permohonan]),"")</f>
        <v>BN WARIS</v>
      </c>
      <c r="H3571" s="41" t="s">
        <v>2315</v>
      </c>
      <c r="I3571" s="49" t="s">
        <v>23</v>
      </c>
      <c r="J3571" s="36">
        <f t="shared" si="20"/>
        <v>45895.36562</v>
      </c>
      <c r="K3571" s="49" t="s">
        <v>2378</v>
      </c>
      <c r="L3571" s="49" t="s">
        <v>23</v>
      </c>
      <c r="M3571" s="36">
        <f t="shared" si="33"/>
        <v>45895.60668</v>
      </c>
      <c r="N3571" s="30" t="str">
        <f t="shared" si="34"/>
        <v>Selesai</v>
      </c>
      <c r="O3571" s="45">
        <f t="shared" si="23"/>
        <v>45895.60668</v>
      </c>
      <c r="P3571" s="47" t="b">
        <v>0</v>
      </c>
      <c r="Q3571" s="36" t="str">
        <f t="shared" si="35"/>
        <v/>
      </c>
      <c r="R3571" s="47" t="b">
        <v>0</v>
      </c>
      <c r="S3571" s="42" t="str">
        <f t="shared" si="28"/>
        <v/>
      </c>
      <c r="T3571" s="42"/>
    </row>
    <row r="3572" ht="22.5" customHeight="1">
      <c r="B3572" s="42">
        <f t="shared" si="7"/>
        <v>3566</v>
      </c>
      <c r="C3572" s="31" t="s">
        <v>3625</v>
      </c>
      <c r="D3572" s="34" t="str">
        <f t="array" ref="D3572">IFNA(_xlfn.XLOOKUP(C3572,Table_Tarikan_Warkah[Nomor Sertipikat],Table_Tarikan_Warkah[Nomor Tiket]),"")</f>
        <v>K/18/150825/1</v>
      </c>
      <c r="E3572" s="36" t="str">
        <f t="array" ref="E3572">IFNA(_xlfn.XLOOKUP(D3572,Table_Tarikan_Warkah[Nomor Tiket],Table_Tarikan_Warkah[Tanggal diserahkan kepada Validator]),"")</f>
        <v/>
      </c>
      <c r="F3572" s="36" t="str">
        <f t="array" ref="F3572">IFNA(_xlfn.XLOOKUP(D3572,Table_Tarikan_Warkah[Nomor Tiket],Table_Tarikan_Warkah[Nama Petugas Warkah]),"")</f>
        <v/>
      </c>
      <c r="G3572" s="39" t="str">
        <f t="array" ref="G3572">IFNA(_xlfn.XLOOKUP(D3572,Table_Tarikan_Warkah[Nomor Tiket],Table_Tarikan_Warkah[Jenis Permohonan]),"")</f>
        <v>BN WARIS</v>
      </c>
      <c r="H3572" s="41" t="s">
        <v>2315</v>
      </c>
      <c r="I3572" s="49" t="s">
        <v>23</v>
      </c>
      <c r="J3572" s="36">
        <f t="shared" si="20"/>
        <v>45895.36569</v>
      </c>
      <c r="K3572" s="49" t="s">
        <v>2378</v>
      </c>
      <c r="L3572" s="49" t="s">
        <v>23</v>
      </c>
      <c r="M3572" s="36">
        <f t="shared" si="33"/>
        <v>45895.60791</v>
      </c>
      <c r="N3572" s="30" t="str">
        <f t="shared" si="34"/>
        <v>Selesai</v>
      </c>
      <c r="O3572" s="45">
        <f t="shared" si="23"/>
        <v>45895.60791</v>
      </c>
      <c r="P3572" s="47" t="b">
        <v>0</v>
      </c>
      <c r="Q3572" s="36" t="str">
        <f t="shared" si="35"/>
        <v/>
      </c>
      <c r="R3572" s="47" t="b">
        <v>0</v>
      </c>
      <c r="S3572" s="42" t="str">
        <f t="shared" si="28"/>
        <v/>
      </c>
      <c r="T3572" s="42"/>
    </row>
    <row r="3573" ht="22.5" customHeight="1">
      <c r="B3573" s="42">
        <f t="shared" si="7"/>
        <v>3567</v>
      </c>
      <c r="C3573" s="31" t="s">
        <v>3626</v>
      </c>
      <c r="D3573" s="34" t="str">
        <f t="array" ref="D3573">IFNA(_xlfn.XLOOKUP(C3573,Table_Tarikan_Warkah[Nomor Sertipikat],Table_Tarikan_Warkah[Nomor Tiket]),"")</f>
        <v>K/38/250625/1</v>
      </c>
      <c r="E3573" s="36" t="str">
        <f t="array" ref="E3573">IFNA(_xlfn.XLOOKUP(D3573,Table_Tarikan_Warkah[Nomor Tiket],Table_Tarikan_Warkah[Tanggal diserahkan kepada Validator]),"")</f>
        <v/>
      </c>
      <c r="F3573" s="36" t="str">
        <f t="array" ref="F3573">IFNA(_xlfn.XLOOKUP(D3573,Table_Tarikan_Warkah[Nomor Tiket],Table_Tarikan_Warkah[Nama Petugas Warkah]),"")</f>
        <v/>
      </c>
      <c r="G3573" s="39" t="str">
        <f t="array" ref="G3573">IFNA(_xlfn.XLOOKUP(D3573,Table_Tarikan_Warkah[Nomor Tiket],Table_Tarikan_Warkah[Jenis Permohonan]),"")</f>
        <v>BN JUAL BELI</v>
      </c>
      <c r="H3573" s="41" t="s">
        <v>2315</v>
      </c>
      <c r="I3573" s="49" t="s">
        <v>23</v>
      </c>
      <c r="J3573" s="36">
        <f t="shared" si="20"/>
        <v>45895.36586</v>
      </c>
      <c r="K3573" s="49" t="s">
        <v>2378</v>
      </c>
      <c r="L3573" s="49" t="s">
        <v>23</v>
      </c>
      <c r="M3573" s="36">
        <f t="shared" si="33"/>
        <v>45895.60687</v>
      </c>
      <c r="N3573" s="30" t="str">
        <f t="shared" si="34"/>
        <v>Selesai</v>
      </c>
      <c r="O3573" s="45">
        <f t="shared" si="23"/>
        <v>45895.60687</v>
      </c>
      <c r="P3573" s="47" t="b">
        <v>0</v>
      </c>
      <c r="Q3573" s="36" t="str">
        <f t="shared" si="35"/>
        <v/>
      </c>
      <c r="R3573" s="47" t="b">
        <v>0</v>
      </c>
      <c r="S3573" s="42" t="str">
        <f t="shared" si="28"/>
        <v/>
      </c>
      <c r="T3573" s="42"/>
    </row>
    <row r="3574" ht="22.5" customHeight="1">
      <c r="B3574" s="42">
        <f t="shared" si="7"/>
        <v>3568</v>
      </c>
      <c r="C3574" s="31" t="s">
        <v>3627</v>
      </c>
      <c r="D3574" s="34" t="str">
        <f t="array" ref="D3574">IFNA(_xlfn.XLOOKUP(C3574,Table_Tarikan_Warkah[Nomor Sertipikat],Table_Tarikan_Warkah[Nomor Tiket]),"")</f>
        <v>K/2/150825/1</v>
      </c>
      <c r="E3574" s="36">
        <f t="array" ref="E3574">IFNA(_xlfn.XLOOKUP(D3574,Table_Tarikan_Warkah[Nomor Tiket],Table_Tarikan_Warkah[Tanggal diserahkan kepada Validator]),"")</f>
        <v>45938.49857</v>
      </c>
      <c r="F3574" s="36" t="str">
        <f t="array" ref="F3574">IFNA(_xlfn.XLOOKUP(D3574,Table_Tarikan_Warkah[Nomor Tiket],Table_Tarikan_Warkah[Nama Petugas Warkah]),"")</f>
        <v>Berry</v>
      </c>
      <c r="G3574" s="39" t="str">
        <f t="array" ref="G3574">IFNA(_xlfn.XLOOKUP(D3574,Table_Tarikan_Warkah[Nomor Tiket],Table_Tarikan_Warkah[Jenis Permohonan]),"")</f>
        <v>Roya</v>
      </c>
      <c r="H3574" s="41" t="s">
        <v>2315</v>
      </c>
      <c r="I3574" s="49" t="s">
        <v>23</v>
      </c>
      <c r="J3574" s="36">
        <f t="shared" si="20"/>
        <v>45895.36601</v>
      </c>
      <c r="K3574" s="49" t="s">
        <v>2378</v>
      </c>
      <c r="L3574" s="49" t="s">
        <v>23</v>
      </c>
      <c r="M3574" s="36">
        <f t="shared" si="33"/>
        <v>45895.60774</v>
      </c>
      <c r="N3574" s="30" t="str">
        <f t="shared" si="34"/>
        <v>Selesai</v>
      </c>
      <c r="O3574" s="45">
        <f t="shared" si="23"/>
        <v>45895.60774</v>
      </c>
      <c r="P3574" s="47" t="b">
        <v>0</v>
      </c>
      <c r="Q3574" s="36" t="str">
        <f t="shared" si="35"/>
        <v/>
      </c>
      <c r="R3574" s="47" t="b">
        <v>0</v>
      </c>
      <c r="S3574" s="42" t="str">
        <f t="shared" si="28"/>
        <v/>
      </c>
      <c r="T3574" s="42"/>
    </row>
    <row r="3575" ht="22.5" customHeight="1">
      <c r="B3575" s="42">
        <f t="shared" si="7"/>
        <v>3569</v>
      </c>
      <c r="C3575" s="31" t="s">
        <v>3628</v>
      </c>
      <c r="D3575" s="34" t="str">
        <f t="array" ref="D3575">IFNA(_xlfn.XLOOKUP(C3575,Table_Tarikan_Warkah[Nomor Sertipikat],Table_Tarikan_Warkah[Nomor Tiket]),"")</f>
        <v>K/22/140325/1</v>
      </c>
      <c r="E3575" s="36" t="str">
        <f t="array" ref="E3575">IFNA(_xlfn.XLOOKUP(D3575,Table_Tarikan_Warkah[Nomor Tiket],Table_Tarikan_Warkah[Tanggal diserahkan kepada Validator]),"")</f>
        <v/>
      </c>
      <c r="F3575" s="36" t="str">
        <f t="array" ref="F3575">IFNA(_xlfn.XLOOKUP(D3575,Table_Tarikan_Warkah[Nomor Tiket],Table_Tarikan_Warkah[Nama Petugas Warkah]),"")</f>
        <v/>
      </c>
      <c r="G3575" s="39" t="str">
        <f t="array" ref="G3575">IFNA(_xlfn.XLOOKUP(D3575,Table_Tarikan_Warkah[Nomor Tiket],Table_Tarikan_Warkah[Jenis Permohonan]),"")</f>
        <v>HAPUS BPHTB</v>
      </c>
      <c r="H3575" s="41" t="s">
        <v>2315</v>
      </c>
      <c r="I3575" s="49" t="s">
        <v>23</v>
      </c>
      <c r="J3575" s="36">
        <f t="shared" si="20"/>
        <v>45895.36618</v>
      </c>
      <c r="K3575" s="49" t="s">
        <v>2378</v>
      </c>
      <c r="L3575" s="49" t="s">
        <v>23</v>
      </c>
      <c r="M3575" s="36">
        <f t="shared" si="33"/>
        <v>45895.6077</v>
      </c>
      <c r="N3575" s="30" t="str">
        <f t="shared" si="34"/>
        <v>Selesai</v>
      </c>
      <c r="O3575" s="45">
        <f t="shared" si="23"/>
        <v>45895.6077</v>
      </c>
      <c r="P3575" s="47" t="b">
        <v>0</v>
      </c>
      <c r="Q3575" s="36" t="str">
        <f t="shared" si="35"/>
        <v/>
      </c>
      <c r="R3575" s="47" t="b">
        <v>0</v>
      </c>
      <c r="S3575" s="42" t="str">
        <f t="shared" si="28"/>
        <v/>
      </c>
      <c r="T3575" s="42"/>
    </row>
    <row r="3576" ht="22.5" customHeight="1">
      <c r="B3576" s="42">
        <f t="shared" si="7"/>
        <v>3570</v>
      </c>
      <c r="C3576" s="31" t="s">
        <v>3629</v>
      </c>
      <c r="D3576" s="34" t="str">
        <f t="array" ref="D3576">IFNA(_xlfn.XLOOKUP(C3576,Table_Tarikan_Warkah[Nomor Sertipikat],Table_Tarikan_Warkah[Nomor Tiket]),"")</f>
        <v>K/35/050825/1</v>
      </c>
      <c r="E3576" s="36" t="str">
        <f t="array" ref="E3576">IFNA(_xlfn.XLOOKUP(D3576,Table_Tarikan_Warkah[Nomor Tiket],Table_Tarikan_Warkah[Tanggal diserahkan kepada Validator]),"")</f>
        <v/>
      </c>
      <c r="F3576" s="36" t="str">
        <f t="array" ref="F3576">IFNA(_xlfn.XLOOKUP(D3576,Table_Tarikan_Warkah[Nomor Tiket],Table_Tarikan_Warkah[Nama Petugas Warkah]),"")</f>
        <v/>
      </c>
      <c r="G3576" s="39" t="str">
        <f t="array" ref="G3576">IFNA(_xlfn.XLOOKUP(D3576,Table_Tarikan_Warkah[Nomor Tiket],Table_Tarikan_Warkah[Jenis Permohonan]),"")</f>
        <v>BN WARIS</v>
      </c>
      <c r="H3576" s="41" t="s">
        <v>2315</v>
      </c>
      <c r="I3576" s="49" t="s">
        <v>23</v>
      </c>
      <c r="J3576" s="36">
        <f t="shared" si="20"/>
        <v>45895.36636</v>
      </c>
      <c r="K3576" s="49" t="s">
        <v>2378</v>
      </c>
      <c r="L3576" s="49" t="s">
        <v>23</v>
      </c>
      <c r="M3576" s="36">
        <f t="shared" si="33"/>
        <v>45895.60706</v>
      </c>
      <c r="N3576" s="30" t="str">
        <f t="shared" si="34"/>
        <v>Selesai</v>
      </c>
      <c r="O3576" s="45">
        <f t="shared" si="23"/>
        <v>45895.60706</v>
      </c>
      <c r="P3576" s="47" t="b">
        <v>0</v>
      </c>
      <c r="Q3576" s="36" t="str">
        <f t="shared" si="35"/>
        <v/>
      </c>
      <c r="R3576" s="47" t="b">
        <v>0</v>
      </c>
      <c r="S3576" s="42" t="str">
        <f t="shared" si="28"/>
        <v/>
      </c>
      <c r="T3576" s="42"/>
    </row>
    <row r="3577" ht="22.5" customHeight="1">
      <c r="B3577" s="42">
        <f t="shared" si="7"/>
        <v>3571</v>
      </c>
      <c r="C3577" s="31" t="s">
        <v>3630</v>
      </c>
      <c r="D3577" s="34" t="str">
        <f t="array" ref="D3577">IFNA(_xlfn.XLOOKUP(C3577,Table_Tarikan_Warkah[Nomor Sertipikat],Table_Tarikan_Warkah[Nomor Tiket]),"")</f>
        <v/>
      </c>
      <c r="E3577" s="36" t="str">
        <f t="array" ref="E3577">IFNA(_xlfn.XLOOKUP(D3577,Table_Tarikan_Warkah[Nomor Tiket],Table_Tarikan_Warkah[Tanggal diserahkan kepada Validator]),"")</f>
        <v/>
      </c>
      <c r="F3577" s="36" t="str">
        <f t="array" ref="F3577">IFNA(_xlfn.XLOOKUP(D3577,Table_Tarikan_Warkah[Nomor Tiket],Table_Tarikan_Warkah[Nama Petugas Warkah]),"")</f>
        <v/>
      </c>
      <c r="G3577" s="39" t="str">
        <f t="array" ref="G3577">IFNA(_xlfn.XLOOKUP(D3577,Table_Tarikan_Warkah[Nomor Tiket],Table_Tarikan_Warkah[Jenis Permohonan]),"")</f>
        <v/>
      </c>
      <c r="H3577" s="41" t="s">
        <v>2315</v>
      </c>
      <c r="I3577" s="49" t="s">
        <v>23</v>
      </c>
      <c r="J3577" s="36">
        <f t="shared" si="20"/>
        <v>45895.36733</v>
      </c>
      <c r="K3577" s="49" t="s">
        <v>2378</v>
      </c>
      <c r="L3577" s="49" t="s">
        <v>23</v>
      </c>
      <c r="M3577" s="36">
        <f t="shared" si="33"/>
        <v>45895.60755</v>
      </c>
      <c r="N3577" s="30" t="str">
        <f t="shared" si="34"/>
        <v/>
      </c>
      <c r="O3577" s="39" t="str">
        <f t="shared" si="23"/>
        <v/>
      </c>
      <c r="P3577" s="47" t="b">
        <v>0</v>
      </c>
      <c r="Q3577" s="36" t="str">
        <f t="shared" si="35"/>
        <v/>
      </c>
      <c r="R3577" s="47" t="b">
        <v>0</v>
      </c>
      <c r="S3577" s="42" t="str">
        <f t="shared" si="28"/>
        <v/>
      </c>
      <c r="T3577" s="42"/>
    </row>
    <row r="3578" ht="22.5" customHeight="1">
      <c r="B3578" s="42">
        <f t="shared" si="7"/>
        <v>3572</v>
      </c>
      <c r="C3578" s="31" t="s">
        <v>3631</v>
      </c>
      <c r="D3578" s="34" t="str">
        <f t="array" ref="D3578">IFNA(_xlfn.XLOOKUP(C3578,Table_Tarikan_Warkah[Nomor Sertipikat],Table_Tarikan_Warkah[Nomor Tiket]),"")</f>
        <v>L/1/130825/1</v>
      </c>
      <c r="E3578" s="36" t="str">
        <f t="array" ref="E3578">IFNA(_xlfn.XLOOKUP(D3578,Table_Tarikan_Warkah[Nomor Tiket],Table_Tarikan_Warkah[Tanggal diserahkan kepada Validator]),"")</f>
        <v/>
      </c>
      <c r="F3578" s="36" t="str">
        <f t="array" ref="F3578">IFNA(_xlfn.XLOOKUP(D3578,Table_Tarikan_Warkah[Nomor Tiket],Table_Tarikan_Warkah[Nama Petugas Warkah]),"")</f>
        <v/>
      </c>
      <c r="G3578" s="39" t="str">
        <f t="array" ref="G3578">IFNA(_xlfn.XLOOKUP(D3578,Table_Tarikan_Warkah[Nomor Tiket],Table_Tarikan_Warkah[Jenis Permohonan]),"")</f>
        <v>ROYA</v>
      </c>
      <c r="H3578" s="41" t="s">
        <v>2315</v>
      </c>
      <c r="I3578" s="49" t="s">
        <v>23</v>
      </c>
      <c r="J3578" s="36">
        <f t="shared" si="20"/>
        <v>45895.36756</v>
      </c>
      <c r="K3578" s="49" t="s">
        <v>2378</v>
      </c>
      <c r="L3578" s="49" t="s">
        <v>23</v>
      </c>
      <c r="M3578" s="36">
        <f t="shared" si="33"/>
        <v>45895.60655</v>
      </c>
      <c r="N3578" s="30" t="str">
        <f t="shared" si="34"/>
        <v>Selesai</v>
      </c>
      <c r="O3578" s="45">
        <f t="shared" si="23"/>
        <v>45895.60655</v>
      </c>
      <c r="P3578" s="47" t="b">
        <v>0</v>
      </c>
      <c r="Q3578" s="36" t="str">
        <f t="shared" si="35"/>
        <v/>
      </c>
      <c r="R3578" s="47" t="b">
        <v>0</v>
      </c>
      <c r="S3578" s="42" t="str">
        <f t="shared" si="28"/>
        <v/>
      </c>
      <c r="T3578" s="42"/>
    </row>
    <row r="3579" ht="22.5" customHeight="1">
      <c r="B3579" s="42">
        <f t="shared" si="7"/>
        <v>3573</v>
      </c>
      <c r="C3579" s="31" t="s">
        <v>3632</v>
      </c>
      <c r="D3579" s="34" t="str">
        <f t="array" ref="D3579">IFNA(_xlfn.XLOOKUP(C3579,Table_Tarikan_Warkah[Nomor Sertipikat],Table_Tarikan_Warkah[Nomor Tiket]),"")</f>
        <v>L/8/130825/1</v>
      </c>
      <c r="E3579" s="36">
        <f t="array" ref="E3579">IFNA(_xlfn.XLOOKUP(D3579,Table_Tarikan_Warkah[Nomor Tiket],Table_Tarikan_Warkah[Tanggal diserahkan kepada Validator]),"")</f>
        <v>45904.61579</v>
      </c>
      <c r="F3579" s="36" t="str">
        <f t="array" ref="F3579">IFNA(_xlfn.XLOOKUP(D3579,Table_Tarikan_Warkah[Nomor Tiket],Table_Tarikan_Warkah[Nama Petugas Warkah]),"")</f>
        <v>David</v>
      </c>
      <c r="G3579" s="39" t="str">
        <f t="array" ref="G3579">IFNA(_xlfn.XLOOKUP(D3579,Table_Tarikan_Warkah[Nomor Tiket],Table_Tarikan_Warkah[Jenis Permohonan]),"")</f>
        <v>ROYA</v>
      </c>
      <c r="H3579" s="41" t="s">
        <v>2315</v>
      </c>
      <c r="I3579" s="49" t="s">
        <v>23</v>
      </c>
      <c r="J3579" s="36">
        <f t="shared" si="20"/>
        <v>45895.36777</v>
      </c>
      <c r="K3579" s="49" t="s">
        <v>2378</v>
      </c>
      <c r="L3579" s="49" t="s">
        <v>23</v>
      </c>
      <c r="M3579" s="36">
        <f t="shared" si="33"/>
        <v>45895.60719</v>
      </c>
      <c r="N3579" s="30" t="str">
        <f t="shared" si="34"/>
        <v>Selesai</v>
      </c>
      <c r="O3579" s="45">
        <f t="shared" si="23"/>
        <v>45895.60719</v>
      </c>
      <c r="P3579" s="47" t="b">
        <v>0</v>
      </c>
      <c r="Q3579" s="36" t="str">
        <f t="shared" si="35"/>
        <v/>
      </c>
      <c r="R3579" s="47" t="b">
        <v>0</v>
      </c>
      <c r="S3579" s="42" t="str">
        <f t="shared" si="28"/>
        <v/>
      </c>
      <c r="T3579" s="42"/>
    </row>
    <row r="3580" ht="22.5" customHeight="1">
      <c r="B3580" s="42">
        <f t="shared" si="7"/>
        <v>3574</v>
      </c>
      <c r="C3580" s="31" t="s">
        <v>3633</v>
      </c>
      <c r="D3580" s="34" t="str">
        <f t="array" ref="D3580">IFNA(_xlfn.XLOOKUP(C3580,Table_Tarikan_Warkah[Nomor Sertipikat],Table_Tarikan_Warkah[Nomor Tiket]),"")</f>
        <v>L/23/300625/1</v>
      </c>
      <c r="E3580" s="36" t="str">
        <f t="array" ref="E3580">IFNA(_xlfn.XLOOKUP(D3580,Table_Tarikan_Warkah[Nomor Tiket],Table_Tarikan_Warkah[Tanggal diserahkan kepada Validator]),"")</f>
        <v/>
      </c>
      <c r="F3580" s="36" t="str">
        <f t="array" ref="F3580">IFNA(_xlfn.XLOOKUP(D3580,Table_Tarikan_Warkah[Nomor Tiket],Table_Tarikan_Warkah[Nama Petugas Warkah]),"")</f>
        <v/>
      </c>
      <c r="G3580" s="39" t="str">
        <f t="array" ref="G3580">IFNA(_xlfn.XLOOKUP(D3580,Table_Tarikan_Warkah[Nomor Tiket],Table_Tarikan_Warkah[Jenis Permohonan]),"")</f>
        <v>ROYA</v>
      </c>
      <c r="H3580" s="41" t="s">
        <v>2315</v>
      </c>
      <c r="I3580" s="49" t="s">
        <v>23</v>
      </c>
      <c r="J3580" s="36">
        <f t="shared" si="20"/>
        <v>45896.38111</v>
      </c>
      <c r="K3580" s="49" t="s">
        <v>2378</v>
      </c>
      <c r="L3580" s="49" t="s">
        <v>23</v>
      </c>
      <c r="M3580" s="36">
        <f t="shared" si="33"/>
        <v>45896.50699</v>
      </c>
      <c r="N3580" s="30" t="str">
        <f t="shared" si="34"/>
        <v>Selesai</v>
      </c>
      <c r="O3580" s="45">
        <f t="shared" si="23"/>
        <v>45896.50699</v>
      </c>
      <c r="P3580" s="47" t="b">
        <v>0</v>
      </c>
      <c r="Q3580" s="36" t="str">
        <f t="shared" si="35"/>
        <v/>
      </c>
      <c r="R3580" s="47" t="b">
        <v>0</v>
      </c>
      <c r="S3580" s="42" t="str">
        <f t="shared" si="28"/>
        <v/>
      </c>
      <c r="T3580" s="42"/>
    </row>
    <row r="3581" ht="22.5" customHeight="1">
      <c r="B3581" s="42">
        <f t="shared" si="7"/>
        <v>3575</v>
      </c>
      <c r="C3581" s="31" t="s">
        <v>3634</v>
      </c>
      <c r="D3581" s="34" t="str">
        <f t="array" ref="D3581">IFNA(_xlfn.XLOOKUP(C3581,Table_Tarikan_Warkah[Nomor Sertipikat],Table_Tarikan_Warkah[Nomor Tiket]),"")</f>
        <v>K/24/140825/1</v>
      </c>
      <c r="E3581" s="36" t="str">
        <f t="array" ref="E3581">IFNA(_xlfn.XLOOKUP(D3581,Table_Tarikan_Warkah[Nomor Tiket],Table_Tarikan_Warkah[Tanggal diserahkan kepada Validator]),"")</f>
        <v/>
      </c>
      <c r="F3581" s="36" t="str">
        <f t="array" ref="F3581">IFNA(_xlfn.XLOOKUP(D3581,Table_Tarikan_Warkah[Nomor Tiket],Table_Tarikan_Warkah[Nama Petugas Warkah]),"")</f>
        <v/>
      </c>
      <c r="G3581" s="39" t="str">
        <f t="array" ref="G3581">IFNA(_xlfn.XLOOKUP(D3581,Table_Tarikan_Warkah[Nomor Tiket],Table_Tarikan_Warkah[Jenis Permohonan]),"")</f>
        <v>BN Waris</v>
      </c>
      <c r="H3581" s="41" t="s">
        <v>2315</v>
      </c>
      <c r="I3581" s="49" t="s">
        <v>23</v>
      </c>
      <c r="J3581" s="36">
        <f t="shared" si="20"/>
        <v>45896.38137</v>
      </c>
      <c r="K3581" s="49" t="s">
        <v>2378</v>
      </c>
      <c r="L3581" s="49" t="s">
        <v>23</v>
      </c>
      <c r="M3581" s="36">
        <f t="shared" si="33"/>
        <v>45896.50836</v>
      </c>
      <c r="N3581" s="30" t="str">
        <f t="shared" si="34"/>
        <v>Selesai</v>
      </c>
      <c r="O3581" s="45">
        <f t="shared" si="23"/>
        <v>45896.50836</v>
      </c>
      <c r="P3581" s="47" t="b">
        <v>0</v>
      </c>
      <c r="Q3581" s="36" t="str">
        <f t="shared" si="35"/>
        <v/>
      </c>
      <c r="R3581" s="47" t="b">
        <v>0</v>
      </c>
      <c r="S3581" s="42" t="str">
        <f t="shared" si="28"/>
        <v/>
      </c>
      <c r="T3581" s="42"/>
    </row>
    <row r="3582" ht="22.5" customHeight="1">
      <c r="B3582" s="42">
        <f t="shared" si="7"/>
        <v>3576</v>
      </c>
      <c r="C3582" s="31" t="s">
        <v>3635</v>
      </c>
      <c r="D3582" s="34" t="str">
        <f t="array" ref="D3582">IFNA(_xlfn.XLOOKUP(C3582,Table_Tarikan_Warkah[Nomor Sertipikat],Table_Tarikan_Warkah[Nomor Tiket]),"")</f>
        <v>K/3/200825/2</v>
      </c>
      <c r="E3582" s="36" t="str">
        <f t="array" ref="E3582">IFNA(_xlfn.XLOOKUP(D3582,Table_Tarikan_Warkah[Nomor Tiket],Table_Tarikan_Warkah[Tanggal diserahkan kepada Validator]),"")</f>
        <v/>
      </c>
      <c r="F3582" s="36" t="str">
        <f t="array" ref="F3582">IFNA(_xlfn.XLOOKUP(D3582,Table_Tarikan_Warkah[Nomor Tiket],Table_Tarikan_Warkah[Nama Petugas Warkah]),"")</f>
        <v/>
      </c>
      <c r="G3582" s="39" t="str">
        <f t="array" ref="G3582">IFNA(_xlfn.XLOOKUP(D3582,Table_Tarikan_Warkah[Nomor Tiket],Table_Tarikan_Warkah[Jenis Permohonan]),"")</f>
        <v>BN HIBAH</v>
      </c>
      <c r="H3582" s="41" t="s">
        <v>2315</v>
      </c>
      <c r="I3582" s="49" t="s">
        <v>23</v>
      </c>
      <c r="J3582" s="36">
        <f t="shared" si="20"/>
        <v>45896.38155</v>
      </c>
      <c r="K3582" s="49" t="s">
        <v>2378</v>
      </c>
      <c r="L3582" s="49" t="s">
        <v>23</v>
      </c>
      <c r="M3582" s="36">
        <f t="shared" si="33"/>
        <v>45896.50825</v>
      </c>
      <c r="N3582" s="30" t="str">
        <f t="shared" si="34"/>
        <v>Selesai</v>
      </c>
      <c r="O3582" s="45">
        <f t="shared" si="23"/>
        <v>45896.50825</v>
      </c>
      <c r="P3582" s="47" t="b">
        <v>0</v>
      </c>
      <c r="Q3582" s="36" t="str">
        <f t="shared" si="35"/>
        <v/>
      </c>
      <c r="R3582" s="47" t="b">
        <v>0</v>
      </c>
      <c r="S3582" s="42" t="str">
        <f t="shared" si="28"/>
        <v/>
      </c>
      <c r="T3582" s="42"/>
    </row>
    <row r="3583" ht="22.5" customHeight="1">
      <c r="B3583" s="42">
        <f t="shared" si="7"/>
        <v>3577</v>
      </c>
      <c r="C3583" s="31" t="s">
        <v>3636</v>
      </c>
      <c r="D3583" s="34" t="str">
        <f t="array" ref="D3583">IFNA(_xlfn.XLOOKUP(C3583,Table_Tarikan_Warkah[Nomor Sertipikat],Table_Tarikan_Warkah[Nomor Tiket]),"")</f>
        <v>K/5/120825/3</v>
      </c>
      <c r="E3583" s="36" t="str">
        <f t="array" ref="E3583">IFNA(_xlfn.XLOOKUP(D3583,Table_Tarikan_Warkah[Nomor Tiket],Table_Tarikan_Warkah[Tanggal diserahkan kepada Validator]),"")</f>
        <v/>
      </c>
      <c r="F3583" s="36" t="str">
        <f t="array" ref="F3583">IFNA(_xlfn.XLOOKUP(D3583,Table_Tarikan_Warkah[Nomor Tiket],Table_Tarikan_Warkah[Nama Petugas Warkah]),"")</f>
        <v/>
      </c>
      <c r="G3583" s="39" t="str">
        <f t="array" ref="G3583">IFNA(_xlfn.XLOOKUP(D3583,Table_Tarikan_Warkah[Nomor Tiket],Table_Tarikan_Warkah[Jenis Permohonan]),"")</f>
        <v>BN JUAL BELI</v>
      </c>
      <c r="H3583" s="41" t="s">
        <v>2315</v>
      </c>
      <c r="I3583" s="49" t="s">
        <v>23</v>
      </c>
      <c r="J3583" s="36">
        <f t="shared" si="20"/>
        <v>45896.38173</v>
      </c>
      <c r="K3583" s="49" t="s">
        <v>2378</v>
      </c>
      <c r="L3583" s="49" t="s">
        <v>23</v>
      </c>
      <c r="M3583" s="36">
        <f t="shared" si="33"/>
        <v>45896.50811</v>
      </c>
      <c r="N3583" s="30" t="str">
        <f t="shared" si="34"/>
        <v>Selesai</v>
      </c>
      <c r="O3583" s="45">
        <f t="shared" si="23"/>
        <v>45896.50811</v>
      </c>
      <c r="P3583" s="47" t="b">
        <v>0</v>
      </c>
      <c r="Q3583" s="36" t="str">
        <f t="shared" si="35"/>
        <v/>
      </c>
      <c r="R3583" s="47" t="b">
        <v>0</v>
      </c>
      <c r="S3583" s="42" t="str">
        <f t="shared" si="28"/>
        <v/>
      </c>
      <c r="T3583" s="42"/>
    </row>
    <row r="3584" ht="22.5" customHeight="1">
      <c r="B3584" s="42">
        <f t="shared" si="7"/>
        <v>3578</v>
      </c>
      <c r="C3584" s="31" t="s">
        <v>3637</v>
      </c>
      <c r="D3584" s="34" t="str">
        <f t="array" ref="D3584">IFNA(_xlfn.XLOOKUP(C3584,Table_Tarikan_Warkah[Nomor Sertipikat],Table_Tarikan_Warkah[Nomor Tiket]),"")</f>
        <v>K/21/040825/1</v>
      </c>
      <c r="E3584" s="36" t="str">
        <f t="array" ref="E3584">IFNA(_xlfn.XLOOKUP(D3584,Table_Tarikan_Warkah[Nomor Tiket],Table_Tarikan_Warkah[Tanggal diserahkan kepada Validator]),"")</f>
        <v/>
      </c>
      <c r="F3584" s="36" t="str">
        <f t="array" ref="F3584">IFNA(_xlfn.XLOOKUP(D3584,Table_Tarikan_Warkah[Nomor Tiket],Table_Tarikan_Warkah[Nama Petugas Warkah]),"")</f>
        <v/>
      </c>
      <c r="G3584" s="39" t="str">
        <f t="array" ref="G3584">IFNA(_xlfn.XLOOKUP(D3584,Table_Tarikan_Warkah[Nomor Tiket],Table_Tarikan_Warkah[Jenis Permohonan]),"")</f>
        <v>BN Jual Beli</v>
      </c>
      <c r="H3584" s="41" t="s">
        <v>2315</v>
      </c>
      <c r="I3584" s="49" t="s">
        <v>23</v>
      </c>
      <c r="J3584" s="36">
        <f t="shared" si="20"/>
        <v>45896.3819</v>
      </c>
      <c r="K3584" s="49" t="s">
        <v>2378</v>
      </c>
      <c r="L3584" s="49" t="s">
        <v>23</v>
      </c>
      <c r="M3584" s="36">
        <f t="shared" si="33"/>
        <v>45896.50809</v>
      </c>
      <c r="N3584" s="30" t="str">
        <f t="shared" si="34"/>
        <v>Selesai</v>
      </c>
      <c r="O3584" s="45">
        <f t="shared" si="23"/>
        <v>45896.50809</v>
      </c>
      <c r="P3584" s="47" t="b">
        <v>0</v>
      </c>
      <c r="Q3584" s="36" t="str">
        <f t="shared" si="35"/>
        <v/>
      </c>
      <c r="R3584" s="47" t="b">
        <v>0</v>
      </c>
      <c r="S3584" s="42" t="str">
        <f t="shared" si="28"/>
        <v/>
      </c>
      <c r="T3584" s="42"/>
    </row>
    <row r="3585" ht="22.5" customHeight="1">
      <c r="B3585" s="42">
        <f t="shared" si="7"/>
        <v>3579</v>
      </c>
      <c r="C3585" s="31" t="s">
        <v>3638</v>
      </c>
      <c r="D3585" s="34" t="str">
        <f t="array" ref="D3585">IFNA(_xlfn.XLOOKUP(C3585,Table_Tarikan_Warkah[Nomor Sertipikat],Table_Tarikan_Warkah[Nomor Tiket]),"")</f>
        <v>K/21/130825/5</v>
      </c>
      <c r="E3585" s="36" t="str">
        <f t="array" ref="E3585">IFNA(_xlfn.XLOOKUP(D3585,Table_Tarikan_Warkah[Nomor Tiket],Table_Tarikan_Warkah[Tanggal diserahkan kepada Validator]),"")</f>
        <v/>
      </c>
      <c r="F3585" s="36" t="str">
        <f t="array" ref="F3585">IFNA(_xlfn.XLOOKUP(D3585,Table_Tarikan_Warkah[Nomor Tiket],Table_Tarikan_Warkah[Nama Petugas Warkah]),"")</f>
        <v/>
      </c>
      <c r="G3585" s="39" t="str">
        <f t="array" ref="G3585">IFNA(_xlfn.XLOOKUP(D3585,Table_Tarikan_Warkah[Nomor Tiket],Table_Tarikan_Warkah[Jenis Permohonan]),"")</f>
        <v>PENATAAN BATAS</v>
      </c>
      <c r="H3585" s="41" t="s">
        <v>2315</v>
      </c>
      <c r="I3585" s="49" t="s">
        <v>23</v>
      </c>
      <c r="J3585" s="36">
        <f t="shared" si="20"/>
        <v>45896.38208</v>
      </c>
      <c r="K3585" s="49" t="s">
        <v>2378</v>
      </c>
      <c r="L3585" s="49" t="s">
        <v>23</v>
      </c>
      <c r="M3585" s="36">
        <f t="shared" si="33"/>
        <v>45896.50795</v>
      </c>
      <c r="N3585" s="30" t="str">
        <f t="shared" si="34"/>
        <v>Selesai</v>
      </c>
      <c r="O3585" s="45">
        <f t="shared" si="23"/>
        <v>45896.50795</v>
      </c>
      <c r="P3585" s="47" t="b">
        <v>0</v>
      </c>
      <c r="Q3585" s="36" t="str">
        <f t="shared" si="35"/>
        <v/>
      </c>
      <c r="R3585" s="47" t="b">
        <v>0</v>
      </c>
      <c r="S3585" s="42" t="str">
        <f t="shared" si="28"/>
        <v/>
      </c>
      <c r="T3585" s="42"/>
    </row>
    <row r="3586" ht="22.5" customHeight="1">
      <c r="B3586" s="42">
        <f t="shared" si="7"/>
        <v>3580</v>
      </c>
      <c r="C3586" s="31" t="s">
        <v>3639</v>
      </c>
      <c r="D3586" s="34" t="str">
        <f t="array" ref="D3586">IFNA(_xlfn.XLOOKUP(C3586,Table_Tarikan_Warkah[Nomor Sertipikat],Table_Tarikan_Warkah[Nomor Tiket]),"")</f>
        <v>K/33/250725/2</v>
      </c>
      <c r="E3586" s="36" t="str">
        <f t="array" ref="E3586">IFNA(_xlfn.XLOOKUP(D3586,Table_Tarikan_Warkah[Nomor Tiket],Table_Tarikan_Warkah[Tanggal diserahkan kepada Validator]),"")</f>
        <v/>
      </c>
      <c r="F3586" s="36" t="str">
        <f t="array" ref="F3586">IFNA(_xlfn.XLOOKUP(D3586,Table_Tarikan_Warkah[Nomor Tiket],Table_Tarikan_Warkah[Nama Petugas Warkah]),"")</f>
        <v/>
      </c>
      <c r="G3586" s="39" t="str">
        <f t="array" ref="G3586">IFNA(_xlfn.XLOOKUP(D3586,Table_Tarikan_Warkah[Nomor Tiket],Table_Tarikan_Warkah[Jenis Permohonan]),"")</f>
        <v>Ganti Nama</v>
      </c>
      <c r="H3586" s="41" t="s">
        <v>2315</v>
      </c>
      <c r="I3586" s="49" t="s">
        <v>23</v>
      </c>
      <c r="J3586" s="36">
        <f t="shared" si="20"/>
        <v>45896.38225</v>
      </c>
      <c r="K3586" s="49" t="s">
        <v>2378</v>
      </c>
      <c r="L3586" s="49" t="s">
        <v>23</v>
      </c>
      <c r="M3586" s="36">
        <f t="shared" si="33"/>
        <v>45896.50745</v>
      </c>
      <c r="N3586" s="30" t="str">
        <f t="shared" si="34"/>
        <v>Selesai</v>
      </c>
      <c r="O3586" s="45">
        <f t="shared" si="23"/>
        <v>45896.50745</v>
      </c>
      <c r="P3586" s="47" t="b">
        <v>0</v>
      </c>
      <c r="Q3586" s="36" t="str">
        <f t="shared" si="35"/>
        <v/>
      </c>
      <c r="R3586" s="47" t="b">
        <v>0</v>
      </c>
      <c r="S3586" s="42" t="str">
        <f t="shared" si="28"/>
        <v/>
      </c>
      <c r="T3586" s="42"/>
    </row>
    <row r="3587" ht="22.5" customHeight="1">
      <c r="B3587" s="42">
        <f t="shared" si="7"/>
        <v>3581</v>
      </c>
      <c r="C3587" s="31" t="s">
        <v>3640</v>
      </c>
      <c r="D3587" s="34" t="str">
        <f t="array" ref="D3587">IFNA(_xlfn.XLOOKUP(C3587,Table_Tarikan_Warkah[Nomor Sertipikat],Table_Tarikan_Warkah[Nomor Tiket]),"")</f>
        <v>L/60/220825/1</v>
      </c>
      <c r="E3587" s="36" t="str">
        <f t="array" ref="E3587">IFNA(_xlfn.XLOOKUP(D3587,Table_Tarikan_Warkah[Nomor Tiket],Table_Tarikan_Warkah[Tanggal diserahkan kepada Validator]),"")</f>
        <v/>
      </c>
      <c r="F3587" s="36" t="str">
        <f t="array" ref="F3587">IFNA(_xlfn.XLOOKUP(D3587,Table_Tarikan_Warkah[Nomor Tiket],Table_Tarikan_Warkah[Nama Petugas Warkah]),"")</f>
        <v/>
      </c>
      <c r="G3587" s="39" t="str">
        <f t="array" ref="G3587">IFNA(_xlfn.XLOOKUP(D3587,Table_Tarikan_Warkah[Nomor Tiket],Table_Tarikan_Warkah[Jenis Permohonan]),"")</f>
        <v>ROYA</v>
      </c>
      <c r="H3587" s="41" t="s">
        <v>2315</v>
      </c>
      <c r="I3587" s="49" t="s">
        <v>23</v>
      </c>
      <c r="J3587" s="36">
        <f t="shared" si="20"/>
        <v>45896.38247</v>
      </c>
      <c r="K3587" s="49" t="s">
        <v>2378</v>
      </c>
      <c r="L3587" s="49" t="s">
        <v>23</v>
      </c>
      <c r="M3587" s="36">
        <f t="shared" si="33"/>
        <v>45896.50748</v>
      </c>
      <c r="N3587" s="30" t="str">
        <f t="shared" si="34"/>
        <v>Selesai</v>
      </c>
      <c r="O3587" s="45">
        <f t="shared" si="23"/>
        <v>45896.50748</v>
      </c>
      <c r="P3587" s="47" t="b">
        <v>0</v>
      </c>
      <c r="Q3587" s="36" t="str">
        <f t="shared" si="35"/>
        <v/>
      </c>
      <c r="R3587" s="47" t="b">
        <v>0</v>
      </c>
      <c r="S3587" s="42" t="str">
        <f t="shared" si="28"/>
        <v/>
      </c>
      <c r="T3587" s="42"/>
    </row>
    <row r="3588" ht="22.5" customHeight="1">
      <c r="B3588" s="42">
        <f t="shared" si="7"/>
        <v>3582</v>
      </c>
      <c r="C3588" s="31" t="s">
        <v>3641</v>
      </c>
      <c r="D3588" s="34" t="str">
        <f t="array" ref="D3588">IFNA(_xlfn.XLOOKUP(C3588,Table_Tarikan_Warkah[Nomor Sertipikat],Table_Tarikan_Warkah[Nomor Tiket]),"")</f>
        <v>L/34/150825/1</v>
      </c>
      <c r="E3588" s="36" t="str">
        <f t="array" ref="E3588">IFNA(_xlfn.XLOOKUP(D3588,Table_Tarikan_Warkah[Nomor Tiket],Table_Tarikan_Warkah[Tanggal diserahkan kepada Validator]),"")</f>
        <v/>
      </c>
      <c r="F3588" s="36" t="str">
        <f t="array" ref="F3588">IFNA(_xlfn.XLOOKUP(D3588,Table_Tarikan_Warkah[Nomor Tiket],Table_Tarikan_Warkah[Nama Petugas Warkah]),"")</f>
        <v/>
      </c>
      <c r="G3588" s="39" t="str">
        <f t="array" ref="G3588">IFNA(_xlfn.XLOOKUP(D3588,Table_Tarikan_Warkah[Nomor Tiket],Table_Tarikan_Warkah[Jenis Permohonan]),"")</f>
        <v>ROYA</v>
      </c>
      <c r="H3588" s="41" t="s">
        <v>2315</v>
      </c>
      <c r="I3588" s="49" t="s">
        <v>23</v>
      </c>
      <c r="J3588" s="36">
        <f t="shared" si="20"/>
        <v>45896.38272</v>
      </c>
      <c r="K3588" s="49" t="s">
        <v>2378</v>
      </c>
      <c r="L3588" s="49" t="s">
        <v>23</v>
      </c>
      <c r="M3588" s="36">
        <f t="shared" si="33"/>
        <v>45896.50718</v>
      </c>
      <c r="N3588" s="30" t="str">
        <f t="shared" si="34"/>
        <v>Selesai</v>
      </c>
      <c r="O3588" s="45">
        <f t="shared" si="23"/>
        <v>45896.50718</v>
      </c>
      <c r="P3588" s="47" t="b">
        <v>0</v>
      </c>
      <c r="Q3588" s="36" t="str">
        <f t="shared" si="35"/>
        <v/>
      </c>
      <c r="R3588" s="47" t="b">
        <v>0</v>
      </c>
      <c r="S3588" s="42" t="str">
        <f t="shared" si="28"/>
        <v/>
      </c>
      <c r="T3588" s="42"/>
    </row>
    <row r="3589" ht="22.5" customHeight="1">
      <c r="B3589" s="42">
        <f t="shared" si="7"/>
        <v>3583</v>
      </c>
      <c r="C3589" s="31" t="s">
        <v>3642</v>
      </c>
      <c r="D3589" s="34" t="str">
        <f t="array" ref="D3589">IFNA(_xlfn.XLOOKUP(C3589,Table_Tarikan_Warkah[Nomor Sertipikat],Table_Tarikan_Warkah[Nomor Tiket]),"")</f>
        <v>L/13/150825/1</v>
      </c>
      <c r="E3589" s="36">
        <f t="array" ref="E3589">IFNA(_xlfn.XLOOKUP(D3589,Table_Tarikan_Warkah[Nomor Tiket],Table_Tarikan_Warkah[Tanggal diserahkan kepada Validator]),"")</f>
        <v>45908.63166</v>
      </c>
      <c r="F3589" s="36" t="str">
        <f t="array" ref="F3589">IFNA(_xlfn.XLOOKUP(D3589,Table_Tarikan_Warkah[Nomor Tiket],Table_Tarikan_Warkah[Nama Petugas Warkah]),"")</f>
        <v>Berry</v>
      </c>
      <c r="G3589" s="39" t="str">
        <f t="array" ref="G3589">IFNA(_xlfn.XLOOKUP(D3589,Table_Tarikan_Warkah[Nomor Tiket],Table_Tarikan_Warkah[Jenis Permohonan]),"")</f>
        <v>ROYA</v>
      </c>
      <c r="H3589" s="41" t="s">
        <v>2315</v>
      </c>
      <c r="I3589" s="49" t="s">
        <v>23</v>
      </c>
      <c r="J3589" s="36">
        <f t="shared" si="20"/>
        <v>45896.3829</v>
      </c>
      <c r="K3589" s="49" t="s">
        <v>2378</v>
      </c>
      <c r="L3589" s="49" t="s">
        <v>23</v>
      </c>
      <c r="M3589" s="36">
        <f t="shared" si="33"/>
        <v>45896.50781</v>
      </c>
      <c r="N3589" s="30" t="str">
        <f t="shared" si="34"/>
        <v>Selesai</v>
      </c>
      <c r="O3589" s="45">
        <f t="shared" si="23"/>
        <v>45896.50781</v>
      </c>
      <c r="P3589" s="47" t="b">
        <v>0</v>
      </c>
      <c r="Q3589" s="36" t="str">
        <f t="shared" si="35"/>
        <v/>
      </c>
      <c r="R3589" s="47" t="b">
        <v>0</v>
      </c>
      <c r="S3589" s="42" t="str">
        <f t="shared" si="28"/>
        <v/>
      </c>
      <c r="T3589" s="42"/>
    </row>
    <row r="3590" ht="22.5" customHeight="1">
      <c r="B3590" s="42">
        <f t="shared" si="7"/>
        <v>3584</v>
      </c>
      <c r="C3590" s="31" t="s">
        <v>3643</v>
      </c>
      <c r="D3590" s="34" t="str">
        <f t="array" ref="D3590">IFNA(_xlfn.XLOOKUP(C3590,Table_Tarikan_Warkah[Nomor Sertipikat],Table_Tarikan_Warkah[Nomor Tiket]),"")</f>
        <v>K/1/140825/1</v>
      </c>
      <c r="E3590" s="36" t="str">
        <f t="array" ref="E3590">IFNA(_xlfn.XLOOKUP(D3590,Table_Tarikan_Warkah[Nomor Tiket],Table_Tarikan_Warkah[Tanggal diserahkan kepada Validator]),"")</f>
        <v/>
      </c>
      <c r="F3590" s="36" t="str">
        <f t="array" ref="F3590">IFNA(_xlfn.XLOOKUP(D3590,Table_Tarikan_Warkah[Nomor Tiket],Table_Tarikan_Warkah[Nama Petugas Warkah]),"")</f>
        <v/>
      </c>
      <c r="G3590" s="39" t="str">
        <f t="array" ref="G3590">IFNA(_xlfn.XLOOKUP(D3590,Table_Tarikan_Warkah[Nomor Tiket],Table_Tarikan_Warkah[Jenis Permohonan]),"")</f>
        <v>BN Jual Beli</v>
      </c>
      <c r="H3590" s="41" t="s">
        <v>2315</v>
      </c>
      <c r="I3590" s="49" t="s">
        <v>23</v>
      </c>
      <c r="J3590" s="36">
        <f t="shared" si="20"/>
        <v>45897.36034</v>
      </c>
      <c r="K3590" s="49" t="s">
        <v>2378</v>
      </c>
      <c r="L3590" s="49" t="s">
        <v>23</v>
      </c>
      <c r="M3590" s="36">
        <f t="shared" si="33"/>
        <v>45897.65287</v>
      </c>
      <c r="N3590" s="30" t="str">
        <f t="shared" si="34"/>
        <v>Selesai</v>
      </c>
      <c r="O3590" s="45">
        <f t="shared" si="23"/>
        <v>45897.65287</v>
      </c>
      <c r="P3590" s="47" t="b">
        <v>0</v>
      </c>
      <c r="Q3590" s="36" t="str">
        <f t="shared" si="35"/>
        <v/>
      </c>
      <c r="R3590" s="47" t="b">
        <v>0</v>
      </c>
      <c r="S3590" s="42" t="str">
        <f t="shared" si="28"/>
        <v/>
      </c>
      <c r="T3590" s="42"/>
    </row>
    <row r="3591" ht="22.5" customHeight="1">
      <c r="B3591" s="42">
        <f t="shared" si="7"/>
        <v>3585</v>
      </c>
      <c r="C3591" s="31" t="s">
        <v>3644</v>
      </c>
      <c r="D3591" s="34" t="str">
        <f t="array" ref="D3591">IFNA(_xlfn.XLOOKUP(C3591,Table_Tarikan_Warkah[Nomor Sertipikat],Table_Tarikan_Warkah[Nomor Tiket]),"")</f>
        <v>K/28/190825/4</v>
      </c>
      <c r="E3591" s="36">
        <f t="array" ref="E3591">IFNA(_xlfn.XLOOKUP(D3591,Table_Tarikan_Warkah[Nomor Tiket],Table_Tarikan_Warkah[Tanggal diserahkan kepada Validator]),"")</f>
        <v>45915.58653</v>
      </c>
      <c r="F3591" s="36" t="str">
        <f t="array" ref="F3591">IFNA(_xlfn.XLOOKUP(D3591,Table_Tarikan_Warkah[Nomor Tiket],Table_Tarikan_Warkah[Nama Petugas Warkah]),"")</f>
        <v>Berry</v>
      </c>
      <c r="G3591" s="39" t="str">
        <f t="array" ref="G3591">IFNA(_xlfn.XLOOKUP(D3591,Table_Tarikan_Warkah[Nomor Tiket],Table_Tarikan_Warkah[Jenis Permohonan]),"")</f>
        <v>BN JUAL BELI</v>
      </c>
      <c r="H3591" s="41" t="s">
        <v>2315</v>
      </c>
      <c r="I3591" s="49" t="s">
        <v>23</v>
      </c>
      <c r="J3591" s="36">
        <f t="shared" si="20"/>
        <v>45897.36047</v>
      </c>
      <c r="K3591" s="49" t="s">
        <v>2378</v>
      </c>
      <c r="L3591" s="49" t="s">
        <v>23</v>
      </c>
      <c r="M3591" s="36">
        <f t="shared" si="33"/>
        <v>45897.65294</v>
      </c>
      <c r="N3591" s="30" t="str">
        <f t="shared" si="34"/>
        <v>Selesai</v>
      </c>
      <c r="O3591" s="45">
        <f t="shared" si="23"/>
        <v>45897.65294</v>
      </c>
      <c r="P3591" s="47" t="b">
        <v>0</v>
      </c>
      <c r="Q3591" s="36" t="str">
        <f t="shared" si="35"/>
        <v/>
      </c>
      <c r="R3591" s="47" t="b">
        <v>0</v>
      </c>
      <c r="S3591" s="42" t="str">
        <f t="shared" si="28"/>
        <v/>
      </c>
      <c r="T3591" s="42"/>
    </row>
    <row r="3592" ht="22.5" customHeight="1">
      <c r="B3592" s="42">
        <f t="shared" si="7"/>
        <v>3586</v>
      </c>
      <c r="C3592" s="31" t="s">
        <v>3645</v>
      </c>
      <c r="D3592" s="34" t="str">
        <f t="array" ref="D3592">IFNA(_xlfn.XLOOKUP(C3592,Table_Tarikan_Warkah[Nomor Sertipikat],Table_Tarikan_Warkah[Nomor Tiket]),"")</f>
        <v>K/10/140725/1</v>
      </c>
      <c r="E3592" s="36">
        <f t="array" ref="E3592">IFNA(_xlfn.XLOOKUP(D3592,Table_Tarikan_Warkah[Nomor Tiket],Table_Tarikan_Warkah[Tanggal diserahkan kepada Validator]),"")</f>
        <v>45902.63292</v>
      </c>
      <c r="F3592" s="36" t="str">
        <f t="array" ref="F3592">IFNA(_xlfn.XLOOKUP(D3592,Table_Tarikan_Warkah[Nomor Tiket],Table_Tarikan_Warkah[Nama Petugas Warkah]),"")</f>
        <v>David</v>
      </c>
      <c r="G3592" s="39" t="str">
        <f t="array" ref="G3592">IFNA(_xlfn.XLOOKUP(D3592,Table_Tarikan_Warkah[Nomor Tiket],Table_Tarikan_Warkah[Jenis Permohonan]),"")</f>
        <v>BN Waris</v>
      </c>
      <c r="H3592" s="41" t="s">
        <v>2315</v>
      </c>
      <c r="I3592" s="49" t="s">
        <v>23</v>
      </c>
      <c r="J3592" s="36">
        <f t="shared" si="20"/>
        <v>45897.36063</v>
      </c>
      <c r="K3592" s="49" t="s">
        <v>2378</v>
      </c>
      <c r="L3592" s="49" t="s">
        <v>23</v>
      </c>
      <c r="M3592" s="36">
        <f t="shared" si="33"/>
        <v>45897.65302</v>
      </c>
      <c r="N3592" s="30" t="str">
        <f t="shared" si="34"/>
        <v>Selesai</v>
      </c>
      <c r="O3592" s="45">
        <f t="shared" si="23"/>
        <v>45897.65302</v>
      </c>
      <c r="P3592" s="47" t="b">
        <v>0</v>
      </c>
      <c r="Q3592" s="36" t="str">
        <f t="shared" si="35"/>
        <v/>
      </c>
      <c r="R3592" s="47" t="b">
        <v>0</v>
      </c>
      <c r="S3592" s="42" t="str">
        <f t="shared" si="28"/>
        <v/>
      </c>
      <c r="T3592" s="42"/>
    </row>
    <row r="3593" ht="22.5" customHeight="1">
      <c r="B3593" s="42">
        <f t="shared" si="7"/>
        <v>3587</v>
      </c>
      <c r="C3593" s="31" t="s">
        <v>3646</v>
      </c>
      <c r="D3593" s="34" t="str">
        <f t="array" ref="D3593">IFNA(_xlfn.XLOOKUP(C3593,Table_Tarikan_Warkah[Nomor Sertipikat],Table_Tarikan_Warkah[Nomor Tiket]),"")</f>
        <v>L/37/150825/1</v>
      </c>
      <c r="E3593" s="36">
        <f t="array" ref="E3593">IFNA(_xlfn.XLOOKUP(D3593,Table_Tarikan_Warkah[Nomor Tiket],Table_Tarikan_Warkah[Tanggal diserahkan kepada Validator]),"")</f>
        <v>45943.69633</v>
      </c>
      <c r="F3593" s="36" t="str">
        <f t="array" ref="F3593">IFNA(_xlfn.XLOOKUP(D3593,Table_Tarikan_Warkah[Nomor Tiket],Table_Tarikan_Warkah[Nama Petugas Warkah]),"")</f>
        <v>David</v>
      </c>
      <c r="G3593" s="39" t="str">
        <f t="array" ref="G3593">IFNA(_xlfn.XLOOKUP(D3593,Table_Tarikan_Warkah[Nomor Tiket],Table_Tarikan_Warkah[Jenis Permohonan]),"")</f>
        <v>ROYA</v>
      </c>
      <c r="H3593" s="41" t="s">
        <v>2315</v>
      </c>
      <c r="I3593" s="49" t="s">
        <v>23</v>
      </c>
      <c r="J3593" s="36">
        <f t="shared" si="20"/>
        <v>45897.36081</v>
      </c>
      <c r="K3593" s="49" t="s">
        <v>2378</v>
      </c>
      <c r="L3593" s="49" t="s">
        <v>23</v>
      </c>
      <c r="M3593" s="36">
        <f t="shared" si="33"/>
        <v>45897.65315</v>
      </c>
      <c r="N3593" s="30" t="str">
        <f t="shared" si="34"/>
        <v>Selesai</v>
      </c>
      <c r="O3593" s="45">
        <f t="shared" si="23"/>
        <v>45897.65315</v>
      </c>
      <c r="P3593" s="47" t="b">
        <v>0</v>
      </c>
      <c r="Q3593" s="36" t="str">
        <f t="shared" si="35"/>
        <v/>
      </c>
      <c r="R3593" s="47" t="b">
        <v>0</v>
      </c>
      <c r="S3593" s="42" t="str">
        <f t="shared" si="28"/>
        <v/>
      </c>
      <c r="T3593" s="42"/>
    </row>
    <row r="3594" ht="22.5" customHeight="1">
      <c r="B3594" s="42">
        <f t="shared" si="7"/>
        <v>3588</v>
      </c>
      <c r="C3594" s="31" t="s">
        <v>3647</v>
      </c>
      <c r="D3594" s="34" t="str">
        <f t="array" ref="D3594">IFNA(_xlfn.XLOOKUP(C3594,Table_Tarikan_Warkah[Nomor Sertipikat],Table_Tarikan_Warkah[Nomor Tiket]),"")</f>
        <v>L/8/150825/1</v>
      </c>
      <c r="E3594" s="36">
        <f t="array" ref="E3594">IFNA(_xlfn.XLOOKUP(D3594,Table_Tarikan_Warkah[Nomor Tiket],Table_Tarikan_Warkah[Tanggal diserahkan kepada Validator]),"")</f>
        <v>45926.58326</v>
      </c>
      <c r="F3594" s="36" t="str">
        <f t="array" ref="F3594">IFNA(_xlfn.XLOOKUP(D3594,Table_Tarikan_Warkah[Nomor Tiket],Table_Tarikan_Warkah[Nama Petugas Warkah]),"")</f>
        <v>David</v>
      </c>
      <c r="G3594" s="39" t="str">
        <f t="array" ref="G3594">IFNA(_xlfn.XLOOKUP(D3594,Table_Tarikan_Warkah[Nomor Tiket],Table_Tarikan_Warkah[Jenis Permohonan]),"")</f>
        <v>ROYA</v>
      </c>
      <c r="H3594" s="41" t="s">
        <v>2315</v>
      </c>
      <c r="I3594" s="49" t="s">
        <v>23</v>
      </c>
      <c r="J3594" s="36">
        <f t="shared" si="20"/>
        <v>45897.36107</v>
      </c>
      <c r="K3594" s="49" t="s">
        <v>2378</v>
      </c>
      <c r="L3594" s="49" t="s">
        <v>23</v>
      </c>
      <c r="M3594" s="36">
        <f t="shared" si="33"/>
        <v>45897.65322</v>
      </c>
      <c r="N3594" s="30" t="str">
        <f t="shared" si="34"/>
        <v>Selesai</v>
      </c>
      <c r="O3594" s="45">
        <f t="shared" si="23"/>
        <v>45897.65322</v>
      </c>
      <c r="P3594" s="47" t="b">
        <v>0</v>
      </c>
      <c r="Q3594" s="36" t="str">
        <f t="shared" si="35"/>
        <v/>
      </c>
      <c r="R3594" s="47" t="b">
        <v>0</v>
      </c>
      <c r="S3594" s="42" t="str">
        <f t="shared" si="28"/>
        <v/>
      </c>
      <c r="T3594" s="42"/>
    </row>
    <row r="3595" ht="22.5" customHeight="1">
      <c r="B3595" s="42">
        <f t="shared" si="7"/>
        <v>3589</v>
      </c>
      <c r="C3595" s="31" t="s">
        <v>3648</v>
      </c>
      <c r="D3595" s="34" t="str">
        <f t="array" ref="D3595">IFNA(_xlfn.XLOOKUP(C3595,Table_Tarikan_Warkah[Nomor Sertipikat],Table_Tarikan_Warkah[Nomor Tiket]),"")</f>
        <v>L/7/150825/1</v>
      </c>
      <c r="E3595" s="36" t="str">
        <f t="array" ref="E3595">IFNA(_xlfn.XLOOKUP(D3595,Table_Tarikan_Warkah[Nomor Tiket],Table_Tarikan_Warkah[Tanggal diserahkan kepada Validator]),"")</f>
        <v/>
      </c>
      <c r="F3595" s="36" t="str">
        <f t="array" ref="F3595">IFNA(_xlfn.XLOOKUP(D3595,Table_Tarikan_Warkah[Nomor Tiket],Table_Tarikan_Warkah[Nama Petugas Warkah]),"")</f>
        <v/>
      </c>
      <c r="G3595" s="39" t="str">
        <f t="array" ref="G3595">IFNA(_xlfn.XLOOKUP(D3595,Table_Tarikan_Warkah[Nomor Tiket],Table_Tarikan_Warkah[Jenis Permohonan]),"")</f>
        <v>ROYA</v>
      </c>
      <c r="H3595" s="41" t="s">
        <v>2315</v>
      </c>
      <c r="I3595" s="49" t="s">
        <v>23</v>
      </c>
      <c r="J3595" s="36">
        <f t="shared" si="20"/>
        <v>45897.36125</v>
      </c>
      <c r="K3595" s="49" t="s">
        <v>2378</v>
      </c>
      <c r="L3595" s="49" t="s">
        <v>23</v>
      </c>
      <c r="M3595" s="36">
        <f t="shared" si="33"/>
        <v>45897.65332</v>
      </c>
      <c r="N3595" s="30" t="str">
        <f t="shared" si="34"/>
        <v>Selesai</v>
      </c>
      <c r="O3595" s="45">
        <f t="shared" si="23"/>
        <v>45897.65332</v>
      </c>
      <c r="P3595" s="47" t="b">
        <v>0</v>
      </c>
      <c r="Q3595" s="36" t="str">
        <f t="shared" si="35"/>
        <v/>
      </c>
      <c r="R3595" s="47" t="b">
        <v>0</v>
      </c>
      <c r="S3595" s="42" t="str">
        <f t="shared" si="28"/>
        <v/>
      </c>
      <c r="T3595" s="42"/>
    </row>
    <row r="3596" ht="22.5" customHeight="1">
      <c r="B3596" s="42">
        <f t="shared" si="7"/>
        <v>3590</v>
      </c>
      <c r="C3596" s="31" t="s">
        <v>3649</v>
      </c>
      <c r="D3596" s="34" t="str">
        <f t="array" ref="D3596">IFNA(_xlfn.XLOOKUP(C3596,Table_Tarikan_Warkah[Nomor Sertipikat],Table_Tarikan_Warkah[Nomor Tiket]),"")</f>
        <v>K/3/050825/1</v>
      </c>
      <c r="E3596" s="36" t="str">
        <f t="array" ref="E3596">IFNA(_xlfn.XLOOKUP(D3596,Table_Tarikan_Warkah[Nomor Tiket],Table_Tarikan_Warkah[Tanggal diserahkan kepada Validator]),"")</f>
        <v/>
      </c>
      <c r="F3596" s="36" t="str">
        <f t="array" ref="F3596">IFNA(_xlfn.XLOOKUP(D3596,Table_Tarikan_Warkah[Nomor Tiket],Table_Tarikan_Warkah[Nama Petugas Warkah]),"")</f>
        <v/>
      </c>
      <c r="G3596" s="39" t="str">
        <f t="array" ref="G3596">IFNA(_xlfn.XLOOKUP(D3596,Table_Tarikan_Warkah[Nomor Tiket],Table_Tarikan_Warkah[Jenis Permohonan]),"")</f>
        <v>KEWARISAN</v>
      </c>
      <c r="H3596" s="41" t="s">
        <v>2315</v>
      </c>
      <c r="I3596" s="49" t="s">
        <v>23</v>
      </c>
      <c r="J3596" s="36">
        <f t="shared" si="20"/>
        <v>45897.36142</v>
      </c>
      <c r="K3596" s="49" t="s">
        <v>2378</v>
      </c>
      <c r="L3596" s="49" t="s">
        <v>23</v>
      </c>
      <c r="M3596" s="36">
        <f t="shared" si="33"/>
        <v>45897.65339</v>
      </c>
      <c r="N3596" s="30" t="str">
        <f t="shared" si="34"/>
        <v>Selesai</v>
      </c>
      <c r="O3596" s="45">
        <f t="shared" si="23"/>
        <v>45897.65339</v>
      </c>
      <c r="P3596" s="47" t="b">
        <v>0</v>
      </c>
      <c r="Q3596" s="36" t="str">
        <f t="shared" si="35"/>
        <v/>
      </c>
      <c r="R3596" s="47" t="b">
        <v>0</v>
      </c>
      <c r="S3596" s="42" t="str">
        <f t="shared" si="28"/>
        <v/>
      </c>
      <c r="T3596" s="42"/>
    </row>
    <row r="3597" ht="22.5" customHeight="1">
      <c r="B3597" s="42">
        <f t="shared" si="7"/>
        <v>3591</v>
      </c>
      <c r="C3597" s="31" t="s">
        <v>3650</v>
      </c>
      <c r="D3597" s="34" t="str">
        <f t="array" ref="D3597">IFNA(_xlfn.XLOOKUP(C3597,Table_Tarikan_Warkah[Nomor Sertipikat],Table_Tarikan_Warkah[Nomor Tiket]),"")</f>
        <v>K/19/010825/4</v>
      </c>
      <c r="E3597" s="36">
        <f t="array" ref="E3597">IFNA(_xlfn.XLOOKUP(D3597,Table_Tarikan_Warkah[Nomor Tiket],Table_Tarikan_Warkah[Tanggal diserahkan kepada Validator]),"")</f>
        <v>45908.6312</v>
      </c>
      <c r="F3597" s="36" t="str">
        <f t="array" ref="F3597">IFNA(_xlfn.XLOOKUP(D3597,Table_Tarikan_Warkah[Nomor Tiket],Table_Tarikan_Warkah[Nama Petugas Warkah]),"")</f>
        <v>Berry</v>
      </c>
      <c r="G3597" s="39" t="str">
        <f t="array" ref="G3597">IFNA(_xlfn.XLOOKUP(D3597,Table_Tarikan_Warkah[Nomor Tiket],Table_Tarikan_Warkah[Jenis Permohonan]),"")</f>
        <v>BN Jual Beli</v>
      </c>
      <c r="H3597" s="41" t="s">
        <v>2315</v>
      </c>
      <c r="I3597" s="49" t="s">
        <v>23</v>
      </c>
      <c r="J3597" s="36">
        <f t="shared" si="20"/>
        <v>45902.44978</v>
      </c>
      <c r="K3597" s="49" t="s">
        <v>2378</v>
      </c>
      <c r="L3597" s="49" t="s">
        <v>23</v>
      </c>
      <c r="M3597" s="36">
        <f t="shared" si="33"/>
        <v>45902.62623</v>
      </c>
      <c r="N3597" s="30" t="str">
        <f t="shared" si="34"/>
        <v>Selesai</v>
      </c>
      <c r="O3597" s="45">
        <f t="shared" si="23"/>
        <v>45902.62623</v>
      </c>
      <c r="P3597" s="47" t="b">
        <v>0</v>
      </c>
      <c r="Q3597" s="36" t="str">
        <f t="shared" si="35"/>
        <v/>
      </c>
      <c r="R3597" s="47" t="b">
        <v>0</v>
      </c>
      <c r="S3597" s="42" t="str">
        <f t="shared" si="28"/>
        <v/>
      </c>
      <c r="T3597" s="42"/>
    </row>
    <row r="3598" ht="22.5" customHeight="1">
      <c r="B3598" s="42">
        <f t="shared" si="7"/>
        <v>3592</v>
      </c>
      <c r="C3598" s="31" t="s">
        <v>3651</v>
      </c>
      <c r="D3598" s="34" t="str">
        <f t="array" ref="D3598">IFNA(_xlfn.XLOOKUP(C3598,Table_Tarikan_Warkah[Nomor Sertipikat],Table_Tarikan_Warkah[Nomor Tiket]),"")</f>
        <v>K/11/150825/2</v>
      </c>
      <c r="E3598" s="36">
        <f t="array" ref="E3598">IFNA(_xlfn.XLOOKUP(D3598,Table_Tarikan_Warkah[Nomor Tiket],Table_Tarikan_Warkah[Tanggal diserahkan kepada Validator]),"")</f>
        <v>45904.61637</v>
      </c>
      <c r="F3598" s="36" t="str">
        <f t="array" ref="F3598">IFNA(_xlfn.XLOOKUP(D3598,Table_Tarikan_Warkah[Nomor Tiket],Table_Tarikan_Warkah[Nama Petugas Warkah]),"")</f>
        <v>David</v>
      </c>
      <c r="G3598" s="39" t="str">
        <f t="array" ref="G3598">IFNA(_xlfn.XLOOKUP(D3598,Table_Tarikan_Warkah[Nomor Tiket],Table_Tarikan_Warkah[Jenis Permohonan]),"")</f>
        <v>BN JUAL BELI</v>
      </c>
      <c r="H3598" s="41" t="s">
        <v>2315</v>
      </c>
      <c r="I3598" s="49" t="s">
        <v>23</v>
      </c>
      <c r="J3598" s="36">
        <f t="shared" si="20"/>
        <v>45902.44996</v>
      </c>
      <c r="K3598" s="49" t="s">
        <v>2378</v>
      </c>
      <c r="L3598" s="49" t="s">
        <v>23</v>
      </c>
      <c r="M3598" s="36">
        <f t="shared" si="33"/>
        <v>45902.62604</v>
      </c>
      <c r="N3598" s="30" t="str">
        <f t="shared" si="34"/>
        <v>Selesai</v>
      </c>
      <c r="O3598" s="45">
        <f t="shared" si="23"/>
        <v>45902.62604</v>
      </c>
      <c r="P3598" s="47" t="b">
        <v>0</v>
      </c>
      <c r="Q3598" s="36" t="str">
        <f t="shared" si="35"/>
        <v/>
      </c>
      <c r="R3598" s="47" t="b">
        <v>0</v>
      </c>
      <c r="S3598" s="42" t="str">
        <f t="shared" si="28"/>
        <v/>
      </c>
      <c r="T3598" s="42"/>
    </row>
    <row r="3599" ht="22.5" customHeight="1">
      <c r="B3599" s="42">
        <f t="shared" si="7"/>
        <v>3593</v>
      </c>
      <c r="C3599" s="31" t="s">
        <v>3652</v>
      </c>
      <c r="D3599" s="34" t="str">
        <f t="array" ref="D3599">IFNA(_xlfn.XLOOKUP(C3599,Table_Tarikan_Warkah[Nomor Sertipikat],Table_Tarikan_Warkah[Nomor Tiket]),"")</f>
        <v>K/33/140826/1</v>
      </c>
      <c r="E3599" s="36" t="str">
        <f t="array" ref="E3599">IFNA(_xlfn.XLOOKUP(D3599,Table_Tarikan_Warkah[Nomor Tiket],Table_Tarikan_Warkah[Tanggal diserahkan kepada Validator]),"")</f>
        <v/>
      </c>
      <c r="F3599" s="36" t="str">
        <f t="array" ref="F3599">IFNA(_xlfn.XLOOKUP(D3599,Table_Tarikan_Warkah[Nomor Tiket],Table_Tarikan_Warkah[Nama Petugas Warkah]),"")</f>
        <v/>
      </c>
      <c r="G3599" s="39" t="str">
        <f t="array" ref="G3599">IFNA(_xlfn.XLOOKUP(D3599,Table_Tarikan_Warkah[Nomor Tiket],Table_Tarikan_Warkah[Jenis Permohonan]),"")</f>
        <v>BN JUAL BELI</v>
      </c>
      <c r="H3599" s="41" t="s">
        <v>2315</v>
      </c>
      <c r="I3599" s="49" t="s">
        <v>23</v>
      </c>
      <c r="J3599" s="36">
        <f t="shared" si="20"/>
        <v>45902.45003</v>
      </c>
      <c r="K3599" s="49" t="s">
        <v>2378</v>
      </c>
      <c r="L3599" s="49" t="s">
        <v>23</v>
      </c>
      <c r="M3599" s="36">
        <f t="shared" si="33"/>
        <v>45902.62572</v>
      </c>
      <c r="N3599" s="30" t="str">
        <f t="shared" si="34"/>
        <v>Selesai</v>
      </c>
      <c r="O3599" s="45">
        <f t="shared" si="23"/>
        <v>45902.62572</v>
      </c>
      <c r="P3599" s="47" t="b">
        <v>0</v>
      </c>
      <c r="Q3599" s="36" t="str">
        <f t="shared" si="35"/>
        <v/>
      </c>
      <c r="R3599" s="47" t="b">
        <v>0</v>
      </c>
      <c r="S3599" s="42" t="str">
        <f t="shared" si="28"/>
        <v/>
      </c>
      <c r="T3599" s="42"/>
    </row>
    <row r="3600" ht="22.5" customHeight="1">
      <c r="B3600" s="42">
        <f t="shared" si="7"/>
        <v>3594</v>
      </c>
      <c r="C3600" s="31" t="s">
        <v>3653</v>
      </c>
      <c r="D3600" s="34" t="str">
        <f t="array" ref="D3600">IFNA(_xlfn.XLOOKUP(C3600,Table_Tarikan_Warkah[Nomor Sertipikat],Table_Tarikan_Warkah[Nomor Tiket]),"")</f>
        <v>K/10/150825/1</v>
      </c>
      <c r="E3600" s="36" t="str">
        <f t="array" ref="E3600">IFNA(_xlfn.XLOOKUP(D3600,Table_Tarikan_Warkah[Nomor Tiket],Table_Tarikan_Warkah[Tanggal diserahkan kepada Validator]),"")</f>
        <v/>
      </c>
      <c r="F3600" s="36" t="str">
        <f t="array" ref="F3600">IFNA(_xlfn.XLOOKUP(D3600,Table_Tarikan_Warkah[Nomor Tiket],Table_Tarikan_Warkah[Nama Petugas Warkah]),"")</f>
        <v/>
      </c>
      <c r="G3600" s="39" t="str">
        <f t="array" ref="G3600">IFNA(_xlfn.XLOOKUP(D3600,Table_Tarikan_Warkah[Nomor Tiket],Table_Tarikan_Warkah[Jenis Permohonan]),"")</f>
        <v>BN JUAL BELI</v>
      </c>
      <c r="H3600" s="41" t="s">
        <v>2315</v>
      </c>
      <c r="I3600" s="49" t="s">
        <v>23</v>
      </c>
      <c r="J3600" s="36">
        <f t="shared" si="20"/>
        <v>45902.45018</v>
      </c>
      <c r="K3600" s="49" t="s">
        <v>2378</v>
      </c>
      <c r="L3600" s="49" t="s">
        <v>23</v>
      </c>
      <c r="M3600" s="36">
        <f t="shared" si="33"/>
        <v>45902.71232</v>
      </c>
      <c r="N3600" s="30" t="str">
        <f t="shared" si="34"/>
        <v>Selesai</v>
      </c>
      <c r="O3600" s="45">
        <f t="shared" si="23"/>
        <v>45902.71232</v>
      </c>
      <c r="P3600" s="47" t="b">
        <v>0</v>
      </c>
      <c r="Q3600" s="36" t="str">
        <f t="shared" si="35"/>
        <v/>
      </c>
      <c r="R3600" s="47" t="b">
        <v>0</v>
      </c>
      <c r="S3600" s="42" t="str">
        <f t="shared" si="28"/>
        <v/>
      </c>
      <c r="T3600" s="42"/>
    </row>
    <row r="3601" ht="22.5" customHeight="1">
      <c r="B3601" s="42">
        <f t="shared" si="7"/>
        <v>3595</v>
      </c>
      <c r="C3601" s="31" t="s">
        <v>3654</v>
      </c>
      <c r="D3601" s="34" t="str">
        <f t="array" ref="D3601">IFNA(_xlfn.XLOOKUP(C3601,Table_Tarikan_Warkah[Nomor Sertipikat],Table_Tarikan_Warkah[Nomor Tiket]),"")</f>
        <v>K/9/210825/2</v>
      </c>
      <c r="E3601" s="36">
        <f t="array" ref="E3601">IFNA(_xlfn.XLOOKUP(D3601,Table_Tarikan_Warkah[Nomor Tiket],Table_Tarikan_Warkah[Tanggal diserahkan kepada Validator]),"")</f>
        <v>45908.63563</v>
      </c>
      <c r="F3601" s="36" t="str">
        <f t="array" ref="F3601">IFNA(_xlfn.XLOOKUP(D3601,Table_Tarikan_Warkah[Nomor Tiket],Table_Tarikan_Warkah[Nama Petugas Warkah]),"")</f>
        <v>Berry</v>
      </c>
      <c r="G3601" s="39" t="str">
        <f t="array" ref="G3601">IFNA(_xlfn.XLOOKUP(D3601,Table_Tarikan_Warkah[Nomor Tiket],Table_Tarikan_Warkah[Jenis Permohonan]),"")</f>
        <v>BN JUAL BELI</v>
      </c>
      <c r="H3601" s="41" t="s">
        <v>2315</v>
      </c>
      <c r="I3601" s="49" t="s">
        <v>23</v>
      </c>
      <c r="J3601" s="36">
        <f t="shared" si="20"/>
        <v>45902.45048</v>
      </c>
      <c r="K3601" s="49" t="s">
        <v>2378</v>
      </c>
      <c r="L3601" s="49" t="s">
        <v>23</v>
      </c>
      <c r="M3601" s="36">
        <f t="shared" si="33"/>
        <v>45902.62428</v>
      </c>
      <c r="N3601" s="30" t="str">
        <f t="shared" si="34"/>
        <v>Selesai</v>
      </c>
      <c r="O3601" s="45">
        <f t="shared" si="23"/>
        <v>45902.62428</v>
      </c>
      <c r="P3601" s="47" t="b">
        <v>0</v>
      </c>
      <c r="Q3601" s="36" t="str">
        <f t="shared" si="35"/>
        <v/>
      </c>
      <c r="R3601" s="47" t="b">
        <v>0</v>
      </c>
      <c r="S3601" s="42" t="str">
        <f t="shared" si="28"/>
        <v/>
      </c>
      <c r="T3601" s="42"/>
    </row>
    <row r="3602" ht="22.5" customHeight="1">
      <c r="B3602" s="42">
        <f t="shared" si="7"/>
        <v>3596</v>
      </c>
      <c r="C3602" s="31" t="s">
        <v>3655</v>
      </c>
      <c r="D3602" s="34" t="str">
        <f t="array" ref="D3602">IFNA(_xlfn.XLOOKUP(C3602,Table_Tarikan_Warkah[Nomor Sertipikat],Table_Tarikan_Warkah[Nomor Tiket]),"")</f>
        <v>K/20/110825/1</v>
      </c>
      <c r="E3602" s="36">
        <f t="array" ref="E3602">IFNA(_xlfn.XLOOKUP(D3602,Table_Tarikan_Warkah[Nomor Tiket],Table_Tarikan_Warkah[Tanggal diserahkan kepada Validator]),"")</f>
        <v>45909.5944</v>
      </c>
      <c r="F3602" s="36" t="str">
        <f t="array" ref="F3602">IFNA(_xlfn.XLOOKUP(D3602,Table_Tarikan_Warkah[Nomor Tiket],Table_Tarikan_Warkah[Nama Petugas Warkah]),"")</f>
        <v>Berry</v>
      </c>
      <c r="G3602" s="39" t="str">
        <f t="array" ref="G3602">IFNA(_xlfn.XLOOKUP(D3602,Table_Tarikan_Warkah[Nomor Tiket],Table_Tarikan_Warkah[Jenis Permohonan]),"")</f>
        <v>BN JUAL BELI</v>
      </c>
      <c r="H3602" s="41" t="s">
        <v>2315</v>
      </c>
      <c r="I3602" s="49" t="s">
        <v>23</v>
      </c>
      <c r="J3602" s="36">
        <f t="shared" si="20"/>
        <v>45902.45057</v>
      </c>
      <c r="K3602" s="49" t="s">
        <v>2378</v>
      </c>
      <c r="L3602" s="49" t="s">
        <v>23</v>
      </c>
      <c r="M3602" s="36">
        <f t="shared" si="33"/>
        <v>45902.62441</v>
      </c>
      <c r="N3602" s="30" t="str">
        <f t="shared" si="34"/>
        <v>Selesai</v>
      </c>
      <c r="O3602" s="45">
        <f t="shared" si="23"/>
        <v>45902.62441</v>
      </c>
      <c r="P3602" s="47" t="b">
        <v>0</v>
      </c>
      <c r="Q3602" s="36" t="str">
        <f t="shared" si="35"/>
        <v/>
      </c>
      <c r="R3602" s="47" t="b">
        <v>0</v>
      </c>
      <c r="S3602" s="42" t="str">
        <f t="shared" si="28"/>
        <v/>
      </c>
      <c r="T3602" s="42"/>
    </row>
    <row r="3603" ht="22.5" customHeight="1">
      <c r="B3603" s="42">
        <f t="shared" si="7"/>
        <v>3597</v>
      </c>
      <c r="C3603" s="31" t="s">
        <v>3656</v>
      </c>
      <c r="D3603" s="34" t="str">
        <f t="array" ref="D3603">IFNA(_xlfn.XLOOKUP(C3603,Table_Tarikan_Warkah[Nomor Sertipikat],Table_Tarikan_Warkah[Nomor Tiket]),"")</f>
        <v>K/17/180725/1</v>
      </c>
      <c r="E3603" s="36" t="str">
        <f t="array" ref="E3603">IFNA(_xlfn.XLOOKUP(D3603,Table_Tarikan_Warkah[Nomor Tiket],Table_Tarikan_Warkah[Tanggal diserahkan kepada Validator]),"")</f>
        <v/>
      </c>
      <c r="F3603" s="36" t="str">
        <f t="array" ref="F3603">IFNA(_xlfn.XLOOKUP(D3603,Table_Tarikan_Warkah[Nomor Tiket],Table_Tarikan_Warkah[Nama Petugas Warkah]),"")</f>
        <v/>
      </c>
      <c r="G3603" s="39" t="str">
        <f t="array" ref="G3603">IFNA(_xlfn.XLOOKUP(D3603,Table_Tarikan_Warkah[Nomor Tiket],Table_Tarikan_Warkah[Jenis Permohonan]),"")</f>
        <v>PTPGT PEMECAHAN</v>
      </c>
      <c r="H3603" s="41" t="s">
        <v>2315</v>
      </c>
      <c r="I3603" s="49" t="s">
        <v>23</v>
      </c>
      <c r="J3603" s="36">
        <f t="shared" si="20"/>
        <v>45902.45111</v>
      </c>
      <c r="K3603" s="49" t="s">
        <v>2378</v>
      </c>
      <c r="L3603" s="49" t="s">
        <v>23</v>
      </c>
      <c r="M3603" s="36">
        <f t="shared" si="33"/>
        <v>45902.62463</v>
      </c>
      <c r="N3603" s="30" t="str">
        <f t="shared" si="34"/>
        <v>Selesai</v>
      </c>
      <c r="O3603" s="45">
        <f t="shared" si="23"/>
        <v>45902.62463</v>
      </c>
      <c r="P3603" s="47" t="b">
        <v>0</v>
      </c>
      <c r="Q3603" s="36" t="str">
        <f t="shared" si="35"/>
        <v/>
      </c>
      <c r="R3603" s="47" t="b">
        <v>0</v>
      </c>
      <c r="S3603" s="42" t="str">
        <f t="shared" si="28"/>
        <v/>
      </c>
      <c r="T3603" s="42"/>
    </row>
    <row r="3604" ht="22.5" customHeight="1">
      <c r="B3604" s="42">
        <f t="shared" si="7"/>
        <v>3598</v>
      </c>
      <c r="C3604" s="31" t="s">
        <v>3657</v>
      </c>
      <c r="D3604" s="34" t="str">
        <f t="array" ref="D3604">IFNA(_xlfn.XLOOKUP(C3604,Table_Tarikan_Warkah[Nomor Sertipikat],Table_Tarikan_Warkah[Nomor Tiket]),"")</f>
        <v>K/6/260825/1</v>
      </c>
      <c r="E3604" s="36" t="str">
        <f t="array" ref="E3604">IFNA(_xlfn.XLOOKUP(D3604,Table_Tarikan_Warkah[Nomor Tiket],Table_Tarikan_Warkah[Tanggal diserahkan kepada Validator]),"")</f>
        <v/>
      </c>
      <c r="F3604" s="36" t="str">
        <f t="array" ref="F3604">IFNA(_xlfn.XLOOKUP(D3604,Table_Tarikan_Warkah[Nomor Tiket],Table_Tarikan_Warkah[Nama Petugas Warkah]),"")</f>
        <v/>
      </c>
      <c r="G3604" s="39" t="str">
        <f t="array" ref="G3604">IFNA(_xlfn.XLOOKUP(D3604,Table_Tarikan_Warkah[Nomor Tiket],Table_Tarikan_Warkah[Jenis Permohonan]),"")</f>
        <v>BN JUAL BELI</v>
      </c>
      <c r="H3604" s="41" t="s">
        <v>2315</v>
      </c>
      <c r="I3604" s="49" t="s">
        <v>23</v>
      </c>
      <c r="J3604" s="36">
        <f t="shared" si="20"/>
        <v>45902.45139</v>
      </c>
      <c r="K3604" s="49" t="s">
        <v>2378</v>
      </c>
      <c r="L3604" s="49" t="s">
        <v>23</v>
      </c>
      <c r="M3604" s="36">
        <f t="shared" si="33"/>
        <v>45902.62533</v>
      </c>
      <c r="N3604" s="30" t="str">
        <f t="shared" si="34"/>
        <v>Selesai</v>
      </c>
      <c r="O3604" s="45">
        <f t="shared" si="23"/>
        <v>45902.62533</v>
      </c>
      <c r="P3604" s="47" t="b">
        <v>0</v>
      </c>
      <c r="Q3604" s="36" t="str">
        <f t="shared" si="35"/>
        <v/>
      </c>
      <c r="R3604" s="47" t="b">
        <v>0</v>
      </c>
      <c r="S3604" s="42" t="str">
        <f t="shared" si="28"/>
        <v/>
      </c>
      <c r="T3604" s="42"/>
    </row>
    <row r="3605" ht="22.5" customHeight="1">
      <c r="B3605" s="42">
        <f t="shared" si="7"/>
        <v>3599</v>
      </c>
      <c r="C3605" s="31" t="s">
        <v>3658</v>
      </c>
      <c r="D3605" s="34" t="str">
        <f t="array" ref="D3605">IFNA(_xlfn.XLOOKUP(C3605,Table_Tarikan_Warkah[Nomor Sertipikat],Table_Tarikan_Warkah[Nomor Tiket]),"")</f>
        <v>K/9/280825/2</v>
      </c>
      <c r="E3605" s="36">
        <f t="array" ref="E3605">IFNA(_xlfn.XLOOKUP(D3605,Table_Tarikan_Warkah[Nomor Tiket],Table_Tarikan_Warkah[Tanggal diserahkan kepada Validator]),"")</f>
        <v>45945.67842</v>
      </c>
      <c r="F3605" s="36" t="str">
        <f t="array" ref="F3605">IFNA(_xlfn.XLOOKUP(D3605,Table_Tarikan_Warkah[Nomor Tiket],Table_Tarikan_Warkah[Nama Petugas Warkah]),"")</f>
        <v>Berry</v>
      </c>
      <c r="G3605" s="39" t="str">
        <f t="array" ref="G3605">IFNA(_xlfn.XLOOKUP(D3605,Table_Tarikan_Warkah[Nomor Tiket],Table_Tarikan_Warkah[Jenis Permohonan]),"")</f>
        <v>BN JUAL BELI</v>
      </c>
      <c r="H3605" s="41" t="s">
        <v>2315</v>
      </c>
      <c r="I3605" s="49" t="s">
        <v>23</v>
      </c>
      <c r="J3605" s="36">
        <f t="shared" si="20"/>
        <v>45902.45154</v>
      </c>
      <c r="K3605" s="49" t="s">
        <v>2378</v>
      </c>
      <c r="L3605" s="49" t="s">
        <v>23</v>
      </c>
      <c r="M3605" s="36">
        <f t="shared" si="33"/>
        <v>45902.62477</v>
      </c>
      <c r="N3605" s="30" t="str">
        <f t="shared" si="34"/>
        <v>Selesai</v>
      </c>
      <c r="O3605" s="45">
        <f t="shared" si="23"/>
        <v>45902.62477</v>
      </c>
      <c r="P3605" s="47" t="b">
        <v>0</v>
      </c>
      <c r="Q3605" s="36" t="str">
        <f t="shared" si="35"/>
        <v/>
      </c>
      <c r="R3605" s="47" t="b">
        <v>0</v>
      </c>
      <c r="S3605" s="42" t="str">
        <f t="shared" si="28"/>
        <v/>
      </c>
      <c r="T3605" s="42"/>
    </row>
    <row r="3606" ht="22.5" customHeight="1">
      <c r="B3606" s="42">
        <f t="shared" si="7"/>
        <v>3600</v>
      </c>
      <c r="C3606" s="31" t="s">
        <v>3659</v>
      </c>
      <c r="D3606" s="34" t="str">
        <f t="array" ref="D3606">IFNA(_xlfn.XLOOKUP(C3606,Table_Tarikan_Warkah[Nomor Sertipikat],Table_Tarikan_Warkah[Nomor Tiket]),"")</f>
        <v>K/28/270825/1</v>
      </c>
      <c r="E3606" s="36" t="str">
        <f t="array" ref="E3606">IFNA(_xlfn.XLOOKUP(D3606,Table_Tarikan_Warkah[Nomor Tiket],Table_Tarikan_Warkah[Tanggal diserahkan kepada Validator]),"")</f>
        <v/>
      </c>
      <c r="F3606" s="36" t="str">
        <f t="array" ref="F3606">IFNA(_xlfn.XLOOKUP(D3606,Table_Tarikan_Warkah[Nomor Tiket],Table_Tarikan_Warkah[Nama Petugas Warkah]),"")</f>
        <v/>
      </c>
      <c r="G3606" s="39" t="str">
        <f t="array" ref="G3606">IFNA(_xlfn.XLOOKUP(D3606,Table_Tarikan_Warkah[Nomor Tiket],Table_Tarikan_Warkah[Jenis Permohonan]),"")</f>
        <v>BN JUAL BELI</v>
      </c>
      <c r="H3606" s="41" t="s">
        <v>2315</v>
      </c>
      <c r="I3606" s="49" t="s">
        <v>23</v>
      </c>
      <c r="J3606" s="36">
        <f t="shared" si="20"/>
        <v>45902.45168</v>
      </c>
      <c r="K3606" s="49" t="s">
        <v>2378</v>
      </c>
      <c r="L3606" s="49" t="s">
        <v>23</v>
      </c>
      <c r="M3606" s="36">
        <f t="shared" si="33"/>
        <v>45902.71249</v>
      </c>
      <c r="N3606" s="30" t="str">
        <f t="shared" si="34"/>
        <v>Selesai</v>
      </c>
      <c r="O3606" s="45">
        <f t="shared" si="23"/>
        <v>45902.71249</v>
      </c>
      <c r="P3606" s="47" t="b">
        <v>0</v>
      </c>
      <c r="Q3606" s="36" t="str">
        <f t="shared" si="35"/>
        <v/>
      </c>
      <c r="R3606" s="47" t="b">
        <v>0</v>
      </c>
      <c r="S3606" s="42" t="str">
        <f t="shared" si="28"/>
        <v/>
      </c>
      <c r="T3606" s="42"/>
    </row>
    <row r="3607" ht="22.5" customHeight="1">
      <c r="B3607" s="42">
        <f t="shared" si="7"/>
        <v>3601</v>
      </c>
      <c r="C3607" s="31" t="s">
        <v>3660</v>
      </c>
      <c r="D3607" s="34" t="str">
        <f t="array" ref="D3607">IFNA(_xlfn.XLOOKUP(C3607,Table_Tarikan_Warkah[Nomor Sertipikat],Table_Tarikan_Warkah[Nomor Tiket]),"")</f>
        <v>K/35/130825/1</v>
      </c>
      <c r="E3607" s="36" t="str">
        <f t="array" ref="E3607">IFNA(_xlfn.XLOOKUP(D3607,Table_Tarikan_Warkah[Nomor Tiket],Table_Tarikan_Warkah[Tanggal diserahkan kepada Validator]),"")</f>
        <v/>
      </c>
      <c r="F3607" s="36" t="str">
        <f t="array" ref="F3607">IFNA(_xlfn.XLOOKUP(D3607,Table_Tarikan_Warkah[Nomor Tiket],Table_Tarikan_Warkah[Nama Petugas Warkah]),"")</f>
        <v/>
      </c>
      <c r="G3607" s="39" t="str">
        <f t="array" ref="G3607">IFNA(_xlfn.XLOOKUP(D3607,Table_Tarikan_Warkah[Nomor Tiket],Table_Tarikan_Warkah[Jenis Permohonan]),"")</f>
        <v>HAPUS BPHTB</v>
      </c>
      <c r="H3607" s="41" t="s">
        <v>2315</v>
      </c>
      <c r="I3607" s="49" t="s">
        <v>23</v>
      </c>
      <c r="J3607" s="36">
        <f t="shared" si="20"/>
        <v>45902.45181</v>
      </c>
      <c r="K3607" s="49" t="s">
        <v>2378</v>
      </c>
      <c r="L3607" s="49" t="s">
        <v>23</v>
      </c>
      <c r="M3607" s="36">
        <f t="shared" si="33"/>
        <v>45902.62522</v>
      </c>
      <c r="N3607" s="30" t="str">
        <f t="shared" si="34"/>
        <v>Selesai</v>
      </c>
      <c r="O3607" s="45">
        <f t="shared" si="23"/>
        <v>45902.62522</v>
      </c>
      <c r="P3607" s="47" t="b">
        <v>0</v>
      </c>
      <c r="Q3607" s="36" t="str">
        <f t="shared" si="35"/>
        <v/>
      </c>
      <c r="R3607" s="47" t="b">
        <v>0</v>
      </c>
      <c r="S3607" s="42" t="str">
        <f t="shared" si="28"/>
        <v/>
      </c>
      <c r="T3607" s="42"/>
    </row>
    <row r="3608" ht="22.5" customHeight="1">
      <c r="B3608" s="42">
        <f t="shared" si="7"/>
        <v>3602</v>
      </c>
      <c r="C3608" s="31" t="s">
        <v>3661</v>
      </c>
      <c r="D3608" s="34" t="str">
        <f t="array" ref="D3608">IFNA(_xlfn.XLOOKUP(C3608,Table_Tarikan_Warkah[Nomor Sertipikat],Table_Tarikan_Warkah[Nomor Tiket]),"")</f>
        <v>L/48/210826/1</v>
      </c>
      <c r="E3608" s="36" t="str">
        <f t="array" ref="E3608">IFNA(_xlfn.XLOOKUP(D3608,Table_Tarikan_Warkah[Nomor Tiket],Table_Tarikan_Warkah[Tanggal diserahkan kepada Validator]),"")</f>
        <v/>
      </c>
      <c r="F3608" s="36" t="str">
        <f t="array" ref="F3608">IFNA(_xlfn.XLOOKUP(D3608,Table_Tarikan_Warkah[Nomor Tiket],Table_Tarikan_Warkah[Nama Petugas Warkah]),"")</f>
        <v/>
      </c>
      <c r="G3608" s="39" t="str">
        <f t="array" ref="G3608">IFNA(_xlfn.XLOOKUP(D3608,Table_Tarikan_Warkah[Nomor Tiket],Table_Tarikan_Warkah[Jenis Permohonan]),"")</f>
        <v>PENINGKATAN HAK</v>
      </c>
      <c r="H3608" s="41" t="s">
        <v>2315</v>
      </c>
      <c r="I3608" s="49" t="s">
        <v>23</v>
      </c>
      <c r="J3608" s="36">
        <f t="shared" si="20"/>
        <v>45902.45211</v>
      </c>
      <c r="K3608" s="49" t="s">
        <v>2378</v>
      </c>
      <c r="L3608" s="49" t="s">
        <v>23</v>
      </c>
      <c r="M3608" s="36">
        <f t="shared" si="33"/>
        <v>45902.71214</v>
      </c>
      <c r="N3608" s="30" t="str">
        <f t="shared" si="34"/>
        <v>Selesai</v>
      </c>
      <c r="O3608" s="45">
        <f t="shared" si="23"/>
        <v>45902.71214</v>
      </c>
      <c r="P3608" s="47" t="b">
        <v>0</v>
      </c>
      <c r="Q3608" s="36" t="str">
        <f t="shared" si="35"/>
        <v/>
      </c>
      <c r="R3608" s="47" t="b">
        <v>0</v>
      </c>
      <c r="S3608" s="42" t="str">
        <f t="shared" si="28"/>
        <v/>
      </c>
      <c r="T3608" s="42"/>
    </row>
    <row r="3609" ht="22.5" customHeight="1">
      <c r="B3609" s="42">
        <f t="shared" si="7"/>
        <v>3603</v>
      </c>
      <c r="C3609" s="31" t="s">
        <v>3662</v>
      </c>
      <c r="D3609" s="34" t="str">
        <f t="array" ref="D3609">IFNA(_xlfn.XLOOKUP(C3609,Table_Tarikan_Warkah[Nomor Sertipikat],Table_Tarikan_Warkah[Nomor Tiket]),"")</f>
        <v>K/25/180725/1</v>
      </c>
      <c r="E3609" s="36">
        <f t="array" ref="E3609">IFNA(_xlfn.XLOOKUP(D3609,Table_Tarikan_Warkah[Nomor Tiket],Table_Tarikan_Warkah[Tanggal diserahkan kepada Validator]),"")</f>
        <v>45908.63111</v>
      </c>
      <c r="F3609" s="36" t="str">
        <f t="array" ref="F3609">IFNA(_xlfn.XLOOKUP(D3609,Table_Tarikan_Warkah[Nomor Tiket],Table_Tarikan_Warkah[Nama Petugas Warkah]),"")</f>
        <v>Berry</v>
      </c>
      <c r="G3609" s="39" t="str">
        <f t="array" ref="G3609">IFNA(_xlfn.XLOOKUP(D3609,Table_Tarikan_Warkah[Nomor Tiket],Table_Tarikan_Warkah[Jenis Permohonan]),"")</f>
        <v>BN JUAL BELI</v>
      </c>
      <c r="H3609" s="41" t="s">
        <v>2315</v>
      </c>
      <c r="I3609" s="49" t="s">
        <v>23</v>
      </c>
      <c r="J3609" s="36">
        <f t="shared" si="20"/>
        <v>45902.45225</v>
      </c>
      <c r="K3609" s="49" t="s">
        <v>2378</v>
      </c>
      <c r="L3609" s="49" t="s">
        <v>23</v>
      </c>
      <c r="M3609" s="36">
        <f t="shared" si="33"/>
        <v>45902.62496</v>
      </c>
      <c r="N3609" s="30" t="str">
        <f t="shared" si="34"/>
        <v>Selesai</v>
      </c>
      <c r="O3609" s="45">
        <f t="shared" si="23"/>
        <v>45902.62496</v>
      </c>
      <c r="P3609" s="47" t="b">
        <v>0</v>
      </c>
      <c r="Q3609" s="36" t="str">
        <f t="shared" si="35"/>
        <v/>
      </c>
      <c r="R3609" s="47" t="b">
        <v>0</v>
      </c>
      <c r="S3609" s="42" t="str">
        <f t="shared" si="28"/>
        <v/>
      </c>
      <c r="T3609" s="42"/>
    </row>
    <row r="3610" ht="22.5" customHeight="1">
      <c r="B3610" s="42">
        <f t="shared" si="7"/>
        <v>3604</v>
      </c>
      <c r="C3610" s="31" t="s">
        <v>1318</v>
      </c>
      <c r="D3610" s="34" t="str">
        <f t="array" ref="D3610">IFNA(_xlfn.XLOOKUP(C3610,Table_Tarikan_Warkah[Nomor Sertipikat],Table_Tarikan_Warkah[Nomor Tiket]),"")</f>
        <v>K/28/120225/1</v>
      </c>
      <c r="E3610" s="36">
        <f t="array" ref="E3610">IFNA(_xlfn.XLOOKUP(D3610,Table_Tarikan_Warkah[Nomor Tiket],Table_Tarikan_Warkah[Tanggal diserahkan kepada Validator]),"")</f>
        <v>45712.40921</v>
      </c>
      <c r="F3610" s="36" t="str">
        <f t="array" ref="F3610">IFNA(_xlfn.XLOOKUP(D3610,Table_Tarikan_Warkah[Nomor Tiket],Table_Tarikan_Warkah[Nama Petugas Warkah]),"")</f>
        <v/>
      </c>
      <c r="G3610" s="39" t="str">
        <f t="array" ref="G3610">IFNA(_xlfn.XLOOKUP(D3610,Table_Tarikan_Warkah[Nomor Tiket],Table_Tarikan_Warkah[Jenis Permohonan]),"")</f>
        <v>BN JUAL BELI</v>
      </c>
      <c r="H3610" s="41" t="s">
        <v>2315</v>
      </c>
      <c r="I3610" s="49" t="s">
        <v>23</v>
      </c>
      <c r="J3610" s="36">
        <f t="shared" si="20"/>
        <v>45902.45243</v>
      </c>
      <c r="K3610" s="49" t="s">
        <v>2378</v>
      </c>
      <c r="L3610" s="49" t="s">
        <v>23</v>
      </c>
      <c r="M3610" s="36">
        <f t="shared" si="33"/>
        <v>45902.71325</v>
      </c>
      <c r="N3610" s="30" t="str">
        <f t="shared" si="34"/>
        <v>Selesai</v>
      </c>
      <c r="O3610" s="45">
        <f t="shared" si="23"/>
        <v>45902.71325</v>
      </c>
      <c r="P3610" s="47" t="b">
        <v>0</v>
      </c>
      <c r="Q3610" s="36" t="str">
        <f t="shared" si="35"/>
        <v/>
      </c>
      <c r="R3610" s="47" t="b">
        <v>0</v>
      </c>
      <c r="S3610" s="42" t="str">
        <f t="shared" si="28"/>
        <v/>
      </c>
      <c r="T3610" s="42"/>
    </row>
    <row r="3611" ht="22.5" customHeight="1">
      <c r="B3611" s="42">
        <f t="shared" si="7"/>
        <v>3605</v>
      </c>
      <c r="C3611" s="31" t="s">
        <v>3663</v>
      </c>
      <c r="D3611" s="34" t="str">
        <f t="array" ref="D3611">IFNA(_xlfn.XLOOKUP(C3611,Table_Tarikan_Warkah[Nomor Sertipikat],Table_Tarikan_Warkah[Nomor Tiket]),"")</f>
        <v>L/9/190825/1</v>
      </c>
      <c r="E3611" s="36" t="str">
        <f t="array" ref="E3611">IFNA(_xlfn.XLOOKUP(D3611,Table_Tarikan_Warkah[Nomor Tiket],Table_Tarikan_Warkah[Tanggal diserahkan kepada Validator]),"")</f>
        <v/>
      </c>
      <c r="F3611" s="36" t="str">
        <f t="array" ref="F3611">IFNA(_xlfn.XLOOKUP(D3611,Table_Tarikan_Warkah[Nomor Tiket],Table_Tarikan_Warkah[Nama Petugas Warkah]),"")</f>
        <v/>
      </c>
      <c r="G3611" s="39" t="str">
        <f t="array" ref="G3611">IFNA(_xlfn.XLOOKUP(D3611,Table_Tarikan_Warkah[Nomor Tiket],Table_Tarikan_Warkah[Jenis Permohonan]),"")</f>
        <v>PENINGKATAN HAK</v>
      </c>
      <c r="H3611" s="41" t="s">
        <v>2315</v>
      </c>
      <c r="I3611" s="49" t="s">
        <v>23</v>
      </c>
      <c r="J3611" s="36">
        <f t="shared" si="20"/>
        <v>45902.45272</v>
      </c>
      <c r="K3611" s="49" t="s">
        <v>2378</v>
      </c>
      <c r="L3611" s="49" t="s">
        <v>23</v>
      </c>
      <c r="M3611" s="36">
        <f t="shared" si="33"/>
        <v>45902.62512</v>
      </c>
      <c r="N3611" s="30" t="str">
        <f t="shared" si="34"/>
        <v>Selesai</v>
      </c>
      <c r="O3611" s="45">
        <f t="shared" si="23"/>
        <v>45902.62512</v>
      </c>
      <c r="P3611" s="47" t="b">
        <v>0</v>
      </c>
      <c r="Q3611" s="36" t="str">
        <f t="shared" si="35"/>
        <v/>
      </c>
      <c r="R3611" s="47" t="b">
        <v>0</v>
      </c>
      <c r="S3611" s="42" t="str">
        <f t="shared" si="28"/>
        <v/>
      </c>
      <c r="T3611" s="42"/>
    </row>
    <row r="3612" ht="22.5" customHeight="1">
      <c r="B3612" s="42">
        <f t="shared" si="7"/>
        <v>3606</v>
      </c>
      <c r="C3612" s="31" t="s">
        <v>3664</v>
      </c>
      <c r="D3612" s="34" t="str">
        <f t="array" ref="D3612">IFNA(_xlfn.XLOOKUP(C3612,Table_Tarikan_Warkah[Nomor Sertipikat],Table_Tarikan_Warkah[Nomor Tiket]),"")</f>
        <v>K/25/140825/1</v>
      </c>
      <c r="E3612" s="36">
        <f t="array" ref="E3612">IFNA(_xlfn.XLOOKUP(D3612,Table_Tarikan_Warkah[Nomor Tiket],Table_Tarikan_Warkah[Tanggal diserahkan kepada Validator]),"")</f>
        <v>45912.53214</v>
      </c>
      <c r="F3612" s="36" t="str">
        <f t="array" ref="F3612">IFNA(_xlfn.XLOOKUP(D3612,Table_Tarikan_Warkah[Nomor Tiket],Table_Tarikan_Warkah[Nama Petugas Warkah]),"")</f>
        <v>Berry</v>
      </c>
      <c r="G3612" s="39" t="str">
        <f t="array" ref="G3612">IFNA(_xlfn.XLOOKUP(D3612,Table_Tarikan_Warkah[Nomor Tiket],Table_Tarikan_Warkah[Jenis Permohonan]),"")</f>
        <v>BN Waris</v>
      </c>
      <c r="H3612" s="41" t="s">
        <v>920</v>
      </c>
      <c r="I3612" s="49" t="s">
        <v>23</v>
      </c>
      <c r="J3612" s="36">
        <f t="shared" si="20"/>
        <v>45902.46248</v>
      </c>
      <c r="K3612" s="49" t="s">
        <v>920</v>
      </c>
      <c r="L3612" s="49" t="s">
        <v>23</v>
      </c>
      <c r="M3612" s="36">
        <f t="shared" si="33"/>
        <v>45902.46248</v>
      </c>
      <c r="N3612" s="30" t="str">
        <f t="shared" si="34"/>
        <v>Selesai</v>
      </c>
      <c r="O3612" s="45">
        <f t="shared" si="23"/>
        <v>45902.46248</v>
      </c>
      <c r="P3612" s="47" t="b">
        <v>1</v>
      </c>
      <c r="Q3612" s="36">
        <f t="shared" si="35"/>
        <v>45902.46248</v>
      </c>
      <c r="R3612" s="47" t="b">
        <v>0</v>
      </c>
      <c r="S3612" s="42" t="str">
        <f t="shared" si="28"/>
        <v/>
      </c>
      <c r="T3612" s="42"/>
    </row>
    <row r="3613" ht="22.5" customHeight="1">
      <c r="B3613" s="42">
        <f t="shared" si="7"/>
        <v>3607</v>
      </c>
      <c r="C3613" s="31" t="s">
        <v>3665</v>
      </c>
      <c r="D3613" s="34" t="str">
        <f t="array" ref="D3613">IFNA(_xlfn.XLOOKUP(C3613,Table_Tarikan_Warkah[Nomor Sertipikat],Table_Tarikan_Warkah[Nomor Tiket]),"")</f>
        <v>K/6/080725/2</v>
      </c>
      <c r="E3613" s="36">
        <f t="array" ref="E3613">IFNA(_xlfn.XLOOKUP(D3613,Table_Tarikan_Warkah[Nomor Tiket],Table_Tarikan_Warkah[Tanggal diserahkan kepada Validator]),"")</f>
        <v>45908.63481</v>
      </c>
      <c r="F3613" s="36" t="str">
        <f t="array" ref="F3613">IFNA(_xlfn.XLOOKUP(D3613,Table_Tarikan_Warkah[Nomor Tiket],Table_Tarikan_Warkah[Nama Petugas Warkah]),"")</f>
        <v>Berry</v>
      </c>
      <c r="G3613" s="39" t="str">
        <f t="array" ref="G3613">IFNA(_xlfn.XLOOKUP(D3613,Table_Tarikan_Warkah[Nomor Tiket],Table_Tarikan_Warkah[Jenis Permohonan]),"")</f>
        <v>BN JUAL BELI</v>
      </c>
      <c r="H3613" s="41" t="s">
        <v>20</v>
      </c>
      <c r="I3613" s="49" t="s">
        <v>23</v>
      </c>
      <c r="J3613" s="36">
        <f t="shared" si="20"/>
        <v>45903.65416</v>
      </c>
      <c r="K3613" s="49" t="s">
        <v>2378</v>
      </c>
      <c r="L3613" s="49" t="s">
        <v>23</v>
      </c>
      <c r="M3613" s="36">
        <f t="shared" si="33"/>
        <v>45904.58075</v>
      </c>
      <c r="N3613" s="30" t="str">
        <f t="shared" si="34"/>
        <v>Selesai</v>
      </c>
      <c r="O3613" s="45">
        <f t="shared" si="23"/>
        <v>45904.58075</v>
      </c>
      <c r="P3613" s="47" t="b">
        <v>0</v>
      </c>
      <c r="Q3613" s="36" t="str">
        <f t="shared" si="35"/>
        <v/>
      </c>
      <c r="R3613" s="47" t="b">
        <v>0</v>
      </c>
      <c r="S3613" s="42" t="str">
        <f t="shared" si="28"/>
        <v/>
      </c>
      <c r="T3613" s="42"/>
    </row>
    <row r="3614" ht="22.5" customHeight="1">
      <c r="B3614" s="42">
        <f t="shared" si="7"/>
        <v>3608</v>
      </c>
      <c r="C3614" s="31" t="s">
        <v>3502</v>
      </c>
      <c r="D3614" s="34" t="str">
        <f t="array" ref="D3614">IFNA(_xlfn.XLOOKUP(C3614,Table_Tarikan_Warkah[Nomor Sertipikat],Table_Tarikan_Warkah[Nomor Tiket]),"")</f>
        <v>K/23/050825/1</v>
      </c>
      <c r="E3614" s="36" t="str">
        <f t="array" ref="E3614">IFNA(_xlfn.XLOOKUP(D3614,Table_Tarikan_Warkah[Nomor Tiket],Table_Tarikan_Warkah[Tanggal diserahkan kepada Validator]),"")</f>
        <v/>
      </c>
      <c r="F3614" s="36" t="str">
        <f t="array" ref="F3614">IFNA(_xlfn.XLOOKUP(D3614,Table_Tarikan_Warkah[Nomor Tiket],Table_Tarikan_Warkah[Nama Petugas Warkah]),"")</f>
        <v/>
      </c>
      <c r="G3614" s="39" t="str">
        <f t="array" ref="G3614">IFNA(_xlfn.XLOOKUP(D3614,Table_Tarikan_Warkah[Nomor Tiket],Table_Tarikan_Warkah[Jenis Permohonan]),"")</f>
        <v>BN JUAL BELI</v>
      </c>
      <c r="H3614" s="41" t="s">
        <v>20</v>
      </c>
      <c r="I3614" s="49" t="s">
        <v>23</v>
      </c>
      <c r="J3614" s="36">
        <f t="shared" si="20"/>
        <v>45903.65416</v>
      </c>
      <c r="K3614" s="49" t="s">
        <v>2378</v>
      </c>
      <c r="L3614" s="49" t="s">
        <v>23</v>
      </c>
      <c r="M3614" s="36">
        <f t="shared" si="33"/>
        <v>45904.58064</v>
      </c>
      <c r="N3614" s="30" t="str">
        <f t="shared" si="34"/>
        <v>Selesai</v>
      </c>
      <c r="O3614" s="45">
        <f t="shared" si="23"/>
        <v>45904.58064</v>
      </c>
      <c r="P3614" s="47" t="b">
        <v>0</v>
      </c>
      <c r="Q3614" s="36" t="str">
        <f t="shared" si="35"/>
        <v/>
      </c>
      <c r="R3614" s="47" t="b">
        <v>0</v>
      </c>
      <c r="S3614" s="42" t="str">
        <f t="shared" si="28"/>
        <v/>
      </c>
      <c r="T3614" s="42"/>
    </row>
    <row r="3615" ht="22.5" customHeight="1">
      <c r="B3615" s="42">
        <f t="shared" si="7"/>
        <v>3609</v>
      </c>
      <c r="C3615" s="31" t="s">
        <v>3666</v>
      </c>
      <c r="D3615" s="34" t="str">
        <f t="array" ref="D3615">IFNA(_xlfn.XLOOKUP(C3615,Table_Tarikan_Warkah[Nomor Sertipikat],Table_Tarikan_Warkah[Nomor Tiket]),"")</f>
        <v>K/13/140825/4</v>
      </c>
      <c r="E3615" s="36" t="str">
        <f t="array" ref="E3615">IFNA(_xlfn.XLOOKUP(D3615,Table_Tarikan_Warkah[Nomor Tiket],Table_Tarikan_Warkah[Tanggal diserahkan kepada Validator]),"")</f>
        <v/>
      </c>
      <c r="F3615" s="36" t="str">
        <f t="array" ref="F3615">IFNA(_xlfn.XLOOKUP(D3615,Table_Tarikan_Warkah[Nomor Tiket],Table_Tarikan_Warkah[Nama Petugas Warkah]),"")</f>
        <v/>
      </c>
      <c r="G3615" s="39" t="str">
        <f t="array" ref="G3615">IFNA(_xlfn.XLOOKUP(D3615,Table_Tarikan_Warkah[Nomor Tiket],Table_Tarikan_Warkah[Jenis Permohonan]),"")</f>
        <v>BN JUAL BELI</v>
      </c>
      <c r="H3615" s="41" t="s">
        <v>20</v>
      </c>
      <c r="I3615" s="49" t="s">
        <v>23</v>
      </c>
      <c r="J3615" s="36">
        <f t="shared" si="20"/>
        <v>45903.65416</v>
      </c>
      <c r="K3615" s="49" t="s">
        <v>2378</v>
      </c>
      <c r="L3615" s="49" t="s">
        <v>23</v>
      </c>
      <c r="M3615" s="36">
        <f t="shared" si="33"/>
        <v>45904.5805</v>
      </c>
      <c r="N3615" s="30" t="str">
        <f t="shared" si="34"/>
        <v>Selesai</v>
      </c>
      <c r="O3615" s="45">
        <f t="shared" si="23"/>
        <v>45904.5805</v>
      </c>
      <c r="P3615" s="47" t="b">
        <v>0</v>
      </c>
      <c r="Q3615" s="36" t="str">
        <f t="shared" si="35"/>
        <v/>
      </c>
      <c r="R3615" s="47" t="b">
        <v>0</v>
      </c>
      <c r="S3615" s="42" t="str">
        <f t="shared" si="28"/>
        <v/>
      </c>
      <c r="T3615" s="42"/>
    </row>
    <row r="3616" ht="22.5" customHeight="1">
      <c r="B3616" s="42">
        <f t="shared" si="7"/>
        <v>3610</v>
      </c>
      <c r="C3616" s="31" t="s">
        <v>3667</v>
      </c>
      <c r="D3616" s="34" t="str">
        <f t="array" ref="D3616">IFNA(_xlfn.XLOOKUP(C3616,Table_Tarikan_Warkah[Nomor Sertipikat],Table_Tarikan_Warkah[Nomor Tiket]),"")</f>
        <v>L/63/210825/1</v>
      </c>
      <c r="E3616" s="36" t="str">
        <f t="array" ref="E3616">IFNA(_xlfn.XLOOKUP(D3616,Table_Tarikan_Warkah[Nomor Tiket],Table_Tarikan_Warkah[Tanggal diserahkan kepada Validator]),"")</f>
        <v/>
      </c>
      <c r="F3616" s="36" t="str">
        <f t="array" ref="F3616">IFNA(_xlfn.XLOOKUP(D3616,Table_Tarikan_Warkah[Nomor Tiket],Table_Tarikan_Warkah[Nama Petugas Warkah]),"")</f>
        <v/>
      </c>
      <c r="G3616" s="39" t="str">
        <f t="array" ref="G3616">IFNA(_xlfn.XLOOKUP(D3616,Table_Tarikan_Warkah[Nomor Tiket],Table_Tarikan_Warkah[Jenis Permohonan]),"")</f>
        <v>GANTI NAMA</v>
      </c>
      <c r="H3616" s="41" t="s">
        <v>2315</v>
      </c>
      <c r="I3616" s="49" t="s">
        <v>23</v>
      </c>
      <c r="J3616" s="36">
        <f t="shared" si="20"/>
        <v>45903.65416</v>
      </c>
      <c r="K3616" s="49" t="s">
        <v>2378</v>
      </c>
      <c r="L3616" s="49" t="s">
        <v>23</v>
      </c>
      <c r="M3616" s="36">
        <f t="shared" si="33"/>
        <v>45904.57712</v>
      </c>
      <c r="N3616" s="30" t="str">
        <f t="shared" si="34"/>
        <v>Selesai</v>
      </c>
      <c r="O3616" s="45">
        <f t="shared" si="23"/>
        <v>45904.57712</v>
      </c>
      <c r="P3616" s="47" t="b">
        <v>0</v>
      </c>
      <c r="Q3616" s="36" t="str">
        <f t="shared" si="35"/>
        <v/>
      </c>
      <c r="R3616" s="47" t="b">
        <v>0</v>
      </c>
      <c r="S3616" s="42" t="str">
        <f t="shared" si="28"/>
        <v/>
      </c>
      <c r="T3616" s="42"/>
    </row>
    <row r="3617" ht="22.5" customHeight="1">
      <c r="B3617" s="42">
        <f t="shared" si="7"/>
        <v>3611</v>
      </c>
      <c r="C3617" s="31" t="s">
        <v>3668</v>
      </c>
      <c r="D3617" s="34" t="str">
        <f t="array" ref="D3617">IFNA(_xlfn.XLOOKUP(C3617,Table_Tarikan_Warkah[Nomor Sertipikat],Table_Tarikan_Warkah[Nomor Tiket]),"")</f>
        <v>L/11/220825/1</v>
      </c>
      <c r="E3617" s="36" t="str">
        <f t="array" ref="E3617">IFNA(_xlfn.XLOOKUP(D3617,Table_Tarikan_Warkah[Nomor Tiket],Table_Tarikan_Warkah[Tanggal diserahkan kepada Validator]),"")</f>
        <v/>
      </c>
      <c r="F3617" s="36" t="str">
        <f t="array" ref="F3617">IFNA(_xlfn.XLOOKUP(D3617,Table_Tarikan_Warkah[Nomor Tiket],Table_Tarikan_Warkah[Nama Petugas Warkah]),"")</f>
        <v/>
      </c>
      <c r="G3617" s="39" t="str">
        <f t="array" ref="G3617">IFNA(_xlfn.XLOOKUP(D3617,Table_Tarikan_Warkah[Nomor Tiket],Table_Tarikan_Warkah[Jenis Permohonan]),"")</f>
        <v>BN WARIS</v>
      </c>
      <c r="H3617" s="41" t="s">
        <v>2315</v>
      </c>
      <c r="I3617" s="49" t="s">
        <v>23</v>
      </c>
      <c r="J3617" s="36">
        <f t="shared" si="20"/>
        <v>45903.65416</v>
      </c>
      <c r="K3617" s="49" t="s">
        <v>2378</v>
      </c>
      <c r="L3617" s="49" t="s">
        <v>23</v>
      </c>
      <c r="M3617" s="36">
        <f t="shared" si="33"/>
        <v>45904.57973</v>
      </c>
      <c r="N3617" s="30" t="str">
        <f t="shared" si="34"/>
        <v>Selesai</v>
      </c>
      <c r="O3617" s="45">
        <f t="shared" si="23"/>
        <v>45904.57973</v>
      </c>
      <c r="P3617" s="47" t="b">
        <v>0</v>
      </c>
      <c r="Q3617" s="36" t="str">
        <f t="shared" si="35"/>
        <v/>
      </c>
      <c r="R3617" s="47" t="b">
        <v>0</v>
      </c>
      <c r="S3617" s="42" t="str">
        <f t="shared" si="28"/>
        <v/>
      </c>
      <c r="T3617" s="42"/>
    </row>
    <row r="3618" ht="22.5" customHeight="1">
      <c r="B3618" s="42">
        <f t="shared" si="7"/>
        <v>3612</v>
      </c>
      <c r="C3618" s="31" t="s">
        <v>3669</v>
      </c>
      <c r="D3618" s="34" t="str">
        <f t="array" ref="D3618">IFNA(_xlfn.XLOOKUP(C3618,Table_Tarikan_Warkah[Nomor Sertipikat],Table_Tarikan_Warkah[Nomor Tiket]),"")</f>
        <v>L/34/210826/1</v>
      </c>
      <c r="E3618" s="36" t="str">
        <f t="array" ref="E3618">IFNA(_xlfn.XLOOKUP(D3618,Table_Tarikan_Warkah[Nomor Tiket],Table_Tarikan_Warkah[Tanggal diserahkan kepada Validator]),"")</f>
        <v/>
      </c>
      <c r="F3618" s="36" t="str">
        <f t="array" ref="F3618">IFNA(_xlfn.XLOOKUP(D3618,Table_Tarikan_Warkah[Nomor Tiket],Table_Tarikan_Warkah[Nama Petugas Warkah]),"")</f>
        <v/>
      </c>
      <c r="G3618" s="39" t="str">
        <f t="array" ref="G3618">IFNA(_xlfn.XLOOKUP(D3618,Table_Tarikan_Warkah[Nomor Tiket],Table_Tarikan_Warkah[Jenis Permohonan]),"")</f>
        <v>PENINGKATAN HAK</v>
      </c>
      <c r="H3618" s="41" t="s">
        <v>2315</v>
      </c>
      <c r="I3618" s="49" t="s">
        <v>23</v>
      </c>
      <c r="J3618" s="36">
        <f t="shared" si="20"/>
        <v>45903.65416</v>
      </c>
      <c r="K3618" s="49" t="s">
        <v>2378</v>
      </c>
      <c r="L3618" s="49" t="s">
        <v>23</v>
      </c>
      <c r="M3618" s="36">
        <f t="shared" si="33"/>
        <v>45904.57698</v>
      </c>
      <c r="N3618" s="30" t="str">
        <f t="shared" si="34"/>
        <v>Selesai</v>
      </c>
      <c r="O3618" s="45">
        <f t="shared" si="23"/>
        <v>45904.57698</v>
      </c>
      <c r="P3618" s="47" t="b">
        <v>0</v>
      </c>
      <c r="Q3618" s="36" t="str">
        <f t="shared" si="35"/>
        <v/>
      </c>
      <c r="R3618" s="47" t="b">
        <v>0</v>
      </c>
      <c r="S3618" s="42" t="str">
        <f t="shared" si="28"/>
        <v/>
      </c>
      <c r="T3618" s="42"/>
    </row>
    <row r="3619" ht="22.5" customHeight="1">
      <c r="B3619" s="42">
        <f t="shared" si="7"/>
        <v>3613</v>
      </c>
      <c r="C3619" s="31" t="s">
        <v>3670</v>
      </c>
      <c r="D3619" s="34" t="str">
        <f t="array" ref="D3619">IFNA(_xlfn.XLOOKUP(C3619,Table_Tarikan_Warkah[Nomor Sertipikat],Table_Tarikan_Warkah[Nomor Tiket]),"")</f>
        <v>L/23/190826/1</v>
      </c>
      <c r="E3619" s="36" t="str">
        <f t="array" ref="E3619">IFNA(_xlfn.XLOOKUP(D3619,Table_Tarikan_Warkah[Nomor Tiket],Table_Tarikan_Warkah[Tanggal diserahkan kepada Validator]),"")</f>
        <v/>
      </c>
      <c r="F3619" s="36" t="str">
        <f t="array" ref="F3619">IFNA(_xlfn.XLOOKUP(D3619,Table_Tarikan_Warkah[Nomor Tiket],Table_Tarikan_Warkah[Nama Petugas Warkah]),"")</f>
        <v/>
      </c>
      <c r="G3619" s="39" t="str">
        <f t="array" ref="G3619">IFNA(_xlfn.XLOOKUP(D3619,Table_Tarikan_Warkah[Nomor Tiket],Table_Tarikan_Warkah[Jenis Permohonan]),"")</f>
        <v>PENINGKATAN HAK</v>
      </c>
      <c r="H3619" s="41" t="s">
        <v>2315</v>
      </c>
      <c r="I3619" s="49" t="s">
        <v>23</v>
      </c>
      <c r="J3619" s="36">
        <f t="shared" si="20"/>
        <v>45903.65416</v>
      </c>
      <c r="K3619" s="49" t="s">
        <v>2378</v>
      </c>
      <c r="L3619" s="49" t="s">
        <v>23</v>
      </c>
      <c r="M3619" s="36">
        <f t="shared" si="33"/>
        <v>45904.57671</v>
      </c>
      <c r="N3619" s="30" t="str">
        <f t="shared" si="34"/>
        <v>Selesai</v>
      </c>
      <c r="O3619" s="45">
        <f t="shared" si="23"/>
        <v>45904.57671</v>
      </c>
      <c r="P3619" s="47" t="b">
        <v>0</v>
      </c>
      <c r="Q3619" s="36" t="str">
        <f t="shared" si="35"/>
        <v/>
      </c>
      <c r="R3619" s="47" t="b">
        <v>0</v>
      </c>
      <c r="S3619" s="42" t="str">
        <f t="shared" si="28"/>
        <v/>
      </c>
      <c r="T3619" s="42"/>
    </row>
    <row r="3620" ht="22.5" customHeight="1">
      <c r="B3620" s="42">
        <f t="shared" si="7"/>
        <v>3614</v>
      </c>
      <c r="C3620" s="31" t="s">
        <v>3671</v>
      </c>
      <c r="D3620" s="34" t="str">
        <f t="array" ref="D3620">IFNA(_xlfn.XLOOKUP(C3620,Table_Tarikan_Warkah[Nomor Sertipikat],Table_Tarikan_Warkah[Nomor Tiket]),"")</f>
        <v>L/12/250825/1</v>
      </c>
      <c r="E3620" s="36" t="str">
        <f t="array" ref="E3620">IFNA(_xlfn.XLOOKUP(D3620,Table_Tarikan_Warkah[Nomor Tiket],Table_Tarikan_Warkah[Tanggal diserahkan kepada Validator]),"")</f>
        <v/>
      </c>
      <c r="F3620" s="36" t="str">
        <f t="array" ref="F3620">IFNA(_xlfn.XLOOKUP(D3620,Table_Tarikan_Warkah[Nomor Tiket],Table_Tarikan_Warkah[Nama Petugas Warkah]),"")</f>
        <v/>
      </c>
      <c r="G3620" s="39" t="str">
        <f t="array" ref="G3620">IFNA(_xlfn.XLOOKUP(D3620,Table_Tarikan_Warkah[Nomor Tiket],Table_Tarikan_Warkah[Jenis Permohonan]),"")</f>
        <v>ROYA</v>
      </c>
      <c r="H3620" s="41" t="s">
        <v>2315</v>
      </c>
      <c r="I3620" s="49" t="s">
        <v>23</v>
      </c>
      <c r="J3620" s="36">
        <f t="shared" si="20"/>
        <v>45903.65416</v>
      </c>
      <c r="K3620" s="49" t="s">
        <v>2378</v>
      </c>
      <c r="L3620" s="49" t="s">
        <v>23</v>
      </c>
      <c r="M3620" s="36">
        <f t="shared" si="33"/>
        <v>45904.57681</v>
      </c>
      <c r="N3620" s="30" t="str">
        <f t="shared" si="34"/>
        <v>Selesai</v>
      </c>
      <c r="O3620" s="45">
        <f t="shared" si="23"/>
        <v>45904.57681</v>
      </c>
      <c r="P3620" s="47" t="b">
        <v>0</v>
      </c>
      <c r="Q3620" s="36" t="str">
        <f t="shared" si="35"/>
        <v/>
      </c>
      <c r="R3620" s="47" t="b">
        <v>0</v>
      </c>
      <c r="S3620" s="42" t="str">
        <f t="shared" si="28"/>
        <v/>
      </c>
      <c r="T3620" s="42"/>
    </row>
    <row r="3621" ht="22.5" customHeight="1">
      <c r="B3621" s="42">
        <f t="shared" si="7"/>
        <v>3615</v>
      </c>
      <c r="C3621" s="31" t="s">
        <v>3672</v>
      </c>
      <c r="D3621" s="34" t="str">
        <f t="array" ref="D3621">IFNA(_xlfn.XLOOKUP(C3621,Table_Tarikan_Warkah[Nomor Sertipikat],Table_Tarikan_Warkah[Nomor Tiket]),"")</f>
        <v>L/29/190625/1</v>
      </c>
      <c r="E3621" s="36" t="str">
        <f t="array" ref="E3621">IFNA(_xlfn.XLOOKUP(D3621,Table_Tarikan_Warkah[Nomor Tiket],Table_Tarikan_Warkah[Tanggal diserahkan kepada Validator]),"")</f>
        <v/>
      </c>
      <c r="F3621" s="36" t="str">
        <f t="array" ref="F3621">IFNA(_xlfn.XLOOKUP(D3621,Table_Tarikan_Warkah[Nomor Tiket],Table_Tarikan_Warkah[Nama Petugas Warkah]),"")</f>
        <v/>
      </c>
      <c r="G3621" s="39" t="str">
        <f t="array" ref="G3621">IFNA(_xlfn.XLOOKUP(D3621,Table_Tarikan_Warkah[Nomor Tiket],Table_Tarikan_Warkah[Jenis Permohonan]),"")</f>
        <v>ROYA</v>
      </c>
      <c r="H3621" s="41" t="s">
        <v>2315</v>
      </c>
      <c r="I3621" s="49" t="s">
        <v>23</v>
      </c>
      <c r="J3621" s="36">
        <f t="shared" si="20"/>
        <v>45903.65416</v>
      </c>
      <c r="K3621" s="49" t="s">
        <v>2378</v>
      </c>
      <c r="L3621" s="49" t="s">
        <v>23</v>
      </c>
      <c r="M3621" s="36">
        <f t="shared" si="33"/>
        <v>45904.57727</v>
      </c>
      <c r="N3621" s="30" t="str">
        <f t="shared" si="34"/>
        <v>Selesai</v>
      </c>
      <c r="O3621" s="45">
        <f t="shared" si="23"/>
        <v>45904.57727</v>
      </c>
      <c r="P3621" s="47" t="b">
        <v>0</v>
      </c>
      <c r="Q3621" s="36" t="str">
        <f t="shared" si="35"/>
        <v/>
      </c>
      <c r="R3621" s="47" t="b">
        <v>0</v>
      </c>
      <c r="S3621" s="42" t="str">
        <f t="shared" si="28"/>
        <v/>
      </c>
      <c r="T3621" s="42"/>
    </row>
    <row r="3622" ht="22.5" customHeight="1">
      <c r="B3622" s="42">
        <f t="shared" si="7"/>
        <v>3616</v>
      </c>
      <c r="C3622" s="31" t="s">
        <v>3673</v>
      </c>
      <c r="D3622" s="34" t="str">
        <f t="array" ref="D3622">IFNA(_xlfn.XLOOKUP(C3622,Table_Tarikan_Warkah[Nomor Sertipikat],Table_Tarikan_Warkah[Nomor Tiket]),"")</f>
        <v>L/1/190825/1</v>
      </c>
      <c r="E3622" s="36">
        <f t="array" ref="E3622">IFNA(_xlfn.XLOOKUP(D3622,Table_Tarikan_Warkah[Nomor Tiket],Table_Tarikan_Warkah[Tanggal diserahkan kepada Validator]),"")</f>
        <v>45922.64218</v>
      </c>
      <c r="F3622" s="36" t="str">
        <f t="array" ref="F3622">IFNA(_xlfn.XLOOKUP(D3622,Table_Tarikan_Warkah[Nomor Tiket],Table_Tarikan_Warkah[Nama Petugas Warkah]),"")</f>
        <v>Berry</v>
      </c>
      <c r="G3622" s="39" t="str">
        <f t="array" ref="G3622">IFNA(_xlfn.XLOOKUP(D3622,Table_Tarikan_Warkah[Nomor Tiket],Table_Tarikan_Warkah[Jenis Permohonan]),"")</f>
        <v>PENINGKATAN HAK</v>
      </c>
      <c r="H3622" s="41" t="s">
        <v>2315</v>
      </c>
      <c r="I3622" s="49" t="s">
        <v>23</v>
      </c>
      <c r="J3622" s="36">
        <f t="shared" si="20"/>
        <v>45903.65416</v>
      </c>
      <c r="K3622" s="49" t="s">
        <v>2378</v>
      </c>
      <c r="L3622" s="49" t="s">
        <v>23</v>
      </c>
      <c r="M3622" s="36">
        <f t="shared" si="33"/>
        <v>45908.59187</v>
      </c>
      <c r="N3622" s="30" t="str">
        <f t="shared" si="34"/>
        <v>Selesai</v>
      </c>
      <c r="O3622" s="45">
        <f t="shared" si="23"/>
        <v>45908.59187</v>
      </c>
      <c r="P3622" s="47" t="b">
        <v>0</v>
      </c>
      <c r="Q3622" s="36" t="str">
        <f t="shared" si="35"/>
        <v/>
      </c>
      <c r="R3622" s="47" t="b">
        <v>0</v>
      </c>
      <c r="S3622" s="42" t="str">
        <f t="shared" si="28"/>
        <v/>
      </c>
      <c r="T3622" s="42"/>
    </row>
    <row r="3623" ht="22.5" customHeight="1">
      <c r="B3623" s="42">
        <f t="shared" si="7"/>
        <v>3617</v>
      </c>
      <c r="C3623" s="31" t="s">
        <v>3674</v>
      </c>
      <c r="D3623" s="34" t="str">
        <f t="array" ref="D3623">IFNA(_xlfn.XLOOKUP(C3623,Table_Tarikan_Warkah[Nomor Sertipikat],Table_Tarikan_Warkah[Nomor Tiket]),"")</f>
        <v>L/1/220825/1</v>
      </c>
      <c r="E3623" s="36" t="str">
        <f t="array" ref="E3623">IFNA(_xlfn.XLOOKUP(D3623,Table_Tarikan_Warkah[Nomor Tiket],Table_Tarikan_Warkah[Tanggal diserahkan kepada Validator]),"")</f>
        <v/>
      </c>
      <c r="F3623" s="36" t="str">
        <f t="array" ref="F3623">IFNA(_xlfn.XLOOKUP(D3623,Table_Tarikan_Warkah[Nomor Tiket],Table_Tarikan_Warkah[Nama Petugas Warkah]),"")</f>
        <v/>
      </c>
      <c r="G3623" s="39" t="str">
        <f t="array" ref="G3623">IFNA(_xlfn.XLOOKUP(D3623,Table_Tarikan_Warkah[Nomor Tiket],Table_Tarikan_Warkah[Jenis Permohonan]),"")</f>
        <v>ROYA</v>
      </c>
      <c r="H3623" s="41" t="s">
        <v>2315</v>
      </c>
      <c r="I3623" s="49" t="s">
        <v>23</v>
      </c>
      <c r="J3623" s="36">
        <f t="shared" si="20"/>
        <v>45903.65416</v>
      </c>
      <c r="K3623" s="49" t="s">
        <v>2378</v>
      </c>
      <c r="L3623" s="49" t="s">
        <v>23</v>
      </c>
      <c r="M3623" s="36">
        <f t="shared" si="33"/>
        <v>45904.57759</v>
      </c>
      <c r="N3623" s="30" t="str">
        <f t="shared" si="34"/>
        <v>Selesai</v>
      </c>
      <c r="O3623" s="45">
        <f t="shared" si="23"/>
        <v>45904.57759</v>
      </c>
      <c r="P3623" s="47" t="b">
        <v>0</v>
      </c>
      <c r="Q3623" s="36" t="str">
        <f t="shared" si="35"/>
        <v/>
      </c>
      <c r="R3623" s="47" t="b">
        <v>0</v>
      </c>
      <c r="S3623" s="42" t="str">
        <f t="shared" si="28"/>
        <v/>
      </c>
      <c r="T3623" s="42"/>
    </row>
    <row r="3624" ht="22.5" customHeight="1">
      <c r="B3624" s="42">
        <f t="shared" si="7"/>
        <v>3618</v>
      </c>
      <c r="C3624" s="31" t="s">
        <v>3675</v>
      </c>
      <c r="D3624" s="34" t="str">
        <f t="array" ref="D3624">IFNA(_xlfn.XLOOKUP(C3624,Table_Tarikan_Warkah[Nomor Sertipikat],Table_Tarikan_Warkah[Nomor Tiket]),"")</f>
        <v>L/10/190825/1</v>
      </c>
      <c r="E3624" s="36">
        <f t="array" ref="E3624">IFNA(_xlfn.XLOOKUP(D3624,Table_Tarikan_Warkah[Nomor Tiket],Table_Tarikan_Warkah[Tanggal diserahkan kepada Validator]),"")</f>
        <v>45908.67026</v>
      </c>
      <c r="F3624" s="36" t="str">
        <f t="array" ref="F3624">IFNA(_xlfn.XLOOKUP(D3624,Table_Tarikan_Warkah[Nomor Tiket],Table_Tarikan_Warkah[Nama Petugas Warkah]),"")</f>
        <v>Berry</v>
      </c>
      <c r="G3624" s="39" t="str">
        <f t="array" ref="G3624">IFNA(_xlfn.XLOOKUP(D3624,Table_Tarikan_Warkah[Nomor Tiket],Table_Tarikan_Warkah[Jenis Permohonan]),"")</f>
        <v>PENINGKATAN HAK</v>
      </c>
      <c r="H3624" s="41" t="s">
        <v>2315</v>
      </c>
      <c r="I3624" s="49" t="s">
        <v>23</v>
      </c>
      <c r="J3624" s="36">
        <f t="shared" si="20"/>
        <v>45903.65416</v>
      </c>
      <c r="K3624" s="49" t="s">
        <v>2378</v>
      </c>
      <c r="L3624" s="49" t="s">
        <v>23</v>
      </c>
      <c r="M3624" s="36">
        <f t="shared" si="33"/>
        <v>45904.57743</v>
      </c>
      <c r="N3624" s="30" t="str">
        <f t="shared" si="34"/>
        <v>Selesai</v>
      </c>
      <c r="O3624" s="45">
        <f t="shared" si="23"/>
        <v>45904.57743</v>
      </c>
      <c r="P3624" s="47" t="b">
        <v>0</v>
      </c>
      <c r="Q3624" s="36" t="str">
        <f t="shared" si="35"/>
        <v/>
      </c>
      <c r="R3624" s="47" t="b">
        <v>0</v>
      </c>
      <c r="S3624" s="42" t="str">
        <f t="shared" si="28"/>
        <v/>
      </c>
      <c r="T3624" s="42"/>
    </row>
    <row r="3625" ht="22.5" customHeight="1">
      <c r="B3625" s="42">
        <f t="shared" si="7"/>
        <v>3619</v>
      </c>
      <c r="C3625" s="31" t="s">
        <v>3676</v>
      </c>
      <c r="D3625" s="34" t="str">
        <f t="array" ref="D3625">IFNA(_xlfn.XLOOKUP(C3625,Table_Tarikan_Warkah[Nomor Sertipikat],Table_Tarikan_Warkah[Nomor Tiket]),"")</f>
        <v>L/27/130825/1</v>
      </c>
      <c r="E3625" s="36" t="str">
        <f t="array" ref="E3625">IFNA(_xlfn.XLOOKUP(D3625,Table_Tarikan_Warkah[Nomor Tiket],Table_Tarikan_Warkah[Tanggal diserahkan kepada Validator]),"")</f>
        <v/>
      </c>
      <c r="F3625" s="36" t="str">
        <f t="array" ref="F3625">IFNA(_xlfn.XLOOKUP(D3625,Table_Tarikan_Warkah[Nomor Tiket],Table_Tarikan_Warkah[Nama Petugas Warkah]),"")</f>
        <v/>
      </c>
      <c r="G3625" s="39" t="str">
        <f t="array" ref="G3625">IFNA(_xlfn.XLOOKUP(D3625,Table_Tarikan_Warkah[Nomor Tiket],Table_Tarikan_Warkah[Jenis Permohonan]),"")</f>
        <v>BN WARIS</v>
      </c>
      <c r="H3625" s="41" t="s">
        <v>2315</v>
      </c>
      <c r="I3625" s="49" t="s">
        <v>23</v>
      </c>
      <c r="J3625" s="36">
        <f t="shared" si="20"/>
        <v>45903.65416</v>
      </c>
      <c r="K3625" s="49" t="s">
        <v>2378</v>
      </c>
      <c r="L3625" s="49" t="s">
        <v>23</v>
      </c>
      <c r="M3625" s="36">
        <f t="shared" si="33"/>
        <v>45904.58205</v>
      </c>
      <c r="N3625" s="30" t="str">
        <f t="shared" si="34"/>
        <v>Selesai</v>
      </c>
      <c r="O3625" s="45">
        <f t="shared" si="23"/>
        <v>45904.58205</v>
      </c>
      <c r="P3625" s="47" t="b">
        <v>0</v>
      </c>
      <c r="Q3625" s="36" t="str">
        <f t="shared" si="35"/>
        <v/>
      </c>
      <c r="R3625" s="47" t="b">
        <v>0</v>
      </c>
      <c r="S3625" s="42" t="str">
        <f t="shared" si="28"/>
        <v/>
      </c>
      <c r="T3625" s="42"/>
    </row>
    <row r="3626" ht="22.5" customHeight="1">
      <c r="B3626" s="42">
        <f t="shared" si="7"/>
        <v>3620</v>
      </c>
      <c r="C3626" s="31" t="s">
        <v>3677</v>
      </c>
      <c r="D3626" s="34" t="str">
        <f t="array" ref="D3626">IFNA(_xlfn.XLOOKUP(C3626,Table_Tarikan_Warkah[Nomor Sertipikat],Table_Tarikan_Warkah[Nomor Tiket]),"")</f>
        <v>K/19/130825/3</v>
      </c>
      <c r="E3626" s="36">
        <f t="array" ref="E3626">IFNA(_xlfn.XLOOKUP(D3626,Table_Tarikan_Warkah[Nomor Tiket],Table_Tarikan_Warkah[Tanggal diserahkan kepada Validator]),"")</f>
        <v>45971.43383</v>
      </c>
      <c r="F3626" s="36" t="str">
        <f t="array" ref="F3626">IFNA(_xlfn.XLOOKUP(D3626,Table_Tarikan_Warkah[Nomor Tiket],Table_Tarikan_Warkah[Nama Petugas Warkah]),"")</f>
        <v>Berry</v>
      </c>
      <c r="G3626" s="39" t="str">
        <f t="array" ref="G3626">IFNA(_xlfn.XLOOKUP(D3626,Table_Tarikan_Warkah[Nomor Tiket],Table_Tarikan_Warkah[Jenis Permohonan]),"")</f>
        <v>PENATAAN BATAS</v>
      </c>
      <c r="H3626" s="41" t="s">
        <v>2315</v>
      </c>
      <c r="I3626" s="49" t="s">
        <v>23</v>
      </c>
      <c r="J3626" s="36">
        <f t="shared" si="20"/>
        <v>45903.65416</v>
      </c>
      <c r="K3626" s="49" t="s">
        <v>2378</v>
      </c>
      <c r="L3626" s="49" t="s">
        <v>23</v>
      </c>
      <c r="M3626" s="36">
        <f t="shared" si="33"/>
        <v>45904.58222</v>
      </c>
      <c r="N3626" s="30" t="str">
        <f t="shared" si="34"/>
        <v>Selesai</v>
      </c>
      <c r="O3626" s="45">
        <f t="shared" si="23"/>
        <v>45904.58222</v>
      </c>
      <c r="P3626" s="47" t="b">
        <v>0</v>
      </c>
      <c r="Q3626" s="36" t="str">
        <f t="shared" si="35"/>
        <v/>
      </c>
      <c r="R3626" s="47" t="b">
        <v>0</v>
      </c>
      <c r="S3626" s="42" t="str">
        <f t="shared" si="28"/>
        <v/>
      </c>
      <c r="T3626" s="42"/>
    </row>
    <row r="3627" ht="22.5" customHeight="1">
      <c r="B3627" s="42">
        <f t="shared" si="7"/>
        <v>3621</v>
      </c>
      <c r="C3627" s="31" t="s">
        <v>3678</v>
      </c>
      <c r="D3627" s="34" t="str">
        <f t="array" ref="D3627">IFNA(_xlfn.XLOOKUP(C3627,Table_Tarikan_Warkah[Nomor Sertipikat],Table_Tarikan_Warkah[Nomor Tiket]),"")</f>
        <v>K/20/130825/4</v>
      </c>
      <c r="E3627" s="36">
        <f t="array" ref="E3627">IFNA(_xlfn.XLOOKUP(D3627,Table_Tarikan_Warkah[Nomor Tiket],Table_Tarikan_Warkah[Tanggal diserahkan kepada Validator]),"")</f>
        <v>45971.43437</v>
      </c>
      <c r="F3627" s="36" t="str">
        <f t="array" ref="F3627">IFNA(_xlfn.XLOOKUP(D3627,Table_Tarikan_Warkah[Nomor Tiket],Table_Tarikan_Warkah[Nama Petugas Warkah]),"")</f>
        <v>Berry</v>
      </c>
      <c r="G3627" s="39" t="str">
        <f t="array" ref="G3627">IFNA(_xlfn.XLOOKUP(D3627,Table_Tarikan_Warkah[Nomor Tiket],Table_Tarikan_Warkah[Jenis Permohonan]),"")</f>
        <v>PENATAAN BATAS</v>
      </c>
      <c r="H3627" s="41" t="s">
        <v>2315</v>
      </c>
      <c r="I3627" s="49" t="s">
        <v>23</v>
      </c>
      <c r="J3627" s="36">
        <f t="shared" si="20"/>
        <v>45903.65416</v>
      </c>
      <c r="K3627" s="49" t="s">
        <v>2378</v>
      </c>
      <c r="L3627" s="49" t="s">
        <v>23</v>
      </c>
      <c r="M3627" s="36">
        <f t="shared" si="33"/>
        <v>45904.58237</v>
      </c>
      <c r="N3627" s="30" t="str">
        <f t="shared" si="34"/>
        <v>Selesai</v>
      </c>
      <c r="O3627" s="45">
        <f t="shared" si="23"/>
        <v>45904.58237</v>
      </c>
      <c r="P3627" s="47" t="b">
        <v>0</v>
      </c>
      <c r="Q3627" s="36" t="str">
        <f t="shared" si="35"/>
        <v/>
      </c>
      <c r="R3627" s="47" t="b">
        <v>0</v>
      </c>
      <c r="S3627" s="42" t="str">
        <f t="shared" si="28"/>
        <v/>
      </c>
      <c r="T3627" s="42"/>
    </row>
    <row r="3628" ht="22.5" customHeight="1">
      <c r="B3628" s="42">
        <f t="shared" si="7"/>
        <v>3622</v>
      </c>
      <c r="C3628" s="31" t="s">
        <v>3679</v>
      </c>
      <c r="D3628" s="34" t="str">
        <f t="array" ref="D3628">IFNA(_xlfn.XLOOKUP(C3628,Table_Tarikan_Warkah[Nomor Sertipikat],Table_Tarikan_Warkah[Nomor Tiket]),"")</f>
        <v/>
      </c>
      <c r="E3628" s="36" t="str">
        <f t="array" ref="E3628">IFNA(_xlfn.XLOOKUP(D3628,Table_Tarikan_Warkah[Nomor Tiket],Table_Tarikan_Warkah[Tanggal diserahkan kepada Validator]),"")</f>
        <v/>
      </c>
      <c r="F3628" s="36" t="str">
        <f t="array" ref="F3628">IFNA(_xlfn.XLOOKUP(D3628,Table_Tarikan_Warkah[Nomor Tiket],Table_Tarikan_Warkah[Nama Petugas Warkah]),"")</f>
        <v/>
      </c>
      <c r="G3628" s="39" t="str">
        <f t="array" ref="G3628">IFNA(_xlfn.XLOOKUP(D3628,Table_Tarikan_Warkah[Nomor Tiket],Table_Tarikan_Warkah[Jenis Permohonan]),"")</f>
        <v/>
      </c>
      <c r="H3628" s="41" t="s">
        <v>2315</v>
      </c>
      <c r="I3628" s="49" t="s">
        <v>23</v>
      </c>
      <c r="J3628" s="36">
        <f t="shared" si="20"/>
        <v>45903.65416</v>
      </c>
      <c r="K3628" s="49" t="s">
        <v>2378</v>
      </c>
      <c r="L3628" s="49" t="s">
        <v>23</v>
      </c>
      <c r="M3628" s="36">
        <f t="shared" si="33"/>
        <v>45908.59202</v>
      </c>
      <c r="N3628" s="30" t="str">
        <f t="shared" si="34"/>
        <v/>
      </c>
      <c r="O3628" s="39" t="str">
        <f t="shared" si="23"/>
        <v/>
      </c>
      <c r="P3628" s="47" t="b">
        <v>0</v>
      </c>
      <c r="Q3628" s="36" t="str">
        <f t="shared" si="35"/>
        <v/>
      </c>
      <c r="R3628" s="47" t="b">
        <v>0</v>
      </c>
      <c r="S3628" s="42" t="str">
        <f t="shared" si="28"/>
        <v/>
      </c>
      <c r="T3628" s="42"/>
    </row>
    <row r="3629" ht="22.5" customHeight="1">
      <c r="B3629" s="42">
        <f t="shared" si="7"/>
        <v>3623</v>
      </c>
      <c r="C3629" s="31" t="s">
        <v>3680</v>
      </c>
      <c r="D3629" s="34" t="str">
        <f t="array" ref="D3629">IFNA(_xlfn.XLOOKUP(C3629,Table_Tarikan_Warkah[Nomor Sertipikat],Table_Tarikan_Warkah[Nomor Tiket]),"")</f>
        <v>K/38/270825/1</v>
      </c>
      <c r="E3629" s="36">
        <f t="array" ref="E3629">IFNA(_xlfn.XLOOKUP(D3629,Table_Tarikan_Warkah[Nomor Tiket],Table_Tarikan_Warkah[Tanggal diserahkan kepada Validator]),"")</f>
        <v>45953.44198</v>
      </c>
      <c r="F3629" s="36" t="str">
        <f t="array" ref="F3629">IFNA(_xlfn.XLOOKUP(D3629,Table_Tarikan_Warkah[Nomor Tiket],Table_Tarikan_Warkah[Nama Petugas Warkah]),"")</f>
        <v>David</v>
      </c>
      <c r="G3629" s="39" t="str">
        <f t="array" ref="G3629">IFNA(_xlfn.XLOOKUP(D3629,Table_Tarikan_Warkah[Nomor Tiket],Table_Tarikan_Warkah[Jenis Permohonan]),"")</f>
        <v>BN JUAL BELI</v>
      </c>
      <c r="H3629" s="41" t="s">
        <v>2315</v>
      </c>
      <c r="I3629" s="49" t="s">
        <v>23</v>
      </c>
      <c r="J3629" s="36">
        <f t="shared" si="20"/>
        <v>45903.65416</v>
      </c>
      <c r="K3629" s="49" t="s">
        <v>2378</v>
      </c>
      <c r="L3629" s="49" t="s">
        <v>23</v>
      </c>
      <c r="M3629" s="36">
        <f t="shared" si="33"/>
        <v>45904.578</v>
      </c>
      <c r="N3629" s="30" t="str">
        <f t="shared" si="34"/>
        <v>Selesai</v>
      </c>
      <c r="O3629" s="45">
        <f t="shared" si="23"/>
        <v>45904.578</v>
      </c>
      <c r="P3629" s="47" t="b">
        <v>0</v>
      </c>
      <c r="Q3629" s="36" t="str">
        <f t="shared" si="35"/>
        <v/>
      </c>
      <c r="R3629" s="47" t="b">
        <v>0</v>
      </c>
      <c r="S3629" s="42" t="str">
        <f t="shared" si="28"/>
        <v/>
      </c>
      <c r="T3629" s="42"/>
    </row>
    <row r="3630" ht="22.5" customHeight="1">
      <c r="B3630" s="42">
        <f t="shared" si="7"/>
        <v>3624</v>
      </c>
      <c r="C3630" s="31" t="s">
        <v>3681</v>
      </c>
      <c r="D3630" s="34" t="str">
        <f t="array" ref="D3630">IFNA(_xlfn.XLOOKUP(C3630,Table_Tarikan_Warkah[Nomor Sertipikat],Table_Tarikan_Warkah[Nomor Tiket]),"")</f>
        <v>K/15/190825/2</v>
      </c>
      <c r="E3630" s="36">
        <f t="array" ref="E3630">IFNA(_xlfn.XLOOKUP(D3630,Table_Tarikan_Warkah[Nomor Tiket],Table_Tarikan_Warkah[Tanggal diserahkan kepada Validator]),"")</f>
        <v>45926.59576</v>
      </c>
      <c r="F3630" s="36" t="str">
        <f t="array" ref="F3630">IFNA(_xlfn.XLOOKUP(D3630,Table_Tarikan_Warkah[Nomor Tiket],Table_Tarikan_Warkah[Nama Petugas Warkah]),"")</f>
        <v>Berry</v>
      </c>
      <c r="G3630" s="39" t="str">
        <f t="array" ref="G3630">IFNA(_xlfn.XLOOKUP(D3630,Table_Tarikan_Warkah[Nomor Tiket],Table_Tarikan_Warkah[Jenis Permohonan]),"")</f>
        <v>BN HIBAH</v>
      </c>
      <c r="H3630" s="41" t="s">
        <v>2315</v>
      </c>
      <c r="I3630" s="49" t="s">
        <v>23</v>
      </c>
      <c r="J3630" s="36">
        <f t="shared" si="20"/>
        <v>45903.65416</v>
      </c>
      <c r="K3630" s="49" t="s">
        <v>2378</v>
      </c>
      <c r="L3630" s="49" t="s">
        <v>23</v>
      </c>
      <c r="M3630" s="36">
        <f t="shared" si="33"/>
        <v>45904.57802</v>
      </c>
      <c r="N3630" s="30" t="str">
        <f t="shared" si="34"/>
        <v>Selesai</v>
      </c>
      <c r="O3630" s="45">
        <f t="shared" si="23"/>
        <v>45904.57802</v>
      </c>
      <c r="P3630" s="47" t="b">
        <v>0</v>
      </c>
      <c r="Q3630" s="36" t="str">
        <f t="shared" si="35"/>
        <v/>
      </c>
      <c r="R3630" s="47" t="b">
        <v>0</v>
      </c>
      <c r="S3630" s="42" t="str">
        <f t="shared" si="28"/>
        <v/>
      </c>
      <c r="T3630" s="42"/>
    </row>
    <row r="3631" ht="22.5" customHeight="1">
      <c r="B3631" s="42">
        <f t="shared" si="7"/>
        <v>3625</v>
      </c>
      <c r="C3631" s="31" t="s">
        <v>3682</v>
      </c>
      <c r="D3631" s="34" t="str">
        <f t="array" ref="D3631">IFNA(_xlfn.XLOOKUP(C3631,Table_Tarikan_Warkah[Nomor Sertipikat],Table_Tarikan_Warkah[Nomor Tiket]),"")</f>
        <v>K/26/190825/2</v>
      </c>
      <c r="E3631" s="36">
        <f t="array" ref="E3631">IFNA(_xlfn.XLOOKUP(D3631,Table_Tarikan_Warkah[Nomor Tiket],Table_Tarikan_Warkah[Tanggal diserahkan kepada Validator]),"")</f>
        <v>45904.59567</v>
      </c>
      <c r="F3631" s="36" t="str">
        <f t="array" ref="F3631">IFNA(_xlfn.XLOOKUP(D3631,Table_Tarikan_Warkah[Nomor Tiket],Table_Tarikan_Warkah[Nama Petugas Warkah]),"")</f>
        <v>Berry</v>
      </c>
      <c r="G3631" s="39" t="str">
        <f t="array" ref="G3631">IFNA(_xlfn.XLOOKUP(D3631,Table_Tarikan_Warkah[Nomor Tiket],Table_Tarikan_Warkah[Jenis Permohonan]),"")</f>
        <v>BN JUAL BELI</v>
      </c>
      <c r="H3631" s="41" t="s">
        <v>2315</v>
      </c>
      <c r="I3631" s="49" t="s">
        <v>23</v>
      </c>
      <c r="J3631" s="36">
        <f t="shared" si="20"/>
        <v>45903.65416</v>
      </c>
      <c r="K3631" s="49" t="s">
        <v>2378</v>
      </c>
      <c r="L3631" s="49" t="s">
        <v>23</v>
      </c>
      <c r="M3631" s="36">
        <f t="shared" si="33"/>
        <v>45904.58171</v>
      </c>
      <c r="N3631" s="30" t="str">
        <f t="shared" si="34"/>
        <v>Selesai</v>
      </c>
      <c r="O3631" s="45">
        <f t="shared" si="23"/>
        <v>45904.58171</v>
      </c>
      <c r="P3631" s="47" t="b">
        <v>0</v>
      </c>
      <c r="Q3631" s="36" t="str">
        <f t="shared" si="35"/>
        <v/>
      </c>
      <c r="R3631" s="47" t="b">
        <v>0</v>
      </c>
      <c r="S3631" s="42" t="str">
        <f t="shared" si="28"/>
        <v/>
      </c>
      <c r="T3631" s="42"/>
    </row>
    <row r="3632" ht="22.5" customHeight="1">
      <c r="B3632" s="42">
        <f t="shared" si="7"/>
        <v>3626</v>
      </c>
      <c r="C3632" s="31" t="s">
        <v>3683</v>
      </c>
      <c r="D3632" s="34" t="str">
        <f t="array" ref="D3632">IFNA(_xlfn.XLOOKUP(C3632,Table_Tarikan_Warkah[Nomor Sertipikat],Table_Tarikan_Warkah[Nomor Tiket]),"")</f>
        <v>K/9/050825/1</v>
      </c>
      <c r="E3632" s="36" t="str">
        <f t="array" ref="E3632">IFNA(_xlfn.XLOOKUP(D3632,Table_Tarikan_Warkah[Nomor Tiket],Table_Tarikan_Warkah[Tanggal diserahkan kepada Validator]),"")</f>
        <v/>
      </c>
      <c r="F3632" s="36" t="str">
        <f t="array" ref="F3632">IFNA(_xlfn.XLOOKUP(D3632,Table_Tarikan_Warkah[Nomor Tiket],Table_Tarikan_Warkah[Nama Petugas Warkah]),"")</f>
        <v/>
      </c>
      <c r="G3632" s="39" t="str">
        <f t="array" ref="G3632">IFNA(_xlfn.XLOOKUP(D3632,Table_Tarikan_Warkah[Nomor Tiket],Table_Tarikan_Warkah[Jenis Permohonan]),"")</f>
        <v>BN Jual Bel</v>
      </c>
      <c r="H3632" s="41" t="s">
        <v>2315</v>
      </c>
      <c r="I3632" s="49" t="s">
        <v>23</v>
      </c>
      <c r="J3632" s="36">
        <f t="shared" si="20"/>
        <v>45903.65416</v>
      </c>
      <c r="K3632" s="49" t="s">
        <v>2378</v>
      </c>
      <c r="L3632" s="49" t="s">
        <v>23</v>
      </c>
      <c r="M3632" s="36">
        <f t="shared" si="33"/>
        <v>45904.57817</v>
      </c>
      <c r="N3632" s="30" t="str">
        <f t="shared" si="34"/>
        <v>Selesai</v>
      </c>
      <c r="O3632" s="45">
        <f t="shared" si="23"/>
        <v>45904.57817</v>
      </c>
      <c r="P3632" s="47" t="b">
        <v>0</v>
      </c>
      <c r="Q3632" s="36" t="str">
        <f t="shared" si="35"/>
        <v/>
      </c>
      <c r="R3632" s="47" t="b">
        <v>0</v>
      </c>
      <c r="S3632" s="42" t="str">
        <f t="shared" si="28"/>
        <v/>
      </c>
      <c r="T3632" s="42"/>
    </row>
    <row r="3633" ht="22.5" customHeight="1">
      <c r="B3633" s="42">
        <f t="shared" si="7"/>
        <v>3627</v>
      </c>
      <c r="C3633" s="31" t="s">
        <v>3684</v>
      </c>
      <c r="D3633" s="34" t="str">
        <f t="array" ref="D3633">IFNA(_xlfn.XLOOKUP(C3633,Table_Tarikan_Warkah[Nomor Sertipikat],Table_Tarikan_Warkah[Nomor Tiket]),"")</f>
        <v>K/25/130825/1</v>
      </c>
      <c r="E3633" s="36" t="str">
        <f t="array" ref="E3633">IFNA(_xlfn.XLOOKUP(D3633,Table_Tarikan_Warkah[Nomor Tiket],Table_Tarikan_Warkah[Tanggal diserahkan kepada Validator]),"")</f>
        <v/>
      </c>
      <c r="F3633" s="36" t="str">
        <f t="array" ref="F3633">IFNA(_xlfn.XLOOKUP(D3633,Table_Tarikan_Warkah[Nomor Tiket],Table_Tarikan_Warkah[Nama Petugas Warkah]),"")</f>
        <v/>
      </c>
      <c r="G3633" s="39" t="str">
        <f t="array" ref="G3633">IFNA(_xlfn.XLOOKUP(D3633,Table_Tarikan_Warkah[Nomor Tiket],Table_Tarikan_Warkah[Jenis Permohonan]),"")</f>
        <v>BN JUAL BELI</v>
      </c>
      <c r="H3633" s="41" t="s">
        <v>2315</v>
      </c>
      <c r="I3633" s="49" t="s">
        <v>23</v>
      </c>
      <c r="J3633" s="36">
        <f t="shared" si="20"/>
        <v>45903.65416</v>
      </c>
      <c r="K3633" s="49" t="s">
        <v>2378</v>
      </c>
      <c r="L3633" s="49" t="s">
        <v>23</v>
      </c>
      <c r="M3633" s="36">
        <f t="shared" si="33"/>
        <v>45904.58159</v>
      </c>
      <c r="N3633" s="30" t="str">
        <f t="shared" si="34"/>
        <v>Selesai</v>
      </c>
      <c r="O3633" s="45">
        <f t="shared" si="23"/>
        <v>45904.58159</v>
      </c>
      <c r="P3633" s="47" t="b">
        <v>0</v>
      </c>
      <c r="Q3633" s="36" t="str">
        <f t="shared" si="35"/>
        <v/>
      </c>
      <c r="R3633" s="47" t="b">
        <v>0</v>
      </c>
      <c r="S3633" s="42" t="str">
        <f t="shared" si="28"/>
        <v/>
      </c>
      <c r="T3633" s="42"/>
    </row>
    <row r="3634" ht="22.5" customHeight="1">
      <c r="B3634" s="42">
        <f t="shared" si="7"/>
        <v>3628</v>
      </c>
      <c r="C3634" s="31" t="s">
        <v>3685</v>
      </c>
      <c r="D3634" s="34" t="str">
        <f t="array" ref="D3634">IFNA(_xlfn.XLOOKUP(C3634,Table_Tarikan_Warkah[Nomor Sertipikat],Table_Tarikan_Warkah[Nomor Tiket]),"")</f>
        <v>K/32/130825/1</v>
      </c>
      <c r="E3634" s="36" t="str">
        <f t="array" ref="E3634">IFNA(_xlfn.XLOOKUP(D3634,Table_Tarikan_Warkah[Nomor Tiket],Table_Tarikan_Warkah[Tanggal diserahkan kepada Validator]),"")</f>
        <v/>
      </c>
      <c r="F3634" s="36" t="str">
        <f t="array" ref="F3634">IFNA(_xlfn.XLOOKUP(D3634,Table_Tarikan_Warkah[Nomor Tiket],Table_Tarikan_Warkah[Nama Petugas Warkah]),"")</f>
        <v/>
      </c>
      <c r="G3634" s="39" t="str">
        <f t="array" ref="G3634">IFNA(_xlfn.XLOOKUP(D3634,Table_Tarikan_Warkah[Nomor Tiket],Table_Tarikan_Warkah[Jenis Permohonan]),"")</f>
        <v>BN WARIS</v>
      </c>
      <c r="H3634" s="41" t="s">
        <v>2315</v>
      </c>
      <c r="I3634" s="49" t="s">
        <v>23</v>
      </c>
      <c r="J3634" s="36">
        <f t="shared" si="20"/>
        <v>45903.65416</v>
      </c>
      <c r="K3634" s="49" t="s">
        <v>2378</v>
      </c>
      <c r="L3634" s="49" t="s">
        <v>23</v>
      </c>
      <c r="M3634" s="36">
        <f t="shared" si="33"/>
        <v>45904.5799</v>
      </c>
      <c r="N3634" s="30" t="str">
        <f t="shared" si="34"/>
        <v>Selesai</v>
      </c>
      <c r="O3634" s="45">
        <f t="shared" si="23"/>
        <v>45904.5799</v>
      </c>
      <c r="P3634" s="47" t="b">
        <v>0</v>
      </c>
      <c r="Q3634" s="36" t="str">
        <f t="shared" si="35"/>
        <v/>
      </c>
      <c r="R3634" s="47" t="b">
        <v>0</v>
      </c>
      <c r="S3634" s="42" t="str">
        <f t="shared" si="28"/>
        <v/>
      </c>
      <c r="T3634" s="42"/>
    </row>
    <row r="3635" ht="22.5" customHeight="1">
      <c r="B3635" s="42">
        <f t="shared" si="7"/>
        <v>3629</v>
      </c>
      <c r="C3635" s="31" t="s">
        <v>3686</v>
      </c>
      <c r="D3635" s="34" t="str">
        <f t="array" ref="D3635">IFNA(_xlfn.XLOOKUP(C3635,Table_Tarikan_Warkah[Nomor Sertipikat],Table_Tarikan_Warkah[Nomor Tiket]),"")</f>
        <v>K/18/140825/1</v>
      </c>
      <c r="E3635" s="36" t="str">
        <f t="array" ref="E3635">IFNA(_xlfn.XLOOKUP(D3635,Table_Tarikan_Warkah[Nomor Tiket],Table_Tarikan_Warkah[Tanggal diserahkan kepada Validator]),"")</f>
        <v/>
      </c>
      <c r="F3635" s="36" t="str">
        <f t="array" ref="F3635">IFNA(_xlfn.XLOOKUP(D3635,Table_Tarikan_Warkah[Nomor Tiket],Table_Tarikan_Warkah[Nama Petugas Warkah]),"")</f>
        <v/>
      </c>
      <c r="G3635" s="39" t="str">
        <f t="array" ref="G3635">IFNA(_xlfn.XLOOKUP(D3635,Table_Tarikan_Warkah[Nomor Tiket],Table_Tarikan_Warkah[Jenis Permohonan]),"")</f>
        <v>ROYA</v>
      </c>
      <c r="H3635" s="41" t="s">
        <v>2315</v>
      </c>
      <c r="I3635" s="49" t="s">
        <v>23</v>
      </c>
      <c r="J3635" s="36">
        <f t="shared" si="20"/>
        <v>45903.65416</v>
      </c>
      <c r="K3635" s="49" t="s">
        <v>2378</v>
      </c>
      <c r="L3635" s="49" t="s">
        <v>23</v>
      </c>
      <c r="M3635" s="36">
        <f t="shared" si="33"/>
        <v>45904.58147</v>
      </c>
      <c r="N3635" s="30" t="str">
        <f t="shared" si="34"/>
        <v>Selesai</v>
      </c>
      <c r="O3635" s="45">
        <f t="shared" si="23"/>
        <v>45904.58147</v>
      </c>
      <c r="P3635" s="47" t="b">
        <v>0</v>
      </c>
      <c r="Q3635" s="36" t="str">
        <f t="shared" si="35"/>
        <v/>
      </c>
      <c r="R3635" s="47" t="b">
        <v>0</v>
      </c>
      <c r="S3635" s="42" t="str">
        <f t="shared" si="28"/>
        <v/>
      </c>
      <c r="T3635" s="42"/>
    </row>
    <row r="3636" ht="22.5" customHeight="1">
      <c r="B3636" s="42">
        <f t="shared" si="7"/>
        <v>3630</v>
      </c>
      <c r="C3636" s="31" t="s">
        <v>3687</v>
      </c>
      <c r="D3636" s="34" t="str">
        <f t="array" ref="D3636">IFNA(_xlfn.XLOOKUP(C3636,Table_Tarikan_Warkah[Nomor Sertipikat],Table_Tarikan_Warkah[Nomor Tiket]),"")</f>
        <v>K/32/200825/1</v>
      </c>
      <c r="E3636" s="36">
        <f t="array" ref="E3636">IFNA(_xlfn.XLOOKUP(D3636,Table_Tarikan_Warkah[Nomor Tiket],Table_Tarikan_Warkah[Tanggal diserahkan kepada Validator]),"")</f>
        <v>45908.66963</v>
      </c>
      <c r="F3636" s="36" t="str">
        <f t="array" ref="F3636">IFNA(_xlfn.XLOOKUP(D3636,Table_Tarikan_Warkah[Nomor Tiket],Table_Tarikan_Warkah[Nama Petugas Warkah]),"")</f>
        <v>Berry</v>
      </c>
      <c r="G3636" s="39" t="str">
        <f t="array" ref="G3636">IFNA(_xlfn.XLOOKUP(D3636,Table_Tarikan_Warkah[Nomor Tiket],Table_Tarikan_Warkah[Jenis Permohonan]),"")</f>
        <v>BN JUAL BELI</v>
      </c>
      <c r="H3636" s="41" t="s">
        <v>2315</v>
      </c>
      <c r="I3636" s="49" t="s">
        <v>23</v>
      </c>
      <c r="J3636" s="36">
        <f t="shared" si="20"/>
        <v>45903.65416</v>
      </c>
      <c r="K3636" s="49" t="s">
        <v>2378</v>
      </c>
      <c r="L3636" s="49" t="s">
        <v>23</v>
      </c>
      <c r="M3636" s="36">
        <f t="shared" si="33"/>
        <v>45904.57843</v>
      </c>
      <c r="N3636" s="30" t="str">
        <f t="shared" si="34"/>
        <v>Selesai</v>
      </c>
      <c r="O3636" s="45">
        <f t="shared" si="23"/>
        <v>45904.57843</v>
      </c>
      <c r="P3636" s="47" t="b">
        <v>0</v>
      </c>
      <c r="Q3636" s="36" t="str">
        <f t="shared" si="35"/>
        <v/>
      </c>
      <c r="R3636" s="47" t="b">
        <v>0</v>
      </c>
      <c r="S3636" s="42" t="str">
        <f t="shared" si="28"/>
        <v/>
      </c>
      <c r="T3636" s="42"/>
    </row>
    <row r="3637" ht="22.5" customHeight="1">
      <c r="B3637" s="42">
        <f t="shared" si="7"/>
        <v>3631</v>
      </c>
      <c r="C3637" s="31" t="s">
        <v>3688</v>
      </c>
      <c r="D3637" s="34" t="str">
        <f t="array" ref="D3637">IFNA(_xlfn.XLOOKUP(C3637,Table_Tarikan_Warkah[Nomor Sertipikat],Table_Tarikan_Warkah[Nomor Tiket]),"")</f>
        <v/>
      </c>
      <c r="E3637" s="36" t="str">
        <f t="array" ref="E3637">IFNA(_xlfn.XLOOKUP(D3637,Table_Tarikan_Warkah[Nomor Tiket],Table_Tarikan_Warkah[Tanggal diserahkan kepada Validator]),"")</f>
        <v/>
      </c>
      <c r="F3637" s="36" t="str">
        <f t="array" ref="F3637">IFNA(_xlfn.XLOOKUP(D3637,Table_Tarikan_Warkah[Nomor Tiket],Table_Tarikan_Warkah[Nama Petugas Warkah]),"")</f>
        <v/>
      </c>
      <c r="G3637" s="39" t="str">
        <f t="array" ref="G3637">IFNA(_xlfn.XLOOKUP(D3637,Table_Tarikan_Warkah[Nomor Tiket],Table_Tarikan_Warkah[Jenis Permohonan]),"")</f>
        <v/>
      </c>
      <c r="H3637" s="41" t="s">
        <v>2315</v>
      </c>
      <c r="I3637" s="49" t="s">
        <v>23</v>
      </c>
      <c r="J3637" s="36">
        <f t="shared" si="20"/>
        <v>45903.65416</v>
      </c>
      <c r="K3637" s="49" t="s">
        <v>2378</v>
      </c>
      <c r="L3637" s="49" t="s">
        <v>23</v>
      </c>
      <c r="M3637" s="36">
        <f t="shared" si="33"/>
        <v>45904.57862</v>
      </c>
      <c r="N3637" s="30" t="str">
        <f t="shared" si="34"/>
        <v/>
      </c>
      <c r="O3637" s="39" t="str">
        <f t="shared" si="23"/>
        <v/>
      </c>
      <c r="P3637" s="47" t="b">
        <v>0</v>
      </c>
      <c r="Q3637" s="36" t="str">
        <f t="shared" si="35"/>
        <v/>
      </c>
      <c r="R3637" s="47" t="b">
        <v>0</v>
      </c>
      <c r="S3637" s="42" t="str">
        <f t="shared" si="28"/>
        <v/>
      </c>
      <c r="T3637" s="42"/>
    </row>
    <row r="3638" ht="22.5" customHeight="1">
      <c r="B3638" s="42">
        <f t="shared" si="7"/>
        <v>3632</v>
      </c>
      <c r="C3638" s="31" t="s">
        <v>3689</v>
      </c>
      <c r="D3638" s="34" t="str">
        <f t="array" ref="D3638">IFNA(_xlfn.XLOOKUP(C3638,Table_Tarikan_Warkah[Nomor Sertipikat],Table_Tarikan_Warkah[Nomor Tiket]),"")</f>
        <v>K/14/250825/1</v>
      </c>
      <c r="E3638" s="36">
        <f t="array" ref="E3638">IFNA(_xlfn.XLOOKUP(D3638,Table_Tarikan_Warkah[Nomor Tiket],Table_Tarikan_Warkah[Tanggal diserahkan kepada Validator]),"")</f>
        <v>45926.54696</v>
      </c>
      <c r="F3638" s="36" t="str">
        <f t="array" ref="F3638">IFNA(_xlfn.XLOOKUP(D3638,Table_Tarikan_Warkah[Nomor Tiket],Table_Tarikan_Warkah[Nama Petugas Warkah]),"")</f>
        <v>Berry</v>
      </c>
      <c r="G3638" s="39" t="str">
        <f t="array" ref="G3638">IFNA(_xlfn.XLOOKUP(D3638,Table_Tarikan_Warkah[Nomor Tiket],Table_Tarikan_Warkah[Jenis Permohonan]),"")</f>
        <v>BN WARIS</v>
      </c>
      <c r="H3638" s="41" t="s">
        <v>2315</v>
      </c>
      <c r="I3638" s="49" t="s">
        <v>23</v>
      </c>
      <c r="J3638" s="36">
        <f t="shared" si="20"/>
        <v>45903.65421</v>
      </c>
      <c r="K3638" s="49" t="s">
        <v>2378</v>
      </c>
      <c r="L3638" s="49" t="s">
        <v>23</v>
      </c>
      <c r="M3638" s="36">
        <f t="shared" si="33"/>
        <v>45904.57873</v>
      </c>
      <c r="N3638" s="30" t="str">
        <f t="shared" si="34"/>
        <v>Selesai</v>
      </c>
      <c r="O3638" s="45">
        <f t="shared" si="23"/>
        <v>45904.57873</v>
      </c>
      <c r="P3638" s="47" t="b">
        <v>0</v>
      </c>
      <c r="Q3638" s="36" t="str">
        <f t="shared" si="35"/>
        <v/>
      </c>
      <c r="R3638" s="47" t="b">
        <v>0</v>
      </c>
      <c r="S3638" s="42" t="str">
        <f t="shared" si="28"/>
        <v/>
      </c>
      <c r="T3638" s="42"/>
    </row>
    <row r="3639" ht="22.5" customHeight="1">
      <c r="B3639" s="42">
        <f t="shared" si="7"/>
        <v>3633</v>
      </c>
      <c r="C3639" s="31" t="s">
        <v>3690</v>
      </c>
      <c r="D3639" s="34" t="str">
        <f t="array" ref="D3639">IFNA(_xlfn.XLOOKUP(C3639,Table_Tarikan_Warkah[Nomor Sertipikat],Table_Tarikan_Warkah[Nomor Tiket]),"")</f>
        <v>K/27/140825/3</v>
      </c>
      <c r="E3639" s="36">
        <f t="array" ref="E3639">IFNA(_xlfn.XLOOKUP(D3639,Table_Tarikan_Warkah[Nomor Tiket],Table_Tarikan_Warkah[Tanggal diserahkan kepada Validator]),"")</f>
        <v>45908.63146</v>
      </c>
      <c r="F3639" s="36" t="str">
        <f t="array" ref="F3639">IFNA(_xlfn.XLOOKUP(D3639,Table_Tarikan_Warkah[Nomor Tiket],Table_Tarikan_Warkah[Nama Petugas Warkah]),"")</f>
        <v>Berry</v>
      </c>
      <c r="G3639" s="39" t="str">
        <f t="array" ref="G3639">IFNA(_xlfn.XLOOKUP(D3639,Table_Tarikan_Warkah[Nomor Tiket],Table_Tarikan_Warkah[Jenis Permohonan]),"")</f>
        <v>Roya</v>
      </c>
      <c r="H3639" s="41" t="s">
        <v>2315</v>
      </c>
      <c r="I3639" s="49" t="s">
        <v>23</v>
      </c>
      <c r="J3639" s="36">
        <f t="shared" si="20"/>
        <v>45903.65438</v>
      </c>
      <c r="K3639" s="49" t="s">
        <v>2378</v>
      </c>
      <c r="L3639" s="49" t="s">
        <v>23</v>
      </c>
      <c r="M3639" s="36">
        <f t="shared" si="33"/>
        <v>45904.58121</v>
      </c>
      <c r="N3639" s="30" t="str">
        <f t="shared" si="34"/>
        <v>Selesai</v>
      </c>
      <c r="O3639" s="45">
        <f t="shared" si="23"/>
        <v>45904.58121</v>
      </c>
      <c r="P3639" s="47" t="b">
        <v>0</v>
      </c>
      <c r="Q3639" s="36" t="str">
        <f t="shared" si="35"/>
        <v/>
      </c>
      <c r="R3639" s="47" t="b">
        <v>0</v>
      </c>
      <c r="S3639" s="42" t="str">
        <f t="shared" si="28"/>
        <v/>
      </c>
      <c r="T3639" s="42"/>
    </row>
    <row r="3640" ht="22.5" customHeight="1">
      <c r="B3640" s="42">
        <f t="shared" si="7"/>
        <v>3634</v>
      </c>
      <c r="C3640" s="31" t="s">
        <v>3691</v>
      </c>
      <c r="D3640" s="34" t="str">
        <f t="array" ref="D3640">IFNA(_xlfn.XLOOKUP(C3640,Table_Tarikan_Warkah[Nomor Sertipikat],Table_Tarikan_Warkah[Nomor Tiket]),"")</f>
        <v>K/31/110825/1</v>
      </c>
      <c r="E3640" s="36">
        <f t="array" ref="E3640">IFNA(_xlfn.XLOOKUP(D3640,Table_Tarikan_Warkah[Nomor Tiket],Table_Tarikan_Warkah[Tanggal diserahkan kepada Validator]),"")</f>
        <v>45908.63327</v>
      </c>
      <c r="F3640" s="36" t="str">
        <f t="array" ref="F3640">IFNA(_xlfn.XLOOKUP(D3640,Table_Tarikan_Warkah[Nomor Tiket],Table_Tarikan_Warkah[Nama Petugas Warkah]),"")</f>
        <v>Berry</v>
      </c>
      <c r="G3640" s="39" t="str">
        <f t="array" ref="G3640">IFNA(_xlfn.XLOOKUP(D3640,Table_Tarikan_Warkah[Nomor Tiket],Table_Tarikan_Warkah[Jenis Permohonan]),"")</f>
        <v>Perubahan Hak</v>
      </c>
      <c r="H3640" s="41" t="s">
        <v>2315</v>
      </c>
      <c r="I3640" s="49" t="s">
        <v>23</v>
      </c>
      <c r="J3640" s="36">
        <f t="shared" si="20"/>
        <v>45903.65453</v>
      </c>
      <c r="K3640" s="49" t="s">
        <v>2378</v>
      </c>
      <c r="L3640" s="49" t="s">
        <v>23</v>
      </c>
      <c r="M3640" s="36">
        <f t="shared" si="33"/>
        <v>45904.57888</v>
      </c>
      <c r="N3640" s="30" t="str">
        <f t="shared" si="34"/>
        <v>Selesai</v>
      </c>
      <c r="O3640" s="45">
        <f t="shared" si="23"/>
        <v>45904.57888</v>
      </c>
      <c r="P3640" s="47" t="b">
        <v>0</v>
      </c>
      <c r="Q3640" s="36" t="str">
        <f t="shared" si="35"/>
        <v/>
      </c>
      <c r="R3640" s="47" t="b">
        <v>0</v>
      </c>
      <c r="S3640" s="42" t="str">
        <f t="shared" si="28"/>
        <v/>
      </c>
      <c r="T3640" s="42"/>
    </row>
    <row r="3641" ht="22.5" customHeight="1">
      <c r="B3641" s="42">
        <f t="shared" si="7"/>
        <v>3635</v>
      </c>
      <c r="C3641" s="31" t="s">
        <v>3692</v>
      </c>
      <c r="D3641" s="34" t="str">
        <f t="array" ref="D3641">IFNA(_xlfn.XLOOKUP(C3641,Table_Tarikan_Warkah[Nomor Sertipikat],Table_Tarikan_Warkah[Nomor Tiket]),"")</f>
        <v>K/22/110825/3</v>
      </c>
      <c r="E3641" s="36" t="str">
        <f t="array" ref="E3641">IFNA(_xlfn.XLOOKUP(D3641,Table_Tarikan_Warkah[Nomor Tiket],Table_Tarikan_Warkah[Tanggal diserahkan kepada Validator]),"")</f>
        <v/>
      </c>
      <c r="F3641" s="36" t="str">
        <f t="array" ref="F3641">IFNA(_xlfn.XLOOKUP(D3641,Table_Tarikan_Warkah[Nomor Tiket],Table_Tarikan_Warkah[Nama Petugas Warkah]),"")</f>
        <v/>
      </c>
      <c r="G3641" s="39" t="str">
        <f t="array" ref="G3641">IFNA(_xlfn.XLOOKUP(D3641,Table_Tarikan_Warkah[Nomor Tiket],Table_Tarikan_Warkah[Jenis Permohonan]),"")</f>
        <v>BN Pewarisan</v>
      </c>
      <c r="H3641" s="41" t="s">
        <v>2315</v>
      </c>
      <c r="I3641" s="49" t="s">
        <v>23</v>
      </c>
      <c r="J3641" s="36">
        <f t="shared" si="20"/>
        <v>45903.65463</v>
      </c>
      <c r="K3641" s="49" t="s">
        <v>2378</v>
      </c>
      <c r="L3641" s="49" t="s">
        <v>23</v>
      </c>
      <c r="M3641" s="36">
        <f t="shared" si="33"/>
        <v>45904.57898</v>
      </c>
      <c r="N3641" s="30" t="str">
        <f t="shared" si="34"/>
        <v>Selesai</v>
      </c>
      <c r="O3641" s="45">
        <f t="shared" si="23"/>
        <v>45904.57898</v>
      </c>
      <c r="P3641" s="47" t="b">
        <v>0</v>
      </c>
      <c r="Q3641" s="36" t="str">
        <f t="shared" si="35"/>
        <v/>
      </c>
      <c r="R3641" s="47" t="b">
        <v>0</v>
      </c>
      <c r="S3641" s="42" t="str">
        <f t="shared" si="28"/>
        <v/>
      </c>
      <c r="T3641" s="42"/>
    </row>
    <row r="3642" ht="22.5" customHeight="1">
      <c r="B3642" s="42">
        <f t="shared" si="7"/>
        <v>3636</v>
      </c>
      <c r="C3642" s="31" t="s">
        <v>3693</v>
      </c>
      <c r="D3642" s="34" t="str">
        <f t="array" ref="D3642">IFNA(_xlfn.XLOOKUP(C3642,Table_Tarikan_Warkah[Nomor Sertipikat],Table_Tarikan_Warkah[Nomor Tiket]),"")</f>
        <v>K/21/070826/1</v>
      </c>
      <c r="E3642" s="36">
        <f t="array" ref="E3642">IFNA(_xlfn.XLOOKUP(D3642,Table_Tarikan_Warkah[Nomor Tiket],Table_Tarikan_Warkah[Tanggal diserahkan kepada Validator]),"")</f>
        <v>45908.62801</v>
      </c>
      <c r="F3642" s="36" t="str">
        <f t="array" ref="F3642">IFNA(_xlfn.XLOOKUP(D3642,Table_Tarikan_Warkah[Nomor Tiket],Table_Tarikan_Warkah[Nama Petugas Warkah]),"")</f>
        <v>David</v>
      </c>
      <c r="G3642" s="39" t="str">
        <f t="array" ref="G3642">IFNA(_xlfn.XLOOKUP(D3642,Table_Tarikan_Warkah[Nomor Tiket],Table_Tarikan_Warkah[Jenis Permohonan]),"")</f>
        <v>BN Waris</v>
      </c>
      <c r="H3642" s="41" t="s">
        <v>2315</v>
      </c>
      <c r="I3642" s="49" t="s">
        <v>23</v>
      </c>
      <c r="J3642" s="36">
        <f t="shared" si="20"/>
        <v>45903.65477</v>
      </c>
      <c r="K3642" s="49" t="s">
        <v>2378</v>
      </c>
      <c r="L3642" s="49" t="s">
        <v>23</v>
      </c>
      <c r="M3642" s="36">
        <f t="shared" si="33"/>
        <v>45904.57917</v>
      </c>
      <c r="N3642" s="30" t="str">
        <f t="shared" si="34"/>
        <v>Selesai</v>
      </c>
      <c r="O3642" s="45">
        <f t="shared" si="23"/>
        <v>45904.57917</v>
      </c>
      <c r="P3642" s="47" t="b">
        <v>0</v>
      </c>
      <c r="Q3642" s="36" t="str">
        <f t="shared" si="35"/>
        <v/>
      </c>
      <c r="R3642" s="47" t="b">
        <v>0</v>
      </c>
      <c r="S3642" s="42" t="str">
        <f t="shared" si="28"/>
        <v/>
      </c>
      <c r="T3642" s="42"/>
    </row>
    <row r="3643" ht="22.5" customHeight="1">
      <c r="B3643" s="42">
        <f t="shared" si="7"/>
        <v>3637</v>
      </c>
      <c r="C3643" s="31" t="s">
        <v>3694</v>
      </c>
      <c r="D3643" s="34" t="str">
        <f t="array" ref="D3643">IFNA(_xlfn.XLOOKUP(C3643,Table_Tarikan_Warkah[Nomor Sertipikat],Table_Tarikan_Warkah[Nomor Tiket]),"")</f>
        <v>L/3/130825/1</v>
      </c>
      <c r="E3643" s="36" t="str">
        <f t="array" ref="E3643">IFNA(_xlfn.XLOOKUP(D3643,Table_Tarikan_Warkah[Nomor Tiket],Table_Tarikan_Warkah[Tanggal diserahkan kepada Validator]),"")</f>
        <v/>
      </c>
      <c r="F3643" s="36" t="str">
        <f t="array" ref="F3643">IFNA(_xlfn.XLOOKUP(D3643,Table_Tarikan_Warkah[Nomor Tiket],Table_Tarikan_Warkah[Nama Petugas Warkah]),"")</f>
        <v/>
      </c>
      <c r="G3643" s="39" t="str">
        <f t="array" ref="G3643">IFNA(_xlfn.XLOOKUP(D3643,Table_Tarikan_Warkah[Nomor Tiket],Table_Tarikan_Warkah[Jenis Permohonan]),"")</f>
        <v>ROYA</v>
      </c>
      <c r="H3643" s="41" t="s">
        <v>2315</v>
      </c>
      <c r="I3643" s="49" t="s">
        <v>23</v>
      </c>
      <c r="J3643" s="36">
        <f t="shared" si="20"/>
        <v>45903.65488</v>
      </c>
      <c r="K3643" s="49" t="s">
        <v>2378</v>
      </c>
      <c r="L3643" s="49" t="s">
        <v>23</v>
      </c>
      <c r="M3643" s="36">
        <f t="shared" si="33"/>
        <v>45904.57919</v>
      </c>
      <c r="N3643" s="30" t="str">
        <f t="shared" si="34"/>
        <v>Selesai</v>
      </c>
      <c r="O3643" s="45">
        <f t="shared" si="23"/>
        <v>45904.57919</v>
      </c>
      <c r="P3643" s="47" t="b">
        <v>0</v>
      </c>
      <c r="Q3643" s="36" t="str">
        <f t="shared" si="35"/>
        <v/>
      </c>
      <c r="R3643" s="47" t="b">
        <v>0</v>
      </c>
      <c r="S3643" s="42" t="str">
        <f t="shared" si="28"/>
        <v/>
      </c>
      <c r="T3643" s="42"/>
    </row>
    <row r="3644" ht="22.5" customHeight="1">
      <c r="B3644" s="42">
        <f t="shared" si="7"/>
        <v>3638</v>
      </c>
      <c r="C3644" s="31" t="s">
        <v>3695</v>
      </c>
      <c r="D3644" s="34" t="str">
        <f t="array" ref="D3644">IFNA(_xlfn.XLOOKUP(C3644,Table_Tarikan_Warkah[Nomor Sertipikat],Table_Tarikan_Warkah[Nomor Tiket]),"")</f>
        <v>K/34/140826/1</v>
      </c>
      <c r="E3644" s="36">
        <f t="array" ref="E3644">IFNA(_xlfn.XLOOKUP(D3644,Table_Tarikan_Warkah[Nomor Tiket],Table_Tarikan_Warkah[Tanggal diserahkan kepada Validator]),"")</f>
        <v>45926.58368</v>
      </c>
      <c r="F3644" s="36" t="str">
        <f t="array" ref="F3644">IFNA(_xlfn.XLOOKUP(D3644,Table_Tarikan_Warkah[Nomor Tiket],Table_Tarikan_Warkah[Nama Petugas Warkah]),"")</f>
        <v>David</v>
      </c>
      <c r="G3644" s="39" t="str">
        <f t="array" ref="G3644">IFNA(_xlfn.XLOOKUP(D3644,Table_Tarikan_Warkah[Nomor Tiket],Table_Tarikan_Warkah[Jenis Permohonan]),"")</f>
        <v>BN Waris</v>
      </c>
      <c r="H3644" s="41" t="s">
        <v>2315</v>
      </c>
      <c r="I3644" s="49" t="s">
        <v>23</v>
      </c>
      <c r="J3644" s="36">
        <f t="shared" si="20"/>
        <v>45903.65501</v>
      </c>
      <c r="K3644" s="49" t="s">
        <v>2378</v>
      </c>
      <c r="L3644" s="49" t="s">
        <v>23</v>
      </c>
      <c r="M3644" s="36">
        <f t="shared" si="33"/>
        <v>45904.57929</v>
      </c>
      <c r="N3644" s="30" t="str">
        <f t="shared" si="34"/>
        <v>Selesai</v>
      </c>
      <c r="O3644" s="45">
        <f t="shared" si="23"/>
        <v>45904.57929</v>
      </c>
      <c r="P3644" s="47" t="b">
        <v>0</v>
      </c>
      <c r="Q3644" s="36" t="str">
        <f t="shared" si="35"/>
        <v/>
      </c>
      <c r="R3644" s="47" t="b">
        <v>0</v>
      </c>
      <c r="S3644" s="42" t="str">
        <f t="shared" si="28"/>
        <v/>
      </c>
      <c r="T3644" s="42"/>
    </row>
    <row r="3645" ht="22.5" customHeight="1">
      <c r="B3645" s="42">
        <f t="shared" si="7"/>
        <v>3639</v>
      </c>
      <c r="C3645" s="31" t="s">
        <v>3696</v>
      </c>
      <c r="D3645" s="34" t="str">
        <f t="array" ref="D3645">IFNA(_xlfn.XLOOKUP(C3645,Table_Tarikan_Warkah[Nomor Sertipikat],Table_Tarikan_Warkah[Nomor Tiket]),"")</f>
        <v>K/36/250725/1</v>
      </c>
      <c r="E3645" s="36">
        <f t="array" ref="E3645">IFNA(_xlfn.XLOOKUP(D3645,Table_Tarikan_Warkah[Nomor Tiket],Table_Tarikan_Warkah[Tanggal diserahkan kepada Validator]),"")</f>
        <v>45908.63351</v>
      </c>
      <c r="F3645" s="36" t="str">
        <f t="array" ref="F3645">IFNA(_xlfn.XLOOKUP(D3645,Table_Tarikan_Warkah[Nomor Tiket],Table_Tarikan_Warkah[Nama Petugas Warkah]),"")</f>
        <v>Berry</v>
      </c>
      <c r="G3645" s="39" t="str">
        <f t="array" ref="G3645">IFNA(_xlfn.XLOOKUP(D3645,Table_Tarikan_Warkah[Nomor Tiket],Table_Tarikan_Warkah[Jenis Permohonan]),"")</f>
        <v>BN JUAL BELI</v>
      </c>
      <c r="H3645" s="41" t="s">
        <v>2315</v>
      </c>
      <c r="I3645" s="49" t="s">
        <v>23</v>
      </c>
      <c r="J3645" s="36">
        <f t="shared" si="20"/>
        <v>45903.65514</v>
      </c>
      <c r="K3645" s="49" t="s">
        <v>2378</v>
      </c>
      <c r="L3645" s="49" t="s">
        <v>23</v>
      </c>
      <c r="M3645" s="36">
        <f t="shared" si="33"/>
        <v>45904.58006</v>
      </c>
      <c r="N3645" s="30" t="str">
        <f t="shared" si="34"/>
        <v>Selesai</v>
      </c>
      <c r="O3645" s="45">
        <f t="shared" si="23"/>
        <v>45904.58006</v>
      </c>
      <c r="P3645" s="47" t="b">
        <v>0</v>
      </c>
      <c r="Q3645" s="36" t="str">
        <f t="shared" si="35"/>
        <v/>
      </c>
      <c r="R3645" s="47" t="b">
        <v>0</v>
      </c>
      <c r="S3645" s="42" t="str">
        <f t="shared" si="28"/>
        <v/>
      </c>
      <c r="T3645" s="42"/>
    </row>
    <row r="3646" ht="22.5" customHeight="1">
      <c r="B3646" s="42">
        <f t="shared" si="7"/>
        <v>3640</v>
      </c>
      <c r="C3646" s="31" t="s">
        <v>3697</v>
      </c>
      <c r="D3646" s="34" t="str">
        <f t="array" ref="D3646">IFNA(_xlfn.XLOOKUP(C3646,Table_Tarikan_Warkah[Nomor Sertipikat],Table_Tarikan_Warkah[Nomor Tiket]),"")</f>
        <v>K/27/040825/2</v>
      </c>
      <c r="E3646" s="36" t="str">
        <f t="array" ref="E3646">IFNA(_xlfn.XLOOKUP(D3646,Table_Tarikan_Warkah[Nomor Tiket],Table_Tarikan_Warkah[Tanggal diserahkan kepada Validator]),"")</f>
        <v/>
      </c>
      <c r="F3646" s="36" t="str">
        <f t="array" ref="F3646">IFNA(_xlfn.XLOOKUP(D3646,Table_Tarikan_Warkah[Nomor Tiket],Table_Tarikan_Warkah[Nama Petugas Warkah]),"")</f>
        <v/>
      </c>
      <c r="G3646" s="39" t="str">
        <f t="array" ref="G3646">IFNA(_xlfn.XLOOKUP(D3646,Table_Tarikan_Warkah[Nomor Tiket],Table_Tarikan_Warkah[Jenis Permohonan]),"")</f>
        <v>BN JUAL BELI</v>
      </c>
      <c r="H3646" s="41" t="s">
        <v>2315</v>
      </c>
      <c r="I3646" s="49" t="s">
        <v>23</v>
      </c>
      <c r="J3646" s="36">
        <f t="shared" si="20"/>
        <v>45903.65527</v>
      </c>
      <c r="K3646" s="49" t="s">
        <v>2378</v>
      </c>
      <c r="L3646" s="49" t="s">
        <v>23</v>
      </c>
      <c r="M3646" s="36">
        <f t="shared" si="33"/>
        <v>45904.58106</v>
      </c>
      <c r="N3646" s="30" t="str">
        <f t="shared" si="34"/>
        <v>Selesai</v>
      </c>
      <c r="O3646" s="45">
        <f t="shared" si="23"/>
        <v>45904.58106</v>
      </c>
      <c r="P3646" s="47" t="b">
        <v>0</v>
      </c>
      <c r="Q3646" s="36" t="str">
        <f t="shared" si="35"/>
        <v/>
      </c>
      <c r="R3646" s="47" t="b">
        <v>0</v>
      </c>
      <c r="S3646" s="42" t="str">
        <f t="shared" si="28"/>
        <v/>
      </c>
      <c r="T3646" s="42"/>
    </row>
    <row r="3647" ht="22.5" customHeight="1">
      <c r="B3647" s="42">
        <f t="shared" si="7"/>
        <v>3641</v>
      </c>
      <c r="C3647" s="31" t="s">
        <v>3698</v>
      </c>
      <c r="D3647" s="34" t="str">
        <f t="array" ref="D3647">IFNA(_xlfn.XLOOKUP(C3647,Table_Tarikan_Warkah[Nomor Sertipikat],Table_Tarikan_Warkah[Nomor Tiket]),"")</f>
        <v>K/32/240726/1</v>
      </c>
      <c r="E3647" s="36">
        <f t="array" ref="E3647">IFNA(_xlfn.XLOOKUP(D3647,Table_Tarikan_Warkah[Nomor Tiket],Table_Tarikan_Warkah[Tanggal diserahkan kepada Validator]),"")</f>
        <v>45908.63415</v>
      </c>
      <c r="F3647" s="36" t="str">
        <f t="array" ref="F3647">IFNA(_xlfn.XLOOKUP(D3647,Table_Tarikan_Warkah[Nomor Tiket],Table_Tarikan_Warkah[Nama Petugas Warkah]),"")</f>
        <v>Berry</v>
      </c>
      <c r="G3647" s="39" t="str">
        <f t="array" ref="G3647">IFNA(_xlfn.XLOOKUP(D3647,Table_Tarikan_Warkah[Nomor Tiket],Table_Tarikan_Warkah[Jenis Permohonan]),"")</f>
        <v>BN Jual Beli</v>
      </c>
      <c r="H3647" s="41" t="s">
        <v>2315</v>
      </c>
      <c r="I3647" s="49" t="s">
        <v>23</v>
      </c>
      <c r="J3647" s="36">
        <f t="shared" si="20"/>
        <v>45903.65543</v>
      </c>
      <c r="K3647" s="49" t="s">
        <v>2378</v>
      </c>
      <c r="L3647" s="49" t="s">
        <v>23</v>
      </c>
      <c r="M3647" s="36">
        <f t="shared" si="33"/>
        <v>45904.57941</v>
      </c>
      <c r="N3647" s="30" t="str">
        <f t="shared" si="34"/>
        <v>Selesai</v>
      </c>
      <c r="O3647" s="45">
        <f t="shared" si="23"/>
        <v>45904.57941</v>
      </c>
      <c r="P3647" s="47" t="b">
        <v>0</v>
      </c>
      <c r="Q3647" s="36" t="str">
        <f t="shared" si="35"/>
        <v/>
      </c>
      <c r="R3647" s="47" t="b">
        <v>0</v>
      </c>
      <c r="S3647" s="42" t="str">
        <f t="shared" si="28"/>
        <v/>
      </c>
      <c r="T3647" s="42"/>
    </row>
    <row r="3648" ht="22.5" customHeight="1">
      <c r="B3648" s="42">
        <f t="shared" si="7"/>
        <v>3642</v>
      </c>
      <c r="C3648" s="31" t="s">
        <v>3699</v>
      </c>
      <c r="D3648" s="34" t="str">
        <f t="array" ref="D3648">IFNA(_xlfn.XLOOKUP(C3648,Table_Tarikan_Warkah[Nomor Sertipikat],Table_Tarikan_Warkah[Nomor Tiket]),"")</f>
        <v>K/29/080825/1</v>
      </c>
      <c r="E3648" s="36" t="str">
        <f t="array" ref="E3648">IFNA(_xlfn.XLOOKUP(D3648,Table_Tarikan_Warkah[Nomor Tiket],Table_Tarikan_Warkah[Tanggal diserahkan kepada Validator]),"")</f>
        <v/>
      </c>
      <c r="F3648" s="36" t="str">
        <f t="array" ref="F3648">IFNA(_xlfn.XLOOKUP(D3648,Table_Tarikan_Warkah[Nomor Tiket],Table_Tarikan_Warkah[Nama Petugas Warkah]),"")</f>
        <v/>
      </c>
      <c r="G3648" s="39" t="str">
        <f t="array" ref="G3648">IFNA(_xlfn.XLOOKUP(D3648,Table_Tarikan_Warkah[Nomor Tiket],Table_Tarikan_Warkah[Jenis Permohonan]),"")</f>
        <v>BN jual Beli</v>
      </c>
      <c r="H3648" s="41" t="s">
        <v>2315</v>
      </c>
      <c r="I3648" s="49" t="s">
        <v>23</v>
      </c>
      <c r="J3648" s="36">
        <f t="shared" si="20"/>
        <v>45903.65561</v>
      </c>
      <c r="K3648" s="49" t="s">
        <v>2378</v>
      </c>
      <c r="L3648" s="49" t="s">
        <v>23</v>
      </c>
      <c r="M3648" s="36">
        <f t="shared" si="33"/>
        <v>45904.5809</v>
      </c>
      <c r="N3648" s="30" t="str">
        <f t="shared" si="34"/>
        <v>Selesai</v>
      </c>
      <c r="O3648" s="45">
        <f t="shared" si="23"/>
        <v>45904.5809</v>
      </c>
      <c r="P3648" s="47" t="b">
        <v>0</v>
      </c>
      <c r="Q3648" s="36" t="str">
        <f t="shared" si="35"/>
        <v/>
      </c>
      <c r="R3648" s="47" t="b">
        <v>0</v>
      </c>
      <c r="S3648" s="42" t="str">
        <f t="shared" si="28"/>
        <v/>
      </c>
      <c r="T3648" s="42"/>
    </row>
    <row r="3649" ht="22.5" customHeight="1">
      <c r="B3649" s="42">
        <f t="shared" si="7"/>
        <v>3643</v>
      </c>
      <c r="C3649" s="31" t="s">
        <v>3700</v>
      </c>
      <c r="D3649" s="34" t="str">
        <f t="array" ref="D3649">IFNA(_xlfn.XLOOKUP(C3649,Table_Tarikan_Warkah[Nomor Sertipikat],Table_Tarikan_Warkah[Nomor Tiket]),"")</f>
        <v>K/31/080525/1</v>
      </c>
      <c r="E3649" s="36" t="str">
        <f t="array" ref="E3649">IFNA(_xlfn.XLOOKUP(D3649,Table_Tarikan_Warkah[Nomor Tiket],Table_Tarikan_Warkah[Tanggal diserahkan kepada Validator]),"")</f>
        <v/>
      </c>
      <c r="F3649" s="36" t="str">
        <f t="array" ref="F3649">IFNA(_xlfn.XLOOKUP(D3649,Table_Tarikan_Warkah[Nomor Tiket],Table_Tarikan_Warkah[Nama Petugas Warkah]),"")</f>
        <v/>
      </c>
      <c r="G3649" s="39" t="str">
        <f t="array" ref="G3649">IFNA(_xlfn.XLOOKUP(D3649,Table_Tarikan_Warkah[Nomor Tiket],Table_Tarikan_Warkah[Jenis Permohonan]),"")</f>
        <v>BN JUAL BELI</v>
      </c>
      <c r="H3649" s="41" t="s">
        <v>2315</v>
      </c>
      <c r="I3649" s="49" t="s">
        <v>23</v>
      </c>
      <c r="J3649" s="36">
        <f t="shared" si="20"/>
        <v>45904.54801</v>
      </c>
      <c r="K3649" s="49" t="s">
        <v>2378</v>
      </c>
      <c r="L3649" s="49" t="s">
        <v>23</v>
      </c>
      <c r="M3649" s="36">
        <f t="shared" si="33"/>
        <v>45908.59108</v>
      </c>
      <c r="N3649" s="30" t="str">
        <f t="shared" si="34"/>
        <v>Selesai</v>
      </c>
      <c r="O3649" s="45">
        <f t="shared" si="23"/>
        <v>45908.59108</v>
      </c>
      <c r="P3649" s="47" t="b">
        <v>0</v>
      </c>
      <c r="Q3649" s="36" t="str">
        <f t="shared" si="35"/>
        <v/>
      </c>
      <c r="R3649" s="47" t="b">
        <v>0</v>
      </c>
      <c r="S3649" s="42" t="str">
        <f t="shared" si="28"/>
        <v/>
      </c>
      <c r="T3649" s="42"/>
    </row>
    <row r="3650" ht="22.5" customHeight="1">
      <c r="B3650" s="42">
        <f t="shared" si="7"/>
        <v>3644</v>
      </c>
      <c r="C3650" s="31" t="s">
        <v>3701</v>
      </c>
      <c r="D3650" s="34" t="str">
        <f t="array" ref="D3650">IFNA(_xlfn.XLOOKUP(C3650,Table_Tarikan_Warkah[Nomor Sertipikat],Table_Tarikan_Warkah[Nomor Tiket]),"")</f>
        <v>K/19/290825/1</v>
      </c>
      <c r="E3650" s="36">
        <f t="array" ref="E3650">IFNA(_xlfn.XLOOKUP(D3650,Table_Tarikan_Warkah[Nomor Tiket],Table_Tarikan_Warkah[Tanggal diserahkan kepada Validator]),"")</f>
        <v>45979.65184</v>
      </c>
      <c r="F3650" s="36" t="str">
        <f t="array" ref="F3650">IFNA(_xlfn.XLOOKUP(D3650,Table_Tarikan_Warkah[Nomor Tiket],Table_Tarikan_Warkah[Nama Petugas Warkah]),"")</f>
        <v>Berry</v>
      </c>
      <c r="G3650" s="39" t="str">
        <f t="array" ref="G3650">IFNA(_xlfn.XLOOKUP(D3650,Table_Tarikan_Warkah[Nomor Tiket],Table_Tarikan_Warkah[Jenis Permohonan]),"")</f>
        <v>ROYA</v>
      </c>
      <c r="H3650" s="41" t="s">
        <v>2315</v>
      </c>
      <c r="I3650" s="49" t="s">
        <v>23</v>
      </c>
      <c r="J3650" s="36">
        <f t="shared" si="20"/>
        <v>45904.54802</v>
      </c>
      <c r="K3650" s="49" t="s">
        <v>2378</v>
      </c>
      <c r="L3650" s="49" t="s">
        <v>23</v>
      </c>
      <c r="M3650" s="36">
        <f t="shared" si="33"/>
        <v>45908.59101</v>
      </c>
      <c r="N3650" s="30" t="str">
        <f t="shared" si="34"/>
        <v>Selesai</v>
      </c>
      <c r="O3650" s="45">
        <f t="shared" si="23"/>
        <v>45908.59101</v>
      </c>
      <c r="P3650" s="47" t="b">
        <v>0</v>
      </c>
      <c r="Q3650" s="36" t="str">
        <f t="shared" si="35"/>
        <v/>
      </c>
      <c r="R3650" s="47" t="b">
        <v>0</v>
      </c>
      <c r="S3650" s="42" t="str">
        <f t="shared" si="28"/>
        <v/>
      </c>
      <c r="T3650" s="42"/>
    </row>
    <row r="3651" ht="22.5" customHeight="1">
      <c r="B3651" s="42">
        <f t="shared" si="7"/>
        <v>3645</v>
      </c>
      <c r="C3651" s="31" t="s">
        <v>3702</v>
      </c>
      <c r="D3651" s="34" t="str">
        <f t="array" ref="D3651">IFNA(_xlfn.XLOOKUP(C3651,Table_Tarikan_Warkah[Nomor Sertipikat],Table_Tarikan_Warkah[Nomor Tiket]),"")</f>
        <v>K/7/270825/1</v>
      </c>
      <c r="E3651" s="36" t="str">
        <f t="array" ref="E3651">IFNA(_xlfn.XLOOKUP(D3651,Table_Tarikan_Warkah[Nomor Tiket],Table_Tarikan_Warkah[Tanggal diserahkan kepada Validator]),"")</f>
        <v/>
      </c>
      <c r="F3651" s="36" t="str">
        <f t="array" ref="F3651">IFNA(_xlfn.XLOOKUP(D3651,Table_Tarikan_Warkah[Nomor Tiket],Table_Tarikan_Warkah[Nama Petugas Warkah]),"")</f>
        <v/>
      </c>
      <c r="G3651" s="39" t="str">
        <f t="array" ref="G3651">IFNA(_xlfn.XLOOKUP(D3651,Table_Tarikan_Warkah[Nomor Tiket],Table_Tarikan_Warkah[Jenis Permohonan]),"")</f>
        <v>ROYA LELANG</v>
      </c>
      <c r="H3651" s="41" t="s">
        <v>2315</v>
      </c>
      <c r="I3651" s="49" t="s">
        <v>23</v>
      </c>
      <c r="J3651" s="36">
        <f t="shared" si="20"/>
        <v>45904.54816</v>
      </c>
      <c r="K3651" s="49" t="s">
        <v>2378</v>
      </c>
      <c r="L3651" s="49" t="s">
        <v>23</v>
      </c>
      <c r="M3651" s="36">
        <f t="shared" si="33"/>
        <v>45908.59094</v>
      </c>
      <c r="N3651" s="30" t="str">
        <f t="shared" si="34"/>
        <v>Selesai</v>
      </c>
      <c r="O3651" s="45">
        <f t="shared" si="23"/>
        <v>45908.59094</v>
      </c>
      <c r="P3651" s="47" t="b">
        <v>0</v>
      </c>
      <c r="Q3651" s="36" t="str">
        <f t="shared" si="35"/>
        <v/>
      </c>
      <c r="R3651" s="47" t="b">
        <v>0</v>
      </c>
      <c r="S3651" s="42" t="str">
        <f t="shared" si="28"/>
        <v/>
      </c>
      <c r="T3651" s="42"/>
    </row>
    <row r="3652" ht="22.5" customHeight="1">
      <c r="B3652" s="42">
        <f t="shared" si="7"/>
        <v>3646</v>
      </c>
      <c r="C3652" s="31" t="s">
        <v>3703</v>
      </c>
      <c r="D3652" s="34" t="str">
        <f t="array" ref="D3652">IFNA(_xlfn.XLOOKUP(C3652,Table_Tarikan_Warkah[Nomor Sertipikat],Table_Tarikan_Warkah[Nomor Tiket]),"")</f>
        <v>K/29/080825/3</v>
      </c>
      <c r="E3652" s="36">
        <f t="array" ref="E3652">IFNA(_xlfn.XLOOKUP(D3652,Table_Tarikan_Warkah[Nomor Tiket],Table_Tarikan_Warkah[Tanggal diserahkan kepada Validator]),"")</f>
        <v>45946.64019</v>
      </c>
      <c r="F3652" s="36" t="str">
        <f t="array" ref="F3652">IFNA(_xlfn.XLOOKUP(D3652,Table_Tarikan_Warkah[Nomor Tiket],Table_Tarikan_Warkah[Nama Petugas Warkah]),"")</f>
        <v>David</v>
      </c>
      <c r="G3652" s="39" t="str">
        <f t="array" ref="G3652">IFNA(_xlfn.XLOOKUP(D3652,Table_Tarikan_Warkah[Nomor Tiket],Table_Tarikan_Warkah[Jenis Permohonan]),"")</f>
        <v>WARIS</v>
      </c>
      <c r="H3652" s="41" t="s">
        <v>2315</v>
      </c>
      <c r="I3652" s="49" t="s">
        <v>23</v>
      </c>
      <c r="J3652" s="36">
        <f t="shared" si="20"/>
        <v>45904.5483</v>
      </c>
      <c r="K3652" s="49" t="s">
        <v>2378</v>
      </c>
      <c r="L3652" s="49" t="s">
        <v>23</v>
      </c>
      <c r="M3652" s="36">
        <f t="shared" si="33"/>
        <v>45908.59079</v>
      </c>
      <c r="N3652" s="30" t="str">
        <f t="shared" si="34"/>
        <v>Selesai</v>
      </c>
      <c r="O3652" s="45">
        <f t="shared" si="23"/>
        <v>45908.59079</v>
      </c>
      <c r="P3652" s="47" t="b">
        <v>0</v>
      </c>
      <c r="Q3652" s="36" t="str">
        <f t="shared" si="35"/>
        <v/>
      </c>
      <c r="R3652" s="47" t="b">
        <v>0</v>
      </c>
      <c r="S3652" s="42" t="str">
        <f t="shared" si="28"/>
        <v/>
      </c>
      <c r="T3652" s="42"/>
    </row>
    <row r="3653" ht="22.5" customHeight="1">
      <c r="B3653" s="42">
        <f t="shared" si="7"/>
        <v>3647</v>
      </c>
      <c r="C3653" s="31" t="s">
        <v>3704</v>
      </c>
      <c r="D3653" s="34" t="str">
        <f t="array" ref="D3653">IFNA(_xlfn.XLOOKUP(C3653,Table_Tarikan_Warkah[Nomor Sertipikat],Table_Tarikan_Warkah[Nomor Tiket]),"")</f>
        <v>K/25/120825/1</v>
      </c>
      <c r="E3653" s="36" t="str">
        <f t="array" ref="E3653">IFNA(_xlfn.XLOOKUP(D3653,Table_Tarikan_Warkah[Nomor Tiket],Table_Tarikan_Warkah[Tanggal diserahkan kepada Validator]),"")</f>
        <v/>
      </c>
      <c r="F3653" s="36" t="str">
        <f t="array" ref="F3653">IFNA(_xlfn.XLOOKUP(D3653,Table_Tarikan_Warkah[Nomor Tiket],Table_Tarikan_Warkah[Nama Petugas Warkah]),"")</f>
        <v/>
      </c>
      <c r="G3653" s="39" t="str">
        <f t="array" ref="G3653">IFNA(_xlfn.XLOOKUP(D3653,Table_Tarikan_Warkah[Nomor Tiket],Table_Tarikan_Warkah[Jenis Permohonan]),"")</f>
        <v>BN WARIS</v>
      </c>
      <c r="H3653" s="41" t="s">
        <v>2315</v>
      </c>
      <c r="I3653" s="49" t="s">
        <v>23</v>
      </c>
      <c r="J3653" s="36">
        <f t="shared" si="20"/>
        <v>45904.54846</v>
      </c>
      <c r="K3653" s="49" t="s">
        <v>2378</v>
      </c>
      <c r="L3653" s="49" t="s">
        <v>23</v>
      </c>
      <c r="M3653" s="36">
        <f t="shared" si="33"/>
        <v>45908.5907</v>
      </c>
      <c r="N3653" s="30" t="str">
        <f t="shared" si="34"/>
        <v>Selesai</v>
      </c>
      <c r="O3653" s="45">
        <f t="shared" si="23"/>
        <v>45908.5907</v>
      </c>
      <c r="P3653" s="47" t="b">
        <v>0</v>
      </c>
      <c r="Q3653" s="36" t="str">
        <f t="shared" si="35"/>
        <v/>
      </c>
      <c r="R3653" s="47" t="b">
        <v>0</v>
      </c>
      <c r="S3653" s="42" t="str">
        <f t="shared" si="28"/>
        <v/>
      </c>
      <c r="T3653" s="42"/>
    </row>
    <row r="3654" ht="22.5" customHeight="1">
      <c r="B3654" s="42">
        <f t="shared" si="7"/>
        <v>3648</v>
      </c>
      <c r="C3654" s="31" t="s">
        <v>3705</v>
      </c>
      <c r="D3654" s="34" t="str">
        <f t="array" ref="D3654">IFNA(_xlfn.XLOOKUP(C3654,Table_Tarikan_Warkah[Nomor Sertipikat],Table_Tarikan_Warkah[Nomor Tiket]),"")</f>
        <v>K/16/250825/1</v>
      </c>
      <c r="E3654" s="36" t="str">
        <f t="array" ref="E3654">IFNA(_xlfn.XLOOKUP(D3654,Table_Tarikan_Warkah[Nomor Tiket],Table_Tarikan_Warkah[Tanggal diserahkan kepada Validator]),"")</f>
        <v/>
      </c>
      <c r="F3654" s="36" t="str">
        <f t="array" ref="F3654">IFNA(_xlfn.XLOOKUP(D3654,Table_Tarikan_Warkah[Nomor Tiket],Table_Tarikan_Warkah[Nama Petugas Warkah]),"")</f>
        <v/>
      </c>
      <c r="G3654" s="39" t="str">
        <f t="array" ref="G3654">IFNA(_xlfn.XLOOKUP(D3654,Table_Tarikan_Warkah[Nomor Tiket],Table_Tarikan_Warkah[Jenis Permohonan]),"")</f>
        <v>BN JUAL BELI</v>
      </c>
      <c r="H3654" s="41" t="s">
        <v>2315</v>
      </c>
      <c r="I3654" s="49" t="s">
        <v>23</v>
      </c>
      <c r="J3654" s="36">
        <f t="shared" si="20"/>
        <v>45904.5486</v>
      </c>
      <c r="K3654" s="49" t="s">
        <v>2378</v>
      </c>
      <c r="L3654" s="49" t="s">
        <v>23</v>
      </c>
      <c r="M3654" s="36">
        <f t="shared" si="33"/>
        <v>45908.5905</v>
      </c>
      <c r="N3654" s="30" t="str">
        <f t="shared" si="34"/>
        <v>Selesai</v>
      </c>
      <c r="O3654" s="45">
        <f t="shared" si="23"/>
        <v>45908.5905</v>
      </c>
      <c r="P3654" s="47" t="b">
        <v>0</v>
      </c>
      <c r="Q3654" s="36" t="str">
        <f t="shared" si="35"/>
        <v/>
      </c>
      <c r="R3654" s="47" t="b">
        <v>0</v>
      </c>
      <c r="S3654" s="42" t="str">
        <f t="shared" si="28"/>
        <v/>
      </c>
      <c r="T3654" s="42"/>
    </row>
    <row r="3655" ht="22.5" customHeight="1">
      <c r="B3655" s="42">
        <f t="shared" si="7"/>
        <v>3649</v>
      </c>
      <c r="C3655" s="31" t="s">
        <v>3706</v>
      </c>
      <c r="D3655" s="34" t="str">
        <f t="array" ref="D3655">IFNA(_xlfn.XLOOKUP(C3655,Table_Tarikan_Warkah[Nomor Sertipikat],Table_Tarikan_Warkah[Nomor Tiket]),"")</f>
        <v>K/18/290825/1</v>
      </c>
      <c r="E3655" s="36" t="str">
        <f t="array" ref="E3655">IFNA(_xlfn.XLOOKUP(D3655,Table_Tarikan_Warkah[Nomor Tiket],Table_Tarikan_Warkah[Tanggal diserahkan kepada Validator]),"")</f>
        <v/>
      </c>
      <c r="F3655" s="36" t="str">
        <f t="array" ref="F3655">IFNA(_xlfn.XLOOKUP(D3655,Table_Tarikan_Warkah[Nomor Tiket],Table_Tarikan_Warkah[Nama Petugas Warkah]),"")</f>
        <v/>
      </c>
      <c r="G3655" s="39" t="str">
        <f t="array" ref="G3655">IFNA(_xlfn.XLOOKUP(D3655,Table_Tarikan_Warkah[Nomor Tiket],Table_Tarikan_Warkah[Jenis Permohonan]),"")</f>
        <v>BN JUAL BELI</v>
      </c>
      <c r="H3655" s="41" t="s">
        <v>2315</v>
      </c>
      <c r="I3655" s="49" t="s">
        <v>23</v>
      </c>
      <c r="J3655" s="36">
        <f t="shared" si="20"/>
        <v>45904.54875</v>
      </c>
      <c r="K3655" s="49" t="s">
        <v>2378</v>
      </c>
      <c r="L3655" s="49" t="s">
        <v>23</v>
      </c>
      <c r="M3655" s="36">
        <f t="shared" si="33"/>
        <v>45908.5904</v>
      </c>
      <c r="N3655" s="30" t="str">
        <f t="shared" si="34"/>
        <v>Selesai</v>
      </c>
      <c r="O3655" s="45">
        <f t="shared" si="23"/>
        <v>45908.5904</v>
      </c>
      <c r="P3655" s="47" t="b">
        <v>0</v>
      </c>
      <c r="Q3655" s="36" t="str">
        <f t="shared" si="35"/>
        <v/>
      </c>
      <c r="R3655" s="47" t="b">
        <v>0</v>
      </c>
      <c r="S3655" s="42" t="str">
        <f t="shared" si="28"/>
        <v/>
      </c>
      <c r="T3655" s="42"/>
    </row>
    <row r="3656" ht="22.5" customHeight="1">
      <c r="B3656" s="42">
        <f t="shared" si="7"/>
        <v>3650</v>
      </c>
      <c r="C3656" s="31" t="s">
        <v>3707</v>
      </c>
      <c r="D3656" s="34" t="str">
        <f t="array" ref="D3656">IFNA(_xlfn.XLOOKUP(C3656,Table_Tarikan_Warkah[Nomor Sertipikat],Table_Tarikan_Warkah[Nomor Tiket]),"")</f>
        <v>K/15/160725/1</v>
      </c>
      <c r="E3656" s="36">
        <f t="array" ref="E3656">IFNA(_xlfn.XLOOKUP(D3656,Table_Tarikan_Warkah[Nomor Tiket],Table_Tarikan_Warkah[Tanggal diserahkan kepada Validator]),"")</f>
        <v>45910.59062</v>
      </c>
      <c r="F3656" s="36" t="str">
        <f t="array" ref="F3656">IFNA(_xlfn.XLOOKUP(D3656,Table_Tarikan_Warkah[Nomor Tiket],Table_Tarikan_Warkah[Nama Petugas Warkah]),"")</f>
        <v>Berry</v>
      </c>
      <c r="G3656" s="39" t="str">
        <f t="array" ref="G3656">IFNA(_xlfn.XLOOKUP(D3656,Table_Tarikan_Warkah[Nomor Tiket],Table_Tarikan_Warkah[Jenis Permohonan]),"")</f>
        <v>BN Jual Beli</v>
      </c>
      <c r="H3656" s="41" t="s">
        <v>2315</v>
      </c>
      <c r="I3656" s="49" t="s">
        <v>23</v>
      </c>
      <c r="J3656" s="36">
        <f t="shared" si="20"/>
        <v>45904.54894</v>
      </c>
      <c r="K3656" s="49" t="s">
        <v>2378</v>
      </c>
      <c r="L3656" s="49" t="s">
        <v>23</v>
      </c>
      <c r="M3656" s="36">
        <f t="shared" si="33"/>
        <v>45908.59025</v>
      </c>
      <c r="N3656" s="30" t="str">
        <f t="shared" si="34"/>
        <v>Selesai</v>
      </c>
      <c r="O3656" s="45">
        <f t="shared" si="23"/>
        <v>45908.59025</v>
      </c>
      <c r="P3656" s="47" t="b">
        <v>0</v>
      </c>
      <c r="Q3656" s="36" t="str">
        <f t="shared" si="35"/>
        <v/>
      </c>
      <c r="R3656" s="47" t="b">
        <v>0</v>
      </c>
      <c r="S3656" s="42" t="str">
        <f t="shared" si="28"/>
        <v/>
      </c>
      <c r="T3656" s="42"/>
    </row>
    <row r="3657" ht="22.5" customHeight="1">
      <c r="B3657" s="42">
        <f t="shared" si="7"/>
        <v>3651</v>
      </c>
      <c r="C3657" s="31" t="s">
        <v>3708</v>
      </c>
      <c r="D3657" s="34" t="str">
        <f t="array" ref="D3657">IFNA(_xlfn.XLOOKUP(C3657,Table_Tarikan_Warkah[Nomor Sertipikat],Table_Tarikan_Warkah[Nomor Tiket]),"")</f>
        <v>K/30/290825/5</v>
      </c>
      <c r="E3657" s="36">
        <f t="array" ref="E3657">IFNA(_xlfn.XLOOKUP(D3657,Table_Tarikan_Warkah[Nomor Tiket],Table_Tarikan_Warkah[Tanggal diserahkan kepada Validator]),"")</f>
        <v>45908.63462</v>
      </c>
      <c r="F3657" s="36" t="str">
        <f t="array" ref="F3657">IFNA(_xlfn.XLOOKUP(D3657,Table_Tarikan_Warkah[Nomor Tiket],Table_Tarikan_Warkah[Nama Petugas Warkah]),"")</f>
        <v>Berry</v>
      </c>
      <c r="G3657" s="39" t="str">
        <f t="array" ref="G3657">IFNA(_xlfn.XLOOKUP(D3657,Table_Tarikan_Warkah[Nomor Tiket],Table_Tarikan_Warkah[Jenis Permohonan]),"")</f>
        <v>BN JUAL BELI</v>
      </c>
      <c r="H3657" s="41" t="s">
        <v>2315</v>
      </c>
      <c r="I3657" s="49" t="s">
        <v>23</v>
      </c>
      <c r="J3657" s="36">
        <f t="shared" si="20"/>
        <v>45904.54907</v>
      </c>
      <c r="K3657" s="49" t="s">
        <v>2378</v>
      </c>
      <c r="L3657" s="49" t="s">
        <v>23</v>
      </c>
      <c r="M3657" s="36">
        <f t="shared" si="33"/>
        <v>45908.58985</v>
      </c>
      <c r="N3657" s="30" t="str">
        <f t="shared" si="34"/>
        <v>Selesai</v>
      </c>
      <c r="O3657" s="45">
        <f t="shared" si="23"/>
        <v>45908.58985</v>
      </c>
      <c r="P3657" s="47" t="b">
        <v>0</v>
      </c>
      <c r="Q3657" s="36" t="str">
        <f t="shared" si="35"/>
        <v/>
      </c>
      <c r="R3657" s="47" t="b">
        <v>0</v>
      </c>
      <c r="S3657" s="42" t="str">
        <f t="shared" si="28"/>
        <v/>
      </c>
      <c r="T3657" s="42"/>
    </row>
    <row r="3658" ht="22.5" customHeight="1">
      <c r="B3658" s="42">
        <f t="shared" si="7"/>
        <v>3652</v>
      </c>
      <c r="C3658" s="31" t="s">
        <v>3709</v>
      </c>
      <c r="D3658" s="34" t="str">
        <f t="array" ref="D3658">IFNA(_xlfn.XLOOKUP(C3658,Table_Tarikan_Warkah[Nomor Sertipikat],Table_Tarikan_Warkah[Nomor Tiket]),"")</f>
        <v>K/29/290825/4</v>
      </c>
      <c r="E3658" s="36" t="str">
        <f t="array" ref="E3658">IFNA(_xlfn.XLOOKUP(D3658,Table_Tarikan_Warkah[Nomor Tiket],Table_Tarikan_Warkah[Tanggal diserahkan kepada Validator]),"")</f>
        <v/>
      </c>
      <c r="F3658" s="36" t="str">
        <f t="array" ref="F3658">IFNA(_xlfn.XLOOKUP(D3658,Table_Tarikan_Warkah[Nomor Tiket],Table_Tarikan_Warkah[Nama Petugas Warkah]),"")</f>
        <v/>
      </c>
      <c r="G3658" s="39" t="str">
        <f t="array" ref="G3658">IFNA(_xlfn.XLOOKUP(D3658,Table_Tarikan_Warkah[Nomor Tiket],Table_Tarikan_Warkah[Jenis Permohonan]),"")</f>
        <v>BN JUAL BELI</v>
      </c>
      <c r="H3658" s="41" t="s">
        <v>2315</v>
      </c>
      <c r="I3658" s="49" t="s">
        <v>23</v>
      </c>
      <c r="J3658" s="36">
        <f t="shared" si="20"/>
        <v>45904.54923</v>
      </c>
      <c r="K3658" s="49" t="s">
        <v>2378</v>
      </c>
      <c r="L3658" s="49" t="s">
        <v>23</v>
      </c>
      <c r="M3658" s="36">
        <f t="shared" si="33"/>
        <v>45904.64385</v>
      </c>
      <c r="N3658" s="30" t="str">
        <f t="shared" si="34"/>
        <v>Selesai</v>
      </c>
      <c r="O3658" s="45">
        <f t="shared" si="23"/>
        <v>45904.64385</v>
      </c>
      <c r="P3658" s="47" t="b">
        <v>0</v>
      </c>
      <c r="Q3658" s="36" t="str">
        <f t="shared" si="35"/>
        <v/>
      </c>
      <c r="R3658" s="47" t="b">
        <v>0</v>
      </c>
      <c r="S3658" s="42" t="str">
        <f t="shared" si="28"/>
        <v/>
      </c>
      <c r="T3658" s="42"/>
    </row>
    <row r="3659" ht="22.5" customHeight="1">
      <c r="B3659" s="42">
        <f t="shared" si="7"/>
        <v>3653</v>
      </c>
      <c r="C3659" s="31" t="s">
        <v>3710</v>
      </c>
      <c r="D3659" s="34" t="str">
        <f t="array" ref="D3659">IFNA(_xlfn.XLOOKUP(C3659,Table_Tarikan_Warkah[Nomor Sertipikat],Table_Tarikan_Warkah[Nomor Tiket]),"")</f>
        <v>K/12/290825/1</v>
      </c>
      <c r="E3659" s="36">
        <f t="array" ref="E3659">IFNA(_xlfn.XLOOKUP(D3659,Table_Tarikan_Warkah[Nomor Tiket],Table_Tarikan_Warkah[Tanggal diserahkan kepada Validator]),"")</f>
        <v>45924.68943</v>
      </c>
      <c r="F3659" s="36" t="str">
        <f t="array" ref="F3659">IFNA(_xlfn.XLOOKUP(D3659,Table_Tarikan_Warkah[Nomor Tiket],Table_Tarikan_Warkah[Nama Petugas Warkah]),"")</f>
        <v>Berry</v>
      </c>
      <c r="G3659" s="39" t="str">
        <f t="array" ref="G3659">IFNA(_xlfn.XLOOKUP(D3659,Table_Tarikan_Warkah[Nomor Tiket],Table_Tarikan_Warkah[Jenis Permohonan]),"")</f>
        <v>BN JUAL BELI</v>
      </c>
      <c r="H3659" s="41" t="s">
        <v>2315</v>
      </c>
      <c r="I3659" s="49" t="s">
        <v>23</v>
      </c>
      <c r="J3659" s="36">
        <f t="shared" si="20"/>
        <v>45904.54942</v>
      </c>
      <c r="K3659" s="49" t="s">
        <v>2378</v>
      </c>
      <c r="L3659" s="49" t="s">
        <v>23</v>
      </c>
      <c r="M3659" s="36">
        <f t="shared" si="33"/>
        <v>45904.64373</v>
      </c>
      <c r="N3659" s="30" t="str">
        <f t="shared" si="34"/>
        <v>Selesai</v>
      </c>
      <c r="O3659" s="45">
        <f t="shared" si="23"/>
        <v>45904.64373</v>
      </c>
      <c r="P3659" s="47" t="b">
        <v>0</v>
      </c>
      <c r="Q3659" s="36" t="str">
        <f t="shared" si="35"/>
        <v/>
      </c>
      <c r="R3659" s="47" t="b">
        <v>0</v>
      </c>
      <c r="S3659" s="42" t="str">
        <f t="shared" si="28"/>
        <v/>
      </c>
      <c r="T3659" s="42"/>
    </row>
    <row r="3660" ht="22.5" customHeight="1">
      <c r="B3660" s="42">
        <f t="shared" si="7"/>
        <v>3654</v>
      </c>
      <c r="C3660" s="31" t="s">
        <v>3711</v>
      </c>
      <c r="D3660" s="34" t="str">
        <f t="array" ref="D3660">IFNA(_xlfn.XLOOKUP(C3660,Table_Tarikan_Warkah[Nomor Sertipikat],Table_Tarikan_Warkah[Nomor Tiket]),"")</f>
        <v>K/44/280825/2</v>
      </c>
      <c r="E3660" s="36" t="str">
        <f t="array" ref="E3660">IFNA(_xlfn.XLOOKUP(D3660,Table_Tarikan_Warkah[Nomor Tiket],Table_Tarikan_Warkah[Tanggal diserahkan kepada Validator]),"")</f>
        <v/>
      </c>
      <c r="F3660" s="36" t="str">
        <f t="array" ref="F3660">IFNA(_xlfn.XLOOKUP(D3660,Table_Tarikan_Warkah[Nomor Tiket],Table_Tarikan_Warkah[Nama Petugas Warkah]),"")</f>
        <v/>
      </c>
      <c r="G3660" s="39" t="str">
        <f t="array" ref="G3660">IFNA(_xlfn.XLOOKUP(D3660,Table_Tarikan_Warkah[Nomor Tiket],Table_Tarikan_Warkah[Jenis Permohonan]),"")</f>
        <v>BN WARIS</v>
      </c>
      <c r="H3660" s="41" t="s">
        <v>2315</v>
      </c>
      <c r="I3660" s="49" t="s">
        <v>23</v>
      </c>
      <c r="J3660" s="36">
        <f t="shared" si="20"/>
        <v>45904.54955</v>
      </c>
      <c r="K3660" s="69"/>
      <c r="L3660" s="49"/>
      <c r="M3660" s="36" t="str">
        <f t="shared" si="33"/>
        <v/>
      </c>
      <c r="N3660" s="30" t="str">
        <f t="shared" si="34"/>
        <v>BT atau SU Belum Valid</v>
      </c>
      <c r="O3660" s="39" t="str">
        <f t="shared" si="23"/>
        <v/>
      </c>
      <c r="P3660" s="47" t="b">
        <v>0</v>
      </c>
      <c r="Q3660" s="36" t="str">
        <f t="shared" si="35"/>
        <v/>
      </c>
      <c r="R3660" s="47" t="b">
        <v>0</v>
      </c>
      <c r="S3660" s="42" t="str">
        <f t="shared" si="28"/>
        <v/>
      </c>
      <c r="T3660" s="42"/>
    </row>
    <row r="3661" ht="22.5" customHeight="1">
      <c r="B3661" s="42">
        <f t="shared" si="7"/>
        <v>3655</v>
      </c>
      <c r="C3661" s="31" t="s">
        <v>3712</v>
      </c>
      <c r="D3661" s="34" t="str">
        <f t="array" ref="D3661">IFNA(_xlfn.XLOOKUP(C3661,Table_Tarikan_Warkah[Nomor Sertipikat],Table_Tarikan_Warkah[Nomor Tiket]),"")</f>
        <v>K/29/110825/1</v>
      </c>
      <c r="E3661" s="36" t="str">
        <f t="array" ref="E3661">IFNA(_xlfn.XLOOKUP(D3661,Table_Tarikan_Warkah[Nomor Tiket],Table_Tarikan_Warkah[Tanggal diserahkan kepada Validator]),"")</f>
        <v/>
      </c>
      <c r="F3661" s="36" t="str">
        <f t="array" ref="F3661">IFNA(_xlfn.XLOOKUP(D3661,Table_Tarikan_Warkah[Nomor Tiket],Table_Tarikan_Warkah[Nama Petugas Warkah]),"")</f>
        <v/>
      </c>
      <c r="G3661" s="39" t="str">
        <f t="array" ref="G3661">IFNA(_xlfn.XLOOKUP(D3661,Table_Tarikan_Warkah[Nomor Tiket],Table_Tarikan_Warkah[Jenis Permohonan]),"")</f>
        <v>BN Pewarisan</v>
      </c>
      <c r="H3661" s="41" t="s">
        <v>2315</v>
      </c>
      <c r="I3661" s="49" t="s">
        <v>23</v>
      </c>
      <c r="J3661" s="36">
        <f t="shared" si="20"/>
        <v>45904.54975</v>
      </c>
      <c r="K3661" s="49" t="s">
        <v>2378</v>
      </c>
      <c r="L3661" s="49" t="s">
        <v>23</v>
      </c>
      <c r="M3661" s="36">
        <f t="shared" si="33"/>
        <v>45904.64361</v>
      </c>
      <c r="N3661" s="30" t="str">
        <f t="shared" si="34"/>
        <v>Selesai</v>
      </c>
      <c r="O3661" s="45">
        <f t="shared" si="23"/>
        <v>45904.64361</v>
      </c>
      <c r="P3661" s="47" t="b">
        <v>0</v>
      </c>
      <c r="Q3661" s="36" t="str">
        <f t="shared" si="35"/>
        <v/>
      </c>
      <c r="R3661" s="47" t="b">
        <v>0</v>
      </c>
      <c r="S3661" s="42" t="str">
        <f t="shared" si="28"/>
        <v/>
      </c>
      <c r="T3661" s="42"/>
    </row>
    <row r="3662" ht="22.5" customHeight="1">
      <c r="B3662" s="42">
        <f t="shared" si="7"/>
        <v>3656</v>
      </c>
      <c r="C3662" s="31" t="s">
        <v>3713</v>
      </c>
      <c r="D3662" s="34" t="str">
        <f t="array" ref="D3662">IFNA(_xlfn.XLOOKUP(C3662,Table_Tarikan_Warkah[Nomor Sertipikat],Table_Tarikan_Warkah[Nomor Tiket]),"")</f>
        <v>K/21/180725/1</v>
      </c>
      <c r="E3662" s="36">
        <f t="array" ref="E3662">IFNA(_xlfn.XLOOKUP(D3662,Table_Tarikan_Warkah[Nomor Tiket],Table_Tarikan_Warkah[Tanggal diserahkan kepada Validator]),"")</f>
        <v>45908.63366</v>
      </c>
      <c r="F3662" s="36" t="str">
        <f t="array" ref="F3662">IFNA(_xlfn.XLOOKUP(D3662,Table_Tarikan_Warkah[Nomor Tiket],Table_Tarikan_Warkah[Nama Petugas Warkah]),"")</f>
        <v>Berry</v>
      </c>
      <c r="G3662" s="39" t="str">
        <f t="array" ref="G3662">IFNA(_xlfn.XLOOKUP(D3662,Table_Tarikan_Warkah[Nomor Tiket],Table_Tarikan_Warkah[Jenis Permohonan]),"")</f>
        <v>BN WARIS</v>
      </c>
      <c r="H3662" s="41" t="s">
        <v>2315</v>
      </c>
      <c r="I3662" s="49" t="s">
        <v>23</v>
      </c>
      <c r="J3662" s="36">
        <f t="shared" si="20"/>
        <v>45904.54982</v>
      </c>
      <c r="K3662" s="49" t="s">
        <v>2378</v>
      </c>
      <c r="L3662" s="49" t="s">
        <v>23</v>
      </c>
      <c r="M3662" s="36">
        <f t="shared" si="33"/>
        <v>45904.64351</v>
      </c>
      <c r="N3662" s="30" t="str">
        <f t="shared" si="34"/>
        <v>Selesai</v>
      </c>
      <c r="O3662" s="45">
        <f t="shared" si="23"/>
        <v>45904.64351</v>
      </c>
      <c r="P3662" s="47" t="b">
        <v>0</v>
      </c>
      <c r="Q3662" s="36" t="str">
        <f t="shared" si="35"/>
        <v/>
      </c>
      <c r="R3662" s="47" t="b">
        <v>0</v>
      </c>
      <c r="S3662" s="42" t="str">
        <f t="shared" si="28"/>
        <v/>
      </c>
      <c r="T3662" s="42"/>
    </row>
    <row r="3663" ht="22.5" customHeight="1">
      <c r="B3663" s="42">
        <f t="shared" si="7"/>
        <v>3657</v>
      </c>
      <c r="C3663" s="31" t="s">
        <v>3714</v>
      </c>
      <c r="D3663" s="34" t="str">
        <f t="array" ref="D3663">IFNA(_xlfn.XLOOKUP(C3663,Table_Tarikan_Warkah[Nomor Sertipikat],Table_Tarikan_Warkah[Nomor Tiket]),"")</f>
        <v>K/27/220425/1</v>
      </c>
      <c r="E3663" s="36">
        <f t="array" ref="E3663">IFNA(_xlfn.XLOOKUP(D3663,Table_Tarikan_Warkah[Nomor Tiket],Table_Tarikan_Warkah[Tanggal diserahkan kepada Validator]),"")</f>
        <v>45908.63225</v>
      </c>
      <c r="F3663" s="36" t="str">
        <f t="array" ref="F3663">IFNA(_xlfn.XLOOKUP(D3663,Table_Tarikan_Warkah[Nomor Tiket],Table_Tarikan_Warkah[Nama Petugas Warkah]),"")</f>
        <v>Berry</v>
      </c>
      <c r="G3663" s="39" t="str">
        <f t="array" ref="G3663">IFNA(_xlfn.XLOOKUP(D3663,Table_Tarikan_Warkah[Nomor Tiket],Table_Tarikan_Warkah[Jenis Permohonan]),"")</f>
        <v>BN JUAL BELI</v>
      </c>
      <c r="H3663" s="41" t="s">
        <v>2315</v>
      </c>
      <c r="I3663" s="49" t="s">
        <v>23</v>
      </c>
      <c r="J3663" s="36">
        <f t="shared" si="20"/>
        <v>45904.55001</v>
      </c>
      <c r="K3663" s="49" t="s">
        <v>2378</v>
      </c>
      <c r="L3663" s="49" t="s">
        <v>23</v>
      </c>
      <c r="M3663" s="36">
        <f t="shared" si="33"/>
        <v>45904.64337</v>
      </c>
      <c r="N3663" s="30" t="str">
        <f t="shared" si="34"/>
        <v>Selesai</v>
      </c>
      <c r="O3663" s="45">
        <f t="shared" si="23"/>
        <v>45904.64337</v>
      </c>
      <c r="P3663" s="47" t="b">
        <v>0</v>
      </c>
      <c r="Q3663" s="36" t="str">
        <f t="shared" si="35"/>
        <v/>
      </c>
      <c r="R3663" s="47" t="b">
        <v>0</v>
      </c>
      <c r="S3663" s="42" t="str">
        <f t="shared" si="28"/>
        <v/>
      </c>
      <c r="T3663" s="42"/>
    </row>
    <row r="3664" ht="22.5" customHeight="1">
      <c r="B3664" s="42">
        <f t="shared" si="7"/>
        <v>3658</v>
      </c>
      <c r="C3664" s="31" t="s">
        <v>3715</v>
      </c>
      <c r="D3664" s="34" t="str">
        <f t="array" ref="D3664">IFNA(_xlfn.XLOOKUP(C3664,Table_Tarikan_Warkah[Nomor Sertipikat],Table_Tarikan_Warkah[Nomor Tiket]),"")</f>
        <v>K/28/160725/1</v>
      </c>
      <c r="E3664" s="36">
        <f t="array" ref="E3664">IFNA(_xlfn.XLOOKUP(D3664,Table_Tarikan_Warkah[Nomor Tiket],Table_Tarikan_Warkah[Tanggal diserahkan kepada Validator]),"")</f>
        <v>45908.63238</v>
      </c>
      <c r="F3664" s="36" t="str">
        <f t="array" ref="F3664">IFNA(_xlfn.XLOOKUP(D3664,Table_Tarikan_Warkah[Nomor Tiket],Table_Tarikan_Warkah[Nama Petugas Warkah]),"")</f>
        <v>Berry</v>
      </c>
      <c r="G3664" s="39" t="str">
        <f t="array" ref="G3664">IFNA(_xlfn.XLOOKUP(D3664,Table_Tarikan_Warkah[Nomor Tiket],Table_Tarikan_Warkah[Jenis Permohonan]),"")</f>
        <v>BN JUAL BELI</v>
      </c>
      <c r="H3664" s="41" t="s">
        <v>2315</v>
      </c>
      <c r="I3664" s="49" t="s">
        <v>23</v>
      </c>
      <c r="J3664" s="36">
        <f t="shared" si="20"/>
        <v>45904.55016</v>
      </c>
      <c r="K3664" s="49" t="s">
        <v>2378</v>
      </c>
      <c r="L3664" s="49" t="s">
        <v>23</v>
      </c>
      <c r="M3664" s="36">
        <f t="shared" si="33"/>
        <v>45904.64322</v>
      </c>
      <c r="N3664" s="30" t="str">
        <f t="shared" si="34"/>
        <v>Selesai</v>
      </c>
      <c r="O3664" s="45">
        <f t="shared" si="23"/>
        <v>45904.64322</v>
      </c>
      <c r="P3664" s="47" t="b">
        <v>0</v>
      </c>
      <c r="Q3664" s="36" t="str">
        <f t="shared" si="35"/>
        <v/>
      </c>
      <c r="R3664" s="47" t="b">
        <v>0</v>
      </c>
      <c r="S3664" s="42" t="str">
        <f t="shared" si="28"/>
        <v/>
      </c>
      <c r="T3664" s="42"/>
    </row>
    <row r="3665" ht="22.5" customHeight="1">
      <c r="B3665" s="42">
        <f t="shared" si="7"/>
        <v>3659</v>
      </c>
      <c r="C3665" s="31" t="s">
        <v>3716</v>
      </c>
      <c r="D3665" s="34" t="str">
        <f t="array" ref="D3665">IFNA(_xlfn.XLOOKUP(C3665,Table_Tarikan_Warkah[Nomor Sertipikat],Table_Tarikan_Warkah[Nomor Tiket]),"")</f>
        <v>K/38/250825/1</v>
      </c>
      <c r="E3665" s="36" t="str">
        <f t="array" ref="E3665">IFNA(_xlfn.XLOOKUP(D3665,Table_Tarikan_Warkah[Nomor Tiket],Table_Tarikan_Warkah[Tanggal diserahkan kepada Validator]),"")</f>
        <v/>
      </c>
      <c r="F3665" s="36" t="str">
        <f t="array" ref="F3665">IFNA(_xlfn.XLOOKUP(D3665,Table_Tarikan_Warkah[Nomor Tiket],Table_Tarikan_Warkah[Nama Petugas Warkah]),"")</f>
        <v/>
      </c>
      <c r="G3665" s="39" t="str">
        <f t="array" ref="G3665">IFNA(_xlfn.XLOOKUP(D3665,Table_Tarikan_Warkah[Nomor Tiket],Table_Tarikan_Warkah[Jenis Permohonan]),"")</f>
        <v>Roya	</v>
      </c>
      <c r="H3665" s="41" t="s">
        <v>2315</v>
      </c>
      <c r="I3665" s="49" t="s">
        <v>23</v>
      </c>
      <c r="J3665" s="36">
        <f t="shared" si="20"/>
        <v>45904.55036</v>
      </c>
      <c r="K3665" s="49" t="s">
        <v>2378</v>
      </c>
      <c r="L3665" s="49" t="s">
        <v>23</v>
      </c>
      <c r="M3665" s="36">
        <f t="shared" si="33"/>
        <v>45904.64314</v>
      </c>
      <c r="N3665" s="30" t="str">
        <f t="shared" si="34"/>
        <v>Selesai</v>
      </c>
      <c r="O3665" s="45">
        <f t="shared" si="23"/>
        <v>45904.64314</v>
      </c>
      <c r="P3665" s="47" t="b">
        <v>0</v>
      </c>
      <c r="Q3665" s="36" t="str">
        <f t="shared" si="35"/>
        <v/>
      </c>
      <c r="R3665" s="47" t="b">
        <v>0</v>
      </c>
      <c r="S3665" s="42" t="str">
        <f t="shared" si="28"/>
        <v/>
      </c>
      <c r="T3665" s="42"/>
    </row>
    <row r="3666" ht="22.5" customHeight="1">
      <c r="B3666" s="42">
        <f t="shared" si="7"/>
        <v>3660</v>
      </c>
      <c r="C3666" s="31" t="s">
        <v>3717</v>
      </c>
      <c r="D3666" s="34" t="str">
        <f t="array" ref="D3666">IFNA(_xlfn.XLOOKUP(C3666,Table_Tarikan_Warkah[Nomor Sertipikat],Table_Tarikan_Warkah[Nomor Tiket]),"")</f>
        <v>K/8/290825/1</v>
      </c>
      <c r="E3666" s="36" t="str">
        <f t="array" ref="E3666">IFNA(_xlfn.XLOOKUP(D3666,Table_Tarikan_Warkah[Nomor Tiket],Table_Tarikan_Warkah[Tanggal diserahkan kepada Validator]),"")</f>
        <v/>
      </c>
      <c r="F3666" s="36" t="str">
        <f t="array" ref="F3666">IFNA(_xlfn.XLOOKUP(D3666,Table_Tarikan_Warkah[Nomor Tiket],Table_Tarikan_Warkah[Nama Petugas Warkah]),"")</f>
        <v/>
      </c>
      <c r="G3666" s="39" t="str">
        <f t="array" ref="G3666">IFNA(_xlfn.XLOOKUP(D3666,Table_Tarikan_Warkah[Nomor Tiket],Table_Tarikan_Warkah[Jenis Permohonan]),"")</f>
        <v>PENATAAN BATAS</v>
      </c>
      <c r="H3666" s="41" t="s">
        <v>2315</v>
      </c>
      <c r="I3666" s="49" t="s">
        <v>23</v>
      </c>
      <c r="J3666" s="36">
        <f t="shared" si="20"/>
        <v>45904.55067</v>
      </c>
      <c r="K3666" s="49" t="s">
        <v>2378</v>
      </c>
      <c r="L3666" s="49" t="s">
        <v>23</v>
      </c>
      <c r="M3666" s="36">
        <f t="shared" si="33"/>
        <v>45904.64307</v>
      </c>
      <c r="N3666" s="30" t="str">
        <f t="shared" si="34"/>
        <v>Selesai</v>
      </c>
      <c r="O3666" s="45">
        <f t="shared" si="23"/>
        <v>45904.64307</v>
      </c>
      <c r="P3666" s="47" t="b">
        <v>0</v>
      </c>
      <c r="Q3666" s="36" t="str">
        <f t="shared" si="35"/>
        <v/>
      </c>
      <c r="R3666" s="47" t="b">
        <v>0</v>
      </c>
      <c r="S3666" s="42" t="str">
        <f t="shared" si="28"/>
        <v/>
      </c>
      <c r="T3666" s="42"/>
    </row>
    <row r="3667" ht="22.5" customHeight="1">
      <c r="B3667" s="42">
        <f t="shared" si="7"/>
        <v>3661</v>
      </c>
      <c r="C3667" s="31" t="s">
        <v>3718</v>
      </c>
      <c r="D3667" s="34" t="str">
        <f t="array" ref="D3667">IFNA(_xlfn.XLOOKUP(C3667,Table_Tarikan_Warkah[Nomor Sertipikat],Table_Tarikan_Warkah[Nomor Tiket]),"")</f>
        <v>K/14/280825/1</v>
      </c>
      <c r="E3667" s="36">
        <f t="array" ref="E3667">IFNA(_xlfn.XLOOKUP(D3667,Table_Tarikan_Warkah[Nomor Tiket],Table_Tarikan_Warkah[Tanggal diserahkan kepada Validator]),"")</f>
        <v>45926.384</v>
      </c>
      <c r="F3667" s="36" t="str">
        <f t="array" ref="F3667">IFNA(_xlfn.XLOOKUP(D3667,Table_Tarikan_Warkah[Nomor Tiket],Table_Tarikan_Warkah[Nama Petugas Warkah]),"")</f>
        <v>Berry</v>
      </c>
      <c r="G3667" s="39" t="str">
        <f t="array" ref="G3667">IFNA(_xlfn.XLOOKUP(D3667,Table_Tarikan_Warkah[Nomor Tiket],Table_Tarikan_Warkah[Jenis Permohonan]),"")</f>
        <v>Ganti Blanko	</v>
      </c>
      <c r="H3667" s="41" t="s">
        <v>2315</v>
      </c>
      <c r="I3667" s="49" t="s">
        <v>23</v>
      </c>
      <c r="J3667" s="36">
        <f t="shared" si="20"/>
        <v>45904.55081</v>
      </c>
      <c r="K3667" s="49" t="s">
        <v>2378</v>
      </c>
      <c r="L3667" s="49" t="s">
        <v>23</v>
      </c>
      <c r="M3667" s="36">
        <f t="shared" si="33"/>
        <v>45908.58968</v>
      </c>
      <c r="N3667" s="30" t="str">
        <f t="shared" si="34"/>
        <v>Selesai</v>
      </c>
      <c r="O3667" s="45">
        <f t="shared" si="23"/>
        <v>45908.58968</v>
      </c>
      <c r="P3667" s="47" t="b">
        <v>0</v>
      </c>
      <c r="Q3667" s="36" t="str">
        <f t="shared" si="35"/>
        <v/>
      </c>
      <c r="R3667" s="47" t="b">
        <v>0</v>
      </c>
      <c r="S3667" s="42" t="str">
        <f t="shared" si="28"/>
        <v/>
      </c>
      <c r="T3667" s="42"/>
    </row>
    <row r="3668" ht="22.5" customHeight="1">
      <c r="B3668" s="42">
        <f t="shared" si="7"/>
        <v>3662</v>
      </c>
      <c r="C3668" s="31" t="s">
        <v>3719</v>
      </c>
      <c r="D3668" s="34" t="str">
        <f t="array" ref="D3668">IFNA(_xlfn.XLOOKUP(C3668,Table_Tarikan_Warkah[Nomor Sertipikat],Table_Tarikan_Warkah[Nomor Tiket]),"")</f>
        <v>L/14/150825/1</v>
      </c>
      <c r="E3668" s="36">
        <f t="array" ref="E3668">IFNA(_xlfn.XLOOKUP(D3668,Table_Tarikan_Warkah[Nomor Tiket],Table_Tarikan_Warkah[Tanggal diserahkan kepada Validator]),"")</f>
        <v>45904.61651</v>
      </c>
      <c r="F3668" s="36" t="str">
        <f t="array" ref="F3668">IFNA(_xlfn.XLOOKUP(D3668,Table_Tarikan_Warkah[Nomor Tiket],Table_Tarikan_Warkah[Nama Petugas Warkah]),"")</f>
        <v>David</v>
      </c>
      <c r="G3668" s="39" t="str">
        <f t="array" ref="G3668">IFNA(_xlfn.XLOOKUP(D3668,Table_Tarikan_Warkah[Nomor Tiket],Table_Tarikan_Warkah[Jenis Permohonan]),"")</f>
        <v>ROYA</v>
      </c>
      <c r="H3668" s="41" t="s">
        <v>2315</v>
      </c>
      <c r="I3668" s="49" t="s">
        <v>23</v>
      </c>
      <c r="J3668" s="36">
        <f t="shared" si="20"/>
        <v>45904.55096</v>
      </c>
      <c r="K3668" s="49" t="s">
        <v>2378</v>
      </c>
      <c r="L3668" s="49" t="s">
        <v>23</v>
      </c>
      <c r="M3668" s="36">
        <f t="shared" si="33"/>
        <v>45908.58941</v>
      </c>
      <c r="N3668" s="30" t="str">
        <f t="shared" si="34"/>
        <v>Selesai</v>
      </c>
      <c r="O3668" s="45">
        <f t="shared" si="23"/>
        <v>45908.58941</v>
      </c>
      <c r="P3668" s="47" t="b">
        <v>0</v>
      </c>
      <c r="Q3668" s="36" t="str">
        <f t="shared" si="35"/>
        <v/>
      </c>
      <c r="R3668" s="47" t="b">
        <v>0</v>
      </c>
      <c r="S3668" s="42" t="str">
        <f t="shared" si="28"/>
        <v/>
      </c>
      <c r="T3668" s="42"/>
    </row>
    <row r="3669" ht="22.5" customHeight="1">
      <c r="B3669" s="42">
        <f t="shared" si="7"/>
        <v>3663</v>
      </c>
      <c r="C3669" s="31" t="s">
        <v>3720</v>
      </c>
      <c r="D3669" s="34" t="str">
        <f t="array" ref="D3669">IFNA(_xlfn.XLOOKUP(C3669,Table_Tarikan_Warkah[Nomor Sertipikat],Table_Tarikan_Warkah[Nomor Tiket]),"")</f>
        <v>K/29/190825/1</v>
      </c>
      <c r="E3669" s="36" t="str">
        <f t="array" ref="E3669">IFNA(_xlfn.XLOOKUP(D3669,Table_Tarikan_Warkah[Nomor Tiket],Table_Tarikan_Warkah[Tanggal diserahkan kepada Validator]),"")</f>
        <v/>
      </c>
      <c r="F3669" s="36" t="str">
        <f t="array" ref="F3669">IFNA(_xlfn.XLOOKUP(D3669,Table_Tarikan_Warkah[Nomor Tiket],Table_Tarikan_Warkah[Nama Petugas Warkah]),"")</f>
        <v/>
      </c>
      <c r="G3669" s="39" t="str">
        <f t="array" ref="G3669">IFNA(_xlfn.XLOOKUP(D3669,Table_Tarikan_Warkah[Nomor Tiket],Table_Tarikan_Warkah[Jenis Permohonan]),"")</f>
        <v>ROYA </v>
      </c>
      <c r="H3669" s="41" t="s">
        <v>2315</v>
      </c>
      <c r="I3669" s="49" t="s">
        <v>23</v>
      </c>
      <c r="J3669" s="36">
        <f t="shared" si="20"/>
        <v>45904.55111</v>
      </c>
      <c r="K3669" s="49" t="s">
        <v>2378</v>
      </c>
      <c r="L3669" s="49" t="s">
        <v>23</v>
      </c>
      <c r="M3669" s="36">
        <f t="shared" si="33"/>
        <v>45908.58889</v>
      </c>
      <c r="N3669" s="30" t="str">
        <f t="shared" si="34"/>
        <v>Selesai</v>
      </c>
      <c r="O3669" s="45">
        <f t="shared" si="23"/>
        <v>45908.58889</v>
      </c>
      <c r="P3669" s="47" t="b">
        <v>0</v>
      </c>
      <c r="Q3669" s="36" t="str">
        <f t="shared" si="35"/>
        <v/>
      </c>
      <c r="R3669" s="47" t="b">
        <v>0</v>
      </c>
      <c r="S3669" s="42" t="str">
        <f t="shared" si="28"/>
        <v/>
      </c>
      <c r="T3669" s="42"/>
    </row>
    <row r="3670" ht="22.5" customHeight="1">
      <c r="B3670" s="42">
        <f t="shared" si="7"/>
        <v>3664</v>
      </c>
      <c r="C3670" s="31" t="s">
        <v>3721</v>
      </c>
      <c r="D3670" s="34" t="str">
        <f t="array" ref="D3670">IFNA(_xlfn.XLOOKUP(C3670,Table_Tarikan_Warkah[Nomor Sertipikat],Table_Tarikan_Warkah[Nomor Tiket]),"")</f>
        <v>L/38/150825/1</v>
      </c>
      <c r="E3670" s="36">
        <f t="array" ref="E3670">IFNA(_xlfn.XLOOKUP(D3670,Table_Tarikan_Warkah[Nomor Tiket],Table_Tarikan_Warkah[Tanggal diserahkan kepada Validator]),"")</f>
        <v>45912.53272</v>
      </c>
      <c r="F3670" s="36" t="str">
        <f t="array" ref="F3670">IFNA(_xlfn.XLOOKUP(D3670,Table_Tarikan_Warkah[Nomor Tiket],Table_Tarikan_Warkah[Nama Petugas Warkah]),"")</f>
        <v>Berry</v>
      </c>
      <c r="G3670" s="39" t="str">
        <f t="array" ref="G3670">IFNA(_xlfn.XLOOKUP(D3670,Table_Tarikan_Warkah[Nomor Tiket],Table_Tarikan_Warkah[Jenis Permohonan]),"")</f>
        <v>ROYA</v>
      </c>
      <c r="H3670" s="41" t="s">
        <v>2315</v>
      </c>
      <c r="I3670" s="49" t="s">
        <v>23</v>
      </c>
      <c r="J3670" s="36">
        <f t="shared" si="20"/>
        <v>45904.55127</v>
      </c>
      <c r="K3670" s="49" t="s">
        <v>2378</v>
      </c>
      <c r="L3670" s="49" t="s">
        <v>23</v>
      </c>
      <c r="M3670" s="36">
        <f t="shared" si="33"/>
        <v>45908.58915</v>
      </c>
      <c r="N3670" s="30" t="str">
        <f t="shared" si="34"/>
        <v>Selesai</v>
      </c>
      <c r="O3670" s="45">
        <f t="shared" si="23"/>
        <v>45908.58915</v>
      </c>
      <c r="P3670" s="47" t="b">
        <v>0</v>
      </c>
      <c r="Q3670" s="36" t="str">
        <f t="shared" si="35"/>
        <v/>
      </c>
      <c r="R3670" s="47" t="b">
        <v>0</v>
      </c>
      <c r="S3670" s="42" t="str">
        <f t="shared" si="28"/>
        <v/>
      </c>
      <c r="T3670" s="42"/>
    </row>
    <row r="3671" ht="22.5" customHeight="1">
      <c r="B3671" s="42">
        <f t="shared" si="7"/>
        <v>3665</v>
      </c>
      <c r="C3671" s="31" t="s">
        <v>3722</v>
      </c>
      <c r="D3671" s="34" t="str">
        <f t="array" ref="D3671">IFNA(_xlfn.XLOOKUP(C3671,Table_Tarikan_Warkah[Nomor Sertipikat],Table_Tarikan_Warkah[Nomor Tiket]),"")</f>
        <v>K/21/150825/3</v>
      </c>
      <c r="E3671" s="36" t="str">
        <f t="array" ref="E3671">IFNA(_xlfn.XLOOKUP(D3671,Table_Tarikan_Warkah[Nomor Tiket],Table_Tarikan_Warkah[Tanggal diserahkan kepada Validator]),"")</f>
        <v/>
      </c>
      <c r="F3671" s="36" t="str">
        <f t="array" ref="F3671">IFNA(_xlfn.XLOOKUP(D3671,Table_Tarikan_Warkah[Nomor Tiket],Table_Tarikan_Warkah[Nama Petugas Warkah]),"")</f>
        <v/>
      </c>
      <c r="G3671" s="39" t="str">
        <f t="array" ref="G3671">IFNA(_xlfn.XLOOKUP(D3671,Table_Tarikan_Warkah[Nomor Tiket],Table_Tarikan_Warkah[Jenis Permohonan]),"")</f>
        <v>BN JUAL BELI</v>
      </c>
      <c r="H3671" s="41" t="s">
        <v>920</v>
      </c>
      <c r="I3671" s="49" t="s">
        <v>23</v>
      </c>
      <c r="J3671" s="36">
        <f t="shared" si="20"/>
        <v>45904.59718</v>
      </c>
      <c r="K3671" s="49" t="s">
        <v>920</v>
      </c>
      <c r="L3671" s="49" t="s">
        <v>23</v>
      </c>
      <c r="M3671" s="36">
        <f t="shared" si="33"/>
        <v>45904.59718</v>
      </c>
      <c r="N3671" s="30" t="str">
        <f t="shared" si="34"/>
        <v>Selesai</v>
      </c>
      <c r="O3671" s="45">
        <f t="shared" si="23"/>
        <v>45904.59718</v>
      </c>
      <c r="P3671" s="47" t="b">
        <v>1</v>
      </c>
      <c r="Q3671" s="36">
        <f t="shared" si="35"/>
        <v>45904.59723</v>
      </c>
      <c r="R3671" s="47" t="b">
        <v>0</v>
      </c>
      <c r="S3671" s="42" t="str">
        <f t="shared" si="28"/>
        <v/>
      </c>
      <c r="T3671" s="42"/>
    </row>
    <row r="3672" ht="22.5" customHeight="1">
      <c r="B3672" s="42">
        <f t="shared" si="7"/>
        <v>3666</v>
      </c>
      <c r="C3672" s="31" t="s">
        <v>3723</v>
      </c>
      <c r="D3672" s="34" t="str">
        <f t="array" ref="D3672">IFNA(_xlfn.XLOOKUP(C3672,Table_Tarikan_Warkah[Nomor Sertipikat],Table_Tarikan_Warkah[Nomor Tiket]),"")</f>
        <v>K/54/210825/1</v>
      </c>
      <c r="E3672" s="36" t="str">
        <f t="array" ref="E3672">IFNA(_xlfn.XLOOKUP(D3672,Table_Tarikan_Warkah[Nomor Tiket],Table_Tarikan_Warkah[Tanggal diserahkan kepada Validator]),"")</f>
        <v/>
      </c>
      <c r="F3672" s="36" t="str">
        <f t="array" ref="F3672">IFNA(_xlfn.XLOOKUP(D3672,Table_Tarikan_Warkah[Nomor Tiket],Table_Tarikan_Warkah[Nama Petugas Warkah]),"")</f>
        <v/>
      </c>
      <c r="G3672" s="39" t="str">
        <f t="array" ref="G3672">IFNA(_xlfn.XLOOKUP(D3672,Table_Tarikan_Warkah[Nomor Tiket],Table_Tarikan_Warkah[Jenis Permohonan]),"")</f>
        <v>BN JUAL BELI</v>
      </c>
      <c r="H3672" s="41" t="s">
        <v>920</v>
      </c>
      <c r="I3672" s="49" t="s">
        <v>23</v>
      </c>
      <c r="J3672" s="36">
        <f t="shared" si="20"/>
        <v>45904.59735</v>
      </c>
      <c r="K3672" s="49" t="s">
        <v>920</v>
      </c>
      <c r="L3672" s="49" t="s">
        <v>23</v>
      </c>
      <c r="M3672" s="36">
        <f t="shared" si="33"/>
        <v>45904.59742</v>
      </c>
      <c r="N3672" s="30" t="str">
        <f t="shared" si="34"/>
        <v>Selesai</v>
      </c>
      <c r="O3672" s="45">
        <f t="shared" si="23"/>
        <v>45904.59742</v>
      </c>
      <c r="P3672" s="47" t="b">
        <v>1</v>
      </c>
      <c r="Q3672" s="36">
        <f t="shared" si="35"/>
        <v>45904.59742</v>
      </c>
      <c r="R3672" s="47" t="b">
        <v>0</v>
      </c>
      <c r="S3672" s="42" t="str">
        <f t="shared" si="28"/>
        <v/>
      </c>
      <c r="T3672" s="42"/>
    </row>
    <row r="3673" ht="22.5" customHeight="1">
      <c r="B3673" s="42">
        <f t="shared" si="7"/>
        <v>3667</v>
      </c>
      <c r="C3673" s="31" t="s">
        <v>3724</v>
      </c>
      <c r="D3673" s="34" t="str">
        <f t="array" ref="D3673">IFNA(_xlfn.XLOOKUP(C3673,Table_Tarikan_Warkah[Nomor Sertipikat],Table_Tarikan_Warkah[Nomor Tiket]),"")</f>
        <v>K/7/140825/1</v>
      </c>
      <c r="E3673" s="36" t="str">
        <f t="array" ref="E3673">IFNA(_xlfn.XLOOKUP(D3673,Table_Tarikan_Warkah[Nomor Tiket],Table_Tarikan_Warkah[Tanggal diserahkan kepada Validator]),"")</f>
        <v/>
      </c>
      <c r="F3673" s="36" t="str">
        <f t="array" ref="F3673">IFNA(_xlfn.XLOOKUP(D3673,Table_Tarikan_Warkah[Nomor Tiket],Table_Tarikan_Warkah[Nama Petugas Warkah]),"")</f>
        <v/>
      </c>
      <c r="G3673" s="39" t="str">
        <f t="array" ref="G3673">IFNA(_xlfn.XLOOKUP(D3673,Table_Tarikan_Warkah[Nomor Tiket],Table_Tarikan_Warkah[Jenis Permohonan]),"")</f>
        <v>BN JUAL BELI </v>
      </c>
      <c r="H3673" s="41" t="s">
        <v>920</v>
      </c>
      <c r="I3673" s="49" t="s">
        <v>23</v>
      </c>
      <c r="J3673" s="36">
        <f t="shared" si="20"/>
        <v>45904.59753</v>
      </c>
      <c r="K3673" s="49" t="s">
        <v>920</v>
      </c>
      <c r="L3673" s="49" t="s">
        <v>23</v>
      </c>
      <c r="M3673" s="36">
        <f t="shared" si="33"/>
        <v>45904.5976</v>
      </c>
      <c r="N3673" s="30" t="str">
        <f t="shared" si="34"/>
        <v>Selesai</v>
      </c>
      <c r="O3673" s="45">
        <f t="shared" si="23"/>
        <v>45904.5976</v>
      </c>
      <c r="P3673" s="47" t="b">
        <v>1</v>
      </c>
      <c r="Q3673" s="36">
        <f t="shared" si="35"/>
        <v>45904.5976</v>
      </c>
      <c r="R3673" s="47" t="b">
        <v>0</v>
      </c>
      <c r="S3673" s="42" t="str">
        <f t="shared" si="28"/>
        <v/>
      </c>
      <c r="T3673" s="42"/>
    </row>
    <row r="3674" ht="22.5" customHeight="1">
      <c r="B3674" s="42">
        <f t="shared" si="7"/>
        <v>3668</v>
      </c>
      <c r="C3674" s="31" t="s">
        <v>3725</v>
      </c>
      <c r="D3674" s="34" t="str">
        <f t="array" ref="D3674">IFNA(_xlfn.XLOOKUP(C3674,Table_Tarikan_Warkah[Nomor Sertipikat],Table_Tarikan_Warkah[Nomor Tiket]),"")</f>
        <v>K/22/140825/2</v>
      </c>
      <c r="E3674" s="36" t="str">
        <f t="array" ref="E3674">IFNA(_xlfn.XLOOKUP(D3674,Table_Tarikan_Warkah[Nomor Tiket],Table_Tarikan_Warkah[Tanggal diserahkan kepada Validator]),"")</f>
        <v/>
      </c>
      <c r="F3674" s="36" t="str">
        <f t="array" ref="F3674">IFNA(_xlfn.XLOOKUP(D3674,Table_Tarikan_Warkah[Nomor Tiket],Table_Tarikan_Warkah[Nama Petugas Warkah]),"")</f>
        <v/>
      </c>
      <c r="G3674" s="39" t="str">
        <f t="array" ref="G3674">IFNA(_xlfn.XLOOKUP(D3674,Table_Tarikan_Warkah[Nomor Tiket],Table_Tarikan_Warkah[Jenis Permohonan]),"")</f>
        <v>BN JUAL BELI EL</v>
      </c>
      <c r="H3674" s="41" t="s">
        <v>920</v>
      </c>
      <c r="I3674" s="49" t="s">
        <v>23</v>
      </c>
      <c r="J3674" s="36">
        <f t="shared" si="20"/>
        <v>45904.5977</v>
      </c>
      <c r="K3674" s="49" t="s">
        <v>920</v>
      </c>
      <c r="L3674" s="49" t="s">
        <v>23</v>
      </c>
      <c r="M3674" s="36">
        <f t="shared" si="33"/>
        <v>45904.59775</v>
      </c>
      <c r="N3674" s="30" t="str">
        <f t="shared" si="34"/>
        <v>Selesai</v>
      </c>
      <c r="O3674" s="45">
        <f t="shared" si="23"/>
        <v>45904.59775</v>
      </c>
      <c r="P3674" s="47" t="b">
        <v>1</v>
      </c>
      <c r="Q3674" s="36">
        <f t="shared" si="35"/>
        <v>45904.59776</v>
      </c>
      <c r="R3674" s="47" t="b">
        <v>0</v>
      </c>
      <c r="S3674" s="42" t="str">
        <f t="shared" si="28"/>
        <v/>
      </c>
      <c r="T3674" s="42"/>
    </row>
    <row r="3675" ht="22.5" customHeight="1">
      <c r="B3675" s="42">
        <f t="shared" si="7"/>
        <v>3669</v>
      </c>
      <c r="C3675" s="31" t="s">
        <v>3726</v>
      </c>
      <c r="D3675" s="34" t="str">
        <f t="array" ref="D3675">IFNA(_xlfn.XLOOKUP(C3675,Table_Tarikan_Warkah[Nomor Sertipikat],Table_Tarikan_Warkah[Nomor Tiket]),"")</f>
        <v>K/7/210825/1</v>
      </c>
      <c r="E3675" s="36" t="str">
        <f t="array" ref="E3675">IFNA(_xlfn.XLOOKUP(D3675,Table_Tarikan_Warkah[Nomor Tiket],Table_Tarikan_Warkah[Tanggal diserahkan kepada Validator]),"")</f>
        <v/>
      </c>
      <c r="F3675" s="36" t="str">
        <f t="array" ref="F3675">IFNA(_xlfn.XLOOKUP(D3675,Table_Tarikan_Warkah[Nomor Tiket],Table_Tarikan_Warkah[Nama Petugas Warkah]),"")</f>
        <v/>
      </c>
      <c r="G3675" s="39" t="str">
        <f t="array" ref="G3675">IFNA(_xlfn.XLOOKUP(D3675,Table_Tarikan_Warkah[Nomor Tiket],Table_Tarikan_Warkah[Jenis Permohonan]),"")</f>
        <v>BN JUAL BELI</v>
      </c>
      <c r="H3675" s="41" t="s">
        <v>920</v>
      </c>
      <c r="I3675" s="49" t="s">
        <v>23</v>
      </c>
      <c r="J3675" s="36">
        <f t="shared" si="20"/>
        <v>45908.37951</v>
      </c>
      <c r="K3675" s="49" t="s">
        <v>920</v>
      </c>
      <c r="L3675" s="49" t="s">
        <v>23</v>
      </c>
      <c r="M3675" s="36">
        <f t="shared" si="33"/>
        <v>45908.37953</v>
      </c>
      <c r="N3675" s="30" t="str">
        <f t="shared" si="34"/>
        <v>Selesai</v>
      </c>
      <c r="O3675" s="45">
        <f t="shared" si="23"/>
        <v>45908.37953</v>
      </c>
      <c r="P3675" s="47" t="b">
        <v>1</v>
      </c>
      <c r="Q3675" s="36">
        <f t="shared" si="35"/>
        <v>45908.37956</v>
      </c>
      <c r="R3675" s="47" t="b">
        <v>0</v>
      </c>
      <c r="S3675" s="42" t="str">
        <f t="shared" si="28"/>
        <v/>
      </c>
      <c r="T3675" s="42"/>
    </row>
    <row r="3676" ht="22.5" customHeight="1">
      <c r="B3676" s="42">
        <f t="shared" si="7"/>
        <v>3670</v>
      </c>
      <c r="C3676" s="31" t="s">
        <v>3681</v>
      </c>
      <c r="D3676" s="34" t="str">
        <f t="array" ref="D3676">IFNA(_xlfn.XLOOKUP(C3676,Table_Tarikan_Warkah[Nomor Sertipikat],Table_Tarikan_Warkah[Nomor Tiket]),"")</f>
        <v>K/15/190825/2</v>
      </c>
      <c r="E3676" s="36">
        <f t="array" ref="E3676">IFNA(_xlfn.XLOOKUP(D3676,Table_Tarikan_Warkah[Nomor Tiket],Table_Tarikan_Warkah[Tanggal diserahkan kepada Validator]),"")</f>
        <v>45926.59576</v>
      </c>
      <c r="F3676" s="36" t="str">
        <f t="array" ref="F3676">IFNA(_xlfn.XLOOKUP(D3676,Table_Tarikan_Warkah[Nomor Tiket],Table_Tarikan_Warkah[Nama Petugas Warkah]),"")</f>
        <v>Berry</v>
      </c>
      <c r="G3676" s="39" t="str">
        <f t="array" ref="G3676">IFNA(_xlfn.XLOOKUP(D3676,Table_Tarikan_Warkah[Nomor Tiket],Table_Tarikan_Warkah[Jenis Permohonan]),"")</f>
        <v>BN HIBAH</v>
      </c>
      <c r="H3676" s="41" t="s">
        <v>920</v>
      </c>
      <c r="I3676" s="49" t="s">
        <v>23</v>
      </c>
      <c r="J3676" s="36">
        <f t="shared" si="20"/>
        <v>45908.37969</v>
      </c>
      <c r="K3676" s="49" t="s">
        <v>920</v>
      </c>
      <c r="L3676" s="49" t="s">
        <v>23</v>
      </c>
      <c r="M3676" s="36">
        <f t="shared" si="33"/>
        <v>45908.37972</v>
      </c>
      <c r="N3676" s="30" t="str">
        <f t="shared" si="34"/>
        <v>Selesai</v>
      </c>
      <c r="O3676" s="45">
        <f t="shared" si="23"/>
        <v>45908.37972</v>
      </c>
      <c r="P3676" s="47" t="b">
        <v>1</v>
      </c>
      <c r="Q3676" s="36">
        <f t="shared" si="35"/>
        <v>45908.37975</v>
      </c>
      <c r="R3676" s="47" t="b">
        <v>0</v>
      </c>
      <c r="S3676" s="42" t="str">
        <f t="shared" si="28"/>
        <v/>
      </c>
      <c r="T3676" s="42"/>
    </row>
    <row r="3677" ht="22.5" customHeight="1">
      <c r="B3677" s="42">
        <f t="shared" si="7"/>
        <v>3671</v>
      </c>
      <c r="C3677" s="31" t="s">
        <v>3727</v>
      </c>
      <c r="D3677" s="34" t="str">
        <f t="array" ref="D3677">IFNA(_xlfn.XLOOKUP(C3677,Table_Tarikan_Warkah[Nomor Sertipikat],Table_Tarikan_Warkah[Nomor Tiket]),"")</f>
        <v>K/46/220825/2</v>
      </c>
      <c r="E3677" s="36">
        <f t="array" ref="E3677">IFNA(_xlfn.XLOOKUP(D3677,Table_Tarikan_Warkah[Nomor Tiket],Table_Tarikan_Warkah[Tanggal diserahkan kepada Validator]),"")</f>
        <v>45908.63528</v>
      </c>
      <c r="F3677" s="36" t="str">
        <f t="array" ref="F3677">IFNA(_xlfn.XLOOKUP(D3677,Table_Tarikan_Warkah[Nomor Tiket],Table_Tarikan_Warkah[Nama Petugas Warkah]),"")</f>
        <v>Berry</v>
      </c>
      <c r="G3677" s="39" t="str">
        <f t="array" ref="G3677">IFNA(_xlfn.XLOOKUP(D3677,Table_Tarikan_Warkah[Nomor Tiket],Table_Tarikan_Warkah[Jenis Permohonan]),"")</f>
        <v>BN JUAL BELI</v>
      </c>
      <c r="H3677" s="41" t="s">
        <v>920</v>
      </c>
      <c r="I3677" s="49" t="s">
        <v>23</v>
      </c>
      <c r="J3677" s="36">
        <f t="shared" si="20"/>
        <v>45908.37995</v>
      </c>
      <c r="K3677" s="49" t="s">
        <v>920</v>
      </c>
      <c r="L3677" s="49" t="s">
        <v>23</v>
      </c>
      <c r="M3677" s="36">
        <f t="shared" si="33"/>
        <v>45908.37997</v>
      </c>
      <c r="N3677" s="30" t="str">
        <f t="shared" si="34"/>
        <v>Selesai</v>
      </c>
      <c r="O3677" s="45">
        <f t="shared" si="23"/>
        <v>45908.37997</v>
      </c>
      <c r="P3677" s="47" t="b">
        <v>1</v>
      </c>
      <c r="Q3677" s="36">
        <f t="shared" si="35"/>
        <v>45908.38</v>
      </c>
      <c r="R3677" s="47" t="b">
        <v>0</v>
      </c>
      <c r="S3677" s="42" t="str">
        <f t="shared" si="28"/>
        <v/>
      </c>
      <c r="T3677" s="42"/>
    </row>
    <row r="3678" ht="22.5" customHeight="1">
      <c r="B3678" s="42">
        <f t="shared" si="7"/>
        <v>3672</v>
      </c>
      <c r="C3678" s="31" t="s">
        <v>3728</v>
      </c>
      <c r="D3678" s="34" t="str">
        <f t="array" ref="D3678">IFNA(_xlfn.XLOOKUP(C3678,Table_Tarikan_Warkah[Nomor Sertipikat],Table_Tarikan_Warkah[Nomor Tiket]),"")</f>
        <v>K/45/220825/1</v>
      </c>
      <c r="E3678" s="36" t="str">
        <f t="array" ref="E3678">IFNA(_xlfn.XLOOKUP(D3678,Table_Tarikan_Warkah[Nomor Tiket],Table_Tarikan_Warkah[Tanggal diserahkan kepada Validator]),"")</f>
        <v/>
      </c>
      <c r="F3678" s="36" t="str">
        <f t="array" ref="F3678">IFNA(_xlfn.XLOOKUP(D3678,Table_Tarikan_Warkah[Nomor Tiket],Table_Tarikan_Warkah[Nama Petugas Warkah]),"")</f>
        <v/>
      </c>
      <c r="G3678" s="39" t="str">
        <f t="array" ref="G3678">IFNA(_xlfn.XLOOKUP(D3678,Table_Tarikan_Warkah[Nomor Tiket],Table_Tarikan_Warkah[Jenis Permohonan]),"")</f>
        <v>BN JUAL BELI</v>
      </c>
      <c r="H3678" s="41" t="s">
        <v>920</v>
      </c>
      <c r="I3678" s="49" t="s">
        <v>23</v>
      </c>
      <c r="J3678" s="36">
        <f t="shared" si="20"/>
        <v>45908.38025</v>
      </c>
      <c r="K3678" s="49" t="s">
        <v>920</v>
      </c>
      <c r="L3678" s="49" t="s">
        <v>23</v>
      </c>
      <c r="M3678" s="36">
        <f t="shared" si="33"/>
        <v>45908.38027</v>
      </c>
      <c r="N3678" s="30" t="str">
        <f t="shared" si="34"/>
        <v>Selesai</v>
      </c>
      <c r="O3678" s="45">
        <f t="shared" si="23"/>
        <v>45908.38027</v>
      </c>
      <c r="P3678" s="47" t="b">
        <v>1</v>
      </c>
      <c r="Q3678" s="36">
        <f t="shared" si="35"/>
        <v>45908.38029</v>
      </c>
      <c r="R3678" s="47" t="b">
        <v>0</v>
      </c>
      <c r="S3678" s="42" t="str">
        <f t="shared" si="28"/>
        <v/>
      </c>
      <c r="T3678" s="42"/>
    </row>
    <row r="3679" ht="22.5" customHeight="1">
      <c r="B3679" s="42">
        <f t="shared" si="7"/>
        <v>3673</v>
      </c>
      <c r="C3679" s="31" t="s">
        <v>3692</v>
      </c>
      <c r="D3679" s="34" t="str">
        <f t="array" ref="D3679">IFNA(_xlfn.XLOOKUP(C3679,Table_Tarikan_Warkah[Nomor Sertipikat],Table_Tarikan_Warkah[Nomor Tiket]),"")</f>
        <v>K/22/110825/3</v>
      </c>
      <c r="E3679" s="36" t="str">
        <f t="array" ref="E3679">IFNA(_xlfn.XLOOKUP(D3679,Table_Tarikan_Warkah[Nomor Tiket],Table_Tarikan_Warkah[Tanggal diserahkan kepada Validator]),"")</f>
        <v/>
      </c>
      <c r="F3679" s="36" t="str">
        <f t="array" ref="F3679">IFNA(_xlfn.XLOOKUP(D3679,Table_Tarikan_Warkah[Nomor Tiket],Table_Tarikan_Warkah[Nama Petugas Warkah]),"")</f>
        <v/>
      </c>
      <c r="G3679" s="39" t="str">
        <f t="array" ref="G3679">IFNA(_xlfn.XLOOKUP(D3679,Table_Tarikan_Warkah[Nomor Tiket],Table_Tarikan_Warkah[Jenis Permohonan]),"")</f>
        <v>BN Pewarisan</v>
      </c>
      <c r="H3679" s="41" t="s">
        <v>920</v>
      </c>
      <c r="I3679" s="49" t="s">
        <v>23</v>
      </c>
      <c r="J3679" s="36">
        <f t="shared" si="20"/>
        <v>45908.3805</v>
      </c>
      <c r="K3679" s="49" t="s">
        <v>920</v>
      </c>
      <c r="L3679" s="49" t="s">
        <v>23</v>
      </c>
      <c r="M3679" s="36">
        <f t="shared" si="33"/>
        <v>45908.38055</v>
      </c>
      <c r="N3679" s="30" t="str">
        <f t="shared" si="34"/>
        <v>Selesai</v>
      </c>
      <c r="O3679" s="45">
        <f t="shared" si="23"/>
        <v>45908.38055</v>
      </c>
      <c r="P3679" s="47" t="b">
        <v>1</v>
      </c>
      <c r="Q3679" s="36">
        <f t="shared" si="35"/>
        <v>45908.38056</v>
      </c>
      <c r="R3679" s="47" t="b">
        <v>0</v>
      </c>
      <c r="S3679" s="42" t="str">
        <f t="shared" si="28"/>
        <v/>
      </c>
      <c r="T3679" s="42"/>
    </row>
    <row r="3680" ht="22.5" customHeight="1">
      <c r="B3680" s="42">
        <f t="shared" si="7"/>
        <v>3674</v>
      </c>
      <c r="C3680" s="31" t="s">
        <v>3729</v>
      </c>
      <c r="D3680" s="34" t="str">
        <f t="array" ref="D3680">IFNA(_xlfn.XLOOKUP(C3680,Table_Tarikan_Warkah[Nomor Sertipikat],Table_Tarikan_Warkah[Nomor Tiket]),"")</f>
        <v>K/22/050525/1</v>
      </c>
      <c r="E3680" s="36" t="str">
        <f t="array" ref="E3680">IFNA(_xlfn.XLOOKUP(D3680,Table_Tarikan_Warkah[Nomor Tiket],Table_Tarikan_Warkah[Tanggal diserahkan kepada Validator]),"")</f>
        <v/>
      </c>
      <c r="F3680" s="36" t="str">
        <f t="array" ref="F3680">IFNA(_xlfn.XLOOKUP(D3680,Table_Tarikan_Warkah[Nomor Tiket],Table_Tarikan_Warkah[Nama Petugas Warkah]),"")</f>
        <v/>
      </c>
      <c r="G3680" s="39" t="str">
        <f t="array" ref="G3680">IFNA(_xlfn.XLOOKUP(D3680,Table_Tarikan_Warkah[Nomor Tiket],Table_Tarikan_Warkah[Jenis Permohonan]),"")</f>
        <v>PEMECAHAN</v>
      </c>
      <c r="H3680" s="41" t="s">
        <v>2315</v>
      </c>
      <c r="I3680" s="49" t="s">
        <v>23</v>
      </c>
      <c r="J3680" s="36">
        <f t="shared" si="20"/>
        <v>45908.59521</v>
      </c>
      <c r="K3680" s="49" t="s">
        <v>2378</v>
      </c>
      <c r="L3680" s="49" t="s">
        <v>23</v>
      </c>
      <c r="M3680" s="36">
        <f t="shared" si="33"/>
        <v>45909.6283</v>
      </c>
      <c r="N3680" s="30" t="str">
        <f t="shared" si="34"/>
        <v>Selesai</v>
      </c>
      <c r="O3680" s="45">
        <f t="shared" si="23"/>
        <v>45909.6283</v>
      </c>
      <c r="P3680" s="47" t="b">
        <v>0</v>
      </c>
      <c r="Q3680" s="36" t="str">
        <f t="shared" si="35"/>
        <v/>
      </c>
      <c r="R3680" s="47" t="b">
        <v>0</v>
      </c>
      <c r="S3680" s="42" t="str">
        <f t="shared" si="28"/>
        <v/>
      </c>
      <c r="T3680" s="42"/>
    </row>
    <row r="3681" ht="22.5" customHeight="1">
      <c r="B3681" s="42">
        <f t="shared" si="7"/>
        <v>3675</v>
      </c>
      <c r="C3681" s="31" t="s">
        <v>3730</v>
      </c>
      <c r="D3681" s="34" t="str">
        <f t="array" ref="D3681">IFNA(_xlfn.XLOOKUP(C3681,Table_Tarikan_Warkah[Nomor Sertipikat],Table_Tarikan_Warkah[Nomor Tiket]),"")</f>
        <v>K/34/140725/2</v>
      </c>
      <c r="E3681" s="36">
        <f t="array" ref="E3681">IFNA(_xlfn.XLOOKUP(D3681,Table_Tarikan_Warkah[Nomor Tiket],Table_Tarikan_Warkah[Tanggal diserahkan kepada Validator]),"")</f>
        <v>45910.59334</v>
      </c>
      <c r="F3681" s="36" t="str">
        <f t="array" ref="F3681">IFNA(_xlfn.XLOOKUP(D3681,Table_Tarikan_Warkah[Nomor Tiket],Table_Tarikan_Warkah[Nama Petugas Warkah]),"")</f>
        <v>Berry</v>
      </c>
      <c r="G3681" s="39" t="str">
        <f t="array" ref="G3681">IFNA(_xlfn.XLOOKUP(D3681,Table_Tarikan_Warkah[Nomor Tiket],Table_Tarikan_Warkah[Jenis Permohonan]),"")</f>
        <v>BN HIBAH</v>
      </c>
      <c r="H3681" s="41" t="s">
        <v>2315</v>
      </c>
      <c r="I3681" s="49" t="s">
        <v>23</v>
      </c>
      <c r="J3681" s="36">
        <f t="shared" si="20"/>
        <v>45908.59536</v>
      </c>
      <c r="K3681" s="49" t="s">
        <v>2378</v>
      </c>
      <c r="L3681" s="49" t="s">
        <v>23</v>
      </c>
      <c r="M3681" s="36">
        <f t="shared" si="33"/>
        <v>45909.58391</v>
      </c>
      <c r="N3681" s="30" t="str">
        <f t="shared" si="34"/>
        <v>Selesai</v>
      </c>
      <c r="O3681" s="45">
        <f t="shared" si="23"/>
        <v>45909.58391</v>
      </c>
      <c r="P3681" s="47" t="b">
        <v>0</v>
      </c>
      <c r="Q3681" s="36" t="str">
        <f t="shared" si="35"/>
        <v/>
      </c>
      <c r="R3681" s="47" t="b">
        <v>0</v>
      </c>
      <c r="S3681" s="42" t="str">
        <f t="shared" si="28"/>
        <v/>
      </c>
      <c r="T3681" s="42"/>
    </row>
    <row r="3682" ht="22.5" customHeight="1">
      <c r="B3682" s="42">
        <f t="shared" si="7"/>
        <v>3676</v>
      </c>
      <c r="C3682" s="31" t="s">
        <v>3731</v>
      </c>
      <c r="D3682" s="34" t="str">
        <f t="array" ref="D3682">IFNA(_xlfn.XLOOKUP(C3682,Table_Tarikan_Warkah[Nomor Sertipikat],Table_Tarikan_Warkah[Nomor Tiket]),"")</f>
        <v>K/4/190825/1</v>
      </c>
      <c r="E3682" s="36" t="str">
        <f t="array" ref="E3682">IFNA(_xlfn.XLOOKUP(D3682,Table_Tarikan_Warkah[Nomor Tiket],Table_Tarikan_Warkah[Tanggal diserahkan kepada Validator]),"")</f>
        <v/>
      </c>
      <c r="F3682" s="36" t="str">
        <f t="array" ref="F3682">IFNA(_xlfn.XLOOKUP(D3682,Table_Tarikan_Warkah[Nomor Tiket],Table_Tarikan_Warkah[Nama Petugas Warkah]),"")</f>
        <v/>
      </c>
      <c r="G3682" s="39" t="str">
        <f t="array" ref="G3682">IFNA(_xlfn.XLOOKUP(D3682,Table_Tarikan_Warkah[Nomor Tiket],Table_Tarikan_Warkah[Jenis Permohonan]),"")</f>
        <v>PENINGKATAN HAK</v>
      </c>
      <c r="H3682" s="41" t="s">
        <v>2315</v>
      </c>
      <c r="I3682" s="49" t="s">
        <v>23</v>
      </c>
      <c r="J3682" s="36">
        <f t="shared" si="20"/>
        <v>45908.59562</v>
      </c>
      <c r="K3682" s="49" t="s">
        <v>2378</v>
      </c>
      <c r="L3682" s="49" t="s">
        <v>23</v>
      </c>
      <c r="M3682" s="36">
        <f t="shared" si="33"/>
        <v>45909.62816</v>
      </c>
      <c r="N3682" s="30" t="str">
        <f t="shared" si="34"/>
        <v>Selesai</v>
      </c>
      <c r="O3682" s="45">
        <f t="shared" si="23"/>
        <v>45909.62816</v>
      </c>
      <c r="P3682" s="47" t="b">
        <v>0</v>
      </c>
      <c r="Q3682" s="36" t="str">
        <f t="shared" si="35"/>
        <v/>
      </c>
      <c r="R3682" s="47" t="b">
        <v>0</v>
      </c>
      <c r="S3682" s="42" t="str">
        <f t="shared" si="28"/>
        <v/>
      </c>
      <c r="T3682" s="42"/>
    </row>
    <row r="3683" ht="22.5" customHeight="1">
      <c r="B3683" s="42">
        <f t="shared" si="7"/>
        <v>3677</v>
      </c>
      <c r="C3683" s="31" t="s">
        <v>3732</v>
      </c>
      <c r="D3683" s="34" t="str">
        <f t="array" ref="D3683">IFNA(_xlfn.XLOOKUP(C3683,Table_Tarikan_Warkah[Nomor Sertipikat],Table_Tarikan_Warkah[Nomor Tiket]),"")</f>
        <v>K/21/210825/1</v>
      </c>
      <c r="E3683" s="36" t="str">
        <f t="array" ref="E3683">IFNA(_xlfn.XLOOKUP(D3683,Table_Tarikan_Warkah[Nomor Tiket],Table_Tarikan_Warkah[Tanggal diserahkan kepada Validator]),"")</f>
        <v/>
      </c>
      <c r="F3683" s="36" t="str">
        <f t="array" ref="F3683">IFNA(_xlfn.XLOOKUP(D3683,Table_Tarikan_Warkah[Nomor Tiket],Table_Tarikan_Warkah[Nama Petugas Warkah]),"")</f>
        <v/>
      </c>
      <c r="G3683" s="39" t="str">
        <f t="array" ref="G3683">IFNA(_xlfn.XLOOKUP(D3683,Table_Tarikan_Warkah[Nomor Tiket],Table_Tarikan_Warkah[Jenis Permohonan]),"")</f>
        <v>BN JUAL BELI</v>
      </c>
      <c r="H3683" s="41" t="s">
        <v>2315</v>
      </c>
      <c r="I3683" s="49" t="s">
        <v>23</v>
      </c>
      <c r="J3683" s="36">
        <f t="shared" si="20"/>
        <v>45908.5957</v>
      </c>
      <c r="K3683" s="49" t="s">
        <v>2378</v>
      </c>
      <c r="L3683" s="49" t="s">
        <v>23</v>
      </c>
      <c r="M3683" s="36">
        <f t="shared" si="33"/>
        <v>45909.58337</v>
      </c>
      <c r="N3683" s="30" t="str">
        <f t="shared" si="34"/>
        <v>Selesai</v>
      </c>
      <c r="O3683" s="45">
        <f t="shared" si="23"/>
        <v>45909.58337</v>
      </c>
      <c r="P3683" s="47" t="b">
        <v>0</v>
      </c>
      <c r="Q3683" s="36" t="str">
        <f t="shared" si="35"/>
        <v/>
      </c>
      <c r="R3683" s="47" t="b">
        <v>0</v>
      </c>
      <c r="S3683" s="42" t="str">
        <f t="shared" si="28"/>
        <v/>
      </c>
      <c r="T3683" s="42"/>
    </row>
    <row r="3684" ht="22.5" customHeight="1">
      <c r="B3684" s="42">
        <f t="shared" si="7"/>
        <v>3678</v>
      </c>
      <c r="C3684" s="31" t="s">
        <v>3733</v>
      </c>
      <c r="D3684" s="34" t="str">
        <f t="array" ref="D3684">IFNA(_xlfn.XLOOKUP(C3684,Table_Tarikan_Warkah[Nomor Sertipikat],Table_Tarikan_Warkah[Nomor Tiket]),"")</f>
        <v>K/9/250825/2</v>
      </c>
      <c r="E3684" s="36">
        <f t="array" ref="E3684">IFNA(_xlfn.XLOOKUP(D3684,Table_Tarikan_Warkah[Nomor Tiket],Table_Tarikan_Warkah[Tanggal diserahkan kepada Validator]),"")</f>
        <v>45938.49441</v>
      </c>
      <c r="F3684" s="36" t="str">
        <f t="array" ref="F3684">IFNA(_xlfn.XLOOKUP(D3684,Table_Tarikan_Warkah[Nomor Tiket],Table_Tarikan_Warkah[Nama Petugas Warkah]),"")</f>
        <v>Berry</v>
      </c>
      <c r="G3684" s="39" t="str">
        <f t="array" ref="G3684">IFNA(_xlfn.XLOOKUP(D3684,Table_Tarikan_Warkah[Nomor Tiket],Table_Tarikan_Warkah[Jenis Permohonan]),"")</f>
        <v>BN JUAL BELI</v>
      </c>
      <c r="H3684" s="41" t="s">
        <v>2315</v>
      </c>
      <c r="I3684" s="49" t="s">
        <v>23</v>
      </c>
      <c r="J3684" s="36">
        <f t="shared" si="20"/>
        <v>45908.59584</v>
      </c>
      <c r="K3684" s="49" t="s">
        <v>2378</v>
      </c>
      <c r="L3684" s="49" t="s">
        <v>23</v>
      </c>
      <c r="M3684" s="36">
        <f t="shared" si="33"/>
        <v>45909.58691</v>
      </c>
      <c r="N3684" s="30" t="str">
        <f t="shared" si="34"/>
        <v>Selesai</v>
      </c>
      <c r="O3684" s="45">
        <f t="shared" si="23"/>
        <v>45909.58691</v>
      </c>
      <c r="P3684" s="47" t="b">
        <v>0</v>
      </c>
      <c r="Q3684" s="36" t="str">
        <f t="shared" si="35"/>
        <v/>
      </c>
      <c r="R3684" s="47" t="b">
        <v>0</v>
      </c>
      <c r="S3684" s="42" t="str">
        <f t="shared" si="28"/>
        <v/>
      </c>
      <c r="T3684" s="42"/>
    </row>
    <row r="3685" ht="22.5" customHeight="1">
      <c r="B3685" s="42">
        <f t="shared" si="7"/>
        <v>3679</v>
      </c>
      <c r="C3685" s="31" t="s">
        <v>3734</v>
      </c>
      <c r="D3685" s="34" t="str">
        <f t="array" ref="D3685">IFNA(_xlfn.XLOOKUP(C3685,Table_Tarikan_Warkah[Nomor Sertipikat],Table_Tarikan_Warkah[Nomor Tiket]),"")</f>
        <v>K/31/290825/1</v>
      </c>
      <c r="E3685" s="36">
        <f t="array" ref="E3685">IFNA(_xlfn.XLOOKUP(D3685,Table_Tarikan_Warkah[Nomor Tiket],Table_Tarikan_Warkah[Tanggal diserahkan kepada Validator]),"")</f>
        <v>45924.68996</v>
      </c>
      <c r="F3685" s="36" t="str">
        <f t="array" ref="F3685">IFNA(_xlfn.XLOOKUP(D3685,Table_Tarikan_Warkah[Nomor Tiket],Table_Tarikan_Warkah[Nama Petugas Warkah]),"")</f>
        <v>Berry</v>
      </c>
      <c r="G3685" s="39" t="str">
        <f t="array" ref="G3685">IFNA(_xlfn.XLOOKUP(D3685,Table_Tarikan_Warkah[Nomor Tiket],Table_Tarikan_Warkah[Jenis Permohonan]),"")</f>
        <v>BN JUAL BELI EL</v>
      </c>
      <c r="H3685" s="41" t="s">
        <v>2315</v>
      </c>
      <c r="I3685" s="49" t="s">
        <v>23</v>
      </c>
      <c r="J3685" s="36">
        <f t="shared" si="20"/>
        <v>45908.59594</v>
      </c>
      <c r="K3685" s="49" t="s">
        <v>2378</v>
      </c>
      <c r="L3685" s="49" t="s">
        <v>23</v>
      </c>
      <c r="M3685" s="36">
        <f t="shared" si="33"/>
        <v>45909.58351</v>
      </c>
      <c r="N3685" s="30" t="str">
        <f t="shared" si="34"/>
        <v>Selesai</v>
      </c>
      <c r="O3685" s="45">
        <f t="shared" si="23"/>
        <v>45909.58351</v>
      </c>
      <c r="P3685" s="47" t="b">
        <v>0</v>
      </c>
      <c r="Q3685" s="36" t="str">
        <f t="shared" si="35"/>
        <v/>
      </c>
      <c r="R3685" s="47" t="b">
        <v>0</v>
      </c>
      <c r="S3685" s="42" t="str">
        <f t="shared" si="28"/>
        <v/>
      </c>
      <c r="T3685" s="42"/>
    </row>
    <row r="3686" ht="22.5" customHeight="1">
      <c r="B3686" s="42">
        <f t="shared" si="7"/>
        <v>3680</v>
      </c>
      <c r="C3686" s="31" t="s">
        <v>3735</v>
      </c>
      <c r="D3686" s="34" t="str">
        <f t="array" ref="D3686">IFNA(_xlfn.XLOOKUP(C3686,Table_Tarikan_Warkah[Nomor Sertipikat],Table_Tarikan_Warkah[Nomor Tiket]),"")</f>
        <v>K/2/160625/1</v>
      </c>
      <c r="E3686" s="36">
        <f t="array" ref="E3686">IFNA(_xlfn.XLOOKUP(D3686,Table_Tarikan_Warkah[Nomor Tiket],Table_Tarikan_Warkah[Tanggal diserahkan kepada Validator]),"")</f>
        <v>45910.5935</v>
      </c>
      <c r="F3686" s="36" t="str">
        <f t="array" ref="F3686">IFNA(_xlfn.XLOOKUP(D3686,Table_Tarikan_Warkah[Nomor Tiket],Table_Tarikan_Warkah[Nama Petugas Warkah]),"")</f>
        <v>Berry</v>
      </c>
      <c r="G3686" s="39" t="str">
        <f t="array" ref="G3686">IFNA(_xlfn.XLOOKUP(D3686,Table_Tarikan_Warkah[Nomor Tiket],Table_Tarikan_Warkah[Jenis Permohonan]),"")</f>
        <v>BN WARIS</v>
      </c>
      <c r="H3686" s="41" t="s">
        <v>2315</v>
      </c>
      <c r="I3686" s="49" t="s">
        <v>23</v>
      </c>
      <c r="J3686" s="36">
        <f t="shared" si="20"/>
        <v>45908.59607</v>
      </c>
      <c r="K3686" s="49" t="s">
        <v>2378</v>
      </c>
      <c r="L3686" s="49" t="s">
        <v>23</v>
      </c>
      <c r="M3686" s="36">
        <f t="shared" si="33"/>
        <v>45909.58669</v>
      </c>
      <c r="N3686" s="30" t="str">
        <f t="shared" si="34"/>
        <v>Selesai</v>
      </c>
      <c r="O3686" s="45">
        <f t="shared" si="23"/>
        <v>45909.58669</v>
      </c>
      <c r="P3686" s="47" t="b">
        <v>0</v>
      </c>
      <c r="Q3686" s="36" t="str">
        <f t="shared" si="35"/>
        <v/>
      </c>
      <c r="R3686" s="47" t="b">
        <v>0</v>
      </c>
      <c r="S3686" s="42" t="str">
        <f t="shared" si="28"/>
        <v/>
      </c>
      <c r="T3686" s="42"/>
    </row>
    <row r="3687" ht="22.5" customHeight="1">
      <c r="B3687" s="42">
        <f t="shared" si="7"/>
        <v>3681</v>
      </c>
      <c r="C3687" s="31" t="s">
        <v>3736</v>
      </c>
      <c r="D3687" s="34" t="str">
        <f t="array" ref="D3687">IFNA(_xlfn.XLOOKUP(C3687,Table_Tarikan_Warkah[Nomor Sertipikat],Table_Tarikan_Warkah[Nomor Tiket]),"")</f>
        <v>K/37/200825/1</v>
      </c>
      <c r="E3687" s="36" t="str">
        <f t="array" ref="E3687">IFNA(_xlfn.XLOOKUP(D3687,Table_Tarikan_Warkah[Nomor Tiket],Table_Tarikan_Warkah[Tanggal diserahkan kepada Validator]),"")</f>
        <v/>
      </c>
      <c r="F3687" s="36" t="str">
        <f t="array" ref="F3687">IFNA(_xlfn.XLOOKUP(D3687,Table_Tarikan_Warkah[Nomor Tiket],Table_Tarikan_Warkah[Nama Petugas Warkah]),"")</f>
        <v/>
      </c>
      <c r="G3687" s="39" t="str">
        <f t="array" ref="G3687">IFNA(_xlfn.XLOOKUP(D3687,Table_Tarikan_Warkah[Nomor Tiket],Table_Tarikan_Warkah[Jenis Permohonan]),"")</f>
        <v>BN JUAL BELI</v>
      </c>
      <c r="H3687" s="41" t="s">
        <v>2315</v>
      </c>
      <c r="I3687" s="49" t="s">
        <v>23</v>
      </c>
      <c r="J3687" s="36">
        <f t="shared" si="20"/>
        <v>45908.59624</v>
      </c>
      <c r="K3687" s="49" t="s">
        <v>2378</v>
      </c>
      <c r="L3687" s="49" t="s">
        <v>23</v>
      </c>
      <c r="M3687" s="36">
        <f t="shared" si="33"/>
        <v>45909.58367</v>
      </c>
      <c r="N3687" s="30" t="str">
        <f t="shared" si="34"/>
        <v>Selesai</v>
      </c>
      <c r="O3687" s="45">
        <f t="shared" si="23"/>
        <v>45909.58367</v>
      </c>
      <c r="P3687" s="47" t="b">
        <v>0</v>
      </c>
      <c r="Q3687" s="36" t="str">
        <f t="shared" si="35"/>
        <v/>
      </c>
      <c r="R3687" s="47" t="b">
        <v>0</v>
      </c>
      <c r="S3687" s="42" t="str">
        <f t="shared" si="28"/>
        <v/>
      </c>
      <c r="T3687" s="42"/>
    </row>
    <row r="3688" ht="22.5" customHeight="1">
      <c r="B3688" s="42">
        <f t="shared" si="7"/>
        <v>3682</v>
      </c>
      <c r="C3688" s="31" t="s">
        <v>3737</v>
      </c>
      <c r="D3688" s="34" t="str">
        <f t="array" ref="D3688">IFNA(_xlfn.XLOOKUP(C3688,Table_Tarikan_Warkah[Nomor Sertipikat],Table_Tarikan_Warkah[Nomor Tiket]),"")</f>
        <v>K/7/190826/1</v>
      </c>
      <c r="E3688" s="36" t="str">
        <f t="array" ref="E3688">IFNA(_xlfn.XLOOKUP(D3688,Table_Tarikan_Warkah[Nomor Tiket],Table_Tarikan_Warkah[Tanggal diserahkan kepada Validator]),"")</f>
        <v/>
      </c>
      <c r="F3688" s="36" t="str">
        <f t="array" ref="F3688">IFNA(_xlfn.XLOOKUP(D3688,Table_Tarikan_Warkah[Nomor Tiket],Table_Tarikan_Warkah[Nama Petugas Warkah]),"")</f>
        <v/>
      </c>
      <c r="G3688" s="39" t="str">
        <f t="array" ref="G3688">IFNA(_xlfn.XLOOKUP(D3688,Table_Tarikan_Warkah[Nomor Tiket],Table_Tarikan_Warkah[Jenis Permohonan]),"")</f>
        <v>PERUBAHAN HAK</v>
      </c>
      <c r="H3688" s="41" t="s">
        <v>2315</v>
      </c>
      <c r="I3688" s="49" t="s">
        <v>23</v>
      </c>
      <c r="J3688" s="36">
        <f t="shared" si="20"/>
        <v>45908.59638</v>
      </c>
      <c r="K3688" s="49" t="s">
        <v>2378</v>
      </c>
      <c r="L3688" s="49" t="s">
        <v>23</v>
      </c>
      <c r="M3688" s="36">
        <f t="shared" si="33"/>
        <v>45909.58307</v>
      </c>
      <c r="N3688" s="30" t="str">
        <f t="shared" si="34"/>
        <v>Selesai</v>
      </c>
      <c r="O3688" s="45">
        <f t="shared" si="23"/>
        <v>45909.58307</v>
      </c>
      <c r="P3688" s="47" t="b">
        <v>0</v>
      </c>
      <c r="Q3688" s="36" t="str">
        <f t="shared" si="35"/>
        <v/>
      </c>
      <c r="R3688" s="47" t="b">
        <v>0</v>
      </c>
      <c r="S3688" s="42" t="str">
        <f t="shared" si="28"/>
        <v/>
      </c>
      <c r="T3688" s="42"/>
    </row>
    <row r="3689" ht="22.5" customHeight="1">
      <c r="B3689" s="42">
        <f t="shared" si="7"/>
        <v>3683</v>
      </c>
      <c r="C3689" s="31" t="s">
        <v>3738</v>
      </c>
      <c r="D3689" s="34" t="str">
        <f t="array" ref="D3689">IFNA(_xlfn.XLOOKUP(C3689,Table_Tarikan_Warkah[Nomor Sertipikat],Table_Tarikan_Warkah[Nomor Tiket]),"")</f>
        <v>L/3/220825/1</v>
      </c>
      <c r="E3689" s="36" t="str">
        <f t="array" ref="E3689">IFNA(_xlfn.XLOOKUP(D3689,Table_Tarikan_Warkah[Nomor Tiket],Table_Tarikan_Warkah[Tanggal diserahkan kepada Validator]),"")</f>
        <v/>
      </c>
      <c r="F3689" s="36" t="str">
        <f t="array" ref="F3689">IFNA(_xlfn.XLOOKUP(D3689,Table_Tarikan_Warkah[Nomor Tiket],Table_Tarikan_Warkah[Nama Petugas Warkah]),"")</f>
        <v/>
      </c>
      <c r="G3689" s="39" t="str">
        <f t="array" ref="G3689">IFNA(_xlfn.XLOOKUP(D3689,Table_Tarikan_Warkah[Nomor Tiket],Table_Tarikan_Warkah[Jenis Permohonan]),"")</f>
        <v>ROYA</v>
      </c>
      <c r="H3689" s="41" t="s">
        <v>2315</v>
      </c>
      <c r="I3689" s="49" t="s">
        <v>23</v>
      </c>
      <c r="J3689" s="36">
        <f t="shared" si="20"/>
        <v>45908.59655</v>
      </c>
      <c r="K3689" s="49" t="s">
        <v>2378</v>
      </c>
      <c r="L3689" s="49" t="s">
        <v>23</v>
      </c>
      <c r="M3689" s="36">
        <f t="shared" si="33"/>
        <v>45909.58377</v>
      </c>
      <c r="N3689" s="30" t="str">
        <f t="shared" si="34"/>
        <v>Selesai</v>
      </c>
      <c r="O3689" s="45">
        <f t="shared" si="23"/>
        <v>45909.58377</v>
      </c>
      <c r="P3689" s="47" t="b">
        <v>0</v>
      </c>
      <c r="Q3689" s="36" t="str">
        <f t="shared" si="35"/>
        <v/>
      </c>
      <c r="R3689" s="47" t="b">
        <v>0</v>
      </c>
      <c r="S3689" s="42" t="str">
        <f t="shared" si="28"/>
        <v/>
      </c>
      <c r="T3689" s="42"/>
    </row>
    <row r="3690" ht="22.5" customHeight="1">
      <c r="B3690" s="42">
        <f t="shared" si="7"/>
        <v>3684</v>
      </c>
      <c r="C3690" s="31" t="s">
        <v>3739</v>
      </c>
      <c r="D3690" s="34" t="str">
        <f t="array" ref="D3690">IFNA(_xlfn.XLOOKUP(C3690,Table_Tarikan_Warkah[Nomor Sertipikat],Table_Tarikan_Warkah[Nomor Tiket]),"")</f>
        <v>L/35/260825/1</v>
      </c>
      <c r="E3690" s="36" t="str">
        <f t="array" ref="E3690">IFNA(_xlfn.XLOOKUP(D3690,Table_Tarikan_Warkah[Nomor Tiket],Table_Tarikan_Warkah[Tanggal diserahkan kepada Validator]),"")</f>
        <v/>
      </c>
      <c r="F3690" s="36" t="str">
        <f t="array" ref="F3690">IFNA(_xlfn.XLOOKUP(D3690,Table_Tarikan_Warkah[Nomor Tiket],Table_Tarikan_Warkah[Nama Petugas Warkah]),"")</f>
        <v/>
      </c>
      <c r="G3690" s="39" t="str">
        <f t="array" ref="G3690">IFNA(_xlfn.XLOOKUP(D3690,Table_Tarikan_Warkah[Nomor Tiket],Table_Tarikan_Warkah[Jenis Permohonan]),"")</f>
        <v>PENINGKATAN HAK</v>
      </c>
      <c r="H3690" s="41" t="s">
        <v>2315</v>
      </c>
      <c r="I3690" s="49" t="s">
        <v>23</v>
      </c>
      <c r="J3690" s="36">
        <f t="shared" si="20"/>
        <v>45908.59666</v>
      </c>
      <c r="K3690" s="49" t="s">
        <v>2378</v>
      </c>
      <c r="L3690" s="49" t="s">
        <v>23</v>
      </c>
      <c r="M3690" s="36">
        <f t="shared" si="33"/>
        <v>45909.58321</v>
      </c>
      <c r="N3690" s="30" t="str">
        <f t="shared" si="34"/>
        <v>Selesai</v>
      </c>
      <c r="O3690" s="45">
        <f t="shared" si="23"/>
        <v>45909.58321</v>
      </c>
      <c r="P3690" s="47" t="b">
        <v>0</v>
      </c>
      <c r="Q3690" s="36" t="str">
        <f t="shared" si="35"/>
        <v/>
      </c>
      <c r="R3690" s="47" t="b">
        <v>0</v>
      </c>
      <c r="S3690" s="42" t="str">
        <f t="shared" si="28"/>
        <v/>
      </c>
      <c r="T3690" s="42"/>
    </row>
    <row r="3691" ht="22.5" customHeight="1">
      <c r="B3691" s="42">
        <f t="shared" si="7"/>
        <v>3685</v>
      </c>
      <c r="C3691" s="31" t="s">
        <v>3740</v>
      </c>
      <c r="D3691" s="34" t="str">
        <f t="array" ref="D3691">IFNA(_xlfn.XLOOKUP(C3691,Table_Tarikan_Warkah[Nomor Sertipikat],Table_Tarikan_Warkah[Nomor Tiket]),"")</f>
        <v>L/48/260825/1</v>
      </c>
      <c r="E3691" s="36" t="str">
        <f t="array" ref="E3691">IFNA(_xlfn.XLOOKUP(D3691,Table_Tarikan_Warkah[Nomor Tiket],Table_Tarikan_Warkah[Tanggal diserahkan kepada Validator]),"")</f>
        <v/>
      </c>
      <c r="F3691" s="36" t="str">
        <f t="array" ref="F3691">IFNA(_xlfn.XLOOKUP(D3691,Table_Tarikan_Warkah[Nomor Tiket],Table_Tarikan_Warkah[Nama Petugas Warkah]),"")</f>
        <v/>
      </c>
      <c r="G3691" s="39" t="str">
        <f t="array" ref="G3691">IFNA(_xlfn.XLOOKUP(D3691,Table_Tarikan_Warkah[Nomor Tiket],Table_Tarikan_Warkah[Jenis Permohonan]),"")</f>
        <v>ROYA</v>
      </c>
      <c r="H3691" s="41" t="s">
        <v>2315</v>
      </c>
      <c r="I3691" s="49" t="s">
        <v>23</v>
      </c>
      <c r="J3691" s="36">
        <f t="shared" si="20"/>
        <v>45908.59678</v>
      </c>
      <c r="K3691" s="49" t="s">
        <v>2378</v>
      </c>
      <c r="L3691" s="49" t="s">
        <v>23</v>
      </c>
      <c r="M3691" s="36">
        <f t="shared" si="33"/>
        <v>45909.58463</v>
      </c>
      <c r="N3691" s="30" t="str">
        <f t="shared" si="34"/>
        <v>Selesai</v>
      </c>
      <c r="O3691" s="45">
        <f t="shared" si="23"/>
        <v>45909.58463</v>
      </c>
      <c r="P3691" s="47" t="b">
        <v>0</v>
      </c>
      <c r="Q3691" s="36" t="str">
        <f t="shared" si="35"/>
        <v/>
      </c>
      <c r="R3691" s="47" t="b">
        <v>0</v>
      </c>
      <c r="S3691" s="42" t="str">
        <f t="shared" si="28"/>
        <v/>
      </c>
      <c r="T3691" s="42"/>
    </row>
    <row r="3692" ht="22.5" customHeight="1">
      <c r="B3692" s="42">
        <f t="shared" si="7"/>
        <v>3686</v>
      </c>
      <c r="C3692" s="31" t="s">
        <v>3741</v>
      </c>
      <c r="D3692" s="34" t="str">
        <f t="array" ref="D3692">IFNA(_xlfn.XLOOKUP(C3692,Table_Tarikan_Warkah[Nomor Sertipikat],Table_Tarikan_Warkah[Nomor Tiket]),"")</f>
        <v>L/29/150825/1</v>
      </c>
      <c r="E3692" s="36" t="str">
        <f t="array" ref="E3692">IFNA(_xlfn.XLOOKUP(D3692,Table_Tarikan_Warkah[Nomor Tiket],Table_Tarikan_Warkah[Tanggal diserahkan kepada Validator]),"")</f>
        <v/>
      </c>
      <c r="F3692" s="36" t="str">
        <f t="array" ref="F3692">IFNA(_xlfn.XLOOKUP(D3692,Table_Tarikan_Warkah[Nomor Tiket],Table_Tarikan_Warkah[Nama Petugas Warkah]),"")</f>
        <v/>
      </c>
      <c r="G3692" s="39" t="str">
        <f t="array" ref="G3692">IFNA(_xlfn.XLOOKUP(D3692,Table_Tarikan_Warkah[Nomor Tiket],Table_Tarikan_Warkah[Jenis Permohonan]),"")</f>
        <v>BN WARIS</v>
      </c>
      <c r="H3692" s="41" t="s">
        <v>2315</v>
      </c>
      <c r="I3692" s="49" t="s">
        <v>23</v>
      </c>
      <c r="J3692" s="36">
        <f t="shared" si="20"/>
        <v>45908.59703</v>
      </c>
      <c r="K3692" s="49" t="s">
        <v>2378</v>
      </c>
      <c r="L3692" s="49" t="s">
        <v>23</v>
      </c>
      <c r="M3692" s="36">
        <f t="shared" si="33"/>
        <v>45909.58479</v>
      </c>
      <c r="N3692" s="30" t="str">
        <f t="shared" si="34"/>
        <v>Selesai</v>
      </c>
      <c r="O3692" s="45">
        <f t="shared" si="23"/>
        <v>45909.58479</v>
      </c>
      <c r="P3692" s="47" t="b">
        <v>0</v>
      </c>
      <c r="Q3692" s="36" t="str">
        <f t="shared" si="35"/>
        <v/>
      </c>
      <c r="R3692" s="47" t="b">
        <v>0</v>
      </c>
      <c r="S3692" s="42" t="str">
        <f t="shared" si="28"/>
        <v/>
      </c>
      <c r="T3692" s="42"/>
    </row>
    <row r="3693" ht="22.5" customHeight="1">
      <c r="B3693" s="42">
        <f t="shared" si="7"/>
        <v>3687</v>
      </c>
      <c r="C3693" s="31" t="s">
        <v>3742</v>
      </c>
      <c r="D3693" s="34" t="str">
        <f t="array" ref="D3693">IFNA(_xlfn.XLOOKUP(C3693,Table_Tarikan_Warkah[Nomor Sertipikat],Table_Tarikan_Warkah[Nomor Tiket]),"")</f>
        <v>K/24/080825/1</v>
      </c>
      <c r="E3693" s="36" t="str">
        <f t="array" ref="E3693">IFNA(_xlfn.XLOOKUP(D3693,Table_Tarikan_Warkah[Nomor Tiket],Table_Tarikan_Warkah[Tanggal diserahkan kepada Validator]),"")</f>
        <v/>
      </c>
      <c r="F3693" s="36" t="str">
        <f t="array" ref="F3693">IFNA(_xlfn.XLOOKUP(D3693,Table_Tarikan_Warkah[Nomor Tiket],Table_Tarikan_Warkah[Nama Petugas Warkah]),"")</f>
        <v/>
      </c>
      <c r="G3693" s="39" t="str">
        <f t="array" ref="G3693">IFNA(_xlfn.XLOOKUP(D3693,Table_Tarikan_Warkah[Nomor Tiket],Table_Tarikan_Warkah[Jenis Permohonan]),"")</f>
        <v>BN Jual Beli</v>
      </c>
      <c r="H3693" s="41" t="s">
        <v>2315</v>
      </c>
      <c r="I3693" s="49" t="s">
        <v>23</v>
      </c>
      <c r="J3693" s="36">
        <f t="shared" si="20"/>
        <v>45908.59716</v>
      </c>
      <c r="K3693" s="49" t="s">
        <v>2378</v>
      </c>
      <c r="L3693" s="49" t="s">
        <v>23</v>
      </c>
      <c r="M3693" s="36">
        <f t="shared" si="33"/>
        <v>45909.58653</v>
      </c>
      <c r="N3693" s="30" t="str">
        <f t="shared" si="34"/>
        <v>Selesai</v>
      </c>
      <c r="O3693" s="45">
        <f t="shared" si="23"/>
        <v>45909.58653</v>
      </c>
      <c r="P3693" s="47" t="b">
        <v>0</v>
      </c>
      <c r="Q3693" s="36" t="str">
        <f t="shared" si="35"/>
        <v/>
      </c>
      <c r="R3693" s="47" t="b">
        <v>0</v>
      </c>
      <c r="S3693" s="42" t="str">
        <f t="shared" si="28"/>
        <v/>
      </c>
      <c r="T3693" s="42"/>
    </row>
    <row r="3694" ht="22.5" customHeight="1">
      <c r="B3694" s="42">
        <f t="shared" si="7"/>
        <v>3688</v>
      </c>
      <c r="C3694" s="31" t="s">
        <v>3743</v>
      </c>
      <c r="D3694" s="34" t="str">
        <f t="array" ref="D3694">IFNA(_xlfn.XLOOKUP(C3694,Table_Tarikan_Warkah[Nomor Sertipikat],Table_Tarikan_Warkah[Nomor Tiket]),"")</f>
        <v>K/20/200825/2</v>
      </c>
      <c r="E3694" s="36" t="str">
        <f t="array" ref="E3694">IFNA(_xlfn.XLOOKUP(D3694,Table_Tarikan_Warkah[Nomor Tiket],Table_Tarikan_Warkah[Tanggal diserahkan kepada Validator]),"")</f>
        <v/>
      </c>
      <c r="F3694" s="36" t="str">
        <f t="array" ref="F3694">IFNA(_xlfn.XLOOKUP(D3694,Table_Tarikan_Warkah[Nomor Tiket],Table_Tarikan_Warkah[Nama Petugas Warkah]),"")</f>
        <v/>
      </c>
      <c r="G3694" s="39" t="str">
        <f t="array" ref="G3694">IFNA(_xlfn.XLOOKUP(D3694,Table_Tarikan_Warkah[Nomor Tiket],Table_Tarikan_Warkah[Jenis Permohonan]),"")</f>
        <v>Roya Lelang</v>
      </c>
      <c r="H3694" s="41" t="s">
        <v>2315</v>
      </c>
      <c r="I3694" s="49" t="s">
        <v>23</v>
      </c>
      <c r="J3694" s="36">
        <f t="shared" si="20"/>
        <v>45908.59735</v>
      </c>
      <c r="K3694" s="49" t="s">
        <v>2378</v>
      </c>
      <c r="L3694" s="49" t="s">
        <v>23</v>
      </c>
      <c r="M3694" s="36">
        <f t="shared" si="33"/>
        <v>45909.58493</v>
      </c>
      <c r="N3694" s="30" t="str">
        <f t="shared" si="34"/>
        <v>Selesai</v>
      </c>
      <c r="O3694" s="45">
        <f t="shared" si="23"/>
        <v>45909.58493</v>
      </c>
      <c r="P3694" s="47" t="b">
        <v>0</v>
      </c>
      <c r="Q3694" s="36" t="str">
        <f t="shared" si="35"/>
        <v/>
      </c>
      <c r="R3694" s="47" t="b">
        <v>0</v>
      </c>
      <c r="S3694" s="42" t="str">
        <f t="shared" si="28"/>
        <v/>
      </c>
      <c r="T3694" s="42"/>
    </row>
    <row r="3695" ht="22.5" customHeight="1">
      <c r="B3695" s="42">
        <f t="shared" si="7"/>
        <v>3689</v>
      </c>
      <c r="C3695" s="31" t="s">
        <v>3744</v>
      </c>
      <c r="D3695" s="34" t="str">
        <f t="array" ref="D3695">IFNA(_xlfn.XLOOKUP(C3695,Table_Tarikan_Warkah[Nomor Sertipikat],Table_Tarikan_Warkah[Nomor Tiket]),"")</f>
        <v>K/2/260825/2</v>
      </c>
      <c r="E3695" s="36" t="str">
        <f t="array" ref="E3695">IFNA(_xlfn.XLOOKUP(D3695,Table_Tarikan_Warkah[Nomor Tiket],Table_Tarikan_Warkah[Tanggal diserahkan kepada Validator]),"")</f>
        <v/>
      </c>
      <c r="F3695" s="36" t="str">
        <f t="array" ref="F3695">IFNA(_xlfn.XLOOKUP(D3695,Table_Tarikan_Warkah[Nomor Tiket],Table_Tarikan_Warkah[Nama Petugas Warkah]),"")</f>
        <v/>
      </c>
      <c r="G3695" s="39" t="str">
        <f t="array" ref="G3695">IFNA(_xlfn.XLOOKUP(D3695,Table_Tarikan_Warkah[Nomor Tiket],Table_Tarikan_Warkah[Jenis Permohonan]),"")</f>
        <v>Roya	</v>
      </c>
      <c r="H3695" s="41" t="s">
        <v>2315</v>
      </c>
      <c r="I3695" s="49" t="s">
        <v>23</v>
      </c>
      <c r="J3695" s="36">
        <f t="shared" si="20"/>
        <v>45908.59749</v>
      </c>
      <c r="K3695" s="49" t="s">
        <v>2378</v>
      </c>
      <c r="L3695" s="49" t="s">
        <v>23</v>
      </c>
      <c r="M3695" s="36">
        <f t="shared" si="33"/>
        <v>45909.585</v>
      </c>
      <c r="N3695" s="30" t="str">
        <f t="shared" si="34"/>
        <v>Selesai</v>
      </c>
      <c r="O3695" s="45">
        <f t="shared" si="23"/>
        <v>45909.585</v>
      </c>
      <c r="P3695" s="47" t="b">
        <v>0</v>
      </c>
      <c r="Q3695" s="36" t="str">
        <f t="shared" si="35"/>
        <v/>
      </c>
      <c r="R3695" s="47" t="b">
        <v>0</v>
      </c>
      <c r="S3695" s="42" t="str">
        <f t="shared" si="28"/>
        <v/>
      </c>
      <c r="T3695" s="42"/>
    </row>
    <row r="3696" ht="22.5" customHeight="1">
      <c r="B3696" s="42">
        <f t="shared" si="7"/>
        <v>3690</v>
      </c>
      <c r="C3696" s="31" t="s">
        <v>3745</v>
      </c>
      <c r="D3696" s="34" t="str">
        <f t="array" ref="D3696">IFNA(_xlfn.XLOOKUP(C3696,Table_Tarikan_Warkah[Nomor Sertipikat],Table_Tarikan_Warkah[Nomor Tiket]),"")</f>
        <v>K/49/260825/1</v>
      </c>
      <c r="E3696" s="36" t="str">
        <f t="array" ref="E3696">IFNA(_xlfn.XLOOKUP(D3696,Table_Tarikan_Warkah[Nomor Tiket],Table_Tarikan_Warkah[Tanggal diserahkan kepada Validator]),"")</f>
        <v/>
      </c>
      <c r="F3696" s="36" t="str">
        <f t="array" ref="F3696">IFNA(_xlfn.XLOOKUP(D3696,Table_Tarikan_Warkah[Nomor Tiket],Table_Tarikan_Warkah[Nama Petugas Warkah]),"")</f>
        <v/>
      </c>
      <c r="G3696" s="39" t="str">
        <f t="array" ref="G3696">IFNA(_xlfn.XLOOKUP(D3696,Table_Tarikan_Warkah[Nomor Tiket],Table_Tarikan_Warkah[Jenis Permohonan]),"")</f>
        <v>Peningkatan hak	</v>
      </c>
      <c r="H3696" s="41" t="s">
        <v>2315</v>
      </c>
      <c r="I3696" s="49" t="s">
        <v>23</v>
      </c>
      <c r="J3696" s="36">
        <f t="shared" si="20"/>
        <v>45908.59765</v>
      </c>
      <c r="K3696" s="49" t="s">
        <v>2378</v>
      </c>
      <c r="L3696" s="49" t="s">
        <v>23</v>
      </c>
      <c r="M3696" s="36">
        <f t="shared" si="33"/>
        <v>45909.62844</v>
      </c>
      <c r="N3696" s="30" t="str">
        <f t="shared" si="34"/>
        <v>Selesai</v>
      </c>
      <c r="O3696" s="45">
        <f t="shared" si="23"/>
        <v>45909.62844</v>
      </c>
      <c r="P3696" s="47" t="b">
        <v>0</v>
      </c>
      <c r="Q3696" s="36" t="str">
        <f t="shared" si="35"/>
        <v/>
      </c>
      <c r="R3696" s="47" t="b">
        <v>0</v>
      </c>
      <c r="S3696" s="42" t="str">
        <f t="shared" si="28"/>
        <v/>
      </c>
      <c r="T3696" s="42"/>
    </row>
    <row r="3697" ht="22.5" customHeight="1">
      <c r="B3697" s="42">
        <f t="shared" si="7"/>
        <v>3691</v>
      </c>
      <c r="C3697" s="31" t="s">
        <v>3746</v>
      </c>
      <c r="D3697" s="34" t="str">
        <f t="array" ref="D3697">IFNA(_xlfn.XLOOKUP(C3697,Table_Tarikan_Warkah[Nomor Sertipikat],Table_Tarikan_Warkah[Nomor Tiket]),"")</f>
        <v>K/14/290825/1</v>
      </c>
      <c r="E3697" s="36">
        <f t="array" ref="E3697">IFNA(_xlfn.XLOOKUP(D3697,Table_Tarikan_Warkah[Nomor Tiket],Table_Tarikan_Warkah[Tanggal diserahkan kepada Validator]),"")</f>
        <v>45965.49452</v>
      </c>
      <c r="F3697" s="36" t="str">
        <f t="array" ref="F3697">IFNA(_xlfn.XLOOKUP(D3697,Table_Tarikan_Warkah[Nomor Tiket],Table_Tarikan_Warkah[Nama Petugas Warkah]),"")</f>
        <v>Berry</v>
      </c>
      <c r="G3697" s="39" t="str">
        <f t="array" ref="G3697">IFNA(_xlfn.XLOOKUP(D3697,Table_Tarikan_Warkah[Nomor Tiket],Table_Tarikan_Warkah[Jenis Permohonan]),"")</f>
        <v>Roya	</v>
      </c>
      <c r="H3697" s="41" t="s">
        <v>2315</v>
      </c>
      <c r="I3697" s="49" t="s">
        <v>23</v>
      </c>
      <c r="J3697" s="36">
        <f t="shared" si="20"/>
        <v>45908.59781</v>
      </c>
      <c r="K3697" s="49" t="s">
        <v>2378</v>
      </c>
      <c r="L3697" s="49" t="s">
        <v>23</v>
      </c>
      <c r="M3697" s="36">
        <f t="shared" si="33"/>
        <v>45909.58517</v>
      </c>
      <c r="N3697" s="30" t="str">
        <f t="shared" si="34"/>
        <v>Selesai</v>
      </c>
      <c r="O3697" s="45">
        <f t="shared" si="23"/>
        <v>45909.58517</v>
      </c>
      <c r="P3697" s="47" t="b">
        <v>0</v>
      </c>
      <c r="Q3697" s="36" t="str">
        <f t="shared" si="35"/>
        <v/>
      </c>
      <c r="R3697" s="47" t="b">
        <v>0</v>
      </c>
      <c r="S3697" s="42" t="str">
        <f t="shared" si="28"/>
        <v/>
      </c>
      <c r="T3697" s="42"/>
    </row>
    <row r="3698" ht="22.5" customHeight="1">
      <c r="B3698" s="42">
        <f t="shared" si="7"/>
        <v>3692</v>
      </c>
      <c r="C3698" s="31" t="s">
        <v>3747</v>
      </c>
      <c r="D3698" s="34" t="str">
        <f t="array" ref="D3698">IFNA(_xlfn.XLOOKUP(C3698,Table_Tarikan_Warkah[Nomor Sertipikat],Table_Tarikan_Warkah[Nomor Tiket]),"")</f>
        <v>K/3/020925/1</v>
      </c>
      <c r="E3698" s="36" t="str">
        <f t="array" ref="E3698">IFNA(_xlfn.XLOOKUP(D3698,Table_Tarikan_Warkah[Nomor Tiket],Table_Tarikan_Warkah[Tanggal diserahkan kepada Validator]),"")</f>
        <v/>
      </c>
      <c r="F3698" s="36" t="str">
        <f t="array" ref="F3698">IFNA(_xlfn.XLOOKUP(D3698,Table_Tarikan_Warkah[Nomor Tiket],Table_Tarikan_Warkah[Nama Petugas Warkah]),"")</f>
        <v/>
      </c>
      <c r="G3698" s="39" t="str">
        <f t="array" ref="G3698">IFNA(_xlfn.XLOOKUP(D3698,Table_Tarikan_Warkah[Nomor Tiket],Table_Tarikan_Warkah[Jenis Permohonan]),"")</f>
        <v>Roya	</v>
      </c>
      <c r="H3698" s="41" t="s">
        <v>2315</v>
      </c>
      <c r="I3698" s="49" t="s">
        <v>23</v>
      </c>
      <c r="J3698" s="36">
        <f t="shared" si="20"/>
        <v>45908.59797</v>
      </c>
      <c r="K3698" s="49" t="s">
        <v>2378</v>
      </c>
      <c r="L3698" s="49" t="s">
        <v>23</v>
      </c>
      <c r="M3698" s="36">
        <f t="shared" si="33"/>
        <v>45909.58523</v>
      </c>
      <c r="N3698" s="30" t="str">
        <f t="shared" si="34"/>
        <v>Selesai</v>
      </c>
      <c r="O3698" s="45">
        <f t="shared" si="23"/>
        <v>45909.58523</v>
      </c>
      <c r="P3698" s="47" t="b">
        <v>0</v>
      </c>
      <c r="Q3698" s="36" t="str">
        <f t="shared" si="35"/>
        <v/>
      </c>
      <c r="R3698" s="47" t="b">
        <v>0</v>
      </c>
      <c r="S3698" s="42" t="str">
        <f t="shared" si="28"/>
        <v/>
      </c>
      <c r="T3698" s="42"/>
    </row>
    <row r="3699" ht="22.5" customHeight="1">
      <c r="B3699" s="42">
        <f t="shared" si="7"/>
        <v>3693</v>
      </c>
      <c r="C3699" s="31" t="s">
        <v>3748</v>
      </c>
      <c r="D3699" s="34" t="str">
        <f t="array" ref="D3699">IFNA(_xlfn.XLOOKUP(C3699,Table_Tarikan_Warkah[Nomor Sertipikat],Table_Tarikan_Warkah[Nomor Tiket]),"")</f>
        <v>L/21/220825/1</v>
      </c>
      <c r="E3699" s="36">
        <f t="array" ref="E3699">IFNA(_xlfn.XLOOKUP(D3699,Table_Tarikan_Warkah[Nomor Tiket],Table_Tarikan_Warkah[Tanggal diserahkan kepada Validator]),"")</f>
        <v>45912.53289</v>
      </c>
      <c r="F3699" s="36" t="str">
        <f t="array" ref="F3699">IFNA(_xlfn.XLOOKUP(D3699,Table_Tarikan_Warkah[Nomor Tiket],Table_Tarikan_Warkah[Nama Petugas Warkah]),"")</f>
        <v>Berry</v>
      </c>
      <c r="G3699" s="39" t="str">
        <f t="array" ref="G3699">IFNA(_xlfn.XLOOKUP(D3699,Table_Tarikan_Warkah[Nomor Tiket],Table_Tarikan_Warkah[Jenis Permohonan]),"")</f>
        <v>ROYA</v>
      </c>
      <c r="H3699" s="41" t="s">
        <v>2315</v>
      </c>
      <c r="I3699" s="49" t="s">
        <v>23</v>
      </c>
      <c r="J3699" s="36">
        <f t="shared" si="20"/>
        <v>45908.5982</v>
      </c>
      <c r="K3699" s="49" t="s">
        <v>2378</v>
      </c>
      <c r="L3699" s="49" t="s">
        <v>23</v>
      </c>
      <c r="M3699" s="36">
        <f t="shared" si="33"/>
        <v>45909.58637</v>
      </c>
      <c r="N3699" s="30" t="str">
        <f t="shared" si="34"/>
        <v>Selesai</v>
      </c>
      <c r="O3699" s="45">
        <f t="shared" si="23"/>
        <v>45909.58637</v>
      </c>
      <c r="P3699" s="47" t="b">
        <v>0</v>
      </c>
      <c r="Q3699" s="36" t="str">
        <f t="shared" si="35"/>
        <v/>
      </c>
      <c r="R3699" s="47" t="b">
        <v>0</v>
      </c>
      <c r="S3699" s="42" t="str">
        <f t="shared" si="28"/>
        <v/>
      </c>
      <c r="T3699" s="42"/>
    </row>
    <row r="3700" ht="22.5" customHeight="1">
      <c r="B3700" s="42">
        <f t="shared" si="7"/>
        <v>3694</v>
      </c>
      <c r="C3700" s="31" t="s">
        <v>3749</v>
      </c>
      <c r="D3700" s="34" t="str">
        <f t="array" ref="D3700">IFNA(_xlfn.XLOOKUP(C3700,Table_Tarikan_Warkah[Nomor Sertipikat],Table_Tarikan_Warkah[Nomor Tiket]),"")</f>
        <v>L/12/220825/1</v>
      </c>
      <c r="E3700" s="36">
        <f t="array" ref="E3700">IFNA(_xlfn.XLOOKUP(D3700,Table_Tarikan_Warkah[Nomor Tiket],Table_Tarikan_Warkah[Tanggal diserahkan kepada Validator]),"")</f>
        <v>45924.6948</v>
      </c>
      <c r="F3700" s="36" t="str">
        <f t="array" ref="F3700">IFNA(_xlfn.XLOOKUP(D3700,Table_Tarikan_Warkah[Nomor Tiket],Table_Tarikan_Warkah[Nama Petugas Warkah]),"")</f>
        <v>Berry</v>
      </c>
      <c r="G3700" s="39" t="str">
        <f t="array" ref="G3700">IFNA(_xlfn.XLOOKUP(D3700,Table_Tarikan_Warkah[Nomor Tiket],Table_Tarikan_Warkah[Jenis Permohonan]),"")</f>
        <v>ROYA</v>
      </c>
      <c r="H3700" s="41" t="s">
        <v>2315</v>
      </c>
      <c r="I3700" s="49" t="s">
        <v>23</v>
      </c>
      <c r="J3700" s="36">
        <f t="shared" si="20"/>
        <v>45908.59834</v>
      </c>
      <c r="K3700" s="49" t="s">
        <v>2378</v>
      </c>
      <c r="L3700" s="49" t="s">
        <v>23</v>
      </c>
      <c r="M3700" s="36">
        <f t="shared" si="33"/>
        <v>45909.58627</v>
      </c>
      <c r="N3700" s="30" t="str">
        <f t="shared" si="34"/>
        <v>Selesai</v>
      </c>
      <c r="O3700" s="45">
        <f t="shared" si="23"/>
        <v>45909.58627</v>
      </c>
      <c r="P3700" s="47" t="b">
        <v>0</v>
      </c>
      <c r="Q3700" s="36" t="str">
        <f t="shared" si="35"/>
        <v/>
      </c>
      <c r="R3700" s="47" t="b">
        <v>0</v>
      </c>
      <c r="S3700" s="42" t="str">
        <f t="shared" si="28"/>
        <v/>
      </c>
      <c r="T3700" s="42"/>
    </row>
    <row r="3701" ht="22.5" customHeight="1">
      <c r="B3701" s="42">
        <f t="shared" si="7"/>
        <v>3695</v>
      </c>
      <c r="C3701" s="31" t="s">
        <v>3750</v>
      </c>
      <c r="D3701" s="34" t="str">
        <f t="array" ref="D3701">IFNA(_xlfn.XLOOKUP(C3701,Table_Tarikan_Warkah[Nomor Sertipikat],Table_Tarikan_Warkah[Nomor Tiket]),"")</f>
        <v>L/36/250825/1</v>
      </c>
      <c r="E3701" s="36" t="str">
        <f t="array" ref="E3701">IFNA(_xlfn.XLOOKUP(D3701,Table_Tarikan_Warkah[Nomor Tiket],Table_Tarikan_Warkah[Tanggal diserahkan kepada Validator]),"")</f>
        <v/>
      </c>
      <c r="F3701" s="36" t="str">
        <f t="array" ref="F3701">IFNA(_xlfn.XLOOKUP(D3701,Table_Tarikan_Warkah[Nomor Tiket],Table_Tarikan_Warkah[Nama Petugas Warkah]),"")</f>
        <v/>
      </c>
      <c r="G3701" s="39" t="str">
        <f t="array" ref="G3701">IFNA(_xlfn.XLOOKUP(D3701,Table_Tarikan_Warkah[Nomor Tiket],Table_Tarikan_Warkah[Jenis Permohonan]),"")</f>
        <v>ROYA</v>
      </c>
      <c r="H3701" s="41" t="s">
        <v>2315</v>
      </c>
      <c r="I3701" s="49" t="s">
        <v>23</v>
      </c>
      <c r="J3701" s="36">
        <f t="shared" si="20"/>
        <v>45908.59863</v>
      </c>
      <c r="K3701" s="49" t="s">
        <v>2378</v>
      </c>
      <c r="L3701" s="49" t="s">
        <v>23</v>
      </c>
      <c r="M3701" s="36">
        <f t="shared" si="33"/>
        <v>45909.58535</v>
      </c>
      <c r="N3701" s="30" t="str">
        <f t="shared" si="34"/>
        <v>Selesai</v>
      </c>
      <c r="O3701" s="45">
        <f t="shared" si="23"/>
        <v>45909.58535</v>
      </c>
      <c r="P3701" s="47" t="b">
        <v>0</v>
      </c>
      <c r="Q3701" s="36" t="str">
        <f t="shared" si="35"/>
        <v/>
      </c>
      <c r="R3701" s="47" t="b">
        <v>0</v>
      </c>
      <c r="S3701" s="42" t="str">
        <f t="shared" si="28"/>
        <v/>
      </c>
      <c r="T3701" s="42"/>
    </row>
    <row r="3702" ht="22.5" customHeight="1">
      <c r="B3702" s="42">
        <f t="shared" si="7"/>
        <v>3696</v>
      </c>
      <c r="C3702" s="31" t="s">
        <v>3751</v>
      </c>
      <c r="D3702" s="34" t="str">
        <f t="array" ref="D3702">IFNA(_xlfn.XLOOKUP(C3702,Table_Tarikan_Warkah[Nomor Sertipikat],Table_Tarikan_Warkah[Nomor Tiket]),"")</f>
        <v>L/1/270825/1</v>
      </c>
      <c r="E3702" s="36" t="str">
        <f t="array" ref="E3702">IFNA(_xlfn.XLOOKUP(D3702,Table_Tarikan_Warkah[Nomor Tiket],Table_Tarikan_Warkah[Tanggal diserahkan kepada Validator]),"")</f>
        <v/>
      </c>
      <c r="F3702" s="36" t="str">
        <f t="array" ref="F3702">IFNA(_xlfn.XLOOKUP(D3702,Table_Tarikan_Warkah[Nomor Tiket],Table_Tarikan_Warkah[Nama Petugas Warkah]),"")</f>
        <v/>
      </c>
      <c r="G3702" s="39" t="str">
        <f t="array" ref="G3702">IFNA(_xlfn.XLOOKUP(D3702,Table_Tarikan_Warkah[Nomor Tiket],Table_Tarikan_Warkah[Jenis Permohonan]),"")</f>
        <v>ROYA</v>
      </c>
      <c r="H3702" s="41" t="s">
        <v>2315</v>
      </c>
      <c r="I3702" s="49" t="s">
        <v>23</v>
      </c>
      <c r="J3702" s="36">
        <f t="shared" si="20"/>
        <v>45908.5988</v>
      </c>
      <c r="K3702" s="49" t="s">
        <v>2378</v>
      </c>
      <c r="L3702" s="49" t="s">
        <v>23</v>
      </c>
      <c r="M3702" s="36">
        <f t="shared" si="33"/>
        <v>45909.58543</v>
      </c>
      <c r="N3702" s="30" t="str">
        <f t="shared" si="34"/>
        <v>Selesai</v>
      </c>
      <c r="O3702" s="45">
        <f t="shared" si="23"/>
        <v>45909.58543</v>
      </c>
      <c r="P3702" s="47" t="b">
        <v>0</v>
      </c>
      <c r="Q3702" s="36" t="str">
        <f t="shared" si="35"/>
        <v/>
      </c>
      <c r="R3702" s="47" t="b">
        <v>0</v>
      </c>
      <c r="S3702" s="42" t="str">
        <f t="shared" si="28"/>
        <v/>
      </c>
      <c r="T3702" s="42"/>
    </row>
    <row r="3703" ht="22.5" customHeight="1">
      <c r="B3703" s="42">
        <f t="shared" si="7"/>
        <v>3697</v>
      </c>
      <c r="C3703" s="31" t="s">
        <v>3752</v>
      </c>
      <c r="D3703" s="34" t="str">
        <f t="array" ref="D3703">IFNA(_xlfn.XLOOKUP(C3703,Table_Tarikan_Warkah[Nomor Sertipikat],Table_Tarikan_Warkah[Nomor Tiket]),"")</f>
        <v>L/13/260825/1</v>
      </c>
      <c r="E3703" s="36" t="str">
        <f t="array" ref="E3703">IFNA(_xlfn.XLOOKUP(D3703,Table_Tarikan_Warkah[Nomor Tiket],Table_Tarikan_Warkah[Tanggal diserahkan kepada Validator]),"")</f>
        <v/>
      </c>
      <c r="F3703" s="36" t="str">
        <f t="array" ref="F3703">IFNA(_xlfn.XLOOKUP(D3703,Table_Tarikan_Warkah[Nomor Tiket],Table_Tarikan_Warkah[Nama Petugas Warkah]),"")</f>
        <v/>
      </c>
      <c r="G3703" s="39" t="str">
        <f t="array" ref="G3703">IFNA(_xlfn.XLOOKUP(D3703,Table_Tarikan_Warkah[Nomor Tiket],Table_Tarikan_Warkah[Jenis Permohonan]),"")</f>
        <v>ROYA</v>
      </c>
      <c r="H3703" s="41" t="s">
        <v>2315</v>
      </c>
      <c r="I3703" s="49" t="s">
        <v>23</v>
      </c>
      <c r="J3703" s="36">
        <f t="shared" si="20"/>
        <v>45908.65212</v>
      </c>
      <c r="K3703" s="49" t="s">
        <v>2378</v>
      </c>
      <c r="L3703" s="49" t="s">
        <v>23</v>
      </c>
      <c r="M3703" s="36">
        <f t="shared" si="33"/>
        <v>45909.58602</v>
      </c>
      <c r="N3703" s="30" t="str">
        <f t="shared" si="34"/>
        <v>Selesai</v>
      </c>
      <c r="O3703" s="45">
        <f t="shared" si="23"/>
        <v>45909.58602</v>
      </c>
      <c r="P3703" s="47" t="b">
        <v>0</v>
      </c>
      <c r="Q3703" s="36" t="str">
        <f t="shared" si="35"/>
        <v/>
      </c>
      <c r="R3703" s="47" t="b">
        <v>0</v>
      </c>
      <c r="S3703" s="42" t="str">
        <f t="shared" si="28"/>
        <v/>
      </c>
      <c r="T3703" s="42"/>
    </row>
    <row r="3704" ht="22.5" customHeight="1">
      <c r="B3704" s="42">
        <f t="shared" si="7"/>
        <v>3698</v>
      </c>
      <c r="C3704" s="31" t="s">
        <v>3753</v>
      </c>
      <c r="D3704" s="34" t="str">
        <f t="array" ref="D3704">IFNA(_xlfn.XLOOKUP(C3704,Table_Tarikan_Warkah[Nomor Sertipikat],Table_Tarikan_Warkah[Nomor Tiket]),"")</f>
        <v>L/2/030925/1</v>
      </c>
      <c r="E3704" s="36" t="str">
        <f t="array" ref="E3704">IFNA(_xlfn.XLOOKUP(D3704,Table_Tarikan_Warkah[Nomor Tiket],Table_Tarikan_Warkah[Tanggal diserahkan kepada Validator]),"")</f>
        <v/>
      </c>
      <c r="F3704" s="36" t="str">
        <f t="array" ref="F3704">IFNA(_xlfn.XLOOKUP(D3704,Table_Tarikan_Warkah[Nomor Tiket],Table_Tarikan_Warkah[Nama Petugas Warkah]),"")</f>
        <v/>
      </c>
      <c r="G3704" s="39" t="str">
        <f t="array" ref="G3704">IFNA(_xlfn.XLOOKUP(D3704,Table_Tarikan_Warkah[Nomor Tiket],Table_Tarikan_Warkah[Jenis Permohonan]),"")</f>
        <v>ROYA</v>
      </c>
      <c r="H3704" s="41" t="s">
        <v>2315</v>
      </c>
      <c r="I3704" s="49" t="s">
        <v>23</v>
      </c>
      <c r="J3704" s="36">
        <f t="shared" si="20"/>
        <v>45908.65212</v>
      </c>
      <c r="K3704" s="49" t="s">
        <v>2378</v>
      </c>
      <c r="L3704" s="49" t="s">
        <v>23</v>
      </c>
      <c r="M3704" s="36">
        <f t="shared" si="33"/>
        <v>45909.58591</v>
      </c>
      <c r="N3704" s="30" t="str">
        <f t="shared" si="34"/>
        <v>Selesai</v>
      </c>
      <c r="O3704" s="45">
        <f t="shared" si="23"/>
        <v>45909.58591</v>
      </c>
      <c r="P3704" s="47" t="b">
        <v>0</v>
      </c>
      <c r="Q3704" s="36" t="str">
        <f t="shared" si="35"/>
        <v/>
      </c>
      <c r="R3704" s="47" t="b">
        <v>0</v>
      </c>
      <c r="S3704" s="42" t="str">
        <f t="shared" si="28"/>
        <v/>
      </c>
      <c r="T3704" s="42"/>
    </row>
    <row r="3705" ht="22.5" customHeight="1">
      <c r="B3705" s="42">
        <f t="shared" si="7"/>
        <v>3699</v>
      </c>
      <c r="C3705" s="31" t="s">
        <v>3754</v>
      </c>
      <c r="D3705" s="34" t="str">
        <f t="array" ref="D3705">IFNA(_xlfn.XLOOKUP(C3705,Table_Tarikan_Warkah[Nomor Sertipikat],Table_Tarikan_Warkah[Nomor Tiket]),"")</f>
        <v>L/24/200825/1</v>
      </c>
      <c r="E3705" s="36" t="str">
        <f t="array" ref="E3705">IFNA(_xlfn.XLOOKUP(D3705,Table_Tarikan_Warkah[Nomor Tiket],Table_Tarikan_Warkah[Tanggal diserahkan kepada Validator]),"")</f>
        <v/>
      </c>
      <c r="F3705" s="36" t="str">
        <f t="array" ref="F3705">IFNA(_xlfn.XLOOKUP(D3705,Table_Tarikan_Warkah[Nomor Tiket],Table_Tarikan_Warkah[Nama Petugas Warkah]),"")</f>
        <v/>
      </c>
      <c r="G3705" s="39" t="str">
        <f t="array" ref="G3705">IFNA(_xlfn.XLOOKUP(D3705,Table_Tarikan_Warkah[Nomor Tiket],Table_Tarikan_Warkah[Jenis Permohonan]),"")</f>
        <v>PENINGKATAN HAK</v>
      </c>
      <c r="H3705" s="41" t="s">
        <v>2315</v>
      </c>
      <c r="I3705" s="49" t="s">
        <v>23</v>
      </c>
      <c r="J3705" s="36">
        <f t="shared" si="20"/>
        <v>45908.65212</v>
      </c>
      <c r="K3705" s="49" t="s">
        <v>2378</v>
      </c>
      <c r="L3705" s="49" t="s">
        <v>23</v>
      </c>
      <c r="M3705" s="36">
        <f t="shared" si="33"/>
        <v>45909.58438</v>
      </c>
      <c r="N3705" s="30" t="str">
        <f t="shared" si="34"/>
        <v>Selesai</v>
      </c>
      <c r="O3705" s="45">
        <f t="shared" si="23"/>
        <v>45909.58438</v>
      </c>
      <c r="P3705" s="47" t="b">
        <v>0</v>
      </c>
      <c r="Q3705" s="36" t="str">
        <f t="shared" si="35"/>
        <v/>
      </c>
      <c r="R3705" s="47" t="b">
        <v>0</v>
      </c>
      <c r="S3705" s="42" t="str">
        <f t="shared" si="28"/>
        <v/>
      </c>
      <c r="T3705" s="42"/>
    </row>
    <row r="3706" ht="22.5" customHeight="1">
      <c r="B3706" s="42">
        <f t="shared" si="7"/>
        <v>3700</v>
      </c>
      <c r="C3706" s="31" t="s">
        <v>3755</v>
      </c>
      <c r="D3706" s="34" t="str">
        <f t="array" ref="D3706">IFNA(_xlfn.XLOOKUP(C3706,Table_Tarikan_Warkah[Nomor Sertipikat],Table_Tarikan_Warkah[Nomor Tiket]),"")</f>
        <v>L/27/110825/1</v>
      </c>
      <c r="E3706" s="36" t="str">
        <f t="array" ref="E3706">IFNA(_xlfn.XLOOKUP(D3706,Table_Tarikan_Warkah[Nomor Tiket],Table_Tarikan_Warkah[Tanggal diserahkan kepada Validator]),"")</f>
        <v/>
      </c>
      <c r="F3706" s="36" t="str">
        <f t="array" ref="F3706">IFNA(_xlfn.XLOOKUP(D3706,Table_Tarikan_Warkah[Nomor Tiket],Table_Tarikan_Warkah[Nama Petugas Warkah]),"")</f>
        <v/>
      </c>
      <c r="G3706" s="39" t="str">
        <f t="array" ref="G3706">IFNA(_xlfn.XLOOKUP(D3706,Table_Tarikan_Warkah[Nomor Tiket],Table_Tarikan_Warkah[Jenis Permohonan]),"")</f>
        <v>PENINGKATAN HAK</v>
      </c>
      <c r="H3706" s="41" t="s">
        <v>2315</v>
      </c>
      <c r="I3706" s="49" t="s">
        <v>23</v>
      </c>
      <c r="J3706" s="36">
        <f t="shared" si="20"/>
        <v>45908.65212</v>
      </c>
      <c r="K3706" s="49" t="s">
        <v>2378</v>
      </c>
      <c r="L3706" s="49" t="s">
        <v>23</v>
      </c>
      <c r="M3706" s="36">
        <f t="shared" si="33"/>
        <v>45909.58559</v>
      </c>
      <c r="N3706" s="30" t="str">
        <f t="shared" si="34"/>
        <v>Selesai</v>
      </c>
      <c r="O3706" s="45">
        <f t="shared" si="23"/>
        <v>45909.58559</v>
      </c>
      <c r="P3706" s="47" t="b">
        <v>0</v>
      </c>
      <c r="Q3706" s="36" t="str">
        <f t="shared" si="35"/>
        <v/>
      </c>
      <c r="R3706" s="47" t="b">
        <v>0</v>
      </c>
      <c r="S3706" s="42" t="str">
        <f t="shared" si="28"/>
        <v/>
      </c>
      <c r="T3706" s="42"/>
    </row>
    <row r="3707" ht="22.5" customHeight="1">
      <c r="B3707" s="42">
        <f t="shared" si="7"/>
        <v>3701</v>
      </c>
      <c r="C3707" s="31" t="s">
        <v>3756</v>
      </c>
      <c r="D3707" s="34" t="str">
        <f t="array" ref="D3707">IFNA(_xlfn.XLOOKUP(C3707,Table_Tarikan_Warkah[Nomor Sertipikat],Table_Tarikan_Warkah[Nomor Tiket]),"")</f>
        <v>L/17/190825/1</v>
      </c>
      <c r="E3707" s="36" t="str">
        <f t="array" ref="E3707">IFNA(_xlfn.XLOOKUP(D3707,Table_Tarikan_Warkah[Nomor Tiket],Table_Tarikan_Warkah[Tanggal diserahkan kepada Validator]),"")</f>
        <v/>
      </c>
      <c r="F3707" s="36" t="str">
        <f t="array" ref="F3707">IFNA(_xlfn.XLOOKUP(D3707,Table_Tarikan_Warkah[Nomor Tiket],Table_Tarikan_Warkah[Nama Petugas Warkah]),"")</f>
        <v/>
      </c>
      <c r="G3707" s="39" t="str">
        <f t="array" ref="G3707">IFNA(_xlfn.XLOOKUP(D3707,Table_Tarikan_Warkah[Nomor Tiket],Table_Tarikan_Warkah[Jenis Permohonan]),"")</f>
        <v>GANTI BLANKO</v>
      </c>
      <c r="H3707" s="41" t="s">
        <v>2315</v>
      </c>
      <c r="I3707" s="49" t="s">
        <v>23</v>
      </c>
      <c r="J3707" s="36">
        <f t="shared" si="20"/>
        <v>45908.65212</v>
      </c>
      <c r="K3707" s="49" t="s">
        <v>2378</v>
      </c>
      <c r="L3707" s="49" t="s">
        <v>23</v>
      </c>
      <c r="M3707" s="36">
        <f t="shared" si="33"/>
        <v>45909.58571</v>
      </c>
      <c r="N3707" s="30" t="str">
        <f t="shared" si="34"/>
        <v>Selesai</v>
      </c>
      <c r="O3707" s="45">
        <f t="shared" si="23"/>
        <v>45909.58571</v>
      </c>
      <c r="P3707" s="47" t="b">
        <v>0</v>
      </c>
      <c r="Q3707" s="36" t="str">
        <f t="shared" si="35"/>
        <v/>
      </c>
      <c r="R3707" s="47" t="b">
        <v>0</v>
      </c>
      <c r="S3707" s="42" t="str">
        <f t="shared" si="28"/>
        <v/>
      </c>
      <c r="T3707" s="42"/>
    </row>
    <row r="3708" ht="22.5" customHeight="1">
      <c r="B3708" s="42">
        <f t="shared" si="7"/>
        <v>3702</v>
      </c>
      <c r="C3708" s="31" t="s">
        <v>3757</v>
      </c>
      <c r="D3708" s="34" t="str">
        <f t="array" ref="D3708">IFNA(_xlfn.XLOOKUP(C3708,Table_Tarikan_Warkah[Nomor Sertipikat],Table_Tarikan_Warkah[Nomor Tiket]),"")</f>
        <v>L/13/280825/1</v>
      </c>
      <c r="E3708" s="36" t="str">
        <f t="array" ref="E3708">IFNA(_xlfn.XLOOKUP(D3708,Table_Tarikan_Warkah[Nomor Tiket],Table_Tarikan_Warkah[Tanggal diserahkan kepada Validator]),"")</f>
        <v/>
      </c>
      <c r="F3708" s="36" t="str">
        <f t="array" ref="F3708">IFNA(_xlfn.XLOOKUP(D3708,Table_Tarikan_Warkah[Nomor Tiket],Table_Tarikan_Warkah[Nama Petugas Warkah]),"")</f>
        <v/>
      </c>
      <c r="G3708" s="39" t="str">
        <f t="array" ref="G3708">IFNA(_xlfn.XLOOKUP(D3708,Table_Tarikan_Warkah[Nomor Tiket],Table_Tarikan_Warkah[Jenis Permohonan]),"")</f>
        <v>PENINGKATAN HAK</v>
      </c>
      <c r="H3708" s="41" t="s">
        <v>2315</v>
      </c>
      <c r="I3708" s="49" t="s">
        <v>23</v>
      </c>
      <c r="J3708" s="36">
        <f t="shared" si="20"/>
        <v>45908.65212</v>
      </c>
      <c r="K3708" s="49" t="s">
        <v>2378</v>
      </c>
      <c r="L3708" s="49" t="s">
        <v>23</v>
      </c>
      <c r="M3708" s="36">
        <f t="shared" si="33"/>
        <v>45909.58578</v>
      </c>
      <c r="N3708" s="30" t="str">
        <f t="shared" si="34"/>
        <v>Selesai</v>
      </c>
      <c r="O3708" s="45">
        <f t="shared" si="23"/>
        <v>45909.58578</v>
      </c>
      <c r="P3708" s="47" t="b">
        <v>0</v>
      </c>
      <c r="Q3708" s="36" t="str">
        <f t="shared" si="35"/>
        <v/>
      </c>
      <c r="R3708" s="47" t="b">
        <v>0</v>
      </c>
      <c r="S3708" s="42" t="str">
        <f t="shared" si="28"/>
        <v/>
      </c>
      <c r="T3708" s="42"/>
    </row>
    <row r="3709" ht="22.5" customHeight="1">
      <c r="B3709" s="42">
        <f t="shared" si="7"/>
        <v>3703</v>
      </c>
      <c r="C3709" s="31" t="s">
        <v>3758</v>
      </c>
      <c r="D3709" s="34" t="str">
        <f t="array" ref="D3709">IFNA(_xlfn.XLOOKUP(C3709,Table_Tarikan_Warkah[Nomor Sertipikat],Table_Tarikan_Warkah[Nomor Tiket]),"")</f>
        <v>K/31/220825/4</v>
      </c>
      <c r="E3709" s="36" t="str">
        <f t="array" ref="E3709">IFNA(_xlfn.XLOOKUP(D3709,Table_Tarikan_Warkah[Nomor Tiket],Table_Tarikan_Warkah[Tanggal diserahkan kepada Validator]),"")</f>
        <v/>
      </c>
      <c r="F3709" s="36" t="str">
        <f t="array" ref="F3709">IFNA(_xlfn.XLOOKUP(D3709,Table_Tarikan_Warkah[Nomor Tiket],Table_Tarikan_Warkah[Nama Petugas Warkah]),"")</f>
        <v/>
      </c>
      <c r="G3709" s="39" t="str">
        <f t="array" ref="G3709">IFNA(_xlfn.XLOOKUP(D3709,Table_Tarikan_Warkah[Nomor Tiket],Table_Tarikan_Warkah[Jenis Permohonan]),"")</f>
        <v>BN HIBAH EL</v>
      </c>
      <c r="H3709" s="41" t="s">
        <v>920</v>
      </c>
      <c r="I3709" s="49" t="s">
        <v>23</v>
      </c>
      <c r="J3709" s="36">
        <f t="shared" si="20"/>
        <v>45909.46145</v>
      </c>
      <c r="K3709" s="49" t="s">
        <v>920</v>
      </c>
      <c r="L3709" s="49" t="s">
        <v>23</v>
      </c>
      <c r="M3709" s="36">
        <f t="shared" si="33"/>
        <v>45909.46149</v>
      </c>
      <c r="N3709" s="30" t="str">
        <f t="shared" si="34"/>
        <v>Selesai</v>
      </c>
      <c r="O3709" s="45">
        <f t="shared" si="23"/>
        <v>45909.46149</v>
      </c>
      <c r="P3709" s="47" t="b">
        <v>1</v>
      </c>
      <c r="Q3709" s="36">
        <f t="shared" si="35"/>
        <v>45909.46151</v>
      </c>
      <c r="R3709" s="47" t="b">
        <v>0</v>
      </c>
      <c r="S3709" s="42" t="str">
        <f t="shared" si="28"/>
        <v/>
      </c>
      <c r="T3709" s="42"/>
    </row>
    <row r="3710" ht="22.5" customHeight="1">
      <c r="B3710" s="42">
        <f t="shared" si="7"/>
        <v>3704</v>
      </c>
      <c r="C3710" s="31" t="s">
        <v>3759</v>
      </c>
      <c r="D3710" s="34" t="str">
        <f t="array" ref="D3710">IFNA(_xlfn.XLOOKUP(C3710,Table_Tarikan_Warkah[Nomor Sertipikat],Table_Tarikan_Warkah[Nomor Tiket]),"")</f>
        <v>K/29/220825/2</v>
      </c>
      <c r="E3710" s="36" t="str">
        <f t="array" ref="E3710">IFNA(_xlfn.XLOOKUP(D3710,Table_Tarikan_Warkah[Nomor Tiket],Table_Tarikan_Warkah[Tanggal diserahkan kepada Validator]),"")</f>
        <v/>
      </c>
      <c r="F3710" s="36" t="str">
        <f t="array" ref="F3710">IFNA(_xlfn.XLOOKUP(D3710,Table_Tarikan_Warkah[Nomor Tiket],Table_Tarikan_Warkah[Nama Petugas Warkah]),"")</f>
        <v/>
      </c>
      <c r="G3710" s="39" t="str">
        <f t="array" ref="G3710">IFNA(_xlfn.XLOOKUP(D3710,Table_Tarikan_Warkah[Nomor Tiket],Table_Tarikan_Warkah[Jenis Permohonan]),"")</f>
        <v>BN HIBAH EL</v>
      </c>
      <c r="H3710" s="41" t="s">
        <v>920</v>
      </c>
      <c r="I3710" s="49" t="s">
        <v>23</v>
      </c>
      <c r="J3710" s="36">
        <f t="shared" si="20"/>
        <v>45909.46181</v>
      </c>
      <c r="K3710" s="49" t="s">
        <v>920</v>
      </c>
      <c r="L3710" s="49" t="s">
        <v>23</v>
      </c>
      <c r="M3710" s="36">
        <f t="shared" si="33"/>
        <v>45909.46188</v>
      </c>
      <c r="N3710" s="30" t="str">
        <f t="shared" si="34"/>
        <v>Selesai</v>
      </c>
      <c r="O3710" s="45">
        <f t="shared" si="23"/>
        <v>45909.46188</v>
      </c>
      <c r="P3710" s="47" t="b">
        <v>1</v>
      </c>
      <c r="Q3710" s="36">
        <f t="shared" si="35"/>
        <v>45909.46188</v>
      </c>
      <c r="R3710" s="47" t="b">
        <v>0</v>
      </c>
      <c r="S3710" s="42" t="str">
        <f t="shared" si="28"/>
        <v/>
      </c>
      <c r="T3710" s="42"/>
    </row>
    <row r="3711" ht="22.5" customHeight="1">
      <c r="B3711" s="42">
        <f t="shared" si="7"/>
        <v>3705</v>
      </c>
      <c r="C3711" s="31" t="s">
        <v>3760</v>
      </c>
      <c r="D3711" s="34" t="str">
        <f t="array" ref="D3711">IFNA(_xlfn.XLOOKUP(C3711,Table_Tarikan_Warkah[Nomor Sertipikat],Table_Tarikan_Warkah[Nomor Tiket]),"")</f>
        <v>K/16/260825/2</v>
      </c>
      <c r="E3711" s="36">
        <f t="array" ref="E3711">IFNA(_xlfn.XLOOKUP(D3711,Table_Tarikan_Warkah[Nomor Tiket],Table_Tarikan_Warkah[Tanggal diserahkan kepada Validator]),"")</f>
        <v>45945.67757</v>
      </c>
      <c r="F3711" s="36" t="str">
        <f t="array" ref="F3711">IFNA(_xlfn.XLOOKUP(D3711,Table_Tarikan_Warkah[Nomor Tiket],Table_Tarikan_Warkah[Nama Petugas Warkah]),"")</f>
        <v>Berry</v>
      </c>
      <c r="G3711" s="39" t="str">
        <f t="array" ref="G3711">IFNA(_xlfn.XLOOKUP(D3711,Table_Tarikan_Warkah[Nomor Tiket],Table_Tarikan_Warkah[Jenis Permohonan]),"")</f>
        <v>BN JUAL BELI EL</v>
      </c>
      <c r="H3711" s="41" t="s">
        <v>920</v>
      </c>
      <c r="I3711" s="49" t="s">
        <v>23</v>
      </c>
      <c r="J3711" s="36">
        <f t="shared" si="20"/>
        <v>45909.46215</v>
      </c>
      <c r="K3711" s="49" t="s">
        <v>920</v>
      </c>
      <c r="L3711" s="49" t="s">
        <v>23</v>
      </c>
      <c r="M3711" s="36">
        <f t="shared" si="33"/>
        <v>45909.4622</v>
      </c>
      <c r="N3711" s="30" t="str">
        <f t="shared" si="34"/>
        <v>Selesai</v>
      </c>
      <c r="O3711" s="45">
        <f t="shared" si="23"/>
        <v>45909.4622</v>
      </c>
      <c r="P3711" s="47" t="b">
        <v>1</v>
      </c>
      <c r="Q3711" s="36">
        <f t="shared" si="35"/>
        <v>45909.46223</v>
      </c>
      <c r="R3711" s="47" t="b">
        <v>0</v>
      </c>
      <c r="S3711" s="42" t="str">
        <f t="shared" si="28"/>
        <v/>
      </c>
      <c r="T3711" s="42"/>
    </row>
    <row r="3712" ht="22.5" customHeight="1">
      <c r="B3712" s="42">
        <f t="shared" si="7"/>
        <v>3706</v>
      </c>
      <c r="C3712" s="31" t="s">
        <v>3761</v>
      </c>
      <c r="D3712" s="34" t="str">
        <f t="array" ref="D3712">IFNA(_xlfn.XLOOKUP(C3712,Table_Tarikan_Warkah[Nomor Sertipikat],Table_Tarikan_Warkah[Nomor Tiket]),"")</f>
        <v>K/65/210825/1</v>
      </c>
      <c r="E3712" s="36" t="str">
        <f t="array" ref="E3712">IFNA(_xlfn.XLOOKUP(D3712,Table_Tarikan_Warkah[Nomor Tiket],Table_Tarikan_Warkah[Tanggal diserahkan kepada Validator]),"")</f>
        <v/>
      </c>
      <c r="F3712" s="36" t="str">
        <f t="array" ref="F3712">IFNA(_xlfn.XLOOKUP(D3712,Table_Tarikan_Warkah[Nomor Tiket],Table_Tarikan_Warkah[Nama Petugas Warkah]),"")</f>
        <v/>
      </c>
      <c r="G3712" s="39" t="str">
        <f t="array" ref="G3712">IFNA(_xlfn.XLOOKUP(D3712,Table_Tarikan_Warkah[Nomor Tiket],Table_Tarikan_Warkah[Jenis Permohonan]),"")</f>
        <v>BN JUAL BELI</v>
      </c>
      <c r="H3712" s="41" t="s">
        <v>920</v>
      </c>
      <c r="I3712" s="49" t="s">
        <v>23</v>
      </c>
      <c r="J3712" s="36">
        <f t="shared" si="20"/>
        <v>45909.4624</v>
      </c>
      <c r="K3712" s="49" t="s">
        <v>920</v>
      </c>
      <c r="L3712" s="49" t="s">
        <v>23</v>
      </c>
      <c r="M3712" s="36">
        <f t="shared" si="33"/>
        <v>45909.4624</v>
      </c>
      <c r="N3712" s="30" t="str">
        <f t="shared" si="34"/>
        <v>Selesai</v>
      </c>
      <c r="O3712" s="45">
        <f t="shared" si="23"/>
        <v>45909.4624</v>
      </c>
      <c r="P3712" s="47" t="b">
        <v>1</v>
      </c>
      <c r="Q3712" s="36">
        <f t="shared" si="35"/>
        <v>45909.46242</v>
      </c>
      <c r="R3712" s="47" t="b">
        <v>0</v>
      </c>
      <c r="S3712" s="42" t="str">
        <f t="shared" si="28"/>
        <v/>
      </c>
      <c r="T3712" s="42"/>
    </row>
    <row r="3713" ht="22.5" customHeight="1">
      <c r="B3713" s="42">
        <f t="shared" si="7"/>
        <v>3707</v>
      </c>
      <c r="C3713" s="31" t="s">
        <v>3762</v>
      </c>
      <c r="D3713" s="34" t="str">
        <f t="array" ref="D3713">IFNA(_xlfn.XLOOKUP(C3713,Table_Tarikan_Warkah[Nomor Sertipikat],Table_Tarikan_Warkah[Nomor Tiket]),"")</f>
        <v>K/14/120825/1</v>
      </c>
      <c r="E3713" s="36">
        <f t="array" ref="E3713">IFNA(_xlfn.XLOOKUP(D3713,Table_Tarikan_Warkah[Nomor Tiket],Table_Tarikan_Warkah[Tanggal diserahkan kepada Validator]),"")</f>
        <v>45894.58238</v>
      </c>
      <c r="F3713" s="36" t="str">
        <f t="array" ref="F3713">IFNA(_xlfn.XLOOKUP(D3713,Table_Tarikan_Warkah[Nomor Tiket],Table_Tarikan_Warkah[Nama Petugas Warkah]),"")</f>
        <v>Berry</v>
      </c>
      <c r="G3713" s="39" t="str">
        <f t="array" ref="G3713">IFNA(_xlfn.XLOOKUP(D3713,Table_Tarikan_Warkah[Nomor Tiket],Table_Tarikan_Warkah[Jenis Permohonan]),"")</f>
        <v>BN JUAL BELI</v>
      </c>
      <c r="H3713" s="41" t="s">
        <v>2315</v>
      </c>
      <c r="I3713" s="49" t="s">
        <v>23</v>
      </c>
      <c r="J3713" s="36">
        <f t="shared" si="20"/>
        <v>45909.56761</v>
      </c>
      <c r="K3713" s="49" t="s">
        <v>2378</v>
      </c>
      <c r="L3713" s="49" t="s">
        <v>23</v>
      </c>
      <c r="M3713" s="36">
        <f t="shared" si="33"/>
        <v>45911.64249</v>
      </c>
      <c r="N3713" s="30" t="str">
        <f t="shared" si="34"/>
        <v>Selesai</v>
      </c>
      <c r="O3713" s="45">
        <f t="shared" si="23"/>
        <v>45911.64249</v>
      </c>
      <c r="P3713" s="47" t="b">
        <v>0</v>
      </c>
      <c r="Q3713" s="36" t="str">
        <f t="shared" si="35"/>
        <v/>
      </c>
      <c r="R3713" s="47" t="b">
        <v>0</v>
      </c>
      <c r="S3713" s="42" t="str">
        <f t="shared" si="28"/>
        <v/>
      </c>
      <c r="T3713" s="42"/>
    </row>
    <row r="3714" ht="22.5" customHeight="1">
      <c r="B3714" s="42">
        <f t="shared" si="7"/>
        <v>3708</v>
      </c>
      <c r="C3714" s="31" t="s">
        <v>3763</v>
      </c>
      <c r="D3714" s="34" t="str">
        <f t="array" ref="D3714">IFNA(_xlfn.XLOOKUP(C3714,Table_Tarikan_Warkah[Nomor Sertipikat],Table_Tarikan_Warkah[Nomor Tiket]),"")</f>
        <v>K/14/190825/1</v>
      </c>
      <c r="E3714" s="36">
        <f t="array" ref="E3714">IFNA(_xlfn.XLOOKUP(D3714,Table_Tarikan_Warkah[Nomor Tiket],Table_Tarikan_Warkah[Tanggal diserahkan kepada Validator]),"")</f>
        <v>45908.63578</v>
      </c>
      <c r="F3714" s="36" t="str">
        <f t="array" ref="F3714">IFNA(_xlfn.XLOOKUP(D3714,Table_Tarikan_Warkah[Nomor Tiket],Table_Tarikan_Warkah[Nama Petugas Warkah]),"")</f>
        <v>Berry</v>
      </c>
      <c r="G3714" s="39" t="str">
        <f t="array" ref="G3714">IFNA(_xlfn.XLOOKUP(D3714,Table_Tarikan_Warkah[Nomor Tiket],Table_Tarikan_Warkah[Jenis Permohonan]),"")</f>
        <v>BN HIBAH</v>
      </c>
      <c r="H3714" s="41" t="s">
        <v>2315</v>
      </c>
      <c r="I3714" s="49" t="s">
        <v>23</v>
      </c>
      <c r="J3714" s="36">
        <f t="shared" si="20"/>
        <v>45909.56777</v>
      </c>
      <c r="K3714" s="49" t="s">
        <v>2378</v>
      </c>
      <c r="L3714" s="49" t="s">
        <v>23</v>
      </c>
      <c r="M3714" s="36">
        <f t="shared" si="33"/>
        <v>45911.64264</v>
      </c>
      <c r="N3714" s="30" t="str">
        <f t="shared" si="34"/>
        <v>Selesai</v>
      </c>
      <c r="O3714" s="45">
        <f t="shared" si="23"/>
        <v>45911.64264</v>
      </c>
      <c r="P3714" s="47" t="b">
        <v>0</v>
      </c>
      <c r="Q3714" s="36" t="str">
        <f t="shared" si="35"/>
        <v/>
      </c>
      <c r="R3714" s="47" t="b">
        <v>0</v>
      </c>
      <c r="S3714" s="42" t="str">
        <f t="shared" si="28"/>
        <v/>
      </c>
      <c r="T3714" s="42"/>
    </row>
    <row r="3715" ht="22.5" customHeight="1">
      <c r="B3715" s="42">
        <f t="shared" si="7"/>
        <v>3709</v>
      </c>
      <c r="C3715" s="31" t="s">
        <v>3764</v>
      </c>
      <c r="D3715" s="34" t="str">
        <f t="array" ref="D3715">IFNA(_xlfn.XLOOKUP(C3715,Table_Tarikan_Warkah[Nomor Sertipikat],Table_Tarikan_Warkah[Nomor Tiket]),"")</f>
        <v>K/8/270825/1</v>
      </c>
      <c r="E3715" s="36">
        <f t="array" ref="E3715">IFNA(_xlfn.XLOOKUP(D3715,Table_Tarikan_Warkah[Nomor Tiket],Table_Tarikan_Warkah[Tanggal diserahkan kepada Validator]),"")</f>
        <v>45918.55396</v>
      </c>
      <c r="F3715" s="36" t="str">
        <f t="array" ref="F3715">IFNA(_xlfn.XLOOKUP(D3715,Table_Tarikan_Warkah[Nomor Tiket],Table_Tarikan_Warkah[Nama Petugas Warkah]),"")</f>
        <v>Berry</v>
      </c>
      <c r="G3715" s="39" t="str">
        <f t="array" ref="G3715">IFNA(_xlfn.XLOOKUP(D3715,Table_Tarikan_Warkah[Nomor Tiket],Table_Tarikan_Warkah[Jenis Permohonan]),"")</f>
        <v>HAPUS BPHTB</v>
      </c>
      <c r="H3715" s="41" t="s">
        <v>2315</v>
      </c>
      <c r="I3715" s="49" t="s">
        <v>23</v>
      </c>
      <c r="J3715" s="36">
        <f t="shared" si="20"/>
        <v>45909.56793</v>
      </c>
      <c r="K3715" s="49" t="s">
        <v>2378</v>
      </c>
      <c r="L3715" s="49" t="s">
        <v>23</v>
      </c>
      <c r="M3715" s="36">
        <f t="shared" si="33"/>
        <v>45911.6258</v>
      </c>
      <c r="N3715" s="30" t="str">
        <f t="shared" si="34"/>
        <v>Selesai</v>
      </c>
      <c r="O3715" s="45">
        <f t="shared" si="23"/>
        <v>45911.6258</v>
      </c>
      <c r="P3715" s="47" t="b">
        <v>0</v>
      </c>
      <c r="Q3715" s="36" t="str">
        <f t="shared" si="35"/>
        <v/>
      </c>
      <c r="R3715" s="47" t="b">
        <v>0</v>
      </c>
      <c r="S3715" s="42" t="str">
        <f t="shared" si="28"/>
        <v/>
      </c>
      <c r="T3715" s="42"/>
    </row>
    <row r="3716" ht="22.5" customHeight="1">
      <c r="B3716" s="42">
        <f t="shared" si="7"/>
        <v>3710</v>
      </c>
      <c r="C3716" s="31" t="s">
        <v>3765</v>
      </c>
      <c r="D3716" s="34" t="str">
        <f t="array" ref="D3716">IFNA(_xlfn.XLOOKUP(C3716,Table_Tarikan_Warkah[Nomor Sertipikat],Table_Tarikan_Warkah[Nomor Tiket]),"")</f>
        <v>K/21/020925/1</v>
      </c>
      <c r="E3716" s="36" t="str">
        <f t="array" ref="E3716">IFNA(_xlfn.XLOOKUP(D3716,Table_Tarikan_Warkah[Nomor Tiket],Table_Tarikan_Warkah[Tanggal diserahkan kepada Validator]),"")</f>
        <v/>
      </c>
      <c r="F3716" s="36" t="str">
        <f t="array" ref="F3716">IFNA(_xlfn.XLOOKUP(D3716,Table_Tarikan_Warkah[Nomor Tiket],Table_Tarikan_Warkah[Nama Petugas Warkah]),"")</f>
        <v/>
      </c>
      <c r="G3716" s="39" t="str">
        <f t="array" ref="G3716">IFNA(_xlfn.XLOOKUP(D3716,Table_Tarikan_Warkah[Nomor Tiket],Table_Tarikan_Warkah[Jenis Permohonan]),"")</f>
        <v>BN JUAL BELI</v>
      </c>
      <c r="H3716" s="41" t="s">
        <v>2315</v>
      </c>
      <c r="I3716" s="49" t="s">
        <v>23</v>
      </c>
      <c r="J3716" s="36">
        <f t="shared" si="20"/>
        <v>45909.56876</v>
      </c>
      <c r="K3716" s="49" t="s">
        <v>2378</v>
      </c>
      <c r="L3716" s="49" t="s">
        <v>23</v>
      </c>
      <c r="M3716" s="36">
        <f t="shared" si="33"/>
        <v>45911.63804</v>
      </c>
      <c r="N3716" s="30" t="str">
        <f t="shared" si="34"/>
        <v>Selesai</v>
      </c>
      <c r="O3716" s="45">
        <f t="shared" si="23"/>
        <v>45911.63804</v>
      </c>
      <c r="P3716" s="47" t="b">
        <v>0</v>
      </c>
      <c r="Q3716" s="36" t="str">
        <f t="shared" si="35"/>
        <v/>
      </c>
      <c r="R3716" s="47" t="b">
        <v>0</v>
      </c>
      <c r="S3716" s="42" t="str">
        <f t="shared" si="28"/>
        <v/>
      </c>
      <c r="T3716" s="42"/>
    </row>
    <row r="3717" ht="22.5" customHeight="1">
      <c r="B3717" s="42">
        <f t="shared" si="7"/>
        <v>3711</v>
      </c>
      <c r="C3717" s="31" t="s">
        <v>3766</v>
      </c>
      <c r="D3717" s="34" t="str">
        <f t="array" ref="D3717">IFNA(_xlfn.XLOOKUP(C3717,Table_Tarikan_Warkah[Nomor Sertipikat],Table_Tarikan_Warkah[Nomor Tiket]),"")</f>
        <v>K/3/010925/1</v>
      </c>
      <c r="E3717" s="36" t="str">
        <f t="array" ref="E3717">IFNA(_xlfn.XLOOKUP(D3717,Table_Tarikan_Warkah[Nomor Tiket],Table_Tarikan_Warkah[Tanggal diserahkan kepada Validator]),"")</f>
        <v/>
      </c>
      <c r="F3717" s="36" t="str">
        <f t="array" ref="F3717">IFNA(_xlfn.XLOOKUP(D3717,Table_Tarikan_Warkah[Nomor Tiket],Table_Tarikan_Warkah[Nama Petugas Warkah]),"")</f>
        <v/>
      </c>
      <c r="G3717" s="39" t="str">
        <f t="array" ref="G3717">IFNA(_xlfn.XLOOKUP(D3717,Table_Tarikan_Warkah[Nomor Tiket],Table_Tarikan_Warkah[Jenis Permohonan]),"")</f>
        <v>BN JUAL BELI </v>
      </c>
      <c r="H3717" s="41" t="s">
        <v>2315</v>
      </c>
      <c r="I3717" s="49" t="s">
        <v>23</v>
      </c>
      <c r="J3717" s="36">
        <f t="shared" si="20"/>
        <v>45909.56884</v>
      </c>
      <c r="K3717" s="49" t="s">
        <v>2378</v>
      </c>
      <c r="L3717" s="49" t="s">
        <v>23</v>
      </c>
      <c r="M3717" s="36">
        <f t="shared" si="33"/>
        <v>45911.63345</v>
      </c>
      <c r="N3717" s="30" t="str">
        <f t="shared" si="34"/>
        <v>Selesai</v>
      </c>
      <c r="O3717" s="45">
        <f t="shared" si="23"/>
        <v>45911.63345</v>
      </c>
      <c r="P3717" s="47" t="b">
        <v>0</v>
      </c>
      <c r="Q3717" s="36" t="str">
        <f t="shared" si="35"/>
        <v/>
      </c>
      <c r="R3717" s="47" t="b">
        <v>0</v>
      </c>
      <c r="S3717" s="42" t="str">
        <f t="shared" si="28"/>
        <v/>
      </c>
      <c r="T3717" s="42"/>
    </row>
    <row r="3718" ht="22.5" customHeight="1">
      <c r="B3718" s="42">
        <f t="shared" si="7"/>
        <v>3712</v>
      </c>
      <c r="C3718" s="31" t="s">
        <v>3767</v>
      </c>
      <c r="D3718" s="34" t="str">
        <f t="array" ref="D3718">IFNA(_xlfn.XLOOKUP(C3718,Table_Tarikan_Warkah[Nomor Sertipikat],Table_Tarikan_Warkah[Nomor Tiket]),"")</f>
        <v>K/29/250825/1</v>
      </c>
      <c r="E3718" s="36" t="str">
        <f t="array" ref="E3718">IFNA(_xlfn.XLOOKUP(D3718,Table_Tarikan_Warkah[Nomor Tiket],Table_Tarikan_Warkah[Tanggal diserahkan kepada Validator]),"")</f>
        <v/>
      </c>
      <c r="F3718" s="36" t="str">
        <f t="array" ref="F3718">IFNA(_xlfn.XLOOKUP(D3718,Table_Tarikan_Warkah[Nomor Tiket],Table_Tarikan_Warkah[Nama Petugas Warkah]),"")</f>
        <v/>
      </c>
      <c r="G3718" s="39" t="str">
        <f t="array" ref="G3718">IFNA(_xlfn.XLOOKUP(D3718,Table_Tarikan_Warkah[Nomor Tiket],Table_Tarikan_Warkah[Jenis Permohonan]),"")</f>
        <v>ROYA LELANG</v>
      </c>
      <c r="H3718" s="41" t="s">
        <v>2315</v>
      </c>
      <c r="I3718" s="49" t="s">
        <v>23</v>
      </c>
      <c r="J3718" s="36">
        <f t="shared" si="20"/>
        <v>45909.56898</v>
      </c>
      <c r="K3718" s="49" t="s">
        <v>2378</v>
      </c>
      <c r="L3718" s="49" t="s">
        <v>23</v>
      </c>
      <c r="M3718" s="36">
        <f t="shared" si="33"/>
        <v>45911.64233</v>
      </c>
      <c r="N3718" s="30" t="str">
        <f t="shared" si="34"/>
        <v>Selesai</v>
      </c>
      <c r="O3718" s="45">
        <f t="shared" si="23"/>
        <v>45911.64233</v>
      </c>
      <c r="P3718" s="47" t="b">
        <v>0</v>
      </c>
      <c r="Q3718" s="36" t="str">
        <f t="shared" si="35"/>
        <v/>
      </c>
      <c r="R3718" s="47" t="b">
        <v>0</v>
      </c>
      <c r="S3718" s="42" t="str">
        <f t="shared" si="28"/>
        <v/>
      </c>
      <c r="T3718" s="42"/>
    </row>
    <row r="3719" ht="22.5" customHeight="1">
      <c r="B3719" s="42">
        <f t="shared" si="7"/>
        <v>3713</v>
      </c>
      <c r="C3719" s="31" t="s">
        <v>3768</v>
      </c>
      <c r="D3719" s="34" t="str">
        <f t="array" ref="D3719">IFNA(_xlfn.XLOOKUP(C3719,Table_Tarikan_Warkah[Nomor Sertipikat],Table_Tarikan_Warkah[Nomor Tiket]),"")</f>
        <v>K/35/150825/2</v>
      </c>
      <c r="E3719" s="36">
        <f t="array" ref="E3719">IFNA(_xlfn.XLOOKUP(D3719,Table_Tarikan_Warkah[Nomor Tiket],Table_Tarikan_Warkah[Tanggal diserahkan kepada Validator]),"")</f>
        <v>45988.63769</v>
      </c>
      <c r="F3719" s="36" t="str">
        <f t="array" ref="F3719">IFNA(_xlfn.XLOOKUP(D3719,Table_Tarikan_Warkah[Nomor Tiket],Table_Tarikan_Warkah[Nama Petugas Warkah]),"")</f>
        <v>Berry</v>
      </c>
      <c r="G3719" s="39" t="str">
        <f t="array" ref="G3719">IFNA(_xlfn.XLOOKUP(D3719,Table_Tarikan_Warkah[Nomor Tiket],Table_Tarikan_Warkah[Jenis Permohonan]),"")</f>
        <v>BN JUAL BELI</v>
      </c>
      <c r="H3719" s="41" t="s">
        <v>2315</v>
      </c>
      <c r="I3719" s="49" t="s">
        <v>23</v>
      </c>
      <c r="J3719" s="36">
        <f t="shared" si="20"/>
        <v>45909.56911</v>
      </c>
      <c r="K3719" s="49" t="s">
        <v>2378</v>
      </c>
      <c r="L3719" s="49" t="s">
        <v>23</v>
      </c>
      <c r="M3719" s="36">
        <f t="shared" si="33"/>
        <v>45911.63783</v>
      </c>
      <c r="N3719" s="30" t="str">
        <f t="shared" si="34"/>
        <v>Selesai</v>
      </c>
      <c r="O3719" s="45">
        <f t="shared" si="23"/>
        <v>45911.63783</v>
      </c>
      <c r="P3719" s="47" t="b">
        <v>0</v>
      </c>
      <c r="Q3719" s="36" t="str">
        <f t="shared" si="35"/>
        <v/>
      </c>
      <c r="R3719" s="47" t="b">
        <v>0</v>
      </c>
      <c r="S3719" s="42" t="str">
        <f t="shared" si="28"/>
        <v/>
      </c>
      <c r="T3719" s="42"/>
    </row>
    <row r="3720" ht="22.5" customHeight="1">
      <c r="B3720" s="42">
        <f t="shared" si="7"/>
        <v>3714</v>
      </c>
      <c r="C3720" s="31" t="s">
        <v>3769</v>
      </c>
      <c r="D3720" s="34" t="str">
        <f t="array" ref="D3720">IFNA(_xlfn.XLOOKUP(C3720,Table_Tarikan_Warkah[Nomor Sertipikat],Table_Tarikan_Warkah[Nomor Tiket]),"")</f>
        <v>K/25/190825/1</v>
      </c>
      <c r="E3720" s="36" t="str">
        <f t="array" ref="E3720">IFNA(_xlfn.XLOOKUP(D3720,Table_Tarikan_Warkah[Nomor Tiket],Table_Tarikan_Warkah[Tanggal diserahkan kepada Validator]),"")</f>
        <v/>
      </c>
      <c r="F3720" s="36" t="str">
        <f t="array" ref="F3720">IFNA(_xlfn.XLOOKUP(D3720,Table_Tarikan_Warkah[Nomor Tiket],Table_Tarikan_Warkah[Nama Petugas Warkah]),"")</f>
        <v/>
      </c>
      <c r="G3720" s="39" t="str">
        <f t="array" ref="G3720">IFNA(_xlfn.XLOOKUP(D3720,Table_Tarikan_Warkah[Nomor Tiket],Table_Tarikan_Warkah[Jenis Permohonan]),"")</f>
        <v>BN JUAL BELI</v>
      </c>
      <c r="H3720" s="41" t="s">
        <v>2315</v>
      </c>
      <c r="I3720" s="49" t="s">
        <v>23</v>
      </c>
      <c r="J3720" s="36">
        <f t="shared" si="20"/>
        <v>45909.56926</v>
      </c>
      <c r="K3720" s="49" t="s">
        <v>2378</v>
      </c>
      <c r="L3720" s="49" t="s">
        <v>23</v>
      </c>
      <c r="M3720" s="36">
        <f t="shared" si="33"/>
        <v>45911.63769</v>
      </c>
      <c r="N3720" s="30" t="str">
        <f t="shared" si="34"/>
        <v>Selesai</v>
      </c>
      <c r="O3720" s="45">
        <f t="shared" si="23"/>
        <v>45911.63769</v>
      </c>
      <c r="P3720" s="47" t="b">
        <v>0</v>
      </c>
      <c r="Q3720" s="36" t="str">
        <f t="shared" si="35"/>
        <v/>
      </c>
      <c r="R3720" s="47" t="b">
        <v>0</v>
      </c>
      <c r="S3720" s="42" t="str">
        <f t="shared" si="28"/>
        <v/>
      </c>
      <c r="T3720" s="42"/>
    </row>
    <row r="3721" ht="22.5" customHeight="1">
      <c r="B3721" s="42">
        <f t="shared" si="7"/>
        <v>3715</v>
      </c>
      <c r="C3721" s="31" t="s">
        <v>3770</v>
      </c>
      <c r="D3721" s="34" t="str">
        <f t="array" ref="D3721">IFNA(_xlfn.XLOOKUP(C3721,Table_Tarikan_Warkah[Nomor Sertipikat],Table_Tarikan_Warkah[Nomor Tiket]),"")</f>
        <v>K/8/070825/1</v>
      </c>
      <c r="E3721" s="36" t="str">
        <f t="array" ref="E3721">IFNA(_xlfn.XLOOKUP(D3721,Table_Tarikan_Warkah[Nomor Tiket],Table_Tarikan_Warkah[Tanggal diserahkan kepada Validator]),"")</f>
        <v/>
      </c>
      <c r="F3721" s="36" t="str">
        <f t="array" ref="F3721">IFNA(_xlfn.XLOOKUP(D3721,Table_Tarikan_Warkah[Nomor Tiket],Table_Tarikan_Warkah[Nama Petugas Warkah]),"")</f>
        <v/>
      </c>
      <c r="G3721" s="39" t="str">
        <f t="array" ref="G3721">IFNA(_xlfn.XLOOKUP(D3721,Table_Tarikan_Warkah[Nomor Tiket],Table_Tarikan_Warkah[Jenis Permohonan]),"")</f>
        <v>bn jual beli</v>
      </c>
      <c r="H3721" s="41" t="s">
        <v>2315</v>
      </c>
      <c r="I3721" s="49" t="s">
        <v>23</v>
      </c>
      <c r="J3721" s="36">
        <f t="shared" si="20"/>
        <v>45909.56942</v>
      </c>
      <c r="K3721" s="49" t="s">
        <v>2378</v>
      </c>
      <c r="L3721" s="49" t="s">
        <v>23</v>
      </c>
      <c r="M3721" s="36">
        <f t="shared" si="33"/>
        <v>45911.63757</v>
      </c>
      <c r="N3721" s="30" t="str">
        <f t="shared" si="34"/>
        <v>Selesai</v>
      </c>
      <c r="O3721" s="45">
        <f t="shared" si="23"/>
        <v>45911.63757</v>
      </c>
      <c r="P3721" s="47" t="b">
        <v>0</v>
      </c>
      <c r="Q3721" s="36" t="str">
        <f t="shared" si="35"/>
        <v/>
      </c>
      <c r="R3721" s="47" t="b">
        <v>0</v>
      </c>
      <c r="S3721" s="42" t="str">
        <f t="shared" si="28"/>
        <v/>
      </c>
      <c r="T3721" s="42"/>
    </row>
    <row r="3722" ht="22.5" customHeight="1">
      <c r="B3722" s="42">
        <f t="shared" si="7"/>
        <v>3716</v>
      </c>
      <c r="C3722" s="31" t="s">
        <v>3771</v>
      </c>
      <c r="D3722" s="34" t="str">
        <f t="array" ref="D3722">IFNA(_xlfn.XLOOKUP(C3722,Table_Tarikan_Warkah[Nomor Sertipikat],Table_Tarikan_Warkah[Nomor Tiket]),"")</f>
        <v>K/31/080725/1</v>
      </c>
      <c r="E3722" s="36">
        <f t="array" ref="E3722">IFNA(_xlfn.XLOOKUP(D3722,Table_Tarikan_Warkah[Nomor Tiket],Table_Tarikan_Warkah[Tanggal diserahkan kepada Validator]),"")</f>
        <v>45915.58313</v>
      </c>
      <c r="F3722" s="36" t="str">
        <f t="array" ref="F3722">IFNA(_xlfn.XLOOKUP(D3722,Table_Tarikan_Warkah[Nomor Tiket],Table_Tarikan_Warkah[Nama Petugas Warkah]),"")</f>
        <v>Berry</v>
      </c>
      <c r="G3722" s="39" t="str">
        <f t="array" ref="G3722">IFNA(_xlfn.XLOOKUP(D3722,Table_Tarikan_Warkah[Nomor Tiket],Table_Tarikan_Warkah[Jenis Permohonan]),"")</f>
        <v>BN JUAL BELI</v>
      </c>
      <c r="H3722" s="41" t="s">
        <v>2315</v>
      </c>
      <c r="I3722" s="49" t="s">
        <v>23</v>
      </c>
      <c r="J3722" s="36">
        <f t="shared" si="20"/>
        <v>45909.57003</v>
      </c>
      <c r="K3722" s="49" t="s">
        <v>2378</v>
      </c>
      <c r="L3722" s="49" t="s">
        <v>23</v>
      </c>
      <c r="M3722" s="36">
        <f t="shared" si="33"/>
        <v>45911.62591</v>
      </c>
      <c r="N3722" s="30" t="str">
        <f t="shared" si="34"/>
        <v>Selesai</v>
      </c>
      <c r="O3722" s="45">
        <f t="shared" si="23"/>
        <v>45911.62591</v>
      </c>
      <c r="P3722" s="47" t="b">
        <v>0</v>
      </c>
      <c r="Q3722" s="36" t="str">
        <f t="shared" si="35"/>
        <v/>
      </c>
      <c r="R3722" s="47" t="b">
        <v>0</v>
      </c>
      <c r="S3722" s="42" t="str">
        <f t="shared" si="28"/>
        <v/>
      </c>
      <c r="T3722" s="42"/>
    </row>
    <row r="3723" ht="22.5" customHeight="1">
      <c r="B3723" s="42">
        <f t="shared" si="7"/>
        <v>3717</v>
      </c>
      <c r="C3723" s="31" t="s">
        <v>3772</v>
      </c>
      <c r="D3723" s="34" t="str">
        <f t="array" ref="D3723">IFNA(_xlfn.XLOOKUP(C3723,Table_Tarikan_Warkah[Nomor Sertipikat],Table_Tarikan_Warkah[Nomor Tiket]),"")</f>
        <v>K/17/200825/1</v>
      </c>
      <c r="E3723" s="36" t="str">
        <f t="array" ref="E3723">IFNA(_xlfn.XLOOKUP(D3723,Table_Tarikan_Warkah[Nomor Tiket],Table_Tarikan_Warkah[Tanggal diserahkan kepada Validator]),"")</f>
        <v/>
      </c>
      <c r="F3723" s="36" t="str">
        <f t="array" ref="F3723">IFNA(_xlfn.XLOOKUP(D3723,Table_Tarikan_Warkah[Nomor Tiket],Table_Tarikan_Warkah[Nama Petugas Warkah]),"")</f>
        <v/>
      </c>
      <c r="G3723" s="39" t="str">
        <f t="array" ref="G3723">IFNA(_xlfn.XLOOKUP(D3723,Table_Tarikan_Warkah[Nomor Tiket],Table_Tarikan_Warkah[Jenis Permohonan]),"")</f>
        <v>BN Waris</v>
      </c>
      <c r="H3723" s="41" t="s">
        <v>2315</v>
      </c>
      <c r="I3723" s="49" t="s">
        <v>23</v>
      </c>
      <c r="J3723" s="36">
        <f t="shared" si="20"/>
        <v>45909.57003</v>
      </c>
      <c r="K3723" s="49" t="s">
        <v>2378</v>
      </c>
      <c r="L3723" s="49" t="s">
        <v>23</v>
      </c>
      <c r="M3723" s="36">
        <f t="shared" si="33"/>
        <v>45911.63733</v>
      </c>
      <c r="N3723" s="30" t="str">
        <f t="shared" si="34"/>
        <v>Selesai</v>
      </c>
      <c r="O3723" s="45">
        <f t="shared" si="23"/>
        <v>45911.63733</v>
      </c>
      <c r="P3723" s="47" t="b">
        <v>0</v>
      </c>
      <c r="Q3723" s="36" t="str">
        <f t="shared" si="35"/>
        <v/>
      </c>
      <c r="R3723" s="47" t="b">
        <v>0</v>
      </c>
      <c r="S3723" s="42" t="str">
        <f t="shared" si="28"/>
        <v/>
      </c>
      <c r="T3723" s="42"/>
    </row>
    <row r="3724" ht="22.5" customHeight="1">
      <c r="B3724" s="42">
        <f t="shared" si="7"/>
        <v>3718</v>
      </c>
      <c r="C3724" s="31" t="s">
        <v>3773</v>
      </c>
      <c r="D3724" s="34" t="str">
        <f t="array" ref="D3724">IFNA(_xlfn.XLOOKUP(C3724,Table_Tarikan_Warkah[Nomor Sertipikat],Table_Tarikan_Warkah[Nomor Tiket]),"")</f>
        <v>K/11/030925/2</v>
      </c>
      <c r="E3724" s="36" t="str">
        <f t="array" ref="E3724">IFNA(_xlfn.XLOOKUP(D3724,Table_Tarikan_Warkah[Nomor Tiket],Table_Tarikan_Warkah[Tanggal diserahkan kepada Validator]),"")</f>
        <v/>
      </c>
      <c r="F3724" s="36" t="str">
        <f t="array" ref="F3724">IFNA(_xlfn.XLOOKUP(D3724,Table_Tarikan_Warkah[Nomor Tiket],Table_Tarikan_Warkah[Nama Petugas Warkah]),"")</f>
        <v/>
      </c>
      <c r="G3724" s="39" t="str">
        <f t="array" ref="G3724">IFNA(_xlfn.XLOOKUP(D3724,Table_Tarikan_Warkah[Nomor Tiket],Table_Tarikan_Warkah[Jenis Permohonan]),"")</f>
        <v>BN Waris	</v>
      </c>
      <c r="H3724" s="41" t="s">
        <v>2315</v>
      </c>
      <c r="I3724" s="49" t="s">
        <v>23</v>
      </c>
      <c r="J3724" s="36">
        <f t="shared" si="20"/>
        <v>45909.57003</v>
      </c>
      <c r="K3724" s="49" t="s">
        <v>2378</v>
      </c>
      <c r="L3724" s="49" t="s">
        <v>23</v>
      </c>
      <c r="M3724" s="36">
        <f t="shared" si="33"/>
        <v>45911.62608</v>
      </c>
      <c r="N3724" s="30" t="str">
        <f t="shared" si="34"/>
        <v>Selesai</v>
      </c>
      <c r="O3724" s="45">
        <f t="shared" si="23"/>
        <v>45911.62608</v>
      </c>
      <c r="P3724" s="47" t="b">
        <v>0</v>
      </c>
      <c r="Q3724" s="36" t="str">
        <f t="shared" si="35"/>
        <v/>
      </c>
      <c r="R3724" s="47" t="b">
        <v>0</v>
      </c>
      <c r="S3724" s="42" t="str">
        <f t="shared" si="28"/>
        <v/>
      </c>
      <c r="T3724" s="42"/>
    </row>
    <row r="3725" ht="22.5" customHeight="1">
      <c r="B3725" s="42">
        <f t="shared" si="7"/>
        <v>3719</v>
      </c>
      <c r="C3725" s="31" t="s">
        <v>3774</v>
      </c>
      <c r="D3725" s="34" t="str">
        <f t="array" ref="D3725">IFNA(_xlfn.XLOOKUP(C3725,Table_Tarikan_Warkah[Nomor Sertipikat],Table_Tarikan_Warkah[Nomor Tiket]),"")</f>
        <v>K/50/020925/1</v>
      </c>
      <c r="E3725" s="36">
        <f t="array" ref="E3725">IFNA(_xlfn.XLOOKUP(D3725,Table_Tarikan_Warkah[Nomor Tiket],Table_Tarikan_Warkah[Tanggal diserahkan kepada Validator]),"")</f>
        <v>45918.55335</v>
      </c>
      <c r="F3725" s="36" t="str">
        <f t="array" ref="F3725">IFNA(_xlfn.XLOOKUP(D3725,Table_Tarikan_Warkah[Nomor Tiket],Table_Tarikan_Warkah[Nama Petugas Warkah]),"")</f>
        <v>Berry</v>
      </c>
      <c r="G3725" s="39" t="str">
        <f t="array" ref="G3725">IFNA(_xlfn.XLOOKUP(D3725,Table_Tarikan_Warkah[Nomor Tiket],Table_Tarikan_Warkah[Jenis Permohonan]),"")</f>
        <v>BN Waris	</v>
      </c>
      <c r="H3725" s="41" t="s">
        <v>2315</v>
      </c>
      <c r="I3725" s="49" t="s">
        <v>23</v>
      </c>
      <c r="J3725" s="36">
        <f t="shared" si="20"/>
        <v>45909.57043</v>
      </c>
      <c r="K3725" s="49" t="s">
        <v>2378</v>
      </c>
      <c r="L3725" s="49" t="s">
        <v>23</v>
      </c>
      <c r="M3725" s="36">
        <f t="shared" si="33"/>
        <v>45911.62627</v>
      </c>
      <c r="N3725" s="30" t="str">
        <f t="shared" si="34"/>
        <v>Selesai</v>
      </c>
      <c r="O3725" s="45">
        <f t="shared" si="23"/>
        <v>45911.62627</v>
      </c>
      <c r="P3725" s="47" t="b">
        <v>0</v>
      </c>
      <c r="Q3725" s="36" t="str">
        <f t="shared" si="35"/>
        <v/>
      </c>
      <c r="R3725" s="47" t="b">
        <v>0</v>
      </c>
      <c r="S3725" s="42" t="str">
        <f t="shared" si="28"/>
        <v/>
      </c>
      <c r="T3725" s="42"/>
    </row>
    <row r="3726" ht="22.5" customHeight="1">
      <c r="B3726" s="42">
        <f t="shared" si="7"/>
        <v>3720</v>
      </c>
      <c r="C3726" s="31" t="s">
        <v>3775</v>
      </c>
      <c r="D3726" s="34" t="str">
        <f t="array" ref="D3726">IFNA(_xlfn.XLOOKUP(C3726,Table_Tarikan_Warkah[Nomor Sertipikat],Table_Tarikan_Warkah[Nomor Tiket]),"")</f>
        <v>K/10/110825/1</v>
      </c>
      <c r="E3726" s="36" t="str">
        <f t="array" ref="E3726">IFNA(_xlfn.XLOOKUP(D3726,Table_Tarikan_Warkah[Nomor Tiket],Table_Tarikan_Warkah[Tanggal diserahkan kepada Validator]),"")</f>
        <v/>
      </c>
      <c r="F3726" s="36" t="str">
        <f t="array" ref="F3726">IFNA(_xlfn.XLOOKUP(D3726,Table_Tarikan_Warkah[Nomor Tiket],Table_Tarikan_Warkah[Nama Petugas Warkah]),"")</f>
        <v/>
      </c>
      <c r="G3726" s="39" t="str">
        <f t="array" ref="G3726">IFNA(_xlfn.XLOOKUP(D3726,Table_Tarikan_Warkah[Nomor Tiket],Table_Tarikan_Warkah[Jenis Permohonan]),"")</f>
        <v>Perubahan Hak</v>
      </c>
      <c r="H3726" s="41" t="s">
        <v>2315</v>
      </c>
      <c r="I3726" s="49" t="s">
        <v>23</v>
      </c>
      <c r="J3726" s="36">
        <f t="shared" si="20"/>
        <v>45909.57057</v>
      </c>
      <c r="K3726" s="49" t="s">
        <v>2378</v>
      </c>
      <c r="L3726" s="49" t="s">
        <v>23</v>
      </c>
      <c r="M3726" s="36">
        <f t="shared" si="33"/>
        <v>45911.63702</v>
      </c>
      <c r="N3726" s="30" t="str">
        <f t="shared" si="34"/>
        <v>Selesai</v>
      </c>
      <c r="O3726" s="45">
        <f t="shared" si="23"/>
        <v>45911.63702</v>
      </c>
      <c r="P3726" s="47" t="b">
        <v>0</v>
      </c>
      <c r="Q3726" s="36" t="str">
        <f t="shared" si="35"/>
        <v/>
      </c>
      <c r="R3726" s="47" t="b">
        <v>0</v>
      </c>
      <c r="S3726" s="42" t="str">
        <f t="shared" si="28"/>
        <v/>
      </c>
      <c r="T3726" s="42"/>
    </row>
    <row r="3727" ht="22.5" customHeight="1">
      <c r="B3727" s="42">
        <f t="shared" si="7"/>
        <v>3721</v>
      </c>
      <c r="C3727" s="31" t="s">
        <v>3776</v>
      </c>
      <c r="D3727" s="34" t="str">
        <f t="array" ref="D3727">IFNA(_xlfn.XLOOKUP(C3727,Table_Tarikan_Warkah[Nomor Sertipikat],Table_Tarikan_Warkah[Nomor Tiket]),"")</f>
        <v>K/1/260825/1</v>
      </c>
      <c r="E3727" s="36" t="str">
        <f t="array" ref="E3727">IFNA(_xlfn.XLOOKUP(D3727,Table_Tarikan_Warkah[Nomor Tiket],Table_Tarikan_Warkah[Tanggal diserahkan kepada Validator]),"")</f>
        <v/>
      </c>
      <c r="F3727" s="36" t="str">
        <f t="array" ref="F3727">IFNA(_xlfn.XLOOKUP(D3727,Table_Tarikan_Warkah[Nomor Tiket],Table_Tarikan_Warkah[Nama Petugas Warkah]),"")</f>
        <v/>
      </c>
      <c r="G3727" s="39" t="str">
        <f t="array" ref="G3727">IFNA(_xlfn.XLOOKUP(D3727,Table_Tarikan_Warkah[Nomor Tiket],Table_Tarikan_Warkah[Jenis Permohonan]),"")</f>
        <v>Roya		</v>
      </c>
      <c r="H3727" s="41" t="s">
        <v>2315</v>
      </c>
      <c r="I3727" s="49" t="s">
        <v>23</v>
      </c>
      <c r="J3727" s="36">
        <f t="shared" si="20"/>
        <v>45909.57072</v>
      </c>
      <c r="K3727" s="49" t="s">
        <v>2378</v>
      </c>
      <c r="L3727" s="49" t="s">
        <v>23</v>
      </c>
      <c r="M3727" s="36">
        <f t="shared" si="33"/>
        <v>45911.62639</v>
      </c>
      <c r="N3727" s="30" t="str">
        <f t="shared" si="34"/>
        <v>Selesai</v>
      </c>
      <c r="O3727" s="45">
        <f t="shared" si="23"/>
        <v>45911.62639</v>
      </c>
      <c r="P3727" s="47" t="b">
        <v>0</v>
      </c>
      <c r="Q3727" s="36" t="str">
        <f t="shared" si="35"/>
        <v/>
      </c>
      <c r="R3727" s="47" t="b">
        <v>0</v>
      </c>
      <c r="S3727" s="42" t="str">
        <f t="shared" si="28"/>
        <v/>
      </c>
      <c r="T3727" s="42"/>
    </row>
    <row r="3728" ht="22.5" customHeight="1">
      <c r="B3728" s="42">
        <f t="shared" si="7"/>
        <v>3722</v>
      </c>
      <c r="C3728" s="31" t="s">
        <v>3777</v>
      </c>
      <c r="D3728" s="34" t="str">
        <f t="array" ref="D3728">IFNA(_xlfn.XLOOKUP(C3728,Table_Tarikan_Warkah[Nomor Sertipikat],Table_Tarikan_Warkah[Nomor Tiket]),"")</f>
        <v>K/24/020925/1</v>
      </c>
      <c r="E3728" s="36" t="str">
        <f t="array" ref="E3728">IFNA(_xlfn.XLOOKUP(D3728,Table_Tarikan_Warkah[Nomor Tiket],Table_Tarikan_Warkah[Tanggal diserahkan kepada Validator]),"")</f>
        <v/>
      </c>
      <c r="F3728" s="36" t="str">
        <f t="array" ref="F3728">IFNA(_xlfn.XLOOKUP(D3728,Table_Tarikan_Warkah[Nomor Tiket],Table_Tarikan_Warkah[Nama Petugas Warkah]),"")</f>
        <v/>
      </c>
      <c r="G3728" s="39" t="str">
        <f t="array" ref="G3728">IFNA(_xlfn.XLOOKUP(D3728,Table_Tarikan_Warkah[Nomor Tiket],Table_Tarikan_Warkah[Jenis Permohonan]),"")</f>
        <v>BN WARIS</v>
      </c>
      <c r="H3728" s="41" t="s">
        <v>2315</v>
      </c>
      <c r="I3728" s="49" t="s">
        <v>23</v>
      </c>
      <c r="J3728" s="36">
        <f t="shared" si="20"/>
        <v>45909.57121</v>
      </c>
      <c r="K3728" s="49" t="s">
        <v>2378</v>
      </c>
      <c r="L3728" s="49" t="s">
        <v>23</v>
      </c>
      <c r="M3728" s="36">
        <f t="shared" si="33"/>
        <v>45911.63627</v>
      </c>
      <c r="N3728" s="30" t="str">
        <f t="shared" si="34"/>
        <v>Selesai</v>
      </c>
      <c r="O3728" s="45">
        <f t="shared" si="23"/>
        <v>45911.63627</v>
      </c>
      <c r="P3728" s="47" t="b">
        <v>0</v>
      </c>
      <c r="Q3728" s="36" t="str">
        <f t="shared" si="35"/>
        <v/>
      </c>
      <c r="R3728" s="47" t="b">
        <v>0</v>
      </c>
      <c r="S3728" s="42" t="str">
        <f t="shared" si="28"/>
        <v/>
      </c>
      <c r="T3728" s="42"/>
    </row>
    <row r="3729" ht="22.5" customHeight="1">
      <c r="B3729" s="42">
        <f t="shared" si="7"/>
        <v>3723</v>
      </c>
      <c r="C3729" s="31" t="s">
        <v>3778</v>
      </c>
      <c r="D3729" s="34" t="str">
        <f t="array" ref="D3729">IFNA(_xlfn.XLOOKUP(C3729,Table_Tarikan_Warkah[Nomor Sertipikat],Table_Tarikan_Warkah[Nomor Tiket]),"")</f>
        <v>K/15/270825/1</v>
      </c>
      <c r="E3729" s="36">
        <f t="array" ref="E3729">IFNA(_xlfn.XLOOKUP(D3729,Table_Tarikan_Warkah[Nomor Tiket],Table_Tarikan_Warkah[Tanggal diserahkan kepada Validator]),"")</f>
        <v>45988.63917</v>
      </c>
      <c r="F3729" s="36" t="str">
        <f t="array" ref="F3729">IFNA(_xlfn.XLOOKUP(D3729,Table_Tarikan_Warkah[Nomor Tiket],Table_Tarikan_Warkah[Nama Petugas Warkah]),"")</f>
        <v>Berry</v>
      </c>
      <c r="G3729" s="39" t="str">
        <f t="array" ref="G3729">IFNA(_xlfn.XLOOKUP(D3729,Table_Tarikan_Warkah[Nomor Tiket],Table_Tarikan_Warkah[Jenis Permohonan]),"")</f>
        <v>BN WARIS</v>
      </c>
      <c r="H3729" s="41" t="s">
        <v>2315</v>
      </c>
      <c r="I3729" s="49" t="s">
        <v>23</v>
      </c>
      <c r="J3729" s="36">
        <f t="shared" si="20"/>
        <v>45909.57134</v>
      </c>
      <c r="K3729" s="49" t="s">
        <v>2378</v>
      </c>
      <c r="L3729" s="49" t="s">
        <v>23</v>
      </c>
      <c r="M3729" s="36">
        <f t="shared" si="33"/>
        <v>45911.62547</v>
      </c>
      <c r="N3729" s="30" t="str">
        <f t="shared" si="34"/>
        <v>Selesai</v>
      </c>
      <c r="O3729" s="45">
        <f t="shared" si="23"/>
        <v>45911.62547</v>
      </c>
      <c r="P3729" s="47" t="b">
        <v>0</v>
      </c>
      <c r="Q3729" s="36" t="str">
        <f t="shared" si="35"/>
        <v/>
      </c>
      <c r="R3729" s="47" t="b">
        <v>0</v>
      </c>
      <c r="S3729" s="42" t="str">
        <f t="shared" si="28"/>
        <v/>
      </c>
      <c r="T3729" s="42"/>
    </row>
    <row r="3730" ht="22.5" customHeight="1">
      <c r="B3730" s="42">
        <f t="shared" si="7"/>
        <v>3724</v>
      </c>
      <c r="C3730" s="31" t="s">
        <v>3779</v>
      </c>
      <c r="D3730" s="34" t="str">
        <f t="array" ref="D3730">IFNA(_xlfn.XLOOKUP(C3730,Table_Tarikan_Warkah[Nomor Sertipikat],Table_Tarikan_Warkah[Nomor Tiket]),"")</f>
        <v>L/21/270825/1</v>
      </c>
      <c r="E3730" s="36" t="str">
        <f t="array" ref="E3730">IFNA(_xlfn.XLOOKUP(D3730,Table_Tarikan_Warkah[Nomor Tiket],Table_Tarikan_Warkah[Tanggal diserahkan kepada Validator]),"")</f>
        <v/>
      </c>
      <c r="F3730" s="36" t="str">
        <f t="array" ref="F3730">IFNA(_xlfn.XLOOKUP(D3730,Table_Tarikan_Warkah[Nomor Tiket],Table_Tarikan_Warkah[Nama Petugas Warkah]),"")</f>
        <v/>
      </c>
      <c r="G3730" s="39" t="str">
        <f t="array" ref="G3730">IFNA(_xlfn.XLOOKUP(D3730,Table_Tarikan_Warkah[Nomor Tiket],Table_Tarikan_Warkah[Jenis Permohonan]),"")</f>
        <v>PENINGKATAN HAK</v>
      </c>
      <c r="H3730" s="41" t="s">
        <v>2315</v>
      </c>
      <c r="I3730" s="49" t="s">
        <v>23</v>
      </c>
      <c r="J3730" s="36">
        <f t="shared" si="20"/>
        <v>45909.57148</v>
      </c>
      <c r="K3730" s="49" t="s">
        <v>2378</v>
      </c>
      <c r="L3730" s="49" t="s">
        <v>23</v>
      </c>
      <c r="M3730" s="36">
        <f t="shared" si="33"/>
        <v>45911.6279</v>
      </c>
      <c r="N3730" s="30" t="str">
        <f t="shared" si="34"/>
        <v>Selesai</v>
      </c>
      <c r="O3730" s="45">
        <f t="shared" si="23"/>
        <v>45911.6279</v>
      </c>
      <c r="P3730" s="47" t="b">
        <v>0</v>
      </c>
      <c r="Q3730" s="36" t="str">
        <f t="shared" si="35"/>
        <v/>
      </c>
      <c r="R3730" s="47" t="b">
        <v>0</v>
      </c>
      <c r="S3730" s="42" t="str">
        <f t="shared" si="28"/>
        <v/>
      </c>
      <c r="T3730" s="42"/>
    </row>
    <row r="3731" ht="22.5" customHeight="1">
      <c r="B3731" s="42">
        <f t="shared" si="7"/>
        <v>3725</v>
      </c>
      <c r="C3731" s="31" t="s">
        <v>3780</v>
      </c>
      <c r="D3731" s="34" t="str">
        <f t="array" ref="D3731">IFNA(_xlfn.XLOOKUP(C3731,Table_Tarikan_Warkah[Nomor Sertipikat],Table_Tarikan_Warkah[Nomor Tiket]),"")</f>
        <v>L/33/290825/1</v>
      </c>
      <c r="E3731" s="36">
        <f t="array" ref="E3731">IFNA(_xlfn.XLOOKUP(D3731,Table_Tarikan_Warkah[Nomor Tiket],Table_Tarikan_Warkah[Tanggal diserahkan kepada Validator]),"")</f>
        <v>45932.70308</v>
      </c>
      <c r="F3731" s="36" t="str">
        <f t="array" ref="F3731">IFNA(_xlfn.XLOOKUP(D3731,Table_Tarikan_Warkah[Nomor Tiket],Table_Tarikan_Warkah[Nama Petugas Warkah]),"")</f>
        <v>Berry</v>
      </c>
      <c r="G3731" s="39" t="str">
        <f t="array" ref="G3731">IFNA(_xlfn.XLOOKUP(D3731,Table_Tarikan_Warkah[Nomor Tiket],Table_Tarikan_Warkah[Jenis Permohonan]),"")</f>
        <v>ROYA</v>
      </c>
      <c r="H3731" s="41" t="s">
        <v>2315</v>
      </c>
      <c r="I3731" s="49" t="s">
        <v>23</v>
      </c>
      <c r="J3731" s="36">
        <f t="shared" si="20"/>
        <v>45909.57162</v>
      </c>
      <c r="K3731" s="49" t="s">
        <v>2378</v>
      </c>
      <c r="L3731" s="49" t="s">
        <v>23</v>
      </c>
      <c r="M3731" s="36">
        <f t="shared" si="33"/>
        <v>45911.62661</v>
      </c>
      <c r="N3731" s="30" t="str">
        <f t="shared" si="34"/>
        <v>Selesai</v>
      </c>
      <c r="O3731" s="45">
        <f t="shared" si="23"/>
        <v>45911.62661</v>
      </c>
      <c r="P3731" s="47" t="b">
        <v>0</v>
      </c>
      <c r="Q3731" s="36" t="str">
        <f t="shared" si="35"/>
        <v/>
      </c>
      <c r="R3731" s="47" t="b">
        <v>0</v>
      </c>
      <c r="S3731" s="42" t="str">
        <f t="shared" si="28"/>
        <v/>
      </c>
      <c r="T3731" s="42"/>
    </row>
    <row r="3732" ht="22.5" customHeight="1">
      <c r="B3732" s="42">
        <f t="shared" si="7"/>
        <v>3726</v>
      </c>
      <c r="C3732" s="31" t="s">
        <v>3781</v>
      </c>
      <c r="D3732" s="34" t="str">
        <f t="array" ref="D3732">IFNA(_xlfn.XLOOKUP(C3732,Table_Tarikan_Warkah[Nomor Sertipikat],Table_Tarikan_Warkah[Nomor Tiket]),"")</f>
        <v>L/61/020925/1</v>
      </c>
      <c r="E3732" s="36" t="str">
        <f t="array" ref="E3732">IFNA(_xlfn.XLOOKUP(D3732,Table_Tarikan_Warkah[Nomor Tiket],Table_Tarikan_Warkah[Tanggal diserahkan kepada Validator]),"")</f>
        <v/>
      </c>
      <c r="F3732" s="36" t="str">
        <f t="array" ref="F3732">IFNA(_xlfn.XLOOKUP(D3732,Table_Tarikan_Warkah[Nomor Tiket],Table_Tarikan_Warkah[Nama Petugas Warkah]),"")</f>
        <v/>
      </c>
      <c r="G3732" s="39" t="str">
        <f t="array" ref="G3732">IFNA(_xlfn.XLOOKUP(D3732,Table_Tarikan_Warkah[Nomor Tiket],Table_Tarikan_Warkah[Jenis Permohonan]),"")</f>
        <v>ROYA</v>
      </c>
      <c r="H3732" s="41" t="s">
        <v>2315</v>
      </c>
      <c r="I3732" s="49" t="s">
        <v>23</v>
      </c>
      <c r="J3732" s="36">
        <f t="shared" si="20"/>
        <v>45909.57177</v>
      </c>
      <c r="K3732" s="49" t="s">
        <v>2378</v>
      </c>
      <c r="L3732" s="49" t="s">
        <v>23</v>
      </c>
      <c r="M3732" s="36">
        <f t="shared" si="33"/>
        <v>45911.62683</v>
      </c>
      <c r="N3732" s="30" t="str">
        <f t="shared" si="34"/>
        <v>Selesai</v>
      </c>
      <c r="O3732" s="45">
        <f t="shared" si="23"/>
        <v>45911.62683</v>
      </c>
      <c r="P3732" s="47" t="b">
        <v>0</v>
      </c>
      <c r="Q3732" s="36" t="str">
        <f t="shared" si="35"/>
        <v/>
      </c>
      <c r="R3732" s="47" t="b">
        <v>0</v>
      </c>
      <c r="S3732" s="42" t="str">
        <f t="shared" si="28"/>
        <v/>
      </c>
      <c r="T3732" s="42"/>
    </row>
    <row r="3733" ht="22.5" customHeight="1">
      <c r="B3733" s="42">
        <f t="shared" si="7"/>
        <v>3727</v>
      </c>
      <c r="C3733" s="31" t="s">
        <v>3502</v>
      </c>
      <c r="D3733" s="34" t="str">
        <f t="array" ref="D3733">IFNA(_xlfn.XLOOKUP(C3733,Table_Tarikan_Warkah[Nomor Sertipikat],Table_Tarikan_Warkah[Nomor Tiket]),"")</f>
        <v>K/23/050825/1</v>
      </c>
      <c r="E3733" s="36" t="str">
        <f t="array" ref="E3733">IFNA(_xlfn.XLOOKUP(D3733,Table_Tarikan_Warkah[Nomor Tiket],Table_Tarikan_Warkah[Tanggal diserahkan kepada Validator]),"")</f>
        <v/>
      </c>
      <c r="F3733" s="36" t="str">
        <f t="array" ref="F3733">IFNA(_xlfn.XLOOKUP(D3733,Table_Tarikan_Warkah[Nomor Tiket],Table_Tarikan_Warkah[Nama Petugas Warkah]),"")</f>
        <v/>
      </c>
      <c r="G3733" s="39" t="str">
        <f t="array" ref="G3733">IFNA(_xlfn.XLOOKUP(D3733,Table_Tarikan_Warkah[Nomor Tiket],Table_Tarikan_Warkah[Jenis Permohonan]),"")</f>
        <v>BN JUAL BELI</v>
      </c>
      <c r="H3733" s="41" t="s">
        <v>2315</v>
      </c>
      <c r="I3733" s="49" t="s">
        <v>23</v>
      </c>
      <c r="J3733" s="36">
        <f t="shared" si="20"/>
        <v>45909.57198</v>
      </c>
      <c r="K3733" s="49" t="s">
        <v>2378</v>
      </c>
      <c r="L3733" s="49" t="s">
        <v>23</v>
      </c>
      <c r="M3733" s="36">
        <f t="shared" si="33"/>
        <v>45911.636</v>
      </c>
      <c r="N3733" s="30" t="str">
        <f t="shared" si="34"/>
        <v>Selesai</v>
      </c>
      <c r="O3733" s="45">
        <f t="shared" si="23"/>
        <v>45911.636</v>
      </c>
      <c r="P3733" s="47" t="b">
        <v>0</v>
      </c>
      <c r="Q3733" s="36" t="str">
        <f t="shared" si="35"/>
        <v/>
      </c>
      <c r="R3733" s="47" t="b">
        <v>0</v>
      </c>
      <c r="S3733" s="42" t="str">
        <f t="shared" si="28"/>
        <v/>
      </c>
      <c r="T3733" s="42"/>
    </row>
    <row r="3734" ht="22.5" customHeight="1">
      <c r="B3734" s="42">
        <f t="shared" si="7"/>
        <v>3728</v>
      </c>
      <c r="C3734" s="31" t="s">
        <v>3782</v>
      </c>
      <c r="D3734" s="34" t="str">
        <f t="array" ref="D3734">IFNA(_xlfn.XLOOKUP(C3734,Table_Tarikan_Warkah[Nomor Sertipikat],Table_Tarikan_Warkah[Nomor Tiket]),"")</f>
        <v>L/53/020925/1</v>
      </c>
      <c r="E3734" s="36" t="str">
        <f t="array" ref="E3734">IFNA(_xlfn.XLOOKUP(D3734,Table_Tarikan_Warkah[Nomor Tiket],Table_Tarikan_Warkah[Tanggal diserahkan kepada Validator]),"")</f>
        <v/>
      </c>
      <c r="F3734" s="36" t="str">
        <f t="array" ref="F3734">IFNA(_xlfn.XLOOKUP(D3734,Table_Tarikan_Warkah[Nomor Tiket],Table_Tarikan_Warkah[Nama Petugas Warkah]),"")</f>
        <v/>
      </c>
      <c r="G3734" s="39" t="str">
        <f t="array" ref="G3734">IFNA(_xlfn.XLOOKUP(D3734,Table_Tarikan_Warkah[Nomor Tiket],Table_Tarikan_Warkah[Jenis Permohonan]),"")</f>
        <v>BN WARIS</v>
      </c>
      <c r="H3734" s="41" t="s">
        <v>2315</v>
      </c>
      <c r="I3734" s="49" t="s">
        <v>23</v>
      </c>
      <c r="J3734" s="36">
        <f t="shared" si="20"/>
        <v>45909.57218</v>
      </c>
      <c r="K3734" s="49" t="s">
        <v>2378</v>
      </c>
      <c r="L3734" s="49" t="s">
        <v>23</v>
      </c>
      <c r="M3734" s="36">
        <f t="shared" si="33"/>
        <v>45911.62812</v>
      </c>
      <c r="N3734" s="30" t="str">
        <f t="shared" si="34"/>
        <v>Selesai</v>
      </c>
      <c r="O3734" s="45">
        <f t="shared" si="23"/>
        <v>45911.62812</v>
      </c>
      <c r="P3734" s="47" t="b">
        <v>0</v>
      </c>
      <c r="Q3734" s="36" t="str">
        <f t="shared" si="35"/>
        <v/>
      </c>
      <c r="R3734" s="47" t="b">
        <v>0</v>
      </c>
      <c r="S3734" s="42" t="str">
        <f t="shared" si="28"/>
        <v/>
      </c>
      <c r="T3734" s="42"/>
    </row>
    <row r="3735" ht="22.5" customHeight="1">
      <c r="B3735" s="42">
        <f t="shared" si="7"/>
        <v>3729</v>
      </c>
      <c r="C3735" s="31" t="s">
        <v>3783</v>
      </c>
      <c r="D3735" s="34" t="str">
        <f t="array" ref="D3735">IFNA(_xlfn.XLOOKUP(C3735,Table_Tarikan_Warkah[Nomor Sertipikat],Table_Tarikan_Warkah[Nomor Tiket]),"")</f>
        <v>K/4/280825/1</v>
      </c>
      <c r="E3735" s="36" t="str">
        <f t="array" ref="E3735">IFNA(_xlfn.XLOOKUP(D3735,Table_Tarikan_Warkah[Nomor Tiket],Table_Tarikan_Warkah[Tanggal diserahkan kepada Validator]),"")</f>
        <v/>
      </c>
      <c r="F3735" s="36" t="str">
        <f t="array" ref="F3735">IFNA(_xlfn.XLOOKUP(D3735,Table_Tarikan_Warkah[Nomor Tiket],Table_Tarikan_Warkah[Nama Petugas Warkah]),"")</f>
        <v/>
      </c>
      <c r="G3735" s="39" t="str">
        <f t="array" ref="G3735">IFNA(_xlfn.XLOOKUP(D3735,Table_Tarikan_Warkah[Nomor Tiket],Table_Tarikan_Warkah[Jenis Permohonan]),"")</f>
        <v>BN JUAL BELI EL</v>
      </c>
      <c r="H3735" s="41" t="s">
        <v>920</v>
      </c>
      <c r="I3735" s="49" t="s">
        <v>23</v>
      </c>
      <c r="J3735" s="36">
        <f t="shared" si="20"/>
        <v>45910.4108</v>
      </c>
      <c r="K3735" s="49" t="s">
        <v>920</v>
      </c>
      <c r="L3735" s="49" t="s">
        <v>23</v>
      </c>
      <c r="M3735" s="36">
        <f t="shared" si="33"/>
        <v>45910.41081</v>
      </c>
      <c r="N3735" s="30" t="str">
        <f t="shared" si="34"/>
        <v>Selesai</v>
      </c>
      <c r="O3735" s="45">
        <f t="shared" si="23"/>
        <v>45910.41081</v>
      </c>
      <c r="P3735" s="47" t="b">
        <v>1</v>
      </c>
      <c r="Q3735" s="36">
        <f t="shared" si="35"/>
        <v>45910.41084</v>
      </c>
      <c r="R3735" s="47" t="b">
        <v>0</v>
      </c>
      <c r="S3735" s="42" t="str">
        <f t="shared" si="28"/>
        <v/>
      </c>
      <c r="T3735" s="42"/>
    </row>
    <row r="3736" ht="22.5" customHeight="1">
      <c r="B3736" s="42">
        <f t="shared" si="7"/>
        <v>3730</v>
      </c>
      <c r="C3736" s="31" t="s">
        <v>3784</v>
      </c>
      <c r="D3736" s="34" t="str">
        <f t="array" ref="D3736">IFNA(_xlfn.XLOOKUP(C3736,Table_Tarikan_Warkah[Nomor Sertipikat],Table_Tarikan_Warkah[Nomor Tiket]),"")</f>
        <v>K/5/250825/1</v>
      </c>
      <c r="E3736" s="36">
        <f t="array" ref="E3736">IFNA(_xlfn.XLOOKUP(D3736,Table_Tarikan_Warkah[Nomor Tiket],Table_Tarikan_Warkah[Tanggal diserahkan kepada Validator]),"")</f>
        <v>45988.6413</v>
      </c>
      <c r="F3736" s="36" t="str">
        <f t="array" ref="F3736">IFNA(_xlfn.XLOOKUP(D3736,Table_Tarikan_Warkah[Nomor Tiket],Table_Tarikan_Warkah[Nama Petugas Warkah]),"")</f>
        <v>Berry</v>
      </c>
      <c r="G3736" s="39" t="str">
        <f t="array" ref="G3736">IFNA(_xlfn.XLOOKUP(D3736,Table_Tarikan_Warkah[Nomor Tiket],Table_Tarikan_Warkah[Jenis Permohonan]),"")</f>
        <v>BN Jual Beli	</v>
      </c>
      <c r="H3736" s="41" t="s">
        <v>920</v>
      </c>
      <c r="I3736" s="49" t="s">
        <v>23</v>
      </c>
      <c r="J3736" s="36">
        <f t="shared" si="20"/>
        <v>45910.41095</v>
      </c>
      <c r="K3736" s="49" t="s">
        <v>920</v>
      </c>
      <c r="L3736" s="49" t="s">
        <v>23</v>
      </c>
      <c r="M3736" s="36">
        <f t="shared" si="33"/>
        <v>45910.41098</v>
      </c>
      <c r="N3736" s="30" t="str">
        <f t="shared" si="34"/>
        <v>Selesai</v>
      </c>
      <c r="O3736" s="45">
        <f t="shared" si="23"/>
        <v>45910.41098</v>
      </c>
      <c r="P3736" s="47" t="b">
        <v>1</v>
      </c>
      <c r="Q3736" s="36">
        <f t="shared" si="35"/>
        <v>45910.411</v>
      </c>
      <c r="R3736" s="47" t="b">
        <v>0</v>
      </c>
      <c r="S3736" s="42" t="str">
        <f t="shared" si="28"/>
        <v/>
      </c>
      <c r="T3736" s="42"/>
    </row>
    <row r="3737" ht="22.5" customHeight="1">
      <c r="B3737" s="42">
        <f t="shared" si="7"/>
        <v>3731</v>
      </c>
      <c r="C3737" s="31" t="s">
        <v>3785</v>
      </c>
      <c r="D3737" s="34" t="str">
        <f t="array" ref="D3737">IFNA(_xlfn.XLOOKUP(C3737,Table_Tarikan_Warkah[Nomor Sertipikat],Table_Tarikan_Warkah[Nomor Tiket]),"")</f>
        <v>K/25/220825/3	</v>
      </c>
      <c r="E3737" s="36">
        <f t="array" ref="E3737">IFNA(_xlfn.XLOOKUP(D3737,Table_Tarikan_Warkah[Nomor Tiket],Table_Tarikan_Warkah[Tanggal diserahkan kepada Validator]),"")</f>
        <v>45929.58782</v>
      </c>
      <c r="F3737" s="36" t="str">
        <f t="array" ref="F3737">IFNA(_xlfn.XLOOKUP(D3737,Table_Tarikan_Warkah[Nomor Tiket],Table_Tarikan_Warkah[Nama Petugas Warkah]),"")</f>
        <v>Berry</v>
      </c>
      <c r="G3737" s="39" t="str">
        <f t="array" ref="G3737">IFNA(_xlfn.XLOOKUP(D3737,Table_Tarikan_Warkah[Nomor Tiket],Table_Tarikan_Warkah[Jenis Permohonan]),"")</f>
        <v>BN Jual beli	</v>
      </c>
      <c r="H3737" s="41" t="s">
        <v>920</v>
      </c>
      <c r="I3737" s="49" t="s">
        <v>23</v>
      </c>
      <c r="J3737" s="36">
        <f t="shared" si="20"/>
        <v>45910.4113</v>
      </c>
      <c r="K3737" s="49" t="s">
        <v>920</v>
      </c>
      <c r="L3737" s="49" t="s">
        <v>23</v>
      </c>
      <c r="M3737" s="36">
        <f t="shared" si="33"/>
        <v>45910.41133</v>
      </c>
      <c r="N3737" s="30" t="str">
        <f t="shared" si="34"/>
        <v>Selesai</v>
      </c>
      <c r="O3737" s="45">
        <f t="shared" si="23"/>
        <v>45910.41133</v>
      </c>
      <c r="P3737" s="47" t="b">
        <v>1</v>
      </c>
      <c r="Q3737" s="36">
        <f t="shared" si="35"/>
        <v>45910.41136</v>
      </c>
      <c r="R3737" s="47" t="b">
        <v>0</v>
      </c>
      <c r="S3737" s="42" t="str">
        <f t="shared" si="28"/>
        <v/>
      </c>
      <c r="T3737" s="42"/>
    </row>
    <row r="3738" ht="22.5" customHeight="1">
      <c r="B3738" s="42">
        <f t="shared" si="7"/>
        <v>3732</v>
      </c>
      <c r="C3738" s="31" t="s">
        <v>3786</v>
      </c>
      <c r="D3738" s="34" t="str">
        <f t="array" ref="D3738">IFNA(_xlfn.XLOOKUP(C3738,Table_Tarikan_Warkah[Nomor Sertipikat],Table_Tarikan_Warkah[Nomor Tiket]),"")</f>
        <v>K/11/210825/3</v>
      </c>
      <c r="E3738" s="36">
        <f t="array" ref="E3738">IFNA(_xlfn.XLOOKUP(D3738,Table_Tarikan_Warkah[Nomor Tiket],Table_Tarikan_Warkah[Tanggal diserahkan kepada Validator]),"")</f>
        <v>45945.6255</v>
      </c>
      <c r="F3738" s="36" t="str">
        <f t="array" ref="F3738">IFNA(_xlfn.XLOOKUP(D3738,Table_Tarikan_Warkah[Nomor Tiket],Table_Tarikan_Warkah[Nama Petugas Warkah]),"")</f>
        <v>David</v>
      </c>
      <c r="G3738" s="39" t="str">
        <f t="array" ref="G3738">IFNA(_xlfn.XLOOKUP(D3738,Table_Tarikan_Warkah[Nomor Tiket],Table_Tarikan_Warkah[Jenis Permohonan]),"")</f>
        <v>BN Jual beli</v>
      </c>
      <c r="H3738" s="41" t="s">
        <v>920</v>
      </c>
      <c r="I3738" s="49" t="s">
        <v>23</v>
      </c>
      <c r="J3738" s="36">
        <f t="shared" si="20"/>
        <v>45910.41153</v>
      </c>
      <c r="K3738" s="49" t="s">
        <v>920</v>
      </c>
      <c r="L3738" s="49" t="s">
        <v>23</v>
      </c>
      <c r="M3738" s="36">
        <f t="shared" si="33"/>
        <v>45910.41156</v>
      </c>
      <c r="N3738" s="30" t="str">
        <f t="shared" si="34"/>
        <v>Selesai</v>
      </c>
      <c r="O3738" s="45">
        <f t="shared" si="23"/>
        <v>45910.41156</v>
      </c>
      <c r="P3738" s="47" t="b">
        <v>1</v>
      </c>
      <c r="Q3738" s="36">
        <f t="shared" si="35"/>
        <v>45910.54916</v>
      </c>
      <c r="R3738" s="47" t="b">
        <v>0</v>
      </c>
      <c r="S3738" s="42" t="str">
        <f t="shared" si="28"/>
        <v/>
      </c>
      <c r="T3738" s="42"/>
    </row>
    <row r="3739" ht="22.5" customHeight="1">
      <c r="B3739" s="42">
        <f t="shared" si="7"/>
        <v>3733</v>
      </c>
      <c r="C3739" s="31" t="s">
        <v>3787</v>
      </c>
      <c r="D3739" s="34" t="str">
        <f t="array" ref="D3739">IFNA(_xlfn.XLOOKUP(C3739,Table_Tarikan_Warkah[Nomor Sertipikat],Table_Tarikan_Warkah[Nomor Tiket]),"")</f>
        <v>K/26/260825/1</v>
      </c>
      <c r="E3739" s="36" t="str">
        <f t="array" ref="E3739">IFNA(_xlfn.XLOOKUP(D3739,Table_Tarikan_Warkah[Nomor Tiket],Table_Tarikan_Warkah[Tanggal diserahkan kepada Validator]),"")</f>
        <v/>
      </c>
      <c r="F3739" s="36" t="str">
        <f t="array" ref="F3739">IFNA(_xlfn.XLOOKUP(D3739,Table_Tarikan_Warkah[Nomor Tiket],Table_Tarikan_Warkah[Nama Petugas Warkah]),"")</f>
        <v/>
      </c>
      <c r="G3739" s="39" t="str">
        <f t="array" ref="G3739">IFNA(_xlfn.XLOOKUP(D3739,Table_Tarikan_Warkah[Nomor Tiket],Table_Tarikan_Warkah[Jenis Permohonan]),"")</f>
        <v>ROYA</v>
      </c>
      <c r="H3739" s="41" t="s">
        <v>2315</v>
      </c>
      <c r="I3739" s="49" t="s">
        <v>23</v>
      </c>
      <c r="J3739" s="36">
        <f t="shared" si="20"/>
        <v>45910.44906</v>
      </c>
      <c r="K3739" s="49" t="s">
        <v>2378</v>
      </c>
      <c r="L3739" s="49" t="s">
        <v>23</v>
      </c>
      <c r="M3739" s="36">
        <f t="shared" si="33"/>
        <v>45911.63553</v>
      </c>
      <c r="N3739" s="30" t="str">
        <f t="shared" si="34"/>
        <v>Selesai</v>
      </c>
      <c r="O3739" s="45">
        <f t="shared" si="23"/>
        <v>45911.63553</v>
      </c>
      <c r="P3739" s="47" t="b">
        <v>0</v>
      </c>
      <c r="Q3739" s="36" t="str">
        <f t="shared" si="35"/>
        <v/>
      </c>
      <c r="R3739" s="47" t="b">
        <v>0</v>
      </c>
      <c r="S3739" s="42" t="str">
        <f t="shared" si="28"/>
        <v/>
      </c>
      <c r="T3739" s="42"/>
    </row>
    <row r="3740" ht="22.5" customHeight="1">
      <c r="B3740" s="42">
        <f t="shared" si="7"/>
        <v>3734</v>
      </c>
      <c r="C3740" s="31" t="s">
        <v>3788</v>
      </c>
      <c r="D3740" s="34" t="str">
        <f t="array" ref="D3740">IFNA(_xlfn.XLOOKUP(C3740,Table_Tarikan_Warkah[Nomor Sertipikat],Table_Tarikan_Warkah[Nomor Tiket]),"")</f>
        <v>K/33/040925/1</v>
      </c>
      <c r="E3740" s="36">
        <f t="array" ref="E3740">IFNA(_xlfn.XLOOKUP(D3740,Table_Tarikan_Warkah[Nomor Tiket],Table_Tarikan_Warkah[Tanggal diserahkan kepada Validator]),"")</f>
        <v>45996.58963</v>
      </c>
      <c r="F3740" s="36" t="str">
        <f t="array" ref="F3740">IFNA(_xlfn.XLOOKUP(D3740,Table_Tarikan_Warkah[Nomor Tiket],Table_Tarikan_Warkah[Nama Petugas Warkah]),"")</f>
        <v>Berry</v>
      </c>
      <c r="G3740" s="39" t="str">
        <f t="array" ref="G3740">IFNA(_xlfn.XLOOKUP(D3740,Table_Tarikan_Warkah[Nomor Tiket],Table_Tarikan_Warkah[Jenis Permohonan]),"")</f>
        <v>BN Waris	</v>
      </c>
      <c r="H3740" s="41" t="s">
        <v>2315</v>
      </c>
      <c r="I3740" s="49" t="s">
        <v>23</v>
      </c>
      <c r="J3740" s="36">
        <f t="shared" si="20"/>
        <v>45910.44915</v>
      </c>
      <c r="K3740" s="49" t="s">
        <v>2378</v>
      </c>
      <c r="L3740" s="49" t="s">
        <v>23</v>
      </c>
      <c r="M3740" s="36">
        <f t="shared" si="33"/>
        <v>45911.62834</v>
      </c>
      <c r="N3740" s="30" t="str">
        <f t="shared" si="34"/>
        <v>Selesai</v>
      </c>
      <c r="O3740" s="45">
        <f t="shared" si="23"/>
        <v>45911.62834</v>
      </c>
      <c r="P3740" s="47" t="b">
        <v>0</v>
      </c>
      <c r="Q3740" s="36" t="str">
        <f t="shared" si="35"/>
        <v/>
      </c>
      <c r="R3740" s="47" t="b">
        <v>0</v>
      </c>
      <c r="S3740" s="42" t="str">
        <f t="shared" si="28"/>
        <v/>
      </c>
      <c r="T3740" s="42"/>
    </row>
    <row r="3741" ht="22.5" customHeight="1">
      <c r="B3741" s="42">
        <f t="shared" si="7"/>
        <v>3735</v>
      </c>
      <c r="C3741" s="31" t="s">
        <v>3789</v>
      </c>
      <c r="D3741" s="34" t="str">
        <f t="array" ref="D3741">IFNA(_xlfn.XLOOKUP(C3741,Table_Tarikan_Warkah[Nomor Sertipikat],Table_Tarikan_Warkah[Nomor Tiket]),"")</f>
        <v>K/7/060825/1</v>
      </c>
      <c r="E3741" s="36" t="str">
        <f t="array" ref="E3741">IFNA(_xlfn.XLOOKUP(D3741,Table_Tarikan_Warkah[Nomor Tiket],Table_Tarikan_Warkah[Tanggal diserahkan kepada Validator]),"")</f>
        <v/>
      </c>
      <c r="F3741" s="36" t="str">
        <f t="array" ref="F3741">IFNA(_xlfn.XLOOKUP(D3741,Table_Tarikan_Warkah[Nomor Tiket],Table_Tarikan_Warkah[Nama Petugas Warkah]),"")</f>
        <v/>
      </c>
      <c r="G3741" s="39" t="str">
        <f t="array" ref="G3741">IFNA(_xlfn.XLOOKUP(D3741,Table_Tarikan_Warkah[Nomor Tiket],Table_Tarikan_Warkah[Jenis Permohonan]),"")</f>
        <v>BN Jual Beli</v>
      </c>
      <c r="H3741" s="41" t="s">
        <v>2315</v>
      </c>
      <c r="I3741" s="49" t="s">
        <v>23</v>
      </c>
      <c r="J3741" s="36">
        <f t="shared" si="20"/>
        <v>45910.44931</v>
      </c>
      <c r="K3741" s="49" t="s">
        <v>2378</v>
      </c>
      <c r="L3741" s="49" t="s">
        <v>23</v>
      </c>
      <c r="M3741" s="36">
        <f t="shared" si="33"/>
        <v>45911.62856</v>
      </c>
      <c r="N3741" s="30" t="str">
        <f t="shared" si="34"/>
        <v>Selesai</v>
      </c>
      <c r="O3741" s="45">
        <f t="shared" si="23"/>
        <v>45911.62856</v>
      </c>
      <c r="P3741" s="47" t="b">
        <v>0</v>
      </c>
      <c r="Q3741" s="36" t="str">
        <f t="shared" si="35"/>
        <v/>
      </c>
      <c r="R3741" s="47" t="b">
        <v>0</v>
      </c>
      <c r="S3741" s="42" t="str">
        <f t="shared" si="28"/>
        <v/>
      </c>
      <c r="T3741" s="42"/>
    </row>
    <row r="3742" ht="22.5" customHeight="1">
      <c r="B3742" s="42">
        <f t="shared" si="7"/>
        <v>3736</v>
      </c>
      <c r="C3742" s="31" t="s">
        <v>3790</v>
      </c>
      <c r="D3742" s="34" t="str">
        <f t="array" ref="D3742">IFNA(_xlfn.XLOOKUP(C3742,Table_Tarikan_Warkah[Nomor Sertipikat],Table_Tarikan_Warkah[Nomor Tiket]),"")</f>
        <v>K/22/150825/1</v>
      </c>
      <c r="E3742" s="36" t="str">
        <f t="array" ref="E3742">IFNA(_xlfn.XLOOKUP(D3742,Table_Tarikan_Warkah[Nomor Tiket],Table_Tarikan_Warkah[Tanggal diserahkan kepada Validator]),"")</f>
        <v/>
      </c>
      <c r="F3742" s="36" t="str">
        <f t="array" ref="F3742">IFNA(_xlfn.XLOOKUP(D3742,Table_Tarikan_Warkah[Nomor Tiket],Table_Tarikan_Warkah[Nama Petugas Warkah]),"")</f>
        <v/>
      </c>
      <c r="G3742" s="39" t="str">
        <f t="array" ref="G3742">IFNA(_xlfn.XLOOKUP(D3742,Table_Tarikan_Warkah[Nomor Tiket],Table_Tarikan_Warkah[Jenis Permohonan]),"")</f>
        <v>ROYA</v>
      </c>
      <c r="H3742" s="41" t="s">
        <v>2315</v>
      </c>
      <c r="I3742" s="49" t="s">
        <v>23</v>
      </c>
      <c r="J3742" s="36">
        <f t="shared" si="20"/>
        <v>45910.45481</v>
      </c>
      <c r="K3742" s="49" t="s">
        <v>2378</v>
      </c>
      <c r="L3742" s="49" t="s">
        <v>23</v>
      </c>
      <c r="M3742" s="36">
        <f t="shared" si="33"/>
        <v>45911.62888</v>
      </c>
      <c r="N3742" s="30" t="str">
        <f t="shared" si="34"/>
        <v>Selesai</v>
      </c>
      <c r="O3742" s="45">
        <f t="shared" si="23"/>
        <v>45911.62888</v>
      </c>
      <c r="P3742" s="47" t="b">
        <v>0</v>
      </c>
      <c r="Q3742" s="36" t="str">
        <f t="shared" si="35"/>
        <v/>
      </c>
      <c r="R3742" s="47" t="b">
        <v>0</v>
      </c>
      <c r="S3742" s="42" t="str">
        <f t="shared" si="28"/>
        <v/>
      </c>
      <c r="T3742" s="42"/>
    </row>
    <row r="3743" ht="22.5" customHeight="1">
      <c r="B3743" s="42">
        <f t="shared" si="7"/>
        <v>3737</v>
      </c>
      <c r="C3743" s="31" t="s">
        <v>3791</v>
      </c>
      <c r="D3743" s="34" t="str">
        <f t="array" ref="D3743">IFNA(_xlfn.XLOOKUP(C3743,Table_Tarikan_Warkah[Nomor Sertipikat],Table_Tarikan_Warkah[Nomor Tiket]),"")</f>
        <v>K/27/190825/3</v>
      </c>
      <c r="E3743" s="36">
        <f t="array" ref="E3743">IFNA(_xlfn.XLOOKUP(D3743,Table_Tarikan_Warkah[Nomor Tiket],Table_Tarikan_Warkah[Tanggal diserahkan kepada Validator]),"")</f>
        <v>45908.6339</v>
      </c>
      <c r="F3743" s="36" t="str">
        <f t="array" ref="F3743">IFNA(_xlfn.XLOOKUP(D3743,Table_Tarikan_Warkah[Nomor Tiket],Table_Tarikan_Warkah[Nama Petugas Warkah]),"")</f>
        <v>Berry</v>
      </c>
      <c r="G3743" s="39" t="str">
        <f t="array" ref="G3743">IFNA(_xlfn.XLOOKUP(D3743,Table_Tarikan_Warkah[Nomor Tiket],Table_Tarikan_Warkah[Jenis Permohonan]),"")</f>
        <v>BN JUAL BELI</v>
      </c>
      <c r="H3743" s="41" t="s">
        <v>2315</v>
      </c>
      <c r="I3743" s="49" t="s">
        <v>23</v>
      </c>
      <c r="J3743" s="36">
        <f t="shared" si="20"/>
        <v>45910.45497</v>
      </c>
      <c r="K3743" s="49" t="s">
        <v>2378</v>
      </c>
      <c r="L3743" s="49" t="s">
        <v>23</v>
      </c>
      <c r="M3743" s="36">
        <f t="shared" si="33"/>
        <v>45911.6291</v>
      </c>
      <c r="N3743" s="30" t="str">
        <f t="shared" si="34"/>
        <v>Selesai</v>
      </c>
      <c r="O3743" s="45">
        <f t="shared" si="23"/>
        <v>45911.6291</v>
      </c>
      <c r="P3743" s="47" t="b">
        <v>0</v>
      </c>
      <c r="Q3743" s="36" t="str">
        <f t="shared" si="35"/>
        <v/>
      </c>
      <c r="R3743" s="47" t="b">
        <v>0</v>
      </c>
      <c r="S3743" s="42" t="str">
        <f t="shared" si="28"/>
        <v/>
      </c>
      <c r="T3743" s="42"/>
    </row>
    <row r="3744" ht="22.5" customHeight="1">
      <c r="B3744" s="42">
        <f t="shared" si="7"/>
        <v>3738</v>
      </c>
      <c r="C3744" s="31" t="s">
        <v>3792</v>
      </c>
      <c r="D3744" s="34" t="str">
        <f t="array" ref="D3744">IFNA(_xlfn.XLOOKUP(C3744,Table_Tarikan_Warkah[Nomor Sertipikat],Table_Tarikan_Warkah[Nomor Tiket]),"")</f>
        <v>K/5/220825/1</v>
      </c>
      <c r="E3744" s="36" t="str">
        <f t="array" ref="E3744">IFNA(_xlfn.XLOOKUP(D3744,Table_Tarikan_Warkah[Nomor Tiket],Table_Tarikan_Warkah[Tanggal diserahkan kepada Validator]),"")</f>
        <v/>
      </c>
      <c r="F3744" s="36" t="str">
        <f t="array" ref="F3744">IFNA(_xlfn.XLOOKUP(D3744,Table_Tarikan_Warkah[Nomor Tiket],Table_Tarikan_Warkah[Nama Petugas Warkah]),"")</f>
        <v/>
      </c>
      <c r="G3744" s="39" t="str">
        <f t="array" ref="G3744">IFNA(_xlfn.XLOOKUP(D3744,Table_Tarikan_Warkah[Nomor Tiket],Table_Tarikan_Warkah[Jenis Permohonan]),"")</f>
        <v>BN JUAL BELI</v>
      </c>
      <c r="H3744" s="41" t="s">
        <v>2315</v>
      </c>
      <c r="I3744" s="49" t="s">
        <v>23</v>
      </c>
      <c r="J3744" s="36">
        <f t="shared" si="20"/>
        <v>45910.45511</v>
      </c>
      <c r="K3744" s="49" t="s">
        <v>2378</v>
      </c>
      <c r="L3744" s="49" t="s">
        <v>23</v>
      </c>
      <c r="M3744" s="36">
        <f t="shared" si="33"/>
        <v>45911.6349</v>
      </c>
      <c r="N3744" s="30" t="str">
        <f t="shared" si="34"/>
        <v>Selesai</v>
      </c>
      <c r="O3744" s="45">
        <f t="shared" si="23"/>
        <v>45911.6349</v>
      </c>
      <c r="P3744" s="47" t="b">
        <v>0</v>
      </c>
      <c r="Q3744" s="36" t="str">
        <f t="shared" si="35"/>
        <v/>
      </c>
      <c r="R3744" s="47" t="b">
        <v>0</v>
      </c>
      <c r="S3744" s="42" t="str">
        <f t="shared" si="28"/>
        <v/>
      </c>
      <c r="T3744" s="42"/>
    </row>
    <row r="3745" ht="22.5" customHeight="1">
      <c r="B3745" s="42">
        <f t="shared" si="7"/>
        <v>3739</v>
      </c>
      <c r="C3745" s="31" t="s">
        <v>3793</v>
      </c>
      <c r="D3745" s="34" t="str">
        <f t="array" ref="D3745">IFNA(_xlfn.XLOOKUP(C3745,Table_Tarikan_Warkah[Nomor Sertipikat],Table_Tarikan_Warkah[Nomor Tiket]),"")</f>
        <v>K/20/270825/1</v>
      </c>
      <c r="E3745" s="36" t="str">
        <f t="array" ref="E3745">IFNA(_xlfn.XLOOKUP(D3745,Table_Tarikan_Warkah[Nomor Tiket],Table_Tarikan_Warkah[Tanggal diserahkan kepada Validator]),"")</f>
        <v/>
      </c>
      <c r="F3745" s="36" t="str">
        <f t="array" ref="F3745">IFNA(_xlfn.XLOOKUP(D3745,Table_Tarikan_Warkah[Nomor Tiket],Table_Tarikan_Warkah[Nama Petugas Warkah]),"")</f>
        <v/>
      </c>
      <c r="G3745" s="39" t="str">
        <f t="array" ref="G3745">IFNA(_xlfn.XLOOKUP(D3745,Table_Tarikan_Warkah[Nomor Tiket],Table_Tarikan_Warkah[Jenis Permohonan]),"")</f>
        <v>ROYA</v>
      </c>
      <c r="H3745" s="41" t="s">
        <v>2315</v>
      </c>
      <c r="I3745" s="49" t="s">
        <v>23</v>
      </c>
      <c r="J3745" s="36">
        <f t="shared" si="20"/>
        <v>45910.45537</v>
      </c>
      <c r="K3745" s="49" t="s">
        <v>2378</v>
      </c>
      <c r="L3745" s="49" t="s">
        <v>23</v>
      </c>
      <c r="M3745" s="36">
        <f t="shared" si="33"/>
        <v>45911.63449</v>
      </c>
      <c r="N3745" s="30" t="str">
        <f t="shared" si="34"/>
        <v>Selesai</v>
      </c>
      <c r="O3745" s="45">
        <f t="shared" si="23"/>
        <v>45911.63449</v>
      </c>
      <c r="P3745" s="47" t="b">
        <v>0</v>
      </c>
      <c r="Q3745" s="36" t="str">
        <f t="shared" si="35"/>
        <v/>
      </c>
      <c r="R3745" s="47" t="b">
        <v>0</v>
      </c>
      <c r="S3745" s="42" t="str">
        <f t="shared" si="28"/>
        <v/>
      </c>
      <c r="T3745" s="42"/>
    </row>
    <row r="3746" ht="22.5" customHeight="1">
      <c r="B3746" s="42">
        <f t="shared" si="7"/>
        <v>3740</v>
      </c>
      <c r="C3746" s="31" t="s">
        <v>3794</v>
      </c>
      <c r="D3746" s="34" t="str">
        <f t="array" ref="D3746">IFNA(_xlfn.XLOOKUP(C3746,Table_Tarikan_Warkah[Nomor Sertipikat],Table_Tarikan_Warkah[Nomor Tiket]),"")</f>
        <v>L/1/210825/1</v>
      </c>
      <c r="E3746" s="36" t="str">
        <f t="array" ref="E3746">IFNA(_xlfn.XLOOKUP(D3746,Table_Tarikan_Warkah[Nomor Tiket],Table_Tarikan_Warkah[Tanggal diserahkan kepada Validator]),"")</f>
        <v/>
      </c>
      <c r="F3746" s="36" t="str">
        <f t="array" ref="F3746">IFNA(_xlfn.XLOOKUP(D3746,Table_Tarikan_Warkah[Nomor Tiket],Table_Tarikan_Warkah[Nama Petugas Warkah]),"")</f>
        <v/>
      </c>
      <c r="G3746" s="39" t="str">
        <f t="array" ref="G3746">IFNA(_xlfn.XLOOKUP(D3746,Table_Tarikan_Warkah[Nomor Tiket],Table_Tarikan_Warkah[Jenis Permohonan]),"")</f>
        <v>ROYA</v>
      </c>
      <c r="H3746" s="41" t="s">
        <v>2315</v>
      </c>
      <c r="I3746" s="49" t="s">
        <v>23</v>
      </c>
      <c r="J3746" s="36">
        <f t="shared" si="20"/>
        <v>45910.45552</v>
      </c>
      <c r="K3746" s="49" t="s">
        <v>2378</v>
      </c>
      <c r="L3746" s="49" t="s">
        <v>23</v>
      </c>
      <c r="M3746" s="36">
        <f t="shared" si="33"/>
        <v>45911.63427</v>
      </c>
      <c r="N3746" s="30" t="str">
        <f t="shared" si="34"/>
        <v>Selesai</v>
      </c>
      <c r="O3746" s="45">
        <f t="shared" si="23"/>
        <v>45911.63427</v>
      </c>
      <c r="P3746" s="47" t="b">
        <v>0</v>
      </c>
      <c r="Q3746" s="36" t="str">
        <f t="shared" si="35"/>
        <v/>
      </c>
      <c r="R3746" s="47" t="b">
        <v>0</v>
      </c>
      <c r="S3746" s="42" t="str">
        <f t="shared" si="28"/>
        <v/>
      </c>
      <c r="T3746" s="42"/>
    </row>
    <row r="3747" ht="22.5" customHeight="1">
      <c r="B3747" s="42">
        <f t="shared" si="7"/>
        <v>3741</v>
      </c>
      <c r="C3747" s="31" t="s">
        <v>3795</v>
      </c>
      <c r="D3747" s="34" t="str">
        <f t="array" ref="D3747">IFNA(_xlfn.XLOOKUP(C3747,Table_Tarikan_Warkah[Nomor Sertipikat],Table_Tarikan_Warkah[Nomor Tiket]),"")</f>
        <v>L/6/270825/1</v>
      </c>
      <c r="E3747" s="36" t="str">
        <f t="array" ref="E3747">IFNA(_xlfn.XLOOKUP(D3747,Table_Tarikan_Warkah[Nomor Tiket],Table_Tarikan_Warkah[Tanggal diserahkan kepada Validator]),"")</f>
        <v/>
      </c>
      <c r="F3747" s="36" t="str">
        <f t="array" ref="F3747">IFNA(_xlfn.XLOOKUP(D3747,Table_Tarikan_Warkah[Nomor Tiket],Table_Tarikan_Warkah[Nama Petugas Warkah]),"")</f>
        <v/>
      </c>
      <c r="G3747" s="39" t="str">
        <f t="array" ref="G3747">IFNA(_xlfn.XLOOKUP(D3747,Table_Tarikan_Warkah[Nomor Tiket],Table_Tarikan_Warkah[Jenis Permohonan]),"")</f>
        <v>BN WARIS</v>
      </c>
      <c r="H3747" s="41" t="s">
        <v>2315</v>
      </c>
      <c r="I3747" s="49" t="s">
        <v>23</v>
      </c>
      <c r="J3747" s="36">
        <f t="shared" si="20"/>
        <v>45910.45567</v>
      </c>
      <c r="K3747" s="49" t="s">
        <v>2378</v>
      </c>
      <c r="L3747" s="49" t="s">
        <v>23</v>
      </c>
      <c r="M3747" s="36">
        <f t="shared" si="33"/>
        <v>45911.6293</v>
      </c>
      <c r="N3747" s="30" t="str">
        <f t="shared" si="34"/>
        <v>Selesai</v>
      </c>
      <c r="O3747" s="45">
        <f t="shared" si="23"/>
        <v>45911.6293</v>
      </c>
      <c r="P3747" s="47" t="b">
        <v>0</v>
      </c>
      <c r="Q3747" s="36" t="str">
        <f t="shared" si="35"/>
        <v/>
      </c>
      <c r="R3747" s="47" t="b">
        <v>0</v>
      </c>
      <c r="S3747" s="42" t="str">
        <f t="shared" si="28"/>
        <v/>
      </c>
      <c r="T3747" s="42"/>
    </row>
    <row r="3748" ht="22.5" customHeight="1">
      <c r="B3748" s="42">
        <f t="shared" si="7"/>
        <v>3742</v>
      </c>
      <c r="C3748" s="31" t="s">
        <v>3796</v>
      </c>
      <c r="D3748" s="34" t="str">
        <f t="array" ref="D3748">IFNA(_xlfn.XLOOKUP(C3748,Table_Tarikan_Warkah[Nomor Sertipikat],Table_Tarikan_Warkah[Nomor Tiket]),"")</f>
        <v>L/29/270825/1</v>
      </c>
      <c r="E3748" s="36">
        <f t="array" ref="E3748">IFNA(_xlfn.XLOOKUP(D3748,Table_Tarikan_Warkah[Nomor Tiket],Table_Tarikan_Warkah[Tanggal diserahkan kepada Validator]),"")</f>
        <v>45904.67287</v>
      </c>
      <c r="F3748" s="36" t="str">
        <f t="array" ref="F3748">IFNA(_xlfn.XLOOKUP(D3748,Table_Tarikan_Warkah[Nomor Tiket],Table_Tarikan_Warkah[Nama Petugas Warkah]),"")</f>
        <v>Berry</v>
      </c>
      <c r="G3748" s="39" t="str">
        <f t="array" ref="G3748">IFNA(_xlfn.XLOOKUP(D3748,Table_Tarikan_Warkah[Nomor Tiket],Table_Tarikan_Warkah[Jenis Permohonan]),"")</f>
        <v>PENINGKATAN HAK</v>
      </c>
      <c r="H3748" s="41" t="s">
        <v>2315</v>
      </c>
      <c r="I3748" s="49" t="s">
        <v>23</v>
      </c>
      <c r="J3748" s="36">
        <f t="shared" si="20"/>
        <v>45910.45584</v>
      </c>
      <c r="K3748" s="49" t="s">
        <v>2378</v>
      </c>
      <c r="L3748" s="49" t="s">
        <v>23</v>
      </c>
      <c r="M3748" s="36">
        <f t="shared" si="33"/>
        <v>45911.62947</v>
      </c>
      <c r="N3748" s="30" t="str">
        <f t="shared" si="34"/>
        <v>Selesai</v>
      </c>
      <c r="O3748" s="45">
        <f t="shared" si="23"/>
        <v>45911.62947</v>
      </c>
      <c r="P3748" s="47" t="b">
        <v>0</v>
      </c>
      <c r="Q3748" s="36" t="str">
        <f t="shared" si="35"/>
        <v/>
      </c>
      <c r="R3748" s="47" t="b">
        <v>0</v>
      </c>
      <c r="S3748" s="42" t="str">
        <f t="shared" si="28"/>
        <v/>
      </c>
      <c r="T3748" s="42"/>
    </row>
    <row r="3749" ht="22.5" customHeight="1">
      <c r="B3749" s="42">
        <f t="shared" si="7"/>
        <v>3743</v>
      </c>
      <c r="C3749" s="31" t="s">
        <v>3797</v>
      </c>
      <c r="D3749" s="34" t="str">
        <f t="array" ref="D3749">IFNA(_xlfn.XLOOKUP(C3749,Table_Tarikan_Warkah[Nomor Sertipikat],Table_Tarikan_Warkah[Nomor Tiket]),"")</f>
        <v>L/14/270825/1</v>
      </c>
      <c r="E3749" s="36">
        <f t="array" ref="E3749">IFNA(_xlfn.XLOOKUP(D3749,Table_Tarikan_Warkah[Nomor Tiket],Table_Tarikan_Warkah[Tanggal diserahkan kepada Validator]),"")</f>
        <v>45924.69463</v>
      </c>
      <c r="F3749" s="36" t="str">
        <f t="array" ref="F3749">IFNA(_xlfn.XLOOKUP(D3749,Table_Tarikan_Warkah[Nomor Tiket],Table_Tarikan_Warkah[Nama Petugas Warkah]),"")</f>
        <v>Berry</v>
      </c>
      <c r="G3749" s="39" t="str">
        <f t="array" ref="G3749">IFNA(_xlfn.XLOOKUP(D3749,Table_Tarikan_Warkah[Nomor Tiket],Table_Tarikan_Warkah[Jenis Permohonan]),"")</f>
        <v>PENINGKATAN HAK</v>
      </c>
      <c r="H3749" s="41" t="s">
        <v>2315</v>
      </c>
      <c r="I3749" s="49" t="s">
        <v>23</v>
      </c>
      <c r="J3749" s="36">
        <f t="shared" si="20"/>
        <v>45910.456</v>
      </c>
      <c r="K3749" s="49" t="s">
        <v>2378</v>
      </c>
      <c r="L3749" s="49" t="s">
        <v>23</v>
      </c>
      <c r="M3749" s="36">
        <f t="shared" si="33"/>
        <v>45911.62969</v>
      </c>
      <c r="N3749" s="30" t="str">
        <f t="shared" si="34"/>
        <v>Selesai</v>
      </c>
      <c r="O3749" s="45">
        <f t="shared" si="23"/>
        <v>45911.62969</v>
      </c>
      <c r="P3749" s="47" t="b">
        <v>0</v>
      </c>
      <c r="Q3749" s="36" t="str">
        <f t="shared" si="35"/>
        <v/>
      </c>
      <c r="R3749" s="47" t="b">
        <v>0</v>
      </c>
      <c r="S3749" s="42" t="str">
        <f t="shared" si="28"/>
        <v/>
      </c>
      <c r="T3749" s="42"/>
    </row>
    <row r="3750" ht="22.5" customHeight="1">
      <c r="B3750" s="42">
        <f t="shared" si="7"/>
        <v>3744</v>
      </c>
      <c r="C3750" s="31" t="s">
        <v>3798</v>
      </c>
      <c r="D3750" s="34" t="str">
        <f t="array" ref="D3750">IFNA(_xlfn.XLOOKUP(C3750,Table_Tarikan_Warkah[Nomor Sertipikat],Table_Tarikan_Warkah[Nomor Tiket]),"")</f>
        <v>K/3/260825/3		</v>
      </c>
      <c r="E3750" s="36" t="str">
        <f t="array" ref="E3750">IFNA(_xlfn.XLOOKUP(D3750,Table_Tarikan_Warkah[Nomor Tiket],Table_Tarikan_Warkah[Tanggal diserahkan kepada Validator]),"")</f>
        <v/>
      </c>
      <c r="F3750" s="36" t="str">
        <f t="array" ref="F3750">IFNA(_xlfn.XLOOKUP(D3750,Table_Tarikan_Warkah[Nomor Tiket],Table_Tarikan_Warkah[Nama Petugas Warkah]),"")</f>
        <v/>
      </c>
      <c r="G3750" s="39" t="str">
        <f t="array" ref="G3750">IFNA(_xlfn.XLOOKUP(D3750,Table_Tarikan_Warkah[Nomor Tiket],Table_Tarikan_Warkah[Jenis Permohonan]),"")</f>
        <v>Roya</v>
      </c>
      <c r="H3750" s="41" t="s">
        <v>2315</v>
      </c>
      <c r="I3750" s="49" t="s">
        <v>23</v>
      </c>
      <c r="J3750" s="36">
        <f t="shared" si="20"/>
        <v>45910.46942</v>
      </c>
      <c r="K3750" s="49" t="s">
        <v>2378</v>
      </c>
      <c r="L3750" s="49" t="s">
        <v>23</v>
      </c>
      <c r="M3750" s="36">
        <f t="shared" si="33"/>
        <v>45911.63405</v>
      </c>
      <c r="N3750" s="30" t="str">
        <f t="shared" si="34"/>
        <v>Selesai</v>
      </c>
      <c r="O3750" s="45">
        <f t="shared" si="23"/>
        <v>45911.63405</v>
      </c>
      <c r="P3750" s="47" t="b">
        <v>0</v>
      </c>
      <c r="Q3750" s="36" t="str">
        <f t="shared" si="35"/>
        <v/>
      </c>
      <c r="R3750" s="47" t="b">
        <v>0</v>
      </c>
      <c r="S3750" s="42" t="str">
        <f t="shared" si="28"/>
        <v/>
      </c>
      <c r="T3750" s="42"/>
    </row>
    <row r="3751" ht="22.5" customHeight="1">
      <c r="B3751" s="42">
        <f t="shared" si="7"/>
        <v>3745</v>
      </c>
      <c r="C3751" s="31" t="s">
        <v>3799</v>
      </c>
      <c r="D3751" s="34" t="str">
        <f t="array" ref="D3751">IFNA(_xlfn.XLOOKUP(C3751,Table_Tarikan_Warkah[Nomor Sertipikat],Table_Tarikan_Warkah[Nomor Tiket]),"")</f>
        <v>K/26/280825/1</v>
      </c>
      <c r="E3751" s="36">
        <f t="array" ref="E3751">IFNA(_xlfn.XLOOKUP(D3751,Table_Tarikan_Warkah[Nomor Tiket],Table_Tarikan_Warkah[Tanggal diserahkan kepada Validator]),"")</f>
        <v>45951.47986</v>
      </c>
      <c r="F3751" s="36" t="str">
        <f t="array" ref="F3751">IFNA(_xlfn.XLOOKUP(D3751,Table_Tarikan_Warkah[Nomor Tiket],Table_Tarikan_Warkah[Nama Petugas Warkah]),"")</f>
        <v>Berry</v>
      </c>
      <c r="G3751" s="39" t="str">
        <f t="array" ref="G3751">IFNA(_xlfn.XLOOKUP(D3751,Table_Tarikan_Warkah[Nomor Tiket],Table_Tarikan_Warkah[Jenis Permohonan]),"")</f>
        <v>Peningkatan hak	</v>
      </c>
      <c r="H3751" s="41" t="s">
        <v>2315</v>
      </c>
      <c r="I3751" s="49" t="s">
        <v>23</v>
      </c>
      <c r="J3751" s="36">
        <f t="shared" si="20"/>
        <v>45910.68701</v>
      </c>
      <c r="K3751" s="49" t="s">
        <v>2378</v>
      </c>
      <c r="L3751" s="49" t="s">
        <v>23</v>
      </c>
      <c r="M3751" s="36">
        <f t="shared" si="33"/>
        <v>45911.62762</v>
      </c>
      <c r="N3751" s="30" t="str">
        <f t="shared" si="34"/>
        <v>Selesai</v>
      </c>
      <c r="O3751" s="45">
        <f t="shared" si="23"/>
        <v>45911.62762</v>
      </c>
      <c r="P3751" s="47" t="b">
        <v>0</v>
      </c>
      <c r="Q3751" s="36" t="str">
        <f t="shared" si="35"/>
        <v/>
      </c>
      <c r="R3751" s="47" t="b">
        <v>0</v>
      </c>
      <c r="S3751" s="42" t="str">
        <f t="shared" si="28"/>
        <v/>
      </c>
      <c r="T3751" s="42"/>
    </row>
    <row r="3752" ht="22.5" customHeight="1">
      <c r="B3752" s="42">
        <f t="shared" si="7"/>
        <v>3746</v>
      </c>
      <c r="C3752" s="31" t="s">
        <v>3800</v>
      </c>
      <c r="D3752" s="34" t="str">
        <f t="array" ref="D3752">IFNA(_xlfn.XLOOKUP(C3752,Table_Tarikan_Warkah[Nomor Sertipikat],Table_Tarikan_Warkah[Nomor Tiket]),"")</f>
        <v>L/6/130825/1</v>
      </c>
      <c r="E3752" s="36" t="str">
        <f t="array" ref="E3752">IFNA(_xlfn.XLOOKUP(D3752,Table_Tarikan_Warkah[Nomor Tiket],Table_Tarikan_Warkah[Tanggal diserahkan kepada Validator]),"")</f>
        <v/>
      </c>
      <c r="F3752" s="36" t="str">
        <f t="array" ref="F3752">IFNA(_xlfn.XLOOKUP(D3752,Table_Tarikan_Warkah[Nomor Tiket],Table_Tarikan_Warkah[Nama Petugas Warkah]),"")</f>
        <v/>
      </c>
      <c r="G3752" s="39" t="str">
        <f t="array" ref="G3752">IFNA(_xlfn.XLOOKUP(D3752,Table_Tarikan_Warkah[Nomor Tiket],Table_Tarikan_Warkah[Jenis Permohonan]),"")</f>
        <v>ROYA</v>
      </c>
      <c r="H3752" s="41" t="s">
        <v>2315</v>
      </c>
      <c r="I3752" s="49" t="s">
        <v>23</v>
      </c>
      <c r="J3752" s="36">
        <f t="shared" si="20"/>
        <v>45910.68715</v>
      </c>
      <c r="K3752" s="49" t="s">
        <v>2378</v>
      </c>
      <c r="L3752" s="49" t="s">
        <v>23</v>
      </c>
      <c r="M3752" s="36">
        <f t="shared" si="33"/>
        <v>45911.62984</v>
      </c>
      <c r="N3752" s="30" t="str">
        <f t="shared" si="34"/>
        <v>Selesai</v>
      </c>
      <c r="O3752" s="45">
        <f t="shared" si="23"/>
        <v>45911.62984</v>
      </c>
      <c r="P3752" s="47" t="b">
        <v>0</v>
      </c>
      <c r="Q3752" s="36" t="str">
        <f t="shared" si="35"/>
        <v/>
      </c>
      <c r="R3752" s="47" t="b">
        <v>0</v>
      </c>
      <c r="S3752" s="42" t="str">
        <f t="shared" si="28"/>
        <v/>
      </c>
      <c r="T3752" s="42"/>
    </row>
    <row r="3753" ht="22.5" customHeight="1">
      <c r="B3753" s="42">
        <f t="shared" si="7"/>
        <v>3747</v>
      </c>
      <c r="C3753" s="31" t="s">
        <v>3801</v>
      </c>
      <c r="D3753" s="34" t="str">
        <f t="array" ref="D3753">IFNA(_xlfn.XLOOKUP(C3753,Table_Tarikan_Warkah[Nomor Sertipikat],Table_Tarikan_Warkah[Nomor Tiket]),"")</f>
        <v>L/4/080925/1</v>
      </c>
      <c r="E3753" s="36" t="str">
        <f t="array" ref="E3753">IFNA(_xlfn.XLOOKUP(D3753,Table_Tarikan_Warkah[Nomor Tiket],Table_Tarikan_Warkah[Tanggal diserahkan kepada Validator]),"")</f>
        <v/>
      </c>
      <c r="F3753" s="36" t="str">
        <f t="array" ref="F3753">IFNA(_xlfn.XLOOKUP(D3753,Table_Tarikan_Warkah[Nomor Tiket],Table_Tarikan_Warkah[Nama Petugas Warkah]),"")</f>
        <v/>
      </c>
      <c r="G3753" s="39" t="str">
        <f t="array" ref="G3753">IFNA(_xlfn.XLOOKUP(D3753,Table_Tarikan_Warkah[Nomor Tiket],Table_Tarikan_Warkah[Jenis Permohonan]),"")</f>
        <v>ROYA</v>
      </c>
      <c r="H3753" s="41" t="s">
        <v>2315</v>
      </c>
      <c r="I3753" s="49" t="s">
        <v>23</v>
      </c>
      <c r="J3753" s="36">
        <f t="shared" si="20"/>
        <v>45910.68729</v>
      </c>
      <c r="K3753" s="49" t="s">
        <v>2378</v>
      </c>
      <c r="L3753" s="49" t="s">
        <v>23</v>
      </c>
      <c r="M3753" s="36">
        <f t="shared" si="33"/>
        <v>45911.63383</v>
      </c>
      <c r="N3753" s="30" t="str">
        <f t="shared" si="34"/>
        <v>Selesai</v>
      </c>
      <c r="O3753" s="45">
        <f t="shared" si="23"/>
        <v>45911.63383</v>
      </c>
      <c r="P3753" s="47" t="b">
        <v>0</v>
      </c>
      <c r="Q3753" s="36" t="str">
        <f t="shared" si="35"/>
        <v/>
      </c>
      <c r="R3753" s="47" t="b">
        <v>0</v>
      </c>
      <c r="S3753" s="42" t="str">
        <f t="shared" si="28"/>
        <v/>
      </c>
      <c r="T3753" s="42"/>
    </row>
    <row r="3754" ht="22.5" customHeight="1">
      <c r="B3754" s="42">
        <f t="shared" si="7"/>
        <v>3748</v>
      </c>
      <c r="C3754" s="31" t="s">
        <v>3802</v>
      </c>
      <c r="D3754" s="34" t="str">
        <f t="array" ref="D3754">IFNA(_xlfn.XLOOKUP(C3754,Table_Tarikan_Warkah[Nomor Sertipikat],Table_Tarikan_Warkah[Nomor Tiket]),"")</f>
        <v>L/24/040925/2</v>
      </c>
      <c r="E3754" s="36" t="str">
        <f t="array" ref="E3754">IFNA(_xlfn.XLOOKUP(D3754,Table_Tarikan_Warkah[Nomor Tiket],Table_Tarikan_Warkah[Tanggal diserahkan kepada Validator]),"")</f>
        <v/>
      </c>
      <c r="F3754" s="36" t="str">
        <f t="array" ref="F3754">IFNA(_xlfn.XLOOKUP(D3754,Table_Tarikan_Warkah[Nomor Tiket],Table_Tarikan_Warkah[Nama Petugas Warkah]),"")</f>
        <v/>
      </c>
      <c r="G3754" s="39" t="str">
        <f t="array" ref="G3754">IFNA(_xlfn.XLOOKUP(D3754,Table_Tarikan_Warkah[Nomor Tiket],Table_Tarikan_Warkah[Jenis Permohonan]),"")</f>
        <v>PENINGKATAN HAK</v>
      </c>
      <c r="H3754" s="41" t="s">
        <v>2315</v>
      </c>
      <c r="I3754" s="49" t="s">
        <v>23</v>
      </c>
      <c r="J3754" s="36">
        <f t="shared" si="20"/>
        <v>45910.6875</v>
      </c>
      <c r="K3754" s="49" t="s">
        <v>2378</v>
      </c>
      <c r="L3754" s="49" t="s">
        <v>23</v>
      </c>
      <c r="M3754" s="36">
        <f t="shared" si="33"/>
        <v>45911.63</v>
      </c>
      <c r="N3754" s="30" t="str">
        <f t="shared" si="34"/>
        <v>Selesai</v>
      </c>
      <c r="O3754" s="45">
        <f t="shared" si="23"/>
        <v>45911.63</v>
      </c>
      <c r="P3754" s="47" t="b">
        <v>0</v>
      </c>
      <c r="Q3754" s="36" t="str">
        <f t="shared" si="35"/>
        <v/>
      </c>
      <c r="R3754" s="47" t="b">
        <v>0</v>
      </c>
      <c r="S3754" s="42" t="str">
        <f t="shared" si="28"/>
        <v/>
      </c>
      <c r="T3754" s="42"/>
    </row>
    <row r="3755" ht="22.5" customHeight="1">
      <c r="B3755" s="42">
        <f t="shared" si="7"/>
        <v>3749</v>
      </c>
      <c r="C3755" s="31" t="s">
        <v>3803</v>
      </c>
      <c r="D3755" s="34" t="str">
        <f t="array" ref="D3755">IFNA(_xlfn.XLOOKUP(C3755,Table_Tarikan_Warkah[Nomor Sertipikat],Table_Tarikan_Warkah[Nomor Tiket]),"")</f>
        <v>L/19/080925/1</v>
      </c>
      <c r="E3755" s="36" t="str">
        <f t="array" ref="E3755">IFNA(_xlfn.XLOOKUP(D3755,Table_Tarikan_Warkah[Nomor Tiket],Table_Tarikan_Warkah[Tanggal diserahkan kepada Validator]),"")</f>
        <v/>
      </c>
      <c r="F3755" s="36" t="str">
        <f t="array" ref="F3755">IFNA(_xlfn.XLOOKUP(D3755,Table_Tarikan_Warkah[Nomor Tiket],Table_Tarikan_Warkah[Nama Petugas Warkah]),"")</f>
        <v/>
      </c>
      <c r="G3755" s="39" t="str">
        <f t="array" ref="G3755">IFNA(_xlfn.XLOOKUP(D3755,Table_Tarikan_Warkah[Nomor Tiket],Table_Tarikan_Warkah[Jenis Permohonan]),"")</f>
        <v>PENINGKATAN HAK</v>
      </c>
      <c r="H3755" s="41" t="s">
        <v>2315</v>
      </c>
      <c r="I3755" s="49" t="s">
        <v>23</v>
      </c>
      <c r="J3755" s="36">
        <f t="shared" si="20"/>
        <v>45910.68763</v>
      </c>
      <c r="K3755" s="49" t="s">
        <v>2378</v>
      </c>
      <c r="L3755" s="49" t="s">
        <v>23</v>
      </c>
      <c r="M3755" s="36">
        <f t="shared" si="33"/>
        <v>45911.63012</v>
      </c>
      <c r="N3755" s="30" t="str">
        <f t="shared" si="34"/>
        <v>Selesai</v>
      </c>
      <c r="O3755" s="45">
        <f t="shared" si="23"/>
        <v>45911.63012</v>
      </c>
      <c r="P3755" s="47" t="b">
        <v>0</v>
      </c>
      <c r="Q3755" s="36" t="str">
        <f t="shared" si="35"/>
        <v/>
      </c>
      <c r="R3755" s="47" t="b">
        <v>0</v>
      </c>
      <c r="S3755" s="42" t="str">
        <f t="shared" si="28"/>
        <v/>
      </c>
      <c r="T3755" s="42"/>
    </row>
    <row r="3756" ht="22.5" customHeight="1">
      <c r="B3756" s="42">
        <f t="shared" si="7"/>
        <v>3750</v>
      </c>
      <c r="C3756" s="31" t="s">
        <v>3804</v>
      </c>
      <c r="D3756" s="34" t="str">
        <f t="array" ref="D3756">IFNA(_xlfn.XLOOKUP(C3756,Table_Tarikan_Warkah[Nomor Sertipikat],Table_Tarikan_Warkah[Nomor Tiket]),"")</f>
        <v>L/5/100725/1</v>
      </c>
      <c r="E3756" s="36" t="str">
        <f t="array" ref="E3756">IFNA(_xlfn.XLOOKUP(D3756,Table_Tarikan_Warkah[Nomor Tiket],Table_Tarikan_Warkah[Tanggal diserahkan kepada Validator]),"")</f>
        <v/>
      </c>
      <c r="F3756" s="36" t="str">
        <f t="array" ref="F3756">IFNA(_xlfn.XLOOKUP(D3756,Table_Tarikan_Warkah[Nomor Tiket],Table_Tarikan_Warkah[Nama Petugas Warkah]),"")</f>
        <v/>
      </c>
      <c r="G3756" s="39" t="str">
        <f t="array" ref="G3756">IFNA(_xlfn.XLOOKUP(D3756,Table_Tarikan_Warkah[Nomor Tiket],Table_Tarikan_Warkah[Jenis Permohonan]),"")</f>
        <v>ROYA WARIS</v>
      </c>
      <c r="H3756" s="41" t="s">
        <v>2315</v>
      </c>
      <c r="I3756" s="49" t="s">
        <v>23</v>
      </c>
      <c r="J3756" s="36">
        <f t="shared" si="20"/>
        <v>45910.68781</v>
      </c>
      <c r="K3756" s="49" t="s">
        <v>2378</v>
      </c>
      <c r="L3756" s="49" t="s">
        <v>23</v>
      </c>
      <c r="M3756" s="36">
        <f t="shared" si="33"/>
        <v>45911.63044</v>
      </c>
      <c r="N3756" s="30" t="str">
        <f t="shared" si="34"/>
        <v>Selesai</v>
      </c>
      <c r="O3756" s="45">
        <f t="shared" si="23"/>
        <v>45911.63044</v>
      </c>
      <c r="P3756" s="47" t="b">
        <v>0</v>
      </c>
      <c r="Q3756" s="36" t="str">
        <f t="shared" si="35"/>
        <v/>
      </c>
      <c r="R3756" s="47" t="b">
        <v>0</v>
      </c>
      <c r="S3756" s="42" t="str">
        <f t="shared" si="28"/>
        <v/>
      </c>
      <c r="T3756" s="42"/>
    </row>
    <row r="3757" ht="22.5" customHeight="1">
      <c r="B3757" s="42">
        <f t="shared" si="7"/>
        <v>3751</v>
      </c>
      <c r="C3757" s="31" t="s">
        <v>3805</v>
      </c>
      <c r="D3757" s="34" t="str">
        <f t="array" ref="D3757">IFNA(_xlfn.XLOOKUP(C3757,Table_Tarikan_Warkah[Nomor Sertipikat],Table_Tarikan_Warkah[Nomor Tiket]),"")</f>
        <v>L/30/110925/1</v>
      </c>
      <c r="E3757" s="36" t="str">
        <f t="array" ref="E3757">IFNA(_xlfn.XLOOKUP(D3757,Table_Tarikan_Warkah[Nomor Tiket],Table_Tarikan_Warkah[Tanggal diserahkan kepada Validator]),"")</f>
        <v/>
      </c>
      <c r="F3757" s="36" t="str">
        <f t="array" ref="F3757">IFNA(_xlfn.XLOOKUP(D3757,Table_Tarikan_Warkah[Nomor Tiket],Table_Tarikan_Warkah[Nama Petugas Warkah]),"")</f>
        <v/>
      </c>
      <c r="G3757" s="39"/>
      <c r="H3757" s="41" t="s">
        <v>2315</v>
      </c>
      <c r="I3757" s="49" t="s">
        <v>23</v>
      </c>
      <c r="J3757" s="36">
        <f t="shared" si="20"/>
        <v>45910.68836</v>
      </c>
      <c r="K3757" s="49" t="s">
        <v>2378</v>
      </c>
      <c r="L3757" s="49" t="s">
        <v>23</v>
      </c>
      <c r="M3757" s="36">
        <f t="shared" si="33"/>
        <v>45911.62705</v>
      </c>
      <c r="N3757" s="30" t="str">
        <f t="shared" si="34"/>
        <v>Selesai</v>
      </c>
      <c r="O3757" s="45">
        <f t="shared" si="23"/>
        <v>45911.62705</v>
      </c>
      <c r="P3757" s="47" t="b">
        <v>0</v>
      </c>
      <c r="Q3757" s="36" t="str">
        <f t="shared" si="35"/>
        <v/>
      </c>
      <c r="R3757" s="47" t="b">
        <v>0</v>
      </c>
      <c r="S3757" s="42" t="str">
        <f t="shared" si="28"/>
        <v/>
      </c>
      <c r="T3757" s="42"/>
    </row>
    <row r="3758" ht="22.5" customHeight="1">
      <c r="B3758" s="42">
        <f t="shared" si="7"/>
        <v>3752</v>
      </c>
      <c r="C3758" s="31" t="s">
        <v>3806</v>
      </c>
      <c r="D3758" s="34" t="str">
        <f t="array" ref="D3758">IFNA(_xlfn.XLOOKUP(C3758,Table_Tarikan_Warkah[Nomor Sertipikat],Table_Tarikan_Warkah[Nomor Tiket]),"")</f>
        <v>L/3/300425/1</v>
      </c>
      <c r="E3758" s="36" t="str">
        <f t="array" ref="E3758">IFNA(_xlfn.XLOOKUP(D3758,Table_Tarikan_Warkah[Nomor Tiket],Table_Tarikan_Warkah[Tanggal diserahkan kepada Validator]),"")</f>
        <v/>
      </c>
      <c r="F3758" s="36" t="str">
        <f t="array" ref="F3758">IFNA(_xlfn.XLOOKUP(D3758,Table_Tarikan_Warkah[Nomor Tiket],Table_Tarikan_Warkah[Nama Petugas Warkah]),"")</f>
        <v/>
      </c>
      <c r="G3758" s="39" t="str">
        <f t="array" ref="G3758">IFNA(_xlfn.XLOOKUP(D3758,Table_Tarikan_Warkah[Nomor Tiket],Table_Tarikan_Warkah[Jenis Permohonan]),"")</f>
        <v>PENATAAN BATAS</v>
      </c>
      <c r="H3758" s="70"/>
      <c r="I3758" s="49"/>
      <c r="J3758" s="36" t="str">
        <f t="shared" si="20"/>
        <v/>
      </c>
      <c r="K3758" s="49" t="s">
        <v>2378</v>
      </c>
      <c r="L3758" s="49" t="s">
        <v>23</v>
      </c>
      <c r="M3758" s="36">
        <f t="shared" si="33"/>
        <v>45911.64018</v>
      </c>
      <c r="N3758" s="30" t="str">
        <f t="shared" si="34"/>
        <v>BT atau SU Belum Valid</v>
      </c>
      <c r="O3758" s="39" t="str">
        <f t="shared" si="23"/>
        <v/>
      </c>
      <c r="P3758" s="47" t="b">
        <v>0</v>
      </c>
      <c r="Q3758" s="36" t="str">
        <f t="shared" si="35"/>
        <v/>
      </c>
      <c r="R3758" s="47" t="b">
        <v>0</v>
      </c>
      <c r="S3758" s="42" t="str">
        <f t="shared" si="28"/>
        <v/>
      </c>
      <c r="T3758" s="42"/>
    </row>
    <row r="3759" ht="22.5" customHeight="1">
      <c r="B3759" s="42">
        <f t="shared" si="7"/>
        <v>3753</v>
      </c>
      <c r="C3759" s="31" t="s">
        <v>3807</v>
      </c>
      <c r="D3759" s="34" t="str">
        <f t="array" ref="D3759">IFNA(_xlfn.XLOOKUP(C3759,Table_Tarikan_Warkah[Nomor Sertipikat],Table_Tarikan_Warkah[Nomor Tiket]),"")</f>
        <v>K/19/220825/2</v>
      </c>
      <c r="E3759" s="36" t="str">
        <f t="array" ref="E3759">IFNA(_xlfn.XLOOKUP(D3759,Table_Tarikan_Warkah[Nomor Tiket],Table_Tarikan_Warkah[Tanggal diserahkan kepada Validator]),"")</f>
        <v/>
      </c>
      <c r="F3759" s="36" t="str">
        <f t="array" ref="F3759">IFNA(_xlfn.XLOOKUP(D3759,Table_Tarikan_Warkah[Nomor Tiket],Table_Tarikan_Warkah[Nama Petugas Warkah]),"")</f>
        <v/>
      </c>
      <c r="G3759" s="39" t="str">
        <f t="array" ref="G3759">IFNA(_xlfn.XLOOKUP(D3759,Table_Tarikan_Warkah[Nomor Tiket],Table_Tarikan_Warkah[Jenis Permohonan]),"")</f>
        <v>BN Jual beli</v>
      </c>
      <c r="H3759" s="41" t="s">
        <v>920</v>
      </c>
      <c r="I3759" s="49" t="s">
        <v>23</v>
      </c>
      <c r="J3759" s="36">
        <f t="shared" si="20"/>
        <v>45911.64938</v>
      </c>
      <c r="K3759" s="49" t="s">
        <v>920</v>
      </c>
      <c r="L3759" s="49" t="s">
        <v>23</v>
      </c>
      <c r="M3759" s="36">
        <f t="shared" si="33"/>
        <v>45911.64939</v>
      </c>
      <c r="N3759" s="30" t="str">
        <f t="shared" si="34"/>
        <v>Selesai</v>
      </c>
      <c r="O3759" s="45">
        <f t="shared" si="23"/>
        <v>45911.64939</v>
      </c>
      <c r="P3759" s="47" t="b">
        <v>1</v>
      </c>
      <c r="Q3759" s="36">
        <f t="shared" si="35"/>
        <v>45911.64942</v>
      </c>
      <c r="R3759" s="47" t="b">
        <v>0</v>
      </c>
      <c r="S3759" s="42" t="str">
        <f t="shared" si="28"/>
        <v/>
      </c>
      <c r="T3759" s="42"/>
    </row>
    <row r="3760" ht="22.5" customHeight="1">
      <c r="B3760" s="42">
        <f t="shared" si="7"/>
        <v>3754</v>
      </c>
      <c r="C3760" s="31" t="s">
        <v>3808</v>
      </c>
      <c r="D3760" s="34" t="str">
        <f t="array" ref="D3760">IFNA(_xlfn.XLOOKUP(C3760,Table_Tarikan_Warkah[Nomor Sertipikat],Table_Tarikan_Warkah[Nomor Tiket]),"")</f>
        <v>K/31/150825/2</v>
      </c>
      <c r="E3760" s="36">
        <f t="array" ref="E3760">IFNA(_xlfn.XLOOKUP(D3760,Table_Tarikan_Warkah[Nomor Tiket],Table_Tarikan_Warkah[Tanggal diserahkan kepada Validator]),"")</f>
        <v>45908.62819</v>
      </c>
      <c r="F3760" s="36" t="str">
        <f t="array" ref="F3760">IFNA(_xlfn.XLOOKUP(D3760,Table_Tarikan_Warkah[Nomor Tiket],Table_Tarikan_Warkah[Nama Petugas Warkah]),"")</f>
        <v>David</v>
      </c>
      <c r="G3760" s="39" t="str">
        <f t="array" ref="G3760">IFNA(_xlfn.XLOOKUP(D3760,Table_Tarikan_Warkah[Nomor Tiket],Table_Tarikan_Warkah[Jenis Permohonan]),"")</f>
        <v>BN JUAL BELI</v>
      </c>
      <c r="H3760" s="41" t="s">
        <v>920</v>
      </c>
      <c r="I3760" s="49" t="s">
        <v>23</v>
      </c>
      <c r="J3760" s="36">
        <f t="shared" si="20"/>
        <v>45911.64956</v>
      </c>
      <c r="K3760" s="49" t="s">
        <v>920</v>
      </c>
      <c r="L3760" s="49" t="s">
        <v>23</v>
      </c>
      <c r="M3760" s="36">
        <f t="shared" si="33"/>
        <v>45911.64961</v>
      </c>
      <c r="N3760" s="30" t="str">
        <f t="shared" si="34"/>
        <v>Selesai</v>
      </c>
      <c r="O3760" s="45">
        <f t="shared" si="23"/>
        <v>45911.64961</v>
      </c>
      <c r="P3760" s="47" t="b">
        <v>1</v>
      </c>
      <c r="Q3760" s="36">
        <f t="shared" si="35"/>
        <v>45911.64965</v>
      </c>
      <c r="R3760" s="47" t="b">
        <v>0</v>
      </c>
      <c r="S3760" s="42" t="str">
        <f t="shared" si="28"/>
        <v/>
      </c>
      <c r="T3760" s="42"/>
    </row>
    <row r="3761" ht="22.5" customHeight="1">
      <c r="B3761" s="42">
        <f t="shared" si="7"/>
        <v>3755</v>
      </c>
      <c r="C3761" s="31" t="s">
        <v>3809</v>
      </c>
      <c r="D3761" s="34" t="str">
        <f t="array" ref="D3761">IFNA(_xlfn.XLOOKUP(C3761,Table_Tarikan_Warkah[Nomor Sertipikat],Table_Tarikan_Warkah[Nomor Tiket]),"")</f>
        <v>K/38/210826/1</v>
      </c>
      <c r="E3761" s="36" t="str">
        <f t="array" ref="E3761">IFNA(_xlfn.XLOOKUP(D3761,Table_Tarikan_Warkah[Nomor Tiket],Table_Tarikan_Warkah[Tanggal diserahkan kepada Validator]),"")</f>
        <v/>
      </c>
      <c r="F3761" s="36" t="str">
        <f t="array" ref="F3761">IFNA(_xlfn.XLOOKUP(D3761,Table_Tarikan_Warkah[Nomor Tiket],Table_Tarikan_Warkah[Nama Petugas Warkah]),"")</f>
        <v/>
      </c>
      <c r="G3761" s="39" t="str">
        <f t="array" ref="G3761">IFNA(_xlfn.XLOOKUP(D3761,Table_Tarikan_Warkah[Nomor Tiket],Table_Tarikan_Warkah[Jenis Permohonan]),"")</f>
        <v>BN Jual beli</v>
      </c>
      <c r="H3761" s="41" t="s">
        <v>920</v>
      </c>
      <c r="I3761" s="49" t="s">
        <v>23</v>
      </c>
      <c r="J3761" s="36">
        <f t="shared" si="20"/>
        <v>45911.64978</v>
      </c>
      <c r="K3761" s="49" t="s">
        <v>920</v>
      </c>
      <c r="L3761" s="49" t="s">
        <v>23</v>
      </c>
      <c r="M3761" s="36">
        <f t="shared" si="33"/>
        <v>45911.6498</v>
      </c>
      <c r="N3761" s="30" t="str">
        <f t="shared" si="34"/>
        <v>Selesai</v>
      </c>
      <c r="O3761" s="45">
        <f t="shared" si="23"/>
        <v>45911.6498</v>
      </c>
      <c r="P3761" s="47" t="b">
        <v>1</v>
      </c>
      <c r="Q3761" s="36">
        <f t="shared" si="35"/>
        <v>45911.64987</v>
      </c>
      <c r="R3761" s="47" t="b">
        <v>0</v>
      </c>
      <c r="S3761" s="42" t="str">
        <f t="shared" si="28"/>
        <v/>
      </c>
      <c r="T3761" s="42"/>
    </row>
    <row r="3762" ht="22.5" customHeight="1">
      <c r="B3762" s="42">
        <f t="shared" si="7"/>
        <v>3756</v>
      </c>
      <c r="C3762" s="31" t="s">
        <v>3810</v>
      </c>
      <c r="D3762" s="34" t="str">
        <f t="array" ref="D3762">IFNA(_xlfn.XLOOKUP(C3762,Table_Tarikan_Warkah[Nomor Sertipikat],Table_Tarikan_Warkah[Nomor Tiket]),"")</f>
        <v>K/10/040928/1</v>
      </c>
      <c r="E3762" s="36">
        <f t="array" ref="E3762">IFNA(_xlfn.XLOOKUP(D3762,Table_Tarikan_Warkah[Nomor Tiket],Table_Tarikan_Warkah[Tanggal diserahkan kepada Validator]),"")</f>
        <v>45975.49398</v>
      </c>
      <c r="F3762" s="36" t="str">
        <f t="array" ref="F3762">IFNA(_xlfn.XLOOKUP(D3762,Table_Tarikan_Warkah[Nomor Tiket],Table_Tarikan_Warkah[Nama Petugas Warkah]),"")</f>
        <v>Berry</v>
      </c>
      <c r="G3762" s="39" t="str">
        <f t="array" ref="G3762">IFNA(_xlfn.XLOOKUP(D3762,Table_Tarikan_Warkah[Nomor Tiket],Table_Tarikan_Warkah[Jenis Permohonan]),"")</f>
        <v>Pemecahan	</v>
      </c>
      <c r="H3762" s="41" t="s">
        <v>2315</v>
      </c>
      <c r="I3762" s="49" t="s">
        <v>23</v>
      </c>
      <c r="J3762" s="36">
        <f t="shared" si="20"/>
        <v>45912.44028</v>
      </c>
      <c r="K3762" s="49" t="s">
        <v>2378</v>
      </c>
      <c r="L3762" s="49" t="s">
        <v>23</v>
      </c>
      <c r="M3762" s="36">
        <f t="shared" si="33"/>
        <v>45916.62488</v>
      </c>
      <c r="N3762" s="30" t="str">
        <f t="shared" si="34"/>
        <v>Selesai</v>
      </c>
      <c r="O3762" s="45">
        <f t="shared" si="23"/>
        <v>45916.62488</v>
      </c>
      <c r="P3762" s="47" t="b">
        <v>0</v>
      </c>
      <c r="Q3762" s="36" t="str">
        <f t="shared" si="35"/>
        <v/>
      </c>
      <c r="R3762" s="47" t="b">
        <v>0</v>
      </c>
      <c r="S3762" s="42" t="str">
        <f t="shared" si="28"/>
        <v/>
      </c>
      <c r="T3762" s="42"/>
    </row>
    <row r="3763" ht="22.5" customHeight="1">
      <c r="B3763" s="42">
        <f t="shared" si="7"/>
        <v>3757</v>
      </c>
      <c r="C3763" s="31" t="s">
        <v>3811</v>
      </c>
      <c r="D3763" s="34" t="str">
        <f t="array" ref="D3763">IFNA(_xlfn.XLOOKUP(C3763,Table_Tarikan_Warkah[Nomor Sertipikat],Table_Tarikan_Warkah[Nomor Tiket]),"")</f>
        <v>K/37/150825/1</v>
      </c>
      <c r="E3763" s="36" t="str">
        <f t="array" ref="E3763">IFNA(_xlfn.XLOOKUP(D3763,Table_Tarikan_Warkah[Nomor Tiket],Table_Tarikan_Warkah[Tanggal diserahkan kepada Validator]),"")</f>
        <v/>
      </c>
      <c r="F3763" s="36" t="str">
        <f t="array" ref="F3763">IFNA(_xlfn.XLOOKUP(D3763,Table_Tarikan_Warkah[Nomor Tiket],Table_Tarikan_Warkah[Nama Petugas Warkah]),"")</f>
        <v/>
      </c>
      <c r="G3763" s="39" t="str">
        <f t="array" ref="G3763">IFNA(_xlfn.XLOOKUP(D3763,Table_Tarikan_Warkah[Nomor Tiket],Table_Tarikan_Warkah[Jenis Permohonan]),"")</f>
        <v>BN Waris</v>
      </c>
      <c r="H3763" s="41" t="s">
        <v>2315</v>
      </c>
      <c r="I3763" s="49" t="s">
        <v>23</v>
      </c>
      <c r="J3763" s="36">
        <f t="shared" si="20"/>
        <v>45912.44048</v>
      </c>
      <c r="K3763" s="49" t="s">
        <v>2378</v>
      </c>
      <c r="L3763" s="49" t="s">
        <v>23</v>
      </c>
      <c r="M3763" s="36">
        <f t="shared" si="33"/>
        <v>45916.62488</v>
      </c>
      <c r="N3763" s="30" t="str">
        <f t="shared" si="34"/>
        <v>Selesai</v>
      </c>
      <c r="O3763" s="45">
        <f t="shared" si="23"/>
        <v>45916.62488</v>
      </c>
      <c r="P3763" s="47" t="b">
        <v>0</v>
      </c>
      <c r="Q3763" s="36" t="str">
        <f t="shared" si="35"/>
        <v/>
      </c>
      <c r="R3763" s="47" t="b">
        <v>0</v>
      </c>
      <c r="S3763" s="42" t="str">
        <f t="shared" si="28"/>
        <v/>
      </c>
      <c r="T3763" s="42"/>
    </row>
    <row r="3764" ht="22.5" customHeight="1">
      <c r="B3764" s="42">
        <f t="shared" si="7"/>
        <v>3758</v>
      </c>
      <c r="C3764" s="31" t="s">
        <v>3812</v>
      </c>
      <c r="D3764" s="34" t="str">
        <f t="array" ref="D3764">IFNA(_xlfn.XLOOKUP(C3764,Table_Tarikan_Warkah[Nomor Sertipikat],Table_Tarikan_Warkah[Nomor Tiket]),"")</f>
        <v>K/7/080925/1</v>
      </c>
      <c r="E3764" s="36" t="str">
        <f t="array" ref="E3764">IFNA(_xlfn.XLOOKUP(D3764,Table_Tarikan_Warkah[Nomor Tiket],Table_Tarikan_Warkah[Tanggal diserahkan kepada Validator]),"")</f>
        <v/>
      </c>
      <c r="F3764" s="36" t="str">
        <f t="array" ref="F3764">IFNA(_xlfn.XLOOKUP(D3764,Table_Tarikan_Warkah[Nomor Tiket],Table_Tarikan_Warkah[Nama Petugas Warkah]),"")</f>
        <v/>
      </c>
      <c r="G3764" s="39" t="str">
        <f t="array" ref="G3764">IFNA(_xlfn.XLOOKUP(D3764,Table_Tarikan_Warkah[Nomor Tiket],Table_Tarikan_Warkah[Jenis Permohonan]),"")</f>
        <v>ROYA</v>
      </c>
      <c r="H3764" s="41" t="s">
        <v>2315</v>
      </c>
      <c r="I3764" s="49" t="s">
        <v>23</v>
      </c>
      <c r="J3764" s="36">
        <f t="shared" si="20"/>
        <v>45912.44062</v>
      </c>
      <c r="K3764" s="49" t="s">
        <v>2378</v>
      </c>
      <c r="L3764" s="49" t="s">
        <v>23</v>
      </c>
      <c r="M3764" s="36">
        <f t="shared" si="33"/>
        <v>45916.62488</v>
      </c>
      <c r="N3764" s="30" t="str">
        <f t="shared" si="34"/>
        <v>Selesai</v>
      </c>
      <c r="O3764" s="45">
        <f t="shared" si="23"/>
        <v>45916.62488</v>
      </c>
      <c r="P3764" s="47" t="b">
        <v>0</v>
      </c>
      <c r="Q3764" s="36" t="str">
        <f t="shared" si="35"/>
        <v/>
      </c>
      <c r="R3764" s="47" t="b">
        <v>0</v>
      </c>
      <c r="S3764" s="42" t="str">
        <f t="shared" si="28"/>
        <v/>
      </c>
      <c r="T3764" s="42"/>
    </row>
    <row r="3765" ht="22.5" customHeight="1">
      <c r="B3765" s="42">
        <f t="shared" si="7"/>
        <v>3759</v>
      </c>
      <c r="C3765" s="31" t="s">
        <v>3813</v>
      </c>
      <c r="D3765" s="34" t="str">
        <f t="array" ref="D3765">IFNA(_xlfn.XLOOKUP(C3765,Table_Tarikan_Warkah[Nomor Sertipikat],Table_Tarikan_Warkah[Nomor Tiket]),"")</f>
        <v>K/42/090925/1</v>
      </c>
      <c r="E3765" s="36" t="str">
        <f t="array" ref="E3765">IFNA(_xlfn.XLOOKUP(D3765,Table_Tarikan_Warkah[Nomor Tiket],Table_Tarikan_Warkah[Tanggal diserahkan kepada Validator]),"")</f>
        <v/>
      </c>
      <c r="F3765" s="36" t="str">
        <f t="array" ref="F3765">IFNA(_xlfn.XLOOKUP(D3765,Table_Tarikan_Warkah[Nomor Tiket],Table_Tarikan_Warkah[Nama Petugas Warkah]),"")</f>
        <v/>
      </c>
      <c r="G3765" s="39" t="str">
        <f t="array" ref="G3765">IFNA(_xlfn.XLOOKUP(D3765,Table_Tarikan_Warkah[Nomor Tiket],Table_Tarikan_Warkah[Jenis Permohonan]),"")</f>
        <v>ROYA</v>
      </c>
      <c r="H3765" s="41" t="s">
        <v>2315</v>
      </c>
      <c r="I3765" s="49" t="s">
        <v>23</v>
      </c>
      <c r="J3765" s="36">
        <f t="shared" si="20"/>
        <v>45912.44079</v>
      </c>
      <c r="K3765" s="49" t="s">
        <v>2378</v>
      </c>
      <c r="L3765" s="49" t="s">
        <v>23</v>
      </c>
      <c r="M3765" s="36">
        <f t="shared" si="33"/>
        <v>45916.62488</v>
      </c>
      <c r="N3765" s="30" t="str">
        <f t="shared" si="34"/>
        <v>Selesai</v>
      </c>
      <c r="O3765" s="45">
        <f t="shared" si="23"/>
        <v>45916.62488</v>
      </c>
      <c r="P3765" s="47" t="b">
        <v>0</v>
      </c>
      <c r="Q3765" s="36" t="str">
        <f t="shared" si="35"/>
        <v/>
      </c>
      <c r="R3765" s="47" t="b">
        <v>0</v>
      </c>
      <c r="S3765" s="42" t="str">
        <f t="shared" si="28"/>
        <v/>
      </c>
      <c r="T3765" s="42"/>
    </row>
    <row r="3766" ht="22.5" customHeight="1">
      <c r="B3766" s="42">
        <f t="shared" si="7"/>
        <v>3760</v>
      </c>
      <c r="C3766" s="31" t="s">
        <v>3814</v>
      </c>
      <c r="D3766" s="34" t="str">
        <f t="array" ref="D3766">IFNA(_xlfn.XLOOKUP(C3766,Table_Tarikan_Warkah[Nomor Sertipikat],Table_Tarikan_Warkah[Nomor Tiket]),"")</f>
        <v>K/24/030925/1</v>
      </c>
      <c r="E3766" s="36" t="str">
        <f t="array" ref="E3766">IFNA(_xlfn.XLOOKUP(D3766,Table_Tarikan_Warkah[Nomor Tiket],Table_Tarikan_Warkah[Tanggal diserahkan kepada Validator]),"")</f>
        <v/>
      </c>
      <c r="F3766" s="36" t="str">
        <f t="array" ref="F3766">IFNA(_xlfn.XLOOKUP(D3766,Table_Tarikan_Warkah[Nomor Tiket],Table_Tarikan_Warkah[Nama Petugas Warkah]),"")</f>
        <v/>
      </c>
      <c r="G3766" s="39" t="str">
        <f t="array" ref="G3766">IFNA(_xlfn.XLOOKUP(D3766,Table_Tarikan_Warkah[Nomor Tiket],Table_Tarikan_Warkah[Jenis Permohonan]),"")</f>
        <v>ROYA</v>
      </c>
      <c r="H3766" s="41" t="s">
        <v>2315</v>
      </c>
      <c r="I3766" s="49" t="s">
        <v>23</v>
      </c>
      <c r="J3766" s="36">
        <f t="shared" si="20"/>
        <v>45912.44096</v>
      </c>
      <c r="K3766" s="49" t="s">
        <v>2378</v>
      </c>
      <c r="L3766" s="49" t="s">
        <v>23</v>
      </c>
      <c r="M3766" s="36">
        <f t="shared" si="33"/>
        <v>45916.62488</v>
      </c>
      <c r="N3766" s="30" t="str">
        <f t="shared" si="34"/>
        <v>Selesai</v>
      </c>
      <c r="O3766" s="45">
        <f t="shared" si="23"/>
        <v>45916.62488</v>
      </c>
      <c r="P3766" s="47" t="b">
        <v>0</v>
      </c>
      <c r="Q3766" s="36" t="str">
        <f t="shared" si="35"/>
        <v/>
      </c>
      <c r="R3766" s="47" t="b">
        <v>0</v>
      </c>
      <c r="S3766" s="42" t="str">
        <f t="shared" si="28"/>
        <v/>
      </c>
      <c r="T3766" s="42"/>
    </row>
    <row r="3767" ht="22.5" customHeight="1">
      <c r="B3767" s="42">
        <f t="shared" si="7"/>
        <v>3761</v>
      </c>
      <c r="C3767" s="31" t="s">
        <v>3815</v>
      </c>
      <c r="D3767" s="34" t="str">
        <f t="array" ref="D3767">IFNA(_xlfn.XLOOKUP(C3767,Table_Tarikan_Warkah[Nomor Sertipikat],Table_Tarikan_Warkah[Nomor Tiket]),"")</f>
        <v>L/4/090925/1</v>
      </c>
      <c r="E3767" s="36" t="str">
        <f t="array" ref="E3767">IFNA(_xlfn.XLOOKUP(D3767,Table_Tarikan_Warkah[Nomor Tiket],Table_Tarikan_Warkah[Tanggal diserahkan kepada Validator]),"")</f>
        <v/>
      </c>
      <c r="F3767" s="36" t="str">
        <f t="array" ref="F3767">IFNA(_xlfn.XLOOKUP(D3767,Table_Tarikan_Warkah[Nomor Tiket],Table_Tarikan_Warkah[Nama Petugas Warkah]),"")</f>
        <v/>
      </c>
      <c r="G3767" s="39" t="str">
        <f t="array" ref="G3767">IFNA(_xlfn.XLOOKUP(D3767,Table_Tarikan_Warkah[Nomor Tiket],Table_Tarikan_Warkah[Jenis Permohonan]),"")</f>
        <v>ROYA</v>
      </c>
      <c r="H3767" s="41" t="s">
        <v>2315</v>
      </c>
      <c r="I3767" s="49" t="s">
        <v>23</v>
      </c>
      <c r="J3767" s="36">
        <f t="shared" si="20"/>
        <v>45912.44114</v>
      </c>
      <c r="K3767" s="49" t="s">
        <v>2378</v>
      </c>
      <c r="L3767" s="49" t="s">
        <v>23</v>
      </c>
      <c r="M3767" s="36">
        <f t="shared" si="33"/>
        <v>45916.62488</v>
      </c>
      <c r="N3767" s="30" t="str">
        <f t="shared" si="34"/>
        <v>Selesai</v>
      </c>
      <c r="O3767" s="45">
        <f t="shared" si="23"/>
        <v>45916.62488</v>
      </c>
      <c r="P3767" s="47" t="b">
        <v>0</v>
      </c>
      <c r="Q3767" s="36" t="str">
        <f t="shared" si="35"/>
        <v/>
      </c>
      <c r="R3767" s="47" t="b">
        <v>0</v>
      </c>
      <c r="S3767" s="42" t="str">
        <f t="shared" si="28"/>
        <v/>
      </c>
      <c r="T3767" s="42"/>
    </row>
    <row r="3768" ht="22.5" customHeight="1">
      <c r="B3768" s="42">
        <f t="shared" si="7"/>
        <v>3762</v>
      </c>
      <c r="C3768" s="31" t="s">
        <v>3816</v>
      </c>
      <c r="D3768" s="34" t="str">
        <f t="array" ref="D3768">IFNA(_xlfn.XLOOKUP(C3768,Table_Tarikan_Warkah[Nomor Sertipikat],Table_Tarikan_Warkah[Nomor Tiket]),"")</f>
        <v>K/38/090925/1</v>
      </c>
      <c r="E3768" s="36">
        <f t="array" ref="E3768">IFNA(_xlfn.XLOOKUP(D3768,Table_Tarikan_Warkah[Nomor Tiket],Table_Tarikan_Warkah[Tanggal diserahkan kepada Validator]),"")</f>
        <v>45993.58359</v>
      </c>
      <c r="F3768" s="36" t="str">
        <f t="array" ref="F3768">IFNA(_xlfn.XLOOKUP(D3768,Table_Tarikan_Warkah[Nomor Tiket],Table_Tarikan_Warkah[Nama Petugas Warkah]),"")</f>
        <v>David</v>
      </c>
      <c r="G3768" s="39" t="str">
        <f t="array" ref="G3768">IFNA(_xlfn.XLOOKUP(D3768,Table_Tarikan_Warkah[Nomor Tiket],Table_Tarikan_Warkah[Jenis Permohonan]),"")</f>
        <v>BN LELANG</v>
      </c>
      <c r="H3768" s="41" t="s">
        <v>2315</v>
      </c>
      <c r="I3768" s="49" t="s">
        <v>23</v>
      </c>
      <c r="J3768" s="36">
        <f t="shared" si="20"/>
        <v>45912.44122</v>
      </c>
      <c r="K3768" s="49" t="s">
        <v>2378</v>
      </c>
      <c r="L3768" s="49" t="s">
        <v>23</v>
      </c>
      <c r="M3768" s="36">
        <f t="shared" si="33"/>
        <v>45916.59814</v>
      </c>
      <c r="N3768" s="30" t="str">
        <f t="shared" si="34"/>
        <v>Selesai</v>
      </c>
      <c r="O3768" s="45">
        <f t="shared" si="23"/>
        <v>45916.59814</v>
      </c>
      <c r="P3768" s="47" t="b">
        <v>0</v>
      </c>
      <c r="Q3768" s="36" t="str">
        <f t="shared" si="35"/>
        <v/>
      </c>
      <c r="R3768" s="47" t="b">
        <v>0</v>
      </c>
      <c r="S3768" s="42" t="str">
        <f t="shared" si="28"/>
        <v/>
      </c>
      <c r="T3768" s="42"/>
    </row>
    <row r="3769" ht="22.5" customHeight="1">
      <c r="B3769" s="42">
        <f t="shared" si="7"/>
        <v>3763</v>
      </c>
      <c r="C3769" s="31" t="s">
        <v>3817</v>
      </c>
      <c r="D3769" s="34" t="str">
        <f t="array" ref="D3769">IFNA(_xlfn.XLOOKUP(C3769,Table_Tarikan_Warkah[Nomor Sertipikat],Table_Tarikan_Warkah[Nomor Tiket]),"")</f>
        <v>K/43/280825/1</v>
      </c>
      <c r="E3769" s="36" t="str">
        <f t="array" ref="E3769">IFNA(_xlfn.XLOOKUP(D3769,Table_Tarikan_Warkah[Nomor Tiket],Table_Tarikan_Warkah[Tanggal diserahkan kepada Validator]),"")</f>
        <v/>
      </c>
      <c r="F3769" s="36" t="str">
        <f t="array" ref="F3769">IFNA(_xlfn.XLOOKUP(D3769,Table_Tarikan_Warkah[Nomor Tiket],Table_Tarikan_Warkah[Nama Petugas Warkah]),"")</f>
        <v/>
      </c>
      <c r="G3769" s="39" t="str">
        <f t="array" ref="G3769">IFNA(_xlfn.XLOOKUP(D3769,Table_Tarikan_Warkah[Nomor Tiket],Table_Tarikan_Warkah[Jenis Permohonan]),"")</f>
        <v>GANTI NAMA HAK TANGGUNGAN</v>
      </c>
      <c r="H3769" s="41" t="s">
        <v>2315</v>
      </c>
      <c r="I3769" s="49" t="s">
        <v>23</v>
      </c>
      <c r="J3769" s="36">
        <f t="shared" si="20"/>
        <v>45912.44134</v>
      </c>
      <c r="K3769" s="49" t="s">
        <v>2378</v>
      </c>
      <c r="L3769" s="49" t="s">
        <v>23</v>
      </c>
      <c r="M3769" s="36">
        <f t="shared" si="33"/>
        <v>45916.62488</v>
      </c>
      <c r="N3769" s="30" t="str">
        <f t="shared" si="34"/>
        <v>Selesai</v>
      </c>
      <c r="O3769" s="45">
        <f t="shared" si="23"/>
        <v>45916.62488</v>
      </c>
      <c r="P3769" s="47" t="b">
        <v>0</v>
      </c>
      <c r="Q3769" s="36" t="str">
        <f t="shared" si="35"/>
        <v/>
      </c>
      <c r="R3769" s="47" t="b">
        <v>0</v>
      </c>
      <c r="S3769" s="42" t="str">
        <f t="shared" si="28"/>
        <v/>
      </c>
      <c r="T3769" s="42"/>
    </row>
    <row r="3770" ht="22.5" customHeight="1">
      <c r="B3770" s="42">
        <f t="shared" si="7"/>
        <v>3764</v>
      </c>
      <c r="C3770" s="31" t="s">
        <v>3818</v>
      </c>
      <c r="D3770" s="34" t="str">
        <f t="array" ref="D3770">IFNA(_xlfn.XLOOKUP(C3770,Table_Tarikan_Warkah[Nomor Sertipikat],Table_Tarikan_Warkah[Nomor Tiket]),"")</f>
        <v>K/21/030925/1</v>
      </c>
      <c r="E3770" s="36" t="str">
        <f t="array" ref="E3770">IFNA(_xlfn.XLOOKUP(D3770,Table_Tarikan_Warkah[Nomor Tiket],Table_Tarikan_Warkah[Tanggal diserahkan kepada Validator]),"")</f>
        <v/>
      </c>
      <c r="F3770" s="36" t="str">
        <f t="array" ref="F3770">IFNA(_xlfn.XLOOKUP(D3770,Table_Tarikan_Warkah[Nomor Tiket],Table_Tarikan_Warkah[Nama Petugas Warkah]),"")</f>
        <v/>
      </c>
      <c r="G3770" s="39" t="str">
        <f t="array" ref="G3770">IFNA(_xlfn.XLOOKUP(D3770,Table_Tarikan_Warkah[Nomor Tiket],Table_Tarikan_Warkah[Jenis Permohonan]),"")</f>
        <v>PEMECAHAN</v>
      </c>
      <c r="H3770" s="41" t="s">
        <v>2315</v>
      </c>
      <c r="I3770" s="49" t="s">
        <v>23</v>
      </c>
      <c r="J3770" s="36">
        <f t="shared" si="20"/>
        <v>45912.44153</v>
      </c>
      <c r="K3770" s="49" t="s">
        <v>2378</v>
      </c>
      <c r="L3770" s="49" t="s">
        <v>23</v>
      </c>
      <c r="M3770" s="36">
        <f t="shared" si="33"/>
        <v>45916.62488</v>
      </c>
      <c r="N3770" s="30" t="str">
        <f t="shared" si="34"/>
        <v>Selesai</v>
      </c>
      <c r="O3770" s="45">
        <f t="shared" si="23"/>
        <v>45916.62488</v>
      </c>
      <c r="P3770" s="47" t="b">
        <v>0</v>
      </c>
      <c r="Q3770" s="36" t="str">
        <f t="shared" si="35"/>
        <v/>
      </c>
      <c r="R3770" s="47" t="b">
        <v>0</v>
      </c>
      <c r="S3770" s="42" t="str">
        <f t="shared" si="28"/>
        <v/>
      </c>
      <c r="T3770" s="42"/>
    </row>
    <row r="3771" ht="22.5" customHeight="1">
      <c r="B3771" s="42">
        <f t="shared" si="7"/>
        <v>3765</v>
      </c>
      <c r="C3771" s="31" t="s">
        <v>3819</v>
      </c>
      <c r="D3771" s="34" t="str">
        <f t="array" ref="D3771">IFNA(_xlfn.XLOOKUP(C3771,Table_Tarikan_Warkah[Nomor Sertipikat],Table_Tarikan_Warkah[Nomor Tiket]),"")</f>
        <v>L/1/300825/1 (PELATARAN)</v>
      </c>
      <c r="E3771" s="36">
        <f t="array" ref="E3771">IFNA(_xlfn.XLOOKUP(D3771,Table_Tarikan_Warkah[Nomor Tiket],Table_Tarikan_Warkah[Tanggal diserahkan kepada Validator]),"")</f>
        <v>45904.59567</v>
      </c>
      <c r="F3771" s="36" t="str">
        <f t="array" ref="F3771">IFNA(_xlfn.XLOOKUP(D3771,Table_Tarikan_Warkah[Nomor Tiket],Table_Tarikan_Warkah[Nama Petugas Warkah]),"")</f>
        <v>Berry</v>
      </c>
      <c r="G3771" s="39" t="str">
        <f t="array" ref="G3771">IFNA(_xlfn.XLOOKUP(D3771,Table_Tarikan_Warkah[Nomor Tiket],Table_Tarikan_Warkah[Jenis Permohonan]),"")</f>
        <v>ROYA LELANG</v>
      </c>
      <c r="H3771" s="41" t="s">
        <v>2315</v>
      </c>
      <c r="I3771" s="49" t="s">
        <v>23</v>
      </c>
      <c r="J3771" s="36">
        <f t="shared" si="20"/>
        <v>45912.44174</v>
      </c>
      <c r="K3771" s="49" t="s">
        <v>2378</v>
      </c>
      <c r="L3771" s="49" t="s">
        <v>23</v>
      </c>
      <c r="M3771" s="36">
        <f t="shared" si="33"/>
        <v>45916.62488</v>
      </c>
      <c r="N3771" s="30" t="str">
        <f t="shared" si="34"/>
        <v>Selesai</v>
      </c>
      <c r="O3771" s="45">
        <f t="shared" si="23"/>
        <v>45916.62488</v>
      </c>
      <c r="P3771" s="47" t="b">
        <v>0</v>
      </c>
      <c r="Q3771" s="36" t="str">
        <f t="shared" si="35"/>
        <v/>
      </c>
      <c r="R3771" s="47" t="b">
        <v>0</v>
      </c>
      <c r="S3771" s="42" t="str">
        <f t="shared" si="28"/>
        <v/>
      </c>
      <c r="T3771" s="42"/>
    </row>
    <row r="3772" ht="22.5" customHeight="1">
      <c r="B3772" s="42">
        <f t="shared" si="7"/>
        <v>3766</v>
      </c>
      <c r="C3772" s="31" t="s">
        <v>3820</v>
      </c>
      <c r="D3772" s="34" t="str">
        <f t="array" ref="D3772">IFNA(_xlfn.XLOOKUP(C3772,Table_Tarikan_Warkah[Nomor Sertipikat],Table_Tarikan_Warkah[Nomor Tiket]),"")</f>
        <v>K/54/280825/3</v>
      </c>
      <c r="E3772" s="36">
        <f t="array" ref="E3772">IFNA(_xlfn.XLOOKUP(D3772,Table_Tarikan_Warkah[Nomor Tiket],Table_Tarikan_Warkah[Tanggal diserahkan kepada Validator]),"")</f>
        <v>45951.46979</v>
      </c>
      <c r="F3772" s="36" t="str">
        <f t="array" ref="F3772">IFNA(_xlfn.XLOOKUP(D3772,Table_Tarikan_Warkah[Nomor Tiket],Table_Tarikan_Warkah[Nama Petugas Warkah]),"")</f>
        <v>Berry</v>
      </c>
      <c r="G3772" s="39" t="str">
        <f t="array" ref="G3772">IFNA(_xlfn.XLOOKUP(D3772,Table_Tarikan_Warkah[Nomor Tiket],Table_Tarikan_Warkah[Jenis Permohonan]),"")</f>
        <v>BN JUAL BELI</v>
      </c>
      <c r="H3772" s="41" t="s">
        <v>2315</v>
      </c>
      <c r="I3772" s="49" t="s">
        <v>23</v>
      </c>
      <c r="J3772" s="36">
        <f t="shared" si="20"/>
        <v>45912.44187</v>
      </c>
      <c r="K3772" s="49" t="s">
        <v>2378</v>
      </c>
      <c r="L3772" s="49" t="s">
        <v>23</v>
      </c>
      <c r="M3772" s="36">
        <f t="shared" si="33"/>
        <v>45916.62488</v>
      </c>
      <c r="N3772" s="30" t="str">
        <f t="shared" si="34"/>
        <v>Selesai</v>
      </c>
      <c r="O3772" s="45">
        <f t="shared" si="23"/>
        <v>45916.62488</v>
      </c>
      <c r="P3772" s="47" t="b">
        <v>0</v>
      </c>
      <c r="Q3772" s="36" t="str">
        <f t="shared" si="35"/>
        <v/>
      </c>
      <c r="R3772" s="47" t="b">
        <v>0</v>
      </c>
      <c r="S3772" s="42" t="str">
        <f t="shared" si="28"/>
        <v/>
      </c>
      <c r="T3772" s="42"/>
    </row>
    <row r="3773" ht="22.5" customHeight="1">
      <c r="B3773" s="42">
        <f t="shared" si="7"/>
        <v>3767</v>
      </c>
      <c r="C3773" s="31" t="s">
        <v>3821</v>
      </c>
      <c r="D3773" s="34" t="str">
        <f t="array" ref="D3773">IFNA(_xlfn.XLOOKUP(C3773,Table_Tarikan_Warkah[Nomor Sertipikat],Table_Tarikan_Warkah[Nomor Tiket]),"")</f>
        <v>K/24/280825/4</v>
      </c>
      <c r="E3773" s="36">
        <f t="array" ref="E3773">IFNA(_xlfn.XLOOKUP(D3773,Table_Tarikan_Warkah[Nomor Tiket],Table_Tarikan_Warkah[Tanggal diserahkan kepada Validator]),"")</f>
        <v>45951.47805</v>
      </c>
      <c r="F3773" s="36" t="str">
        <f t="array" ref="F3773">IFNA(_xlfn.XLOOKUP(D3773,Table_Tarikan_Warkah[Nomor Tiket],Table_Tarikan_Warkah[Nama Petugas Warkah]),"")</f>
        <v>Berry</v>
      </c>
      <c r="G3773" s="39" t="str">
        <f t="array" ref="G3773">IFNA(_xlfn.XLOOKUP(D3773,Table_Tarikan_Warkah[Nomor Tiket],Table_Tarikan_Warkah[Jenis Permohonan]),"")</f>
        <v>BN JUAL BELI</v>
      </c>
      <c r="H3773" s="41" t="s">
        <v>2315</v>
      </c>
      <c r="I3773" s="49" t="s">
        <v>23</v>
      </c>
      <c r="J3773" s="36">
        <f t="shared" si="20"/>
        <v>45912.442</v>
      </c>
      <c r="K3773" s="49" t="s">
        <v>2378</v>
      </c>
      <c r="L3773" s="49" t="s">
        <v>23</v>
      </c>
      <c r="M3773" s="36">
        <f t="shared" si="33"/>
        <v>45916.62488</v>
      </c>
      <c r="N3773" s="30" t="str">
        <f t="shared" si="34"/>
        <v>Selesai</v>
      </c>
      <c r="O3773" s="45">
        <f t="shared" si="23"/>
        <v>45916.62488</v>
      </c>
      <c r="P3773" s="47" t="b">
        <v>0</v>
      </c>
      <c r="Q3773" s="36" t="str">
        <f t="shared" si="35"/>
        <v/>
      </c>
      <c r="R3773" s="47" t="b">
        <v>0</v>
      </c>
      <c r="S3773" s="42" t="str">
        <f t="shared" si="28"/>
        <v/>
      </c>
      <c r="T3773" s="42"/>
    </row>
    <row r="3774" ht="22.5" customHeight="1">
      <c r="B3774" s="42">
        <f t="shared" si="7"/>
        <v>3768</v>
      </c>
      <c r="C3774" s="31" t="s">
        <v>3822</v>
      </c>
      <c r="D3774" s="34" t="str">
        <f t="array" ref="D3774">IFNA(_xlfn.XLOOKUP(C3774,Table_Tarikan_Warkah[Nomor Sertipikat],Table_Tarikan_Warkah[Nomor Tiket]),"")</f>
        <v>K/1/280825/1</v>
      </c>
      <c r="E3774" s="36" t="str">
        <f t="array" ref="E3774">IFNA(_xlfn.XLOOKUP(D3774,Table_Tarikan_Warkah[Nomor Tiket],Table_Tarikan_Warkah[Tanggal diserahkan kepada Validator]),"")</f>
        <v/>
      </c>
      <c r="F3774" s="36" t="str">
        <f t="array" ref="F3774">IFNA(_xlfn.XLOOKUP(D3774,Table_Tarikan_Warkah[Nomor Tiket],Table_Tarikan_Warkah[Nama Petugas Warkah]),"")</f>
        <v/>
      </c>
      <c r="G3774" s="39" t="str">
        <f t="array" ref="G3774">IFNA(_xlfn.XLOOKUP(D3774,Table_Tarikan_Warkah[Nomor Tiket],Table_Tarikan_Warkah[Jenis Permohonan]),"")</f>
        <v>BN WARIS</v>
      </c>
      <c r="H3774" s="41" t="s">
        <v>2315</v>
      </c>
      <c r="I3774" s="49" t="s">
        <v>23</v>
      </c>
      <c r="J3774" s="36">
        <f t="shared" si="20"/>
        <v>45912.44232</v>
      </c>
      <c r="K3774" s="49" t="s">
        <v>2378</v>
      </c>
      <c r="L3774" s="49" t="s">
        <v>23</v>
      </c>
      <c r="M3774" s="36">
        <f t="shared" si="33"/>
        <v>45916.62488</v>
      </c>
      <c r="N3774" s="30" t="str">
        <f t="shared" si="34"/>
        <v>Selesai</v>
      </c>
      <c r="O3774" s="45">
        <f t="shared" si="23"/>
        <v>45916.62488</v>
      </c>
      <c r="P3774" s="47" t="b">
        <v>0</v>
      </c>
      <c r="Q3774" s="36" t="str">
        <f t="shared" si="35"/>
        <v/>
      </c>
      <c r="R3774" s="47" t="b">
        <v>0</v>
      </c>
      <c r="S3774" s="42" t="str">
        <f t="shared" si="28"/>
        <v/>
      </c>
      <c r="T3774" s="42"/>
    </row>
    <row r="3775" ht="22.5" customHeight="1">
      <c r="B3775" s="42">
        <f t="shared" si="7"/>
        <v>3769</v>
      </c>
      <c r="C3775" s="31" t="s">
        <v>3823</v>
      </c>
      <c r="D3775" s="34" t="str">
        <f t="array" ref="D3775">IFNA(_xlfn.XLOOKUP(C3775,Table_Tarikan_Warkah[Nomor Sertipikat],Table_Tarikan_Warkah[Nomor Tiket]),"")</f>
        <v>K/11/200825/1</v>
      </c>
      <c r="E3775" s="36" t="str">
        <f t="array" ref="E3775">IFNA(_xlfn.XLOOKUP(D3775,Table_Tarikan_Warkah[Nomor Tiket],Table_Tarikan_Warkah[Tanggal diserahkan kepada Validator]),"")</f>
        <v/>
      </c>
      <c r="F3775" s="36" t="str">
        <f t="array" ref="F3775">IFNA(_xlfn.XLOOKUP(D3775,Table_Tarikan_Warkah[Nomor Tiket],Table_Tarikan_Warkah[Nama Petugas Warkah]),"")</f>
        <v/>
      </c>
      <c r="G3775" s="39" t="str">
        <f t="array" ref="G3775">IFNA(_xlfn.XLOOKUP(D3775,Table_Tarikan_Warkah[Nomor Tiket],Table_Tarikan_Warkah[Jenis Permohonan]),"")</f>
        <v>ROYA LELANG</v>
      </c>
      <c r="H3775" s="41" t="s">
        <v>2315</v>
      </c>
      <c r="I3775" s="49" t="s">
        <v>23</v>
      </c>
      <c r="J3775" s="36">
        <f t="shared" si="20"/>
        <v>45912.44249</v>
      </c>
      <c r="K3775" s="49" t="s">
        <v>2378</v>
      </c>
      <c r="L3775" s="49" t="s">
        <v>23</v>
      </c>
      <c r="M3775" s="36">
        <f t="shared" si="33"/>
        <v>45916.62488</v>
      </c>
      <c r="N3775" s="30" t="str">
        <f t="shared" si="34"/>
        <v>Selesai</v>
      </c>
      <c r="O3775" s="45">
        <f t="shared" si="23"/>
        <v>45916.62488</v>
      </c>
      <c r="P3775" s="47" t="b">
        <v>0</v>
      </c>
      <c r="Q3775" s="36" t="str">
        <f t="shared" si="35"/>
        <v/>
      </c>
      <c r="R3775" s="47" t="b">
        <v>0</v>
      </c>
      <c r="S3775" s="42" t="str">
        <f t="shared" si="28"/>
        <v/>
      </c>
      <c r="T3775" s="42"/>
    </row>
    <row r="3776" ht="22.5" customHeight="1">
      <c r="B3776" s="42">
        <f t="shared" si="7"/>
        <v>3770</v>
      </c>
      <c r="C3776" s="31" t="s">
        <v>3824</v>
      </c>
      <c r="D3776" s="34" t="str">
        <f t="array" ref="D3776">IFNA(_xlfn.XLOOKUP(C3776,Table_Tarikan_Warkah[Nomor Sertipikat],Table_Tarikan_Warkah[Nomor Tiket]),"")</f>
        <v>K/6/190825/1</v>
      </c>
      <c r="E3776" s="36" t="str">
        <f t="array" ref="E3776">IFNA(_xlfn.XLOOKUP(D3776,Table_Tarikan_Warkah[Nomor Tiket],Table_Tarikan_Warkah[Tanggal diserahkan kepada Validator]),"")</f>
        <v/>
      </c>
      <c r="F3776" s="36" t="str">
        <f t="array" ref="F3776">IFNA(_xlfn.XLOOKUP(D3776,Table_Tarikan_Warkah[Nomor Tiket],Table_Tarikan_Warkah[Nama Petugas Warkah]),"")</f>
        <v/>
      </c>
      <c r="G3776" s="39" t="str">
        <f t="array" ref="G3776">IFNA(_xlfn.XLOOKUP(D3776,Table_Tarikan_Warkah[Nomor Tiket],Table_Tarikan_Warkah[Jenis Permohonan]),"")</f>
        <v>ROYA</v>
      </c>
      <c r="H3776" s="41" t="s">
        <v>2315</v>
      </c>
      <c r="I3776" s="49" t="s">
        <v>23</v>
      </c>
      <c r="J3776" s="36">
        <f t="shared" si="20"/>
        <v>45912.4428</v>
      </c>
      <c r="K3776" s="49" t="s">
        <v>2378</v>
      </c>
      <c r="L3776" s="49" t="s">
        <v>23</v>
      </c>
      <c r="M3776" s="36">
        <f t="shared" si="33"/>
        <v>45916.62488</v>
      </c>
      <c r="N3776" s="30" t="str">
        <f t="shared" si="34"/>
        <v>Selesai</v>
      </c>
      <c r="O3776" s="45">
        <f t="shared" si="23"/>
        <v>45916.62488</v>
      </c>
      <c r="P3776" s="47" t="b">
        <v>0</v>
      </c>
      <c r="Q3776" s="36" t="str">
        <f t="shared" si="35"/>
        <v/>
      </c>
      <c r="R3776" s="47" t="b">
        <v>0</v>
      </c>
      <c r="S3776" s="42" t="str">
        <f t="shared" si="28"/>
        <v/>
      </c>
      <c r="T3776" s="42"/>
    </row>
    <row r="3777" ht="22.5" customHeight="1">
      <c r="B3777" s="42">
        <f t="shared" si="7"/>
        <v>3771</v>
      </c>
      <c r="C3777" s="31" t="s">
        <v>3825</v>
      </c>
      <c r="D3777" s="34" t="str">
        <f t="array" ref="D3777">IFNA(_xlfn.XLOOKUP(C3777,Table_Tarikan_Warkah[Nomor Sertipikat],Table_Tarikan_Warkah[Nomor Tiket]),"")</f>
        <v>K/6/250825/2</v>
      </c>
      <c r="E3777" s="36" t="str">
        <f t="array" ref="E3777">IFNA(_xlfn.XLOOKUP(D3777,Table_Tarikan_Warkah[Nomor Tiket],Table_Tarikan_Warkah[Tanggal diserahkan kepada Validator]),"")</f>
        <v/>
      </c>
      <c r="F3777" s="36" t="str">
        <f t="array" ref="F3777">IFNA(_xlfn.XLOOKUP(D3777,Table_Tarikan_Warkah[Nomor Tiket],Table_Tarikan_Warkah[Nama Petugas Warkah]),"")</f>
        <v/>
      </c>
      <c r="G3777" s="39" t="str">
        <f t="array" ref="G3777">IFNA(_xlfn.XLOOKUP(D3777,Table_Tarikan_Warkah[Nomor Tiket],Table_Tarikan_Warkah[Jenis Permohonan]),"")</f>
        <v>BN Jual Beli	</v>
      </c>
      <c r="H3777" s="41" t="s">
        <v>920</v>
      </c>
      <c r="I3777" s="49" t="s">
        <v>23</v>
      </c>
      <c r="J3777" s="36">
        <f t="shared" si="20"/>
        <v>45912.44924</v>
      </c>
      <c r="K3777" s="49" t="s">
        <v>920</v>
      </c>
      <c r="L3777" s="49" t="s">
        <v>23</v>
      </c>
      <c r="M3777" s="36">
        <f t="shared" si="33"/>
        <v>45912.44924</v>
      </c>
      <c r="N3777" s="30" t="str">
        <f t="shared" si="34"/>
        <v>Selesai</v>
      </c>
      <c r="O3777" s="45">
        <f t="shared" si="23"/>
        <v>45912.44924</v>
      </c>
      <c r="P3777" s="47" t="b">
        <v>1</v>
      </c>
      <c r="Q3777" s="36">
        <f t="shared" si="35"/>
        <v>45912.44929</v>
      </c>
      <c r="R3777" s="47" t="b">
        <v>0</v>
      </c>
      <c r="S3777" s="42" t="str">
        <f t="shared" si="28"/>
        <v/>
      </c>
      <c r="T3777" s="42"/>
    </row>
    <row r="3778" ht="22.5" customHeight="1">
      <c r="B3778" s="42">
        <f t="shared" si="7"/>
        <v>3772</v>
      </c>
      <c r="C3778" s="31" t="s">
        <v>3788</v>
      </c>
      <c r="D3778" s="34" t="str">
        <f t="array" ref="D3778">IFNA(_xlfn.XLOOKUP(C3778,Table_Tarikan_Warkah[Nomor Sertipikat],Table_Tarikan_Warkah[Nomor Tiket]),"")</f>
        <v>K/33/040925/1</v>
      </c>
      <c r="E3778" s="36">
        <f t="array" ref="E3778">IFNA(_xlfn.XLOOKUP(D3778,Table_Tarikan_Warkah[Nomor Tiket],Table_Tarikan_Warkah[Tanggal diserahkan kepada Validator]),"")</f>
        <v>45996.58963</v>
      </c>
      <c r="F3778" s="36" t="str">
        <f t="array" ref="F3778">IFNA(_xlfn.XLOOKUP(D3778,Table_Tarikan_Warkah[Nomor Tiket],Table_Tarikan_Warkah[Nama Petugas Warkah]),"")</f>
        <v>Berry</v>
      </c>
      <c r="G3778" s="39" t="str">
        <f t="array" ref="G3778">IFNA(_xlfn.XLOOKUP(D3778,Table_Tarikan_Warkah[Nomor Tiket],Table_Tarikan_Warkah[Jenis Permohonan]),"")</f>
        <v>BN Waris	</v>
      </c>
      <c r="H3778" s="41" t="s">
        <v>920</v>
      </c>
      <c r="I3778" s="49" t="s">
        <v>23</v>
      </c>
      <c r="J3778" s="36">
        <f t="shared" si="20"/>
        <v>45912.44942</v>
      </c>
      <c r="K3778" s="49" t="s">
        <v>920</v>
      </c>
      <c r="L3778" s="49" t="s">
        <v>23</v>
      </c>
      <c r="M3778" s="36">
        <f t="shared" si="33"/>
        <v>45912.44943</v>
      </c>
      <c r="N3778" s="30" t="str">
        <f t="shared" si="34"/>
        <v>Selesai</v>
      </c>
      <c r="O3778" s="45">
        <f t="shared" si="23"/>
        <v>45912.44943</v>
      </c>
      <c r="P3778" s="47" t="b">
        <v>1</v>
      </c>
      <c r="Q3778" s="36">
        <f t="shared" si="35"/>
        <v>45912.44946</v>
      </c>
      <c r="R3778" s="47" t="b">
        <v>0</v>
      </c>
      <c r="S3778" s="42" t="str">
        <f t="shared" si="28"/>
        <v/>
      </c>
      <c r="T3778" s="42"/>
    </row>
    <row r="3779" ht="22.5" customHeight="1">
      <c r="B3779" s="42">
        <f t="shared" si="7"/>
        <v>3773</v>
      </c>
      <c r="C3779" s="31" t="s">
        <v>3826</v>
      </c>
      <c r="D3779" s="34" t="str">
        <f t="array" ref="D3779">IFNA(_xlfn.XLOOKUP(C3779,Table_Tarikan_Warkah[Nomor Sertipikat],Table_Tarikan_Warkah[Nomor Tiket]),"")</f>
        <v>K/12/190825/1</v>
      </c>
      <c r="E3779" s="36" t="str">
        <f t="array" ref="E3779">IFNA(_xlfn.XLOOKUP(D3779,Table_Tarikan_Warkah[Nomor Tiket],Table_Tarikan_Warkah[Tanggal diserahkan kepada Validator]),"")</f>
        <v/>
      </c>
      <c r="F3779" s="36" t="str">
        <f t="array" ref="F3779">IFNA(_xlfn.XLOOKUP(D3779,Table_Tarikan_Warkah[Nomor Tiket],Table_Tarikan_Warkah[Nama Petugas Warkah]),"")</f>
        <v/>
      </c>
      <c r="G3779" s="39" t="str">
        <f t="array" ref="G3779">IFNA(_xlfn.XLOOKUP(D3779,Table_Tarikan_Warkah[Nomor Tiket],Table_Tarikan_Warkah[Jenis Permohonan]),"")</f>
        <v>BN JUAL BELI</v>
      </c>
      <c r="H3779" s="41" t="s">
        <v>920</v>
      </c>
      <c r="I3779" s="49" t="s">
        <v>23</v>
      </c>
      <c r="J3779" s="36">
        <f t="shared" si="20"/>
        <v>45912.44962</v>
      </c>
      <c r="K3779" s="49" t="s">
        <v>920</v>
      </c>
      <c r="L3779" s="49" t="s">
        <v>23</v>
      </c>
      <c r="M3779" s="36">
        <f t="shared" si="33"/>
        <v>45912.4497</v>
      </c>
      <c r="N3779" s="30" t="str">
        <f t="shared" si="34"/>
        <v>Selesai</v>
      </c>
      <c r="O3779" s="45">
        <f t="shared" si="23"/>
        <v>45912.4497</v>
      </c>
      <c r="P3779" s="47" t="b">
        <v>1</v>
      </c>
      <c r="Q3779" s="36">
        <f t="shared" si="35"/>
        <v>45912.4497</v>
      </c>
      <c r="R3779" s="47" t="b">
        <v>0</v>
      </c>
      <c r="S3779" s="42" t="str">
        <f t="shared" si="28"/>
        <v/>
      </c>
      <c r="T3779" s="42"/>
    </row>
    <row r="3780" ht="22.5" customHeight="1">
      <c r="B3780" s="42">
        <f t="shared" si="7"/>
        <v>3774</v>
      </c>
      <c r="C3780" s="31" t="s">
        <v>3827</v>
      </c>
      <c r="D3780" s="34" t="str">
        <f t="array" ref="D3780">IFNA(_xlfn.XLOOKUP(C3780,Table_Tarikan_Warkah[Nomor Sertipikat],Table_Tarikan_Warkah[Nomor Tiket]),"")</f>
        <v>L/2/280825/1</v>
      </c>
      <c r="E3780" s="36" t="str">
        <f t="array" ref="E3780">IFNA(_xlfn.XLOOKUP(D3780,Table_Tarikan_Warkah[Nomor Tiket],Table_Tarikan_Warkah[Tanggal diserahkan kepada Validator]),"")</f>
        <v/>
      </c>
      <c r="F3780" s="36" t="str">
        <f t="array" ref="F3780">IFNA(_xlfn.XLOOKUP(D3780,Table_Tarikan_Warkah[Nomor Tiket],Table_Tarikan_Warkah[Nama Petugas Warkah]),"")</f>
        <v/>
      </c>
      <c r="G3780" s="39" t="str">
        <f t="array" ref="G3780">IFNA(_xlfn.XLOOKUP(D3780,Table_Tarikan_Warkah[Nomor Tiket],Table_Tarikan_Warkah[Jenis Permohonan]),"")</f>
        <v>ROYA</v>
      </c>
      <c r="H3780" s="41" t="s">
        <v>2315</v>
      </c>
      <c r="I3780" s="49" t="s">
        <v>23</v>
      </c>
      <c r="J3780" s="36">
        <f t="shared" si="20"/>
        <v>45915.60729</v>
      </c>
      <c r="K3780" s="49" t="s">
        <v>2378</v>
      </c>
      <c r="L3780" s="49" t="s">
        <v>23</v>
      </c>
      <c r="M3780" s="36">
        <f t="shared" si="33"/>
        <v>45916.62488</v>
      </c>
      <c r="N3780" s="30" t="str">
        <f t="shared" si="34"/>
        <v>Selesai</v>
      </c>
      <c r="O3780" s="45">
        <f t="shared" si="23"/>
        <v>45916.62488</v>
      </c>
      <c r="P3780" s="47" t="b">
        <v>0</v>
      </c>
      <c r="Q3780" s="36" t="str">
        <f t="shared" si="35"/>
        <v/>
      </c>
      <c r="R3780" s="47" t="b">
        <v>0</v>
      </c>
      <c r="S3780" s="42" t="str">
        <f t="shared" si="28"/>
        <v/>
      </c>
      <c r="T3780" s="42"/>
    </row>
    <row r="3781" ht="22.5" customHeight="1">
      <c r="B3781" s="42">
        <f t="shared" si="7"/>
        <v>3775</v>
      </c>
      <c r="C3781" s="31" t="s">
        <v>3828</v>
      </c>
      <c r="D3781" s="34" t="str">
        <f t="array" ref="D3781">IFNA(_xlfn.XLOOKUP(C3781,Table_Tarikan_Warkah[Nomor Sertipikat],Table_Tarikan_Warkah[Nomor Tiket]),"")</f>
        <v>L/18/250825/1</v>
      </c>
      <c r="E3781" s="36" t="str">
        <f t="array" ref="E3781">IFNA(_xlfn.XLOOKUP(D3781,Table_Tarikan_Warkah[Nomor Tiket],Table_Tarikan_Warkah[Tanggal diserahkan kepada Validator]),"")</f>
        <v/>
      </c>
      <c r="F3781" s="36" t="str">
        <f t="array" ref="F3781">IFNA(_xlfn.XLOOKUP(D3781,Table_Tarikan_Warkah[Nomor Tiket],Table_Tarikan_Warkah[Nama Petugas Warkah]),"")</f>
        <v/>
      </c>
      <c r="G3781" s="39" t="str">
        <f t="array" ref="G3781">IFNA(_xlfn.XLOOKUP(D3781,Table_Tarikan_Warkah[Nomor Tiket],Table_Tarikan_Warkah[Jenis Permohonan]),"")</f>
        <v>ROYA</v>
      </c>
      <c r="H3781" s="41" t="s">
        <v>2315</v>
      </c>
      <c r="I3781" s="49" t="s">
        <v>23</v>
      </c>
      <c r="J3781" s="36">
        <f t="shared" si="20"/>
        <v>45915.60733</v>
      </c>
      <c r="K3781" s="49" t="s">
        <v>2378</v>
      </c>
      <c r="L3781" s="49" t="s">
        <v>23</v>
      </c>
      <c r="M3781" s="36">
        <f t="shared" si="33"/>
        <v>45916.62801</v>
      </c>
      <c r="N3781" s="30" t="str">
        <f t="shared" si="34"/>
        <v>Selesai</v>
      </c>
      <c r="O3781" s="45">
        <f t="shared" si="23"/>
        <v>45916.62801</v>
      </c>
      <c r="P3781" s="47" t="b">
        <v>0</v>
      </c>
      <c r="Q3781" s="36" t="str">
        <f t="shared" si="35"/>
        <v/>
      </c>
      <c r="R3781" s="47" t="b">
        <v>0</v>
      </c>
      <c r="S3781" s="42" t="str">
        <f t="shared" si="28"/>
        <v/>
      </c>
      <c r="T3781" s="42"/>
    </row>
    <row r="3782" ht="22.5" customHeight="1">
      <c r="B3782" s="42">
        <f t="shared" si="7"/>
        <v>3776</v>
      </c>
      <c r="C3782" s="31" t="s">
        <v>3829</v>
      </c>
      <c r="D3782" s="34" t="str">
        <f t="array" ref="D3782">IFNA(_xlfn.XLOOKUP(C3782,Table_Tarikan_Warkah[Nomor Sertipikat],Table_Tarikan_Warkah[Nomor Tiket]),"")</f>
        <v>K/16/110925/1</v>
      </c>
      <c r="E3782" s="36" t="str">
        <f t="array" ref="E3782">IFNA(_xlfn.XLOOKUP(D3782,Table_Tarikan_Warkah[Nomor Tiket],Table_Tarikan_Warkah[Tanggal diserahkan kepada Validator]),"")</f>
        <v/>
      </c>
      <c r="F3782" s="36" t="str">
        <f t="array" ref="F3782">IFNA(_xlfn.XLOOKUP(D3782,Table_Tarikan_Warkah[Nomor Tiket],Table_Tarikan_Warkah[Nama Petugas Warkah]),"")</f>
        <v/>
      </c>
      <c r="G3782" s="39" t="str">
        <f t="array" ref="G3782">IFNA(_xlfn.XLOOKUP(D3782,Table_Tarikan_Warkah[Nomor Tiket],Table_Tarikan_Warkah[Jenis Permohonan]),"")</f>
        <v>ROYA</v>
      </c>
      <c r="H3782" s="41" t="s">
        <v>2315</v>
      </c>
      <c r="I3782" s="49" t="s">
        <v>23</v>
      </c>
      <c r="J3782" s="36">
        <f t="shared" si="20"/>
        <v>45915.60746</v>
      </c>
      <c r="K3782" s="49" t="s">
        <v>2378</v>
      </c>
      <c r="L3782" s="49" t="s">
        <v>23</v>
      </c>
      <c r="M3782" s="36">
        <f t="shared" si="33"/>
        <v>45916.63619</v>
      </c>
      <c r="N3782" s="30" t="str">
        <f t="shared" si="34"/>
        <v>Selesai</v>
      </c>
      <c r="O3782" s="45">
        <f t="shared" si="23"/>
        <v>45916.63619</v>
      </c>
      <c r="P3782" s="47" t="b">
        <v>0</v>
      </c>
      <c r="Q3782" s="36" t="str">
        <f t="shared" si="35"/>
        <v/>
      </c>
      <c r="R3782" s="47" t="b">
        <v>0</v>
      </c>
      <c r="S3782" s="42" t="str">
        <f t="shared" si="28"/>
        <v/>
      </c>
      <c r="T3782" s="42"/>
    </row>
    <row r="3783" ht="22.5" customHeight="1">
      <c r="B3783" s="42">
        <f t="shared" si="7"/>
        <v>3777</v>
      </c>
      <c r="C3783" s="31" t="s">
        <v>3830</v>
      </c>
      <c r="D3783" s="34" t="str">
        <f t="array" ref="D3783">IFNA(_xlfn.XLOOKUP(C3783,Table_Tarikan_Warkah[Nomor Sertipikat],Table_Tarikan_Warkah[Nomor Tiket]),"")</f>
        <v>K/28/100925/3</v>
      </c>
      <c r="E3783" s="36">
        <f t="array" ref="E3783">IFNA(_xlfn.XLOOKUP(D3783,Table_Tarikan_Warkah[Nomor Tiket],Table_Tarikan_Warkah[Tanggal diserahkan kepada Validator]),"")</f>
        <v>45943.69614</v>
      </c>
      <c r="F3783" s="36" t="str">
        <f t="array" ref="F3783">IFNA(_xlfn.XLOOKUP(D3783,Table_Tarikan_Warkah[Nomor Tiket],Table_Tarikan_Warkah[Nama Petugas Warkah]),"")</f>
        <v>David</v>
      </c>
      <c r="G3783" s="39" t="str">
        <f t="array" ref="G3783">IFNA(_xlfn.XLOOKUP(D3783,Table_Tarikan_Warkah[Nomor Tiket],Table_Tarikan_Warkah[Jenis Permohonan]),"")</f>
        <v>Roya	</v>
      </c>
      <c r="H3783" s="41" t="s">
        <v>2315</v>
      </c>
      <c r="I3783" s="49" t="s">
        <v>23</v>
      </c>
      <c r="J3783" s="36">
        <f t="shared" si="20"/>
        <v>45915.60761</v>
      </c>
      <c r="K3783" s="49" t="s">
        <v>2378</v>
      </c>
      <c r="L3783" s="49" t="s">
        <v>23</v>
      </c>
      <c r="M3783" s="36">
        <f t="shared" si="33"/>
        <v>45916.62488</v>
      </c>
      <c r="N3783" s="30" t="str">
        <f t="shared" si="34"/>
        <v>Selesai</v>
      </c>
      <c r="O3783" s="45">
        <f t="shared" si="23"/>
        <v>45916.62488</v>
      </c>
      <c r="P3783" s="47" t="b">
        <v>0</v>
      </c>
      <c r="Q3783" s="36" t="str">
        <f t="shared" si="35"/>
        <v/>
      </c>
      <c r="R3783" s="47" t="b">
        <v>0</v>
      </c>
      <c r="S3783" s="42" t="str">
        <f t="shared" si="28"/>
        <v/>
      </c>
      <c r="T3783" s="42"/>
    </row>
    <row r="3784" ht="22.5" customHeight="1">
      <c r="B3784" s="42">
        <f t="shared" si="7"/>
        <v>3778</v>
      </c>
      <c r="C3784" s="31" t="s">
        <v>3831</v>
      </c>
      <c r="D3784" s="34" t="str">
        <f t="array" ref="D3784">IFNA(_xlfn.XLOOKUP(C3784,Table_Tarikan_Warkah[Nomor Sertipikat],Table_Tarikan_Warkah[Nomor Tiket]),"")</f>
        <v>K/12/110925/2 / </v>
      </c>
      <c r="E3784" s="36" t="str">
        <f t="array" ref="E3784">IFNA(_xlfn.XLOOKUP(D3784,Table_Tarikan_Warkah[Nomor Tiket],Table_Tarikan_Warkah[Tanggal diserahkan kepada Validator]),"")</f>
        <v/>
      </c>
      <c r="F3784" s="36" t="str">
        <f t="array" ref="F3784">IFNA(_xlfn.XLOOKUP(D3784,Table_Tarikan_Warkah[Nomor Tiket],Table_Tarikan_Warkah[Nama Petugas Warkah]),"")</f>
        <v/>
      </c>
      <c r="G3784" s="39" t="str">
        <f t="array" ref="G3784">IFNA(_xlfn.XLOOKUP(D3784,Table_Tarikan_Warkah[Nomor Tiket],Table_Tarikan_Warkah[Jenis Permohonan]),"")</f>
        <v>Roya	</v>
      </c>
      <c r="H3784" s="41" t="s">
        <v>2315</v>
      </c>
      <c r="I3784" s="49" t="s">
        <v>23</v>
      </c>
      <c r="J3784" s="36">
        <f t="shared" si="20"/>
        <v>45915.60785</v>
      </c>
      <c r="K3784" s="49" t="s">
        <v>2378</v>
      </c>
      <c r="L3784" s="49" t="s">
        <v>23</v>
      </c>
      <c r="M3784" s="36">
        <f t="shared" si="33"/>
        <v>45916.62488</v>
      </c>
      <c r="N3784" s="30" t="str">
        <f t="shared" si="34"/>
        <v>Selesai</v>
      </c>
      <c r="O3784" s="45">
        <f t="shared" si="23"/>
        <v>45916.62488</v>
      </c>
      <c r="P3784" s="47" t="b">
        <v>0</v>
      </c>
      <c r="Q3784" s="36" t="str">
        <f t="shared" si="35"/>
        <v/>
      </c>
      <c r="R3784" s="47" t="b">
        <v>0</v>
      </c>
      <c r="S3784" s="42" t="str">
        <f t="shared" si="28"/>
        <v/>
      </c>
      <c r="T3784" s="42"/>
    </row>
    <row r="3785" ht="22.5" customHeight="1">
      <c r="B3785" s="42">
        <f t="shared" si="7"/>
        <v>3779</v>
      </c>
      <c r="C3785" s="31" t="s">
        <v>3832</v>
      </c>
      <c r="D3785" s="34" t="str">
        <f t="array" ref="D3785">IFNA(_xlfn.XLOOKUP(C3785,Table_Tarikan_Warkah[Nomor Sertipikat],Table_Tarikan_Warkah[Nomor Tiket]),"")</f>
        <v>L/2/120826/1</v>
      </c>
      <c r="E3785" s="36" t="str">
        <f t="array" ref="E3785">IFNA(_xlfn.XLOOKUP(D3785,Table_Tarikan_Warkah[Nomor Tiket],Table_Tarikan_Warkah[Tanggal diserahkan kepada Validator]),"")</f>
        <v/>
      </c>
      <c r="F3785" s="36" t="str">
        <f t="array" ref="F3785">IFNA(_xlfn.XLOOKUP(D3785,Table_Tarikan_Warkah[Nomor Tiket],Table_Tarikan_Warkah[Nama Petugas Warkah]),"")</f>
        <v/>
      </c>
      <c r="G3785" s="39" t="str">
        <f t="array" ref="G3785">IFNA(_xlfn.XLOOKUP(D3785,Table_Tarikan_Warkah[Nomor Tiket],Table_Tarikan_Warkah[Jenis Permohonan]),"")</f>
        <v>PTPGT PEMECAHAN</v>
      </c>
      <c r="H3785" s="41" t="s">
        <v>2315</v>
      </c>
      <c r="I3785" s="49" t="s">
        <v>23</v>
      </c>
      <c r="J3785" s="36">
        <f t="shared" si="20"/>
        <v>45915.60799</v>
      </c>
      <c r="K3785" s="49" t="s">
        <v>2378</v>
      </c>
      <c r="L3785" s="49" t="s">
        <v>23</v>
      </c>
      <c r="M3785" s="36">
        <f t="shared" si="33"/>
        <v>45916.62488</v>
      </c>
      <c r="N3785" s="30" t="str">
        <f t="shared" si="34"/>
        <v>Selesai</v>
      </c>
      <c r="O3785" s="45">
        <f t="shared" si="23"/>
        <v>45916.62488</v>
      </c>
      <c r="P3785" s="47" t="b">
        <v>0</v>
      </c>
      <c r="Q3785" s="36" t="str">
        <f t="shared" si="35"/>
        <v/>
      </c>
      <c r="R3785" s="47" t="b">
        <v>0</v>
      </c>
      <c r="S3785" s="42" t="str">
        <f t="shared" si="28"/>
        <v/>
      </c>
      <c r="T3785" s="42"/>
    </row>
    <row r="3786" ht="22.5" customHeight="1">
      <c r="B3786" s="42">
        <f t="shared" si="7"/>
        <v>3780</v>
      </c>
      <c r="C3786" s="31" t="s">
        <v>3833</v>
      </c>
      <c r="D3786" s="34" t="str">
        <f t="array" ref="D3786">IFNA(_xlfn.XLOOKUP(C3786,Table_Tarikan_Warkah[Nomor Sertipikat],Table_Tarikan_Warkah[Nomor Tiket]),"")</f>
        <v>L/22/090925/1</v>
      </c>
      <c r="E3786" s="36" t="str">
        <f t="array" ref="E3786">IFNA(_xlfn.XLOOKUP(D3786,Table_Tarikan_Warkah[Nomor Tiket],Table_Tarikan_Warkah[Tanggal diserahkan kepada Validator]),"")</f>
        <v/>
      </c>
      <c r="F3786" s="36" t="str">
        <f t="array" ref="F3786">IFNA(_xlfn.XLOOKUP(D3786,Table_Tarikan_Warkah[Nomor Tiket],Table_Tarikan_Warkah[Nama Petugas Warkah]),"")</f>
        <v/>
      </c>
      <c r="G3786" s="39" t="str">
        <f t="array" ref="G3786">IFNA(_xlfn.XLOOKUP(D3786,Table_Tarikan_Warkah[Nomor Tiket],Table_Tarikan_Warkah[Jenis Permohonan]),"")</f>
        <v>ROYA</v>
      </c>
      <c r="H3786" s="41" t="s">
        <v>2315</v>
      </c>
      <c r="I3786" s="49" t="s">
        <v>23</v>
      </c>
      <c r="J3786" s="36">
        <f t="shared" si="20"/>
        <v>45915.60812</v>
      </c>
      <c r="K3786" s="49" t="s">
        <v>2378</v>
      </c>
      <c r="L3786" s="49" t="s">
        <v>23</v>
      </c>
      <c r="M3786" s="36">
        <f t="shared" si="33"/>
        <v>45916.62488</v>
      </c>
      <c r="N3786" s="30" t="str">
        <f t="shared" si="34"/>
        <v>Selesai</v>
      </c>
      <c r="O3786" s="45">
        <f t="shared" si="23"/>
        <v>45916.62488</v>
      </c>
      <c r="P3786" s="47" t="b">
        <v>0</v>
      </c>
      <c r="Q3786" s="36" t="str">
        <f t="shared" si="35"/>
        <v/>
      </c>
      <c r="R3786" s="47" t="b">
        <v>0</v>
      </c>
      <c r="S3786" s="42" t="str">
        <f t="shared" si="28"/>
        <v/>
      </c>
      <c r="T3786" s="42"/>
    </row>
    <row r="3787" ht="22.5" customHeight="1">
      <c r="B3787" s="42">
        <f t="shared" si="7"/>
        <v>3781</v>
      </c>
      <c r="C3787" s="31" t="s">
        <v>3834</v>
      </c>
      <c r="D3787" s="34" t="str">
        <f t="array" ref="D3787">IFNA(_xlfn.XLOOKUP(C3787,Table_Tarikan_Warkah[Nomor Sertipikat],Table_Tarikan_Warkah[Nomor Tiket]),"")</f>
        <v>L/7/100925/1</v>
      </c>
      <c r="E3787" s="36" t="str">
        <f t="array" ref="E3787">IFNA(_xlfn.XLOOKUP(D3787,Table_Tarikan_Warkah[Nomor Tiket],Table_Tarikan_Warkah[Tanggal diserahkan kepada Validator]),"")</f>
        <v/>
      </c>
      <c r="F3787" s="36" t="str">
        <f t="array" ref="F3787">IFNA(_xlfn.XLOOKUP(D3787,Table_Tarikan_Warkah[Nomor Tiket],Table_Tarikan_Warkah[Nama Petugas Warkah]),"")</f>
        <v/>
      </c>
      <c r="G3787" s="39" t="str">
        <f t="array" ref="G3787">IFNA(_xlfn.XLOOKUP(D3787,Table_Tarikan_Warkah[Nomor Tiket],Table_Tarikan_Warkah[Jenis Permohonan]),"")</f>
        <v>ROYA</v>
      </c>
      <c r="H3787" s="41" t="s">
        <v>2315</v>
      </c>
      <c r="I3787" s="49" t="s">
        <v>23</v>
      </c>
      <c r="J3787" s="36">
        <f t="shared" si="20"/>
        <v>45915.60829</v>
      </c>
      <c r="K3787" s="49" t="s">
        <v>2378</v>
      </c>
      <c r="L3787" s="49" t="s">
        <v>23</v>
      </c>
      <c r="M3787" s="36">
        <f t="shared" si="33"/>
        <v>45916.62488</v>
      </c>
      <c r="N3787" s="30" t="str">
        <f t="shared" si="34"/>
        <v>Selesai</v>
      </c>
      <c r="O3787" s="45">
        <f t="shared" si="23"/>
        <v>45916.62488</v>
      </c>
      <c r="P3787" s="47" t="b">
        <v>0</v>
      </c>
      <c r="Q3787" s="36" t="str">
        <f t="shared" si="35"/>
        <v/>
      </c>
      <c r="R3787" s="47" t="b">
        <v>0</v>
      </c>
      <c r="S3787" s="42" t="str">
        <f t="shared" si="28"/>
        <v/>
      </c>
      <c r="T3787" s="42"/>
    </row>
    <row r="3788" ht="22.5" customHeight="1">
      <c r="B3788" s="42">
        <f t="shared" si="7"/>
        <v>3782</v>
      </c>
      <c r="C3788" s="31" t="s">
        <v>3835</v>
      </c>
      <c r="D3788" s="34" t="str">
        <f t="array" ref="D3788">IFNA(_xlfn.XLOOKUP(C3788,Table_Tarikan_Warkah[Nomor Sertipikat],Table_Tarikan_Warkah[Nomor Tiket]),"")</f>
        <v>L/17/110925/1</v>
      </c>
      <c r="E3788" s="36" t="str">
        <f t="array" ref="E3788">IFNA(_xlfn.XLOOKUP(D3788,Table_Tarikan_Warkah[Nomor Tiket],Table_Tarikan_Warkah[Tanggal diserahkan kepada Validator]),"")</f>
        <v/>
      </c>
      <c r="F3788" s="36" t="str">
        <f t="array" ref="F3788">IFNA(_xlfn.XLOOKUP(D3788,Table_Tarikan_Warkah[Nomor Tiket],Table_Tarikan_Warkah[Nama Petugas Warkah]),"")</f>
        <v/>
      </c>
      <c r="G3788" s="39" t="str">
        <f t="array" ref="G3788">IFNA(_xlfn.XLOOKUP(D3788,Table_Tarikan_Warkah[Nomor Tiket],Table_Tarikan_Warkah[Jenis Permohonan]),"")</f>
        <v>ROYA</v>
      </c>
      <c r="H3788" s="41" t="s">
        <v>2315</v>
      </c>
      <c r="I3788" s="49" t="s">
        <v>23</v>
      </c>
      <c r="J3788" s="36">
        <f t="shared" si="20"/>
        <v>45915.60844</v>
      </c>
      <c r="K3788" s="49" t="s">
        <v>2378</v>
      </c>
      <c r="L3788" s="49" t="s">
        <v>23</v>
      </c>
      <c r="M3788" s="36">
        <f t="shared" si="33"/>
        <v>45916.62488</v>
      </c>
      <c r="N3788" s="30" t="str">
        <f t="shared" si="34"/>
        <v>Selesai</v>
      </c>
      <c r="O3788" s="45">
        <f t="shared" si="23"/>
        <v>45916.62488</v>
      </c>
      <c r="P3788" s="47" t="b">
        <v>0</v>
      </c>
      <c r="Q3788" s="36" t="str">
        <f t="shared" si="35"/>
        <v/>
      </c>
      <c r="R3788" s="47" t="b">
        <v>0</v>
      </c>
      <c r="S3788" s="42" t="str">
        <f t="shared" si="28"/>
        <v/>
      </c>
      <c r="T3788" s="42"/>
    </row>
    <row r="3789" ht="22.5" customHeight="1">
      <c r="B3789" s="42">
        <f t="shared" si="7"/>
        <v>3783</v>
      </c>
      <c r="C3789" s="31" t="s">
        <v>3836</v>
      </c>
      <c r="D3789" s="34" t="str">
        <f t="array" ref="D3789">IFNA(_xlfn.XLOOKUP(C3789,Table_Tarikan_Warkah[Nomor Sertipikat],Table_Tarikan_Warkah[Nomor Tiket]),"")</f>
        <v>L/8/190825/1</v>
      </c>
      <c r="E3789" s="36" t="str">
        <f t="array" ref="E3789">IFNA(_xlfn.XLOOKUP(D3789,Table_Tarikan_Warkah[Nomor Tiket],Table_Tarikan_Warkah[Tanggal diserahkan kepada Validator]),"")</f>
        <v/>
      </c>
      <c r="F3789" s="36" t="str">
        <f t="array" ref="F3789">IFNA(_xlfn.XLOOKUP(D3789,Table_Tarikan_Warkah[Nomor Tiket],Table_Tarikan_Warkah[Nama Petugas Warkah]),"")</f>
        <v/>
      </c>
      <c r="G3789" s="39" t="str">
        <f t="array" ref="G3789">IFNA(_xlfn.XLOOKUP(D3789,Table_Tarikan_Warkah[Nomor Tiket],Table_Tarikan_Warkah[Jenis Permohonan]),"")</f>
        <v>ROYA</v>
      </c>
      <c r="H3789" s="41" t="s">
        <v>2315</v>
      </c>
      <c r="I3789" s="49" t="s">
        <v>23</v>
      </c>
      <c r="J3789" s="36">
        <f t="shared" si="20"/>
        <v>45915.6086</v>
      </c>
      <c r="K3789" s="49" t="s">
        <v>2378</v>
      </c>
      <c r="L3789" s="49" t="s">
        <v>23</v>
      </c>
      <c r="M3789" s="36">
        <f t="shared" si="33"/>
        <v>45916.62488</v>
      </c>
      <c r="N3789" s="30" t="str">
        <f t="shared" si="34"/>
        <v>Selesai</v>
      </c>
      <c r="O3789" s="45">
        <f t="shared" si="23"/>
        <v>45916.62488</v>
      </c>
      <c r="P3789" s="47" t="b">
        <v>0</v>
      </c>
      <c r="Q3789" s="36" t="str">
        <f t="shared" si="35"/>
        <v/>
      </c>
      <c r="R3789" s="47" t="b">
        <v>0</v>
      </c>
      <c r="S3789" s="42" t="str">
        <f t="shared" si="28"/>
        <v/>
      </c>
      <c r="T3789" s="42"/>
    </row>
    <row r="3790" ht="22.5" customHeight="1">
      <c r="B3790" s="42">
        <f t="shared" si="7"/>
        <v>3784</v>
      </c>
      <c r="C3790" s="31" t="s">
        <v>3837</v>
      </c>
      <c r="D3790" s="34" t="str">
        <f t="array" ref="D3790">IFNA(_xlfn.XLOOKUP(C3790,Table_Tarikan_Warkah[Nomor Sertipikat],Table_Tarikan_Warkah[Nomor Tiket]),"")</f>
        <v>L/15/110925/1</v>
      </c>
      <c r="E3790" s="36">
        <f t="array" ref="E3790">IFNA(_xlfn.XLOOKUP(D3790,Table_Tarikan_Warkah[Nomor Tiket],Table_Tarikan_Warkah[Tanggal diserahkan kepada Validator]),"")</f>
        <v>45943.69861</v>
      </c>
      <c r="F3790" s="36" t="str">
        <f t="array" ref="F3790">IFNA(_xlfn.XLOOKUP(D3790,Table_Tarikan_Warkah[Nomor Tiket],Table_Tarikan_Warkah[Nama Petugas Warkah]),"")</f>
        <v>David</v>
      </c>
      <c r="G3790" s="39" t="str">
        <f t="array" ref="G3790">IFNA(_xlfn.XLOOKUP(D3790,Table_Tarikan_Warkah[Nomor Tiket],Table_Tarikan_Warkah[Jenis Permohonan]),"")</f>
        <v>ROYA</v>
      </c>
      <c r="H3790" s="41" t="s">
        <v>2315</v>
      </c>
      <c r="I3790" s="49" t="s">
        <v>23</v>
      </c>
      <c r="J3790" s="36">
        <f t="shared" si="20"/>
        <v>45915.60871</v>
      </c>
      <c r="K3790" s="49" t="s">
        <v>2378</v>
      </c>
      <c r="L3790" s="49" t="s">
        <v>23</v>
      </c>
      <c r="M3790" s="36">
        <f t="shared" si="33"/>
        <v>45916.62488</v>
      </c>
      <c r="N3790" s="30" t="str">
        <f t="shared" si="34"/>
        <v>Selesai</v>
      </c>
      <c r="O3790" s="45">
        <f t="shared" si="23"/>
        <v>45916.62488</v>
      </c>
      <c r="P3790" s="47" t="b">
        <v>0</v>
      </c>
      <c r="Q3790" s="36" t="str">
        <f t="shared" si="35"/>
        <v/>
      </c>
      <c r="R3790" s="47" t="b">
        <v>0</v>
      </c>
      <c r="S3790" s="42" t="str">
        <f t="shared" si="28"/>
        <v/>
      </c>
      <c r="T3790" s="42"/>
    </row>
    <row r="3791" ht="22.5" customHeight="1">
      <c r="B3791" s="42">
        <f t="shared" si="7"/>
        <v>3785</v>
      </c>
      <c r="C3791" s="31" t="s">
        <v>3838</v>
      </c>
      <c r="D3791" s="34" t="str">
        <f t="array" ref="D3791">IFNA(_xlfn.XLOOKUP(C3791,Table_Tarikan_Warkah[Nomor Sertipikat],Table_Tarikan_Warkah[Nomor Tiket]),"")</f>
        <v>L/5/150825/1</v>
      </c>
      <c r="E3791" s="36">
        <f t="array" ref="E3791">IFNA(_xlfn.XLOOKUP(D3791,Table_Tarikan_Warkah[Nomor Tiket],Table_Tarikan_Warkah[Tanggal diserahkan kepada Validator]),"")</f>
        <v>45938.49307</v>
      </c>
      <c r="F3791" s="36" t="str">
        <f t="array" ref="F3791">IFNA(_xlfn.XLOOKUP(D3791,Table_Tarikan_Warkah[Nomor Tiket],Table_Tarikan_Warkah[Nama Petugas Warkah]),"")</f>
        <v>Berry</v>
      </c>
      <c r="G3791" s="39" t="str">
        <f t="array" ref="G3791">IFNA(_xlfn.XLOOKUP(D3791,Table_Tarikan_Warkah[Nomor Tiket],Table_Tarikan_Warkah[Jenis Permohonan]),"")</f>
        <v>ROYA </v>
      </c>
      <c r="H3791" s="41" t="s">
        <v>2315</v>
      </c>
      <c r="I3791" s="49" t="s">
        <v>23</v>
      </c>
      <c r="J3791" s="36">
        <f t="shared" si="20"/>
        <v>45915.6089</v>
      </c>
      <c r="K3791" s="49" t="s">
        <v>2378</v>
      </c>
      <c r="L3791" s="49" t="s">
        <v>23</v>
      </c>
      <c r="M3791" s="36">
        <f t="shared" si="33"/>
        <v>45916.62488</v>
      </c>
      <c r="N3791" s="30" t="str">
        <f t="shared" si="34"/>
        <v>Selesai</v>
      </c>
      <c r="O3791" s="45">
        <f t="shared" si="23"/>
        <v>45916.62488</v>
      </c>
      <c r="P3791" s="47" t="b">
        <v>0</v>
      </c>
      <c r="Q3791" s="36" t="str">
        <f t="shared" si="35"/>
        <v/>
      </c>
      <c r="R3791" s="47" t="b">
        <v>0</v>
      </c>
      <c r="S3791" s="42" t="str">
        <f t="shared" si="28"/>
        <v/>
      </c>
      <c r="T3791" s="42"/>
    </row>
    <row r="3792" ht="22.5" customHeight="1">
      <c r="B3792" s="42">
        <f t="shared" si="7"/>
        <v>3786</v>
      </c>
      <c r="C3792" s="31" t="s">
        <v>3839</v>
      </c>
      <c r="D3792" s="34" t="str">
        <f t="array" ref="D3792">IFNA(_xlfn.XLOOKUP(C3792,Table_Tarikan_Warkah[Nomor Sertipikat],Table_Tarikan_Warkah[Nomor Tiket]),"")</f>
        <v>K/9/110825/3</v>
      </c>
      <c r="E3792" s="36" t="str">
        <f t="array" ref="E3792">IFNA(_xlfn.XLOOKUP(D3792,Table_Tarikan_Warkah[Nomor Tiket],Table_Tarikan_Warkah[Tanggal diserahkan kepada Validator]),"")</f>
        <v/>
      </c>
      <c r="F3792" s="36" t="str">
        <f t="array" ref="F3792">IFNA(_xlfn.XLOOKUP(D3792,Table_Tarikan_Warkah[Nomor Tiket],Table_Tarikan_Warkah[Nama Petugas Warkah]),"")</f>
        <v/>
      </c>
      <c r="G3792" s="39" t="str">
        <f t="array" ref="G3792">IFNA(_xlfn.XLOOKUP(D3792,Table_Tarikan_Warkah[Nomor Tiket],Table_Tarikan_Warkah[Jenis Permohonan]),"")</f>
        <v>ROYA</v>
      </c>
      <c r="H3792" s="41" t="s">
        <v>2315</v>
      </c>
      <c r="I3792" s="49" t="s">
        <v>23</v>
      </c>
      <c r="J3792" s="36">
        <f t="shared" si="20"/>
        <v>45915.60907</v>
      </c>
      <c r="K3792" s="49" t="s">
        <v>2378</v>
      </c>
      <c r="L3792" s="49" t="s">
        <v>23</v>
      </c>
      <c r="M3792" s="36">
        <f t="shared" si="33"/>
        <v>45916.62488</v>
      </c>
      <c r="N3792" s="30" t="str">
        <f t="shared" si="34"/>
        <v>Selesai</v>
      </c>
      <c r="O3792" s="45">
        <f t="shared" si="23"/>
        <v>45916.62488</v>
      </c>
      <c r="P3792" s="47" t="b">
        <v>0</v>
      </c>
      <c r="Q3792" s="36" t="str">
        <f t="shared" si="35"/>
        <v/>
      </c>
      <c r="R3792" s="47" t="b">
        <v>0</v>
      </c>
      <c r="S3792" s="42" t="str">
        <f t="shared" si="28"/>
        <v/>
      </c>
      <c r="T3792" s="42"/>
    </row>
    <row r="3793" ht="22.5" customHeight="1">
      <c r="B3793" s="42">
        <f t="shared" si="7"/>
        <v>3787</v>
      </c>
      <c r="C3793" s="31" t="s">
        <v>3840</v>
      </c>
      <c r="D3793" s="34" t="str">
        <f t="array" ref="D3793">IFNA(_xlfn.XLOOKUP(C3793,Table_Tarikan_Warkah[Nomor Sertipikat],Table_Tarikan_Warkah[Nomor Tiket]),"")</f>
        <v>K/64/220825/2</v>
      </c>
      <c r="E3793" s="36">
        <f t="array" ref="E3793">IFNA(_xlfn.XLOOKUP(D3793,Table_Tarikan_Warkah[Nomor Tiket],Table_Tarikan_Warkah[Tanggal diserahkan kepada Validator]),"")</f>
        <v>45926.54861</v>
      </c>
      <c r="F3793" s="36" t="str">
        <f t="array" ref="F3793">IFNA(_xlfn.XLOOKUP(D3793,Table_Tarikan_Warkah[Nomor Tiket],Table_Tarikan_Warkah[Nama Petugas Warkah]),"")</f>
        <v>Berry</v>
      </c>
      <c r="G3793" s="39" t="str">
        <f t="array" ref="G3793">IFNA(_xlfn.XLOOKUP(D3793,Table_Tarikan_Warkah[Nomor Tiket],Table_Tarikan_Warkah[Jenis Permohonan]),"")</f>
        <v>BN Jual beli	</v>
      </c>
      <c r="H3793" s="41" t="s">
        <v>920</v>
      </c>
      <c r="I3793" s="49" t="s">
        <v>23</v>
      </c>
      <c r="J3793" s="36">
        <f t="shared" si="20"/>
        <v>45917.43591</v>
      </c>
      <c r="K3793" s="49" t="s">
        <v>920</v>
      </c>
      <c r="L3793" s="49" t="s">
        <v>23</v>
      </c>
      <c r="M3793" s="36">
        <f t="shared" si="33"/>
        <v>45917.43593</v>
      </c>
      <c r="N3793" s="30" t="str">
        <f t="shared" si="34"/>
        <v>Selesai</v>
      </c>
      <c r="O3793" s="45">
        <f t="shared" si="23"/>
        <v>45917.43593</v>
      </c>
      <c r="P3793" s="47" t="b">
        <v>1</v>
      </c>
      <c r="Q3793" s="36">
        <f t="shared" si="35"/>
        <v>45917.43597</v>
      </c>
      <c r="R3793" s="47" t="b">
        <v>0</v>
      </c>
      <c r="S3793" s="42" t="str">
        <f t="shared" si="28"/>
        <v/>
      </c>
      <c r="T3793" s="42"/>
    </row>
    <row r="3794" ht="22.5" customHeight="1">
      <c r="B3794" s="42">
        <f t="shared" si="7"/>
        <v>3788</v>
      </c>
      <c r="C3794" s="31" t="s">
        <v>3811</v>
      </c>
      <c r="D3794" s="34" t="str">
        <f t="array" ref="D3794">IFNA(_xlfn.XLOOKUP(C3794,Table_Tarikan_Warkah[Nomor Sertipikat],Table_Tarikan_Warkah[Nomor Tiket]),"")</f>
        <v>K/37/150825/1</v>
      </c>
      <c r="E3794" s="36" t="str">
        <f t="array" ref="E3794">IFNA(_xlfn.XLOOKUP(D3794,Table_Tarikan_Warkah[Nomor Tiket],Table_Tarikan_Warkah[Tanggal diserahkan kepada Validator]),"")</f>
        <v/>
      </c>
      <c r="F3794" s="36" t="str">
        <f t="array" ref="F3794">IFNA(_xlfn.XLOOKUP(D3794,Table_Tarikan_Warkah[Nomor Tiket],Table_Tarikan_Warkah[Nama Petugas Warkah]),"")</f>
        <v/>
      </c>
      <c r="G3794" s="39" t="str">
        <f t="array" ref="G3794">IFNA(_xlfn.XLOOKUP(D3794,Table_Tarikan_Warkah[Nomor Tiket],Table_Tarikan_Warkah[Jenis Permohonan]),"")</f>
        <v>BN Waris</v>
      </c>
      <c r="H3794" s="41" t="s">
        <v>920</v>
      </c>
      <c r="I3794" s="49" t="s">
        <v>23</v>
      </c>
      <c r="J3794" s="36">
        <f t="shared" si="20"/>
        <v>45917.43647</v>
      </c>
      <c r="K3794" s="49" t="s">
        <v>920</v>
      </c>
      <c r="L3794" s="49" t="s">
        <v>23</v>
      </c>
      <c r="M3794" s="36">
        <f t="shared" si="33"/>
        <v>45917.43656</v>
      </c>
      <c r="N3794" s="30" t="str">
        <f t="shared" si="34"/>
        <v>Selesai</v>
      </c>
      <c r="O3794" s="45">
        <f t="shared" si="23"/>
        <v>45917.43656</v>
      </c>
      <c r="P3794" s="47" t="b">
        <v>1</v>
      </c>
      <c r="Q3794" s="36">
        <f t="shared" si="35"/>
        <v>45917.43656</v>
      </c>
      <c r="R3794" s="47" t="b">
        <v>0</v>
      </c>
      <c r="S3794" s="42" t="str">
        <f t="shared" si="28"/>
        <v/>
      </c>
      <c r="T3794" s="42"/>
    </row>
    <row r="3795" ht="22.5" customHeight="1">
      <c r="B3795" s="42">
        <f t="shared" si="7"/>
        <v>3789</v>
      </c>
      <c r="C3795" s="31" t="s">
        <v>3841</v>
      </c>
      <c r="D3795" s="34" t="str">
        <f t="array" ref="D3795">IFNA(_xlfn.XLOOKUP(C3795,Table_Tarikan_Warkah[Nomor Sertipikat],Table_Tarikan_Warkah[Nomor Tiket]),"")</f>
        <v>K/30/200825/1</v>
      </c>
      <c r="E3795" s="36" t="str">
        <f t="array" ref="E3795">IFNA(_xlfn.XLOOKUP(D3795,Table_Tarikan_Warkah[Nomor Tiket],Table_Tarikan_Warkah[Tanggal diserahkan kepada Validator]),"")</f>
        <v/>
      </c>
      <c r="F3795" s="36" t="str">
        <f t="array" ref="F3795">IFNA(_xlfn.XLOOKUP(D3795,Table_Tarikan_Warkah[Nomor Tiket],Table_Tarikan_Warkah[Nama Petugas Warkah]),"")</f>
        <v/>
      </c>
      <c r="G3795" s="39" t="str">
        <f t="array" ref="G3795">IFNA(_xlfn.XLOOKUP(D3795,Table_Tarikan_Warkah[Nomor Tiket],Table_Tarikan_Warkah[Jenis Permohonan]),"")</f>
        <v>BN Jual Beli</v>
      </c>
      <c r="H3795" s="41" t="s">
        <v>920</v>
      </c>
      <c r="I3795" s="49" t="s">
        <v>23</v>
      </c>
      <c r="J3795" s="36">
        <f t="shared" si="20"/>
        <v>45917.43743</v>
      </c>
      <c r="K3795" s="49" t="s">
        <v>920</v>
      </c>
      <c r="L3795" s="49" t="s">
        <v>23</v>
      </c>
      <c r="M3795" s="36">
        <f t="shared" si="33"/>
        <v>45917.43748</v>
      </c>
      <c r="N3795" s="30" t="str">
        <f t="shared" si="34"/>
        <v>Selesai</v>
      </c>
      <c r="O3795" s="45">
        <f t="shared" si="23"/>
        <v>45917.43748</v>
      </c>
      <c r="P3795" s="47" t="b">
        <v>1</v>
      </c>
      <c r="Q3795" s="36">
        <f t="shared" si="35"/>
        <v>45917.43749</v>
      </c>
      <c r="R3795" s="47" t="b">
        <v>0</v>
      </c>
      <c r="S3795" s="42" t="str">
        <f t="shared" si="28"/>
        <v/>
      </c>
      <c r="T3795" s="42"/>
    </row>
    <row r="3796" ht="22.5" customHeight="1">
      <c r="B3796" s="42">
        <f t="shared" si="7"/>
        <v>3790</v>
      </c>
      <c r="C3796" s="31" t="s">
        <v>3842</v>
      </c>
      <c r="D3796" s="34" t="str">
        <f t="array" ref="D3796">IFNA(_xlfn.XLOOKUP(C3796,Table_Tarikan_Warkah[Nomor Sertipikat],Table_Tarikan_Warkah[Nomor Tiket]),"")</f>
        <v>K/38/200825/1</v>
      </c>
      <c r="E3796" s="36" t="str">
        <f t="array" ref="E3796">IFNA(_xlfn.XLOOKUP(D3796,Table_Tarikan_Warkah[Nomor Tiket],Table_Tarikan_Warkah[Tanggal diserahkan kepada Validator]),"")</f>
        <v/>
      </c>
      <c r="F3796" s="36" t="str">
        <f t="array" ref="F3796">IFNA(_xlfn.XLOOKUP(D3796,Table_Tarikan_Warkah[Nomor Tiket],Table_Tarikan_Warkah[Nama Petugas Warkah]),"")</f>
        <v/>
      </c>
      <c r="G3796" s="39" t="str">
        <f t="array" ref="G3796">IFNA(_xlfn.XLOOKUP(D3796,Table_Tarikan_Warkah[Nomor Tiket],Table_Tarikan_Warkah[Jenis Permohonan]),"")</f>
        <v>BN JUAL BELI</v>
      </c>
      <c r="H3796" s="41" t="s">
        <v>920</v>
      </c>
      <c r="I3796" s="49" t="s">
        <v>23</v>
      </c>
      <c r="J3796" s="36">
        <f t="shared" si="20"/>
        <v>45917.43791</v>
      </c>
      <c r="K3796" s="49" t="s">
        <v>920</v>
      </c>
      <c r="L3796" s="49" t="s">
        <v>23</v>
      </c>
      <c r="M3796" s="36">
        <f t="shared" si="33"/>
        <v>45917.43794</v>
      </c>
      <c r="N3796" s="30" t="str">
        <f t="shared" si="34"/>
        <v>Selesai</v>
      </c>
      <c r="O3796" s="45">
        <f t="shared" si="23"/>
        <v>45917.43794</v>
      </c>
      <c r="P3796" s="47" t="b">
        <v>1</v>
      </c>
      <c r="Q3796" s="36">
        <f t="shared" si="35"/>
        <v>45917.43798</v>
      </c>
      <c r="R3796" s="47" t="b">
        <v>0</v>
      </c>
      <c r="S3796" s="42" t="str">
        <f t="shared" si="28"/>
        <v/>
      </c>
      <c r="T3796" s="42"/>
    </row>
    <row r="3797" ht="22.5" customHeight="1">
      <c r="B3797" s="42">
        <f t="shared" si="7"/>
        <v>3791</v>
      </c>
      <c r="C3797" s="31" t="s">
        <v>3657</v>
      </c>
      <c r="D3797" s="34" t="str">
        <f t="array" ref="D3797">IFNA(_xlfn.XLOOKUP(C3797,Table_Tarikan_Warkah[Nomor Sertipikat],Table_Tarikan_Warkah[Nomor Tiket]),"")</f>
        <v>K/6/260825/1</v>
      </c>
      <c r="E3797" s="36" t="str">
        <f t="array" ref="E3797">IFNA(_xlfn.XLOOKUP(D3797,Table_Tarikan_Warkah[Nomor Tiket],Table_Tarikan_Warkah[Tanggal diserahkan kepada Validator]),"")</f>
        <v/>
      </c>
      <c r="F3797" s="36" t="str">
        <f t="array" ref="F3797">IFNA(_xlfn.XLOOKUP(D3797,Table_Tarikan_Warkah[Nomor Tiket],Table_Tarikan_Warkah[Nama Petugas Warkah]),"")</f>
        <v/>
      </c>
      <c r="G3797" s="39" t="str">
        <f t="array" ref="G3797">IFNA(_xlfn.XLOOKUP(D3797,Table_Tarikan_Warkah[Nomor Tiket],Table_Tarikan_Warkah[Jenis Permohonan]),"")</f>
        <v>BN JUAL BELI</v>
      </c>
      <c r="H3797" s="41" t="s">
        <v>920</v>
      </c>
      <c r="I3797" s="49" t="s">
        <v>23</v>
      </c>
      <c r="J3797" s="36">
        <f t="shared" si="20"/>
        <v>45917.43838</v>
      </c>
      <c r="K3797" s="49" t="s">
        <v>920</v>
      </c>
      <c r="L3797" s="49" t="s">
        <v>23</v>
      </c>
      <c r="M3797" s="36">
        <f t="shared" si="33"/>
        <v>45917.43838</v>
      </c>
      <c r="N3797" s="30" t="str">
        <f t="shared" si="34"/>
        <v>Selesai</v>
      </c>
      <c r="O3797" s="45">
        <f t="shared" si="23"/>
        <v>45917.43838</v>
      </c>
      <c r="P3797" s="47" t="b">
        <v>1</v>
      </c>
      <c r="Q3797" s="36">
        <f t="shared" si="35"/>
        <v>45917.43841</v>
      </c>
      <c r="R3797" s="47" t="b">
        <v>0</v>
      </c>
      <c r="S3797" s="42" t="str">
        <f t="shared" si="28"/>
        <v/>
      </c>
      <c r="T3797" s="42"/>
    </row>
    <row r="3798" ht="22.5" customHeight="1">
      <c r="B3798" s="42">
        <f t="shared" si="7"/>
        <v>3792</v>
      </c>
      <c r="C3798" s="31" t="s">
        <v>3843</v>
      </c>
      <c r="D3798" s="34" t="str">
        <f t="array" ref="D3798">IFNA(_xlfn.XLOOKUP(C3798,Table_Tarikan_Warkah[Nomor Sertipikat],Table_Tarikan_Warkah[Nomor Tiket]),"")</f>
        <v>K/8/040928/1</v>
      </c>
      <c r="E3798" s="36" t="str">
        <f t="array" ref="E3798">IFNA(_xlfn.XLOOKUP(D3798,Table_Tarikan_Warkah[Nomor Tiket],Table_Tarikan_Warkah[Tanggal diserahkan kepada Validator]),"")</f>
        <v/>
      </c>
      <c r="F3798" s="36" t="str">
        <f t="array" ref="F3798">IFNA(_xlfn.XLOOKUP(D3798,Table_Tarikan_Warkah[Nomor Tiket],Table_Tarikan_Warkah[Nama Petugas Warkah]),"")</f>
        <v/>
      </c>
      <c r="G3798" s="39" t="str">
        <f t="array" ref="G3798">IFNA(_xlfn.XLOOKUP(D3798,Table_Tarikan_Warkah[Nomor Tiket],Table_Tarikan_Warkah[Jenis Permohonan]),"")</f>
        <v>BN JUAL BELI EL</v>
      </c>
      <c r="H3798" s="41" t="s">
        <v>920</v>
      </c>
      <c r="I3798" s="49" t="s">
        <v>23</v>
      </c>
      <c r="J3798" s="36">
        <f t="shared" si="20"/>
        <v>45917.43938</v>
      </c>
      <c r="K3798" s="49" t="s">
        <v>920</v>
      </c>
      <c r="L3798" s="49" t="s">
        <v>23</v>
      </c>
      <c r="M3798" s="36">
        <f t="shared" si="33"/>
        <v>45917.43941</v>
      </c>
      <c r="N3798" s="30" t="str">
        <f t="shared" si="34"/>
        <v>Selesai</v>
      </c>
      <c r="O3798" s="45">
        <f t="shared" si="23"/>
        <v>45917.43941</v>
      </c>
      <c r="P3798" s="47" t="b">
        <v>1</v>
      </c>
      <c r="Q3798" s="36">
        <f t="shared" si="35"/>
        <v>45917.43944</v>
      </c>
      <c r="R3798" s="47" t="b">
        <v>0</v>
      </c>
      <c r="S3798" s="42" t="str">
        <f t="shared" si="28"/>
        <v/>
      </c>
      <c r="T3798" s="42"/>
    </row>
    <row r="3799" ht="22.5" customHeight="1">
      <c r="B3799" s="42">
        <f t="shared" si="7"/>
        <v>3793</v>
      </c>
      <c r="C3799" s="31" t="s">
        <v>3844</v>
      </c>
      <c r="D3799" s="34" t="str">
        <f t="array" ref="D3799">IFNA(_xlfn.XLOOKUP(C3799,Table_Tarikan_Warkah[Nomor Sertipikat],Table_Tarikan_Warkah[Nomor Tiket]),"")</f>
        <v>K/17/220825/4</v>
      </c>
      <c r="E3799" s="36" t="str">
        <f t="array" ref="E3799">IFNA(_xlfn.XLOOKUP(D3799,Table_Tarikan_Warkah[Nomor Tiket],Table_Tarikan_Warkah[Tanggal diserahkan kepada Validator]),"")</f>
        <v/>
      </c>
      <c r="F3799" s="36" t="str">
        <f t="array" ref="F3799">IFNA(_xlfn.XLOOKUP(D3799,Table_Tarikan_Warkah[Nomor Tiket],Table_Tarikan_Warkah[Nama Petugas Warkah]),"")</f>
        <v/>
      </c>
      <c r="G3799" s="39" t="str">
        <f t="array" ref="G3799">IFNA(_xlfn.XLOOKUP(D3799,Table_Tarikan_Warkah[Nomor Tiket],Table_Tarikan_Warkah[Jenis Permohonan]),"")</f>
        <v>BN JUAL BELI</v>
      </c>
      <c r="H3799" s="41" t="s">
        <v>920</v>
      </c>
      <c r="I3799" s="49" t="s">
        <v>23</v>
      </c>
      <c r="J3799" s="36">
        <f t="shared" si="20"/>
        <v>45917.43962</v>
      </c>
      <c r="K3799" s="49" t="s">
        <v>920</v>
      </c>
      <c r="L3799" s="49" t="s">
        <v>23</v>
      </c>
      <c r="M3799" s="36">
        <f t="shared" si="33"/>
        <v>45917.43969</v>
      </c>
      <c r="N3799" s="30" t="str">
        <f t="shared" si="34"/>
        <v>Selesai</v>
      </c>
      <c r="O3799" s="45">
        <f t="shared" si="23"/>
        <v>45917.43969</v>
      </c>
      <c r="P3799" s="47" t="b">
        <v>1</v>
      </c>
      <c r="Q3799" s="36">
        <f t="shared" si="35"/>
        <v>45917.43969</v>
      </c>
      <c r="R3799" s="47" t="b">
        <v>0</v>
      </c>
      <c r="S3799" s="42" t="str">
        <f t="shared" si="28"/>
        <v/>
      </c>
      <c r="T3799" s="42"/>
    </row>
    <row r="3800" ht="22.5" customHeight="1">
      <c r="B3800" s="42">
        <f t="shared" si="7"/>
        <v>3794</v>
      </c>
      <c r="C3800" s="31" t="s">
        <v>3845</v>
      </c>
      <c r="D3800" s="34" t="str">
        <f t="array" ref="D3800">IFNA(_xlfn.XLOOKUP(C3800,Table_Tarikan_Warkah[Nomor Sertipikat],Table_Tarikan_Warkah[Nomor Tiket]),"")</f>
        <v>K/11/270825/1</v>
      </c>
      <c r="E3800" s="36" t="str">
        <f t="array" ref="E3800">IFNA(_xlfn.XLOOKUP(D3800,Table_Tarikan_Warkah[Nomor Tiket],Table_Tarikan_Warkah[Tanggal diserahkan kepada Validator]),"")</f>
        <v/>
      </c>
      <c r="F3800" s="36" t="str">
        <f t="array" ref="F3800">IFNA(_xlfn.XLOOKUP(D3800,Table_Tarikan_Warkah[Nomor Tiket],Table_Tarikan_Warkah[Nama Petugas Warkah]),"")</f>
        <v/>
      </c>
      <c r="G3800" s="39" t="str">
        <f t="array" ref="G3800">IFNA(_xlfn.XLOOKUP(D3800,Table_Tarikan_Warkah[Nomor Tiket],Table_Tarikan_Warkah[Jenis Permohonan]),"")</f>
        <v>BN JUAL BELI EL</v>
      </c>
      <c r="H3800" s="41" t="s">
        <v>920</v>
      </c>
      <c r="I3800" s="49" t="s">
        <v>23</v>
      </c>
      <c r="J3800" s="36">
        <f t="shared" si="20"/>
        <v>45917.44003</v>
      </c>
      <c r="K3800" s="49" t="s">
        <v>920</v>
      </c>
      <c r="L3800" s="49" t="s">
        <v>23</v>
      </c>
      <c r="M3800" s="36">
        <f t="shared" si="33"/>
        <v>45917.44009</v>
      </c>
      <c r="N3800" s="30" t="str">
        <f t="shared" si="34"/>
        <v>Selesai</v>
      </c>
      <c r="O3800" s="45">
        <f t="shared" si="23"/>
        <v>45917.44009</v>
      </c>
      <c r="P3800" s="47" t="b">
        <v>1</v>
      </c>
      <c r="Q3800" s="36">
        <f t="shared" si="35"/>
        <v>45917.4401</v>
      </c>
      <c r="R3800" s="47" t="b">
        <v>0</v>
      </c>
      <c r="S3800" s="42" t="str">
        <f t="shared" si="28"/>
        <v/>
      </c>
      <c r="T3800" s="42"/>
    </row>
    <row r="3801" ht="22.5" customHeight="1">
      <c r="B3801" s="42">
        <f t="shared" si="7"/>
        <v>3795</v>
      </c>
      <c r="C3801" s="31" t="s">
        <v>3846</v>
      </c>
      <c r="D3801" s="34" t="str">
        <f t="array" ref="D3801">IFNA(_xlfn.XLOOKUP(C3801,Table_Tarikan_Warkah[Nomor Sertipikat],Table_Tarikan_Warkah[Nomor Tiket]),"")</f>
        <v>K/39/210826/1</v>
      </c>
      <c r="E3801" s="36">
        <f t="array" ref="E3801">IFNA(_xlfn.XLOOKUP(D3801,Table_Tarikan_Warkah[Nomor Tiket],Table_Tarikan_Warkah[Tanggal diserahkan kepada Validator]),"")</f>
        <v>45912.53245</v>
      </c>
      <c r="F3801" s="36" t="str">
        <f t="array" ref="F3801">IFNA(_xlfn.XLOOKUP(D3801,Table_Tarikan_Warkah[Nomor Tiket],Table_Tarikan_Warkah[Nama Petugas Warkah]),"")</f>
        <v>Berry</v>
      </c>
      <c r="G3801" s="39" t="str">
        <f t="array" ref="G3801">IFNA(_xlfn.XLOOKUP(D3801,Table_Tarikan_Warkah[Nomor Tiket],Table_Tarikan_Warkah[Jenis Permohonan]),"")</f>
        <v>BN JUAL BELI</v>
      </c>
      <c r="H3801" s="41" t="s">
        <v>920</v>
      </c>
      <c r="I3801" s="49" t="s">
        <v>23</v>
      </c>
      <c r="J3801" s="36">
        <f t="shared" si="20"/>
        <v>45917.44021</v>
      </c>
      <c r="K3801" s="49" t="s">
        <v>920</v>
      </c>
      <c r="L3801" s="49" t="s">
        <v>23</v>
      </c>
      <c r="M3801" s="36">
        <f t="shared" si="33"/>
        <v>45917.44024</v>
      </c>
      <c r="N3801" s="30" t="str">
        <f t="shared" si="34"/>
        <v>Selesai</v>
      </c>
      <c r="O3801" s="45">
        <f t="shared" si="23"/>
        <v>45917.44024</v>
      </c>
      <c r="P3801" s="47" t="b">
        <v>1</v>
      </c>
      <c r="Q3801" s="36">
        <f t="shared" si="35"/>
        <v>45917.44027</v>
      </c>
      <c r="R3801" s="47" t="b">
        <v>0</v>
      </c>
      <c r="S3801" s="42" t="str">
        <f t="shared" si="28"/>
        <v/>
      </c>
      <c r="T3801" s="42"/>
    </row>
    <row r="3802" ht="22.5" customHeight="1">
      <c r="B3802" s="42">
        <f t="shared" si="7"/>
        <v>3796</v>
      </c>
      <c r="C3802" s="31" t="s">
        <v>3847</v>
      </c>
      <c r="D3802" s="34"/>
      <c r="E3802" s="36" t="str">
        <f t="array" ref="E3802">IFNA(_xlfn.XLOOKUP(D3802,Table_Tarikan_Warkah[Nomor Tiket],Table_Tarikan_Warkah[Tanggal diserahkan kepada Validator]),"")</f>
        <v/>
      </c>
      <c r="F3802" s="36" t="str">
        <f t="array" ref="F3802">IFNA(_xlfn.XLOOKUP(D3802,Table_Tarikan_Warkah[Nomor Tiket],Table_Tarikan_Warkah[Nama Petugas Warkah]),"")</f>
        <v/>
      </c>
      <c r="G3802" s="39" t="str">
        <f t="array" ref="G3802">IFNA(_xlfn.XLOOKUP(D3802,Table_Tarikan_Warkah[Nomor Tiket],Table_Tarikan_Warkah[Jenis Permohonan]),"")</f>
        <v/>
      </c>
      <c r="H3802" s="41" t="s">
        <v>2315</v>
      </c>
      <c r="I3802" s="49" t="s">
        <v>23</v>
      </c>
      <c r="J3802" s="36">
        <f t="shared" si="20"/>
        <v>45917.61097</v>
      </c>
      <c r="K3802" s="49" t="s">
        <v>2378</v>
      </c>
      <c r="L3802" s="49" t="s">
        <v>23</v>
      </c>
      <c r="M3802" s="36">
        <f t="shared" si="33"/>
        <v>45918.61529</v>
      </c>
      <c r="N3802" s="30" t="str">
        <f t="shared" si="34"/>
        <v/>
      </c>
      <c r="O3802" s="39" t="str">
        <f t="shared" si="23"/>
        <v/>
      </c>
      <c r="P3802" s="47" t="b">
        <v>0</v>
      </c>
      <c r="Q3802" s="36" t="str">
        <f t="shared" si="35"/>
        <v/>
      </c>
      <c r="R3802" s="47" t="b">
        <v>0</v>
      </c>
      <c r="S3802" s="42" t="str">
        <f t="shared" si="28"/>
        <v/>
      </c>
      <c r="T3802" s="42"/>
    </row>
    <row r="3803" ht="22.5" customHeight="1">
      <c r="B3803" s="42">
        <f t="shared" si="7"/>
        <v>3797</v>
      </c>
      <c r="C3803" s="31" t="s">
        <v>3848</v>
      </c>
      <c r="D3803" s="34" t="str">
        <f t="array" ref="D3803">IFNA(_xlfn.XLOOKUP(C3803,Table_Tarikan_Warkah[Nomor Sertipikat],Table_Tarikan_Warkah[Nomor Tiket]),"")</f>
        <v>L/18/100925/1</v>
      </c>
      <c r="E3803" s="36" t="str">
        <f t="array" ref="E3803">IFNA(_xlfn.XLOOKUP(D3803,Table_Tarikan_Warkah[Nomor Tiket],Table_Tarikan_Warkah[Tanggal diserahkan kepada Validator]),"")</f>
        <v/>
      </c>
      <c r="F3803" s="36" t="str">
        <f t="array" ref="F3803">IFNA(_xlfn.XLOOKUP(D3803,Table_Tarikan_Warkah[Nomor Tiket],Table_Tarikan_Warkah[Nama Petugas Warkah]),"")</f>
        <v/>
      </c>
      <c r="G3803" s="39" t="str">
        <f t="array" ref="G3803">IFNA(_xlfn.XLOOKUP(D3803,Table_Tarikan_Warkah[Nomor Tiket],Table_Tarikan_Warkah[Jenis Permohonan]),"")</f>
        <v>ROYA</v>
      </c>
      <c r="H3803" s="41" t="s">
        <v>2315</v>
      </c>
      <c r="I3803" s="49" t="s">
        <v>23</v>
      </c>
      <c r="J3803" s="36">
        <f t="shared" si="20"/>
        <v>45917.61132</v>
      </c>
      <c r="K3803" s="49" t="s">
        <v>2378</v>
      </c>
      <c r="L3803" s="49" t="s">
        <v>23</v>
      </c>
      <c r="M3803" s="36">
        <f t="shared" si="33"/>
        <v>45918.61213</v>
      </c>
      <c r="N3803" s="30" t="str">
        <f t="shared" si="34"/>
        <v>Selesai</v>
      </c>
      <c r="O3803" s="45">
        <f t="shared" si="23"/>
        <v>45918.61213</v>
      </c>
      <c r="P3803" s="47" t="b">
        <v>0</v>
      </c>
      <c r="Q3803" s="36" t="str">
        <f t="shared" si="35"/>
        <v/>
      </c>
      <c r="R3803" s="47" t="b">
        <v>0</v>
      </c>
      <c r="S3803" s="42" t="str">
        <f t="shared" si="28"/>
        <v/>
      </c>
      <c r="T3803" s="42"/>
    </row>
    <row r="3804" ht="22.5" customHeight="1">
      <c r="B3804" s="42">
        <f t="shared" si="7"/>
        <v>3798</v>
      </c>
      <c r="C3804" s="31" t="s">
        <v>3849</v>
      </c>
      <c r="D3804" s="34" t="str">
        <f t="array" ref="D3804">IFNA(_xlfn.XLOOKUP(C3804,Table_Tarikan_Warkah[Nomor Sertipikat],Table_Tarikan_Warkah[Nomor Tiket]),"")</f>
        <v>L/32/090925/1</v>
      </c>
      <c r="E3804" s="36" t="str">
        <f t="array" ref="E3804">IFNA(_xlfn.XLOOKUP(D3804,Table_Tarikan_Warkah[Nomor Tiket],Table_Tarikan_Warkah[Tanggal diserahkan kepada Validator]),"")</f>
        <v/>
      </c>
      <c r="F3804" s="36" t="str">
        <f t="array" ref="F3804">IFNA(_xlfn.XLOOKUP(D3804,Table_Tarikan_Warkah[Nomor Tiket],Table_Tarikan_Warkah[Nama Petugas Warkah]),"")</f>
        <v/>
      </c>
      <c r="G3804" s="39" t="str">
        <f t="array" ref="G3804">IFNA(_xlfn.XLOOKUP(D3804,Table_Tarikan_Warkah[Nomor Tiket],Table_Tarikan_Warkah[Jenis Permohonan]),"")</f>
        <v>ROYA</v>
      </c>
      <c r="H3804" s="41" t="s">
        <v>2315</v>
      </c>
      <c r="I3804" s="49" t="s">
        <v>23</v>
      </c>
      <c r="J3804" s="36">
        <f t="shared" si="20"/>
        <v>45917.61146</v>
      </c>
      <c r="K3804" s="49" t="s">
        <v>2378</v>
      </c>
      <c r="L3804" s="49" t="s">
        <v>23</v>
      </c>
      <c r="M3804" s="36">
        <f t="shared" si="33"/>
        <v>45918.61228</v>
      </c>
      <c r="N3804" s="30" t="str">
        <f t="shared" si="34"/>
        <v>Selesai</v>
      </c>
      <c r="O3804" s="45">
        <f t="shared" si="23"/>
        <v>45918.61228</v>
      </c>
      <c r="P3804" s="47" t="b">
        <v>0</v>
      </c>
      <c r="Q3804" s="36" t="str">
        <f t="shared" si="35"/>
        <v/>
      </c>
      <c r="R3804" s="47" t="b">
        <v>0</v>
      </c>
      <c r="S3804" s="42" t="str">
        <f t="shared" si="28"/>
        <v/>
      </c>
      <c r="T3804" s="42"/>
    </row>
    <row r="3805" ht="22.5" customHeight="1">
      <c r="B3805" s="42">
        <f t="shared" si="7"/>
        <v>3799</v>
      </c>
      <c r="C3805" s="31" t="s">
        <v>3850</v>
      </c>
      <c r="D3805" s="34" t="str">
        <f t="array" ref="D3805">IFNA(_xlfn.XLOOKUP(C3805,Table_Tarikan_Warkah[Nomor Sertipikat],Table_Tarikan_Warkah[Nomor Tiket]),"")</f>
        <v>L/23/260825/1</v>
      </c>
      <c r="E3805" s="36" t="str">
        <f t="array" ref="E3805">IFNA(_xlfn.XLOOKUP(D3805,Table_Tarikan_Warkah[Nomor Tiket],Table_Tarikan_Warkah[Tanggal diserahkan kepada Validator]),"")</f>
        <v/>
      </c>
      <c r="F3805" s="36" t="str">
        <f t="array" ref="F3805">IFNA(_xlfn.XLOOKUP(D3805,Table_Tarikan_Warkah[Nomor Tiket],Table_Tarikan_Warkah[Nama Petugas Warkah]),"")</f>
        <v/>
      </c>
      <c r="G3805" s="39" t="str">
        <f t="array" ref="G3805">IFNA(_xlfn.XLOOKUP(D3805,Table_Tarikan_Warkah[Nomor Tiket],Table_Tarikan_Warkah[Jenis Permohonan]),"")</f>
        <v>PENINGKATAN HAK</v>
      </c>
      <c r="H3805" s="41" t="s">
        <v>2315</v>
      </c>
      <c r="I3805" s="49" t="s">
        <v>23</v>
      </c>
      <c r="J3805" s="36">
        <f t="shared" si="20"/>
        <v>45917.61164</v>
      </c>
      <c r="K3805" s="49" t="s">
        <v>2378</v>
      </c>
      <c r="L3805" s="49" t="s">
        <v>23</v>
      </c>
      <c r="M3805" s="36">
        <f t="shared" si="33"/>
        <v>45918.61385</v>
      </c>
      <c r="N3805" s="30" t="str">
        <f t="shared" si="34"/>
        <v>Selesai</v>
      </c>
      <c r="O3805" s="45">
        <f t="shared" si="23"/>
        <v>45918.61385</v>
      </c>
      <c r="P3805" s="47" t="b">
        <v>0</v>
      </c>
      <c r="Q3805" s="36" t="str">
        <f t="shared" si="35"/>
        <v/>
      </c>
      <c r="R3805" s="47" t="b">
        <v>0</v>
      </c>
      <c r="S3805" s="42" t="str">
        <f t="shared" si="28"/>
        <v/>
      </c>
      <c r="T3805" s="42"/>
    </row>
    <row r="3806" ht="22.5" customHeight="1">
      <c r="B3806" s="42">
        <f t="shared" si="7"/>
        <v>3800</v>
      </c>
      <c r="C3806" s="31" t="s">
        <v>3851</v>
      </c>
      <c r="D3806" s="34" t="str">
        <f t="array" ref="D3806">IFNA(_xlfn.XLOOKUP(C3806,Table_Tarikan_Warkah[Nomor Sertipikat],Table_Tarikan_Warkah[Nomor Tiket]),"")</f>
        <v>L/22/100925/1</v>
      </c>
      <c r="E3806" s="36" t="str">
        <f t="array" ref="E3806">IFNA(_xlfn.XLOOKUP(D3806,Table_Tarikan_Warkah[Nomor Tiket],Table_Tarikan_Warkah[Tanggal diserahkan kepada Validator]),"")</f>
        <v/>
      </c>
      <c r="F3806" s="36" t="str">
        <f t="array" ref="F3806">IFNA(_xlfn.XLOOKUP(D3806,Table_Tarikan_Warkah[Nomor Tiket],Table_Tarikan_Warkah[Nama Petugas Warkah]),"")</f>
        <v/>
      </c>
      <c r="G3806" s="39" t="str">
        <f t="array" ref="G3806">IFNA(_xlfn.XLOOKUP(D3806,Table_Tarikan_Warkah[Nomor Tiket],Table_Tarikan_Warkah[Jenis Permohonan]),"")</f>
        <v>BN HIBAH</v>
      </c>
      <c r="H3806" s="41" t="s">
        <v>2315</v>
      </c>
      <c r="I3806" s="49" t="s">
        <v>23</v>
      </c>
      <c r="J3806" s="36">
        <f t="shared" si="20"/>
        <v>45917.61174</v>
      </c>
      <c r="K3806" s="49" t="s">
        <v>2378</v>
      </c>
      <c r="L3806" s="49" t="s">
        <v>23</v>
      </c>
      <c r="M3806" s="36">
        <f t="shared" si="33"/>
        <v>45918.61246</v>
      </c>
      <c r="N3806" s="30" t="str">
        <f t="shared" si="34"/>
        <v>Selesai</v>
      </c>
      <c r="O3806" s="45">
        <f t="shared" si="23"/>
        <v>45918.61246</v>
      </c>
      <c r="P3806" s="47" t="b">
        <v>0</v>
      </c>
      <c r="Q3806" s="36" t="str">
        <f t="shared" si="35"/>
        <v/>
      </c>
      <c r="R3806" s="47" t="b">
        <v>0</v>
      </c>
      <c r="S3806" s="42" t="str">
        <f t="shared" si="28"/>
        <v/>
      </c>
      <c r="T3806" s="42"/>
    </row>
    <row r="3807" ht="22.5" customHeight="1">
      <c r="B3807" s="42">
        <f t="shared" si="7"/>
        <v>3801</v>
      </c>
      <c r="C3807" s="31" t="s">
        <v>3852</v>
      </c>
      <c r="D3807" s="34" t="str">
        <f t="array" ref="D3807">IFNA(_xlfn.XLOOKUP(C3807,Table_Tarikan_Warkah[Nomor Sertipikat],Table_Tarikan_Warkah[Nomor Tiket]),"")</f>
        <v>L/23/040925/1</v>
      </c>
      <c r="E3807" s="36">
        <f t="array" ref="E3807">IFNA(_xlfn.XLOOKUP(D3807,Table_Tarikan_Warkah[Nomor Tiket],Table_Tarikan_Warkah[Tanggal diserahkan kepada Validator]),"")</f>
        <v>45951.47315</v>
      </c>
      <c r="F3807" s="36" t="str">
        <f t="array" ref="F3807">IFNA(_xlfn.XLOOKUP(D3807,Table_Tarikan_Warkah[Nomor Tiket],Table_Tarikan_Warkah[Nama Petugas Warkah]),"")</f>
        <v>Berry</v>
      </c>
      <c r="G3807" s="39" t="str">
        <f t="array" ref="G3807">IFNA(_xlfn.XLOOKUP(D3807,Table_Tarikan_Warkah[Nomor Tiket],Table_Tarikan_Warkah[Jenis Permohonan]),"")</f>
        <v>PENINGKATAN HAK</v>
      </c>
      <c r="H3807" s="41" t="s">
        <v>2315</v>
      </c>
      <c r="I3807" s="49" t="s">
        <v>23</v>
      </c>
      <c r="J3807" s="36">
        <f t="shared" si="20"/>
        <v>45917.61191</v>
      </c>
      <c r="K3807" s="49" t="s">
        <v>2378</v>
      </c>
      <c r="L3807" s="49" t="s">
        <v>23</v>
      </c>
      <c r="M3807" s="36">
        <f t="shared" si="33"/>
        <v>45918.61255</v>
      </c>
      <c r="N3807" s="30" t="str">
        <f t="shared" si="34"/>
        <v>Selesai</v>
      </c>
      <c r="O3807" s="45">
        <f t="shared" si="23"/>
        <v>45918.61255</v>
      </c>
      <c r="P3807" s="47" t="b">
        <v>0</v>
      </c>
      <c r="Q3807" s="36" t="str">
        <f t="shared" si="35"/>
        <v/>
      </c>
      <c r="R3807" s="47" t="b">
        <v>0</v>
      </c>
      <c r="S3807" s="42" t="str">
        <f t="shared" si="28"/>
        <v/>
      </c>
      <c r="T3807" s="42"/>
    </row>
    <row r="3808" ht="22.5" customHeight="1">
      <c r="B3808" s="42">
        <f t="shared" si="7"/>
        <v>3802</v>
      </c>
      <c r="C3808" s="31" t="s">
        <v>3853</v>
      </c>
      <c r="D3808" s="34" t="str">
        <f t="array" ref="D3808">IFNA(_xlfn.XLOOKUP(C3808,Table_Tarikan_Warkah[Nomor Sertipikat],Table_Tarikan_Warkah[Nomor Tiket]),"")</f>
        <v>L/11/080925/1</v>
      </c>
      <c r="E3808" s="36" t="str">
        <f t="array" ref="E3808">IFNA(_xlfn.XLOOKUP(D3808,Table_Tarikan_Warkah[Nomor Tiket],Table_Tarikan_Warkah[Tanggal diserahkan kepada Validator]),"")</f>
        <v/>
      </c>
      <c r="F3808" s="36" t="str">
        <f t="array" ref="F3808">IFNA(_xlfn.XLOOKUP(D3808,Table_Tarikan_Warkah[Nomor Tiket],Table_Tarikan_Warkah[Nama Petugas Warkah]),"")</f>
        <v/>
      </c>
      <c r="G3808" s="39" t="str">
        <f t="array" ref="G3808">IFNA(_xlfn.XLOOKUP(D3808,Table_Tarikan_Warkah[Nomor Tiket],Table_Tarikan_Warkah[Jenis Permohonan]),"")</f>
        <v>ROYA</v>
      </c>
      <c r="H3808" s="41" t="s">
        <v>2315</v>
      </c>
      <c r="I3808" s="49" t="s">
        <v>23</v>
      </c>
      <c r="J3808" s="36">
        <f t="shared" si="20"/>
        <v>45917.61207</v>
      </c>
      <c r="K3808" s="49" t="s">
        <v>2378</v>
      </c>
      <c r="L3808" s="49" t="s">
        <v>23</v>
      </c>
      <c r="M3808" s="36">
        <f t="shared" si="33"/>
        <v>45918.61263</v>
      </c>
      <c r="N3808" s="30" t="str">
        <f t="shared" si="34"/>
        <v>Selesai</v>
      </c>
      <c r="O3808" s="45">
        <f t="shared" si="23"/>
        <v>45918.61263</v>
      </c>
      <c r="P3808" s="47" t="b">
        <v>0</v>
      </c>
      <c r="Q3808" s="36" t="str">
        <f t="shared" si="35"/>
        <v/>
      </c>
      <c r="R3808" s="47" t="b">
        <v>0</v>
      </c>
      <c r="S3808" s="42" t="str">
        <f t="shared" si="28"/>
        <v/>
      </c>
      <c r="T3808" s="42"/>
    </row>
    <row r="3809" ht="22.5" customHeight="1">
      <c r="B3809" s="42">
        <f t="shared" si="7"/>
        <v>3803</v>
      </c>
      <c r="C3809" s="31" t="s">
        <v>3854</v>
      </c>
      <c r="D3809" s="34" t="str">
        <f t="array" ref="D3809">IFNA(_xlfn.XLOOKUP(C3809,Table_Tarikan_Warkah[Nomor Sertipikat],Table_Tarikan_Warkah[Nomor Tiket]),"")</f>
        <v>L/28/080925/1</v>
      </c>
      <c r="E3809" s="36" t="str">
        <f t="array" ref="E3809">IFNA(_xlfn.XLOOKUP(D3809,Table_Tarikan_Warkah[Nomor Tiket],Table_Tarikan_Warkah[Tanggal diserahkan kepada Validator]),"")</f>
        <v/>
      </c>
      <c r="F3809" s="36" t="str">
        <f t="array" ref="F3809">IFNA(_xlfn.XLOOKUP(D3809,Table_Tarikan_Warkah[Nomor Tiket],Table_Tarikan_Warkah[Nama Petugas Warkah]),"")</f>
        <v/>
      </c>
      <c r="G3809" s="39" t="str">
        <f t="array" ref="G3809">IFNA(_xlfn.XLOOKUP(D3809,Table_Tarikan_Warkah[Nomor Tiket],Table_Tarikan_Warkah[Jenis Permohonan]),"")</f>
        <v>ROYA</v>
      </c>
      <c r="H3809" s="41" t="s">
        <v>2315</v>
      </c>
      <c r="I3809" s="49" t="s">
        <v>23</v>
      </c>
      <c r="J3809" s="36">
        <f t="shared" si="20"/>
        <v>45917.61225</v>
      </c>
      <c r="K3809" s="49" t="s">
        <v>2378</v>
      </c>
      <c r="L3809" s="49" t="s">
        <v>23</v>
      </c>
      <c r="M3809" s="36">
        <f t="shared" si="33"/>
        <v>45918.61273</v>
      </c>
      <c r="N3809" s="30" t="str">
        <f t="shared" si="34"/>
        <v>Selesai</v>
      </c>
      <c r="O3809" s="45">
        <f t="shared" si="23"/>
        <v>45918.61273</v>
      </c>
      <c r="P3809" s="47" t="b">
        <v>0</v>
      </c>
      <c r="Q3809" s="36" t="str">
        <f t="shared" si="35"/>
        <v/>
      </c>
      <c r="R3809" s="47" t="b">
        <v>0</v>
      </c>
      <c r="S3809" s="42" t="str">
        <f t="shared" si="28"/>
        <v/>
      </c>
      <c r="T3809" s="42"/>
    </row>
    <row r="3810" ht="22.5" customHeight="1">
      <c r="B3810" s="42">
        <f t="shared" si="7"/>
        <v>3804</v>
      </c>
      <c r="C3810" s="31" t="s">
        <v>3855</v>
      </c>
      <c r="D3810" s="34" t="str">
        <f t="array" ref="D3810">IFNA(_xlfn.XLOOKUP(C3810,Table_Tarikan_Warkah[Nomor Sertipikat],Table_Tarikan_Warkah[Nomor Tiket]),"")</f>
        <v>L/21/110925/1</v>
      </c>
      <c r="E3810" s="36" t="str">
        <f t="array" ref="E3810">IFNA(_xlfn.XLOOKUP(D3810,Table_Tarikan_Warkah[Nomor Tiket],Table_Tarikan_Warkah[Tanggal diserahkan kepada Validator]),"")</f>
        <v/>
      </c>
      <c r="F3810" s="36" t="str">
        <f t="array" ref="F3810">IFNA(_xlfn.XLOOKUP(D3810,Table_Tarikan_Warkah[Nomor Tiket],Table_Tarikan_Warkah[Nama Petugas Warkah]),"")</f>
        <v/>
      </c>
      <c r="G3810" s="39" t="str">
        <f t="array" ref="G3810">IFNA(_xlfn.XLOOKUP(D3810,Table_Tarikan_Warkah[Nomor Tiket],Table_Tarikan_Warkah[Jenis Permohonan]),"")</f>
        <v>PENINGKATAN HAK</v>
      </c>
      <c r="H3810" s="41" t="s">
        <v>2315</v>
      </c>
      <c r="I3810" s="49" t="s">
        <v>23</v>
      </c>
      <c r="J3810" s="36">
        <f t="shared" si="20"/>
        <v>45917.6124</v>
      </c>
      <c r="K3810" s="49" t="s">
        <v>2378</v>
      </c>
      <c r="L3810" s="49" t="s">
        <v>23</v>
      </c>
      <c r="M3810" s="36">
        <f t="shared" si="33"/>
        <v>45918.61286</v>
      </c>
      <c r="N3810" s="30" t="str">
        <f t="shared" si="34"/>
        <v>Selesai</v>
      </c>
      <c r="O3810" s="45">
        <f t="shared" si="23"/>
        <v>45918.61286</v>
      </c>
      <c r="P3810" s="47" t="b">
        <v>0</v>
      </c>
      <c r="Q3810" s="36" t="str">
        <f t="shared" si="35"/>
        <v/>
      </c>
      <c r="R3810" s="47" t="b">
        <v>0</v>
      </c>
      <c r="S3810" s="42" t="str">
        <f t="shared" si="28"/>
        <v/>
      </c>
      <c r="T3810" s="42"/>
    </row>
    <row r="3811" ht="22.5" customHeight="1">
      <c r="B3811" s="42">
        <f t="shared" si="7"/>
        <v>3805</v>
      </c>
      <c r="C3811" s="31" t="s">
        <v>3856</v>
      </c>
      <c r="D3811" s="34" t="str">
        <f t="array" ref="D3811">IFNA(_xlfn.XLOOKUP(C3811,Table_Tarikan_Warkah[Nomor Sertipikat],Table_Tarikan_Warkah[Nomor Tiket]),"")</f>
        <v>L/25/110925/1</v>
      </c>
      <c r="E3811" s="36" t="str">
        <f t="array" ref="E3811">IFNA(_xlfn.XLOOKUP(D3811,Table_Tarikan_Warkah[Nomor Tiket],Table_Tarikan_Warkah[Tanggal diserahkan kepada Validator]),"")</f>
        <v/>
      </c>
      <c r="F3811" s="36" t="str">
        <f t="array" ref="F3811">IFNA(_xlfn.XLOOKUP(D3811,Table_Tarikan_Warkah[Nomor Tiket],Table_Tarikan_Warkah[Nama Petugas Warkah]),"")</f>
        <v/>
      </c>
      <c r="G3811" s="39" t="str">
        <f t="array" ref="G3811">IFNA(_xlfn.XLOOKUP(D3811,Table_Tarikan_Warkah[Nomor Tiket],Table_Tarikan_Warkah[Jenis Permohonan]),"")</f>
        <v>ROYA</v>
      </c>
      <c r="H3811" s="41" t="s">
        <v>2315</v>
      </c>
      <c r="I3811" s="49" t="s">
        <v>23</v>
      </c>
      <c r="J3811" s="36">
        <f t="shared" si="20"/>
        <v>45917.6125</v>
      </c>
      <c r="K3811" s="49" t="s">
        <v>2378</v>
      </c>
      <c r="L3811" s="49" t="s">
        <v>23</v>
      </c>
      <c r="M3811" s="36">
        <f t="shared" si="33"/>
        <v>45918.61293</v>
      </c>
      <c r="N3811" s="30" t="str">
        <f t="shared" si="34"/>
        <v>Selesai</v>
      </c>
      <c r="O3811" s="45">
        <f t="shared" si="23"/>
        <v>45918.61293</v>
      </c>
      <c r="P3811" s="47" t="b">
        <v>0</v>
      </c>
      <c r="Q3811" s="36" t="str">
        <f t="shared" si="35"/>
        <v/>
      </c>
      <c r="R3811" s="47" t="b">
        <v>0</v>
      </c>
      <c r="S3811" s="42" t="str">
        <f t="shared" si="28"/>
        <v/>
      </c>
      <c r="T3811" s="42"/>
    </row>
    <row r="3812" ht="22.5" customHeight="1">
      <c r="B3812" s="42">
        <f t="shared" si="7"/>
        <v>3806</v>
      </c>
      <c r="C3812" s="31" t="s">
        <v>3857</v>
      </c>
      <c r="D3812" s="34" t="str">
        <f t="array" ref="D3812">IFNA(_xlfn.XLOOKUP(C3812,Table_Tarikan_Warkah[Nomor Sertipikat],Table_Tarikan_Warkah[Nomor Tiket]),"")</f>
        <v>K/32/080925/1</v>
      </c>
      <c r="E3812" s="36" t="str">
        <f t="array" ref="E3812">IFNA(_xlfn.XLOOKUP(D3812,Table_Tarikan_Warkah[Nomor Tiket],Table_Tarikan_Warkah[Tanggal diserahkan kepada Validator]),"")</f>
        <v/>
      </c>
      <c r="F3812" s="36" t="str">
        <f t="array" ref="F3812">IFNA(_xlfn.XLOOKUP(D3812,Table_Tarikan_Warkah[Nomor Tiket],Table_Tarikan_Warkah[Nama Petugas Warkah]),"")</f>
        <v/>
      </c>
      <c r="G3812" s="39" t="str">
        <f t="array" ref="G3812">IFNA(_xlfn.XLOOKUP(D3812,Table_Tarikan_Warkah[Nomor Tiket],Table_Tarikan_Warkah[Jenis Permohonan]),"")</f>
        <v>ROYA KARENA LELANG</v>
      </c>
      <c r="H3812" s="41" t="s">
        <v>2315</v>
      </c>
      <c r="I3812" s="49" t="s">
        <v>23</v>
      </c>
      <c r="J3812" s="36">
        <f t="shared" si="20"/>
        <v>45917.61271</v>
      </c>
      <c r="K3812" s="49" t="s">
        <v>2378</v>
      </c>
      <c r="L3812" s="49" t="s">
        <v>23</v>
      </c>
      <c r="M3812" s="36">
        <f t="shared" si="33"/>
        <v>45918.6131</v>
      </c>
      <c r="N3812" s="30" t="str">
        <f t="shared" si="34"/>
        <v>Selesai</v>
      </c>
      <c r="O3812" s="45">
        <f t="shared" si="23"/>
        <v>45918.6131</v>
      </c>
      <c r="P3812" s="47" t="b">
        <v>0</v>
      </c>
      <c r="Q3812" s="36" t="str">
        <f t="shared" si="35"/>
        <v/>
      </c>
      <c r="R3812" s="47" t="b">
        <v>0</v>
      </c>
      <c r="S3812" s="42" t="str">
        <f t="shared" si="28"/>
        <v/>
      </c>
      <c r="T3812" s="42"/>
    </row>
    <row r="3813" ht="22.5" customHeight="1">
      <c r="B3813" s="42">
        <f t="shared" si="7"/>
        <v>3807</v>
      </c>
      <c r="C3813" s="31" t="s">
        <v>3858</v>
      </c>
      <c r="D3813" s="34" t="str">
        <f t="array" ref="D3813">IFNA(_xlfn.XLOOKUP(C3813,Table_Tarikan_Warkah[Nomor Sertipikat],Table_Tarikan_Warkah[Nomor Tiket]),"")</f>
        <v>K/17/250825/1</v>
      </c>
      <c r="E3813" s="36">
        <f t="array" ref="E3813">IFNA(_xlfn.XLOOKUP(D3813,Table_Tarikan_Warkah[Nomor Tiket],Table_Tarikan_Warkah[Tanggal diserahkan kepada Validator]),"")</f>
        <v>45910.59241</v>
      </c>
      <c r="F3813" s="36" t="str">
        <f t="array" ref="F3813">IFNA(_xlfn.XLOOKUP(D3813,Table_Tarikan_Warkah[Nomor Tiket],Table_Tarikan_Warkah[Nama Petugas Warkah]),"")</f>
        <v>Berry</v>
      </c>
      <c r="G3813" s="39" t="str">
        <f t="array" ref="G3813">IFNA(_xlfn.XLOOKUP(D3813,Table_Tarikan_Warkah[Nomor Tiket],Table_Tarikan_Warkah[Jenis Permohonan]),"")</f>
        <v>BN JUAL BELI</v>
      </c>
      <c r="H3813" s="41" t="s">
        <v>2315</v>
      </c>
      <c r="I3813" s="49" t="s">
        <v>23</v>
      </c>
      <c r="J3813" s="36">
        <f t="shared" si="20"/>
        <v>45917.61288</v>
      </c>
      <c r="K3813" s="49" t="s">
        <v>2378</v>
      </c>
      <c r="L3813" s="49" t="s">
        <v>23</v>
      </c>
      <c r="M3813" s="36">
        <f t="shared" si="33"/>
        <v>45918.61355</v>
      </c>
      <c r="N3813" s="30" t="str">
        <f t="shared" si="34"/>
        <v>Selesai</v>
      </c>
      <c r="O3813" s="45">
        <f t="shared" si="23"/>
        <v>45918.61355</v>
      </c>
      <c r="P3813" s="47" t="b">
        <v>0</v>
      </c>
      <c r="Q3813" s="36" t="str">
        <f t="shared" si="35"/>
        <v/>
      </c>
      <c r="R3813" s="47" t="b">
        <v>0</v>
      </c>
      <c r="S3813" s="42" t="str">
        <f t="shared" si="28"/>
        <v/>
      </c>
      <c r="T3813" s="42"/>
    </row>
    <row r="3814" ht="22.5" customHeight="1">
      <c r="B3814" s="42">
        <f t="shared" si="7"/>
        <v>3808</v>
      </c>
      <c r="C3814" s="31" t="s">
        <v>3859</v>
      </c>
      <c r="D3814" s="34" t="str">
        <f t="array" ref="D3814">IFNA(_xlfn.XLOOKUP(C3814,Table_Tarikan_Warkah[Nomor Sertipikat],Table_Tarikan_Warkah[Nomor Tiket]),"")</f>
        <v>K/1/290825/1</v>
      </c>
      <c r="E3814" s="36" t="str">
        <f t="array" ref="E3814">IFNA(_xlfn.XLOOKUP(D3814,Table_Tarikan_Warkah[Nomor Tiket],Table_Tarikan_Warkah[Tanggal diserahkan kepada Validator]),"")</f>
        <v/>
      </c>
      <c r="F3814" s="36" t="str">
        <f t="array" ref="F3814">IFNA(_xlfn.XLOOKUP(D3814,Table_Tarikan_Warkah[Nomor Tiket],Table_Tarikan_Warkah[Nama Petugas Warkah]),"")</f>
        <v/>
      </c>
      <c r="G3814" s="39" t="str">
        <f t="array" ref="G3814">IFNA(_xlfn.XLOOKUP(D3814,Table_Tarikan_Warkah[Nomor Tiket],Table_Tarikan_Warkah[Jenis Permohonan]),"")</f>
        <v>PENINGKATAN HAK</v>
      </c>
      <c r="H3814" s="41" t="s">
        <v>2315</v>
      </c>
      <c r="I3814" s="49" t="s">
        <v>23</v>
      </c>
      <c r="J3814" s="36">
        <f t="shared" si="20"/>
        <v>45917.61306</v>
      </c>
      <c r="K3814" s="49" t="s">
        <v>2378</v>
      </c>
      <c r="L3814" s="49" t="s">
        <v>23</v>
      </c>
      <c r="M3814" s="36">
        <f t="shared" si="33"/>
        <v>45918.61488</v>
      </c>
      <c r="N3814" s="30" t="str">
        <f t="shared" si="34"/>
        <v>Selesai</v>
      </c>
      <c r="O3814" s="45">
        <f t="shared" si="23"/>
        <v>45918.61488</v>
      </c>
      <c r="P3814" s="47" t="b">
        <v>0</v>
      </c>
      <c r="Q3814" s="36" t="str">
        <f t="shared" si="35"/>
        <v/>
      </c>
      <c r="R3814" s="47" t="b">
        <v>0</v>
      </c>
      <c r="S3814" s="42" t="str">
        <f t="shared" si="28"/>
        <v/>
      </c>
      <c r="T3814" s="42"/>
    </row>
    <row r="3815" ht="22.5" customHeight="1">
      <c r="B3815" s="42">
        <f t="shared" si="7"/>
        <v>3809</v>
      </c>
      <c r="C3815" s="31" t="s">
        <v>3860</v>
      </c>
      <c r="D3815" s="34" t="str">
        <f t="array" ref="D3815">IFNA(_xlfn.XLOOKUP(C3815,Table_Tarikan_Warkah[Nomor Sertipikat],Table_Tarikan_Warkah[Nomor Tiket]),"")</f>
        <v>K/3/290825/1</v>
      </c>
      <c r="E3815" s="36" t="str">
        <f t="array" ref="E3815">IFNA(_xlfn.XLOOKUP(D3815,Table_Tarikan_Warkah[Nomor Tiket],Table_Tarikan_Warkah[Tanggal diserahkan kepada Validator]),"")</f>
        <v/>
      </c>
      <c r="F3815" s="36" t="str">
        <f t="array" ref="F3815">IFNA(_xlfn.XLOOKUP(D3815,Table_Tarikan_Warkah[Nomor Tiket],Table_Tarikan_Warkah[Nama Petugas Warkah]),"")</f>
        <v/>
      </c>
      <c r="G3815" s="39" t="str">
        <f t="array" ref="G3815">IFNA(_xlfn.XLOOKUP(D3815,Table_Tarikan_Warkah[Nomor Tiket],Table_Tarikan_Warkah[Jenis Permohonan]),"")</f>
        <v>MERGER HT</v>
      </c>
      <c r="H3815" s="41" t="s">
        <v>2315</v>
      </c>
      <c r="I3815" s="49" t="s">
        <v>23</v>
      </c>
      <c r="J3815" s="36">
        <f t="shared" si="20"/>
        <v>45917.61318</v>
      </c>
      <c r="K3815" s="49" t="s">
        <v>2378</v>
      </c>
      <c r="L3815" s="49" t="s">
        <v>23</v>
      </c>
      <c r="M3815" s="36">
        <f t="shared" si="33"/>
        <v>45918.61505</v>
      </c>
      <c r="N3815" s="30" t="str">
        <f t="shared" si="34"/>
        <v>Selesai</v>
      </c>
      <c r="O3815" s="45">
        <f t="shared" si="23"/>
        <v>45918.61505</v>
      </c>
      <c r="P3815" s="47" t="b">
        <v>0</v>
      </c>
      <c r="Q3815" s="36" t="str">
        <f t="shared" si="35"/>
        <v/>
      </c>
      <c r="R3815" s="47" t="b">
        <v>0</v>
      </c>
      <c r="S3815" s="42" t="str">
        <f t="shared" si="28"/>
        <v/>
      </c>
      <c r="T3815" s="42"/>
    </row>
    <row r="3816" ht="22.5" customHeight="1">
      <c r="B3816" s="42">
        <f t="shared" si="7"/>
        <v>3810</v>
      </c>
      <c r="C3816" s="31" t="s">
        <v>3861</v>
      </c>
      <c r="D3816" s="34" t="str">
        <f t="array" ref="D3816">IFNA(_xlfn.XLOOKUP(C3816,Table_Tarikan_Warkah[Nomor Sertipikat],Table_Tarikan_Warkah[Nomor Tiket]),"")</f>
        <v>K/27/210825/1</v>
      </c>
      <c r="E3816" s="36" t="str">
        <f t="array" ref="E3816">IFNA(_xlfn.XLOOKUP(D3816,Table_Tarikan_Warkah[Nomor Tiket],Table_Tarikan_Warkah[Tanggal diserahkan kepada Validator]),"")</f>
        <v/>
      </c>
      <c r="F3816" s="36" t="str">
        <f t="array" ref="F3816">IFNA(_xlfn.XLOOKUP(D3816,Table_Tarikan_Warkah[Nomor Tiket],Table_Tarikan_Warkah[Nama Petugas Warkah]),"")</f>
        <v/>
      </c>
      <c r="G3816" s="39" t="str">
        <f t="array" ref="G3816">IFNA(_xlfn.XLOOKUP(D3816,Table_Tarikan_Warkah[Nomor Tiket],Table_Tarikan_Warkah[Jenis Permohonan]),"")</f>
        <v>PENATAAN BATAS</v>
      </c>
      <c r="H3816" s="41" t="s">
        <v>2315</v>
      </c>
      <c r="I3816" s="49" t="s">
        <v>23</v>
      </c>
      <c r="J3816" s="36">
        <f t="shared" si="20"/>
        <v>45917.61335</v>
      </c>
      <c r="K3816" s="49" t="s">
        <v>2378</v>
      </c>
      <c r="L3816" s="49" t="s">
        <v>23</v>
      </c>
      <c r="M3816" s="36">
        <f t="shared" si="33"/>
        <v>45918.61477</v>
      </c>
      <c r="N3816" s="30" t="str">
        <f t="shared" si="34"/>
        <v>Selesai</v>
      </c>
      <c r="O3816" s="45">
        <f t="shared" si="23"/>
        <v>45918.61477</v>
      </c>
      <c r="P3816" s="47" t="b">
        <v>0</v>
      </c>
      <c r="Q3816" s="36" t="str">
        <f t="shared" si="35"/>
        <v/>
      </c>
      <c r="R3816" s="47" t="b">
        <v>0</v>
      </c>
      <c r="S3816" s="42" t="str">
        <f t="shared" si="28"/>
        <v/>
      </c>
      <c r="T3816" s="42"/>
    </row>
    <row r="3817" ht="22.5" customHeight="1">
      <c r="B3817" s="42">
        <f t="shared" si="7"/>
        <v>3811</v>
      </c>
      <c r="C3817" s="31" t="s">
        <v>3862</v>
      </c>
      <c r="D3817" s="34" t="str">
        <f t="array" ref="D3817">IFNA(_xlfn.XLOOKUP(C3817,Table_Tarikan_Warkah[Nomor Sertipikat],Table_Tarikan_Warkah[Nomor Tiket]),"")</f>
        <v>K/12/120925/1</v>
      </c>
      <c r="E3817" s="36" t="str">
        <f t="array" ref="E3817">IFNA(_xlfn.XLOOKUP(D3817,Table_Tarikan_Warkah[Nomor Tiket],Table_Tarikan_Warkah[Tanggal diserahkan kepada Validator]),"")</f>
        <v/>
      </c>
      <c r="F3817" s="36" t="str">
        <f t="array" ref="F3817">IFNA(_xlfn.XLOOKUP(D3817,Table_Tarikan_Warkah[Nomor Tiket],Table_Tarikan_Warkah[Nama Petugas Warkah]),"")</f>
        <v/>
      </c>
      <c r="G3817" s="39" t="str">
        <f t="array" ref="G3817">IFNA(_xlfn.XLOOKUP(D3817,Table_Tarikan_Warkah[Nomor Tiket],Table_Tarikan_Warkah[Jenis Permohonan]),"")</f>
        <v>ROYA</v>
      </c>
      <c r="H3817" s="41" t="s">
        <v>2315</v>
      </c>
      <c r="I3817" s="49" t="s">
        <v>23</v>
      </c>
      <c r="J3817" s="36">
        <f t="shared" si="20"/>
        <v>45917.61357</v>
      </c>
      <c r="K3817" s="49" t="s">
        <v>2378</v>
      </c>
      <c r="L3817" s="49" t="s">
        <v>23</v>
      </c>
      <c r="M3817" s="36">
        <f t="shared" si="33"/>
        <v>45918.61452</v>
      </c>
      <c r="N3817" s="30" t="str">
        <f t="shared" si="34"/>
        <v>Selesai</v>
      </c>
      <c r="O3817" s="45">
        <f t="shared" si="23"/>
        <v>45918.61452</v>
      </c>
      <c r="P3817" s="47" t="b">
        <v>0</v>
      </c>
      <c r="Q3817" s="36" t="str">
        <f t="shared" si="35"/>
        <v/>
      </c>
      <c r="R3817" s="47" t="b">
        <v>0</v>
      </c>
      <c r="S3817" s="42" t="str">
        <f t="shared" si="28"/>
        <v/>
      </c>
      <c r="T3817" s="42"/>
    </row>
    <row r="3818" ht="22.5" customHeight="1">
      <c r="B3818" s="42">
        <f t="shared" si="7"/>
        <v>3812</v>
      </c>
      <c r="C3818" s="31" t="s">
        <v>3863</v>
      </c>
      <c r="D3818" s="34" t="str">
        <f t="array" ref="D3818">IFNA(_xlfn.XLOOKUP(C3818,Table_Tarikan_Warkah[Nomor Sertipikat],Table_Tarikan_Warkah[Nomor Tiket]),"")</f>
        <v>K/28/260825/1</v>
      </c>
      <c r="E3818" s="36" t="str">
        <f t="array" ref="E3818">IFNA(_xlfn.XLOOKUP(D3818,Table_Tarikan_Warkah[Nomor Tiket],Table_Tarikan_Warkah[Tanggal diserahkan kepada Validator]),"")</f>
        <v/>
      </c>
      <c r="F3818" s="36" t="str">
        <f t="array" ref="F3818">IFNA(_xlfn.XLOOKUP(D3818,Table_Tarikan_Warkah[Nomor Tiket],Table_Tarikan_Warkah[Nama Petugas Warkah]),"")</f>
        <v/>
      </c>
      <c r="G3818" s="39" t="str">
        <f t="array" ref="G3818">IFNA(_xlfn.XLOOKUP(D3818,Table_Tarikan_Warkah[Nomor Tiket],Table_Tarikan_Warkah[Jenis Permohonan]),"")</f>
        <v>Peningkatan hak	</v>
      </c>
      <c r="H3818" s="41" t="s">
        <v>2315</v>
      </c>
      <c r="I3818" s="49" t="s">
        <v>23</v>
      </c>
      <c r="J3818" s="36">
        <f t="shared" si="20"/>
        <v>45917.61365</v>
      </c>
      <c r="K3818" s="49" t="s">
        <v>2378</v>
      </c>
      <c r="L3818" s="49" t="s">
        <v>23</v>
      </c>
      <c r="M3818" s="36">
        <f t="shared" si="33"/>
        <v>45918.61459</v>
      </c>
      <c r="N3818" s="30" t="str">
        <f t="shared" si="34"/>
        <v>Selesai</v>
      </c>
      <c r="O3818" s="45">
        <f t="shared" si="23"/>
        <v>45918.61459</v>
      </c>
      <c r="P3818" s="47" t="b">
        <v>0</v>
      </c>
      <c r="Q3818" s="36" t="str">
        <f t="shared" si="35"/>
        <v/>
      </c>
      <c r="R3818" s="47" t="b">
        <v>0</v>
      </c>
      <c r="S3818" s="42" t="str">
        <f t="shared" si="28"/>
        <v/>
      </c>
      <c r="T3818" s="42"/>
    </row>
    <row r="3819" ht="22.5" customHeight="1">
      <c r="B3819" s="42">
        <f t="shared" si="7"/>
        <v>3813</v>
      </c>
      <c r="C3819" s="31" t="s">
        <v>3864</v>
      </c>
      <c r="D3819" s="34" t="str">
        <f t="array" ref="D3819">IFNA(_xlfn.XLOOKUP(C3819,Table_Tarikan_Warkah[Nomor Sertipikat],Table_Tarikan_Warkah[Nomor Tiket]),"")</f>
        <v>K/25/300725/1</v>
      </c>
      <c r="E3819" s="36">
        <f t="array" ref="E3819">IFNA(_xlfn.XLOOKUP(D3819,Table_Tarikan_Warkah[Nomor Tiket],Table_Tarikan_Warkah[Tanggal diserahkan kepada Validator]),"")</f>
        <v>45926.38671</v>
      </c>
      <c r="F3819" s="36" t="str">
        <f t="array" ref="F3819">IFNA(_xlfn.XLOOKUP(D3819,Table_Tarikan_Warkah[Nomor Tiket],Table_Tarikan_Warkah[Nama Petugas Warkah]),"")</f>
        <v>Berry</v>
      </c>
      <c r="G3819" s="39" t="str">
        <f t="array" ref="G3819">IFNA(_xlfn.XLOOKUP(D3819,Table_Tarikan_Warkah[Nomor Tiket],Table_Tarikan_Warkah[Jenis Permohonan]),"")</f>
        <v>ROYA</v>
      </c>
      <c r="H3819" s="41" t="s">
        <v>2315</v>
      </c>
      <c r="I3819" s="49" t="s">
        <v>23</v>
      </c>
      <c r="J3819" s="36">
        <f t="shared" si="20"/>
        <v>45917.6138</v>
      </c>
      <c r="K3819" s="49" t="s">
        <v>2378</v>
      </c>
      <c r="L3819" s="49" t="s">
        <v>23</v>
      </c>
      <c r="M3819" s="36">
        <f t="shared" si="33"/>
        <v>45918.61408</v>
      </c>
      <c r="N3819" s="30" t="str">
        <f t="shared" si="34"/>
        <v>Selesai</v>
      </c>
      <c r="O3819" s="45">
        <f t="shared" si="23"/>
        <v>45918.61408</v>
      </c>
      <c r="P3819" s="47" t="b">
        <v>0</v>
      </c>
      <c r="Q3819" s="36" t="str">
        <f t="shared" si="35"/>
        <v/>
      </c>
      <c r="R3819" s="47" t="b">
        <v>0</v>
      </c>
      <c r="S3819" s="42" t="str">
        <f t="shared" si="28"/>
        <v/>
      </c>
      <c r="T3819" s="42"/>
    </row>
    <row r="3820" ht="22.5" customHeight="1">
      <c r="B3820" s="42">
        <f t="shared" si="7"/>
        <v>3814</v>
      </c>
      <c r="C3820" s="31" t="s">
        <v>3865</v>
      </c>
      <c r="D3820" s="34" t="str">
        <f t="array" ref="D3820">IFNA(_xlfn.XLOOKUP(C3820,Table_Tarikan_Warkah[Nomor Sertipikat],Table_Tarikan_Warkah[Nomor Tiket]),"")</f>
        <v>K/27/010825/1</v>
      </c>
      <c r="E3820" s="36">
        <f t="array" ref="E3820">IFNA(_xlfn.XLOOKUP(D3820,Table_Tarikan_Warkah[Nomor Tiket],Table_Tarikan_Warkah[Tanggal diserahkan kepada Validator]),"")</f>
        <v>45922.64253</v>
      </c>
      <c r="F3820" s="36" t="str">
        <f t="array" ref="F3820">IFNA(_xlfn.XLOOKUP(D3820,Table_Tarikan_Warkah[Nomor Tiket],Table_Tarikan_Warkah[Nama Petugas Warkah]),"")</f>
        <v>Berry</v>
      </c>
      <c r="G3820" s="39" t="str">
        <f t="array" ref="G3820">IFNA(_xlfn.XLOOKUP(D3820,Table_Tarikan_Warkah[Nomor Tiket],Table_Tarikan_Warkah[Jenis Permohonan]),"")</f>
        <v>BN Jual Beli</v>
      </c>
      <c r="H3820" s="41" t="s">
        <v>2315</v>
      </c>
      <c r="I3820" s="49" t="s">
        <v>23</v>
      </c>
      <c r="J3820" s="36">
        <f t="shared" si="20"/>
        <v>45917.61398</v>
      </c>
      <c r="K3820" s="49" t="s">
        <v>2378</v>
      </c>
      <c r="L3820" s="49" t="s">
        <v>23</v>
      </c>
      <c r="M3820" s="36">
        <f t="shared" si="33"/>
        <v>45918.6142</v>
      </c>
      <c r="N3820" s="30" t="str">
        <f t="shared" si="34"/>
        <v>Selesai</v>
      </c>
      <c r="O3820" s="45">
        <f t="shared" si="23"/>
        <v>45918.6142</v>
      </c>
      <c r="P3820" s="47" t="b">
        <v>0</v>
      </c>
      <c r="Q3820" s="36" t="str">
        <f t="shared" si="35"/>
        <v/>
      </c>
      <c r="R3820" s="47" t="b">
        <v>0</v>
      </c>
      <c r="S3820" s="42" t="str">
        <f t="shared" si="28"/>
        <v/>
      </c>
      <c r="T3820" s="42"/>
    </row>
    <row r="3821" ht="22.5" customHeight="1">
      <c r="B3821" s="42">
        <f t="shared" si="7"/>
        <v>3815</v>
      </c>
      <c r="C3821" s="31" t="s">
        <v>3866</v>
      </c>
      <c r="D3821" s="34" t="str">
        <f t="array" ref="D3821">IFNA(_xlfn.XLOOKUP(C3821,Table_Tarikan_Warkah[Nomor Sertipikat],Table_Tarikan_Warkah[Nomor Tiket]),"")</f>
        <v>K/37/100925/2</v>
      </c>
      <c r="E3821" s="36">
        <f t="array" ref="E3821">IFNA(_xlfn.XLOOKUP(D3821,Table_Tarikan_Warkah[Nomor Tiket],Table_Tarikan_Warkah[Tanggal diserahkan kepada Validator]),"")</f>
        <v>45938.48804</v>
      </c>
      <c r="F3821" s="36" t="str">
        <f t="array" ref="F3821">IFNA(_xlfn.XLOOKUP(D3821,Table_Tarikan_Warkah[Nomor Tiket],Table_Tarikan_Warkah[Nama Petugas Warkah]),"")</f>
        <v>Berry</v>
      </c>
      <c r="G3821" s="39" t="str">
        <f t="array" ref="G3821">IFNA(_xlfn.XLOOKUP(D3821,Table_Tarikan_Warkah[Nomor Tiket],Table_Tarikan_Warkah[Jenis Permohonan]),"")</f>
        <v>BN JUAL BELI</v>
      </c>
      <c r="H3821" s="41" t="s">
        <v>2315</v>
      </c>
      <c r="I3821" s="49" t="s">
        <v>23</v>
      </c>
      <c r="J3821" s="36">
        <f t="shared" si="20"/>
        <v>45917.61409</v>
      </c>
      <c r="K3821" s="49" t="s">
        <v>2378</v>
      </c>
      <c r="L3821" s="49" t="s">
        <v>23</v>
      </c>
      <c r="M3821" s="36">
        <f t="shared" si="33"/>
        <v>45918.61431</v>
      </c>
      <c r="N3821" s="30" t="str">
        <f t="shared" si="34"/>
        <v>Selesai</v>
      </c>
      <c r="O3821" s="45">
        <f t="shared" si="23"/>
        <v>45918.61431</v>
      </c>
      <c r="P3821" s="47" t="b">
        <v>0</v>
      </c>
      <c r="Q3821" s="36" t="str">
        <f t="shared" si="35"/>
        <v/>
      </c>
      <c r="R3821" s="47" t="b">
        <v>0</v>
      </c>
      <c r="S3821" s="42" t="str">
        <f t="shared" si="28"/>
        <v/>
      </c>
      <c r="T3821" s="42"/>
    </row>
    <row r="3822" ht="22.5" customHeight="1">
      <c r="B3822" s="42">
        <f t="shared" si="7"/>
        <v>3816</v>
      </c>
      <c r="C3822" s="31" t="s">
        <v>3867</v>
      </c>
      <c r="D3822" s="34" t="str">
        <f t="array" ref="D3822">IFNA(_xlfn.XLOOKUP(C3822,Table_Tarikan_Warkah[Nomor Sertipikat],Table_Tarikan_Warkah[Nomor Tiket]),"")</f>
        <v>K/11/290825/1</v>
      </c>
      <c r="E3822" s="36" t="str">
        <f t="array" ref="E3822">IFNA(_xlfn.XLOOKUP(D3822,Table_Tarikan_Warkah[Nomor Tiket],Table_Tarikan_Warkah[Tanggal diserahkan kepada Validator]),"")</f>
        <v/>
      </c>
      <c r="F3822" s="36" t="str">
        <f t="array" ref="F3822">IFNA(_xlfn.XLOOKUP(D3822,Table_Tarikan_Warkah[Nomor Tiket],Table_Tarikan_Warkah[Nama Petugas Warkah]),"")</f>
        <v/>
      </c>
      <c r="G3822" s="39" t="str">
        <f t="array" ref="G3822">IFNA(_xlfn.XLOOKUP(D3822,Table_Tarikan_Warkah[Nomor Tiket],Table_Tarikan_Warkah[Jenis Permohonan]),"")</f>
        <v>ROYA</v>
      </c>
      <c r="H3822" s="41" t="s">
        <v>2315</v>
      </c>
      <c r="I3822" s="49" t="s">
        <v>23</v>
      </c>
      <c r="J3822" s="36">
        <f t="shared" si="20"/>
        <v>45917.61431</v>
      </c>
      <c r="K3822" s="49" t="s">
        <v>2378</v>
      </c>
      <c r="L3822" s="49" t="s">
        <v>23</v>
      </c>
      <c r="M3822" s="36">
        <f t="shared" si="33"/>
        <v>45918.61439</v>
      </c>
      <c r="N3822" s="30" t="str">
        <f t="shared" si="34"/>
        <v>Selesai</v>
      </c>
      <c r="O3822" s="45">
        <f t="shared" si="23"/>
        <v>45918.61439</v>
      </c>
      <c r="P3822" s="47" t="b">
        <v>0</v>
      </c>
      <c r="Q3822" s="36" t="str">
        <f t="shared" si="35"/>
        <v/>
      </c>
      <c r="R3822" s="47" t="b">
        <v>0</v>
      </c>
      <c r="S3822" s="42" t="str">
        <f t="shared" si="28"/>
        <v/>
      </c>
      <c r="T3822" s="42"/>
    </row>
    <row r="3823" ht="22.5" customHeight="1">
      <c r="B3823" s="42">
        <f t="shared" si="7"/>
        <v>3817</v>
      </c>
      <c r="C3823" s="31" t="s">
        <v>3868</v>
      </c>
      <c r="D3823" s="34" t="str">
        <f t="array" ref="D3823">IFNA(_xlfn.XLOOKUP(C3823,Table_Tarikan_Warkah[Nomor Sertipikat],Table_Tarikan_Warkah[Nomor Tiket]),"")</f>
        <v>K/25/150825/4</v>
      </c>
      <c r="E3823" s="36" t="str">
        <f t="array" ref="E3823">IFNA(_xlfn.XLOOKUP(D3823,Table_Tarikan_Warkah[Nomor Tiket],Table_Tarikan_Warkah[Tanggal diserahkan kepada Validator]),"")</f>
        <v/>
      </c>
      <c r="F3823" s="36" t="str">
        <f t="array" ref="F3823">IFNA(_xlfn.XLOOKUP(D3823,Table_Tarikan_Warkah[Nomor Tiket],Table_Tarikan_Warkah[Nama Petugas Warkah]),"")</f>
        <v/>
      </c>
      <c r="G3823" s="39" t="str">
        <f t="array" ref="G3823">IFNA(_xlfn.XLOOKUP(D3823,Table_Tarikan_Warkah[Nomor Tiket],Table_Tarikan_Warkah[Jenis Permohonan]),"")</f>
        <v>BN WARIS</v>
      </c>
      <c r="H3823" s="41" t="s">
        <v>2315</v>
      </c>
      <c r="I3823" s="49" t="s">
        <v>23</v>
      </c>
      <c r="J3823" s="36">
        <f t="shared" si="20"/>
        <v>45917.6144</v>
      </c>
      <c r="K3823" s="49" t="s">
        <v>2378</v>
      </c>
      <c r="L3823" s="49" t="s">
        <v>23</v>
      </c>
      <c r="M3823" s="36">
        <f t="shared" si="33"/>
        <v>45918.61469</v>
      </c>
      <c r="N3823" s="30" t="str">
        <f t="shared" si="34"/>
        <v>Selesai</v>
      </c>
      <c r="O3823" s="45">
        <f t="shared" si="23"/>
        <v>45918.61469</v>
      </c>
      <c r="P3823" s="47" t="b">
        <v>0</v>
      </c>
      <c r="Q3823" s="36" t="str">
        <f t="shared" si="35"/>
        <v/>
      </c>
      <c r="R3823" s="47" t="b">
        <v>0</v>
      </c>
      <c r="S3823" s="42" t="str">
        <f t="shared" si="28"/>
        <v/>
      </c>
      <c r="T3823" s="42"/>
    </row>
    <row r="3824" ht="22.5" customHeight="1">
      <c r="B3824" s="42">
        <f t="shared" si="7"/>
        <v>3818</v>
      </c>
      <c r="C3824" s="31" t="s">
        <v>3869</v>
      </c>
      <c r="D3824" s="34" t="str">
        <f t="array" ref="D3824">IFNA(_xlfn.XLOOKUP(C3824,Table_Tarikan_Warkah[Nomor Sertipikat],Table_Tarikan_Warkah[Nomor Tiket]),"")</f>
        <v>K/27/200825/1</v>
      </c>
      <c r="E3824" s="36" t="str">
        <f t="array" ref="E3824">IFNA(_xlfn.XLOOKUP(D3824,Table_Tarikan_Warkah[Nomor Tiket],Table_Tarikan_Warkah[Tanggal diserahkan kepada Validator]),"")</f>
        <v/>
      </c>
      <c r="F3824" s="36" t="str">
        <f t="array" ref="F3824">IFNA(_xlfn.XLOOKUP(D3824,Table_Tarikan_Warkah[Nomor Tiket],Table_Tarikan_Warkah[Nama Petugas Warkah]),"")</f>
        <v/>
      </c>
      <c r="G3824" s="39" t="str">
        <f t="array" ref="G3824">IFNA(_xlfn.XLOOKUP(D3824,Table_Tarikan_Warkah[Nomor Tiket],Table_Tarikan_Warkah[Jenis Permohonan]),"")</f>
        <v>BN JUAL BELI EL</v>
      </c>
      <c r="H3824" s="41" t="s">
        <v>920</v>
      </c>
      <c r="I3824" s="49" t="s">
        <v>23</v>
      </c>
      <c r="J3824" s="36">
        <f t="shared" si="20"/>
        <v>45918.64636</v>
      </c>
      <c r="K3824" s="49" t="s">
        <v>920</v>
      </c>
      <c r="L3824" s="49" t="s">
        <v>23</v>
      </c>
      <c r="M3824" s="36">
        <f t="shared" si="33"/>
        <v>45918.64639</v>
      </c>
      <c r="N3824" s="30" t="str">
        <f t="shared" si="34"/>
        <v>Selesai</v>
      </c>
      <c r="O3824" s="45">
        <f t="shared" si="23"/>
        <v>45918.64639</v>
      </c>
      <c r="P3824" s="47" t="b">
        <v>1</v>
      </c>
      <c r="Q3824" s="36">
        <f t="shared" si="35"/>
        <v>45918.64643</v>
      </c>
      <c r="R3824" s="47" t="b">
        <v>0</v>
      </c>
      <c r="S3824" s="42" t="str">
        <f t="shared" si="28"/>
        <v/>
      </c>
      <c r="T3824" s="42"/>
    </row>
    <row r="3825" ht="22.5" customHeight="1">
      <c r="B3825" s="42">
        <f t="shared" si="7"/>
        <v>3819</v>
      </c>
      <c r="C3825" s="31" t="s">
        <v>3870</v>
      </c>
      <c r="D3825" s="34" t="str">
        <f t="array" ref="D3825">IFNA(_xlfn.XLOOKUP(C3825,Table_Tarikan_Warkah[Nomor Sertipikat],Table_Tarikan_Warkah[Nomor Tiket]),"")</f>
        <v>K/22/200825/1</v>
      </c>
      <c r="E3825" s="36">
        <f t="array" ref="E3825">IFNA(_xlfn.XLOOKUP(D3825,Table_Tarikan_Warkah[Nomor Tiket],Table_Tarikan_Warkah[Tanggal diserahkan kepada Validator]),"")</f>
        <v>45938.49625</v>
      </c>
      <c r="F3825" s="36" t="str">
        <f t="array" ref="F3825">IFNA(_xlfn.XLOOKUP(D3825,Table_Tarikan_Warkah[Nomor Tiket],Table_Tarikan_Warkah[Nama Petugas Warkah]),"")</f>
        <v>Berry</v>
      </c>
      <c r="G3825" s="39" t="str">
        <f t="array" ref="G3825">IFNA(_xlfn.XLOOKUP(D3825,Table_Tarikan_Warkah[Nomor Tiket],Table_Tarikan_Warkah[Jenis Permohonan]),"")</f>
        <v>BN PEMBAGIAN HAK BERSAMA</v>
      </c>
      <c r="H3825" s="41" t="s">
        <v>920</v>
      </c>
      <c r="I3825" s="49" t="s">
        <v>23</v>
      </c>
      <c r="J3825" s="36">
        <f t="shared" si="20"/>
        <v>45918.64654</v>
      </c>
      <c r="K3825" s="49" t="s">
        <v>920</v>
      </c>
      <c r="L3825" s="49" t="s">
        <v>23</v>
      </c>
      <c r="M3825" s="36">
        <f t="shared" si="33"/>
        <v>45918.6466</v>
      </c>
      <c r="N3825" s="30" t="str">
        <f t="shared" si="34"/>
        <v>Selesai</v>
      </c>
      <c r="O3825" s="45">
        <f t="shared" si="23"/>
        <v>45918.6466</v>
      </c>
      <c r="P3825" s="47" t="b">
        <v>1</v>
      </c>
      <c r="Q3825" s="36">
        <f t="shared" si="35"/>
        <v>45918.6466</v>
      </c>
      <c r="R3825" s="47" t="b">
        <v>0</v>
      </c>
      <c r="S3825" s="42" t="str">
        <f t="shared" si="28"/>
        <v/>
      </c>
      <c r="T3825" s="42"/>
    </row>
    <row r="3826" ht="22.5" customHeight="1">
      <c r="B3826" s="42">
        <f t="shared" si="7"/>
        <v>3820</v>
      </c>
      <c r="C3826" s="31" t="s">
        <v>3871</v>
      </c>
      <c r="D3826" s="34" t="str">
        <f t="array" ref="D3826">IFNA(_xlfn.XLOOKUP(C3826,Table_Tarikan_Warkah[Nomor Sertipikat],Table_Tarikan_Warkah[Nomor Tiket]),"")</f>
        <v>K/25/210825/2</v>
      </c>
      <c r="E3826" s="36">
        <f t="array" ref="E3826">IFNA(_xlfn.XLOOKUP(D3826,Table_Tarikan_Warkah[Nomor Tiket],Table_Tarikan_Warkah[Tanggal diserahkan kepada Validator]),"")</f>
        <v>45908.63441</v>
      </c>
      <c r="F3826" s="36" t="str">
        <f t="array" ref="F3826">IFNA(_xlfn.XLOOKUP(D3826,Table_Tarikan_Warkah[Nomor Tiket],Table_Tarikan_Warkah[Nama Petugas Warkah]),"")</f>
        <v>Berry</v>
      </c>
      <c r="G3826" s="39" t="str">
        <f t="array" ref="G3826">IFNA(_xlfn.XLOOKUP(D3826,Table_Tarikan_Warkah[Nomor Tiket],Table_Tarikan_Warkah[Jenis Permohonan]),"")</f>
        <v>BN JUAL BELI</v>
      </c>
      <c r="H3826" s="41" t="s">
        <v>920</v>
      </c>
      <c r="I3826" s="49" t="s">
        <v>23</v>
      </c>
      <c r="J3826" s="36">
        <f t="shared" si="20"/>
        <v>45918.64672</v>
      </c>
      <c r="K3826" s="49" t="s">
        <v>920</v>
      </c>
      <c r="L3826" s="49" t="s">
        <v>23</v>
      </c>
      <c r="M3826" s="36">
        <f t="shared" si="33"/>
        <v>45918.64678</v>
      </c>
      <c r="N3826" s="30" t="str">
        <f t="shared" si="34"/>
        <v>Selesai</v>
      </c>
      <c r="O3826" s="45">
        <f t="shared" si="23"/>
        <v>45918.64678</v>
      </c>
      <c r="P3826" s="47" t="b">
        <v>1</v>
      </c>
      <c r="Q3826" s="36">
        <f t="shared" si="35"/>
        <v>45918.64679</v>
      </c>
      <c r="R3826" s="47" t="b">
        <v>0</v>
      </c>
      <c r="S3826" s="42" t="str">
        <f t="shared" si="28"/>
        <v/>
      </c>
      <c r="T3826" s="42"/>
    </row>
    <row r="3827" ht="22.5" customHeight="1">
      <c r="B3827" s="42">
        <f t="shared" si="7"/>
        <v>3821</v>
      </c>
      <c r="C3827" s="31" t="s">
        <v>3872</v>
      </c>
      <c r="D3827" s="34" t="str">
        <f t="array" ref="D3827">IFNA(_xlfn.XLOOKUP(C3827,Table_Tarikan_Warkah[Nomor Sertipikat],Table_Tarikan_Warkah[Nomor Tiket]),"")</f>
        <v>K/34/280825/1</v>
      </c>
      <c r="E3827" s="36">
        <f t="array" ref="E3827">IFNA(_xlfn.XLOOKUP(D3827,Table_Tarikan_Warkah[Nomor Tiket],Table_Tarikan_Warkah[Tanggal diserahkan kepada Validator]),"")</f>
        <v>45945.68032</v>
      </c>
      <c r="F3827" s="36" t="str">
        <f t="array" ref="F3827">IFNA(_xlfn.XLOOKUP(D3827,Table_Tarikan_Warkah[Nomor Tiket],Table_Tarikan_Warkah[Nama Petugas Warkah]),"")</f>
        <v>Berry</v>
      </c>
      <c r="G3827" s="39" t="str">
        <f t="array" ref="G3827">IFNA(_xlfn.XLOOKUP(D3827,Table_Tarikan_Warkah[Nomor Tiket],Table_Tarikan_Warkah[Jenis Permohonan]),"")</f>
        <v>BN JUAL BELI</v>
      </c>
      <c r="H3827" s="41" t="s">
        <v>920</v>
      </c>
      <c r="I3827" s="49" t="s">
        <v>23</v>
      </c>
      <c r="J3827" s="36">
        <f t="shared" si="20"/>
        <v>45918.64691</v>
      </c>
      <c r="K3827" s="49" t="s">
        <v>920</v>
      </c>
      <c r="L3827" s="49" t="s">
        <v>23</v>
      </c>
      <c r="M3827" s="36">
        <f t="shared" si="33"/>
        <v>45918.64694</v>
      </c>
      <c r="N3827" s="30" t="str">
        <f t="shared" si="34"/>
        <v>Selesai</v>
      </c>
      <c r="O3827" s="45">
        <f t="shared" si="23"/>
        <v>45918.64694</v>
      </c>
      <c r="P3827" s="47" t="b">
        <v>1</v>
      </c>
      <c r="Q3827" s="36">
        <f t="shared" si="35"/>
        <v>45918.64696</v>
      </c>
      <c r="R3827" s="47" t="b">
        <v>0</v>
      </c>
      <c r="S3827" s="42" t="str">
        <f t="shared" si="28"/>
        <v/>
      </c>
      <c r="T3827" s="42"/>
    </row>
    <row r="3828" ht="22.5" customHeight="1">
      <c r="B3828" s="42">
        <f t="shared" si="7"/>
        <v>3822</v>
      </c>
      <c r="C3828" s="31" t="s">
        <v>3873</v>
      </c>
      <c r="D3828" s="34" t="str">
        <f t="array" ref="D3828">IFNA(_xlfn.XLOOKUP(C3828,Table_Tarikan_Warkah[Nomor Sertipikat],Table_Tarikan_Warkah[Nomor Tiket]),"")</f>
        <v>K/26/110825/1</v>
      </c>
      <c r="E3828" s="36" t="str">
        <f t="array" ref="E3828">IFNA(_xlfn.XLOOKUP(D3828,Table_Tarikan_Warkah[Nomor Tiket],Table_Tarikan_Warkah[Tanggal diserahkan kepada Validator]),"")</f>
        <v/>
      </c>
      <c r="F3828" s="36" t="str">
        <f t="array" ref="F3828">IFNA(_xlfn.XLOOKUP(D3828,Table_Tarikan_Warkah[Nomor Tiket],Table_Tarikan_Warkah[Nama Petugas Warkah]),"")</f>
        <v/>
      </c>
      <c r="G3828" s="39" t="str">
        <f t="array" ref="G3828">IFNA(_xlfn.XLOOKUP(D3828,Table_Tarikan_Warkah[Nomor Tiket],Table_Tarikan_Warkah[Jenis Permohonan]),"")</f>
        <v>GANTI NAMA</v>
      </c>
      <c r="H3828" s="41" t="s">
        <v>920</v>
      </c>
      <c r="I3828" s="49" t="s">
        <v>23</v>
      </c>
      <c r="J3828" s="36">
        <f t="shared" si="20"/>
        <v>45918.64732</v>
      </c>
      <c r="K3828" s="49" t="s">
        <v>920</v>
      </c>
      <c r="L3828" s="49" t="s">
        <v>23</v>
      </c>
      <c r="M3828" s="36">
        <f t="shared" si="33"/>
        <v>45918.64733</v>
      </c>
      <c r="N3828" s="30" t="str">
        <f t="shared" si="34"/>
        <v>Selesai</v>
      </c>
      <c r="O3828" s="45">
        <f t="shared" si="23"/>
        <v>45918.64733</v>
      </c>
      <c r="P3828" s="47" t="b">
        <v>1</v>
      </c>
      <c r="Q3828" s="36">
        <f t="shared" si="35"/>
        <v>45918.64735</v>
      </c>
      <c r="R3828" s="47" t="b">
        <v>0</v>
      </c>
      <c r="S3828" s="42" t="str">
        <f t="shared" si="28"/>
        <v/>
      </c>
      <c r="T3828" s="42"/>
    </row>
    <row r="3829" ht="22.5" customHeight="1">
      <c r="B3829" s="42">
        <f t="shared" si="7"/>
        <v>3823</v>
      </c>
      <c r="C3829" s="31" t="s">
        <v>3874</v>
      </c>
      <c r="D3829" s="34" t="str">
        <f t="array" ref="D3829">IFNA(_xlfn.XLOOKUP(C3829,Table_Tarikan_Warkah[Nomor Sertipikat],Table_Tarikan_Warkah[Nomor Tiket]),"")</f>
        <v>L/41/270825/1</v>
      </c>
      <c r="E3829" s="36">
        <f t="array" ref="E3829">IFNA(_xlfn.XLOOKUP(D3829,Table_Tarikan_Warkah[Nomor Tiket],Table_Tarikan_Warkah[Tanggal diserahkan kepada Validator]),"")</f>
        <v>45918.55476</v>
      </c>
      <c r="F3829" s="36" t="str">
        <f t="array" ref="F3829">IFNA(_xlfn.XLOOKUP(D3829,Table_Tarikan_Warkah[Nomor Tiket],Table_Tarikan_Warkah[Nama Petugas Warkah]),"")</f>
        <v>Berry</v>
      </c>
      <c r="G3829" s="39" t="str">
        <f t="array" ref="G3829">IFNA(_xlfn.XLOOKUP(D3829,Table_Tarikan_Warkah[Nomor Tiket],Table_Tarikan_Warkah[Jenis Permohonan]),"")</f>
        <v>BN WARIS</v>
      </c>
      <c r="H3829" s="41" t="s">
        <v>2315</v>
      </c>
      <c r="I3829" s="49" t="s">
        <v>23</v>
      </c>
      <c r="J3829" s="36">
        <f t="shared" si="20"/>
        <v>45919.4031</v>
      </c>
      <c r="K3829" s="49" t="s">
        <v>2378</v>
      </c>
      <c r="L3829" s="49" t="s">
        <v>23</v>
      </c>
      <c r="M3829" s="36">
        <f t="shared" si="33"/>
        <v>45922.55432</v>
      </c>
      <c r="N3829" s="30" t="str">
        <f t="shared" si="34"/>
        <v>Selesai</v>
      </c>
      <c r="O3829" s="45">
        <f t="shared" si="23"/>
        <v>45922.55432</v>
      </c>
      <c r="P3829" s="47" t="b">
        <v>0</v>
      </c>
      <c r="Q3829" s="36" t="str">
        <f t="shared" si="35"/>
        <v/>
      </c>
      <c r="R3829" s="47" t="b">
        <v>0</v>
      </c>
      <c r="S3829" s="42" t="str">
        <f t="shared" si="28"/>
        <v/>
      </c>
      <c r="T3829" s="42"/>
    </row>
    <row r="3830" ht="22.5" customHeight="1">
      <c r="B3830" s="42">
        <f t="shared" si="7"/>
        <v>3824</v>
      </c>
      <c r="C3830" s="31" t="s">
        <v>3875</v>
      </c>
      <c r="D3830" s="34" t="str">
        <f t="array" ref="D3830">IFNA(_xlfn.XLOOKUP(C3830,Table_Tarikan_Warkah[Nomor Sertipikat],Table_Tarikan_Warkah[Nomor Tiket]),"")</f>
        <v>L/65/220825/1</v>
      </c>
      <c r="E3830" s="36">
        <f t="array" ref="E3830">IFNA(_xlfn.XLOOKUP(D3830,Table_Tarikan_Warkah[Nomor Tiket],Table_Tarikan_Warkah[Tanggal diserahkan kepada Validator]),"")</f>
        <v>45908.62829</v>
      </c>
      <c r="F3830" s="36" t="str">
        <f t="array" ref="F3830">IFNA(_xlfn.XLOOKUP(D3830,Table_Tarikan_Warkah[Nomor Tiket],Table_Tarikan_Warkah[Nama Petugas Warkah]),"")</f>
        <v>David</v>
      </c>
      <c r="G3830" s="39" t="str">
        <f t="array" ref="G3830">IFNA(_xlfn.XLOOKUP(D3830,Table_Tarikan_Warkah[Nomor Tiket],Table_Tarikan_Warkah[Jenis Permohonan]),"")</f>
        <v>BN WARIS</v>
      </c>
      <c r="H3830" s="41" t="s">
        <v>2315</v>
      </c>
      <c r="I3830" s="49" t="s">
        <v>23</v>
      </c>
      <c r="J3830" s="36">
        <f t="shared" si="20"/>
        <v>45919.40326</v>
      </c>
      <c r="K3830" s="49" t="s">
        <v>2378</v>
      </c>
      <c r="L3830" s="49" t="s">
        <v>23</v>
      </c>
      <c r="M3830" s="36">
        <f t="shared" si="33"/>
        <v>45922.5542</v>
      </c>
      <c r="N3830" s="30" t="str">
        <f t="shared" si="34"/>
        <v>Selesai</v>
      </c>
      <c r="O3830" s="45">
        <f t="shared" si="23"/>
        <v>45922.5542</v>
      </c>
      <c r="P3830" s="47" t="b">
        <v>0</v>
      </c>
      <c r="Q3830" s="36" t="str">
        <f t="shared" si="35"/>
        <v/>
      </c>
      <c r="R3830" s="47" t="b">
        <v>0</v>
      </c>
      <c r="S3830" s="42" t="str">
        <f t="shared" si="28"/>
        <v/>
      </c>
      <c r="T3830" s="42"/>
    </row>
    <row r="3831" ht="22.5" customHeight="1">
      <c r="B3831" s="42">
        <f t="shared" si="7"/>
        <v>3825</v>
      </c>
      <c r="C3831" s="31" t="s">
        <v>3876</v>
      </c>
      <c r="D3831" s="34" t="str">
        <f t="array" ref="D3831">IFNA(_xlfn.XLOOKUP(C3831,Table_Tarikan_Warkah[Nomor Sertipikat],Table_Tarikan_Warkah[Nomor Tiket]),"")</f>
        <v>K/24/290825/3</v>
      </c>
      <c r="E3831" s="36" t="str">
        <f t="array" ref="E3831">IFNA(_xlfn.XLOOKUP(D3831,Table_Tarikan_Warkah[Nomor Tiket],Table_Tarikan_Warkah[Tanggal diserahkan kepada Validator]),"")</f>
        <v/>
      </c>
      <c r="F3831" s="36" t="str">
        <f t="array" ref="F3831">IFNA(_xlfn.XLOOKUP(D3831,Table_Tarikan_Warkah[Nomor Tiket],Table_Tarikan_Warkah[Nama Petugas Warkah]),"")</f>
        <v/>
      </c>
      <c r="G3831" s="39" t="str">
        <f t="array" ref="G3831">IFNA(_xlfn.XLOOKUP(D3831,Table_Tarikan_Warkah[Nomor Tiket],Table_Tarikan_Warkah[Jenis Permohonan]),"")</f>
        <v> BN JUAL BELI</v>
      </c>
      <c r="H3831" s="41" t="s">
        <v>2315</v>
      </c>
      <c r="I3831" s="49" t="s">
        <v>23</v>
      </c>
      <c r="J3831" s="36">
        <f t="shared" si="20"/>
        <v>45919.40347</v>
      </c>
      <c r="K3831" s="49" t="s">
        <v>2378</v>
      </c>
      <c r="L3831" s="49" t="s">
        <v>23</v>
      </c>
      <c r="M3831" s="36">
        <f t="shared" si="33"/>
        <v>45922.55406</v>
      </c>
      <c r="N3831" s="30" t="str">
        <f t="shared" si="34"/>
        <v>Selesai</v>
      </c>
      <c r="O3831" s="45">
        <f t="shared" si="23"/>
        <v>45922.55406</v>
      </c>
      <c r="P3831" s="47" t="b">
        <v>0</v>
      </c>
      <c r="Q3831" s="36" t="str">
        <f t="shared" si="35"/>
        <v/>
      </c>
      <c r="R3831" s="47" t="b">
        <v>0</v>
      </c>
      <c r="S3831" s="42" t="str">
        <f t="shared" si="28"/>
        <v/>
      </c>
      <c r="T3831" s="42"/>
    </row>
    <row r="3832" ht="22.5" customHeight="1">
      <c r="B3832" s="42">
        <f t="shared" si="7"/>
        <v>3826</v>
      </c>
      <c r="C3832" s="31" t="s">
        <v>3877</v>
      </c>
      <c r="D3832" s="34" t="str">
        <f t="array" ref="D3832">IFNA(_xlfn.XLOOKUP(C3832,Table_Tarikan_Warkah[Nomor Sertipikat],Table_Tarikan_Warkah[Nomor Tiket]),"")</f>
        <v>K/20/290825/1</v>
      </c>
      <c r="E3832" s="36" t="str">
        <f t="array" ref="E3832">IFNA(_xlfn.XLOOKUP(D3832,Table_Tarikan_Warkah[Nomor Tiket],Table_Tarikan_Warkah[Tanggal diserahkan kepada Validator]),"")</f>
        <v/>
      </c>
      <c r="F3832" s="36" t="str">
        <f t="array" ref="F3832">IFNA(_xlfn.XLOOKUP(D3832,Table_Tarikan_Warkah[Nomor Tiket],Table_Tarikan_Warkah[Nama Petugas Warkah]),"")</f>
        <v/>
      </c>
      <c r="G3832" s="39" t="str">
        <f t="array" ref="G3832">IFNA(_xlfn.XLOOKUP(D3832,Table_Tarikan_Warkah[Nomor Tiket],Table_Tarikan_Warkah[Jenis Permohonan]),"")</f>
        <v>BN WARIS</v>
      </c>
      <c r="H3832" s="41" t="s">
        <v>2315</v>
      </c>
      <c r="I3832" s="49" t="s">
        <v>23</v>
      </c>
      <c r="J3832" s="36">
        <f t="shared" si="20"/>
        <v>45919.40365</v>
      </c>
      <c r="K3832" s="49" t="s">
        <v>2378</v>
      </c>
      <c r="L3832" s="49" t="s">
        <v>23</v>
      </c>
      <c r="M3832" s="36">
        <f t="shared" si="33"/>
        <v>45922.55466</v>
      </c>
      <c r="N3832" s="30" t="str">
        <f t="shared" si="34"/>
        <v>Selesai</v>
      </c>
      <c r="O3832" s="45">
        <f t="shared" si="23"/>
        <v>45922.55466</v>
      </c>
      <c r="P3832" s="47" t="b">
        <v>0</v>
      </c>
      <c r="Q3832" s="36" t="str">
        <f t="shared" si="35"/>
        <v/>
      </c>
      <c r="R3832" s="47" t="b">
        <v>0</v>
      </c>
      <c r="S3832" s="42" t="str">
        <f t="shared" si="28"/>
        <v/>
      </c>
      <c r="T3832" s="42"/>
    </row>
    <row r="3833" ht="22.5" customHeight="1">
      <c r="B3833" s="42">
        <f t="shared" si="7"/>
        <v>3827</v>
      </c>
      <c r="C3833" s="31" t="s">
        <v>3878</v>
      </c>
      <c r="D3833" s="34" t="str">
        <f t="array" ref="D3833">IFNA(_xlfn.XLOOKUP(C3833,Table_Tarikan_Warkah[Nomor Sertipikat],Table_Tarikan_Warkah[Nomor Tiket]),"")</f>
        <v>K/4/290825/2</v>
      </c>
      <c r="E3833" s="36" t="str">
        <f t="array" ref="E3833">IFNA(_xlfn.XLOOKUP(D3833,Table_Tarikan_Warkah[Nomor Tiket],Table_Tarikan_Warkah[Tanggal diserahkan kepada Validator]),"")</f>
        <v/>
      </c>
      <c r="F3833" s="36" t="str">
        <f t="array" ref="F3833">IFNA(_xlfn.XLOOKUP(D3833,Table_Tarikan_Warkah[Nomor Tiket],Table_Tarikan_Warkah[Nama Petugas Warkah]),"")</f>
        <v/>
      </c>
      <c r="G3833" s="39" t="str">
        <f t="array" ref="G3833">IFNA(_xlfn.XLOOKUP(D3833,Table_Tarikan_Warkah[Nomor Tiket],Table_Tarikan_Warkah[Jenis Permohonan]),"")</f>
        <v>MERGER HT</v>
      </c>
      <c r="H3833" s="41" t="s">
        <v>2315</v>
      </c>
      <c r="I3833" s="49" t="s">
        <v>23</v>
      </c>
      <c r="J3833" s="36">
        <f t="shared" si="20"/>
        <v>45919.40385</v>
      </c>
      <c r="K3833" s="49" t="s">
        <v>2378</v>
      </c>
      <c r="L3833" s="49" t="s">
        <v>23</v>
      </c>
      <c r="M3833" s="36">
        <f t="shared" si="33"/>
        <v>45922.55457</v>
      </c>
      <c r="N3833" s="30" t="str">
        <f t="shared" si="34"/>
        <v>Selesai</v>
      </c>
      <c r="O3833" s="45">
        <f t="shared" si="23"/>
        <v>45922.55457</v>
      </c>
      <c r="P3833" s="47" t="b">
        <v>0</v>
      </c>
      <c r="Q3833" s="36" t="str">
        <f t="shared" si="35"/>
        <v/>
      </c>
      <c r="R3833" s="47" t="b">
        <v>0</v>
      </c>
      <c r="S3833" s="42" t="str">
        <f t="shared" si="28"/>
        <v/>
      </c>
      <c r="T3833" s="42"/>
    </row>
    <row r="3834" ht="22.5" customHeight="1">
      <c r="B3834" s="42">
        <f t="shared" si="7"/>
        <v>3828</v>
      </c>
      <c r="C3834" s="31" t="s">
        <v>3879</v>
      </c>
      <c r="D3834" s="34" t="str">
        <f t="array" ref="D3834">IFNA(_xlfn.XLOOKUP(C3834,Table_Tarikan_Warkah[Nomor Sertipikat],Table_Tarikan_Warkah[Nomor Tiket]),"")</f>
        <v>L/9/080925/1</v>
      </c>
      <c r="E3834" s="36">
        <f t="array" ref="E3834">IFNA(_xlfn.XLOOKUP(D3834,Table_Tarikan_Warkah[Nomor Tiket],Table_Tarikan_Warkah[Tanggal diserahkan kepada Validator]),"")</f>
        <v>45943.69653</v>
      </c>
      <c r="F3834" s="36" t="str">
        <f t="array" ref="F3834">IFNA(_xlfn.XLOOKUP(D3834,Table_Tarikan_Warkah[Nomor Tiket],Table_Tarikan_Warkah[Nama Petugas Warkah]),"")</f>
        <v>David</v>
      </c>
      <c r="G3834" s="39" t="str">
        <f t="array" ref="G3834">IFNA(_xlfn.XLOOKUP(D3834,Table_Tarikan_Warkah[Nomor Tiket],Table_Tarikan_Warkah[Jenis Permohonan]),"")</f>
        <v>SERTIPIKAT HILANG</v>
      </c>
      <c r="H3834" s="41" t="s">
        <v>2315</v>
      </c>
      <c r="I3834" s="49" t="s">
        <v>23</v>
      </c>
      <c r="J3834" s="36">
        <f t="shared" si="20"/>
        <v>45919.40437</v>
      </c>
      <c r="K3834" s="49" t="s">
        <v>2378</v>
      </c>
      <c r="L3834" s="49" t="s">
        <v>23</v>
      </c>
      <c r="M3834" s="36">
        <f t="shared" si="33"/>
        <v>45922.55387</v>
      </c>
      <c r="N3834" s="30" t="str">
        <f t="shared" si="34"/>
        <v>Selesai</v>
      </c>
      <c r="O3834" s="45">
        <f t="shared" si="23"/>
        <v>45922.55387</v>
      </c>
      <c r="P3834" s="47" t="b">
        <v>0</v>
      </c>
      <c r="Q3834" s="36" t="str">
        <f t="shared" si="35"/>
        <v/>
      </c>
      <c r="R3834" s="47" t="b">
        <v>0</v>
      </c>
      <c r="S3834" s="42" t="str">
        <f t="shared" si="28"/>
        <v/>
      </c>
      <c r="T3834" s="42"/>
    </row>
    <row r="3835" ht="22.5" customHeight="1">
      <c r="B3835" s="42">
        <f t="shared" si="7"/>
        <v>3829</v>
      </c>
      <c r="C3835" s="31" t="s">
        <v>3880</v>
      </c>
      <c r="D3835" s="34" t="str">
        <f t="array" ref="D3835">IFNA(_xlfn.XLOOKUP(C3835,Table_Tarikan_Warkah[Nomor Sertipikat],Table_Tarikan_Warkah[Nomor Tiket]),"")</f>
        <v>K/43/090925/1</v>
      </c>
      <c r="E3835" s="36" t="str">
        <f t="array" ref="E3835">IFNA(_xlfn.XLOOKUP(D3835,Table_Tarikan_Warkah[Nomor Tiket],Table_Tarikan_Warkah[Tanggal diserahkan kepada Validator]),"")</f>
        <v/>
      </c>
      <c r="F3835" s="36" t="str">
        <f t="array" ref="F3835">IFNA(_xlfn.XLOOKUP(D3835,Table_Tarikan_Warkah[Nomor Tiket],Table_Tarikan_Warkah[Nama Petugas Warkah]),"")</f>
        <v/>
      </c>
      <c r="G3835" s="39" t="str">
        <f t="array" ref="G3835">IFNA(_xlfn.XLOOKUP(D3835,Table_Tarikan_Warkah[Nomor Tiket],Table_Tarikan_Warkah[Jenis Permohonan]),"")</f>
        <v>ROYA</v>
      </c>
      <c r="H3835" s="41" t="s">
        <v>2315</v>
      </c>
      <c r="I3835" s="49" t="s">
        <v>23</v>
      </c>
      <c r="J3835" s="36">
        <f t="shared" si="20"/>
        <v>45919.4048</v>
      </c>
      <c r="K3835" s="49" t="s">
        <v>2378</v>
      </c>
      <c r="L3835" s="49" t="s">
        <v>23</v>
      </c>
      <c r="M3835" s="36">
        <f t="shared" si="33"/>
        <v>45922.55395</v>
      </c>
      <c r="N3835" s="30" t="str">
        <f t="shared" si="34"/>
        <v>Selesai</v>
      </c>
      <c r="O3835" s="45">
        <f t="shared" si="23"/>
        <v>45922.55395</v>
      </c>
      <c r="P3835" s="47" t="b">
        <v>0</v>
      </c>
      <c r="Q3835" s="36" t="str">
        <f t="shared" si="35"/>
        <v/>
      </c>
      <c r="R3835" s="47" t="b">
        <v>0</v>
      </c>
      <c r="S3835" s="42" t="str">
        <f t="shared" si="28"/>
        <v/>
      </c>
      <c r="T3835" s="42"/>
    </row>
    <row r="3836" ht="22.5" customHeight="1">
      <c r="B3836" s="42">
        <f t="shared" si="7"/>
        <v>3830</v>
      </c>
      <c r="C3836" s="31" t="s">
        <v>3881</v>
      </c>
      <c r="D3836" s="34" t="str">
        <f t="array" ref="D3836">IFNA(_xlfn.XLOOKUP(C3836,Table_Tarikan_Warkah[Nomor Sertipikat],Table_Tarikan_Warkah[Nomor Tiket]),"")</f>
        <v>K/34/260825/1</v>
      </c>
      <c r="E3836" s="36" t="str">
        <f t="array" ref="E3836">IFNA(_xlfn.XLOOKUP(D3836,Table_Tarikan_Warkah[Nomor Tiket],Table_Tarikan_Warkah[Tanggal diserahkan kepada Validator]),"")</f>
        <v/>
      </c>
      <c r="F3836" s="36" t="str">
        <f t="array" ref="F3836">IFNA(_xlfn.XLOOKUP(D3836,Table_Tarikan_Warkah[Nomor Tiket],Table_Tarikan_Warkah[Nama Petugas Warkah]),"")</f>
        <v/>
      </c>
      <c r="G3836" s="39" t="str">
        <f t="array" ref="G3836">IFNA(_xlfn.XLOOKUP(D3836,Table_Tarikan_Warkah[Nomor Tiket],Table_Tarikan_Warkah[Jenis Permohonan]),"")</f>
        <v>PEMECAHAN</v>
      </c>
      <c r="H3836" s="41" t="s">
        <v>2315</v>
      </c>
      <c r="I3836" s="49" t="s">
        <v>23</v>
      </c>
      <c r="J3836" s="36">
        <f t="shared" si="20"/>
        <v>45919.40504</v>
      </c>
      <c r="K3836" s="49" t="s">
        <v>2378</v>
      </c>
      <c r="L3836" s="49" t="s">
        <v>23</v>
      </c>
      <c r="M3836" s="36">
        <f t="shared" si="33"/>
        <v>45922.5537</v>
      </c>
      <c r="N3836" s="30" t="str">
        <f t="shared" si="34"/>
        <v>Selesai</v>
      </c>
      <c r="O3836" s="45">
        <f t="shared" si="23"/>
        <v>45922.5537</v>
      </c>
      <c r="P3836" s="47" t="b">
        <v>0</v>
      </c>
      <c r="Q3836" s="36" t="str">
        <f t="shared" si="35"/>
        <v/>
      </c>
      <c r="R3836" s="47" t="b">
        <v>0</v>
      </c>
      <c r="S3836" s="42" t="str">
        <f t="shared" si="28"/>
        <v/>
      </c>
      <c r="T3836" s="42"/>
    </row>
    <row r="3837" ht="22.5" customHeight="1">
      <c r="B3837" s="42">
        <f t="shared" si="7"/>
        <v>3831</v>
      </c>
      <c r="C3837" s="31" t="s">
        <v>3882</v>
      </c>
      <c r="D3837" s="34" t="str">
        <f t="array" ref="D3837">IFNA(_xlfn.XLOOKUP(C3837,Table_Tarikan_Warkah[Nomor Sertipikat],Table_Tarikan_Warkah[Nomor Tiket]),"")</f>
        <v>K/22/280825/2</v>
      </c>
      <c r="E3837" s="36" t="str">
        <f t="array" ref="E3837">IFNA(_xlfn.XLOOKUP(D3837,Table_Tarikan_Warkah[Nomor Tiket],Table_Tarikan_Warkah[Tanggal diserahkan kepada Validator]),"")</f>
        <v/>
      </c>
      <c r="F3837" s="36" t="str">
        <f t="array" ref="F3837">IFNA(_xlfn.XLOOKUP(D3837,Table_Tarikan_Warkah[Nomor Tiket],Table_Tarikan_Warkah[Nama Petugas Warkah]),"")</f>
        <v/>
      </c>
      <c r="G3837" s="39" t="str">
        <f t="array" ref="G3837">IFNA(_xlfn.XLOOKUP(D3837,Table_Tarikan_Warkah[Nomor Tiket],Table_Tarikan_Warkah[Jenis Permohonan]),"")</f>
        <v>BN JUAL BELI</v>
      </c>
      <c r="H3837" s="41" t="s">
        <v>920</v>
      </c>
      <c r="I3837" s="49" t="s">
        <v>23</v>
      </c>
      <c r="J3837" s="36">
        <f t="shared" si="20"/>
        <v>45922.47447</v>
      </c>
      <c r="K3837" s="49" t="s">
        <v>920</v>
      </c>
      <c r="L3837" s="49" t="s">
        <v>23</v>
      </c>
      <c r="M3837" s="36">
        <f t="shared" si="33"/>
        <v>45922.47447</v>
      </c>
      <c r="N3837" s="30" t="str">
        <f t="shared" si="34"/>
        <v>Selesai</v>
      </c>
      <c r="O3837" s="45">
        <f t="shared" si="23"/>
        <v>45922.47447</v>
      </c>
      <c r="P3837" s="47" t="b">
        <v>1</v>
      </c>
      <c r="Q3837" s="36">
        <f t="shared" si="35"/>
        <v>45922.47449</v>
      </c>
      <c r="R3837" s="47" t="b">
        <v>0</v>
      </c>
      <c r="S3837" s="42" t="str">
        <f t="shared" si="28"/>
        <v/>
      </c>
      <c r="T3837" s="42"/>
    </row>
    <row r="3838" ht="22.5" customHeight="1">
      <c r="B3838" s="42">
        <f t="shared" si="7"/>
        <v>3832</v>
      </c>
      <c r="C3838" s="31" t="s">
        <v>3883</v>
      </c>
      <c r="D3838" s="34" t="str">
        <f t="array" ref="D3838">IFNA(_xlfn.XLOOKUP(C3838,Table_Tarikan_Warkah[Nomor Sertipikat],Table_Tarikan_Warkah[Nomor Tiket]),"")</f>
        <v>K/39/020925/1</v>
      </c>
      <c r="E3838" s="36" t="str">
        <f t="array" ref="E3838">IFNA(_xlfn.XLOOKUP(D3838,Table_Tarikan_Warkah[Nomor Tiket],Table_Tarikan_Warkah[Tanggal diserahkan kepada Validator]),"")</f>
        <v/>
      </c>
      <c r="F3838" s="36" t="str">
        <f t="array" ref="F3838">IFNA(_xlfn.XLOOKUP(D3838,Table_Tarikan_Warkah[Nomor Tiket],Table_Tarikan_Warkah[Nama Petugas Warkah]),"")</f>
        <v/>
      </c>
      <c r="G3838" s="39" t="str">
        <f t="array" ref="G3838">IFNA(_xlfn.XLOOKUP(D3838,Table_Tarikan_Warkah[Nomor Tiket],Table_Tarikan_Warkah[Jenis Permohonan]),"")</f>
        <v>BN JUAL BELI EL</v>
      </c>
      <c r="H3838" s="41" t="s">
        <v>920</v>
      </c>
      <c r="I3838" s="49" t="s">
        <v>23</v>
      </c>
      <c r="J3838" s="36">
        <f t="shared" si="20"/>
        <v>45922.47467</v>
      </c>
      <c r="K3838" s="49" t="s">
        <v>920</v>
      </c>
      <c r="L3838" s="49" t="s">
        <v>23</v>
      </c>
      <c r="M3838" s="36">
        <f t="shared" si="33"/>
        <v>45922.4747</v>
      </c>
      <c r="N3838" s="30" t="str">
        <f t="shared" si="34"/>
        <v>Selesai</v>
      </c>
      <c r="O3838" s="45">
        <f t="shared" si="23"/>
        <v>45922.4747</v>
      </c>
      <c r="P3838" s="47" t="b">
        <v>1</v>
      </c>
      <c r="Q3838" s="36">
        <f t="shared" si="35"/>
        <v>45922.47477</v>
      </c>
      <c r="R3838" s="47" t="b">
        <v>0</v>
      </c>
      <c r="S3838" s="42" t="str">
        <f t="shared" si="28"/>
        <v/>
      </c>
      <c r="T3838" s="42"/>
    </row>
    <row r="3839" ht="22.5" customHeight="1">
      <c r="B3839" s="42">
        <f t="shared" si="7"/>
        <v>3833</v>
      </c>
      <c r="C3839" s="31" t="s">
        <v>3884</v>
      </c>
      <c r="D3839" s="34" t="str">
        <f t="array" ref="D3839">IFNA(_xlfn.XLOOKUP(C3839,Table_Tarikan_Warkah[Nomor Sertipikat],Table_Tarikan_Warkah[Nomor Tiket]),"")</f>
        <v>K/51/220825/4</v>
      </c>
      <c r="E3839" s="36">
        <f t="array" ref="E3839">IFNA(_xlfn.XLOOKUP(D3839,Table_Tarikan_Warkah[Nomor Tiket],Table_Tarikan_Warkah[Tanggal diserahkan kepada Validator]),"")</f>
        <v>45924.69021</v>
      </c>
      <c r="F3839" s="36" t="str">
        <f t="array" ref="F3839">IFNA(_xlfn.XLOOKUP(D3839,Table_Tarikan_Warkah[Nomor Tiket],Table_Tarikan_Warkah[Nama Petugas Warkah]),"")</f>
        <v>Berry</v>
      </c>
      <c r="G3839" s="39" t="str">
        <f t="array" ref="G3839">IFNA(_xlfn.XLOOKUP(D3839,Table_Tarikan_Warkah[Nomor Tiket],Table_Tarikan_Warkah[Jenis Permohonan]),"")</f>
        <v>BN JUAL BELI</v>
      </c>
      <c r="H3839" s="41" t="s">
        <v>920</v>
      </c>
      <c r="I3839" s="49" t="s">
        <v>23</v>
      </c>
      <c r="J3839" s="36">
        <f t="shared" si="20"/>
        <v>45922.47491</v>
      </c>
      <c r="K3839" s="49" t="s">
        <v>920</v>
      </c>
      <c r="L3839" s="49" t="s">
        <v>23</v>
      </c>
      <c r="M3839" s="36">
        <f t="shared" si="33"/>
        <v>45922.47491</v>
      </c>
      <c r="N3839" s="30" t="str">
        <f t="shared" si="34"/>
        <v>Selesai</v>
      </c>
      <c r="O3839" s="45">
        <f t="shared" si="23"/>
        <v>45922.47491</v>
      </c>
      <c r="P3839" s="47" t="b">
        <v>1</v>
      </c>
      <c r="Q3839" s="36">
        <f t="shared" si="35"/>
        <v>45922.47493</v>
      </c>
      <c r="R3839" s="47" t="b">
        <v>0</v>
      </c>
      <c r="S3839" s="42" t="str">
        <f t="shared" si="28"/>
        <v/>
      </c>
      <c r="T3839" s="42"/>
    </row>
    <row r="3840" ht="22.5" customHeight="1">
      <c r="B3840" s="42">
        <f t="shared" si="7"/>
        <v>3834</v>
      </c>
      <c r="C3840" s="31" t="s">
        <v>3885</v>
      </c>
      <c r="D3840" s="34" t="str">
        <f t="array" ref="D3840">IFNA(_xlfn.XLOOKUP(C3840,Table_Tarikan_Warkah[Nomor Sertipikat],Table_Tarikan_Warkah[Nomor Tiket]),"")</f>
        <v>K/5/210825/1</v>
      </c>
      <c r="E3840" s="36" t="str">
        <f t="array" ref="E3840">IFNA(_xlfn.XLOOKUP(D3840,Table_Tarikan_Warkah[Nomor Tiket],Table_Tarikan_Warkah[Tanggal diserahkan kepada Validator]),"")</f>
        <v/>
      </c>
      <c r="F3840" s="36" t="str">
        <f t="array" ref="F3840">IFNA(_xlfn.XLOOKUP(D3840,Table_Tarikan_Warkah[Nomor Tiket],Table_Tarikan_Warkah[Nama Petugas Warkah]),"")</f>
        <v/>
      </c>
      <c r="G3840" s="39" t="str">
        <f t="array" ref="G3840">IFNA(_xlfn.XLOOKUP(D3840,Table_Tarikan_Warkah[Nomor Tiket],Table_Tarikan_Warkah[Jenis Permohonan]),"")</f>
        <v>BN JUAL BELI</v>
      </c>
      <c r="H3840" s="41" t="s">
        <v>920</v>
      </c>
      <c r="I3840" s="49" t="s">
        <v>23</v>
      </c>
      <c r="J3840" s="36">
        <f t="shared" si="20"/>
        <v>45922.47509</v>
      </c>
      <c r="K3840" s="49" t="s">
        <v>920</v>
      </c>
      <c r="L3840" s="49" t="s">
        <v>23</v>
      </c>
      <c r="M3840" s="36">
        <f t="shared" si="33"/>
        <v>45922.47512</v>
      </c>
      <c r="N3840" s="30" t="str">
        <f t="shared" si="34"/>
        <v>Selesai</v>
      </c>
      <c r="O3840" s="45">
        <f t="shared" si="23"/>
        <v>45922.47512</v>
      </c>
      <c r="P3840" s="47" t="b">
        <v>1</v>
      </c>
      <c r="Q3840" s="36">
        <f t="shared" si="35"/>
        <v>45922.47515</v>
      </c>
      <c r="R3840" s="47" t="b">
        <v>0</v>
      </c>
      <c r="S3840" s="42" t="str">
        <f t="shared" si="28"/>
        <v/>
      </c>
      <c r="T3840" s="42"/>
    </row>
    <row r="3841" ht="22.5" customHeight="1">
      <c r="B3841" s="42">
        <f t="shared" si="7"/>
        <v>3835</v>
      </c>
      <c r="C3841" s="31" t="s">
        <v>3886</v>
      </c>
      <c r="D3841" s="34" t="str">
        <f t="array" ref="D3841">IFNA(_xlfn.XLOOKUP(C3841,Table_Tarikan_Warkah[Nomor Sertipikat],Table_Tarikan_Warkah[Nomor Tiket]),"")</f>
        <v>K/5/180325/1</v>
      </c>
      <c r="E3841" s="36" t="str">
        <f t="array" ref="E3841">IFNA(_xlfn.XLOOKUP(D3841,Table_Tarikan_Warkah[Nomor Tiket],Table_Tarikan_Warkah[Tanggal diserahkan kepada Validator]),"")</f>
        <v/>
      </c>
      <c r="F3841" s="36" t="str">
        <f t="array" ref="F3841">IFNA(_xlfn.XLOOKUP(D3841,Table_Tarikan_Warkah[Nomor Tiket],Table_Tarikan_Warkah[Nama Petugas Warkah]),"")</f>
        <v/>
      </c>
      <c r="G3841" s="39" t="str">
        <f t="array" ref="G3841">IFNA(_xlfn.XLOOKUP(D3841,Table_Tarikan_Warkah[Nomor Tiket],Table_Tarikan_Warkah[Jenis Permohonan]),"")</f>
        <v>HIBAH</v>
      </c>
      <c r="H3841" s="41" t="s">
        <v>2315</v>
      </c>
      <c r="I3841" s="49" t="s">
        <v>23</v>
      </c>
      <c r="J3841" s="36">
        <f t="shared" si="20"/>
        <v>45923.48047</v>
      </c>
      <c r="K3841" s="49" t="s">
        <v>2378</v>
      </c>
      <c r="L3841" s="49" t="s">
        <v>23</v>
      </c>
      <c r="M3841" s="36">
        <f t="shared" si="33"/>
        <v>45924.67977</v>
      </c>
      <c r="N3841" s="30" t="str">
        <f t="shared" si="34"/>
        <v>Selesai</v>
      </c>
      <c r="O3841" s="45">
        <f t="shared" si="23"/>
        <v>45924.67977</v>
      </c>
      <c r="P3841" s="47" t="b">
        <v>0</v>
      </c>
      <c r="Q3841" s="36" t="str">
        <f t="shared" si="35"/>
        <v/>
      </c>
      <c r="R3841" s="47" t="b">
        <v>0</v>
      </c>
      <c r="S3841" s="42" t="str">
        <f t="shared" si="28"/>
        <v/>
      </c>
      <c r="T3841" s="42"/>
    </row>
    <row r="3842" ht="22.5" customHeight="1">
      <c r="B3842" s="42">
        <f t="shared" si="7"/>
        <v>3836</v>
      </c>
      <c r="C3842" s="31" t="s">
        <v>3887</v>
      </c>
      <c r="D3842" s="34" t="str">
        <f t="array" ref="D3842">IFNA(_xlfn.XLOOKUP(C3842,Table_Tarikan_Warkah[Nomor Sertipikat],Table_Tarikan_Warkah[Nomor Tiket]),"")</f>
        <v>K/18/070826/1</v>
      </c>
      <c r="E3842" s="36">
        <f t="array" ref="E3842">IFNA(_xlfn.XLOOKUP(D3842,Table_Tarikan_Warkah[Nomor Tiket],Table_Tarikan_Warkah[Tanggal diserahkan kepada Validator]),"")</f>
        <v>45908.63262</v>
      </c>
      <c r="F3842" s="36" t="str">
        <f t="array" ref="F3842">IFNA(_xlfn.XLOOKUP(D3842,Table_Tarikan_Warkah[Nomor Tiket],Table_Tarikan_Warkah[Nama Petugas Warkah]),"")</f>
        <v>Berry</v>
      </c>
      <c r="G3842" s="39" t="str">
        <f t="array" ref="G3842">IFNA(_xlfn.XLOOKUP(D3842,Table_Tarikan_Warkah[Nomor Tiket],Table_Tarikan_Warkah[Jenis Permohonan]),"")</f>
        <v>BN HIBAH</v>
      </c>
      <c r="H3842" s="41" t="s">
        <v>2315</v>
      </c>
      <c r="I3842" s="49" t="s">
        <v>23</v>
      </c>
      <c r="J3842" s="36">
        <f t="shared" si="20"/>
        <v>45923.48061</v>
      </c>
      <c r="K3842" s="49" t="s">
        <v>2378</v>
      </c>
      <c r="L3842" s="49" t="s">
        <v>23</v>
      </c>
      <c r="M3842" s="36">
        <f t="shared" si="33"/>
        <v>45924.67969</v>
      </c>
      <c r="N3842" s="30" t="str">
        <f t="shared" si="34"/>
        <v>Selesai</v>
      </c>
      <c r="O3842" s="45">
        <f t="shared" si="23"/>
        <v>45924.67969</v>
      </c>
      <c r="P3842" s="47" t="b">
        <v>0</v>
      </c>
      <c r="Q3842" s="36" t="str">
        <f t="shared" si="35"/>
        <v/>
      </c>
      <c r="R3842" s="47" t="b">
        <v>0</v>
      </c>
      <c r="S3842" s="42" t="str">
        <f t="shared" si="28"/>
        <v/>
      </c>
      <c r="T3842" s="42"/>
    </row>
    <row r="3843" ht="22.5" customHeight="1">
      <c r="B3843" s="42">
        <f t="shared" si="7"/>
        <v>3837</v>
      </c>
      <c r="C3843" s="31" t="s">
        <v>3888</v>
      </c>
      <c r="D3843" s="34" t="str">
        <f t="array" ref="D3843">IFNA(_xlfn.XLOOKUP(C3843,Table_Tarikan_Warkah[Nomor Sertipikat],Table_Tarikan_Warkah[Nomor Tiket]),"")</f>
        <v>K/16/190825/3</v>
      </c>
      <c r="E3843" s="36">
        <f t="array" ref="E3843">IFNA(_xlfn.XLOOKUP(D3843,Table_Tarikan_Warkah[Nomor Tiket],Table_Tarikan_Warkah[Tanggal diserahkan kepada Validator]),"")</f>
        <v>45908.66778</v>
      </c>
      <c r="F3843" s="36" t="str">
        <f t="array" ref="F3843">IFNA(_xlfn.XLOOKUP(D3843,Table_Tarikan_Warkah[Nomor Tiket],Table_Tarikan_Warkah[Nama Petugas Warkah]),"")</f>
        <v>David</v>
      </c>
      <c r="G3843" s="39" t="str">
        <f t="array" ref="G3843">IFNA(_xlfn.XLOOKUP(D3843,Table_Tarikan_Warkah[Nomor Tiket],Table_Tarikan_Warkah[Jenis Permohonan]),"")</f>
        <v>BN HIBAH</v>
      </c>
      <c r="H3843" s="41" t="s">
        <v>2315</v>
      </c>
      <c r="I3843" s="49" t="s">
        <v>23</v>
      </c>
      <c r="J3843" s="36">
        <f t="shared" si="20"/>
        <v>45923.48074</v>
      </c>
      <c r="K3843" s="49" t="s">
        <v>2378</v>
      </c>
      <c r="L3843" s="49" t="s">
        <v>23</v>
      </c>
      <c r="M3843" s="36">
        <f t="shared" si="33"/>
        <v>45924.67984</v>
      </c>
      <c r="N3843" s="30" t="str">
        <f t="shared" si="34"/>
        <v>Selesai</v>
      </c>
      <c r="O3843" s="45">
        <f t="shared" si="23"/>
        <v>45924.67984</v>
      </c>
      <c r="P3843" s="47" t="b">
        <v>0</v>
      </c>
      <c r="Q3843" s="36" t="str">
        <f t="shared" si="35"/>
        <v/>
      </c>
      <c r="R3843" s="47" t="b">
        <v>0</v>
      </c>
      <c r="S3843" s="42" t="str">
        <f t="shared" si="28"/>
        <v/>
      </c>
      <c r="T3843" s="42"/>
    </row>
    <row r="3844" ht="22.5" customHeight="1">
      <c r="B3844" s="42">
        <f t="shared" si="7"/>
        <v>3838</v>
      </c>
      <c r="C3844" s="31" t="s">
        <v>3889</v>
      </c>
      <c r="D3844" s="34" t="str">
        <f t="array" ref="D3844">IFNA(_xlfn.XLOOKUP(C3844,Table_Tarikan_Warkah[Nomor Sertipikat],Table_Tarikan_Warkah[Nomor Tiket]),"")</f>
        <v>K/38/200825/1</v>
      </c>
      <c r="E3844" s="36" t="str">
        <f t="array" ref="E3844">IFNA(_xlfn.XLOOKUP(D3844,Table_Tarikan_Warkah[Nomor Tiket],Table_Tarikan_Warkah[Tanggal diserahkan kepada Validator]),"")</f>
        <v/>
      </c>
      <c r="F3844" s="36" t="str">
        <f t="array" ref="F3844">IFNA(_xlfn.XLOOKUP(D3844,Table_Tarikan_Warkah[Nomor Tiket],Table_Tarikan_Warkah[Nama Petugas Warkah]),"")</f>
        <v/>
      </c>
      <c r="G3844" s="39" t="str">
        <f t="array" ref="G3844">IFNA(_xlfn.XLOOKUP(D3844,Table_Tarikan_Warkah[Nomor Tiket],Table_Tarikan_Warkah[Jenis Permohonan]),"")</f>
        <v>BN JUAL BELI</v>
      </c>
      <c r="H3844" s="41" t="s">
        <v>2315</v>
      </c>
      <c r="I3844" s="49" t="s">
        <v>23</v>
      </c>
      <c r="J3844" s="36">
        <f t="shared" si="20"/>
        <v>45923.48092</v>
      </c>
      <c r="K3844" s="49" t="s">
        <v>2378</v>
      </c>
      <c r="L3844" s="49" t="s">
        <v>23</v>
      </c>
      <c r="M3844" s="36">
        <f t="shared" si="33"/>
        <v>45924.67991</v>
      </c>
      <c r="N3844" s="30" t="str">
        <f t="shared" si="34"/>
        <v>Selesai</v>
      </c>
      <c r="O3844" s="45">
        <f t="shared" si="23"/>
        <v>45924.67991</v>
      </c>
      <c r="P3844" s="47" t="b">
        <v>0</v>
      </c>
      <c r="Q3844" s="36" t="str">
        <f t="shared" si="35"/>
        <v/>
      </c>
      <c r="R3844" s="47" t="b">
        <v>0</v>
      </c>
      <c r="S3844" s="42" t="str">
        <f t="shared" si="28"/>
        <v/>
      </c>
      <c r="T3844" s="42"/>
    </row>
    <row r="3845" ht="22.5" customHeight="1">
      <c r="B3845" s="42">
        <f t="shared" si="7"/>
        <v>3839</v>
      </c>
      <c r="C3845" s="31" t="s">
        <v>3890</v>
      </c>
      <c r="D3845" s="34" t="str">
        <f t="array" ref="D3845">IFNA(_xlfn.XLOOKUP(C3845,Table_Tarikan_Warkah[Nomor Sertipikat],Table_Tarikan_Warkah[Nomor Tiket]),"")</f>
        <v>K/30/150825/1</v>
      </c>
      <c r="E3845" s="36" t="str">
        <f t="array" ref="E3845">IFNA(_xlfn.XLOOKUP(D3845,Table_Tarikan_Warkah[Nomor Tiket],Table_Tarikan_Warkah[Tanggal diserahkan kepada Validator]),"")</f>
        <v/>
      </c>
      <c r="F3845" s="36" t="str">
        <f t="array" ref="F3845">IFNA(_xlfn.XLOOKUP(D3845,Table_Tarikan_Warkah[Nomor Tiket],Table_Tarikan_Warkah[Nama Petugas Warkah]),"")</f>
        <v/>
      </c>
      <c r="G3845" s="39" t="str">
        <f t="array" ref="G3845">IFNA(_xlfn.XLOOKUP(D3845,Table_Tarikan_Warkah[Nomor Tiket],Table_Tarikan_Warkah[Jenis Permohonan]),"")</f>
        <v>ROYA</v>
      </c>
      <c r="H3845" s="41" t="s">
        <v>2315</v>
      </c>
      <c r="I3845" s="49" t="s">
        <v>23</v>
      </c>
      <c r="J3845" s="36">
        <f t="shared" si="20"/>
        <v>45923.4811</v>
      </c>
      <c r="K3845" s="49" t="s">
        <v>2378</v>
      </c>
      <c r="L3845" s="49" t="s">
        <v>23</v>
      </c>
      <c r="M3845" s="36">
        <f t="shared" si="33"/>
        <v>45924.67996</v>
      </c>
      <c r="N3845" s="30" t="str">
        <f t="shared" si="34"/>
        <v>Selesai</v>
      </c>
      <c r="O3845" s="45">
        <f t="shared" si="23"/>
        <v>45924.67996</v>
      </c>
      <c r="P3845" s="47" t="b">
        <v>0</v>
      </c>
      <c r="Q3845" s="36" t="str">
        <f t="shared" si="35"/>
        <v/>
      </c>
      <c r="R3845" s="47" t="b">
        <v>0</v>
      </c>
      <c r="S3845" s="42" t="str">
        <f t="shared" si="28"/>
        <v/>
      </c>
      <c r="T3845" s="42"/>
    </row>
    <row r="3846" ht="22.5" customHeight="1">
      <c r="B3846" s="42">
        <f t="shared" si="7"/>
        <v>3840</v>
      </c>
      <c r="C3846" s="31" t="s">
        <v>3891</v>
      </c>
      <c r="D3846" s="34" t="str">
        <f t="array" ref="D3846">IFNA(_xlfn.XLOOKUP(C3846,Table_Tarikan_Warkah[Nomor Sertipikat],Table_Tarikan_Warkah[Nomor Tiket]),"")</f>
        <v>K/11/120825/1</v>
      </c>
      <c r="E3846" s="36" t="str">
        <f t="array" ref="E3846">IFNA(_xlfn.XLOOKUP(D3846,Table_Tarikan_Warkah[Nomor Tiket],Table_Tarikan_Warkah[Tanggal diserahkan kepada Validator]),"")</f>
        <v/>
      </c>
      <c r="F3846" s="36" t="str">
        <f t="array" ref="F3846">IFNA(_xlfn.XLOOKUP(D3846,Table_Tarikan_Warkah[Nomor Tiket],Table_Tarikan_Warkah[Nama Petugas Warkah]),"")</f>
        <v/>
      </c>
      <c r="G3846" s="39" t="str">
        <f t="array" ref="G3846">IFNA(_xlfn.XLOOKUP(D3846,Table_Tarikan_Warkah[Nomor Tiket],Table_Tarikan_Warkah[Jenis Permohonan]),"")</f>
        <v>BN HIBAH</v>
      </c>
      <c r="H3846" s="41" t="s">
        <v>2315</v>
      </c>
      <c r="I3846" s="49" t="s">
        <v>23</v>
      </c>
      <c r="J3846" s="36">
        <f t="shared" si="20"/>
        <v>45923.48123</v>
      </c>
      <c r="K3846" s="49" t="s">
        <v>2378</v>
      </c>
      <c r="L3846" s="49" t="s">
        <v>23</v>
      </c>
      <c r="M3846" s="36">
        <f t="shared" si="33"/>
        <v>45924.68007</v>
      </c>
      <c r="N3846" s="30" t="str">
        <f t="shared" si="34"/>
        <v>Selesai</v>
      </c>
      <c r="O3846" s="45">
        <f t="shared" si="23"/>
        <v>45924.68007</v>
      </c>
      <c r="P3846" s="47" t="b">
        <v>0</v>
      </c>
      <c r="Q3846" s="36" t="str">
        <f t="shared" si="35"/>
        <v/>
      </c>
      <c r="R3846" s="47" t="b">
        <v>0</v>
      </c>
      <c r="S3846" s="42" t="str">
        <f t="shared" si="28"/>
        <v/>
      </c>
      <c r="T3846" s="42"/>
    </row>
    <row r="3847" ht="22.5" customHeight="1">
      <c r="B3847" s="42">
        <f t="shared" si="7"/>
        <v>3841</v>
      </c>
      <c r="C3847" s="31" t="s">
        <v>3892</v>
      </c>
      <c r="D3847" s="34" t="str">
        <f t="array" ref="D3847">IFNA(_xlfn.XLOOKUP(C3847,Table_Tarikan_Warkah[Nomor Sertipikat],Table_Tarikan_Warkah[Nomor Tiket]),"")</f>
        <v>K/31/170925/1</v>
      </c>
      <c r="E3847" s="36" t="str">
        <f t="array" ref="E3847">IFNA(_xlfn.XLOOKUP(D3847,Table_Tarikan_Warkah[Nomor Tiket],Table_Tarikan_Warkah[Tanggal diserahkan kepada Validator]),"")</f>
        <v/>
      </c>
      <c r="F3847" s="36" t="str">
        <f t="array" ref="F3847">IFNA(_xlfn.XLOOKUP(D3847,Table_Tarikan_Warkah[Nomor Tiket],Table_Tarikan_Warkah[Nama Petugas Warkah]),"")</f>
        <v/>
      </c>
      <c r="G3847" s="39" t="str">
        <f t="array" ref="G3847">IFNA(_xlfn.XLOOKUP(D3847,Table_Tarikan_Warkah[Nomor Tiket],Table_Tarikan_Warkah[Jenis Permohonan]),"")</f>
        <v>PERUBAHAN HAK</v>
      </c>
      <c r="H3847" s="41" t="s">
        <v>2315</v>
      </c>
      <c r="I3847" s="49" t="s">
        <v>23</v>
      </c>
      <c r="J3847" s="36">
        <f t="shared" si="20"/>
        <v>45923.48138</v>
      </c>
      <c r="K3847" s="49" t="s">
        <v>2378</v>
      </c>
      <c r="L3847" s="49" t="s">
        <v>23</v>
      </c>
      <c r="M3847" s="36">
        <f t="shared" si="33"/>
        <v>45924.68015</v>
      </c>
      <c r="N3847" s="30" t="str">
        <f t="shared" si="34"/>
        <v>Selesai</v>
      </c>
      <c r="O3847" s="45">
        <f t="shared" si="23"/>
        <v>45924.68015</v>
      </c>
      <c r="P3847" s="47" t="b">
        <v>0</v>
      </c>
      <c r="Q3847" s="36" t="str">
        <f t="shared" si="35"/>
        <v/>
      </c>
      <c r="R3847" s="47" t="b">
        <v>0</v>
      </c>
      <c r="S3847" s="42" t="str">
        <f t="shared" si="28"/>
        <v/>
      </c>
      <c r="T3847" s="42"/>
    </row>
    <row r="3848" ht="22.5" customHeight="1">
      <c r="B3848" s="42">
        <f t="shared" si="7"/>
        <v>3842</v>
      </c>
      <c r="C3848" s="31" t="s">
        <v>3893</v>
      </c>
      <c r="D3848" s="34" t="str">
        <f t="array" ref="D3848">IFNA(_xlfn.XLOOKUP(C3848,Table_Tarikan_Warkah[Nomor Sertipikat],Table_Tarikan_Warkah[Nomor Tiket]),"")</f>
        <v>K/55/220825/4</v>
      </c>
      <c r="E3848" s="36">
        <f t="array" ref="E3848">IFNA(_xlfn.XLOOKUP(D3848,Table_Tarikan_Warkah[Nomor Tiket],Table_Tarikan_Warkah[Tanggal diserahkan kepada Validator]),"")</f>
        <v>45922.64389</v>
      </c>
      <c r="F3848" s="36" t="str">
        <f t="array" ref="F3848">IFNA(_xlfn.XLOOKUP(D3848,Table_Tarikan_Warkah[Nomor Tiket],Table_Tarikan_Warkah[Nama Petugas Warkah]),"")</f>
        <v>Berry</v>
      </c>
      <c r="G3848" s="39" t="str">
        <f t="array" ref="G3848">IFNA(_xlfn.XLOOKUP(D3848,Table_Tarikan_Warkah[Nomor Tiket],Table_Tarikan_Warkah[Jenis Permohonan]),"")</f>
        <v>BN Jual beli	</v>
      </c>
      <c r="H3848" s="41" t="s">
        <v>920</v>
      </c>
      <c r="I3848" s="49" t="s">
        <v>23</v>
      </c>
      <c r="J3848" s="36">
        <f t="shared" si="20"/>
        <v>45923.7284</v>
      </c>
      <c r="K3848" s="49" t="s">
        <v>920</v>
      </c>
      <c r="L3848" s="49" t="s">
        <v>23</v>
      </c>
      <c r="M3848" s="36">
        <f t="shared" si="33"/>
        <v>45923.72846</v>
      </c>
      <c r="N3848" s="30" t="str">
        <f t="shared" si="34"/>
        <v>Selesai</v>
      </c>
      <c r="O3848" s="45">
        <f t="shared" si="23"/>
        <v>45923.72846</v>
      </c>
      <c r="P3848" s="47" t="b">
        <v>1</v>
      </c>
      <c r="Q3848" s="36">
        <f t="shared" si="35"/>
        <v>45923.72846</v>
      </c>
      <c r="R3848" s="47" t="b">
        <v>0</v>
      </c>
      <c r="S3848" s="42" t="str">
        <f t="shared" si="28"/>
        <v/>
      </c>
      <c r="T3848" s="42"/>
    </row>
    <row r="3849" ht="22.5" customHeight="1">
      <c r="B3849" s="42">
        <f t="shared" si="7"/>
        <v>3843</v>
      </c>
      <c r="C3849" s="31" t="s">
        <v>3894</v>
      </c>
      <c r="D3849" s="34" t="str">
        <f t="array" ref="D3849">IFNA(_xlfn.XLOOKUP(C3849,Table_Tarikan_Warkah[Nomor Sertipikat],Table_Tarikan_Warkah[Nomor Tiket]),"")</f>
        <v>K/25/020925/1</v>
      </c>
      <c r="E3849" s="36">
        <f t="array" ref="E3849">IFNA(_xlfn.XLOOKUP(D3849,Table_Tarikan_Warkah[Nomor Tiket],Table_Tarikan_Warkah[Tanggal diserahkan kepada Validator]),"")</f>
        <v>45915.58077</v>
      </c>
      <c r="F3849" s="36" t="str">
        <f t="array" ref="F3849">IFNA(_xlfn.XLOOKUP(D3849,Table_Tarikan_Warkah[Nomor Tiket],Table_Tarikan_Warkah[Nama Petugas Warkah]),"")</f>
        <v>Berry</v>
      </c>
      <c r="G3849" s="39" t="str">
        <f t="array" ref="G3849">IFNA(_xlfn.XLOOKUP(D3849,Table_Tarikan_Warkah[Nomor Tiket],Table_Tarikan_Warkah[Jenis Permohonan]),"")</f>
        <v>BN JUAL BELI EL</v>
      </c>
      <c r="H3849" s="41" t="s">
        <v>920</v>
      </c>
      <c r="I3849" s="49" t="s">
        <v>23</v>
      </c>
      <c r="J3849" s="36">
        <f t="shared" si="20"/>
        <v>45923.72857</v>
      </c>
      <c r="K3849" s="49" t="s">
        <v>920</v>
      </c>
      <c r="L3849" s="49" t="s">
        <v>23</v>
      </c>
      <c r="M3849" s="36">
        <f t="shared" si="33"/>
        <v>45923.72861</v>
      </c>
      <c r="N3849" s="30" t="str">
        <f t="shared" si="34"/>
        <v>Selesai</v>
      </c>
      <c r="O3849" s="45">
        <f t="shared" si="23"/>
        <v>45923.72861</v>
      </c>
      <c r="P3849" s="47" t="b">
        <v>1</v>
      </c>
      <c r="Q3849" s="36">
        <f t="shared" si="35"/>
        <v>45923.72863</v>
      </c>
      <c r="R3849" s="47" t="b">
        <v>0</v>
      </c>
      <c r="S3849" s="42" t="str">
        <f t="shared" si="28"/>
        <v/>
      </c>
      <c r="T3849" s="42"/>
    </row>
    <row r="3850" ht="22.5" customHeight="1">
      <c r="B3850" s="42">
        <f t="shared" si="7"/>
        <v>3844</v>
      </c>
      <c r="C3850" s="31" t="s">
        <v>3847</v>
      </c>
      <c r="D3850" s="34" t="str">
        <f t="array" ref="D3850">IFNA(_xlfn.XLOOKUP(C3850,Table_Tarikan_Warkah[Nomor Sertipikat],Table_Tarikan_Warkah[Nomor Tiket]),"")</f>
        <v>K/20/120625/1</v>
      </c>
      <c r="E3850" s="36">
        <f t="array" ref="E3850">IFNA(_xlfn.XLOOKUP(D3850,Table_Tarikan_Warkah[Nomor Tiket],Table_Tarikan_Warkah[Tanggal diserahkan kepada Validator]),"")</f>
        <v>45924.6945</v>
      </c>
      <c r="F3850" s="36" t="str">
        <f t="array" ref="F3850">IFNA(_xlfn.XLOOKUP(D3850,Table_Tarikan_Warkah[Nomor Tiket],Table_Tarikan_Warkah[Nama Petugas Warkah]),"")</f>
        <v>Berry</v>
      </c>
      <c r="G3850" s="39" t="str">
        <f t="array" ref="G3850">IFNA(_xlfn.XLOOKUP(D3850,Table_Tarikan_Warkah[Nomor Tiket],Table_Tarikan_Warkah[Jenis Permohonan]),"")</f>
        <v>BN WARIS</v>
      </c>
      <c r="H3850" s="41" t="s">
        <v>920</v>
      </c>
      <c r="I3850" s="49" t="s">
        <v>23</v>
      </c>
      <c r="J3850" s="36">
        <f t="shared" si="20"/>
        <v>45923.72883</v>
      </c>
      <c r="K3850" s="49" t="s">
        <v>920</v>
      </c>
      <c r="L3850" s="49" t="s">
        <v>23</v>
      </c>
      <c r="M3850" s="36">
        <f t="shared" si="33"/>
        <v>45923.72885</v>
      </c>
      <c r="N3850" s="30" t="str">
        <f t="shared" si="34"/>
        <v>Selesai</v>
      </c>
      <c r="O3850" s="45">
        <f t="shared" si="23"/>
        <v>45923.72885</v>
      </c>
      <c r="P3850" s="47" t="b">
        <v>1</v>
      </c>
      <c r="Q3850" s="36">
        <f t="shared" si="35"/>
        <v>45923.72888</v>
      </c>
      <c r="R3850" s="47" t="b">
        <v>0</v>
      </c>
      <c r="S3850" s="42" t="str">
        <f t="shared" si="28"/>
        <v/>
      </c>
      <c r="T3850" s="42"/>
    </row>
    <row r="3851" ht="22.5" customHeight="1">
      <c r="B3851" s="42">
        <f t="shared" si="7"/>
        <v>3845</v>
      </c>
      <c r="C3851" s="31" t="s">
        <v>3895</v>
      </c>
      <c r="D3851" s="34" t="str">
        <f t="array" ref="D3851">IFNA(_xlfn.XLOOKUP(C3851,Table_Tarikan_Warkah[Nomor Sertipikat],Table_Tarikan_Warkah[Nomor Tiket]),"")</f>
        <v>K/40/220825/2</v>
      </c>
      <c r="E3851" s="36" t="str">
        <f t="array" ref="E3851">IFNA(_xlfn.XLOOKUP(D3851,Table_Tarikan_Warkah[Nomor Tiket],Table_Tarikan_Warkah[Tanggal diserahkan kepada Validator]),"")</f>
        <v/>
      </c>
      <c r="F3851" s="36" t="str">
        <f t="array" ref="F3851">IFNA(_xlfn.XLOOKUP(D3851,Table_Tarikan_Warkah[Nomor Tiket],Table_Tarikan_Warkah[Nama Petugas Warkah]),"")</f>
        <v/>
      </c>
      <c r="G3851" s="39" t="str">
        <f t="array" ref="G3851">IFNA(_xlfn.XLOOKUP(D3851,Table_Tarikan_Warkah[Nomor Tiket],Table_Tarikan_Warkah[Jenis Permohonan]),"")</f>
        <v>BN APHB EL</v>
      </c>
      <c r="H3851" s="41" t="s">
        <v>920</v>
      </c>
      <c r="I3851" s="49" t="s">
        <v>23</v>
      </c>
      <c r="J3851" s="36">
        <f t="shared" si="20"/>
        <v>45923.72918</v>
      </c>
      <c r="K3851" s="49" t="s">
        <v>920</v>
      </c>
      <c r="L3851" s="49" t="s">
        <v>23</v>
      </c>
      <c r="M3851" s="36">
        <f t="shared" si="33"/>
        <v>45923.72921</v>
      </c>
      <c r="N3851" s="30" t="str">
        <f t="shared" si="34"/>
        <v>Selesai</v>
      </c>
      <c r="O3851" s="45">
        <f t="shared" si="23"/>
        <v>45923.72921</v>
      </c>
      <c r="P3851" s="47" t="b">
        <v>1</v>
      </c>
      <c r="Q3851" s="36">
        <f t="shared" si="35"/>
        <v>45923.73004</v>
      </c>
      <c r="R3851" s="47" t="b">
        <v>0</v>
      </c>
      <c r="S3851" s="42" t="str">
        <f t="shared" si="28"/>
        <v/>
      </c>
      <c r="T3851" s="42"/>
    </row>
    <row r="3852" ht="22.5" customHeight="1">
      <c r="B3852" s="42">
        <f t="shared" si="7"/>
        <v>3846</v>
      </c>
      <c r="C3852" s="31" t="s">
        <v>3896</v>
      </c>
      <c r="D3852" s="34" t="str">
        <f t="array" ref="D3852">IFNA(_xlfn.XLOOKUP(C3852,Table_Tarikan_Warkah[Nomor Sertipikat],Table_Tarikan_Warkah[Nomor Tiket]),"")</f>
        <v>K/8/220825/2</v>
      </c>
      <c r="E3852" s="36" t="str">
        <f t="array" ref="E3852">IFNA(_xlfn.XLOOKUP(D3852,Table_Tarikan_Warkah[Nomor Tiket],Table_Tarikan_Warkah[Tanggal diserahkan kepada Validator]),"")</f>
        <v/>
      </c>
      <c r="F3852" s="36" t="str">
        <f t="array" ref="F3852">IFNA(_xlfn.XLOOKUP(D3852,Table_Tarikan_Warkah[Nomor Tiket],Table_Tarikan_Warkah[Nama Petugas Warkah]),"")</f>
        <v/>
      </c>
      <c r="G3852" s="39" t="str">
        <f t="array" ref="G3852">IFNA(_xlfn.XLOOKUP(D3852,Table_Tarikan_Warkah[Nomor Tiket],Table_Tarikan_Warkah[Jenis Permohonan]),"")</f>
        <v>BN JUAL BELI</v>
      </c>
      <c r="H3852" s="41" t="s">
        <v>920</v>
      </c>
      <c r="I3852" s="49" t="s">
        <v>23</v>
      </c>
      <c r="J3852" s="36">
        <f t="shared" si="20"/>
        <v>45923.72998</v>
      </c>
      <c r="K3852" s="49" t="s">
        <v>920</v>
      </c>
      <c r="L3852" s="49" t="s">
        <v>23</v>
      </c>
      <c r="M3852" s="36">
        <f t="shared" si="33"/>
        <v>45923.73001</v>
      </c>
      <c r="N3852" s="30" t="str">
        <f t="shared" si="34"/>
        <v>Selesai</v>
      </c>
      <c r="O3852" s="45">
        <f t="shared" si="23"/>
        <v>45923.73001</v>
      </c>
      <c r="P3852" s="47" t="b">
        <v>1</v>
      </c>
      <c r="Q3852" s="36">
        <f t="shared" si="35"/>
        <v>45923.73004</v>
      </c>
      <c r="R3852" s="47" t="b">
        <v>0</v>
      </c>
      <c r="S3852" s="42" t="str">
        <f t="shared" si="28"/>
        <v/>
      </c>
      <c r="T3852" s="42"/>
    </row>
    <row r="3853" ht="22.5" customHeight="1">
      <c r="B3853" s="42">
        <f t="shared" si="7"/>
        <v>3847</v>
      </c>
      <c r="C3853" s="31" t="s">
        <v>3897</v>
      </c>
      <c r="D3853" s="34" t="str">
        <f t="array" ref="D3853">IFNA(_xlfn.XLOOKUP(C3853,Table_Tarikan_Warkah[Nomor Sertipikat],Table_Tarikan_Warkah[Nomor Tiket]),"")</f>
        <v>K/59/220825/3</v>
      </c>
      <c r="E3853" s="36" t="str">
        <f t="array" ref="E3853">IFNA(_xlfn.XLOOKUP(D3853,Table_Tarikan_Warkah[Nomor Tiket],Table_Tarikan_Warkah[Tanggal diserahkan kepada Validator]),"")</f>
        <v/>
      </c>
      <c r="F3853" s="36" t="str">
        <f t="array" ref="F3853">IFNA(_xlfn.XLOOKUP(D3853,Table_Tarikan_Warkah[Nomor Tiket],Table_Tarikan_Warkah[Nama Petugas Warkah]),"")</f>
        <v/>
      </c>
      <c r="G3853" s="39" t="str">
        <f t="array" ref="G3853">IFNA(_xlfn.XLOOKUP(D3853,Table_Tarikan_Warkah[Nomor Tiket],Table_Tarikan_Warkah[Jenis Permohonan]),"")</f>
        <v>BN JUAL BELI</v>
      </c>
      <c r="H3853" s="41" t="s">
        <v>920</v>
      </c>
      <c r="I3853" s="49" t="s">
        <v>23</v>
      </c>
      <c r="J3853" s="36">
        <f t="shared" si="20"/>
        <v>45923.73022</v>
      </c>
      <c r="K3853" s="49" t="s">
        <v>920</v>
      </c>
      <c r="L3853" s="49" t="s">
        <v>23</v>
      </c>
      <c r="M3853" s="36">
        <f t="shared" si="33"/>
        <v>45923.73025</v>
      </c>
      <c r="N3853" s="30" t="str">
        <f t="shared" si="34"/>
        <v>Selesai</v>
      </c>
      <c r="O3853" s="45">
        <f t="shared" si="23"/>
        <v>45923.73025</v>
      </c>
      <c r="P3853" s="47" t="b">
        <v>1</v>
      </c>
      <c r="Q3853" s="36">
        <f t="shared" si="35"/>
        <v>45923.73028</v>
      </c>
      <c r="R3853" s="47" t="b">
        <v>0</v>
      </c>
      <c r="S3853" s="42" t="str">
        <f t="shared" si="28"/>
        <v/>
      </c>
      <c r="T3853" s="42"/>
    </row>
    <row r="3854" ht="22.5" customHeight="1">
      <c r="B3854" s="42">
        <f t="shared" si="7"/>
        <v>3848</v>
      </c>
      <c r="C3854" s="31" t="s">
        <v>3898</v>
      </c>
      <c r="D3854" s="34" t="str">
        <f t="array" ref="D3854">IFNA(_xlfn.XLOOKUP(C3854,Table_Tarikan_Warkah[Nomor Sertipikat],Table_Tarikan_Warkah[Nomor Tiket]),"")</f>
        <v>K/12/270825/1</v>
      </c>
      <c r="E3854" s="36">
        <f t="array" ref="E3854">IFNA(_xlfn.XLOOKUP(D3854,Table_Tarikan_Warkah[Nomor Tiket],Table_Tarikan_Warkah[Tanggal diserahkan kepada Validator]),"")</f>
        <v>45918.55157</v>
      </c>
      <c r="F3854" s="36" t="str">
        <f t="array" ref="F3854">IFNA(_xlfn.XLOOKUP(D3854,Table_Tarikan_Warkah[Nomor Tiket],Table_Tarikan_Warkah[Nama Petugas Warkah]),"")</f>
        <v>Berry</v>
      </c>
      <c r="G3854" s="39" t="str">
        <f t="array" ref="G3854">IFNA(_xlfn.XLOOKUP(D3854,Table_Tarikan_Warkah[Nomor Tiket],Table_Tarikan_Warkah[Jenis Permohonan]),"")</f>
        <v>BN Jual Beli	</v>
      </c>
      <c r="H3854" s="41" t="s">
        <v>920</v>
      </c>
      <c r="I3854" s="49" t="s">
        <v>23</v>
      </c>
      <c r="J3854" s="36">
        <f t="shared" si="20"/>
        <v>45923.73042</v>
      </c>
      <c r="K3854" s="49" t="s">
        <v>920</v>
      </c>
      <c r="L3854" s="49" t="s">
        <v>23</v>
      </c>
      <c r="M3854" s="36">
        <f t="shared" si="33"/>
        <v>45923.73042</v>
      </c>
      <c r="N3854" s="30" t="str">
        <f t="shared" si="34"/>
        <v>Selesai</v>
      </c>
      <c r="O3854" s="45">
        <f t="shared" si="23"/>
        <v>45923.73042</v>
      </c>
      <c r="P3854" s="47" t="b">
        <v>1</v>
      </c>
      <c r="Q3854" s="36">
        <f t="shared" si="35"/>
        <v>45923.73047</v>
      </c>
      <c r="R3854" s="47" t="b">
        <v>0</v>
      </c>
      <c r="S3854" s="42" t="str">
        <f t="shared" si="28"/>
        <v/>
      </c>
      <c r="T3854" s="42"/>
    </row>
    <row r="3855" ht="22.5" customHeight="1">
      <c r="B3855" s="42">
        <f t="shared" si="7"/>
        <v>3849</v>
      </c>
      <c r="C3855" s="31" t="s">
        <v>3899</v>
      </c>
      <c r="D3855" s="34" t="str">
        <f t="array" ref="D3855">IFNA(_xlfn.XLOOKUP(C3855,Table_Tarikan_Warkah[Nomor Sertipikat],Table_Tarikan_Warkah[Nomor Tiket]),"")</f>
        <v>K/23/150925/1</v>
      </c>
      <c r="E3855" s="36" t="str">
        <f t="array" ref="E3855">IFNA(_xlfn.XLOOKUP(D3855,Table_Tarikan_Warkah[Nomor Tiket],Table_Tarikan_Warkah[Tanggal diserahkan kepada Validator]),"")</f>
        <v/>
      </c>
      <c r="F3855" s="36" t="str">
        <f t="array" ref="F3855">IFNA(_xlfn.XLOOKUP(D3855,Table_Tarikan_Warkah[Nomor Tiket],Table_Tarikan_Warkah[Nama Petugas Warkah]),"")</f>
        <v/>
      </c>
      <c r="G3855" s="39" t="str">
        <f t="array" ref="G3855">IFNA(_xlfn.XLOOKUP(D3855,Table_Tarikan_Warkah[Nomor Tiket],Table_Tarikan_Warkah[Jenis Permohonan]),"")</f>
        <v>BN WARIS</v>
      </c>
      <c r="H3855" s="41" t="s">
        <v>2315</v>
      </c>
      <c r="I3855" s="49" t="s">
        <v>23</v>
      </c>
      <c r="J3855" s="36">
        <f t="shared" si="20"/>
        <v>45924.41023</v>
      </c>
      <c r="K3855" s="49" t="s">
        <v>2378</v>
      </c>
      <c r="L3855" s="49" t="s">
        <v>23</v>
      </c>
      <c r="M3855" s="36">
        <f t="shared" si="33"/>
        <v>45924.68032</v>
      </c>
      <c r="N3855" s="30" t="str">
        <f t="shared" si="34"/>
        <v>Selesai</v>
      </c>
      <c r="O3855" s="45">
        <f t="shared" si="23"/>
        <v>45924.68032</v>
      </c>
      <c r="P3855" s="47" t="b">
        <v>0</v>
      </c>
      <c r="Q3855" s="36" t="str">
        <f t="shared" si="35"/>
        <v/>
      </c>
      <c r="R3855" s="47" t="b">
        <v>0</v>
      </c>
      <c r="S3855" s="42" t="str">
        <f t="shared" si="28"/>
        <v/>
      </c>
      <c r="T3855" s="42"/>
    </row>
    <row r="3856" ht="22.5" customHeight="1">
      <c r="B3856" s="42">
        <f t="shared" si="7"/>
        <v>3850</v>
      </c>
      <c r="C3856" s="31" t="s">
        <v>3900</v>
      </c>
      <c r="D3856" s="34" t="str">
        <f t="array" ref="D3856">IFNA(_xlfn.XLOOKUP(C3856,Table_Tarikan_Warkah[Nomor Sertipikat],Table_Tarikan_Warkah[Nomor Tiket]),"")</f>
        <v>K/26/220525/2</v>
      </c>
      <c r="E3856" s="36" t="str">
        <f t="array" ref="E3856">IFNA(_xlfn.XLOOKUP(D3856,Table_Tarikan_Warkah[Nomor Tiket],Table_Tarikan_Warkah[Tanggal diserahkan kepada Validator]),"")</f>
        <v/>
      </c>
      <c r="F3856" s="36" t="str">
        <f t="array" ref="F3856">IFNA(_xlfn.XLOOKUP(D3856,Table_Tarikan_Warkah[Nomor Tiket],Table_Tarikan_Warkah[Nama Petugas Warkah]),"")</f>
        <v/>
      </c>
      <c r="G3856" s="39" t="str">
        <f t="array" ref="G3856">IFNA(_xlfn.XLOOKUP(D3856,Table_Tarikan_Warkah[Nomor Tiket],Table_Tarikan_Warkah[Jenis Permohonan]),"")</f>
        <v>PERUBAHAN HAK</v>
      </c>
      <c r="H3856" s="41" t="s">
        <v>2315</v>
      </c>
      <c r="I3856" s="49" t="s">
        <v>23</v>
      </c>
      <c r="J3856" s="36">
        <f t="shared" si="20"/>
        <v>45924.41036</v>
      </c>
      <c r="K3856" s="49" t="s">
        <v>2378</v>
      </c>
      <c r="L3856" s="49" t="s">
        <v>23</v>
      </c>
      <c r="M3856" s="36">
        <f t="shared" si="33"/>
        <v>45924.68095</v>
      </c>
      <c r="N3856" s="30" t="str">
        <f t="shared" si="34"/>
        <v>Selesai</v>
      </c>
      <c r="O3856" s="45">
        <f t="shared" si="23"/>
        <v>45924.68095</v>
      </c>
      <c r="P3856" s="47" t="b">
        <v>0</v>
      </c>
      <c r="Q3856" s="36" t="str">
        <f t="shared" si="35"/>
        <v/>
      </c>
      <c r="R3856" s="47" t="b">
        <v>0</v>
      </c>
      <c r="S3856" s="42" t="str">
        <f t="shared" si="28"/>
        <v/>
      </c>
      <c r="T3856" s="42"/>
    </row>
    <row r="3857" ht="22.5" customHeight="1">
      <c r="B3857" s="42">
        <f t="shared" si="7"/>
        <v>3851</v>
      </c>
      <c r="C3857" s="31" t="s">
        <v>3901</v>
      </c>
      <c r="D3857" s="34" t="str">
        <f t="array" ref="D3857">IFNA(_xlfn.XLOOKUP(C3857,Table_Tarikan_Warkah[Nomor Sertipikat],Table_Tarikan_Warkah[Nomor Tiket]),"")</f>
        <v>K/44/030925/1</v>
      </c>
      <c r="E3857" s="36" t="str">
        <f t="array" ref="E3857">IFNA(_xlfn.XLOOKUP(D3857,Table_Tarikan_Warkah[Nomor Tiket],Table_Tarikan_Warkah[Tanggal diserahkan kepada Validator]),"")</f>
        <v/>
      </c>
      <c r="F3857" s="36" t="str">
        <f t="array" ref="F3857">IFNA(_xlfn.XLOOKUP(D3857,Table_Tarikan_Warkah[Nomor Tiket],Table_Tarikan_Warkah[Nama Petugas Warkah]),"")</f>
        <v/>
      </c>
      <c r="G3857" s="39" t="str">
        <f t="array" ref="G3857">IFNA(_xlfn.XLOOKUP(D3857,Table_Tarikan_Warkah[Nomor Tiket],Table_Tarikan_Warkah[Jenis Permohonan]),"")</f>
        <v>Peningkatan hak	</v>
      </c>
      <c r="H3857" s="41" t="s">
        <v>2315</v>
      </c>
      <c r="I3857" s="49" t="s">
        <v>23</v>
      </c>
      <c r="J3857" s="36">
        <f t="shared" si="20"/>
        <v>45924.41053</v>
      </c>
      <c r="K3857" s="49" t="s">
        <v>2378</v>
      </c>
      <c r="L3857" s="49" t="s">
        <v>23</v>
      </c>
      <c r="M3857" s="36">
        <f t="shared" si="33"/>
        <v>45924.68042</v>
      </c>
      <c r="N3857" s="30" t="str">
        <f t="shared" si="34"/>
        <v>Selesai</v>
      </c>
      <c r="O3857" s="45">
        <f t="shared" si="23"/>
        <v>45924.68042</v>
      </c>
      <c r="P3857" s="47" t="b">
        <v>0</v>
      </c>
      <c r="Q3857" s="36" t="str">
        <f t="shared" si="35"/>
        <v/>
      </c>
      <c r="R3857" s="47" t="b">
        <v>0</v>
      </c>
      <c r="S3857" s="42" t="str">
        <f t="shared" si="28"/>
        <v/>
      </c>
      <c r="T3857" s="42"/>
    </row>
    <row r="3858" ht="22.5" customHeight="1">
      <c r="B3858" s="42">
        <f t="shared" si="7"/>
        <v>3852</v>
      </c>
      <c r="C3858" s="31" t="s">
        <v>3902</v>
      </c>
      <c r="D3858" s="34" t="str">
        <f t="array" ref="D3858">IFNA(_xlfn.XLOOKUP(C3858,Table_Tarikan_Warkah[Nomor Sertipikat],Table_Tarikan_Warkah[Nomor Tiket]),"")</f>
        <v>K/41/280825/4</v>
      </c>
      <c r="E3858" s="36" t="str">
        <f t="array" ref="E3858">IFNA(_xlfn.XLOOKUP(D3858,Table_Tarikan_Warkah[Nomor Tiket],Table_Tarikan_Warkah[Tanggal diserahkan kepada Validator]),"")</f>
        <v/>
      </c>
      <c r="F3858" s="36" t="str">
        <f t="array" ref="F3858">IFNA(_xlfn.XLOOKUP(D3858,Table_Tarikan_Warkah[Nomor Tiket],Table_Tarikan_Warkah[Nama Petugas Warkah]),"")</f>
        <v/>
      </c>
      <c r="G3858" s="39" t="str">
        <f t="array" ref="G3858">IFNA(_xlfn.XLOOKUP(D3858,Table_Tarikan_Warkah[Nomor Tiket],Table_Tarikan_Warkah[Jenis Permohonan]),"")</f>
        <v>BN Jual Beli	</v>
      </c>
      <c r="H3858" s="41" t="s">
        <v>2315</v>
      </c>
      <c r="I3858" s="49" t="s">
        <v>23</v>
      </c>
      <c r="J3858" s="36">
        <f t="shared" si="20"/>
        <v>45924.41067</v>
      </c>
      <c r="K3858" s="49" t="s">
        <v>2378</v>
      </c>
      <c r="L3858" s="49" t="s">
        <v>23</v>
      </c>
      <c r="M3858" s="36">
        <f t="shared" si="33"/>
        <v>45924.6809</v>
      </c>
      <c r="N3858" s="30" t="str">
        <f t="shared" si="34"/>
        <v>Selesai</v>
      </c>
      <c r="O3858" s="45">
        <f t="shared" si="23"/>
        <v>45924.6809</v>
      </c>
      <c r="P3858" s="47" t="b">
        <v>0</v>
      </c>
      <c r="Q3858" s="36" t="str">
        <f t="shared" si="35"/>
        <v/>
      </c>
      <c r="R3858" s="47" t="b">
        <v>0</v>
      </c>
      <c r="S3858" s="42" t="str">
        <f t="shared" si="28"/>
        <v/>
      </c>
      <c r="T3858" s="42"/>
    </row>
    <row r="3859" ht="22.5" customHeight="1">
      <c r="B3859" s="42">
        <f t="shared" si="7"/>
        <v>3853</v>
      </c>
      <c r="C3859" s="31" t="s">
        <v>3903</v>
      </c>
      <c r="D3859" s="34" t="str">
        <f t="array" ref="D3859">IFNA(_xlfn.XLOOKUP(C3859,Table_Tarikan_Warkah[Nomor Sertipikat],Table_Tarikan_Warkah[Nomor Tiket]),"")</f>
        <v>K/35/110825/1</v>
      </c>
      <c r="E3859" s="36" t="str">
        <f t="array" ref="E3859">IFNA(_xlfn.XLOOKUP(D3859,Table_Tarikan_Warkah[Nomor Tiket],Table_Tarikan_Warkah[Tanggal diserahkan kepada Validator]),"")</f>
        <v/>
      </c>
      <c r="F3859" s="36" t="str">
        <f t="array" ref="F3859">IFNA(_xlfn.XLOOKUP(D3859,Table_Tarikan_Warkah[Nomor Tiket],Table_Tarikan_Warkah[Nama Petugas Warkah]),"")</f>
        <v/>
      </c>
      <c r="G3859" s="39" t="str">
        <f t="array" ref="G3859">IFNA(_xlfn.XLOOKUP(D3859,Table_Tarikan_Warkah[Nomor Tiket],Table_Tarikan_Warkah[Jenis Permohonan]),"")</f>
        <v>BN Jual beli</v>
      </c>
      <c r="H3859" s="41" t="s">
        <v>2315</v>
      </c>
      <c r="I3859" s="49" t="s">
        <v>23</v>
      </c>
      <c r="J3859" s="36">
        <f t="shared" si="20"/>
        <v>45924.41082</v>
      </c>
      <c r="K3859" s="49" t="s">
        <v>2378</v>
      </c>
      <c r="L3859" s="49" t="s">
        <v>23</v>
      </c>
      <c r="M3859" s="36">
        <f t="shared" si="33"/>
        <v>45924.68052</v>
      </c>
      <c r="N3859" s="30" t="str">
        <f t="shared" si="34"/>
        <v>Selesai</v>
      </c>
      <c r="O3859" s="45">
        <f t="shared" si="23"/>
        <v>45924.68052</v>
      </c>
      <c r="P3859" s="47" t="b">
        <v>0</v>
      </c>
      <c r="Q3859" s="36" t="str">
        <f t="shared" si="35"/>
        <v/>
      </c>
      <c r="R3859" s="47" t="b">
        <v>0</v>
      </c>
      <c r="S3859" s="42" t="str">
        <f t="shared" si="28"/>
        <v/>
      </c>
      <c r="T3859" s="42"/>
    </row>
    <row r="3860" ht="22.5" customHeight="1">
      <c r="B3860" s="42">
        <f t="shared" si="7"/>
        <v>3854</v>
      </c>
      <c r="C3860" s="31" t="s">
        <v>3904</v>
      </c>
      <c r="D3860" s="34" t="str">
        <f t="array" ref="D3860">IFNA(_xlfn.XLOOKUP(C3860,Table_Tarikan_Warkah[Nomor Sertipikat],Table_Tarikan_Warkah[Nomor Tiket]),"")</f>
        <v>K/14/130825/1</v>
      </c>
      <c r="E3860" s="36">
        <f t="array" ref="E3860">IFNA(_xlfn.XLOOKUP(D3860,Table_Tarikan_Warkah[Nomor Tiket],Table_Tarikan_Warkah[Tanggal diserahkan kepada Validator]),"")</f>
        <v>45922.61957</v>
      </c>
      <c r="F3860" s="36" t="str">
        <f t="array" ref="F3860">IFNA(_xlfn.XLOOKUP(D3860,Table_Tarikan_Warkah[Nomor Tiket],Table_Tarikan_Warkah[Nama Petugas Warkah]),"")</f>
        <v>David</v>
      </c>
      <c r="G3860" s="39" t="str">
        <f t="array" ref="G3860">IFNA(_xlfn.XLOOKUP(D3860,Table_Tarikan_Warkah[Nomor Tiket],Table_Tarikan_Warkah[Jenis Permohonan]),"")</f>
        <v>BN JUAL BELI</v>
      </c>
      <c r="H3860" s="41" t="s">
        <v>2315</v>
      </c>
      <c r="I3860" s="49" t="s">
        <v>23</v>
      </c>
      <c r="J3860" s="36">
        <f t="shared" si="20"/>
        <v>45924.41098</v>
      </c>
      <c r="K3860" s="49" t="s">
        <v>2378</v>
      </c>
      <c r="L3860" s="49" t="s">
        <v>23</v>
      </c>
      <c r="M3860" s="36">
        <f t="shared" si="33"/>
        <v>45924.68086</v>
      </c>
      <c r="N3860" s="30" t="str">
        <f t="shared" si="34"/>
        <v>Selesai</v>
      </c>
      <c r="O3860" s="45">
        <f t="shared" si="23"/>
        <v>45924.68086</v>
      </c>
      <c r="P3860" s="47" t="b">
        <v>0</v>
      </c>
      <c r="Q3860" s="36" t="str">
        <f t="shared" si="35"/>
        <v/>
      </c>
      <c r="R3860" s="47" t="b">
        <v>0</v>
      </c>
      <c r="S3860" s="42" t="str">
        <f t="shared" si="28"/>
        <v/>
      </c>
      <c r="T3860" s="42"/>
    </row>
    <row r="3861" ht="22.5" customHeight="1">
      <c r="B3861" s="42">
        <f t="shared" si="7"/>
        <v>3855</v>
      </c>
      <c r="C3861" s="31" t="s">
        <v>3905</v>
      </c>
      <c r="D3861" s="34" t="str">
        <f t="array" ref="D3861">IFNA(_xlfn.XLOOKUP(C3861,Table_Tarikan_Warkah[Nomor Sertipikat],Table_Tarikan_Warkah[Nomor Tiket]),"")</f>
        <v>K/11/110925/1</v>
      </c>
      <c r="E3861" s="36">
        <f t="array" ref="E3861">IFNA(_xlfn.XLOOKUP(D3861,Table_Tarikan_Warkah[Nomor Tiket],Table_Tarikan_Warkah[Tanggal diserahkan kepada Validator]),"")</f>
        <v>45943.69597</v>
      </c>
      <c r="F3861" s="36" t="str">
        <f t="array" ref="F3861">IFNA(_xlfn.XLOOKUP(D3861,Table_Tarikan_Warkah[Nomor Tiket],Table_Tarikan_Warkah[Nama Petugas Warkah]),"")</f>
        <v>David</v>
      </c>
      <c r="G3861" s="39" t="str">
        <f t="array" ref="G3861">IFNA(_xlfn.XLOOKUP(D3861,Table_Tarikan_Warkah[Nomor Tiket],Table_Tarikan_Warkah[Jenis Permohonan]),"")</f>
        <v>BN Lelang	</v>
      </c>
      <c r="H3861" s="41" t="s">
        <v>2315</v>
      </c>
      <c r="I3861" s="49" t="s">
        <v>23</v>
      </c>
      <c r="J3861" s="36">
        <f t="shared" si="20"/>
        <v>45924.41137</v>
      </c>
      <c r="K3861" s="49" t="s">
        <v>2378</v>
      </c>
      <c r="L3861" s="49" t="s">
        <v>23</v>
      </c>
      <c r="M3861" s="36">
        <f t="shared" si="33"/>
        <v>45924.68076</v>
      </c>
      <c r="N3861" s="30" t="str">
        <f t="shared" si="34"/>
        <v>Selesai</v>
      </c>
      <c r="O3861" s="45">
        <f t="shared" si="23"/>
        <v>45924.68076</v>
      </c>
      <c r="P3861" s="47" t="b">
        <v>0</v>
      </c>
      <c r="Q3861" s="36" t="str">
        <f t="shared" si="35"/>
        <v/>
      </c>
      <c r="R3861" s="47" t="b">
        <v>0</v>
      </c>
      <c r="S3861" s="42" t="str">
        <f t="shared" si="28"/>
        <v/>
      </c>
      <c r="T3861" s="42"/>
    </row>
    <row r="3862" ht="22.5" customHeight="1">
      <c r="B3862" s="42">
        <f t="shared" si="7"/>
        <v>3856</v>
      </c>
      <c r="C3862" s="31" t="s">
        <v>3906</v>
      </c>
      <c r="D3862" s="34" t="str">
        <f t="array" ref="D3862">IFNA(_xlfn.XLOOKUP(C3862,Table_Tarikan_Warkah[Nomor Sertipikat],Table_Tarikan_Warkah[Nomor Tiket]),"")</f>
        <v>K/33/180925/1</v>
      </c>
      <c r="E3862" s="36">
        <f t="array" ref="E3862">IFNA(_xlfn.XLOOKUP(D3862,Table_Tarikan_Warkah[Nomor Tiket],Table_Tarikan_Warkah[Tanggal diserahkan kepada Validator]),"")</f>
        <v>45972.62879</v>
      </c>
      <c r="F3862" s="36" t="str">
        <f t="array" ref="F3862">IFNA(_xlfn.XLOOKUP(D3862,Table_Tarikan_Warkah[Nomor Tiket],Table_Tarikan_Warkah[Nama Petugas Warkah]),"")</f>
        <v>Berry</v>
      </c>
      <c r="G3862" s="39" t="str">
        <f t="array" ref="G3862">IFNA(_xlfn.XLOOKUP(D3862,Table_Tarikan_Warkah[Nomor Tiket],Table_Tarikan_Warkah[Jenis Permohonan]),"")</f>
        <v>ROYA</v>
      </c>
      <c r="H3862" s="41" t="s">
        <v>2315</v>
      </c>
      <c r="I3862" s="49" t="s">
        <v>23</v>
      </c>
      <c r="J3862" s="36">
        <f t="shared" si="20"/>
        <v>45924.41149</v>
      </c>
      <c r="K3862" s="49" t="s">
        <v>2378</v>
      </c>
      <c r="L3862" s="49" t="s">
        <v>23</v>
      </c>
      <c r="M3862" s="36">
        <f t="shared" si="33"/>
        <v>45924.68061</v>
      </c>
      <c r="N3862" s="30" t="str">
        <f t="shared" si="34"/>
        <v>Selesai</v>
      </c>
      <c r="O3862" s="45">
        <f t="shared" si="23"/>
        <v>45924.68061</v>
      </c>
      <c r="P3862" s="47" t="b">
        <v>0</v>
      </c>
      <c r="Q3862" s="36" t="str">
        <f t="shared" si="35"/>
        <v/>
      </c>
      <c r="R3862" s="47" t="b">
        <v>0</v>
      </c>
      <c r="S3862" s="42" t="str">
        <f t="shared" si="28"/>
        <v/>
      </c>
      <c r="T3862" s="42"/>
    </row>
    <row r="3863" ht="22.5" customHeight="1">
      <c r="B3863" s="42">
        <f t="shared" si="7"/>
        <v>3857</v>
      </c>
      <c r="C3863" s="31" t="s">
        <v>3907</v>
      </c>
      <c r="D3863" s="34" t="str">
        <f t="array" ref="D3863">IFNA(_xlfn.XLOOKUP(C3863,Table_Tarikan_Warkah[Nomor Sertipikat],Table_Tarikan_Warkah[Nomor Tiket]),"")</f>
        <v>K/32/280825/1</v>
      </c>
      <c r="E3863" s="36" t="str">
        <f t="array" ref="E3863">IFNA(_xlfn.XLOOKUP(D3863,Table_Tarikan_Warkah[Nomor Tiket],Table_Tarikan_Warkah[Tanggal diserahkan kepada Validator]),"")</f>
        <v/>
      </c>
      <c r="F3863" s="36" t="str">
        <f t="array" ref="F3863">IFNA(_xlfn.XLOOKUP(D3863,Table_Tarikan_Warkah[Nomor Tiket],Table_Tarikan_Warkah[Nama Petugas Warkah]),"")</f>
        <v/>
      </c>
      <c r="G3863" s="39" t="str">
        <f t="array" ref="G3863">IFNA(_xlfn.XLOOKUP(D3863,Table_Tarikan_Warkah[Nomor Tiket],Table_Tarikan_Warkah[Jenis Permohonan]),"")</f>
        <v>BN JUAL BELI</v>
      </c>
      <c r="H3863" s="41" t="s">
        <v>2315</v>
      </c>
      <c r="I3863" s="49" t="s">
        <v>23</v>
      </c>
      <c r="J3863" s="36">
        <f t="shared" si="20"/>
        <v>45924.41167</v>
      </c>
      <c r="K3863" s="49" t="s">
        <v>2378</v>
      </c>
      <c r="L3863" s="49" t="s">
        <v>23</v>
      </c>
      <c r="M3863" s="36">
        <f t="shared" si="33"/>
        <v>45924.68073</v>
      </c>
      <c r="N3863" s="30" t="str">
        <f t="shared" si="34"/>
        <v>Selesai</v>
      </c>
      <c r="O3863" s="45">
        <f t="shared" si="23"/>
        <v>45924.68073</v>
      </c>
      <c r="P3863" s="47" t="b">
        <v>0</v>
      </c>
      <c r="Q3863" s="36" t="str">
        <f t="shared" si="35"/>
        <v/>
      </c>
      <c r="R3863" s="47" t="b">
        <v>0</v>
      </c>
      <c r="S3863" s="42" t="str">
        <f t="shared" si="28"/>
        <v/>
      </c>
      <c r="T3863" s="42"/>
    </row>
    <row r="3864" ht="22.5" customHeight="1">
      <c r="B3864" s="42">
        <f t="shared" si="7"/>
        <v>3858</v>
      </c>
      <c r="C3864" s="31" t="s">
        <v>3908</v>
      </c>
      <c r="D3864" s="34" t="str">
        <f t="array" ref="D3864">IFNA(_xlfn.XLOOKUP(C3864,Table_Tarikan_Warkah[Nomor Sertipikat],Table_Tarikan_Warkah[Nomor Tiket]),"")</f>
        <v>K/52/210830/2</v>
      </c>
      <c r="E3864" s="36" t="str">
        <f t="array" ref="E3864">IFNA(_xlfn.XLOOKUP(D3864,Table_Tarikan_Warkah[Nomor Tiket],Table_Tarikan_Warkah[Tanggal diserahkan kepada Validator]),"")</f>
        <v/>
      </c>
      <c r="F3864" s="36" t="str">
        <f t="array" ref="F3864">IFNA(_xlfn.XLOOKUP(D3864,Table_Tarikan_Warkah[Nomor Tiket],Table_Tarikan_Warkah[Nama Petugas Warkah]),"")</f>
        <v/>
      </c>
      <c r="G3864" s="39" t="str">
        <f t="array" ref="G3864">IFNA(_xlfn.XLOOKUP(D3864,Table_Tarikan_Warkah[Nomor Tiket],Table_Tarikan_Warkah[Jenis Permohonan]),"")</f>
        <v>BN Jual beli</v>
      </c>
      <c r="H3864" s="41" t="s">
        <v>2315</v>
      </c>
      <c r="I3864" s="49" t="s">
        <v>23</v>
      </c>
      <c r="J3864" s="36">
        <f t="shared" si="20"/>
        <v>45926.47874</v>
      </c>
      <c r="K3864" s="49" t="s">
        <v>2378</v>
      </c>
      <c r="L3864" s="49" t="s">
        <v>23</v>
      </c>
      <c r="M3864" s="36">
        <f t="shared" si="33"/>
        <v>45929.5989</v>
      </c>
      <c r="N3864" s="30" t="str">
        <f t="shared" si="34"/>
        <v>Selesai</v>
      </c>
      <c r="O3864" s="45">
        <f t="shared" si="23"/>
        <v>45929.5989</v>
      </c>
      <c r="P3864" s="47" t="b">
        <v>0</v>
      </c>
      <c r="Q3864" s="36" t="str">
        <f t="shared" si="35"/>
        <v/>
      </c>
      <c r="R3864" s="47" t="b">
        <v>0</v>
      </c>
      <c r="S3864" s="42" t="str">
        <f t="shared" si="28"/>
        <v/>
      </c>
      <c r="T3864" s="42"/>
    </row>
    <row r="3865" ht="22.5" customHeight="1">
      <c r="B3865" s="42">
        <f t="shared" si="7"/>
        <v>3859</v>
      </c>
      <c r="C3865" s="31" t="s">
        <v>3909</v>
      </c>
      <c r="D3865" s="34" t="str">
        <f t="array" ref="D3865">IFNA(_xlfn.XLOOKUP(C3865,Table_Tarikan_Warkah[Nomor Sertipikat],Table_Tarikan_Warkah[Nomor Tiket]),"")</f>
        <v>L/17/180925/1</v>
      </c>
      <c r="E3865" s="36" t="str">
        <f t="array" ref="E3865">IFNA(_xlfn.XLOOKUP(D3865,Table_Tarikan_Warkah[Nomor Tiket],Table_Tarikan_Warkah[Tanggal diserahkan kepada Validator]),"")</f>
        <v/>
      </c>
      <c r="F3865" s="36" t="str">
        <f t="array" ref="F3865">IFNA(_xlfn.XLOOKUP(D3865,Table_Tarikan_Warkah[Nomor Tiket],Table_Tarikan_Warkah[Nama Petugas Warkah]),"")</f>
        <v/>
      </c>
      <c r="G3865" s="39" t="str">
        <f t="array" ref="G3865">IFNA(_xlfn.XLOOKUP(D3865,Table_Tarikan_Warkah[Nomor Tiket],Table_Tarikan_Warkah[Jenis Permohonan]),"")</f>
        <v>ROYA</v>
      </c>
      <c r="H3865" s="41" t="s">
        <v>2315</v>
      </c>
      <c r="I3865" s="49" t="s">
        <v>23</v>
      </c>
      <c r="J3865" s="36">
        <f t="shared" si="20"/>
        <v>45926.47887</v>
      </c>
      <c r="K3865" s="49" t="s">
        <v>2378</v>
      </c>
      <c r="L3865" s="49" t="s">
        <v>23</v>
      </c>
      <c r="M3865" s="36">
        <f t="shared" si="33"/>
        <v>45929.59926</v>
      </c>
      <c r="N3865" s="30" t="str">
        <f t="shared" si="34"/>
        <v>Selesai</v>
      </c>
      <c r="O3865" s="45">
        <f t="shared" si="23"/>
        <v>45929.59926</v>
      </c>
      <c r="P3865" s="47" t="b">
        <v>0</v>
      </c>
      <c r="Q3865" s="36" t="str">
        <f t="shared" si="35"/>
        <v/>
      </c>
      <c r="R3865" s="47" t="b">
        <v>0</v>
      </c>
      <c r="S3865" s="42" t="str">
        <f t="shared" si="28"/>
        <v/>
      </c>
      <c r="T3865" s="42"/>
    </row>
    <row r="3866" ht="22.5" customHeight="1">
      <c r="B3866" s="42">
        <f t="shared" si="7"/>
        <v>3860</v>
      </c>
      <c r="C3866" s="31" t="s">
        <v>3910</v>
      </c>
      <c r="D3866" s="34" t="str">
        <f t="array" ref="D3866">IFNA(_xlfn.XLOOKUP(C3866,Table_Tarikan_Warkah[Nomor Sertipikat],Table_Tarikan_Warkah[Nomor Tiket]),"")</f>
        <v>K/25/210825/</v>
      </c>
      <c r="E3866" s="36" t="str">
        <f t="array" ref="E3866">IFNA(_xlfn.XLOOKUP(D3866,Table_Tarikan_Warkah[Nomor Tiket],Table_Tarikan_Warkah[Tanggal diserahkan kepada Validator]),"")</f>
        <v/>
      </c>
      <c r="F3866" s="36" t="str">
        <f t="array" ref="F3866">IFNA(_xlfn.XLOOKUP(D3866,Table_Tarikan_Warkah[Nomor Tiket],Table_Tarikan_Warkah[Nama Petugas Warkah]),"")</f>
        <v/>
      </c>
      <c r="G3866" s="39" t="str">
        <f t="array" ref="G3866">IFNA(_xlfn.XLOOKUP(D3866,Table_Tarikan_Warkah[Nomor Tiket],Table_Tarikan_Warkah[Jenis Permohonan]),"")</f>
        <v>BN JUAL BELI</v>
      </c>
      <c r="H3866" s="41" t="s">
        <v>2315</v>
      </c>
      <c r="I3866" s="49" t="s">
        <v>23</v>
      </c>
      <c r="J3866" s="36">
        <f t="shared" si="20"/>
        <v>45926.47899</v>
      </c>
      <c r="K3866" s="49" t="s">
        <v>2378</v>
      </c>
      <c r="L3866" s="49" t="s">
        <v>23</v>
      </c>
      <c r="M3866" s="36">
        <f t="shared" si="33"/>
        <v>45929.60088</v>
      </c>
      <c r="N3866" s="30" t="str">
        <f t="shared" si="34"/>
        <v>Selesai</v>
      </c>
      <c r="O3866" s="45">
        <f t="shared" si="23"/>
        <v>45929.60088</v>
      </c>
      <c r="P3866" s="47" t="b">
        <v>0</v>
      </c>
      <c r="Q3866" s="36" t="str">
        <f t="shared" si="35"/>
        <v/>
      </c>
      <c r="R3866" s="47" t="b">
        <v>0</v>
      </c>
      <c r="S3866" s="42" t="str">
        <f t="shared" si="28"/>
        <v/>
      </c>
      <c r="T3866" s="42"/>
    </row>
    <row r="3867" ht="22.5" customHeight="1">
      <c r="B3867" s="42">
        <f t="shared" si="7"/>
        <v>3861</v>
      </c>
      <c r="C3867" s="31" t="s">
        <v>3911</v>
      </c>
      <c r="D3867" s="34" t="str">
        <f t="array" ref="D3867">IFNA(_xlfn.XLOOKUP(C3867,Table_Tarikan_Warkah[Nomor Sertipikat],Table_Tarikan_Warkah[Nomor Tiket]),"")</f>
        <v>K/2/080925/1</v>
      </c>
      <c r="E3867" s="36" t="str">
        <f t="array" ref="E3867">IFNA(_xlfn.XLOOKUP(D3867,Table_Tarikan_Warkah[Nomor Tiket],Table_Tarikan_Warkah[Tanggal diserahkan kepada Validator]),"")</f>
        <v/>
      </c>
      <c r="F3867" s="36" t="str">
        <f t="array" ref="F3867">IFNA(_xlfn.XLOOKUP(D3867,Table_Tarikan_Warkah[Nomor Tiket],Table_Tarikan_Warkah[Nama Petugas Warkah]),"")</f>
        <v/>
      </c>
      <c r="G3867" s="39" t="str">
        <f t="array" ref="G3867">IFNA(_xlfn.XLOOKUP(D3867,Table_Tarikan_Warkah[Nomor Tiket],Table_Tarikan_Warkah[Jenis Permohonan]),"")</f>
        <v>Peningkatan hak	</v>
      </c>
      <c r="H3867" s="41" t="s">
        <v>2315</v>
      </c>
      <c r="I3867" s="49" t="s">
        <v>23</v>
      </c>
      <c r="J3867" s="36">
        <f t="shared" si="20"/>
        <v>45926.47911</v>
      </c>
      <c r="K3867" s="49" t="s">
        <v>2378</v>
      </c>
      <c r="L3867" s="49" t="s">
        <v>23</v>
      </c>
      <c r="M3867" s="36">
        <f t="shared" si="33"/>
        <v>45929.60092</v>
      </c>
      <c r="N3867" s="30" t="str">
        <f t="shared" si="34"/>
        <v>Selesai</v>
      </c>
      <c r="O3867" s="45">
        <f t="shared" si="23"/>
        <v>45929.60092</v>
      </c>
      <c r="P3867" s="47" t="b">
        <v>0</v>
      </c>
      <c r="Q3867" s="36" t="str">
        <f t="shared" si="35"/>
        <v/>
      </c>
      <c r="R3867" s="47" t="b">
        <v>0</v>
      </c>
      <c r="S3867" s="42" t="str">
        <f t="shared" si="28"/>
        <v/>
      </c>
      <c r="T3867" s="42"/>
    </row>
    <row r="3868" ht="22.5" customHeight="1">
      <c r="B3868" s="42">
        <f t="shared" si="7"/>
        <v>3862</v>
      </c>
      <c r="C3868" s="31" t="s">
        <v>3912</v>
      </c>
      <c r="D3868" s="34" t="str">
        <f t="array" ref="D3868">IFNA(_xlfn.XLOOKUP(C3868,Table_Tarikan_Warkah[Nomor Sertipikat],Table_Tarikan_Warkah[Nomor Tiket]),"")</f>
        <v>K/38/100925/1</v>
      </c>
      <c r="E3868" s="36">
        <f t="array" ref="E3868">IFNA(_xlfn.XLOOKUP(D3868,Table_Tarikan_Warkah[Nomor Tiket],Table_Tarikan_Warkah[Tanggal diserahkan kepada Validator]),"")</f>
        <v>45922.64314</v>
      </c>
      <c r="F3868" s="36" t="str">
        <f t="array" ref="F3868">IFNA(_xlfn.XLOOKUP(D3868,Table_Tarikan_Warkah[Nomor Tiket],Table_Tarikan_Warkah[Nama Petugas Warkah]),"")</f>
        <v>Berry</v>
      </c>
      <c r="G3868" s="39" t="str">
        <f t="array" ref="G3868">IFNA(_xlfn.XLOOKUP(D3868,Table_Tarikan_Warkah[Nomor Tiket],Table_Tarikan_Warkah[Jenis Permohonan]),"")</f>
        <v>BN Waris	</v>
      </c>
      <c r="H3868" s="41" t="s">
        <v>2315</v>
      </c>
      <c r="I3868" s="49" t="s">
        <v>23</v>
      </c>
      <c r="J3868" s="36">
        <f t="shared" si="20"/>
        <v>45926.47925</v>
      </c>
      <c r="K3868" s="49" t="s">
        <v>2378</v>
      </c>
      <c r="L3868" s="49" t="s">
        <v>23</v>
      </c>
      <c r="M3868" s="36">
        <f t="shared" si="33"/>
        <v>45929.59908</v>
      </c>
      <c r="N3868" s="30" t="str">
        <f t="shared" si="34"/>
        <v>Selesai</v>
      </c>
      <c r="O3868" s="45">
        <f t="shared" si="23"/>
        <v>45929.59908</v>
      </c>
      <c r="P3868" s="47" t="b">
        <v>0</v>
      </c>
      <c r="Q3868" s="36" t="str">
        <f t="shared" si="35"/>
        <v/>
      </c>
      <c r="R3868" s="47" t="b">
        <v>0</v>
      </c>
      <c r="S3868" s="42" t="str">
        <f t="shared" si="28"/>
        <v/>
      </c>
      <c r="T3868" s="42"/>
    </row>
    <row r="3869" ht="22.5" customHeight="1">
      <c r="B3869" s="42">
        <f t="shared" si="7"/>
        <v>3863</v>
      </c>
      <c r="C3869" s="31" t="s">
        <v>3913</v>
      </c>
      <c r="D3869" s="34" t="str">
        <f t="array" ref="D3869">IFNA(_xlfn.XLOOKUP(C3869,Table_Tarikan_Warkah[Nomor Sertipikat],Table_Tarikan_Warkah[Nomor Tiket]),"")</f>
        <v>K/35/100925/1</v>
      </c>
      <c r="E3869" s="36">
        <f t="array" ref="E3869">IFNA(_xlfn.XLOOKUP(D3869,Table_Tarikan_Warkah[Nomor Tiket],Table_Tarikan_Warkah[Tanggal diserahkan kepada Validator]),"")</f>
        <v>45932.70372</v>
      </c>
      <c r="F3869" s="36" t="str">
        <f t="array" ref="F3869">IFNA(_xlfn.XLOOKUP(D3869,Table_Tarikan_Warkah[Nomor Tiket],Table_Tarikan_Warkah[Nama Petugas Warkah]),"")</f>
        <v>Berry</v>
      </c>
      <c r="G3869" s="39" t="str">
        <f t="array" ref="G3869">IFNA(_xlfn.XLOOKUP(D3869,Table_Tarikan_Warkah[Nomor Tiket],Table_Tarikan_Warkah[Jenis Permohonan]),"")</f>
        <v>ROYA</v>
      </c>
      <c r="H3869" s="41" t="s">
        <v>2315</v>
      </c>
      <c r="I3869" s="49" t="s">
        <v>23</v>
      </c>
      <c r="J3869" s="36">
        <f t="shared" si="20"/>
        <v>45926.47942</v>
      </c>
      <c r="K3869" s="49" t="s">
        <v>2378</v>
      </c>
      <c r="L3869" s="49" t="s">
        <v>23</v>
      </c>
      <c r="M3869" s="36">
        <f t="shared" si="33"/>
        <v>45929.60106</v>
      </c>
      <c r="N3869" s="30" t="str">
        <f t="shared" si="34"/>
        <v>Selesai</v>
      </c>
      <c r="O3869" s="45">
        <f t="shared" si="23"/>
        <v>45929.60106</v>
      </c>
      <c r="P3869" s="47" t="b">
        <v>0</v>
      </c>
      <c r="Q3869" s="36" t="str">
        <f t="shared" si="35"/>
        <v/>
      </c>
      <c r="R3869" s="47" t="b">
        <v>0</v>
      </c>
      <c r="S3869" s="42" t="str">
        <f t="shared" si="28"/>
        <v/>
      </c>
      <c r="T3869" s="42"/>
    </row>
    <row r="3870" ht="22.5" customHeight="1">
      <c r="B3870" s="42">
        <f t="shared" si="7"/>
        <v>3864</v>
      </c>
      <c r="C3870" s="31" t="s">
        <v>3914</v>
      </c>
      <c r="D3870" s="34" t="str">
        <f t="array" ref="D3870">IFNA(_xlfn.XLOOKUP(C3870,Table_Tarikan_Warkah[Nomor Sertipikat],Table_Tarikan_Warkah[Nomor Tiket]),"")</f>
        <v>K/12/170925/2</v>
      </c>
      <c r="E3870" s="36">
        <f t="array" ref="E3870">IFNA(_xlfn.XLOOKUP(D3870,Table_Tarikan_Warkah[Nomor Tiket],Table_Tarikan_Warkah[Tanggal diserahkan kepada Validator]),"")</f>
        <v>45966.65425</v>
      </c>
      <c r="F3870" s="36" t="str">
        <f t="array" ref="F3870">IFNA(_xlfn.XLOOKUP(D3870,Table_Tarikan_Warkah[Nomor Tiket],Table_Tarikan_Warkah[Nama Petugas Warkah]),"")</f>
        <v>Berry</v>
      </c>
      <c r="G3870" s="39" t="str">
        <f t="array" ref="G3870">IFNA(_xlfn.XLOOKUP(D3870,Table_Tarikan_Warkah[Nomor Tiket],Table_Tarikan_Warkah[Jenis Permohonan]),"")</f>
        <v>PEMECAHAN</v>
      </c>
      <c r="H3870" s="41" t="s">
        <v>2315</v>
      </c>
      <c r="I3870" s="49" t="s">
        <v>23</v>
      </c>
      <c r="J3870" s="36">
        <f t="shared" si="20"/>
        <v>45926.47959</v>
      </c>
      <c r="K3870" s="49" t="s">
        <v>2378</v>
      </c>
      <c r="L3870" s="49" t="s">
        <v>23</v>
      </c>
      <c r="M3870" s="36">
        <f t="shared" si="33"/>
        <v>45929.60151</v>
      </c>
      <c r="N3870" s="30" t="str">
        <f t="shared" si="34"/>
        <v>Selesai</v>
      </c>
      <c r="O3870" s="45">
        <f t="shared" si="23"/>
        <v>45929.60151</v>
      </c>
      <c r="P3870" s="47" t="b">
        <v>0</v>
      </c>
      <c r="Q3870" s="36" t="str">
        <f t="shared" si="35"/>
        <v/>
      </c>
      <c r="R3870" s="47" t="b">
        <v>0</v>
      </c>
      <c r="S3870" s="42" t="str">
        <f t="shared" si="28"/>
        <v/>
      </c>
      <c r="T3870" s="42"/>
    </row>
    <row r="3871" ht="22.5" customHeight="1">
      <c r="B3871" s="42">
        <f t="shared" si="7"/>
        <v>3865</v>
      </c>
      <c r="C3871" s="31" t="s">
        <v>3915</v>
      </c>
      <c r="D3871" s="34" t="str">
        <f t="array" ref="D3871">IFNA(_xlfn.XLOOKUP(C3871,Table_Tarikan_Warkah[Nomor Sertipikat],Table_Tarikan_Warkah[Nomor Tiket]),"")</f>
        <v>L/16/100925/1</v>
      </c>
      <c r="E3871" s="36" t="str">
        <f t="array" ref="E3871">IFNA(_xlfn.XLOOKUP(D3871,Table_Tarikan_Warkah[Nomor Tiket],Table_Tarikan_Warkah[Tanggal diserahkan kepada Validator]),"")</f>
        <v/>
      </c>
      <c r="F3871" s="36" t="str">
        <f t="array" ref="F3871">IFNA(_xlfn.XLOOKUP(D3871,Table_Tarikan_Warkah[Nomor Tiket],Table_Tarikan_Warkah[Nama Petugas Warkah]),"")</f>
        <v/>
      </c>
      <c r="G3871" s="39" t="str">
        <f t="array" ref="G3871">IFNA(_xlfn.XLOOKUP(D3871,Table_Tarikan_Warkah[Nomor Tiket],Table_Tarikan_Warkah[Jenis Permohonan]),"")</f>
        <v>PENINGKATAN HAK</v>
      </c>
      <c r="H3871" s="41" t="s">
        <v>2315</v>
      </c>
      <c r="I3871" s="49" t="s">
        <v>23</v>
      </c>
      <c r="J3871" s="36">
        <f t="shared" si="20"/>
        <v>45926.47982</v>
      </c>
      <c r="K3871" s="49" t="s">
        <v>2378</v>
      </c>
      <c r="L3871" s="49" t="s">
        <v>23</v>
      </c>
      <c r="M3871" s="36">
        <f t="shared" si="33"/>
        <v>45929.60115</v>
      </c>
      <c r="N3871" s="30" t="str">
        <f t="shared" si="34"/>
        <v>Selesai</v>
      </c>
      <c r="O3871" s="45">
        <f t="shared" si="23"/>
        <v>45929.60115</v>
      </c>
      <c r="P3871" s="47" t="b">
        <v>0</v>
      </c>
      <c r="Q3871" s="36" t="str">
        <f t="shared" si="35"/>
        <v/>
      </c>
      <c r="R3871" s="47" t="b">
        <v>0</v>
      </c>
      <c r="S3871" s="42" t="str">
        <f t="shared" si="28"/>
        <v/>
      </c>
      <c r="T3871" s="42"/>
    </row>
    <row r="3872" ht="22.5" customHeight="1">
      <c r="B3872" s="42">
        <f t="shared" si="7"/>
        <v>3866</v>
      </c>
      <c r="C3872" s="31" t="s">
        <v>3916</v>
      </c>
      <c r="D3872" s="34" t="str">
        <f t="array" ref="D3872">IFNA(_xlfn.XLOOKUP(C3872,Table_Tarikan_Warkah[Nomor Sertipikat],Table_Tarikan_Warkah[Nomor Tiket]),"")</f>
        <v>L/17/030925/1</v>
      </c>
      <c r="E3872" s="36" t="str">
        <f t="array" ref="E3872">IFNA(_xlfn.XLOOKUP(D3872,Table_Tarikan_Warkah[Nomor Tiket],Table_Tarikan_Warkah[Tanggal diserahkan kepada Validator]),"")</f>
        <v/>
      </c>
      <c r="F3872" s="36" t="str">
        <f t="array" ref="F3872">IFNA(_xlfn.XLOOKUP(D3872,Table_Tarikan_Warkah[Nomor Tiket],Table_Tarikan_Warkah[Nama Petugas Warkah]),"")</f>
        <v/>
      </c>
      <c r="G3872" s="39" t="str">
        <f t="array" ref="G3872">IFNA(_xlfn.XLOOKUP(D3872,Table_Tarikan_Warkah[Nomor Tiket],Table_Tarikan_Warkah[Jenis Permohonan]),"")</f>
        <v>ROYA</v>
      </c>
      <c r="H3872" s="41" t="s">
        <v>2315</v>
      </c>
      <c r="I3872" s="49" t="s">
        <v>23</v>
      </c>
      <c r="J3872" s="36">
        <f t="shared" si="20"/>
        <v>45926.48006</v>
      </c>
      <c r="K3872" s="49" t="s">
        <v>2378</v>
      </c>
      <c r="L3872" s="49" t="s">
        <v>23</v>
      </c>
      <c r="M3872" s="36">
        <f t="shared" si="33"/>
        <v>45929.60023</v>
      </c>
      <c r="N3872" s="30" t="str">
        <f t="shared" si="34"/>
        <v>Selesai</v>
      </c>
      <c r="O3872" s="45">
        <f t="shared" si="23"/>
        <v>45929.60023</v>
      </c>
      <c r="P3872" s="47" t="b">
        <v>0</v>
      </c>
      <c r="Q3872" s="36" t="str">
        <f t="shared" si="35"/>
        <v/>
      </c>
      <c r="R3872" s="47" t="b">
        <v>0</v>
      </c>
      <c r="S3872" s="42" t="str">
        <f t="shared" si="28"/>
        <v/>
      </c>
      <c r="T3872" s="42"/>
    </row>
    <row r="3873" ht="22.5" customHeight="1">
      <c r="B3873" s="42">
        <f t="shared" si="7"/>
        <v>3867</v>
      </c>
      <c r="C3873" s="31" t="s">
        <v>3917</v>
      </c>
      <c r="D3873" s="34" t="str">
        <f t="array" ref="D3873">IFNA(_xlfn.XLOOKUP(C3873,Table_Tarikan_Warkah[Nomor Sertipikat],Table_Tarikan_Warkah[Nomor Tiket]),"")</f>
        <v>L/33/170925/1</v>
      </c>
      <c r="E3873" s="36" t="str">
        <f t="array" ref="E3873">IFNA(_xlfn.XLOOKUP(D3873,Table_Tarikan_Warkah[Nomor Tiket],Table_Tarikan_Warkah[Tanggal diserahkan kepada Validator]),"")</f>
        <v/>
      </c>
      <c r="F3873" s="36" t="str">
        <f t="array" ref="F3873">IFNA(_xlfn.XLOOKUP(D3873,Table_Tarikan_Warkah[Nomor Tiket],Table_Tarikan_Warkah[Nama Petugas Warkah]),"")</f>
        <v/>
      </c>
      <c r="G3873" s="39" t="str">
        <f t="array" ref="G3873">IFNA(_xlfn.XLOOKUP(D3873,Table_Tarikan_Warkah[Nomor Tiket],Table_Tarikan_Warkah[Jenis Permohonan]),"")</f>
        <v>PENINGKATAN HAK</v>
      </c>
      <c r="H3873" s="41" t="s">
        <v>2315</v>
      </c>
      <c r="I3873" s="49" t="s">
        <v>23</v>
      </c>
      <c r="J3873" s="36">
        <f t="shared" si="20"/>
        <v>45926.4802</v>
      </c>
      <c r="K3873" s="49" t="s">
        <v>2378</v>
      </c>
      <c r="L3873" s="49" t="s">
        <v>23</v>
      </c>
      <c r="M3873" s="36">
        <f t="shared" si="33"/>
        <v>45929.60162</v>
      </c>
      <c r="N3873" s="30" t="str">
        <f t="shared" si="34"/>
        <v>Selesai</v>
      </c>
      <c r="O3873" s="45">
        <f t="shared" si="23"/>
        <v>45929.60162</v>
      </c>
      <c r="P3873" s="47" t="b">
        <v>0</v>
      </c>
      <c r="Q3873" s="36" t="str">
        <f t="shared" si="35"/>
        <v/>
      </c>
      <c r="R3873" s="47" t="b">
        <v>0</v>
      </c>
      <c r="S3873" s="42" t="str">
        <f t="shared" si="28"/>
        <v/>
      </c>
      <c r="T3873" s="42"/>
    </row>
    <row r="3874" ht="22.5" customHeight="1">
      <c r="B3874" s="42">
        <f t="shared" si="7"/>
        <v>3868</v>
      </c>
      <c r="C3874" s="31" t="s">
        <v>3918</v>
      </c>
      <c r="D3874" s="34" t="str">
        <f t="array" ref="D3874">IFNA(_xlfn.XLOOKUP(C3874,Table_Tarikan_Warkah[Nomor Sertipikat],Table_Tarikan_Warkah[Nomor Tiket]),"")</f>
        <v>L/9/170925/2</v>
      </c>
      <c r="E3874" s="36" t="str">
        <f t="array" ref="E3874">IFNA(_xlfn.XLOOKUP(D3874,Table_Tarikan_Warkah[Nomor Tiket],Table_Tarikan_Warkah[Tanggal diserahkan kepada Validator]),"")</f>
        <v/>
      </c>
      <c r="F3874" s="36" t="str">
        <f t="array" ref="F3874">IFNA(_xlfn.XLOOKUP(D3874,Table_Tarikan_Warkah[Nomor Tiket],Table_Tarikan_Warkah[Nama Petugas Warkah]),"")</f>
        <v/>
      </c>
      <c r="G3874" s="39" t="str">
        <f t="array" ref="G3874">IFNA(_xlfn.XLOOKUP(D3874,Table_Tarikan_Warkah[Nomor Tiket],Table_Tarikan_Warkah[Jenis Permohonan]),"")</f>
        <v>PERUBAHAN HAK</v>
      </c>
      <c r="H3874" s="41" t="s">
        <v>2315</v>
      </c>
      <c r="I3874" s="49" t="s">
        <v>23</v>
      </c>
      <c r="J3874" s="36">
        <f t="shared" si="20"/>
        <v>45926.48058</v>
      </c>
      <c r="K3874" s="49" t="s">
        <v>2378</v>
      </c>
      <c r="L3874" s="49" t="s">
        <v>23</v>
      </c>
      <c r="M3874" s="36">
        <f t="shared" si="33"/>
        <v>45929.60126</v>
      </c>
      <c r="N3874" s="30" t="str">
        <f t="shared" si="34"/>
        <v>Selesai</v>
      </c>
      <c r="O3874" s="45">
        <f t="shared" si="23"/>
        <v>45929.60126</v>
      </c>
      <c r="P3874" s="47" t="b">
        <v>0</v>
      </c>
      <c r="Q3874" s="36" t="str">
        <f t="shared" si="35"/>
        <v/>
      </c>
      <c r="R3874" s="47" t="b">
        <v>0</v>
      </c>
      <c r="S3874" s="42" t="str">
        <f t="shared" si="28"/>
        <v/>
      </c>
      <c r="T3874" s="42"/>
    </row>
    <row r="3875" ht="22.5" customHeight="1">
      <c r="B3875" s="42">
        <f t="shared" si="7"/>
        <v>3869</v>
      </c>
      <c r="C3875" s="31" t="s">
        <v>3919</v>
      </c>
      <c r="D3875" s="34" t="str">
        <f t="array" ref="D3875">IFNA(_xlfn.XLOOKUP(C3875,Table_Tarikan_Warkah[Nomor Sertipikat],Table_Tarikan_Warkah[Nomor Tiket]),"")</f>
        <v>L/18/190925/1</v>
      </c>
      <c r="E3875" s="36" t="str">
        <f t="array" ref="E3875">IFNA(_xlfn.XLOOKUP(D3875,Table_Tarikan_Warkah[Nomor Tiket],Table_Tarikan_Warkah[Tanggal diserahkan kepada Validator]),"")</f>
        <v/>
      </c>
      <c r="F3875" s="36" t="str">
        <f t="array" ref="F3875">IFNA(_xlfn.XLOOKUP(D3875,Table_Tarikan_Warkah[Nomor Tiket],Table_Tarikan_Warkah[Nama Petugas Warkah]),"")</f>
        <v/>
      </c>
      <c r="G3875" s="39" t="str">
        <f t="array" ref="G3875">IFNA(_xlfn.XLOOKUP(D3875,Table_Tarikan_Warkah[Nomor Tiket],Table_Tarikan_Warkah[Jenis Permohonan]),"")</f>
        <v>ROYA</v>
      </c>
      <c r="H3875" s="41" t="s">
        <v>2315</v>
      </c>
      <c r="I3875" s="49" t="s">
        <v>23</v>
      </c>
      <c r="J3875" s="36">
        <f t="shared" si="20"/>
        <v>45926.48072</v>
      </c>
      <c r="K3875" s="49" t="s">
        <v>2378</v>
      </c>
      <c r="L3875" s="49" t="s">
        <v>23</v>
      </c>
      <c r="M3875" s="36">
        <f t="shared" si="33"/>
        <v>45929.6019</v>
      </c>
      <c r="N3875" s="30" t="str">
        <f t="shared" si="34"/>
        <v>Selesai</v>
      </c>
      <c r="O3875" s="45">
        <f t="shared" si="23"/>
        <v>45929.6019</v>
      </c>
      <c r="P3875" s="47" t="b">
        <v>0</v>
      </c>
      <c r="Q3875" s="36" t="str">
        <f t="shared" si="35"/>
        <v/>
      </c>
      <c r="R3875" s="47" t="b">
        <v>0</v>
      </c>
      <c r="S3875" s="42" t="str">
        <f t="shared" si="28"/>
        <v/>
      </c>
      <c r="T3875" s="42"/>
    </row>
    <row r="3876" ht="22.5" customHeight="1">
      <c r="B3876" s="42">
        <f t="shared" si="7"/>
        <v>3870</v>
      </c>
      <c r="C3876" s="31" t="s">
        <v>3920</v>
      </c>
      <c r="D3876" s="34" t="str">
        <f t="array" ref="D3876">IFNA(_xlfn.XLOOKUP(C3876,Table_Tarikan_Warkah[Nomor Sertipikat],Table_Tarikan_Warkah[Nomor Tiket]),"")</f>
        <v>L/5/160925/1</v>
      </c>
      <c r="E3876" s="36">
        <f t="array" ref="E3876">IFNA(_xlfn.XLOOKUP(D3876,Table_Tarikan_Warkah[Nomor Tiket],Table_Tarikan_Warkah[Tanggal diserahkan kepada Validator]),"")</f>
        <v>45960.63119</v>
      </c>
      <c r="F3876" s="36" t="str">
        <f t="array" ref="F3876">IFNA(_xlfn.XLOOKUP(D3876,Table_Tarikan_Warkah[Nomor Tiket],Table_Tarikan_Warkah[Nama Petugas Warkah]),"")</f>
        <v>David</v>
      </c>
      <c r="G3876" s="39" t="str">
        <f t="array" ref="G3876">IFNA(_xlfn.XLOOKUP(D3876,Table_Tarikan_Warkah[Nomor Tiket],Table_Tarikan_Warkah[Jenis Permohonan]),"")</f>
        <v>ROYA</v>
      </c>
      <c r="H3876" s="41" t="s">
        <v>2315</v>
      </c>
      <c r="I3876" s="49" t="s">
        <v>23</v>
      </c>
      <c r="J3876" s="36">
        <f t="shared" si="20"/>
        <v>45926.4809</v>
      </c>
      <c r="K3876" s="49" t="s">
        <v>2378</v>
      </c>
      <c r="L3876" s="49" t="s">
        <v>23</v>
      </c>
      <c r="M3876" s="36">
        <f t="shared" si="33"/>
        <v>45929.60137</v>
      </c>
      <c r="N3876" s="30" t="str">
        <f t="shared" si="34"/>
        <v>Selesai</v>
      </c>
      <c r="O3876" s="45">
        <f t="shared" si="23"/>
        <v>45929.60137</v>
      </c>
      <c r="P3876" s="47" t="b">
        <v>0</v>
      </c>
      <c r="Q3876" s="36" t="str">
        <f t="shared" si="35"/>
        <v/>
      </c>
      <c r="R3876" s="47" t="b">
        <v>0</v>
      </c>
      <c r="S3876" s="42" t="str">
        <f t="shared" si="28"/>
        <v/>
      </c>
      <c r="T3876" s="42"/>
    </row>
    <row r="3877" ht="22.5" customHeight="1">
      <c r="B3877" s="42">
        <f t="shared" si="7"/>
        <v>3871</v>
      </c>
      <c r="C3877" s="31" t="s">
        <v>3921</v>
      </c>
      <c r="D3877" s="34" t="str">
        <f t="array" ref="D3877">IFNA(_xlfn.XLOOKUP(C3877,Table_Tarikan_Warkah[Nomor Sertipikat],Table_Tarikan_Warkah[Nomor Tiket]),"")</f>
        <v>L/32/290825/1</v>
      </c>
      <c r="E3877" s="36">
        <f t="array" ref="E3877">IFNA(_xlfn.XLOOKUP(D3877,Table_Tarikan_Warkah[Nomor Tiket],Table_Tarikan_Warkah[Tanggal diserahkan kepada Validator]),"")</f>
        <v>45923.61683</v>
      </c>
      <c r="F3877" s="36" t="str">
        <f t="array" ref="F3877">IFNA(_xlfn.XLOOKUP(D3877,Table_Tarikan_Warkah[Nomor Tiket],Table_Tarikan_Warkah[Nama Petugas Warkah]),"")</f>
        <v>David</v>
      </c>
      <c r="G3877" s="39" t="str">
        <f t="array" ref="G3877">IFNA(_xlfn.XLOOKUP(D3877,Table_Tarikan_Warkah[Nomor Tiket],Table_Tarikan_Warkah[Jenis Permohonan]),"")</f>
        <v>BN WARIS</v>
      </c>
      <c r="H3877" s="41" t="s">
        <v>2315</v>
      </c>
      <c r="I3877" s="49" t="s">
        <v>23</v>
      </c>
      <c r="J3877" s="36">
        <f t="shared" si="20"/>
        <v>45926.48217</v>
      </c>
      <c r="K3877" s="49" t="s">
        <v>2378</v>
      </c>
      <c r="L3877" s="49" t="s">
        <v>23</v>
      </c>
      <c r="M3877" s="36">
        <f t="shared" si="33"/>
        <v>45929.60032</v>
      </c>
      <c r="N3877" s="30" t="str">
        <f t="shared" si="34"/>
        <v>Selesai</v>
      </c>
      <c r="O3877" s="45">
        <f t="shared" si="23"/>
        <v>45929.60032</v>
      </c>
      <c r="P3877" s="47" t="b">
        <v>0</v>
      </c>
      <c r="Q3877" s="36" t="str">
        <f t="shared" si="35"/>
        <v/>
      </c>
      <c r="R3877" s="47" t="b">
        <v>0</v>
      </c>
      <c r="S3877" s="42" t="str">
        <f t="shared" si="28"/>
        <v/>
      </c>
      <c r="T3877" s="42"/>
    </row>
    <row r="3878" ht="22.5" customHeight="1">
      <c r="B3878" s="42">
        <f t="shared" si="7"/>
        <v>3872</v>
      </c>
      <c r="C3878" s="31" t="s">
        <v>3922</v>
      </c>
      <c r="D3878" s="34" t="str">
        <f t="array" ref="D3878">IFNA(_xlfn.XLOOKUP(C3878,Table_Tarikan_Warkah[Nomor Sertipikat],Table_Tarikan_Warkah[Nomor Tiket]),"")</f>
        <v>L/28/170925/1</v>
      </c>
      <c r="E3878" s="36" t="str">
        <f t="array" ref="E3878">IFNA(_xlfn.XLOOKUP(D3878,Table_Tarikan_Warkah[Nomor Tiket],Table_Tarikan_Warkah[Tanggal diserahkan kepada Validator]),"")</f>
        <v/>
      </c>
      <c r="F3878" s="36" t="str">
        <f t="array" ref="F3878">IFNA(_xlfn.XLOOKUP(D3878,Table_Tarikan_Warkah[Nomor Tiket],Table_Tarikan_Warkah[Nama Petugas Warkah]),"")</f>
        <v/>
      </c>
      <c r="G3878" s="39" t="str">
        <f t="array" ref="G3878">IFNA(_xlfn.XLOOKUP(D3878,Table_Tarikan_Warkah[Nomor Tiket],Table_Tarikan_Warkah[Jenis Permohonan]),"")</f>
        <v>ROYA</v>
      </c>
      <c r="H3878" s="41" t="s">
        <v>2315</v>
      </c>
      <c r="I3878" s="49" t="s">
        <v>23</v>
      </c>
      <c r="J3878" s="36">
        <f t="shared" si="20"/>
        <v>45926.48228</v>
      </c>
      <c r="K3878" s="49" t="s">
        <v>2378</v>
      </c>
      <c r="L3878" s="49" t="s">
        <v>23</v>
      </c>
      <c r="M3878" s="36">
        <f t="shared" si="33"/>
        <v>45929.59998</v>
      </c>
      <c r="N3878" s="30" t="str">
        <f t="shared" si="34"/>
        <v>Selesai</v>
      </c>
      <c r="O3878" s="45">
        <f t="shared" si="23"/>
        <v>45929.59998</v>
      </c>
      <c r="P3878" s="47" t="b">
        <v>0</v>
      </c>
      <c r="Q3878" s="36" t="str">
        <f t="shared" si="35"/>
        <v/>
      </c>
      <c r="R3878" s="47" t="b">
        <v>0</v>
      </c>
      <c r="S3878" s="42" t="str">
        <f t="shared" si="28"/>
        <v/>
      </c>
      <c r="T3878" s="42"/>
    </row>
    <row r="3879" ht="22.5" customHeight="1">
      <c r="B3879" s="42">
        <f t="shared" si="7"/>
        <v>3873</v>
      </c>
      <c r="C3879" s="31" t="s">
        <v>3923</v>
      </c>
      <c r="D3879" s="34" t="str">
        <f t="array" ref="D3879">IFNA(_xlfn.XLOOKUP(C3879,Table_Tarikan_Warkah[Nomor Sertipikat],Table_Tarikan_Warkah[Nomor Tiket]),"")</f>
        <v>L/31/280825/1</v>
      </c>
      <c r="E3879" s="36" t="str">
        <f t="array" ref="E3879">IFNA(_xlfn.XLOOKUP(D3879,Table_Tarikan_Warkah[Nomor Tiket],Table_Tarikan_Warkah[Tanggal diserahkan kepada Validator]),"")</f>
        <v/>
      </c>
      <c r="F3879" s="36" t="str">
        <f t="array" ref="F3879">IFNA(_xlfn.XLOOKUP(D3879,Table_Tarikan_Warkah[Nomor Tiket],Table_Tarikan_Warkah[Nama Petugas Warkah]),"")</f>
        <v/>
      </c>
      <c r="G3879" s="39" t="str">
        <f t="array" ref="G3879">IFNA(_xlfn.XLOOKUP(D3879,Table_Tarikan_Warkah[Nomor Tiket],Table_Tarikan_Warkah[Jenis Permohonan]),"")</f>
        <v>BN LELANG</v>
      </c>
      <c r="H3879" s="41" t="s">
        <v>2315</v>
      </c>
      <c r="I3879" s="49" t="s">
        <v>23</v>
      </c>
      <c r="J3879" s="36">
        <f t="shared" si="20"/>
        <v>45926.48241</v>
      </c>
      <c r="K3879" s="49" t="s">
        <v>2378</v>
      </c>
      <c r="L3879" s="49" t="s">
        <v>23</v>
      </c>
      <c r="M3879" s="36">
        <f t="shared" si="33"/>
        <v>45929.5995</v>
      </c>
      <c r="N3879" s="30" t="str">
        <f t="shared" si="34"/>
        <v>Selesai</v>
      </c>
      <c r="O3879" s="45">
        <f t="shared" si="23"/>
        <v>45929.5995</v>
      </c>
      <c r="P3879" s="47" t="b">
        <v>0</v>
      </c>
      <c r="Q3879" s="36" t="str">
        <f t="shared" si="35"/>
        <v/>
      </c>
      <c r="R3879" s="47" t="b">
        <v>0</v>
      </c>
      <c r="S3879" s="42" t="str">
        <f t="shared" si="28"/>
        <v/>
      </c>
      <c r="T3879" s="42"/>
    </row>
    <row r="3880" ht="22.5" customHeight="1">
      <c r="B3880" s="42">
        <f t="shared" si="7"/>
        <v>3874</v>
      </c>
      <c r="C3880" s="31" t="s">
        <v>3924</v>
      </c>
      <c r="D3880" s="34" t="str">
        <f t="array" ref="D3880">IFNA(_xlfn.XLOOKUP(C3880,Table_Tarikan_Warkah[Nomor Sertipikat],Table_Tarikan_Warkah[Nomor Tiket]),"")</f>
        <v>L/40/170925/1</v>
      </c>
      <c r="E3880" s="36" t="str">
        <f t="array" ref="E3880">IFNA(_xlfn.XLOOKUP(D3880,Table_Tarikan_Warkah[Nomor Tiket],Table_Tarikan_Warkah[Tanggal diserahkan kepada Validator]),"")</f>
        <v/>
      </c>
      <c r="F3880" s="36" t="str">
        <f t="array" ref="F3880">IFNA(_xlfn.XLOOKUP(D3880,Table_Tarikan_Warkah[Nomor Tiket],Table_Tarikan_Warkah[Nama Petugas Warkah]),"")</f>
        <v/>
      </c>
      <c r="G3880" s="39" t="str">
        <f t="array" ref="G3880">IFNA(_xlfn.XLOOKUP(D3880,Table_Tarikan_Warkah[Nomor Tiket],Table_Tarikan_Warkah[Jenis Permohonan]),"")</f>
        <v>PENINGKATAN HAK</v>
      </c>
      <c r="H3880" s="41" t="s">
        <v>2315</v>
      </c>
      <c r="I3880" s="49" t="s">
        <v>23</v>
      </c>
      <c r="J3880" s="36">
        <f t="shared" si="20"/>
        <v>45926.48256</v>
      </c>
      <c r="K3880" s="49" t="s">
        <v>2378</v>
      </c>
      <c r="L3880" s="49" t="s">
        <v>23</v>
      </c>
      <c r="M3880" s="36">
        <f t="shared" si="33"/>
        <v>45929.59986</v>
      </c>
      <c r="N3880" s="30" t="str">
        <f t="shared" si="34"/>
        <v>Selesai</v>
      </c>
      <c r="O3880" s="45">
        <f t="shared" si="23"/>
        <v>45929.59986</v>
      </c>
      <c r="P3880" s="47" t="b">
        <v>0</v>
      </c>
      <c r="Q3880" s="36" t="str">
        <f t="shared" si="35"/>
        <v/>
      </c>
      <c r="R3880" s="47" t="b">
        <v>0</v>
      </c>
      <c r="S3880" s="42" t="str">
        <f t="shared" si="28"/>
        <v/>
      </c>
      <c r="T3880" s="42"/>
    </row>
    <row r="3881" ht="22.5" customHeight="1">
      <c r="B3881" s="42">
        <f t="shared" si="7"/>
        <v>3875</v>
      </c>
      <c r="C3881" s="31" t="s">
        <v>3925</v>
      </c>
      <c r="D3881" s="34" t="str">
        <f t="array" ref="D3881">IFNA(_xlfn.XLOOKUP(C3881,Table_Tarikan_Warkah[Nomor Sertipikat],Table_Tarikan_Warkah[Nomor Tiket]),"")</f>
        <v>L/7/040928/1</v>
      </c>
      <c r="E3881" s="36" t="str">
        <f t="array" ref="E3881">IFNA(_xlfn.XLOOKUP(D3881,Table_Tarikan_Warkah[Nomor Tiket],Table_Tarikan_Warkah[Tanggal diserahkan kepada Validator]),"")</f>
        <v/>
      </c>
      <c r="F3881" s="36" t="str">
        <f t="array" ref="F3881">IFNA(_xlfn.XLOOKUP(D3881,Table_Tarikan_Warkah[Nomor Tiket],Table_Tarikan_Warkah[Nama Petugas Warkah]),"")</f>
        <v/>
      </c>
      <c r="G3881" s="39" t="str">
        <f t="array" ref="G3881">IFNA(_xlfn.XLOOKUP(D3881,Table_Tarikan_Warkah[Nomor Tiket],Table_Tarikan_Warkah[Jenis Permohonan]),"")</f>
        <v>ROYA</v>
      </c>
      <c r="H3881" s="41" t="s">
        <v>2315</v>
      </c>
      <c r="I3881" s="49" t="s">
        <v>23</v>
      </c>
      <c r="J3881" s="36">
        <f t="shared" si="20"/>
        <v>45926.48268</v>
      </c>
      <c r="K3881" s="49" t="s">
        <v>2378</v>
      </c>
      <c r="L3881" s="49" t="s">
        <v>23</v>
      </c>
      <c r="M3881" s="36">
        <f t="shared" si="33"/>
        <v>45929.59965</v>
      </c>
      <c r="N3881" s="30" t="str">
        <f t="shared" si="34"/>
        <v>Selesai</v>
      </c>
      <c r="O3881" s="45">
        <f t="shared" si="23"/>
        <v>45929.59965</v>
      </c>
      <c r="P3881" s="47" t="b">
        <v>0</v>
      </c>
      <c r="Q3881" s="36" t="str">
        <f t="shared" si="35"/>
        <v/>
      </c>
      <c r="R3881" s="47" t="b">
        <v>0</v>
      </c>
      <c r="S3881" s="42" t="str">
        <f t="shared" si="28"/>
        <v/>
      </c>
      <c r="T3881" s="42"/>
    </row>
    <row r="3882" ht="22.5" customHeight="1">
      <c r="B3882" s="42">
        <f t="shared" si="7"/>
        <v>3876</v>
      </c>
      <c r="C3882" s="31" t="s">
        <v>3926</v>
      </c>
      <c r="D3882" s="34" t="str">
        <f t="array" ref="D3882">IFNA(_xlfn.XLOOKUP(C3882,Table_Tarikan_Warkah[Nomor Sertipikat],Table_Tarikan_Warkah[Nomor Tiket]),"")</f>
        <v>L/10/110925/1</v>
      </c>
      <c r="E3882" s="36" t="str">
        <f t="array" ref="E3882">IFNA(_xlfn.XLOOKUP(D3882,Table_Tarikan_Warkah[Nomor Tiket],Table_Tarikan_Warkah[Tanggal diserahkan kepada Validator]),"")</f>
        <v/>
      </c>
      <c r="F3882" s="36" t="str">
        <f t="array" ref="F3882">IFNA(_xlfn.XLOOKUP(D3882,Table_Tarikan_Warkah[Nomor Tiket],Table_Tarikan_Warkah[Nama Petugas Warkah]),"")</f>
        <v/>
      </c>
      <c r="G3882" s="39" t="str">
        <f t="array" ref="G3882">IFNA(_xlfn.XLOOKUP(D3882,Table_Tarikan_Warkah[Nomor Tiket],Table_Tarikan_Warkah[Jenis Permohonan]),"")</f>
        <v>ROYA</v>
      </c>
      <c r="H3882" s="41" t="s">
        <v>2315</v>
      </c>
      <c r="I3882" s="49" t="s">
        <v>23</v>
      </c>
      <c r="J3882" s="36">
        <f t="shared" si="20"/>
        <v>45926.48282</v>
      </c>
      <c r="K3882" s="49" t="s">
        <v>2378</v>
      </c>
      <c r="L3882" s="49" t="s">
        <v>23</v>
      </c>
      <c r="M3882" s="36">
        <f t="shared" si="33"/>
        <v>45929.59976</v>
      </c>
      <c r="N3882" s="30" t="str">
        <f t="shared" si="34"/>
        <v>Selesai</v>
      </c>
      <c r="O3882" s="45">
        <f t="shared" si="23"/>
        <v>45929.59976</v>
      </c>
      <c r="P3882" s="47" t="b">
        <v>0</v>
      </c>
      <c r="Q3882" s="36" t="str">
        <f t="shared" si="35"/>
        <v/>
      </c>
      <c r="R3882" s="47" t="b">
        <v>0</v>
      </c>
      <c r="S3882" s="42" t="str">
        <f t="shared" si="28"/>
        <v/>
      </c>
      <c r="T3882" s="42"/>
    </row>
    <row r="3883" ht="22.5" customHeight="1">
      <c r="B3883" s="42">
        <f t="shared" si="7"/>
        <v>3877</v>
      </c>
      <c r="C3883" s="31" t="s">
        <v>3456</v>
      </c>
      <c r="D3883" s="34" t="str">
        <f t="array" ref="D3883">IFNA(_xlfn.XLOOKUP(C3883,Table_Tarikan_Warkah[Nomor Sertipikat],Table_Tarikan_Warkah[Nomor Tiket]),"")</f>
        <v>L/11/310725/1</v>
      </c>
      <c r="E3883" s="36" t="str">
        <f t="array" ref="E3883">IFNA(_xlfn.XLOOKUP(D3883,Table_Tarikan_Warkah[Nomor Tiket],Table_Tarikan_Warkah[Tanggal diserahkan kepada Validator]),"")</f>
        <v/>
      </c>
      <c r="F3883" s="36" t="str">
        <f t="array" ref="F3883">IFNA(_xlfn.XLOOKUP(D3883,Table_Tarikan_Warkah[Nomor Tiket],Table_Tarikan_Warkah[Nama Petugas Warkah]),"")</f>
        <v/>
      </c>
      <c r="G3883" s="39" t="str">
        <f t="array" ref="G3883">IFNA(_xlfn.XLOOKUP(D3883,Table_Tarikan_Warkah[Nomor Tiket],Table_Tarikan_Warkah[Jenis Permohonan]),"")</f>
        <v>ROYA</v>
      </c>
      <c r="H3883" s="41" t="s">
        <v>2315</v>
      </c>
      <c r="I3883" s="49" t="s">
        <v>23</v>
      </c>
      <c r="J3883" s="36">
        <f t="shared" si="20"/>
        <v>45926.48295</v>
      </c>
      <c r="K3883" s="49" t="s">
        <v>2378</v>
      </c>
      <c r="L3883" s="49" t="s">
        <v>23</v>
      </c>
      <c r="M3883" s="36">
        <f t="shared" si="33"/>
        <v>45929.60066</v>
      </c>
      <c r="N3883" s="30" t="str">
        <f t="shared" si="34"/>
        <v>Selesai</v>
      </c>
      <c r="O3883" s="45">
        <f t="shared" si="23"/>
        <v>45929.60066</v>
      </c>
      <c r="P3883" s="47" t="b">
        <v>0</v>
      </c>
      <c r="Q3883" s="36" t="str">
        <f t="shared" si="35"/>
        <v/>
      </c>
      <c r="R3883" s="47" t="b">
        <v>0</v>
      </c>
      <c r="S3883" s="42" t="str">
        <f t="shared" si="28"/>
        <v/>
      </c>
      <c r="T3883" s="42"/>
    </row>
    <row r="3884" ht="22.5" customHeight="1">
      <c r="B3884" s="42">
        <f t="shared" si="7"/>
        <v>3878</v>
      </c>
      <c r="C3884" s="31" t="s">
        <v>3927</v>
      </c>
      <c r="D3884" s="34" t="str">
        <f t="array" ref="D3884">IFNA(_xlfn.XLOOKUP(C3884,Table_Tarikan_Warkah[Nomor Sertipikat],Table_Tarikan_Warkah[Nomor Tiket]),"")</f>
        <v>L/7/020925/1</v>
      </c>
      <c r="E3884" s="36" t="str">
        <f t="array" ref="E3884">IFNA(_xlfn.XLOOKUP(D3884,Table_Tarikan_Warkah[Nomor Tiket],Table_Tarikan_Warkah[Tanggal diserahkan kepada Validator]),"")</f>
        <v/>
      </c>
      <c r="F3884" s="36" t="str">
        <f t="array" ref="F3884">IFNA(_xlfn.XLOOKUP(D3884,Table_Tarikan_Warkah[Nomor Tiket],Table_Tarikan_Warkah[Nama Petugas Warkah]),"")</f>
        <v/>
      </c>
      <c r="G3884" s="39" t="str">
        <f t="array" ref="G3884">IFNA(_xlfn.XLOOKUP(D3884,Table_Tarikan_Warkah[Nomor Tiket],Table_Tarikan_Warkah[Jenis Permohonan]),"")</f>
        <v>ROYA</v>
      </c>
      <c r="H3884" s="41" t="s">
        <v>2315</v>
      </c>
      <c r="I3884" s="49" t="s">
        <v>23</v>
      </c>
      <c r="J3884" s="36">
        <f t="shared" si="20"/>
        <v>45926.48307</v>
      </c>
      <c r="K3884" s="49" t="s">
        <v>2378</v>
      </c>
      <c r="L3884" s="49" t="s">
        <v>23</v>
      </c>
      <c r="M3884" s="36">
        <f t="shared" si="33"/>
        <v>45929.60057</v>
      </c>
      <c r="N3884" s="30" t="str">
        <f t="shared" si="34"/>
        <v>Selesai</v>
      </c>
      <c r="O3884" s="45">
        <f t="shared" si="23"/>
        <v>45929.60057</v>
      </c>
      <c r="P3884" s="47" t="b">
        <v>0</v>
      </c>
      <c r="Q3884" s="36" t="str">
        <f t="shared" si="35"/>
        <v/>
      </c>
      <c r="R3884" s="47" t="b">
        <v>0</v>
      </c>
      <c r="S3884" s="42" t="str">
        <f t="shared" si="28"/>
        <v/>
      </c>
      <c r="T3884" s="42"/>
    </row>
    <row r="3885" ht="22.5" customHeight="1">
      <c r="B3885" s="42">
        <f t="shared" si="7"/>
        <v>3879</v>
      </c>
      <c r="C3885" s="31" t="s">
        <v>3928</v>
      </c>
      <c r="D3885" s="34" t="str">
        <f t="array" ref="D3885">IFNA(_xlfn.XLOOKUP(C3885,Table_Tarikan_Warkah[Nomor Sertipikat],Table_Tarikan_Warkah[Nomor Tiket]),"")</f>
        <v>K/24/180925/1</v>
      </c>
      <c r="E3885" s="36" t="str">
        <f t="array" ref="E3885">IFNA(_xlfn.XLOOKUP(D3885,Table_Tarikan_Warkah[Nomor Tiket],Table_Tarikan_Warkah[Tanggal diserahkan kepada Validator]),"")</f>
        <v/>
      </c>
      <c r="F3885" s="36" t="str">
        <f t="array" ref="F3885">IFNA(_xlfn.XLOOKUP(D3885,Table_Tarikan_Warkah[Nomor Tiket],Table_Tarikan_Warkah[Nama Petugas Warkah]),"")</f>
        <v/>
      </c>
      <c r="G3885" s="39" t="str">
        <f t="array" ref="G3885">IFNA(_xlfn.XLOOKUP(D3885,Table_Tarikan_Warkah[Nomor Tiket],Table_Tarikan_Warkah[Jenis Permohonan]),"")</f>
        <v>PENINGKATAN HAK</v>
      </c>
      <c r="H3885" s="41" t="s">
        <v>2315</v>
      </c>
      <c r="I3885" s="49" t="s">
        <v>23</v>
      </c>
      <c r="J3885" s="36">
        <f t="shared" si="20"/>
        <v>45926.48328</v>
      </c>
      <c r="K3885" s="49" t="s">
        <v>2378</v>
      </c>
      <c r="L3885" s="49" t="s">
        <v>23</v>
      </c>
      <c r="M3885" s="36">
        <f t="shared" si="33"/>
        <v>45929.59939</v>
      </c>
      <c r="N3885" s="30" t="str">
        <f t="shared" si="34"/>
        <v>Selesai</v>
      </c>
      <c r="O3885" s="45">
        <f t="shared" si="23"/>
        <v>45929.59939</v>
      </c>
      <c r="P3885" s="47" t="b">
        <v>0</v>
      </c>
      <c r="Q3885" s="36" t="str">
        <f t="shared" si="35"/>
        <v/>
      </c>
      <c r="R3885" s="47" t="b">
        <v>0</v>
      </c>
      <c r="S3885" s="42" t="str">
        <f t="shared" si="28"/>
        <v/>
      </c>
      <c r="T3885" s="42"/>
    </row>
    <row r="3886" ht="22.5" customHeight="1">
      <c r="B3886" s="42">
        <f t="shared" si="7"/>
        <v>3880</v>
      </c>
      <c r="C3886" s="31" t="s">
        <v>3929</v>
      </c>
      <c r="D3886" s="34" t="str">
        <f t="array" ref="D3886">IFNA(_xlfn.XLOOKUP(C3886,Table_Tarikan_Warkah[Nomor Sertipikat],Table_Tarikan_Warkah[Nomor Tiket]),"")</f>
        <v>L/34/160925/1</v>
      </c>
      <c r="E3886" s="36" t="str">
        <f t="array" ref="E3886">IFNA(_xlfn.XLOOKUP(D3886,Table_Tarikan_Warkah[Nomor Tiket],Table_Tarikan_Warkah[Tanggal diserahkan kepada Validator]),"")</f>
        <v/>
      </c>
      <c r="F3886" s="36" t="str">
        <f t="array" ref="F3886">IFNA(_xlfn.XLOOKUP(D3886,Table_Tarikan_Warkah[Nomor Tiket],Table_Tarikan_Warkah[Nama Petugas Warkah]),"")</f>
        <v/>
      </c>
      <c r="G3886" s="39" t="str">
        <f t="array" ref="G3886">IFNA(_xlfn.XLOOKUP(D3886,Table_Tarikan_Warkah[Nomor Tiket],Table_Tarikan_Warkah[Jenis Permohonan]),"")</f>
        <v>ROYA</v>
      </c>
      <c r="H3886" s="41" t="s">
        <v>2315</v>
      </c>
      <c r="I3886" s="49" t="s">
        <v>23</v>
      </c>
      <c r="J3886" s="36">
        <f t="shared" si="20"/>
        <v>45926.55648</v>
      </c>
      <c r="K3886" s="49" t="s">
        <v>2378</v>
      </c>
      <c r="L3886" s="49" t="s">
        <v>23</v>
      </c>
      <c r="M3886" s="36">
        <f t="shared" si="33"/>
        <v>45929.59855</v>
      </c>
      <c r="N3886" s="30" t="str">
        <f t="shared" si="34"/>
        <v>Selesai</v>
      </c>
      <c r="O3886" s="45">
        <f t="shared" si="23"/>
        <v>45929.59855</v>
      </c>
      <c r="P3886" s="47" t="b">
        <v>0</v>
      </c>
      <c r="Q3886" s="36" t="str">
        <f t="shared" si="35"/>
        <v/>
      </c>
      <c r="R3886" s="47" t="b">
        <v>0</v>
      </c>
      <c r="S3886" s="42" t="str">
        <f t="shared" si="28"/>
        <v/>
      </c>
      <c r="T3886" s="42"/>
    </row>
    <row r="3887" ht="22.5" customHeight="1">
      <c r="B3887" s="42">
        <f t="shared" si="7"/>
        <v>3881</v>
      </c>
      <c r="C3887" s="31" t="s">
        <v>3930</v>
      </c>
      <c r="D3887" s="34" t="str">
        <f t="array" ref="D3887">IFNA(_xlfn.XLOOKUP(C3887,Table_Tarikan_Warkah[Nomor Sertipikat],Table_Tarikan_Warkah[Nomor Tiket]),"")</f>
        <v>K/19/210825/2</v>
      </c>
      <c r="E3887" s="36" t="str">
        <f t="array" ref="E3887">IFNA(_xlfn.XLOOKUP(D3887,Table_Tarikan_Warkah[Nomor Tiket],Table_Tarikan_Warkah[Tanggal diserahkan kepada Validator]),"")</f>
        <v/>
      </c>
      <c r="F3887" s="36" t="str">
        <f t="array" ref="F3887">IFNA(_xlfn.XLOOKUP(D3887,Table_Tarikan_Warkah[Nomor Tiket],Table_Tarikan_Warkah[Nama Petugas Warkah]),"")</f>
        <v/>
      </c>
      <c r="G3887" s="39" t="str">
        <f t="array" ref="G3887">IFNA(_xlfn.XLOOKUP(D3887,Table_Tarikan_Warkah[Nomor Tiket],Table_Tarikan_Warkah[Jenis Permohonan]),"")</f>
        <v>BN Jual beli</v>
      </c>
      <c r="H3887" s="41" t="s">
        <v>920</v>
      </c>
      <c r="I3887" s="49" t="s">
        <v>23</v>
      </c>
      <c r="J3887" s="36">
        <f t="shared" si="20"/>
        <v>45930.72393</v>
      </c>
      <c r="K3887" s="49" t="s">
        <v>920</v>
      </c>
      <c r="L3887" s="49" t="s">
        <v>23</v>
      </c>
      <c r="M3887" s="36">
        <f t="shared" si="33"/>
        <v>45930.72401</v>
      </c>
      <c r="N3887" s="30" t="str">
        <f t="shared" si="34"/>
        <v>Selesai</v>
      </c>
      <c r="O3887" s="45">
        <f t="shared" si="23"/>
        <v>45930.72401</v>
      </c>
      <c r="P3887" s="47" t="b">
        <v>1</v>
      </c>
      <c r="Q3887" s="36">
        <f t="shared" si="35"/>
        <v>45930.72402</v>
      </c>
      <c r="R3887" s="47" t="b">
        <v>0</v>
      </c>
      <c r="S3887" s="42" t="str">
        <f t="shared" si="28"/>
        <v/>
      </c>
      <c r="T3887" s="42"/>
    </row>
    <row r="3888" ht="22.5" customHeight="1">
      <c r="B3888" s="42">
        <f t="shared" si="7"/>
        <v>3882</v>
      </c>
      <c r="C3888" s="31" t="s">
        <v>3931</v>
      </c>
      <c r="D3888" s="34" t="str">
        <f t="array" ref="D3888">IFNA(_xlfn.XLOOKUP(C3888,Table_Tarikan_Warkah[Nomor Sertipikat],Table_Tarikan_Warkah[Nomor Tiket]),"")</f>
        <v>K/43/030625/1</v>
      </c>
      <c r="E3888" s="36">
        <f t="array" ref="E3888">IFNA(_xlfn.XLOOKUP(D3888,Table_Tarikan_Warkah[Nomor Tiket],Table_Tarikan_Warkah[Tanggal diserahkan kepada Validator]),"")</f>
        <v>45932.70345</v>
      </c>
      <c r="F3888" s="36" t="str">
        <f t="array" ref="F3888">IFNA(_xlfn.XLOOKUP(D3888,Table_Tarikan_Warkah[Nomor Tiket],Table_Tarikan_Warkah[Nama Petugas Warkah]),"")</f>
        <v>Berry</v>
      </c>
      <c r="G3888" s="39" t="str">
        <f t="array" ref="G3888">IFNA(_xlfn.XLOOKUP(D3888,Table_Tarikan_Warkah[Nomor Tiket],Table_Tarikan_Warkah[Jenis Permohonan]),"")</f>
        <v>BN JUAL BELI</v>
      </c>
      <c r="H3888" s="41" t="s">
        <v>920</v>
      </c>
      <c r="I3888" s="49" t="s">
        <v>23</v>
      </c>
      <c r="J3888" s="36">
        <f t="shared" si="20"/>
        <v>45930.72414</v>
      </c>
      <c r="K3888" s="49" t="s">
        <v>920</v>
      </c>
      <c r="L3888" s="49" t="s">
        <v>23</v>
      </c>
      <c r="M3888" s="36">
        <f t="shared" si="33"/>
        <v>45930.72417</v>
      </c>
      <c r="N3888" s="30" t="str">
        <f t="shared" si="34"/>
        <v>Selesai</v>
      </c>
      <c r="O3888" s="45">
        <f t="shared" si="23"/>
        <v>45930.72417</v>
      </c>
      <c r="P3888" s="47" t="b">
        <v>1</v>
      </c>
      <c r="Q3888" s="36">
        <f t="shared" si="35"/>
        <v>45930.7242</v>
      </c>
      <c r="R3888" s="47" t="b">
        <v>0</v>
      </c>
      <c r="S3888" s="42" t="str">
        <f t="shared" si="28"/>
        <v/>
      </c>
      <c r="T3888" s="42"/>
    </row>
    <row r="3889" ht="22.5" customHeight="1">
      <c r="B3889" s="42">
        <f t="shared" si="7"/>
        <v>3883</v>
      </c>
      <c r="C3889" s="31" t="s">
        <v>3932</v>
      </c>
      <c r="D3889" s="34" t="str">
        <f t="array" ref="D3889">IFNA(_xlfn.XLOOKUP(C3889,Table_Tarikan_Warkah[Nomor Sertipikat],Table_Tarikan_Warkah[Nomor Tiket]),"")</f>
        <v>K/27/100925/2</v>
      </c>
      <c r="E3889" s="36" t="str">
        <f t="array" ref="E3889">IFNA(_xlfn.XLOOKUP(D3889,Table_Tarikan_Warkah[Nomor Tiket],Table_Tarikan_Warkah[Tanggal diserahkan kepada Validator]),"")</f>
        <v/>
      </c>
      <c r="F3889" s="36" t="str">
        <f t="array" ref="F3889">IFNA(_xlfn.XLOOKUP(D3889,Table_Tarikan_Warkah[Nomor Tiket],Table_Tarikan_Warkah[Nama Petugas Warkah]),"")</f>
        <v/>
      </c>
      <c r="G3889" s="39" t="str">
        <f t="array" ref="G3889">IFNA(_xlfn.XLOOKUP(D3889,Table_Tarikan_Warkah[Nomor Tiket],Table_Tarikan_Warkah[Jenis Permohonan]),"")</f>
        <v>BN Jual Beli		</v>
      </c>
      <c r="H3889" s="41" t="s">
        <v>920</v>
      </c>
      <c r="I3889" s="49" t="s">
        <v>23</v>
      </c>
      <c r="J3889" s="36">
        <f t="shared" si="20"/>
        <v>45930.72447</v>
      </c>
      <c r="K3889" s="49" t="s">
        <v>920</v>
      </c>
      <c r="L3889" s="49" t="s">
        <v>23</v>
      </c>
      <c r="M3889" s="36">
        <f t="shared" si="33"/>
        <v>45930.72451</v>
      </c>
      <c r="N3889" s="30" t="str">
        <f t="shared" si="34"/>
        <v>Selesai</v>
      </c>
      <c r="O3889" s="45">
        <f t="shared" si="23"/>
        <v>45930.72451</v>
      </c>
      <c r="P3889" s="47" t="b">
        <v>1</v>
      </c>
      <c r="Q3889" s="36">
        <f t="shared" si="35"/>
        <v>45930.72453</v>
      </c>
      <c r="R3889" s="47" t="b">
        <v>0</v>
      </c>
      <c r="S3889" s="42" t="str">
        <f t="shared" si="28"/>
        <v/>
      </c>
      <c r="T3889" s="42"/>
    </row>
    <row r="3890" ht="22.5" customHeight="1">
      <c r="B3890" s="42">
        <f t="shared" si="7"/>
        <v>3884</v>
      </c>
      <c r="C3890" s="31" t="s">
        <v>3933</v>
      </c>
      <c r="D3890" s="34" t="str">
        <f t="array" ref="D3890">IFNA(_xlfn.XLOOKUP(C3890,Table_Tarikan_Warkah[Nomor Sertipikat],Table_Tarikan_Warkah[Nomor Tiket]),"")</f>
        <v>L/4/170925/1</v>
      </c>
      <c r="E3890" s="36" t="str">
        <f t="array" ref="E3890">IFNA(_xlfn.XLOOKUP(D3890,Table_Tarikan_Warkah[Nomor Tiket],Table_Tarikan_Warkah[Tanggal diserahkan kepada Validator]),"")</f>
        <v/>
      </c>
      <c r="F3890" s="36" t="str">
        <f t="array" ref="F3890">IFNA(_xlfn.XLOOKUP(D3890,Table_Tarikan_Warkah[Nomor Tiket],Table_Tarikan_Warkah[Nama Petugas Warkah]),"")</f>
        <v/>
      </c>
      <c r="G3890" s="39" t="str">
        <f t="array" ref="G3890">IFNA(_xlfn.XLOOKUP(D3890,Table_Tarikan_Warkah[Nomor Tiket],Table_Tarikan_Warkah[Jenis Permohonan]),"")</f>
        <v>PERUBAHAN HAK</v>
      </c>
      <c r="H3890" s="41" t="s">
        <v>2315</v>
      </c>
      <c r="I3890" s="49" t="s">
        <v>23</v>
      </c>
      <c r="J3890" s="36">
        <f t="shared" si="20"/>
        <v>45930.80514</v>
      </c>
      <c r="K3890" s="49" t="s">
        <v>3934</v>
      </c>
      <c r="L3890" s="49" t="s">
        <v>12</v>
      </c>
      <c r="M3890" s="36">
        <f t="shared" si="33"/>
        <v>45938.43098</v>
      </c>
      <c r="N3890" s="30" t="str">
        <f t="shared" si="34"/>
        <v>Selesai</v>
      </c>
      <c r="O3890" s="45">
        <f t="shared" si="23"/>
        <v>45938.43098</v>
      </c>
      <c r="P3890" s="47" t="b">
        <v>0</v>
      </c>
      <c r="Q3890" s="36" t="str">
        <f t="shared" si="35"/>
        <v/>
      </c>
      <c r="R3890" s="47" t="b">
        <v>0</v>
      </c>
      <c r="S3890" s="42" t="str">
        <f t="shared" si="28"/>
        <v/>
      </c>
      <c r="T3890" s="42"/>
    </row>
    <row r="3891" ht="22.5" customHeight="1">
      <c r="B3891" s="42">
        <f t="shared" si="7"/>
        <v>3885</v>
      </c>
      <c r="C3891" s="31" t="s">
        <v>3935</v>
      </c>
      <c r="D3891" s="34" t="str">
        <f t="array" ref="D3891">IFNA(_xlfn.XLOOKUP(C3891,Table_Tarikan_Warkah[Nomor Sertipikat],Table_Tarikan_Warkah[Nomor Tiket]),"")</f>
        <v>L/9/250925/1</v>
      </c>
      <c r="E3891" s="36" t="str">
        <f t="array" ref="E3891">IFNA(_xlfn.XLOOKUP(D3891,Table_Tarikan_Warkah[Nomor Tiket],Table_Tarikan_Warkah[Tanggal diserahkan kepada Validator]),"")</f>
        <v/>
      </c>
      <c r="F3891" s="36" t="str">
        <f t="array" ref="F3891">IFNA(_xlfn.XLOOKUP(D3891,Table_Tarikan_Warkah[Nomor Tiket],Table_Tarikan_Warkah[Nama Petugas Warkah]),"")</f>
        <v/>
      </c>
      <c r="G3891" s="39" t="str">
        <f t="array" ref="G3891">IFNA(_xlfn.XLOOKUP(D3891,Table_Tarikan_Warkah[Nomor Tiket],Table_Tarikan_Warkah[Jenis Permohonan]),"")</f>
        <v>PEMECAHAN</v>
      </c>
      <c r="H3891" s="41" t="s">
        <v>2315</v>
      </c>
      <c r="I3891" s="49" t="s">
        <v>23</v>
      </c>
      <c r="J3891" s="36">
        <f t="shared" si="20"/>
        <v>45930.80525</v>
      </c>
      <c r="K3891" s="49" t="s">
        <v>3934</v>
      </c>
      <c r="L3891" s="49" t="s">
        <v>12</v>
      </c>
      <c r="M3891" s="36">
        <f t="shared" si="33"/>
        <v>45938.43112</v>
      </c>
      <c r="N3891" s="30" t="str">
        <f t="shared" si="34"/>
        <v>Selesai</v>
      </c>
      <c r="O3891" s="45">
        <f t="shared" si="23"/>
        <v>45938.43112</v>
      </c>
      <c r="P3891" s="47" t="b">
        <v>0</v>
      </c>
      <c r="Q3891" s="36" t="str">
        <f t="shared" si="35"/>
        <v/>
      </c>
      <c r="R3891" s="47" t="b">
        <v>0</v>
      </c>
      <c r="S3891" s="42" t="str">
        <f t="shared" si="28"/>
        <v/>
      </c>
      <c r="T3891" s="42"/>
    </row>
    <row r="3892" ht="22.5" customHeight="1">
      <c r="B3892" s="42">
        <f t="shared" si="7"/>
        <v>3886</v>
      </c>
      <c r="C3892" s="31" t="s">
        <v>3936</v>
      </c>
      <c r="D3892" s="34" t="str">
        <f t="array" ref="D3892">IFNA(_xlfn.XLOOKUP(C3892,Table_Tarikan_Warkah[Nomor Sertipikat],Table_Tarikan_Warkah[Nomor Tiket]),"")</f>
        <v>L/32/260925/1</v>
      </c>
      <c r="E3892" s="36">
        <f t="array" ref="E3892">IFNA(_xlfn.XLOOKUP(D3892,Table_Tarikan_Warkah[Nomor Tiket],Table_Tarikan_Warkah[Tanggal diserahkan kepada Validator]),"")</f>
        <v>45950.60484</v>
      </c>
      <c r="F3892" s="36" t="str">
        <f t="array" ref="F3892">IFNA(_xlfn.XLOOKUP(D3892,Table_Tarikan_Warkah[Nomor Tiket],Table_Tarikan_Warkah[Nama Petugas Warkah]),"")</f>
        <v>David</v>
      </c>
      <c r="G3892" s="39" t="str">
        <f t="array" ref="G3892">IFNA(_xlfn.XLOOKUP(D3892,Table_Tarikan_Warkah[Nomor Tiket],Table_Tarikan_Warkah[Jenis Permohonan]),"")</f>
        <v>ROYA</v>
      </c>
      <c r="H3892" s="41" t="s">
        <v>2315</v>
      </c>
      <c r="I3892" s="49" t="s">
        <v>23</v>
      </c>
      <c r="J3892" s="36">
        <f t="shared" si="20"/>
        <v>45930.80541</v>
      </c>
      <c r="K3892" s="49" t="s">
        <v>3934</v>
      </c>
      <c r="L3892" s="49" t="s">
        <v>12</v>
      </c>
      <c r="M3892" s="36">
        <f t="shared" si="33"/>
        <v>45938.43127</v>
      </c>
      <c r="N3892" s="30" t="str">
        <f t="shared" si="34"/>
        <v>Selesai</v>
      </c>
      <c r="O3892" s="45">
        <f t="shared" si="23"/>
        <v>45938.43127</v>
      </c>
      <c r="P3892" s="47" t="b">
        <v>0</v>
      </c>
      <c r="Q3892" s="36" t="str">
        <f t="shared" si="35"/>
        <v/>
      </c>
      <c r="R3892" s="47" t="b">
        <v>0</v>
      </c>
      <c r="S3892" s="42" t="str">
        <f t="shared" si="28"/>
        <v/>
      </c>
      <c r="T3892" s="42"/>
    </row>
    <row r="3893" ht="22.5" customHeight="1">
      <c r="B3893" s="42">
        <f t="shared" si="7"/>
        <v>3887</v>
      </c>
      <c r="C3893" s="31" t="s">
        <v>3937</v>
      </c>
      <c r="D3893" s="34" t="str">
        <f t="array" ref="D3893">IFNA(_xlfn.XLOOKUP(C3893,Table_Tarikan_Warkah[Nomor Sertipikat],Table_Tarikan_Warkah[Nomor Tiket]),"")</f>
        <v>L/26/260925/1</v>
      </c>
      <c r="E3893" s="36" t="str">
        <f t="array" ref="E3893">IFNA(_xlfn.XLOOKUP(D3893,Table_Tarikan_Warkah[Nomor Tiket],Table_Tarikan_Warkah[Tanggal diserahkan kepada Validator]),"")</f>
        <v/>
      </c>
      <c r="F3893" s="36" t="str">
        <f t="array" ref="F3893">IFNA(_xlfn.XLOOKUP(D3893,Table_Tarikan_Warkah[Nomor Tiket],Table_Tarikan_Warkah[Nama Petugas Warkah]),"")</f>
        <v/>
      </c>
      <c r="G3893" s="39" t="str">
        <f t="array" ref="G3893">IFNA(_xlfn.XLOOKUP(D3893,Table_Tarikan_Warkah[Nomor Tiket],Table_Tarikan_Warkah[Jenis Permohonan]),"")</f>
        <v>ROYA</v>
      </c>
      <c r="H3893" s="41" t="s">
        <v>2315</v>
      </c>
      <c r="I3893" s="49" t="s">
        <v>23</v>
      </c>
      <c r="J3893" s="36">
        <f t="shared" si="20"/>
        <v>45930.80553</v>
      </c>
      <c r="K3893" s="49" t="s">
        <v>3934</v>
      </c>
      <c r="L3893" s="49" t="s">
        <v>12</v>
      </c>
      <c r="M3893" s="36">
        <f t="shared" si="33"/>
        <v>45938.43156</v>
      </c>
      <c r="N3893" s="30" t="str">
        <f t="shared" si="34"/>
        <v>Selesai</v>
      </c>
      <c r="O3893" s="45">
        <f t="shared" si="23"/>
        <v>45938.43156</v>
      </c>
      <c r="P3893" s="47" t="b">
        <v>0</v>
      </c>
      <c r="Q3893" s="36" t="str">
        <f t="shared" si="35"/>
        <v/>
      </c>
      <c r="R3893" s="47" t="b">
        <v>0</v>
      </c>
      <c r="S3893" s="42" t="str">
        <f t="shared" si="28"/>
        <v/>
      </c>
      <c r="T3893" s="42"/>
    </row>
    <row r="3894" ht="22.5" customHeight="1">
      <c r="B3894" s="42">
        <f t="shared" si="7"/>
        <v>3888</v>
      </c>
      <c r="C3894" s="31" t="s">
        <v>3938</v>
      </c>
      <c r="D3894" s="34" t="str">
        <f t="array" ref="D3894">IFNA(_xlfn.XLOOKUP(C3894,Table_Tarikan_Warkah[Nomor Sertipikat],Table_Tarikan_Warkah[Nomor Tiket]),"")</f>
        <v>L/1/190925/1</v>
      </c>
      <c r="E3894" s="36" t="str">
        <f t="array" ref="E3894">IFNA(_xlfn.XLOOKUP(D3894,Table_Tarikan_Warkah[Nomor Tiket],Table_Tarikan_Warkah[Tanggal diserahkan kepada Validator]),"")</f>
        <v/>
      </c>
      <c r="F3894" s="36" t="str">
        <f t="array" ref="F3894">IFNA(_xlfn.XLOOKUP(D3894,Table_Tarikan_Warkah[Nomor Tiket],Table_Tarikan_Warkah[Nama Petugas Warkah]),"")</f>
        <v/>
      </c>
      <c r="G3894" s="39" t="str">
        <f t="array" ref="G3894">IFNA(_xlfn.XLOOKUP(D3894,Table_Tarikan_Warkah[Nomor Tiket],Table_Tarikan_Warkah[Jenis Permohonan]),"")</f>
        <v>ROYA</v>
      </c>
      <c r="H3894" s="41" t="s">
        <v>2315</v>
      </c>
      <c r="I3894" s="49" t="s">
        <v>23</v>
      </c>
      <c r="J3894" s="36">
        <f t="shared" si="20"/>
        <v>45930.80565</v>
      </c>
      <c r="K3894" s="49" t="s">
        <v>3934</v>
      </c>
      <c r="L3894" s="49" t="s">
        <v>12</v>
      </c>
      <c r="M3894" s="36">
        <f t="shared" si="33"/>
        <v>45938.43173</v>
      </c>
      <c r="N3894" s="30" t="str">
        <f t="shared" si="34"/>
        <v>Selesai</v>
      </c>
      <c r="O3894" s="45">
        <f t="shared" si="23"/>
        <v>45938.43173</v>
      </c>
      <c r="P3894" s="47" t="b">
        <v>0</v>
      </c>
      <c r="Q3894" s="36" t="str">
        <f t="shared" si="35"/>
        <v/>
      </c>
      <c r="R3894" s="47" t="b">
        <v>0</v>
      </c>
      <c r="S3894" s="42" t="str">
        <f t="shared" si="28"/>
        <v/>
      </c>
      <c r="T3894" s="42"/>
    </row>
    <row r="3895" ht="22.5" customHeight="1">
      <c r="B3895" s="42">
        <f t="shared" si="7"/>
        <v>3889</v>
      </c>
      <c r="C3895" s="31" t="s">
        <v>3939</v>
      </c>
      <c r="D3895" s="34" t="str">
        <f t="array" ref="D3895">IFNA(_xlfn.XLOOKUP(C3895,Table_Tarikan_Warkah[Nomor Sertipikat],Table_Tarikan_Warkah[Nomor Tiket]),"")</f>
        <v>L/8/190925/1</v>
      </c>
      <c r="E3895" s="36">
        <f t="array" ref="E3895">IFNA(_xlfn.XLOOKUP(D3895,Table_Tarikan_Warkah[Nomor Tiket],Table_Tarikan_Warkah[Tanggal diserahkan kepada Validator]),"")</f>
        <v>45950.60212</v>
      </c>
      <c r="F3895" s="36" t="str">
        <f t="array" ref="F3895">IFNA(_xlfn.XLOOKUP(D3895,Table_Tarikan_Warkah[Nomor Tiket],Table_Tarikan_Warkah[Nama Petugas Warkah]),"")</f>
        <v>David</v>
      </c>
      <c r="G3895" s="39" t="str">
        <f t="array" ref="G3895">IFNA(_xlfn.XLOOKUP(D3895,Table_Tarikan_Warkah[Nomor Tiket],Table_Tarikan_Warkah[Jenis Permohonan]),"")</f>
        <v>ROYA</v>
      </c>
      <c r="H3895" s="41" t="s">
        <v>2315</v>
      </c>
      <c r="I3895" s="49" t="s">
        <v>23</v>
      </c>
      <c r="J3895" s="36">
        <f t="shared" si="20"/>
        <v>45930.80585</v>
      </c>
      <c r="K3895" s="49" t="s">
        <v>3934</v>
      </c>
      <c r="L3895" s="49" t="s">
        <v>12</v>
      </c>
      <c r="M3895" s="36">
        <f t="shared" si="33"/>
        <v>45938.43187</v>
      </c>
      <c r="N3895" s="30" t="str">
        <f t="shared" si="34"/>
        <v>Selesai</v>
      </c>
      <c r="O3895" s="45">
        <f t="shared" si="23"/>
        <v>45938.43187</v>
      </c>
      <c r="P3895" s="47" t="b">
        <v>0</v>
      </c>
      <c r="Q3895" s="36" t="str">
        <f t="shared" si="35"/>
        <v/>
      </c>
      <c r="R3895" s="47" t="b">
        <v>0</v>
      </c>
      <c r="S3895" s="42" t="str">
        <f t="shared" si="28"/>
        <v/>
      </c>
      <c r="T3895" s="42"/>
    </row>
    <row r="3896" ht="22.5" customHeight="1">
      <c r="B3896" s="42">
        <f t="shared" si="7"/>
        <v>3890</v>
      </c>
      <c r="C3896" s="31" t="s">
        <v>3940</v>
      </c>
      <c r="D3896" s="34" t="str">
        <f t="array" ref="D3896">IFNA(_xlfn.XLOOKUP(C3896,Table_Tarikan_Warkah[Nomor Sertipikat],Table_Tarikan_Warkah[Nomor Tiket]),"")</f>
        <v>L/1/160925/1</v>
      </c>
      <c r="E3896" s="36" t="str">
        <f t="array" ref="E3896">IFNA(_xlfn.XLOOKUP(D3896,Table_Tarikan_Warkah[Nomor Tiket],Table_Tarikan_Warkah[Tanggal diserahkan kepada Validator]),"")</f>
        <v/>
      </c>
      <c r="F3896" s="36" t="str">
        <f t="array" ref="F3896">IFNA(_xlfn.XLOOKUP(D3896,Table_Tarikan_Warkah[Nomor Tiket],Table_Tarikan_Warkah[Nama Petugas Warkah]),"")</f>
        <v/>
      </c>
      <c r="G3896" s="39" t="str">
        <f t="array" ref="G3896">IFNA(_xlfn.XLOOKUP(D3896,Table_Tarikan_Warkah[Nomor Tiket],Table_Tarikan_Warkah[Jenis Permohonan]),"")</f>
        <v>ROYA</v>
      </c>
      <c r="H3896" s="41" t="s">
        <v>2315</v>
      </c>
      <c r="I3896" s="49" t="s">
        <v>23</v>
      </c>
      <c r="J3896" s="36">
        <f t="shared" si="20"/>
        <v>45930.806</v>
      </c>
      <c r="K3896" s="49" t="s">
        <v>3934</v>
      </c>
      <c r="L3896" s="49" t="s">
        <v>12</v>
      </c>
      <c r="M3896" s="36">
        <f t="shared" si="33"/>
        <v>45938.43197</v>
      </c>
      <c r="N3896" s="30" t="str">
        <f t="shared" si="34"/>
        <v>Selesai</v>
      </c>
      <c r="O3896" s="45">
        <f t="shared" si="23"/>
        <v>45938.43197</v>
      </c>
      <c r="P3896" s="47" t="b">
        <v>0</v>
      </c>
      <c r="Q3896" s="36" t="str">
        <f t="shared" si="35"/>
        <v/>
      </c>
      <c r="R3896" s="47" t="b">
        <v>0</v>
      </c>
      <c r="S3896" s="42" t="str">
        <f t="shared" si="28"/>
        <v/>
      </c>
      <c r="T3896" s="42"/>
    </row>
    <row r="3897" ht="22.5" customHeight="1">
      <c r="B3897" s="42">
        <f t="shared" si="7"/>
        <v>3891</v>
      </c>
      <c r="C3897" s="31" t="s">
        <v>3941</v>
      </c>
      <c r="D3897" s="34" t="str">
        <f t="array" ref="D3897">IFNA(_xlfn.XLOOKUP(C3897,Table_Tarikan_Warkah[Nomor Sertipikat],Table_Tarikan_Warkah[Nomor Tiket]),"")</f>
        <v>L/27/080925/1</v>
      </c>
      <c r="E3897" s="36" t="str">
        <f t="array" ref="E3897">IFNA(_xlfn.XLOOKUP(D3897,Table_Tarikan_Warkah[Nomor Tiket],Table_Tarikan_Warkah[Tanggal diserahkan kepada Validator]),"")</f>
        <v/>
      </c>
      <c r="F3897" s="36" t="str">
        <f t="array" ref="F3897">IFNA(_xlfn.XLOOKUP(D3897,Table_Tarikan_Warkah[Nomor Tiket],Table_Tarikan_Warkah[Nama Petugas Warkah]),"")</f>
        <v/>
      </c>
      <c r="G3897" s="39" t="str">
        <f t="array" ref="G3897">IFNA(_xlfn.XLOOKUP(D3897,Table_Tarikan_Warkah[Nomor Tiket],Table_Tarikan_Warkah[Jenis Permohonan]),"")</f>
        <v>ROYA</v>
      </c>
      <c r="H3897" s="41" t="s">
        <v>2315</v>
      </c>
      <c r="I3897" s="49" t="s">
        <v>23</v>
      </c>
      <c r="J3897" s="36">
        <f t="shared" si="20"/>
        <v>45930.80654</v>
      </c>
      <c r="K3897" s="49" t="s">
        <v>3934</v>
      </c>
      <c r="L3897" s="49" t="s">
        <v>12</v>
      </c>
      <c r="M3897" s="36">
        <f t="shared" si="33"/>
        <v>45938.43211</v>
      </c>
      <c r="N3897" s="30" t="str">
        <f t="shared" si="34"/>
        <v>Selesai</v>
      </c>
      <c r="O3897" s="45">
        <f t="shared" si="23"/>
        <v>45938.43211</v>
      </c>
      <c r="P3897" s="47" t="b">
        <v>0</v>
      </c>
      <c r="Q3897" s="36" t="str">
        <f t="shared" si="35"/>
        <v/>
      </c>
      <c r="R3897" s="47" t="b">
        <v>0</v>
      </c>
      <c r="S3897" s="42" t="str">
        <f t="shared" si="28"/>
        <v/>
      </c>
      <c r="T3897" s="42"/>
    </row>
    <row r="3898" ht="22.5" customHeight="1">
      <c r="B3898" s="42">
        <f t="shared" si="7"/>
        <v>3892</v>
      </c>
      <c r="C3898" s="31" t="s">
        <v>3942</v>
      </c>
      <c r="D3898" s="34" t="str">
        <f t="array" ref="D3898">IFNA(_xlfn.XLOOKUP(C3898,Table_Tarikan_Warkah[Nomor Sertipikat],Table_Tarikan_Warkah[Nomor Tiket]),"")</f>
        <v>L/27/090925/1</v>
      </c>
      <c r="E3898" s="36" t="str">
        <f t="array" ref="E3898">IFNA(_xlfn.XLOOKUP(D3898,Table_Tarikan_Warkah[Nomor Tiket],Table_Tarikan_Warkah[Tanggal diserahkan kepada Validator]),"")</f>
        <v/>
      </c>
      <c r="F3898" s="36" t="str">
        <f t="array" ref="F3898">IFNA(_xlfn.XLOOKUP(D3898,Table_Tarikan_Warkah[Nomor Tiket],Table_Tarikan_Warkah[Nama Petugas Warkah]),"")</f>
        <v/>
      </c>
      <c r="G3898" s="39" t="str">
        <f t="array" ref="G3898">IFNA(_xlfn.XLOOKUP(D3898,Table_Tarikan_Warkah[Nomor Tiket],Table_Tarikan_Warkah[Jenis Permohonan]),"")</f>
        <v>PENINGKATAN HAK</v>
      </c>
      <c r="H3898" s="41" t="s">
        <v>2315</v>
      </c>
      <c r="I3898" s="49" t="s">
        <v>23</v>
      </c>
      <c r="J3898" s="36">
        <f t="shared" si="20"/>
        <v>45930.80661</v>
      </c>
      <c r="K3898" s="49" t="s">
        <v>3934</v>
      </c>
      <c r="L3898" s="49" t="s">
        <v>12</v>
      </c>
      <c r="M3898" s="36">
        <f t="shared" si="33"/>
        <v>45938.43224</v>
      </c>
      <c r="N3898" s="30" t="str">
        <f t="shared" si="34"/>
        <v>Selesai</v>
      </c>
      <c r="O3898" s="45">
        <f t="shared" si="23"/>
        <v>45938.43224</v>
      </c>
      <c r="P3898" s="47" t="b">
        <v>0</v>
      </c>
      <c r="Q3898" s="36" t="str">
        <f t="shared" si="35"/>
        <v/>
      </c>
      <c r="R3898" s="47" t="b">
        <v>0</v>
      </c>
      <c r="S3898" s="42" t="str">
        <f t="shared" si="28"/>
        <v/>
      </c>
      <c r="T3898" s="42"/>
    </row>
    <row r="3899" ht="22.5" customHeight="1">
      <c r="B3899" s="42">
        <f t="shared" si="7"/>
        <v>3893</v>
      </c>
      <c r="C3899" s="31" t="s">
        <v>3943</v>
      </c>
      <c r="D3899" s="34" t="str">
        <f t="array" ref="D3899">IFNA(_xlfn.XLOOKUP(C3899,Table_Tarikan_Warkah[Nomor Sertipikat],Table_Tarikan_Warkah[Nomor Tiket]),"")</f>
        <v>K/13/120825/1</v>
      </c>
      <c r="E3899" s="36" t="str">
        <f t="array" ref="E3899">IFNA(_xlfn.XLOOKUP(D3899,Table_Tarikan_Warkah[Nomor Tiket],Table_Tarikan_Warkah[Tanggal diserahkan kepada Validator]),"")</f>
        <v/>
      </c>
      <c r="F3899" s="36" t="str">
        <f t="array" ref="F3899">IFNA(_xlfn.XLOOKUP(D3899,Table_Tarikan_Warkah[Nomor Tiket],Table_Tarikan_Warkah[Nama Petugas Warkah]),"")</f>
        <v/>
      </c>
      <c r="G3899" s="39" t="str">
        <f t="array" ref="G3899">IFNA(_xlfn.XLOOKUP(D3899,Table_Tarikan_Warkah[Nomor Tiket],Table_Tarikan_Warkah[Jenis Permohonan]),"")</f>
        <v>BN WARIS</v>
      </c>
      <c r="H3899" s="41" t="s">
        <v>2315</v>
      </c>
      <c r="I3899" s="49" t="s">
        <v>23</v>
      </c>
      <c r="J3899" s="36">
        <f t="shared" si="20"/>
        <v>45930.80673</v>
      </c>
      <c r="K3899" s="49" t="s">
        <v>3934</v>
      </c>
      <c r="L3899" s="49" t="s">
        <v>12</v>
      </c>
      <c r="M3899" s="36">
        <f t="shared" si="33"/>
        <v>45938.43234</v>
      </c>
      <c r="N3899" s="30" t="str">
        <f t="shared" si="34"/>
        <v>Selesai</v>
      </c>
      <c r="O3899" s="45">
        <f t="shared" si="23"/>
        <v>45938.43234</v>
      </c>
      <c r="P3899" s="47" t="b">
        <v>0</v>
      </c>
      <c r="Q3899" s="36" t="str">
        <f t="shared" si="35"/>
        <v/>
      </c>
      <c r="R3899" s="47" t="b">
        <v>0</v>
      </c>
      <c r="S3899" s="42" t="str">
        <f t="shared" si="28"/>
        <v/>
      </c>
      <c r="T3899" s="42"/>
    </row>
    <row r="3900" ht="22.5" customHeight="1">
      <c r="B3900" s="42">
        <f t="shared" si="7"/>
        <v>3894</v>
      </c>
      <c r="C3900" s="31" t="s">
        <v>3944</v>
      </c>
      <c r="D3900" s="34" t="str">
        <f t="array" ref="D3900">IFNA(_xlfn.XLOOKUP(C3900,Table_Tarikan_Warkah[Nomor Sertipikat],Table_Tarikan_Warkah[Nomor Tiket]),"")</f>
        <v>K/4/250825/1</v>
      </c>
      <c r="E3900" s="36">
        <f t="array" ref="E3900">IFNA(_xlfn.XLOOKUP(D3900,Table_Tarikan_Warkah[Nomor Tiket],Table_Tarikan_Warkah[Tanggal diserahkan kepada Validator]),"")</f>
        <v>45915.5887</v>
      </c>
      <c r="F3900" s="36" t="str">
        <f t="array" ref="F3900">IFNA(_xlfn.XLOOKUP(D3900,Table_Tarikan_Warkah[Nomor Tiket],Table_Tarikan_Warkah[Nama Petugas Warkah]),"")</f>
        <v>Berry</v>
      </c>
      <c r="G3900" s="39" t="str">
        <f t="array" ref="G3900">IFNA(_xlfn.XLOOKUP(D3900,Table_Tarikan_Warkah[Nomor Tiket],Table_Tarikan_Warkah[Jenis Permohonan]),"")</f>
        <v>BN JUAL BELI</v>
      </c>
      <c r="H3900" s="41" t="s">
        <v>2315</v>
      </c>
      <c r="I3900" s="49" t="s">
        <v>23</v>
      </c>
      <c r="J3900" s="36">
        <f t="shared" si="20"/>
        <v>45930.80686</v>
      </c>
      <c r="K3900" s="49" t="s">
        <v>3934</v>
      </c>
      <c r="L3900" s="49" t="s">
        <v>12</v>
      </c>
      <c r="M3900" s="36">
        <f t="shared" si="33"/>
        <v>45938.43243</v>
      </c>
      <c r="N3900" s="30" t="str">
        <f t="shared" si="34"/>
        <v>Selesai</v>
      </c>
      <c r="O3900" s="45">
        <f t="shared" si="23"/>
        <v>45938.43243</v>
      </c>
      <c r="P3900" s="47" t="b">
        <v>0</v>
      </c>
      <c r="Q3900" s="36" t="str">
        <f t="shared" si="35"/>
        <v/>
      </c>
      <c r="R3900" s="47" t="b">
        <v>0</v>
      </c>
      <c r="S3900" s="42" t="str">
        <f t="shared" si="28"/>
        <v/>
      </c>
      <c r="T3900" s="42"/>
    </row>
    <row r="3901" ht="22.5" customHeight="1">
      <c r="B3901" s="42">
        <f t="shared" si="7"/>
        <v>3895</v>
      </c>
      <c r="C3901" s="31" t="s">
        <v>3945</v>
      </c>
      <c r="D3901" s="34" t="str">
        <f t="array" ref="D3901">IFNA(_xlfn.XLOOKUP(C3901,Table_Tarikan_Warkah[Nomor Sertipikat],Table_Tarikan_Warkah[Nomor Tiket]),"")</f>
        <v>K/23/290825/2</v>
      </c>
      <c r="E3901" s="36" t="str">
        <f t="array" ref="E3901">IFNA(_xlfn.XLOOKUP(D3901,Table_Tarikan_Warkah[Nomor Tiket],Table_Tarikan_Warkah[Tanggal diserahkan kepada Validator]),"")</f>
        <v/>
      </c>
      <c r="F3901" s="36" t="str">
        <f t="array" ref="F3901">IFNA(_xlfn.XLOOKUP(D3901,Table_Tarikan_Warkah[Nomor Tiket],Table_Tarikan_Warkah[Nama Petugas Warkah]),"")</f>
        <v/>
      </c>
      <c r="G3901" s="39" t="str">
        <f t="array" ref="G3901">IFNA(_xlfn.XLOOKUP(D3901,Table_Tarikan_Warkah[Nomor Tiket],Table_Tarikan_Warkah[Jenis Permohonan]),"")</f>
        <v>BN JUAL BELI</v>
      </c>
      <c r="H3901" s="41" t="s">
        <v>2315</v>
      </c>
      <c r="I3901" s="49" t="s">
        <v>23</v>
      </c>
      <c r="J3901" s="36">
        <f t="shared" si="20"/>
        <v>45930.807</v>
      </c>
      <c r="K3901" s="49" t="s">
        <v>3934</v>
      </c>
      <c r="L3901" s="49" t="s">
        <v>12</v>
      </c>
      <c r="M3901" s="36">
        <f t="shared" si="33"/>
        <v>45932.40758</v>
      </c>
      <c r="N3901" s="30" t="str">
        <f t="shared" si="34"/>
        <v>Selesai</v>
      </c>
      <c r="O3901" s="45">
        <f t="shared" si="23"/>
        <v>45932.40758</v>
      </c>
      <c r="P3901" s="47" t="b">
        <v>0</v>
      </c>
      <c r="Q3901" s="36" t="str">
        <f t="shared" si="35"/>
        <v/>
      </c>
      <c r="R3901" s="47" t="b">
        <v>0</v>
      </c>
      <c r="S3901" s="42" t="str">
        <f t="shared" si="28"/>
        <v/>
      </c>
      <c r="T3901" s="42"/>
    </row>
    <row r="3902" ht="22.5" customHeight="1">
      <c r="B3902" s="42">
        <f t="shared" si="7"/>
        <v>3896</v>
      </c>
      <c r="C3902" s="31" t="s">
        <v>3946</v>
      </c>
      <c r="D3902" s="34" t="str">
        <f t="array" ref="D3902">IFNA(_xlfn.XLOOKUP(C3902,Table_Tarikan_Warkah[Nomor Sertipikat],Table_Tarikan_Warkah[Nomor Tiket]),"")</f>
        <v/>
      </c>
      <c r="E3902" s="36" t="str">
        <f t="array" ref="E3902">IFNA(_xlfn.XLOOKUP(D3902,Table_Tarikan_Warkah[Nomor Tiket],Table_Tarikan_Warkah[Tanggal diserahkan kepada Validator]),"")</f>
        <v/>
      </c>
      <c r="F3902" s="36" t="str">
        <f t="array" ref="F3902">IFNA(_xlfn.XLOOKUP(D3902,Table_Tarikan_Warkah[Nomor Tiket],Table_Tarikan_Warkah[Nama Petugas Warkah]),"")</f>
        <v/>
      </c>
      <c r="G3902" s="39" t="str">
        <f t="array" ref="G3902">IFNA(_xlfn.XLOOKUP(D3902,Table_Tarikan_Warkah[Nomor Tiket],Table_Tarikan_Warkah[Jenis Permohonan]),"")</f>
        <v/>
      </c>
      <c r="H3902" s="41" t="s">
        <v>2315</v>
      </c>
      <c r="I3902" s="49" t="s">
        <v>23</v>
      </c>
      <c r="J3902" s="36">
        <f t="shared" si="20"/>
        <v>45930.80714</v>
      </c>
      <c r="K3902" s="49" t="s">
        <v>3934</v>
      </c>
      <c r="L3902" s="49" t="s">
        <v>12</v>
      </c>
      <c r="M3902" s="36">
        <f t="shared" si="33"/>
        <v>45932.40696</v>
      </c>
      <c r="N3902" s="30" t="str">
        <f t="shared" si="34"/>
        <v/>
      </c>
      <c r="O3902" s="39" t="str">
        <f t="shared" si="23"/>
        <v/>
      </c>
      <c r="P3902" s="47" t="b">
        <v>0</v>
      </c>
      <c r="Q3902" s="36" t="str">
        <f t="shared" si="35"/>
        <v/>
      </c>
      <c r="R3902" s="47" t="b">
        <v>0</v>
      </c>
      <c r="S3902" s="42" t="str">
        <f t="shared" si="28"/>
        <v/>
      </c>
      <c r="T3902" s="42"/>
    </row>
    <row r="3903" ht="22.5" customHeight="1">
      <c r="B3903" s="42">
        <f t="shared" si="7"/>
        <v>3897</v>
      </c>
      <c r="C3903" s="31" t="s">
        <v>3947</v>
      </c>
      <c r="D3903" s="34" t="str">
        <f t="array" ref="D3903">IFNA(_xlfn.XLOOKUP(C3903,Table_Tarikan_Warkah[Nomor Sertipikat],Table_Tarikan_Warkah[Nomor Tiket]),"")</f>
        <v>K/40/040925/1</v>
      </c>
      <c r="E3903" s="36">
        <f t="array" ref="E3903">IFNA(_xlfn.XLOOKUP(D3903,Table_Tarikan_Warkah[Nomor Tiket],Table_Tarikan_Warkah[Tanggal diserahkan kepada Validator]),"")</f>
        <v>45938.49418</v>
      </c>
      <c r="F3903" s="36" t="str">
        <f t="array" ref="F3903">IFNA(_xlfn.XLOOKUP(D3903,Table_Tarikan_Warkah[Nomor Tiket],Table_Tarikan_Warkah[Nama Petugas Warkah]),"")</f>
        <v>Berry</v>
      </c>
      <c r="G3903" s="39" t="str">
        <f t="array" ref="G3903">IFNA(_xlfn.XLOOKUP(D3903,Table_Tarikan_Warkah[Nomor Tiket],Table_Tarikan_Warkah[Jenis Permohonan]),"")</f>
        <v>BN Waris	</v>
      </c>
      <c r="H3903" s="41" t="s">
        <v>2315</v>
      </c>
      <c r="I3903" s="49" t="s">
        <v>23</v>
      </c>
      <c r="J3903" s="36">
        <f t="shared" si="20"/>
        <v>45930.80728</v>
      </c>
      <c r="K3903" s="49" t="s">
        <v>3934</v>
      </c>
      <c r="L3903" s="49" t="s">
        <v>12</v>
      </c>
      <c r="M3903" s="36">
        <f t="shared" si="33"/>
        <v>45938.43262</v>
      </c>
      <c r="N3903" s="30" t="str">
        <f t="shared" si="34"/>
        <v>Selesai</v>
      </c>
      <c r="O3903" s="45">
        <f t="shared" si="23"/>
        <v>45938.43262</v>
      </c>
      <c r="P3903" s="47" t="b">
        <v>0</v>
      </c>
      <c r="Q3903" s="36" t="str">
        <f t="shared" si="35"/>
        <v/>
      </c>
      <c r="R3903" s="47" t="b">
        <v>0</v>
      </c>
      <c r="S3903" s="42" t="str">
        <f t="shared" si="28"/>
        <v/>
      </c>
      <c r="T3903" s="42"/>
    </row>
    <row r="3904" ht="22.5" customHeight="1">
      <c r="B3904" s="42">
        <f t="shared" si="7"/>
        <v>3898</v>
      </c>
      <c r="C3904" s="31" t="s">
        <v>3948</v>
      </c>
      <c r="D3904" s="34" t="str">
        <f t="array" ref="D3904">IFNA(_xlfn.XLOOKUP(C3904,Table_Tarikan_Warkah[Nomor Sertipikat],Table_Tarikan_Warkah[Nomor Tiket]),"")</f>
        <v>K/7/290825/1</v>
      </c>
      <c r="E3904" s="36" t="str">
        <f t="array" ref="E3904">IFNA(_xlfn.XLOOKUP(D3904,Table_Tarikan_Warkah[Nomor Tiket],Table_Tarikan_Warkah[Tanggal diserahkan kepada Validator]),"")</f>
        <v/>
      </c>
      <c r="F3904" s="36" t="str">
        <f t="array" ref="F3904">IFNA(_xlfn.XLOOKUP(D3904,Table_Tarikan_Warkah[Nomor Tiket],Table_Tarikan_Warkah[Nama Petugas Warkah]),"")</f>
        <v/>
      </c>
      <c r="G3904" s="39" t="str">
        <f t="array" ref="G3904">IFNA(_xlfn.XLOOKUP(D3904,Table_Tarikan_Warkah[Nomor Tiket],Table_Tarikan_Warkah[Jenis Permohonan]),"")</f>
        <v>Peningkatan hak	</v>
      </c>
      <c r="H3904" s="41" t="s">
        <v>2315</v>
      </c>
      <c r="I3904" s="49" t="s">
        <v>23</v>
      </c>
      <c r="J3904" s="36">
        <f t="shared" si="20"/>
        <v>45930.80742</v>
      </c>
      <c r="K3904" s="49" t="s">
        <v>3934</v>
      </c>
      <c r="L3904" s="49" t="s">
        <v>12</v>
      </c>
      <c r="M3904" s="36">
        <f t="shared" si="33"/>
        <v>45938.43273</v>
      </c>
      <c r="N3904" s="30" t="str">
        <f t="shared" si="34"/>
        <v>Selesai</v>
      </c>
      <c r="O3904" s="45">
        <f t="shared" si="23"/>
        <v>45938.43273</v>
      </c>
      <c r="P3904" s="47" t="b">
        <v>0</v>
      </c>
      <c r="Q3904" s="36" t="str">
        <f t="shared" si="35"/>
        <v/>
      </c>
      <c r="R3904" s="47" t="b">
        <v>0</v>
      </c>
      <c r="S3904" s="42" t="str">
        <f t="shared" si="28"/>
        <v/>
      </c>
      <c r="T3904" s="42"/>
    </row>
    <row r="3905" ht="22.5" customHeight="1">
      <c r="B3905" s="42">
        <f t="shared" si="7"/>
        <v>3899</v>
      </c>
      <c r="C3905" s="31" t="s">
        <v>3949</v>
      </c>
      <c r="D3905" s="34" t="str">
        <f t="array" ref="D3905">IFNA(_xlfn.XLOOKUP(C3905,Table_Tarikan_Warkah[Nomor Sertipikat],Table_Tarikan_Warkah[Nomor Tiket]),"")</f>
        <v>K/15/230925/1</v>
      </c>
      <c r="E3905" s="36" t="str">
        <f t="array" ref="E3905">IFNA(_xlfn.XLOOKUP(D3905,Table_Tarikan_Warkah[Nomor Tiket],Table_Tarikan_Warkah[Tanggal diserahkan kepada Validator]),"")</f>
        <v/>
      </c>
      <c r="F3905" s="36" t="str">
        <f t="array" ref="F3905">IFNA(_xlfn.XLOOKUP(D3905,Table_Tarikan_Warkah[Nomor Tiket],Table_Tarikan_Warkah[Nama Petugas Warkah]),"")</f>
        <v/>
      </c>
      <c r="G3905" s="39" t="str">
        <f t="array" ref="G3905">IFNA(_xlfn.XLOOKUP(D3905,Table_Tarikan_Warkah[Nomor Tiket],Table_Tarikan_Warkah[Jenis Permohonan]),"")</f>
        <v>BN Waris	</v>
      </c>
      <c r="H3905" s="41" t="s">
        <v>2315</v>
      </c>
      <c r="I3905" s="49" t="s">
        <v>23</v>
      </c>
      <c r="J3905" s="36">
        <f t="shared" si="20"/>
        <v>45930.80756</v>
      </c>
      <c r="K3905" s="49" t="s">
        <v>3934</v>
      </c>
      <c r="L3905" s="49" t="s">
        <v>12</v>
      </c>
      <c r="M3905" s="36">
        <f t="shared" si="33"/>
        <v>45938.43285</v>
      </c>
      <c r="N3905" s="30" t="str">
        <f t="shared" si="34"/>
        <v>Selesai</v>
      </c>
      <c r="O3905" s="45">
        <f t="shared" si="23"/>
        <v>45938.43285</v>
      </c>
      <c r="P3905" s="47" t="b">
        <v>0</v>
      </c>
      <c r="Q3905" s="36" t="str">
        <f t="shared" si="35"/>
        <v/>
      </c>
      <c r="R3905" s="47" t="b">
        <v>0</v>
      </c>
      <c r="S3905" s="42" t="str">
        <f t="shared" si="28"/>
        <v/>
      </c>
      <c r="T3905" s="42"/>
    </row>
    <row r="3906" ht="22.5" customHeight="1">
      <c r="B3906" s="42">
        <f t="shared" si="7"/>
        <v>3900</v>
      </c>
      <c r="C3906" s="31" t="s">
        <v>3875</v>
      </c>
      <c r="D3906" s="34" t="str">
        <f t="array" ref="D3906">IFNA(_xlfn.XLOOKUP(C3906,Table_Tarikan_Warkah[Nomor Sertipikat],Table_Tarikan_Warkah[Nomor Tiket]),"")</f>
        <v>L/65/220825/1</v>
      </c>
      <c r="E3906" s="36">
        <f t="array" ref="E3906">IFNA(_xlfn.XLOOKUP(D3906,Table_Tarikan_Warkah[Nomor Tiket],Table_Tarikan_Warkah[Tanggal diserahkan kepada Validator]),"")</f>
        <v>45908.62829</v>
      </c>
      <c r="F3906" s="36" t="str">
        <f t="array" ref="F3906">IFNA(_xlfn.XLOOKUP(D3906,Table_Tarikan_Warkah[Nomor Tiket],Table_Tarikan_Warkah[Nama Petugas Warkah]),"")</f>
        <v>David</v>
      </c>
      <c r="G3906" s="39" t="str">
        <f t="array" ref="G3906">IFNA(_xlfn.XLOOKUP(D3906,Table_Tarikan_Warkah[Nomor Tiket],Table_Tarikan_Warkah[Jenis Permohonan]),"")</f>
        <v>BN WARIS</v>
      </c>
      <c r="H3906" s="41" t="s">
        <v>2315</v>
      </c>
      <c r="I3906" s="49" t="s">
        <v>23</v>
      </c>
      <c r="J3906" s="36">
        <f t="shared" si="20"/>
        <v>45930.80771</v>
      </c>
      <c r="K3906" s="49" t="s">
        <v>3934</v>
      </c>
      <c r="L3906" s="49" t="s">
        <v>12</v>
      </c>
      <c r="M3906" s="36">
        <f t="shared" si="33"/>
        <v>45938.43294</v>
      </c>
      <c r="N3906" s="30" t="str">
        <f t="shared" si="34"/>
        <v>Selesai</v>
      </c>
      <c r="O3906" s="45">
        <f t="shared" si="23"/>
        <v>45938.43294</v>
      </c>
      <c r="P3906" s="47" t="b">
        <v>0</v>
      </c>
      <c r="Q3906" s="36" t="str">
        <f t="shared" si="35"/>
        <v/>
      </c>
      <c r="R3906" s="47" t="b">
        <v>0</v>
      </c>
      <c r="S3906" s="42" t="str">
        <f t="shared" si="28"/>
        <v/>
      </c>
      <c r="T3906" s="42"/>
    </row>
    <row r="3907" ht="22.5" customHeight="1">
      <c r="B3907" s="42">
        <f t="shared" si="7"/>
        <v>3901</v>
      </c>
      <c r="C3907" s="31" t="s">
        <v>3874</v>
      </c>
      <c r="D3907" s="34" t="str">
        <f t="array" ref="D3907">IFNA(_xlfn.XLOOKUP(C3907,Table_Tarikan_Warkah[Nomor Sertipikat],Table_Tarikan_Warkah[Nomor Tiket]),"")</f>
        <v>L/41/270825/1</v>
      </c>
      <c r="E3907" s="36">
        <f t="array" ref="E3907">IFNA(_xlfn.XLOOKUP(D3907,Table_Tarikan_Warkah[Nomor Tiket],Table_Tarikan_Warkah[Tanggal diserahkan kepada Validator]),"")</f>
        <v>45918.55476</v>
      </c>
      <c r="F3907" s="36" t="str">
        <f t="array" ref="F3907">IFNA(_xlfn.XLOOKUP(D3907,Table_Tarikan_Warkah[Nomor Tiket],Table_Tarikan_Warkah[Nama Petugas Warkah]),"")</f>
        <v>Berry</v>
      </c>
      <c r="G3907" s="39" t="str">
        <f t="array" ref="G3907">IFNA(_xlfn.XLOOKUP(D3907,Table_Tarikan_Warkah[Nomor Tiket],Table_Tarikan_Warkah[Jenis Permohonan]),"")</f>
        <v>BN WARIS</v>
      </c>
      <c r="H3907" s="41" t="s">
        <v>2315</v>
      </c>
      <c r="I3907" s="49" t="s">
        <v>23</v>
      </c>
      <c r="J3907" s="36">
        <f t="shared" si="20"/>
        <v>45930.80784</v>
      </c>
      <c r="K3907" s="49" t="s">
        <v>3934</v>
      </c>
      <c r="L3907" s="49" t="s">
        <v>12</v>
      </c>
      <c r="M3907" s="36">
        <f t="shared" si="33"/>
        <v>45938.4331</v>
      </c>
      <c r="N3907" s="30" t="str">
        <f t="shared" si="34"/>
        <v>Selesai</v>
      </c>
      <c r="O3907" s="45">
        <f t="shared" si="23"/>
        <v>45938.4331</v>
      </c>
      <c r="P3907" s="47" t="b">
        <v>0</v>
      </c>
      <c r="Q3907" s="36" t="str">
        <f t="shared" si="35"/>
        <v/>
      </c>
      <c r="R3907" s="47" t="b">
        <v>0</v>
      </c>
      <c r="S3907" s="42" t="str">
        <f t="shared" si="28"/>
        <v/>
      </c>
      <c r="T3907" s="42"/>
    </row>
    <row r="3908" ht="22.5" customHeight="1">
      <c r="B3908" s="42">
        <f t="shared" si="7"/>
        <v>3902</v>
      </c>
      <c r="C3908" s="31" t="s">
        <v>3950</v>
      </c>
      <c r="D3908" s="34" t="str">
        <f t="array" ref="D3908">IFNA(_xlfn.XLOOKUP(C3908,Table_Tarikan_Warkah[Nomor Sertipikat],Table_Tarikan_Warkah[Nomor Tiket]),"")</f>
        <v>L/7/240725/1</v>
      </c>
      <c r="E3908" s="36">
        <f t="array" ref="E3908">IFNA(_xlfn.XLOOKUP(D3908,Table_Tarikan_Warkah[Nomor Tiket],Table_Tarikan_Warkah[Tanggal diserahkan kepada Validator]),"")</f>
        <v>45957.61647</v>
      </c>
      <c r="F3908" s="36" t="str">
        <f t="array" ref="F3908">IFNA(_xlfn.XLOOKUP(D3908,Table_Tarikan_Warkah[Nomor Tiket],Table_Tarikan_Warkah[Nama Petugas Warkah]),"")</f>
        <v>David</v>
      </c>
      <c r="G3908" s="39" t="str">
        <f t="array" ref="G3908">IFNA(_xlfn.XLOOKUP(D3908,Table_Tarikan_Warkah[Nomor Tiket],Table_Tarikan_Warkah[Jenis Permohonan]),"")</f>
        <v>ROYA WARIS</v>
      </c>
      <c r="H3908" s="41" t="s">
        <v>2315</v>
      </c>
      <c r="I3908" s="49" t="s">
        <v>23</v>
      </c>
      <c r="J3908" s="36">
        <f t="shared" si="20"/>
        <v>45930.80797</v>
      </c>
      <c r="K3908" s="49" t="s">
        <v>3934</v>
      </c>
      <c r="L3908" s="49" t="s">
        <v>12</v>
      </c>
      <c r="M3908" s="36">
        <f t="shared" si="33"/>
        <v>45932.40623</v>
      </c>
      <c r="N3908" s="30" t="str">
        <f t="shared" si="34"/>
        <v>Selesai</v>
      </c>
      <c r="O3908" s="45">
        <f t="shared" si="23"/>
        <v>45932.40623</v>
      </c>
      <c r="P3908" s="47" t="b">
        <v>0</v>
      </c>
      <c r="Q3908" s="36" t="str">
        <f t="shared" si="35"/>
        <v/>
      </c>
      <c r="R3908" s="47" t="b">
        <v>0</v>
      </c>
      <c r="S3908" s="42" t="str">
        <f t="shared" si="28"/>
        <v/>
      </c>
      <c r="T3908" s="42"/>
    </row>
    <row r="3909" ht="22.5" customHeight="1">
      <c r="B3909" s="42">
        <f t="shared" si="7"/>
        <v>3903</v>
      </c>
      <c r="C3909" s="31" t="s">
        <v>3951</v>
      </c>
      <c r="D3909" s="34" t="str">
        <f t="array" ref="D3909">IFNA(_xlfn.XLOOKUP(C3909,Table_Tarikan_Warkah[Nomor Sertipikat],Table_Tarikan_Warkah[Nomor Tiket]),"")</f>
        <v>K/8/110925/1</v>
      </c>
      <c r="E3909" s="36" t="str">
        <f t="array" ref="E3909">IFNA(_xlfn.XLOOKUP(D3909,Table_Tarikan_Warkah[Nomor Tiket],Table_Tarikan_Warkah[Tanggal diserahkan kepada Validator]),"")</f>
        <v/>
      </c>
      <c r="F3909" s="36" t="str">
        <f t="array" ref="F3909">IFNA(_xlfn.XLOOKUP(D3909,Table_Tarikan_Warkah[Nomor Tiket],Table_Tarikan_Warkah[Nama Petugas Warkah]),"")</f>
        <v/>
      </c>
      <c r="G3909" s="39" t="str">
        <f t="array" ref="G3909">IFNA(_xlfn.XLOOKUP(D3909,Table_Tarikan_Warkah[Nomor Tiket],Table_Tarikan_Warkah[Jenis Permohonan]),"")</f>
        <v>perubahan Hak </v>
      </c>
      <c r="H3909" s="41" t="s">
        <v>2315</v>
      </c>
      <c r="I3909" s="49" t="s">
        <v>23</v>
      </c>
      <c r="J3909" s="36">
        <f t="shared" si="20"/>
        <v>45930.80812</v>
      </c>
      <c r="K3909" s="49" t="s">
        <v>3934</v>
      </c>
      <c r="L3909" s="49" t="s">
        <v>12</v>
      </c>
      <c r="M3909" s="36">
        <f t="shared" si="33"/>
        <v>45938.43327</v>
      </c>
      <c r="N3909" s="30" t="str">
        <f t="shared" si="34"/>
        <v>Selesai</v>
      </c>
      <c r="O3909" s="45">
        <f t="shared" si="23"/>
        <v>45938.43327</v>
      </c>
      <c r="P3909" s="47" t="b">
        <v>0</v>
      </c>
      <c r="Q3909" s="36" t="str">
        <f t="shared" si="35"/>
        <v/>
      </c>
      <c r="R3909" s="47" t="b">
        <v>0</v>
      </c>
      <c r="S3909" s="42" t="str">
        <f t="shared" si="28"/>
        <v/>
      </c>
      <c r="T3909" s="42"/>
    </row>
    <row r="3910" ht="22.5" customHeight="1">
      <c r="B3910" s="42">
        <f t="shared" si="7"/>
        <v>3904</v>
      </c>
      <c r="C3910" s="31" t="s">
        <v>3952</v>
      </c>
      <c r="D3910" s="34" t="str">
        <f t="array" ref="D3910">IFNA(_xlfn.XLOOKUP(C3910,Table_Tarikan_Warkah[Nomor Sertipikat],Table_Tarikan_Warkah[Nomor Tiket]),"")</f>
        <v/>
      </c>
      <c r="E3910" s="36" t="str">
        <f t="array" ref="E3910">IFNA(_xlfn.XLOOKUP(D3910,Table_Tarikan_Warkah[Nomor Tiket],Table_Tarikan_Warkah[Tanggal diserahkan kepada Validator]),"")</f>
        <v/>
      </c>
      <c r="F3910" s="36" t="str">
        <f t="array" ref="F3910">IFNA(_xlfn.XLOOKUP(D3910,Table_Tarikan_Warkah[Nomor Tiket],Table_Tarikan_Warkah[Nama Petugas Warkah]),"")</f>
        <v/>
      </c>
      <c r="G3910" s="39" t="str">
        <f t="array" ref="G3910">IFNA(_xlfn.XLOOKUP(D3910,Table_Tarikan_Warkah[Nomor Tiket],Table_Tarikan_Warkah[Jenis Permohonan]),"")</f>
        <v/>
      </c>
      <c r="H3910" s="41" t="s">
        <v>2315</v>
      </c>
      <c r="I3910" s="49" t="s">
        <v>23</v>
      </c>
      <c r="J3910" s="36">
        <f t="shared" si="20"/>
        <v>45930.80854</v>
      </c>
      <c r="K3910" s="49" t="s">
        <v>3934</v>
      </c>
      <c r="L3910" s="49" t="s">
        <v>12</v>
      </c>
      <c r="M3910" s="36">
        <f t="shared" si="33"/>
        <v>45936.40073</v>
      </c>
      <c r="N3910" s="30" t="str">
        <f t="shared" si="34"/>
        <v/>
      </c>
      <c r="O3910" s="39" t="str">
        <f t="shared" si="23"/>
        <v/>
      </c>
      <c r="P3910" s="47" t="b">
        <v>1</v>
      </c>
      <c r="Q3910" s="36">
        <f t="shared" si="35"/>
        <v>45936.40062</v>
      </c>
      <c r="R3910" s="47" t="b">
        <v>0</v>
      </c>
      <c r="S3910" s="42" t="str">
        <f t="shared" si="28"/>
        <v/>
      </c>
      <c r="T3910" s="42"/>
    </row>
    <row r="3911" ht="22.5" customHeight="1">
      <c r="B3911" s="42">
        <f t="shared" si="7"/>
        <v>3905</v>
      </c>
      <c r="C3911" s="31" t="s">
        <v>3953</v>
      </c>
      <c r="D3911" s="34" t="str">
        <f t="array" ref="D3911">IFNA(_xlfn.XLOOKUP(C3911,Table_Tarikan_Warkah[Nomor Sertipikat],Table_Tarikan_Warkah[Nomor Tiket]),"")</f>
        <v>L/13/190925/1</v>
      </c>
      <c r="E3911" s="36" t="str">
        <f t="array" ref="E3911">IFNA(_xlfn.XLOOKUP(D3911,Table_Tarikan_Warkah[Nomor Tiket],Table_Tarikan_Warkah[Tanggal diserahkan kepada Validator]),"")</f>
        <v/>
      </c>
      <c r="F3911" s="36" t="str">
        <f t="array" ref="F3911">IFNA(_xlfn.XLOOKUP(D3911,Table_Tarikan_Warkah[Nomor Tiket],Table_Tarikan_Warkah[Nama Petugas Warkah]),"")</f>
        <v/>
      </c>
      <c r="G3911" s="39" t="str">
        <f t="array" ref="G3911">IFNA(_xlfn.XLOOKUP(D3911,Table_Tarikan_Warkah[Nomor Tiket],Table_Tarikan_Warkah[Jenis Permohonan]),"")</f>
        <v>ROYA</v>
      </c>
      <c r="H3911" s="41" t="s">
        <v>2315</v>
      </c>
      <c r="I3911" s="49" t="s">
        <v>23</v>
      </c>
      <c r="J3911" s="36">
        <f t="shared" si="20"/>
        <v>45931.38148</v>
      </c>
      <c r="K3911" s="49" t="s">
        <v>3934</v>
      </c>
      <c r="L3911" s="49" t="s">
        <v>12</v>
      </c>
      <c r="M3911" s="36">
        <f t="shared" si="33"/>
        <v>45938.43358</v>
      </c>
      <c r="N3911" s="30" t="str">
        <f t="shared" si="34"/>
        <v>Selesai</v>
      </c>
      <c r="O3911" s="45">
        <f t="shared" si="23"/>
        <v>45938.43358</v>
      </c>
      <c r="P3911" s="47" t="b">
        <v>0</v>
      </c>
      <c r="Q3911" s="36" t="str">
        <f t="shared" si="35"/>
        <v/>
      </c>
      <c r="R3911" s="47" t="b">
        <v>0</v>
      </c>
      <c r="S3911" s="42" t="str">
        <f t="shared" si="28"/>
        <v/>
      </c>
      <c r="T3911" s="42"/>
    </row>
    <row r="3912" ht="22.5" customHeight="1">
      <c r="B3912" s="42">
        <f t="shared" si="7"/>
        <v>3906</v>
      </c>
      <c r="C3912" s="31" t="s">
        <v>3954</v>
      </c>
      <c r="D3912" s="34" t="str">
        <f t="array" ref="D3912">IFNA(_xlfn.XLOOKUP(C3912,Table_Tarikan_Warkah[Nomor Sertipikat],Table_Tarikan_Warkah[Nomor Tiket]),"")</f>
        <v>L/26/160925/1</v>
      </c>
      <c r="E3912" s="36" t="str">
        <f t="array" ref="E3912">IFNA(_xlfn.XLOOKUP(D3912,Table_Tarikan_Warkah[Nomor Tiket],Table_Tarikan_Warkah[Tanggal diserahkan kepada Validator]),"")</f>
        <v/>
      </c>
      <c r="F3912" s="36" t="str">
        <f t="array" ref="F3912">IFNA(_xlfn.XLOOKUP(D3912,Table_Tarikan_Warkah[Nomor Tiket],Table_Tarikan_Warkah[Nama Petugas Warkah]),"")</f>
        <v/>
      </c>
      <c r="G3912" s="39" t="str">
        <f t="array" ref="G3912">IFNA(_xlfn.XLOOKUP(D3912,Table_Tarikan_Warkah[Nomor Tiket],Table_Tarikan_Warkah[Jenis Permohonan]),"")</f>
        <v>PENINGKATAN HAK</v>
      </c>
      <c r="H3912" s="41" t="s">
        <v>2315</v>
      </c>
      <c r="I3912" s="49" t="s">
        <v>23</v>
      </c>
      <c r="J3912" s="36">
        <f t="shared" si="20"/>
        <v>45931.38249</v>
      </c>
      <c r="K3912" s="49" t="s">
        <v>3934</v>
      </c>
      <c r="L3912" s="49" t="s">
        <v>12</v>
      </c>
      <c r="M3912" s="36">
        <f t="shared" si="33"/>
        <v>45938.43349</v>
      </c>
      <c r="N3912" s="30" t="str">
        <f t="shared" si="34"/>
        <v>Selesai</v>
      </c>
      <c r="O3912" s="45">
        <f t="shared" si="23"/>
        <v>45938.43349</v>
      </c>
      <c r="P3912" s="47" t="b">
        <v>0</v>
      </c>
      <c r="Q3912" s="36" t="str">
        <f t="shared" si="35"/>
        <v/>
      </c>
      <c r="R3912" s="47" t="b">
        <v>0</v>
      </c>
      <c r="S3912" s="42" t="str">
        <f t="shared" si="28"/>
        <v/>
      </c>
      <c r="T3912" s="42"/>
    </row>
    <row r="3913" ht="22.5" customHeight="1">
      <c r="B3913" s="42">
        <f t="shared" si="7"/>
        <v>3907</v>
      </c>
      <c r="C3913" s="31" t="s">
        <v>3955</v>
      </c>
      <c r="D3913" s="34" t="str">
        <f t="array" ref="D3913">IFNA(_xlfn.XLOOKUP(C3913,Table_Tarikan_Warkah[Nomor Sertipikat],Table_Tarikan_Warkah[Nomor Tiket]),"")</f>
        <v>K/19/240925/1</v>
      </c>
      <c r="E3913" s="36" t="str">
        <f t="array" ref="E3913">IFNA(_xlfn.XLOOKUP(D3913,Table_Tarikan_Warkah[Nomor Tiket],Table_Tarikan_Warkah[Tanggal diserahkan kepada Validator]),"")</f>
        <v/>
      </c>
      <c r="F3913" s="36" t="str">
        <f t="array" ref="F3913">IFNA(_xlfn.XLOOKUP(D3913,Table_Tarikan_Warkah[Nomor Tiket],Table_Tarikan_Warkah[Nama Petugas Warkah]),"")</f>
        <v/>
      </c>
      <c r="G3913" s="39" t="str">
        <f t="array" ref="G3913">IFNA(_xlfn.XLOOKUP(D3913,Table_Tarikan_Warkah[Nomor Tiket],Table_Tarikan_Warkah[Jenis Permohonan]),"")</f>
        <v>ROYA</v>
      </c>
      <c r="H3913" s="41" t="s">
        <v>2315</v>
      </c>
      <c r="I3913" s="49" t="s">
        <v>23</v>
      </c>
      <c r="J3913" s="36">
        <f t="shared" si="20"/>
        <v>45933.47608</v>
      </c>
      <c r="K3913" s="49" t="s">
        <v>3934</v>
      </c>
      <c r="L3913" s="49" t="s">
        <v>12</v>
      </c>
      <c r="M3913" s="36">
        <f t="shared" si="33"/>
        <v>45936.39257</v>
      </c>
      <c r="N3913" s="30" t="str">
        <f t="shared" si="34"/>
        <v>Selesai</v>
      </c>
      <c r="O3913" s="45">
        <f t="shared" si="23"/>
        <v>45936.39257</v>
      </c>
      <c r="P3913" s="47" t="b">
        <v>0</v>
      </c>
      <c r="Q3913" s="36" t="str">
        <f t="shared" si="35"/>
        <v/>
      </c>
      <c r="R3913" s="47" t="b">
        <v>0</v>
      </c>
      <c r="S3913" s="42" t="str">
        <f t="shared" si="28"/>
        <v/>
      </c>
      <c r="T3913" s="42"/>
    </row>
    <row r="3914" ht="22.5" customHeight="1">
      <c r="B3914" s="42">
        <f t="shared" si="7"/>
        <v>3908</v>
      </c>
      <c r="C3914" s="31" t="s">
        <v>3956</v>
      </c>
      <c r="D3914" s="34" t="str">
        <f t="array" ref="D3914">IFNA(_xlfn.XLOOKUP(C3914,Table_Tarikan_Warkah[Nomor Sertipikat],Table_Tarikan_Warkah[Nomor Tiket]),"")</f>
        <v>L/27/190925/1</v>
      </c>
      <c r="E3914" s="36">
        <f t="array" ref="E3914">IFNA(_xlfn.XLOOKUP(D3914,Table_Tarikan_Warkah[Nomor Tiket],Table_Tarikan_Warkah[Tanggal diserahkan kepada Validator]),"")</f>
        <v>45957.61694</v>
      </c>
      <c r="F3914" s="36" t="str">
        <f t="array" ref="F3914">IFNA(_xlfn.XLOOKUP(D3914,Table_Tarikan_Warkah[Nomor Tiket],Table_Tarikan_Warkah[Nama Petugas Warkah]),"")</f>
        <v>David</v>
      </c>
      <c r="G3914" s="39" t="str">
        <f t="array" ref="G3914">IFNA(_xlfn.XLOOKUP(D3914,Table_Tarikan_Warkah[Nomor Tiket],Table_Tarikan_Warkah[Jenis Permohonan]),"")</f>
        <v>PENINGKATAN HAK</v>
      </c>
      <c r="H3914" s="41" t="s">
        <v>2315</v>
      </c>
      <c r="I3914" s="49" t="s">
        <v>23</v>
      </c>
      <c r="J3914" s="36">
        <f t="shared" si="20"/>
        <v>45933.4763</v>
      </c>
      <c r="K3914" s="49" t="s">
        <v>3934</v>
      </c>
      <c r="L3914" s="49" t="s">
        <v>12</v>
      </c>
      <c r="M3914" s="36">
        <f t="shared" si="33"/>
        <v>45936.3928</v>
      </c>
      <c r="N3914" s="30" t="str">
        <f t="shared" si="34"/>
        <v>Selesai</v>
      </c>
      <c r="O3914" s="45">
        <f t="shared" si="23"/>
        <v>45936.3928</v>
      </c>
      <c r="P3914" s="47" t="b">
        <v>0</v>
      </c>
      <c r="Q3914" s="36" t="str">
        <f t="shared" si="35"/>
        <v/>
      </c>
      <c r="R3914" s="47" t="b">
        <v>0</v>
      </c>
      <c r="S3914" s="42" t="str">
        <f t="shared" si="28"/>
        <v/>
      </c>
      <c r="T3914" s="42"/>
    </row>
    <row r="3915" ht="22.5" customHeight="1">
      <c r="B3915" s="42">
        <f t="shared" si="7"/>
        <v>3909</v>
      </c>
      <c r="C3915" s="31" t="s">
        <v>3957</v>
      </c>
      <c r="D3915" s="34" t="str">
        <f t="array" ref="D3915">IFNA(_xlfn.XLOOKUP(C3915,Table_Tarikan_Warkah[Nomor Sertipikat],Table_Tarikan_Warkah[Nomor Tiket]),"")</f>
        <v>L/28/190925/1</v>
      </c>
      <c r="E3915" s="36" t="str">
        <f t="array" ref="E3915">IFNA(_xlfn.XLOOKUP(D3915,Table_Tarikan_Warkah[Nomor Tiket],Table_Tarikan_Warkah[Tanggal diserahkan kepada Validator]),"")</f>
        <v/>
      </c>
      <c r="F3915" s="36" t="str">
        <f t="array" ref="F3915">IFNA(_xlfn.XLOOKUP(D3915,Table_Tarikan_Warkah[Nomor Tiket],Table_Tarikan_Warkah[Nama Petugas Warkah]),"")</f>
        <v/>
      </c>
      <c r="G3915" s="39" t="str">
        <f t="array" ref="G3915">IFNA(_xlfn.XLOOKUP(D3915,Table_Tarikan_Warkah[Nomor Tiket],Table_Tarikan_Warkah[Jenis Permohonan]),"")</f>
        <v>PENINGKATAN HAK</v>
      </c>
      <c r="H3915" s="41" t="s">
        <v>2315</v>
      </c>
      <c r="I3915" s="49" t="s">
        <v>23</v>
      </c>
      <c r="J3915" s="36">
        <f t="shared" si="20"/>
        <v>45933.4765</v>
      </c>
      <c r="K3915" s="49" t="s">
        <v>3934</v>
      </c>
      <c r="L3915" s="49" t="s">
        <v>12</v>
      </c>
      <c r="M3915" s="36">
        <f t="shared" si="33"/>
        <v>45936.39296</v>
      </c>
      <c r="N3915" s="30" t="str">
        <f t="shared" si="34"/>
        <v>Selesai</v>
      </c>
      <c r="O3915" s="45">
        <f t="shared" si="23"/>
        <v>45936.39296</v>
      </c>
      <c r="P3915" s="47" t="b">
        <v>0</v>
      </c>
      <c r="Q3915" s="36" t="str">
        <f t="shared" si="35"/>
        <v/>
      </c>
      <c r="R3915" s="47" t="b">
        <v>0</v>
      </c>
      <c r="S3915" s="42" t="str">
        <f t="shared" si="28"/>
        <v/>
      </c>
      <c r="T3915" s="42"/>
    </row>
    <row r="3916" ht="22.5" customHeight="1">
      <c r="B3916" s="42">
        <f t="shared" si="7"/>
        <v>3910</v>
      </c>
      <c r="C3916" s="31" t="s">
        <v>3958</v>
      </c>
      <c r="D3916" s="34" t="str">
        <f t="array" ref="D3916">IFNA(_xlfn.XLOOKUP(C3916,Table_Tarikan_Warkah[Nomor Sertipikat],Table_Tarikan_Warkah[Nomor Tiket]),"")</f>
        <v>L/24/160925/1</v>
      </c>
      <c r="E3916" s="36" t="str">
        <f t="array" ref="E3916">IFNA(_xlfn.XLOOKUP(D3916,Table_Tarikan_Warkah[Nomor Tiket],Table_Tarikan_Warkah[Tanggal diserahkan kepada Validator]),"")</f>
        <v/>
      </c>
      <c r="F3916" s="36" t="str">
        <f t="array" ref="F3916">IFNA(_xlfn.XLOOKUP(D3916,Table_Tarikan_Warkah[Nomor Tiket],Table_Tarikan_Warkah[Nama Petugas Warkah]),"")</f>
        <v/>
      </c>
      <c r="G3916" s="39" t="str">
        <f t="array" ref="G3916">IFNA(_xlfn.XLOOKUP(D3916,Table_Tarikan_Warkah[Nomor Tiket],Table_Tarikan_Warkah[Jenis Permohonan]),"")</f>
        <v>PENINGKATAN HAK</v>
      </c>
      <c r="H3916" s="41" t="s">
        <v>2315</v>
      </c>
      <c r="I3916" s="49" t="s">
        <v>23</v>
      </c>
      <c r="J3916" s="36">
        <f t="shared" si="20"/>
        <v>45933.47662</v>
      </c>
      <c r="K3916" s="49" t="s">
        <v>3934</v>
      </c>
      <c r="L3916" s="49" t="s">
        <v>12</v>
      </c>
      <c r="M3916" s="36">
        <f t="shared" si="33"/>
        <v>45936.39315</v>
      </c>
      <c r="N3916" s="30" t="str">
        <f t="shared" si="34"/>
        <v>Selesai</v>
      </c>
      <c r="O3916" s="45">
        <f t="shared" si="23"/>
        <v>45936.39315</v>
      </c>
      <c r="P3916" s="47" t="b">
        <v>0</v>
      </c>
      <c r="Q3916" s="36" t="str">
        <f t="shared" si="35"/>
        <v/>
      </c>
      <c r="R3916" s="47" t="b">
        <v>0</v>
      </c>
      <c r="S3916" s="42" t="str">
        <f t="shared" si="28"/>
        <v/>
      </c>
      <c r="T3916" s="42"/>
    </row>
    <row r="3917" ht="22.5" customHeight="1">
      <c r="B3917" s="42">
        <f t="shared" si="7"/>
        <v>3911</v>
      </c>
      <c r="C3917" s="31" t="s">
        <v>3959</v>
      </c>
      <c r="D3917" s="34" t="str">
        <f t="array" ref="D3917">IFNA(_xlfn.XLOOKUP(C3917,Table_Tarikan_Warkah[Nomor Sertipikat],Table_Tarikan_Warkah[Nomor Tiket]),"")</f>
        <v>L/19/290925/1</v>
      </c>
      <c r="E3917" s="36" t="str">
        <f t="array" ref="E3917">IFNA(_xlfn.XLOOKUP(D3917,Table_Tarikan_Warkah[Nomor Tiket],Table_Tarikan_Warkah[Tanggal diserahkan kepada Validator]),"")</f>
        <v/>
      </c>
      <c r="F3917" s="36" t="str">
        <f t="array" ref="F3917">IFNA(_xlfn.XLOOKUP(D3917,Table_Tarikan_Warkah[Nomor Tiket],Table_Tarikan_Warkah[Nama Petugas Warkah]),"")</f>
        <v/>
      </c>
      <c r="G3917" s="39" t="str">
        <f t="array" ref="G3917">IFNA(_xlfn.XLOOKUP(D3917,Table_Tarikan_Warkah[Nomor Tiket],Table_Tarikan_Warkah[Jenis Permohonan]),"")</f>
        <v>ROYA</v>
      </c>
      <c r="H3917" s="41" t="s">
        <v>2315</v>
      </c>
      <c r="I3917" s="49" t="s">
        <v>23</v>
      </c>
      <c r="J3917" s="36">
        <f t="shared" si="20"/>
        <v>45933.47676</v>
      </c>
      <c r="K3917" s="49" t="s">
        <v>3934</v>
      </c>
      <c r="L3917" s="49" t="s">
        <v>12</v>
      </c>
      <c r="M3917" s="36">
        <f t="shared" si="33"/>
        <v>45936.39346</v>
      </c>
      <c r="N3917" s="30" t="str">
        <f t="shared" si="34"/>
        <v>Selesai</v>
      </c>
      <c r="O3917" s="45">
        <f t="shared" si="23"/>
        <v>45936.39346</v>
      </c>
      <c r="P3917" s="47" t="b">
        <v>0</v>
      </c>
      <c r="Q3917" s="36" t="str">
        <f t="shared" si="35"/>
        <v/>
      </c>
      <c r="R3917" s="47" t="b">
        <v>0</v>
      </c>
      <c r="S3917" s="42" t="str">
        <f t="shared" si="28"/>
        <v/>
      </c>
      <c r="T3917" s="42"/>
    </row>
    <row r="3918" ht="22.5" customHeight="1">
      <c r="B3918" s="42">
        <f t="shared" si="7"/>
        <v>3912</v>
      </c>
      <c r="C3918" s="31" t="s">
        <v>3960</v>
      </c>
      <c r="D3918" s="34" t="str">
        <f t="array" ref="D3918">IFNA(_xlfn.XLOOKUP(C3918,Table_Tarikan_Warkah[Nomor Sertipikat],Table_Tarikan_Warkah[Nomor Tiket]),"")</f>
        <v>L/10/170925/1</v>
      </c>
      <c r="E3918" s="36" t="str">
        <f t="array" ref="E3918">IFNA(_xlfn.XLOOKUP(D3918,Table_Tarikan_Warkah[Nomor Tiket],Table_Tarikan_Warkah[Tanggal diserahkan kepada Validator]),"")</f>
        <v/>
      </c>
      <c r="F3918" s="36" t="str">
        <f t="array" ref="F3918">IFNA(_xlfn.XLOOKUP(D3918,Table_Tarikan_Warkah[Nomor Tiket],Table_Tarikan_Warkah[Nama Petugas Warkah]),"")</f>
        <v/>
      </c>
      <c r="G3918" s="39" t="str">
        <f t="array" ref="G3918">IFNA(_xlfn.XLOOKUP(D3918,Table_Tarikan_Warkah[Nomor Tiket],Table_Tarikan_Warkah[Jenis Permohonan]),"")</f>
        <v>ROYA</v>
      </c>
      <c r="H3918" s="41" t="s">
        <v>2315</v>
      </c>
      <c r="I3918" s="49" t="s">
        <v>23</v>
      </c>
      <c r="J3918" s="36">
        <f t="shared" si="20"/>
        <v>45933.4769</v>
      </c>
      <c r="K3918" s="49" t="s">
        <v>3934</v>
      </c>
      <c r="L3918" s="49" t="s">
        <v>12</v>
      </c>
      <c r="M3918" s="36">
        <f t="shared" si="33"/>
        <v>45936.39377</v>
      </c>
      <c r="N3918" s="30" t="str">
        <f t="shared" si="34"/>
        <v>Selesai</v>
      </c>
      <c r="O3918" s="45">
        <f t="shared" si="23"/>
        <v>45936.39377</v>
      </c>
      <c r="P3918" s="47" t="b">
        <v>0</v>
      </c>
      <c r="Q3918" s="36" t="str">
        <f t="shared" si="35"/>
        <v/>
      </c>
      <c r="R3918" s="47" t="b">
        <v>0</v>
      </c>
      <c r="S3918" s="42" t="str">
        <f t="shared" si="28"/>
        <v/>
      </c>
      <c r="T3918" s="42"/>
    </row>
    <row r="3919" ht="22.5" customHeight="1">
      <c r="B3919" s="42">
        <f t="shared" si="7"/>
        <v>3913</v>
      </c>
      <c r="C3919" s="31" t="s">
        <v>3961</v>
      </c>
      <c r="D3919" s="34" t="str">
        <f t="array" ref="D3919">IFNA(_xlfn.XLOOKUP(C3919,Table_Tarikan_Warkah[Nomor Sertipikat],Table_Tarikan_Warkah[Nomor Tiket]),"")</f>
        <v>L/7/090925/1</v>
      </c>
      <c r="E3919" s="36" t="str">
        <f t="array" ref="E3919">IFNA(_xlfn.XLOOKUP(D3919,Table_Tarikan_Warkah[Nomor Tiket],Table_Tarikan_Warkah[Tanggal diserahkan kepada Validator]),"")</f>
        <v/>
      </c>
      <c r="F3919" s="36" t="str">
        <f t="array" ref="F3919">IFNA(_xlfn.XLOOKUP(D3919,Table_Tarikan_Warkah[Nomor Tiket],Table_Tarikan_Warkah[Nama Petugas Warkah]),"")</f>
        <v/>
      </c>
      <c r="G3919" s="39" t="str">
        <f t="array" ref="G3919">IFNA(_xlfn.XLOOKUP(D3919,Table_Tarikan_Warkah[Nomor Tiket],Table_Tarikan_Warkah[Jenis Permohonan]),"")</f>
        <v>BN HIBAH</v>
      </c>
      <c r="H3919" s="41" t="s">
        <v>2315</v>
      </c>
      <c r="I3919" s="49" t="s">
        <v>23</v>
      </c>
      <c r="J3919" s="36">
        <f t="shared" si="20"/>
        <v>45933.47705</v>
      </c>
      <c r="K3919" s="49" t="s">
        <v>3934</v>
      </c>
      <c r="L3919" s="49" t="s">
        <v>12</v>
      </c>
      <c r="M3919" s="36">
        <f t="shared" si="33"/>
        <v>45936.39395</v>
      </c>
      <c r="N3919" s="30" t="str">
        <f t="shared" si="34"/>
        <v>Selesai</v>
      </c>
      <c r="O3919" s="45">
        <f t="shared" si="23"/>
        <v>45936.39395</v>
      </c>
      <c r="P3919" s="47" t="b">
        <v>0</v>
      </c>
      <c r="Q3919" s="36" t="str">
        <f t="shared" si="35"/>
        <v/>
      </c>
      <c r="R3919" s="47" t="b">
        <v>0</v>
      </c>
      <c r="S3919" s="42" t="str">
        <f t="shared" si="28"/>
        <v/>
      </c>
      <c r="T3919" s="42"/>
    </row>
    <row r="3920" ht="22.5" customHeight="1">
      <c r="B3920" s="42">
        <f t="shared" si="7"/>
        <v>3914</v>
      </c>
      <c r="C3920" s="31" t="s">
        <v>3962</v>
      </c>
      <c r="D3920" s="34" t="str">
        <f t="array" ref="D3920">IFNA(_xlfn.XLOOKUP(C3920,Table_Tarikan_Warkah[Nomor Sertipikat],Table_Tarikan_Warkah[Nomor Tiket]),"")</f>
        <v>L/27/220925/1</v>
      </c>
      <c r="E3920" s="36" t="str">
        <f t="array" ref="E3920">IFNA(_xlfn.XLOOKUP(D3920,Table_Tarikan_Warkah[Nomor Tiket],Table_Tarikan_Warkah[Tanggal diserahkan kepada Validator]),"")</f>
        <v/>
      </c>
      <c r="F3920" s="36" t="str">
        <f t="array" ref="F3920">IFNA(_xlfn.XLOOKUP(D3920,Table_Tarikan_Warkah[Nomor Tiket],Table_Tarikan_Warkah[Nama Petugas Warkah]),"")</f>
        <v/>
      </c>
      <c r="G3920" s="39" t="str">
        <f t="array" ref="G3920">IFNA(_xlfn.XLOOKUP(D3920,Table_Tarikan_Warkah[Nomor Tiket],Table_Tarikan_Warkah[Jenis Permohonan]),"")</f>
        <v>PENINGKATAN HAK</v>
      </c>
      <c r="H3920" s="41" t="s">
        <v>2315</v>
      </c>
      <c r="I3920" s="49" t="s">
        <v>23</v>
      </c>
      <c r="J3920" s="36">
        <f t="shared" si="20"/>
        <v>45933.4772</v>
      </c>
      <c r="K3920" s="49" t="s">
        <v>3934</v>
      </c>
      <c r="L3920" s="49" t="s">
        <v>12</v>
      </c>
      <c r="M3920" s="36">
        <f t="shared" si="33"/>
        <v>45936.39415</v>
      </c>
      <c r="N3920" s="30" t="str">
        <f t="shared" si="34"/>
        <v>Selesai</v>
      </c>
      <c r="O3920" s="45">
        <f t="shared" si="23"/>
        <v>45936.39415</v>
      </c>
      <c r="P3920" s="47" t="b">
        <v>0</v>
      </c>
      <c r="Q3920" s="36" t="str">
        <f t="shared" si="35"/>
        <v/>
      </c>
      <c r="R3920" s="47" t="b">
        <v>0</v>
      </c>
      <c r="S3920" s="42" t="str">
        <f t="shared" si="28"/>
        <v/>
      </c>
      <c r="T3920" s="42"/>
    </row>
    <row r="3921" ht="22.5" customHeight="1">
      <c r="B3921" s="42">
        <f t="shared" si="7"/>
        <v>3915</v>
      </c>
      <c r="C3921" s="31" t="s">
        <v>3963</v>
      </c>
      <c r="D3921" s="34" t="str">
        <f t="array" ref="D3921">IFNA(_xlfn.XLOOKUP(C3921,Table_Tarikan_Warkah[Nomor Sertipikat],Table_Tarikan_Warkah[Nomor Tiket]),"")</f>
        <v>L/13/030725/1</v>
      </c>
      <c r="E3921" s="36" t="str">
        <f t="array" ref="E3921">IFNA(_xlfn.XLOOKUP(D3921,Table_Tarikan_Warkah[Nomor Tiket],Table_Tarikan_Warkah[Tanggal diserahkan kepada Validator]),"")</f>
        <v/>
      </c>
      <c r="F3921" s="36" t="str">
        <f t="array" ref="F3921">IFNA(_xlfn.XLOOKUP(D3921,Table_Tarikan_Warkah[Nomor Tiket],Table_Tarikan_Warkah[Nama Petugas Warkah]),"")</f>
        <v/>
      </c>
      <c r="G3921" s="39" t="str">
        <f t="array" ref="G3921">IFNA(_xlfn.XLOOKUP(D3921,Table_Tarikan_Warkah[Nomor Tiket],Table_Tarikan_Warkah[Jenis Permohonan]),"")</f>
        <v>BN WARIS</v>
      </c>
      <c r="H3921" s="41" t="s">
        <v>2315</v>
      </c>
      <c r="I3921" s="49" t="s">
        <v>23</v>
      </c>
      <c r="J3921" s="36">
        <f t="shared" si="20"/>
        <v>45933.47737</v>
      </c>
      <c r="K3921" s="49" t="s">
        <v>3934</v>
      </c>
      <c r="L3921" s="49" t="s">
        <v>12</v>
      </c>
      <c r="M3921" s="36">
        <f t="shared" si="33"/>
        <v>45936.39436</v>
      </c>
      <c r="N3921" s="30" t="str">
        <f t="shared" si="34"/>
        <v>Selesai</v>
      </c>
      <c r="O3921" s="45">
        <f t="shared" si="23"/>
        <v>45936.39436</v>
      </c>
      <c r="P3921" s="47" t="b">
        <v>0</v>
      </c>
      <c r="Q3921" s="36" t="str">
        <f t="shared" si="35"/>
        <v/>
      </c>
      <c r="R3921" s="47" t="b">
        <v>0</v>
      </c>
      <c r="S3921" s="42" t="str">
        <f t="shared" si="28"/>
        <v/>
      </c>
      <c r="T3921" s="42"/>
    </row>
    <row r="3922" ht="22.5" customHeight="1">
      <c r="B3922" s="42">
        <f t="shared" si="7"/>
        <v>3916</v>
      </c>
      <c r="C3922" s="31" t="s">
        <v>3964</v>
      </c>
      <c r="D3922" s="34" t="str">
        <f t="array" ref="D3922">IFNA(_xlfn.XLOOKUP(C3922,Table_Tarikan_Warkah[Nomor Sertipikat],Table_Tarikan_Warkah[Nomor Tiket]),"")</f>
        <v>K/8/120925/1</v>
      </c>
      <c r="E3922" s="36" t="str">
        <f t="array" ref="E3922">IFNA(_xlfn.XLOOKUP(D3922,Table_Tarikan_Warkah[Nomor Tiket],Table_Tarikan_Warkah[Tanggal diserahkan kepada Validator]),"")</f>
        <v/>
      </c>
      <c r="F3922" s="36" t="str">
        <f t="array" ref="F3922">IFNA(_xlfn.XLOOKUP(D3922,Table_Tarikan_Warkah[Nomor Tiket],Table_Tarikan_Warkah[Nama Petugas Warkah]),"")</f>
        <v/>
      </c>
      <c r="G3922" s="39" t="str">
        <f t="array" ref="G3922">IFNA(_xlfn.XLOOKUP(D3922,Table_Tarikan_Warkah[Nomor Tiket],Table_Tarikan_Warkah[Jenis Permohonan]),"")</f>
        <v>BN Waris	</v>
      </c>
      <c r="H3922" s="41" t="s">
        <v>2315</v>
      </c>
      <c r="I3922" s="49" t="s">
        <v>23</v>
      </c>
      <c r="J3922" s="36">
        <f t="shared" si="20"/>
        <v>45933.47753</v>
      </c>
      <c r="K3922" s="49" t="s">
        <v>3934</v>
      </c>
      <c r="L3922" s="49" t="s">
        <v>12</v>
      </c>
      <c r="M3922" s="36">
        <f t="shared" si="33"/>
        <v>45936.39469</v>
      </c>
      <c r="N3922" s="30" t="str">
        <f t="shared" si="34"/>
        <v>Selesai</v>
      </c>
      <c r="O3922" s="45">
        <f t="shared" si="23"/>
        <v>45936.39469</v>
      </c>
      <c r="P3922" s="47" t="b">
        <v>0</v>
      </c>
      <c r="Q3922" s="36" t="str">
        <f t="shared" si="35"/>
        <v/>
      </c>
      <c r="R3922" s="47" t="b">
        <v>0</v>
      </c>
      <c r="S3922" s="42" t="str">
        <f t="shared" si="28"/>
        <v/>
      </c>
      <c r="T3922" s="42"/>
    </row>
    <row r="3923" ht="22.5" customHeight="1">
      <c r="B3923" s="42">
        <f t="shared" si="7"/>
        <v>3917</v>
      </c>
      <c r="C3923" s="31" t="s">
        <v>3965</v>
      </c>
      <c r="D3923" s="34" t="str">
        <f t="array" ref="D3923">IFNA(_xlfn.XLOOKUP(C3923,Table_Tarikan_Warkah[Nomor Sertipikat],Table_Tarikan_Warkah[Nomor Tiket]),"")</f>
        <v>K/62/020925/1</v>
      </c>
      <c r="E3923" s="36">
        <f t="array" ref="E3923">IFNA(_xlfn.XLOOKUP(D3923,Table_Tarikan_Warkah[Nomor Tiket],Table_Tarikan_Warkah[Tanggal diserahkan kepada Validator]),"")</f>
        <v>45930.60013</v>
      </c>
      <c r="F3923" s="36" t="str">
        <f t="array" ref="F3923">IFNA(_xlfn.XLOOKUP(D3923,Table_Tarikan_Warkah[Nomor Tiket],Table_Tarikan_Warkah[Nama Petugas Warkah]),"")</f>
        <v>David</v>
      </c>
      <c r="G3923" s="39" t="str">
        <f t="array" ref="G3923">IFNA(_xlfn.XLOOKUP(D3923,Table_Tarikan_Warkah[Nomor Tiket],Table_Tarikan_Warkah[Jenis Permohonan]),"")</f>
        <v>BN JUAL BELI</v>
      </c>
      <c r="H3923" s="41" t="s">
        <v>2315</v>
      </c>
      <c r="I3923" s="49" t="s">
        <v>23</v>
      </c>
      <c r="J3923" s="36">
        <f t="shared" si="20"/>
        <v>45933.47769</v>
      </c>
      <c r="K3923" s="49" t="s">
        <v>3934</v>
      </c>
      <c r="L3923" s="49" t="s">
        <v>12</v>
      </c>
      <c r="M3923" s="36">
        <f t="shared" si="33"/>
        <v>45936.39485</v>
      </c>
      <c r="N3923" s="30" t="str">
        <f t="shared" si="34"/>
        <v>Selesai</v>
      </c>
      <c r="O3923" s="45">
        <f t="shared" si="23"/>
        <v>45936.39485</v>
      </c>
      <c r="P3923" s="47" t="b">
        <v>0</v>
      </c>
      <c r="Q3923" s="36" t="str">
        <f t="shared" si="35"/>
        <v/>
      </c>
      <c r="R3923" s="47" t="b">
        <v>0</v>
      </c>
      <c r="S3923" s="42" t="str">
        <f t="shared" si="28"/>
        <v/>
      </c>
      <c r="T3923" s="42"/>
    </row>
    <row r="3924" ht="22.5" customHeight="1">
      <c r="B3924" s="42">
        <f t="shared" si="7"/>
        <v>3918</v>
      </c>
      <c r="C3924" s="31" t="s">
        <v>3966</v>
      </c>
      <c r="D3924" s="34" t="str">
        <f t="array" ref="D3924">IFNA(_xlfn.XLOOKUP(C3924,Table_Tarikan_Warkah[Nomor Sertipikat],Table_Tarikan_Warkah[Nomor Tiket]),"")</f>
        <v>K/65/020925/2</v>
      </c>
      <c r="E3924" s="36" t="str">
        <f t="array" ref="E3924">IFNA(_xlfn.XLOOKUP(D3924,Table_Tarikan_Warkah[Nomor Tiket],Table_Tarikan_Warkah[Tanggal diserahkan kepada Validator]),"")</f>
        <v/>
      </c>
      <c r="F3924" s="36" t="str">
        <f t="array" ref="F3924">IFNA(_xlfn.XLOOKUP(D3924,Table_Tarikan_Warkah[Nomor Tiket],Table_Tarikan_Warkah[Nama Petugas Warkah]),"")</f>
        <v/>
      </c>
      <c r="G3924" s="39" t="str">
        <f t="array" ref="G3924">IFNA(_xlfn.XLOOKUP(D3924,Table_Tarikan_Warkah[Nomor Tiket],Table_Tarikan_Warkah[Jenis Permohonan]),"")</f>
        <v>BN JUAL BELI</v>
      </c>
      <c r="H3924" s="41" t="s">
        <v>2315</v>
      </c>
      <c r="I3924" s="49" t="s">
        <v>23</v>
      </c>
      <c r="J3924" s="36">
        <f t="shared" si="20"/>
        <v>45933.47784</v>
      </c>
      <c r="K3924" s="49" t="s">
        <v>3934</v>
      </c>
      <c r="L3924" s="49" t="s">
        <v>12</v>
      </c>
      <c r="M3924" s="36">
        <f t="shared" si="33"/>
        <v>45936.39496</v>
      </c>
      <c r="N3924" s="30" t="str">
        <f t="shared" si="34"/>
        <v>Selesai</v>
      </c>
      <c r="O3924" s="45">
        <f t="shared" si="23"/>
        <v>45936.39496</v>
      </c>
      <c r="P3924" s="47" t="b">
        <v>0</v>
      </c>
      <c r="Q3924" s="36" t="str">
        <f t="shared" si="35"/>
        <v/>
      </c>
      <c r="R3924" s="47" t="b">
        <v>0</v>
      </c>
      <c r="S3924" s="42" t="str">
        <f t="shared" si="28"/>
        <v/>
      </c>
      <c r="T3924" s="42"/>
    </row>
    <row r="3925" ht="22.5" customHeight="1">
      <c r="B3925" s="42">
        <f t="shared" si="7"/>
        <v>3919</v>
      </c>
      <c r="C3925" s="31" t="s">
        <v>3967</v>
      </c>
      <c r="D3925" s="34" t="str">
        <f t="array" ref="D3925">IFNA(_xlfn.XLOOKUP(C3925,Table_Tarikan_Warkah[Nomor Sertipikat],Table_Tarikan_Warkah[Nomor Tiket]),"")</f>
        <v>K/29/280825/1</v>
      </c>
      <c r="E3925" s="36" t="str">
        <f t="array" ref="E3925">IFNA(_xlfn.XLOOKUP(D3925,Table_Tarikan_Warkah[Nomor Tiket],Table_Tarikan_Warkah[Tanggal diserahkan kepada Validator]),"")</f>
        <v/>
      </c>
      <c r="F3925" s="36" t="str">
        <f t="array" ref="F3925">IFNA(_xlfn.XLOOKUP(D3925,Table_Tarikan_Warkah[Nomor Tiket],Table_Tarikan_Warkah[Nama Petugas Warkah]),"")</f>
        <v/>
      </c>
      <c r="G3925" s="39" t="str">
        <f t="array" ref="G3925">IFNA(_xlfn.XLOOKUP(D3925,Table_Tarikan_Warkah[Nomor Tiket],Table_Tarikan_Warkah[Jenis Permohonan]),"")</f>
        <v>BN JUAL BELI</v>
      </c>
      <c r="H3925" s="41" t="s">
        <v>2315</v>
      </c>
      <c r="I3925" s="49" t="s">
        <v>23</v>
      </c>
      <c r="J3925" s="36">
        <f t="shared" si="20"/>
        <v>45933.47802</v>
      </c>
      <c r="K3925" s="49" t="s">
        <v>3934</v>
      </c>
      <c r="L3925" s="49" t="s">
        <v>12</v>
      </c>
      <c r="M3925" s="36">
        <f t="shared" si="33"/>
        <v>45936.39507</v>
      </c>
      <c r="N3925" s="30" t="str">
        <f t="shared" si="34"/>
        <v>Selesai</v>
      </c>
      <c r="O3925" s="45">
        <f t="shared" si="23"/>
        <v>45936.39507</v>
      </c>
      <c r="P3925" s="47" t="b">
        <v>0</v>
      </c>
      <c r="Q3925" s="36" t="str">
        <f t="shared" si="35"/>
        <v/>
      </c>
      <c r="R3925" s="47" t="b">
        <v>0</v>
      </c>
      <c r="S3925" s="42" t="str">
        <f t="shared" si="28"/>
        <v/>
      </c>
      <c r="T3925" s="42"/>
    </row>
    <row r="3926" ht="22.5" customHeight="1">
      <c r="B3926" s="42">
        <f t="shared" si="7"/>
        <v>3920</v>
      </c>
      <c r="C3926" s="31" t="s">
        <v>3968</v>
      </c>
      <c r="D3926" s="34" t="str">
        <f t="array" ref="D3926">IFNA(_xlfn.XLOOKUP(C3926,Table_Tarikan_Warkah[Nomor Sertipikat],Table_Tarikan_Warkah[Nomor Tiket]),"")</f>
        <v>K/33/200825/1</v>
      </c>
      <c r="E3926" s="36" t="str">
        <f t="array" ref="E3926">IFNA(_xlfn.XLOOKUP(D3926,Table_Tarikan_Warkah[Nomor Tiket],Table_Tarikan_Warkah[Tanggal diserahkan kepada Validator]),"")</f>
        <v/>
      </c>
      <c r="F3926" s="36" t="str">
        <f t="array" ref="F3926">IFNA(_xlfn.XLOOKUP(D3926,Table_Tarikan_Warkah[Nomor Tiket],Table_Tarikan_Warkah[Nama Petugas Warkah]),"")</f>
        <v/>
      </c>
      <c r="G3926" s="39" t="str">
        <f t="array" ref="G3926">IFNA(_xlfn.XLOOKUP(D3926,Table_Tarikan_Warkah[Nomor Tiket],Table_Tarikan_Warkah[Jenis Permohonan]),"")</f>
        <v>BN WARIS</v>
      </c>
      <c r="H3926" s="41" t="s">
        <v>2315</v>
      </c>
      <c r="I3926" s="49" t="s">
        <v>23</v>
      </c>
      <c r="J3926" s="36">
        <f t="shared" si="20"/>
        <v>45933.47817</v>
      </c>
      <c r="K3926" s="49" t="s">
        <v>3934</v>
      </c>
      <c r="L3926" s="49" t="s">
        <v>12</v>
      </c>
      <c r="M3926" s="36">
        <f t="shared" si="33"/>
        <v>45936.39522</v>
      </c>
      <c r="N3926" s="30" t="str">
        <f t="shared" si="34"/>
        <v>Selesai</v>
      </c>
      <c r="O3926" s="45">
        <f t="shared" si="23"/>
        <v>45936.39522</v>
      </c>
      <c r="P3926" s="47" t="b">
        <v>0</v>
      </c>
      <c r="Q3926" s="36" t="str">
        <f t="shared" si="35"/>
        <v/>
      </c>
      <c r="R3926" s="47" t="b">
        <v>0</v>
      </c>
      <c r="S3926" s="42" t="str">
        <f t="shared" si="28"/>
        <v/>
      </c>
      <c r="T3926" s="42"/>
    </row>
    <row r="3927" ht="22.5" customHeight="1">
      <c r="B3927" s="42">
        <f t="shared" si="7"/>
        <v>3921</v>
      </c>
      <c r="C3927" s="31" t="s">
        <v>3969</v>
      </c>
      <c r="D3927" s="34" t="str">
        <f t="array" ref="D3927">IFNA(_xlfn.XLOOKUP(C3927,Table_Tarikan_Warkah[Nomor Sertipikat],Table_Tarikan_Warkah[Nomor Tiket]),"")</f>
        <v>L/14/090925/1</v>
      </c>
      <c r="E3927" s="36" t="str">
        <f t="array" ref="E3927">IFNA(_xlfn.XLOOKUP(D3927,Table_Tarikan_Warkah[Nomor Tiket],Table_Tarikan_Warkah[Tanggal diserahkan kepada Validator]),"")</f>
        <v/>
      </c>
      <c r="F3927" s="36" t="str">
        <f t="array" ref="F3927">IFNA(_xlfn.XLOOKUP(D3927,Table_Tarikan_Warkah[Nomor Tiket],Table_Tarikan_Warkah[Nama Petugas Warkah]),"")</f>
        <v/>
      </c>
      <c r="G3927" s="39" t="str">
        <f t="array" ref="G3927">IFNA(_xlfn.XLOOKUP(D3927,Table_Tarikan_Warkah[Nomor Tiket],Table_Tarikan_Warkah[Jenis Permohonan]),"")</f>
        <v>BN WARIS</v>
      </c>
      <c r="H3927" s="41" t="s">
        <v>2315</v>
      </c>
      <c r="I3927" s="49" t="s">
        <v>23</v>
      </c>
      <c r="J3927" s="36">
        <f t="shared" si="20"/>
        <v>45933.47838</v>
      </c>
      <c r="K3927" s="49" t="s">
        <v>3934</v>
      </c>
      <c r="L3927" s="49" t="s">
        <v>12</v>
      </c>
      <c r="M3927" s="36">
        <f t="shared" si="33"/>
        <v>45936.39532</v>
      </c>
      <c r="N3927" s="30" t="str">
        <f t="shared" si="34"/>
        <v>Selesai</v>
      </c>
      <c r="O3927" s="45">
        <f t="shared" si="23"/>
        <v>45936.39532</v>
      </c>
      <c r="P3927" s="47" t="b">
        <v>0</v>
      </c>
      <c r="Q3927" s="36" t="str">
        <f t="shared" si="35"/>
        <v/>
      </c>
      <c r="R3927" s="47" t="b">
        <v>0</v>
      </c>
      <c r="S3927" s="42" t="str">
        <f t="shared" si="28"/>
        <v/>
      </c>
      <c r="T3927" s="42"/>
    </row>
    <row r="3928" ht="22.5" customHeight="1">
      <c r="B3928" s="42">
        <f t="shared" si="7"/>
        <v>3922</v>
      </c>
      <c r="C3928" s="31" t="s">
        <v>3970</v>
      </c>
      <c r="D3928" s="34" t="str">
        <f t="array" ref="D3928">IFNA(_xlfn.XLOOKUP(C3928,Table_Tarikan_Warkah[Nomor Sertipikat],Table_Tarikan_Warkah[Nomor Tiket]),"")</f>
        <v>L/26/290925/1</v>
      </c>
      <c r="E3928" s="36">
        <f t="array" ref="E3928">IFNA(_xlfn.XLOOKUP(D3928,Table_Tarikan_Warkah[Nomor Tiket],Table_Tarikan_Warkah[Tanggal diserahkan kepada Validator]),"")</f>
        <v>45975.4933</v>
      </c>
      <c r="F3928" s="36" t="str">
        <f t="array" ref="F3928">IFNA(_xlfn.XLOOKUP(D3928,Table_Tarikan_Warkah[Nomor Tiket],Table_Tarikan_Warkah[Nama Petugas Warkah]),"")</f>
        <v>Berry</v>
      </c>
      <c r="G3928" s="39" t="str">
        <f t="array" ref="G3928">IFNA(_xlfn.XLOOKUP(D3928,Table_Tarikan_Warkah[Nomor Tiket],Table_Tarikan_Warkah[Jenis Permohonan]),"")</f>
        <v>ROYA</v>
      </c>
      <c r="H3928" s="41" t="s">
        <v>2315</v>
      </c>
      <c r="I3928" s="49" t="s">
        <v>23</v>
      </c>
      <c r="J3928" s="36">
        <f t="shared" si="20"/>
        <v>45933.47866</v>
      </c>
      <c r="K3928" s="49" t="s">
        <v>3934</v>
      </c>
      <c r="L3928" s="49" t="s">
        <v>12</v>
      </c>
      <c r="M3928" s="36">
        <f t="shared" si="33"/>
        <v>45936.39554</v>
      </c>
      <c r="N3928" s="30" t="str">
        <f t="shared" si="34"/>
        <v>Selesai</v>
      </c>
      <c r="O3928" s="45">
        <f t="shared" si="23"/>
        <v>45936.39554</v>
      </c>
      <c r="P3928" s="47" t="b">
        <v>0</v>
      </c>
      <c r="Q3928" s="36" t="str">
        <f t="shared" si="35"/>
        <v/>
      </c>
      <c r="R3928" s="47" t="b">
        <v>0</v>
      </c>
      <c r="S3928" s="42" t="str">
        <f t="shared" si="28"/>
        <v/>
      </c>
      <c r="T3928" s="42"/>
    </row>
    <row r="3929" ht="22.5" customHeight="1">
      <c r="B3929" s="42">
        <f t="shared" si="7"/>
        <v>3923</v>
      </c>
      <c r="C3929" s="31" t="s">
        <v>3971</v>
      </c>
      <c r="D3929" s="34" t="str">
        <f t="array" ref="D3929">IFNA(_xlfn.XLOOKUP(C3929,Table_Tarikan_Warkah[Nomor Sertipikat],Table_Tarikan_Warkah[Nomor Tiket]),"")</f>
        <v>K/8/150925/1</v>
      </c>
      <c r="E3929" s="36" t="str">
        <f t="array" ref="E3929">IFNA(_xlfn.XLOOKUP(D3929,Table_Tarikan_Warkah[Nomor Tiket],Table_Tarikan_Warkah[Tanggal diserahkan kepada Validator]),"")</f>
        <v/>
      </c>
      <c r="F3929" s="36" t="str">
        <f t="array" ref="F3929">IFNA(_xlfn.XLOOKUP(D3929,Table_Tarikan_Warkah[Nomor Tiket],Table_Tarikan_Warkah[Nama Petugas Warkah]),"")</f>
        <v/>
      </c>
      <c r="G3929" s="39" t="str">
        <f t="array" ref="G3929">IFNA(_xlfn.XLOOKUP(D3929,Table_Tarikan_Warkah[Nomor Tiket],Table_Tarikan_Warkah[Jenis Permohonan]),"")</f>
        <v>PEMISAHAN</v>
      </c>
      <c r="H3929" s="41" t="s">
        <v>2315</v>
      </c>
      <c r="I3929" s="49" t="s">
        <v>23</v>
      </c>
      <c r="J3929" s="36">
        <f t="shared" si="20"/>
        <v>45933.47888</v>
      </c>
      <c r="K3929" s="49" t="s">
        <v>3934</v>
      </c>
      <c r="L3929" s="49" t="s">
        <v>12</v>
      </c>
      <c r="M3929" s="36">
        <f t="shared" si="33"/>
        <v>45936.39576</v>
      </c>
      <c r="N3929" s="30" t="str">
        <f t="shared" si="34"/>
        <v>Selesai</v>
      </c>
      <c r="O3929" s="45">
        <f t="shared" si="23"/>
        <v>45936.39576</v>
      </c>
      <c r="P3929" s="47" t="b">
        <v>0</v>
      </c>
      <c r="Q3929" s="36" t="str">
        <f t="shared" si="35"/>
        <v/>
      </c>
      <c r="R3929" s="47" t="b">
        <v>0</v>
      </c>
      <c r="S3929" s="42" t="str">
        <f t="shared" si="28"/>
        <v/>
      </c>
      <c r="T3929" s="42"/>
    </row>
    <row r="3930" ht="22.5" customHeight="1">
      <c r="B3930" s="42">
        <f t="shared" si="7"/>
        <v>3924</v>
      </c>
      <c r="C3930" s="31" t="s">
        <v>3972</v>
      </c>
      <c r="D3930" s="34" t="str">
        <f t="array" ref="D3930">IFNA(_xlfn.XLOOKUP(C3930,Table_Tarikan_Warkah[Nomor Sertipikat],Table_Tarikan_Warkah[Nomor Tiket]),"")</f>
        <v>K/9/260825/1</v>
      </c>
      <c r="E3930" s="36" t="str">
        <f t="array" ref="E3930">IFNA(_xlfn.XLOOKUP(D3930,Table_Tarikan_Warkah[Nomor Tiket],Table_Tarikan_Warkah[Tanggal diserahkan kepada Validator]),"")</f>
        <v/>
      </c>
      <c r="F3930" s="36" t="str">
        <f t="array" ref="F3930">IFNA(_xlfn.XLOOKUP(D3930,Table_Tarikan_Warkah[Nomor Tiket],Table_Tarikan_Warkah[Nama Petugas Warkah]),"")</f>
        <v/>
      </c>
      <c r="G3930" s="39" t="str">
        <f t="array" ref="G3930">IFNA(_xlfn.XLOOKUP(D3930,Table_Tarikan_Warkah[Nomor Tiket],Table_Tarikan_Warkah[Jenis Permohonan]),"")</f>
        <v>ROYA</v>
      </c>
      <c r="H3930" s="41" t="s">
        <v>2315</v>
      </c>
      <c r="I3930" s="49" t="s">
        <v>23</v>
      </c>
      <c r="J3930" s="36">
        <f t="shared" si="20"/>
        <v>45933.47903</v>
      </c>
      <c r="K3930" s="49" t="s">
        <v>3934</v>
      </c>
      <c r="L3930" s="49" t="s">
        <v>12</v>
      </c>
      <c r="M3930" s="36">
        <f t="shared" si="33"/>
        <v>45936.39596</v>
      </c>
      <c r="N3930" s="30" t="str">
        <f t="shared" si="34"/>
        <v>Selesai</v>
      </c>
      <c r="O3930" s="45">
        <f t="shared" si="23"/>
        <v>45936.39596</v>
      </c>
      <c r="P3930" s="47" t="b">
        <v>0</v>
      </c>
      <c r="Q3930" s="36" t="str">
        <f t="shared" si="35"/>
        <v/>
      </c>
      <c r="R3930" s="47" t="b">
        <v>0</v>
      </c>
      <c r="S3930" s="42" t="str">
        <f t="shared" si="28"/>
        <v/>
      </c>
      <c r="T3930" s="42"/>
    </row>
    <row r="3931" ht="22.5" customHeight="1">
      <c r="B3931" s="42">
        <f t="shared" si="7"/>
        <v>3925</v>
      </c>
      <c r="C3931" s="31" t="s">
        <v>3973</v>
      </c>
      <c r="D3931" s="34" t="str">
        <f t="array" ref="D3931">IFNA(_xlfn.XLOOKUP(C3931,Table_Tarikan_Warkah[Nomor Sertipikat],Table_Tarikan_Warkah[Nomor Tiket]),"")</f>
        <v>L/1/210925/1</v>
      </c>
      <c r="E3931" s="36" t="str">
        <f t="array" ref="E3931">IFNA(_xlfn.XLOOKUP(D3931,Table_Tarikan_Warkah[Nomor Tiket],Table_Tarikan_Warkah[Tanggal diserahkan kepada Validator]),"")</f>
        <v/>
      </c>
      <c r="F3931" s="36" t="str">
        <f t="array" ref="F3931">IFNA(_xlfn.XLOOKUP(D3931,Table_Tarikan_Warkah[Nomor Tiket],Table_Tarikan_Warkah[Nama Petugas Warkah]),"")</f>
        <v/>
      </c>
      <c r="G3931" s="39" t="str">
        <f t="array" ref="G3931">IFNA(_xlfn.XLOOKUP(D3931,Table_Tarikan_Warkah[Nomor Tiket],Table_Tarikan_Warkah[Jenis Permohonan]),"")</f>
        <v>ROYA</v>
      </c>
      <c r="H3931" s="41" t="s">
        <v>2315</v>
      </c>
      <c r="I3931" s="49" t="s">
        <v>23</v>
      </c>
      <c r="J3931" s="36">
        <f t="shared" si="20"/>
        <v>45933.47923</v>
      </c>
      <c r="K3931" s="49" t="s">
        <v>3934</v>
      </c>
      <c r="L3931" s="49" t="s">
        <v>12</v>
      </c>
      <c r="M3931" s="36">
        <f t="shared" si="33"/>
        <v>45936.39609</v>
      </c>
      <c r="N3931" s="30" t="str">
        <f t="shared" si="34"/>
        <v>Selesai</v>
      </c>
      <c r="O3931" s="45">
        <f t="shared" si="23"/>
        <v>45936.39609</v>
      </c>
      <c r="P3931" s="47" t="b">
        <v>0</v>
      </c>
      <c r="Q3931" s="36" t="str">
        <f t="shared" si="35"/>
        <v/>
      </c>
      <c r="R3931" s="47" t="b">
        <v>0</v>
      </c>
      <c r="S3931" s="42" t="str">
        <f t="shared" si="28"/>
        <v/>
      </c>
      <c r="T3931" s="42"/>
    </row>
    <row r="3932" ht="22.5" customHeight="1">
      <c r="B3932" s="42">
        <f t="shared" si="7"/>
        <v>3926</v>
      </c>
      <c r="C3932" s="31" t="s">
        <v>3974</v>
      </c>
      <c r="D3932" s="34" t="str">
        <f t="array" ref="D3932">IFNA(_xlfn.XLOOKUP(C3932,Table_Tarikan_Warkah[Nomor Sertipikat],Table_Tarikan_Warkah[Nomor Tiket]),"")</f>
        <v>K/37/290925/1</v>
      </c>
      <c r="E3932" s="36" t="str">
        <f t="array" ref="E3932">IFNA(_xlfn.XLOOKUP(D3932,Table_Tarikan_Warkah[Nomor Tiket],Table_Tarikan_Warkah[Tanggal diserahkan kepada Validator]),"")</f>
        <v/>
      </c>
      <c r="F3932" s="36" t="str">
        <f t="array" ref="F3932">IFNA(_xlfn.XLOOKUP(D3932,Table_Tarikan_Warkah[Nomor Tiket],Table_Tarikan_Warkah[Nama Petugas Warkah]),"")</f>
        <v/>
      </c>
      <c r="G3932" s="39" t="str">
        <f t="array" ref="G3932">IFNA(_xlfn.XLOOKUP(D3932,Table_Tarikan_Warkah[Nomor Tiket],Table_Tarikan_Warkah[Jenis Permohonan]),"")</f>
        <v>BN WARIS</v>
      </c>
      <c r="H3932" s="41" t="s">
        <v>2315</v>
      </c>
      <c r="I3932" s="49" t="s">
        <v>23</v>
      </c>
      <c r="J3932" s="36">
        <f t="shared" si="20"/>
        <v>45933.47939</v>
      </c>
      <c r="K3932" s="49" t="s">
        <v>3934</v>
      </c>
      <c r="L3932" s="49" t="s">
        <v>12</v>
      </c>
      <c r="M3932" s="36">
        <f t="shared" si="33"/>
        <v>45936.39628</v>
      </c>
      <c r="N3932" s="30" t="str">
        <f t="shared" si="34"/>
        <v>Selesai</v>
      </c>
      <c r="O3932" s="45">
        <f t="shared" si="23"/>
        <v>45936.39628</v>
      </c>
      <c r="P3932" s="47" t="b">
        <v>0</v>
      </c>
      <c r="Q3932" s="36" t="str">
        <f t="shared" si="35"/>
        <v/>
      </c>
      <c r="R3932" s="47" t="b">
        <v>0</v>
      </c>
      <c r="S3932" s="42" t="str">
        <f t="shared" si="28"/>
        <v/>
      </c>
      <c r="T3932" s="42"/>
    </row>
    <row r="3933" ht="22.5" customHeight="1">
      <c r="B3933" s="42">
        <f t="shared" si="7"/>
        <v>3927</v>
      </c>
      <c r="C3933" s="31" t="s">
        <v>3975</v>
      </c>
      <c r="D3933" s="34" t="str">
        <f t="array" ref="D3933">IFNA(_xlfn.XLOOKUP(C3933,Table_Tarikan_Warkah[Nomor Sertipikat],Table_Tarikan_Warkah[Nomor Tiket]),"")</f>
        <v>K/3/150825/2</v>
      </c>
      <c r="E3933" s="36">
        <f t="array" ref="E3933">IFNA(_xlfn.XLOOKUP(D3933,Table_Tarikan_Warkah[Nomor Tiket],Table_Tarikan_Warkah[Tanggal diserahkan kepada Validator]),"")</f>
        <v>45916.65923</v>
      </c>
      <c r="F3933" s="36" t="str">
        <f t="array" ref="F3933">IFNA(_xlfn.XLOOKUP(D3933,Table_Tarikan_Warkah[Nomor Tiket],Table_Tarikan_Warkah[Nama Petugas Warkah]),"")</f>
        <v>Berry</v>
      </c>
      <c r="G3933" s="39" t="str">
        <f t="array" ref="G3933">IFNA(_xlfn.XLOOKUP(D3933,Table_Tarikan_Warkah[Nomor Tiket],Table_Tarikan_Warkah[Jenis Permohonan]),"")</f>
        <v>BN WARIS</v>
      </c>
      <c r="H3933" s="41" t="s">
        <v>2315</v>
      </c>
      <c r="I3933" s="49" t="s">
        <v>23</v>
      </c>
      <c r="J3933" s="36">
        <f t="shared" si="20"/>
        <v>45933.47957</v>
      </c>
      <c r="K3933" s="49" t="s">
        <v>3934</v>
      </c>
      <c r="L3933" s="49" t="s">
        <v>12</v>
      </c>
      <c r="M3933" s="36">
        <f t="shared" si="33"/>
        <v>45936.39643</v>
      </c>
      <c r="N3933" s="30" t="str">
        <f t="shared" si="34"/>
        <v>Selesai</v>
      </c>
      <c r="O3933" s="45">
        <f t="shared" si="23"/>
        <v>45936.39643</v>
      </c>
      <c r="P3933" s="47" t="b">
        <v>0</v>
      </c>
      <c r="Q3933" s="36" t="str">
        <f t="shared" si="35"/>
        <v/>
      </c>
      <c r="R3933" s="47" t="b">
        <v>0</v>
      </c>
      <c r="S3933" s="42" t="str">
        <f t="shared" si="28"/>
        <v/>
      </c>
      <c r="T3933" s="42"/>
    </row>
    <row r="3934" ht="22.5" customHeight="1">
      <c r="B3934" s="42">
        <f t="shared" si="7"/>
        <v>3928</v>
      </c>
      <c r="C3934" s="31" t="s">
        <v>3976</v>
      </c>
      <c r="D3934" s="34" t="str">
        <f t="array" ref="D3934">IFNA(_xlfn.XLOOKUP(C3934,Table_Tarikan_Warkah[Nomor Sertipikat],Table_Tarikan_Warkah[Nomor Tiket]),"")</f>
        <v>K/4/150825/3</v>
      </c>
      <c r="E3934" s="36">
        <f t="array" ref="E3934">IFNA(_xlfn.XLOOKUP(D3934,Table_Tarikan_Warkah[Nomor Tiket],Table_Tarikan_Warkah[Tanggal diserahkan kepada Validator]),"")</f>
        <v>45943.69578</v>
      </c>
      <c r="F3934" s="36" t="str">
        <f t="array" ref="F3934">IFNA(_xlfn.XLOOKUP(D3934,Table_Tarikan_Warkah[Nomor Tiket],Table_Tarikan_Warkah[Nama Petugas Warkah]),"")</f>
        <v>David</v>
      </c>
      <c r="G3934" s="39" t="str">
        <f t="array" ref="G3934">IFNA(_xlfn.XLOOKUP(D3934,Table_Tarikan_Warkah[Nomor Tiket],Table_Tarikan_Warkah[Jenis Permohonan]),"")</f>
        <v>BN WARIS</v>
      </c>
      <c r="H3934" s="41" t="s">
        <v>2315</v>
      </c>
      <c r="I3934" s="49" t="s">
        <v>23</v>
      </c>
      <c r="J3934" s="36">
        <f t="shared" si="20"/>
        <v>45933.47975</v>
      </c>
      <c r="K3934" s="49" t="s">
        <v>3934</v>
      </c>
      <c r="L3934" s="49" t="s">
        <v>12</v>
      </c>
      <c r="M3934" s="36">
        <f t="shared" si="33"/>
        <v>45936.39651</v>
      </c>
      <c r="N3934" s="30" t="str">
        <f t="shared" si="34"/>
        <v>Selesai</v>
      </c>
      <c r="O3934" s="45">
        <f t="shared" si="23"/>
        <v>45936.39651</v>
      </c>
      <c r="P3934" s="47" t="b">
        <v>0</v>
      </c>
      <c r="Q3934" s="36" t="str">
        <f t="shared" si="35"/>
        <v/>
      </c>
      <c r="R3934" s="47" t="b">
        <v>0</v>
      </c>
      <c r="S3934" s="42" t="str">
        <f t="shared" si="28"/>
        <v/>
      </c>
      <c r="T3934" s="42"/>
    </row>
    <row r="3935" ht="22.5" customHeight="1">
      <c r="B3935" s="42">
        <f t="shared" si="7"/>
        <v>3929</v>
      </c>
      <c r="C3935" s="31" t="s">
        <v>3977</v>
      </c>
      <c r="D3935" s="34" t="str">
        <f t="array" ref="D3935">IFNA(_xlfn.XLOOKUP(C3935,Table_Tarikan_Warkah[Nomor Sertipikat],Table_Tarikan_Warkah[Nomor Tiket]),"")</f>
        <v>K/16/220925/1</v>
      </c>
      <c r="E3935" s="36" t="str">
        <f t="array" ref="E3935">IFNA(_xlfn.XLOOKUP(D3935,Table_Tarikan_Warkah[Nomor Tiket],Table_Tarikan_Warkah[Tanggal diserahkan kepada Validator]),"")</f>
        <v/>
      </c>
      <c r="F3935" s="36" t="str">
        <f t="array" ref="F3935">IFNA(_xlfn.XLOOKUP(D3935,Table_Tarikan_Warkah[Nomor Tiket],Table_Tarikan_Warkah[Nama Petugas Warkah]),"")</f>
        <v/>
      </c>
      <c r="G3935" s="39" t="str">
        <f t="array" ref="G3935">IFNA(_xlfn.XLOOKUP(D3935,Table_Tarikan_Warkah[Nomor Tiket],Table_Tarikan_Warkah[Jenis Permohonan]),"")</f>
        <v>PENINGKATAN HAK</v>
      </c>
      <c r="H3935" s="41" t="s">
        <v>2315</v>
      </c>
      <c r="I3935" s="49" t="s">
        <v>23</v>
      </c>
      <c r="J3935" s="36">
        <f t="shared" si="20"/>
        <v>45933.4799</v>
      </c>
      <c r="K3935" s="49" t="s">
        <v>3934</v>
      </c>
      <c r="L3935" s="49" t="s">
        <v>12</v>
      </c>
      <c r="M3935" s="36">
        <f t="shared" si="33"/>
        <v>45936.39683</v>
      </c>
      <c r="N3935" s="30" t="str">
        <f t="shared" si="34"/>
        <v>Selesai</v>
      </c>
      <c r="O3935" s="45">
        <f t="shared" si="23"/>
        <v>45936.39683</v>
      </c>
      <c r="P3935" s="47" t="b">
        <v>0</v>
      </c>
      <c r="Q3935" s="36" t="str">
        <f t="shared" si="35"/>
        <v/>
      </c>
      <c r="R3935" s="47" t="b">
        <v>0</v>
      </c>
      <c r="S3935" s="42" t="str">
        <f t="shared" si="28"/>
        <v/>
      </c>
      <c r="T3935" s="42"/>
    </row>
    <row r="3936" ht="22.5" customHeight="1">
      <c r="B3936" s="42">
        <f t="shared" si="7"/>
        <v>3930</v>
      </c>
      <c r="C3936" s="31" t="s">
        <v>3978</v>
      </c>
      <c r="D3936" s="34" t="str">
        <f t="array" ref="D3936">IFNA(_xlfn.XLOOKUP(C3936,Table_Tarikan_Warkah[Nomor Sertipikat],Table_Tarikan_Warkah[Nomor Tiket]),"")</f>
        <v>K/33/290925/1</v>
      </c>
      <c r="E3936" s="36">
        <f t="array" ref="E3936">IFNA(_xlfn.XLOOKUP(D3936,Table_Tarikan_Warkah[Nomor Tiket],Table_Tarikan_Warkah[Tanggal diserahkan kepada Validator]),"")</f>
        <v>45979.63273</v>
      </c>
      <c r="F3936" s="36" t="str">
        <f t="array" ref="F3936">IFNA(_xlfn.XLOOKUP(D3936,Table_Tarikan_Warkah[Nomor Tiket],Table_Tarikan_Warkah[Nama Petugas Warkah]),"")</f>
        <v>Berry</v>
      </c>
      <c r="G3936" s="39" t="str">
        <f t="array" ref="G3936">IFNA(_xlfn.XLOOKUP(D3936,Table_Tarikan_Warkah[Nomor Tiket],Table_Tarikan_Warkah[Jenis Permohonan]),"")</f>
        <v>ROYA</v>
      </c>
      <c r="H3936" s="41" t="s">
        <v>2315</v>
      </c>
      <c r="I3936" s="49" t="s">
        <v>23</v>
      </c>
      <c r="J3936" s="36">
        <f t="shared" si="20"/>
        <v>45933.48005</v>
      </c>
      <c r="K3936" s="49" t="s">
        <v>3934</v>
      </c>
      <c r="L3936" s="49" t="s">
        <v>12</v>
      </c>
      <c r="M3936" s="36">
        <f t="shared" si="33"/>
        <v>45936.39695</v>
      </c>
      <c r="N3936" s="30" t="str">
        <f t="shared" si="34"/>
        <v>Selesai</v>
      </c>
      <c r="O3936" s="45">
        <f t="shared" si="23"/>
        <v>45936.39695</v>
      </c>
      <c r="P3936" s="47" t="b">
        <v>0</v>
      </c>
      <c r="Q3936" s="36" t="str">
        <f t="shared" si="35"/>
        <v/>
      </c>
      <c r="R3936" s="47" t="b">
        <v>0</v>
      </c>
      <c r="S3936" s="42" t="str">
        <f t="shared" si="28"/>
        <v/>
      </c>
      <c r="T3936" s="42"/>
    </row>
    <row r="3937" ht="22.5" customHeight="1">
      <c r="B3937" s="42">
        <f t="shared" si="7"/>
        <v>3931</v>
      </c>
      <c r="C3937" s="31" t="s">
        <v>3979</v>
      </c>
      <c r="D3937" s="34" t="str">
        <f t="array" ref="D3937">IFNA(_xlfn.XLOOKUP(C3937,Table_Tarikan_Warkah[Nomor Sertipikat],Table_Tarikan_Warkah[Nomor Tiket]),"")</f>
        <v>K/1/150825/1</v>
      </c>
      <c r="E3937" s="36" t="str">
        <f t="array" ref="E3937">IFNA(_xlfn.XLOOKUP(D3937,Table_Tarikan_Warkah[Nomor Tiket],Table_Tarikan_Warkah[Tanggal diserahkan kepada Validator]),"")</f>
        <v/>
      </c>
      <c r="F3937" s="36" t="str">
        <f t="array" ref="F3937">IFNA(_xlfn.XLOOKUP(D3937,Table_Tarikan_Warkah[Nomor Tiket],Table_Tarikan_Warkah[Nama Petugas Warkah]),"")</f>
        <v/>
      </c>
      <c r="G3937" s="39" t="str">
        <f t="array" ref="G3937">IFNA(_xlfn.XLOOKUP(D3937,Table_Tarikan_Warkah[Nomor Tiket],Table_Tarikan_Warkah[Jenis Permohonan]),"")</f>
        <v>BN WARIS</v>
      </c>
      <c r="H3937" s="41" t="s">
        <v>2315</v>
      </c>
      <c r="I3937" s="49" t="s">
        <v>23</v>
      </c>
      <c r="J3937" s="36">
        <f t="shared" si="20"/>
        <v>45933.48021</v>
      </c>
      <c r="K3937" s="49" t="s">
        <v>3934</v>
      </c>
      <c r="L3937" s="49" t="s">
        <v>12</v>
      </c>
      <c r="M3937" s="36">
        <f t="shared" si="33"/>
        <v>45936.39705</v>
      </c>
      <c r="N3937" s="30" t="str">
        <f t="shared" si="34"/>
        <v>Selesai</v>
      </c>
      <c r="O3937" s="45">
        <f t="shared" si="23"/>
        <v>45936.39705</v>
      </c>
      <c r="P3937" s="47" t="b">
        <v>0</v>
      </c>
      <c r="Q3937" s="36" t="str">
        <f t="shared" si="35"/>
        <v/>
      </c>
      <c r="R3937" s="47" t="b">
        <v>0</v>
      </c>
      <c r="S3937" s="42" t="str">
        <f t="shared" si="28"/>
        <v/>
      </c>
      <c r="T3937" s="42"/>
    </row>
    <row r="3938" ht="22.5" customHeight="1">
      <c r="B3938" s="42">
        <f t="shared" si="7"/>
        <v>3932</v>
      </c>
      <c r="C3938" s="31" t="s">
        <v>3980</v>
      </c>
      <c r="D3938" s="34" t="str">
        <f t="array" ref="D3938">IFNA(_xlfn.XLOOKUP(C3938,Table_Tarikan_Warkah[Nomor Sertipikat],Table_Tarikan_Warkah[Nomor Tiket]),"")</f>
        <v>K/39/130625/1</v>
      </c>
      <c r="E3938" s="36" t="str">
        <f t="array" ref="E3938">IFNA(_xlfn.XLOOKUP(D3938,Table_Tarikan_Warkah[Nomor Tiket],Table_Tarikan_Warkah[Tanggal diserahkan kepada Validator]),"")</f>
        <v/>
      </c>
      <c r="F3938" s="36" t="str">
        <f t="array" ref="F3938">IFNA(_xlfn.XLOOKUP(D3938,Table_Tarikan_Warkah[Nomor Tiket],Table_Tarikan_Warkah[Nama Petugas Warkah]),"")</f>
        <v/>
      </c>
      <c r="G3938" s="39" t="str">
        <f t="array" ref="G3938">IFNA(_xlfn.XLOOKUP(D3938,Table_Tarikan_Warkah[Nomor Tiket],Table_Tarikan_Warkah[Jenis Permohonan]),"")</f>
        <v>BN Waris</v>
      </c>
      <c r="H3938" s="41" t="s">
        <v>2315</v>
      </c>
      <c r="I3938" s="49" t="s">
        <v>23</v>
      </c>
      <c r="J3938" s="36">
        <f t="shared" si="20"/>
        <v>45933.48037</v>
      </c>
      <c r="K3938" s="49" t="s">
        <v>3934</v>
      </c>
      <c r="L3938" s="49" t="s">
        <v>12</v>
      </c>
      <c r="M3938" s="36">
        <f t="shared" si="33"/>
        <v>45936.39722</v>
      </c>
      <c r="N3938" s="30" t="str">
        <f t="shared" si="34"/>
        <v>Selesai</v>
      </c>
      <c r="O3938" s="45">
        <f t="shared" si="23"/>
        <v>45936.39722</v>
      </c>
      <c r="P3938" s="47" t="b">
        <v>0</v>
      </c>
      <c r="Q3938" s="36" t="str">
        <f t="shared" si="35"/>
        <v/>
      </c>
      <c r="R3938" s="47" t="b">
        <v>0</v>
      </c>
      <c r="S3938" s="42" t="str">
        <f t="shared" si="28"/>
        <v/>
      </c>
      <c r="T3938" s="42"/>
    </row>
    <row r="3939" ht="22.5" customHeight="1">
      <c r="B3939" s="42">
        <f t="shared" si="7"/>
        <v>3933</v>
      </c>
      <c r="C3939" s="31" t="s">
        <v>3981</v>
      </c>
      <c r="D3939" s="34" t="str">
        <f t="array" ref="D3939">IFNA(_xlfn.XLOOKUP(C3939,Table_Tarikan_Warkah[Nomor Sertipikat],Table_Tarikan_Warkah[Nomor Tiket]),"")</f>
        <v>L/13/030925/1</v>
      </c>
      <c r="E3939" s="36">
        <f t="array" ref="E3939">IFNA(_xlfn.XLOOKUP(D3939,Table_Tarikan_Warkah[Nomor Tiket],Table_Tarikan_Warkah[Tanggal diserahkan kepada Validator]),"")</f>
        <v>45938.48944</v>
      </c>
      <c r="F3939" s="36" t="str">
        <f t="array" ref="F3939">IFNA(_xlfn.XLOOKUP(D3939,Table_Tarikan_Warkah[Nomor Tiket],Table_Tarikan_Warkah[Nama Petugas Warkah]),"")</f>
        <v>Berry</v>
      </c>
      <c r="G3939" s="39" t="str">
        <f t="array" ref="G3939">IFNA(_xlfn.XLOOKUP(D3939,Table_Tarikan_Warkah[Nomor Tiket],Table_Tarikan_Warkah[Jenis Permohonan]),"")</f>
        <v>ROYA</v>
      </c>
      <c r="H3939" s="41" t="s">
        <v>2315</v>
      </c>
      <c r="I3939" s="49" t="s">
        <v>23</v>
      </c>
      <c r="J3939" s="36">
        <f t="shared" si="20"/>
        <v>45933.48053</v>
      </c>
      <c r="K3939" s="49" t="s">
        <v>3934</v>
      </c>
      <c r="L3939" s="49" t="s">
        <v>12</v>
      </c>
      <c r="M3939" s="36">
        <f t="shared" si="33"/>
        <v>45936.39736</v>
      </c>
      <c r="N3939" s="30" t="str">
        <f t="shared" si="34"/>
        <v>Selesai</v>
      </c>
      <c r="O3939" s="45">
        <f t="shared" si="23"/>
        <v>45936.39736</v>
      </c>
      <c r="P3939" s="47" t="b">
        <v>0</v>
      </c>
      <c r="Q3939" s="36" t="str">
        <f t="shared" si="35"/>
        <v/>
      </c>
      <c r="R3939" s="47" t="b">
        <v>0</v>
      </c>
      <c r="S3939" s="42" t="str">
        <f t="shared" si="28"/>
        <v/>
      </c>
      <c r="T3939" s="42"/>
    </row>
    <row r="3940" ht="22.5" customHeight="1">
      <c r="B3940" s="42">
        <f t="shared" si="7"/>
        <v>3934</v>
      </c>
      <c r="C3940" s="31" t="s">
        <v>3982</v>
      </c>
      <c r="D3940" s="34" t="str">
        <f t="array" ref="D3940">IFNA(_xlfn.XLOOKUP(C3940,Table_Tarikan_Warkah[Nomor Sertipikat],Table_Tarikan_Warkah[Nomor Tiket]),"")</f>
        <v>K/20/080725/3</v>
      </c>
      <c r="E3940" s="36">
        <f t="array" ref="E3940">IFNA(_xlfn.XLOOKUP(D3940,Table_Tarikan_Warkah[Nomor Tiket],Table_Tarikan_Warkah[Tanggal diserahkan kepada Validator]),"")</f>
        <v>45938.48698</v>
      </c>
      <c r="F3940" s="36" t="str">
        <f t="array" ref="F3940">IFNA(_xlfn.XLOOKUP(D3940,Table_Tarikan_Warkah[Nomor Tiket],Table_Tarikan_Warkah[Nama Petugas Warkah]),"")</f>
        <v>Berry</v>
      </c>
      <c r="G3940" s="39" t="str">
        <f t="array" ref="G3940">IFNA(_xlfn.XLOOKUP(D3940,Table_Tarikan_Warkah[Nomor Tiket],Table_Tarikan_Warkah[Jenis Permohonan]),"")</f>
        <v>BN Jual Beli</v>
      </c>
      <c r="H3940" s="41" t="s">
        <v>2315</v>
      </c>
      <c r="I3940" s="49" t="s">
        <v>23</v>
      </c>
      <c r="J3940" s="36">
        <f t="shared" si="20"/>
        <v>45933.4807</v>
      </c>
      <c r="K3940" s="49" t="s">
        <v>3934</v>
      </c>
      <c r="L3940" s="49" t="s">
        <v>12</v>
      </c>
      <c r="M3940" s="36">
        <f t="shared" si="33"/>
        <v>45936.39748</v>
      </c>
      <c r="N3940" s="30" t="str">
        <f t="shared" si="34"/>
        <v>Selesai</v>
      </c>
      <c r="O3940" s="45">
        <f t="shared" si="23"/>
        <v>45936.39748</v>
      </c>
      <c r="P3940" s="47" t="b">
        <v>0</v>
      </c>
      <c r="Q3940" s="36" t="str">
        <f t="shared" si="35"/>
        <v/>
      </c>
      <c r="R3940" s="47" t="b">
        <v>0</v>
      </c>
      <c r="S3940" s="42" t="str">
        <f t="shared" si="28"/>
        <v/>
      </c>
      <c r="T3940" s="42"/>
    </row>
    <row r="3941" ht="22.5" customHeight="1">
      <c r="B3941" s="42">
        <f t="shared" si="7"/>
        <v>3935</v>
      </c>
      <c r="C3941" s="31" t="s">
        <v>3983</v>
      </c>
      <c r="D3941" s="34" t="str">
        <f t="array" ref="D3941">IFNA(_xlfn.XLOOKUP(C3941,Table_Tarikan_Warkah[Nomor Sertipikat],Table_Tarikan_Warkah[Nomor Tiket]),"")</f>
        <v>K/24/240925/1</v>
      </c>
      <c r="E3941" s="36">
        <f t="array" ref="E3941">IFNA(_xlfn.XLOOKUP(D3941,Table_Tarikan_Warkah[Nomor Tiket],Table_Tarikan_Warkah[Tanggal diserahkan kepada Validator]),"")</f>
        <v>45951.47612</v>
      </c>
      <c r="F3941" s="36" t="str">
        <f t="array" ref="F3941">IFNA(_xlfn.XLOOKUP(D3941,Table_Tarikan_Warkah[Nomor Tiket],Table_Tarikan_Warkah[Nama Petugas Warkah]),"")</f>
        <v>Berry</v>
      </c>
      <c r="G3941" s="39" t="str">
        <f t="array" ref="G3941">IFNA(_xlfn.XLOOKUP(D3941,Table_Tarikan_Warkah[Nomor Tiket],Table_Tarikan_Warkah[Jenis Permohonan]),"")</f>
        <v>BN LELANG</v>
      </c>
      <c r="H3941" s="41" t="s">
        <v>2315</v>
      </c>
      <c r="I3941" s="49" t="s">
        <v>23</v>
      </c>
      <c r="J3941" s="36">
        <f t="shared" si="20"/>
        <v>45933.48083</v>
      </c>
      <c r="K3941" s="49" t="s">
        <v>3934</v>
      </c>
      <c r="L3941" s="49" t="s">
        <v>12</v>
      </c>
      <c r="M3941" s="36">
        <f t="shared" si="33"/>
        <v>45936.39766</v>
      </c>
      <c r="N3941" s="30" t="str">
        <f t="shared" si="34"/>
        <v>Selesai</v>
      </c>
      <c r="O3941" s="45">
        <f t="shared" si="23"/>
        <v>45936.39766</v>
      </c>
      <c r="P3941" s="47" t="b">
        <v>0</v>
      </c>
      <c r="Q3941" s="36" t="str">
        <f t="shared" si="35"/>
        <v/>
      </c>
      <c r="R3941" s="47" t="b">
        <v>0</v>
      </c>
      <c r="S3941" s="42" t="str">
        <f t="shared" si="28"/>
        <v/>
      </c>
      <c r="T3941" s="42"/>
    </row>
    <row r="3942" ht="22.5" customHeight="1">
      <c r="B3942" s="42">
        <f t="shared" si="7"/>
        <v>3936</v>
      </c>
      <c r="C3942" s="31" t="s">
        <v>3798</v>
      </c>
      <c r="D3942" s="34" t="str">
        <f t="array" ref="D3942">IFNA(_xlfn.XLOOKUP(C3942,Table_Tarikan_Warkah[Nomor Sertipikat],Table_Tarikan_Warkah[Nomor Tiket]),"")</f>
        <v>K/3/260825/3		</v>
      </c>
      <c r="E3942" s="36" t="str">
        <f t="array" ref="E3942">IFNA(_xlfn.XLOOKUP(D3942,Table_Tarikan_Warkah[Nomor Tiket],Table_Tarikan_Warkah[Tanggal diserahkan kepada Validator]),"")</f>
        <v/>
      </c>
      <c r="F3942" s="36" t="str">
        <f t="array" ref="F3942">IFNA(_xlfn.XLOOKUP(D3942,Table_Tarikan_Warkah[Nomor Tiket],Table_Tarikan_Warkah[Nama Petugas Warkah]),"")</f>
        <v/>
      </c>
      <c r="G3942" s="39" t="str">
        <f t="array" ref="G3942">IFNA(_xlfn.XLOOKUP(D3942,Table_Tarikan_Warkah[Nomor Tiket],Table_Tarikan_Warkah[Jenis Permohonan]),"")</f>
        <v>Roya</v>
      </c>
      <c r="H3942" s="41" t="s">
        <v>2315</v>
      </c>
      <c r="I3942" s="49" t="s">
        <v>23</v>
      </c>
      <c r="J3942" s="36">
        <f t="shared" si="20"/>
        <v>45933.48102</v>
      </c>
      <c r="K3942" s="49" t="s">
        <v>3934</v>
      </c>
      <c r="L3942" s="49" t="s">
        <v>12</v>
      </c>
      <c r="M3942" s="36">
        <f t="shared" si="33"/>
        <v>45936.39778</v>
      </c>
      <c r="N3942" s="30" t="str">
        <f t="shared" si="34"/>
        <v>Selesai</v>
      </c>
      <c r="O3942" s="45">
        <f t="shared" si="23"/>
        <v>45936.39778</v>
      </c>
      <c r="P3942" s="47" t="b">
        <v>0</v>
      </c>
      <c r="Q3942" s="36" t="str">
        <f t="shared" si="35"/>
        <v/>
      </c>
      <c r="R3942" s="47" t="b">
        <v>0</v>
      </c>
      <c r="S3942" s="42" t="str">
        <f t="shared" si="28"/>
        <v/>
      </c>
      <c r="T3942" s="42"/>
    </row>
    <row r="3943" ht="22.5" customHeight="1">
      <c r="B3943" s="42">
        <f t="shared" si="7"/>
        <v>3937</v>
      </c>
      <c r="C3943" s="31" t="s">
        <v>3984</v>
      </c>
      <c r="D3943" s="34" t="str">
        <f t="array" ref="D3943">IFNA(_xlfn.XLOOKUP(C3943,Table_Tarikan_Warkah[Nomor Sertipikat],Table_Tarikan_Warkah[Nomor Tiket]),"")</f>
        <v>L/16/090925/1</v>
      </c>
      <c r="E3943" s="36">
        <f t="array" ref="E3943">IFNA(_xlfn.XLOOKUP(D3943,Table_Tarikan_Warkah[Nomor Tiket],Table_Tarikan_Warkah[Tanggal diserahkan kepada Validator]),"")</f>
        <v>45945.62659</v>
      </c>
      <c r="F3943" s="36" t="str">
        <f t="array" ref="F3943">IFNA(_xlfn.XLOOKUP(D3943,Table_Tarikan_Warkah[Nomor Tiket],Table_Tarikan_Warkah[Nama Petugas Warkah]),"")</f>
        <v>David</v>
      </c>
      <c r="G3943" s="39" t="str">
        <f t="array" ref="G3943">IFNA(_xlfn.XLOOKUP(D3943,Table_Tarikan_Warkah[Nomor Tiket],Table_Tarikan_Warkah[Jenis Permohonan]),"")</f>
        <v>PEMECAHAN</v>
      </c>
      <c r="H3943" s="41" t="s">
        <v>2315</v>
      </c>
      <c r="I3943" s="49" t="s">
        <v>23</v>
      </c>
      <c r="J3943" s="36">
        <f t="shared" si="20"/>
        <v>45933.48126</v>
      </c>
      <c r="K3943" s="49" t="s">
        <v>3934</v>
      </c>
      <c r="L3943" s="49" t="s">
        <v>12</v>
      </c>
      <c r="M3943" s="36">
        <f t="shared" si="33"/>
        <v>45936.39797</v>
      </c>
      <c r="N3943" s="30" t="str">
        <f t="shared" si="34"/>
        <v>Selesai</v>
      </c>
      <c r="O3943" s="45">
        <f t="shared" si="23"/>
        <v>45936.39797</v>
      </c>
      <c r="P3943" s="47" t="b">
        <v>0</v>
      </c>
      <c r="Q3943" s="36" t="str">
        <f t="shared" si="35"/>
        <v/>
      </c>
      <c r="R3943" s="47" t="b">
        <v>0</v>
      </c>
      <c r="S3943" s="42" t="str">
        <f t="shared" si="28"/>
        <v/>
      </c>
      <c r="T3943" s="42"/>
    </row>
    <row r="3944" ht="22.5" customHeight="1">
      <c r="B3944" s="42">
        <f t="shared" si="7"/>
        <v>3938</v>
      </c>
      <c r="C3944" s="31" t="s">
        <v>3985</v>
      </c>
      <c r="D3944" s="34" t="str">
        <f t="array" ref="D3944">IFNA(_xlfn.XLOOKUP(C3944,Table_Tarikan_Warkah[Nomor Sertipikat],Table_Tarikan_Warkah[Nomor Tiket]),"")</f>
        <v>L/18/250925/1</v>
      </c>
      <c r="E3944" s="36">
        <f t="array" ref="E3944">IFNA(_xlfn.XLOOKUP(D3944,Table_Tarikan_Warkah[Nomor Tiket],Table_Tarikan_Warkah[Tanggal diserahkan kepada Validator]),"")</f>
        <v>45960.634</v>
      </c>
      <c r="F3944" s="36" t="str">
        <f t="array" ref="F3944">IFNA(_xlfn.XLOOKUP(D3944,Table_Tarikan_Warkah[Nomor Tiket],Table_Tarikan_Warkah[Nama Petugas Warkah]),"")</f>
        <v>David</v>
      </c>
      <c r="G3944" s="39" t="str">
        <f t="array" ref="G3944">IFNA(_xlfn.XLOOKUP(D3944,Table_Tarikan_Warkah[Nomor Tiket],Table_Tarikan_Warkah[Jenis Permohonan]),"")</f>
        <v>ROYA</v>
      </c>
      <c r="H3944" s="41" t="s">
        <v>2315</v>
      </c>
      <c r="I3944" s="49" t="s">
        <v>23</v>
      </c>
      <c r="J3944" s="36">
        <f t="shared" si="20"/>
        <v>45933.48141</v>
      </c>
      <c r="K3944" s="49" t="s">
        <v>3934</v>
      </c>
      <c r="L3944" s="49" t="s">
        <v>12</v>
      </c>
      <c r="M3944" s="36">
        <f t="shared" si="33"/>
        <v>45936.39812</v>
      </c>
      <c r="N3944" s="30" t="str">
        <f t="shared" si="34"/>
        <v>Selesai</v>
      </c>
      <c r="O3944" s="45">
        <f t="shared" si="23"/>
        <v>45936.39812</v>
      </c>
      <c r="P3944" s="47" t="b">
        <v>0</v>
      </c>
      <c r="Q3944" s="36" t="str">
        <f t="shared" si="35"/>
        <v/>
      </c>
      <c r="R3944" s="47" t="b">
        <v>0</v>
      </c>
      <c r="S3944" s="42" t="str">
        <f t="shared" si="28"/>
        <v/>
      </c>
      <c r="T3944" s="42"/>
    </row>
    <row r="3945" ht="22.5" customHeight="1">
      <c r="B3945" s="42">
        <f t="shared" si="7"/>
        <v>3939</v>
      </c>
      <c r="C3945" s="31" t="s">
        <v>3986</v>
      </c>
      <c r="D3945" s="34" t="str">
        <f t="array" ref="D3945">IFNA(_xlfn.XLOOKUP(C3945,Table_Tarikan_Warkah[Nomor Sertipikat],Table_Tarikan_Warkah[Nomor Tiket]),"")</f>
        <v>K/10/030925/1	</v>
      </c>
      <c r="E3945" s="36" t="str">
        <f t="array" ref="E3945">IFNA(_xlfn.XLOOKUP(D3945,Table_Tarikan_Warkah[Nomor Tiket],Table_Tarikan_Warkah[Tanggal diserahkan kepada Validator]),"")</f>
        <v/>
      </c>
      <c r="F3945" s="36" t="str">
        <f t="array" ref="F3945">IFNA(_xlfn.XLOOKUP(D3945,Table_Tarikan_Warkah[Nomor Tiket],Table_Tarikan_Warkah[Nama Petugas Warkah]),"")</f>
        <v/>
      </c>
      <c r="G3945" s="39" t="str">
        <f t="array" ref="G3945">IFNA(_xlfn.XLOOKUP(D3945,Table_Tarikan_Warkah[Nomor Tiket],Table_Tarikan_Warkah[Jenis Permohonan]),"")</f>
        <v>BN Jual Beli	</v>
      </c>
      <c r="H3945" s="41" t="s">
        <v>920</v>
      </c>
      <c r="I3945" s="49" t="s">
        <v>23</v>
      </c>
      <c r="J3945" s="36">
        <f t="shared" si="20"/>
        <v>45936.40198</v>
      </c>
      <c r="K3945" s="49" t="s">
        <v>920</v>
      </c>
      <c r="L3945" s="49" t="s">
        <v>23</v>
      </c>
      <c r="M3945" s="36">
        <f t="shared" si="33"/>
        <v>45936.40204</v>
      </c>
      <c r="N3945" s="30" t="str">
        <f t="shared" si="34"/>
        <v>Selesai</v>
      </c>
      <c r="O3945" s="45">
        <f t="shared" si="23"/>
        <v>45936.40204</v>
      </c>
      <c r="P3945" s="47" t="b">
        <v>1</v>
      </c>
      <c r="Q3945" s="36">
        <f t="shared" si="35"/>
        <v>45936.40211</v>
      </c>
      <c r="R3945" s="47" t="b">
        <v>0</v>
      </c>
      <c r="S3945" s="42" t="str">
        <f t="shared" si="28"/>
        <v/>
      </c>
      <c r="T3945" s="42"/>
    </row>
    <row r="3946" ht="22.5" customHeight="1">
      <c r="B3946" s="42">
        <f t="shared" si="7"/>
        <v>3940</v>
      </c>
      <c r="C3946" s="31" t="s">
        <v>3987</v>
      </c>
      <c r="D3946" s="34" t="str">
        <f t="array" ref="D3946">IFNA(_xlfn.XLOOKUP(C3946,Table_Tarikan_Warkah[Nomor Sertipikat],Table_Tarikan_Warkah[Nomor Tiket]),"")</f>
        <v>K/8/170925/2</v>
      </c>
      <c r="E3946" s="36">
        <f t="array" ref="E3946">IFNA(_xlfn.XLOOKUP(D3946,Table_Tarikan_Warkah[Nomor Tiket],Table_Tarikan_Warkah[Tanggal diserahkan kepada Validator]),"")</f>
        <v>45957.61867</v>
      </c>
      <c r="F3946" s="36" t="str">
        <f t="array" ref="F3946">IFNA(_xlfn.XLOOKUP(D3946,Table_Tarikan_Warkah[Nomor Tiket],Table_Tarikan_Warkah[Nama Petugas Warkah]),"")</f>
        <v>David</v>
      </c>
      <c r="G3946" s="39" t="str">
        <f t="array" ref="G3946">IFNA(_xlfn.XLOOKUP(D3946,Table_Tarikan_Warkah[Nomor Tiket],Table_Tarikan_Warkah[Jenis Permohonan]),"")</f>
        <v>BN JUAL BELI</v>
      </c>
      <c r="H3946" s="41" t="s">
        <v>920</v>
      </c>
      <c r="I3946" s="49" t="s">
        <v>23</v>
      </c>
      <c r="J3946" s="36">
        <f t="shared" si="20"/>
        <v>45936.40227</v>
      </c>
      <c r="K3946" s="49" t="s">
        <v>920</v>
      </c>
      <c r="L3946" s="49" t="s">
        <v>23</v>
      </c>
      <c r="M3946" s="36">
        <f t="shared" si="33"/>
        <v>45936.4023</v>
      </c>
      <c r="N3946" s="30" t="str">
        <f t="shared" si="34"/>
        <v>Selesai</v>
      </c>
      <c r="O3946" s="45">
        <f t="shared" si="23"/>
        <v>45936.4023</v>
      </c>
      <c r="P3946" s="47" t="b">
        <v>1</v>
      </c>
      <c r="Q3946" s="36">
        <f t="shared" si="35"/>
        <v>45936.40233</v>
      </c>
      <c r="R3946" s="47" t="b">
        <v>0</v>
      </c>
      <c r="S3946" s="42" t="str">
        <f t="shared" si="28"/>
        <v/>
      </c>
      <c r="T3946" s="42"/>
    </row>
    <row r="3947" ht="22.5" customHeight="1">
      <c r="B3947" s="42">
        <f t="shared" si="7"/>
        <v>3941</v>
      </c>
      <c r="C3947" s="31" t="s">
        <v>3988</v>
      </c>
      <c r="D3947" s="34" t="str">
        <f t="array" ref="D3947">IFNA(_xlfn.XLOOKUP(C3947,Table_Tarikan_Warkah[Nomor Sertipikat],Table_Tarikan_Warkah[Nomor Tiket]),"")</f>
        <v>K/7/170925/1</v>
      </c>
      <c r="E3947" s="36">
        <f t="array" ref="E3947">IFNA(_xlfn.XLOOKUP(D3947,Table_Tarikan_Warkah[Nomor Tiket],Table_Tarikan_Warkah[Tanggal diserahkan kepada Validator]),"")</f>
        <v>45938.49667</v>
      </c>
      <c r="F3947" s="36" t="str">
        <f t="array" ref="F3947">IFNA(_xlfn.XLOOKUP(D3947,Table_Tarikan_Warkah[Nomor Tiket],Table_Tarikan_Warkah[Nama Petugas Warkah]),"")</f>
        <v>Berry</v>
      </c>
      <c r="G3947" s="39" t="str">
        <f t="array" ref="G3947">IFNA(_xlfn.XLOOKUP(D3947,Table_Tarikan_Warkah[Nomor Tiket],Table_Tarikan_Warkah[Jenis Permohonan]),"")</f>
        <v>BN JUAL BELI</v>
      </c>
      <c r="H3947" s="41" t="s">
        <v>920</v>
      </c>
      <c r="I3947" s="49" t="s">
        <v>23</v>
      </c>
      <c r="J3947" s="36">
        <f t="shared" si="20"/>
        <v>45936.40247</v>
      </c>
      <c r="K3947" s="49" t="s">
        <v>920</v>
      </c>
      <c r="L3947" s="49" t="s">
        <v>23</v>
      </c>
      <c r="M3947" s="36">
        <f t="shared" si="33"/>
        <v>45936.4025</v>
      </c>
      <c r="N3947" s="30" t="str">
        <f t="shared" si="34"/>
        <v>Selesai</v>
      </c>
      <c r="O3947" s="45">
        <f t="shared" si="23"/>
        <v>45936.4025</v>
      </c>
      <c r="P3947" s="47" t="b">
        <v>1</v>
      </c>
      <c r="Q3947" s="36">
        <f t="shared" si="35"/>
        <v>45936.40255</v>
      </c>
      <c r="R3947" s="47" t="b">
        <v>0</v>
      </c>
      <c r="S3947" s="42" t="str">
        <f t="shared" si="28"/>
        <v/>
      </c>
      <c r="T3947" s="42"/>
    </row>
    <row r="3948" ht="22.5" customHeight="1">
      <c r="B3948" s="42">
        <f t="shared" si="7"/>
        <v>3942</v>
      </c>
      <c r="C3948" s="31" t="s">
        <v>3989</v>
      </c>
      <c r="D3948" s="34" t="str">
        <f t="array" ref="D3948">IFNA(_xlfn.XLOOKUP(C3948,Table_Tarikan_Warkah[Nomor Sertipikat],Table_Tarikan_Warkah[Nomor Tiket]),"")</f>
        <v>K/36/100925/1</v>
      </c>
      <c r="E3948" s="36">
        <f t="array" ref="E3948">IFNA(_xlfn.XLOOKUP(D3948,Table_Tarikan_Warkah[Nomor Tiket],Table_Tarikan_Warkah[Tanggal diserahkan kepada Validator]),"")</f>
        <v>45938.51281</v>
      </c>
      <c r="F3948" s="36" t="str">
        <f t="array" ref="F3948">IFNA(_xlfn.XLOOKUP(D3948,Table_Tarikan_Warkah[Nomor Tiket],Table_Tarikan_Warkah[Nama Petugas Warkah]),"")</f>
        <v>Berry</v>
      </c>
      <c r="G3948" s="39" t="str">
        <f t="array" ref="G3948">IFNA(_xlfn.XLOOKUP(D3948,Table_Tarikan_Warkah[Nomor Tiket],Table_Tarikan_Warkah[Jenis Permohonan]),"")</f>
        <v>BN JUAL BELI</v>
      </c>
      <c r="H3948" s="41" t="s">
        <v>920</v>
      </c>
      <c r="I3948" s="49" t="s">
        <v>23</v>
      </c>
      <c r="J3948" s="36">
        <f t="shared" si="20"/>
        <v>45936.40267</v>
      </c>
      <c r="K3948" s="49" t="s">
        <v>920</v>
      </c>
      <c r="L3948" s="49" t="s">
        <v>23</v>
      </c>
      <c r="M3948" s="36">
        <f t="shared" si="33"/>
        <v>45936.4027</v>
      </c>
      <c r="N3948" s="30" t="str">
        <f t="shared" si="34"/>
        <v>Selesai</v>
      </c>
      <c r="O3948" s="45">
        <f t="shared" si="23"/>
        <v>45936.4027</v>
      </c>
      <c r="P3948" s="47" t="b">
        <v>1</v>
      </c>
      <c r="Q3948" s="36">
        <f t="shared" si="35"/>
        <v>45936.40273</v>
      </c>
      <c r="R3948" s="47" t="b">
        <v>0</v>
      </c>
      <c r="S3948" s="42" t="str">
        <f t="shared" si="28"/>
        <v/>
      </c>
      <c r="T3948" s="42"/>
    </row>
    <row r="3949" ht="22.5" customHeight="1">
      <c r="B3949" s="42">
        <f t="shared" si="7"/>
        <v>3943</v>
      </c>
      <c r="C3949" s="31" t="s">
        <v>3990</v>
      </c>
      <c r="D3949" s="34" t="str">
        <f t="array" ref="D3949">IFNA(_xlfn.XLOOKUP(C3949,Table_Tarikan_Warkah[Nomor Sertipikat],Table_Tarikan_Warkah[Nomor Tiket]),"")</f>
        <v>K/57/220825/1</v>
      </c>
      <c r="E3949" s="36" t="str">
        <f t="array" ref="E3949">IFNA(_xlfn.XLOOKUP(D3949,Table_Tarikan_Warkah[Nomor Tiket],Table_Tarikan_Warkah[Tanggal diserahkan kepada Validator]),"")</f>
        <v/>
      </c>
      <c r="F3949" s="36" t="str">
        <f t="array" ref="F3949">IFNA(_xlfn.XLOOKUP(D3949,Table_Tarikan_Warkah[Nomor Tiket],Table_Tarikan_Warkah[Nama Petugas Warkah]),"")</f>
        <v/>
      </c>
      <c r="G3949" s="39" t="str">
        <f t="array" ref="G3949">IFNA(_xlfn.XLOOKUP(D3949,Table_Tarikan_Warkah[Nomor Tiket],Table_Tarikan_Warkah[Jenis Permohonan]),"")</f>
        <v>BN JUAL BELI</v>
      </c>
      <c r="H3949" s="41" t="s">
        <v>920</v>
      </c>
      <c r="I3949" s="49" t="s">
        <v>23</v>
      </c>
      <c r="J3949" s="36">
        <f t="shared" si="20"/>
        <v>45936.40287</v>
      </c>
      <c r="K3949" s="49" t="s">
        <v>920</v>
      </c>
      <c r="L3949" s="49" t="s">
        <v>23</v>
      </c>
      <c r="M3949" s="36">
        <f t="shared" si="33"/>
        <v>45936.40291</v>
      </c>
      <c r="N3949" s="30" t="str">
        <f t="shared" si="34"/>
        <v>Selesai</v>
      </c>
      <c r="O3949" s="45">
        <f t="shared" si="23"/>
        <v>45936.40291</v>
      </c>
      <c r="P3949" s="47" t="b">
        <v>1</v>
      </c>
      <c r="Q3949" s="36">
        <f t="shared" si="35"/>
        <v>45936.40293</v>
      </c>
      <c r="R3949" s="47" t="b">
        <v>0</v>
      </c>
      <c r="S3949" s="42" t="str">
        <f t="shared" si="28"/>
        <v/>
      </c>
      <c r="T3949" s="42"/>
    </row>
    <row r="3950" ht="22.5" customHeight="1">
      <c r="B3950" s="42">
        <f t="shared" si="7"/>
        <v>3944</v>
      </c>
      <c r="C3950" s="31" t="s">
        <v>3991</v>
      </c>
      <c r="D3950" s="34" t="str">
        <f t="array" ref="D3950">IFNA(_xlfn.XLOOKUP(C3950,Table_Tarikan_Warkah[Nomor Sertipikat],Table_Tarikan_Warkah[Nomor Tiket]),"")</f>
        <v>K/37/080925/1</v>
      </c>
      <c r="E3950" s="36" t="str">
        <f t="array" ref="E3950">IFNA(_xlfn.XLOOKUP(D3950,Table_Tarikan_Warkah[Nomor Tiket],Table_Tarikan_Warkah[Tanggal diserahkan kepada Validator]),"")</f>
        <v/>
      </c>
      <c r="F3950" s="36" t="str">
        <f t="array" ref="F3950">IFNA(_xlfn.XLOOKUP(D3950,Table_Tarikan_Warkah[Nomor Tiket],Table_Tarikan_Warkah[Nama Petugas Warkah]),"")</f>
        <v/>
      </c>
      <c r="G3950" s="39" t="str">
        <f t="array" ref="G3950">IFNA(_xlfn.XLOOKUP(D3950,Table_Tarikan_Warkah[Nomor Tiket],Table_Tarikan_Warkah[Jenis Permohonan]),"")</f>
        <v>BN JUAL BELI EL</v>
      </c>
      <c r="H3950" s="41" t="s">
        <v>920</v>
      </c>
      <c r="I3950" s="49" t="s">
        <v>23</v>
      </c>
      <c r="J3950" s="36">
        <f t="shared" si="20"/>
        <v>45936.40308</v>
      </c>
      <c r="K3950" s="49" t="s">
        <v>920</v>
      </c>
      <c r="L3950" s="49" t="s">
        <v>23</v>
      </c>
      <c r="M3950" s="36">
        <f t="shared" si="33"/>
        <v>45936.40313</v>
      </c>
      <c r="N3950" s="30" t="str">
        <f t="shared" si="34"/>
        <v>Selesai</v>
      </c>
      <c r="O3950" s="45">
        <f t="shared" si="23"/>
        <v>45936.40313</v>
      </c>
      <c r="P3950" s="47" t="b">
        <v>1</v>
      </c>
      <c r="Q3950" s="36">
        <f t="shared" si="35"/>
        <v>45936.40313</v>
      </c>
      <c r="R3950" s="47" t="b">
        <v>0</v>
      </c>
      <c r="S3950" s="42" t="str">
        <f t="shared" si="28"/>
        <v/>
      </c>
      <c r="T3950" s="42"/>
    </row>
    <row r="3951" ht="22.5" customHeight="1">
      <c r="B3951" s="42">
        <f t="shared" si="7"/>
        <v>3945</v>
      </c>
      <c r="C3951" s="31" t="s">
        <v>3992</v>
      </c>
      <c r="D3951" s="34" t="str">
        <f t="array" ref="D3951">IFNA(_xlfn.XLOOKUP(C3951,Table_Tarikan_Warkah[Nomor Sertipikat],Table_Tarikan_Warkah[Nomor Tiket]),"")</f>
        <v>K/48/220825/1</v>
      </c>
      <c r="E3951" s="36" t="str">
        <f t="array" ref="E3951">IFNA(_xlfn.XLOOKUP(D3951,Table_Tarikan_Warkah[Nomor Tiket],Table_Tarikan_Warkah[Tanggal diserahkan kepada Validator]),"")</f>
        <v/>
      </c>
      <c r="F3951" s="36" t="str">
        <f t="array" ref="F3951">IFNA(_xlfn.XLOOKUP(D3951,Table_Tarikan_Warkah[Nomor Tiket],Table_Tarikan_Warkah[Nama Petugas Warkah]),"")</f>
        <v/>
      </c>
      <c r="G3951" s="39" t="str">
        <f t="array" ref="G3951">IFNA(_xlfn.XLOOKUP(D3951,Table_Tarikan_Warkah[Nomor Tiket],Table_Tarikan_Warkah[Jenis Permohonan]),"")</f>
        <v>BN JUAL BELI EL</v>
      </c>
      <c r="H3951" s="41" t="s">
        <v>920</v>
      </c>
      <c r="I3951" s="49" t="s">
        <v>23</v>
      </c>
      <c r="J3951" s="36">
        <f t="shared" si="20"/>
        <v>45936.4034</v>
      </c>
      <c r="K3951" s="49" t="s">
        <v>920</v>
      </c>
      <c r="L3951" s="49" t="s">
        <v>23</v>
      </c>
      <c r="M3951" s="36">
        <f t="shared" si="33"/>
        <v>45936.40347</v>
      </c>
      <c r="N3951" s="30" t="str">
        <f t="shared" si="34"/>
        <v>Selesai</v>
      </c>
      <c r="O3951" s="45">
        <f t="shared" si="23"/>
        <v>45936.40347</v>
      </c>
      <c r="P3951" s="47" t="b">
        <v>1</v>
      </c>
      <c r="Q3951" s="36">
        <f t="shared" si="35"/>
        <v>45936.4035</v>
      </c>
      <c r="R3951" s="47" t="b">
        <v>0</v>
      </c>
      <c r="S3951" s="42" t="str">
        <f t="shared" si="28"/>
        <v/>
      </c>
      <c r="T3951" s="42"/>
    </row>
    <row r="3952" ht="22.5" customHeight="1">
      <c r="B3952" s="42">
        <f t="shared" si="7"/>
        <v>3946</v>
      </c>
      <c r="C3952" s="31" t="s">
        <v>3993</v>
      </c>
      <c r="D3952" s="34" t="str">
        <f t="array" ref="D3952">IFNA(_xlfn.XLOOKUP(C3952,Table_Tarikan_Warkah[Nomor Sertipikat],Table_Tarikan_Warkah[Nomor Tiket]),"")</f>
        <v>K/44/080925/2</v>
      </c>
      <c r="E3952" s="36" t="str">
        <f t="array" ref="E3952">IFNA(_xlfn.XLOOKUP(D3952,Table_Tarikan_Warkah[Nomor Tiket],Table_Tarikan_Warkah[Tanggal diserahkan kepada Validator]),"")</f>
        <v/>
      </c>
      <c r="F3952" s="36" t="str">
        <f t="array" ref="F3952">IFNA(_xlfn.XLOOKUP(D3952,Table_Tarikan_Warkah[Nomor Tiket],Table_Tarikan_Warkah[Nama Petugas Warkah]),"")</f>
        <v/>
      </c>
      <c r="G3952" s="39" t="str">
        <f t="array" ref="G3952">IFNA(_xlfn.XLOOKUP(D3952,Table_Tarikan_Warkah[Nomor Tiket],Table_Tarikan_Warkah[Jenis Permohonan]),"")</f>
        <v>BN JUAL BELI EL</v>
      </c>
      <c r="H3952" s="41" t="s">
        <v>920</v>
      </c>
      <c r="I3952" s="49" t="s">
        <v>23</v>
      </c>
      <c r="J3952" s="36">
        <f t="shared" si="20"/>
        <v>45936.40374</v>
      </c>
      <c r="K3952" s="49" t="s">
        <v>920</v>
      </c>
      <c r="L3952" s="49" t="s">
        <v>23</v>
      </c>
      <c r="M3952" s="36">
        <f t="shared" si="33"/>
        <v>45936.40378</v>
      </c>
      <c r="N3952" s="30" t="str">
        <f t="shared" si="34"/>
        <v>Selesai</v>
      </c>
      <c r="O3952" s="45">
        <f t="shared" si="23"/>
        <v>45936.40378</v>
      </c>
      <c r="P3952" s="47" t="b">
        <v>1</v>
      </c>
      <c r="Q3952" s="36">
        <f t="shared" si="35"/>
        <v>45936.4038</v>
      </c>
      <c r="R3952" s="47" t="b">
        <v>0</v>
      </c>
      <c r="S3952" s="42" t="str">
        <f t="shared" si="28"/>
        <v/>
      </c>
      <c r="T3952" s="42"/>
    </row>
    <row r="3953" ht="22.5" customHeight="1">
      <c r="B3953" s="42">
        <f t="shared" si="7"/>
        <v>3947</v>
      </c>
      <c r="C3953" s="31" t="s">
        <v>3994</v>
      </c>
      <c r="D3953" s="34" t="str">
        <f t="array" ref="D3953">IFNA(_xlfn.XLOOKUP(C3953,Table_Tarikan_Warkah[Nomor Sertipikat],Table_Tarikan_Warkah[Nomor Tiket]),"")</f>
        <v>K/8/250825/1</v>
      </c>
      <c r="E3953" s="36">
        <f t="array" ref="E3953">IFNA(_xlfn.XLOOKUP(D3953,Table_Tarikan_Warkah[Nomor Tiket],Table_Tarikan_Warkah[Tanggal diserahkan kepada Validator]),"")</f>
        <v>45910.59419</v>
      </c>
      <c r="F3953" s="36" t="str">
        <f t="array" ref="F3953">IFNA(_xlfn.XLOOKUP(D3953,Table_Tarikan_Warkah[Nomor Tiket],Table_Tarikan_Warkah[Nama Petugas Warkah]),"")</f>
        <v>Berry</v>
      </c>
      <c r="G3953" s="39" t="str">
        <f t="array" ref="G3953">IFNA(_xlfn.XLOOKUP(D3953,Table_Tarikan_Warkah[Nomor Tiket],Table_Tarikan_Warkah[Jenis Permohonan]),"")</f>
        <v>BN JUAL BELI EL</v>
      </c>
      <c r="H3953" s="41" t="s">
        <v>920</v>
      </c>
      <c r="I3953" s="49" t="s">
        <v>23</v>
      </c>
      <c r="J3953" s="36">
        <f t="shared" si="20"/>
        <v>45936.40406</v>
      </c>
      <c r="K3953" s="49" t="s">
        <v>920</v>
      </c>
      <c r="L3953" s="49" t="s">
        <v>23</v>
      </c>
      <c r="M3953" s="36">
        <f t="shared" si="33"/>
        <v>45936.40411</v>
      </c>
      <c r="N3953" s="30" t="str">
        <f t="shared" si="34"/>
        <v>Selesai</v>
      </c>
      <c r="O3953" s="45">
        <f t="shared" si="23"/>
        <v>45936.40411</v>
      </c>
      <c r="P3953" s="47" t="b">
        <v>1</v>
      </c>
      <c r="Q3953" s="36">
        <f t="shared" si="35"/>
        <v>45936.40412</v>
      </c>
      <c r="R3953" s="47" t="b">
        <v>0</v>
      </c>
      <c r="S3953" s="42" t="str">
        <f t="shared" si="28"/>
        <v/>
      </c>
      <c r="T3953" s="42"/>
    </row>
    <row r="3954" ht="22.5" customHeight="1">
      <c r="B3954" s="42">
        <f t="shared" si="7"/>
        <v>3948</v>
      </c>
      <c r="C3954" s="31" t="s">
        <v>3995</v>
      </c>
      <c r="D3954" s="34" t="str">
        <f t="array" ref="D3954">IFNA(_xlfn.XLOOKUP(C3954,Table_Tarikan_Warkah[Nomor Sertipikat],Table_Tarikan_Warkah[Nomor Tiket]),"")</f>
        <v>K/17/150925/2</v>
      </c>
      <c r="E3954" s="36" t="str">
        <f t="array" ref="E3954">IFNA(_xlfn.XLOOKUP(D3954,Table_Tarikan_Warkah[Nomor Tiket],Table_Tarikan_Warkah[Tanggal diserahkan kepada Validator]),"")</f>
        <v/>
      </c>
      <c r="F3954" s="36" t="str">
        <f t="array" ref="F3954">IFNA(_xlfn.XLOOKUP(D3954,Table_Tarikan_Warkah[Nomor Tiket],Table_Tarikan_Warkah[Nama Petugas Warkah]),"")</f>
        <v/>
      </c>
      <c r="G3954" s="39" t="str">
        <f t="array" ref="G3954">IFNA(_xlfn.XLOOKUP(D3954,Table_Tarikan_Warkah[Nomor Tiket],Table_Tarikan_Warkah[Jenis Permohonan]),"")</f>
        <v>BN JUAL BELI EL</v>
      </c>
      <c r="H3954" s="41" t="s">
        <v>920</v>
      </c>
      <c r="I3954" s="49" t="s">
        <v>23</v>
      </c>
      <c r="J3954" s="36">
        <f t="shared" si="20"/>
        <v>45936.40425</v>
      </c>
      <c r="K3954" s="49" t="s">
        <v>920</v>
      </c>
      <c r="L3954" s="49" t="s">
        <v>23</v>
      </c>
      <c r="M3954" s="36">
        <f t="shared" si="33"/>
        <v>45936.40428</v>
      </c>
      <c r="N3954" s="30" t="str">
        <f t="shared" si="34"/>
        <v>Selesai</v>
      </c>
      <c r="O3954" s="45">
        <f t="shared" si="23"/>
        <v>45936.40428</v>
      </c>
      <c r="P3954" s="47" t="b">
        <v>1</v>
      </c>
      <c r="Q3954" s="36">
        <f t="shared" si="35"/>
        <v>45936.4043</v>
      </c>
      <c r="R3954" s="47" t="b">
        <v>0</v>
      </c>
      <c r="S3954" s="42" t="str">
        <f t="shared" si="28"/>
        <v/>
      </c>
      <c r="T3954" s="42"/>
    </row>
    <row r="3955" ht="22.5" customHeight="1">
      <c r="B3955" s="42">
        <f t="shared" si="7"/>
        <v>3949</v>
      </c>
      <c r="C3955" s="31" t="s">
        <v>3996</v>
      </c>
      <c r="D3955" s="34" t="str">
        <f t="array" ref="D3955">IFNA(_xlfn.XLOOKUP(C3955,Table_Tarikan_Warkah[Nomor Sertipikat],Table_Tarikan_Warkah[Nomor Tiket]),"")</f>
        <v>K/33/250825/1</v>
      </c>
      <c r="E3955" s="36" t="str">
        <f t="array" ref="E3955">IFNA(_xlfn.XLOOKUP(D3955,Table_Tarikan_Warkah[Nomor Tiket],Table_Tarikan_Warkah[Tanggal diserahkan kepada Validator]),"")</f>
        <v/>
      </c>
      <c r="F3955" s="36" t="str">
        <f t="array" ref="F3955">IFNA(_xlfn.XLOOKUP(D3955,Table_Tarikan_Warkah[Nomor Tiket],Table_Tarikan_Warkah[Nama Petugas Warkah]),"")</f>
        <v/>
      </c>
      <c r="G3955" s="39" t="str">
        <f t="array" ref="G3955">IFNA(_xlfn.XLOOKUP(D3955,Table_Tarikan_Warkah[Nomor Tiket],Table_Tarikan_Warkah[Jenis Permohonan]),"")</f>
        <v>BN JUAL BELI EL</v>
      </c>
      <c r="H3955" s="41" t="s">
        <v>920</v>
      </c>
      <c r="I3955" s="49" t="s">
        <v>23</v>
      </c>
      <c r="J3955" s="36">
        <f t="shared" si="20"/>
        <v>45936.40448</v>
      </c>
      <c r="K3955" s="49" t="s">
        <v>920</v>
      </c>
      <c r="L3955" s="49" t="s">
        <v>23</v>
      </c>
      <c r="M3955" s="36">
        <f t="shared" si="33"/>
        <v>45936.40452</v>
      </c>
      <c r="N3955" s="30" t="str">
        <f t="shared" si="34"/>
        <v>Selesai</v>
      </c>
      <c r="O3955" s="45">
        <f t="shared" si="23"/>
        <v>45936.40452</v>
      </c>
      <c r="P3955" s="47" t="b">
        <v>1</v>
      </c>
      <c r="Q3955" s="36">
        <f t="shared" si="35"/>
        <v>45936.40455</v>
      </c>
      <c r="R3955" s="47" t="b">
        <v>0</v>
      </c>
      <c r="S3955" s="42" t="str">
        <f t="shared" si="28"/>
        <v/>
      </c>
      <c r="T3955" s="42"/>
    </row>
    <row r="3956" ht="22.5" customHeight="1">
      <c r="B3956" s="42">
        <f t="shared" si="7"/>
        <v>3950</v>
      </c>
      <c r="C3956" s="31" t="s">
        <v>3997</v>
      </c>
      <c r="D3956" s="34" t="str">
        <f t="array" ref="D3956">IFNA(_xlfn.XLOOKUP(C3956,Table_Tarikan_Warkah[Nomor Sertipikat],Table_Tarikan_Warkah[Nomor Tiket]),"")</f>
        <v>K/22/210825/1</v>
      </c>
      <c r="E3956" s="36">
        <f t="array" ref="E3956">IFNA(_xlfn.XLOOKUP(D3956,Table_Tarikan_Warkah[Nomor Tiket],Table_Tarikan_Warkah[Tanggal diserahkan kepada Validator]),"")</f>
        <v>45910.59363</v>
      </c>
      <c r="F3956" s="36" t="str">
        <f t="array" ref="F3956">IFNA(_xlfn.XLOOKUP(D3956,Table_Tarikan_Warkah[Nomor Tiket],Table_Tarikan_Warkah[Nama Petugas Warkah]),"")</f>
        <v>Berry</v>
      </c>
      <c r="G3956" s="39" t="str">
        <f t="array" ref="G3956">IFNA(_xlfn.XLOOKUP(D3956,Table_Tarikan_Warkah[Nomor Tiket],Table_Tarikan_Warkah[Jenis Permohonan]),"")</f>
        <v>BN JUAL BELI</v>
      </c>
      <c r="H3956" s="41" t="s">
        <v>920</v>
      </c>
      <c r="I3956" s="49" t="s">
        <v>23</v>
      </c>
      <c r="J3956" s="36">
        <f t="shared" si="20"/>
        <v>45936.40469</v>
      </c>
      <c r="K3956" s="49" t="s">
        <v>920</v>
      </c>
      <c r="L3956" s="49" t="s">
        <v>23</v>
      </c>
      <c r="M3956" s="36">
        <f t="shared" si="33"/>
        <v>45936.40475</v>
      </c>
      <c r="N3956" s="30" t="str">
        <f t="shared" si="34"/>
        <v>Selesai</v>
      </c>
      <c r="O3956" s="45">
        <f t="shared" si="23"/>
        <v>45936.40475</v>
      </c>
      <c r="P3956" s="47" t="b">
        <v>1</v>
      </c>
      <c r="Q3956" s="36">
        <f t="shared" si="35"/>
        <v>45936.40476</v>
      </c>
      <c r="R3956" s="47" t="b">
        <v>0</v>
      </c>
      <c r="S3956" s="42" t="str">
        <f t="shared" si="28"/>
        <v/>
      </c>
      <c r="T3956" s="42"/>
    </row>
    <row r="3957" ht="22.5" customHeight="1">
      <c r="B3957" s="42">
        <f t="shared" si="7"/>
        <v>3951</v>
      </c>
      <c r="C3957" s="31" t="s">
        <v>3998</v>
      </c>
      <c r="D3957" s="34" t="str">
        <f t="array" ref="D3957">IFNA(_xlfn.XLOOKUP(C3957,Table_Tarikan_Warkah[Nomor Sertipikat],Table_Tarikan_Warkah[Nomor Tiket]),"")</f>
        <v>K/24/100925/1</v>
      </c>
      <c r="E3957" s="36" t="str">
        <f t="array" ref="E3957">IFNA(_xlfn.XLOOKUP(D3957,Table_Tarikan_Warkah[Nomor Tiket],Table_Tarikan_Warkah[Tanggal diserahkan kepada Validator]),"")</f>
        <v/>
      </c>
      <c r="F3957" s="36" t="str">
        <f t="array" ref="F3957">IFNA(_xlfn.XLOOKUP(D3957,Table_Tarikan_Warkah[Nomor Tiket],Table_Tarikan_Warkah[Nama Petugas Warkah]),"")</f>
        <v/>
      </c>
      <c r="G3957" s="39" t="str">
        <f t="array" ref="G3957">IFNA(_xlfn.XLOOKUP(D3957,Table_Tarikan_Warkah[Nomor Tiket],Table_Tarikan_Warkah[Jenis Permohonan]),"")</f>
        <v>BN JUAL BELI</v>
      </c>
      <c r="H3957" s="41" t="s">
        <v>920</v>
      </c>
      <c r="I3957" s="49" t="s">
        <v>23</v>
      </c>
      <c r="J3957" s="36">
        <f t="shared" si="20"/>
        <v>45936.40494</v>
      </c>
      <c r="K3957" s="49" t="s">
        <v>920</v>
      </c>
      <c r="L3957" s="49" t="s">
        <v>23</v>
      </c>
      <c r="M3957" s="36">
        <f t="shared" si="33"/>
        <v>45936.40499</v>
      </c>
      <c r="N3957" s="30" t="str">
        <f t="shared" si="34"/>
        <v>Selesai</v>
      </c>
      <c r="O3957" s="45">
        <f t="shared" si="23"/>
        <v>45936.40499</v>
      </c>
      <c r="P3957" s="47" t="b">
        <v>1</v>
      </c>
      <c r="Q3957" s="36">
        <f t="shared" si="35"/>
        <v>45936.40502</v>
      </c>
      <c r="R3957" s="47" t="b">
        <v>0</v>
      </c>
      <c r="S3957" s="42" t="str">
        <f t="shared" si="28"/>
        <v/>
      </c>
      <c r="T3957" s="42"/>
    </row>
    <row r="3958" ht="22.5" customHeight="1">
      <c r="B3958" s="42">
        <f t="shared" si="7"/>
        <v>3952</v>
      </c>
      <c r="C3958" s="31" t="s">
        <v>3999</v>
      </c>
      <c r="D3958" s="34" t="str">
        <f t="array" ref="D3958">IFNA(_xlfn.XLOOKUP(C3958,Table_Tarikan_Warkah[Nomor Sertipikat],Table_Tarikan_Warkah[Nomor Tiket]),"")</f>
        <v>K/7/220825/1</v>
      </c>
      <c r="E3958" s="36">
        <f t="array" ref="E3958">IFNA(_xlfn.XLOOKUP(D3958,Table_Tarikan_Warkah[Nomor Tiket],Table_Tarikan_Warkah[Tanggal diserahkan kepada Validator]),"")</f>
        <v>45908.63376</v>
      </c>
      <c r="F3958" s="36" t="str">
        <f t="array" ref="F3958">IFNA(_xlfn.XLOOKUP(D3958,Table_Tarikan_Warkah[Nomor Tiket],Table_Tarikan_Warkah[Nama Petugas Warkah]),"")</f>
        <v>Berry</v>
      </c>
      <c r="G3958" s="39" t="str">
        <f t="array" ref="G3958">IFNA(_xlfn.XLOOKUP(D3958,Table_Tarikan_Warkah[Nomor Tiket],Table_Tarikan_Warkah[Jenis Permohonan]),"")</f>
        <v>BN JUAL BELI</v>
      </c>
      <c r="H3958" s="41" t="s">
        <v>920</v>
      </c>
      <c r="I3958" s="49" t="s">
        <v>23</v>
      </c>
      <c r="J3958" s="36">
        <f t="shared" si="20"/>
        <v>45936.40539</v>
      </c>
      <c r="K3958" s="49" t="s">
        <v>920</v>
      </c>
      <c r="L3958" s="49" t="s">
        <v>23</v>
      </c>
      <c r="M3958" s="36">
        <f t="shared" si="33"/>
        <v>45936.40542</v>
      </c>
      <c r="N3958" s="30" t="str">
        <f t="shared" si="34"/>
        <v>Selesai</v>
      </c>
      <c r="O3958" s="45">
        <f t="shared" si="23"/>
        <v>45936.40542</v>
      </c>
      <c r="P3958" s="47" t="b">
        <v>1</v>
      </c>
      <c r="Q3958" s="36">
        <f t="shared" si="35"/>
        <v>45936.40546</v>
      </c>
      <c r="R3958" s="47" t="b">
        <v>0</v>
      </c>
      <c r="S3958" s="42" t="str">
        <f t="shared" si="28"/>
        <v/>
      </c>
      <c r="T3958" s="42"/>
    </row>
    <row r="3959" ht="22.5" customHeight="1">
      <c r="B3959" s="42">
        <f t="shared" si="7"/>
        <v>3953</v>
      </c>
      <c r="C3959" s="31" t="s">
        <v>4000</v>
      </c>
      <c r="D3959" s="34" t="str">
        <f t="array" ref="D3959">IFNA(_xlfn.XLOOKUP(C3959,Table_Tarikan_Warkah[Nomor Sertipikat],Table_Tarikan_Warkah[Nomor Tiket]),"")</f>
        <v>K/34/150925/1</v>
      </c>
      <c r="E3959" s="36" t="str">
        <f t="array" ref="E3959">IFNA(_xlfn.XLOOKUP(D3959,Table_Tarikan_Warkah[Nomor Tiket],Table_Tarikan_Warkah[Tanggal diserahkan kepada Validator]),"")</f>
        <v/>
      </c>
      <c r="F3959" s="36" t="str">
        <f t="array" ref="F3959">IFNA(_xlfn.XLOOKUP(D3959,Table_Tarikan_Warkah[Nomor Tiket],Table_Tarikan_Warkah[Nama Petugas Warkah]),"")</f>
        <v/>
      </c>
      <c r="G3959" s="39" t="str">
        <f t="array" ref="G3959">IFNA(_xlfn.XLOOKUP(D3959,Table_Tarikan_Warkah[Nomor Tiket],Table_Tarikan_Warkah[Jenis Permohonan]),"")</f>
        <v>BN JUAL BELI</v>
      </c>
      <c r="H3959" s="41" t="s">
        <v>920</v>
      </c>
      <c r="I3959" s="49" t="s">
        <v>23</v>
      </c>
      <c r="J3959" s="36">
        <f t="shared" si="20"/>
        <v>45936.40559</v>
      </c>
      <c r="K3959" s="49" t="s">
        <v>920</v>
      </c>
      <c r="L3959" s="49" t="s">
        <v>23</v>
      </c>
      <c r="M3959" s="36">
        <f t="shared" si="33"/>
        <v>45936.40563</v>
      </c>
      <c r="N3959" s="30" t="str">
        <f t="shared" si="34"/>
        <v>Selesai</v>
      </c>
      <c r="O3959" s="45">
        <f t="shared" si="23"/>
        <v>45936.40563</v>
      </c>
      <c r="P3959" s="47" t="b">
        <v>1</v>
      </c>
      <c r="Q3959" s="36">
        <f t="shared" si="35"/>
        <v>45936.40566</v>
      </c>
      <c r="R3959" s="47" t="b">
        <v>0</v>
      </c>
      <c r="S3959" s="42" t="str">
        <f t="shared" si="28"/>
        <v/>
      </c>
      <c r="T3959" s="42"/>
    </row>
    <row r="3960" ht="22.5" customHeight="1">
      <c r="B3960" s="42">
        <f t="shared" si="7"/>
        <v>3954</v>
      </c>
      <c r="C3960" s="31" t="s">
        <v>4001</v>
      </c>
      <c r="D3960" s="34" t="str">
        <f t="array" ref="D3960">IFNA(_xlfn.XLOOKUP(C3960,Table_Tarikan_Warkah[Nomor Sertipikat],Table_Tarikan_Warkah[Nomor Tiket]),"")</f>
        <v>K/50/220825/3</v>
      </c>
      <c r="E3960" s="36" t="str">
        <f t="array" ref="E3960">IFNA(_xlfn.XLOOKUP(D3960,Table_Tarikan_Warkah[Nomor Tiket],Table_Tarikan_Warkah[Tanggal diserahkan kepada Validator]),"")</f>
        <v/>
      </c>
      <c r="F3960" s="36" t="str">
        <f t="array" ref="F3960">IFNA(_xlfn.XLOOKUP(D3960,Table_Tarikan_Warkah[Nomor Tiket],Table_Tarikan_Warkah[Nama Petugas Warkah]),"")</f>
        <v/>
      </c>
      <c r="G3960" s="39" t="str">
        <f t="array" ref="G3960">IFNA(_xlfn.XLOOKUP(D3960,Table_Tarikan_Warkah[Nomor Tiket],Table_Tarikan_Warkah[Jenis Permohonan]),"")</f>
        <v>BN JUAL BELI EL</v>
      </c>
      <c r="H3960" s="41" t="s">
        <v>920</v>
      </c>
      <c r="I3960" s="49" t="s">
        <v>23</v>
      </c>
      <c r="J3960" s="36">
        <f t="shared" si="20"/>
        <v>45936.41883</v>
      </c>
      <c r="K3960" s="49" t="s">
        <v>920</v>
      </c>
      <c r="L3960" s="49" t="s">
        <v>23</v>
      </c>
      <c r="M3960" s="36">
        <f t="shared" si="33"/>
        <v>45936.41886</v>
      </c>
      <c r="N3960" s="30" t="str">
        <f t="shared" si="34"/>
        <v>Selesai</v>
      </c>
      <c r="O3960" s="45">
        <f t="shared" si="23"/>
        <v>45936.41886</v>
      </c>
      <c r="P3960" s="47" t="b">
        <v>1</v>
      </c>
      <c r="Q3960" s="36">
        <f t="shared" si="35"/>
        <v>45936.4189</v>
      </c>
      <c r="R3960" s="47" t="b">
        <v>0</v>
      </c>
      <c r="S3960" s="42" t="str">
        <f t="shared" si="28"/>
        <v/>
      </c>
      <c r="T3960" s="42"/>
    </row>
    <row r="3961" ht="22.5" customHeight="1">
      <c r="B3961" s="42">
        <f t="shared" si="7"/>
        <v>3955</v>
      </c>
      <c r="C3961" s="31" t="s">
        <v>4002</v>
      </c>
      <c r="D3961" s="34" t="str">
        <f t="array" ref="D3961">IFNA(_xlfn.XLOOKUP(C3961,Table_Tarikan_Warkah[Nomor Sertipikat],Table_Tarikan_Warkah[Nomor Tiket]),"")</f>
        <v>K/7/030925/3</v>
      </c>
      <c r="E3961" s="36">
        <f t="array" ref="E3961">IFNA(_xlfn.XLOOKUP(D3961,Table_Tarikan_Warkah[Nomor Tiket],Table_Tarikan_Warkah[Tanggal diserahkan kepada Validator]),"")</f>
        <v>45915.58335</v>
      </c>
      <c r="F3961" s="36" t="str">
        <f t="array" ref="F3961">IFNA(_xlfn.XLOOKUP(D3961,Table_Tarikan_Warkah[Nomor Tiket],Table_Tarikan_Warkah[Nama Petugas Warkah]),"")</f>
        <v>Berry</v>
      </c>
      <c r="G3961" s="39" t="str">
        <f t="array" ref="G3961">IFNA(_xlfn.XLOOKUP(D3961,Table_Tarikan_Warkah[Nomor Tiket],Table_Tarikan_Warkah[Jenis Permohonan]),"")</f>
        <v>BN JUAL BELI</v>
      </c>
      <c r="H3961" s="41" t="s">
        <v>920</v>
      </c>
      <c r="I3961" s="49" t="s">
        <v>23</v>
      </c>
      <c r="J3961" s="36">
        <f t="shared" si="20"/>
        <v>45936.46274</v>
      </c>
      <c r="K3961" s="49" t="s">
        <v>920</v>
      </c>
      <c r="L3961" s="49" t="s">
        <v>23</v>
      </c>
      <c r="M3961" s="36">
        <f t="shared" si="33"/>
        <v>45936.46277</v>
      </c>
      <c r="N3961" s="30" t="str">
        <f t="shared" si="34"/>
        <v>Selesai</v>
      </c>
      <c r="O3961" s="45">
        <f t="shared" si="23"/>
        <v>45936.46277</v>
      </c>
      <c r="P3961" s="47" t="b">
        <v>1</v>
      </c>
      <c r="Q3961" s="36">
        <f t="shared" si="35"/>
        <v>45936.46279</v>
      </c>
      <c r="R3961" s="47" t="b">
        <v>0</v>
      </c>
      <c r="S3961" s="42" t="str">
        <f t="shared" si="28"/>
        <v/>
      </c>
      <c r="T3961" s="42"/>
    </row>
    <row r="3962" ht="22.5" customHeight="1">
      <c r="B3962" s="42">
        <f t="shared" si="7"/>
        <v>3956</v>
      </c>
      <c r="C3962" s="31" t="s">
        <v>4003</v>
      </c>
      <c r="D3962" s="34" t="str">
        <f t="array" ref="D3962">IFNA(_xlfn.XLOOKUP(C3962,Table_Tarikan_Warkah[Nomor Sertipikat],Table_Tarikan_Warkah[Nomor Tiket]),"")</f>
        <v>K/8/030925/4</v>
      </c>
      <c r="E3962" s="36" t="str">
        <f t="array" ref="E3962">IFNA(_xlfn.XLOOKUP(D3962,Table_Tarikan_Warkah[Nomor Tiket],Table_Tarikan_Warkah[Tanggal diserahkan kepada Validator]),"")</f>
        <v/>
      </c>
      <c r="F3962" s="36" t="str">
        <f t="array" ref="F3962">IFNA(_xlfn.XLOOKUP(D3962,Table_Tarikan_Warkah[Nomor Tiket],Table_Tarikan_Warkah[Nama Petugas Warkah]),"")</f>
        <v/>
      </c>
      <c r="G3962" s="39" t="str">
        <f t="array" ref="G3962">IFNA(_xlfn.XLOOKUP(D3962,Table_Tarikan_Warkah[Nomor Tiket],Table_Tarikan_Warkah[Jenis Permohonan]),"")</f>
        <v>BN JUAL BELI</v>
      </c>
      <c r="H3962" s="41" t="s">
        <v>920</v>
      </c>
      <c r="I3962" s="49" t="s">
        <v>23</v>
      </c>
      <c r="J3962" s="36">
        <f t="shared" si="20"/>
        <v>45936.46346</v>
      </c>
      <c r="K3962" s="49" t="s">
        <v>920</v>
      </c>
      <c r="L3962" s="49" t="s">
        <v>23</v>
      </c>
      <c r="M3962" s="36">
        <f t="shared" si="33"/>
        <v>45936.46349</v>
      </c>
      <c r="N3962" s="30" t="str">
        <f t="shared" si="34"/>
        <v>Selesai</v>
      </c>
      <c r="O3962" s="45">
        <f t="shared" si="23"/>
        <v>45936.46349</v>
      </c>
      <c r="P3962" s="47" t="b">
        <v>1</v>
      </c>
      <c r="Q3962" s="36">
        <f t="shared" si="35"/>
        <v>45936.46352</v>
      </c>
      <c r="R3962" s="47" t="b">
        <v>0</v>
      </c>
      <c r="S3962" s="42" t="str">
        <f t="shared" si="28"/>
        <v/>
      </c>
      <c r="T3962" s="42"/>
    </row>
    <row r="3963" ht="22.5" customHeight="1">
      <c r="B3963" s="42">
        <f t="shared" si="7"/>
        <v>3957</v>
      </c>
      <c r="C3963" s="31" t="s">
        <v>4004</v>
      </c>
      <c r="D3963" s="34" t="str">
        <f t="array" ref="D3963">IFNA(_xlfn.XLOOKUP(C3963,Table_Tarikan_Warkah[Nomor Sertipikat],Table_Tarikan_Warkah[Nomor Tiket]),"")</f>
        <v>K/39/040925/1</v>
      </c>
      <c r="E3963" s="36" t="str">
        <f t="array" ref="E3963">IFNA(_xlfn.XLOOKUP(D3963,Table_Tarikan_Warkah[Nomor Tiket],Table_Tarikan_Warkah[Tanggal diserahkan kepada Validator]),"")</f>
        <v/>
      </c>
      <c r="F3963" s="36" t="str">
        <f t="array" ref="F3963">IFNA(_xlfn.XLOOKUP(D3963,Table_Tarikan_Warkah[Nomor Tiket],Table_Tarikan_Warkah[Nama Petugas Warkah]),"")</f>
        <v/>
      </c>
      <c r="G3963" s="39" t="str">
        <f t="array" ref="G3963">IFNA(_xlfn.XLOOKUP(D3963,Table_Tarikan_Warkah[Nomor Tiket],Table_Tarikan_Warkah[Jenis Permohonan]),"")</f>
        <v>BN JUAL BELI</v>
      </c>
      <c r="H3963" s="41" t="s">
        <v>920</v>
      </c>
      <c r="I3963" s="49" t="s">
        <v>23</v>
      </c>
      <c r="J3963" s="36">
        <f t="shared" si="20"/>
        <v>45936.46368</v>
      </c>
      <c r="K3963" s="49" t="s">
        <v>920</v>
      </c>
      <c r="L3963" s="49" t="s">
        <v>23</v>
      </c>
      <c r="M3963" s="36">
        <f t="shared" si="33"/>
        <v>45936.46372</v>
      </c>
      <c r="N3963" s="30" t="str">
        <f t="shared" si="34"/>
        <v>Selesai</v>
      </c>
      <c r="O3963" s="45">
        <f t="shared" si="23"/>
        <v>45936.46372</v>
      </c>
      <c r="P3963" s="47" t="b">
        <v>1</v>
      </c>
      <c r="Q3963" s="36">
        <f t="shared" si="35"/>
        <v>45936.46379</v>
      </c>
      <c r="R3963" s="47" t="b">
        <v>0</v>
      </c>
      <c r="S3963" s="42" t="str">
        <f t="shared" si="28"/>
        <v/>
      </c>
      <c r="T3963" s="42"/>
    </row>
    <row r="3964" ht="22.5" customHeight="1">
      <c r="B3964" s="42">
        <f t="shared" si="7"/>
        <v>3958</v>
      </c>
      <c r="C3964" s="31" t="s">
        <v>4005</v>
      </c>
      <c r="D3964" s="34" t="str">
        <f t="array" ref="D3964">IFNA(_xlfn.XLOOKUP(C3964,Table_Tarikan_Warkah[Nomor Sertipikat],Table_Tarikan_Warkah[Nomor Tiket]),"")</f>
        <v>K/36/020925/2</v>
      </c>
      <c r="E3964" s="36" t="str">
        <f t="array" ref="E3964">IFNA(_xlfn.XLOOKUP(D3964,Table_Tarikan_Warkah[Nomor Tiket],Table_Tarikan_Warkah[Tanggal diserahkan kepada Validator]),"")</f>
        <v/>
      </c>
      <c r="F3964" s="36" t="str">
        <f t="array" ref="F3964">IFNA(_xlfn.XLOOKUP(D3964,Table_Tarikan_Warkah[Nomor Tiket],Table_Tarikan_Warkah[Nama Petugas Warkah]),"")</f>
        <v/>
      </c>
      <c r="G3964" s="39" t="str">
        <f t="array" ref="G3964">IFNA(_xlfn.XLOOKUP(D3964,Table_Tarikan_Warkah[Nomor Tiket],Table_Tarikan_Warkah[Jenis Permohonan]),"")</f>
        <v>BN JUAL BELI</v>
      </c>
      <c r="H3964" s="41" t="s">
        <v>920</v>
      </c>
      <c r="I3964" s="49" t="s">
        <v>23</v>
      </c>
      <c r="J3964" s="36">
        <f t="shared" si="20"/>
        <v>45936.54449</v>
      </c>
      <c r="K3964" s="49" t="s">
        <v>920</v>
      </c>
      <c r="L3964" s="49" t="s">
        <v>23</v>
      </c>
      <c r="M3964" s="36">
        <f t="shared" si="33"/>
        <v>45936.54453</v>
      </c>
      <c r="N3964" s="30" t="str">
        <f t="shared" si="34"/>
        <v>Selesai</v>
      </c>
      <c r="O3964" s="45">
        <f t="shared" si="23"/>
        <v>45936.54453</v>
      </c>
      <c r="P3964" s="47" t="b">
        <v>1</v>
      </c>
      <c r="Q3964" s="36">
        <f t="shared" si="35"/>
        <v>45936.54454</v>
      </c>
      <c r="R3964" s="47" t="b">
        <v>0</v>
      </c>
      <c r="S3964" s="42" t="str">
        <f t="shared" si="28"/>
        <v/>
      </c>
      <c r="T3964" s="42"/>
    </row>
    <row r="3965" ht="22.5" customHeight="1">
      <c r="B3965" s="42">
        <f t="shared" si="7"/>
        <v>3959</v>
      </c>
      <c r="C3965" s="31" t="s">
        <v>4006</v>
      </c>
      <c r="D3965" s="34" t="str">
        <f t="array" ref="D3965">IFNA(_xlfn.XLOOKUP(C3965,Table_Tarikan_Warkah[Nomor Sertipikat],Table_Tarikan_Warkah[Nomor Tiket]),"")</f>
        <v>L/1/230925/1</v>
      </c>
      <c r="E3965" s="36" t="str">
        <f t="array" ref="E3965">IFNA(_xlfn.XLOOKUP(D3965,Table_Tarikan_Warkah[Nomor Tiket],Table_Tarikan_Warkah[Tanggal diserahkan kepada Validator]),"")</f>
        <v/>
      </c>
      <c r="F3965" s="36" t="str">
        <f t="array" ref="F3965">IFNA(_xlfn.XLOOKUP(D3965,Table_Tarikan_Warkah[Nomor Tiket],Table_Tarikan_Warkah[Nama Petugas Warkah]),"")</f>
        <v/>
      </c>
      <c r="G3965" s="39" t="str">
        <f t="array" ref="G3965">IFNA(_xlfn.XLOOKUP(D3965,Table_Tarikan_Warkah[Nomor Tiket],Table_Tarikan_Warkah[Jenis Permohonan]),"")</f>
        <v>KEWARISAN </v>
      </c>
      <c r="H3965" s="41" t="s">
        <v>2315</v>
      </c>
      <c r="I3965" s="49" t="s">
        <v>23</v>
      </c>
      <c r="J3965" s="36">
        <f t="shared" si="20"/>
        <v>45936.78033</v>
      </c>
      <c r="K3965" s="49" t="s">
        <v>2378</v>
      </c>
      <c r="L3965" s="49" t="s">
        <v>23</v>
      </c>
      <c r="M3965" s="36">
        <f t="shared" si="33"/>
        <v>45939.63146</v>
      </c>
      <c r="N3965" s="30" t="str">
        <f t="shared" si="34"/>
        <v>Selesai</v>
      </c>
      <c r="O3965" s="45">
        <f t="shared" si="23"/>
        <v>45939.63146</v>
      </c>
      <c r="P3965" s="47" t="b">
        <v>0</v>
      </c>
      <c r="Q3965" s="36" t="str">
        <f t="shared" si="35"/>
        <v/>
      </c>
      <c r="R3965" s="47" t="b">
        <v>0</v>
      </c>
      <c r="S3965" s="42" t="str">
        <f t="shared" si="28"/>
        <v/>
      </c>
      <c r="T3965" s="42"/>
    </row>
    <row r="3966" ht="22.5" customHeight="1">
      <c r="B3966" s="42">
        <f t="shared" si="7"/>
        <v>3960</v>
      </c>
      <c r="C3966" s="31" t="s">
        <v>4007</v>
      </c>
      <c r="D3966" s="34" t="str">
        <f t="array" ref="D3966">IFNA(_xlfn.XLOOKUP(C3966,Table_Tarikan_Warkah[Nomor Sertipikat],Table_Tarikan_Warkah[Nomor Tiket]),"")</f>
        <v>K/9/290925/1</v>
      </c>
      <c r="E3966" s="36" t="str">
        <f t="array" ref="E3966">IFNA(_xlfn.XLOOKUP(D3966,Table_Tarikan_Warkah[Nomor Tiket],Table_Tarikan_Warkah[Tanggal diserahkan kepada Validator]),"")</f>
        <v/>
      </c>
      <c r="F3966" s="36" t="str">
        <f t="array" ref="F3966">IFNA(_xlfn.XLOOKUP(D3966,Table_Tarikan_Warkah[Nomor Tiket],Table_Tarikan_Warkah[Nama Petugas Warkah]),"")</f>
        <v/>
      </c>
      <c r="G3966" s="39" t="str">
        <f t="array" ref="G3966">IFNA(_xlfn.XLOOKUP(D3966,Table_Tarikan_Warkah[Nomor Tiket],Table_Tarikan_Warkah[Jenis Permohonan]),"")</f>
        <v>ROYA</v>
      </c>
      <c r="H3966" s="41" t="s">
        <v>2315</v>
      </c>
      <c r="I3966" s="49" t="s">
        <v>23</v>
      </c>
      <c r="J3966" s="36">
        <f t="shared" si="20"/>
        <v>45936.78063</v>
      </c>
      <c r="K3966" s="49" t="s">
        <v>2378</v>
      </c>
      <c r="L3966" s="49" t="s">
        <v>23</v>
      </c>
      <c r="M3966" s="36">
        <f t="shared" si="33"/>
        <v>45939.64074</v>
      </c>
      <c r="N3966" s="30" t="str">
        <f t="shared" si="34"/>
        <v>Selesai</v>
      </c>
      <c r="O3966" s="45">
        <f t="shared" si="23"/>
        <v>45939.64074</v>
      </c>
      <c r="P3966" s="47" t="b">
        <v>0</v>
      </c>
      <c r="Q3966" s="36" t="str">
        <f t="shared" si="35"/>
        <v/>
      </c>
      <c r="R3966" s="47" t="b">
        <v>0</v>
      </c>
      <c r="S3966" s="42" t="str">
        <f t="shared" si="28"/>
        <v/>
      </c>
      <c r="T3966" s="42"/>
    </row>
    <row r="3967" ht="22.5" customHeight="1">
      <c r="B3967" s="42">
        <f t="shared" si="7"/>
        <v>3961</v>
      </c>
      <c r="C3967" s="31" t="s">
        <v>4008</v>
      </c>
      <c r="D3967" s="34" t="str">
        <f t="array" ref="D3967">IFNA(_xlfn.XLOOKUP(C3967,Table_Tarikan_Warkah[Nomor Sertipikat],Table_Tarikan_Warkah[Nomor Tiket]),"")</f>
        <v>K/19/260926/1</v>
      </c>
      <c r="E3967" s="36" t="str">
        <f t="array" ref="E3967">IFNA(_xlfn.XLOOKUP(D3967,Table_Tarikan_Warkah[Nomor Tiket],Table_Tarikan_Warkah[Tanggal diserahkan kepada Validator]),"")</f>
        <v/>
      </c>
      <c r="F3967" s="36" t="str">
        <f t="array" ref="F3967">IFNA(_xlfn.XLOOKUP(D3967,Table_Tarikan_Warkah[Nomor Tiket],Table_Tarikan_Warkah[Nama Petugas Warkah]),"")</f>
        <v/>
      </c>
      <c r="G3967" s="39" t="str">
        <f t="array" ref="G3967">IFNA(_xlfn.XLOOKUP(D3967,Table_Tarikan_Warkah[Nomor Tiket],Table_Tarikan_Warkah[Jenis Permohonan]),"")</f>
        <v>Peningkatan Hak	</v>
      </c>
      <c r="H3967" s="41" t="s">
        <v>2315</v>
      </c>
      <c r="I3967" s="49" t="s">
        <v>23</v>
      </c>
      <c r="J3967" s="36">
        <f t="shared" si="20"/>
        <v>45936.78076</v>
      </c>
      <c r="K3967" s="49" t="s">
        <v>2378</v>
      </c>
      <c r="L3967" s="49" t="s">
        <v>23</v>
      </c>
      <c r="M3967" s="36">
        <f t="shared" si="33"/>
        <v>45939.62996</v>
      </c>
      <c r="N3967" s="30" t="str">
        <f t="shared" si="34"/>
        <v>Selesai</v>
      </c>
      <c r="O3967" s="45">
        <f t="shared" si="23"/>
        <v>45939.62996</v>
      </c>
      <c r="P3967" s="47" t="b">
        <v>0</v>
      </c>
      <c r="Q3967" s="36" t="str">
        <f t="shared" si="35"/>
        <v/>
      </c>
      <c r="R3967" s="47" t="b">
        <v>0</v>
      </c>
      <c r="S3967" s="42" t="str">
        <f t="shared" si="28"/>
        <v/>
      </c>
      <c r="T3967" s="42"/>
    </row>
    <row r="3968" ht="22.5" customHeight="1">
      <c r="B3968" s="42">
        <f t="shared" si="7"/>
        <v>3962</v>
      </c>
      <c r="C3968" s="31" t="s">
        <v>4009</v>
      </c>
      <c r="D3968" s="34" t="str">
        <f t="array" ref="D3968">IFNA(_xlfn.XLOOKUP(C3968,Table_Tarikan_Warkah[Nomor Sertipikat],Table_Tarikan_Warkah[Nomor Tiket]),"")</f>
        <v>K/5/260925/1</v>
      </c>
      <c r="E3968" s="36">
        <f t="array" ref="E3968">IFNA(_xlfn.XLOOKUP(D3968,Table_Tarikan_Warkah[Nomor Tiket],Table_Tarikan_Warkah[Tanggal diserahkan kepada Validator]),"")</f>
        <v>45960.63209</v>
      </c>
      <c r="F3968" s="36" t="str">
        <f t="array" ref="F3968">IFNA(_xlfn.XLOOKUP(D3968,Table_Tarikan_Warkah[Nomor Tiket],Table_Tarikan_Warkah[Nama Petugas Warkah]),"")</f>
        <v>David</v>
      </c>
      <c r="G3968" s="39" t="str">
        <f t="array" ref="G3968">IFNA(_xlfn.XLOOKUP(D3968,Table_Tarikan_Warkah[Nomor Tiket],Table_Tarikan_Warkah[Jenis Permohonan]),"")</f>
        <v>Roya		</v>
      </c>
      <c r="H3968" s="41" t="s">
        <v>2315</v>
      </c>
      <c r="I3968" s="49" t="s">
        <v>23</v>
      </c>
      <c r="J3968" s="36">
        <f t="shared" si="20"/>
        <v>45936.78089</v>
      </c>
      <c r="K3968" s="49" t="s">
        <v>2378</v>
      </c>
      <c r="L3968" s="49" t="s">
        <v>23</v>
      </c>
      <c r="M3968" s="36">
        <f t="shared" si="33"/>
        <v>45939.63369</v>
      </c>
      <c r="N3968" s="30" t="str">
        <f t="shared" si="34"/>
        <v>Selesai</v>
      </c>
      <c r="O3968" s="45">
        <f t="shared" si="23"/>
        <v>45939.63369</v>
      </c>
      <c r="P3968" s="47" t="b">
        <v>0</v>
      </c>
      <c r="Q3968" s="36" t="str">
        <f t="shared" si="35"/>
        <v/>
      </c>
      <c r="R3968" s="47" t="b">
        <v>0</v>
      </c>
      <c r="S3968" s="42" t="str">
        <f t="shared" si="28"/>
        <v/>
      </c>
      <c r="T3968" s="42"/>
    </row>
    <row r="3969" ht="22.5" customHeight="1">
      <c r="B3969" s="42">
        <f t="shared" si="7"/>
        <v>3963</v>
      </c>
      <c r="C3969" s="31" t="s">
        <v>4010</v>
      </c>
      <c r="D3969" s="34" t="str">
        <f t="array" ref="D3969">IFNA(_xlfn.XLOOKUP(C3969,Table_Tarikan_Warkah[Nomor Sertipikat],Table_Tarikan_Warkah[Nomor Tiket]),"")</f>
        <v>L/2/110925/1</v>
      </c>
      <c r="E3969" s="36">
        <f t="array" ref="E3969">IFNA(_xlfn.XLOOKUP(D3969,Table_Tarikan_Warkah[Nomor Tiket],Table_Tarikan_Warkah[Tanggal diserahkan kepada Validator]),"")</f>
        <v>45932.7023</v>
      </c>
      <c r="F3969" s="36" t="str">
        <f t="array" ref="F3969">IFNA(_xlfn.XLOOKUP(D3969,Table_Tarikan_Warkah[Nomor Tiket],Table_Tarikan_Warkah[Nama Petugas Warkah]),"")</f>
        <v>Berry</v>
      </c>
      <c r="G3969" s="39" t="str">
        <f t="array" ref="G3969">IFNA(_xlfn.XLOOKUP(D3969,Table_Tarikan_Warkah[Nomor Tiket],Table_Tarikan_Warkah[Jenis Permohonan]),"")</f>
        <v>ROYA WARIS</v>
      </c>
      <c r="H3969" s="41" t="s">
        <v>2315</v>
      </c>
      <c r="I3969" s="49" t="s">
        <v>23</v>
      </c>
      <c r="J3969" s="36">
        <f t="shared" si="20"/>
        <v>45936.78107</v>
      </c>
      <c r="K3969" s="49" t="s">
        <v>2378</v>
      </c>
      <c r="L3969" s="49" t="s">
        <v>23</v>
      </c>
      <c r="M3969" s="36">
        <f t="shared" si="33"/>
        <v>45939.62956</v>
      </c>
      <c r="N3969" s="30" t="str">
        <f t="shared" si="34"/>
        <v>Selesai</v>
      </c>
      <c r="O3969" s="45">
        <f t="shared" si="23"/>
        <v>45939.62956</v>
      </c>
      <c r="P3969" s="47" t="b">
        <v>0</v>
      </c>
      <c r="Q3969" s="36" t="str">
        <f t="shared" si="35"/>
        <v/>
      </c>
      <c r="R3969" s="47" t="b">
        <v>0</v>
      </c>
      <c r="S3969" s="42" t="str">
        <f t="shared" si="28"/>
        <v/>
      </c>
      <c r="T3969" s="42"/>
    </row>
    <row r="3970" ht="22.5" customHeight="1">
      <c r="B3970" s="42">
        <f t="shared" si="7"/>
        <v>3964</v>
      </c>
      <c r="C3970" s="31" t="s">
        <v>4011</v>
      </c>
      <c r="D3970" s="34" t="str">
        <f t="array" ref="D3970">IFNA(_xlfn.XLOOKUP(C3970,Table_Tarikan_Warkah[Nomor Sertipikat],Table_Tarikan_Warkah[Nomor Tiket]),"")</f>
        <v>L/10/290925/1</v>
      </c>
      <c r="E3970" s="36" t="str">
        <f t="array" ref="E3970">IFNA(_xlfn.XLOOKUP(D3970,Table_Tarikan_Warkah[Nomor Tiket],Table_Tarikan_Warkah[Tanggal diserahkan kepada Validator]),"")</f>
        <v/>
      </c>
      <c r="F3970" s="36" t="str">
        <f t="array" ref="F3970">IFNA(_xlfn.XLOOKUP(D3970,Table_Tarikan_Warkah[Nomor Tiket],Table_Tarikan_Warkah[Nama Petugas Warkah]),"")</f>
        <v/>
      </c>
      <c r="G3970" s="39" t="str">
        <f t="array" ref="G3970">IFNA(_xlfn.XLOOKUP(D3970,Table_Tarikan_Warkah[Nomor Tiket],Table_Tarikan_Warkah[Jenis Permohonan]),"")</f>
        <v>ROYA</v>
      </c>
      <c r="H3970" s="41" t="s">
        <v>2315</v>
      </c>
      <c r="I3970" s="49" t="s">
        <v>23</v>
      </c>
      <c r="J3970" s="36">
        <f t="shared" si="20"/>
        <v>45936.7812</v>
      </c>
      <c r="K3970" s="49" t="s">
        <v>2378</v>
      </c>
      <c r="L3970" s="49" t="s">
        <v>23</v>
      </c>
      <c r="M3970" s="36">
        <f t="shared" si="33"/>
        <v>45939.63245</v>
      </c>
      <c r="N3970" s="30" t="str">
        <f t="shared" si="34"/>
        <v>Selesai</v>
      </c>
      <c r="O3970" s="45">
        <f t="shared" si="23"/>
        <v>45939.63245</v>
      </c>
      <c r="P3970" s="47" t="b">
        <v>0</v>
      </c>
      <c r="Q3970" s="36" t="str">
        <f t="shared" si="35"/>
        <v/>
      </c>
      <c r="R3970" s="47" t="b">
        <v>0</v>
      </c>
      <c r="S3970" s="42" t="str">
        <f t="shared" si="28"/>
        <v/>
      </c>
      <c r="T3970" s="42"/>
    </row>
    <row r="3971" ht="22.5" customHeight="1">
      <c r="B3971" s="42">
        <f t="shared" si="7"/>
        <v>3965</v>
      </c>
      <c r="C3971" s="31" t="s">
        <v>4012</v>
      </c>
      <c r="D3971" s="34" t="str">
        <f t="array" ref="D3971">IFNA(_xlfn.XLOOKUP(C3971,Table_Tarikan_Warkah[Nomor Sertipikat],Table_Tarikan_Warkah[Nomor Tiket]),"")</f>
        <v>L/22/250925/1</v>
      </c>
      <c r="E3971" s="36" t="str">
        <f t="array" ref="E3971">IFNA(_xlfn.XLOOKUP(D3971,Table_Tarikan_Warkah[Nomor Tiket],Table_Tarikan_Warkah[Tanggal diserahkan kepada Validator]),"")</f>
        <v/>
      </c>
      <c r="F3971" s="36" t="str">
        <f t="array" ref="F3971">IFNA(_xlfn.XLOOKUP(D3971,Table_Tarikan_Warkah[Nomor Tiket],Table_Tarikan_Warkah[Nama Petugas Warkah]),"")</f>
        <v/>
      </c>
      <c r="G3971" s="39" t="str">
        <f t="array" ref="G3971">IFNA(_xlfn.XLOOKUP(D3971,Table_Tarikan_Warkah[Nomor Tiket],Table_Tarikan_Warkah[Jenis Permohonan]),"")</f>
        <v>PENINGKATAN HAK</v>
      </c>
      <c r="H3971" s="41" t="s">
        <v>2315</v>
      </c>
      <c r="I3971" s="49" t="s">
        <v>23</v>
      </c>
      <c r="J3971" s="36">
        <f t="shared" si="20"/>
        <v>45936.78131</v>
      </c>
      <c r="K3971" s="49" t="s">
        <v>2378</v>
      </c>
      <c r="L3971" s="49" t="s">
        <v>23</v>
      </c>
      <c r="M3971" s="36">
        <f t="shared" si="33"/>
        <v>45939.63087</v>
      </c>
      <c r="N3971" s="30" t="str">
        <f t="shared" si="34"/>
        <v>Selesai</v>
      </c>
      <c r="O3971" s="45">
        <f t="shared" si="23"/>
        <v>45939.63087</v>
      </c>
      <c r="P3971" s="47" t="b">
        <v>0</v>
      </c>
      <c r="Q3971" s="36" t="str">
        <f t="shared" si="35"/>
        <v/>
      </c>
      <c r="R3971" s="47" t="b">
        <v>0</v>
      </c>
      <c r="S3971" s="42" t="str">
        <f t="shared" si="28"/>
        <v/>
      </c>
      <c r="T3971" s="42"/>
    </row>
    <row r="3972" ht="22.5" customHeight="1">
      <c r="B3972" s="42">
        <f t="shared" si="7"/>
        <v>3966</v>
      </c>
      <c r="C3972" s="31" t="s">
        <v>4013</v>
      </c>
      <c r="D3972" s="34" t="str">
        <f t="array" ref="D3972">IFNA(_xlfn.XLOOKUP(C3972,Table_Tarikan_Warkah[Nomor Sertipikat],Table_Tarikan_Warkah[Nomor Tiket]),"")</f>
        <v>L/23/250925/2</v>
      </c>
      <c r="E3972" s="36">
        <f t="array" ref="E3972">IFNA(_xlfn.XLOOKUP(D3972,Table_Tarikan_Warkah[Nomor Tiket],Table_Tarikan_Warkah[Tanggal diserahkan kepada Validator]),"")</f>
        <v>45944.48535</v>
      </c>
      <c r="F3972" s="36" t="str">
        <f t="array" ref="F3972">IFNA(_xlfn.XLOOKUP(D3972,Table_Tarikan_Warkah[Nomor Tiket],Table_Tarikan_Warkah[Nama Petugas Warkah]),"")</f>
        <v>David</v>
      </c>
      <c r="G3972" s="39" t="str">
        <f t="array" ref="G3972">IFNA(_xlfn.XLOOKUP(D3972,Table_Tarikan_Warkah[Nomor Tiket],Table_Tarikan_Warkah[Jenis Permohonan]),"")</f>
        <v>PENINGKATAN HAK</v>
      </c>
      <c r="H3972" s="41" t="s">
        <v>2315</v>
      </c>
      <c r="I3972" s="49" t="s">
        <v>23</v>
      </c>
      <c r="J3972" s="36">
        <f t="shared" si="20"/>
        <v>45936.78152</v>
      </c>
      <c r="K3972" s="49" t="s">
        <v>2378</v>
      </c>
      <c r="L3972" s="49" t="s">
        <v>23</v>
      </c>
      <c r="M3972" s="36">
        <f t="shared" si="33"/>
        <v>45939.63014</v>
      </c>
      <c r="N3972" s="30" t="str">
        <f t="shared" si="34"/>
        <v>Selesai</v>
      </c>
      <c r="O3972" s="45">
        <f t="shared" si="23"/>
        <v>45939.63014</v>
      </c>
      <c r="P3972" s="47" t="b">
        <v>0</v>
      </c>
      <c r="Q3972" s="36" t="str">
        <f t="shared" si="35"/>
        <v/>
      </c>
      <c r="R3972" s="47" t="b">
        <v>0</v>
      </c>
      <c r="S3972" s="42" t="str">
        <f t="shared" si="28"/>
        <v/>
      </c>
      <c r="T3972" s="42"/>
    </row>
    <row r="3973" ht="22.5" customHeight="1">
      <c r="B3973" s="42">
        <f t="shared" si="7"/>
        <v>3967</v>
      </c>
      <c r="C3973" s="31" t="s">
        <v>4014</v>
      </c>
      <c r="D3973" s="34" t="str">
        <f t="array" ref="D3973">IFNA(_xlfn.XLOOKUP(C3973,Table_Tarikan_Warkah[Nomor Sertipikat],Table_Tarikan_Warkah[Nomor Tiket]),"")</f>
        <v>K/11/170925/1</v>
      </c>
      <c r="E3973" s="36" t="str">
        <f t="array" ref="E3973">IFNA(_xlfn.XLOOKUP(D3973,Table_Tarikan_Warkah[Nomor Tiket],Table_Tarikan_Warkah[Tanggal diserahkan kepada Validator]),"")</f>
        <v/>
      </c>
      <c r="F3973" s="36" t="str">
        <f t="array" ref="F3973">IFNA(_xlfn.XLOOKUP(D3973,Table_Tarikan_Warkah[Nomor Tiket],Table_Tarikan_Warkah[Nama Petugas Warkah]),"")</f>
        <v/>
      </c>
      <c r="G3973" s="39" t="str">
        <f t="array" ref="G3973">IFNA(_xlfn.XLOOKUP(D3973,Table_Tarikan_Warkah[Nomor Tiket],Table_Tarikan_Warkah[Jenis Permohonan]),"")</f>
        <v>PEMECAHAN</v>
      </c>
      <c r="H3973" s="41" t="s">
        <v>2315</v>
      </c>
      <c r="I3973" s="49" t="s">
        <v>23</v>
      </c>
      <c r="J3973" s="36">
        <f t="shared" si="20"/>
        <v>45936.7817</v>
      </c>
      <c r="K3973" s="49" t="s">
        <v>2378</v>
      </c>
      <c r="L3973" s="49" t="s">
        <v>23</v>
      </c>
      <c r="M3973" s="36">
        <f t="shared" si="33"/>
        <v>45939.6323</v>
      </c>
      <c r="N3973" s="30" t="str">
        <f t="shared" si="34"/>
        <v>Selesai</v>
      </c>
      <c r="O3973" s="45">
        <f t="shared" si="23"/>
        <v>45939.6323</v>
      </c>
      <c r="P3973" s="47" t="b">
        <v>0</v>
      </c>
      <c r="Q3973" s="36" t="str">
        <f t="shared" si="35"/>
        <v/>
      </c>
      <c r="R3973" s="47" t="b">
        <v>0</v>
      </c>
      <c r="S3973" s="42" t="str">
        <f t="shared" si="28"/>
        <v/>
      </c>
      <c r="T3973" s="42"/>
    </row>
    <row r="3974" ht="22.5" customHeight="1">
      <c r="B3974" s="42">
        <f t="shared" si="7"/>
        <v>3968</v>
      </c>
      <c r="C3974" s="31" t="s">
        <v>4015</v>
      </c>
      <c r="D3974" s="34" t="str">
        <f t="array" ref="D3974">IFNA(_xlfn.XLOOKUP(C3974,Table_Tarikan_Warkah[Nomor Sertipikat],Table_Tarikan_Warkah[Nomor Tiket]),"")</f>
        <v>L/9/011025/1</v>
      </c>
      <c r="E3974" s="36" t="str">
        <f t="array" ref="E3974">IFNA(_xlfn.XLOOKUP(D3974,Table_Tarikan_Warkah[Nomor Tiket],Table_Tarikan_Warkah[Tanggal diserahkan kepada Validator]),"")</f>
        <v/>
      </c>
      <c r="F3974" s="36" t="str">
        <f t="array" ref="F3974">IFNA(_xlfn.XLOOKUP(D3974,Table_Tarikan_Warkah[Nomor Tiket],Table_Tarikan_Warkah[Nama Petugas Warkah]),"")</f>
        <v/>
      </c>
      <c r="G3974" s="39" t="str">
        <f t="array" ref="G3974">IFNA(_xlfn.XLOOKUP(D3974,Table_Tarikan_Warkah[Nomor Tiket],Table_Tarikan_Warkah[Jenis Permohonan]),"")</f>
        <v>PENINGKATAN HAK</v>
      </c>
      <c r="H3974" s="41" t="s">
        <v>2315</v>
      </c>
      <c r="I3974" s="49" t="s">
        <v>23</v>
      </c>
      <c r="J3974" s="36">
        <f t="shared" si="20"/>
        <v>45936.78188</v>
      </c>
      <c r="K3974" s="49" t="s">
        <v>2378</v>
      </c>
      <c r="L3974" s="49" t="s">
        <v>23</v>
      </c>
      <c r="M3974" s="36">
        <f t="shared" si="33"/>
        <v>45938.69324</v>
      </c>
      <c r="N3974" s="30" t="str">
        <f t="shared" si="34"/>
        <v>Selesai</v>
      </c>
      <c r="O3974" s="45">
        <f t="shared" si="23"/>
        <v>45938.69324</v>
      </c>
      <c r="P3974" s="47" t="b">
        <v>0</v>
      </c>
      <c r="Q3974" s="36" t="str">
        <f t="shared" si="35"/>
        <v/>
      </c>
      <c r="R3974" s="47" t="b">
        <v>0</v>
      </c>
      <c r="S3974" s="42" t="str">
        <f t="shared" si="28"/>
        <v/>
      </c>
      <c r="T3974" s="42"/>
    </row>
    <row r="3975" ht="22.5" customHeight="1">
      <c r="B3975" s="42">
        <f t="shared" si="7"/>
        <v>3969</v>
      </c>
      <c r="C3975" s="31" t="s">
        <v>4016</v>
      </c>
      <c r="D3975" s="34" t="str">
        <f t="array" ref="D3975">IFNA(_xlfn.XLOOKUP(C3975,Table_Tarikan_Warkah[Nomor Sertipikat],Table_Tarikan_Warkah[Nomor Tiket]),"")</f>
        <v>L/20/300925/1</v>
      </c>
      <c r="E3975" s="36" t="str">
        <f t="array" ref="E3975">IFNA(_xlfn.XLOOKUP(D3975,Table_Tarikan_Warkah[Nomor Tiket],Table_Tarikan_Warkah[Tanggal diserahkan kepada Validator]),"")</f>
        <v/>
      </c>
      <c r="F3975" s="36" t="str">
        <f t="array" ref="F3975">IFNA(_xlfn.XLOOKUP(D3975,Table_Tarikan_Warkah[Nomor Tiket],Table_Tarikan_Warkah[Nama Petugas Warkah]),"")</f>
        <v/>
      </c>
      <c r="G3975" s="39" t="str">
        <f t="array" ref="G3975">IFNA(_xlfn.XLOOKUP(D3975,Table_Tarikan_Warkah[Nomor Tiket],Table_Tarikan_Warkah[Jenis Permohonan]),"")</f>
        <v>ROYA</v>
      </c>
      <c r="H3975" s="41" t="s">
        <v>2315</v>
      </c>
      <c r="I3975" s="49" t="s">
        <v>23</v>
      </c>
      <c r="J3975" s="36">
        <f t="shared" si="20"/>
        <v>45936.782</v>
      </c>
      <c r="K3975" s="49" t="s">
        <v>2378</v>
      </c>
      <c r="L3975" s="49" t="s">
        <v>23</v>
      </c>
      <c r="M3975" s="36">
        <f t="shared" si="33"/>
        <v>45938.69696</v>
      </c>
      <c r="N3975" s="30" t="str">
        <f t="shared" si="34"/>
        <v>Selesai</v>
      </c>
      <c r="O3975" s="45">
        <f t="shared" si="23"/>
        <v>45938.69696</v>
      </c>
      <c r="P3975" s="47" t="b">
        <v>0</v>
      </c>
      <c r="Q3975" s="36" t="str">
        <f t="shared" si="35"/>
        <v/>
      </c>
      <c r="R3975" s="47" t="b">
        <v>0</v>
      </c>
      <c r="S3975" s="42" t="str">
        <f t="shared" si="28"/>
        <v/>
      </c>
      <c r="T3975" s="42"/>
    </row>
    <row r="3976" ht="22.5" customHeight="1">
      <c r="B3976" s="42">
        <f t="shared" si="7"/>
        <v>3970</v>
      </c>
      <c r="C3976" s="31" t="s">
        <v>4017</v>
      </c>
      <c r="D3976" s="34" t="str">
        <f t="array" ref="D3976">IFNA(_xlfn.XLOOKUP(C3976,Table_Tarikan_Warkah[Nomor Sertipikat],Table_Tarikan_Warkah[Nomor Tiket]),"")</f>
        <v>K/34/250926/1</v>
      </c>
      <c r="E3976" s="36" t="str">
        <f t="array" ref="E3976">IFNA(_xlfn.XLOOKUP(D3976,Table_Tarikan_Warkah[Nomor Tiket],Table_Tarikan_Warkah[Tanggal diserahkan kepada Validator]),"")</f>
        <v/>
      </c>
      <c r="F3976" s="36" t="str">
        <f t="array" ref="F3976">IFNA(_xlfn.XLOOKUP(D3976,Table_Tarikan_Warkah[Nomor Tiket],Table_Tarikan_Warkah[Nama Petugas Warkah]),"")</f>
        <v/>
      </c>
      <c r="G3976" s="39" t="str">
        <f t="array" ref="G3976">IFNA(_xlfn.XLOOKUP(D3976,Table_Tarikan_Warkah[Nomor Tiket],Table_Tarikan_Warkah[Jenis Permohonan]),"")</f>
        <v>Roya	</v>
      </c>
      <c r="H3976" s="41" t="s">
        <v>2315</v>
      </c>
      <c r="I3976" s="49" t="s">
        <v>23</v>
      </c>
      <c r="J3976" s="36">
        <f t="shared" si="20"/>
        <v>45936.78231</v>
      </c>
      <c r="K3976" s="49" t="s">
        <v>2378</v>
      </c>
      <c r="L3976" s="49" t="s">
        <v>23</v>
      </c>
      <c r="M3976" s="36">
        <f t="shared" si="33"/>
        <v>45939.63992</v>
      </c>
      <c r="N3976" s="30" t="str">
        <f t="shared" si="34"/>
        <v>Selesai</v>
      </c>
      <c r="O3976" s="45">
        <f t="shared" si="23"/>
        <v>45939.63992</v>
      </c>
      <c r="P3976" s="47" t="b">
        <v>0</v>
      </c>
      <c r="Q3976" s="36" t="str">
        <f t="shared" si="35"/>
        <v/>
      </c>
      <c r="R3976" s="47" t="b">
        <v>0</v>
      </c>
      <c r="S3976" s="42" t="str">
        <f t="shared" si="28"/>
        <v/>
      </c>
      <c r="T3976" s="42"/>
    </row>
    <row r="3977" ht="22.5" customHeight="1">
      <c r="B3977" s="42">
        <f t="shared" si="7"/>
        <v>3971</v>
      </c>
      <c r="C3977" s="31" t="s">
        <v>4018</v>
      </c>
      <c r="D3977" s="34" t="str">
        <f t="array" ref="D3977">IFNA(_xlfn.XLOOKUP(C3977,Table_Tarikan_Warkah[Nomor Sertipikat],Table_Tarikan_Warkah[Nomor Tiket]),"")</f>
        <v>K/7/220925/1</v>
      </c>
      <c r="E3977" s="36" t="str">
        <f t="array" ref="E3977">IFNA(_xlfn.XLOOKUP(D3977,Table_Tarikan_Warkah[Nomor Tiket],Table_Tarikan_Warkah[Tanggal diserahkan kepada Validator]),"")</f>
        <v/>
      </c>
      <c r="F3977" s="36" t="str">
        <f t="array" ref="F3977">IFNA(_xlfn.XLOOKUP(D3977,Table_Tarikan_Warkah[Nomor Tiket],Table_Tarikan_Warkah[Nama Petugas Warkah]),"")</f>
        <v/>
      </c>
      <c r="G3977" s="39" t="str">
        <f t="array" ref="G3977">IFNA(_xlfn.XLOOKUP(D3977,Table_Tarikan_Warkah[Nomor Tiket],Table_Tarikan_Warkah[Jenis Permohonan]),"")</f>
        <v>BN WARIS</v>
      </c>
      <c r="H3977" s="41" t="s">
        <v>2315</v>
      </c>
      <c r="I3977" s="49" t="s">
        <v>23</v>
      </c>
      <c r="J3977" s="36">
        <f t="shared" si="20"/>
        <v>45936.78269</v>
      </c>
      <c r="K3977" s="49" t="s">
        <v>2378</v>
      </c>
      <c r="L3977" s="49" t="s">
        <v>23</v>
      </c>
      <c r="M3977" s="36">
        <f t="shared" si="33"/>
        <v>45939.63211</v>
      </c>
      <c r="N3977" s="30" t="str">
        <f t="shared" si="34"/>
        <v>Selesai</v>
      </c>
      <c r="O3977" s="45">
        <f t="shared" si="23"/>
        <v>45939.63211</v>
      </c>
      <c r="P3977" s="47" t="b">
        <v>0</v>
      </c>
      <c r="Q3977" s="36" t="str">
        <f t="shared" si="35"/>
        <v/>
      </c>
      <c r="R3977" s="47" t="b">
        <v>0</v>
      </c>
      <c r="S3977" s="42" t="str">
        <f t="shared" si="28"/>
        <v/>
      </c>
      <c r="T3977" s="42"/>
    </row>
    <row r="3978" ht="22.5" customHeight="1">
      <c r="B3978" s="42">
        <f t="shared" si="7"/>
        <v>3972</v>
      </c>
      <c r="C3978" s="31" t="s">
        <v>4019</v>
      </c>
      <c r="D3978" s="34" t="str">
        <f t="array" ref="D3978">IFNA(_xlfn.XLOOKUP(C3978,Table_Tarikan_Warkah[Nomor Sertipikat],Table_Tarikan_Warkah[Nomor Tiket]),"")</f>
        <v>K/7/190925/1</v>
      </c>
      <c r="E3978" s="36" t="str">
        <f t="array" ref="E3978">IFNA(_xlfn.XLOOKUP(D3978,Table_Tarikan_Warkah[Nomor Tiket],Table_Tarikan_Warkah[Tanggal diserahkan kepada Validator]),"")</f>
        <v/>
      </c>
      <c r="F3978" s="36" t="str">
        <f t="array" ref="F3978">IFNA(_xlfn.XLOOKUP(D3978,Table_Tarikan_Warkah[Nomor Tiket],Table_Tarikan_Warkah[Nama Petugas Warkah]),"")</f>
        <v/>
      </c>
      <c r="G3978" s="39" t="str">
        <f t="array" ref="G3978">IFNA(_xlfn.XLOOKUP(D3978,Table_Tarikan_Warkah[Nomor Tiket],Table_Tarikan_Warkah[Jenis Permohonan]),"")</f>
        <v>BN WARIS</v>
      </c>
      <c r="H3978" s="41" t="s">
        <v>2315</v>
      </c>
      <c r="I3978" s="49" t="s">
        <v>23</v>
      </c>
      <c r="J3978" s="36">
        <f t="shared" si="20"/>
        <v>45936.78283</v>
      </c>
      <c r="K3978" s="49" t="s">
        <v>2378</v>
      </c>
      <c r="L3978" s="49" t="s">
        <v>23</v>
      </c>
      <c r="M3978" s="36">
        <f t="shared" si="33"/>
        <v>45938.69363</v>
      </c>
      <c r="N3978" s="30" t="str">
        <f t="shared" si="34"/>
        <v>Selesai</v>
      </c>
      <c r="O3978" s="45">
        <f t="shared" si="23"/>
        <v>45938.69363</v>
      </c>
      <c r="P3978" s="47" t="b">
        <v>0</v>
      </c>
      <c r="Q3978" s="36" t="str">
        <f t="shared" si="35"/>
        <v/>
      </c>
      <c r="R3978" s="47" t="b">
        <v>0</v>
      </c>
      <c r="S3978" s="42" t="str">
        <f t="shared" si="28"/>
        <v/>
      </c>
      <c r="T3978" s="42"/>
    </row>
    <row r="3979" ht="22.5" customHeight="1">
      <c r="B3979" s="42">
        <f t="shared" si="7"/>
        <v>3973</v>
      </c>
      <c r="C3979" s="31" t="s">
        <v>4020</v>
      </c>
      <c r="D3979" s="34" t="str">
        <f t="array" ref="D3979">IFNA(_xlfn.XLOOKUP(C3979,Table_Tarikan_Warkah[Nomor Sertipikat],Table_Tarikan_Warkah[Nomor Tiket]),"")</f>
        <v>K/36/120925/1</v>
      </c>
      <c r="E3979" s="36" t="str">
        <f t="array" ref="E3979">IFNA(_xlfn.XLOOKUP(D3979,Table_Tarikan_Warkah[Nomor Tiket],Table_Tarikan_Warkah[Tanggal diserahkan kepada Validator]),"")</f>
        <v/>
      </c>
      <c r="F3979" s="36" t="str">
        <f t="array" ref="F3979">IFNA(_xlfn.XLOOKUP(D3979,Table_Tarikan_Warkah[Nomor Tiket],Table_Tarikan_Warkah[Nama Petugas Warkah]),"")</f>
        <v/>
      </c>
      <c r="G3979" s="39" t="str">
        <f t="array" ref="G3979">IFNA(_xlfn.XLOOKUP(D3979,Table_Tarikan_Warkah[Nomor Tiket],Table_Tarikan_Warkah[Jenis Permohonan]),"")</f>
        <v>ROYA</v>
      </c>
      <c r="H3979" s="41" t="s">
        <v>2315</v>
      </c>
      <c r="I3979" s="49" t="s">
        <v>23</v>
      </c>
      <c r="J3979" s="36">
        <f t="shared" si="20"/>
        <v>45936.78331</v>
      </c>
      <c r="K3979" s="49" t="s">
        <v>2378</v>
      </c>
      <c r="L3979" s="49" t="s">
        <v>23</v>
      </c>
      <c r="M3979" s="36">
        <f t="shared" si="33"/>
        <v>45939.63105</v>
      </c>
      <c r="N3979" s="30" t="str">
        <f t="shared" si="34"/>
        <v>Selesai</v>
      </c>
      <c r="O3979" s="45">
        <f t="shared" si="23"/>
        <v>45939.63105</v>
      </c>
      <c r="P3979" s="47" t="b">
        <v>0</v>
      </c>
      <c r="Q3979" s="36" t="str">
        <f t="shared" si="35"/>
        <v/>
      </c>
      <c r="R3979" s="47" t="b">
        <v>0</v>
      </c>
      <c r="S3979" s="42" t="str">
        <f t="shared" si="28"/>
        <v/>
      </c>
      <c r="T3979" s="42"/>
    </row>
    <row r="3980" ht="22.5" customHeight="1">
      <c r="B3980" s="42">
        <f t="shared" si="7"/>
        <v>3974</v>
      </c>
      <c r="C3980" s="31" t="s">
        <v>4021</v>
      </c>
      <c r="D3980" s="34" t="str">
        <f t="array" ref="D3980">IFNA(_xlfn.XLOOKUP(C3980,Table_Tarikan_Warkah[Nomor Sertipikat],Table_Tarikan_Warkah[Nomor Tiket]),"")</f>
        <v>K/67/020925/1</v>
      </c>
      <c r="E3980" s="36" t="str">
        <f t="array" ref="E3980">IFNA(_xlfn.XLOOKUP(D3980,Table_Tarikan_Warkah[Nomor Tiket],Table_Tarikan_Warkah[Tanggal diserahkan kepada Validator]),"")</f>
        <v/>
      </c>
      <c r="F3980" s="36" t="str">
        <f t="array" ref="F3980">IFNA(_xlfn.XLOOKUP(D3980,Table_Tarikan_Warkah[Nomor Tiket],Table_Tarikan_Warkah[Nama Petugas Warkah]),"")</f>
        <v/>
      </c>
      <c r="G3980" s="39" t="str">
        <f t="array" ref="G3980">IFNA(_xlfn.XLOOKUP(D3980,Table_Tarikan_Warkah[Nomor Tiket],Table_Tarikan_Warkah[Jenis Permohonan]),"")</f>
        <v>BN WARIS</v>
      </c>
      <c r="H3980" s="41" t="s">
        <v>2315</v>
      </c>
      <c r="I3980" s="49" t="s">
        <v>23</v>
      </c>
      <c r="J3980" s="36">
        <f t="shared" si="20"/>
        <v>45936.78391</v>
      </c>
      <c r="K3980" s="49" t="s">
        <v>2378</v>
      </c>
      <c r="L3980" s="49" t="s">
        <v>23</v>
      </c>
      <c r="M3980" s="36">
        <f t="shared" si="33"/>
        <v>45938.69449</v>
      </c>
      <c r="N3980" s="30" t="str">
        <f t="shared" si="34"/>
        <v>Selesai</v>
      </c>
      <c r="O3980" s="45">
        <f t="shared" si="23"/>
        <v>45938.69449</v>
      </c>
      <c r="P3980" s="47" t="b">
        <v>0</v>
      </c>
      <c r="Q3980" s="36" t="str">
        <f t="shared" si="35"/>
        <v/>
      </c>
      <c r="R3980" s="47" t="b">
        <v>0</v>
      </c>
      <c r="S3980" s="42" t="str">
        <f t="shared" si="28"/>
        <v/>
      </c>
      <c r="T3980" s="42"/>
    </row>
    <row r="3981" ht="22.5" customHeight="1">
      <c r="B3981" s="42">
        <f t="shared" si="7"/>
        <v>3975</v>
      </c>
      <c r="C3981" s="31" t="s">
        <v>4022</v>
      </c>
      <c r="D3981" s="34" t="str">
        <f t="array" ref="D3981">IFNA(_xlfn.XLOOKUP(C3981,Table_Tarikan_Warkah[Nomor Sertipikat],Table_Tarikan_Warkah[Nomor Tiket]),"")</f>
        <v>L/14/030725/2</v>
      </c>
      <c r="E3981" s="36" t="str">
        <f t="array" ref="E3981">IFNA(_xlfn.XLOOKUP(D3981,Table_Tarikan_Warkah[Nomor Tiket],Table_Tarikan_Warkah[Tanggal diserahkan kepada Validator]),"")</f>
        <v/>
      </c>
      <c r="F3981" s="36" t="str">
        <f t="array" ref="F3981">IFNA(_xlfn.XLOOKUP(D3981,Table_Tarikan_Warkah[Nomor Tiket],Table_Tarikan_Warkah[Nama Petugas Warkah]),"")</f>
        <v/>
      </c>
      <c r="G3981" s="39" t="str">
        <f t="array" ref="G3981">IFNA(_xlfn.XLOOKUP(D3981,Table_Tarikan_Warkah[Nomor Tiket],Table_Tarikan_Warkah[Jenis Permohonan]),"")</f>
        <v>BN WARIS</v>
      </c>
      <c r="H3981" s="41" t="s">
        <v>2315</v>
      </c>
      <c r="I3981" s="49" t="s">
        <v>23</v>
      </c>
      <c r="J3981" s="36">
        <f t="shared" si="20"/>
        <v>45936.7842</v>
      </c>
      <c r="K3981" s="49" t="s">
        <v>2378</v>
      </c>
      <c r="L3981" s="49" t="s">
        <v>23</v>
      </c>
      <c r="M3981" s="36">
        <f t="shared" si="33"/>
        <v>45939.6312</v>
      </c>
      <c r="N3981" s="30" t="str">
        <f t="shared" si="34"/>
        <v>Selesai</v>
      </c>
      <c r="O3981" s="45">
        <f t="shared" si="23"/>
        <v>45939.6312</v>
      </c>
      <c r="P3981" s="47" t="b">
        <v>0</v>
      </c>
      <c r="Q3981" s="36" t="str">
        <f t="shared" si="35"/>
        <v/>
      </c>
      <c r="R3981" s="47" t="b">
        <v>0</v>
      </c>
      <c r="S3981" s="42" t="str">
        <f t="shared" si="28"/>
        <v/>
      </c>
      <c r="T3981" s="42"/>
    </row>
    <row r="3982" ht="22.5" customHeight="1">
      <c r="B3982" s="42">
        <f t="shared" si="7"/>
        <v>3976</v>
      </c>
      <c r="C3982" s="31" t="s">
        <v>4023</v>
      </c>
      <c r="D3982" s="34" t="str">
        <f t="array" ref="D3982">IFNA(_xlfn.XLOOKUP(C3982,Table_Tarikan_Warkah[Nomor Sertipikat],Table_Tarikan_Warkah[Nomor Tiket]),"")</f>
        <v>K/21/110825/2</v>
      </c>
      <c r="E3982" s="36" t="str">
        <f t="array" ref="E3982">IFNA(_xlfn.XLOOKUP(D3982,Table_Tarikan_Warkah[Nomor Tiket],Table_Tarikan_Warkah[Tanggal diserahkan kepada Validator]),"")</f>
        <v/>
      </c>
      <c r="F3982" s="36" t="str">
        <f t="array" ref="F3982">IFNA(_xlfn.XLOOKUP(D3982,Table_Tarikan_Warkah[Nomor Tiket],Table_Tarikan_Warkah[Nama Petugas Warkah]),"")</f>
        <v/>
      </c>
      <c r="G3982" s="39" t="str">
        <f t="array" ref="G3982">IFNA(_xlfn.XLOOKUP(D3982,Table_Tarikan_Warkah[Nomor Tiket],Table_Tarikan_Warkah[Jenis Permohonan]),"")</f>
        <v>BN Pewarisan</v>
      </c>
      <c r="H3982" s="41" t="s">
        <v>2315</v>
      </c>
      <c r="I3982" s="49" t="s">
        <v>23</v>
      </c>
      <c r="J3982" s="36">
        <f t="shared" si="20"/>
        <v>45936.78487</v>
      </c>
      <c r="K3982" s="49" t="s">
        <v>2378</v>
      </c>
      <c r="L3982" s="49" t="s">
        <v>23</v>
      </c>
      <c r="M3982" s="36">
        <f t="shared" si="33"/>
        <v>45939.62975</v>
      </c>
      <c r="N3982" s="30" t="str">
        <f t="shared" si="34"/>
        <v>Selesai</v>
      </c>
      <c r="O3982" s="45">
        <f t="shared" si="23"/>
        <v>45939.62975</v>
      </c>
      <c r="P3982" s="47" t="b">
        <v>0</v>
      </c>
      <c r="Q3982" s="36" t="str">
        <f t="shared" si="35"/>
        <v/>
      </c>
      <c r="R3982" s="47" t="b">
        <v>0</v>
      </c>
      <c r="S3982" s="42" t="str">
        <f t="shared" si="28"/>
        <v/>
      </c>
      <c r="T3982" s="42"/>
    </row>
    <row r="3983" ht="22.5" customHeight="1">
      <c r="B3983" s="42">
        <f t="shared" si="7"/>
        <v>3977</v>
      </c>
      <c r="C3983" s="31" t="s">
        <v>4024</v>
      </c>
      <c r="D3983" s="34" t="str">
        <f t="array" ref="D3983">IFNA(_xlfn.XLOOKUP(C3983,Table_Tarikan_Warkah[Nomor Sertipikat],Table_Tarikan_Warkah[Nomor Tiket]),"")</f>
        <v>L/12/300925/1</v>
      </c>
      <c r="E3983" s="36">
        <f t="array" ref="E3983">IFNA(_xlfn.XLOOKUP(D3983,Table_Tarikan_Warkah[Nomor Tiket],Table_Tarikan_Warkah[Tanggal diserahkan kepada Validator]),"")</f>
        <v>45972.63032</v>
      </c>
      <c r="F3983" s="36" t="str">
        <f t="array" ref="F3983">IFNA(_xlfn.XLOOKUP(D3983,Table_Tarikan_Warkah[Nomor Tiket],Table_Tarikan_Warkah[Nama Petugas Warkah]),"")</f>
        <v>Berry</v>
      </c>
      <c r="G3983" s="39" t="str">
        <f t="array" ref="G3983">IFNA(_xlfn.XLOOKUP(D3983,Table_Tarikan_Warkah[Nomor Tiket],Table_Tarikan_Warkah[Jenis Permohonan]),"")</f>
        <v>ROYA</v>
      </c>
      <c r="H3983" s="41" t="s">
        <v>2315</v>
      </c>
      <c r="I3983" s="49" t="s">
        <v>23</v>
      </c>
      <c r="J3983" s="36">
        <f t="shared" si="20"/>
        <v>45936.785</v>
      </c>
      <c r="K3983" s="49" t="s">
        <v>2378</v>
      </c>
      <c r="L3983" s="49" t="s">
        <v>23</v>
      </c>
      <c r="M3983" s="36">
        <f t="shared" si="33"/>
        <v>45939.63192</v>
      </c>
      <c r="N3983" s="30" t="str">
        <f t="shared" si="34"/>
        <v>Selesai</v>
      </c>
      <c r="O3983" s="45">
        <f t="shared" si="23"/>
        <v>45939.63192</v>
      </c>
      <c r="P3983" s="47" t="b">
        <v>0</v>
      </c>
      <c r="Q3983" s="36" t="str">
        <f t="shared" si="35"/>
        <v/>
      </c>
      <c r="R3983" s="47" t="b">
        <v>0</v>
      </c>
      <c r="S3983" s="42" t="str">
        <f t="shared" si="28"/>
        <v/>
      </c>
      <c r="T3983" s="42"/>
    </row>
    <row r="3984" ht="22.5" customHeight="1">
      <c r="B3984" s="42">
        <f t="shared" si="7"/>
        <v>3978</v>
      </c>
      <c r="C3984" s="31" t="s">
        <v>4025</v>
      </c>
      <c r="D3984" s="34" t="str">
        <f t="array" ref="D3984">IFNA(_xlfn.XLOOKUP(C3984,Table_Tarikan_Warkah[Nomor Sertipikat],Table_Tarikan_Warkah[Nomor Tiket]),"")</f>
        <v>K/5/120925/1</v>
      </c>
      <c r="E3984" s="36" t="str">
        <f t="array" ref="E3984">IFNA(_xlfn.XLOOKUP(D3984,Table_Tarikan_Warkah[Nomor Tiket],Table_Tarikan_Warkah[Tanggal diserahkan kepada Validator]),"")</f>
        <v/>
      </c>
      <c r="F3984" s="36" t="str">
        <f t="array" ref="F3984">IFNA(_xlfn.XLOOKUP(D3984,Table_Tarikan_Warkah[Nomor Tiket],Table_Tarikan_Warkah[Nama Petugas Warkah]),"")</f>
        <v/>
      </c>
      <c r="G3984" s="39" t="str">
        <f t="array" ref="G3984">IFNA(_xlfn.XLOOKUP(D3984,Table_Tarikan_Warkah[Nomor Tiket],Table_Tarikan_Warkah[Jenis Permohonan]),"")</f>
        <v>BN JUAL BELI EL</v>
      </c>
      <c r="H3984" s="41" t="s">
        <v>2315</v>
      </c>
      <c r="I3984" s="49" t="s">
        <v>23</v>
      </c>
      <c r="J3984" s="36">
        <f t="shared" si="20"/>
        <v>45936.78786</v>
      </c>
      <c r="K3984" s="49" t="s">
        <v>2378</v>
      </c>
      <c r="L3984" s="49" t="s">
        <v>23</v>
      </c>
      <c r="M3984" s="36">
        <f t="shared" si="33"/>
        <v>45938.69382</v>
      </c>
      <c r="N3984" s="30" t="str">
        <f t="shared" si="34"/>
        <v>Selesai</v>
      </c>
      <c r="O3984" s="45">
        <f t="shared" si="23"/>
        <v>45938.69382</v>
      </c>
      <c r="P3984" s="47" t="b">
        <v>0</v>
      </c>
      <c r="Q3984" s="36" t="str">
        <f t="shared" si="35"/>
        <v/>
      </c>
      <c r="R3984" s="47" t="b">
        <v>0</v>
      </c>
      <c r="S3984" s="42" t="str">
        <f t="shared" si="28"/>
        <v/>
      </c>
      <c r="T3984" s="42"/>
    </row>
    <row r="3985" ht="22.5" customHeight="1">
      <c r="B3985" s="42">
        <f t="shared" si="7"/>
        <v>3979</v>
      </c>
      <c r="C3985" s="31" t="s">
        <v>4026</v>
      </c>
      <c r="D3985" s="34" t="str">
        <f t="array" ref="D3985">IFNA(_xlfn.XLOOKUP(C3985,Table_Tarikan_Warkah[Nomor Sertipikat],Table_Tarikan_Warkah[Nomor Tiket]),"")</f>
        <v>K/18/160925/1</v>
      </c>
      <c r="E3985" s="36" t="str">
        <f t="array" ref="E3985">IFNA(_xlfn.XLOOKUP(D3985,Table_Tarikan_Warkah[Nomor Tiket],Table_Tarikan_Warkah[Tanggal diserahkan kepada Validator]),"")</f>
        <v/>
      </c>
      <c r="F3985" s="36" t="str">
        <f t="array" ref="F3985">IFNA(_xlfn.XLOOKUP(D3985,Table_Tarikan_Warkah[Nomor Tiket],Table_Tarikan_Warkah[Nama Petugas Warkah]),"")</f>
        <v/>
      </c>
      <c r="G3985" s="39" t="str">
        <f t="array" ref="G3985">IFNA(_xlfn.XLOOKUP(D3985,Table_Tarikan_Warkah[Nomor Tiket],Table_Tarikan_Warkah[Jenis Permohonan]),"")</f>
        <v>BN WARIS</v>
      </c>
      <c r="H3985" s="41" t="s">
        <v>2315</v>
      </c>
      <c r="I3985" s="49" t="s">
        <v>23</v>
      </c>
      <c r="J3985" s="36">
        <f t="shared" si="20"/>
        <v>45936.788</v>
      </c>
      <c r="K3985" s="49" t="s">
        <v>2378</v>
      </c>
      <c r="L3985" s="49" t="s">
        <v>23</v>
      </c>
      <c r="M3985" s="36">
        <f t="shared" si="33"/>
        <v>45939.64798</v>
      </c>
      <c r="N3985" s="30" t="str">
        <f t="shared" si="34"/>
        <v>Selesai</v>
      </c>
      <c r="O3985" s="45">
        <f t="shared" si="23"/>
        <v>45939.64798</v>
      </c>
      <c r="P3985" s="47" t="b">
        <v>0</v>
      </c>
      <c r="Q3985" s="36" t="str">
        <f t="shared" si="35"/>
        <v/>
      </c>
      <c r="R3985" s="47" t="b">
        <v>0</v>
      </c>
      <c r="S3985" s="42" t="str">
        <f t="shared" si="28"/>
        <v/>
      </c>
      <c r="T3985" s="42"/>
    </row>
    <row r="3986" ht="22.5" customHeight="1">
      <c r="B3986" s="42">
        <f t="shared" si="7"/>
        <v>3980</v>
      </c>
      <c r="C3986" s="31" t="s">
        <v>4027</v>
      </c>
      <c r="D3986" s="34" t="str">
        <f t="array" ref="D3986">IFNA(_xlfn.XLOOKUP(C3986,Table_Tarikan_Warkah[Nomor Sertipikat],Table_Tarikan_Warkah[Nomor Tiket]),"")</f>
        <v>K/35/160925/1</v>
      </c>
      <c r="E3986" s="36">
        <f t="array" ref="E3986">IFNA(_xlfn.XLOOKUP(D3986,Table_Tarikan_Warkah[Nomor Tiket],Table_Tarikan_Warkah[Tanggal diserahkan kepada Validator]),"")</f>
        <v>45957.61952</v>
      </c>
      <c r="F3986" s="36" t="str">
        <f t="array" ref="F3986">IFNA(_xlfn.XLOOKUP(D3986,Table_Tarikan_Warkah[Nomor Tiket],Table_Tarikan_Warkah[Nama Petugas Warkah]),"")</f>
        <v>David</v>
      </c>
      <c r="G3986" s="39" t="str">
        <f t="array" ref="G3986">IFNA(_xlfn.XLOOKUP(D3986,Table_Tarikan_Warkah[Nomor Tiket],Table_Tarikan_Warkah[Jenis Permohonan]),"")</f>
        <v>BN WARIS</v>
      </c>
      <c r="H3986" s="41" t="s">
        <v>2315</v>
      </c>
      <c r="I3986" s="49" t="s">
        <v>23</v>
      </c>
      <c r="J3986" s="36">
        <f t="shared" si="20"/>
        <v>45936.78836</v>
      </c>
      <c r="K3986" s="49" t="s">
        <v>2378</v>
      </c>
      <c r="L3986" s="49" t="s">
        <v>23</v>
      </c>
      <c r="M3986" s="36">
        <f t="shared" si="33"/>
        <v>45939.63398</v>
      </c>
      <c r="N3986" s="30" t="str">
        <f t="shared" si="34"/>
        <v>Selesai</v>
      </c>
      <c r="O3986" s="45">
        <f t="shared" si="23"/>
        <v>45939.63398</v>
      </c>
      <c r="P3986" s="47" t="b">
        <v>0</v>
      </c>
      <c r="Q3986" s="36" t="str">
        <f t="shared" si="35"/>
        <v/>
      </c>
      <c r="R3986" s="47" t="b">
        <v>0</v>
      </c>
      <c r="S3986" s="42" t="str">
        <f t="shared" si="28"/>
        <v/>
      </c>
      <c r="T3986" s="42"/>
    </row>
    <row r="3987" ht="22.5" customHeight="1">
      <c r="B3987" s="42">
        <f t="shared" si="7"/>
        <v>3981</v>
      </c>
      <c r="C3987" s="31" t="s">
        <v>4028</v>
      </c>
      <c r="D3987" s="34" t="str">
        <f t="array" ref="D3987">IFNA(_xlfn.XLOOKUP(C3987,Table_Tarikan_Warkah[Nomor Sertipikat],Table_Tarikan_Warkah[Nomor Tiket]),"")</f>
        <v>K/21/300925/1</v>
      </c>
      <c r="E3987" s="36" t="str">
        <f t="array" ref="E3987">IFNA(_xlfn.XLOOKUP(D3987,Table_Tarikan_Warkah[Nomor Tiket],Table_Tarikan_Warkah[Tanggal diserahkan kepada Validator]),"")</f>
        <v/>
      </c>
      <c r="F3987" s="36" t="str">
        <f t="array" ref="F3987">IFNA(_xlfn.XLOOKUP(D3987,Table_Tarikan_Warkah[Nomor Tiket],Table_Tarikan_Warkah[Nama Petugas Warkah]),"")</f>
        <v/>
      </c>
      <c r="G3987" s="39" t="str">
        <f t="array" ref="G3987">IFNA(_xlfn.XLOOKUP(D3987,Table_Tarikan_Warkah[Nomor Tiket],Table_Tarikan_Warkah[Jenis Permohonan]),"")</f>
        <v>ROYA</v>
      </c>
      <c r="H3987" s="41" t="s">
        <v>2315</v>
      </c>
      <c r="I3987" s="49" t="s">
        <v>23</v>
      </c>
      <c r="J3987" s="36">
        <f t="shared" si="20"/>
        <v>45937.78885</v>
      </c>
      <c r="K3987" s="49" t="s">
        <v>2378</v>
      </c>
      <c r="L3987" s="49" t="s">
        <v>23</v>
      </c>
      <c r="M3987" s="36">
        <f t="shared" si="33"/>
        <v>45938.6931</v>
      </c>
      <c r="N3987" s="30" t="str">
        <f t="shared" si="34"/>
        <v>Selesai</v>
      </c>
      <c r="O3987" s="45">
        <f t="shared" si="23"/>
        <v>45938.6931</v>
      </c>
      <c r="P3987" s="47" t="b">
        <v>0</v>
      </c>
      <c r="Q3987" s="36" t="str">
        <f t="shared" si="35"/>
        <v/>
      </c>
      <c r="R3987" s="47" t="b">
        <v>0</v>
      </c>
      <c r="S3987" s="42" t="str">
        <f t="shared" si="28"/>
        <v/>
      </c>
      <c r="T3987" s="42"/>
    </row>
    <row r="3988" ht="22.5" customHeight="1">
      <c r="B3988" s="42">
        <f t="shared" si="7"/>
        <v>3982</v>
      </c>
      <c r="C3988" s="31" t="s">
        <v>4029</v>
      </c>
      <c r="D3988" s="34" t="str">
        <f t="array" ref="D3988">IFNA(_xlfn.XLOOKUP(C3988,Table_Tarikan_Warkah[Nomor Sertipikat],Table_Tarikan_Warkah[Nomor Tiket]),"")</f>
        <v>K/23/120925/2</v>
      </c>
      <c r="E3988" s="36" t="str">
        <f t="array" ref="E3988">IFNA(_xlfn.XLOOKUP(D3988,Table_Tarikan_Warkah[Nomor Tiket],Table_Tarikan_Warkah[Tanggal diserahkan kepada Validator]),"")</f>
        <v/>
      </c>
      <c r="F3988" s="36" t="str">
        <f t="array" ref="F3988">IFNA(_xlfn.XLOOKUP(D3988,Table_Tarikan_Warkah[Nomor Tiket],Table_Tarikan_Warkah[Nama Petugas Warkah]),"")</f>
        <v/>
      </c>
      <c r="G3988" s="39" t="str">
        <f t="array" ref="G3988">IFNA(_xlfn.XLOOKUP(D3988,Table_Tarikan_Warkah[Nomor Tiket],Table_Tarikan_Warkah[Jenis Permohonan]),"")</f>
        <v>BN JUAL BELI</v>
      </c>
      <c r="H3988" s="41" t="s">
        <v>2315</v>
      </c>
      <c r="I3988" s="49" t="s">
        <v>23</v>
      </c>
      <c r="J3988" s="36">
        <f t="shared" si="20"/>
        <v>45937.78898</v>
      </c>
      <c r="K3988" s="49" t="s">
        <v>2378</v>
      </c>
      <c r="L3988" s="49" t="s">
        <v>23</v>
      </c>
      <c r="M3988" s="36">
        <f t="shared" si="33"/>
        <v>45938.69291</v>
      </c>
      <c r="N3988" s="30" t="str">
        <f t="shared" si="34"/>
        <v>Selesai</v>
      </c>
      <c r="O3988" s="45">
        <f t="shared" si="23"/>
        <v>45938.69291</v>
      </c>
      <c r="P3988" s="47" t="b">
        <v>0</v>
      </c>
      <c r="Q3988" s="36" t="str">
        <f t="shared" si="35"/>
        <v/>
      </c>
      <c r="R3988" s="47" t="b">
        <v>0</v>
      </c>
      <c r="S3988" s="42" t="str">
        <f t="shared" si="28"/>
        <v/>
      </c>
      <c r="T3988" s="42"/>
    </row>
    <row r="3989" ht="22.5" customHeight="1">
      <c r="B3989" s="42">
        <f t="shared" si="7"/>
        <v>3983</v>
      </c>
      <c r="C3989" s="31" t="s">
        <v>4030</v>
      </c>
      <c r="D3989" s="34" t="str">
        <f t="array" ref="D3989">IFNA(_xlfn.XLOOKUP(C3989,Table_Tarikan_Warkah[Nomor Sertipikat],Table_Tarikan_Warkah[Nomor Tiket]),"")</f>
        <v>K/16/110825/1</v>
      </c>
      <c r="E3989" s="36" t="str">
        <f t="array" ref="E3989">IFNA(_xlfn.XLOOKUP(D3989,Table_Tarikan_Warkah[Nomor Tiket],Table_Tarikan_Warkah[Tanggal diserahkan kepada Validator]),"")</f>
        <v/>
      </c>
      <c r="F3989" s="36" t="str">
        <f t="array" ref="F3989">IFNA(_xlfn.XLOOKUP(D3989,Table_Tarikan_Warkah[Nomor Tiket],Table_Tarikan_Warkah[Nama Petugas Warkah]),"")</f>
        <v/>
      </c>
      <c r="G3989" s="39" t="str">
        <f t="array" ref="G3989">IFNA(_xlfn.XLOOKUP(D3989,Table_Tarikan_Warkah[Nomor Tiket],Table_Tarikan_Warkah[Jenis Permohonan]),"")</f>
        <v>BN Pewarisan </v>
      </c>
      <c r="H3989" s="41" t="s">
        <v>2315</v>
      </c>
      <c r="I3989" s="49" t="s">
        <v>23</v>
      </c>
      <c r="J3989" s="36">
        <f t="shared" si="20"/>
        <v>45937.78911</v>
      </c>
      <c r="K3989" s="49" t="s">
        <v>2378</v>
      </c>
      <c r="L3989" s="49" t="s">
        <v>23</v>
      </c>
      <c r="M3989" s="36">
        <f t="shared" si="33"/>
        <v>45939.63387</v>
      </c>
      <c r="N3989" s="30" t="str">
        <f t="shared" si="34"/>
        <v>Selesai</v>
      </c>
      <c r="O3989" s="45">
        <f t="shared" si="23"/>
        <v>45939.63387</v>
      </c>
      <c r="P3989" s="47" t="b">
        <v>0</v>
      </c>
      <c r="Q3989" s="36" t="str">
        <f t="shared" si="35"/>
        <v/>
      </c>
      <c r="R3989" s="47" t="b">
        <v>0</v>
      </c>
      <c r="S3989" s="42" t="str">
        <f t="shared" si="28"/>
        <v/>
      </c>
      <c r="T3989" s="42"/>
    </row>
    <row r="3990" ht="22.5" customHeight="1">
      <c r="B3990" s="42">
        <f t="shared" si="7"/>
        <v>3984</v>
      </c>
      <c r="C3990" s="31" t="s">
        <v>4031</v>
      </c>
      <c r="D3990" s="34" t="str">
        <f t="array" ref="D3990">IFNA(_xlfn.XLOOKUP(C3990,Table_Tarikan_Warkah[Nomor Sertipikat],Table_Tarikan_Warkah[Nomor Tiket]),"")</f>
        <v>K/34/260925/1</v>
      </c>
      <c r="E3990" s="36" t="str">
        <f t="array" ref="E3990">IFNA(_xlfn.XLOOKUP(D3990,Table_Tarikan_Warkah[Nomor Tiket],Table_Tarikan_Warkah[Tanggal diserahkan kepada Validator]),"")</f>
        <v/>
      </c>
      <c r="F3990" s="36" t="str">
        <f t="array" ref="F3990">IFNA(_xlfn.XLOOKUP(D3990,Table_Tarikan_Warkah[Nomor Tiket],Table_Tarikan_Warkah[Nama Petugas Warkah]),"")</f>
        <v/>
      </c>
      <c r="G3990" s="39" t="str">
        <f t="array" ref="G3990">IFNA(_xlfn.XLOOKUP(D3990,Table_Tarikan_Warkah[Nomor Tiket],Table_Tarikan_Warkah[Jenis Permohonan]),"")</f>
        <v>Roya	</v>
      </c>
      <c r="H3990" s="41" t="s">
        <v>2315</v>
      </c>
      <c r="I3990" s="49" t="s">
        <v>23</v>
      </c>
      <c r="J3990" s="36">
        <f t="shared" si="20"/>
        <v>45937.78924</v>
      </c>
      <c r="K3990" s="49" t="s">
        <v>2378</v>
      </c>
      <c r="L3990" s="49" t="s">
        <v>23</v>
      </c>
      <c r="M3990" s="36">
        <f t="shared" si="33"/>
        <v>45939.63559</v>
      </c>
      <c r="N3990" s="30" t="str">
        <f t="shared" si="34"/>
        <v>Selesai</v>
      </c>
      <c r="O3990" s="45">
        <f t="shared" si="23"/>
        <v>45939.63559</v>
      </c>
      <c r="P3990" s="47" t="b">
        <v>0</v>
      </c>
      <c r="Q3990" s="36" t="str">
        <f t="shared" si="35"/>
        <v/>
      </c>
      <c r="R3990" s="47" t="b">
        <v>0</v>
      </c>
      <c r="S3990" s="42" t="str">
        <f t="shared" si="28"/>
        <v/>
      </c>
      <c r="T3990" s="42"/>
    </row>
    <row r="3991" ht="22.5" customHeight="1">
      <c r="B3991" s="42">
        <f t="shared" si="7"/>
        <v>3985</v>
      </c>
      <c r="C3991" s="31" t="s">
        <v>4032</v>
      </c>
      <c r="D3991" s="34" t="str">
        <f t="array" ref="D3991">IFNA(_xlfn.XLOOKUP(C3991,Table_Tarikan_Warkah[Nomor Sertipikat],Table_Tarikan_Warkah[Nomor Tiket]),"")</f>
        <v>K/24/190925/1</v>
      </c>
      <c r="E3991" s="36">
        <f t="array" ref="E3991">IFNA(_xlfn.XLOOKUP(D3991,Table_Tarikan_Warkah[Nomor Tiket],Table_Tarikan_Warkah[Tanggal diserahkan kepada Validator]),"")</f>
        <v>45993.58815</v>
      </c>
      <c r="F3991" s="36" t="str">
        <f t="array" ref="F3991">IFNA(_xlfn.XLOOKUP(D3991,Table_Tarikan_Warkah[Nomor Tiket],Table_Tarikan_Warkah[Nama Petugas Warkah]),"")</f>
        <v>David</v>
      </c>
      <c r="G3991" s="39" t="str">
        <f t="array" ref="G3991">IFNA(_xlfn.XLOOKUP(D3991,Table_Tarikan_Warkah[Nomor Tiket],Table_Tarikan_Warkah[Jenis Permohonan]),"")</f>
        <v>ROYA</v>
      </c>
      <c r="H3991" s="41" t="s">
        <v>2315</v>
      </c>
      <c r="I3991" s="49" t="s">
        <v>23</v>
      </c>
      <c r="J3991" s="36">
        <f t="shared" si="20"/>
        <v>45937.78939</v>
      </c>
      <c r="K3991" s="49" t="s">
        <v>2378</v>
      </c>
      <c r="L3991" s="49" t="s">
        <v>23</v>
      </c>
      <c r="M3991" s="36">
        <f t="shared" si="33"/>
        <v>45939.63778</v>
      </c>
      <c r="N3991" s="30" t="str">
        <f t="shared" si="34"/>
        <v>Selesai</v>
      </c>
      <c r="O3991" s="45">
        <f t="shared" si="23"/>
        <v>45939.63778</v>
      </c>
      <c r="P3991" s="47" t="b">
        <v>0</v>
      </c>
      <c r="Q3991" s="36" t="str">
        <f t="shared" si="35"/>
        <v/>
      </c>
      <c r="R3991" s="47" t="b">
        <v>0</v>
      </c>
      <c r="S3991" s="42" t="str">
        <f t="shared" si="28"/>
        <v/>
      </c>
      <c r="T3991" s="42"/>
    </row>
    <row r="3992" ht="22.5" customHeight="1">
      <c r="B3992" s="42">
        <f t="shared" si="7"/>
        <v>3986</v>
      </c>
      <c r="C3992" s="31" t="s">
        <v>4033</v>
      </c>
      <c r="D3992" s="34" t="str">
        <f t="array" ref="D3992">IFNA(_xlfn.XLOOKUP(C3992,Table_Tarikan_Warkah[Nomor Sertipikat],Table_Tarikan_Warkah[Nomor Tiket]),"")</f>
        <v>L/14/160925/1</v>
      </c>
      <c r="E3992" s="36" t="str">
        <f t="array" ref="E3992">IFNA(_xlfn.XLOOKUP(D3992,Table_Tarikan_Warkah[Nomor Tiket],Table_Tarikan_Warkah[Tanggal diserahkan kepada Validator]),"")</f>
        <v/>
      </c>
      <c r="F3992" s="36" t="str">
        <f t="array" ref="F3992">IFNA(_xlfn.XLOOKUP(D3992,Table_Tarikan_Warkah[Nomor Tiket],Table_Tarikan_Warkah[Nama Petugas Warkah]),"")</f>
        <v/>
      </c>
      <c r="G3992" s="39" t="str">
        <f t="array" ref="G3992">IFNA(_xlfn.XLOOKUP(D3992,Table_Tarikan_Warkah[Nomor Tiket],Table_Tarikan_Warkah[Jenis Permohonan]),"")</f>
        <v>ROYA</v>
      </c>
      <c r="H3992" s="41" t="s">
        <v>2315</v>
      </c>
      <c r="I3992" s="49" t="s">
        <v>23</v>
      </c>
      <c r="J3992" s="36">
        <f t="shared" si="20"/>
        <v>45937.78961</v>
      </c>
      <c r="K3992" s="49" t="s">
        <v>2378</v>
      </c>
      <c r="L3992" s="49" t="s">
        <v>23</v>
      </c>
      <c r="M3992" s="36">
        <f t="shared" si="33"/>
        <v>45938.69278</v>
      </c>
      <c r="N3992" s="30" t="str">
        <f t="shared" si="34"/>
        <v>Selesai</v>
      </c>
      <c r="O3992" s="45">
        <f t="shared" si="23"/>
        <v>45938.69278</v>
      </c>
      <c r="P3992" s="47" t="b">
        <v>0</v>
      </c>
      <c r="Q3992" s="36" t="str">
        <f t="shared" si="35"/>
        <v/>
      </c>
      <c r="R3992" s="47" t="b">
        <v>0</v>
      </c>
      <c r="S3992" s="42" t="str">
        <f t="shared" si="28"/>
        <v/>
      </c>
      <c r="T3992" s="42"/>
    </row>
    <row r="3993" ht="22.5" customHeight="1">
      <c r="B3993" s="42">
        <f t="shared" si="7"/>
        <v>3987</v>
      </c>
      <c r="C3993" s="31" t="s">
        <v>4034</v>
      </c>
      <c r="D3993" s="34" t="str">
        <f t="array" ref="D3993">IFNA(_xlfn.XLOOKUP(C3993,Table_Tarikan_Warkah[Nomor Sertipikat],Table_Tarikan_Warkah[Nomor Tiket]),"")</f>
        <v>L/3/090925/1</v>
      </c>
      <c r="E3993" s="36" t="str">
        <f t="array" ref="E3993">IFNA(_xlfn.XLOOKUP(D3993,Table_Tarikan_Warkah[Nomor Tiket],Table_Tarikan_Warkah[Tanggal diserahkan kepada Validator]),"")</f>
        <v/>
      </c>
      <c r="F3993" s="36" t="str">
        <f t="array" ref="F3993">IFNA(_xlfn.XLOOKUP(D3993,Table_Tarikan_Warkah[Nomor Tiket],Table_Tarikan_Warkah[Nama Petugas Warkah]),"")</f>
        <v/>
      </c>
      <c r="G3993" s="39" t="str">
        <f t="array" ref="G3993">IFNA(_xlfn.XLOOKUP(D3993,Table_Tarikan_Warkah[Nomor Tiket],Table_Tarikan_Warkah[Jenis Permohonan]),"")</f>
        <v>BN WARIS</v>
      </c>
      <c r="H3993" s="41" t="s">
        <v>2315</v>
      </c>
      <c r="I3993" s="49" t="s">
        <v>23</v>
      </c>
      <c r="J3993" s="36">
        <f t="shared" si="20"/>
        <v>45937.78975</v>
      </c>
      <c r="K3993" s="49" t="s">
        <v>2378</v>
      </c>
      <c r="L3993" s="49" t="s">
        <v>23</v>
      </c>
      <c r="M3993" s="36">
        <f t="shared" si="33"/>
        <v>45938.69268</v>
      </c>
      <c r="N3993" s="30" t="str">
        <f t="shared" si="34"/>
        <v>Selesai</v>
      </c>
      <c r="O3993" s="45">
        <f t="shared" si="23"/>
        <v>45938.69268</v>
      </c>
      <c r="P3993" s="47" t="b">
        <v>0</v>
      </c>
      <c r="Q3993" s="36" t="str">
        <f t="shared" si="35"/>
        <v/>
      </c>
      <c r="R3993" s="47" t="b">
        <v>0</v>
      </c>
      <c r="S3993" s="42" t="str">
        <f t="shared" si="28"/>
        <v/>
      </c>
      <c r="T3993" s="42"/>
    </row>
    <row r="3994" ht="22.5" customHeight="1">
      <c r="B3994" s="42">
        <f t="shared" si="7"/>
        <v>3988</v>
      </c>
      <c r="C3994" s="31" t="s">
        <v>4035</v>
      </c>
      <c r="D3994" s="34" t="str">
        <f t="array" ref="D3994">IFNA(_xlfn.XLOOKUP(C3994,Table_Tarikan_Warkah[Nomor Sertipikat],Table_Tarikan_Warkah[Nomor Tiket]),"")</f>
        <v>L/25/011025/1</v>
      </c>
      <c r="E3994" s="36">
        <f t="array" ref="E3994">IFNA(_xlfn.XLOOKUP(D3994,Table_Tarikan_Warkah[Nomor Tiket],Table_Tarikan_Warkah[Tanggal diserahkan kepada Validator]),"")</f>
        <v>45981.66924</v>
      </c>
      <c r="F3994" s="36" t="str">
        <f t="array" ref="F3994">IFNA(_xlfn.XLOOKUP(D3994,Table_Tarikan_Warkah[Nomor Tiket],Table_Tarikan_Warkah[Nama Petugas Warkah]),"")</f>
        <v>David</v>
      </c>
      <c r="G3994" s="39" t="str">
        <f t="array" ref="G3994">IFNA(_xlfn.XLOOKUP(D3994,Table_Tarikan_Warkah[Nomor Tiket],Table_Tarikan_Warkah[Jenis Permohonan]),"")</f>
        <v>ROYA</v>
      </c>
      <c r="H3994" s="41" t="s">
        <v>2315</v>
      </c>
      <c r="I3994" s="49" t="s">
        <v>23</v>
      </c>
      <c r="J3994" s="36">
        <f t="shared" si="20"/>
        <v>45937.78989</v>
      </c>
      <c r="K3994" s="49" t="s">
        <v>2378</v>
      </c>
      <c r="L3994" s="49" t="s">
        <v>23</v>
      </c>
      <c r="M3994" s="36">
        <f t="shared" si="33"/>
        <v>45939.63802</v>
      </c>
      <c r="N3994" s="30" t="str">
        <f t="shared" si="34"/>
        <v>Selesai</v>
      </c>
      <c r="O3994" s="45">
        <f t="shared" si="23"/>
        <v>45939.63802</v>
      </c>
      <c r="P3994" s="47" t="b">
        <v>0</v>
      </c>
      <c r="Q3994" s="36" t="str">
        <f t="shared" si="35"/>
        <v/>
      </c>
      <c r="R3994" s="47" t="b">
        <v>0</v>
      </c>
      <c r="S3994" s="42" t="str">
        <f t="shared" si="28"/>
        <v/>
      </c>
      <c r="T3994" s="42"/>
    </row>
    <row r="3995" ht="22.5" customHeight="1">
      <c r="B3995" s="42">
        <f t="shared" si="7"/>
        <v>3989</v>
      </c>
      <c r="C3995" s="31" t="s">
        <v>4036</v>
      </c>
      <c r="D3995" s="34" t="str">
        <f t="array" ref="D3995">IFNA(_xlfn.XLOOKUP(C3995,Table_Tarikan_Warkah[Nomor Sertipikat],Table_Tarikan_Warkah[Nomor Tiket]),"")</f>
        <v>L/23/011027/1</v>
      </c>
      <c r="E3995" s="36" t="str">
        <f t="array" ref="E3995">IFNA(_xlfn.XLOOKUP(D3995,Table_Tarikan_Warkah[Nomor Tiket],Table_Tarikan_Warkah[Tanggal diserahkan kepada Validator]),"")</f>
        <v/>
      </c>
      <c r="F3995" s="36" t="str">
        <f t="array" ref="F3995">IFNA(_xlfn.XLOOKUP(D3995,Table_Tarikan_Warkah[Nomor Tiket],Table_Tarikan_Warkah[Nama Petugas Warkah]),"")</f>
        <v/>
      </c>
      <c r="G3995" s="39" t="str">
        <f t="array" ref="G3995">IFNA(_xlfn.XLOOKUP(D3995,Table_Tarikan_Warkah[Nomor Tiket],Table_Tarikan_Warkah[Jenis Permohonan]),"")</f>
        <v>ROYA</v>
      </c>
      <c r="H3995" s="41" t="s">
        <v>2315</v>
      </c>
      <c r="I3995" s="49" t="s">
        <v>23</v>
      </c>
      <c r="J3995" s="36">
        <f t="shared" si="20"/>
        <v>45937.79003</v>
      </c>
      <c r="K3995" s="49" t="s">
        <v>2378</v>
      </c>
      <c r="L3995" s="49" t="s">
        <v>23</v>
      </c>
      <c r="M3995" s="36">
        <f t="shared" si="33"/>
        <v>45939.6382</v>
      </c>
      <c r="N3995" s="30" t="str">
        <f t="shared" si="34"/>
        <v>Selesai</v>
      </c>
      <c r="O3995" s="45">
        <f t="shared" si="23"/>
        <v>45939.6382</v>
      </c>
      <c r="P3995" s="47" t="b">
        <v>0</v>
      </c>
      <c r="Q3995" s="36" t="str">
        <f t="shared" si="35"/>
        <v/>
      </c>
      <c r="R3995" s="47" t="b">
        <v>0</v>
      </c>
      <c r="S3995" s="42" t="str">
        <f t="shared" si="28"/>
        <v/>
      </c>
      <c r="T3995" s="42"/>
    </row>
    <row r="3996" ht="22.5" customHeight="1">
      <c r="B3996" s="42">
        <f t="shared" si="7"/>
        <v>3990</v>
      </c>
      <c r="C3996" s="31" t="s">
        <v>4037</v>
      </c>
      <c r="D3996" s="34" t="str">
        <f t="array" ref="D3996">IFNA(_xlfn.XLOOKUP(C3996,Table_Tarikan_Warkah[Nomor Sertipikat],Table_Tarikan_Warkah[Nomor Tiket]),"")</f>
        <v>L/13/300925/1</v>
      </c>
      <c r="E3996" s="36">
        <f t="array" ref="E3996">IFNA(_xlfn.XLOOKUP(D3996,Table_Tarikan_Warkah[Nomor Tiket],Table_Tarikan_Warkah[Tanggal diserahkan kepada Validator]),"")</f>
        <v>45965.48094</v>
      </c>
      <c r="F3996" s="36" t="str">
        <f t="array" ref="F3996">IFNA(_xlfn.XLOOKUP(D3996,Table_Tarikan_Warkah[Nomor Tiket],Table_Tarikan_Warkah[Nama Petugas Warkah]),"")</f>
        <v>Berry</v>
      </c>
      <c r="G3996" s="39" t="str">
        <f t="array" ref="G3996">IFNA(_xlfn.XLOOKUP(D3996,Table_Tarikan_Warkah[Nomor Tiket],Table_Tarikan_Warkah[Jenis Permohonan]),"")</f>
        <v>PEMECAHAN</v>
      </c>
      <c r="H3996" s="41" t="s">
        <v>2315</v>
      </c>
      <c r="I3996" s="49" t="s">
        <v>23</v>
      </c>
      <c r="J3996" s="36">
        <f t="shared" si="20"/>
        <v>45937.79019</v>
      </c>
      <c r="K3996" s="49" t="s">
        <v>2378</v>
      </c>
      <c r="L3996" s="49" t="s">
        <v>23</v>
      </c>
      <c r="M3996" s="36">
        <f t="shared" si="33"/>
        <v>45938.69252</v>
      </c>
      <c r="N3996" s="30" t="str">
        <f t="shared" si="34"/>
        <v>Selesai</v>
      </c>
      <c r="O3996" s="45">
        <f t="shared" si="23"/>
        <v>45938.69252</v>
      </c>
      <c r="P3996" s="47" t="b">
        <v>0</v>
      </c>
      <c r="Q3996" s="36" t="str">
        <f t="shared" si="35"/>
        <v/>
      </c>
      <c r="R3996" s="47" t="b">
        <v>0</v>
      </c>
      <c r="S3996" s="42" t="str">
        <f t="shared" si="28"/>
        <v/>
      </c>
      <c r="T3996" s="42"/>
    </row>
    <row r="3997" ht="22.5" customHeight="1">
      <c r="B3997" s="42">
        <f t="shared" si="7"/>
        <v>3991</v>
      </c>
      <c r="C3997" s="31" t="s">
        <v>4038</v>
      </c>
      <c r="D3997" s="34" t="str">
        <f t="array" ref="D3997">IFNA(_xlfn.XLOOKUP(C3997,Table_Tarikan_Warkah[Nomor Sertipikat],Table_Tarikan_Warkah[Nomor Tiket]),"")</f>
        <v>L/14/300925/2</v>
      </c>
      <c r="E3997" s="36" t="str">
        <f t="array" ref="E3997">IFNA(_xlfn.XLOOKUP(D3997,Table_Tarikan_Warkah[Nomor Tiket],Table_Tarikan_Warkah[Tanggal diserahkan kepada Validator]),"")</f>
        <v/>
      </c>
      <c r="F3997" s="36" t="str">
        <f t="array" ref="F3997">IFNA(_xlfn.XLOOKUP(D3997,Table_Tarikan_Warkah[Nomor Tiket],Table_Tarikan_Warkah[Nama Petugas Warkah]),"")</f>
        <v/>
      </c>
      <c r="G3997" s="39" t="str">
        <f t="array" ref="G3997">IFNA(_xlfn.XLOOKUP(D3997,Table_Tarikan_Warkah[Nomor Tiket],Table_Tarikan_Warkah[Jenis Permohonan]),"")</f>
        <v>PEMECAHAN</v>
      </c>
      <c r="H3997" s="41" t="s">
        <v>2315</v>
      </c>
      <c r="I3997" s="49" t="s">
        <v>23</v>
      </c>
      <c r="J3997" s="36">
        <f t="shared" si="20"/>
        <v>45937.79033</v>
      </c>
      <c r="K3997" s="49" t="s">
        <v>2378</v>
      </c>
      <c r="L3997" s="49" t="s">
        <v>23</v>
      </c>
      <c r="M3997" s="36">
        <f t="shared" si="33"/>
        <v>45938.69241</v>
      </c>
      <c r="N3997" s="30" t="str">
        <f t="shared" si="34"/>
        <v>Selesai</v>
      </c>
      <c r="O3997" s="45">
        <f t="shared" si="23"/>
        <v>45938.69241</v>
      </c>
      <c r="P3997" s="47" t="b">
        <v>0</v>
      </c>
      <c r="Q3997" s="36" t="str">
        <f t="shared" si="35"/>
        <v/>
      </c>
      <c r="R3997" s="47" t="b">
        <v>0</v>
      </c>
      <c r="S3997" s="42" t="str">
        <f t="shared" si="28"/>
        <v/>
      </c>
      <c r="T3997" s="42"/>
    </row>
    <row r="3998" ht="22.5" customHeight="1">
      <c r="B3998" s="42">
        <f t="shared" si="7"/>
        <v>3992</v>
      </c>
      <c r="C3998" s="31" t="s">
        <v>4039</v>
      </c>
      <c r="D3998" s="34" t="str">
        <f t="array" ref="D3998">IFNA(_xlfn.XLOOKUP(C3998,Table_Tarikan_Warkah[Nomor Sertipikat],Table_Tarikan_Warkah[Nomor Tiket]),"")</f>
        <v>L/32/040925/1</v>
      </c>
      <c r="E3998" s="36" t="str">
        <f t="array" ref="E3998">IFNA(_xlfn.XLOOKUP(D3998,Table_Tarikan_Warkah[Nomor Tiket],Table_Tarikan_Warkah[Tanggal diserahkan kepada Validator]),"")</f>
        <v/>
      </c>
      <c r="F3998" s="36" t="str">
        <f t="array" ref="F3998">IFNA(_xlfn.XLOOKUP(D3998,Table_Tarikan_Warkah[Nomor Tiket],Table_Tarikan_Warkah[Nama Petugas Warkah]),"")</f>
        <v/>
      </c>
      <c r="G3998" s="39" t="str">
        <f t="array" ref="G3998">IFNA(_xlfn.XLOOKUP(D3998,Table_Tarikan_Warkah[Nomor Tiket],Table_Tarikan_Warkah[Jenis Permohonan]),"")</f>
        <v>ROYA</v>
      </c>
      <c r="H3998" s="41" t="s">
        <v>2315</v>
      </c>
      <c r="I3998" s="49" t="s">
        <v>23</v>
      </c>
      <c r="J3998" s="36">
        <f t="shared" si="20"/>
        <v>45937.79046</v>
      </c>
      <c r="K3998" s="49" t="s">
        <v>2378</v>
      </c>
      <c r="L3998" s="49" t="s">
        <v>23</v>
      </c>
      <c r="M3998" s="36">
        <f t="shared" si="33"/>
        <v>45939.63833</v>
      </c>
      <c r="N3998" s="30" t="str">
        <f t="shared" si="34"/>
        <v>Selesai</v>
      </c>
      <c r="O3998" s="45">
        <f t="shared" si="23"/>
        <v>45939.63833</v>
      </c>
      <c r="P3998" s="47" t="b">
        <v>0</v>
      </c>
      <c r="Q3998" s="36" t="str">
        <f t="shared" si="35"/>
        <v/>
      </c>
      <c r="R3998" s="47" t="b">
        <v>0</v>
      </c>
      <c r="S3998" s="42" t="str">
        <f t="shared" si="28"/>
        <v/>
      </c>
      <c r="T3998" s="42"/>
    </row>
    <row r="3999" ht="22.5" customHeight="1">
      <c r="B3999" s="42">
        <f t="shared" si="7"/>
        <v>3993</v>
      </c>
      <c r="C3999" s="31" t="s">
        <v>4040</v>
      </c>
      <c r="D3999" s="34" t="str">
        <f t="array" ref="D3999">IFNA(_xlfn.XLOOKUP(C3999,Table_Tarikan_Warkah[Nomor Sertipikat],Table_Tarikan_Warkah[Nomor Tiket]),"")</f>
        <v>L/13/260925/1</v>
      </c>
      <c r="E3999" s="36">
        <f t="array" ref="E3999">IFNA(_xlfn.XLOOKUP(D3999,Table_Tarikan_Warkah[Nomor Tiket],Table_Tarikan_Warkah[Tanggal diserahkan kepada Validator]),"")</f>
        <v>45945.67708</v>
      </c>
      <c r="F3999" s="36" t="str">
        <f t="array" ref="F3999">IFNA(_xlfn.XLOOKUP(D3999,Table_Tarikan_Warkah[Nomor Tiket],Table_Tarikan_Warkah[Nama Petugas Warkah]),"")</f>
        <v>Berry</v>
      </c>
      <c r="G3999" s="39" t="str">
        <f t="array" ref="G3999">IFNA(_xlfn.XLOOKUP(D3999,Table_Tarikan_Warkah[Nomor Tiket],Table_Tarikan_Warkah[Jenis Permohonan]),"")</f>
        <v>BN LELANG</v>
      </c>
      <c r="H3999" s="41" t="s">
        <v>2315</v>
      </c>
      <c r="I3999" s="49" t="s">
        <v>23</v>
      </c>
      <c r="J3999" s="36">
        <f t="shared" si="20"/>
        <v>45937.79071</v>
      </c>
      <c r="K3999" s="49" t="s">
        <v>2378</v>
      </c>
      <c r="L3999" s="49" t="s">
        <v>23</v>
      </c>
      <c r="M3999" s="36">
        <f t="shared" si="33"/>
        <v>45938.69224</v>
      </c>
      <c r="N3999" s="30" t="str">
        <f t="shared" si="34"/>
        <v>Selesai</v>
      </c>
      <c r="O3999" s="45">
        <f t="shared" si="23"/>
        <v>45938.69224</v>
      </c>
      <c r="P3999" s="47" t="b">
        <v>0</v>
      </c>
      <c r="Q3999" s="36" t="str">
        <f t="shared" si="35"/>
        <v/>
      </c>
      <c r="R3999" s="47" t="b">
        <v>0</v>
      </c>
      <c r="S3999" s="42" t="str">
        <f t="shared" si="28"/>
        <v/>
      </c>
      <c r="T3999" s="42"/>
    </row>
    <row r="4000" ht="22.5" customHeight="1">
      <c r="B4000" s="42">
        <f t="shared" si="7"/>
        <v>3994</v>
      </c>
      <c r="C4000" s="31" t="s">
        <v>4041</v>
      </c>
      <c r="D4000" s="34" t="str">
        <f t="array" ref="D4000">IFNA(_xlfn.XLOOKUP(C4000,Table_Tarikan_Warkah[Nomor Sertipikat],Table_Tarikan_Warkah[Nomor Tiket]),"")</f>
        <v>L/22/021025/1</v>
      </c>
      <c r="E4000" s="36" t="str">
        <f t="array" ref="E4000">IFNA(_xlfn.XLOOKUP(D4000,Table_Tarikan_Warkah[Nomor Tiket],Table_Tarikan_Warkah[Tanggal diserahkan kepada Validator]),"")</f>
        <v/>
      </c>
      <c r="F4000" s="36" t="str">
        <f t="array" ref="F4000">IFNA(_xlfn.XLOOKUP(D4000,Table_Tarikan_Warkah[Nomor Tiket],Table_Tarikan_Warkah[Nama Petugas Warkah]),"")</f>
        <v/>
      </c>
      <c r="G4000" s="39" t="str">
        <f t="array" ref="G4000">IFNA(_xlfn.XLOOKUP(D4000,Table_Tarikan_Warkah[Nomor Tiket],Table_Tarikan_Warkah[Jenis Permohonan]),"")</f>
        <v>PENINGKATAN HAK</v>
      </c>
      <c r="H4000" s="41" t="s">
        <v>2315</v>
      </c>
      <c r="I4000" s="49" t="s">
        <v>23</v>
      </c>
      <c r="J4000" s="36">
        <f t="shared" si="20"/>
        <v>45937.79087</v>
      </c>
      <c r="K4000" s="49" t="s">
        <v>2378</v>
      </c>
      <c r="L4000" s="49" t="s">
        <v>23</v>
      </c>
      <c r="M4000" s="36">
        <f t="shared" si="33"/>
        <v>45939.63262</v>
      </c>
      <c r="N4000" s="30" t="str">
        <f t="shared" si="34"/>
        <v>Selesai</v>
      </c>
      <c r="O4000" s="45">
        <f t="shared" si="23"/>
        <v>45939.63262</v>
      </c>
      <c r="P4000" s="47" t="b">
        <v>0</v>
      </c>
      <c r="Q4000" s="36" t="str">
        <f t="shared" si="35"/>
        <v/>
      </c>
      <c r="R4000" s="47" t="b">
        <v>0</v>
      </c>
      <c r="S4000" s="42" t="str">
        <f t="shared" si="28"/>
        <v/>
      </c>
      <c r="T4000" s="42"/>
    </row>
    <row r="4001" ht="22.5" customHeight="1">
      <c r="B4001" s="42">
        <f t="shared" si="7"/>
        <v>3995</v>
      </c>
      <c r="C4001" s="31" t="s">
        <v>4042</v>
      </c>
      <c r="D4001" s="34" t="str">
        <f t="array" ref="D4001">IFNA(_xlfn.XLOOKUP(C4001,Table_Tarikan_Warkah[Nomor Sertipikat],Table_Tarikan_Warkah[Nomor Tiket]),"")</f>
        <v>L/9/021025/1</v>
      </c>
      <c r="E4001" s="36" t="str">
        <f t="array" ref="E4001">IFNA(_xlfn.XLOOKUP(D4001,Table_Tarikan_Warkah[Nomor Tiket],Table_Tarikan_Warkah[Tanggal diserahkan kepada Validator]),"")</f>
        <v/>
      </c>
      <c r="F4001" s="36" t="str">
        <f t="array" ref="F4001">IFNA(_xlfn.XLOOKUP(D4001,Table_Tarikan_Warkah[Nomor Tiket],Table_Tarikan_Warkah[Nama Petugas Warkah]),"")</f>
        <v/>
      </c>
      <c r="G4001" s="39" t="str">
        <f t="array" ref="G4001">IFNA(_xlfn.XLOOKUP(D4001,Table_Tarikan_Warkah[Nomor Tiket],Table_Tarikan_Warkah[Jenis Permohonan]),"")</f>
        <v>PENINGKATAN HAK</v>
      </c>
      <c r="H4001" s="41" t="s">
        <v>2315</v>
      </c>
      <c r="I4001" s="49" t="s">
        <v>23</v>
      </c>
      <c r="J4001" s="36">
        <f t="shared" si="20"/>
        <v>45937.79103</v>
      </c>
      <c r="K4001" s="49" t="s">
        <v>2378</v>
      </c>
      <c r="L4001" s="49" t="s">
        <v>23</v>
      </c>
      <c r="M4001" s="36">
        <f t="shared" si="33"/>
        <v>45939.63846</v>
      </c>
      <c r="N4001" s="30" t="str">
        <f t="shared" si="34"/>
        <v>Selesai</v>
      </c>
      <c r="O4001" s="45">
        <f t="shared" si="23"/>
        <v>45939.63846</v>
      </c>
      <c r="P4001" s="47" t="b">
        <v>0</v>
      </c>
      <c r="Q4001" s="36" t="str">
        <f t="shared" si="35"/>
        <v/>
      </c>
      <c r="R4001" s="47" t="b">
        <v>0</v>
      </c>
      <c r="S4001" s="42" t="str">
        <f t="shared" si="28"/>
        <v/>
      </c>
      <c r="T4001" s="42"/>
    </row>
    <row r="4002" ht="22.5" customHeight="1">
      <c r="B4002" s="42">
        <f t="shared" si="7"/>
        <v>3996</v>
      </c>
      <c r="C4002" s="31" t="s">
        <v>4043</v>
      </c>
      <c r="D4002" s="34" t="str">
        <f t="array" ref="D4002">IFNA(_xlfn.XLOOKUP(C4002,Table_Tarikan_Warkah[Nomor Sertipikat],Table_Tarikan_Warkah[Nomor Tiket]),"")</f>
        <v>K/15/290925/2</v>
      </c>
      <c r="E4002" s="36" t="str">
        <f t="array" ref="E4002">IFNA(_xlfn.XLOOKUP(D4002,Table_Tarikan_Warkah[Nomor Tiket],Table_Tarikan_Warkah[Tanggal diserahkan kepada Validator]),"")</f>
        <v/>
      </c>
      <c r="F4002" s="36" t="str">
        <f t="array" ref="F4002">IFNA(_xlfn.XLOOKUP(D4002,Table_Tarikan_Warkah[Nomor Tiket],Table_Tarikan_Warkah[Nama Petugas Warkah]),"")</f>
        <v/>
      </c>
      <c r="G4002" s="39" t="str">
        <f t="array" ref="G4002">IFNA(_xlfn.XLOOKUP(D4002,Table_Tarikan_Warkah[Nomor Tiket],Table_Tarikan_Warkah[Jenis Permohonan]),"")</f>
        <v>ROYA</v>
      </c>
      <c r="H4002" s="41" t="s">
        <v>2315</v>
      </c>
      <c r="I4002" s="49" t="s">
        <v>23</v>
      </c>
      <c r="J4002" s="36">
        <f t="shared" si="20"/>
        <v>45937.79117</v>
      </c>
      <c r="K4002" s="49" t="s">
        <v>2378</v>
      </c>
      <c r="L4002" s="49" t="s">
        <v>23</v>
      </c>
      <c r="M4002" s="36">
        <f t="shared" si="33"/>
        <v>45939.63891</v>
      </c>
      <c r="N4002" s="30" t="str">
        <f t="shared" si="34"/>
        <v>Selesai</v>
      </c>
      <c r="O4002" s="45">
        <f t="shared" si="23"/>
        <v>45939.63891</v>
      </c>
      <c r="P4002" s="47" t="b">
        <v>0</v>
      </c>
      <c r="Q4002" s="36" t="str">
        <f t="shared" si="35"/>
        <v/>
      </c>
      <c r="R4002" s="47" t="b">
        <v>0</v>
      </c>
      <c r="S4002" s="42" t="str">
        <f t="shared" si="28"/>
        <v/>
      </c>
      <c r="T4002" s="42"/>
    </row>
    <row r="4003" ht="22.5" customHeight="1">
      <c r="B4003" s="42">
        <f t="shared" si="7"/>
        <v>3997</v>
      </c>
      <c r="C4003" s="31" t="s">
        <v>4044</v>
      </c>
      <c r="D4003" s="34" t="str">
        <f t="array" ref="D4003">IFNA(_xlfn.XLOOKUP(C4003,Table_Tarikan_Warkah[Nomor Sertipikat],Table_Tarikan_Warkah[Nomor Tiket]),"")</f>
        <v>K/19/180925/1</v>
      </c>
      <c r="E4003" s="36" t="str">
        <f t="array" ref="E4003">IFNA(_xlfn.XLOOKUP(D4003,Table_Tarikan_Warkah[Nomor Tiket],Table_Tarikan_Warkah[Tanggal diserahkan kepada Validator]),"")</f>
        <v/>
      </c>
      <c r="F4003" s="36" t="str">
        <f t="array" ref="F4003">IFNA(_xlfn.XLOOKUP(D4003,Table_Tarikan_Warkah[Nomor Tiket],Table_Tarikan_Warkah[Nama Petugas Warkah]),"")</f>
        <v/>
      </c>
      <c r="G4003" s="39" t="str">
        <f t="array" ref="G4003">IFNA(_xlfn.XLOOKUP(D4003,Table_Tarikan_Warkah[Nomor Tiket],Table_Tarikan_Warkah[Jenis Permohonan]),"")</f>
        <v>BN WARIS</v>
      </c>
      <c r="H4003" s="41" t="s">
        <v>2315</v>
      </c>
      <c r="I4003" s="49" t="s">
        <v>23</v>
      </c>
      <c r="J4003" s="36">
        <f t="shared" si="20"/>
        <v>45937.79133</v>
      </c>
      <c r="K4003" s="49" t="s">
        <v>2378</v>
      </c>
      <c r="L4003" s="49" t="s">
        <v>23</v>
      </c>
      <c r="M4003" s="36">
        <f t="shared" si="33"/>
        <v>45939.63906</v>
      </c>
      <c r="N4003" s="30" t="str">
        <f t="shared" si="34"/>
        <v>Selesai</v>
      </c>
      <c r="O4003" s="45">
        <f t="shared" si="23"/>
        <v>45939.63906</v>
      </c>
      <c r="P4003" s="47" t="b">
        <v>0</v>
      </c>
      <c r="Q4003" s="36" t="str">
        <f t="shared" si="35"/>
        <v/>
      </c>
      <c r="R4003" s="47" t="b">
        <v>0</v>
      </c>
      <c r="S4003" s="42" t="str">
        <f t="shared" si="28"/>
        <v/>
      </c>
      <c r="T4003" s="42"/>
    </row>
    <row r="4004" ht="22.5" customHeight="1">
      <c r="B4004" s="42">
        <f t="shared" si="7"/>
        <v>3998</v>
      </c>
      <c r="C4004" s="31" t="s">
        <v>4045</v>
      </c>
      <c r="D4004" s="34" t="str">
        <f t="array" ref="D4004">IFNA(_xlfn.XLOOKUP(C4004,Table_Tarikan_Warkah[Nomor Sertipikat],Table_Tarikan_Warkah[Nomor Tiket]),"")</f>
        <v>K/25/150925/1</v>
      </c>
      <c r="E4004" s="36" t="str">
        <f t="array" ref="E4004">IFNA(_xlfn.XLOOKUP(D4004,Table_Tarikan_Warkah[Nomor Tiket],Table_Tarikan_Warkah[Tanggal diserahkan kepada Validator]),"")</f>
        <v/>
      </c>
      <c r="F4004" s="36" t="str">
        <f t="array" ref="F4004">IFNA(_xlfn.XLOOKUP(D4004,Table_Tarikan_Warkah[Nomor Tiket],Table_Tarikan_Warkah[Nama Petugas Warkah]),"")</f>
        <v/>
      </c>
      <c r="G4004" s="39" t="str">
        <f t="array" ref="G4004">IFNA(_xlfn.XLOOKUP(D4004,Table_Tarikan_Warkah[Nomor Tiket],Table_Tarikan_Warkah[Jenis Permohonan]),"")</f>
        <v>BN JUAL BELI</v>
      </c>
      <c r="H4004" s="41" t="s">
        <v>2315</v>
      </c>
      <c r="I4004" s="49" t="s">
        <v>23</v>
      </c>
      <c r="J4004" s="36">
        <f t="shared" si="20"/>
        <v>45937.79147</v>
      </c>
      <c r="K4004" s="49" t="s">
        <v>2378</v>
      </c>
      <c r="L4004" s="49" t="s">
        <v>23</v>
      </c>
      <c r="M4004" s="36">
        <f t="shared" si="33"/>
        <v>45938.69217</v>
      </c>
      <c r="N4004" s="30" t="str">
        <f t="shared" si="34"/>
        <v>Selesai</v>
      </c>
      <c r="O4004" s="45">
        <f t="shared" si="23"/>
        <v>45938.69217</v>
      </c>
      <c r="P4004" s="47" t="b">
        <v>0</v>
      </c>
      <c r="Q4004" s="36" t="str">
        <f t="shared" si="35"/>
        <v/>
      </c>
      <c r="R4004" s="47" t="b">
        <v>0</v>
      </c>
      <c r="S4004" s="42" t="str">
        <f t="shared" si="28"/>
        <v/>
      </c>
      <c r="T4004" s="42"/>
    </row>
    <row r="4005" ht="22.5" customHeight="1">
      <c r="B4005" s="42">
        <f t="shared" si="7"/>
        <v>3999</v>
      </c>
      <c r="C4005" s="31" t="s">
        <v>4046</v>
      </c>
      <c r="D4005" s="34" t="str">
        <f t="array" ref="D4005">IFNA(_xlfn.XLOOKUP(C4005,Table_Tarikan_Warkah[Nomor Sertipikat],Table_Tarikan_Warkah[Nomor Tiket]),"")</f>
        <v>K/1/220925/1</v>
      </c>
      <c r="E4005" s="36" t="str">
        <f t="array" ref="E4005">IFNA(_xlfn.XLOOKUP(D4005,Table_Tarikan_Warkah[Nomor Tiket],Table_Tarikan_Warkah[Tanggal diserahkan kepada Validator]),"")</f>
        <v/>
      </c>
      <c r="F4005" s="36" t="str">
        <f t="array" ref="F4005">IFNA(_xlfn.XLOOKUP(D4005,Table_Tarikan_Warkah[Nomor Tiket],Table_Tarikan_Warkah[Nama Petugas Warkah]),"")</f>
        <v/>
      </c>
      <c r="G4005" s="39" t="str">
        <f t="array" ref="G4005">IFNA(_xlfn.XLOOKUP(D4005,Table_Tarikan_Warkah[Nomor Tiket],Table_Tarikan_Warkah[Jenis Permohonan]),"")</f>
        <v>PEMECAHAN</v>
      </c>
      <c r="H4005" s="41" t="s">
        <v>2315</v>
      </c>
      <c r="I4005" s="49" t="s">
        <v>23</v>
      </c>
      <c r="J4005" s="36">
        <f t="shared" si="20"/>
        <v>45937.79167</v>
      </c>
      <c r="K4005" s="49" t="s">
        <v>2378</v>
      </c>
      <c r="L4005" s="49" t="s">
        <v>23</v>
      </c>
      <c r="M4005" s="36">
        <f t="shared" si="33"/>
        <v>45938.69196</v>
      </c>
      <c r="N4005" s="30" t="str">
        <f t="shared" si="34"/>
        <v>Selesai</v>
      </c>
      <c r="O4005" s="45">
        <f t="shared" si="23"/>
        <v>45938.69196</v>
      </c>
      <c r="P4005" s="47" t="b">
        <v>0</v>
      </c>
      <c r="Q4005" s="36" t="str">
        <f t="shared" si="35"/>
        <v/>
      </c>
      <c r="R4005" s="47" t="b">
        <v>0</v>
      </c>
      <c r="S4005" s="42" t="str">
        <f t="shared" si="28"/>
        <v/>
      </c>
      <c r="T4005" s="42"/>
    </row>
    <row r="4006" ht="22.5" customHeight="1">
      <c r="B4006" s="42">
        <f t="shared" si="7"/>
        <v>4000</v>
      </c>
      <c r="C4006" s="31" t="s">
        <v>4047</v>
      </c>
      <c r="D4006" s="34" t="str">
        <f t="array" ref="D4006">IFNA(_xlfn.XLOOKUP(C4006,Table_Tarikan_Warkah[Nomor Sertipikat],Table_Tarikan_Warkah[Nomor Tiket]),"")</f>
        <v>K/11/160925/2</v>
      </c>
      <c r="E4006" s="36">
        <f t="array" ref="E4006">IFNA(_xlfn.XLOOKUP(D4006,Table_Tarikan_Warkah[Nomor Tiket],Table_Tarikan_Warkah[Tanggal diserahkan kepada Validator]),"")</f>
        <v>45957.49146</v>
      </c>
      <c r="F4006" s="36" t="str">
        <f t="array" ref="F4006">IFNA(_xlfn.XLOOKUP(D4006,Table_Tarikan_Warkah[Nomor Tiket],Table_Tarikan_Warkah[Nama Petugas Warkah]),"")</f>
        <v>David</v>
      </c>
      <c r="G4006" s="39" t="str">
        <f t="array" ref="G4006">IFNA(_xlfn.XLOOKUP(D4006,Table_Tarikan_Warkah[Nomor Tiket],Table_Tarikan_Warkah[Jenis Permohonan]),"")</f>
        <v>BN WARIS</v>
      </c>
      <c r="H4006" s="41" t="s">
        <v>2315</v>
      </c>
      <c r="I4006" s="49" t="s">
        <v>23</v>
      </c>
      <c r="J4006" s="36">
        <f t="shared" si="20"/>
        <v>45937.79181</v>
      </c>
      <c r="K4006" s="49" t="s">
        <v>2378</v>
      </c>
      <c r="L4006" s="49" t="s">
        <v>23</v>
      </c>
      <c r="M4006" s="36">
        <f t="shared" si="33"/>
        <v>45939.63923</v>
      </c>
      <c r="N4006" s="30" t="str">
        <f t="shared" si="34"/>
        <v>Selesai</v>
      </c>
      <c r="O4006" s="45">
        <f t="shared" si="23"/>
        <v>45939.63923</v>
      </c>
      <c r="P4006" s="47" t="b">
        <v>0</v>
      </c>
      <c r="Q4006" s="36" t="str">
        <f t="shared" si="35"/>
        <v/>
      </c>
      <c r="R4006" s="47" t="b">
        <v>0</v>
      </c>
      <c r="S4006" s="42" t="str">
        <f t="shared" si="28"/>
        <v/>
      </c>
      <c r="T4006" s="42"/>
    </row>
    <row r="4007" ht="22.5" customHeight="1">
      <c r="B4007" s="42">
        <f t="shared" si="7"/>
        <v>4001</v>
      </c>
      <c r="C4007" s="31" t="s">
        <v>4048</v>
      </c>
      <c r="D4007" s="34" t="str">
        <f t="array" ref="D4007">IFNA(_xlfn.XLOOKUP(C4007,Table_Tarikan_Warkah[Nomor Sertipikat],Table_Tarikan_Warkah[Nomor Tiket]),"")</f>
        <v>L/5/180925/1</v>
      </c>
      <c r="E4007" s="36" t="str">
        <f t="array" ref="E4007">IFNA(_xlfn.XLOOKUP(D4007,Table_Tarikan_Warkah[Nomor Tiket],Table_Tarikan_Warkah[Tanggal diserahkan kepada Validator]),"")</f>
        <v/>
      </c>
      <c r="F4007" s="36" t="str">
        <f t="array" ref="F4007">IFNA(_xlfn.XLOOKUP(D4007,Table_Tarikan_Warkah[Nomor Tiket],Table_Tarikan_Warkah[Nama Petugas Warkah]),"")</f>
        <v/>
      </c>
      <c r="G4007" s="39" t="str">
        <f t="array" ref="G4007">IFNA(_xlfn.XLOOKUP(D4007,Table_Tarikan_Warkah[Nomor Tiket],Table_Tarikan_Warkah[Jenis Permohonan]),"")</f>
        <v>ROYA</v>
      </c>
      <c r="H4007" s="41" t="s">
        <v>2315</v>
      </c>
      <c r="I4007" s="49" t="s">
        <v>23</v>
      </c>
      <c r="J4007" s="36">
        <f t="shared" si="20"/>
        <v>45937.79194</v>
      </c>
      <c r="K4007" s="49" t="s">
        <v>2378</v>
      </c>
      <c r="L4007" s="49" t="s">
        <v>23</v>
      </c>
      <c r="M4007" s="36">
        <f t="shared" si="33"/>
        <v>45939.63964</v>
      </c>
      <c r="N4007" s="30" t="str">
        <f t="shared" si="34"/>
        <v>Selesai</v>
      </c>
      <c r="O4007" s="45">
        <f t="shared" si="23"/>
        <v>45939.63964</v>
      </c>
      <c r="P4007" s="47" t="b">
        <v>0</v>
      </c>
      <c r="Q4007" s="36" t="str">
        <f t="shared" si="35"/>
        <v/>
      </c>
      <c r="R4007" s="47" t="b">
        <v>0</v>
      </c>
      <c r="S4007" s="42" t="str">
        <f t="shared" si="28"/>
        <v/>
      </c>
      <c r="T4007" s="42"/>
    </row>
    <row r="4008" ht="22.5" customHeight="1">
      <c r="B4008" s="42">
        <f t="shared" si="7"/>
        <v>4002</v>
      </c>
      <c r="C4008" s="31" t="s">
        <v>4049</v>
      </c>
      <c r="D4008" s="34" t="str">
        <f t="array" ref="D4008">IFNA(_xlfn.XLOOKUP(C4008,Table_Tarikan_Warkah[Nomor Sertipikat],Table_Tarikan_Warkah[Nomor Tiket]),"")</f>
        <v>K/37/090925/3</v>
      </c>
      <c r="E4008" s="36" t="str">
        <f t="array" ref="E4008">IFNA(_xlfn.XLOOKUP(D4008,Table_Tarikan_Warkah[Nomor Tiket],Table_Tarikan_Warkah[Tanggal diserahkan kepada Validator]),"")</f>
        <v/>
      </c>
      <c r="F4008" s="36" t="str">
        <f t="array" ref="F4008">IFNA(_xlfn.XLOOKUP(D4008,Table_Tarikan_Warkah[Nomor Tiket],Table_Tarikan_Warkah[Nama Petugas Warkah]),"")</f>
        <v/>
      </c>
      <c r="G4008" s="39" t="str">
        <f t="array" ref="G4008">IFNA(_xlfn.XLOOKUP(D4008,Table_Tarikan_Warkah[Nomor Tiket],Table_Tarikan_Warkah[Jenis Permohonan]),"")</f>
        <v>BN JUAL BELI EL</v>
      </c>
      <c r="H4008" s="41" t="s">
        <v>920</v>
      </c>
      <c r="I4008" s="49" t="s">
        <v>23</v>
      </c>
      <c r="J4008" s="36">
        <f t="shared" si="20"/>
        <v>45938.43641</v>
      </c>
      <c r="K4008" s="49" t="s">
        <v>920</v>
      </c>
      <c r="L4008" s="49" t="s">
        <v>23</v>
      </c>
      <c r="M4008" s="36">
        <f t="shared" si="33"/>
        <v>45938.43644</v>
      </c>
      <c r="N4008" s="30" t="str">
        <f t="shared" si="34"/>
        <v>Selesai</v>
      </c>
      <c r="O4008" s="45">
        <f t="shared" si="23"/>
        <v>45938.43644</v>
      </c>
      <c r="P4008" s="47" t="b">
        <v>1</v>
      </c>
      <c r="Q4008" s="36">
        <f t="shared" si="35"/>
        <v>45938.43646</v>
      </c>
      <c r="R4008" s="47" t="b">
        <v>0</v>
      </c>
      <c r="S4008" s="42" t="str">
        <f t="shared" si="28"/>
        <v/>
      </c>
      <c r="T4008" s="42"/>
    </row>
    <row r="4009" ht="22.5" customHeight="1">
      <c r="B4009" s="42">
        <f t="shared" si="7"/>
        <v>4003</v>
      </c>
      <c r="C4009" s="31" t="s">
        <v>4050</v>
      </c>
      <c r="D4009" s="34" t="str">
        <f t="array" ref="D4009">IFNA(_xlfn.XLOOKUP(C4009,Table_Tarikan_Warkah[Nomor Sertipikat],Table_Tarikan_Warkah[Nomor Tiket]),"")</f>
        <v>K/14/110925/1</v>
      </c>
      <c r="E4009" s="36" t="str">
        <f t="array" ref="E4009">IFNA(_xlfn.XLOOKUP(D4009,Table_Tarikan_Warkah[Nomor Tiket],Table_Tarikan_Warkah[Tanggal diserahkan kepada Validator]),"")</f>
        <v/>
      </c>
      <c r="F4009" s="36" t="str">
        <f t="array" ref="F4009">IFNA(_xlfn.XLOOKUP(D4009,Table_Tarikan_Warkah[Nomor Tiket],Table_Tarikan_Warkah[Nama Petugas Warkah]),"")</f>
        <v>David</v>
      </c>
      <c r="G4009" s="39" t="str">
        <f t="array" ref="G4009">IFNA(_xlfn.XLOOKUP(D4009,Table_Tarikan_Warkah[Nomor Tiket],Table_Tarikan_Warkah[Jenis Permohonan]),"")</f>
        <v>BN JUAL BELI EL </v>
      </c>
      <c r="H4009" s="41" t="s">
        <v>920</v>
      </c>
      <c r="I4009" s="49" t="s">
        <v>23</v>
      </c>
      <c r="J4009" s="36">
        <f t="shared" si="20"/>
        <v>45938.4377</v>
      </c>
      <c r="K4009" s="49" t="s">
        <v>920</v>
      </c>
      <c r="L4009" s="49" t="s">
        <v>23</v>
      </c>
      <c r="M4009" s="36">
        <f t="shared" si="33"/>
        <v>45938.43777</v>
      </c>
      <c r="N4009" s="30" t="str">
        <f t="shared" si="34"/>
        <v>Selesai</v>
      </c>
      <c r="O4009" s="45">
        <f t="shared" si="23"/>
        <v>45938.43777</v>
      </c>
      <c r="P4009" s="47" t="b">
        <v>1</v>
      </c>
      <c r="Q4009" s="36">
        <f t="shared" si="35"/>
        <v>45938.43778</v>
      </c>
      <c r="R4009" s="47" t="b">
        <v>0</v>
      </c>
      <c r="S4009" s="42" t="str">
        <f t="shared" si="28"/>
        <v/>
      </c>
      <c r="T4009" s="42"/>
    </row>
    <row r="4010" ht="22.5" customHeight="1">
      <c r="B4010" s="42">
        <f t="shared" si="7"/>
        <v>4004</v>
      </c>
      <c r="C4010" s="31" t="s">
        <v>4051</v>
      </c>
      <c r="D4010" s="34" t="str">
        <f t="array" ref="D4010">IFNA(_xlfn.XLOOKUP(C4010,Table_Tarikan_Warkah[Nomor Sertipikat],Table_Tarikan_Warkah[Nomor Tiket]),"")</f>
        <v>K/40/270825/1</v>
      </c>
      <c r="E4010" s="36" t="str">
        <f t="array" ref="E4010">IFNA(_xlfn.XLOOKUP(D4010,Table_Tarikan_Warkah[Nomor Tiket],Table_Tarikan_Warkah[Tanggal diserahkan kepada Validator]),"")</f>
        <v/>
      </c>
      <c r="F4010" s="36" t="str">
        <f t="array" ref="F4010">IFNA(_xlfn.XLOOKUP(D4010,Table_Tarikan_Warkah[Nomor Tiket],Table_Tarikan_Warkah[Nama Petugas Warkah]),"")</f>
        <v/>
      </c>
      <c r="G4010" s="39" t="str">
        <f t="array" ref="G4010">IFNA(_xlfn.XLOOKUP(D4010,Table_Tarikan_Warkah[Nomor Tiket],Table_Tarikan_Warkah[Jenis Permohonan]),"")</f>
        <v>BN JUAL BELI EL</v>
      </c>
      <c r="H4010" s="41" t="s">
        <v>920</v>
      </c>
      <c r="I4010" s="49" t="s">
        <v>23</v>
      </c>
      <c r="J4010" s="36">
        <f t="shared" si="20"/>
        <v>45938.43751</v>
      </c>
      <c r="K4010" s="49" t="s">
        <v>920</v>
      </c>
      <c r="L4010" s="49" t="s">
        <v>23</v>
      </c>
      <c r="M4010" s="36">
        <f t="shared" si="33"/>
        <v>45938.43761</v>
      </c>
      <c r="N4010" s="30" t="str">
        <f t="shared" si="34"/>
        <v>Selesai</v>
      </c>
      <c r="O4010" s="45">
        <f t="shared" si="23"/>
        <v>45938.43761</v>
      </c>
      <c r="P4010" s="47" t="b">
        <v>1</v>
      </c>
      <c r="Q4010" s="36">
        <f t="shared" si="35"/>
        <v>45938.43761</v>
      </c>
      <c r="R4010" s="47" t="b">
        <v>0</v>
      </c>
      <c r="S4010" s="42" t="str">
        <f t="shared" si="28"/>
        <v/>
      </c>
      <c r="T4010" s="42"/>
    </row>
    <row r="4011" ht="22.5" customHeight="1">
      <c r="B4011" s="42">
        <f t="shared" si="7"/>
        <v>4005</v>
      </c>
      <c r="C4011" s="31" t="s">
        <v>4052</v>
      </c>
      <c r="D4011" s="34" t="str">
        <f t="array" ref="D4011">IFNA(_xlfn.XLOOKUP(C4011,Table_Tarikan_Warkah[Nomor Sertipikat],Table_Tarikan_Warkah[Nomor Tiket]),"")</f>
        <v>K/2/081025/2</v>
      </c>
      <c r="E4011" s="36" t="str">
        <f t="array" ref="E4011">IFNA(_xlfn.XLOOKUP(D4011,Table_Tarikan_Warkah[Nomor Tiket],Table_Tarikan_Warkah[Tanggal diserahkan kepada Validator]),"")</f>
        <v/>
      </c>
      <c r="F4011" s="36" t="str">
        <f t="array" ref="F4011">IFNA(_xlfn.XLOOKUP(D4011,Table_Tarikan_Warkah[Nomor Tiket],Table_Tarikan_Warkah[Nama Petugas Warkah]),"")</f>
        <v/>
      </c>
      <c r="G4011" s="39" t="str">
        <f t="array" ref="G4011">IFNA(_xlfn.XLOOKUP(D4011,Table_Tarikan_Warkah[Nomor Tiket],Table_Tarikan_Warkah[Jenis Permohonan]),"")</f>
        <v>BN Jual Beli	</v>
      </c>
      <c r="H4011" s="41" t="s">
        <v>920</v>
      </c>
      <c r="I4011" s="49" t="s">
        <v>23</v>
      </c>
      <c r="J4011" s="36">
        <f t="shared" si="20"/>
        <v>45938.45266</v>
      </c>
      <c r="K4011" s="49" t="s">
        <v>920</v>
      </c>
      <c r="L4011" s="49" t="s">
        <v>23</v>
      </c>
      <c r="M4011" s="36">
        <f t="shared" si="33"/>
        <v>45938.45274</v>
      </c>
      <c r="N4011" s="30" t="str">
        <f t="shared" si="34"/>
        <v>Selesai</v>
      </c>
      <c r="O4011" s="45">
        <f t="shared" si="23"/>
        <v>45938.45274</v>
      </c>
      <c r="P4011" s="47" t="b">
        <v>1</v>
      </c>
      <c r="Q4011" s="36">
        <f t="shared" si="35"/>
        <v>45938.45274</v>
      </c>
      <c r="R4011" s="47" t="b">
        <v>0</v>
      </c>
      <c r="S4011" s="42" t="str">
        <f t="shared" si="28"/>
        <v/>
      </c>
      <c r="T4011" s="42"/>
    </row>
    <row r="4012" ht="22.5" customHeight="1">
      <c r="B4012" s="42">
        <f t="shared" si="7"/>
        <v>4006</v>
      </c>
      <c r="C4012" s="31" t="s">
        <v>4053</v>
      </c>
      <c r="D4012" s="34" t="str">
        <f t="array" ref="D4012">IFNA(_xlfn.XLOOKUP(C4012,Table_Tarikan_Warkah[Nomor Sertipikat],Table_Tarikan_Warkah[Nomor Tiket]),"")</f>
        <v>K/15/080925/1</v>
      </c>
      <c r="E4012" s="36" t="str">
        <f t="array" ref="E4012">IFNA(_xlfn.XLOOKUP(D4012,Table_Tarikan_Warkah[Nomor Tiket],Table_Tarikan_Warkah[Tanggal diserahkan kepada Validator]),"")</f>
        <v/>
      </c>
      <c r="F4012" s="36" t="str">
        <f t="array" ref="F4012">IFNA(_xlfn.XLOOKUP(D4012,Table_Tarikan_Warkah[Nomor Tiket],Table_Tarikan_Warkah[Nama Petugas Warkah]),"")</f>
        <v/>
      </c>
      <c r="G4012" s="39" t="str">
        <f t="array" ref="G4012">IFNA(_xlfn.XLOOKUP(D4012,Table_Tarikan_Warkah[Nomor Tiket],Table_Tarikan_Warkah[Jenis Permohonan]),"")</f>
        <v>BN Jual Beli	</v>
      </c>
      <c r="H4012" s="41" t="s">
        <v>920</v>
      </c>
      <c r="I4012" s="49" t="s">
        <v>23</v>
      </c>
      <c r="J4012" s="36">
        <f t="shared" si="20"/>
        <v>45938.45287</v>
      </c>
      <c r="K4012" s="49" t="s">
        <v>920</v>
      </c>
      <c r="L4012" s="49" t="s">
        <v>23</v>
      </c>
      <c r="M4012" s="36">
        <f t="shared" si="33"/>
        <v>45938.45289</v>
      </c>
      <c r="N4012" s="30" t="str">
        <f t="shared" si="34"/>
        <v>Selesai</v>
      </c>
      <c r="O4012" s="45">
        <f t="shared" si="23"/>
        <v>45938.45289</v>
      </c>
      <c r="P4012" s="47" t="b">
        <v>1</v>
      </c>
      <c r="Q4012" s="36">
        <f t="shared" si="35"/>
        <v>45938.45291</v>
      </c>
      <c r="R4012" s="47" t="b">
        <v>0</v>
      </c>
      <c r="S4012" s="42" t="str">
        <f t="shared" si="28"/>
        <v/>
      </c>
      <c r="T4012" s="42"/>
    </row>
    <row r="4013" ht="22.5" customHeight="1">
      <c r="B4013" s="42">
        <f t="shared" si="7"/>
        <v>4007</v>
      </c>
      <c r="C4013" s="31" t="s">
        <v>4054</v>
      </c>
      <c r="D4013" s="34" t="str">
        <f t="array" ref="D4013">IFNA(_xlfn.XLOOKUP(C4013,Table_Tarikan_Warkah[Nomor Sertipikat],Table_Tarikan_Warkah[Nomor Tiket]),"")</f>
        <v>K/12/040928/1</v>
      </c>
      <c r="E4013" s="36" t="str">
        <f t="array" ref="E4013">IFNA(_xlfn.XLOOKUP(D4013,Table_Tarikan_Warkah[Nomor Tiket],Table_Tarikan_Warkah[Tanggal diserahkan kepada Validator]),"")</f>
        <v/>
      </c>
      <c r="F4013" s="36" t="str">
        <f t="array" ref="F4013">IFNA(_xlfn.XLOOKUP(D4013,Table_Tarikan_Warkah[Nomor Tiket],Table_Tarikan_Warkah[Nama Petugas Warkah]),"")</f>
        <v/>
      </c>
      <c r="G4013" s="39" t="str">
        <f t="array" ref="G4013">IFNA(_xlfn.XLOOKUP(D4013,Table_Tarikan_Warkah[Nomor Tiket],Table_Tarikan_Warkah[Jenis Permohonan]),"")</f>
        <v>BN JUAL BELI</v>
      </c>
      <c r="H4013" s="41" t="s">
        <v>920</v>
      </c>
      <c r="I4013" s="49" t="s">
        <v>23</v>
      </c>
      <c r="J4013" s="36">
        <f t="shared" si="20"/>
        <v>45938.45325</v>
      </c>
      <c r="K4013" s="49" t="s">
        <v>920</v>
      </c>
      <c r="L4013" s="49" t="s">
        <v>23</v>
      </c>
      <c r="M4013" s="36">
        <f t="shared" si="33"/>
        <v>45938.45327</v>
      </c>
      <c r="N4013" s="30" t="str">
        <f t="shared" si="34"/>
        <v>Selesai</v>
      </c>
      <c r="O4013" s="45">
        <f t="shared" si="23"/>
        <v>45938.45327</v>
      </c>
      <c r="P4013" s="47" t="b">
        <v>1</v>
      </c>
      <c r="Q4013" s="36">
        <f t="shared" si="35"/>
        <v>45938.4533</v>
      </c>
      <c r="R4013" s="47" t="b">
        <v>0</v>
      </c>
      <c r="S4013" s="42" t="str">
        <f t="shared" si="28"/>
        <v/>
      </c>
      <c r="T4013" s="42"/>
    </row>
    <row r="4014" ht="22.5" customHeight="1">
      <c r="B4014" s="42">
        <f t="shared" si="7"/>
        <v>4008</v>
      </c>
      <c r="C4014" s="31" t="s">
        <v>4055</v>
      </c>
      <c r="D4014" s="34" t="str">
        <f t="array" ref="D4014">IFNA(_xlfn.XLOOKUP(C4014,Table_Tarikan_Warkah[Nomor Sertipikat],Table_Tarikan_Warkah[Nomor Tiket]),"")</f>
        <v>K/41/160925/2</v>
      </c>
      <c r="E4014" s="36" t="str">
        <f t="array" ref="E4014">IFNA(_xlfn.XLOOKUP(D4014,Table_Tarikan_Warkah[Nomor Tiket],Table_Tarikan_Warkah[Tanggal diserahkan kepada Validator]),"")</f>
        <v/>
      </c>
      <c r="F4014" s="36" t="str">
        <f t="array" ref="F4014">IFNA(_xlfn.XLOOKUP(D4014,Table_Tarikan_Warkah[Nomor Tiket],Table_Tarikan_Warkah[Nama Petugas Warkah]),"")</f>
        <v/>
      </c>
      <c r="G4014" s="39" t="str">
        <f t="array" ref="G4014">IFNA(_xlfn.XLOOKUP(D4014,Table_Tarikan_Warkah[Nomor Tiket],Table_Tarikan_Warkah[Jenis Permohonan]),"")</f>
        <v>BN JUAL BELI</v>
      </c>
      <c r="H4014" s="41" t="s">
        <v>920</v>
      </c>
      <c r="I4014" s="49" t="s">
        <v>23</v>
      </c>
      <c r="J4014" s="36">
        <f t="shared" si="20"/>
        <v>45938.45352</v>
      </c>
      <c r="K4014" s="49" t="s">
        <v>920</v>
      </c>
      <c r="L4014" s="49" t="s">
        <v>23</v>
      </c>
      <c r="M4014" s="36">
        <f t="shared" si="33"/>
        <v>45938.45355</v>
      </c>
      <c r="N4014" s="30" t="str">
        <f t="shared" si="34"/>
        <v>Selesai</v>
      </c>
      <c r="O4014" s="45">
        <f t="shared" si="23"/>
        <v>45938.45355</v>
      </c>
      <c r="P4014" s="47" t="b">
        <v>1</v>
      </c>
      <c r="Q4014" s="36">
        <f t="shared" si="35"/>
        <v>45938.45358</v>
      </c>
      <c r="R4014" s="47" t="b">
        <v>0</v>
      </c>
      <c r="S4014" s="42" t="str">
        <f t="shared" si="28"/>
        <v/>
      </c>
      <c r="T4014" s="42"/>
    </row>
    <row r="4015" ht="22.5" customHeight="1">
      <c r="B4015" s="42">
        <f t="shared" si="7"/>
        <v>4009</v>
      </c>
      <c r="C4015" s="31" t="s">
        <v>4056</v>
      </c>
      <c r="D4015" s="34" t="str">
        <f t="array" ref="D4015">IFNA(_xlfn.XLOOKUP(C4015,Table_Tarikan_Warkah[Nomor Sertipikat],Table_Tarikan_Warkah[Nomor Tiket]),"")</f>
        <v>K/20/100925/1</v>
      </c>
      <c r="E4015" s="36">
        <f t="array" ref="E4015">IFNA(_xlfn.XLOOKUP(D4015,Table_Tarikan_Warkah[Nomor Tiket],Table_Tarikan_Warkah[Tanggal diserahkan kepada Validator]),"")</f>
        <v>45960.63475</v>
      </c>
      <c r="F4015" s="36" t="str">
        <f t="array" ref="F4015">IFNA(_xlfn.XLOOKUP(D4015,Table_Tarikan_Warkah[Nomor Tiket],Table_Tarikan_Warkah[Nama Petugas Warkah]),"")</f>
        <v>David</v>
      </c>
      <c r="G4015" s="39" t="str">
        <f t="array" ref="G4015">IFNA(_xlfn.XLOOKUP(D4015,Table_Tarikan_Warkah[Nomor Tiket],Table_Tarikan_Warkah[Jenis Permohonan]),"")</f>
        <v>BN JUAL BELI</v>
      </c>
      <c r="H4015" s="41" t="s">
        <v>920</v>
      </c>
      <c r="I4015" s="49" t="s">
        <v>23</v>
      </c>
      <c r="J4015" s="36">
        <f t="shared" si="20"/>
        <v>45938.45377</v>
      </c>
      <c r="K4015" s="49" t="s">
        <v>920</v>
      </c>
      <c r="L4015" s="49" t="s">
        <v>23</v>
      </c>
      <c r="M4015" s="36">
        <f t="shared" si="33"/>
        <v>45938.4538</v>
      </c>
      <c r="N4015" s="30" t="str">
        <f t="shared" si="34"/>
        <v>Selesai</v>
      </c>
      <c r="O4015" s="45">
        <f t="shared" si="23"/>
        <v>45938.4538</v>
      </c>
      <c r="P4015" s="47" t="b">
        <v>1</v>
      </c>
      <c r="Q4015" s="36">
        <f t="shared" si="35"/>
        <v>45938.45382</v>
      </c>
      <c r="R4015" s="47" t="b">
        <v>0</v>
      </c>
      <c r="S4015" s="42" t="str">
        <f t="shared" si="28"/>
        <v/>
      </c>
      <c r="T4015" s="42"/>
    </row>
    <row r="4016" ht="22.5" customHeight="1">
      <c r="B4016" s="42">
        <f t="shared" si="7"/>
        <v>4010</v>
      </c>
      <c r="C4016" s="31" t="s">
        <v>4057</v>
      </c>
      <c r="D4016" s="34" t="str">
        <f t="array" ref="D4016">IFNA(_xlfn.XLOOKUP(C4016,Table_Tarikan_Warkah[Nomor Sertipikat],Table_Tarikan_Warkah[Nomor Tiket]),"")</f>
        <v>K/2/040926/1</v>
      </c>
      <c r="E4016" s="36" t="str">
        <f t="array" ref="E4016">IFNA(_xlfn.XLOOKUP(D4016,Table_Tarikan_Warkah[Nomor Tiket],Table_Tarikan_Warkah[Tanggal diserahkan kepada Validator]),"")</f>
        <v/>
      </c>
      <c r="F4016" s="36" t="str">
        <f t="array" ref="F4016">IFNA(_xlfn.XLOOKUP(D4016,Table_Tarikan_Warkah[Nomor Tiket],Table_Tarikan_Warkah[Nama Petugas Warkah]),"")</f>
        <v/>
      </c>
      <c r="G4016" s="39" t="str">
        <f t="array" ref="G4016">IFNA(_xlfn.XLOOKUP(D4016,Table_Tarikan_Warkah[Nomor Tiket],Table_Tarikan_Warkah[Jenis Permohonan]),"")</f>
        <v>BN Jual Beli	</v>
      </c>
      <c r="H4016" s="41" t="s">
        <v>920</v>
      </c>
      <c r="I4016" s="49" t="s">
        <v>23</v>
      </c>
      <c r="J4016" s="36">
        <f t="shared" si="20"/>
        <v>45939.70837</v>
      </c>
      <c r="K4016" s="49" t="s">
        <v>920</v>
      </c>
      <c r="L4016" s="49" t="s">
        <v>23</v>
      </c>
      <c r="M4016" s="36">
        <f t="shared" si="33"/>
        <v>45939.70837</v>
      </c>
      <c r="N4016" s="30" t="str">
        <f t="shared" si="34"/>
        <v>Selesai</v>
      </c>
      <c r="O4016" s="45">
        <f t="shared" si="23"/>
        <v>45939.70837</v>
      </c>
      <c r="P4016" s="47" t="b">
        <v>1</v>
      </c>
      <c r="Q4016" s="36">
        <f t="shared" si="35"/>
        <v>45939.70839</v>
      </c>
      <c r="R4016" s="47" t="b">
        <v>0</v>
      </c>
      <c r="S4016" s="42" t="str">
        <f t="shared" si="28"/>
        <v/>
      </c>
      <c r="T4016" s="42"/>
    </row>
    <row r="4017" ht="22.5" customHeight="1">
      <c r="B4017" s="42">
        <f t="shared" si="7"/>
        <v>4011</v>
      </c>
      <c r="C4017" s="31" t="s">
        <v>4058</v>
      </c>
      <c r="D4017" s="34" t="str">
        <f t="array" ref="D4017">IFNA(_xlfn.XLOOKUP(C4017,Table_Tarikan_Warkah[Nomor Sertipikat],Table_Tarikan_Warkah[Nomor Tiket]),"")</f>
        <v>K/25/080925/4</v>
      </c>
      <c r="E4017" s="36">
        <f t="array" ref="E4017">IFNA(_xlfn.XLOOKUP(D4017,Table_Tarikan_Warkah[Nomor Tiket],Table_Tarikan_Warkah[Tanggal diserahkan kepada Validator]),"")</f>
        <v>45957.6167</v>
      </c>
      <c r="F4017" s="36" t="str">
        <f t="array" ref="F4017">IFNA(_xlfn.XLOOKUP(D4017,Table_Tarikan_Warkah[Nomor Tiket],Table_Tarikan_Warkah[Nama Petugas Warkah]),"")</f>
        <v>David</v>
      </c>
      <c r="G4017" s="39" t="str">
        <f t="array" ref="G4017">IFNA(_xlfn.XLOOKUP(D4017,Table_Tarikan_Warkah[Nomor Tiket],Table_Tarikan_Warkah[Jenis Permohonan]),"")</f>
        <v>BN JUAL BELI EL</v>
      </c>
      <c r="H4017" s="41" t="s">
        <v>920</v>
      </c>
      <c r="I4017" s="49" t="s">
        <v>23</v>
      </c>
      <c r="J4017" s="36">
        <f t="shared" si="20"/>
        <v>45939.70851</v>
      </c>
      <c r="K4017" s="49" t="s">
        <v>920</v>
      </c>
      <c r="L4017" s="49" t="s">
        <v>23</v>
      </c>
      <c r="M4017" s="36">
        <f t="shared" si="33"/>
        <v>45939.70857</v>
      </c>
      <c r="N4017" s="30" t="str">
        <f t="shared" si="34"/>
        <v>Selesai</v>
      </c>
      <c r="O4017" s="45">
        <f t="shared" si="23"/>
        <v>45939.70857</v>
      </c>
      <c r="P4017" s="47" t="b">
        <v>1</v>
      </c>
      <c r="Q4017" s="36">
        <f t="shared" si="35"/>
        <v>45939.7086</v>
      </c>
      <c r="R4017" s="47" t="b">
        <v>0</v>
      </c>
      <c r="S4017" s="42" t="str">
        <f t="shared" si="28"/>
        <v/>
      </c>
      <c r="T4017" s="42"/>
    </row>
    <row r="4018" ht="22.5" customHeight="1">
      <c r="B4018" s="42">
        <f t="shared" si="7"/>
        <v>4012</v>
      </c>
      <c r="C4018" s="31" t="s">
        <v>4059</v>
      </c>
      <c r="D4018" s="34" t="str">
        <f t="array" ref="D4018">IFNA(_xlfn.XLOOKUP(C4018,Table_Tarikan_Warkah[Nomor Sertipikat],Table_Tarikan_Warkah[Nomor Tiket]),"")</f>
        <v>K/5/110925/2</v>
      </c>
      <c r="E4018" s="36" t="str">
        <f t="array" ref="E4018">IFNA(_xlfn.XLOOKUP(D4018,Table_Tarikan_Warkah[Nomor Tiket],Table_Tarikan_Warkah[Tanggal diserahkan kepada Validator]),"")</f>
        <v/>
      </c>
      <c r="F4018" s="36" t="str">
        <f t="array" ref="F4018">IFNA(_xlfn.XLOOKUP(D4018,Table_Tarikan_Warkah[Nomor Tiket],Table_Tarikan_Warkah[Nama Petugas Warkah]),"")</f>
        <v>David</v>
      </c>
      <c r="G4018" s="39" t="str">
        <f t="array" ref="G4018">IFNA(_xlfn.XLOOKUP(D4018,Table_Tarikan_Warkah[Nomor Tiket],Table_Tarikan_Warkah[Jenis Permohonan]),"")</f>
        <v>BN JUAL BELI EL</v>
      </c>
      <c r="H4018" s="41" t="s">
        <v>920</v>
      </c>
      <c r="I4018" s="49" t="s">
        <v>23</v>
      </c>
      <c r="J4018" s="36">
        <f t="shared" si="20"/>
        <v>45939.70883</v>
      </c>
      <c r="K4018" s="49" t="s">
        <v>920</v>
      </c>
      <c r="L4018" s="49" t="s">
        <v>23</v>
      </c>
      <c r="M4018" s="36">
        <f t="shared" si="33"/>
        <v>45939.70883</v>
      </c>
      <c r="N4018" s="30" t="str">
        <f t="shared" si="34"/>
        <v>Selesai</v>
      </c>
      <c r="O4018" s="45">
        <f t="shared" si="23"/>
        <v>45939.70883</v>
      </c>
      <c r="P4018" s="47" t="b">
        <v>1</v>
      </c>
      <c r="Q4018" s="36">
        <f t="shared" si="35"/>
        <v>45939.70884</v>
      </c>
      <c r="R4018" s="47" t="b">
        <v>0</v>
      </c>
      <c r="S4018" s="42" t="str">
        <f t="shared" si="28"/>
        <v/>
      </c>
      <c r="T4018" s="42"/>
    </row>
    <row r="4019" ht="22.5" customHeight="1">
      <c r="B4019" s="42">
        <f t="shared" si="7"/>
        <v>4013</v>
      </c>
      <c r="C4019" s="31" t="s">
        <v>4060</v>
      </c>
      <c r="D4019" s="34" t="str">
        <f t="array" ref="D4019">IFNA(_xlfn.XLOOKUP(C4019,Table_Tarikan_Warkah[Nomor Sertipikat],Table_Tarikan_Warkah[Nomor Tiket]),"")</f>
        <v>K/15/040928/2</v>
      </c>
      <c r="E4019" s="36" t="str">
        <f t="array" ref="E4019">IFNA(_xlfn.XLOOKUP(D4019,Table_Tarikan_Warkah[Nomor Tiket],Table_Tarikan_Warkah[Tanggal diserahkan kepada Validator]),"")</f>
        <v/>
      </c>
      <c r="F4019" s="36" t="str">
        <f t="array" ref="F4019">IFNA(_xlfn.XLOOKUP(D4019,Table_Tarikan_Warkah[Nomor Tiket],Table_Tarikan_Warkah[Nama Petugas Warkah]),"")</f>
        <v/>
      </c>
      <c r="G4019" s="39" t="str">
        <f t="array" ref="G4019">IFNA(_xlfn.XLOOKUP(D4019,Table_Tarikan_Warkah[Nomor Tiket],Table_Tarikan_Warkah[Jenis Permohonan]),"")</f>
        <v>BN JUAL BELI EL</v>
      </c>
      <c r="H4019" s="41" t="s">
        <v>920</v>
      </c>
      <c r="I4019" s="49" t="s">
        <v>23</v>
      </c>
      <c r="J4019" s="36">
        <f t="shared" si="20"/>
        <v>45939.70903</v>
      </c>
      <c r="K4019" s="49" t="s">
        <v>920</v>
      </c>
      <c r="L4019" s="49" t="s">
        <v>23</v>
      </c>
      <c r="M4019" s="36">
        <f t="shared" si="33"/>
        <v>45939.70906</v>
      </c>
      <c r="N4019" s="30" t="str">
        <f t="shared" si="34"/>
        <v>Selesai</v>
      </c>
      <c r="O4019" s="45">
        <f t="shared" si="23"/>
        <v>45939.70906</v>
      </c>
      <c r="P4019" s="47" t="b">
        <v>1</v>
      </c>
      <c r="Q4019" s="36">
        <f t="shared" si="35"/>
        <v>45939.70908</v>
      </c>
      <c r="R4019" s="47" t="b">
        <v>0</v>
      </c>
      <c r="S4019" s="42" t="str">
        <f t="shared" si="28"/>
        <v/>
      </c>
      <c r="T4019" s="42"/>
    </row>
    <row r="4020" ht="22.5" customHeight="1">
      <c r="B4020" s="42">
        <f t="shared" si="7"/>
        <v>4014</v>
      </c>
      <c r="C4020" s="31" t="s">
        <v>4061</v>
      </c>
      <c r="D4020" s="34" t="str">
        <f t="array" ref="D4020">IFNA(_xlfn.XLOOKUP(C4020,Table_Tarikan_Warkah[Nomor Sertipikat],Table_Tarikan_Warkah[Nomor Tiket]),"")</f>
        <v>K/17/170925/4</v>
      </c>
      <c r="E4020" s="36" t="str">
        <f t="array" ref="E4020">IFNA(_xlfn.XLOOKUP(D4020,Table_Tarikan_Warkah[Nomor Tiket],Table_Tarikan_Warkah[Tanggal diserahkan kepada Validator]),"")</f>
        <v/>
      </c>
      <c r="F4020" s="36" t="str">
        <f t="array" ref="F4020">IFNA(_xlfn.XLOOKUP(D4020,Table_Tarikan_Warkah[Nomor Tiket],Table_Tarikan_Warkah[Nama Petugas Warkah]),"")</f>
        <v/>
      </c>
      <c r="G4020" s="39" t="str">
        <f t="array" ref="G4020">IFNA(_xlfn.XLOOKUP(D4020,Table_Tarikan_Warkah[Nomor Tiket],Table_Tarikan_Warkah[Jenis Permohonan]),"")</f>
        <v>BN JUAL BELI EL</v>
      </c>
      <c r="H4020" s="41" t="s">
        <v>920</v>
      </c>
      <c r="I4020" s="49" t="s">
        <v>23</v>
      </c>
      <c r="J4020" s="36">
        <f t="shared" si="20"/>
        <v>45939.70922</v>
      </c>
      <c r="K4020" s="49" t="s">
        <v>920</v>
      </c>
      <c r="L4020" s="49" t="s">
        <v>23</v>
      </c>
      <c r="M4020" s="36">
        <f t="shared" si="33"/>
        <v>45939.70925</v>
      </c>
      <c r="N4020" s="30" t="str">
        <f t="shared" si="34"/>
        <v>Selesai</v>
      </c>
      <c r="O4020" s="45">
        <f t="shared" si="23"/>
        <v>45939.70925</v>
      </c>
      <c r="P4020" s="47" t="b">
        <v>1</v>
      </c>
      <c r="Q4020" s="36">
        <f t="shared" si="35"/>
        <v>45939.70928</v>
      </c>
      <c r="R4020" s="47" t="b">
        <v>0</v>
      </c>
      <c r="S4020" s="42" t="str">
        <f t="shared" si="28"/>
        <v/>
      </c>
      <c r="T4020" s="42"/>
    </row>
    <row r="4021" ht="22.5" customHeight="1">
      <c r="B4021" s="42">
        <f t="shared" si="7"/>
        <v>4015</v>
      </c>
      <c r="C4021" s="31" t="s">
        <v>4062</v>
      </c>
      <c r="D4021" s="34" t="str">
        <f t="array" ref="D4021">IFNA(_xlfn.XLOOKUP(C4021,Table_Tarikan_Warkah[Nomor Sertipikat],Table_Tarikan_Warkah[Nomor Tiket]),"")</f>
        <v>K/34/100925/4</v>
      </c>
      <c r="E4021" s="36" t="str">
        <f t="array" ref="E4021">IFNA(_xlfn.XLOOKUP(D4021,Table_Tarikan_Warkah[Nomor Tiket],Table_Tarikan_Warkah[Tanggal diserahkan kepada Validator]),"")</f>
        <v/>
      </c>
      <c r="F4021" s="36" t="str">
        <f t="array" ref="F4021">IFNA(_xlfn.XLOOKUP(D4021,Table_Tarikan_Warkah[Nomor Tiket],Table_Tarikan_Warkah[Nama Petugas Warkah]),"")</f>
        <v/>
      </c>
      <c r="G4021" s="39" t="str">
        <f t="array" ref="G4021">IFNA(_xlfn.XLOOKUP(D4021,Table_Tarikan_Warkah[Nomor Tiket],Table_Tarikan_Warkah[Jenis Permohonan]),"")</f>
        <v>BN JUAL BELI EL</v>
      </c>
      <c r="H4021" s="41" t="s">
        <v>920</v>
      </c>
      <c r="I4021" s="49" t="s">
        <v>23</v>
      </c>
      <c r="J4021" s="36">
        <f t="shared" si="20"/>
        <v>45939.7094</v>
      </c>
      <c r="K4021" s="49" t="s">
        <v>920</v>
      </c>
      <c r="L4021" s="49" t="s">
        <v>23</v>
      </c>
      <c r="M4021" s="36">
        <f t="shared" si="33"/>
        <v>45939.70942</v>
      </c>
      <c r="N4021" s="30" t="str">
        <f t="shared" si="34"/>
        <v>Selesai</v>
      </c>
      <c r="O4021" s="45">
        <f t="shared" si="23"/>
        <v>45939.70942</v>
      </c>
      <c r="P4021" s="47" t="b">
        <v>1</v>
      </c>
      <c r="Q4021" s="36">
        <f t="shared" si="35"/>
        <v>45939.70945</v>
      </c>
      <c r="R4021" s="47" t="b">
        <v>0</v>
      </c>
      <c r="S4021" s="42" t="str">
        <f t="shared" si="28"/>
        <v/>
      </c>
      <c r="T4021" s="42"/>
    </row>
    <row r="4022" ht="22.5" customHeight="1">
      <c r="B4022" s="42">
        <f t="shared" si="7"/>
        <v>4016</v>
      </c>
      <c r="C4022" s="31" t="s">
        <v>4063</v>
      </c>
      <c r="D4022" s="34" t="str">
        <f t="array" ref="D4022">IFNA(_xlfn.XLOOKUP(C4022,Table_Tarikan_Warkah[Nomor Sertipikat],Table_Tarikan_Warkah[Nomor Tiket]),"")</f>
        <v>K/30/180925/1</v>
      </c>
      <c r="E4022" s="36">
        <f t="array" ref="E4022">IFNA(_xlfn.XLOOKUP(D4022,Table_Tarikan_Warkah[Nomor Tiket],Table_Tarikan_Warkah[Tanggal diserahkan kepada Validator]),"")</f>
        <v>45930.60179</v>
      </c>
      <c r="F4022" s="36" t="str">
        <f t="array" ref="F4022">IFNA(_xlfn.XLOOKUP(D4022,Table_Tarikan_Warkah[Nomor Tiket],Table_Tarikan_Warkah[Nama Petugas Warkah]),"")</f>
        <v>David</v>
      </c>
      <c r="G4022" s="39" t="str">
        <f t="array" ref="G4022">IFNA(_xlfn.XLOOKUP(D4022,Table_Tarikan_Warkah[Nomor Tiket],Table_Tarikan_Warkah[Jenis Permohonan]),"")</f>
        <v>BN WARIS</v>
      </c>
      <c r="H4022" s="41" t="s">
        <v>2315</v>
      </c>
      <c r="I4022" s="49" t="s">
        <v>23</v>
      </c>
      <c r="J4022" s="36">
        <f t="shared" si="20"/>
        <v>45939.77986</v>
      </c>
      <c r="K4022" s="49" t="s">
        <v>2378</v>
      </c>
      <c r="L4022" s="49" t="s">
        <v>23</v>
      </c>
      <c r="M4022" s="36">
        <f t="shared" si="33"/>
        <v>45940.49686</v>
      </c>
      <c r="N4022" s="30" t="str">
        <f t="shared" si="34"/>
        <v>Selesai</v>
      </c>
      <c r="O4022" s="45">
        <f t="shared" si="23"/>
        <v>45940.49686</v>
      </c>
      <c r="P4022" s="47" t="b">
        <v>0</v>
      </c>
      <c r="Q4022" s="36" t="str">
        <f t="shared" si="35"/>
        <v/>
      </c>
      <c r="R4022" s="47" t="b">
        <v>0</v>
      </c>
      <c r="S4022" s="42" t="str">
        <f t="shared" si="28"/>
        <v/>
      </c>
      <c r="T4022" s="42"/>
    </row>
    <row r="4023" ht="22.5" customHeight="1">
      <c r="B4023" s="42">
        <f t="shared" si="7"/>
        <v>4017</v>
      </c>
      <c r="C4023" s="31" t="s">
        <v>4064</v>
      </c>
      <c r="D4023" s="34" t="str">
        <f t="array" ref="D4023">IFNA(_xlfn.XLOOKUP(C4023,Table_Tarikan_Warkah[Nomor Sertipikat],Table_Tarikan_Warkah[Nomor Tiket]),"")</f>
        <v>K/3/250925/1</v>
      </c>
      <c r="E4023" s="36" t="str">
        <f t="array" ref="E4023">IFNA(_xlfn.XLOOKUP(D4023,Table_Tarikan_Warkah[Nomor Tiket],Table_Tarikan_Warkah[Tanggal diserahkan kepada Validator]),"")</f>
        <v/>
      </c>
      <c r="F4023" s="36" t="str">
        <f t="array" ref="F4023">IFNA(_xlfn.XLOOKUP(D4023,Table_Tarikan_Warkah[Nomor Tiket],Table_Tarikan_Warkah[Nama Petugas Warkah]),"")</f>
        <v/>
      </c>
      <c r="G4023" s="39" t="str">
        <f t="array" ref="G4023">IFNA(_xlfn.XLOOKUP(D4023,Table_Tarikan_Warkah[Nomor Tiket],Table_Tarikan_Warkah[Jenis Permohonan]),"")</f>
        <v>BN WARIS</v>
      </c>
      <c r="H4023" s="41" t="s">
        <v>2315</v>
      </c>
      <c r="I4023" s="49" t="s">
        <v>23</v>
      </c>
      <c r="J4023" s="36">
        <f t="shared" si="20"/>
        <v>45939.78002</v>
      </c>
      <c r="K4023" s="49" t="s">
        <v>2378</v>
      </c>
      <c r="L4023" s="49" t="s">
        <v>23</v>
      </c>
      <c r="M4023" s="36">
        <f t="shared" si="33"/>
        <v>45940.49686</v>
      </c>
      <c r="N4023" s="30" t="str">
        <f t="shared" si="34"/>
        <v>Selesai</v>
      </c>
      <c r="O4023" s="45">
        <f t="shared" si="23"/>
        <v>45940.49686</v>
      </c>
      <c r="P4023" s="47" t="b">
        <v>0</v>
      </c>
      <c r="Q4023" s="36" t="str">
        <f t="shared" si="35"/>
        <v/>
      </c>
      <c r="R4023" s="47" t="b">
        <v>0</v>
      </c>
      <c r="S4023" s="42" t="str">
        <f t="shared" si="28"/>
        <v/>
      </c>
      <c r="T4023" s="42"/>
    </row>
    <row r="4024" ht="22.5" customHeight="1">
      <c r="B4024" s="42">
        <f t="shared" si="7"/>
        <v>4018</v>
      </c>
      <c r="C4024" s="31" t="s">
        <v>4065</v>
      </c>
      <c r="D4024" s="34" t="str">
        <f t="array" ref="D4024">IFNA(_xlfn.XLOOKUP(C4024,Table_Tarikan_Warkah[Nomor Sertipikat],Table_Tarikan_Warkah[Nomor Tiket]),"")</f>
        <v>K/4/250925/2</v>
      </c>
      <c r="E4024" s="36" t="str">
        <f t="array" ref="E4024">IFNA(_xlfn.XLOOKUP(D4024,Table_Tarikan_Warkah[Nomor Tiket],Table_Tarikan_Warkah[Tanggal diserahkan kepada Validator]),"")</f>
        <v/>
      </c>
      <c r="F4024" s="36" t="str">
        <f t="array" ref="F4024">IFNA(_xlfn.XLOOKUP(D4024,Table_Tarikan_Warkah[Nomor Tiket],Table_Tarikan_Warkah[Nama Petugas Warkah]),"")</f>
        <v/>
      </c>
      <c r="G4024" s="39" t="str">
        <f t="array" ref="G4024">IFNA(_xlfn.XLOOKUP(D4024,Table_Tarikan_Warkah[Nomor Tiket],Table_Tarikan_Warkah[Jenis Permohonan]),"")</f>
        <v>BN WARIS</v>
      </c>
      <c r="H4024" s="41" t="s">
        <v>2315</v>
      </c>
      <c r="I4024" s="49" t="s">
        <v>23</v>
      </c>
      <c r="J4024" s="36">
        <f t="shared" si="20"/>
        <v>45939.78017</v>
      </c>
      <c r="K4024" s="49" t="s">
        <v>2378</v>
      </c>
      <c r="L4024" s="49" t="s">
        <v>23</v>
      </c>
      <c r="M4024" s="36">
        <f t="shared" si="33"/>
        <v>45940.49686</v>
      </c>
      <c r="N4024" s="30" t="str">
        <f t="shared" si="34"/>
        <v>Selesai</v>
      </c>
      <c r="O4024" s="45">
        <f t="shared" si="23"/>
        <v>45940.49686</v>
      </c>
      <c r="P4024" s="47" t="b">
        <v>0</v>
      </c>
      <c r="Q4024" s="36" t="str">
        <f t="shared" si="35"/>
        <v/>
      </c>
      <c r="R4024" s="47" t="b">
        <v>0</v>
      </c>
      <c r="S4024" s="42" t="str">
        <f t="shared" si="28"/>
        <v/>
      </c>
      <c r="T4024" s="42"/>
    </row>
    <row r="4025" ht="22.5" customHeight="1">
      <c r="B4025" s="42">
        <f t="shared" si="7"/>
        <v>4019</v>
      </c>
      <c r="C4025" s="31" t="s">
        <v>4066</v>
      </c>
      <c r="D4025" s="34" t="str">
        <f t="array" ref="D4025">IFNA(_xlfn.XLOOKUP(C4025,Table_Tarikan_Warkah[Nomor Sertipikat],Table_Tarikan_Warkah[Nomor Tiket]),"")</f>
        <v>K/5/170925/1</v>
      </c>
      <c r="E4025" s="36" t="str">
        <f t="array" ref="E4025">IFNA(_xlfn.XLOOKUP(D4025,Table_Tarikan_Warkah[Nomor Tiket],Table_Tarikan_Warkah[Tanggal diserahkan kepada Validator]),"")</f>
        <v/>
      </c>
      <c r="F4025" s="36" t="str">
        <f t="array" ref="F4025">IFNA(_xlfn.XLOOKUP(D4025,Table_Tarikan_Warkah[Nomor Tiket],Table_Tarikan_Warkah[Nama Petugas Warkah]),"")</f>
        <v/>
      </c>
      <c r="G4025" s="39" t="str">
        <f t="array" ref="G4025">IFNA(_xlfn.XLOOKUP(D4025,Table_Tarikan_Warkah[Nomor Tiket],Table_Tarikan_Warkah[Jenis Permohonan]),"")</f>
        <v>BN WARIS</v>
      </c>
      <c r="H4025" s="41" t="s">
        <v>2315</v>
      </c>
      <c r="I4025" s="49" t="s">
        <v>23</v>
      </c>
      <c r="J4025" s="36">
        <f t="shared" si="20"/>
        <v>45939.78022</v>
      </c>
      <c r="K4025" s="49" t="s">
        <v>2378</v>
      </c>
      <c r="L4025" s="49" t="s">
        <v>23</v>
      </c>
      <c r="M4025" s="36">
        <f t="shared" si="33"/>
        <v>45940.49686</v>
      </c>
      <c r="N4025" s="30" t="str">
        <f t="shared" si="34"/>
        <v>Selesai</v>
      </c>
      <c r="O4025" s="45">
        <f t="shared" si="23"/>
        <v>45940.49686</v>
      </c>
      <c r="P4025" s="47" t="b">
        <v>0</v>
      </c>
      <c r="Q4025" s="36" t="str">
        <f t="shared" si="35"/>
        <v/>
      </c>
      <c r="R4025" s="47" t="b">
        <v>0</v>
      </c>
      <c r="S4025" s="42" t="str">
        <f t="shared" si="28"/>
        <v/>
      </c>
      <c r="T4025" s="42"/>
    </row>
    <row r="4026" ht="22.5" customHeight="1">
      <c r="B4026" s="42">
        <f t="shared" si="7"/>
        <v>4020</v>
      </c>
      <c r="C4026" s="31" t="s">
        <v>3910</v>
      </c>
      <c r="D4026" s="34" t="str">
        <f t="array" ref="D4026">IFNA(_xlfn.XLOOKUP(C4026,Table_Tarikan_Warkah[Nomor Sertipikat],Table_Tarikan_Warkah[Nomor Tiket]),"")</f>
        <v>K/25/210825/</v>
      </c>
      <c r="E4026" s="36" t="str">
        <f t="array" ref="E4026">IFNA(_xlfn.XLOOKUP(D4026,Table_Tarikan_Warkah[Nomor Tiket],Table_Tarikan_Warkah[Tanggal diserahkan kepada Validator]),"")</f>
        <v/>
      </c>
      <c r="F4026" s="36" t="str">
        <f t="array" ref="F4026">IFNA(_xlfn.XLOOKUP(D4026,Table_Tarikan_Warkah[Nomor Tiket],Table_Tarikan_Warkah[Nama Petugas Warkah]),"")</f>
        <v/>
      </c>
      <c r="G4026" s="39" t="str">
        <f t="array" ref="G4026">IFNA(_xlfn.XLOOKUP(D4026,Table_Tarikan_Warkah[Nomor Tiket],Table_Tarikan_Warkah[Jenis Permohonan]),"")</f>
        <v>BN JUAL BELI</v>
      </c>
      <c r="H4026" s="41" t="s">
        <v>2315</v>
      </c>
      <c r="I4026" s="49" t="s">
        <v>23</v>
      </c>
      <c r="J4026" s="36">
        <f t="shared" si="20"/>
        <v>45939.78035</v>
      </c>
      <c r="K4026" s="49" t="s">
        <v>2378</v>
      </c>
      <c r="L4026" s="49" t="s">
        <v>23</v>
      </c>
      <c r="M4026" s="36">
        <f t="shared" si="33"/>
        <v>45940.49686</v>
      </c>
      <c r="N4026" s="30" t="str">
        <f t="shared" si="34"/>
        <v>Selesai</v>
      </c>
      <c r="O4026" s="45">
        <f t="shared" si="23"/>
        <v>45940.49686</v>
      </c>
      <c r="P4026" s="47" t="b">
        <v>0</v>
      </c>
      <c r="Q4026" s="36" t="str">
        <f t="shared" si="35"/>
        <v/>
      </c>
      <c r="R4026" s="47" t="b">
        <v>0</v>
      </c>
      <c r="S4026" s="42" t="str">
        <f t="shared" si="28"/>
        <v/>
      </c>
      <c r="T4026" s="42"/>
    </row>
    <row r="4027" ht="22.5" customHeight="1">
      <c r="B4027" s="42">
        <f t="shared" si="7"/>
        <v>4021</v>
      </c>
      <c r="C4027" s="31" t="s">
        <v>4067</v>
      </c>
      <c r="D4027" s="34" t="str">
        <f t="array" ref="D4027">IFNA(_xlfn.XLOOKUP(C4027,Table_Tarikan_Warkah[Nomor Sertipikat],Table_Tarikan_Warkah[Nomor Tiket]),"")</f>
        <v>K/38/080925/1</v>
      </c>
      <c r="E4027" s="36" t="str">
        <f t="array" ref="E4027">IFNA(_xlfn.XLOOKUP(D4027,Table_Tarikan_Warkah[Nomor Tiket],Table_Tarikan_Warkah[Tanggal diserahkan kepada Validator]),"")</f>
        <v/>
      </c>
      <c r="F4027" s="36" t="str">
        <f t="array" ref="F4027">IFNA(_xlfn.XLOOKUP(D4027,Table_Tarikan_Warkah[Nomor Tiket],Table_Tarikan_Warkah[Nama Petugas Warkah]),"")</f>
        <v>David</v>
      </c>
      <c r="G4027" s="39" t="str">
        <f t="array" ref="G4027">IFNA(_xlfn.XLOOKUP(D4027,Table_Tarikan_Warkah[Nomor Tiket],Table_Tarikan_Warkah[Jenis Permohonan]),"")</f>
        <v>BN JUAL BELI</v>
      </c>
      <c r="H4027" s="41" t="s">
        <v>2315</v>
      </c>
      <c r="I4027" s="49" t="s">
        <v>23</v>
      </c>
      <c r="J4027" s="36">
        <f t="shared" si="20"/>
        <v>45939.78047</v>
      </c>
      <c r="K4027" s="49" t="s">
        <v>2378</v>
      </c>
      <c r="L4027" s="49" t="s">
        <v>23</v>
      </c>
      <c r="M4027" s="36">
        <f t="shared" si="33"/>
        <v>45940.49686</v>
      </c>
      <c r="N4027" s="30" t="str">
        <f t="shared" si="34"/>
        <v>Selesai</v>
      </c>
      <c r="O4027" s="45">
        <f t="shared" si="23"/>
        <v>45940.49686</v>
      </c>
      <c r="P4027" s="47" t="b">
        <v>0</v>
      </c>
      <c r="Q4027" s="36" t="str">
        <f t="shared" si="35"/>
        <v/>
      </c>
      <c r="R4027" s="47" t="b">
        <v>0</v>
      </c>
      <c r="S4027" s="42" t="str">
        <f t="shared" si="28"/>
        <v/>
      </c>
      <c r="T4027" s="42"/>
    </row>
    <row r="4028" ht="22.5" customHeight="1">
      <c r="B4028" s="42">
        <f t="shared" si="7"/>
        <v>4022</v>
      </c>
      <c r="C4028" s="31" t="s">
        <v>4068</v>
      </c>
      <c r="D4028" s="34" t="str">
        <f t="array" ref="D4028">IFNA(_xlfn.XLOOKUP(C4028,Table_Tarikan_Warkah[Nomor Sertipikat],Table_Tarikan_Warkah[Nomor Tiket]),"")</f>
        <v>K/42/081025/4</v>
      </c>
      <c r="E4028" s="36" t="str">
        <f t="array" ref="E4028">IFNA(_xlfn.XLOOKUP(D4028,Table_Tarikan_Warkah[Nomor Tiket],Table_Tarikan_Warkah[Tanggal diserahkan kepada Validator]),"")</f>
        <v/>
      </c>
      <c r="F4028" s="36" t="str">
        <f t="array" ref="F4028">IFNA(_xlfn.XLOOKUP(D4028,Table_Tarikan_Warkah[Nomor Tiket],Table_Tarikan_Warkah[Nama Petugas Warkah]),"")</f>
        <v/>
      </c>
      <c r="G4028" s="39" t="str">
        <f t="array" ref="G4028">IFNA(_xlfn.XLOOKUP(D4028,Table_Tarikan_Warkah[Nomor Tiket],Table_Tarikan_Warkah[Jenis Permohonan]),"")</f>
        <v>Roya	</v>
      </c>
      <c r="H4028" s="41" t="s">
        <v>2315</v>
      </c>
      <c r="I4028" s="49" t="s">
        <v>23</v>
      </c>
      <c r="J4028" s="36">
        <f t="shared" si="20"/>
        <v>45939.78064</v>
      </c>
      <c r="K4028" s="49" t="s">
        <v>2378</v>
      </c>
      <c r="L4028" s="49" t="s">
        <v>23</v>
      </c>
      <c r="M4028" s="36">
        <f t="shared" si="33"/>
        <v>45940.49686</v>
      </c>
      <c r="N4028" s="30" t="str">
        <f t="shared" si="34"/>
        <v>Selesai</v>
      </c>
      <c r="O4028" s="45">
        <f t="shared" si="23"/>
        <v>45940.49686</v>
      </c>
      <c r="P4028" s="47" t="b">
        <v>0</v>
      </c>
      <c r="Q4028" s="36" t="str">
        <f t="shared" si="35"/>
        <v/>
      </c>
      <c r="R4028" s="47" t="b">
        <v>0</v>
      </c>
      <c r="S4028" s="42" t="str">
        <f t="shared" si="28"/>
        <v/>
      </c>
      <c r="T4028" s="42"/>
    </row>
    <row r="4029" ht="22.5" customHeight="1">
      <c r="B4029" s="42">
        <f t="shared" si="7"/>
        <v>4023</v>
      </c>
      <c r="C4029" s="31" t="s">
        <v>4069</v>
      </c>
      <c r="D4029" s="34" t="str">
        <f t="array" ref="D4029">IFNA(_xlfn.XLOOKUP(C4029,Table_Tarikan_Warkah[Nomor Sertipikat],Table_Tarikan_Warkah[Nomor Tiket]),"")</f>
        <v>K/29/061025/1</v>
      </c>
      <c r="E4029" s="36" t="str">
        <f t="array" ref="E4029">IFNA(_xlfn.XLOOKUP(D4029,Table_Tarikan_Warkah[Nomor Tiket],Table_Tarikan_Warkah[Tanggal diserahkan kepada Validator]),"")</f>
        <v/>
      </c>
      <c r="F4029" s="36" t="str">
        <f t="array" ref="F4029">IFNA(_xlfn.XLOOKUP(D4029,Table_Tarikan_Warkah[Nomor Tiket],Table_Tarikan_Warkah[Nama Petugas Warkah]),"")</f>
        <v/>
      </c>
      <c r="G4029" s="39" t="str">
        <f t="array" ref="G4029">IFNA(_xlfn.XLOOKUP(D4029,Table_Tarikan_Warkah[Nomor Tiket],Table_Tarikan_Warkah[Jenis Permohonan]),"")</f>
        <v>Roya	</v>
      </c>
      <c r="H4029" s="41" t="s">
        <v>2315</v>
      </c>
      <c r="I4029" s="49" t="s">
        <v>23</v>
      </c>
      <c r="J4029" s="36">
        <f t="shared" si="20"/>
        <v>45939.78078</v>
      </c>
      <c r="K4029" s="49" t="s">
        <v>26</v>
      </c>
      <c r="L4029" s="49" t="s">
        <v>23</v>
      </c>
      <c r="M4029" s="36">
        <f t="shared" si="33"/>
        <v>45944.40695</v>
      </c>
      <c r="N4029" s="30" t="str">
        <f t="shared" si="34"/>
        <v>Selesai</v>
      </c>
      <c r="O4029" s="45">
        <f t="shared" si="23"/>
        <v>45944.40695</v>
      </c>
      <c r="P4029" s="47" t="b">
        <v>1</v>
      </c>
      <c r="Q4029" s="36">
        <f t="shared" si="35"/>
        <v>45944.40732</v>
      </c>
      <c r="R4029" s="47" t="b">
        <v>0</v>
      </c>
      <c r="S4029" s="42" t="str">
        <f t="shared" si="28"/>
        <v/>
      </c>
      <c r="T4029" s="42"/>
    </row>
    <row r="4030" ht="22.5" customHeight="1">
      <c r="B4030" s="42">
        <f t="shared" si="7"/>
        <v>4024</v>
      </c>
      <c r="C4030" s="31" t="s">
        <v>4070</v>
      </c>
      <c r="D4030" s="34" t="str">
        <f t="array" ref="D4030">IFNA(_xlfn.XLOOKUP(C4030,Table_Tarikan_Warkah[Nomor Sertipikat],Table_Tarikan_Warkah[Nomor Tiket]),"")</f>
        <v>K/10/100925/1</v>
      </c>
      <c r="E4030" s="36">
        <f t="array" ref="E4030">IFNA(_xlfn.XLOOKUP(D4030,Table_Tarikan_Warkah[Nomor Tiket],Table_Tarikan_Warkah[Tanggal diserahkan kepada Validator]),"")</f>
        <v>45957.61749</v>
      </c>
      <c r="F4030" s="36" t="str">
        <f t="array" ref="F4030">IFNA(_xlfn.XLOOKUP(D4030,Table_Tarikan_Warkah[Nomor Tiket],Table_Tarikan_Warkah[Nama Petugas Warkah]),"")</f>
        <v>David</v>
      </c>
      <c r="G4030" s="39" t="str">
        <f t="array" ref="G4030">IFNA(_xlfn.XLOOKUP(D4030,Table_Tarikan_Warkah[Nomor Tiket],Table_Tarikan_Warkah[Jenis Permohonan]),"")</f>
        <v>BN Waris	</v>
      </c>
      <c r="H4030" s="41" t="s">
        <v>2315</v>
      </c>
      <c r="I4030" s="49" t="s">
        <v>23</v>
      </c>
      <c r="J4030" s="36">
        <f t="shared" si="20"/>
        <v>45939.7809</v>
      </c>
      <c r="K4030" s="49" t="s">
        <v>26</v>
      </c>
      <c r="L4030" s="49" t="s">
        <v>23</v>
      </c>
      <c r="M4030" s="36">
        <f t="shared" si="33"/>
        <v>45944.40697</v>
      </c>
      <c r="N4030" s="30" t="str">
        <f t="shared" si="34"/>
        <v>Selesai</v>
      </c>
      <c r="O4030" s="45">
        <f t="shared" si="23"/>
        <v>45944.40697</v>
      </c>
      <c r="P4030" s="47" t="b">
        <v>1</v>
      </c>
      <c r="Q4030" s="36">
        <f t="shared" si="35"/>
        <v>45944.40733</v>
      </c>
      <c r="R4030" s="47" t="b">
        <v>0</v>
      </c>
      <c r="S4030" s="42" t="str">
        <f t="shared" si="28"/>
        <v/>
      </c>
      <c r="T4030" s="42"/>
    </row>
    <row r="4031" ht="22.5" customHeight="1">
      <c r="B4031" s="42">
        <f t="shared" si="7"/>
        <v>4025</v>
      </c>
      <c r="C4031" s="31" t="s">
        <v>4071</v>
      </c>
      <c r="D4031" s="34" t="str">
        <f t="array" ref="D4031">IFNA(_xlfn.XLOOKUP(C4031,Table_Tarikan_Warkah[Nomor Sertipikat],Table_Tarikan_Warkah[Nomor Tiket]),"")</f>
        <v>L/50/220925/1</v>
      </c>
      <c r="E4031" s="36" t="str">
        <f t="array" ref="E4031">IFNA(_xlfn.XLOOKUP(D4031,Table_Tarikan_Warkah[Nomor Tiket],Table_Tarikan_Warkah[Tanggal diserahkan kepada Validator]),"")</f>
        <v/>
      </c>
      <c r="F4031" s="36" t="str">
        <f t="array" ref="F4031">IFNA(_xlfn.XLOOKUP(D4031,Table_Tarikan_Warkah[Nomor Tiket],Table_Tarikan_Warkah[Nama Petugas Warkah]),"")</f>
        <v/>
      </c>
      <c r="G4031" s="39" t="str">
        <f t="array" ref="G4031">IFNA(_xlfn.XLOOKUP(D4031,Table_Tarikan_Warkah[Nomor Tiket],Table_Tarikan_Warkah[Jenis Permohonan]),"")</f>
        <v>ROYA</v>
      </c>
      <c r="H4031" s="41" t="s">
        <v>2315</v>
      </c>
      <c r="I4031" s="49" t="s">
        <v>23</v>
      </c>
      <c r="J4031" s="36">
        <f t="shared" si="20"/>
        <v>45939.78121</v>
      </c>
      <c r="K4031" s="49" t="s">
        <v>26</v>
      </c>
      <c r="L4031" s="49" t="s">
        <v>23</v>
      </c>
      <c r="M4031" s="36">
        <f t="shared" si="33"/>
        <v>45944.40767</v>
      </c>
      <c r="N4031" s="30" t="str">
        <f t="shared" si="34"/>
        <v>Selesai</v>
      </c>
      <c r="O4031" s="45">
        <f t="shared" si="23"/>
        <v>45944.40767</v>
      </c>
      <c r="P4031" s="47" t="b">
        <v>1</v>
      </c>
      <c r="Q4031" s="36">
        <f t="shared" si="35"/>
        <v>45944.40777</v>
      </c>
      <c r="R4031" s="47" t="b">
        <v>0</v>
      </c>
      <c r="S4031" s="42" t="str">
        <f t="shared" si="28"/>
        <v/>
      </c>
      <c r="T4031" s="42"/>
    </row>
    <row r="4032" ht="22.5" customHeight="1">
      <c r="B4032" s="42">
        <f t="shared" si="7"/>
        <v>4026</v>
      </c>
      <c r="C4032" s="31" t="s">
        <v>4072</v>
      </c>
      <c r="D4032" s="34" t="str">
        <f t="array" ref="D4032">IFNA(_xlfn.XLOOKUP(C4032,Table_Tarikan_Warkah[Nomor Sertipikat],Table_Tarikan_Warkah[Nomor Tiket]),"")</f>
        <v>L/31/260925/1</v>
      </c>
      <c r="E4032" s="36" t="str">
        <f t="array" ref="E4032">IFNA(_xlfn.XLOOKUP(D4032,Table_Tarikan_Warkah[Nomor Tiket],Table_Tarikan_Warkah[Tanggal diserahkan kepada Validator]),"")</f>
        <v/>
      </c>
      <c r="F4032" s="36" t="str">
        <f t="array" ref="F4032">IFNA(_xlfn.XLOOKUP(D4032,Table_Tarikan_Warkah[Nomor Tiket],Table_Tarikan_Warkah[Nama Petugas Warkah]),"")</f>
        <v/>
      </c>
      <c r="G4032" s="39" t="str">
        <f t="array" ref="G4032">IFNA(_xlfn.XLOOKUP(D4032,Table_Tarikan_Warkah[Nomor Tiket],Table_Tarikan_Warkah[Jenis Permohonan]),"")</f>
        <v>PENINGKATAN HAK</v>
      </c>
      <c r="H4032" s="41" t="s">
        <v>2315</v>
      </c>
      <c r="I4032" s="49" t="s">
        <v>23</v>
      </c>
      <c r="J4032" s="36">
        <f t="shared" si="20"/>
        <v>45939.78135</v>
      </c>
      <c r="K4032" s="49" t="s">
        <v>26</v>
      </c>
      <c r="L4032" s="49" t="s">
        <v>23</v>
      </c>
      <c r="M4032" s="36">
        <f t="shared" si="33"/>
        <v>45944.40769</v>
      </c>
      <c r="N4032" s="30" t="str">
        <f t="shared" si="34"/>
        <v>Selesai</v>
      </c>
      <c r="O4032" s="45">
        <f t="shared" si="23"/>
        <v>45944.40769</v>
      </c>
      <c r="P4032" s="47" t="b">
        <v>1</v>
      </c>
      <c r="Q4032" s="36">
        <f t="shared" si="35"/>
        <v>45944.40786</v>
      </c>
      <c r="R4032" s="47" t="b">
        <v>0</v>
      </c>
      <c r="S4032" s="42" t="str">
        <f t="shared" si="28"/>
        <v/>
      </c>
      <c r="T4032" s="42"/>
    </row>
    <row r="4033" ht="22.5" customHeight="1">
      <c r="B4033" s="42">
        <f t="shared" si="7"/>
        <v>4027</v>
      </c>
      <c r="C4033" s="31" t="s">
        <v>4073</v>
      </c>
      <c r="D4033" s="34" t="str">
        <f t="array" ref="D4033">IFNA(_xlfn.XLOOKUP(C4033,Table_Tarikan_Warkah[Nomor Sertipikat],Table_Tarikan_Warkah[Nomor Tiket]),"")</f>
        <v>L/5/040928/1</v>
      </c>
      <c r="E4033" s="36" t="str">
        <f t="array" ref="E4033">IFNA(_xlfn.XLOOKUP(D4033,Table_Tarikan_Warkah[Nomor Tiket],Table_Tarikan_Warkah[Tanggal diserahkan kepada Validator]),"")</f>
        <v/>
      </c>
      <c r="F4033" s="36" t="str">
        <f t="array" ref="F4033">IFNA(_xlfn.XLOOKUP(D4033,Table_Tarikan_Warkah[Nomor Tiket],Table_Tarikan_Warkah[Nama Petugas Warkah]),"")</f>
        <v/>
      </c>
      <c r="G4033" s="39" t="str">
        <f t="array" ref="G4033">IFNA(_xlfn.XLOOKUP(D4033,Table_Tarikan_Warkah[Nomor Tiket],Table_Tarikan_Warkah[Jenis Permohonan]),"")</f>
        <v>ROYA WARIS</v>
      </c>
      <c r="H4033" s="41" t="s">
        <v>2315</v>
      </c>
      <c r="I4033" s="49" t="s">
        <v>23</v>
      </c>
      <c r="J4033" s="36">
        <f t="shared" si="20"/>
        <v>45939.78149</v>
      </c>
      <c r="K4033" s="49" t="s">
        <v>2378</v>
      </c>
      <c r="L4033" s="49" t="s">
        <v>23</v>
      </c>
      <c r="M4033" s="36">
        <f t="shared" si="33"/>
        <v>45940.49686</v>
      </c>
      <c r="N4033" s="30" t="str">
        <f t="shared" si="34"/>
        <v>Selesai</v>
      </c>
      <c r="O4033" s="45">
        <f t="shared" si="23"/>
        <v>45940.49686</v>
      </c>
      <c r="P4033" s="47" t="b">
        <v>0</v>
      </c>
      <c r="Q4033" s="36" t="str">
        <f t="shared" si="35"/>
        <v/>
      </c>
      <c r="R4033" s="47" t="b">
        <v>0</v>
      </c>
      <c r="S4033" s="42" t="str">
        <f t="shared" si="28"/>
        <v/>
      </c>
      <c r="T4033" s="42"/>
    </row>
    <row r="4034" ht="22.5" customHeight="1">
      <c r="B4034" s="42">
        <f t="shared" si="7"/>
        <v>4028</v>
      </c>
      <c r="C4034" s="31" t="s">
        <v>4074</v>
      </c>
      <c r="D4034" s="34" t="str">
        <f t="array" ref="D4034">IFNA(_xlfn.XLOOKUP(C4034,Table_Tarikan_Warkah[Nomor Sertipikat],Table_Tarikan_Warkah[Nomor Tiket]),"")</f>
        <v>L/31/040925/1</v>
      </c>
      <c r="E4034" s="36" t="str">
        <f t="array" ref="E4034">IFNA(_xlfn.XLOOKUP(D4034,Table_Tarikan_Warkah[Nomor Tiket],Table_Tarikan_Warkah[Tanggal diserahkan kepada Validator]),"")</f>
        <v/>
      </c>
      <c r="F4034" s="36" t="str">
        <f t="array" ref="F4034">IFNA(_xlfn.XLOOKUP(D4034,Table_Tarikan_Warkah[Nomor Tiket],Table_Tarikan_Warkah[Nama Petugas Warkah]),"")</f>
        <v/>
      </c>
      <c r="G4034" s="39" t="str">
        <f t="array" ref="G4034">IFNA(_xlfn.XLOOKUP(D4034,Table_Tarikan_Warkah[Nomor Tiket],Table_Tarikan_Warkah[Jenis Permohonan]),"")</f>
        <v>BN WARIS</v>
      </c>
      <c r="H4034" s="41" t="s">
        <v>2315</v>
      </c>
      <c r="I4034" s="49" t="s">
        <v>23</v>
      </c>
      <c r="J4034" s="36">
        <f t="shared" si="20"/>
        <v>45939.78166</v>
      </c>
      <c r="K4034" s="49" t="s">
        <v>26</v>
      </c>
      <c r="L4034" s="49" t="s">
        <v>23</v>
      </c>
      <c r="M4034" s="36">
        <f t="shared" si="33"/>
        <v>45944.40795</v>
      </c>
      <c r="N4034" s="30" t="str">
        <f t="shared" si="34"/>
        <v>Selesai</v>
      </c>
      <c r="O4034" s="45">
        <f t="shared" si="23"/>
        <v>45944.40795</v>
      </c>
      <c r="P4034" s="47" t="b">
        <v>1</v>
      </c>
      <c r="Q4034" s="36">
        <f t="shared" si="35"/>
        <v>45944.40798</v>
      </c>
      <c r="R4034" s="47" t="b">
        <v>0</v>
      </c>
      <c r="S4034" s="42" t="str">
        <f t="shared" si="28"/>
        <v/>
      </c>
      <c r="T4034" s="42"/>
    </row>
    <row r="4035" ht="22.5" customHeight="1">
      <c r="B4035" s="42">
        <f t="shared" si="7"/>
        <v>4029</v>
      </c>
      <c r="C4035" s="31" t="s">
        <v>4075</v>
      </c>
      <c r="D4035" s="34" t="str">
        <f t="array" ref="D4035">IFNA(_xlfn.XLOOKUP(C4035,Table_Tarikan_Warkah[Nomor Sertipikat],Table_Tarikan_Warkah[Nomor Tiket]),"")</f>
        <v>L/25/021025/1</v>
      </c>
      <c r="E4035" s="36" t="str">
        <f t="array" ref="E4035">IFNA(_xlfn.XLOOKUP(D4035,Table_Tarikan_Warkah[Nomor Tiket],Table_Tarikan_Warkah[Tanggal diserahkan kepada Validator]),"")</f>
        <v/>
      </c>
      <c r="F4035" s="36" t="str">
        <f t="array" ref="F4035">IFNA(_xlfn.XLOOKUP(D4035,Table_Tarikan_Warkah[Nomor Tiket],Table_Tarikan_Warkah[Nama Petugas Warkah]),"")</f>
        <v/>
      </c>
      <c r="G4035" s="39" t="str">
        <f t="array" ref="G4035">IFNA(_xlfn.XLOOKUP(D4035,Table_Tarikan_Warkah[Nomor Tiket],Table_Tarikan_Warkah[Jenis Permohonan]),"")</f>
        <v>ROYA</v>
      </c>
      <c r="H4035" s="41" t="s">
        <v>2315</v>
      </c>
      <c r="I4035" s="49" t="s">
        <v>23</v>
      </c>
      <c r="J4035" s="36">
        <f t="shared" si="20"/>
        <v>45939.78173</v>
      </c>
      <c r="K4035" s="49" t="s">
        <v>2378</v>
      </c>
      <c r="L4035" s="49" t="s">
        <v>23</v>
      </c>
      <c r="M4035" s="36">
        <f t="shared" si="33"/>
        <v>45940.49686</v>
      </c>
      <c r="N4035" s="30" t="str">
        <f t="shared" si="34"/>
        <v>Selesai</v>
      </c>
      <c r="O4035" s="45">
        <f t="shared" si="23"/>
        <v>45940.49686</v>
      </c>
      <c r="P4035" s="47" t="b">
        <v>0</v>
      </c>
      <c r="Q4035" s="36" t="str">
        <f t="shared" si="35"/>
        <v/>
      </c>
      <c r="R4035" s="47" t="b">
        <v>0</v>
      </c>
      <c r="S4035" s="42" t="str">
        <f t="shared" si="28"/>
        <v/>
      </c>
      <c r="T4035" s="42"/>
    </row>
    <row r="4036" ht="22.5" customHeight="1">
      <c r="B4036" s="42">
        <f t="shared" si="7"/>
        <v>4030</v>
      </c>
      <c r="C4036" s="31" t="s">
        <v>4076</v>
      </c>
      <c r="D4036" s="34" t="str">
        <f t="array" ref="D4036">IFNA(_xlfn.XLOOKUP(C4036,Table_Tarikan_Warkah[Nomor Sertipikat],Table_Tarikan_Warkah[Nomor Tiket]),"")</f>
        <v>L/14/011027/1</v>
      </c>
      <c r="E4036" s="36">
        <f t="array" ref="E4036">IFNA(_xlfn.XLOOKUP(D4036,Table_Tarikan_Warkah[Nomor Tiket],Table_Tarikan_Warkah[Tanggal diserahkan kepada Validator]),"")</f>
        <v>45975.47508</v>
      </c>
      <c r="F4036" s="36" t="str">
        <f t="array" ref="F4036">IFNA(_xlfn.XLOOKUP(D4036,Table_Tarikan_Warkah[Nomor Tiket],Table_Tarikan_Warkah[Nama Petugas Warkah]),"")</f>
        <v>Berry</v>
      </c>
      <c r="G4036" s="39" t="str">
        <f t="array" ref="G4036">IFNA(_xlfn.XLOOKUP(D4036,Table_Tarikan_Warkah[Nomor Tiket],Table_Tarikan_Warkah[Jenis Permohonan]),"")</f>
        <v>ROYA</v>
      </c>
      <c r="H4036" s="41" t="s">
        <v>2315</v>
      </c>
      <c r="I4036" s="49" t="s">
        <v>23</v>
      </c>
      <c r="J4036" s="36">
        <f t="shared" si="20"/>
        <v>45939.78234</v>
      </c>
      <c r="K4036" s="49" t="s">
        <v>2378</v>
      </c>
      <c r="L4036" s="49" t="s">
        <v>23</v>
      </c>
      <c r="M4036" s="36">
        <f t="shared" si="33"/>
        <v>45940.49686</v>
      </c>
      <c r="N4036" s="30" t="str">
        <f t="shared" si="34"/>
        <v>Selesai</v>
      </c>
      <c r="O4036" s="45">
        <f t="shared" si="23"/>
        <v>45940.49686</v>
      </c>
      <c r="P4036" s="47" t="b">
        <v>0</v>
      </c>
      <c r="Q4036" s="36" t="str">
        <f t="shared" si="35"/>
        <v/>
      </c>
      <c r="R4036" s="47" t="b">
        <v>0</v>
      </c>
      <c r="S4036" s="42" t="str">
        <f t="shared" si="28"/>
        <v/>
      </c>
      <c r="T4036" s="42"/>
    </row>
    <row r="4037" ht="22.5" customHeight="1">
      <c r="B4037" s="42">
        <f t="shared" si="7"/>
        <v>4031</v>
      </c>
      <c r="C4037" s="31" t="s">
        <v>4077</v>
      </c>
      <c r="D4037" s="34" t="str">
        <f t="array" ref="D4037">IFNA(_xlfn.XLOOKUP(C4037,Table_Tarikan_Warkah[Nomor Sertipikat],Table_Tarikan_Warkah[Nomor Tiket]),"")</f>
        <v>L/13/021025/1</v>
      </c>
      <c r="E4037" s="36" t="str">
        <f t="array" ref="E4037">IFNA(_xlfn.XLOOKUP(D4037,Table_Tarikan_Warkah[Nomor Tiket],Table_Tarikan_Warkah[Tanggal diserahkan kepada Validator]),"")</f>
        <v/>
      </c>
      <c r="F4037" s="36" t="str">
        <f t="array" ref="F4037">IFNA(_xlfn.XLOOKUP(D4037,Table_Tarikan_Warkah[Nomor Tiket],Table_Tarikan_Warkah[Nama Petugas Warkah]),"")</f>
        <v/>
      </c>
      <c r="G4037" s="39" t="str">
        <f t="array" ref="G4037">IFNA(_xlfn.XLOOKUP(D4037,Table_Tarikan_Warkah[Nomor Tiket],Table_Tarikan_Warkah[Jenis Permohonan]),"")</f>
        <v>ROYA</v>
      </c>
      <c r="H4037" s="41" t="s">
        <v>2315</v>
      </c>
      <c r="I4037" s="49" t="s">
        <v>23</v>
      </c>
      <c r="J4037" s="36">
        <f t="shared" si="20"/>
        <v>45939.78245</v>
      </c>
      <c r="K4037" s="49" t="s">
        <v>26</v>
      </c>
      <c r="L4037" s="49" t="s">
        <v>23</v>
      </c>
      <c r="M4037" s="36">
        <f t="shared" si="33"/>
        <v>45944.40831</v>
      </c>
      <c r="N4037" s="30" t="str">
        <f t="shared" si="34"/>
        <v>Selesai</v>
      </c>
      <c r="O4037" s="45">
        <f t="shared" si="23"/>
        <v>45944.40831</v>
      </c>
      <c r="P4037" s="47" t="b">
        <v>1</v>
      </c>
      <c r="Q4037" s="36">
        <f t="shared" si="35"/>
        <v>45944.40836</v>
      </c>
      <c r="R4037" s="47" t="b">
        <v>0</v>
      </c>
      <c r="S4037" s="42" t="str">
        <f t="shared" si="28"/>
        <v/>
      </c>
      <c r="T4037" s="42"/>
    </row>
    <row r="4038" ht="22.5" customHeight="1">
      <c r="B4038" s="42">
        <f t="shared" si="7"/>
        <v>4032</v>
      </c>
      <c r="C4038" s="31" t="s">
        <v>4078</v>
      </c>
      <c r="D4038" s="34" t="str">
        <f t="array" ref="D4038">IFNA(_xlfn.XLOOKUP(C4038,Table_Tarikan_Warkah[Nomor Sertipikat],Table_Tarikan_Warkah[Nomor Tiket]),"")</f>
        <v>L/3/270925/1</v>
      </c>
      <c r="E4038" s="36" t="str">
        <f t="array" ref="E4038">IFNA(_xlfn.XLOOKUP(D4038,Table_Tarikan_Warkah[Nomor Tiket],Table_Tarikan_Warkah[Tanggal diserahkan kepada Validator]),"")</f>
        <v/>
      </c>
      <c r="F4038" s="36" t="str">
        <f t="array" ref="F4038">IFNA(_xlfn.XLOOKUP(D4038,Table_Tarikan_Warkah[Nomor Tiket],Table_Tarikan_Warkah[Nama Petugas Warkah]),"")</f>
        <v/>
      </c>
      <c r="G4038" s="39" t="str">
        <f t="array" ref="G4038">IFNA(_xlfn.XLOOKUP(D4038,Table_Tarikan_Warkah[Nomor Tiket],Table_Tarikan_Warkah[Jenis Permohonan]),"")</f>
        <v>PENINGKATAN HAK</v>
      </c>
      <c r="H4038" s="41" t="s">
        <v>2315</v>
      </c>
      <c r="I4038" s="49" t="s">
        <v>23</v>
      </c>
      <c r="J4038" s="36">
        <f t="shared" si="20"/>
        <v>45939.78261</v>
      </c>
      <c r="K4038" s="49" t="s">
        <v>26</v>
      </c>
      <c r="L4038" s="49" t="s">
        <v>23</v>
      </c>
      <c r="M4038" s="36">
        <f t="shared" si="33"/>
        <v>45944.40833</v>
      </c>
      <c r="N4038" s="30" t="str">
        <f t="shared" si="34"/>
        <v>Selesai</v>
      </c>
      <c r="O4038" s="45">
        <f t="shared" si="23"/>
        <v>45944.40833</v>
      </c>
      <c r="P4038" s="47" t="b">
        <v>1</v>
      </c>
      <c r="Q4038" s="36">
        <f t="shared" si="35"/>
        <v>45944.40837</v>
      </c>
      <c r="R4038" s="47" t="b">
        <v>0</v>
      </c>
      <c r="S4038" s="42" t="str">
        <f t="shared" si="28"/>
        <v/>
      </c>
      <c r="T4038" s="42"/>
    </row>
    <row r="4039" ht="22.5" customHeight="1">
      <c r="B4039" s="42">
        <f t="shared" si="7"/>
        <v>4033</v>
      </c>
      <c r="C4039" s="31" t="s">
        <v>4079</v>
      </c>
      <c r="D4039" s="34" t="str">
        <f t="array" ref="D4039">IFNA(_xlfn.XLOOKUP(C4039,Table_Tarikan_Warkah[Nomor Sertipikat],Table_Tarikan_Warkah[Nomor Tiket]),"")</f>
        <v>K/33/120925/1</v>
      </c>
      <c r="E4039" s="36" t="str">
        <f t="array" ref="E4039">IFNA(_xlfn.XLOOKUP(D4039,Table_Tarikan_Warkah[Nomor Tiket],Table_Tarikan_Warkah[Tanggal diserahkan kepada Validator]),"")</f>
        <v/>
      </c>
      <c r="F4039" s="36" t="str">
        <f t="array" ref="F4039">IFNA(_xlfn.XLOOKUP(D4039,Table_Tarikan_Warkah[Nomor Tiket],Table_Tarikan_Warkah[Nama Petugas Warkah]),"")</f>
        <v/>
      </c>
      <c r="G4039" s="39" t="str">
        <f t="array" ref="G4039">IFNA(_xlfn.XLOOKUP(D4039,Table_Tarikan_Warkah[Nomor Tiket],Table_Tarikan_Warkah[Jenis Permohonan]),"")</f>
        <v>BN Waris	</v>
      </c>
      <c r="H4039" s="41" t="s">
        <v>2315</v>
      </c>
      <c r="I4039" s="49" t="s">
        <v>23</v>
      </c>
      <c r="J4039" s="36">
        <f t="shared" si="20"/>
        <v>45939.78296</v>
      </c>
      <c r="K4039" s="49" t="s">
        <v>2378</v>
      </c>
      <c r="L4039" s="49" t="s">
        <v>23</v>
      </c>
      <c r="M4039" s="36">
        <f t="shared" si="33"/>
        <v>45940.49686</v>
      </c>
      <c r="N4039" s="30" t="str">
        <f t="shared" si="34"/>
        <v>Selesai</v>
      </c>
      <c r="O4039" s="45">
        <f t="shared" si="23"/>
        <v>45940.49686</v>
      </c>
      <c r="P4039" s="47" t="b">
        <v>0</v>
      </c>
      <c r="Q4039" s="36" t="str">
        <f t="shared" si="35"/>
        <v/>
      </c>
      <c r="R4039" s="47" t="b">
        <v>0</v>
      </c>
      <c r="S4039" s="42" t="str">
        <f t="shared" si="28"/>
        <v/>
      </c>
      <c r="T4039" s="42"/>
    </row>
    <row r="4040" ht="22.5" customHeight="1">
      <c r="B4040" s="42">
        <f t="shared" si="7"/>
        <v>4034</v>
      </c>
      <c r="C4040" s="31" t="s">
        <v>4080</v>
      </c>
      <c r="D4040" s="34" t="str">
        <f t="array" ref="D4040">IFNA(_xlfn.XLOOKUP(C4040,Table_Tarikan_Warkah[Nomor Sertipikat],Table_Tarikan_Warkah[Nomor Tiket]),"")</f>
        <v>K/31/080925/1</v>
      </c>
      <c r="E4040" s="36">
        <f t="array" ref="E4040">IFNA(_xlfn.XLOOKUP(D4040,Table_Tarikan_Warkah[Nomor Tiket],Table_Tarikan_Warkah[Tanggal diserahkan kepada Validator]),"")</f>
        <v>45993.45988</v>
      </c>
      <c r="F4040" s="36" t="str">
        <f t="array" ref="F4040">IFNA(_xlfn.XLOOKUP(D4040,Table_Tarikan_Warkah[Nomor Tiket],Table_Tarikan_Warkah[Nama Petugas Warkah]),"")</f>
        <v>David</v>
      </c>
      <c r="G4040" s="39" t="str">
        <f t="array" ref="G4040">IFNA(_xlfn.XLOOKUP(D4040,Table_Tarikan_Warkah[Nomor Tiket],Table_Tarikan_Warkah[Jenis Permohonan]),"")</f>
        <v>BN Jual Beli		</v>
      </c>
      <c r="H4040" s="41" t="s">
        <v>2315</v>
      </c>
      <c r="I4040" s="49" t="s">
        <v>23</v>
      </c>
      <c r="J4040" s="36">
        <f t="shared" si="20"/>
        <v>45939.78317</v>
      </c>
      <c r="K4040" s="49" t="s">
        <v>2378</v>
      </c>
      <c r="L4040" s="49" t="s">
        <v>23</v>
      </c>
      <c r="M4040" s="36">
        <f t="shared" si="33"/>
        <v>45940.49686</v>
      </c>
      <c r="N4040" s="30" t="str">
        <f t="shared" si="34"/>
        <v>Selesai</v>
      </c>
      <c r="O4040" s="45">
        <f t="shared" si="23"/>
        <v>45940.49686</v>
      </c>
      <c r="P4040" s="47" t="b">
        <v>0</v>
      </c>
      <c r="Q4040" s="36" t="str">
        <f t="shared" si="35"/>
        <v/>
      </c>
      <c r="R4040" s="47" t="b">
        <v>0</v>
      </c>
      <c r="S4040" s="42" t="str">
        <f t="shared" si="28"/>
        <v/>
      </c>
      <c r="T4040" s="42"/>
    </row>
    <row r="4041" ht="22.5" customHeight="1">
      <c r="B4041" s="42">
        <f t="shared" si="7"/>
        <v>4035</v>
      </c>
      <c r="C4041" s="31" t="s">
        <v>4081</v>
      </c>
      <c r="D4041" s="34" t="str">
        <f t="array" ref="D4041">IFNA(_xlfn.XLOOKUP(C4041,Table_Tarikan_Warkah[Nomor Sertipikat],Table_Tarikan_Warkah[Nomor Tiket]),"")</f>
        <v>K/9/120925/2</v>
      </c>
      <c r="E4041" s="36" t="str">
        <f t="array" ref="E4041">IFNA(_xlfn.XLOOKUP(D4041,Table_Tarikan_Warkah[Nomor Tiket],Table_Tarikan_Warkah[Tanggal diserahkan kepada Validator]),"")</f>
        <v/>
      </c>
      <c r="F4041" s="36" t="str">
        <f t="array" ref="F4041">IFNA(_xlfn.XLOOKUP(D4041,Table_Tarikan_Warkah[Nomor Tiket],Table_Tarikan_Warkah[Nama Petugas Warkah]),"")</f>
        <v/>
      </c>
      <c r="G4041" s="39" t="str">
        <f t="array" ref="G4041">IFNA(_xlfn.XLOOKUP(D4041,Table_Tarikan_Warkah[Nomor Tiket],Table_Tarikan_Warkah[Jenis Permohonan]),"")</f>
        <v>BN Waris	</v>
      </c>
      <c r="H4041" s="41" t="s">
        <v>2315</v>
      </c>
      <c r="I4041" s="49" t="s">
        <v>23</v>
      </c>
      <c r="J4041" s="36">
        <f t="shared" si="20"/>
        <v>45939.78333</v>
      </c>
      <c r="K4041" s="49" t="s">
        <v>2378</v>
      </c>
      <c r="L4041" s="49" t="s">
        <v>23</v>
      </c>
      <c r="M4041" s="36">
        <f t="shared" si="33"/>
        <v>45940.49686</v>
      </c>
      <c r="N4041" s="30" t="str">
        <f t="shared" si="34"/>
        <v>Selesai</v>
      </c>
      <c r="O4041" s="45">
        <f t="shared" si="23"/>
        <v>45940.49686</v>
      </c>
      <c r="P4041" s="47" t="b">
        <v>0</v>
      </c>
      <c r="Q4041" s="36" t="str">
        <f t="shared" si="35"/>
        <v/>
      </c>
      <c r="R4041" s="47" t="b">
        <v>0</v>
      </c>
      <c r="S4041" s="42" t="str">
        <f t="shared" si="28"/>
        <v/>
      </c>
      <c r="T4041" s="42"/>
    </row>
    <row r="4042" ht="22.5" customHeight="1">
      <c r="B4042" s="42">
        <f t="shared" si="7"/>
        <v>4036</v>
      </c>
      <c r="C4042" s="31" t="s">
        <v>4082</v>
      </c>
      <c r="D4042" s="34" t="str">
        <f t="array" ref="D4042">IFNA(_xlfn.XLOOKUP(C4042,Table_Tarikan_Warkah[Nomor Sertipikat],Table_Tarikan_Warkah[Nomor Tiket]),"")</f>
        <v>K/37/020925/3</v>
      </c>
      <c r="E4042" s="36" t="str">
        <f t="array" ref="E4042">IFNA(_xlfn.XLOOKUP(D4042,Table_Tarikan_Warkah[Nomor Tiket],Table_Tarikan_Warkah[Tanggal diserahkan kepada Validator]),"")</f>
        <v/>
      </c>
      <c r="F4042" s="36" t="str">
        <f t="array" ref="F4042">IFNA(_xlfn.XLOOKUP(D4042,Table_Tarikan_Warkah[Nomor Tiket],Table_Tarikan_Warkah[Nama Petugas Warkah]),"")</f>
        <v/>
      </c>
      <c r="G4042" s="39" t="str">
        <f t="array" ref="G4042">IFNA(_xlfn.XLOOKUP(D4042,Table_Tarikan_Warkah[Nomor Tiket],Table_Tarikan_Warkah[Jenis Permohonan]),"")</f>
        <v>BN JUAL BELI</v>
      </c>
      <c r="H4042" s="41" t="s">
        <v>920</v>
      </c>
      <c r="I4042" s="49" t="s">
        <v>23</v>
      </c>
      <c r="J4042" s="36">
        <f t="shared" si="20"/>
        <v>45940.39882</v>
      </c>
      <c r="K4042" s="49" t="s">
        <v>920</v>
      </c>
      <c r="L4042" s="49" t="s">
        <v>23</v>
      </c>
      <c r="M4042" s="36">
        <f t="shared" si="33"/>
        <v>45940.39886</v>
      </c>
      <c r="N4042" s="30" t="str">
        <f t="shared" si="34"/>
        <v>Selesai</v>
      </c>
      <c r="O4042" s="45">
        <f t="shared" si="23"/>
        <v>45940.39886</v>
      </c>
      <c r="P4042" s="47" t="b">
        <v>1</v>
      </c>
      <c r="Q4042" s="36">
        <f t="shared" si="35"/>
        <v>45940.39888</v>
      </c>
      <c r="R4042" s="47" t="b">
        <v>0</v>
      </c>
      <c r="S4042" s="42" t="str">
        <f t="shared" si="28"/>
        <v/>
      </c>
      <c r="T4042" s="42"/>
    </row>
    <row r="4043" ht="22.5" customHeight="1">
      <c r="B4043" s="42">
        <f t="shared" si="7"/>
        <v>4037</v>
      </c>
      <c r="C4043" s="31" t="s">
        <v>4083</v>
      </c>
      <c r="D4043" s="34" t="str">
        <f t="array" ref="D4043">IFNA(_xlfn.XLOOKUP(C4043,Table_Tarikan_Warkah[Nomor Sertipikat],Table_Tarikan_Warkah[Nomor Tiket]),"")</f>
        <v>K/56/220825/5</v>
      </c>
      <c r="E4043" s="36" t="str">
        <f t="array" ref="E4043">IFNA(_xlfn.XLOOKUP(D4043,Table_Tarikan_Warkah[Nomor Tiket],Table_Tarikan_Warkah[Tanggal diserahkan kepada Validator]),"")</f>
        <v/>
      </c>
      <c r="F4043" s="36" t="str">
        <f t="array" ref="F4043">IFNA(_xlfn.XLOOKUP(D4043,Table_Tarikan_Warkah[Nomor Tiket],Table_Tarikan_Warkah[Nama Petugas Warkah]),"")</f>
        <v/>
      </c>
      <c r="G4043" s="39" t="str">
        <f t="array" ref="G4043">IFNA(_xlfn.XLOOKUP(D4043,Table_Tarikan_Warkah[Nomor Tiket],Table_Tarikan_Warkah[Jenis Permohonan]),"")</f>
        <v>BN Jual beli</v>
      </c>
      <c r="H4043" s="41" t="s">
        <v>920</v>
      </c>
      <c r="I4043" s="49" t="s">
        <v>23</v>
      </c>
      <c r="J4043" s="36">
        <f t="shared" si="20"/>
        <v>45940.39906</v>
      </c>
      <c r="K4043" s="49" t="s">
        <v>920</v>
      </c>
      <c r="L4043" s="49" t="s">
        <v>23</v>
      </c>
      <c r="M4043" s="36">
        <f t="shared" si="33"/>
        <v>45940.39909</v>
      </c>
      <c r="N4043" s="30" t="str">
        <f t="shared" si="34"/>
        <v>Selesai</v>
      </c>
      <c r="O4043" s="45">
        <f t="shared" si="23"/>
        <v>45940.39909</v>
      </c>
      <c r="P4043" s="47" t="b">
        <v>1</v>
      </c>
      <c r="Q4043" s="36">
        <f t="shared" si="35"/>
        <v>45940.39912</v>
      </c>
      <c r="R4043" s="47" t="b">
        <v>0</v>
      </c>
      <c r="S4043" s="42" t="str">
        <f t="shared" si="28"/>
        <v/>
      </c>
      <c r="T4043" s="42"/>
    </row>
    <row r="4044" ht="22.5" customHeight="1">
      <c r="B4044" s="42">
        <f t="shared" si="7"/>
        <v>4038</v>
      </c>
      <c r="C4044" s="31" t="s">
        <v>4084</v>
      </c>
      <c r="D4044" s="34" t="str">
        <f t="array" ref="D4044">IFNA(_xlfn.XLOOKUP(C4044,Table_Tarikan_Warkah[Nomor Sertipikat],Table_Tarikan_Warkah[Nomor Tiket]),"")</f>
        <v>K/15/011027/1</v>
      </c>
      <c r="E4044" s="36" t="str">
        <f t="array" ref="E4044">IFNA(_xlfn.XLOOKUP(D4044,Table_Tarikan_Warkah[Nomor Tiket],Table_Tarikan_Warkah[Tanggal diserahkan kepada Validator]),"")</f>
        <v/>
      </c>
      <c r="F4044" s="36" t="str">
        <f t="array" ref="F4044">IFNA(_xlfn.XLOOKUP(D4044,Table_Tarikan_Warkah[Nomor Tiket],Table_Tarikan_Warkah[Nama Petugas Warkah]),"")</f>
        <v/>
      </c>
      <c r="G4044" s="39" t="str">
        <f t="array" ref="G4044">IFNA(_xlfn.XLOOKUP(D4044,Table_Tarikan_Warkah[Nomor Tiket],Table_Tarikan_Warkah[Jenis Permohonan]),"")</f>
        <v>ROYA</v>
      </c>
      <c r="H4044" s="41" t="s">
        <v>20</v>
      </c>
      <c r="I4044" s="49" t="s">
        <v>23</v>
      </c>
      <c r="J4044" s="36">
        <f t="shared" si="20"/>
        <v>45940.40267</v>
      </c>
      <c r="K4044" s="69"/>
      <c r="L4044" s="49"/>
      <c r="M4044" s="36" t="str">
        <f t="shared" si="33"/>
        <v/>
      </c>
      <c r="N4044" s="30" t="str">
        <f t="shared" si="34"/>
        <v>BT atau SU Belum Valid</v>
      </c>
      <c r="O4044" s="39" t="str">
        <f t="shared" si="23"/>
        <v/>
      </c>
      <c r="P4044" s="47" t="b">
        <v>0</v>
      </c>
      <c r="Q4044" s="36" t="str">
        <f t="shared" si="35"/>
        <v/>
      </c>
      <c r="R4044" s="47" t="b">
        <v>0</v>
      </c>
      <c r="S4044" s="42" t="str">
        <f t="shared" si="28"/>
        <v/>
      </c>
      <c r="T4044" s="42"/>
    </row>
    <row r="4045" ht="22.5" customHeight="1">
      <c r="B4045" s="42">
        <f t="shared" si="7"/>
        <v>4039</v>
      </c>
      <c r="C4045" s="31" t="s">
        <v>4085</v>
      </c>
      <c r="D4045" s="34" t="str">
        <f t="array" ref="D4045">IFNA(_xlfn.XLOOKUP(C4045,Table_Tarikan_Warkah[Nomor Sertipikat],Table_Tarikan_Warkah[Nomor Tiket]),"")</f>
        <v>K/30/170925/1</v>
      </c>
      <c r="E4045" s="36" t="str">
        <f t="array" ref="E4045">IFNA(_xlfn.XLOOKUP(D4045,Table_Tarikan_Warkah[Nomor Tiket],Table_Tarikan_Warkah[Tanggal diserahkan kepada Validator]),"")</f>
        <v/>
      </c>
      <c r="F4045" s="36" t="str">
        <f t="array" ref="F4045">IFNA(_xlfn.XLOOKUP(D4045,Table_Tarikan_Warkah[Nomor Tiket],Table_Tarikan_Warkah[Nama Petugas Warkah]),"")</f>
        <v/>
      </c>
      <c r="G4045" s="39" t="str">
        <f t="array" ref="G4045">IFNA(_xlfn.XLOOKUP(D4045,Table_Tarikan_Warkah[Nomor Tiket],Table_Tarikan_Warkah[Jenis Permohonan]),"")</f>
        <v>BN JUAL BELI EL</v>
      </c>
      <c r="H4045" s="41" t="s">
        <v>920</v>
      </c>
      <c r="I4045" s="49" t="s">
        <v>23</v>
      </c>
      <c r="J4045" s="36">
        <f t="shared" si="20"/>
        <v>45943.43513</v>
      </c>
      <c r="K4045" s="49" t="s">
        <v>920</v>
      </c>
      <c r="L4045" s="49" t="s">
        <v>23</v>
      </c>
      <c r="M4045" s="36">
        <f t="shared" si="33"/>
        <v>45943.43513</v>
      </c>
      <c r="N4045" s="30" t="str">
        <f t="shared" si="34"/>
        <v>Selesai</v>
      </c>
      <c r="O4045" s="45">
        <f t="shared" si="23"/>
        <v>45943.43513</v>
      </c>
      <c r="P4045" s="47" t="b">
        <v>1</v>
      </c>
      <c r="Q4045" s="36">
        <f t="shared" si="35"/>
        <v>45943.43513</v>
      </c>
      <c r="R4045" s="47" t="b">
        <v>0</v>
      </c>
      <c r="S4045" s="42" t="str">
        <f t="shared" si="28"/>
        <v/>
      </c>
      <c r="T4045" s="42"/>
    </row>
    <row r="4046" ht="22.5" customHeight="1">
      <c r="B4046" s="42">
        <f t="shared" si="7"/>
        <v>4040</v>
      </c>
      <c r="C4046" s="31" t="s">
        <v>4086</v>
      </c>
      <c r="D4046" s="34" t="str">
        <f t="array" ref="D4046">IFNA(_xlfn.XLOOKUP(C4046,Table_Tarikan_Warkah[Nomor Sertipikat],Table_Tarikan_Warkah[Nomor Tiket]),"")</f>
        <v>K/10/250825/3</v>
      </c>
      <c r="E4046" s="36">
        <f t="array" ref="E4046">IFNA(_xlfn.XLOOKUP(D4046,Table_Tarikan_Warkah[Nomor Tiket],Table_Tarikan_Warkah[Tanggal diserahkan kepada Validator]),"")</f>
        <v>45910.59395</v>
      </c>
      <c r="F4046" s="36" t="str">
        <f t="array" ref="F4046">IFNA(_xlfn.XLOOKUP(D4046,Table_Tarikan_Warkah[Nomor Tiket],Table_Tarikan_Warkah[Nama Petugas Warkah]),"")</f>
        <v>Berry</v>
      </c>
      <c r="G4046" s="39" t="str">
        <f t="array" ref="G4046">IFNA(_xlfn.XLOOKUP(D4046,Table_Tarikan_Warkah[Nomor Tiket],Table_Tarikan_Warkah[Jenis Permohonan]),"")</f>
        <v>BN JUAL BELI EL </v>
      </c>
      <c r="H4046" s="41" t="s">
        <v>920</v>
      </c>
      <c r="I4046" s="49" t="s">
        <v>23</v>
      </c>
      <c r="J4046" s="36">
        <f t="shared" si="20"/>
        <v>45943.4353</v>
      </c>
      <c r="K4046" s="49" t="s">
        <v>920</v>
      </c>
      <c r="L4046" s="49" t="s">
        <v>23</v>
      </c>
      <c r="M4046" s="36">
        <f t="shared" si="33"/>
        <v>45943.43532</v>
      </c>
      <c r="N4046" s="30" t="str">
        <f t="shared" si="34"/>
        <v>Selesai</v>
      </c>
      <c r="O4046" s="45">
        <f t="shared" si="23"/>
        <v>45943.43532</v>
      </c>
      <c r="P4046" s="47" t="b">
        <v>1</v>
      </c>
      <c r="Q4046" s="36">
        <f t="shared" si="35"/>
        <v>45943.43536</v>
      </c>
      <c r="R4046" s="47" t="b">
        <v>0</v>
      </c>
      <c r="S4046" s="42" t="str">
        <f t="shared" si="28"/>
        <v/>
      </c>
      <c r="T4046" s="42"/>
    </row>
    <row r="4047" ht="22.5" customHeight="1">
      <c r="B4047" s="42">
        <f t="shared" si="7"/>
        <v>4041</v>
      </c>
      <c r="C4047" s="31" t="s">
        <v>4087</v>
      </c>
      <c r="D4047" s="34" t="str">
        <f t="array" ref="D4047">IFNA(_xlfn.XLOOKUP(C4047,Table_Tarikan_Warkah[Nomor Sertipikat],Table_Tarikan_Warkah[Nomor Tiket]),"")</f>
        <v>K/18/170925/5</v>
      </c>
      <c r="E4047" s="36">
        <f t="array" ref="E4047">IFNA(_xlfn.XLOOKUP(D4047,Table_Tarikan_Warkah[Nomor Tiket],Table_Tarikan_Warkah[Tanggal diserahkan kepada Validator]),"")</f>
        <v>45968.4908</v>
      </c>
      <c r="F4047" s="36" t="str">
        <f t="array" ref="F4047">IFNA(_xlfn.XLOOKUP(D4047,Table_Tarikan_Warkah[Nomor Tiket],Table_Tarikan_Warkah[Nama Petugas Warkah]),"")</f>
        <v>Berry</v>
      </c>
      <c r="G4047" s="39" t="str">
        <f t="array" ref="G4047">IFNA(_xlfn.XLOOKUP(D4047,Table_Tarikan_Warkah[Nomor Tiket],Table_Tarikan_Warkah[Jenis Permohonan]),"")</f>
        <v>BN JUAL BELI EL</v>
      </c>
      <c r="H4047" s="41" t="s">
        <v>920</v>
      </c>
      <c r="I4047" s="49" t="s">
        <v>23</v>
      </c>
      <c r="J4047" s="36">
        <f t="shared" si="20"/>
        <v>45943.4355</v>
      </c>
      <c r="K4047" s="49" t="s">
        <v>920</v>
      </c>
      <c r="L4047" s="49" t="s">
        <v>23</v>
      </c>
      <c r="M4047" s="36">
        <f t="shared" si="33"/>
        <v>45943.43554</v>
      </c>
      <c r="N4047" s="30" t="str">
        <f t="shared" si="34"/>
        <v>Selesai</v>
      </c>
      <c r="O4047" s="45">
        <f t="shared" si="23"/>
        <v>45943.43554</v>
      </c>
      <c r="P4047" s="47" t="b">
        <v>1</v>
      </c>
      <c r="Q4047" s="36">
        <f t="shared" si="35"/>
        <v>45943.43557</v>
      </c>
      <c r="R4047" s="47" t="b">
        <v>0</v>
      </c>
      <c r="S4047" s="42" t="str">
        <f t="shared" si="28"/>
        <v/>
      </c>
      <c r="T4047" s="42"/>
    </row>
    <row r="4048" ht="22.5" customHeight="1">
      <c r="B4048" s="42">
        <f t="shared" si="7"/>
        <v>4042</v>
      </c>
      <c r="C4048" s="31" t="s">
        <v>4088</v>
      </c>
      <c r="D4048" s="34" t="str">
        <f t="array" ref="D4048">IFNA(_xlfn.XLOOKUP(C4048,Table_Tarikan_Warkah[Nomor Sertipikat],Table_Tarikan_Warkah[Nomor Tiket]),"")</f>
        <v>K/6/010925/1</v>
      </c>
      <c r="E4048" s="36" t="str">
        <f t="array" ref="E4048">IFNA(_xlfn.XLOOKUP(D4048,Table_Tarikan_Warkah[Nomor Tiket],Table_Tarikan_Warkah[Tanggal diserahkan kepada Validator]),"")</f>
        <v/>
      </c>
      <c r="F4048" s="36" t="str">
        <f t="array" ref="F4048">IFNA(_xlfn.XLOOKUP(D4048,Table_Tarikan_Warkah[Nomor Tiket],Table_Tarikan_Warkah[Nama Petugas Warkah]),"")</f>
        <v/>
      </c>
      <c r="G4048" s="39" t="str">
        <f t="array" ref="G4048">IFNA(_xlfn.XLOOKUP(D4048,Table_Tarikan_Warkah[Nomor Tiket],Table_Tarikan_Warkah[Jenis Permohonan]),"")</f>
        <v>BN Jual Beli	</v>
      </c>
      <c r="H4048" s="41" t="s">
        <v>920</v>
      </c>
      <c r="I4048" s="49" t="s">
        <v>23</v>
      </c>
      <c r="J4048" s="36">
        <f t="shared" si="20"/>
        <v>45943.43582</v>
      </c>
      <c r="K4048" s="49" t="s">
        <v>920</v>
      </c>
      <c r="L4048" s="49" t="s">
        <v>23</v>
      </c>
      <c r="M4048" s="36">
        <f t="shared" si="33"/>
        <v>45943.43586</v>
      </c>
      <c r="N4048" s="30" t="str">
        <f t="shared" si="34"/>
        <v>Selesai</v>
      </c>
      <c r="O4048" s="45">
        <f t="shared" si="23"/>
        <v>45943.43586</v>
      </c>
      <c r="P4048" s="47" t="b">
        <v>1</v>
      </c>
      <c r="Q4048" s="36">
        <f t="shared" si="35"/>
        <v>45943.43587</v>
      </c>
      <c r="R4048" s="47" t="b">
        <v>0</v>
      </c>
      <c r="S4048" s="42" t="str">
        <f t="shared" si="28"/>
        <v/>
      </c>
      <c r="T4048" s="42"/>
    </row>
    <row r="4049" ht="22.5" customHeight="1">
      <c r="B4049" s="42">
        <f t="shared" si="7"/>
        <v>4043</v>
      </c>
      <c r="C4049" s="31" t="s">
        <v>4089</v>
      </c>
      <c r="D4049" s="34" t="str">
        <f t="array" ref="D4049">IFNA(_xlfn.XLOOKUP(C4049,Table_Tarikan_Warkah[Nomor Sertipikat],Table_Tarikan_Warkah[Nomor Tiket]),"")</f>
        <v>K/37/040925/1</v>
      </c>
      <c r="E4049" s="36" t="str">
        <f t="array" ref="E4049">IFNA(_xlfn.XLOOKUP(D4049,Table_Tarikan_Warkah[Nomor Tiket],Table_Tarikan_Warkah[Tanggal diserahkan kepada Validator]),"")</f>
        <v/>
      </c>
      <c r="F4049" s="36" t="str">
        <f t="array" ref="F4049">IFNA(_xlfn.XLOOKUP(D4049,Table_Tarikan_Warkah[Nomor Tiket],Table_Tarikan_Warkah[Nama Petugas Warkah]),"")</f>
        <v/>
      </c>
      <c r="G4049" s="39" t="str">
        <f t="array" ref="G4049">IFNA(_xlfn.XLOOKUP(D4049,Table_Tarikan_Warkah[Nomor Tiket],Table_Tarikan_Warkah[Jenis Permohonan]),"")</f>
        <v>BN JUAL BELI</v>
      </c>
      <c r="H4049" s="41" t="s">
        <v>2315</v>
      </c>
      <c r="I4049" s="49" t="s">
        <v>23</v>
      </c>
      <c r="J4049" s="36">
        <f t="shared" si="20"/>
        <v>45943.55012</v>
      </c>
      <c r="K4049" s="49" t="s">
        <v>26</v>
      </c>
      <c r="L4049" s="49" t="s">
        <v>23</v>
      </c>
      <c r="M4049" s="36">
        <f t="shared" si="33"/>
        <v>45944.59207</v>
      </c>
      <c r="N4049" s="30" t="str">
        <f t="shared" si="34"/>
        <v>Selesai</v>
      </c>
      <c r="O4049" s="45">
        <f t="shared" si="23"/>
        <v>45944.59207</v>
      </c>
      <c r="P4049" s="47" t="b">
        <v>1</v>
      </c>
      <c r="Q4049" s="36">
        <f t="shared" si="35"/>
        <v>45944.59208</v>
      </c>
      <c r="R4049" s="47" t="b">
        <v>0</v>
      </c>
      <c r="S4049" s="42" t="str">
        <f t="shared" si="28"/>
        <v/>
      </c>
      <c r="T4049" s="42"/>
    </row>
    <row r="4050" ht="22.5" customHeight="1">
      <c r="B4050" s="42">
        <f t="shared" si="7"/>
        <v>4044</v>
      </c>
      <c r="C4050" s="31" t="s">
        <v>4090</v>
      </c>
      <c r="D4050" s="34" t="str">
        <f t="array" ref="D4050">IFNA(_xlfn.XLOOKUP(C4050,Table_Tarikan_Warkah[Nomor Sertipikat],Table_Tarikan_Warkah[Nomor Tiket]),"")</f>
        <v>K/6/260925/1</v>
      </c>
      <c r="E4050" s="36" t="str">
        <f t="array" ref="E4050">IFNA(_xlfn.XLOOKUP(D4050,Table_Tarikan_Warkah[Nomor Tiket],Table_Tarikan_Warkah[Tanggal diserahkan kepada Validator]),"")</f>
        <v/>
      </c>
      <c r="F4050" s="36" t="str">
        <f t="array" ref="F4050">IFNA(_xlfn.XLOOKUP(D4050,Table_Tarikan_Warkah[Nomor Tiket],Table_Tarikan_Warkah[Nama Petugas Warkah]),"")</f>
        <v/>
      </c>
      <c r="G4050" s="39" t="str">
        <f t="array" ref="G4050">IFNA(_xlfn.XLOOKUP(D4050,Table_Tarikan_Warkah[Nomor Tiket],Table_Tarikan_Warkah[Jenis Permohonan]),"")</f>
        <v>Peningkatan Hak		</v>
      </c>
      <c r="H4050" s="41" t="s">
        <v>2315</v>
      </c>
      <c r="I4050" s="49" t="s">
        <v>23</v>
      </c>
      <c r="J4050" s="36">
        <f t="shared" si="20"/>
        <v>45943.55025</v>
      </c>
      <c r="K4050" s="49" t="s">
        <v>26</v>
      </c>
      <c r="L4050" s="49" t="s">
        <v>23</v>
      </c>
      <c r="M4050" s="36">
        <f t="shared" si="33"/>
        <v>45944.59264</v>
      </c>
      <c r="N4050" s="30" t="str">
        <f t="shared" si="34"/>
        <v>Selesai</v>
      </c>
      <c r="O4050" s="45">
        <f t="shared" si="23"/>
        <v>45944.59264</v>
      </c>
      <c r="P4050" s="47" t="b">
        <v>1</v>
      </c>
      <c r="Q4050" s="36">
        <f t="shared" si="35"/>
        <v>45944.59277</v>
      </c>
      <c r="R4050" s="47" t="b">
        <v>0</v>
      </c>
      <c r="S4050" s="42" t="str">
        <f t="shared" si="28"/>
        <v/>
      </c>
      <c r="T4050" s="42"/>
    </row>
    <row r="4051" ht="22.5" customHeight="1">
      <c r="B4051" s="42">
        <f t="shared" si="7"/>
        <v>4045</v>
      </c>
      <c r="C4051" s="31" t="s">
        <v>4091</v>
      </c>
      <c r="D4051" s="34" t="str">
        <f t="array" ref="D4051">IFNA(_xlfn.XLOOKUP(C4051,Table_Tarikan_Warkah[Nomor Sertipikat],Table_Tarikan_Warkah[Nomor Tiket]),"")</f>
        <v>K/20/050825/1</v>
      </c>
      <c r="E4051" s="36">
        <f t="array" ref="E4051">IFNA(_xlfn.XLOOKUP(D4051,Table_Tarikan_Warkah[Nomor Tiket],Table_Tarikan_Warkah[Tanggal diserahkan kepada Validator]),"")</f>
        <v>45890.59559</v>
      </c>
      <c r="F4051" s="36" t="str">
        <f t="array" ref="F4051">IFNA(_xlfn.XLOOKUP(D4051,Table_Tarikan_Warkah[Nomor Tiket],Table_Tarikan_Warkah[Nama Petugas Warkah]),"")</f>
        <v>Berry</v>
      </c>
      <c r="G4051" s="39" t="str">
        <f t="array" ref="G4051">IFNA(_xlfn.XLOOKUP(D4051,Table_Tarikan_Warkah[Nomor Tiket],Table_Tarikan_Warkah[Jenis Permohonan]),"")</f>
        <v>BN WARIS</v>
      </c>
      <c r="H4051" s="41" t="s">
        <v>2315</v>
      </c>
      <c r="I4051" s="49" t="s">
        <v>23</v>
      </c>
      <c r="J4051" s="36">
        <f t="shared" si="20"/>
        <v>45943.55037</v>
      </c>
      <c r="K4051" s="49" t="s">
        <v>26</v>
      </c>
      <c r="L4051" s="49" t="s">
        <v>23</v>
      </c>
      <c r="M4051" s="36">
        <f t="shared" si="33"/>
        <v>45944.5927</v>
      </c>
      <c r="N4051" s="30" t="str">
        <f t="shared" si="34"/>
        <v>Selesai</v>
      </c>
      <c r="O4051" s="45">
        <f t="shared" si="23"/>
        <v>45944.5927</v>
      </c>
      <c r="P4051" s="47" t="b">
        <v>1</v>
      </c>
      <c r="Q4051" s="36">
        <f t="shared" si="35"/>
        <v>45944.59278</v>
      </c>
      <c r="R4051" s="47" t="b">
        <v>0</v>
      </c>
      <c r="S4051" s="42" t="str">
        <f t="shared" si="28"/>
        <v/>
      </c>
      <c r="T4051" s="42"/>
    </row>
    <row r="4052" ht="22.5" customHeight="1">
      <c r="B4052" s="42">
        <f t="shared" si="7"/>
        <v>4046</v>
      </c>
      <c r="C4052" s="31" t="s">
        <v>4092</v>
      </c>
      <c r="D4052" s="34" t="str">
        <f t="array" ref="D4052">IFNA(_xlfn.XLOOKUP(C4052,Table_Tarikan_Warkah[Nomor Sertipikat],Table_Tarikan_Warkah[Nomor Tiket]),"")</f>
        <v>K/18/240725/1</v>
      </c>
      <c r="E4052" s="36" t="str">
        <f t="array" ref="E4052">IFNA(_xlfn.XLOOKUP(D4052,Table_Tarikan_Warkah[Nomor Tiket],Table_Tarikan_Warkah[Tanggal diserahkan kepada Validator]),"")</f>
        <v/>
      </c>
      <c r="F4052" s="36" t="str">
        <f t="array" ref="F4052">IFNA(_xlfn.XLOOKUP(D4052,Table_Tarikan_Warkah[Nomor Tiket],Table_Tarikan_Warkah[Nama Petugas Warkah]),"")</f>
        <v/>
      </c>
      <c r="G4052" s="39" t="str">
        <f t="array" ref="G4052">IFNA(_xlfn.XLOOKUP(D4052,Table_Tarikan_Warkah[Nomor Tiket],Table_Tarikan_Warkah[Jenis Permohonan]),"")</f>
        <v>BN WARIS</v>
      </c>
      <c r="H4052" s="41" t="s">
        <v>2315</v>
      </c>
      <c r="I4052" s="49" t="s">
        <v>23</v>
      </c>
      <c r="J4052" s="36">
        <f t="shared" si="20"/>
        <v>45943.55055</v>
      </c>
      <c r="K4052" s="49" t="s">
        <v>26</v>
      </c>
      <c r="L4052" s="49" t="s">
        <v>23</v>
      </c>
      <c r="M4052" s="36">
        <f t="shared" si="33"/>
        <v>45944.59272</v>
      </c>
      <c r="N4052" s="30" t="str">
        <f t="shared" si="34"/>
        <v>Selesai</v>
      </c>
      <c r="O4052" s="45">
        <f t="shared" si="23"/>
        <v>45944.59272</v>
      </c>
      <c r="P4052" s="47" t="b">
        <v>1</v>
      </c>
      <c r="Q4052" s="36">
        <f t="shared" si="35"/>
        <v>45944.59279</v>
      </c>
      <c r="R4052" s="47" t="b">
        <v>0</v>
      </c>
      <c r="S4052" s="42" t="str">
        <f t="shared" si="28"/>
        <v/>
      </c>
      <c r="T4052" s="42"/>
    </row>
    <row r="4053" ht="22.5" customHeight="1">
      <c r="B4053" s="42">
        <f t="shared" si="7"/>
        <v>4047</v>
      </c>
      <c r="C4053" s="31" t="s">
        <v>4093</v>
      </c>
      <c r="D4053" s="34" t="str">
        <f t="array" ref="D4053">IFNA(_xlfn.XLOOKUP(C4053,Table_Tarikan_Warkah[Nomor Sertipikat],Table_Tarikan_Warkah[Nomor Tiket]),"")</f>
        <v>L/19/031025/1</v>
      </c>
      <c r="E4053" s="36">
        <f t="array" ref="E4053">IFNA(_xlfn.XLOOKUP(D4053,Table_Tarikan_Warkah[Nomor Tiket],Table_Tarikan_Warkah[Tanggal diserahkan kepada Validator]),"")</f>
        <v>45968.48862</v>
      </c>
      <c r="F4053" s="36" t="str">
        <f t="array" ref="F4053">IFNA(_xlfn.XLOOKUP(D4053,Table_Tarikan_Warkah[Nomor Tiket],Table_Tarikan_Warkah[Nama Petugas Warkah]),"")</f>
        <v>Berry</v>
      </c>
      <c r="G4053" s="39" t="str">
        <f t="array" ref="G4053">IFNA(_xlfn.XLOOKUP(D4053,Table_Tarikan_Warkah[Nomor Tiket],Table_Tarikan_Warkah[Jenis Permohonan]),"")</f>
        <v>ROYA</v>
      </c>
      <c r="H4053" s="41" t="s">
        <v>2315</v>
      </c>
      <c r="I4053" s="49" t="s">
        <v>23</v>
      </c>
      <c r="J4053" s="36">
        <f t="shared" si="20"/>
        <v>45943.55072</v>
      </c>
      <c r="K4053" s="69"/>
      <c r="L4053" s="49"/>
      <c r="M4053" s="36" t="str">
        <f t="shared" si="33"/>
        <v/>
      </c>
      <c r="N4053" s="30" t="str">
        <f t="shared" si="34"/>
        <v>BT atau SU Belum Valid</v>
      </c>
      <c r="O4053" s="39" t="str">
        <f t="shared" si="23"/>
        <v/>
      </c>
      <c r="P4053" s="47" t="b">
        <v>0</v>
      </c>
      <c r="Q4053" s="36" t="str">
        <f t="shared" si="35"/>
        <v/>
      </c>
      <c r="R4053" s="47" t="b">
        <v>0</v>
      </c>
      <c r="S4053" s="42" t="str">
        <f t="shared" si="28"/>
        <v/>
      </c>
      <c r="T4053" s="42"/>
    </row>
    <row r="4054" ht="22.5" customHeight="1">
      <c r="B4054" s="42">
        <f t="shared" si="7"/>
        <v>4048</v>
      </c>
      <c r="C4054" s="31" t="s">
        <v>4094</v>
      </c>
      <c r="D4054" s="34" t="str">
        <f t="array" ref="D4054">IFNA(_xlfn.XLOOKUP(C4054,Table_Tarikan_Warkah[Nomor Sertipikat],Table_Tarikan_Warkah[Nomor Tiket]),"")</f>
        <v>K/13/250925/1</v>
      </c>
      <c r="E4054" s="36" t="str">
        <f t="array" ref="E4054">IFNA(_xlfn.XLOOKUP(D4054,Table_Tarikan_Warkah[Nomor Tiket],Table_Tarikan_Warkah[Tanggal diserahkan kepada Validator]),"")</f>
        <v/>
      </c>
      <c r="F4054" s="36" t="str">
        <f t="array" ref="F4054">IFNA(_xlfn.XLOOKUP(D4054,Table_Tarikan_Warkah[Nomor Tiket],Table_Tarikan_Warkah[Nama Petugas Warkah]),"")</f>
        <v/>
      </c>
      <c r="G4054" s="39" t="str">
        <f t="array" ref="G4054">IFNA(_xlfn.XLOOKUP(D4054,Table_Tarikan_Warkah[Nomor Tiket],Table_Tarikan_Warkah[Jenis Permohonan]),"")</f>
        <v>BN WARIS</v>
      </c>
      <c r="H4054" s="41" t="s">
        <v>2315</v>
      </c>
      <c r="I4054" s="49" t="s">
        <v>23</v>
      </c>
      <c r="J4054" s="36">
        <f t="shared" si="20"/>
        <v>45943.55082</v>
      </c>
      <c r="K4054" s="69"/>
      <c r="L4054" s="49"/>
      <c r="M4054" s="36" t="str">
        <f t="shared" si="33"/>
        <v/>
      </c>
      <c r="N4054" s="30" t="str">
        <f t="shared" si="34"/>
        <v>BT atau SU Belum Valid</v>
      </c>
      <c r="O4054" s="39" t="str">
        <f t="shared" si="23"/>
        <v/>
      </c>
      <c r="P4054" s="47" t="b">
        <v>0</v>
      </c>
      <c r="Q4054" s="36" t="str">
        <f t="shared" si="35"/>
        <v/>
      </c>
      <c r="R4054" s="47" t="b">
        <v>0</v>
      </c>
      <c r="S4054" s="42" t="str">
        <f t="shared" si="28"/>
        <v/>
      </c>
      <c r="T4054" s="42"/>
    </row>
    <row r="4055" ht="22.5" customHeight="1">
      <c r="B4055" s="42">
        <f t="shared" si="7"/>
        <v>4049</v>
      </c>
      <c r="C4055" s="31" t="s">
        <v>4084</v>
      </c>
      <c r="D4055" s="34" t="str">
        <f t="array" ref="D4055">IFNA(_xlfn.XLOOKUP(C4055,Table_Tarikan_Warkah[Nomor Sertipikat],Table_Tarikan_Warkah[Nomor Tiket]),"")</f>
        <v>K/15/011027/1</v>
      </c>
      <c r="E4055" s="36" t="str">
        <f t="array" ref="E4055">IFNA(_xlfn.XLOOKUP(D4055,Table_Tarikan_Warkah[Nomor Tiket],Table_Tarikan_Warkah[Tanggal diserahkan kepada Validator]),"")</f>
        <v/>
      </c>
      <c r="F4055" s="36" t="str">
        <f t="array" ref="F4055">IFNA(_xlfn.XLOOKUP(D4055,Table_Tarikan_Warkah[Nomor Tiket],Table_Tarikan_Warkah[Nama Petugas Warkah]),"")</f>
        <v/>
      </c>
      <c r="G4055" s="39" t="str">
        <f t="array" ref="G4055">IFNA(_xlfn.XLOOKUP(D4055,Table_Tarikan_Warkah[Nomor Tiket],Table_Tarikan_Warkah[Jenis Permohonan]),"")</f>
        <v>ROYA</v>
      </c>
      <c r="H4055" s="41" t="s">
        <v>2315</v>
      </c>
      <c r="I4055" s="49" t="s">
        <v>23</v>
      </c>
      <c r="J4055" s="36">
        <f t="shared" si="20"/>
        <v>45943.55096</v>
      </c>
      <c r="K4055" s="49" t="s">
        <v>26</v>
      </c>
      <c r="L4055" s="49" t="s">
        <v>23</v>
      </c>
      <c r="M4055" s="36">
        <f t="shared" si="33"/>
        <v>45944.59318</v>
      </c>
      <c r="N4055" s="30" t="str">
        <f t="shared" si="34"/>
        <v>Selesai</v>
      </c>
      <c r="O4055" s="45">
        <f t="shared" si="23"/>
        <v>45944.59318</v>
      </c>
      <c r="P4055" s="47" t="b">
        <v>1</v>
      </c>
      <c r="Q4055" s="36">
        <f t="shared" si="35"/>
        <v>45944.59325</v>
      </c>
      <c r="R4055" s="47" t="b">
        <v>0</v>
      </c>
      <c r="S4055" s="42" t="str">
        <f t="shared" si="28"/>
        <v/>
      </c>
      <c r="T4055" s="42"/>
    </row>
    <row r="4056" ht="22.5" customHeight="1">
      <c r="B4056" s="42">
        <f t="shared" si="7"/>
        <v>4050</v>
      </c>
      <c r="C4056" s="31" t="s">
        <v>4095</v>
      </c>
      <c r="D4056" s="34" t="str">
        <f t="array" ref="D4056">IFNA(_xlfn.XLOOKUP(C4056,Table_Tarikan_Warkah[Nomor Sertipikat],Table_Tarikan_Warkah[Nomor Tiket]),"")</f>
        <v>L/32/230925/1</v>
      </c>
      <c r="E4056" s="36" t="str">
        <f t="array" ref="E4056">IFNA(_xlfn.XLOOKUP(D4056,Table_Tarikan_Warkah[Nomor Tiket],Table_Tarikan_Warkah[Tanggal diserahkan kepada Validator]),"")</f>
        <v/>
      </c>
      <c r="F4056" s="36" t="str">
        <f t="array" ref="F4056">IFNA(_xlfn.XLOOKUP(D4056,Table_Tarikan_Warkah[Nomor Tiket],Table_Tarikan_Warkah[Nama Petugas Warkah]),"")</f>
        <v/>
      </c>
      <c r="G4056" s="39" t="str">
        <f t="array" ref="G4056">IFNA(_xlfn.XLOOKUP(D4056,Table_Tarikan_Warkah[Nomor Tiket],Table_Tarikan_Warkah[Jenis Permohonan]),"")</f>
        <v>ROYA</v>
      </c>
      <c r="H4056" s="41" t="s">
        <v>2315</v>
      </c>
      <c r="I4056" s="49" t="s">
        <v>23</v>
      </c>
      <c r="J4056" s="36">
        <f t="shared" si="20"/>
        <v>45943.55109</v>
      </c>
      <c r="K4056" s="49" t="s">
        <v>26</v>
      </c>
      <c r="L4056" s="49" t="s">
        <v>23</v>
      </c>
      <c r="M4056" s="36">
        <f t="shared" si="33"/>
        <v>45944.59641</v>
      </c>
      <c r="N4056" s="30" t="str">
        <f t="shared" si="34"/>
        <v>Selesai</v>
      </c>
      <c r="O4056" s="45">
        <f t="shared" si="23"/>
        <v>45944.59641</v>
      </c>
      <c r="P4056" s="47" t="b">
        <v>1</v>
      </c>
      <c r="Q4056" s="36">
        <f t="shared" si="35"/>
        <v>45944.59666</v>
      </c>
      <c r="R4056" s="47" t="b">
        <v>0</v>
      </c>
      <c r="S4056" s="42" t="str">
        <f t="shared" si="28"/>
        <v/>
      </c>
      <c r="T4056" s="42"/>
    </row>
    <row r="4057" ht="22.5" customHeight="1">
      <c r="B4057" s="42">
        <f t="shared" si="7"/>
        <v>4051</v>
      </c>
      <c r="C4057" s="31" t="s">
        <v>4096</v>
      </c>
      <c r="D4057" s="34" t="str">
        <f t="array" ref="D4057">IFNA(_xlfn.XLOOKUP(C4057,Table_Tarikan_Warkah[Nomor Sertipikat],Table_Tarikan_Warkah[Nomor Tiket]),"")</f>
        <v>L/16/031025/1</v>
      </c>
      <c r="E4057" s="36" t="str">
        <f t="array" ref="E4057">IFNA(_xlfn.XLOOKUP(D4057,Table_Tarikan_Warkah[Nomor Tiket],Table_Tarikan_Warkah[Tanggal diserahkan kepada Validator]),"")</f>
        <v/>
      </c>
      <c r="F4057" s="36" t="str">
        <f t="array" ref="F4057">IFNA(_xlfn.XLOOKUP(D4057,Table_Tarikan_Warkah[Nomor Tiket],Table_Tarikan_Warkah[Nama Petugas Warkah]),"")</f>
        <v/>
      </c>
      <c r="G4057" s="39" t="str">
        <f t="array" ref="G4057">IFNA(_xlfn.XLOOKUP(D4057,Table_Tarikan_Warkah[Nomor Tiket],Table_Tarikan_Warkah[Jenis Permohonan]),"")</f>
        <v>ROYA</v>
      </c>
      <c r="H4057" s="41" t="s">
        <v>2315</v>
      </c>
      <c r="I4057" s="49" t="s">
        <v>23</v>
      </c>
      <c r="J4057" s="36">
        <f t="shared" si="20"/>
        <v>45943.55123</v>
      </c>
      <c r="K4057" s="49" t="s">
        <v>26</v>
      </c>
      <c r="L4057" s="49" t="s">
        <v>23</v>
      </c>
      <c r="M4057" s="36">
        <f t="shared" si="33"/>
        <v>45944.59361</v>
      </c>
      <c r="N4057" s="30" t="str">
        <f t="shared" si="34"/>
        <v>Selesai</v>
      </c>
      <c r="O4057" s="45">
        <f t="shared" si="23"/>
        <v>45944.59361</v>
      </c>
      <c r="P4057" s="47" t="b">
        <v>1</v>
      </c>
      <c r="Q4057" s="36">
        <f t="shared" si="35"/>
        <v>45944.59364</v>
      </c>
      <c r="R4057" s="47" t="b">
        <v>0</v>
      </c>
      <c r="S4057" s="42" t="str">
        <f t="shared" si="28"/>
        <v/>
      </c>
      <c r="T4057" s="42"/>
    </row>
    <row r="4058" ht="22.5" customHeight="1">
      <c r="B4058" s="42">
        <f t="shared" si="7"/>
        <v>4052</v>
      </c>
      <c r="C4058" s="31" t="s">
        <v>4097</v>
      </c>
      <c r="D4058" s="34" t="str">
        <f t="array" ref="D4058">IFNA(_xlfn.XLOOKUP(C4058,Table_Tarikan_Warkah[Nomor Sertipikat],Table_Tarikan_Warkah[Nomor Tiket]),"")</f>
        <v>L/49/220925/1</v>
      </c>
      <c r="E4058" s="36" t="str">
        <f t="array" ref="E4058">IFNA(_xlfn.XLOOKUP(D4058,Table_Tarikan_Warkah[Nomor Tiket],Table_Tarikan_Warkah[Tanggal diserahkan kepada Validator]),"")</f>
        <v/>
      </c>
      <c r="F4058" s="36" t="str">
        <f t="array" ref="F4058">IFNA(_xlfn.XLOOKUP(D4058,Table_Tarikan_Warkah[Nomor Tiket],Table_Tarikan_Warkah[Nama Petugas Warkah]),"")</f>
        <v/>
      </c>
      <c r="G4058" s="39" t="str">
        <f t="array" ref="G4058">IFNA(_xlfn.XLOOKUP(D4058,Table_Tarikan_Warkah[Nomor Tiket],Table_Tarikan_Warkah[Jenis Permohonan]),"")</f>
        <v>PENINGKATAN HAK</v>
      </c>
      <c r="H4058" s="41" t="s">
        <v>2315</v>
      </c>
      <c r="I4058" s="49" t="s">
        <v>23</v>
      </c>
      <c r="J4058" s="36">
        <f t="shared" si="20"/>
        <v>45943.55139</v>
      </c>
      <c r="K4058" s="49" t="s">
        <v>26</v>
      </c>
      <c r="L4058" s="49" t="s">
        <v>23</v>
      </c>
      <c r="M4058" s="36">
        <f t="shared" si="33"/>
        <v>45944.59645</v>
      </c>
      <c r="N4058" s="30" t="str">
        <f t="shared" si="34"/>
        <v>Selesai</v>
      </c>
      <c r="O4058" s="45">
        <f t="shared" si="23"/>
        <v>45944.59645</v>
      </c>
      <c r="P4058" s="47" t="b">
        <v>1</v>
      </c>
      <c r="Q4058" s="36">
        <f t="shared" si="35"/>
        <v>45944.59656</v>
      </c>
      <c r="R4058" s="47" t="b">
        <v>0</v>
      </c>
      <c r="S4058" s="42" t="str">
        <f t="shared" si="28"/>
        <v/>
      </c>
      <c r="T4058" s="42"/>
    </row>
    <row r="4059" ht="22.5" customHeight="1">
      <c r="B4059" s="42">
        <f t="shared" si="7"/>
        <v>4053</v>
      </c>
      <c r="C4059" s="31" t="s">
        <v>4098</v>
      </c>
      <c r="D4059" s="34" t="str">
        <f t="array" ref="D4059">IFNA(_xlfn.XLOOKUP(C4059,Table_Tarikan_Warkah[Nomor Sertipikat],Table_Tarikan_Warkah[Nomor Tiket]),"")</f>
        <v>L/21/021025/1</v>
      </c>
      <c r="E4059" s="36" t="str">
        <f t="array" ref="E4059">IFNA(_xlfn.XLOOKUP(D4059,Table_Tarikan_Warkah[Nomor Tiket],Table_Tarikan_Warkah[Tanggal diserahkan kepada Validator]),"")</f>
        <v/>
      </c>
      <c r="F4059" s="36" t="str">
        <f t="array" ref="F4059">IFNA(_xlfn.XLOOKUP(D4059,Table_Tarikan_Warkah[Nomor Tiket],Table_Tarikan_Warkah[Nama Petugas Warkah]),"")</f>
        <v/>
      </c>
      <c r="G4059" s="39" t="str">
        <f t="array" ref="G4059">IFNA(_xlfn.XLOOKUP(D4059,Table_Tarikan_Warkah[Nomor Tiket],Table_Tarikan_Warkah[Jenis Permohonan]),"")</f>
        <v>ROYA</v>
      </c>
      <c r="H4059" s="41" t="s">
        <v>2315</v>
      </c>
      <c r="I4059" s="49" t="s">
        <v>23</v>
      </c>
      <c r="J4059" s="36">
        <f t="shared" si="20"/>
        <v>45943.55169</v>
      </c>
      <c r="K4059" s="49" t="s">
        <v>26</v>
      </c>
      <c r="L4059" s="49" t="s">
        <v>23</v>
      </c>
      <c r="M4059" s="36">
        <f t="shared" si="33"/>
        <v>45944.59651</v>
      </c>
      <c r="N4059" s="30" t="str">
        <f t="shared" si="34"/>
        <v>Selesai</v>
      </c>
      <c r="O4059" s="45">
        <f t="shared" si="23"/>
        <v>45944.59651</v>
      </c>
      <c r="P4059" s="47" t="b">
        <v>1</v>
      </c>
      <c r="Q4059" s="36">
        <f t="shared" si="35"/>
        <v>45944.59657</v>
      </c>
      <c r="R4059" s="47" t="b">
        <v>0</v>
      </c>
      <c r="S4059" s="42" t="str">
        <f t="shared" si="28"/>
        <v/>
      </c>
      <c r="T4059" s="42"/>
    </row>
    <row r="4060" ht="22.5" customHeight="1">
      <c r="B4060" s="42">
        <f t="shared" si="7"/>
        <v>4054</v>
      </c>
      <c r="C4060" s="31" t="s">
        <v>4099</v>
      </c>
      <c r="D4060" s="34" t="str">
        <f t="array" ref="D4060">IFNA(_xlfn.XLOOKUP(C4060,Table_Tarikan_Warkah[Nomor Sertipikat],Table_Tarikan_Warkah[Nomor Tiket]),"")</f>
        <v>L/27/300925/1</v>
      </c>
      <c r="E4060" s="36" t="str">
        <f t="array" ref="E4060">IFNA(_xlfn.XLOOKUP(D4060,Table_Tarikan_Warkah[Nomor Tiket],Table_Tarikan_Warkah[Tanggal diserahkan kepada Validator]),"")</f>
        <v/>
      </c>
      <c r="F4060" s="36" t="str">
        <f t="array" ref="F4060">IFNA(_xlfn.XLOOKUP(D4060,Table_Tarikan_Warkah[Nomor Tiket],Table_Tarikan_Warkah[Nama Petugas Warkah]),"")</f>
        <v/>
      </c>
      <c r="G4060" s="39" t="str">
        <f t="array" ref="G4060">IFNA(_xlfn.XLOOKUP(D4060,Table_Tarikan_Warkah[Nomor Tiket],Table_Tarikan_Warkah[Jenis Permohonan]),"")</f>
        <v>PENINGKATAN HAK</v>
      </c>
      <c r="H4060" s="41" t="s">
        <v>2315</v>
      </c>
      <c r="I4060" s="49" t="s">
        <v>23</v>
      </c>
      <c r="J4060" s="36">
        <f t="shared" si="20"/>
        <v>45943.55185</v>
      </c>
      <c r="K4060" s="49" t="s">
        <v>26</v>
      </c>
      <c r="L4060" s="49" t="s">
        <v>23</v>
      </c>
      <c r="M4060" s="36">
        <f t="shared" si="33"/>
        <v>45944.59649</v>
      </c>
      <c r="N4060" s="30" t="str">
        <f t="shared" si="34"/>
        <v>Selesai</v>
      </c>
      <c r="O4060" s="45">
        <f t="shared" si="23"/>
        <v>45944.59649</v>
      </c>
      <c r="P4060" s="47" t="b">
        <v>1</v>
      </c>
      <c r="Q4060" s="36">
        <f t="shared" si="35"/>
        <v>45944.59658</v>
      </c>
      <c r="R4060" s="47" t="b">
        <v>0</v>
      </c>
      <c r="S4060" s="42" t="str">
        <f t="shared" si="28"/>
        <v/>
      </c>
      <c r="T4060" s="42"/>
    </row>
    <row r="4061" ht="22.5" customHeight="1">
      <c r="B4061" s="42">
        <f t="shared" si="7"/>
        <v>4055</v>
      </c>
      <c r="C4061" s="31" t="s">
        <v>4100</v>
      </c>
      <c r="D4061" s="34" t="str">
        <f t="array" ref="D4061">IFNA(_xlfn.XLOOKUP(C4061,Table_Tarikan_Warkah[Nomor Sertipikat],Table_Tarikan_Warkah[Nomor Tiket]),"")</f>
        <v>L/27/081025/1</v>
      </c>
      <c r="E4061" s="36" t="str">
        <f t="array" ref="E4061">IFNA(_xlfn.XLOOKUP(D4061,Table_Tarikan_Warkah[Nomor Tiket],Table_Tarikan_Warkah[Tanggal diserahkan kepada Validator]),"")</f>
        <v/>
      </c>
      <c r="F4061" s="36" t="str">
        <f t="array" ref="F4061">IFNA(_xlfn.XLOOKUP(D4061,Table_Tarikan_Warkah[Nomor Tiket],Table_Tarikan_Warkah[Nama Petugas Warkah]),"")</f>
        <v/>
      </c>
      <c r="G4061" s="39" t="str">
        <f t="array" ref="G4061">IFNA(_xlfn.XLOOKUP(D4061,Table_Tarikan_Warkah[Nomor Tiket],Table_Tarikan_Warkah[Jenis Permohonan]),"")</f>
        <v>ROYA</v>
      </c>
      <c r="H4061" s="41" t="s">
        <v>2315</v>
      </c>
      <c r="I4061" s="49" t="s">
        <v>23</v>
      </c>
      <c r="J4061" s="36">
        <f t="shared" si="20"/>
        <v>45943.55201</v>
      </c>
      <c r="K4061" s="49" t="s">
        <v>26</v>
      </c>
      <c r="L4061" s="49" t="s">
        <v>23</v>
      </c>
      <c r="M4061" s="36">
        <f t="shared" si="33"/>
        <v>45946.35328</v>
      </c>
      <c r="N4061" s="30" t="str">
        <f t="shared" si="34"/>
        <v>Selesai</v>
      </c>
      <c r="O4061" s="45">
        <f t="shared" si="23"/>
        <v>45946.35328</v>
      </c>
      <c r="P4061" s="47" t="b">
        <v>1</v>
      </c>
      <c r="Q4061" s="36">
        <f t="shared" si="35"/>
        <v>45946.35328</v>
      </c>
      <c r="R4061" s="47" t="b">
        <v>0</v>
      </c>
      <c r="S4061" s="42" t="str">
        <f t="shared" si="28"/>
        <v/>
      </c>
      <c r="T4061" s="42"/>
    </row>
    <row r="4062" ht="22.5" customHeight="1">
      <c r="B4062" s="42">
        <f t="shared" si="7"/>
        <v>4056</v>
      </c>
      <c r="C4062" s="31" t="s">
        <v>4101</v>
      </c>
      <c r="D4062" s="34" t="str">
        <f t="array" ref="D4062">IFNA(_xlfn.XLOOKUP(C4062,Table_Tarikan_Warkah[Nomor Sertipikat],Table_Tarikan_Warkah[Nomor Tiket]),"")</f>
        <v>L/37/260925/1</v>
      </c>
      <c r="E4062" s="36" t="str">
        <f t="array" ref="E4062">IFNA(_xlfn.XLOOKUP(D4062,Table_Tarikan_Warkah[Nomor Tiket],Table_Tarikan_Warkah[Tanggal diserahkan kepada Validator]),"")</f>
        <v/>
      </c>
      <c r="F4062" s="36" t="str">
        <f t="array" ref="F4062">IFNA(_xlfn.XLOOKUP(D4062,Table_Tarikan_Warkah[Nomor Tiket],Table_Tarikan_Warkah[Nama Petugas Warkah]),"")</f>
        <v/>
      </c>
      <c r="G4062" s="39" t="str">
        <f t="array" ref="G4062">IFNA(_xlfn.XLOOKUP(D4062,Table_Tarikan_Warkah[Nomor Tiket],Table_Tarikan_Warkah[Jenis Permohonan]),"")</f>
        <v>PENINGKATAN HAK</v>
      </c>
      <c r="H4062" s="41" t="s">
        <v>2315</v>
      </c>
      <c r="I4062" s="49" t="s">
        <v>23</v>
      </c>
      <c r="J4062" s="36">
        <f t="shared" si="20"/>
        <v>45943.55219</v>
      </c>
      <c r="K4062" s="49" t="s">
        <v>26</v>
      </c>
      <c r="L4062" s="49" t="s">
        <v>23</v>
      </c>
      <c r="M4062" s="36">
        <f t="shared" si="33"/>
        <v>45946.35328</v>
      </c>
      <c r="N4062" s="30" t="str">
        <f t="shared" si="34"/>
        <v>Selesai</v>
      </c>
      <c r="O4062" s="45">
        <f t="shared" si="23"/>
        <v>45946.35328</v>
      </c>
      <c r="P4062" s="47" t="b">
        <v>1</v>
      </c>
      <c r="Q4062" s="36">
        <f t="shared" si="35"/>
        <v>45946.35328</v>
      </c>
      <c r="R4062" s="47" t="b">
        <v>0</v>
      </c>
      <c r="S4062" s="42" t="str">
        <f t="shared" si="28"/>
        <v/>
      </c>
      <c r="T4062" s="42"/>
    </row>
    <row r="4063" ht="22.5" customHeight="1">
      <c r="B4063" s="42">
        <f t="shared" si="7"/>
        <v>4057</v>
      </c>
      <c r="C4063" s="31" t="s">
        <v>4102</v>
      </c>
      <c r="D4063" s="34" t="str">
        <f t="array" ref="D4063">IFNA(_xlfn.XLOOKUP(C4063,Table_Tarikan_Warkah[Nomor Sertipikat],Table_Tarikan_Warkah[Nomor Tiket]),"")</f>
        <v>L/35/250926/1</v>
      </c>
      <c r="E4063" s="36">
        <f t="array" ref="E4063">IFNA(_xlfn.XLOOKUP(D4063,Table_Tarikan_Warkah[Nomor Tiket],Table_Tarikan_Warkah[Tanggal diserahkan kepada Validator]),"")</f>
        <v>45958.52212</v>
      </c>
      <c r="F4063" s="36" t="str">
        <f t="array" ref="F4063">IFNA(_xlfn.XLOOKUP(D4063,Table_Tarikan_Warkah[Nomor Tiket],Table_Tarikan_Warkah[Nama Petugas Warkah]),"")</f>
        <v>David</v>
      </c>
      <c r="G4063" s="39" t="str">
        <f t="array" ref="G4063">IFNA(_xlfn.XLOOKUP(D4063,Table_Tarikan_Warkah[Nomor Tiket],Table_Tarikan_Warkah[Jenis Permohonan]),"")</f>
        <v>ROYA</v>
      </c>
      <c r="H4063" s="41" t="s">
        <v>2315</v>
      </c>
      <c r="I4063" s="49" t="s">
        <v>23</v>
      </c>
      <c r="J4063" s="36">
        <f t="shared" si="20"/>
        <v>45943.5523</v>
      </c>
      <c r="K4063" s="49" t="s">
        <v>26</v>
      </c>
      <c r="L4063" s="49" t="s">
        <v>23</v>
      </c>
      <c r="M4063" s="36">
        <f t="shared" si="33"/>
        <v>45958.60883</v>
      </c>
      <c r="N4063" s="30" t="str">
        <f t="shared" si="34"/>
        <v>Selesai</v>
      </c>
      <c r="O4063" s="45">
        <f t="shared" si="23"/>
        <v>45958.60883</v>
      </c>
      <c r="P4063" s="47" t="b">
        <v>0</v>
      </c>
      <c r="Q4063" s="36" t="str">
        <f t="shared" si="35"/>
        <v/>
      </c>
      <c r="R4063" s="47" t="b">
        <v>0</v>
      </c>
      <c r="S4063" s="42" t="str">
        <f t="shared" si="28"/>
        <v/>
      </c>
      <c r="T4063" s="42"/>
    </row>
    <row r="4064" ht="22.5" customHeight="1">
      <c r="B4064" s="42">
        <f t="shared" si="7"/>
        <v>4058</v>
      </c>
      <c r="C4064" s="31" t="s">
        <v>4103</v>
      </c>
      <c r="D4064" s="34" t="str">
        <f t="array" ref="D4064">IFNA(_xlfn.XLOOKUP(C4064,Table_Tarikan_Warkah[Nomor Sertipikat],Table_Tarikan_Warkah[Nomor Tiket]),"")</f>
        <v>L/1/061025/1</v>
      </c>
      <c r="E4064" s="36" t="str">
        <f t="array" ref="E4064">IFNA(_xlfn.XLOOKUP(D4064,Table_Tarikan_Warkah[Nomor Tiket],Table_Tarikan_Warkah[Tanggal diserahkan kepada Validator]),"")</f>
        <v/>
      </c>
      <c r="F4064" s="36" t="str">
        <f t="array" ref="F4064">IFNA(_xlfn.XLOOKUP(D4064,Table_Tarikan_Warkah[Nomor Tiket],Table_Tarikan_Warkah[Nama Petugas Warkah]),"")</f>
        <v/>
      </c>
      <c r="G4064" s="39" t="str">
        <f t="array" ref="G4064">IFNA(_xlfn.XLOOKUP(D4064,Table_Tarikan_Warkah[Nomor Tiket],Table_Tarikan_Warkah[Jenis Permohonan]),"")</f>
        <v>ROYA</v>
      </c>
      <c r="H4064" s="41" t="s">
        <v>2315</v>
      </c>
      <c r="I4064" s="49" t="s">
        <v>23</v>
      </c>
      <c r="J4064" s="36">
        <f t="shared" si="20"/>
        <v>45943.55244</v>
      </c>
      <c r="K4064" s="49" t="s">
        <v>26</v>
      </c>
      <c r="L4064" s="49" t="s">
        <v>23</v>
      </c>
      <c r="M4064" s="36">
        <f t="shared" si="33"/>
        <v>45946.35222</v>
      </c>
      <c r="N4064" s="30" t="str">
        <f t="shared" si="34"/>
        <v>Selesai</v>
      </c>
      <c r="O4064" s="45">
        <f t="shared" si="23"/>
        <v>45946.35222</v>
      </c>
      <c r="P4064" s="47" t="b">
        <v>1</v>
      </c>
      <c r="Q4064" s="36">
        <f t="shared" si="35"/>
        <v>45946.35222</v>
      </c>
      <c r="R4064" s="47" t="b">
        <v>0</v>
      </c>
      <c r="S4064" s="42" t="str">
        <f t="shared" si="28"/>
        <v/>
      </c>
      <c r="T4064" s="42"/>
    </row>
    <row r="4065" ht="22.5" customHeight="1">
      <c r="B4065" s="42">
        <f t="shared" si="7"/>
        <v>4059</v>
      </c>
      <c r="C4065" s="31" t="s">
        <v>4104</v>
      </c>
      <c r="D4065" s="34" t="str">
        <f t="array" ref="D4065">IFNA(_xlfn.XLOOKUP(C4065,Table_Tarikan_Warkah[Nomor Sertipikat],Table_Tarikan_Warkah[Nomor Tiket]),"")</f>
        <v>K/3/071025/1</v>
      </c>
      <c r="E4065" s="36" t="str">
        <f t="array" ref="E4065">IFNA(_xlfn.XLOOKUP(D4065,Table_Tarikan_Warkah[Nomor Tiket],Table_Tarikan_Warkah[Tanggal diserahkan kepada Validator]),"")</f>
        <v/>
      </c>
      <c r="F4065" s="36" t="str">
        <f t="array" ref="F4065">IFNA(_xlfn.XLOOKUP(D4065,Table_Tarikan_Warkah[Nomor Tiket],Table_Tarikan_Warkah[Nama Petugas Warkah]),"")</f>
        <v/>
      </c>
      <c r="G4065" s="39" t="str">
        <f t="array" ref="G4065">IFNA(_xlfn.XLOOKUP(D4065,Table_Tarikan_Warkah[Nomor Tiket],Table_Tarikan_Warkah[Jenis Permohonan]),"")</f>
        <v>PEMECAHAN </v>
      </c>
      <c r="H4065" s="41" t="s">
        <v>2315</v>
      </c>
      <c r="I4065" s="49" t="s">
        <v>23</v>
      </c>
      <c r="J4065" s="36">
        <f t="shared" si="20"/>
        <v>45943.5526</v>
      </c>
      <c r="K4065" s="49" t="s">
        <v>26</v>
      </c>
      <c r="L4065" s="49" t="s">
        <v>23</v>
      </c>
      <c r="M4065" s="36">
        <f t="shared" si="33"/>
        <v>45946.35222</v>
      </c>
      <c r="N4065" s="30" t="str">
        <f t="shared" si="34"/>
        <v>Selesai</v>
      </c>
      <c r="O4065" s="45">
        <f t="shared" si="23"/>
        <v>45946.35222</v>
      </c>
      <c r="P4065" s="47" t="b">
        <v>1</v>
      </c>
      <c r="Q4065" s="36">
        <f t="shared" si="35"/>
        <v>45946.35222</v>
      </c>
      <c r="R4065" s="47" t="b">
        <v>0</v>
      </c>
      <c r="S4065" s="42" t="str">
        <f t="shared" si="28"/>
        <v/>
      </c>
      <c r="T4065" s="42"/>
    </row>
    <row r="4066" ht="22.5" customHeight="1">
      <c r="B4066" s="42">
        <f t="shared" si="7"/>
        <v>4060</v>
      </c>
      <c r="C4066" s="31" t="s">
        <v>4105</v>
      </c>
      <c r="D4066" s="34" t="str">
        <f t="array" ref="D4066">IFNA(_xlfn.XLOOKUP(C4066,Table_Tarikan_Warkah[Nomor Sertipikat],Table_Tarikan_Warkah[Nomor Tiket]),"")</f>
        <v>K/27/071025/1</v>
      </c>
      <c r="E4066" s="36" t="str">
        <f t="array" ref="E4066">IFNA(_xlfn.XLOOKUP(D4066,Table_Tarikan_Warkah[Nomor Tiket],Table_Tarikan_Warkah[Tanggal diserahkan kepada Validator]),"")</f>
        <v/>
      </c>
      <c r="F4066" s="36" t="str">
        <f t="array" ref="F4066">IFNA(_xlfn.XLOOKUP(D4066,Table_Tarikan_Warkah[Nomor Tiket],Table_Tarikan_Warkah[Nama Petugas Warkah]),"")</f>
        <v/>
      </c>
      <c r="G4066" s="39" t="str">
        <f t="array" ref="G4066">IFNA(_xlfn.XLOOKUP(D4066,Table_Tarikan_Warkah[Nomor Tiket],Table_Tarikan_Warkah[Jenis Permohonan]),"")</f>
        <v>PERUBAHAN HAK</v>
      </c>
      <c r="H4066" s="41" t="s">
        <v>2315</v>
      </c>
      <c r="I4066" s="49" t="s">
        <v>23</v>
      </c>
      <c r="J4066" s="36">
        <f t="shared" si="20"/>
        <v>45943.55273</v>
      </c>
      <c r="K4066" s="69"/>
      <c r="L4066" s="49"/>
      <c r="M4066" s="36" t="str">
        <f t="shared" si="33"/>
        <v/>
      </c>
      <c r="N4066" s="30" t="str">
        <f t="shared" si="34"/>
        <v>BT atau SU Belum Valid</v>
      </c>
      <c r="O4066" s="39" t="str">
        <f t="shared" si="23"/>
        <v/>
      </c>
      <c r="P4066" s="47" t="b">
        <v>0</v>
      </c>
      <c r="Q4066" s="36" t="str">
        <f t="shared" si="35"/>
        <v/>
      </c>
      <c r="R4066" s="47" t="b">
        <v>0</v>
      </c>
      <c r="S4066" s="42" t="str">
        <f t="shared" si="28"/>
        <v/>
      </c>
      <c r="T4066" s="42"/>
    </row>
    <row r="4067" ht="22.5" customHeight="1">
      <c r="B4067" s="42">
        <f t="shared" si="7"/>
        <v>4061</v>
      </c>
      <c r="C4067" s="31" t="s">
        <v>4106</v>
      </c>
      <c r="D4067" s="34" t="str">
        <f t="array" ref="D4067">IFNA(_xlfn.XLOOKUP(C4067,Table_Tarikan_Warkah[Nomor Sertipikat],Table_Tarikan_Warkah[Nomor Tiket]),"")</f>
        <v>K/20/190925/1</v>
      </c>
      <c r="E4067" s="36">
        <f t="array" ref="E4067">IFNA(_xlfn.XLOOKUP(D4067,Table_Tarikan_Warkah[Nomor Tiket],Table_Tarikan_Warkah[Tanggal diserahkan kepada Validator]),"")</f>
        <v>45993.46008</v>
      </c>
      <c r="F4067" s="36" t="str">
        <f t="array" ref="F4067">IFNA(_xlfn.XLOOKUP(D4067,Table_Tarikan_Warkah[Nomor Tiket],Table_Tarikan_Warkah[Nama Petugas Warkah]),"")</f>
        <v>David</v>
      </c>
      <c r="G4067" s="39" t="str">
        <f t="array" ref="G4067">IFNA(_xlfn.XLOOKUP(D4067,Table_Tarikan_Warkah[Nomor Tiket],Table_Tarikan_Warkah[Jenis Permohonan]),"")</f>
        <v>HAPUS BPHTB</v>
      </c>
      <c r="H4067" s="41" t="s">
        <v>2315</v>
      </c>
      <c r="I4067" s="49" t="s">
        <v>23</v>
      </c>
      <c r="J4067" s="36">
        <f t="shared" si="20"/>
        <v>45943.55288</v>
      </c>
      <c r="K4067" s="69"/>
      <c r="L4067" s="49"/>
      <c r="M4067" s="36" t="str">
        <f t="shared" si="33"/>
        <v/>
      </c>
      <c r="N4067" s="30" t="str">
        <f t="shared" si="34"/>
        <v>BT atau SU Belum Valid</v>
      </c>
      <c r="O4067" s="39" t="str">
        <f t="shared" si="23"/>
        <v/>
      </c>
      <c r="P4067" s="47" t="b">
        <v>0</v>
      </c>
      <c r="Q4067" s="36" t="str">
        <f t="shared" si="35"/>
        <v/>
      </c>
      <c r="R4067" s="47" t="b">
        <v>0</v>
      </c>
      <c r="S4067" s="42" t="str">
        <f t="shared" si="28"/>
        <v/>
      </c>
      <c r="T4067" s="42"/>
    </row>
    <row r="4068" ht="22.5" customHeight="1">
      <c r="B4068" s="42">
        <f t="shared" si="7"/>
        <v>4062</v>
      </c>
      <c r="C4068" s="31" t="s">
        <v>4107</v>
      </c>
      <c r="D4068" s="34" t="str">
        <f t="array" ref="D4068">IFNA(_xlfn.XLOOKUP(C4068,Table_Tarikan_Warkah[Nomor Sertipikat],Table_Tarikan_Warkah[Nomor Tiket]),"")</f>
        <v>K/17/210425/1</v>
      </c>
      <c r="E4068" s="36" t="str">
        <f t="array" ref="E4068">IFNA(_xlfn.XLOOKUP(D4068,Table_Tarikan_Warkah[Nomor Tiket],Table_Tarikan_Warkah[Tanggal diserahkan kepada Validator]),"")</f>
        <v/>
      </c>
      <c r="F4068" s="36" t="str">
        <f t="array" ref="F4068">IFNA(_xlfn.XLOOKUP(D4068,Table_Tarikan_Warkah[Nomor Tiket],Table_Tarikan_Warkah[Nama Petugas Warkah]),"")</f>
        <v/>
      </c>
      <c r="G4068" s="39" t="str">
        <f t="array" ref="G4068">IFNA(_xlfn.XLOOKUP(D4068,Table_Tarikan_Warkah[Nomor Tiket],Table_Tarikan_Warkah[Jenis Permohonan]),"")</f>
        <v>PEMECAHAN</v>
      </c>
      <c r="H4068" s="41" t="s">
        <v>2315</v>
      </c>
      <c r="I4068" s="49" t="s">
        <v>23</v>
      </c>
      <c r="J4068" s="36">
        <f t="shared" si="20"/>
        <v>45943.55307</v>
      </c>
      <c r="K4068" s="69"/>
      <c r="L4068" s="49"/>
      <c r="M4068" s="36" t="str">
        <f t="shared" si="33"/>
        <v/>
      </c>
      <c r="N4068" s="30" t="str">
        <f t="shared" si="34"/>
        <v>BT atau SU Belum Valid</v>
      </c>
      <c r="O4068" s="39" t="str">
        <f t="shared" si="23"/>
        <v/>
      </c>
      <c r="P4068" s="47" t="b">
        <v>0</v>
      </c>
      <c r="Q4068" s="36" t="str">
        <f t="shared" si="35"/>
        <v/>
      </c>
      <c r="R4068" s="47" t="b">
        <v>0</v>
      </c>
      <c r="S4068" s="42" t="str">
        <f t="shared" si="28"/>
        <v/>
      </c>
      <c r="T4068" s="42"/>
    </row>
    <row r="4069" ht="22.5" customHeight="1">
      <c r="B4069" s="42">
        <f t="shared" si="7"/>
        <v>4063</v>
      </c>
      <c r="C4069" s="31" t="s">
        <v>4108</v>
      </c>
      <c r="D4069" s="34" t="str">
        <f t="array" ref="D4069">IFNA(_xlfn.XLOOKUP(C4069,Table_Tarikan_Warkah[Nomor Sertipikat],Table_Tarikan_Warkah[Nomor Tiket]),"")</f>
        <v>L/15/180925/1</v>
      </c>
      <c r="E4069" s="36" t="str">
        <f t="array" ref="E4069">IFNA(_xlfn.XLOOKUP(D4069,Table_Tarikan_Warkah[Nomor Tiket],Table_Tarikan_Warkah[Tanggal diserahkan kepada Validator]),"")</f>
        <v/>
      </c>
      <c r="F4069" s="36" t="str">
        <f t="array" ref="F4069">IFNA(_xlfn.XLOOKUP(D4069,Table_Tarikan_Warkah[Nomor Tiket],Table_Tarikan_Warkah[Nama Petugas Warkah]),"")</f>
        <v/>
      </c>
      <c r="G4069" s="39" t="str">
        <f t="array" ref="G4069">IFNA(_xlfn.XLOOKUP(D4069,Table_Tarikan_Warkah[Nomor Tiket],Table_Tarikan_Warkah[Jenis Permohonan]),"")</f>
        <v>ROYA</v>
      </c>
      <c r="H4069" s="41" t="s">
        <v>2315</v>
      </c>
      <c r="I4069" s="49" t="s">
        <v>23</v>
      </c>
      <c r="J4069" s="36">
        <f t="shared" si="20"/>
        <v>45943.56489</v>
      </c>
      <c r="K4069" s="69"/>
      <c r="L4069" s="49"/>
      <c r="M4069" s="36" t="str">
        <f t="shared" si="33"/>
        <v/>
      </c>
      <c r="N4069" s="30" t="str">
        <f t="shared" si="34"/>
        <v>BT atau SU Belum Valid</v>
      </c>
      <c r="O4069" s="39" t="str">
        <f t="shared" si="23"/>
        <v/>
      </c>
      <c r="P4069" s="47" t="b">
        <v>0</v>
      </c>
      <c r="Q4069" s="36" t="str">
        <f t="shared" si="35"/>
        <v/>
      </c>
      <c r="R4069" s="47" t="b">
        <v>0</v>
      </c>
      <c r="S4069" s="42" t="str">
        <f t="shared" si="28"/>
        <v/>
      </c>
      <c r="T4069" s="42"/>
    </row>
    <row r="4070" ht="22.5" customHeight="1">
      <c r="B4070" s="42">
        <f t="shared" si="7"/>
        <v>4064</v>
      </c>
      <c r="C4070" s="31" t="s">
        <v>4109</v>
      </c>
      <c r="D4070" s="34" t="str">
        <f t="array" ref="D4070">IFNA(_xlfn.XLOOKUP(C4070,Table_Tarikan_Warkah[Nomor Sertipikat],Table_Tarikan_Warkah[Nomor Tiket]),"")</f>
        <v>K/5/260825/1</v>
      </c>
      <c r="E4070" s="36">
        <f t="array" ref="E4070">IFNA(_xlfn.XLOOKUP(D4070,Table_Tarikan_Warkah[Nomor Tiket],Table_Tarikan_Warkah[Tanggal diserahkan kepada Validator]),"")</f>
        <v>45922.62087</v>
      </c>
      <c r="F4070" s="36" t="str">
        <f t="array" ref="F4070">IFNA(_xlfn.XLOOKUP(D4070,Table_Tarikan_Warkah[Nomor Tiket],Table_Tarikan_Warkah[Nama Petugas Warkah]),"")</f>
        <v>David</v>
      </c>
      <c r="G4070" s="39" t="str">
        <f t="array" ref="G4070">IFNA(_xlfn.XLOOKUP(D4070,Table_Tarikan_Warkah[Nomor Tiket],Table_Tarikan_Warkah[Jenis Permohonan]),"")</f>
        <v>BN JUAL BELI</v>
      </c>
      <c r="H4070" s="41" t="s">
        <v>920</v>
      </c>
      <c r="I4070" s="49" t="s">
        <v>23</v>
      </c>
      <c r="J4070" s="36">
        <f t="shared" si="20"/>
        <v>45944.4669</v>
      </c>
      <c r="K4070" s="49" t="s">
        <v>920</v>
      </c>
      <c r="L4070" s="49" t="s">
        <v>23</v>
      </c>
      <c r="M4070" s="36">
        <f t="shared" si="33"/>
        <v>45944.4669</v>
      </c>
      <c r="N4070" s="30" t="str">
        <f t="shared" si="34"/>
        <v>Selesai</v>
      </c>
      <c r="O4070" s="45">
        <f t="shared" si="23"/>
        <v>45944.4669</v>
      </c>
      <c r="P4070" s="47" t="b">
        <v>1</v>
      </c>
      <c r="Q4070" s="36">
        <f t="shared" si="35"/>
        <v>45944.4669</v>
      </c>
      <c r="R4070" s="47" t="b">
        <v>0</v>
      </c>
      <c r="S4070" s="42" t="str">
        <f t="shared" si="28"/>
        <v/>
      </c>
      <c r="T4070" s="42"/>
    </row>
    <row r="4071" ht="22.5" customHeight="1">
      <c r="B4071" s="42">
        <f t="shared" si="7"/>
        <v>4065</v>
      </c>
      <c r="C4071" s="31" t="s">
        <v>4110</v>
      </c>
      <c r="D4071" s="34" t="str">
        <f t="array" ref="D4071">IFNA(_xlfn.XLOOKUP(C4071,Table_Tarikan_Warkah[Nomor Sertipikat],Table_Tarikan_Warkah[Nomor Tiket]),"")</f>
        <v>K/13/210825/4</v>
      </c>
      <c r="E4071" s="36" t="str">
        <f t="array" ref="E4071">IFNA(_xlfn.XLOOKUP(D4071,Table_Tarikan_Warkah[Nomor Tiket],Table_Tarikan_Warkah[Tanggal diserahkan kepada Validator]),"")</f>
        <v/>
      </c>
      <c r="F4071" s="36" t="str">
        <f t="array" ref="F4071">IFNA(_xlfn.XLOOKUP(D4071,Table_Tarikan_Warkah[Nomor Tiket],Table_Tarikan_Warkah[Nama Petugas Warkah]),"")</f>
        <v/>
      </c>
      <c r="G4071" s="39" t="str">
        <f t="array" ref="G4071">IFNA(_xlfn.XLOOKUP(D4071,Table_Tarikan_Warkah[Nomor Tiket],Table_Tarikan_Warkah[Jenis Permohonan]),"")</f>
        <v>BN JUAL BELI</v>
      </c>
      <c r="H4071" s="41" t="s">
        <v>920</v>
      </c>
      <c r="I4071" s="49" t="s">
        <v>23</v>
      </c>
      <c r="J4071" s="36">
        <f t="shared" si="20"/>
        <v>45944.4669</v>
      </c>
      <c r="K4071" s="49" t="s">
        <v>920</v>
      </c>
      <c r="L4071" s="49" t="s">
        <v>23</v>
      </c>
      <c r="M4071" s="36">
        <f t="shared" si="33"/>
        <v>45944.4669</v>
      </c>
      <c r="N4071" s="30" t="str">
        <f t="shared" si="34"/>
        <v>Selesai</v>
      </c>
      <c r="O4071" s="45">
        <f t="shared" si="23"/>
        <v>45944.4669</v>
      </c>
      <c r="P4071" s="47" t="b">
        <v>1</v>
      </c>
      <c r="Q4071" s="36">
        <f t="shared" si="35"/>
        <v>45944.4669</v>
      </c>
      <c r="R4071" s="47" t="b">
        <v>0</v>
      </c>
      <c r="S4071" s="42" t="str">
        <f t="shared" si="28"/>
        <v/>
      </c>
      <c r="T4071" s="42"/>
    </row>
    <row r="4072" ht="22.5" customHeight="1">
      <c r="B4072" s="42">
        <f t="shared" si="7"/>
        <v>4066</v>
      </c>
      <c r="C4072" s="31" t="s">
        <v>4111</v>
      </c>
      <c r="D4072" s="34" t="str">
        <f t="array" ref="D4072">IFNA(_xlfn.XLOOKUP(C4072,Table_Tarikan_Warkah[Nomor Sertipikat],Table_Tarikan_Warkah[Nomor Tiket]),"")</f>
        <v>K/17/300925/4</v>
      </c>
      <c r="E4072" s="36" t="str">
        <f t="array" ref="E4072">IFNA(_xlfn.XLOOKUP(D4072,Table_Tarikan_Warkah[Nomor Tiket],Table_Tarikan_Warkah[Tanggal diserahkan kepada Validator]),"")</f>
        <v/>
      </c>
      <c r="F4072" s="36" t="str">
        <f t="array" ref="F4072">IFNA(_xlfn.XLOOKUP(D4072,Table_Tarikan_Warkah[Nomor Tiket],Table_Tarikan_Warkah[Nama Petugas Warkah]),"")</f>
        <v/>
      </c>
      <c r="G4072" s="39" t="str">
        <f t="array" ref="G4072">IFNA(_xlfn.XLOOKUP(D4072,Table_Tarikan_Warkah[Nomor Tiket],Table_Tarikan_Warkah[Jenis Permohonan]),"")</f>
        <v>BN JUAL BELI</v>
      </c>
      <c r="H4072" s="41" t="s">
        <v>920</v>
      </c>
      <c r="I4072" s="49" t="s">
        <v>23</v>
      </c>
      <c r="J4072" s="36">
        <f t="shared" si="20"/>
        <v>45944.4669</v>
      </c>
      <c r="K4072" s="49" t="s">
        <v>920</v>
      </c>
      <c r="L4072" s="49" t="s">
        <v>23</v>
      </c>
      <c r="M4072" s="36">
        <f t="shared" si="33"/>
        <v>45944.4669</v>
      </c>
      <c r="N4072" s="30" t="str">
        <f t="shared" si="34"/>
        <v>Selesai</v>
      </c>
      <c r="O4072" s="45">
        <f t="shared" si="23"/>
        <v>45944.4669</v>
      </c>
      <c r="P4072" s="47" t="b">
        <v>1</v>
      </c>
      <c r="Q4072" s="36">
        <f t="shared" si="35"/>
        <v>45944.4669</v>
      </c>
      <c r="R4072" s="47" t="b">
        <v>0</v>
      </c>
      <c r="S4072" s="42" t="str">
        <f t="shared" si="28"/>
        <v/>
      </c>
      <c r="T4072" s="42"/>
    </row>
    <row r="4073" ht="22.5" customHeight="1">
      <c r="B4073" s="42">
        <f t="shared" si="7"/>
        <v>4067</v>
      </c>
      <c r="C4073" s="31" t="s">
        <v>4112</v>
      </c>
      <c r="D4073" s="34" t="str">
        <f t="array" ref="D4073">IFNA(_xlfn.XLOOKUP(C4073,Table_Tarikan_Warkah[Nomor Sertipikat],Table_Tarikan_Warkah[Nomor Tiket]),"")</f>
        <v>K/15/090925/2</v>
      </c>
      <c r="E4073" s="36" t="str">
        <f t="array" ref="E4073">IFNA(_xlfn.XLOOKUP(D4073,Table_Tarikan_Warkah[Nomor Tiket],Table_Tarikan_Warkah[Tanggal diserahkan kepada Validator]),"")</f>
        <v/>
      </c>
      <c r="F4073" s="36" t="str">
        <f t="array" ref="F4073">IFNA(_xlfn.XLOOKUP(D4073,Table_Tarikan_Warkah[Nomor Tiket],Table_Tarikan_Warkah[Nama Petugas Warkah]),"")</f>
        <v/>
      </c>
      <c r="G4073" s="39" t="str">
        <f t="array" ref="G4073">IFNA(_xlfn.XLOOKUP(D4073,Table_Tarikan_Warkah[Nomor Tiket],Table_Tarikan_Warkah[Jenis Permohonan]),"")</f>
        <v>BN JUAL BELI</v>
      </c>
      <c r="H4073" s="41" t="s">
        <v>920</v>
      </c>
      <c r="I4073" s="49" t="s">
        <v>23</v>
      </c>
      <c r="J4073" s="36">
        <f t="shared" si="20"/>
        <v>45944.4669</v>
      </c>
      <c r="K4073" s="49" t="s">
        <v>920</v>
      </c>
      <c r="L4073" s="49" t="s">
        <v>23</v>
      </c>
      <c r="M4073" s="36">
        <f t="shared" si="33"/>
        <v>45944.4669</v>
      </c>
      <c r="N4073" s="30" t="str">
        <f t="shared" si="34"/>
        <v>Selesai</v>
      </c>
      <c r="O4073" s="45">
        <f t="shared" si="23"/>
        <v>45944.4669</v>
      </c>
      <c r="P4073" s="47" t="b">
        <v>1</v>
      </c>
      <c r="Q4073" s="36">
        <f t="shared" si="35"/>
        <v>45944.4669</v>
      </c>
      <c r="R4073" s="47" t="b">
        <v>0</v>
      </c>
      <c r="S4073" s="42" t="str">
        <f t="shared" si="28"/>
        <v/>
      </c>
      <c r="T4073" s="42"/>
    </row>
    <row r="4074" ht="22.5" customHeight="1">
      <c r="B4074" s="42">
        <f t="shared" si="7"/>
        <v>4068</v>
      </c>
      <c r="C4074" s="31" t="s">
        <v>4113</v>
      </c>
      <c r="D4074" s="34" t="str">
        <f t="array" ref="D4074">IFNA(_xlfn.XLOOKUP(C4074,Table_Tarikan_Warkah[Nomor Sertipikat],Table_Tarikan_Warkah[Nomor Tiket]),"")</f>
        <v>K/18/090925/2</v>
      </c>
      <c r="E4074" s="36" t="str">
        <f t="array" ref="E4074">IFNA(_xlfn.XLOOKUP(D4074,Table_Tarikan_Warkah[Nomor Tiket],Table_Tarikan_Warkah[Tanggal diserahkan kepada Validator]),"")</f>
        <v/>
      </c>
      <c r="F4074" s="36" t="str">
        <f t="array" ref="F4074">IFNA(_xlfn.XLOOKUP(D4074,Table_Tarikan_Warkah[Nomor Tiket],Table_Tarikan_Warkah[Nama Petugas Warkah]),"")</f>
        <v/>
      </c>
      <c r="G4074" s="39" t="str">
        <f t="array" ref="G4074">IFNA(_xlfn.XLOOKUP(D4074,Table_Tarikan_Warkah[Nomor Tiket],Table_Tarikan_Warkah[Jenis Permohonan]),"")</f>
        <v>BN JUAL BELI</v>
      </c>
      <c r="H4074" s="41" t="s">
        <v>920</v>
      </c>
      <c r="I4074" s="49" t="s">
        <v>23</v>
      </c>
      <c r="J4074" s="36">
        <f t="shared" si="20"/>
        <v>45944.4669</v>
      </c>
      <c r="K4074" s="49" t="s">
        <v>920</v>
      </c>
      <c r="L4074" s="49" t="s">
        <v>23</v>
      </c>
      <c r="M4074" s="36">
        <f t="shared" si="33"/>
        <v>45944.4669</v>
      </c>
      <c r="N4074" s="30" t="str">
        <f t="shared" si="34"/>
        <v>Selesai</v>
      </c>
      <c r="O4074" s="45">
        <f t="shared" si="23"/>
        <v>45944.4669</v>
      </c>
      <c r="P4074" s="47" t="b">
        <v>1</v>
      </c>
      <c r="Q4074" s="36">
        <f t="shared" si="35"/>
        <v>45944.4669</v>
      </c>
      <c r="R4074" s="47" t="b">
        <v>0</v>
      </c>
      <c r="S4074" s="42" t="str">
        <f t="shared" si="28"/>
        <v/>
      </c>
      <c r="T4074" s="42"/>
    </row>
    <row r="4075" ht="22.5" customHeight="1">
      <c r="B4075" s="42">
        <f t="shared" si="7"/>
        <v>4069</v>
      </c>
      <c r="C4075" s="31" t="s">
        <v>4114</v>
      </c>
      <c r="D4075" s="34" t="str">
        <f t="array" ref="D4075">IFNA(_xlfn.XLOOKUP(C4075,Table_Tarikan_Warkah[Nomor Sertipikat],Table_Tarikan_Warkah[Nomor Tiket]),"")</f>
        <v>K/66/220825/1</v>
      </c>
      <c r="E4075" s="36">
        <f t="array" ref="E4075">IFNA(_xlfn.XLOOKUP(D4075,Table_Tarikan_Warkah[Nomor Tiket],Table_Tarikan_Warkah[Tanggal diserahkan kepada Validator]),"")</f>
        <v>45938.49493</v>
      </c>
      <c r="F4075" s="36" t="str">
        <f t="array" ref="F4075">IFNA(_xlfn.XLOOKUP(D4075,Table_Tarikan_Warkah[Nomor Tiket],Table_Tarikan_Warkah[Nama Petugas Warkah]),"")</f>
        <v>Berry</v>
      </c>
      <c r="G4075" s="39" t="str">
        <f t="array" ref="G4075">IFNA(_xlfn.XLOOKUP(D4075,Table_Tarikan_Warkah[Nomor Tiket],Table_Tarikan_Warkah[Jenis Permohonan]),"")</f>
        <v>BN JUAL BELI</v>
      </c>
      <c r="H4075" s="41" t="s">
        <v>920</v>
      </c>
      <c r="I4075" s="49" t="s">
        <v>23</v>
      </c>
      <c r="J4075" s="36">
        <f t="shared" si="20"/>
        <v>45944.4669</v>
      </c>
      <c r="K4075" s="49" t="s">
        <v>920</v>
      </c>
      <c r="L4075" s="49" t="s">
        <v>23</v>
      </c>
      <c r="M4075" s="36">
        <f t="shared" si="33"/>
        <v>45944.4669</v>
      </c>
      <c r="N4075" s="30" t="str">
        <f t="shared" si="34"/>
        <v>Selesai</v>
      </c>
      <c r="O4075" s="45">
        <f t="shared" si="23"/>
        <v>45944.4669</v>
      </c>
      <c r="P4075" s="47" t="b">
        <v>1</v>
      </c>
      <c r="Q4075" s="36">
        <f t="shared" si="35"/>
        <v>45944.4669</v>
      </c>
      <c r="R4075" s="47" t="b">
        <v>0</v>
      </c>
      <c r="S4075" s="42" t="str">
        <f t="shared" si="28"/>
        <v/>
      </c>
      <c r="T4075" s="42"/>
    </row>
    <row r="4076" ht="22.5" customHeight="1">
      <c r="B4076" s="42">
        <f t="shared" si="7"/>
        <v>4070</v>
      </c>
      <c r="C4076" s="31" t="s">
        <v>4115</v>
      </c>
      <c r="D4076" s="34" t="str">
        <f t="array" ref="D4076">IFNA(_xlfn.XLOOKUP(C4076,Table_Tarikan_Warkah[Nomor Sertipikat],Table_Tarikan_Warkah[Nomor Tiket]),"")</f>
        <v>K/35/260925/1</v>
      </c>
      <c r="E4076" s="36" t="str">
        <f t="array" ref="E4076">IFNA(_xlfn.XLOOKUP(D4076,Table_Tarikan_Warkah[Nomor Tiket],Table_Tarikan_Warkah[Tanggal diserahkan kepada Validator]),"")</f>
        <v/>
      </c>
      <c r="F4076" s="36" t="str">
        <f t="array" ref="F4076">IFNA(_xlfn.XLOOKUP(D4076,Table_Tarikan_Warkah[Nomor Tiket],Table_Tarikan_Warkah[Nama Petugas Warkah]),"")</f>
        <v/>
      </c>
      <c r="G4076" s="39" t="str">
        <f t="array" ref="G4076">IFNA(_xlfn.XLOOKUP(D4076,Table_Tarikan_Warkah[Nomor Tiket],Table_Tarikan_Warkah[Jenis Permohonan]),"")</f>
        <v>BN JUAL BELI</v>
      </c>
      <c r="H4076" s="41" t="s">
        <v>920</v>
      </c>
      <c r="I4076" s="49" t="s">
        <v>23</v>
      </c>
      <c r="J4076" s="36">
        <f t="shared" si="20"/>
        <v>45945.38371</v>
      </c>
      <c r="K4076" s="49" t="s">
        <v>920</v>
      </c>
      <c r="L4076" s="49" t="s">
        <v>23</v>
      </c>
      <c r="M4076" s="36">
        <f t="shared" si="33"/>
        <v>45945.38374</v>
      </c>
      <c r="N4076" s="30" t="str">
        <f t="shared" si="34"/>
        <v>Selesai</v>
      </c>
      <c r="O4076" s="45">
        <f t="shared" si="23"/>
        <v>45945.38374</v>
      </c>
      <c r="P4076" s="47" t="b">
        <v>1</v>
      </c>
      <c r="Q4076" s="36">
        <f t="shared" si="35"/>
        <v>45945.38376</v>
      </c>
      <c r="R4076" s="47" t="b">
        <v>0</v>
      </c>
      <c r="S4076" s="42" t="str">
        <f t="shared" si="28"/>
        <v/>
      </c>
      <c r="T4076" s="42"/>
    </row>
    <row r="4077" ht="22.5" customHeight="1">
      <c r="B4077" s="42">
        <f t="shared" si="7"/>
        <v>4071</v>
      </c>
      <c r="C4077" s="31" t="s">
        <v>4116</v>
      </c>
      <c r="D4077" s="34" t="str">
        <f t="array" ref="D4077">IFNA(_xlfn.XLOOKUP(C4077,Table_Tarikan_Warkah[Nomor Sertipikat],Table_Tarikan_Warkah[Nomor Tiket]),"")</f>
        <v>K/8/280825/1</v>
      </c>
      <c r="E4077" s="36" t="str">
        <f t="array" ref="E4077">IFNA(_xlfn.XLOOKUP(D4077,Table_Tarikan_Warkah[Nomor Tiket],Table_Tarikan_Warkah[Tanggal diserahkan kepada Validator]),"")</f>
        <v/>
      </c>
      <c r="F4077" s="36" t="str">
        <f t="array" ref="F4077">IFNA(_xlfn.XLOOKUP(D4077,Table_Tarikan_Warkah[Nomor Tiket],Table_Tarikan_Warkah[Nama Petugas Warkah]),"")</f>
        <v/>
      </c>
      <c r="G4077" s="39" t="str">
        <f t="array" ref="G4077">IFNA(_xlfn.XLOOKUP(D4077,Table_Tarikan_Warkah[Nomor Tiket],Table_Tarikan_Warkah[Jenis Permohonan]),"")</f>
        <v>BN JUAL BELI </v>
      </c>
      <c r="H4077" s="41" t="s">
        <v>920</v>
      </c>
      <c r="I4077" s="49" t="s">
        <v>23</v>
      </c>
      <c r="J4077" s="36">
        <f t="shared" si="20"/>
        <v>45945.38392</v>
      </c>
      <c r="K4077" s="49" t="s">
        <v>920</v>
      </c>
      <c r="L4077" s="49" t="s">
        <v>23</v>
      </c>
      <c r="M4077" s="36">
        <f t="shared" si="33"/>
        <v>45945.38396</v>
      </c>
      <c r="N4077" s="30" t="str">
        <f t="shared" si="34"/>
        <v>Selesai</v>
      </c>
      <c r="O4077" s="45">
        <f t="shared" si="23"/>
        <v>45945.38396</v>
      </c>
      <c r="P4077" s="47" t="b">
        <v>1</v>
      </c>
      <c r="Q4077" s="36">
        <f t="shared" si="35"/>
        <v>45945.38398</v>
      </c>
      <c r="R4077" s="47" t="b">
        <v>0</v>
      </c>
      <c r="S4077" s="42" t="str">
        <f t="shared" si="28"/>
        <v/>
      </c>
      <c r="T4077" s="42"/>
    </row>
    <row r="4078" ht="22.5" customHeight="1">
      <c r="B4078" s="42">
        <f t="shared" si="7"/>
        <v>4072</v>
      </c>
      <c r="C4078" s="31" t="s">
        <v>4117</v>
      </c>
      <c r="D4078" s="34" t="str">
        <f t="array" ref="D4078">IFNA(_xlfn.XLOOKUP(C4078,Table_Tarikan_Warkah[Nomor Sertipikat],Table_Tarikan_Warkah[Nomor Tiket]),"")</f>
        <v>K/8/020925/1</v>
      </c>
      <c r="E4078" s="36">
        <f t="array" ref="E4078">IFNA(_xlfn.XLOOKUP(D4078,Table_Tarikan_Warkah[Nomor Tiket],Table_Tarikan_Warkah[Tanggal diserahkan kepada Validator]),"")</f>
        <v>45953.44144</v>
      </c>
      <c r="F4078" s="36" t="str">
        <f t="array" ref="F4078">IFNA(_xlfn.XLOOKUP(D4078,Table_Tarikan_Warkah[Nomor Tiket],Table_Tarikan_Warkah[Nama Petugas Warkah]),"")</f>
        <v>David</v>
      </c>
      <c r="G4078" s="39" t="str">
        <f t="array" ref="G4078">IFNA(_xlfn.XLOOKUP(D4078,Table_Tarikan_Warkah[Nomor Tiket],Table_Tarikan_Warkah[Jenis Permohonan]),"")</f>
        <v>BN JUAL BELI</v>
      </c>
      <c r="H4078" s="41" t="s">
        <v>920</v>
      </c>
      <c r="I4078" s="49" t="s">
        <v>23</v>
      </c>
      <c r="J4078" s="36">
        <f t="shared" si="20"/>
        <v>45945.3842</v>
      </c>
      <c r="K4078" s="49" t="s">
        <v>920</v>
      </c>
      <c r="L4078" s="49" t="s">
        <v>23</v>
      </c>
      <c r="M4078" s="36">
        <f t="shared" si="33"/>
        <v>45945.38422</v>
      </c>
      <c r="N4078" s="30" t="str">
        <f t="shared" si="34"/>
        <v>Selesai</v>
      </c>
      <c r="O4078" s="45">
        <f t="shared" si="23"/>
        <v>45945.38422</v>
      </c>
      <c r="P4078" s="47" t="b">
        <v>1</v>
      </c>
      <c r="Q4078" s="36">
        <f t="shared" si="35"/>
        <v>45945.38432</v>
      </c>
      <c r="R4078" s="47" t="b">
        <v>0</v>
      </c>
      <c r="S4078" s="42" t="str">
        <f t="shared" si="28"/>
        <v/>
      </c>
      <c r="T4078" s="42"/>
    </row>
    <row r="4079" ht="22.5" customHeight="1">
      <c r="B4079" s="42">
        <f t="shared" si="7"/>
        <v>4073</v>
      </c>
      <c r="C4079" s="31" t="s">
        <v>4118</v>
      </c>
      <c r="D4079" s="34" t="str">
        <f t="array" ref="D4079">IFNA(_xlfn.XLOOKUP(C4079,Table_Tarikan_Warkah[Nomor Sertipikat],Table_Tarikan_Warkah[Nomor Tiket]),"")</f>
        <v>K/22/220825/1</v>
      </c>
      <c r="E4079" s="36">
        <f t="array" ref="E4079">IFNA(_xlfn.XLOOKUP(D4079,Table_Tarikan_Warkah[Nomor Tiket],Table_Tarikan_Warkah[Tanggal diserahkan kepada Validator]),"")</f>
        <v>45930.60107</v>
      </c>
      <c r="F4079" s="36" t="str">
        <f t="array" ref="F4079">IFNA(_xlfn.XLOOKUP(D4079,Table_Tarikan_Warkah[Nomor Tiket],Table_Tarikan_Warkah[Nama Petugas Warkah]),"")</f>
        <v>David</v>
      </c>
      <c r="G4079" s="39" t="str">
        <f t="array" ref="G4079">IFNA(_xlfn.XLOOKUP(D4079,Table_Tarikan_Warkah[Nomor Tiket],Table_Tarikan_Warkah[Jenis Permohonan]),"")</f>
        <v>BN JUAL BELI</v>
      </c>
      <c r="H4079" s="41" t="s">
        <v>920</v>
      </c>
      <c r="I4079" s="49" t="s">
        <v>23</v>
      </c>
      <c r="J4079" s="36">
        <f t="shared" si="20"/>
        <v>45945.38436</v>
      </c>
      <c r="K4079" s="49" t="s">
        <v>920</v>
      </c>
      <c r="L4079" s="49" t="s">
        <v>23</v>
      </c>
      <c r="M4079" s="36">
        <f t="shared" si="33"/>
        <v>45945.38439</v>
      </c>
      <c r="N4079" s="30" t="str">
        <f t="shared" si="34"/>
        <v>Selesai</v>
      </c>
      <c r="O4079" s="45">
        <f t="shared" si="23"/>
        <v>45945.38439</v>
      </c>
      <c r="P4079" s="47" t="b">
        <v>1</v>
      </c>
      <c r="Q4079" s="36">
        <f t="shared" si="35"/>
        <v>45945.38442</v>
      </c>
      <c r="R4079" s="47" t="b">
        <v>0</v>
      </c>
      <c r="S4079" s="42" t="str">
        <f t="shared" si="28"/>
        <v/>
      </c>
      <c r="T4079" s="42"/>
    </row>
    <row r="4080" ht="22.5" customHeight="1">
      <c r="B4080" s="42">
        <f t="shared" si="7"/>
        <v>4074</v>
      </c>
      <c r="C4080" s="31" t="s">
        <v>4119</v>
      </c>
      <c r="D4080" s="34" t="str">
        <f t="array" ref="D4080">IFNA(_xlfn.XLOOKUP(C4080,Table_Tarikan_Warkah[Nomor Sertipikat],Table_Tarikan_Warkah[Nomor Tiket]),"")</f>
        <v>K/10/260925/3</v>
      </c>
      <c r="E4080" s="36" t="str">
        <f t="array" ref="E4080">IFNA(_xlfn.XLOOKUP(D4080,Table_Tarikan_Warkah[Nomor Tiket],Table_Tarikan_Warkah[Tanggal diserahkan kepada Validator]),"")</f>
        <v/>
      </c>
      <c r="F4080" s="36" t="str">
        <f t="array" ref="F4080">IFNA(_xlfn.XLOOKUP(D4080,Table_Tarikan_Warkah[Nomor Tiket],Table_Tarikan_Warkah[Nama Petugas Warkah]),"")</f>
        <v/>
      </c>
      <c r="G4080" s="39" t="str">
        <f t="array" ref="G4080">IFNA(_xlfn.XLOOKUP(D4080,Table_Tarikan_Warkah[Nomor Tiket],Table_Tarikan_Warkah[Jenis Permohonan]),"")</f>
        <v>BN JUAL BELI</v>
      </c>
      <c r="H4080" s="41" t="s">
        <v>920</v>
      </c>
      <c r="I4080" s="49" t="s">
        <v>23</v>
      </c>
      <c r="J4080" s="36">
        <f t="shared" si="20"/>
        <v>45945.38453</v>
      </c>
      <c r="K4080" s="49" t="s">
        <v>920</v>
      </c>
      <c r="L4080" s="49" t="s">
        <v>23</v>
      </c>
      <c r="M4080" s="36">
        <f t="shared" si="33"/>
        <v>45945.38455</v>
      </c>
      <c r="N4080" s="30" t="str">
        <f t="shared" si="34"/>
        <v>Selesai</v>
      </c>
      <c r="O4080" s="45">
        <f t="shared" si="23"/>
        <v>45945.38455</v>
      </c>
      <c r="P4080" s="47" t="b">
        <v>1</v>
      </c>
      <c r="Q4080" s="36">
        <f t="shared" si="35"/>
        <v>45945.3851</v>
      </c>
      <c r="R4080" s="47" t="b">
        <v>0</v>
      </c>
      <c r="S4080" s="42" t="str">
        <f t="shared" si="28"/>
        <v/>
      </c>
      <c r="T4080" s="42"/>
    </row>
    <row r="4081" ht="22.5" customHeight="1">
      <c r="B4081" s="42">
        <f t="shared" si="7"/>
        <v>4075</v>
      </c>
      <c r="C4081" s="31" t="s">
        <v>4120</v>
      </c>
      <c r="D4081" s="34" t="str">
        <f t="array" ref="D4081">IFNA(_xlfn.XLOOKUP(C4081,Table_Tarikan_Warkah[Nomor Sertipikat],Table_Tarikan_Warkah[Nomor Tiket]),"")</f>
        <v>K/15/220825/2</v>
      </c>
      <c r="E4081" s="36" t="str">
        <f t="array" ref="E4081">IFNA(_xlfn.XLOOKUP(D4081,Table_Tarikan_Warkah[Nomor Tiket],Table_Tarikan_Warkah[Tanggal diserahkan kepada Validator]),"")</f>
        <v/>
      </c>
      <c r="F4081" s="36" t="str">
        <f t="array" ref="F4081">IFNA(_xlfn.XLOOKUP(D4081,Table_Tarikan_Warkah[Nomor Tiket],Table_Tarikan_Warkah[Nama Petugas Warkah]),"")</f>
        <v/>
      </c>
      <c r="G4081" s="39" t="str">
        <f t="array" ref="G4081">IFNA(_xlfn.XLOOKUP(D4081,Table_Tarikan_Warkah[Nomor Tiket],Table_Tarikan_Warkah[Jenis Permohonan]),"")</f>
        <v>BN JUAL BELI EL</v>
      </c>
      <c r="H4081" s="41" t="s">
        <v>920</v>
      </c>
      <c r="I4081" s="49" t="s">
        <v>23</v>
      </c>
      <c r="J4081" s="36">
        <f t="shared" si="20"/>
        <v>45945.38537</v>
      </c>
      <c r="K4081" s="49" t="s">
        <v>920</v>
      </c>
      <c r="L4081" s="49" t="s">
        <v>23</v>
      </c>
      <c r="M4081" s="36">
        <f t="shared" si="33"/>
        <v>45945.38551</v>
      </c>
      <c r="N4081" s="30" t="str">
        <f t="shared" si="34"/>
        <v>Selesai</v>
      </c>
      <c r="O4081" s="45">
        <f t="shared" si="23"/>
        <v>45945.38551</v>
      </c>
      <c r="P4081" s="47" t="b">
        <v>1</v>
      </c>
      <c r="Q4081" s="36">
        <f t="shared" si="35"/>
        <v>45945.38551</v>
      </c>
      <c r="R4081" s="47" t="b">
        <v>0</v>
      </c>
      <c r="S4081" s="42" t="str">
        <f t="shared" si="28"/>
        <v/>
      </c>
      <c r="T4081" s="42"/>
    </row>
    <row r="4082" ht="22.5" customHeight="1">
      <c r="B4082" s="42">
        <f t="shared" si="7"/>
        <v>4076</v>
      </c>
      <c r="C4082" s="31" t="s">
        <v>4121</v>
      </c>
      <c r="D4082" s="34" t="str">
        <f t="array" ref="D4082">IFNA(_xlfn.XLOOKUP(C4082,Table_Tarikan_Warkah[Nomor Sertipikat],Table_Tarikan_Warkah[Nomor Tiket]),"")</f>
        <v>K/30/280825/1</v>
      </c>
      <c r="E4082" s="36">
        <f t="array" ref="E4082">IFNA(_xlfn.XLOOKUP(D4082,Table_Tarikan_Warkah[Nomor Tiket],Table_Tarikan_Warkah[Tanggal diserahkan kepada Validator]),"")</f>
        <v>45932.70288</v>
      </c>
      <c r="F4082" s="36" t="str">
        <f t="array" ref="F4082">IFNA(_xlfn.XLOOKUP(D4082,Table_Tarikan_Warkah[Nomor Tiket],Table_Tarikan_Warkah[Nama Petugas Warkah]),"")</f>
        <v>Berry</v>
      </c>
      <c r="G4082" s="39" t="str">
        <f t="array" ref="G4082">IFNA(_xlfn.XLOOKUP(D4082,Table_Tarikan_Warkah[Nomor Tiket],Table_Tarikan_Warkah[Jenis Permohonan]),"")</f>
        <v>BN JUAL BELI EL</v>
      </c>
      <c r="H4082" s="41" t="s">
        <v>920</v>
      </c>
      <c r="I4082" s="49" t="s">
        <v>23</v>
      </c>
      <c r="J4082" s="36">
        <f t="shared" si="20"/>
        <v>45945.38561</v>
      </c>
      <c r="K4082" s="49" t="s">
        <v>920</v>
      </c>
      <c r="L4082" s="49" t="s">
        <v>23</v>
      </c>
      <c r="M4082" s="36">
        <f t="shared" si="33"/>
        <v>45945.38563</v>
      </c>
      <c r="N4082" s="30" t="str">
        <f t="shared" si="34"/>
        <v>Selesai</v>
      </c>
      <c r="O4082" s="45">
        <f t="shared" si="23"/>
        <v>45945.38563</v>
      </c>
      <c r="P4082" s="47" t="b">
        <v>1</v>
      </c>
      <c r="Q4082" s="36">
        <f t="shared" si="35"/>
        <v>45945.38564</v>
      </c>
      <c r="R4082" s="47" t="b">
        <v>0</v>
      </c>
      <c r="S4082" s="42" t="str">
        <f t="shared" si="28"/>
        <v/>
      </c>
      <c r="T4082" s="42"/>
    </row>
    <row r="4083" ht="22.5" customHeight="1">
      <c r="B4083" s="42">
        <f t="shared" si="7"/>
        <v>4077</v>
      </c>
      <c r="C4083" s="31" t="s">
        <v>4122</v>
      </c>
      <c r="D4083" s="34" t="str">
        <f t="array" ref="D4083">IFNA(_xlfn.XLOOKUP(C4083,Table_Tarikan_Warkah[Nomor Sertipikat],Table_Tarikan_Warkah[Nomor Tiket]),"")</f>
        <v>K/6/090925/1</v>
      </c>
      <c r="E4083" s="36" t="str">
        <f t="array" ref="E4083">IFNA(_xlfn.XLOOKUP(D4083,Table_Tarikan_Warkah[Nomor Tiket],Table_Tarikan_Warkah[Tanggal diserahkan kepada Validator]),"")</f>
        <v/>
      </c>
      <c r="F4083" s="36" t="str">
        <f t="array" ref="F4083">IFNA(_xlfn.XLOOKUP(D4083,Table_Tarikan_Warkah[Nomor Tiket],Table_Tarikan_Warkah[Nama Petugas Warkah]),"")</f>
        <v/>
      </c>
      <c r="G4083" s="39" t="str">
        <f t="array" ref="G4083">IFNA(_xlfn.XLOOKUP(D4083,Table_Tarikan_Warkah[Nomor Tiket],Table_Tarikan_Warkah[Jenis Permohonan]),"")</f>
        <v>BN JUAL BELI EL</v>
      </c>
      <c r="H4083" s="41" t="s">
        <v>920</v>
      </c>
      <c r="I4083" s="49" t="s">
        <v>23</v>
      </c>
      <c r="J4083" s="36">
        <f t="shared" si="20"/>
        <v>45945.38584</v>
      </c>
      <c r="K4083" s="49" t="s">
        <v>920</v>
      </c>
      <c r="L4083" s="49" t="s">
        <v>23</v>
      </c>
      <c r="M4083" s="36">
        <f t="shared" si="33"/>
        <v>45945.38584</v>
      </c>
      <c r="N4083" s="30" t="str">
        <f t="shared" si="34"/>
        <v>Selesai</v>
      </c>
      <c r="O4083" s="45">
        <f t="shared" si="23"/>
        <v>45945.38584</v>
      </c>
      <c r="P4083" s="47" t="b">
        <v>1</v>
      </c>
      <c r="Q4083" s="36">
        <f t="shared" si="35"/>
        <v>45945.38584</v>
      </c>
      <c r="R4083" s="47" t="b">
        <v>0</v>
      </c>
      <c r="S4083" s="42" t="str">
        <f t="shared" si="28"/>
        <v/>
      </c>
      <c r="T4083" s="42"/>
    </row>
    <row r="4084" ht="22.5" customHeight="1">
      <c r="B4084" s="42">
        <f t="shared" si="7"/>
        <v>4078</v>
      </c>
      <c r="C4084" s="31" t="s">
        <v>4123</v>
      </c>
      <c r="D4084" s="34" t="str">
        <f t="array" ref="D4084">IFNA(_xlfn.XLOOKUP(C4084,Table_Tarikan_Warkah[Nomor Sertipikat],Table_Tarikan_Warkah[Nomor Tiket]),"")</f>
        <v>K/37/030925/3</v>
      </c>
      <c r="E4084" s="36" t="str">
        <f t="array" ref="E4084">IFNA(_xlfn.XLOOKUP(D4084,Table_Tarikan_Warkah[Nomor Tiket],Table_Tarikan_Warkah[Tanggal diserahkan kepada Validator]),"")</f>
        <v/>
      </c>
      <c r="F4084" s="36" t="str">
        <f t="array" ref="F4084">IFNA(_xlfn.XLOOKUP(D4084,Table_Tarikan_Warkah[Nomor Tiket],Table_Tarikan_Warkah[Nama Petugas Warkah]),"")</f>
        <v/>
      </c>
      <c r="G4084" s="39" t="str">
        <f t="array" ref="G4084">IFNA(_xlfn.XLOOKUP(D4084,Table_Tarikan_Warkah[Nomor Tiket],Table_Tarikan_Warkah[Jenis Permohonan]),"")</f>
        <v>BN JUAL BELI EL</v>
      </c>
      <c r="H4084" s="41" t="s">
        <v>920</v>
      </c>
      <c r="I4084" s="49" t="s">
        <v>23</v>
      </c>
      <c r="J4084" s="36">
        <f t="shared" si="20"/>
        <v>45945.38601</v>
      </c>
      <c r="K4084" s="49" t="s">
        <v>920</v>
      </c>
      <c r="L4084" s="49" t="s">
        <v>23</v>
      </c>
      <c r="M4084" s="36">
        <f t="shared" si="33"/>
        <v>45945.38604</v>
      </c>
      <c r="N4084" s="30" t="str">
        <f t="shared" si="34"/>
        <v>Selesai</v>
      </c>
      <c r="O4084" s="45">
        <f t="shared" si="23"/>
        <v>45945.38604</v>
      </c>
      <c r="P4084" s="47" t="b">
        <v>1</v>
      </c>
      <c r="Q4084" s="36">
        <f t="shared" si="35"/>
        <v>45945.38606</v>
      </c>
      <c r="R4084" s="47" t="b">
        <v>0</v>
      </c>
      <c r="S4084" s="42" t="str">
        <f t="shared" si="28"/>
        <v/>
      </c>
      <c r="T4084" s="42"/>
    </row>
    <row r="4085" ht="22.5" customHeight="1">
      <c r="B4085" s="42">
        <f t="shared" si="7"/>
        <v>4079</v>
      </c>
      <c r="C4085" s="31" t="s">
        <v>4124</v>
      </c>
      <c r="D4085" s="34" t="str">
        <f t="array" ref="D4085">IFNA(_xlfn.XLOOKUP(C4085,Table_Tarikan_Warkah[Nomor Sertipikat],Table_Tarikan_Warkah[Nomor Tiket]),"")</f>
        <v>K/40/020925/2</v>
      </c>
      <c r="E4085" s="36" t="str">
        <f t="array" ref="E4085">IFNA(_xlfn.XLOOKUP(D4085,Table_Tarikan_Warkah[Nomor Tiket],Table_Tarikan_Warkah[Tanggal diserahkan kepada Validator]),"")</f>
        <v/>
      </c>
      <c r="F4085" s="36" t="str">
        <f t="array" ref="F4085">IFNA(_xlfn.XLOOKUP(D4085,Table_Tarikan_Warkah[Nomor Tiket],Table_Tarikan_Warkah[Nama Petugas Warkah]),"")</f>
        <v/>
      </c>
      <c r="G4085" s="39" t="str">
        <f t="array" ref="G4085">IFNA(_xlfn.XLOOKUP(D4085,Table_Tarikan_Warkah[Nomor Tiket],Table_Tarikan_Warkah[Jenis Permohonan]),"")</f>
        <v>BN JUALN BELI EL</v>
      </c>
      <c r="H4085" s="41" t="s">
        <v>920</v>
      </c>
      <c r="I4085" s="49" t="s">
        <v>23</v>
      </c>
      <c r="J4085" s="36">
        <f t="shared" si="20"/>
        <v>45945.38628</v>
      </c>
      <c r="K4085" s="49" t="s">
        <v>920</v>
      </c>
      <c r="L4085" s="49" t="s">
        <v>23</v>
      </c>
      <c r="M4085" s="36">
        <f t="shared" si="33"/>
        <v>45945.38633</v>
      </c>
      <c r="N4085" s="30" t="str">
        <f t="shared" si="34"/>
        <v>Selesai</v>
      </c>
      <c r="O4085" s="45">
        <f t="shared" si="23"/>
        <v>45945.38633</v>
      </c>
      <c r="P4085" s="47" t="b">
        <v>1</v>
      </c>
      <c r="Q4085" s="36">
        <f t="shared" si="35"/>
        <v>45945.38635</v>
      </c>
      <c r="R4085" s="47" t="b">
        <v>0</v>
      </c>
      <c r="S4085" s="42" t="str">
        <f t="shared" si="28"/>
        <v/>
      </c>
      <c r="T4085" s="42"/>
    </row>
    <row r="4086" ht="22.5" customHeight="1">
      <c r="B4086" s="42">
        <f t="shared" si="7"/>
        <v>4080</v>
      </c>
      <c r="C4086" s="31" t="s">
        <v>4125</v>
      </c>
      <c r="D4086" s="34" t="str">
        <f t="array" ref="D4086">IFNA(_xlfn.XLOOKUP(C4086,Table_Tarikan_Warkah[Nomor Sertipikat],Table_Tarikan_Warkah[Nomor Tiket]),"")</f>
        <v>K/23/170925/1</v>
      </c>
      <c r="E4086" s="36" t="str">
        <f t="array" ref="E4086">IFNA(_xlfn.XLOOKUP(D4086,Table_Tarikan_Warkah[Nomor Tiket],Table_Tarikan_Warkah[Tanggal diserahkan kepada Validator]),"")</f>
        <v/>
      </c>
      <c r="F4086" s="36" t="str">
        <f t="array" ref="F4086">IFNA(_xlfn.XLOOKUP(D4086,Table_Tarikan_Warkah[Nomor Tiket],Table_Tarikan_Warkah[Nama Petugas Warkah]),"")</f>
        <v/>
      </c>
      <c r="G4086" s="39" t="str">
        <f t="array" ref="G4086">IFNA(_xlfn.XLOOKUP(D4086,Table_Tarikan_Warkah[Nomor Tiket],Table_Tarikan_Warkah[Jenis Permohonan]),"")</f>
        <v>BN JUAL BELI EL</v>
      </c>
      <c r="H4086" s="41" t="s">
        <v>920</v>
      </c>
      <c r="I4086" s="49" t="s">
        <v>23</v>
      </c>
      <c r="J4086" s="36">
        <f t="shared" si="20"/>
        <v>45945.38647</v>
      </c>
      <c r="K4086" s="49" t="s">
        <v>920</v>
      </c>
      <c r="L4086" s="49" t="s">
        <v>23</v>
      </c>
      <c r="M4086" s="36">
        <f t="shared" si="33"/>
        <v>45945.38651</v>
      </c>
      <c r="N4086" s="30" t="str">
        <f t="shared" si="34"/>
        <v>Selesai</v>
      </c>
      <c r="O4086" s="45">
        <f t="shared" si="23"/>
        <v>45945.38651</v>
      </c>
      <c r="P4086" s="47" t="b">
        <v>1</v>
      </c>
      <c r="Q4086" s="36">
        <f t="shared" si="35"/>
        <v>45945.38653</v>
      </c>
      <c r="R4086" s="47" t="b">
        <v>0</v>
      </c>
      <c r="S4086" s="42" t="str">
        <f t="shared" si="28"/>
        <v/>
      </c>
      <c r="T4086" s="42"/>
    </row>
    <row r="4087" ht="22.5" customHeight="1">
      <c r="B4087" s="42">
        <f t="shared" si="7"/>
        <v>4081</v>
      </c>
      <c r="C4087" s="31" t="s">
        <v>4126</v>
      </c>
      <c r="D4087" s="34" t="str">
        <f t="array" ref="D4087">IFNA(_xlfn.XLOOKUP(C4087,Table_Tarikan_Warkah[Nomor Sertipikat],Table_Tarikan_Warkah[Nomor Tiket]),"")</f>
        <v>K/15/260825/1</v>
      </c>
      <c r="E4087" s="36" t="str">
        <f t="array" ref="E4087">IFNA(_xlfn.XLOOKUP(D4087,Table_Tarikan_Warkah[Nomor Tiket],Table_Tarikan_Warkah[Tanggal diserahkan kepada Validator]),"")</f>
        <v/>
      </c>
      <c r="F4087" s="36" t="str">
        <f t="array" ref="F4087">IFNA(_xlfn.XLOOKUP(D4087,Table_Tarikan_Warkah[Nomor Tiket],Table_Tarikan_Warkah[Nama Petugas Warkah]),"")</f>
        <v/>
      </c>
      <c r="G4087" s="39" t="str">
        <f t="array" ref="G4087">IFNA(_xlfn.XLOOKUP(D4087,Table_Tarikan_Warkah[Nomor Tiket],Table_Tarikan_Warkah[Jenis Permohonan]),"")</f>
        <v>BN JUAL BELI EL</v>
      </c>
      <c r="H4087" s="41" t="s">
        <v>920</v>
      </c>
      <c r="I4087" s="49" t="s">
        <v>23</v>
      </c>
      <c r="J4087" s="36">
        <f t="shared" si="20"/>
        <v>45945.38667</v>
      </c>
      <c r="K4087" s="49" t="s">
        <v>920</v>
      </c>
      <c r="L4087" s="49" t="s">
        <v>23</v>
      </c>
      <c r="M4087" s="36">
        <f t="shared" si="33"/>
        <v>45945.3867</v>
      </c>
      <c r="N4087" s="30" t="str">
        <f t="shared" si="34"/>
        <v>Selesai</v>
      </c>
      <c r="O4087" s="45">
        <f t="shared" si="23"/>
        <v>45945.3867</v>
      </c>
      <c r="P4087" s="47" t="b">
        <v>1</v>
      </c>
      <c r="Q4087" s="36">
        <f t="shared" si="35"/>
        <v>45945.38672</v>
      </c>
      <c r="R4087" s="47" t="b">
        <v>0</v>
      </c>
      <c r="S4087" s="42" t="str">
        <f t="shared" si="28"/>
        <v/>
      </c>
      <c r="T4087" s="42"/>
    </row>
    <row r="4088" ht="22.5" customHeight="1">
      <c r="B4088" s="42">
        <f t="shared" si="7"/>
        <v>4082</v>
      </c>
      <c r="C4088" s="31" t="s">
        <v>4127</v>
      </c>
      <c r="D4088" s="34" t="str">
        <f t="array" ref="D4088">IFNA(_xlfn.XLOOKUP(C4088,Table_Tarikan_Warkah[Nomor Sertipikat],Table_Tarikan_Warkah[Nomor Tiket]),"")</f>
        <v>K/26/080925/5</v>
      </c>
      <c r="E4088" s="36">
        <f t="array" ref="E4088">IFNA(_xlfn.XLOOKUP(D4088,Table_Tarikan_Warkah[Nomor Tiket],Table_Tarikan_Warkah[Tanggal diserahkan kepada Validator]),"")</f>
        <v>45950.60551</v>
      </c>
      <c r="F4088" s="36" t="str">
        <f t="array" ref="F4088">IFNA(_xlfn.XLOOKUP(D4088,Table_Tarikan_Warkah[Nomor Tiket],Table_Tarikan_Warkah[Nama Petugas Warkah]),"")</f>
        <v>David</v>
      </c>
      <c r="G4088" s="39" t="str">
        <f t="array" ref="G4088">IFNA(_xlfn.XLOOKUP(D4088,Table_Tarikan_Warkah[Nomor Tiket],Table_Tarikan_Warkah[Jenis Permohonan]),"")</f>
        <v>BN JUAL BELI EL</v>
      </c>
      <c r="H4088" s="41" t="s">
        <v>920</v>
      </c>
      <c r="I4088" s="49" t="s">
        <v>23</v>
      </c>
      <c r="J4088" s="36">
        <f t="shared" si="20"/>
        <v>45945.38691</v>
      </c>
      <c r="K4088" s="49" t="s">
        <v>920</v>
      </c>
      <c r="L4088" s="49" t="s">
        <v>23</v>
      </c>
      <c r="M4088" s="36">
        <f t="shared" si="33"/>
        <v>45945.38697</v>
      </c>
      <c r="N4088" s="30" t="str">
        <f t="shared" si="34"/>
        <v>Selesai</v>
      </c>
      <c r="O4088" s="45">
        <f t="shared" si="23"/>
        <v>45945.38697</v>
      </c>
      <c r="P4088" s="47" t="b">
        <v>1</v>
      </c>
      <c r="Q4088" s="36">
        <f t="shared" si="35"/>
        <v>45945.38698</v>
      </c>
      <c r="R4088" s="47" t="b">
        <v>0</v>
      </c>
      <c r="S4088" s="42" t="str">
        <f t="shared" si="28"/>
        <v/>
      </c>
      <c r="T4088" s="42"/>
    </row>
    <row r="4089" ht="22.5" customHeight="1">
      <c r="B4089" s="42">
        <f t="shared" si="7"/>
        <v>4083</v>
      </c>
      <c r="C4089" s="31" t="s">
        <v>4128</v>
      </c>
      <c r="D4089" s="34" t="str">
        <f t="array" ref="D4089">IFNA(_xlfn.XLOOKUP(C4089,Table_Tarikan_Warkah[Nomor Sertipikat],Table_Tarikan_Warkah[Nomor Tiket]),"")</f>
        <v>K/4/020925/1</v>
      </c>
      <c r="E4089" s="36">
        <f t="array" ref="E4089">IFNA(_xlfn.XLOOKUP(D4089,Table_Tarikan_Warkah[Nomor Tiket],Table_Tarikan_Warkah[Tanggal diserahkan kepada Validator]),"")</f>
        <v>45926.58256</v>
      </c>
      <c r="F4089" s="36" t="str">
        <f t="array" ref="F4089">IFNA(_xlfn.XLOOKUP(D4089,Table_Tarikan_Warkah[Nomor Tiket],Table_Tarikan_Warkah[Nama Petugas Warkah]),"")</f>
        <v>David</v>
      </c>
      <c r="G4089" s="39" t="str">
        <f t="array" ref="G4089">IFNA(_xlfn.XLOOKUP(D4089,Table_Tarikan_Warkah[Nomor Tiket],Table_Tarikan_Warkah[Jenis Permohonan]),"")</f>
        <v>BN JUAL BELI EL</v>
      </c>
      <c r="H4089" s="41" t="s">
        <v>920</v>
      </c>
      <c r="I4089" s="49" t="s">
        <v>23</v>
      </c>
      <c r="J4089" s="36">
        <f t="shared" si="20"/>
        <v>45945.38715</v>
      </c>
      <c r="K4089" s="49" t="s">
        <v>920</v>
      </c>
      <c r="L4089" s="49" t="s">
        <v>23</v>
      </c>
      <c r="M4089" s="36">
        <f t="shared" si="33"/>
        <v>45945.38718</v>
      </c>
      <c r="N4089" s="30" t="str">
        <f t="shared" si="34"/>
        <v>Selesai</v>
      </c>
      <c r="O4089" s="45">
        <f t="shared" si="23"/>
        <v>45945.38718</v>
      </c>
      <c r="P4089" s="47" t="b">
        <v>1</v>
      </c>
      <c r="Q4089" s="36">
        <f t="shared" si="35"/>
        <v>45945.3872</v>
      </c>
      <c r="R4089" s="47" t="b">
        <v>0</v>
      </c>
      <c r="S4089" s="42" t="str">
        <f t="shared" si="28"/>
        <v/>
      </c>
      <c r="T4089" s="42"/>
    </row>
    <row r="4090" ht="22.5" customHeight="1">
      <c r="B4090" s="42">
        <f t="shared" si="7"/>
        <v>4084</v>
      </c>
      <c r="C4090" s="31" t="s">
        <v>4129</v>
      </c>
      <c r="D4090" s="34" t="str">
        <f t="array" ref="D4090">IFNA(_xlfn.XLOOKUP(C4090,Table_Tarikan_Warkah[Nomor Sertipikat],Table_Tarikan_Warkah[Nomor Tiket]),"")</f>
        <v>K/11/081025/1</v>
      </c>
      <c r="E4090" s="36" t="str">
        <f t="array" ref="E4090">IFNA(_xlfn.XLOOKUP(D4090,Table_Tarikan_Warkah[Nomor Tiket],Table_Tarikan_Warkah[Tanggal diserahkan kepada Validator]),"")</f>
        <v/>
      </c>
      <c r="F4090" s="36" t="str">
        <f t="array" ref="F4090">IFNA(_xlfn.XLOOKUP(D4090,Table_Tarikan_Warkah[Nomor Tiket],Table_Tarikan_Warkah[Nama Petugas Warkah]),"")</f>
        <v/>
      </c>
      <c r="G4090" s="39" t="str">
        <f t="array" ref="G4090">IFNA(_xlfn.XLOOKUP(D4090,Table_Tarikan_Warkah[Nomor Tiket],Table_Tarikan_Warkah[Jenis Permohonan]),"")</f>
        <v>BN LELANG</v>
      </c>
      <c r="H4090" s="41" t="s">
        <v>20</v>
      </c>
      <c r="I4090" s="49" t="s">
        <v>23</v>
      </c>
      <c r="J4090" s="36">
        <f t="shared" si="20"/>
        <v>45945.42464</v>
      </c>
      <c r="K4090" s="49" t="s">
        <v>26</v>
      </c>
      <c r="L4090" s="49" t="s">
        <v>23</v>
      </c>
      <c r="M4090" s="36">
        <f t="shared" si="33"/>
        <v>45946.62915</v>
      </c>
      <c r="N4090" s="30" t="str">
        <f t="shared" si="34"/>
        <v>Selesai</v>
      </c>
      <c r="O4090" s="45">
        <f t="shared" si="23"/>
        <v>45946.62915</v>
      </c>
      <c r="P4090" s="47" t="b">
        <v>1</v>
      </c>
      <c r="Q4090" s="36">
        <f t="shared" si="35"/>
        <v>45946.62938</v>
      </c>
      <c r="R4090" s="47" t="b">
        <v>0</v>
      </c>
      <c r="S4090" s="42" t="str">
        <f t="shared" si="28"/>
        <v/>
      </c>
      <c r="T4090" s="42"/>
    </row>
    <row r="4091" ht="22.5" customHeight="1">
      <c r="B4091" s="42">
        <f t="shared" si="7"/>
        <v>4085</v>
      </c>
      <c r="C4091" s="31" t="s">
        <v>4130</v>
      </c>
      <c r="D4091" s="34" t="str">
        <f t="array" ref="D4091">IFNA(_xlfn.XLOOKUP(C4091,Table_Tarikan_Warkah[Nomor Sertipikat],Table_Tarikan_Warkah[Nomor Tiket]),"")</f>
        <v>K/24/011025/1</v>
      </c>
      <c r="E4091" s="36">
        <f t="array" ref="E4091">IFNA(_xlfn.XLOOKUP(D4091,Table_Tarikan_Warkah[Nomor Tiket],Table_Tarikan_Warkah[Tanggal diserahkan kepada Validator]),"")</f>
        <v>45965.49402</v>
      </c>
      <c r="F4091" s="36" t="str">
        <f t="array" ref="F4091">IFNA(_xlfn.XLOOKUP(D4091,Table_Tarikan_Warkah[Nomor Tiket],Table_Tarikan_Warkah[Nama Petugas Warkah]),"")</f>
        <v>Berry</v>
      </c>
      <c r="G4091" s="39" t="str">
        <f t="array" ref="G4091">IFNA(_xlfn.XLOOKUP(D4091,Table_Tarikan_Warkah[Nomor Tiket],Table_Tarikan_Warkah[Jenis Permohonan]),"")</f>
        <v>Roya	</v>
      </c>
      <c r="H4091" s="41" t="s">
        <v>2315</v>
      </c>
      <c r="I4091" s="49" t="s">
        <v>23</v>
      </c>
      <c r="J4091" s="36">
        <f t="shared" si="20"/>
        <v>45945.43195</v>
      </c>
      <c r="K4091" s="49" t="s">
        <v>26</v>
      </c>
      <c r="L4091" s="49" t="s">
        <v>23</v>
      </c>
      <c r="M4091" s="36">
        <f t="shared" si="33"/>
        <v>45946.62836</v>
      </c>
      <c r="N4091" s="30" t="str">
        <f t="shared" si="34"/>
        <v>Selesai</v>
      </c>
      <c r="O4091" s="45">
        <f t="shared" si="23"/>
        <v>45946.62836</v>
      </c>
      <c r="P4091" s="47" t="b">
        <v>1</v>
      </c>
      <c r="Q4091" s="36">
        <f t="shared" si="35"/>
        <v>45946.62942</v>
      </c>
      <c r="R4091" s="47" t="b">
        <v>0</v>
      </c>
      <c r="S4091" s="42" t="str">
        <f t="shared" si="28"/>
        <v/>
      </c>
      <c r="T4091" s="42"/>
    </row>
    <row r="4092" ht="22.5" customHeight="1">
      <c r="B4092" s="42">
        <f t="shared" si="7"/>
        <v>4086</v>
      </c>
      <c r="C4092" s="31" t="s">
        <v>4131</v>
      </c>
      <c r="D4092" s="34" t="str">
        <f t="array" ref="D4092">IFNA(_xlfn.XLOOKUP(C4092,Table_Tarikan_Warkah[Nomor Sertipikat],Table_Tarikan_Warkah[Nomor Tiket]),"")</f>
        <v>K/16/061025/1</v>
      </c>
      <c r="E4092" s="36" t="str">
        <f t="array" ref="E4092">IFNA(_xlfn.XLOOKUP(D4092,Table_Tarikan_Warkah[Nomor Tiket],Table_Tarikan_Warkah[Tanggal diserahkan kepada Validator]),"")</f>
        <v/>
      </c>
      <c r="F4092" s="36" t="str">
        <f t="array" ref="F4092">IFNA(_xlfn.XLOOKUP(D4092,Table_Tarikan_Warkah[Nomor Tiket],Table_Tarikan_Warkah[Nama Petugas Warkah]),"")</f>
        <v/>
      </c>
      <c r="G4092" s="39" t="str">
        <f t="array" ref="G4092">IFNA(_xlfn.XLOOKUP(D4092,Table_Tarikan_Warkah[Nomor Tiket],Table_Tarikan_Warkah[Jenis Permohonan]),"")</f>
        <v>BN Lelang	</v>
      </c>
      <c r="H4092" s="41" t="s">
        <v>2315</v>
      </c>
      <c r="I4092" s="49" t="s">
        <v>23</v>
      </c>
      <c r="J4092" s="36">
        <f t="shared" si="20"/>
        <v>45945.4321</v>
      </c>
      <c r="K4092" s="49" t="s">
        <v>26</v>
      </c>
      <c r="L4092" s="49" t="s">
        <v>23</v>
      </c>
      <c r="M4092" s="36">
        <f t="shared" si="33"/>
        <v>45946.62933</v>
      </c>
      <c r="N4092" s="30" t="str">
        <f t="shared" si="34"/>
        <v>Selesai</v>
      </c>
      <c r="O4092" s="45">
        <f t="shared" si="23"/>
        <v>45946.62933</v>
      </c>
      <c r="P4092" s="47" t="b">
        <v>1</v>
      </c>
      <c r="Q4092" s="36">
        <f t="shared" si="35"/>
        <v>45946.62943</v>
      </c>
      <c r="R4092" s="47" t="b">
        <v>0</v>
      </c>
      <c r="S4092" s="42" t="str">
        <f t="shared" si="28"/>
        <v/>
      </c>
      <c r="T4092" s="42"/>
    </row>
    <row r="4093" ht="22.5" customHeight="1">
      <c r="B4093" s="42">
        <f t="shared" si="7"/>
        <v>4087</v>
      </c>
      <c r="C4093" s="31" t="s">
        <v>4132</v>
      </c>
      <c r="D4093" s="34" t="str">
        <f t="array" ref="D4093">IFNA(_xlfn.XLOOKUP(C4093,Table_Tarikan_Warkah[Nomor Sertipikat],Table_Tarikan_Warkah[Nomor Tiket]),"")</f>
        <v>L/2/031025/1</v>
      </c>
      <c r="E4093" s="36" t="str">
        <f t="array" ref="E4093">IFNA(_xlfn.XLOOKUP(D4093,Table_Tarikan_Warkah[Nomor Tiket],Table_Tarikan_Warkah[Tanggal diserahkan kepada Validator]),"")</f>
        <v/>
      </c>
      <c r="F4093" s="36" t="str">
        <f t="array" ref="F4093">IFNA(_xlfn.XLOOKUP(D4093,Table_Tarikan_Warkah[Nomor Tiket],Table_Tarikan_Warkah[Nama Petugas Warkah]),"")</f>
        <v/>
      </c>
      <c r="G4093" s="39" t="str">
        <f t="array" ref="G4093">IFNA(_xlfn.XLOOKUP(D4093,Table_Tarikan_Warkah[Nomor Tiket],Table_Tarikan_Warkah[Jenis Permohonan]),"")</f>
        <v>BN WARIS</v>
      </c>
      <c r="H4093" s="41" t="s">
        <v>2315</v>
      </c>
      <c r="I4093" s="49" t="s">
        <v>23</v>
      </c>
      <c r="J4093" s="36">
        <f t="shared" si="20"/>
        <v>45945.43225</v>
      </c>
      <c r="K4093" s="49" t="s">
        <v>26</v>
      </c>
      <c r="L4093" s="49" t="s">
        <v>23</v>
      </c>
      <c r="M4093" s="36">
        <f t="shared" si="33"/>
        <v>45951.62851</v>
      </c>
      <c r="N4093" s="30" t="str">
        <f t="shared" si="34"/>
        <v>Selesai</v>
      </c>
      <c r="O4093" s="45">
        <f t="shared" si="23"/>
        <v>45951.62851</v>
      </c>
      <c r="P4093" s="47" t="b">
        <v>1</v>
      </c>
      <c r="Q4093" s="36">
        <f t="shared" si="35"/>
        <v>45951.62854</v>
      </c>
      <c r="R4093" s="47" t="b">
        <v>0</v>
      </c>
      <c r="S4093" s="42" t="str">
        <f t="shared" si="28"/>
        <v/>
      </c>
      <c r="T4093" s="42"/>
    </row>
    <row r="4094" ht="22.5" customHeight="1">
      <c r="B4094" s="42">
        <f t="shared" si="7"/>
        <v>4088</v>
      </c>
      <c r="C4094" s="31" t="s">
        <v>4133</v>
      </c>
      <c r="D4094" s="34" t="str">
        <f t="array" ref="D4094">IFNA(_xlfn.XLOOKUP(C4094,Table_Tarikan_Warkah[Nomor Sertipikat],Table_Tarikan_Warkah[Nomor Tiket]),"")</f>
        <v>L/11/071025/1</v>
      </c>
      <c r="E4094" s="36">
        <f t="array" ref="E4094">IFNA(_xlfn.XLOOKUP(D4094,Table_Tarikan_Warkah[Nomor Tiket],Table_Tarikan_Warkah[Tanggal diserahkan kepada Validator]),"")</f>
        <v>45975.49992</v>
      </c>
      <c r="F4094" s="36" t="str">
        <f t="array" ref="F4094">IFNA(_xlfn.XLOOKUP(D4094,Table_Tarikan_Warkah[Nomor Tiket],Table_Tarikan_Warkah[Nama Petugas Warkah]),"")</f>
        <v>Berry</v>
      </c>
      <c r="G4094" s="39" t="str">
        <f t="array" ref="G4094">IFNA(_xlfn.XLOOKUP(D4094,Table_Tarikan_Warkah[Nomor Tiket],Table_Tarikan_Warkah[Jenis Permohonan]),"")</f>
        <v>ROYA</v>
      </c>
      <c r="H4094" s="41" t="s">
        <v>2315</v>
      </c>
      <c r="I4094" s="49" t="s">
        <v>23</v>
      </c>
      <c r="J4094" s="36">
        <f t="shared" si="20"/>
        <v>45945.43242</v>
      </c>
      <c r="K4094" s="49" t="s">
        <v>26</v>
      </c>
      <c r="L4094" s="49" t="s">
        <v>23</v>
      </c>
      <c r="M4094" s="36">
        <f t="shared" si="33"/>
        <v>45951.63052</v>
      </c>
      <c r="N4094" s="30" t="str">
        <f t="shared" si="34"/>
        <v>Selesai</v>
      </c>
      <c r="O4094" s="45">
        <f t="shared" si="23"/>
        <v>45951.63052</v>
      </c>
      <c r="P4094" s="47" t="b">
        <v>1</v>
      </c>
      <c r="Q4094" s="36">
        <f t="shared" si="35"/>
        <v>45951.6306</v>
      </c>
      <c r="R4094" s="47" t="b">
        <v>0</v>
      </c>
      <c r="S4094" s="42" t="str">
        <f t="shared" si="28"/>
        <v/>
      </c>
      <c r="T4094" s="42"/>
    </row>
    <row r="4095" ht="22.5" customHeight="1">
      <c r="B4095" s="42">
        <f t="shared" si="7"/>
        <v>4089</v>
      </c>
      <c r="C4095" s="31" t="s">
        <v>4134</v>
      </c>
      <c r="D4095" s="34" t="str">
        <f t="array" ref="D4095">IFNA(_xlfn.XLOOKUP(C4095,Table_Tarikan_Warkah[Nomor Sertipikat],Table_Tarikan_Warkah[Nomor Tiket]),"")</f>
        <v>L/47/101025/1</v>
      </c>
      <c r="E4095" s="36" t="str">
        <f t="array" ref="E4095">IFNA(_xlfn.XLOOKUP(D4095,Table_Tarikan_Warkah[Nomor Tiket],Table_Tarikan_Warkah[Tanggal diserahkan kepada Validator]),"")</f>
        <v/>
      </c>
      <c r="F4095" s="36" t="str">
        <f t="array" ref="F4095">IFNA(_xlfn.XLOOKUP(D4095,Table_Tarikan_Warkah[Nomor Tiket],Table_Tarikan_Warkah[Nama Petugas Warkah]),"")</f>
        <v/>
      </c>
      <c r="G4095" s="39" t="str">
        <f t="array" ref="G4095">IFNA(_xlfn.XLOOKUP(D4095,Table_Tarikan_Warkah[Nomor Tiket],Table_Tarikan_Warkah[Jenis Permohonan]),"")</f>
        <v>ROYA</v>
      </c>
      <c r="H4095" s="41" t="s">
        <v>2315</v>
      </c>
      <c r="I4095" s="49" t="s">
        <v>23</v>
      </c>
      <c r="J4095" s="36">
        <f t="shared" si="20"/>
        <v>45945.43258</v>
      </c>
      <c r="K4095" s="49" t="s">
        <v>26</v>
      </c>
      <c r="L4095" s="49" t="s">
        <v>23</v>
      </c>
      <c r="M4095" s="36">
        <f t="shared" si="33"/>
        <v>45951.63057</v>
      </c>
      <c r="N4095" s="30" t="str">
        <f t="shared" si="34"/>
        <v>Selesai</v>
      </c>
      <c r="O4095" s="45">
        <f t="shared" si="23"/>
        <v>45951.63057</v>
      </c>
      <c r="P4095" s="47" t="b">
        <v>1</v>
      </c>
      <c r="Q4095" s="36">
        <f t="shared" si="35"/>
        <v>45951.63068</v>
      </c>
      <c r="R4095" s="47" t="b">
        <v>0</v>
      </c>
      <c r="S4095" s="42" t="str">
        <f t="shared" si="28"/>
        <v/>
      </c>
      <c r="T4095" s="42"/>
    </row>
    <row r="4096" ht="22.5" customHeight="1">
      <c r="B4096" s="42">
        <f t="shared" si="7"/>
        <v>4090</v>
      </c>
      <c r="C4096" s="31" t="s">
        <v>4135</v>
      </c>
      <c r="D4096" s="34" t="str">
        <f t="array" ref="D4096">IFNA(_xlfn.XLOOKUP(C4096,Table_Tarikan_Warkah[Nomor Sertipikat],Table_Tarikan_Warkah[Nomor Tiket]),"")</f>
        <v>L/24/250925/1</v>
      </c>
      <c r="E4096" s="36" t="str">
        <f t="array" ref="E4096">IFNA(_xlfn.XLOOKUP(D4096,Table_Tarikan_Warkah[Nomor Tiket],Table_Tarikan_Warkah[Tanggal diserahkan kepada Validator]),"")</f>
        <v/>
      </c>
      <c r="F4096" s="36" t="str">
        <f t="array" ref="F4096">IFNA(_xlfn.XLOOKUP(D4096,Table_Tarikan_Warkah[Nomor Tiket],Table_Tarikan_Warkah[Nama Petugas Warkah]),"")</f>
        <v/>
      </c>
      <c r="G4096" s="39" t="str">
        <f t="array" ref="G4096">IFNA(_xlfn.XLOOKUP(D4096,Table_Tarikan_Warkah[Nomor Tiket],Table_Tarikan_Warkah[Jenis Permohonan]),"")</f>
        <v>ROYA</v>
      </c>
      <c r="H4096" s="41" t="s">
        <v>2315</v>
      </c>
      <c r="I4096" s="49" t="s">
        <v>23</v>
      </c>
      <c r="J4096" s="36">
        <f t="shared" si="20"/>
        <v>45945.43274</v>
      </c>
      <c r="K4096" s="49" t="s">
        <v>26</v>
      </c>
      <c r="L4096" s="49" t="s">
        <v>23</v>
      </c>
      <c r="M4096" s="36">
        <f t="shared" si="33"/>
        <v>45947.61864</v>
      </c>
      <c r="N4096" s="30" t="str">
        <f t="shared" si="34"/>
        <v>Selesai</v>
      </c>
      <c r="O4096" s="45">
        <f t="shared" si="23"/>
        <v>45947.61864</v>
      </c>
      <c r="P4096" s="47" t="b">
        <v>1</v>
      </c>
      <c r="Q4096" s="36">
        <f t="shared" si="35"/>
        <v>45947.61879</v>
      </c>
      <c r="R4096" s="47" t="b">
        <v>0</v>
      </c>
      <c r="S4096" s="42" t="str">
        <f t="shared" si="28"/>
        <v/>
      </c>
      <c r="T4096" s="42"/>
    </row>
    <row r="4097" ht="22.5" customHeight="1">
      <c r="B4097" s="42">
        <f t="shared" si="7"/>
        <v>4091</v>
      </c>
      <c r="C4097" s="31" t="s">
        <v>4136</v>
      </c>
      <c r="D4097" s="34" t="str">
        <f t="array" ref="D4097">IFNA(_xlfn.XLOOKUP(C4097,Table_Tarikan_Warkah[Nomor Sertipikat],Table_Tarikan_Warkah[Nomor Tiket]),"")</f>
        <v>L/21/190525/1</v>
      </c>
      <c r="E4097" s="36">
        <f t="array" ref="E4097">IFNA(_xlfn.XLOOKUP(D4097,Table_Tarikan_Warkah[Nomor Tiket],Table_Tarikan_Warkah[Tanggal diserahkan kepada Validator]),"")</f>
        <v>45957.49296</v>
      </c>
      <c r="F4097" s="36" t="str">
        <f t="array" ref="F4097">IFNA(_xlfn.XLOOKUP(D4097,Table_Tarikan_Warkah[Nomor Tiket],Table_Tarikan_Warkah[Nama Petugas Warkah]),"")</f>
        <v>David</v>
      </c>
      <c r="G4097" s="39" t="str">
        <f t="array" ref="G4097">IFNA(_xlfn.XLOOKUP(D4097,Table_Tarikan_Warkah[Nomor Tiket],Table_Tarikan_Warkah[Jenis Permohonan]),"")</f>
        <v>BN WARIS</v>
      </c>
      <c r="H4097" s="41" t="s">
        <v>2315</v>
      </c>
      <c r="I4097" s="49" t="s">
        <v>23</v>
      </c>
      <c r="J4097" s="36">
        <f t="shared" si="20"/>
        <v>45945.43289</v>
      </c>
      <c r="K4097" s="49" t="s">
        <v>26</v>
      </c>
      <c r="L4097" s="49" t="s">
        <v>23</v>
      </c>
      <c r="M4097" s="36">
        <f t="shared" si="33"/>
        <v>45951.62804</v>
      </c>
      <c r="N4097" s="30" t="str">
        <f t="shared" si="34"/>
        <v>Selesai</v>
      </c>
      <c r="O4097" s="45">
        <f t="shared" si="23"/>
        <v>45951.62804</v>
      </c>
      <c r="P4097" s="47" t="b">
        <v>1</v>
      </c>
      <c r="Q4097" s="36">
        <f t="shared" si="35"/>
        <v>45951.62806</v>
      </c>
      <c r="R4097" s="47" t="b">
        <v>0</v>
      </c>
      <c r="S4097" s="42" t="str">
        <f t="shared" si="28"/>
        <v/>
      </c>
      <c r="T4097" s="42"/>
    </row>
    <row r="4098" ht="22.5" customHeight="1">
      <c r="B4098" s="42">
        <f t="shared" si="7"/>
        <v>4092</v>
      </c>
      <c r="C4098" s="31" t="s">
        <v>4137</v>
      </c>
      <c r="D4098" s="34" t="str">
        <f t="array" ref="D4098">IFNA(_xlfn.XLOOKUP(C4098,Table_Tarikan_Warkah[Nomor Sertipikat],Table_Tarikan_Warkah[Nomor Tiket]),"")</f>
        <v>K/22/160925/1</v>
      </c>
      <c r="E4098" s="36" t="str">
        <f t="array" ref="E4098">IFNA(_xlfn.XLOOKUP(D4098,Table_Tarikan_Warkah[Nomor Tiket],Table_Tarikan_Warkah[Tanggal diserahkan kepada Validator]),"")</f>
        <v/>
      </c>
      <c r="F4098" s="36" t="str">
        <f t="array" ref="F4098">IFNA(_xlfn.XLOOKUP(D4098,Table_Tarikan_Warkah[Nomor Tiket],Table_Tarikan_Warkah[Nama Petugas Warkah]),"")</f>
        <v/>
      </c>
      <c r="G4098" s="39" t="str">
        <f t="array" ref="G4098">IFNA(_xlfn.XLOOKUP(D4098,Table_Tarikan_Warkah[Nomor Tiket],Table_Tarikan_Warkah[Jenis Permohonan]),"")</f>
        <v>PEMECAHAN</v>
      </c>
      <c r="H4098" s="41" t="s">
        <v>2315</v>
      </c>
      <c r="I4098" s="49" t="s">
        <v>23</v>
      </c>
      <c r="J4098" s="36">
        <f t="shared" si="20"/>
        <v>45945.43311</v>
      </c>
      <c r="K4098" s="49" t="s">
        <v>26</v>
      </c>
      <c r="L4098" s="49" t="s">
        <v>23</v>
      </c>
      <c r="M4098" s="36">
        <f t="shared" si="33"/>
        <v>45951.63129</v>
      </c>
      <c r="N4098" s="30" t="str">
        <f t="shared" si="34"/>
        <v>Selesai</v>
      </c>
      <c r="O4098" s="45">
        <f t="shared" si="23"/>
        <v>45951.63129</v>
      </c>
      <c r="P4098" s="47" t="b">
        <v>1</v>
      </c>
      <c r="Q4098" s="36">
        <f t="shared" si="35"/>
        <v>45951.63134</v>
      </c>
      <c r="R4098" s="47" t="b">
        <v>0</v>
      </c>
      <c r="S4098" s="42" t="str">
        <f t="shared" si="28"/>
        <v/>
      </c>
      <c r="T4098" s="42"/>
    </row>
    <row r="4099" ht="22.5" customHeight="1">
      <c r="B4099" s="42">
        <f t="shared" si="7"/>
        <v>4093</v>
      </c>
      <c r="C4099" s="31" t="s">
        <v>4138</v>
      </c>
      <c r="D4099" s="34" t="str">
        <f t="array" ref="D4099">IFNA(_xlfn.XLOOKUP(C4099,Table_Tarikan_Warkah[Nomor Sertipikat],Table_Tarikan_Warkah[Nomor Tiket]),"")</f>
        <v>K/1/300926/1</v>
      </c>
      <c r="E4099" s="36" t="str">
        <f t="array" ref="E4099">IFNA(_xlfn.XLOOKUP(D4099,Table_Tarikan_Warkah[Nomor Tiket],Table_Tarikan_Warkah[Tanggal diserahkan kepada Validator]),"")</f>
        <v/>
      </c>
      <c r="F4099" s="36" t="str">
        <f t="array" ref="F4099">IFNA(_xlfn.XLOOKUP(D4099,Table_Tarikan_Warkah[Nomor Tiket],Table_Tarikan_Warkah[Nama Petugas Warkah]),"")</f>
        <v/>
      </c>
      <c r="G4099" s="39" t="str">
        <f t="array" ref="G4099">IFNA(_xlfn.XLOOKUP(D4099,Table_Tarikan_Warkah[Nomor Tiket],Table_Tarikan_Warkah[Jenis Permohonan]),"")</f>
        <v>Roya Waris	</v>
      </c>
      <c r="H4099" s="41" t="s">
        <v>2315</v>
      </c>
      <c r="I4099" s="49" t="s">
        <v>23</v>
      </c>
      <c r="J4099" s="36">
        <f t="shared" si="20"/>
        <v>45945.4332</v>
      </c>
      <c r="K4099" s="49" t="s">
        <v>26</v>
      </c>
      <c r="L4099" s="49" t="s">
        <v>23</v>
      </c>
      <c r="M4099" s="36">
        <f t="shared" si="33"/>
        <v>45946.62861</v>
      </c>
      <c r="N4099" s="30" t="str">
        <f t="shared" si="34"/>
        <v>Selesai</v>
      </c>
      <c r="O4099" s="45">
        <f t="shared" si="23"/>
        <v>45946.62861</v>
      </c>
      <c r="P4099" s="47" t="b">
        <v>1</v>
      </c>
      <c r="Q4099" s="36">
        <f t="shared" si="35"/>
        <v>45946.62948</v>
      </c>
      <c r="R4099" s="47" t="b">
        <v>0</v>
      </c>
      <c r="S4099" s="42" t="str">
        <f t="shared" si="28"/>
        <v/>
      </c>
      <c r="T4099" s="42"/>
    </row>
    <row r="4100" ht="22.5" customHeight="1">
      <c r="B4100" s="42">
        <f t="shared" si="7"/>
        <v>4094</v>
      </c>
      <c r="C4100" s="31" t="s">
        <v>4139</v>
      </c>
      <c r="D4100" s="34" t="str">
        <f t="array" ref="D4100">IFNA(_xlfn.XLOOKUP(C4100,Table_Tarikan_Warkah[Nomor Sertipikat],Table_Tarikan_Warkah[Nomor Tiket]),"")</f>
        <v>K/42/290925/1</v>
      </c>
      <c r="E4100" s="36" t="str">
        <f t="array" ref="E4100">IFNA(_xlfn.XLOOKUP(D4100,Table_Tarikan_Warkah[Nomor Tiket],Table_Tarikan_Warkah[Tanggal diserahkan kepada Validator]),"")</f>
        <v/>
      </c>
      <c r="F4100" s="36" t="str">
        <f t="array" ref="F4100">IFNA(_xlfn.XLOOKUP(D4100,Table_Tarikan_Warkah[Nomor Tiket],Table_Tarikan_Warkah[Nama Petugas Warkah]),"")</f>
        <v/>
      </c>
      <c r="G4100" s="39" t="str">
        <f t="array" ref="G4100">IFNA(_xlfn.XLOOKUP(D4100,Table_Tarikan_Warkah[Nomor Tiket],Table_Tarikan_Warkah[Jenis Permohonan]),"")</f>
        <v>BN Jual Beli	</v>
      </c>
      <c r="H4100" s="41" t="s">
        <v>2315</v>
      </c>
      <c r="I4100" s="49" t="s">
        <v>23</v>
      </c>
      <c r="J4100" s="36">
        <f t="shared" si="20"/>
        <v>45945.43336</v>
      </c>
      <c r="K4100" s="49" t="s">
        <v>26</v>
      </c>
      <c r="L4100" s="49" t="s">
        <v>23</v>
      </c>
      <c r="M4100" s="36">
        <f t="shared" si="33"/>
        <v>45946.6288</v>
      </c>
      <c r="N4100" s="30" t="str">
        <f t="shared" si="34"/>
        <v>Selesai</v>
      </c>
      <c r="O4100" s="45">
        <f t="shared" si="23"/>
        <v>45946.6288</v>
      </c>
      <c r="P4100" s="47" t="b">
        <v>1</v>
      </c>
      <c r="Q4100" s="36">
        <f t="shared" si="35"/>
        <v>45946.62947</v>
      </c>
      <c r="R4100" s="47" t="b">
        <v>0</v>
      </c>
      <c r="S4100" s="42" t="str">
        <f t="shared" si="28"/>
        <v/>
      </c>
      <c r="T4100" s="42"/>
    </row>
    <row r="4101" ht="22.5" customHeight="1">
      <c r="B4101" s="42">
        <f t="shared" si="7"/>
        <v>4095</v>
      </c>
      <c r="C4101" s="31" t="s">
        <v>4140</v>
      </c>
      <c r="D4101" s="34" t="str">
        <f t="array" ref="D4101">IFNA(_xlfn.XLOOKUP(C4101,Table_Tarikan_Warkah[Nomor Sertipikat],Table_Tarikan_Warkah[Nomor Tiket]),"")</f>
        <v>K/1/110825/1</v>
      </c>
      <c r="E4101" s="36" t="str">
        <f t="array" ref="E4101">IFNA(_xlfn.XLOOKUP(D4101,Table_Tarikan_Warkah[Nomor Tiket],Table_Tarikan_Warkah[Tanggal diserahkan kepada Validator]),"")</f>
        <v/>
      </c>
      <c r="F4101" s="36" t="str">
        <f t="array" ref="F4101">IFNA(_xlfn.XLOOKUP(D4101,Table_Tarikan_Warkah[Nomor Tiket],Table_Tarikan_Warkah[Nama Petugas Warkah]),"")</f>
        <v/>
      </c>
      <c r="G4101" s="39" t="str">
        <f t="array" ref="G4101">IFNA(_xlfn.XLOOKUP(D4101,Table_Tarikan_Warkah[Nomor Tiket],Table_Tarikan_Warkah[Jenis Permohonan]),"")</f>
        <v>PENATAAN BATAS</v>
      </c>
      <c r="H4101" s="41" t="s">
        <v>2315</v>
      </c>
      <c r="I4101" s="49" t="s">
        <v>23</v>
      </c>
      <c r="J4101" s="36">
        <f t="shared" si="20"/>
        <v>45945.43357</v>
      </c>
      <c r="K4101" s="49" t="s">
        <v>26</v>
      </c>
      <c r="L4101" s="49" t="s">
        <v>23</v>
      </c>
      <c r="M4101" s="36">
        <f t="shared" si="33"/>
        <v>45947.61782</v>
      </c>
      <c r="N4101" s="30" t="str">
        <f t="shared" si="34"/>
        <v>Selesai</v>
      </c>
      <c r="O4101" s="45">
        <f t="shared" si="23"/>
        <v>45947.61782</v>
      </c>
      <c r="P4101" s="47" t="b">
        <v>1</v>
      </c>
      <c r="Q4101" s="36">
        <f t="shared" si="35"/>
        <v>45947.61797</v>
      </c>
      <c r="R4101" s="47" t="b">
        <v>0</v>
      </c>
      <c r="S4101" s="42" t="str">
        <f t="shared" si="28"/>
        <v/>
      </c>
      <c r="T4101" s="42"/>
    </row>
    <row r="4102" ht="22.5" customHeight="1">
      <c r="B4102" s="42">
        <f t="shared" si="7"/>
        <v>4096</v>
      </c>
      <c r="C4102" s="31" t="s">
        <v>4141</v>
      </c>
      <c r="D4102" s="34" t="str">
        <f t="array" ref="D4102">IFNA(_xlfn.XLOOKUP(C4102,Table_Tarikan_Warkah[Nomor Sertipikat],Table_Tarikan_Warkah[Nomor Tiket]),"")</f>
        <v>K/4/011025/1</v>
      </c>
      <c r="E4102" s="36" t="str">
        <f t="array" ref="E4102">IFNA(_xlfn.XLOOKUP(D4102,Table_Tarikan_Warkah[Nomor Tiket],Table_Tarikan_Warkah[Tanggal diserahkan kepada Validator]),"")</f>
        <v/>
      </c>
      <c r="F4102" s="36" t="str">
        <f t="array" ref="F4102">IFNA(_xlfn.XLOOKUP(D4102,Table_Tarikan_Warkah[Nomor Tiket],Table_Tarikan_Warkah[Nama Petugas Warkah]),"")</f>
        <v/>
      </c>
      <c r="G4102" s="39" t="str">
        <f t="array" ref="G4102">IFNA(_xlfn.XLOOKUP(D4102,Table_Tarikan_Warkah[Nomor Tiket],Table_Tarikan_Warkah[Jenis Permohonan]),"")</f>
        <v>BN WARIS</v>
      </c>
      <c r="H4102" s="41" t="s">
        <v>2315</v>
      </c>
      <c r="I4102" s="49" t="s">
        <v>23</v>
      </c>
      <c r="J4102" s="36">
        <f t="shared" si="20"/>
        <v>45945.4338</v>
      </c>
      <c r="K4102" s="49" t="s">
        <v>26</v>
      </c>
      <c r="L4102" s="49" t="s">
        <v>23</v>
      </c>
      <c r="M4102" s="36">
        <f t="shared" si="33"/>
        <v>45951.63096</v>
      </c>
      <c r="N4102" s="30" t="str">
        <f t="shared" si="34"/>
        <v>Selesai</v>
      </c>
      <c r="O4102" s="45">
        <f t="shared" si="23"/>
        <v>45951.63096</v>
      </c>
      <c r="P4102" s="47" t="b">
        <v>1</v>
      </c>
      <c r="Q4102" s="36">
        <f t="shared" si="35"/>
        <v>45951.63099</v>
      </c>
      <c r="R4102" s="47" t="b">
        <v>0</v>
      </c>
      <c r="S4102" s="42" t="str">
        <f t="shared" si="28"/>
        <v/>
      </c>
      <c r="T4102" s="42"/>
    </row>
    <row r="4103" ht="22.5" customHeight="1">
      <c r="B4103" s="42">
        <f t="shared" si="7"/>
        <v>4097</v>
      </c>
      <c r="C4103" s="31" t="s">
        <v>4142</v>
      </c>
      <c r="D4103" s="34" t="str">
        <f t="array" ref="D4103">IFNA(_xlfn.XLOOKUP(C4103,Table_Tarikan_Warkah[Nomor Sertipikat],Table_Tarikan_Warkah[Nomor Tiket]),"")</f>
        <v>K/31/230925/1</v>
      </c>
      <c r="E4103" s="36" t="str">
        <f t="array" ref="E4103">IFNA(_xlfn.XLOOKUP(D4103,Table_Tarikan_Warkah[Nomor Tiket],Table_Tarikan_Warkah[Tanggal diserahkan kepada Validator]),"")</f>
        <v/>
      </c>
      <c r="F4103" s="36" t="str">
        <f t="array" ref="F4103">IFNA(_xlfn.XLOOKUP(D4103,Table_Tarikan_Warkah[Nomor Tiket],Table_Tarikan_Warkah[Nama Petugas Warkah]),"")</f>
        <v/>
      </c>
      <c r="G4103" s="39" t="str">
        <f t="array" ref="G4103">IFNA(_xlfn.XLOOKUP(D4103,Table_Tarikan_Warkah[Nomor Tiket],Table_Tarikan_Warkah[Jenis Permohonan]),"")</f>
        <v>Roya	</v>
      </c>
      <c r="H4103" s="41" t="s">
        <v>2315</v>
      </c>
      <c r="I4103" s="49" t="s">
        <v>23</v>
      </c>
      <c r="J4103" s="36">
        <f t="shared" si="20"/>
        <v>45945.43396</v>
      </c>
      <c r="K4103" s="49" t="s">
        <v>26</v>
      </c>
      <c r="L4103" s="49" t="s">
        <v>23</v>
      </c>
      <c r="M4103" s="36">
        <f t="shared" si="33"/>
        <v>45958.46312</v>
      </c>
      <c r="N4103" s="30" t="str">
        <f t="shared" si="34"/>
        <v>Selesai</v>
      </c>
      <c r="O4103" s="45">
        <f t="shared" si="23"/>
        <v>45958.46312</v>
      </c>
      <c r="P4103" s="47" t="b">
        <v>0</v>
      </c>
      <c r="Q4103" s="36" t="str">
        <f t="shared" si="35"/>
        <v/>
      </c>
      <c r="R4103" s="47" t="b">
        <v>0</v>
      </c>
      <c r="S4103" s="42" t="str">
        <f t="shared" si="28"/>
        <v/>
      </c>
      <c r="T4103" s="42"/>
    </row>
    <row r="4104" ht="22.5" customHeight="1">
      <c r="B4104" s="42">
        <f t="shared" si="7"/>
        <v>4098</v>
      </c>
      <c r="C4104" s="31" t="s">
        <v>4143</v>
      </c>
      <c r="D4104" s="34" t="str">
        <f t="array" ref="D4104">IFNA(_xlfn.XLOOKUP(C4104,Table_Tarikan_Warkah[Nomor Sertipikat],Table_Tarikan_Warkah[Nomor Tiket]),"")</f>
        <v>K/13/230925/1</v>
      </c>
      <c r="E4104" s="36">
        <f t="array" ref="E4104">IFNA(_xlfn.XLOOKUP(D4104,Table_Tarikan_Warkah[Nomor Tiket],Table_Tarikan_Warkah[Tanggal diserahkan kepada Validator]),"")</f>
        <v>45957.49054</v>
      </c>
      <c r="F4104" s="36" t="str">
        <f t="array" ref="F4104">IFNA(_xlfn.XLOOKUP(D4104,Table_Tarikan_Warkah[Nomor Tiket],Table_Tarikan_Warkah[Nama Petugas Warkah]),"")</f>
        <v>Alfiansyah</v>
      </c>
      <c r="G4104" s="39" t="str">
        <f t="array" ref="G4104">IFNA(_xlfn.XLOOKUP(D4104,Table_Tarikan_Warkah[Nomor Tiket],Table_Tarikan_Warkah[Jenis Permohonan]),"")</f>
        <v>Roya Lelang	</v>
      </c>
      <c r="H4104" s="41" t="s">
        <v>2315</v>
      </c>
      <c r="I4104" s="49" t="s">
        <v>23</v>
      </c>
      <c r="J4104" s="36">
        <f t="shared" si="20"/>
        <v>45945.4342</v>
      </c>
      <c r="K4104" s="49" t="s">
        <v>26</v>
      </c>
      <c r="L4104" s="49" t="s">
        <v>23</v>
      </c>
      <c r="M4104" s="36">
        <f t="shared" si="33"/>
        <v>45951.63152</v>
      </c>
      <c r="N4104" s="30" t="str">
        <f t="shared" si="34"/>
        <v>Selesai</v>
      </c>
      <c r="O4104" s="45">
        <f t="shared" si="23"/>
        <v>45951.63152</v>
      </c>
      <c r="P4104" s="47" t="b">
        <v>1</v>
      </c>
      <c r="Q4104" s="36">
        <f t="shared" si="35"/>
        <v>45951.63157</v>
      </c>
      <c r="R4104" s="47" t="b">
        <v>0</v>
      </c>
      <c r="S4104" s="42" t="str">
        <f t="shared" si="28"/>
        <v/>
      </c>
      <c r="T4104" s="42"/>
    </row>
    <row r="4105" ht="22.5" customHeight="1">
      <c r="B4105" s="42">
        <f t="shared" si="7"/>
        <v>4099</v>
      </c>
      <c r="C4105" s="31" t="s">
        <v>4144</v>
      </c>
      <c r="D4105" s="34" t="str">
        <f t="array" ref="D4105">IFNA(_xlfn.XLOOKUP(C4105,Table_Tarikan_Warkah[Nomor Sertipikat],Table_Tarikan_Warkah[Nomor Tiket]),"")</f>
        <v>K/60/210825/3</v>
      </c>
      <c r="E4105" s="36">
        <f t="array" ref="E4105">IFNA(_xlfn.XLOOKUP(D4105,Table_Tarikan_Warkah[Nomor Tiket],Table_Tarikan_Warkah[Tanggal diserahkan kepada Validator]),"")</f>
        <v>45951.46548</v>
      </c>
      <c r="F4105" s="36" t="str">
        <f t="array" ref="F4105">IFNA(_xlfn.XLOOKUP(D4105,Table_Tarikan_Warkah[Nomor Tiket],Table_Tarikan_Warkah[Nama Petugas Warkah]),"")</f>
        <v>Berry</v>
      </c>
      <c r="G4105" s="39" t="str">
        <f t="array" ref="G4105">IFNA(_xlfn.XLOOKUP(D4105,Table_Tarikan_Warkah[Nomor Tiket],Table_Tarikan_Warkah[Jenis Permohonan]),"")</f>
        <v>BN JUAL BELI</v>
      </c>
      <c r="H4105" s="41" t="s">
        <v>920</v>
      </c>
      <c r="I4105" s="49" t="s">
        <v>23</v>
      </c>
      <c r="J4105" s="36">
        <f t="shared" si="20"/>
        <v>45947.46455</v>
      </c>
      <c r="K4105" s="49" t="s">
        <v>920</v>
      </c>
      <c r="L4105" s="49" t="s">
        <v>23</v>
      </c>
      <c r="M4105" s="36">
        <f t="shared" si="33"/>
        <v>45947.46534</v>
      </c>
      <c r="N4105" s="30" t="str">
        <f t="shared" si="34"/>
        <v>Selesai</v>
      </c>
      <c r="O4105" s="45">
        <f t="shared" si="23"/>
        <v>45947.46534</v>
      </c>
      <c r="P4105" s="47" t="b">
        <v>1</v>
      </c>
      <c r="Q4105" s="36">
        <f t="shared" si="35"/>
        <v>45947.46536</v>
      </c>
      <c r="R4105" s="47" t="b">
        <v>0</v>
      </c>
      <c r="S4105" s="42" t="str">
        <f t="shared" si="28"/>
        <v/>
      </c>
      <c r="T4105" s="42"/>
    </row>
    <row r="4106" ht="22.5" customHeight="1">
      <c r="B4106" s="42">
        <f t="shared" si="7"/>
        <v>4100</v>
      </c>
      <c r="C4106" s="31" t="s">
        <v>4145</v>
      </c>
      <c r="D4106" s="34" t="str">
        <f t="array" ref="D4106">IFNA(_xlfn.XLOOKUP(C4106,Table_Tarikan_Warkah[Nomor Sertipikat],Table_Tarikan_Warkah[Nomor Tiket]),"")</f>
        <v>K/51/020925/1</v>
      </c>
      <c r="E4106" s="36" t="str">
        <f t="array" ref="E4106">IFNA(_xlfn.XLOOKUP(D4106,Table_Tarikan_Warkah[Nomor Tiket],Table_Tarikan_Warkah[Tanggal diserahkan kepada Validator]),"")</f>
        <v/>
      </c>
      <c r="F4106" s="36" t="str">
        <f t="array" ref="F4106">IFNA(_xlfn.XLOOKUP(D4106,Table_Tarikan_Warkah[Nomor Tiket],Table_Tarikan_Warkah[Nama Petugas Warkah]),"")</f>
        <v/>
      </c>
      <c r="G4106" s="39" t="str">
        <f t="array" ref="G4106">IFNA(_xlfn.XLOOKUP(D4106,Table_Tarikan_Warkah[Nomor Tiket],Table_Tarikan_Warkah[Jenis Permohonan]),"")</f>
        <v>HIBAH EL </v>
      </c>
      <c r="H4106" s="41" t="s">
        <v>920</v>
      </c>
      <c r="I4106" s="49" t="s">
        <v>23</v>
      </c>
      <c r="J4106" s="36">
        <f t="shared" si="20"/>
        <v>45947.4655</v>
      </c>
      <c r="K4106" s="49" t="s">
        <v>920</v>
      </c>
      <c r="L4106" s="49" t="s">
        <v>23</v>
      </c>
      <c r="M4106" s="36">
        <f t="shared" si="33"/>
        <v>45947.46553</v>
      </c>
      <c r="N4106" s="30" t="str">
        <f t="shared" si="34"/>
        <v>Selesai</v>
      </c>
      <c r="O4106" s="45">
        <f t="shared" si="23"/>
        <v>45947.46553</v>
      </c>
      <c r="P4106" s="47" t="b">
        <v>1</v>
      </c>
      <c r="Q4106" s="36">
        <f t="shared" si="35"/>
        <v>45947.46556</v>
      </c>
      <c r="R4106" s="47" t="b">
        <v>0</v>
      </c>
      <c r="S4106" s="42" t="str">
        <f t="shared" si="28"/>
        <v/>
      </c>
      <c r="T4106" s="42"/>
    </row>
    <row r="4107" ht="22.5" customHeight="1">
      <c r="B4107" s="42">
        <f t="shared" si="7"/>
        <v>4101</v>
      </c>
      <c r="C4107" s="31" t="s">
        <v>4146</v>
      </c>
      <c r="D4107" s="34" t="str">
        <f t="array" ref="D4107">IFNA(_xlfn.XLOOKUP(C4107,Table_Tarikan_Warkah[Nomor Sertipikat],Table_Tarikan_Warkah[Nomor Tiket]),"")</f>
        <v>K/67/220825/2</v>
      </c>
      <c r="E4107" s="36" t="str">
        <f t="array" ref="E4107">IFNA(_xlfn.XLOOKUP(D4107,Table_Tarikan_Warkah[Nomor Tiket],Table_Tarikan_Warkah[Tanggal diserahkan kepada Validator]),"")</f>
        <v/>
      </c>
      <c r="F4107" s="36" t="str">
        <f t="array" ref="F4107">IFNA(_xlfn.XLOOKUP(D4107,Table_Tarikan_Warkah[Nomor Tiket],Table_Tarikan_Warkah[Nama Petugas Warkah]),"")</f>
        <v/>
      </c>
      <c r="G4107" s="39" t="str">
        <f t="array" ref="G4107">IFNA(_xlfn.XLOOKUP(D4107,Table_Tarikan_Warkah[Nomor Tiket],Table_Tarikan_Warkah[Jenis Permohonan]),"")</f>
        <v>BN JUAL BELI EL</v>
      </c>
      <c r="H4107" s="41" t="s">
        <v>920</v>
      </c>
      <c r="I4107" s="49" t="s">
        <v>23</v>
      </c>
      <c r="J4107" s="36">
        <f t="shared" si="20"/>
        <v>45947.46568</v>
      </c>
      <c r="K4107" s="49" t="s">
        <v>920</v>
      </c>
      <c r="L4107" s="49" t="s">
        <v>23</v>
      </c>
      <c r="M4107" s="36">
        <f t="shared" si="33"/>
        <v>45947.46571</v>
      </c>
      <c r="N4107" s="30" t="str">
        <f t="shared" si="34"/>
        <v>Selesai</v>
      </c>
      <c r="O4107" s="45">
        <f t="shared" si="23"/>
        <v>45947.46571</v>
      </c>
      <c r="P4107" s="47" t="b">
        <v>1</v>
      </c>
      <c r="Q4107" s="36">
        <f t="shared" si="35"/>
        <v>45947.46574</v>
      </c>
      <c r="R4107" s="47" t="b">
        <v>0</v>
      </c>
      <c r="S4107" s="42" t="str">
        <f t="shared" si="28"/>
        <v/>
      </c>
      <c r="T4107" s="42"/>
    </row>
    <row r="4108" ht="22.5" customHeight="1">
      <c r="B4108" s="42">
        <f t="shared" si="7"/>
        <v>4102</v>
      </c>
      <c r="C4108" s="31" t="s">
        <v>4147</v>
      </c>
      <c r="D4108" s="34" t="str">
        <f t="array" ref="D4108">IFNA(_xlfn.XLOOKUP(C4108,Table_Tarikan_Warkah[Nomor Sertipikat],Table_Tarikan_Warkah[Nomor Tiket]),"")</f>
        <v>K/53/280825/2</v>
      </c>
      <c r="E4108" s="36">
        <f t="array" ref="E4108">IFNA(_xlfn.XLOOKUP(D4108,Table_Tarikan_Warkah[Nomor Tiket],Table_Tarikan_Warkah[Tanggal diserahkan kepada Validator]),"")</f>
        <v>45957.49119</v>
      </c>
      <c r="F4108" s="36" t="str">
        <f t="array" ref="F4108">IFNA(_xlfn.XLOOKUP(D4108,Table_Tarikan_Warkah[Nomor Tiket],Table_Tarikan_Warkah[Nama Petugas Warkah]),"")</f>
        <v>David</v>
      </c>
      <c r="G4108" s="39" t="str">
        <f t="array" ref="G4108">IFNA(_xlfn.XLOOKUP(D4108,Table_Tarikan_Warkah[Nomor Tiket],Table_Tarikan_Warkah[Jenis Permohonan]),"")</f>
        <v>BN JUAL BELI</v>
      </c>
      <c r="H4108" s="41" t="s">
        <v>920</v>
      </c>
      <c r="I4108" s="49" t="s">
        <v>23</v>
      </c>
      <c r="J4108" s="36">
        <f t="shared" si="20"/>
        <v>45947.46608</v>
      </c>
      <c r="K4108" s="49" t="s">
        <v>920</v>
      </c>
      <c r="L4108" s="49" t="s">
        <v>23</v>
      </c>
      <c r="M4108" s="36">
        <f t="shared" si="33"/>
        <v>45947.46614</v>
      </c>
      <c r="N4108" s="30" t="str">
        <f t="shared" si="34"/>
        <v>Selesai</v>
      </c>
      <c r="O4108" s="45">
        <f t="shared" si="23"/>
        <v>45947.46614</v>
      </c>
      <c r="P4108" s="47" t="b">
        <v>1</v>
      </c>
      <c r="Q4108" s="36">
        <f t="shared" si="35"/>
        <v>45947.46614</v>
      </c>
      <c r="R4108" s="47" t="b">
        <v>0</v>
      </c>
      <c r="S4108" s="42" t="str">
        <f t="shared" si="28"/>
        <v/>
      </c>
      <c r="T4108" s="42"/>
    </row>
    <row r="4109" ht="22.5" customHeight="1">
      <c r="B4109" s="42">
        <f t="shared" si="7"/>
        <v>4103</v>
      </c>
      <c r="C4109" s="31" t="s">
        <v>4148</v>
      </c>
      <c r="D4109" s="34" t="str">
        <f t="array" ref="D4109">IFNA(_xlfn.XLOOKUP(C4109,Table_Tarikan_Warkah[Nomor Sertipikat],Table_Tarikan_Warkah[Nomor Tiket]),"")</f>
        <v>K/21/280825/1</v>
      </c>
      <c r="E4109" s="36" t="str">
        <f t="array" ref="E4109">IFNA(_xlfn.XLOOKUP(D4109,Table_Tarikan_Warkah[Nomor Tiket],Table_Tarikan_Warkah[Tanggal diserahkan kepada Validator]),"")</f>
        <v/>
      </c>
      <c r="F4109" s="36" t="str">
        <f t="array" ref="F4109">IFNA(_xlfn.XLOOKUP(D4109,Table_Tarikan_Warkah[Nomor Tiket],Table_Tarikan_Warkah[Nama Petugas Warkah]),"")</f>
        <v/>
      </c>
      <c r="G4109" s="39" t="str">
        <f t="array" ref="G4109">IFNA(_xlfn.XLOOKUP(D4109,Table_Tarikan_Warkah[Nomor Tiket],Table_Tarikan_Warkah[Jenis Permohonan]),"")</f>
        <v>BN JUAL BELI</v>
      </c>
      <c r="H4109" s="41" t="s">
        <v>920</v>
      </c>
      <c r="I4109" s="49" t="s">
        <v>23</v>
      </c>
      <c r="J4109" s="36">
        <f t="shared" si="20"/>
        <v>45947.46655</v>
      </c>
      <c r="K4109" s="49" t="s">
        <v>920</v>
      </c>
      <c r="L4109" s="49" t="s">
        <v>23</v>
      </c>
      <c r="M4109" s="36">
        <f t="shared" si="33"/>
        <v>45947.46667</v>
      </c>
      <c r="N4109" s="30" t="str">
        <f t="shared" si="34"/>
        <v>Selesai</v>
      </c>
      <c r="O4109" s="45">
        <f t="shared" si="23"/>
        <v>45947.46667</v>
      </c>
      <c r="P4109" s="47" t="b">
        <v>1</v>
      </c>
      <c r="Q4109" s="36">
        <f t="shared" si="35"/>
        <v>45947.46672</v>
      </c>
      <c r="R4109" s="47" t="b">
        <v>0</v>
      </c>
      <c r="S4109" s="42" t="str">
        <f t="shared" si="28"/>
        <v/>
      </c>
      <c r="T4109" s="42"/>
    </row>
    <row r="4110" ht="22.5" customHeight="1">
      <c r="B4110" s="42">
        <f t="shared" si="7"/>
        <v>4104</v>
      </c>
      <c r="C4110" s="31" t="s">
        <v>4149</v>
      </c>
      <c r="D4110" s="34" t="str">
        <f t="array" ref="D4110">IFNA(_xlfn.XLOOKUP(C4110,Table_Tarikan_Warkah[Nomor Sertipikat],Table_Tarikan_Warkah[Nomor Tiket]),"")</f>
        <v>K/35/080925/3</v>
      </c>
      <c r="E4110" s="36" t="str">
        <f t="array" ref="E4110">IFNA(_xlfn.XLOOKUP(D4110,Table_Tarikan_Warkah[Nomor Tiket],Table_Tarikan_Warkah[Tanggal diserahkan kepada Validator]),"")</f>
        <v/>
      </c>
      <c r="F4110" s="36" t="str">
        <f t="array" ref="F4110">IFNA(_xlfn.XLOOKUP(D4110,Table_Tarikan_Warkah[Nomor Tiket],Table_Tarikan_Warkah[Nama Petugas Warkah]),"")</f>
        <v/>
      </c>
      <c r="G4110" s="39" t="str">
        <f t="array" ref="G4110">IFNA(_xlfn.XLOOKUP(D4110,Table_Tarikan_Warkah[Nomor Tiket],Table_Tarikan_Warkah[Jenis Permohonan]),"")</f>
        <v>BN JUAL BELI</v>
      </c>
      <c r="H4110" s="41" t="s">
        <v>920</v>
      </c>
      <c r="I4110" s="49" t="s">
        <v>23</v>
      </c>
      <c r="J4110" s="36">
        <f t="shared" si="20"/>
        <v>45947.46826</v>
      </c>
      <c r="K4110" s="49" t="s">
        <v>920</v>
      </c>
      <c r="L4110" s="49" t="s">
        <v>23</v>
      </c>
      <c r="M4110" s="36">
        <f t="shared" si="33"/>
        <v>45947.46829</v>
      </c>
      <c r="N4110" s="30" t="str">
        <f t="shared" si="34"/>
        <v>Selesai</v>
      </c>
      <c r="O4110" s="45">
        <f t="shared" si="23"/>
        <v>45947.46829</v>
      </c>
      <c r="P4110" s="47" t="b">
        <v>1</v>
      </c>
      <c r="Q4110" s="36">
        <f t="shared" si="35"/>
        <v>45947.46831</v>
      </c>
      <c r="R4110" s="47" t="b">
        <v>0</v>
      </c>
      <c r="S4110" s="42" t="str">
        <f t="shared" si="28"/>
        <v/>
      </c>
      <c r="T4110" s="42"/>
    </row>
    <row r="4111" ht="22.5" customHeight="1">
      <c r="B4111" s="42">
        <f t="shared" si="7"/>
        <v>4105</v>
      </c>
      <c r="C4111" s="31" t="s">
        <v>4150</v>
      </c>
      <c r="D4111" s="34" t="str">
        <f t="array" ref="D4111">IFNA(_xlfn.XLOOKUP(C4111,Table_Tarikan_Warkah[Nomor Sertipikat],Table_Tarikan_Warkah[Nomor Tiket]),"")</f>
        <v>K/25/280825/5</v>
      </c>
      <c r="E4111" s="36" t="str">
        <f t="array" ref="E4111">IFNA(_xlfn.XLOOKUP(D4111,Table_Tarikan_Warkah[Nomor Tiket],Table_Tarikan_Warkah[Tanggal diserahkan kepada Validator]),"")</f>
        <v/>
      </c>
      <c r="F4111" s="36" t="str">
        <f t="array" ref="F4111">IFNA(_xlfn.XLOOKUP(D4111,Table_Tarikan_Warkah[Nomor Tiket],Table_Tarikan_Warkah[Nama Petugas Warkah]),"")</f>
        <v/>
      </c>
      <c r="G4111" s="39" t="str">
        <f t="array" ref="G4111">IFNA(_xlfn.XLOOKUP(D4111,Table_Tarikan_Warkah[Nomor Tiket],Table_Tarikan_Warkah[Jenis Permohonan]),"")</f>
        <v>BN JUAL BELI</v>
      </c>
      <c r="H4111" s="41" t="s">
        <v>920</v>
      </c>
      <c r="I4111" s="49" t="s">
        <v>23</v>
      </c>
      <c r="J4111" s="36">
        <f t="shared" si="20"/>
        <v>45947.4685</v>
      </c>
      <c r="K4111" s="49" t="s">
        <v>920</v>
      </c>
      <c r="L4111" s="49" t="s">
        <v>23</v>
      </c>
      <c r="M4111" s="36">
        <f t="shared" si="33"/>
        <v>45947.46853</v>
      </c>
      <c r="N4111" s="30" t="str">
        <f t="shared" si="34"/>
        <v>Selesai</v>
      </c>
      <c r="O4111" s="45">
        <f t="shared" si="23"/>
        <v>45947.46853</v>
      </c>
      <c r="P4111" s="47" t="b">
        <v>1</v>
      </c>
      <c r="Q4111" s="36">
        <f t="shared" si="35"/>
        <v>45947.46855</v>
      </c>
      <c r="R4111" s="47" t="b">
        <v>0</v>
      </c>
      <c r="S4111" s="42" t="str">
        <f t="shared" si="28"/>
        <v/>
      </c>
      <c r="T4111" s="42"/>
    </row>
    <row r="4112" ht="22.5" customHeight="1">
      <c r="B4112" s="42">
        <f t="shared" si="7"/>
        <v>4106</v>
      </c>
      <c r="C4112" s="31" t="s">
        <v>4151</v>
      </c>
      <c r="D4112" s="34" t="str">
        <f t="array" ref="D4112">IFNA(_xlfn.XLOOKUP(C4112,Table_Tarikan_Warkah[Nomor Sertipikat],Table_Tarikan_Warkah[Nomor Tiket]),"")</f>
        <v>K/23/280825/3</v>
      </c>
      <c r="E4112" s="36">
        <f t="array" ref="E4112">IFNA(_xlfn.XLOOKUP(D4112,Table_Tarikan_Warkah[Nomor Tiket],Table_Tarikan_Warkah[Tanggal diserahkan kepada Validator]),"")</f>
        <v>45922.64266</v>
      </c>
      <c r="F4112" s="36" t="str">
        <f t="array" ref="F4112">IFNA(_xlfn.XLOOKUP(D4112,Table_Tarikan_Warkah[Nomor Tiket],Table_Tarikan_Warkah[Nama Petugas Warkah]),"")</f>
        <v>Berry</v>
      </c>
      <c r="G4112" s="39" t="str">
        <f t="array" ref="G4112">IFNA(_xlfn.XLOOKUP(D4112,Table_Tarikan_Warkah[Nomor Tiket],Table_Tarikan_Warkah[Jenis Permohonan]),"")</f>
        <v>BN JUAL BELI</v>
      </c>
      <c r="H4112" s="41" t="s">
        <v>920</v>
      </c>
      <c r="I4112" s="49" t="s">
        <v>23</v>
      </c>
      <c r="J4112" s="36">
        <f t="shared" si="20"/>
        <v>45947.46872</v>
      </c>
      <c r="K4112" s="49" t="s">
        <v>920</v>
      </c>
      <c r="L4112" s="49" t="s">
        <v>23</v>
      </c>
      <c r="M4112" s="36">
        <f t="shared" si="33"/>
        <v>45947.46874</v>
      </c>
      <c r="N4112" s="30" t="str">
        <f t="shared" si="34"/>
        <v>Selesai</v>
      </c>
      <c r="O4112" s="45">
        <f t="shared" si="23"/>
        <v>45947.46874</v>
      </c>
      <c r="P4112" s="47" t="b">
        <v>1</v>
      </c>
      <c r="Q4112" s="36">
        <f t="shared" si="35"/>
        <v>45947.46877</v>
      </c>
      <c r="R4112" s="47" t="b">
        <v>0</v>
      </c>
      <c r="S4112" s="42" t="str">
        <f t="shared" si="28"/>
        <v/>
      </c>
      <c r="T4112" s="42"/>
    </row>
    <row r="4113" ht="22.5" customHeight="1">
      <c r="B4113" s="42">
        <f t="shared" si="7"/>
        <v>4107</v>
      </c>
      <c r="C4113" s="31" t="s">
        <v>4152</v>
      </c>
      <c r="D4113" s="34" t="str">
        <f t="array" ref="D4113">IFNA(_xlfn.XLOOKUP(C4113,Table_Tarikan_Warkah[Nomor Sertipikat],Table_Tarikan_Warkah[Nomor Tiket]),"")</f>
        <v>K/11/280825/1</v>
      </c>
      <c r="E4113" s="36" t="str">
        <f t="array" ref="E4113">IFNA(_xlfn.XLOOKUP(D4113,Table_Tarikan_Warkah[Nomor Tiket],Table_Tarikan_Warkah[Tanggal diserahkan kepada Validator]),"")</f>
        <v/>
      </c>
      <c r="F4113" s="36" t="str">
        <f t="array" ref="F4113">IFNA(_xlfn.XLOOKUP(D4113,Table_Tarikan_Warkah[Nomor Tiket],Table_Tarikan_Warkah[Nama Petugas Warkah]),"")</f>
        <v/>
      </c>
      <c r="G4113" s="39" t="str">
        <f t="array" ref="G4113">IFNA(_xlfn.XLOOKUP(D4113,Table_Tarikan_Warkah[Nomor Tiket],Table_Tarikan_Warkah[Jenis Permohonan]),"")</f>
        <v>BN Jual Beli		</v>
      </c>
      <c r="H4113" s="41" t="s">
        <v>920</v>
      </c>
      <c r="I4113" s="49" t="s">
        <v>23</v>
      </c>
      <c r="J4113" s="36">
        <f t="shared" si="20"/>
        <v>45947.46912</v>
      </c>
      <c r="K4113" s="49" t="s">
        <v>920</v>
      </c>
      <c r="L4113" s="49" t="s">
        <v>23</v>
      </c>
      <c r="M4113" s="36">
        <f t="shared" si="33"/>
        <v>45947.46916</v>
      </c>
      <c r="N4113" s="30" t="str">
        <f t="shared" si="34"/>
        <v>Selesai</v>
      </c>
      <c r="O4113" s="45">
        <f t="shared" si="23"/>
        <v>45947.46916</v>
      </c>
      <c r="P4113" s="47" t="b">
        <v>1</v>
      </c>
      <c r="Q4113" s="36">
        <f t="shared" si="35"/>
        <v>45947.46919</v>
      </c>
      <c r="R4113" s="47" t="b">
        <v>0</v>
      </c>
      <c r="S4113" s="42" t="str">
        <f t="shared" si="28"/>
        <v/>
      </c>
      <c r="T4113" s="42"/>
    </row>
    <row r="4114" ht="22.5" customHeight="1">
      <c r="B4114" s="42">
        <f t="shared" si="7"/>
        <v>4108</v>
      </c>
      <c r="C4114" s="31" t="s">
        <v>4153</v>
      </c>
      <c r="D4114" s="34" t="str">
        <f t="array" ref="D4114">IFNA(_xlfn.XLOOKUP(C4114,Table_Tarikan_Warkah[Nomor Sertipikat],Table_Tarikan_Warkah[Nomor Tiket]),"")</f>
        <v>K/16/270825/1</v>
      </c>
      <c r="E4114" s="36" t="str">
        <f t="array" ref="E4114">IFNA(_xlfn.XLOOKUP(D4114,Table_Tarikan_Warkah[Nomor Tiket],Table_Tarikan_Warkah[Tanggal diserahkan kepada Validator]),"")</f>
        <v/>
      </c>
      <c r="F4114" s="36" t="str">
        <f t="array" ref="F4114">IFNA(_xlfn.XLOOKUP(D4114,Table_Tarikan_Warkah[Nomor Tiket],Table_Tarikan_Warkah[Nama Petugas Warkah]),"")</f>
        <v/>
      </c>
      <c r="G4114" s="39" t="str">
        <f t="array" ref="G4114">IFNA(_xlfn.XLOOKUP(D4114,Table_Tarikan_Warkah[Nomor Tiket],Table_Tarikan_Warkah[Jenis Permohonan]),"")</f>
        <v>BN Jual Beli	</v>
      </c>
      <c r="H4114" s="41" t="s">
        <v>920</v>
      </c>
      <c r="I4114" s="49" t="s">
        <v>23</v>
      </c>
      <c r="J4114" s="36">
        <f t="shared" si="20"/>
        <v>45947.46932</v>
      </c>
      <c r="K4114" s="49" t="s">
        <v>920</v>
      </c>
      <c r="L4114" s="49" t="s">
        <v>23</v>
      </c>
      <c r="M4114" s="36">
        <f t="shared" si="33"/>
        <v>45947.46936</v>
      </c>
      <c r="N4114" s="30" t="str">
        <f t="shared" si="34"/>
        <v>Selesai</v>
      </c>
      <c r="O4114" s="45">
        <f t="shared" si="23"/>
        <v>45947.46936</v>
      </c>
      <c r="P4114" s="47" t="b">
        <v>1</v>
      </c>
      <c r="Q4114" s="36">
        <f t="shared" si="35"/>
        <v>45947.46936</v>
      </c>
      <c r="R4114" s="47" t="b">
        <v>0</v>
      </c>
      <c r="S4114" s="42" t="str">
        <f t="shared" si="28"/>
        <v/>
      </c>
      <c r="T4114" s="42"/>
    </row>
    <row r="4115" ht="22.5" customHeight="1">
      <c r="B4115" s="42">
        <f t="shared" si="7"/>
        <v>4109</v>
      </c>
      <c r="C4115" s="31" t="s">
        <v>4154</v>
      </c>
      <c r="D4115" s="34" t="str">
        <f t="array" ref="D4115">IFNA(_xlfn.XLOOKUP(C4115,Table_Tarikan_Warkah[Nomor Sertipikat],Table_Tarikan_Warkah[Nomor Tiket]),"")</f>
        <v>K/27/061025/1</v>
      </c>
      <c r="E4115" s="36" t="str">
        <f t="array" ref="E4115">IFNA(_xlfn.XLOOKUP(D4115,Table_Tarikan_Warkah[Nomor Tiket],Table_Tarikan_Warkah[Tanggal diserahkan kepada Validator]),"")</f>
        <v/>
      </c>
      <c r="F4115" s="36" t="str">
        <f t="array" ref="F4115">IFNA(_xlfn.XLOOKUP(D4115,Table_Tarikan_Warkah[Nomor Tiket],Table_Tarikan_Warkah[Nama Petugas Warkah]),"")</f>
        <v/>
      </c>
      <c r="G4115" s="39" t="str">
        <f t="array" ref="G4115">IFNA(_xlfn.XLOOKUP(D4115,Table_Tarikan_Warkah[Nomor Tiket],Table_Tarikan_Warkah[Jenis Permohonan]),"")</f>
        <v>BN WARIS</v>
      </c>
      <c r="H4115" s="41" t="s">
        <v>920</v>
      </c>
      <c r="I4115" s="49" t="s">
        <v>23</v>
      </c>
      <c r="J4115" s="36">
        <f t="shared" si="20"/>
        <v>45947.46947</v>
      </c>
      <c r="K4115" s="49" t="s">
        <v>920</v>
      </c>
      <c r="L4115" s="49" t="s">
        <v>23</v>
      </c>
      <c r="M4115" s="36">
        <f t="shared" si="33"/>
        <v>45947.4695</v>
      </c>
      <c r="N4115" s="30" t="str">
        <f t="shared" si="34"/>
        <v>Selesai</v>
      </c>
      <c r="O4115" s="45">
        <f t="shared" si="23"/>
        <v>45947.4695</v>
      </c>
      <c r="P4115" s="47" t="b">
        <v>1</v>
      </c>
      <c r="Q4115" s="36">
        <f t="shared" si="35"/>
        <v>45947.46952</v>
      </c>
      <c r="R4115" s="47" t="b">
        <v>0</v>
      </c>
      <c r="S4115" s="42" t="str">
        <f t="shared" si="28"/>
        <v/>
      </c>
      <c r="T4115" s="42"/>
    </row>
    <row r="4116" ht="22.5" customHeight="1">
      <c r="B4116" s="42">
        <f t="shared" si="7"/>
        <v>4110</v>
      </c>
      <c r="C4116" s="31" t="s">
        <v>4155</v>
      </c>
      <c r="D4116" s="34" t="str">
        <f t="array" ref="D4116">IFNA(_xlfn.XLOOKUP(C4116,Table_Tarikan_Warkah[Nomor Sertipikat],Table_Tarikan_Warkah[Nomor Tiket]),"")</f>
        <v>K/46/210825/3</v>
      </c>
      <c r="E4116" s="36" t="str">
        <f t="array" ref="E4116">IFNA(_xlfn.XLOOKUP(D4116,Table_Tarikan_Warkah[Nomor Tiket],Table_Tarikan_Warkah[Tanggal diserahkan kepada Validator]),"")</f>
        <v/>
      </c>
      <c r="F4116" s="36" t="str">
        <f t="array" ref="F4116">IFNA(_xlfn.XLOOKUP(D4116,Table_Tarikan_Warkah[Nomor Tiket],Table_Tarikan_Warkah[Nama Petugas Warkah]),"")</f>
        <v/>
      </c>
      <c r="G4116" s="39" t="str">
        <f t="array" ref="G4116">IFNA(_xlfn.XLOOKUP(D4116,Table_Tarikan_Warkah[Nomor Tiket],Table_Tarikan_Warkah[Jenis Permohonan]),"")</f>
        <v>BN JUAL BELI</v>
      </c>
      <c r="H4116" s="41" t="s">
        <v>920</v>
      </c>
      <c r="I4116" s="49" t="s">
        <v>23</v>
      </c>
      <c r="J4116" s="36">
        <f t="shared" si="20"/>
        <v>45947.46978</v>
      </c>
      <c r="K4116" s="49" t="s">
        <v>920</v>
      </c>
      <c r="L4116" s="49" t="s">
        <v>23</v>
      </c>
      <c r="M4116" s="36">
        <f t="shared" si="33"/>
        <v>45947.46981</v>
      </c>
      <c r="N4116" s="30" t="str">
        <f t="shared" si="34"/>
        <v>Selesai</v>
      </c>
      <c r="O4116" s="45">
        <f t="shared" si="23"/>
        <v>45947.46981</v>
      </c>
      <c r="P4116" s="47" t="b">
        <v>1</v>
      </c>
      <c r="Q4116" s="36">
        <f t="shared" si="35"/>
        <v>45947.46983</v>
      </c>
      <c r="R4116" s="47" t="b">
        <v>0</v>
      </c>
      <c r="S4116" s="42" t="str">
        <f t="shared" si="28"/>
        <v/>
      </c>
      <c r="T4116" s="42"/>
    </row>
    <row r="4117" ht="22.5" customHeight="1">
      <c r="B4117" s="42">
        <f t="shared" si="7"/>
        <v>4111</v>
      </c>
      <c r="C4117" s="31" t="s">
        <v>4156</v>
      </c>
      <c r="D4117" s="34" t="str">
        <f t="array" ref="D4117">IFNA(_xlfn.XLOOKUP(C4117,Table_Tarikan_Warkah[Nomor Sertipikat],Table_Tarikan_Warkah[Nomor Tiket]),"")</f>
        <v>K/5/030925/1</v>
      </c>
      <c r="E4117" s="36" t="str">
        <f t="array" ref="E4117">IFNA(_xlfn.XLOOKUP(D4117,Table_Tarikan_Warkah[Nomor Tiket],Table_Tarikan_Warkah[Tanggal diserahkan kepada Validator]),"")</f>
        <v/>
      </c>
      <c r="F4117" s="36" t="str">
        <f t="array" ref="F4117">IFNA(_xlfn.XLOOKUP(D4117,Table_Tarikan_Warkah[Nomor Tiket],Table_Tarikan_Warkah[Nama Petugas Warkah]),"")</f>
        <v/>
      </c>
      <c r="G4117" s="39" t="str">
        <f t="array" ref="G4117">IFNA(_xlfn.XLOOKUP(D4117,Table_Tarikan_Warkah[Nomor Tiket],Table_Tarikan_Warkah[Jenis Permohonan]),"")</f>
        <v>BN JUAL BELI</v>
      </c>
      <c r="H4117" s="41" t="s">
        <v>920</v>
      </c>
      <c r="I4117" s="49" t="s">
        <v>23</v>
      </c>
      <c r="J4117" s="36">
        <f t="shared" si="20"/>
        <v>45947.47002</v>
      </c>
      <c r="K4117" s="49" t="s">
        <v>920</v>
      </c>
      <c r="L4117" s="49" t="s">
        <v>23</v>
      </c>
      <c r="M4117" s="36">
        <f t="shared" si="33"/>
        <v>45947.47005</v>
      </c>
      <c r="N4117" s="30" t="str">
        <f t="shared" si="34"/>
        <v>Selesai</v>
      </c>
      <c r="O4117" s="45">
        <f t="shared" si="23"/>
        <v>45947.47005</v>
      </c>
      <c r="P4117" s="47" t="b">
        <v>1</v>
      </c>
      <c r="Q4117" s="36">
        <f t="shared" si="35"/>
        <v>45947.47007</v>
      </c>
      <c r="R4117" s="47" t="b">
        <v>0</v>
      </c>
      <c r="S4117" s="42" t="str">
        <f t="shared" si="28"/>
        <v/>
      </c>
      <c r="T4117" s="42"/>
    </row>
    <row r="4118" ht="22.5" customHeight="1">
      <c r="B4118" s="42">
        <f t="shared" si="7"/>
        <v>4112</v>
      </c>
      <c r="C4118" s="31" t="s">
        <v>4157</v>
      </c>
      <c r="D4118" s="34" t="str">
        <f t="array" ref="D4118">IFNA(_xlfn.XLOOKUP(C4118,Table_Tarikan_Warkah[Nomor Sertipikat],Table_Tarikan_Warkah[Nomor Tiket]),"")</f>
        <v>K/21/040928/3</v>
      </c>
      <c r="E4118" s="36" t="str">
        <f t="array" ref="E4118">IFNA(_xlfn.XLOOKUP(D4118,Table_Tarikan_Warkah[Nomor Tiket],Table_Tarikan_Warkah[Tanggal diserahkan kepada Validator]),"")</f>
        <v/>
      </c>
      <c r="F4118" s="36" t="str">
        <f t="array" ref="F4118">IFNA(_xlfn.XLOOKUP(D4118,Table_Tarikan_Warkah[Nomor Tiket],Table_Tarikan_Warkah[Nama Petugas Warkah]),"")</f>
        <v/>
      </c>
      <c r="G4118" s="39" t="str">
        <f t="array" ref="G4118">IFNA(_xlfn.XLOOKUP(D4118,Table_Tarikan_Warkah[Nomor Tiket],Table_Tarikan_Warkah[Jenis Permohonan]),"")</f>
        <v>BN JUAL BELI</v>
      </c>
      <c r="H4118" s="41" t="s">
        <v>920</v>
      </c>
      <c r="I4118" s="49" t="s">
        <v>23</v>
      </c>
      <c r="J4118" s="36">
        <f t="shared" si="20"/>
        <v>45947.4702</v>
      </c>
      <c r="K4118" s="49" t="s">
        <v>920</v>
      </c>
      <c r="L4118" s="49" t="s">
        <v>23</v>
      </c>
      <c r="M4118" s="36">
        <f t="shared" si="33"/>
        <v>45947.47025</v>
      </c>
      <c r="N4118" s="30" t="str">
        <f t="shared" si="34"/>
        <v>Selesai</v>
      </c>
      <c r="O4118" s="45">
        <f t="shared" si="23"/>
        <v>45947.47025</v>
      </c>
      <c r="P4118" s="47" t="b">
        <v>1</v>
      </c>
      <c r="Q4118" s="36">
        <f t="shared" si="35"/>
        <v>45947.47026</v>
      </c>
      <c r="R4118" s="47" t="b">
        <v>0</v>
      </c>
      <c r="S4118" s="42" t="str">
        <f t="shared" si="28"/>
        <v/>
      </c>
      <c r="T4118" s="42"/>
    </row>
    <row r="4119" ht="22.5" customHeight="1">
      <c r="B4119" s="42">
        <f t="shared" si="7"/>
        <v>4113</v>
      </c>
      <c r="C4119" s="31" t="s">
        <v>4158</v>
      </c>
      <c r="D4119" s="34" t="str">
        <f t="array" ref="D4119">IFNA(_xlfn.XLOOKUP(C4119,Table_Tarikan_Warkah[Nomor Sertipikat],Table_Tarikan_Warkah[Nomor Tiket]),"")</f>
        <v>K/22/040928/4</v>
      </c>
      <c r="E4119" s="36">
        <f t="array" ref="E4119">IFNA(_xlfn.XLOOKUP(D4119,Table_Tarikan_Warkah[Nomor Tiket],Table_Tarikan_Warkah[Tanggal diserahkan kepada Validator]),"")</f>
        <v>45951.47593</v>
      </c>
      <c r="F4119" s="36" t="str">
        <f t="array" ref="F4119">IFNA(_xlfn.XLOOKUP(D4119,Table_Tarikan_Warkah[Nomor Tiket],Table_Tarikan_Warkah[Nama Petugas Warkah]),"")</f>
        <v>Berry</v>
      </c>
      <c r="G4119" s="39" t="str">
        <f t="array" ref="G4119">IFNA(_xlfn.XLOOKUP(D4119,Table_Tarikan_Warkah[Nomor Tiket],Table_Tarikan_Warkah[Jenis Permohonan]),"")</f>
        <v>BN JUAL BELI</v>
      </c>
      <c r="H4119" s="41" t="s">
        <v>920</v>
      </c>
      <c r="I4119" s="49" t="s">
        <v>23</v>
      </c>
      <c r="J4119" s="36">
        <f t="shared" si="20"/>
        <v>45947.4707</v>
      </c>
      <c r="K4119" s="49" t="s">
        <v>920</v>
      </c>
      <c r="L4119" s="49" t="s">
        <v>23</v>
      </c>
      <c r="M4119" s="36">
        <f t="shared" si="33"/>
        <v>45947.47073</v>
      </c>
      <c r="N4119" s="30" t="str">
        <f t="shared" si="34"/>
        <v>Selesai</v>
      </c>
      <c r="O4119" s="45">
        <f t="shared" si="23"/>
        <v>45947.47073</v>
      </c>
      <c r="P4119" s="47" t="b">
        <v>1</v>
      </c>
      <c r="Q4119" s="36">
        <f t="shared" si="35"/>
        <v>45947.47077</v>
      </c>
      <c r="R4119" s="47" t="b">
        <v>0</v>
      </c>
      <c r="S4119" s="42" t="str">
        <f t="shared" si="28"/>
        <v/>
      </c>
      <c r="T4119" s="42"/>
    </row>
    <row r="4120" ht="22.5" customHeight="1">
      <c r="B4120" s="42">
        <f t="shared" si="7"/>
        <v>4114</v>
      </c>
      <c r="C4120" s="31" t="s">
        <v>4159</v>
      </c>
      <c r="D4120" s="34" t="str">
        <f t="array" ref="D4120">IFNA(_xlfn.XLOOKUP(C4120,Table_Tarikan_Warkah[Nomor Sertipikat],Table_Tarikan_Warkah[Nomor Tiket]),"")</f>
        <v>K/22/240925/3</v>
      </c>
      <c r="E4120" s="36" t="str">
        <f t="array" ref="E4120">IFNA(_xlfn.XLOOKUP(D4120,Table_Tarikan_Warkah[Nomor Tiket],Table_Tarikan_Warkah[Tanggal diserahkan kepada Validator]),"")</f>
        <v/>
      </c>
      <c r="F4120" s="36" t="str">
        <f t="array" ref="F4120">IFNA(_xlfn.XLOOKUP(D4120,Table_Tarikan_Warkah[Nomor Tiket],Table_Tarikan_Warkah[Nama Petugas Warkah]),"")</f>
        <v/>
      </c>
      <c r="G4120" s="39" t="str">
        <f t="array" ref="G4120">IFNA(_xlfn.XLOOKUP(D4120,Table_Tarikan_Warkah[Nomor Tiket],Table_Tarikan_Warkah[Jenis Permohonan]),"")</f>
        <v>BN Jual Beli	</v>
      </c>
      <c r="H4120" s="41" t="s">
        <v>920</v>
      </c>
      <c r="I4120" s="49" t="s">
        <v>23</v>
      </c>
      <c r="J4120" s="36">
        <f t="shared" si="20"/>
        <v>45947.59114</v>
      </c>
      <c r="K4120" s="49" t="s">
        <v>920</v>
      </c>
      <c r="L4120" s="49" t="s">
        <v>23</v>
      </c>
      <c r="M4120" s="36">
        <f t="shared" si="33"/>
        <v>45947.59117</v>
      </c>
      <c r="N4120" s="30" t="str">
        <f t="shared" si="34"/>
        <v>Selesai</v>
      </c>
      <c r="O4120" s="45">
        <f t="shared" si="23"/>
        <v>45947.59117</v>
      </c>
      <c r="P4120" s="47" t="b">
        <v>1</v>
      </c>
      <c r="Q4120" s="36">
        <f t="shared" si="35"/>
        <v>45947.59119</v>
      </c>
      <c r="R4120" s="47" t="b">
        <v>0</v>
      </c>
      <c r="S4120" s="42" t="str">
        <f t="shared" si="28"/>
        <v/>
      </c>
      <c r="T4120" s="42"/>
    </row>
    <row r="4121" ht="22.5" customHeight="1">
      <c r="B4121" s="42">
        <f t="shared" si="7"/>
        <v>4115</v>
      </c>
      <c r="C4121" s="31" t="s">
        <v>4160</v>
      </c>
      <c r="D4121" s="34" t="str">
        <f t="array" ref="D4121">IFNA(_xlfn.XLOOKUP(C4121,Table_Tarikan_Warkah[Nomor Sertipikat],Table_Tarikan_Warkah[Nomor Tiket]),"")</f>
        <v>K/5/150925/3</v>
      </c>
      <c r="E4121" s="36" t="str">
        <f t="array" ref="E4121">IFNA(_xlfn.XLOOKUP(D4121,Table_Tarikan_Warkah[Nomor Tiket],Table_Tarikan_Warkah[Tanggal diserahkan kepada Validator]),"")</f>
        <v/>
      </c>
      <c r="F4121" s="36" t="str">
        <f t="array" ref="F4121">IFNA(_xlfn.XLOOKUP(D4121,Table_Tarikan_Warkah[Nomor Tiket],Table_Tarikan_Warkah[Nama Petugas Warkah]),"")</f>
        <v/>
      </c>
      <c r="G4121" s="39" t="str">
        <f t="array" ref="G4121">IFNA(_xlfn.XLOOKUP(D4121,Table_Tarikan_Warkah[Nomor Tiket],Table_Tarikan_Warkah[Jenis Permohonan]),"")</f>
        <v>BN JUAL BELI</v>
      </c>
      <c r="H4121" s="41" t="s">
        <v>920</v>
      </c>
      <c r="I4121" s="49" t="s">
        <v>23</v>
      </c>
      <c r="J4121" s="36">
        <f t="shared" si="20"/>
        <v>45947.62664</v>
      </c>
      <c r="K4121" s="49" t="s">
        <v>920</v>
      </c>
      <c r="L4121" s="49" t="s">
        <v>23</v>
      </c>
      <c r="M4121" s="36">
        <f t="shared" si="33"/>
        <v>45947.62668</v>
      </c>
      <c r="N4121" s="30" t="str">
        <f t="shared" si="34"/>
        <v>Selesai</v>
      </c>
      <c r="O4121" s="45">
        <f t="shared" si="23"/>
        <v>45947.62668</v>
      </c>
      <c r="P4121" s="47" t="b">
        <v>1</v>
      </c>
      <c r="Q4121" s="36">
        <f t="shared" si="35"/>
        <v>45947.62669</v>
      </c>
      <c r="R4121" s="47" t="b">
        <v>0</v>
      </c>
      <c r="S4121" s="42" t="str">
        <f t="shared" si="28"/>
        <v/>
      </c>
      <c r="T4121" s="42"/>
    </row>
    <row r="4122" ht="22.5" customHeight="1">
      <c r="B4122" s="42">
        <f t="shared" si="7"/>
        <v>4116</v>
      </c>
      <c r="C4122" s="31" t="s">
        <v>4161</v>
      </c>
      <c r="D4122" s="34" t="str">
        <f t="array" ref="D4122">IFNA(_xlfn.XLOOKUP(C4122,Table_Tarikan_Warkah[Nomor Sertipikat],Table_Tarikan_Warkah[Nomor Tiket]),"")</f>
        <v>K/4/150925/2</v>
      </c>
      <c r="E4122" s="36">
        <f t="array" ref="E4122">IFNA(_xlfn.XLOOKUP(D4122,Table_Tarikan_Warkah[Nomor Tiket],Table_Tarikan_Warkah[Tanggal diserahkan kepada Validator]),"")</f>
        <v>45930.6021</v>
      </c>
      <c r="F4122" s="36" t="str">
        <f t="array" ref="F4122">IFNA(_xlfn.XLOOKUP(D4122,Table_Tarikan_Warkah[Nomor Tiket],Table_Tarikan_Warkah[Nama Petugas Warkah]),"")</f>
        <v>David</v>
      </c>
      <c r="G4122" s="39" t="str">
        <f t="array" ref="G4122">IFNA(_xlfn.XLOOKUP(D4122,Table_Tarikan_Warkah[Nomor Tiket],Table_Tarikan_Warkah[Jenis Permohonan]),"")</f>
        <v>BN JUAL BELI</v>
      </c>
      <c r="H4122" s="41" t="s">
        <v>920</v>
      </c>
      <c r="I4122" s="49" t="s">
        <v>23</v>
      </c>
      <c r="J4122" s="36">
        <f t="shared" si="20"/>
        <v>45947.62689</v>
      </c>
      <c r="K4122" s="49" t="s">
        <v>920</v>
      </c>
      <c r="L4122" s="49" t="s">
        <v>23</v>
      </c>
      <c r="M4122" s="36">
        <f t="shared" si="33"/>
        <v>45947.62689</v>
      </c>
      <c r="N4122" s="30" t="str">
        <f t="shared" si="34"/>
        <v>Selesai</v>
      </c>
      <c r="O4122" s="45">
        <f t="shared" si="23"/>
        <v>45947.62689</v>
      </c>
      <c r="P4122" s="47" t="b">
        <v>1</v>
      </c>
      <c r="Q4122" s="36">
        <f t="shared" si="35"/>
        <v>45947.6269</v>
      </c>
      <c r="R4122" s="47" t="b">
        <v>0</v>
      </c>
      <c r="S4122" s="42" t="str">
        <f t="shared" si="28"/>
        <v/>
      </c>
      <c r="T4122" s="42"/>
    </row>
    <row r="4123" ht="22.5" customHeight="1">
      <c r="B4123" s="42">
        <f t="shared" si="7"/>
        <v>4117</v>
      </c>
      <c r="C4123" s="31" t="s">
        <v>4162</v>
      </c>
      <c r="D4123" s="34" t="str">
        <f t="array" ref="D4123">IFNA(_xlfn.XLOOKUP(C4123,Table_Tarikan_Warkah[Nomor Sertipikat],Table_Tarikan_Warkah[Nomor Tiket]),"")</f>
        <v>K/11/100925/1</v>
      </c>
      <c r="E4123" s="36" t="str">
        <f t="array" ref="E4123">IFNA(_xlfn.XLOOKUP(D4123,Table_Tarikan_Warkah[Nomor Tiket],Table_Tarikan_Warkah[Tanggal diserahkan kepada Validator]),"")</f>
        <v/>
      </c>
      <c r="F4123" s="36" t="str">
        <f t="array" ref="F4123">IFNA(_xlfn.XLOOKUP(D4123,Table_Tarikan_Warkah[Nomor Tiket],Table_Tarikan_Warkah[Nama Petugas Warkah]),"")</f>
        <v/>
      </c>
      <c r="G4123" s="39" t="str">
        <f t="array" ref="G4123">IFNA(_xlfn.XLOOKUP(D4123,Table_Tarikan_Warkah[Nomor Tiket],Table_Tarikan_Warkah[Jenis Permohonan]),"")</f>
        <v>BN Jual Beli	</v>
      </c>
      <c r="H4123" s="41" t="s">
        <v>920</v>
      </c>
      <c r="I4123" s="49" t="s">
        <v>23</v>
      </c>
      <c r="J4123" s="36">
        <f t="shared" si="20"/>
        <v>45947.62709</v>
      </c>
      <c r="K4123" s="49" t="s">
        <v>920</v>
      </c>
      <c r="L4123" s="49" t="s">
        <v>23</v>
      </c>
      <c r="M4123" s="36">
        <f t="shared" si="33"/>
        <v>45947.62709</v>
      </c>
      <c r="N4123" s="30" t="str">
        <f t="shared" si="34"/>
        <v>Selesai</v>
      </c>
      <c r="O4123" s="45">
        <f t="shared" si="23"/>
        <v>45947.62709</v>
      </c>
      <c r="P4123" s="47" t="b">
        <v>1</v>
      </c>
      <c r="Q4123" s="36">
        <f t="shared" si="35"/>
        <v>45947.6271</v>
      </c>
      <c r="R4123" s="47" t="b">
        <v>0</v>
      </c>
      <c r="S4123" s="42" t="str">
        <f t="shared" si="28"/>
        <v/>
      </c>
      <c r="T4123" s="42"/>
    </row>
    <row r="4124" ht="22.5" customHeight="1">
      <c r="B4124" s="42">
        <f t="shared" si="7"/>
        <v>4118</v>
      </c>
      <c r="C4124" s="31" t="s">
        <v>4163</v>
      </c>
      <c r="D4124" s="34" t="str">
        <f t="array" ref="D4124">IFNA(_xlfn.XLOOKUP(C4124,Table_Tarikan_Warkah[Nomor Sertipikat],Table_Tarikan_Warkah[Nomor Tiket]),"")</f>
        <v>K/20/240925/1</v>
      </c>
      <c r="E4124" s="36">
        <f t="array" ref="E4124">IFNA(_xlfn.XLOOKUP(D4124,Table_Tarikan_Warkah[Nomor Tiket],Table_Tarikan_Warkah[Tanggal diserahkan kepada Validator]),"")</f>
        <v>45966.64825</v>
      </c>
      <c r="F4124" s="36" t="str">
        <f t="array" ref="F4124">IFNA(_xlfn.XLOOKUP(D4124,Table_Tarikan_Warkah[Nomor Tiket],Table_Tarikan_Warkah[Nama Petugas Warkah]),"")</f>
        <v>Berry</v>
      </c>
      <c r="G4124" s="39" t="str">
        <f t="array" ref="G4124">IFNA(_xlfn.XLOOKUP(D4124,Table_Tarikan_Warkah[Nomor Tiket],Table_Tarikan_Warkah[Jenis Permohonan]),"")</f>
        <v>BN Jual Beli	</v>
      </c>
      <c r="H4124" s="41" t="s">
        <v>920</v>
      </c>
      <c r="I4124" s="49" t="s">
        <v>23</v>
      </c>
      <c r="J4124" s="36">
        <f t="shared" si="20"/>
        <v>45947.62728</v>
      </c>
      <c r="K4124" s="49" t="s">
        <v>920</v>
      </c>
      <c r="L4124" s="49" t="s">
        <v>23</v>
      </c>
      <c r="M4124" s="36">
        <f t="shared" si="33"/>
        <v>45947.62728</v>
      </c>
      <c r="N4124" s="30" t="str">
        <f t="shared" si="34"/>
        <v>Selesai</v>
      </c>
      <c r="O4124" s="45">
        <f t="shared" si="23"/>
        <v>45947.62728</v>
      </c>
      <c r="P4124" s="47" t="b">
        <v>1</v>
      </c>
      <c r="Q4124" s="36">
        <f t="shared" si="35"/>
        <v>45947.62728</v>
      </c>
      <c r="R4124" s="47" t="b">
        <v>0</v>
      </c>
      <c r="S4124" s="42" t="str">
        <f t="shared" si="28"/>
        <v/>
      </c>
      <c r="T4124" s="42"/>
    </row>
    <row r="4125" ht="22.5" customHeight="1">
      <c r="B4125" s="42">
        <f t="shared" si="7"/>
        <v>4119</v>
      </c>
      <c r="C4125" s="31" t="s">
        <v>4164</v>
      </c>
      <c r="D4125" s="34" t="str">
        <f t="array" ref="D4125">IFNA(_xlfn.XLOOKUP(C4125,Table_Tarikan_Warkah[Nomor Sertipikat],Table_Tarikan_Warkah[Nomor Tiket]),"")</f>
        <v>K/18/080925/2</v>
      </c>
      <c r="E4125" s="36">
        <f t="array" ref="E4125">IFNA(_xlfn.XLOOKUP(D4125,Table_Tarikan_Warkah[Nomor Tiket],Table_Tarikan_Warkah[Tanggal diserahkan kepada Validator]),"")</f>
        <v>45926.5481</v>
      </c>
      <c r="F4125" s="36" t="str">
        <f t="array" ref="F4125">IFNA(_xlfn.XLOOKUP(D4125,Table_Tarikan_Warkah[Nomor Tiket],Table_Tarikan_Warkah[Nama Petugas Warkah]),"")</f>
        <v>Berry</v>
      </c>
      <c r="G4125" s="39" t="str">
        <f t="array" ref="G4125">IFNA(_xlfn.XLOOKUP(D4125,Table_Tarikan_Warkah[Nomor Tiket],Table_Tarikan_Warkah[Jenis Permohonan]),"")</f>
        <v>BN JUAL BELI EL</v>
      </c>
      <c r="H4125" s="41" t="s">
        <v>920</v>
      </c>
      <c r="I4125" s="49" t="s">
        <v>23</v>
      </c>
      <c r="J4125" s="36">
        <f t="shared" si="20"/>
        <v>45950.57111</v>
      </c>
      <c r="K4125" s="49" t="s">
        <v>920</v>
      </c>
      <c r="L4125" s="49" t="s">
        <v>23</v>
      </c>
      <c r="M4125" s="36">
        <f t="shared" si="33"/>
        <v>45950.57112</v>
      </c>
      <c r="N4125" s="30" t="str">
        <f t="shared" si="34"/>
        <v>Selesai</v>
      </c>
      <c r="O4125" s="45">
        <f t="shared" si="23"/>
        <v>45950.57112</v>
      </c>
      <c r="P4125" s="47" t="b">
        <v>1</v>
      </c>
      <c r="Q4125" s="36">
        <f t="shared" si="35"/>
        <v>45950.57114</v>
      </c>
      <c r="R4125" s="47" t="b">
        <v>0</v>
      </c>
      <c r="S4125" s="42" t="str">
        <f t="shared" si="28"/>
        <v/>
      </c>
      <c r="T4125" s="42"/>
    </row>
    <row r="4126" ht="22.5" customHeight="1">
      <c r="B4126" s="42">
        <f t="shared" si="7"/>
        <v>4120</v>
      </c>
      <c r="C4126" s="31" t="s">
        <v>4165</v>
      </c>
      <c r="D4126" s="34" t="str">
        <f t="array" ref="D4126">IFNA(_xlfn.XLOOKUP(C4126,Table_Tarikan_Warkah[Nomor Sertipikat],Table_Tarikan_Warkah[Nomor Tiket]),"")</f>
        <v/>
      </c>
      <c r="E4126" s="36" t="str">
        <f t="array" ref="E4126">IFNA(_xlfn.XLOOKUP(D4126,Table_Tarikan_Warkah[Nomor Tiket],Table_Tarikan_Warkah[Tanggal diserahkan kepada Validator]),"")</f>
        <v/>
      </c>
      <c r="F4126" s="36" t="str">
        <f t="array" ref="F4126">IFNA(_xlfn.XLOOKUP(D4126,Table_Tarikan_Warkah[Nomor Tiket],Table_Tarikan_Warkah[Nama Petugas Warkah]),"")</f>
        <v/>
      </c>
      <c r="G4126" s="39" t="str">
        <f t="array" ref="G4126">IFNA(_xlfn.XLOOKUP(D4126,Table_Tarikan_Warkah[Nomor Tiket],Table_Tarikan_Warkah[Jenis Permohonan]),"")</f>
        <v/>
      </c>
      <c r="H4126" s="41" t="s">
        <v>2315</v>
      </c>
      <c r="I4126" s="49" t="s">
        <v>23</v>
      </c>
      <c r="J4126" s="36">
        <f t="shared" si="20"/>
        <v>45950.72604</v>
      </c>
      <c r="K4126" s="49" t="s">
        <v>26</v>
      </c>
      <c r="L4126" s="49" t="s">
        <v>23</v>
      </c>
      <c r="M4126" s="36">
        <f t="shared" si="33"/>
        <v>45953.69912</v>
      </c>
      <c r="N4126" s="30" t="str">
        <f t="shared" si="34"/>
        <v/>
      </c>
      <c r="O4126" s="39" t="str">
        <f t="shared" si="23"/>
        <v/>
      </c>
      <c r="P4126" s="47" t="b">
        <v>0</v>
      </c>
      <c r="Q4126" s="36" t="str">
        <f t="shared" si="35"/>
        <v/>
      </c>
      <c r="R4126" s="47" t="b">
        <v>0</v>
      </c>
      <c r="S4126" s="42" t="str">
        <f t="shared" si="28"/>
        <v/>
      </c>
      <c r="T4126" s="42"/>
    </row>
    <row r="4127" ht="22.5" customHeight="1">
      <c r="B4127" s="42">
        <f t="shared" si="7"/>
        <v>4121</v>
      </c>
      <c r="C4127" s="31" t="s">
        <v>4166</v>
      </c>
      <c r="D4127" s="34" t="str">
        <f t="array" ref="D4127">IFNA(_xlfn.XLOOKUP(C4127,Table_Tarikan_Warkah[Nomor Sertipikat],Table_Tarikan_Warkah[Nomor Tiket]),"")</f>
        <v>K/5/250925/3</v>
      </c>
      <c r="E4127" s="36" t="str">
        <f t="array" ref="E4127">IFNA(_xlfn.XLOOKUP(D4127,Table_Tarikan_Warkah[Nomor Tiket],Table_Tarikan_Warkah[Tanggal diserahkan kepada Validator]),"")</f>
        <v/>
      </c>
      <c r="F4127" s="36" t="str">
        <f t="array" ref="F4127">IFNA(_xlfn.XLOOKUP(D4127,Table_Tarikan_Warkah[Nomor Tiket],Table_Tarikan_Warkah[Nama Petugas Warkah]),"")</f>
        <v/>
      </c>
      <c r="G4127" s="39" t="str">
        <f t="array" ref="G4127">IFNA(_xlfn.XLOOKUP(D4127,Table_Tarikan_Warkah[Nomor Tiket],Table_Tarikan_Warkah[Jenis Permohonan]),"")</f>
        <v>BN WARIS</v>
      </c>
      <c r="H4127" s="41" t="s">
        <v>2315</v>
      </c>
      <c r="I4127" s="49" t="s">
        <v>23</v>
      </c>
      <c r="J4127" s="36">
        <f t="shared" si="20"/>
        <v>45950.72628</v>
      </c>
      <c r="K4127" s="49" t="s">
        <v>26</v>
      </c>
      <c r="L4127" s="49" t="s">
        <v>23</v>
      </c>
      <c r="M4127" s="36">
        <f t="shared" si="33"/>
        <v>45953.69893</v>
      </c>
      <c r="N4127" s="30" t="str">
        <f t="shared" si="34"/>
        <v>Selesai</v>
      </c>
      <c r="O4127" s="45">
        <f t="shared" si="23"/>
        <v>45953.69893</v>
      </c>
      <c r="P4127" s="47" t="b">
        <v>0</v>
      </c>
      <c r="Q4127" s="36" t="str">
        <f t="shared" si="35"/>
        <v/>
      </c>
      <c r="R4127" s="47" t="b">
        <v>0</v>
      </c>
      <c r="S4127" s="42" t="str">
        <f t="shared" si="28"/>
        <v/>
      </c>
      <c r="T4127" s="42"/>
    </row>
    <row r="4128" ht="22.5" customHeight="1">
      <c r="B4128" s="42">
        <f t="shared" si="7"/>
        <v>4122</v>
      </c>
      <c r="C4128" s="31" t="s">
        <v>4167</v>
      </c>
      <c r="D4128" s="34" t="str">
        <f t="array" ref="D4128">IFNA(_xlfn.XLOOKUP(C4128,Table_Tarikan_Warkah[Nomor Sertipikat],Table_Tarikan_Warkah[Nomor Tiket]),"")</f>
        <v>K/35/021025/1</v>
      </c>
      <c r="E4128" s="36" t="str">
        <f t="array" ref="E4128">IFNA(_xlfn.XLOOKUP(D4128,Table_Tarikan_Warkah[Nomor Tiket],Table_Tarikan_Warkah[Tanggal diserahkan kepada Validator]),"")</f>
        <v/>
      </c>
      <c r="F4128" s="36" t="str">
        <f t="array" ref="F4128">IFNA(_xlfn.XLOOKUP(D4128,Table_Tarikan_Warkah[Nomor Tiket],Table_Tarikan_Warkah[Nama Petugas Warkah]),"")</f>
        <v/>
      </c>
      <c r="G4128" s="39" t="str">
        <f t="array" ref="G4128">IFNA(_xlfn.XLOOKUP(D4128,Table_Tarikan_Warkah[Nomor Tiket],Table_Tarikan_Warkah[Jenis Permohonan]),"")</f>
        <v>BN JUAL BELI</v>
      </c>
      <c r="H4128" s="41" t="s">
        <v>2315</v>
      </c>
      <c r="I4128" s="49" t="s">
        <v>23</v>
      </c>
      <c r="J4128" s="36">
        <f t="shared" si="20"/>
        <v>45950.72641</v>
      </c>
      <c r="K4128" s="49" t="s">
        <v>26</v>
      </c>
      <c r="L4128" s="49" t="s">
        <v>23</v>
      </c>
      <c r="M4128" s="36">
        <f t="shared" si="33"/>
        <v>45957.44121</v>
      </c>
      <c r="N4128" s="30" t="str">
        <f t="shared" si="34"/>
        <v>Selesai</v>
      </c>
      <c r="O4128" s="45">
        <f t="shared" si="23"/>
        <v>45957.44121</v>
      </c>
      <c r="P4128" s="47" t="b">
        <v>1</v>
      </c>
      <c r="Q4128" s="36">
        <f t="shared" si="35"/>
        <v>45957.44155</v>
      </c>
      <c r="R4128" s="47" t="b">
        <v>0</v>
      </c>
      <c r="S4128" s="42" t="str">
        <f t="shared" si="28"/>
        <v/>
      </c>
      <c r="T4128" s="42"/>
    </row>
    <row r="4129" ht="22.5" customHeight="1">
      <c r="B4129" s="42">
        <f t="shared" si="7"/>
        <v>4123</v>
      </c>
      <c r="C4129" s="31" t="s">
        <v>4168</v>
      </c>
      <c r="D4129" s="34" t="str">
        <f t="array" ref="D4129">IFNA(_xlfn.XLOOKUP(C4129,Table_Tarikan_Warkah[Nomor Sertipikat],Table_Tarikan_Warkah[Nomor Tiket]),"")</f>
        <v>K/12/160925/1</v>
      </c>
      <c r="E4129" s="36" t="str">
        <f t="array" ref="E4129">IFNA(_xlfn.XLOOKUP(D4129,Table_Tarikan_Warkah[Nomor Tiket],Table_Tarikan_Warkah[Tanggal diserahkan kepada Validator]),"")</f>
        <v/>
      </c>
      <c r="F4129" s="36" t="str">
        <f t="array" ref="F4129">IFNA(_xlfn.XLOOKUP(D4129,Table_Tarikan_Warkah[Nomor Tiket],Table_Tarikan_Warkah[Nama Petugas Warkah]),"")</f>
        <v/>
      </c>
      <c r="G4129" s="39" t="str">
        <f t="array" ref="G4129">IFNA(_xlfn.XLOOKUP(D4129,Table_Tarikan_Warkah[Nomor Tiket],Table_Tarikan_Warkah[Jenis Permohonan]),"")</f>
        <v>PENINGKATAN HAK</v>
      </c>
      <c r="H4129" s="41" t="s">
        <v>2315</v>
      </c>
      <c r="I4129" s="49" t="s">
        <v>23</v>
      </c>
      <c r="J4129" s="36">
        <f t="shared" si="20"/>
        <v>45950.72653</v>
      </c>
      <c r="K4129" s="69"/>
      <c r="L4129" s="49"/>
      <c r="M4129" s="36" t="str">
        <f t="shared" si="33"/>
        <v/>
      </c>
      <c r="N4129" s="30" t="str">
        <f t="shared" si="34"/>
        <v>BT atau SU Belum Valid</v>
      </c>
      <c r="O4129" s="39" t="str">
        <f t="shared" si="23"/>
        <v/>
      </c>
      <c r="P4129" s="47" t="b">
        <v>0</v>
      </c>
      <c r="Q4129" s="36" t="str">
        <f t="shared" si="35"/>
        <v/>
      </c>
      <c r="R4129" s="47" t="b">
        <v>0</v>
      </c>
      <c r="S4129" s="42" t="str">
        <f t="shared" si="28"/>
        <v/>
      </c>
      <c r="T4129" s="42"/>
    </row>
    <row r="4130" ht="22.5" customHeight="1">
      <c r="B4130" s="42">
        <f t="shared" si="7"/>
        <v>4124</v>
      </c>
      <c r="C4130" s="31" t="s">
        <v>4169</v>
      </c>
      <c r="D4130" s="34" t="str">
        <f t="array" ref="D4130">IFNA(_xlfn.XLOOKUP(C4130,Table_Tarikan_Warkah[Nomor Sertipikat],Table_Tarikan_Warkah[Nomor Tiket]),"")</f>
        <v>K/34/300725/1</v>
      </c>
      <c r="E4130" s="36" t="str">
        <f t="array" ref="E4130">IFNA(_xlfn.XLOOKUP(D4130,Table_Tarikan_Warkah[Nomor Tiket],Table_Tarikan_Warkah[Tanggal diserahkan kepada Validator]),"")</f>
        <v/>
      </c>
      <c r="F4130" s="36" t="str">
        <f t="array" ref="F4130">IFNA(_xlfn.XLOOKUP(D4130,Table_Tarikan_Warkah[Nomor Tiket],Table_Tarikan_Warkah[Nama Petugas Warkah]),"")</f>
        <v/>
      </c>
      <c r="G4130" s="39" t="str">
        <f t="array" ref="G4130">IFNA(_xlfn.XLOOKUP(D4130,Table_Tarikan_Warkah[Nomor Tiket],Table_Tarikan_Warkah[Jenis Permohonan]),"")</f>
        <v>Perubahan Hak</v>
      </c>
      <c r="H4130" s="41" t="s">
        <v>2315</v>
      </c>
      <c r="I4130" s="49" t="s">
        <v>23</v>
      </c>
      <c r="J4130" s="36">
        <f t="shared" si="20"/>
        <v>45950.72666</v>
      </c>
      <c r="K4130" s="49" t="s">
        <v>26</v>
      </c>
      <c r="L4130" s="49" t="s">
        <v>23</v>
      </c>
      <c r="M4130" s="36">
        <f t="shared" si="33"/>
        <v>45953.69865</v>
      </c>
      <c r="N4130" s="30" t="str">
        <f t="shared" si="34"/>
        <v>Selesai</v>
      </c>
      <c r="O4130" s="45">
        <f t="shared" si="23"/>
        <v>45953.69865</v>
      </c>
      <c r="P4130" s="47" t="b">
        <v>0</v>
      </c>
      <c r="Q4130" s="36" t="str">
        <f t="shared" si="35"/>
        <v/>
      </c>
      <c r="R4130" s="47" t="b">
        <v>0</v>
      </c>
      <c r="S4130" s="42" t="str">
        <f t="shared" si="28"/>
        <v/>
      </c>
      <c r="T4130" s="42"/>
    </row>
    <row r="4131" ht="22.5" customHeight="1">
      <c r="B4131" s="42">
        <f t="shared" si="7"/>
        <v>4125</v>
      </c>
      <c r="C4131" s="31" t="s">
        <v>4170</v>
      </c>
      <c r="D4131" s="34" t="str">
        <f t="array" ref="D4131">IFNA(_xlfn.XLOOKUP(C4131,Table_Tarikan_Warkah[Nomor Sertipikat],Table_Tarikan_Warkah[Nomor Tiket]),"")</f>
        <v>K/31/011025/1</v>
      </c>
      <c r="E4131" s="36" t="str">
        <f t="array" ref="E4131">IFNA(_xlfn.XLOOKUP(D4131,Table_Tarikan_Warkah[Nomor Tiket],Table_Tarikan_Warkah[Tanggal diserahkan kepada Validator]),"")</f>
        <v/>
      </c>
      <c r="F4131" s="36" t="str">
        <f t="array" ref="F4131">IFNA(_xlfn.XLOOKUP(D4131,Table_Tarikan_Warkah[Nomor Tiket],Table_Tarikan_Warkah[Nama Petugas Warkah]),"")</f>
        <v/>
      </c>
      <c r="G4131" s="39" t="str">
        <f t="array" ref="G4131">IFNA(_xlfn.XLOOKUP(D4131,Table_Tarikan_Warkah[Nomor Tiket],Table_Tarikan_Warkah[Jenis Permohonan]),"")</f>
        <v>BN WARIS</v>
      </c>
      <c r="H4131" s="41" t="s">
        <v>2315</v>
      </c>
      <c r="I4131" s="49" t="s">
        <v>23</v>
      </c>
      <c r="J4131" s="36">
        <f t="shared" si="20"/>
        <v>45950.72678</v>
      </c>
      <c r="K4131" s="49" t="s">
        <v>26</v>
      </c>
      <c r="L4131" s="49" t="s">
        <v>23</v>
      </c>
      <c r="M4131" s="36">
        <f t="shared" si="33"/>
        <v>45953.70007</v>
      </c>
      <c r="N4131" s="30" t="str">
        <f t="shared" si="34"/>
        <v>Selesai</v>
      </c>
      <c r="O4131" s="45">
        <f t="shared" si="23"/>
        <v>45953.70007</v>
      </c>
      <c r="P4131" s="47" t="b">
        <v>0</v>
      </c>
      <c r="Q4131" s="36" t="str">
        <f t="shared" si="35"/>
        <v/>
      </c>
      <c r="R4131" s="47" t="b">
        <v>0</v>
      </c>
      <c r="S4131" s="42" t="str">
        <f t="shared" si="28"/>
        <v/>
      </c>
      <c r="T4131" s="42"/>
    </row>
    <row r="4132" ht="22.5" customHeight="1">
      <c r="B4132" s="42">
        <f t="shared" si="7"/>
        <v>4126</v>
      </c>
      <c r="C4132" s="31" t="s">
        <v>4171</v>
      </c>
      <c r="D4132" s="34" t="str">
        <f t="array" ref="D4132">IFNA(_xlfn.XLOOKUP(C4132,Table_Tarikan_Warkah[Nomor Sertipikat],Table_Tarikan_Warkah[Nomor Tiket]),"")</f>
        <v>K/3/170925/1</v>
      </c>
      <c r="E4132" s="36" t="str">
        <f t="array" ref="E4132">IFNA(_xlfn.XLOOKUP(D4132,Table_Tarikan_Warkah[Nomor Tiket],Table_Tarikan_Warkah[Tanggal diserahkan kepada Validator]),"")</f>
        <v/>
      </c>
      <c r="F4132" s="36" t="str">
        <f t="array" ref="F4132">IFNA(_xlfn.XLOOKUP(D4132,Table_Tarikan_Warkah[Nomor Tiket],Table_Tarikan_Warkah[Nama Petugas Warkah]),"")</f>
        <v/>
      </c>
      <c r="G4132" s="39" t="str">
        <f t="array" ref="G4132">IFNA(_xlfn.XLOOKUP(D4132,Table_Tarikan_Warkah[Nomor Tiket],Table_Tarikan_Warkah[Jenis Permohonan]),"")</f>
        <v>PENINGKATAN HAK</v>
      </c>
      <c r="H4132" s="41" t="s">
        <v>2315</v>
      </c>
      <c r="I4132" s="49" t="s">
        <v>23</v>
      </c>
      <c r="J4132" s="36">
        <f t="shared" si="20"/>
        <v>45950.72689</v>
      </c>
      <c r="K4132" s="49" t="s">
        <v>26</v>
      </c>
      <c r="L4132" s="49" t="s">
        <v>23</v>
      </c>
      <c r="M4132" s="36">
        <f t="shared" si="33"/>
        <v>45953.69958</v>
      </c>
      <c r="N4132" s="30" t="str">
        <f t="shared" si="34"/>
        <v>Selesai</v>
      </c>
      <c r="O4132" s="45">
        <f t="shared" si="23"/>
        <v>45953.69958</v>
      </c>
      <c r="P4132" s="47" t="b">
        <v>0</v>
      </c>
      <c r="Q4132" s="36" t="str">
        <f t="shared" si="35"/>
        <v/>
      </c>
      <c r="R4132" s="47" t="b">
        <v>0</v>
      </c>
      <c r="S4132" s="42" t="str">
        <f t="shared" si="28"/>
        <v/>
      </c>
      <c r="T4132" s="42"/>
    </row>
    <row r="4133" ht="22.5" customHeight="1">
      <c r="B4133" s="42">
        <f t="shared" si="7"/>
        <v>4127</v>
      </c>
      <c r="C4133" s="31" t="s">
        <v>4172</v>
      </c>
      <c r="D4133" s="34" t="str">
        <f t="array" ref="D4133">IFNA(_xlfn.XLOOKUP(C4133,Table_Tarikan_Warkah[Nomor Sertipikat],Table_Tarikan_Warkah[Nomor Tiket]),"")</f>
        <v>K/26/190925/3</v>
      </c>
      <c r="E4133" s="36" t="str">
        <f t="array" ref="E4133">IFNA(_xlfn.XLOOKUP(D4133,Table_Tarikan_Warkah[Nomor Tiket],Table_Tarikan_Warkah[Tanggal diserahkan kepada Validator]),"")</f>
        <v/>
      </c>
      <c r="F4133" s="36" t="str">
        <f t="array" ref="F4133">IFNA(_xlfn.XLOOKUP(D4133,Table_Tarikan_Warkah[Nomor Tiket],Table_Tarikan_Warkah[Nama Petugas Warkah]),"")</f>
        <v/>
      </c>
      <c r="G4133" s="39" t="str">
        <f t="array" ref="G4133">IFNA(_xlfn.XLOOKUP(D4133,Table_Tarikan_Warkah[Nomor Tiket],Table_Tarikan_Warkah[Jenis Permohonan]),"")</f>
        <v>BN JUAL BELI EL</v>
      </c>
      <c r="H4133" s="41" t="s">
        <v>2315</v>
      </c>
      <c r="I4133" s="49" t="s">
        <v>23</v>
      </c>
      <c r="J4133" s="36">
        <f t="shared" si="20"/>
        <v>45950.72702</v>
      </c>
      <c r="K4133" s="49" t="s">
        <v>26</v>
      </c>
      <c r="L4133" s="49" t="s">
        <v>23</v>
      </c>
      <c r="M4133" s="36">
        <f t="shared" si="33"/>
        <v>45953.69984</v>
      </c>
      <c r="N4133" s="30" t="str">
        <f t="shared" si="34"/>
        <v>Selesai</v>
      </c>
      <c r="O4133" s="45">
        <f t="shared" si="23"/>
        <v>45953.69984</v>
      </c>
      <c r="P4133" s="47" t="b">
        <v>0</v>
      </c>
      <c r="Q4133" s="36" t="str">
        <f t="shared" si="35"/>
        <v/>
      </c>
      <c r="R4133" s="47" t="b">
        <v>0</v>
      </c>
      <c r="S4133" s="42" t="str">
        <f t="shared" si="28"/>
        <v/>
      </c>
      <c r="T4133" s="42"/>
    </row>
    <row r="4134" ht="22.5" customHeight="1">
      <c r="B4134" s="42">
        <f t="shared" si="7"/>
        <v>4128</v>
      </c>
      <c r="C4134" s="31" t="s">
        <v>4173</v>
      </c>
      <c r="D4134" s="34" t="str">
        <f t="array" ref="D4134">IFNA(_xlfn.XLOOKUP(C4134,Table_Tarikan_Warkah[Nomor Sertipikat],Table_Tarikan_Warkah[Nomor Tiket]),"")</f>
        <v>K/15/170925/2</v>
      </c>
      <c r="E4134" s="36" t="str">
        <f t="array" ref="E4134">IFNA(_xlfn.XLOOKUP(D4134,Table_Tarikan_Warkah[Nomor Tiket],Table_Tarikan_Warkah[Tanggal diserahkan kepada Validator]),"")</f>
        <v/>
      </c>
      <c r="F4134" s="36" t="str">
        <f t="array" ref="F4134">IFNA(_xlfn.XLOOKUP(D4134,Table_Tarikan_Warkah[Nomor Tiket],Table_Tarikan_Warkah[Nama Petugas Warkah]),"")</f>
        <v/>
      </c>
      <c r="G4134" s="39" t="str">
        <f t="array" ref="G4134">IFNA(_xlfn.XLOOKUP(D4134,Table_Tarikan_Warkah[Nomor Tiket],Table_Tarikan_Warkah[Jenis Permohonan]),"")</f>
        <v>BN JUAL BELI EL</v>
      </c>
      <c r="H4134" s="41" t="s">
        <v>2315</v>
      </c>
      <c r="I4134" s="49" t="s">
        <v>23</v>
      </c>
      <c r="J4134" s="36">
        <f t="shared" si="20"/>
        <v>45950.72713</v>
      </c>
      <c r="K4134" s="49" t="s">
        <v>26</v>
      </c>
      <c r="L4134" s="49" t="s">
        <v>23</v>
      </c>
      <c r="M4134" s="36">
        <f t="shared" si="33"/>
        <v>45953.70242</v>
      </c>
      <c r="N4134" s="30" t="str">
        <f t="shared" si="34"/>
        <v>Selesai</v>
      </c>
      <c r="O4134" s="45">
        <f t="shared" si="23"/>
        <v>45953.70242</v>
      </c>
      <c r="P4134" s="47" t="b">
        <v>0</v>
      </c>
      <c r="Q4134" s="36" t="str">
        <f t="shared" si="35"/>
        <v/>
      </c>
      <c r="R4134" s="47" t="b">
        <v>0</v>
      </c>
      <c r="S4134" s="42" t="str">
        <f t="shared" si="28"/>
        <v/>
      </c>
      <c r="T4134" s="42"/>
    </row>
    <row r="4135" ht="22.5" customHeight="1">
      <c r="B4135" s="42">
        <f t="shared" si="7"/>
        <v>4129</v>
      </c>
      <c r="C4135" s="31" t="s">
        <v>4174</v>
      </c>
      <c r="D4135" s="34" t="str">
        <f t="array" ref="D4135">IFNA(_xlfn.XLOOKUP(C4135,Table_Tarikan_Warkah[Nomor Sertipikat],Table_Tarikan_Warkah[Nomor Tiket]),"")</f>
        <v>K/9/100925/1</v>
      </c>
      <c r="E4135" s="36">
        <f t="array" ref="E4135">IFNA(_xlfn.XLOOKUP(D4135,Table_Tarikan_Warkah[Nomor Tiket],Table_Tarikan_Warkah[Tanggal diserahkan kepada Validator]),"")</f>
        <v>45943.69448</v>
      </c>
      <c r="F4135" s="36" t="str">
        <f t="array" ref="F4135">IFNA(_xlfn.XLOOKUP(D4135,Table_Tarikan_Warkah[Nomor Tiket],Table_Tarikan_Warkah[Nama Petugas Warkah]),"")</f>
        <v>David</v>
      </c>
      <c r="G4135" s="39" t="str">
        <f t="array" ref="G4135">IFNA(_xlfn.XLOOKUP(D4135,Table_Tarikan_Warkah[Nomor Tiket],Table_Tarikan_Warkah[Jenis Permohonan]),"")</f>
        <v>BN JUAL BELI EL </v>
      </c>
      <c r="H4135" s="41" t="s">
        <v>2315</v>
      </c>
      <c r="I4135" s="49" t="s">
        <v>23</v>
      </c>
      <c r="J4135" s="36">
        <f t="shared" si="20"/>
        <v>45950.72726</v>
      </c>
      <c r="K4135" s="49" t="s">
        <v>26</v>
      </c>
      <c r="L4135" s="49" t="s">
        <v>23</v>
      </c>
      <c r="M4135" s="36">
        <f t="shared" si="33"/>
        <v>45953.70201</v>
      </c>
      <c r="N4135" s="30" t="str">
        <f t="shared" si="34"/>
        <v>Selesai</v>
      </c>
      <c r="O4135" s="45">
        <f t="shared" si="23"/>
        <v>45953.70201</v>
      </c>
      <c r="P4135" s="47" t="b">
        <v>0</v>
      </c>
      <c r="Q4135" s="36" t="str">
        <f t="shared" si="35"/>
        <v/>
      </c>
      <c r="R4135" s="47" t="b">
        <v>0</v>
      </c>
      <c r="S4135" s="42" t="str">
        <f t="shared" si="28"/>
        <v/>
      </c>
      <c r="T4135" s="42"/>
    </row>
    <row r="4136" ht="22.5" customHeight="1">
      <c r="B4136" s="42">
        <f t="shared" si="7"/>
        <v>4130</v>
      </c>
      <c r="C4136" s="31" t="s">
        <v>4175</v>
      </c>
      <c r="D4136" s="34" t="str">
        <f t="array" ref="D4136">IFNA(_xlfn.XLOOKUP(C4136,Table_Tarikan_Warkah[Nomor Sertipikat],Table_Tarikan_Warkah[Nomor Tiket]),"")</f>
        <v>K/46/030925/1</v>
      </c>
      <c r="E4136" s="36" t="str">
        <f t="array" ref="E4136">IFNA(_xlfn.XLOOKUP(D4136,Table_Tarikan_Warkah[Nomor Tiket],Table_Tarikan_Warkah[Tanggal diserahkan kepada Validator]),"")</f>
        <v/>
      </c>
      <c r="F4136" s="36" t="str">
        <f t="array" ref="F4136">IFNA(_xlfn.XLOOKUP(D4136,Table_Tarikan_Warkah[Nomor Tiket],Table_Tarikan_Warkah[Nama Petugas Warkah]),"")</f>
        <v/>
      </c>
      <c r="G4136" s="39" t="str">
        <f t="array" ref="G4136">IFNA(_xlfn.XLOOKUP(D4136,Table_Tarikan_Warkah[Nomor Tiket],Table_Tarikan_Warkah[Jenis Permohonan]),"")</f>
        <v>BN JUAL BELI</v>
      </c>
      <c r="H4136" s="41" t="s">
        <v>2315</v>
      </c>
      <c r="I4136" s="49" t="s">
        <v>23</v>
      </c>
      <c r="J4136" s="36">
        <f t="shared" si="20"/>
        <v>45950.7274</v>
      </c>
      <c r="K4136" s="49" t="s">
        <v>26</v>
      </c>
      <c r="L4136" s="49" t="s">
        <v>23</v>
      </c>
      <c r="M4136" s="36">
        <f t="shared" si="33"/>
        <v>45953.6978</v>
      </c>
      <c r="N4136" s="30" t="str">
        <f t="shared" si="34"/>
        <v>Selesai</v>
      </c>
      <c r="O4136" s="45">
        <f t="shared" si="23"/>
        <v>45953.6978</v>
      </c>
      <c r="P4136" s="47" t="b">
        <v>0</v>
      </c>
      <c r="Q4136" s="36" t="str">
        <f t="shared" si="35"/>
        <v/>
      </c>
      <c r="R4136" s="47" t="b">
        <v>0</v>
      </c>
      <c r="S4136" s="42" t="str">
        <f t="shared" si="28"/>
        <v/>
      </c>
      <c r="T4136" s="42"/>
    </row>
    <row r="4137" ht="22.5" customHeight="1">
      <c r="B4137" s="42">
        <f t="shared" si="7"/>
        <v>4131</v>
      </c>
      <c r="C4137" s="31" t="s">
        <v>4176</v>
      </c>
      <c r="D4137" s="34" t="str">
        <f t="array" ref="D4137">IFNA(_xlfn.XLOOKUP(C4137,Table_Tarikan_Warkah[Nomor Sertipikat],Table_Tarikan_Warkah[Nomor Tiket]),"")</f>
        <v>L/4/031025/1</v>
      </c>
      <c r="E4137" s="36">
        <f t="array" ref="E4137">IFNA(_xlfn.XLOOKUP(D4137,Table_Tarikan_Warkah[Nomor Tiket],Table_Tarikan_Warkah[Tanggal diserahkan kepada Validator]),"")</f>
        <v>45960.62984</v>
      </c>
      <c r="F4137" s="36" t="str">
        <f t="array" ref="F4137">IFNA(_xlfn.XLOOKUP(D4137,Table_Tarikan_Warkah[Nomor Tiket],Table_Tarikan_Warkah[Nama Petugas Warkah]),"")</f>
        <v>David</v>
      </c>
      <c r="G4137" s="39" t="str">
        <f t="array" ref="G4137">IFNA(_xlfn.XLOOKUP(D4137,Table_Tarikan_Warkah[Nomor Tiket],Table_Tarikan_Warkah[Jenis Permohonan]),"")</f>
        <v>ROYA</v>
      </c>
      <c r="H4137" s="41" t="s">
        <v>2315</v>
      </c>
      <c r="I4137" s="49" t="s">
        <v>23</v>
      </c>
      <c r="J4137" s="36">
        <f t="shared" si="20"/>
        <v>45950.72756</v>
      </c>
      <c r="K4137" s="49" t="s">
        <v>26</v>
      </c>
      <c r="L4137" s="49" t="s">
        <v>23</v>
      </c>
      <c r="M4137" s="36">
        <f t="shared" si="33"/>
        <v>45953.7026</v>
      </c>
      <c r="N4137" s="30" t="str">
        <f t="shared" si="34"/>
        <v>Selesai</v>
      </c>
      <c r="O4137" s="45">
        <f t="shared" si="23"/>
        <v>45953.7026</v>
      </c>
      <c r="P4137" s="47" t="b">
        <v>0</v>
      </c>
      <c r="Q4137" s="36" t="str">
        <f t="shared" si="35"/>
        <v/>
      </c>
      <c r="R4137" s="47" t="b">
        <v>0</v>
      </c>
      <c r="S4137" s="42" t="str">
        <f t="shared" si="28"/>
        <v/>
      </c>
      <c r="T4137" s="42"/>
    </row>
    <row r="4138" ht="22.5" customHeight="1">
      <c r="B4138" s="42">
        <f t="shared" si="7"/>
        <v>4132</v>
      </c>
      <c r="C4138" s="31" t="s">
        <v>4177</v>
      </c>
      <c r="D4138" s="34" t="str">
        <f t="array" ref="D4138">IFNA(_xlfn.XLOOKUP(C4138,Table_Tarikan_Warkah[Nomor Sertipikat],Table_Tarikan_Warkah[Nomor Tiket]),"")</f>
        <v>L/32/290925/1</v>
      </c>
      <c r="E4138" s="36">
        <f t="array" ref="E4138">IFNA(_xlfn.XLOOKUP(D4138,Table_Tarikan_Warkah[Nomor Tiket],Table_Tarikan_Warkah[Tanggal diserahkan kepada Validator]),"")</f>
        <v>45986.60399</v>
      </c>
      <c r="F4138" s="36" t="str">
        <f t="array" ref="F4138">IFNA(_xlfn.XLOOKUP(D4138,Table_Tarikan_Warkah[Nomor Tiket],Table_Tarikan_Warkah[Nama Petugas Warkah]),"")</f>
        <v>David</v>
      </c>
      <c r="G4138" s="39" t="str">
        <f t="array" ref="G4138">IFNA(_xlfn.XLOOKUP(D4138,Table_Tarikan_Warkah[Nomor Tiket],Table_Tarikan_Warkah[Jenis Permohonan]),"")</f>
        <v>ROYA</v>
      </c>
      <c r="H4138" s="41" t="s">
        <v>2315</v>
      </c>
      <c r="I4138" s="49" t="s">
        <v>23</v>
      </c>
      <c r="J4138" s="36">
        <f t="shared" si="20"/>
        <v>45950.7277</v>
      </c>
      <c r="K4138" s="49" t="s">
        <v>26</v>
      </c>
      <c r="L4138" s="49" t="s">
        <v>23</v>
      </c>
      <c r="M4138" s="36">
        <f t="shared" si="33"/>
        <v>45953.704</v>
      </c>
      <c r="N4138" s="30" t="str">
        <f t="shared" si="34"/>
        <v>Selesai</v>
      </c>
      <c r="O4138" s="45">
        <f t="shared" si="23"/>
        <v>45953.704</v>
      </c>
      <c r="P4138" s="47" t="b">
        <v>0</v>
      </c>
      <c r="Q4138" s="36" t="str">
        <f t="shared" si="35"/>
        <v/>
      </c>
      <c r="R4138" s="47" t="b">
        <v>0</v>
      </c>
      <c r="S4138" s="42" t="str">
        <f t="shared" si="28"/>
        <v/>
      </c>
      <c r="T4138" s="42"/>
    </row>
    <row r="4139" ht="22.5" customHeight="1">
      <c r="B4139" s="42">
        <f t="shared" si="7"/>
        <v>4133</v>
      </c>
      <c r="C4139" s="31" t="s">
        <v>4178</v>
      </c>
      <c r="D4139" s="34" t="str">
        <f t="array" ref="D4139">IFNA(_xlfn.XLOOKUP(C4139,Table_Tarikan_Warkah[Nomor Sertipikat],Table_Tarikan_Warkah[Nomor Tiket]),"")</f>
        <v>K/6/120925/2</v>
      </c>
      <c r="E4139" s="36" t="str">
        <f t="array" ref="E4139">IFNA(_xlfn.XLOOKUP(D4139,Table_Tarikan_Warkah[Nomor Tiket],Table_Tarikan_Warkah[Tanggal diserahkan kepada Validator]),"")</f>
        <v/>
      </c>
      <c r="F4139" s="36" t="str">
        <f t="array" ref="F4139">IFNA(_xlfn.XLOOKUP(D4139,Table_Tarikan_Warkah[Nomor Tiket],Table_Tarikan_Warkah[Nama Petugas Warkah]),"")</f>
        <v/>
      </c>
      <c r="G4139" s="39" t="str">
        <f t="array" ref="G4139">IFNA(_xlfn.XLOOKUP(D4139,Table_Tarikan_Warkah[Nomor Tiket],Table_Tarikan_Warkah[Jenis Permohonan]),"")</f>
        <v>BN JUAL BELI EL</v>
      </c>
      <c r="H4139" s="41" t="s">
        <v>2315</v>
      </c>
      <c r="I4139" s="49" t="s">
        <v>23</v>
      </c>
      <c r="J4139" s="36">
        <f t="shared" si="20"/>
        <v>45950.72784</v>
      </c>
      <c r="K4139" s="49" t="s">
        <v>26</v>
      </c>
      <c r="L4139" s="49" t="s">
        <v>23</v>
      </c>
      <c r="M4139" s="36">
        <f t="shared" si="33"/>
        <v>45953.70221</v>
      </c>
      <c r="N4139" s="30" t="str">
        <f t="shared" si="34"/>
        <v>Selesai</v>
      </c>
      <c r="O4139" s="45">
        <f t="shared" si="23"/>
        <v>45953.70221</v>
      </c>
      <c r="P4139" s="47" t="b">
        <v>0</v>
      </c>
      <c r="Q4139" s="36" t="str">
        <f t="shared" si="35"/>
        <v/>
      </c>
      <c r="R4139" s="47" t="b">
        <v>0</v>
      </c>
      <c r="S4139" s="42" t="str">
        <f t="shared" si="28"/>
        <v/>
      </c>
      <c r="T4139" s="42"/>
    </row>
    <row r="4140" ht="22.5" customHeight="1">
      <c r="B4140" s="42">
        <f t="shared" si="7"/>
        <v>4134</v>
      </c>
      <c r="C4140" s="31" t="s">
        <v>4179</v>
      </c>
      <c r="D4140" s="34" t="str">
        <f t="array" ref="D4140">IFNA(_xlfn.XLOOKUP(C4140,Table_Tarikan_Warkah[Nomor Sertipikat],Table_Tarikan_Warkah[Nomor Tiket]),"")</f>
        <v>K/16/190925/1</v>
      </c>
      <c r="E4140" s="36" t="str">
        <f t="array" ref="E4140">IFNA(_xlfn.XLOOKUP(D4140,Table_Tarikan_Warkah[Nomor Tiket],Table_Tarikan_Warkah[Tanggal diserahkan kepada Validator]),"")</f>
        <v/>
      </c>
      <c r="F4140" s="36" t="str">
        <f t="array" ref="F4140">IFNA(_xlfn.XLOOKUP(D4140,Table_Tarikan_Warkah[Nomor Tiket],Table_Tarikan_Warkah[Nama Petugas Warkah]),"")</f>
        <v/>
      </c>
      <c r="G4140" s="39" t="str">
        <f t="array" ref="G4140">IFNA(_xlfn.XLOOKUP(D4140,Table_Tarikan_Warkah[Nomor Tiket],Table_Tarikan_Warkah[Jenis Permohonan]),"")</f>
        <v>BN JUAL BELI EL</v>
      </c>
      <c r="H4140" s="41" t="s">
        <v>2315</v>
      </c>
      <c r="I4140" s="49" t="s">
        <v>23</v>
      </c>
      <c r="J4140" s="36">
        <f t="shared" si="20"/>
        <v>45950.72798</v>
      </c>
      <c r="K4140" s="49" t="s">
        <v>26</v>
      </c>
      <c r="L4140" s="49" t="s">
        <v>23</v>
      </c>
      <c r="M4140" s="36">
        <f t="shared" si="33"/>
        <v>45953.69932</v>
      </c>
      <c r="N4140" s="30" t="str">
        <f t="shared" si="34"/>
        <v>Selesai</v>
      </c>
      <c r="O4140" s="45">
        <f t="shared" si="23"/>
        <v>45953.69932</v>
      </c>
      <c r="P4140" s="47" t="b">
        <v>0</v>
      </c>
      <c r="Q4140" s="36" t="str">
        <f t="shared" si="35"/>
        <v/>
      </c>
      <c r="R4140" s="47" t="b">
        <v>0</v>
      </c>
      <c r="S4140" s="42" t="str">
        <f t="shared" si="28"/>
        <v/>
      </c>
      <c r="T4140" s="42"/>
    </row>
    <row r="4141" ht="22.5" customHeight="1">
      <c r="B4141" s="42">
        <f t="shared" si="7"/>
        <v>4135</v>
      </c>
      <c r="C4141" s="31" t="s">
        <v>4180</v>
      </c>
      <c r="D4141" s="34" t="str">
        <f t="array" ref="D4141">IFNA(_xlfn.XLOOKUP(C4141,Table_Tarikan_Warkah[Nomor Sertipikat],Table_Tarikan_Warkah[Nomor Tiket]),"")</f>
        <v>K/36/190925/2</v>
      </c>
      <c r="E4141" s="36">
        <f t="array" ref="E4141">IFNA(_xlfn.XLOOKUP(D4141,Table_Tarikan_Warkah[Nomor Tiket],Table_Tarikan_Warkah[Tanggal diserahkan kepada Validator]),"")</f>
        <v>45996.58963</v>
      </c>
      <c r="F4141" s="36" t="str">
        <f t="array" ref="F4141">IFNA(_xlfn.XLOOKUP(D4141,Table_Tarikan_Warkah[Nomor Tiket],Table_Tarikan_Warkah[Nama Petugas Warkah]),"")</f>
        <v>Berry</v>
      </c>
      <c r="G4141" s="39" t="str">
        <f t="array" ref="G4141">IFNA(_xlfn.XLOOKUP(D4141,Table_Tarikan_Warkah[Nomor Tiket],Table_Tarikan_Warkah[Jenis Permohonan]),"")</f>
        <v>BN JUAL BELI</v>
      </c>
      <c r="H4141" s="41" t="s">
        <v>20</v>
      </c>
      <c r="I4141" s="49" t="s">
        <v>23</v>
      </c>
      <c r="J4141" s="36">
        <f t="shared" si="20"/>
        <v>45951.62324</v>
      </c>
      <c r="K4141" s="69"/>
      <c r="L4141" s="49"/>
      <c r="M4141" s="36" t="str">
        <f t="shared" si="33"/>
        <v/>
      </c>
      <c r="N4141" s="30" t="str">
        <f t="shared" si="34"/>
        <v>BT atau SU Belum Valid</v>
      </c>
      <c r="O4141" s="39" t="str">
        <f t="shared" si="23"/>
        <v/>
      </c>
      <c r="P4141" s="47" t="b">
        <v>0</v>
      </c>
      <c r="Q4141" s="36" t="str">
        <f t="shared" si="35"/>
        <v/>
      </c>
      <c r="R4141" s="47" t="b">
        <v>0</v>
      </c>
      <c r="S4141" s="42" t="str">
        <f t="shared" si="28"/>
        <v/>
      </c>
      <c r="T4141" s="42"/>
    </row>
    <row r="4142" ht="22.5" customHeight="1">
      <c r="B4142" s="42">
        <f t="shared" si="7"/>
        <v>4136</v>
      </c>
      <c r="C4142" s="31" t="s">
        <v>4181</v>
      </c>
      <c r="D4142" s="34" t="str">
        <f t="array" ref="D4142">IFNA(_xlfn.XLOOKUP(C4142,Table_Tarikan_Warkah[Nomor Sertipikat],Table_Tarikan_Warkah[Nomor Tiket]),"")</f>
        <v>K/21/150925/4</v>
      </c>
      <c r="E4142" s="36" t="str">
        <f t="array" ref="E4142">IFNA(_xlfn.XLOOKUP(D4142,Table_Tarikan_Warkah[Nomor Tiket],Table_Tarikan_Warkah[Tanggal diserahkan kepada Validator]),"")</f>
        <v/>
      </c>
      <c r="F4142" s="36" t="str">
        <f t="array" ref="F4142">IFNA(_xlfn.XLOOKUP(D4142,Table_Tarikan_Warkah[Nomor Tiket],Table_Tarikan_Warkah[Nama Petugas Warkah]),"")</f>
        <v/>
      </c>
      <c r="G4142" s="39" t="str">
        <f t="array" ref="G4142">IFNA(_xlfn.XLOOKUP(D4142,Table_Tarikan_Warkah[Nomor Tiket],Table_Tarikan_Warkah[Jenis Permohonan]),"")</f>
        <v>BN JUAL BELI</v>
      </c>
      <c r="H4142" s="41" t="s">
        <v>20</v>
      </c>
      <c r="I4142" s="49" t="s">
        <v>23</v>
      </c>
      <c r="J4142" s="36">
        <f t="shared" si="20"/>
        <v>45951.62324</v>
      </c>
      <c r="K4142" s="49" t="s">
        <v>26</v>
      </c>
      <c r="L4142" s="49" t="s">
        <v>23</v>
      </c>
      <c r="M4142" s="36">
        <f t="shared" si="33"/>
        <v>45953.69652</v>
      </c>
      <c r="N4142" s="30" t="str">
        <f t="shared" si="34"/>
        <v>Selesai</v>
      </c>
      <c r="O4142" s="45">
        <f t="shared" si="23"/>
        <v>45953.69652</v>
      </c>
      <c r="P4142" s="47" t="b">
        <v>0</v>
      </c>
      <c r="Q4142" s="36" t="str">
        <f t="shared" si="35"/>
        <v/>
      </c>
      <c r="R4142" s="47" t="b">
        <v>0</v>
      </c>
      <c r="S4142" s="42" t="str">
        <f t="shared" si="28"/>
        <v/>
      </c>
      <c r="T4142" s="42"/>
    </row>
    <row r="4143" ht="22.5" customHeight="1">
      <c r="B4143" s="42">
        <f t="shared" si="7"/>
        <v>4137</v>
      </c>
      <c r="C4143" s="31" t="s">
        <v>4182</v>
      </c>
      <c r="D4143" s="34" t="str">
        <f t="array" ref="D4143">IFNA(_xlfn.XLOOKUP(C4143,Table_Tarikan_Warkah[Nomor Sertipikat],Table_Tarikan_Warkah[Nomor Tiket]),"")</f>
        <v>K/42/270825/1</v>
      </c>
      <c r="E4143" s="36" t="str">
        <f t="array" ref="E4143">IFNA(_xlfn.XLOOKUP(D4143,Table_Tarikan_Warkah[Nomor Tiket],Table_Tarikan_Warkah[Tanggal diserahkan kepada Validator]),"")</f>
        <v/>
      </c>
      <c r="F4143" s="36" t="str">
        <f t="array" ref="F4143">IFNA(_xlfn.XLOOKUP(D4143,Table_Tarikan_Warkah[Nomor Tiket],Table_Tarikan_Warkah[Nama Petugas Warkah]),"")</f>
        <v/>
      </c>
      <c r="G4143" s="39" t="str">
        <f t="array" ref="G4143">IFNA(_xlfn.XLOOKUP(D4143,Table_Tarikan_Warkah[Nomor Tiket],Table_Tarikan_Warkah[Jenis Permohonan]),"")</f>
        <v>BN JUAL BELI</v>
      </c>
      <c r="H4143" s="41" t="s">
        <v>20</v>
      </c>
      <c r="I4143" s="49" t="s">
        <v>23</v>
      </c>
      <c r="J4143" s="36">
        <f t="shared" si="20"/>
        <v>45951.62324</v>
      </c>
      <c r="K4143" s="49" t="s">
        <v>26</v>
      </c>
      <c r="L4143" s="49" t="s">
        <v>23</v>
      </c>
      <c r="M4143" s="36">
        <f t="shared" si="33"/>
        <v>45953.69756</v>
      </c>
      <c r="N4143" s="30" t="str">
        <f t="shared" si="34"/>
        <v>Selesai</v>
      </c>
      <c r="O4143" s="45">
        <f t="shared" si="23"/>
        <v>45953.69756</v>
      </c>
      <c r="P4143" s="47" t="b">
        <v>0</v>
      </c>
      <c r="Q4143" s="36" t="str">
        <f t="shared" si="35"/>
        <v/>
      </c>
      <c r="R4143" s="47" t="b">
        <v>0</v>
      </c>
      <c r="S4143" s="42" t="str">
        <f t="shared" si="28"/>
        <v/>
      </c>
      <c r="T4143" s="42"/>
    </row>
    <row r="4144" ht="22.5" customHeight="1">
      <c r="B4144" s="42">
        <f t="shared" si="7"/>
        <v>4138</v>
      </c>
      <c r="C4144" s="31" t="s">
        <v>4183</v>
      </c>
      <c r="D4144" s="34" t="str">
        <f t="array" ref="D4144">IFNA(_xlfn.XLOOKUP(C4144,Table_Tarikan_Warkah[Nomor Sertipikat],Table_Tarikan_Warkah[Nomor Tiket]),"")</f>
        <v>K/13/180925/1</v>
      </c>
      <c r="E4144" s="36">
        <f t="array" ref="E4144">IFNA(_xlfn.XLOOKUP(D4144,Table_Tarikan_Warkah[Nomor Tiket],Table_Tarikan_Warkah[Tanggal diserahkan kepada Validator]),"")</f>
        <v>45965.49478</v>
      </c>
      <c r="F4144" s="36" t="str">
        <f t="array" ref="F4144">IFNA(_xlfn.XLOOKUP(D4144,Table_Tarikan_Warkah[Nomor Tiket],Table_Tarikan_Warkah[Nama Petugas Warkah]),"")</f>
        <v>Berry</v>
      </c>
      <c r="G4144" s="39" t="str">
        <f t="array" ref="G4144">IFNA(_xlfn.XLOOKUP(D4144,Table_Tarikan_Warkah[Nomor Tiket],Table_Tarikan_Warkah[Jenis Permohonan]),"")</f>
        <v>BN WARIS</v>
      </c>
      <c r="H4144" s="41" t="s">
        <v>20</v>
      </c>
      <c r="I4144" s="49" t="s">
        <v>23</v>
      </c>
      <c r="J4144" s="36">
        <f t="shared" si="20"/>
        <v>45951.62324</v>
      </c>
      <c r="K4144" s="49" t="s">
        <v>26</v>
      </c>
      <c r="L4144" s="49" t="s">
        <v>23</v>
      </c>
      <c r="M4144" s="36">
        <f t="shared" si="33"/>
        <v>45953.701</v>
      </c>
      <c r="N4144" s="30" t="str">
        <f t="shared" si="34"/>
        <v>Selesai</v>
      </c>
      <c r="O4144" s="45">
        <f t="shared" si="23"/>
        <v>45953.701</v>
      </c>
      <c r="P4144" s="47" t="b">
        <v>0</v>
      </c>
      <c r="Q4144" s="36" t="str">
        <f t="shared" si="35"/>
        <v/>
      </c>
      <c r="R4144" s="47" t="b">
        <v>0</v>
      </c>
      <c r="S4144" s="42" t="str">
        <f t="shared" si="28"/>
        <v/>
      </c>
      <c r="T4144" s="42"/>
    </row>
    <row r="4145" ht="22.5" customHeight="1">
      <c r="B4145" s="42">
        <f t="shared" si="7"/>
        <v>4139</v>
      </c>
      <c r="C4145" s="31" t="s">
        <v>4184</v>
      </c>
      <c r="D4145" s="34" t="str">
        <f t="array" ref="D4145">IFNA(_xlfn.XLOOKUP(C4145,Table_Tarikan_Warkah[Nomor Sertipikat],Table_Tarikan_Warkah[Nomor Tiket]),"")</f>
        <v>K/3/031025/1</v>
      </c>
      <c r="E4145" s="36" t="str">
        <f t="array" ref="E4145">IFNA(_xlfn.XLOOKUP(D4145,Table_Tarikan_Warkah[Nomor Tiket],Table_Tarikan_Warkah[Tanggal diserahkan kepada Validator]),"")</f>
        <v/>
      </c>
      <c r="F4145" s="36" t="str">
        <f t="array" ref="F4145">IFNA(_xlfn.XLOOKUP(D4145,Table_Tarikan_Warkah[Nomor Tiket],Table_Tarikan_Warkah[Nama Petugas Warkah]),"")</f>
        <v/>
      </c>
      <c r="G4145" s="39" t="str">
        <f t="array" ref="G4145">IFNA(_xlfn.XLOOKUP(D4145,Table_Tarikan_Warkah[Nomor Tiket],Table_Tarikan_Warkah[Jenis Permohonan]),"")</f>
        <v>ROYA</v>
      </c>
      <c r="H4145" s="41" t="s">
        <v>20</v>
      </c>
      <c r="I4145" s="49" t="s">
        <v>23</v>
      </c>
      <c r="J4145" s="36">
        <f t="shared" si="20"/>
        <v>45951.62324</v>
      </c>
      <c r="K4145" s="49" t="s">
        <v>26</v>
      </c>
      <c r="L4145" s="49" t="s">
        <v>23</v>
      </c>
      <c r="M4145" s="36">
        <f t="shared" si="33"/>
        <v>45953.70031</v>
      </c>
      <c r="N4145" s="30" t="str">
        <f t="shared" si="34"/>
        <v>Selesai</v>
      </c>
      <c r="O4145" s="45">
        <f t="shared" si="23"/>
        <v>45953.70031</v>
      </c>
      <c r="P4145" s="47" t="b">
        <v>0</v>
      </c>
      <c r="Q4145" s="36" t="str">
        <f t="shared" si="35"/>
        <v/>
      </c>
      <c r="R4145" s="47" t="b">
        <v>0</v>
      </c>
      <c r="S4145" s="42" t="str">
        <f t="shared" si="28"/>
        <v/>
      </c>
      <c r="T4145" s="42"/>
    </row>
    <row r="4146" ht="22.5" customHeight="1">
      <c r="B4146" s="42">
        <f t="shared" si="7"/>
        <v>4140</v>
      </c>
      <c r="C4146" s="31" t="s">
        <v>4185</v>
      </c>
      <c r="D4146" s="34" t="str">
        <f t="array" ref="D4146">IFNA(_xlfn.XLOOKUP(C4146,Table_Tarikan_Warkah[Nomor Sertipikat],Table_Tarikan_Warkah[Nomor Tiket]),"")</f>
        <v>K/6/180925/1</v>
      </c>
      <c r="E4146" s="36" t="str">
        <f t="array" ref="E4146">IFNA(_xlfn.XLOOKUP(D4146,Table_Tarikan_Warkah[Nomor Tiket],Table_Tarikan_Warkah[Tanggal diserahkan kepada Validator]),"")</f>
        <v/>
      </c>
      <c r="F4146" s="36" t="str">
        <f t="array" ref="F4146">IFNA(_xlfn.XLOOKUP(D4146,Table_Tarikan_Warkah[Nomor Tiket],Table_Tarikan_Warkah[Nama Petugas Warkah]),"")</f>
        <v/>
      </c>
      <c r="G4146" s="39" t="str">
        <f t="array" ref="G4146">IFNA(_xlfn.XLOOKUP(D4146,Table_Tarikan_Warkah[Nomor Tiket],Table_Tarikan_Warkah[Jenis Permohonan]),"")</f>
        <v>BN JUAL BELI</v>
      </c>
      <c r="H4146" s="41" t="s">
        <v>20</v>
      </c>
      <c r="I4146" s="49" t="s">
        <v>23</v>
      </c>
      <c r="J4146" s="36">
        <f t="shared" si="20"/>
        <v>45951.62324</v>
      </c>
      <c r="K4146" s="49" t="s">
        <v>26</v>
      </c>
      <c r="L4146" s="49" t="s">
        <v>23</v>
      </c>
      <c r="M4146" s="36">
        <f t="shared" si="33"/>
        <v>45953.70121</v>
      </c>
      <c r="N4146" s="30" t="str">
        <f t="shared" si="34"/>
        <v>Selesai</v>
      </c>
      <c r="O4146" s="45">
        <f t="shared" si="23"/>
        <v>45953.70121</v>
      </c>
      <c r="P4146" s="47" t="b">
        <v>0</v>
      </c>
      <c r="Q4146" s="36" t="str">
        <f t="shared" si="35"/>
        <v/>
      </c>
      <c r="R4146" s="47" t="b">
        <v>0</v>
      </c>
      <c r="S4146" s="42" t="str">
        <f t="shared" si="28"/>
        <v/>
      </c>
      <c r="T4146" s="42"/>
    </row>
    <row r="4147" ht="22.5" customHeight="1">
      <c r="B4147" s="42">
        <f t="shared" si="7"/>
        <v>4141</v>
      </c>
      <c r="C4147" s="31" t="s">
        <v>4186</v>
      </c>
      <c r="D4147" s="34" t="str">
        <f t="array" ref="D4147">IFNA(_xlfn.XLOOKUP(C4147,Table_Tarikan_Warkah[Nomor Sertipikat],Table_Tarikan_Warkah[Nomor Tiket]),"")</f>
        <v>K/10/220925/2</v>
      </c>
      <c r="E4147" s="36" t="str">
        <f t="array" ref="E4147">IFNA(_xlfn.XLOOKUP(D4147,Table_Tarikan_Warkah[Nomor Tiket],Table_Tarikan_Warkah[Tanggal diserahkan kepada Validator]),"")</f>
        <v/>
      </c>
      <c r="F4147" s="36" t="str">
        <f t="array" ref="F4147">IFNA(_xlfn.XLOOKUP(D4147,Table_Tarikan_Warkah[Nomor Tiket],Table_Tarikan_Warkah[Nama Petugas Warkah]),"")</f>
        <v/>
      </c>
      <c r="G4147" s="39" t="str">
        <f t="array" ref="G4147">IFNA(_xlfn.XLOOKUP(D4147,Table_Tarikan_Warkah[Nomor Tiket],Table_Tarikan_Warkah[Jenis Permohonan]),"")</f>
        <v>BN JUAL BELI</v>
      </c>
      <c r="H4147" s="41" t="s">
        <v>20</v>
      </c>
      <c r="I4147" s="49" t="s">
        <v>23</v>
      </c>
      <c r="J4147" s="36">
        <f t="shared" si="20"/>
        <v>45951.62324</v>
      </c>
      <c r="K4147" s="49" t="s">
        <v>26</v>
      </c>
      <c r="L4147" s="49" t="s">
        <v>23</v>
      </c>
      <c r="M4147" s="36">
        <f t="shared" si="33"/>
        <v>45953.69799</v>
      </c>
      <c r="N4147" s="30" t="str">
        <f t="shared" si="34"/>
        <v>Selesai</v>
      </c>
      <c r="O4147" s="45">
        <f t="shared" si="23"/>
        <v>45953.69799</v>
      </c>
      <c r="P4147" s="47" t="b">
        <v>0</v>
      </c>
      <c r="Q4147" s="36" t="str">
        <f t="shared" si="35"/>
        <v/>
      </c>
      <c r="R4147" s="47" t="b">
        <v>0</v>
      </c>
      <c r="S4147" s="42" t="str">
        <f t="shared" si="28"/>
        <v/>
      </c>
      <c r="T4147" s="42"/>
    </row>
    <row r="4148" ht="22.5" customHeight="1">
      <c r="B4148" s="42">
        <f t="shared" si="7"/>
        <v>4142</v>
      </c>
      <c r="C4148" s="31" t="s">
        <v>4187</v>
      </c>
      <c r="D4148" s="34" t="str">
        <f t="array" ref="D4148">IFNA(_xlfn.XLOOKUP(C4148,Table_Tarikan_Warkah[Nomor Sertipikat],Table_Tarikan_Warkah[Nomor Tiket]),"")</f>
        <v>K/2/200825/1</v>
      </c>
      <c r="E4148" s="36" t="str">
        <f t="array" ref="E4148">IFNA(_xlfn.XLOOKUP(D4148,Table_Tarikan_Warkah[Nomor Tiket],Table_Tarikan_Warkah[Tanggal diserahkan kepada Validator]),"")</f>
        <v/>
      </c>
      <c r="F4148" s="36" t="str">
        <f t="array" ref="F4148">IFNA(_xlfn.XLOOKUP(D4148,Table_Tarikan_Warkah[Nomor Tiket],Table_Tarikan_Warkah[Nama Petugas Warkah]),"")</f>
        <v/>
      </c>
      <c r="G4148" s="39" t="str">
        <f t="array" ref="G4148">IFNA(_xlfn.XLOOKUP(D4148,Table_Tarikan_Warkah[Nomor Tiket],Table_Tarikan_Warkah[Jenis Permohonan]),"")</f>
        <v>BN JUAL BELI</v>
      </c>
      <c r="H4148" s="41" t="s">
        <v>20</v>
      </c>
      <c r="I4148" s="49" t="s">
        <v>23</v>
      </c>
      <c r="J4148" s="36">
        <f t="shared" si="20"/>
        <v>45951.62324</v>
      </c>
      <c r="K4148" s="49" t="s">
        <v>26</v>
      </c>
      <c r="L4148" s="49" t="s">
        <v>23</v>
      </c>
      <c r="M4148" s="36">
        <f t="shared" si="33"/>
        <v>45958.59493</v>
      </c>
      <c r="N4148" s="30" t="str">
        <f t="shared" si="34"/>
        <v>Selesai</v>
      </c>
      <c r="O4148" s="45">
        <f t="shared" si="23"/>
        <v>45958.59493</v>
      </c>
      <c r="P4148" s="47" t="b">
        <v>0</v>
      </c>
      <c r="Q4148" s="36" t="str">
        <f t="shared" si="35"/>
        <v/>
      </c>
      <c r="R4148" s="47" t="b">
        <v>0</v>
      </c>
      <c r="S4148" s="42" t="str">
        <f t="shared" si="28"/>
        <v/>
      </c>
      <c r="T4148" s="42"/>
    </row>
    <row r="4149" ht="22.5" customHeight="1">
      <c r="B4149" s="42">
        <f t="shared" si="7"/>
        <v>4143</v>
      </c>
      <c r="C4149" s="31" t="s">
        <v>4188</v>
      </c>
      <c r="D4149" s="34" t="str">
        <f t="array" ref="D4149">IFNA(_xlfn.XLOOKUP(C4149,Table_Tarikan_Warkah[Nomor Sertipikat],Table_Tarikan_Warkah[Nomor Tiket]),"")</f>
        <v>K/43/230925/5</v>
      </c>
      <c r="E4149" s="36" t="str">
        <f t="array" ref="E4149">IFNA(_xlfn.XLOOKUP(D4149,Table_Tarikan_Warkah[Nomor Tiket],Table_Tarikan_Warkah[Tanggal diserahkan kepada Validator]),"")</f>
        <v/>
      </c>
      <c r="F4149" s="36" t="str">
        <f t="array" ref="F4149">IFNA(_xlfn.XLOOKUP(D4149,Table_Tarikan_Warkah[Nomor Tiket],Table_Tarikan_Warkah[Nama Petugas Warkah]),"")</f>
        <v/>
      </c>
      <c r="G4149" s="39" t="str">
        <f t="array" ref="G4149">IFNA(_xlfn.XLOOKUP(D4149,Table_Tarikan_Warkah[Nomor Tiket],Table_Tarikan_Warkah[Jenis Permohonan]),"")</f>
        <v>BN JUAL BELI</v>
      </c>
      <c r="H4149" s="41" t="s">
        <v>20</v>
      </c>
      <c r="I4149" s="49" t="s">
        <v>23</v>
      </c>
      <c r="J4149" s="36">
        <f t="shared" si="20"/>
        <v>45951.62324</v>
      </c>
      <c r="K4149" s="49" t="s">
        <v>26</v>
      </c>
      <c r="L4149" s="49" t="s">
        <v>23</v>
      </c>
      <c r="M4149" s="36">
        <f t="shared" si="33"/>
        <v>45958.46332</v>
      </c>
      <c r="N4149" s="30" t="str">
        <f t="shared" si="34"/>
        <v>Selesai</v>
      </c>
      <c r="O4149" s="45">
        <f t="shared" si="23"/>
        <v>45958.46332</v>
      </c>
      <c r="P4149" s="47" t="b">
        <v>1</v>
      </c>
      <c r="Q4149" s="36">
        <f t="shared" si="35"/>
        <v>45958.46518</v>
      </c>
      <c r="R4149" s="47" t="b">
        <v>0</v>
      </c>
      <c r="S4149" s="42" t="str">
        <f t="shared" si="28"/>
        <v/>
      </c>
      <c r="T4149" s="42"/>
    </row>
    <row r="4150" ht="22.5" customHeight="1">
      <c r="B4150" s="42">
        <f t="shared" si="7"/>
        <v>4144</v>
      </c>
      <c r="C4150" s="31" t="s">
        <v>4189</v>
      </c>
      <c r="D4150" s="34" t="str">
        <f t="array" ref="D4150">IFNA(_xlfn.XLOOKUP(C4150,Table_Tarikan_Warkah[Nomor Sertipikat],Table_Tarikan_Warkah[Nomor Tiket]),"")</f>
        <v>K/1/180925/1</v>
      </c>
      <c r="E4150" s="36" t="str">
        <f t="array" ref="E4150">IFNA(_xlfn.XLOOKUP(D4150,Table_Tarikan_Warkah[Nomor Tiket],Table_Tarikan_Warkah[Tanggal diserahkan kepada Validator]),"")</f>
        <v/>
      </c>
      <c r="F4150" s="36" t="str">
        <f t="array" ref="F4150">IFNA(_xlfn.XLOOKUP(D4150,Table_Tarikan_Warkah[Nomor Tiket],Table_Tarikan_Warkah[Nama Petugas Warkah]),"")</f>
        <v/>
      </c>
      <c r="G4150" s="39" t="str">
        <f t="array" ref="G4150">IFNA(_xlfn.XLOOKUP(D4150,Table_Tarikan_Warkah[Nomor Tiket],Table_Tarikan_Warkah[Jenis Permohonan]),"")</f>
        <v>BN JUAL BELI</v>
      </c>
      <c r="H4150" s="41" t="s">
        <v>20</v>
      </c>
      <c r="I4150" s="49" t="s">
        <v>23</v>
      </c>
      <c r="J4150" s="36">
        <f t="shared" si="20"/>
        <v>45951.62324</v>
      </c>
      <c r="K4150" s="49" t="s">
        <v>26</v>
      </c>
      <c r="L4150" s="49" t="s">
        <v>23</v>
      </c>
      <c r="M4150" s="36">
        <f t="shared" si="33"/>
        <v>45953.69837</v>
      </c>
      <c r="N4150" s="30" t="str">
        <f t="shared" si="34"/>
        <v>Selesai</v>
      </c>
      <c r="O4150" s="45">
        <f t="shared" si="23"/>
        <v>45953.69837</v>
      </c>
      <c r="P4150" s="47" t="b">
        <v>0</v>
      </c>
      <c r="Q4150" s="36" t="str">
        <f t="shared" si="35"/>
        <v/>
      </c>
      <c r="R4150" s="47" t="b">
        <v>0</v>
      </c>
      <c r="S4150" s="42" t="str">
        <f t="shared" si="28"/>
        <v/>
      </c>
      <c r="T4150" s="42"/>
    </row>
    <row r="4151" ht="22.5" customHeight="1">
      <c r="B4151" s="42">
        <f t="shared" si="7"/>
        <v>4145</v>
      </c>
      <c r="C4151" s="31" t="s">
        <v>4190</v>
      </c>
      <c r="D4151" s="34" t="str">
        <f t="array" ref="D4151">IFNA(_xlfn.XLOOKUP(C4151,Table_Tarikan_Warkah[Nomor Sertipikat],Table_Tarikan_Warkah[Nomor Tiket]),"")</f>
        <v>K/5/230925/1</v>
      </c>
      <c r="E4151" s="36" t="str">
        <f t="array" ref="E4151">IFNA(_xlfn.XLOOKUP(D4151,Table_Tarikan_Warkah[Nomor Tiket],Table_Tarikan_Warkah[Tanggal diserahkan kepada Validator]),"")</f>
        <v/>
      </c>
      <c r="F4151" s="36" t="str">
        <f t="array" ref="F4151">IFNA(_xlfn.XLOOKUP(D4151,Table_Tarikan_Warkah[Nomor Tiket],Table_Tarikan_Warkah[Nama Petugas Warkah]),"")</f>
        <v/>
      </c>
      <c r="G4151" s="39" t="str">
        <f t="array" ref="G4151">IFNA(_xlfn.XLOOKUP(D4151,Table_Tarikan_Warkah[Nomor Tiket],Table_Tarikan_Warkah[Jenis Permohonan]),"")</f>
        <v>BN HIBAH</v>
      </c>
      <c r="H4151" s="41" t="s">
        <v>20</v>
      </c>
      <c r="I4151" s="49" t="s">
        <v>23</v>
      </c>
      <c r="J4151" s="36">
        <f t="shared" si="20"/>
        <v>45951.62324</v>
      </c>
      <c r="K4151" s="49" t="s">
        <v>26</v>
      </c>
      <c r="L4151" s="49" t="s">
        <v>23</v>
      </c>
      <c r="M4151" s="36">
        <f t="shared" si="33"/>
        <v>45953.69816</v>
      </c>
      <c r="N4151" s="30" t="str">
        <f t="shared" si="34"/>
        <v>Selesai</v>
      </c>
      <c r="O4151" s="45">
        <f t="shared" si="23"/>
        <v>45953.69816</v>
      </c>
      <c r="P4151" s="47" t="b">
        <v>0</v>
      </c>
      <c r="Q4151" s="36" t="str">
        <f t="shared" si="35"/>
        <v/>
      </c>
      <c r="R4151" s="47" t="b">
        <v>0</v>
      </c>
      <c r="S4151" s="42" t="str">
        <f t="shared" si="28"/>
        <v/>
      </c>
      <c r="T4151" s="42"/>
    </row>
    <row r="4152" ht="22.5" customHeight="1">
      <c r="B4152" s="42">
        <f t="shared" si="7"/>
        <v>4146</v>
      </c>
      <c r="C4152" s="31" t="s">
        <v>4191</v>
      </c>
      <c r="D4152" s="34" t="str">
        <f t="array" ref="D4152">IFNA(_xlfn.XLOOKUP(C4152,Table_Tarikan_Warkah[Nomor Sertipikat],Table_Tarikan_Warkah[Nomor Tiket]),"")</f>
        <v>K/30/270825/1</v>
      </c>
      <c r="E4152" s="36" t="str">
        <f t="array" ref="E4152">IFNA(_xlfn.XLOOKUP(D4152,Table_Tarikan_Warkah[Nomor Tiket],Table_Tarikan_Warkah[Tanggal diserahkan kepada Validator]),"")</f>
        <v/>
      </c>
      <c r="F4152" s="36" t="str">
        <f t="array" ref="F4152">IFNA(_xlfn.XLOOKUP(D4152,Table_Tarikan_Warkah[Nomor Tiket],Table_Tarikan_Warkah[Nama Petugas Warkah]),"")</f>
        <v/>
      </c>
      <c r="G4152" s="39" t="str">
        <f t="array" ref="G4152">IFNA(_xlfn.XLOOKUP(D4152,Table_Tarikan_Warkah[Nomor Tiket],Table_Tarikan_Warkah[Jenis Permohonan]),"")</f>
        <v>BN Jual Beli	</v>
      </c>
      <c r="H4152" s="41" t="s">
        <v>920</v>
      </c>
      <c r="I4152" s="49" t="s">
        <v>23</v>
      </c>
      <c r="J4152" s="36">
        <f t="shared" si="20"/>
        <v>45951.65298</v>
      </c>
      <c r="K4152" s="49" t="s">
        <v>920</v>
      </c>
      <c r="L4152" s="49" t="s">
        <v>23</v>
      </c>
      <c r="M4152" s="36">
        <f t="shared" si="33"/>
        <v>45951.65303</v>
      </c>
      <c r="N4152" s="30" t="str">
        <f t="shared" si="34"/>
        <v>Selesai</v>
      </c>
      <c r="O4152" s="45">
        <f t="shared" si="23"/>
        <v>45951.65303</v>
      </c>
      <c r="P4152" s="47" t="b">
        <v>1</v>
      </c>
      <c r="Q4152" s="36">
        <f t="shared" si="35"/>
        <v>45951.65304</v>
      </c>
      <c r="R4152" s="47" t="b">
        <v>0</v>
      </c>
      <c r="S4152" s="42" t="str">
        <f t="shared" si="28"/>
        <v/>
      </c>
      <c r="T4152" s="42"/>
    </row>
    <row r="4153" ht="22.5" customHeight="1">
      <c r="B4153" s="42">
        <f t="shared" si="7"/>
        <v>4147</v>
      </c>
      <c r="C4153" s="31" t="s">
        <v>4192</v>
      </c>
      <c r="D4153" s="34" t="str">
        <f t="array" ref="D4153">IFNA(_xlfn.XLOOKUP(C4153,Table_Tarikan_Warkah[Nomor Sertipikat],Table_Tarikan_Warkah[Nomor Tiket]),"")</f>
        <v>K/7/010925/2</v>
      </c>
      <c r="E4153" s="36" t="str">
        <f t="array" ref="E4153">IFNA(_xlfn.XLOOKUP(D4153,Table_Tarikan_Warkah[Nomor Tiket],Table_Tarikan_Warkah[Tanggal diserahkan kepada Validator]),"")</f>
        <v/>
      </c>
      <c r="F4153" s="36" t="str">
        <f t="array" ref="F4153">IFNA(_xlfn.XLOOKUP(D4153,Table_Tarikan_Warkah[Nomor Tiket],Table_Tarikan_Warkah[Nama Petugas Warkah]),"")</f>
        <v/>
      </c>
      <c r="G4153" s="39" t="str">
        <f t="array" ref="G4153">IFNA(_xlfn.XLOOKUP(D4153,Table_Tarikan_Warkah[Nomor Tiket],Table_Tarikan_Warkah[Jenis Permohonan]),"")</f>
        <v>BN Jual Beli	</v>
      </c>
      <c r="H4153" s="41" t="s">
        <v>920</v>
      </c>
      <c r="I4153" s="49" t="s">
        <v>23</v>
      </c>
      <c r="J4153" s="36">
        <f t="shared" si="20"/>
        <v>45951.65369</v>
      </c>
      <c r="K4153" s="49" t="s">
        <v>920</v>
      </c>
      <c r="L4153" s="49" t="s">
        <v>23</v>
      </c>
      <c r="M4153" s="36">
        <f t="shared" si="33"/>
        <v>45951.65373</v>
      </c>
      <c r="N4153" s="30" t="str">
        <f t="shared" si="34"/>
        <v>Selesai</v>
      </c>
      <c r="O4153" s="45">
        <f t="shared" si="23"/>
        <v>45951.65373</v>
      </c>
      <c r="P4153" s="47" t="b">
        <v>1</v>
      </c>
      <c r="Q4153" s="36">
        <f t="shared" si="35"/>
        <v>45951.6538</v>
      </c>
      <c r="R4153" s="47" t="b">
        <v>0</v>
      </c>
      <c r="S4153" s="42" t="str">
        <f t="shared" si="28"/>
        <v/>
      </c>
      <c r="T4153" s="42"/>
    </row>
    <row r="4154" ht="22.5" customHeight="1">
      <c r="B4154" s="42">
        <f t="shared" si="7"/>
        <v>4148</v>
      </c>
      <c r="C4154" s="31" t="s">
        <v>4193</v>
      </c>
      <c r="D4154" s="34" t="str">
        <f t="array" ref="D4154">IFNA(_xlfn.XLOOKUP(C4154,Table_Tarikan_Warkah[Nomor Sertipikat],Table_Tarikan_Warkah[Nomor Tiket]),"")</f>
        <v>K/39/280825/2</v>
      </c>
      <c r="E4154" s="36" t="str">
        <f t="array" ref="E4154">IFNA(_xlfn.XLOOKUP(D4154,Table_Tarikan_Warkah[Nomor Tiket],Table_Tarikan_Warkah[Tanggal diserahkan kepada Validator]),"")</f>
        <v/>
      </c>
      <c r="F4154" s="36" t="str">
        <f t="array" ref="F4154">IFNA(_xlfn.XLOOKUP(D4154,Table_Tarikan_Warkah[Nomor Tiket],Table_Tarikan_Warkah[Nama Petugas Warkah]),"")</f>
        <v/>
      </c>
      <c r="G4154" s="39" t="str">
        <f t="array" ref="G4154">IFNA(_xlfn.XLOOKUP(D4154,Table_Tarikan_Warkah[Nomor Tiket],Table_Tarikan_Warkah[Jenis Permohonan]),"")</f>
        <v>BN Jual Beli	</v>
      </c>
      <c r="H4154" s="41" t="s">
        <v>920</v>
      </c>
      <c r="I4154" s="49" t="s">
        <v>23</v>
      </c>
      <c r="J4154" s="36">
        <f t="shared" si="20"/>
        <v>45951.65393</v>
      </c>
      <c r="K4154" s="49" t="s">
        <v>920</v>
      </c>
      <c r="L4154" s="49" t="s">
        <v>23</v>
      </c>
      <c r="M4154" s="36">
        <f t="shared" si="33"/>
        <v>45951.65396</v>
      </c>
      <c r="N4154" s="30" t="str">
        <f t="shared" si="34"/>
        <v>Selesai</v>
      </c>
      <c r="O4154" s="45">
        <f t="shared" si="23"/>
        <v>45951.65396</v>
      </c>
      <c r="P4154" s="47" t="b">
        <v>1</v>
      </c>
      <c r="Q4154" s="36">
        <f t="shared" si="35"/>
        <v>45951.65428</v>
      </c>
      <c r="R4154" s="47" t="b">
        <v>0</v>
      </c>
      <c r="S4154" s="42" t="str">
        <f t="shared" si="28"/>
        <v/>
      </c>
      <c r="T4154" s="42"/>
    </row>
    <row r="4155" ht="22.5" customHeight="1">
      <c r="B4155" s="42">
        <f t="shared" si="7"/>
        <v>4149</v>
      </c>
      <c r="C4155" s="31" t="s">
        <v>4194</v>
      </c>
      <c r="D4155" s="34" t="str">
        <f t="array" ref="D4155">IFNA(_xlfn.XLOOKUP(C4155,Table_Tarikan_Warkah[Nomor Sertipikat],Table_Tarikan_Warkah[Nomor Tiket]),"")</f>
        <v>K/13/220825/1</v>
      </c>
      <c r="E4155" s="36" t="str">
        <f t="array" ref="E4155">IFNA(_xlfn.XLOOKUP(D4155,Table_Tarikan_Warkah[Nomor Tiket],Table_Tarikan_Warkah[Tanggal diserahkan kepada Validator]),"")</f>
        <v/>
      </c>
      <c r="F4155" s="36" t="str">
        <f t="array" ref="F4155">IFNA(_xlfn.XLOOKUP(D4155,Table_Tarikan_Warkah[Nomor Tiket],Table_Tarikan_Warkah[Nama Petugas Warkah]),"")</f>
        <v/>
      </c>
      <c r="G4155" s="39" t="str">
        <f t="array" ref="G4155">IFNA(_xlfn.XLOOKUP(D4155,Table_Tarikan_Warkah[Nomor Tiket],Table_Tarikan_Warkah[Jenis Permohonan]),"")</f>
        <v>BN Jual beli</v>
      </c>
      <c r="H4155" s="41" t="s">
        <v>920</v>
      </c>
      <c r="I4155" s="49" t="s">
        <v>23</v>
      </c>
      <c r="J4155" s="36">
        <f t="shared" si="20"/>
        <v>45951.65422</v>
      </c>
      <c r="K4155" s="49" t="s">
        <v>920</v>
      </c>
      <c r="L4155" s="49" t="s">
        <v>23</v>
      </c>
      <c r="M4155" s="36">
        <f t="shared" si="33"/>
        <v>45951.65424</v>
      </c>
      <c r="N4155" s="30" t="str">
        <f t="shared" si="34"/>
        <v>Selesai</v>
      </c>
      <c r="O4155" s="45">
        <f t="shared" si="23"/>
        <v>45951.65424</v>
      </c>
      <c r="P4155" s="47" t="b">
        <v>1</v>
      </c>
      <c r="Q4155" s="36">
        <f t="shared" si="35"/>
        <v>45951.65428</v>
      </c>
      <c r="R4155" s="47" t="b">
        <v>0</v>
      </c>
      <c r="S4155" s="42" t="str">
        <f t="shared" si="28"/>
        <v/>
      </c>
      <c r="T4155" s="42"/>
    </row>
    <row r="4156" ht="22.5" customHeight="1">
      <c r="B4156" s="42">
        <f t="shared" si="7"/>
        <v>4150</v>
      </c>
      <c r="C4156" s="31" t="s">
        <v>4195</v>
      </c>
      <c r="D4156" s="34" t="str">
        <f t="array" ref="D4156">IFNA(_xlfn.XLOOKUP(C4156,Table_Tarikan_Warkah[Nomor Sertipikat],Table_Tarikan_Warkah[Nomor Tiket]),"")</f>
        <v>K/6/280825/1</v>
      </c>
      <c r="E4156" s="36">
        <f t="array" ref="E4156">IFNA(_xlfn.XLOOKUP(D4156,Table_Tarikan_Warkah[Nomor Tiket],Table_Tarikan_Warkah[Tanggal diserahkan kepada Validator]),"")</f>
        <v>45910.59408</v>
      </c>
      <c r="F4156" s="36" t="str">
        <f t="array" ref="F4156">IFNA(_xlfn.XLOOKUP(D4156,Table_Tarikan_Warkah[Nomor Tiket],Table_Tarikan_Warkah[Nama Petugas Warkah]),"")</f>
        <v>Berry</v>
      </c>
      <c r="G4156" s="39" t="str">
        <f t="array" ref="G4156">IFNA(_xlfn.XLOOKUP(D4156,Table_Tarikan_Warkah[Nomor Tiket],Table_Tarikan_Warkah[Jenis Permohonan]),"")</f>
        <v>BN Putusan Pengadilan	</v>
      </c>
      <c r="H4156" s="41" t="s">
        <v>2315</v>
      </c>
      <c r="I4156" s="49" t="s">
        <v>23</v>
      </c>
      <c r="J4156" s="36">
        <f t="shared" si="20"/>
        <v>45954.3476</v>
      </c>
      <c r="K4156" s="69"/>
      <c r="L4156" s="49"/>
      <c r="M4156" s="36" t="str">
        <f t="shared" si="33"/>
        <v/>
      </c>
      <c r="N4156" s="30" t="str">
        <f t="shared" si="34"/>
        <v>BT atau SU Belum Valid</v>
      </c>
      <c r="O4156" s="39" t="str">
        <f t="shared" si="23"/>
        <v/>
      </c>
      <c r="P4156" s="47" t="b">
        <v>0</v>
      </c>
      <c r="Q4156" s="36" t="str">
        <f t="shared" si="35"/>
        <v/>
      </c>
      <c r="R4156" s="47" t="b">
        <v>0</v>
      </c>
      <c r="S4156" s="42" t="str">
        <f t="shared" si="28"/>
        <v/>
      </c>
      <c r="T4156" s="42"/>
    </row>
    <row r="4157" ht="22.5" customHeight="1">
      <c r="B4157" s="42">
        <f t="shared" si="7"/>
        <v>4151</v>
      </c>
      <c r="C4157" s="31" t="s">
        <v>4196</v>
      </c>
      <c r="D4157" s="34" t="str">
        <f t="array" ref="D4157">IFNA(_xlfn.XLOOKUP(C4157,Table_Tarikan_Warkah[Nomor Sertipikat],Table_Tarikan_Warkah[Nomor Tiket]),"")</f>
        <v/>
      </c>
      <c r="E4157" s="36" t="str">
        <f t="array" ref="E4157">IFNA(_xlfn.XLOOKUP(D4157,Table_Tarikan_Warkah[Nomor Tiket],Table_Tarikan_Warkah[Tanggal diserahkan kepada Validator]),"")</f>
        <v/>
      </c>
      <c r="F4157" s="36" t="str">
        <f t="array" ref="F4157">IFNA(_xlfn.XLOOKUP(D4157,Table_Tarikan_Warkah[Nomor Tiket],Table_Tarikan_Warkah[Nama Petugas Warkah]),"")</f>
        <v/>
      </c>
      <c r="G4157" s="39" t="str">
        <f t="array" ref="G4157">IFNA(_xlfn.XLOOKUP(D4157,Table_Tarikan_Warkah[Nomor Tiket],Table_Tarikan_Warkah[Jenis Permohonan]),"")</f>
        <v/>
      </c>
      <c r="H4157" s="41" t="s">
        <v>2315</v>
      </c>
      <c r="I4157" s="49" t="s">
        <v>23</v>
      </c>
      <c r="J4157" s="36">
        <f t="shared" si="20"/>
        <v>45954.34817</v>
      </c>
      <c r="K4157" s="69"/>
      <c r="L4157" s="49"/>
      <c r="M4157" s="36" t="str">
        <f t="shared" si="33"/>
        <v/>
      </c>
      <c r="N4157" s="30" t="str">
        <f t="shared" si="34"/>
        <v/>
      </c>
      <c r="O4157" s="39" t="str">
        <f t="shared" si="23"/>
        <v/>
      </c>
      <c r="P4157" s="47" t="b">
        <v>0</v>
      </c>
      <c r="Q4157" s="36" t="str">
        <f t="shared" si="35"/>
        <v/>
      </c>
      <c r="R4157" s="47" t="b">
        <v>0</v>
      </c>
      <c r="S4157" s="42" t="str">
        <f t="shared" si="28"/>
        <v/>
      </c>
      <c r="T4157" s="42"/>
    </row>
    <row r="4158" ht="22.5" customHeight="1">
      <c r="B4158" s="42">
        <f t="shared" si="7"/>
        <v>4152</v>
      </c>
      <c r="C4158" s="31" t="s">
        <v>4197</v>
      </c>
      <c r="D4158" s="34" t="str">
        <f t="array" ref="D4158">IFNA(_xlfn.XLOOKUP(C4158,Table_Tarikan_Warkah[Nomor Sertipikat],Table_Tarikan_Warkah[Nomor Tiket]),"")</f>
        <v>L/43/091025/1</v>
      </c>
      <c r="E4158" s="36">
        <f t="array" ref="E4158">IFNA(_xlfn.XLOOKUP(D4158,Table_Tarikan_Warkah[Nomor Tiket],Table_Tarikan_Warkah[Tanggal diserahkan kepada Validator]),"")</f>
        <v>45996.58963</v>
      </c>
      <c r="F4158" s="36" t="str">
        <f t="array" ref="F4158">IFNA(_xlfn.XLOOKUP(D4158,Table_Tarikan_Warkah[Nomor Tiket],Table_Tarikan_Warkah[Nama Petugas Warkah]),"")</f>
        <v>Berry</v>
      </c>
      <c r="G4158" s="39" t="str">
        <f t="array" ref="G4158">IFNA(_xlfn.XLOOKUP(D4158,Table_Tarikan_Warkah[Nomor Tiket],Table_Tarikan_Warkah[Jenis Permohonan]),"")</f>
        <v>ROYA</v>
      </c>
      <c r="H4158" s="41" t="s">
        <v>2315</v>
      </c>
      <c r="I4158" s="49" t="s">
        <v>23</v>
      </c>
      <c r="J4158" s="36">
        <f t="shared" si="20"/>
        <v>45954.34829</v>
      </c>
      <c r="K4158" s="49" t="s">
        <v>26</v>
      </c>
      <c r="L4158" s="49" t="s">
        <v>23</v>
      </c>
      <c r="M4158" s="36">
        <f t="shared" si="33"/>
        <v>45965.39008</v>
      </c>
      <c r="N4158" s="30" t="str">
        <f t="shared" si="34"/>
        <v>Selesai</v>
      </c>
      <c r="O4158" s="45">
        <f t="shared" si="23"/>
        <v>45965.39008</v>
      </c>
      <c r="P4158" s="47" t="b">
        <v>0</v>
      </c>
      <c r="Q4158" s="36" t="str">
        <f t="shared" si="35"/>
        <v/>
      </c>
      <c r="R4158" s="47" t="b">
        <v>0</v>
      </c>
      <c r="S4158" s="42" t="str">
        <f t="shared" si="28"/>
        <v/>
      </c>
      <c r="T4158" s="42"/>
    </row>
    <row r="4159" ht="22.5" customHeight="1">
      <c r="B4159" s="42">
        <f t="shared" si="7"/>
        <v>4153</v>
      </c>
      <c r="C4159" s="31" t="s">
        <v>4198</v>
      </c>
      <c r="D4159" s="34" t="str">
        <f t="array" ref="D4159">IFNA(_xlfn.XLOOKUP(C4159,Table_Tarikan_Warkah[Nomor Sertipikat],Table_Tarikan_Warkah[Nomor Tiket]),"")</f>
        <v>K/42/260825/1</v>
      </c>
      <c r="E4159" s="36" t="str">
        <f t="array" ref="E4159">IFNA(_xlfn.XLOOKUP(D4159,Table_Tarikan_Warkah[Nomor Tiket],Table_Tarikan_Warkah[Tanggal diserahkan kepada Validator]),"")</f>
        <v/>
      </c>
      <c r="F4159" s="36" t="str">
        <f t="array" ref="F4159">IFNA(_xlfn.XLOOKUP(D4159,Table_Tarikan_Warkah[Nomor Tiket],Table_Tarikan_Warkah[Nama Petugas Warkah]),"")</f>
        <v/>
      </c>
      <c r="G4159" s="39" t="str">
        <f t="array" ref="G4159">IFNA(_xlfn.XLOOKUP(D4159,Table_Tarikan_Warkah[Nomor Tiket],Table_Tarikan_Warkah[Jenis Permohonan]),"")</f>
        <v>BN JUAL BELI </v>
      </c>
      <c r="H4159" s="41" t="s">
        <v>2315</v>
      </c>
      <c r="I4159" s="49" t="s">
        <v>23</v>
      </c>
      <c r="J4159" s="36">
        <f t="shared" si="20"/>
        <v>45954.34845</v>
      </c>
      <c r="K4159" s="69"/>
      <c r="L4159" s="49"/>
      <c r="M4159" s="36" t="str">
        <f t="shared" si="33"/>
        <v/>
      </c>
      <c r="N4159" s="30" t="str">
        <f t="shared" si="34"/>
        <v>BT atau SU Belum Valid</v>
      </c>
      <c r="O4159" s="39" t="str">
        <f t="shared" si="23"/>
        <v/>
      </c>
      <c r="P4159" s="47" t="b">
        <v>0</v>
      </c>
      <c r="Q4159" s="36" t="str">
        <f t="shared" si="35"/>
        <v/>
      </c>
      <c r="R4159" s="47" t="b">
        <v>0</v>
      </c>
      <c r="S4159" s="42" t="str">
        <f t="shared" si="28"/>
        <v/>
      </c>
      <c r="T4159" s="42"/>
    </row>
    <row r="4160" ht="22.5" customHeight="1">
      <c r="B4160" s="42">
        <f t="shared" si="7"/>
        <v>4154</v>
      </c>
      <c r="C4160" s="31" t="s">
        <v>4199</v>
      </c>
      <c r="D4160" s="34" t="str">
        <f t="array" ref="D4160">IFNA(_xlfn.XLOOKUP(C4160,Table_Tarikan_Warkah[Nomor Sertipikat],Table_Tarikan_Warkah[Nomor Tiket]),"")</f>
        <v>K/27/091025/1</v>
      </c>
      <c r="E4160" s="36">
        <f t="array" ref="E4160">IFNA(_xlfn.XLOOKUP(D4160,Table_Tarikan_Warkah[Nomor Tiket],Table_Tarikan_Warkah[Tanggal diserahkan kepada Validator]),"")</f>
        <v>45993.45964</v>
      </c>
      <c r="F4160" s="36" t="str">
        <f t="array" ref="F4160">IFNA(_xlfn.XLOOKUP(D4160,Table_Tarikan_Warkah[Nomor Tiket],Table_Tarikan_Warkah[Nama Petugas Warkah]),"")</f>
        <v>David</v>
      </c>
      <c r="G4160" s="39" t="str">
        <f t="array" ref="G4160">IFNA(_xlfn.XLOOKUP(D4160,Table_Tarikan_Warkah[Nomor Tiket],Table_Tarikan_Warkah[Jenis Permohonan]),"")</f>
        <v>PERUBAHAN HAK</v>
      </c>
      <c r="H4160" s="41" t="s">
        <v>2315</v>
      </c>
      <c r="I4160" s="49" t="s">
        <v>23</v>
      </c>
      <c r="J4160" s="36">
        <f t="shared" si="20"/>
        <v>45954.34862</v>
      </c>
      <c r="K4160" s="49" t="s">
        <v>26</v>
      </c>
      <c r="L4160" s="49" t="s">
        <v>23</v>
      </c>
      <c r="M4160" s="36">
        <f t="shared" si="33"/>
        <v>45958.46289</v>
      </c>
      <c r="N4160" s="30" t="str">
        <f t="shared" si="34"/>
        <v>Selesai</v>
      </c>
      <c r="O4160" s="45">
        <f t="shared" si="23"/>
        <v>45958.46289</v>
      </c>
      <c r="P4160" s="47" t="b">
        <v>1</v>
      </c>
      <c r="Q4160" s="36">
        <f t="shared" si="35"/>
        <v>45958.46513</v>
      </c>
      <c r="R4160" s="47" t="b">
        <v>0</v>
      </c>
      <c r="S4160" s="42" t="str">
        <f t="shared" si="28"/>
        <v/>
      </c>
      <c r="T4160" s="42"/>
    </row>
    <row r="4161" ht="22.5" customHeight="1">
      <c r="B4161" s="42">
        <f t="shared" si="7"/>
        <v>4155</v>
      </c>
      <c r="C4161" s="31" t="s">
        <v>4200</v>
      </c>
      <c r="D4161" s="34" t="str">
        <f t="array" ref="D4161">IFNA(_xlfn.XLOOKUP(C4161,Table_Tarikan_Warkah[Nomor Sertipikat],Table_Tarikan_Warkah[Nomor Tiket]),"")</f>
        <v>K/28/091025/2</v>
      </c>
      <c r="E4161" s="36" t="str">
        <f t="array" ref="E4161">IFNA(_xlfn.XLOOKUP(D4161,Table_Tarikan_Warkah[Nomor Tiket],Table_Tarikan_Warkah[Tanggal diserahkan kepada Validator]),"")</f>
        <v/>
      </c>
      <c r="F4161" s="36" t="str">
        <f t="array" ref="F4161">IFNA(_xlfn.XLOOKUP(D4161,Table_Tarikan_Warkah[Nomor Tiket],Table_Tarikan_Warkah[Nama Petugas Warkah]),"")</f>
        <v/>
      </c>
      <c r="G4161" s="39" t="str">
        <f t="array" ref="G4161">IFNA(_xlfn.XLOOKUP(D4161,Table_Tarikan_Warkah[Nomor Tiket],Table_Tarikan_Warkah[Jenis Permohonan]),"")</f>
        <v>PERUBAHAN HAK</v>
      </c>
      <c r="H4161" s="41" t="s">
        <v>2315</v>
      </c>
      <c r="I4161" s="49" t="s">
        <v>23</v>
      </c>
      <c r="J4161" s="36">
        <f t="shared" si="20"/>
        <v>45954.34905</v>
      </c>
      <c r="K4161" s="49" t="s">
        <v>26</v>
      </c>
      <c r="L4161" s="49" t="s">
        <v>23</v>
      </c>
      <c r="M4161" s="36">
        <f t="shared" si="33"/>
        <v>45964.41167</v>
      </c>
      <c r="N4161" s="30" t="str">
        <f t="shared" si="34"/>
        <v>Selesai</v>
      </c>
      <c r="O4161" s="45">
        <f t="shared" si="23"/>
        <v>45964.41167</v>
      </c>
      <c r="P4161" s="47" t="b">
        <v>0</v>
      </c>
      <c r="Q4161" s="36" t="str">
        <f t="shared" si="35"/>
        <v/>
      </c>
      <c r="R4161" s="47" t="b">
        <v>0</v>
      </c>
      <c r="S4161" s="42" t="str">
        <f t="shared" si="28"/>
        <v/>
      </c>
      <c r="T4161" s="42"/>
    </row>
    <row r="4162" ht="22.5" customHeight="1">
      <c r="B4162" s="42">
        <f t="shared" si="7"/>
        <v>4156</v>
      </c>
      <c r="C4162" s="31" t="s">
        <v>4201</v>
      </c>
      <c r="D4162" s="34" t="str">
        <f t="array" ref="D4162">IFNA(_xlfn.XLOOKUP(C4162,Table_Tarikan_Warkah[Nomor Sertipikat],Table_Tarikan_Warkah[Nomor Tiket]),"")</f>
        <v>K/7/061025/1</v>
      </c>
      <c r="E4162" s="36" t="str">
        <f t="array" ref="E4162">IFNA(_xlfn.XLOOKUP(D4162,Table_Tarikan_Warkah[Nomor Tiket],Table_Tarikan_Warkah[Tanggal diserahkan kepada Validator]),"")</f>
        <v/>
      </c>
      <c r="F4162" s="36" t="str">
        <f t="array" ref="F4162">IFNA(_xlfn.XLOOKUP(D4162,Table_Tarikan_Warkah[Nomor Tiket],Table_Tarikan_Warkah[Nama Petugas Warkah]),"")</f>
        <v/>
      </c>
      <c r="G4162" s="39" t="str">
        <f t="array" ref="G4162">IFNA(_xlfn.XLOOKUP(D4162,Table_Tarikan_Warkah[Nomor Tiket],Table_Tarikan_Warkah[Jenis Permohonan]),"")</f>
        <v>BN WARIS</v>
      </c>
      <c r="H4162" s="41" t="s">
        <v>2315</v>
      </c>
      <c r="I4162" s="49" t="s">
        <v>23</v>
      </c>
      <c r="J4162" s="36">
        <f t="shared" si="20"/>
        <v>45954.34906</v>
      </c>
      <c r="K4162" s="49" t="s">
        <v>26</v>
      </c>
      <c r="L4162" s="49" t="s">
        <v>23</v>
      </c>
      <c r="M4162" s="36">
        <f t="shared" si="33"/>
        <v>45958.46484</v>
      </c>
      <c r="N4162" s="30" t="str">
        <f t="shared" si="34"/>
        <v>Selesai</v>
      </c>
      <c r="O4162" s="45">
        <f t="shared" si="23"/>
        <v>45958.46484</v>
      </c>
      <c r="P4162" s="47" t="b">
        <v>1</v>
      </c>
      <c r="Q4162" s="36">
        <f t="shared" si="35"/>
        <v>45958.46516</v>
      </c>
      <c r="R4162" s="47" t="b">
        <v>0</v>
      </c>
      <c r="S4162" s="42" t="str">
        <f t="shared" si="28"/>
        <v/>
      </c>
      <c r="T4162" s="42"/>
    </row>
    <row r="4163" ht="22.5" customHeight="1">
      <c r="B4163" s="42">
        <f t="shared" si="7"/>
        <v>4157</v>
      </c>
      <c r="C4163" s="31" t="s">
        <v>4202</v>
      </c>
      <c r="D4163" s="34" t="str">
        <f t="array" ref="D4163">IFNA(_xlfn.XLOOKUP(C4163,Table_Tarikan_Warkah[Nomor Sertipikat],Table_Tarikan_Warkah[Nomor Tiket]),"")</f>
        <v>K/29/031025/1</v>
      </c>
      <c r="E4163" s="36" t="str">
        <f t="array" ref="E4163">IFNA(_xlfn.XLOOKUP(D4163,Table_Tarikan_Warkah[Nomor Tiket],Table_Tarikan_Warkah[Tanggal diserahkan kepada Validator]),"")</f>
        <v/>
      </c>
      <c r="F4163" s="36" t="str">
        <f t="array" ref="F4163">IFNA(_xlfn.XLOOKUP(D4163,Table_Tarikan_Warkah[Nomor Tiket],Table_Tarikan_Warkah[Nama Petugas Warkah]),"")</f>
        <v/>
      </c>
      <c r="G4163" s="39" t="str">
        <f t="array" ref="G4163">IFNA(_xlfn.XLOOKUP(D4163,Table_Tarikan_Warkah[Nomor Tiket],Table_Tarikan_Warkah[Jenis Permohonan]),"")</f>
        <v>BN WARIS</v>
      </c>
      <c r="H4163" s="41" t="s">
        <v>2315</v>
      </c>
      <c r="I4163" s="49" t="s">
        <v>23</v>
      </c>
      <c r="J4163" s="36">
        <f t="shared" si="20"/>
        <v>45954.34923</v>
      </c>
      <c r="K4163" s="49" t="s">
        <v>26</v>
      </c>
      <c r="L4163" s="49" t="s">
        <v>23</v>
      </c>
      <c r="M4163" s="36">
        <f t="shared" si="33"/>
        <v>45958.46506</v>
      </c>
      <c r="N4163" s="30" t="str">
        <f t="shared" si="34"/>
        <v>Selesai</v>
      </c>
      <c r="O4163" s="45">
        <f t="shared" si="23"/>
        <v>45958.46506</v>
      </c>
      <c r="P4163" s="47" t="b">
        <v>1</v>
      </c>
      <c r="Q4163" s="36">
        <f t="shared" si="35"/>
        <v>45958.46516</v>
      </c>
      <c r="R4163" s="47" t="b">
        <v>0</v>
      </c>
      <c r="S4163" s="42" t="str">
        <f t="shared" si="28"/>
        <v/>
      </c>
      <c r="T4163" s="42"/>
    </row>
    <row r="4164" ht="22.5" customHeight="1">
      <c r="B4164" s="42">
        <f t="shared" si="7"/>
        <v>4158</v>
      </c>
      <c r="C4164" s="31" t="s">
        <v>4203</v>
      </c>
      <c r="D4164" s="34" t="str">
        <f t="array" ref="D4164">IFNA(_xlfn.XLOOKUP(C4164,Table_Tarikan_Warkah[Nomor Sertipikat],Table_Tarikan_Warkah[Nomor Tiket]),"")</f>
        <v>K/43/290925/1</v>
      </c>
      <c r="E4164" s="36">
        <f t="array" ref="E4164">IFNA(_xlfn.XLOOKUP(D4164,Table_Tarikan_Warkah[Nomor Tiket],Table_Tarikan_Warkah[Tanggal diserahkan kepada Validator]),"")</f>
        <v>45968.48975</v>
      </c>
      <c r="F4164" s="36" t="str">
        <f t="array" ref="F4164">IFNA(_xlfn.XLOOKUP(D4164,Table_Tarikan_Warkah[Nomor Tiket],Table_Tarikan_Warkah[Nama Petugas Warkah]),"")</f>
        <v>Berry</v>
      </c>
      <c r="G4164" s="39" t="str">
        <f t="array" ref="G4164">IFNA(_xlfn.XLOOKUP(D4164,Table_Tarikan_Warkah[Nomor Tiket],Table_Tarikan_Warkah[Jenis Permohonan]),"")</f>
        <v>BN WARIS</v>
      </c>
      <c r="H4164" s="41" t="s">
        <v>2315</v>
      </c>
      <c r="I4164" s="49" t="s">
        <v>23</v>
      </c>
      <c r="J4164" s="36">
        <f t="shared" si="20"/>
        <v>45954.34937</v>
      </c>
      <c r="K4164" s="49" t="s">
        <v>26</v>
      </c>
      <c r="L4164" s="49" t="s">
        <v>23</v>
      </c>
      <c r="M4164" s="36">
        <f t="shared" si="33"/>
        <v>45958.46441</v>
      </c>
      <c r="N4164" s="30" t="str">
        <f t="shared" si="34"/>
        <v>Selesai</v>
      </c>
      <c r="O4164" s="45">
        <f t="shared" si="23"/>
        <v>45958.46441</v>
      </c>
      <c r="P4164" s="47" t="b">
        <v>0</v>
      </c>
      <c r="Q4164" s="36" t="str">
        <f t="shared" si="35"/>
        <v/>
      </c>
      <c r="R4164" s="47" t="b">
        <v>0</v>
      </c>
      <c r="S4164" s="42" t="str">
        <f t="shared" si="28"/>
        <v/>
      </c>
      <c r="T4164" s="42"/>
    </row>
    <row r="4165" ht="22.5" customHeight="1">
      <c r="B4165" s="42">
        <f t="shared" si="7"/>
        <v>4159</v>
      </c>
      <c r="C4165" s="31" t="s">
        <v>4204</v>
      </c>
      <c r="D4165" s="34" t="str">
        <f t="array" ref="D4165">IFNA(_xlfn.XLOOKUP(C4165,Table_Tarikan_Warkah[Nomor Sertipikat],Table_Tarikan_Warkah[Nomor Tiket]),"")</f>
        <v>K/5/011025/2</v>
      </c>
      <c r="E4165" s="36">
        <f t="array" ref="E4165">IFNA(_xlfn.XLOOKUP(D4165,Table_Tarikan_Warkah[Nomor Tiket],Table_Tarikan_Warkah[Tanggal diserahkan kepada Validator]),"")</f>
        <v>45966.64661</v>
      </c>
      <c r="F4165" s="36" t="str">
        <f t="array" ref="F4165">IFNA(_xlfn.XLOOKUP(D4165,Table_Tarikan_Warkah[Nomor Tiket],Table_Tarikan_Warkah[Nama Petugas Warkah]),"")</f>
        <v>Berry</v>
      </c>
      <c r="G4165" s="39" t="str">
        <f t="array" ref="G4165">IFNA(_xlfn.XLOOKUP(D4165,Table_Tarikan_Warkah[Nomor Tiket],Table_Tarikan_Warkah[Jenis Permohonan]),"")</f>
        <v>BN WARIS</v>
      </c>
      <c r="H4165" s="41" t="s">
        <v>2315</v>
      </c>
      <c r="I4165" s="49" t="s">
        <v>23</v>
      </c>
      <c r="J4165" s="36">
        <f t="shared" si="20"/>
        <v>45954.34951</v>
      </c>
      <c r="K4165" s="49" t="s">
        <v>26</v>
      </c>
      <c r="L4165" s="49" t="s">
        <v>23</v>
      </c>
      <c r="M4165" s="36">
        <f t="shared" si="33"/>
        <v>45958.464</v>
      </c>
      <c r="N4165" s="30" t="str">
        <f t="shared" si="34"/>
        <v>Selesai</v>
      </c>
      <c r="O4165" s="45">
        <f t="shared" si="23"/>
        <v>45958.464</v>
      </c>
      <c r="P4165" s="47" t="b">
        <v>0</v>
      </c>
      <c r="Q4165" s="36" t="str">
        <f t="shared" si="35"/>
        <v/>
      </c>
      <c r="R4165" s="47" t="b">
        <v>0</v>
      </c>
      <c r="S4165" s="42" t="str">
        <f t="shared" si="28"/>
        <v/>
      </c>
      <c r="T4165" s="42"/>
    </row>
    <row r="4166" ht="22.5" customHeight="1">
      <c r="B4166" s="42">
        <f t="shared" si="7"/>
        <v>4160</v>
      </c>
      <c r="C4166" s="31" t="s">
        <v>4205</v>
      </c>
      <c r="D4166" s="34" t="str">
        <f t="array" ref="D4166">IFNA(_xlfn.XLOOKUP(C4166,Table_Tarikan_Warkah[Nomor Sertipikat],Table_Tarikan_Warkah[Nomor Tiket]),"")</f>
        <v>L/14/091025/1</v>
      </c>
      <c r="E4166" s="36" t="str">
        <f t="array" ref="E4166">IFNA(_xlfn.XLOOKUP(D4166,Table_Tarikan_Warkah[Nomor Tiket],Table_Tarikan_Warkah[Tanggal diserahkan kepada Validator]),"")</f>
        <v/>
      </c>
      <c r="F4166" s="36" t="str">
        <f t="array" ref="F4166">IFNA(_xlfn.XLOOKUP(D4166,Table_Tarikan_Warkah[Nomor Tiket],Table_Tarikan_Warkah[Nama Petugas Warkah]),"")</f>
        <v/>
      </c>
      <c r="G4166" s="39" t="str">
        <f t="array" ref="G4166">IFNA(_xlfn.XLOOKUP(D4166,Table_Tarikan_Warkah[Nomor Tiket],Table_Tarikan_Warkah[Jenis Permohonan]),"")</f>
        <v>PENINGKATAN HAK</v>
      </c>
      <c r="H4166" s="41" t="s">
        <v>2315</v>
      </c>
      <c r="I4166" s="49" t="s">
        <v>23</v>
      </c>
      <c r="J4166" s="36">
        <f t="shared" si="20"/>
        <v>45954.34966</v>
      </c>
      <c r="K4166" s="69"/>
      <c r="L4166" s="49"/>
      <c r="M4166" s="36" t="str">
        <f t="shared" si="33"/>
        <v/>
      </c>
      <c r="N4166" s="30" t="str">
        <f t="shared" si="34"/>
        <v>BT atau SU Belum Valid</v>
      </c>
      <c r="O4166" s="39" t="str">
        <f t="shared" si="23"/>
        <v/>
      </c>
      <c r="P4166" s="47" t="b">
        <v>0</v>
      </c>
      <c r="Q4166" s="36" t="str">
        <f t="shared" si="35"/>
        <v/>
      </c>
      <c r="R4166" s="47" t="b">
        <v>0</v>
      </c>
      <c r="S4166" s="42" t="str">
        <f t="shared" si="28"/>
        <v/>
      </c>
      <c r="T4166" s="42"/>
    </row>
    <row r="4167" ht="22.5" customHeight="1">
      <c r="B4167" s="42">
        <f t="shared" si="7"/>
        <v>4161</v>
      </c>
      <c r="C4167" s="31" t="s">
        <v>4206</v>
      </c>
      <c r="D4167" s="34" t="str">
        <f t="array" ref="D4167">IFNA(_xlfn.XLOOKUP(C4167,Table_Tarikan_Warkah[Nomor Sertipikat],Table_Tarikan_Warkah[Nomor Tiket]),"")</f>
        <v>L/39/091025/1</v>
      </c>
      <c r="E4167" s="36" t="str">
        <f t="array" ref="E4167">IFNA(_xlfn.XLOOKUP(D4167,Table_Tarikan_Warkah[Nomor Tiket],Table_Tarikan_Warkah[Tanggal diserahkan kepada Validator]),"")</f>
        <v/>
      </c>
      <c r="F4167" s="36" t="str">
        <f t="array" ref="F4167">IFNA(_xlfn.XLOOKUP(D4167,Table_Tarikan_Warkah[Nomor Tiket],Table_Tarikan_Warkah[Nama Petugas Warkah]),"")</f>
        <v/>
      </c>
      <c r="G4167" s="39" t="str">
        <f t="array" ref="G4167">IFNA(_xlfn.XLOOKUP(D4167,Table_Tarikan_Warkah[Nomor Tiket],Table_Tarikan_Warkah[Jenis Permohonan]),"")</f>
        <v>BN WARIS</v>
      </c>
      <c r="H4167" s="41" t="s">
        <v>2315</v>
      </c>
      <c r="I4167" s="49" t="s">
        <v>23</v>
      </c>
      <c r="J4167" s="36">
        <f t="shared" si="20"/>
        <v>45954.34982</v>
      </c>
      <c r="K4167" s="69"/>
      <c r="L4167" s="49"/>
      <c r="M4167" s="36" t="str">
        <f t="shared" si="33"/>
        <v/>
      </c>
      <c r="N4167" s="30" t="str">
        <f t="shared" si="34"/>
        <v>BT atau SU Belum Valid</v>
      </c>
      <c r="O4167" s="39" t="str">
        <f t="shared" si="23"/>
        <v/>
      </c>
      <c r="P4167" s="47" t="b">
        <v>0</v>
      </c>
      <c r="Q4167" s="36" t="str">
        <f t="shared" si="35"/>
        <v/>
      </c>
      <c r="R4167" s="47" t="b">
        <v>0</v>
      </c>
      <c r="S4167" s="42" t="str">
        <f t="shared" si="28"/>
        <v/>
      </c>
      <c r="T4167" s="42"/>
    </row>
    <row r="4168" ht="22.5" customHeight="1">
      <c r="B4168" s="42">
        <f t="shared" si="7"/>
        <v>4162</v>
      </c>
      <c r="C4168" s="31" t="s">
        <v>4207</v>
      </c>
      <c r="D4168" s="34" t="str">
        <f t="array" ref="D4168">IFNA(_xlfn.XLOOKUP(C4168,Table_Tarikan_Warkah[Nomor Sertipikat],Table_Tarikan_Warkah[Nomor Tiket]),"")</f>
        <v>L/12/091025/1</v>
      </c>
      <c r="E4168" s="36" t="str">
        <f t="array" ref="E4168">IFNA(_xlfn.XLOOKUP(D4168,Table_Tarikan_Warkah[Nomor Tiket],Table_Tarikan_Warkah[Tanggal diserahkan kepada Validator]),"")</f>
        <v/>
      </c>
      <c r="F4168" s="36" t="str">
        <f t="array" ref="F4168">IFNA(_xlfn.XLOOKUP(D4168,Table_Tarikan_Warkah[Nomor Tiket],Table_Tarikan_Warkah[Nama Petugas Warkah]),"")</f>
        <v/>
      </c>
      <c r="G4168" s="39" t="str">
        <f t="array" ref="G4168">IFNA(_xlfn.XLOOKUP(D4168,Table_Tarikan_Warkah[Nomor Tiket],Table_Tarikan_Warkah[Jenis Permohonan]),"")</f>
        <v>ROYA</v>
      </c>
      <c r="H4168" s="41" t="s">
        <v>2315</v>
      </c>
      <c r="I4168" s="49" t="s">
        <v>23</v>
      </c>
      <c r="J4168" s="36">
        <f t="shared" si="20"/>
        <v>45954.34997</v>
      </c>
      <c r="K4168" s="69"/>
      <c r="L4168" s="49"/>
      <c r="M4168" s="36" t="str">
        <f t="shared" si="33"/>
        <v/>
      </c>
      <c r="N4168" s="30" t="str">
        <f t="shared" si="34"/>
        <v>BT atau SU Belum Valid</v>
      </c>
      <c r="O4168" s="39" t="str">
        <f t="shared" si="23"/>
        <v/>
      </c>
      <c r="P4168" s="47" t="b">
        <v>0</v>
      </c>
      <c r="Q4168" s="36" t="str">
        <f t="shared" si="35"/>
        <v/>
      </c>
      <c r="R4168" s="47" t="b">
        <v>0</v>
      </c>
      <c r="S4168" s="42" t="str">
        <f t="shared" si="28"/>
        <v/>
      </c>
      <c r="T4168" s="42"/>
    </row>
    <row r="4169" ht="22.5" customHeight="1">
      <c r="B4169" s="42">
        <f t="shared" si="7"/>
        <v>4163</v>
      </c>
      <c r="C4169" s="31" t="s">
        <v>4208</v>
      </c>
      <c r="D4169" s="34" t="str">
        <f t="array" ref="D4169">IFNA(_xlfn.XLOOKUP(C4169,Table_Tarikan_Warkah[Nomor Sertipikat],Table_Tarikan_Warkah[Nomor Tiket]),"")</f>
        <v>L/6/091025/1</v>
      </c>
      <c r="E4169" s="36" t="str">
        <f t="array" ref="E4169">IFNA(_xlfn.XLOOKUP(D4169,Table_Tarikan_Warkah[Nomor Tiket],Table_Tarikan_Warkah[Tanggal diserahkan kepada Validator]),"")</f>
        <v/>
      </c>
      <c r="F4169" s="36" t="str">
        <f t="array" ref="F4169">IFNA(_xlfn.XLOOKUP(D4169,Table_Tarikan_Warkah[Nomor Tiket],Table_Tarikan_Warkah[Nama Petugas Warkah]),"")</f>
        <v/>
      </c>
      <c r="G4169" s="39" t="str">
        <f t="array" ref="G4169">IFNA(_xlfn.XLOOKUP(D4169,Table_Tarikan_Warkah[Nomor Tiket],Table_Tarikan_Warkah[Jenis Permohonan]),"")</f>
        <v>ROYA</v>
      </c>
      <c r="H4169" s="41" t="s">
        <v>2315</v>
      </c>
      <c r="I4169" s="49" t="s">
        <v>23</v>
      </c>
      <c r="J4169" s="36">
        <f t="shared" si="20"/>
        <v>45954.35016</v>
      </c>
      <c r="K4169" s="49" t="s">
        <v>26</v>
      </c>
      <c r="L4169" s="49" t="s">
        <v>23</v>
      </c>
      <c r="M4169" s="36">
        <f t="shared" si="33"/>
        <v>45961.63768</v>
      </c>
      <c r="N4169" s="30" t="str">
        <f t="shared" si="34"/>
        <v>Selesai</v>
      </c>
      <c r="O4169" s="45">
        <f t="shared" si="23"/>
        <v>45961.63768</v>
      </c>
      <c r="P4169" s="47" t="b">
        <v>0</v>
      </c>
      <c r="Q4169" s="36" t="str">
        <f t="shared" si="35"/>
        <v/>
      </c>
      <c r="R4169" s="47" t="b">
        <v>0</v>
      </c>
      <c r="S4169" s="42" t="str">
        <f t="shared" si="28"/>
        <v/>
      </c>
      <c r="T4169" s="42"/>
    </row>
    <row r="4170" ht="22.5" customHeight="1">
      <c r="B4170" s="42">
        <f t="shared" si="7"/>
        <v>4164</v>
      </c>
      <c r="C4170" s="31" t="s">
        <v>4209</v>
      </c>
      <c r="D4170" s="34" t="str">
        <f t="array" ref="D4170">IFNA(_xlfn.XLOOKUP(C4170,Table_Tarikan_Warkah[Nomor Sertipikat],Table_Tarikan_Warkah[Nomor Tiket]),"")</f>
        <v>L/4/091025/1</v>
      </c>
      <c r="E4170" s="36" t="str">
        <f t="array" ref="E4170">IFNA(_xlfn.XLOOKUP(D4170,Table_Tarikan_Warkah[Nomor Tiket],Table_Tarikan_Warkah[Tanggal diserahkan kepada Validator]),"")</f>
        <v/>
      </c>
      <c r="F4170" s="36" t="str">
        <f t="array" ref="F4170">IFNA(_xlfn.XLOOKUP(D4170,Table_Tarikan_Warkah[Nomor Tiket],Table_Tarikan_Warkah[Nama Petugas Warkah]),"")</f>
        <v/>
      </c>
      <c r="G4170" s="39" t="str">
        <f t="array" ref="G4170">IFNA(_xlfn.XLOOKUP(D4170,Table_Tarikan_Warkah[Nomor Tiket],Table_Tarikan_Warkah[Jenis Permohonan]),"")</f>
        <v>ROYA</v>
      </c>
      <c r="H4170" s="41" t="s">
        <v>2315</v>
      </c>
      <c r="I4170" s="49" t="s">
        <v>23</v>
      </c>
      <c r="J4170" s="36">
        <f t="shared" si="20"/>
        <v>45954.35034</v>
      </c>
      <c r="K4170" s="49" t="s">
        <v>26</v>
      </c>
      <c r="L4170" s="49" t="s">
        <v>23</v>
      </c>
      <c r="M4170" s="36">
        <f t="shared" si="33"/>
        <v>45961.63633</v>
      </c>
      <c r="N4170" s="30" t="str">
        <f t="shared" si="34"/>
        <v>Selesai</v>
      </c>
      <c r="O4170" s="45">
        <f t="shared" si="23"/>
        <v>45961.63633</v>
      </c>
      <c r="P4170" s="47" t="b">
        <v>0</v>
      </c>
      <c r="Q4170" s="36" t="str">
        <f t="shared" si="35"/>
        <v/>
      </c>
      <c r="R4170" s="47" t="b">
        <v>0</v>
      </c>
      <c r="S4170" s="42" t="str">
        <f t="shared" si="28"/>
        <v/>
      </c>
      <c r="T4170" s="42"/>
    </row>
    <row r="4171" ht="22.5" customHeight="1">
      <c r="B4171" s="42">
        <f t="shared" si="7"/>
        <v>4165</v>
      </c>
      <c r="C4171" s="31" t="s">
        <v>4210</v>
      </c>
      <c r="D4171" s="34" t="str">
        <f t="array" ref="D4171">IFNA(_xlfn.XLOOKUP(C4171,Table_Tarikan_Warkah[Nomor Sertipikat],Table_Tarikan_Warkah[Nomor Tiket]),"")</f>
        <v>L/22/100725/1</v>
      </c>
      <c r="E4171" s="36" t="str">
        <f t="array" ref="E4171">IFNA(_xlfn.XLOOKUP(D4171,Table_Tarikan_Warkah[Nomor Tiket],Table_Tarikan_Warkah[Tanggal diserahkan kepada Validator]),"")</f>
        <v/>
      </c>
      <c r="F4171" s="36" t="str">
        <f t="array" ref="F4171">IFNA(_xlfn.XLOOKUP(D4171,Table_Tarikan_Warkah[Nomor Tiket],Table_Tarikan_Warkah[Nama Petugas Warkah]),"")</f>
        <v/>
      </c>
      <c r="G4171" s="39" t="str">
        <f t="array" ref="G4171">IFNA(_xlfn.XLOOKUP(D4171,Table_Tarikan_Warkah[Nomor Tiket],Table_Tarikan_Warkah[Jenis Permohonan]),"")</f>
        <v>BN WARIS</v>
      </c>
      <c r="H4171" s="41" t="s">
        <v>2315</v>
      </c>
      <c r="I4171" s="49" t="s">
        <v>23</v>
      </c>
      <c r="J4171" s="36">
        <f t="shared" si="20"/>
        <v>45954.35051</v>
      </c>
      <c r="K4171" s="69"/>
      <c r="L4171" s="49"/>
      <c r="M4171" s="36" t="str">
        <f t="shared" si="33"/>
        <v/>
      </c>
      <c r="N4171" s="30" t="str">
        <f t="shared" si="34"/>
        <v>BT atau SU Belum Valid</v>
      </c>
      <c r="O4171" s="39" t="str">
        <f t="shared" si="23"/>
        <v/>
      </c>
      <c r="P4171" s="47" t="b">
        <v>0</v>
      </c>
      <c r="Q4171" s="36" t="str">
        <f t="shared" si="35"/>
        <v/>
      </c>
      <c r="R4171" s="47" t="b">
        <v>0</v>
      </c>
      <c r="S4171" s="42" t="str">
        <f t="shared" si="28"/>
        <v/>
      </c>
      <c r="T4171" s="42"/>
    </row>
    <row r="4172" ht="22.5" customHeight="1">
      <c r="B4172" s="42">
        <f t="shared" si="7"/>
        <v>4166</v>
      </c>
      <c r="C4172" s="31" t="s">
        <v>4211</v>
      </c>
      <c r="D4172" s="34" t="str">
        <f t="array" ref="D4172">IFNA(_xlfn.XLOOKUP(C4172,Table_Tarikan_Warkah[Nomor Sertipikat],Table_Tarikan_Warkah[Nomor Tiket]),"")</f>
        <v>L/51/210829/1</v>
      </c>
      <c r="E4172" s="36" t="str">
        <f t="array" ref="E4172">IFNA(_xlfn.XLOOKUP(D4172,Table_Tarikan_Warkah[Nomor Tiket],Table_Tarikan_Warkah[Tanggal diserahkan kepada Validator]),"")</f>
        <v/>
      </c>
      <c r="F4172" s="36" t="str">
        <f t="array" ref="F4172">IFNA(_xlfn.XLOOKUP(D4172,Table_Tarikan_Warkah[Nomor Tiket],Table_Tarikan_Warkah[Nama Petugas Warkah]),"")</f>
        <v/>
      </c>
      <c r="G4172" s="39" t="str">
        <f t="array" ref="G4172">IFNA(_xlfn.XLOOKUP(D4172,Table_Tarikan_Warkah[Nomor Tiket],Table_Tarikan_Warkah[Jenis Permohonan]),"")</f>
        <v>ROYA</v>
      </c>
      <c r="H4172" s="41" t="s">
        <v>2315</v>
      </c>
      <c r="I4172" s="49" t="s">
        <v>23</v>
      </c>
      <c r="J4172" s="36">
        <f t="shared" si="20"/>
        <v>45954.35069</v>
      </c>
      <c r="K4172" s="49" t="s">
        <v>26</v>
      </c>
      <c r="L4172" s="49" t="s">
        <v>23</v>
      </c>
      <c r="M4172" s="36">
        <f t="shared" si="33"/>
        <v>45961.63836</v>
      </c>
      <c r="N4172" s="30" t="str">
        <f t="shared" si="34"/>
        <v>Selesai</v>
      </c>
      <c r="O4172" s="45">
        <f t="shared" si="23"/>
        <v>45961.63836</v>
      </c>
      <c r="P4172" s="47" t="b">
        <v>0</v>
      </c>
      <c r="Q4172" s="36" t="str">
        <f t="shared" si="35"/>
        <v/>
      </c>
      <c r="R4172" s="47" t="b">
        <v>0</v>
      </c>
      <c r="S4172" s="42" t="str">
        <f t="shared" si="28"/>
        <v/>
      </c>
      <c r="T4172" s="42"/>
    </row>
    <row r="4173" ht="22.5" customHeight="1">
      <c r="B4173" s="42">
        <f t="shared" si="7"/>
        <v>4167</v>
      </c>
      <c r="C4173" s="31" t="s">
        <v>4212</v>
      </c>
      <c r="D4173" s="34" t="str">
        <f t="array" ref="D4173">IFNA(_xlfn.XLOOKUP(C4173,Table_Tarikan_Warkah[Nomor Sertipikat],Table_Tarikan_Warkah[Nomor Tiket]),"")</f>
        <v>K/12/020925/1</v>
      </c>
      <c r="E4173" s="36">
        <f t="array" ref="E4173">IFNA(_xlfn.XLOOKUP(D4173,Table_Tarikan_Warkah[Nomor Tiket],Table_Tarikan_Warkah[Tanggal diserahkan kepada Validator]),"")</f>
        <v>45993.58699</v>
      </c>
      <c r="F4173" s="36" t="str">
        <f t="array" ref="F4173">IFNA(_xlfn.XLOOKUP(D4173,Table_Tarikan_Warkah[Nomor Tiket],Table_Tarikan_Warkah[Nama Petugas Warkah]),"")</f>
        <v>David</v>
      </c>
      <c r="G4173" s="39" t="str">
        <f t="array" ref="G4173">IFNA(_xlfn.XLOOKUP(D4173,Table_Tarikan_Warkah[Nomor Tiket],Table_Tarikan_Warkah[Jenis Permohonan]),"")</f>
        <v>BN HIBAH EL</v>
      </c>
      <c r="H4173" s="41" t="s">
        <v>2315</v>
      </c>
      <c r="I4173" s="49" t="s">
        <v>23</v>
      </c>
      <c r="J4173" s="36">
        <f t="shared" si="20"/>
        <v>45954.35085</v>
      </c>
      <c r="K4173" s="69"/>
      <c r="L4173" s="49"/>
      <c r="M4173" s="36" t="str">
        <f t="shared" si="33"/>
        <v/>
      </c>
      <c r="N4173" s="30" t="str">
        <f t="shared" si="34"/>
        <v>BT atau SU Belum Valid</v>
      </c>
      <c r="O4173" s="39" t="str">
        <f t="shared" si="23"/>
        <v/>
      </c>
      <c r="P4173" s="47" t="b">
        <v>0</v>
      </c>
      <c r="Q4173" s="36" t="str">
        <f t="shared" si="35"/>
        <v/>
      </c>
      <c r="R4173" s="47" t="b">
        <v>0</v>
      </c>
      <c r="S4173" s="42" t="str">
        <f t="shared" si="28"/>
        <v/>
      </c>
      <c r="T4173" s="42"/>
    </row>
    <row r="4174" ht="22.5" customHeight="1">
      <c r="B4174" s="42">
        <f t="shared" si="7"/>
        <v>4168</v>
      </c>
      <c r="C4174" s="31" t="s">
        <v>4213</v>
      </c>
      <c r="D4174" s="34" t="str">
        <f t="array" ref="D4174">IFNA(_xlfn.XLOOKUP(C4174,Table_Tarikan_Warkah[Nomor Sertipikat],Table_Tarikan_Warkah[Nomor Tiket]),"")</f>
        <v>K/16/170925/3</v>
      </c>
      <c r="E4174" s="36" t="str">
        <f t="array" ref="E4174">IFNA(_xlfn.XLOOKUP(D4174,Table_Tarikan_Warkah[Nomor Tiket],Table_Tarikan_Warkah[Tanggal diserahkan kepada Validator]),"")</f>
        <v/>
      </c>
      <c r="F4174" s="36" t="str">
        <f t="array" ref="F4174">IFNA(_xlfn.XLOOKUP(D4174,Table_Tarikan_Warkah[Nomor Tiket],Table_Tarikan_Warkah[Nama Petugas Warkah]),"")</f>
        <v/>
      </c>
      <c r="G4174" s="39" t="str">
        <f t="array" ref="G4174">IFNA(_xlfn.XLOOKUP(D4174,Table_Tarikan_Warkah[Nomor Tiket],Table_Tarikan_Warkah[Jenis Permohonan]),"")</f>
        <v>BN JUAL BELI EL </v>
      </c>
      <c r="H4174" s="41" t="s">
        <v>2315</v>
      </c>
      <c r="I4174" s="49" t="s">
        <v>23</v>
      </c>
      <c r="J4174" s="36">
        <f t="shared" si="20"/>
        <v>45954.35102</v>
      </c>
      <c r="K4174" s="49" t="s">
        <v>26</v>
      </c>
      <c r="L4174" s="49" t="s">
        <v>23</v>
      </c>
      <c r="M4174" s="36">
        <f t="shared" si="33"/>
        <v>45961.63246</v>
      </c>
      <c r="N4174" s="30" t="str">
        <f t="shared" si="34"/>
        <v>Selesai</v>
      </c>
      <c r="O4174" s="45">
        <f t="shared" si="23"/>
        <v>45961.63246</v>
      </c>
      <c r="P4174" s="47" t="b">
        <v>0</v>
      </c>
      <c r="Q4174" s="36" t="str">
        <f t="shared" si="35"/>
        <v/>
      </c>
      <c r="R4174" s="47" t="b">
        <v>0</v>
      </c>
      <c r="S4174" s="42" t="str">
        <f t="shared" si="28"/>
        <v/>
      </c>
      <c r="T4174" s="42"/>
    </row>
    <row r="4175" ht="22.5" customHeight="1">
      <c r="B4175" s="42">
        <f t="shared" si="7"/>
        <v>4169</v>
      </c>
      <c r="C4175" s="31" t="s">
        <v>4214</v>
      </c>
      <c r="D4175" s="34" t="str">
        <f t="array" ref="D4175">IFNA(_xlfn.XLOOKUP(C4175,Table_Tarikan_Warkah[Nomor Sertipikat],Table_Tarikan_Warkah[Nomor Tiket]),"")</f>
        <v>K/16/150925/1</v>
      </c>
      <c r="E4175" s="36" t="str">
        <f t="array" ref="E4175">IFNA(_xlfn.XLOOKUP(D4175,Table_Tarikan_Warkah[Nomor Tiket],Table_Tarikan_Warkah[Tanggal diserahkan kepada Validator]),"")</f>
        <v/>
      </c>
      <c r="F4175" s="36" t="str">
        <f t="array" ref="F4175">IFNA(_xlfn.XLOOKUP(D4175,Table_Tarikan_Warkah[Nomor Tiket],Table_Tarikan_Warkah[Nama Petugas Warkah]),"")</f>
        <v/>
      </c>
      <c r="G4175" s="39" t="str">
        <f t="array" ref="G4175">IFNA(_xlfn.XLOOKUP(D4175,Table_Tarikan_Warkah[Nomor Tiket],Table_Tarikan_Warkah[Jenis Permohonan]),"")</f>
        <v>BN JUAL BELI EL</v>
      </c>
      <c r="H4175" s="41" t="s">
        <v>2315</v>
      </c>
      <c r="I4175" s="49" t="s">
        <v>23</v>
      </c>
      <c r="J4175" s="36">
        <f t="shared" si="20"/>
        <v>45954.35141</v>
      </c>
      <c r="K4175" s="49" t="s">
        <v>26</v>
      </c>
      <c r="L4175" s="49" t="s">
        <v>23</v>
      </c>
      <c r="M4175" s="36">
        <f t="shared" si="33"/>
        <v>45961.63355</v>
      </c>
      <c r="N4175" s="30" t="str">
        <f t="shared" si="34"/>
        <v>Selesai</v>
      </c>
      <c r="O4175" s="45">
        <f t="shared" si="23"/>
        <v>45961.63355</v>
      </c>
      <c r="P4175" s="47" t="b">
        <v>0</v>
      </c>
      <c r="Q4175" s="36" t="str">
        <f t="shared" si="35"/>
        <v/>
      </c>
      <c r="R4175" s="47" t="b">
        <v>0</v>
      </c>
      <c r="S4175" s="42" t="str">
        <f t="shared" si="28"/>
        <v/>
      </c>
      <c r="T4175" s="42"/>
    </row>
    <row r="4176" ht="22.5" customHeight="1">
      <c r="B4176" s="42">
        <f t="shared" si="7"/>
        <v>4170</v>
      </c>
      <c r="C4176" s="31" t="s">
        <v>4215</v>
      </c>
      <c r="D4176" s="34" t="str">
        <f t="array" ref="D4176">IFNA(_xlfn.XLOOKUP(C4176,Table_Tarikan_Warkah[Nomor Sertipikat],Table_Tarikan_Warkah[Nomor Tiket]),"")</f>
        <v>K/24/080925/3</v>
      </c>
      <c r="E4176" s="36" t="str">
        <f t="array" ref="E4176">IFNA(_xlfn.XLOOKUP(D4176,Table_Tarikan_Warkah[Nomor Tiket],Table_Tarikan_Warkah[Tanggal diserahkan kepada Validator]),"")</f>
        <v/>
      </c>
      <c r="F4176" s="36" t="str">
        <f t="array" ref="F4176">IFNA(_xlfn.XLOOKUP(D4176,Table_Tarikan_Warkah[Nomor Tiket],Table_Tarikan_Warkah[Nama Petugas Warkah]),"")</f>
        <v/>
      </c>
      <c r="G4176" s="39" t="str">
        <f t="array" ref="G4176">IFNA(_xlfn.XLOOKUP(D4176,Table_Tarikan_Warkah[Nomor Tiket],Table_Tarikan_Warkah[Jenis Permohonan]),"")</f>
        <v>BN JUAL BELI EL</v>
      </c>
      <c r="H4176" s="41" t="s">
        <v>2315</v>
      </c>
      <c r="I4176" s="49" t="s">
        <v>23</v>
      </c>
      <c r="J4176" s="36">
        <f t="shared" si="20"/>
        <v>45954.35158</v>
      </c>
      <c r="K4176" s="49" t="s">
        <v>26</v>
      </c>
      <c r="L4176" s="49" t="s">
        <v>23</v>
      </c>
      <c r="M4176" s="36">
        <f t="shared" si="33"/>
        <v>45961.63173</v>
      </c>
      <c r="N4176" s="30" t="str">
        <f t="shared" si="34"/>
        <v>Selesai</v>
      </c>
      <c r="O4176" s="45">
        <f t="shared" si="23"/>
        <v>45961.63173</v>
      </c>
      <c r="P4176" s="47" t="b">
        <v>0</v>
      </c>
      <c r="Q4176" s="36" t="str">
        <f t="shared" si="35"/>
        <v/>
      </c>
      <c r="R4176" s="47" t="b">
        <v>0</v>
      </c>
      <c r="S4176" s="42" t="str">
        <f t="shared" si="28"/>
        <v/>
      </c>
      <c r="T4176" s="42"/>
    </row>
    <row r="4177" ht="22.5" customHeight="1">
      <c r="B4177" s="42">
        <f t="shared" si="7"/>
        <v>4171</v>
      </c>
      <c r="C4177" s="31" t="s">
        <v>4216</v>
      </c>
      <c r="D4177" s="34" t="str">
        <f t="array" ref="D4177">IFNA(_xlfn.XLOOKUP(C4177,Table_Tarikan_Warkah[Nomor Sertipikat],Table_Tarikan_Warkah[Nomor Tiket]),"")</f>
        <v>K/8/081025/4</v>
      </c>
      <c r="E4177" s="36" t="str">
        <f t="array" ref="E4177">IFNA(_xlfn.XLOOKUP(D4177,Table_Tarikan_Warkah[Nomor Tiket],Table_Tarikan_Warkah[Tanggal diserahkan kepada Validator]),"")</f>
        <v/>
      </c>
      <c r="F4177" s="36" t="str">
        <f t="array" ref="F4177">IFNA(_xlfn.XLOOKUP(D4177,Table_Tarikan_Warkah[Nomor Tiket],Table_Tarikan_Warkah[Nama Petugas Warkah]),"")</f>
        <v/>
      </c>
      <c r="G4177" s="39" t="str">
        <f t="array" ref="G4177">IFNA(_xlfn.XLOOKUP(D4177,Table_Tarikan_Warkah[Nomor Tiket],Table_Tarikan_Warkah[Jenis Permohonan]),"")</f>
        <v>BN JUAL BELI</v>
      </c>
      <c r="H4177" s="41" t="s">
        <v>2315</v>
      </c>
      <c r="I4177" s="49" t="s">
        <v>23</v>
      </c>
      <c r="J4177" s="36">
        <f t="shared" si="20"/>
        <v>45954.35174</v>
      </c>
      <c r="K4177" s="49" t="s">
        <v>26</v>
      </c>
      <c r="L4177" s="49" t="s">
        <v>23</v>
      </c>
      <c r="M4177" s="36">
        <f t="shared" si="33"/>
        <v>45961.63059</v>
      </c>
      <c r="N4177" s="30" t="str">
        <f t="shared" si="34"/>
        <v>Selesai</v>
      </c>
      <c r="O4177" s="45">
        <f t="shared" si="23"/>
        <v>45961.63059</v>
      </c>
      <c r="P4177" s="47" t="b">
        <v>0</v>
      </c>
      <c r="Q4177" s="36" t="str">
        <f t="shared" si="35"/>
        <v/>
      </c>
      <c r="R4177" s="47" t="b">
        <v>0</v>
      </c>
      <c r="S4177" s="42" t="str">
        <f t="shared" si="28"/>
        <v/>
      </c>
      <c r="T4177" s="42"/>
    </row>
    <row r="4178" ht="22.5" customHeight="1">
      <c r="B4178" s="42">
        <f t="shared" si="7"/>
        <v>4172</v>
      </c>
      <c r="C4178" s="31" t="s">
        <v>4217</v>
      </c>
      <c r="D4178" s="34" t="str">
        <f t="array" ref="D4178">IFNA(_xlfn.XLOOKUP(C4178,Table_Tarikan_Warkah[Nomor Sertipikat],Table_Tarikan_Warkah[Nomor Tiket]),"")</f>
        <v>K/27/170925/4</v>
      </c>
      <c r="E4178" s="36">
        <f t="array" ref="E4178">IFNA(_xlfn.XLOOKUP(D4178,Table_Tarikan_Warkah[Nomor Tiket],Table_Tarikan_Warkah[Tanggal diserahkan kepada Validator]),"")</f>
        <v>45950.60522</v>
      </c>
      <c r="F4178" s="36" t="str">
        <f t="array" ref="F4178">IFNA(_xlfn.XLOOKUP(D4178,Table_Tarikan_Warkah[Nomor Tiket],Table_Tarikan_Warkah[Nama Petugas Warkah]),"")</f>
        <v>David</v>
      </c>
      <c r="G4178" s="39" t="str">
        <f t="array" ref="G4178">IFNA(_xlfn.XLOOKUP(D4178,Table_Tarikan_Warkah[Nomor Tiket],Table_Tarikan_Warkah[Jenis Permohonan]),"")</f>
        <v>BN JUAL BELI EL</v>
      </c>
      <c r="H4178" s="41" t="s">
        <v>2315</v>
      </c>
      <c r="I4178" s="49" t="s">
        <v>23</v>
      </c>
      <c r="J4178" s="36">
        <f t="shared" si="20"/>
        <v>45954.35191</v>
      </c>
      <c r="K4178" s="49" t="s">
        <v>26</v>
      </c>
      <c r="L4178" s="49" t="s">
        <v>23</v>
      </c>
      <c r="M4178" s="36">
        <f t="shared" si="33"/>
        <v>45961.62955</v>
      </c>
      <c r="N4178" s="30" t="str">
        <f t="shared" si="34"/>
        <v>Selesai</v>
      </c>
      <c r="O4178" s="45">
        <f t="shared" si="23"/>
        <v>45961.62955</v>
      </c>
      <c r="P4178" s="47" t="b">
        <v>0</v>
      </c>
      <c r="Q4178" s="36" t="str">
        <f t="shared" si="35"/>
        <v/>
      </c>
      <c r="R4178" s="47" t="b">
        <v>0</v>
      </c>
      <c r="S4178" s="42" t="str">
        <f t="shared" si="28"/>
        <v/>
      </c>
      <c r="T4178" s="42"/>
    </row>
    <row r="4179" ht="22.5" customHeight="1">
      <c r="B4179" s="42">
        <f t="shared" si="7"/>
        <v>4173</v>
      </c>
      <c r="C4179" s="31" t="s">
        <v>4218</v>
      </c>
      <c r="D4179" s="34" t="str">
        <f t="array" ref="D4179">IFNA(_xlfn.XLOOKUP(C4179,Table_Tarikan_Warkah[Nomor Sertipikat],Table_Tarikan_Warkah[Nomor Tiket]),"")</f>
        <v>K/21/250925/1</v>
      </c>
      <c r="E4179" s="36" t="str">
        <f t="array" ref="E4179">IFNA(_xlfn.XLOOKUP(D4179,Table_Tarikan_Warkah[Nomor Tiket],Table_Tarikan_Warkah[Tanggal diserahkan kepada Validator]),"")</f>
        <v/>
      </c>
      <c r="F4179" s="36" t="str">
        <f t="array" ref="F4179">IFNA(_xlfn.XLOOKUP(D4179,Table_Tarikan_Warkah[Nomor Tiket],Table_Tarikan_Warkah[Nama Petugas Warkah]),"")</f>
        <v/>
      </c>
      <c r="G4179" s="39" t="str">
        <f t="array" ref="G4179">IFNA(_xlfn.XLOOKUP(D4179,Table_Tarikan_Warkah[Nomor Tiket],Table_Tarikan_Warkah[Jenis Permohonan]),"")</f>
        <v>Roya Lelang	</v>
      </c>
      <c r="H4179" s="41" t="s">
        <v>2315</v>
      </c>
      <c r="I4179" s="49" t="s">
        <v>23</v>
      </c>
      <c r="J4179" s="36">
        <f t="shared" si="20"/>
        <v>45954.35212</v>
      </c>
      <c r="K4179" s="69"/>
      <c r="L4179" s="49"/>
      <c r="M4179" s="36" t="str">
        <f t="shared" si="33"/>
        <v/>
      </c>
      <c r="N4179" s="30" t="str">
        <f t="shared" si="34"/>
        <v>BT atau SU Belum Valid</v>
      </c>
      <c r="O4179" s="39" t="str">
        <f t="shared" si="23"/>
        <v/>
      </c>
      <c r="P4179" s="47" t="b">
        <v>0</v>
      </c>
      <c r="Q4179" s="36" t="str">
        <f t="shared" si="35"/>
        <v/>
      </c>
      <c r="R4179" s="47" t="b">
        <v>0</v>
      </c>
      <c r="S4179" s="42" t="str">
        <f t="shared" si="28"/>
        <v/>
      </c>
      <c r="T4179" s="42"/>
    </row>
    <row r="4180" ht="22.5" customHeight="1">
      <c r="B4180" s="42">
        <f t="shared" si="7"/>
        <v>4174</v>
      </c>
      <c r="C4180" s="31" t="s">
        <v>4219</v>
      </c>
      <c r="D4180" s="34" t="str">
        <f t="array" ref="D4180">IFNA(_xlfn.XLOOKUP(C4180,Table_Tarikan_Warkah[Nomor Sertipikat],Table_Tarikan_Warkah[Nomor Tiket]),"")</f>
        <v>K/29/140825/1</v>
      </c>
      <c r="E4180" s="36" t="str">
        <f t="array" ref="E4180">IFNA(_xlfn.XLOOKUP(D4180,Table_Tarikan_Warkah[Nomor Tiket],Table_Tarikan_Warkah[Tanggal diserahkan kepada Validator]),"")</f>
        <v/>
      </c>
      <c r="F4180" s="36" t="str">
        <f t="array" ref="F4180">IFNA(_xlfn.XLOOKUP(D4180,Table_Tarikan_Warkah[Nomor Tiket],Table_Tarikan_Warkah[Nama Petugas Warkah]),"")</f>
        <v/>
      </c>
      <c r="G4180" s="39" t="str">
        <f t="array" ref="G4180">IFNA(_xlfn.XLOOKUP(D4180,Table_Tarikan_Warkah[Nomor Tiket],Table_Tarikan_Warkah[Jenis Permohonan]),"")</f>
        <v>BN WARIS</v>
      </c>
      <c r="H4180" s="41" t="s">
        <v>2315</v>
      </c>
      <c r="I4180" s="49" t="s">
        <v>23</v>
      </c>
      <c r="J4180" s="36">
        <f t="shared" si="20"/>
        <v>45954.35236</v>
      </c>
      <c r="K4180" s="49" t="s">
        <v>26</v>
      </c>
      <c r="L4180" s="49" t="s">
        <v>23</v>
      </c>
      <c r="M4180" s="36">
        <f t="shared" si="33"/>
        <v>45961.62227</v>
      </c>
      <c r="N4180" s="30" t="str">
        <f t="shared" si="34"/>
        <v>Selesai</v>
      </c>
      <c r="O4180" s="45">
        <f t="shared" si="23"/>
        <v>45961.62227</v>
      </c>
      <c r="P4180" s="47" t="b">
        <v>0</v>
      </c>
      <c r="Q4180" s="36" t="str">
        <f t="shared" si="35"/>
        <v/>
      </c>
      <c r="R4180" s="47" t="b">
        <v>0</v>
      </c>
      <c r="S4180" s="42" t="str">
        <f t="shared" si="28"/>
        <v/>
      </c>
      <c r="T4180" s="42"/>
    </row>
    <row r="4181" ht="22.5" customHeight="1">
      <c r="B4181" s="42">
        <f t="shared" si="7"/>
        <v>4175</v>
      </c>
      <c r="C4181" s="31" t="s">
        <v>4220</v>
      </c>
      <c r="D4181" s="34" t="str">
        <f t="array" ref="D4181">IFNA(_xlfn.XLOOKUP(C4181,Table_Tarikan_Warkah[Nomor Sertipikat],Table_Tarikan_Warkah[Nomor Tiket]),"")</f>
        <v>K/9/110925/1</v>
      </c>
      <c r="E4181" s="36" t="str">
        <f t="array" ref="E4181">IFNA(_xlfn.XLOOKUP(D4181,Table_Tarikan_Warkah[Nomor Tiket],Table_Tarikan_Warkah[Tanggal diserahkan kepada Validator]),"")</f>
        <v/>
      </c>
      <c r="F4181" s="36" t="str">
        <f t="array" ref="F4181">IFNA(_xlfn.XLOOKUP(D4181,Table_Tarikan_Warkah[Nomor Tiket],Table_Tarikan_Warkah[Nama Petugas Warkah]),"")</f>
        <v/>
      </c>
      <c r="G4181" s="39" t="str">
        <f t="array" ref="G4181">IFNA(_xlfn.XLOOKUP(D4181,Table_Tarikan_Warkah[Nomor Tiket],Table_Tarikan_Warkah[Jenis Permohonan]),"")</f>
        <v>BN JUAL BELI</v>
      </c>
      <c r="H4181" s="41" t="s">
        <v>2315</v>
      </c>
      <c r="I4181" s="49" t="s">
        <v>23</v>
      </c>
      <c r="J4181" s="36">
        <f t="shared" si="20"/>
        <v>45954.35256</v>
      </c>
      <c r="K4181" s="49" t="s">
        <v>26</v>
      </c>
      <c r="L4181" s="49" t="s">
        <v>23</v>
      </c>
      <c r="M4181" s="36">
        <f t="shared" si="33"/>
        <v>45961.62688</v>
      </c>
      <c r="N4181" s="30" t="str">
        <f t="shared" si="34"/>
        <v>Selesai</v>
      </c>
      <c r="O4181" s="45">
        <f t="shared" si="23"/>
        <v>45961.62688</v>
      </c>
      <c r="P4181" s="47" t="b">
        <v>0</v>
      </c>
      <c r="Q4181" s="36" t="str">
        <f t="shared" si="35"/>
        <v/>
      </c>
      <c r="R4181" s="47" t="b">
        <v>0</v>
      </c>
      <c r="S4181" s="42" t="str">
        <f t="shared" si="28"/>
        <v/>
      </c>
      <c r="T4181" s="42"/>
    </row>
    <row r="4182" ht="22.5" customHeight="1">
      <c r="B4182" s="42">
        <f t="shared" si="7"/>
        <v>4176</v>
      </c>
      <c r="C4182" s="31" t="s">
        <v>4221</v>
      </c>
      <c r="D4182" s="34" t="str">
        <f t="array" ref="D4182">IFNA(_xlfn.XLOOKUP(C4182,Table_Tarikan_Warkah[Nomor Sertipikat],Table_Tarikan_Warkah[Nomor Tiket]),"")</f>
        <v>K/30/120925/1</v>
      </c>
      <c r="E4182" s="36" t="str">
        <f t="array" ref="E4182">IFNA(_xlfn.XLOOKUP(D4182,Table_Tarikan_Warkah[Nomor Tiket],Table_Tarikan_Warkah[Tanggal diserahkan kepada Validator]),"")</f>
        <v/>
      </c>
      <c r="F4182" s="36" t="str">
        <f t="array" ref="F4182">IFNA(_xlfn.XLOOKUP(D4182,Table_Tarikan_Warkah[Nomor Tiket],Table_Tarikan_Warkah[Nama Petugas Warkah]),"")</f>
        <v/>
      </c>
      <c r="G4182" s="39" t="str">
        <f t="array" ref="G4182">IFNA(_xlfn.XLOOKUP(D4182,Table_Tarikan_Warkah[Nomor Tiket],Table_Tarikan_Warkah[Jenis Permohonan]),"")</f>
        <v>ROYA</v>
      </c>
      <c r="H4182" s="41" t="s">
        <v>2315</v>
      </c>
      <c r="I4182" s="49" t="s">
        <v>23</v>
      </c>
      <c r="J4182" s="36">
        <f t="shared" si="20"/>
        <v>45954.3531</v>
      </c>
      <c r="K4182" s="49" t="s">
        <v>26</v>
      </c>
      <c r="L4182" s="49" t="s">
        <v>23</v>
      </c>
      <c r="M4182" s="36">
        <f t="shared" si="33"/>
        <v>45961.6262</v>
      </c>
      <c r="N4182" s="30" t="str">
        <f t="shared" si="34"/>
        <v>Selesai</v>
      </c>
      <c r="O4182" s="45">
        <f t="shared" si="23"/>
        <v>45961.6262</v>
      </c>
      <c r="P4182" s="47" t="b">
        <v>0</v>
      </c>
      <c r="Q4182" s="36" t="str">
        <f t="shared" si="35"/>
        <v/>
      </c>
      <c r="R4182" s="47" t="b">
        <v>0</v>
      </c>
      <c r="S4182" s="42" t="str">
        <f t="shared" si="28"/>
        <v/>
      </c>
      <c r="T4182" s="42"/>
    </row>
    <row r="4183" ht="22.5" customHeight="1">
      <c r="B4183" s="42">
        <f t="shared" si="7"/>
        <v>4177</v>
      </c>
      <c r="C4183" s="31" t="s">
        <v>4222</v>
      </c>
      <c r="D4183" s="34" t="str">
        <f t="array" ref="D4183">IFNA(_xlfn.XLOOKUP(C4183,Table_Tarikan_Warkah[Nomor Sertipikat],Table_Tarikan_Warkah[Nomor Tiket]),"")</f>
        <v>K/36/290925/3</v>
      </c>
      <c r="E4183" s="36">
        <f t="array" ref="E4183">IFNA(_xlfn.XLOOKUP(D4183,Table_Tarikan_Warkah[Nomor Tiket],Table_Tarikan_Warkah[Tanggal diserahkan kepada Validator]),"")</f>
        <v>45957.49164</v>
      </c>
      <c r="F4183" s="36" t="str">
        <f t="array" ref="F4183">IFNA(_xlfn.XLOOKUP(D4183,Table_Tarikan_Warkah[Nomor Tiket],Table_Tarikan_Warkah[Nama Petugas Warkah]),"")</f>
        <v>David</v>
      </c>
      <c r="G4183" s="39" t="str">
        <f t="array" ref="G4183">IFNA(_xlfn.XLOOKUP(D4183,Table_Tarikan_Warkah[Nomor Tiket],Table_Tarikan_Warkah[Jenis Permohonan]),"")</f>
        <v>BN JUAL BELI</v>
      </c>
      <c r="H4183" s="41" t="s">
        <v>2315</v>
      </c>
      <c r="I4183" s="49" t="s">
        <v>23</v>
      </c>
      <c r="J4183" s="36">
        <f t="shared" si="20"/>
        <v>45954.3533</v>
      </c>
      <c r="K4183" s="49" t="s">
        <v>26</v>
      </c>
      <c r="L4183" s="49" t="s">
        <v>23</v>
      </c>
      <c r="M4183" s="36">
        <f t="shared" si="33"/>
        <v>45961.62558</v>
      </c>
      <c r="N4183" s="30" t="str">
        <f t="shared" si="34"/>
        <v>Selesai</v>
      </c>
      <c r="O4183" s="45">
        <f t="shared" si="23"/>
        <v>45961.62558</v>
      </c>
      <c r="P4183" s="47" t="b">
        <v>0</v>
      </c>
      <c r="Q4183" s="36" t="str">
        <f t="shared" si="35"/>
        <v/>
      </c>
      <c r="R4183" s="47" t="b">
        <v>0</v>
      </c>
      <c r="S4183" s="42" t="str">
        <f t="shared" si="28"/>
        <v/>
      </c>
      <c r="T4183" s="42"/>
    </row>
    <row r="4184" ht="22.5" customHeight="1">
      <c r="B4184" s="42">
        <f t="shared" si="7"/>
        <v>4178</v>
      </c>
      <c r="C4184" s="31" t="s">
        <v>4223</v>
      </c>
      <c r="D4184" s="34" t="str">
        <f t="array" ref="D4184">IFNA(_xlfn.XLOOKUP(C4184,Table_Tarikan_Warkah[Nomor Sertipikat],Table_Tarikan_Warkah[Nomor Tiket]),"")</f>
        <v>K/15/021025/1</v>
      </c>
      <c r="E4184" s="36">
        <f t="array" ref="E4184">IFNA(_xlfn.XLOOKUP(D4184,Table_Tarikan_Warkah[Nomor Tiket],Table_Tarikan_Warkah[Tanggal diserahkan kepada Validator]),"")</f>
        <v>45965.49379</v>
      </c>
      <c r="F4184" s="36" t="str">
        <f t="array" ref="F4184">IFNA(_xlfn.XLOOKUP(D4184,Table_Tarikan_Warkah[Nomor Tiket],Table_Tarikan_Warkah[Nama Petugas Warkah]),"")</f>
        <v>Berry</v>
      </c>
      <c r="G4184" s="39" t="str">
        <f t="array" ref="G4184">IFNA(_xlfn.XLOOKUP(D4184,Table_Tarikan_Warkah[Nomor Tiket],Table_Tarikan_Warkah[Jenis Permohonan]),"")</f>
        <v>BN Waris	</v>
      </c>
      <c r="H4184" s="41" t="s">
        <v>2315</v>
      </c>
      <c r="I4184" s="49" t="s">
        <v>23</v>
      </c>
      <c r="J4184" s="36">
        <f t="shared" si="20"/>
        <v>45954.35942</v>
      </c>
      <c r="K4184" s="69"/>
      <c r="L4184" s="49"/>
      <c r="M4184" s="36" t="str">
        <f t="shared" si="33"/>
        <v/>
      </c>
      <c r="N4184" s="30" t="str">
        <f t="shared" si="34"/>
        <v>BT atau SU Belum Valid</v>
      </c>
      <c r="O4184" s="39" t="str">
        <f t="shared" si="23"/>
        <v/>
      </c>
      <c r="P4184" s="47" t="b">
        <v>0</v>
      </c>
      <c r="Q4184" s="36" t="str">
        <f t="shared" si="35"/>
        <v/>
      </c>
      <c r="R4184" s="47" t="b">
        <v>0</v>
      </c>
      <c r="S4184" s="42" t="str">
        <f t="shared" si="28"/>
        <v/>
      </c>
      <c r="T4184" s="42"/>
    </row>
    <row r="4185" ht="22.5" customHeight="1">
      <c r="B4185" s="42">
        <f t="shared" si="7"/>
        <v>4179</v>
      </c>
      <c r="C4185" s="31" t="s">
        <v>4224</v>
      </c>
      <c r="D4185" s="34" t="str">
        <f t="array" ref="D4185">IFNA(_xlfn.XLOOKUP(C4185,Table_Tarikan_Warkah[Nomor Sertipikat],Table_Tarikan_Warkah[Nomor Tiket]),"")</f>
        <v>K/19/081025/1</v>
      </c>
      <c r="E4185" s="36">
        <f t="array" ref="E4185">IFNA(_xlfn.XLOOKUP(D4185,Table_Tarikan_Warkah[Nomor Tiket],Table_Tarikan_Warkah[Tanggal diserahkan kepada Validator]),"")</f>
        <v>45951.46324</v>
      </c>
      <c r="F4185" s="36" t="str">
        <f t="array" ref="F4185">IFNA(_xlfn.XLOOKUP(D4185,Table_Tarikan_Warkah[Nomor Tiket],Table_Tarikan_Warkah[Nama Petugas Warkah]),"")</f>
        <v>Berry</v>
      </c>
      <c r="G4185" s="39" t="str">
        <f t="array" ref="G4185">IFNA(_xlfn.XLOOKUP(D4185,Table_Tarikan_Warkah[Nomor Tiket],Table_Tarikan_Warkah[Jenis Permohonan]),"")</f>
        <v>BN JUAL BELI EL</v>
      </c>
      <c r="H4185" s="41" t="s">
        <v>2315</v>
      </c>
      <c r="I4185" s="49" t="s">
        <v>23</v>
      </c>
      <c r="J4185" s="36">
        <f t="shared" si="20"/>
        <v>45954.36245</v>
      </c>
      <c r="K4185" s="49" t="s">
        <v>26</v>
      </c>
      <c r="L4185" s="49" t="s">
        <v>23</v>
      </c>
      <c r="M4185" s="36">
        <f t="shared" si="33"/>
        <v>45961.63119</v>
      </c>
      <c r="N4185" s="30" t="str">
        <f t="shared" si="34"/>
        <v>Selesai</v>
      </c>
      <c r="O4185" s="45">
        <f t="shared" si="23"/>
        <v>45961.63119</v>
      </c>
      <c r="P4185" s="47" t="b">
        <v>0</v>
      </c>
      <c r="Q4185" s="36" t="str">
        <f t="shared" si="35"/>
        <v/>
      </c>
      <c r="R4185" s="47" t="b">
        <v>0</v>
      </c>
      <c r="S4185" s="42" t="str">
        <f t="shared" si="28"/>
        <v/>
      </c>
      <c r="T4185" s="42"/>
    </row>
    <row r="4186" ht="22.5" customHeight="1">
      <c r="B4186" s="42">
        <f t="shared" si="7"/>
        <v>4180</v>
      </c>
      <c r="C4186" s="31" t="s">
        <v>4225</v>
      </c>
      <c r="D4186" s="34" t="str">
        <f t="array" ref="D4186">IFNA(_xlfn.XLOOKUP(C4186,Table_Tarikan_Warkah[Nomor Sertipikat],Table_Tarikan_Warkah[Nomor Tiket]),"")</f>
        <v>K/28/090925/1</v>
      </c>
      <c r="E4186" s="36" t="str">
        <f t="array" ref="E4186">IFNA(_xlfn.XLOOKUP(D4186,Table_Tarikan_Warkah[Nomor Tiket],Table_Tarikan_Warkah[Tanggal diserahkan kepada Validator]),"")</f>
        <v/>
      </c>
      <c r="F4186" s="36" t="str">
        <f t="array" ref="F4186">IFNA(_xlfn.XLOOKUP(D4186,Table_Tarikan_Warkah[Nomor Tiket],Table_Tarikan_Warkah[Nama Petugas Warkah]),"")</f>
        <v/>
      </c>
      <c r="G4186" s="39" t="str">
        <f t="array" ref="G4186">IFNA(_xlfn.XLOOKUP(D4186,Table_Tarikan_Warkah[Nomor Tiket],Table_Tarikan_Warkah[Jenis Permohonan]),"")</f>
        <v>BN JUAL BELI</v>
      </c>
      <c r="H4186" s="41" t="s">
        <v>920</v>
      </c>
      <c r="I4186" s="49" t="s">
        <v>23</v>
      </c>
      <c r="J4186" s="36">
        <f t="shared" si="20"/>
        <v>45954.47297</v>
      </c>
      <c r="K4186" s="49" t="s">
        <v>920</v>
      </c>
      <c r="L4186" s="49" t="s">
        <v>23</v>
      </c>
      <c r="M4186" s="36">
        <f t="shared" si="33"/>
        <v>45954.47297</v>
      </c>
      <c r="N4186" s="30" t="str">
        <f t="shared" si="34"/>
        <v>Selesai</v>
      </c>
      <c r="O4186" s="45">
        <f t="shared" si="23"/>
        <v>45954.47297</v>
      </c>
      <c r="P4186" s="47" t="b">
        <v>1</v>
      </c>
      <c r="Q4186" s="36">
        <f t="shared" si="35"/>
        <v>45954.47297</v>
      </c>
      <c r="R4186" s="47" t="b">
        <v>0</v>
      </c>
      <c r="S4186" s="42" t="str">
        <f t="shared" si="28"/>
        <v/>
      </c>
      <c r="T4186" s="42"/>
    </row>
    <row r="4187" ht="22.5" customHeight="1">
      <c r="B4187" s="42">
        <f t="shared" si="7"/>
        <v>4181</v>
      </c>
      <c r="C4187" s="31" t="s">
        <v>4226</v>
      </c>
      <c r="D4187" s="34" t="str">
        <f t="array" ref="D4187">IFNA(_xlfn.XLOOKUP(C4187,Table_Tarikan_Warkah[Nomor Sertipikat],Table_Tarikan_Warkah[Nomor Tiket]),"")</f>
        <v>K/22/110925/1</v>
      </c>
      <c r="E4187" s="36" t="str">
        <f t="array" ref="E4187">IFNA(_xlfn.XLOOKUP(D4187,Table_Tarikan_Warkah[Nomor Tiket],Table_Tarikan_Warkah[Tanggal diserahkan kepada Validator]),"")</f>
        <v/>
      </c>
      <c r="F4187" s="36" t="str">
        <f t="array" ref="F4187">IFNA(_xlfn.XLOOKUP(D4187,Table_Tarikan_Warkah[Nomor Tiket],Table_Tarikan_Warkah[Nama Petugas Warkah]),"")</f>
        <v/>
      </c>
      <c r="G4187" s="39" t="str">
        <f t="array" ref="G4187">IFNA(_xlfn.XLOOKUP(D4187,Table_Tarikan_Warkah[Nomor Tiket],Table_Tarikan_Warkah[Jenis Permohonan]),"")</f>
        <v>BN JUAL BELI</v>
      </c>
      <c r="H4187" s="41" t="s">
        <v>920</v>
      </c>
      <c r="I4187" s="49" t="s">
        <v>23</v>
      </c>
      <c r="J4187" s="36">
        <f t="shared" si="20"/>
        <v>45954.47297</v>
      </c>
      <c r="K4187" s="49" t="s">
        <v>920</v>
      </c>
      <c r="L4187" s="49" t="s">
        <v>23</v>
      </c>
      <c r="M4187" s="36">
        <f t="shared" si="33"/>
        <v>45954.47297</v>
      </c>
      <c r="N4187" s="30" t="str">
        <f t="shared" si="34"/>
        <v>Selesai</v>
      </c>
      <c r="O4187" s="45">
        <f t="shared" si="23"/>
        <v>45954.47297</v>
      </c>
      <c r="P4187" s="47" t="b">
        <v>1</v>
      </c>
      <c r="Q4187" s="36">
        <f t="shared" si="35"/>
        <v>45954.47297</v>
      </c>
      <c r="R4187" s="47" t="b">
        <v>0</v>
      </c>
      <c r="S4187" s="42" t="str">
        <f t="shared" si="28"/>
        <v/>
      </c>
      <c r="T4187" s="42"/>
    </row>
    <row r="4188" ht="22.5" customHeight="1">
      <c r="B4188" s="42">
        <f t="shared" si="7"/>
        <v>4182</v>
      </c>
      <c r="C4188" s="31" t="s">
        <v>4227</v>
      </c>
      <c r="D4188" s="34" t="str">
        <f t="array" ref="D4188">IFNA(_xlfn.XLOOKUP(C4188,Table_Tarikan_Warkah[Nomor Sertipikat],Table_Tarikan_Warkah[Nomor Tiket]),"")</f>
        <v>K/20/040928/2</v>
      </c>
      <c r="E4188" s="36">
        <f t="array" ref="E4188">IFNA(_xlfn.XLOOKUP(D4188,Table_Tarikan_Warkah[Nomor Tiket],Table_Tarikan_Warkah[Tanggal diserahkan kepada Validator]),"")</f>
        <v>45975.49311</v>
      </c>
      <c r="F4188" s="36" t="str">
        <f t="array" ref="F4188">IFNA(_xlfn.XLOOKUP(D4188,Table_Tarikan_Warkah[Nomor Tiket],Table_Tarikan_Warkah[Nama Petugas Warkah]),"")</f>
        <v>Berry</v>
      </c>
      <c r="G4188" s="39" t="str">
        <f t="array" ref="G4188">IFNA(_xlfn.XLOOKUP(D4188,Table_Tarikan_Warkah[Nomor Tiket],Table_Tarikan_Warkah[Jenis Permohonan]),"")</f>
        <v>BN JUAL BELI</v>
      </c>
      <c r="H4188" s="41" t="s">
        <v>920</v>
      </c>
      <c r="I4188" s="49" t="s">
        <v>23</v>
      </c>
      <c r="J4188" s="36">
        <f t="shared" si="20"/>
        <v>45954.47297</v>
      </c>
      <c r="K4188" s="49" t="s">
        <v>920</v>
      </c>
      <c r="L4188" s="49" t="s">
        <v>23</v>
      </c>
      <c r="M4188" s="36">
        <f t="shared" si="33"/>
        <v>45954.47297</v>
      </c>
      <c r="N4188" s="30" t="str">
        <f t="shared" si="34"/>
        <v>Selesai</v>
      </c>
      <c r="O4188" s="45">
        <f t="shared" si="23"/>
        <v>45954.47297</v>
      </c>
      <c r="P4188" s="47" t="b">
        <v>1</v>
      </c>
      <c r="Q4188" s="36">
        <f t="shared" si="35"/>
        <v>45954.47297</v>
      </c>
      <c r="R4188" s="47" t="b">
        <v>0</v>
      </c>
      <c r="S4188" s="42" t="str">
        <f t="shared" si="28"/>
        <v/>
      </c>
      <c r="T4188" s="42"/>
    </row>
    <row r="4189" ht="22.5" customHeight="1">
      <c r="B4189" s="42">
        <f t="shared" si="7"/>
        <v>4183</v>
      </c>
      <c r="C4189" s="31" t="s">
        <v>4228</v>
      </c>
      <c r="D4189" s="34" t="str">
        <f t="array" ref="D4189">IFNA(_xlfn.XLOOKUP(C4189,Table_Tarikan_Warkah[Nomor Sertipikat],Table_Tarikan_Warkah[Nomor Tiket]),"")</f>
        <v>K/12/230925/3</v>
      </c>
      <c r="E4189" s="36">
        <f t="array" ref="E4189">IFNA(_xlfn.XLOOKUP(D4189,Table_Tarikan_Warkah[Nomor Tiket],Table_Tarikan_Warkah[Tanggal diserahkan kepada Validator]),"")</f>
        <v>45966.6518</v>
      </c>
      <c r="F4189" s="36" t="str">
        <f t="array" ref="F4189">IFNA(_xlfn.XLOOKUP(D4189,Table_Tarikan_Warkah[Nomor Tiket],Table_Tarikan_Warkah[Nama Petugas Warkah]),"")</f>
        <v>Berry</v>
      </c>
      <c r="G4189" s="39" t="str">
        <f t="array" ref="G4189">IFNA(_xlfn.XLOOKUP(D4189,Table_Tarikan_Warkah[Nomor Tiket],Table_Tarikan_Warkah[Jenis Permohonan]),"")</f>
        <v>BN Jual Beli	</v>
      </c>
      <c r="H4189" s="41" t="s">
        <v>920</v>
      </c>
      <c r="I4189" s="49" t="s">
        <v>23</v>
      </c>
      <c r="J4189" s="36">
        <f t="shared" si="20"/>
        <v>45954.47297</v>
      </c>
      <c r="K4189" s="49" t="s">
        <v>920</v>
      </c>
      <c r="L4189" s="49" t="s">
        <v>23</v>
      </c>
      <c r="M4189" s="36">
        <f t="shared" si="33"/>
        <v>45954.47297</v>
      </c>
      <c r="N4189" s="30" t="str">
        <f t="shared" si="34"/>
        <v>Selesai</v>
      </c>
      <c r="O4189" s="45">
        <f t="shared" si="23"/>
        <v>45954.47297</v>
      </c>
      <c r="P4189" s="47" t="b">
        <v>1</v>
      </c>
      <c r="Q4189" s="36">
        <f t="shared" si="35"/>
        <v>45954.47297</v>
      </c>
      <c r="R4189" s="47" t="b">
        <v>0</v>
      </c>
      <c r="S4189" s="42" t="str">
        <f t="shared" si="28"/>
        <v/>
      </c>
      <c r="T4189" s="42"/>
    </row>
    <row r="4190" ht="22.5" customHeight="1">
      <c r="B4190" s="42">
        <f t="shared" si="7"/>
        <v>4184</v>
      </c>
      <c r="C4190" s="31" t="s">
        <v>4229</v>
      </c>
      <c r="D4190" s="34" t="str">
        <f t="array" ref="D4190">IFNA(_xlfn.XLOOKUP(C4190,Table_Tarikan_Warkah[Nomor Sertipikat],Table_Tarikan_Warkah[Nomor Tiket]),"")</f>
        <v>K/52/280825/1</v>
      </c>
      <c r="E4190" s="36" t="str">
        <f t="array" ref="E4190">IFNA(_xlfn.XLOOKUP(D4190,Table_Tarikan_Warkah[Nomor Tiket],Table_Tarikan_Warkah[Tanggal diserahkan kepada Validator]),"")</f>
        <v/>
      </c>
      <c r="F4190" s="36" t="str">
        <f t="array" ref="F4190">IFNA(_xlfn.XLOOKUP(D4190,Table_Tarikan_Warkah[Nomor Tiket],Table_Tarikan_Warkah[Nama Petugas Warkah]),"")</f>
        <v/>
      </c>
      <c r="G4190" s="39" t="str">
        <f t="array" ref="G4190">IFNA(_xlfn.XLOOKUP(D4190,Table_Tarikan_Warkah[Nomor Tiket],Table_Tarikan_Warkah[Jenis Permohonan]),"")</f>
        <v>BN JUAL BELI EL</v>
      </c>
      <c r="H4190" s="41" t="s">
        <v>920</v>
      </c>
      <c r="I4190" s="49" t="s">
        <v>23</v>
      </c>
      <c r="J4190" s="36">
        <f t="shared" si="20"/>
        <v>45954.47297</v>
      </c>
      <c r="K4190" s="49" t="s">
        <v>920</v>
      </c>
      <c r="L4190" s="49" t="s">
        <v>23</v>
      </c>
      <c r="M4190" s="36">
        <f t="shared" si="33"/>
        <v>45954.47297</v>
      </c>
      <c r="N4190" s="30" t="str">
        <f t="shared" si="34"/>
        <v>Selesai</v>
      </c>
      <c r="O4190" s="45">
        <f t="shared" si="23"/>
        <v>45954.47297</v>
      </c>
      <c r="P4190" s="47" t="b">
        <v>1</v>
      </c>
      <c r="Q4190" s="36">
        <f t="shared" si="35"/>
        <v>45954.47297</v>
      </c>
      <c r="R4190" s="47" t="b">
        <v>0</v>
      </c>
      <c r="S4190" s="42" t="str">
        <f t="shared" si="28"/>
        <v/>
      </c>
      <c r="T4190" s="42"/>
    </row>
    <row r="4191" ht="22.5" customHeight="1">
      <c r="B4191" s="42">
        <f t="shared" si="7"/>
        <v>4185</v>
      </c>
      <c r="C4191" s="31" t="s">
        <v>4230</v>
      </c>
      <c r="D4191" s="34" t="str">
        <f t="array" ref="D4191">IFNA(_xlfn.XLOOKUP(C4191,Table_Tarikan_Warkah[Nomor Sertipikat],Table_Tarikan_Warkah[Nomor Tiket]),"")</f>
        <v>K/33/130825/1</v>
      </c>
      <c r="E4191" s="36">
        <f t="array" ref="E4191">IFNA(_xlfn.XLOOKUP(D4191,Table_Tarikan_Warkah[Nomor Tiket],Table_Tarikan_Warkah[Tanggal diserahkan kepada Validator]),"")</f>
        <v>45908.63427</v>
      </c>
      <c r="F4191" s="36" t="str">
        <f t="array" ref="F4191">IFNA(_xlfn.XLOOKUP(D4191,Table_Tarikan_Warkah[Nomor Tiket],Table_Tarikan_Warkah[Nama Petugas Warkah]),"")</f>
        <v>Berry</v>
      </c>
      <c r="G4191" s="39" t="str">
        <f t="array" ref="G4191">IFNA(_xlfn.XLOOKUP(D4191,Table_Tarikan_Warkah[Nomor Tiket],Table_Tarikan_Warkah[Jenis Permohonan]),"")</f>
        <v>BN Waris</v>
      </c>
      <c r="H4191" s="41" t="s">
        <v>920</v>
      </c>
      <c r="I4191" s="49" t="s">
        <v>23</v>
      </c>
      <c r="J4191" s="36">
        <f t="shared" si="20"/>
        <v>45954.47297</v>
      </c>
      <c r="K4191" s="49" t="s">
        <v>920</v>
      </c>
      <c r="L4191" s="49" t="s">
        <v>23</v>
      </c>
      <c r="M4191" s="36">
        <f t="shared" si="33"/>
        <v>45954.47297</v>
      </c>
      <c r="N4191" s="30" t="str">
        <f t="shared" si="34"/>
        <v>Selesai</v>
      </c>
      <c r="O4191" s="45">
        <f t="shared" si="23"/>
        <v>45954.47297</v>
      </c>
      <c r="P4191" s="47" t="b">
        <v>1</v>
      </c>
      <c r="Q4191" s="36">
        <f t="shared" si="35"/>
        <v>45954.47297</v>
      </c>
      <c r="R4191" s="47" t="b">
        <v>0</v>
      </c>
      <c r="S4191" s="42" t="str">
        <f t="shared" si="28"/>
        <v/>
      </c>
      <c r="T4191" s="42"/>
    </row>
    <row r="4192" ht="22.5" customHeight="1">
      <c r="B4192" s="42">
        <f t="shared" si="7"/>
        <v>4186</v>
      </c>
      <c r="C4192" s="31" t="s">
        <v>4231</v>
      </c>
      <c r="D4192" s="34" t="str">
        <f t="array" ref="D4192">IFNA(_xlfn.XLOOKUP(C4192,Table_Tarikan_Warkah[Nomor Sertipikat],Table_Tarikan_Warkah[Nomor Tiket]),"")</f>
        <v>K/8/090925/1</v>
      </c>
      <c r="E4192" s="36">
        <f t="array" ref="E4192">IFNA(_xlfn.XLOOKUP(D4192,Table_Tarikan_Warkah[Nomor Tiket],Table_Tarikan_Warkah[Tanggal diserahkan kepada Validator]),"")</f>
        <v>45945.68094</v>
      </c>
      <c r="F4192" s="36" t="str">
        <f t="array" ref="F4192">IFNA(_xlfn.XLOOKUP(D4192,Table_Tarikan_Warkah[Nomor Tiket],Table_Tarikan_Warkah[Nama Petugas Warkah]),"")</f>
        <v>Berry</v>
      </c>
      <c r="G4192" s="39" t="str">
        <f t="array" ref="G4192">IFNA(_xlfn.XLOOKUP(D4192,Table_Tarikan_Warkah[Nomor Tiket],Table_Tarikan_Warkah[Jenis Permohonan]),"")</f>
        <v>BN Jual Beli	</v>
      </c>
      <c r="H4192" s="41" t="s">
        <v>920</v>
      </c>
      <c r="I4192" s="49" t="s">
        <v>23</v>
      </c>
      <c r="J4192" s="36">
        <f t="shared" si="20"/>
        <v>45954.47297</v>
      </c>
      <c r="K4192" s="49" t="s">
        <v>920</v>
      </c>
      <c r="L4192" s="49" t="s">
        <v>23</v>
      </c>
      <c r="M4192" s="36">
        <f t="shared" si="33"/>
        <v>45954.47297</v>
      </c>
      <c r="N4192" s="30" t="str">
        <f t="shared" si="34"/>
        <v>Selesai</v>
      </c>
      <c r="O4192" s="45">
        <f t="shared" si="23"/>
        <v>45954.47297</v>
      </c>
      <c r="P4192" s="47" t="b">
        <v>1</v>
      </c>
      <c r="Q4192" s="36">
        <f t="shared" si="35"/>
        <v>45954.47297</v>
      </c>
      <c r="R4192" s="47" t="b">
        <v>0</v>
      </c>
      <c r="S4192" s="42" t="str">
        <f t="shared" si="28"/>
        <v/>
      </c>
      <c r="T4192" s="42"/>
    </row>
    <row r="4193" ht="22.5" customHeight="1">
      <c r="B4193" s="42">
        <f t="shared" si="7"/>
        <v>4187</v>
      </c>
      <c r="C4193" s="31" t="s">
        <v>4232</v>
      </c>
      <c r="D4193" s="34" t="str">
        <f t="array" ref="D4193">IFNA(_xlfn.XLOOKUP(C4193,Table_Tarikan_Warkah[Nomor Sertipikat],Table_Tarikan_Warkah[Nomor Tiket]),"")</f>
        <v>K/44/290925/1</v>
      </c>
      <c r="E4193" s="36" t="str">
        <f t="array" ref="E4193">IFNA(_xlfn.XLOOKUP(D4193,Table_Tarikan_Warkah[Nomor Tiket],Table_Tarikan_Warkah[Tanggal diserahkan kepada Validator]),"")</f>
        <v/>
      </c>
      <c r="F4193" s="36" t="str">
        <f t="array" ref="F4193">IFNA(_xlfn.XLOOKUP(D4193,Table_Tarikan_Warkah[Nomor Tiket],Table_Tarikan_Warkah[Nama Petugas Warkah]),"")</f>
        <v/>
      </c>
      <c r="G4193" s="39" t="str">
        <f t="array" ref="G4193">IFNA(_xlfn.XLOOKUP(D4193,Table_Tarikan_Warkah[Nomor Tiket],Table_Tarikan_Warkah[Jenis Permohonan]),"")</f>
        <v>BN Jual Beli	</v>
      </c>
      <c r="H4193" s="41" t="s">
        <v>920</v>
      </c>
      <c r="I4193" s="49" t="s">
        <v>23</v>
      </c>
      <c r="J4193" s="36">
        <f t="shared" si="20"/>
        <v>45954.47297</v>
      </c>
      <c r="K4193" s="49" t="s">
        <v>920</v>
      </c>
      <c r="L4193" s="49" t="s">
        <v>23</v>
      </c>
      <c r="M4193" s="36">
        <f t="shared" si="33"/>
        <v>45954.47297</v>
      </c>
      <c r="N4193" s="30" t="str">
        <f t="shared" si="34"/>
        <v>Selesai</v>
      </c>
      <c r="O4193" s="45">
        <f t="shared" si="23"/>
        <v>45954.47297</v>
      </c>
      <c r="P4193" s="47" t="b">
        <v>1</v>
      </c>
      <c r="Q4193" s="36">
        <f t="shared" si="35"/>
        <v>45954.47297</v>
      </c>
      <c r="R4193" s="47" t="b">
        <v>0</v>
      </c>
      <c r="S4193" s="42" t="str">
        <f t="shared" si="28"/>
        <v/>
      </c>
      <c r="T4193" s="42"/>
    </row>
    <row r="4194" ht="22.5" customHeight="1">
      <c r="B4194" s="42">
        <f t="shared" si="7"/>
        <v>4188</v>
      </c>
      <c r="C4194" s="31" t="s">
        <v>4233</v>
      </c>
      <c r="D4194" s="34" t="str">
        <f t="array" ref="D4194">IFNA(_xlfn.XLOOKUP(C4194,Table_Tarikan_Warkah[Nomor Sertipikat],Table_Tarikan_Warkah[Nomor Tiket]),"")</f>
        <v>K/6/160925/2</v>
      </c>
      <c r="E4194" s="36" t="str">
        <f t="array" ref="E4194">IFNA(_xlfn.XLOOKUP(D4194,Table_Tarikan_Warkah[Nomor Tiket],Table_Tarikan_Warkah[Tanggal diserahkan kepada Validator]),"")</f>
        <v/>
      </c>
      <c r="F4194" s="36" t="str">
        <f t="array" ref="F4194">IFNA(_xlfn.XLOOKUP(D4194,Table_Tarikan_Warkah[Nomor Tiket],Table_Tarikan_Warkah[Nama Petugas Warkah]),"")</f>
        <v/>
      </c>
      <c r="G4194" s="39" t="str">
        <f t="array" ref="G4194">IFNA(_xlfn.XLOOKUP(D4194,Table_Tarikan_Warkah[Nomor Tiket],Table_Tarikan_Warkah[Jenis Permohonan]),"")</f>
        <v>BN Hibah		</v>
      </c>
      <c r="H4194" s="41" t="s">
        <v>920</v>
      </c>
      <c r="I4194" s="49" t="s">
        <v>23</v>
      </c>
      <c r="J4194" s="36">
        <f t="shared" si="20"/>
        <v>45954.47297</v>
      </c>
      <c r="K4194" s="49" t="s">
        <v>920</v>
      </c>
      <c r="L4194" s="49" t="s">
        <v>23</v>
      </c>
      <c r="M4194" s="36">
        <f t="shared" si="33"/>
        <v>45954.47297</v>
      </c>
      <c r="N4194" s="30" t="str">
        <f t="shared" si="34"/>
        <v>Selesai</v>
      </c>
      <c r="O4194" s="45">
        <f t="shared" si="23"/>
        <v>45954.47297</v>
      </c>
      <c r="P4194" s="47" t="b">
        <v>1</v>
      </c>
      <c r="Q4194" s="36">
        <f t="shared" si="35"/>
        <v>45954.47297</v>
      </c>
      <c r="R4194" s="47" t="b">
        <v>0</v>
      </c>
      <c r="S4194" s="42" t="str">
        <f t="shared" si="28"/>
        <v/>
      </c>
      <c r="T4194" s="42"/>
    </row>
    <row r="4195" ht="22.5" customHeight="1">
      <c r="B4195" s="42">
        <f t="shared" si="7"/>
        <v>4189</v>
      </c>
      <c r="C4195" s="31" t="s">
        <v>4234</v>
      </c>
      <c r="D4195" s="34" t="str">
        <f t="array" ref="D4195">IFNA(_xlfn.XLOOKUP(C4195,Table_Tarikan_Warkah[Nomor Sertipikat],Table_Tarikan_Warkah[Nomor Tiket]),"")</f>
        <v>K/32/300925/1</v>
      </c>
      <c r="E4195" s="36">
        <f t="array" ref="E4195">IFNA(_xlfn.XLOOKUP(D4195,Table_Tarikan_Warkah[Nomor Tiket],Table_Tarikan_Warkah[Tanggal diserahkan kepada Validator]),"")</f>
        <v>45993.46152</v>
      </c>
      <c r="F4195" s="36" t="str">
        <f t="array" ref="F4195">IFNA(_xlfn.XLOOKUP(D4195,Table_Tarikan_Warkah[Nomor Tiket],Table_Tarikan_Warkah[Nama Petugas Warkah]),"")</f>
        <v>David</v>
      </c>
      <c r="G4195" s="39" t="str">
        <f t="array" ref="G4195">IFNA(_xlfn.XLOOKUP(D4195,Table_Tarikan_Warkah[Nomor Tiket],Table_Tarikan_Warkah[Jenis Permohonan]),"")</f>
        <v>BN Jual Beli	</v>
      </c>
      <c r="H4195" s="41" t="s">
        <v>920</v>
      </c>
      <c r="I4195" s="49" t="s">
        <v>23</v>
      </c>
      <c r="J4195" s="36">
        <f t="shared" si="20"/>
        <v>45954.47297</v>
      </c>
      <c r="K4195" s="49" t="s">
        <v>920</v>
      </c>
      <c r="L4195" s="49" t="s">
        <v>23</v>
      </c>
      <c r="M4195" s="36">
        <f t="shared" si="33"/>
        <v>45954.47297</v>
      </c>
      <c r="N4195" s="30" t="str">
        <f t="shared" si="34"/>
        <v>Selesai</v>
      </c>
      <c r="O4195" s="45">
        <f t="shared" si="23"/>
        <v>45954.47297</v>
      </c>
      <c r="P4195" s="47" t="b">
        <v>1</v>
      </c>
      <c r="Q4195" s="36">
        <f t="shared" si="35"/>
        <v>45954.47297</v>
      </c>
      <c r="R4195" s="47" t="b">
        <v>0</v>
      </c>
      <c r="S4195" s="42" t="str">
        <f t="shared" si="28"/>
        <v/>
      </c>
      <c r="T4195" s="42"/>
    </row>
    <row r="4196" ht="22.5" customHeight="1">
      <c r="B4196" s="42">
        <f t="shared" si="7"/>
        <v>4190</v>
      </c>
      <c r="C4196" s="31" t="s">
        <v>4137</v>
      </c>
      <c r="D4196" s="34" t="str">
        <f t="array" ref="D4196">IFNA(_xlfn.XLOOKUP(C4196,Table_Tarikan_Warkah[Nomor Sertipikat],Table_Tarikan_Warkah[Nomor Tiket]),"")</f>
        <v>K/22/160925/1</v>
      </c>
      <c r="E4196" s="36" t="str">
        <f t="array" ref="E4196">IFNA(_xlfn.XLOOKUP(D4196,Table_Tarikan_Warkah[Nomor Tiket],Table_Tarikan_Warkah[Tanggal diserahkan kepada Validator]),"")</f>
        <v/>
      </c>
      <c r="F4196" s="36" t="str">
        <f t="array" ref="F4196">IFNA(_xlfn.XLOOKUP(D4196,Table_Tarikan_Warkah[Nomor Tiket],Table_Tarikan_Warkah[Nama Petugas Warkah]),"")</f>
        <v/>
      </c>
      <c r="G4196" s="39" t="str">
        <f t="array" ref="G4196">IFNA(_xlfn.XLOOKUP(D4196,Table_Tarikan_Warkah[Nomor Tiket],Table_Tarikan_Warkah[Jenis Permohonan]),"")</f>
        <v>PEMECAHAN</v>
      </c>
      <c r="H4196" s="41" t="s">
        <v>2315</v>
      </c>
      <c r="I4196" s="49" t="s">
        <v>23</v>
      </c>
      <c r="J4196" s="36">
        <f t="shared" si="20"/>
        <v>45958.62444</v>
      </c>
      <c r="K4196" s="69"/>
      <c r="L4196" s="49"/>
      <c r="M4196" s="36" t="str">
        <f t="shared" si="33"/>
        <v/>
      </c>
      <c r="N4196" s="30" t="str">
        <f t="shared" si="34"/>
        <v>BT atau SU Belum Valid</v>
      </c>
      <c r="O4196" s="39" t="str">
        <f t="shared" si="23"/>
        <v/>
      </c>
      <c r="P4196" s="47" t="b">
        <v>0</v>
      </c>
      <c r="Q4196" s="36" t="str">
        <f t="shared" si="35"/>
        <v/>
      </c>
      <c r="R4196" s="47" t="b">
        <v>0</v>
      </c>
      <c r="S4196" s="42" t="str">
        <f t="shared" si="28"/>
        <v/>
      </c>
      <c r="T4196" s="42"/>
    </row>
    <row r="4197" ht="22.5" customHeight="1">
      <c r="B4197" s="42">
        <f t="shared" si="7"/>
        <v>4191</v>
      </c>
      <c r="C4197" s="31" t="s">
        <v>4141</v>
      </c>
      <c r="D4197" s="34" t="str">
        <f t="array" ref="D4197">IFNA(_xlfn.XLOOKUP(C4197,Table_Tarikan_Warkah[Nomor Sertipikat],Table_Tarikan_Warkah[Nomor Tiket]),"")</f>
        <v>K/4/011025/1</v>
      </c>
      <c r="E4197" s="36" t="str">
        <f t="array" ref="E4197">IFNA(_xlfn.XLOOKUP(D4197,Table_Tarikan_Warkah[Nomor Tiket],Table_Tarikan_Warkah[Tanggal diserahkan kepada Validator]),"")</f>
        <v/>
      </c>
      <c r="F4197" s="36" t="str">
        <f t="array" ref="F4197">IFNA(_xlfn.XLOOKUP(D4197,Table_Tarikan_Warkah[Nomor Tiket],Table_Tarikan_Warkah[Nama Petugas Warkah]),"")</f>
        <v/>
      </c>
      <c r="G4197" s="39" t="str">
        <f t="array" ref="G4197">IFNA(_xlfn.XLOOKUP(D4197,Table_Tarikan_Warkah[Nomor Tiket],Table_Tarikan_Warkah[Jenis Permohonan]),"")</f>
        <v>BN WARIS</v>
      </c>
      <c r="H4197" s="41" t="s">
        <v>2315</v>
      </c>
      <c r="I4197" s="49" t="s">
        <v>23</v>
      </c>
      <c r="J4197" s="36">
        <f t="shared" si="20"/>
        <v>45958.62456</v>
      </c>
      <c r="K4197" s="49" t="s">
        <v>26</v>
      </c>
      <c r="L4197" s="49" t="s">
        <v>23</v>
      </c>
      <c r="M4197" s="36">
        <f t="shared" si="33"/>
        <v>45961.62305</v>
      </c>
      <c r="N4197" s="30" t="str">
        <f t="shared" si="34"/>
        <v>Selesai</v>
      </c>
      <c r="O4197" s="45">
        <f t="shared" si="23"/>
        <v>45961.62305</v>
      </c>
      <c r="P4197" s="47" t="b">
        <v>0</v>
      </c>
      <c r="Q4197" s="36" t="str">
        <f t="shared" si="35"/>
        <v/>
      </c>
      <c r="R4197" s="47" t="b">
        <v>0</v>
      </c>
      <c r="S4197" s="42" t="str">
        <f t="shared" si="28"/>
        <v/>
      </c>
      <c r="T4197" s="42"/>
    </row>
    <row r="4198" ht="22.5" customHeight="1">
      <c r="B4198" s="42">
        <f t="shared" si="7"/>
        <v>4192</v>
      </c>
      <c r="C4198" s="31" t="s">
        <v>3946</v>
      </c>
      <c r="D4198" s="34" t="str">
        <f t="array" ref="D4198">IFNA(_xlfn.XLOOKUP(C4198,Table_Tarikan_Warkah[Nomor Sertipikat],Table_Tarikan_Warkah[Nomor Tiket]),"")</f>
        <v/>
      </c>
      <c r="E4198" s="36" t="str">
        <f t="array" ref="E4198">IFNA(_xlfn.XLOOKUP(D4198,Table_Tarikan_Warkah[Nomor Tiket],Table_Tarikan_Warkah[Tanggal diserahkan kepada Validator]),"")</f>
        <v/>
      </c>
      <c r="F4198" s="36" t="str">
        <f t="array" ref="F4198">IFNA(_xlfn.XLOOKUP(D4198,Table_Tarikan_Warkah[Nomor Tiket],Table_Tarikan_Warkah[Nama Petugas Warkah]),"")</f>
        <v/>
      </c>
      <c r="G4198" s="39" t="str">
        <f t="array" ref="G4198">IFNA(_xlfn.XLOOKUP(D4198,Table_Tarikan_Warkah[Nomor Tiket],Table_Tarikan_Warkah[Jenis Permohonan]),"")</f>
        <v/>
      </c>
      <c r="H4198" s="41" t="s">
        <v>2315</v>
      </c>
      <c r="I4198" s="49" t="s">
        <v>23</v>
      </c>
      <c r="J4198" s="36">
        <f t="shared" si="20"/>
        <v>45958.62474</v>
      </c>
      <c r="K4198" s="69"/>
      <c r="L4198" s="49"/>
      <c r="M4198" s="36" t="str">
        <f t="shared" si="33"/>
        <v/>
      </c>
      <c r="N4198" s="30" t="str">
        <f t="shared" si="34"/>
        <v/>
      </c>
      <c r="O4198" s="39" t="str">
        <f t="shared" si="23"/>
        <v/>
      </c>
      <c r="P4198" s="47" t="b">
        <v>0</v>
      </c>
      <c r="Q4198" s="36" t="str">
        <f t="shared" si="35"/>
        <v/>
      </c>
      <c r="R4198" s="47" t="b">
        <v>0</v>
      </c>
      <c r="S4198" s="42" t="str">
        <f t="shared" si="28"/>
        <v/>
      </c>
      <c r="T4198" s="42"/>
    </row>
    <row r="4199" ht="22.5" customHeight="1">
      <c r="B4199" s="42">
        <f t="shared" si="7"/>
        <v>4193</v>
      </c>
      <c r="C4199" s="31" t="s">
        <v>4235</v>
      </c>
      <c r="D4199" s="34" t="str">
        <f t="array" ref="D4199">IFNA(_xlfn.XLOOKUP(C4199,Table_Tarikan_Warkah[Nomor Sertipikat],Table_Tarikan_Warkah[Nomor Tiket]),"")</f>
        <v>K/43/030925/1</v>
      </c>
      <c r="E4199" s="36" t="str">
        <f t="array" ref="E4199">IFNA(_xlfn.XLOOKUP(D4199,Table_Tarikan_Warkah[Nomor Tiket],Table_Tarikan_Warkah[Tanggal diserahkan kepada Validator]),"")</f>
        <v/>
      </c>
      <c r="F4199" s="36" t="str">
        <f t="array" ref="F4199">IFNA(_xlfn.XLOOKUP(D4199,Table_Tarikan_Warkah[Nomor Tiket],Table_Tarikan_Warkah[Nama Petugas Warkah]),"")</f>
        <v/>
      </c>
      <c r="G4199" s="39" t="str">
        <f t="array" ref="G4199">IFNA(_xlfn.XLOOKUP(D4199,Table_Tarikan_Warkah[Nomor Tiket],Table_Tarikan_Warkah[Jenis Permohonan]),"")</f>
        <v>BN JUAL BELI EL</v>
      </c>
      <c r="H4199" s="41" t="s">
        <v>2315</v>
      </c>
      <c r="I4199" s="49" t="s">
        <v>23</v>
      </c>
      <c r="J4199" s="36">
        <f t="shared" si="20"/>
        <v>45958.62506</v>
      </c>
      <c r="K4199" s="69"/>
      <c r="L4199" s="49"/>
      <c r="M4199" s="36" t="str">
        <f t="shared" si="33"/>
        <v/>
      </c>
      <c r="N4199" s="30" t="str">
        <f t="shared" si="34"/>
        <v>BT atau SU Belum Valid</v>
      </c>
      <c r="O4199" s="39" t="str">
        <f t="shared" si="23"/>
        <v/>
      </c>
      <c r="P4199" s="47" t="b">
        <v>0</v>
      </c>
      <c r="Q4199" s="36" t="str">
        <f t="shared" si="35"/>
        <v/>
      </c>
      <c r="R4199" s="47" t="b">
        <v>0</v>
      </c>
      <c r="S4199" s="42" t="str">
        <f t="shared" si="28"/>
        <v/>
      </c>
      <c r="T4199" s="42"/>
    </row>
    <row r="4200" ht="22.5" customHeight="1">
      <c r="B4200" s="42">
        <f t="shared" si="7"/>
        <v>4194</v>
      </c>
      <c r="C4200" s="31" t="s">
        <v>4236</v>
      </c>
      <c r="D4200" s="34" t="str">
        <f t="array" ref="D4200">IFNA(_xlfn.XLOOKUP(C4200,Table_Tarikan_Warkah[Nomor Sertipikat],Table_Tarikan_Warkah[Nomor Tiket]),"")</f>
        <v>L/26/091025/2</v>
      </c>
      <c r="E4200" s="36" t="str">
        <f t="array" ref="E4200">IFNA(_xlfn.XLOOKUP(D4200,Table_Tarikan_Warkah[Nomor Tiket],Table_Tarikan_Warkah[Tanggal diserahkan kepada Validator]),"")</f>
        <v/>
      </c>
      <c r="F4200" s="36" t="str">
        <f t="array" ref="F4200">IFNA(_xlfn.XLOOKUP(D4200,Table_Tarikan_Warkah[Nomor Tiket],Table_Tarikan_Warkah[Nama Petugas Warkah]),"")</f>
        <v/>
      </c>
      <c r="G4200" s="39" t="str">
        <f t="array" ref="G4200">IFNA(_xlfn.XLOOKUP(D4200,Table_Tarikan_Warkah[Nomor Tiket],Table_Tarikan_Warkah[Jenis Permohonan]),"")</f>
        <v>PENINGKATAN HAK</v>
      </c>
      <c r="H4200" s="41" t="s">
        <v>2315</v>
      </c>
      <c r="I4200" s="49" t="s">
        <v>23</v>
      </c>
      <c r="J4200" s="36">
        <f t="shared" si="20"/>
        <v>45958.62525</v>
      </c>
      <c r="K4200" s="49" t="s">
        <v>26</v>
      </c>
      <c r="L4200" s="49" t="s">
        <v>23</v>
      </c>
      <c r="M4200" s="36">
        <f t="shared" si="33"/>
        <v>45961.63479</v>
      </c>
      <c r="N4200" s="30" t="str">
        <f t="shared" si="34"/>
        <v>Selesai</v>
      </c>
      <c r="O4200" s="45">
        <f t="shared" si="23"/>
        <v>45961.63479</v>
      </c>
      <c r="P4200" s="47" t="b">
        <v>0</v>
      </c>
      <c r="Q4200" s="36" t="str">
        <f t="shared" si="35"/>
        <v/>
      </c>
      <c r="R4200" s="47" t="b">
        <v>0</v>
      </c>
      <c r="S4200" s="42" t="str">
        <f t="shared" si="28"/>
        <v/>
      </c>
      <c r="T4200" s="42"/>
    </row>
    <row r="4201" ht="22.5" customHeight="1">
      <c r="B4201" s="42">
        <f t="shared" si="7"/>
        <v>4195</v>
      </c>
      <c r="C4201" s="31" t="s">
        <v>4237</v>
      </c>
      <c r="D4201" s="34" t="str">
        <f t="array" ref="D4201">IFNA(_xlfn.XLOOKUP(C4201,Table_Tarikan_Warkah[Nomor Sertipikat],Table_Tarikan_Warkah[Nomor Tiket]),"")</f>
        <v>L/25/091025/1</v>
      </c>
      <c r="E4201" s="36" t="str">
        <f t="array" ref="E4201">IFNA(_xlfn.XLOOKUP(D4201,Table_Tarikan_Warkah[Nomor Tiket],Table_Tarikan_Warkah[Tanggal diserahkan kepada Validator]),"")</f>
        <v/>
      </c>
      <c r="F4201" s="36" t="str">
        <f t="array" ref="F4201">IFNA(_xlfn.XLOOKUP(D4201,Table_Tarikan_Warkah[Nomor Tiket],Table_Tarikan_Warkah[Nama Petugas Warkah]),"")</f>
        <v/>
      </c>
      <c r="G4201" s="39" t="str">
        <f t="array" ref="G4201">IFNA(_xlfn.XLOOKUP(D4201,Table_Tarikan_Warkah[Nomor Tiket],Table_Tarikan_Warkah[Jenis Permohonan]),"")</f>
        <v>PENINGKATAN HAK</v>
      </c>
      <c r="H4201" s="41" t="s">
        <v>2315</v>
      </c>
      <c r="I4201" s="49" t="s">
        <v>23</v>
      </c>
      <c r="J4201" s="36">
        <f t="shared" si="20"/>
        <v>45958.62533</v>
      </c>
      <c r="K4201" s="49" t="s">
        <v>26</v>
      </c>
      <c r="L4201" s="49" t="s">
        <v>23</v>
      </c>
      <c r="M4201" s="36">
        <f t="shared" si="33"/>
        <v>45961.63439</v>
      </c>
      <c r="N4201" s="30" t="str">
        <f t="shared" si="34"/>
        <v>Selesai</v>
      </c>
      <c r="O4201" s="45">
        <f t="shared" si="23"/>
        <v>45961.63439</v>
      </c>
      <c r="P4201" s="47" t="b">
        <v>0</v>
      </c>
      <c r="Q4201" s="36" t="str">
        <f t="shared" si="35"/>
        <v/>
      </c>
      <c r="R4201" s="47" t="b">
        <v>0</v>
      </c>
      <c r="S4201" s="42" t="str">
        <f t="shared" si="28"/>
        <v/>
      </c>
      <c r="T4201" s="42"/>
    </row>
    <row r="4202" ht="22.5" customHeight="1">
      <c r="B4202" s="42">
        <f t="shared" si="7"/>
        <v>4196</v>
      </c>
      <c r="C4202" s="31" t="s">
        <v>4238</v>
      </c>
      <c r="D4202" s="34" t="str">
        <f t="array" ref="D4202">IFNA(_xlfn.XLOOKUP(C4202,Table_Tarikan_Warkah[Nomor Sertipikat],Table_Tarikan_Warkah[Nomor Tiket]),"")</f>
        <v>L/41/091025/1</v>
      </c>
      <c r="E4202" s="36" t="str">
        <f t="array" ref="E4202">IFNA(_xlfn.XLOOKUP(D4202,Table_Tarikan_Warkah[Nomor Tiket],Table_Tarikan_Warkah[Tanggal diserahkan kepada Validator]),"")</f>
        <v/>
      </c>
      <c r="F4202" s="36" t="str">
        <f t="array" ref="F4202">IFNA(_xlfn.XLOOKUP(D4202,Table_Tarikan_Warkah[Nomor Tiket],Table_Tarikan_Warkah[Nama Petugas Warkah]),"")</f>
        <v/>
      </c>
      <c r="G4202" s="39" t="str">
        <f t="array" ref="G4202">IFNA(_xlfn.XLOOKUP(D4202,Table_Tarikan_Warkah[Nomor Tiket],Table_Tarikan_Warkah[Jenis Permohonan]),"")</f>
        <v>PENINGKATAN HAK</v>
      </c>
      <c r="H4202" s="41" t="s">
        <v>2315</v>
      </c>
      <c r="I4202" s="49" t="s">
        <v>23</v>
      </c>
      <c r="J4202" s="36">
        <f t="shared" si="20"/>
        <v>45958.62547</v>
      </c>
      <c r="K4202" s="49" t="s">
        <v>26</v>
      </c>
      <c r="L4202" s="49" t="s">
        <v>23</v>
      </c>
      <c r="M4202" s="36">
        <f t="shared" si="33"/>
        <v>45961.63596</v>
      </c>
      <c r="N4202" s="30" t="str">
        <f t="shared" si="34"/>
        <v>Selesai</v>
      </c>
      <c r="O4202" s="45">
        <f t="shared" si="23"/>
        <v>45961.63596</v>
      </c>
      <c r="P4202" s="47" t="b">
        <v>0</v>
      </c>
      <c r="Q4202" s="36" t="str">
        <f t="shared" si="35"/>
        <v/>
      </c>
      <c r="R4202" s="47" t="b">
        <v>0</v>
      </c>
      <c r="S4202" s="42" t="str">
        <f t="shared" si="28"/>
        <v/>
      </c>
      <c r="T4202" s="42"/>
    </row>
    <row r="4203" ht="22.5" customHeight="1">
      <c r="B4203" s="42">
        <f t="shared" si="7"/>
        <v>4197</v>
      </c>
      <c r="C4203" s="31" t="s">
        <v>4239</v>
      </c>
      <c r="D4203" s="34" t="str">
        <f t="array" ref="D4203">IFNA(_xlfn.XLOOKUP(C4203,Table_Tarikan_Warkah[Nomor Sertipikat],Table_Tarikan_Warkah[Nomor Tiket]),"")</f>
        <v>L/15/091025/1</v>
      </c>
      <c r="E4203" s="36">
        <f t="array" ref="E4203">IFNA(_xlfn.XLOOKUP(D4203,Table_Tarikan_Warkah[Nomor Tiket],Table_Tarikan_Warkah[Tanggal diserahkan kepada Validator]),"")</f>
        <v>45975.49892</v>
      </c>
      <c r="F4203" s="36" t="str">
        <f t="array" ref="F4203">IFNA(_xlfn.XLOOKUP(D4203,Table_Tarikan_Warkah[Nomor Tiket],Table_Tarikan_Warkah[Nama Petugas Warkah]),"")</f>
        <v>Berry</v>
      </c>
      <c r="G4203" s="39" t="str">
        <f t="array" ref="G4203">IFNA(_xlfn.XLOOKUP(D4203,Table_Tarikan_Warkah[Nomor Tiket],Table_Tarikan_Warkah[Jenis Permohonan]),"")</f>
        <v>PENINGKATAN HAK</v>
      </c>
      <c r="H4203" s="41" t="s">
        <v>2315</v>
      </c>
      <c r="I4203" s="49" t="s">
        <v>23</v>
      </c>
      <c r="J4203" s="36">
        <f t="shared" si="20"/>
        <v>45958.62561</v>
      </c>
      <c r="K4203" s="69"/>
      <c r="L4203" s="49"/>
      <c r="M4203" s="36" t="str">
        <f t="shared" si="33"/>
        <v/>
      </c>
      <c r="N4203" s="30" t="str">
        <f t="shared" si="34"/>
        <v>BT atau SU Belum Valid</v>
      </c>
      <c r="O4203" s="39" t="str">
        <f t="shared" si="23"/>
        <v/>
      </c>
      <c r="P4203" s="47" t="b">
        <v>0</v>
      </c>
      <c r="Q4203" s="36" t="str">
        <f t="shared" si="35"/>
        <v/>
      </c>
      <c r="R4203" s="47" t="b">
        <v>0</v>
      </c>
      <c r="S4203" s="42" t="str">
        <f t="shared" si="28"/>
        <v/>
      </c>
      <c r="T4203" s="42"/>
    </row>
    <row r="4204" ht="22.5" customHeight="1">
      <c r="B4204" s="42">
        <f t="shared" si="7"/>
        <v>4198</v>
      </c>
      <c r="C4204" s="31" t="s">
        <v>4240</v>
      </c>
      <c r="D4204" s="34" t="str">
        <f t="array" ref="D4204">IFNA(_xlfn.XLOOKUP(C4204,Table_Tarikan_Warkah[Nomor Sertipikat],Table_Tarikan_Warkah[Nomor Tiket]),"")</f>
        <v>K/34/091025/3</v>
      </c>
      <c r="E4204" s="36" t="str">
        <f t="array" ref="E4204">IFNA(_xlfn.XLOOKUP(D4204,Table_Tarikan_Warkah[Nomor Tiket],Table_Tarikan_Warkah[Tanggal diserahkan kepada Validator]),"")</f>
        <v/>
      </c>
      <c r="F4204" s="36" t="str">
        <f t="array" ref="F4204">IFNA(_xlfn.XLOOKUP(D4204,Table_Tarikan_Warkah[Nomor Tiket],Table_Tarikan_Warkah[Nama Petugas Warkah]),"")</f>
        <v/>
      </c>
      <c r="G4204" s="39" t="str">
        <f t="array" ref="G4204">IFNA(_xlfn.XLOOKUP(D4204,Table_Tarikan_Warkah[Nomor Tiket],Table_Tarikan_Warkah[Jenis Permohonan]),"")</f>
        <v>Roya</v>
      </c>
      <c r="H4204" s="41" t="s">
        <v>2315</v>
      </c>
      <c r="I4204" s="49" t="s">
        <v>23</v>
      </c>
      <c r="J4204" s="36">
        <f t="shared" si="20"/>
        <v>45958.62591</v>
      </c>
      <c r="K4204" s="69"/>
      <c r="L4204" s="49"/>
      <c r="M4204" s="36" t="str">
        <f t="shared" si="33"/>
        <v/>
      </c>
      <c r="N4204" s="30" t="str">
        <f t="shared" si="34"/>
        <v>BT atau SU Belum Valid</v>
      </c>
      <c r="O4204" s="39" t="str">
        <f t="shared" si="23"/>
        <v/>
      </c>
      <c r="P4204" s="47" t="b">
        <v>0</v>
      </c>
      <c r="Q4204" s="36" t="str">
        <f t="shared" si="35"/>
        <v/>
      </c>
      <c r="R4204" s="47" t="b">
        <v>0</v>
      </c>
      <c r="S4204" s="42" t="str">
        <f t="shared" si="28"/>
        <v/>
      </c>
      <c r="T4204" s="42"/>
    </row>
    <row r="4205" ht="22.5" customHeight="1">
      <c r="B4205" s="42">
        <f t="shared" si="7"/>
        <v>4199</v>
      </c>
      <c r="C4205" s="31" t="s">
        <v>4241</v>
      </c>
      <c r="D4205" s="34" t="str">
        <f t="array" ref="D4205">IFNA(_xlfn.XLOOKUP(C4205,Table_Tarikan_Warkah[Nomor Sertipikat],Table_Tarikan_Warkah[Nomor Tiket]),"")</f>
        <v>K/37/021025/1</v>
      </c>
      <c r="E4205" s="36" t="str">
        <f t="array" ref="E4205">IFNA(_xlfn.XLOOKUP(D4205,Table_Tarikan_Warkah[Nomor Tiket],Table_Tarikan_Warkah[Tanggal diserahkan kepada Validator]),"")</f>
        <v/>
      </c>
      <c r="F4205" s="36" t="str">
        <f t="array" ref="F4205">IFNA(_xlfn.XLOOKUP(D4205,Table_Tarikan_Warkah[Nomor Tiket],Table_Tarikan_Warkah[Nama Petugas Warkah]),"")</f>
        <v/>
      </c>
      <c r="G4205" s="39" t="str">
        <f t="array" ref="G4205">IFNA(_xlfn.XLOOKUP(D4205,Table_Tarikan_Warkah[Nomor Tiket],Table_Tarikan_Warkah[Jenis Permohonan]),"")</f>
        <v>PENINGKATAN HAK</v>
      </c>
      <c r="H4205" s="41" t="s">
        <v>2315</v>
      </c>
      <c r="I4205" s="49" t="s">
        <v>23</v>
      </c>
      <c r="J4205" s="36">
        <f t="shared" si="20"/>
        <v>45958.62607</v>
      </c>
      <c r="K4205" s="69"/>
      <c r="L4205" s="49"/>
      <c r="M4205" s="36" t="str">
        <f t="shared" si="33"/>
        <v/>
      </c>
      <c r="N4205" s="30" t="str">
        <f t="shared" si="34"/>
        <v>BT atau SU Belum Valid</v>
      </c>
      <c r="O4205" s="39" t="str">
        <f t="shared" si="23"/>
        <v/>
      </c>
      <c r="P4205" s="47" t="b">
        <v>0</v>
      </c>
      <c r="Q4205" s="36" t="str">
        <f t="shared" si="35"/>
        <v/>
      </c>
      <c r="R4205" s="47" t="b">
        <v>0</v>
      </c>
      <c r="S4205" s="42" t="str">
        <f t="shared" si="28"/>
        <v/>
      </c>
      <c r="T4205" s="42"/>
    </row>
    <row r="4206" ht="22.5" customHeight="1">
      <c r="B4206" s="42">
        <f t="shared" si="7"/>
        <v>4200</v>
      </c>
      <c r="C4206" s="31" t="s">
        <v>4242</v>
      </c>
      <c r="D4206" s="34" t="str">
        <f t="array" ref="D4206">IFNA(_xlfn.XLOOKUP(C4206,Table_Tarikan_Warkah[Nomor Sertipikat],Table_Tarikan_Warkah[Nomor Tiket]),"")</f>
        <v>K/24/230925/1</v>
      </c>
      <c r="E4206" s="36">
        <f t="array" ref="E4206">IFNA(_xlfn.XLOOKUP(D4206,Table_Tarikan_Warkah[Nomor Tiket],Table_Tarikan_Warkah[Tanggal diserahkan kepada Validator]),"")</f>
        <v>45975.49977</v>
      </c>
      <c r="F4206" s="36" t="str">
        <f t="array" ref="F4206">IFNA(_xlfn.XLOOKUP(D4206,Table_Tarikan_Warkah[Nomor Tiket],Table_Tarikan_Warkah[Nama Petugas Warkah]),"")</f>
        <v>Berry</v>
      </c>
      <c r="G4206" s="39" t="str">
        <f t="array" ref="G4206">IFNA(_xlfn.XLOOKUP(D4206,Table_Tarikan_Warkah[Nomor Tiket],Table_Tarikan_Warkah[Jenis Permohonan]),"")</f>
        <v>BN JUAL BELI</v>
      </c>
      <c r="H4206" s="41" t="s">
        <v>2315</v>
      </c>
      <c r="I4206" s="49" t="s">
        <v>23</v>
      </c>
      <c r="J4206" s="36">
        <f t="shared" si="20"/>
        <v>45958.62621</v>
      </c>
      <c r="K4206" s="69"/>
      <c r="L4206" s="49"/>
      <c r="M4206" s="36" t="str">
        <f t="shared" si="33"/>
        <v/>
      </c>
      <c r="N4206" s="30" t="str">
        <f t="shared" si="34"/>
        <v>BT atau SU Belum Valid</v>
      </c>
      <c r="O4206" s="39" t="str">
        <f t="shared" si="23"/>
        <v/>
      </c>
      <c r="P4206" s="47" t="b">
        <v>0</v>
      </c>
      <c r="Q4206" s="36" t="str">
        <f t="shared" si="35"/>
        <v/>
      </c>
      <c r="R4206" s="47" t="b">
        <v>0</v>
      </c>
      <c r="S4206" s="42" t="str">
        <f t="shared" si="28"/>
        <v/>
      </c>
      <c r="T4206" s="42"/>
    </row>
    <row r="4207" ht="22.5" customHeight="1">
      <c r="B4207" s="42">
        <f t="shared" si="7"/>
        <v>4201</v>
      </c>
      <c r="C4207" s="31" t="s">
        <v>4243</v>
      </c>
      <c r="D4207" s="34" t="str">
        <f t="array" ref="D4207">IFNA(_xlfn.XLOOKUP(C4207,Table_Tarikan_Warkah[Nomor Sertipikat],Table_Tarikan_Warkah[Nomor Tiket]),"")</f>
        <v>K/34/290925/1</v>
      </c>
      <c r="E4207" s="36">
        <f t="array" ref="E4207">IFNA(_xlfn.XLOOKUP(D4207,Table_Tarikan_Warkah[Nomor Tiket],Table_Tarikan_Warkah[Tanggal diserahkan kepada Validator]),"")</f>
        <v>45951.47721</v>
      </c>
      <c r="F4207" s="36" t="str">
        <f t="array" ref="F4207">IFNA(_xlfn.XLOOKUP(D4207,Table_Tarikan_Warkah[Nomor Tiket],Table_Tarikan_Warkah[Nama Petugas Warkah]),"")</f>
        <v>Berry</v>
      </c>
      <c r="G4207" s="39" t="str">
        <f t="array" ref="G4207">IFNA(_xlfn.XLOOKUP(D4207,Table_Tarikan_Warkah[Nomor Tiket],Table_Tarikan_Warkah[Jenis Permohonan]),"")</f>
        <v>BN JUAL BELI</v>
      </c>
      <c r="H4207" s="41" t="s">
        <v>2315</v>
      </c>
      <c r="I4207" s="49" t="s">
        <v>23</v>
      </c>
      <c r="J4207" s="36">
        <f t="shared" si="20"/>
        <v>45958.62647</v>
      </c>
      <c r="K4207" s="69"/>
      <c r="L4207" s="49"/>
      <c r="M4207" s="36" t="str">
        <f t="shared" si="33"/>
        <v/>
      </c>
      <c r="N4207" s="30" t="str">
        <f t="shared" si="34"/>
        <v>BT atau SU Belum Valid</v>
      </c>
      <c r="O4207" s="39" t="str">
        <f t="shared" si="23"/>
        <v/>
      </c>
      <c r="P4207" s="47" t="b">
        <v>0</v>
      </c>
      <c r="Q4207" s="36" t="str">
        <f t="shared" si="35"/>
        <v/>
      </c>
      <c r="R4207" s="47" t="b">
        <v>0</v>
      </c>
      <c r="S4207" s="42" t="str">
        <f t="shared" si="28"/>
        <v/>
      </c>
      <c r="T4207" s="42"/>
    </row>
    <row r="4208" ht="22.5" customHeight="1">
      <c r="B4208" s="42">
        <f t="shared" si="7"/>
        <v>4202</v>
      </c>
      <c r="C4208" s="31" t="s">
        <v>4244</v>
      </c>
      <c r="D4208" s="34" t="str">
        <f t="array" ref="D4208">IFNA(_xlfn.XLOOKUP(C4208,Table_Tarikan_Warkah[Nomor Sertipikat],Table_Tarikan_Warkah[Nomor Tiket]),"")</f>
        <v>K/21/140525/1</v>
      </c>
      <c r="E4208" s="36">
        <f t="array" ref="E4208">IFNA(_xlfn.XLOOKUP(D4208,Table_Tarikan_Warkah[Nomor Tiket],Table_Tarikan_Warkah[Tanggal diserahkan kepada Validator]),"")</f>
        <v>45988.64043</v>
      </c>
      <c r="F4208" s="36" t="str">
        <f t="array" ref="F4208">IFNA(_xlfn.XLOOKUP(D4208,Table_Tarikan_Warkah[Nomor Tiket],Table_Tarikan_Warkah[Nama Petugas Warkah]),"")</f>
        <v>Berry</v>
      </c>
      <c r="G4208" s="39" t="str">
        <f t="array" ref="G4208">IFNA(_xlfn.XLOOKUP(D4208,Table_Tarikan_Warkah[Nomor Tiket],Table_Tarikan_Warkah[Jenis Permohonan]),"")</f>
        <v>BN Waris</v>
      </c>
      <c r="H4208" s="41" t="s">
        <v>2315</v>
      </c>
      <c r="I4208" s="49" t="s">
        <v>23</v>
      </c>
      <c r="J4208" s="36">
        <f t="shared" si="20"/>
        <v>45958.62666</v>
      </c>
      <c r="K4208" s="49" t="s">
        <v>26</v>
      </c>
      <c r="L4208" s="49" t="s">
        <v>23</v>
      </c>
      <c r="M4208" s="36">
        <f t="shared" si="33"/>
        <v>45971.65219</v>
      </c>
      <c r="N4208" s="30" t="str">
        <f t="shared" si="34"/>
        <v>Selesai</v>
      </c>
      <c r="O4208" s="45">
        <f t="shared" si="23"/>
        <v>45971.65219</v>
      </c>
      <c r="P4208" s="47" t="b">
        <v>0</v>
      </c>
      <c r="Q4208" s="36" t="str">
        <f t="shared" si="35"/>
        <v/>
      </c>
      <c r="R4208" s="47" t="b">
        <v>0</v>
      </c>
      <c r="S4208" s="42" t="str">
        <f t="shared" si="28"/>
        <v/>
      </c>
      <c r="T4208" s="42"/>
    </row>
    <row r="4209" ht="22.5" customHeight="1">
      <c r="B4209" s="42">
        <f t="shared" si="7"/>
        <v>4203</v>
      </c>
      <c r="C4209" s="31" t="s">
        <v>4245</v>
      </c>
      <c r="D4209" s="34" t="str">
        <f t="array" ref="D4209">IFNA(_xlfn.XLOOKUP(C4209,Table_Tarikan_Warkah[Nomor Sertipikat],Table_Tarikan_Warkah[Nomor Tiket]),"")</f>
        <v>K/9/091025/1</v>
      </c>
      <c r="E4209" s="36" t="str">
        <f t="array" ref="E4209">IFNA(_xlfn.XLOOKUP(D4209,Table_Tarikan_Warkah[Nomor Tiket],Table_Tarikan_Warkah[Tanggal diserahkan kepada Validator]),"")</f>
        <v/>
      </c>
      <c r="F4209" s="36" t="str">
        <f t="array" ref="F4209">IFNA(_xlfn.XLOOKUP(D4209,Table_Tarikan_Warkah[Nomor Tiket],Table_Tarikan_Warkah[Nama Petugas Warkah]),"")</f>
        <v/>
      </c>
      <c r="G4209" s="39" t="str">
        <f t="array" ref="G4209">IFNA(_xlfn.XLOOKUP(D4209,Table_Tarikan_Warkah[Nomor Tiket],Table_Tarikan_Warkah[Jenis Permohonan]),"")</f>
        <v>ROYA</v>
      </c>
      <c r="H4209" s="41" t="s">
        <v>2315</v>
      </c>
      <c r="I4209" s="49" t="s">
        <v>23</v>
      </c>
      <c r="J4209" s="36">
        <f t="shared" si="20"/>
        <v>45958.62674</v>
      </c>
      <c r="K4209" s="49" t="s">
        <v>26</v>
      </c>
      <c r="L4209" s="49" t="s">
        <v>23</v>
      </c>
      <c r="M4209" s="36">
        <f t="shared" si="33"/>
        <v>45971.65284</v>
      </c>
      <c r="N4209" s="30" t="str">
        <f t="shared" si="34"/>
        <v>Selesai</v>
      </c>
      <c r="O4209" s="45">
        <f t="shared" si="23"/>
        <v>45971.65284</v>
      </c>
      <c r="P4209" s="47" t="b">
        <v>0</v>
      </c>
      <c r="Q4209" s="36" t="str">
        <f t="shared" si="35"/>
        <v/>
      </c>
      <c r="R4209" s="47" t="b">
        <v>0</v>
      </c>
      <c r="S4209" s="42" t="str">
        <f t="shared" si="28"/>
        <v/>
      </c>
      <c r="T4209" s="42"/>
    </row>
    <row r="4210" ht="22.5" customHeight="1">
      <c r="B4210" s="42">
        <f t="shared" si="7"/>
        <v>4204</v>
      </c>
      <c r="C4210" s="31" t="s">
        <v>4246</v>
      </c>
      <c r="D4210" s="34" t="str">
        <f t="array" ref="D4210">IFNA(_xlfn.XLOOKUP(C4210,Table_Tarikan_Warkah[Nomor Sertipikat],Table_Tarikan_Warkah[Nomor Tiket]),"")</f>
        <v>K/11/300925/3</v>
      </c>
      <c r="E4210" s="36" t="str">
        <f t="array" ref="E4210">IFNA(_xlfn.XLOOKUP(D4210,Table_Tarikan_Warkah[Nomor Tiket],Table_Tarikan_Warkah[Tanggal diserahkan kepada Validator]),"")</f>
        <v/>
      </c>
      <c r="F4210" s="36" t="str">
        <f t="array" ref="F4210">IFNA(_xlfn.XLOOKUP(D4210,Table_Tarikan_Warkah[Nomor Tiket],Table_Tarikan_Warkah[Nama Petugas Warkah]),"")</f>
        <v/>
      </c>
      <c r="G4210" s="39" t="str">
        <f t="array" ref="G4210">IFNA(_xlfn.XLOOKUP(D4210,Table_Tarikan_Warkah[Nomor Tiket],Table_Tarikan_Warkah[Jenis Permohonan]),"")</f>
        <v>BN JUAL BELI</v>
      </c>
      <c r="H4210" s="41" t="s">
        <v>2315</v>
      </c>
      <c r="I4210" s="49" t="s">
        <v>23</v>
      </c>
      <c r="J4210" s="36">
        <f t="shared" si="20"/>
        <v>45958.62687</v>
      </c>
      <c r="K4210" s="69"/>
      <c r="L4210" s="49"/>
      <c r="M4210" s="36" t="str">
        <f t="shared" si="33"/>
        <v/>
      </c>
      <c r="N4210" s="30" t="str">
        <f t="shared" si="34"/>
        <v>BT atau SU Belum Valid</v>
      </c>
      <c r="O4210" s="39" t="str">
        <f t="shared" si="23"/>
        <v/>
      </c>
      <c r="P4210" s="47" t="b">
        <v>0</v>
      </c>
      <c r="Q4210" s="36" t="str">
        <f t="shared" si="35"/>
        <v/>
      </c>
      <c r="R4210" s="47" t="b">
        <v>0</v>
      </c>
      <c r="S4210" s="42" t="str">
        <f t="shared" si="28"/>
        <v/>
      </c>
      <c r="T4210" s="42"/>
    </row>
    <row r="4211" ht="22.5" customHeight="1">
      <c r="B4211" s="42">
        <f t="shared" si="7"/>
        <v>4205</v>
      </c>
      <c r="C4211" s="31" t="s">
        <v>4247</v>
      </c>
      <c r="D4211" s="34" t="str">
        <f t="array" ref="D4211">IFNA(_xlfn.XLOOKUP(C4211,Table_Tarikan_Warkah[Nomor Sertipikat],Table_Tarikan_Warkah[Nomor Tiket]),"")</f>
        <v>K/33/081025/1</v>
      </c>
      <c r="E4211" s="36" t="str">
        <f t="array" ref="E4211">IFNA(_xlfn.XLOOKUP(D4211,Table_Tarikan_Warkah[Nomor Tiket],Table_Tarikan_Warkah[Tanggal diserahkan kepada Validator]),"")</f>
        <v/>
      </c>
      <c r="F4211" s="36" t="str">
        <f t="array" ref="F4211">IFNA(_xlfn.XLOOKUP(D4211,Table_Tarikan_Warkah[Nomor Tiket],Table_Tarikan_Warkah[Nama Petugas Warkah]),"")</f>
        <v/>
      </c>
      <c r="G4211" s="39" t="str">
        <f t="array" ref="G4211">IFNA(_xlfn.XLOOKUP(D4211,Table_Tarikan_Warkah[Nomor Tiket],Table_Tarikan_Warkah[Jenis Permohonan]),"")</f>
        <v>BN WARIS</v>
      </c>
      <c r="H4211" s="41" t="s">
        <v>2315</v>
      </c>
      <c r="I4211" s="49" t="s">
        <v>23</v>
      </c>
      <c r="J4211" s="36">
        <f t="shared" si="20"/>
        <v>45958.62704</v>
      </c>
      <c r="K4211" s="69"/>
      <c r="L4211" s="49"/>
      <c r="M4211" s="36" t="str">
        <f t="shared" si="33"/>
        <v/>
      </c>
      <c r="N4211" s="30" t="str">
        <f t="shared" si="34"/>
        <v>BT atau SU Belum Valid</v>
      </c>
      <c r="O4211" s="39" t="str">
        <f t="shared" si="23"/>
        <v/>
      </c>
      <c r="P4211" s="47" t="b">
        <v>0</v>
      </c>
      <c r="Q4211" s="36" t="str">
        <f t="shared" si="35"/>
        <v/>
      </c>
      <c r="R4211" s="47" t="b">
        <v>0</v>
      </c>
      <c r="S4211" s="42" t="str">
        <f t="shared" si="28"/>
        <v/>
      </c>
      <c r="T4211" s="42"/>
    </row>
    <row r="4212" ht="22.5" customHeight="1">
      <c r="B4212" s="42">
        <f t="shared" si="7"/>
        <v>4206</v>
      </c>
      <c r="C4212" s="31" t="s">
        <v>4248</v>
      </c>
      <c r="D4212" s="34" t="str">
        <f t="array" ref="D4212">IFNA(_xlfn.XLOOKUP(C4212,Table_Tarikan_Warkah[Nomor Sertipikat],Table_Tarikan_Warkah[Nomor Tiket]),"")</f>
        <v>K/8/300925/1</v>
      </c>
      <c r="E4212" s="36">
        <f t="array" ref="E4212">IFNA(_xlfn.XLOOKUP(D4212,Table_Tarikan_Warkah[Nomor Tiket],Table_Tarikan_Warkah[Tanggal diserahkan kepada Validator]),"")</f>
        <v>45979.65133</v>
      </c>
      <c r="F4212" s="36" t="str">
        <f t="array" ref="F4212">IFNA(_xlfn.XLOOKUP(D4212,Table_Tarikan_Warkah[Nomor Tiket],Table_Tarikan_Warkah[Nama Petugas Warkah]),"")</f>
        <v>Berry</v>
      </c>
      <c r="G4212" s="39" t="str">
        <f t="array" ref="G4212">IFNA(_xlfn.XLOOKUP(D4212,Table_Tarikan_Warkah[Nomor Tiket],Table_Tarikan_Warkah[Jenis Permohonan]),"")</f>
        <v>BN JUAL BELI</v>
      </c>
      <c r="H4212" s="41" t="s">
        <v>2315</v>
      </c>
      <c r="I4212" s="49" t="s">
        <v>23</v>
      </c>
      <c r="J4212" s="36">
        <f t="shared" si="20"/>
        <v>45958.62719</v>
      </c>
      <c r="K4212" s="49" t="s">
        <v>26</v>
      </c>
      <c r="L4212" s="49" t="s">
        <v>23</v>
      </c>
      <c r="M4212" s="36">
        <f t="shared" si="33"/>
        <v>45961.6206</v>
      </c>
      <c r="N4212" s="30" t="str">
        <f t="shared" si="34"/>
        <v>Selesai</v>
      </c>
      <c r="O4212" s="45">
        <f t="shared" si="23"/>
        <v>45961.6206</v>
      </c>
      <c r="P4212" s="47" t="b">
        <v>0</v>
      </c>
      <c r="Q4212" s="36" t="str">
        <f t="shared" si="35"/>
        <v/>
      </c>
      <c r="R4212" s="47" t="b">
        <v>0</v>
      </c>
      <c r="S4212" s="42" t="str">
        <f t="shared" si="28"/>
        <v/>
      </c>
      <c r="T4212" s="42"/>
    </row>
    <row r="4213" ht="22.5" customHeight="1">
      <c r="B4213" s="42">
        <f t="shared" si="7"/>
        <v>4207</v>
      </c>
      <c r="C4213" s="31" t="s">
        <v>4249</v>
      </c>
      <c r="D4213" s="34" t="str">
        <f t="array" ref="D4213">IFNA(_xlfn.XLOOKUP(C4213,Table_Tarikan_Warkah[Nomor Sertipikat],Table_Tarikan_Warkah[Nomor Tiket]),"")</f>
        <v>K/5/190925/4</v>
      </c>
      <c r="E4213" s="36" t="str">
        <f t="array" ref="E4213">IFNA(_xlfn.XLOOKUP(D4213,Table_Tarikan_Warkah[Nomor Tiket],Table_Tarikan_Warkah[Tanggal diserahkan kepada Validator]),"")</f>
        <v/>
      </c>
      <c r="F4213" s="36" t="str">
        <f t="array" ref="F4213">IFNA(_xlfn.XLOOKUP(D4213,Table_Tarikan_Warkah[Nomor Tiket],Table_Tarikan_Warkah[Nama Petugas Warkah]),"")</f>
        <v/>
      </c>
      <c r="G4213" s="39" t="str">
        <f t="array" ref="G4213">IFNA(_xlfn.XLOOKUP(D4213,Table_Tarikan_Warkah[Nomor Tiket],Table_Tarikan_Warkah[Jenis Permohonan]),"")</f>
        <v>BN JUAL BELI</v>
      </c>
      <c r="H4213" s="41" t="s">
        <v>2315</v>
      </c>
      <c r="I4213" s="49" t="s">
        <v>23</v>
      </c>
      <c r="J4213" s="36">
        <f t="shared" si="20"/>
        <v>45958.62736</v>
      </c>
      <c r="K4213" s="49" t="s">
        <v>26</v>
      </c>
      <c r="L4213" s="49" t="s">
        <v>23</v>
      </c>
      <c r="M4213" s="36">
        <f t="shared" si="33"/>
        <v>45971.64899</v>
      </c>
      <c r="N4213" s="30" t="str">
        <f t="shared" si="34"/>
        <v>Selesai</v>
      </c>
      <c r="O4213" s="45">
        <f t="shared" si="23"/>
        <v>45971.64899</v>
      </c>
      <c r="P4213" s="47" t="b">
        <v>0</v>
      </c>
      <c r="Q4213" s="36" t="str">
        <f t="shared" si="35"/>
        <v/>
      </c>
      <c r="R4213" s="47" t="b">
        <v>0</v>
      </c>
      <c r="S4213" s="42" t="str">
        <f t="shared" si="28"/>
        <v/>
      </c>
      <c r="T4213" s="42"/>
    </row>
    <row r="4214" ht="22.5" customHeight="1">
      <c r="B4214" s="42">
        <f t="shared" si="7"/>
        <v>4208</v>
      </c>
      <c r="C4214" s="31" t="s">
        <v>4250</v>
      </c>
      <c r="D4214" s="34" t="str">
        <f t="array" ref="D4214">IFNA(_xlfn.XLOOKUP(C4214,Table_Tarikan_Warkah[Nomor Sertipikat],Table_Tarikan_Warkah[Nomor Tiket]),"")</f>
        <v>K/35/190925/1</v>
      </c>
      <c r="E4214" s="36" t="str">
        <f t="array" ref="E4214">IFNA(_xlfn.XLOOKUP(D4214,Table_Tarikan_Warkah[Nomor Tiket],Table_Tarikan_Warkah[Tanggal diserahkan kepada Validator]),"")</f>
        <v/>
      </c>
      <c r="F4214" s="36" t="str">
        <f t="array" ref="F4214">IFNA(_xlfn.XLOOKUP(D4214,Table_Tarikan_Warkah[Nomor Tiket],Table_Tarikan_Warkah[Nama Petugas Warkah]),"")</f>
        <v/>
      </c>
      <c r="G4214" s="39" t="str">
        <f t="array" ref="G4214">IFNA(_xlfn.XLOOKUP(D4214,Table_Tarikan_Warkah[Nomor Tiket],Table_Tarikan_Warkah[Jenis Permohonan]),"")</f>
        <v>BN JUAL BELI</v>
      </c>
      <c r="H4214" s="41" t="s">
        <v>2315</v>
      </c>
      <c r="I4214" s="49" t="s">
        <v>23</v>
      </c>
      <c r="J4214" s="36">
        <f t="shared" si="20"/>
        <v>45958.62752</v>
      </c>
      <c r="K4214" s="69"/>
      <c r="L4214" s="49"/>
      <c r="M4214" s="36" t="str">
        <f t="shared" si="33"/>
        <v/>
      </c>
      <c r="N4214" s="30" t="str">
        <f t="shared" si="34"/>
        <v>BT atau SU Belum Valid</v>
      </c>
      <c r="O4214" s="39" t="str">
        <f t="shared" si="23"/>
        <v/>
      </c>
      <c r="P4214" s="47" t="b">
        <v>0</v>
      </c>
      <c r="Q4214" s="36" t="str">
        <f t="shared" si="35"/>
        <v/>
      </c>
      <c r="R4214" s="47" t="b">
        <v>0</v>
      </c>
      <c r="S4214" s="42" t="str">
        <f t="shared" si="28"/>
        <v/>
      </c>
      <c r="T4214" s="42"/>
    </row>
    <row r="4215" ht="22.5" customHeight="1">
      <c r="B4215" s="42">
        <f t="shared" si="7"/>
        <v>4209</v>
      </c>
      <c r="C4215" s="31" t="s">
        <v>4251</v>
      </c>
      <c r="D4215" s="34" t="str">
        <f t="array" ref="D4215">IFNA(_xlfn.XLOOKUP(C4215,Table_Tarikan_Warkah[Nomor Sertipikat],Table_Tarikan_Warkah[Nomor Tiket]),"")</f>
        <v>K/23/290925/1</v>
      </c>
      <c r="E4215" s="36" t="str">
        <f t="array" ref="E4215">IFNA(_xlfn.XLOOKUP(D4215,Table_Tarikan_Warkah[Nomor Tiket],Table_Tarikan_Warkah[Tanggal diserahkan kepada Validator]),"")</f>
        <v/>
      </c>
      <c r="F4215" s="36" t="str">
        <f t="array" ref="F4215">IFNA(_xlfn.XLOOKUP(D4215,Table_Tarikan_Warkah[Nomor Tiket],Table_Tarikan_Warkah[Nama Petugas Warkah]),"")</f>
        <v/>
      </c>
      <c r="G4215" s="39" t="str">
        <f t="array" ref="G4215">IFNA(_xlfn.XLOOKUP(D4215,Table_Tarikan_Warkah[Nomor Tiket],Table_Tarikan_Warkah[Jenis Permohonan]),"")</f>
        <v>BN JUAL BELI</v>
      </c>
      <c r="H4215" s="41" t="s">
        <v>2315</v>
      </c>
      <c r="I4215" s="49" t="s">
        <v>23</v>
      </c>
      <c r="J4215" s="36">
        <f t="shared" si="20"/>
        <v>45958.62765</v>
      </c>
      <c r="K4215" s="49" t="s">
        <v>26</v>
      </c>
      <c r="L4215" s="49" t="s">
        <v>23</v>
      </c>
      <c r="M4215" s="36">
        <f t="shared" si="33"/>
        <v>45961.62196</v>
      </c>
      <c r="N4215" s="30" t="str">
        <f t="shared" si="34"/>
        <v>Selesai</v>
      </c>
      <c r="O4215" s="45">
        <f t="shared" si="23"/>
        <v>45961.62196</v>
      </c>
      <c r="P4215" s="47" t="b">
        <v>0</v>
      </c>
      <c r="Q4215" s="36" t="str">
        <f t="shared" si="35"/>
        <v/>
      </c>
      <c r="R4215" s="47" t="b">
        <v>0</v>
      </c>
      <c r="S4215" s="42" t="str">
        <f t="shared" si="28"/>
        <v/>
      </c>
      <c r="T4215" s="42"/>
    </row>
    <row r="4216" ht="22.5" customHeight="1">
      <c r="B4216" s="42">
        <f t="shared" si="7"/>
        <v>4210</v>
      </c>
      <c r="C4216" s="31" t="s">
        <v>4252</v>
      </c>
      <c r="D4216" s="34" t="str">
        <f t="array" ref="D4216">IFNA(_xlfn.XLOOKUP(C4216,Table_Tarikan_Warkah[Nomor Sertipikat],Table_Tarikan_Warkah[Nomor Tiket]),"")</f>
        <v>K/22/220925/3</v>
      </c>
      <c r="E4216" s="36" t="str">
        <f t="array" ref="E4216">IFNA(_xlfn.XLOOKUP(D4216,Table_Tarikan_Warkah[Nomor Tiket],Table_Tarikan_Warkah[Tanggal diserahkan kepada Validator]),"")</f>
        <v/>
      </c>
      <c r="F4216" s="36" t="str">
        <f t="array" ref="F4216">IFNA(_xlfn.XLOOKUP(D4216,Table_Tarikan_Warkah[Nomor Tiket],Table_Tarikan_Warkah[Nama Petugas Warkah]),"")</f>
        <v/>
      </c>
      <c r="G4216" s="39" t="str">
        <f t="array" ref="G4216">IFNA(_xlfn.XLOOKUP(D4216,Table_Tarikan_Warkah[Nomor Tiket],Table_Tarikan_Warkah[Jenis Permohonan]),"")</f>
        <v>BN JUAL BELI</v>
      </c>
      <c r="H4216" s="41" t="s">
        <v>2315</v>
      </c>
      <c r="I4216" s="49" t="s">
        <v>23</v>
      </c>
      <c r="J4216" s="36">
        <f t="shared" si="20"/>
        <v>45958.62782</v>
      </c>
      <c r="K4216" s="49" t="s">
        <v>26</v>
      </c>
      <c r="L4216" s="49" t="s">
        <v>23</v>
      </c>
      <c r="M4216" s="36">
        <f t="shared" si="33"/>
        <v>45961.62518</v>
      </c>
      <c r="N4216" s="30" t="str">
        <f t="shared" si="34"/>
        <v>Selesai</v>
      </c>
      <c r="O4216" s="45">
        <f t="shared" si="23"/>
        <v>45961.62518</v>
      </c>
      <c r="P4216" s="47" t="b">
        <v>0</v>
      </c>
      <c r="Q4216" s="36" t="str">
        <f t="shared" si="35"/>
        <v/>
      </c>
      <c r="R4216" s="47" t="b">
        <v>0</v>
      </c>
      <c r="S4216" s="42" t="str">
        <f t="shared" si="28"/>
        <v/>
      </c>
      <c r="T4216" s="42"/>
    </row>
    <row r="4217" ht="22.5" customHeight="1">
      <c r="B4217" s="42">
        <f t="shared" si="7"/>
        <v>4211</v>
      </c>
      <c r="C4217" s="31" t="s">
        <v>4253</v>
      </c>
      <c r="D4217" s="34" t="str">
        <f t="array" ref="D4217">IFNA(_xlfn.XLOOKUP(C4217,Table_Tarikan_Warkah[Nomor Sertipikat],Table_Tarikan_Warkah[Nomor Tiket]),"")</f>
        <v>K/6/040928/1</v>
      </c>
      <c r="E4217" s="36" t="str">
        <f t="array" ref="E4217">IFNA(_xlfn.XLOOKUP(D4217,Table_Tarikan_Warkah[Nomor Tiket],Table_Tarikan_Warkah[Tanggal diserahkan kepada Validator]),"")</f>
        <v/>
      </c>
      <c r="F4217" s="36" t="str">
        <f t="array" ref="F4217">IFNA(_xlfn.XLOOKUP(D4217,Table_Tarikan_Warkah[Nomor Tiket],Table_Tarikan_Warkah[Nama Petugas Warkah]),"")</f>
        <v/>
      </c>
      <c r="G4217" s="39" t="str">
        <f t="array" ref="G4217">IFNA(_xlfn.XLOOKUP(D4217,Table_Tarikan_Warkah[Nomor Tiket],Table_Tarikan_Warkah[Jenis Permohonan]),"")</f>
        <v>BN JUAL BELI EL</v>
      </c>
      <c r="H4217" s="41" t="s">
        <v>2315</v>
      </c>
      <c r="I4217" s="49" t="s">
        <v>23</v>
      </c>
      <c r="J4217" s="36">
        <f t="shared" si="20"/>
        <v>45958.62793</v>
      </c>
      <c r="K4217" s="49" t="s">
        <v>26</v>
      </c>
      <c r="L4217" s="49" t="s">
        <v>23</v>
      </c>
      <c r="M4217" s="36">
        <f t="shared" si="33"/>
        <v>45961.62896</v>
      </c>
      <c r="N4217" s="30" t="str">
        <f t="shared" si="34"/>
        <v>Selesai</v>
      </c>
      <c r="O4217" s="45">
        <f t="shared" si="23"/>
        <v>45961.62896</v>
      </c>
      <c r="P4217" s="47" t="b">
        <v>0</v>
      </c>
      <c r="Q4217" s="36" t="str">
        <f t="shared" si="35"/>
        <v/>
      </c>
      <c r="R4217" s="47" t="b">
        <v>0</v>
      </c>
      <c r="S4217" s="42" t="str">
        <f t="shared" si="28"/>
        <v/>
      </c>
      <c r="T4217" s="42"/>
    </row>
    <row r="4218" ht="22.5" customHeight="1">
      <c r="B4218" s="42">
        <f t="shared" si="7"/>
        <v>4212</v>
      </c>
      <c r="C4218" s="31" t="s">
        <v>4254</v>
      </c>
      <c r="D4218" s="34" t="str">
        <f t="array" ref="D4218">IFNA(_xlfn.XLOOKUP(C4218,Table_Tarikan_Warkah[Nomor Sertipikat],Table_Tarikan_Warkah[Nomor Tiket]),"")</f>
        <v>K/23/160925/2</v>
      </c>
      <c r="E4218" s="36" t="str">
        <f t="array" ref="E4218">IFNA(_xlfn.XLOOKUP(D4218,Table_Tarikan_Warkah[Nomor Tiket],Table_Tarikan_Warkah[Tanggal diserahkan kepada Validator]),"")</f>
        <v/>
      </c>
      <c r="F4218" s="36" t="str">
        <f t="array" ref="F4218">IFNA(_xlfn.XLOOKUP(D4218,Table_Tarikan_Warkah[Nomor Tiket],Table_Tarikan_Warkah[Nama Petugas Warkah]),"")</f>
        <v/>
      </c>
      <c r="G4218" s="39" t="str">
        <f t="array" ref="G4218">IFNA(_xlfn.XLOOKUP(D4218,Table_Tarikan_Warkah[Nomor Tiket],Table_Tarikan_Warkah[Jenis Permohonan]),"")</f>
        <v>BN JUAL BELI</v>
      </c>
      <c r="H4218" s="41" t="s">
        <v>2315</v>
      </c>
      <c r="I4218" s="49" t="s">
        <v>23</v>
      </c>
      <c r="J4218" s="36">
        <f t="shared" si="20"/>
        <v>45958.62807</v>
      </c>
      <c r="K4218" s="49" t="s">
        <v>26</v>
      </c>
      <c r="L4218" s="49" t="s">
        <v>23</v>
      </c>
      <c r="M4218" s="36">
        <f t="shared" si="33"/>
        <v>45961.62404</v>
      </c>
      <c r="N4218" s="30" t="str">
        <f t="shared" si="34"/>
        <v>Selesai</v>
      </c>
      <c r="O4218" s="45">
        <f t="shared" si="23"/>
        <v>45961.62404</v>
      </c>
      <c r="P4218" s="47" t="b">
        <v>0</v>
      </c>
      <c r="Q4218" s="36" t="str">
        <f t="shared" si="35"/>
        <v/>
      </c>
      <c r="R4218" s="47" t="b">
        <v>0</v>
      </c>
      <c r="S4218" s="42" t="str">
        <f t="shared" si="28"/>
        <v/>
      </c>
      <c r="T4218" s="42"/>
    </row>
    <row r="4219" ht="22.5" customHeight="1">
      <c r="B4219" s="42">
        <f t="shared" si="7"/>
        <v>4213</v>
      </c>
      <c r="C4219" s="31" t="s">
        <v>4255</v>
      </c>
      <c r="D4219" s="34" t="str">
        <f t="array" ref="D4219">IFNA(_xlfn.XLOOKUP(C4219,Table_Tarikan_Warkah[Nomor Sertipikat],Table_Tarikan_Warkah[Nomor Tiket]),"")</f>
        <v>K/19/190925/1</v>
      </c>
      <c r="E4219" s="36" t="str">
        <f t="array" ref="E4219">IFNA(_xlfn.XLOOKUP(D4219,Table_Tarikan_Warkah[Nomor Tiket],Table_Tarikan_Warkah[Tanggal diserahkan kepada Validator]),"")</f>
        <v/>
      </c>
      <c r="F4219" s="36" t="str">
        <f t="array" ref="F4219">IFNA(_xlfn.XLOOKUP(D4219,Table_Tarikan_Warkah[Nomor Tiket],Table_Tarikan_Warkah[Nama Petugas Warkah]),"")</f>
        <v/>
      </c>
      <c r="G4219" s="39" t="str">
        <f t="array" ref="G4219">IFNA(_xlfn.XLOOKUP(D4219,Table_Tarikan_Warkah[Nomor Tiket],Table_Tarikan_Warkah[Jenis Permohonan]),"")</f>
        <v>BN JUAL BELI</v>
      </c>
      <c r="H4219" s="41" t="s">
        <v>2315</v>
      </c>
      <c r="I4219" s="49" t="s">
        <v>23</v>
      </c>
      <c r="J4219" s="36">
        <f t="shared" si="20"/>
        <v>45958.62821</v>
      </c>
      <c r="K4219" s="69"/>
      <c r="L4219" s="49"/>
      <c r="M4219" s="36" t="str">
        <f t="shared" si="33"/>
        <v/>
      </c>
      <c r="N4219" s="30" t="str">
        <f t="shared" si="34"/>
        <v>BT atau SU Belum Valid</v>
      </c>
      <c r="O4219" s="39" t="str">
        <f t="shared" si="23"/>
        <v/>
      </c>
      <c r="P4219" s="47" t="b">
        <v>0</v>
      </c>
      <c r="Q4219" s="36" t="str">
        <f t="shared" si="35"/>
        <v/>
      </c>
      <c r="R4219" s="47" t="b">
        <v>0</v>
      </c>
      <c r="S4219" s="42" t="str">
        <f t="shared" si="28"/>
        <v/>
      </c>
      <c r="T4219" s="42"/>
    </row>
    <row r="4220" ht="22.5" customHeight="1">
      <c r="B4220" s="42">
        <f t="shared" si="7"/>
        <v>4214</v>
      </c>
      <c r="C4220" s="31" t="s">
        <v>4256</v>
      </c>
      <c r="D4220" s="34" t="str">
        <f t="array" ref="D4220">IFNA(_xlfn.XLOOKUP(C4220,Table_Tarikan_Warkah[Nomor Sertipikat],Table_Tarikan_Warkah[Nomor Tiket]),"")</f>
        <v>K/3/300925/1</v>
      </c>
      <c r="E4220" s="36" t="str">
        <f t="array" ref="E4220">IFNA(_xlfn.XLOOKUP(D4220,Table_Tarikan_Warkah[Nomor Tiket],Table_Tarikan_Warkah[Tanggal diserahkan kepada Validator]),"")</f>
        <v/>
      </c>
      <c r="F4220" s="36" t="str">
        <f t="array" ref="F4220">IFNA(_xlfn.XLOOKUP(D4220,Table_Tarikan_Warkah[Nomor Tiket],Table_Tarikan_Warkah[Nama Petugas Warkah]),"")</f>
        <v/>
      </c>
      <c r="G4220" s="39" t="str">
        <f t="array" ref="G4220">IFNA(_xlfn.XLOOKUP(D4220,Table_Tarikan_Warkah[Nomor Tiket],Table_Tarikan_Warkah[Jenis Permohonan]),"")</f>
        <v>BN APHB	</v>
      </c>
      <c r="H4220" s="41" t="s">
        <v>920</v>
      </c>
      <c r="I4220" s="49" t="s">
        <v>23</v>
      </c>
      <c r="J4220" s="36">
        <f t="shared" si="20"/>
        <v>45958.69795</v>
      </c>
      <c r="K4220" s="49" t="s">
        <v>920</v>
      </c>
      <c r="L4220" s="49" t="s">
        <v>23</v>
      </c>
      <c r="M4220" s="36">
        <f t="shared" si="33"/>
        <v>45958.69799</v>
      </c>
      <c r="N4220" s="30" t="str">
        <f t="shared" si="34"/>
        <v>Selesai</v>
      </c>
      <c r="O4220" s="45">
        <f t="shared" si="23"/>
        <v>45958.69799</v>
      </c>
      <c r="P4220" s="47" t="b">
        <v>1</v>
      </c>
      <c r="Q4220" s="36">
        <f t="shared" si="35"/>
        <v>45958.698</v>
      </c>
      <c r="R4220" s="47" t="b">
        <v>0</v>
      </c>
      <c r="S4220" s="42" t="str">
        <f t="shared" si="28"/>
        <v/>
      </c>
      <c r="T4220" s="42"/>
    </row>
    <row r="4221" ht="22.5" customHeight="1">
      <c r="B4221" s="42">
        <f t="shared" si="7"/>
        <v>4215</v>
      </c>
      <c r="C4221" s="31" t="s">
        <v>4257</v>
      </c>
      <c r="D4221" s="34" t="str">
        <f t="array" ref="D4221">IFNA(_xlfn.XLOOKUP(C4221,Table_Tarikan_Warkah[Nomor Sertipikat],Table_Tarikan_Warkah[Nomor Tiket]),"")</f>
        <v>K/17/250925/1</v>
      </c>
      <c r="E4221" s="36">
        <f t="array" ref="E4221">IFNA(_xlfn.XLOOKUP(D4221,Table_Tarikan_Warkah[Nomor Tiket],Table_Tarikan_Warkah[Tanggal diserahkan kepada Validator]),"")</f>
        <v>45993.46053</v>
      </c>
      <c r="F4221" s="36" t="str">
        <f t="array" ref="F4221">IFNA(_xlfn.XLOOKUP(D4221,Table_Tarikan_Warkah[Nomor Tiket],Table_Tarikan_Warkah[Nama Petugas Warkah]),"")</f>
        <v>David</v>
      </c>
      <c r="G4221" s="39" t="str">
        <f t="array" ref="G4221">IFNA(_xlfn.XLOOKUP(D4221,Table_Tarikan_Warkah[Nomor Tiket],Table_Tarikan_Warkah[Jenis Permohonan]),"")</f>
        <v>APHB	</v>
      </c>
      <c r="H4221" s="41" t="s">
        <v>920</v>
      </c>
      <c r="I4221" s="49" t="s">
        <v>23</v>
      </c>
      <c r="J4221" s="36">
        <f t="shared" si="20"/>
        <v>45958.69818</v>
      </c>
      <c r="K4221" s="49" t="s">
        <v>920</v>
      </c>
      <c r="L4221" s="49" t="s">
        <v>23</v>
      </c>
      <c r="M4221" s="36">
        <f t="shared" si="33"/>
        <v>45958.69821</v>
      </c>
      <c r="N4221" s="30" t="str">
        <f t="shared" si="34"/>
        <v>Selesai</v>
      </c>
      <c r="O4221" s="45">
        <f t="shared" si="23"/>
        <v>45958.69821</v>
      </c>
      <c r="P4221" s="47" t="b">
        <v>1</v>
      </c>
      <c r="Q4221" s="36">
        <f t="shared" si="35"/>
        <v>45958.69823</v>
      </c>
      <c r="R4221" s="47" t="b">
        <v>0</v>
      </c>
      <c r="S4221" s="42" t="str">
        <f t="shared" si="28"/>
        <v/>
      </c>
      <c r="T4221" s="42"/>
    </row>
    <row r="4222" ht="22.5" customHeight="1">
      <c r="B4222" s="42">
        <f t="shared" si="7"/>
        <v>4216</v>
      </c>
      <c r="C4222" s="31" t="s">
        <v>4258</v>
      </c>
      <c r="D4222" s="34" t="str">
        <f t="array" ref="D4222">IFNA(_xlfn.XLOOKUP(C4222,Table_Tarikan_Warkah[Nomor Sertipikat],Table_Tarikan_Warkah[Nomor Tiket]),"")</f>
        <v>K/39/011025/1</v>
      </c>
      <c r="E4222" s="36" t="str">
        <f t="array" ref="E4222">IFNA(_xlfn.XLOOKUP(D4222,Table_Tarikan_Warkah[Nomor Tiket],Table_Tarikan_Warkah[Tanggal diserahkan kepada Validator]),"")</f>
        <v/>
      </c>
      <c r="F4222" s="36" t="str">
        <f t="array" ref="F4222">IFNA(_xlfn.XLOOKUP(D4222,Table_Tarikan_Warkah[Nomor Tiket],Table_Tarikan_Warkah[Nama Petugas Warkah]),"")</f>
        <v/>
      </c>
      <c r="G4222" s="39" t="str">
        <f t="array" ref="G4222">IFNA(_xlfn.XLOOKUP(D4222,Table_Tarikan_Warkah[Nomor Tiket],Table_Tarikan_Warkah[Jenis Permohonan]),"")</f>
        <v>BN Jual Beli		</v>
      </c>
      <c r="H4222" s="41" t="s">
        <v>920</v>
      </c>
      <c r="I4222" s="49" t="s">
        <v>23</v>
      </c>
      <c r="J4222" s="36">
        <f t="shared" si="20"/>
        <v>45958.69838</v>
      </c>
      <c r="K4222" s="49" t="s">
        <v>920</v>
      </c>
      <c r="L4222" s="49" t="s">
        <v>23</v>
      </c>
      <c r="M4222" s="36">
        <f t="shared" si="33"/>
        <v>45958.69844</v>
      </c>
      <c r="N4222" s="30" t="str">
        <f t="shared" si="34"/>
        <v>Selesai</v>
      </c>
      <c r="O4222" s="45">
        <f t="shared" si="23"/>
        <v>45958.69844</v>
      </c>
      <c r="P4222" s="47" t="b">
        <v>1</v>
      </c>
      <c r="Q4222" s="36">
        <f t="shared" si="35"/>
        <v>45958.69846</v>
      </c>
      <c r="R4222" s="47" t="b">
        <v>0</v>
      </c>
      <c r="S4222" s="42" t="str">
        <f t="shared" si="28"/>
        <v/>
      </c>
      <c r="T4222" s="42"/>
    </row>
    <row r="4223" ht="22.5" customHeight="1">
      <c r="B4223" s="42">
        <f t="shared" si="7"/>
        <v>4217</v>
      </c>
      <c r="C4223" s="31" t="s">
        <v>4259</v>
      </c>
      <c r="D4223" s="34" t="str">
        <f t="array" ref="D4223">IFNA(_xlfn.XLOOKUP(C4223,Table_Tarikan_Warkah[Nomor Sertipikat],Table_Tarikan_Warkah[Nomor Tiket]),"")</f>
        <v>K/6/250725/1</v>
      </c>
      <c r="E4223" s="36">
        <f t="array" ref="E4223">IFNA(_xlfn.XLOOKUP(D4223,Table_Tarikan_Warkah[Nomor Tiket],Table_Tarikan_Warkah[Tanggal diserahkan kepada Validator]),"")</f>
        <v>45960.63254</v>
      </c>
      <c r="F4223" s="36" t="str">
        <f t="array" ref="F4223">IFNA(_xlfn.XLOOKUP(D4223,Table_Tarikan_Warkah[Nomor Tiket],Table_Tarikan_Warkah[Nama Petugas Warkah]),"")</f>
        <v>David</v>
      </c>
      <c r="G4223" s="39" t="str">
        <f t="array" ref="G4223">IFNA(_xlfn.XLOOKUP(D4223,Table_Tarikan_Warkah[Nomor Tiket],Table_Tarikan_Warkah[Jenis Permohonan]),"")</f>
        <v>BN JUAL BELI</v>
      </c>
      <c r="H4223" s="41" t="s">
        <v>920</v>
      </c>
      <c r="I4223" s="49" t="s">
        <v>23</v>
      </c>
      <c r="J4223" s="36">
        <f t="shared" si="20"/>
        <v>45958.69862</v>
      </c>
      <c r="K4223" s="49" t="s">
        <v>920</v>
      </c>
      <c r="L4223" s="49" t="s">
        <v>23</v>
      </c>
      <c r="M4223" s="36">
        <f t="shared" si="33"/>
        <v>45958.69864</v>
      </c>
      <c r="N4223" s="30" t="str">
        <f t="shared" si="34"/>
        <v>Selesai</v>
      </c>
      <c r="O4223" s="45">
        <f t="shared" si="23"/>
        <v>45958.69864</v>
      </c>
      <c r="P4223" s="47" t="b">
        <v>1</v>
      </c>
      <c r="Q4223" s="36">
        <f t="shared" si="35"/>
        <v>45958.69866</v>
      </c>
      <c r="R4223" s="47" t="b">
        <v>0</v>
      </c>
      <c r="S4223" s="42" t="str">
        <f t="shared" si="28"/>
        <v/>
      </c>
      <c r="T4223" s="42"/>
    </row>
    <row r="4224" ht="22.5" customHeight="1">
      <c r="B4224" s="42">
        <f t="shared" si="7"/>
        <v>4218</v>
      </c>
      <c r="C4224" s="31" t="s">
        <v>4260</v>
      </c>
      <c r="D4224" s="34" t="str">
        <f t="array" ref="D4224">IFNA(_xlfn.XLOOKUP(C4224,Table_Tarikan_Warkah[Nomor Sertipikat],Table_Tarikan_Warkah[Nomor Tiket]),"")</f>
        <v>K/29/110925/1</v>
      </c>
      <c r="E4224" s="36" t="str">
        <f t="array" ref="E4224">IFNA(_xlfn.XLOOKUP(D4224,Table_Tarikan_Warkah[Nomor Tiket],Table_Tarikan_Warkah[Tanggal diserahkan kepada Validator]),"")</f>
        <v/>
      </c>
      <c r="F4224" s="36" t="str">
        <f t="array" ref="F4224">IFNA(_xlfn.XLOOKUP(D4224,Table_Tarikan_Warkah[Nomor Tiket],Table_Tarikan_Warkah[Nama Petugas Warkah]),"")</f>
        <v/>
      </c>
      <c r="G4224" s="39" t="str">
        <f t="array" ref="G4224">IFNA(_xlfn.XLOOKUP(D4224,Table_Tarikan_Warkah[Nomor Tiket],Table_Tarikan_Warkah[Jenis Permohonan]),"")</f>
        <v>BN HIBAH</v>
      </c>
      <c r="H4224" s="41" t="s">
        <v>920</v>
      </c>
      <c r="I4224" s="49" t="s">
        <v>23</v>
      </c>
      <c r="J4224" s="36">
        <f t="shared" si="20"/>
        <v>45958.69891</v>
      </c>
      <c r="K4224" s="49" t="s">
        <v>920</v>
      </c>
      <c r="L4224" s="49" t="s">
        <v>23</v>
      </c>
      <c r="M4224" s="36">
        <f t="shared" si="33"/>
        <v>45958.69891</v>
      </c>
      <c r="N4224" s="30" t="str">
        <f t="shared" si="34"/>
        <v>Selesai</v>
      </c>
      <c r="O4224" s="45">
        <f t="shared" si="23"/>
        <v>45958.69891</v>
      </c>
      <c r="P4224" s="47" t="b">
        <v>1</v>
      </c>
      <c r="Q4224" s="36">
        <f t="shared" si="35"/>
        <v>45958.69893</v>
      </c>
      <c r="R4224" s="47" t="b">
        <v>0</v>
      </c>
      <c r="S4224" s="42" t="str">
        <f t="shared" si="28"/>
        <v/>
      </c>
      <c r="T4224" s="42"/>
    </row>
    <row r="4225" ht="22.5" customHeight="1">
      <c r="B4225" s="42">
        <f t="shared" si="7"/>
        <v>4219</v>
      </c>
      <c r="C4225" s="31" t="s">
        <v>4261</v>
      </c>
      <c r="D4225" s="34" t="str">
        <f t="array" ref="D4225">IFNA(_xlfn.XLOOKUP(C4225,Table_Tarikan_Warkah[Nomor Sertipikat],Table_Tarikan_Warkah[Nomor Tiket]),"")</f>
        <v>K/4/160925/1</v>
      </c>
      <c r="E4225" s="36" t="str">
        <f t="array" ref="E4225">IFNA(_xlfn.XLOOKUP(D4225,Table_Tarikan_Warkah[Nomor Tiket],Table_Tarikan_Warkah[Tanggal diserahkan kepada Validator]),"")</f>
        <v/>
      </c>
      <c r="F4225" s="36" t="str">
        <f t="array" ref="F4225">IFNA(_xlfn.XLOOKUP(D4225,Table_Tarikan_Warkah[Nomor Tiket],Table_Tarikan_Warkah[Nama Petugas Warkah]),"")</f>
        <v/>
      </c>
      <c r="G4225" s="39" t="str">
        <f t="array" ref="G4225">IFNA(_xlfn.XLOOKUP(D4225,Table_Tarikan_Warkah[Nomor Tiket],Table_Tarikan_Warkah[Jenis Permohonan]),"")</f>
        <v>BN Hibah	</v>
      </c>
      <c r="H4225" s="41" t="s">
        <v>920</v>
      </c>
      <c r="I4225" s="49" t="s">
        <v>23</v>
      </c>
      <c r="J4225" s="36">
        <f t="shared" si="20"/>
        <v>45958.70312</v>
      </c>
      <c r="K4225" s="49" t="s">
        <v>920</v>
      </c>
      <c r="L4225" s="49" t="s">
        <v>23</v>
      </c>
      <c r="M4225" s="36">
        <f t="shared" si="33"/>
        <v>45958.70319</v>
      </c>
      <c r="N4225" s="30" t="str">
        <f t="shared" si="34"/>
        <v>Selesai</v>
      </c>
      <c r="O4225" s="45">
        <f t="shared" si="23"/>
        <v>45958.70319</v>
      </c>
      <c r="P4225" s="47" t="b">
        <v>1</v>
      </c>
      <c r="Q4225" s="36">
        <f t="shared" si="35"/>
        <v>45958.7032</v>
      </c>
      <c r="R4225" s="47" t="b">
        <v>0</v>
      </c>
      <c r="S4225" s="42" t="str">
        <f t="shared" si="28"/>
        <v/>
      </c>
      <c r="T4225" s="42"/>
    </row>
    <row r="4226" ht="22.5" customHeight="1">
      <c r="B4226" s="42">
        <f t="shared" si="7"/>
        <v>4220</v>
      </c>
      <c r="C4226" s="31" t="s">
        <v>4262</v>
      </c>
      <c r="D4226" s="34" t="str">
        <f t="array" ref="D4226">IFNA(_xlfn.XLOOKUP(C4226,Table_Tarikan_Warkah[Nomor Sertipikat],Table_Tarikan_Warkah[Nomor Tiket]),"")</f>
        <v>K/21/240925/2</v>
      </c>
      <c r="E4226" s="36">
        <f t="array" ref="E4226">IFNA(_xlfn.XLOOKUP(D4226,Table_Tarikan_Warkah[Nomor Tiket],Table_Tarikan_Warkah[Tanggal diserahkan kepada Validator]),"")</f>
        <v>45951.4704</v>
      </c>
      <c r="F4226" s="36" t="str">
        <f t="array" ref="F4226">IFNA(_xlfn.XLOOKUP(D4226,Table_Tarikan_Warkah[Nomor Tiket],Table_Tarikan_Warkah[Nama Petugas Warkah]),"")</f>
        <v>Berry</v>
      </c>
      <c r="G4226" s="39" t="str">
        <f t="array" ref="G4226">IFNA(_xlfn.XLOOKUP(D4226,Table_Tarikan_Warkah[Nomor Tiket],Table_Tarikan_Warkah[Jenis Permohonan]),"")</f>
        <v>BN Jual Beli	</v>
      </c>
      <c r="H4226" s="41" t="s">
        <v>920</v>
      </c>
      <c r="I4226" s="49" t="s">
        <v>23</v>
      </c>
      <c r="J4226" s="36">
        <f t="shared" si="20"/>
        <v>45958.70339</v>
      </c>
      <c r="K4226" s="49" t="s">
        <v>920</v>
      </c>
      <c r="L4226" s="49" t="s">
        <v>23</v>
      </c>
      <c r="M4226" s="36">
        <f t="shared" si="33"/>
        <v>45958.70343</v>
      </c>
      <c r="N4226" s="30" t="str">
        <f t="shared" si="34"/>
        <v>Selesai</v>
      </c>
      <c r="O4226" s="45">
        <f t="shared" si="23"/>
        <v>45958.70343</v>
      </c>
      <c r="P4226" s="47" t="b">
        <v>1</v>
      </c>
      <c r="Q4226" s="36">
        <f t="shared" si="35"/>
        <v>45958.70345</v>
      </c>
      <c r="R4226" s="47" t="b">
        <v>0</v>
      </c>
      <c r="S4226" s="42" t="str">
        <f t="shared" si="28"/>
        <v/>
      </c>
      <c r="T4226" s="42"/>
    </row>
    <row r="4227" ht="22.5" customHeight="1">
      <c r="B4227" s="42">
        <f t="shared" si="7"/>
        <v>4221</v>
      </c>
      <c r="C4227" s="31" t="s">
        <v>4263</v>
      </c>
      <c r="D4227" s="34" t="str">
        <f t="array" ref="D4227">IFNA(_xlfn.XLOOKUP(C4227,Table_Tarikan_Warkah[Nomor Sertipikat],Table_Tarikan_Warkah[Nomor Tiket]),"")</f>
        <v>K/33/250925/1</v>
      </c>
      <c r="E4227" s="36" t="str">
        <f t="array" ref="E4227">IFNA(_xlfn.XLOOKUP(D4227,Table_Tarikan_Warkah[Nomor Tiket],Table_Tarikan_Warkah[Tanggal diserahkan kepada Validator]),"")</f>
        <v/>
      </c>
      <c r="F4227" s="36" t="str">
        <f t="array" ref="F4227">IFNA(_xlfn.XLOOKUP(D4227,Table_Tarikan_Warkah[Nomor Tiket],Table_Tarikan_Warkah[Nama Petugas Warkah]),"")</f>
        <v/>
      </c>
      <c r="G4227" s="39" t="str">
        <f t="array" ref="G4227">IFNA(_xlfn.XLOOKUP(D4227,Table_Tarikan_Warkah[Nomor Tiket],Table_Tarikan_Warkah[Jenis Permohonan]),"")</f>
        <v>BN Jual Beli	</v>
      </c>
      <c r="H4227" s="41" t="s">
        <v>920</v>
      </c>
      <c r="I4227" s="49" t="s">
        <v>23</v>
      </c>
      <c r="J4227" s="36">
        <f t="shared" si="20"/>
        <v>45958.70363</v>
      </c>
      <c r="K4227" s="49" t="s">
        <v>920</v>
      </c>
      <c r="L4227" s="49" t="s">
        <v>23</v>
      </c>
      <c r="M4227" s="36">
        <f t="shared" si="33"/>
        <v>45958.7037</v>
      </c>
      <c r="N4227" s="30" t="str">
        <f t="shared" si="34"/>
        <v>Selesai</v>
      </c>
      <c r="O4227" s="45">
        <f t="shared" si="23"/>
        <v>45958.7037</v>
      </c>
      <c r="P4227" s="47" t="b">
        <v>1</v>
      </c>
      <c r="Q4227" s="36">
        <f t="shared" si="35"/>
        <v>45958.7037</v>
      </c>
      <c r="R4227" s="47" t="b">
        <v>0</v>
      </c>
      <c r="S4227" s="42" t="str">
        <f t="shared" si="28"/>
        <v/>
      </c>
      <c r="T4227" s="42"/>
    </row>
    <row r="4228" ht="22.5" customHeight="1">
      <c r="B4228" s="42">
        <f t="shared" si="7"/>
        <v>4222</v>
      </c>
      <c r="C4228" s="31" t="s">
        <v>4264</v>
      </c>
      <c r="D4228" s="34" t="str">
        <f t="array" ref="D4228">IFNA(_xlfn.XLOOKUP(C4228,Table_Tarikan_Warkah[Nomor Sertipikat],Table_Tarikan_Warkah[Nomor Tiket]),"")</f>
        <v>K/3/260925/1</v>
      </c>
      <c r="E4228" s="36" t="str">
        <f t="array" ref="E4228">IFNA(_xlfn.XLOOKUP(D4228,Table_Tarikan_Warkah[Nomor Tiket],Table_Tarikan_Warkah[Tanggal diserahkan kepada Validator]),"")</f>
        <v/>
      </c>
      <c r="F4228" s="36" t="str">
        <f t="array" ref="F4228">IFNA(_xlfn.XLOOKUP(D4228,Table_Tarikan_Warkah[Nomor Tiket],Table_Tarikan_Warkah[Nama Petugas Warkah]),"")</f>
        <v/>
      </c>
      <c r="G4228" s="39" t="str">
        <f t="array" ref="G4228">IFNA(_xlfn.XLOOKUP(D4228,Table_Tarikan_Warkah[Nomor Tiket],Table_Tarikan_Warkah[Jenis Permohonan]),"")</f>
        <v>BN Jual Beli	</v>
      </c>
      <c r="H4228" s="41" t="s">
        <v>920</v>
      </c>
      <c r="I4228" s="49" t="s">
        <v>23</v>
      </c>
      <c r="J4228" s="36">
        <f t="shared" si="20"/>
        <v>45958.70405</v>
      </c>
      <c r="K4228" s="49" t="s">
        <v>920</v>
      </c>
      <c r="L4228" s="49" t="s">
        <v>23</v>
      </c>
      <c r="M4228" s="36">
        <f t="shared" si="33"/>
        <v>45958.7041</v>
      </c>
      <c r="N4228" s="30" t="str">
        <f t="shared" si="34"/>
        <v>Selesai</v>
      </c>
      <c r="O4228" s="45">
        <f t="shared" si="23"/>
        <v>45958.7041</v>
      </c>
      <c r="P4228" s="47" t="b">
        <v>1</v>
      </c>
      <c r="Q4228" s="36">
        <f t="shared" si="35"/>
        <v>45958.70411</v>
      </c>
      <c r="R4228" s="47" t="b">
        <v>0</v>
      </c>
      <c r="S4228" s="42" t="str">
        <f t="shared" si="28"/>
        <v/>
      </c>
      <c r="T4228" s="42"/>
    </row>
    <row r="4229" ht="22.5" customHeight="1">
      <c r="B4229" s="42">
        <f t="shared" si="7"/>
        <v>4223</v>
      </c>
      <c r="C4229" s="31" t="s">
        <v>4265</v>
      </c>
      <c r="D4229" s="34" t="str">
        <f t="array" ref="D4229">IFNA(_xlfn.XLOOKUP(C4229,Table_Tarikan_Warkah[Nomor Sertipikat],Table_Tarikan_Warkah[Nomor Tiket]),"")</f>
        <v>K/4/260925/2                </v>
      </c>
      <c r="E4229" s="36">
        <f t="array" ref="E4229">IFNA(_xlfn.XLOOKUP(D4229,Table_Tarikan_Warkah[Nomor Tiket],Table_Tarikan_Warkah[Tanggal diserahkan kepada Validator]),"")</f>
        <v>45960.6329</v>
      </c>
      <c r="F4229" s="36" t="str">
        <f t="array" ref="F4229">IFNA(_xlfn.XLOOKUP(D4229,Table_Tarikan_Warkah[Nomor Tiket],Table_Tarikan_Warkah[Nama Petugas Warkah]),"")</f>
        <v>David</v>
      </c>
      <c r="G4229" s="39" t="str">
        <f t="array" ref="G4229">IFNA(_xlfn.XLOOKUP(D4229,Table_Tarikan_Warkah[Nomor Tiket],Table_Tarikan_Warkah[Jenis Permohonan]),"")</f>
        <v>BN Jual Beli	</v>
      </c>
      <c r="H4229" s="41" t="s">
        <v>920</v>
      </c>
      <c r="I4229" s="49" t="s">
        <v>23</v>
      </c>
      <c r="J4229" s="36">
        <f t="shared" si="20"/>
        <v>45958.70451</v>
      </c>
      <c r="K4229" s="49" t="s">
        <v>920</v>
      </c>
      <c r="L4229" s="49" t="s">
        <v>23</v>
      </c>
      <c r="M4229" s="36">
        <f t="shared" si="33"/>
        <v>45958.70456</v>
      </c>
      <c r="N4229" s="30" t="str">
        <f t="shared" si="34"/>
        <v>Selesai</v>
      </c>
      <c r="O4229" s="45">
        <f t="shared" si="23"/>
        <v>45958.70456</v>
      </c>
      <c r="P4229" s="47" t="b">
        <v>1</v>
      </c>
      <c r="Q4229" s="36">
        <f t="shared" si="35"/>
        <v>45958.70457</v>
      </c>
      <c r="R4229" s="47" t="b">
        <v>0</v>
      </c>
      <c r="S4229" s="42" t="str">
        <f t="shared" si="28"/>
        <v/>
      </c>
      <c r="T4229" s="42"/>
    </row>
    <row r="4230" ht="22.5" customHeight="1">
      <c r="B4230" s="42">
        <f t="shared" si="7"/>
        <v>4224</v>
      </c>
      <c r="C4230" s="31" t="s">
        <v>4266</v>
      </c>
      <c r="D4230" s="34" t="str">
        <f t="array" ref="D4230">IFNA(_xlfn.XLOOKUP(C4230,Table_Tarikan_Warkah[Nomor Sertipikat],Table_Tarikan_Warkah[Nomor Tiket]),"")</f>
        <v>K/16/300925/1</v>
      </c>
      <c r="E4230" s="36">
        <f t="array" ref="E4230">IFNA(_xlfn.XLOOKUP(D4230,Table_Tarikan_Warkah[Nomor Tiket],Table_Tarikan_Warkah[Tanggal diserahkan kepada Validator]),"")</f>
        <v>45993.46079</v>
      </c>
      <c r="F4230" s="36" t="str">
        <f t="array" ref="F4230">IFNA(_xlfn.XLOOKUP(D4230,Table_Tarikan_Warkah[Nomor Tiket],Table_Tarikan_Warkah[Nama Petugas Warkah]),"")</f>
        <v>David</v>
      </c>
      <c r="G4230" s="39" t="str">
        <f t="array" ref="G4230">IFNA(_xlfn.XLOOKUP(D4230,Table_Tarikan_Warkah[Nomor Tiket],Table_Tarikan_Warkah[Jenis Permohonan]),"")</f>
        <v>BN Jual Beli	</v>
      </c>
      <c r="H4230" s="41" t="s">
        <v>920</v>
      </c>
      <c r="I4230" s="49" t="s">
        <v>23</v>
      </c>
      <c r="J4230" s="36">
        <f t="shared" si="20"/>
        <v>45958.70469</v>
      </c>
      <c r="K4230" s="49" t="s">
        <v>920</v>
      </c>
      <c r="L4230" s="49" t="s">
        <v>23</v>
      </c>
      <c r="M4230" s="36">
        <f t="shared" si="33"/>
        <v>45958.70474</v>
      </c>
      <c r="N4230" s="30" t="str">
        <f t="shared" si="34"/>
        <v>Selesai</v>
      </c>
      <c r="O4230" s="45">
        <f t="shared" si="23"/>
        <v>45958.70474</v>
      </c>
      <c r="P4230" s="47" t="b">
        <v>1</v>
      </c>
      <c r="Q4230" s="36">
        <f t="shared" si="35"/>
        <v>45958.70479</v>
      </c>
      <c r="R4230" s="47" t="b">
        <v>0</v>
      </c>
      <c r="S4230" s="42" t="str">
        <f t="shared" si="28"/>
        <v/>
      </c>
      <c r="T4230" s="42"/>
    </row>
    <row r="4231" ht="22.5" customHeight="1">
      <c r="B4231" s="42">
        <f t="shared" si="7"/>
        <v>4225</v>
      </c>
      <c r="C4231" s="31" t="s">
        <v>4267</v>
      </c>
      <c r="D4231" s="34" t="str">
        <f t="array" ref="D4231">IFNA(_xlfn.XLOOKUP(C4231,Table_Tarikan_Warkah[Nomor Sertipikat],Table_Tarikan_Warkah[Nomor Tiket]),"")</f>
        <v>K/17/160925/1</v>
      </c>
      <c r="E4231" s="36" t="str">
        <f t="array" ref="E4231">IFNA(_xlfn.XLOOKUP(D4231,Table_Tarikan_Warkah[Nomor Tiket],Table_Tarikan_Warkah[Tanggal diserahkan kepada Validator]),"")</f>
        <v/>
      </c>
      <c r="F4231" s="36" t="str">
        <f t="array" ref="F4231">IFNA(_xlfn.XLOOKUP(D4231,Table_Tarikan_Warkah[Nomor Tiket],Table_Tarikan_Warkah[Nama Petugas Warkah]),"")</f>
        <v/>
      </c>
      <c r="G4231" s="39" t="str">
        <f t="array" ref="G4231">IFNA(_xlfn.XLOOKUP(D4231,Table_Tarikan_Warkah[Nomor Tiket],Table_Tarikan_Warkah[Jenis Permohonan]),"")</f>
        <v>BN Jual Beli		</v>
      </c>
      <c r="H4231" s="41" t="s">
        <v>920</v>
      </c>
      <c r="I4231" s="49" t="s">
        <v>23</v>
      </c>
      <c r="J4231" s="36">
        <f t="shared" si="20"/>
        <v>45958.70536</v>
      </c>
      <c r="K4231" s="49" t="s">
        <v>920</v>
      </c>
      <c r="L4231" s="49" t="s">
        <v>23</v>
      </c>
      <c r="M4231" s="36">
        <f t="shared" si="33"/>
        <v>45958.70537</v>
      </c>
      <c r="N4231" s="30" t="str">
        <f t="shared" si="34"/>
        <v>Selesai</v>
      </c>
      <c r="O4231" s="45">
        <f t="shared" si="23"/>
        <v>45958.70537</v>
      </c>
      <c r="P4231" s="47" t="b">
        <v>1</v>
      </c>
      <c r="Q4231" s="36">
        <f t="shared" si="35"/>
        <v>45958.70538</v>
      </c>
      <c r="R4231" s="47" t="b">
        <v>0</v>
      </c>
      <c r="S4231" s="42" t="str">
        <f t="shared" si="28"/>
        <v/>
      </c>
      <c r="T4231" s="42"/>
    </row>
    <row r="4232" ht="22.5" customHeight="1">
      <c r="B4232" s="42">
        <f t="shared" si="7"/>
        <v>4226</v>
      </c>
      <c r="C4232" s="31" t="s">
        <v>4170</v>
      </c>
      <c r="D4232" s="34" t="str">
        <f t="array" ref="D4232">IFNA(_xlfn.XLOOKUP(C4232,Table_Tarikan_Warkah[Nomor Sertipikat],Table_Tarikan_Warkah[Nomor Tiket]),"")</f>
        <v>K/31/011025/1</v>
      </c>
      <c r="E4232" s="36" t="str">
        <f t="array" ref="E4232">IFNA(_xlfn.XLOOKUP(D4232,Table_Tarikan_Warkah[Nomor Tiket],Table_Tarikan_Warkah[Tanggal diserahkan kepada Validator]),"")</f>
        <v/>
      </c>
      <c r="F4232" s="36" t="str">
        <f t="array" ref="F4232">IFNA(_xlfn.XLOOKUP(D4232,Table_Tarikan_Warkah[Nomor Tiket],Table_Tarikan_Warkah[Nama Petugas Warkah]),"")</f>
        <v/>
      </c>
      <c r="G4232" s="39" t="str">
        <f t="array" ref="G4232">IFNA(_xlfn.XLOOKUP(D4232,Table_Tarikan_Warkah[Nomor Tiket],Table_Tarikan_Warkah[Jenis Permohonan]),"")</f>
        <v>BN WARIS</v>
      </c>
      <c r="H4232" s="41" t="s">
        <v>920</v>
      </c>
      <c r="I4232" s="49" t="s">
        <v>23</v>
      </c>
      <c r="J4232" s="36">
        <f t="shared" si="20"/>
        <v>45960.41667</v>
      </c>
      <c r="K4232" s="49" t="s">
        <v>920</v>
      </c>
      <c r="L4232" s="49" t="s">
        <v>23</v>
      </c>
      <c r="M4232" s="36">
        <f t="shared" si="33"/>
        <v>45960.41668</v>
      </c>
      <c r="N4232" s="30" t="str">
        <f t="shared" si="34"/>
        <v>Selesai</v>
      </c>
      <c r="O4232" s="45">
        <f t="shared" si="23"/>
        <v>45960.41668</v>
      </c>
      <c r="P4232" s="47" t="b">
        <v>1</v>
      </c>
      <c r="Q4232" s="36">
        <f t="shared" si="35"/>
        <v>45960.41671</v>
      </c>
      <c r="R4232" s="47" t="b">
        <v>0</v>
      </c>
      <c r="S4232" s="42" t="str">
        <f t="shared" si="28"/>
        <v/>
      </c>
      <c r="T4232" s="42"/>
    </row>
    <row r="4233" ht="22.5" customHeight="1">
      <c r="B4233" s="42">
        <f t="shared" si="7"/>
        <v>4227</v>
      </c>
      <c r="C4233" s="31" t="s">
        <v>4268</v>
      </c>
      <c r="D4233" s="34" t="str">
        <f t="array" ref="D4233">IFNA(_xlfn.XLOOKUP(C4233,Table_Tarikan_Warkah[Nomor Sertipikat],Table_Tarikan_Warkah[Nomor Tiket]),"")</f>
        <v>K/22/270825/1</v>
      </c>
      <c r="E4233" s="36" t="str">
        <f t="array" ref="E4233">IFNA(_xlfn.XLOOKUP(D4233,Table_Tarikan_Warkah[Nomor Tiket],Table_Tarikan_Warkah[Tanggal diserahkan kepada Validator]),"")</f>
        <v/>
      </c>
      <c r="F4233" s="36" t="str">
        <f t="array" ref="F4233">IFNA(_xlfn.XLOOKUP(D4233,Table_Tarikan_Warkah[Nomor Tiket],Table_Tarikan_Warkah[Nama Petugas Warkah]),"")</f>
        <v/>
      </c>
      <c r="G4233" s="39" t="str">
        <f t="array" ref="G4233">IFNA(_xlfn.XLOOKUP(D4233,Table_Tarikan_Warkah[Nomor Tiket],Table_Tarikan_Warkah[Jenis Permohonan]),"")</f>
        <v>BN Jual Beli	</v>
      </c>
      <c r="H4233" s="41" t="s">
        <v>920</v>
      </c>
      <c r="I4233" s="49" t="s">
        <v>23</v>
      </c>
      <c r="J4233" s="36">
        <f t="shared" si="20"/>
        <v>45960.41684</v>
      </c>
      <c r="K4233" s="49" t="s">
        <v>920</v>
      </c>
      <c r="L4233" s="49" t="s">
        <v>23</v>
      </c>
      <c r="M4233" s="36">
        <f t="shared" si="33"/>
        <v>45960.41686</v>
      </c>
      <c r="N4233" s="30" t="str">
        <f t="shared" si="34"/>
        <v>Selesai</v>
      </c>
      <c r="O4233" s="45">
        <f t="shared" si="23"/>
        <v>45960.41686</v>
      </c>
      <c r="P4233" s="47" t="b">
        <v>1</v>
      </c>
      <c r="Q4233" s="36">
        <f t="shared" si="35"/>
        <v>45960.41689</v>
      </c>
      <c r="R4233" s="47" t="b">
        <v>0</v>
      </c>
      <c r="S4233" s="42" t="str">
        <f t="shared" si="28"/>
        <v/>
      </c>
      <c r="T4233" s="42"/>
    </row>
    <row r="4234" ht="22.5" customHeight="1">
      <c r="B4234" s="42">
        <f t="shared" si="7"/>
        <v>4228</v>
      </c>
      <c r="C4234" s="31" t="s">
        <v>4269</v>
      </c>
      <c r="D4234" s="34" t="str">
        <f t="array" ref="D4234">IFNA(_xlfn.XLOOKUP(C4234,Table_Tarikan_Warkah[Nomor Sertipikat],Table_Tarikan_Warkah[Nomor Tiket]),"")</f>
        <v>K/23/240925/4</v>
      </c>
      <c r="E4234" s="36">
        <f t="array" ref="E4234">IFNA(_xlfn.XLOOKUP(D4234,Table_Tarikan_Warkah[Nomor Tiket],Table_Tarikan_Warkah[Tanggal diserahkan kepada Validator]),"")</f>
        <v>45938.48538</v>
      </c>
      <c r="F4234" s="36" t="str">
        <f t="array" ref="F4234">IFNA(_xlfn.XLOOKUP(D4234,Table_Tarikan_Warkah[Nomor Tiket],Table_Tarikan_Warkah[Nama Petugas Warkah]),"")</f>
        <v>Berry</v>
      </c>
      <c r="G4234" s="39" t="str">
        <f t="array" ref="G4234">IFNA(_xlfn.XLOOKUP(D4234,Table_Tarikan_Warkah[Nomor Tiket],Table_Tarikan_Warkah[Jenis Permohonan]),"")</f>
        <v>BN Jual Beli	</v>
      </c>
      <c r="H4234" s="41" t="s">
        <v>920</v>
      </c>
      <c r="I4234" s="49" t="s">
        <v>23</v>
      </c>
      <c r="J4234" s="36">
        <f t="shared" si="20"/>
        <v>45960.41701</v>
      </c>
      <c r="K4234" s="49" t="s">
        <v>920</v>
      </c>
      <c r="L4234" s="49" t="s">
        <v>23</v>
      </c>
      <c r="M4234" s="36">
        <f t="shared" si="33"/>
        <v>45960.41706</v>
      </c>
      <c r="N4234" s="30" t="str">
        <f t="shared" si="34"/>
        <v>Selesai</v>
      </c>
      <c r="O4234" s="45">
        <f t="shared" si="23"/>
        <v>45960.41706</v>
      </c>
      <c r="P4234" s="47" t="b">
        <v>1</v>
      </c>
      <c r="Q4234" s="36">
        <f t="shared" si="35"/>
        <v>45960.41707</v>
      </c>
      <c r="R4234" s="47" t="b">
        <v>0</v>
      </c>
      <c r="S4234" s="42" t="str">
        <f t="shared" si="28"/>
        <v/>
      </c>
      <c r="T4234" s="42"/>
    </row>
    <row r="4235" ht="22.5" customHeight="1">
      <c r="B4235" s="42">
        <f t="shared" si="7"/>
        <v>4229</v>
      </c>
      <c r="C4235" s="31" t="s">
        <v>4270</v>
      </c>
      <c r="D4235" s="34" t="str">
        <f t="array" ref="D4235">IFNA(_xlfn.XLOOKUP(C4235,Table_Tarikan_Warkah[Nomor Sertipikat],Table_Tarikan_Warkah[Nomor Tiket]),"")</f>
        <v>K/14/031025/4</v>
      </c>
      <c r="E4235" s="36" t="str">
        <f t="array" ref="E4235">IFNA(_xlfn.XLOOKUP(D4235,Table_Tarikan_Warkah[Nomor Tiket],Table_Tarikan_Warkah[Tanggal diserahkan kepada Validator]),"")</f>
        <v/>
      </c>
      <c r="F4235" s="36" t="str">
        <f t="array" ref="F4235">IFNA(_xlfn.XLOOKUP(D4235,Table_Tarikan_Warkah[Nomor Tiket],Table_Tarikan_Warkah[Nama Petugas Warkah]),"")</f>
        <v/>
      </c>
      <c r="G4235" s="39" t="str">
        <f t="array" ref="G4235">IFNA(_xlfn.XLOOKUP(D4235,Table_Tarikan_Warkah[Nomor Tiket],Table_Tarikan_Warkah[Jenis Permohonan]),"")</f>
        <v>BN Jual Beli	</v>
      </c>
      <c r="H4235" s="41" t="s">
        <v>920</v>
      </c>
      <c r="I4235" s="49" t="s">
        <v>23</v>
      </c>
      <c r="J4235" s="36">
        <f t="shared" si="20"/>
        <v>45960.41722</v>
      </c>
      <c r="K4235" s="49" t="s">
        <v>920</v>
      </c>
      <c r="L4235" s="49" t="s">
        <v>23</v>
      </c>
      <c r="M4235" s="36">
        <f t="shared" si="33"/>
        <v>45960.41725</v>
      </c>
      <c r="N4235" s="30" t="str">
        <f t="shared" si="34"/>
        <v>Selesai</v>
      </c>
      <c r="O4235" s="45">
        <f t="shared" si="23"/>
        <v>45960.41725</v>
      </c>
      <c r="P4235" s="47" t="b">
        <v>1</v>
      </c>
      <c r="Q4235" s="36">
        <f t="shared" si="35"/>
        <v>45960.41727</v>
      </c>
      <c r="R4235" s="47" t="b">
        <v>0</v>
      </c>
      <c r="S4235" s="42" t="str">
        <f t="shared" si="28"/>
        <v/>
      </c>
      <c r="T4235" s="42"/>
    </row>
    <row r="4236" ht="22.5" customHeight="1">
      <c r="B4236" s="42">
        <f t="shared" si="7"/>
        <v>4230</v>
      </c>
      <c r="C4236" s="31" t="s">
        <v>4271</v>
      </c>
      <c r="D4236" s="34" t="str">
        <f t="array" ref="D4236">IFNA(_xlfn.XLOOKUP(C4236,Table_Tarikan_Warkah[Nomor Sertipikat],Table_Tarikan_Warkah[Nomor Tiket]),"")</f>
        <v>K/4/290925/1</v>
      </c>
      <c r="E4236" s="36" t="str">
        <f t="array" ref="E4236">IFNA(_xlfn.XLOOKUP(D4236,Table_Tarikan_Warkah[Nomor Tiket],Table_Tarikan_Warkah[Tanggal diserahkan kepada Validator]),"")</f>
        <v/>
      </c>
      <c r="F4236" s="36" t="str">
        <f t="array" ref="F4236">IFNA(_xlfn.XLOOKUP(D4236,Table_Tarikan_Warkah[Nomor Tiket],Table_Tarikan_Warkah[Nama Petugas Warkah]),"")</f>
        <v/>
      </c>
      <c r="G4236" s="39" t="str">
        <f t="array" ref="G4236">IFNA(_xlfn.XLOOKUP(D4236,Table_Tarikan_Warkah[Nomor Tiket],Table_Tarikan_Warkah[Jenis Permohonan]),"")</f>
        <v>BN Jual Beli		</v>
      </c>
      <c r="H4236" s="41" t="s">
        <v>920</v>
      </c>
      <c r="I4236" s="49" t="s">
        <v>23</v>
      </c>
      <c r="J4236" s="36">
        <f t="shared" si="20"/>
        <v>45960.41738</v>
      </c>
      <c r="K4236" s="49" t="s">
        <v>920</v>
      </c>
      <c r="L4236" s="49" t="s">
        <v>23</v>
      </c>
      <c r="M4236" s="36">
        <f t="shared" si="33"/>
        <v>45960.41741</v>
      </c>
      <c r="N4236" s="30" t="str">
        <f t="shared" si="34"/>
        <v>Selesai</v>
      </c>
      <c r="O4236" s="45">
        <f t="shared" si="23"/>
        <v>45960.41741</v>
      </c>
      <c r="P4236" s="47" t="b">
        <v>1</v>
      </c>
      <c r="Q4236" s="36">
        <f t="shared" si="35"/>
        <v>45960.41749</v>
      </c>
      <c r="R4236" s="47" t="b">
        <v>0</v>
      </c>
      <c r="S4236" s="42" t="str">
        <f t="shared" si="28"/>
        <v/>
      </c>
      <c r="T4236" s="42"/>
    </row>
    <row r="4237" ht="22.5" customHeight="1">
      <c r="B4237" s="42">
        <f t="shared" si="7"/>
        <v>4231</v>
      </c>
      <c r="C4237" s="31" t="s">
        <v>4272</v>
      </c>
      <c r="D4237" s="34" t="str">
        <f t="array" ref="D4237">IFNA(_xlfn.XLOOKUP(C4237,Table_Tarikan_Warkah[Nomor Sertipikat],Table_Tarikan_Warkah[Nomor Tiket]),"")</f>
        <v>K/20/290925/1</v>
      </c>
      <c r="E4237" s="36" t="str">
        <f t="array" ref="E4237">IFNA(_xlfn.XLOOKUP(D4237,Table_Tarikan_Warkah[Nomor Tiket],Table_Tarikan_Warkah[Tanggal diserahkan kepada Validator]),"")</f>
        <v/>
      </c>
      <c r="F4237" s="36" t="str">
        <f t="array" ref="F4237">IFNA(_xlfn.XLOOKUP(D4237,Table_Tarikan_Warkah[Nomor Tiket],Table_Tarikan_Warkah[Nama Petugas Warkah]),"")</f>
        <v/>
      </c>
      <c r="G4237" s="39" t="str">
        <f t="array" ref="G4237">IFNA(_xlfn.XLOOKUP(D4237,Table_Tarikan_Warkah[Nomor Tiket],Table_Tarikan_Warkah[Jenis Permohonan]),"")</f>
        <v>BN Jual Beli	</v>
      </c>
      <c r="H4237" s="41" t="s">
        <v>920</v>
      </c>
      <c r="I4237" s="49" t="s">
        <v>23</v>
      </c>
      <c r="J4237" s="36">
        <f t="shared" si="20"/>
        <v>45960.41757</v>
      </c>
      <c r="K4237" s="49" t="s">
        <v>920</v>
      </c>
      <c r="L4237" s="49" t="s">
        <v>23</v>
      </c>
      <c r="M4237" s="36">
        <f t="shared" si="33"/>
        <v>45960.41761</v>
      </c>
      <c r="N4237" s="30" t="str">
        <f t="shared" si="34"/>
        <v>Selesai</v>
      </c>
      <c r="O4237" s="45">
        <f t="shared" si="23"/>
        <v>45960.41761</v>
      </c>
      <c r="P4237" s="47" t="b">
        <v>0</v>
      </c>
      <c r="Q4237" s="36" t="str">
        <f t="shared" si="35"/>
        <v/>
      </c>
      <c r="R4237" s="47" t="b">
        <v>0</v>
      </c>
      <c r="S4237" s="42" t="str">
        <f t="shared" si="28"/>
        <v/>
      </c>
      <c r="T4237" s="42"/>
    </row>
    <row r="4238" ht="22.5" customHeight="1">
      <c r="B4238" s="42">
        <f t="shared" si="7"/>
        <v>4232</v>
      </c>
      <c r="C4238" s="31" t="s">
        <v>4273</v>
      </c>
      <c r="D4238" s="34" t="str">
        <f t="array" ref="D4238">IFNA(_xlfn.XLOOKUP(C4238,Table_Tarikan_Warkah[Nomor Sertipikat],Table_Tarikan_Warkah[Nomor Tiket]),"")</f>
        <v>K/8/260925/1</v>
      </c>
      <c r="E4238" s="36" t="str">
        <f t="array" ref="E4238">IFNA(_xlfn.XLOOKUP(D4238,Table_Tarikan_Warkah[Nomor Tiket],Table_Tarikan_Warkah[Tanggal diserahkan kepada Validator]),"")</f>
        <v/>
      </c>
      <c r="F4238" s="36" t="str">
        <f t="array" ref="F4238">IFNA(_xlfn.XLOOKUP(D4238,Table_Tarikan_Warkah[Nomor Tiket],Table_Tarikan_Warkah[Nama Petugas Warkah]),"")</f>
        <v/>
      </c>
      <c r="G4238" s="39" t="str">
        <f t="array" ref="G4238">IFNA(_xlfn.XLOOKUP(D4238,Table_Tarikan_Warkah[Nomor Tiket],Table_Tarikan_Warkah[Jenis Permohonan]),"")</f>
        <v>BN JUAL BELI</v>
      </c>
      <c r="H4238" s="41" t="s">
        <v>2315</v>
      </c>
      <c r="I4238" s="49" t="s">
        <v>23</v>
      </c>
      <c r="J4238" s="36">
        <f t="shared" si="20"/>
        <v>45960.68757</v>
      </c>
      <c r="K4238" s="69"/>
      <c r="L4238" s="49"/>
      <c r="M4238" s="36" t="str">
        <f t="shared" si="33"/>
        <v/>
      </c>
      <c r="N4238" s="30" t="str">
        <f t="shared" si="34"/>
        <v>BT atau SU Belum Valid</v>
      </c>
      <c r="O4238" s="39" t="str">
        <f t="shared" si="23"/>
        <v/>
      </c>
      <c r="P4238" s="47" t="b">
        <v>0</v>
      </c>
      <c r="Q4238" s="36" t="str">
        <f t="shared" si="35"/>
        <v/>
      </c>
      <c r="R4238" s="47" t="b">
        <v>0</v>
      </c>
      <c r="S4238" s="42" t="str">
        <f t="shared" si="28"/>
        <v/>
      </c>
      <c r="T4238" s="42"/>
    </row>
    <row r="4239" ht="22.5" customHeight="1">
      <c r="B4239" s="42">
        <f t="shared" si="7"/>
        <v>4233</v>
      </c>
      <c r="C4239" s="31" t="s">
        <v>4274</v>
      </c>
      <c r="D4239" s="34" t="str">
        <f t="array" ref="D4239">IFNA(_xlfn.XLOOKUP(C4239,Table_Tarikan_Warkah[Nomor Sertipikat],Table_Tarikan_Warkah[Nomor Tiket]),"")</f>
        <v>K/42/230925/4</v>
      </c>
      <c r="E4239" s="36" t="str">
        <f t="array" ref="E4239">IFNA(_xlfn.XLOOKUP(D4239,Table_Tarikan_Warkah[Nomor Tiket],Table_Tarikan_Warkah[Tanggal diserahkan kepada Validator]),"")</f>
        <v/>
      </c>
      <c r="F4239" s="36" t="str">
        <f t="array" ref="F4239">IFNA(_xlfn.XLOOKUP(D4239,Table_Tarikan_Warkah[Nomor Tiket],Table_Tarikan_Warkah[Nama Petugas Warkah]),"")</f>
        <v/>
      </c>
      <c r="G4239" s="39" t="str">
        <f t="array" ref="G4239">IFNA(_xlfn.XLOOKUP(D4239,Table_Tarikan_Warkah[Nomor Tiket],Table_Tarikan_Warkah[Jenis Permohonan]),"")</f>
        <v>BN JUAL BELI</v>
      </c>
      <c r="H4239" s="41" t="s">
        <v>2315</v>
      </c>
      <c r="I4239" s="49" t="s">
        <v>23</v>
      </c>
      <c r="J4239" s="36">
        <f t="shared" si="20"/>
        <v>45960.68757</v>
      </c>
      <c r="K4239" s="69"/>
      <c r="L4239" s="49"/>
      <c r="M4239" s="36" t="str">
        <f t="shared" si="33"/>
        <v/>
      </c>
      <c r="N4239" s="30" t="str">
        <f t="shared" si="34"/>
        <v>BT atau SU Belum Valid</v>
      </c>
      <c r="O4239" s="39" t="str">
        <f t="shared" si="23"/>
        <v/>
      </c>
      <c r="P4239" s="47" t="b">
        <v>0</v>
      </c>
      <c r="Q4239" s="36" t="str">
        <f t="shared" si="35"/>
        <v/>
      </c>
      <c r="R4239" s="47" t="b">
        <v>0</v>
      </c>
      <c r="S4239" s="42" t="str">
        <f t="shared" si="28"/>
        <v/>
      </c>
      <c r="T4239" s="42"/>
    </row>
    <row r="4240" ht="22.5" customHeight="1">
      <c r="B4240" s="42">
        <f t="shared" si="7"/>
        <v>4234</v>
      </c>
      <c r="C4240" s="31" t="s">
        <v>4275</v>
      </c>
      <c r="D4240" s="34" t="str">
        <f t="array" ref="D4240">IFNA(_xlfn.XLOOKUP(C4240,Table_Tarikan_Warkah[Nomor Sertipikat],Table_Tarikan_Warkah[Nomor Tiket]),"")</f>
        <v>K/22/230925/1</v>
      </c>
      <c r="E4240" s="36" t="str">
        <f t="array" ref="E4240">IFNA(_xlfn.XLOOKUP(D4240,Table_Tarikan_Warkah[Nomor Tiket],Table_Tarikan_Warkah[Tanggal diserahkan kepada Validator]),"")</f>
        <v/>
      </c>
      <c r="F4240" s="36" t="str">
        <f t="array" ref="F4240">IFNA(_xlfn.XLOOKUP(D4240,Table_Tarikan_Warkah[Nomor Tiket],Table_Tarikan_Warkah[Nama Petugas Warkah]),"")</f>
        <v/>
      </c>
      <c r="G4240" s="39" t="str">
        <f t="array" ref="G4240">IFNA(_xlfn.XLOOKUP(D4240,Table_Tarikan_Warkah[Nomor Tiket],Table_Tarikan_Warkah[Jenis Permohonan]),"")</f>
        <v>BN JUAL BELI EL</v>
      </c>
      <c r="H4240" s="41" t="s">
        <v>2315</v>
      </c>
      <c r="I4240" s="49" t="s">
        <v>23</v>
      </c>
      <c r="J4240" s="36">
        <f t="shared" si="20"/>
        <v>45960.68757</v>
      </c>
      <c r="K4240" s="69"/>
      <c r="L4240" s="49"/>
      <c r="M4240" s="36" t="str">
        <f t="shared" si="33"/>
        <v/>
      </c>
      <c r="N4240" s="30" t="str">
        <f t="shared" si="34"/>
        <v>BT atau SU Belum Valid</v>
      </c>
      <c r="O4240" s="39" t="str">
        <f t="shared" si="23"/>
        <v/>
      </c>
      <c r="P4240" s="47" t="b">
        <v>0</v>
      </c>
      <c r="Q4240" s="36" t="str">
        <f t="shared" si="35"/>
        <v/>
      </c>
      <c r="R4240" s="47" t="b">
        <v>0</v>
      </c>
      <c r="S4240" s="42" t="str">
        <f t="shared" si="28"/>
        <v/>
      </c>
      <c r="T4240" s="42"/>
    </row>
    <row r="4241" ht="22.5" customHeight="1">
      <c r="B4241" s="42">
        <f t="shared" si="7"/>
        <v>4235</v>
      </c>
      <c r="C4241" s="31" t="s">
        <v>4276</v>
      </c>
      <c r="D4241" s="34" t="str">
        <f t="array" ref="D4241">IFNA(_xlfn.XLOOKUP(C4241,Table_Tarikan_Warkah[Nomor Sertipikat],Table_Tarikan_Warkah[Nomor Tiket]),"")</f>
        <v>K/21/190925/1</v>
      </c>
      <c r="E4241" s="36" t="str">
        <f t="array" ref="E4241">IFNA(_xlfn.XLOOKUP(D4241,Table_Tarikan_Warkah[Nomor Tiket],Table_Tarikan_Warkah[Tanggal diserahkan kepada Validator]),"")</f>
        <v/>
      </c>
      <c r="F4241" s="36" t="str">
        <f t="array" ref="F4241">IFNA(_xlfn.XLOOKUP(D4241,Table_Tarikan_Warkah[Nomor Tiket],Table_Tarikan_Warkah[Nama Petugas Warkah]),"")</f>
        <v/>
      </c>
      <c r="G4241" s="39" t="str">
        <f t="array" ref="G4241">IFNA(_xlfn.XLOOKUP(D4241,Table_Tarikan_Warkah[Nomor Tiket],Table_Tarikan_Warkah[Jenis Permohonan]),"")</f>
        <v>BN JUAL BELI EL </v>
      </c>
      <c r="H4241" s="41" t="s">
        <v>2315</v>
      </c>
      <c r="I4241" s="49" t="s">
        <v>23</v>
      </c>
      <c r="J4241" s="36">
        <f t="shared" si="20"/>
        <v>45960.68757</v>
      </c>
      <c r="K4241" s="69"/>
      <c r="L4241" s="49"/>
      <c r="M4241" s="36" t="str">
        <f t="shared" si="33"/>
        <v/>
      </c>
      <c r="N4241" s="30" t="str">
        <f t="shared" si="34"/>
        <v>BT atau SU Belum Valid</v>
      </c>
      <c r="O4241" s="39" t="str">
        <f t="shared" si="23"/>
        <v/>
      </c>
      <c r="P4241" s="47" t="b">
        <v>0</v>
      </c>
      <c r="Q4241" s="36" t="str">
        <f t="shared" si="35"/>
        <v/>
      </c>
      <c r="R4241" s="47" t="b">
        <v>0</v>
      </c>
      <c r="S4241" s="42" t="str">
        <f t="shared" si="28"/>
        <v/>
      </c>
      <c r="T4241" s="42"/>
    </row>
    <row r="4242" ht="22.5" customHeight="1">
      <c r="B4242" s="42">
        <f t="shared" si="7"/>
        <v>4236</v>
      </c>
      <c r="C4242" s="31" t="s">
        <v>4277</v>
      </c>
      <c r="D4242" s="34" t="str">
        <f t="array" ref="D4242">IFNA(_xlfn.XLOOKUP(C4242,Table_Tarikan_Warkah[Nomor Sertipikat],Table_Tarikan_Warkah[Nomor Tiket]),"")</f>
        <v>K/23/091025/3</v>
      </c>
      <c r="E4242" s="36">
        <f t="array" ref="E4242">IFNA(_xlfn.XLOOKUP(D4242,Table_Tarikan_Warkah[Nomor Tiket],Table_Tarikan_Warkah[Tanggal diserahkan kepada Validator]),"")</f>
        <v>45993.4603</v>
      </c>
      <c r="F4242" s="36" t="str">
        <f t="array" ref="F4242">IFNA(_xlfn.XLOOKUP(D4242,Table_Tarikan_Warkah[Nomor Tiket],Table_Tarikan_Warkah[Nama Petugas Warkah]),"")</f>
        <v>David</v>
      </c>
      <c r="G4242" s="39" t="str">
        <f t="array" ref="G4242">IFNA(_xlfn.XLOOKUP(D4242,Table_Tarikan_Warkah[Nomor Tiket],Table_Tarikan_Warkah[Jenis Permohonan]),"")</f>
        <v>BN JUAL BELI</v>
      </c>
      <c r="H4242" s="41" t="s">
        <v>2315</v>
      </c>
      <c r="I4242" s="49" t="s">
        <v>23</v>
      </c>
      <c r="J4242" s="36">
        <f t="shared" si="20"/>
        <v>0</v>
      </c>
      <c r="K4242" s="69"/>
      <c r="L4242" s="49"/>
      <c r="M4242" s="36" t="str">
        <f t="shared" si="33"/>
        <v/>
      </c>
      <c r="N4242" s="30" t="str">
        <f t="shared" si="34"/>
        <v>BT atau SU Belum Valid</v>
      </c>
      <c r="O4242" s="39" t="str">
        <f t="shared" si="23"/>
        <v/>
      </c>
      <c r="P4242" s="47" t="b">
        <v>0</v>
      </c>
      <c r="Q4242" s="36" t="str">
        <f t="shared" si="35"/>
        <v/>
      </c>
      <c r="R4242" s="47" t="b">
        <v>0</v>
      </c>
      <c r="S4242" s="42" t="str">
        <f t="shared" si="28"/>
        <v/>
      </c>
      <c r="T4242" s="42"/>
    </row>
    <row r="4243" ht="22.5" customHeight="1">
      <c r="B4243" s="42">
        <f t="shared" si="7"/>
        <v>4237</v>
      </c>
      <c r="C4243" s="31" t="s">
        <v>4278</v>
      </c>
      <c r="D4243" s="34" t="str">
        <f t="array" ref="D4243">IFNA(_xlfn.XLOOKUP(C4243,Table_Tarikan_Warkah[Nomor Sertipikat],Table_Tarikan_Warkah[Nomor Tiket]),"")</f>
        <v>K/24/061025/1</v>
      </c>
      <c r="E4243" s="36">
        <f t="array" ref="E4243">IFNA(_xlfn.XLOOKUP(D4243,Table_Tarikan_Warkah[Nomor Tiket],Table_Tarikan_Warkah[Tanggal diserahkan kepada Validator]),"")</f>
        <v>45944.50321</v>
      </c>
      <c r="F4243" s="36" t="str">
        <f t="array" ref="F4243">IFNA(_xlfn.XLOOKUP(D4243,Table_Tarikan_Warkah[Nomor Tiket],Table_Tarikan_Warkah[Nama Petugas Warkah]),"")</f>
        <v>David</v>
      </c>
      <c r="G4243" s="39" t="str">
        <f t="array" ref="G4243">IFNA(_xlfn.XLOOKUP(D4243,Table_Tarikan_Warkah[Nomor Tiket],Table_Tarikan_Warkah[Jenis Permohonan]),"")</f>
        <v>BN Jual Beli	</v>
      </c>
      <c r="H4243" s="41" t="s">
        <v>2315</v>
      </c>
      <c r="I4243" s="49" t="s">
        <v>23</v>
      </c>
      <c r="J4243" s="36">
        <f t="shared" si="20"/>
        <v>0</v>
      </c>
      <c r="K4243" s="69"/>
      <c r="L4243" s="49"/>
      <c r="M4243" s="36" t="str">
        <f t="shared" si="33"/>
        <v/>
      </c>
      <c r="N4243" s="30" t="str">
        <f t="shared" si="34"/>
        <v>BT atau SU Belum Valid</v>
      </c>
      <c r="O4243" s="39" t="str">
        <f t="shared" si="23"/>
        <v/>
      </c>
      <c r="P4243" s="47" t="b">
        <v>0</v>
      </c>
      <c r="Q4243" s="36" t="str">
        <f t="shared" si="35"/>
        <v/>
      </c>
      <c r="R4243" s="47" t="b">
        <v>0</v>
      </c>
      <c r="S4243" s="42" t="str">
        <f t="shared" si="28"/>
        <v/>
      </c>
      <c r="T4243" s="42"/>
    </row>
    <row r="4244" ht="22.5" customHeight="1">
      <c r="B4244" s="42">
        <f t="shared" si="7"/>
        <v>4238</v>
      </c>
      <c r="C4244" s="31" t="s">
        <v>4279</v>
      </c>
      <c r="D4244" s="34" t="str">
        <f t="array" ref="D4244">IFNA(_xlfn.XLOOKUP(C4244,Table_Tarikan_Warkah[Nomor Sertipikat],Table_Tarikan_Warkah[Nomor Tiket]),"")</f>
        <v>K/34/110825/1</v>
      </c>
      <c r="E4244" s="36">
        <f t="array" ref="E4244">IFNA(_xlfn.XLOOKUP(D4244,Table_Tarikan_Warkah[Nomor Tiket],Table_Tarikan_Warkah[Tanggal diserahkan kepada Validator]),"")</f>
        <v>45894.57518</v>
      </c>
      <c r="F4244" s="36" t="str">
        <f t="array" ref="F4244">IFNA(_xlfn.XLOOKUP(D4244,Table_Tarikan_Warkah[Nomor Tiket],Table_Tarikan_Warkah[Nama Petugas Warkah]),"")</f>
        <v>Berry</v>
      </c>
      <c r="G4244" s="39" t="str">
        <f t="array" ref="G4244">IFNA(_xlfn.XLOOKUP(D4244,Table_Tarikan_Warkah[Nomor Tiket],Table_Tarikan_Warkah[Jenis Permohonan]),"")</f>
        <v>BN WARIS</v>
      </c>
      <c r="H4244" s="41" t="s">
        <v>2315</v>
      </c>
      <c r="I4244" s="49" t="s">
        <v>23</v>
      </c>
      <c r="J4244" s="36">
        <f t="shared" si="20"/>
        <v>0</v>
      </c>
      <c r="K4244" s="69"/>
      <c r="L4244" s="49"/>
      <c r="M4244" s="36" t="str">
        <f t="shared" si="33"/>
        <v/>
      </c>
      <c r="N4244" s="30" t="str">
        <f t="shared" si="34"/>
        <v>BT atau SU Belum Valid</v>
      </c>
      <c r="O4244" s="39" t="str">
        <f t="shared" si="23"/>
        <v/>
      </c>
      <c r="P4244" s="47" t="b">
        <v>0</v>
      </c>
      <c r="Q4244" s="36" t="str">
        <f t="shared" si="35"/>
        <v/>
      </c>
      <c r="R4244" s="47" t="b">
        <v>0</v>
      </c>
      <c r="S4244" s="42" t="str">
        <f t="shared" si="28"/>
        <v/>
      </c>
      <c r="T4244" s="42"/>
    </row>
    <row r="4245" ht="22.5" customHeight="1">
      <c r="B4245" s="42">
        <f t="shared" si="7"/>
        <v>4239</v>
      </c>
      <c r="C4245" s="31" t="s">
        <v>4280</v>
      </c>
      <c r="D4245" s="34" t="str">
        <f t="array" ref="D4245">IFNA(_xlfn.XLOOKUP(C4245,Table_Tarikan_Warkah[Nomor Sertipikat],Table_Tarikan_Warkah[Nomor Tiket]),"")</f>
        <v>K/32/061025/1</v>
      </c>
      <c r="E4245" s="36" t="str">
        <f t="array" ref="E4245">IFNA(_xlfn.XLOOKUP(D4245,Table_Tarikan_Warkah[Nomor Tiket],Table_Tarikan_Warkah[Tanggal diserahkan kepada Validator]),"")</f>
        <v/>
      </c>
      <c r="F4245" s="36" t="str">
        <f t="array" ref="F4245">IFNA(_xlfn.XLOOKUP(D4245,Table_Tarikan_Warkah[Nomor Tiket],Table_Tarikan_Warkah[Nama Petugas Warkah]),"")</f>
        <v/>
      </c>
      <c r="G4245" s="39" t="str">
        <f t="array" ref="G4245">IFNA(_xlfn.XLOOKUP(D4245,Table_Tarikan_Warkah[Nomor Tiket],Table_Tarikan_Warkah[Jenis Permohonan]),"")</f>
        <v>BN JUAL BELI</v>
      </c>
      <c r="H4245" s="41" t="s">
        <v>2315</v>
      </c>
      <c r="I4245" s="49" t="s">
        <v>23</v>
      </c>
      <c r="J4245" s="36">
        <f t="shared" si="20"/>
        <v>0</v>
      </c>
      <c r="K4245" s="49" t="s">
        <v>26</v>
      </c>
      <c r="L4245" s="49" t="s">
        <v>23</v>
      </c>
      <c r="M4245" s="36">
        <f t="shared" si="33"/>
        <v>45965.39541</v>
      </c>
      <c r="N4245" s="30" t="str">
        <f t="shared" si="34"/>
        <v>Selesai</v>
      </c>
      <c r="O4245" s="45">
        <f t="shared" si="23"/>
        <v>45965.39541</v>
      </c>
      <c r="P4245" s="47" t="b">
        <v>0</v>
      </c>
      <c r="Q4245" s="36" t="str">
        <f t="shared" si="35"/>
        <v/>
      </c>
      <c r="R4245" s="47" t="b">
        <v>0</v>
      </c>
      <c r="S4245" s="42" t="str">
        <f t="shared" si="28"/>
        <v/>
      </c>
      <c r="T4245" s="42"/>
    </row>
    <row r="4246" ht="22.5" customHeight="1">
      <c r="B4246" s="42">
        <f t="shared" si="7"/>
        <v>4240</v>
      </c>
      <c r="C4246" s="31" t="s">
        <v>4281</v>
      </c>
      <c r="D4246" s="34" t="str">
        <f t="array" ref="D4246">IFNA(_xlfn.XLOOKUP(C4246,Table_Tarikan_Warkah[Nomor Sertipikat],Table_Tarikan_Warkah[Nomor Tiket]),"")</f>
        <v>K/40/230925/2</v>
      </c>
      <c r="E4246" s="36" t="str">
        <f t="array" ref="E4246">IFNA(_xlfn.XLOOKUP(D4246,Table_Tarikan_Warkah[Nomor Tiket],Table_Tarikan_Warkah[Tanggal diserahkan kepada Validator]),"")</f>
        <v/>
      </c>
      <c r="F4246" s="36" t="str">
        <f t="array" ref="F4246">IFNA(_xlfn.XLOOKUP(D4246,Table_Tarikan_Warkah[Nomor Tiket],Table_Tarikan_Warkah[Nama Petugas Warkah]),"")</f>
        <v/>
      </c>
      <c r="G4246" s="39" t="str">
        <f t="array" ref="G4246">IFNA(_xlfn.XLOOKUP(D4246,Table_Tarikan_Warkah[Nomor Tiket],Table_Tarikan_Warkah[Jenis Permohonan]),"")</f>
        <v>BN JUAL BELI</v>
      </c>
      <c r="H4246" s="41" t="s">
        <v>2315</v>
      </c>
      <c r="I4246" s="49" t="s">
        <v>23</v>
      </c>
      <c r="J4246" s="36">
        <f t="shared" si="20"/>
        <v>0</v>
      </c>
      <c r="K4246" s="49" t="s">
        <v>26</v>
      </c>
      <c r="L4246" s="49" t="s">
        <v>23</v>
      </c>
      <c r="M4246" s="36">
        <f t="shared" si="33"/>
        <v>45965.39663</v>
      </c>
      <c r="N4246" s="30" t="str">
        <f t="shared" si="34"/>
        <v>Selesai</v>
      </c>
      <c r="O4246" s="45">
        <f t="shared" si="23"/>
        <v>45965.39663</v>
      </c>
      <c r="P4246" s="47" t="b">
        <v>0</v>
      </c>
      <c r="Q4246" s="36" t="str">
        <f t="shared" si="35"/>
        <v/>
      </c>
      <c r="R4246" s="47" t="b">
        <v>0</v>
      </c>
      <c r="S4246" s="42" t="str">
        <f t="shared" si="28"/>
        <v/>
      </c>
      <c r="T4246" s="42"/>
    </row>
    <row r="4247" ht="22.5" customHeight="1">
      <c r="B4247" s="42">
        <f t="shared" si="7"/>
        <v>4241</v>
      </c>
      <c r="C4247" s="31" t="s">
        <v>4282</v>
      </c>
      <c r="D4247" s="34" t="str">
        <f t="array" ref="D4247">IFNA(_xlfn.XLOOKUP(C4247,Table_Tarikan_Warkah[Nomor Sertipikat],Table_Tarikan_Warkah[Nomor Tiket]),"")</f>
        <v>K/38/290925/1</v>
      </c>
      <c r="E4247" s="36">
        <f t="array" ref="E4247">IFNA(_xlfn.XLOOKUP(D4247,Table_Tarikan_Warkah[Nomor Tiket],Table_Tarikan_Warkah[Tanggal diserahkan kepada Validator]),"")</f>
        <v>45938.48576</v>
      </c>
      <c r="F4247" s="36" t="str">
        <f t="array" ref="F4247">IFNA(_xlfn.XLOOKUP(D4247,Table_Tarikan_Warkah[Nomor Tiket],Table_Tarikan_Warkah[Nama Petugas Warkah]),"")</f>
        <v>Berry</v>
      </c>
      <c r="G4247" s="39" t="str">
        <f t="array" ref="G4247">IFNA(_xlfn.XLOOKUP(D4247,Table_Tarikan_Warkah[Nomor Tiket],Table_Tarikan_Warkah[Jenis Permohonan]),"")</f>
        <v>BN JUAL BELI</v>
      </c>
      <c r="H4247" s="41" t="s">
        <v>2315</v>
      </c>
      <c r="I4247" s="49" t="s">
        <v>23</v>
      </c>
      <c r="J4247" s="36">
        <f t="shared" si="20"/>
        <v>0</v>
      </c>
      <c r="K4247" s="49" t="s">
        <v>26</v>
      </c>
      <c r="L4247" s="49" t="s">
        <v>23</v>
      </c>
      <c r="M4247" s="36">
        <f t="shared" si="33"/>
        <v>45965.39555</v>
      </c>
      <c r="N4247" s="30" t="str">
        <f t="shared" si="34"/>
        <v>Selesai</v>
      </c>
      <c r="O4247" s="45">
        <f t="shared" si="23"/>
        <v>45965.39555</v>
      </c>
      <c r="P4247" s="47" t="b">
        <v>0</v>
      </c>
      <c r="Q4247" s="36" t="str">
        <f t="shared" si="35"/>
        <v/>
      </c>
      <c r="R4247" s="47" t="b">
        <v>0</v>
      </c>
      <c r="S4247" s="42" t="str">
        <f t="shared" si="28"/>
        <v/>
      </c>
      <c r="T4247" s="42"/>
    </row>
    <row r="4248" ht="22.5" customHeight="1">
      <c r="B4248" s="42">
        <f t="shared" si="7"/>
        <v>4242</v>
      </c>
      <c r="C4248" s="31" t="s">
        <v>4283</v>
      </c>
      <c r="D4248" s="34" t="str">
        <f t="array" ref="D4248">IFNA(_xlfn.XLOOKUP(C4248,Table_Tarikan_Warkah[Nomor Sertipikat],Table_Tarikan_Warkah[Nomor Tiket]),"")</f>
        <v>K/20/180925/2</v>
      </c>
      <c r="E4248" s="36" t="str">
        <f t="array" ref="E4248">IFNA(_xlfn.XLOOKUP(D4248,Table_Tarikan_Warkah[Nomor Tiket],Table_Tarikan_Warkah[Tanggal diserahkan kepada Validator]),"")</f>
        <v/>
      </c>
      <c r="F4248" s="36" t="str">
        <f t="array" ref="F4248">IFNA(_xlfn.XLOOKUP(D4248,Table_Tarikan_Warkah[Nomor Tiket],Table_Tarikan_Warkah[Nama Petugas Warkah]),"")</f>
        <v/>
      </c>
      <c r="G4248" s="39" t="str">
        <f t="array" ref="G4248">IFNA(_xlfn.XLOOKUP(D4248,Table_Tarikan_Warkah[Nomor Tiket],Table_Tarikan_Warkah[Jenis Permohonan]),"")</f>
        <v>BN JUAL BELI</v>
      </c>
      <c r="H4248" s="41" t="s">
        <v>2315</v>
      </c>
      <c r="I4248" s="49" t="s">
        <v>23</v>
      </c>
      <c r="J4248" s="36">
        <f t="shared" si="20"/>
        <v>0</v>
      </c>
      <c r="K4248" s="69"/>
      <c r="L4248" s="49"/>
      <c r="M4248" s="36" t="str">
        <f t="shared" si="33"/>
        <v/>
      </c>
      <c r="N4248" s="30" t="str">
        <f t="shared" si="34"/>
        <v>BT atau SU Belum Valid</v>
      </c>
      <c r="O4248" s="39" t="str">
        <f t="shared" si="23"/>
        <v/>
      </c>
      <c r="P4248" s="47" t="b">
        <v>0</v>
      </c>
      <c r="Q4248" s="36" t="str">
        <f t="shared" si="35"/>
        <v/>
      </c>
      <c r="R4248" s="47" t="b">
        <v>0</v>
      </c>
      <c r="S4248" s="42" t="str">
        <f t="shared" si="28"/>
        <v/>
      </c>
      <c r="T4248" s="42"/>
    </row>
    <row r="4249" ht="22.5" customHeight="1">
      <c r="B4249" s="42">
        <f t="shared" si="7"/>
        <v>4243</v>
      </c>
      <c r="C4249" s="31" t="s">
        <v>4284</v>
      </c>
      <c r="D4249" s="34" t="str">
        <f t="array" ref="D4249">IFNA(_xlfn.XLOOKUP(C4249,Table_Tarikan_Warkah[Nomor Sertipikat],Table_Tarikan_Warkah[Nomor Tiket]),"")</f>
        <v>K/26/180925/1</v>
      </c>
      <c r="E4249" s="36" t="str">
        <f t="array" ref="E4249">IFNA(_xlfn.XLOOKUP(D4249,Table_Tarikan_Warkah[Nomor Tiket],Table_Tarikan_Warkah[Tanggal diserahkan kepada Validator]),"")</f>
        <v/>
      </c>
      <c r="F4249" s="36" t="str">
        <f t="array" ref="F4249">IFNA(_xlfn.XLOOKUP(D4249,Table_Tarikan_Warkah[Nomor Tiket],Table_Tarikan_Warkah[Nama Petugas Warkah]),"")</f>
        <v/>
      </c>
      <c r="G4249" s="39" t="str">
        <f t="array" ref="G4249">IFNA(_xlfn.XLOOKUP(D4249,Table_Tarikan_Warkah[Nomor Tiket],Table_Tarikan_Warkah[Jenis Permohonan]),"")</f>
        <v>BN JUAL BELI</v>
      </c>
      <c r="H4249" s="41" t="s">
        <v>2315</v>
      </c>
      <c r="I4249" s="49" t="s">
        <v>23</v>
      </c>
      <c r="J4249" s="36">
        <f t="shared" si="20"/>
        <v>0</v>
      </c>
      <c r="K4249" s="49" t="s">
        <v>26</v>
      </c>
      <c r="L4249" s="49" t="s">
        <v>23</v>
      </c>
      <c r="M4249" s="36">
        <f t="shared" si="33"/>
        <v>45965.39601</v>
      </c>
      <c r="N4249" s="30" t="str">
        <f t="shared" si="34"/>
        <v>Selesai</v>
      </c>
      <c r="O4249" s="45">
        <f t="shared" si="23"/>
        <v>45965.39601</v>
      </c>
      <c r="P4249" s="47" t="b">
        <v>0</v>
      </c>
      <c r="Q4249" s="36" t="str">
        <f t="shared" si="35"/>
        <v/>
      </c>
      <c r="R4249" s="47" t="b">
        <v>0</v>
      </c>
      <c r="S4249" s="42" t="str">
        <f t="shared" si="28"/>
        <v/>
      </c>
      <c r="T4249" s="42"/>
    </row>
    <row r="4250" ht="22.5" customHeight="1">
      <c r="B4250" s="42">
        <f t="shared" si="7"/>
        <v>4244</v>
      </c>
      <c r="C4250" s="31" t="s">
        <v>4285</v>
      </c>
      <c r="D4250" s="34" t="str">
        <f t="array" ref="D4250">IFNA(_xlfn.XLOOKUP(C4250,Table_Tarikan_Warkah[Nomor Sertipikat],Table_Tarikan_Warkah[Nomor Tiket]),"")</f>
        <v>K/26/120925/1</v>
      </c>
      <c r="E4250" s="36">
        <f t="array" ref="E4250">IFNA(_xlfn.XLOOKUP(D4250,Table_Tarikan_Warkah[Nomor Tiket],Table_Tarikan_Warkah[Tanggal diserahkan kepada Validator]),"")</f>
        <v>45975.49242</v>
      </c>
      <c r="F4250" s="36" t="str">
        <f t="array" ref="F4250">IFNA(_xlfn.XLOOKUP(D4250,Table_Tarikan_Warkah[Nomor Tiket],Table_Tarikan_Warkah[Nama Petugas Warkah]),"")</f>
        <v>Berry</v>
      </c>
      <c r="G4250" s="39" t="str">
        <f t="array" ref="G4250">IFNA(_xlfn.XLOOKUP(D4250,Table_Tarikan_Warkah[Nomor Tiket],Table_Tarikan_Warkah[Jenis Permohonan]),"")</f>
        <v>BN HIBAH</v>
      </c>
      <c r="H4250" s="41" t="s">
        <v>2315</v>
      </c>
      <c r="I4250" s="49" t="s">
        <v>23</v>
      </c>
      <c r="J4250" s="36">
        <f t="shared" si="20"/>
        <v>0</v>
      </c>
      <c r="K4250" s="69"/>
      <c r="L4250" s="49"/>
      <c r="M4250" s="36" t="str">
        <f t="shared" si="33"/>
        <v/>
      </c>
      <c r="N4250" s="30" t="str">
        <f t="shared" si="34"/>
        <v>BT atau SU Belum Valid</v>
      </c>
      <c r="O4250" s="39" t="str">
        <f t="shared" si="23"/>
        <v/>
      </c>
      <c r="P4250" s="47" t="b">
        <v>0</v>
      </c>
      <c r="Q4250" s="36" t="str">
        <f t="shared" si="35"/>
        <v/>
      </c>
      <c r="R4250" s="47" t="b">
        <v>0</v>
      </c>
      <c r="S4250" s="42" t="str">
        <f t="shared" si="28"/>
        <v/>
      </c>
      <c r="T4250" s="42"/>
    </row>
    <row r="4251" ht="22.5" customHeight="1">
      <c r="B4251" s="42">
        <f t="shared" si="7"/>
        <v>4245</v>
      </c>
      <c r="C4251" s="31" t="s">
        <v>4286</v>
      </c>
      <c r="D4251" s="34" t="str">
        <f t="array" ref="D4251">IFNA(_xlfn.XLOOKUP(C4251,Table_Tarikan_Warkah[Nomor Sertipikat],Table_Tarikan_Warkah[Nomor Tiket]),"")</f>
        <v>K/47/081025/1</v>
      </c>
      <c r="E4251" s="36" t="str">
        <f t="array" ref="E4251">IFNA(_xlfn.XLOOKUP(D4251,Table_Tarikan_Warkah[Nomor Tiket],Table_Tarikan_Warkah[Tanggal diserahkan kepada Validator]),"")</f>
        <v/>
      </c>
      <c r="F4251" s="36" t="str">
        <f t="array" ref="F4251">IFNA(_xlfn.XLOOKUP(D4251,Table_Tarikan_Warkah[Nomor Tiket],Table_Tarikan_Warkah[Nama Petugas Warkah]),"")</f>
        <v/>
      </c>
      <c r="G4251" s="39" t="str">
        <f t="array" ref="G4251">IFNA(_xlfn.XLOOKUP(D4251,Table_Tarikan_Warkah[Nomor Tiket],Table_Tarikan_Warkah[Jenis Permohonan]),"")</f>
        <v>BN JUAL BELI</v>
      </c>
      <c r="H4251" s="41" t="s">
        <v>2315</v>
      </c>
      <c r="I4251" s="49" t="s">
        <v>23</v>
      </c>
      <c r="J4251" s="36">
        <f t="shared" si="20"/>
        <v>0</v>
      </c>
      <c r="K4251" s="69"/>
      <c r="L4251" s="49"/>
      <c r="M4251" s="36" t="str">
        <f t="shared" si="33"/>
        <v/>
      </c>
      <c r="N4251" s="30" t="str">
        <f t="shared" si="34"/>
        <v>BT atau SU Belum Valid</v>
      </c>
      <c r="O4251" s="39" t="str">
        <f t="shared" si="23"/>
        <v/>
      </c>
      <c r="P4251" s="47" t="b">
        <v>0</v>
      </c>
      <c r="Q4251" s="36" t="str">
        <f t="shared" si="35"/>
        <v/>
      </c>
      <c r="R4251" s="47" t="b">
        <v>0</v>
      </c>
      <c r="S4251" s="42" t="str">
        <f t="shared" si="28"/>
        <v/>
      </c>
      <c r="T4251" s="42"/>
    </row>
    <row r="4252" ht="22.5" customHeight="1">
      <c r="B4252" s="42">
        <f t="shared" si="7"/>
        <v>4246</v>
      </c>
      <c r="C4252" s="31" t="s">
        <v>4287</v>
      </c>
      <c r="D4252" s="34" t="str">
        <f t="array" ref="D4252">IFNA(_xlfn.XLOOKUP(C4252,Table_Tarikan_Warkah[Nomor Sertipikat],Table_Tarikan_Warkah[Nomor Tiket]),"")</f>
        <v>K/14/210825/1</v>
      </c>
      <c r="E4252" s="36">
        <f t="array" ref="E4252">IFNA(_xlfn.XLOOKUP(D4252,Table_Tarikan_Warkah[Nomor Tiket],Table_Tarikan_Warkah[Tanggal diserahkan kepada Validator]),"")</f>
        <v>45910.59445</v>
      </c>
      <c r="F4252" s="36" t="str">
        <f t="array" ref="F4252">IFNA(_xlfn.XLOOKUP(D4252,Table_Tarikan_Warkah[Nomor Tiket],Table_Tarikan_Warkah[Nama Petugas Warkah]),"")</f>
        <v>Berry</v>
      </c>
      <c r="G4252" s="39" t="str">
        <f t="array" ref="G4252">IFNA(_xlfn.XLOOKUP(D4252,Table_Tarikan_Warkah[Nomor Tiket],Table_Tarikan_Warkah[Jenis Permohonan]),"")</f>
        <v>BN Jual beli</v>
      </c>
      <c r="H4252" s="41" t="s">
        <v>2315</v>
      </c>
      <c r="I4252" s="49" t="s">
        <v>23</v>
      </c>
      <c r="J4252" s="36">
        <f t="shared" si="20"/>
        <v>0</v>
      </c>
      <c r="K4252" s="69"/>
      <c r="L4252" s="49"/>
      <c r="M4252" s="36" t="str">
        <f t="shared" si="33"/>
        <v/>
      </c>
      <c r="N4252" s="30" t="str">
        <f t="shared" si="34"/>
        <v>BT atau SU Belum Valid</v>
      </c>
      <c r="O4252" s="39" t="str">
        <f t="shared" si="23"/>
        <v/>
      </c>
      <c r="P4252" s="47" t="b">
        <v>0</v>
      </c>
      <c r="Q4252" s="36" t="str">
        <f t="shared" si="35"/>
        <v/>
      </c>
      <c r="R4252" s="47" t="b">
        <v>0</v>
      </c>
      <c r="S4252" s="42" t="str">
        <f t="shared" si="28"/>
        <v/>
      </c>
      <c r="T4252" s="42"/>
    </row>
    <row r="4253" ht="22.5" customHeight="1">
      <c r="B4253" s="42">
        <f t="shared" si="7"/>
        <v>4247</v>
      </c>
      <c r="C4253" s="31" t="s">
        <v>4288</v>
      </c>
      <c r="D4253" s="34" t="str">
        <f t="array" ref="D4253">IFNA(_xlfn.XLOOKUP(C4253,Table_Tarikan_Warkah[Nomor Sertipikat],Table_Tarikan_Warkah[Nomor Tiket]),"")</f>
        <v/>
      </c>
      <c r="E4253" s="36" t="str">
        <f t="array" ref="E4253">IFNA(_xlfn.XLOOKUP(D4253,Table_Tarikan_Warkah[Nomor Tiket],Table_Tarikan_Warkah[Tanggal diserahkan kepada Validator]),"")</f>
        <v/>
      </c>
      <c r="F4253" s="36" t="str">
        <f t="array" ref="F4253">IFNA(_xlfn.XLOOKUP(D4253,Table_Tarikan_Warkah[Nomor Tiket],Table_Tarikan_Warkah[Nama Petugas Warkah]),"")</f>
        <v/>
      </c>
      <c r="G4253" s="39" t="str">
        <f t="array" ref="G4253">IFNA(_xlfn.XLOOKUP(D4253,Table_Tarikan_Warkah[Nomor Tiket],Table_Tarikan_Warkah[Jenis Permohonan]),"")</f>
        <v/>
      </c>
      <c r="H4253" s="41" t="s">
        <v>2315</v>
      </c>
      <c r="I4253" s="49" t="s">
        <v>23</v>
      </c>
      <c r="J4253" s="36">
        <f t="shared" si="20"/>
        <v>0</v>
      </c>
      <c r="K4253" s="49" t="s">
        <v>26</v>
      </c>
      <c r="L4253" s="49" t="s">
        <v>23</v>
      </c>
      <c r="M4253" s="36">
        <f t="shared" si="33"/>
        <v>45971.65265</v>
      </c>
      <c r="N4253" s="30" t="str">
        <f t="shared" si="34"/>
        <v/>
      </c>
      <c r="O4253" s="39" t="str">
        <f t="shared" si="23"/>
        <v/>
      </c>
      <c r="P4253" s="47" t="b">
        <v>0</v>
      </c>
      <c r="Q4253" s="36" t="str">
        <f t="shared" si="35"/>
        <v/>
      </c>
      <c r="R4253" s="47" t="b">
        <v>0</v>
      </c>
      <c r="S4253" s="42" t="str">
        <f t="shared" si="28"/>
        <v/>
      </c>
      <c r="T4253" s="42"/>
    </row>
    <row r="4254" ht="22.5" customHeight="1">
      <c r="B4254" s="42">
        <f t="shared" si="7"/>
        <v>4248</v>
      </c>
      <c r="C4254" s="31" t="s">
        <v>4289</v>
      </c>
      <c r="D4254" s="34" t="str">
        <f t="array" ref="D4254">IFNA(_xlfn.XLOOKUP(C4254,Table_Tarikan_Warkah[Nomor Sertipikat],Table_Tarikan_Warkah[Nomor Tiket]),"")</f>
        <v>K/34/080925/2</v>
      </c>
      <c r="E4254" s="36">
        <f t="array" ref="E4254">IFNA(_xlfn.XLOOKUP(D4254,Table_Tarikan_Warkah[Nomor Tiket],Table_Tarikan_Warkah[Tanggal diserahkan kepada Validator]),"")</f>
        <v>45945.67814</v>
      </c>
      <c r="F4254" s="36" t="str">
        <f t="array" ref="F4254">IFNA(_xlfn.XLOOKUP(D4254,Table_Tarikan_Warkah[Nomor Tiket],Table_Tarikan_Warkah[Nama Petugas Warkah]),"")</f>
        <v>Berry</v>
      </c>
      <c r="G4254" s="39" t="str">
        <f t="array" ref="G4254">IFNA(_xlfn.XLOOKUP(D4254,Table_Tarikan_Warkah[Nomor Tiket],Table_Tarikan_Warkah[Jenis Permohonan]),"")</f>
        <v>BN JUAL BELI</v>
      </c>
      <c r="H4254" s="41" t="s">
        <v>2315</v>
      </c>
      <c r="I4254" s="49" t="s">
        <v>23</v>
      </c>
      <c r="J4254" s="36">
        <f t="shared" si="20"/>
        <v>0</v>
      </c>
      <c r="K4254" s="69"/>
      <c r="L4254" s="49"/>
      <c r="M4254" s="36" t="str">
        <f t="shared" si="33"/>
        <v/>
      </c>
      <c r="N4254" s="30" t="str">
        <f t="shared" si="34"/>
        <v>BT atau SU Belum Valid</v>
      </c>
      <c r="O4254" s="39" t="str">
        <f t="shared" si="23"/>
        <v/>
      </c>
      <c r="P4254" s="47" t="b">
        <v>0</v>
      </c>
      <c r="Q4254" s="36" t="str">
        <f t="shared" si="35"/>
        <v/>
      </c>
      <c r="R4254" s="47" t="b">
        <v>0</v>
      </c>
      <c r="S4254" s="42" t="str">
        <f t="shared" si="28"/>
        <v/>
      </c>
      <c r="T4254" s="42"/>
    </row>
    <row r="4255" ht="22.5" customHeight="1">
      <c r="B4255" s="42">
        <f t="shared" si="7"/>
        <v>4249</v>
      </c>
      <c r="C4255" s="31" t="s">
        <v>4290</v>
      </c>
      <c r="D4255" s="34" t="str">
        <f t="array" ref="D4255">IFNA(_xlfn.XLOOKUP(C4255,Table_Tarikan_Warkah[Nomor Sertipikat],Table_Tarikan_Warkah[Nomor Tiket]),"")</f>
        <v>K/33/011025/1</v>
      </c>
      <c r="E4255" s="36" t="str">
        <f t="array" ref="E4255">IFNA(_xlfn.XLOOKUP(D4255,Table_Tarikan_Warkah[Nomor Tiket],Table_Tarikan_Warkah[Tanggal diserahkan kepada Validator]),"")</f>
        <v/>
      </c>
      <c r="F4255" s="36" t="str">
        <f t="array" ref="F4255">IFNA(_xlfn.XLOOKUP(D4255,Table_Tarikan_Warkah[Nomor Tiket],Table_Tarikan_Warkah[Nama Petugas Warkah]),"")</f>
        <v/>
      </c>
      <c r="G4255" s="39" t="str">
        <f t="array" ref="G4255">IFNA(_xlfn.XLOOKUP(D4255,Table_Tarikan_Warkah[Nomor Tiket],Table_Tarikan_Warkah[Jenis Permohonan]),"")</f>
        <v>BN JUAL BELI</v>
      </c>
      <c r="H4255" s="41" t="s">
        <v>2315</v>
      </c>
      <c r="I4255" s="49" t="s">
        <v>23</v>
      </c>
      <c r="J4255" s="36">
        <f t="shared" si="20"/>
        <v>0</v>
      </c>
      <c r="K4255" s="49" t="s">
        <v>26</v>
      </c>
      <c r="L4255" s="49" t="s">
        <v>23</v>
      </c>
      <c r="M4255" s="36">
        <f t="shared" si="33"/>
        <v>45971.65245</v>
      </c>
      <c r="N4255" s="30" t="str">
        <f t="shared" si="34"/>
        <v>Selesai</v>
      </c>
      <c r="O4255" s="45">
        <f t="shared" si="23"/>
        <v>45971.65245</v>
      </c>
      <c r="P4255" s="47" t="b">
        <v>0</v>
      </c>
      <c r="Q4255" s="36" t="str">
        <f t="shared" si="35"/>
        <v/>
      </c>
      <c r="R4255" s="47" t="b">
        <v>0</v>
      </c>
      <c r="S4255" s="42" t="str">
        <f t="shared" si="28"/>
        <v/>
      </c>
      <c r="T4255" s="42"/>
    </row>
    <row r="4256" ht="22.5" customHeight="1">
      <c r="B4256" s="42">
        <f t="shared" si="7"/>
        <v>4250</v>
      </c>
      <c r="C4256" s="31" t="s">
        <v>4291</v>
      </c>
      <c r="D4256" s="34" t="str">
        <f t="array" ref="D4256">IFNA(_xlfn.XLOOKUP(C4256,Table_Tarikan_Warkah[Nomor Sertipikat],Table_Tarikan_Warkah[Nomor Tiket]),"")</f>
        <v>K/6/230925/2</v>
      </c>
      <c r="E4256" s="36" t="str">
        <f t="array" ref="E4256">IFNA(_xlfn.XLOOKUP(D4256,Table_Tarikan_Warkah[Nomor Tiket],Table_Tarikan_Warkah[Tanggal diserahkan kepada Validator]),"")</f>
        <v/>
      </c>
      <c r="F4256" s="36" t="str">
        <f t="array" ref="F4256">IFNA(_xlfn.XLOOKUP(D4256,Table_Tarikan_Warkah[Nomor Tiket],Table_Tarikan_Warkah[Nama Petugas Warkah]),"")</f>
        <v/>
      </c>
      <c r="G4256" s="39" t="str">
        <f t="array" ref="G4256">IFNA(_xlfn.XLOOKUP(D4256,Table_Tarikan_Warkah[Nomor Tiket],Table_Tarikan_Warkah[Jenis Permohonan]),"")</f>
        <v>BN HIBAH</v>
      </c>
      <c r="H4256" s="41" t="s">
        <v>2315</v>
      </c>
      <c r="I4256" s="49" t="s">
        <v>23</v>
      </c>
      <c r="J4256" s="36">
        <f t="shared" si="20"/>
        <v>0</v>
      </c>
      <c r="K4256" s="49" t="s">
        <v>26</v>
      </c>
      <c r="L4256" s="49" t="s">
        <v>23</v>
      </c>
      <c r="M4256" s="36">
        <f t="shared" si="33"/>
        <v>45965.39799</v>
      </c>
      <c r="N4256" s="30" t="str">
        <f t="shared" si="34"/>
        <v>Selesai</v>
      </c>
      <c r="O4256" s="45">
        <f t="shared" si="23"/>
        <v>45965.39799</v>
      </c>
      <c r="P4256" s="47" t="b">
        <v>0</v>
      </c>
      <c r="Q4256" s="36" t="str">
        <f t="shared" si="35"/>
        <v/>
      </c>
      <c r="R4256" s="47" t="b">
        <v>0</v>
      </c>
      <c r="S4256" s="42" t="str">
        <f t="shared" si="28"/>
        <v/>
      </c>
      <c r="T4256" s="42"/>
    </row>
    <row r="4257" ht="22.5" customHeight="1">
      <c r="B4257" s="42">
        <f t="shared" si="7"/>
        <v>4251</v>
      </c>
      <c r="C4257" s="31" t="s">
        <v>4292</v>
      </c>
      <c r="D4257" s="34" t="str">
        <f t="array" ref="D4257">IFNA(_xlfn.XLOOKUP(C4257,Table_Tarikan_Warkah[Nomor Sertipikat],Table_Tarikan_Warkah[Nomor Tiket]),"")</f>
        <v>K/27/260925/1</v>
      </c>
      <c r="E4257" s="36">
        <f t="array" ref="E4257">IFNA(_xlfn.XLOOKUP(D4257,Table_Tarikan_Warkah[Nomor Tiket],Table_Tarikan_Warkah[Tanggal diserahkan kepada Validator]),"")</f>
        <v>45957.6157</v>
      </c>
      <c r="F4257" s="36" t="str">
        <f t="array" ref="F4257">IFNA(_xlfn.XLOOKUP(D4257,Table_Tarikan_Warkah[Nomor Tiket],Table_Tarikan_Warkah[Nama Petugas Warkah]),"")</f>
        <v>David</v>
      </c>
      <c r="G4257" s="39" t="str">
        <f t="array" ref="G4257">IFNA(_xlfn.XLOOKUP(D4257,Table_Tarikan_Warkah[Nomor Tiket],Table_Tarikan_Warkah[Jenis Permohonan]),"")</f>
        <v>BN JUAL BELI</v>
      </c>
      <c r="H4257" s="41" t="s">
        <v>2315</v>
      </c>
      <c r="I4257" s="49" t="s">
        <v>23</v>
      </c>
      <c r="J4257" s="36">
        <f t="shared" si="20"/>
        <v>0</v>
      </c>
      <c r="K4257" s="49" t="s">
        <v>26</v>
      </c>
      <c r="L4257" s="49" t="s">
        <v>23</v>
      </c>
      <c r="M4257" s="36">
        <f t="shared" si="33"/>
        <v>45965.39687</v>
      </c>
      <c r="N4257" s="30" t="str">
        <f t="shared" si="34"/>
        <v>Selesai</v>
      </c>
      <c r="O4257" s="45">
        <f t="shared" si="23"/>
        <v>45965.39687</v>
      </c>
      <c r="P4257" s="47" t="b">
        <v>0</v>
      </c>
      <c r="Q4257" s="36" t="str">
        <f t="shared" si="35"/>
        <v/>
      </c>
      <c r="R4257" s="47" t="b">
        <v>0</v>
      </c>
      <c r="S4257" s="42" t="str">
        <f t="shared" si="28"/>
        <v/>
      </c>
      <c r="T4257" s="42"/>
    </row>
    <row r="4258" ht="22.5" customHeight="1">
      <c r="B4258" s="42">
        <f t="shared" si="7"/>
        <v>4252</v>
      </c>
      <c r="C4258" s="31" t="s">
        <v>4293</v>
      </c>
      <c r="D4258" s="34" t="str">
        <f t="array" ref="D4258">IFNA(_xlfn.XLOOKUP(C4258,Table_Tarikan_Warkah[Nomor Sertipikat],Table_Tarikan_Warkah[Nomor Tiket]),"")</f>
        <v>K/19/170926/1</v>
      </c>
      <c r="E4258" s="36">
        <f t="array" ref="E4258">IFNA(_xlfn.XLOOKUP(D4258,Table_Tarikan_Warkah[Nomor Tiket],Table_Tarikan_Warkah[Tanggal diserahkan kepada Validator]),"")</f>
        <v>45943.70049</v>
      </c>
      <c r="F4258" s="36" t="str">
        <f t="array" ref="F4258">IFNA(_xlfn.XLOOKUP(D4258,Table_Tarikan_Warkah[Nomor Tiket],Table_Tarikan_Warkah[Nama Petugas Warkah]),"")</f>
        <v>David</v>
      </c>
      <c r="G4258" s="39" t="str">
        <f t="array" ref="G4258">IFNA(_xlfn.XLOOKUP(D4258,Table_Tarikan_Warkah[Nomor Tiket],Table_Tarikan_Warkah[Jenis Permohonan]),"")</f>
        <v>BN JUAL BELI</v>
      </c>
      <c r="H4258" s="41" t="s">
        <v>2315</v>
      </c>
      <c r="I4258" s="49" t="s">
        <v>23</v>
      </c>
      <c r="J4258" s="36">
        <f t="shared" si="20"/>
        <v>0</v>
      </c>
      <c r="K4258" s="49" t="s">
        <v>26</v>
      </c>
      <c r="L4258" s="49" t="s">
        <v>23</v>
      </c>
      <c r="M4258" s="36">
        <f t="shared" si="33"/>
        <v>45965.39855</v>
      </c>
      <c r="N4258" s="30" t="str">
        <f t="shared" si="34"/>
        <v>Selesai</v>
      </c>
      <c r="O4258" s="45">
        <f t="shared" si="23"/>
        <v>45965.39855</v>
      </c>
      <c r="P4258" s="47" t="b">
        <v>0</v>
      </c>
      <c r="Q4258" s="36" t="str">
        <f t="shared" si="35"/>
        <v/>
      </c>
      <c r="R4258" s="47" t="b">
        <v>0</v>
      </c>
      <c r="S4258" s="42" t="str">
        <f t="shared" si="28"/>
        <v/>
      </c>
      <c r="T4258" s="42"/>
    </row>
    <row r="4259" ht="22.5" customHeight="1">
      <c r="B4259" s="42">
        <f t="shared" si="7"/>
        <v>4253</v>
      </c>
      <c r="C4259" s="31" t="s">
        <v>4106</v>
      </c>
      <c r="D4259" s="34" t="str">
        <f t="array" ref="D4259">IFNA(_xlfn.XLOOKUP(C4259,Table_Tarikan_Warkah[Nomor Sertipikat],Table_Tarikan_Warkah[Nomor Tiket]),"")</f>
        <v>K/20/190925/1</v>
      </c>
      <c r="E4259" s="36">
        <f t="array" ref="E4259">IFNA(_xlfn.XLOOKUP(D4259,Table_Tarikan_Warkah[Nomor Tiket],Table_Tarikan_Warkah[Tanggal diserahkan kepada Validator]),"")</f>
        <v>45993.46008</v>
      </c>
      <c r="F4259" s="36" t="str">
        <f t="array" ref="F4259">IFNA(_xlfn.XLOOKUP(D4259,Table_Tarikan_Warkah[Nomor Tiket],Table_Tarikan_Warkah[Nama Petugas Warkah]),"")</f>
        <v>David</v>
      </c>
      <c r="G4259" s="39" t="str">
        <f t="array" ref="G4259">IFNA(_xlfn.XLOOKUP(D4259,Table_Tarikan_Warkah[Nomor Tiket],Table_Tarikan_Warkah[Jenis Permohonan]),"")</f>
        <v>HAPUS BPHTB</v>
      </c>
      <c r="H4259" s="41" t="s">
        <v>2315</v>
      </c>
      <c r="I4259" s="49" t="s">
        <v>23</v>
      </c>
      <c r="J4259" s="36">
        <f t="shared" si="20"/>
        <v>0</v>
      </c>
      <c r="K4259" s="49" t="s">
        <v>26</v>
      </c>
      <c r="L4259" s="49" t="s">
        <v>23</v>
      </c>
      <c r="M4259" s="36">
        <f t="shared" si="33"/>
        <v>45961.63885</v>
      </c>
      <c r="N4259" s="30" t="str">
        <f t="shared" si="34"/>
        <v>Selesai</v>
      </c>
      <c r="O4259" s="45">
        <f t="shared" si="23"/>
        <v>45961.63885</v>
      </c>
      <c r="P4259" s="47" t="b">
        <v>0</v>
      </c>
      <c r="Q4259" s="36" t="str">
        <f t="shared" si="35"/>
        <v/>
      </c>
      <c r="R4259" s="47" t="b">
        <v>0</v>
      </c>
      <c r="S4259" s="42" t="str">
        <f t="shared" si="28"/>
        <v/>
      </c>
      <c r="T4259" s="42"/>
    </row>
    <row r="4260" ht="22.5" customHeight="1">
      <c r="B4260" s="42">
        <f t="shared" si="7"/>
        <v>4254</v>
      </c>
      <c r="C4260" s="31" t="s">
        <v>4182</v>
      </c>
      <c r="D4260" s="34" t="str">
        <f t="array" ref="D4260">IFNA(_xlfn.XLOOKUP(C4260,Table_Tarikan_Warkah[Nomor Sertipikat],Table_Tarikan_Warkah[Nomor Tiket]),"")</f>
        <v>K/42/270825/1</v>
      </c>
      <c r="E4260" s="36" t="str">
        <f t="array" ref="E4260">IFNA(_xlfn.XLOOKUP(D4260,Table_Tarikan_Warkah[Nomor Tiket],Table_Tarikan_Warkah[Tanggal diserahkan kepada Validator]),"")</f>
        <v/>
      </c>
      <c r="F4260" s="36" t="str">
        <f t="array" ref="F4260">IFNA(_xlfn.XLOOKUP(D4260,Table_Tarikan_Warkah[Nomor Tiket],Table_Tarikan_Warkah[Nama Petugas Warkah]),"")</f>
        <v/>
      </c>
      <c r="G4260" s="39" t="str">
        <f t="array" ref="G4260">IFNA(_xlfn.XLOOKUP(D4260,Table_Tarikan_Warkah[Nomor Tiket],Table_Tarikan_Warkah[Jenis Permohonan]),"")</f>
        <v>BN JUAL BELI</v>
      </c>
      <c r="H4260" s="41" t="s">
        <v>2315</v>
      </c>
      <c r="I4260" s="49" t="s">
        <v>23</v>
      </c>
      <c r="J4260" s="36">
        <f t="shared" si="20"/>
        <v>45960.68763</v>
      </c>
      <c r="K4260" s="49" t="s">
        <v>26</v>
      </c>
      <c r="L4260" s="49" t="s">
        <v>23</v>
      </c>
      <c r="M4260" s="36">
        <f t="shared" si="33"/>
        <v>45961.63918</v>
      </c>
      <c r="N4260" s="30" t="str">
        <f t="shared" si="34"/>
        <v>Selesai</v>
      </c>
      <c r="O4260" s="45">
        <f t="shared" si="23"/>
        <v>45961.63918</v>
      </c>
      <c r="P4260" s="47" t="b">
        <v>0</v>
      </c>
      <c r="Q4260" s="36" t="str">
        <f t="shared" si="35"/>
        <v/>
      </c>
      <c r="R4260" s="47" t="b">
        <v>0</v>
      </c>
      <c r="S4260" s="42" t="str">
        <f t="shared" si="28"/>
        <v/>
      </c>
      <c r="T4260" s="42"/>
    </row>
    <row r="4261" ht="22.5" customHeight="1">
      <c r="B4261" s="42">
        <f t="shared" si="7"/>
        <v>4255</v>
      </c>
      <c r="C4261" s="31" t="s">
        <v>4140</v>
      </c>
      <c r="D4261" s="34" t="str">
        <f t="array" ref="D4261">IFNA(_xlfn.XLOOKUP(C4261,Table_Tarikan_Warkah[Nomor Sertipikat],Table_Tarikan_Warkah[Nomor Tiket]),"")</f>
        <v>K/1/110825/1</v>
      </c>
      <c r="E4261" s="36" t="str">
        <f t="array" ref="E4261">IFNA(_xlfn.XLOOKUP(D4261,Table_Tarikan_Warkah[Nomor Tiket],Table_Tarikan_Warkah[Tanggal diserahkan kepada Validator]),"")</f>
        <v/>
      </c>
      <c r="F4261" s="36" t="str">
        <f t="array" ref="F4261">IFNA(_xlfn.XLOOKUP(D4261,Table_Tarikan_Warkah[Nomor Tiket],Table_Tarikan_Warkah[Nama Petugas Warkah]),"")</f>
        <v/>
      </c>
      <c r="G4261" s="39" t="str">
        <f t="array" ref="G4261">IFNA(_xlfn.XLOOKUP(D4261,Table_Tarikan_Warkah[Nomor Tiket],Table_Tarikan_Warkah[Jenis Permohonan]),"")</f>
        <v>PENATAAN BATAS</v>
      </c>
      <c r="H4261" s="41" t="s">
        <v>2315</v>
      </c>
      <c r="I4261" s="49" t="s">
        <v>23</v>
      </c>
      <c r="J4261" s="36">
        <f t="shared" si="20"/>
        <v>45960.68774</v>
      </c>
      <c r="K4261" s="49" t="s">
        <v>26</v>
      </c>
      <c r="L4261" s="49" t="s">
        <v>23</v>
      </c>
      <c r="M4261" s="36">
        <f t="shared" si="33"/>
        <v>45961.63929</v>
      </c>
      <c r="N4261" s="30" t="str">
        <f t="shared" si="34"/>
        <v>Selesai</v>
      </c>
      <c r="O4261" s="45">
        <f t="shared" si="23"/>
        <v>45961.63929</v>
      </c>
      <c r="P4261" s="47" t="b">
        <v>0</v>
      </c>
      <c r="Q4261" s="36" t="str">
        <f t="shared" si="35"/>
        <v/>
      </c>
      <c r="R4261" s="47" t="b">
        <v>0</v>
      </c>
      <c r="S4261" s="42" t="str">
        <f t="shared" si="28"/>
        <v/>
      </c>
      <c r="T4261" s="42"/>
    </row>
    <row r="4262" ht="22.5" customHeight="1">
      <c r="B4262" s="42">
        <f t="shared" si="7"/>
        <v>4256</v>
      </c>
      <c r="C4262" s="31" t="s">
        <v>4166</v>
      </c>
      <c r="D4262" s="34" t="str">
        <f t="array" ref="D4262">IFNA(_xlfn.XLOOKUP(C4262,Table_Tarikan_Warkah[Nomor Sertipikat],Table_Tarikan_Warkah[Nomor Tiket]),"")</f>
        <v>K/5/250925/3</v>
      </c>
      <c r="E4262" s="36" t="str">
        <f t="array" ref="E4262">IFNA(_xlfn.XLOOKUP(D4262,Table_Tarikan_Warkah[Nomor Tiket],Table_Tarikan_Warkah[Tanggal diserahkan kepada Validator]),"")</f>
        <v/>
      </c>
      <c r="F4262" s="36" t="str">
        <f t="array" ref="F4262">IFNA(_xlfn.XLOOKUP(D4262,Table_Tarikan_Warkah[Nomor Tiket],Table_Tarikan_Warkah[Nama Petugas Warkah]),"")</f>
        <v/>
      </c>
      <c r="G4262" s="39" t="str">
        <f t="array" ref="G4262">IFNA(_xlfn.XLOOKUP(D4262,Table_Tarikan_Warkah[Nomor Tiket],Table_Tarikan_Warkah[Jenis Permohonan]),"")</f>
        <v>BN WARIS</v>
      </c>
      <c r="H4262" s="41" t="s">
        <v>2315</v>
      </c>
      <c r="I4262" s="49" t="s">
        <v>23</v>
      </c>
      <c r="J4262" s="36">
        <f t="shared" si="20"/>
        <v>45960.68789</v>
      </c>
      <c r="K4262" s="49" t="s">
        <v>26</v>
      </c>
      <c r="L4262" s="49" t="s">
        <v>23</v>
      </c>
      <c r="M4262" s="36">
        <f t="shared" si="33"/>
        <v>45961.63942</v>
      </c>
      <c r="N4262" s="30" t="str">
        <f t="shared" si="34"/>
        <v>Selesai</v>
      </c>
      <c r="O4262" s="45">
        <f t="shared" si="23"/>
        <v>45961.63942</v>
      </c>
      <c r="P4262" s="47" t="b">
        <v>0</v>
      </c>
      <c r="Q4262" s="36" t="str">
        <f t="shared" si="35"/>
        <v/>
      </c>
      <c r="R4262" s="47" t="b">
        <v>0</v>
      </c>
      <c r="S4262" s="42" t="str">
        <f t="shared" si="28"/>
        <v/>
      </c>
      <c r="T4262" s="42"/>
    </row>
    <row r="4263" ht="22.5" customHeight="1">
      <c r="B4263" s="42">
        <f t="shared" si="7"/>
        <v>4257</v>
      </c>
      <c r="C4263" s="31" t="s">
        <v>4175</v>
      </c>
      <c r="D4263" s="34" t="str">
        <f t="array" ref="D4263">IFNA(_xlfn.XLOOKUP(C4263,Table_Tarikan_Warkah[Nomor Sertipikat],Table_Tarikan_Warkah[Nomor Tiket]),"")</f>
        <v>K/46/030925/1</v>
      </c>
      <c r="E4263" s="36" t="str">
        <f t="array" ref="E4263">IFNA(_xlfn.XLOOKUP(D4263,Table_Tarikan_Warkah[Nomor Tiket],Table_Tarikan_Warkah[Tanggal diserahkan kepada Validator]),"")</f>
        <v/>
      </c>
      <c r="F4263" s="36" t="str">
        <f t="array" ref="F4263">IFNA(_xlfn.XLOOKUP(D4263,Table_Tarikan_Warkah[Nomor Tiket],Table_Tarikan_Warkah[Nama Petugas Warkah]),"")</f>
        <v/>
      </c>
      <c r="G4263" s="39" t="str">
        <f t="array" ref="G4263">IFNA(_xlfn.XLOOKUP(D4263,Table_Tarikan_Warkah[Nomor Tiket],Table_Tarikan_Warkah[Jenis Permohonan]),"")</f>
        <v>BN JUAL BELI</v>
      </c>
      <c r="H4263" s="41" t="s">
        <v>2315</v>
      </c>
      <c r="I4263" s="49" t="s">
        <v>23</v>
      </c>
      <c r="J4263" s="36">
        <f t="shared" si="20"/>
        <v>45960.68809</v>
      </c>
      <c r="K4263" s="49" t="s">
        <v>26</v>
      </c>
      <c r="L4263" s="49" t="s">
        <v>23</v>
      </c>
      <c r="M4263" s="36">
        <f t="shared" si="33"/>
        <v>45961.63961</v>
      </c>
      <c r="N4263" s="30" t="str">
        <f t="shared" si="34"/>
        <v>Selesai</v>
      </c>
      <c r="O4263" s="45">
        <f t="shared" si="23"/>
        <v>45961.63961</v>
      </c>
      <c r="P4263" s="47" t="b">
        <v>0</v>
      </c>
      <c r="Q4263" s="36" t="str">
        <f t="shared" si="35"/>
        <v/>
      </c>
      <c r="R4263" s="47" t="b">
        <v>0</v>
      </c>
      <c r="S4263" s="42" t="str">
        <f t="shared" si="28"/>
        <v/>
      </c>
      <c r="T4263" s="42"/>
    </row>
    <row r="4264" ht="22.5" customHeight="1">
      <c r="B4264" s="42">
        <f t="shared" si="7"/>
        <v>4258</v>
      </c>
      <c r="C4264" s="31" t="s">
        <v>4189</v>
      </c>
      <c r="D4264" s="34" t="str">
        <f t="array" ref="D4264">IFNA(_xlfn.XLOOKUP(C4264,Table_Tarikan_Warkah[Nomor Sertipikat],Table_Tarikan_Warkah[Nomor Tiket]),"")</f>
        <v>K/1/180925/1</v>
      </c>
      <c r="E4264" s="36" t="str">
        <f t="array" ref="E4264">IFNA(_xlfn.XLOOKUP(D4264,Table_Tarikan_Warkah[Nomor Tiket],Table_Tarikan_Warkah[Tanggal diserahkan kepada Validator]),"")</f>
        <v/>
      </c>
      <c r="F4264" s="36" t="str">
        <f t="array" ref="F4264">IFNA(_xlfn.XLOOKUP(D4264,Table_Tarikan_Warkah[Nomor Tiket],Table_Tarikan_Warkah[Nama Petugas Warkah]),"")</f>
        <v/>
      </c>
      <c r="G4264" s="39" t="str">
        <f t="array" ref="G4264">IFNA(_xlfn.XLOOKUP(D4264,Table_Tarikan_Warkah[Nomor Tiket],Table_Tarikan_Warkah[Jenis Permohonan]),"")</f>
        <v>BN JUAL BELI</v>
      </c>
      <c r="H4264" s="41" t="s">
        <v>2315</v>
      </c>
      <c r="I4264" s="49" t="s">
        <v>23</v>
      </c>
      <c r="J4264" s="36">
        <f t="shared" si="20"/>
        <v>45960.68843</v>
      </c>
      <c r="K4264" s="49" t="s">
        <v>26</v>
      </c>
      <c r="L4264" s="49" t="s">
        <v>23</v>
      </c>
      <c r="M4264" s="36">
        <f t="shared" si="33"/>
        <v>45961.63984</v>
      </c>
      <c r="N4264" s="30" t="str">
        <f t="shared" si="34"/>
        <v>Selesai</v>
      </c>
      <c r="O4264" s="45">
        <f t="shared" si="23"/>
        <v>45961.63984</v>
      </c>
      <c r="P4264" s="47" t="b">
        <v>0</v>
      </c>
      <c r="Q4264" s="36" t="str">
        <f t="shared" si="35"/>
        <v/>
      </c>
      <c r="R4264" s="47" t="b">
        <v>0</v>
      </c>
      <c r="S4264" s="42" t="str">
        <f t="shared" si="28"/>
        <v/>
      </c>
      <c r="T4264" s="42"/>
    </row>
    <row r="4265" ht="22.5" customHeight="1">
      <c r="B4265" s="42">
        <f t="shared" si="7"/>
        <v>4259</v>
      </c>
      <c r="C4265" s="31" t="s">
        <v>4294</v>
      </c>
      <c r="D4265" s="34" t="str">
        <f t="array" ref="D4265">IFNA(_xlfn.XLOOKUP(C4265,Table_Tarikan_Warkah[Nomor Sertipikat],Table_Tarikan_Warkah[Nomor Tiket]),"")</f>
        <v>K/26/270825/1</v>
      </c>
      <c r="E4265" s="36" t="str">
        <f t="array" ref="E4265">IFNA(_xlfn.XLOOKUP(D4265,Table_Tarikan_Warkah[Nomor Tiket],Table_Tarikan_Warkah[Tanggal diserahkan kepada Validator]),"")</f>
        <v/>
      </c>
      <c r="F4265" s="36" t="str">
        <f t="array" ref="F4265">IFNA(_xlfn.XLOOKUP(D4265,Table_Tarikan_Warkah[Nomor Tiket],Table_Tarikan_Warkah[Nama Petugas Warkah]),"")</f>
        <v/>
      </c>
      <c r="G4265" s="39" t="str">
        <f t="array" ref="G4265">IFNA(_xlfn.XLOOKUP(D4265,Table_Tarikan_Warkah[Nomor Tiket],Table_Tarikan_Warkah[Jenis Permohonan]),"")</f>
        <v>BN JUAL BELI EL</v>
      </c>
      <c r="H4265" s="41" t="s">
        <v>20</v>
      </c>
      <c r="I4265" s="49" t="s">
        <v>23</v>
      </c>
      <c r="J4265" s="36">
        <f t="shared" si="20"/>
        <v>45961.76245</v>
      </c>
      <c r="K4265" s="69"/>
      <c r="L4265" s="49"/>
      <c r="M4265" s="36" t="str">
        <f t="shared" si="33"/>
        <v/>
      </c>
      <c r="N4265" s="30" t="str">
        <f t="shared" si="34"/>
        <v>BT atau SU Belum Valid</v>
      </c>
      <c r="O4265" s="39" t="str">
        <f t="shared" si="23"/>
        <v/>
      </c>
      <c r="P4265" s="47" t="b">
        <v>0</v>
      </c>
      <c r="Q4265" s="36" t="str">
        <f t="shared" si="35"/>
        <v/>
      </c>
      <c r="R4265" s="47" t="b">
        <v>0</v>
      </c>
      <c r="S4265" s="42" t="str">
        <f t="shared" si="28"/>
        <v/>
      </c>
      <c r="T4265" s="42"/>
    </row>
    <row r="4266" ht="22.5" customHeight="1">
      <c r="B4266" s="42">
        <f t="shared" si="7"/>
        <v>4260</v>
      </c>
      <c r="C4266" s="31" t="s">
        <v>4295</v>
      </c>
      <c r="D4266" s="34" t="str">
        <f t="array" ref="D4266">IFNA(_xlfn.XLOOKUP(C4266,Table_Tarikan_Warkah[Nomor Sertipikat],Table_Tarikan_Warkah[Nomor Tiket]),"")</f>
        <v>K/26/300925/1</v>
      </c>
      <c r="E4266" s="36" t="str">
        <f t="array" ref="E4266">IFNA(_xlfn.XLOOKUP(D4266,Table_Tarikan_Warkah[Nomor Tiket],Table_Tarikan_Warkah[Tanggal diserahkan kepada Validator]),"")</f>
        <v/>
      </c>
      <c r="F4266" s="36" t="str">
        <f t="array" ref="F4266">IFNA(_xlfn.XLOOKUP(D4266,Table_Tarikan_Warkah[Nomor Tiket],Table_Tarikan_Warkah[Nama Petugas Warkah]),"")</f>
        <v/>
      </c>
      <c r="G4266" s="39" t="str">
        <f t="array" ref="G4266">IFNA(_xlfn.XLOOKUP(D4266,Table_Tarikan_Warkah[Nomor Tiket],Table_Tarikan_Warkah[Jenis Permohonan]),"")</f>
        <v>PENINGKATAN HAK</v>
      </c>
      <c r="H4266" s="41" t="s">
        <v>20</v>
      </c>
      <c r="I4266" s="49" t="s">
        <v>23</v>
      </c>
      <c r="J4266" s="36">
        <f t="shared" si="20"/>
        <v>45961.7627</v>
      </c>
      <c r="K4266" s="69"/>
      <c r="L4266" s="49"/>
      <c r="M4266" s="36" t="str">
        <f t="shared" si="33"/>
        <v/>
      </c>
      <c r="N4266" s="30" t="str">
        <f t="shared" si="34"/>
        <v>BT atau SU Belum Valid</v>
      </c>
      <c r="O4266" s="39" t="str">
        <f t="shared" si="23"/>
        <v/>
      </c>
      <c r="P4266" s="47" t="b">
        <v>0</v>
      </c>
      <c r="Q4266" s="36" t="str">
        <f t="shared" si="35"/>
        <v/>
      </c>
      <c r="R4266" s="47" t="b">
        <v>0</v>
      </c>
      <c r="S4266" s="42" t="str">
        <f t="shared" si="28"/>
        <v/>
      </c>
      <c r="T4266" s="42"/>
    </row>
    <row r="4267" ht="22.5" customHeight="1">
      <c r="B4267" s="42">
        <f t="shared" si="7"/>
        <v>4261</v>
      </c>
      <c r="C4267" s="31" t="s">
        <v>4296</v>
      </c>
      <c r="D4267" s="34" t="str">
        <f t="array" ref="D4267">IFNA(_xlfn.XLOOKUP(C4267,Table_Tarikan_Warkah[Nomor Sertipikat],Table_Tarikan_Warkah[Nomor Tiket]),"")</f>
        <v>K/6/280725/2</v>
      </c>
      <c r="E4267" s="36" t="str">
        <f t="array" ref="E4267">IFNA(_xlfn.XLOOKUP(D4267,Table_Tarikan_Warkah[Nomor Tiket],Table_Tarikan_Warkah[Tanggal diserahkan kepada Validator]),"")</f>
        <v/>
      </c>
      <c r="F4267" s="36" t="str">
        <f t="array" ref="F4267">IFNA(_xlfn.XLOOKUP(D4267,Table_Tarikan_Warkah[Nomor Tiket],Table_Tarikan_Warkah[Nama Petugas Warkah]),"")</f>
        <v/>
      </c>
      <c r="G4267" s="39" t="str">
        <f t="array" ref="G4267">IFNA(_xlfn.XLOOKUP(D4267,Table_Tarikan_Warkah[Nomor Tiket],Table_Tarikan_Warkah[Jenis Permohonan]),"")</f>
        <v>SKPT LELANG</v>
      </c>
      <c r="H4267" s="41" t="s">
        <v>20</v>
      </c>
      <c r="I4267" s="49" t="s">
        <v>23</v>
      </c>
      <c r="J4267" s="36">
        <f t="shared" si="20"/>
        <v>45961.76282</v>
      </c>
      <c r="K4267" s="69"/>
      <c r="L4267" s="49"/>
      <c r="M4267" s="36" t="str">
        <f t="shared" si="33"/>
        <v/>
      </c>
      <c r="N4267" s="30" t="str">
        <f t="shared" si="34"/>
        <v>BT atau SU Belum Valid</v>
      </c>
      <c r="O4267" s="39" t="str">
        <f t="shared" si="23"/>
        <v/>
      </c>
      <c r="P4267" s="47" t="b">
        <v>0</v>
      </c>
      <c r="Q4267" s="36" t="str">
        <f t="shared" si="35"/>
        <v/>
      </c>
      <c r="R4267" s="47" t="b">
        <v>0</v>
      </c>
      <c r="S4267" s="42" t="str">
        <f t="shared" si="28"/>
        <v/>
      </c>
      <c r="T4267" s="42"/>
    </row>
    <row r="4268" ht="22.5" customHeight="1">
      <c r="B4268" s="42">
        <f t="shared" si="7"/>
        <v>4262</v>
      </c>
      <c r="C4268" s="31" t="s">
        <v>4297</v>
      </c>
      <c r="D4268" s="34" t="str">
        <f t="array" ref="D4268">IFNA(_xlfn.XLOOKUP(C4268,Table_Tarikan_Warkah[Nomor Sertipikat],Table_Tarikan_Warkah[Nomor Tiket]),"")</f>
        <v>L/38/101025/1</v>
      </c>
      <c r="E4268" s="36" t="str">
        <f t="array" ref="E4268">IFNA(_xlfn.XLOOKUP(D4268,Table_Tarikan_Warkah[Nomor Tiket],Table_Tarikan_Warkah[Tanggal diserahkan kepada Validator]),"")</f>
        <v/>
      </c>
      <c r="F4268" s="36" t="str">
        <f t="array" ref="F4268">IFNA(_xlfn.XLOOKUP(D4268,Table_Tarikan_Warkah[Nomor Tiket],Table_Tarikan_Warkah[Nama Petugas Warkah]),"")</f>
        <v/>
      </c>
      <c r="G4268" s="39" t="str">
        <f t="array" ref="G4268">IFNA(_xlfn.XLOOKUP(D4268,Table_Tarikan_Warkah[Nomor Tiket],Table_Tarikan_Warkah[Jenis Permohonan]),"")</f>
        <v>PENINGKATAN HAK</v>
      </c>
      <c r="H4268" s="41" t="s">
        <v>20</v>
      </c>
      <c r="I4268" s="49" t="s">
        <v>23</v>
      </c>
      <c r="J4268" s="36">
        <f t="shared" si="20"/>
        <v>45961.76295</v>
      </c>
      <c r="K4268" s="49" t="s">
        <v>26</v>
      </c>
      <c r="L4268" s="49" t="s">
        <v>23</v>
      </c>
      <c r="M4268" s="36">
        <f t="shared" si="33"/>
        <v>45965.39069</v>
      </c>
      <c r="N4268" s="30" t="str">
        <f t="shared" si="34"/>
        <v>Selesai</v>
      </c>
      <c r="O4268" s="45">
        <f t="shared" si="23"/>
        <v>45965.39069</v>
      </c>
      <c r="P4268" s="47" t="b">
        <v>0</v>
      </c>
      <c r="Q4268" s="36" t="str">
        <f t="shared" si="35"/>
        <v/>
      </c>
      <c r="R4268" s="47" t="b">
        <v>0</v>
      </c>
      <c r="S4268" s="42" t="str">
        <f t="shared" si="28"/>
        <v/>
      </c>
      <c r="T4268" s="42"/>
    </row>
    <row r="4269" ht="22.5" customHeight="1">
      <c r="B4269" s="42">
        <f t="shared" si="7"/>
        <v>4263</v>
      </c>
      <c r="C4269" s="31" t="s">
        <v>4298</v>
      </c>
      <c r="D4269" s="34" t="str">
        <f t="array" ref="D4269">IFNA(_xlfn.XLOOKUP(C4269,Table_Tarikan_Warkah[Nomor Sertipikat],Table_Tarikan_Warkah[Nomor Tiket]),"")</f>
        <v>K/13/091025/1</v>
      </c>
      <c r="E4269" s="36" t="str">
        <f t="array" ref="E4269">IFNA(_xlfn.XLOOKUP(D4269,Table_Tarikan_Warkah[Nomor Tiket],Table_Tarikan_Warkah[Tanggal diserahkan kepada Validator]),"")</f>
        <v/>
      </c>
      <c r="F4269" s="36" t="str">
        <f t="array" ref="F4269">IFNA(_xlfn.XLOOKUP(D4269,Table_Tarikan_Warkah[Nomor Tiket],Table_Tarikan_Warkah[Nama Petugas Warkah]),"")</f>
        <v/>
      </c>
      <c r="G4269" s="39" t="str">
        <f t="array" ref="G4269">IFNA(_xlfn.XLOOKUP(D4269,Table_Tarikan_Warkah[Nomor Tiket],Table_Tarikan_Warkah[Jenis Permohonan]),"")</f>
        <v>PENGGABUNGAN</v>
      </c>
      <c r="H4269" s="41" t="s">
        <v>20</v>
      </c>
      <c r="I4269" s="49" t="s">
        <v>23</v>
      </c>
      <c r="J4269" s="36">
        <f t="shared" si="20"/>
        <v>45961.76336</v>
      </c>
      <c r="K4269" s="49" t="s">
        <v>26</v>
      </c>
      <c r="L4269" s="49" t="s">
        <v>23</v>
      </c>
      <c r="M4269" s="36">
        <f t="shared" si="33"/>
        <v>45965.39464</v>
      </c>
      <c r="N4269" s="30" t="str">
        <f t="shared" si="34"/>
        <v>Selesai</v>
      </c>
      <c r="O4269" s="45">
        <f t="shared" si="23"/>
        <v>45965.39464</v>
      </c>
      <c r="P4269" s="47" t="b">
        <v>0</v>
      </c>
      <c r="Q4269" s="36" t="str">
        <f t="shared" si="35"/>
        <v/>
      </c>
      <c r="R4269" s="47" t="b">
        <v>0</v>
      </c>
      <c r="S4269" s="42" t="str">
        <f t="shared" si="28"/>
        <v/>
      </c>
      <c r="T4269" s="42"/>
    </row>
    <row r="4270" ht="22.5" customHeight="1">
      <c r="B4270" s="42">
        <f t="shared" si="7"/>
        <v>4264</v>
      </c>
      <c r="C4270" s="31" t="s">
        <v>4299</v>
      </c>
      <c r="D4270" s="34" t="str">
        <f t="array" ref="D4270">IFNA(_xlfn.XLOOKUP(C4270,Table_Tarikan_Warkah[Nomor Sertipikat],Table_Tarikan_Warkah[Nomor Tiket]),"")</f>
        <v>K/26/101025/1</v>
      </c>
      <c r="E4270" s="36" t="str">
        <f t="array" ref="E4270">IFNA(_xlfn.XLOOKUP(D4270,Table_Tarikan_Warkah[Nomor Tiket],Table_Tarikan_Warkah[Tanggal diserahkan kepada Validator]),"")</f>
        <v/>
      </c>
      <c r="F4270" s="36" t="str">
        <f t="array" ref="F4270">IFNA(_xlfn.XLOOKUP(D4270,Table_Tarikan_Warkah[Nomor Tiket],Table_Tarikan_Warkah[Nama Petugas Warkah]),"")</f>
        <v/>
      </c>
      <c r="G4270" s="39" t="str">
        <f t="array" ref="G4270">IFNA(_xlfn.XLOOKUP(D4270,Table_Tarikan_Warkah[Nomor Tiket],Table_Tarikan_Warkah[Jenis Permohonan]),"")</f>
        <v>ROYA</v>
      </c>
      <c r="H4270" s="41" t="s">
        <v>20</v>
      </c>
      <c r="I4270" s="49" t="s">
        <v>23</v>
      </c>
      <c r="J4270" s="36">
        <f t="shared" si="20"/>
        <v>45961.76349</v>
      </c>
      <c r="K4270" s="49" t="s">
        <v>26</v>
      </c>
      <c r="L4270" s="49" t="s">
        <v>23</v>
      </c>
      <c r="M4270" s="36">
        <f t="shared" si="33"/>
        <v>45965.39408</v>
      </c>
      <c r="N4270" s="30" t="str">
        <f t="shared" si="34"/>
        <v>Selesai</v>
      </c>
      <c r="O4270" s="45">
        <f t="shared" si="23"/>
        <v>45965.39408</v>
      </c>
      <c r="P4270" s="47" t="b">
        <v>0</v>
      </c>
      <c r="Q4270" s="36" t="str">
        <f t="shared" si="35"/>
        <v/>
      </c>
      <c r="R4270" s="47" t="b">
        <v>0</v>
      </c>
      <c r="S4270" s="42" t="str">
        <f t="shared" si="28"/>
        <v/>
      </c>
      <c r="T4270" s="42"/>
    </row>
    <row r="4271" ht="22.5" customHeight="1">
      <c r="B4271" s="42">
        <f t="shared" si="7"/>
        <v>4265</v>
      </c>
      <c r="C4271" s="31" t="s">
        <v>4300</v>
      </c>
      <c r="D4271" s="34" t="str">
        <f t="array" ref="D4271">IFNA(_xlfn.XLOOKUP(C4271,Table_Tarikan_Warkah[Nomor Sertipikat],Table_Tarikan_Warkah[Nomor Tiket]),"")</f>
        <v>L/12/081025/1</v>
      </c>
      <c r="E4271" s="36">
        <f t="array" ref="E4271">IFNA(_xlfn.XLOOKUP(D4271,Table_Tarikan_Warkah[Nomor Tiket],Table_Tarikan_Warkah[Tanggal diserahkan kepada Validator]),"")</f>
        <v>45979.65052</v>
      </c>
      <c r="F4271" s="36" t="str">
        <f t="array" ref="F4271">IFNA(_xlfn.XLOOKUP(D4271,Table_Tarikan_Warkah[Nomor Tiket],Table_Tarikan_Warkah[Nama Petugas Warkah]),"")</f>
        <v>Berry</v>
      </c>
      <c r="G4271" s="39" t="str">
        <f t="array" ref="G4271">IFNA(_xlfn.XLOOKUP(D4271,Table_Tarikan_Warkah[Nomor Tiket],Table_Tarikan_Warkah[Jenis Permohonan]),"")</f>
        <v>GANTI BLANKO</v>
      </c>
      <c r="H4271" s="41" t="s">
        <v>20</v>
      </c>
      <c r="I4271" s="49" t="s">
        <v>23</v>
      </c>
      <c r="J4271" s="36">
        <f t="shared" si="20"/>
        <v>45961.76361</v>
      </c>
      <c r="K4271" s="69"/>
      <c r="L4271" s="49"/>
      <c r="M4271" s="36" t="str">
        <f t="shared" si="33"/>
        <v/>
      </c>
      <c r="N4271" s="30" t="str">
        <f t="shared" si="34"/>
        <v>BT atau SU Belum Valid</v>
      </c>
      <c r="O4271" s="39" t="str">
        <f t="shared" si="23"/>
        <v/>
      </c>
      <c r="P4271" s="47" t="b">
        <v>0</v>
      </c>
      <c r="Q4271" s="36" t="str">
        <f t="shared" si="35"/>
        <v/>
      </c>
      <c r="R4271" s="47" t="b">
        <v>0</v>
      </c>
      <c r="S4271" s="42" t="str">
        <f t="shared" si="28"/>
        <v/>
      </c>
      <c r="T4271" s="42"/>
    </row>
    <row r="4272" ht="22.5" customHeight="1">
      <c r="B4272" s="42">
        <f t="shared" si="7"/>
        <v>4266</v>
      </c>
      <c r="C4272" s="31" t="s">
        <v>4301</v>
      </c>
      <c r="D4272" s="34" t="str">
        <f t="array" ref="D4272">IFNA(_xlfn.XLOOKUP(C4272,Table_Tarikan_Warkah[Nomor Sertipikat],Table_Tarikan_Warkah[Nomor Tiket]),"")</f>
        <v>K/9/260925/2</v>
      </c>
      <c r="E4272" s="36">
        <f t="array" ref="E4272">IFNA(_xlfn.XLOOKUP(D4272,Table_Tarikan_Warkah[Nomor Tiket],Table_Tarikan_Warkah[Tanggal diserahkan kepada Validator]),"")</f>
        <v>45975.49284</v>
      </c>
      <c r="F4272" s="36" t="str">
        <f t="array" ref="F4272">IFNA(_xlfn.XLOOKUP(D4272,Table_Tarikan_Warkah[Nomor Tiket],Table_Tarikan_Warkah[Nama Petugas Warkah]),"")</f>
        <v>Berry</v>
      </c>
      <c r="G4272" s="39" t="str">
        <f t="array" ref="G4272">IFNA(_xlfn.XLOOKUP(D4272,Table_Tarikan_Warkah[Nomor Tiket],Table_Tarikan_Warkah[Jenis Permohonan]),"")</f>
        <v>BN JUAL BELI</v>
      </c>
      <c r="H4272" s="41" t="s">
        <v>20</v>
      </c>
      <c r="I4272" s="49" t="s">
        <v>23</v>
      </c>
      <c r="J4272" s="36">
        <f t="shared" si="20"/>
        <v>45961.76389</v>
      </c>
      <c r="K4272" s="69"/>
      <c r="L4272" s="49"/>
      <c r="M4272" s="36" t="str">
        <f t="shared" si="33"/>
        <v/>
      </c>
      <c r="N4272" s="30" t="str">
        <f t="shared" si="34"/>
        <v>BT atau SU Belum Valid</v>
      </c>
      <c r="O4272" s="39" t="str">
        <f t="shared" si="23"/>
        <v/>
      </c>
      <c r="P4272" s="47" t="b">
        <v>0</v>
      </c>
      <c r="Q4272" s="36" t="str">
        <f t="shared" si="35"/>
        <v/>
      </c>
      <c r="R4272" s="47" t="b">
        <v>0</v>
      </c>
      <c r="S4272" s="42" t="str">
        <f t="shared" si="28"/>
        <v/>
      </c>
      <c r="T4272" s="42"/>
    </row>
    <row r="4273" ht="22.5" customHeight="1">
      <c r="B4273" s="42">
        <f t="shared" si="7"/>
        <v>4267</v>
      </c>
      <c r="C4273" s="31" t="s">
        <v>4302</v>
      </c>
      <c r="D4273" s="34" t="str">
        <f t="array" ref="D4273">IFNA(_xlfn.XLOOKUP(C4273,Table_Tarikan_Warkah[Nomor Sertipikat],Table_Tarikan_Warkah[Nomor Tiket]),"")</f>
        <v>K/26/011025/1</v>
      </c>
      <c r="E4273" s="36" t="str">
        <f t="array" ref="E4273">IFNA(_xlfn.XLOOKUP(D4273,Table_Tarikan_Warkah[Nomor Tiket],Table_Tarikan_Warkah[Tanggal diserahkan kepada Validator]),"")</f>
        <v/>
      </c>
      <c r="F4273" s="36" t="str">
        <f t="array" ref="F4273">IFNA(_xlfn.XLOOKUP(D4273,Table_Tarikan_Warkah[Nomor Tiket],Table_Tarikan_Warkah[Nama Petugas Warkah]),"")</f>
        <v/>
      </c>
      <c r="G4273" s="39" t="str">
        <f t="array" ref="G4273">IFNA(_xlfn.XLOOKUP(D4273,Table_Tarikan_Warkah[Nomor Tiket],Table_Tarikan_Warkah[Jenis Permohonan]),"")</f>
        <v>BN JUAL BELI</v>
      </c>
      <c r="H4273" s="41" t="s">
        <v>20</v>
      </c>
      <c r="I4273" s="49" t="s">
        <v>23</v>
      </c>
      <c r="J4273" s="36">
        <f t="shared" si="20"/>
        <v>45961.76508</v>
      </c>
      <c r="K4273" s="69"/>
      <c r="L4273" s="49"/>
      <c r="M4273" s="36" t="str">
        <f t="shared" si="33"/>
        <v/>
      </c>
      <c r="N4273" s="30" t="str">
        <f t="shared" si="34"/>
        <v>BT atau SU Belum Valid</v>
      </c>
      <c r="O4273" s="39" t="str">
        <f t="shared" si="23"/>
        <v/>
      </c>
      <c r="P4273" s="47" t="b">
        <v>0</v>
      </c>
      <c r="Q4273" s="36" t="str">
        <f t="shared" si="35"/>
        <v/>
      </c>
      <c r="R4273" s="47" t="b">
        <v>0</v>
      </c>
      <c r="S4273" s="42" t="str">
        <f t="shared" si="28"/>
        <v/>
      </c>
      <c r="T4273" s="42"/>
    </row>
    <row r="4274" ht="22.5" customHeight="1">
      <c r="B4274" s="42">
        <f t="shared" si="7"/>
        <v>4268</v>
      </c>
      <c r="C4274" s="31" t="s">
        <v>4303</v>
      </c>
      <c r="D4274" s="34" t="str">
        <f t="array" ref="D4274">IFNA(_xlfn.XLOOKUP(C4274,Table_Tarikan_Warkah[Nomor Sertipikat],Table_Tarikan_Warkah[Nomor Tiket]),"")</f>
        <v>K/13/081025/1</v>
      </c>
      <c r="E4274" s="36" t="str">
        <f t="array" ref="E4274">IFNA(_xlfn.XLOOKUP(D4274,Table_Tarikan_Warkah[Nomor Tiket],Table_Tarikan_Warkah[Tanggal diserahkan kepada Validator]),"")</f>
        <v/>
      </c>
      <c r="F4274" s="36" t="str">
        <f t="array" ref="F4274">IFNA(_xlfn.XLOOKUP(D4274,Table_Tarikan_Warkah[Nomor Tiket],Table_Tarikan_Warkah[Nama Petugas Warkah]),"")</f>
        <v/>
      </c>
      <c r="G4274" s="39" t="str">
        <f t="array" ref="G4274">IFNA(_xlfn.XLOOKUP(D4274,Table_Tarikan_Warkah[Nomor Tiket],Table_Tarikan_Warkah[Jenis Permohonan]),"")</f>
        <v>BN WARIS</v>
      </c>
      <c r="H4274" s="41" t="s">
        <v>20</v>
      </c>
      <c r="I4274" s="49" t="s">
        <v>23</v>
      </c>
      <c r="J4274" s="36">
        <f t="shared" si="20"/>
        <v>45961.76531</v>
      </c>
      <c r="K4274" s="69"/>
      <c r="L4274" s="49"/>
      <c r="M4274" s="36" t="str">
        <f t="shared" si="33"/>
        <v/>
      </c>
      <c r="N4274" s="30" t="str">
        <f t="shared" si="34"/>
        <v>BT atau SU Belum Valid</v>
      </c>
      <c r="O4274" s="39" t="str">
        <f t="shared" si="23"/>
        <v/>
      </c>
      <c r="P4274" s="47" t="b">
        <v>0</v>
      </c>
      <c r="Q4274" s="36" t="str">
        <f t="shared" si="35"/>
        <v/>
      </c>
      <c r="R4274" s="47" t="b">
        <v>0</v>
      </c>
      <c r="S4274" s="42" t="str">
        <f t="shared" si="28"/>
        <v/>
      </c>
      <c r="T4274" s="42"/>
    </row>
    <row r="4275" ht="22.5" customHeight="1">
      <c r="B4275" s="42">
        <f t="shared" si="7"/>
        <v>4269</v>
      </c>
      <c r="C4275" s="31" t="s">
        <v>4304</v>
      </c>
      <c r="D4275" s="34" t="str">
        <f t="array" ref="D4275">IFNA(_xlfn.XLOOKUP(C4275,Table_Tarikan_Warkah[Nomor Sertipikat],Table_Tarikan_Warkah[Nomor Tiket]),"")</f>
        <v>K/32/180925/1</v>
      </c>
      <c r="E4275" s="36">
        <f t="array" ref="E4275">IFNA(_xlfn.XLOOKUP(D4275,Table_Tarikan_Warkah[Nomor Tiket],Table_Tarikan_Warkah[Tanggal diserahkan kepada Validator]),"")</f>
        <v>45972.62757</v>
      </c>
      <c r="F4275" s="36" t="str">
        <f t="array" ref="F4275">IFNA(_xlfn.XLOOKUP(D4275,Table_Tarikan_Warkah[Nomor Tiket],Table_Tarikan_Warkah[Nama Petugas Warkah]),"")</f>
        <v>Berry</v>
      </c>
      <c r="G4275" s="39" t="str">
        <f t="array" ref="G4275">IFNA(_xlfn.XLOOKUP(D4275,Table_Tarikan_Warkah[Nomor Tiket],Table_Tarikan_Warkah[Jenis Permohonan]),"")</f>
        <v>BN JUAL BELI EL</v>
      </c>
      <c r="H4275" s="41" t="s">
        <v>20</v>
      </c>
      <c r="I4275" s="49" t="s">
        <v>23</v>
      </c>
      <c r="J4275" s="36">
        <f t="shared" si="20"/>
        <v>45961.76537</v>
      </c>
      <c r="K4275" s="69"/>
      <c r="L4275" s="49"/>
      <c r="M4275" s="36" t="str">
        <f t="shared" si="33"/>
        <v/>
      </c>
      <c r="N4275" s="30" t="str">
        <f t="shared" si="34"/>
        <v>BT atau SU Belum Valid</v>
      </c>
      <c r="O4275" s="39" t="str">
        <f t="shared" si="23"/>
        <v/>
      </c>
      <c r="P4275" s="47" t="b">
        <v>0</v>
      </c>
      <c r="Q4275" s="36" t="str">
        <f t="shared" si="35"/>
        <v/>
      </c>
      <c r="R4275" s="47" t="b">
        <v>0</v>
      </c>
      <c r="S4275" s="42" t="str">
        <f t="shared" si="28"/>
        <v/>
      </c>
      <c r="T4275" s="42"/>
    </row>
    <row r="4276" ht="22.5" customHeight="1">
      <c r="B4276" s="42">
        <f t="shared" si="7"/>
        <v>4270</v>
      </c>
      <c r="C4276" s="31" t="s">
        <v>4305</v>
      </c>
      <c r="D4276" s="34" t="str">
        <f t="array" ref="D4276">IFNA(_xlfn.XLOOKUP(C4276,Table_Tarikan_Warkah[Nomor Sertipikat],Table_Tarikan_Warkah[Nomor Tiket]),"")</f>
        <v>K/3/030925/1</v>
      </c>
      <c r="E4276" s="36" t="str">
        <f t="array" ref="E4276">IFNA(_xlfn.XLOOKUP(D4276,Table_Tarikan_Warkah[Nomor Tiket],Table_Tarikan_Warkah[Tanggal diserahkan kepada Validator]),"")</f>
        <v/>
      </c>
      <c r="F4276" s="36" t="str">
        <f t="array" ref="F4276">IFNA(_xlfn.XLOOKUP(D4276,Table_Tarikan_Warkah[Nomor Tiket],Table_Tarikan_Warkah[Nama Petugas Warkah]),"")</f>
        <v/>
      </c>
      <c r="G4276" s="39" t="str">
        <f t="array" ref="G4276">IFNA(_xlfn.XLOOKUP(D4276,Table_Tarikan_Warkah[Nomor Tiket],Table_Tarikan_Warkah[Jenis Permohonan]),"")</f>
        <v>BN JUAL BELI EL</v>
      </c>
      <c r="H4276" s="41" t="s">
        <v>20</v>
      </c>
      <c r="I4276" s="49" t="s">
        <v>23</v>
      </c>
      <c r="J4276" s="36">
        <f t="shared" si="20"/>
        <v>45961.76554</v>
      </c>
      <c r="K4276" s="69"/>
      <c r="L4276" s="49"/>
      <c r="M4276" s="36" t="str">
        <f t="shared" si="33"/>
        <v/>
      </c>
      <c r="N4276" s="30" t="str">
        <f t="shared" si="34"/>
        <v>BT atau SU Belum Valid</v>
      </c>
      <c r="O4276" s="39" t="str">
        <f t="shared" si="23"/>
        <v/>
      </c>
      <c r="P4276" s="47" t="b">
        <v>0</v>
      </c>
      <c r="Q4276" s="36" t="str">
        <f t="shared" si="35"/>
        <v/>
      </c>
      <c r="R4276" s="47" t="b">
        <v>0</v>
      </c>
      <c r="S4276" s="42" t="str">
        <f t="shared" si="28"/>
        <v/>
      </c>
      <c r="T4276" s="42"/>
    </row>
    <row r="4277" ht="22.5" customHeight="1">
      <c r="B4277" s="42">
        <f t="shared" si="7"/>
        <v>4271</v>
      </c>
      <c r="C4277" s="31" t="s">
        <v>4306</v>
      </c>
      <c r="D4277" s="34" t="str">
        <f t="array" ref="D4277">IFNA(_xlfn.XLOOKUP(C4277,Table_Tarikan_Warkah[Nomor Sertipikat],Table_Tarikan_Warkah[Nomor Tiket]),"")</f>
        <v>K/22/190925/2</v>
      </c>
      <c r="E4277" s="36">
        <f t="array" ref="E4277">IFNA(_xlfn.XLOOKUP(D4277,Table_Tarikan_Warkah[Nomor Tiket],Table_Tarikan_Warkah[Tanggal diserahkan kepada Validator]),"")</f>
        <v>45979.65163</v>
      </c>
      <c r="F4277" s="36" t="str">
        <f t="array" ref="F4277">IFNA(_xlfn.XLOOKUP(D4277,Table_Tarikan_Warkah[Nomor Tiket],Table_Tarikan_Warkah[Nama Petugas Warkah]),"")</f>
        <v>Berry</v>
      </c>
      <c r="G4277" s="39" t="str">
        <f t="array" ref="G4277">IFNA(_xlfn.XLOOKUP(D4277,Table_Tarikan_Warkah[Nomor Tiket],Table_Tarikan_Warkah[Jenis Permohonan]),"")</f>
        <v>BN JUAL BELI EL </v>
      </c>
      <c r="H4277" s="41" t="s">
        <v>20</v>
      </c>
      <c r="I4277" s="49" t="s">
        <v>23</v>
      </c>
      <c r="J4277" s="36">
        <f t="shared" si="20"/>
        <v>45961.76564</v>
      </c>
      <c r="K4277" s="69"/>
      <c r="L4277" s="49"/>
      <c r="M4277" s="36" t="str">
        <f t="shared" si="33"/>
        <v/>
      </c>
      <c r="N4277" s="30" t="str">
        <f t="shared" si="34"/>
        <v>BT atau SU Belum Valid</v>
      </c>
      <c r="O4277" s="39" t="str">
        <f t="shared" si="23"/>
        <v/>
      </c>
      <c r="P4277" s="47" t="b">
        <v>0</v>
      </c>
      <c r="Q4277" s="36" t="str">
        <f t="shared" si="35"/>
        <v/>
      </c>
      <c r="R4277" s="47" t="b">
        <v>0</v>
      </c>
      <c r="S4277" s="42" t="str">
        <f t="shared" si="28"/>
        <v/>
      </c>
      <c r="T4277" s="42"/>
    </row>
    <row r="4278" ht="22.5" customHeight="1">
      <c r="B4278" s="42">
        <f t="shared" si="7"/>
        <v>4272</v>
      </c>
      <c r="C4278" s="31" t="s">
        <v>4307</v>
      </c>
      <c r="D4278" s="34" t="str">
        <f t="array" ref="D4278">IFNA(_xlfn.XLOOKUP(C4278,Table_Tarikan_Warkah[Nomor Sertipikat],Table_Tarikan_Warkah[Nomor Tiket]),"")</f>
        <v>K/35/091025/1</v>
      </c>
      <c r="E4278" s="36" t="str">
        <f t="array" ref="E4278">IFNA(_xlfn.XLOOKUP(D4278,Table_Tarikan_Warkah[Nomor Tiket],Table_Tarikan_Warkah[Tanggal diserahkan kepada Validator]),"")</f>
        <v/>
      </c>
      <c r="F4278" s="36" t="str">
        <f t="array" ref="F4278">IFNA(_xlfn.XLOOKUP(D4278,Table_Tarikan_Warkah[Nomor Tiket],Table_Tarikan_Warkah[Nama Petugas Warkah]),"")</f>
        <v/>
      </c>
      <c r="G4278" s="39" t="str">
        <f t="array" ref="G4278">IFNA(_xlfn.XLOOKUP(D4278,Table_Tarikan_Warkah[Nomor Tiket],Table_Tarikan_Warkah[Jenis Permohonan]),"")</f>
        <v>ROYA</v>
      </c>
      <c r="H4278" s="41" t="s">
        <v>20</v>
      </c>
      <c r="I4278" s="49" t="s">
        <v>23</v>
      </c>
      <c r="J4278" s="36">
        <f t="shared" si="20"/>
        <v>45961.76598</v>
      </c>
      <c r="K4278" s="69"/>
      <c r="L4278" s="49"/>
      <c r="M4278" s="36" t="str">
        <f t="shared" si="33"/>
        <v/>
      </c>
      <c r="N4278" s="30" t="str">
        <f t="shared" si="34"/>
        <v>BT atau SU Belum Valid</v>
      </c>
      <c r="O4278" s="39" t="str">
        <f t="shared" si="23"/>
        <v/>
      </c>
      <c r="P4278" s="47" t="b">
        <v>0</v>
      </c>
      <c r="Q4278" s="36" t="str">
        <f t="shared" si="35"/>
        <v/>
      </c>
      <c r="R4278" s="47" t="b">
        <v>0</v>
      </c>
      <c r="S4278" s="42" t="str">
        <f t="shared" si="28"/>
        <v/>
      </c>
      <c r="T4278" s="42"/>
    </row>
    <row r="4279" ht="22.5" customHeight="1">
      <c r="B4279" s="42">
        <f t="shared" si="7"/>
        <v>4273</v>
      </c>
      <c r="C4279" s="31" t="s">
        <v>4308</v>
      </c>
      <c r="D4279" s="34" t="str">
        <f t="array" ref="D4279">IFNA(_xlfn.XLOOKUP(C4279,Table_Tarikan_Warkah[Nomor Sertipikat],Table_Tarikan_Warkah[Nomor Tiket]),"")</f>
        <v>L/22/011027/1</v>
      </c>
      <c r="E4279" s="36" t="str">
        <f t="array" ref="E4279">IFNA(_xlfn.XLOOKUP(D4279,Table_Tarikan_Warkah[Nomor Tiket],Table_Tarikan_Warkah[Tanggal diserahkan kepada Validator]),"")</f>
        <v/>
      </c>
      <c r="F4279" s="36" t="str">
        <f t="array" ref="F4279">IFNA(_xlfn.XLOOKUP(D4279,Table_Tarikan_Warkah[Nomor Tiket],Table_Tarikan_Warkah[Nama Petugas Warkah]),"")</f>
        <v/>
      </c>
      <c r="G4279" s="39" t="str">
        <f t="array" ref="G4279">IFNA(_xlfn.XLOOKUP(D4279,Table_Tarikan_Warkah[Nomor Tiket],Table_Tarikan_Warkah[Jenis Permohonan]),"")</f>
        <v>ROYA</v>
      </c>
      <c r="H4279" s="41" t="s">
        <v>20</v>
      </c>
      <c r="I4279" s="49" t="s">
        <v>23</v>
      </c>
      <c r="J4279" s="36">
        <f t="shared" si="20"/>
        <v>45961.76665</v>
      </c>
      <c r="K4279" s="69"/>
      <c r="L4279" s="49"/>
      <c r="M4279" s="36" t="str">
        <f t="shared" si="33"/>
        <v/>
      </c>
      <c r="N4279" s="30" t="str">
        <f t="shared" si="34"/>
        <v>BT atau SU Belum Valid</v>
      </c>
      <c r="O4279" s="39" t="str">
        <f t="shared" si="23"/>
        <v/>
      </c>
      <c r="P4279" s="47" t="b">
        <v>0</v>
      </c>
      <c r="Q4279" s="36" t="str">
        <f t="shared" si="35"/>
        <v/>
      </c>
      <c r="R4279" s="47" t="b">
        <v>0</v>
      </c>
      <c r="S4279" s="42" t="str">
        <f t="shared" si="28"/>
        <v/>
      </c>
      <c r="T4279" s="42"/>
    </row>
    <row r="4280" ht="22.5" customHeight="1">
      <c r="B4280" s="42">
        <f t="shared" si="7"/>
        <v>4274</v>
      </c>
      <c r="C4280" s="31" t="s">
        <v>4309</v>
      </c>
      <c r="D4280" s="34" t="str">
        <f t="array" ref="D4280">IFNA(_xlfn.XLOOKUP(C4280,Table_Tarikan_Warkah[Nomor Sertipikat],Table_Tarikan_Warkah[Nomor Tiket]),"")</f>
        <v>K/31/220925/1</v>
      </c>
      <c r="E4280" s="36" t="str">
        <f t="array" ref="E4280">IFNA(_xlfn.XLOOKUP(D4280,Table_Tarikan_Warkah[Nomor Tiket],Table_Tarikan_Warkah[Tanggal diserahkan kepada Validator]),"")</f>
        <v/>
      </c>
      <c r="F4280" s="36" t="str">
        <f t="array" ref="F4280">IFNA(_xlfn.XLOOKUP(D4280,Table_Tarikan_Warkah[Nomor Tiket],Table_Tarikan_Warkah[Nama Petugas Warkah]),"")</f>
        <v/>
      </c>
      <c r="G4280" s="39" t="str">
        <f t="array" ref="G4280">IFNA(_xlfn.XLOOKUP(D4280,Table_Tarikan_Warkah[Nomor Tiket],Table_Tarikan_Warkah[Jenis Permohonan]),"")</f>
        <v>BN JUAL BELI EL</v>
      </c>
      <c r="H4280" s="41" t="s">
        <v>20</v>
      </c>
      <c r="I4280" s="49" t="s">
        <v>23</v>
      </c>
      <c r="J4280" s="36">
        <f t="shared" si="20"/>
        <v>45961.76696</v>
      </c>
      <c r="K4280" s="69"/>
      <c r="L4280" s="49"/>
      <c r="M4280" s="36" t="str">
        <f t="shared" si="33"/>
        <v/>
      </c>
      <c r="N4280" s="30" t="str">
        <f t="shared" si="34"/>
        <v>BT atau SU Belum Valid</v>
      </c>
      <c r="O4280" s="39" t="str">
        <f t="shared" si="23"/>
        <v/>
      </c>
      <c r="P4280" s="47" t="b">
        <v>0</v>
      </c>
      <c r="Q4280" s="36" t="str">
        <f t="shared" si="35"/>
        <v/>
      </c>
      <c r="R4280" s="47" t="b">
        <v>0</v>
      </c>
      <c r="S4280" s="42" t="str">
        <f t="shared" si="28"/>
        <v/>
      </c>
      <c r="T4280" s="42"/>
    </row>
    <row r="4281" ht="22.5" customHeight="1">
      <c r="B4281" s="42">
        <f t="shared" si="7"/>
        <v>4275</v>
      </c>
      <c r="C4281" s="31" t="s">
        <v>4310</v>
      </c>
      <c r="D4281" s="34" t="str">
        <f t="array" ref="D4281">IFNA(_xlfn.XLOOKUP(C4281,Table_Tarikan_Warkah[Nomor Sertipikat],Table_Tarikan_Warkah[Nomor Tiket]),"")</f>
        <v>K/35/150925/1</v>
      </c>
      <c r="E4281" s="36">
        <f t="array" ref="E4281">IFNA(_xlfn.XLOOKUP(D4281,Table_Tarikan_Warkah[Nomor Tiket],Table_Tarikan_Warkah[Tanggal diserahkan kepada Validator]),"")</f>
        <v>45943.7024</v>
      </c>
      <c r="F4281" s="36" t="str">
        <f t="array" ref="F4281">IFNA(_xlfn.XLOOKUP(D4281,Table_Tarikan_Warkah[Nomor Tiket],Table_Tarikan_Warkah[Nama Petugas Warkah]),"")</f>
        <v>David</v>
      </c>
      <c r="G4281" s="39" t="str">
        <f t="array" ref="G4281">IFNA(_xlfn.XLOOKUP(D4281,Table_Tarikan_Warkah[Nomor Tiket],Table_Tarikan_Warkah[Jenis Permohonan]),"")</f>
        <v>BN JUAL BELI EL </v>
      </c>
      <c r="H4281" s="41" t="s">
        <v>20</v>
      </c>
      <c r="I4281" s="49" t="s">
        <v>23</v>
      </c>
      <c r="J4281" s="36">
        <f t="shared" si="20"/>
        <v>45961.76711</v>
      </c>
      <c r="K4281" s="69"/>
      <c r="L4281" s="49"/>
      <c r="M4281" s="36" t="str">
        <f t="shared" si="33"/>
        <v/>
      </c>
      <c r="N4281" s="30" t="str">
        <f t="shared" si="34"/>
        <v>BT atau SU Belum Valid</v>
      </c>
      <c r="O4281" s="39" t="str">
        <f t="shared" si="23"/>
        <v/>
      </c>
      <c r="P4281" s="47" t="b">
        <v>0</v>
      </c>
      <c r="Q4281" s="36" t="str">
        <f t="shared" si="35"/>
        <v/>
      </c>
      <c r="R4281" s="47" t="b">
        <v>0</v>
      </c>
      <c r="S4281" s="42" t="str">
        <f t="shared" si="28"/>
        <v/>
      </c>
      <c r="T4281" s="42"/>
    </row>
    <row r="4282" ht="22.5" customHeight="1">
      <c r="B4282" s="42">
        <f t="shared" si="7"/>
        <v>4276</v>
      </c>
      <c r="C4282" s="31" t="s">
        <v>4311</v>
      </c>
      <c r="D4282" s="34" t="str">
        <f t="array" ref="D4282">IFNA(_xlfn.XLOOKUP(C4282,Table_Tarikan_Warkah[Nomor Sertipikat],Table_Tarikan_Warkah[Nomor Tiket]),"")</f>
        <v>K/2/190925/1</v>
      </c>
      <c r="E4282" s="36">
        <f t="array" ref="E4282">IFNA(_xlfn.XLOOKUP(D4282,Table_Tarikan_Warkah[Nomor Tiket],Table_Tarikan_Warkah[Tanggal diserahkan kepada Validator]),"")</f>
        <v>45979.64553</v>
      </c>
      <c r="F4282" s="36" t="str">
        <f t="array" ref="F4282">IFNA(_xlfn.XLOOKUP(D4282,Table_Tarikan_Warkah[Nomor Tiket],Table_Tarikan_Warkah[Nama Petugas Warkah]),"")</f>
        <v>Berry</v>
      </c>
      <c r="G4282" s="39" t="str">
        <f t="array" ref="G4282">IFNA(_xlfn.XLOOKUP(D4282,Table_Tarikan_Warkah[Nomor Tiket],Table_Tarikan_Warkah[Jenis Permohonan]),"")</f>
        <v>BN JUAL BELI</v>
      </c>
      <c r="H4282" s="41" t="s">
        <v>20</v>
      </c>
      <c r="I4282" s="49" t="s">
        <v>23</v>
      </c>
      <c r="J4282" s="36">
        <f t="shared" si="20"/>
        <v>45961.76725</v>
      </c>
      <c r="K4282" s="69"/>
      <c r="L4282" s="49"/>
      <c r="M4282" s="36" t="str">
        <f t="shared" si="33"/>
        <v/>
      </c>
      <c r="N4282" s="30" t="str">
        <f t="shared" si="34"/>
        <v>BT atau SU Belum Valid</v>
      </c>
      <c r="O4282" s="39" t="str">
        <f t="shared" si="23"/>
        <v/>
      </c>
      <c r="P4282" s="47" t="b">
        <v>0</v>
      </c>
      <c r="Q4282" s="36" t="str">
        <f t="shared" si="35"/>
        <v/>
      </c>
      <c r="R4282" s="47" t="b">
        <v>0</v>
      </c>
      <c r="S4282" s="42" t="str">
        <f t="shared" si="28"/>
        <v/>
      </c>
      <c r="T4282" s="42"/>
    </row>
    <row r="4283" ht="22.5" customHeight="1">
      <c r="B4283" s="42">
        <f t="shared" si="7"/>
        <v>4277</v>
      </c>
      <c r="C4283" s="31" t="s">
        <v>4312</v>
      </c>
      <c r="D4283" s="34" t="str">
        <f t="array" ref="D4283">IFNA(_xlfn.XLOOKUP(C4283,Table_Tarikan_Warkah[Nomor Sertipikat],Table_Tarikan_Warkah[Nomor Tiket]),"")</f>
        <v>K/9/300925/2</v>
      </c>
      <c r="E4283" s="36" t="str">
        <f t="array" ref="E4283">IFNA(_xlfn.XLOOKUP(D4283,Table_Tarikan_Warkah[Nomor Tiket],Table_Tarikan_Warkah[Tanggal diserahkan kepada Validator]),"")</f>
        <v/>
      </c>
      <c r="F4283" s="36" t="str">
        <f t="array" ref="F4283">IFNA(_xlfn.XLOOKUP(D4283,Table_Tarikan_Warkah[Nomor Tiket],Table_Tarikan_Warkah[Nama Petugas Warkah]),"")</f>
        <v/>
      </c>
      <c r="G4283" s="39" t="str">
        <f t="array" ref="G4283">IFNA(_xlfn.XLOOKUP(D4283,Table_Tarikan_Warkah[Nomor Tiket],Table_Tarikan_Warkah[Jenis Permohonan]),"")</f>
        <v>BN JUAL BELI</v>
      </c>
      <c r="H4283" s="41" t="s">
        <v>20</v>
      </c>
      <c r="I4283" s="49" t="s">
        <v>23</v>
      </c>
      <c r="J4283" s="36">
        <f t="shared" si="20"/>
        <v>45961.76739</v>
      </c>
      <c r="K4283" s="69"/>
      <c r="L4283" s="49"/>
      <c r="M4283" s="36" t="str">
        <f t="shared" si="33"/>
        <v/>
      </c>
      <c r="N4283" s="30" t="str">
        <f t="shared" si="34"/>
        <v>BT atau SU Belum Valid</v>
      </c>
      <c r="O4283" s="39" t="str">
        <f t="shared" si="23"/>
        <v/>
      </c>
      <c r="P4283" s="47" t="b">
        <v>0</v>
      </c>
      <c r="Q4283" s="36" t="str">
        <f t="shared" si="35"/>
        <v/>
      </c>
      <c r="R4283" s="47" t="b">
        <v>0</v>
      </c>
      <c r="S4283" s="42" t="str">
        <f t="shared" si="28"/>
        <v/>
      </c>
      <c r="T4283" s="42"/>
    </row>
    <row r="4284" ht="22.5" customHeight="1">
      <c r="B4284" s="42">
        <f t="shared" si="7"/>
        <v>4278</v>
      </c>
      <c r="C4284" s="31" t="s">
        <v>4313</v>
      </c>
      <c r="D4284" s="34" t="str">
        <f t="array" ref="D4284">IFNA(_xlfn.XLOOKUP(C4284,Table_Tarikan_Warkah[Nomor Sertipikat],Table_Tarikan_Warkah[Nomor Tiket]),"")</f>
        <v>K/21/290825/1</v>
      </c>
      <c r="E4284" s="36">
        <f t="array" ref="E4284">IFNA(_xlfn.XLOOKUP(D4284,Table_Tarikan_Warkah[Nomor Tiket],Table_Tarikan_Warkah[Tanggal diserahkan kepada Validator]),"")</f>
        <v>45924.69037</v>
      </c>
      <c r="F4284" s="36" t="str">
        <f t="array" ref="F4284">IFNA(_xlfn.XLOOKUP(D4284,Table_Tarikan_Warkah[Nomor Tiket],Table_Tarikan_Warkah[Nama Petugas Warkah]),"")</f>
        <v>Berry</v>
      </c>
      <c r="G4284" s="39" t="str">
        <f t="array" ref="G4284">IFNA(_xlfn.XLOOKUP(D4284,Table_Tarikan_Warkah[Nomor Tiket],Table_Tarikan_Warkah[Jenis Permohonan]),"")</f>
        <v>BN JUAL BELI</v>
      </c>
      <c r="H4284" s="41" t="s">
        <v>20</v>
      </c>
      <c r="I4284" s="49" t="s">
        <v>23</v>
      </c>
      <c r="J4284" s="36">
        <f t="shared" si="20"/>
        <v>45961.76762</v>
      </c>
      <c r="K4284" s="69"/>
      <c r="L4284" s="49"/>
      <c r="M4284" s="36" t="str">
        <f t="shared" si="33"/>
        <v/>
      </c>
      <c r="N4284" s="30" t="str">
        <f t="shared" si="34"/>
        <v>BT atau SU Belum Valid</v>
      </c>
      <c r="O4284" s="39" t="str">
        <f t="shared" si="23"/>
        <v/>
      </c>
      <c r="P4284" s="47" t="b">
        <v>0</v>
      </c>
      <c r="Q4284" s="36" t="str">
        <f t="shared" si="35"/>
        <v/>
      </c>
      <c r="R4284" s="47" t="b">
        <v>0</v>
      </c>
      <c r="S4284" s="42" t="str">
        <f t="shared" si="28"/>
        <v/>
      </c>
      <c r="T4284" s="42"/>
    </row>
    <row r="4285" ht="22.5" customHeight="1">
      <c r="B4285" s="42">
        <f t="shared" si="7"/>
        <v>4279</v>
      </c>
      <c r="C4285" s="31" t="s">
        <v>4314</v>
      </c>
      <c r="D4285" s="34" t="str">
        <f t="array" ref="D4285">IFNA(_xlfn.XLOOKUP(C4285,Table_Tarikan_Warkah[Nomor Sertipikat],Table_Tarikan_Warkah[Nomor Tiket]),"")</f>
        <v>K/24/110925/3</v>
      </c>
      <c r="E4285" s="36">
        <f t="array" ref="E4285">IFNA(_xlfn.XLOOKUP(D4285,Table_Tarikan_Warkah[Nomor Tiket],Table_Tarikan_Warkah[Tanggal diserahkan kepada Validator]),"")</f>
        <v>45975.49155</v>
      </c>
      <c r="F4285" s="36" t="str">
        <f t="array" ref="F4285">IFNA(_xlfn.XLOOKUP(D4285,Table_Tarikan_Warkah[Nomor Tiket],Table_Tarikan_Warkah[Nama Petugas Warkah]),"")</f>
        <v>Berry</v>
      </c>
      <c r="G4285" s="39" t="str">
        <f t="array" ref="G4285">IFNA(_xlfn.XLOOKUP(D4285,Table_Tarikan_Warkah[Nomor Tiket],Table_Tarikan_Warkah[Jenis Permohonan]),"")</f>
        <v>BN JUAL BELI</v>
      </c>
      <c r="H4285" s="41" t="s">
        <v>20</v>
      </c>
      <c r="I4285" s="49" t="s">
        <v>23</v>
      </c>
      <c r="J4285" s="36">
        <f t="shared" si="20"/>
        <v>45961.76773</v>
      </c>
      <c r="K4285" s="69"/>
      <c r="L4285" s="49"/>
      <c r="M4285" s="36" t="str">
        <f t="shared" si="33"/>
        <v/>
      </c>
      <c r="N4285" s="30" t="str">
        <f t="shared" si="34"/>
        <v>BT atau SU Belum Valid</v>
      </c>
      <c r="O4285" s="39" t="str">
        <f t="shared" si="23"/>
        <v/>
      </c>
      <c r="P4285" s="47" t="b">
        <v>0</v>
      </c>
      <c r="Q4285" s="36" t="str">
        <f t="shared" si="35"/>
        <v/>
      </c>
      <c r="R4285" s="47" t="b">
        <v>0</v>
      </c>
      <c r="S4285" s="42" t="str">
        <f t="shared" si="28"/>
        <v/>
      </c>
      <c r="T4285" s="42"/>
    </row>
    <row r="4286" ht="22.5" customHeight="1">
      <c r="B4286" s="42">
        <f t="shared" si="7"/>
        <v>4280</v>
      </c>
      <c r="C4286" s="31" t="s">
        <v>4315</v>
      </c>
      <c r="D4286" s="34" t="str">
        <f t="array" ref="D4286">IFNA(_xlfn.XLOOKUP(C4286,Table_Tarikan_Warkah[Nomor Sertipikat],Table_Tarikan_Warkah[Nomor Tiket]),"")</f>
        <v>K/18/270825/2</v>
      </c>
      <c r="E4286" s="36">
        <f t="array" ref="E4286">IFNA(_xlfn.XLOOKUP(D4286,Table_Tarikan_Warkah[Nomor Tiket],Table_Tarikan_Warkah[Tanggal diserahkan kepada Validator]),"")</f>
        <v>45993.58456</v>
      </c>
      <c r="F4286" s="36" t="str">
        <f t="array" ref="F4286">IFNA(_xlfn.XLOOKUP(D4286,Table_Tarikan_Warkah[Nomor Tiket],Table_Tarikan_Warkah[Nama Petugas Warkah]),"")</f>
        <v>David</v>
      </c>
      <c r="G4286" s="39" t="str">
        <f t="array" ref="G4286">IFNA(_xlfn.XLOOKUP(D4286,Table_Tarikan_Warkah[Nomor Tiket],Table_Tarikan_Warkah[Jenis Permohonan]),"")</f>
        <v>BN JUAL BELI</v>
      </c>
      <c r="H4286" s="41" t="s">
        <v>20</v>
      </c>
      <c r="I4286" s="49" t="s">
        <v>23</v>
      </c>
      <c r="J4286" s="36">
        <f t="shared" si="20"/>
        <v>45961.76789</v>
      </c>
      <c r="K4286" s="69"/>
      <c r="L4286" s="49"/>
      <c r="M4286" s="36" t="str">
        <f t="shared" si="33"/>
        <v/>
      </c>
      <c r="N4286" s="30" t="str">
        <f t="shared" si="34"/>
        <v>BT atau SU Belum Valid</v>
      </c>
      <c r="O4286" s="39" t="str">
        <f t="shared" si="23"/>
        <v/>
      </c>
      <c r="P4286" s="47" t="b">
        <v>0</v>
      </c>
      <c r="Q4286" s="36" t="str">
        <f t="shared" si="35"/>
        <v/>
      </c>
      <c r="R4286" s="47" t="b">
        <v>0</v>
      </c>
      <c r="S4286" s="42" t="str">
        <f t="shared" si="28"/>
        <v/>
      </c>
      <c r="T4286" s="42"/>
    </row>
    <row r="4287" ht="22.5" customHeight="1">
      <c r="B4287" s="42">
        <f t="shared" si="7"/>
        <v>4281</v>
      </c>
      <c r="C4287" s="31" t="s">
        <v>4316</v>
      </c>
      <c r="D4287" s="34" t="str">
        <f t="array" ref="D4287">IFNA(_xlfn.XLOOKUP(C4287,Table_Tarikan_Warkah[Nomor Sertipikat],Table_Tarikan_Warkah[Nomor Tiket]),"")</f>
        <v>K/13/110925/1</v>
      </c>
      <c r="E4287" s="36">
        <f t="array" ref="E4287">IFNA(_xlfn.XLOOKUP(D4287,Table_Tarikan_Warkah[Nomor Tiket],Table_Tarikan_Warkah[Tanggal diserahkan kepada Validator]),"")</f>
        <v>45926.54841</v>
      </c>
      <c r="F4287" s="36" t="str">
        <f t="array" ref="F4287">IFNA(_xlfn.XLOOKUP(D4287,Table_Tarikan_Warkah[Nomor Tiket],Table_Tarikan_Warkah[Nama Petugas Warkah]),"")</f>
        <v>Berry</v>
      </c>
      <c r="G4287" s="39" t="str">
        <f t="array" ref="G4287">IFNA(_xlfn.XLOOKUP(D4287,Table_Tarikan_Warkah[Nomor Tiket],Table_Tarikan_Warkah[Jenis Permohonan]),"")</f>
        <v>BN JUAL BELI</v>
      </c>
      <c r="H4287" s="41" t="s">
        <v>20</v>
      </c>
      <c r="I4287" s="49" t="s">
        <v>23</v>
      </c>
      <c r="J4287" s="36">
        <f t="shared" si="20"/>
        <v>45961.77037</v>
      </c>
      <c r="K4287" s="69"/>
      <c r="L4287" s="49"/>
      <c r="M4287" s="36" t="str">
        <f t="shared" si="33"/>
        <v/>
      </c>
      <c r="N4287" s="30" t="str">
        <f t="shared" si="34"/>
        <v>BT atau SU Belum Valid</v>
      </c>
      <c r="O4287" s="39" t="str">
        <f t="shared" si="23"/>
        <v/>
      </c>
      <c r="P4287" s="47" t="b">
        <v>0</v>
      </c>
      <c r="Q4287" s="36" t="str">
        <f t="shared" si="35"/>
        <v/>
      </c>
      <c r="R4287" s="47" t="b">
        <v>0</v>
      </c>
      <c r="S4287" s="42" t="str">
        <f t="shared" si="28"/>
        <v/>
      </c>
      <c r="T4287" s="42"/>
    </row>
    <row r="4288" ht="22.5" customHeight="1">
      <c r="B4288" s="42">
        <f t="shared" si="7"/>
        <v>4282</v>
      </c>
      <c r="C4288" s="31" t="s">
        <v>4317</v>
      </c>
      <c r="D4288" s="34" t="str">
        <f t="array" ref="D4288">IFNA(_xlfn.XLOOKUP(C4288,Table_Tarikan_Warkah[Nomor Sertipikat],Table_Tarikan_Warkah[Nomor Tiket]),"")</f>
        <v>K/18/240925/1</v>
      </c>
      <c r="E4288" s="36" t="str">
        <f t="array" ref="E4288">IFNA(_xlfn.XLOOKUP(D4288,Table_Tarikan_Warkah[Nomor Tiket],Table_Tarikan_Warkah[Tanggal diserahkan kepada Validator]),"")</f>
        <v/>
      </c>
      <c r="F4288" s="36" t="str">
        <f t="array" ref="F4288">IFNA(_xlfn.XLOOKUP(D4288,Table_Tarikan_Warkah[Nomor Tiket],Table_Tarikan_Warkah[Nama Petugas Warkah]),"")</f>
        <v/>
      </c>
      <c r="G4288" s="39" t="str">
        <f t="array" ref="G4288">IFNA(_xlfn.XLOOKUP(D4288,Table_Tarikan_Warkah[Nomor Tiket],Table_Tarikan_Warkah[Jenis Permohonan]),"")</f>
        <v>BN Jual Beli</v>
      </c>
      <c r="H4288" s="41" t="s">
        <v>920</v>
      </c>
      <c r="I4288" s="49" t="s">
        <v>23</v>
      </c>
      <c r="J4288" s="36">
        <f t="shared" si="20"/>
        <v>45964.57423</v>
      </c>
      <c r="K4288" s="49" t="s">
        <v>920</v>
      </c>
      <c r="L4288" s="49" t="s">
        <v>23</v>
      </c>
      <c r="M4288" s="36">
        <f t="shared" si="33"/>
        <v>45964.57423</v>
      </c>
      <c r="N4288" s="30" t="str">
        <f t="shared" si="34"/>
        <v>Selesai</v>
      </c>
      <c r="O4288" s="45">
        <f t="shared" si="23"/>
        <v>45964.57423</v>
      </c>
      <c r="P4288" s="47" t="b">
        <v>1</v>
      </c>
      <c r="Q4288" s="36">
        <f t="shared" si="35"/>
        <v>45964.57426</v>
      </c>
      <c r="R4288" s="47" t="b">
        <v>0</v>
      </c>
      <c r="S4288" s="42" t="str">
        <f t="shared" si="28"/>
        <v/>
      </c>
      <c r="T4288" s="42"/>
    </row>
    <row r="4289" ht="22.5" customHeight="1">
      <c r="B4289" s="42">
        <f t="shared" si="7"/>
        <v>4283</v>
      </c>
      <c r="C4289" s="31" t="s">
        <v>4318</v>
      </c>
      <c r="D4289" s="34" t="str">
        <f t="array" ref="D4289">IFNA(_xlfn.XLOOKUP(C4289,Table_Tarikan_Warkah[Nomor Sertipikat],Table_Tarikan_Warkah[Nomor Tiket]),"")</f>
        <v>K/17/100725/2</v>
      </c>
      <c r="E4289" s="36" t="str">
        <f t="array" ref="E4289">IFNA(_xlfn.XLOOKUP(D4289,Table_Tarikan_Warkah[Nomor Tiket],Table_Tarikan_Warkah[Tanggal diserahkan kepada Validator]),"")</f>
        <v/>
      </c>
      <c r="F4289" s="36" t="str">
        <f t="array" ref="F4289">IFNA(_xlfn.XLOOKUP(D4289,Table_Tarikan_Warkah[Nomor Tiket],Table_Tarikan_Warkah[Nama Petugas Warkah]),"")</f>
        <v/>
      </c>
      <c r="G4289" s="39" t="str">
        <f t="array" ref="G4289">IFNA(_xlfn.XLOOKUP(D4289,Table_Tarikan_Warkah[Nomor Tiket],Table_Tarikan_Warkah[Jenis Permohonan]),"")</f>
        <v>BN Jual Beli</v>
      </c>
      <c r="H4289" s="41" t="s">
        <v>920</v>
      </c>
      <c r="I4289" s="49" t="s">
        <v>23</v>
      </c>
      <c r="J4289" s="36">
        <f t="shared" si="20"/>
        <v>45964.57488</v>
      </c>
      <c r="K4289" s="49" t="s">
        <v>920</v>
      </c>
      <c r="L4289" s="49" t="s">
        <v>23</v>
      </c>
      <c r="M4289" s="36">
        <f t="shared" si="33"/>
        <v>45964.57493</v>
      </c>
      <c r="N4289" s="30" t="str">
        <f t="shared" si="34"/>
        <v>Selesai</v>
      </c>
      <c r="O4289" s="45">
        <f t="shared" si="23"/>
        <v>45964.57493</v>
      </c>
      <c r="P4289" s="47" t="b">
        <v>1</v>
      </c>
      <c r="Q4289" s="36">
        <f t="shared" si="35"/>
        <v>45964.57494</v>
      </c>
      <c r="R4289" s="47" t="b">
        <v>0</v>
      </c>
      <c r="S4289" s="42" t="str">
        <f t="shared" si="28"/>
        <v/>
      </c>
      <c r="T4289" s="42"/>
    </row>
    <row r="4290" ht="22.5" customHeight="1">
      <c r="B4290" s="42">
        <f t="shared" si="7"/>
        <v>4284</v>
      </c>
      <c r="C4290" s="31" t="s">
        <v>4319</v>
      </c>
      <c r="D4290" s="34" t="str">
        <f t="array" ref="D4290">IFNA(_xlfn.XLOOKUP(C4290,Table_Tarikan_Warkah[Nomor Sertipikat],Table_Tarikan_Warkah[Nomor Tiket]),"")</f>
        <v>K/7/180925/2</v>
      </c>
      <c r="E4290" s="36" t="str">
        <f t="array" ref="E4290">IFNA(_xlfn.XLOOKUP(D4290,Table_Tarikan_Warkah[Nomor Tiket],Table_Tarikan_Warkah[Tanggal diserahkan kepada Validator]),"")</f>
        <v/>
      </c>
      <c r="F4290" s="36" t="str">
        <f t="array" ref="F4290">IFNA(_xlfn.XLOOKUP(D4290,Table_Tarikan_Warkah[Nomor Tiket],Table_Tarikan_Warkah[Nama Petugas Warkah]),"")</f>
        <v/>
      </c>
      <c r="G4290" s="39" t="str">
        <f t="array" ref="G4290">IFNA(_xlfn.XLOOKUP(D4290,Table_Tarikan_Warkah[Nomor Tiket],Table_Tarikan_Warkah[Jenis Permohonan]),"")</f>
        <v>BN JUAL BELI</v>
      </c>
      <c r="H4290" s="41" t="s">
        <v>920</v>
      </c>
      <c r="I4290" s="49" t="s">
        <v>23</v>
      </c>
      <c r="J4290" s="36">
        <f t="shared" si="20"/>
        <v>45964.58201</v>
      </c>
      <c r="K4290" s="49" t="s">
        <v>920</v>
      </c>
      <c r="L4290" s="49" t="s">
        <v>23</v>
      </c>
      <c r="M4290" s="36">
        <f t="shared" si="33"/>
        <v>45964.58203</v>
      </c>
      <c r="N4290" s="30" t="str">
        <f t="shared" si="34"/>
        <v>Selesai</v>
      </c>
      <c r="O4290" s="45">
        <f t="shared" si="23"/>
        <v>45964.58203</v>
      </c>
      <c r="P4290" s="47" t="b">
        <v>1</v>
      </c>
      <c r="Q4290" s="36">
        <f t="shared" si="35"/>
        <v>45964.58205</v>
      </c>
      <c r="R4290" s="47" t="b">
        <v>0</v>
      </c>
      <c r="S4290" s="42" t="str">
        <f t="shared" si="28"/>
        <v/>
      </c>
      <c r="T4290" s="42"/>
    </row>
    <row r="4291" ht="22.5" customHeight="1">
      <c r="B4291" s="42">
        <f t="shared" si="7"/>
        <v>4285</v>
      </c>
      <c r="C4291" s="31" t="s">
        <v>4320</v>
      </c>
      <c r="D4291" s="34" t="str">
        <f t="array" ref="D4291">IFNA(_xlfn.XLOOKUP(C4291,Table_Tarikan_Warkah[Nomor Sertipikat],Table_Tarikan_Warkah[Nomor Tiket]),"")</f>
        <v>K/29/091025/1</v>
      </c>
      <c r="E4291" s="36" t="str">
        <f t="array" ref="E4291">IFNA(_xlfn.XLOOKUP(D4291,Table_Tarikan_Warkah[Nomor Tiket],Table_Tarikan_Warkah[Tanggal diserahkan kepada Validator]),"")</f>
        <v/>
      </c>
      <c r="F4291" s="36" t="str">
        <f t="array" ref="F4291">IFNA(_xlfn.XLOOKUP(D4291,Table_Tarikan_Warkah[Nomor Tiket],Table_Tarikan_Warkah[Nama Petugas Warkah]),"")</f>
        <v/>
      </c>
      <c r="G4291" s="39" t="str">
        <f t="array" ref="G4291">IFNA(_xlfn.XLOOKUP(D4291,Table_Tarikan_Warkah[Nomor Tiket],Table_Tarikan_Warkah[Jenis Permohonan]),"")</f>
        <v>ROYA</v>
      </c>
      <c r="H4291" s="41" t="s">
        <v>2315</v>
      </c>
      <c r="I4291" s="49" t="s">
        <v>23</v>
      </c>
      <c r="J4291" s="36">
        <f t="shared" si="20"/>
        <v>45965.4459</v>
      </c>
      <c r="K4291" s="69"/>
      <c r="L4291" s="49"/>
      <c r="M4291" s="36" t="str">
        <f t="shared" si="33"/>
        <v/>
      </c>
      <c r="N4291" s="30" t="str">
        <f t="shared" si="34"/>
        <v>BT atau SU Belum Valid</v>
      </c>
      <c r="O4291" s="39" t="str">
        <f t="shared" si="23"/>
        <v/>
      </c>
      <c r="P4291" s="47" t="b">
        <v>0</v>
      </c>
      <c r="Q4291" s="36" t="str">
        <f t="shared" si="35"/>
        <v/>
      </c>
      <c r="R4291" s="47" t="b">
        <v>0</v>
      </c>
      <c r="S4291" s="42" t="str">
        <f t="shared" si="28"/>
        <v/>
      </c>
      <c r="T4291" s="42"/>
    </row>
    <row r="4292" ht="22.5" customHeight="1">
      <c r="B4292" s="42">
        <f t="shared" si="7"/>
        <v>4286</v>
      </c>
      <c r="C4292" s="31" t="s">
        <v>4321</v>
      </c>
      <c r="D4292" s="34" t="str">
        <f t="array" ref="D4292">IFNA(_xlfn.XLOOKUP(C4292,Table_Tarikan_Warkah[Nomor Sertipikat],Table_Tarikan_Warkah[Nomor Tiket]),"")</f>
        <v/>
      </c>
      <c r="E4292" s="36" t="str">
        <f t="array" ref="E4292">IFNA(_xlfn.XLOOKUP(D4292,Table_Tarikan_Warkah[Nomor Tiket],Table_Tarikan_Warkah[Tanggal diserahkan kepada Validator]),"")</f>
        <v/>
      </c>
      <c r="F4292" s="36" t="str">
        <f t="array" ref="F4292">IFNA(_xlfn.XLOOKUP(D4292,Table_Tarikan_Warkah[Nomor Tiket],Table_Tarikan_Warkah[Nama Petugas Warkah]),"")</f>
        <v/>
      </c>
      <c r="G4292" s="39" t="str">
        <f t="array" ref="G4292">IFNA(_xlfn.XLOOKUP(D4292,Table_Tarikan_Warkah[Nomor Tiket],Table_Tarikan_Warkah[Jenis Permohonan]),"")</f>
        <v/>
      </c>
      <c r="H4292" s="41" t="s">
        <v>2315</v>
      </c>
      <c r="I4292" s="49" t="s">
        <v>23</v>
      </c>
      <c r="J4292" s="36">
        <f t="shared" si="20"/>
        <v>45965.4466</v>
      </c>
      <c r="K4292" s="69"/>
      <c r="L4292" s="49"/>
      <c r="M4292" s="36" t="str">
        <f t="shared" si="33"/>
        <v/>
      </c>
      <c r="N4292" s="30" t="str">
        <f t="shared" si="34"/>
        <v/>
      </c>
      <c r="O4292" s="39" t="str">
        <f t="shared" si="23"/>
        <v/>
      </c>
      <c r="P4292" s="47" t="b">
        <v>0</v>
      </c>
      <c r="Q4292" s="36" t="str">
        <f t="shared" si="35"/>
        <v/>
      </c>
      <c r="R4292" s="47" t="b">
        <v>0</v>
      </c>
      <c r="S4292" s="42" t="str">
        <f t="shared" si="28"/>
        <v/>
      </c>
      <c r="T4292" s="42"/>
    </row>
    <row r="4293" ht="22.5" customHeight="1">
      <c r="B4293" s="42">
        <f t="shared" si="7"/>
        <v>4287</v>
      </c>
      <c r="C4293" s="31" t="s">
        <v>4322</v>
      </c>
      <c r="D4293" s="34" t="str">
        <f t="array" ref="D4293">IFNA(_xlfn.XLOOKUP(C4293,Table_Tarikan_Warkah[Nomor Sertipikat],Table_Tarikan_Warkah[Nomor Tiket]),"")</f>
        <v>K/25/180925/1</v>
      </c>
      <c r="E4293" s="36" t="str">
        <f t="array" ref="E4293">IFNA(_xlfn.XLOOKUP(D4293,Table_Tarikan_Warkah[Nomor Tiket],Table_Tarikan_Warkah[Tanggal diserahkan kepada Validator]),"")</f>
        <v/>
      </c>
      <c r="F4293" s="36" t="str">
        <f t="array" ref="F4293">IFNA(_xlfn.XLOOKUP(D4293,Table_Tarikan_Warkah[Nomor Tiket],Table_Tarikan_Warkah[Nama Petugas Warkah]),"")</f>
        <v/>
      </c>
      <c r="G4293" s="39" t="str">
        <f t="array" ref="G4293">IFNA(_xlfn.XLOOKUP(D4293,Table_Tarikan_Warkah[Nomor Tiket],Table_Tarikan_Warkah[Jenis Permohonan]),"")</f>
        <v>BN JUAL BELI EL</v>
      </c>
      <c r="H4293" s="41" t="s">
        <v>2315</v>
      </c>
      <c r="I4293" s="49" t="s">
        <v>23</v>
      </c>
      <c r="J4293" s="36">
        <f t="shared" si="20"/>
        <v>45965.44679</v>
      </c>
      <c r="K4293" s="69"/>
      <c r="L4293" s="49"/>
      <c r="M4293" s="36" t="str">
        <f t="shared" si="33"/>
        <v/>
      </c>
      <c r="N4293" s="30" t="str">
        <f t="shared" si="34"/>
        <v>BT atau SU Belum Valid</v>
      </c>
      <c r="O4293" s="39" t="str">
        <f t="shared" si="23"/>
        <v/>
      </c>
      <c r="P4293" s="47" t="b">
        <v>0</v>
      </c>
      <c r="Q4293" s="36" t="str">
        <f t="shared" si="35"/>
        <v/>
      </c>
      <c r="R4293" s="47" t="b">
        <v>0</v>
      </c>
      <c r="S4293" s="42" t="str">
        <f t="shared" si="28"/>
        <v/>
      </c>
      <c r="T4293" s="42"/>
    </row>
    <row r="4294" ht="22.5" customHeight="1">
      <c r="B4294" s="42">
        <f t="shared" si="7"/>
        <v>4288</v>
      </c>
      <c r="C4294" s="31" t="s">
        <v>4323</v>
      </c>
      <c r="D4294" s="34" t="str">
        <f t="array" ref="D4294">IFNA(_xlfn.XLOOKUP(C4294,Table_Tarikan_Warkah[Nomor Sertipikat],Table_Tarikan_Warkah[Nomor Tiket]),"")</f>
        <v>K/4/180925/1</v>
      </c>
      <c r="E4294" s="36" t="str">
        <f t="array" ref="E4294">IFNA(_xlfn.XLOOKUP(D4294,Table_Tarikan_Warkah[Nomor Tiket],Table_Tarikan_Warkah[Tanggal diserahkan kepada Validator]),"")</f>
        <v/>
      </c>
      <c r="F4294" s="36" t="str">
        <f t="array" ref="F4294">IFNA(_xlfn.XLOOKUP(D4294,Table_Tarikan_Warkah[Nomor Tiket],Table_Tarikan_Warkah[Nama Petugas Warkah]),"")</f>
        <v/>
      </c>
      <c r="G4294" s="39" t="str">
        <f t="array" ref="G4294">IFNA(_xlfn.XLOOKUP(D4294,Table_Tarikan_Warkah[Nomor Tiket],Table_Tarikan_Warkah[Jenis Permohonan]),"")</f>
        <v>BN HIBAH EL </v>
      </c>
      <c r="H4294" s="41" t="s">
        <v>2315</v>
      </c>
      <c r="I4294" s="49" t="s">
        <v>23</v>
      </c>
      <c r="J4294" s="36">
        <f t="shared" si="20"/>
        <v>45965.44692</v>
      </c>
      <c r="K4294" s="69"/>
      <c r="L4294" s="49"/>
      <c r="M4294" s="36" t="str">
        <f t="shared" si="33"/>
        <v/>
      </c>
      <c r="N4294" s="30" t="str">
        <f t="shared" si="34"/>
        <v>BT atau SU Belum Valid</v>
      </c>
      <c r="O4294" s="39" t="str">
        <f t="shared" si="23"/>
        <v/>
      </c>
      <c r="P4294" s="47" t="b">
        <v>0</v>
      </c>
      <c r="Q4294" s="36" t="str">
        <f t="shared" si="35"/>
        <v/>
      </c>
      <c r="R4294" s="47" t="b">
        <v>0</v>
      </c>
      <c r="S4294" s="42" t="str">
        <f t="shared" si="28"/>
        <v/>
      </c>
      <c r="T4294" s="42"/>
    </row>
    <row r="4295" ht="22.5" customHeight="1">
      <c r="B4295" s="42">
        <f t="shared" si="7"/>
        <v>4289</v>
      </c>
      <c r="C4295" s="31" t="s">
        <v>4324</v>
      </c>
      <c r="D4295" s="34" t="str">
        <f t="array" ref="D4295">IFNA(_xlfn.XLOOKUP(C4295,Table_Tarikan_Warkah[Nomor Sertipikat],Table_Tarikan_Warkah[Nomor Tiket]),"")</f>
        <v>K/5/131025/2</v>
      </c>
      <c r="E4295" s="36" t="str">
        <f t="array" ref="E4295">IFNA(_xlfn.XLOOKUP(D4295,Table_Tarikan_Warkah[Nomor Tiket],Table_Tarikan_Warkah[Tanggal diserahkan kepada Validator]),"")</f>
        <v/>
      </c>
      <c r="F4295" s="36" t="str">
        <f t="array" ref="F4295">IFNA(_xlfn.XLOOKUP(D4295,Table_Tarikan_Warkah[Nomor Tiket],Table_Tarikan_Warkah[Nama Petugas Warkah]),"")</f>
        <v/>
      </c>
      <c r="G4295" s="39" t="str">
        <f t="array" ref="G4295">IFNA(_xlfn.XLOOKUP(D4295,Table_Tarikan_Warkah[Nomor Tiket],Table_Tarikan_Warkah[Jenis Permohonan]),"")</f>
        <v>ROYA</v>
      </c>
      <c r="H4295" s="41" t="s">
        <v>2315</v>
      </c>
      <c r="I4295" s="49" t="s">
        <v>23</v>
      </c>
      <c r="J4295" s="36">
        <f t="shared" si="20"/>
        <v>45965.44744</v>
      </c>
      <c r="K4295" s="69"/>
      <c r="L4295" s="49"/>
      <c r="M4295" s="36" t="str">
        <f t="shared" si="33"/>
        <v/>
      </c>
      <c r="N4295" s="30" t="str">
        <f t="shared" si="34"/>
        <v>BT atau SU Belum Valid</v>
      </c>
      <c r="O4295" s="39" t="str">
        <f t="shared" si="23"/>
        <v/>
      </c>
      <c r="P4295" s="47" t="b">
        <v>0</v>
      </c>
      <c r="Q4295" s="36" t="str">
        <f t="shared" si="35"/>
        <v/>
      </c>
      <c r="R4295" s="47" t="b">
        <v>0</v>
      </c>
      <c r="S4295" s="42" t="str">
        <f t="shared" si="28"/>
        <v/>
      </c>
      <c r="T4295" s="42"/>
    </row>
    <row r="4296" ht="22.5" customHeight="1">
      <c r="B4296" s="42">
        <f t="shared" si="7"/>
        <v>4290</v>
      </c>
      <c r="C4296" s="31" t="s">
        <v>4325</v>
      </c>
      <c r="D4296" s="34" t="str">
        <f t="array" ref="D4296">IFNA(_xlfn.XLOOKUP(C4296,Table_Tarikan_Warkah[Nomor Sertipikat],Table_Tarikan_Warkah[Nomor Tiket]),"")</f>
        <v/>
      </c>
      <c r="E4296" s="36" t="str">
        <f t="array" ref="E4296">IFNA(_xlfn.XLOOKUP(D4296,Table_Tarikan_Warkah[Nomor Tiket],Table_Tarikan_Warkah[Tanggal diserahkan kepada Validator]),"")</f>
        <v/>
      </c>
      <c r="F4296" s="36" t="str">
        <f t="array" ref="F4296">IFNA(_xlfn.XLOOKUP(D4296,Table_Tarikan_Warkah[Nomor Tiket],Table_Tarikan_Warkah[Nama Petugas Warkah]),"")</f>
        <v/>
      </c>
      <c r="G4296" s="39" t="str">
        <f t="array" ref="G4296">IFNA(_xlfn.XLOOKUP(D4296,Table_Tarikan_Warkah[Nomor Tiket],Table_Tarikan_Warkah[Jenis Permohonan]),"")</f>
        <v/>
      </c>
      <c r="H4296" s="41" t="s">
        <v>2315</v>
      </c>
      <c r="I4296" s="49" t="s">
        <v>23</v>
      </c>
      <c r="J4296" s="36">
        <f t="shared" si="20"/>
        <v>45965.44775</v>
      </c>
      <c r="K4296" s="49" t="s">
        <v>26</v>
      </c>
      <c r="L4296" s="49" t="s">
        <v>23</v>
      </c>
      <c r="M4296" s="36">
        <f t="shared" si="33"/>
        <v>45971.64946</v>
      </c>
      <c r="N4296" s="30" t="str">
        <f t="shared" si="34"/>
        <v/>
      </c>
      <c r="O4296" s="39" t="str">
        <f t="shared" si="23"/>
        <v/>
      </c>
      <c r="P4296" s="47" t="b">
        <v>0</v>
      </c>
      <c r="Q4296" s="36" t="str">
        <f t="shared" si="35"/>
        <v/>
      </c>
      <c r="R4296" s="47" t="b">
        <v>0</v>
      </c>
      <c r="S4296" s="42" t="str">
        <f t="shared" si="28"/>
        <v/>
      </c>
      <c r="T4296" s="42"/>
    </row>
    <row r="4297" ht="22.5" customHeight="1">
      <c r="B4297" s="42">
        <f t="shared" si="7"/>
        <v>4291</v>
      </c>
      <c r="C4297" s="31" t="s">
        <v>4326</v>
      </c>
      <c r="D4297" s="34" t="str">
        <f t="array" ref="D4297">IFNA(_xlfn.XLOOKUP(C4297,Table_Tarikan_Warkah[Nomor Sertipikat],Table_Tarikan_Warkah[Nomor Tiket]),"")</f>
        <v>K/7/131025/4</v>
      </c>
      <c r="E4297" s="36" t="str">
        <f t="array" ref="E4297">IFNA(_xlfn.XLOOKUP(D4297,Table_Tarikan_Warkah[Nomor Tiket],Table_Tarikan_Warkah[Tanggal diserahkan kepada Validator]),"")</f>
        <v/>
      </c>
      <c r="F4297" s="36" t="str">
        <f t="array" ref="F4297">IFNA(_xlfn.XLOOKUP(D4297,Table_Tarikan_Warkah[Nomor Tiket],Table_Tarikan_Warkah[Nama Petugas Warkah]),"")</f>
        <v/>
      </c>
      <c r="G4297" s="39" t="str">
        <f t="array" ref="G4297">IFNA(_xlfn.XLOOKUP(D4297,Table_Tarikan_Warkah[Nomor Tiket],Table_Tarikan_Warkah[Jenis Permohonan]),"")</f>
        <v>ROYA LELANG</v>
      </c>
      <c r="H4297" s="41" t="s">
        <v>2315</v>
      </c>
      <c r="I4297" s="49" t="s">
        <v>23</v>
      </c>
      <c r="J4297" s="36">
        <f t="shared" si="20"/>
        <v>45965.44887</v>
      </c>
      <c r="K4297" s="49" t="s">
        <v>26</v>
      </c>
      <c r="L4297" s="49" t="s">
        <v>23</v>
      </c>
      <c r="M4297" s="36">
        <f t="shared" si="33"/>
        <v>45971.64938</v>
      </c>
      <c r="N4297" s="30" t="str">
        <f t="shared" si="34"/>
        <v>Selesai</v>
      </c>
      <c r="O4297" s="45">
        <f t="shared" si="23"/>
        <v>45971.64938</v>
      </c>
      <c r="P4297" s="47" t="b">
        <v>0</v>
      </c>
      <c r="Q4297" s="36" t="str">
        <f t="shared" si="35"/>
        <v/>
      </c>
      <c r="R4297" s="47" t="b">
        <v>0</v>
      </c>
      <c r="S4297" s="42" t="str">
        <f t="shared" si="28"/>
        <v/>
      </c>
      <c r="T4297" s="42"/>
    </row>
    <row r="4298" ht="22.5" customHeight="1">
      <c r="B4298" s="42">
        <f t="shared" si="7"/>
        <v>4292</v>
      </c>
      <c r="C4298" s="31" t="s">
        <v>4327</v>
      </c>
      <c r="D4298" s="34" t="str">
        <f t="array" ref="D4298">IFNA(_xlfn.XLOOKUP(C4298,Table_Tarikan_Warkah[Nomor Sertipikat],Table_Tarikan_Warkah[Nomor Tiket]),"")</f>
        <v>K/4/131025/1</v>
      </c>
      <c r="E4298" s="36" t="str">
        <f t="array" ref="E4298">IFNA(_xlfn.XLOOKUP(D4298,Table_Tarikan_Warkah[Nomor Tiket],Table_Tarikan_Warkah[Tanggal diserahkan kepada Validator]),"")</f>
        <v/>
      </c>
      <c r="F4298" s="36" t="str">
        <f t="array" ref="F4298">IFNA(_xlfn.XLOOKUP(D4298,Table_Tarikan_Warkah[Nomor Tiket],Table_Tarikan_Warkah[Nama Petugas Warkah]),"")</f>
        <v/>
      </c>
      <c r="G4298" s="39" t="str">
        <f t="array" ref="G4298">IFNA(_xlfn.XLOOKUP(D4298,Table_Tarikan_Warkah[Nomor Tiket],Table_Tarikan_Warkah[Jenis Permohonan]),"")</f>
        <v>ROYA LELANG</v>
      </c>
      <c r="H4298" s="41" t="s">
        <v>2315</v>
      </c>
      <c r="I4298" s="49" t="s">
        <v>23</v>
      </c>
      <c r="J4298" s="36">
        <f t="shared" si="20"/>
        <v>45965.44904</v>
      </c>
      <c r="K4298" s="69"/>
      <c r="L4298" s="49"/>
      <c r="M4298" s="36" t="str">
        <f t="shared" si="33"/>
        <v/>
      </c>
      <c r="N4298" s="30" t="str">
        <f t="shared" si="34"/>
        <v>BT atau SU Belum Valid</v>
      </c>
      <c r="O4298" s="39" t="str">
        <f t="shared" si="23"/>
        <v/>
      </c>
      <c r="P4298" s="47" t="b">
        <v>0</v>
      </c>
      <c r="Q4298" s="36" t="str">
        <f t="shared" si="35"/>
        <v/>
      </c>
      <c r="R4298" s="47" t="b">
        <v>0</v>
      </c>
      <c r="S4298" s="42" t="str">
        <f t="shared" si="28"/>
        <v/>
      </c>
      <c r="T4298" s="42"/>
    </row>
    <row r="4299" ht="22.5" customHeight="1">
      <c r="B4299" s="42">
        <f t="shared" si="7"/>
        <v>4293</v>
      </c>
      <c r="C4299" s="31" t="s">
        <v>4328</v>
      </c>
      <c r="D4299" s="34" t="str">
        <f t="array" ref="D4299">IFNA(_xlfn.XLOOKUP(C4299,Table_Tarikan_Warkah[Nomor Sertipikat],Table_Tarikan_Warkah[Nomor Tiket]),"")</f>
        <v>K/13/101025/1</v>
      </c>
      <c r="E4299" s="36" t="str">
        <f t="array" ref="E4299">IFNA(_xlfn.XLOOKUP(D4299,Table_Tarikan_Warkah[Nomor Tiket],Table_Tarikan_Warkah[Tanggal diserahkan kepada Validator]),"")</f>
        <v/>
      </c>
      <c r="F4299" s="36" t="str">
        <f t="array" ref="F4299">IFNA(_xlfn.XLOOKUP(D4299,Table_Tarikan_Warkah[Nomor Tiket],Table_Tarikan_Warkah[Nama Petugas Warkah]),"")</f>
        <v/>
      </c>
      <c r="G4299" s="39" t="str">
        <f t="array" ref="G4299">IFNA(_xlfn.XLOOKUP(D4299,Table_Tarikan_Warkah[Nomor Tiket],Table_Tarikan_Warkah[Jenis Permohonan]),"")</f>
        <v>ROYA</v>
      </c>
      <c r="H4299" s="41" t="s">
        <v>2315</v>
      </c>
      <c r="I4299" s="49" t="s">
        <v>23</v>
      </c>
      <c r="J4299" s="36">
        <f t="shared" si="20"/>
        <v>45965.44937</v>
      </c>
      <c r="K4299" s="69"/>
      <c r="L4299" s="49"/>
      <c r="M4299" s="36" t="str">
        <f t="shared" si="33"/>
        <v/>
      </c>
      <c r="N4299" s="30" t="str">
        <f t="shared" si="34"/>
        <v>BT atau SU Belum Valid</v>
      </c>
      <c r="O4299" s="39" t="str">
        <f t="shared" si="23"/>
        <v/>
      </c>
      <c r="P4299" s="47" t="b">
        <v>0</v>
      </c>
      <c r="Q4299" s="36" t="str">
        <f t="shared" si="35"/>
        <v/>
      </c>
      <c r="R4299" s="47" t="b">
        <v>0</v>
      </c>
      <c r="S4299" s="42" t="str">
        <f t="shared" si="28"/>
        <v/>
      </c>
      <c r="T4299" s="42"/>
    </row>
    <row r="4300" ht="22.5" customHeight="1">
      <c r="B4300" s="42">
        <f t="shared" si="7"/>
        <v>4294</v>
      </c>
      <c r="C4300" s="31" t="s">
        <v>4329</v>
      </c>
      <c r="D4300" s="34" t="str">
        <f t="array" ref="D4300">IFNA(_xlfn.XLOOKUP(C4300,Table_Tarikan_Warkah[Nomor Sertipikat],Table_Tarikan_Warkah[Nomor Tiket]),"")</f>
        <v>K/45/260825/1</v>
      </c>
      <c r="E4300" s="36" t="str">
        <f t="array" ref="E4300">IFNA(_xlfn.XLOOKUP(D4300,Table_Tarikan_Warkah[Nomor Tiket],Table_Tarikan_Warkah[Tanggal diserahkan kepada Validator]),"")</f>
        <v/>
      </c>
      <c r="F4300" s="36" t="str">
        <f t="array" ref="F4300">IFNA(_xlfn.XLOOKUP(D4300,Table_Tarikan_Warkah[Nomor Tiket],Table_Tarikan_Warkah[Nama Petugas Warkah]),"")</f>
        <v/>
      </c>
      <c r="G4300" s="39" t="str">
        <f t="array" ref="G4300">IFNA(_xlfn.XLOOKUP(D4300,Table_Tarikan_Warkah[Nomor Tiket],Table_Tarikan_Warkah[Jenis Permohonan]),"")</f>
        <v>BN JUAL BELI</v>
      </c>
      <c r="H4300" s="41" t="s">
        <v>2315</v>
      </c>
      <c r="I4300" s="49" t="s">
        <v>23</v>
      </c>
      <c r="J4300" s="36">
        <f t="shared" si="20"/>
        <v>45965.44958</v>
      </c>
      <c r="K4300" s="69"/>
      <c r="L4300" s="49"/>
      <c r="M4300" s="36" t="str">
        <f t="shared" si="33"/>
        <v/>
      </c>
      <c r="N4300" s="30" t="str">
        <f t="shared" si="34"/>
        <v>BT atau SU Belum Valid</v>
      </c>
      <c r="O4300" s="39" t="str">
        <f t="shared" si="23"/>
        <v/>
      </c>
      <c r="P4300" s="47" t="b">
        <v>0</v>
      </c>
      <c r="Q4300" s="36" t="str">
        <f t="shared" si="35"/>
        <v/>
      </c>
      <c r="R4300" s="47" t="b">
        <v>0</v>
      </c>
      <c r="S4300" s="42" t="str">
        <f t="shared" si="28"/>
        <v/>
      </c>
      <c r="T4300" s="42"/>
    </row>
    <row r="4301" ht="22.5" customHeight="1">
      <c r="B4301" s="42">
        <f t="shared" si="7"/>
        <v>4295</v>
      </c>
      <c r="C4301" s="31" t="s">
        <v>4330</v>
      </c>
      <c r="D4301" s="34" t="str">
        <f t="array" ref="D4301">IFNA(_xlfn.XLOOKUP(C4301,Table_Tarikan_Warkah[Nomor Sertipikat],Table_Tarikan_Warkah[Nomor Tiket]),"")</f>
        <v>K/44/160925/1</v>
      </c>
      <c r="E4301" s="36" t="str">
        <f t="array" ref="E4301">IFNA(_xlfn.XLOOKUP(D4301,Table_Tarikan_Warkah[Nomor Tiket],Table_Tarikan_Warkah[Tanggal diserahkan kepada Validator]),"")</f>
        <v/>
      </c>
      <c r="F4301" s="36" t="str">
        <f t="array" ref="F4301">IFNA(_xlfn.XLOOKUP(D4301,Table_Tarikan_Warkah[Nomor Tiket],Table_Tarikan_Warkah[Nama Petugas Warkah]),"")</f>
        <v/>
      </c>
      <c r="G4301" s="39" t="str">
        <f t="array" ref="G4301">IFNA(_xlfn.XLOOKUP(D4301,Table_Tarikan_Warkah[Nomor Tiket],Table_Tarikan_Warkah[Jenis Permohonan]),"")</f>
        <v>BN JUAL BELI</v>
      </c>
      <c r="H4301" s="41" t="s">
        <v>2315</v>
      </c>
      <c r="I4301" s="49" t="s">
        <v>23</v>
      </c>
      <c r="J4301" s="36">
        <f t="shared" si="20"/>
        <v>45965.44984</v>
      </c>
      <c r="K4301" s="49" t="s">
        <v>26</v>
      </c>
      <c r="L4301" s="49" t="s">
        <v>23</v>
      </c>
      <c r="M4301" s="36">
        <f t="shared" si="33"/>
        <v>45971.65329</v>
      </c>
      <c r="N4301" s="30" t="str">
        <f t="shared" si="34"/>
        <v>Selesai</v>
      </c>
      <c r="O4301" s="45">
        <f t="shared" si="23"/>
        <v>45971.65329</v>
      </c>
      <c r="P4301" s="47" t="b">
        <v>0</v>
      </c>
      <c r="Q4301" s="36" t="str">
        <f t="shared" si="35"/>
        <v/>
      </c>
      <c r="R4301" s="47" t="b">
        <v>0</v>
      </c>
      <c r="S4301" s="42" t="str">
        <f t="shared" si="28"/>
        <v/>
      </c>
      <c r="T4301" s="42"/>
    </row>
    <row r="4302" ht="22.5" customHeight="1">
      <c r="B4302" s="42">
        <f t="shared" si="7"/>
        <v>4296</v>
      </c>
      <c r="C4302" s="31" t="s">
        <v>4331</v>
      </c>
      <c r="D4302" s="34" t="str">
        <f t="array" ref="D4302">IFNA(_xlfn.XLOOKUP(C4302,Table_Tarikan_Warkah[Nomor Sertipikat],Table_Tarikan_Warkah[Nomor Tiket]),"")</f>
        <v>L/15/211025/2</v>
      </c>
      <c r="E4302" s="36" t="str">
        <f t="array" ref="E4302">IFNA(_xlfn.XLOOKUP(D4302,Table_Tarikan_Warkah[Nomor Tiket],Table_Tarikan_Warkah[Tanggal diserahkan kepada Validator]),"")</f>
        <v/>
      </c>
      <c r="F4302" s="36" t="str">
        <f t="array" ref="F4302">IFNA(_xlfn.XLOOKUP(D4302,Table_Tarikan_Warkah[Nomor Tiket],Table_Tarikan_Warkah[Nama Petugas Warkah]),"")</f>
        <v/>
      </c>
      <c r="G4302" s="39" t="str">
        <f t="array" ref="G4302">IFNA(_xlfn.XLOOKUP(D4302,Table_Tarikan_Warkah[Nomor Tiket],Table_Tarikan_Warkah[Jenis Permohonan]),"")</f>
        <v>ROYA</v>
      </c>
      <c r="H4302" s="41" t="s">
        <v>2315</v>
      </c>
      <c r="I4302" s="49" t="s">
        <v>23</v>
      </c>
      <c r="J4302" s="36">
        <f t="shared" si="20"/>
        <v>45965.45012</v>
      </c>
      <c r="K4302" s="49" t="s">
        <v>26</v>
      </c>
      <c r="L4302" s="49" t="s">
        <v>23</v>
      </c>
      <c r="M4302" s="36">
        <f t="shared" si="33"/>
        <v>45971.65364</v>
      </c>
      <c r="N4302" s="30" t="str">
        <f t="shared" si="34"/>
        <v>Selesai</v>
      </c>
      <c r="O4302" s="45">
        <f t="shared" si="23"/>
        <v>45971.65364</v>
      </c>
      <c r="P4302" s="47" t="b">
        <v>0</v>
      </c>
      <c r="Q4302" s="36" t="str">
        <f t="shared" si="35"/>
        <v/>
      </c>
      <c r="R4302" s="47" t="b">
        <v>0</v>
      </c>
      <c r="S4302" s="42" t="str">
        <f t="shared" si="28"/>
        <v/>
      </c>
      <c r="T4302" s="42"/>
    </row>
    <row r="4303" ht="22.5" customHeight="1">
      <c r="B4303" s="42">
        <f t="shared" si="7"/>
        <v>4297</v>
      </c>
      <c r="C4303" s="31" t="s">
        <v>4332</v>
      </c>
      <c r="D4303" s="34" t="str">
        <f t="array" ref="D4303">IFNA(_xlfn.XLOOKUP(C4303,Table_Tarikan_Warkah[Nomor Sertipikat],Table_Tarikan_Warkah[Nomor Tiket]),"")</f>
        <v>K/16/230925/1</v>
      </c>
      <c r="E4303" s="36" t="str">
        <f t="array" ref="E4303">IFNA(_xlfn.XLOOKUP(D4303,Table_Tarikan_Warkah[Nomor Tiket],Table_Tarikan_Warkah[Tanggal diserahkan kepada Validator]),"")</f>
        <v/>
      </c>
      <c r="F4303" s="36" t="str">
        <f t="array" ref="F4303">IFNA(_xlfn.XLOOKUP(D4303,Table_Tarikan_Warkah[Nomor Tiket],Table_Tarikan_Warkah[Nama Petugas Warkah]),"")</f>
        <v/>
      </c>
      <c r="G4303" s="39" t="str">
        <f t="array" ref="G4303">IFNA(_xlfn.XLOOKUP(D4303,Table_Tarikan_Warkah[Nomor Tiket],Table_Tarikan_Warkah[Jenis Permohonan]),"")</f>
        <v>BN JUAL BELI EL</v>
      </c>
      <c r="H4303" s="41" t="s">
        <v>2315</v>
      </c>
      <c r="I4303" s="49" t="s">
        <v>23</v>
      </c>
      <c r="J4303" s="36">
        <f t="shared" si="20"/>
        <v>45965.4503</v>
      </c>
      <c r="K4303" s="69"/>
      <c r="L4303" s="49"/>
      <c r="M4303" s="36" t="str">
        <f t="shared" si="33"/>
        <v/>
      </c>
      <c r="N4303" s="30" t="str">
        <f t="shared" si="34"/>
        <v>BT atau SU Belum Valid</v>
      </c>
      <c r="O4303" s="39" t="str">
        <f t="shared" si="23"/>
        <v/>
      </c>
      <c r="P4303" s="47" t="b">
        <v>0</v>
      </c>
      <c r="Q4303" s="36" t="str">
        <f t="shared" si="35"/>
        <v/>
      </c>
      <c r="R4303" s="47" t="b">
        <v>0</v>
      </c>
      <c r="S4303" s="42" t="str">
        <f t="shared" si="28"/>
        <v/>
      </c>
      <c r="T4303" s="42"/>
    </row>
    <row r="4304" ht="22.5" customHeight="1">
      <c r="B4304" s="42">
        <f t="shared" si="7"/>
        <v>4298</v>
      </c>
      <c r="C4304" s="31" t="s">
        <v>4333</v>
      </c>
      <c r="D4304" s="34" t="str">
        <f t="array" ref="D4304">IFNA(_xlfn.XLOOKUP(C4304,Table_Tarikan_Warkah[Nomor Sertipikat],Table_Tarikan_Warkah[Nomor Tiket]),"")</f>
        <v>K/21/180925/1</v>
      </c>
      <c r="E4304" s="36">
        <f t="array" ref="E4304">IFNA(_xlfn.XLOOKUP(D4304,Table_Tarikan_Warkah[Nomor Tiket],Table_Tarikan_Warkah[Tanggal diserahkan kepada Validator]),"")</f>
        <v>45988.63949</v>
      </c>
      <c r="F4304" s="36" t="str">
        <f t="array" ref="F4304">IFNA(_xlfn.XLOOKUP(D4304,Table_Tarikan_Warkah[Nomor Tiket],Table_Tarikan_Warkah[Nama Petugas Warkah]),"")</f>
        <v>Berry</v>
      </c>
      <c r="G4304" s="39" t="str">
        <f t="array" ref="G4304">IFNA(_xlfn.XLOOKUP(D4304,Table_Tarikan_Warkah[Nomor Tiket],Table_Tarikan_Warkah[Jenis Permohonan]),"")</f>
        <v>BN JUAL BELI EL</v>
      </c>
      <c r="H4304" s="41" t="s">
        <v>2315</v>
      </c>
      <c r="I4304" s="49" t="s">
        <v>23</v>
      </c>
      <c r="J4304" s="36">
        <f t="shared" si="20"/>
        <v>45965.46518</v>
      </c>
      <c r="K4304" s="69"/>
      <c r="L4304" s="49"/>
      <c r="M4304" s="36" t="str">
        <f t="shared" si="33"/>
        <v/>
      </c>
      <c r="N4304" s="30" t="str">
        <f t="shared" si="34"/>
        <v>BT atau SU Belum Valid</v>
      </c>
      <c r="O4304" s="39" t="str">
        <f t="shared" si="23"/>
        <v/>
      </c>
      <c r="P4304" s="47" t="b">
        <v>0</v>
      </c>
      <c r="Q4304" s="36" t="str">
        <f t="shared" si="35"/>
        <v/>
      </c>
      <c r="R4304" s="47" t="b">
        <v>0</v>
      </c>
      <c r="S4304" s="42" t="str">
        <f t="shared" si="28"/>
        <v/>
      </c>
      <c r="T4304" s="42"/>
    </row>
    <row r="4305" ht="22.5" customHeight="1">
      <c r="B4305" s="42">
        <f t="shared" si="7"/>
        <v>4299</v>
      </c>
      <c r="C4305" s="31" t="s">
        <v>4334</v>
      </c>
      <c r="D4305" s="34" t="str">
        <f t="array" ref="D4305">IFNA(_xlfn.XLOOKUP(C4305,Table_Tarikan_Warkah[Nomor Sertipikat],Table_Tarikan_Warkah[Nomor Tiket]),"")</f>
        <v>K/21/160925/1</v>
      </c>
      <c r="E4305" s="36">
        <f t="array" ref="E4305">IFNA(_xlfn.XLOOKUP(D4305,Table_Tarikan_Warkah[Nomor Tiket],Table_Tarikan_Warkah[Tanggal diserahkan kepada Validator]),"")</f>
        <v>45966.65088</v>
      </c>
      <c r="F4305" s="36" t="str">
        <f t="array" ref="F4305">IFNA(_xlfn.XLOOKUP(D4305,Table_Tarikan_Warkah[Nomor Tiket],Table_Tarikan_Warkah[Nama Petugas Warkah]),"")</f>
        <v>Berry</v>
      </c>
      <c r="G4305" s="39" t="str">
        <f t="array" ref="G4305">IFNA(_xlfn.XLOOKUP(D4305,Table_Tarikan_Warkah[Nomor Tiket],Table_Tarikan_Warkah[Jenis Permohonan]),"")</f>
        <v>BN JUAL BELI EL</v>
      </c>
      <c r="H4305" s="41" t="s">
        <v>2315</v>
      </c>
      <c r="I4305" s="49" t="s">
        <v>23</v>
      </c>
      <c r="J4305" s="36">
        <f t="shared" si="20"/>
        <v>45965.46539</v>
      </c>
      <c r="K4305" s="49" t="s">
        <v>26</v>
      </c>
      <c r="L4305" s="49" t="s">
        <v>23</v>
      </c>
      <c r="M4305" s="36">
        <f t="shared" si="33"/>
        <v>45971.64966</v>
      </c>
      <c r="N4305" s="30" t="str">
        <f t="shared" si="34"/>
        <v>Selesai</v>
      </c>
      <c r="O4305" s="45">
        <f t="shared" si="23"/>
        <v>45971.64966</v>
      </c>
      <c r="P4305" s="47" t="b">
        <v>0</v>
      </c>
      <c r="Q4305" s="36" t="str">
        <f t="shared" si="35"/>
        <v/>
      </c>
      <c r="R4305" s="47" t="b">
        <v>0</v>
      </c>
      <c r="S4305" s="42" t="str">
        <f t="shared" si="28"/>
        <v/>
      </c>
      <c r="T4305" s="42"/>
    </row>
    <row r="4306" ht="22.5" customHeight="1">
      <c r="B4306" s="42">
        <f t="shared" si="7"/>
        <v>4300</v>
      </c>
      <c r="C4306" s="31" t="s">
        <v>4335</v>
      </c>
      <c r="D4306" s="34" t="str">
        <f t="array" ref="D4306">IFNA(_xlfn.XLOOKUP(C4306,Table_Tarikan_Warkah[Nomor Sertipikat],Table_Tarikan_Warkah[Nomor Tiket]),"")</f>
        <v>K/44/081025/1</v>
      </c>
      <c r="E4306" s="36" t="str">
        <f t="array" ref="E4306">IFNA(_xlfn.XLOOKUP(D4306,Table_Tarikan_Warkah[Nomor Tiket],Table_Tarikan_Warkah[Tanggal diserahkan kepada Validator]),"")</f>
        <v/>
      </c>
      <c r="F4306" s="36" t="str">
        <f t="array" ref="F4306">IFNA(_xlfn.XLOOKUP(D4306,Table_Tarikan_Warkah[Nomor Tiket],Table_Tarikan_Warkah[Nama Petugas Warkah]),"")</f>
        <v/>
      </c>
      <c r="G4306" s="39" t="str">
        <f t="array" ref="G4306">IFNA(_xlfn.XLOOKUP(D4306,Table_Tarikan_Warkah[Nomor Tiket],Table_Tarikan_Warkah[Jenis Permohonan]),"")</f>
        <v>PERUBAHAN HAK</v>
      </c>
      <c r="H4306" s="41" t="s">
        <v>2315</v>
      </c>
      <c r="I4306" s="49" t="s">
        <v>23</v>
      </c>
      <c r="J4306" s="36">
        <f t="shared" si="20"/>
        <v>45965.46555</v>
      </c>
      <c r="K4306" s="69"/>
      <c r="L4306" s="49"/>
      <c r="M4306" s="36" t="str">
        <f t="shared" si="33"/>
        <v/>
      </c>
      <c r="N4306" s="30" t="str">
        <f t="shared" si="34"/>
        <v>BT atau SU Belum Valid</v>
      </c>
      <c r="O4306" s="39" t="str">
        <f t="shared" si="23"/>
        <v/>
      </c>
      <c r="P4306" s="47" t="b">
        <v>0</v>
      </c>
      <c r="Q4306" s="36" t="str">
        <f t="shared" si="35"/>
        <v/>
      </c>
      <c r="R4306" s="47" t="b">
        <v>0</v>
      </c>
      <c r="S4306" s="42" t="str">
        <f t="shared" si="28"/>
        <v/>
      </c>
      <c r="T4306" s="42"/>
    </row>
    <row r="4307" ht="22.5" customHeight="1">
      <c r="B4307" s="42">
        <f t="shared" si="7"/>
        <v>4301</v>
      </c>
      <c r="C4307" s="31" t="s">
        <v>4336</v>
      </c>
      <c r="D4307" s="34" t="str">
        <f t="array" ref="D4307">IFNA(_xlfn.XLOOKUP(C4307,Table_Tarikan_Warkah[Nomor Sertipikat],Table_Tarikan_Warkah[Nomor Tiket]),"")</f>
        <v>K/25/300925/2</v>
      </c>
      <c r="E4307" s="36">
        <f t="array" ref="E4307">IFNA(_xlfn.XLOOKUP(D4307,Table_Tarikan_Warkah[Nomor Tiket],Table_Tarikan_Warkah[Tanggal diserahkan kepada Validator]),"")</f>
        <v>45950.60457</v>
      </c>
      <c r="F4307" s="36" t="str">
        <f t="array" ref="F4307">IFNA(_xlfn.XLOOKUP(D4307,Table_Tarikan_Warkah[Nomor Tiket],Table_Tarikan_Warkah[Nama Petugas Warkah]),"")</f>
        <v>David</v>
      </c>
      <c r="G4307" s="39" t="str">
        <f t="array" ref="G4307">IFNA(_xlfn.XLOOKUP(D4307,Table_Tarikan_Warkah[Nomor Tiket],Table_Tarikan_Warkah[Jenis Permohonan]),"")</f>
        <v>BN Jual Beli	</v>
      </c>
      <c r="H4307" s="41" t="s">
        <v>2315</v>
      </c>
      <c r="I4307" s="49" t="s">
        <v>23</v>
      </c>
      <c r="J4307" s="36">
        <f t="shared" si="20"/>
        <v>45965.46564</v>
      </c>
      <c r="K4307" s="69"/>
      <c r="L4307" s="49"/>
      <c r="M4307" s="36" t="str">
        <f t="shared" si="33"/>
        <v/>
      </c>
      <c r="N4307" s="30" t="str">
        <f t="shared" si="34"/>
        <v>BT atau SU Belum Valid</v>
      </c>
      <c r="O4307" s="39" t="str">
        <f t="shared" si="23"/>
        <v/>
      </c>
      <c r="P4307" s="47" t="b">
        <v>0</v>
      </c>
      <c r="Q4307" s="36" t="str">
        <f t="shared" si="35"/>
        <v/>
      </c>
      <c r="R4307" s="47" t="b">
        <v>0</v>
      </c>
      <c r="S4307" s="42" t="str">
        <f t="shared" si="28"/>
        <v/>
      </c>
      <c r="T4307" s="42"/>
    </row>
    <row r="4308" ht="22.5" customHeight="1">
      <c r="B4308" s="42">
        <f t="shared" si="7"/>
        <v>4302</v>
      </c>
      <c r="C4308" s="31" t="s">
        <v>4337</v>
      </c>
      <c r="D4308" s="34" t="str">
        <f t="array" ref="D4308">IFNA(_xlfn.XLOOKUP(C4308,Table_Tarikan_Warkah[Nomor Sertipikat],Table_Tarikan_Warkah[Nomor Tiket]),"")</f>
        <v>L/21/290925/1</v>
      </c>
      <c r="E4308" s="36" t="str">
        <f t="array" ref="E4308">IFNA(_xlfn.XLOOKUP(D4308,Table_Tarikan_Warkah[Nomor Tiket],Table_Tarikan_Warkah[Tanggal diserahkan kepada Validator]),"")</f>
        <v/>
      </c>
      <c r="F4308" s="36" t="str">
        <f t="array" ref="F4308">IFNA(_xlfn.XLOOKUP(D4308,Table_Tarikan_Warkah[Nomor Tiket],Table_Tarikan_Warkah[Nama Petugas Warkah]),"")</f>
        <v/>
      </c>
      <c r="G4308" s="39" t="str">
        <f t="array" ref="G4308">IFNA(_xlfn.XLOOKUP(D4308,Table_Tarikan_Warkah[Nomor Tiket],Table_Tarikan_Warkah[Jenis Permohonan]),"")</f>
        <v>PTPGT TANAH MENTAH</v>
      </c>
      <c r="H4308" s="41" t="s">
        <v>2315</v>
      </c>
      <c r="I4308" s="49" t="s">
        <v>23</v>
      </c>
      <c r="J4308" s="36">
        <f t="shared" si="20"/>
        <v>45965.46579</v>
      </c>
      <c r="K4308" s="69"/>
      <c r="L4308" s="49"/>
      <c r="M4308" s="36" t="str">
        <f t="shared" si="33"/>
        <v/>
      </c>
      <c r="N4308" s="30" t="str">
        <f t="shared" si="34"/>
        <v>BT atau SU Belum Valid</v>
      </c>
      <c r="O4308" s="39" t="str">
        <f t="shared" si="23"/>
        <v/>
      </c>
      <c r="P4308" s="47" t="b">
        <v>0</v>
      </c>
      <c r="Q4308" s="36" t="str">
        <f t="shared" si="35"/>
        <v/>
      </c>
      <c r="R4308" s="47" t="b">
        <v>0</v>
      </c>
      <c r="S4308" s="42" t="str">
        <f t="shared" si="28"/>
        <v/>
      </c>
      <c r="T4308" s="42"/>
    </row>
    <row r="4309" ht="22.5" customHeight="1">
      <c r="B4309" s="42">
        <f t="shared" si="7"/>
        <v>4303</v>
      </c>
      <c r="C4309" s="31" t="s">
        <v>4338</v>
      </c>
      <c r="D4309" s="34" t="str">
        <f t="array" ref="D4309">IFNA(_xlfn.XLOOKUP(C4309,Table_Tarikan_Warkah[Nomor Sertipikat],Table_Tarikan_Warkah[Nomor Tiket]),"")</f>
        <v>L/14/211025/1</v>
      </c>
      <c r="E4309" s="36" t="str">
        <f t="array" ref="E4309">IFNA(_xlfn.XLOOKUP(D4309,Table_Tarikan_Warkah[Nomor Tiket],Table_Tarikan_Warkah[Tanggal diserahkan kepada Validator]),"")</f>
        <v/>
      </c>
      <c r="F4309" s="36" t="str">
        <f t="array" ref="F4309">IFNA(_xlfn.XLOOKUP(D4309,Table_Tarikan_Warkah[Nomor Tiket],Table_Tarikan_Warkah[Nama Petugas Warkah]),"")</f>
        <v/>
      </c>
      <c r="G4309" s="39" t="str">
        <f t="array" ref="G4309">IFNA(_xlfn.XLOOKUP(D4309,Table_Tarikan_Warkah[Nomor Tiket],Table_Tarikan_Warkah[Jenis Permohonan]),"")</f>
        <v>ROYA</v>
      </c>
      <c r="H4309" s="41" t="s">
        <v>2315</v>
      </c>
      <c r="I4309" s="49" t="s">
        <v>23</v>
      </c>
      <c r="J4309" s="36">
        <f t="shared" si="20"/>
        <v>45965.46607</v>
      </c>
      <c r="K4309" s="69"/>
      <c r="L4309" s="49"/>
      <c r="M4309" s="36" t="str">
        <f t="shared" si="33"/>
        <v/>
      </c>
      <c r="N4309" s="30" t="str">
        <f t="shared" si="34"/>
        <v>BT atau SU Belum Valid</v>
      </c>
      <c r="O4309" s="39" t="str">
        <f t="shared" si="23"/>
        <v/>
      </c>
      <c r="P4309" s="47" t="b">
        <v>0</v>
      </c>
      <c r="Q4309" s="36" t="str">
        <f t="shared" si="35"/>
        <v/>
      </c>
      <c r="R4309" s="47" t="b">
        <v>0</v>
      </c>
      <c r="S4309" s="42" t="str">
        <f t="shared" si="28"/>
        <v/>
      </c>
      <c r="T4309" s="42"/>
    </row>
    <row r="4310" ht="22.5" customHeight="1">
      <c r="B4310" s="42">
        <f t="shared" si="7"/>
        <v>4304</v>
      </c>
      <c r="C4310" s="31" t="s">
        <v>4339</v>
      </c>
      <c r="D4310" s="34" t="str">
        <f t="array" ref="D4310">IFNA(_xlfn.XLOOKUP(C4310,Table_Tarikan_Warkah[Nomor Sertipikat],Table_Tarikan_Warkah[Nomor Tiket]),"")</f>
        <v/>
      </c>
      <c r="E4310" s="36" t="str">
        <f t="array" ref="E4310">IFNA(_xlfn.XLOOKUP(D4310,Table_Tarikan_Warkah[Nomor Tiket],Table_Tarikan_Warkah[Tanggal diserahkan kepada Validator]),"")</f>
        <v/>
      </c>
      <c r="F4310" s="36" t="str">
        <f t="array" ref="F4310">IFNA(_xlfn.XLOOKUP(D4310,Table_Tarikan_Warkah[Nomor Tiket],Table_Tarikan_Warkah[Nama Petugas Warkah]),"")</f>
        <v/>
      </c>
      <c r="G4310" s="39" t="str">
        <f t="array" ref="G4310">IFNA(_xlfn.XLOOKUP(D4310,Table_Tarikan_Warkah[Nomor Tiket],Table_Tarikan_Warkah[Jenis Permohonan]),"")</f>
        <v/>
      </c>
      <c r="H4310" s="41" t="s">
        <v>2315</v>
      </c>
      <c r="I4310" s="49" t="s">
        <v>23</v>
      </c>
      <c r="J4310" s="36">
        <f t="shared" si="20"/>
        <v>45965.46667</v>
      </c>
      <c r="K4310" s="69"/>
      <c r="L4310" s="49"/>
      <c r="M4310" s="36" t="str">
        <f t="shared" si="33"/>
        <v/>
      </c>
      <c r="N4310" s="30" t="str">
        <f t="shared" si="34"/>
        <v/>
      </c>
      <c r="O4310" s="39" t="str">
        <f t="shared" si="23"/>
        <v/>
      </c>
      <c r="P4310" s="47" t="b">
        <v>0</v>
      </c>
      <c r="Q4310" s="36" t="str">
        <f t="shared" si="35"/>
        <v/>
      </c>
      <c r="R4310" s="47" t="b">
        <v>0</v>
      </c>
      <c r="S4310" s="42" t="str">
        <f t="shared" si="28"/>
        <v/>
      </c>
      <c r="T4310" s="42"/>
    </row>
    <row r="4311" ht="22.5" customHeight="1">
      <c r="B4311" s="42">
        <f t="shared" si="7"/>
        <v>4305</v>
      </c>
      <c r="C4311" s="31" t="s">
        <v>4340</v>
      </c>
      <c r="D4311" s="34" t="str">
        <f t="array" ref="D4311">IFNA(_xlfn.XLOOKUP(C4311,Table_Tarikan_Warkah[Nomor Sertipikat],Table_Tarikan_Warkah[Nomor Tiket]),"")</f>
        <v>L/11/131025/1</v>
      </c>
      <c r="E4311" s="36" t="str">
        <f t="array" ref="E4311">IFNA(_xlfn.XLOOKUP(D4311,Table_Tarikan_Warkah[Nomor Tiket],Table_Tarikan_Warkah[Tanggal diserahkan kepada Validator]),"")</f>
        <v/>
      </c>
      <c r="F4311" s="36" t="str">
        <f t="array" ref="F4311">IFNA(_xlfn.XLOOKUP(D4311,Table_Tarikan_Warkah[Nomor Tiket],Table_Tarikan_Warkah[Nama Petugas Warkah]),"")</f>
        <v/>
      </c>
      <c r="G4311" s="39" t="str">
        <f t="array" ref="G4311">IFNA(_xlfn.XLOOKUP(D4311,Table_Tarikan_Warkah[Nomor Tiket],Table_Tarikan_Warkah[Jenis Permohonan]),"")</f>
        <v>ROYA</v>
      </c>
      <c r="H4311" s="41" t="s">
        <v>2315</v>
      </c>
      <c r="I4311" s="49" t="s">
        <v>23</v>
      </c>
      <c r="J4311" s="36">
        <f t="shared" si="20"/>
        <v>45965.46701</v>
      </c>
      <c r="K4311" s="69"/>
      <c r="L4311" s="49"/>
      <c r="M4311" s="36" t="str">
        <f t="shared" si="33"/>
        <v/>
      </c>
      <c r="N4311" s="30" t="str">
        <f t="shared" si="34"/>
        <v>BT atau SU Belum Valid</v>
      </c>
      <c r="O4311" s="39" t="str">
        <f t="shared" si="23"/>
        <v/>
      </c>
      <c r="P4311" s="47" t="b">
        <v>0</v>
      </c>
      <c r="Q4311" s="36" t="str">
        <f t="shared" si="35"/>
        <v/>
      </c>
      <c r="R4311" s="47" t="b">
        <v>0</v>
      </c>
      <c r="S4311" s="42" t="str">
        <f t="shared" si="28"/>
        <v/>
      </c>
      <c r="T4311" s="42"/>
    </row>
    <row r="4312" ht="22.5" customHeight="1">
      <c r="B4312" s="42">
        <f t="shared" si="7"/>
        <v>4306</v>
      </c>
      <c r="C4312" s="31" t="s">
        <v>4341</v>
      </c>
      <c r="D4312" s="34" t="str">
        <f t="array" ref="D4312">IFNA(_xlfn.XLOOKUP(C4312,Table_Tarikan_Warkah[Nomor Sertipikat],Table_Tarikan_Warkah[Nomor Tiket]),"")</f>
        <v>L/10/131025/1</v>
      </c>
      <c r="E4312" s="36" t="str">
        <f t="array" ref="E4312">IFNA(_xlfn.XLOOKUP(D4312,Table_Tarikan_Warkah[Nomor Tiket],Table_Tarikan_Warkah[Tanggal diserahkan kepada Validator]),"")</f>
        <v/>
      </c>
      <c r="F4312" s="36" t="str">
        <f t="array" ref="F4312">IFNA(_xlfn.XLOOKUP(D4312,Table_Tarikan_Warkah[Nomor Tiket],Table_Tarikan_Warkah[Nama Petugas Warkah]),"")</f>
        <v/>
      </c>
      <c r="G4312" s="39" t="str">
        <f t="array" ref="G4312">IFNA(_xlfn.XLOOKUP(D4312,Table_Tarikan_Warkah[Nomor Tiket],Table_Tarikan_Warkah[Jenis Permohonan]),"")</f>
        <v>ROYA</v>
      </c>
      <c r="H4312" s="41" t="s">
        <v>2315</v>
      </c>
      <c r="I4312" s="49" t="s">
        <v>23</v>
      </c>
      <c r="J4312" s="36">
        <f t="shared" si="20"/>
        <v>45965.46744</v>
      </c>
      <c r="K4312" s="69"/>
      <c r="L4312" s="49"/>
      <c r="M4312" s="36" t="str">
        <f t="shared" si="33"/>
        <v/>
      </c>
      <c r="N4312" s="30" t="str">
        <f t="shared" si="34"/>
        <v>BT atau SU Belum Valid</v>
      </c>
      <c r="O4312" s="39" t="str">
        <f t="shared" si="23"/>
        <v/>
      </c>
      <c r="P4312" s="47" t="b">
        <v>0</v>
      </c>
      <c r="Q4312" s="36" t="str">
        <f t="shared" si="35"/>
        <v/>
      </c>
      <c r="R4312" s="47" t="b">
        <v>0</v>
      </c>
      <c r="S4312" s="42" t="str">
        <f t="shared" si="28"/>
        <v/>
      </c>
      <c r="T4312" s="42"/>
    </row>
    <row r="4313" ht="22.5" customHeight="1">
      <c r="B4313" s="42">
        <f t="shared" si="7"/>
        <v>4307</v>
      </c>
      <c r="C4313" s="31" t="s">
        <v>4342</v>
      </c>
      <c r="D4313" s="34" t="str">
        <f t="array" ref="D4313">IFNA(_xlfn.XLOOKUP(C4313,Table_Tarikan_Warkah[Nomor Sertipikat],Table_Tarikan_Warkah[Nomor Tiket]),"")</f>
        <v>L/3/131025/1</v>
      </c>
      <c r="E4313" s="36" t="str">
        <f t="array" ref="E4313">IFNA(_xlfn.XLOOKUP(D4313,Table_Tarikan_Warkah[Nomor Tiket],Table_Tarikan_Warkah[Tanggal diserahkan kepada Validator]),"")</f>
        <v/>
      </c>
      <c r="F4313" s="36" t="str">
        <f t="array" ref="F4313">IFNA(_xlfn.XLOOKUP(D4313,Table_Tarikan_Warkah[Nomor Tiket],Table_Tarikan_Warkah[Nama Petugas Warkah]),"")</f>
        <v/>
      </c>
      <c r="G4313" s="39" t="str">
        <f t="array" ref="G4313">IFNA(_xlfn.XLOOKUP(D4313,Table_Tarikan_Warkah[Nomor Tiket],Table_Tarikan_Warkah[Jenis Permohonan]),"")</f>
        <v>ROYA</v>
      </c>
      <c r="H4313" s="41" t="s">
        <v>2315</v>
      </c>
      <c r="I4313" s="49" t="s">
        <v>23</v>
      </c>
      <c r="J4313" s="36">
        <f t="shared" si="20"/>
        <v>45965.4677</v>
      </c>
      <c r="K4313" s="69"/>
      <c r="L4313" s="49"/>
      <c r="M4313" s="36" t="str">
        <f t="shared" si="33"/>
        <v/>
      </c>
      <c r="N4313" s="30" t="str">
        <f t="shared" si="34"/>
        <v>BT atau SU Belum Valid</v>
      </c>
      <c r="O4313" s="39" t="str">
        <f t="shared" si="23"/>
        <v/>
      </c>
      <c r="P4313" s="47" t="b">
        <v>0</v>
      </c>
      <c r="Q4313" s="36" t="str">
        <f t="shared" si="35"/>
        <v/>
      </c>
      <c r="R4313" s="47" t="b">
        <v>0</v>
      </c>
      <c r="S4313" s="42" t="str">
        <f t="shared" si="28"/>
        <v/>
      </c>
      <c r="T4313" s="42"/>
    </row>
    <row r="4314" ht="22.5" customHeight="1">
      <c r="B4314" s="42">
        <f t="shared" si="7"/>
        <v>4308</v>
      </c>
      <c r="C4314" s="31" t="s">
        <v>4343</v>
      </c>
      <c r="D4314" s="34" t="str">
        <f t="array" ref="D4314">IFNA(_xlfn.XLOOKUP(C4314,Table_Tarikan_Warkah[Nomor Sertipikat],Table_Tarikan_Warkah[Nomor Tiket]),"")</f>
        <v>K/23/110925/2</v>
      </c>
      <c r="E4314" s="36" t="str">
        <f t="array" ref="E4314">IFNA(_xlfn.XLOOKUP(D4314,Table_Tarikan_Warkah[Nomor Tiket],Table_Tarikan_Warkah[Tanggal diserahkan kepada Validator]),"")</f>
        <v/>
      </c>
      <c r="F4314" s="36" t="str">
        <f t="array" ref="F4314">IFNA(_xlfn.XLOOKUP(D4314,Table_Tarikan_Warkah[Nomor Tiket],Table_Tarikan_Warkah[Nama Petugas Warkah]),"")</f>
        <v/>
      </c>
      <c r="G4314" s="39" t="str">
        <f t="array" ref="G4314">IFNA(_xlfn.XLOOKUP(D4314,Table_Tarikan_Warkah[Nomor Tiket],Table_Tarikan_Warkah[Jenis Permohonan]),"")</f>
        <v>BN JUAL BELI</v>
      </c>
      <c r="H4314" s="41" t="s">
        <v>920</v>
      </c>
      <c r="I4314" s="49" t="s">
        <v>23</v>
      </c>
      <c r="J4314" s="36">
        <f t="shared" si="20"/>
        <v>45965.67288</v>
      </c>
      <c r="K4314" s="49" t="s">
        <v>920</v>
      </c>
      <c r="L4314" s="49" t="s">
        <v>23</v>
      </c>
      <c r="M4314" s="36">
        <f t="shared" si="33"/>
        <v>45965.673</v>
      </c>
      <c r="N4314" s="30" t="str">
        <f t="shared" si="34"/>
        <v>Selesai</v>
      </c>
      <c r="O4314" s="45">
        <f t="shared" si="23"/>
        <v>45965.673</v>
      </c>
      <c r="P4314" s="47" t="b">
        <v>1</v>
      </c>
      <c r="Q4314" s="36">
        <f t="shared" si="35"/>
        <v>45965.67306</v>
      </c>
      <c r="R4314" s="47" t="b">
        <v>0</v>
      </c>
      <c r="S4314" s="42" t="str">
        <f t="shared" si="28"/>
        <v/>
      </c>
      <c r="T4314" s="42"/>
    </row>
    <row r="4315" ht="22.5" customHeight="1">
      <c r="B4315" s="42">
        <f t="shared" si="7"/>
        <v>4309</v>
      </c>
      <c r="C4315" s="31" t="s">
        <v>4344</v>
      </c>
      <c r="D4315" s="34" t="str">
        <f t="array" ref="D4315">IFNA(_xlfn.XLOOKUP(C4315,Table_Tarikan_Warkah[Nomor Sertipikat],Table_Tarikan_Warkah[Nomor Tiket]),"")</f>
        <v>K/22/071025/2	</v>
      </c>
      <c r="E4315" s="36" t="str">
        <f t="array" ref="E4315">IFNA(_xlfn.XLOOKUP(D4315,Table_Tarikan_Warkah[Nomor Tiket],Table_Tarikan_Warkah[Tanggal diserahkan kepada Validator]),"")</f>
        <v/>
      </c>
      <c r="F4315" s="36" t="str">
        <f t="array" ref="F4315">IFNA(_xlfn.XLOOKUP(D4315,Table_Tarikan_Warkah[Nomor Tiket],Table_Tarikan_Warkah[Nama Petugas Warkah]),"")</f>
        <v/>
      </c>
      <c r="G4315" s="39" t="str">
        <f t="array" ref="G4315">IFNA(_xlfn.XLOOKUP(D4315,Table_Tarikan_Warkah[Nomor Tiket],Table_Tarikan_Warkah[Jenis Permohonan]),"")</f>
        <v>BN Jual Beli	</v>
      </c>
      <c r="H4315" s="41" t="s">
        <v>920</v>
      </c>
      <c r="I4315" s="49" t="s">
        <v>23</v>
      </c>
      <c r="J4315" s="36">
        <f t="shared" si="20"/>
        <v>45965.67319</v>
      </c>
      <c r="K4315" s="49" t="s">
        <v>920</v>
      </c>
      <c r="L4315" s="49" t="s">
        <v>23</v>
      </c>
      <c r="M4315" s="36">
        <f t="shared" si="33"/>
        <v>45965.67323</v>
      </c>
      <c r="N4315" s="30" t="str">
        <f t="shared" si="34"/>
        <v>Selesai</v>
      </c>
      <c r="O4315" s="45">
        <f t="shared" si="23"/>
        <v>45965.67323</v>
      </c>
      <c r="P4315" s="47" t="b">
        <v>1</v>
      </c>
      <c r="Q4315" s="36">
        <f t="shared" si="35"/>
        <v>45965.67329</v>
      </c>
      <c r="R4315" s="47" t="b">
        <v>0</v>
      </c>
      <c r="S4315" s="42" t="str">
        <f t="shared" si="28"/>
        <v/>
      </c>
      <c r="T4315" s="42"/>
    </row>
    <row r="4316" ht="22.5" customHeight="1">
      <c r="B4316" s="42">
        <f t="shared" si="7"/>
        <v>4310</v>
      </c>
      <c r="C4316" s="31" t="s">
        <v>4345</v>
      </c>
      <c r="D4316" s="34" t="str">
        <f t="array" ref="D4316">IFNA(_xlfn.XLOOKUP(C4316,Table_Tarikan_Warkah[Nomor Sertipikat],Table_Tarikan_Warkah[Nomor Tiket]),"")</f>
        <v>K/21/031025/1</v>
      </c>
      <c r="E4316" s="36" t="str">
        <f t="array" ref="E4316">IFNA(_xlfn.XLOOKUP(D4316,Table_Tarikan_Warkah[Nomor Tiket],Table_Tarikan_Warkah[Tanggal diserahkan kepada Validator]),"")</f>
        <v/>
      </c>
      <c r="F4316" s="36" t="str">
        <f t="array" ref="F4316">IFNA(_xlfn.XLOOKUP(D4316,Table_Tarikan_Warkah[Nomor Tiket],Table_Tarikan_Warkah[Nama Petugas Warkah]),"")</f>
        <v/>
      </c>
      <c r="G4316" s="39" t="str">
        <f t="array" ref="G4316">IFNA(_xlfn.XLOOKUP(D4316,Table_Tarikan_Warkah[Nomor Tiket],Table_Tarikan_Warkah[Jenis Permohonan]),"")</f>
        <v>BN Jual Beli	</v>
      </c>
      <c r="H4316" s="41" t="s">
        <v>920</v>
      </c>
      <c r="I4316" s="49" t="s">
        <v>23</v>
      </c>
      <c r="J4316" s="36">
        <f t="shared" si="20"/>
        <v>45965.67343</v>
      </c>
      <c r="K4316" s="49" t="s">
        <v>920</v>
      </c>
      <c r="L4316" s="49" t="s">
        <v>23</v>
      </c>
      <c r="M4316" s="36">
        <f t="shared" si="33"/>
        <v>45965.67347</v>
      </c>
      <c r="N4316" s="30" t="str">
        <f t="shared" si="34"/>
        <v>Selesai</v>
      </c>
      <c r="O4316" s="45">
        <f t="shared" si="23"/>
        <v>45965.67347</v>
      </c>
      <c r="P4316" s="47" t="b">
        <v>1</v>
      </c>
      <c r="Q4316" s="36">
        <f t="shared" si="35"/>
        <v>45965.67351</v>
      </c>
      <c r="R4316" s="47" t="b">
        <v>0</v>
      </c>
      <c r="S4316" s="42" t="str">
        <f t="shared" si="28"/>
        <v/>
      </c>
      <c r="T4316" s="42"/>
    </row>
    <row r="4317" ht="22.5" customHeight="1">
      <c r="B4317" s="42">
        <f t="shared" si="7"/>
        <v>4311</v>
      </c>
      <c r="C4317" s="31" t="s">
        <v>4346</v>
      </c>
      <c r="D4317" s="34" t="str">
        <f t="array" ref="D4317">IFNA(_xlfn.XLOOKUP(C4317,Table_Tarikan_Warkah[Nomor Sertipikat],Table_Tarikan_Warkah[Nomor Tiket]),"")</f>
        <v>K/18/021025/1</v>
      </c>
      <c r="E4317" s="36" t="str">
        <f t="array" ref="E4317">IFNA(_xlfn.XLOOKUP(D4317,Table_Tarikan_Warkah[Nomor Tiket],Table_Tarikan_Warkah[Tanggal diserahkan kepada Validator]),"")</f>
        <v/>
      </c>
      <c r="F4317" s="36" t="str">
        <f t="array" ref="F4317">IFNA(_xlfn.XLOOKUP(D4317,Table_Tarikan_Warkah[Nomor Tiket],Table_Tarikan_Warkah[Nama Petugas Warkah]),"")</f>
        <v/>
      </c>
      <c r="G4317" s="39" t="str">
        <f t="array" ref="G4317">IFNA(_xlfn.XLOOKUP(D4317,Table_Tarikan_Warkah[Nomor Tiket],Table_Tarikan_Warkah[Jenis Permohonan]),"")</f>
        <v>BN Jual Beli	</v>
      </c>
      <c r="H4317" s="41" t="s">
        <v>920</v>
      </c>
      <c r="I4317" s="49" t="s">
        <v>23</v>
      </c>
      <c r="J4317" s="36">
        <f t="shared" si="20"/>
        <v>45965.67369</v>
      </c>
      <c r="K4317" s="49" t="s">
        <v>920</v>
      </c>
      <c r="L4317" s="49" t="s">
        <v>23</v>
      </c>
      <c r="M4317" s="36">
        <f t="shared" si="33"/>
        <v>45965.67373</v>
      </c>
      <c r="N4317" s="30" t="str">
        <f t="shared" si="34"/>
        <v>Selesai</v>
      </c>
      <c r="O4317" s="45">
        <f t="shared" si="23"/>
        <v>45965.67373</v>
      </c>
      <c r="P4317" s="47" t="b">
        <v>1</v>
      </c>
      <c r="Q4317" s="36">
        <f t="shared" si="35"/>
        <v>45965.67376</v>
      </c>
      <c r="R4317" s="47" t="b">
        <v>0</v>
      </c>
      <c r="S4317" s="42" t="str">
        <f t="shared" si="28"/>
        <v/>
      </c>
      <c r="T4317" s="42"/>
    </row>
    <row r="4318" ht="22.5" customHeight="1">
      <c r="B4318" s="42">
        <f t="shared" si="7"/>
        <v>4312</v>
      </c>
      <c r="C4318" s="31" t="s">
        <v>4347</v>
      </c>
      <c r="D4318" s="34" t="str">
        <f t="array" ref="D4318">IFNA(_xlfn.XLOOKUP(C4318,Table_Tarikan_Warkah[Nomor Sertipikat],Table_Tarikan_Warkah[Nomor Tiket]),"")</f>
        <v>K/28/300925/1</v>
      </c>
      <c r="E4318" s="36" t="str">
        <f t="array" ref="E4318">IFNA(_xlfn.XLOOKUP(D4318,Table_Tarikan_Warkah[Nomor Tiket],Table_Tarikan_Warkah[Tanggal diserahkan kepada Validator]),"")</f>
        <v/>
      </c>
      <c r="F4318" s="36" t="str">
        <f t="array" ref="F4318">IFNA(_xlfn.XLOOKUP(D4318,Table_Tarikan_Warkah[Nomor Tiket],Table_Tarikan_Warkah[Nama Petugas Warkah]),"")</f>
        <v/>
      </c>
      <c r="G4318" s="39" t="str">
        <f t="array" ref="G4318">IFNA(_xlfn.XLOOKUP(D4318,Table_Tarikan_Warkah[Nomor Tiket],Table_Tarikan_Warkah[Jenis Permohonan]),"")</f>
        <v>BN Jual Beli	</v>
      </c>
      <c r="H4318" s="41" t="s">
        <v>920</v>
      </c>
      <c r="I4318" s="49" t="s">
        <v>23</v>
      </c>
      <c r="J4318" s="36">
        <f t="shared" si="20"/>
        <v>45965.67389</v>
      </c>
      <c r="K4318" s="49" t="s">
        <v>920</v>
      </c>
      <c r="L4318" s="49" t="s">
        <v>23</v>
      </c>
      <c r="M4318" s="36">
        <f t="shared" si="33"/>
        <v>45965.67393</v>
      </c>
      <c r="N4318" s="30" t="str">
        <f t="shared" si="34"/>
        <v>Selesai</v>
      </c>
      <c r="O4318" s="45">
        <f t="shared" si="23"/>
        <v>45965.67393</v>
      </c>
      <c r="P4318" s="47" t="b">
        <v>1</v>
      </c>
      <c r="Q4318" s="36">
        <f t="shared" si="35"/>
        <v>45965.67396</v>
      </c>
      <c r="R4318" s="47" t="b">
        <v>0</v>
      </c>
      <c r="S4318" s="42" t="str">
        <f t="shared" si="28"/>
        <v/>
      </c>
      <c r="T4318" s="42"/>
    </row>
    <row r="4319" ht="22.5" customHeight="1">
      <c r="B4319" s="42">
        <f t="shared" si="7"/>
        <v>4313</v>
      </c>
      <c r="C4319" s="31" t="s">
        <v>4348</v>
      </c>
      <c r="D4319" s="34" t="str">
        <f t="array" ref="D4319">IFNA(_xlfn.XLOOKUP(C4319,Table_Tarikan_Warkah[Nomor Sertipikat],Table_Tarikan_Warkah[Nomor Tiket]),"")</f>
        <v>K/40/090925/1</v>
      </c>
      <c r="E4319" s="36" t="str">
        <f t="array" ref="E4319">IFNA(_xlfn.XLOOKUP(D4319,Table_Tarikan_Warkah[Nomor Tiket],Table_Tarikan_Warkah[Tanggal diserahkan kepada Validator]),"")</f>
        <v/>
      </c>
      <c r="F4319" s="36" t="str">
        <f t="array" ref="F4319">IFNA(_xlfn.XLOOKUP(D4319,Table_Tarikan_Warkah[Nomor Tiket],Table_Tarikan_Warkah[Nama Petugas Warkah]),"")</f>
        <v/>
      </c>
      <c r="G4319" s="39" t="str">
        <f t="array" ref="G4319">IFNA(_xlfn.XLOOKUP(D4319,Table_Tarikan_Warkah[Nomor Tiket],Table_Tarikan_Warkah[Jenis Permohonan]),"")</f>
        <v>BN Jual Beli	</v>
      </c>
      <c r="H4319" s="41" t="s">
        <v>920</v>
      </c>
      <c r="I4319" s="49" t="s">
        <v>23</v>
      </c>
      <c r="J4319" s="36">
        <f t="shared" si="20"/>
        <v>45965.6742</v>
      </c>
      <c r="K4319" s="49" t="s">
        <v>920</v>
      </c>
      <c r="L4319" s="49" t="s">
        <v>23</v>
      </c>
      <c r="M4319" s="36">
        <f t="shared" si="33"/>
        <v>45965.6742</v>
      </c>
      <c r="N4319" s="30" t="str">
        <f t="shared" si="34"/>
        <v>Selesai</v>
      </c>
      <c r="O4319" s="45">
        <f t="shared" si="23"/>
        <v>45965.6742</v>
      </c>
      <c r="P4319" s="47" t="b">
        <v>1</v>
      </c>
      <c r="Q4319" s="36">
        <f t="shared" si="35"/>
        <v>45965.6742</v>
      </c>
      <c r="R4319" s="47" t="b">
        <v>0</v>
      </c>
      <c r="S4319" s="42" t="str">
        <f t="shared" si="28"/>
        <v/>
      </c>
      <c r="T4319" s="42"/>
    </row>
    <row r="4320" ht="22.5" customHeight="1">
      <c r="B4320" s="42">
        <f t="shared" si="7"/>
        <v>4314</v>
      </c>
      <c r="C4320" s="31" t="s">
        <v>4349</v>
      </c>
      <c r="D4320" s="34" t="str">
        <f t="array" ref="D4320">IFNA(_xlfn.XLOOKUP(C4320,Table_Tarikan_Warkah[Nomor Sertipikat],Table_Tarikan_Warkah[Nomor Tiket]),"")</f>
        <v>K/30/090925/1</v>
      </c>
      <c r="E4320" s="36">
        <f t="array" ref="E4320">IFNA(_xlfn.XLOOKUP(D4320,Table_Tarikan_Warkah[Nomor Tiket],Table_Tarikan_Warkah[Tanggal diserahkan kepada Validator]),"")</f>
        <v>45996.58963</v>
      </c>
      <c r="F4320" s="36" t="str">
        <f t="array" ref="F4320">IFNA(_xlfn.XLOOKUP(D4320,Table_Tarikan_Warkah[Nomor Tiket],Table_Tarikan_Warkah[Nama Petugas Warkah]),"")</f>
        <v>Berry</v>
      </c>
      <c r="G4320" s="39" t="str">
        <f t="array" ref="G4320">IFNA(_xlfn.XLOOKUP(D4320,Table_Tarikan_Warkah[Nomor Tiket],Table_Tarikan_Warkah[Jenis Permohonan]),"")</f>
        <v>BN Jual Beli	</v>
      </c>
      <c r="H4320" s="41" t="s">
        <v>920</v>
      </c>
      <c r="I4320" s="49" t="s">
        <v>23</v>
      </c>
      <c r="J4320" s="36">
        <f t="shared" si="20"/>
        <v>45965.67432</v>
      </c>
      <c r="K4320" s="49" t="s">
        <v>920</v>
      </c>
      <c r="L4320" s="49" t="s">
        <v>23</v>
      </c>
      <c r="M4320" s="36">
        <f t="shared" si="33"/>
        <v>45965.67435</v>
      </c>
      <c r="N4320" s="30" t="str">
        <f t="shared" si="34"/>
        <v>Selesai</v>
      </c>
      <c r="O4320" s="45">
        <f t="shared" si="23"/>
        <v>45965.67435</v>
      </c>
      <c r="P4320" s="47" t="b">
        <v>1</v>
      </c>
      <c r="Q4320" s="36">
        <f t="shared" si="35"/>
        <v>45965.67437</v>
      </c>
      <c r="R4320" s="47" t="b">
        <v>0</v>
      </c>
      <c r="S4320" s="42" t="str">
        <f t="shared" si="28"/>
        <v/>
      </c>
      <c r="T4320" s="42"/>
    </row>
    <row r="4321" ht="22.5" customHeight="1">
      <c r="B4321" s="42">
        <f t="shared" si="7"/>
        <v>4315</v>
      </c>
      <c r="C4321" s="31" t="s">
        <v>4350</v>
      </c>
      <c r="D4321" s="34" t="str">
        <f t="array" ref="D4321">IFNA(_xlfn.XLOOKUP(C4321,Table_Tarikan_Warkah[Nomor Sertipikat],Table_Tarikan_Warkah[Nomor Tiket]),"")</f>
        <v>K/3/190925/2</v>
      </c>
      <c r="E4321" s="36">
        <f t="array" ref="E4321">IFNA(_xlfn.XLOOKUP(D4321,Table_Tarikan_Warkah[Nomor Tiket],Table_Tarikan_Warkah[Tanggal diserahkan kepada Validator]),"")</f>
        <v>45957.61982</v>
      </c>
      <c r="F4321" s="36" t="str">
        <f t="array" ref="F4321">IFNA(_xlfn.XLOOKUP(D4321,Table_Tarikan_Warkah[Nomor Tiket],Table_Tarikan_Warkah[Nama Petugas Warkah]),"")</f>
        <v>David</v>
      </c>
      <c r="G4321" s="39" t="str">
        <f t="array" ref="G4321">IFNA(_xlfn.XLOOKUP(D4321,Table_Tarikan_Warkah[Nomor Tiket],Table_Tarikan_Warkah[Jenis Permohonan]),"")</f>
        <v>BN JUAL BELI</v>
      </c>
      <c r="H4321" s="41" t="s">
        <v>920</v>
      </c>
      <c r="I4321" s="49" t="s">
        <v>23</v>
      </c>
      <c r="J4321" s="36">
        <f t="shared" si="20"/>
        <v>45965.67457</v>
      </c>
      <c r="K4321" s="49" t="s">
        <v>920</v>
      </c>
      <c r="L4321" s="49" t="s">
        <v>23</v>
      </c>
      <c r="M4321" s="36">
        <f t="shared" si="33"/>
        <v>45965.67461</v>
      </c>
      <c r="N4321" s="30" t="str">
        <f t="shared" si="34"/>
        <v>Selesai</v>
      </c>
      <c r="O4321" s="45">
        <f t="shared" si="23"/>
        <v>45965.67461</v>
      </c>
      <c r="P4321" s="47" t="b">
        <v>1</v>
      </c>
      <c r="Q4321" s="36">
        <f t="shared" si="35"/>
        <v>45965.67464</v>
      </c>
      <c r="R4321" s="47" t="b">
        <v>0</v>
      </c>
      <c r="S4321" s="42" t="str">
        <f t="shared" si="28"/>
        <v/>
      </c>
      <c r="T4321" s="42"/>
    </row>
    <row r="4322" ht="22.5" customHeight="1">
      <c r="B4322" s="42">
        <f t="shared" si="7"/>
        <v>4316</v>
      </c>
      <c r="C4322" s="31" t="s">
        <v>4351</v>
      </c>
      <c r="D4322" s="34" t="str">
        <f t="array" ref="D4322">IFNA(_xlfn.XLOOKUP(C4322,Table_Tarikan_Warkah[Nomor Sertipikat],Table_Tarikan_Warkah[Nomor Tiket]),"")</f>
        <v>K/10/270825/3</v>
      </c>
      <c r="E4322" s="36" t="str">
        <f t="array" ref="E4322">IFNA(_xlfn.XLOOKUP(D4322,Table_Tarikan_Warkah[Nomor Tiket],Table_Tarikan_Warkah[Tanggal diserahkan kepada Validator]),"")</f>
        <v/>
      </c>
      <c r="F4322" s="36" t="str">
        <f t="array" ref="F4322">IFNA(_xlfn.XLOOKUP(D4322,Table_Tarikan_Warkah[Nomor Tiket],Table_Tarikan_Warkah[Nama Petugas Warkah]),"")</f>
        <v/>
      </c>
      <c r="G4322" s="39" t="str">
        <f t="array" ref="G4322">IFNA(_xlfn.XLOOKUP(D4322,Table_Tarikan_Warkah[Nomor Tiket],Table_Tarikan_Warkah[Jenis Permohonan]),"")</f>
        <v>BN JUAL BELI</v>
      </c>
      <c r="H4322" s="41" t="s">
        <v>920</v>
      </c>
      <c r="I4322" s="49" t="s">
        <v>23</v>
      </c>
      <c r="J4322" s="36">
        <f t="shared" si="20"/>
        <v>45965.67494</v>
      </c>
      <c r="K4322" s="49" t="s">
        <v>920</v>
      </c>
      <c r="L4322" s="49" t="s">
        <v>23</v>
      </c>
      <c r="M4322" s="36">
        <f t="shared" si="33"/>
        <v>45965.67498</v>
      </c>
      <c r="N4322" s="30" t="str">
        <f t="shared" si="34"/>
        <v>Selesai</v>
      </c>
      <c r="O4322" s="45">
        <f t="shared" si="23"/>
        <v>45965.67498</v>
      </c>
      <c r="P4322" s="47" t="b">
        <v>1</v>
      </c>
      <c r="Q4322" s="36">
        <f t="shared" si="35"/>
        <v>45965.67501</v>
      </c>
      <c r="R4322" s="47" t="b">
        <v>0</v>
      </c>
      <c r="S4322" s="42" t="str">
        <f t="shared" si="28"/>
        <v/>
      </c>
      <c r="T4322" s="42"/>
    </row>
    <row r="4323" ht="22.5" customHeight="1">
      <c r="B4323" s="42">
        <f t="shared" si="7"/>
        <v>4317</v>
      </c>
      <c r="C4323" s="31" t="s">
        <v>4352</v>
      </c>
      <c r="D4323" s="34" t="str">
        <f t="array" ref="D4323">IFNA(_xlfn.XLOOKUP(C4323,Table_Tarikan_Warkah[Nomor Sertipikat],Table_Tarikan_Warkah[Nomor Tiket]),"")</f>
        <v>K/41/230925/3</v>
      </c>
      <c r="E4323" s="36" t="str">
        <f t="array" ref="E4323">IFNA(_xlfn.XLOOKUP(D4323,Table_Tarikan_Warkah[Nomor Tiket],Table_Tarikan_Warkah[Tanggal diserahkan kepada Validator]),"")</f>
        <v/>
      </c>
      <c r="F4323" s="36" t="str">
        <f t="array" ref="F4323">IFNA(_xlfn.XLOOKUP(D4323,Table_Tarikan_Warkah[Nomor Tiket],Table_Tarikan_Warkah[Nama Petugas Warkah]),"")</f>
        <v/>
      </c>
      <c r="G4323" s="39" t="str">
        <f t="array" ref="G4323">IFNA(_xlfn.XLOOKUP(D4323,Table_Tarikan_Warkah[Nomor Tiket],Table_Tarikan_Warkah[Jenis Permohonan]),"")</f>
        <v>BN JUAL BELI</v>
      </c>
      <c r="H4323" s="41" t="s">
        <v>920</v>
      </c>
      <c r="I4323" s="49" t="s">
        <v>23</v>
      </c>
      <c r="J4323" s="36">
        <f t="shared" si="20"/>
        <v>45965.67523</v>
      </c>
      <c r="K4323" s="49" t="s">
        <v>920</v>
      </c>
      <c r="L4323" s="49" t="s">
        <v>23</v>
      </c>
      <c r="M4323" s="36">
        <f t="shared" si="33"/>
        <v>45965.67526</v>
      </c>
      <c r="N4323" s="30" t="str">
        <f t="shared" si="34"/>
        <v>Selesai</v>
      </c>
      <c r="O4323" s="45">
        <f t="shared" si="23"/>
        <v>45965.67526</v>
      </c>
      <c r="P4323" s="47" t="b">
        <v>1</v>
      </c>
      <c r="Q4323" s="36">
        <f t="shared" si="35"/>
        <v>45965.67529</v>
      </c>
      <c r="R4323" s="47" t="b">
        <v>0</v>
      </c>
      <c r="S4323" s="42" t="str">
        <f t="shared" si="28"/>
        <v/>
      </c>
      <c r="T4323" s="42"/>
    </row>
    <row r="4324" ht="22.5" customHeight="1">
      <c r="B4324" s="42">
        <f t="shared" si="7"/>
        <v>4318</v>
      </c>
      <c r="C4324" s="31" t="s">
        <v>4353</v>
      </c>
      <c r="D4324" s="34" t="str">
        <f t="array" ref="D4324">IFNA(_xlfn.XLOOKUP(C4324,Table_Tarikan_Warkah[Nomor Sertipikat],Table_Tarikan_Warkah[Nomor Tiket]),"")</f>
        <v>K/11/061025/1</v>
      </c>
      <c r="E4324" s="36" t="str">
        <f t="array" ref="E4324">IFNA(_xlfn.XLOOKUP(D4324,Table_Tarikan_Warkah[Nomor Tiket],Table_Tarikan_Warkah[Tanggal diserahkan kepada Validator]),"")</f>
        <v/>
      </c>
      <c r="F4324" s="36" t="str">
        <f t="array" ref="F4324">IFNA(_xlfn.XLOOKUP(D4324,Table_Tarikan_Warkah[Nomor Tiket],Table_Tarikan_Warkah[Nama Petugas Warkah]),"")</f>
        <v/>
      </c>
      <c r="G4324" s="39" t="str">
        <f t="array" ref="G4324">IFNA(_xlfn.XLOOKUP(D4324,Table_Tarikan_Warkah[Nomor Tiket],Table_Tarikan_Warkah[Jenis Permohonan]),"")</f>
        <v>BN JUAL BELI</v>
      </c>
      <c r="H4324" s="41" t="s">
        <v>920</v>
      </c>
      <c r="I4324" s="49" t="s">
        <v>23</v>
      </c>
      <c r="J4324" s="36">
        <f t="shared" si="20"/>
        <v>45965.67557</v>
      </c>
      <c r="K4324" s="49" t="s">
        <v>920</v>
      </c>
      <c r="L4324" s="49" t="s">
        <v>23</v>
      </c>
      <c r="M4324" s="36">
        <f t="shared" si="33"/>
        <v>45965.6756</v>
      </c>
      <c r="N4324" s="30" t="str">
        <f t="shared" si="34"/>
        <v>Selesai</v>
      </c>
      <c r="O4324" s="45">
        <f t="shared" si="23"/>
        <v>45965.6756</v>
      </c>
      <c r="P4324" s="47" t="b">
        <v>1</v>
      </c>
      <c r="Q4324" s="36">
        <f t="shared" si="35"/>
        <v>45965.67566</v>
      </c>
      <c r="R4324" s="47" t="b">
        <v>0</v>
      </c>
      <c r="S4324" s="42" t="str">
        <f t="shared" si="28"/>
        <v/>
      </c>
      <c r="T4324" s="42"/>
    </row>
    <row r="4325" ht="22.5" customHeight="1">
      <c r="B4325" s="42">
        <f t="shared" si="7"/>
        <v>4319</v>
      </c>
      <c r="C4325" s="31" t="s">
        <v>4354</v>
      </c>
      <c r="D4325" s="34" t="str">
        <f t="array" ref="D4325">IFNA(_xlfn.XLOOKUP(C4325,Table_Tarikan_Warkah[Nomor Sertipikat],Table_Tarikan_Warkah[Nomor Tiket]),"")</f>
        <v>K/9/220925/1</v>
      </c>
      <c r="E4325" s="36" t="str">
        <f t="array" ref="E4325">IFNA(_xlfn.XLOOKUP(D4325,Table_Tarikan_Warkah[Nomor Tiket],Table_Tarikan_Warkah[Tanggal diserahkan kepada Validator]),"")</f>
        <v/>
      </c>
      <c r="F4325" s="36" t="str">
        <f t="array" ref="F4325">IFNA(_xlfn.XLOOKUP(D4325,Table_Tarikan_Warkah[Nomor Tiket],Table_Tarikan_Warkah[Nama Petugas Warkah]),"")</f>
        <v/>
      </c>
      <c r="G4325" s="39" t="str">
        <f t="array" ref="G4325">IFNA(_xlfn.XLOOKUP(D4325,Table_Tarikan_Warkah[Nomor Tiket],Table_Tarikan_Warkah[Jenis Permohonan]),"")</f>
        <v>BN JUAL BELI</v>
      </c>
      <c r="H4325" s="41" t="s">
        <v>920</v>
      </c>
      <c r="I4325" s="49" t="s">
        <v>23</v>
      </c>
      <c r="J4325" s="36">
        <f t="shared" si="20"/>
        <v>45965.67585</v>
      </c>
      <c r="K4325" s="49" t="s">
        <v>920</v>
      </c>
      <c r="L4325" s="49" t="s">
        <v>23</v>
      </c>
      <c r="M4325" s="36">
        <f t="shared" si="33"/>
        <v>45965.67589</v>
      </c>
      <c r="N4325" s="30" t="str">
        <f t="shared" si="34"/>
        <v>Selesai</v>
      </c>
      <c r="O4325" s="45">
        <f t="shared" si="23"/>
        <v>45965.67589</v>
      </c>
      <c r="P4325" s="47" t="b">
        <v>1</v>
      </c>
      <c r="Q4325" s="36">
        <f t="shared" si="35"/>
        <v>45965.67591</v>
      </c>
      <c r="R4325" s="47" t="b">
        <v>0</v>
      </c>
      <c r="S4325" s="42" t="str">
        <f t="shared" si="28"/>
        <v/>
      </c>
      <c r="T4325" s="42"/>
    </row>
    <row r="4326" ht="22.5" customHeight="1">
      <c r="B4326" s="42">
        <f t="shared" si="7"/>
        <v>4320</v>
      </c>
      <c r="C4326" s="31" t="s">
        <v>4355</v>
      </c>
      <c r="D4326" s="34" t="str">
        <f t="array" ref="D4326">IFNA(_xlfn.XLOOKUP(C4326,Table_Tarikan_Warkah[Nomor Sertipikat],Table_Tarikan_Warkah[Nomor Tiket]),"")</f>
        <v>K/22/061025/1</v>
      </c>
      <c r="E4326" s="36" t="str">
        <f t="array" ref="E4326">IFNA(_xlfn.XLOOKUP(D4326,Table_Tarikan_Warkah[Nomor Tiket],Table_Tarikan_Warkah[Tanggal diserahkan kepada Validator]),"")</f>
        <v/>
      </c>
      <c r="F4326" s="36" t="str">
        <f t="array" ref="F4326">IFNA(_xlfn.XLOOKUP(D4326,Table_Tarikan_Warkah[Nomor Tiket],Table_Tarikan_Warkah[Nama Petugas Warkah]),"")</f>
        <v/>
      </c>
      <c r="G4326" s="39" t="str">
        <f t="array" ref="G4326">IFNA(_xlfn.XLOOKUP(D4326,Table_Tarikan_Warkah[Nomor Tiket],Table_Tarikan_Warkah[Jenis Permohonan]),"")</f>
        <v>BN JUAL BELI</v>
      </c>
      <c r="H4326" s="41" t="s">
        <v>920</v>
      </c>
      <c r="I4326" s="49" t="s">
        <v>23</v>
      </c>
      <c r="J4326" s="36">
        <f t="shared" si="20"/>
        <v>45965.67606</v>
      </c>
      <c r="K4326" s="49" t="s">
        <v>920</v>
      </c>
      <c r="L4326" s="49" t="s">
        <v>23</v>
      </c>
      <c r="M4326" s="36">
        <f t="shared" si="33"/>
        <v>45965.67617</v>
      </c>
      <c r="N4326" s="30" t="str">
        <f t="shared" si="34"/>
        <v>Selesai</v>
      </c>
      <c r="O4326" s="45">
        <f t="shared" si="23"/>
        <v>45965.67617</v>
      </c>
      <c r="P4326" s="47" t="b">
        <v>1</v>
      </c>
      <c r="Q4326" s="36">
        <f t="shared" si="35"/>
        <v>45965.67617</v>
      </c>
      <c r="R4326" s="47" t="b">
        <v>0</v>
      </c>
      <c r="S4326" s="42" t="str">
        <f t="shared" si="28"/>
        <v/>
      </c>
      <c r="T4326" s="42"/>
    </row>
    <row r="4327" ht="22.5" customHeight="1">
      <c r="B4327" s="42">
        <f t="shared" si="7"/>
        <v>4321</v>
      </c>
      <c r="C4327" s="31" t="s">
        <v>4356</v>
      </c>
      <c r="D4327" s="34" t="str">
        <f t="array" ref="D4327">IFNA(_xlfn.XLOOKUP(C4327,Table_Tarikan_Warkah[Nomor Sertipikat],Table_Tarikan_Warkah[Nomor Tiket]),"")</f>
        <v>K/43/270825/2</v>
      </c>
      <c r="E4327" s="36">
        <f t="array" ref="E4327">IFNA(_xlfn.XLOOKUP(D4327,Table_Tarikan_Warkah[Nomor Tiket],Table_Tarikan_Warkah[Tanggal diserahkan kepada Validator]),"")</f>
        <v>45966.64745</v>
      </c>
      <c r="F4327" s="36" t="str">
        <f t="array" ref="F4327">IFNA(_xlfn.XLOOKUP(D4327,Table_Tarikan_Warkah[Nomor Tiket],Table_Tarikan_Warkah[Nama Petugas Warkah]),"")</f>
        <v>Berry</v>
      </c>
      <c r="G4327" s="39" t="str">
        <f t="array" ref="G4327">IFNA(_xlfn.XLOOKUP(D4327,Table_Tarikan_Warkah[Nomor Tiket],Table_Tarikan_Warkah[Jenis Permohonan]),"")</f>
        <v>BN JUAL BELI</v>
      </c>
      <c r="H4327" s="41" t="s">
        <v>920</v>
      </c>
      <c r="I4327" s="49" t="s">
        <v>23</v>
      </c>
      <c r="J4327" s="36">
        <f t="shared" si="20"/>
        <v>45965.67642</v>
      </c>
      <c r="K4327" s="49" t="s">
        <v>920</v>
      </c>
      <c r="L4327" s="49" t="s">
        <v>23</v>
      </c>
      <c r="M4327" s="36">
        <f t="shared" si="33"/>
        <v>45965.67647</v>
      </c>
      <c r="N4327" s="30" t="str">
        <f t="shared" si="34"/>
        <v>Selesai</v>
      </c>
      <c r="O4327" s="45">
        <f t="shared" si="23"/>
        <v>45965.67647</v>
      </c>
      <c r="P4327" s="47" t="b">
        <v>1</v>
      </c>
      <c r="Q4327" s="36">
        <f t="shared" si="35"/>
        <v>45965.6765</v>
      </c>
      <c r="R4327" s="47" t="b">
        <v>0</v>
      </c>
      <c r="S4327" s="42" t="str">
        <f t="shared" si="28"/>
        <v/>
      </c>
      <c r="T4327" s="42"/>
    </row>
    <row r="4328" ht="22.5" customHeight="1">
      <c r="B4328" s="42">
        <f t="shared" si="7"/>
        <v>4322</v>
      </c>
      <c r="C4328" s="31" t="s">
        <v>4357</v>
      </c>
      <c r="D4328" s="34" t="str">
        <f t="array" ref="D4328">IFNA(_xlfn.XLOOKUP(C4328,Table_Tarikan_Warkah[Nomor Sertipikat],Table_Tarikan_Warkah[Nomor Tiket]),"")</f>
        <v>K/4/190925/3</v>
      </c>
      <c r="E4328" s="36" t="str">
        <f t="array" ref="E4328">IFNA(_xlfn.XLOOKUP(D4328,Table_Tarikan_Warkah[Nomor Tiket],Table_Tarikan_Warkah[Tanggal diserahkan kepada Validator]),"")</f>
        <v/>
      </c>
      <c r="F4328" s="36" t="str">
        <f t="array" ref="F4328">IFNA(_xlfn.XLOOKUP(D4328,Table_Tarikan_Warkah[Nomor Tiket],Table_Tarikan_Warkah[Nama Petugas Warkah]),"")</f>
        <v/>
      </c>
      <c r="G4328" s="39" t="str">
        <f t="array" ref="G4328">IFNA(_xlfn.XLOOKUP(D4328,Table_Tarikan_Warkah[Nomor Tiket],Table_Tarikan_Warkah[Jenis Permohonan]),"")</f>
        <v>BN JUAL BELI</v>
      </c>
      <c r="H4328" s="41" t="s">
        <v>920</v>
      </c>
      <c r="I4328" s="49" t="s">
        <v>23</v>
      </c>
      <c r="J4328" s="36">
        <f t="shared" si="20"/>
        <v>45965.67672</v>
      </c>
      <c r="K4328" s="49" t="s">
        <v>920</v>
      </c>
      <c r="L4328" s="49" t="s">
        <v>23</v>
      </c>
      <c r="M4328" s="36">
        <f t="shared" si="33"/>
        <v>45965.67688</v>
      </c>
      <c r="N4328" s="30" t="str">
        <f t="shared" si="34"/>
        <v>Selesai</v>
      </c>
      <c r="O4328" s="45">
        <f t="shared" si="23"/>
        <v>45965.67688</v>
      </c>
      <c r="P4328" s="47" t="b">
        <v>1</v>
      </c>
      <c r="Q4328" s="36">
        <f t="shared" si="35"/>
        <v>45965.6769</v>
      </c>
      <c r="R4328" s="47" t="b">
        <v>0</v>
      </c>
      <c r="S4328" s="42" t="str">
        <f t="shared" si="28"/>
        <v/>
      </c>
      <c r="T4328" s="42"/>
    </row>
    <row r="4329" ht="22.5" customHeight="1">
      <c r="B4329" s="42">
        <f t="shared" si="7"/>
        <v>4323</v>
      </c>
      <c r="C4329" s="31" t="s">
        <v>4358</v>
      </c>
      <c r="D4329" s="34" t="str">
        <f t="array" ref="D4329">IFNA(_xlfn.XLOOKUP(C4329,Table_Tarikan_Warkah[Nomor Sertipikat],Table_Tarikan_Warkah[Nomor Tiket]),"")</f>
        <v>K/35/011025/3</v>
      </c>
      <c r="E4329" s="36">
        <f t="array" ref="E4329">IFNA(_xlfn.XLOOKUP(D4329,Table_Tarikan_Warkah[Nomor Tiket],Table_Tarikan_Warkah[Tanggal diserahkan kepada Validator]),"")</f>
        <v>45993.45904</v>
      </c>
      <c r="F4329" s="36" t="str">
        <f t="array" ref="F4329">IFNA(_xlfn.XLOOKUP(D4329,Table_Tarikan_Warkah[Nomor Tiket],Table_Tarikan_Warkah[Nama Petugas Warkah]),"")</f>
        <v>David</v>
      </c>
      <c r="G4329" s="39" t="str">
        <f t="array" ref="G4329">IFNA(_xlfn.XLOOKUP(D4329,Table_Tarikan_Warkah[Nomor Tiket],Table_Tarikan_Warkah[Jenis Permohonan]),"")</f>
        <v>BN JUAL BELI</v>
      </c>
      <c r="H4329" s="41" t="s">
        <v>920</v>
      </c>
      <c r="I4329" s="49" t="s">
        <v>23</v>
      </c>
      <c r="J4329" s="36">
        <f t="shared" si="20"/>
        <v>45965.67725</v>
      </c>
      <c r="K4329" s="49" t="s">
        <v>920</v>
      </c>
      <c r="L4329" s="49" t="s">
        <v>23</v>
      </c>
      <c r="M4329" s="36">
        <f t="shared" si="33"/>
        <v>45965.67731</v>
      </c>
      <c r="N4329" s="30" t="str">
        <f t="shared" si="34"/>
        <v>Selesai</v>
      </c>
      <c r="O4329" s="45">
        <f t="shared" si="23"/>
        <v>45965.67731</v>
      </c>
      <c r="P4329" s="47" t="b">
        <v>1</v>
      </c>
      <c r="Q4329" s="36">
        <f t="shared" si="35"/>
        <v>45965.67734</v>
      </c>
      <c r="R4329" s="47" t="b">
        <v>0</v>
      </c>
      <c r="S4329" s="42" t="str">
        <f t="shared" si="28"/>
        <v/>
      </c>
      <c r="T4329" s="42"/>
    </row>
    <row r="4330" ht="22.5" customHeight="1">
      <c r="B4330" s="42">
        <f t="shared" si="7"/>
        <v>4324</v>
      </c>
      <c r="C4330" s="31" t="s">
        <v>4359</v>
      </c>
      <c r="D4330" s="34" t="str">
        <f t="array" ref="D4330">IFNA(_xlfn.XLOOKUP(C4330,Table_Tarikan_Warkah[Nomor Sertipikat],Table_Tarikan_Warkah[Nomor Tiket]),"")</f>
        <v>K/32/190925/2</v>
      </c>
      <c r="E4330" s="36" t="str">
        <f t="array" ref="E4330">IFNA(_xlfn.XLOOKUP(D4330,Table_Tarikan_Warkah[Nomor Tiket],Table_Tarikan_Warkah[Tanggal diserahkan kepada Validator]),"")</f>
        <v/>
      </c>
      <c r="F4330" s="36" t="str">
        <f t="array" ref="F4330">IFNA(_xlfn.XLOOKUP(D4330,Table_Tarikan_Warkah[Nomor Tiket],Table_Tarikan_Warkah[Nama Petugas Warkah]),"")</f>
        <v/>
      </c>
      <c r="G4330" s="39" t="str">
        <f t="array" ref="G4330">IFNA(_xlfn.XLOOKUP(D4330,Table_Tarikan_Warkah[Nomor Tiket],Table_Tarikan_Warkah[Jenis Permohonan]),"")</f>
        <v>BN JUAL BELI</v>
      </c>
      <c r="H4330" s="41" t="s">
        <v>920</v>
      </c>
      <c r="I4330" s="49" t="s">
        <v>23</v>
      </c>
      <c r="J4330" s="36">
        <f t="shared" si="20"/>
        <v>45965.67751</v>
      </c>
      <c r="K4330" s="49" t="s">
        <v>920</v>
      </c>
      <c r="L4330" s="49" t="s">
        <v>23</v>
      </c>
      <c r="M4330" s="36">
        <f t="shared" si="33"/>
        <v>45965.67756</v>
      </c>
      <c r="N4330" s="30" t="str">
        <f t="shared" si="34"/>
        <v>Selesai</v>
      </c>
      <c r="O4330" s="45">
        <f t="shared" si="23"/>
        <v>45965.67756</v>
      </c>
      <c r="P4330" s="47" t="b">
        <v>1</v>
      </c>
      <c r="Q4330" s="36">
        <f t="shared" si="35"/>
        <v>45965.67758</v>
      </c>
      <c r="R4330" s="47" t="b">
        <v>0</v>
      </c>
      <c r="S4330" s="42" t="str">
        <f t="shared" si="28"/>
        <v/>
      </c>
      <c r="T4330" s="42"/>
    </row>
    <row r="4331" ht="22.5" customHeight="1">
      <c r="B4331" s="42">
        <f t="shared" si="7"/>
        <v>4325</v>
      </c>
      <c r="C4331" s="31" t="s">
        <v>4360</v>
      </c>
      <c r="D4331" s="34" t="str">
        <f t="array" ref="D4331">IFNA(_xlfn.XLOOKUP(C4331,Table_Tarikan_Warkah[Nomor Sertipikat],Table_Tarikan_Warkah[Nomor Tiket]),"")</f>
        <v>K/27/031025/4</v>
      </c>
      <c r="E4331" s="36" t="str">
        <f t="array" ref="E4331">IFNA(_xlfn.XLOOKUP(D4331,Table_Tarikan_Warkah[Nomor Tiket],Table_Tarikan_Warkah[Tanggal diserahkan kepada Validator]),"")</f>
        <v/>
      </c>
      <c r="F4331" s="36" t="str">
        <f t="array" ref="F4331">IFNA(_xlfn.XLOOKUP(D4331,Table_Tarikan_Warkah[Nomor Tiket],Table_Tarikan_Warkah[Nama Petugas Warkah]),"")</f>
        <v/>
      </c>
      <c r="G4331" s="39" t="str">
        <f t="array" ref="G4331">IFNA(_xlfn.XLOOKUP(D4331,Table_Tarikan_Warkah[Nomor Tiket],Table_Tarikan_Warkah[Jenis Permohonan]),"")</f>
        <v>BN JUAL BELI</v>
      </c>
      <c r="H4331" s="41" t="s">
        <v>920</v>
      </c>
      <c r="I4331" s="49" t="s">
        <v>23</v>
      </c>
      <c r="J4331" s="36">
        <f t="shared" si="20"/>
        <v>45965.67771</v>
      </c>
      <c r="K4331" s="49" t="s">
        <v>920</v>
      </c>
      <c r="L4331" s="49" t="s">
        <v>23</v>
      </c>
      <c r="M4331" s="36">
        <f t="shared" si="33"/>
        <v>45965.67774</v>
      </c>
      <c r="N4331" s="30" t="str">
        <f t="shared" si="34"/>
        <v>Selesai</v>
      </c>
      <c r="O4331" s="45">
        <f t="shared" si="23"/>
        <v>45965.67774</v>
      </c>
      <c r="P4331" s="47" t="b">
        <v>1</v>
      </c>
      <c r="Q4331" s="36">
        <f t="shared" si="35"/>
        <v>45965.67779</v>
      </c>
      <c r="R4331" s="47" t="b">
        <v>0</v>
      </c>
      <c r="S4331" s="42" t="str">
        <f t="shared" si="28"/>
        <v/>
      </c>
      <c r="T4331" s="42"/>
    </row>
    <row r="4332" ht="22.5" customHeight="1">
      <c r="B4332" s="42">
        <f t="shared" si="7"/>
        <v>4326</v>
      </c>
      <c r="C4332" s="31" t="s">
        <v>4361</v>
      </c>
      <c r="D4332" s="34" t="str">
        <f t="array" ref="D4332">IFNA(_xlfn.XLOOKUP(C4332,Table_Tarikan_Warkah[Nomor Sertipikat],Table_Tarikan_Warkah[Nomor Tiket]),"")</f>
        <v>K/13/031025/3</v>
      </c>
      <c r="E4332" s="36" t="str">
        <f t="array" ref="E4332">IFNA(_xlfn.XLOOKUP(D4332,Table_Tarikan_Warkah[Nomor Tiket],Table_Tarikan_Warkah[Tanggal diserahkan kepada Validator]),"")</f>
        <v/>
      </c>
      <c r="F4332" s="36" t="str">
        <f t="array" ref="F4332">IFNA(_xlfn.XLOOKUP(D4332,Table_Tarikan_Warkah[Nomor Tiket],Table_Tarikan_Warkah[Nama Petugas Warkah]),"")</f>
        <v/>
      </c>
      <c r="G4332" s="39" t="str">
        <f t="array" ref="G4332">IFNA(_xlfn.XLOOKUP(D4332,Table_Tarikan_Warkah[Nomor Tiket],Table_Tarikan_Warkah[Jenis Permohonan]),"")</f>
        <v>BN Hibah	</v>
      </c>
      <c r="H4332" s="41" t="s">
        <v>920</v>
      </c>
      <c r="I4332" s="49" t="s">
        <v>23</v>
      </c>
      <c r="J4332" s="36">
        <f t="shared" si="20"/>
        <v>45966.70617</v>
      </c>
      <c r="K4332" s="49" t="s">
        <v>920</v>
      </c>
      <c r="L4332" s="49" t="s">
        <v>23</v>
      </c>
      <c r="M4332" s="36">
        <f t="shared" si="33"/>
        <v>45966.7062</v>
      </c>
      <c r="N4332" s="30" t="str">
        <f t="shared" si="34"/>
        <v>Selesai</v>
      </c>
      <c r="O4332" s="45">
        <f t="shared" si="23"/>
        <v>45966.7062</v>
      </c>
      <c r="P4332" s="47" t="b">
        <v>1</v>
      </c>
      <c r="Q4332" s="36">
        <f t="shared" si="35"/>
        <v>45966.70622</v>
      </c>
      <c r="R4332" s="47" t="b">
        <v>0</v>
      </c>
      <c r="S4332" s="42" t="str">
        <f t="shared" si="28"/>
        <v/>
      </c>
      <c r="T4332" s="42"/>
    </row>
    <row r="4333" ht="22.5" customHeight="1">
      <c r="B4333" s="42">
        <f t="shared" si="7"/>
        <v>4327</v>
      </c>
      <c r="C4333" s="31" t="s">
        <v>4362</v>
      </c>
      <c r="D4333" s="34" t="str">
        <f t="array" ref="D4333">IFNA(_xlfn.XLOOKUP(C4333,Table_Tarikan_Warkah[Nomor Sertipikat],Table_Tarikan_Warkah[Nomor Tiket]),"")</f>
        <v>K/8/180925/1</v>
      </c>
      <c r="E4333" s="36">
        <f t="array" ref="E4333">IFNA(_xlfn.XLOOKUP(D4333,Table_Tarikan_Warkah[Nomor Tiket],Table_Tarikan_Warkah[Tanggal diserahkan kepada Validator]),"")</f>
        <v>45960.63078</v>
      </c>
      <c r="F4333" s="36" t="str">
        <f t="array" ref="F4333">IFNA(_xlfn.XLOOKUP(D4333,Table_Tarikan_Warkah[Nomor Tiket],Table_Tarikan_Warkah[Nama Petugas Warkah]),"")</f>
        <v>David</v>
      </c>
      <c r="G4333" s="39" t="str">
        <f t="array" ref="G4333">IFNA(_xlfn.XLOOKUP(D4333,Table_Tarikan_Warkah[Nomor Tiket],Table_Tarikan_Warkah[Jenis Permohonan]),"")</f>
        <v>BN JUAL BELI</v>
      </c>
      <c r="H4333" s="41" t="s">
        <v>2315</v>
      </c>
      <c r="I4333" s="49" t="s">
        <v>23</v>
      </c>
      <c r="J4333" s="36">
        <f t="shared" si="20"/>
        <v>45968.47217</v>
      </c>
      <c r="K4333" s="69"/>
      <c r="L4333" s="49"/>
      <c r="M4333" s="36" t="str">
        <f t="shared" si="33"/>
        <v/>
      </c>
      <c r="N4333" s="30" t="str">
        <f t="shared" si="34"/>
        <v>BT atau SU Belum Valid</v>
      </c>
      <c r="O4333" s="39" t="str">
        <f t="shared" si="23"/>
        <v/>
      </c>
      <c r="P4333" s="47" t="b">
        <v>0</v>
      </c>
      <c r="Q4333" s="36" t="str">
        <f t="shared" si="35"/>
        <v/>
      </c>
      <c r="R4333" s="47" t="b">
        <v>0</v>
      </c>
      <c r="S4333" s="42" t="str">
        <f t="shared" si="28"/>
        <v/>
      </c>
      <c r="T4333" s="42"/>
    </row>
    <row r="4334" ht="22.5" customHeight="1">
      <c r="B4334" s="42">
        <f t="shared" si="7"/>
        <v>4328</v>
      </c>
      <c r="C4334" s="31" t="s">
        <v>4363</v>
      </c>
      <c r="D4334" s="34" t="str">
        <f t="array" ref="D4334">IFNA(_xlfn.XLOOKUP(C4334,Table_Tarikan_Warkah[Nomor Sertipikat],Table_Tarikan_Warkah[Nomor Tiket]),"")</f>
        <v>K/6/190925/1</v>
      </c>
      <c r="E4334" s="36">
        <f t="array" ref="E4334">IFNA(_xlfn.XLOOKUP(D4334,Table_Tarikan_Warkah[Nomor Tiket],Table_Tarikan_Warkah[Tanggal diserahkan kepada Validator]),"")</f>
        <v>45975.49928</v>
      </c>
      <c r="F4334" s="36" t="str">
        <f t="array" ref="F4334">IFNA(_xlfn.XLOOKUP(D4334,Table_Tarikan_Warkah[Nomor Tiket],Table_Tarikan_Warkah[Nama Petugas Warkah]),"")</f>
        <v>Berry</v>
      </c>
      <c r="G4334" s="39" t="str">
        <f t="array" ref="G4334">IFNA(_xlfn.XLOOKUP(D4334,Table_Tarikan_Warkah[Nomor Tiket],Table_Tarikan_Warkah[Jenis Permohonan]),"")</f>
        <v>BN JUAL BELI</v>
      </c>
      <c r="H4334" s="41" t="s">
        <v>2315</v>
      </c>
      <c r="I4334" s="49" t="s">
        <v>23</v>
      </c>
      <c r="J4334" s="36">
        <f t="shared" si="20"/>
        <v>45968.4723</v>
      </c>
      <c r="K4334" s="69"/>
      <c r="L4334" s="49"/>
      <c r="M4334" s="36" t="str">
        <f t="shared" si="33"/>
        <v/>
      </c>
      <c r="N4334" s="30" t="str">
        <f t="shared" si="34"/>
        <v>BT atau SU Belum Valid</v>
      </c>
      <c r="O4334" s="39" t="str">
        <f t="shared" si="23"/>
        <v/>
      </c>
      <c r="P4334" s="47" t="b">
        <v>0</v>
      </c>
      <c r="Q4334" s="36" t="str">
        <f t="shared" si="35"/>
        <v/>
      </c>
      <c r="R4334" s="47" t="b">
        <v>0</v>
      </c>
      <c r="S4334" s="42" t="str">
        <f t="shared" si="28"/>
        <v/>
      </c>
      <c r="T4334" s="42"/>
    </row>
    <row r="4335" ht="22.5" customHeight="1">
      <c r="B4335" s="42">
        <f t="shared" si="7"/>
        <v>4329</v>
      </c>
      <c r="C4335" s="31" t="s">
        <v>4364</v>
      </c>
      <c r="D4335" s="34" t="str">
        <f t="array" ref="D4335">IFNA(_xlfn.XLOOKUP(C4335,Table_Tarikan_Warkah[Nomor Sertipikat],Table_Tarikan_Warkah[Nomor Tiket]),"")</f>
        <v>K/17/270825/1</v>
      </c>
      <c r="E4335" s="36" t="str">
        <f t="array" ref="E4335">IFNA(_xlfn.XLOOKUP(D4335,Table_Tarikan_Warkah[Nomor Tiket],Table_Tarikan_Warkah[Tanggal diserahkan kepada Validator]),"")</f>
        <v/>
      </c>
      <c r="F4335" s="36" t="str">
        <f t="array" ref="F4335">IFNA(_xlfn.XLOOKUP(D4335,Table_Tarikan_Warkah[Nomor Tiket],Table_Tarikan_Warkah[Nama Petugas Warkah]),"")</f>
        <v/>
      </c>
      <c r="G4335" s="39" t="str">
        <f t="array" ref="G4335">IFNA(_xlfn.XLOOKUP(D4335,Table_Tarikan_Warkah[Nomor Tiket],Table_Tarikan_Warkah[Jenis Permohonan]),"")</f>
        <v>BN HIBAH</v>
      </c>
      <c r="H4335" s="41" t="s">
        <v>2315</v>
      </c>
      <c r="I4335" s="49" t="s">
        <v>23</v>
      </c>
      <c r="J4335" s="36">
        <f t="shared" si="20"/>
        <v>45968.47243</v>
      </c>
      <c r="K4335" s="69"/>
      <c r="L4335" s="49"/>
      <c r="M4335" s="36" t="str">
        <f t="shared" si="33"/>
        <v/>
      </c>
      <c r="N4335" s="30" t="str">
        <f t="shared" si="34"/>
        <v>BT atau SU Belum Valid</v>
      </c>
      <c r="O4335" s="39" t="str">
        <f t="shared" si="23"/>
        <v/>
      </c>
      <c r="P4335" s="47" t="b">
        <v>0</v>
      </c>
      <c r="Q4335" s="36" t="str">
        <f t="shared" si="35"/>
        <v/>
      </c>
      <c r="R4335" s="47" t="b">
        <v>0</v>
      </c>
      <c r="S4335" s="42" t="str">
        <f t="shared" si="28"/>
        <v/>
      </c>
      <c r="T4335" s="42"/>
    </row>
    <row r="4336" ht="22.5" customHeight="1">
      <c r="B4336" s="42">
        <f t="shared" si="7"/>
        <v>4330</v>
      </c>
      <c r="C4336" s="31" t="s">
        <v>4365</v>
      </c>
      <c r="D4336" s="34" t="str">
        <f t="array" ref="D4336">IFNA(_xlfn.XLOOKUP(C4336,Table_Tarikan_Warkah[Nomor Sertipikat],Table_Tarikan_Warkah[Nomor Tiket]),"")</f>
        <v>K/34/090925/1</v>
      </c>
      <c r="E4336" s="36" t="str">
        <f t="array" ref="E4336">IFNA(_xlfn.XLOOKUP(D4336,Table_Tarikan_Warkah[Nomor Tiket],Table_Tarikan_Warkah[Tanggal diserahkan kepada Validator]),"")</f>
        <v/>
      </c>
      <c r="F4336" s="36" t="str">
        <f t="array" ref="F4336">IFNA(_xlfn.XLOOKUP(D4336,Table_Tarikan_Warkah[Nomor Tiket],Table_Tarikan_Warkah[Nama Petugas Warkah]),"")</f>
        <v/>
      </c>
      <c r="G4336" s="39" t="str">
        <f t="array" ref="G4336">IFNA(_xlfn.XLOOKUP(D4336,Table_Tarikan_Warkah[Nomor Tiket],Table_Tarikan_Warkah[Jenis Permohonan]),"")</f>
        <v>BN JUAL BELI</v>
      </c>
      <c r="H4336" s="41" t="s">
        <v>2315</v>
      </c>
      <c r="I4336" s="49" t="s">
        <v>23</v>
      </c>
      <c r="J4336" s="36">
        <f t="shared" si="20"/>
        <v>45968.47257</v>
      </c>
      <c r="K4336" s="69"/>
      <c r="L4336" s="49"/>
      <c r="M4336" s="36" t="str">
        <f t="shared" si="33"/>
        <v/>
      </c>
      <c r="N4336" s="30" t="str">
        <f t="shared" si="34"/>
        <v>BT atau SU Belum Valid</v>
      </c>
      <c r="O4336" s="39" t="str">
        <f t="shared" si="23"/>
        <v/>
      </c>
      <c r="P4336" s="47" t="b">
        <v>0</v>
      </c>
      <c r="Q4336" s="36" t="str">
        <f t="shared" si="35"/>
        <v/>
      </c>
      <c r="R4336" s="47" t="b">
        <v>0</v>
      </c>
      <c r="S4336" s="42" t="str">
        <f t="shared" si="28"/>
        <v/>
      </c>
      <c r="T4336" s="42"/>
    </row>
    <row r="4337" ht="22.5" customHeight="1">
      <c r="B4337" s="42">
        <f t="shared" si="7"/>
        <v>4331</v>
      </c>
      <c r="C4337" s="31" t="s">
        <v>4366</v>
      </c>
      <c r="D4337" s="34" t="str">
        <f t="array" ref="D4337">IFNA(_xlfn.XLOOKUP(C4337,Table_Tarikan_Warkah[Nomor Sertipikat],Table_Tarikan_Warkah[Nomor Tiket]),"")</f>
        <v>K/18/230925/1</v>
      </c>
      <c r="E4337" s="36" t="str">
        <f t="array" ref="E4337">IFNA(_xlfn.XLOOKUP(D4337,Table_Tarikan_Warkah[Nomor Tiket],Table_Tarikan_Warkah[Tanggal diserahkan kepada Validator]),"")</f>
        <v/>
      </c>
      <c r="F4337" s="36" t="str">
        <f t="array" ref="F4337">IFNA(_xlfn.XLOOKUP(D4337,Table_Tarikan_Warkah[Nomor Tiket],Table_Tarikan_Warkah[Nama Petugas Warkah]),"")</f>
        <v/>
      </c>
      <c r="G4337" s="39" t="str">
        <f t="array" ref="G4337">IFNA(_xlfn.XLOOKUP(D4337,Table_Tarikan_Warkah[Nomor Tiket],Table_Tarikan_Warkah[Jenis Permohonan]),"")</f>
        <v>BN JUAL BELI EL</v>
      </c>
      <c r="H4337" s="41" t="s">
        <v>2315</v>
      </c>
      <c r="I4337" s="49" t="s">
        <v>23</v>
      </c>
      <c r="J4337" s="36">
        <f t="shared" si="20"/>
        <v>45968.47272</v>
      </c>
      <c r="K4337" s="69"/>
      <c r="L4337" s="49"/>
      <c r="M4337" s="36" t="str">
        <f t="shared" si="33"/>
        <v/>
      </c>
      <c r="N4337" s="30" t="str">
        <f t="shared" si="34"/>
        <v>BT atau SU Belum Valid</v>
      </c>
      <c r="O4337" s="39" t="str">
        <f t="shared" si="23"/>
        <v/>
      </c>
      <c r="P4337" s="47" t="b">
        <v>0</v>
      </c>
      <c r="Q4337" s="36" t="str">
        <f t="shared" si="35"/>
        <v/>
      </c>
      <c r="R4337" s="47" t="b">
        <v>0</v>
      </c>
      <c r="S4337" s="42" t="str">
        <f t="shared" si="28"/>
        <v/>
      </c>
      <c r="T4337" s="42"/>
    </row>
    <row r="4338" ht="22.5" customHeight="1">
      <c r="B4338" s="42">
        <f t="shared" si="7"/>
        <v>4332</v>
      </c>
      <c r="C4338" s="31" t="s">
        <v>4367</v>
      </c>
      <c r="D4338" s="34" t="str">
        <f t="array" ref="D4338">IFNA(_xlfn.XLOOKUP(C4338,Table_Tarikan_Warkah[Nomor Sertipikat],Table_Tarikan_Warkah[Nomor Tiket]),"")</f>
        <v>K/26/230925/1</v>
      </c>
      <c r="E4338" s="36">
        <f t="array" ref="E4338">IFNA(_xlfn.XLOOKUP(D4338,Table_Tarikan_Warkah[Nomor Tiket],Table_Tarikan_Warkah[Tanggal diserahkan kepada Validator]),"")</f>
        <v>45979.64574</v>
      </c>
      <c r="F4338" s="36" t="str">
        <f t="array" ref="F4338">IFNA(_xlfn.XLOOKUP(D4338,Table_Tarikan_Warkah[Nomor Tiket],Table_Tarikan_Warkah[Nama Petugas Warkah]),"")</f>
        <v>Berry</v>
      </c>
      <c r="G4338" s="39" t="str">
        <f t="array" ref="G4338">IFNA(_xlfn.XLOOKUP(D4338,Table_Tarikan_Warkah[Nomor Tiket],Table_Tarikan_Warkah[Jenis Permohonan]),"")</f>
        <v>BN JUAL BELI EL</v>
      </c>
      <c r="H4338" s="41" t="s">
        <v>2315</v>
      </c>
      <c r="I4338" s="49" t="s">
        <v>23</v>
      </c>
      <c r="J4338" s="36">
        <f t="shared" si="20"/>
        <v>45968.47287</v>
      </c>
      <c r="K4338" s="69"/>
      <c r="L4338" s="49"/>
      <c r="M4338" s="36" t="str">
        <f t="shared" si="33"/>
        <v/>
      </c>
      <c r="N4338" s="30" t="str">
        <f t="shared" si="34"/>
        <v>BT atau SU Belum Valid</v>
      </c>
      <c r="O4338" s="39" t="str">
        <f t="shared" si="23"/>
        <v/>
      </c>
      <c r="P4338" s="47" t="b">
        <v>0</v>
      </c>
      <c r="Q4338" s="36" t="str">
        <f t="shared" si="35"/>
        <v/>
      </c>
      <c r="R4338" s="47" t="b">
        <v>0</v>
      </c>
      <c r="S4338" s="42" t="str">
        <f t="shared" si="28"/>
        <v/>
      </c>
      <c r="T4338" s="42"/>
    </row>
    <row r="4339" ht="22.5" customHeight="1">
      <c r="B4339" s="42">
        <f t="shared" si="7"/>
        <v>4333</v>
      </c>
      <c r="C4339" s="31" t="s">
        <v>4368</v>
      </c>
      <c r="D4339" s="34" t="str">
        <f t="array" ref="D4339">IFNA(_xlfn.XLOOKUP(C4339,Table_Tarikan_Warkah[Nomor Sertipikat],Table_Tarikan_Warkah[Nomor Tiket]),"")</f>
        <v>K/6/020925/3</v>
      </c>
      <c r="E4339" s="36" t="str">
        <f t="array" ref="E4339">IFNA(_xlfn.XLOOKUP(D4339,Table_Tarikan_Warkah[Nomor Tiket],Table_Tarikan_Warkah[Tanggal diserahkan kepada Validator]),"")</f>
        <v/>
      </c>
      <c r="F4339" s="36" t="str">
        <f t="array" ref="F4339">IFNA(_xlfn.XLOOKUP(D4339,Table_Tarikan_Warkah[Nomor Tiket],Table_Tarikan_Warkah[Nama Petugas Warkah]),"")</f>
        <v/>
      </c>
      <c r="G4339" s="39" t="str">
        <f t="array" ref="G4339">IFNA(_xlfn.XLOOKUP(D4339,Table_Tarikan_Warkah[Nomor Tiket],Table_Tarikan_Warkah[Jenis Permohonan]),"")</f>
        <v>BN JUAL BELI</v>
      </c>
      <c r="H4339" s="41" t="s">
        <v>2315</v>
      </c>
      <c r="I4339" s="49" t="s">
        <v>23</v>
      </c>
      <c r="J4339" s="36">
        <f t="shared" si="20"/>
        <v>45968.47308</v>
      </c>
      <c r="K4339" s="69"/>
      <c r="L4339" s="49"/>
      <c r="M4339" s="36" t="str">
        <f t="shared" si="33"/>
        <v/>
      </c>
      <c r="N4339" s="30" t="str">
        <f t="shared" si="34"/>
        <v>BT atau SU Belum Valid</v>
      </c>
      <c r="O4339" s="39" t="str">
        <f t="shared" si="23"/>
        <v/>
      </c>
      <c r="P4339" s="47" t="b">
        <v>0</v>
      </c>
      <c r="Q4339" s="36" t="str">
        <f t="shared" si="35"/>
        <v/>
      </c>
      <c r="R4339" s="47" t="b">
        <v>0</v>
      </c>
      <c r="S4339" s="42" t="str">
        <f t="shared" si="28"/>
        <v/>
      </c>
      <c r="T4339" s="42"/>
    </row>
    <row r="4340" ht="22.5" customHeight="1">
      <c r="B4340" s="42">
        <f t="shared" si="7"/>
        <v>4334</v>
      </c>
      <c r="C4340" s="31" t="s">
        <v>4369</v>
      </c>
      <c r="D4340" s="34" t="str">
        <f t="array" ref="D4340">IFNA(_xlfn.XLOOKUP(C4340,Table_Tarikan_Warkah[Nomor Sertipikat],Table_Tarikan_Warkah[Nomor Tiket]),"")</f>
        <v>K/20/031025/1</v>
      </c>
      <c r="E4340" s="36" t="str">
        <f t="array" ref="E4340">IFNA(_xlfn.XLOOKUP(D4340,Table_Tarikan_Warkah[Nomor Tiket],Table_Tarikan_Warkah[Tanggal diserahkan kepada Validator]),"")</f>
        <v/>
      </c>
      <c r="F4340" s="36" t="str">
        <f t="array" ref="F4340">IFNA(_xlfn.XLOOKUP(D4340,Table_Tarikan_Warkah[Nomor Tiket],Table_Tarikan_Warkah[Nama Petugas Warkah]),"")</f>
        <v/>
      </c>
      <c r="G4340" s="39" t="str">
        <f t="array" ref="G4340">IFNA(_xlfn.XLOOKUP(D4340,Table_Tarikan_Warkah[Nomor Tiket],Table_Tarikan_Warkah[Jenis Permohonan]),"")</f>
        <v>BN JUAL BELI EL</v>
      </c>
      <c r="H4340" s="41" t="s">
        <v>2315</v>
      </c>
      <c r="I4340" s="49" t="s">
        <v>23</v>
      </c>
      <c r="J4340" s="36">
        <f t="shared" si="20"/>
        <v>45968.47323</v>
      </c>
      <c r="K4340" s="69"/>
      <c r="L4340" s="49"/>
      <c r="M4340" s="36" t="str">
        <f t="shared" si="33"/>
        <v/>
      </c>
      <c r="N4340" s="30" t="str">
        <f t="shared" si="34"/>
        <v>BT atau SU Belum Valid</v>
      </c>
      <c r="O4340" s="39" t="str">
        <f t="shared" si="23"/>
        <v/>
      </c>
      <c r="P4340" s="47" t="b">
        <v>0</v>
      </c>
      <c r="Q4340" s="36" t="str">
        <f t="shared" si="35"/>
        <v/>
      </c>
      <c r="R4340" s="47" t="b">
        <v>0</v>
      </c>
      <c r="S4340" s="42" t="str">
        <f t="shared" si="28"/>
        <v/>
      </c>
      <c r="T4340" s="42"/>
    </row>
    <row r="4341" ht="22.5" customHeight="1">
      <c r="B4341" s="42">
        <f t="shared" si="7"/>
        <v>4335</v>
      </c>
      <c r="C4341" s="31" t="s">
        <v>4370</v>
      </c>
      <c r="D4341" s="34" t="str">
        <f t="array" ref="D4341">IFNA(_xlfn.XLOOKUP(C4341,Table_Tarikan_Warkah[Nomor Sertipikat],Table_Tarikan_Warkah[Nomor Tiket]),"")</f>
        <v>K/16/161025/1</v>
      </c>
      <c r="E4341" s="36" t="str">
        <f t="array" ref="E4341">IFNA(_xlfn.XLOOKUP(D4341,Table_Tarikan_Warkah[Nomor Tiket],Table_Tarikan_Warkah[Tanggal diserahkan kepada Validator]),"")</f>
        <v/>
      </c>
      <c r="F4341" s="36" t="str">
        <f t="array" ref="F4341">IFNA(_xlfn.XLOOKUP(D4341,Table_Tarikan_Warkah[Nomor Tiket],Table_Tarikan_Warkah[Nama Petugas Warkah]),"")</f>
        <v/>
      </c>
      <c r="G4341" s="39" t="str">
        <f t="array" ref="G4341">IFNA(_xlfn.XLOOKUP(D4341,Table_Tarikan_Warkah[Nomor Tiket],Table_Tarikan_Warkah[Jenis Permohonan]),"")</f>
        <v>PERUBAHAN HAK </v>
      </c>
      <c r="H4341" s="41" t="s">
        <v>2315</v>
      </c>
      <c r="I4341" s="49" t="s">
        <v>23</v>
      </c>
      <c r="J4341" s="36">
        <f t="shared" si="20"/>
        <v>45968.47349</v>
      </c>
      <c r="K4341" s="69"/>
      <c r="L4341" s="49"/>
      <c r="M4341" s="36" t="str">
        <f t="shared" si="33"/>
        <v/>
      </c>
      <c r="N4341" s="30" t="str">
        <f t="shared" si="34"/>
        <v>BT atau SU Belum Valid</v>
      </c>
      <c r="O4341" s="39" t="str">
        <f t="shared" si="23"/>
        <v/>
      </c>
      <c r="P4341" s="47" t="b">
        <v>0</v>
      </c>
      <c r="Q4341" s="36" t="str">
        <f t="shared" si="35"/>
        <v/>
      </c>
      <c r="R4341" s="47" t="b">
        <v>0</v>
      </c>
      <c r="S4341" s="42" t="str">
        <f t="shared" si="28"/>
        <v/>
      </c>
      <c r="T4341" s="42"/>
    </row>
    <row r="4342" ht="22.5" customHeight="1">
      <c r="B4342" s="42">
        <f t="shared" si="7"/>
        <v>4336</v>
      </c>
      <c r="C4342" s="31" t="s">
        <v>4371</v>
      </c>
      <c r="D4342" s="34" t="str">
        <f t="array" ref="D4342">IFNA(_xlfn.XLOOKUP(C4342,Table_Tarikan_Warkah[Nomor Sertipikat],Table_Tarikan_Warkah[Nomor Tiket]),"")</f>
        <v>K/13/161025/1</v>
      </c>
      <c r="E4342" s="36" t="str">
        <f t="array" ref="E4342">IFNA(_xlfn.XLOOKUP(D4342,Table_Tarikan_Warkah[Nomor Tiket],Table_Tarikan_Warkah[Tanggal diserahkan kepada Validator]),"")</f>
        <v/>
      </c>
      <c r="F4342" s="36" t="str">
        <f t="array" ref="F4342">IFNA(_xlfn.XLOOKUP(D4342,Table_Tarikan_Warkah[Nomor Tiket],Table_Tarikan_Warkah[Nama Petugas Warkah]),"")</f>
        <v/>
      </c>
      <c r="G4342" s="39" t="str">
        <f t="array" ref="G4342">IFNA(_xlfn.XLOOKUP(D4342,Table_Tarikan_Warkah[Nomor Tiket],Table_Tarikan_Warkah[Jenis Permohonan]),"")</f>
        <v>PERUBAHAN HAK</v>
      </c>
      <c r="H4342" s="41" t="s">
        <v>2315</v>
      </c>
      <c r="I4342" s="49" t="s">
        <v>23</v>
      </c>
      <c r="J4342" s="36">
        <f t="shared" si="20"/>
        <v>45968.47402</v>
      </c>
      <c r="K4342" s="69"/>
      <c r="L4342" s="49"/>
      <c r="M4342" s="36" t="str">
        <f t="shared" si="33"/>
        <v/>
      </c>
      <c r="N4342" s="30" t="str">
        <f t="shared" si="34"/>
        <v>BT atau SU Belum Valid</v>
      </c>
      <c r="O4342" s="39" t="str">
        <f t="shared" si="23"/>
        <v/>
      </c>
      <c r="P4342" s="47" t="b">
        <v>0</v>
      </c>
      <c r="Q4342" s="36" t="str">
        <f t="shared" si="35"/>
        <v/>
      </c>
      <c r="R4342" s="47" t="b">
        <v>0</v>
      </c>
      <c r="S4342" s="42" t="str">
        <f t="shared" si="28"/>
        <v/>
      </c>
      <c r="T4342" s="42"/>
    </row>
    <row r="4343" ht="22.5" customHeight="1">
      <c r="B4343" s="42">
        <f t="shared" si="7"/>
        <v>4337</v>
      </c>
      <c r="C4343" s="31" t="s">
        <v>4372</v>
      </c>
      <c r="D4343" s="34" t="str">
        <f t="array" ref="D4343">IFNA(_xlfn.XLOOKUP(C4343,Table_Tarikan_Warkah[Nomor Sertipikat],Table_Tarikan_Warkah[Nomor Tiket]),"")</f>
        <v>K/6/170925/1</v>
      </c>
      <c r="E4343" s="36" t="str">
        <f t="array" ref="E4343">IFNA(_xlfn.XLOOKUP(D4343,Table_Tarikan_Warkah[Nomor Tiket],Table_Tarikan_Warkah[Tanggal diserahkan kepada Validator]),"")</f>
        <v/>
      </c>
      <c r="F4343" s="36" t="str">
        <f t="array" ref="F4343">IFNA(_xlfn.XLOOKUP(D4343,Table_Tarikan_Warkah[Nomor Tiket],Table_Tarikan_Warkah[Nama Petugas Warkah]),"")</f>
        <v/>
      </c>
      <c r="G4343" s="39" t="str">
        <f t="array" ref="G4343">IFNA(_xlfn.XLOOKUP(D4343,Table_Tarikan_Warkah[Nomor Tiket],Table_Tarikan_Warkah[Jenis Permohonan]),"")</f>
        <v>BN JUAL BELI EL</v>
      </c>
      <c r="H4343" s="41" t="s">
        <v>2315</v>
      </c>
      <c r="I4343" s="49" t="s">
        <v>23</v>
      </c>
      <c r="J4343" s="36">
        <f t="shared" si="20"/>
        <v>45968.47421</v>
      </c>
      <c r="K4343" s="69"/>
      <c r="L4343" s="49"/>
      <c r="M4343" s="36" t="str">
        <f t="shared" si="33"/>
        <v/>
      </c>
      <c r="N4343" s="30" t="str">
        <f t="shared" si="34"/>
        <v>BT atau SU Belum Valid</v>
      </c>
      <c r="O4343" s="39" t="str">
        <f t="shared" si="23"/>
        <v/>
      </c>
      <c r="P4343" s="47" t="b">
        <v>0</v>
      </c>
      <c r="Q4343" s="36" t="str">
        <f t="shared" si="35"/>
        <v/>
      </c>
      <c r="R4343" s="47" t="b">
        <v>0</v>
      </c>
      <c r="S4343" s="42" t="str">
        <f t="shared" si="28"/>
        <v/>
      </c>
      <c r="T4343" s="42"/>
    </row>
    <row r="4344" ht="22.5" customHeight="1">
      <c r="B4344" s="42">
        <f t="shared" si="7"/>
        <v>4338</v>
      </c>
      <c r="C4344" s="31" t="s">
        <v>4373</v>
      </c>
      <c r="D4344" s="34" t="str">
        <f t="array" ref="D4344">IFNA(_xlfn.XLOOKUP(C4344,Table_Tarikan_Warkah[Nomor Sertipikat],Table_Tarikan_Warkah[Nomor Tiket]),"")</f>
        <v>L/12/161025/1</v>
      </c>
      <c r="E4344" s="36" t="str">
        <f t="array" ref="E4344">IFNA(_xlfn.XLOOKUP(D4344,Table_Tarikan_Warkah[Nomor Tiket],Table_Tarikan_Warkah[Tanggal diserahkan kepada Validator]),"")</f>
        <v/>
      </c>
      <c r="F4344" s="36" t="str">
        <f t="array" ref="F4344">IFNA(_xlfn.XLOOKUP(D4344,Table_Tarikan_Warkah[Nomor Tiket],Table_Tarikan_Warkah[Nama Petugas Warkah]),"")</f>
        <v/>
      </c>
      <c r="G4344" s="39" t="str">
        <f t="array" ref="G4344">IFNA(_xlfn.XLOOKUP(D4344,Table_Tarikan_Warkah[Nomor Tiket],Table_Tarikan_Warkah[Jenis Permohonan]),"")</f>
        <v>ROYA</v>
      </c>
      <c r="H4344" s="41" t="s">
        <v>2315</v>
      </c>
      <c r="I4344" s="49" t="s">
        <v>23</v>
      </c>
      <c r="J4344" s="36">
        <f t="shared" si="20"/>
        <v>45968.4745</v>
      </c>
      <c r="K4344" s="69"/>
      <c r="L4344" s="49"/>
      <c r="M4344" s="36" t="str">
        <f t="shared" si="33"/>
        <v/>
      </c>
      <c r="N4344" s="30" t="str">
        <f t="shared" si="34"/>
        <v>BT atau SU Belum Valid</v>
      </c>
      <c r="O4344" s="39" t="str">
        <f t="shared" si="23"/>
        <v/>
      </c>
      <c r="P4344" s="47" t="b">
        <v>0</v>
      </c>
      <c r="Q4344" s="36" t="str">
        <f t="shared" si="35"/>
        <v/>
      </c>
      <c r="R4344" s="47" t="b">
        <v>0</v>
      </c>
      <c r="S4344" s="42" t="str">
        <f t="shared" si="28"/>
        <v/>
      </c>
      <c r="T4344" s="42"/>
    </row>
    <row r="4345" ht="22.5" customHeight="1">
      <c r="B4345" s="42">
        <f t="shared" si="7"/>
        <v>4339</v>
      </c>
      <c r="C4345" s="31" t="s">
        <v>4374</v>
      </c>
      <c r="D4345" s="34" t="str">
        <f t="array" ref="D4345">IFNA(_xlfn.XLOOKUP(C4345,Table_Tarikan_Warkah[Nomor Sertipikat],Table_Tarikan_Warkah[Nomor Tiket]),"")</f>
        <v/>
      </c>
      <c r="E4345" s="36" t="str">
        <f t="array" ref="E4345">IFNA(_xlfn.XLOOKUP(D4345,Table_Tarikan_Warkah[Nomor Tiket],Table_Tarikan_Warkah[Tanggal diserahkan kepada Validator]),"")</f>
        <v/>
      </c>
      <c r="F4345" s="36" t="str">
        <f t="array" ref="F4345">IFNA(_xlfn.XLOOKUP(D4345,Table_Tarikan_Warkah[Nomor Tiket],Table_Tarikan_Warkah[Nama Petugas Warkah]),"")</f>
        <v/>
      </c>
      <c r="G4345" s="39" t="str">
        <f t="array" ref="G4345">IFNA(_xlfn.XLOOKUP(D4345,Table_Tarikan_Warkah[Nomor Tiket],Table_Tarikan_Warkah[Jenis Permohonan]),"")</f>
        <v/>
      </c>
      <c r="H4345" s="41" t="s">
        <v>2315</v>
      </c>
      <c r="I4345" s="49" t="s">
        <v>23</v>
      </c>
      <c r="J4345" s="36">
        <f t="shared" si="20"/>
        <v>45968.47482</v>
      </c>
      <c r="K4345" s="69"/>
      <c r="L4345" s="49"/>
      <c r="M4345" s="36" t="str">
        <f t="shared" si="33"/>
        <v/>
      </c>
      <c r="N4345" s="30" t="str">
        <f t="shared" si="34"/>
        <v/>
      </c>
      <c r="O4345" s="39" t="str">
        <f t="shared" si="23"/>
        <v/>
      </c>
      <c r="P4345" s="47" t="b">
        <v>0</v>
      </c>
      <c r="Q4345" s="36" t="str">
        <f t="shared" si="35"/>
        <v/>
      </c>
      <c r="R4345" s="47" t="b">
        <v>0</v>
      </c>
      <c r="S4345" s="42" t="str">
        <f t="shared" si="28"/>
        <v/>
      </c>
      <c r="T4345" s="42"/>
    </row>
    <row r="4346" ht="22.5" customHeight="1">
      <c r="B4346" s="42">
        <f t="shared" si="7"/>
        <v>4340</v>
      </c>
      <c r="C4346" s="31" t="s">
        <v>4375</v>
      </c>
      <c r="D4346" s="34" t="str">
        <f t="array" ref="D4346">IFNA(_xlfn.XLOOKUP(C4346,Table_Tarikan_Warkah[Nomor Sertipikat],Table_Tarikan_Warkah[Nomor Tiket]),"")</f>
        <v>K/26/110625/1</v>
      </c>
      <c r="E4346" s="36" t="str">
        <f t="array" ref="E4346">IFNA(_xlfn.XLOOKUP(D4346,Table_Tarikan_Warkah[Nomor Tiket],Table_Tarikan_Warkah[Tanggal diserahkan kepada Validator]),"")</f>
        <v/>
      </c>
      <c r="F4346" s="36" t="str">
        <f t="array" ref="F4346">IFNA(_xlfn.XLOOKUP(D4346,Table_Tarikan_Warkah[Nomor Tiket],Table_Tarikan_Warkah[Nama Petugas Warkah]),"")</f>
        <v/>
      </c>
      <c r="G4346" s="39" t="str">
        <f t="array" ref="G4346">IFNA(_xlfn.XLOOKUP(D4346,Table_Tarikan_Warkah[Nomor Tiket],Table_Tarikan_Warkah[Jenis Permohonan]),"")</f>
        <v>ROYA</v>
      </c>
      <c r="H4346" s="41" t="s">
        <v>2315</v>
      </c>
      <c r="I4346" s="49" t="s">
        <v>23</v>
      </c>
      <c r="J4346" s="36">
        <f t="shared" si="20"/>
        <v>45968.47504</v>
      </c>
      <c r="K4346" s="69"/>
      <c r="L4346" s="49"/>
      <c r="M4346" s="36" t="str">
        <f t="shared" si="33"/>
        <v/>
      </c>
      <c r="N4346" s="30" t="str">
        <f t="shared" si="34"/>
        <v>BT atau SU Belum Valid</v>
      </c>
      <c r="O4346" s="39" t="str">
        <f t="shared" si="23"/>
        <v/>
      </c>
      <c r="P4346" s="47" t="b">
        <v>0</v>
      </c>
      <c r="Q4346" s="36" t="str">
        <f t="shared" si="35"/>
        <v/>
      </c>
      <c r="R4346" s="47" t="b">
        <v>0</v>
      </c>
      <c r="S4346" s="42" t="str">
        <f t="shared" si="28"/>
        <v/>
      </c>
      <c r="T4346" s="42"/>
    </row>
    <row r="4347" ht="22.5" customHeight="1">
      <c r="B4347" s="42">
        <f t="shared" si="7"/>
        <v>4341</v>
      </c>
      <c r="C4347" s="31" t="s">
        <v>4376</v>
      </c>
      <c r="D4347" s="34" t="str">
        <f t="array" ref="D4347">IFNA(_xlfn.XLOOKUP(C4347,Table_Tarikan_Warkah[Nomor Sertipikat],Table_Tarikan_Warkah[Nomor Tiket]),"")</f>
        <v/>
      </c>
      <c r="E4347" s="36" t="str">
        <f t="array" ref="E4347">IFNA(_xlfn.XLOOKUP(D4347,Table_Tarikan_Warkah[Nomor Tiket],Table_Tarikan_Warkah[Tanggal diserahkan kepada Validator]),"")</f>
        <v/>
      </c>
      <c r="F4347" s="36" t="str">
        <f t="array" ref="F4347">IFNA(_xlfn.XLOOKUP(D4347,Table_Tarikan_Warkah[Nomor Tiket],Table_Tarikan_Warkah[Nama Petugas Warkah]),"")</f>
        <v/>
      </c>
      <c r="G4347" s="39" t="str">
        <f t="array" ref="G4347">IFNA(_xlfn.XLOOKUP(D4347,Table_Tarikan_Warkah[Nomor Tiket],Table_Tarikan_Warkah[Jenis Permohonan]),"")</f>
        <v/>
      </c>
      <c r="H4347" s="41" t="s">
        <v>2315</v>
      </c>
      <c r="I4347" s="49" t="s">
        <v>23</v>
      </c>
      <c r="J4347" s="36">
        <f t="shared" si="20"/>
        <v>45968.47537</v>
      </c>
      <c r="K4347" s="69"/>
      <c r="L4347" s="49"/>
      <c r="M4347" s="36" t="str">
        <f t="shared" si="33"/>
        <v/>
      </c>
      <c r="N4347" s="30" t="str">
        <f t="shared" si="34"/>
        <v/>
      </c>
      <c r="O4347" s="39" t="str">
        <f t="shared" si="23"/>
        <v/>
      </c>
      <c r="P4347" s="47" t="b">
        <v>0</v>
      </c>
      <c r="Q4347" s="36" t="str">
        <f t="shared" si="35"/>
        <v/>
      </c>
      <c r="R4347" s="47" t="b">
        <v>0</v>
      </c>
      <c r="S4347" s="42" t="str">
        <f t="shared" si="28"/>
        <v/>
      </c>
      <c r="T4347" s="42"/>
    </row>
    <row r="4348" ht="22.5" customHeight="1">
      <c r="B4348" s="42">
        <f t="shared" si="7"/>
        <v>4342</v>
      </c>
      <c r="C4348" s="31" t="s">
        <v>4377</v>
      </c>
      <c r="D4348" s="34" t="str">
        <f t="array" ref="D4348">IFNA(_xlfn.XLOOKUP(C4348,Table_Tarikan_Warkah[Nomor Sertipikat],Table_Tarikan_Warkah[Nomor Tiket]),"")</f>
        <v>ABIFMVYJ/AB063</v>
      </c>
      <c r="E4348" s="36" t="str">
        <f t="array" ref="E4348">IFNA(_xlfn.XLOOKUP(D4348,Table_Tarikan_Warkah[Nomor Tiket],Table_Tarikan_Warkah[Tanggal diserahkan kepada Validator]),"")</f>
        <v/>
      </c>
      <c r="F4348" s="36" t="str">
        <f t="array" ref="F4348">IFNA(_xlfn.XLOOKUP(D4348,Table_Tarikan_Warkah[Nomor Tiket],Table_Tarikan_Warkah[Nama Petugas Warkah]),"")</f>
        <v/>
      </c>
      <c r="G4348" s="39" t="str">
        <f t="array" ref="G4348">IFNA(_xlfn.XLOOKUP(D4348,Table_Tarikan_Warkah[Nomor Tiket],Table_Tarikan_Warkah[Jenis Permohonan]),"")</f>
        <v>Roya</v>
      </c>
      <c r="H4348" s="41" t="s">
        <v>2315</v>
      </c>
      <c r="I4348" s="49" t="s">
        <v>23</v>
      </c>
      <c r="J4348" s="36">
        <f t="shared" si="20"/>
        <v>45968.47598</v>
      </c>
      <c r="K4348" s="69"/>
      <c r="L4348" s="49"/>
      <c r="M4348" s="36" t="str">
        <f t="shared" si="33"/>
        <v/>
      </c>
      <c r="N4348" s="30" t="str">
        <f t="shared" si="34"/>
        <v>BT atau SU Belum Valid</v>
      </c>
      <c r="O4348" s="39" t="str">
        <f t="shared" si="23"/>
        <v/>
      </c>
      <c r="P4348" s="47" t="b">
        <v>0</v>
      </c>
      <c r="Q4348" s="36" t="str">
        <f t="shared" si="35"/>
        <v/>
      </c>
      <c r="R4348" s="47" t="b">
        <v>0</v>
      </c>
      <c r="S4348" s="42" t="str">
        <f t="shared" si="28"/>
        <v/>
      </c>
      <c r="T4348" s="42"/>
    </row>
    <row r="4349" ht="22.5" customHeight="1">
      <c r="B4349" s="42">
        <f t="shared" si="7"/>
        <v>4343</v>
      </c>
      <c r="C4349" s="31" t="s">
        <v>4378</v>
      </c>
      <c r="D4349" s="34" t="str">
        <f t="array" ref="D4349">IFNA(_xlfn.XLOOKUP(C4349,Table_Tarikan_Warkah[Nomor Sertipikat],Table_Tarikan_Warkah[Nomor Tiket]),"")</f>
        <v>L/20/141025/1</v>
      </c>
      <c r="E4349" s="36" t="str">
        <f t="array" ref="E4349">IFNA(_xlfn.XLOOKUP(D4349,Table_Tarikan_Warkah[Nomor Tiket],Table_Tarikan_Warkah[Tanggal diserahkan kepada Validator]),"")</f>
        <v/>
      </c>
      <c r="F4349" s="36" t="str">
        <f t="array" ref="F4349">IFNA(_xlfn.XLOOKUP(D4349,Table_Tarikan_Warkah[Nomor Tiket],Table_Tarikan_Warkah[Nama Petugas Warkah]),"")</f>
        <v/>
      </c>
      <c r="G4349" s="39" t="str">
        <f t="array" ref="G4349">IFNA(_xlfn.XLOOKUP(D4349,Table_Tarikan_Warkah[Nomor Tiket],Table_Tarikan_Warkah[Jenis Permohonan]),"")</f>
        <v>ROYA</v>
      </c>
      <c r="H4349" s="41" t="s">
        <v>2315</v>
      </c>
      <c r="I4349" s="49" t="s">
        <v>23</v>
      </c>
      <c r="J4349" s="36">
        <f t="shared" si="20"/>
        <v>45968.4765</v>
      </c>
      <c r="K4349" s="69"/>
      <c r="L4349" s="49"/>
      <c r="M4349" s="36" t="str">
        <f t="shared" si="33"/>
        <v/>
      </c>
      <c r="N4349" s="30" t="str">
        <f t="shared" si="34"/>
        <v>BT atau SU Belum Valid</v>
      </c>
      <c r="O4349" s="39" t="str">
        <f t="shared" si="23"/>
        <v/>
      </c>
      <c r="P4349" s="47" t="b">
        <v>0</v>
      </c>
      <c r="Q4349" s="36" t="str">
        <f t="shared" si="35"/>
        <v/>
      </c>
      <c r="R4349" s="47" t="b">
        <v>0</v>
      </c>
      <c r="S4349" s="42" t="str">
        <f t="shared" si="28"/>
        <v/>
      </c>
      <c r="T4349" s="42"/>
    </row>
    <row r="4350" ht="22.5" customHeight="1">
      <c r="B4350" s="42">
        <f t="shared" si="7"/>
        <v>4344</v>
      </c>
      <c r="C4350" s="31" t="s">
        <v>4379</v>
      </c>
      <c r="D4350" s="34" t="str">
        <f t="array" ref="D4350">IFNA(_xlfn.XLOOKUP(C4350,Table_Tarikan_Warkah[Nomor Sertipikat],Table_Tarikan_Warkah[Nomor Tiket]),"")</f>
        <v>L/30/141025/1</v>
      </c>
      <c r="E4350" s="36" t="str">
        <f t="array" ref="E4350">IFNA(_xlfn.XLOOKUP(D4350,Table_Tarikan_Warkah[Nomor Tiket],Table_Tarikan_Warkah[Tanggal diserahkan kepada Validator]),"")</f>
        <v/>
      </c>
      <c r="F4350" s="36" t="str">
        <f t="array" ref="F4350">IFNA(_xlfn.XLOOKUP(D4350,Table_Tarikan_Warkah[Nomor Tiket],Table_Tarikan_Warkah[Nama Petugas Warkah]),"")</f>
        <v/>
      </c>
      <c r="G4350" s="39" t="str">
        <f t="array" ref="G4350">IFNA(_xlfn.XLOOKUP(D4350,Table_Tarikan_Warkah[Nomor Tiket],Table_Tarikan_Warkah[Jenis Permohonan]),"")</f>
        <v>ROYA</v>
      </c>
      <c r="H4350" s="41" t="s">
        <v>2315</v>
      </c>
      <c r="I4350" s="49" t="s">
        <v>23</v>
      </c>
      <c r="J4350" s="36">
        <f t="shared" si="20"/>
        <v>45968.47695</v>
      </c>
      <c r="K4350" s="69"/>
      <c r="L4350" s="49"/>
      <c r="M4350" s="36" t="str">
        <f t="shared" si="33"/>
        <v/>
      </c>
      <c r="N4350" s="30" t="str">
        <f t="shared" si="34"/>
        <v>BT atau SU Belum Valid</v>
      </c>
      <c r="O4350" s="39" t="str">
        <f t="shared" si="23"/>
        <v/>
      </c>
      <c r="P4350" s="47" t="b">
        <v>0</v>
      </c>
      <c r="Q4350" s="36" t="str">
        <f t="shared" si="35"/>
        <v/>
      </c>
      <c r="R4350" s="47" t="b">
        <v>0</v>
      </c>
      <c r="S4350" s="42" t="str">
        <f t="shared" si="28"/>
        <v/>
      </c>
      <c r="T4350" s="42"/>
    </row>
    <row r="4351" ht="22.5" customHeight="1">
      <c r="B4351" s="42">
        <f t="shared" si="7"/>
        <v>4345</v>
      </c>
      <c r="C4351" s="31" t="s">
        <v>4380</v>
      </c>
      <c r="D4351" s="34" t="str">
        <f t="array" ref="D4351">IFNA(_xlfn.XLOOKUP(C4351,Table_Tarikan_Warkah[Nomor Sertipikat],Table_Tarikan_Warkah[Nomor Tiket]),"")</f>
        <v>L/18/141025/1</v>
      </c>
      <c r="E4351" s="36" t="str">
        <f t="array" ref="E4351">IFNA(_xlfn.XLOOKUP(D4351,Table_Tarikan_Warkah[Nomor Tiket],Table_Tarikan_Warkah[Tanggal diserahkan kepada Validator]),"")</f>
        <v/>
      </c>
      <c r="F4351" s="36" t="str">
        <f t="array" ref="F4351">IFNA(_xlfn.XLOOKUP(D4351,Table_Tarikan_Warkah[Nomor Tiket],Table_Tarikan_Warkah[Nama Petugas Warkah]),"")</f>
        <v/>
      </c>
      <c r="G4351" s="39" t="str">
        <f t="array" ref="G4351">IFNA(_xlfn.XLOOKUP(D4351,Table_Tarikan_Warkah[Nomor Tiket],Table_Tarikan_Warkah[Jenis Permohonan]),"")</f>
        <v>ROYA</v>
      </c>
      <c r="H4351" s="41" t="s">
        <v>2315</v>
      </c>
      <c r="I4351" s="49" t="s">
        <v>23</v>
      </c>
      <c r="J4351" s="36">
        <f t="shared" si="20"/>
        <v>45968.47723</v>
      </c>
      <c r="K4351" s="69"/>
      <c r="L4351" s="49"/>
      <c r="M4351" s="36" t="str">
        <f t="shared" si="33"/>
        <v/>
      </c>
      <c r="N4351" s="30" t="str">
        <f t="shared" si="34"/>
        <v>BT atau SU Belum Valid</v>
      </c>
      <c r="O4351" s="39" t="str">
        <f t="shared" si="23"/>
        <v/>
      </c>
      <c r="P4351" s="47" t="b">
        <v>0</v>
      </c>
      <c r="Q4351" s="36" t="str">
        <f t="shared" si="35"/>
        <v/>
      </c>
      <c r="R4351" s="47" t="b">
        <v>0</v>
      </c>
      <c r="S4351" s="42" t="str">
        <f t="shared" si="28"/>
        <v/>
      </c>
      <c r="T4351" s="42"/>
    </row>
    <row r="4352" ht="22.5" customHeight="1">
      <c r="B4352" s="42">
        <f t="shared" si="7"/>
        <v>4346</v>
      </c>
      <c r="C4352" s="31" t="s">
        <v>4381</v>
      </c>
      <c r="D4352" s="34" t="str">
        <f t="array" ref="D4352">IFNA(_xlfn.XLOOKUP(C4352,Table_Tarikan_Warkah[Nomor Sertipikat],Table_Tarikan_Warkah[Nomor Tiket]),"")</f>
        <v>L/16/171025/1</v>
      </c>
      <c r="E4352" s="36" t="str">
        <f t="array" ref="E4352">IFNA(_xlfn.XLOOKUP(D4352,Table_Tarikan_Warkah[Nomor Tiket],Table_Tarikan_Warkah[Tanggal diserahkan kepada Validator]),"")</f>
        <v/>
      </c>
      <c r="F4352" s="36" t="str">
        <f t="array" ref="F4352">IFNA(_xlfn.XLOOKUP(D4352,Table_Tarikan_Warkah[Nomor Tiket],Table_Tarikan_Warkah[Nama Petugas Warkah]),"")</f>
        <v/>
      </c>
      <c r="G4352" s="39" t="str">
        <f t="array" ref="G4352">IFNA(_xlfn.XLOOKUP(D4352,Table_Tarikan_Warkah[Nomor Tiket],Table_Tarikan_Warkah[Jenis Permohonan]),"")</f>
        <v>ROYA</v>
      </c>
      <c r="H4352" s="41" t="s">
        <v>2315</v>
      </c>
      <c r="I4352" s="49" t="s">
        <v>23</v>
      </c>
      <c r="J4352" s="36">
        <f t="shared" si="20"/>
        <v>45968.47753</v>
      </c>
      <c r="K4352" s="69"/>
      <c r="L4352" s="49"/>
      <c r="M4352" s="36" t="str">
        <f t="shared" si="33"/>
        <v/>
      </c>
      <c r="N4352" s="30" t="str">
        <f t="shared" si="34"/>
        <v>BT atau SU Belum Valid</v>
      </c>
      <c r="O4352" s="39" t="str">
        <f t="shared" si="23"/>
        <v/>
      </c>
      <c r="P4352" s="47" t="b">
        <v>0</v>
      </c>
      <c r="Q4352" s="36" t="str">
        <f t="shared" si="35"/>
        <v/>
      </c>
      <c r="R4352" s="47" t="b">
        <v>0</v>
      </c>
      <c r="S4352" s="42" t="str">
        <f t="shared" si="28"/>
        <v/>
      </c>
      <c r="T4352" s="42"/>
    </row>
    <row r="4353" ht="22.5" customHeight="1">
      <c r="B4353" s="42">
        <f t="shared" si="7"/>
        <v>4347</v>
      </c>
      <c r="C4353" s="31" t="s">
        <v>4382</v>
      </c>
      <c r="D4353" s="34" t="str">
        <f t="array" ref="D4353">IFNA(_xlfn.XLOOKUP(C4353,Table_Tarikan_Warkah[Nomor Sertipikat],Table_Tarikan_Warkah[Nomor Tiket]),"")</f>
        <v>L/3/161025/1</v>
      </c>
      <c r="E4353" s="36" t="str">
        <f t="array" ref="E4353">IFNA(_xlfn.XLOOKUP(D4353,Table_Tarikan_Warkah[Nomor Tiket],Table_Tarikan_Warkah[Tanggal diserahkan kepada Validator]),"")</f>
        <v/>
      </c>
      <c r="F4353" s="36" t="str">
        <f t="array" ref="F4353">IFNA(_xlfn.XLOOKUP(D4353,Table_Tarikan_Warkah[Nomor Tiket],Table_Tarikan_Warkah[Nama Petugas Warkah]),"")</f>
        <v/>
      </c>
      <c r="G4353" s="39" t="str">
        <f t="array" ref="G4353">IFNA(_xlfn.XLOOKUP(D4353,Table_Tarikan_Warkah[Nomor Tiket],Table_Tarikan_Warkah[Jenis Permohonan]),"")</f>
        <v>ROYA </v>
      </c>
      <c r="H4353" s="41" t="s">
        <v>2315</v>
      </c>
      <c r="I4353" s="49" t="s">
        <v>23</v>
      </c>
      <c r="J4353" s="36">
        <f t="shared" si="20"/>
        <v>45968.47781</v>
      </c>
      <c r="K4353" s="69"/>
      <c r="L4353" s="49"/>
      <c r="M4353" s="36" t="str">
        <f t="shared" si="33"/>
        <v/>
      </c>
      <c r="N4353" s="30" t="str">
        <f t="shared" si="34"/>
        <v>BT atau SU Belum Valid</v>
      </c>
      <c r="O4353" s="39" t="str">
        <f t="shared" si="23"/>
        <v/>
      </c>
      <c r="P4353" s="47" t="b">
        <v>0</v>
      </c>
      <c r="Q4353" s="36" t="str">
        <f t="shared" si="35"/>
        <v/>
      </c>
      <c r="R4353" s="47" t="b">
        <v>0</v>
      </c>
      <c r="S4353" s="42" t="str">
        <f t="shared" si="28"/>
        <v/>
      </c>
      <c r="T4353" s="42"/>
    </row>
    <row r="4354" ht="22.5" customHeight="1">
      <c r="B4354" s="42">
        <f t="shared" si="7"/>
        <v>4348</v>
      </c>
      <c r="C4354" s="31" t="s">
        <v>4383</v>
      </c>
      <c r="D4354" s="34" t="str">
        <f t="array" ref="D4354">IFNA(_xlfn.XLOOKUP(C4354,Table_Tarikan_Warkah[Nomor Sertipikat],Table_Tarikan_Warkah[Nomor Tiket]),"")</f>
        <v/>
      </c>
      <c r="E4354" s="36" t="str">
        <f t="array" ref="E4354">IFNA(_xlfn.XLOOKUP(D4354,Table_Tarikan_Warkah[Nomor Tiket],Table_Tarikan_Warkah[Tanggal diserahkan kepada Validator]),"")</f>
        <v/>
      </c>
      <c r="F4354" s="36" t="str">
        <f t="array" ref="F4354">IFNA(_xlfn.XLOOKUP(D4354,Table_Tarikan_Warkah[Nomor Tiket],Table_Tarikan_Warkah[Nama Petugas Warkah]),"")</f>
        <v/>
      </c>
      <c r="G4354" s="39" t="str">
        <f t="array" ref="G4354">IFNA(_xlfn.XLOOKUP(D4354,Table_Tarikan_Warkah[Nomor Tiket],Table_Tarikan_Warkah[Jenis Permohonan]),"")</f>
        <v/>
      </c>
      <c r="H4354" s="41" t="s">
        <v>2315</v>
      </c>
      <c r="I4354" s="49" t="s">
        <v>23</v>
      </c>
      <c r="J4354" s="36">
        <f t="shared" si="20"/>
        <v>45968.47819</v>
      </c>
      <c r="K4354" s="69"/>
      <c r="L4354" s="49"/>
      <c r="M4354" s="36" t="str">
        <f t="shared" si="33"/>
        <v/>
      </c>
      <c r="N4354" s="30" t="str">
        <f t="shared" si="34"/>
        <v/>
      </c>
      <c r="O4354" s="39" t="str">
        <f t="shared" si="23"/>
        <v/>
      </c>
      <c r="P4354" s="47" t="b">
        <v>0</v>
      </c>
      <c r="Q4354" s="36" t="str">
        <f t="shared" si="35"/>
        <v/>
      </c>
      <c r="R4354" s="47" t="b">
        <v>0</v>
      </c>
      <c r="S4354" s="42" t="str">
        <f t="shared" si="28"/>
        <v/>
      </c>
      <c r="T4354" s="42"/>
    </row>
    <row r="4355" ht="22.5" customHeight="1">
      <c r="B4355" s="42">
        <f t="shared" si="7"/>
        <v>4349</v>
      </c>
      <c r="C4355" s="31" t="s">
        <v>4025</v>
      </c>
      <c r="D4355" s="34" t="str">
        <f t="array" ref="D4355">IFNA(_xlfn.XLOOKUP(C4355,Table_Tarikan_Warkah[Nomor Sertipikat],Table_Tarikan_Warkah[Nomor Tiket]),"")</f>
        <v>K/5/120925/1</v>
      </c>
      <c r="E4355" s="36" t="str">
        <f t="array" ref="E4355">IFNA(_xlfn.XLOOKUP(D4355,Table_Tarikan_Warkah[Nomor Tiket],Table_Tarikan_Warkah[Tanggal diserahkan kepada Validator]),"")</f>
        <v/>
      </c>
      <c r="F4355" s="36" t="str">
        <f t="array" ref="F4355">IFNA(_xlfn.XLOOKUP(D4355,Table_Tarikan_Warkah[Nomor Tiket],Table_Tarikan_Warkah[Nama Petugas Warkah]),"")</f>
        <v/>
      </c>
      <c r="G4355" s="39" t="str">
        <f t="array" ref="G4355">IFNA(_xlfn.XLOOKUP(D4355,Table_Tarikan_Warkah[Nomor Tiket],Table_Tarikan_Warkah[Jenis Permohonan]),"")</f>
        <v>BN JUAL BELI EL</v>
      </c>
      <c r="H4355" s="41" t="s">
        <v>2315</v>
      </c>
      <c r="I4355" s="49" t="s">
        <v>23</v>
      </c>
      <c r="J4355" s="36">
        <f t="shared" si="20"/>
        <v>45968.47846</v>
      </c>
      <c r="K4355" s="69"/>
      <c r="L4355" s="49"/>
      <c r="M4355" s="36" t="str">
        <f t="shared" si="33"/>
        <v/>
      </c>
      <c r="N4355" s="30" t="str">
        <f t="shared" si="34"/>
        <v>BT atau SU Belum Valid</v>
      </c>
      <c r="O4355" s="39" t="str">
        <f t="shared" si="23"/>
        <v/>
      </c>
      <c r="P4355" s="47" t="b">
        <v>0</v>
      </c>
      <c r="Q4355" s="36" t="str">
        <f t="shared" si="35"/>
        <v/>
      </c>
      <c r="R4355" s="47" t="b">
        <v>0</v>
      </c>
      <c r="S4355" s="42" t="str">
        <f t="shared" si="28"/>
        <v/>
      </c>
      <c r="T4355" s="42"/>
    </row>
    <row r="4356" ht="22.5" customHeight="1">
      <c r="B4356" s="42">
        <f t="shared" si="7"/>
        <v>4350</v>
      </c>
      <c r="C4356" s="31" t="s">
        <v>4384</v>
      </c>
      <c r="D4356" s="34" t="str">
        <f t="array" ref="D4356">IFNA(_xlfn.XLOOKUP(C4356,Table_Tarikan_Warkah[Nomor Sertipikat],Table_Tarikan_Warkah[Nomor Tiket]),"")</f>
        <v>K/39/101025/1</v>
      </c>
      <c r="E4356" s="36" t="str">
        <f t="array" ref="E4356">IFNA(_xlfn.XLOOKUP(D4356,Table_Tarikan_Warkah[Nomor Tiket],Table_Tarikan_Warkah[Tanggal diserahkan kepada Validator]),"")</f>
        <v/>
      </c>
      <c r="F4356" s="36" t="str">
        <f t="array" ref="F4356">IFNA(_xlfn.XLOOKUP(D4356,Table_Tarikan_Warkah[Nomor Tiket],Table_Tarikan_Warkah[Nama Petugas Warkah]),"")</f>
        <v/>
      </c>
      <c r="G4356" s="39" t="str">
        <f t="array" ref="G4356">IFNA(_xlfn.XLOOKUP(D4356,Table_Tarikan_Warkah[Nomor Tiket],Table_Tarikan_Warkah[Jenis Permohonan]),"")</f>
        <v>BN JUAL BELI</v>
      </c>
      <c r="H4356" s="41" t="s">
        <v>2315</v>
      </c>
      <c r="I4356" s="49" t="s">
        <v>23</v>
      </c>
      <c r="J4356" s="36">
        <f t="shared" si="20"/>
        <v>45972.37901</v>
      </c>
      <c r="K4356" s="69"/>
      <c r="L4356" s="49"/>
      <c r="M4356" s="36" t="str">
        <f t="shared" si="33"/>
        <v/>
      </c>
      <c r="N4356" s="30" t="str">
        <f t="shared" si="34"/>
        <v>BT atau SU Belum Valid</v>
      </c>
      <c r="O4356" s="39" t="str">
        <f t="shared" si="23"/>
        <v/>
      </c>
      <c r="P4356" s="47" t="b">
        <v>0</v>
      </c>
      <c r="Q4356" s="36" t="str">
        <f t="shared" si="35"/>
        <v/>
      </c>
      <c r="R4356" s="47" t="b">
        <v>0</v>
      </c>
      <c r="S4356" s="42" t="str">
        <f t="shared" si="28"/>
        <v/>
      </c>
      <c r="T4356" s="42"/>
    </row>
    <row r="4357" ht="22.5" customHeight="1">
      <c r="B4357" s="42">
        <f t="shared" si="7"/>
        <v>4351</v>
      </c>
      <c r="C4357" s="31" t="s">
        <v>4385</v>
      </c>
      <c r="D4357" s="34" t="str">
        <f t="array" ref="D4357">IFNA(_xlfn.XLOOKUP(C4357,Table_Tarikan_Warkah[Nomor Sertipikat],Table_Tarikan_Warkah[Nomor Tiket]),"")</f>
        <v>K/13/011027/1</v>
      </c>
      <c r="E4357" s="36" t="str">
        <f t="array" ref="E4357">IFNA(_xlfn.XLOOKUP(D4357,Table_Tarikan_Warkah[Nomor Tiket],Table_Tarikan_Warkah[Tanggal diserahkan kepada Validator]),"")</f>
        <v/>
      </c>
      <c r="F4357" s="36" t="str">
        <f t="array" ref="F4357">IFNA(_xlfn.XLOOKUP(D4357,Table_Tarikan_Warkah[Nomor Tiket],Table_Tarikan_Warkah[Nama Petugas Warkah]),"")</f>
        <v/>
      </c>
      <c r="G4357" s="39" t="str">
        <f t="array" ref="G4357">IFNA(_xlfn.XLOOKUP(D4357,Table_Tarikan_Warkah[Nomor Tiket],Table_Tarikan_Warkah[Jenis Permohonan]),"")</f>
        <v>BN Jual Beli	</v>
      </c>
      <c r="H4357" s="41" t="s">
        <v>2315</v>
      </c>
      <c r="I4357" s="49" t="s">
        <v>23</v>
      </c>
      <c r="J4357" s="36">
        <f t="shared" si="20"/>
        <v>45972.37959</v>
      </c>
      <c r="K4357" s="69"/>
      <c r="L4357" s="49"/>
      <c r="M4357" s="36" t="str">
        <f t="shared" si="33"/>
        <v/>
      </c>
      <c r="N4357" s="30" t="str">
        <f t="shared" si="34"/>
        <v>BT atau SU Belum Valid</v>
      </c>
      <c r="O4357" s="39" t="str">
        <f t="shared" si="23"/>
        <v/>
      </c>
      <c r="P4357" s="47" t="b">
        <v>0</v>
      </c>
      <c r="Q4357" s="36" t="str">
        <f t="shared" si="35"/>
        <v/>
      </c>
      <c r="R4357" s="47" t="b">
        <v>0</v>
      </c>
      <c r="S4357" s="42" t="str">
        <f t="shared" si="28"/>
        <v/>
      </c>
      <c r="T4357" s="42"/>
    </row>
    <row r="4358" ht="22.5" customHeight="1">
      <c r="B4358" s="42">
        <f t="shared" si="7"/>
        <v>4352</v>
      </c>
      <c r="C4358" s="31" t="s">
        <v>4386</v>
      </c>
      <c r="D4358" s="34" t="str">
        <f t="array" ref="D4358">IFNA(_xlfn.XLOOKUP(C4358,Table_Tarikan_Warkah[Nomor Sertipikat],Table_Tarikan_Warkah[Nomor Tiket]),"")</f>
        <v>K/30/011025/1</v>
      </c>
      <c r="E4358" s="36" t="str">
        <f t="array" ref="E4358">IFNA(_xlfn.XLOOKUP(D4358,Table_Tarikan_Warkah[Nomor Tiket],Table_Tarikan_Warkah[Tanggal diserahkan kepada Validator]),"")</f>
        <v/>
      </c>
      <c r="F4358" s="36" t="str">
        <f t="array" ref="F4358">IFNA(_xlfn.XLOOKUP(D4358,Table_Tarikan_Warkah[Nomor Tiket],Table_Tarikan_Warkah[Nama Petugas Warkah]),"")</f>
        <v/>
      </c>
      <c r="G4358" s="39" t="str">
        <f t="array" ref="G4358">IFNA(_xlfn.XLOOKUP(D4358,Table_Tarikan_Warkah[Nomor Tiket],Table_Tarikan_Warkah[Jenis Permohonan]),"")</f>
        <v>BN Jual Beli	</v>
      </c>
      <c r="H4358" s="41" t="s">
        <v>2315</v>
      </c>
      <c r="I4358" s="49" t="s">
        <v>23</v>
      </c>
      <c r="J4358" s="36">
        <f t="shared" si="20"/>
        <v>45972.37977</v>
      </c>
      <c r="K4358" s="69"/>
      <c r="L4358" s="49"/>
      <c r="M4358" s="36" t="str">
        <f t="shared" si="33"/>
        <v/>
      </c>
      <c r="N4358" s="30" t="str">
        <f t="shared" si="34"/>
        <v>BT atau SU Belum Valid</v>
      </c>
      <c r="O4358" s="39" t="str">
        <f t="shared" si="23"/>
        <v/>
      </c>
      <c r="P4358" s="47" t="b">
        <v>0</v>
      </c>
      <c r="Q4358" s="36" t="str">
        <f t="shared" si="35"/>
        <v/>
      </c>
      <c r="R4358" s="47" t="b">
        <v>0</v>
      </c>
      <c r="S4358" s="42" t="str">
        <f t="shared" si="28"/>
        <v/>
      </c>
      <c r="T4358" s="42"/>
    </row>
    <row r="4359" ht="22.5" customHeight="1">
      <c r="B4359" s="42">
        <f t="shared" si="7"/>
        <v>4353</v>
      </c>
      <c r="C4359" s="31" t="s">
        <v>4387</v>
      </c>
      <c r="D4359" s="34" t="str">
        <f t="array" ref="D4359">IFNA(_xlfn.XLOOKUP(C4359,Table_Tarikan_Warkah[Nomor Sertipikat],Table_Tarikan_Warkah[Nomor Tiket]),"")</f>
        <v>K/31/250825/1</v>
      </c>
      <c r="E4359" s="36" t="str">
        <f t="array" ref="E4359">IFNA(_xlfn.XLOOKUP(D4359,Table_Tarikan_Warkah[Nomor Tiket],Table_Tarikan_Warkah[Tanggal diserahkan kepada Validator]),"")</f>
        <v/>
      </c>
      <c r="F4359" s="36" t="str">
        <f t="array" ref="F4359">IFNA(_xlfn.XLOOKUP(D4359,Table_Tarikan_Warkah[Nomor Tiket],Table_Tarikan_Warkah[Nama Petugas Warkah]),"")</f>
        <v/>
      </c>
      <c r="G4359" s="39" t="str">
        <f t="array" ref="G4359">IFNA(_xlfn.XLOOKUP(D4359,Table_Tarikan_Warkah[Nomor Tiket],Table_Tarikan_Warkah[Jenis Permohonan]),"")</f>
        <v>BN HIBAH</v>
      </c>
      <c r="H4359" s="41" t="s">
        <v>2315</v>
      </c>
      <c r="I4359" s="49" t="s">
        <v>23</v>
      </c>
      <c r="J4359" s="36">
        <f t="shared" si="20"/>
        <v>45972.61854</v>
      </c>
      <c r="K4359" s="69"/>
      <c r="L4359" s="49"/>
      <c r="M4359" s="36" t="str">
        <f t="shared" si="33"/>
        <v/>
      </c>
      <c r="N4359" s="30" t="str">
        <f t="shared" si="34"/>
        <v>BT atau SU Belum Valid</v>
      </c>
      <c r="O4359" s="39" t="str">
        <f t="shared" si="23"/>
        <v/>
      </c>
      <c r="P4359" s="47" t="b">
        <v>0</v>
      </c>
      <c r="Q4359" s="36" t="str">
        <f t="shared" si="35"/>
        <v/>
      </c>
      <c r="R4359" s="47" t="b">
        <v>0</v>
      </c>
      <c r="S4359" s="42" t="str">
        <f t="shared" si="28"/>
        <v/>
      </c>
      <c r="T4359" s="42"/>
    </row>
    <row r="4360" ht="22.5" customHeight="1">
      <c r="B4360" s="42">
        <f t="shared" si="7"/>
        <v>4354</v>
      </c>
      <c r="C4360" s="31" t="s">
        <v>4388</v>
      </c>
      <c r="D4360" s="34" t="str">
        <f t="array" ref="D4360">IFNA(_xlfn.XLOOKUP(C4360,Table_Tarikan_Warkah[Nomor Sertipikat],Table_Tarikan_Warkah[Nomor Tiket]),"")</f>
        <v/>
      </c>
      <c r="E4360" s="36" t="str">
        <f t="array" ref="E4360">IFNA(_xlfn.XLOOKUP(D4360,Table_Tarikan_Warkah[Nomor Tiket],Table_Tarikan_Warkah[Tanggal diserahkan kepada Validator]),"")</f>
        <v/>
      </c>
      <c r="F4360" s="36" t="str">
        <f t="array" ref="F4360">IFNA(_xlfn.XLOOKUP(D4360,Table_Tarikan_Warkah[Nomor Tiket],Table_Tarikan_Warkah[Nama Petugas Warkah]),"")</f>
        <v/>
      </c>
      <c r="G4360" s="39" t="str">
        <f t="array" ref="G4360">IFNA(_xlfn.XLOOKUP(D4360,Table_Tarikan_Warkah[Nomor Tiket],Table_Tarikan_Warkah[Jenis Permohonan]),"")</f>
        <v/>
      </c>
      <c r="H4360" s="41" t="s">
        <v>2315</v>
      </c>
      <c r="I4360" s="49" t="s">
        <v>23</v>
      </c>
      <c r="J4360" s="36">
        <f t="shared" si="20"/>
        <v>45972.61892</v>
      </c>
      <c r="K4360" s="69"/>
      <c r="L4360" s="49"/>
      <c r="M4360" s="36" t="str">
        <f t="shared" si="33"/>
        <v/>
      </c>
      <c r="N4360" s="30" t="str">
        <f t="shared" si="34"/>
        <v/>
      </c>
      <c r="O4360" s="39" t="str">
        <f t="shared" si="23"/>
        <v/>
      </c>
      <c r="P4360" s="47" t="b">
        <v>0</v>
      </c>
      <c r="Q4360" s="36" t="str">
        <f t="shared" si="35"/>
        <v/>
      </c>
      <c r="R4360" s="47" t="b">
        <v>0</v>
      </c>
      <c r="S4360" s="42" t="str">
        <f t="shared" si="28"/>
        <v/>
      </c>
      <c r="T4360" s="42"/>
    </row>
    <row r="4361" ht="22.5" customHeight="1">
      <c r="B4361" s="42">
        <f t="shared" si="7"/>
        <v>4355</v>
      </c>
      <c r="C4361" s="31" t="s">
        <v>4389</v>
      </c>
      <c r="D4361" s="34" t="str">
        <f t="array" ref="D4361">IFNA(_xlfn.XLOOKUP(C4361,Table_Tarikan_Warkah[Nomor Sertipikat],Table_Tarikan_Warkah[Nomor Tiket]),"")</f>
        <v>L/3/101025/1</v>
      </c>
      <c r="E4361" s="36" t="str">
        <f t="array" ref="E4361">IFNA(_xlfn.XLOOKUP(D4361,Table_Tarikan_Warkah[Nomor Tiket],Table_Tarikan_Warkah[Tanggal diserahkan kepada Validator]),"")</f>
        <v/>
      </c>
      <c r="F4361" s="36" t="str">
        <f t="array" ref="F4361">IFNA(_xlfn.XLOOKUP(D4361,Table_Tarikan_Warkah[Nomor Tiket],Table_Tarikan_Warkah[Nama Petugas Warkah]),"")</f>
        <v/>
      </c>
      <c r="G4361" s="39" t="str">
        <f t="array" ref="G4361">IFNA(_xlfn.XLOOKUP(D4361,Table_Tarikan_Warkah[Nomor Tiket],Table_Tarikan_Warkah[Jenis Permohonan]),"")</f>
        <v>BN WARIS</v>
      </c>
      <c r="H4361" s="41" t="s">
        <v>2315</v>
      </c>
      <c r="I4361" s="49" t="s">
        <v>23</v>
      </c>
      <c r="J4361" s="36">
        <f t="shared" si="20"/>
        <v>45972.6191</v>
      </c>
      <c r="K4361" s="69"/>
      <c r="L4361" s="49"/>
      <c r="M4361" s="36" t="str">
        <f t="shared" si="33"/>
        <v/>
      </c>
      <c r="N4361" s="30" t="str">
        <f t="shared" si="34"/>
        <v>BT atau SU Belum Valid</v>
      </c>
      <c r="O4361" s="39" t="str">
        <f t="shared" si="23"/>
        <v/>
      </c>
      <c r="P4361" s="47" t="b">
        <v>0</v>
      </c>
      <c r="Q4361" s="36" t="str">
        <f t="shared" si="35"/>
        <v/>
      </c>
      <c r="R4361" s="47" t="b">
        <v>0</v>
      </c>
      <c r="S4361" s="42" t="str">
        <f t="shared" si="28"/>
        <v/>
      </c>
      <c r="T4361" s="42"/>
    </row>
    <row r="4362" ht="22.5" customHeight="1">
      <c r="B4362" s="42">
        <f t="shared" si="7"/>
        <v>4356</v>
      </c>
      <c r="C4362" s="31" t="s">
        <v>4390</v>
      </c>
      <c r="D4362" s="34" t="str">
        <f t="array" ref="D4362">IFNA(_xlfn.XLOOKUP(C4362,Table_Tarikan_Warkah[Nomor Sertipikat],Table_Tarikan_Warkah[Nomor Tiket]),"")</f>
        <v/>
      </c>
      <c r="E4362" s="36" t="str">
        <f t="array" ref="E4362">IFNA(_xlfn.XLOOKUP(D4362,Table_Tarikan_Warkah[Nomor Tiket],Table_Tarikan_Warkah[Tanggal diserahkan kepada Validator]),"")</f>
        <v/>
      </c>
      <c r="F4362" s="36" t="str">
        <f t="array" ref="F4362">IFNA(_xlfn.XLOOKUP(D4362,Table_Tarikan_Warkah[Nomor Tiket],Table_Tarikan_Warkah[Nama Petugas Warkah]),"")</f>
        <v/>
      </c>
      <c r="G4362" s="39" t="str">
        <f t="array" ref="G4362">IFNA(_xlfn.XLOOKUP(D4362,Table_Tarikan_Warkah[Nomor Tiket],Table_Tarikan_Warkah[Jenis Permohonan]),"")</f>
        <v/>
      </c>
      <c r="H4362" s="41" t="s">
        <v>2315</v>
      </c>
      <c r="I4362" s="49" t="s">
        <v>23</v>
      </c>
      <c r="J4362" s="36">
        <f t="shared" si="20"/>
        <v>45972.61935</v>
      </c>
      <c r="K4362" s="69"/>
      <c r="L4362" s="49"/>
      <c r="M4362" s="36" t="str">
        <f t="shared" si="33"/>
        <v/>
      </c>
      <c r="N4362" s="30" t="str">
        <f t="shared" si="34"/>
        <v/>
      </c>
      <c r="O4362" s="39" t="str">
        <f t="shared" si="23"/>
        <v/>
      </c>
      <c r="P4362" s="47" t="b">
        <v>0</v>
      </c>
      <c r="Q4362" s="36" t="str">
        <f t="shared" si="35"/>
        <v/>
      </c>
      <c r="R4362" s="47" t="b">
        <v>0</v>
      </c>
      <c r="S4362" s="42" t="str">
        <f t="shared" si="28"/>
        <v/>
      </c>
      <c r="T4362" s="42"/>
    </row>
    <row r="4363" ht="22.5" customHeight="1">
      <c r="B4363" s="42">
        <f t="shared" si="7"/>
        <v>4357</v>
      </c>
      <c r="C4363" s="31" t="s">
        <v>4391</v>
      </c>
      <c r="D4363" s="34" t="str">
        <f t="array" ref="D4363">IFNA(_xlfn.XLOOKUP(C4363,Table_Tarikan_Warkah[Nomor Sertipikat],Table_Tarikan_Warkah[Nomor Tiket]),"")</f>
        <v>K/28/280525/1</v>
      </c>
      <c r="E4363" s="36">
        <f t="array" ref="E4363">IFNA(_xlfn.XLOOKUP(D4363,Table_Tarikan_Warkah[Nomor Tiket],Table_Tarikan_Warkah[Tanggal diserahkan kepada Validator]),"")</f>
        <v>45971.43347</v>
      </c>
      <c r="F4363" s="36" t="str">
        <f t="array" ref="F4363">IFNA(_xlfn.XLOOKUP(D4363,Table_Tarikan_Warkah[Nomor Tiket],Table_Tarikan_Warkah[Nama Petugas Warkah]),"")</f>
        <v>Berry</v>
      </c>
      <c r="G4363" s="39" t="str">
        <f t="array" ref="G4363">IFNA(_xlfn.XLOOKUP(D4363,Table_Tarikan_Warkah[Nomor Tiket],Table_Tarikan_Warkah[Jenis Permohonan]),"")</f>
        <v>Pemecahan</v>
      </c>
      <c r="H4363" s="41" t="s">
        <v>2315</v>
      </c>
      <c r="I4363" s="49" t="s">
        <v>23</v>
      </c>
      <c r="J4363" s="36">
        <f t="shared" si="20"/>
        <v>45972.62307</v>
      </c>
      <c r="K4363" s="69"/>
      <c r="L4363" s="49"/>
      <c r="M4363" s="36" t="str">
        <f t="shared" si="33"/>
        <v/>
      </c>
      <c r="N4363" s="30" t="str">
        <f t="shared" si="34"/>
        <v>BT atau SU Belum Valid</v>
      </c>
      <c r="O4363" s="39" t="str">
        <f t="shared" si="23"/>
        <v/>
      </c>
      <c r="P4363" s="47" t="b">
        <v>0</v>
      </c>
      <c r="Q4363" s="36" t="str">
        <f t="shared" si="35"/>
        <v/>
      </c>
      <c r="R4363" s="47" t="b">
        <v>0</v>
      </c>
      <c r="S4363" s="42" t="str">
        <f t="shared" si="28"/>
        <v/>
      </c>
      <c r="T4363" s="42"/>
    </row>
    <row r="4364" ht="22.5" customHeight="1">
      <c r="B4364" s="42">
        <f t="shared" si="7"/>
        <v>4358</v>
      </c>
      <c r="C4364" s="31" t="s">
        <v>4392</v>
      </c>
      <c r="D4364" s="34" t="str">
        <f t="array" ref="D4364">IFNA(_xlfn.XLOOKUP(C4364,Table_Tarikan_Warkah[Nomor Sertipikat],Table_Tarikan_Warkah[Nomor Tiket]),"")</f>
        <v>K/28/250925/1</v>
      </c>
      <c r="E4364" s="36" t="str">
        <f t="array" ref="E4364">IFNA(_xlfn.XLOOKUP(D4364,Table_Tarikan_Warkah[Nomor Tiket],Table_Tarikan_Warkah[Tanggal diserahkan kepada Validator]),"")</f>
        <v/>
      </c>
      <c r="F4364" s="36" t="str">
        <f t="array" ref="F4364">IFNA(_xlfn.XLOOKUP(D4364,Table_Tarikan_Warkah[Nomor Tiket],Table_Tarikan_Warkah[Nama Petugas Warkah]),"")</f>
        <v/>
      </c>
      <c r="G4364" s="39" t="str">
        <f t="array" ref="G4364">IFNA(_xlfn.XLOOKUP(D4364,Table_Tarikan_Warkah[Nomor Tiket],Table_Tarikan_Warkah[Jenis Permohonan]),"")</f>
        <v>BN JUAL BELI</v>
      </c>
      <c r="H4364" s="41" t="s">
        <v>2315</v>
      </c>
      <c r="I4364" s="49" t="s">
        <v>23</v>
      </c>
      <c r="J4364" s="36">
        <f t="shared" si="20"/>
        <v>45972.62325</v>
      </c>
      <c r="K4364" s="69"/>
      <c r="L4364" s="49"/>
      <c r="M4364" s="36" t="str">
        <f t="shared" si="33"/>
        <v/>
      </c>
      <c r="N4364" s="30" t="str">
        <f t="shared" si="34"/>
        <v>BT atau SU Belum Valid</v>
      </c>
      <c r="O4364" s="39" t="str">
        <f t="shared" si="23"/>
        <v/>
      </c>
      <c r="P4364" s="47" t="b">
        <v>0</v>
      </c>
      <c r="Q4364" s="36" t="str">
        <f t="shared" si="35"/>
        <v/>
      </c>
      <c r="R4364" s="47" t="b">
        <v>0</v>
      </c>
      <c r="S4364" s="42" t="str">
        <f t="shared" si="28"/>
        <v/>
      </c>
      <c r="T4364" s="42"/>
    </row>
    <row r="4365" ht="22.5" customHeight="1">
      <c r="B4365" s="42">
        <f t="shared" si="7"/>
        <v>4359</v>
      </c>
      <c r="C4365" s="31" t="s">
        <v>4393</v>
      </c>
      <c r="D4365" s="34" t="str">
        <f t="array" ref="D4365">IFNA(_xlfn.XLOOKUP(C4365,Table_Tarikan_Warkah[Nomor Sertipikat],Table_Tarikan_Warkah[Nomor Tiket]),"")</f>
        <v>K/19/230925/1</v>
      </c>
      <c r="E4365" s="36" t="str">
        <f t="array" ref="E4365">IFNA(_xlfn.XLOOKUP(D4365,Table_Tarikan_Warkah[Nomor Tiket],Table_Tarikan_Warkah[Tanggal diserahkan kepada Validator]),"")</f>
        <v/>
      </c>
      <c r="F4365" s="36" t="str">
        <f t="array" ref="F4365">IFNA(_xlfn.XLOOKUP(D4365,Table_Tarikan_Warkah[Nomor Tiket],Table_Tarikan_Warkah[Nama Petugas Warkah]),"")</f>
        <v/>
      </c>
      <c r="G4365" s="39" t="str">
        <f t="array" ref="G4365">IFNA(_xlfn.XLOOKUP(D4365,Table_Tarikan_Warkah[Nomor Tiket],Table_Tarikan_Warkah[Jenis Permohonan]),"")</f>
        <v>BN JUAL BELI</v>
      </c>
      <c r="H4365" s="41" t="s">
        <v>2315</v>
      </c>
      <c r="I4365" s="49" t="s">
        <v>23</v>
      </c>
      <c r="J4365" s="36">
        <f t="shared" si="20"/>
        <v>45972.62342</v>
      </c>
      <c r="K4365" s="69"/>
      <c r="L4365" s="49"/>
      <c r="M4365" s="36" t="str">
        <f t="shared" si="33"/>
        <v/>
      </c>
      <c r="N4365" s="30" t="str">
        <f t="shared" si="34"/>
        <v>BT atau SU Belum Valid</v>
      </c>
      <c r="O4365" s="39" t="str">
        <f t="shared" si="23"/>
        <v/>
      </c>
      <c r="P4365" s="47" t="b">
        <v>0</v>
      </c>
      <c r="Q4365" s="36" t="str">
        <f t="shared" si="35"/>
        <v/>
      </c>
      <c r="R4365" s="47" t="b">
        <v>0</v>
      </c>
      <c r="S4365" s="42" t="str">
        <f t="shared" si="28"/>
        <v/>
      </c>
      <c r="T4365" s="42"/>
    </row>
    <row r="4366" ht="22.5" customHeight="1">
      <c r="B4366" s="42">
        <f t="shared" si="7"/>
        <v>4360</v>
      </c>
      <c r="C4366" s="31" t="s">
        <v>4394</v>
      </c>
      <c r="D4366" s="34" t="str">
        <f t="array" ref="D4366">IFNA(_xlfn.XLOOKUP(C4366,Table_Tarikan_Warkah[Nomor Sertipikat],Table_Tarikan_Warkah[Nomor Tiket]),"")</f>
        <v>K/3/230925/1</v>
      </c>
      <c r="E4366" s="36" t="str">
        <f t="array" ref="E4366">IFNA(_xlfn.XLOOKUP(D4366,Table_Tarikan_Warkah[Nomor Tiket],Table_Tarikan_Warkah[Tanggal diserahkan kepada Validator]),"")</f>
        <v/>
      </c>
      <c r="F4366" s="36" t="str">
        <f t="array" ref="F4366">IFNA(_xlfn.XLOOKUP(D4366,Table_Tarikan_Warkah[Nomor Tiket],Table_Tarikan_Warkah[Nama Petugas Warkah]),"")</f>
        <v/>
      </c>
      <c r="G4366" s="39" t="str">
        <f t="array" ref="G4366">IFNA(_xlfn.XLOOKUP(D4366,Table_Tarikan_Warkah[Nomor Tiket],Table_Tarikan_Warkah[Jenis Permohonan]),"")</f>
        <v>BN JUAL BELI</v>
      </c>
      <c r="H4366" s="41" t="s">
        <v>2315</v>
      </c>
      <c r="I4366" s="49" t="s">
        <v>23</v>
      </c>
      <c r="J4366" s="36">
        <f t="shared" si="20"/>
        <v>45972.62362</v>
      </c>
      <c r="K4366" s="69"/>
      <c r="L4366" s="49"/>
      <c r="M4366" s="36" t="str">
        <f t="shared" si="33"/>
        <v/>
      </c>
      <c r="N4366" s="30" t="str">
        <f t="shared" si="34"/>
        <v>BT atau SU Belum Valid</v>
      </c>
      <c r="O4366" s="39" t="str">
        <f t="shared" si="23"/>
        <v/>
      </c>
      <c r="P4366" s="47" t="b">
        <v>0</v>
      </c>
      <c r="Q4366" s="36" t="str">
        <f t="shared" si="35"/>
        <v/>
      </c>
      <c r="R4366" s="47" t="b">
        <v>0</v>
      </c>
      <c r="S4366" s="42" t="str">
        <f t="shared" si="28"/>
        <v/>
      </c>
      <c r="T4366" s="42"/>
    </row>
    <row r="4367" ht="22.5" customHeight="1">
      <c r="B4367" s="42">
        <f t="shared" si="7"/>
        <v>4361</v>
      </c>
      <c r="C4367" s="31" t="s">
        <v>4395</v>
      </c>
      <c r="D4367" s="34" t="str">
        <f t="array" ref="D4367">IFNA(_xlfn.XLOOKUP(C4367,Table_Tarikan_Warkah[Nomor Sertipikat],Table_Tarikan_Warkah[Nomor Tiket]),"")</f>
        <v>K/24/220925/2</v>
      </c>
      <c r="E4367" s="36" t="str">
        <f t="array" ref="E4367">IFNA(_xlfn.XLOOKUP(D4367,Table_Tarikan_Warkah[Nomor Tiket],Table_Tarikan_Warkah[Tanggal diserahkan kepada Validator]),"")</f>
        <v/>
      </c>
      <c r="F4367" s="36" t="str">
        <f t="array" ref="F4367">IFNA(_xlfn.XLOOKUP(D4367,Table_Tarikan_Warkah[Nomor Tiket],Table_Tarikan_Warkah[Nama Petugas Warkah]),"")</f>
        <v/>
      </c>
      <c r="G4367" s="39" t="str">
        <f t="array" ref="G4367">IFNA(_xlfn.XLOOKUP(D4367,Table_Tarikan_Warkah[Nomor Tiket],Table_Tarikan_Warkah[Jenis Permohonan]),"")</f>
        <v>BN JUAL BELI EL</v>
      </c>
      <c r="H4367" s="41" t="s">
        <v>2315</v>
      </c>
      <c r="I4367" s="49" t="s">
        <v>23</v>
      </c>
      <c r="J4367" s="36">
        <f t="shared" si="20"/>
        <v>45972.62376</v>
      </c>
      <c r="K4367" s="69"/>
      <c r="L4367" s="49"/>
      <c r="M4367" s="36" t="str">
        <f t="shared" si="33"/>
        <v/>
      </c>
      <c r="N4367" s="30" t="str">
        <f t="shared" si="34"/>
        <v>BT atau SU Belum Valid</v>
      </c>
      <c r="O4367" s="39" t="str">
        <f t="shared" si="23"/>
        <v/>
      </c>
      <c r="P4367" s="47" t="b">
        <v>0</v>
      </c>
      <c r="Q4367" s="36" t="str">
        <f t="shared" si="35"/>
        <v/>
      </c>
      <c r="R4367" s="47" t="b">
        <v>0</v>
      </c>
      <c r="S4367" s="42" t="str">
        <f t="shared" si="28"/>
        <v/>
      </c>
      <c r="T4367" s="42"/>
    </row>
    <row r="4368" ht="22.5" customHeight="1">
      <c r="B4368" s="42">
        <f t="shared" si="7"/>
        <v>4362</v>
      </c>
      <c r="C4368" s="31" t="s">
        <v>4396</v>
      </c>
      <c r="D4368" s="34" t="str">
        <f t="array" ref="D4368">IFNA(_xlfn.XLOOKUP(C4368,Table_Tarikan_Warkah[Nomor Sertipikat],Table_Tarikan_Warkah[Nomor Tiket]),"")</f>
        <v>K/17/190925/2</v>
      </c>
      <c r="E4368" s="36" t="str">
        <f t="array" ref="E4368">IFNA(_xlfn.XLOOKUP(D4368,Table_Tarikan_Warkah[Nomor Tiket],Table_Tarikan_Warkah[Tanggal diserahkan kepada Validator]),"")</f>
        <v/>
      </c>
      <c r="F4368" s="36" t="str">
        <f t="array" ref="F4368">IFNA(_xlfn.XLOOKUP(D4368,Table_Tarikan_Warkah[Nomor Tiket],Table_Tarikan_Warkah[Nama Petugas Warkah]),"")</f>
        <v/>
      </c>
      <c r="G4368" s="39" t="str">
        <f t="array" ref="G4368">IFNA(_xlfn.XLOOKUP(D4368,Table_Tarikan_Warkah[Nomor Tiket],Table_Tarikan_Warkah[Jenis Permohonan]),"")</f>
        <v>BN JUAL BELI EL</v>
      </c>
      <c r="H4368" s="41" t="s">
        <v>2315</v>
      </c>
      <c r="I4368" s="49" t="s">
        <v>23</v>
      </c>
      <c r="J4368" s="36">
        <f t="shared" si="20"/>
        <v>45972.6239</v>
      </c>
      <c r="K4368" s="69"/>
      <c r="L4368" s="49"/>
      <c r="M4368" s="36" t="str">
        <f t="shared" si="33"/>
        <v/>
      </c>
      <c r="N4368" s="30" t="str">
        <f t="shared" si="34"/>
        <v>BT atau SU Belum Valid</v>
      </c>
      <c r="O4368" s="39" t="str">
        <f t="shared" si="23"/>
        <v/>
      </c>
      <c r="P4368" s="47" t="b">
        <v>0</v>
      </c>
      <c r="Q4368" s="36" t="str">
        <f t="shared" si="35"/>
        <v/>
      </c>
      <c r="R4368" s="47" t="b">
        <v>0</v>
      </c>
      <c r="S4368" s="42" t="str">
        <f t="shared" si="28"/>
        <v/>
      </c>
      <c r="T4368" s="42"/>
    </row>
    <row r="4369" ht="22.5" customHeight="1">
      <c r="B4369" s="42">
        <f t="shared" si="7"/>
        <v>4363</v>
      </c>
      <c r="C4369" s="31" t="s">
        <v>4397</v>
      </c>
      <c r="D4369" s="34" t="str">
        <f t="array" ref="D4369">IFNA(_xlfn.XLOOKUP(C4369,Table_Tarikan_Warkah[Nomor Sertipikat],Table_Tarikan_Warkah[Nomor Tiket]),"")</f>
        <v>K/2/011025/1</v>
      </c>
      <c r="E4369" s="36">
        <f t="array" ref="E4369">IFNA(_xlfn.XLOOKUP(D4369,Table_Tarikan_Warkah[Nomor Tiket],Table_Tarikan_Warkah[Tanggal diserahkan kepada Validator]),"")</f>
        <v>45944.50349</v>
      </c>
      <c r="F4369" s="36" t="str">
        <f t="array" ref="F4369">IFNA(_xlfn.XLOOKUP(D4369,Table_Tarikan_Warkah[Nomor Tiket],Table_Tarikan_Warkah[Nama Petugas Warkah]),"")</f>
        <v>David</v>
      </c>
      <c r="G4369" s="39" t="str">
        <f t="array" ref="G4369">IFNA(_xlfn.XLOOKUP(D4369,Table_Tarikan_Warkah[Nomor Tiket],Table_Tarikan_Warkah[Jenis Permohonan]),"")</f>
        <v>BN JUAL BELI</v>
      </c>
      <c r="H4369" s="41" t="s">
        <v>2315</v>
      </c>
      <c r="I4369" s="49" t="s">
        <v>23</v>
      </c>
      <c r="J4369" s="36">
        <f t="shared" si="20"/>
        <v>45972.62406</v>
      </c>
      <c r="K4369" s="69"/>
      <c r="L4369" s="49"/>
      <c r="M4369" s="36" t="str">
        <f t="shared" si="33"/>
        <v/>
      </c>
      <c r="N4369" s="30" t="str">
        <f t="shared" si="34"/>
        <v>BT atau SU Belum Valid</v>
      </c>
      <c r="O4369" s="39" t="str">
        <f t="shared" si="23"/>
        <v/>
      </c>
      <c r="P4369" s="47" t="b">
        <v>0</v>
      </c>
      <c r="Q4369" s="36" t="str">
        <f t="shared" si="35"/>
        <v/>
      </c>
      <c r="R4369" s="47" t="b">
        <v>0</v>
      </c>
      <c r="S4369" s="42" t="str">
        <f t="shared" si="28"/>
        <v/>
      </c>
      <c r="T4369" s="42"/>
    </row>
    <row r="4370" ht="22.5" customHeight="1">
      <c r="B4370" s="42">
        <f t="shared" si="7"/>
        <v>4364</v>
      </c>
      <c r="C4370" s="31" t="s">
        <v>4398</v>
      </c>
      <c r="D4370" s="34" t="str">
        <f t="array" ref="D4370">IFNA(_xlfn.XLOOKUP(C4370,Table_Tarikan_Warkah[Nomor Sertipikat],Table_Tarikan_Warkah[Nomor Tiket]),"")</f>
        <v>K/29/101025/1</v>
      </c>
      <c r="E4370" s="36">
        <f t="array" ref="E4370">IFNA(_xlfn.XLOOKUP(D4370,Table_Tarikan_Warkah[Nomor Tiket],Table_Tarikan_Warkah[Tanggal diserahkan kepada Validator]),"")</f>
        <v>45979.6337</v>
      </c>
      <c r="F4370" s="36" t="str">
        <f t="array" ref="F4370">IFNA(_xlfn.XLOOKUP(D4370,Table_Tarikan_Warkah[Nomor Tiket],Table_Tarikan_Warkah[Nama Petugas Warkah]),"")</f>
        <v>Berry</v>
      </c>
      <c r="G4370" s="39" t="str">
        <f t="array" ref="G4370">IFNA(_xlfn.XLOOKUP(D4370,Table_Tarikan_Warkah[Nomor Tiket],Table_Tarikan_Warkah[Jenis Permohonan]),"")</f>
        <v>BN JUAL BELI</v>
      </c>
      <c r="H4370" s="41" t="s">
        <v>2315</v>
      </c>
      <c r="I4370" s="49" t="s">
        <v>23</v>
      </c>
      <c r="J4370" s="36">
        <f t="shared" si="20"/>
        <v>45972.62457</v>
      </c>
      <c r="K4370" s="69"/>
      <c r="L4370" s="49"/>
      <c r="M4370" s="36" t="str">
        <f t="shared" si="33"/>
        <v/>
      </c>
      <c r="N4370" s="30" t="str">
        <f t="shared" si="34"/>
        <v>BT atau SU Belum Valid</v>
      </c>
      <c r="O4370" s="39" t="str">
        <f t="shared" si="23"/>
        <v/>
      </c>
      <c r="P4370" s="47" t="b">
        <v>0</v>
      </c>
      <c r="Q4370" s="36" t="str">
        <f t="shared" si="35"/>
        <v/>
      </c>
      <c r="R4370" s="47" t="b">
        <v>0</v>
      </c>
      <c r="S4370" s="42" t="str">
        <f t="shared" si="28"/>
        <v/>
      </c>
      <c r="T4370" s="42"/>
    </row>
    <row r="4371" ht="22.5" customHeight="1">
      <c r="B4371" s="42">
        <f t="shared" si="7"/>
        <v>4365</v>
      </c>
      <c r="C4371" s="31" t="s">
        <v>4399</v>
      </c>
      <c r="D4371" s="34" t="str">
        <f t="array" ref="D4371">IFNA(_xlfn.XLOOKUP(C4371,Table_Tarikan_Warkah[Nomor Sertipikat],Table_Tarikan_Warkah[Nomor Tiket]),"")</f>
        <v>K/ 37/011025/5</v>
      </c>
      <c r="E4371" s="36" t="str">
        <f t="array" ref="E4371">IFNA(_xlfn.XLOOKUP(D4371,Table_Tarikan_Warkah[Nomor Tiket],Table_Tarikan_Warkah[Tanggal diserahkan kepada Validator]),"")</f>
        <v/>
      </c>
      <c r="F4371" s="36" t="str">
        <f t="array" ref="F4371">IFNA(_xlfn.XLOOKUP(D4371,Table_Tarikan_Warkah[Nomor Tiket],Table_Tarikan_Warkah[Nama Petugas Warkah]),"")</f>
        <v/>
      </c>
      <c r="G4371" s="39" t="str">
        <f t="array" ref="G4371">IFNA(_xlfn.XLOOKUP(D4371,Table_Tarikan_Warkah[Nomor Tiket],Table_Tarikan_Warkah[Jenis Permohonan]),"")</f>
        <v>BN JUAL BELI</v>
      </c>
      <c r="H4371" s="41" t="s">
        <v>2315</v>
      </c>
      <c r="I4371" s="49" t="s">
        <v>23</v>
      </c>
      <c r="J4371" s="36">
        <f t="shared" si="20"/>
        <v>45972.62485</v>
      </c>
      <c r="K4371" s="69"/>
      <c r="L4371" s="49"/>
      <c r="M4371" s="36" t="str">
        <f t="shared" si="33"/>
        <v/>
      </c>
      <c r="N4371" s="30" t="str">
        <f t="shared" si="34"/>
        <v>BT atau SU Belum Valid</v>
      </c>
      <c r="O4371" s="39" t="str">
        <f t="shared" si="23"/>
        <v/>
      </c>
      <c r="P4371" s="47" t="b">
        <v>0</v>
      </c>
      <c r="Q4371" s="36" t="str">
        <f t="shared" si="35"/>
        <v/>
      </c>
      <c r="R4371" s="47" t="b">
        <v>0</v>
      </c>
      <c r="S4371" s="42" t="str">
        <f t="shared" si="28"/>
        <v/>
      </c>
      <c r="T4371" s="42"/>
    </row>
    <row r="4372" ht="22.5" customHeight="1">
      <c r="B4372" s="42">
        <f t="shared" si="7"/>
        <v>4366</v>
      </c>
      <c r="C4372" s="31" t="s">
        <v>4400</v>
      </c>
      <c r="D4372" s="34" t="str">
        <f t="array" ref="D4372">IFNA(_xlfn.XLOOKUP(C4372,Table_Tarikan_Warkah[Nomor Sertipikat],Table_Tarikan_Warkah[Nomor Tiket]),"")</f>
        <v>K/36/011025/4</v>
      </c>
      <c r="E4372" s="36">
        <f t="array" ref="E4372">IFNA(_xlfn.XLOOKUP(D4372,Table_Tarikan_Warkah[Nomor Tiket],Table_Tarikan_Warkah[Tanggal diserahkan kepada Validator]),"")</f>
        <v>45993.58672</v>
      </c>
      <c r="F4372" s="36" t="str">
        <f t="array" ref="F4372">IFNA(_xlfn.XLOOKUP(D4372,Table_Tarikan_Warkah[Nomor Tiket],Table_Tarikan_Warkah[Nama Petugas Warkah]),"")</f>
        <v>David</v>
      </c>
      <c r="G4372" s="39" t="str">
        <f t="array" ref="G4372">IFNA(_xlfn.XLOOKUP(D4372,Table_Tarikan_Warkah[Nomor Tiket],Table_Tarikan_Warkah[Jenis Permohonan]),"")</f>
        <v>BN JUAL BELI</v>
      </c>
      <c r="H4372" s="41" t="s">
        <v>2315</v>
      </c>
      <c r="I4372" s="49" t="s">
        <v>23</v>
      </c>
      <c r="J4372" s="36">
        <f t="shared" si="20"/>
        <v>45972.62504</v>
      </c>
      <c r="K4372" s="69"/>
      <c r="L4372" s="49"/>
      <c r="M4372" s="36" t="str">
        <f t="shared" si="33"/>
        <v/>
      </c>
      <c r="N4372" s="30" t="str">
        <f t="shared" si="34"/>
        <v>BT atau SU Belum Valid</v>
      </c>
      <c r="O4372" s="39" t="str">
        <f t="shared" si="23"/>
        <v/>
      </c>
      <c r="P4372" s="47" t="b">
        <v>0</v>
      </c>
      <c r="Q4372" s="36" t="str">
        <f t="shared" si="35"/>
        <v/>
      </c>
      <c r="R4372" s="47" t="b">
        <v>0</v>
      </c>
      <c r="S4372" s="42" t="str">
        <f t="shared" si="28"/>
        <v/>
      </c>
      <c r="T4372" s="42"/>
    </row>
    <row r="4373" ht="22.5" customHeight="1">
      <c r="B4373" s="42">
        <f t="shared" si="7"/>
        <v>4367</v>
      </c>
      <c r="C4373" s="31" t="s">
        <v>4401</v>
      </c>
      <c r="D4373" s="34" t="str">
        <f t="array" ref="D4373">IFNA(_xlfn.XLOOKUP(C4373,Table_Tarikan_Warkah[Nomor Sertipikat],Table_Tarikan_Warkah[Nomor Tiket]),"")</f>
        <v>K/19/040928/1</v>
      </c>
      <c r="E4373" s="36" t="str">
        <f t="array" ref="E4373">IFNA(_xlfn.XLOOKUP(D4373,Table_Tarikan_Warkah[Nomor Tiket],Table_Tarikan_Warkah[Tanggal diserahkan kepada Validator]),"")</f>
        <v/>
      </c>
      <c r="F4373" s="36" t="str">
        <f t="array" ref="F4373">IFNA(_xlfn.XLOOKUP(D4373,Table_Tarikan_Warkah[Nomor Tiket],Table_Tarikan_Warkah[Nama Petugas Warkah]),"")</f>
        <v/>
      </c>
      <c r="G4373" s="39" t="str">
        <f t="array" ref="G4373">IFNA(_xlfn.XLOOKUP(D4373,Table_Tarikan_Warkah[Nomor Tiket],Table_Tarikan_Warkah[Jenis Permohonan]),"")</f>
        <v>BN JUAL BELI</v>
      </c>
      <c r="H4373" s="41" t="s">
        <v>2315</v>
      </c>
      <c r="I4373" s="49" t="s">
        <v>23</v>
      </c>
      <c r="J4373" s="36">
        <f t="shared" si="20"/>
        <v>45973.59894</v>
      </c>
      <c r="K4373" s="69"/>
      <c r="L4373" s="49"/>
      <c r="M4373" s="36" t="str">
        <f t="shared" si="33"/>
        <v/>
      </c>
      <c r="N4373" s="30" t="str">
        <f t="shared" si="34"/>
        <v>BT atau SU Belum Valid</v>
      </c>
      <c r="O4373" s="39" t="str">
        <f t="shared" si="23"/>
        <v/>
      </c>
      <c r="P4373" s="47" t="b">
        <v>0</v>
      </c>
      <c r="Q4373" s="36" t="str">
        <f t="shared" si="35"/>
        <v/>
      </c>
      <c r="R4373" s="47" t="b">
        <v>0</v>
      </c>
      <c r="S4373" s="42" t="str">
        <f t="shared" si="28"/>
        <v/>
      </c>
      <c r="T4373" s="42"/>
    </row>
    <row r="4374" ht="22.5" customHeight="1">
      <c r="B4374" s="42">
        <f t="shared" si="7"/>
        <v>4368</v>
      </c>
      <c r="C4374" s="31" t="s">
        <v>4402</v>
      </c>
      <c r="D4374" s="34" t="str">
        <f t="array" ref="D4374">IFNA(_xlfn.XLOOKUP(C4374,Table_Tarikan_Warkah[Nomor Sertipikat],Table_Tarikan_Warkah[Nomor Tiket]),"")</f>
        <v>K/26/110925/1</v>
      </c>
      <c r="E4374" s="36">
        <f t="array" ref="E4374">IFNA(_xlfn.XLOOKUP(D4374,Table_Tarikan_Warkah[Nomor Tiket],Table_Tarikan_Warkah[Tanggal diserahkan kepada Validator]),"")</f>
        <v>45960.64488</v>
      </c>
      <c r="F4374" s="36" t="str">
        <f t="array" ref="F4374">IFNA(_xlfn.XLOOKUP(D4374,Table_Tarikan_Warkah[Nomor Tiket],Table_Tarikan_Warkah[Nama Petugas Warkah]),"")</f>
        <v>David</v>
      </c>
      <c r="G4374" s="39" t="str">
        <f t="array" ref="G4374">IFNA(_xlfn.XLOOKUP(D4374,Table_Tarikan_Warkah[Nomor Tiket],Table_Tarikan_Warkah[Jenis Permohonan]),"")</f>
        <v>BN Jual Beli 	</v>
      </c>
      <c r="H4374" s="41" t="s">
        <v>2315</v>
      </c>
      <c r="I4374" s="49" t="s">
        <v>23</v>
      </c>
      <c r="J4374" s="36">
        <f t="shared" si="20"/>
        <v>45973.59909</v>
      </c>
      <c r="K4374" s="69"/>
      <c r="L4374" s="49"/>
      <c r="M4374" s="36" t="str">
        <f t="shared" si="33"/>
        <v/>
      </c>
      <c r="N4374" s="30" t="str">
        <f t="shared" si="34"/>
        <v>BT atau SU Belum Valid</v>
      </c>
      <c r="O4374" s="39" t="str">
        <f t="shared" si="23"/>
        <v/>
      </c>
      <c r="P4374" s="47" t="b">
        <v>0</v>
      </c>
      <c r="Q4374" s="36" t="str">
        <f t="shared" si="35"/>
        <v/>
      </c>
      <c r="R4374" s="47" t="b">
        <v>0</v>
      </c>
      <c r="S4374" s="42" t="str">
        <f t="shared" si="28"/>
        <v/>
      </c>
      <c r="T4374" s="42"/>
    </row>
    <row r="4375" ht="22.5" customHeight="1">
      <c r="B4375" s="42">
        <f t="shared" si="7"/>
        <v>4369</v>
      </c>
      <c r="C4375" s="31" t="s">
        <v>4403</v>
      </c>
      <c r="D4375" s="34" t="str">
        <f t="array" ref="D4375">IFNA(_xlfn.XLOOKUP(C4375,Table_Tarikan_Warkah[Nomor Sertipikat],Table_Tarikan_Warkah[Nomor Tiket]),"")</f>
        <v>K/27/110925/1</v>
      </c>
      <c r="E4375" s="36">
        <f t="array" ref="E4375">IFNA(_xlfn.XLOOKUP(D4375,Table_Tarikan_Warkah[Nomor Tiket],Table_Tarikan_Warkah[Tanggal diserahkan kepada Validator]),"")</f>
        <v>45988.63972</v>
      </c>
      <c r="F4375" s="36" t="str">
        <f t="array" ref="F4375">IFNA(_xlfn.XLOOKUP(D4375,Table_Tarikan_Warkah[Nomor Tiket],Table_Tarikan_Warkah[Nama Petugas Warkah]),"")</f>
        <v>Berry</v>
      </c>
      <c r="G4375" s="39" t="str">
        <f t="array" ref="G4375">IFNA(_xlfn.XLOOKUP(D4375,Table_Tarikan_Warkah[Nomor Tiket],Table_Tarikan_Warkah[Jenis Permohonan]),"")</f>
        <v>BN Jual Beli 	</v>
      </c>
      <c r="H4375" s="41" t="s">
        <v>2315</v>
      </c>
      <c r="I4375" s="49" t="s">
        <v>23</v>
      </c>
      <c r="J4375" s="36">
        <f t="shared" si="20"/>
        <v>45973.59925</v>
      </c>
      <c r="K4375" s="69"/>
      <c r="L4375" s="49"/>
      <c r="M4375" s="36" t="str">
        <f t="shared" si="33"/>
        <v/>
      </c>
      <c r="N4375" s="30" t="str">
        <f t="shared" si="34"/>
        <v>BT atau SU Belum Valid</v>
      </c>
      <c r="O4375" s="39" t="str">
        <f t="shared" si="23"/>
        <v/>
      </c>
      <c r="P4375" s="47" t="b">
        <v>0</v>
      </c>
      <c r="Q4375" s="36" t="str">
        <f t="shared" si="35"/>
        <v/>
      </c>
      <c r="R4375" s="47" t="b">
        <v>0</v>
      </c>
      <c r="S4375" s="42" t="str">
        <f t="shared" si="28"/>
        <v/>
      </c>
      <c r="T4375" s="42"/>
    </row>
    <row r="4376" ht="22.5" customHeight="1">
      <c r="B4376" s="42">
        <f t="shared" si="7"/>
        <v>4370</v>
      </c>
      <c r="C4376" s="31" t="s">
        <v>4404</v>
      </c>
      <c r="D4376" s="34" t="str">
        <f t="array" ref="D4376">IFNA(_xlfn.XLOOKUP(C4376,Table_Tarikan_Warkah[Nomor Sertipikat],Table_Tarikan_Warkah[Nomor Tiket]),"")</f>
        <v>K/19/120925/2</v>
      </c>
      <c r="E4376" s="36" t="str">
        <f t="array" ref="E4376">IFNA(_xlfn.XLOOKUP(D4376,Table_Tarikan_Warkah[Nomor Tiket],Table_Tarikan_Warkah[Tanggal diserahkan kepada Validator]),"")</f>
        <v/>
      </c>
      <c r="F4376" s="36" t="str">
        <f t="array" ref="F4376">IFNA(_xlfn.XLOOKUP(D4376,Table_Tarikan_Warkah[Nomor Tiket],Table_Tarikan_Warkah[Nama Petugas Warkah]),"")</f>
        <v/>
      </c>
      <c r="G4376" s="39" t="str">
        <f t="array" ref="G4376">IFNA(_xlfn.XLOOKUP(D4376,Table_Tarikan_Warkah[Nomor Tiket],Table_Tarikan_Warkah[Jenis Permohonan]),"")</f>
        <v>BN Jual Beli	</v>
      </c>
      <c r="H4376" s="41" t="s">
        <v>2315</v>
      </c>
      <c r="I4376" s="49" t="s">
        <v>23</v>
      </c>
      <c r="J4376" s="36">
        <f t="shared" si="20"/>
        <v>45973.59945</v>
      </c>
      <c r="K4376" s="69"/>
      <c r="L4376" s="49"/>
      <c r="M4376" s="36" t="str">
        <f t="shared" si="33"/>
        <v/>
      </c>
      <c r="N4376" s="30" t="str">
        <f t="shared" si="34"/>
        <v>BT atau SU Belum Valid</v>
      </c>
      <c r="O4376" s="39" t="str">
        <f t="shared" si="23"/>
        <v/>
      </c>
      <c r="P4376" s="47" t="b">
        <v>0</v>
      </c>
      <c r="Q4376" s="36" t="str">
        <f t="shared" si="35"/>
        <v/>
      </c>
      <c r="R4376" s="47" t="b">
        <v>0</v>
      </c>
      <c r="S4376" s="42" t="str">
        <f t="shared" si="28"/>
        <v/>
      </c>
      <c r="T4376" s="42"/>
    </row>
    <row r="4377" ht="22.5" customHeight="1">
      <c r="B4377" s="42">
        <f t="shared" si="7"/>
        <v>4371</v>
      </c>
      <c r="C4377" s="31" t="s">
        <v>4405</v>
      </c>
      <c r="D4377" s="34" t="str">
        <f t="array" ref="D4377">IFNA(_xlfn.XLOOKUP(C4377,Table_Tarikan_Warkah[Nomor Sertipikat],Table_Tarikan_Warkah[Nomor Tiket]),"")</f>
        <v>K/1/081025/1</v>
      </c>
      <c r="E4377" s="36" t="str">
        <f t="array" ref="E4377">IFNA(_xlfn.XLOOKUP(D4377,Table_Tarikan_Warkah[Nomor Tiket],Table_Tarikan_Warkah[Tanggal diserahkan kepada Validator]),"")</f>
        <v/>
      </c>
      <c r="F4377" s="36" t="str">
        <f t="array" ref="F4377">IFNA(_xlfn.XLOOKUP(D4377,Table_Tarikan_Warkah[Nomor Tiket],Table_Tarikan_Warkah[Nama Petugas Warkah]),"")</f>
        <v/>
      </c>
      <c r="G4377" s="39" t="str">
        <f t="array" ref="G4377">IFNA(_xlfn.XLOOKUP(D4377,Table_Tarikan_Warkah[Nomor Tiket],Table_Tarikan_Warkah[Jenis Permohonan]),"")</f>
        <v>BN Jual Beli	</v>
      </c>
      <c r="H4377" s="41" t="s">
        <v>2315</v>
      </c>
      <c r="I4377" s="49" t="s">
        <v>23</v>
      </c>
      <c r="J4377" s="36">
        <f t="shared" si="20"/>
        <v>45973.5996</v>
      </c>
      <c r="K4377" s="69"/>
      <c r="L4377" s="49"/>
      <c r="M4377" s="36" t="str">
        <f t="shared" si="33"/>
        <v/>
      </c>
      <c r="N4377" s="30" t="str">
        <f t="shared" si="34"/>
        <v>BT atau SU Belum Valid</v>
      </c>
      <c r="O4377" s="39" t="str">
        <f t="shared" si="23"/>
        <v/>
      </c>
      <c r="P4377" s="47" t="b">
        <v>0</v>
      </c>
      <c r="Q4377" s="36" t="str">
        <f t="shared" si="35"/>
        <v/>
      </c>
      <c r="R4377" s="47" t="b">
        <v>0</v>
      </c>
      <c r="S4377" s="42" t="str">
        <f t="shared" si="28"/>
        <v/>
      </c>
      <c r="T4377" s="42"/>
    </row>
    <row r="4378" ht="22.5" customHeight="1">
      <c r="B4378" s="42">
        <f t="shared" si="7"/>
        <v>4372</v>
      </c>
      <c r="C4378" s="31" t="s">
        <v>4406</v>
      </c>
      <c r="D4378" s="34" t="str">
        <f t="array" ref="D4378">IFNA(_xlfn.XLOOKUP(C4378,Table_Tarikan_Warkah[Nomor Sertipikat],Table_Tarikan_Warkah[Nomor Tiket]),"")</f>
        <v>K/5/061025/1</v>
      </c>
      <c r="E4378" s="36" t="str">
        <f t="array" ref="E4378">IFNA(_xlfn.XLOOKUP(D4378,Table_Tarikan_Warkah[Nomor Tiket],Table_Tarikan_Warkah[Tanggal diserahkan kepada Validator]),"")</f>
        <v/>
      </c>
      <c r="F4378" s="36" t="str">
        <f t="array" ref="F4378">IFNA(_xlfn.XLOOKUP(D4378,Table_Tarikan_Warkah[Nomor Tiket],Table_Tarikan_Warkah[Nama Petugas Warkah]),"")</f>
        <v/>
      </c>
      <c r="G4378" s="39" t="str">
        <f t="array" ref="G4378">IFNA(_xlfn.XLOOKUP(D4378,Table_Tarikan_Warkah[Nomor Tiket],Table_Tarikan_Warkah[Jenis Permohonan]),"")</f>
        <v>BN Jual Beli	</v>
      </c>
      <c r="H4378" s="41" t="s">
        <v>2315</v>
      </c>
      <c r="I4378" s="49" t="s">
        <v>23</v>
      </c>
      <c r="J4378" s="36">
        <f t="shared" si="20"/>
        <v>45973.59975</v>
      </c>
      <c r="K4378" s="69"/>
      <c r="L4378" s="49"/>
      <c r="M4378" s="36" t="str">
        <f t="shared" si="33"/>
        <v/>
      </c>
      <c r="N4378" s="30" t="str">
        <f t="shared" si="34"/>
        <v>BT atau SU Belum Valid</v>
      </c>
      <c r="O4378" s="39" t="str">
        <f t="shared" si="23"/>
        <v/>
      </c>
      <c r="P4378" s="47" t="b">
        <v>0</v>
      </c>
      <c r="Q4378" s="36" t="str">
        <f t="shared" si="35"/>
        <v/>
      </c>
      <c r="R4378" s="47" t="b">
        <v>0</v>
      </c>
      <c r="S4378" s="42" t="str">
        <f t="shared" si="28"/>
        <v/>
      </c>
      <c r="T4378" s="42"/>
    </row>
    <row r="4379" ht="22.5" customHeight="1">
      <c r="B4379" s="42">
        <f t="shared" si="7"/>
        <v>4373</v>
      </c>
      <c r="C4379" s="31" t="s">
        <v>4403</v>
      </c>
      <c r="D4379" s="34" t="str">
        <f t="array" ref="D4379">IFNA(_xlfn.XLOOKUP(C4379,Table_Tarikan_Warkah[Nomor Sertipikat],Table_Tarikan_Warkah[Nomor Tiket]),"")</f>
        <v>K/27/110925/1</v>
      </c>
      <c r="E4379" s="36">
        <f t="array" ref="E4379">IFNA(_xlfn.XLOOKUP(D4379,Table_Tarikan_Warkah[Nomor Tiket],Table_Tarikan_Warkah[Tanggal diserahkan kepada Validator]),"")</f>
        <v>45988.63972</v>
      </c>
      <c r="F4379" s="36" t="str">
        <f t="array" ref="F4379">IFNA(_xlfn.XLOOKUP(D4379,Table_Tarikan_Warkah[Nomor Tiket],Table_Tarikan_Warkah[Nama Petugas Warkah]),"")</f>
        <v>Berry</v>
      </c>
      <c r="G4379" s="39" t="str">
        <f t="array" ref="G4379">IFNA(_xlfn.XLOOKUP(D4379,Table_Tarikan_Warkah[Nomor Tiket],Table_Tarikan_Warkah[Jenis Permohonan]),"")</f>
        <v>BN Jual Beli 	</v>
      </c>
      <c r="H4379" s="41" t="s">
        <v>2315</v>
      </c>
      <c r="I4379" s="49" t="s">
        <v>23</v>
      </c>
      <c r="J4379" s="36">
        <f t="shared" si="20"/>
        <v>45973.61829</v>
      </c>
      <c r="K4379" s="69"/>
      <c r="L4379" s="49"/>
      <c r="M4379" s="36" t="str">
        <f t="shared" si="33"/>
        <v/>
      </c>
      <c r="N4379" s="30" t="str">
        <f t="shared" si="34"/>
        <v>BT atau SU Belum Valid</v>
      </c>
      <c r="O4379" s="39" t="str">
        <f t="shared" si="23"/>
        <v/>
      </c>
      <c r="P4379" s="47" t="b">
        <v>0</v>
      </c>
      <c r="Q4379" s="36" t="str">
        <f t="shared" si="35"/>
        <v/>
      </c>
      <c r="R4379" s="47" t="b">
        <v>0</v>
      </c>
      <c r="S4379" s="42" t="str">
        <f t="shared" si="28"/>
        <v/>
      </c>
      <c r="T4379" s="42"/>
    </row>
    <row r="4380" ht="22.5" customHeight="1">
      <c r="B4380" s="42">
        <f t="shared" si="7"/>
        <v>4374</v>
      </c>
      <c r="C4380" s="31" t="s">
        <v>4407</v>
      </c>
      <c r="D4380" s="34" t="str">
        <f t="array" ref="D4380">IFNA(_xlfn.XLOOKUP(C4380,Table_Tarikan_Warkah[Nomor Sertipikat],Table_Tarikan_Warkah[Nomor Tiket]),"")</f>
        <v>K/15/031025/5	</v>
      </c>
      <c r="E4380" s="36" t="str">
        <f t="array" ref="E4380">IFNA(_xlfn.XLOOKUP(D4380,Table_Tarikan_Warkah[Nomor Tiket],Table_Tarikan_Warkah[Tanggal diserahkan kepada Validator]),"")</f>
        <v/>
      </c>
      <c r="F4380" s="36" t="str">
        <f t="array" ref="F4380">IFNA(_xlfn.XLOOKUP(D4380,Table_Tarikan_Warkah[Nomor Tiket],Table_Tarikan_Warkah[Nama Petugas Warkah]),"")</f>
        <v/>
      </c>
      <c r="G4380" s="39" t="str">
        <f t="array" ref="G4380">IFNA(_xlfn.XLOOKUP(D4380,Table_Tarikan_Warkah[Nomor Tiket],Table_Tarikan_Warkah[Jenis Permohonan]),"")</f>
        <v>BN Jual Beli	</v>
      </c>
      <c r="H4380" s="41" t="s">
        <v>2315</v>
      </c>
      <c r="I4380" s="49" t="s">
        <v>23</v>
      </c>
      <c r="J4380" s="36">
        <f t="shared" si="20"/>
        <v>45978.54717</v>
      </c>
      <c r="K4380" s="69"/>
      <c r="L4380" s="49"/>
      <c r="M4380" s="36" t="str">
        <f t="shared" si="33"/>
        <v/>
      </c>
      <c r="N4380" s="30" t="str">
        <f t="shared" si="34"/>
        <v>BT atau SU Belum Valid</v>
      </c>
      <c r="O4380" s="39" t="str">
        <f t="shared" si="23"/>
        <v/>
      </c>
      <c r="P4380" s="47" t="b">
        <v>0</v>
      </c>
      <c r="Q4380" s="36" t="str">
        <f t="shared" si="35"/>
        <v/>
      </c>
      <c r="R4380" s="47" t="b">
        <v>0</v>
      </c>
      <c r="S4380" s="42" t="str">
        <f t="shared" si="28"/>
        <v/>
      </c>
      <c r="T4380" s="42"/>
    </row>
    <row r="4381" ht="22.5" customHeight="1">
      <c r="B4381" s="42">
        <f t="shared" si="7"/>
        <v>4375</v>
      </c>
      <c r="C4381" s="31" t="s">
        <v>4408</v>
      </c>
      <c r="D4381" s="34" t="str">
        <f t="array" ref="D4381">IFNA(_xlfn.XLOOKUP(C4381,Table_Tarikan_Warkah[Nomor Sertipikat],Table_Tarikan_Warkah[Nomor Tiket]),"")</f>
        <v>K/7/300925/1</v>
      </c>
      <c r="E4381" s="36" t="str">
        <f t="array" ref="E4381">IFNA(_xlfn.XLOOKUP(D4381,Table_Tarikan_Warkah[Nomor Tiket],Table_Tarikan_Warkah[Tanggal diserahkan kepada Validator]),"")</f>
        <v/>
      </c>
      <c r="F4381" s="36" t="str">
        <f t="array" ref="F4381">IFNA(_xlfn.XLOOKUP(D4381,Table_Tarikan_Warkah[Nomor Tiket],Table_Tarikan_Warkah[Nama Petugas Warkah]),"")</f>
        <v/>
      </c>
      <c r="G4381" s="39" t="str">
        <f t="array" ref="G4381">IFNA(_xlfn.XLOOKUP(D4381,Table_Tarikan_Warkah[Nomor Tiket],Table_Tarikan_Warkah[Jenis Permohonan]),"")</f>
        <v>BN Jual Beli	</v>
      </c>
      <c r="H4381" s="41" t="s">
        <v>2315</v>
      </c>
      <c r="I4381" s="49" t="s">
        <v>23</v>
      </c>
      <c r="J4381" s="36">
        <f t="shared" si="20"/>
        <v>45978.54737</v>
      </c>
      <c r="K4381" s="69"/>
      <c r="L4381" s="49"/>
      <c r="M4381" s="36" t="str">
        <f t="shared" si="33"/>
        <v/>
      </c>
      <c r="N4381" s="30" t="str">
        <f t="shared" si="34"/>
        <v>BT atau SU Belum Valid</v>
      </c>
      <c r="O4381" s="39" t="str">
        <f t="shared" si="23"/>
        <v/>
      </c>
      <c r="P4381" s="47" t="b">
        <v>0</v>
      </c>
      <c r="Q4381" s="36" t="str">
        <f t="shared" si="35"/>
        <v/>
      </c>
      <c r="R4381" s="47" t="b">
        <v>0</v>
      </c>
      <c r="S4381" s="42" t="str">
        <f t="shared" si="28"/>
        <v/>
      </c>
      <c r="T4381" s="42"/>
    </row>
    <row r="4382" ht="22.5" customHeight="1">
      <c r="B4382" s="42">
        <f t="shared" si="7"/>
        <v>4376</v>
      </c>
      <c r="C4382" s="31" t="s">
        <v>4409</v>
      </c>
      <c r="D4382" s="34" t="str">
        <f t="array" ref="D4382">IFNA(_xlfn.XLOOKUP(C4382,Table_Tarikan_Warkah[Nomor Sertipikat],Table_Tarikan_Warkah[Nomor Tiket]),"")</f>
        <v>K/1/021025/1</v>
      </c>
      <c r="E4382" s="36">
        <f t="array" ref="E4382">IFNA(_xlfn.XLOOKUP(D4382,Table_Tarikan_Warkah[Nomor Tiket],Table_Tarikan_Warkah[Tanggal diserahkan kepada Validator]),"")</f>
        <v>45988.63985</v>
      </c>
      <c r="F4382" s="36" t="str">
        <f t="array" ref="F4382">IFNA(_xlfn.XLOOKUP(D4382,Table_Tarikan_Warkah[Nomor Tiket],Table_Tarikan_Warkah[Nama Petugas Warkah]),"")</f>
        <v>Berry</v>
      </c>
      <c r="G4382" s="39" t="str">
        <f t="array" ref="G4382">IFNA(_xlfn.XLOOKUP(D4382,Table_Tarikan_Warkah[Nomor Tiket],Table_Tarikan_Warkah[Jenis Permohonan]),"")</f>
        <v>BN Jual Beli		</v>
      </c>
      <c r="H4382" s="41" t="s">
        <v>2315</v>
      </c>
      <c r="I4382" s="49" t="s">
        <v>23</v>
      </c>
      <c r="J4382" s="36">
        <f t="shared" si="20"/>
        <v>45978.54755</v>
      </c>
      <c r="K4382" s="69"/>
      <c r="L4382" s="49"/>
      <c r="M4382" s="36" t="str">
        <f t="shared" si="33"/>
        <v/>
      </c>
      <c r="N4382" s="30" t="str">
        <f t="shared" si="34"/>
        <v>BT atau SU Belum Valid</v>
      </c>
      <c r="O4382" s="39" t="str">
        <f t="shared" si="23"/>
        <v/>
      </c>
      <c r="P4382" s="47" t="b">
        <v>0</v>
      </c>
      <c r="Q4382" s="36" t="str">
        <f t="shared" si="35"/>
        <v/>
      </c>
      <c r="R4382" s="47" t="b">
        <v>0</v>
      </c>
      <c r="S4382" s="42" t="str">
        <f t="shared" si="28"/>
        <v/>
      </c>
      <c r="T4382" s="42"/>
    </row>
    <row r="4383" ht="22.5" customHeight="1">
      <c r="B4383" s="42">
        <f t="shared" si="7"/>
        <v>4377</v>
      </c>
      <c r="C4383" s="31" t="s">
        <v>4410</v>
      </c>
      <c r="D4383" s="34" t="str">
        <f t="array" ref="D4383">IFNA(_xlfn.XLOOKUP(C4383,Table_Tarikan_Warkah[Nomor Sertipikat],Table_Tarikan_Warkah[Nomor Tiket]),"")</f>
        <v>L/18/211025/1</v>
      </c>
      <c r="E4383" s="36" t="str">
        <f t="array" ref="E4383">IFNA(_xlfn.XLOOKUP(D4383,Table_Tarikan_Warkah[Nomor Tiket],Table_Tarikan_Warkah[Tanggal diserahkan kepada Validator]),"")</f>
        <v/>
      </c>
      <c r="F4383" s="36" t="str">
        <f t="array" ref="F4383">IFNA(_xlfn.XLOOKUP(D4383,Table_Tarikan_Warkah[Nomor Tiket],Table_Tarikan_Warkah[Nama Petugas Warkah]),"")</f>
        <v/>
      </c>
      <c r="G4383" s="39" t="str">
        <f t="array" ref="G4383">IFNA(_xlfn.XLOOKUP(D4383,Table_Tarikan_Warkah[Nomor Tiket],Table_Tarikan_Warkah[Jenis Permohonan]),"")</f>
        <v>BN LELANG</v>
      </c>
      <c r="H4383" s="41" t="s">
        <v>2315</v>
      </c>
      <c r="I4383" s="49" t="s">
        <v>23</v>
      </c>
      <c r="J4383" s="36">
        <f t="shared" si="20"/>
        <v>45979.43044</v>
      </c>
      <c r="K4383" s="69"/>
      <c r="L4383" s="49"/>
      <c r="M4383" s="36" t="str">
        <f t="shared" si="33"/>
        <v/>
      </c>
      <c r="N4383" s="30" t="str">
        <f t="shared" si="34"/>
        <v>BT atau SU Belum Valid</v>
      </c>
      <c r="O4383" s="39" t="str">
        <f t="shared" si="23"/>
        <v/>
      </c>
      <c r="P4383" s="47" t="b">
        <v>0</v>
      </c>
      <c r="Q4383" s="36" t="str">
        <f t="shared" si="35"/>
        <v/>
      </c>
      <c r="R4383" s="47" t="b">
        <v>0</v>
      </c>
      <c r="S4383" s="42" t="str">
        <f t="shared" si="28"/>
        <v/>
      </c>
      <c r="T4383" s="42"/>
    </row>
    <row r="4384" ht="22.5" customHeight="1">
      <c r="B4384" s="42">
        <f t="shared" si="7"/>
        <v>4378</v>
      </c>
      <c r="C4384" s="31" t="s">
        <v>4411</v>
      </c>
      <c r="D4384" s="34" t="str">
        <f t="array" ref="D4384">IFNA(_xlfn.XLOOKUP(C4384,Table_Tarikan_Warkah[Nomor Sertipikat],Table_Tarikan_Warkah[Nomor Tiket]),"")</f>
        <v>L/3/151025/1</v>
      </c>
      <c r="E4384" s="36" t="str">
        <f t="array" ref="E4384">IFNA(_xlfn.XLOOKUP(D4384,Table_Tarikan_Warkah[Nomor Tiket],Table_Tarikan_Warkah[Tanggal diserahkan kepada Validator]),"")</f>
        <v/>
      </c>
      <c r="F4384" s="36" t="str">
        <f t="array" ref="F4384">IFNA(_xlfn.XLOOKUP(D4384,Table_Tarikan_Warkah[Nomor Tiket],Table_Tarikan_Warkah[Nama Petugas Warkah]),"")</f>
        <v/>
      </c>
      <c r="G4384" s="39" t="str">
        <f t="array" ref="G4384">IFNA(_xlfn.XLOOKUP(D4384,Table_Tarikan_Warkah[Nomor Tiket],Table_Tarikan_Warkah[Jenis Permohonan]),"")</f>
        <v>ROYA</v>
      </c>
      <c r="H4384" s="41" t="s">
        <v>2315</v>
      </c>
      <c r="I4384" s="49" t="s">
        <v>23</v>
      </c>
      <c r="J4384" s="36">
        <f t="shared" si="20"/>
        <v>45979.43075</v>
      </c>
      <c r="K4384" s="69"/>
      <c r="L4384" s="49"/>
      <c r="M4384" s="36" t="str">
        <f t="shared" si="33"/>
        <v/>
      </c>
      <c r="N4384" s="30" t="str">
        <f t="shared" si="34"/>
        <v>BT atau SU Belum Valid</v>
      </c>
      <c r="O4384" s="39" t="str">
        <f t="shared" si="23"/>
        <v/>
      </c>
      <c r="P4384" s="47" t="b">
        <v>0</v>
      </c>
      <c r="Q4384" s="36" t="str">
        <f t="shared" si="35"/>
        <v/>
      </c>
      <c r="R4384" s="47" t="b">
        <v>0</v>
      </c>
      <c r="S4384" s="42" t="str">
        <f t="shared" si="28"/>
        <v/>
      </c>
      <c r="T4384" s="42"/>
    </row>
    <row r="4385" ht="22.5" customHeight="1">
      <c r="B4385" s="42">
        <f t="shared" si="7"/>
        <v>4379</v>
      </c>
      <c r="C4385" s="31" t="s">
        <v>4412</v>
      </c>
      <c r="D4385" s="34" t="str">
        <f t="array" ref="D4385">IFNA(_xlfn.XLOOKUP(C4385,Table_Tarikan_Warkah[Nomor Sertipikat],Table_Tarikan_Warkah[Nomor Tiket]),"")</f>
        <v/>
      </c>
      <c r="E4385" s="36" t="str">
        <f t="array" ref="E4385">IFNA(_xlfn.XLOOKUP(D4385,Table_Tarikan_Warkah[Nomor Tiket],Table_Tarikan_Warkah[Tanggal diserahkan kepada Validator]),"")</f>
        <v/>
      </c>
      <c r="F4385" s="36" t="str">
        <f t="array" ref="F4385">IFNA(_xlfn.XLOOKUP(D4385,Table_Tarikan_Warkah[Nomor Tiket],Table_Tarikan_Warkah[Nama Petugas Warkah]),"")</f>
        <v/>
      </c>
      <c r="G4385" s="39" t="str">
        <f t="array" ref="G4385">IFNA(_xlfn.XLOOKUP(D4385,Table_Tarikan_Warkah[Nomor Tiket],Table_Tarikan_Warkah[Jenis Permohonan]),"")</f>
        <v/>
      </c>
      <c r="H4385" s="41" t="s">
        <v>2315</v>
      </c>
      <c r="I4385" s="49" t="s">
        <v>23</v>
      </c>
      <c r="J4385" s="36">
        <f t="shared" si="20"/>
        <v>45979.43121</v>
      </c>
      <c r="K4385" s="69"/>
      <c r="L4385" s="49"/>
      <c r="M4385" s="36" t="str">
        <f t="shared" si="33"/>
        <v/>
      </c>
      <c r="N4385" s="30" t="str">
        <f t="shared" si="34"/>
        <v/>
      </c>
      <c r="O4385" s="39" t="str">
        <f t="shared" si="23"/>
        <v/>
      </c>
      <c r="P4385" s="47" t="b">
        <v>0</v>
      </c>
      <c r="Q4385" s="36" t="str">
        <f t="shared" si="35"/>
        <v/>
      </c>
      <c r="R4385" s="47" t="b">
        <v>0</v>
      </c>
      <c r="S4385" s="42" t="str">
        <f t="shared" si="28"/>
        <v/>
      </c>
      <c r="T4385" s="42"/>
    </row>
    <row r="4386" ht="22.5" customHeight="1">
      <c r="B4386" s="42">
        <f t="shared" si="7"/>
        <v>4380</v>
      </c>
      <c r="C4386" s="31" t="s">
        <v>4413</v>
      </c>
      <c r="D4386" s="34" t="str">
        <f t="array" ref="D4386">IFNA(_xlfn.XLOOKUP(C4386,Table_Tarikan_Warkah[Nomor Sertipikat],Table_Tarikan_Warkah[Nomor Tiket]),"")</f>
        <v>L/19/221025/1</v>
      </c>
      <c r="E4386" s="36" t="str">
        <f t="array" ref="E4386">IFNA(_xlfn.XLOOKUP(D4386,Table_Tarikan_Warkah[Nomor Tiket],Table_Tarikan_Warkah[Tanggal diserahkan kepada Validator]),"")</f>
        <v/>
      </c>
      <c r="F4386" s="36" t="str">
        <f t="array" ref="F4386">IFNA(_xlfn.XLOOKUP(D4386,Table_Tarikan_Warkah[Nomor Tiket],Table_Tarikan_Warkah[Nama Petugas Warkah]),"")</f>
        <v/>
      </c>
      <c r="G4386" s="39" t="str">
        <f t="array" ref="G4386">IFNA(_xlfn.XLOOKUP(D4386,Table_Tarikan_Warkah[Nomor Tiket],Table_Tarikan_Warkah[Jenis Permohonan]),"")</f>
        <v>ROYA</v>
      </c>
      <c r="H4386" s="41" t="s">
        <v>2315</v>
      </c>
      <c r="I4386" s="49" t="s">
        <v>23</v>
      </c>
      <c r="J4386" s="36">
        <f t="shared" si="20"/>
        <v>45979.43166</v>
      </c>
      <c r="K4386" s="69"/>
      <c r="L4386" s="49"/>
      <c r="M4386" s="36" t="str">
        <f t="shared" si="33"/>
        <v/>
      </c>
      <c r="N4386" s="30" t="str">
        <f t="shared" si="34"/>
        <v>BT atau SU Belum Valid</v>
      </c>
      <c r="O4386" s="39" t="str">
        <f t="shared" si="23"/>
        <v/>
      </c>
      <c r="P4386" s="47" t="b">
        <v>0</v>
      </c>
      <c r="Q4386" s="36" t="str">
        <f t="shared" si="35"/>
        <v/>
      </c>
      <c r="R4386" s="47" t="b">
        <v>0</v>
      </c>
      <c r="S4386" s="42" t="str">
        <f t="shared" si="28"/>
        <v/>
      </c>
      <c r="T4386" s="42"/>
    </row>
    <row r="4387" ht="22.5" customHeight="1">
      <c r="B4387" s="42">
        <f t="shared" si="7"/>
        <v>4381</v>
      </c>
      <c r="C4387" s="31" t="s">
        <v>4414</v>
      </c>
      <c r="D4387" s="34" t="str">
        <f t="array" ref="D4387">IFNA(_xlfn.XLOOKUP(C4387,Table_Tarikan_Warkah[Nomor Sertipikat],Table_Tarikan_Warkah[Nomor Tiket]),"")</f>
        <v>L/24/141025/1</v>
      </c>
      <c r="E4387" s="36" t="str">
        <f t="array" ref="E4387">IFNA(_xlfn.XLOOKUP(D4387,Table_Tarikan_Warkah[Nomor Tiket],Table_Tarikan_Warkah[Tanggal diserahkan kepada Validator]),"")</f>
        <v/>
      </c>
      <c r="F4387" s="36" t="str">
        <f t="array" ref="F4387">IFNA(_xlfn.XLOOKUP(D4387,Table_Tarikan_Warkah[Nomor Tiket],Table_Tarikan_Warkah[Nama Petugas Warkah]),"")</f>
        <v/>
      </c>
      <c r="G4387" s="39" t="str">
        <f t="array" ref="G4387">IFNA(_xlfn.XLOOKUP(D4387,Table_Tarikan_Warkah[Nomor Tiket],Table_Tarikan_Warkah[Jenis Permohonan]),"")</f>
        <v>ROYA</v>
      </c>
      <c r="H4387" s="41" t="s">
        <v>2315</v>
      </c>
      <c r="I4387" s="49" t="s">
        <v>23</v>
      </c>
      <c r="J4387" s="36">
        <f t="shared" si="20"/>
        <v>45979.43207</v>
      </c>
      <c r="K4387" s="69"/>
      <c r="L4387" s="49"/>
      <c r="M4387" s="36" t="str">
        <f t="shared" si="33"/>
        <v/>
      </c>
      <c r="N4387" s="30" t="str">
        <f t="shared" si="34"/>
        <v>BT atau SU Belum Valid</v>
      </c>
      <c r="O4387" s="39" t="str">
        <f t="shared" si="23"/>
        <v/>
      </c>
      <c r="P4387" s="47" t="b">
        <v>0</v>
      </c>
      <c r="Q4387" s="36" t="str">
        <f t="shared" si="35"/>
        <v/>
      </c>
      <c r="R4387" s="47" t="b">
        <v>0</v>
      </c>
      <c r="S4387" s="42" t="str">
        <f t="shared" si="28"/>
        <v/>
      </c>
      <c r="T4387" s="42"/>
    </row>
    <row r="4388" ht="22.5" customHeight="1">
      <c r="B4388" s="42">
        <f t="shared" si="7"/>
        <v>4382</v>
      </c>
      <c r="C4388" s="31" t="s">
        <v>4415</v>
      </c>
      <c r="D4388" s="34" t="str">
        <f t="array" ref="D4388">IFNA(_xlfn.XLOOKUP(C4388,Table_Tarikan_Warkah[Nomor Sertipikat],Table_Tarikan_Warkah[Nomor Tiket]),"")</f>
        <v>L/23/141025/1</v>
      </c>
      <c r="E4388" s="36" t="str">
        <f t="array" ref="E4388">IFNA(_xlfn.XLOOKUP(D4388,Table_Tarikan_Warkah[Nomor Tiket],Table_Tarikan_Warkah[Tanggal diserahkan kepada Validator]),"")</f>
        <v/>
      </c>
      <c r="F4388" s="36" t="str">
        <f t="array" ref="F4388">IFNA(_xlfn.XLOOKUP(D4388,Table_Tarikan_Warkah[Nomor Tiket],Table_Tarikan_Warkah[Nama Petugas Warkah]),"")</f>
        <v/>
      </c>
      <c r="G4388" s="39" t="str">
        <f t="array" ref="G4388">IFNA(_xlfn.XLOOKUP(D4388,Table_Tarikan_Warkah[Nomor Tiket],Table_Tarikan_Warkah[Jenis Permohonan]),"")</f>
        <v>PENINGKATAN HAK</v>
      </c>
      <c r="H4388" s="41" t="s">
        <v>2315</v>
      </c>
      <c r="I4388" s="49" t="s">
        <v>23</v>
      </c>
      <c r="J4388" s="36">
        <f t="shared" si="20"/>
        <v>45979.43253</v>
      </c>
      <c r="K4388" s="69"/>
      <c r="L4388" s="49"/>
      <c r="M4388" s="36" t="str">
        <f t="shared" si="33"/>
        <v/>
      </c>
      <c r="N4388" s="30" t="str">
        <f t="shared" si="34"/>
        <v>BT atau SU Belum Valid</v>
      </c>
      <c r="O4388" s="39" t="str">
        <f t="shared" si="23"/>
        <v/>
      </c>
      <c r="P4388" s="47" t="b">
        <v>0</v>
      </c>
      <c r="Q4388" s="36" t="str">
        <f t="shared" si="35"/>
        <v/>
      </c>
      <c r="R4388" s="47" t="b">
        <v>0</v>
      </c>
      <c r="S4388" s="42" t="str">
        <f t="shared" si="28"/>
        <v/>
      </c>
      <c r="T4388" s="42"/>
    </row>
    <row r="4389" ht="22.5" customHeight="1">
      <c r="B4389" s="42">
        <f t="shared" si="7"/>
        <v>4383</v>
      </c>
      <c r="C4389" s="31" t="s">
        <v>4416</v>
      </c>
      <c r="D4389" s="34" t="str">
        <f t="array" ref="D4389">IFNA(_xlfn.XLOOKUP(C4389,Table_Tarikan_Warkah[Nomor Sertipikat],Table_Tarikan_Warkah[Nomor Tiket]),"")</f>
        <v/>
      </c>
      <c r="E4389" s="36" t="str">
        <f t="array" ref="E4389">IFNA(_xlfn.XLOOKUP(D4389,Table_Tarikan_Warkah[Nomor Tiket],Table_Tarikan_Warkah[Tanggal diserahkan kepada Validator]),"")</f>
        <v/>
      </c>
      <c r="F4389" s="36" t="str">
        <f t="array" ref="F4389">IFNA(_xlfn.XLOOKUP(D4389,Table_Tarikan_Warkah[Nomor Tiket],Table_Tarikan_Warkah[Nama Petugas Warkah]),"")</f>
        <v/>
      </c>
      <c r="G4389" s="39" t="str">
        <f t="array" ref="G4389">IFNA(_xlfn.XLOOKUP(D4389,Table_Tarikan_Warkah[Nomor Tiket],Table_Tarikan_Warkah[Jenis Permohonan]),"")</f>
        <v/>
      </c>
      <c r="H4389" s="41" t="s">
        <v>2315</v>
      </c>
      <c r="I4389" s="49" t="s">
        <v>23</v>
      </c>
      <c r="J4389" s="36">
        <f t="shared" si="20"/>
        <v>45979.43287</v>
      </c>
      <c r="K4389" s="69"/>
      <c r="L4389" s="49"/>
      <c r="M4389" s="36" t="str">
        <f t="shared" si="33"/>
        <v/>
      </c>
      <c r="N4389" s="30" t="str">
        <f t="shared" si="34"/>
        <v/>
      </c>
      <c r="O4389" s="39" t="str">
        <f t="shared" si="23"/>
        <v/>
      </c>
      <c r="P4389" s="47" t="b">
        <v>0</v>
      </c>
      <c r="Q4389" s="36" t="str">
        <f t="shared" si="35"/>
        <v/>
      </c>
      <c r="R4389" s="47" t="b">
        <v>0</v>
      </c>
      <c r="S4389" s="42" t="str">
        <f t="shared" si="28"/>
        <v/>
      </c>
      <c r="T4389" s="42"/>
    </row>
    <row r="4390" ht="22.5" customHeight="1">
      <c r="B4390" s="42">
        <f t="shared" si="7"/>
        <v>4384</v>
      </c>
      <c r="C4390" s="31" t="s">
        <v>4417</v>
      </c>
      <c r="D4390" s="34" t="str">
        <f t="array" ref="D4390">IFNA(_xlfn.XLOOKUP(C4390,Table_Tarikan_Warkah[Nomor Sertipikat],Table_Tarikan_Warkah[Nomor Tiket]),"")</f>
        <v>K/20/011027/3</v>
      </c>
      <c r="E4390" s="36" t="str">
        <f t="array" ref="E4390">IFNA(_xlfn.XLOOKUP(D4390,Table_Tarikan_Warkah[Nomor Tiket],Table_Tarikan_Warkah[Tanggal diserahkan kepada Validator]),"")</f>
        <v/>
      </c>
      <c r="F4390" s="36" t="str">
        <f t="array" ref="F4390">IFNA(_xlfn.XLOOKUP(D4390,Table_Tarikan_Warkah[Nomor Tiket],Table_Tarikan_Warkah[Nama Petugas Warkah]),"")</f>
        <v/>
      </c>
      <c r="G4390" s="39" t="str">
        <f t="array" ref="G4390">IFNA(_xlfn.XLOOKUP(D4390,Table_Tarikan_Warkah[Nomor Tiket],Table_Tarikan_Warkah[Jenis Permohonan]),"")</f>
        <v>BN JUAL BELI</v>
      </c>
      <c r="H4390" s="41" t="s">
        <v>2315</v>
      </c>
      <c r="I4390" s="49" t="s">
        <v>23</v>
      </c>
      <c r="J4390" s="36">
        <f t="shared" si="20"/>
        <v>45979.43311</v>
      </c>
      <c r="K4390" s="69"/>
      <c r="L4390" s="49"/>
      <c r="M4390" s="36" t="str">
        <f t="shared" si="33"/>
        <v/>
      </c>
      <c r="N4390" s="30" t="str">
        <f t="shared" si="34"/>
        <v>BT atau SU Belum Valid</v>
      </c>
      <c r="O4390" s="39" t="str">
        <f t="shared" si="23"/>
        <v/>
      </c>
      <c r="P4390" s="47" t="b">
        <v>0</v>
      </c>
      <c r="Q4390" s="36" t="str">
        <f t="shared" si="35"/>
        <v/>
      </c>
      <c r="R4390" s="47" t="b">
        <v>0</v>
      </c>
      <c r="S4390" s="42" t="str">
        <f t="shared" si="28"/>
        <v/>
      </c>
      <c r="T4390" s="42"/>
    </row>
    <row r="4391" ht="22.5" customHeight="1">
      <c r="B4391" s="42">
        <f t="shared" si="7"/>
        <v>4385</v>
      </c>
      <c r="C4391" s="31" t="s">
        <v>4418</v>
      </c>
      <c r="D4391" s="34" t="str">
        <f t="array" ref="D4391">IFNA(_xlfn.XLOOKUP(C4391,Table_Tarikan_Warkah[Nomor Sertipikat],Table_Tarikan_Warkah[Nomor Tiket]),"")</f>
        <v/>
      </c>
      <c r="E4391" s="36" t="str">
        <f t="array" ref="E4391">IFNA(_xlfn.XLOOKUP(D4391,Table_Tarikan_Warkah[Nomor Tiket],Table_Tarikan_Warkah[Tanggal diserahkan kepada Validator]),"")</f>
        <v/>
      </c>
      <c r="F4391" s="36" t="str">
        <f t="array" ref="F4391">IFNA(_xlfn.XLOOKUP(D4391,Table_Tarikan_Warkah[Nomor Tiket],Table_Tarikan_Warkah[Nama Petugas Warkah]),"")</f>
        <v/>
      </c>
      <c r="G4391" s="39" t="str">
        <f t="array" ref="G4391">IFNA(_xlfn.XLOOKUP(D4391,Table_Tarikan_Warkah[Nomor Tiket],Table_Tarikan_Warkah[Jenis Permohonan]),"")</f>
        <v/>
      </c>
      <c r="H4391" s="41" t="s">
        <v>2315</v>
      </c>
      <c r="I4391" s="49" t="s">
        <v>23</v>
      </c>
      <c r="J4391" s="36">
        <f t="shared" si="20"/>
        <v>45979.43341</v>
      </c>
      <c r="K4391" s="69"/>
      <c r="L4391" s="49"/>
      <c r="M4391" s="36" t="str">
        <f t="shared" si="33"/>
        <v/>
      </c>
      <c r="N4391" s="30" t="str">
        <f t="shared" si="34"/>
        <v/>
      </c>
      <c r="O4391" s="39" t="str">
        <f t="shared" si="23"/>
        <v/>
      </c>
      <c r="P4391" s="47" t="b">
        <v>0</v>
      </c>
      <c r="Q4391" s="36" t="str">
        <f t="shared" si="35"/>
        <v/>
      </c>
      <c r="R4391" s="47" t="b">
        <v>0</v>
      </c>
      <c r="S4391" s="42" t="str">
        <f t="shared" si="28"/>
        <v/>
      </c>
      <c r="T4391" s="42"/>
    </row>
    <row r="4392" ht="22.5" customHeight="1">
      <c r="B4392" s="42">
        <f t="shared" si="7"/>
        <v>4386</v>
      </c>
      <c r="C4392" s="31" t="s">
        <v>4419</v>
      </c>
      <c r="D4392" s="34" t="str">
        <f t="array" ref="D4392">IFNA(_xlfn.XLOOKUP(C4392,Table_Tarikan_Warkah[Nomor Sertipikat],Table_Tarikan_Warkah[Nomor Tiket]),"")</f>
        <v>ABVSTPIB/AB045</v>
      </c>
      <c r="E4392" s="36">
        <f t="array" ref="E4392">IFNA(_xlfn.XLOOKUP(D4392,Table_Tarikan_Warkah[Nomor Tiket],Table_Tarikan_Warkah[Tanggal diserahkan kepada Validator]),"")</f>
        <v>46020.64925</v>
      </c>
      <c r="F4392" s="36" t="str">
        <f t="array" ref="F4392">IFNA(_xlfn.XLOOKUP(D4392,Table_Tarikan_Warkah[Nomor Tiket],Table_Tarikan_Warkah[Nama Petugas Warkah]),"")</f>
        <v>Berry</v>
      </c>
      <c r="G4392" s="39" t="str">
        <f t="array" ref="G4392">IFNA(_xlfn.XLOOKUP(D4392,Table_Tarikan_Warkah[Nomor Tiket],Table_Tarikan_Warkah[Jenis Permohonan]),"")</f>
        <v>Waris</v>
      </c>
      <c r="H4392" s="41" t="s">
        <v>2315</v>
      </c>
      <c r="I4392" s="49" t="s">
        <v>23</v>
      </c>
      <c r="J4392" s="36">
        <f t="shared" si="20"/>
        <v>45979.43377</v>
      </c>
      <c r="K4392" s="69"/>
      <c r="L4392" s="49"/>
      <c r="M4392" s="36" t="str">
        <f t="shared" si="33"/>
        <v/>
      </c>
      <c r="N4392" s="30" t="str">
        <f t="shared" si="34"/>
        <v>BT atau SU Belum Valid</v>
      </c>
      <c r="O4392" s="39" t="str">
        <f t="shared" si="23"/>
        <v/>
      </c>
      <c r="P4392" s="47" t="b">
        <v>0</v>
      </c>
      <c r="Q4392" s="36" t="str">
        <f t="shared" si="35"/>
        <v/>
      </c>
      <c r="R4392" s="47" t="b">
        <v>0</v>
      </c>
      <c r="S4392" s="42" t="str">
        <f t="shared" si="28"/>
        <v/>
      </c>
      <c r="T4392" s="42"/>
    </row>
    <row r="4393" ht="22.5" customHeight="1">
      <c r="B4393" s="42">
        <f t="shared" si="7"/>
        <v>4387</v>
      </c>
      <c r="C4393" s="31" t="s">
        <v>4420</v>
      </c>
      <c r="D4393" s="34" t="str">
        <f t="array" ref="D4393">IFNA(_xlfn.XLOOKUP(C4393,Table_Tarikan_Warkah[Nomor Sertipikat],Table_Tarikan_Warkah[Nomor Tiket]),"")</f>
        <v>K/16/250925/1</v>
      </c>
      <c r="E4393" s="36" t="str">
        <f t="array" ref="E4393">IFNA(_xlfn.XLOOKUP(D4393,Table_Tarikan_Warkah[Nomor Tiket],Table_Tarikan_Warkah[Tanggal diserahkan kepada Validator]),"")</f>
        <v/>
      </c>
      <c r="F4393" s="36" t="str">
        <f t="array" ref="F4393">IFNA(_xlfn.XLOOKUP(D4393,Table_Tarikan_Warkah[Nomor Tiket],Table_Tarikan_Warkah[Nama Petugas Warkah]),"")</f>
        <v/>
      </c>
      <c r="G4393" s="39" t="str">
        <f t="array" ref="G4393">IFNA(_xlfn.XLOOKUP(D4393,Table_Tarikan_Warkah[Nomor Tiket],Table_Tarikan_Warkah[Jenis Permohonan]),"")</f>
        <v>BN HIBAH</v>
      </c>
      <c r="H4393" s="41" t="s">
        <v>2315</v>
      </c>
      <c r="I4393" s="49" t="s">
        <v>23</v>
      </c>
      <c r="J4393" s="36">
        <f t="shared" si="20"/>
        <v>45979.43474</v>
      </c>
      <c r="K4393" s="69"/>
      <c r="L4393" s="49"/>
      <c r="M4393" s="36" t="str">
        <f t="shared" si="33"/>
        <v/>
      </c>
      <c r="N4393" s="30" t="str">
        <f t="shared" si="34"/>
        <v>BT atau SU Belum Valid</v>
      </c>
      <c r="O4393" s="39" t="str">
        <f t="shared" si="23"/>
        <v/>
      </c>
      <c r="P4393" s="47" t="b">
        <v>0</v>
      </c>
      <c r="Q4393" s="36" t="str">
        <f t="shared" si="35"/>
        <v/>
      </c>
      <c r="R4393" s="47" t="b">
        <v>0</v>
      </c>
      <c r="S4393" s="42" t="str">
        <f t="shared" si="28"/>
        <v/>
      </c>
      <c r="T4393" s="42"/>
    </row>
    <row r="4394" ht="22.5" customHeight="1">
      <c r="B4394" s="42">
        <f t="shared" si="7"/>
        <v>4388</v>
      </c>
      <c r="C4394" s="31" t="s">
        <v>4421</v>
      </c>
      <c r="D4394" s="34" t="str">
        <f t="array" ref="D4394">IFNA(_xlfn.XLOOKUP(C4394,Table_Tarikan_Warkah[Nomor Sertipikat],Table_Tarikan_Warkah[Nomor Tiket]),"")</f>
        <v>K/3/081025/1</v>
      </c>
      <c r="E4394" s="36" t="str">
        <f t="array" ref="E4394">IFNA(_xlfn.XLOOKUP(D4394,Table_Tarikan_Warkah[Nomor Tiket],Table_Tarikan_Warkah[Tanggal diserahkan kepada Validator]),"")</f>
        <v/>
      </c>
      <c r="F4394" s="36" t="str">
        <f t="array" ref="F4394">IFNA(_xlfn.XLOOKUP(D4394,Table_Tarikan_Warkah[Nomor Tiket],Table_Tarikan_Warkah[Nama Petugas Warkah]),"")</f>
        <v/>
      </c>
      <c r="G4394" s="39" t="str">
        <f t="array" ref="G4394">IFNA(_xlfn.XLOOKUP(D4394,Table_Tarikan_Warkah[Nomor Tiket],Table_Tarikan_Warkah[Jenis Permohonan]),"")</f>
        <v>BN JUAL BELI</v>
      </c>
      <c r="H4394" s="41" t="s">
        <v>2315</v>
      </c>
      <c r="I4394" s="49" t="s">
        <v>23</v>
      </c>
      <c r="J4394" s="36">
        <f t="shared" si="20"/>
        <v>45979.43488</v>
      </c>
      <c r="K4394" s="69"/>
      <c r="L4394" s="49"/>
      <c r="M4394" s="36" t="str">
        <f t="shared" si="33"/>
        <v/>
      </c>
      <c r="N4394" s="30" t="str">
        <f t="shared" si="34"/>
        <v>BT atau SU Belum Valid</v>
      </c>
      <c r="O4394" s="39" t="str">
        <f t="shared" si="23"/>
        <v/>
      </c>
      <c r="P4394" s="47" t="b">
        <v>0</v>
      </c>
      <c r="Q4394" s="36" t="str">
        <f t="shared" si="35"/>
        <v/>
      </c>
      <c r="R4394" s="47" t="b">
        <v>0</v>
      </c>
      <c r="S4394" s="42" t="str">
        <f t="shared" si="28"/>
        <v/>
      </c>
      <c r="T4394" s="42"/>
    </row>
    <row r="4395" ht="22.5" customHeight="1">
      <c r="B4395" s="42">
        <f t="shared" si="7"/>
        <v>4389</v>
      </c>
      <c r="C4395" s="31" t="s">
        <v>4422</v>
      </c>
      <c r="D4395" s="34" t="str">
        <f t="array" ref="D4395">IFNA(_xlfn.XLOOKUP(C4395,Table_Tarikan_Warkah[Nomor Sertipikat],Table_Tarikan_Warkah[Nomor Tiket]),"")</f>
        <v>K/10/150925/1</v>
      </c>
      <c r="E4395" s="36" t="str">
        <f t="array" ref="E4395">IFNA(_xlfn.XLOOKUP(D4395,Table_Tarikan_Warkah[Nomor Tiket],Table_Tarikan_Warkah[Tanggal diserahkan kepada Validator]),"")</f>
        <v/>
      </c>
      <c r="F4395" s="36" t="str">
        <f t="array" ref="F4395">IFNA(_xlfn.XLOOKUP(D4395,Table_Tarikan_Warkah[Nomor Tiket],Table_Tarikan_Warkah[Nama Petugas Warkah]),"")</f>
        <v/>
      </c>
      <c r="G4395" s="39" t="str">
        <f t="array" ref="G4395">IFNA(_xlfn.XLOOKUP(D4395,Table_Tarikan_Warkah[Nomor Tiket],Table_Tarikan_Warkah[Jenis Permohonan]),"")</f>
        <v>BN JUAL BELI</v>
      </c>
      <c r="H4395" s="41" t="s">
        <v>2315</v>
      </c>
      <c r="I4395" s="49" t="s">
        <v>23</v>
      </c>
      <c r="J4395" s="36">
        <f t="shared" si="20"/>
        <v>45979.43502</v>
      </c>
      <c r="K4395" s="69"/>
      <c r="L4395" s="49"/>
      <c r="M4395" s="36" t="str">
        <f t="shared" si="33"/>
        <v/>
      </c>
      <c r="N4395" s="30" t="str">
        <f t="shared" si="34"/>
        <v>BT atau SU Belum Valid</v>
      </c>
      <c r="O4395" s="39" t="str">
        <f t="shared" si="23"/>
        <v/>
      </c>
      <c r="P4395" s="47" t="b">
        <v>0</v>
      </c>
      <c r="Q4395" s="36" t="str">
        <f t="shared" si="35"/>
        <v/>
      </c>
      <c r="R4395" s="47" t="b">
        <v>0</v>
      </c>
      <c r="S4395" s="42" t="str">
        <f t="shared" si="28"/>
        <v/>
      </c>
      <c r="T4395" s="42"/>
    </row>
    <row r="4396" ht="22.5" customHeight="1">
      <c r="B4396" s="42">
        <f t="shared" si="7"/>
        <v>4390</v>
      </c>
      <c r="C4396" s="31" t="s">
        <v>4423</v>
      </c>
      <c r="D4396" s="34" t="str">
        <f t="array" ref="D4396">IFNA(_xlfn.XLOOKUP(C4396,Table_Tarikan_Warkah[Nomor Sertipikat],Table_Tarikan_Warkah[Nomor Tiket]),"")</f>
        <v>K/18/120925/1</v>
      </c>
      <c r="E4396" s="36" t="str">
        <f t="array" ref="E4396">IFNA(_xlfn.XLOOKUP(D4396,Table_Tarikan_Warkah[Nomor Tiket],Table_Tarikan_Warkah[Tanggal diserahkan kepada Validator]),"")</f>
        <v/>
      </c>
      <c r="F4396" s="36" t="str">
        <f t="array" ref="F4396">IFNA(_xlfn.XLOOKUP(D4396,Table_Tarikan_Warkah[Nomor Tiket],Table_Tarikan_Warkah[Nama Petugas Warkah]),"")</f>
        <v/>
      </c>
      <c r="G4396" s="39" t="str">
        <f t="array" ref="G4396">IFNA(_xlfn.XLOOKUP(D4396,Table_Tarikan_Warkah[Nomor Tiket],Table_Tarikan_Warkah[Jenis Permohonan]),"")</f>
        <v>BN Jual Beli	</v>
      </c>
      <c r="H4396" s="41" t="s">
        <v>2315</v>
      </c>
      <c r="I4396" s="49" t="s">
        <v>23</v>
      </c>
      <c r="J4396" s="36">
        <f t="shared" si="20"/>
        <v>45979.43517</v>
      </c>
      <c r="K4396" s="69"/>
      <c r="L4396" s="49"/>
      <c r="M4396" s="36" t="str">
        <f t="shared" si="33"/>
        <v/>
      </c>
      <c r="N4396" s="30" t="str">
        <f t="shared" si="34"/>
        <v>BT atau SU Belum Valid</v>
      </c>
      <c r="O4396" s="39" t="str">
        <f t="shared" si="23"/>
        <v/>
      </c>
      <c r="P4396" s="47" t="b">
        <v>0</v>
      </c>
      <c r="Q4396" s="36" t="str">
        <f t="shared" si="35"/>
        <v/>
      </c>
      <c r="R4396" s="47" t="b">
        <v>0</v>
      </c>
      <c r="S4396" s="42" t="str">
        <f t="shared" si="28"/>
        <v/>
      </c>
      <c r="T4396" s="42"/>
    </row>
    <row r="4397" ht="22.5" customHeight="1">
      <c r="B4397" s="42">
        <f t="shared" si="7"/>
        <v>4391</v>
      </c>
      <c r="C4397" s="31" t="s">
        <v>4424</v>
      </c>
      <c r="D4397" s="34" t="str">
        <f t="array" ref="D4397">IFNA(_xlfn.XLOOKUP(C4397,Table_Tarikan_Warkah[Nomor Sertipikat],Table_Tarikan_Warkah[Nomor Tiket]),"")</f>
        <v/>
      </c>
      <c r="E4397" s="36" t="str">
        <f t="array" ref="E4397">IFNA(_xlfn.XLOOKUP(D4397,Table_Tarikan_Warkah[Nomor Tiket],Table_Tarikan_Warkah[Tanggal diserahkan kepada Validator]),"")</f>
        <v/>
      </c>
      <c r="F4397" s="36" t="str">
        <f t="array" ref="F4397">IFNA(_xlfn.XLOOKUP(D4397,Table_Tarikan_Warkah[Nomor Tiket],Table_Tarikan_Warkah[Nama Petugas Warkah]),"")</f>
        <v/>
      </c>
      <c r="G4397" s="39" t="str">
        <f t="array" ref="G4397">IFNA(_xlfn.XLOOKUP(D4397,Table_Tarikan_Warkah[Nomor Tiket],Table_Tarikan_Warkah[Jenis Permohonan]),"")</f>
        <v/>
      </c>
      <c r="H4397" s="41" t="s">
        <v>2315</v>
      </c>
      <c r="I4397" s="49" t="s">
        <v>23</v>
      </c>
      <c r="J4397" s="36">
        <f t="shared" si="20"/>
        <v>45979.4355</v>
      </c>
      <c r="K4397" s="69"/>
      <c r="L4397" s="49"/>
      <c r="M4397" s="36" t="str">
        <f t="shared" si="33"/>
        <v/>
      </c>
      <c r="N4397" s="30" t="str">
        <f t="shared" si="34"/>
        <v/>
      </c>
      <c r="O4397" s="39" t="str">
        <f t="shared" si="23"/>
        <v/>
      </c>
      <c r="P4397" s="47" t="b">
        <v>0</v>
      </c>
      <c r="Q4397" s="36" t="str">
        <f t="shared" si="35"/>
        <v/>
      </c>
      <c r="R4397" s="47" t="b">
        <v>0</v>
      </c>
      <c r="S4397" s="42" t="str">
        <f t="shared" si="28"/>
        <v/>
      </c>
      <c r="T4397" s="42"/>
    </row>
    <row r="4398" ht="22.5" customHeight="1">
      <c r="B4398" s="42">
        <f t="shared" si="7"/>
        <v>4392</v>
      </c>
      <c r="C4398" s="31" t="s">
        <v>4425</v>
      </c>
      <c r="D4398" s="34" t="str">
        <f t="array" ref="D4398">IFNA(_xlfn.XLOOKUP(C4398,Table_Tarikan_Warkah[Nomor Sertipikat],Table_Tarikan_Warkah[Nomor Tiket]),"")</f>
        <v>K/17/071025/1</v>
      </c>
      <c r="E4398" s="36" t="str">
        <f t="array" ref="E4398">IFNA(_xlfn.XLOOKUP(D4398,Table_Tarikan_Warkah[Nomor Tiket],Table_Tarikan_Warkah[Tanggal diserahkan kepada Validator]),"")</f>
        <v/>
      </c>
      <c r="F4398" s="36" t="str">
        <f t="array" ref="F4398">IFNA(_xlfn.XLOOKUP(D4398,Table_Tarikan_Warkah[Nomor Tiket],Table_Tarikan_Warkah[Nama Petugas Warkah]),"")</f>
        <v/>
      </c>
      <c r="G4398" s="39" t="str">
        <f t="array" ref="G4398">IFNA(_xlfn.XLOOKUP(D4398,Table_Tarikan_Warkah[Nomor Tiket],Table_Tarikan_Warkah[Jenis Permohonan]),"")</f>
        <v>BN JUAL BELI</v>
      </c>
      <c r="H4398" s="41" t="s">
        <v>2315</v>
      </c>
      <c r="I4398" s="49" t="s">
        <v>23</v>
      </c>
      <c r="J4398" s="36">
        <f t="shared" si="20"/>
        <v>45979.43565</v>
      </c>
      <c r="K4398" s="69"/>
      <c r="L4398" s="49"/>
      <c r="M4398" s="36" t="str">
        <f t="shared" si="33"/>
        <v/>
      </c>
      <c r="N4398" s="30" t="str">
        <f t="shared" si="34"/>
        <v>BT atau SU Belum Valid</v>
      </c>
      <c r="O4398" s="39" t="str">
        <f t="shared" si="23"/>
        <v/>
      </c>
      <c r="P4398" s="47" t="b">
        <v>0</v>
      </c>
      <c r="Q4398" s="36" t="str">
        <f t="shared" si="35"/>
        <v/>
      </c>
      <c r="R4398" s="47" t="b">
        <v>0</v>
      </c>
      <c r="S4398" s="42" t="str">
        <f t="shared" si="28"/>
        <v/>
      </c>
      <c r="T4398" s="42"/>
    </row>
    <row r="4399" ht="22.5" customHeight="1">
      <c r="B4399" s="42">
        <f t="shared" si="7"/>
        <v>4393</v>
      </c>
      <c r="C4399" s="31" t="s">
        <v>4426</v>
      </c>
      <c r="D4399" s="34" t="str">
        <f t="array" ref="D4399">IFNA(_xlfn.XLOOKUP(C4399,Table_Tarikan_Warkah[Nomor Sertipikat],Table_Tarikan_Warkah[Nomor Tiket]),"")</f>
        <v>K/10/061025/1</v>
      </c>
      <c r="E4399" s="36">
        <f t="array" ref="E4399">IFNA(_xlfn.XLOOKUP(D4399,Table_Tarikan_Warkah[Nomor Tiket],Table_Tarikan_Warkah[Tanggal diserahkan kepada Validator]),"")</f>
        <v>45945.62736</v>
      </c>
      <c r="F4399" s="36" t="str">
        <f t="array" ref="F4399">IFNA(_xlfn.XLOOKUP(D4399,Table_Tarikan_Warkah[Nomor Tiket],Table_Tarikan_Warkah[Nama Petugas Warkah]),"")</f>
        <v>David</v>
      </c>
      <c r="G4399" s="39" t="str">
        <f t="array" ref="G4399">IFNA(_xlfn.XLOOKUP(D4399,Table_Tarikan_Warkah[Nomor Tiket],Table_Tarikan_Warkah[Jenis Permohonan]),"")</f>
        <v>BN JUAL BELI</v>
      </c>
      <c r="H4399" s="41" t="s">
        <v>2315</v>
      </c>
      <c r="I4399" s="49" t="s">
        <v>23</v>
      </c>
      <c r="J4399" s="36">
        <f t="shared" si="20"/>
        <v>45979.43585</v>
      </c>
      <c r="K4399" s="69"/>
      <c r="L4399" s="49"/>
      <c r="M4399" s="36" t="str">
        <f t="shared" si="33"/>
        <v/>
      </c>
      <c r="N4399" s="30" t="str">
        <f t="shared" si="34"/>
        <v>BT atau SU Belum Valid</v>
      </c>
      <c r="O4399" s="39" t="str">
        <f t="shared" si="23"/>
        <v/>
      </c>
      <c r="P4399" s="47" t="b">
        <v>0</v>
      </c>
      <c r="Q4399" s="36" t="str">
        <f t="shared" si="35"/>
        <v/>
      </c>
      <c r="R4399" s="47" t="b">
        <v>0</v>
      </c>
      <c r="S4399" s="42" t="str">
        <f t="shared" si="28"/>
        <v/>
      </c>
      <c r="T4399" s="42"/>
    </row>
    <row r="4400" ht="22.5" customHeight="1">
      <c r="B4400" s="42">
        <f t="shared" si="7"/>
        <v>4394</v>
      </c>
      <c r="C4400" s="31" t="s">
        <v>4427</v>
      </c>
      <c r="D4400" s="34" t="str">
        <f t="array" ref="D4400">IFNA(_xlfn.XLOOKUP(C4400,Table_Tarikan_Warkah[Nomor Sertipikat],Table_Tarikan_Warkah[Nomor Tiket]),"")</f>
        <v/>
      </c>
      <c r="E4400" s="36" t="str">
        <f t="array" ref="E4400">IFNA(_xlfn.XLOOKUP(D4400,Table_Tarikan_Warkah[Nomor Tiket],Table_Tarikan_Warkah[Tanggal diserahkan kepada Validator]),"")</f>
        <v/>
      </c>
      <c r="F4400" s="36" t="str">
        <f t="array" ref="F4400">IFNA(_xlfn.XLOOKUP(D4400,Table_Tarikan_Warkah[Nomor Tiket],Table_Tarikan_Warkah[Nama Petugas Warkah]),"")</f>
        <v/>
      </c>
      <c r="G4400" s="39" t="str">
        <f t="array" ref="G4400">IFNA(_xlfn.XLOOKUP(D4400,Table_Tarikan_Warkah[Nomor Tiket],Table_Tarikan_Warkah[Jenis Permohonan]),"")</f>
        <v/>
      </c>
      <c r="H4400" s="41" t="s">
        <v>2315</v>
      </c>
      <c r="I4400" s="49" t="s">
        <v>23</v>
      </c>
      <c r="J4400" s="36">
        <f t="shared" si="20"/>
        <v>45979.43606</v>
      </c>
      <c r="K4400" s="69"/>
      <c r="L4400" s="49"/>
      <c r="M4400" s="36" t="str">
        <f t="shared" si="33"/>
        <v/>
      </c>
      <c r="N4400" s="30" t="str">
        <f t="shared" si="34"/>
        <v/>
      </c>
      <c r="O4400" s="39" t="str">
        <f t="shared" si="23"/>
        <v/>
      </c>
      <c r="P4400" s="47" t="b">
        <v>0</v>
      </c>
      <c r="Q4400" s="36" t="str">
        <f t="shared" si="35"/>
        <v/>
      </c>
      <c r="R4400" s="47" t="b">
        <v>0</v>
      </c>
      <c r="S4400" s="42" t="str">
        <f t="shared" si="28"/>
        <v/>
      </c>
      <c r="T4400" s="42"/>
    </row>
    <row r="4401" ht="22.5" customHeight="1">
      <c r="B4401" s="42">
        <f t="shared" si="7"/>
        <v>4395</v>
      </c>
      <c r="C4401" s="31" t="s">
        <v>4428</v>
      </c>
      <c r="D4401" s="34" t="str">
        <f t="array" ref="D4401">IFNA(_xlfn.XLOOKUP(C4401,Table_Tarikan_Warkah[Nomor Sertipikat],Table_Tarikan_Warkah[Nomor Tiket]),"")</f>
        <v>K/48/091025/1</v>
      </c>
      <c r="E4401" s="36" t="str">
        <f t="array" ref="E4401">IFNA(_xlfn.XLOOKUP(D4401,Table_Tarikan_Warkah[Nomor Tiket],Table_Tarikan_Warkah[Tanggal diserahkan kepada Validator]),"")</f>
        <v/>
      </c>
      <c r="F4401" s="36" t="str">
        <f t="array" ref="F4401">IFNA(_xlfn.XLOOKUP(D4401,Table_Tarikan_Warkah[Nomor Tiket],Table_Tarikan_Warkah[Nama Petugas Warkah]),"")</f>
        <v/>
      </c>
      <c r="G4401" s="39" t="str">
        <f t="array" ref="G4401">IFNA(_xlfn.XLOOKUP(D4401,Table_Tarikan_Warkah[Nomor Tiket],Table_Tarikan_Warkah[Jenis Permohonan]),"")</f>
        <v>BN Jual Beli	</v>
      </c>
      <c r="H4401" s="41" t="s">
        <v>2315</v>
      </c>
      <c r="I4401" s="49" t="s">
        <v>23</v>
      </c>
      <c r="J4401" s="36">
        <f t="shared" si="20"/>
        <v>45980.68922</v>
      </c>
      <c r="K4401" s="69"/>
      <c r="L4401" s="49"/>
      <c r="M4401" s="36" t="str">
        <f t="shared" si="33"/>
        <v/>
      </c>
      <c r="N4401" s="30" t="str">
        <f t="shared" si="34"/>
        <v>BT atau SU Belum Valid</v>
      </c>
      <c r="O4401" s="39" t="str">
        <f t="shared" si="23"/>
        <v/>
      </c>
      <c r="P4401" s="47" t="b">
        <v>0</v>
      </c>
      <c r="Q4401" s="36" t="str">
        <f t="shared" si="35"/>
        <v/>
      </c>
      <c r="R4401" s="47" t="b">
        <v>0</v>
      </c>
      <c r="S4401" s="42" t="str">
        <f t="shared" si="28"/>
        <v/>
      </c>
      <c r="T4401" s="42"/>
    </row>
    <row r="4402" ht="22.5" customHeight="1">
      <c r="B4402" s="42">
        <f t="shared" si="7"/>
        <v>4396</v>
      </c>
      <c r="C4402" s="31" t="s">
        <v>4429</v>
      </c>
      <c r="D4402" s="34" t="str">
        <f t="array" ref="D4402">IFNA(_xlfn.XLOOKUP(C4402,Table_Tarikan_Warkah[Nomor Sertipikat],Table_Tarikan_Warkah[Nomor Tiket]),"")</f>
        <v>K/41/101025/1</v>
      </c>
      <c r="E4402" s="36" t="str">
        <f t="array" ref="E4402">IFNA(_xlfn.XLOOKUP(D4402,Table_Tarikan_Warkah[Nomor Tiket],Table_Tarikan_Warkah[Tanggal diserahkan kepada Validator]),"")</f>
        <v/>
      </c>
      <c r="F4402" s="36" t="str">
        <f t="array" ref="F4402">IFNA(_xlfn.XLOOKUP(D4402,Table_Tarikan_Warkah[Nomor Tiket],Table_Tarikan_Warkah[Nama Petugas Warkah]),"")</f>
        <v/>
      </c>
      <c r="G4402" s="39" t="str">
        <f t="array" ref="G4402">IFNA(_xlfn.XLOOKUP(D4402,Table_Tarikan_Warkah[Nomor Tiket],Table_Tarikan_Warkah[Jenis Permohonan]),"")</f>
        <v>BN Hibah	</v>
      </c>
      <c r="H4402" s="41" t="s">
        <v>2315</v>
      </c>
      <c r="I4402" s="49" t="s">
        <v>23</v>
      </c>
      <c r="J4402" s="36">
        <f t="shared" si="20"/>
        <v>45980.68933</v>
      </c>
      <c r="K4402" s="69"/>
      <c r="L4402" s="49"/>
      <c r="M4402" s="36" t="str">
        <f t="shared" si="33"/>
        <v/>
      </c>
      <c r="N4402" s="30" t="str">
        <f t="shared" si="34"/>
        <v>BT atau SU Belum Valid</v>
      </c>
      <c r="O4402" s="39" t="str">
        <f t="shared" si="23"/>
        <v/>
      </c>
      <c r="P4402" s="47" t="b">
        <v>0</v>
      </c>
      <c r="Q4402" s="36" t="str">
        <f t="shared" si="35"/>
        <v/>
      </c>
      <c r="R4402" s="47" t="b">
        <v>0</v>
      </c>
      <c r="S4402" s="42" t="str">
        <f t="shared" si="28"/>
        <v/>
      </c>
      <c r="T4402" s="42"/>
    </row>
    <row r="4403" ht="22.5" customHeight="1">
      <c r="B4403" s="42">
        <f t="shared" si="7"/>
        <v>4397</v>
      </c>
      <c r="C4403" s="31" t="s">
        <v>4430</v>
      </c>
      <c r="D4403" s="34" t="str">
        <f t="array" ref="D4403">IFNA(_xlfn.XLOOKUP(C4403,Table_Tarikan_Warkah[Nomor Sertipikat],Table_Tarikan_Warkah[Nomor Tiket]),"")</f>
        <v>K/7/101025/2</v>
      </c>
      <c r="E4403" s="36" t="str">
        <f t="array" ref="E4403">IFNA(_xlfn.XLOOKUP(D4403,Table_Tarikan_Warkah[Nomor Tiket],Table_Tarikan_Warkah[Tanggal diserahkan kepada Validator]),"")</f>
        <v/>
      </c>
      <c r="F4403" s="36" t="str">
        <f t="array" ref="F4403">IFNA(_xlfn.XLOOKUP(D4403,Table_Tarikan_Warkah[Nomor Tiket],Table_Tarikan_Warkah[Nama Petugas Warkah]),"")</f>
        <v/>
      </c>
      <c r="G4403" s="39" t="str">
        <f t="array" ref="G4403">IFNA(_xlfn.XLOOKUP(D4403,Table_Tarikan_Warkah[Nomor Tiket],Table_Tarikan_Warkah[Jenis Permohonan]),"")</f>
        <v>BN Jual Beli	</v>
      </c>
      <c r="H4403" s="41" t="s">
        <v>2315</v>
      </c>
      <c r="I4403" s="49" t="s">
        <v>23</v>
      </c>
      <c r="J4403" s="36">
        <f t="shared" si="20"/>
        <v>45980.68988</v>
      </c>
      <c r="K4403" s="69"/>
      <c r="L4403" s="49"/>
      <c r="M4403" s="36" t="str">
        <f t="shared" si="33"/>
        <v/>
      </c>
      <c r="N4403" s="30" t="str">
        <f t="shared" si="34"/>
        <v>BT atau SU Belum Valid</v>
      </c>
      <c r="O4403" s="39" t="str">
        <f t="shared" si="23"/>
        <v/>
      </c>
      <c r="P4403" s="47" t="b">
        <v>0</v>
      </c>
      <c r="Q4403" s="36" t="str">
        <f t="shared" si="35"/>
        <v/>
      </c>
      <c r="R4403" s="47" t="b">
        <v>0</v>
      </c>
      <c r="S4403" s="42" t="str">
        <f t="shared" si="28"/>
        <v/>
      </c>
      <c r="T4403" s="42"/>
    </row>
    <row r="4404" ht="22.5" customHeight="1">
      <c r="B4404" s="42">
        <f t="shared" si="7"/>
        <v>4398</v>
      </c>
      <c r="C4404" s="31" t="s">
        <v>4431</v>
      </c>
      <c r="D4404" s="34" t="str">
        <f t="array" ref="D4404">IFNA(_xlfn.XLOOKUP(C4404,Table_Tarikan_Warkah[Nomor Sertipikat],Table_Tarikan_Warkah[Nomor Tiket]),"")</f>
        <v>K/12/150925/2</v>
      </c>
      <c r="E4404" s="36" t="str">
        <f t="array" ref="E4404">IFNA(_xlfn.XLOOKUP(D4404,Table_Tarikan_Warkah[Nomor Tiket],Table_Tarikan_Warkah[Tanggal diserahkan kepada Validator]),"")</f>
        <v/>
      </c>
      <c r="F4404" s="36" t="str">
        <f t="array" ref="F4404">IFNA(_xlfn.XLOOKUP(D4404,Table_Tarikan_Warkah[Nomor Tiket],Table_Tarikan_Warkah[Nama Petugas Warkah]),"")</f>
        <v/>
      </c>
      <c r="G4404" s="39" t="str">
        <f t="array" ref="G4404">IFNA(_xlfn.XLOOKUP(D4404,Table_Tarikan_Warkah[Nomor Tiket],Table_Tarikan_Warkah[Jenis Permohonan]),"")</f>
        <v>BN Jual Beli	</v>
      </c>
      <c r="H4404" s="41" t="s">
        <v>2315</v>
      </c>
      <c r="I4404" s="49" t="s">
        <v>23</v>
      </c>
      <c r="J4404" s="36">
        <f t="shared" si="20"/>
        <v>45980.69002</v>
      </c>
      <c r="K4404" s="69"/>
      <c r="L4404" s="49"/>
      <c r="M4404" s="36" t="str">
        <f t="shared" si="33"/>
        <v/>
      </c>
      <c r="N4404" s="30" t="str">
        <f t="shared" si="34"/>
        <v>BT atau SU Belum Valid</v>
      </c>
      <c r="O4404" s="39" t="str">
        <f t="shared" si="23"/>
        <v/>
      </c>
      <c r="P4404" s="47" t="b">
        <v>0</v>
      </c>
      <c r="Q4404" s="36" t="str">
        <f t="shared" si="35"/>
        <v/>
      </c>
      <c r="R4404" s="47" t="b">
        <v>0</v>
      </c>
      <c r="S4404" s="42" t="str">
        <f t="shared" si="28"/>
        <v/>
      </c>
      <c r="T4404" s="42"/>
    </row>
    <row r="4405" ht="22.5" customHeight="1">
      <c r="B4405" s="42">
        <f t="shared" si="7"/>
        <v>4399</v>
      </c>
      <c r="C4405" s="31" t="s">
        <v>4432</v>
      </c>
      <c r="D4405" s="34" t="str">
        <f t="array" ref="D4405">IFNA(_xlfn.XLOOKUP(C4405,Table_Tarikan_Warkah[Nomor Sertipikat],Table_Tarikan_Warkah[Nomor Tiket]),"")</f>
        <v>K/23/071025/3	</v>
      </c>
      <c r="E4405" s="36" t="str">
        <f t="array" ref="E4405">IFNA(_xlfn.XLOOKUP(D4405,Table_Tarikan_Warkah[Nomor Tiket],Table_Tarikan_Warkah[Tanggal diserahkan kepada Validator]),"")</f>
        <v/>
      </c>
      <c r="F4405" s="36" t="str">
        <f t="array" ref="F4405">IFNA(_xlfn.XLOOKUP(D4405,Table_Tarikan_Warkah[Nomor Tiket],Table_Tarikan_Warkah[Nama Petugas Warkah]),"")</f>
        <v/>
      </c>
      <c r="G4405" s="39" t="str">
        <f t="array" ref="G4405">IFNA(_xlfn.XLOOKUP(D4405,Table_Tarikan_Warkah[Nomor Tiket],Table_Tarikan_Warkah[Jenis Permohonan]),"")</f>
        <v>BN Jual Beli	</v>
      </c>
      <c r="H4405" s="41" t="s">
        <v>2315</v>
      </c>
      <c r="I4405" s="49" t="s">
        <v>23</v>
      </c>
      <c r="J4405" s="36">
        <f t="shared" si="20"/>
        <v>45980.69028</v>
      </c>
      <c r="K4405" s="69"/>
      <c r="L4405" s="49"/>
      <c r="M4405" s="36" t="str">
        <f t="shared" si="33"/>
        <v/>
      </c>
      <c r="N4405" s="30" t="str">
        <f t="shared" si="34"/>
        <v>BT atau SU Belum Valid</v>
      </c>
      <c r="O4405" s="39" t="str">
        <f t="shared" si="23"/>
        <v/>
      </c>
      <c r="P4405" s="47" t="b">
        <v>0</v>
      </c>
      <c r="Q4405" s="36" t="str">
        <f t="shared" si="35"/>
        <v/>
      </c>
      <c r="R4405" s="47" t="b">
        <v>0</v>
      </c>
      <c r="S4405" s="42" t="str">
        <f t="shared" si="28"/>
        <v/>
      </c>
      <c r="T4405" s="42"/>
    </row>
    <row r="4406" ht="22.5" customHeight="1">
      <c r="B4406" s="42">
        <f t="shared" si="7"/>
        <v>4400</v>
      </c>
      <c r="C4406" s="31" t="s">
        <v>4433</v>
      </c>
      <c r="D4406" s="34" t="str">
        <f t="array" ref="D4406">IFNA(_xlfn.XLOOKUP(C4406,Table_Tarikan_Warkah[Nomor Sertipikat],Table_Tarikan_Warkah[Nomor Tiket]),"")</f>
        <v>K/29/080925/1</v>
      </c>
      <c r="E4406" s="36">
        <f t="array" ref="E4406">IFNA(_xlfn.XLOOKUP(D4406,Table_Tarikan_Warkah[Nomor Tiket],Table_Tarikan_Warkah[Tanggal diserahkan kepada Validator]),"")</f>
        <v>45943.69937</v>
      </c>
      <c r="F4406" s="36" t="str">
        <f t="array" ref="F4406">IFNA(_xlfn.XLOOKUP(D4406,Table_Tarikan_Warkah[Nomor Tiket],Table_Tarikan_Warkah[Nama Petugas Warkah]),"")</f>
        <v>David</v>
      </c>
      <c r="G4406" s="39" t="str">
        <f t="array" ref="G4406">IFNA(_xlfn.XLOOKUP(D4406,Table_Tarikan_Warkah[Nomor Tiket],Table_Tarikan_Warkah[Jenis Permohonan]),"")</f>
        <v>BN Jual Beli	</v>
      </c>
      <c r="H4406" s="41" t="s">
        <v>2315</v>
      </c>
      <c r="I4406" s="49" t="s">
        <v>23</v>
      </c>
      <c r="J4406" s="36">
        <f t="shared" si="20"/>
        <v>45980.69079</v>
      </c>
      <c r="K4406" s="69"/>
      <c r="L4406" s="49"/>
      <c r="M4406" s="36" t="str">
        <f t="shared" si="33"/>
        <v/>
      </c>
      <c r="N4406" s="30" t="str">
        <f t="shared" si="34"/>
        <v>BT atau SU Belum Valid</v>
      </c>
      <c r="O4406" s="39" t="str">
        <f t="shared" si="23"/>
        <v/>
      </c>
      <c r="P4406" s="47" t="b">
        <v>0</v>
      </c>
      <c r="Q4406" s="36" t="str">
        <f t="shared" si="35"/>
        <v/>
      </c>
      <c r="R4406" s="47" t="b">
        <v>0</v>
      </c>
      <c r="S4406" s="42" t="str">
        <f t="shared" si="28"/>
        <v/>
      </c>
      <c r="T4406" s="42"/>
    </row>
    <row r="4407" ht="22.5" customHeight="1">
      <c r="B4407" s="42">
        <f t="shared" si="7"/>
        <v>4401</v>
      </c>
      <c r="C4407" s="31" t="s">
        <v>4434</v>
      </c>
      <c r="D4407" s="34" t="str">
        <f t="array" ref="D4407">IFNA(_xlfn.XLOOKUP(C4407,Table_Tarikan_Warkah[Nomor Sertipikat],Table_Tarikan_Warkah[Nomor Tiket]),"")</f>
        <v>K/3/160925/1</v>
      </c>
      <c r="E4407" s="36" t="str">
        <f t="array" ref="E4407">IFNA(_xlfn.XLOOKUP(D4407,Table_Tarikan_Warkah[Nomor Tiket],Table_Tarikan_Warkah[Tanggal diserahkan kepada Validator]),"")</f>
        <v/>
      </c>
      <c r="F4407" s="36" t="str">
        <f t="array" ref="F4407">IFNA(_xlfn.XLOOKUP(D4407,Table_Tarikan_Warkah[Nomor Tiket],Table_Tarikan_Warkah[Nama Petugas Warkah]),"")</f>
        <v/>
      </c>
      <c r="G4407" s="39" t="str">
        <f t="array" ref="G4407">IFNA(_xlfn.XLOOKUP(D4407,Table_Tarikan_Warkah[Nomor Tiket],Table_Tarikan_Warkah[Jenis Permohonan]),"")</f>
        <v>BN Jual Beli	</v>
      </c>
      <c r="H4407" s="41" t="s">
        <v>2315</v>
      </c>
      <c r="I4407" s="49" t="s">
        <v>23</v>
      </c>
      <c r="J4407" s="36">
        <f t="shared" si="20"/>
        <v>45980.69094</v>
      </c>
      <c r="K4407" s="69"/>
      <c r="L4407" s="49"/>
      <c r="M4407" s="36" t="str">
        <f t="shared" si="33"/>
        <v/>
      </c>
      <c r="N4407" s="30" t="str">
        <f t="shared" si="34"/>
        <v>BT atau SU Belum Valid</v>
      </c>
      <c r="O4407" s="39" t="str">
        <f t="shared" si="23"/>
        <v/>
      </c>
      <c r="P4407" s="47" t="b">
        <v>0</v>
      </c>
      <c r="Q4407" s="36" t="str">
        <f t="shared" si="35"/>
        <v/>
      </c>
      <c r="R4407" s="47" t="b">
        <v>0</v>
      </c>
      <c r="S4407" s="42" t="str">
        <f t="shared" si="28"/>
        <v/>
      </c>
      <c r="T4407" s="42"/>
    </row>
    <row r="4408" ht="22.5" customHeight="1">
      <c r="B4408" s="42">
        <f t="shared" si="7"/>
        <v>4402</v>
      </c>
      <c r="C4408" s="31" t="s">
        <v>4435</v>
      </c>
      <c r="D4408" s="34" t="str">
        <f t="array" ref="D4408">IFNA(_xlfn.XLOOKUP(C4408,Table_Tarikan_Warkah[Nomor Sertipikat],Table_Tarikan_Warkah[Nomor Tiket]),"")</f>
        <v>K/11/011026/1</v>
      </c>
      <c r="E4408" s="36" t="str">
        <f t="array" ref="E4408">IFNA(_xlfn.XLOOKUP(D4408,Table_Tarikan_Warkah[Nomor Tiket],Table_Tarikan_Warkah[Tanggal diserahkan kepada Validator]),"")</f>
        <v/>
      </c>
      <c r="F4408" s="36" t="str">
        <f t="array" ref="F4408">IFNA(_xlfn.XLOOKUP(D4408,Table_Tarikan_Warkah[Nomor Tiket],Table_Tarikan_Warkah[Nama Petugas Warkah]),"")</f>
        <v/>
      </c>
      <c r="G4408" s="39" t="str">
        <f t="array" ref="G4408">IFNA(_xlfn.XLOOKUP(D4408,Table_Tarikan_Warkah[Nomor Tiket],Table_Tarikan_Warkah[Jenis Permohonan]),"")</f>
        <v>BN Jual Beli		</v>
      </c>
      <c r="H4408" s="41" t="s">
        <v>2315</v>
      </c>
      <c r="I4408" s="49" t="s">
        <v>23</v>
      </c>
      <c r="J4408" s="36">
        <f t="shared" si="20"/>
        <v>45980.69109</v>
      </c>
      <c r="K4408" s="69"/>
      <c r="L4408" s="49"/>
      <c r="M4408" s="36" t="str">
        <f t="shared" si="33"/>
        <v/>
      </c>
      <c r="N4408" s="30" t="str">
        <f t="shared" si="34"/>
        <v>BT atau SU Belum Valid</v>
      </c>
      <c r="O4408" s="39" t="str">
        <f t="shared" si="23"/>
        <v/>
      </c>
      <c r="P4408" s="47" t="b">
        <v>0</v>
      </c>
      <c r="Q4408" s="36" t="str">
        <f t="shared" si="35"/>
        <v/>
      </c>
      <c r="R4408" s="47" t="b">
        <v>0</v>
      </c>
      <c r="S4408" s="42" t="str">
        <f t="shared" si="28"/>
        <v/>
      </c>
      <c r="T4408" s="42"/>
    </row>
    <row r="4409" ht="22.5" customHeight="1">
      <c r="B4409" s="42">
        <f t="shared" si="7"/>
        <v>4403</v>
      </c>
      <c r="C4409" s="31" t="s">
        <v>4436</v>
      </c>
      <c r="D4409" s="34" t="str">
        <f t="array" ref="D4409">IFNA(_xlfn.XLOOKUP(C4409,Table_Tarikan_Warkah[Nomor Sertipikat],Table_Tarikan_Warkah[Nomor Tiket]),"")</f>
        <v>K/31/300925/1</v>
      </c>
      <c r="E4409" s="36" t="str">
        <f t="array" ref="E4409">IFNA(_xlfn.XLOOKUP(D4409,Table_Tarikan_Warkah[Nomor Tiket],Table_Tarikan_Warkah[Tanggal diserahkan kepada Validator]),"")</f>
        <v/>
      </c>
      <c r="F4409" s="36" t="str">
        <f t="array" ref="F4409">IFNA(_xlfn.XLOOKUP(D4409,Table_Tarikan_Warkah[Nomor Tiket],Table_Tarikan_Warkah[Nama Petugas Warkah]),"")</f>
        <v/>
      </c>
      <c r="G4409" s="39" t="str">
        <f t="array" ref="G4409">IFNA(_xlfn.XLOOKUP(D4409,Table_Tarikan_Warkah[Nomor Tiket],Table_Tarikan_Warkah[Jenis Permohonan]),"")</f>
        <v>KEWARISAN </v>
      </c>
      <c r="H4409" s="41" t="s">
        <v>2315</v>
      </c>
      <c r="I4409" s="49" t="s">
        <v>23</v>
      </c>
      <c r="J4409" s="36">
        <f t="shared" si="20"/>
        <v>45981.4863</v>
      </c>
      <c r="K4409" s="69"/>
      <c r="L4409" s="49"/>
      <c r="M4409" s="36" t="str">
        <f t="shared" si="33"/>
        <v/>
      </c>
      <c r="N4409" s="30" t="str">
        <f t="shared" si="34"/>
        <v>BT atau SU Belum Valid</v>
      </c>
      <c r="O4409" s="39" t="str">
        <f t="shared" si="23"/>
        <v/>
      </c>
      <c r="P4409" s="47" t="b">
        <v>0</v>
      </c>
      <c r="Q4409" s="36" t="str">
        <f t="shared" si="35"/>
        <v/>
      </c>
      <c r="R4409" s="47" t="b">
        <v>0</v>
      </c>
      <c r="S4409" s="42" t="str">
        <f t="shared" si="28"/>
        <v/>
      </c>
      <c r="T4409" s="42"/>
    </row>
    <row r="4410" ht="22.5" customHeight="1">
      <c r="B4410" s="42">
        <f t="shared" si="7"/>
        <v>4404</v>
      </c>
      <c r="C4410" s="31" t="s">
        <v>4437</v>
      </c>
      <c r="D4410" s="34" t="str">
        <f t="array" ref="D4410">IFNA(_xlfn.XLOOKUP(C4410,Table_Tarikan_Warkah[Nomor Sertipikat],Table_Tarikan_Warkah[Nomor Tiket]),"")</f>
        <v>L/4/260825/1</v>
      </c>
      <c r="E4410" s="36">
        <f t="array" ref="E4410">IFNA(_xlfn.XLOOKUP(D4410,Table_Tarikan_Warkah[Nomor Tiket],Table_Tarikan_Warkah[Tanggal diserahkan kepada Validator]),"")</f>
        <v>45945.62608</v>
      </c>
      <c r="F4410" s="36" t="str">
        <f t="array" ref="F4410">IFNA(_xlfn.XLOOKUP(D4410,Table_Tarikan_Warkah[Nomor Tiket],Table_Tarikan_Warkah[Nama Petugas Warkah]),"")</f>
        <v>David</v>
      </c>
      <c r="G4410" s="39" t="str">
        <f t="array" ref="G4410">IFNA(_xlfn.XLOOKUP(D4410,Table_Tarikan_Warkah[Nomor Tiket],Table_Tarikan_Warkah[Jenis Permohonan]),"")</f>
        <v>PTPGT PEMECAHAN</v>
      </c>
      <c r="H4410" s="41" t="s">
        <v>2315</v>
      </c>
      <c r="I4410" s="49" t="s">
        <v>23</v>
      </c>
      <c r="J4410" s="36">
        <f t="shared" si="20"/>
        <v>45981.48643</v>
      </c>
      <c r="K4410" s="69"/>
      <c r="L4410" s="49"/>
      <c r="M4410" s="36" t="str">
        <f t="shared" si="33"/>
        <v/>
      </c>
      <c r="N4410" s="30" t="str">
        <f t="shared" si="34"/>
        <v>BT atau SU Belum Valid</v>
      </c>
      <c r="O4410" s="39" t="str">
        <f t="shared" si="23"/>
        <v/>
      </c>
      <c r="P4410" s="47" t="b">
        <v>0</v>
      </c>
      <c r="Q4410" s="36" t="str">
        <f t="shared" si="35"/>
        <v/>
      </c>
      <c r="R4410" s="47" t="b">
        <v>0</v>
      </c>
      <c r="S4410" s="42" t="str">
        <f t="shared" si="28"/>
        <v/>
      </c>
      <c r="T4410" s="42"/>
    </row>
    <row r="4411" ht="22.5" customHeight="1">
      <c r="B4411" s="42">
        <f t="shared" si="7"/>
        <v>4405</v>
      </c>
      <c r="C4411" s="31" t="s">
        <v>4438</v>
      </c>
      <c r="D4411" s="34" t="str">
        <f t="array" ref="D4411">IFNA(_xlfn.XLOOKUP(C4411,Table_Tarikan_Warkah[Nomor Sertipikat],Table_Tarikan_Warkah[Nomor Tiket]),"")</f>
        <v/>
      </c>
      <c r="E4411" s="36" t="str">
        <f t="array" ref="E4411">IFNA(_xlfn.XLOOKUP(D4411,Table_Tarikan_Warkah[Nomor Tiket],Table_Tarikan_Warkah[Tanggal diserahkan kepada Validator]),"")</f>
        <v/>
      </c>
      <c r="F4411" s="36" t="str">
        <f t="array" ref="F4411">IFNA(_xlfn.XLOOKUP(D4411,Table_Tarikan_Warkah[Nomor Tiket],Table_Tarikan_Warkah[Nama Petugas Warkah]),"")</f>
        <v/>
      </c>
      <c r="G4411" s="39" t="str">
        <f t="array" ref="G4411">IFNA(_xlfn.XLOOKUP(D4411,Table_Tarikan_Warkah[Nomor Tiket],Table_Tarikan_Warkah[Jenis Permohonan]),"")</f>
        <v/>
      </c>
      <c r="H4411" s="41" t="s">
        <v>2315</v>
      </c>
      <c r="I4411" s="49" t="s">
        <v>23</v>
      </c>
      <c r="J4411" s="36">
        <f t="shared" si="20"/>
        <v>45981.48687</v>
      </c>
      <c r="K4411" s="69"/>
      <c r="L4411" s="49"/>
      <c r="M4411" s="36" t="str">
        <f t="shared" si="33"/>
        <v/>
      </c>
      <c r="N4411" s="30" t="str">
        <f t="shared" si="34"/>
        <v/>
      </c>
      <c r="O4411" s="39" t="str">
        <f t="shared" si="23"/>
        <v/>
      </c>
      <c r="P4411" s="47" t="b">
        <v>0</v>
      </c>
      <c r="Q4411" s="36" t="str">
        <f t="shared" si="35"/>
        <v/>
      </c>
      <c r="R4411" s="47" t="b">
        <v>0</v>
      </c>
      <c r="S4411" s="42" t="str">
        <f t="shared" si="28"/>
        <v/>
      </c>
      <c r="T4411" s="42"/>
    </row>
    <row r="4412" ht="22.5" customHeight="1">
      <c r="B4412" s="42">
        <f t="shared" si="7"/>
        <v>4406</v>
      </c>
      <c r="C4412" s="31" t="s">
        <v>4439</v>
      </c>
      <c r="D4412" s="34" t="str">
        <f t="array" ref="D4412">IFNA(_xlfn.XLOOKUP(C4412,Table_Tarikan_Warkah[Nomor Sertipikat],Table_Tarikan_Warkah[Nomor Tiket]),"")</f>
        <v>L/6/171025/1</v>
      </c>
      <c r="E4412" s="36" t="str">
        <f t="array" ref="E4412">IFNA(_xlfn.XLOOKUP(D4412,Table_Tarikan_Warkah[Nomor Tiket],Table_Tarikan_Warkah[Tanggal diserahkan kepada Validator]),"")</f>
        <v/>
      </c>
      <c r="F4412" s="36" t="str">
        <f t="array" ref="F4412">IFNA(_xlfn.XLOOKUP(D4412,Table_Tarikan_Warkah[Nomor Tiket],Table_Tarikan_Warkah[Nama Petugas Warkah]),"")</f>
        <v/>
      </c>
      <c r="G4412" s="39" t="str">
        <f t="array" ref="G4412">IFNA(_xlfn.XLOOKUP(D4412,Table_Tarikan_Warkah[Nomor Tiket],Table_Tarikan_Warkah[Jenis Permohonan]),"")</f>
        <v>BN WARIS TIMUR ASING</v>
      </c>
      <c r="H4412" s="41" t="s">
        <v>2315</v>
      </c>
      <c r="I4412" s="49" t="s">
        <v>23</v>
      </c>
      <c r="J4412" s="36">
        <f t="shared" si="20"/>
        <v>45981.48723</v>
      </c>
      <c r="K4412" s="69"/>
      <c r="L4412" s="49"/>
      <c r="M4412" s="36" t="str">
        <f t="shared" si="33"/>
        <v/>
      </c>
      <c r="N4412" s="30" t="str">
        <f t="shared" si="34"/>
        <v>BT atau SU Belum Valid</v>
      </c>
      <c r="O4412" s="39" t="str">
        <f t="shared" si="23"/>
        <v/>
      </c>
      <c r="P4412" s="47" t="b">
        <v>0</v>
      </c>
      <c r="Q4412" s="36" t="str">
        <f t="shared" si="35"/>
        <v/>
      </c>
      <c r="R4412" s="47" t="b">
        <v>0</v>
      </c>
      <c r="S4412" s="42" t="str">
        <f t="shared" si="28"/>
        <v/>
      </c>
      <c r="T4412" s="42"/>
    </row>
    <row r="4413" ht="22.5" customHeight="1">
      <c r="B4413" s="42">
        <f t="shared" si="7"/>
        <v>4407</v>
      </c>
      <c r="C4413" s="31" t="s">
        <v>4440</v>
      </c>
      <c r="D4413" s="34" t="str">
        <f t="array" ref="D4413">IFNA(_xlfn.XLOOKUP(C4413,Table_Tarikan_Warkah[Nomor Sertipikat],Table_Tarikan_Warkah[Nomor Tiket]),"")</f>
        <v>L/1/111125/1</v>
      </c>
      <c r="E4413" s="36" t="str">
        <f t="array" ref="E4413">IFNA(_xlfn.XLOOKUP(D4413,Table_Tarikan_Warkah[Nomor Tiket],Table_Tarikan_Warkah[Tanggal diserahkan kepada Validator]),"")</f>
        <v/>
      </c>
      <c r="F4413" s="36" t="str">
        <f t="array" ref="F4413">IFNA(_xlfn.XLOOKUP(D4413,Table_Tarikan_Warkah[Nomor Tiket],Table_Tarikan_Warkah[Nama Petugas Warkah]),"")</f>
        <v/>
      </c>
      <c r="G4413" s="39" t="str">
        <f t="array" ref="G4413">IFNA(_xlfn.XLOOKUP(D4413,Table_Tarikan_Warkah[Nomor Tiket],Table_Tarikan_Warkah[Jenis Permohonan]),"")</f>
        <v>BN WARIS</v>
      </c>
      <c r="H4413" s="41" t="s">
        <v>2315</v>
      </c>
      <c r="I4413" s="49" t="s">
        <v>23</v>
      </c>
      <c r="J4413" s="36">
        <f t="shared" si="20"/>
        <v>45981.48768</v>
      </c>
      <c r="K4413" s="69"/>
      <c r="L4413" s="49"/>
      <c r="M4413" s="36" t="str">
        <f t="shared" si="33"/>
        <v/>
      </c>
      <c r="N4413" s="30" t="str">
        <f t="shared" si="34"/>
        <v>BT atau SU Belum Valid</v>
      </c>
      <c r="O4413" s="39" t="str">
        <f t="shared" si="23"/>
        <v/>
      </c>
      <c r="P4413" s="47" t="b">
        <v>0</v>
      </c>
      <c r="Q4413" s="36" t="str">
        <f t="shared" si="35"/>
        <v/>
      </c>
      <c r="R4413" s="47" t="b">
        <v>0</v>
      </c>
      <c r="S4413" s="42" t="str">
        <f t="shared" si="28"/>
        <v/>
      </c>
      <c r="T4413" s="42"/>
    </row>
    <row r="4414" ht="22.5" customHeight="1">
      <c r="B4414" s="42">
        <f t="shared" si="7"/>
        <v>4408</v>
      </c>
      <c r="C4414" s="31" t="s">
        <v>4441</v>
      </c>
      <c r="D4414" s="34" t="str">
        <f t="array" ref="D4414">IFNA(_xlfn.XLOOKUP(C4414,Table_Tarikan_Warkah[Nomor Sertipikat],Table_Tarikan_Warkah[Nomor Tiket]),"")</f>
        <v>K/22/141025/1</v>
      </c>
      <c r="E4414" s="36" t="str">
        <f t="array" ref="E4414">IFNA(_xlfn.XLOOKUP(D4414,Table_Tarikan_Warkah[Nomor Tiket],Table_Tarikan_Warkah[Tanggal diserahkan kepada Validator]),"")</f>
        <v/>
      </c>
      <c r="F4414" s="36" t="str">
        <f t="array" ref="F4414">IFNA(_xlfn.XLOOKUP(D4414,Table_Tarikan_Warkah[Nomor Tiket],Table_Tarikan_Warkah[Nama Petugas Warkah]),"")</f>
        <v/>
      </c>
      <c r="G4414" s="39" t="str">
        <f t="array" ref="G4414">IFNA(_xlfn.XLOOKUP(D4414,Table_Tarikan_Warkah[Nomor Tiket],Table_Tarikan_Warkah[Jenis Permohonan]),"")</f>
        <v>PENATAAN BATAS</v>
      </c>
      <c r="H4414" s="41" t="s">
        <v>2315</v>
      </c>
      <c r="I4414" s="49" t="s">
        <v>23</v>
      </c>
      <c r="J4414" s="36">
        <f t="shared" si="20"/>
        <v>45981.48839</v>
      </c>
      <c r="K4414" s="69"/>
      <c r="L4414" s="49"/>
      <c r="M4414" s="36" t="str">
        <f t="shared" si="33"/>
        <v/>
      </c>
      <c r="N4414" s="30" t="str">
        <f t="shared" si="34"/>
        <v>BT atau SU Belum Valid</v>
      </c>
      <c r="O4414" s="39" t="str">
        <f t="shared" si="23"/>
        <v/>
      </c>
      <c r="P4414" s="47" t="b">
        <v>0</v>
      </c>
      <c r="Q4414" s="36" t="str">
        <f t="shared" si="35"/>
        <v/>
      </c>
      <c r="R4414" s="47" t="b">
        <v>0</v>
      </c>
      <c r="S4414" s="42" t="str">
        <f t="shared" si="28"/>
        <v/>
      </c>
      <c r="T4414" s="42"/>
    </row>
    <row r="4415" ht="22.5" customHeight="1">
      <c r="B4415" s="42">
        <f t="shared" si="7"/>
        <v>4409</v>
      </c>
      <c r="C4415" s="31" t="s">
        <v>4442</v>
      </c>
      <c r="D4415" s="34" t="str">
        <f t="array" ref="D4415">IFNA(_xlfn.XLOOKUP(C4415,Table_Tarikan_Warkah[Nomor Sertipikat],Table_Tarikan_Warkah[Nomor Tiket]),"")</f>
        <v>K/24/071025/1</v>
      </c>
      <c r="E4415" s="36" t="str">
        <f t="array" ref="E4415">IFNA(_xlfn.XLOOKUP(D4415,Table_Tarikan_Warkah[Nomor Tiket],Table_Tarikan_Warkah[Tanggal diserahkan kepada Validator]),"")</f>
        <v/>
      </c>
      <c r="F4415" s="36" t="str">
        <f t="array" ref="F4415">IFNA(_xlfn.XLOOKUP(D4415,Table_Tarikan_Warkah[Nomor Tiket],Table_Tarikan_Warkah[Nama Petugas Warkah]),"")</f>
        <v/>
      </c>
      <c r="G4415" s="39" t="str">
        <f t="array" ref="G4415">IFNA(_xlfn.XLOOKUP(D4415,Table_Tarikan_Warkah[Nomor Tiket],Table_Tarikan_Warkah[Jenis Permohonan]),"")</f>
        <v>PTPGT</v>
      </c>
      <c r="H4415" s="41" t="s">
        <v>2315</v>
      </c>
      <c r="I4415" s="49" t="s">
        <v>23</v>
      </c>
      <c r="J4415" s="36">
        <f t="shared" si="20"/>
        <v>45981.48896</v>
      </c>
      <c r="K4415" s="69"/>
      <c r="L4415" s="49"/>
      <c r="M4415" s="36" t="str">
        <f t="shared" si="33"/>
        <v/>
      </c>
      <c r="N4415" s="30" t="str">
        <f t="shared" si="34"/>
        <v>BT atau SU Belum Valid</v>
      </c>
      <c r="O4415" s="39" t="str">
        <f t="shared" si="23"/>
        <v/>
      </c>
      <c r="P4415" s="47" t="b">
        <v>0</v>
      </c>
      <c r="Q4415" s="36" t="str">
        <f t="shared" si="35"/>
        <v/>
      </c>
      <c r="R4415" s="47" t="b">
        <v>0</v>
      </c>
      <c r="S4415" s="42" t="str">
        <f t="shared" si="28"/>
        <v/>
      </c>
      <c r="T4415" s="42"/>
    </row>
    <row r="4416" ht="22.5" customHeight="1">
      <c r="B4416" s="42">
        <f t="shared" si="7"/>
        <v>4410</v>
      </c>
      <c r="C4416" s="31" t="s">
        <v>4443</v>
      </c>
      <c r="D4416" s="34" t="str">
        <f t="array" ref="D4416">IFNA(_xlfn.XLOOKUP(C4416,Table_Tarikan_Warkah[Nomor Sertipikat],Table_Tarikan_Warkah[Nomor Tiket]),"")</f>
        <v>K/27/210725/1</v>
      </c>
      <c r="E4416" s="36" t="str">
        <f t="array" ref="E4416">IFNA(_xlfn.XLOOKUP(D4416,Table_Tarikan_Warkah[Nomor Tiket],Table_Tarikan_Warkah[Tanggal diserahkan kepada Validator]),"")</f>
        <v/>
      </c>
      <c r="F4416" s="36" t="str">
        <f t="array" ref="F4416">IFNA(_xlfn.XLOOKUP(D4416,Table_Tarikan_Warkah[Nomor Tiket],Table_Tarikan_Warkah[Nama Petugas Warkah]),"")</f>
        <v/>
      </c>
      <c r="G4416" s="39" t="str">
        <f t="array" ref="G4416">IFNA(_xlfn.XLOOKUP(D4416,Table_Tarikan_Warkah[Nomor Tiket],Table_Tarikan_Warkah[Jenis Permohonan]),"")</f>
        <v>PTPGT</v>
      </c>
      <c r="H4416" s="41" t="s">
        <v>2315</v>
      </c>
      <c r="I4416" s="49" t="s">
        <v>23</v>
      </c>
      <c r="J4416" s="36">
        <f t="shared" si="20"/>
        <v>45981.48962</v>
      </c>
      <c r="K4416" s="69"/>
      <c r="L4416" s="49"/>
      <c r="M4416" s="36" t="str">
        <f t="shared" si="33"/>
        <v/>
      </c>
      <c r="N4416" s="30" t="str">
        <f t="shared" si="34"/>
        <v>BT atau SU Belum Valid</v>
      </c>
      <c r="O4416" s="39" t="str">
        <f t="shared" si="23"/>
        <v/>
      </c>
      <c r="P4416" s="47" t="b">
        <v>0</v>
      </c>
      <c r="Q4416" s="36" t="str">
        <f t="shared" si="35"/>
        <v/>
      </c>
      <c r="R4416" s="47" t="b">
        <v>0</v>
      </c>
      <c r="S4416" s="42" t="str">
        <f t="shared" si="28"/>
        <v/>
      </c>
      <c r="T4416" s="42"/>
    </row>
    <row r="4417" ht="22.5" customHeight="1">
      <c r="B4417" s="42">
        <f t="shared" si="7"/>
        <v>4411</v>
      </c>
      <c r="C4417" s="31" t="s">
        <v>4444</v>
      </c>
      <c r="D4417" s="34" t="str">
        <f t="array" ref="D4417">IFNA(_xlfn.XLOOKUP(C4417,Table_Tarikan_Warkah[Nomor Sertipikat],Table_Tarikan_Warkah[Nomor Tiket]),"")</f>
        <v>L/17/221025/1</v>
      </c>
      <c r="E4417" s="36" t="str">
        <f t="array" ref="E4417">IFNA(_xlfn.XLOOKUP(D4417,Table_Tarikan_Warkah[Nomor Tiket],Table_Tarikan_Warkah[Tanggal diserahkan kepada Validator]),"")</f>
        <v/>
      </c>
      <c r="F4417" s="36" t="str">
        <f t="array" ref="F4417">IFNA(_xlfn.XLOOKUP(D4417,Table_Tarikan_Warkah[Nomor Tiket],Table_Tarikan_Warkah[Nama Petugas Warkah]),"")</f>
        <v/>
      </c>
      <c r="G4417" s="39" t="str">
        <f t="array" ref="G4417">IFNA(_xlfn.XLOOKUP(D4417,Table_Tarikan_Warkah[Nomor Tiket],Table_Tarikan_Warkah[Jenis Permohonan]),"")</f>
        <v>ROYA WARIS</v>
      </c>
      <c r="H4417" s="41" t="s">
        <v>2315</v>
      </c>
      <c r="I4417" s="49" t="s">
        <v>23</v>
      </c>
      <c r="J4417" s="36">
        <f t="shared" si="20"/>
        <v>45981.48986</v>
      </c>
      <c r="K4417" s="69"/>
      <c r="L4417" s="49"/>
      <c r="M4417" s="36" t="str">
        <f t="shared" si="33"/>
        <v/>
      </c>
      <c r="N4417" s="30" t="str">
        <f t="shared" si="34"/>
        <v>BT atau SU Belum Valid</v>
      </c>
      <c r="O4417" s="39" t="str">
        <f t="shared" si="23"/>
        <v/>
      </c>
      <c r="P4417" s="47" t="b">
        <v>0</v>
      </c>
      <c r="Q4417" s="36" t="str">
        <f t="shared" si="35"/>
        <v/>
      </c>
      <c r="R4417" s="47" t="b">
        <v>0</v>
      </c>
      <c r="S4417" s="42" t="str">
        <f t="shared" si="28"/>
        <v/>
      </c>
      <c r="T4417" s="42"/>
    </row>
    <row r="4418" ht="22.5" customHeight="1">
      <c r="B4418" s="42">
        <f t="shared" si="7"/>
        <v>4412</v>
      </c>
      <c r="C4418" s="31" t="s">
        <v>4445</v>
      </c>
      <c r="D4418" s="34" t="str">
        <f t="array" ref="D4418">IFNA(_xlfn.XLOOKUP(C4418,Table_Tarikan_Warkah[Nomor Sertipikat],Table_Tarikan_Warkah[Nomor Tiket]),"")</f>
        <v>L/9/051225/1</v>
      </c>
      <c r="E4418" s="36" t="str">
        <f t="array" ref="E4418">IFNA(_xlfn.XLOOKUP(D4418,Table_Tarikan_Warkah[Nomor Tiket],Table_Tarikan_Warkah[Tanggal diserahkan kepada Validator]),"")</f>
        <v/>
      </c>
      <c r="F4418" s="36" t="str">
        <f t="array" ref="F4418">IFNA(_xlfn.XLOOKUP(D4418,Table_Tarikan_Warkah[Nomor Tiket],Table_Tarikan_Warkah[Nama Petugas Warkah]),"")</f>
        <v/>
      </c>
      <c r="G4418" s="39" t="str">
        <f t="array" ref="G4418">IFNA(_xlfn.XLOOKUP(D4418,Table_Tarikan_Warkah[Nomor Tiket],Table_Tarikan_Warkah[Jenis Permohonan]),"")</f>
        <v>SKPT INFORMASI</v>
      </c>
      <c r="H4418" s="41" t="s">
        <v>2315</v>
      </c>
      <c r="I4418" s="49" t="s">
        <v>23</v>
      </c>
      <c r="J4418" s="36">
        <f t="shared" si="20"/>
        <v>45981.49022</v>
      </c>
      <c r="K4418" s="69"/>
      <c r="L4418" s="49"/>
      <c r="M4418" s="36" t="str">
        <f t="shared" si="33"/>
        <v/>
      </c>
      <c r="N4418" s="30" t="str">
        <f t="shared" si="34"/>
        <v>BT atau SU Belum Valid</v>
      </c>
      <c r="O4418" s="39" t="str">
        <f t="shared" si="23"/>
        <v/>
      </c>
      <c r="P4418" s="47" t="b">
        <v>0</v>
      </c>
      <c r="Q4418" s="36" t="str">
        <f t="shared" si="35"/>
        <v/>
      </c>
      <c r="R4418" s="47" t="b">
        <v>0</v>
      </c>
      <c r="S4418" s="42" t="str">
        <f t="shared" si="28"/>
        <v/>
      </c>
      <c r="T4418" s="42"/>
    </row>
    <row r="4419" ht="22.5" customHeight="1">
      <c r="B4419" s="42">
        <f t="shared" si="7"/>
        <v>4413</v>
      </c>
      <c r="C4419" s="31" t="s">
        <v>4446</v>
      </c>
      <c r="D4419" s="34" t="str">
        <f t="array" ref="D4419">IFNA(_xlfn.XLOOKUP(C4419,Table_Tarikan_Warkah[Nomor Sertipikat],Table_Tarikan_Warkah[Nomor Tiket]),"")</f>
        <v>K/19/220425/1</v>
      </c>
      <c r="E4419" s="36" t="str">
        <f t="array" ref="E4419">IFNA(_xlfn.XLOOKUP(D4419,Table_Tarikan_Warkah[Nomor Tiket],Table_Tarikan_Warkah[Tanggal diserahkan kepada Validator]),"")</f>
        <v/>
      </c>
      <c r="F4419" s="36" t="str">
        <f t="array" ref="F4419">IFNA(_xlfn.XLOOKUP(D4419,Table_Tarikan_Warkah[Nomor Tiket],Table_Tarikan_Warkah[Nama Petugas Warkah]),"")</f>
        <v/>
      </c>
      <c r="G4419" s="39" t="str">
        <f t="array" ref="G4419">IFNA(_xlfn.XLOOKUP(D4419,Table_Tarikan_Warkah[Nomor Tiket],Table_Tarikan_Warkah[Jenis Permohonan]),"")</f>
        <v>KEWARISAN</v>
      </c>
      <c r="H4419" s="41" t="s">
        <v>2315</v>
      </c>
      <c r="I4419" s="49" t="s">
        <v>23</v>
      </c>
      <c r="J4419" s="36">
        <f t="shared" si="20"/>
        <v>45981.49041</v>
      </c>
      <c r="K4419" s="69"/>
      <c r="L4419" s="49"/>
      <c r="M4419" s="36" t="str">
        <f t="shared" si="33"/>
        <v/>
      </c>
      <c r="N4419" s="30" t="str">
        <f t="shared" si="34"/>
        <v>BT atau SU Belum Valid</v>
      </c>
      <c r="O4419" s="39" t="str">
        <f t="shared" si="23"/>
        <v/>
      </c>
      <c r="P4419" s="47" t="b">
        <v>0</v>
      </c>
      <c r="Q4419" s="36" t="str">
        <f t="shared" si="35"/>
        <v/>
      </c>
      <c r="R4419" s="47" t="b">
        <v>0</v>
      </c>
      <c r="S4419" s="42" t="str">
        <f t="shared" si="28"/>
        <v/>
      </c>
      <c r="T4419" s="42"/>
    </row>
    <row r="4420" ht="22.5" customHeight="1">
      <c r="B4420" s="42">
        <f t="shared" si="7"/>
        <v>4414</v>
      </c>
      <c r="C4420" s="31" t="s">
        <v>4447</v>
      </c>
      <c r="D4420" s="34" t="str">
        <f t="array" ref="D4420">IFNA(_xlfn.XLOOKUP(C4420,Table_Tarikan_Warkah[Nomor Sertipikat],Table_Tarikan_Warkah[Nomor Tiket]),"")</f>
        <v/>
      </c>
      <c r="E4420" s="36" t="str">
        <f t="array" ref="E4420">IFNA(_xlfn.XLOOKUP(D4420,Table_Tarikan_Warkah[Nomor Tiket],Table_Tarikan_Warkah[Tanggal diserahkan kepada Validator]),"")</f>
        <v/>
      </c>
      <c r="F4420" s="36" t="str">
        <f t="array" ref="F4420">IFNA(_xlfn.XLOOKUP(D4420,Table_Tarikan_Warkah[Nomor Tiket],Table_Tarikan_Warkah[Nama Petugas Warkah]),"")</f>
        <v/>
      </c>
      <c r="G4420" s="39" t="str">
        <f t="array" ref="G4420">IFNA(_xlfn.XLOOKUP(D4420,Table_Tarikan_Warkah[Nomor Tiket],Table_Tarikan_Warkah[Jenis Permohonan]),"")</f>
        <v/>
      </c>
      <c r="H4420" s="41" t="s">
        <v>2315</v>
      </c>
      <c r="I4420" s="49" t="s">
        <v>23</v>
      </c>
      <c r="J4420" s="36">
        <f t="shared" si="20"/>
        <v>45981.49068</v>
      </c>
      <c r="K4420" s="69"/>
      <c r="L4420" s="49"/>
      <c r="M4420" s="36" t="str">
        <f t="shared" si="33"/>
        <v/>
      </c>
      <c r="N4420" s="30" t="str">
        <f t="shared" si="34"/>
        <v/>
      </c>
      <c r="O4420" s="39" t="str">
        <f t="shared" si="23"/>
        <v/>
      </c>
      <c r="P4420" s="47" t="b">
        <v>0</v>
      </c>
      <c r="Q4420" s="36" t="str">
        <f t="shared" si="35"/>
        <v/>
      </c>
      <c r="R4420" s="47" t="b">
        <v>0</v>
      </c>
      <c r="S4420" s="42" t="str">
        <f t="shared" si="28"/>
        <v/>
      </c>
      <c r="T4420" s="42"/>
    </row>
    <row r="4421" ht="22.5" customHeight="1">
      <c r="B4421" s="42">
        <f t="shared" si="7"/>
        <v>4415</v>
      </c>
      <c r="C4421" s="31" t="s">
        <v>4448</v>
      </c>
      <c r="D4421" s="34" t="str">
        <f t="array" ref="D4421">IFNA(_xlfn.XLOOKUP(C4421,Table_Tarikan_Warkah[Nomor Sertipikat],Table_Tarikan_Warkah[Nomor Tiket]),"")</f>
        <v/>
      </c>
      <c r="E4421" s="36" t="str">
        <f t="array" ref="E4421">IFNA(_xlfn.XLOOKUP(D4421,Table_Tarikan_Warkah[Nomor Tiket],Table_Tarikan_Warkah[Tanggal diserahkan kepada Validator]),"")</f>
        <v/>
      </c>
      <c r="F4421" s="36" t="str">
        <f t="array" ref="F4421">IFNA(_xlfn.XLOOKUP(D4421,Table_Tarikan_Warkah[Nomor Tiket],Table_Tarikan_Warkah[Nama Petugas Warkah]),"")</f>
        <v/>
      </c>
      <c r="G4421" s="39" t="str">
        <f t="array" ref="G4421">IFNA(_xlfn.XLOOKUP(D4421,Table_Tarikan_Warkah[Nomor Tiket],Table_Tarikan_Warkah[Jenis Permohonan]),"")</f>
        <v/>
      </c>
      <c r="H4421" s="41" t="s">
        <v>2315</v>
      </c>
      <c r="I4421" s="49" t="s">
        <v>23</v>
      </c>
      <c r="J4421" s="36">
        <f t="shared" si="20"/>
        <v>45981.49107</v>
      </c>
      <c r="K4421" s="69"/>
      <c r="L4421" s="49"/>
      <c r="M4421" s="36" t="str">
        <f t="shared" si="33"/>
        <v/>
      </c>
      <c r="N4421" s="30" t="str">
        <f t="shared" si="34"/>
        <v/>
      </c>
      <c r="O4421" s="39" t="str">
        <f t="shared" si="23"/>
        <v/>
      </c>
      <c r="P4421" s="47" t="b">
        <v>0</v>
      </c>
      <c r="Q4421" s="36" t="str">
        <f t="shared" si="35"/>
        <v/>
      </c>
      <c r="R4421" s="47" t="b">
        <v>0</v>
      </c>
      <c r="S4421" s="42" t="str">
        <f t="shared" si="28"/>
        <v/>
      </c>
      <c r="T4421" s="42"/>
    </row>
    <row r="4422" ht="22.5" customHeight="1">
      <c r="B4422" s="42">
        <f t="shared" si="7"/>
        <v>4416</v>
      </c>
      <c r="C4422" s="31" t="s">
        <v>4449</v>
      </c>
      <c r="D4422" s="34" t="str">
        <f t="array" ref="D4422">IFNA(_xlfn.XLOOKUP(C4422,Table_Tarikan_Warkah[Nomor Sertipikat],Table_Tarikan_Warkah[Nomor Tiket]),"")</f>
        <v>K/24/091025/1</v>
      </c>
      <c r="E4422" s="36" t="str">
        <f t="array" ref="E4422">IFNA(_xlfn.XLOOKUP(D4422,Table_Tarikan_Warkah[Nomor Tiket],Table_Tarikan_Warkah[Tanggal diserahkan kepada Validator]),"")</f>
        <v/>
      </c>
      <c r="F4422" s="36" t="str">
        <f t="array" ref="F4422">IFNA(_xlfn.XLOOKUP(D4422,Table_Tarikan_Warkah[Nomor Tiket],Table_Tarikan_Warkah[Nama Petugas Warkah]),"")</f>
        <v/>
      </c>
      <c r="G4422" s="39" t="str">
        <f t="array" ref="G4422">IFNA(_xlfn.XLOOKUP(D4422,Table_Tarikan_Warkah[Nomor Tiket],Table_Tarikan_Warkah[Jenis Permohonan]),"")</f>
        <v>BN JUAL BELI </v>
      </c>
      <c r="H4422" s="41" t="s">
        <v>2315</v>
      </c>
      <c r="I4422" s="49" t="s">
        <v>23</v>
      </c>
      <c r="J4422" s="36">
        <f t="shared" si="20"/>
        <v>45981.49132</v>
      </c>
      <c r="K4422" s="69"/>
      <c r="L4422" s="49"/>
      <c r="M4422" s="36" t="str">
        <f t="shared" si="33"/>
        <v/>
      </c>
      <c r="N4422" s="30" t="str">
        <f t="shared" si="34"/>
        <v>BT atau SU Belum Valid</v>
      </c>
      <c r="O4422" s="39" t="str">
        <f t="shared" si="23"/>
        <v/>
      </c>
      <c r="P4422" s="47" t="b">
        <v>0</v>
      </c>
      <c r="Q4422" s="36" t="str">
        <f t="shared" si="35"/>
        <v/>
      </c>
      <c r="R4422" s="47" t="b">
        <v>0</v>
      </c>
      <c r="S4422" s="42" t="str">
        <f t="shared" si="28"/>
        <v/>
      </c>
      <c r="T4422" s="42"/>
    </row>
    <row r="4423" ht="22.5" customHeight="1">
      <c r="B4423" s="42">
        <f t="shared" si="7"/>
        <v>4417</v>
      </c>
      <c r="C4423" s="31" t="s">
        <v>4450</v>
      </c>
      <c r="D4423" s="34" t="str">
        <f t="array" ref="D4423">IFNA(_xlfn.XLOOKUP(C4423,Table_Tarikan_Warkah[Nomor Sertipikat],Table_Tarikan_Warkah[Nomor Tiket]),"")</f>
        <v>K/7/150925/1</v>
      </c>
      <c r="E4423" s="36">
        <f t="array" ref="E4423">IFNA(_xlfn.XLOOKUP(D4423,Table_Tarikan_Warkah[Nomor Tiket],Table_Tarikan_Warkah[Tanggal diserahkan kepada Validator]),"")</f>
        <v>45951.47676</v>
      </c>
      <c r="F4423" s="36" t="str">
        <f t="array" ref="F4423">IFNA(_xlfn.XLOOKUP(D4423,Table_Tarikan_Warkah[Nomor Tiket],Table_Tarikan_Warkah[Nama Petugas Warkah]),"")</f>
        <v>Berry</v>
      </c>
      <c r="G4423" s="39" t="str">
        <f t="array" ref="G4423">IFNA(_xlfn.XLOOKUP(D4423,Table_Tarikan_Warkah[Nomor Tiket],Table_Tarikan_Warkah[Jenis Permohonan]),"")</f>
        <v>BN JUAL BELI EL</v>
      </c>
      <c r="H4423" s="41" t="s">
        <v>2315</v>
      </c>
      <c r="I4423" s="49" t="s">
        <v>23</v>
      </c>
      <c r="J4423" s="36">
        <f t="shared" si="20"/>
        <v>45981.49146</v>
      </c>
      <c r="K4423" s="69"/>
      <c r="L4423" s="49"/>
      <c r="M4423" s="36" t="str">
        <f t="shared" si="33"/>
        <v/>
      </c>
      <c r="N4423" s="30" t="str">
        <f t="shared" si="34"/>
        <v>BT atau SU Belum Valid</v>
      </c>
      <c r="O4423" s="39" t="str">
        <f t="shared" si="23"/>
        <v/>
      </c>
      <c r="P4423" s="47" t="b">
        <v>0</v>
      </c>
      <c r="Q4423" s="36" t="str">
        <f t="shared" si="35"/>
        <v/>
      </c>
      <c r="R4423" s="47" t="b">
        <v>0</v>
      </c>
      <c r="S4423" s="42" t="str">
        <f t="shared" si="28"/>
        <v/>
      </c>
      <c r="T4423" s="42"/>
    </row>
    <row r="4424" ht="22.5" customHeight="1">
      <c r="B4424" s="42">
        <f t="shared" si="7"/>
        <v>4418</v>
      </c>
      <c r="C4424" s="31" t="s">
        <v>4451</v>
      </c>
      <c r="D4424" s="34" t="str">
        <f t="array" ref="D4424">IFNA(_xlfn.XLOOKUP(C4424,Table_Tarikan_Warkah[Nomor Sertipikat],Table_Tarikan_Warkah[Nomor Tiket]),"")</f>
        <v>K/9/161025/1</v>
      </c>
      <c r="E4424" s="36" t="str">
        <f t="array" ref="E4424">IFNA(_xlfn.XLOOKUP(D4424,Table_Tarikan_Warkah[Nomor Tiket],Table_Tarikan_Warkah[Tanggal diserahkan kepada Validator]),"")</f>
        <v/>
      </c>
      <c r="F4424" s="36" t="str">
        <f t="array" ref="F4424">IFNA(_xlfn.XLOOKUP(D4424,Table_Tarikan_Warkah[Nomor Tiket],Table_Tarikan_Warkah[Nama Petugas Warkah]),"")</f>
        <v/>
      </c>
      <c r="G4424" s="39" t="str">
        <f t="array" ref="G4424">IFNA(_xlfn.XLOOKUP(D4424,Table_Tarikan_Warkah[Nomor Tiket],Table_Tarikan_Warkah[Jenis Permohonan]),"")</f>
        <v>PERUBAHAN HAK</v>
      </c>
      <c r="H4424" s="41" t="s">
        <v>2315</v>
      </c>
      <c r="I4424" s="49" t="s">
        <v>23</v>
      </c>
      <c r="J4424" s="36">
        <f t="shared" si="20"/>
        <v>45981.49175</v>
      </c>
      <c r="K4424" s="69"/>
      <c r="L4424" s="49"/>
      <c r="M4424" s="36" t="str">
        <f t="shared" si="33"/>
        <v/>
      </c>
      <c r="N4424" s="30" t="str">
        <f t="shared" si="34"/>
        <v>BT atau SU Belum Valid</v>
      </c>
      <c r="O4424" s="39" t="str">
        <f t="shared" si="23"/>
        <v/>
      </c>
      <c r="P4424" s="47" t="b">
        <v>0</v>
      </c>
      <c r="Q4424" s="36" t="str">
        <f t="shared" si="35"/>
        <v/>
      </c>
      <c r="R4424" s="47" t="b">
        <v>0</v>
      </c>
      <c r="S4424" s="42" t="str">
        <f t="shared" si="28"/>
        <v/>
      </c>
      <c r="T4424" s="42"/>
    </row>
    <row r="4425" ht="22.5" customHeight="1">
      <c r="B4425" s="42">
        <f t="shared" si="7"/>
        <v>4419</v>
      </c>
      <c r="C4425" s="31" t="s">
        <v>4452</v>
      </c>
      <c r="D4425" s="34" t="str">
        <f t="array" ref="D4425">IFNA(_xlfn.XLOOKUP(C4425,Table_Tarikan_Warkah[Nomor Sertipikat],Table_Tarikan_Warkah[Nomor Tiket]),"")</f>
        <v>K/16/011027/1</v>
      </c>
      <c r="E4425" s="36">
        <f t="array" ref="E4425">IFNA(_xlfn.XLOOKUP(D4425,Table_Tarikan_Warkah[Nomor Tiket],Table_Tarikan_Warkah[Tanggal diserahkan kepada Validator]),"")</f>
        <v>45979.63294</v>
      </c>
      <c r="F4425" s="36" t="str">
        <f t="array" ref="F4425">IFNA(_xlfn.XLOOKUP(D4425,Table_Tarikan_Warkah[Nomor Tiket],Table_Tarikan_Warkah[Nama Petugas Warkah]),"")</f>
        <v>Berry</v>
      </c>
      <c r="G4425" s="39" t="str">
        <f t="array" ref="G4425">IFNA(_xlfn.XLOOKUP(D4425,Table_Tarikan_Warkah[Nomor Tiket],Table_Tarikan_Warkah[Jenis Permohonan]),"")</f>
        <v>BN JUAL BELI</v>
      </c>
      <c r="H4425" s="41" t="s">
        <v>2315</v>
      </c>
      <c r="I4425" s="49" t="s">
        <v>23</v>
      </c>
      <c r="J4425" s="36">
        <f t="shared" si="20"/>
        <v>45981.49197</v>
      </c>
      <c r="K4425" s="69"/>
      <c r="L4425" s="49"/>
      <c r="M4425" s="36" t="str">
        <f t="shared" si="33"/>
        <v/>
      </c>
      <c r="N4425" s="30" t="str">
        <f t="shared" si="34"/>
        <v>BT atau SU Belum Valid</v>
      </c>
      <c r="O4425" s="39" t="str">
        <f t="shared" si="23"/>
        <v/>
      </c>
      <c r="P4425" s="47" t="b">
        <v>0</v>
      </c>
      <c r="Q4425" s="36" t="str">
        <f t="shared" si="35"/>
        <v/>
      </c>
      <c r="R4425" s="47" t="b">
        <v>0</v>
      </c>
      <c r="S4425" s="42" t="str">
        <f t="shared" si="28"/>
        <v/>
      </c>
      <c r="T4425" s="42"/>
    </row>
    <row r="4426" ht="22.5" customHeight="1">
      <c r="B4426" s="42">
        <f t="shared" si="7"/>
        <v>4420</v>
      </c>
      <c r="C4426" s="31" t="s">
        <v>4453</v>
      </c>
      <c r="D4426" s="34" t="str">
        <f t="array" ref="D4426">IFNA(_xlfn.XLOOKUP(C4426,Table_Tarikan_Warkah[Nomor Sertipikat],Table_Tarikan_Warkah[Nomor Tiket]),"")</f>
        <v/>
      </c>
      <c r="E4426" s="36" t="str">
        <f t="array" ref="E4426">IFNA(_xlfn.XLOOKUP(D4426,Table_Tarikan_Warkah[Nomor Tiket],Table_Tarikan_Warkah[Tanggal diserahkan kepada Validator]),"")</f>
        <v/>
      </c>
      <c r="F4426" s="36" t="str">
        <f t="array" ref="F4426">IFNA(_xlfn.XLOOKUP(D4426,Table_Tarikan_Warkah[Nomor Tiket],Table_Tarikan_Warkah[Nama Petugas Warkah]),"")</f>
        <v/>
      </c>
      <c r="G4426" s="39" t="str">
        <f t="array" ref="G4426">IFNA(_xlfn.XLOOKUP(D4426,Table_Tarikan_Warkah[Nomor Tiket],Table_Tarikan_Warkah[Jenis Permohonan]),"")</f>
        <v/>
      </c>
      <c r="H4426" s="41" t="s">
        <v>2315</v>
      </c>
      <c r="I4426" s="49" t="s">
        <v>23</v>
      </c>
      <c r="J4426" s="36">
        <f t="shared" si="20"/>
        <v>45981.49237</v>
      </c>
      <c r="K4426" s="69"/>
      <c r="L4426" s="49"/>
      <c r="M4426" s="36" t="str">
        <f t="shared" si="33"/>
        <v/>
      </c>
      <c r="N4426" s="30" t="str">
        <f t="shared" si="34"/>
        <v/>
      </c>
      <c r="O4426" s="39" t="str">
        <f t="shared" si="23"/>
        <v/>
      </c>
      <c r="P4426" s="47" t="b">
        <v>0</v>
      </c>
      <c r="Q4426" s="36" t="str">
        <f t="shared" si="35"/>
        <v/>
      </c>
      <c r="R4426" s="47" t="b">
        <v>0</v>
      </c>
      <c r="S4426" s="42" t="str">
        <f t="shared" si="28"/>
        <v/>
      </c>
      <c r="T4426" s="42"/>
    </row>
    <row r="4427" ht="22.5" customHeight="1">
      <c r="B4427" s="42">
        <f t="shared" si="7"/>
        <v>4421</v>
      </c>
      <c r="C4427" s="31" t="s">
        <v>4454</v>
      </c>
      <c r="D4427" s="34" t="str">
        <f t="array" ref="D4427">IFNA(_xlfn.XLOOKUP(C4427,Table_Tarikan_Warkah[Nomor Sertipikat],Table_Tarikan_Warkah[Nomor Tiket]),"")</f>
        <v>L/13/171025/1</v>
      </c>
      <c r="E4427" s="36" t="str">
        <f t="array" ref="E4427">IFNA(_xlfn.XLOOKUP(D4427,Table_Tarikan_Warkah[Nomor Tiket],Table_Tarikan_Warkah[Tanggal diserahkan kepada Validator]),"")</f>
        <v/>
      </c>
      <c r="F4427" s="36" t="str">
        <f t="array" ref="F4427">IFNA(_xlfn.XLOOKUP(D4427,Table_Tarikan_Warkah[Nomor Tiket],Table_Tarikan_Warkah[Nama Petugas Warkah]),"")</f>
        <v/>
      </c>
      <c r="G4427" s="39" t="str">
        <f t="array" ref="G4427">IFNA(_xlfn.XLOOKUP(D4427,Table_Tarikan_Warkah[Nomor Tiket],Table_Tarikan_Warkah[Jenis Permohonan]),"")</f>
        <v>ROYA</v>
      </c>
      <c r="H4427" s="41" t="s">
        <v>2315</v>
      </c>
      <c r="I4427" s="49" t="s">
        <v>23</v>
      </c>
      <c r="J4427" s="36">
        <f t="shared" si="20"/>
        <v>45981.49281</v>
      </c>
      <c r="K4427" s="69"/>
      <c r="L4427" s="49"/>
      <c r="M4427" s="36" t="str">
        <f t="shared" si="33"/>
        <v/>
      </c>
      <c r="N4427" s="30" t="str">
        <f t="shared" si="34"/>
        <v>BT atau SU Belum Valid</v>
      </c>
      <c r="O4427" s="39" t="str">
        <f t="shared" si="23"/>
        <v/>
      </c>
      <c r="P4427" s="47" t="b">
        <v>0</v>
      </c>
      <c r="Q4427" s="36" t="str">
        <f t="shared" si="35"/>
        <v/>
      </c>
      <c r="R4427" s="47" t="b">
        <v>0</v>
      </c>
      <c r="S4427" s="42" t="str">
        <f t="shared" si="28"/>
        <v/>
      </c>
      <c r="T4427" s="42"/>
    </row>
    <row r="4428" ht="22.5" customHeight="1">
      <c r="B4428" s="42">
        <f t="shared" si="7"/>
        <v>4422</v>
      </c>
      <c r="C4428" s="31" t="s">
        <v>4455</v>
      </c>
      <c r="D4428" s="34" t="str">
        <f t="array" ref="D4428">IFNA(_xlfn.XLOOKUP(C4428,Table_Tarikan_Warkah[Nomor Sertipikat],Table_Tarikan_Warkah[Nomor Tiket]),"")</f>
        <v>L/1/151025/1</v>
      </c>
      <c r="E4428" s="36" t="str">
        <f t="array" ref="E4428">IFNA(_xlfn.XLOOKUP(D4428,Table_Tarikan_Warkah[Nomor Tiket],Table_Tarikan_Warkah[Tanggal diserahkan kepada Validator]),"")</f>
        <v/>
      </c>
      <c r="F4428" s="36" t="str">
        <f t="array" ref="F4428">IFNA(_xlfn.XLOOKUP(D4428,Table_Tarikan_Warkah[Nomor Tiket],Table_Tarikan_Warkah[Nama Petugas Warkah]),"")</f>
        <v/>
      </c>
      <c r="G4428" s="39" t="str">
        <f t="array" ref="G4428">IFNA(_xlfn.XLOOKUP(D4428,Table_Tarikan_Warkah[Nomor Tiket],Table_Tarikan_Warkah[Jenis Permohonan]),"")</f>
        <v>ROYA</v>
      </c>
      <c r="H4428" s="41" t="s">
        <v>2315</v>
      </c>
      <c r="I4428" s="49" t="s">
        <v>23</v>
      </c>
      <c r="J4428" s="36">
        <f t="shared" si="20"/>
        <v>45981.49329</v>
      </c>
      <c r="K4428" s="69"/>
      <c r="L4428" s="49"/>
      <c r="M4428" s="36" t="str">
        <f t="shared" si="33"/>
        <v/>
      </c>
      <c r="N4428" s="30" t="str">
        <f t="shared" si="34"/>
        <v>BT atau SU Belum Valid</v>
      </c>
      <c r="O4428" s="39" t="str">
        <f t="shared" si="23"/>
        <v/>
      </c>
      <c r="P4428" s="47" t="b">
        <v>0</v>
      </c>
      <c r="Q4428" s="36" t="str">
        <f t="shared" si="35"/>
        <v/>
      </c>
      <c r="R4428" s="47" t="b">
        <v>0</v>
      </c>
      <c r="S4428" s="42" t="str">
        <f t="shared" si="28"/>
        <v/>
      </c>
      <c r="T4428" s="42"/>
    </row>
    <row r="4429" ht="22.5" customHeight="1">
      <c r="B4429" s="42">
        <f t="shared" si="7"/>
        <v>4423</v>
      </c>
      <c r="C4429" s="31" t="s">
        <v>4456</v>
      </c>
      <c r="D4429" s="34" t="str">
        <f t="array" ref="D4429">IFNA(_xlfn.XLOOKUP(C4429,Table_Tarikan_Warkah[Nomor Sertipikat],Table_Tarikan_Warkah[Nomor Tiket]),"")</f>
        <v/>
      </c>
      <c r="E4429" s="36" t="str">
        <f t="array" ref="E4429">IFNA(_xlfn.XLOOKUP(D4429,Table_Tarikan_Warkah[Nomor Tiket],Table_Tarikan_Warkah[Tanggal diserahkan kepada Validator]),"")</f>
        <v/>
      </c>
      <c r="F4429" s="36" t="str">
        <f t="array" ref="F4429">IFNA(_xlfn.XLOOKUP(D4429,Table_Tarikan_Warkah[Nomor Tiket],Table_Tarikan_Warkah[Nama Petugas Warkah]),"")</f>
        <v/>
      </c>
      <c r="G4429" s="39" t="str">
        <f t="array" ref="G4429">IFNA(_xlfn.XLOOKUP(D4429,Table_Tarikan_Warkah[Nomor Tiket],Table_Tarikan_Warkah[Jenis Permohonan]),"")</f>
        <v/>
      </c>
      <c r="H4429" s="41" t="s">
        <v>2315</v>
      </c>
      <c r="I4429" s="49" t="s">
        <v>23</v>
      </c>
      <c r="J4429" s="36">
        <f t="shared" si="20"/>
        <v>45981.49366</v>
      </c>
      <c r="K4429" s="69"/>
      <c r="L4429" s="49"/>
      <c r="M4429" s="36" t="str">
        <f t="shared" si="33"/>
        <v/>
      </c>
      <c r="N4429" s="30" t="str">
        <f t="shared" si="34"/>
        <v/>
      </c>
      <c r="O4429" s="39" t="str">
        <f t="shared" si="23"/>
        <v/>
      </c>
      <c r="P4429" s="47" t="b">
        <v>0</v>
      </c>
      <c r="Q4429" s="36" t="str">
        <f t="shared" si="35"/>
        <v/>
      </c>
      <c r="R4429" s="47" t="b">
        <v>0</v>
      </c>
      <c r="S4429" s="42" t="str">
        <f t="shared" si="28"/>
        <v/>
      </c>
      <c r="T4429" s="42"/>
    </row>
    <row r="4430" ht="22.5" customHeight="1">
      <c r="B4430" s="42">
        <f t="shared" si="7"/>
        <v>4424</v>
      </c>
      <c r="C4430" s="31" t="s">
        <v>4457</v>
      </c>
      <c r="D4430" s="34" t="str">
        <f t="array" ref="D4430">IFNA(_xlfn.XLOOKUP(C4430,Table_Tarikan_Warkah[Nomor Sertipikat],Table_Tarikan_Warkah[Nomor Tiket]),"")</f>
        <v>L/4/221025/1</v>
      </c>
      <c r="E4430" s="36" t="str">
        <f t="array" ref="E4430">IFNA(_xlfn.XLOOKUP(D4430,Table_Tarikan_Warkah[Nomor Tiket],Table_Tarikan_Warkah[Tanggal diserahkan kepada Validator]),"")</f>
        <v/>
      </c>
      <c r="F4430" s="36" t="str">
        <f t="array" ref="F4430">IFNA(_xlfn.XLOOKUP(D4430,Table_Tarikan_Warkah[Nomor Tiket],Table_Tarikan_Warkah[Nama Petugas Warkah]),"")</f>
        <v/>
      </c>
      <c r="G4430" s="39" t="str">
        <f t="array" ref="G4430">IFNA(_xlfn.XLOOKUP(D4430,Table_Tarikan_Warkah[Nomor Tiket],Table_Tarikan_Warkah[Jenis Permohonan]),"")</f>
        <v>ROYA</v>
      </c>
      <c r="H4430" s="41" t="s">
        <v>2315</v>
      </c>
      <c r="I4430" s="49" t="s">
        <v>23</v>
      </c>
      <c r="J4430" s="36">
        <f t="shared" si="20"/>
        <v>45981.49394</v>
      </c>
      <c r="K4430" s="69"/>
      <c r="L4430" s="49"/>
      <c r="M4430" s="36" t="str">
        <f t="shared" si="33"/>
        <v/>
      </c>
      <c r="N4430" s="30" t="str">
        <f t="shared" si="34"/>
        <v>BT atau SU Belum Valid</v>
      </c>
      <c r="O4430" s="39" t="str">
        <f t="shared" si="23"/>
        <v/>
      </c>
      <c r="P4430" s="47" t="b">
        <v>0</v>
      </c>
      <c r="Q4430" s="36" t="str">
        <f t="shared" si="35"/>
        <v/>
      </c>
      <c r="R4430" s="47" t="b">
        <v>0</v>
      </c>
      <c r="S4430" s="42" t="str">
        <f t="shared" si="28"/>
        <v/>
      </c>
      <c r="T4430" s="42"/>
    </row>
    <row r="4431" ht="22.5" customHeight="1">
      <c r="B4431" s="42">
        <f t="shared" si="7"/>
        <v>4425</v>
      </c>
      <c r="C4431" s="31" t="s">
        <v>4458</v>
      </c>
      <c r="D4431" s="34" t="str">
        <f t="array" ref="D4431">IFNA(_xlfn.XLOOKUP(C4431,Table_Tarikan_Warkah[Nomor Sertipikat],Table_Tarikan_Warkah[Nomor Tiket]),"")</f>
        <v>K/3/031025/1</v>
      </c>
      <c r="E4431" s="36" t="str">
        <f t="array" ref="E4431">IFNA(_xlfn.XLOOKUP(D4431,Table_Tarikan_Warkah[Nomor Tiket],Table_Tarikan_Warkah[Tanggal diserahkan kepada Validator]),"")</f>
        <v/>
      </c>
      <c r="F4431" s="36" t="str">
        <f t="array" ref="F4431">IFNA(_xlfn.XLOOKUP(D4431,Table_Tarikan_Warkah[Nomor Tiket],Table_Tarikan_Warkah[Nama Petugas Warkah]),"")</f>
        <v/>
      </c>
      <c r="G4431" s="39" t="str">
        <f t="array" ref="G4431">IFNA(_xlfn.XLOOKUP(D4431,Table_Tarikan_Warkah[Nomor Tiket],Table_Tarikan_Warkah[Jenis Permohonan]),"")</f>
        <v>ROYA</v>
      </c>
      <c r="H4431" s="41" t="s">
        <v>2315</v>
      </c>
      <c r="I4431" s="49" t="s">
        <v>23</v>
      </c>
      <c r="J4431" s="36">
        <f t="shared" si="20"/>
        <v>45981.49467</v>
      </c>
      <c r="K4431" s="69"/>
      <c r="L4431" s="49"/>
      <c r="M4431" s="36" t="str">
        <f t="shared" si="33"/>
        <v/>
      </c>
      <c r="N4431" s="30" t="str">
        <f t="shared" si="34"/>
        <v>BT atau SU Belum Valid</v>
      </c>
      <c r="O4431" s="39" t="str">
        <f t="shared" si="23"/>
        <v/>
      </c>
      <c r="P4431" s="47" t="b">
        <v>0</v>
      </c>
      <c r="Q4431" s="36" t="str">
        <f t="shared" si="35"/>
        <v/>
      </c>
      <c r="R4431" s="47" t="b">
        <v>0</v>
      </c>
      <c r="S4431" s="42" t="str">
        <f t="shared" si="28"/>
        <v/>
      </c>
      <c r="T4431" s="42"/>
    </row>
    <row r="4432" ht="22.5" customHeight="1">
      <c r="B4432" s="42">
        <f t="shared" si="7"/>
        <v>4426</v>
      </c>
      <c r="C4432" s="31" t="s">
        <v>4459</v>
      </c>
      <c r="D4432" s="34" t="str">
        <f t="array" ref="D4432">IFNA(_xlfn.XLOOKUP(C4432,Table_Tarikan_Warkah[Nomor Sertipikat],Table_Tarikan_Warkah[Nomor Tiket]),"")</f>
        <v>L/17/191125/1</v>
      </c>
      <c r="E4432" s="36" t="str">
        <f t="array" ref="E4432">IFNA(_xlfn.XLOOKUP(D4432,Table_Tarikan_Warkah[Nomor Tiket],Table_Tarikan_Warkah[Tanggal diserahkan kepada Validator]),"")</f>
        <v/>
      </c>
      <c r="F4432" s="36" t="str">
        <f t="array" ref="F4432">IFNA(_xlfn.XLOOKUP(D4432,Table_Tarikan_Warkah[Nomor Tiket],Table_Tarikan_Warkah[Nama Petugas Warkah]),"")</f>
        <v/>
      </c>
      <c r="G4432" s="39" t="str">
        <f t="array" ref="G4432">IFNA(_xlfn.XLOOKUP(D4432,Table_Tarikan_Warkah[Nomor Tiket],Table_Tarikan_Warkah[Jenis Permohonan]),"")</f>
        <v>BN WARIS</v>
      </c>
      <c r="H4432" s="41" t="s">
        <v>2315</v>
      </c>
      <c r="I4432" s="49" t="s">
        <v>23</v>
      </c>
      <c r="J4432" s="36">
        <f t="shared" si="20"/>
        <v>45981.49495</v>
      </c>
      <c r="K4432" s="69"/>
      <c r="L4432" s="49"/>
      <c r="M4432" s="36" t="str">
        <f t="shared" si="33"/>
        <v/>
      </c>
      <c r="N4432" s="30" t="str">
        <f t="shared" si="34"/>
        <v>BT atau SU Belum Valid</v>
      </c>
      <c r="O4432" s="39" t="str">
        <f t="shared" si="23"/>
        <v/>
      </c>
      <c r="P4432" s="47" t="b">
        <v>0</v>
      </c>
      <c r="Q4432" s="36" t="str">
        <f t="shared" si="35"/>
        <v/>
      </c>
      <c r="R4432" s="47" t="b">
        <v>0</v>
      </c>
      <c r="S4432" s="42" t="str">
        <f t="shared" si="28"/>
        <v/>
      </c>
      <c r="T4432" s="42"/>
    </row>
    <row r="4433" ht="22.5" customHeight="1">
      <c r="B4433" s="42">
        <f t="shared" si="7"/>
        <v>4427</v>
      </c>
      <c r="C4433" s="31" t="s">
        <v>4460</v>
      </c>
      <c r="D4433" s="34" t="str">
        <f t="array" ref="D4433">IFNA(_xlfn.XLOOKUP(C4433,Table_Tarikan_Warkah[Nomor Sertipikat],Table_Tarikan_Warkah[Nomor Tiket]),"")</f>
        <v>K/5/300625/1</v>
      </c>
      <c r="E4433" s="36" t="str">
        <f t="array" ref="E4433">IFNA(_xlfn.XLOOKUP(D4433,Table_Tarikan_Warkah[Nomor Tiket],Table_Tarikan_Warkah[Tanggal diserahkan kepada Validator]),"")</f>
        <v/>
      </c>
      <c r="F4433" s="36" t="str">
        <f t="array" ref="F4433">IFNA(_xlfn.XLOOKUP(D4433,Table_Tarikan_Warkah[Nomor Tiket],Table_Tarikan_Warkah[Nama Petugas Warkah]),"")</f>
        <v/>
      </c>
      <c r="G4433" s="39" t="str">
        <f t="array" ref="G4433">IFNA(_xlfn.XLOOKUP(D4433,Table_Tarikan_Warkah[Nomor Tiket],Table_Tarikan_Warkah[Jenis Permohonan]),"")</f>
        <v>BN WARIS</v>
      </c>
      <c r="H4433" s="41" t="s">
        <v>2315</v>
      </c>
      <c r="I4433" s="49" t="s">
        <v>23</v>
      </c>
      <c r="J4433" s="36">
        <f t="shared" si="20"/>
        <v>45982.44896</v>
      </c>
      <c r="K4433" s="69"/>
      <c r="L4433" s="49"/>
      <c r="M4433" s="36" t="str">
        <f t="shared" si="33"/>
        <v/>
      </c>
      <c r="N4433" s="30" t="str">
        <f t="shared" si="34"/>
        <v>BT atau SU Belum Valid</v>
      </c>
      <c r="O4433" s="39" t="str">
        <f t="shared" si="23"/>
        <v/>
      </c>
      <c r="P4433" s="47" t="b">
        <v>0</v>
      </c>
      <c r="Q4433" s="36" t="str">
        <f t="shared" si="35"/>
        <v/>
      </c>
      <c r="R4433" s="47" t="b">
        <v>0</v>
      </c>
      <c r="S4433" s="42" t="str">
        <f t="shared" si="28"/>
        <v/>
      </c>
      <c r="T4433" s="42"/>
    </row>
    <row r="4434" ht="22.5" customHeight="1">
      <c r="B4434" s="42">
        <f t="shared" si="7"/>
        <v>4428</v>
      </c>
      <c r="C4434" s="31" t="s">
        <v>4461</v>
      </c>
      <c r="D4434" s="34" t="str">
        <f t="array" ref="D4434">IFNA(_xlfn.XLOOKUP(C4434,Table_Tarikan_Warkah[Nomor Sertipikat],Table_Tarikan_Warkah[Nomor Tiket]),"")</f>
        <v>K/53/081025/1</v>
      </c>
      <c r="E4434" s="36" t="str">
        <f t="array" ref="E4434">IFNA(_xlfn.XLOOKUP(D4434,Table_Tarikan_Warkah[Nomor Tiket],Table_Tarikan_Warkah[Tanggal diserahkan kepada Validator]),"")</f>
        <v/>
      </c>
      <c r="F4434" s="36" t="str">
        <f t="array" ref="F4434">IFNA(_xlfn.XLOOKUP(D4434,Table_Tarikan_Warkah[Nomor Tiket],Table_Tarikan_Warkah[Nama Petugas Warkah]),"")</f>
        <v/>
      </c>
      <c r="G4434" s="39" t="str">
        <f t="array" ref="G4434">IFNA(_xlfn.XLOOKUP(D4434,Table_Tarikan_Warkah[Nomor Tiket],Table_Tarikan_Warkah[Jenis Permohonan]),"")</f>
        <v>BN Jual Beli	</v>
      </c>
      <c r="H4434" s="41" t="s">
        <v>2315</v>
      </c>
      <c r="I4434" s="49" t="s">
        <v>23</v>
      </c>
      <c r="J4434" s="36">
        <f t="shared" si="20"/>
        <v>45982.44912</v>
      </c>
      <c r="K4434" s="69"/>
      <c r="L4434" s="49"/>
      <c r="M4434" s="36" t="str">
        <f t="shared" si="33"/>
        <v/>
      </c>
      <c r="N4434" s="30" t="str">
        <f t="shared" si="34"/>
        <v>BT atau SU Belum Valid</v>
      </c>
      <c r="O4434" s="39" t="str">
        <f t="shared" si="23"/>
        <v/>
      </c>
      <c r="P4434" s="47" t="b">
        <v>0</v>
      </c>
      <c r="Q4434" s="36" t="str">
        <f t="shared" si="35"/>
        <v/>
      </c>
      <c r="R4434" s="47" t="b">
        <v>0</v>
      </c>
      <c r="S4434" s="42" t="str">
        <f t="shared" si="28"/>
        <v/>
      </c>
      <c r="T4434" s="42"/>
    </row>
    <row r="4435" ht="22.5" customHeight="1">
      <c r="B4435" s="42">
        <f t="shared" si="7"/>
        <v>4429</v>
      </c>
      <c r="C4435" s="31" t="s">
        <v>4462</v>
      </c>
      <c r="D4435" s="34" t="str">
        <f t="array" ref="D4435">IFNA(_xlfn.XLOOKUP(C4435,Table_Tarikan_Warkah[Nomor Sertipikat],Table_Tarikan_Warkah[Nomor Tiket]),"")</f>
        <v>K/3/250825/1</v>
      </c>
      <c r="E4435" s="36" t="str">
        <f t="array" ref="E4435">IFNA(_xlfn.XLOOKUP(D4435,Table_Tarikan_Warkah[Nomor Tiket],Table_Tarikan_Warkah[Tanggal diserahkan kepada Validator]),"")</f>
        <v/>
      </c>
      <c r="F4435" s="36" t="str">
        <f t="array" ref="F4435">IFNA(_xlfn.XLOOKUP(D4435,Table_Tarikan_Warkah[Nomor Tiket],Table_Tarikan_Warkah[Nama Petugas Warkah]),"")</f>
        <v/>
      </c>
      <c r="G4435" s="39" t="str">
        <f t="array" ref="G4435">IFNA(_xlfn.XLOOKUP(D4435,Table_Tarikan_Warkah[Nomor Tiket],Table_Tarikan_Warkah[Jenis Permohonan]),"")</f>
        <v>BN Jual Beli		</v>
      </c>
      <c r="H4435" s="41" t="s">
        <v>2315</v>
      </c>
      <c r="I4435" s="49" t="s">
        <v>23</v>
      </c>
      <c r="J4435" s="36">
        <f t="shared" si="20"/>
        <v>45982.44928</v>
      </c>
      <c r="K4435" s="69"/>
      <c r="L4435" s="49"/>
      <c r="M4435" s="36" t="str">
        <f t="shared" si="33"/>
        <v/>
      </c>
      <c r="N4435" s="30" t="str">
        <f t="shared" si="34"/>
        <v>BT atau SU Belum Valid</v>
      </c>
      <c r="O4435" s="39" t="str">
        <f t="shared" si="23"/>
        <v/>
      </c>
      <c r="P4435" s="47" t="b">
        <v>0</v>
      </c>
      <c r="Q4435" s="36" t="str">
        <f t="shared" si="35"/>
        <v/>
      </c>
      <c r="R4435" s="47" t="b">
        <v>0</v>
      </c>
      <c r="S4435" s="42" t="str">
        <f t="shared" si="28"/>
        <v/>
      </c>
      <c r="T4435" s="42"/>
    </row>
    <row r="4436" ht="22.5" customHeight="1">
      <c r="B4436" s="42">
        <f t="shared" si="7"/>
        <v>4430</v>
      </c>
      <c r="C4436" s="31" t="s">
        <v>4463</v>
      </c>
      <c r="D4436" s="34" t="str">
        <f t="array" ref="D4436">IFNA(_xlfn.XLOOKUP(C4436,Table_Tarikan_Warkah[Nomor Sertipikat],Table_Tarikan_Warkah[Nomor Tiket]),"")</f>
        <v>K/31/290925/1</v>
      </c>
      <c r="E4436" s="36" t="str">
        <f t="array" ref="E4436">IFNA(_xlfn.XLOOKUP(D4436,Table_Tarikan_Warkah[Nomor Tiket],Table_Tarikan_Warkah[Tanggal diserahkan kepada Validator]),"")</f>
        <v/>
      </c>
      <c r="F4436" s="36" t="str">
        <f t="array" ref="F4436">IFNA(_xlfn.XLOOKUP(D4436,Table_Tarikan_Warkah[Nomor Tiket],Table_Tarikan_Warkah[Nama Petugas Warkah]),"")</f>
        <v/>
      </c>
      <c r="G4436" s="39" t="str">
        <f t="array" ref="G4436">IFNA(_xlfn.XLOOKUP(D4436,Table_Tarikan_Warkah[Nomor Tiket],Table_Tarikan_Warkah[Jenis Permohonan]),"")</f>
        <v>BN Jual Beli		</v>
      </c>
      <c r="H4436" s="41" t="s">
        <v>2315</v>
      </c>
      <c r="I4436" s="49" t="s">
        <v>23</v>
      </c>
      <c r="J4436" s="36">
        <f t="shared" si="20"/>
        <v>45982.45007</v>
      </c>
      <c r="K4436" s="69"/>
      <c r="L4436" s="49"/>
      <c r="M4436" s="36" t="str">
        <f t="shared" si="33"/>
        <v/>
      </c>
      <c r="N4436" s="30" t="str">
        <f t="shared" si="34"/>
        <v>BT atau SU Belum Valid</v>
      </c>
      <c r="O4436" s="39" t="str">
        <f t="shared" si="23"/>
        <v/>
      </c>
      <c r="P4436" s="47" t="b">
        <v>0</v>
      </c>
      <c r="Q4436" s="36" t="str">
        <f t="shared" si="35"/>
        <v/>
      </c>
      <c r="R4436" s="47" t="b">
        <v>0</v>
      </c>
      <c r="S4436" s="42" t="str">
        <f t="shared" si="28"/>
        <v/>
      </c>
      <c r="T4436" s="42"/>
    </row>
    <row r="4437" ht="22.5" customHeight="1">
      <c r="B4437" s="42">
        <f t="shared" si="7"/>
        <v>4431</v>
      </c>
      <c r="C4437" s="31" t="s">
        <v>4464</v>
      </c>
      <c r="D4437" s="34" t="str">
        <f t="array" ref="D4437">IFNA(_xlfn.XLOOKUP(C4437,Table_Tarikan_Warkah[Nomor Sertipikat],Table_Tarikan_Warkah[Nomor Tiket]),"")</f>
        <v>K/25/210725/1</v>
      </c>
      <c r="E4437" s="36" t="str">
        <f t="array" ref="E4437">IFNA(_xlfn.XLOOKUP(D4437,Table_Tarikan_Warkah[Nomor Tiket],Table_Tarikan_Warkah[Tanggal diserahkan kepada Validator]),"")</f>
        <v/>
      </c>
      <c r="F4437" s="36" t="str">
        <f t="array" ref="F4437">IFNA(_xlfn.XLOOKUP(D4437,Table_Tarikan_Warkah[Nomor Tiket],Table_Tarikan_Warkah[Nama Petugas Warkah]),"")</f>
        <v/>
      </c>
      <c r="G4437" s="39" t="str">
        <f t="array" ref="G4437">IFNA(_xlfn.XLOOKUP(D4437,Table_Tarikan_Warkah[Nomor Tiket],Table_Tarikan_Warkah[Jenis Permohonan]),"")</f>
        <v>BN Waris</v>
      </c>
      <c r="H4437" s="41" t="s">
        <v>2315</v>
      </c>
      <c r="I4437" s="49" t="s">
        <v>23</v>
      </c>
      <c r="J4437" s="36">
        <f t="shared" si="20"/>
        <v>45986.39291</v>
      </c>
      <c r="K4437" s="69"/>
      <c r="L4437" s="49"/>
      <c r="M4437" s="36" t="str">
        <f t="shared" si="33"/>
        <v/>
      </c>
      <c r="N4437" s="30" t="str">
        <f t="shared" si="34"/>
        <v>BT atau SU Belum Valid</v>
      </c>
      <c r="O4437" s="39" t="str">
        <f t="shared" si="23"/>
        <v/>
      </c>
      <c r="P4437" s="47" t="b">
        <v>0</v>
      </c>
      <c r="Q4437" s="36" t="str">
        <f t="shared" si="35"/>
        <v/>
      </c>
      <c r="R4437" s="47" t="b">
        <v>0</v>
      </c>
      <c r="S4437" s="42" t="str">
        <f t="shared" si="28"/>
        <v/>
      </c>
      <c r="T4437" s="42"/>
    </row>
    <row r="4438" ht="22.5" customHeight="1">
      <c r="B4438" s="42">
        <f t="shared" si="7"/>
        <v>4432</v>
      </c>
      <c r="C4438" s="31" t="s">
        <v>4465</v>
      </c>
      <c r="D4438" s="34" t="str">
        <f t="array" ref="D4438">IFNA(_xlfn.XLOOKUP(C4438,Table_Tarikan_Warkah[Nomor Sertipikat],Table_Tarikan_Warkah[Nomor Tiket]),"")</f>
        <v>K/15/300925/1</v>
      </c>
      <c r="E4438" s="36" t="str">
        <f t="array" ref="E4438">IFNA(_xlfn.XLOOKUP(D4438,Table_Tarikan_Warkah[Nomor Tiket],Table_Tarikan_Warkah[Tanggal diserahkan kepada Validator]),"")</f>
        <v/>
      </c>
      <c r="F4438" s="36" t="str">
        <f t="array" ref="F4438">IFNA(_xlfn.XLOOKUP(D4438,Table_Tarikan_Warkah[Nomor Tiket],Table_Tarikan_Warkah[Nama Petugas Warkah]),"")</f>
        <v/>
      </c>
      <c r="G4438" s="39" t="str">
        <f t="array" ref="G4438">IFNA(_xlfn.XLOOKUP(D4438,Table_Tarikan_Warkah[Nomor Tiket],Table_Tarikan_Warkah[Jenis Permohonan]),"")</f>
        <v>BN JUAL BELI</v>
      </c>
      <c r="H4438" s="41" t="s">
        <v>2315</v>
      </c>
      <c r="I4438" s="49" t="s">
        <v>23</v>
      </c>
      <c r="J4438" s="36">
        <f t="shared" si="20"/>
        <v>45986.39291</v>
      </c>
      <c r="K4438" s="69"/>
      <c r="L4438" s="49"/>
      <c r="M4438" s="36" t="str">
        <f t="shared" si="33"/>
        <v/>
      </c>
      <c r="N4438" s="30" t="str">
        <f t="shared" si="34"/>
        <v>BT atau SU Belum Valid</v>
      </c>
      <c r="O4438" s="39" t="str">
        <f t="shared" si="23"/>
        <v/>
      </c>
      <c r="P4438" s="47" t="b">
        <v>0</v>
      </c>
      <c r="Q4438" s="36" t="str">
        <f t="shared" si="35"/>
        <v/>
      </c>
      <c r="R4438" s="47" t="b">
        <v>0</v>
      </c>
      <c r="S4438" s="42" t="str">
        <f t="shared" si="28"/>
        <v/>
      </c>
      <c r="T4438" s="42"/>
    </row>
    <row r="4439" ht="22.5" customHeight="1">
      <c r="B4439" s="42">
        <f t="shared" si="7"/>
        <v>4433</v>
      </c>
      <c r="C4439" s="31" t="s">
        <v>4466</v>
      </c>
      <c r="D4439" s="34" t="str">
        <f t="array" ref="D4439">IFNA(_xlfn.XLOOKUP(C4439,Table_Tarikan_Warkah[Nomor Sertipikat],Table_Tarikan_Warkah[Nomor Tiket]),"")</f>
        <v>K/11/061025/1</v>
      </c>
      <c r="E4439" s="36" t="str">
        <f t="array" ref="E4439">IFNA(_xlfn.XLOOKUP(D4439,Table_Tarikan_Warkah[Nomor Tiket],Table_Tarikan_Warkah[Tanggal diserahkan kepada Validator]),"")</f>
        <v/>
      </c>
      <c r="F4439" s="36" t="str">
        <f t="array" ref="F4439">IFNA(_xlfn.XLOOKUP(D4439,Table_Tarikan_Warkah[Nomor Tiket],Table_Tarikan_Warkah[Nama Petugas Warkah]),"")</f>
        <v/>
      </c>
      <c r="G4439" s="39" t="str">
        <f t="array" ref="G4439">IFNA(_xlfn.XLOOKUP(D4439,Table_Tarikan_Warkah[Nomor Tiket],Table_Tarikan_Warkah[Jenis Permohonan]),"")</f>
        <v>BN JUAL BELI</v>
      </c>
      <c r="H4439" s="41" t="s">
        <v>2315</v>
      </c>
      <c r="I4439" s="49" t="s">
        <v>23</v>
      </c>
      <c r="J4439" s="36">
        <f t="shared" si="20"/>
        <v>45986.39291</v>
      </c>
      <c r="K4439" s="69"/>
      <c r="L4439" s="49"/>
      <c r="M4439" s="36" t="str">
        <f t="shared" si="33"/>
        <v/>
      </c>
      <c r="N4439" s="30" t="str">
        <f t="shared" si="34"/>
        <v>BT atau SU Belum Valid</v>
      </c>
      <c r="O4439" s="39" t="str">
        <f t="shared" si="23"/>
        <v/>
      </c>
      <c r="P4439" s="47" t="b">
        <v>0</v>
      </c>
      <c r="Q4439" s="36" t="str">
        <f t="shared" si="35"/>
        <v/>
      </c>
      <c r="R4439" s="47" t="b">
        <v>0</v>
      </c>
      <c r="S4439" s="42" t="str">
        <f t="shared" si="28"/>
        <v/>
      </c>
      <c r="T4439" s="42"/>
    </row>
    <row r="4440" ht="22.5" customHeight="1">
      <c r="B4440" s="42">
        <f t="shared" si="7"/>
        <v>4434</v>
      </c>
      <c r="C4440" s="31" t="s">
        <v>4467</v>
      </c>
      <c r="D4440" s="34" t="str">
        <f t="array" ref="D4440">IFNA(_xlfn.XLOOKUP(C4440,Table_Tarikan_Warkah[Nomor Sertipikat],Table_Tarikan_Warkah[Nomor Tiket]),"")</f>
        <v>K/40/160925/1</v>
      </c>
      <c r="E4440" s="36" t="str">
        <f t="array" ref="E4440">IFNA(_xlfn.XLOOKUP(D4440,Table_Tarikan_Warkah[Nomor Tiket],Table_Tarikan_Warkah[Tanggal diserahkan kepada Validator]),"")</f>
        <v/>
      </c>
      <c r="F4440" s="36" t="str">
        <f t="array" ref="F4440">IFNA(_xlfn.XLOOKUP(D4440,Table_Tarikan_Warkah[Nomor Tiket],Table_Tarikan_Warkah[Nama Petugas Warkah]),"")</f>
        <v/>
      </c>
      <c r="G4440" s="39" t="str">
        <f t="array" ref="G4440">IFNA(_xlfn.XLOOKUP(D4440,Table_Tarikan_Warkah[Nomor Tiket],Table_Tarikan_Warkah[Jenis Permohonan]),"")</f>
        <v>BN HIBAH</v>
      </c>
      <c r="H4440" s="41" t="s">
        <v>2315</v>
      </c>
      <c r="I4440" s="49" t="s">
        <v>23</v>
      </c>
      <c r="J4440" s="36">
        <f t="shared" si="20"/>
        <v>45986.39291</v>
      </c>
      <c r="K4440" s="69"/>
      <c r="L4440" s="49"/>
      <c r="M4440" s="36" t="str">
        <f t="shared" si="33"/>
        <v/>
      </c>
      <c r="N4440" s="30" t="str">
        <f t="shared" si="34"/>
        <v>BT atau SU Belum Valid</v>
      </c>
      <c r="O4440" s="39" t="str">
        <f t="shared" si="23"/>
        <v/>
      </c>
      <c r="P4440" s="47" t="b">
        <v>0</v>
      </c>
      <c r="Q4440" s="36" t="str">
        <f t="shared" si="35"/>
        <v/>
      </c>
      <c r="R4440" s="47" t="b">
        <v>0</v>
      </c>
      <c r="S4440" s="42" t="str">
        <f t="shared" si="28"/>
        <v/>
      </c>
      <c r="T4440" s="42"/>
    </row>
    <row r="4441" ht="22.5" customHeight="1">
      <c r="B4441" s="42">
        <f t="shared" si="7"/>
        <v>4435</v>
      </c>
      <c r="C4441" s="31" t="s">
        <v>4468</v>
      </c>
      <c r="D4441" s="34" t="str">
        <f t="array" ref="D4441">IFNA(_xlfn.XLOOKUP(C4441,Table_Tarikan_Warkah[Nomor Sertipikat],Table_Tarikan_Warkah[Nomor Tiket]),"")</f>
        <v>K/56/091025/1</v>
      </c>
      <c r="E4441" s="36" t="str">
        <f t="array" ref="E4441">IFNA(_xlfn.XLOOKUP(D4441,Table_Tarikan_Warkah[Nomor Tiket],Table_Tarikan_Warkah[Tanggal diserahkan kepada Validator]),"")</f>
        <v/>
      </c>
      <c r="F4441" s="36" t="str">
        <f t="array" ref="F4441">IFNA(_xlfn.XLOOKUP(D4441,Table_Tarikan_Warkah[Nomor Tiket],Table_Tarikan_Warkah[Nama Petugas Warkah]),"")</f>
        <v/>
      </c>
      <c r="G4441" s="39" t="str">
        <f t="array" ref="G4441">IFNA(_xlfn.XLOOKUP(D4441,Table_Tarikan_Warkah[Nomor Tiket],Table_Tarikan_Warkah[Jenis Permohonan]),"")</f>
        <v>BN JUAL BELI</v>
      </c>
      <c r="H4441" s="41" t="s">
        <v>2315</v>
      </c>
      <c r="I4441" s="49" t="s">
        <v>23</v>
      </c>
      <c r="J4441" s="36">
        <f t="shared" si="20"/>
        <v>45986.39291</v>
      </c>
      <c r="K4441" s="69"/>
      <c r="L4441" s="49"/>
      <c r="M4441" s="36" t="str">
        <f t="shared" si="33"/>
        <v/>
      </c>
      <c r="N4441" s="30" t="str">
        <f t="shared" si="34"/>
        <v>BT atau SU Belum Valid</v>
      </c>
      <c r="O4441" s="39" t="str">
        <f t="shared" si="23"/>
        <v/>
      </c>
      <c r="P4441" s="47" t="b">
        <v>0</v>
      </c>
      <c r="Q4441" s="36" t="str">
        <f t="shared" si="35"/>
        <v/>
      </c>
      <c r="R4441" s="47" t="b">
        <v>0</v>
      </c>
      <c r="S4441" s="42" t="str">
        <f t="shared" si="28"/>
        <v/>
      </c>
      <c r="T4441" s="42"/>
    </row>
    <row r="4442" ht="22.5" customHeight="1">
      <c r="B4442" s="42">
        <f t="shared" si="7"/>
        <v>4436</v>
      </c>
      <c r="C4442" s="31" t="s">
        <v>4469</v>
      </c>
      <c r="D4442" s="34" t="str">
        <f t="array" ref="D4442">IFNA(_xlfn.XLOOKUP(C4442,Table_Tarikan_Warkah[Nomor Sertipikat],Table_Tarikan_Warkah[Nomor Tiket]),"")</f>
        <v>K/20/101025/1</v>
      </c>
      <c r="E4442" s="36" t="str">
        <f t="array" ref="E4442">IFNA(_xlfn.XLOOKUP(D4442,Table_Tarikan_Warkah[Nomor Tiket],Table_Tarikan_Warkah[Tanggal diserahkan kepada Validator]),"")</f>
        <v/>
      </c>
      <c r="F4442" s="36" t="str">
        <f t="array" ref="F4442">IFNA(_xlfn.XLOOKUP(D4442,Table_Tarikan_Warkah[Nomor Tiket],Table_Tarikan_Warkah[Nama Petugas Warkah]),"")</f>
        <v/>
      </c>
      <c r="G4442" s="39" t="str">
        <f t="array" ref="G4442">IFNA(_xlfn.XLOOKUP(D4442,Table_Tarikan_Warkah[Nomor Tiket],Table_Tarikan_Warkah[Jenis Permohonan]),"")</f>
        <v>BN JUAL BELI</v>
      </c>
      <c r="H4442" s="41" t="s">
        <v>2315</v>
      </c>
      <c r="I4442" s="49" t="s">
        <v>23</v>
      </c>
      <c r="J4442" s="36">
        <f t="shared" si="20"/>
        <v>45986.39291</v>
      </c>
      <c r="K4442" s="69"/>
      <c r="L4442" s="49"/>
      <c r="M4442" s="36" t="str">
        <f t="shared" si="33"/>
        <v/>
      </c>
      <c r="N4442" s="30" t="str">
        <f t="shared" si="34"/>
        <v>BT atau SU Belum Valid</v>
      </c>
      <c r="O4442" s="39" t="str">
        <f t="shared" si="23"/>
        <v/>
      </c>
      <c r="P4442" s="47" t="b">
        <v>0</v>
      </c>
      <c r="Q4442" s="36" t="str">
        <f t="shared" si="35"/>
        <v/>
      </c>
      <c r="R4442" s="47" t="b">
        <v>0</v>
      </c>
      <c r="S4442" s="42" t="str">
        <f t="shared" si="28"/>
        <v/>
      </c>
      <c r="T4442" s="42"/>
    </row>
    <row r="4443" ht="22.5" customHeight="1">
      <c r="B4443" s="42">
        <f t="shared" si="7"/>
        <v>4437</v>
      </c>
      <c r="C4443" s="31" t="s">
        <v>4470</v>
      </c>
      <c r="D4443" s="34" t="str">
        <f t="array" ref="D4443">IFNA(_xlfn.XLOOKUP(C4443,Table_Tarikan_Warkah[Nomor Sertipikat],Table_Tarikan_Warkah[Nomor Tiket]),"")</f>
        <v>K/21/101025/2</v>
      </c>
      <c r="E4443" s="36">
        <f t="array" ref="E4443">IFNA(_xlfn.XLOOKUP(D4443,Table_Tarikan_Warkah[Nomor Tiket],Table_Tarikan_Warkah[Tanggal diserahkan kepada Validator]),"")</f>
        <v>45993.45839</v>
      </c>
      <c r="F4443" s="36" t="str">
        <f t="array" ref="F4443">IFNA(_xlfn.XLOOKUP(D4443,Table_Tarikan_Warkah[Nomor Tiket],Table_Tarikan_Warkah[Nama Petugas Warkah]),"")</f>
        <v>David</v>
      </c>
      <c r="G4443" s="39" t="str">
        <f t="array" ref="G4443">IFNA(_xlfn.XLOOKUP(D4443,Table_Tarikan_Warkah[Nomor Tiket],Table_Tarikan_Warkah[Jenis Permohonan]),"")</f>
        <v>BN JUAL BELI</v>
      </c>
      <c r="H4443" s="41" t="s">
        <v>2315</v>
      </c>
      <c r="I4443" s="49" t="s">
        <v>23</v>
      </c>
      <c r="J4443" s="36">
        <f t="shared" si="20"/>
        <v>45986.39291</v>
      </c>
      <c r="K4443" s="69"/>
      <c r="L4443" s="49"/>
      <c r="M4443" s="36" t="str">
        <f t="shared" si="33"/>
        <v/>
      </c>
      <c r="N4443" s="30" t="str">
        <f t="shared" si="34"/>
        <v>BT atau SU Belum Valid</v>
      </c>
      <c r="O4443" s="39" t="str">
        <f t="shared" si="23"/>
        <v/>
      </c>
      <c r="P4443" s="47" t="b">
        <v>0</v>
      </c>
      <c r="Q4443" s="36" t="str">
        <f t="shared" si="35"/>
        <v/>
      </c>
      <c r="R4443" s="47" t="b">
        <v>0</v>
      </c>
      <c r="S4443" s="42" t="str">
        <f t="shared" si="28"/>
        <v/>
      </c>
      <c r="T4443" s="42"/>
    </row>
    <row r="4444" ht="22.5" customHeight="1">
      <c r="B4444" s="42">
        <f t="shared" si="7"/>
        <v>4438</v>
      </c>
      <c r="C4444" s="31" t="s">
        <v>4471</v>
      </c>
      <c r="D4444" s="34" t="str">
        <f t="array" ref="D4444">IFNA(_xlfn.XLOOKUP(C4444,Table_Tarikan_Warkah[Nomor Sertipikat],Table_Tarikan_Warkah[Nomor Tiket]),"")</f>
        <v>K/50/081025/1</v>
      </c>
      <c r="E4444" s="36" t="str">
        <f t="array" ref="E4444">IFNA(_xlfn.XLOOKUP(D4444,Table_Tarikan_Warkah[Nomor Tiket],Table_Tarikan_Warkah[Tanggal diserahkan kepada Validator]),"")</f>
        <v/>
      </c>
      <c r="F4444" s="36" t="str">
        <f t="array" ref="F4444">IFNA(_xlfn.XLOOKUP(D4444,Table_Tarikan_Warkah[Nomor Tiket],Table_Tarikan_Warkah[Nama Petugas Warkah]),"")</f>
        <v/>
      </c>
      <c r="G4444" s="39" t="str">
        <f t="array" ref="G4444">IFNA(_xlfn.XLOOKUP(D4444,Table_Tarikan_Warkah[Nomor Tiket],Table_Tarikan_Warkah[Jenis Permohonan]),"")</f>
        <v>BN JUAL BELI</v>
      </c>
      <c r="H4444" s="41" t="s">
        <v>2315</v>
      </c>
      <c r="I4444" s="49" t="s">
        <v>23</v>
      </c>
      <c r="J4444" s="36">
        <f t="shared" si="20"/>
        <v>45986.39291</v>
      </c>
      <c r="K4444" s="69"/>
      <c r="L4444" s="49"/>
      <c r="M4444" s="36" t="str">
        <f t="shared" si="33"/>
        <v/>
      </c>
      <c r="N4444" s="30" t="str">
        <f t="shared" si="34"/>
        <v>BT atau SU Belum Valid</v>
      </c>
      <c r="O4444" s="39" t="str">
        <f t="shared" si="23"/>
        <v/>
      </c>
      <c r="P4444" s="47" t="b">
        <v>0</v>
      </c>
      <c r="Q4444" s="36" t="str">
        <f t="shared" si="35"/>
        <v/>
      </c>
      <c r="R4444" s="47" t="b">
        <v>0</v>
      </c>
      <c r="S4444" s="42" t="str">
        <f t="shared" si="28"/>
        <v/>
      </c>
      <c r="T4444" s="42"/>
    </row>
    <row r="4445" ht="22.5" customHeight="1">
      <c r="B4445" s="42">
        <f t="shared" si="7"/>
        <v>4439</v>
      </c>
      <c r="C4445" s="31" t="s">
        <v>4472</v>
      </c>
      <c r="D4445" s="34" t="str">
        <f t="array" ref="D4445">IFNA(_xlfn.XLOOKUP(C4445,Table_Tarikan_Warkah[Nomor Sertipikat],Table_Tarikan_Warkah[Nomor Tiket]),"")</f>
        <v>K/51/081025/2</v>
      </c>
      <c r="E4445" s="36" t="str">
        <f t="array" ref="E4445">IFNA(_xlfn.XLOOKUP(D4445,Table_Tarikan_Warkah[Nomor Tiket],Table_Tarikan_Warkah[Tanggal diserahkan kepada Validator]),"")</f>
        <v/>
      </c>
      <c r="F4445" s="36" t="str">
        <f t="array" ref="F4445">IFNA(_xlfn.XLOOKUP(D4445,Table_Tarikan_Warkah[Nomor Tiket],Table_Tarikan_Warkah[Nama Petugas Warkah]),"")</f>
        <v/>
      </c>
      <c r="G4445" s="39" t="str">
        <f t="array" ref="G4445">IFNA(_xlfn.XLOOKUP(D4445,Table_Tarikan_Warkah[Nomor Tiket],Table_Tarikan_Warkah[Jenis Permohonan]),"")</f>
        <v>BN JUAL BELI</v>
      </c>
      <c r="H4445" s="41" t="s">
        <v>2315</v>
      </c>
      <c r="I4445" s="49" t="s">
        <v>23</v>
      </c>
      <c r="J4445" s="36">
        <f t="shared" si="20"/>
        <v>45986.39291</v>
      </c>
      <c r="K4445" s="69"/>
      <c r="L4445" s="49"/>
      <c r="M4445" s="36" t="str">
        <f t="shared" si="33"/>
        <v/>
      </c>
      <c r="N4445" s="30" t="str">
        <f t="shared" si="34"/>
        <v>BT atau SU Belum Valid</v>
      </c>
      <c r="O4445" s="39" t="str">
        <f t="shared" si="23"/>
        <v/>
      </c>
      <c r="P4445" s="47" t="b">
        <v>0</v>
      </c>
      <c r="Q4445" s="36" t="str">
        <f t="shared" si="35"/>
        <v/>
      </c>
      <c r="R4445" s="47" t="b">
        <v>0</v>
      </c>
      <c r="S4445" s="42" t="str">
        <f t="shared" si="28"/>
        <v/>
      </c>
      <c r="T4445" s="42"/>
    </row>
    <row r="4446" ht="22.5" customHeight="1">
      <c r="B4446" s="42">
        <f t="shared" si="7"/>
        <v>4440</v>
      </c>
      <c r="C4446" s="31" t="s">
        <v>4473</v>
      </c>
      <c r="D4446" s="34" t="str">
        <f t="array" ref="D4446">IFNA(_xlfn.XLOOKUP(C4446,Table_Tarikan_Warkah[Nomor Sertipikat],Table_Tarikan_Warkah[Nomor Tiket]),"")</f>
        <v>K/37/081025/2</v>
      </c>
      <c r="E4446" s="36" t="str">
        <f t="array" ref="E4446">IFNA(_xlfn.XLOOKUP(D4446,Table_Tarikan_Warkah[Nomor Tiket],Table_Tarikan_Warkah[Tanggal diserahkan kepada Validator]),"")</f>
        <v/>
      </c>
      <c r="F4446" s="36" t="str">
        <f t="array" ref="F4446">IFNA(_xlfn.XLOOKUP(D4446,Table_Tarikan_Warkah[Nomor Tiket],Table_Tarikan_Warkah[Nama Petugas Warkah]),"")</f>
        <v/>
      </c>
      <c r="G4446" s="39" t="str">
        <f t="array" ref="G4446">IFNA(_xlfn.XLOOKUP(D4446,Table_Tarikan_Warkah[Nomor Tiket],Table_Tarikan_Warkah[Jenis Permohonan]),"")</f>
        <v>BN JUAL BELI</v>
      </c>
      <c r="H4446" s="41" t="s">
        <v>2315</v>
      </c>
      <c r="I4446" s="49" t="s">
        <v>23</v>
      </c>
      <c r="J4446" s="36">
        <f t="shared" si="20"/>
        <v>45986.39291</v>
      </c>
      <c r="K4446" s="69"/>
      <c r="L4446" s="49"/>
      <c r="M4446" s="36" t="str">
        <f t="shared" si="33"/>
        <v/>
      </c>
      <c r="N4446" s="30" t="str">
        <f t="shared" si="34"/>
        <v>BT atau SU Belum Valid</v>
      </c>
      <c r="O4446" s="39" t="str">
        <f t="shared" si="23"/>
        <v/>
      </c>
      <c r="P4446" s="47" t="b">
        <v>0</v>
      </c>
      <c r="Q4446" s="36" t="str">
        <f t="shared" si="35"/>
        <v/>
      </c>
      <c r="R4446" s="47" t="b">
        <v>0</v>
      </c>
      <c r="S4446" s="42" t="str">
        <f t="shared" si="28"/>
        <v/>
      </c>
      <c r="T4446" s="42"/>
    </row>
    <row r="4447" ht="22.5" customHeight="1">
      <c r="B4447" s="42">
        <f t="shared" si="7"/>
        <v>4441</v>
      </c>
      <c r="C4447" s="31" t="s">
        <v>4474</v>
      </c>
      <c r="D4447" s="34" t="str">
        <f t="array" ref="D4447">IFNA(_xlfn.XLOOKUP(C4447,Table_Tarikan_Warkah[Nomor Sertipikat],Table_Tarikan_Warkah[Nomor Tiket]),"")</f>
        <v>K/11/091025/2</v>
      </c>
      <c r="E4447" s="36" t="str">
        <f t="array" ref="E4447">IFNA(_xlfn.XLOOKUP(D4447,Table_Tarikan_Warkah[Nomor Tiket],Table_Tarikan_Warkah[Tanggal diserahkan kepada Validator]),"")</f>
        <v/>
      </c>
      <c r="F4447" s="36" t="str">
        <f t="array" ref="F4447">IFNA(_xlfn.XLOOKUP(D4447,Table_Tarikan_Warkah[Nomor Tiket],Table_Tarikan_Warkah[Nama Petugas Warkah]),"")</f>
        <v/>
      </c>
      <c r="G4447" s="39" t="str">
        <f t="array" ref="G4447">IFNA(_xlfn.XLOOKUP(D4447,Table_Tarikan_Warkah[Nomor Tiket],Table_Tarikan_Warkah[Jenis Permohonan]),"")</f>
        <v>BN JUAL BELI</v>
      </c>
      <c r="H4447" s="41" t="s">
        <v>2315</v>
      </c>
      <c r="I4447" s="49" t="s">
        <v>23</v>
      </c>
      <c r="J4447" s="36">
        <f t="shared" si="20"/>
        <v>45986.39291</v>
      </c>
      <c r="K4447" s="69"/>
      <c r="L4447" s="49"/>
      <c r="M4447" s="36" t="str">
        <f t="shared" si="33"/>
        <v/>
      </c>
      <c r="N4447" s="30" t="str">
        <f t="shared" si="34"/>
        <v>BT atau SU Belum Valid</v>
      </c>
      <c r="O4447" s="39" t="str">
        <f t="shared" si="23"/>
        <v/>
      </c>
      <c r="P4447" s="47" t="b">
        <v>0</v>
      </c>
      <c r="Q4447" s="36" t="str">
        <f t="shared" si="35"/>
        <v/>
      </c>
      <c r="R4447" s="47" t="b">
        <v>0</v>
      </c>
      <c r="S4447" s="42" t="str">
        <f t="shared" si="28"/>
        <v/>
      </c>
      <c r="T4447" s="42"/>
    </row>
    <row r="4448" ht="22.5" customHeight="1">
      <c r="B4448" s="42">
        <f t="shared" si="7"/>
        <v>4442</v>
      </c>
      <c r="C4448" s="31" t="s">
        <v>4475</v>
      </c>
      <c r="D4448" s="34" t="str">
        <f t="array" ref="D4448">IFNA(_xlfn.XLOOKUP(C4448,Table_Tarikan_Warkah[Nomor Sertipikat],Table_Tarikan_Warkah[Nomor Tiket]),"")</f>
        <v>K/11/260625/1</v>
      </c>
      <c r="E4448" s="36" t="str">
        <f t="array" ref="E4448">IFNA(_xlfn.XLOOKUP(D4448,Table_Tarikan_Warkah[Nomor Tiket],Table_Tarikan_Warkah[Tanggal diserahkan kepada Validator]),"")</f>
        <v/>
      </c>
      <c r="F4448" s="36" t="str">
        <f t="array" ref="F4448">IFNA(_xlfn.XLOOKUP(D4448,Table_Tarikan_Warkah[Nomor Tiket],Table_Tarikan_Warkah[Nama Petugas Warkah]),"")</f>
        <v/>
      </c>
      <c r="G4448" s="39" t="str">
        <f t="array" ref="G4448">IFNA(_xlfn.XLOOKUP(D4448,Table_Tarikan_Warkah[Nomor Tiket],Table_Tarikan_Warkah[Jenis Permohonan]),"")</f>
        <v>BN WARIS</v>
      </c>
      <c r="H4448" s="41" t="s">
        <v>2315</v>
      </c>
      <c r="I4448" s="49" t="s">
        <v>23</v>
      </c>
      <c r="J4448" s="36">
        <f t="shared" si="20"/>
        <v>45986.39291</v>
      </c>
      <c r="K4448" s="69"/>
      <c r="L4448" s="49"/>
      <c r="M4448" s="36" t="str">
        <f t="shared" si="33"/>
        <v/>
      </c>
      <c r="N4448" s="30" t="str">
        <f t="shared" si="34"/>
        <v>BT atau SU Belum Valid</v>
      </c>
      <c r="O4448" s="39" t="str">
        <f t="shared" si="23"/>
        <v/>
      </c>
      <c r="P4448" s="47" t="b">
        <v>0</v>
      </c>
      <c r="Q4448" s="36" t="str">
        <f t="shared" si="35"/>
        <v/>
      </c>
      <c r="R4448" s="47" t="b">
        <v>0</v>
      </c>
      <c r="S4448" s="42" t="str">
        <f t="shared" si="28"/>
        <v/>
      </c>
      <c r="T4448" s="42"/>
    </row>
    <row r="4449" ht="22.5" customHeight="1">
      <c r="B4449" s="42">
        <f t="shared" si="7"/>
        <v>4443</v>
      </c>
      <c r="C4449" s="31" t="s">
        <v>4476</v>
      </c>
      <c r="D4449" s="34" t="str">
        <f t="array" ref="D4449">IFNA(_xlfn.XLOOKUP(C4449,Table_Tarikan_Warkah[Nomor Sertipikat],Table_Tarikan_Warkah[Nomor Tiket]),"")</f>
        <v>K/53/091025/1</v>
      </c>
      <c r="E4449" s="36" t="str">
        <f t="array" ref="E4449">IFNA(_xlfn.XLOOKUP(D4449,Table_Tarikan_Warkah[Nomor Tiket],Table_Tarikan_Warkah[Tanggal diserahkan kepada Validator]),"")</f>
        <v/>
      </c>
      <c r="F4449" s="36" t="str">
        <f t="array" ref="F4449">IFNA(_xlfn.XLOOKUP(D4449,Table_Tarikan_Warkah[Nomor Tiket],Table_Tarikan_Warkah[Nama Petugas Warkah]),"")</f>
        <v/>
      </c>
      <c r="G4449" s="39" t="str">
        <f t="array" ref="G4449">IFNA(_xlfn.XLOOKUP(D4449,Table_Tarikan_Warkah[Nomor Tiket],Table_Tarikan_Warkah[Jenis Permohonan]),"")</f>
        <v>BN JUAL BELI</v>
      </c>
      <c r="H4449" s="41" t="s">
        <v>2315</v>
      </c>
      <c r="I4449" s="49" t="s">
        <v>23</v>
      </c>
      <c r="J4449" s="36">
        <f t="shared" si="20"/>
        <v>45986.39291</v>
      </c>
      <c r="K4449" s="69"/>
      <c r="L4449" s="49"/>
      <c r="M4449" s="36" t="str">
        <f t="shared" si="33"/>
        <v/>
      </c>
      <c r="N4449" s="30" t="str">
        <f t="shared" si="34"/>
        <v>BT atau SU Belum Valid</v>
      </c>
      <c r="O4449" s="39" t="str">
        <f t="shared" si="23"/>
        <v/>
      </c>
      <c r="P4449" s="47" t="b">
        <v>0</v>
      </c>
      <c r="Q4449" s="36" t="str">
        <f t="shared" si="35"/>
        <v/>
      </c>
      <c r="R4449" s="47" t="b">
        <v>0</v>
      </c>
      <c r="S4449" s="42" t="str">
        <f t="shared" si="28"/>
        <v/>
      </c>
      <c r="T4449" s="42"/>
    </row>
    <row r="4450" ht="22.5" customHeight="1">
      <c r="B4450" s="42">
        <f t="shared" si="7"/>
        <v>4444</v>
      </c>
      <c r="C4450" s="31" t="s">
        <v>4477</v>
      </c>
      <c r="D4450" s="34" t="str">
        <f t="array" ref="D4450">IFNA(_xlfn.XLOOKUP(C4450,Table_Tarikan_Warkah[Nomor Sertipikat],Table_Tarikan_Warkah[Nomor Tiket]),"")</f>
        <v>K/38/081025/3</v>
      </c>
      <c r="E4450" s="36" t="str">
        <f t="array" ref="E4450">IFNA(_xlfn.XLOOKUP(D4450,Table_Tarikan_Warkah[Nomor Tiket],Table_Tarikan_Warkah[Tanggal diserahkan kepada Validator]),"")</f>
        <v/>
      </c>
      <c r="F4450" s="36" t="str">
        <f t="array" ref="F4450">IFNA(_xlfn.XLOOKUP(D4450,Table_Tarikan_Warkah[Nomor Tiket],Table_Tarikan_Warkah[Nama Petugas Warkah]),"")</f>
        <v/>
      </c>
      <c r="G4450" s="39" t="str">
        <f t="array" ref="G4450">IFNA(_xlfn.XLOOKUP(D4450,Table_Tarikan_Warkah[Nomor Tiket],Table_Tarikan_Warkah[Jenis Permohonan]),"")</f>
        <v>BN HIBAH</v>
      </c>
      <c r="H4450" s="41" t="s">
        <v>2315</v>
      </c>
      <c r="I4450" s="49" t="s">
        <v>23</v>
      </c>
      <c r="J4450" s="36">
        <f t="shared" si="20"/>
        <v>45986.39291</v>
      </c>
      <c r="K4450" s="69"/>
      <c r="L4450" s="49"/>
      <c r="M4450" s="36" t="str">
        <f t="shared" si="33"/>
        <v/>
      </c>
      <c r="N4450" s="30" t="str">
        <f t="shared" si="34"/>
        <v>BT atau SU Belum Valid</v>
      </c>
      <c r="O4450" s="39" t="str">
        <f t="shared" si="23"/>
        <v/>
      </c>
      <c r="P4450" s="47" t="b">
        <v>0</v>
      </c>
      <c r="Q4450" s="36" t="str">
        <f t="shared" si="35"/>
        <v/>
      </c>
      <c r="R4450" s="47" t="b">
        <v>0</v>
      </c>
      <c r="S4450" s="42" t="str">
        <f t="shared" si="28"/>
        <v/>
      </c>
      <c r="T4450" s="42"/>
    </row>
    <row r="4451" ht="22.5" customHeight="1">
      <c r="B4451" s="42">
        <f t="shared" si="7"/>
        <v>4445</v>
      </c>
      <c r="C4451" s="31" t="s">
        <v>4478</v>
      </c>
      <c r="D4451" s="34" t="str">
        <f t="array" ref="D4451">IFNA(_xlfn.XLOOKUP(C4451,Table_Tarikan_Warkah[Nomor Sertipikat],Table_Tarikan_Warkah[Nomor Tiket]),"")</f>
        <v>K/44/091025/1</v>
      </c>
      <c r="E4451" s="36" t="str">
        <f t="array" ref="E4451">IFNA(_xlfn.XLOOKUP(D4451,Table_Tarikan_Warkah[Nomor Tiket],Table_Tarikan_Warkah[Tanggal diserahkan kepada Validator]),"")</f>
        <v/>
      </c>
      <c r="F4451" s="36" t="str">
        <f t="array" ref="F4451">IFNA(_xlfn.XLOOKUP(D4451,Table_Tarikan_Warkah[Nomor Tiket],Table_Tarikan_Warkah[Nama Petugas Warkah]),"")</f>
        <v/>
      </c>
      <c r="G4451" s="39" t="str">
        <f t="array" ref="G4451">IFNA(_xlfn.XLOOKUP(D4451,Table_Tarikan_Warkah[Nomor Tiket],Table_Tarikan_Warkah[Jenis Permohonan]),"")</f>
        <v>BN JUAL BELI</v>
      </c>
      <c r="H4451" s="41" t="s">
        <v>2315</v>
      </c>
      <c r="I4451" s="49" t="s">
        <v>23</v>
      </c>
      <c r="J4451" s="36">
        <f t="shared" si="20"/>
        <v>45986.39291</v>
      </c>
      <c r="K4451" s="69"/>
      <c r="L4451" s="49"/>
      <c r="M4451" s="36" t="str">
        <f t="shared" si="33"/>
        <v/>
      </c>
      <c r="N4451" s="30" t="str">
        <f t="shared" si="34"/>
        <v>BT atau SU Belum Valid</v>
      </c>
      <c r="O4451" s="39" t="str">
        <f t="shared" si="23"/>
        <v/>
      </c>
      <c r="P4451" s="47" t="b">
        <v>0</v>
      </c>
      <c r="Q4451" s="36" t="str">
        <f t="shared" si="35"/>
        <v/>
      </c>
      <c r="R4451" s="47" t="b">
        <v>0</v>
      </c>
      <c r="S4451" s="42" t="str">
        <f t="shared" si="28"/>
        <v/>
      </c>
      <c r="T4451" s="42"/>
    </row>
    <row r="4452" ht="22.5" customHeight="1">
      <c r="B4452" s="42">
        <f t="shared" si="7"/>
        <v>4446</v>
      </c>
      <c r="C4452" s="31" t="s">
        <v>4479</v>
      </c>
      <c r="D4452" s="34" t="str">
        <f t="array" ref="D4452">IFNA(_xlfn.XLOOKUP(C4452,Table_Tarikan_Warkah[Nomor Sertipikat],Table_Tarikan_Warkah[Nomor Tiket]),"")</f>
        <v>K/31/090925/1</v>
      </c>
      <c r="E4452" s="36" t="str">
        <f t="array" ref="E4452">IFNA(_xlfn.XLOOKUP(D4452,Table_Tarikan_Warkah[Nomor Tiket],Table_Tarikan_Warkah[Tanggal diserahkan kepada Validator]),"")</f>
        <v/>
      </c>
      <c r="F4452" s="36" t="str">
        <f t="array" ref="F4452">IFNA(_xlfn.XLOOKUP(D4452,Table_Tarikan_Warkah[Nomor Tiket],Table_Tarikan_Warkah[Nama Petugas Warkah]),"")</f>
        <v/>
      </c>
      <c r="G4452" s="39" t="str">
        <f t="array" ref="G4452">IFNA(_xlfn.XLOOKUP(D4452,Table_Tarikan_Warkah[Nomor Tiket],Table_Tarikan_Warkah[Jenis Permohonan]),"")</f>
        <v>BN JUAL BELI</v>
      </c>
      <c r="H4452" s="41" t="s">
        <v>2315</v>
      </c>
      <c r="I4452" s="49" t="s">
        <v>23</v>
      </c>
      <c r="J4452" s="36">
        <f t="shared" si="20"/>
        <v>45986.39291</v>
      </c>
      <c r="K4452" s="69"/>
      <c r="L4452" s="49"/>
      <c r="M4452" s="36" t="str">
        <f t="shared" si="33"/>
        <v/>
      </c>
      <c r="N4452" s="30" t="str">
        <f t="shared" si="34"/>
        <v>BT atau SU Belum Valid</v>
      </c>
      <c r="O4452" s="39" t="str">
        <f t="shared" si="23"/>
        <v/>
      </c>
      <c r="P4452" s="47" t="b">
        <v>0</v>
      </c>
      <c r="Q4452" s="36" t="str">
        <f t="shared" si="35"/>
        <v/>
      </c>
      <c r="R4452" s="47" t="b">
        <v>0</v>
      </c>
      <c r="S4452" s="42" t="str">
        <f t="shared" si="28"/>
        <v/>
      </c>
      <c r="T4452" s="42"/>
    </row>
    <row r="4453" ht="22.5" customHeight="1">
      <c r="B4453" s="42">
        <f t="shared" si="7"/>
        <v>4447</v>
      </c>
      <c r="C4453" s="31" t="s">
        <v>4480</v>
      </c>
      <c r="D4453" s="34" t="str">
        <f t="array" ref="D4453">IFNA(_xlfn.XLOOKUP(C4453,Table_Tarikan_Warkah[Nomor Sertipikat],Table_Tarikan_Warkah[Nomor Tiket]),"")</f>
        <v>K/26/021025/1</v>
      </c>
      <c r="E4453" s="36" t="str">
        <f t="array" ref="E4453">IFNA(_xlfn.XLOOKUP(D4453,Table_Tarikan_Warkah[Nomor Tiket],Table_Tarikan_Warkah[Tanggal diserahkan kepada Validator]),"")</f>
        <v/>
      </c>
      <c r="F4453" s="36" t="str">
        <f t="array" ref="F4453">IFNA(_xlfn.XLOOKUP(D4453,Table_Tarikan_Warkah[Nomor Tiket],Table_Tarikan_Warkah[Nama Petugas Warkah]),"")</f>
        <v/>
      </c>
      <c r="G4453" s="39" t="str">
        <f t="array" ref="G4453">IFNA(_xlfn.XLOOKUP(D4453,Table_Tarikan_Warkah[Nomor Tiket],Table_Tarikan_Warkah[Jenis Permohonan]),"")</f>
        <v>BN JUAL BELI</v>
      </c>
      <c r="H4453" s="41" t="s">
        <v>2315</v>
      </c>
      <c r="I4453" s="49" t="s">
        <v>23</v>
      </c>
      <c r="J4453" s="36">
        <f t="shared" si="20"/>
        <v>45986.39291</v>
      </c>
      <c r="K4453" s="69"/>
      <c r="L4453" s="49"/>
      <c r="M4453" s="36" t="str">
        <f t="shared" si="33"/>
        <v/>
      </c>
      <c r="N4453" s="30" t="str">
        <f t="shared" si="34"/>
        <v>BT atau SU Belum Valid</v>
      </c>
      <c r="O4453" s="39" t="str">
        <f t="shared" si="23"/>
        <v/>
      </c>
      <c r="P4453" s="47" t="b">
        <v>0</v>
      </c>
      <c r="Q4453" s="36" t="str">
        <f t="shared" si="35"/>
        <v/>
      </c>
      <c r="R4453" s="47" t="b">
        <v>0</v>
      </c>
      <c r="S4453" s="42" t="str">
        <f t="shared" si="28"/>
        <v/>
      </c>
      <c r="T4453" s="42"/>
    </row>
    <row r="4454" ht="22.5" customHeight="1">
      <c r="B4454" s="42">
        <f t="shared" si="7"/>
        <v>4448</v>
      </c>
      <c r="C4454" s="31" t="s">
        <v>4481</v>
      </c>
      <c r="D4454" s="34" t="str">
        <f t="array" ref="D4454">IFNA(_xlfn.XLOOKUP(C4454,Table_Tarikan_Warkah[Nomor Sertipikat],Table_Tarikan_Warkah[Nomor Tiket]),"")</f>
        <v>K/39/030925/1</v>
      </c>
      <c r="E4454" s="36" t="str">
        <f t="array" ref="E4454">IFNA(_xlfn.XLOOKUP(D4454,Table_Tarikan_Warkah[Nomor Tiket],Table_Tarikan_Warkah[Tanggal diserahkan kepada Validator]),"")</f>
        <v/>
      </c>
      <c r="F4454" s="36" t="str">
        <f t="array" ref="F4454">IFNA(_xlfn.XLOOKUP(D4454,Table_Tarikan_Warkah[Nomor Tiket],Table_Tarikan_Warkah[Nama Petugas Warkah]),"")</f>
        <v/>
      </c>
      <c r="G4454" s="39" t="str">
        <f t="array" ref="G4454">IFNA(_xlfn.XLOOKUP(D4454,Table_Tarikan_Warkah[Nomor Tiket],Table_Tarikan_Warkah[Jenis Permohonan]),"")</f>
        <v>BN JUAL BELI</v>
      </c>
      <c r="H4454" s="41" t="s">
        <v>2315</v>
      </c>
      <c r="I4454" s="49" t="s">
        <v>23</v>
      </c>
      <c r="J4454" s="36">
        <f t="shared" si="20"/>
        <v>45986.39291</v>
      </c>
      <c r="K4454" s="69"/>
      <c r="L4454" s="49"/>
      <c r="M4454" s="36" t="str">
        <f t="shared" si="33"/>
        <v/>
      </c>
      <c r="N4454" s="30" t="str">
        <f t="shared" si="34"/>
        <v>BT atau SU Belum Valid</v>
      </c>
      <c r="O4454" s="39" t="str">
        <f t="shared" si="23"/>
        <v/>
      </c>
      <c r="P4454" s="47" t="b">
        <v>0</v>
      </c>
      <c r="Q4454" s="36" t="str">
        <f t="shared" si="35"/>
        <v/>
      </c>
      <c r="R4454" s="47" t="b">
        <v>0</v>
      </c>
      <c r="S4454" s="42" t="str">
        <f t="shared" si="28"/>
        <v/>
      </c>
      <c r="T4454" s="42"/>
    </row>
    <row r="4455" ht="22.5" customHeight="1">
      <c r="B4455" s="42">
        <f t="shared" si="7"/>
        <v>4449</v>
      </c>
      <c r="C4455" s="31" t="s">
        <v>4482</v>
      </c>
      <c r="D4455" s="34" t="str">
        <f t="array" ref="D4455">IFNA(_xlfn.XLOOKUP(C4455,Table_Tarikan_Warkah[Nomor Sertipikat],Table_Tarikan_Warkah[Nomor Tiket]),"")</f>
        <v>K/26/031025/3</v>
      </c>
      <c r="E4455" s="36" t="str">
        <f t="array" ref="E4455">IFNA(_xlfn.XLOOKUP(D4455,Table_Tarikan_Warkah[Nomor Tiket],Table_Tarikan_Warkah[Tanggal diserahkan kepada Validator]),"")</f>
        <v/>
      </c>
      <c r="F4455" s="36" t="str">
        <f t="array" ref="F4455">IFNA(_xlfn.XLOOKUP(D4455,Table_Tarikan_Warkah[Nomor Tiket],Table_Tarikan_Warkah[Nama Petugas Warkah]),"")</f>
        <v/>
      </c>
      <c r="G4455" s="39" t="str">
        <f t="array" ref="G4455">IFNA(_xlfn.XLOOKUP(D4455,Table_Tarikan_Warkah[Nomor Tiket],Table_Tarikan_Warkah[Jenis Permohonan]),"")</f>
        <v>BN JUAL BELI</v>
      </c>
      <c r="H4455" s="41" t="s">
        <v>2315</v>
      </c>
      <c r="I4455" s="49" t="s">
        <v>23</v>
      </c>
      <c r="J4455" s="36">
        <f t="shared" si="20"/>
        <v>45986.39291</v>
      </c>
      <c r="K4455" s="69"/>
      <c r="L4455" s="49"/>
      <c r="M4455" s="36" t="str">
        <f t="shared" si="33"/>
        <v/>
      </c>
      <c r="N4455" s="30" t="str">
        <f t="shared" si="34"/>
        <v>BT atau SU Belum Valid</v>
      </c>
      <c r="O4455" s="39" t="str">
        <f t="shared" si="23"/>
        <v/>
      </c>
      <c r="P4455" s="47" t="b">
        <v>0</v>
      </c>
      <c r="Q4455" s="36" t="str">
        <f t="shared" si="35"/>
        <v/>
      </c>
      <c r="R4455" s="47" t="b">
        <v>0</v>
      </c>
      <c r="S4455" s="42" t="str">
        <f t="shared" si="28"/>
        <v/>
      </c>
      <c r="T4455" s="42"/>
    </row>
    <row r="4456" ht="22.5" customHeight="1">
      <c r="B4456" s="42">
        <f t="shared" si="7"/>
        <v>4450</v>
      </c>
      <c r="C4456" s="31" t="s">
        <v>4483</v>
      </c>
      <c r="D4456" s="34" t="str">
        <f t="array" ref="D4456">IFNA(_xlfn.XLOOKUP(C4456,Table_Tarikan_Warkah[Nomor Sertipikat],Table_Tarikan_Warkah[Nomor Tiket]),"")</f>
        <v>K/21/011027/4</v>
      </c>
      <c r="E4456" s="36">
        <f t="array" ref="E4456">IFNA(_xlfn.XLOOKUP(D4456,Table_Tarikan_Warkah[Nomor Tiket],Table_Tarikan_Warkah[Tanggal diserahkan kepada Validator]),"")</f>
        <v>45988.63928</v>
      </c>
      <c r="F4456" s="36" t="str">
        <f t="array" ref="F4456">IFNA(_xlfn.XLOOKUP(D4456,Table_Tarikan_Warkah[Nomor Tiket],Table_Tarikan_Warkah[Nama Petugas Warkah]),"")</f>
        <v>Berry</v>
      </c>
      <c r="G4456" s="39" t="str">
        <f t="array" ref="G4456">IFNA(_xlfn.XLOOKUP(D4456,Table_Tarikan_Warkah[Nomor Tiket],Table_Tarikan_Warkah[Jenis Permohonan]),"")</f>
        <v>BN JUAL BELI</v>
      </c>
      <c r="H4456" s="41" t="s">
        <v>2315</v>
      </c>
      <c r="I4456" s="49" t="s">
        <v>23</v>
      </c>
      <c r="J4456" s="36">
        <f t="shared" si="20"/>
        <v>45986.39291</v>
      </c>
      <c r="K4456" s="69"/>
      <c r="L4456" s="49"/>
      <c r="M4456" s="36" t="str">
        <f t="shared" si="33"/>
        <v/>
      </c>
      <c r="N4456" s="30" t="str">
        <f t="shared" si="34"/>
        <v>BT atau SU Belum Valid</v>
      </c>
      <c r="O4456" s="39" t="str">
        <f t="shared" si="23"/>
        <v/>
      </c>
      <c r="P4456" s="47" t="b">
        <v>0</v>
      </c>
      <c r="Q4456" s="36" t="str">
        <f t="shared" si="35"/>
        <v/>
      </c>
      <c r="R4456" s="47" t="b">
        <v>0</v>
      </c>
      <c r="S4456" s="42" t="str">
        <f t="shared" si="28"/>
        <v/>
      </c>
      <c r="T4456" s="42"/>
    </row>
    <row r="4457" ht="22.5" customHeight="1">
      <c r="B4457" s="42">
        <f t="shared" si="7"/>
        <v>4451</v>
      </c>
      <c r="C4457" s="31" t="s">
        <v>4484</v>
      </c>
      <c r="D4457" s="34" t="str">
        <f t="array" ref="D4457">IFNA(_xlfn.XLOOKUP(C4457,Table_Tarikan_Warkah[Nomor Sertipikat],Table_Tarikan_Warkah[Nomor Tiket]),"")</f>
        <v>K/19/011027/2</v>
      </c>
      <c r="E4457" s="36">
        <f t="array" ref="E4457">IFNA(_xlfn.XLOOKUP(D4457,Table_Tarikan_Warkah[Nomor Tiket],Table_Tarikan_Warkah[Tanggal diserahkan kepada Validator]),"")</f>
        <v>45996.58963</v>
      </c>
      <c r="F4457" s="36" t="str">
        <f t="array" ref="F4457">IFNA(_xlfn.XLOOKUP(D4457,Table_Tarikan_Warkah[Nomor Tiket],Table_Tarikan_Warkah[Nama Petugas Warkah]),"")</f>
        <v>Berry</v>
      </c>
      <c r="G4457" s="39" t="str">
        <f t="array" ref="G4457">IFNA(_xlfn.XLOOKUP(D4457,Table_Tarikan_Warkah[Nomor Tiket],Table_Tarikan_Warkah[Jenis Permohonan]),"")</f>
        <v>BN JUAL BELI</v>
      </c>
      <c r="H4457" s="41" t="s">
        <v>2315</v>
      </c>
      <c r="I4457" s="49" t="s">
        <v>23</v>
      </c>
      <c r="J4457" s="36">
        <f t="shared" si="20"/>
        <v>45986.39291</v>
      </c>
      <c r="K4457" s="69"/>
      <c r="L4457" s="49"/>
      <c r="M4457" s="36" t="str">
        <f t="shared" si="33"/>
        <v/>
      </c>
      <c r="N4457" s="30" t="str">
        <f t="shared" si="34"/>
        <v>BT atau SU Belum Valid</v>
      </c>
      <c r="O4457" s="39" t="str">
        <f t="shared" si="23"/>
        <v/>
      </c>
      <c r="P4457" s="47" t="b">
        <v>0</v>
      </c>
      <c r="Q4457" s="36" t="str">
        <f t="shared" si="35"/>
        <v/>
      </c>
      <c r="R4457" s="47" t="b">
        <v>0</v>
      </c>
      <c r="S4457" s="42" t="str">
        <f t="shared" si="28"/>
        <v/>
      </c>
      <c r="T4457" s="42"/>
    </row>
    <row r="4458" ht="22.5" customHeight="1">
      <c r="B4458" s="42">
        <f t="shared" si="7"/>
        <v>4452</v>
      </c>
      <c r="C4458" s="31" t="s">
        <v>4485</v>
      </c>
      <c r="D4458" s="34" t="str">
        <f t="array" ref="D4458">IFNA(_xlfn.XLOOKUP(C4458,Table_Tarikan_Warkah[Nomor Sertipikat],Table_Tarikan_Warkah[Nomor Tiket]),"")</f>
        <v>K/15/250925/1</v>
      </c>
      <c r="E4458" s="36" t="str">
        <f t="array" ref="E4458">IFNA(_xlfn.XLOOKUP(D4458,Table_Tarikan_Warkah[Nomor Tiket],Table_Tarikan_Warkah[Tanggal diserahkan kepada Validator]),"")</f>
        <v/>
      </c>
      <c r="F4458" s="36" t="str">
        <f t="array" ref="F4458">IFNA(_xlfn.XLOOKUP(D4458,Table_Tarikan_Warkah[Nomor Tiket],Table_Tarikan_Warkah[Nama Petugas Warkah]),"")</f>
        <v/>
      </c>
      <c r="G4458" s="39" t="str">
        <f t="array" ref="G4458">IFNA(_xlfn.XLOOKUP(D4458,Table_Tarikan_Warkah[Nomor Tiket],Table_Tarikan_Warkah[Jenis Permohonan]),"")</f>
        <v>BN JUAL BELI</v>
      </c>
      <c r="H4458" s="41" t="s">
        <v>2315</v>
      </c>
      <c r="I4458" s="49" t="s">
        <v>23</v>
      </c>
      <c r="J4458" s="36">
        <f t="shared" si="20"/>
        <v>45986.39291</v>
      </c>
      <c r="K4458" s="69"/>
      <c r="L4458" s="49"/>
      <c r="M4458" s="36" t="str">
        <f t="shared" si="33"/>
        <v/>
      </c>
      <c r="N4458" s="30" t="str">
        <f t="shared" si="34"/>
        <v>BT atau SU Belum Valid</v>
      </c>
      <c r="O4458" s="39" t="str">
        <f t="shared" si="23"/>
        <v/>
      </c>
      <c r="P4458" s="47" t="b">
        <v>0</v>
      </c>
      <c r="Q4458" s="36" t="str">
        <f t="shared" si="35"/>
        <v/>
      </c>
      <c r="R4458" s="47" t="b">
        <v>0</v>
      </c>
      <c r="S4458" s="42" t="str">
        <f t="shared" si="28"/>
        <v/>
      </c>
      <c r="T4458" s="42"/>
    </row>
    <row r="4459" ht="22.5" customHeight="1">
      <c r="B4459" s="42">
        <f t="shared" si="7"/>
        <v>4453</v>
      </c>
      <c r="C4459" s="31" t="s">
        <v>4486</v>
      </c>
      <c r="D4459" s="34" t="str">
        <f t="array" ref="D4459">IFNA(_xlfn.XLOOKUP(C4459,Table_Tarikan_Warkah[Nomor Sertipikat],Table_Tarikan_Warkah[Nomor Tiket]),"")</f>
        <v>K/13/080925/1</v>
      </c>
      <c r="E4459" s="36" t="str">
        <f t="array" ref="E4459">IFNA(_xlfn.XLOOKUP(D4459,Table_Tarikan_Warkah[Nomor Tiket],Table_Tarikan_Warkah[Tanggal diserahkan kepada Validator]),"")</f>
        <v/>
      </c>
      <c r="F4459" s="36" t="str">
        <f t="array" ref="F4459">IFNA(_xlfn.XLOOKUP(D4459,Table_Tarikan_Warkah[Nomor Tiket],Table_Tarikan_Warkah[Nama Petugas Warkah]),"")</f>
        <v/>
      </c>
      <c r="G4459" s="39" t="str">
        <f t="array" ref="G4459">IFNA(_xlfn.XLOOKUP(D4459,Table_Tarikan_Warkah[Nomor Tiket],Table_Tarikan_Warkah[Jenis Permohonan]),"")</f>
        <v>ROYA</v>
      </c>
      <c r="H4459" s="41" t="s">
        <v>2315</v>
      </c>
      <c r="I4459" s="49" t="s">
        <v>23</v>
      </c>
      <c r="J4459" s="36">
        <f t="shared" si="20"/>
        <v>45986.39291</v>
      </c>
      <c r="K4459" s="69"/>
      <c r="L4459" s="49"/>
      <c r="M4459" s="36" t="str">
        <f t="shared" si="33"/>
        <v/>
      </c>
      <c r="N4459" s="30" t="str">
        <f t="shared" si="34"/>
        <v>BT atau SU Belum Valid</v>
      </c>
      <c r="O4459" s="39" t="str">
        <f t="shared" si="23"/>
        <v/>
      </c>
      <c r="P4459" s="47" t="b">
        <v>0</v>
      </c>
      <c r="Q4459" s="36" t="str">
        <f t="shared" si="35"/>
        <v/>
      </c>
      <c r="R4459" s="47" t="b">
        <v>0</v>
      </c>
      <c r="S4459" s="42" t="str">
        <f t="shared" si="28"/>
        <v/>
      </c>
      <c r="T4459" s="42"/>
    </row>
    <row r="4460" ht="22.5" customHeight="1">
      <c r="B4460" s="42">
        <f t="shared" si="7"/>
        <v>4454</v>
      </c>
      <c r="C4460" s="31" t="s">
        <v>4487</v>
      </c>
      <c r="D4460" s="34" t="str">
        <f t="array" ref="D4460">IFNA(_xlfn.XLOOKUP(C4460,Table_Tarikan_Warkah[Nomor Sertipikat],Table_Tarikan_Warkah[Nomor Tiket]),"")</f>
        <v>K/39/290925/1</v>
      </c>
      <c r="E4460" s="36">
        <f t="array" ref="E4460">IFNA(_xlfn.XLOOKUP(D4460,Table_Tarikan_Warkah[Nomor Tiket],Table_Tarikan_Warkah[Tanggal diserahkan kepada Validator]),"")</f>
        <v>45957.61889</v>
      </c>
      <c r="F4460" s="36" t="str">
        <f t="array" ref="F4460">IFNA(_xlfn.XLOOKUP(D4460,Table_Tarikan_Warkah[Nomor Tiket],Table_Tarikan_Warkah[Nama Petugas Warkah]),"")</f>
        <v>David</v>
      </c>
      <c r="G4460" s="39" t="str">
        <f t="array" ref="G4460">IFNA(_xlfn.XLOOKUP(D4460,Table_Tarikan_Warkah[Nomor Tiket],Table_Tarikan_Warkah[Jenis Permohonan]),"")</f>
        <v>BN Jual Beli	</v>
      </c>
      <c r="H4460" s="41" t="s">
        <v>2315</v>
      </c>
      <c r="I4460" s="49" t="s">
        <v>23</v>
      </c>
      <c r="J4460" s="36">
        <f t="shared" si="20"/>
        <v>45986.57808</v>
      </c>
      <c r="K4460" s="69"/>
      <c r="L4460" s="49"/>
      <c r="M4460" s="36" t="str">
        <f t="shared" si="33"/>
        <v/>
      </c>
      <c r="N4460" s="30" t="str">
        <f t="shared" si="34"/>
        <v>BT atau SU Belum Valid</v>
      </c>
      <c r="O4460" s="39" t="str">
        <f t="shared" si="23"/>
        <v/>
      </c>
      <c r="P4460" s="47" t="b">
        <v>0</v>
      </c>
      <c r="Q4460" s="36" t="str">
        <f t="shared" si="35"/>
        <v/>
      </c>
      <c r="R4460" s="47" t="b">
        <v>0</v>
      </c>
      <c r="S4460" s="42" t="str">
        <f t="shared" si="28"/>
        <v/>
      </c>
      <c r="T4460" s="42"/>
    </row>
    <row r="4461" ht="22.5" customHeight="1">
      <c r="B4461" s="42">
        <f t="shared" si="7"/>
        <v>4455</v>
      </c>
      <c r="C4461" s="31" t="s">
        <v>4488</v>
      </c>
      <c r="D4461" s="34" t="str">
        <f t="array" ref="D4461">IFNA(_xlfn.XLOOKUP(C4461,Table_Tarikan_Warkah[Nomor Sertipikat],Table_Tarikan_Warkah[Nomor Tiket]),"")</f>
        <v>K/43/230525/3</v>
      </c>
      <c r="E4461" s="36" t="str">
        <f t="array" ref="E4461">IFNA(_xlfn.XLOOKUP(D4461,Table_Tarikan_Warkah[Nomor Tiket],Table_Tarikan_Warkah[Tanggal diserahkan kepada Validator]),"")</f>
        <v/>
      </c>
      <c r="F4461" s="36" t="str">
        <f t="array" ref="F4461">IFNA(_xlfn.XLOOKUP(D4461,Table_Tarikan_Warkah[Nomor Tiket],Table_Tarikan_Warkah[Nama Petugas Warkah]),"")</f>
        <v/>
      </c>
      <c r="G4461" s="39" t="str">
        <f t="array" ref="G4461">IFNA(_xlfn.XLOOKUP(D4461,Table_Tarikan_Warkah[Nomor Tiket],Table_Tarikan_Warkah[Jenis Permohonan]),"")</f>
        <v>SKPT LELANG</v>
      </c>
      <c r="H4461" s="41" t="s">
        <v>2315</v>
      </c>
      <c r="I4461" s="49" t="s">
        <v>23</v>
      </c>
      <c r="J4461" s="36">
        <f t="shared" si="20"/>
        <v>45987.39144</v>
      </c>
      <c r="K4461" s="69"/>
      <c r="L4461" s="49"/>
      <c r="M4461" s="36" t="str">
        <f t="shared" si="33"/>
        <v/>
      </c>
      <c r="N4461" s="30" t="str">
        <f t="shared" si="34"/>
        <v>BT atau SU Belum Valid</v>
      </c>
      <c r="O4461" s="39" t="str">
        <f t="shared" si="23"/>
        <v/>
      </c>
      <c r="P4461" s="47" t="b">
        <v>0</v>
      </c>
      <c r="Q4461" s="36" t="str">
        <f t="shared" si="35"/>
        <v/>
      </c>
      <c r="R4461" s="47" t="b">
        <v>0</v>
      </c>
      <c r="S4461" s="42" t="str">
        <f t="shared" si="28"/>
        <v/>
      </c>
      <c r="T4461" s="42"/>
    </row>
    <row r="4462" ht="22.5" customHeight="1">
      <c r="B4462" s="42">
        <f t="shared" si="7"/>
        <v>4456</v>
      </c>
      <c r="C4462" s="31" t="s">
        <v>4489</v>
      </c>
      <c r="D4462" s="34" t="str">
        <f t="array" ref="D4462">IFNA(_xlfn.XLOOKUP(C4462,Table_Tarikan_Warkah[Nomor Sertipikat],Table_Tarikan_Warkah[Nomor Tiket]),"")</f>
        <v>K/30/081025/3</v>
      </c>
      <c r="E4462" s="36" t="str">
        <f t="array" ref="E4462">IFNA(_xlfn.XLOOKUP(D4462,Table_Tarikan_Warkah[Nomor Tiket],Table_Tarikan_Warkah[Tanggal diserahkan kepada Validator]),"")</f>
        <v/>
      </c>
      <c r="F4462" s="36" t="str">
        <f t="array" ref="F4462">IFNA(_xlfn.XLOOKUP(D4462,Table_Tarikan_Warkah[Nomor Tiket],Table_Tarikan_Warkah[Nama Petugas Warkah]),"")</f>
        <v/>
      </c>
      <c r="G4462" s="39" t="str">
        <f t="array" ref="G4462">IFNA(_xlfn.XLOOKUP(D4462,Table_Tarikan_Warkah[Nomor Tiket],Table_Tarikan_Warkah[Jenis Permohonan]),"")</f>
        <v>BN JUAL BELI</v>
      </c>
      <c r="H4462" s="41" t="s">
        <v>2315</v>
      </c>
      <c r="I4462" s="49" t="s">
        <v>23</v>
      </c>
      <c r="J4462" s="36">
        <f t="shared" si="20"/>
        <v>45987.39161</v>
      </c>
      <c r="K4462" s="69"/>
      <c r="L4462" s="49"/>
      <c r="M4462" s="36" t="str">
        <f t="shared" si="33"/>
        <v/>
      </c>
      <c r="N4462" s="30" t="str">
        <f t="shared" si="34"/>
        <v>BT atau SU Belum Valid</v>
      </c>
      <c r="O4462" s="39" t="str">
        <f t="shared" si="23"/>
        <v/>
      </c>
      <c r="P4462" s="47" t="b">
        <v>0</v>
      </c>
      <c r="Q4462" s="36" t="str">
        <f t="shared" si="35"/>
        <v/>
      </c>
      <c r="R4462" s="47" t="b">
        <v>0</v>
      </c>
      <c r="S4462" s="42" t="str">
        <f t="shared" si="28"/>
        <v/>
      </c>
      <c r="T4462" s="42"/>
    </row>
    <row r="4463" ht="22.5" customHeight="1">
      <c r="B4463" s="42">
        <f t="shared" si="7"/>
        <v>4457</v>
      </c>
      <c r="C4463" s="31" t="s">
        <v>4490</v>
      </c>
      <c r="D4463" s="34" t="str">
        <f t="array" ref="D4463">IFNA(_xlfn.XLOOKUP(C4463,Table_Tarikan_Warkah[Nomor Sertipikat],Table_Tarikan_Warkah[Nomor Tiket]),"")</f>
        <v>K/9/180925/1</v>
      </c>
      <c r="E4463" s="36" t="str">
        <f t="array" ref="E4463">IFNA(_xlfn.XLOOKUP(D4463,Table_Tarikan_Warkah[Nomor Tiket],Table_Tarikan_Warkah[Tanggal diserahkan kepada Validator]),"")</f>
        <v/>
      </c>
      <c r="F4463" s="36" t="str">
        <f t="array" ref="F4463">IFNA(_xlfn.XLOOKUP(D4463,Table_Tarikan_Warkah[Nomor Tiket],Table_Tarikan_Warkah[Nama Petugas Warkah]),"")</f>
        <v/>
      </c>
      <c r="G4463" s="39" t="str">
        <f t="array" ref="G4463">IFNA(_xlfn.XLOOKUP(D4463,Table_Tarikan_Warkah[Nomor Tiket],Table_Tarikan_Warkah[Jenis Permohonan]),"")</f>
        <v>BN JUAL BELI</v>
      </c>
      <c r="H4463" s="41" t="s">
        <v>2315</v>
      </c>
      <c r="I4463" s="49" t="s">
        <v>23</v>
      </c>
      <c r="J4463" s="36">
        <f t="shared" si="20"/>
        <v>45987.39178</v>
      </c>
      <c r="K4463" s="69"/>
      <c r="L4463" s="49"/>
      <c r="M4463" s="36" t="str">
        <f t="shared" si="33"/>
        <v/>
      </c>
      <c r="N4463" s="30" t="str">
        <f t="shared" si="34"/>
        <v>BT atau SU Belum Valid</v>
      </c>
      <c r="O4463" s="39" t="str">
        <f t="shared" si="23"/>
        <v/>
      </c>
      <c r="P4463" s="47" t="b">
        <v>0</v>
      </c>
      <c r="Q4463" s="36" t="str">
        <f t="shared" si="35"/>
        <v/>
      </c>
      <c r="R4463" s="47" t="b">
        <v>0</v>
      </c>
      <c r="S4463" s="42" t="str">
        <f t="shared" si="28"/>
        <v/>
      </c>
      <c r="T4463" s="42"/>
    </row>
    <row r="4464" ht="22.5" customHeight="1">
      <c r="B4464" s="42">
        <f t="shared" si="7"/>
        <v>4458</v>
      </c>
      <c r="C4464" s="31" t="s">
        <v>4491</v>
      </c>
      <c r="D4464" s="34" t="str">
        <f t="array" ref="D4464">IFNA(_xlfn.XLOOKUP(C4464,Table_Tarikan_Warkah[Nomor Sertipikat],Table_Tarikan_Warkah[Nomor Tiket]),"")</f>
        <v>K/38/091025/3</v>
      </c>
      <c r="E4464" s="36" t="str">
        <f t="array" ref="E4464">IFNA(_xlfn.XLOOKUP(D4464,Table_Tarikan_Warkah[Nomor Tiket],Table_Tarikan_Warkah[Tanggal diserahkan kepada Validator]),"")</f>
        <v/>
      </c>
      <c r="F4464" s="36" t="str">
        <f t="array" ref="F4464">IFNA(_xlfn.XLOOKUP(D4464,Table_Tarikan_Warkah[Nomor Tiket],Table_Tarikan_Warkah[Nama Petugas Warkah]),"")</f>
        <v/>
      </c>
      <c r="G4464" s="39" t="str">
        <f t="array" ref="G4464">IFNA(_xlfn.XLOOKUP(D4464,Table_Tarikan_Warkah[Nomor Tiket],Table_Tarikan_Warkah[Jenis Permohonan]),"")</f>
        <v>BN JUAL BELI</v>
      </c>
      <c r="H4464" s="41" t="s">
        <v>2315</v>
      </c>
      <c r="I4464" s="49" t="s">
        <v>23</v>
      </c>
      <c r="J4464" s="36">
        <f t="shared" si="20"/>
        <v>45987.39194</v>
      </c>
      <c r="K4464" s="69"/>
      <c r="L4464" s="49"/>
      <c r="M4464" s="36" t="str">
        <f t="shared" si="33"/>
        <v/>
      </c>
      <c r="N4464" s="30" t="str">
        <f t="shared" si="34"/>
        <v>BT atau SU Belum Valid</v>
      </c>
      <c r="O4464" s="39" t="str">
        <f t="shared" si="23"/>
        <v/>
      </c>
      <c r="P4464" s="47" t="b">
        <v>0</v>
      </c>
      <c r="Q4464" s="36" t="str">
        <f t="shared" si="35"/>
        <v/>
      </c>
      <c r="R4464" s="47" t="b">
        <v>0</v>
      </c>
      <c r="S4464" s="42" t="str">
        <f t="shared" si="28"/>
        <v/>
      </c>
      <c r="T4464" s="42"/>
    </row>
    <row r="4465" ht="22.5" customHeight="1">
      <c r="B4465" s="42">
        <f t="shared" si="7"/>
        <v>4459</v>
      </c>
      <c r="C4465" s="31" t="s">
        <v>4492</v>
      </c>
      <c r="D4465" s="34" t="str">
        <f t="array" ref="D4465">IFNA(_xlfn.XLOOKUP(C4465,Table_Tarikan_Warkah[Nomor Sertipikat],Table_Tarikan_Warkah[Nomor Tiket]),"")</f>
        <v>K/40/091025/4</v>
      </c>
      <c r="E4465" s="36" t="str">
        <f t="array" ref="E4465">IFNA(_xlfn.XLOOKUP(D4465,Table_Tarikan_Warkah[Nomor Tiket],Table_Tarikan_Warkah[Tanggal diserahkan kepada Validator]),"")</f>
        <v/>
      </c>
      <c r="F4465" s="36" t="str">
        <f t="array" ref="F4465">IFNA(_xlfn.XLOOKUP(D4465,Table_Tarikan_Warkah[Nomor Tiket],Table_Tarikan_Warkah[Nama Petugas Warkah]),"")</f>
        <v/>
      </c>
      <c r="G4465" s="39" t="str">
        <f t="array" ref="G4465">IFNA(_xlfn.XLOOKUP(D4465,Table_Tarikan_Warkah[Nomor Tiket],Table_Tarikan_Warkah[Jenis Permohonan]),"")</f>
        <v>BN JUAL BELI</v>
      </c>
      <c r="H4465" s="41" t="s">
        <v>2315</v>
      </c>
      <c r="I4465" s="49" t="s">
        <v>23</v>
      </c>
      <c r="J4465" s="36">
        <f t="shared" si="20"/>
        <v>45987.39209</v>
      </c>
      <c r="K4465" s="69"/>
      <c r="L4465" s="49"/>
      <c r="M4465" s="36" t="str">
        <f t="shared" si="33"/>
        <v/>
      </c>
      <c r="N4465" s="30" t="str">
        <f t="shared" si="34"/>
        <v>BT atau SU Belum Valid</v>
      </c>
      <c r="O4465" s="39" t="str">
        <f t="shared" si="23"/>
        <v/>
      </c>
      <c r="P4465" s="47" t="b">
        <v>0</v>
      </c>
      <c r="Q4465" s="36" t="str">
        <f t="shared" si="35"/>
        <v/>
      </c>
      <c r="R4465" s="47" t="b">
        <v>0</v>
      </c>
      <c r="S4465" s="42" t="str">
        <f t="shared" si="28"/>
        <v/>
      </c>
      <c r="T4465" s="42"/>
    </row>
    <row r="4466" ht="22.5" customHeight="1">
      <c r="B4466" s="42">
        <f t="shared" si="7"/>
        <v>4460</v>
      </c>
      <c r="C4466" s="31" t="s">
        <v>4493</v>
      </c>
      <c r="D4466" s="34" t="str">
        <f t="array" ref="D4466">IFNA(_xlfn.XLOOKUP(C4466,Table_Tarikan_Warkah[Nomor Sertipikat],Table_Tarikan_Warkah[Nomor Tiket]),"")</f>
        <v>K/10/091025/1</v>
      </c>
      <c r="E4466" s="36">
        <f t="array" ref="E4466">IFNA(_xlfn.XLOOKUP(D4466,Table_Tarikan_Warkah[Nomor Tiket],Table_Tarikan_Warkah[Tanggal diserahkan kepada Validator]),"")</f>
        <v>46020.65116</v>
      </c>
      <c r="F4466" s="36" t="str">
        <f t="array" ref="F4466">IFNA(_xlfn.XLOOKUP(D4466,Table_Tarikan_Warkah[Nomor Tiket],Table_Tarikan_Warkah[Nama Petugas Warkah]),"")</f>
        <v>Berry</v>
      </c>
      <c r="G4466" s="39" t="str">
        <f t="array" ref="G4466">IFNA(_xlfn.XLOOKUP(D4466,Table_Tarikan_Warkah[Nomor Tiket],Table_Tarikan_Warkah[Jenis Permohonan]),"")</f>
        <v>BN JUAL BELI</v>
      </c>
      <c r="H4466" s="41" t="s">
        <v>2315</v>
      </c>
      <c r="I4466" s="49" t="s">
        <v>23</v>
      </c>
      <c r="J4466" s="36">
        <f t="shared" si="20"/>
        <v>45987.39595</v>
      </c>
      <c r="K4466" s="69"/>
      <c r="L4466" s="49"/>
      <c r="M4466" s="36" t="str">
        <f t="shared" si="33"/>
        <v/>
      </c>
      <c r="N4466" s="30" t="str">
        <f t="shared" si="34"/>
        <v>BT atau SU Belum Valid</v>
      </c>
      <c r="O4466" s="39" t="str">
        <f t="shared" si="23"/>
        <v/>
      </c>
      <c r="P4466" s="47" t="b">
        <v>0</v>
      </c>
      <c r="Q4466" s="36" t="str">
        <f t="shared" si="35"/>
        <v/>
      </c>
      <c r="R4466" s="47" t="b">
        <v>0</v>
      </c>
      <c r="S4466" s="42" t="str">
        <f t="shared" si="28"/>
        <v/>
      </c>
      <c r="T4466" s="42"/>
    </row>
    <row r="4467" ht="22.5" customHeight="1">
      <c r="B4467" s="42">
        <f t="shared" si="7"/>
        <v>4461</v>
      </c>
      <c r="C4467" s="31" t="s">
        <v>4494</v>
      </c>
      <c r="D4467" s="34" t="str">
        <f t="array" ref="D4467">IFNA(_xlfn.XLOOKUP(C4467,Table_Tarikan_Warkah[Nomor Sertipikat],Table_Tarikan_Warkah[Nomor Tiket]),"")</f>
        <v>K/36/270825/1</v>
      </c>
      <c r="E4467" s="36" t="str">
        <f t="array" ref="E4467">IFNA(_xlfn.XLOOKUP(D4467,Table_Tarikan_Warkah[Nomor Tiket],Table_Tarikan_Warkah[Tanggal diserahkan kepada Validator]),"")</f>
        <v/>
      </c>
      <c r="F4467" s="36" t="str">
        <f t="array" ref="F4467">IFNA(_xlfn.XLOOKUP(D4467,Table_Tarikan_Warkah[Nomor Tiket],Table_Tarikan_Warkah[Nama Petugas Warkah]),"")</f>
        <v/>
      </c>
      <c r="G4467" s="39" t="str">
        <f t="array" ref="G4467">IFNA(_xlfn.XLOOKUP(D4467,Table_Tarikan_Warkah[Nomor Tiket],Table_Tarikan_Warkah[Jenis Permohonan]),"")</f>
        <v>BN JUAL BELI  EL</v>
      </c>
      <c r="H4467" s="41" t="s">
        <v>2315</v>
      </c>
      <c r="I4467" s="49" t="s">
        <v>23</v>
      </c>
      <c r="J4467" s="36">
        <f t="shared" si="20"/>
        <v>45987.39641</v>
      </c>
      <c r="K4467" s="69"/>
      <c r="L4467" s="49"/>
      <c r="M4467" s="36" t="str">
        <f t="shared" si="33"/>
        <v/>
      </c>
      <c r="N4467" s="30" t="str">
        <f t="shared" si="34"/>
        <v>BT atau SU Belum Valid</v>
      </c>
      <c r="O4467" s="39" t="str">
        <f t="shared" si="23"/>
        <v/>
      </c>
      <c r="P4467" s="47" t="b">
        <v>0</v>
      </c>
      <c r="Q4467" s="36" t="str">
        <f t="shared" si="35"/>
        <v/>
      </c>
      <c r="R4467" s="47" t="b">
        <v>0</v>
      </c>
      <c r="S4467" s="42" t="str">
        <f t="shared" si="28"/>
        <v/>
      </c>
      <c r="T4467" s="42"/>
    </row>
    <row r="4468" ht="22.5" customHeight="1">
      <c r="B4468" s="42">
        <f t="shared" si="7"/>
        <v>4462</v>
      </c>
      <c r="C4468" s="31" t="s">
        <v>1814</v>
      </c>
      <c r="D4468" s="34" t="str">
        <f t="array" ref="D4468">IFNA(_xlfn.XLOOKUP(C4468,Table_Tarikan_Warkah[Nomor Sertipikat],Table_Tarikan_Warkah[Nomor Tiket]),"")</f>
        <v>K/22/260325/1</v>
      </c>
      <c r="E4468" s="36" t="str">
        <f t="array" ref="E4468">IFNA(_xlfn.XLOOKUP(D4468,Table_Tarikan_Warkah[Nomor Tiket],Table_Tarikan_Warkah[Tanggal diserahkan kepada Validator]),"")</f>
        <v/>
      </c>
      <c r="F4468" s="36" t="str">
        <f t="array" ref="F4468">IFNA(_xlfn.XLOOKUP(D4468,Table_Tarikan_Warkah[Nomor Tiket],Table_Tarikan_Warkah[Nama Petugas Warkah]),"")</f>
        <v/>
      </c>
      <c r="G4468" s="39" t="str">
        <f t="array" ref="G4468">IFNA(_xlfn.XLOOKUP(D4468,Table_Tarikan_Warkah[Nomor Tiket],Table_Tarikan_Warkah[Jenis Permohonan]),"")</f>
        <v>JUAL BELI</v>
      </c>
      <c r="H4468" s="41" t="s">
        <v>2315</v>
      </c>
      <c r="I4468" s="49" t="s">
        <v>23</v>
      </c>
      <c r="J4468" s="36">
        <f t="shared" si="20"/>
        <v>45987.39745</v>
      </c>
      <c r="K4468" s="69"/>
      <c r="L4468" s="49"/>
      <c r="M4468" s="36" t="str">
        <f t="shared" si="33"/>
        <v/>
      </c>
      <c r="N4468" s="30" t="str">
        <f t="shared" si="34"/>
        <v>BT atau SU Belum Valid</v>
      </c>
      <c r="O4468" s="39" t="str">
        <f t="shared" si="23"/>
        <v/>
      </c>
      <c r="P4468" s="47" t="b">
        <v>0</v>
      </c>
      <c r="Q4468" s="36" t="str">
        <f t="shared" si="35"/>
        <v/>
      </c>
      <c r="R4468" s="47" t="b">
        <v>0</v>
      </c>
      <c r="S4468" s="42" t="str">
        <f t="shared" si="28"/>
        <v/>
      </c>
      <c r="T4468" s="42"/>
    </row>
    <row r="4469" ht="22.5" customHeight="1">
      <c r="B4469" s="42">
        <f t="shared" si="7"/>
        <v>4463</v>
      </c>
      <c r="C4469" s="31" t="s">
        <v>4495</v>
      </c>
      <c r="D4469" s="34" t="str">
        <f t="array" ref="D4469">IFNA(_xlfn.XLOOKUP(C4469,Table_Tarikan_Warkah[Nomor Sertipikat],Table_Tarikan_Warkah[Nomor Tiket]),"")</f>
        <v>K/2/090925/1</v>
      </c>
      <c r="E4469" s="36" t="str">
        <f t="array" ref="E4469">IFNA(_xlfn.XLOOKUP(D4469,Table_Tarikan_Warkah[Nomor Tiket],Table_Tarikan_Warkah[Tanggal diserahkan kepada Validator]),"")</f>
        <v/>
      </c>
      <c r="F4469" s="36" t="str">
        <f t="array" ref="F4469">IFNA(_xlfn.XLOOKUP(D4469,Table_Tarikan_Warkah[Nomor Tiket],Table_Tarikan_Warkah[Nama Petugas Warkah]),"")</f>
        <v/>
      </c>
      <c r="G4469" s="39" t="str">
        <f t="array" ref="G4469">IFNA(_xlfn.XLOOKUP(D4469,Table_Tarikan_Warkah[Nomor Tiket],Table_Tarikan_Warkah[Jenis Permohonan]),"")</f>
        <v>ROYA</v>
      </c>
      <c r="H4469" s="41" t="s">
        <v>2315</v>
      </c>
      <c r="I4469" s="49" t="s">
        <v>23</v>
      </c>
      <c r="J4469" s="36">
        <f t="shared" si="20"/>
        <v>45987.40206</v>
      </c>
      <c r="K4469" s="69"/>
      <c r="L4469" s="49"/>
      <c r="M4469" s="36" t="str">
        <f t="shared" si="33"/>
        <v/>
      </c>
      <c r="N4469" s="30" t="str">
        <f t="shared" si="34"/>
        <v>BT atau SU Belum Valid</v>
      </c>
      <c r="O4469" s="39" t="str">
        <f t="shared" si="23"/>
        <v/>
      </c>
      <c r="P4469" s="47" t="b">
        <v>0</v>
      </c>
      <c r="Q4469" s="36" t="str">
        <f t="shared" si="35"/>
        <v/>
      </c>
      <c r="R4469" s="47" t="b">
        <v>0</v>
      </c>
      <c r="S4469" s="42" t="str">
        <f t="shared" si="28"/>
        <v/>
      </c>
      <c r="T4469" s="42"/>
    </row>
    <row r="4470" ht="22.5" customHeight="1">
      <c r="B4470" s="42">
        <f t="shared" si="7"/>
        <v>4464</v>
      </c>
      <c r="C4470" s="31" t="s">
        <v>4496</v>
      </c>
      <c r="D4470" s="34" t="str">
        <f t="array" ref="D4470">IFNA(_xlfn.XLOOKUP(C4470,Table_Tarikan_Warkah[Nomor Sertipikat],Table_Tarikan_Warkah[Nomor Tiket]),"")</f>
        <v>K/35/290925/2</v>
      </c>
      <c r="E4470" s="36">
        <f t="array" ref="E4470">IFNA(_xlfn.XLOOKUP(D4470,Table_Tarikan_Warkah[Nomor Tiket],Table_Tarikan_Warkah[Tanggal diserahkan kepada Validator]),"")</f>
        <v>45975.49349</v>
      </c>
      <c r="F4470" s="36" t="str">
        <f t="array" ref="F4470">IFNA(_xlfn.XLOOKUP(D4470,Table_Tarikan_Warkah[Nomor Tiket],Table_Tarikan_Warkah[Nama Petugas Warkah]),"")</f>
        <v>Berry</v>
      </c>
      <c r="G4470" s="39" t="str">
        <f t="array" ref="G4470">IFNA(_xlfn.XLOOKUP(D4470,Table_Tarikan_Warkah[Nomor Tiket],Table_Tarikan_Warkah[Jenis Permohonan]),"")</f>
        <v>BN JUAL BELI</v>
      </c>
      <c r="H4470" s="41" t="s">
        <v>2315</v>
      </c>
      <c r="I4470" s="49" t="s">
        <v>23</v>
      </c>
      <c r="J4470" s="36">
        <f t="shared" si="20"/>
        <v>45987.4022</v>
      </c>
      <c r="K4470" s="69"/>
      <c r="L4470" s="49"/>
      <c r="M4470" s="36" t="str">
        <f t="shared" si="33"/>
        <v/>
      </c>
      <c r="N4470" s="30" t="str">
        <f t="shared" si="34"/>
        <v>BT atau SU Belum Valid</v>
      </c>
      <c r="O4470" s="39" t="str">
        <f t="shared" si="23"/>
        <v/>
      </c>
      <c r="P4470" s="47" t="b">
        <v>0</v>
      </c>
      <c r="Q4470" s="36" t="str">
        <f t="shared" si="35"/>
        <v/>
      </c>
      <c r="R4470" s="47" t="b">
        <v>0</v>
      </c>
      <c r="S4470" s="42" t="str">
        <f t="shared" si="28"/>
        <v/>
      </c>
      <c r="T4470" s="42"/>
    </row>
    <row r="4471" ht="22.5" customHeight="1">
      <c r="B4471" s="42">
        <f t="shared" si="7"/>
        <v>4465</v>
      </c>
      <c r="C4471" s="31" t="s">
        <v>4497</v>
      </c>
      <c r="D4471" s="34" t="str">
        <f t="array" ref="D4471">IFNA(_xlfn.XLOOKUP(C4471,Table_Tarikan_Warkah[Nomor Sertipikat],Table_Tarikan_Warkah[Nomor Tiket]),"")</f>
        <v>K/32/081025/1</v>
      </c>
      <c r="E4471" s="36" t="str">
        <f t="array" ref="E4471">IFNA(_xlfn.XLOOKUP(D4471,Table_Tarikan_Warkah[Nomor Tiket],Table_Tarikan_Warkah[Tanggal diserahkan kepada Validator]),"")</f>
        <v/>
      </c>
      <c r="F4471" s="36" t="str">
        <f t="array" ref="F4471">IFNA(_xlfn.XLOOKUP(D4471,Table_Tarikan_Warkah[Nomor Tiket],Table_Tarikan_Warkah[Nama Petugas Warkah]),"")</f>
        <v/>
      </c>
      <c r="G4471" s="39" t="str">
        <f t="array" ref="G4471">IFNA(_xlfn.XLOOKUP(D4471,Table_Tarikan_Warkah[Nomor Tiket],Table_Tarikan_Warkah[Jenis Permohonan]),"")</f>
        <v>BN JUAL BELI</v>
      </c>
      <c r="H4471" s="41" t="s">
        <v>2315</v>
      </c>
      <c r="I4471" s="49" t="s">
        <v>23</v>
      </c>
      <c r="J4471" s="36">
        <f t="shared" si="20"/>
        <v>45988.35035</v>
      </c>
      <c r="K4471" s="69"/>
      <c r="L4471" s="49"/>
      <c r="M4471" s="36" t="str">
        <f t="shared" si="33"/>
        <v/>
      </c>
      <c r="N4471" s="30" t="str">
        <f t="shared" si="34"/>
        <v>BT atau SU Belum Valid</v>
      </c>
      <c r="O4471" s="39" t="str">
        <f t="shared" si="23"/>
        <v/>
      </c>
      <c r="P4471" s="47" t="b">
        <v>0</v>
      </c>
      <c r="Q4471" s="36" t="str">
        <f t="shared" si="35"/>
        <v/>
      </c>
      <c r="R4471" s="47" t="b">
        <v>0</v>
      </c>
      <c r="S4471" s="42" t="str">
        <f t="shared" si="28"/>
        <v/>
      </c>
      <c r="T4471" s="42"/>
    </row>
    <row r="4472" ht="22.5" customHeight="1">
      <c r="B4472" s="42">
        <f t="shared" si="7"/>
        <v>4466</v>
      </c>
      <c r="C4472" s="31" t="s">
        <v>4498</v>
      </c>
      <c r="D4472" s="34" t="str">
        <f t="array" ref="D4472">IFNA(_xlfn.XLOOKUP(C4472,Table_Tarikan_Warkah[Nomor Sertipikat],Table_Tarikan_Warkah[Nomor Tiket]),"")</f>
        <v>K/38/040925/1</v>
      </c>
      <c r="E4472" s="36" t="str">
        <f t="array" ref="E4472">IFNA(_xlfn.XLOOKUP(D4472,Table_Tarikan_Warkah[Nomor Tiket],Table_Tarikan_Warkah[Tanggal diserahkan kepada Validator]),"")</f>
        <v/>
      </c>
      <c r="F4472" s="36" t="str">
        <f t="array" ref="F4472">IFNA(_xlfn.XLOOKUP(D4472,Table_Tarikan_Warkah[Nomor Tiket],Table_Tarikan_Warkah[Nama Petugas Warkah]),"")</f>
        <v/>
      </c>
      <c r="G4472" s="39" t="str">
        <f t="array" ref="G4472">IFNA(_xlfn.XLOOKUP(D4472,Table_Tarikan_Warkah[Nomor Tiket],Table_Tarikan_Warkah[Jenis Permohonan]),"")</f>
        <v>PENINGKATAN HAK</v>
      </c>
      <c r="H4472" s="41" t="s">
        <v>2315</v>
      </c>
      <c r="I4472" s="49" t="s">
        <v>23</v>
      </c>
      <c r="J4472" s="36">
        <f t="shared" si="20"/>
        <v>45988.35265</v>
      </c>
      <c r="K4472" s="69"/>
      <c r="L4472" s="49"/>
      <c r="M4472" s="36" t="str">
        <f t="shared" si="33"/>
        <v/>
      </c>
      <c r="N4472" s="30" t="str">
        <f t="shared" si="34"/>
        <v>BT atau SU Belum Valid</v>
      </c>
      <c r="O4472" s="39" t="str">
        <f t="shared" si="23"/>
        <v/>
      </c>
      <c r="P4472" s="47" t="b">
        <v>0</v>
      </c>
      <c r="Q4472" s="36" t="str">
        <f t="shared" si="35"/>
        <v/>
      </c>
      <c r="R4472" s="47" t="b">
        <v>0</v>
      </c>
      <c r="S4472" s="42" t="str">
        <f t="shared" si="28"/>
        <v/>
      </c>
      <c r="T4472" s="42"/>
    </row>
    <row r="4473" ht="22.5" customHeight="1">
      <c r="B4473" s="42">
        <f t="shared" si="7"/>
        <v>4467</v>
      </c>
      <c r="C4473" s="31" t="s">
        <v>4499</v>
      </c>
      <c r="D4473" s="34" t="str">
        <f t="array" ref="D4473">IFNA(_xlfn.XLOOKUP(C4473,Table_Tarikan_Warkah[Nomor Sertipikat],Table_Tarikan_Warkah[Nomor Tiket]),"")</f>
        <v>K/13/071025/1</v>
      </c>
      <c r="E4473" s="36" t="str">
        <f t="array" ref="E4473">IFNA(_xlfn.XLOOKUP(D4473,Table_Tarikan_Warkah[Nomor Tiket],Table_Tarikan_Warkah[Tanggal diserahkan kepada Validator]),"")</f>
        <v/>
      </c>
      <c r="F4473" s="36" t="str">
        <f t="array" ref="F4473">IFNA(_xlfn.XLOOKUP(D4473,Table_Tarikan_Warkah[Nomor Tiket],Table_Tarikan_Warkah[Nama Petugas Warkah]),"")</f>
        <v/>
      </c>
      <c r="G4473" s="39" t="str">
        <f t="array" ref="G4473">IFNA(_xlfn.XLOOKUP(D4473,Table_Tarikan_Warkah[Nomor Tiket],Table_Tarikan_Warkah[Jenis Permohonan]),"")</f>
        <v>BN WARIS</v>
      </c>
      <c r="H4473" s="41" t="s">
        <v>2315</v>
      </c>
      <c r="I4473" s="49" t="s">
        <v>23</v>
      </c>
      <c r="J4473" s="36">
        <f t="shared" si="20"/>
        <v>45988.35438</v>
      </c>
      <c r="K4473" s="69"/>
      <c r="L4473" s="49"/>
      <c r="M4473" s="36" t="str">
        <f t="shared" si="33"/>
        <v/>
      </c>
      <c r="N4473" s="30" t="str">
        <f t="shared" si="34"/>
        <v>BT atau SU Belum Valid</v>
      </c>
      <c r="O4473" s="39" t="str">
        <f t="shared" si="23"/>
        <v/>
      </c>
      <c r="P4473" s="47" t="b">
        <v>0</v>
      </c>
      <c r="Q4473" s="36" t="str">
        <f t="shared" si="35"/>
        <v/>
      </c>
      <c r="R4473" s="47" t="b">
        <v>0</v>
      </c>
      <c r="S4473" s="42" t="str">
        <f t="shared" si="28"/>
        <v/>
      </c>
      <c r="T4473" s="42"/>
    </row>
    <row r="4474" ht="22.5" customHeight="1">
      <c r="B4474" s="42">
        <f t="shared" si="7"/>
        <v>4468</v>
      </c>
      <c r="C4474" s="31" t="s">
        <v>4399</v>
      </c>
      <c r="D4474" s="34" t="str">
        <f t="array" ref="D4474">IFNA(_xlfn.XLOOKUP(C4474,Table_Tarikan_Warkah[Nomor Sertipikat],Table_Tarikan_Warkah[Nomor Tiket]),"")</f>
        <v>K/ 37/011025/5</v>
      </c>
      <c r="E4474" s="36" t="str">
        <f t="array" ref="E4474">IFNA(_xlfn.XLOOKUP(D4474,Table_Tarikan_Warkah[Nomor Tiket],Table_Tarikan_Warkah[Tanggal diserahkan kepada Validator]),"")</f>
        <v/>
      </c>
      <c r="F4474" s="36" t="str">
        <f t="array" ref="F4474">IFNA(_xlfn.XLOOKUP(D4474,Table_Tarikan_Warkah[Nomor Tiket],Table_Tarikan_Warkah[Nama Petugas Warkah]),"")</f>
        <v/>
      </c>
      <c r="G4474" s="39" t="str">
        <f t="array" ref="G4474">IFNA(_xlfn.XLOOKUP(D4474,Table_Tarikan_Warkah[Nomor Tiket],Table_Tarikan_Warkah[Jenis Permohonan]),"")</f>
        <v>BN JUAL BELI</v>
      </c>
      <c r="H4474" s="41" t="s">
        <v>2315</v>
      </c>
      <c r="I4474" s="49" t="s">
        <v>23</v>
      </c>
      <c r="J4474" s="36">
        <f t="shared" si="20"/>
        <v>45988.69559</v>
      </c>
      <c r="K4474" s="69"/>
      <c r="L4474" s="49"/>
      <c r="M4474" s="36" t="str">
        <f t="shared" si="33"/>
        <v/>
      </c>
      <c r="N4474" s="30" t="str">
        <f t="shared" si="34"/>
        <v>BT atau SU Belum Valid</v>
      </c>
      <c r="O4474" s="39" t="str">
        <f t="shared" si="23"/>
        <v/>
      </c>
      <c r="P4474" s="47" t="b">
        <v>0</v>
      </c>
      <c r="Q4474" s="36" t="str">
        <f t="shared" si="35"/>
        <v/>
      </c>
      <c r="R4474" s="47" t="b">
        <v>0</v>
      </c>
      <c r="S4474" s="42" t="str">
        <f t="shared" si="28"/>
        <v/>
      </c>
      <c r="T4474" s="42"/>
    </row>
    <row r="4475" ht="22.5" customHeight="1">
      <c r="B4475" s="42">
        <f t="shared" si="7"/>
        <v>4469</v>
      </c>
      <c r="C4475" s="31" t="s">
        <v>4500</v>
      </c>
      <c r="D4475" s="34" t="str">
        <f t="array" ref="D4475">IFNA(_xlfn.XLOOKUP(C4475,Table_Tarikan_Warkah[Nomor Sertipikat],Table_Tarikan_Warkah[Nomor Tiket]),"")</f>
        <v>K/14/071025/1</v>
      </c>
      <c r="E4475" s="36" t="str">
        <f t="array" ref="E4475">IFNA(_xlfn.XLOOKUP(D4475,Table_Tarikan_Warkah[Nomor Tiket],Table_Tarikan_Warkah[Tanggal diserahkan kepada Validator]),"")</f>
        <v/>
      </c>
      <c r="F4475" s="36" t="str">
        <f t="array" ref="F4475">IFNA(_xlfn.XLOOKUP(D4475,Table_Tarikan_Warkah[Nomor Tiket],Table_Tarikan_Warkah[Nama Petugas Warkah]),"")</f>
        <v/>
      </c>
      <c r="G4475" s="39" t="str">
        <f t="array" ref="G4475">IFNA(_xlfn.XLOOKUP(D4475,Table_Tarikan_Warkah[Nomor Tiket],Table_Tarikan_Warkah[Jenis Permohonan]),"")</f>
        <v>BN Jual Beli	</v>
      </c>
      <c r="H4475" s="41" t="s">
        <v>2315</v>
      </c>
      <c r="I4475" s="49" t="s">
        <v>23</v>
      </c>
      <c r="J4475" s="36">
        <f t="shared" si="20"/>
        <v>45988.69574</v>
      </c>
      <c r="K4475" s="69"/>
      <c r="L4475" s="49"/>
      <c r="M4475" s="36" t="str">
        <f t="shared" si="33"/>
        <v/>
      </c>
      <c r="N4475" s="30" t="str">
        <f t="shared" si="34"/>
        <v>BT atau SU Belum Valid</v>
      </c>
      <c r="O4475" s="39" t="str">
        <f t="shared" si="23"/>
        <v/>
      </c>
      <c r="P4475" s="47" t="b">
        <v>0</v>
      </c>
      <c r="Q4475" s="36" t="str">
        <f t="shared" si="35"/>
        <v/>
      </c>
      <c r="R4475" s="47" t="b">
        <v>0</v>
      </c>
      <c r="S4475" s="42" t="str">
        <f t="shared" si="28"/>
        <v/>
      </c>
      <c r="T4475" s="42"/>
    </row>
    <row r="4476" ht="22.5" customHeight="1">
      <c r="B4476" s="42">
        <f t="shared" si="7"/>
        <v>4470</v>
      </c>
      <c r="C4476" s="31" t="s">
        <v>4501</v>
      </c>
      <c r="D4476" s="34" t="str">
        <f t="array" ref="D4476">IFNA(_xlfn.XLOOKUP(C4476,Table_Tarikan_Warkah[Nomor Sertipikat],Table_Tarikan_Warkah[Nomor Tiket]),"")</f>
        <v>ABYMONAD</v>
      </c>
      <c r="E4476" s="36" t="str">
        <f t="array" ref="E4476">IFNA(_xlfn.XLOOKUP(D4476,Table_Tarikan_Warkah[Nomor Tiket],Table_Tarikan_Warkah[Tanggal diserahkan kepada Validator]),"")</f>
        <v/>
      </c>
      <c r="F4476" s="36" t="str">
        <f t="array" ref="F4476">IFNA(_xlfn.XLOOKUP(D4476,Table_Tarikan_Warkah[Nomor Tiket],Table_Tarikan_Warkah[Nama Petugas Warkah]),"")</f>
        <v/>
      </c>
      <c r="G4476" s="39" t="str">
        <f t="array" ref="G4476">IFNA(_xlfn.XLOOKUP(D4476,Table_Tarikan_Warkah[Nomor Tiket],Table_Tarikan_Warkah[Jenis Permohonan]),"")</f>
        <v>Roya</v>
      </c>
      <c r="H4476" s="41" t="s">
        <v>2315</v>
      </c>
      <c r="I4476" s="49" t="s">
        <v>23</v>
      </c>
      <c r="J4476" s="36">
        <f t="shared" si="20"/>
        <v>45988.71539</v>
      </c>
      <c r="K4476" s="69"/>
      <c r="L4476" s="49"/>
      <c r="M4476" s="36" t="str">
        <f t="shared" si="33"/>
        <v/>
      </c>
      <c r="N4476" s="30" t="str">
        <f t="shared" si="34"/>
        <v>BT atau SU Belum Valid</v>
      </c>
      <c r="O4476" s="39" t="str">
        <f t="shared" si="23"/>
        <v/>
      </c>
      <c r="P4476" s="47" t="b">
        <v>0</v>
      </c>
      <c r="Q4476" s="36" t="str">
        <f t="shared" si="35"/>
        <v/>
      </c>
      <c r="R4476" s="47" t="b">
        <v>0</v>
      </c>
      <c r="S4476" s="42" t="str">
        <f t="shared" si="28"/>
        <v/>
      </c>
      <c r="T4476" s="42"/>
    </row>
    <row r="4477" ht="22.5" customHeight="1">
      <c r="B4477" s="42">
        <f t="shared" si="7"/>
        <v>4471</v>
      </c>
      <c r="C4477" s="31" t="s">
        <v>4502</v>
      </c>
      <c r="D4477" s="34" t="str">
        <f t="array" ref="D4477">IFNA(_xlfn.XLOOKUP(C4477,Table_Tarikan_Warkah[Nomor Sertipikat],Table_Tarikan_Warkah[Nomor Tiket]),"")</f>
        <v>K/32/021025/1</v>
      </c>
      <c r="E4477" s="36" t="str">
        <f t="array" ref="E4477">IFNA(_xlfn.XLOOKUP(D4477,Table_Tarikan_Warkah[Nomor Tiket],Table_Tarikan_Warkah[Tanggal diserahkan kepada Validator]),"")</f>
        <v/>
      </c>
      <c r="F4477" s="36" t="str">
        <f t="array" ref="F4477">IFNA(_xlfn.XLOOKUP(D4477,Table_Tarikan_Warkah[Nomor Tiket],Table_Tarikan_Warkah[Nama Petugas Warkah]),"")</f>
        <v/>
      </c>
      <c r="G4477" s="39" t="str">
        <f t="array" ref="G4477">IFNA(_xlfn.XLOOKUP(D4477,Table_Tarikan_Warkah[Nomor Tiket],Table_Tarikan_Warkah[Jenis Permohonan]),"")</f>
        <v>BN JUAL BELI</v>
      </c>
      <c r="H4477" s="41" t="s">
        <v>2315</v>
      </c>
      <c r="I4477" s="49" t="s">
        <v>23</v>
      </c>
      <c r="J4477" s="36">
        <f t="shared" si="20"/>
        <v>45989.38012</v>
      </c>
      <c r="K4477" s="69"/>
      <c r="L4477" s="49"/>
      <c r="M4477" s="36" t="str">
        <f t="shared" si="33"/>
        <v/>
      </c>
      <c r="N4477" s="30" t="str">
        <f t="shared" si="34"/>
        <v>BT atau SU Belum Valid</v>
      </c>
      <c r="O4477" s="39" t="str">
        <f t="shared" si="23"/>
        <v/>
      </c>
      <c r="P4477" s="47" t="b">
        <v>0</v>
      </c>
      <c r="Q4477" s="36" t="str">
        <f t="shared" si="35"/>
        <v/>
      </c>
      <c r="R4477" s="47" t="b">
        <v>0</v>
      </c>
      <c r="S4477" s="42" t="str">
        <f t="shared" si="28"/>
        <v/>
      </c>
      <c r="T4477" s="42"/>
    </row>
    <row r="4478" ht="22.5" customHeight="1">
      <c r="B4478" s="42">
        <f t="shared" si="7"/>
        <v>4472</v>
      </c>
      <c r="C4478" s="31" t="s">
        <v>4503</v>
      </c>
      <c r="D4478" s="34" t="str">
        <f t="array" ref="D4478">IFNA(_xlfn.XLOOKUP(C4478,Table_Tarikan_Warkah[Nomor Sertipikat],Table_Tarikan_Warkah[Nomor Tiket]),"")</f>
        <v>ABFYCLRY</v>
      </c>
      <c r="E4478" s="36" t="str">
        <f t="array" ref="E4478">IFNA(_xlfn.XLOOKUP(D4478,Table_Tarikan_Warkah[Nomor Tiket],Table_Tarikan_Warkah[Tanggal diserahkan kepada Validator]),"")</f>
        <v/>
      </c>
      <c r="F4478" s="36" t="str">
        <f t="array" ref="F4478">IFNA(_xlfn.XLOOKUP(D4478,Table_Tarikan_Warkah[Nomor Tiket],Table_Tarikan_Warkah[Nama Petugas Warkah]),"")</f>
        <v/>
      </c>
      <c r="G4478" s="39" t="str">
        <f t="array" ref="G4478">IFNA(_xlfn.XLOOKUP(D4478,Table_Tarikan_Warkah[Nomor Tiket],Table_Tarikan_Warkah[Jenis Permohonan]),"")</f>
        <v>Jual beli</v>
      </c>
      <c r="H4478" s="41" t="s">
        <v>2315</v>
      </c>
      <c r="I4478" s="49" t="s">
        <v>23</v>
      </c>
      <c r="J4478" s="36">
        <f t="shared" si="20"/>
        <v>45989.38033</v>
      </c>
      <c r="K4478" s="69"/>
      <c r="L4478" s="49"/>
      <c r="M4478" s="36" t="str">
        <f t="shared" si="33"/>
        <v/>
      </c>
      <c r="N4478" s="30" t="str">
        <f t="shared" si="34"/>
        <v>BT atau SU Belum Valid</v>
      </c>
      <c r="O4478" s="39" t="str">
        <f t="shared" si="23"/>
        <v/>
      </c>
      <c r="P4478" s="47" t="b">
        <v>0</v>
      </c>
      <c r="Q4478" s="36" t="str">
        <f t="shared" si="35"/>
        <v/>
      </c>
      <c r="R4478" s="47" t="b">
        <v>0</v>
      </c>
      <c r="S4478" s="42" t="str">
        <f t="shared" si="28"/>
        <v/>
      </c>
      <c r="T4478" s="42"/>
    </row>
    <row r="4479" ht="22.5" customHeight="1">
      <c r="B4479" s="42">
        <f t="shared" si="7"/>
        <v>4473</v>
      </c>
      <c r="C4479" s="31" t="s">
        <v>4504</v>
      </c>
      <c r="D4479" s="34" t="str">
        <f t="array" ref="D4479">IFNA(_xlfn.XLOOKUP(C4479,Table_Tarikan_Warkah[Nomor Sertipikat],Table_Tarikan_Warkah[Nomor Tiket]),"")</f>
        <v>K/22/150925/5</v>
      </c>
      <c r="E4479" s="36">
        <f t="array" ref="E4479">IFNA(_xlfn.XLOOKUP(D4479,Table_Tarikan_Warkah[Nomor Tiket],Table_Tarikan_Warkah[Tanggal diserahkan kepada Validator]),"")</f>
        <v>45966.64642</v>
      </c>
      <c r="F4479" s="36" t="str">
        <f t="array" ref="F4479">IFNA(_xlfn.XLOOKUP(D4479,Table_Tarikan_Warkah[Nomor Tiket],Table_Tarikan_Warkah[Nama Petugas Warkah]),"")</f>
        <v>Berry</v>
      </c>
      <c r="G4479" s="39" t="str">
        <f t="array" ref="G4479">IFNA(_xlfn.XLOOKUP(D4479,Table_Tarikan_Warkah[Nomor Tiket],Table_Tarikan_Warkah[Jenis Permohonan]),"")</f>
        <v>BN JUAL BELI</v>
      </c>
      <c r="H4479" s="41" t="s">
        <v>2315</v>
      </c>
      <c r="I4479" s="49" t="s">
        <v>23</v>
      </c>
      <c r="J4479" s="36">
        <f t="shared" si="20"/>
        <v>45989.38053</v>
      </c>
      <c r="K4479" s="69"/>
      <c r="L4479" s="49"/>
      <c r="M4479" s="36" t="str">
        <f t="shared" si="33"/>
        <v/>
      </c>
      <c r="N4479" s="30" t="str">
        <f t="shared" si="34"/>
        <v>BT atau SU Belum Valid</v>
      </c>
      <c r="O4479" s="39" t="str">
        <f t="shared" si="23"/>
        <v/>
      </c>
      <c r="P4479" s="47" t="b">
        <v>0</v>
      </c>
      <c r="Q4479" s="36" t="str">
        <f t="shared" si="35"/>
        <v/>
      </c>
      <c r="R4479" s="47" t="b">
        <v>0</v>
      </c>
      <c r="S4479" s="42" t="str">
        <f t="shared" si="28"/>
        <v/>
      </c>
      <c r="T4479" s="42"/>
    </row>
    <row r="4480" ht="22.5" customHeight="1">
      <c r="B4480" s="42">
        <f t="shared" si="7"/>
        <v>4474</v>
      </c>
      <c r="C4480" s="31" t="s">
        <v>4505</v>
      </c>
      <c r="D4480" s="34" t="str">
        <f t="array" ref="D4480">IFNA(_xlfn.XLOOKUP(C4480,Table_Tarikan_Warkah[Nomor Sertipikat],Table_Tarikan_Warkah[Nomor Tiket]),"")</f>
        <v>ABPEKWOH/1</v>
      </c>
      <c r="E4480" s="36" t="str">
        <f t="array" ref="E4480">IFNA(_xlfn.XLOOKUP(D4480,Table_Tarikan_Warkah[Nomor Tiket],Table_Tarikan_Warkah[Tanggal diserahkan kepada Validator]),"")</f>
        <v/>
      </c>
      <c r="F4480" s="36" t="str">
        <f t="array" ref="F4480">IFNA(_xlfn.XLOOKUP(D4480,Table_Tarikan_Warkah[Nomor Tiket],Table_Tarikan_Warkah[Nama Petugas Warkah]),"")</f>
        <v/>
      </c>
      <c r="G4480" s="39" t="str">
        <f t="array" ref="G4480">IFNA(_xlfn.XLOOKUP(D4480,Table_Tarikan_Warkah[Nomor Tiket],Table_Tarikan_Warkah[Jenis Permohonan]),"")</f>
        <v>Bn jual beli</v>
      </c>
      <c r="H4480" s="41" t="s">
        <v>2315</v>
      </c>
      <c r="I4480" s="49" t="s">
        <v>23</v>
      </c>
      <c r="J4480" s="36">
        <f t="shared" si="20"/>
        <v>45989.38133</v>
      </c>
      <c r="K4480" s="69"/>
      <c r="L4480" s="49"/>
      <c r="M4480" s="36" t="str">
        <f t="shared" si="33"/>
        <v/>
      </c>
      <c r="N4480" s="30" t="str">
        <f t="shared" si="34"/>
        <v>BT atau SU Belum Valid</v>
      </c>
      <c r="O4480" s="39" t="str">
        <f t="shared" si="23"/>
        <v/>
      </c>
      <c r="P4480" s="47" t="b">
        <v>0</v>
      </c>
      <c r="Q4480" s="36" t="str">
        <f t="shared" si="35"/>
        <v/>
      </c>
      <c r="R4480" s="47" t="b">
        <v>0</v>
      </c>
      <c r="S4480" s="42" t="str">
        <f t="shared" si="28"/>
        <v/>
      </c>
      <c r="T4480" s="42"/>
    </row>
    <row r="4481" ht="22.5" customHeight="1">
      <c r="B4481" s="42">
        <f t="shared" si="7"/>
        <v>4475</v>
      </c>
      <c r="C4481" s="31" t="s">
        <v>4506</v>
      </c>
      <c r="D4481" s="34" t="str">
        <f t="array" ref="D4481">IFNA(_xlfn.XLOOKUP(C4481,Table_Tarikan_Warkah[Nomor Sertipikat],Table_Tarikan_Warkah[Nomor Tiket]),"")</f>
        <v>ABSZPAEZ/020</v>
      </c>
      <c r="E4481" s="36" t="str">
        <f t="array" ref="E4481">IFNA(_xlfn.XLOOKUP(D4481,Table_Tarikan_Warkah[Nomor Tiket],Table_Tarikan_Warkah[Tanggal diserahkan kepada Validator]),"")</f>
        <v/>
      </c>
      <c r="F4481" s="36" t="str">
        <f t="array" ref="F4481">IFNA(_xlfn.XLOOKUP(D4481,Table_Tarikan_Warkah[Nomor Tiket],Table_Tarikan_Warkah[Nama Petugas Warkah]),"")</f>
        <v/>
      </c>
      <c r="G4481" s="39" t="str">
        <f t="array" ref="G4481">IFNA(_xlfn.XLOOKUP(D4481,Table_Tarikan_Warkah[Nomor Tiket],Table_Tarikan_Warkah[Jenis Permohonan]),"")</f>
        <v>bn jual beli</v>
      </c>
      <c r="H4481" s="41" t="s">
        <v>2315</v>
      </c>
      <c r="I4481" s="49" t="s">
        <v>23</v>
      </c>
      <c r="J4481" s="36">
        <f t="shared" si="20"/>
        <v>45989.38152</v>
      </c>
      <c r="K4481" s="69"/>
      <c r="L4481" s="49"/>
      <c r="M4481" s="36" t="str">
        <f t="shared" si="33"/>
        <v/>
      </c>
      <c r="N4481" s="30" t="str">
        <f t="shared" si="34"/>
        <v>BT atau SU Belum Valid</v>
      </c>
      <c r="O4481" s="39" t="str">
        <f t="shared" si="23"/>
        <v/>
      </c>
      <c r="P4481" s="47" t="b">
        <v>0</v>
      </c>
      <c r="Q4481" s="36" t="str">
        <f t="shared" si="35"/>
        <v/>
      </c>
      <c r="R4481" s="47" t="b">
        <v>0</v>
      </c>
      <c r="S4481" s="42" t="str">
        <f t="shared" si="28"/>
        <v/>
      </c>
      <c r="T4481" s="42"/>
    </row>
    <row r="4482" ht="22.5" customHeight="1">
      <c r="B4482" s="42">
        <f t="shared" si="7"/>
        <v>4476</v>
      </c>
      <c r="C4482" s="31" t="s">
        <v>4507</v>
      </c>
      <c r="D4482" s="34" t="str">
        <f t="array" ref="D4482">IFNA(_xlfn.XLOOKUP(C4482,Table_Tarikan_Warkah[Nomor Sertipikat],Table_Tarikan_Warkah[Nomor Tiket]),"")</f>
        <v>AB023/ABGTDDHC</v>
      </c>
      <c r="E4482" s="36" t="str">
        <f t="array" ref="E4482">IFNA(_xlfn.XLOOKUP(D4482,Table_Tarikan_Warkah[Nomor Tiket],Table_Tarikan_Warkah[Tanggal diserahkan kepada Validator]),"")</f>
        <v/>
      </c>
      <c r="F4482" s="36" t="str">
        <f t="array" ref="F4482">IFNA(_xlfn.XLOOKUP(D4482,Table_Tarikan_Warkah[Nomor Tiket],Table_Tarikan_Warkah[Nama Petugas Warkah]),"")</f>
        <v/>
      </c>
      <c r="G4482" s="39" t="str">
        <f t="array" ref="G4482">IFNA(_xlfn.XLOOKUP(D4482,Table_Tarikan_Warkah[Nomor Tiket],Table_Tarikan_Warkah[Jenis Permohonan]),"")</f>
        <v>BN Jual Beli</v>
      </c>
      <c r="H4482" s="41" t="s">
        <v>2315</v>
      </c>
      <c r="I4482" s="49" t="s">
        <v>23</v>
      </c>
      <c r="J4482" s="36">
        <f t="shared" si="20"/>
        <v>45989.38183</v>
      </c>
      <c r="K4482" s="69"/>
      <c r="L4482" s="49"/>
      <c r="M4482" s="36" t="str">
        <f t="shared" si="33"/>
        <v/>
      </c>
      <c r="N4482" s="30" t="str">
        <f t="shared" si="34"/>
        <v>BT atau SU Belum Valid</v>
      </c>
      <c r="O4482" s="39" t="str">
        <f t="shared" si="23"/>
        <v/>
      </c>
      <c r="P4482" s="47" t="b">
        <v>0</v>
      </c>
      <c r="Q4482" s="36" t="str">
        <f t="shared" si="35"/>
        <v/>
      </c>
      <c r="R4482" s="47" t="b">
        <v>0</v>
      </c>
      <c r="S4482" s="42" t="str">
        <f t="shared" si="28"/>
        <v/>
      </c>
      <c r="T4482" s="42"/>
    </row>
    <row r="4483" ht="22.5" customHeight="1">
      <c r="B4483" s="42">
        <f t="shared" si="7"/>
        <v>4477</v>
      </c>
      <c r="C4483" s="31" t="s">
        <v>4508</v>
      </c>
      <c r="D4483" s="34" t="str">
        <f t="array" ref="D4483">IFNA(_xlfn.XLOOKUP(C4483,Table_Tarikan_Warkah[Nomor Sertipikat],Table_Tarikan_Warkah[Nomor Tiket]),"")</f>
        <v>ABHDEQIJ</v>
      </c>
      <c r="E4483" s="36" t="str">
        <f t="array" ref="E4483">IFNA(_xlfn.XLOOKUP(D4483,Table_Tarikan_Warkah[Nomor Tiket],Table_Tarikan_Warkah[Tanggal diserahkan kepada Validator]),"")</f>
        <v/>
      </c>
      <c r="F4483" s="36" t="str">
        <f t="array" ref="F4483">IFNA(_xlfn.XLOOKUP(D4483,Table_Tarikan_Warkah[Nomor Tiket],Table_Tarikan_Warkah[Nama Petugas Warkah]),"")</f>
        <v/>
      </c>
      <c r="G4483" s="39" t="str">
        <f t="array" ref="G4483">IFNA(_xlfn.XLOOKUP(D4483,Table_Tarikan_Warkah[Nomor Tiket],Table_Tarikan_Warkah[Jenis Permohonan]),"")</f>
        <v>BN JUAL BELI</v>
      </c>
      <c r="H4483" s="41" t="s">
        <v>2315</v>
      </c>
      <c r="I4483" s="49" t="s">
        <v>23</v>
      </c>
      <c r="J4483" s="36">
        <f t="shared" si="20"/>
        <v>45989.38204</v>
      </c>
      <c r="K4483" s="69"/>
      <c r="L4483" s="49"/>
      <c r="M4483" s="36" t="str">
        <f t="shared" si="33"/>
        <v/>
      </c>
      <c r="N4483" s="30" t="str">
        <f t="shared" si="34"/>
        <v>BT atau SU Belum Valid</v>
      </c>
      <c r="O4483" s="39" t="str">
        <f t="shared" si="23"/>
        <v/>
      </c>
      <c r="P4483" s="47" t="b">
        <v>0</v>
      </c>
      <c r="Q4483" s="36" t="str">
        <f t="shared" si="35"/>
        <v/>
      </c>
      <c r="R4483" s="47" t="b">
        <v>0</v>
      </c>
      <c r="S4483" s="42" t="str">
        <f t="shared" si="28"/>
        <v/>
      </c>
      <c r="T4483" s="42"/>
    </row>
    <row r="4484" ht="22.5" customHeight="1">
      <c r="B4484" s="42">
        <f t="shared" si="7"/>
        <v>4478</v>
      </c>
      <c r="C4484" s="31" t="s">
        <v>4509</v>
      </c>
      <c r="D4484" s="34" t="str">
        <f t="array" ref="D4484">IFNA(_xlfn.XLOOKUP(C4484,Table_Tarikan_Warkah[Nomor Sertipikat],Table_Tarikan_Warkah[Nomor Tiket]),"")</f>
        <v>ABPXKTEH</v>
      </c>
      <c r="E4484" s="36" t="str">
        <f t="array" ref="E4484">IFNA(_xlfn.XLOOKUP(D4484,Table_Tarikan_Warkah[Nomor Tiket],Table_Tarikan_Warkah[Tanggal diserahkan kepada Validator]),"")</f>
        <v/>
      </c>
      <c r="F4484" s="36" t="str">
        <f t="array" ref="F4484">IFNA(_xlfn.XLOOKUP(D4484,Table_Tarikan_Warkah[Nomor Tiket],Table_Tarikan_Warkah[Nama Petugas Warkah]),"")</f>
        <v/>
      </c>
      <c r="G4484" s="39" t="str">
        <f t="array" ref="G4484">IFNA(_xlfn.XLOOKUP(D4484,Table_Tarikan_Warkah[Nomor Tiket],Table_Tarikan_Warkah[Jenis Permohonan]),"")</f>
        <v>BN JUAL BELI</v>
      </c>
      <c r="H4484" s="41" t="s">
        <v>2315</v>
      </c>
      <c r="I4484" s="49" t="s">
        <v>23</v>
      </c>
      <c r="J4484" s="36">
        <f t="shared" si="20"/>
        <v>45989.38228</v>
      </c>
      <c r="K4484" s="69"/>
      <c r="L4484" s="49"/>
      <c r="M4484" s="36" t="str">
        <f t="shared" si="33"/>
        <v/>
      </c>
      <c r="N4484" s="30" t="str">
        <f t="shared" si="34"/>
        <v>BT atau SU Belum Valid</v>
      </c>
      <c r="O4484" s="39" t="str">
        <f t="shared" si="23"/>
        <v/>
      </c>
      <c r="P4484" s="47" t="b">
        <v>0</v>
      </c>
      <c r="Q4484" s="36" t="str">
        <f t="shared" si="35"/>
        <v/>
      </c>
      <c r="R4484" s="47" t="b">
        <v>0</v>
      </c>
      <c r="S4484" s="42" t="str">
        <f t="shared" si="28"/>
        <v/>
      </c>
      <c r="T4484" s="42"/>
    </row>
    <row r="4485" ht="22.5" customHeight="1">
      <c r="B4485" s="42">
        <f t="shared" si="7"/>
        <v>4479</v>
      </c>
      <c r="C4485" s="31" t="s">
        <v>4510</v>
      </c>
      <c r="D4485" s="34" t="str">
        <f t="array" ref="D4485">IFNA(_xlfn.XLOOKUP(C4485,Table_Tarikan_Warkah[Nomor Sertipikat],Table_Tarikan_Warkah[Nomor Tiket]),"")</f>
        <v>ABJKEEKV/1</v>
      </c>
      <c r="E4485" s="36" t="str">
        <f t="array" ref="E4485">IFNA(_xlfn.XLOOKUP(D4485,Table_Tarikan_Warkah[Nomor Tiket],Table_Tarikan_Warkah[Tanggal diserahkan kepada Validator]),"")</f>
        <v/>
      </c>
      <c r="F4485" s="36" t="str">
        <f t="array" ref="F4485">IFNA(_xlfn.XLOOKUP(D4485,Table_Tarikan_Warkah[Nomor Tiket],Table_Tarikan_Warkah[Nama Petugas Warkah]),"")</f>
        <v/>
      </c>
      <c r="G4485" s="39" t="str">
        <f t="array" ref="G4485">IFNA(_xlfn.XLOOKUP(D4485,Table_Tarikan_Warkah[Nomor Tiket],Table_Tarikan_Warkah[Jenis Permohonan]),"")</f>
        <v>BN Jual Beli</v>
      </c>
      <c r="H4485" s="41" t="s">
        <v>2315</v>
      </c>
      <c r="I4485" s="49" t="s">
        <v>23</v>
      </c>
      <c r="J4485" s="36">
        <f t="shared" si="20"/>
        <v>45989.38293</v>
      </c>
      <c r="K4485" s="69"/>
      <c r="L4485" s="49"/>
      <c r="M4485" s="36" t="str">
        <f t="shared" si="33"/>
        <v/>
      </c>
      <c r="N4485" s="30" t="str">
        <f t="shared" si="34"/>
        <v>BT atau SU Belum Valid</v>
      </c>
      <c r="O4485" s="39" t="str">
        <f t="shared" si="23"/>
        <v/>
      </c>
      <c r="P4485" s="47" t="b">
        <v>0</v>
      </c>
      <c r="Q4485" s="36" t="str">
        <f t="shared" si="35"/>
        <v/>
      </c>
      <c r="R4485" s="47" t="b">
        <v>0</v>
      </c>
      <c r="S4485" s="42" t="str">
        <f t="shared" si="28"/>
        <v/>
      </c>
      <c r="T4485" s="42"/>
    </row>
    <row r="4486" ht="22.5" customHeight="1">
      <c r="B4486" s="42">
        <f t="shared" si="7"/>
        <v>4480</v>
      </c>
      <c r="C4486" s="31" t="s">
        <v>4511</v>
      </c>
      <c r="D4486" s="34" t="str">
        <f t="array" ref="D4486">IFNA(_xlfn.XLOOKUP(C4486,Table_Tarikan_Warkah[Nomor Sertipikat],Table_Tarikan_Warkah[Nomor Tiket]),"")</f>
        <v>K/45/081025/1</v>
      </c>
      <c r="E4486" s="36" t="str">
        <f t="array" ref="E4486">IFNA(_xlfn.XLOOKUP(D4486,Table_Tarikan_Warkah[Nomor Tiket],Table_Tarikan_Warkah[Tanggal diserahkan kepada Validator]),"")</f>
        <v/>
      </c>
      <c r="F4486" s="36" t="str">
        <f t="array" ref="F4486">IFNA(_xlfn.XLOOKUP(D4486,Table_Tarikan_Warkah[Nomor Tiket],Table_Tarikan_Warkah[Nama Petugas Warkah]),"")</f>
        <v/>
      </c>
      <c r="G4486" s="39" t="str">
        <f t="array" ref="G4486">IFNA(_xlfn.XLOOKUP(D4486,Table_Tarikan_Warkah[Nomor Tiket],Table_Tarikan_Warkah[Jenis Permohonan]),"")</f>
        <v>BN HIBAH</v>
      </c>
      <c r="H4486" s="41" t="s">
        <v>2315</v>
      </c>
      <c r="I4486" s="49" t="s">
        <v>23</v>
      </c>
      <c r="J4486" s="36">
        <f t="shared" si="20"/>
        <v>45989.38327</v>
      </c>
      <c r="K4486" s="69"/>
      <c r="L4486" s="49"/>
      <c r="M4486" s="36" t="str">
        <f t="shared" si="33"/>
        <v/>
      </c>
      <c r="N4486" s="30" t="str">
        <f t="shared" si="34"/>
        <v>BT atau SU Belum Valid</v>
      </c>
      <c r="O4486" s="39" t="str">
        <f t="shared" si="23"/>
        <v/>
      </c>
      <c r="P4486" s="47" t="b">
        <v>0</v>
      </c>
      <c r="Q4486" s="36" t="str">
        <f t="shared" si="35"/>
        <v/>
      </c>
      <c r="R4486" s="47" t="b">
        <v>0</v>
      </c>
      <c r="S4486" s="42" t="str">
        <f t="shared" si="28"/>
        <v/>
      </c>
      <c r="T4486" s="42"/>
    </row>
    <row r="4487" ht="22.5" customHeight="1">
      <c r="B4487" s="42">
        <f t="shared" si="7"/>
        <v>4481</v>
      </c>
      <c r="C4487" s="31" t="s">
        <v>4512</v>
      </c>
      <c r="D4487" s="34" t="str">
        <f t="array" ref="D4487">IFNA(_xlfn.XLOOKUP(C4487,Table_Tarikan_Warkah[Nomor Sertipikat],Table_Tarikan_Warkah[Nomor Tiket]),"")</f>
        <v>ABAYGRDH</v>
      </c>
      <c r="E4487" s="36" t="str">
        <f t="array" ref="E4487">IFNA(_xlfn.XLOOKUP(D4487,Table_Tarikan_Warkah[Nomor Tiket],Table_Tarikan_Warkah[Tanggal diserahkan kepada Validator]),"")</f>
        <v/>
      </c>
      <c r="F4487" s="36" t="str">
        <f t="array" ref="F4487">IFNA(_xlfn.XLOOKUP(D4487,Table_Tarikan_Warkah[Nomor Tiket],Table_Tarikan_Warkah[Nama Petugas Warkah]),"")</f>
        <v/>
      </c>
      <c r="G4487" s="39" t="str">
        <f t="array" ref="G4487">IFNA(_xlfn.XLOOKUP(D4487,Table_Tarikan_Warkah[Nomor Tiket],Table_Tarikan_Warkah[Jenis Permohonan]),"")</f>
        <v>BN JUAL BELI</v>
      </c>
      <c r="H4487" s="41" t="s">
        <v>2315</v>
      </c>
      <c r="I4487" s="49" t="s">
        <v>23</v>
      </c>
      <c r="J4487" s="36">
        <f t="shared" si="20"/>
        <v>45989.38343</v>
      </c>
      <c r="K4487" s="69"/>
      <c r="L4487" s="49"/>
      <c r="M4487" s="36" t="str">
        <f t="shared" si="33"/>
        <v/>
      </c>
      <c r="N4487" s="30" t="str">
        <f t="shared" si="34"/>
        <v>BT atau SU Belum Valid</v>
      </c>
      <c r="O4487" s="39" t="str">
        <f t="shared" si="23"/>
        <v/>
      </c>
      <c r="P4487" s="47" t="b">
        <v>0</v>
      </c>
      <c r="Q4487" s="36" t="str">
        <f t="shared" si="35"/>
        <v/>
      </c>
      <c r="R4487" s="47" t="b">
        <v>0</v>
      </c>
      <c r="S4487" s="42" t="str">
        <f t="shared" si="28"/>
        <v/>
      </c>
      <c r="T4487" s="42"/>
    </row>
    <row r="4488" ht="22.5" customHeight="1">
      <c r="B4488" s="42">
        <f t="shared" si="7"/>
        <v>4482</v>
      </c>
      <c r="C4488" s="31" t="s">
        <v>4513</v>
      </c>
      <c r="D4488" s="34" t="str">
        <f t="array" ref="D4488">IFNA(_xlfn.XLOOKUP(C4488,Table_Tarikan_Warkah[Nomor Sertipikat],Table_Tarikan_Warkah[Nomor Tiket]),"")</f>
        <v>ABQWRYEB</v>
      </c>
      <c r="E4488" s="36" t="str">
        <f t="array" ref="E4488">IFNA(_xlfn.XLOOKUP(D4488,Table_Tarikan_Warkah[Nomor Tiket],Table_Tarikan_Warkah[Tanggal diserahkan kepada Validator]),"")</f>
        <v/>
      </c>
      <c r="F4488" s="36" t="str">
        <f t="array" ref="F4488">IFNA(_xlfn.XLOOKUP(D4488,Table_Tarikan_Warkah[Nomor Tiket],Table_Tarikan_Warkah[Nama Petugas Warkah]),"")</f>
        <v/>
      </c>
      <c r="G4488" s="39" t="str">
        <f t="array" ref="G4488">IFNA(_xlfn.XLOOKUP(D4488,Table_Tarikan_Warkah[Nomor Tiket],Table_Tarikan_Warkah[Jenis Permohonan]),"")</f>
        <v>BN JUAL BELI</v>
      </c>
      <c r="H4488" s="41" t="s">
        <v>2315</v>
      </c>
      <c r="I4488" s="49" t="s">
        <v>23</v>
      </c>
      <c r="J4488" s="36">
        <f t="shared" si="20"/>
        <v>45989.38357</v>
      </c>
      <c r="K4488" s="69"/>
      <c r="L4488" s="49"/>
      <c r="M4488" s="36" t="str">
        <f t="shared" si="33"/>
        <v/>
      </c>
      <c r="N4488" s="30" t="str">
        <f t="shared" si="34"/>
        <v>BT atau SU Belum Valid</v>
      </c>
      <c r="O4488" s="39" t="str">
        <f t="shared" si="23"/>
        <v/>
      </c>
      <c r="P4488" s="47" t="b">
        <v>0</v>
      </c>
      <c r="Q4488" s="36" t="str">
        <f t="shared" si="35"/>
        <v/>
      </c>
      <c r="R4488" s="47" t="b">
        <v>0</v>
      </c>
      <c r="S4488" s="42" t="str">
        <f t="shared" si="28"/>
        <v/>
      </c>
      <c r="T4488" s="42"/>
    </row>
    <row r="4489" ht="22.5" customHeight="1">
      <c r="B4489" s="42">
        <f t="shared" si="7"/>
        <v>4483</v>
      </c>
      <c r="C4489" s="31" t="s">
        <v>4514</v>
      </c>
      <c r="D4489" s="34" t="str">
        <f t="array" ref="D4489">IFNA(_xlfn.XLOOKUP(C4489,Table_Tarikan_Warkah[Nomor Sertipikat],Table_Tarikan_Warkah[Nomor Tiket]),"")</f>
        <v>ABITAGAK/1</v>
      </c>
      <c r="E4489" s="36" t="str">
        <f t="array" ref="E4489">IFNA(_xlfn.XLOOKUP(D4489,Table_Tarikan_Warkah[Nomor Tiket],Table_Tarikan_Warkah[Tanggal diserahkan kepada Validator]),"")</f>
        <v/>
      </c>
      <c r="F4489" s="36" t="str">
        <f t="array" ref="F4489">IFNA(_xlfn.XLOOKUP(D4489,Table_Tarikan_Warkah[Nomor Tiket],Table_Tarikan_Warkah[Nama Petugas Warkah]),"")</f>
        <v/>
      </c>
      <c r="G4489" s="39" t="str">
        <f t="array" ref="G4489">IFNA(_xlfn.XLOOKUP(D4489,Table_Tarikan_Warkah[Nomor Tiket],Table_Tarikan_Warkah[Jenis Permohonan]),"")</f>
        <v>roya</v>
      </c>
      <c r="H4489" s="41" t="s">
        <v>2315</v>
      </c>
      <c r="I4489" s="49" t="s">
        <v>23</v>
      </c>
      <c r="J4489" s="36">
        <f t="shared" si="20"/>
        <v>45989.38381</v>
      </c>
      <c r="K4489" s="69"/>
      <c r="L4489" s="49"/>
      <c r="M4489" s="36" t="str">
        <f t="shared" si="33"/>
        <v/>
      </c>
      <c r="N4489" s="30" t="str">
        <f t="shared" si="34"/>
        <v>BT atau SU Belum Valid</v>
      </c>
      <c r="O4489" s="39" t="str">
        <f t="shared" si="23"/>
        <v/>
      </c>
      <c r="P4489" s="47" t="b">
        <v>0</v>
      </c>
      <c r="Q4489" s="36" t="str">
        <f t="shared" si="35"/>
        <v/>
      </c>
      <c r="R4489" s="47" t="b">
        <v>0</v>
      </c>
      <c r="S4489" s="42" t="str">
        <f t="shared" si="28"/>
        <v/>
      </c>
      <c r="T4489" s="42"/>
    </row>
    <row r="4490" ht="22.5" customHeight="1">
      <c r="B4490" s="42">
        <f t="shared" si="7"/>
        <v>4484</v>
      </c>
      <c r="C4490" s="31" t="s">
        <v>4183</v>
      </c>
      <c r="D4490" s="34" t="str">
        <f t="array" ref="D4490">IFNA(_xlfn.XLOOKUP(C4490,Table_Tarikan_Warkah[Nomor Sertipikat],Table_Tarikan_Warkah[Nomor Tiket]),"")</f>
        <v>K/13/180925/1</v>
      </c>
      <c r="E4490" s="36">
        <f t="array" ref="E4490">IFNA(_xlfn.XLOOKUP(D4490,Table_Tarikan_Warkah[Nomor Tiket],Table_Tarikan_Warkah[Tanggal diserahkan kepada Validator]),"")</f>
        <v>45965.49478</v>
      </c>
      <c r="F4490" s="36" t="str">
        <f t="array" ref="F4490">IFNA(_xlfn.XLOOKUP(D4490,Table_Tarikan_Warkah[Nomor Tiket],Table_Tarikan_Warkah[Nama Petugas Warkah]),"")</f>
        <v>Berry</v>
      </c>
      <c r="G4490" s="39" t="str">
        <f t="array" ref="G4490">IFNA(_xlfn.XLOOKUP(D4490,Table_Tarikan_Warkah[Nomor Tiket],Table_Tarikan_Warkah[Jenis Permohonan]),"")</f>
        <v>BN WARIS</v>
      </c>
      <c r="H4490" s="41" t="s">
        <v>2315</v>
      </c>
      <c r="I4490" s="49" t="s">
        <v>23</v>
      </c>
      <c r="J4490" s="36">
        <f t="shared" si="20"/>
        <v>45989.38396</v>
      </c>
      <c r="K4490" s="69"/>
      <c r="L4490" s="49"/>
      <c r="M4490" s="36" t="str">
        <f t="shared" si="33"/>
        <v/>
      </c>
      <c r="N4490" s="30" t="str">
        <f t="shared" si="34"/>
        <v>BT atau SU Belum Valid</v>
      </c>
      <c r="O4490" s="39" t="str">
        <f t="shared" si="23"/>
        <v/>
      </c>
      <c r="P4490" s="47" t="b">
        <v>0</v>
      </c>
      <c r="Q4490" s="36" t="str">
        <f t="shared" si="35"/>
        <v/>
      </c>
      <c r="R4490" s="47" t="b">
        <v>0</v>
      </c>
      <c r="S4490" s="42" t="str">
        <f t="shared" si="28"/>
        <v/>
      </c>
      <c r="T4490" s="42"/>
    </row>
    <row r="4491" ht="22.5" customHeight="1">
      <c r="B4491" s="42">
        <f t="shared" si="7"/>
        <v>4485</v>
      </c>
      <c r="C4491" s="31" t="s">
        <v>4515</v>
      </c>
      <c r="D4491" s="34" t="str">
        <f t="array" ref="D4491">IFNA(_xlfn.XLOOKUP(C4491,Table_Tarikan_Warkah[Nomor Sertipikat],Table_Tarikan_Warkah[Nomor Tiket]),"")</f>
        <v>K/56/100225/3</v>
      </c>
      <c r="E4491" s="36" t="str">
        <f t="array" ref="E4491">IFNA(_xlfn.XLOOKUP(D4491,Table_Tarikan_Warkah[Nomor Tiket],Table_Tarikan_Warkah[Tanggal diserahkan kepada Validator]),"")</f>
        <v/>
      </c>
      <c r="F4491" s="36" t="str">
        <f t="array" ref="F4491">IFNA(_xlfn.XLOOKUP(D4491,Table_Tarikan_Warkah[Nomor Tiket],Table_Tarikan_Warkah[Nama Petugas Warkah]),"")</f>
        <v/>
      </c>
      <c r="G4491" s="39" t="str">
        <f t="array" ref="G4491">IFNA(_xlfn.XLOOKUP(D4491,Table_Tarikan_Warkah[Nomor Tiket],Table_Tarikan_Warkah[Jenis Permohonan]),"")</f>
        <v>HAPUS BPHTB</v>
      </c>
      <c r="H4491" s="41" t="s">
        <v>2315</v>
      </c>
      <c r="I4491" s="49" t="s">
        <v>23</v>
      </c>
      <c r="J4491" s="36">
        <f t="shared" si="20"/>
        <v>45989.38415</v>
      </c>
      <c r="K4491" s="69"/>
      <c r="L4491" s="49"/>
      <c r="M4491" s="36" t="str">
        <f t="shared" si="33"/>
        <v/>
      </c>
      <c r="N4491" s="30" t="str">
        <f t="shared" si="34"/>
        <v>BT atau SU Belum Valid</v>
      </c>
      <c r="O4491" s="39" t="str">
        <f t="shared" si="23"/>
        <v/>
      </c>
      <c r="P4491" s="47" t="b">
        <v>0</v>
      </c>
      <c r="Q4491" s="36" t="str">
        <f t="shared" si="35"/>
        <v/>
      </c>
      <c r="R4491" s="47" t="b">
        <v>0</v>
      </c>
      <c r="S4491" s="42" t="str">
        <f t="shared" si="28"/>
        <v/>
      </c>
      <c r="T4491" s="42"/>
    </row>
    <row r="4492" ht="22.5" customHeight="1">
      <c r="B4492" s="42">
        <f t="shared" si="7"/>
        <v>4486</v>
      </c>
      <c r="C4492" s="31" t="s">
        <v>4516</v>
      </c>
      <c r="D4492" s="34" t="str">
        <f t="array" ref="D4492">IFNA(_xlfn.XLOOKUP(C4492,Table_Tarikan_Warkah[Nomor Sertipikat],Table_Tarikan_Warkah[Nomor Tiket]),"")</f>
        <v>K/22/041126/1</v>
      </c>
      <c r="E4492" s="36" t="str">
        <f t="array" ref="E4492">IFNA(_xlfn.XLOOKUP(D4492,Table_Tarikan_Warkah[Nomor Tiket],Table_Tarikan_Warkah[Tanggal diserahkan kepada Validator]),"")</f>
        <v/>
      </c>
      <c r="F4492" s="36" t="str">
        <f t="array" ref="F4492">IFNA(_xlfn.XLOOKUP(D4492,Table_Tarikan_Warkah[Nomor Tiket],Table_Tarikan_Warkah[Nama Petugas Warkah]),"")</f>
        <v/>
      </c>
      <c r="G4492" s="39" t="str">
        <f t="array" ref="G4492">IFNA(_xlfn.XLOOKUP(D4492,Table_Tarikan_Warkah[Nomor Tiket],Table_Tarikan_Warkah[Jenis Permohonan]),"")</f>
        <v>ROYA</v>
      </c>
      <c r="H4492" s="41" t="s">
        <v>2315</v>
      </c>
      <c r="I4492" s="49" t="s">
        <v>23</v>
      </c>
      <c r="J4492" s="36">
        <f t="shared" si="20"/>
        <v>45989.38499</v>
      </c>
      <c r="K4492" s="69"/>
      <c r="L4492" s="49"/>
      <c r="M4492" s="36" t="str">
        <f t="shared" si="33"/>
        <v/>
      </c>
      <c r="N4492" s="30" t="str">
        <f t="shared" si="34"/>
        <v>BT atau SU Belum Valid</v>
      </c>
      <c r="O4492" s="39" t="str">
        <f t="shared" si="23"/>
        <v/>
      </c>
      <c r="P4492" s="47" t="b">
        <v>0</v>
      </c>
      <c r="Q4492" s="36" t="str">
        <f t="shared" si="35"/>
        <v/>
      </c>
      <c r="R4492" s="47" t="b">
        <v>0</v>
      </c>
      <c r="S4492" s="42" t="str">
        <f t="shared" si="28"/>
        <v/>
      </c>
      <c r="T4492" s="42"/>
    </row>
    <row r="4493" ht="22.5" customHeight="1">
      <c r="B4493" s="42">
        <f t="shared" si="7"/>
        <v>4487</v>
      </c>
      <c r="C4493" s="31" t="s">
        <v>4517</v>
      </c>
      <c r="D4493" s="34" t="str">
        <f t="array" ref="D4493">IFNA(_xlfn.XLOOKUP(C4493,Table_Tarikan_Warkah[Nomor Sertipikat],Table_Tarikan_Warkah[Nomor Tiket]),"")</f>
        <v>K/7/241025/1</v>
      </c>
      <c r="E4493" s="36" t="str">
        <f t="array" ref="E4493">IFNA(_xlfn.XLOOKUP(D4493,Table_Tarikan_Warkah[Nomor Tiket],Table_Tarikan_Warkah[Tanggal diserahkan kepada Validator]),"")</f>
        <v/>
      </c>
      <c r="F4493" s="36" t="str">
        <f t="array" ref="F4493">IFNA(_xlfn.XLOOKUP(D4493,Table_Tarikan_Warkah[Nomor Tiket],Table_Tarikan_Warkah[Nama Petugas Warkah]),"")</f>
        <v/>
      </c>
      <c r="G4493" s="39" t="str">
        <f t="array" ref="G4493">IFNA(_xlfn.XLOOKUP(D4493,Table_Tarikan_Warkah[Nomor Tiket],Table_Tarikan_Warkah[Jenis Permohonan]),"")</f>
        <v>BN JUAL BELI </v>
      </c>
      <c r="H4493" s="41" t="s">
        <v>2315</v>
      </c>
      <c r="I4493" s="49" t="s">
        <v>23</v>
      </c>
      <c r="J4493" s="36">
        <f t="shared" si="20"/>
        <v>45989.38575</v>
      </c>
      <c r="K4493" s="69"/>
      <c r="L4493" s="49"/>
      <c r="M4493" s="36" t="str">
        <f t="shared" si="33"/>
        <v/>
      </c>
      <c r="N4493" s="30" t="str">
        <f t="shared" si="34"/>
        <v>BT atau SU Belum Valid</v>
      </c>
      <c r="O4493" s="39" t="str">
        <f t="shared" si="23"/>
        <v/>
      </c>
      <c r="P4493" s="47" t="b">
        <v>0</v>
      </c>
      <c r="Q4493" s="36" t="str">
        <f t="shared" si="35"/>
        <v/>
      </c>
      <c r="R4493" s="47" t="b">
        <v>0</v>
      </c>
      <c r="S4493" s="42" t="str">
        <f t="shared" si="28"/>
        <v/>
      </c>
      <c r="T4493" s="42"/>
    </row>
    <row r="4494" ht="22.5" customHeight="1">
      <c r="B4494" s="42">
        <f t="shared" si="7"/>
        <v>4488</v>
      </c>
      <c r="C4494" s="31" t="s">
        <v>4518</v>
      </c>
      <c r="D4494" s="34" t="str">
        <f t="array" ref="D4494">IFNA(_xlfn.XLOOKUP(C4494,Table_Tarikan_Warkah[Nomor Sertipikat],Table_Tarikan_Warkah[Nomor Tiket]),"")</f>
        <v>ABUAISWV</v>
      </c>
      <c r="E4494" s="36" t="str">
        <f t="array" ref="E4494">IFNA(_xlfn.XLOOKUP(D4494,Table_Tarikan_Warkah[Nomor Tiket],Table_Tarikan_Warkah[Tanggal diserahkan kepada Validator]),"")</f>
        <v/>
      </c>
      <c r="F4494" s="36" t="str">
        <f t="array" ref="F4494">IFNA(_xlfn.XLOOKUP(D4494,Table_Tarikan_Warkah[Nomor Tiket],Table_Tarikan_Warkah[Nama Petugas Warkah]),"")</f>
        <v/>
      </c>
      <c r="G4494" s="39" t="str">
        <f t="array" ref="G4494">IFNA(_xlfn.XLOOKUP(D4494,Table_Tarikan_Warkah[Nomor Tiket],Table_Tarikan_Warkah[Jenis Permohonan]),"")</f>
        <v>Roya</v>
      </c>
      <c r="H4494" s="41" t="s">
        <v>2315</v>
      </c>
      <c r="I4494" s="49" t="s">
        <v>23</v>
      </c>
      <c r="J4494" s="36">
        <f t="shared" si="20"/>
        <v>45989.38626</v>
      </c>
      <c r="K4494" s="69"/>
      <c r="L4494" s="49"/>
      <c r="M4494" s="36" t="str">
        <f t="shared" si="33"/>
        <v/>
      </c>
      <c r="N4494" s="30" t="str">
        <f t="shared" si="34"/>
        <v>BT atau SU Belum Valid</v>
      </c>
      <c r="O4494" s="39" t="str">
        <f t="shared" si="23"/>
        <v/>
      </c>
      <c r="P4494" s="47" t="b">
        <v>0</v>
      </c>
      <c r="Q4494" s="36" t="str">
        <f t="shared" si="35"/>
        <v/>
      </c>
      <c r="R4494" s="47" t="b">
        <v>0</v>
      </c>
      <c r="S4494" s="42" t="str">
        <f t="shared" si="28"/>
        <v/>
      </c>
      <c r="T4494" s="42"/>
    </row>
    <row r="4495" ht="22.5" customHeight="1">
      <c r="B4495" s="42">
        <f t="shared" si="7"/>
        <v>4489</v>
      </c>
      <c r="C4495" s="31" t="s">
        <v>4519</v>
      </c>
      <c r="D4495" s="34" t="str">
        <f t="array" ref="D4495">IFNA(_xlfn.XLOOKUP(C4495,Table_Tarikan_Warkah[Nomor Sertipikat],Table_Tarikan_Warkah[Nomor Tiket]),"")</f>
        <v>K/53/210825/1</v>
      </c>
      <c r="E4495" s="36">
        <f t="array" ref="E4495">IFNA(_xlfn.XLOOKUP(D4495,Table_Tarikan_Warkah[Nomor Tiket],Table_Tarikan_Warkah[Tanggal diserahkan kepada Validator]),"")</f>
        <v>45910.59027</v>
      </c>
      <c r="F4495" s="36" t="str">
        <f t="array" ref="F4495">IFNA(_xlfn.XLOOKUP(D4495,Table_Tarikan_Warkah[Nomor Tiket],Table_Tarikan_Warkah[Nama Petugas Warkah]),"")</f>
        <v>Berry</v>
      </c>
      <c r="G4495" s="39" t="str">
        <f t="array" ref="G4495">IFNA(_xlfn.XLOOKUP(D4495,Table_Tarikan_Warkah[Nomor Tiket],Table_Tarikan_Warkah[Jenis Permohonan]),"")</f>
        <v>BN WARIS</v>
      </c>
      <c r="H4495" s="41" t="s">
        <v>2315</v>
      </c>
      <c r="I4495" s="49" t="s">
        <v>23</v>
      </c>
      <c r="J4495" s="36">
        <f t="shared" si="20"/>
        <v>45989.38645</v>
      </c>
      <c r="K4495" s="69"/>
      <c r="L4495" s="49"/>
      <c r="M4495" s="36" t="str">
        <f t="shared" si="33"/>
        <v/>
      </c>
      <c r="N4495" s="30" t="str">
        <f t="shared" si="34"/>
        <v>BT atau SU Belum Valid</v>
      </c>
      <c r="O4495" s="39" t="str">
        <f t="shared" si="23"/>
        <v/>
      </c>
      <c r="P4495" s="47" t="b">
        <v>0</v>
      </c>
      <c r="Q4495" s="36" t="str">
        <f t="shared" si="35"/>
        <v/>
      </c>
      <c r="R4495" s="47" t="b">
        <v>0</v>
      </c>
      <c r="S4495" s="42" t="str">
        <f t="shared" si="28"/>
        <v/>
      </c>
      <c r="T4495" s="42"/>
    </row>
    <row r="4496" ht="22.5" customHeight="1">
      <c r="B4496" s="42">
        <f t="shared" si="7"/>
        <v>4490</v>
      </c>
      <c r="C4496" s="31" t="s">
        <v>4520</v>
      </c>
      <c r="D4496" s="34" t="str">
        <f t="array" ref="D4496">IFNA(_xlfn.XLOOKUP(C4496,Table_Tarikan_Warkah[Nomor Sertipikat],Table_Tarikan_Warkah[Nomor Tiket]),"")</f>
        <v>ABOPMQEV</v>
      </c>
      <c r="E4496" s="36" t="str">
        <f t="array" ref="E4496">IFNA(_xlfn.XLOOKUP(D4496,Table_Tarikan_Warkah[Nomor Tiket],Table_Tarikan_Warkah[Tanggal diserahkan kepada Validator]),"")</f>
        <v/>
      </c>
      <c r="F4496" s="36" t="str">
        <f t="array" ref="F4496">IFNA(_xlfn.XLOOKUP(D4496,Table_Tarikan_Warkah[Nomor Tiket],Table_Tarikan_Warkah[Nama Petugas Warkah]),"")</f>
        <v/>
      </c>
      <c r="G4496" s="39" t="str">
        <f t="array" ref="G4496">IFNA(_xlfn.XLOOKUP(D4496,Table_Tarikan_Warkah[Nomor Tiket],Table_Tarikan_Warkah[Jenis Permohonan]),"")</f>
        <v>ROYA</v>
      </c>
      <c r="H4496" s="41" t="s">
        <v>2315</v>
      </c>
      <c r="I4496" s="49" t="s">
        <v>23</v>
      </c>
      <c r="J4496" s="36">
        <f t="shared" si="20"/>
        <v>45989.3866</v>
      </c>
      <c r="K4496" s="69"/>
      <c r="L4496" s="49"/>
      <c r="M4496" s="36" t="str">
        <f t="shared" si="33"/>
        <v/>
      </c>
      <c r="N4496" s="30" t="str">
        <f t="shared" si="34"/>
        <v>BT atau SU Belum Valid</v>
      </c>
      <c r="O4496" s="39" t="str">
        <f t="shared" si="23"/>
        <v/>
      </c>
      <c r="P4496" s="47" t="b">
        <v>0</v>
      </c>
      <c r="Q4496" s="36" t="str">
        <f t="shared" si="35"/>
        <v/>
      </c>
      <c r="R4496" s="47" t="b">
        <v>0</v>
      </c>
      <c r="S4496" s="42" t="str">
        <f t="shared" si="28"/>
        <v/>
      </c>
      <c r="T4496" s="42"/>
    </row>
    <row r="4497" ht="22.5" customHeight="1">
      <c r="B4497" s="42">
        <f t="shared" si="7"/>
        <v>4491</v>
      </c>
      <c r="C4497" s="31" t="s">
        <v>4521</v>
      </c>
      <c r="D4497" s="34" t="str">
        <f t="array" ref="D4497">IFNA(_xlfn.XLOOKUP(C4497,Table_Tarikan_Warkah[Nomor Sertipikat],Table_Tarikan_Warkah[Nomor Tiket]),"")</f>
        <v>ABKKUXOY</v>
      </c>
      <c r="E4497" s="36" t="str">
        <f t="array" ref="E4497">IFNA(_xlfn.XLOOKUP(D4497,Table_Tarikan_Warkah[Nomor Tiket],Table_Tarikan_Warkah[Tanggal diserahkan kepada Validator]),"")</f>
        <v/>
      </c>
      <c r="F4497" s="36" t="str">
        <f t="array" ref="F4497">IFNA(_xlfn.XLOOKUP(D4497,Table_Tarikan_Warkah[Nomor Tiket],Table_Tarikan_Warkah[Nama Petugas Warkah]),"")</f>
        <v/>
      </c>
      <c r="G4497" s="39" t="str">
        <f t="array" ref="G4497">IFNA(_xlfn.XLOOKUP(D4497,Table_Tarikan_Warkah[Nomor Tiket],Table_Tarikan_Warkah[Jenis Permohonan]),"")</f>
        <v>Roya</v>
      </c>
      <c r="H4497" s="41" t="s">
        <v>2315</v>
      </c>
      <c r="I4497" s="49" t="s">
        <v>23</v>
      </c>
      <c r="J4497" s="36">
        <f t="shared" si="20"/>
        <v>45989.38681</v>
      </c>
      <c r="K4497" s="69"/>
      <c r="L4497" s="49"/>
      <c r="M4497" s="36" t="str">
        <f t="shared" si="33"/>
        <v/>
      </c>
      <c r="N4497" s="30" t="str">
        <f t="shared" si="34"/>
        <v>BT atau SU Belum Valid</v>
      </c>
      <c r="O4497" s="39" t="str">
        <f t="shared" si="23"/>
        <v/>
      </c>
      <c r="P4497" s="47" t="b">
        <v>0</v>
      </c>
      <c r="Q4497" s="36" t="str">
        <f t="shared" si="35"/>
        <v/>
      </c>
      <c r="R4497" s="47" t="b">
        <v>0</v>
      </c>
      <c r="S4497" s="42" t="str">
        <f t="shared" si="28"/>
        <v/>
      </c>
      <c r="T4497" s="42"/>
    </row>
    <row r="4498" ht="22.5" customHeight="1">
      <c r="B4498" s="42">
        <f t="shared" si="7"/>
        <v>4492</v>
      </c>
      <c r="C4498" s="31" t="s">
        <v>4522</v>
      </c>
      <c r="D4498" s="34" t="str">
        <f t="array" ref="D4498">IFNA(_xlfn.XLOOKUP(C4498,Table_Tarikan_Warkah[Nomor Sertipikat],Table_Tarikan_Warkah[Nomor Tiket]),"")</f>
        <v>ABXUJOZW</v>
      </c>
      <c r="E4498" s="36" t="str">
        <f t="array" ref="E4498">IFNA(_xlfn.XLOOKUP(D4498,Table_Tarikan_Warkah[Nomor Tiket],Table_Tarikan_Warkah[Tanggal diserahkan kepada Validator]),"")</f>
        <v/>
      </c>
      <c r="F4498" s="36" t="str">
        <f t="array" ref="F4498">IFNA(_xlfn.XLOOKUP(D4498,Table_Tarikan_Warkah[Nomor Tiket],Table_Tarikan_Warkah[Nama Petugas Warkah]),"")</f>
        <v/>
      </c>
      <c r="G4498" s="39" t="str">
        <f t="array" ref="G4498">IFNA(_xlfn.XLOOKUP(D4498,Table_Tarikan_Warkah[Nomor Tiket],Table_Tarikan_Warkah[Jenis Permohonan]),"")</f>
        <v>Waris</v>
      </c>
      <c r="H4498" s="41" t="s">
        <v>2315</v>
      </c>
      <c r="I4498" s="49" t="s">
        <v>23</v>
      </c>
      <c r="J4498" s="36">
        <f t="shared" si="20"/>
        <v>45989.38697</v>
      </c>
      <c r="K4498" s="69"/>
      <c r="L4498" s="49"/>
      <c r="M4498" s="36" t="str">
        <f t="shared" si="33"/>
        <v/>
      </c>
      <c r="N4498" s="30" t="str">
        <f t="shared" si="34"/>
        <v>BT atau SU Belum Valid</v>
      </c>
      <c r="O4498" s="39" t="str">
        <f t="shared" si="23"/>
        <v/>
      </c>
      <c r="P4498" s="47" t="b">
        <v>0</v>
      </c>
      <c r="Q4498" s="36" t="str">
        <f t="shared" si="35"/>
        <v/>
      </c>
      <c r="R4498" s="47" t="b">
        <v>0</v>
      </c>
      <c r="S4498" s="42" t="str">
        <f t="shared" si="28"/>
        <v/>
      </c>
      <c r="T4498" s="42"/>
    </row>
    <row r="4499" ht="22.5" customHeight="1">
      <c r="B4499" s="42">
        <f t="shared" si="7"/>
        <v>4493</v>
      </c>
      <c r="C4499" s="31" t="s">
        <v>4523</v>
      </c>
      <c r="D4499" s="34" t="str">
        <f t="array" ref="D4499">IFNA(_xlfn.XLOOKUP(C4499,Table_Tarikan_Warkah[Nomor Sertipikat],Table_Tarikan_Warkah[Nomor Tiket]),"")</f>
        <v>ABSFRDUK</v>
      </c>
      <c r="E4499" s="36" t="str">
        <f t="array" ref="E4499">IFNA(_xlfn.XLOOKUP(D4499,Table_Tarikan_Warkah[Nomor Tiket],Table_Tarikan_Warkah[Tanggal diserahkan kepada Validator]),"")</f>
        <v/>
      </c>
      <c r="F4499" s="36" t="str">
        <f t="array" ref="F4499">IFNA(_xlfn.XLOOKUP(D4499,Table_Tarikan_Warkah[Nomor Tiket],Table_Tarikan_Warkah[Nama Petugas Warkah]),"")</f>
        <v/>
      </c>
      <c r="G4499" s="39" t="str">
        <f t="array" ref="G4499">IFNA(_xlfn.XLOOKUP(D4499,Table_Tarikan_Warkah[Nomor Tiket],Table_Tarikan_Warkah[Jenis Permohonan]),"")</f>
        <v>Roya</v>
      </c>
      <c r="H4499" s="41" t="s">
        <v>2315</v>
      </c>
      <c r="I4499" s="49" t="s">
        <v>23</v>
      </c>
      <c r="J4499" s="36">
        <f t="shared" si="20"/>
        <v>45989.38721</v>
      </c>
      <c r="K4499" s="69"/>
      <c r="L4499" s="49"/>
      <c r="M4499" s="36" t="str">
        <f t="shared" si="33"/>
        <v/>
      </c>
      <c r="N4499" s="30" t="str">
        <f t="shared" si="34"/>
        <v>BT atau SU Belum Valid</v>
      </c>
      <c r="O4499" s="39" t="str">
        <f t="shared" si="23"/>
        <v/>
      </c>
      <c r="P4499" s="47" t="b">
        <v>0</v>
      </c>
      <c r="Q4499" s="36" t="str">
        <f t="shared" si="35"/>
        <v/>
      </c>
      <c r="R4499" s="47" t="b">
        <v>0</v>
      </c>
      <c r="S4499" s="42" t="str">
        <f t="shared" si="28"/>
        <v/>
      </c>
      <c r="T4499" s="42"/>
    </row>
    <row r="4500" ht="22.5" customHeight="1">
      <c r="B4500" s="42">
        <f t="shared" si="7"/>
        <v>4494</v>
      </c>
      <c r="C4500" s="31" t="s">
        <v>4524</v>
      </c>
      <c r="D4500" s="34" t="str">
        <f t="array" ref="D4500">IFNA(_xlfn.XLOOKUP(C4500,Table_Tarikan_Warkah[Nomor Sertipikat],Table_Tarikan_Warkah[Nomor Tiket]),"")</f>
        <v>ABWPQYAK</v>
      </c>
      <c r="E4500" s="36" t="str">
        <f t="array" ref="E4500">IFNA(_xlfn.XLOOKUP(D4500,Table_Tarikan_Warkah[Nomor Tiket],Table_Tarikan_Warkah[Tanggal diserahkan kepada Validator]),"")</f>
        <v/>
      </c>
      <c r="F4500" s="36" t="str">
        <f t="array" ref="F4500">IFNA(_xlfn.XLOOKUP(D4500,Table_Tarikan_Warkah[Nomor Tiket],Table_Tarikan_Warkah[Nama Petugas Warkah]),"")</f>
        <v/>
      </c>
      <c r="G4500" s="39" t="str">
        <f t="array" ref="G4500">IFNA(_xlfn.XLOOKUP(D4500,Table_Tarikan_Warkah[Nomor Tiket],Table_Tarikan_Warkah[Jenis Permohonan]),"")</f>
        <v>Roya Hak Tanggungan</v>
      </c>
      <c r="H4500" s="41" t="s">
        <v>2315</v>
      </c>
      <c r="I4500" s="49" t="s">
        <v>23</v>
      </c>
      <c r="J4500" s="36">
        <f t="shared" si="20"/>
        <v>45989.38736</v>
      </c>
      <c r="K4500" s="69"/>
      <c r="L4500" s="49"/>
      <c r="M4500" s="36" t="str">
        <f t="shared" si="33"/>
        <v/>
      </c>
      <c r="N4500" s="30" t="str">
        <f t="shared" si="34"/>
        <v>BT atau SU Belum Valid</v>
      </c>
      <c r="O4500" s="39" t="str">
        <f t="shared" si="23"/>
        <v/>
      </c>
      <c r="P4500" s="47" t="b">
        <v>0</v>
      </c>
      <c r="Q4500" s="36" t="str">
        <f t="shared" si="35"/>
        <v/>
      </c>
      <c r="R4500" s="47" t="b">
        <v>0</v>
      </c>
      <c r="S4500" s="42" t="str">
        <f t="shared" si="28"/>
        <v/>
      </c>
      <c r="T4500" s="42"/>
    </row>
    <row r="4501" ht="22.5" customHeight="1">
      <c r="B4501" s="42">
        <f t="shared" si="7"/>
        <v>4495</v>
      </c>
      <c r="C4501" s="31" t="s">
        <v>4525</v>
      </c>
      <c r="D4501" s="34" t="str">
        <f t="array" ref="D4501">IFNA(_xlfn.XLOOKUP(C4501,Table_Tarikan_Warkah[Nomor Sertipikat],Table_Tarikan_Warkah[Nomor Tiket]),"")</f>
        <v>ABDTCKIP/AB027</v>
      </c>
      <c r="E4501" s="36" t="str">
        <f t="array" ref="E4501">IFNA(_xlfn.XLOOKUP(D4501,Table_Tarikan_Warkah[Nomor Tiket],Table_Tarikan_Warkah[Tanggal diserahkan kepada Validator]),"")</f>
        <v/>
      </c>
      <c r="F4501" s="36" t="str">
        <f t="array" ref="F4501">IFNA(_xlfn.XLOOKUP(D4501,Table_Tarikan_Warkah[Nomor Tiket],Table_Tarikan_Warkah[Nama Petugas Warkah]),"")</f>
        <v/>
      </c>
      <c r="G4501" s="39" t="str">
        <f t="array" ref="G4501">IFNA(_xlfn.XLOOKUP(D4501,Table_Tarikan_Warkah[Nomor Tiket],Table_Tarikan_Warkah[Jenis Permohonan]),"")</f>
        <v>Roya </v>
      </c>
      <c r="H4501" s="41" t="s">
        <v>2315</v>
      </c>
      <c r="I4501" s="49" t="s">
        <v>23</v>
      </c>
      <c r="J4501" s="36">
        <f t="shared" si="20"/>
        <v>45989.38756</v>
      </c>
      <c r="K4501" s="69"/>
      <c r="L4501" s="49"/>
      <c r="M4501" s="36" t="str">
        <f t="shared" si="33"/>
        <v/>
      </c>
      <c r="N4501" s="30" t="str">
        <f t="shared" si="34"/>
        <v>BT atau SU Belum Valid</v>
      </c>
      <c r="O4501" s="39" t="str">
        <f t="shared" si="23"/>
        <v/>
      </c>
      <c r="P4501" s="47" t="b">
        <v>0</v>
      </c>
      <c r="Q4501" s="36" t="str">
        <f t="shared" si="35"/>
        <v/>
      </c>
      <c r="R4501" s="47" t="b">
        <v>0</v>
      </c>
      <c r="S4501" s="42" t="str">
        <f t="shared" si="28"/>
        <v/>
      </c>
      <c r="T4501" s="42"/>
    </row>
    <row r="4502" ht="22.5" customHeight="1">
      <c r="B4502" s="42">
        <f t="shared" si="7"/>
        <v>4496</v>
      </c>
      <c r="C4502" s="31" t="s">
        <v>4526</v>
      </c>
      <c r="D4502" s="34" t="str">
        <f t="array" ref="D4502">IFNA(_xlfn.XLOOKUP(C4502,Table_Tarikan_Warkah[Nomor Sertipikat],Table_Tarikan_Warkah[Nomor Tiket]),"")</f>
        <v>ABMBHXUR</v>
      </c>
      <c r="E4502" s="36" t="str">
        <f t="array" ref="E4502">IFNA(_xlfn.XLOOKUP(D4502,Table_Tarikan_Warkah[Nomor Tiket],Table_Tarikan_Warkah[Tanggal diserahkan kepada Validator]),"")</f>
        <v/>
      </c>
      <c r="F4502" s="36" t="str">
        <f t="array" ref="F4502">IFNA(_xlfn.XLOOKUP(D4502,Table_Tarikan_Warkah[Nomor Tiket],Table_Tarikan_Warkah[Nama Petugas Warkah]),"")</f>
        <v/>
      </c>
      <c r="G4502" s="39" t="str">
        <f t="array" ref="G4502">IFNA(_xlfn.XLOOKUP(D4502,Table_Tarikan_Warkah[Nomor Tiket],Table_Tarikan_Warkah[Jenis Permohonan]),"")</f>
        <v>Roya</v>
      </c>
      <c r="H4502" s="41" t="s">
        <v>2315</v>
      </c>
      <c r="I4502" s="49" t="s">
        <v>23</v>
      </c>
      <c r="J4502" s="36">
        <f t="shared" si="20"/>
        <v>45989.38777</v>
      </c>
      <c r="K4502" s="69"/>
      <c r="L4502" s="49"/>
      <c r="M4502" s="36" t="str">
        <f t="shared" si="33"/>
        <v/>
      </c>
      <c r="N4502" s="30" t="str">
        <f t="shared" si="34"/>
        <v>BT atau SU Belum Valid</v>
      </c>
      <c r="O4502" s="39" t="str">
        <f t="shared" si="23"/>
        <v/>
      </c>
      <c r="P4502" s="47" t="b">
        <v>0</v>
      </c>
      <c r="Q4502" s="36" t="str">
        <f t="shared" si="35"/>
        <v/>
      </c>
      <c r="R4502" s="47" t="b">
        <v>0</v>
      </c>
      <c r="S4502" s="42" t="str">
        <f t="shared" si="28"/>
        <v/>
      </c>
      <c r="T4502" s="42"/>
    </row>
    <row r="4503" ht="22.5" customHeight="1">
      <c r="B4503" s="42">
        <f t="shared" si="7"/>
        <v>4497</v>
      </c>
      <c r="C4503" s="31" t="s">
        <v>4527</v>
      </c>
      <c r="D4503" s="34" t="str">
        <f t="array" ref="D4503">IFNA(_xlfn.XLOOKUP(C4503,Table_Tarikan_Warkah[Nomor Sertipikat],Table_Tarikan_Warkah[Nomor Tiket]),"")</f>
        <v>ABYAUMRI</v>
      </c>
      <c r="E4503" s="36" t="str">
        <f t="array" ref="E4503">IFNA(_xlfn.XLOOKUP(D4503,Table_Tarikan_Warkah[Nomor Tiket],Table_Tarikan_Warkah[Tanggal diserahkan kepada Validator]),"")</f>
        <v/>
      </c>
      <c r="F4503" s="36" t="str">
        <f t="array" ref="F4503">IFNA(_xlfn.XLOOKUP(D4503,Table_Tarikan_Warkah[Nomor Tiket],Table_Tarikan_Warkah[Nama Petugas Warkah]),"")</f>
        <v/>
      </c>
      <c r="G4503" s="39" t="str">
        <f t="array" ref="G4503">IFNA(_xlfn.XLOOKUP(D4503,Table_Tarikan_Warkah[Nomor Tiket],Table_Tarikan_Warkah[Jenis Permohonan]),"")</f>
        <v>Roya</v>
      </c>
      <c r="H4503" s="41" t="s">
        <v>2315</v>
      </c>
      <c r="I4503" s="49" t="s">
        <v>23</v>
      </c>
      <c r="J4503" s="36">
        <f t="shared" si="20"/>
        <v>45989.38819</v>
      </c>
      <c r="K4503" s="69"/>
      <c r="L4503" s="49"/>
      <c r="M4503" s="36" t="str">
        <f t="shared" si="33"/>
        <v/>
      </c>
      <c r="N4503" s="30" t="str">
        <f t="shared" si="34"/>
        <v>BT atau SU Belum Valid</v>
      </c>
      <c r="O4503" s="39" t="str">
        <f t="shared" si="23"/>
        <v/>
      </c>
      <c r="P4503" s="47" t="b">
        <v>0</v>
      </c>
      <c r="Q4503" s="36" t="str">
        <f t="shared" si="35"/>
        <v/>
      </c>
      <c r="R4503" s="47" t="b">
        <v>0</v>
      </c>
      <c r="S4503" s="42" t="str">
        <f t="shared" si="28"/>
        <v/>
      </c>
      <c r="T4503" s="42"/>
    </row>
    <row r="4504" ht="22.5" customHeight="1">
      <c r="B4504" s="42">
        <f t="shared" si="7"/>
        <v>4498</v>
      </c>
      <c r="C4504" s="31" t="s">
        <v>4528</v>
      </c>
      <c r="D4504" s="34" t="str">
        <f t="array" ref="D4504">IFNA(_xlfn.XLOOKUP(C4504,Table_Tarikan_Warkah[Nomor Sertipikat],Table_Tarikan_Warkah[Nomor Tiket]),"")</f>
        <v>ABDJEJBO</v>
      </c>
      <c r="E4504" s="36" t="str">
        <f t="array" ref="E4504">IFNA(_xlfn.XLOOKUP(D4504,Table_Tarikan_Warkah[Nomor Tiket],Table_Tarikan_Warkah[Tanggal diserahkan kepada Validator]),"")</f>
        <v/>
      </c>
      <c r="F4504" s="36" t="str">
        <f t="array" ref="F4504">IFNA(_xlfn.XLOOKUP(D4504,Table_Tarikan_Warkah[Nomor Tiket],Table_Tarikan_Warkah[Nama Petugas Warkah]),"")</f>
        <v/>
      </c>
      <c r="G4504" s="39" t="str">
        <f t="array" ref="G4504">IFNA(_xlfn.XLOOKUP(D4504,Table_Tarikan_Warkah[Nomor Tiket],Table_Tarikan_Warkah[Jenis Permohonan]),"")</f>
        <v>Roya </v>
      </c>
      <c r="H4504" s="41" t="s">
        <v>2315</v>
      </c>
      <c r="I4504" s="49" t="s">
        <v>23</v>
      </c>
      <c r="J4504" s="36">
        <f t="shared" si="20"/>
        <v>45989.38843</v>
      </c>
      <c r="K4504" s="69"/>
      <c r="L4504" s="49"/>
      <c r="M4504" s="36" t="str">
        <f t="shared" si="33"/>
        <v/>
      </c>
      <c r="N4504" s="30" t="str">
        <f t="shared" si="34"/>
        <v>BT atau SU Belum Valid</v>
      </c>
      <c r="O4504" s="39" t="str">
        <f t="shared" si="23"/>
        <v/>
      </c>
      <c r="P4504" s="47" t="b">
        <v>0</v>
      </c>
      <c r="Q4504" s="36" t="str">
        <f t="shared" si="35"/>
        <v/>
      </c>
      <c r="R4504" s="47" t="b">
        <v>0</v>
      </c>
      <c r="S4504" s="42" t="str">
        <f t="shared" si="28"/>
        <v/>
      </c>
      <c r="T4504" s="42"/>
    </row>
    <row r="4505" ht="22.5" customHeight="1">
      <c r="B4505" s="42">
        <f t="shared" si="7"/>
        <v>4499</v>
      </c>
      <c r="C4505" s="31" t="s">
        <v>4529</v>
      </c>
      <c r="D4505" s="34" t="str">
        <f t="array" ref="D4505">IFNA(_xlfn.XLOOKUP(C4505,Table_Tarikan_Warkah[Nomor Sertipikat],Table_Tarikan_Warkah[Nomor Tiket]),"")</f>
        <v>ABLFWXGE</v>
      </c>
      <c r="E4505" s="36" t="str">
        <f t="array" ref="E4505">IFNA(_xlfn.XLOOKUP(D4505,Table_Tarikan_Warkah[Nomor Tiket],Table_Tarikan_Warkah[Tanggal diserahkan kepada Validator]),"")</f>
        <v/>
      </c>
      <c r="F4505" s="36" t="str">
        <f t="array" ref="F4505">IFNA(_xlfn.XLOOKUP(D4505,Table_Tarikan_Warkah[Nomor Tiket],Table_Tarikan_Warkah[Nama Petugas Warkah]),"")</f>
        <v/>
      </c>
      <c r="G4505" s="39" t="str">
        <f t="array" ref="G4505">IFNA(_xlfn.XLOOKUP(D4505,Table_Tarikan_Warkah[Nomor Tiket],Table_Tarikan_Warkah[Jenis Permohonan]),"")</f>
        <v>Waris</v>
      </c>
      <c r="H4505" s="41" t="s">
        <v>2315</v>
      </c>
      <c r="I4505" s="49" t="s">
        <v>23</v>
      </c>
      <c r="J4505" s="36">
        <f t="shared" si="20"/>
        <v>45989.3887</v>
      </c>
      <c r="K4505" s="69"/>
      <c r="L4505" s="49"/>
      <c r="M4505" s="36" t="str">
        <f t="shared" si="33"/>
        <v/>
      </c>
      <c r="N4505" s="30" t="str">
        <f t="shared" si="34"/>
        <v>BT atau SU Belum Valid</v>
      </c>
      <c r="O4505" s="39" t="str">
        <f t="shared" si="23"/>
        <v/>
      </c>
      <c r="P4505" s="47" t="b">
        <v>0</v>
      </c>
      <c r="Q4505" s="36" t="str">
        <f t="shared" si="35"/>
        <v/>
      </c>
      <c r="R4505" s="47" t="b">
        <v>0</v>
      </c>
      <c r="S4505" s="42" t="str">
        <f t="shared" si="28"/>
        <v/>
      </c>
      <c r="T4505" s="42"/>
    </row>
    <row r="4506" ht="22.5" customHeight="1">
      <c r="B4506" s="42">
        <f t="shared" si="7"/>
        <v>4500</v>
      </c>
      <c r="C4506" s="31" t="s">
        <v>4530</v>
      </c>
      <c r="D4506" s="34" t="str">
        <f t="array" ref="D4506">IFNA(_xlfn.XLOOKUP(C4506,Table_Tarikan_Warkah[Nomor Sertipikat],Table_Tarikan_Warkah[Nomor Tiket]),"")</f>
        <v>ABXPDWSI</v>
      </c>
      <c r="E4506" s="36" t="str">
        <f t="array" ref="E4506">IFNA(_xlfn.XLOOKUP(D4506,Table_Tarikan_Warkah[Nomor Tiket],Table_Tarikan_Warkah[Tanggal diserahkan kepada Validator]),"")</f>
        <v/>
      </c>
      <c r="F4506" s="36" t="str">
        <f t="array" ref="F4506">IFNA(_xlfn.XLOOKUP(D4506,Table_Tarikan_Warkah[Nomor Tiket],Table_Tarikan_Warkah[Nama Petugas Warkah]),"")</f>
        <v/>
      </c>
      <c r="G4506" s="39" t="str">
        <f t="array" ref="G4506">IFNA(_xlfn.XLOOKUP(D4506,Table_Tarikan_Warkah[Nomor Tiket],Table_Tarikan_Warkah[Jenis Permohonan]),"")</f>
        <v>BN JUAL BELI</v>
      </c>
      <c r="H4506" s="41" t="s">
        <v>2315</v>
      </c>
      <c r="I4506" s="49" t="s">
        <v>23</v>
      </c>
      <c r="J4506" s="36">
        <f t="shared" si="20"/>
        <v>45989.38883</v>
      </c>
      <c r="K4506" s="69"/>
      <c r="L4506" s="49"/>
      <c r="M4506" s="36" t="str">
        <f t="shared" si="33"/>
        <v/>
      </c>
      <c r="N4506" s="30" t="str">
        <f t="shared" si="34"/>
        <v>BT atau SU Belum Valid</v>
      </c>
      <c r="O4506" s="39" t="str">
        <f t="shared" si="23"/>
        <v/>
      </c>
      <c r="P4506" s="47" t="b">
        <v>0</v>
      </c>
      <c r="Q4506" s="36" t="str">
        <f t="shared" si="35"/>
        <v/>
      </c>
      <c r="R4506" s="47" t="b">
        <v>0</v>
      </c>
      <c r="S4506" s="42" t="str">
        <f t="shared" si="28"/>
        <v/>
      </c>
      <c r="T4506" s="42"/>
    </row>
    <row r="4507" ht="22.5" customHeight="1">
      <c r="B4507" s="42">
        <f t="shared" si="7"/>
        <v>4501</v>
      </c>
      <c r="C4507" s="31" t="s">
        <v>4531</v>
      </c>
      <c r="D4507" s="34" t="str">
        <f t="array" ref="D4507">IFNA(_xlfn.XLOOKUP(C4507,Table_Tarikan_Warkah[Nomor Sertipikat],Table_Tarikan_Warkah[Nomor Tiket]),"")</f>
        <v>K/20/071025/2</v>
      </c>
      <c r="E4507" s="36" t="str">
        <f t="array" ref="E4507">IFNA(_xlfn.XLOOKUP(D4507,Table_Tarikan_Warkah[Nomor Tiket],Table_Tarikan_Warkah[Tanggal diserahkan kepada Validator]),"")</f>
        <v/>
      </c>
      <c r="F4507" s="36" t="str">
        <f t="array" ref="F4507">IFNA(_xlfn.XLOOKUP(D4507,Table_Tarikan_Warkah[Nomor Tiket],Table_Tarikan_Warkah[Nama Petugas Warkah]),"")</f>
        <v/>
      </c>
      <c r="G4507" s="39" t="str">
        <f t="array" ref="G4507">IFNA(_xlfn.XLOOKUP(D4507,Table_Tarikan_Warkah[Nomor Tiket],Table_Tarikan_Warkah[Jenis Permohonan]),"")</f>
        <v>PENINGKATAN HAK</v>
      </c>
      <c r="H4507" s="41" t="s">
        <v>2315</v>
      </c>
      <c r="I4507" s="49" t="s">
        <v>23</v>
      </c>
      <c r="J4507" s="36">
        <f t="shared" si="20"/>
        <v>45989.38921</v>
      </c>
      <c r="K4507" s="69"/>
      <c r="L4507" s="49"/>
      <c r="M4507" s="36" t="str">
        <f t="shared" si="33"/>
        <v/>
      </c>
      <c r="N4507" s="30" t="str">
        <f t="shared" si="34"/>
        <v>BT atau SU Belum Valid</v>
      </c>
      <c r="O4507" s="39" t="str">
        <f t="shared" si="23"/>
        <v/>
      </c>
      <c r="P4507" s="47" t="b">
        <v>0</v>
      </c>
      <c r="Q4507" s="36" t="str">
        <f t="shared" si="35"/>
        <v/>
      </c>
      <c r="R4507" s="47" t="b">
        <v>0</v>
      </c>
      <c r="S4507" s="42" t="str">
        <f t="shared" si="28"/>
        <v/>
      </c>
      <c r="T4507" s="42"/>
    </row>
    <row r="4508" ht="22.5" customHeight="1">
      <c r="B4508" s="42">
        <f t="shared" si="7"/>
        <v>4502</v>
      </c>
      <c r="C4508" s="31" t="s">
        <v>4532</v>
      </c>
      <c r="D4508" s="34" t="str">
        <f t="array" ref="D4508">IFNA(_xlfn.XLOOKUP(C4508,Table_Tarikan_Warkah[Nomor Sertipikat],Table_Tarikan_Warkah[Nomor Tiket]),"")</f>
        <v>ABXJGTPI</v>
      </c>
      <c r="E4508" s="36" t="str">
        <f t="array" ref="E4508">IFNA(_xlfn.XLOOKUP(D4508,Table_Tarikan_Warkah[Nomor Tiket],Table_Tarikan_Warkah[Tanggal diserahkan kepada Validator]),"")</f>
        <v/>
      </c>
      <c r="F4508" s="36" t="str">
        <f t="array" ref="F4508">IFNA(_xlfn.XLOOKUP(D4508,Table_Tarikan_Warkah[Nomor Tiket],Table_Tarikan_Warkah[Nama Petugas Warkah]),"")</f>
        <v/>
      </c>
      <c r="G4508" s="39" t="str">
        <f t="array" ref="G4508">IFNA(_xlfn.XLOOKUP(D4508,Table_Tarikan_Warkah[Nomor Tiket],Table_Tarikan_Warkah[Jenis Permohonan]),"")</f>
        <v>Roya sertifikat </v>
      </c>
      <c r="H4508" s="41" t="s">
        <v>2315</v>
      </c>
      <c r="I4508" s="49" t="s">
        <v>23</v>
      </c>
      <c r="J4508" s="36">
        <f t="shared" si="20"/>
        <v>45989.38939</v>
      </c>
      <c r="K4508" s="69"/>
      <c r="L4508" s="49"/>
      <c r="M4508" s="36" t="str">
        <f t="shared" si="33"/>
        <v/>
      </c>
      <c r="N4508" s="30" t="str">
        <f t="shared" si="34"/>
        <v>BT atau SU Belum Valid</v>
      </c>
      <c r="O4508" s="39" t="str">
        <f t="shared" si="23"/>
        <v/>
      </c>
      <c r="P4508" s="47" t="b">
        <v>0</v>
      </c>
      <c r="Q4508" s="36" t="str">
        <f t="shared" si="35"/>
        <v/>
      </c>
      <c r="R4508" s="47" t="b">
        <v>0</v>
      </c>
      <c r="S4508" s="42" t="str">
        <f t="shared" si="28"/>
        <v/>
      </c>
      <c r="T4508" s="42"/>
    </row>
    <row r="4509" ht="22.5" customHeight="1">
      <c r="B4509" s="42">
        <f t="shared" si="7"/>
        <v>4503</v>
      </c>
      <c r="C4509" s="31" t="s">
        <v>4533</v>
      </c>
      <c r="D4509" s="34" t="str">
        <f t="array" ref="D4509">IFNA(_xlfn.XLOOKUP(C4509,Table_Tarikan_Warkah[Nomor Sertipikat],Table_Tarikan_Warkah[Nomor Tiket]),"")</f>
        <v>ABDDOSAQ</v>
      </c>
      <c r="E4509" s="36" t="str">
        <f t="array" ref="E4509">IFNA(_xlfn.XLOOKUP(D4509,Table_Tarikan_Warkah[Nomor Tiket],Table_Tarikan_Warkah[Tanggal diserahkan kepada Validator]),"")</f>
        <v/>
      </c>
      <c r="F4509" s="36" t="str">
        <f t="array" ref="F4509">IFNA(_xlfn.XLOOKUP(D4509,Table_Tarikan_Warkah[Nomor Tiket],Table_Tarikan_Warkah[Nama Petugas Warkah]),"")</f>
        <v/>
      </c>
      <c r="G4509" s="39" t="str">
        <f t="array" ref="G4509">IFNA(_xlfn.XLOOKUP(D4509,Table_Tarikan_Warkah[Nomor Tiket],Table_Tarikan_Warkah[Jenis Permohonan]),"")</f>
        <v>Roya</v>
      </c>
      <c r="H4509" s="41" t="s">
        <v>2315</v>
      </c>
      <c r="I4509" s="49" t="s">
        <v>23</v>
      </c>
      <c r="J4509" s="36">
        <f t="shared" si="20"/>
        <v>45989.43233</v>
      </c>
      <c r="K4509" s="69"/>
      <c r="L4509" s="49"/>
      <c r="M4509" s="36" t="str">
        <f t="shared" si="33"/>
        <v/>
      </c>
      <c r="N4509" s="30" t="str">
        <f t="shared" si="34"/>
        <v>BT atau SU Belum Valid</v>
      </c>
      <c r="O4509" s="39" t="str">
        <f t="shared" si="23"/>
        <v/>
      </c>
      <c r="P4509" s="47" t="b">
        <v>0</v>
      </c>
      <c r="Q4509" s="36" t="str">
        <f t="shared" si="35"/>
        <v/>
      </c>
      <c r="R4509" s="47" t="b">
        <v>0</v>
      </c>
      <c r="S4509" s="42" t="str">
        <f t="shared" si="28"/>
        <v/>
      </c>
      <c r="T4509" s="42"/>
    </row>
    <row r="4510" ht="22.5" customHeight="1">
      <c r="B4510" s="42">
        <f t="shared" si="7"/>
        <v>4504</v>
      </c>
      <c r="C4510" s="31" t="s">
        <v>4534</v>
      </c>
      <c r="D4510" s="34" t="str">
        <f t="array" ref="D4510">IFNA(_xlfn.XLOOKUP(C4510,Table_Tarikan_Warkah[Nomor Sertipikat],Table_Tarikan_Warkah[Nomor Tiket]),"")</f>
        <v>L/5/151025/1</v>
      </c>
      <c r="E4510" s="36" t="str">
        <f t="array" ref="E4510">IFNA(_xlfn.XLOOKUP(D4510,Table_Tarikan_Warkah[Nomor Tiket],Table_Tarikan_Warkah[Tanggal diserahkan kepada Validator]),"")</f>
        <v/>
      </c>
      <c r="F4510" s="36" t="str">
        <f t="array" ref="F4510">IFNA(_xlfn.XLOOKUP(D4510,Table_Tarikan_Warkah[Nomor Tiket],Table_Tarikan_Warkah[Nama Petugas Warkah]),"")</f>
        <v/>
      </c>
      <c r="G4510" s="39" t="str">
        <f t="array" ref="G4510">IFNA(_xlfn.XLOOKUP(D4510,Table_Tarikan_Warkah[Nomor Tiket],Table_Tarikan_Warkah[Jenis Permohonan]),"")</f>
        <v>ROYA</v>
      </c>
      <c r="H4510" s="41" t="s">
        <v>2315</v>
      </c>
      <c r="I4510" s="49" t="s">
        <v>23</v>
      </c>
      <c r="J4510" s="36">
        <f t="shared" si="20"/>
        <v>45989.43254</v>
      </c>
      <c r="K4510" s="69"/>
      <c r="L4510" s="49"/>
      <c r="M4510" s="36" t="str">
        <f t="shared" si="33"/>
        <v/>
      </c>
      <c r="N4510" s="30" t="str">
        <f t="shared" si="34"/>
        <v>BT atau SU Belum Valid</v>
      </c>
      <c r="O4510" s="39" t="str">
        <f t="shared" si="23"/>
        <v/>
      </c>
      <c r="P4510" s="47" t="b">
        <v>0</v>
      </c>
      <c r="Q4510" s="36" t="str">
        <f t="shared" si="35"/>
        <v/>
      </c>
      <c r="R4510" s="47" t="b">
        <v>0</v>
      </c>
      <c r="S4510" s="42" t="str">
        <f t="shared" si="28"/>
        <v/>
      </c>
      <c r="T4510" s="42"/>
    </row>
    <row r="4511" ht="22.5" customHeight="1">
      <c r="B4511" s="42">
        <f t="shared" si="7"/>
        <v>4505</v>
      </c>
      <c r="C4511" s="31" t="s">
        <v>4535</v>
      </c>
      <c r="D4511" s="34" t="str">
        <f t="array" ref="D4511">IFNA(_xlfn.XLOOKUP(C4511,Table_Tarikan_Warkah[Nomor Sertipikat],Table_Tarikan_Warkah[Nomor Tiket]),"")</f>
        <v>L/1/241025/1</v>
      </c>
      <c r="E4511" s="36" t="str">
        <f t="array" ref="E4511">IFNA(_xlfn.XLOOKUP(D4511,Table_Tarikan_Warkah[Nomor Tiket],Table_Tarikan_Warkah[Tanggal diserahkan kepada Validator]),"")</f>
        <v/>
      </c>
      <c r="F4511" s="36" t="str">
        <f t="array" ref="F4511">IFNA(_xlfn.XLOOKUP(D4511,Table_Tarikan_Warkah[Nomor Tiket],Table_Tarikan_Warkah[Nama Petugas Warkah]),"")</f>
        <v/>
      </c>
      <c r="G4511" s="39" t="str">
        <f t="array" ref="G4511">IFNA(_xlfn.XLOOKUP(D4511,Table_Tarikan_Warkah[Nomor Tiket],Table_Tarikan_Warkah[Jenis Permohonan]),"")</f>
        <v>GANTI NAMA</v>
      </c>
      <c r="H4511" s="41" t="s">
        <v>2315</v>
      </c>
      <c r="I4511" s="49" t="s">
        <v>23</v>
      </c>
      <c r="J4511" s="36">
        <f t="shared" si="20"/>
        <v>45989.43269</v>
      </c>
      <c r="K4511" s="69"/>
      <c r="L4511" s="49"/>
      <c r="M4511" s="36" t="str">
        <f t="shared" si="33"/>
        <v/>
      </c>
      <c r="N4511" s="30" t="str">
        <f t="shared" si="34"/>
        <v>BT atau SU Belum Valid</v>
      </c>
      <c r="O4511" s="39" t="str">
        <f t="shared" si="23"/>
        <v/>
      </c>
      <c r="P4511" s="47" t="b">
        <v>0</v>
      </c>
      <c r="Q4511" s="36" t="str">
        <f t="shared" si="35"/>
        <v/>
      </c>
      <c r="R4511" s="47" t="b">
        <v>0</v>
      </c>
      <c r="S4511" s="42" t="str">
        <f t="shared" si="28"/>
        <v/>
      </c>
      <c r="T4511" s="42"/>
    </row>
    <row r="4512" ht="22.5" customHeight="1">
      <c r="B4512" s="42">
        <f t="shared" si="7"/>
        <v>4506</v>
      </c>
      <c r="C4512" s="31" t="s">
        <v>4536</v>
      </c>
      <c r="D4512" s="34" t="str">
        <f t="array" ref="D4512">IFNA(_xlfn.XLOOKUP(C4512,Table_Tarikan_Warkah[Nomor Sertipikat],Table_Tarikan_Warkah[Nomor Tiket]),"")</f>
        <v>L/12/211025/1</v>
      </c>
      <c r="E4512" s="36" t="str">
        <f t="array" ref="E4512">IFNA(_xlfn.XLOOKUP(D4512,Table_Tarikan_Warkah[Nomor Tiket],Table_Tarikan_Warkah[Tanggal diserahkan kepada Validator]),"")</f>
        <v/>
      </c>
      <c r="F4512" s="36" t="str">
        <f t="array" ref="F4512">IFNA(_xlfn.XLOOKUP(D4512,Table_Tarikan_Warkah[Nomor Tiket],Table_Tarikan_Warkah[Nama Petugas Warkah]),"")</f>
        <v/>
      </c>
      <c r="G4512" s="39" t="str">
        <f t="array" ref="G4512">IFNA(_xlfn.XLOOKUP(D4512,Table_Tarikan_Warkah[Nomor Tiket],Table_Tarikan_Warkah[Jenis Permohonan]),"")</f>
        <v>ROYA</v>
      </c>
      <c r="H4512" s="41" t="s">
        <v>2315</v>
      </c>
      <c r="I4512" s="49" t="s">
        <v>23</v>
      </c>
      <c r="J4512" s="36">
        <f t="shared" si="20"/>
        <v>45989.43284</v>
      </c>
      <c r="K4512" s="69"/>
      <c r="L4512" s="49"/>
      <c r="M4512" s="36" t="str">
        <f t="shared" si="33"/>
        <v/>
      </c>
      <c r="N4512" s="30" t="str">
        <f t="shared" si="34"/>
        <v>BT atau SU Belum Valid</v>
      </c>
      <c r="O4512" s="39" t="str">
        <f t="shared" si="23"/>
        <v/>
      </c>
      <c r="P4512" s="47" t="b">
        <v>0</v>
      </c>
      <c r="Q4512" s="36" t="str">
        <f t="shared" si="35"/>
        <v/>
      </c>
      <c r="R4512" s="47" t="b">
        <v>0</v>
      </c>
      <c r="S4512" s="42" t="str">
        <f t="shared" si="28"/>
        <v/>
      </c>
      <c r="T4512" s="42"/>
    </row>
    <row r="4513" ht="22.5" customHeight="1">
      <c r="B4513" s="42">
        <f t="shared" si="7"/>
        <v>4507</v>
      </c>
      <c r="C4513" s="31" t="s">
        <v>4537</v>
      </c>
      <c r="D4513" s="34" t="str">
        <f t="array" ref="D4513">IFNA(_xlfn.XLOOKUP(C4513,Table_Tarikan_Warkah[Nomor Sertipikat],Table_Tarikan_Warkah[Nomor Tiket]),"")</f>
        <v>L/17/260925/1</v>
      </c>
      <c r="E4513" s="36" t="str">
        <f t="array" ref="E4513">IFNA(_xlfn.XLOOKUP(D4513,Table_Tarikan_Warkah[Nomor Tiket],Table_Tarikan_Warkah[Tanggal diserahkan kepada Validator]),"")</f>
        <v/>
      </c>
      <c r="F4513" s="36" t="str">
        <f t="array" ref="F4513">IFNA(_xlfn.XLOOKUP(D4513,Table_Tarikan_Warkah[Nomor Tiket],Table_Tarikan_Warkah[Nama Petugas Warkah]),"")</f>
        <v/>
      </c>
      <c r="G4513" s="39" t="str">
        <f t="array" ref="G4513">IFNA(_xlfn.XLOOKUP(D4513,Table_Tarikan_Warkah[Nomor Tiket],Table_Tarikan_Warkah[Jenis Permohonan]),"")</f>
        <v>ROYA</v>
      </c>
      <c r="H4513" s="41" t="s">
        <v>2315</v>
      </c>
      <c r="I4513" s="49" t="s">
        <v>23</v>
      </c>
      <c r="J4513" s="36">
        <f t="shared" si="20"/>
        <v>45989.43459</v>
      </c>
      <c r="K4513" s="69"/>
      <c r="L4513" s="49"/>
      <c r="M4513" s="36" t="str">
        <f t="shared" si="33"/>
        <v/>
      </c>
      <c r="N4513" s="30" t="str">
        <f t="shared" si="34"/>
        <v>BT atau SU Belum Valid</v>
      </c>
      <c r="O4513" s="39" t="str">
        <f t="shared" si="23"/>
        <v/>
      </c>
      <c r="P4513" s="47" t="b">
        <v>0</v>
      </c>
      <c r="Q4513" s="36" t="str">
        <f t="shared" si="35"/>
        <v/>
      </c>
      <c r="R4513" s="47" t="b">
        <v>0</v>
      </c>
      <c r="S4513" s="42" t="str">
        <f t="shared" si="28"/>
        <v/>
      </c>
      <c r="T4513" s="42"/>
    </row>
    <row r="4514" ht="22.5" customHeight="1">
      <c r="B4514" s="42">
        <f t="shared" si="7"/>
        <v>4508</v>
      </c>
      <c r="C4514" s="31" t="s">
        <v>4538</v>
      </c>
      <c r="D4514" s="34" t="str">
        <f t="array" ref="D4514">IFNA(_xlfn.XLOOKUP(C4514,Table_Tarikan_Warkah[Nomor Sertipikat],Table_Tarikan_Warkah[Nomor Tiket]),"")</f>
        <v>L/8/201025/1</v>
      </c>
      <c r="E4514" s="36" t="str">
        <f t="array" ref="E4514">IFNA(_xlfn.XLOOKUP(D4514,Table_Tarikan_Warkah[Nomor Tiket],Table_Tarikan_Warkah[Tanggal diserahkan kepada Validator]),"")</f>
        <v/>
      </c>
      <c r="F4514" s="36" t="str">
        <f t="array" ref="F4514">IFNA(_xlfn.XLOOKUP(D4514,Table_Tarikan_Warkah[Nomor Tiket],Table_Tarikan_Warkah[Nama Petugas Warkah]),"")</f>
        <v/>
      </c>
      <c r="G4514" s="39" t="str">
        <f t="array" ref="G4514">IFNA(_xlfn.XLOOKUP(D4514,Table_Tarikan_Warkah[Nomor Tiket],Table_Tarikan_Warkah[Jenis Permohonan]),"")</f>
        <v>ROYA</v>
      </c>
      <c r="H4514" s="41" t="s">
        <v>2315</v>
      </c>
      <c r="I4514" s="49" t="s">
        <v>23</v>
      </c>
      <c r="J4514" s="36">
        <f t="shared" si="20"/>
        <v>45989.44015</v>
      </c>
      <c r="K4514" s="69"/>
      <c r="L4514" s="49"/>
      <c r="M4514" s="36" t="str">
        <f t="shared" si="33"/>
        <v/>
      </c>
      <c r="N4514" s="30" t="str">
        <f t="shared" si="34"/>
        <v>BT atau SU Belum Valid</v>
      </c>
      <c r="O4514" s="39" t="str">
        <f t="shared" si="23"/>
        <v/>
      </c>
      <c r="P4514" s="47" t="b">
        <v>0</v>
      </c>
      <c r="Q4514" s="36" t="str">
        <f t="shared" si="35"/>
        <v/>
      </c>
      <c r="R4514" s="47" t="b">
        <v>0</v>
      </c>
      <c r="S4514" s="42" t="str">
        <f t="shared" si="28"/>
        <v/>
      </c>
      <c r="T4514" s="42"/>
    </row>
    <row r="4515" ht="22.5" customHeight="1">
      <c r="B4515" s="42">
        <f t="shared" si="7"/>
        <v>4509</v>
      </c>
      <c r="C4515" s="31" t="s">
        <v>4539</v>
      </c>
      <c r="D4515" s="34" t="str">
        <f t="array" ref="D4515">IFNA(_xlfn.XLOOKUP(C4515,Table_Tarikan_Warkah[Nomor Sertipikat],Table_Tarikan_Warkah[Nomor Tiket]),"")</f>
        <v>ABXERFTB/AB45</v>
      </c>
      <c r="E4515" s="36" t="str">
        <f t="array" ref="E4515">IFNA(_xlfn.XLOOKUP(D4515,Table_Tarikan_Warkah[Nomor Tiket],Table_Tarikan_Warkah[Tanggal diserahkan kepada Validator]),"")</f>
        <v/>
      </c>
      <c r="F4515" s="36" t="str">
        <f t="array" ref="F4515">IFNA(_xlfn.XLOOKUP(D4515,Table_Tarikan_Warkah[Nomor Tiket],Table_Tarikan_Warkah[Nama Petugas Warkah]),"")</f>
        <v/>
      </c>
      <c r="G4515" s="39" t="str">
        <f t="array" ref="G4515">IFNA(_xlfn.XLOOKUP(D4515,Table_Tarikan_Warkah[Nomor Tiket],Table_Tarikan_Warkah[Jenis Permohonan]),"")</f>
        <v>BN JUAL BELI </v>
      </c>
      <c r="H4515" s="41" t="s">
        <v>2315</v>
      </c>
      <c r="I4515" s="49" t="s">
        <v>23</v>
      </c>
      <c r="J4515" s="36">
        <f t="shared" si="20"/>
        <v>45993.34967</v>
      </c>
      <c r="K4515" s="69"/>
      <c r="L4515" s="49"/>
      <c r="M4515" s="36" t="str">
        <f t="shared" si="33"/>
        <v/>
      </c>
      <c r="N4515" s="30" t="str">
        <f t="shared" si="34"/>
        <v>BT atau SU Belum Valid</v>
      </c>
      <c r="O4515" s="39" t="str">
        <f t="shared" si="23"/>
        <v/>
      </c>
      <c r="P4515" s="47" t="b">
        <v>0</v>
      </c>
      <c r="Q4515" s="36" t="str">
        <f t="shared" si="35"/>
        <v/>
      </c>
      <c r="R4515" s="47" t="b">
        <v>0</v>
      </c>
      <c r="S4515" s="42" t="str">
        <f t="shared" si="28"/>
        <v/>
      </c>
      <c r="T4515" s="42"/>
    </row>
    <row r="4516" ht="22.5" customHeight="1">
      <c r="B4516" s="42">
        <f t="shared" si="7"/>
        <v>4510</v>
      </c>
      <c r="C4516" s="31" t="s">
        <v>4540</v>
      </c>
      <c r="D4516" s="34" t="str">
        <f t="array" ref="D4516">IFNA(_xlfn.XLOOKUP(C4516,Table_Tarikan_Warkah[Nomor Sertipikat],Table_Tarikan_Warkah[Nomor Tiket]),"")</f>
        <v>ABOJUYBK/AB010</v>
      </c>
      <c r="E4516" s="36" t="str">
        <f t="array" ref="E4516">IFNA(_xlfn.XLOOKUP(D4516,Table_Tarikan_Warkah[Nomor Tiket],Table_Tarikan_Warkah[Tanggal diserahkan kepada Validator]),"")</f>
        <v/>
      </c>
      <c r="F4516" s="36" t="str">
        <f t="array" ref="F4516">IFNA(_xlfn.XLOOKUP(D4516,Table_Tarikan_Warkah[Nomor Tiket],Table_Tarikan_Warkah[Nama Petugas Warkah]),"")</f>
        <v/>
      </c>
      <c r="G4516" s="39" t="str">
        <f t="array" ref="G4516">IFNA(_xlfn.XLOOKUP(D4516,Table_Tarikan_Warkah[Nomor Tiket],Table_Tarikan_Warkah[Jenis Permohonan]),"")</f>
        <v>Balik Nama JUAL BELI</v>
      </c>
      <c r="H4516" s="41" t="s">
        <v>2315</v>
      </c>
      <c r="I4516" s="49" t="s">
        <v>23</v>
      </c>
      <c r="J4516" s="36">
        <f t="shared" si="20"/>
        <v>45993.35027</v>
      </c>
      <c r="K4516" s="69"/>
      <c r="L4516" s="49"/>
      <c r="M4516" s="36" t="str">
        <f t="shared" si="33"/>
        <v/>
      </c>
      <c r="N4516" s="30" t="str">
        <f t="shared" si="34"/>
        <v>BT atau SU Belum Valid</v>
      </c>
      <c r="O4516" s="39" t="str">
        <f t="shared" si="23"/>
        <v/>
      </c>
      <c r="P4516" s="47" t="b">
        <v>0</v>
      </c>
      <c r="Q4516" s="36" t="str">
        <f t="shared" si="35"/>
        <v/>
      </c>
      <c r="R4516" s="47" t="b">
        <v>0</v>
      </c>
      <c r="S4516" s="42" t="str">
        <f t="shared" si="28"/>
        <v/>
      </c>
      <c r="T4516" s="42"/>
    </row>
    <row r="4517" ht="22.5" customHeight="1">
      <c r="B4517" s="42">
        <f t="shared" si="7"/>
        <v>4511</v>
      </c>
      <c r="C4517" s="31" t="s">
        <v>4541</v>
      </c>
      <c r="D4517" s="34" t="str">
        <f t="array" ref="D4517">IFNA(_xlfn.XLOOKUP(C4517,Table_Tarikan_Warkah[Nomor Sertipikat],Table_Tarikan_Warkah[Nomor Tiket]),"")</f>
        <v>ABWAHYZT</v>
      </c>
      <c r="E4517" s="36" t="str">
        <f t="array" ref="E4517">IFNA(_xlfn.XLOOKUP(D4517,Table_Tarikan_Warkah[Nomor Tiket],Table_Tarikan_Warkah[Tanggal diserahkan kepada Validator]),"")</f>
        <v/>
      </c>
      <c r="F4517" s="36" t="str">
        <f t="array" ref="F4517">IFNA(_xlfn.XLOOKUP(D4517,Table_Tarikan_Warkah[Nomor Tiket],Table_Tarikan_Warkah[Nama Petugas Warkah]),"")</f>
        <v/>
      </c>
      <c r="G4517" s="39" t="str">
        <f t="array" ref="G4517">IFNA(_xlfn.XLOOKUP(D4517,Table_Tarikan_Warkah[Nomor Tiket],Table_Tarikan_Warkah[Jenis Permohonan]),"")</f>
        <v>Balik Nama</v>
      </c>
      <c r="H4517" s="41" t="s">
        <v>2315</v>
      </c>
      <c r="I4517" s="49" t="s">
        <v>23</v>
      </c>
      <c r="J4517" s="36">
        <f t="shared" si="20"/>
        <v>45993.35057</v>
      </c>
      <c r="K4517" s="69"/>
      <c r="L4517" s="49"/>
      <c r="M4517" s="36" t="str">
        <f t="shared" si="33"/>
        <v/>
      </c>
      <c r="N4517" s="30" t="str">
        <f t="shared" si="34"/>
        <v>BT atau SU Belum Valid</v>
      </c>
      <c r="O4517" s="39" t="str">
        <f t="shared" si="23"/>
        <v/>
      </c>
      <c r="P4517" s="47" t="b">
        <v>0</v>
      </c>
      <c r="Q4517" s="36" t="str">
        <f t="shared" si="35"/>
        <v/>
      </c>
      <c r="R4517" s="47" t="b">
        <v>0</v>
      </c>
      <c r="S4517" s="42" t="str">
        <f t="shared" si="28"/>
        <v/>
      </c>
      <c r="T4517" s="42"/>
    </row>
    <row r="4518" ht="22.5" customHeight="1">
      <c r="B4518" s="42">
        <f t="shared" si="7"/>
        <v>4512</v>
      </c>
      <c r="C4518" s="31" t="s">
        <v>4542</v>
      </c>
      <c r="D4518" s="34" t="str">
        <f t="array" ref="D4518">IFNA(_xlfn.XLOOKUP(C4518,Table_Tarikan_Warkah[Nomor Sertipikat],Table_Tarikan_Warkah[Nomor Tiket]),"")</f>
        <v>ABCWYKP</v>
      </c>
      <c r="E4518" s="36" t="str">
        <f t="array" ref="E4518">IFNA(_xlfn.XLOOKUP(D4518,Table_Tarikan_Warkah[Nomor Tiket],Table_Tarikan_Warkah[Tanggal diserahkan kepada Validator]),"")</f>
        <v/>
      </c>
      <c r="F4518" s="36" t="str">
        <f t="array" ref="F4518">IFNA(_xlfn.XLOOKUP(D4518,Table_Tarikan_Warkah[Nomor Tiket],Table_Tarikan_Warkah[Nama Petugas Warkah]),"")</f>
        <v/>
      </c>
      <c r="G4518" s="39" t="str">
        <f t="array" ref="G4518">IFNA(_xlfn.XLOOKUP(D4518,Table_Tarikan_Warkah[Nomor Tiket],Table_Tarikan_Warkah[Jenis Permohonan]),"")</f>
        <v>BALIK NAMA</v>
      </c>
      <c r="H4518" s="41" t="s">
        <v>2315</v>
      </c>
      <c r="I4518" s="49" t="s">
        <v>23</v>
      </c>
      <c r="J4518" s="36">
        <f t="shared" si="20"/>
        <v>45993.35092</v>
      </c>
      <c r="K4518" s="69"/>
      <c r="L4518" s="49"/>
      <c r="M4518" s="36" t="str">
        <f t="shared" si="33"/>
        <v/>
      </c>
      <c r="N4518" s="30" t="str">
        <f t="shared" si="34"/>
        <v>BT atau SU Belum Valid</v>
      </c>
      <c r="O4518" s="39" t="str">
        <f t="shared" si="23"/>
        <v/>
      </c>
      <c r="P4518" s="47" t="b">
        <v>0</v>
      </c>
      <c r="Q4518" s="36" t="str">
        <f t="shared" si="35"/>
        <v/>
      </c>
      <c r="R4518" s="47" t="b">
        <v>0</v>
      </c>
      <c r="S4518" s="42" t="str">
        <f t="shared" si="28"/>
        <v/>
      </c>
      <c r="T4518" s="42"/>
    </row>
    <row r="4519" ht="22.5" customHeight="1">
      <c r="B4519" s="42">
        <f t="shared" si="7"/>
        <v>4513</v>
      </c>
      <c r="C4519" s="31" t="s">
        <v>4543</v>
      </c>
      <c r="D4519" s="34" t="str">
        <f t="array" ref="D4519">IFNA(_xlfn.XLOOKUP(C4519,Table_Tarikan_Warkah[Nomor Sertipikat],Table_Tarikan_Warkah[Nomor Tiket]),"")</f>
        <v>ABNXPHGE/AB45</v>
      </c>
      <c r="E4519" s="36" t="str">
        <f t="array" ref="E4519">IFNA(_xlfn.XLOOKUP(D4519,Table_Tarikan_Warkah[Nomor Tiket],Table_Tarikan_Warkah[Tanggal diserahkan kepada Validator]),"")</f>
        <v/>
      </c>
      <c r="F4519" s="36" t="str">
        <f t="array" ref="F4519">IFNA(_xlfn.XLOOKUP(D4519,Table_Tarikan_Warkah[Nomor Tiket],Table_Tarikan_Warkah[Nama Petugas Warkah]),"")</f>
        <v/>
      </c>
      <c r="G4519" s="39" t="str">
        <f t="array" ref="G4519">IFNA(_xlfn.XLOOKUP(D4519,Table_Tarikan_Warkah[Nomor Tiket],Table_Tarikan_Warkah[Jenis Permohonan]),"")</f>
        <v>BN JUAL BELI </v>
      </c>
      <c r="H4519" s="41" t="s">
        <v>2315</v>
      </c>
      <c r="I4519" s="49" t="s">
        <v>23</v>
      </c>
      <c r="J4519" s="36">
        <f t="shared" si="20"/>
        <v>45993.35121</v>
      </c>
      <c r="K4519" s="69"/>
      <c r="L4519" s="49"/>
      <c r="M4519" s="36" t="str">
        <f t="shared" si="33"/>
        <v/>
      </c>
      <c r="N4519" s="30" t="str">
        <f t="shared" si="34"/>
        <v>BT atau SU Belum Valid</v>
      </c>
      <c r="O4519" s="39" t="str">
        <f t="shared" si="23"/>
        <v/>
      </c>
      <c r="P4519" s="47" t="b">
        <v>0</v>
      </c>
      <c r="Q4519" s="36" t="str">
        <f t="shared" si="35"/>
        <v/>
      </c>
      <c r="R4519" s="47" t="b">
        <v>0</v>
      </c>
      <c r="S4519" s="42" t="str">
        <f t="shared" si="28"/>
        <v/>
      </c>
      <c r="T4519" s="42"/>
    </row>
    <row r="4520" ht="22.5" customHeight="1">
      <c r="B4520" s="42">
        <f t="shared" si="7"/>
        <v>4514</v>
      </c>
      <c r="C4520" s="31" t="s">
        <v>4544</v>
      </c>
      <c r="D4520" s="34" t="str">
        <f t="array" ref="D4520">IFNA(_xlfn.XLOOKUP(C4520,Table_Tarikan_Warkah[Nomor Sertipikat],Table_Tarikan_Warkah[Nomor Tiket]),"")</f>
        <v>K/8/061025/1</v>
      </c>
      <c r="E4520" s="36">
        <f t="array" ref="E4520">IFNA(_xlfn.XLOOKUP(D4520,Table_Tarikan_Warkah[Nomor Tiket],Table_Tarikan_Warkah[Tanggal diserahkan kepada Validator]),"")</f>
        <v>45993.58543</v>
      </c>
      <c r="F4520" s="36" t="str">
        <f t="array" ref="F4520">IFNA(_xlfn.XLOOKUP(D4520,Table_Tarikan_Warkah[Nomor Tiket],Table_Tarikan_Warkah[Nama Petugas Warkah]),"")</f>
        <v>David</v>
      </c>
      <c r="G4520" s="39" t="str">
        <f t="array" ref="G4520">IFNA(_xlfn.XLOOKUP(D4520,Table_Tarikan_Warkah[Nomor Tiket],Table_Tarikan_Warkah[Jenis Permohonan]),"")</f>
        <v>BN Jual Beli	</v>
      </c>
      <c r="H4520" s="41" t="s">
        <v>2315</v>
      </c>
      <c r="I4520" s="49" t="s">
        <v>23</v>
      </c>
      <c r="J4520" s="36">
        <f t="shared" si="20"/>
        <v>45993.35152</v>
      </c>
      <c r="K4520" s="69"/>
      <c r="L4520" s="49"/>
      <c r="M4520" s="36" t="str">
        <f t="shared" si="33"/>
        <v/>
      </c>
      <c r="N4520" s="30" t="str">
        <f t="shared" si="34"/>
        <v>BT atau SU Belum Valid</v>
      </c>
      <c r="O4520" s="39" t="str">
        <f t="shared" si="23"/>
        <v/>
      </c>
      <c r="P4520" s="47" t="b">
        <v>0</v>
      </c>
      <c r="Q4520" s="36" t="str">
        <f t="shared" si="35"/>
        <v/>
      </c>
      <c r="R4520" s="47" t="b">
        <v>0</v>
      </c>
      <c r="S4520" s="42" t="str">
        <f t="shared" si="28"/>
        <v/>
      </c>
      <c r="T4520" s="42"/>
    </row>
    <row r="4521" ht="22.5" customHeight="1">
      <c r="B4521" s="42">
        <f t="shared" si="7"/>
        <v>4515</v>
      </c>
      <c r="C4521" s="31" t="s">
        <v>4466</v>
      </c>
      <c r="D4521" s="34" t="str">
        <f t="array" ref="D4521">IFNA(_xlfn.XLOOKUP(C4521,Table_Tarikan_Warkah[Nomor Sertipikat],Table_Tarikan_Warkah[Nomor Tiket]),"")</f>
        <v>K/11/061025/1</v>
      </c>
      <c r="E4521" s="36" t="str">
        <f t="array" ref="E4521">IFNA(_xlfn.XLOOKUP(D4521,Table_Tarikan_Warkah[Nomor Tiket],Table_Tarikan_Warkah[Tanggal diserahkan kepada Validator]),"")</f>
        <v/>
      </c>
      <c r="F4521" s="36" t="str">
        <f t="array" ref="F4521">IFNA(_xlfn.XLOOKUP(D4521,Table_Tarikan_Warkah[Nomor Tiket],Table_Tarikan_Warkah[Nama Petugas Warkah]),"")</f>
        <v/>
      </c>
      <c r="G4521" s="39" t="str">
        <f t="array" ref="G4521">IFNA(_xlfn.XLOOKUP(D4521,Table_Tarikan_Warkah[Nomor Tiket],Table_Tarikan_Warkah[Jenis Permohonan]),"")</f>
        <v>BN JUAL BELI</v>
      </c>
      <c r="H4521" s="41" t="s">
        <v>2315</v>
      </c>
      <c r="I4521" s="49" t="s">
        <v>23</v>
      </c>
      <c r="J4521" s="36">
        <f t="shared" si="20"/>
        <v>45993.35185</v>
      </c>
      <c r="K4521" s="69"/>
      <c r="L4521" s="49"/>
      <c r="M4521" s="36" t="str">
        <f t="shared" si="33"/>
        <v/>
      </c>
      <c r="N4521" s="30" t="str">
        <f t="shared" si="34"/>
        <v>BT atau SU Belum Valid</v>
      </c>
      <c r="O4521" s="39" t="str">
        <f t="shared" si="23"/>
        <v/>
      </c>
      <c r="P4521" s="47" t="b">
        <v>0</v>
      </c>
      <c r="Q4521" s="36" t="str">
        <f t="shared" si="35"/>
        <v/>
      </c>
      <c r="R4521" s="47" t="b">
        <v>0</v>
      </c>
      <c r="S4521" s="42" t="str">
        <f t="shared" si="28"/>
        <v/>
      </c>
      <c r="T4521" s="42"/>
    </row>
    <row r="4522" ht="22.5" customHeight="1">
      <c r="B4522" s="42">
        <f t="shared" si="7"/>
        <v>4516</v>
      </c>
      <c r="C4522" s="31" t="s">
        <v>4545</v>
      </c>
      <c r="D4522" s="34" t="str">
        <f t="array" ref="D4522">IFNA(_xlfn.XLOOKUP(C4522,Table_Tarikan_Warkah[Nomor Sertipikat],Table_Tarikan_Warkah[Nomor Tiket]),"")</f>
        <v>L/7/161025/1</v>
      </c>
      <c r="E4522" s="36" t="str">
        <f t="array" ref="E4522">IFNA(_xlfn.XLOOKUP(D4522,Table_Tarikan_Warkah[Nomor Tiket],Table_Tarikan_Warkah[Tanggal diserahkan kepada Validator]),"")</f>
        <v/>
      </c>
      <c r="F4522" s="36" t="str">
        <f t="array" ref="F4522">IFNA(_xlfn.XLOOKUP(D4522,Table_Tarikan_Warkah[Nomor Tiket],Table_Tarikan_Warkah[Nama Petugas Warkah]),"")</f>
        <v/>
      </c>
      <c r="G4522" s="39" t="str">
        <f t="array" ref="G4522">IFNA(_xlfn.XLOOKUP(D4522,Table_Tarikan_Warkah[Nomor Tiket],Table_Tarikan_Warkah[Jenis Permohonan]),"")</f>
        <v>KEWARISAN </v>
      </c>
      <c r="H4522" s="41" t="s">
        <v>2315</v>
      </c>
      <c r="I4522" s="49" t="s">
        <v>23</v>
      </c>
      <c r="J4522" s="36">
        <f t="shared" si="20"/>
        <v>45993.35251</v>
      </c>
      <c r="K4522" s="69"/>
      <c r="L4522" s="49"/>
      <c r="M4522" s="36" t="str">
        <f t="shared" si="33"/>
        <v/>
      </c>
      <c r="N4522" s="30" t="str">
        <f t="shared" si="34"/>
        <v>BT atau SU Belum Valid</v>
      </c>
      <c r="O4522" s="39" t="str">
        <f t="shared" si="23"/>
        <v/>
      </c>
      <c r="P4522" s="47" t="b">
        <v>0</v>
      </c>
      <c r="Q4522" s="36" t="str">
        <f t="shared" si="35"/>
        <v/>
      </c>
      <c r="R4522" s="47" t="b">
        <v>0</v>
      </c>
      <c r="S4522" s="42" t="str">
        <f t="shared" si="28"/>
        <v/>
      </c>
      <c r="T4522" s="42"/>
    </row>
    <row r="4523" ht="22.5" customHeight="1">
      <c r="B4523" s="42">
        <f t="shared" si="7"/>
        <v>4517</v>
      </c>
      <c r="C4523" s="31" t="s">
        <v>4546</v>
      </c>
      <c r="D4523" s="34" t="str">
        <f t="array" ref="D4523">IFNA(_xlfn.XLOOKUP(C4523,Table_Tarikan_Warkah[Nomor Sertipikat],Table_Tarikan_Warkah[Nomor Tiket]),"")</f>
        <v>ABXFFQIZ/Ab071</v>
      </c>
      <c r="E4523" s="36" t="str">
        <f t="array" ref="E4523">IFNA(_xlfn.XLOOKUP(D4523,Table_Tarikan_Warkah[Nomor Tiket],Table_Tarikan_Warkah[Tanggal diserahkan kepada Validator]),"")</f>
        <v/>
      </c>
      <c r="F4523" s="36" t="str">
        <f t="array" ref="F4523">IFNA(_xlfn.XLOOKUP(D4523,Table_Tarikan_Warkah[Nomor Tiket],Table_Tarikan_Warkah[Nama Petugas Warkah]),"")</f>
        <v/>
      </c>
      <c r="G4523" s="39" t="str">
        <f t="array" ref="G4523">IFNA(_xlfn.XLOOKUP(D4523,Table_Tarikan_Warkah[Nomor Tiket],Table_Tarikan_Warkah[Jenis Permohonan]),"")</f>
        <v>Balik nama jual beli</v>
      </c>
      <c r="H4523" s="41" t="s">
        <v>2315</v>
      </c>
      <c r="I4523" s="49" t="s">
        <v>23</v>
      </c>
      <c r="J4523" s="36">
        <f t="shared" si="20"/>
        <v>45993.35282</v>
      </c>
      <c r="K4523" s="69"/>
      <c r="L4523" s="49"/>
      <c r="M4523" s="36" t="str">
        <f t="shared" si="33"/>
        <v/>
      </c>
      <c r="N4523" s="30" t="str">
        <f t="shared" si="34"/>
        <v>BT atau SU Belum Valid</v>
      </c>
      <c r="O4523" s="39" t="str">
        <f t="shared" si="23"/>
        <v/>
      </c>
      <c r="P4523" s="47" t="b">
        <v>0</v>
      </c>
      <c r="Q4523" s="36" t="str">
        <f t="shared" si="35"/>
        <v/>
      </c>
      <c r="R4523" s="47" t="b">
        <v>0</v>
      </c>
      <c r="S4523" s="42" t="str">
        <f t="shared" si="28"/>
        <v/>
      </c>
      <c r="T4523" s="42"/>
    </row>
    <row r="4524" ht="22.5" customHeight="1">
      <c r="B4524" s="42">
        <f t="shared" si="7"/>
        <v>4518</v>
      </c>
      <c r="C4524" s="31" t="s">
        <v>4547</v>
      </c>
      <c r="D4524" s="34" t="str">
        <f t="array" ref="D4524">IFNA(_xlfn.XLOOKUP(C4524,Table_Tarikan_Warkah[Nomor Sertipikat],Table_Tarikan_Warkah[Nomor Tiket]),"")</f>
        <v>ABEVNACP/AB040</v>
      </c>
      <c r="E4524" s="36" t="str">
        <f t="array" ref="E4524">IFNA(_xlfn.XLOOKUP(D4524,Table_Tarikan_Warkah[Nomor Tiket],Table_Tarikan_Warkah[Tanggal diserahkan kepada Validator]),"")</f>
        <v/>
      </c>
      <c r="F4524" s="36" t="str">
        <f t="array" ref="F4524">IFNA(_xlfn.XLOOKUP(D4524,Table_Tarikan_Warkah[Nomor Tiket],Table_Tarikan_Warkah[Nama Petugas Warkah]),"")</f>
        <v/>
      </c>
      <c r="G4524" s="39" t="str">
        <f t="array" ref="G4524">IFNA(_xlfn.XLOOKUP(D4524,Table_Tarikan_Warkah[Nomor Tiket],Table_Tarikan_Warkah[Jenis Permohonan]),"")</f>
        <v>BN JUAL BELI</v>
      </c>
      <c r="H4524" s="41" t="s">
        <v>2315</v>
      </c>
      <c r="I4524" s="49" t="s">
        <v>23</v>
      </c>
      <c r="J4524" s="36">
        <f t="shared" si="20"/>
        <v>45993.35323</v>
      </c>
      <c r="K4524" s="69"/>
      <c r="L4524" s="49"/>
      <c r="M4524" s="36" t="str">
        <f t="shared" si="33"/>
        <v/>
      </c>
      <c r="N4524" s="30" t="str">
        <f t="shared" si="34"/>
        <v>BT atau SU Belum Valid</v>
      </c>
      <c r="O4524" s="39" t="str">
        <f t="shared" si="23"/>
        <v/>
      </c>
      <c r="P4524" s="47" t="b">
        <v>0</v>
      </c>
      <c r="Q4524" s="36" t="str">
        <f t="shared" si="35"/>
        <v/>
      </c>
      <c r="R4524" s="47" t="b">
        <v>0</v>
      </c>
      <c r="S4524" s="42" t="str">
        <f t="shared" si="28"/>
        <v/>
      </c>
      <c r="T4524" s="42"/>
    </row>
    <row r="4525" ht="22.5" customHeight="1">
      <c r="B4525" s="42">
        <f t="shared" si="7"/>
        <v>4519</v>
      </c>
      <c r="C4525" s="31" t="s">
        <v>4548</v>
      </c>
      <c r="D4525" s="34" t="str">
        <f t="array" ref="D4525">IFNA(_xlfn.XLOOKUP(C4525,Table_Tarikan_Warkah[Nomor Sertipikat],Table_Tarikan_Warkah[Nomor Tiket]),"")</f>
        <v>ABDGPEOO/AB03</v>
      </c>
      <c r="E4525" s="36" t="str">
        <f t="array" ref="E4525">IFNA(_xlfn.XLOOKUP(D4525,Table_Tarikan_Warkah[Nomor Tiket],Table_Tarikan_Warkah[Tanggal diserahkan kepada Validator]),"")</f>
        <v/>
      </c>
      <c r="F4525" s="36" t="str">
        <f t="array" ref="F4525">IFNA(_xlfn.XLOOKUP(D4525,Table_Tarikan_Warkah[Nomor Tiket],Table_Tarikan_Warkah[Nama Petugas Warkah]),"")</f>
        <v/>
      </c>
      <c r="G4525" s="39" t="str">
        <f t="array" ref="G4525">IFNA(_xlfn.XLOOKUP(D4525,Table_Tarikan_Warkah[Nomor Tiket],Table_Tarikan_Warkah[Jenis Permohonan]),"")</f>
        <v>BN Jual Beli</v>
      </c>
      <c r="H4525" s="41" t="s">
        <v>2315</v>
      </c>
      <c r="I4525" s="49" t="s">
        <v>23</v>
      </c>
      <c r="J4525" s="36">
        <f t="shared" si="20"/>
        <v>45993.35347</v>
      </c>
      <c r="K4525" s="69"/>
      <c r="L4525" s="49"/>
      <c r="M4525" s="36" t="str">
        <f t="shared" si="33"/>
        <v/>
      </c>
      <c r="N4525" s="30" t="str">
        <f t="shared" si="34"/>
        <v>BT atau SU Belum Valid</v>
      </c>
      <c r="O4525" s="39" t="str">
        <f t="shared" si="23"/>
        <v/>
      </c>
      <c r="P4525" s="47" t="b">
        <v>0</v>
      </c>
      <c r="Q4525" s="36" t="str">
        <f t="shared" si="35"/>
        <v/>
      </c>
      <c r="R4525" s="47" t="b">
        <v>0</v>
      </c>
      <c r="S4525" s="42" t="str">
        <f t="shared" si="28"/>
        <v/>
      </c>
      <c r="T4525" s="42"/>
    </row>
    <row r="4526" ht="22.5" customHeight="1">
      <c r="B4526" s="42">
        <f t="shared" si="7"/>
        <v>4520</v>
      </c>
      <c r="C4526" s="31" t="s">
        <v>4549</v>
      </c>
      <c r="D4526" s="34" t="str">
        <f t="array" ref="D4526">IFNA(_xlfn.XLOOKUP(C4526,Table_Tarikan_Warkah[Nomor Sertipikat],Table_Tarikan_Warkah[Nomor Tiket]),"")</f>
        <v>AB043/ABTUGDPL</v>
      </c>
      <c r="E4526" s="36" t="str">
        <f t="array" ref="E4526">IFNA(_xlfn.XLOOKUP(D4526,Table_Tarikan_Warkah[Nomor Tiket],Table_Tarikan_Warkah[Tanggal diserahkan kepada Validator]),"")</f>
        <v/>
      </c>
      <c r="F4526" s="36" t="str">
        <f t="array" ref="F4526">IFNA(_xlfn.XLOOKUP(D4526,Table_Tarikan_Warkah[Nomor Tiket],Table_Tarikan_Warkah[Nama Petugas Warkah]),"")</f>
        <v/>
      </c>
      <c r="G4526" s="39" t="str">
        <f t="array" ref="G4526">IFNA(_xlfn.XLOOKUP(D4526,Table_Tarikan_Warkah[Nomor Tiket],Table_Tarikan_Warkah[Jenis Permohonan]),"")</f>
        <v>BN Hibah</v>
      </c>
      <c r="H4526" s="41" t="s">
        <v>2315</v>
      </c>
      <c r="I4526" s="49" t="s">
        <v>23</v>
      </c>
      <c r="J4526" s="36">
        <f t="shared" si="20"/>
        <v>45993.35379</v>
      </c>
      <c r="K4526" s="69"/>
      <c r="L4526" s="49"/>
      <c r="M4526" s="36" t="str">
        <f t="shared" si="33"/>
        <v/>
      </c>
      <c r="N4526" s="30" t="str">
        <f t="shared" si="34"/>
        <v>BT atau SU Belum Valid</v>
      </c>
      <c r="O4526" s="39" t="str">
        <f t="shared" si="23"/>
        <v/>
      </c>
      <c r="P4526" s="47" t="b">
        <v>0</v>
      </c>
      <c r="Q4526" s="36" t="str">
        <f t="shared" si="35"/>
        <v/>
      </c>
      <c r="R4526" s="47" t="b">
        <v>0</v>
      </c>
      <c r="S4526" s="42" t="str">
        <f t="shared" si="28"/>
        <v/>
      </c>
      <c r="T4526" s="42"/>
    </row>
    <row r="4527" ht="22.5" customHeight="1">
      <c r="B4527" s="42">
        <f t="shared" si="7"/>
        <v>4521</v>
      </c>
      <c r="C4527" s="31" t="s">
        <v>4550</v>
      </c>
      <c r="D4527" s="34" t="str">
        <f t="array" ref="D4527">IFNA(_xlfn.XLOOKUP(C4527,Table_Tarikan_Warkah[Nomor Sertipikat],Table_Tarikan_Warkah[Nomor Tiket]),"")</f>
        <v>AB042/ABZKBYTZ</v>
      </c>
      <c r="E4527" s="36" t="str">
        <f t="array" ref="E4527">IFNA(_xlfn.XLOOKUP(D4527,Table_Tarikan_Warkah[Nomor Tiket],Table_Tarikan_Warkah[Tanggal diserahkan kepada Validator]),"")</f>
        <v/>
      </c>
      <c r="F4527" s="36" t="str">
        <f t="array" ref="F4527">IFNA(_xlfn.XLOOKUP(D4527,Table_Tarikan_Warkah[Nomor Tiket],Table_Tarikan_Warkah[Nama Petugas Warkah]),"")</f>
        <v/>
      </c>
      <c r="G4527" s="39" t="str">
        <f t="array" ref="G4527">IFNA(_xlfn.XLOOKUP(D4527,Table_Tarikan_Warkah[Nomor Tiket],Table_Tarikan_Warkah[Jenis Permohonan]),"")</f>
        <v>BN Hibah</v>
      </c>
      <c r="H4527" s="41" t="s">
        <v>2315</v>
      </c>
      <c r="I4527" s="49" t="s">
        <v>23</v>
      </c>
      <c r="J4527" s="36">
        <f t="shared" si="20"/>
        <v>45993.35413</v>
      </c>
      <c r="K4527" s="69"/>
      <c r="L4527" s="49"/>
      <c r="M4527" s="36" t="str">
        <f t="shared" si="33"/>
        <v/>
      </c>
      <c r="N4527" s="30" t="str">
        <f t="shared" si="34"/>
        <v>BT atau SU Belum Valid</v>
      </c>
      <c r="O4527" s="39" t="str">
        <f t="shared" si="23"/>
        <v/>
      </c>
      <c r="P4527" s="47" t="b">
        <v>0</v>
      </c>
      <c r="Q4527" s="36" t="str">
        <f t="shared" si="35"/>
        <v/>
      </c>
      <c r="R4527" s="47" t="b">
        <v>0</v>
      </c>
      <c r="S4527" s="42" t="str">
        <f t="shared" si="28"/>
        <v/>
      </c>
      <c r="T4527" s="42"/>
    </row>
    <row r="4528" ht="22.5" customHeight="1">
      <c r="B4528" s="42">
        <f t="shared" si="7"/>
        <v>4522</v>
      </c>
      <c r="C4528" s="31" t="s">
        <v>4551</v>
      </c>
      <c r="D4528" s="34" t="str">
        <f t="array" ref="D4528">IFNA(_xlfn.XLOOKUP(C4528,Table_Tarikan_Warkah[Nomor Sertipikat],Table_Tarikan_Warkah[Nomor Tiket]),"")</f>
        <v>L/6/301025/1</v>
      </c>
      <c r="E4528" s="36" t="str">
        <f t="array" ref="E4528">IFNA(_xlfn.XLOOKUP(D4528,Table_Tarikan_Warkah[Nomor Tiket],Table_Tarikan_Warkah[Tanggal diserahkan kepada Validator]),"")</f>
        <v/>
      </c>
      <c r="F4528" s="36" t="str">
        <f t="array" ref="F4528">IFNA(_xlfn.XLOOKUP(D4528,Table_Tarikan_Warkah[Nomor Tiket],Table_Tarikan_Warkah[Nama Petugas Warkah]),"")</f>
        <v/>
      </c>
      <c r="G4528" s="39" t="str">
        <f t="array" ref="G4528">IFNA(_xlfn.XLOOKUP(D4528,Table_Tarikan_Warkah[Nomor Tiket],Table_Tarikan_Warkah[Jenis Permohonan]),"")</f>
        <v>ROYA</v>
      </c>
      <c r="H4528" s="41" t="s">
        <v>2315</v>
      </c>
      <c r="I4528" s="49" t="s">
        <v>23</v>
      </c>
      <c r="J4528" s="36">
        <f t="shared" si="20"/>
        <v>45994.34616</v>
      </c>
      <c r="K4528" s="69"/>
      <c r="L4528" s="49"/>
      <c r="M4528" s="36" t="str">
        <f t="shared" si="33"/>
        <v/>
      </c>
      <c r="N4528" s="30" t="str">
        <f t="shared" si="34"/>
        <v>BT atau SU Belum Valid</v>
      </c>
      <c r="O4528" s="39" t="str">
        <f t="shared" si="23"/>
        <v/>
      </c>
      <c r="P4528" s="47" t="b">
        <v>0</v>
      </c>
      <c r="Q4528" s="36" t="str">
        <f t="shared" si="35"/>
        <v/>
      </c>
      <c r="R4528" s="47" t="b">
        <v>0</v>
      </c>
      <c r="S4528" s="42" t="str">
        <f t="shared" si="28"/>
        <v/>
      </c>
      <c r="T4528" s="42"/>
    </row>
    <row r="4529" ht="22.5" customHeight="1">
      <c r="B4529" s="42">
        <f t="shared" si="7"/>
        <v>4523</v>
      </c>
      <c r="C4529" s="31" t="s">
        <v>4552</v>
      </c>
      <c r="D4529" s="34" t="str">
        <f t="array" ref="D4529">IFNA(_xlfn.XLOOKUP(C4529,Table_Tarikan_Warkah[Nomor Sertipikat],Table_Tarikan_Warkah[Nomor Tiket]),"")</f>
        <v>L/1/271025/1</v>
      </c>
      <c r="E4529" s="36" t="str">
        <f t="array" ref="E4529">IFNA(_xlfn.XLOOKUP(D4529,Table_Tarikan_Warkah[Nomor Tiket],Table_Tarikan_Warkah[Tanggal diserahkan kepada Validator]),"")</f>
        <v/>
      </c>
      <c r="F4529" s="36" t="str">
        <f t="array" ref="F4529">IFNA(_xlfn.XLOOKUP(D4529,Table_Tarikan_Warkah[Nomor Tiket],Table_Tarikan_Warkah[Nama Petugas Warkah]),"")</f>
        <v/>
      </c>
      <c r="G4529" s="39" t="str">
        <f t="array" ref="G4529">IFNA(_xlfn.XLOOKUP(D4529,Table_Tarikan_Warkah[Nomor Tiket],Table_Tarikan_Warkah[Jenis Permohonan]),"")</f>
        <v>ROYA LELANG</v>
      </c>
      <c r="H4529" s="41" t="s">
        <v>2315</v>
      </c>
      <c r="I4529" s="49" t="s">
        <v>23</v>
      </c>
      <c r="J4529" s="36">
        <f t="shared" si="20"/>
        <v>45994.34636</v>
      </c>
      <c r="K4529" s="69"/>
      <c r="L4529" s="49"/>
      <c r="M4529" s="36" t="str">
        <f t="shared" si="33"/>
        <v/>
      </c>
      <c r="N4529" s="30" t="str">
        <f t="shared" si="34"/>
        <v>BT atau SU Belum Valid</v>
      </c>
      <c r="O4529" s="39" t="str">
        <f t="shared" si="23"/>
        <v/>
      </c>
      <c r="P4529" s="47" t="b">
        <v>0</v>
      </c>
      <c r="Q4529" s="36" t="str">
        <f t="shared" si="35"/>
        <v/>
      </c>
      <c r="R4529" s="47" t="b">
        <v>0</v>
      </c>
      <c r="S4529" s="42" t="str">
        <f t="shared" si="28"/>
        <v/>
      </c>
      <c r="T4529" s="42"/>
    </row>
    <row r="4530" ht="22.5" customHeight="1">
      <c r="B4530" s="42">
        <f t="shared" si="7"/>
        <v>4524</v>
      </c>
      <c r="C4530" s="31" t="s">
        <v>4553</v>
      </c>
      <c r="D4530" s="34" t="str">
        <f t="array" ref="D4530">IFNA(_xlfn.XLOOKUP(C4530,Table_Tarikan_Warkah[Nomor Sertipikat],Table_Tarikan_Warkah[Nomor Tiket]),"")</f>
        <v>L/15/221025/1</v>
      </c>
      <c r="E4530" s="36" t="str">
        <f t="array" ref="E4530">IFNA(_xlfn.XLOOKUP(D4530,Table_Tarikan_Warkah[Nomor Tiket],Table_Tarikan_Warkah[Tanggal diserahkan kepada Validator]),"")</f>
        <v/>
      </c>
      <c r="F4530" s="36" t="str">
        <f t="array" ref="F4530">IFNA(_xlfn.XLOOKUP(D4530,Table_Tarikan_Warkah[Nomor Tiket],Table_Tarikan_Warkah[Nama Petugas Warkah]),"")</f>
        <v/>
      </c>
      <c r="G4530" s="39" t="str">
        <f t="array" ref="G4530">IFNA(_xlfn.XLOOKUP(D4530,Table_Tarikan_Warkah[Nomor Tiket],Table_Tarikan_Warkah[Jenis Permohonan]),"")</f>
        <v>ROYA</v>
      </c>
      <c r="H4530" s="41" t="s">
        <v>2315</v>
      </c>
      <c r="I4530" s="49" t="s">
        <v>23</v>
      </c>
      <c r="J4530" s="36">
        <f t="shared" si="20"/>
        <v>45994.34667</v>
      </c>
      <c r="K4530" s="69"/>
      <c r="L4530" s="49"/>
      <c r="M4530" s="36" t="str">
        <f t="shared" si="33"/>
        <v/>
      </c>
      <c r="N4530" s="30" t="str">
        <f t="shared" si="34"/>
        <v>BT atau SU Belum Valid</v>
      </c>
      <c r="O4530" s="39" t="str">
        <f t="shared" si="23"/>
        <v/>
      </c>
      <c r="P4530" s="47" t="b">
        <v>0</v>
      </c>
      <c r="Q4530" s="36" t="str">
        <f t="shared" si="35"/>
        <v/>
      </c>
      <c r="R4530" s="47" t="b">
        <v>0</v>
      </c>
      <c r="S4530" s="42" t="str">
        <f t="shared" si="28"/>
        <v/>
      </c>
      <c r="T4530" s="42"/>
    </row>
    <row r="4531" ht="22.5" customHeight="1">
      <c r="B4531" s="42">
        <f t="shared" si="7"/>
        <v>4525</v>
      </c>
      <c r="C4531" s="31" t="s">
        <v>4554</v>
      </c>
      <c r="D4531" s="34" t="str">
        <f t="array" ref="D4531">IFNA(_xlfn.XLOOKUP(C4531,Table_Tarikan_Warkah[Nomor Sertipikat],Table_Tarikan_Warkah[Nomor Tiket]),"")</f>
        <v>L/18/291025/1</v>
      </c>
      <c r="E4531" s="36" t="str">
        <f t="array" ref="E4531">IFNA(_xlfn.XLOOKUP(D4531,Table_Tarikan_Warkah[Nomor Tiket],Table_Tarikan_Warkah[Tanggal diserahkan kepada Validator]),"")</f>
        <v/>
      </c>
      <c r="F4531" s="36" t="str">
        <f t="array" ref="F4531">IFNA(_xlfn.XLOOKUP(D4531,Table_Tarikan_Warkah[Nomor Tiket],Table_Tarikan_Warkah[Nama Petugas Warkah]),"")</f>
        <v/>
      </c>
      <c r="G4531" s="39" t="str">
        <f t="array" ref="G4531">IFNA(_xlfn.XLOOKUP(D4531,Table_Tarikan_Warkah[Nomor Tiket],Table_Tarikan_Warkah[Jenis Permohonan]),"")</f>
        <v>ROYA</v>
      </c>
      <c r="H4531" s="41" t="s">
        <v>2315</v>
      </c>
      <c r="I4531" s="49" t="s">
        <v>23</v>
      </c>
      <c r="J4531" s="36">
        <f t="shared" si="20"/>
        <v>45994.34683</v>
      </c>
      <c r="K4531" s="69"/>
      <c r="L4531" s="49"/>
      <c r="M4531" s="36" t="str">
        <f t="shared" si="33"/>
        <v/>
      </c>
      <c r="N4531" s="30" t="str">
        <f t="shared" si="34"/>
        <v>BT atau SU Belum Valid</v>
      </c>
      <c r="O4531" s="39" t="str">
        <f t="shared" si="23"/>
        <v/>
      </c>
      <c r="P4531" s="47" t="b">
        <v>0</v>
      </c>
      <c r="Q4531" s="36" t="str">
        <f t="shared" si="35"/>
        <v/>
      </c>
      <c r="R4531" s="47" t="b">
        <v>0</v>
      </c>
      <c r="S4531" s="42" t="str">
        <f t="shared" si="28"/>
        <v/>
      </c>
      <c r="T4531" s="42"/>
    </row>
    <row r="4532" ht="22.5" customHeight="1">
      <c r="B4532" s="42">
        <f t="shared" si="7"/>
        <v>4526</v>
      </c>
      <c r="C4532" s="31" t="s">
        <v>4555</v>
      </c>
      <c r="D4532" s="34" t="str">
        <f t="array" ref="D4532">IFNA(_xlfn.XLOOKUP(C4532,Table_Tarikan_Warkah[Nomor Sertipikat],Table_Tarikan_Warkah[Nomor Tiket]),"")</f>
        <v>L/7/281025/1</v>
      </c>
      <c r="E4532" s="36" t="str">
        <f t="array" ref="E4532">IFNA(_xlfn.XLOOKUP(D4532,Table_Tarikan_Warkah[Nomor Tiket],Table_Tarikan_Warkah[Tanggal diserahkan kepada Validator]),"")</f>
        <v/>
      </c>
      <c r="F4532" s="36" t="str">
        <f t="array" ref="F4532">IFNA(_xlfn.XLOOKUP(D4532,Table_Tarikan_Warkah[Nomor Tiket],Table_Tarikan_Warkah[Nama Petugas Warkah]),"")</f>
        <v/>
      </c>
      <c r="G4532" s="39" t="str">
        <f t="array" ref="G4532">IFNA(_xlfn.XLOOKUP(D4532,Table_Tarikan_Warkah[Nomor Tiket],Table_Tarikan_Warkah[Jenis Permohonan]),"")</f>
        <v>ROYA</v>
      </c>
      <c r="H4532" s="41" t="s">
        <v>2315</v>
      </c>
      <c r="I4532" s="49" t="s">
        <v>23</v>
      </c>
      <c r="J4532" s="36">
        <f t="shared" si="20"/>
        <v>45994.34696</v>
      </c>
      <c r="K4532" s="69"/>
      <c r="L4532" s="49"/>
      <c r="M4532" s="36" t="str">
        <f t="shared" si="33"/>
        <v/>
      </c>
      <c r="N4532" s="30" t="str">
        <f t="shared" si="34"/>
        <v>BT atau SU Belum Valid</v>
      </c>
      <c r="O4532" s="39" t="str">
        <f t="shared" si="23"/>
        <v/>
      </c>
      <c r="P4532" s="47" t="b">
        <v>0</v>
      </c>
      <c r="Q4532" s="36" t="str">
        <f t="shared" si="35"/>
        <v/>
      </c>
      <c r="R4532" s="47" t="b">
        <v>0</v>
      </c>
      <c r="S4532" s="42" t="str">
        <f t="shared" si="28"/>
        <v/>
      </c>
      <c r="T4532" s="42"/>
    </row>
    <row r="4533" ht="22.5" customHeight="1">
      <c r="B4533" s="42">
        <f t="shared" si="7"/>
        <v>4527</v>
      </c>
      <c r="C4533" s="31" t="s">
        <v>4556</v>
      </c>
      <c r="D4533" s="34" t="str">
        <f t="array" ref="D4533">IFNA(_xlfn.XLOOKUP(C4533,Table_Tarikan_Warkah[Nomor Sertipikat],Table_Tarikan_Warkah[Nomor Tiket]),"")</f>
        <v>L/13/051125/2</v>
      </c>
      <c r="E4533" s="36" t="str">
        <f t="array" ref="E4533">IFNA(_xlfn.XLOOKUP(D4533,Table_Tarikan_Warkah[Nomor Tiket],Table_Tarikan_Warkah[Tanggal diserahkan kepada Validator]),"")</f>
        <v/>
      </c>
      <c r="F4533" s="36" t="str">
        <f t="array" ref="F4533">IFNA(_xlfn.XLOOKUP(D4533,Table_Tarikan_Warkah[Nomor Tiket],Table_Tarikan_Warkah[Nama Petugas Warkah]),"")</f>
        <v/>
      </c>
      <c r="G4533" s="39" t="str">
        <f t="array" ref="G4533">IFNA(_xlfn.XLOOKUP(D4533,Table_Tarikan_Warkah[Nomor Tiket],Table_Tarikan_Warkah[Jenis Permohonan]),"")</f>
        <v>ROYA</v>
      </c>
      <c r="H4533" s="41" t="s">
        <v>2315</v>
      </c>
      <c r="I4533" s="49" t="s">
        <v>23</v>
      </c>
      <c r="J4533" s="36">
        <f t="shared" si="20"/>
        <v>45994.34712</v>
      </c>
      <c r="K4533" s="69"/>
      <c r="L4533" s="49"/>
      <c r="M4533" s="36" t="str">
        <f t="shared" si="33"/>
        <v/>
      </c>
      <c r="N4533" s="30" t="str">
        <f t="shared" si="34"/>
        <v>BT atau SU Belum Valid</v>
      </c>
      <c r="O4533" s="39" t="str">
        <f t="shared" si="23"/>
        <v/>
      </c>
      <c r="P4533" s="47" t="b">
        <v>0</v>
      </c>
      <c r="Q4533" s="36" t="str">
        <f t="shared" si="35"/>
        <v/>
      </c>
      <c r="R4533" s="47" t="b">
        <v>0</v>
      </c>
      <c r="S4533" s="42" t="str">
        <f t="shared" si="28"/>
        <v/>
      </c>
      <c r="T4533" s="42"/>
    </row>
    <row r="4534" ht="22.5" customHeight="1">
      <c r="B4534" s="42">
        <f t="shared" si="7"/>
        <v>4528</v>
      </c>
      <c r="C4534" s="31" t="s">
        <v>4557</v>
      </c>
      <c r="D4534" s="34" t="str">
        <f t="array" ref="D4534">IFNA(_xlfn.XLOOKUP(C4534,Table_Tarikan_Warkah[Nomor Sertipikat],Table_Tarikan_Warkah[Nomor Tiket]),"")</f>
        <v>L/4/231025/1</v>
      </c>
      <c r="E4534" s="36" t="str">
        <f t="array" ref="E4534">IFNA(_xlfn.XLOOKUP(D4534,Table_Tarikan_Warkah[Nomor Tiket],Table_Tarikan_Warkah[Tanggal diserahkan kepada Validator]),"")</f>
        <v/>
      </c>
      <c r="F4534" s="36" t="str">
        <f t="array" ref="F4534">IFNA(_xlfn.XLOOKUP(D4534,Table_Tarikan_Warkah[Nomor Tiket],Table_Tarikan_Warkah[Nama Petugas Warkah]),"")</f>
        <v/>
      </c>
      <c r="G4534" s="39" t="str">
        <f t="array" ref="G4534">IFNA(_xlfn.XLOOKUP(D4534,Table_Tarikan_Warkah[Nomor Tiket],Table_Tarikan_Warkah[Jenis Permohonan]),"")</f>
        <v>ROYA</v>
      </c>
      <c r="H4534" s="41" t="s">
        <v>2315</v>
      </c>
      <c r="I4534" s="49" t="s">
        <v>23</v>
      </c>
      <c r="J4534" s="36">
        <f t="shared" si="20"/>
        <v>45994.34723</v>
      </c>
      <c r="K4534" s="69"/>
      <c r="L4534" s="49"/>
      <c r="M4534" s="36" t="str">
        <f t="shared" si="33"/>
        <v/>
      </c>
      <c r="N4534" s="30" t="str">
        <f t="shared" si="34"/>
        <v>BT atau SU Belum Valid</v>
      </c>
      <c r="O4534" s="39" t="str">
        <f t="shared" si="23"/>
        <v/>
      </c>
      <c r="P4534" s="47" t="b">
        <v>0</v>
      </c>
      <c r="Q4534" s="36" t="str">
        <f t="shared" si="35"/>
        <v/>
      </c>
      <c r="R4534" s="47" t="b">
        <v>0</v>
      </c>
      <c r="S4534" s="42" t="str">
        <f t="shared" si="28"/>
        <v/>
      </c>
      <c r="T4534" s="42"/>
    </row>
    <row r="4535" ht="22.5" customHeight="1">
      <c r="B4535" s="42">
        <f t="shared" si="7"/>
        <v>4529</v>
      </c>
      <c r="C4535" s="31" t="s">
        <v>4558</v>
      </c>
      <c r="D4535" s="34" t="str">
        <f t="array" ref="D4535">IFNA(_xlfn.XLOOKUP(C4535,Table_Tarikan_Warkah[Nomor Sertipikat],Table_Tarikan_Warkah[Nomor Tiket]),"")</f>
        <v>L/8/291025/1</v>
      </c>
      <c r="E4535" s="36" t="str">
        <f t="array" ref="E4535">IFNA(_xlfn.XLOOKUP(D4535,Table_Tarikan_Warkah[Nomor Tiket],Table_Tarikan_Warkah[Tanggal diserahkan kepada Validator]),"")</f>
        <v/>
      </c>
      <c r="F4535" s="36" t="str">
        <f t="array" ref="F4535">IFNA(_xlfn.XLOOKUP(D4535,Table_Tarikan_Warkah[Nomor Tiket],Table_Tarikan_Warkah[Nama Petugas Warkah]),"")</f>
        <v/>
      </c>
      <c r="G4535" s="39" t="str">
        <f t="array" ref="G4535">IFNA(_xlfn.XLOOKUP(D4535,Table_Tarikan_Warkah[Nomor Tiket],Table_Tarikan_Warkah[Jenis Permohonan]),"")</f>
        <v>ROYA</v>
      </c>
      <c r="H4535" s="41" t="s">
        <v>2315</v>
      </c>
      <c r="I4535" s="49" t="s">
        <v>23</v>
      </c>
      <c r="J4535" s="36">
        <f t="shared" si="20"/>
        <v>45994.34738</v>
      </c>
      <c r="K4535" s="69"/>
      <c r="L4535" s="49"/>
      <c r="M4535" s="36" t="str">
        <f t="shared" si="33"/>
        <v/>
      </c>
      <c r="N4535" s="30" t="str">
        <f t="shared" si="34"/>
        <v>BT atau SU Belum Valid</v>
      </c>
      <c r="O4535" s="39" t="str">
        <f t="shared" si="23"/>
        <v/>
      </c>
      <c r="P4535" s="47" t="b">
        <v>0</v>
      </c>
      <c r="Q4535" s="36" t="str">
        <f t="shared" si="35"/>
        <v/>
      </c>
      <c r="R4535" s="47" t="b">
        <v>0</v>
      </c>
      <c r="S4535" s="42" t="str">
        <f t="shared" si="28"/>
        <v/>
      </c>
      <c r="T4535" s="42"/>
    </row>
    <row r="4536" ht="22.5" customHeight="1">
      <c r="B4536" s="42">
        <f t="shared" si="7"/>
        <v>4530</v>
      </c>
      <c r="C4536" s="31" t="s">
        <v>4559</v>
      </c>
      <c r="D4536" s="34" t="str">
        <f t="array" ref="D4536">IFNA(_xlfn.XLOOKUP(C4536,Table_Tarikan_Warkah[Nomor Sertipikat],Table_Tarikan_Warkah[Nomor Tiket]),"")</f>
        <v>L/5/041126/1</v>
      </c>
      <c r="E4536" s="36" t="str">
        <f t="array" ref="E4536">IFNA(_xlfn.XLOOKUP(D4536,Table_Tarikan_Warkah[Nomor Tiket],Table_Tarikan_Warkah[Tanggal diserahkan kepada Validator]),"")</f>
        <v/>
      </c>
      <c r="F4536" s="36" t="str">
        <f t="array" ref="F4536">IFNA(_xlfn.XLOOKUP(D4536,Table_Tarikan_Warkah[Nomor Tiket],Table_Tarikan_Warkah[Nama Petugas Warkah]),"")</f>
        <v/>
      </c>
      <c r="G4536" s="39" t="str">
        <f t="array" ref="G4536">IFNA(_xlfn.XLOOKUP(D4536,Table_Tarikan_Warkah[Nomor Tiket],Table_Tarikan_Warkah[Jenis Permohonan]),"")</f>
        <v>ROYA</v>
      </c>
      <c r="H4536" s="41" t="s">
        <v>2315</v>
      </c>
      <c r="I4536" s="49" t="s">
        <v>23</v>
      </c>
      <c r="J4536" s="36">
        <f t="shared" si="20"/>
        <v>45994.34752</v>
      </c>
      <c r="K4536" s="69"/>
      <c r="L4536" s="49"/>
      <c r="M4536" s="36" t="str">
        <f t="shared" si="33"/>
        <v/>
      </c>
      <c r="N4536" s="30" t="str">
        <f t="shared" si="34"/>
        <v>BT atau SU Belum Valid</v>
      </c>
      <c r="O4536" s="39" t="str">
        <f t="shared" si="23"/>
        <v/>
      </c>
      <c r="P4536" s="47" t="b">
        <v>0</v>
      </c>
      <c r="Q4536" s="36" t="str">
        <f t="shared" si="35"/>
        <v/>
      </c>
      <c r="R4536" s="47" t="b">
        <v>0</v>
      </c>
      <c r="S4536" s="42" t="str">
        <f t="shared" si="28"/>
        <v/>
      </c>
      <c r="T4536" s="42"/>
    </row>
    <row r="4537" ht="22.5" customHeight="1">
      <c r="B4537" s="42">
        <f t="shared" si="7"/>
        <v>4531</v>
      </c>
      <c r="C4537" s="31" t="s">
        <v>4560</v>
      </c>
      <c r="D4537" s="34" t="str">
        <f t="array" ref="D4537">IFNA(_xlfn.XLOOKUP(C4537,Table_Tarikan_Warkah[Nomor Sertipikat],Table_Tarikan_Warkah[Nomor Tiket]),"")</f>
        <v>L/11/281025/1</v>
      </c>
      <c r="E4537" s="36" t="str">
        <f t="array" ref="E4537">IFNA(_xlfn.XLOOKUP(D4537,Table_Tarikan_Warkah[Nomor Tiket],Table_Tarikan_Warkah[Tanggal diserahkan kepada Validator]),"")</f>
        <v/>
      </c>
      <c r="F4537" s="36" t="str">
        <f t="array" ref="F4537">IFNA(_xlfn.XLOOKUP(D4537,Table_Tarikan_Warkah[Nomor Tiket],Table_Tarikan_Warkah[Nama Petugas Warkah]),"")</f>
        <v/>
      </c>
      <c r="G4537" s="39" t="str">
        <f t="array" ref="G4537">IFNA(_xlfn.XLOOKUP(D4537,Table_Tarikan_Warkah[Nomor Tiket],Table_Tarikan_Warkah[Jenis Permohonan]),"")</f>
        <v>ROYA</v>
      </c>
      <c r="H4537" s="41" t="s">
        <v>2315</v>
      </c>
      <c r="I4537" s="49" t="s">
        <v>23</v>
      </c>
      <c r="J4537" s="36">
        <f t="shared" si="20"/>
        <v>45994.3481</v>
      </c>
      <c r="K4537" s="69"/>
      <c r="L4537" s="49"/>
      <c r="M4537" s="36" t="str">
        <f t="shared" si="33"/>
        <v/>
      </c>
      <c r="N4537" s="30" t="str">
        <f t="shared" si="34"/>
        <v>BT atau SU Belum Valid</v>
      </c>
      <c r="O4537" s="39" t="str">
        <f t="shared" si="23"/>
        <v/>
      </c>
      <c r="P4537" s="47" t="b">
        <v>0</v>
      </c>
      <c r="Q4537" s="36" t="str">
        <f t="shared" si="35"/>
        <v/>
      </c>
      <c r="R4537" s="47" t="b">
        <v>0</v>
      </c>
      <c r="S4537" s="42" t="str">
        <f t="shared" si="28"/>
        <v/>
      </c>
      <c r="T4537" s="42"/>
    </row>
    <row r="4538" ht="22.5" customHeight="1">
      <c r="B4538" s="42">
        <f t="shared" si="7"/>
        <v>4532</v>
      </c>
      <c r="C4538" s="31" t="s">
        <v>4561</v>
      </c>
      <c r="D4538" s="34" t="str">
        <f t="array" ref="D4538">IFNA(_xlfn.XLOOKUP(C4538,Table_Tarikan_Warkah[Nomor Sertipikat],Table_Tarikan_Warkah[Nomor Tiket]),"")</f>
        <v>K/9/201025/1</v>
      </c>
      <c r="E4538" s="36" t="str">
        <f t="array" ref="E4538">IFNA(_xlfn.XLOOKUP(D4538,Table_Tarikan_Warkah[Nomor Tiket],Table_Tarikan_Warkah[Tanggal diserahkan kepada Validator]),"")</f>
        <v/>
      </c>
      <c r="F4538" s="36" t="str">
        <f t="array" ref="F4538">IFNA(_xlfn.XLOOKUP(D4538,Table_Tarikan_Warkah[Nomor Tiket],Table_Tarikan_Warkah[Nama Petugas Warkah]),"")</f>
        <v/>
      </c>
      <c r="G4538" s="39" t="str">
        <f t="array" ref="G4538">IFNA(_xlfn.XLOOKUP(D4538,Table_Tarikan_Warkah[Nomor Tiket],Table_Tarikan_Warkah[Jenis Permohonan]),"")</f>
        <v>ROYA</v>
      </c>
      <c r="H4538" s="41" t="s">
        <v>2315</v>
      </c>
      <c r="I4538" s="49" t="s">
        <v>23</v>
      </c>
      <c r="J4538" s="36">
        <f t="shared" si="20"/>
        <v>45994.3876</v>
      </c>
      <c r="K4538" s="69"/>
      <c r="L4538" s="49"/>
      <c r="M4538" s="36" t="str">
        <f t="shared" si="33"/>
        <v/>
      </c>
      <c r="N4538" s="30" t="str">
        <f t="shared" si="34"/>
        <v>BT atau SU Belum Valid</v>
      </c>
      <c r="O4538" s="39" t="str">
        <f t="shared" si="23"/>
        <v/>
      </c>
      <c r="P4538" s="47" t="b">
        <v>0</v>
      </c>
      <c r="Q4538" s="36" t="str">
        <f t="shared" si="35"/>
        <v/>
      </c>
      <c r="R4538" s="47" t="b">
        <v>0</v>
      </c>
      <c r="S4538" s="42" t="str">
        <f t="shared" si="28"/>
        <v/>
      </c>
      <c r="T4538" s="42"/>
    </row>
    <row r="4539" ht="22.5" customHeight="1">
      <c r="B4539" s="42">
        <f t="shared" si="7"/>
        <v>4533</v>
      </c>
      <c r="C4539" s="31" t="s">
        <v>4562</v>
      </c>
      <c r="D4539" s="34" t="str">
        <f t="array" ref="D4539">IFNA(_xlfn.XLOOKUP(C4539,Table_Tarikan_Warkah[Nomor Sertipikat],Table_Tarikan_Warkah[Nomor Tiket]),"")</f>
        <v>K/3/280825/1</v>
      </c>
      <c r="E4539" s="36" t="str">
        <f t="array" ref="E4539">IFNA(_xlfn.XLOOKUP(D4539,Table_Tarikan_Warkah[Nomor Tiket],Table_Tarikan_Warkah[Tanggal diserahkan kepada Validator]),"")</f>
        <v/>
      </c>
      <c r="F4539" s="36" t="str">
        <f t="array" ref="F4539">IFNA(_xlfn.XLOOKUP(D4539,Table_Tarikan_Warkah[Nomor Tiket],Table_Tarikan_Warkah[Nama Petugas Warkah]),"")</f>
        <v/>
      </c>
      <c r="G4539" s="39" t="str">
        <f t="array" ref="G4539">IFNA(_xlfn.XLOOKUP(D4539,Table_Tarikan_Warkah[Nomor Tiket],Table_Tarikan_Warkah[Jenis Permohonan]),"")</f>
        <v>Ganti Nama dan Tanggal Lahir	</v>
      </c>
      <c r="H4539" s="41" t="s">
        <v>2315</v>
      </c>
      <c r="I4539" s="49" t="s">
        <v>23</v>
      </c>
      <c r="J4539" s="36">
        <f t="shared" si="20"/>
        <v>45994.38823</v>
      </c>
      <c r="K4539" s="69"/>
      <c r="L4539" s="49"/>
      <c r="M4539" s="36" t="str">
        <f t="shared" si="33"/>
        <v/>
      </c>
      <c r="N4539" s="30" t="str">
        <f t="shared" si="34"/>
        <v>BT atau SU Belum Valid</v>
      </c>
      <c r="O4539" s="39" t="str">
        <f t="shared" si="23"/>
        <v/>
      </c>
      <c r="P4539" s="47" t="b">
        <v>0</v>
      </c>
      <c r="Q4539" s="36" t="str">
        <f t="shared" si="35"/>
        <v/>
      </c>
      <c r="R4539" s="47" t="b">
        <v>0</v>
      </c>
      <c r="S4539" s="42" t="str">
        <f t="shared" si="28"/>
        <v/>
      </c>
      <c r="T4539" s="42"/>
    </row>
    <row r="4540" ht="22.5" customHeight="1">
      <c r="B4540" s="42">
        <f t="shared" si="7"/>
        <v>4534</v>
      </c>
      <c r="C4540" s="31" t="s">
        <v>4563</v>
      </c>
      <c r="D4540" s="34" t="str">
        <f t="array" ref="D4540">IFNA(_xlfn.XLOOKUP(C4540,Table_Tarikan_Warkah[Nomor Sertipikat],Table_Tarikan_Warkah[Nomor Tiket]),"")</f>
        <v>L/2/041126/1</v>
      </c>
      <c r="E4540" s="36" t="str">
        <f t="array" ref="E4540">IFNA(_xlfn.XLOOKUP(D4540,Table_Tarikan_Warkah[Nomor Tiket],Table_Tarikan_Warkah[Tanggal diserahkan kepada Validator]),"")</f>
        <v/>
      </c>
      <c r="F4540" s="36" t="str">
        <f t="array" ref="F4540">IFNA(_xlfn.XLOOKUP(D4540,Table_Tarikan_Warkah[Nomor Tiket],Table_Tarikan_Warkah[Nama Petugas Warkah]),"")</f>
        <v/>
      </c>
      <c r="G4540" s="39" t="str">
        <f t="array" ref="G4540">IFNA(_xlfn.XLOOKUP(D4540,Table_Tarikan_Warkah[Nomor Tiket],Table_Tarikan_Warkah[Jenis Permohonan]),"")</f>
        <v>ROYA</v>
      </c>
      <c r="H4540" s="41" t="s">
        <v>2315</v>
      </c>
      <c r="I4540" s="49" t="s">
        <v>23</v>
      </c>
      <c r="J4540" s="36">
        <f t="shared" si="20"/>
        <v>45994.3884</v>
      </c>
      <c r="K4540" s="69"/>
      <c r="L4540" s="49"/>
      <c r="M4540" s="36" t="str">
        <f t="shared" si="33"/>
        <v/>
      </c>
      <c r="N4540" s="30" t="str">
        <f t="shared" si="34"/>
        <v>BT atau SU Belum Valid</v>
      </c>
      <c r="O4540" s="39" t="str">
        <f t="shared" si="23"/>
        <v/>
      </c>
      <c r="P4540" s="47" t="b">
        <v>0</v>
      </c>
      <c r="Q4540" s="36" t="str">
        <f t="shared" si="35"/>
        <v/>
      </c>
      <c r="R4540" s="47" t="b">
        <v>0</v>
      </c>
      <c r="S4540" s="42" t="str">
        <f t="shared" si="28"/>
        <v/>
      </c>
      <c r="T4540" s="42"/>
    </row>
    <row r="4541" ht="22.5" customHeight="1">
      <c r="B4541" s="42">
        <f t="shared" si="7"/>
        <v>4535</v>
      </c>
      <c r="C4541" s="31" t="s">
        <v>4564</v>
      </c>
      <c r="D4541" s="34" t="str">
        <f t="array" ref="D4541">IFNA(_xlfn.XLOOKUP(C4541,Table_Tarikan_Warkah[Nomor Sertipikat],Table_Tarikan_Warkah[Nomor Tiket]),"")</f>
        <v>L/10/281025/1</v>
      </c>
      <c r="E4541" s="36" t="str">
        <f t="array" ref="E4541">IFNA(_xlfn.XLOOKUP(D4541,Table_Tarikan_Warkah[Nomor Tiket],Table_Tarikan_Warkah[Tanggal diserahkan kepada Validator]),"")</f>
        <v/>
      </c>
      <c r="F4541" s="36" t="str">
        <f t="array" ref="F4541">IFNA(_xlfn.XLOOKUP(D4541,Table_Tarikan_Warkah[Nomor Tiket],Table_Tarikan_Warkah[Nama Petugas Warkah]),"")</f>
        <v/>
      </c>
      <c r="G4541" s="39" t="str">
        <f t="array" ref="G4541">IFNA(_xlfn.XLOOKUP(D4541,Table_Tarikan_Warkah[Nomor Tiket],Table_Tarikan_Warkah[Jenis Permohonan]),"")</f>
        <v>ROYA</v>
      </c>
      <c r="H4541" s="41" t="s">
        <v>2315</v>
      </c>
      <c r="I4541" s="49" t="s">
        <v>23</v>
      </c>
      <c r="J4541" s="36">
        <f t="shared" si="20"/>
        <v>45994.38853</v>
      </c>
      <c r="K4541" s="69"/>
      <c r="L4541" s="49"/>
      <c r="M4541" s="36" t="str">
        <f t="shared" si="33"/>
        <v/>
      </c>
      <c r="N4541" s="30" t="str">
        <f t="shared" si="34"/>
        <v>BT atau SU Belum Valid</v>
      </c>
      <c r="O4541" s="39" t="str">
        <f t="shared" si="23"/>
        <v/>
      </c>
      <c r="P4541" s="47" t="b">
        <v>0</v>
      </c>
      <c r="Q4541" s="36" t="str">
        <f t="shared" si="35"/>
        <v/>
      </c>
      <c r="R4541" s="47" t="b">
        <v>0</v>
      </c>
      <c r="S4541" s="42" t="str">
        <f t="shared" si="28"/>
        <v/>
      </c>
      <c r="T4541" s="42"/>
    </row>
    <row r="4542" ht="22.5" customHeight="1">
      <c r="B4542" s="42">
        <f t="shared" si="7"/>
        <v>4536</v>
      </c>
      <c r="C4542" s="31" t="s">
        <v>4565</v>
      </c>
      <c r="D4542" s="34" t="str">
        <f t="array" ref="D4542">IFNA(_xlfn.XLOOKUP(C4542,Table_Tarikan_Warkah[Nomor Sertipikat],Table_Tarikan_Warkah[Nomor Tiket]),"")</f>
        <v>L/14/041126/1</v>
      </c>
      <c r="E4542" s="36" t="str">
        <f t="array" ref="E4542">IFNA(_xlfn.XLOOKUP(D4542,Table_Tarikan_Warkah[Nomor Tiket],Table_Tarikan_Warkah[Tanggal diserahkan kepada Validator]),"")</f>
        <v/>
      </c>
      <c r="F4542" s="36" t="str">
        <f t="array" ref="F4542">IFNA(_xlfn.XLOOKUP(D4542,Table_Tarikan_Warkah[Nomor Tiket],Table_Tarikan_Warkah[Nama Petugas Warkah]),"")</f>
        <v/>
      </c>
      <c r="G4542" s="39" t="str">
        <f t="array" ref="G4542">IFNA(_xlfn.XLOOKUP(D4542,Table_Tarikan_Warkah[Nomor Tiket],Table_Tarikan_Warkah[Jenis Permohonan]),"")</f>
        <v>ROYA</v>
      </c>
      <c r="H4542" s="41" t="s">
        <v>2315</v>
      </c>
      <c r="I4542" s="49" t="s">
        <v>23</v>
      </c>
      <c r="J4542" s="36">
        <f t="shared" si="20"/>
        <v>45994.38868</v>
      </c>
      <c r="K4542" s="69"/>
      <c r="L4542" s="49"/>
      <c r="M4542" s="36" t="str">
        <f t="shared" si="33"/>
        <v/>
      </c>
      <c r="N4542" s="30" t="str">
        <f t="shared" si="34"/>
        <v>BT atau SU Belum Valid</v>
      </c>
      <c r="O4542" s="39" t="str">
        <f t="shared" si="23"/>
        <v/>
      </c>
      <c r="P4542" s="47" t="b">
        <v>0</v>
      </c>
      <c r="Q4542" s="36" t="str">
        <f t="shared" si="35"/>
        <v/>
      </c>
      <c r="R4542" s="47" t="b">
        <v>0</v>
      </c>
      <c r="S4542" s="42" t="str">
        <f t="shared" si="28"/>
        <v/>
      </c>
      <c r="T4542" s="42"/>
    </row>
    <row r="4543" ht="22.5" customHeight="1">
      <c r="B4543" s="42">
        <f t="shared" si="7"/>
        <v>4537</v>
      </c>
      <c r="C4543" s="31" t="s">
        <v>4566</v>
      </c>
      <c r="D4543" s="34" t="str">
        <f t="array" ref="D4543">IFNA(_xlfn.XLOOKUP(C4543,Table_Tarikan_Warkah[Nomor Sertipikat],Table_Tarikan_Warkah[Nomor Tiket]),"")</f>
        <v>L/2/061125/1</v>
      </c>
      <c r="E4543" s="36" t="str">
        <f t="array" ref="E4543">IFNA(_xlfn.XLOOKUP(D4543,Table_Tarikan_Warkah[Nomor Tiket],Table_Tarikan_Warkah[Tanggal diserahkan kepada Validator]),"")</f>
        <v/>
      </c>
      <c r="F4543" s="36" t="str">
        <f t="array" ref="F4543">IFNA(_xlfn.XLOOKUP(D4543,Table_Tarikan_Warkah[Nomor Tiket],Table_Tarikan_Warkah[Nama Petugas Warkah]),"")</f>
        <v/>
      </c>
      <c r="G4543" s="39" t="str">
        <f t="array" ref="G4543">IFNA(_xlfn.XLOOKUP(D4543,Table_Tarikan_Warkah[Nomor Tiket],Table_Tarikan_Warkah[Jenis Permohonan]),"")</f>
        <v>ROYA</v>
      </c>
      <c r="H4543" s="41" t="s">
        <v>2315</v>
      </c>
      <c r="I4543" s="49" t="s">
        <v>23</v>
      </c>
      <c r="J4543" s="36">
        <f t="shared" si="20"/>
        <v>45994.38902</v>
      </c>
      <c r="K4543" s="69"/>
      <c r="L4543" s="49"/>
      <c r="M4543" s="36" t="str">
        <f t="shared" si="33"/>
        <v/>
      </c>
      <c r="N4543" s="30" t="str">
        <f t="shared" si="34"/>
        <v>BT atau SU Belum Valid</v>
      </c>
      <c r="O4543" s="39" t="str">
        <f t="shared" si="23"/>
        <v/>
      </c>
      <c r="P4543" s="47" t="b">
        <v>0</v>
      </c>
      <c r="Q4543" s="36" t="str">
        <f t="shared" si="35"/>
        <v/>
      </c>
      <c r="R4543" s="47" t="b">
        <v>0</v>
      </c>
      <c r="S4543" s="42" t="str">
        <f t="shared" si="28"/>
        <v/>
      </c>
      <c r="T4543" s="42"/>
    </row>
    <row r="4544" ht="22.5" customHeight="1">
      <c r="B4544" s="42">
        <f t="shared" si="7"/>
        <v>4538</v>
      </c>
      <c r="C4544" s="31" t="s">
        <v>4567</v>
      </c>
      <c r="D4544" s="34" t="str">
        <f t="array" ref="D4544">IFNA(_xlfn.XLOOKUP(C4544,Table_Tarikan_Warkah[Nomor Sertipikat],Table_Tarikan_Warkah[Nomor Tiket]),"")</f>
        <v>L/15/051125/4</v>
      </c>
      <c r="E4544" s="36" t="str">
        <f t="array" ref="E4544">IFNA(_xlfn.XLOOKUP(D4544,Table_Tarikan_Warkah[Nomor Tiket],Table_Tarikan_Warkah[Tanggal diserahkan kepada Validator]),"")</f>
        <v/>
      </c>
      <c r="F4544" s="36" t="str">
        <f t="array" ref="F4544">IFNA(_xlfn.XLOOKUP(D4544,Table_Tarikan_Warkah[Nomor Tiket],Table_Tarikan_Warkah[Nama Petugas Warkah]),"")</f>
        <v/>
      </c>
      <c r="G4544" s="39" t="str">
        <f t="array" ref="G4544">IFNA(_xlfn.XLOOKUP(D4544,Table_Tarikan_Warkah[Nomor Tiket],Table_Tarikan_Warkah[Jenis Permohonan]),"")</f>
        <v>ROYA</v>
      </c>
      <c r="H4544" s="41" t="s">
        <v>2315</v>
      </c>
      <c r="I4544" s="49" t="s">
        <v>23</v>
      </c>
      <c r="J4544" s="36">
        <f t="shared" si="20"/>
        <v>45994.38917</v>
      </c>
      <c r="K4544" s="69"/>
      <c r="L4544" s="49"/>
      <c r="M4544" s="36" t="str">
        <f t="shared" si="33"/>
        <v/>
      </c>
      <c r="N4544" s="30" t="str">
        <f t="shared" si="34"/>
        <v>BT atau SU Belum Valid</v>
      </c>
      <c r="O4544" s="39" t="str">
        <f t="shared" si="23"/>
        <v/>
      </c>
      <c r="P4544" s="47" t="b">
        <v>0</v>
      </c>
      <c r="Q4544" s="36" t="str">
        <f t="shared" si="35"/>
        <v/>
      </c>
      <c r="R4544" s="47" t="b">
        <v>0</v>
      </c>
      <c r="S4544" s="42" t="str">
        <f t="shared" si="28"/>
        <v/>
      </c>
      <c r="T4544" s="42"/>
    </row>
    <row r="4545" ht="22.5" customHeight="1">
      <c r="B4545" s="42">
        <f t="shared" si="7"/>
        <v>4539</v>
      </c>
      <c r="C4545" s="31" t="s">
        <v>4568</v>
      </c>
      <c r="D4545" s="34" t="str">
        <f t="array" ref="D4545">IFNA(_xlfn.XLOOKUP(C4545,Table_Tarikan_Warkah[Nomor Sertipikat],Table_Tarikan_Warkah[Nomor Tiket]),"")</f>
        <v>K/8/281025/1</v>
      </c>
      <c r="E4545" s="36" t="str">
        <f t="array" ref="E4545">IFNA(_xlfn.XLOOKUP(D4545,Table_Tarikan_Warkah[Nomor Tiket],Table_Tarikan_Warkah[Tanggal diserahkan kepada Validator]),"")</f>
        <v/>
      </c>
      <c r="F4545" s="36" t="str">
        <f t="array" ref="F4545">IFNA(_xlfn.XLOOKUP(D4545,Table_Tarikan_Warkah[Nomor Tiket],Table_Tarikan_Warkah[Nama Petugas Warkah]),"")</f>
        <v/>
      </c>
      <c r="G4545" s="39" t="str">
        <f t="array" ref="G4545">IFNA(_xlfn.XLOOKUP(D4545,Table_Tarikan_Warkah[Nomor Tiket],Table_Tarikan_Warkah[Jenis Permohonan]),"")</f>
        <v>PERUBAHAN HAK</v>
      </c>
      <c r="H4545" s="41" t="s">
        <v>2315</v>
      </c>
      <c r="I4545" s="49" t="s">
        <v>23</v>
      </c>
      <c r="J4545" s="36">
        <f t="shared" si="20"/>
        <v>45994.38929</v>
      </c>
      <c r="K4545" s="69"/>
      <c r="L4545" s="49"/>
      <c r="M4545" s="36" t="str">
        <f t="shared" si="33"/>
        <v/>
      </c>
      <c r="N4545" s="30" t="str">
        <f t="shared" si="34"/>
        <v>BT atau SU Belum Valid</v>
      </c>
      <c r="O4545" s="39" t="str">
        <f t="shared" si="23"/>
        <v/>
      </c>
      <c r="P4545" s="47" t="b">
        <v>0</v>
      </c>
      <c r="Q4545" s="36" t="str">
        <f t="shared" si="35"/>
        <v/>
      </c>
      <c r="R4545" s="47" t="b">
        <v>0</v>
      </c>
      <c r="S4545" s="42" t="str">
        <f t="shared" si="28"/>
        <v/>
      </c>
      <c r="T4545" s="42"/>
    </row>
    <row r="4546" ht="22.5" customHeight="1">
      <c r="B4546" s="42">
        <f t="shared" si="7"/>
        <v>4540</v>
      </c>
      <c r="C4546" s="31" t="s">
        <v>4569</v>
      </c>
      <c r="D4546" s="34" t="str">
        <f t="array" ref="D4546">IFNA(_xlfn.XLOOKUP(C4546,Table_Tarikan_Warkah[Nomor Sertipikat],Table_Tarikan_Warkah[Nomor Tiket]),"")</f>
        <v>L/17/031125/1</v>
      </c>
      <c r="E4546" s="36" t="str">
        <f t="array" ref="E4546">IFNA(_xlfn.XLOOKUP(D4546,Table_Tarikan_Warkah[Nomor Tiket],Table_Tarikan_Warkah[Tanggal diserahkan kepada Validator]),"")</f>
        <v/>
      </c>
      <c r="F4546" s="36" t="str">
        <f t="array" ref="F4546">IFNA(_xlfn.XLOOKUP(D4546,Table_Tarikan_Warkah[Nomor Tiket],Table_Tarikan_Warkah[Nama Petugas Warkah]),"")</f>
        <v/>
      </c>
      <c r="G4546" s="39" t="str">
        <f t="array" ref="G4546">IFNA(_xlfn.XLOOKUP(D4546,Table_Tarikan_Warkah[Nomor Tiket],Table_Tarikan_Warkah[Jenis Permohonan]),"")</f>
        <v>ROYA</v>
      </c>
      <c r="H4546" s="41" t="s">
        <v>2315</v>
      </c>
      <c r="I4546" s="49" t="s">
        <v>23</v>
      </c>
      <c r="J4546" s="36">
        <f t="shared" si="20"/>
        <v>45994.38943</v>
      </c>
      <c r="K4546" s="69"/>
      <c r="L4546" s="49"/>
      <c r="M4546" s="36" t="str">
        <f t="shared" si="33"/>
        <v/>
      </c>
      <c r="N4546" s="30" t="str">
        <f t="shared" si="34"/>
        <v>BT atau SU Belum Valid</v>
      </c>
      <c r="O4546" s="39" t="str">
        <f t="shared" si="23"/>
        <v/>
      </c>
      <c r="P4546" s="47" t="b">
        <v>0</v>
      </c>
      <c r="Q4546" s="36" t="str">
        <f t="shared" si="35"/>
        <v/>
      </c>
      <c r="R4546" s="47" t="b">
        <v>0</v>
      </c>
      <c r="S4546" s="42" t="str">
        <f t="shared" si="28"/>
        <v/>
      </c>
      <c r="T4546" s="42"/>
    </row>
    <row r="4547" ht="22.5" customHeight="1">
      <c r="B4547" s="42">
        <f t="shared" si="7"/>
        <v>4541</v>
      </c>
      <c r="C4547" s="31" t="s">
        <v>4570</v>
      </c>
      <c r="D4547" s="34" t="str">
        <f t="array" ref="D4547">IFNA(_xlfn.XLOOKUP(C4547,Table_Tarikan_Warkah[Nomor Sertipikat],Table_Tarikan_Warkah[Nomor Tiket]),"")</f>
        <v>L/3/271025/1</v>
      </c>
      <c r="E4547" s="36" t="str">
        <f t="array" ref="E4547">IFNA(_xlfn.XLOOKUP(D4547,Table_Tarikan_Warkah[Nomor Tiket],Table_Tarikan_Warkah[Tanggal diserahkan kepada Validator]),"")</f>
        <v/>
      </c>
      <c r="F4547" s="36" t="str">
        <f t="array" ref="F4547">IFNA(_xlfn.XLOOKUP(D4547,Table_Tarikan_Warkah[Nomor Tiket],Table_Tarikan_Warkah[Nama Petugas Warkah]),"")</f>
        <v/>
      </c>
      <c r="G4547" s="39" t="str">
        <f t="array" ref="G4547">IFNA(_xlfn.XLOOKUP(D4547,Table_Tarikan_Warkah[Nomor Tiket],Table_Tarikan_Warkah[Jenis Permohonan]),"")</f>
        <v>PENINGKATAN HAK</v>
      </c>
      <c r="H4547" s="41" t="s">
        <v>2315</v>
      </c>
      <c r="I4547" s="49" t="s">
        <v>23</v>
      </c>
      <c r="J4547" s="36">
        <f t="shared" si="20"/>
        <v>45994.38961</v>
      </c>
      <c r="K4547" s="69"/>
      <c r="L4547" s="49"/>
      <c r="M4547" s="36" t="str">
        <f t="shared" si="33"/>
        <v/>
      </c>
      <c r="N4547" s="30" t="str">
        <f t="shared" si="34"/>
        <v>BT atau SU Belum Valid</v>
      </c>
      <c r="O4547" s="39" t="str">
        <f t="shared" si="23"/>
        <v/>
      </c>
      <c r="P4547" s="47" t="b">
        <v>0</v>
      </c>
      <c r="Q4547" s="36" t="str">
        <f t="shared" si="35"/>
        <v/>
      </c>
      <c r="R4547" s="47" t="b">
        <v>0</v>
      </c>
      <c r="S4547" s="42" t="str">
        <f t="shared" si="28"/>
        <v/>
      </c>
      <c r="T4547" s="42"/>
    </row>
    <row r="4548" ht="22.5" customHeight="1">
      <c r="B4548" s="42">
        <f t="shared" si="7"/>
        <v>4542</v>
      </c>
      <c r="C4548" s="31" t="s">
        <v>4571</v>
      </c>
      <c r="D4548" s="34" t="str">
        <f t="array" ref="D4548">IFNA(_xlfn.XLOOKUP(C4548,Table_Tarikan_Warkah[Nomor Sertipikat],Table_Tarikan_Warkah[Nomor Tiket]),"")</f>
        <v>L/10/241025/1</v>
      </c>
      <c r="E4548" s="36" t="str">
        <f t="array" ref="E4548">IFNA(_xlfn.XLOOKUP(D4548,Table_Tarikan_Warkah[Nomor Tiket],Table_Tarikan_Warkah[Tanggal diserahkan kepada Validator]),"")</f>
        <v/>
      </c>
      <c r="F4548" s="36" t="str">
        <f t="array" ref="F4548">IFNA(_xlfn.XLOOKUP(D4548,Table_Tarikan_Warkah[Nomor Tiket],Table_Tarikan_Warkah[Nama Petugas Warkah]),"")</f>
        <v/>
      </c>
      <c r="G4548" s="39" t="str">
        <f t="array" ref="G4548">IFNA(_xlfn.XLOOKUP(D4548,Table_Tarikan_Warkah[Nomor Tiket],Table_Tarikan_Warkah[Jenis Permohonan]),"")</f>
        <v>BN WARIS</v>
      </c>
      <c r="H4548" s="41" t="s">
        <v>2315</v>
      </c>
      <c r="I4548" s="49" t="s">
        <v>23</v>
      </c>
      <c r="J4548" s="36">
        <f t="shared" si="20"/>
        <v>45994.38974</v>
      </c>
      <c r="K4548" s="69"/>
      <c r="L4548" s="49"/>
      <c r="M4548" s="36" t="str">
        <f t="shared" si="33"/>
        <v/>
      </c>
      <c r="N4548" s="30" t="str">
        <f t="shared" si="34"/>
        <v>BT atau SU Belum Valid</v>
      </c>
      <c r="O4548" s="39" t="str">
        <f t="shared" si="23"/>
        <v/>
      </c>
      <c r="P4548" s="47" t="b">
        <v>0</v>
      </c>
      <c r="Q4548" s="36" t="str">
        <f t="shared" si="35"/>
        <v/>
      </c>
      <c r="R4548" s="47" t="b">
        <v>0</v>
      </c>
      <c r="S4548" s="42" t="str">
        <f t="shared" si="28"/>
        <v/>
      </c>
      <c r="T4548" s="42"/>
    </row>
    <row r="4549" ht="22.5" customHeight="1">
      <c r="B4549" s="42">
        <f t="shared" si="7"/>
        <v>4543</v>
      </c>
      <c r="C4549" s="31" t="s">
        <v>4572</v>
      </c>
      <c r="D4549" s="34" t="str">
        <f t="array" ref="D4549">IFNA(_xlfn.XLOOKUP(C4549,Table_Tarikan_Warkah[Nomor Sertipikat],Table_Tarikan_Warkah[Nomor Tiket]),"")</f>
        <v>L/39/090925/1</v>
      </c>
      <c r="E4549" s="36">
        <f t="array" ref="E4549">IFNA(_xlfn.XLOOKUP(D4549,Table_Tarikan_Warkah[Nomor Tiket],Table_Tarikan_Warkah[Tanggal diserahkan kepada Validator]),"")</f>
        <v>45958.52021</v>
      </c>
      <c r="F4549" s="36" t="str">
        <f t="array" ref="F4549">IFNA(_xlfn.XLOOKUP(D4549,Table_Tarikan_Warkah[Nomor Tiket],Table_Tarikan_Warkah[Nama Petugas Warkah]),"")</f>
        <v>David</v>
      </c>
      <c r="G4549" s="39" t="str">
        <f t="array" ref="G4549">IFNA(_xlfn.XLOOKUP(D4549,Table_Tarikan_Warkah[Nomor Tiket],Table_Tarikan_Warkah[Jenis Permohonan]),"")</f>
        <v>ROYA</v>
      </c>
      <c r="H4549" s="41" t="s">
        <v>2315</v>
      </c>
      <c r="I4549" s="49" t="s">
        <v>23</v>
      </c>
      <c r="J4549" s="36">
        <f t="shared" si="20"/>
        <v>45994.38984</v>
      </c>
      <c r="K4549" s="69"/>
      <c r="L4549" s="49"/>
      <c r="M4549" s="36" t="str">
        <f t="shared" si="33"/>
        <v/>
      </c>
      <c r="N4549" s="30" t="str">
        <f t="shared" si="34"/>
        <v>BT atau SU Belum Valid</v>
      </c>
      <c r="O4549" s="39" t="str">
        <f t="shared" si="23"/>
        <v/>
      </c>
      <c r="P4549" s="47" t="b">
        <v>0</v>
      </c>
      <c r="Q4549" s="36" t="str">
        <f t="shared" si="35"/>
        <v/>
      </c>
      <c r="R4549" s="47" t="b">
        <v>0</v>
      </c>
      <c r="S4549" s="42" t="str">
        <f t="shared" si="28"/>
        <v/>
      </c>
      <c r="T4549" s="42"/>
    </row>
    <row r="4550" ht="22.5" customHeight="1">
      <c r="B4550" s="42">
        <f t="shared" si="7"/>
        <v>4544</v>
      </c>
      <c r="C4550" s="31" t="s">
        <v>4573</v>
      </c>
      <c r="D4550" s="34" t="str">
        <f t="array" ref="D4550">IFNA(_xlfn.XLOOKUP(C4550,Table_Tarikan_Warkah[Nomor Sertipikat],Table_Tarikan_Warkah[Nomor Tiket]),"")</f>
        <v>ABEAYMOV/AB008</v>
      </c>
      <c r="E4550" s="36" t="str">
        <f t="array" ref="E4550">IFNA(_xlfn.XLOOKUP(D4550,Table_Tarikan_Warkah[Nomor Tiket],Table_Tarikan_Warkah[Tanggal diserahkan kepada Validator]),"")</f>
        <v/>
      </c>
      <c r="F4550" s="36" t="str">
        <f t="array" ref="F4550">IFNA(_xlfn.XLOOKUP(D4550,Table_Tarikan_Warkah[Nomor Tiket],Table_Tarikan_Warkah[Nama Petugas Warkah]),"")</f>
        <v/>
      </c>
      <c r="G4550" s="39" t="str">
        <f t="array" ref="G4550">IFNA(_xlfn.XLOOKUP(D4550,Table_Tarikan_Warkah[Nomor Tiket],Table_Tarikan_Warkah[Jenis Permohonan]),"")</f>
        <v>Roya</v>
      </c>
      <c r="H4550" s="41" t="s">
        <v>2315</v>
      </c>
      <c r="I4550" s="49" t="s">
        <v>23</v>
      </c>
      <c r="J4550" s="36">
        <f t="shared" si="20"/>
        <v>45994.39</v>
      </c>
      <c r="K4550" s="69"/>
      <c r="L4550" s="49"/>
      <c r="M4550" s="36" t="str">
        <f t="shared" si="33"/>
        <v/>
      </c>
      <c r="N4550" s="30" t="str">
        <f t="shared" si="34"/>
        <v>BT atau SU Belum Valid</v>
      </c>
      <c r="O4550" s="39" t="str">
        <f t="shared" si="23"/>
        <v/>
      </c>
      <c r="P4550" s="47" t="b">
        <v>0</v>
      </c>
      <c r="Q4550" s="36" t="str">
        <f t="shared" si="35"/>
        <v/>
      </c>
      <c r="R4550" s="47" t="b">
        <v>0</v>
      </c>
      <c r="S4550" s="42" t="str">
        <f t="shared" si="28"/>
        <v/>
      </c>
      <c r="T4550" s="42"/>
    </row>
    <row r="4551" ht="22.5" customHeight="1">
      <c r="B4551" s="42">
        <f t="shared" si="7"/>
        <v>4545</v>
      </c>
      <c r="C4551" s="31" t="s">
        <v>4574</v>
      </c>
      <c r="D4551" s="34" t="str">
        <f t="array" ref="D4551">IFNA(_xlfn.XLOOKUP(C4551,Table_Tarikan_Warkah[Nomor Sertipikat],Table_Tarikan_Warkah[Nomor Tiket]),"")</f>
        <v>ABKRREJF/Ab036</v>
      </c>
      <c r="E4551" s="36" t="str">
        <f t="array" ref="E4551">IFNA(_xlfn.XLOOKUP(D4551,Table_Tarikan_Warkah[Nomor Tiket],Table_Tarikan_Warkah[Tanggal diserahkan kepada Validator]),"")</f>
        <v/>
      </c>
      <c r="F4551" s="36" t="str">
        <f t="array" ref="F4551">IFNA(_xlfn.XLOOKUP(D4551,Table_Tarikan_Warkah[Nomor Tiket],Table_Tarikan_Warkah[Nama Petugas Warkah]),"")</f>
        <v/>
      </c>
      <c r="G4551" s="39" t="str">
        <f t="array" ref="G4551">IFNA(_xlfn.XLOOKUP(D4551,Table_Tarikan_Warkah[Nomor Tiket],Table_Tarikan_Warkah[Jenis Permohonan]),"")</f>
        <v>Roya </v>
      </c>
      <c r="H4551" s="41" t="s">
        <v>2315</v>
      </c>
      <c r="I4551" s="49" t="s">
        <v>23</v>
      </c>
      <c r="J4551" s="36">
        <f t="shared" si="20"/>
        <v>45994.39013</v>
      </c>
      <c r="K4551" s="69"/>
      <c r="L4551" s="49"/>
      <c r="M4551" s="36" t="str">
        <f t="shared" si="33"/>
        <v/>
      </c>
      <c r="N4551" s="30" t="str">
        <f t="shared" si="34"/>
        <v>BT atau SU Belum Valid</v>
      </c>
      <c r="O4551" s="39" t="str">
        <f t="shared" si="23"/>
        <v/>
      </c>
      <c r="P4551" s="47" t="b">
        <v>0</v>
      </c>
      <c r="Q4551" s="36" t="str">
        <f t="shared" si="35"/>
        <v/>
      </c>
      <c r="R4551" s="47" t="b">
        <v>0</v>
      </c>
      <c r="S4551" s="42" t="str">
        <f t="shared" si="28"/>
        <v/>
      </c>
      <c r="T4551" s="42"/>
    </row>
    <row r="4552" ht="22.5" customHeight="1">
      <c r="B4552" s="42">
        <f t="shared" si="7"/>
        <v>4546</v>
      </c>
      <c r="C4552" s="31" t="s">
        <v>4575</v>
      </c>
      <c r="D4552" s="34" t="str">
        <f t="array" ref="D4552">IFNA(_xlfn.XLOOKUP(C4552,Table_Tarikan_Warkah[Nomor Sertipikat],Table_Tarikan_Warkah[Nomor Tiket]),"")</f>
        <v>ABDXQSWK/1 AB015</v>
      </c>
      <c r="E4552" s="36" t="str">
        <f t="array" ref="E4552">IFNA(_xlfn.XLOOKUP(D4552,Table_Tarikan_Warkah[Nomor Tiket],Table_Tarikan_Warkah[Tanggal diserahkan kepada Validator]),"")</f>
        <v/>
      </c>
      <c r="F4552" s="36" t="str">
        <f t="array" ref="F4552">IFNA(_xlfn.XLOOKUP(D4552,Table_Tarikan_Warkah[Nomor Tiket],Table_Tarikan_Warkah[Nama Petugas Warkah]),"")</f>
        <v/>
      </c>
      <c r="G4552" s="39" t="str">
        <f t="array" ref="G4552">IFNA(_xlfn.XLOOKUP(D4552,Table_Tarikan_Warkah[Nomor Tiket],Table_Tarikan_Warkah[Jenis Permohonan]),"")</f>
        <v>Roya</v>
      </c>
      <c r="H4552" s="41" t="s">
        <v>2315</v>
      </c>
      <c r="I4552" s="49" t="s">
        <v>23</v>
      </c>
      <c r="J4552" s="36">
        <f t="shared" si="20"/>
        <v>45994.39027</v>
      </c>
      <c r="K4552" s="69"/>
      <c r="L4552" s="49"/>
      <c r="M4552" s="36" t="str">
        <f t="shared" si="33"/>
        <v/>
      </c>
      <c r="N4552" s="30" t="str">
        <f t="shared" si="34"/>
        <v>BT atau SU Belum Valid</v>
      </c>
      <c r="O4552" s="39" t="str">
        <f t="shared" si="23"/>
        <v/>
      </c>
      <c r="P4552" s="47" t="b">
        <v>0</v>
      </c>
      <c r="Q4552" s="36" t="str">
        <f t="shared" si="35"/>
        <v/>
      </c>
      <c r="R4552" s="47" t="b">
        <v>0</v>
      </c>
      <c r="S4552" s="42" t="str">
        <f t="shared" si="28"/>
        <v/>
      </c>
      <c r="T4552" s="42"/>
    </row>
    <row r="4553" ht="22.5" customHeight="1">
      <c r="B4553" s="42">
        <f t="shared" si="7"/>
        <v>4547</v>
      </c>
      <c r="C4553" s="31" t="s">
        <v>4576</v>
      </c>
      <c r="D4553" s="34" t="str">
        <f t="array" ref="D4553">IFNA(_xlfn.XLOOKUP(C4553,Table_Tarikan_Warkah[Nomor Sertipikat],Table_Tarikan_Warkah[Nomor Tiket]),"")</f>
        <v>ABSHCBEA/1</v>
      </c>
      <c r="E4553" s="36" t="str">
        <f t="array" ref="E4553">IFNA(_xlfn.XLOOKUP(D4553,Table_Tarikan_Warkah[Nomor Tiket],Table_Tarikan_Warkah[Tanggal diserahkan kepada Validator]),"")</f>
        <v/>
      </c>
      <c r="F4553" s="36" t="str">
        <f t="array" ref="F4553">IFNA(_xlfn.XLOOKUP(D4553,Table_Tarikan_Warkah[Nomor Tiket],Table_Tarikan_Warkah[Nama Petugas Warkah]),"")</f>
        <v/>
      </c>
      <c r="G4553" s="39" t="str">
        <f t="array" ref="G4553">IFNA(_xlfn.XLOOKUP(D4553,Table_Tarikan_Warkah[Nomor Tiket],Table_Tarikan_Warkah[Jenis Permohonan]),"")</f>
        <v>Bn jual beli</v>
      </c>
      <c r="H4553" s="41" t="s">
        <v>2315</v>
      </c>
      <c r="I4553" s="49" t="s">
        <v>23</v>
      </c>
      <c r="J4553" s="36">
        <f t="shared" si="20"/>
        <v>45994.39056</v>
      </c>
      <c r="K4553" s="69"/>
      <c r="L4553" s="49"/>
      <c r="M4553" s="36" t="str">
        <f t="shared" si="33"/>
        <v/>
      </c>
      <c r="N4553" s="30" t="str">
        <f t="shared" si="34"/>
        <v>BT atau SU Belum Valid</v>
      </c>
      <c r="O4553" s="39" t="str">
        <f t="shared" si="23"/>
        <v/>
      </c>
      <c r="P4553" s="47" t="b">
        <v>0</v>
      </c>
      <c r="Q4553" s="36" t="str">
        <f t="shared" si="35"/>
        <v/>
      </c>
      <c r="R4553" s="47" t="b">
        <v>0</v>
      </c>
      <c r="S4553" s="42" t="str">
        <f t="shared" si="28"/>
        <v/>
      </c>
      <c r="T4553" s="42"/>
    </row>
    <row r="4554" ht="22.5" customHeight="1">
      <c r="B4554" s="42">
        <f t="shared" si="7"/>
        <v>4548</v>
      </c>
      <c r="C4554" s="31" t="s">
        <v>4577</v>
      </c>
      <c r="D4554" s="34" t="str">
        <f t="array" ref="D4554">IFNA(_xlfn.XLOOKUP(C4554,Table_Tarikan_Warkah[Nomor Sertipikat],Table_Tarikan_Warkah[Nomor Tiket]),"")</f>
        <v>K/2/230925/1</v>
      </c>
      <c r="E4554" s="36">
        <f t="array" ref="E4554">IFNA(_xlfn.XLOOKUP(D4554,Table_Tarikan_Warkah[Nomor Tiket],Table_Tarikan_Warkah[Tanggal diserahkan kepada Validator]),"")</f>
        <v>45945.67981</v>
      </c>
      <c r="F4554" s="36" t="str">
        <f t="array" ref="F4554">IFNA(_xlfn.XLOOKUP(D4554,Table_Tarikan_Warkah[Nomor Tiket],Table_Tarikan_Warkah[Nama Petugas Warkah]),"")</f>
        <v>Berry</v>
      </c>
      <c r="G4554" s="39" t="str">
        <f t="array" ref="G4554">IFNA(_xlfn.XLOOKUP(D4554,Table_Tarikan_Warkah[Nomor Tiket],Table_Tarikan_Warkah[Jenis Permohonan]),"")</f>
        <v>BN WARIS</v>
      </c>
      <c r="H4554" s="41" t="s">
        <v>2315</v>
      </c>
      <c r="I4554" s="49" t="s">
        <v>23</v>
      </c>
      <c r="J4554" s="36">
        <f t="shared" si="20"/>
        <v>45994.39108</v>
      </c>
      <c r="K4554" s="69"/>
      <c r="L4554" s="49"/>
      <c r="M4554" s="36" t="str">
        <f t="shared" si="33"/>
        <v/>
      </c>
      <c r="N4554" s="30" t="str">
        <f t="shared" si="34"/>
        <v>BT atau SU Belum Valid</v>
      </c>
      <c r="O4554" s="39" t="str">
        <f t="shared" si="23"/>
        <v/>
      </c>
      <c r="P4554" s="47" t="b">
        <v>0</v>
      </c>
      <c r="Q4554" s="36" t="str">
        <f t="shared" si="35"/>
        <v/>
      </c>
      <c r="R4554" s="47" t="b">
        <v>0</v>
      </c>
      <c r="S4554" s="42" t="str">
        <f t="shared" si="28"/>
        <v/>
      </c>
      <c r="T4554" s="42"/>
    </row>
    <row r="4555" ht="22.5" customHeight="1">
      <c r="B4555" s="42">
        <f t="shared" si="7"/>
        <v>4549</v>
      </c>
      <c r="C4555" s="31" t="s">
        <v>4578</v>
      </c>
      <c r="D4555" s="34" t="str">
        <f t="array" ref="D4555">IFNA(_xlfn.XLOOKUP(C4555,Table_Tarikan_Warkah[Nomor Sertipikat],Table_Tarikan_Warkah[Nomor Tiket]),"")</f>
        <v>K/35/210826/1</v>
      </c>
      <c r="E4555" s="36" t="str">
        <f t="array" ref="E4555">IFNA(_xlfn.XLOOKUP(D4555,Table_Tarikan_Warkah[Nomor Tiket],Table_Tarikan_Warkah[Tanggal diserahkan kepada Validator]),"")</f>
        <v/>
      </c>
      <c r="F4555" s="36" t="str">
        <f t="array" ref="F4555">IFNA(_xlfn.XLOOKUP(D4555,Table_Tarikan_Warkah[Nomor Tiket],Table_Tarikan_Warkah[Nama Petugas Warkah]),"")</f>
        <v/>
      </c>
      <c r="G4555" s="39" t="str">
        <f t="array" ref="G4555">IFNA(_xlfn.XLOOKUP(D4555,Table_Tarikan_Warkah[Nomor Tiket],Table_Tarikan_Warkah[Jenis Permohonan]),"")</f>
        <v>BN JUAL BELI</v>
      </c>
      <c r="H4555" s="41" t="s">
        <v>2315</v>
      </c>
      <c r="I4555" s="49" t="s">
        <v>23</v>
      </c>
      <c r="J4555" s="36">
        <f t="shared" si="20"/>
        <v>45994.39131</v>
      </c>
      <c r="K4555" s="69"/>
      <c r="L4555" s="49"/>
      <c r="M4555" s="36" t="str">
        <f t="shared" si="33"/>
        <v/>
      </c>
      <c r="N4555" s="30" t="str">
        <f t="shared" si="34"/>
        <v>BT atau SU Belum Valid</v>
      </c>
      <c r="O4555" s="39" t="str">
        <f t="shared" si="23"/>
        <v/>
      </c>
      <c r="P4555" s="47" t="b">
        <v>0</v>
      </c>
      <c r="Q4555" s="36" t="str">
        <f t="shared" si="35"/>
        <v/>
      </c>
      <c r="R4555" s="47" t="b">
        <v>0</v>
      </c>
      <c r="S4555" s="42" t="str">
        <f t="shared" si="28"/>
        <v/>
      </c>
      <c r="T4555" s="42"/>
    </row>
    <row r="4556" ht="22.5" customHeight="1">
      <c r="B4556" s="42">
        <f t="shared" si="7"/>
        <v>4550</v>
      </c>
      <c r="C4556" s="31" t="s">
        <v>4579</v>
      </c>
      <c r="D4556" s="34" t="str">
        <f t="array" ref="D4556">IFNA(_xlfn.XLOOKUP(C4556,Table_Tarikan_Warkah[Nomor Sertipikat],Table_Tarikan_Warkah[Nomor Tiket]),"")</f>
        <v>K/28/070725/1</v>
      </c>
      <c r="E4556" s="36" t="str">
        <f t="array" ref="E4556">IFNA(_xlfn.XLOOKUP(D4556,Table_Tarikan_Warkah[Nomor Tiket],Table_Tarikan_Warkah[Tanggal diserahkan kepada Validator]),"")</f>
        <v/>
      </c>
      <c r="F4556" s="36" t="str">
        <f t="array" ref="F4556">IFNA(_xlfn.XLOOKUP(D4556,Table_Tarikan_Warkah[Nomor Tiket],Table_Tarikan_Warkah[Nama Petugas Warkah]),"")</f>
        <v/>
      </c>
      <c r="G4556" s="39" t="str">
        <f t="array" ref="G4556">IFNA(_xlfn.XLOOKUP(D4556,Table_Tarikan_Warkah[Nomor Tiket],Table_Tarikan_Warkah[Jenis Permohonan]),"")</f>
        <v>BN JUAL BELI</v>
      </c>
      <c r="H4556" s="41" t="s">
        <v>2315</v>
      </c>
      <c r="I4556" s="49" t="s">
        <v>23</v>
      </c>
      <c r="J4556" s="36">
        <f t="shared" si="20"/>
        <v>45994.39147</v>
      </c>
      <c r="K4556" s="69"/>
      <c r="L4556" s="49"/>
      <c r="M4556" s="36" t="str">
        <f t="shared" si="33"/>
        <v/>
      </c>
      <c r="N4556" s="30" t="str">
        <f t="shared" si="34"/>
        <v>BT atau SU Belum Valid</v>
      </c>
      <c r="O4556" s="39" t="str">
        <f t="shared" si="23"/>
        <v/>
      </c>
      <c r="P4556" s="47" t="b">
        <v>0</v>
      </c>
      <c r="Q4556" s="36" t="str">
        <f t="shared" si="35"/>
        <v/>
      </c>
      <c r="R4556" s="47" t="b">
        <v>0</v>
      </c>
      <c r="S4556" s="42" t="str">
        <f t="shared" si="28"/>
        <v/>
      </c>
      <c r="T4556" s="42"/>
    </row>
    <row r="4557" ht="22.5" customHeight="1">
      <c r="B4557" s="42">
        <f t="shared" si="7"/>
        <v>4551</v>
      </c>
      <c r="C4557" s="31" t="s">
        <v>4580</v>
      </c>
      <c r="D4557" s="34" t="str">
        <f t="array" ref="D4557">IFNA(_xlfn.XLOOKUP(C4557,Table_Tarikan_Warkah[Nomor Sertipikat],Table_Tarikan_Warkah[Nomor Tiket]),"")</f>
        <v>K/10/101025/1</v>
      </c>
      <c r="E4557" s="36" t="str">
        <f t="array" ref="E4557">IFNA(_xlfn.XLOOKUP(D4557,Table_Tarikan_Warkah[Nomor Tiket],Table_Tarikan_Warkah[Tanggal diserahkan kepada Validator]),"")</f>
        <v/>
      </c>
      <c r="F4557" s="36" t="str">
        <f t="array" ref="F4557">IFNA(_xlfn.XLOOKUP(D4557,Table_Tarikan_Warkah[Nomor Tiket],Table_Tarikan_Warkah[Nama Petugas Warkah]),"")</f>
        <v/>
      </c>
      <c r="G4557" s="39" t="str">
        <f t="array" ref="G4557">IFNA(_xlfn.XLOOKUP(D4557,Table_Tarikan_Warkah[Nomor Tiket],Table_Tarikan_Warkah[Jenis Permohonan]),"")</f>
        <v>BN WARIS</v>
      </c>
      <c r="H4557" s="41" t="s">
        <v>2315</v>
      </c>
      <c r="I4557" s="49" t="s">
        <v>23</v>
      </c>
      <c r="J4557" s="36">
        <f t="shared" si="20"/>
        <v>45995.43649</v>
      </c>
      <c r="K4557" s="69"/>
      <c r="L4557" s="49"/>
      <c r="M4557" s="36" t="str">
        <f t="shared" si="33"/>
        <v/>
      </c>
      <c r="N4557" s="30" t="str">
        <f t="shared" si="34"/>
        <v>BT atau SU Belum Valid</v>
      </c>
      <c r="O4557" s="39" t="str">
        <f t="shared" si="23"/>
        <v/>
      </c>
      <c r="P4557" s="47" t="b">
        <v>0</v>
      </c>
      <c r="Q4557" s="36" t="str">
        <f t="shared" si="35"/>
        <v/>
      </c>
      <c r="R4557" s="47" t="b">
        <v>0</v>
      </c>
      <c r="S4557" s="42" t="str">
        <f t="shared" si="28"/>
        <v/>
      </c>
      <c r="T4557" s="42"/>
    </row>
    <row r="4558" ht="22.5" customHeight="1">
      <c r="B4558" s="42">
        <f t="shared" si="7"/>
        <v>4552</v>
      </c>
      <c r="C4558" s="31" t="s">
        <v>4581</v>
      </c>
      <c r="D4558" s="34" t="str">
        <f t="array" ref="D4558">IFNA(_xlfn.XLOOKUP(C4558,Table_Tarikan_Warkah[Nomor Sertipikat],Table_Tarikan_Warkah[Nomor Tiket]),"")</f>
        <v>K/1/211025/1</v>
      </c>
      <c r="E4558" s="36" t="str">
        <f t="array" ref="E4558">IFNA(_xlfn.XLOOKUP(D4558,Table_Tarikan_Warkah[Nomor Tiket],Table_Tarikan_Warkah[Tanggal diserahkan kepada Validator]),"")</f>
        <v/>
      </c>
      <c r="F4558" s="36" t="str">
        <f t="array" ref="F4558">IFNA(_xlfn.XLOOKUP(D4558,Table_Tarikan_Warkah[Nomor Tiket],Table_Tarikan_Warkah[Nama Petugas Warkah]),"")</f>
        <v/>
      </c>
      <c r="G4558" s="39" t="str">
        <f t="array" ref="G4558">IFNA(_xlfn.XLOOKUP(D4558,Table_Tarikan_Warkah[Nomor Tiket],Table_Tarikan_Warkah[Jenis Permohonan]),"")</f>
        <v>PTPGT</v>
      </c>
      <c r="H4558" s="41" t="s">
        <v>2315</v>
      </c>
      <c r="I4558" s="49" t="s">
        <v>23</v>
      </c>
      <c r="J4558" s="36">
        <f t="shared" si="20"/>
        <v>45995.43698</v>
      </c>
      <c r="K4558" s="69"/>
      <c r="L4558" s="49"/>
      <c r="M4558" s="36" t="str">
        <f t="shared" si="33"/>
        <v/>
      </c>
      <c r="N4558" s="30" t="str">
        <f t="shared" si="34"/>
        <v>BT atau SU Belum Valid</v>
      </c>
      <c r="O4558" s="39" t="str">
        <f t="shared" si="23"/>
        <v/>
      </c>
      <c r="P4558" s="47" t="b">
        <v>0</v>
      </c>
      <c r="Q4558" s="36" t="str">
        <f t="shared" si="35"/>
        <v/>
      </c>
      <c r="R4558" s="47" t="b">
        <v>0</v>
      </c>
      <c r="S4558" s="42" t="str">
        <f t="shared" si="28"/>
        <v/>
      </c>
      <c r="T4558" s="42"/>
    </row>
    <row r="4559" ht="22.5" customHeight="1">
      <c r="B4559" s="42">
        <f t="shared" si="7"/>
        <v>4553</v>
      </c>
      <c r="C4559" s="31" t="s">
        <v>4582</v>
      </c>
      <c r="D4559" s="34" t="str">
        <f t="array" ref="D4559">IFNA(_xlfn.XLOOKUP(C4559,Table_Tarikan_Warkah[Nomor Sertipikat],Table_Tarikan_Warkah[Nomor Tiket]),"")</f>
        <v>K/26/170925/1</v>
      </c>
      <c r="E4559" s="36">
        <f t="array" ref="E4559">IFNA(_xlfn.XLOOKUP(D4559,Table_Tarikan_Warkah[Nomor Tiket],Table_Tarikan_Warkah[Tanggal diserahkan kepada Validator]),"")</f>
        <v>45945.68003</v>
      </c>
      <c r="F4559" s="36" t="str">
        <f t="array" ref="F4559">IFNA(_xlfn.XLOOKUP(D4559,Table_Tarikan_Warkah[Nomor Tiket],Table_Tarikan_Warkah[Nama Petugas Warkah]),"")</f>
        <v>Berry</v>
      </c>
      <c r="G4559" s="39" t="str">
        <f t="array" ref="G4559">IFNA(_xlfn.XLOOKUP(D4559,Table_Tarikan_Warkah[Nomor Tiket],Table_Tarikan_Warkah[Jenis Permohonan]),"")</f>
        <v>BN JUAL BELI</v>
      </c>
      <c r="H4559" s="41" t="s">
        <v>2315</v>
      </c>
      <c r="I4559" s="49" t="s">
        <v>23</v>
      </c>
      <c r="J4559" s="36">
        <f t="shared" si="20"/>
        <v>45995.43757</v>
      </c>
      <c r="K4559" s="69"/>
      <c r="L4559" s="49"/>
      <c r="M4559" s="36" t="str">
        <f t="shared" si="33"/>
        <v/>
      </c>
      <c r="N4559" s="30" t="str">
        <f t="shared" si="34"/>
        <v>BT atau SU Belum Valid</v>
      </c>
      <c r="O4559" s="39" t="str">
        <f t="shared" si="23"/>
        <v/>
      </c>
      <c r="P4559" s="47" t="b">
        <v>0</v>
      </c>
      <c r="Q4559" s="36" t="str">
        <f t="shared" si="35"/>
        <v/>
      </c>
      <c r="R4559" s="47" t="b">
        <v>0</v>
      </c>
      <c r="S4559" s="42" t="str">
        <f t="shared" si="28"/>
        <v/>
      </c>
      <c r="T4559" s="42"/>
    </row>
    <row r="4560" ht="22.5" customHeight="1">
      <c r="B4560" s="42">
        <f t="shared" si="7"/>
        <v>4554</v>
      </c>
      <c r="C4560" s="31" t="s">
        <v>4583</v>
      </c>
      <c r="D4560" s="34" t="str">
        <f t="array" ref="D4560">IFNA(_xlfn.XLOOKUP(C4560,Table_Tarikan_Warkah[Nomor Sertipikat],Table_Tarikan_Warkah[Nomor Tiket]),"")</f>
        <v>ABLZJGDS</v>
      </c>
      <c r="E4560" s="36" t="str">
        <f t="array" ref="E4560">IFNA(_xlfn.XLOOKUP(D4560,Table_Tarikan_Warkah[Nomor Tiket],Table_Tarikan_Warkah[Tanggal diserahkan kepada Validator]),"")</f>
        <v/>
      </c>
      <c r="F4560" s="36" t="str">
        <f t="array" ref="F4560">IFNA(_xlfn.XLOOKUP(D4560,Table_Tarikan_Warkah[Nomor Tiket],Table_Tarikan_Warkah[Nama Petugas Warkah]),"")</f>
        <v/>
      </c>
      <c r="G4560" s="39" t="str">
        <f t="array" ref="G4560">IFNA(_xlfn.XLOOKUP(D4560,Table_Tarikan_Warkah[Nomor Tiket],Table_Tarikan_Warkah[Jenis Permohonan]),"")</f>
        <v>BN LELANG</v>
      </c>
      <c r="H4560" s="41" t="s">
        <v>2315</v>
      </c>
      <c r="I4560" s="49" t="s">
        <v>23</v>
      </c>
      <c r="J4560" s="36">
        <f t="shared" si="20"/>
        <v>45995.43777</v>
      </c>
      <c r="K4560" s="69"/>
      <c r="L4560" s="49"/>
      <c r="M4560" s="36" t="str">
        <f t="shared" si="33"/>
        <v/>
      </c>
      <c r="N4560" s="30" t="str">
        <f t="shared" si="34"/>
        <v>BT atau SU Belum Valid</v>
      </c>
      <c r="O4560" s="39" t="str">
        <f t="shared" si="23"/>
        <v/>
      </c>
      <c r="P4560" s="47" t="b">
        <v>0</v>
      </c>
      <c r="Q4560" s="36" t="str">
        <f t="shared" si="35"/>
        <v/>
      </c>
      <c r="R4560" s="47" t="b">
        <v>0</v>
      </c>
      <c r="S4560" s="42" t="str">
        <f t="shared" si="28"/>
        <v/>
      </c>
      <c r="T4560" s="42"/>
    </row>
    <row r="4561" ht="22.5" customHeight="1">
      <c r="B4561" s="42">
        <f t="shared" si="7"/>
        <v>4555</v>
      </c>
      <c r="C4561" s="31" t="s">
        <v>4584</v>
      </c>
      <c r="D4561" s="34" t="str">
        <f t="array" ref="D4561">IFNA(_xlfn.XLOOKUP(C4561,Table_Tarikan_Warkah[Nomor Sertipikat],Table_Tarikan_Warkah[Nomor Tiket]),"")</f>
        <v>ABDLGASS</v>
      </c>
      <c r="E4561" s="36" t="str">
        <f t="array" ref="E4561">IFNA(_xlfn.XLOOKUP(D4561,Table_Tarikan_Warkah[Nomor Tiket],Table_Tarikan_Warkah[Tanggal diserahkan kepada Validator]),"")</f>
        <v/>
      </c>
      <c r="F4561" s="36" t="str">
        <f t="array" ref="F4561">IFNA(_xlfn.XLOOKUP(D4561,Table_Tarikan_Warkah[Nomor Tiket],Table_Tarikan_Warkah[Nama Petugas Warkah]),"")</f>
        <v/>
      </c>
      <c r="G4561" s="39" t="str">
        <f t="array" ref="G4561">IFNA(_xlfn.XLOOKUP(D4561,Table_Tarikan_Warkah[Nomor Tiket],Table_Tarikan_Warkah[Jenis Permohonan]),"")</f>
        <v>BN LELANG</v>
      </c>
      <c r="H4561" s="41" t="s">
        <v>2315</v>
      </c>
      <c r="I4561" s="49" t="s">
        <v>23</v>
      </c>
      <c r="J4561" s="36">
        <f t="shared" si="20"/>
        <v>45995.4379</v>
      </c>
      <c r="K4561" s="69"/>
      <c r="L4561" s="49"/>
      <c r="M4561" s="36" t="str">
        <f t="shared" si="33"/>
        <v/>
      </c>
      <c r="N4561" s="30" t="str">
        <f t="shared" si="34"/>
        <v>BT atau SU Belum Valid</v>
      </c>
      <c r="O4561" s="39" t="str">
        <f t="shared" si="23"/>
        <v/>
      </c>
      <c r="P4561" s="47" t="b">
        <v>0</v>
      </c>
      <c r="Q4561" s="36" t="str">
        <f t="shared" si="35"/>
        <v/>
      </c>
      <c r="R4561" s="47" t="b">
        <v>0</v>
      </c>
      <c r="S4561" s="42" t="str">
        <f t="shared" si="28"/>
        <v/>
      </c>
      <c r="T4561" s="42"/>
    </row>
    <row r="4562" ht="22.5" customHeight="1">
      <c r="B4562" s="42">
        <f t="shared" si="7"/>
        <v>4556</v>
      </c>
      <c r="C4562" s="31" t="s">
        <v>4585</v>
      </c>
      <c r="D4562" s="34" t="str">
        <f t="array" ref="D4562">IFNA(_xlfn.XLOOKUP(C4562,Table_Tarikan_Warkah[Nomor Sertipikat],Table_Tarikan_Warkah[Nomor Tiket]),"")</f>
        <v>K/41/011025/1</v>
      </c>
      <c r="E4562" s="36" t="str">
        <f t="array" ref="E4562">IFNA(_xlfn.XLOOKUP(D4562,Table_Tarikan_Warkah[Nomor Tiket],Table_Tarikan_Warkah[Tanggal diserahkan kepada Validator]),"")</f>
        <v/>
      </c>
      <c r="F4562" s="36" t="str">
        <f t="array" ref="F4562">IFNA(_xlfn.XLOOKUP(D4562,Table_Tarikan_Warkah[Nomor Tiket],Table_Tarikan_Warkah[Nama Petugas Warkah]),"")</f>
        <v/>
      </c>
      <c r="G4562" s="39" t="str">
        <f t="array" ref="G4562">IFNA(_xlfn.XLOOKUP(D4562,Table_Tarikan_Warkah[Nomor Tiket],Table_Tarikan_Warkah[Jenis Permohonan]),"")</f>
        <v>BN LELANG</v>
      </c>
      <c r="H4562" s="41" t="s">
        <v>2315</v>
      </c>
      <c r="I4562" s="49" t="s">
        <v>23</v>
      </c>
      <c r="J4562" s="36">
        <f t="shared" si="20"/>
        <v>45995.43805</v>
      </c>
      <c r="K4562" s="69"/>
      <c r="L4562" s="49"/>
      <c r="M4562" s="36" t="str">
        <f t="shared" si="33"/>
        <v/>
      </c>
      <c r="N4562" s="30" t="str">
        <f t="shared" si="34"/>
        <v>BT atau SU Belum Valid</v>
      </c>
      <c r="O4562" s="39" t="str">
        <f t="shared" si="23"/>
        <v/>
      </c>
      <c r="P4562" s="47" t="b">
        <v>0</v>
      </c>
      <c r="Q4562" s="36" t="str">
        <f t="shared" si="35"/>
        <v/>
      </c>
      <c r="R4562" s="47" t="b">
        <v>0</v>
      </c>
      <c r="S4562" s="42" t="str">
        <f t="shared" si="28"/>
        <v/>
      </c>
      <c r="T4562" s="42"/>
    </row>
    <row r="4563" ht="22.5" customHeight="1">
      <c r="B4563" s="42">
        <f t="shared" si="7"/>
        <v>4557</v>
      </c>
      <c r="C4563" s="31" t="s">
        <v>4586</v>
      </c>
      <c r="D4563" s="34" t="str">
        <f t="array" ref="D4563">IFNA(_xlfn.XLOOKUP(C4563,Table_Tarikan_Warkah[Nomor Sertipikat],Table_Tarikan_Warkah[Nomor Tiket]),"")</f>
        <v>K/38/160725/1</v>
      </c>
      <c r="E4563" s="36" t="str">
        <f t="array" ref="E4563">IFNA(_xlfn.XLOOKUP(D4563,Table_Tarikan_Warkah[Nomor Tiket],Table_Tarikan_Warkah[Tanggal diserahkan kepada Validator]),"")</f>
        <v/>
      </c>
      <c r="F4563" s="36" t="str">
        <f t="array" ref="F4563">IFNA(_xlfn.XLOOKUP(D4563,Table_Tarikan_Warkah[Nomor Tiket],Table_Tarikan_Warkah[Nama Petugas Warkah]),"")</f>
        <v/>
      </c>
      <c r="G4563" s="39" t="str">
        <f t="array" ref="G4563">IFNA(_xlfn.XLOOKUP(D4563,Table_Tarikan_Warkah[Nomor Tiket],Table_Tarikan_Warkah[Jenis Permohonan]),"")</f>
        <v>PERUBAHAN HAK</v>
      </c>
      <c r="H4563" s="41" t="s">
        <v>2315</v>
      </c>
      <c r="I4563" s="49" t="s">
        <v>23</v>
      </c>
      <c r="J4563" s="36">
        <f t="shared" si="20"/>
        <v>45995.43937</v>
      </c>
      <c r="K4563" s="69"/>
      <c r="L4563" s="49"/>
      <c r="M4563" s="36" t="str">
        <f t="shared" si="33"/>
        <v/>
      </c>
      <c r="N4563" s="30" t="str">
        <f t="shared" si="34"/>
        <v>BT atau SU Belum Valid</v>
      </c>
      <c r="O4563" s="39" t="str">
        <f t="shared" si="23"/>
        <v/>
      </c>
      <c r="P4563" s="47" t="b">
        <v>0</v>
      </c>
      <c r="Q4563" s="36" t="str">
        <f t="shared" si="35"/>
        <v/>
      </c>
      <c r="R4563" s="47" t="b">
        <v>0</v>
      </c>
      <c r="S4563" s="42" t="str">
        <f t="shared" si="28"/>
        <v/>
      </c>
      <c r="T4563" s="42"/>
    </row>
    <row r="4564" ht="22.5" customHeight="1">
      <c r="B4564" s="42">
        <f t="shared" si="7"/>
        <v>4558</v>
      </c>
      <c r="C4564" s="31" t="s">
        <v>4587</v>
      </c>
      <c r="D4564" s="34" t="str">
        <f t="array" ref="D4564">IFNA(_xlfn.XLOOKUP(C4564,Table_Tarikan_Warkah[Nomor Sertipikat],Table_Tarikan_Warkah[Nomor Tiket]),"")</f>
        <v>ABKXKZQF</v>
      </c>
      <c r="E4564" s="36" t="str">
        <f t="array" ref="E4564">IFNA(_xlfn.XLOOKUP(D4564,Table_Tarikan_Warkah[Nomor Tiket],Table_Tarikan_Warkah[Tanggal diserahkan kepada Validator]),"")</f>
        <v/>
      </c>
      <c r="F4564" s="36" t="str">
        <f t="array" ref="F4564">IFNA(_xlfn.XLOOKUP(D4564,Table_Tarikan_Warkah[Nomor Tiket],Table_Tarikan_Warkah[Nama Petugas Warkah]),"")</f>
        <v/>
      </c>
      <c r="G4564" s="39" t="str">
        <f t="array" ref="G4564">IFNA(_xlfn.XLOOKUP(D4564,Table_Tarikan_Warkah[Nomor Tiket],Table_Tarikan_Warkah[Jenis Permohonan]),"")</f>
        <v>Waris</v>
      </c>
      <c r="H4564" s="41" t="s">
        <v>2315</v>
      </c>
      <c r="I4564" s="49" t="s">
        <v>23</v>
      </c>
      <c r="J4564" s="36">
        <f t="shared" si="20"/>
        <v>45995.43955</v>
      </c>
      <c r="K4564" s="69"/>
      <c r="L4564" s="49"/>
      <c r="M4564" s="36" t="str">
        <f t="shared" si="33"/>
        <v/>
      </c>
      <c r="N4564" s="30" t="str">
        <f t="shared" si="34"/>
        <v>BT atau SU Belum Valid</v>
      </c>
      <c r="O4564" s="39" t="str">
        <f t="shared" si="23"/>
        <v/>
      </c>
      <c r="P4564" s="47" t="b">
        <v>0</v>
      </c>
      <c r="Q4564" s="36" t="str">
        <f t="shared" si="35"/>
        <v/>
      </c>
      <c r="R4564" s="47" t="b">
        <v>0</v>
      </c>
      <c r="S4564" s="42" t="str">
        <f t="shared" si="28"/>
        <v/>
      </c>
      <c r="T4564" s="42"/>
    </row>
    <row r="4565" ht="22.5" customHeight="1">
      <c r="B4565" s="42">
        <f t="shared" si="7"/>
        <v>4559</v>
      </c>
      <c r="C4565" s="31" t="s">
        <v>4588</v>
      </c>
      <c r="D4565" s="34" t="str">
        <f t="array" ref="D4565">IFNA(_xlfn.XLOOKUP(C4565,Table_Tarikan_Warkah[Nomor Sertipikat],Table_Tarikan_Warkah[Nomor Tiket]),"")</f>
        <v>K/34/220925/1</v>
      </c>
      <c r="E4565" s="36" t="str">
        <f t="array" ref="E4565">IFNA(_xlfn.XLOOKUP(D4565,Table_Tarikan_Warkah[Nomor Tiket],Table_Tarikan_Warkah[Tanggal diserahkan kepada Validator]),"")</f>
        <v/>
      </c>
      <c r="F4565" s="36" t="str">
        <f t="array" ref="F4565">IFNA(_xlfn.XLOOKUP(D4565,Table_Tarikan_Warkah[Nomor Tiket],Table_Tarikan_Warkah[Nama Petugas Warkah]),"")</f>
        <v/>
      </c>
      <c r="G4565" s="39" t="str">
        <f t="array" ref="G4565">IFNA(_xlfn.XLOOKUP(D4565,Table_Tarikan_Warkah[Nomor Tiket],Table_Tarikan_Warkah[Jenis Permohonan]),"")</f>
        <v>PEMECAHAN</v>
      </c>
      <c r="H4565" s="41" t="s">
        <v>2315</v>
      </c>
      <c r="I4565" s="49" t="s">
        <v>23</v>
      </c>
      <c r="J4565" s="36">
        <f t="shared" si="20"/>
        <v>45995.43971</v>
      </c>
      <c r="K4565" s="69"/>
      <c r="L4565" s="49"/>
      <c r="M4565" s="36" t="str">
        <f t="shared" si="33"/>
        <v/>
      </c>
      <c r="N4565" s="30" t="str">
        <f t="shared" si="34"/>
        <v>BT atau SU Belum Valid</v>
      </c>
      <c r="O4565" s="39" t="str">
        <f t="shared" si="23"/>
        <v/>
      </c>
      <c r="P4565" s="47" t="b">
        <v>0</v>
      </c>
      <c r="Q4565" s="36" t="str">
        <f t="shared" si="35"/>
        <v/>
      </c>
      <c r="R4565" s="47" t="b">
        <v>0</v>
      </c>
      <c r="S4565" s="42" t="str">
        <f t="shared" si="28"/>
        <v/>
      </c>
      <c r="T4565" s="42"/>
    </row>
    <row r="4566" ht="22.5" customHeight="1">
      <c r="B4566" s="42">
        <f t="shared" si="7"/>
        <v>4560</v>
      </c>
      <c r="C4566" s="31" t="s">
        <v>4589</v>
      </c>
      <c r="D4566" s="34" t="str">
        <f t="array" ref="D4566">IFNA(_xlfn.XLOOKUP(C4566,Table_Tarikan_Warkah[Nomor Sertipikat],Table_Tarikan_Warkah[Nomor Tiket]),"")</f>
        <v>L/7/011025/1</v>
      </c>
      <c r="E4566" s="36">
        <f t="array" ref="E4566">IFNA(_xlfn.XLOOKUP(D4566,Table_Tarikan_Warkah[Nomor Tiket],Table_Tarikan_Warkah[Tanggal diserahkan kepada Validator]),"")</f>
        <v>45966.65235</v>
      </c>
      <c r="F4566" s="36" t="str">
        <f t="array" ref="F4566">IFNA(_xlfn.XLOOKUP(D4566,Table_Tarikan_Warkah[Nomor Tiket],Table_Tarikan_Warkah[Nama Petugas Warkah]),"")</f>
        <v>Berry</v>
      </c>
      <c r="G4566" s="39" t="str">
        <f t="array" ref="G4566">IFNA(_xlfn.XLOOKUP(D4566,Table_Tarikan_Warkah[Nomor Tiket],Table_Tarikan_Warkah[Jenis Permohonan]),"")</f>
        <v>BN WARIS</v>
      </c>
      <c r="H4566" s="41" t="s">
        <v>2315</v>
      </c>
      <c r="I4566" s="49" t="s">
        <v>23</v>
      </c>
      <c r="J4566" s="36">
        <f t="shared" si="20"/>
        <v>45995.44019</v>
      </c>
      <c r="K4566" s="69"/>
      <c r="L4566" s="49"/>
      <c r="M4566" s="36" t="str">
        <f t="shared" si="33"/>
        <v/>
      </c>
      <c r="N4566" s="30" t="str">
        <f t="shared" si="34"/>
        <v>BT atau SU Belum Valid</v>
      </c>
      <c r="O4566" s="39" t="str">
        <f t="shared" si="23"/>
        <v/>
      </c>
      <c r="P4566" s="47" t="b">
        <v>0</v>
      </c>
      <c r="Q4566" s="36" t="str">
        <f t="shared" si="35"/>
        <v/>
      </c>
      <c r="R4566" s="47" t="b">
        <v>0</v>
      </c>
      <c r="S4566" s="42" t="str">
        <f t="shared" si="28"/>
        <v/>
      </c>
      <c r="T4566" s="42"/>
    </row>
    <row r="4567" ht="22.5" customHeight="1">
      <c r="B4567" s="42">
        <f t="shared" si="7"/>
        <v>4561</v>
      </c>
      <c r="C4567" s="31" t="s">
        <v>4590</v>
      </c>
      <c r="D4567" s="34" t="str">
        <f t="array" ref="D4567">IFNA(_xlfn.XLOOKUP(C4567,Table_Tarikan_Warkah[Nomor Sertipikat],Table_Tarikan_Warkah[Nomor Tiket]),"")</f>
        <v>L/17/161025/1</v>
      </c>
      <c r="E4567" s="36" t="str">
        <f t="array" ref="E4567">IFNA(_xlfn.XLOOKUP(D4567,Table_Tarikan_Warkah[Nomor Tiket],Table_Tarikan_Warkah[Tanggal diserahkan kepada Validator]),"")</f>
        <v/>
      </c>
      <c r="F4567" s="36" t="str">
        <f t="array" ref="F4567">IFNA(_xlfn.XLOOKUP(D4567,Table_Tarikan_Warkah[Nomor Tiket],Table_Tarikan_Warkah[Nama Petugas Warkah]),"")</f>
        <v/>
      </c>
      <c r="G4567" s="39" t="str">
        <f t="array" ref="G4567">IFNA(_xlfn.XLOOKUP(D4567,Table_Tarikan_Warkah[Nomor Tiket],Table_Tarikan_Warkah[Jenis Permohonan]),"")</f>
        <v>ROYA WARIS</v>
      </c>
      <c r="H4567" s="41" t="s">
        <v>2315</v>
      </c>
      <c r="I4567" s="49" t="s">
        <v>23</v>
      </c>
      <c r="J4567" s="36">
        <f t="shared" si="20"/>
        <v>45995.44034</v>
      </c>
      <c r="K4567" s="69"/>
      <c r="L4567" s="49"/>
      <c r="M4567" s="36" t="str">
        <f t="shared" si="33"/>
        <v/>
      </c>
      <c r="N4567" s="30" t="str">
        <f t="shared" si="34"/>
        <v>BT atau SU Belum Valid</v>
      </c>
      <c r="O4567" s="39" t="str">
        <f t="shared" si="23"/>
        <v/>
      </c>
      <c r="P4567" s="47" t="b">
        <v>0</v>
      </c>
      <c r="Q4567" s="36" t="str">
        <f t="shared" si="35"/>
        <v/>
      </c>
      <c r="R4567" s="47" t="b">
        <v>0</v>
      </c>
      <c r="S4567" s="42" t="str">
        <f t="shared" si="28"/>
        <v/>
      </c>
      <c r="T4567" s="42"/>
    </row>
    <row r="4568" ht="22.5" customHeight="1">
      <c r="B4568" s="42">
        <f t="shared" si="7"/>
        <v>4562</v>
      </c>
      <c r="C4568" s="31" t="s">
        <v>4591</v>
      </c>
      <c r="D4568" s="34" t="str">
        <f t="array" ref="D4568">IFNA(_xlfn.XLOOKUP(C4568,Table_Tarikan_Warkah[Nomor Sertipikat],Table_Tarikan_Warkah[Nomor Tiket]),"")</f>
        <v>L/2/021025/1</v>
      </c>
      <c r="E4568" s="36">
        <f t="array" ref="E4568">IFNA(_xlfn.XLOOKUP(D4568,Table_Tarikan_Warkah[Nomor Tiket],Table_Tarikan_Warkah[Tanggal diserahkan kepada Validator]),"")</f>
        <v>45979.65079</v>
      </c>
      <c r="F4568" s="36" t="str">
        <f t="array" ref="F4568">IFNA(_xlfn.XLOOKUP(D4568,Table_Tarikan_Warkah[Nomor Tiket],Table_Tarikan_Warkah[Nama Petugas Warkah]),"")</f>
        <v>Berry</v>
      </c>
      <c r="G4568" s="39" t="str">
        <f t="array" ref="G4568">IFNA(_xlfn.XLOOKUP(D4568,Table_Tarikan_Warkah[Nomor Tiket],Table_Tarikan_Warkah[Jenis Permohonan]),"")</f>
        <v>BN WARIS</v>
      </c>
      <c r="H4568" s="41" t="s">
        <v>2315</v>
      </c>
      <c r="I4568" s="49" t="s">
        <v>23</v>
      </c>
      <c r="J4568" s="36">
        <f t="shared" si="20"/>
        <v>45995.44053</v>
      </c>
      <c r="K4568" s="69"/>
      <c r="L4568" s="49"/>
      <c r="M4568" s="36" t="str">
        <f t="shared" si="33"/>
        <v/>
      </c>
      <c r="N4568" s="30" t="str">
        <f t="shared" si="34"/>
        <v>BT atau SU Belum Valid</v>
      </c>
      <c r="O4568" s="39" t="str">
        <f t="shared" si="23"/>
        <v/>
      </c>
      <c r="P4568" s="47" t="b">
        <v>0</v>
      </c>
      <c r="Q4568" s="36" t="str">
        <f t="shared" si="35"/>
        <v/>
      </c>
      <c r="R4568" s="47" t="b">
        <v>0</v>
      </c>
      <c r="S4568" s="42" t="str">
        <f t="shared" si="28"/>
        <v/>
      </c>
      <c r="T4568" s="42"/>
    </row>
    <row r="4569" ht="22.5" customHeight="1">
      <c r="B4569" s="42">
        <f t="shared" si="7"/>
        <v>4563</v>
      </c>
      <c r="C4569" s="31" t="s">
        <v>4592</v>
      </c>
      <c r="D4569" s="34" t="str">
        <f t="array" ref="D4569">IFNA(_xlfn.XLOOKUP(C4569,Table_Tarikan_Warkah[Nomor Sertipikat],Table_Tarikan_Warkah[Nomor Tiket]),"")</f>
        <v>L/15/141025/1</v>
      </c>
      <c r="E4569" s="36" t="str">
        <f t="array" ref="E4569">IFNA(_xlfn.XLOOKUP(D4569,Table_Tarikan_Warkah[Nomor Tiket],Table_Tarikan_Warkah[Tanggal diserahkan kepada Validator]),"")</f>
        <v/>
      </c>
      <c r="F4569" s="36" t="str">
        <f t="array" ref="F4569">IFNA(_xlfn.XLOOKUP(D4569,Table_Tarikan_Warkah[Nomor Tiket],Table_Tarikan_Warkah[Nama Petugas Warkah]),"")</f>
        <v/>
      </c>
      <c r="G4569" s="39" t="str">
        <f t="array" ref="G4569">IFNA(_xlfn.XLOOKUP(D4569,Table_Tarikan_Warkah[Nomor Tiket],Table_Tarikan_Warkah[Jenis Permohonan]),"")</f>
        <v>BN WARIS</v>
      </c>
      <c r="H4569" s="41" t="s">
        <v>2315</v>
      </c>
      <c r="I4569" s="49" t="s">
        <v>23</v>
      </c>
      <c r="J4569" s="36">
        <f t="shared" si="20"/>
        <v>45995.44086</v>
      </c>
      <c r="K4569" s="69"/>
      <c r="L4569" s="49"/>
      <c r="M4569" s="36" t="str">
        <f t="shared" si="33"/>
        <v/>
      </c>
      <c r="N4569" s="30" t="str">
        <f t="shared" si="34"/>
        <v>BT atau SU Belum Valid</v>
      </c>
      <c r="O4569" s="39" t="str">
        <f t="shared" si="23"/>
        <v/>
      </c>
      <c r="P4569" s="47" t="b">
        <v>0</v>
      </c>
      <c r="Q4569" s="36" t="str">
        <f t="shared" si="35"/>
        <v/>
      </c>
      <c r="R4569" s="47" t="b">
        <v>0</v>
      </c>
      <c r="S4569" s="42" t="str">
        <f t="shared" si="28"/>
        <v/>
      </c>
      <c r="T4569" s="42"/>
    </row>
    <row r="4570" ht="22.5" customHeight="1">
      <c r="B4570" s="42">
        <f t="shared" si="7"/>
        <v>4564</v>
      </c>
      <c r="C4570" s="31" t="s">
        <v>4593</v>
      </c>
      <c r="D4570" s="34" t="str">
        <f t="array" ref="D4570">IFNA(_xlfn.XLOOKUP(C4570,Table_Tarikan_Warkah[Nomor Sertipikat],Table_Tarikan_Warkah[Nomor Tiket]),"")</f>
        <v>L/4/151025/1</v>
      </c>
      <c r="E4570" s="36" t="str">
        <f t="array" ref="E4570">IFNA(_xlfn.XLOOKUP(D4570,Table_Tarikan_Warkah[Nomor Tiket],Table_Tarikan_Warkah[Tanggal diserahkan kepada Validator]),"")</f>
        <v/>
      </c>
      <c r="F4570" s="36" t="str">
        <f t="array" ref="F4570">IFNA(_xlfn.XLOOKUP(D4570,Table_Tarikan_Warkah[Nomor Tiket],Table_Tarikan_Warkah[Nama Petugas Warkah]),"")</f>
        <v/>
      </c>
      <c r="G4570" s="39" t="str">
        <f t="array" ref="G4570">IFNA(_xlfn.XLOOKUP(D4570,Table_Tarikan_Warkah[Nomor Tiket],Table_Tarikan_Warkah[Jenis Permohonan]),"")</f>
        <v>BN PUTUSAN PENGADILAN</v>
      </c>
      <c r="H4570" s="41" t="s">
        <v>2315</v>
      </c>
      <c r="I4570" s="49" t="s">
        <v>23</v>
      </c>
      <c r="J4570" s="36">
        <f t="shared" si="20"/>
        <v>45995.44108</v>
      </c>
      <c r="K4570" s="69"/>
      <c r="L4570" s="49"/>
      <c r="M4570" s="36" t="str">
        <f t="shared" si="33"/>
        <v/>
      </c>
      <c r="N4570" s="30" t="str">
        <f t="shared" si="34"/>
        <v>BT atau SU Belum Valid</v>
      </c>
      <c r="O4570" s="39" t="str">
        <f t="shared" si="23"/>
        <v/>
      </c>
      <c r="P4570" s="47" t="b">
        <v>0</v>
      </c>
      <c r="Q4570" s="36" t="str">
        <f t="shared" si="35"/>
        <v/>
      </c>
      <c r="R4570" s="47" t="b">
        <v>0</v>
      </c>
      <c r="S4570" s="42" t="str">
        <f t="shared" si="28"/>
        <v/>
      </c>
      <c r="T4570" s="42"/>
    </row>
    <row r="4571" ht="22.5" customHeight="1">
      <c r="B4571" s="42">
        <f t="shared" si="7"/>
        <v>4565</v>
      </c>
      <c r="C4571" s="31" t="s">
        <v>4594</v>
      </c>
      <c r="D4571" s="34" t="str">
        <f t="array" ref="D4571">IFNA(_xlfn.XLOOKUP(C4571,Table_Tarikan_Warkah[Nomor Sertipikat],Table_Tarikan_Warkah[Nomor Tiket]),"")</f>
        <v>K/4/041126/1</v>
      </c>
      <c r="E4571" s="36" t="str">
        <f t="array" ref="E4571">IFNA(_xlfn.XLOOKUP(D4571,Table_Tarikan_Warkah[Nomor Tiket],Table_Tarikan_Warkah[Tanggal diserahkan kepada Validator]),"")</f>
        <v/>
      </c>
      <c r="F4571" s="36" t="str">
        <f t="array" ref="F4571">IFNA(_xlfn.XLOOKUP(D4571,Table_Tarikan_Warkah[Nomor Tiket],Table_Tarikan_Warkah[Nama Petugas Warkah]),"")</f>
        <v/>
      </c>
      <c r="G4571" s="39" t="str">
        <f t="array" ref="G4571">IFNA(_xlfn.XLOOKUP(D4571,Table_Tarikan_Warkah[Nomor Tiket],Table_Tarikan_Warkah[Jenis Permohonan]),"")</f>
        <v>ROYA</v>
      </c>
      <c r="H4571" s="41" t="s">
        <v>2315</v>
      </c>
      <c r="I4571" s="49" t="s">
        <v>23</v>
      </c>
      <c r="J4571" s="36">
        <f t="shared" si="20"/>
        <v>45995.44133</v>
      </c>
      <c r="K4571" s="69"/>
      <c r="L4571" s="49"/>
      <c r="M4571" s="36" t="str">
        <f t="shared" si="33"/>
        <v/>
      </c>
      <c r="N4571" s="30" t="str">
        <f t="shared" si="34"/>
        <v>BT atau SU Belum Valid</v>
      </c>
      <c r="O4571" s="39" t="str">
        <f t="shared" si="23"/>
        <v/>
      </c>
      <c r="P4571" s="47" t="b">
        <v>0</v>
      </c>
      <c r="Q4571" s="36" t="str">
        <f t="shared" si="35"/>
        <v/>
      </c>
      <c r="R4571" s="47" t="b">
        <v>0</v>
      </c>
      <c r="S4571" s="42" t="str">
        <f t="shared" si="28"/>
        <v/>
      </c>
      <c r="T4571" s="42"/>
    </row>
    <row r="4572" ht="22.5" customHeight="1">
      <c r="B4572" s="42">
        <f t="shared" si="7"/>
        <v>4566</v>
      </c>
      <c r="C4572" s="31" t="s">
        <v>4595</v>
      </c>
      <c r="D4572" s="34" t="str">
        <f t="array" ref="D4572">IFNA(_xlfn.XLOOKUP(C4572,Table_Tarikan_Warkah[Nomor Sertipikat],Table_Tarikan_Warkah[Nomor Tiket]),"")</f>
        <v>ABSSXAAB/AB62</v>
      </c>
      <c r="E4572" s="36" t="str">
        <f t="array" ref="E4572">IFNA(_xlfn.XLOOKUP(D4572,Table_Tarikan_Warkah[Nomor Tiket],Table_Tarikan_Warkah[Tanggal diserahkan kepada Validator]),"")</f>
        <v/>
      </c>
      <c r="F4572" s="36" t="str">
        <f t="array" ref="F4572">IFNA(_xlfn.XLOOKUP(D4572,Table_Tarikan_Warkah[Nomor Tiket],Table_Tarikan_Warkah[Nama Petugas Warkah]),"")</f>
        <v/>
      </c>
      <c r="G4572" s="39" t="str">
        <f t="array" ref="G4572">IFNA(_xlfn.XLOOKUP(D4572,Table_Tarikan_Warkah[Nomor Tiket],Table_Tarikan_Warkah[Jenis Permohonan]),"")</f>
        <v>Roya</v>
      </c>
      <c r="H4572" s="41" t="s">
        <v>2315</v>
      </c>
      <c r="I4572" s="49" t="s">
        <v>23</v>
      </c>
      <c r="J4572" s="36">
        <f t="shared" si="20"/>
        <v>45995.44207</v>
      </c>
      <c r="K4572" s="69"/>
      <c r="L4572" s="49"/>
      <c r="M4572" s="36" t="str">
        <f t="shared" si="33"/>
        <v/>
      </c>
      <c r="N4572" s="30" t="str">
        <f t="shared" si="34"/>
        <v>BT atau SU Belum Valid</v>
      </c>
      <c r="O4572" s="39" t="str">
        <f t="shared" si="23"/>
        <v/>
      </c>
      <c r="P4572" s="47" t="b">
        <v>0</v>
      </c>
      <c r="Q4572" s="36" t="str">
        <f t="shared" si="35"/>
        <v/>
      </c>
      <c r="R4572" s="47" t="b">
        <v>0</v>
      </c>
      <c r="S4572" s="42" t="str">
        <f t="shared" si="28"/>
        <v/>
      </c>
      <c r="T4572" s="42"/>
    </row>
    <row r="4573" ht="22.5" customHeight="1">
      <c r="B4573" s="42">
        <f t="shared" si="7"/>
        <v>4567</v>
      </c>
      <c r="C4573" s="31" t="s">
        <v>4596</v>
      </c>
      <c r="D4573" s="34" t="str">
        <f t="array" ref="D4573">IFNA(_xlfn.XLOOKUP(C4573,Table_Tarikan_Warkah[Nomor Sertipikat],Table_Tarikan_Warkah[Nomor Tiket]),"")</f>
        <v>K/10/041126/1</v>
      </c>
      <c r="E4573" s="36" t="str">
        <f t="array" ref="E4573">IFNA(_xlfn.XLOOKUP(D4573,Table_Tarikan_Warkah[Nomor Tiket],Table_Tarikan_Warkah[Tanggal diserahkan kepada Validator]),"")</f>
        <v/>
      </c>
      <c r="F4573" s="36" t="str">
        <f t="array" ref="F4573">IFNA(_xlfn.XLOOKUP(D4573,Table_Tarikan_Warkah[Nomor Tiket],Table_Tarikan_Warkah[Nama Petugas Warkah]),"")</f>
        <v/>
      </c>
      <c r="G4573" s="39" t="str">
        <f t="array" ref="G4573">IFNA(_xlfn.XLOOKUP(D4573,Table_Tarikan_Warkah[Nomor Tiket],Table_Tarikan_Warkah[Jenis Permohonan]),"")</f>
        <v>BN WARIS </v>
      </c>
      <c r="H4573" s="41" t="s">
        <v>2315</v>
      </c>
      <c r="I4573" s="49" t="s">
        <v>23</v>
      </c>
      <c r="J4573" s="36">
        <f t="shared" si="20"/>
        <v>45995.44329</v>
      </c>
      <c r="K4573" s="69"/>
      <c r="L4573" s="49"/>
      <c r="M4573" s="36" t="str">
        <f t="shared" si="33"/>
        <v/>
      </c>
      <c r="N4573" s="30" t="str">
        <f t="shared" si="34"/>
        <v>BT atau SU Belum Valid</v>
      </c>
      <c r="O4573" s="39" t="str">
        <f t="shared" si="23"/>
        <v/>
      </c>
      <c r="P4573" s="47" t="b">
        <v>0</v>
      </c>
      <c r="Q4573" s="36" t="str">
        <f t="shared" si="35"/>
        <v/>
      </c>
      <c r="R4573" s="47" t="b">
        <v>0</v>
      </c>
      <c r="S4573" s="42" t="str">
        <f t="shared" si="28"/>
        <v/>
      </c>
      <c r="T4573" s="42"/>
    </row>
    <row r="4574" ht="22.5" customHeight="1">
      <c r="B4574" s="42">
        <f t="shared" si="7"/>
        <v>4568</v>
      </c>
      <c r="C4574" s="31" t="s">
        <v>4597</v>
      </c>
      <c r="D4574" s="34" t="str">
        <f t="array" ref="D4574">IFNA(_xlfn.XLOOKUP(C4574,Table_Tarikan_Warkah[Nomor Sertipikat],Table_Tarikan_Warkah[Nomor Tiket]),"")</f>
        <v>ABGVOMPP/AB026</v>
      </c>
      <c r="E4574" s="36" t="str">
        <f t="array" ref="E4574">IFNA(_xlfn.XLOOKUP(D4574,Table_Tarikan_Warkah[Nomor Tiket],Table_Tarikan_Warkah[Tanggal diserahkan kepada Validator]),"")</f>
        <v/>
      </c>
      <c r="F4574" s="36" t="str">
        <f t="array" ref="F4574">IFNA(_xlfn.XLOOKUP(D4574,Table_Tarikan_Warkah[Nomor Tiket],Table_Tarikan_Warkah[Nama Petugas Warkah]),"")</f>
        <v/>
      </c>
      <c r="G4574" s="39" t="str">
        <f t="array" ref="G4574">IFNA(_xlfn.XLOOKUP(D4574,Table_Tarikan_Warkah[Nomor Tiket],Table_Tarikan_Warkah[Jenis Permohonan]),"")</f>
        <v>balik nama </v>
      </c>
      <c r="H4574" s="41" t="s">
        <v>2315</v>
      </c>
      <c r="I4574" s="49" t="s">
        <v>23</v>
      </c>
      <c r="J4574" s="36">
        <f t="shared" si="20"/>
        <v>45995.44348</v>
      </c>
      <c r="K4574" s="69"/>
      <c r="L4574" s="49"/>
      <c r="M4574" s="36" t="str">
        <f t="shared" si="33"/>
        <v/>
      </c>
      <c r="N4574" s="30" t="str">
        <f t="shared" si="34"/>
        <v>BT atau SU Belum Valid</v>
      </c>
      <c r="O4574" s="39" t="str">
        <f t="shared" si="23"/>
        <v/>
      </c>
      <c r="P4574" s="47" t="b">
        <v>0</v>
      </c>
      <c r="Q4574" s="36" t="str">
        <f t="shared" si="35"/>
        <v/>
      </c>
      <c r="R4574" s="47" t="b">
        <v>0</v>
      </c>
      <c r="S4574" s="42" t="str">
        <f t="shared" si="28"/>
        <v/>
      </c>
      <c r="T4574" s="42"/>
    </row>
    <row r="4575" ht="22.5" customHeight="1">
      <c r="B4575" s="42">
        <f t="shared" si="7"/>
        <v>4569</v>
      </c>
      <c r="C4575" s="31" t="s">
        <v>4598</v>
      </c>
      <c r="D4575" s="34" t="str">
        <f t="array" ref="D4575">IFNA(_xlfn.XLOOKUP(C4575,Table_Tarikan_Warkah[Nomor Sertipikat],Table_Tarikan_Warkah[Nomor Tiket]),"")</f>
        <v>ABUONQEQ/AB034</v>
      </c>
      <c r="E4575" s="36" t="str">
        <f t="array" ref="E4575">IFNA(_xlfn.XLOOKUP(D4575,Table_Tarikan_Warkah[Nomor Tiket],Table_Tarikan_Warkah[Tanggal diserahkan kepada Validator]),"")</f>
        <v/>
      </c>
      <c r="F4575" s="36" t="str">
        <f t="array" ref="F4575">IFNA(_xlfn.XLOOKUP(D4575,Table_Tarikan_Warkah[Nomor Tiket],Table_Tarikan_Warkah[Nama Petugas Warkah]),"")</f>
        <v/>
      </c>
      <c r="G4575" s="39" t="str">
        <f t="array" ref="G4575">IFNA(_xlfn.XLOOKUP(D4575,Table_Tarikan_Warkah[Nomor Tiket],Table_Tarikan_Warkah[Jenis Permohonan]),"")</f>
        <v>BN JUAL BELI</v>
      </c>
      <c r="H4575" s="41" t="s">
        <v>2315</v>
      </c>
      <c r="I4575" s="49" t="s">
        <v>23</v>
      </c>
      <c r="J4575" s="36">
        <f t="shared" si="20"/>
        <v>45995.44363</v>
      </c>
      <c r="K4575" s="69"/>
      <c r="L4575" s="49"/>
      <c r="M4575" s="36" t="str">
        <f t="shared" si="33"/>
        <v/>
      </c>
      <c r="N4575" s="30" t="str">
        <f t="shared" si="34"/>
        <v>BT atau SU Belum Valid</v>
      </c>
      <c r="O4575" s="39" t="str">
        <f t="shared" si="23"/>
        <v/>
      </c>
      <c r="P4575" s="47" t="b">
        <v>0</v>
      </c>
      <c r="Q4575" s="36" t="str">
        <f t="shared" si="35"/>
        <v/>
      </c>
      <c r="R4575" s="47" t="b">
        <v>0</v>
      </c>
      <c r="S4575" s="42" t="str">
        <f t="shared" si="28"/>
        <v/>
      </c>
      <c r="T4575" s="42"/>
    </row>
    <row r="4576" ht="22.5" customHeight="1">
      <c r="B4576" s="42">
        <f t="shared" si="7"/>
        <v>4570</v>
      </c>
      <c r="C4576" s="31" t="s">
        <v>4599</v>
      </c>
      <c r="D4576" s="34" t="str">
        <f t="array" ref="D4576">IFNA(_xlfn.XLOOKUP(C4576,Table_Tarikan_Warkah[Nomor Sertipikat],Table_Tarikan_Warkah[Nomor Tiket]),"")</f>
        <v>ABSEBACK</v>
      </c>
      <c r="E4576" s="36" t="str">
        <f t="array" ref="E4576">IFNA(_xlfn.XLOOKUP(D4576,Table_Tarikan_Warkah[Nomor Tiket],Table_Tarikan_Warkah[Tanggal diserahkan kepada Validator]),"")</f>
        <v/>
      </c>
      <c r="F4576" s="36" t="str">
        <f t="array" ref="F4576">IFNA(_xlfn.XLOOKUP(D4576,Table_Tarikan_Warkah[Nomor Tiket],Table_Tarikan_Warkah[Nama Petugas Warkah]),"")</f>
        <v/>
      </c>
      <c r="G4576" s="39" t="str">
        <f t="array" ref="G4576">IFNA(_xlfn.XLOOKUP(D4576,Table_Tarikan_Warkah[Nomor Tiket],Table_Tarikan_Warkah[Jenis Permohonan]),"")</f>
        <v>Peralihan hak</v>
      </c>
      <c r="H4576" s="41" t="s">
        <v>2315</v>
      </c>
      <c r="I4576" s="49" t="s">
        <v>23</v>
      </c>
      <c r="J4576" s="36">
        <f t="shared" si="20"/>
        <v>45995.44383</v>
      </c>
      <c r="K4576" s="69"/>
      <c r="L4576" s="49"/>
      <c r="M4576" s="36" t="str">
        <f t="shared" si="33"/>
        <v/>
      </c>
      <c r="N4576" s="30" t="str">
        <f t="shared" si="34"/>
        <v>BT atau SU Belum Valid</v>
      </c>
      <c r="O4576" s="39" t="str">
        <f t="shared" si="23"/>
        <v/>
      </c>
      <c r="P4576" s="47" t="b">
        <v>0</v>
      </c>
      <c r="Q4576" s="36" t="str">
        <f t="shared" si="35"/>
        <v/>
      </c>
      <c r="R4576" s="47" t="b">
        <v>0</v>
      </c>
      <c r="S4576" s="42" t="str">
        <f t="shared" si="28"/>
        <v/>
      </c>
      <c r="T4576" s="42"/>
    </row>
    <row r="4577" ht="22.5" customHeight="1">
      <c r="B4577" s="42">
        <f t="shared" si="7"/>
        <v>4571</v>
      </c>
      <c r="C4577" s="31" t="s">
        <v>4600</v>
      </c>
      <c r="D4577" s="34" t="str">
        <f t="array" ref="D4577">IFNA(_xlfn.XLOOKUP(C4577,Table_Tarikan_Warkah[Nomor Sertipikat],Table_Tarikan_Warkah[Nomor Tiket]),"")</f>
        <v>K/42/091025/1</v>
      </c>
      <c r="E4577" s="36" t="str">
        <f t="array" ref="E4577">IFNA(_xlfn.XLOOKUP(D4577,Table_Tarikan_Warkah[Nomor Tiket],Table_Tarikan_Warkah[Tanggal diserahkan kepada Validator]),"")</f>
        <v/>
      </c>
      <c r="F4577" s="36" t="str">
        <f t="array" ref="F4577">IFNA(_xlfn.XLOOKUP(D4577,Table_Tarikan_Warkah[Nomor Tiket],Table_Tarikan_Warkah[Nama Petugas Warkah]),"")</f>
        <v/>
      </c>
      <c r="G4577" s="39" t="str">
        <f t="array" ref="G4577">IFNA(_xlfn.XLOOKUP(D4577,Table_Tarikan_Warkah[Nomor Tiket],Table_Tarikan_Warkah[Jenis Permohonan]),"")</f>
        <v>BN Jual Beli badan Hukum		</v>
      </c>
      <c r="H4577" s="41" t="s">
        <v>2315</v>
      </c>
      <c r="I4577" s="49" t="s">
        <v>23</v>
      </c>
      <c r="J4577" s="36">
        <f t="shared" si="20"/>
        <v>45995.44421</v>
      </c>
      <c r="K4577" s="69"/>
      <c r="L4577" s="49"/>
      <c r="M4577" s="36" t="str">
        <f t="shared" si="33"/>
        <v/>
      </c>
      <c r="N4577" s="30" t="str">
        <f t="shared" si="34"/>
        <v>BT atau SU Belum Valid</v>
      </c>
      <c r="O4577" s="39" t="str">
        <f t="shared" si="23"/>
        <v/>
      </c>
      <c r="P4577" s="47" t="b">
        <v>0</v>
      </c>
      <c r="Q4577" s="36" t="str">
        <f t="shared" si="35"/>
        <v/>
      </c>
      <c r="R4577" s="47" t="b">
        <v>0</v>
      </c>
      <c r="S4577" s="42" t="str">
        <f t="shared" si="28"/>
        <v/>
      </c>
      <c r="T4577" s="42"/>
    </row>
    <row r="4578" ht="22.5" customHeight="1">
      <c r="B4578" s="42">
        <f t="shared" si="7"/>
        <v>4572</v>
      </c>
      <c r="C4578" s="31" t="s">
        <v>4601</v>
      </c>
      <c r="D4578" s="34" t="str">
        <f t="array" ref="D4578">IFNA(_xlfn.XLOOKUP(C4578,Table_Tarikan_Warkah[Nomor Sertipikat],Table_Tarikan_Warkah[Nomor Tiket]),"")</f>
        <v>ABQWLUYK/AB033</v>
      </c>
      <c r="E4578" s="36" t="str">
        <f t="array" ref="E4578">IFNA(_xlfn.XLOOKUP(D4578,Table_Tarikan_Warkah[Nomor Tiket],Table_Tarikan_Warkah[Tanggal diserahkan kepada Validator]),"")</f>
        <v/>
      </c>
      <c r="F4578" s="36" t="str">
        <f t="array" ref="F4578">IFNA(_xlfn.XLOOKUP(D4578,Table_Tarikan_Warkah[Nomor Tiket],Table_Tarikan_Warkah[Nama Petugas Warkah]),"")</f>
        <v/>
      </c>
      <c r="G4578" s="39" t="str">
        <f t="array" ref="G4578">IFNA(_xlfn.XLOOKUP(D4578,Table_Tarikan_Warkah[Nomor Tiket],Table_Tarikan_Warkah[Jenis Permohonan]),"")</f>
        <v>Bn jual beli</v>
      </c>
      <c r="H4578" s="41" t="s">
        <v>2315</v>
      </c>
      <c r="I4578" s="49" t="s">
        <v>23</v>
      </c>
      <c r="J4578" s="36">
        <f t="shared" si="20"/>
        <v>45995.44441</v>
      </c>
      <c r="K4578" s="69"/>
      <c r="L4578" s="49"/>
      <c r="M4578" s="36" t="str">
        <f t="shared" si="33"/>
        <v/>
      </c>
      <c r="N4578" s="30" t="str">
        <f t="shared" si="34"/>
        <v>BT atau SU Belum Valid</v>
      </c>
      <c r="O4578" s="39" t="str">
        <f t="shared" si="23"/>
        <v/>
      </c>
      <c r="P4578" s="47" t="b">
        <v>0</v>
      </c>
      <c r="Q4578" s="36" t="str">
        <f t="shared" si="35"/>
        <v/>
      </c>
      <c r="R4578" s="47" t="b">
        <v>0</v>
      </c>
      <c r="S4578" s="42" t="str">
        <f t="shared" si="28"/>
        <v/>
      </c>
      <c r="T4578" s="42"/>
    </row>
    <row r="4579" ht="22.5" customHeight="1">
      <c r="B4579" s="42">
        <f t="shared" si="7"/>
        <v>4573</v>
      </c>
      <c r="C4579" s="31" t="s">
        <v>4602</v>
      </c>
      <c r="D4579" s="34" t="str">
        <f t="array" ref="D4579">IFNA(_xlfn.XLOOKUP(C4579,Table_Tarikan_Warkah[Nomor Sertipikat],Table_Tarikan_Warkah[Nomor Tiket]),"")</f>
        <v>ABYBKMUN/AB069</v>
      </c>
      <c r="E4579" s="36" t="str">
        <f t="array" ref="E4579">IFNA(_xlfn.XLOOKUP(D4579,Table_Tarikan_Warkah[Nomor Tiket],Table_Tarikan_Warkah[Tanggal diserahkan kepada Validator]),"")</f>
        <v/>
      </c>
      <c r="F4579" s="36" t="str">
        <f t="array" ref="F4579">IFNA(_xlfn.XLOOKUP(D4579,Table_Tarikan_Warkah[Nomor Tiket],Table_Tarikan_Warkah[Nama Petugas Warkah]),"")</f>
        <v/>
      </c>
      <c r="G4579" s="39" t="str">
        <f t="array" ref="G4579">IFNA(_xlfn.XLOOKUP(D4579,Table_Tarikan_Warkah[Nomor Tiket],Table_Tarikan_Warkah[Jenis Permohonan]),"")</f>
        <v>Bn jual beli</v>
      </c>
      <c r="H4579" s="41" t="s">
        <v>2315</v>
      </c>
      <c r="I4579" s="49" t="s">
        <v>23</v>
      </c>
      <c r="J4579" s="36">
        <f t="shared" si="20"/>
        <v>45995.44458</v>
      </c>
      <c r="K4579" s="69"/>
      <c r="L4579" s="49"/>
      <c r="M4579" s="36" t="str">
        <f t="shared" si="33"/>
        <v/>
      </c>
      <c r="N4579" s="30" t="str">
        <f t="shared" si="34"/>
        <v>BT atau SU Belum Valid</v>
      </c>
      <c r="O4579" s="39" t="str">
        <f t="shared" si="23"/>
        <v/>
      </c>
      <c r="P4579" s="47" t="b">
        <v>0</v>
      </c>
      <c r="Q4579" s="36" t="str">
        <f t="shared" si="35"/>
        <v/>
      </c>
      <c r="R4579" s="47" t="b">
        <v>0</v>
      </c>
      <c r="S4579" s="42" t="str">
        <f t="shared" si="28"/>
        <v/>
      </c>
      <c r="T4579" s="42"/>
    </row>
    <row r="4580" ht="22.5" customHeight="1">
      <c r="B4580" s="42">
        <f t="shared" si="7"/>
        <v>4574</v>
      </c>
      <c r="C4580" s="31" t="s">
        <v>4603</v>
      </c>
      <c r="D4580" s="34" t="str">
        <f t="array" ref="D4580">IFNA(_xlfn.XLOOKUP(C4580,Table_Tarikan_Warkah[Nomor Sertipikat],Table_Tarikan_Warkah[Nomor Tiket]),"")</f>
        <v>ABMLHWGZ/AB013</v>
      </c>
      <c r="E4580" s="36" t="str">
        <f t="array" ref="E4580">IFNA(_xlfn.XLOOKUP(D4580,Table_Tarikan_Warkah[Nomor Tiket],Table_Tarikan_Warkah[Tanggal diserahkan kepada Validator]),"")</f>
        <v/>
      </c>
      <c r="F4580" s="36" t="str">
        <f t="array" ref="F4580">IFNA(_xlfn.XLOOKUP(D4580,Table_Tarikan_Warkah[Nomor Tiket],Table_Tarikan_Warkah[Nama Petugas Warkah]),"")</f>
        <v/>
      </c>
      <c r="G4580" s="39" t="str">
        <f t="array" ref="G4580">IFNA(_xlfn.XLOOKUP(D4580,Table_Tarikan_Warkah[Nomor Tiket],Table_Tarikan_Warkah[Jenis Permohonan]),"")</f>
        <v>BN JUAL BELI</v>
      </c>
      <c r="H4580" s="41" t="s">
        <v>2315</v>
      </c>
      <c r="I4580" s="49" t="s">
        <v>23</v>
      </c>
      <c r="J4580" s="36">
        <f t="shared" si="20"/>
        <v>45995.44479</v>
      </c>
      <c r="K4580" s="69"/>
      <c r="L4580" s="49"/>
      <c r="M4580" s="36" t="str">
        <f t="shared" si="33"/>
        <v/>
      </c>
      <c r="N4580" s="30" t="str">
        <f t="shared" si="34"/>
        <v>BT atau SU Belum Valid</v>
      </c>
      <c r="O4580" s="39" t="str">
        <f t="shared" si="23"/>
        <v/>
      </c>
      <c r="P4580" s="47" t="b">
        <v>0</v>
      </c>
      <c r="Q4580" s="36" t="str">
        <f t="shared" si="35"/>
        <v/>
      </c>
      <c r="R4580" s="47" t="b">
        <v>0</v>
      </c>
      <c r="S4580" s="42" t="str">
        <f t="shared" si="28"/>
        <v/>
      </c>
      <c r="T4580" s="42"/>
    </row>
    <row r="4581" ht="22.5" customHeight="1">
      <c r="B4581" s="42">
        <f t="shared" si="7"/>
        <v>4575</v>
      </c>
      <c r="C4581" s="31" t="s">
        <v>4604</v>
      </c>
      <c r="D4581" s="34" t="str">
        <f t="array" ref="D4581">IFNA(_xlfn.XLOOKUP(C4581,Table_Tarikan_Warkah[Nomor Sertipikat],Table_Tarikan_Warkah[Nomor Tiket]),"")</f>
        <v>ABTIEIGI/AB013</v>
      </c>
      <c r="E4581" s="36" t="str">
        <f t="array" ref="E4581">IFNA(_xlfn.XLOOKUP(D4581,Table_Tarikan_Warkah[Nomor Tiket],Table_Tarikan_Warkah[Tanggal diserahkan kepada Validator]),"")</f>
        <v/>
      </c>
      <c r="F4581" s="36" t="str">
        <f t="array" ref="F4581">IFNA(_xlfn.XLOOKUP(D4581,Table_Tarikan_Warkah[Nomor Tiket],Table_Tarikan_Warkah[Nama Petugas Warkah]),"")</f>
        <v/>
      </c>
      <c r="G4581" s="39" t="str">
        <f t="array" ref="G4581">IFNA(_xlfn.XLOOKUP(D4581,Table_Tarikan_Warkah[Nomor Tiket],Table_Tarikan_Warkah[Jenis Permohonan]),"")</f>
        <v>BN JUAL BELI</v>
      </c>
      <c r="H4581" s="41" t="s">
        <v>2315</v>
      </c>
      <c r="I4581" s="49" t="s">
        <v>23</v>
      </c>
      <c r="J4581" s="36">
        <f t="shared" si="20"/>
        <v>45995.44499</v>
      </c>
      <c r="K4581" s="69"/>
      <c r="L4581" s="49"/>
      <c r="M4581" s="36" t="str">
        <f t="shared" si="33"/>
        <v/>
      </c>
      <c r="N4581" s="30" t="str">
        <f t="shared" si="34"/>
        <v>BT atau SU Belum Valid</v>
      </c>
      <c r="O4581" s="39" t="str">
        <f t="shared" si="23"/>
        <v/>
      </c>
      <c r="P4581" s="47" t="b">
        <v>0</v>
      </c>
      <c r="Q4581" s="36" t="str">
        <f t="shared" si="35"/>
        <v/>
      </c>
      <c r="R4581" s="47" t="b">
        <v>0</v>
      </c>
      <c r="S4581" s="42" t="str">
        <f t="shared" si="28"/>
        <v/>
      </c>
      <c r="T4581" s="42"/>
    </row>
    <row r="4582" ht="22.5" customHeight="1">
      <c r="B4582" s="42">
        <f t="shared" si="7"/>
        <v>4576</v>
      </c>
      <c r="C4582" s="31" t="s">
        <v>4605</v>
      </c>
      <c r="D4582" s="34" t="str">
        <f t="array" ref="D4582">IFNA(_xlfn.XLOOKUP(C4582,Table_Tarikan_Warkah[Nomor Sertipikat],Table_Tarikan_Warkah[Nomor Tiket]),"")</f>
        <v>K/29/230925/3</v>
      </c>
      <c r="E4582" s="36" t="str">
        <f t="array" ref="E4582">IFNA(_xlfn.XLOOKUP(D4582,Table_Tarikan_Warkah[Nomor Tiket],Table_Tarikan_Warkah[Tanggal diserahkan kepada Validator]),"")</f>
        <v/>
      </c>
      <c r="F4582" s="36" t="str">
        <f t="array" ref="F4582">IFNA(_xlfn.XLOOKUP(D4582,Table_Tarikan_Warkah[Nomor Tiket],Table_Tarikan_Warkah[Nama Petugas Warkah]),"")</f>
        <v/>
      </c>
      <c r="G4582" s="39" t="str">
        <f t="array" ref="G4582">IFNA(_xlfn.XLOOKUP(D4582,Table_Tarikan_Warkah[Nomor Tiket],Table_Tarikan_Warkah[Jenis Permohonan]),"")</f>
        <v>BN JUAL BELI</v>
      </c>
      <c r="H4582" s="41" t="s">
        <v>2315</v>
      </c>
      <c r="I4582" s="49" t="s">
        <v>23</v>
      </c>
      <c r="J4582" s="36">
        <f t="shared" si="20"/>
        <v>45995.44514</v>
      </c>
      <c r="K4582" s="69"/>
      <c r="L4582" s="49"/>
      <c r="M4582" s="36" t="str">
        <f t="shared" si="33"/>
        <v/>
      </c>
      <c r="N4582" s="30" t="str">
        <f t="shared" si="34"/>
        <v>BT atau SU Belum Valid</v>
      </c>
      <c r="O4582" s="39" t="str">
        <f t="shared" si="23"/>
        <v/>
      </c>
      <c r="P4582" s="47" t="b">
        <v>0</v>
      </c>
      <c r="Q4582" s="36" t="str">
        <f t="shared" si="35"/>
        <v/>
      </c>
      <c r="R4582" s="47" t="b">
        <v>0</v>
      </c>
      <c r="S4582" s="42" t="str">
        <f t="shared" si="28"/>
        <v/>
      </c>
      <c r="T4582" s="42"/>
    </row>
    <row r="4583" ht="22.5" customHeight="1">
      <c r="B4583" s="42">
        <f t="shared" si="7"/>
        <v>4577</v>
      </c>
      <c r="C4583" s="31" t="s">
        <v>4606</v>
      </c>
      <c r="D4583" s="34" t="str">
        <f t="array" ref="D4583">IFNA(_xlfn.XLOOKUP(C4583,Table_Tarikan_Warkah[Nomor Sertipikat],Table_Tarikan_Warkah[Nomor Tiket]),"")</f>
        <v>K/9/301025/1</v>
      </c>
      <c r="E4583" s="36" t="str">
        <f t="array" ref="E4583">IFNA(_xlfn.XLOOKUP(D4583,Table_Tarikan_Warkah[Nomor Tiket],Table_Tarikan_Warkah[Tanggal diserahkan kepada Validator]),"")</f>
        <v/>
      </c>
      <c r="F4583" s="36" t="str">
        <f t="array" ref="F4583">IFNA(_xlfn.XLOOKUP(D4583,Table_Tarikan_Warkah[Nomor Tiket],Table_Tarikan_Warkah[Nama Petugas Warkah]),"")</f>
        <v/>
      </c>
      <c r="G4583" s="39" t="str">
        <f t="array" ref="G4583">IFNA(_xlfn.XLOOKUP(D4583,Table_Tarikan_Warkah[Nomor Tiket],Table_Tarikan_Warkah[Jenis Permohonan]),"")</f>
        <v>BN WARIS</v>
      </c>
      <c r="H4583" s="41" t="s">
        <v>2315</v>
      </c>
      <c r="I4583" s="49" t="s">
        <v>23</v>
      </c>
      <c r="J4583" s="36">
        <f t="shared" si="20"/>
        <v>45995.4453</v>
      </c>
      <c r="K4583" s="69"/>
      <c r="L4583" s="49"/>
      <c r="M4583" s="36" t="str">
        <f t="shared" si="33"/>
        <v/>
      </c>
      <c r="N4583" s="30" t="str">
        <f t="shared" si="34"/>
        <v>BT atau SU Belum Valid</v>
      </c>
      <c r="O4583" s="39" t="str">
        <f t="shared" si="23"/>
        <v/>
      </c>
      <c r="P4583" s="47" t="b">
        <v>0</v>
      </c>
      <c r="Q4583" s="36" t="str">
        <f t="shared" si="35"/>
        <v/>
      </c>
      <c r="R4583" s="47" t="b">
        <v>0</v>
      </c>
      <c r="S4583" s="42" t="str">
        <f t="shared" si="28"/>
        <v/>
      </c>
      <c r="T4583" s="42"/>
    </row>
    <row r="4584" ht="22.5" customHeight="1">
      <c r="B4584" s="42">
        <f t="shared" si="7"/>
        <v>4578</v>
      </c>
      <c r="C4584" s="31" t="s">
        <v>4607</v>
      </c>
      <c r="D4584" s="34" t="str">
        <f t="array" ref="D4584">IFNA(_xlfn.XLOOKUP(C4584,Table_Tarikan_Warkah[Nomor Sertipikat],Table_Tarikan_Warkah[Nomor Tiket]),"")</f>
        <v>K/36/250925/1</v>
      </c>
      <c r="E4584" s="36" t="str">
        <f t="array" ref="E4584">IFNA(_xlfn.XLOOKUP(D4584,Table_Tarikan_Warkah[Nomor Tiket],Table_Tarikan_Warkah[Tanggal diserahkan kepada Validator]),"")</f>
        <v/>
      </c>
      <c r="F4584" s="36" t="str">
        <f t="array" ref="F4584">IFNA(_xlfn.XLOOKUP(D4584,Table_Tarikan_Warkah[Nomor Tiket],Table_Tarikan_Warkah[Nama Petugas Warkah]),"")</f>
        <v/>
      </c>
      <c r="G4584" s="39" t="str">
        <f t="array" ref="G4584">IFNA(_xlfn.XLOOKUP(D4584,Table_Tarikan_Warkah[Nomor Tiket],Table_Tarikan_Warkah[Jenis Permohonan]),"")</f>
        <v>BN Jual Beli badan Hukum	</v>
      </c>
      <c r="H4584" s="41" t="s">
        <v>2315</v>
      </c>
      <c r="I4584" s="49" t="s">
        <v>23</v>
      </c>
      <c r="J4584" s="36">
        <f t="shared" si="20"/>
        <v>45995.44549</v>
      </c>
      <c r="K4584" s="69"/>
      <c r="L4584" s="49"/>
      <c r="M4584" s="36" t="str">
        <f t="shared" si="33"/>
        <v/>
      </c>
      <c r="N4584" s="30" t="str">
        <f t="shared" si="34"/>
        <v>BT atau SU Belum Valid</v>
      </c>
      <c r="O4584" s="39" t="str">
        <f t="shared" si="23"/>
        <v/>
      </c>
      <c r="P4584" s="47" t="b">
        <v>0</v>
      </c>
      <c r="Q4584" s="36" t="str">
        <f t="shared" si="35"/>
        <v/>
      </c>
      <c r="R4584" s="47" t="b">
        <v>0</v>
      </c>
      <c r="S4584" s="42" t="str">
        <f t="shared" si="28"/>
        <v/>
      </c>
      <c r="T4584" s="42"/>
    </row>
    <row r="4585" ht="22.5" customHeight="1">
      <c r="B4585" s="42">
        <f t="shared" si="7"/>
        <v>4579</v>
      </c>
      <c r="C4585" s="31" t="s">
        <v>4608</v>
      </c>
      <c r="D4585" s="34" t="str">
        <f t="array" ref="D4585">IFNA(_xlfn.XLOOKUP(C4585,Table_Tarikan_Warkah[Nomor Sertipikat],Table_Tarikan_Warkah[Nomor Tiket]),"")</f>
        <v>ABHLIWBI</v>
      </c>
      <c r="E4585" s="36" t="str">
        <f t="array" ref="E4585">IFNA(_xlfn.XLOOKUP(D4585,Table_Tarikan_Warkah[Nomor Tiket],Table_Tarikan_Warkah[Tanggal diserahkan kepada Validator]),"")</f>
        <v/>
      </c>
      <c r="F4585" s="36" t="str">
        <f t="array" ref="F4585">IFNA(_xlfn.XLOOKUP(D4585,Table_Tarikan_Warkah[Nomor Tiket],Table_Tarikan_Warkah[Nama Petugas Warkah]),"")</f>
        <v/>
      </c>
      <c r="G4585" s="39" t="str">
        <f t="array" ref="G4585">IFNA(_xlfn.XLOOKUP(D4585,Table_Tarikan_Warkah[Nomor Tiket],Table_Tarikan_Warkah[Jenis Permohonan]),"")</f>
        <v>Balik nama Hibah</v>
      </c>
      <c r="H4585" s="41" t="s">
        <v>2315</v>
      </c>
      <c r="I4585" s="49" t="s">
        <v>23</v>
      </c>
      <c r="J4585" s="36">
        <f t="shared" si="20"/>
        <v>45995.44596</v>
      </c>
      <c r="K4585" s="69"/>
      <c r="L4585" s="49"/>
      <c r="M4585" s="36" t="str">
        <f t="shared" si="33"/>
        <v/>
      </c>
      <c r="N4585" s="30" t="str">
        <f t="shared" si="34"/>
        <v>BT atau SU Belum Valid</v>
      </c>
      <c r="O4585" s="39" t="str">
        <f t="shared" si="23"/>
        <v/>
      </c>
      <c r="P4585" s="47" t="b">
        <v>0</v>
      </c>
      <c r="Q4585" s="36" t="str">
        <f t="shared" si="35"/>
        <v/>
      </c>
      <c r="R4585" s="47" t="b">
        <v>0</v>
      </c>
      <c r="S4585" s="42" t="str">
        <f t="shared" si="28"/>
        <v/>
      </c>
      <c r="T4585" s="42"/>
    </row>
    <row r="4586" ht="22.5" customHeight="1">
      <c r="B4586" s="42">
        <f t="shared" si="7"/>
        <v>4580</v>
      </c>
      <c r="C4586" s="31" t="s">
        <v>4609</v>
      </c>
      <c r="D4586" s="34" t="str">
        <f t="array" ref="D4586">IFNA(_xlfn.XLOOKUP(C4586,Table_Tarikan_Warkah[Nomor Sertipikat],Table_Tarikan_Warkah[Nomor Tiket]),"")</f>
        <v>ABGRJQEO</v>
      </c>
      <c r="E4586" s="36" t="str">
        <f t="array" ref="E4586">IFNA(_xlfn.XLOOKUP(D4586,Table_Tarikan_Warkah[Nomor Tiket],Table_Tarikan_Warkah[Tanggal diserahkan kepada Validator]),"")</f>
        <v/>
      </c>
      <c r="F4586" s="36" t="str">
        <f t="array" ref="F4586">IFNA(_xlfn.XLOOKUP(D4586,Table_Tarikan_Warkah[Nomor Tiket],Table_Tarikan_Warkah[Nama Petugas Warkah]),"")</f>
        <v/>
      </c>
      <c r="G4586" s="39" t="str">
        <f t="array" ref="G4586">IFNA(_xlfn.XLOOKUP(D4586,Table_Tarikan_Warkah[Nomor Tiket],Table_Tarikan_Warkah[Jenis Permohonan]),"")</f>
        <v>balik nama</v>
      </c>
      <c r="H4586" s="41" t="s">
        <v>2315</v>
      </c>
      <c r="I4586" s="49" t="s">
        <v>23</v>
      </c>
      <c r="J4586" s="36">
        <f t="shared" si="20"/>
        <v>45995.44667</v>
      </c>
      <c r="K4586" s="69"/>
      <c r="L4586" s="49"/>
      <c r="M4586" s="36" t="str">
        <f t="shared" si="33"/>
        <v/>
      </c>
      <c r="N4586" s="30" t="str">
        <f t="shared" si="34"/>
        <v>BT atau SU Belum Valid</v>
      </c>
      <c r="O4586" s="39" t="str">
        <f t="shared" si="23"/>
        <v/>
      </c>
      <c r="P4586" s="47" t="b">
        <v>0</v>
      </c>
      <c r="Q4586" s="36" t="str">
        <f t="shared" si="35"/>
        <v/>
      </c>
      <c r="R4586" s="47" t="b">
        <v>0</v>
      </c>
      <c r="S4586" s="42" t="str">
        <f t="shared" si="28"/>
        <v/>
      </c>
      <c r="T4586" s="42"/>
    </row>
    <row r="4587" ht="22.5" customHeight="1">
      <c r="B4587" s="42">
        <f t="shared" si="7"/>
        <v>4581</v>
      </c>
      <c r="C4587" s="31" t="s">
        <v>4610</v>
      </c>
      <c r="D4587" s="34" t="str">
        <f t="array" ref="D4587">IFNA(_xlfn.XLOOKUP(C4587,Table_Tarikan_Warkah[Nomor Sertipikat],Table_Tarikan_Warkah[Nomor Tiket]),"")</f>
        <v>ABTVSGXX</v>
      </c>
      <c r="E4587" s="36" t="str">
        <f t="array" ref="E4587">IFNA(_xlfn.XLOOKUP(D4587,Table_Tarikan_Warkah[Nomor Tiket],Table_Tarikan_Warkah[Tanggal diserahkan kepada Validator]),"")</f>
        <v/>
      </c>
      <c r="F4587" s="36" t="str">
        <f t="array" ref="F4587">IFNA(_xlfn.XLOOKUP(D4587,Table_Tarikan_Warkah[Nomor Tiket],Table_Tarikan_Warkah[Nama Petugas Warkah]),"")</f>
        <v/>
      </c>
      <c r="G4587" s="39" t="str">
        <f t="array" ref="G4587">IFNA(_xlfn.XLOOKUP(D4587,Table_Tarikan_Warkah[Nomor Tiket],Table_Tarikan_Warkah[Jenis Permohonan]),"")</f>
        <v>BN Jual beli</v>
      </c>
      <c r="H4587" s="41" t="s">
        <v>2315</v>
      </c>
      <c r="I4587" s="49" t="s">
        <v>23</v>
      </c>
      <c r="J4587" s="36">
        <f t="shared" si="20"/>
        <v>45995.44762</v>
      </c>
      <c r="K4587" s="69"/>
      <c r="L4587" s="49"/>
      <c r="M4587" s="36" t="str">
        <f t="shared" si="33"/>
        <v/>
      </c>
      <c r="N4587" s="30" t="str">
        <f t="shared" si="34"/>
        <v>BT atau SU Belum Valid</v>
      </c>
      <c r="O4587" s="39" t="str">
        <f t="shared" si="23"/>
        <v/>
      </c>
      <c r="P4587" s="47" t="b">
        <v>0</v>
      </c>
      <c r="Q4587" s="36" t="str">
        <f t="shared" si="35"/>
        <v/>
      </c>
      <c r="R4587" s="47" t="b">
        <v>0</v>
      </c>
      <c r="S4587" s="42" t="str">
        <f t="shared" si="28"/>
        <v/>
      </c>
      <c r="T4587" s="42"/>
    </row>
    <row r="4588" ht="22.5" customHeight="1">
      <c r="B4588" s="42">
        <f t="shared" si="7"/>
        <v>4582</v>
      </c>
      <c r="C4588" s="31" t="s">
        <v>4611</v>
      </c>
      <c r="D4588" s="34" t="str">
        <f t="array" ref="D4588">IFNA(_xlfn.XLOOKUP(C4588,Table_Tarikan_Warkah[Nomor Sertipikat],Table_Tarikan_Warkah[Nomor Tiket]),"")</f>
        <v>ABMBOISF/14102025/AB069</v>
      </c>
      <c r="E4588" s="36" t="str">
        <f t="array" ref="E4588">IFNA(_xlfn.XLOOKUP(D4588,Table_Tarikan_Warkah[Nomor Tiket],Table_Tarikan_Warkah[Tanggal diserahkan kepada Validator]),"")</f>
        <v/>
      </c>
      <c r="F4588" s="36" t="str">
        <f t="array" ref="F4588">IFNA(_xlfn.XLOOKUP(D4588,Table_Tarikan_Warkah[Nomor Tiket],Table_Tarikan_Warkah[Nama Petugas Warkah]),"")</f>
        <v/>
      </c>
      <c r="G4588" s="39" t="str">
        <f t="array" ref="G4588">IFNA(_xlfn.XLOOKUP(D4588,Table_Tarikan_Warkah[Nomor Tiket],Table_Tarikan_Warkah[Jenis Permohonan]),"")</f>
        <v>Balik Nama</v>
      </c>
      <c r="H4588" s="41" t="s">
        <v>2315</v>
      </c>
      <c r="I4588" s="49" t="s">
        <v>23</v>
      </c>
      <c r="J4588" s="36">
        <f t="shared" si="20"/>
        <v>45995.44881</v>
      </c>
      <c r="K4588" s="69"/>
      <c r="L4588" s="49"/>
      <c r="M4588" s="36" t="str">
        <f t="shared" si="33"/>
        <v/>
      </c>
      <c r="N4588" s="30" t="str">
        <f t="shared" si="34"/>
        <v>BT atau SU Belum Valid</v>
      </c>
      <c r="O4588" s="39" t="str">
        <f t="shared" si="23"/>
        <v/>
      </c>
      <c r="P4588" s="47" t="b">
        <v>0</v>
      </c>
      <c r="Q4588" s="36" t="str">
        <f t="shared" si="35"/>
        <v/>
      </c>
      <c r="R4588" s="47" t="b">
        <v>0</v>
      </c>
      <c r="S4588" s="42" t="str">
        <f t="shared" si="28"/>
        <v/>
      </c>
      <c r="T4588" s="42"/>
    </row>
    <row r="4589" ht="22.5" customHeight="1">
      <c r="B4589" s="42">
        <f t="shared" si="7"/>
        <v>4583</v>
      </c>
      <c r="C4589" s="31" t="s">
        <v>4612</v>
      </c>
      <c r="D4589" s="34" t="str">
        <f t="array" ref="D4589">IFNA(_xlfn.XLOOKUP(C4589,Table_Tarikan_Warkah[Nomor Sertipikat],Table_Tarikan_Warkah[Nomor Tiket]),"")</f>
        <v>L/16/141025/1</v>
      </c>
      <c r="E4589" s="36" t="str">
        <f t="array" ref="E4589">IFNA(_xlfn.XLOOKUP(D4589,Table_Tarikan_Warkah[Nomor Tiket],Table_Tarikan_Warkah[Tanggal diserahkan kepada Validator]),"")</f>
        <v/>
      </c>
      <c r="F4589" s="36" t="str">
        <f t="array" ref="F4589">IFNA(_xlfn.XLOOKUP(D4589,Table_Tarikan_Warkah[Nomor Tiket],Table_Tarikan_Warkah[Nama Petugas Warkah]),"")</f>
        <v/>
      </c>
      <c r="G4589" s="39" t="str">
        <f t="array" ref="G4589">IFNA(_xlfn.XLOOKUP(D4589,Table_Tarikan_Warkah[Nomor Tiket],Table_Tarikan_Warkah[Jenis Permohonan]),"")</f>
        <v>BN WARIS</v>
      </c>
      <c r="H4589" s="41" t="s">
        <v>2315</v>
      </c>
      <c r="I4589" s="49" t="s">
        <v>23</v>
      </c>
      <c r="J4589" s="36">
        <f t="shared" si="20"/>
        <v>45996.41247</v>
      </c>
      <c r="K4589" s="69"/>
      <c r="L4589" s="49"/>
      <c r="M4589" s="36" t="str">
        <f t="shared" si="33"/>
        <v/>
      </c>
      <c r="N4589" s="30" t="str">
        <f t="shared" si="34"/>
        <v>BT atau SU Belum Valid</v>
      </c>
      <c r="O4589" s="39" t="str">
        <f t="shared" si="23"/>
        <v/>
      </c>
      <c r="P4589" s="47" t="b">
        <v>0</v>
      </c>
      <c r="Q4589" s="36" t="str">
        <f t="shared" si="35"/>
        <v/>
      </c>
      <c r="R4589" s="47" t="b">
        <v>0</v>
      </c>
      <c r="S4589" s="42" t="str">
        <f t="shared" si="28"/>
        <v/>
      </c>
      <c r="T4589" s="42"/>
    </row>
    <row r="4590" ht="22.5" customHeight="1">
      <c r="B4590" s="42">
        <f t="shared" si="7"/>
        <v>4584</v>
      </c>
      <c r="C4590" s="31" t="s">
        <v>4613</v>
      </c>
      <c r="D4590" s="34" t="str">
        <f t="array" ref="D4590">IFNA(_xlfn.XLOOKUP(C4590,Table_Tarikan_Warkah[Nomor Sertipikat],Table_Tarikan_Warkah[Nomor Tiket]),"")</f>
        <v>ABAMYIAS/AB054</v>
      </c>
      <c r="E4590" s="36" t="str">
        <f t="array" ref="E4590">IFNA(_xlfn.XLOOKUP(D4590,Table_Tarikan_Warkah[Nomor Tiket],Table_Tarikan_Warkah[Tanggal diserahkan kepada Validator]),"")</f>
        <v/>
      </c>
      <c r="F4590" s="36" t="str">
        <f t="array" ref="F4590">IFNA(_xlfn.XLOOKUP(D4590,Table_Tarikan_Warkah[Nomor Tiket],Table_Tarikan_Warkah[Nama Petugas Warkah]),"")</f>
        <v/>
      </c>
      <c r="G4590" s="39" t="str">
        <f t="array" ref="G4590">IFNA(_xlfn.XLOOKUP(D4590,Table_Tarikan_Warkah[Nomor Tiket],Table_Tarikan_Warkah[Jenis Permohonan]),"")</f>
        <v>BN JUAL BELI</v>
      </c>
      <c r="H4590" s="41" t="s">
        <v>2315</v>
      </c>
      <c r="I4590" s="49" t="s">
        <v>23</v>
      </c>
      <c r="J4590" s="36">
        <f t="shared" si="20"/>
        <v>45996.413</v>
      </c>
      <c r="K4590" s="69"/>
      <c r="L4590" s="49"/>
      <c r="M4590" s="36" t="str">
        <f t="shared" si="33"/>
        <v/>
      </c>
      <c r="N4590" s="30" t="str">
        <f t="shared" si="34"/>
        <v>BT atau SU Belum Valid</v>
      </c>
      <c r="O4590" s="39" t="str">
        <f t="shared" si="23"/>
        <v/>
      </c>
      <c r="P4590" s="47" t="b">
        <v>0</v>
      </c>
      <c r="Q4590" s="36" t="str">
        <f t="shared" si="35"/>
        <v/>
      </c>
      <c r="R4590" s="47" t="b">
        <v>0</v>
      </c>
      <c r="S4590" s="42" t="str">
        <f t="shared" si="28"/>
        <v/>
      </c>
      <c r="T4590" s="42"/>
    </row>
    <row r="4591" ht="22.5" customHeight="1">
      <c r="B4591" s="42">
        <f t="shared" si="7"/>
        <v>4585</v>
      </c>
      <c r="C4591" s="31" t="s">
        <v>4614</v>
      </c>
      <c r="D4591" s="34" t="str">
        <f t="array" ref="D4591">IFNA(_xlfn.XLOOKUP(C4591,Table_Tarikan_Warkah[Nomor Sertipikat],Table_Tarikan_Warkah[Nomor Tiket]),"")</f>
        <v>K/4/271025/1</v>
      </c>
      <c r="E4591" s="36">
        <f t="array" ref="E4591">IFNA(_xlfn.XLOOKUP(D4591,Table_Tarikan_Warkah[Nomor Tiket],Table_Tarikan_Warkah[Tanggal diserahkan kepada Validator]),"")</f>
        <v>46020.6551</v>
      </c>
      <c r="F4591" s="36" t="str">
        <f t="array" ref="F4591">IFNA(_xlfn.XLOOKUP(D4591,Table_Tarikan_Warkah[Nomor Tiket],Table_Tarikan_Warkah[Nama Petugas Warkah]),"")</f>
        <v>Berry</v>
      </c>
      <c r="G4591" s="39" t="str">
        <f t="array" ref="G4591">IFNA(_xlfn.XLOOKUP(D4591,Table_Tarikan_Warkah[Nomor Tiket],Table_Tarikan_Warkah[Jenis Permohonan]),"")</f>
        <v>KEWARISAN</v>
      </c>
      <c r="H4591" s="41" t="s">
        <v>2315</v>
      </c>
      <c r="I4591" s="49" t="s">
        <v>23</v>
      </c>
      <c r="J4591" s="36">
        <f t="shared" si="20"/>
        <v>45996.41356</v>
      </c>
      <c r="K4591" s="69"/>
      <c r="L4591" s="49"/>
      <c r="M4591" s="36" t="str">
        <f t="shared" si="33"/>
        <v/>
      </c>
      <c r="N4591" s="30" t="str">
        <f t="shared" si="34"/>
        <v>BT atau SU Belum Valid</v>
      </c>
      <c r="O4591" s="39" t="str">
        <f t="shared" si="23"/>
        <v/>
      </c>
      <c r="P4591" s="47" t="b">
        <v>0</v>
      </c>
      <c r="Q4591" s="36" t="str">
        <f t="shared" si="35"/>
        <v/>
      </c>
      <c r="R4591" s="47" t="b">
        <v>0</v>
      </c>
      <c r="S4591" s="42" t="str">
        <f t="shared" si="28"/>
        <v/>
      </c>
      <c r="T4591" s="42"/>
    </row>
    <row r="4592" ht="22.5" customHeight="1">
      <c r="B4592" s="42">
        <f t="shared" si="7"/>
        <v>4586</v>
      </c>
      <c r="C4592" s="31" t="s">
        <v>4615</v>
      </c>
      <c r="D4592" s="34" t="str">
        <f t="array" ref="D4592">IFNA(_xlfn.XLOOKUP(C4592,Table_Tarikan_Warkah[Nomor Sertipikat],Table_Tarikan_Warkah[Nomor Tiket]),"")</f>
        <v>ABDKWFHI</v>
      </c>
      <c r="E4592" s="36" t="str">
        <f t="array" ref="E4592">IFNA(_xlfn.XLOOKUP(D4592,Table_Tarikan_Warkah[Nomor Tiket],Table_Tarikan_Warkah[Tanggal diserahkan kepada Validator]),"")</f>
        <v/>
      </c>
      <c r="F4592" s="36" t="str">
        <f t="array" ref="F4592">IFNA(_xlfn.XLOOKUP(D4592,Table_Tarikan_Warkah[Nomor Tiket],Table_Tarikan_Warkah[Nama Petugas Warkah]),"")</f>
        <v/>
      </c>
      <c r="G4592" s="39" t="str">
        <f t="array" ref="G4592">IFNA(_xlfn.XLOOKUP(D4592,Table_Tarikan_Warkah[Nomor Tiket],Table_Tarikan_Warkah[Jenis Permohonan]),"")</f>
        <v>BN JUAL BELI</v>
      </c>
      <c r="H4592" s="41" t="s">
        <v>2315</v>
      </c>
      <c r="I4592" s="49" t="s">
        <v>23</v>
      </c>
      <c r="J4592" s="36">
        <f t="shared" si="20"/>
        <v>45996.4155</v>
      </c>
      <c r="K4592" s="69"/>
      <c r="L4592" s="49"/>
      <c r="M4592" s="36" t="str">
        <f t="shared" si="33"/>
        <v/>
      </c>
      <c r="N4592" s="30" t="str">
        <f t="shared" si="34"/>
        <v>BT atau SU Belum Valid</v>
      </c>
      <c r="O4592" s="39" t="str">
        <f t="shared" si="23"/>
        <v/>
      </c>
      <c r="P4592" s="47" t="b">
        <v>0</v>
      </c>
      <c r="Q4592" s="36" t="str">
        <f t="shared" si="35"/>
        <v/>
      </c>
      <c r="R4592" s="47" t="b">
        <v>0</v>
      </c>
      <c r="S4592" s="42" t="str">
        <f t="shared" si="28"/>
        <v/>
      </c>
      <c r="T4592" s="42"/>
    </row>
    <row r="4593" ht="22.5" customHeight="1">
      <c r="B4593" s="42">
        <f t="shared" si="7"/>
        <v>4587</v>
      </c>
      <c r="C4593" s="31" t="s">
        <v>4616</v>
      </c>
      <c r="D4593" s="34" t="str">
        <f t="array" ref="D4593">IFNA(_xlfn.XLOOKUP(C4593,Table_Tarikan_Warkah[Nomor Sertipikat],Table_Tarikan_Warkah[Nomor Tiket]),"")</f>
        <v>K/27/230925/1</v>
      </c>
      <c r="E4593" s="36" t="str">
        <f t="array" ref="E4593">IFNA(_xlfn.XLOOKUP(D4593,Table_Tarikan_Warkah[Nomor Tiket],Table_Tarikan_Warkah[Tanggal diserahkan kepada Validator]),"")</f>
        <v/>
      </c>
      <c r="F4593" s="36" t="str">
        <f t="array" ref="F4593">IFNA(_xlfn.XLOOKUP(D4593,Table_Tarikan_Warkah[Nomor Tiket],Table_Tarikan_Warkah[Nama Petugas Warkah]),"")</f>
        <v/>
      </c>
      <c r="G4593" s="39" t="str">
        <f t="array" ref="G4593">IFNA(_xlfn.XLOOKUP(D4593,Table_Tarikan_Warkah[Nomor Tiket],Table_Tarikan_Warkah[Jenis Permohonan]),"")</f>
        <v>BN JUAL BELI</v>
      </c>
      <c r="H4593" s="41" t="s">
        <v>2315</v>
      </c>
      <c r="I4593" s="49" t="s">
        <v>23</v>
      </c>
      <c r="J4593" s="36">
        <f t="shared" si="20"/>
        <v>45996.41595</v>
      </c>
      <c r="K4593" s="69"/>
      <c r="L4593" s="49"/>
      <c r="M4593" s="36" t="str">
        <f t="shared" si="33"/>
        <v/>
      </c>
      <c r="N4593" s="30" t="str">
        <f t="shared" si="34"/>
        <v>BT atau SU Belum Valid</v>
      </c>
      <c r="O4593" s="39" t="str">
        <f t="shared" si="23"/>
        <v/>
      </c>
      <c r="P4593" s="47" t="b">
        <v>0</v>
      </c>
      <c r="Q4593" s="36" t="str">
        <f t="shared" si="35"/>
        <v/>
      </c>
      <c r="R4593" s="47" t="b">
        <v>0</v>
      </c>
      <c r="S4593" s="42" t="str">
        <f t="shared" si="28"/>
        <v/>
      </c>
      <c r="T4593" s="42"/>
    </row>
    <row r="4594" ht="22.5" customHeight="1">
      <c r="B4594" s="42">
        <f t="shared" si="7"/>
        <v>4588</v>
      </c>
      <c r="C4594" s="31" t="s">
        <v>4617</v>
      </c>
      <c r="D4594" s="34" t="str">
        <f t="array" ref="D4594">IFNA(_xlfn.XLOOKUP(C4594,Table_Tarikan_Warkah[Nomor Sertipikat],Table_Tarikan_Warkah[Nomor Tiket]),"")</f>
        <v>K/31/081025/1</v>
      </c>
      <c r="E4594" s="36" t="str">
        <f t="array" ref="E4594">IFNA(_xlfn.XLOOKUP(D4594,Table_Tarikan_Warkah[Nomor Tiket],Table_Tarikan_Warkah[Tanggal diserahkan kepada Validator]),"")</f>
        <v/>
      </c>
      <c r="F4594" s="36" t="str">
        <f t="array" ref="F4594">IFNA(_xlfn.XLOOKUP(D4594,Table_Tarikan_Warkah[Nomor Tiket],Table_Tarikan_Warkah[Nama Petugas Warkah]),"")</f>
        <v/>
      </c>
      <c r="G4594" s="39" t="str">
        <f t="array" ref="G4594">IFNA(_xlfn.XLOOKUP(D4594,Table_Tarikan_Warkah[Nomor Tiket],Table_Tarikan_Warkah[Jenis Permohonan]),"")</f>
        <v>BN JUAL BELI EL</v>
      </c>
      <c r="H4594" s="41" t="s">
        <v>2315</v>
      </c>
      <c r="I4594" s="49" t="s">
        <v>23</v>
      </c>
      <c r="J4594" s="36">
        <f t="shared" si="20"/>
        <v>45996.4162</v>
      </c>
      <c r="K4594" s="69"/>
      <c r="L4594" s="49"/>
      <c r="M4594" s="36" t="str">
        <f t="shared" si="33"/>
        <v/>
      </c>
      <c r="N4594" s="30" t="str">
        <f t="shared" si="34"/>
        <v>BT atau SU Belum Valid</v>
      </c>
      <c r="O4594" s="39" t="str">
        <f t="shared" si="23"/>
        <v/>
      </c>
      <c r="P4594" s="47" t="b">
        <v>0</v>
      </c>
      <c r="Q4594" s="36" t="str">
        <f t="shared" si="35"/>
        <v/>
      </c>
      <c r="R4594" s="47" t="b">
        <v>0</v>
      </c>
      <c r="S4594" s="42" t="str">
        <f t="shared" si="28"/>
        <v/>
      </c>
      <c r="T4594" s="42"/>
    </row>
    <row r="4595" ht="22.5" customHeight="1">
      <c r="B4595" s="42">
        <f t="shared" si="7"/>
        <v>4589</v>
      </c>
      <c r="C4595" s="31" t="s">
        <v>4618</v>
      </c>
      <c r="D4595" s="34" t="str">
        <f t="array" ref="D4595">IFNA(_xlfn.XLOOKUP(C4595,Table_Tarikan_Warkah[Nomor Sertipikat],Table_Tarikan_Warkah[Nomor Tiket]),"")</f>
        <v>ABCTVLGO</v>
      </c>
      <c r="E4595" s="36" t="str">
        <f t="array" ref="E4595">IFNA(_xlfn.XLOOKUP(D4595,Table_Tarikan_Warkah[Nomor Tiket],Table_Tarikan_Warkah[Tanggal diserahkan kepada Validator]),"")</f>
        <v/>
      </c>
      <c r="F4595" s="36" t="str">
        <f t="array" ref="F4595">IFNA(_xlfn.XLOOKUP(D4595,Table_Tarikan_Warkah[Nomor Tiket],Table_Tarikan_Warkah[Nama Petugas Warkah]),"")</f>
        <v/>
      </c>
      <c r="G4595" s="39" t="str">
        <f t="array" ref="G4595">IFNA(_xlfn.XLOOKUP(D4595,Table_Tarikan_Warkah[Nomor Tiket],Table_Tarikan_Warkah[Jenis Permohonan]),"")</f>
        <v>Peningkatan Hak</v>
      </c>
      <c r="H4595" s="41" t="s">
        <v>2315</v>
      </c>
      <c r="I4595" s="49" t="s">
        <v>23</v>
      </c>
      <c r="J4595" s="36">
        <f t="shared" si="20"/>
        <v>45996.41675</v>
      </c>
      <c r="K4595" s="69"/>
      <c r="L4595" s="49"/>
      <c r="M4595" s="36" t="str">
        <f t="shared" si="33"/>
        <v/>
      </c>
      <c r="N4595" s="30" t="str">
        <f t="shared" si="34"/>
        <v>BT atau SU Belum Valid</v>
      </c>
      <c r="O4595" s="39" t="str">
        <f t="shared" si="23"/>
        <v/>
      </c>
      <c r="P4595" s="47" t="b">
        <v>0</v>
      </c>
      <c r="Q4595" s="36" t="str">
        <f t="shared" si="35"/>
        <v/>
      </c>
      <c r="R4595" s="47" t="b">
        <v>0</v>
      </c>
      <c r="S4595" s="42" t="str">
        <f t="shared" si="28"/>
        <v/>
      </c>
      <c r="T4595" s="42"/>
    </row>
    <row r="4596" ht="22.5" customHeight="1">
      <c r="B4596" s="42">
        <f t="shared" si="7"/>
        <v>4590</v>
      </c>
      <c r="C4596" s="31" t="s">
        <v>4619</v>
      </c>
      <c r="D4596" s="34" t="str">
        <f t="array" ref="D4596">IFNA(_xlfn.XLOOKUP(C4596,Table_Tarikan_Warkah[Nomor Sertipikat],Table_Tarikan_Warkah[Nomor Tiket]),"")</f>
        <v>L/1/291025/1</v>
      </c>
      <c r="E4596" s="36" t="str">
        <f t="array" ref="E4596">IFNA(_xlfn.XLOOKUP(D4596,Table_Tarikan_Warkah[Nomor Tiket],Table_Tarikan_Warkah[Tanggal diserahkan kepada Validator]),"")</f>
        <v/>
      </c>
      <c r="F4596" s="36" t="str">
        <f t="array" ref="F4596">IFNA(_xlfn.XLOOKUP(D4596,Table_Tarikan_Warkah[Nomor Tiket],Table_Tarikan_Warkah[Nama Petugas Warkah]),"")</f>
        <v/>
      </c>
      <c r="G4596" s="39" t="str">
        <f t="array" ref="G4596">IFNA(_xlfn.XLOOKUP(D4596,Table_Tarikan_Warkah[Nomor Tiket],Table_Tarikan_Warkah[Jenis Permohonan]),"")</f>
        <v>BN WARIS</v>
      </c>
      <c r="H4596" s="41" t="s">
        <v>2315</v>
      </c>
      <c r="I4596" s="49" t="s">
        <v>23</v>
      </c>
      <c r="J4596" s="36">
        <f t="shared" si="20"/>
        <v>46000.43847</v>
      </c>
      <c r="K4596" s="69"/>
      <c r="L4596" s="49"/>
      <c r="M4596" s="36" t="str">
        <f t="shared" si="33"/>
        <v/>
      </c>
      <c r="N4596" s="30" t="str">
        <f t="shared" si="34"/>
        <v>BT atau SU Belum Valid</v>
      </c>
      <c r="O4596" s="39" t="str">
        <f t="shared" si="23"/>
        <v/>
      </c>
      <c r="P4596" s="47" t="b">
        <v>0</v>
      </c>
      <c r="Q4596" s="36" t="str">
        <f t="shared" si="35"/>
        <v/>
      </c>
      <c r="R4596" s="47" t="b">
        <v>0</v>
      </c>
      <c r="S4596" s="42" t="str">
        <f t="shared" si="28"/>
        <v/>
      </c>
      <c r="T4596" s="42"/>
    </row>
    <row r="4597" ht="22.5" customHeight="1">
      <c r="B4597" s="42">
        <f t="shared" si="7"/>
        <v>4591</v>
      </c>
      <c r="C4597" s="31" t="s">
        <v>4620</v>
      </c>
      <c r="D4597" s="34" t="str">
        <f t="array" ref="D4597">IFNA(_xlfn.XLOOKUP(C4597,Table_Tarikan_Warkah[Nomor Sertipikat],Table_Tarikan_Warkah[Nomor Tiket]),"")</f>
        <v>L/7/051125/1</v>
      </c>
      <c r="E4597" s="36" t="str">
        <f t="array" ref="E4597">IFNA(_xlfn.XLOOKUP(D4597,Table_Tarikan_Warkah[Nomor Tiket],Table_Tarikan_Warkah[Tanggal diserahkan kepada Validator]),"")</f>
        <v/>
      </c>
      <c r="F4597" s="36" t="str">
        <f t="array" ref="F4597">IFNA(_xlfn.XLOOKUP(D4597,Table_Tarikan_Warkah[Nomor Tiket],Table_Tarikan_Warkah[Nama Petugas Warkah]),"")</f>
        <v/>
      </c>
      <c r="G4597" s="39" t="str">
        <f t="array" ref="G4597">IFNA(_xlfn.XLOOKUP(D4597,Table_Tarikan_Warkah[Nomor Tiket],Table_Tarikan_Warkah[Jenis Permohonan]),"")</f>
        <v>ROYA</v>
      </c>
      <c r="H4597" s="41" t="s">
        <v>2315</v>
      </c>
      <c r="I4597" s="49" t="s">
        <v>23</v>
      </c>
      <c r="J4597" s="36">
        <f t="shared" si="20"/>
        <v>46000.4432</v>
      </c>
      <c r="K4597" s="69"/>
      <c r="L4597" s="49"/>
      <c r="M4597" s="36" t="str">
        <f t="shared" si="33"/>
        <v/>
      </c>
      <c r="N4597" s="30" t="str">
        <f t="shared" si="34"/>
        <v>BT atau SU Belum Valid</v>
      </c>
      <c r="O4597" s="39" t="str">
        <f t="shared" si="23"/>
        <v/>
      </c>
      <c r="P4597" s="47" t="b">
        <v>0</v>
      </c>
      <c r="Q4597" s="36" t="str">
        <f t="shared" si="35"/>
        <v/>
      </c>
      <c r="R4597" s="47" t="b">
        <v>0</v>
      </c>
      <c r="S4597" s="42" t="str">
        <f t="shared" si="28"/>
        <v/>
      </c>
      <c r="T4597" s="42"/>
    </row>
    <row r="4598" ht="22.5" customHeight="1">
      <c r="B4598" s="42">
        <f t="shared" si="7"/>
        <v>4592</v>
      </c>
      <c r="C4598" s="31" t="s">
        <v>4621</v>
      </c>
      <c r="D4598" s="34" t="str">
        <f t="array" ref="D4598">IFNA(_xlfn.XLOOKUP(C4598,Table_Tarikan_Warkah[Nomor Sertipikat],Table_Tarikan_Warkah[Nomor Tiket]),"")</f>
        <v>ABUGWVNL/AB027</v>
      </c>
      <c r="E4598" s="36" t="str">
        <f t="array" ref="E4598">IFNA(_xlfn.XLOOKUP(D4598,Table_Tarikan_Warkah[Nomor Tiket],Table_Tarikan_Warkah[Tanggal diserahkan kepada Validator]),"")</f>
        <v/>
      </c>
      <c r="F4598" s="36" t="str">
        <f t="array" ref="F4598">IFNA(_xlfn.XLOOKUP(D4598,Table_Tarikan_Warkah[Nomor Tiket],Table_Tarikan_Warkah[Nama Petugas Warkah]),"")</f>
        <v/>
      </c>
      <c r="G4598" s="39" t="str">
        <f t="array" ref="G4598">IFNA(_xlfn.XLOOKUP(D4598,Table_Tarikan_Warkah[Nomor Tiket],Table_Tarikan_Warkah[Jenis Permohonan]),"")</f>
        <v>Roya </v>
      </c>
      <c r="H4598" s="41" t="s">
        <v>2315</v>
      </c>
      <c r="I4598" s="49" t="s">
        <v>23</v>
      </c>
      <c r="J4598" s="36">
        <f t="shared" si="20"/>
        <v>46000.44342</v>
      </c>
      <c r="K4598" s="69"/>
      <c r="L4598" s="49"/>
      <c r="M4598" s="36" t="str">
        <f t="shared" si="33"/>
        <v/>
      </c>
      <c r="N4598" s="30" t="str">
        <f t="shared" si="34"/>
        <v>BT atau SU Belum Valid</v>
      </c>
      <c r="O4598" s="39" t="str">
        <f t="shared" si="23"/>
        <v/>
      </c>
      <c r="P4598" s="47" t="b">
        <v>0</v>
      </c>
      <c r="Q4598" s="36" t="str">
        <f t="shared" si="35"/>
        <v/>
      </c>
      <c r="R4598" s="47" t="b">
        <v>0</v>
      </c>
      <c r="S4598" s="42" t="str">
        <f t="shared" si="28"/>
        <v/>
      </c>
      <c r="T4598" s="42"/>
    </row>
    <row r="4599" ht="22.5" customHeight="1">
      <c r="B4599" s="42">
        <f t="shared" si="7"/>
        <v>4593</v>
      </c>
      <c r="C4599" s="31" t="s">
        <v>4622</v>
      </c>
      <c r="D4599" s="34" t="str">
        <f t="array" ref="D4599">IFNA(_xlfn.XLOOKUP(C4599,Table_Tarikan_Warkah[Nomor Sertipikat],Table_Tarikan_Warkah[Nomor Tiket]),"")</f>
        <v>ABDKZGLX/AB036</v>
      </c>
      <c r="E4599" s="36">
        <f t="array" ref="E4599">IFNA(_xlfn.XLOOKUP(D4599,Table_Tarikan_Warkah[Nomor Tiket],Table_Tarikan_Warkah[Tanggal diserahkan kepada Validator]),"")</f>
        <v>46020.6545</v>
      </c>
      <c r="F4599" s="36" t="str">
        <f t="array" ref="F4599">IFNA(_xlfn.XLOOKUP(D4599,Table_Tarikan_Warkah[Nomor Tiket],Table_Tarikan_Warkah[Nama Petugas Warkah]),"")</f>
        <v>Berry</v>
      </c>
      <c r="G4599" s="39" t="str">
        <f t="array" ref="G4599">IFNA(_xlfn.XLOOKUP(D4599,Table_Tarikan_Warkah[Nomor Tiket],Table_Tarikan_Warkah[Jenis Permohonan]),"")</f>
        <v>BN JUAL BELI</v>
      </c>
      <c r="H4599" s="41" t="s">
        <v>2315</v>
      </c>
      <c r="I4599" s="49" t="s">
        <v>23</v>
      </c>
      <c r="J4599" s="36">
        <f t="shared" si="20"/>
        <v>46000.44458</v>
      </c>
      <c r="K4599" s="69"/>
      <c r="L4599" s="49"/>
      <c r="M4599" s="36" t="str">
        <f t="shared" si="33"/>
        <v/>
      </c>
      <c r="N4599" s="30" t="str">
        <f t="shared" si="34"/>
        <v>BT atau SU Belum Valid</v>
      </c>
      <c r="O4599" s="39" t="str">
        <f t="shared" si="23"/>
        <v/>
      </c>
      <c r="P4599" s="47" t="b">
        <v>0</v>
      </c>
      <c r="Q4599" s="36" t="str">
        <f t="shared" si="35"/>
        <v/>
      </c>
      <c r="R4599" s="47" t="b">
        <v>0</v>
      </c>
      <c r="S4599" s="42" t="str">
        <f t="shared" si="28"/>
        <v/>
      </c>
      <c r="T4599" s="42"/>
    </row>
    <row r="4600" ht="22.5" customHeight="1">
      <c r="B4600" s="42">
        <f t="shared" si="7"/>
        <v>4594</v>
      </c>
      <c r="C4600" s="31" t="s">
        <v>4623</v>
      </c>
      <c r="D4600" s="34" t="str">
        <f t="array" ref="D4600">IFNA(_xlfn.XLOOKUP(C4600,Table_Tarikan_Warkah[Nomor Sertipikat],Table_Tarikan_Warkah[Nomor Tiket]),"")</f>
        <v>K/14/031125/1</v>
      </c>
      <c r="E4600" s="36" t="str">
        <f t="array" ref="E4600">IFNA(_xlfn.XLOOKUP(D4600,Table_Tarikan_Warkah[Nomor Tiket],Table_Tarikan_Warkah[Tanggal diserahkan kepada Validator]),"")</f>
        <v/>
      </c>
      <c r="F4600" s="36" t="str">
        <f t="array" ref="F4600">IFNA(_xlfn.XLOOKUP(D4600,Table_Tarikan_Warkah[Nomor Tiket],Table_Tarikan_Warkah[Nama Petugas Warkah]),"")</f>
        <v/>
      </c>
      <c r="G4600" s="39" t="str">
        <f t="array" ref="G4600">IFNA(_xlfn.XLOOKUP(D4600,Table_Tarikan_Warkah[Nomor Tiket],Table_Tarikan_Warkah[Jenis Permohonan]),"")</f>
        <v>PERUBAHAN HAK</v>
      </c>
      <c r="H4600" s="41" t="s">
        <v>2315</v>
      </c>
      <c r="I4600" s="49" t="s">
        <v>23</v>
      </c>
      <c r="J4600" s="36">
        <f t="shared" si="20"/>
        <v>46000.44488</v>
      </c>
      <c r="K4600" s="69"/>
      <c r="L4600" s="49"/>
      <c r="M4600" s="36" t="str">
        <f t="shared" si="33"/>
        <v/>
      </c>
      <c r="N4600" s="30" t="str">
        <f t="shared" si="34"/>
        <v>BT atau SU Belum Valid</v>
      </c>
      <c r="O4600" s="39" t="str">
        <f t="shared" si="23"/>
        <v/>
      </c>
      <c r="P4600" s="47" t="b">
        <v>0</v>
      </c>
      <c r="Q4600" s="36" t="str">
        <f t="shared" si="35"/>
        <v/>
      </c>
      <c r="R4600" s="47" t="b">
        <v>0</v>
      </c>
      <c r="S4600" s="42" t="str">
        <f t="shared" si="28"/>
        <v/>
      </c>
      <c r="T4600" s="42"/>
    </row>
    <row r="4601" ht="22.5" customHeight="1">
      <c r="B4601" s="42">
        <f t="shared" si="7"/>
        <v>4595</v>
      </c>
      <c r="C4601" s="31" t="s">
        <v>4624</v>
      </c>
      <c r="D4601" s="34" t="str">
        <f t="array" ref="D4601">IFNA(_xlfn.XLOOKUP(C4601,Table_Tarikan_Warkah[Nomor Sertipikat],Table_Tarikan_Warkah[Nomor Tiket]),"")</f>
        <v>Ab021/ABXCYQRP</v>
      </c>
      <c r="E4601" s="36" t="str">
        <f t="array" ref="E4601">IFNA(_xlfn.XLOOKUP(D4601,Table_Tarikan_Warkah[Nomor Tiket],Table_Tarikan_Warkah[Tanggal diserahkan kepada Validator]),"")</f>
        <v/>
      </c>
      <c r="F4601" s="36" t="str">
        <f t="array" ref="F4601">IFNA(_xlfn.XLOOKUP(D4601,Table_Tarikan_Warkah[Nomor Tiket],Table_Tarikan_Warkah[Nama Petugas Warkah]),"")</f>
        <v/>
      </c>
      <c r="G4601" s="39" t="str">
        <f t="array" ref="G4601">IFNA(_xlfn.XLOOKUP(D4601,Table_Tarikan_Warkah[Nomor Tiket],Table_Tarikan_Warkah[Jenis Permohonan]),"")</f>
        <v>Roya</v>
      </c>
      <c r="H4601" s="41" t="s">
        <v>2315</v>
      </c>
      <c r="I4601" s="49" t="s">
        <v>23</v>
      </c>
      <c r="J4601" s="36">
        <f t="shared" si="20"/>
        <v>46000.44504</v>
      </c>
      <c r="K4601" s="69"/>
      <c r="L4601" s="49"/>
      <c r="M4601" s="36" t="str">
        <f t="shared" si="33"/>
        <v/>
      </c>
      <c r="N4601" s="30" t="str">
        <f t="shared" si="34"/>
        <v>BT atau SU Belum Valid</v>
      </c>
      <c r="O4601" s="39" t="str">
        <f t="shared" si="23"/>
        <v/>
      </c>
      <c r="P4601" s="47" t="b">
        <v>0</v>
      </c>
      <c r="Q4601" s="36" t="str">
        <f t="shared" si="35"/>
        <v/>
      </c>
      <c r="R4601" s="47" t="b">
        <v>0</v>
      </c>
      <c r="S4601" s="42" t="str">
        <f t="shared" si="28"/>
        <v/>
      </c>
      <c r="T4601" s="42"/>
    </row>
    <row r="4602" ht="22.5" customHeight="1">
      <c r="B4602" s="42">
        <f t="shared" si="7"/>
        <v>4596</v>
      </c>
      <c r="C4602" s="31" t="s">
        <v>4509</v>
      </c>
      <c r="D4602" s="34" t="str">
        <f t="array" ref="D4602">IFNA(_xlfn.XLOOKUP(C4602,Table_Tarikan_Warkah[Nomor Sertipikat],Table_Tarikan_Warkah[Nomor Tiket]),"")</f>
        <v>ABPXKTEH</v>
      </c>
      <c r="E4602" s="36" t="str">
        <f t="array" ref="E4602">IFNA(_xlfn.XLOOKUP(D4602,Table_Tarikan_Warkah[Nomor Tiket],Table_Tarikan_Warkah[Tanggal diserahkan kepada Validator]),"")</f>
        <v/>
      </c>
      <c r="F4602" s="36" t="str">
        <f t="array" ref="F4602">IFNA(_xlfn.XLOOKUP(D4602,Table_Tarikan_Warkah[Nomor Tiket],Table_Tarikan_Warkah[Nama Petugas Warkah]),"")</f>
        <v/>
      </c>
      <c r="G4602" s="39" t="str">
        <f t="array" ref="G4602">IFNA(_xlfn.XLOOKUP(D4602,Table_Tarikan_Warkah[Nomor Tiket],Table_Tarikan_Warkah[Jenis Permohonan]),"")</f>
        <v>BN JUAL BELI</v>
      </c>
      <c r="H4602" s="41" t="s">
        <v>2315</v>
      </c>
      <c r="I4602" s="49" t="s">
        <v>23</v>
      </c>
      <c r="J4602" s="36">
        <f t="shared" si="20"/>
        <v>46000.70951</v>
      </c>
      <c r="K4602" s="69"/>
      <c r="L4602" s="49"/>
      <c r="M4602" s="36" t="str">
        <f t="shared" si="33"/>
        <v/>
      </c>
      <c r="N4602" s="30" t="str">
        <f t="shared" si="34"/>
        <v>BT atau SU Belum Valid</v>
      </c>
      <c r="O4602" s="39" t="str">
        <f t="shared" si="23"/>
        <v/>
      </c>
      <c r="P4602" s="47" t="b">
        <v>0</v>
      </c>
      <c r="Q4602" s="36" t="str">
        <f t="shared" si="35"/>
        <v/>
      </c>
      <c r="R4602" s="47" t="b">
        <v>0</v>
      </c>
      <c r="S4602" s="42" t="str">
        <f t="shared" si="28"/>
        <v/>
      </c>
      <c r="T4602" s="42"/>
    </row>
    <row r="4603" ht="22.5" customHeight="1">
      <c r="B4603" s="42">
        <f t="shared" si="7"/>
        <v>4597</v>
      </c>
      <c r="C4603" s="31" t="s">
        <v>4625</v>
      </c>
      <c r="D4603" s="34" t="str">
        <f t="array" ref="D4603">IFNA(_xlfn.XLOOKUP(C4603,Table_Tarikan_Warkah[Nomor Sertipikat],Table_Tarikan_Warkah[Nomor Tiket]),"")</f>
        <v>ABRFQKIS</v>
      </c>
      <c r="E4603" s="36" t="str">
        <f t="array" ref="E4603">IFNA(_xlfn.XLOOKUP(D4603,Table_Tarikan_Warkah[Nomor Tiket],Table_Tarikan_Warkah[Tanggal diserahkan kepada Validator]),"")</f>
        <v/>
      </c>
      <c r="F4603" s="36" t="str">
        <f t="array" ref="F4603">IFNA(_xlfn.XLOOKUP(D4603,Table_Tarikan_Warkah[Nomor Tiket],Table_Tarikan_Warkah[Nama Petugas Warkah]),"")</f>
        <v/>
      </c>
      <c r="G4603" s="39" t="str">
        <f t="array" ref="G4603">IFNA(_xlfn.XLOOKUP(D4603,Table_Tarikan_Warkah[Nomor Tiket],Table_Tarikan_Warkah[Jenis Permohonan]),"")</f>
        <v>BN JUAL BELI</v>
      </c>
      <c r="H4603" s="41" t="s">
        <v>2315</v>
      </c>
      <c r="I4603" s="49" t="s">
        <v>23</v>
      </c>
      <c r="J4603" s="36">
        <f t="shared" si="20"/>
        <v>46000.70951</v>
      </c>
      <c r="K4603" s="69"/>
      <c r="L4603" s="49"/>
      <c r="M4603" s="36" t="str">
        <f t="shared" si="33"/>
        <v/>
      </c>
      <c r="N4603" s="30" t="str">
        <f t="shared" si="34"/>
        <v>BT atau SU Belum Valid</v>
      </c>
      <c r="O4603" s="39" t="str">
        <f t="shared" si="23"/>
        <v/>
      </c>
      <c r="P4603" s="47" t="b">
        <v>0</v>
      </c>
      <c r="Q4603" s="36" t="str">
        <f t="shared" si="35"/>
        <v/>
      </c>
      <c r="R4603" s="47" t="b">
        <v>0</v>
      </c>
      <c r="S4603" s="42" t="str">
        <f t="shared" si="28"/>
        <v/>
      </c>
      <c r="T4603" s="42"/>
    </row>
    <row r="4604" ht="22.5" customHeight="1">
      <c r="B4604" s="42">
        <f t="shared" si="7"/>
        <v>4598</v>
      </c>
      <c r="C4604" s="31" t="s">
        <v>4626</v>
      </c>
      <c r="D4604" s="34" t="str">
        <f t="array" ref="D4604">IFNA(_xlfn.XLOOKUP(C4604,Table_Tarikan_Warkah[Nomor Sertipikat],Table_Tarikan_Warkah[Nomor Tiket]),"")</f>
        <v>ABNZHLSC/AB073</v>
      </c>
      <c r="E4604" s="36" t="str">
        <f t="array" ref="E4604">IFNA(_xlfn.XLOOKUP(D4604,Table_Tarikan_Warkah[Nomor Tiket],Table_Tarikan_Warkah[Tanggal diserahkan kepada Validator]),"")</f>
        <v/>
      </c>
      <c r="F4604" s="36" t="str">
        <f t="array" ref="F4604">IFNA(_xlfn.XLOOKUP(D4604,Table_Tarikan_Warkah[Nomor Tiket],Table_Tarikan_Warkah[Nama Petugas Warkah]),"")</f>
        <v/>
      </c>
      <c r="G4604" s="39" t="str">
        <f t="array" ref="G4604">IFNA(_xlfn.XLOOKUP(D4604,Table_Tarikan_Warkah[Nomor Tiket],Table_Tarikan_Warkah[Jenis Permohonan]),"")</f>
        <v>BN JUAL BELI</v>
      </c>
      <c r="H4604" s="41" t="s">
        <v>2315</v>
      </c>
      <c r="I4604" s="49" t="s">
        <v>23</v>
      </c>
      <c r="J4604" s="36">
        <f t="shared" si="20"/>
        <v>46000.70951</v>
      </c>
      <c r="K4604" s="69"/>
      <c r="L4604" s="49"/>
      <c r="M4604" s="36" t="str">
        <f t="shared" si="33"/>
        <v/>
      </c>
      <c r="N4604" s="30" t="str">
        <f t="shared" si="34"/>
        <v>BT atau SU Belum Valid</v>
      </c>
      <c r="O4604" s="39" t="str">
        <f t="shared" si="23"/>
        <v/>
      </c>
      <c r="P4604" s="47" t="b">
        <v>0</v>
      </c>
      <c r="Q4604" s="36" t="str">
        <f t="shared" si="35"/>
        <v/>
      </c>
      <c r="R4604" s="47" t="b">
        <v>0</v>
      </c>
      <c r="S4604" s="42" t="str">
        <f t="shared" si="28"/>
        <v/>
      </c>
      <c r="T4604" s="42"/>
    </row>
    <row r="4605" ht="22.5" customHeight="1">
      <c r="B4605" s="42">
        <f t="shared" si="7"/>
        <v>4599</v>
      </c>
      <c r="C4605" s="31" t="s">
        <v>4627</v>
      </c>
      <c r="D4605" s="34" t="str">
        <f t="array" ref="D4605">IFNA(_xlfn.XLOOKUP(C4605,Table_Tarikan_Warkah[Nomor Sertipikat],Table_Tarikan_Warkah[Nomor Tiket]),"")</f>
        <v>ABDYPSEI/AB025</v>
      </c>
      <c r="E4605" s="36" t="str">
        <f t="array" ref="E4605">IFNA(_xlfn.XLOOKUP(D4605,Table_Tarikan_Warkah[Nomor Tiket],Table_Tarikan_Warkah[Tanggal diserahkan kepada Validator]),"")</f>
        <v/>
      </c>
      <c r="F4605" s="36" t="str">
        <f t="array" ref="F4605">IFNA(_xlfn.XLOOKUP(D4605,Table_Tarikan_Warkah[Nomor Tiket],Table_Tarikan_Warkah[Nama Petugas Warkah]),"")</f>
        <v/>
      </c>
      <c r="G4605" s="39" t="str">
        <f t="array" ref="G4605">IFNA(_xlfn.XLOOKUP(D4605,Table_Tarikan_Warkah[Nomor Tiket],Table_Tarikan_Warkah[Jenis Permohonan]),"")</f>
        <v>Balik Nama Jual Beli </v>
      </c>
      <c r="H4605" s="41" t="s">
        <v>2315</v>
      </c>
      <c r="I4605" s="49" t="s">
        <v>23</v>
      </c>
      <c r="J4605" s="36">
        <f t="shared" si="20"/>
        <v>46000.70951</v>
      </c>
      <c r="K4605" s="69"/>
      <c r="L4605" s="49"/>
      <c r="M4605" s="36" t="str">
        <f t="shared" si="33"/>
        <v/>
      </c>
      <c r="N4605" s="30" t="str">
        <f t="shared" si="34"/>
        <v>BT atau SU Belum Valid</v>
      </c>
      <c r="O4605" s="39" t="str">
        <f t="shared" si="23"/>
        <v/>
      </c>
      <c r="P4605" s="47" t="b">
        <v>0</v>
      </c>
      <c r="Q4605" s="36" t="str">
        <f t="shared" si="35"/>
        <v/>
      </c>
      <c r="R4605" s="47" t="b">
        <v>0</v>
      </c>
      <c r="S4605" s="42" t="str">
        <f t="shared" si="28"/>
        <v/>
      </c>
      <c r="T4605" s="42"/>
    </row>
    <row r="4606" ht="22.5" customHeight="1">
      <c r="B4606" s="42">
        <f t="shared" si="7"/>
        <v>4600</v>
      </c>
      <c r="C4606" s="31" t="s">
        <v>4628</v>
      </c>
      <c r="D4606" s="34" t="str">
        <f t="array" ref="D4606">IFNA(_xlfn.XLOOKUP(C4606,Table_Tarikan_Warkah[Nomor Sertipikat],Table_Tarikan_Warkah[Nomor Tiket]),"")</f>
        <v>L/10/201025/1</v>
      </c>
      <c r="E4606" s="36" t="str">
        <f t="array" ref="E4606">IFNA(_xlfn.XLOOKUP(D4606,Table_Tarikan_Warkah[Nomor Tiket],Table_Tarikan_Warkah[Tanggal diserahkan kepada Validator]),"")</f>
        <v/>
      </c>
      <c r="F4606" s="36" t="str">
        <f t="array" ref="F4606">IFNA(_xlfn.XLOOKUP(D4606,Table_Tarikan_Warkah[Nomor Tiket],Table_Tarikan_Warkah[Nama Petugas Warkah]),"")</f>
        <v/>
      </c>
      <c r="G4606" s="39" t="str">
        <f t="array" ref="G4606">IFNA(_xlfn.XLOOKUP(D4606,Table_Tarikan_Warkah[Nomor Tiket],Table_Tarikan_Warkah[Jenis Permohonan]),"")</f>
        <v>BN WARIS</v>
      </c>
      <c r="H4606" s="41" t="s">
        <v>2315</v>
      </c>
      <c r="I4606" s="49" t="s">
        <v>23</v>
      </c>
      <c r="J4606" s="36">
        <f t="shared" si="20"/>
        <v>46000.70951</v>
      </c>
      <c r="K4606" s="69"/>
      <c r="L4606" s="49"/>
      <c r="M4606" s="36" t="str">
        <f t="shared" si="33"/>
        <v/>
      </c>
      <c r="N4606" s="30" t="str">
        <f t="shared" si="34"/>
        <v>BT atau SU Belum Valid</v>
      </c>
      <c r="O4606" s="39" t="str">
        <f t="shared" si="23"/>
        <v/>
      </c>
      <c r="P4606" s="47" t="b">
        <v>0</v>
      </c>
      <c r="Q4606" s="36" t="str">
        <f t="shared" si="35"/>
        <v/>
      </c>
      <c r="R4606" s="47" t="b">
        <v>0</v>
      </c>
      <c r="S4606" s="42" t="str">
        <f t="shared" si="28"/>
        <v/>
      </c>
      <c r="T4606" s="42"/>
    </row>
    <row r="4607" ht="22.5" customHeight="1">
      <c r="B4607" s="42">
        <f t="shared" si="7"/>
        <v>4601</v>
      </c>
      <c r="C4607" s="31" t="s">
        <v>4629</v>
      </c>
      <c r="D4607" s="34" t="str">
        <f t="array" ref="D4607">IFNA(_xlfn.XLOOKUP(C4607,Table_Tarikan_Warkah[Nomor Sertipikat],Table_Tarikan_Warkah[Nomor Tiket]),"")</f>
        <v>AB049/ABERCQSO</v>
      </c>
      <c r="E4607" s="36" t="str">
        <f t="array" ref="E4607">IFNA(_xlfn.XLOOKUP(D4607,Table_Tarikan_Warkah[Nomor Tiket],Table_Tarikan_Warkah[Tanggal diserahkan kepada Validator]),"")</f>
        <v/>
      </c>
      <c r="F4607" s="36" t="str">
        <f t="array" ref="F4607">IFNA(_xlfn.XLOOKUP(D4607,Table_Tarikan_Warkah[Nomor Tiket],Table_Tarikan_Warkah[Nama Petugas Warkah]),"")</f>
        <v/>
      </c>
      <c r="G4607" s="39" t="str">
        <f t="array" ref="G4607">IFNA(_xlfn.XLOOKUP(D4607,Table_Tarikan_Warkah[Nomor Tiket],Table_Tarikan_Warkah[Jenis Permohonan]),"")</f>
        <v>BN JUAL BELI</v>
      </c>
      <c r="H4607" s="41" t="s">
        <v>2315</v>
      </c>
      <c r="I4607" s="49" t="s">
        <v>23</v>
      </c>
      <c r="J4607" s="36">
        <f t="shared" si="20"/>
        <v>46000.70951</v>
      </c>
      <c r="K4607" s="69"/>
      <c r="L4607" s="49"/>
      <c r="M4607" s="36" t="str">
        <f t="shared" si="33"/>
        <v/>
      </c>
      <c r="N4607" s="30" t="str">
        <f t="shared" si="34"/>
        <v>BT atau SU Belum Valid</v>
      </c>
      <c r="O4607" s="39" t="str">
        <f t="shared" si="23"/>
        <v/>
      </c>
      <c r="P4607" s="47" t="b">
        <v>0</v>
      </c>
      <c r="Q4607" s="36" t="str">
        <f t="shared" si="35"/>
        <v/>
      </c>
      <c r="R4607" s="47" t="b">
        <v>0</v>
      </c>
      <c r="S4607" s="42" t="str">
        <f t="shared" si="28"/>
        <v/>
      </c>
      <c r="T4607" s="42"/>
    </row>
    <row r="4608" ht="22.5" customHeight="1">
      <c r="B4608" s="42">
        <f t="shared" si="7"/>
        <v>4602</v>
      </c>
      <c r="C4608" s="31" t="s">
        <v>4630</v>
      </c>
      <c r="D4608" s="34" t="str">
        <f t="array" ref="D4608">IFNA(_xlfn.XLOOKUP(C4608,Table_Tarikan_Warkah[Nomor Sertipikat],Table_Tarikan_Warkah[Nomor Tiket]),"")</f>
        <v>ABAHSDSD/AB069</v>
      </c>
      <c r="E4608" s="36" t="str">
        <f t="array" ref="E4608">IFNA(_xlfn.XLOOKUP(D4608,Table_Tarikan_Warkah[Nomor Tiket],Table_Tarikan_Warkah[Tanggal diserahkan kepada Validator]),"")</f>
        <v/>
      </c>
      <c r="F4608" s="36" t="str">
        <f t="array" ref="F4608">IFNA(_xlfn.XLOOKUP(D4608,Table_Tarikan_Warkah[Nomor Tiket],Table_Tarikan_Warkah[Nama Petugas Warkah]),"")</f>
        <v/>
      </c>
      <c r="G4608" s="39" t="str">
        <f t="array" ref="G4608">IFNA(_xlfn.XLOOKUP(D4608,Table_Tarikan_Warkah[Nomor Tiket],Table_Tarikan_Warkah[Jenis Permohonan]),"")</f>
        <v>Bn jual beli</v>
      </c>
      <c r="H4608" s="41" t="s">
        <v>2315</v>
      </c>
      <c r="I4608" s="49" t="s">
        <v>23</v>
      </c>
      <c r="J4608" s="36">
        <f t="shared" si="20"/>
        <v>46000.70955</v>
      </c>
      <c r="K4608" s="69"/>
      <c r="L4608" s="49"/>
      <c r="M4608" s="36" t="str">
        <f t="shared" si="33"/>
        <v/>
      </c>
      <c r="N4608" s="30" t="str">
        <f t="shared" si="34"/>
        <v>BT atau SU Belum Valid</v>
      </c>
      <c r="O4608" s="39" t="str">
        <f t="shared" si="23"/>
        <v/>
      </c>
      <c r="P4608" s="47" t="b">
        <v>0</v>
      </c>
      <c r="Q4608" s="36" t="str">
        <f t="shared" si="35"/>
        <v/>
      </c>
      <c r="R4608" s="47" t="b">
        <v>0</v>
      </c>
      <c r="S4608" s="42" t="str">
        <f t="shared" si="28"/>
        <v/>
      </c>
      <c r="T4608" s="42"/>
    </row>
    <row r="4609" ht="22.5" customHeight="1">
      <c r="B4609" s="42">
        <f t="shared" si="7"/>
        <v>4603</v>
      </c>
      <c r="C4609" s="31" t="s">
        <v>4631</v>
      </c>
      <c r="D4609" s="34" t="str">
        <f t="array" ref="D4609">IFNA(_xlfn.XLOOKUP(C4609,Table_Tarikan_Warkah[Nomor Sertipikat],Table_Tarikan_Warkah[Nomor Tiket]),"")</f>
        <v>K/4/241025/1</v>
      </c>
      <c r="E4609" s="36" t="str">
        <f t="array" ref="E4609">IFNA(_xlfn.XLOOKUP(D4609,Table_Tarikan_Warkah[Nomor Tiket],Table_Tarikan_Warkah[Tanggal diserahkan kepada Validator]),"")</f>
        <v/>
      </c>
      <c r="F4609" s="36" t="str">
        <f t="array" ref="F4609">IFNA(_xlfn.XLOOKUP(D4609,Table_Tarikan_Warkah[Nomor Tiket],Table_Tarikan_Warkah[Nama Petugas Warkah]),"")</f>
        <v/>
      </c>
      <c r="G4609" s="39" t="str">
        <f t="array" ref="G4609">IFNA(_xlfn.XLOOKUP(D4609,Table_Tarikan_Warkah[Nomor Tiket],Table_Tarikan_Warkah[Jenis Permohonan]),"")</f>
        <v>BN WARIS</v>
      </c>
      <c r="H4609" s="41" t="s">
        <v>2315</v>
      </c>
      <c r="I4609" s="49" t="s">
        <v>23</v>
      </c>
      <c r="J4609" s="36">
        <f t="shared" si="20"/>
        <v>46000.70971</v>
      </c>
      <c r="K4609" s="69"/>
      <c r="L4609" s="49"/>
      <c r="M4609" s="36" t="str">
        <f t="shared" si="33"/>
        <v/>
      </c>
      <c r="N4609" s="30" t="str">
        <f t="shared" si="34"/>
        <v>BT atau SU Belum Valid</v>
      </c>
      <c r="O4609" s="39" t="str">
        <f t="shared" si="23"/>
        <v/>
      </c>
      <c r="P4609" s="47" t="b">
        <v>0</v>
      </c>
      <c r="Q4609" s="36" t="str">
        <f t="shared" si="35"/>
        <v/>
      </c>
      <c r="R4609" s="47" t="b">
        <v>0</v>
      </c>
      <c r="S4609" s="42" t="str">
        <f t="shared" si="28"/>
        <v/>
      </c>
      <c r="T4609" s="42"/>
    </row>
    <row r="4610" ht="22.5" customHeight="1">
      <c r="B4610" s="42">
        <f t="shared" si="7"/>
        <v>4604</v>
      </c>
      <c r="C4610" s="31" t="s">
        <v>4632</v>
      </c>
      <c r="D4610" s="34" t="str">
        <f t="array" ref="D4610">IFNA(_xlfn.XLOOKUP(C4610,Table_Tarikan_Warkah[Nomor Sertipikat],Table_Tarikan_Warkah[Nomor Tiket]),"")</f>
        <v>ABVEXZCL  . Nomor tiket AB013</v>
      </c>
      <c r="E4610" s="36" t="str">
        <f t="array" ref="E4610">IFNA(_xlfn.XLOOKUP(D4610,Table_Tarikan_Warkah[Nomor Tiket],Table_Tarikan_Warkah[Tanggal diserahkan kepada Validator]),"")</f>
        <v/>
      </c>
      <c r="F4610" s="36" t="str">
        <f t="array" ref="F4610">IFNA(_xlfn.XLOOKUP(D4610,Table_Tarikan_Warkah[Nomor Tiket],Table_Tarikan_Warkah[Nama Petugas Warkah]),"")</f>
        <v/>
      </c>
      <c r="G4610" s="39" t="str">
        <f t="array" ref="G4610">IFNA(_xlfn.XLOOKUP(D4610,Table_Tarikan_Warkah[Nomor Tiket],Table_Tarikan_Warkah[Jenis Permohonan]),"")</f>
        <v>Bn Jual Beli</v>
      </c>
      <c r="H4610" s="41" t="s">
        <v>2315</v>
      </c>
      <c r="I4610" s="49" t="s">
        <v>23</v>
      </c>
      <c r="J4610" s="36">
        <f t="shared" si="20"/>
        <v>46000.70983</v>
      </c>
      <c r="K4610" s="69"/>
      <c r="L4610" s="49"/>
      <c r="M4610" s="36" t="str">
        <f t="shared" si="33"/>
        <v/>
      </c>
      <c r="N4610" s="30" t="str">
        <f t="shared" si="34"/>
        <v>BT atau SU Belum Valid</v>
      </c>
      <c r="O4610" s="39" t="str">
        <f t="shared" si="23"/>
        <v/>
      </c>
      <c r="P4610" s="47" t="b">
        <v>0</v>
      </c>
      <c r="Q4610" s="36" t="str">
        <f t="shared" si="35"/>
        <v/>
      </c>
      <c r="R4610" s="47" t="b">
        <v>0</v>
      </c>
      <c r="S4610" s="42" t="str">
        <f t="shared" si="28"/>
        <v/>
      </c>
      <c r="T4610" s="42"/>
    </row>
    <row r="4611" ht="22.5" customHeight="1">
      <c r="B4611" s="42">
        <f t="shared" si="7"/>
        <v>4605</v>
      </c>
      <c r="C4611" s="31" t="s">
        <v>4633</v>
      </c>
      <c r="D4611" s="34" t="str">
        <f t="array" ref="D4611">IFNA(_xlfn.XLOOKUP(C4611,Table_Tarikan_Warkah[Nomor Sertipikat],Table_Tarikan_Warkah[Nomor Tiket]),"")</f>
        <v>ABGRVLKV</v>
      </c>
      <c r="E4611" s="36" t="str">
        <f t="array" ref="E4611">IFNA(_xlfn.XLOOKUP(D4611,Table_Tarikan_Warkah[Nomor Tiket],Table_Tarikan_Warkah[Tanggal diserahkan kepada Validator]),"")</f>
        <v/>
      </c>
      <c r="F4611" s="36" t="str">
        <f t="array" ref="F4611">IFNA(_xlfn.XLOOKUP(D4611,Table_Tarikan_Warkah[Nomor Tiket],Table_Tarikan_Warkah[Nama Petugas Warkah]),"")</f>
        <v/>
      </c>
      <c r="G4611" s="39" t="str">
        <f t="array" ref="G4611">IFNA(_xlfn.XLOOKUP(D4611,Table_Tarikan_Warkah[Nomor Tiket],Table_Tarikan_Warkah[Jenis Permohonan]),"")</f>
        <v>Balik Nama Jual Beli</v>
      </c>
      <c r="H4611" s="41" t="s">
        <v>2315</v>
      </c>
      <c r="I4611" s="49" t="s">
        <v>23</v>
      </c>
      <c r="J4611" s="36">
        <f t="shared" si="20"/>
        <v>46000.70999</v>
      </c>
      <c r="K4611" s="69"/>
      <c r="L4611" s="49"/>
      <c r="M4611" s="36" t="str">
        <f t="shared" si="33"/>
        <v/>
      </c>
      <c r="N4611" s="30" t="str">
        <f t="shared" si="34"/>
        <v>BT atau SU Belum Valid</v>
      </c>
      <c r="O4611" s="39" t="str">
        <f t="shared" si="23"/>
        <v/>
      </c>
      <c r="P4611" s="47" t="b">
        <v>0</v>
      </c>
      <c r="Q4611" s="36" t="str">
        <f t="shared" si="35"/>
        <v/>
      </c>
      <c r="R4611" s="47" t="b">
        <v>0</v>
      </c>
      <c r="S4611" s="42" t="str">
        <f t="shared" si="28"/>
        <v/>
      </c>
      <c r="T4611" s="42"/>
    </row>
    <row r="4612" ht="22.5" customHeight="1">
      <c r="B4612" s="42">
        <f t="shared" si="7"/>
        <v>4606</v>
      </c>
      <c r="C4612" s="31" t="s">
        <v>4634</v>
      </c>
      <c r="D4612" s="34" t="str">
        <f t="array" ref="D4612">IFNA(_xlfn.XLOOKUP(C4612,Table_Tarikan_Warkah[Nomor Sertipikat],Table_Tarikan_Warkah[Nomor Tiket]),"")</f>
        <v>L/10/221025/1</v>
      </c>
      <c r="E4612" s="36" t="str">
        <f t="array" ref="E4612">IFNA(_xlfn.XLOOKUP(D4612,Table_Tarikan_Warkah[Nomor Tiket],Table_Tarikan_Warkah[Tanggal diserahkan kepada Validator]),"")</f>
        <v/>
      </c>
      <c r="F4612" s="36" t="str">
        <f t="array" ref="F4612">IFNA(_xlfn.XLOOKUP(D4612,Table_Tarikan_Warkah[Nomor Tiket],Table_Tarikan_Warkah[Nama Petugas Warkah]),"")</f>
        <v/>
      </c>
      <c r="G4612" s="39" t="str">
        <f t="array" ref="G4612">IFNA(_xlfn.XLOOKUP(D4612,Table_Tarikan_Warkah[Nomor Tiket],Table_Tarikan_Warkah[Jenis Permohonan]),"")</f>
        <v>ROYA</v>
      </c>
      <c r="H4612" s="41" t="s">
        <v>2315</v>
      </c>
      <c r="I4612" s="49" t="s">
        <v>23</v>
      </c>
      <c r="J4612" s="36">
        <f t="shared" si="20"/>
        <v>46000.87946</v>
      </c>
      <c r="K4612" s="69"/>
      <c r="L4612" s="49"/>
      <c r="M4612" s="36" t="str">
        <f t="shared" si="33"/>
        <v/>
      </c>
      <c r="N4612" s="30" t="str">
        <f t="shared" si="34"/>
        <v>BT atau SU Belum Valid</v>
      </c>
      <c r="O4612" s="39" t="str">
        <f t="shared" si="23"/>
        <v/>
      </c>
      <c r="P4612" s="47" t="b">
        <v>0</v>
      </c>
      <c r="Q4612" s="36" t="str">
        <f t="shared" si="35"/>
        <v/>
      </c>
      <c r="R4612" s="47" t="b">
        <v>0</v>
      </c>
      <c r="S4612" s="42" t="str">
        <f t="shared" si="28"/>
        <v/>
      </c>
      <c r="T4612" s="42"/>
    </row>
    <row r="4613" ht="22.5" customHeight="1">
      <c r="B4613" s="42">
        <f t="shared" si="7"/>
        <v>4607</v>
      </c>
      <c r="C4613" s="31" t="s">
        <v>4635</v>
      </c>
      <c r="D4613" s="34" t="str">
        <f t="array" ref="D4613">IFNA(_xlfn.XLOOKUP(C4613,Table_Tarikan_Warkah[Nomor Sertipikat],Table_Tarikan_Warkah[Nomor Tiket]),"")</f>
        <v>L/11/301025/1</v>
      </c>
      <c r="E4613" s="36" t="str">
        <f t="array" ref="E4613">IFNA(_xlfn.XLOOKUP(D4613,Table_Tarikan_Warkah[Nomor Tiket],Table_Tarikan_Warkah[Tanggal diserahkan kepada Validator]),"")</f>
        <v/>
      </c>
      <c r="F4613" s="36" t="str">
        <f t="array" ref="F4613">IFNA(_xlfn.XLOOKUP(D4613,Table_Tarikan_Warkah[Nomor Tiket],Table_Tarikan_Warkah[Nama Petugas Warkah]),"")</f>
        <v/>
      </c>
      <c r="G4613" s="39" t="str">
        <f t="array" ref="G4613">IFNA(_xlfn.XLOOKUP(D4613,Table_Tarikan_Warkah[Nomor Tiket],Table_Tarikan_Warkah[Jenis Permohonan]),"")</f>
        <v>GANTI TANGGAL LAHIR</v>
      </c>
      <c r="H4613" s="41" t="s">
        <v>2315</v>
      </c>
      <c r="I4613" s="49" t="s">
        <v>23</v>
      </c>
      <c r="J4613" s="36">
        <f t="shared" si="20"/>
        <v>46000.88261</v>
      </c>
      <c r="K4613" s="69"/>
      <c r="L4613" s="49"/>
      <c r="M4613" s="36" t="str">
        <f t="shared" si="33"/>
        <v/>
      </c>
      <c r="N4613" s="30" t="str">
        <f t="shared" si="34"/>
        <v>BT atau SU Belum Valid</v>
      </c>
      <c r="O4613" s="39" t="str">
        <f t="shared" si="23"/>
        <v/>
      </c>
      <c r="P4613" s="47" t="b">
        <v>0</v>
      </c>
      <c r="Q4613" s="36" t="str">
        <f t="shared" si="35"/>
        <v/>
      </c>
      <c r="R4613" s="47" t="b">
        <v>0</v>
      </c>
      <c r="S4613" s="42" t="str">
        <f t="shared" si="28"/>
        <v/>
      </c>
      <c r="T4613" s="42"/>
    </row>
    <row r="4614" ht="22.5" customHeight="1">
      <c r="B4614" s="42">
        <f t="shared" si="7"/>
        <v>4608</v>
      </c>
      <c r="C4614" s="31" t="s">
        <v>4636</v>
      </c>
      <c r="D4614" s="34" t="str">
        <f t="array" ref="D4614">IFNA(_xlfn.XLOOKUP(C4614,Table_Tarikan_Warkah[Nomor Sertipikat],Table_Tarikan_Warkah[Nomor Tiket]),"")</f>
        <v>L/4/311025/1</v>
      </c>
      <c r="E4614" s="36" t="str">
        <f t="array" ref="E4614">IFNA(_xlfn.XLOOKUP(D4614,Table_Tarikan_Warkah[Nomor Tiket],Table_Tarikan_Warkah[Tanggal diserahkan kepada Validator]),"")</f>
        <v/>
      </c>
      <c r="F4614" s="36" t="str">
        <f t="array" ref="F4614">IFNA(_xlfn.XLOOKUP(D4614,Table_Tarikan_Warkah[Nomor Tiket],Table_Tarikan_Warkah[Nama Petugas Warkah]),"")</f>
        <v/>
      </c>
      <c r="G4614" s="39" t="str">
        <f t="array" ref="G4614">IFNA(_xlfn.XLOOKUP(D4614,Table_Tarikan_Warkah[Nomor Tiket],Table_Tarikan_Warkah[Jenis Permohonan]),"")</f>
        <v>BN LELANG</v>
      </c>
      <c r="H4614" s="41" t="s">
        <v>2315</v>
      </c>
      <c r="I4614" s="49" t="s">
        <v>23</v>
      </c>
      <c r="J4614" s="36">
        <f t="shared" si="20"/>
        <v>46000.88312</v>
      </c>
      <c r="K4614" s="69"/>
      <c r="L4614" s="49"/>
      <c r="M4614" s="36" t="str">
        <f t="shared" si="33"/>
        <v/>
      </c>
      <c r="N4614" s="30" t="str">
        <f t="shared" si="34"/>
        <v>BT atau SU Belum Valid</v>
      </c>
      <c r="O4614" s="39" t="str">
        <f t="shared" si="23"/>
        <v/>
      </c>
      <c r="P4614" s="47" t="b">
        <v>0</v>
      </c>
      <c r="Q4614" s="36" t="str">
        <f t="shared" si="35"/>
        <v/>
      </c>
      <c r="R4614" s="47" t="b">
        <v>0</v>
      </c>
      <c r="S4614" s="42" t="str">
        <f t="shared" si="28"/>
        <v/>
      </c>
      <c r="T4614" s="42"/>
    </row>
    <row r="4615" ht="22.5" customHeight="1">
      <c r="B4615" s="42">
        <f t="shared" si="7"/>
        <v>4609</v>
      </c>
      <c r="C4615" s="31" t="s">
        <v>4637</v>
      </c>
      <c r="D4615" s="34" t="str">
        <f t="array" ref="D4615">IFNA(_xlfn.XLOOKUP(C4615,Table_Tarikan_Warkah[Nomor Sertipikat],Table_Tarikan_Warkah[Nomor Tiket]),"")</f>
        <v>K/2/031125/1</v>
      </c>
      <c r="E4615" s="36" t="str">
        <f t="array" ref="E4615">IFNA(_xlfn.XLOOKUP(D4615,Table_Tarikan_Warkah[Nomor Tiket],Table_Tarikan_Warkah[Tanggal diserahkan kepada Validator]),"")</f>
        <v/>
      </c>
      <c r="F4615" s="36" t="str">
        <f t="array" ref="F4615">IFNA(_xlfn.XLOOKUP(D4615,Table_Tarikan_Warkah[Nomor Tiket],Table_Tarikan_Warkah[Nama Petugas Warkah]),"")</f>
        <v/>
      </c>
      <c r="G4615" s="39" t="str">
        <f t="array" ref="G4615">IFNA(_xlfn.XLOOKUP(D4615,Table_Tarikan_Warkah[Nomor Tiket],Table_Tarikan_Warkah[Jenis Permohonan]),"")</f>
        <v>PENINGKATAN HAK</v>
      </c>
      <c r="H4615" s="41" t="s">
        <v>2315</v>
      </c>
      <c r="I4615" s="49" t="s">
        <v>23</v>
      </c>
      <c r="J4615" s="36">
        <f t="shared" si="20"/>
        <v>46000.884</v>
      </c>
      <c r="K4615" s="69"/>
      <c r="L4615" s="49"/>
      <c r="M4615" s="36" t="str">
        <f t="shared" si="33"/>
        <v/>
      </c>
      <c r="N4615" s="30" t="str">
        <f t="shared" si="34"/>
        <v>BT atau SU Belum Valid</v>
      </c>
      <c r="O4615" s="39" t="str">
        <f t="shared" si="23"/>
        <v/>
      </c>
      <c r="P4615" s="47" t="b">
        <v>0</v>
      </c>
      <c r="Q4615" s="36" t="str">
        <f t="shared" si="35"/>
        <v/>
      </c>
      <c r="R4615" s="47" t="b">
        <v>0</v>
      </c>
      <c r="S4615" s="42" t="str">
        <f t="shared" si="28"/>
        <v/>
      </c>
      <c r="T4615" s="42"/>
    </row>
    <row r="4616" ht="22.5" customHeight="1">
      <c r="B4616" s="42">
        <f t="shared" si="7"/>
        <v>4610</v>
      </c>
      <c r="C4616" s="31" t="s">
        <v>4638</v>
      </c>
      <c r="D4616" s="34" t="str">
        <f t="array" ref="D4616">IFNA(_xlfn.XLOOKUP(C4616,Table_Tarikan_Warkah[Nomor Sertipikat],Table_Tarikan_Warkah[Nomor Tiket]),"")</f>
        <v>K/27/280825/1</v>
      </c>
      <c r="E4616" s="36">
        <f t="array" ref="E4616">IFNA(_xlfn.XLOOKUP(D4616,Table_Tarikan_Warkah[Nomor Tiket],Table_Tarikan_Warkah[Tanggal diserahkan kepada Validator]),"")</f>
        <v>45938.49916</v>
      </c>
      <c r="F4616" s="36" t="str">
        <f t="array" ref="F4616">IFNA(_xlfn.XLOOKUP(D4616,Table_Tarikan_Warkah[Nomor Tiket],Table_Tarikan_Warkah[Nama Petugas Warkah]),"")</f>
        <v>Berry</v>
      </c>
      <c r="G4616" s="39" t="str">
        <f t="array" ref="G4616">IFNA(_xlfn.XLOOKUP(D4616,Table_Tarikan_Warkah[Nomor Tiket],Table_Tarikan_Warkah[Jenis Permohonan]),"")</f>
        <v>BN HIBAH EL</v>
      </c>
      <c r="H4616" s="41" t="s">
        <v>2315</v>
      </c>
      <c r="I4616" s="49" t="s">
        <v>23</v>
      </c>
      <c r="J4616" s="36">
        <f t="shared" si="20"/>
        <v>46000.88461</v>
      </c>
      <c r="K4616" s="69"/>
      <c r="L4616" s="49"/>
      <c r="M4616" s="36" t="str">
        <f t="shared" si="33"/>
        <v/>
      </c>
      <c r="N4616" s="30" t="str">
        <f t="shared" si="34"/>
        <v>BT atau SU Belum Valid</v>
      </c>
      <c r="O4616" s="39" t="str">
        <f t="shared" si="23"/>
        <v/>
      </c>
      <c r="P4616" s="47" t="b">
        <v>0</v>
      </c>
      <c r="Q4616" s="36" t="str">
        <f t="shared" si="35"/>
        <v/>
      </c>
      <c r="R4616" s="47" t="b">
        <v>0</v>
      </c>
      <c r="S4616" s="42" t="str">
        <f t="shared" si="28"/>
        <v/>
      </c>
      <c r="T4616" s="42"/>
    </row>
    <row r="4617" ht="22.5" customHeight="1">
      <c r="B4617" s="42">
        <f t="shared" si="7"/>
        <v>4611</v>
      </c>
      <c r="C4617" s="31" t="s">
        <v>4639</v>
      </c>
      <c r="D4617" s="34" t="str">
        <f t="array" ref="D4617">IFNA(_xlfn.XLOOKUP(C4617,Table_Tarikan_Warkah[Nomor Sertipikat],Table_Tarikan_Warkah[Nomor Tiket]),"")</f>
        <v>K/1/221025/1</v>
      </c>
      <c r="E4617" s="36" t="str">
        <f t="array" ref="E4617">IFNA(_xlfn.XLOOKUP(D4617,Table_Tarikan_Warkah[Nomor Tiket],Table_Tarikan_Warkah[Tanggal diserahkan kepada Validator]),"")</f>
        <v/>
      </c>
      <c r="F4617" s="36" t="str">
        <f t="array" ref="F4617">IFNA(_xlfn.XLOOKUP(D4617,Table_Tarikan_Warkah[Nomor Tiket],Table_Tarikan_Warkah[Nama Petugas Warkah]),"")</f>
        <v/>
      </c>
      <c r="G4617" s="39" t="str">
        <f t="array" ref="G4617">IFNA(_xlfn.XLOOKUP(D4617,Table_Tarikan_Warkah[Nomor Tiket],Table_Tarikan_Warkah[Jenis Permohonan]),"")</f>
        <v>SKPT LELANG</v>
      </c>
      <c r="H4617" s="41" t="s">
        <v>2315</v>
      </c>
      <c r="I4617" s="49" t="s">
        <v>23</v>
      </c>
      <c r="J4617" s="36">
        <f t="shared" si="20"/>
        <v>46000.88789</v>
      </c>
      <c r="K4617" s="69"/>
      <c r="L4617" s="49"/>
      <c r="M4617" s="36" t="str">
        <f t="shared" si="33"/>
        <v/>
      </c>
      <c r="N4617" s="30" t="str">
        <f t="shared" si="34"/>
        <v>BT atau SU Belum Valid</v>
      </c>
      <c r="O4617" s="39" t="str">
        <f t="shared" si="23"/>
        <v/>
      </c>
      <c r="P4617" s="47" t="b">
        <v>0</v>
      </c>
      <c r="Q4617" s="36" t="str">
        <f t="shared" si="35"/>
        <v/>
      </c>
      <c r="R4617" s="47" t="b">
        <v>0</v>
      </c>
      <c r="S4617" s="42" t="str">
        <f t="shared" si="28"/>
        <v/>
      </c>
      <c r="T4617" s="42"/>
    </row>
    <row r="4618" ht="22.5" customHeight="1">
      <c r="B4618" s="42">
        <f t="shared" si="7"/>
        <v>4612</v>
      </c>
      <c r="C4618" s="31" t="s">
        <v>4640</v>
      </c>
      <c r="D4618" s="34" t="str">
        <f t="array" ref="D4618">IFNA(_xlfn.XLOOKUP(C4618,Table_Tarikan_Warkah[Nomor Sertipikat],Table_Tarikan_Warkah[Nomor Tiket]),"")</f>
        <v>K/15/031125/2</v>
      </c>
      <c r="E4618" s="36" t="str">
        <f t="array" ref="E4618">IFNA(_xlfn.XLOOKUP(D4618,Table_Tarikan_Warkah[Nomor Tiket],Table_Tarikan_Warkah[Tanggal diserahkan kepada Validator]),"")</f>
        <v/>
      </c>
      <c r="F4618" s="36" t="str">
        <f t="array" ref="F4618">IFNA(_xlfn.XLOOKUP(D4618,Table_Tarikan_Warkah[Nomor Tiket],Table_Tarikan_Warkah[Nama Petugas Warkah]),"")</f>
        <v/>
      </c>
      <c r="G4618" s="39" t="str">
        <f t="array" ref="G4618">IFNA(_xlfn.XLOOKUP(D4618,Table_Tarikan_Warkah[Nomor Tiket],Table_Tarikan_Warkah[Jenis Permohonan]),"")</f>
        <v>PERUBAHAN HAK</v>
      </c>
      <c r="H4618" s="41" t="s">
        <v>2315</v>
      </c>
      <c r="I4618" s="49" t="s">
        <v>23</v>
      </c>
      <c r="J4618" s="36">
        <f t="shared" si="20"/>
        <v>46000.90532</v>
      </c>
      <c r="K4618" s="69"/>
      <c r="L4618" s="49"/>
      <c r="M4618" s="36" t="str">
        <f t="shared" si="33"/>
        <v/>
      </c>
      <c r="N4618" s="30" t="str">
        <f t="shared" si="34"/>
        <v>BT atau SU Belum Valid</v>
      </c>
      <c r="O4618" s="39" t="str">
        <f t="shared" si="23"/>
        <v/>
      </c>
      <c r="P4618" s="47" t="b">
        <v>0</v>
      </c>
      <c r="Q4618" s="36" t="str">
        <f t="shared" si="35"/>
        <v/>
      </c>
      <c r="R4618" s="47" t="b">
        <v>0</v>
      </c>
      <c r="S4618" s="42" t="str">
        <f t="shared" si="28"/>
        <v/>
      </c>
      <c r="T4618" s="42"/>
    </row>
    <row r="4619" ht="22.5" customHeight="1">
      <c r="B4619" s="42">
        <f t="shared" si="7"/>
        <v>4613</v>
      </c>
      <c r="C4619" s="31" t="s">
        <v>4641</v>
      </c>
      <c r="D4619" s="34" t="str">
        <f t="array" ref="D4619">IFNA(_xlfn.XLOOKUP(C4619,Table_Tarikan_Warkah[Nomor Sertipikat],Table_Tarikan_Warkah[Nomor Tiket]),"")</f>
        <v>ABKPPEG</v>
      </c>
      <c r="E4619" s="36" t="str">
        <f t="array" ref="E4619">IFNA(_xlfn.XLOOKUP(D4619,Table_Tarikan_Warkah[Nomor Tiket],Table_Tarikan_Warkah[Tanggal diserahkan kepada Validator]),"")</f>
        <v/>
      </c>
      <c r="F4619" s="36" t="str">
        <f t="array" ref="F4619">IFNA(_xlfn.XLOOKUP(D4619,Table_Tarikan_Warkah[Nomor Tiket],Table_Tarikan_Warkah[Nama Petugas Warkah]),"")</f>
        <v/>
      </c>
      <c r="G4619" s="39" t="str">
        <f t="array" ref="G4619">IFNA(_xlfn.XLOOKUP(D4619,Table_Tarikan_Warkah[Nomor Tiket],Table_Tarikan_Warkah[Jenis Permohonan]),"")</f>
        <v>Ganti Nama sertipikat</v>
      </c>
      <c r="H4619" s="41" t="s">
        <v>2315</v>
      </c>
      <c r="I4619" s="49" t="s">
        <v>23</v>
      </c>
      <c r="J4619" s="36">
        <f t="shared" si="20"/>
        <v>46000.92388</v>
      </c>
      <c r="K4619" s="69"/>
      <c r="L4619" s="49"/>
      <c r="M4619" s="36" t="str">
        <f t="shared" si="33"/>
        <v/>
      </c>
      <c r="N4619" s="30" t="str">
        <f t="shared" si="34"/>
        <v>BT atau SU Belum Valid</v>
      </c>
      <c r="O4619" s="39" t="str">
        <f t="shared" si="23"/>
        <v/>
      </c>
      <c r="P4619" s="47" t="b">
        <v>0</v>
      </c>
      <c r="Q4619" s="36" t="str">
        <f t="shared" si="35"/>
        <v/>
      </c>
      <c r="R4619" s="47" t="b">
        <v>0</v>
      </c>
      <c r="S4619" s="42" t="str">
        <f t="shared" si="28"/>
        <v/>
      </c>
      <c r="T4619" s="42"/>
    </row>
    <row r="4620" ht="22.5" customHeight="1">
      <c r="B4620" s="42">
        <f t="shared" si="7"/>
        <v>4614</v>
      </c>
      <c r="C4620" s="31" t="s">
        <v>4642</v>
      </c>
      <c r="D4620" s="34" t="str">
        <f t="array" ref="D4620">IFNA(_xlfn.XLOOKUP(C4620,Table_Tarikan_Warkah[Nomor Sertipikat],Table_Tarikan_Warkah[Nomor Tiket]),"")</f>
        <v>ABUPXVUY</v>
      </c>
      <c r="E4620" s="36" t="str">
        <f t="array" ref="E4620">IFNA(_xlfn.XLOOKUP(D4620,Table_Tarikan_Warkah[Nomor Tiket],Table_Tarikan_Warkah[Tanggal diserahkan kepada Validator]),"")</f>
        <v/>
      </c>
      <c r="F4620" s="36" t="str">
        <f t="array" ref="F4620">IFNA(_xlfn.XLOOKUP(D4620,Table_Tarikan_Warkah[Nomor Tiket],Table_Tarikan_Warkah[Nama Petugas Warkah]),"")</f>
        <v/>
      </c>
      <c r="G4620" s="39" t="str">
        <f t="array" ref="G4620">IFNA(_xlfn.XLOOKUP(D4620,Table_Tarikan_Warkah[Nomor Tiket],Table_Tarikan_Warkah[Jenis Permohonan]),"")</f>
        <v>BN JUAL BELI</v>
      </c>
      <c r="H4620" s="41" t="s">
        <v>2315</v>
      </c>
      <c r="I4620" s="49" t="s">
        <v>23</v>
      </c>
      <c r="J4620" s="36">
        <f t="shared" si="20"/>
        <v>46000.92415</v>
      </c>
      <c r="K4620" s="69"/>
      <c r="L4620" s="49"/>
      <c r="M4620" s="36" t="str">
        <f t="shared" si="33"/>
        <v/>
      </c>
      <c r="N4620" s="30" t="str">
        <f t="shared" si="34"/>
        <v>BT atau SU Belum Valid</v>
      </c>
      <c r="O4620" s="39" t="str">
        <f t="shared" si="23"/>
        <v/>
      </c>
      <c r="P4620" s="47" t="b">
        <v>0</v>
      </c>
      <c r="Q4620" s="36" t="str">
        <f t="shared" si="35"/>
        <v/>
      </c>
      <c r="R4620" s="47" t="b">
        <v>0</v>
      </c>
      <c r="S4620" s="42" t="str">
        <f t="shared" si="28"/>
        <v/>
      </c>
      <c r="T4620" s="42"/>
    </row>
    <row r="4621" ht="22.5" customHeight="1">
      <c r="B4621" s="42">
        <f t="shared" si="7"/>
        <v>4615</v>
      </c>
      <c r="C4621" s="31" t="s">
        <v>4643</v>
      </c>
      <c r="D4621" s="34" t="str">
        <f t="array" ref="D4621">IFNA(_xlfn.XLOOKUP(C4621,Table_Tarikan_Warkah[Nomor Sertipikat],Table_Tarikan_Warkah[Nomor Tiket]),"")</f>
        <v>ABPAMLHR</v>
      </c>
      <c r="E4621" s="36" t="str">
        <f t="array" ref="E4621">IFNA(_xlfn.XLOOKUP(D4621,Table_Tarikan_Warkah[Nomor Tiket],Table_Tarikan_Warkah[Tanggal diserahkan kepada Validator]),"")</f>
        <v/>
      </c>
      <c r="F4621" s="36" t="str">
        <f t="array" ref="F4621">IFNA(_xlfn.XLOOKUP(D4621,Table_Tarikan_Warkah[Nomor Tiket],Table_Tarikan_Warkah[Nama Petugas Warkah]),"")</f>
        <v/>
      </c>
      <c r="G4621" s="39" t="str">
        <f t="array" ref="G4621">IFNA(_xlfn.XLOOKUP(D4621,Table_Tarikan_Warkah[Nomor Tiket],Table_Tarikan_Warkah[Jenis Permohonan]),"")</f>
        <v>BN JUAL BELI</v>
      </c>
      <c r="H4621" s="41" t="s">
        <v>2315</v>
      </c>
      <c r="I4621" s="49" t="s">
        <v>23</v>
      </c>
      <c r="J4621" s="36">
        <f t="shared" si="20"/>
        <v>46002.34805</v>
      </c>
      <c r="K4621" s="69"/>
      <c r="L4621" s="49"/>
      <c r="M4621" s="36" t="str">
        <f t="shared" si="33"/>
        <v/>
      </c>
      <c r="N4621" s="30" t="str">
        <f t="shared" si="34"/>
        <v>BT atau SU Belum Valid</v>
      </c>
      <c r="O4621" s="39" t="str">
        <f t="shared" si="23"/>
        <v/>
      </c>
      <c r="P4621" s="47" t="b">
        <v>0</v>
      </c>
      <c r="Q4621" s="36" t="str">
        <f t="shared" si="35"/>
        <v/>
      </c>
      <c r="R4621" s="47" t="b">
        <v>0</v>
      </c>
      <c r="S4621" s="42" t="str">
        <f t="shared" si="28"/>
        <v/>
      </c>
      <c r="T4621" s="42"/>
    </row>
    <row r="4622" ht="22.5" customHeight="1">
      <c r="B4622" s="42">
        <f t="shared" si="7"/>
        <v>4616</v>
      </c>
      <c r="C4622" s="31" t="s">
        <v>4644</v>
      </c>
      <c r="D4622" s="34" t="str">
        <f t="array" ref="D4622">IFNA(_xlfn.XLOOKUP(C4622,Table_Tarikan_Warkah[Nomor Sertipikat],Table_Tarikan_Warkah[Nomor Tiket]),"")</f>
        <v>K/8/091025/1</v>
      </c>
      <c r="E4622" s="36">
        <f t="array" ref="E4622">IFNA(_xlfn.XLOOKUP(D4622,Table_Tarikan_Warkah[Nomor Tiket],Table_Tarikan_Warkah[Tanggal diserahkan kepada Validator]),"")</f>
        <v>45988.63781</v>
      </c>
      <c r="F4622" s="36" t="str">
        <f t="array" ref="F4622">IFNA(_xlfn.XLOOKUP(D4622,Table_Tarikan_Warkah[Nomor Tiket],Table_Tarikan_Warkah[Nama Petugas Warkah]),"")</f>
        <v>Berry</v>
      </c>
      <c r="G4622" s="39" t="str">
        <f t="array" ref="G4622">IFNA(_xlfn.XLOOKUP(D4622,Table_Tarikan_Warkah[Nomor Tiket],Table_Tarikan_Warkah[Jenis Permohonan]),"")</f>
        <v>BN JUAL BELI</v>
      </c>
      <c r="H4622" s="41" t="s">
        <v>2315</v>
      </c>
      <c r="I4622" s="49" t="s">
        <v>23</v>
      </c>
      <c r="J4622" s="36">
        <f t="shared" si="20"/>
        <v>46002.34832</v>
      </c>
      <c r="K4622" s="69"/>
      <c r="L4622" s="49"/>
      <c r="M4622" s="36" t="str">
        <f t="shared" si="33"/>
        <v/>
      </c>
      <c r="N4622" s="30" t="str">
        <f t="shared" si="34"/>
        <v>BT atau SU Belum Valid</v>
      </c>
      <c r="O4622" s="39" t="str">
        <f t="shared" si="23"/>
        <v/>
      </c>
      <c r="P4622" s="47" t="b">
        <v>0</v>
      </c>
      <c r="Q4622" s="36" t="str">
        <f t="shared" si="35"/>
        <v/>
      </c>
      <c r="R4622" s="47" t="b">
        <v>0</v>
      </c>
      <c r="S4622" s="42" t="str">
        <f t="shared" si="28"/>
        <v/>
      </c>
      <c r="T4622" s="42"/>
    </row>
    <row r="4623" ht="22.5" customHeight="1">
      <c r="B4623" s="42">
        <f t="shared" si="7"/>
        <v>4617</v>
      </c>
      <c r="C4623" s="31" t="s">
        <v>4645</v>
      </c>
      <c r="D4623" s="34" t="str">
        <f t="array" ref="D4623">IFNA(_xlfn.XLOOKUP(C4623,Table_Tarikan_Warkah[Nomor Sertipikat],Table_Tarikan_Warkah[Nomor Tiket]),"")</f>
        <v>ABQMFYWG/1</v>
      </c>
      <c r="E4623" s="36" t="str">
        <f t="array" ref="E4623">IFNA(_xlfn.XLOOKUP(D4623,Table_Tarikan_Warkah[Nomor Tiket],Table_Tarikan_Warkah[Tanggal diserahkan kepada Validator]),"")</f>
        <v/>
      </c>
      <c r="F4623" s="36" t="str">
        <f t="array" ref="F4623">IFNA(_xlfn.XLOOKUP(D4623,Table_Tarikan_Warkah[Nomor Tiket],Table_Tarikan_Warkah[Nama Petugas Warkah]),"")</f>
        <v/>
      </c>
      <c r="G4623" s="39" t="str">
        <f t="array" ref="G4623">IFNA(_xlfn.XLOOKUP(D4623,Table_Tarikan_Warkah[Nomor Tiket],Table_Tarikan_Warkah[Jenis Permohonan]),"")</f>
        <v>BN JUAL BELI</v>
      </c>
      <c r="H4623" s="41" t="s">
        <v>2315</v>
      </c>
      <c r="I4623" s="49" t="s">
        <v>23</v>
      </c>
      <c r="J4623" s="36">
        <f t="shared" si="20"/>
        <v>46002.34851</v>
      </c>
      <c r="K4623" s="69"/>
      <c r="L4623" s="49"/>
      <c r="M4623" s="36" t="str">
        <f t="shared" si="33"/>
        <v/>
      </c>
      <c r="N4623" s="30" t="str">
        <f t="shared" si="34"/>
        <v>BT atau SU Belum Valid</v>
      </c>
      <c r="O4623" s="39" t="str">
        <f t="shared" si="23"/>
        <v/>
      </c>
      <c r="P4623" s="47" t="b">
        <v>0</v>
      </c>
      <c r="Q4623" s="36" t="str">
        <f t="shared" si="35"/>
        <v/>
      </c>
      <c r="R4623" s="47" t="b">
        <v>0</v>
      </c>
      <c r="S4623" s="42" t="str">
        <f t="shared" si="28"/>
        <v/>
      </c>
      <c r="T4623" s="42"/>
    </row>
    <row r="4624" ht="22.5" customHeight="1">
      <c r="B4624" s="42">
        <f t="shared" si="7"/>
        <v>4618</v>
      </c>
      <c r="C4624" s="31" t="s">
        <v>4646</v>
      </c>
      <c r="D4624" s="34" t="str">
        <f t="array" ref="D4624">IFNA(_xlfn.XLOOKUP(C4624,Table_Tarikan_Warkah[Nomor Sertipikat],Table_Tarikan_Warkah[Nomor Tiket]),"")</f>
        <v>ABUJKLEA</v>
      </c>
      <c r="E4624" s="36" t="str">
        <f t="array" ref="E4624">IFNA(_xlfn.XLOOKUP(D4624,Table_Tarikan_Warkah[Nomor Tiket],Table_Tarikan_Warkah[Tanggal diserahkan kepada Validator]),"")</f>
        <v/>
      </c>
      <c r="F4624" s="36" t="str">
        <f t="array" ref="F4624">IFNA(_xlfn.XLOOKUP(D4624,Table_Tarikan_Warkah[Nomor Tiket],Table_Tarikan_Warkah[Nama Petugas Warkah]),"")</f>
        <v/>
      </c>
      <c r="G4624" s="39" t="str">
        <f t="array" ref="G4624">IFNA(_xlfn.XLOOKUP(D4624,Table_Tarikan_Warkah[Nomor Tiket],Table_Tarikan_Warkah[Jenis Permohonan]),"")</f>
        <v>BN JUAL BELI</v>
      </c>
      <c r="H4624" s="41" t="s">
        <v>2315</v>
      </c>
      <c r="I4624" s="49" t="s">
        <v>23</v>
      </c>
      <c r="J4624" s="36">
        <f t="shared" si="20"/>
        <v>46002.34875</v>
      </c>
      <c r="K4624" s="69"/>
      <c r="L4624" s="49"/>
      <c r="M4624" s="36" t="str">
        <f t="shared" si="33"/>
        <v/>
      </c>
      <c r="N4624" s="30" t="str">
        <f t="shared" si="34"/>
        <v>BT atau SU Belum Valid</v>
      </c>
      <c r="O4624" s="39" t="str">
        <f t="shared" si="23"/>
        <v/>
      </c>
      <c r="P4624" s="47" t="b">
        <v>0</v>
      </c>
      <c r="Q4624" s="36" t="str">
        <f t="shared" si="35"/>
        <v/>
      </c>
      <c r="R4624" s="47" t="b">
        <v>0</v>
      </c>
      <c r="S4624" s="42" t="str">
        <f t="shared" si="28"/>
        <v/>
      </c>
      <c r="T4624" s="42"/>
    </row>
    <row r="4625" ht="22.5" customHeight="1">
      <c r="B4625" s="42">
        <f t="shared" si="7"/>
        <v>4619</v>
      </c>
      <c r="C4625" s="31" t="s">
        <v>4647</v>
      </c>
      <c r="D4625" s="34" t="str">
        <f t="array" ref="D4625">IFNA(_xlfn.XLOOKUP(C4625,Table_Tarikan_Warkah[Nomor Sertipikat],Table_Tarikan_Warkah[Nomor Tiket]),"")</f>
        <v>ABRLLZBS</v>
      </c>
      <c r="E4625" s="36" t="str">
        <f t="array" ref="E4625">IFNA(_xlfn.XLOOKUP(D4625,Table_Tarikan_Warkah[Nomor Tiket],Table_Tarikan_Warkah[Tanggal diserahkan kepada Validator]),"")</f>
        <v/>
      </c>
      <c r="F4625" s="36" t="str">
        <f t="array" ref="F4625">IFNA(_xlfn.XLOOKUP(D4625,Table_Tarikan_Warkah[Nomor Tiket],Table_Tarikan_Warkah[Nama Petugas Warkah]),"")</f>
        <v/>
      </c>
      <c r="G4625" s="39" t="str">
        <f t="array" ref="G4625">IFNA(_xlfn.XLOOKUP(D4625,Table_Tarikan_Warkah[Nomor Tiket],Table_Tarikan_Warkah[Jenis Permohonan]),"")</f>
        <v>Turun Waris</v>
      </c>
      <c r="H4625" s="41" t="s">
        <v>2315</v>
      </c>
      <c r="I4625" s="49" t="s">
        <v>23</v>
      </c>
      <c r="J4625" s="36">
        <f t="shared" si="20"/>
        <v>46002.34904</v>
      </c>
      <c r="K4625" s="69"/>
      <c r="L4625" s="49"/>
      <c r="M4625" s="36" t="str">
        <f t="shared" si="33"/>
        <v/>
      </c>
      <c r="N4625" s="30" t="str">
        <f t="shared" si="34"/>
        <v>BT atau SU Belum Valid</v>
      </c>
      <c r="O4625" s="39" t="str">
        <f t="shared" si="23"/>
        <v/>
      </c>
      <c r="P4625" s="47" t="b">
        <v>0</v>
      </c>
      <c r="Q4625" s="36" t="str">
        <f t="shared" si="35"/>
        <v/>
      </c>
      <c r="R4625" s="47" t="b">
        <v>0</v>
      </c>
      <c r="S4625" s="42" t="str">
        <f t="shared" si="28"/>
        <v/>
      </c>
      <c r="T4625" s="42"/>
    </row>
    <row r="4626" ht="22.5" customHeight="1">
      <c r="B4626" s="42">
        <f t="shared" si="7"/>
        <v>4620</v>
      </c>
      <c r="C4626" s="31" t="s">
        <v>4648</v>
      </c>
      <c r="D4626" s="34" t="str">
        <f t="array" ref="D4626">IFNA(_xlfn.XLOOKUP(C4626,Table_Tarikan_Warkah[Nomor Sertipikat],Table_Tarikan_Warkah[Nomor Tiket]),"")</f>
        <v>K/24/051125/1</v>
      </c>
      <c r="E4626" s="36" t="str">
        <f t="array" ref="E4626">IFNA(_xlfn.XLOOKUP(D4626,Table_Tarikan_Warkah[Nomor Tiket],Table_Tarikan_Warkah[Tanggal diserahkan kepada Validator]),"")</f>
        <v/>
      </c>
      <c r="F4626" s="36" t="str">
        <f t="array" ref="F4626">IFNA(_xlfn.XLOOKUP(D4626,Table_Tarikan_Warkah[Nomor Tiket],Table_Tarikan_Warkah[Nama Petugas Warkah]),"")</f>
        <v/>
      </c>
      <c r="G4626" s="39" t="str">
        <f t="array" ref="G4626">IFNA(_xlfn.XLOOKUP(D4626,Table_Tarikan_Warkah[Nomor Tiket],Table_Tarikan_Warkah[Jenis Permohonan]),"")</f>
        <v>PEMECAHAN</v>
      </c>
      <c r="H4626" s="41" t="s">
        <v>2315</v>
      </c>
      <c r="I4626" s="49" t="s">
        <v>23</v>
      </c>
      <c r="J4626" s="36">
        <f t="shared" si="20"/>
        <v>46002.35289</v>
      </c>
      <c r="K4626" s="69"/>
      <c r="L4626" s="49"/>
      <c r="M4626" s="36" t="str">
        <f t="shared" si="33"/>
        <v/>
      </c>
      <c r="N4626" s="30" t="str">
        <f t="shared" si="34"/>
        <v>BT atau SU Belum Valid</v>
      </c>
      <c r="O4626" s="39" t="str">
        <f t="shared" si="23"/>
        <v/>
      </c>
      <c r="P4626" s="47" t="b">
        <v>0</v>
      </c>
      <c r="Q4626" s="36" t="str">
        <f t="shared" si="35"/>
        <v/>
      </c>
      <c r="R4626" s="47" t="b">
        <v>0</v>
      </c>
      <c r="S4626" s="42" t="str">
        <f t="shared" si="28"/>
        <v/>
      </c>
      <c r="T4626" s="42"/>
    </row>
    <row r="4627" ht="22.5" customHeight="1">
      <c r="B4627" s="42">
        <f t="shared" si="7"/>
        <v>4621</v>
      </c>
      <c r="C4627" s="31" t="s">
        <v>4649</v>
      </c>
      <c r="D4627" s="34" t="str">
        <f t="array" ref="D4627">IFNA(_xlfn.XLOOKUP(C4627,Table_Tarikan_Warkah[Nomor Sertipikat],Table_Tarikan_Warkah[Nomor Tiket]),"")</f>
        <v>K/7/301025/1</v>
      </c>
      <c r="E4627" s="36" t="str">
        <f t="array" ref="E4627">IFNA(_xlfn.XLOOKUP(D4627,Table_Tarikan_Warkah[Nomor Tiket],Table_Tarikan_Warkah[Tanggal diserahkan kepada Validator]),"")</f>
        <v/>
      </c>
      <c r="F4627" s="36" t="str">
        <f t="array" ref="F4627">IFNA(_xlfn.XLOOKUP(D4627,Table_Tarikan_Warkah[Nomor Tiket],Table_Tarikan_Warkah[Nama Petugas Warkah]),"")</f>
        <v/>
      </c>
      <c r="G4627" s="39" t="str">
        <f t="array" ref="G4627">IFNA(_xlfn.XLOOKUP(D4627,Table_Tarikan_Warkah[Nomor Tiket],Table_Tarikan_Warkah[Jenis Permohonan]),"")</f>
        <v>PERUBAHAN HAK</v>
      </c>
      <c r="H4627" s="41" t="s">
        <v>2315</v>
      </c>
      <c r="I4627" s="49" t="s">
        <v>23</v>
      </c>
      <c r="J4627" s="36">
        <f t="shared" si="20"/>
        <v>46002.3541</v>
      </c>
      <c r="K4627" s="69"/>
      <c r="L4627" s="49"/>
      <c r="M4627" s="36" t="str">
        <f t="shared" si="33"/>
        <v/>
      </c>
      <c r="N4627" s="30" t="str">
        <f t="shared" si="34"/>
        <v>BT atau SU Belum Valid</v>
      </c>
      <c r="O4627" s="39" t="str">
        <f t="shared" si="23"/>
        <v/>
      </c>
      <c r="P4627" s="47" t="b">
        <v>0</v>
      </c>
      <c r="Q4627" s="36" t="str">
        <f t="shared" si="35"/>
        <v/>
      </c>
      <c r="R4627" s="47" t="b">
        <v>0</v>
      </c>
      <c r="S4627" s="42" t="str">
        <f t="shared" si="28"/>
        <v/>
      </c>
      <c r="T4627" s="42"/>
    </row>
    <row r="4628" ht="22.5" customHeight="1">
      <c r="B4628" s="42">
        <f t="shared" si="7"/>
        <v>4622</v>
      </c>
      <c r="C4628" s="31" t="s">
        <v>4650</v>
      </c>
      <c r="D4628" s="34" t="str">
        <f t="array" ref="D4628">IFNA(_xlfn.XLOOKUP(C4628,Table_Tarikan_Warkah[Nomor Sertipikat],Table_Tarikan_Warkah[Nomor Tiket]),"")</f>
        <v>L/24/031125/1</v>
      </c>
      <c r="E4628" s="36" t="str">
        <f t="array" ref="E4628">IFNA(_xlfn.XLOOKUP(D4628,Table_Tarikan_Warkah[Nomor Tiket],Table_Tarikan_Warkah[Tanggal diserahkan kepada Validator]),"")</f>
        <v/>
      </c>
      <c r="F4628" s="36" t="str">
        <f t="array" ref="F4628">IFNA(_xlfn.XLOOKUP(D4628,Table_Tarikan_Warkah[Nomor Tiket],Table_Tarikan_Warkah[Nama Petugas Warkah]),"")</f>
        <v/>
      </c>
      <c r="G4628" s="39" t="str">
        <f t="array" ref="G4628">IFNA(_xlfn.XLOOKUP(D4628,Table_Tarikan_Warkah[Nomor Tiket],Table_Tarikan_Warkah[Jenis Permohonan]),"")</f>
        <v>BN WARIS</v>
      </c>
      <c r="H4628" s="41" t="s">
        <v>2315</v>
      </c>
      <c r="I4628" s="49" t="s">
        <v>23</v>
      </c>
      <c r="J4628" s="36">
        <f t="shared" si="20"/>
        <v>46002.35731</v>
      </c>
      <c r="K4628" s="69"/>
      <c r="L4628" s="49"/>
      <c r="M4628" s="36" t="str">
        <f t="shared" si="33"/>
        <v/>
      </c>
      <c r="N4628" s="30" t="str">
        <f t="shared" si="34"/>
        <v>BT atau SU Belum Valid</v>
      </c>
      <c r="O4628" s="39" t="str">
        <f t="shared" si="23"/>
        <v/>
      </c>
      <c r="P4628" s="47" t="b">
        <v>0</v>
      </c>
      <c r="Q4628" s="36" t="str">
        <f t="shared" si="35"/>
        <v/>
      </c>
      <c r="R4628" s="47" t="b">
        <v>0</v>
      </c>
      <c r="S4628" s="42" t="str">
        <f t="shared" si="28"/>
        <v/>
      </c>
      <c r="T4628" s="42"/>
    </row>
    <row r="4629" ht="22.5" customHeight="1">
      <c r="B4629" s="42">
        <f t="shared" si="7"/>
        <v>4623</v>
      </c>
      <c r="C4629" s="31" t="s">
        <v>4651</v>
      </c>
      <c r="D4629" s="34" t="str">
        <f t="array" ref="D4629">IFNA(_xlfn.XLOOKUP(C4629,Table_Tarikan_Warkah[Nomor Sertipikat],Table_Tarikan_Warkah[Nomor Tiket]),"")</f>
        <v>K/54/091025/1</v>
      </c>
      <c r="E4629" s="36" t="str">
        <f t="array" ref="E4629">IFNA(_xlfn.XLOOKUP(D4629,Table_Tarikan_Warkah[Nomor Tiket],Table_Tarikan_Warkah[Tanggal diserahkan kepada Validator]),"")</f>
        <v/>
      </c>
      <c r="F4629" s="36" t="str">
        <f t="array" ref="F4629">IFNA(_xlfn.XLOOKUP(D4629,Table_Tarikan_Warkah[Nomor Tiket],Table_Tarikan_Warkah[Nama Petugas Warkah]),"")</f>
        <v/>
      </c>
      <c r="G4629" s="39" t="str">
        <f t="array" ref="G4629">IFNA(_xlfn.XLOOKUP(D4629,Table_Tarikan_Warkah[Nomor Tiket],Table_Tarikan_Warkah[Jenis Permohonan]),"")</f>
        <v>BN Waris		</v>
      </c>
      <c r="H4629" s="41" t="s">
        <v>2315</v>
      </c>
      <c r="I4629" s="49" t="s">
        <v>23</v>
      </c>
      <c r="J4629" s="36">
        <f t="shared" si="20"/>
        <v>46002.3609</v>
      </c>
      <c r="K4629" s="69"/>
      <c r="L4629" s="49"/>
      <c r="M4629" s="36" t="str">
        <f t="shared" si="33"/>
        <v/>
      </c>
      <c r="N4629" s="30" t="str">
        <f t="shared" si="34"/>
        <v>BT atau SU Belum Valid</v>
      </c>
      <c r="O4629" s="39" t="str">
        <f t="shared" si="23"/>
        <v/>
      </c>
      <c r="P4629" s="47" t="b">
        <v>0</v>
      </c>
      <c r="Q4629" s="36" t="str">
        <f t="shared" si="35"/>
        <v/>
      </c>
      <c r="R4629" s="47" t="b">
        <v>0</v>
      </c>
      <c r="S4629" s="42" t="str">
        <f t="shared" si="28"/>
        <v/>
      </c>
      <c r="T4629" s="42"/>
    </row>
    <row r="4630" ht="22.5" customHeight="1">
      <c r="B4630" s="42">
        <f t="shared" si="7"/>
        <v>4624</v>
      </c>
      <c r="C4630" s="31" t="s">
        <v>4652</v>
      </c>
      <c r="D4630" s="34" t="str">
        <f t="array" ref="D4630">IFNA(_xlfn.XLOOKUP(C4630,Table_Tarikan_Warkah[Nomor Sertipikat],Table_Tarikan_Warkah[Nomor Tiket]),"")</f>
        <v>ABQLDPQX</v>
      </c>
      <c r="E4630" s="36" t="str">
        <f t="array" ref="E4630">IFNA(_xlfn.XLOOKUP(D4630,Table_Tarikan_Warkah[Nomor Tiket],Table_Tarikan_Warkah[Tanggal diserahkan kepada Validator]),"")</f>
        <v/>
      </c>
      <c r="F4630" s="36" t="str">
        <f t="array" ref="F4630">IFNA(_xlfn.XLOOKUP(D4630,Table_Tarikan_Warkah[Nomor Tiket],Table_Tarikan_Warkah[Nama Petugas Warkah]),"")</f>
        <v/>
      </c>
      <c r="G4630" s="39" t="str">
        <f t="array" ref="G4630">IFNA(_xlfn.XLOOKUP(D4630,Table_Tarikan_Warkah[Nomor Tiket],Table_Tarikan_Warkah[Jenis Permohonan]),"")</f>
        <v>peralihan hak balik nama</v>
      </c>
      <c r="H4630" s="41" t="s">
        <v>2315</v>
      </c>
      <c r="I4630" s="49" t="s">
        <v>23</v>
      </c>
      <c r="J4630" s="36">
        <f t="shared" si="20"/>
        <v>46002.58377</v>
      </c>
      <c r="K4630" s="69"/>
      <c r="L4630" s="49"/>
      <c r="M4630" s="36" t="str">
        <f t="shared" si="33"/>
        <v/>
      </c>
      <c r="N4630" s="30" t="str">
        <f t="shared" si="34"/>
        <v>BT atau SU Belum Valid</v>
      </c>
      <c r="O4630" s="39" t="str">
        <f t="shared" si="23"/>
        <v/>
      </c>
      <c r="P4630" s="47" t="b">
        <v>0</v>
      </c>
      <c r="Q4630" s="36" t="str">
        <f t="shared" si="35"/>
        <v/>
      </c>
      <c r="R4630" s="47" t="b">
        <v>0</v>
      </c>
      <c r="S4630" s="42" t="str">
        <f t="shared" si="28"/>
        <v/>
      </c>
      <c r="T4630" s="42"/>
    </row>
    <row r="4631" ht="22.5" customHeight="1">
      <c r="B4631" s="42">
        <f t="shared" si="7"/>
        <v>4625</v>
      </c>
      <c r="C4631" s="31" t="s">
        <v>4653</v>
      </c>
      <c r="D4631" s="34" t="str">
        <f t="array" ref="D4631">IFNA(_xlfn.XLOOKUP(C4631,Table_Tarikan_Warkah[Nomor Sertipikat],Table_Tarikan_Warkah[Nomor Tiket]),"")</f>
        <v>ABMBOJFG</v>
      </c>
      <c r="E4631" s="36" t="str">
        <f t="array" ref="E4631">IFNA(_xlfn.XLOOKUP(D4631,Table_Tarikan_Warkah[Nomor Tiket],Table_Tarikan_Warkah[Tanggal diserahkan kepada Validator]),"")</f>
        <v/>
      </c>
      <c r="F4631" s="36" t="str">
        <f t="array" ref="F4631">IFNA(_xlfn.XLOOKUP(D4631,Table_Tarikan_Warkah[Nomor Tiket],Table_Tarikan_Warkah[Nama Petugas Warkah]),"")</f>
        <v/>
      </c>
      <c r="G4631" s="39" t="str">
        <f t="array" ref="G4631">IFNA(_xlfn.XLOOKUP(D4631,Table_Tarikan_Warkah[Nomor Tiket],Table_Tarikan_Warkah[Jenis Permohonan]),"")</f>
        <v>peralihan hak jual beli</v>
      </c>
      <c r="H4631" s="41" t="s">
        <v>2315</v>
      </c>
      <c r="I4631" s="49" t="s">
        <v>23</v>
      </c>
      <c r="J4631" s="36">
        <f t="shared" si="20"/>
        <v>46002.5841</v>
      </c>
      <c r="K4631" s="69"/>
      <c r="L4631" s="49"/>
      <c r="M4631" s="36" t="str">
        <f t="shared" si="33"/>
        <v/>
      </c>
      <c r="N4631" s="30" t="str">
        <f t="shared" si="34"/>
        <v>BT atau SU Belum Valid</v>
      </c>
      <c r="O4631" s="39" t="str">
        <f t="shared" si="23"/>
        <v/>
      </c>
      <c r="P4631" s="47" t="b">
        <v>0</v>
      </c>
      <c r="Q4631" s="36" t="str">
        <f t="shared" si="35"/>
        <v/>
      </c>
      <c r="R4631" s="47" t="b">
        <v>0</v>
      </c>
      <c r="S4631" s="42" t="str">
        <f t="shared" si="28"/>
        <v/>
      </c>
      <c r="T4631" s="42"/>
    </row>
    <row r="4632" ht="22.5" customHeight="1">
      <c r="B4632" s="42">
        <f t="shared" si="7"/>
        <v>4626</v>
      </c>
      <c r="C4632" s="31" t="s">
        <v>4654</v>
      </c>
      <c r="D4632" s="34" t="str">
        <f t="array" ref="D4632">IFNA(_xlfn.XLOOKUP(C4632,Table_Tarikan_Warkah[Nomor Sertipikat],Table_Tarikan_Warkah[Nomor Tiket]),"")</f>
        <v>ABCQUIYR/AB053</v>
      </c>
      <c r="E4632" s="36" t="str">
        <f t="array" ref="E4632">IFNA(_xlfn.XLOOKUP(D4632,Table_Tarikan_Warkah[Nomor Tiket],Table_Tarikan_Warkah[Tanggal diserahkan kepada Validator]),"")</f>
        <v/>
      </c>
      <c r="F4632" s="36" t="str">
        <f t="array" ref="F4632">IFNA(_xlfn.XLOOKUP(D4632,Table_Tarikan_Warkah[Nomor Tiket],Table_Tarikan_Warkah[Nama Petugas Warkah]),"")</f>
        <v/>
      </c>
      <c r="G4632" s="39" t="str">
        <f t="array" ref="G4632">IFNA(_xlfn.XLOOKUP(D4632,Table_Tarikan_Warkah[Nomor Tiket],Table_Tarikan_Warkah[Jenis Permohonan]),"")</f>
        <v>BN JUAL BELI</v>
      </c>
      <c r="H4632" s="41" t="s">
        <v>2315</v>
      </c>
      <c r="I4632" s="49" t="s">
        <v>23</v>
      </c>
      <c r="J4632" s="36">
        <f t="shared" si="20"/>
        <v>46002.58434</v>
      </c>
      <c r="K4632" s="69"/>
      <c r="L4632" s="49"/>
      <c r="M4632" s="36" t="str">
        <f t="shared" si="33"/>
        <v/>
      </c>
      <c r="N4632" s="30" t="str">
        <f t="shared" si="34"/>
        <v>BT atau SU Belum Valid</v>
      </c>
      <c r="O4632" s="39" t="str">
        <f t="shared" si="23"/>
        <v/>
      </c>
      <c r="P4632" s="47" t="b">
        <v>0</v>
      </c>
      <c r="Q4632" s="36" t="str">
        <f t="shared" si="35"/>
        <v/>
      </c>
      <c r="R4632" s="47" t="b">
        <v>0</v>
      </c>
      <c r="S4632" s="42" t="str">
        <f t="shared" si="28"/>
        <v/>
      </c>
      <c r="T4632" s="42"/>
    </row>
    <row r="4633" ht="22.5" customHeight="1">
      <c r="B4633" s="42">
        <f t="shared" si="7"/>
        <v>4627</v>
      </c>
      <c r="C4633" s="31" t="s">
        <v>4655</v>
      </c>
      <c r="D4633" s="34" t="str">
        <f t="array" ref="D4633">IFNA(_xlfn.XLOOKUP(C4633,Table_Tarikan_Warkah[Nomor Sertipikat],Table_Tarikan_Warkah[Nomor Tiket]),"")</f>
        <v>Ab044/ABKIBXEU</v>
      </c>
      <c r="E4633" s="36">
        <f t="array" ref="E4633">IFNA(_xlfn.XLOOKUP(D4633,Table_Tarikan_Warkah[Nomor Tiket],Table_Tarikan_Warkah[Tanggal diserahkan kepada Validator]),"")</f>
        <v>46020.65649</v>
      </c>
      <c r="F4633" s="36" t="str">
        <f t="array" ref="F4633">IFNA(_xlfn.XLOOKUP(D4633,Table_Tarikan_Warkah[Nomor Tiket],Table_Tarikan_Warkah[Nama Petugas Warkah]),"")</f>
        <v>Berry</v>
      </c>
      <c r="G4633" s="39" t="str">
        <f t="array" ref="G4633">IFNA(_xlfn.XLOOKUP(D4633,Table_Tarikan_Warkah[Nomor Tiket],Table_Tarikan_Warkah[Jenis Permohonan]),"")</f>
        <v>Balik nama</v>
      </c>
      <c r="H4633" s="41" t="s">
        <v>2315</v>
      </c>
      <c r="I4633" s="49" t="s">
        <v>23</v>
      </c>
      <c r="J4633" s="36">
        <f t="shared" si="20"/>
        <v>46002.58453</v>
      </c>
      <c r="K4633" s="69"/>
      <c r="L4633" s="49"/>
      <c r="M4633" s="36" t="str">
        <f t="shared" si="33"/>
        <v/>
      </c>
      <c r="N4633" s="30" t="str">
        <f t="shared" si="34"/>
        <v>BT atau SU Belum Valid</v>
      </c>
      <c r="O4633" s="39" t="str">
        <f t="shared" si="23"/>
        <v/>
      </c>
      <c r="P4633" s="47" t="b">
        <v>0</v>
      </c>
      <c r="Q4633" s="36" t="str">
        <f t="shared" si="35"/>
        <v/>
      </c>
      <c r="R4633" s="47" t="b">
        <v>0</v>
      </c>
      <c r="S4633" s="42" t="str">
        <f t="shared" si="28"/>
        <v/>
      </c>
      <c r="T4633" s="42"/>
    </row>
    <row r="4634" ht="22.5" customHeight="1">
      <c r="B4634" s="42">
        <f t="shared" si="7"/>
        <v>4628</v>
      </c>
      <c r="C4634" s="31" t="s">
        <v>4656</v>
      </c>
      <c r="D4634" s="34" t="str">
        <f t="array" ref="D4634">IFNA(_xlfn.XLOOKUP(C4634,Table_Tarikan_Warkah[Nomor Sertipikat],Table_Tarikan_Warkah[Nomor Tiket]),"")</f>
        <v>ABNBPMAE/AB041</v>
      </c>
      <c r="E4634" s="36" t="str">
        <f t="array" ref="E4634">IFNA(_xlfn.XLOOKUP(D4634,Table_Tarikan_Warkah[Nomor Tiket],Table_Tarikan_Warkah[Tanggal diserahkan kepada Validator]),"")</f>
        <v/>
      </c>
      <c r="F4634" s="36" t="str">
        <f t="array" ref="F4634">IFNA(_xlfn.XLOOKUP(D4634,Table_Tarikan_Warkah[Nomor Tiket],Table_Tarikan_Warkah[Nama Petugas Warkah]),"")</f>
        <v/>
      </c>
      <c r="G4634" s="39" t="str">
        <f t="array" ref="G4634">IFNA(_xlfn.XLOOKUP(D4634,Table_Tarikan_Warkah[Nomor Tiket],Table_Tarikan_Warkah[Jenis Permohonan]),"")</f>
        <v>BN HIBAH</v>
      </c>
      <c r="H4634" s="41" t="s">
        <v>2315</v>
      </c>
      <c r="I4634" s="49" t="s">
        <v>23</v>
      </c>
      <c r="J4634" s="36">
        <f t="shared" si="20"/>
        <v>46002.58484</v>
      </c>
      <c r="K4634" s="69"/>
      <c r="L4634" s="49"/>
      <c r="M4634" s="36" t="str">
        <f t="shared" si="33"/>
        <v/>
      </c>
      <c r="N4634" s="30" t="str">
        <f t="shared" si="34"/>
        <v>BT atau SU Belum Valid</v>
      </c>
      <c r="O4634" s="39" t="str">
        <f t="shared" si="23"/>
        <v/>
      </c>
      <c r="P4634" s="47" t="b">
        <v>0</v>
      </c>
      <c r="Q4634" s="36" t="str">
        <f t="shared" si="35"/>
        <v/>
      </c>
      <c r="R4634" s="47" t="b">
        <v>0</v>
      </c>
      <c r="S4634" s="42" t="str">
        <f t="shared" si="28"/>
        <v/>
      </c>
      <c r="T4634" s="42"/>
    </row>
    <row r="4635" ht="22.5" customHeight="1">
      <c r="B4635" s="42">
        <f t="shared" si="7"/>
        <v>4629</v>
      </c>
      <c r="C4635" s="31" t="s">
        <v>4657</v>
      </c>
      <c r="D4635" s="34" t="str">
        <f t="array" ref="D4635">IFNA(_xlfn.XLOOKUP(C4635,Table_Tarikan_Warkah[Nomor Sertipikat],Table_Tarikan_Warkah[Nomor Tiket]),"")</f>
        <v>L/16/051125/1</v>
      </c>
      <c r="E4635" s="36" t="str">
        <f t="array" ref="E4635">IFNA(_xlfn.XLOOKUP(D4635,Table_Tarikan_Warkah[Nomor Tiket],Table_Tarikan_Warkah[Tanggal diserahkan kepada Validator]),"")</f>
        <v/>
      </c>
      <c r="F4635" s="36" t="str">
        <f t="array" ref="F4635">IFNA(_xlfn.XLOOKUP(D4635,Table_Tarikan_Warkah[Nomor Tiket],Table_Tarikan_Warkah[Nama Petugas Warkah]),"")</f>
        <v/>
      </c>
      <c r="G4635" s="39" t="str">
        <f t="array" ref="G4635">IFNA(_xlfn.XLOOKUP(D4635,Table_Tarikan_Warkah[Nomor Tiket],Table_Tarikan_Warkah[Jenis Permohonan]),"")</f>
        <v>ROYA</v>
      </c>
      <c r="H4635" s="41" t="s">
        <v>2315</v>
      </c>
      <c r="I4635" s="49" t="s">
        <v>23</v>
      </c>
      <c r="J4635" s="36">
        <f t="shared" si="20"/>
        <v>46003.4581</v>
      </c>
      <c r="K4635" s="69"/>
      <c r="L4635" s="49"/>
      <c r="M4635" s="36" t="str">
        <f t="shared" si="33"/>
        <v/>
      </c>
      <c r="N4635" s="30" t="str">
        <f t="shared" si="34"/>
        <v>BT atau SU Belum Valid</v>
      </c>
      <c r="O4635" s="39" t="str">
        <f t="shared" si="23"/>
        <v/>
      </c>
      <c r="P4635" s="47" t="b">
        <v>0</v>
      </c>
      <c r="Q4635" s="36" t="str">
        <f t="shared" si="35"/>
        <v/>
      </c>
      <c r="R4635" s="47" t="b">
        <v>0</v>
      </c>
      <c r="S4635" s="42" t="str">
        <f t="shared" si="28"/>
        <v/>
      </c>
      <c r="T4635" s="42"/>
    </row>
    <row r="4636" ht="22.5" customHeight="1">
      <c r="B4636" s="42">
        <f t="shared" si="7"/>
        <v>4630</v>
      </c>
      <c r="C4636" s="31" t="s">
        <v>4658</v>
      </c>
      <c r="D4636" s="34" t="str">
        <f t="array" ref="D4636">IFNA(_xlfn.XLOOKUP(C4636,Table_Tarikan_Warkah[Nomor Sertipikat],Table_Tarikan_Warkah[Nomor Tiket]),"")</f>
        <v>ABNYZKVR/Ab079</v>
      </c>
      <c r="E4636" s="36" t="str">
        <f t="array" ref="E4636">IFNA(_xlfn.XLOOKUP(D4636,Table_Tarikan_Warkah[Nomor Tiket],Table_Tarikan_Warkah[Tanggal diserahkan kepada Validator]),"")</f>
        <v/>
      </c>
      <c r="F4636" s="36" t="str">
        <f t="array" ref="F4636">IFNA(_xlfn.XLOOKUP(D4636,Table_Tarikan_Warkah[Nomor Tiket],Table_Tarikan_Warkah[Nama Petugas Warkah]),"")</f>
        <v/>
      </c>
      <c r="G4636" s="39" t="str">
        <f t="array" ref="G4636">IFNA(_xlfn.XLOOKUP(D4636,Table_Tarikan_Warkah[Nomor Tiket],Table_Tarikan_Warkah[Jenis Permohonan]),"")</f>
        <v>Roya</v>
      </c>
      <c r="H4636" s="41" t="s">
        <v>2315</v>
      </c>
      <c r="I4636" s="49" t="s">
        <v>23</v>
      </c>
      <c r="J4636" s="36">
        <f t="shared" si="20"/>
        <v>46003.45907</v>
      </c>
      <c r="K4636" s="69"/>
      <c r="L4636" s="49"/>
      <c r="M4636" s="36" t="str">
        <f t="shared" si="33"/>
        <v/>
      </c>
      <c r="N4636" s="30" t="str">
        <f t="shared" si="34"/>
        <v>BT atau SU Belum Valid</v>
      </c>
      <c r="O4636" s="39" t="str">
        <f t="shared" si="23"/>
        <v/>
      </c>
      <c r="P4636" s="47" t="b">
        <v>0</v>
      </c>
      <c r="Q4636" s="36" t="str">
        <f t="shared" si="35"/>
        <v/>
      </c>
      <c r="R4636" s="47" t="b">
        <v>0</v>
      </c>
      <c r="S4636" s="42" t="str">
        <f t="shared" si="28"/>
        <v/>
      </c>
      <c r="T4636" s="42"/>
    </row>
    <row r="4637" ht="22.5" customHeight="1">
      <c r="B4637" s="42">
        <f t="shared" si="7"/>
        <v>4631</v>
      </c>
      <c r="C4637" s="31" t="s">
        <v>4659</v>
      </c>
      <c r="D4637" s="34" t="str">
        <f t="array" ref="D4637">IFNA(_xlfn.XLOOKUP(C4637,Table_Tarikan_Warkah[Nomor Sertipikat],Table_Tarikan_Warkah[Nomor Tiket]),"")</f>
        <v>K/13/170925/1</v>
      </c>
      <c r="E4637" s="36" t="str">
        <f t="array" ref="E4637">IFNA(_xlfn.XLOOKUP(D4637,Table_Tarikan_Warkah[Nomor Tiket],Table_Tarikan_Warkah[Tanggal diserahkan kepada Validator]),"")</f>
        <v/>
      </c>
      <c r="F4637" s="36" t="str">
        <f t="array" ref="F4637">IFNA(_xlfn.XLOOKUP(D4637,Table_Tarikan_Warkah[Nomor Tiket],Table_Tarikan_Warkah[Nama Petugas Warkah]),"")</f>
        <v/>
      </c>
      <c r="G4637" s="39" t="str">
        <f t="array" ref="G4637">IFNA(_xlfn.XLOOKUP(D4637,Table_Tarikan_Warkah[Nomor Tiket],Table_Tarikan_Warkah[Jenis Permohonan]),"")</f>
        <v>BN WARIS</v>
      </c>
      <c r="H4637" s="41" t="s">
        <v>2315</v>
      </c>
      <c r="I4637" s="49" t="s">
        <v>23</v>
      </c>
      <c r="J4637" s="36">
        <f t="shared" si="20"/>
        <v>46003.45928</v>
      </c>
      <c r="K4637" s="69"/>
      <c r="L4637" s="49"/>
      <c r="M4637" s="36" t="str">
        <f t="shared" si="33"/>
        <v/>
      </c>
      <c r="N4637" s="30" t="str">
        <f t="shared" si="34"/>
        <v>BT atau SU Belum Valid</v>
      </c>
      <c r="O4637" s="39" t="str">
        <f t="shared" si="23"/>
        <v/>
      </c>
      <c r="P4637" s="47" t="b">
        <v>0</v>
      </c>
      <c r="Q4637" s="36" t="str">
        <f t="shared" si="35"/>
        <v/>
      </c>
      <c r="R4637" s="47" t="b">
        <v>0</v>
      </c>
      <c r="S4637" s="42" t="str">
        <f t="shared" si="28"/>
        <v/>
      </c>
      <c r="T4637" s="42"/>
    </row>
    <row r="4638" ht="22.5" customHeight="1">
      <c r="B4638" s="42">
        <f t="shared" si="7"/>
        <v>4632</v>
      </c>
      <c r="C4638" s="31" t="s">
        <v>4660</v>
      </c>
      <c r="D4638" s="34" t="str">
        <f t="array" ref="D4638">IFNA(_xlfn.XLOOKUP(C4638,Table_Tarikan_Warkah[Nomor Sertipikat],Table_Tarikan_Warkah[Nomor Tiket]),"")</f>
        <v>ABLOOJPF</v>
      </c>
      <c r="E4638" s="36" t="str">
        <f t="array" ref="E4638">IFNA(_xlfn.XLOOKUP(D4638,Table_Tarikan_Warkah[Nomor Tiket],Table_Tarikan_Warkah[Tanggal diserahkan kepada Validator]),"")</f>
        <v/>
      </c>
      <c r="F4638" s="36" t="str">
        <f t="array" ref="F4638">IFNA(_xlfn.XLOOKUP(D4638,Table_Tarikan_Warkah[Nomor Tiket],Table_Tarikan_Warkah[Nama Petugas Warkah]),"")</f>
        <v/>
      </c>
      <c r="G4638" s="39" t="str">
        <f t="array" ref="G4638">IFNA(_xlfn.XLOOKUP(D4638,Table_Tarikan_Warkah[Nomor Tiket],Table_Tarikan_Warkah[Jenis Permohonan]),"")</f>
        <v>BN JUAL BELI</v>
      </c>
      <c r="H4638" s="41" t="s">
        <v>2315</v>
      </c>
      <c r="I4638" s="49" t="s">
        <v>23</v>
      </c>
      <c r="J4638" s="36">
        <f t="shared" si="20"/>
        <v>46003.45951</v>
      </c>
      <c r="K4638" s="69"/>
      <c r="L4638" s="49"/>
      <c r="M4638" s="36" t="str">
        <f t="shared" si="33"/>
        <v/>
      </c>
      <c r="N4638" s="30" t="str">
        <f t="shared" si="34"/>
        <v>BT atau SU Belum Valid</v>
      </c>
      <c r="O4638" s="39" t="str">
        <f t="shared" si="23"/>
        <v/>
      </c>
      <c r="P4638" s="47" t="b">
        <v>0</v>
      </c>
      <c r="Q4638" s="36" t="str">
        <f t="shared" si="35"/>
        <v/>
      </c>
      <c r="R4638" s="47" t="b">
        <v>0</v>
      </c>
      <c r="S4638" s="42" t="str">
        <f t="shared" si="28"/>
        <v/>
      </c>
      <c r="T4638" s="42"/>
    </row>
    <row r="4639" ht="22.5" customHeight="1">
      <c r="B4639" s="42">
        <f t="shared" si="7"/>
        <v>4633</v>
      </c>
      <c r="C4639" s="31" t="s">
        <v>2569</v>
      </c>
      <c r="D4639" s="34" t="str">
        <f t="array" ref="D4639">IFNA(_xlfn.XLOOKUP(C4639,Table_Tarikan_Warkah[Nomor Sertipikat],Table_Tarikan_Warkah[Nomor Tiket]),"")</f>
        <v>K/13/050625/2</v>
      </c>
      <c r="E4639" s="36" t="str">
        <f t="array" ref="E4639">IFNA(_xlfn.XLOOKUP(D4639,Table_Tarikan_Warkah[Nomor Tiket],Table_Tarikan_Warkah[Tanggal diserahkan kepada Validator]),"")</f>
        <v/>
      </c>
      <c r="F4639" s="36" t="str">
        <f t="array" ref="F4639">IFNA(_xlfn.XLOOKUP(D4639,Table_Tarikan_Warkah[Nomor Tiket],Table_Tarikan_Warkah[Nama Petugas Warkah]),"")</f>
        <v/>
      </c>
      <c r="G4639" s="39" t="str">
        <f t="array" ref="G4639">IFNA(_xlfn.XLOOKUP(D4639,Table_Tarikan_Warkah[Nomor Tiket],Table_Tarikan_Warkah[Jenis Permohonan]),"")</f>
        <v>Perubahan Hak</v>
      </c>
      <c r="H4639" s="41" t="s">
        <v>2315</v>
      </c>
      <c r="I4639" s="49" t="s">
        <v>23</v>
      </c>
      <c r="J4639" s="36">
        <f t="shared" si="20"/>
        <v>46003.4639</v>
      </c>
      <c r="K4639" s="69"/>
      <c r="L4639" s="49"/>
      <c r="M4639" s="36" t="str">
        <f t="shared" si="33"/>
        <v/>
      </c>
      <c r="N4639" s="30" t="str">
        <f t="shared" si="34"/>
        <v>BT atau SU Belum Valid</v>
      </c>
      <c r="O4639" s="39" t="str">
        <f t="shared" si="23"/>
        <v/>
      </c>
      <c r="P4639" s="47" t="b">
        <v>0</v>
      </c>
      <c r="Q4639" s="36" t="str">
        <f t="shared" si="35"/>
        <v/>
      </c>
      <c r="R4639" s="47" t="b">
        <v>0</v>
      </c>
      <c r="S4639" s="42" t="str">
        <f t="shared" si="28"/>
        <v/>
      </c>
      <c r="T4639" s="42"/>
    </row>
    <row r="4640" ht="22.5" customHeight="1">
      <c r="B4640" s="42">
        <f t="shared" si="7"/>
        <v>4634</v>
      </c>
      <c r="C4640" s="31" t="s">
        <v>4661</v>
      </c>
      <c r="D4640" s="34" t="str">
        <f t="array" ref="D4640">IFNA(_xlfn.XLOOKUP(C4640,Table_Tarikan_Warkah[Nomor Sertipikat],Table_Tarikan_Warkah[Nomor Tiket]),"")</f>
        <v>ABNUIAOQ/AB025</v>
      </c>
      <c r="E4640" s="36" t="str">
        <f t="array" ref="E4640">IFNA(_xlfn.XLOOKUP(D4640,Table_Tarikan_Warkah[Nomor Tiket],Table_Tarikan_Warkah[Tanggal diserahkan kepada Validator]),"")</f>
        <v/>
      </c>
      <c r="F4640" s="36" t="str">
        <f t="array" ref="F4640">IFNA(_xlfn.XLOOKUP(D4640,Table_Tarikan_Warkah[Nomor Tiket],Table_Tarikan_Warkah[Nama Petugas Warkah]),"")</f>
        <v/>
      </c>
      <c r="G4640" s="39" t="str">
        <f t="array" ref="G4640">IFNA(_xlfn.XLOOKUP(D4640,Table_Tarikan_Warkah[Nomor Tiket],Table_Tarikan_Warkah[Jenis Permohonan]),"")</f>
        <v>Penataan ulang/ Penataan Batas</v>
      </c>
      <c r="H4640" s="41" t="s">
        <v>2315</v>
      </c>
      <c r="I4640" s="49" t="s">
        <v>23</v>
      </c>
      <c r="J4640" s="36">
        <f t="shared" si="20"/>
        <v>46003.4708</v>
      </c>
      <c r="K4640" s="69"/>
      <c r="L4640" s="49"/>
      <c r="M4640" s="36" t="str">
        <f t="shared" si="33"/>
        <v/>
      </c>
      <c r="N4640" s="30" t="str">
        <f t="shared" si="34"/>
        <v>BT atau SU Belum Valid</v>
      </c>
      <c r="O4640" s="39" t="str">
        <f t="shared" si="23"/>
        <v/>
      </c>
      <c r="P4640" s="47" t="b">
        <v>0</v>
      </c>
      <c r="Q4640" s="36" t="str">
        <f t="shared" si="35"/>
        <v/>
      </c>
      <c r="R4640" s="47" t="b">
        <v>0</v>
      </c>
      <c r="S4640" s="42" t="str">
        <f t="shared" si="28"/>
        <v/>
      </c>
      <c r="T4640" s="42"/>
    </row>
    <row r="4641" ht="22.5" customHeight="1">
      <c r="B4641" s="42">
        <f t="shared" si="7"/>
        <v>4635</v>
      </c>
      <c r="C4641" s="31" t="s">
        <v>4662</v>
      </c>
      <c r="D4641" s="34" t="str">
        <f t="array" ref="D4641">IFNA(_xlfn.XLOOKUP(C4641,Table_Tarikan_Warkah[Nomor Sertipikat],Table_Tarikan_Warkah[Nomor Tiket]),"")</f>
        <v>ABMRNTFW/AB03</v>
      </c>
      <c r="E4641" s="36" t="str">
        <f t="array" ref="E4641">IFNA(_xlfn.XLOOKUP(D4641,Table_Tarikan_Warkah[Nomor Tiket],Table_Tarikan_Warkah[Tanggal diserahkan kepada Validator]),"")</f>
        <v/>
      </c>
      <c r="F4641" s="36" t="str">
        <f t="array" ref="F4641">IFNA(_xlfn.XLOOKUP(D4641,Table_Tarikan_Warkah[Nomor Tiket],Table_Tarikan_Warkah[Nama Petugas Warkah]),"")</f>
        <v/>
      </c>
      <c r="G4641" s="39" t="str">
        <f t="array" ref="G4641">IFNA(_xlfn.XLOOKUP(D4641,Table_Tarikan_Warkah[Nomor Tiket],Table_Tarikan_Warkah[Jenis Permohonan]),"")</f>
        <v>Balik Nama Waris</v>
      </c>
      <c r="H4641" s="41" t="s">
        <v>2315</v>
      </c>
      <c r="I4641" s="49" t="s">
        <v>23</v>
      </c>
      <c r="J4641" s="36">
        <f t="shared" si="20"/>
        <v>46003.47114</v>
      </c>
      <c r="K4641" s="69"/>
      <c r="L4641" s="49"/>
      <c r="M4641" s="36" t="str">
        <f t="shared" si="33"/>
        <v/>
      </c>
      <c r="N4641" s="30" t="str">
        <f t="shared" si="34"/>
        <v>BT atau SU Belum Valid</v>
      </c>
      <c r="O4641" s="39" t="str">
        <f t="shared" si="23"/>
        <v/>
      </c>
      <c r="P4641" s="47" t="b">
        <v>0</v>
      </c>
      <c r="Q4641" s="36" t="str">
        <f t="shared" si="35"/>
        <v/>
      </c>
      <c r="R4641" s="47" t="b">
        <v>0</v>
      </c>
      <c r="S4641" s="42" t="str">
        <f t="shared" si="28"/>
        <v/>
      </c>
      <c r="T4641" s="42"/>
    </row>
    <row r="4642" ht="22.5" customHeight="1">
      <c r="B4642" s="42">
        <f t="shared" si="7"/>
        <v>4636</v>
      </c>
      <c r="C4642" s="31" t="s">
        <v>4663</v>
      </c>
      <c r="D4642" s="34" t="str">
        <f t="array" ref="D4642">IFNA(_xlfn.XLOOKUP(C4642,Table_Tarikan_Warkah[Nomor Sertipikat],Table_Tarikan_Warkah[Nomor Tiket]),"")</f>
        <v>K/8/041126/1</v>
      </c>
      <c r="E4642" s="36" t="str">
        <f t="array" ref="E4642">IFNA(_xlfn.XLOOKUP(D4642,Table_Tarikan_Warkah[Nomor Tiket],Table_Tarikan_Warkah[Tanggal diserahkan kepada Validator]),"")</f>
        <v/>
      </c>
      <c r="F4642" s="36" t="str">
        <f t="array" ref="F4642">IFNA(_xlfn.XLOOKUP(D4642,Table_Tarikan_Warkah[Nomor Tiket],Table_Tarikan_Warkah[Nama Petugas Warkah]),"")</f>
        <v/>
      </c>
      <c r="G4642" s="39" t="str">
        <f t="array" ref="G4642">IFNA(_xlfn.XLOOKUP(D4642,Table_Tarikan_Warkah[Nomor Tiket],Table_Tarikan_Warkah[Jenis Permohonan]),"")</f>
        <v>PERUBAHAN HAK</v>
      </c>
      <c r="H4642" s="41" t="s">
        <v>2315</v>
      </c>
      <c r="I4642" s="49" t="s">
        <v>23</v>
      </c>
      <c r="J4642" s="36">
        <f t="shared" si="20"/>
        <v>46003.47242</v>
      </c>
      <c r="K4642" s="69"/>
      <c r="L4642" s="49"/>
      <c r="M4642" s="36" t="str">
        <f t="shared" si="33"/>
        <v/>
      </c>
      <c r="N4642" s="30" t="str">
        <f t="shared" si="34"/>
        <v>BT atau SU Belum Valid</v>
      </c>
      <c r="O4642" s="39" t="str">
        <f t="shared" si="23"/>
        <v/>
      </c>
      <c r="P4642" s="47" t="b">
        <v>0</v>
      </c>
      <c r="Q4642" s="36" t="str">
        <f t="shared" si="35"/>
        <v/>
      </c>
      <c r="R4642" s="47" t="b">
        <v>0</v>
      </c>
      <c r="S4642" s="42" t="str">
        <f t="shared" si="28"/>
        <v/>
      </c>
      <c r="T4642" s="42"/>
    </row>
    <row r="4643" ht="22.5" customHeight="1">
      <c r="B4643" s="42">
        <f t="shared" si="7"/>
        <v>4637</v>
      </c>
      <c r="C4643" s="31" t="s">
        <v>4664</v>
      </c>
      <c r="D4643" s="34" t="str">
        <f t="array" ref="D4643">IFNA(_xlfn.XLOOKUP(C4643,Table_Tarikan_Warkah[Nomor Sertipikat],Table_Tarikan_Warkah[Nomor Tiket]),"")</f>
        <v>ABBYFRLD</v>
      </c>
      <c r="E4643" s="36" t="str">
        <f t="array" ref="E4643">IFNA(_xlfn.XLOOKUP(D4643,Table_Tarikan_Warkah[Nomor Tiket],Table_Tarikan_Warkah[Tanggal diserahkan kepada Validator]),"")</f>
        <v/>
      </c>
      <c r="F4643" s="36" t="str">
        <f t="array" ref="F4643">IFNA(_xlfn.XLOOKUP(D4643,Table_Tarikan_Warkah[Nomor Tiket],Table_Tarikan_Warkah[Nama Petugas Warkah]),"")</f>
        <v/>
      </c>
      <c r="G4643" s="39" t="str">
        <f t="array" ref="G4643">IFNA(_xlfn.XLOOKUP(D4643,Table_Tarikan_Warkah[Nomor Tiket],Table_Tarikan_Warkah[Jenis Permohonan]),"")</f>
        <v>Waris</v>
      </c>
      <c r="H4643" s="41" t="s">
        <v>2315</v>
      </c>
      <c r="I4643" s="49" t="s">
        <v>23</v>
      </c>
      <c r="J4643" s="36">
        <f t="shared" si="20"/>
        <v>46004.43476</v>
      </c>
      <c r="K4643" s="69"/>
      <c r="L4643" s="49"/>
      <c r="M4643" s="36" t="str">
        <f t="shared" si="33"/>
        <v/>
      </c>
      <c r="N4643" s="30" t="str">
        <f t="shared" si="34"/>
        <v>BT atau SU Belum Valid</v>
      </c>
      <c r="O4643" s="39" t="str">
        <f t="shared" si="23"/>
        <v/>
      </c>
      <c r="P4643" s="47" t="b">
        <v>0</v>
      </c>
      <c r="Q4643" s="36" t="str">
        <f t="shared" si="35"/>
        <v/>
      </c>
      <c r="R4643" s="47" t="b">
        <v>0</v>
      </c>
      <c r="S4643" s="42" t="str">
        <f t="shared" si="28"/>
        <v/>
      </c>
      <c r="T4643" s="42"/>
    </row>
    <row r="4644" ht="22.5" customHeight="1">
      <c r="B4644" s="42">
        <f t="shared" si="7"/>
        <v>4638</v>
      </c>
      <c r="C4644" s="31" t="s">
        <v>4665</v>
      </c>
      <c r="D4644" s="34" t="str">
        <f t="array" ref="D4644">IFNA(_xlfn.XLOOKUP(C4644,Table_Tarikan_Warkah[Nomor Sertipikat],Table_Tarikan_Warkah[Nomor Tiket]),"")</f>
        <v>ABMQLZIV</v>
      </c>
      <c r="E4644" s="36" t="str">
        <f t="array" ref="E4644">IFNA(_xlfn.XLOOKUP(D4644,Table_Tarikan_Warkah[Nomor Tiket],Table_Tarikan_Warkah[Tanggal diserahkan kepada Validator]),"")</f>
        <v/>
      </c>
      <c r="F4644" s="36" t="str">
        <f t="array" ref="F4644">IFNA(_xlfn.XLOOKUP(D4644,Table_Tarikan_Warkah[Nomor Tiket],Table_Tarikan_Warkah[Nama Petugas Warkah]),"")</f>
        <v/>
      </c>
      <c r="G4644" s="39" t="str">
        <f t="array" ref="G4644">IFNA(_xlfn.XLOOKUP(D4644,Table_Tarikan_Warkah[Nomor Tiket],Table_Tarikan_Warkah[Jenis Permohonan]),"")</f>
        <v>BN JUAL BELI </v>
      </c>
      <c r="H4644" s="41" t="s">
        <v>2315</v>
      </c>
      <c r="I4644" s="49" t="s">
        <v>23</v>
      </c>
      <c r="J4644" s="36">
        <f t="shared" si="20"/>
        <v>46004.44048</v>
      </c>
      <c r="K4644" s="69"/>
      <c r="L4644" s="49"/>
      <c r="M4644" s="36" t="str">
        <f t="shared" si="33"/>
        <v/>
      </c>
      <c r="N4644" s="30" t="str">
        <f t="shared" si="34"/>
        <v>BT atau SU Belum Valid</v>
      </c>
      <c r="O4644" s="39" t="str">
        <f t="shared" si="23"/>
        <v/>
      </c>
      <c r="P4644" s="47" t="b">
        <v>0</v>
      </c>
      <c r="Q4644" s="36" t="str">
        <f t="shared" si="35"/>
        <v/>
      </c>
      <c r="R4644" s="47" t="b">
        <v>0</v>
      </c>
      <c r="S4644" s="42" t="str">
        <f t="shared" si="28"/>
        <v/>
      </c>
      <c r="T4644" s="42"/>
    </row>
    <row r="4645" ht="22.5" customHeight="1">
      <c r="B4645" s="42">
        <f t="shared" si="7"/>
        <v>4639</v>
      </c>
      <c r="C4645" s="31" t="s">
        <v>4666</v>
      </c>
      <c r="D4645" s="34" t="str">
        <f t="array" ref="D4645">IFNA(_xlfn.XLOOKUP(C4645,Table_Tarikan_Warkah[Nomor Sertipikat],Table_Tarikan_Warkah[Nomor Tiket]),"")</f>
        <v>ABLGFNKD</v>
      </c>
      <c r="E4645" s="36" t="str">
        <f t="array" ref="E4645">IFNA(_xlfn.XLOOKUP(D4645,Table_Tarikan_Warkah[Nomor Tiket],Table_Tarikan_Warkah[Tanggal diserahkan kepada Validator]),"")</f>
        <v/>
      </c>
      <c r="F4645" s="36" t="str">
        <f t="array" ref="F4645">IFNA(_xlfn.XLOOKUP(D4645,Table_Tarikan_Warkah[Nomor Tiket],Table_Tarikan_Warkah[Nama Petugas Warkah]),"")</f>
        <v/>
      </c>
      <c r="G4645" s="39" t="str">
        <f t="array" ref="G4645">IFNA(_xlfn.XLOOKUP(D4645,Table_Tarikan_Warkah[Nomor Tiket],Table_Tarikan_Warkah[Jenis Permohonan]),"")</f>
        <v>BN JUAL BELI </v>
      </c>
      <c r="H4645" s="41" t="s">
        <v>2315</v>
      </c>
      <c r="I4645" s="49" t="s">
        <v>23</v>
      </c>
      <c r="J4645" s="36">
        <f t="shared" si="20"/>
        <v>46004.44083</v>
      </c>
      <c r="K4645" s="69"/>
      <c r="L4645" s="49"/>
      <c r="M4645" s="36" t="str">
        <f t="shared" si="33"/>
        <v/>
      </c>
      <c r="N4645" s="30" t="str">
        <f t="shared" si="34"/>
        <v>BT atau SU Belum Valid</v>
      </c>
      <c r="O4645" s="39" t="str">
        <f t="shared" si="23"/>
        <v/>
      </c>
      <c r="P4645" s="47" t="b">
        <v>0</v>
      </c>
      <c r="Q4645" s="36" t="str">
        <f t="shared" si="35"/>
        <v/>
      </c>
      <c r="R4645" s="47" t="b">
        <v>0</v>
      </c>
      <c r="S4645" s="42" t="str">
        <f t="shared" si="28"/>
        <v/>
      </c>
      <c r="T4645" s="42"/>
    </row>
    <row r="4646" ht="22.5" customHeight="1">
      <c r="B4646" s="42">
        <f t="shared" si="7"/>
        <v>4640</v>
      </c>
      <c r="C4646" s="31" t="s">
        <v>4667</v>
      </c>
      <c r="D4646" s="34" t="str">
        <f t="array" ref="D4646">IFNA(_xlfn.XLOOKUP(C4646,Table_Tarikan_Warkah[Nomor Sertipikat],Table_Tarikan_Warkah[Nomor Tiket]),"")</f>
        <v>K/10/031025/1</v>
      </c>
      <c r="E4646" s="36" t="str">
        <f t="array" ref="E4646">IFNA(_xlfn.XLOOKUP(D4646,Table_Tarikan_Warkah[Nomor Tiket],Table_Tarikan_Warkah[Tanggal diserahkan kepada Validator]),"")</f>
        <v/>
      </c>
      <c r="F4646" s="36" t="str">
        <f t="array" ref="F4646">IFNA(_xlfn.XLOOKUP(D4646,Table_Tarikan_Warkah[Nomor Tiket],Table_Tarikan_Warkah[Nama Petugas Warkah]),"")</f>
        <v/>
      </c>
      <c r="G4646" s="39" t="str">
        <f t="array" ref="G4646">IFNA(_xlfn.XLOOKUP(D4646,Table_Tarikan_Warkah[Nomor Tiket],Table_Tarikan_Warkah[Jenis Permohonan]),"")</f>
        <v>BN JUAL BELI</v>
      </c>
      <c r="H4646" s="41" t="s">
        <v>2315</v>
      </c>
      <c r="I4646" s="49" t="s">
        <v>23</v>
      </c>
      <c r="J4646" s="36">
        <f t="shared" si="20"/>
        <v>46004.44148</v>
      </c>
      <c r="K4646" s="69"/>
      <c r="L4646" s="49"/>
      <c r="M4646" s="36" t="str">
        <f t="shared" si="33"/>
        <v/>
      </c>
      <c r="N4646" s="30" t="str">
        <f t="shared" si="34"/>
        <v>BT atau SU Belum Valid</v>
      </c>
      <c r="O4646" s="39" t="str">
        <f t="shared" si="23"/>
        <v/>
      </c>
      <c r="P4646" s="47" t="b">
        <v>0</v>
      </c>
      <c r="Q4646" s="36" t="str">
        <f t="shared" si="35"/>
        <v/>
      </c>
      <c r="R4646" s="47" t="b">
        <v>0</v>
      </c>
      <c r="S4646" s="42" t="str">
        <f t="shared" si="28"/>
        <v/>
      </c>
      <c r="T4646" s="42"/>
    </row>
    <row r="4647" ht="22.5" customHeight="1">
      <c r="B4647" s="42">
        <f t="shared" si="7"/>
        <v>4641</v>
      </c>
      <c r="C4647" s="31" t="s">
        <v>4668</v>
      </c>
      <c r="D4647" s="34" t="str">
        <f t="array" ref="D4647">IFNA(_xlfn.XLOOKUP(C4647,Table_Tarikan_Warkah[Nomor Sertipikat],Table_Tarikan_Warkah[Nomor Tiket]),"")</f>
        <v>ABKZRMOY</v>
      </c>
      <c r="E4647" s="36" t="str">
        <f t="array" ref="E4647">IFNA(_xlfn.XLOOKUP(D4647,Table_Tarikan_Warkah[Nomor Tiket],Table_Tarikan_Warkah[Tanggal diserahkan kepada Validator]),"")</f>
        <v/>
      </c>
      <c r="F4647" s="36" t="str">
        <f t="array" ref="F4647">IFNA(_xlfn.XLOOKUP(D4647,Table_Tarikan_Warkah[Nomor Tiket],Table_Tarikan_Warkah[Nama Petugas Warkah]),"")</f>
        <v/>
      </c>
      <c r="G4647" s="39" t="str">
        <f t="array" ref="G4647">IFNA(_xlfn.XLOOKUP(D4647,Table_Tarikan_Warkah[Nomor Tiket],Table_Tarikan_Warkah[Jenis Permohonan]),"")</f>
        <v>Balik nama hibah</v>
      </c>
      <c r="H4647" s="41" t="s">
        <v>2315</v>
      </c>
      <c r="I4647" s="49" t="s">
        <v>23</v>
      </c>
      <c r="J4647" s="36">
        <f t="shared" si="20"/>
        <v>46004.44187</v>
      </c>
      <c r="K4647" s="69"/>
      <c r="L4647" s="49"/>
      <c r="M4647" s="36" t="str">
        <f t="shared" si="33"/>
        <v/>
      </c>
      <c r="N4647" s="30" t="str">
        <f t="shared" si="34"/>
        <v>BT atau SU Belum Valid</v>
      </c>
      <c r="O4647" s="39" t="str">
        <f t="shared" si="23"/>
        <v/>
      </c>
      <c r="P4647" s="47" t="b">
        <v>0</v>
      </c>
      <c r="Q4647" s="36" t="str">
        <f t="shared" si="35"/>
        <v/>
      </c>
      <c r="R4647" s="47" t="b">
        <v>0</v>
      </c>
      <c r="S4647" s="42" t="str">
        <f t="shared" si="28"/>
        <v/>
      </c>
      <c r="T4647" s="42"/>
    </row>
    <row r="4648" ht="22.5" customHeight="1">
      <c r="B4648" s="42">
        <f t="shared" si="7"/>
        <v>4642</v>
      </c>
      <c r="C4648" s="31" t="s">
        <v>4669</v>
      </c>
      <c r="D4648" s="34" t="str">
        <f t="array" ref="D4648">IFNA(_xlfn.XLOOKUP(C4648,Table_Tarikan_Warkah[Nomor Sertipikat],Table_Tarikan_Warkah[Nomor Tiket]),"")</f>
        <v>ABKZDEFH</v>
      </c>
      <c r="E4648" s="36" t="str">
        <f t="array" ref="E4648">IFNA(_xlfn.XLOOKUP(D4648,Table_Tarikan_Warkah[Nomor Tiket],Table_Tarikan_Warkah[Tanggal diserahkan kepada Validator]),"")</f>
        <v/>
      </c>
      <c r="F4648" s="36" t="str">
        <f t="array" ref="F4648">IFNA(_xlfn.XLOOKUP(D4648,Table_Tarikan_Warkah[Nomor Tiket],Table_Tarikan_Warkah[Nama Petugas Warkah]),"")</f>
        <v/>
      </c>
      <c r="G4648" s="39" t="str">
        <f t="array" ref="G4648">IFNA(_xlfn.XLOOKUP(D4648,Table_Tarikan_Warkah[Nomor Tiket],Table_Tarikan_Warkah[Jenis Permohonan]),"")</f>
        <v>BN JUAL BELI</v>
      </c>
      <c r="H4648" s="41" t="s">
        <v>2315</v>
      </c>
      <c r="I4648" s="49" t="s">
        <v>23</v>
      </c>
      <c r="J4648" s="36">
        <f t="shared" si="20"/>
        <v>46004.44213</v>
      </c>
      <c r="K4648" s="69"/>
      <c r="L4648" s="49"/>
      <c r="M4648" s="36" t="str">
        <f t="shared" si="33"/>
        <v/>
      </c>
      <c r="N4648" s="30" t="str">
        <f t="shared" si="34"/>
        <v>BT atau SU Belum Valid</v>
      </c>
      <c r="O4648" s="39" t="str">
        <f t="shared" si="23"/>
        <v/>
      </c>
      <c r="P4648" s="47" t="b">
        <v>0</v>
      </c>
      <c r="Q4648" s="36" t="str">
        <f t="shared" si="35"/>
        <v/>
      </c>
      <c r="R4648" s="47" t="b">
        <v>0</v>
      </c>
      <c r="S4648" s="42" t="str">
        <f t="shared" si="28"/>
        <v/>
      </c>
      <c r="T4648" s="42"/>
    </row>
    <row r="4649" ht="22.5" customHeight="1">
      <c r="B4649" s="42">
        <f t="shared" si="7"/>
        <v>4643</v>
      </c>
      <c r="C4649" s="31" t="s">
        <v>4670</v>
      </c>
      <c r="D4649" s="34" t="str">
        <f t="array" ref="D4649">IFNA(_xlfn.XLOOKUP(C4649,Table_Tarikan_Warkah[Nomor Sertipikat],Table_Tarikan_Warkah[Nomor Tiket]),"")</f>
        <v>ABTQDUPR</v>
      </c>
      <c r="E4649" s="36" t="str">
        <f t="array" ref="E4649">IFNA(_xlfn.XLOOKUP(D4649,Table_Tarikan_Warkah[Nomor Tiket],Table_Tarikan_Warkah[Tanggal diserahkan kepada Validator]),"")</f>
        <v/>
      </c>
      <c r="F4649" s="36" t="str">
        <f t="array" ref="F4649">IFNA(_xlfn.XLOOKUP(D4649,Table_Tarikan_Warkah[Nomor Tiket],Table_Tarikan_Warkah[Nama Petugas Warkah]),"")</f>
        <v/>
      </c>
      <c r="G4649" s="39" t="str">
        <f t="array" ref="G4649">IFNA(_xlfn.XLOOKUP(D4649,Table_Tarikan_Warkah[Nomor Tiket],Table_Tarikan_Warkah[Jenis Permohonan]),"")</f>
        <v>BN JUAL BELI</v>
      </c>
      <c r="H4649" s="41" t="s">
        <v>2315</v>
      </c>
      <c r="I4649" s="49" t="s">
        <v>23</v>
      </c>
      <c r="J4649" s="36">
        <f t="shared" si="20"/>
        <v>46004.4424</v>
      </c>
      <c r="K4649" s="69"/>
      <c r="L4649" s="49"/>
      <c r="M4649" s="36" t="str">
        <f t="shared" si="33"/>
        <v/>
      </c>
      <c r="N4649" s="30" t="str">
        <f t="shared" si="34"/>
        <v>BT atau SU Belum Valid</v>
      </c>
      <c r="O4649" s="39" t="str">
        <f t="shared" si="23"/>
        <v/>
      </c>
      <c r="P4649" s="47" t="b">
        <v>0</v>
      </c>
      <c r="Q4649" s="36" t="str">
        <f t="shared" si="35"/>
        <v/>
      </c>
      <c r="R4649" s="47" t="b">
        <v>0</v>
      </c>
      <c r="S4649" s="42" t="str">
        <f t="shared" si="28"/>
        <v/>
      </c>
      <c r="T4649" s="42"/>
    </row>
    <row r="4650" ht="22.5" customHeight="1">
      <c r="B4650" s="42">
        <f t="shared" si="7"/>
        <v>4644</v>
      </c>
      <c r="C4650" s="31" t="s">
        <v>4671</v>
      </c>
      <c r="D4650" s="34" t="str">
        <f t="array" ref="D4650">IFNA(_xlfn.XLOOKUP(C4650,Table_Tarikan_Warkah[Nomor Sertipikat],Table_Tarikan_Warkah[Nomor Tiket]),"")</f>
        <v>ABHKIJKL</v>
      </c>
      <c r="E4650" s="36" t="str">
        <f t="array" ref="E4650">IFNA(_xlfn.XLOOKUP(D4650,Table_Tarikan_Warkah[Nomor Tiket],Table_Tarikan_Warkah[Tanggal diserahkan kepada Validator]),"")</f>
        <v/>
      </c>
      <c r="F4650" s="36" t="str">
        <f t="array" ref="F4650">IFNA(_xlfn.XLOOKUP(D4650,Table_Tarikan_Warkah[Nomor Tiket],Table_Tarikan_Warkah[Nama Petugas Warkah]),"")</f>
        <v/>
      </c>
      <c r="G4650" s="39" t="str">
        <f t="array" ref="G4650">IFNA(_xlfn.XLOOKUP(D4650,Table_Tarikan_Warkah[Nomor Tiket],Table_Tarikan_Warkah[Jenis Permohonan]),"")</f>
        <v>BN JUAL BELI</v>
      </c>
      <c r="H4650" s="41" t="s">
        <v>2315</v>
      </c>
      <c r="I4650" s="49" t="s">
        <v>23</v>
      </c>
      <c r="J4650" s="36">
        <f t="shared" si="20"/>
        <v>46004.44268</v>
      </c>
      <c r="K4650" s="69"/>
      <c r="L4650" s="49"/>
      <c r="M4650" s="36" t="str">
        <f t="shared" si="33"/>
        <v/>
      </c>
      <c r="N4650" s="30" t="str">
        <f t="shared" si="34"/>
        <v>BT atau SU Belum Valid</v>
      </c>
      <c r="O4650" s="39" t="str">
        <f t="shared" si="23"/>
        <v/>
      </c>
      <c r="P4650" s="47" t="b">
        <v>0</v>
      </c>
      <c r="Q4650" s="36" t="str">
        <f t="shared" si="35"/>
        <v/>
      </c>
      <c r="R4650" s="47" t="b">
        <v>0</v>
      </c>
      <c r="S4650" s="42" t="str">
        <f t="shared" si="28"/>
        <v/>
      </c>
      <c r="T4650" s="42"/>
    </row>
    <row r="4651" ht="22.5" customHeight="1">
      <c r="B4651" s="42">
        <f t="shared" si="7"/>
        <v>4645</v>
      </c>
      <c r="C4651" s="31" t="s">
        <v>4672</v>
      </c>
      <c r="D4651" s="34" t="str">
        <f t="array" ref="D4651">IFNA(_xlfn.XLOOKUP(C4651,Table_Tarikan_Warkah[Nomor Sertipikat],Table_Tarikan_Warkah[Nomor Tiket]),"")</f>
        <v>ABEIFFDL/1</v>
      </c>
      <c r="E4651" s="36" t="str">
        <f t="array" ref="E4651">IFNA(_xlfn.XLOOKUP(D4651,Table_Tarikan_Warkah[Nomor Tiket],Table_Tarikan_Warkah[Tanggal diserahkan kepada Validator]),"")</f>
        <v/>
      </c>
      <c r="F4651" s="36" t="str">
        <f t="array" ref="F4651">IFNA(_xlfn.XLOOKUP(D4651,Table_Tarikan_Warkah[Nomor Tiket],Table_Tarikan_Warkah[Nama Petugas Warkah]),"")</f>
        <v/>
      </c>
      <c r="G4651" s="39" t="str">
        <f t="array" ref="G4651">IFNA(_xlfn.XLOOKUP(D4651,Table_Tarikan_Warkah[Nomor Tiket],Table_Tarikan_Warkah[Jenis Permohonan]),"")</f>
        <v>Bn jual beli</v>
      </c>
      <c r="H4651" s="41" t="s">
        <v>2315</v>
      </c>
      <c r="I4651" s="49" t="s">
        <v>23</v>
      </c>
      <c r="J4651" s="36">
        <f t="shared" si="20"/>
        <v>46004.44303</v>
      </c>
      <c r="K4651" s="69"/>
      <c r="L4651" s="49"/>
      <c r="M4651" s="36" t="str">
        <f t="shared" si="33"/>
        <v/>
      </c>
      <c r="N4651" s="30" t="str">
        <f t="shared" si="34"/>
        <v>BT atau SU Belum Valid</v>
      </c>
      <c r="O4651" s="39" t="str">
        <f t="shared" si="23"/>
        <v/>
      </c>
      <c r="P4651" s="47" t="b">
        <v>0</v>
      </c>
      <c r="Q4651" s="36" t="str">
        <f t="shared" si="35"/>
        <v/>
      </c>
      <c r="R4651" s="47" t="b">
        <v>0</v>
      </c>
      <c r="S4651" s="42" t="str">
        <f t="shared" si="28"/>
        <v/>
      </c>
      <c r="T4651" s="42"/>
    </row>
    <row r="4652" ht="22.5" customHeight="1">
      <c r="B4652" s="42">
        <f t="shared" si="7"/>
        <v>4646</v>
      </c>
      <c r="C4652" s="31" t="s">
        <v>4673</v>
      </c>
      <c r="D4652" s="34" t="str">
        <f t="array" ref="D4652">IFNA(_xlfn.XLOOKUP(C4652,Table_Tarikan_Warkah[Nomor Sertipikat],Table_Tarikan_Warkah[Nomor Tiket]),"")</f>
        <v>ABXIPTES</v>
      </c>
      <c r="E4652" s="36" t="str">
        <f t="array" ref="E4652">IFNA(_xlfn.XLOOKUP(D4652,Table_Tarikan_Warkah[Nomor Tiket],Table_Tarikan_Warkah[Tanggal diserahkan kepada Validator]),"")</f>
        <v/>
      </c>
      <c r="F4652" s="36" t="str">
        <f t="array" ref="F4652">IFNA(_xlfn.XLOOKUP(D4652,Table_Tarikan_Warkah[Nomor Tiket],Table_Tarikan_Warkah[Nama Petugas Warkah]),"")</f>
        <v/>
      </c>
      <c r="G4652" s="39" t="str">
        <f t="array" ref="G4652">IFNA(_xlfn.XLOOKUP(D4652,Table_Tarikan_Warkah[Nomor Tiket],Table_Tarikan_Warkah[Jenis Permohonan]),"")</f>
        <v>BN JUAL BELI</v>
      </c>
      <c r="H4652" s="41" t="s">
        <v>2315</v>
      </c>
      <c r="I4652" s="49" t="s">
        <v>23</v>
      </c>
      <c r="J4652" s="36">
        <f t="shared" si="20"/>
        <v>46004.44336</v>
      </c>
      <c r="K4652" s="69"/>
      <c r="L4652" s="49"/>
      <c r="M4652" s="36" t="str">
        <f t="shared" si="33"/>
        <v/>
      </c>
      <c r="N4652" s="30" t="str">
        <f t="shared" si="34"/>
        <v>BT atau SU Belum Valid</v>
      </c>
      <c r="O4652" s="39" t="str">
        <f t="shared" si="23"/>
        <v/>
      </c>
      <c r="P4652" s="47" t="b">
        <v>0</v>
      </c>
      <c r="Q4652" s="36" t="str">
        <f t="shared" si="35"/>
        <v/>
      </c>
      <c r="R4652" s="47" t="b">
        <v>0</v>
      </c>
      <c r="S4652" s="42" t="str">
        <f t="shared" si="28"/>
        <v/>
      </c>
      <c r="T4652" s="42"/>
    </row>
    <row r="4653" ht="22.5" customHeight="1">
      <c r="B4653" s="42">
        <f t="shared" si="7"/>
        <v>4647</v>
      </c>
      <c r="C4653" s="31" t="s">
        <v>4674</v>
      </c>
      <c r="D4653" s="34" t="str">
        <f t="array" ref="D4653">IFNA(_xlfn.XLOOKUP(C4653,Table_Tarikan_Warkah[Nomor Sertipikat],Table_Tarikan_Warkah[Nomor Tiket]),"")</f>
        <v>ABLHOPIB</v>
      </c>
      <c r="E4653" s="36" t="str">
        <f t="array" ref="E4653">IFNA(_xlfn.XLOOKUP(D4653,Table_Tarikan_Warkah[Nomor Tiket],Table_Tarikan_Warkah[Tanggal diserahkan kepada Validator]),"")</f>
        <v/>
      </c>
      <c r="F4653" s="36" t="str">
        <f t="array" ref="F4653">IFNA(_xlfn.XLOOKUP(D4653,Table_Tarikan_Warkah[Nomor Tiket],Table_Tarikan_Warkah[Nama Petugas Warkah]),"")</f>
        <v/>
      </c>
      <c r="G4653" s="39" t="str">
        <f t="array" ref="G4653">IFNA(_xlfn.XLOOKUP(D4653,Table_Tarikan_Warkah[Nomor Tiket],Table_Tarikan_Warkah[Jenis Permohonan]),"")</f>
        <v>Bn jual beli</v>
      </c>
      <c r="H4653" s="41" t="s">
        <v>2315</v>
      </c>
      <c r="I4653" s="49" t="s">
        <v>23</v>
      </c>
      <c r="J4653" s="36">
        <f t="shared" si="20"/>
        <v>46004.44504</v>
      </c>
      <c r="K4653" s="69"/>
      <c r="L4653" s="49"/>
      <c r="M4653" s="36" t="str">
        <f t="shared" si="33"/>
        <v/>
      </c>
      <c r="N4653" s="30" t="str">
        <f t="shared" si="34"/>
        <v>BT atau SU Belum Valid</v>
      </c>
      <c r="O4653" s="39" t="str">
        <f t="shared" si="23"/>
        <v/>
      </c>
      <c r="P4653" s="47" t="b">
        <v>0</v>
      </c>
      <c r="Q4653" s="36" t="str">
        <f t="shared" si="35"/>
        <v/>
      </c>
      <c r="R4653" s="47" t="b">
        <v>0</v>
      </c>
      <c r="S4653" s="42" t="str">
        <f t="shared" si="28"/>
        <v/>
      </c>
      <c r="T4653" s="42"/>
    </row>
    <row r="4654" ht="22.5" customHeight="1">
      <c r="B4654" s="42">
        <f t="shared" si="7"/>
        <v>4648</v>
      </c>
      <c r="C4654" s="31" t="s">
        <v>4675</v>
      </c>
      <c r="D4654" s="34" t="str">
        <f t="array" ref="D4654">IFNA(_xlfn.XLOOKUP(C4654,Table_Tarikan_Warkah[Nomor Sertipikat],Table_Tarikan_Warkah[Nomor Tiket]),"")</f>
        <v>L/12/051125/1</v>
      </c>
      <c r="E4654" s="36" t="str">
        <f t="array" ref="E4654">IFNA(_xlfn.XLOOKUP(D4654,Table_Tarikan_Warkah[Nomor Tiket],Table_Tarikan_Warkah[Tanggal diserahkan kepada Validator]),"")</f>
        <v/>
      </c>
      <c r="F4654" s="36" t="str">
        <f t="array" ref="F4654">IFNA(_xlfn.XLOOKUP(D4654,Table_Tarikan_Warkah[Nomor Tiket],Table_Tarikan_Warkah[Nama Petugas Warkah]),"")</f>
        <v/>
      </c>
      <c r="G4654" s="39" t="str">
        <f t="array" ref="G4654">IFNA(_xlfn.XLOOKUP(D4654,Table_Tarikan_Warkah[Nomor Tiket],Table_Tarikan_Warkah[Jenis Permohonan]),"")</f>
        <v>ROYA</v>
      </c>
      <c r="H4654" s="41" t="s">
        <v>2315</v>
      </c>
      <c r="I4654" s="49" t="s">
        <v>23</v>
      </c>
      <c r="J4654" s="36">
        <f t="shared" si="20"/>
        <v>46004.44574</v>
      </c>
      <c r="K4654" s="69"/>
      <c r="L4654" s="49"/>
      <c r="M4654" s="36" t="str">
        <f t="shared" si="33"/>
        <v/>
      </c>
      <c r="N4654" s="30" t="str">
        <f t="shared" si="34"/>
        <v>BT atau SU Belum Valid</v>
      </c>
      <c r="O4654" s="39" t="str">
        <f t="shared" si="23"/>
        <v/>
      </c>
      <c r="P4654" s="47" t="b">
        <v>0</v>
      </c>
      <c r="Q4654" s="36" t="str">
        <f t="shared" si="35"/>
        <v/>
      </c>
      <c r="R4654" s="47" t="b">
        <v>0</v>
      </c>
      <c r="S4654" s="42" t="str">
        <f t="shared" si="28"/>
        <v/>
      </c>
      <c r="T4654" s="42"/>
    </row>
    <row r="4655" ht="22.5" customHeight="1">
      <c r="B4655" s="42">
        <f t="shared" si="7"/>
        <v>4649</v>
      </c>
      <c r="C4655" s="31" t="s">
        <v>4676</v>
      </c>
      <c r="D4655" s="34" t="str">
        <f t="array" ref="D4655">IFNA(_xlfn.XLOOKUP(C4655,Table_Tarikan_Warkah[Nomor Sertipikat],Table_Tarikan_Warkah[Nomor Tiket]),"")</f>
        <v>L/14/051125/3</v>
      </c>
      <c r="E4655" s="36" t="str">
        <f t="array" ref="E4655">IFNA(_xlfn.XLOOKUP(D4655,Table_Tarikan_Warkah[Nomor Tiket],Table_Tarikan_Warkah[Tanggal diserahkan kepada Validator]),"")</f>
        <v/>
      </c>
      <c r="F4655" s="36" t="str">
        <f t="array" ref="F4655">IFNA(_xlfn.XLOOKUP(D4655,Table_Tarikan_Warkah[Nomor Tiket],Table_Tarikan_Warkah[Nama Petugas Warkah]),"")</f>
        <v/>
      </c>
      <c r="G4655" s="39" t="str">
        <f t="array" ref="G4655">IFNA(_xlfn.XLOOKUP(D4655,Table_Tarikan_Warkah[Nomor Tiket],Table_Tarikan_Warkah[Jenis Permohonan]),"")</f>
        <v>ROYA</v>
      </c>
      <c r="H4655" s="41" t="s">
        <v>2315</v>
      </c>
      <c r="I4655" s="49" t="s">
        <v>23</v>
      </c>
      <c r="J4655" s="36">
        <f t="shared" si="20"/>
        <v>46004.44599</v>
      </c>
      <c r="K4655" s="69"/>
      <c r="L4655" s="49"/>
      <c r="M4655" s="36" t="str">
        <f t="shared" si="33"/>
        <v/>
      </c>
      <c r="N4655" s="30" t="str">
        <f t="shared" si="34"/>
        <v>BT atau SU Belum Valid</v>
      </c>
      <c r="O4655" s="39" t="str">
        <f t="shared" si="23"/>
        <v/>
      </c>
      <c r="P4655" s="47" t="b">
        <v>0</v>
      </c>
      <c r="Q4655" s="36" t="str">
        <f t="shared" si="35"/>
        <v/>
      </c>
      <c r="R4655" s="47" t="b">
        <v>0</v>
      </c>
      <c r="S4655" s="42" t="str">
        <f t="shared" si="28"/>
        <v/>
      </c>
      <c r="T4655" s="42"/>
    </row>
    <row r="4656" ht="22.5" customHeight="1">
      <c r="B4656" s="42">
        <f t="shared" si="7"/>
        <v>4650</v>
      </c>
      <c r="C4656" s="31" t="s">
        <v>4677</v>
      </c>
      <c r="D4656" s="34" t="str">
        <f t="array" ref="D4656">IFNA(_xlfn.XLOOKUP(C4656,Table_Tarikan_Warkah[Nomor Sertipikat],Table_Tarikan_Warkah[Nomor Tiket]),"")</f>
        <v>ABZYIVOR</v>
      </c>
      <c r="E4656" s="36" t="str">
        <f t="array" ref="E4656">IFNA(_xlfn.XLOOKUP(D4656,Table_Tarikan_Warkah[Nomor Tiket],Table_Tarikan_Warkah[Tanggal diserahkan kepada Validator]),"")</f>
        <v/>
      </c>
      <c r="F4656" s="36" t="str">
        <f t="array" ref="F4656">IFNA(_xlfn.XLOOKUP(D4656,Table_Tarikan_Warkah[Nomor Tiket],Table_Tarikan_Warkah[Nama Petugas Warkah]),"")</f>
        <v/>
      </c>
      <c r="G4656" s="39" t="str">
        <f t="array" ref="G4656">IFNA(_xlfn.XLOOKUP(D4656,Table_Tarikan_Warkah[Nomor Tiket],Table_Tarikan_Warkah[Jenis Permohonan]),"")</f>
        <v>Bn JUAL BELI</v>
      </c>
      <c r="H4656" s="41" t="s">
        <v>2315</v>
      </c>
      <c r="I4656" s="49" t="s">
        <v>23</v>
      </c>
      <c r="J4656" s="36">
        <f t="shared" si="20"/>
        <v>46006.3683</v>
      </c>
      <c r="K4656" s="69"/>
      <c r="L4656" s="49"/>
      <c r="M4656" s="36" t="str">
        <f t="shared" si="33"/>
        <v/>
      </c>
      <c r="N4656" s="30" t="str">
        <f t="shared" si="34"/>
        <v>BT atau SU Belum Valid</v>
      </c>
      <c r="O4656" s="39" t="str">
        <f t="shared" si="23"/>
        <v/>
      </c>
      <c r="P4656" s="47" t="b">
        <v>0</v>
      </c>
      <c r="Q4656" s="36" t="str">
        <f t="shared" si="35"/>
        <v/>
      </c>
      <c r="R4656" s="47" t="b">
        <v>0</v>
      </c>
      <c r="S4656" s="42" t="str">
        <f t="shared" si="28"/>
        <v/>
      </c>
      <c r="T4656" s="42"/>
    </row>
    <row r="4657" ht="22.5" customHeight="1">
      <c r="B4657" s="42">
        <f t="shared" si="7"/>
        <v>4651</v>
      </c>
      <c r="C4657" s="31" t="s">
        <v>4678</v>
      </c>
      <c r="D4657" s="34" t="str">
        <f t="array" ref="D4657">IFNA(_xlfn.XLOOKUP(C4657,Table_Tarikan_Warkah[Nomor Sertipikat],Table_Tarikan_Warkah[Nomor Tiket]),"")</f>
        <v>ABXHEECJ</v>
      </c>
      <c r="E4657" s="36" t="str">
        <f t="array" ref="E4657">IFNA(_xlfn.XLOOKUP(D4657,Table_Tarikan_Warkah[Nomor Tiket],Table_Tarikan_Warkah[Tanggal diserahkan kepada Validator]),"")</f>
        <v/>
      </c>
      <c r="F4657" s="36" t="str">
        <f t="array" ref="F4657">IFNA(_xlfn.XLOOKUP(D4657,Table_Tarikan_Warkah[Nomor Tiket],Table_Tarikan_Warkah[Nama Petugas Warkah]),"")</f>
        <v/>
      </c>
      <c r="G4657" s="39" t="str">
        <f t="array" ref="G4657">IFNA(_xlfn.XLOOKUP(D4657,Table_Tarikan_Warkah[Nomor Tiket],Table_Tarikan_Warkah[Jenis Permohonan]),"")</f>
        <v>BN JUAL BELI</v>
      </c>
      <c r="H4657" s="41" t="s">
        <v>2315</v>
      </c>
      <c r="I4657" s="49" t="s">
        <v>23</v>
      </c>
      <c r="J4657" s="36">
        <f t="shared" si="20"/>
        <v>46006.3696</v>
      </c>
      <c r="K4657" s="69"/>
      <c r="L4657" s="49"/>
      <c r="M4657" s="36" t="str">
        <f t="shared" si="33"/>
        <v/>
      </c>
      <c r="N4657" s="30" t="str">
        <f t="shared" si="34"/>
        <v>BT atau SU Belum Valid</v>
      </c>
      <c r="O4657" s="39" t="str">
        <f t="shared" si="23"/>
        <v/>
      </c>
      <c r="P4657" s="47" t="b">
        <v>0</v>
      </c>
      <c r="Q4657" s="36" t="str">
        <f t="shared" si="35"/>
        <v/>
      </c>
      <c r="R4657" s="47" t="b">
        <v>0</v>
      </c>
      <c r="S4657" s="42" t="str">
        <f t="shared" si="28"/>
        <v/>
      </c>
      <c r="T4657" s="42"/>
    </row>
    <row r="4658" ht="22.5" customHeight="1">
      <c r="B4658" s="42">
        <f t="shared" si="7"/>
        <v>4652</v>
      </c>
      <c r="C4658" s="31" t="s">
        <v>4679</v>
      </c>
      <c r="D4658" s="34" t="str">
        <f t="array" ref="D4658">IFNA(_xlfn.XLOOKUP(C4658,Table_Tarikan_Warkah[Nomor Sertipikat],Table_Tarikan_Warkah[Nomor Tiket]),"")</f>
        <v>ABAFXZHA</v>
      </c>
      <c r="E4658" s="36" t="str">
        <f t="array" ref="E4658">IFNA(_xlfn.XLOOKUP(D4658,Table_Tarikan_Warkah[Nomor Tiket],Table_Tarikan_Warkah[Tanggal diserahkan kepada Validator]),"")</f>
        <v/>
      </c>
      <c r="F4658" s="36" t="str">
        <f t="array" ref="F4658">IFNA(_xlfn.XLOOKUP(D4658,Table_Tarikan_Warkah[Nomor Tiket],Table_Tarikan_Warkah[Nama Petugas Warkah]),"")</f>
        <v/>
      </c>
      <c r="G4658" s="39" t="str">
        <f t="array" ref="G4658">IFNA(_xlfn.XLOOKUP(D4658,Table_Tarikan_Warkah[Nomor Tiket],Table_Tarikan_Warkah[Jenis Permohonan]),"")</f>
        <v>Bn jual beli</v>
      </c>
      <c r="H4658" s="41" t="s">
        <v>2315</v>
      </c>
      <c r="I4658" s="49" t="s">
        <v>23</v>
      </c>
      <c r="J4658" s="36">
        <f t="shared" si="20"/>
        <v>46006.37</v>
      </c>
      <c r="K4658" s="69"/>
      <c r="L4658" s="49"/>
      <c r="M4658" s="36" t="str">
        <f t="shared" si="33"/>
        <v/>
      </c>
      <c r="N4658" s="30" t="str">
        <f t="shared" si="34"/>
        <v>BT atau SU Belum Valid</v>
      </c>
      <c r="O4658" s="39" t="str">
        <f t="shared" si="23"/>
        <v/>
      </c>
      <c r="P4658" s="47" t="b">
        <v>0</v>
      </c>
      <c r="Q4658" s="36" t="str">
        <f t="shared" si="35"/>
        <v/>
      </c>
      <c r="R4658" s="47" t="b">
        <v>0</v>
      </c>
      <c r="S4658" s="42" t="str">
        <f t="shared" si="28"/>
        <v/>
      </c>
      <c r="T4658" s="42"/>
    </row>
    <row r="4659" ht="22.5" customHeight="1">
      <c r="B4659" s="42">
        <f t="shared" si="7"/>
        <v>4653</v>
      </c>
      <c r="C4659" s="31" t="s">
        <v>4680</v>
      </c>
      <c r="D4659" s="34" t="str">
        <f t="array" ref="D4659">IFNA(_xlfn.XLOOKUP(C4659,Table_Tarikan_Warkah[Nomor Sertipikat],Table_Tarikan_Warkah[Nomor Tiket]),"")</f>
        <v>ABIDHAPP/1</v>
      </c>
      <c r="E4659" s="36" t="str">
        <f t="array" ref="E4659">IFNA(_xlfn.XLOOKUP(D4659,Table_Tarikan_Warkah[Nomor Tiket],Table_Tarikan_Warkah[Tanggal diserahkan kepada Validator]),"")</f>
        <v/>
      </c>
      <c r="F4659" s="36" t="str">
        <f t="array" ref="F4659">IFNA(_xlfn.XLOOKUP(D4659,Table_Tarikan_Warkah[Nomor Tiket],Table_Tarikan_Warkah[Nama Petugas Warkah]),"")</f>
        <v/>
      </c>
      <c r="G4659" s="39" t="str">
        <f t="array" ref="G4659">IFNA(_xlfn.XLOOKUP(D4659,Table_Tarikan_Warkah[Nomor Tiket],Table_Tarikan_Warkah[Jenis Permohonan]),"")</f>
        <v>BN JUAL BELI</v>
      </c>
      <c r="H4659" s="41" t="s">
        <v>2315</v>
      </c>
      <c r="I4659" s="49" t="s">
        <v>23</v>
      </c>
      <c r="J4659" s="36">
        <f t="shared" si="20"/>
        <v>46006.37047</v>
      </c>
      <c r="K4659" s="69"/>
      <c r="L4659" s="49"/>
      <c r="M4659" s="36" t="str">
        <f t="shared" si="33"/>
        <v/>
      </c>
      <c r="N4659" s="30" t="str">
        <f t="shared" si="34"/>
        <v>BT atau SU Belum Valid</v>
      </c>
      <c r="O4659" s="39" t="str">
        <f t="shared" si="23"/>
        <v/>
      </c>
      <c r="P4659" s="47" t="b">
        <v>0</v>
      </c>
      <c r="Q4659" s="36" t="str">
        <f t="shared" si="35"/>
        <v/>
      </c>
      <c r="R4659" s="47" t="b">
        <v>0</v>
      </c>
      <c r="S4659" s="42" t="str">
        <f t="shared" si="28"/>
        <v/>
      </c>
      <c r="T4659" s="42"/>
    </row>
    <row r="4660" ht="22.5" customHeight="1">
      <c r="B4660" s="42">
        <f t="shared" si="7"/>
        <v>4654</v>
      </c>
      <c r="C4660" s="31" t="s">
        <v>4681</v>
      </c>
      <c r="D4660" s="34" t="str">
        <f t="array" ref="D4660">IFNA(_xlfn.XLOOKUP(C4660,Table_Tarikan_Warkah[Nomor Sertipikat],Table_Tarikan_Warkah[Nomor Tiket]),"")</f>
        <v>ABVWPKOS</v>
      </c>
      <c r="E4660" s="36" t="str">
        <f t="array" ref="E4660">IFNA(_xlfn.XLOOKUP(D4660,Table_Tarikan_Warkah[Nomor Tiket],Table_Tarikan_Warkah[Tanggal diserahkan kepada Validator]),"")</f>
        <v/>
      </c>
      <c r="F4660" s="36" t="str">
        <f t="array" ref="F4660">IFNA(_xlfn.XLOOKUP(D4660,Table_Tarikan_Warkah[Nomor Tiket],Table_Tarikan_Warkah[Nama Petugas Warkah]),"")</f>
        <v/>
      </c>
      <c r="G4660" s="39" t="str">
        <f t="array" ref="G4660">IFNA(_xlfn.XLOOKUP(D4660,Table_Tarikan_Warkah[Nomor Tiket],Table_Tarikan_Warkah[Jenis Permohonan]),"")</f>
        <v>BN hibah</v>
      </c>
      <c r="H4660" s="41" t="s">
        <v>2315</v>
      </c>
      <c r="I4660" s="49" t="s">
        <v>23</v>
      </c>
      <c r="J4660" s="36">
        <f t="shared" si="20"/>
        <v>46006.37072</v>
      </c>
      <c r="K4660" s="69"/>
      <c r="L4660" s="49"/>
      <c r="M4660" s="36" t="str">
        <f t="shared" si="33"/>
        <v/>
      </c>
      <c r="N4660" s="30" t="str">
        <f t="shared" si="34"/>
        <v>BT atau SU Belum Valid</v>
      </c>
      <c r="O4660" s="39" t="str">
        <f t="shared" si="23"/>
        <v/>
      </c>
      <c r="P4660" s="47" t="b">
        <v>0</v>
      </c>
      <c r="Q4660" s="36" t="str">
        <f t="shared" si="35"/>
        <v/>
      </c>
      <c r="R4660" s="47" t="b">
        <v>0</v>
      </c>
      <c r="S4660" s="42" t="str">
        <f t="shared" si="28"/>
        <v/>
      </c>
      <c r="T4660" s="42"/>
    </row>
    <row r="4661" ht="22.5" customHeight="1">
      <c r="B4661" s="42">
        <f t="shared" si="7"/>
        <v>4655</v>
      </c>
      <c r="C4661" s="31" t="s">
        <v>4682</v>
      </c>
      <c r="D4661" s="34" t="str">
        <f t="array" ref="D4661">IFNA(_xlfn.XLOOKUP(C4661,Table_Tarikan_Warkah[Nomor Sertipikat],Table_Tarikan_Warkah[Nomor Tiket]),"")</f>
        <v>ABYUOEGM</v>
      </c>
      <c r="E4661" s="36" t="str">
        <f t="array" ref="E4661">IFNA(_xlfn.XLOOKUP(D4661,Table_Tarikan_Warkah[Nomor Tiket],Table_Tarikan_Warkah[Tanggal diserahkan kepada Validator]),"")</f>
        <v/>
      </c>
      <c r="F4661" s="36" t="str">
        <f t="array" ref="F4661">IFNA(_xlfn.XLOOKUP(D4661,Table_Tarikan_Warkah[Nomor Tiket],Table_Tarikan_Warkah[Nama Petugas Warkah]),"")</f>
        <v/>
      </c>
      <c r="G4661" s="39" t="str">
        <f t="array" ref="G4661">IFNA(_xlfn.XLOOKUP(D4661,Table_Tarikan_Warkah[Nomor Tiket],Table_Tarikan_Warkah[Jenis Permohonan]),"")</f>
        <v>BN JUAL BELI</v>
      </c>
      <c r="H4661" s="41" t="s">
        <v>2315</v>
      </c>
      <c r="I4661" s="49" t="s">
        <v>23</v>
      </c>
      <c r="J4661" s="36">
        <f t="shared" si="20"/>
        <v>46006.37092</v>
      </c>
      <c r="K4661" s="69"/>
      <c r="L4661" s="49"/>
      <c r="M4661" s="36" t="str">
        <f t="shared" si="33"/>
        <v/>
      </c>
      <c r="N4661" s="30" t="str">
        <f t="shared" si="34"/>
        <v>BT atau SU Belum Valid</v>
      </c>
      <c r="O4661" s="39" t="str">
        <f t="shared" si="23"/>
        <v/>
      </c>
      <c r="P4661" s="47" t="b">
        <v>0</v>
      </c>
      <c r="Q4661" s="36" t="str">
        <f t="shared" si="35"/>
        <v/>
      </c>
      <c r="R4661" s="47" t="b">
        <v>0</v>
      </c>
      <c r="S4661" s="42" t="str">
        <f t="shared" si="28"/>
        <v/>
      </c>
      <c r="T4661" s="42"/>
    </row>
    <row r="4662" ht="22.5" customHeight="1">
      <c r="B4662" s="42">
        <f t="shared" si="7"/>
        <v>4656</v>
      </c>
      <c r="C4662" s="31" t="s">
        <v>4683</v>
      </c>
      <c r="D4662" s="34" t="str">
        <f t="array" ref="D4662">IFNA(_xlfn.XLOOKUP(C4662,Table_Tarikan_Warkah[Nomor Sertipikat],Table_Tarikan_Warkah[Nomor Tiket]),"")</f>
        <v>ABCAAHND</v>
      </c>
      <c r="E4662" s="36" t="str">
        <f t="array" ref="E4662">IFNA(_xlfn.XLOOKUP(D4662,Table_Tarikan_Warkah[Nomor Tiket],Table_Tarikan_Warkah[Tanggal diserahkan kepada Validator]),"")</f>
        <v/>
      </c>
      <c r="F4662" s="36" t="str">
        <f t="array" ref="F4662">IFNA(_xlfn.XLOOKUP(D4662,Table_Tarikan_Warkah[Nomor Tiket],Table_Tarikan_Warkah[Nama Petugas Warkah]),"")</f>
        <v/>
      </c>
      <c r="G4662" s="39" t="str">
        <f t="array" ref="G4662">IFNA(_xlfn.XLOOKUP(D4662,Table_Tarikan_Warkah[Nomor Tiket],Table_Tarikan_Warkah[Jenis Permohonan]),"")</f>
        <v>APHB</v>
      </c>
      <c r="H4662" s="41" t="s">
        <v>2315</v>
      </c>
      <c r="I4662" s="49" t="s">
        <v>23</v>
      </c>
      <c r="J4662" s="36">
        <f t="shared" si="20"/>
        <v>46006.37117</v>
      </c>
      <c r="K4662" s="69"/>
      <c r="L4662" s="49"/>
      <c r="M4662" s="36" t="str">
        <f t="shared" si="33"/>
        <v/>
      </c>
      <c r="N4662" s="30" t="str">
        <f t="shared" si="34"/>
        <v>BT atau SU Belum Valid</v>
      </c>
      <c r="O4662" s="39" t="str">
        <f t="shared" si="23"/>
        <v/>
      </c>
      <c r="P4662" s="47" t="b">
        <v>0</v>
      </c>
      <c r="Q4662" s="36" t="str">
        <f t="shared" si="35"/>
        <v/>
      </c>
      <c r="R4662" s="47" t="b">
        <v>0</v>
      </c>
      <c r="S4662" s="42" t="str">
        <f t="shared" si="28"/>
        <v/>
      </c>
      <c r="T4662" s="42"/>
    </row>
    <row r="4663" ht="22.5" customHeight="1">
      <c r="B4663" s="42">
        <f t="shared" si="7"/>
        <v>4657</v>
      </c>
      <c r="C4663" s="31" t="s">
        <v>4684</v>
      </c>
      <c r="D4663" s="34" t="str">
        <f t="array" ref="D4663">IFNA(_xlfn.XLOOKUP(C4663,Table_Tarikan_Warkah[Nomor Sertipikat],Table_Tarikan_Warkah[Nomor Tiket]),"")</f>
        <v>K/23/020925/2</v>
      </c>
      <c r="E4663" s="36" t="str">
        <f t="array" ref="E4663">IFNA(_xlfn.XLOOKUP(D4663,Table_Tarikan_Warkah[Nomor Tiket],Table_Tarikan_Warkah[Tanggal diserahkan kepada Validator]),"")</f>
        <v/>
      </c>
      <c r="F4663" s="36" t="str">
        <f t="array" ref="F4663">IFNA(_xlfn.XLOOKUP(D4663,Table_Tarikan_Warkah[Nomor Tiket],Table_Tarikan_Warkah[Nama Petugas Warkah]),"")</f>
        <v/>
      </c>
      <c r="G4663" s="39" t="str">
        <f t="array" ref="G4663">IFNA(_xlfn.XLOOKUP(D4663,Table_Tarikan_Warkah[Nomor Tiket],Table_Tarikan_Warkah[Jenis Permohonan]),"")</f>
        <v>BN HIBAH</v>
      </c>
      <c r="H4663" s="41" t="s">
        <v>2315</v>
      </c>
      <c r="I4663" s="49" t="s">
        <v>23</v>
      </c>
      <c r="J4663" s="36">
        <f t="shared" si="20"/>
        <v>46006.37905</v>
      </c>
      <c r="K4663" s="69"/>
      <c r="L4663" s="49"/>
      <c r="M4663" s="36" t="str">
        <f t="shared" si="33"/>
        <v/>
      </c>
      <c r="N4663" s="30" t="str">
        <f t="shared" si="34"/>
        <v>BT atau SU Belum Valid</v>
      </c>
      <c r="O4663" s="39" t="str">
        <f t="shared" si="23"/>
        <v/>
      </c>
      <c r="P4663" s="47" t="b">
        <v>0</v>
      </c>
      <c r="Q4663" s="36" t="str">
        <f t="shared" si="35"/>
        <v/>
      </c>
      <c r="R4663" s="47" t="b">
        <v>0</v>
      </c>
      <c r="S4663" s="42" t="str">
        <f t="shared" si="28"/>
        <v/>
      </c>
      <c r="T4663" s="42"/>
    </row>
    <row r="4664" ht="22.5" customHeight="1">
      <c r="B4664" s="42">
        <f t="shared" si="7"/>
        <v>4658</v>
      </c>
      <c r="C4664" s="31" t="s">
        <v>4685</v>
      </c>
      <c r="D4664" s="34" t="str">
        <f t="array" ref="D4664">IFNA(_xlfn.XLOOKUP(C4664,Table_Tarikan_Warkah[Nomor Sertipikat],Table_Tarikan_Warkah[Nomor Tiket]),"")</f>
        <v>ABHUKLII</v>
      </c>
      <c r="E4664" s="36" t="str">
        <f t="array" ref="E4664">IFNA(_xlfn.XLOOKUP(D4664,Table_Tarikan_Warkah[Nomor Tiket],Table_Tarikan_Warkah[Tanggal diserahkan kepada Validator]),"")</f>
        <v/>
      </c>
      <c r="F4664" s="36" t="str">
        <f t="array" ref="F4664">IFNA(_xlfn.XLOOKUP(D4664,Table_Tarikan_Warkah[Nomor Tiket],Table_Tarikan_Warkah[Nama Petugas Warkah]),"")</f>
        <v/>
      </c>
      <c r="G4664" s="39" t="str">
        <f t="array" ref="G4664">IFNA(_xlfn.XLOOKUP(D4664,Table_Tarikan_Warkah[Nomor Tiket],Table_Tarikan_Warkah[Jenis Permohonan]),"")</f>
        <v>BN JUAL BELI</v>
      </c>
      <c r="H4664" s="41" t="s">
        <v>2315</v>
      </c>
      <c r="I4664" s="49" t="s">
        <v>23</v>
      </c>
      <c r="J4664" s="36">
        <f t="shared" si="20"/>
        <v>46006.37922</v>
      </c>
      <c r="K4664" s="69"/>
      <c r="L4664" s="49"/>
      <c r="M4664" s="36" t="str">
        <f t="shared" si="33"/>
        <v/>
      </c>
      <c r="N4664" s="30" t="str">
        <f t="shared" si="34"/>
        <v>BT atau SU Belum Valid</v>
      </c>
      <c r="O4664" s="39" t="str">
        <f t="shared" si="23"/>
        <v/>
      </c>
      <c r="P4664" s="47" t="b">
        <v>0</v>
      </c>
      <c r="Q4664" s="36" t="str">
        <f t="shared" si="35"/>
        <v/>
      </c>
      <c r="R4664" s="47" t="b">
        <v>0</v>
      </c>
      <c r="S4664" s="42" t="str">
        <f t="shared" si="28"/>
        <v/>
      </c>
      <c r="T4664" s="42"/>
    </row>
    <row r="4665" ht="22.5" customHeight="1">
      <c r="B4665" s="42">
        <f t="shared" si="7"/>
        <v>4659</v>
      </c>
      <c r="C4665" s="31" t="s">
        <v>4686</v>
      </c>
      <c r="D4665" s="34" t="str">
        <f t="array" ref="D4665">IFNA(_xlfn.XLOOKUP(C4665,Table_Tarikan_Warkah[Nomor Sertipikat],Table_Tarikan_Warkah[Nomor Tiket]),"")</f>
        <v>ABRBXZDM/1</v>
      </c>
      <c r="E4665" s="36" t="str">
        <f t="array" ref="E4665">IFNA(_xlfn.XLOOKUP(D4665,Table_Tarikan_Warkah[Nomor Tiket],Table_Tarikan_Warkah[Tanggal diserahkan kepada Validator]),"")</f>
        <v/>
      </c>
      <c r="F4665" s="36" t="str">
        <f t="array" ref="F4665">IFNA(_xlfn.XLOOKUP(D4665,Table_Tarikan_Warkah[Nomor Tiket],Table_Tarikan_Warkah[Nama Petugas Warkah]),"")</f>
        <v/>
      </c>
      <c r="G4665" s="39" t="str">
        <f t="array" ref="G4665">IFNA(_xlfn.XLOOKUP(D4665,Table_Tarikan_Warkah[Nomor Tiket],Table_Tarikan_Warkah[Jenis Permohonan]),"")</f>
        <v>Ajb</v>
      </c>
      <c r="H4665" s="41" t="s">
        <v>2315</v>
      </c>
      <c r="I4665" s="49" t="s">
        <v>23</v>
      </c>
      <c r="J4665" s="36">
        <f t="shared" si="20"/>
        <v>46006.3794</v>
      </c>
      <c r="K4665" s="69"/>
      <c r="L4665" s="49"/>
      <c r="M4665" s="36" t="str">
        <f t="shared" si="33"/>
        <v/>
      </c>
      <c r="N4665" s="30" t="str">
        <f t="shared" si="34"/>
        <v>BT atau SU Belum Valid</v>
      </c>
      <c r="O4665" s="39" t="str">
        <f t="shared" si="23"/>
        <v/>
      </c>
      <c r="P4665" s="47" t="b">
        <v>0</v>
      </c>
      <c r="Q4665" s="36" t="str">
        <f t="shared" si="35"/>
        <v/>
      </c>
      <c r="R4665" s="47" t="b">
        <v>0</v>
      </c>
      <c r="S4665" s="42" t="str">
        <f t="shared" si="28"/>
        <v/>
      </c>
      <c r="T4665" s="42"/>
    </row>
    <row r="4666" ht="22.5" customHeight="1">
      <c r="B4666" s="42">
        <f t="shared" si="7"/>
        <v>4660</v>
      </c>
      <c r="C4666" s="31" t="s">
        <v>4687</v>
      </c>
      <c r="D4666" s="34" t="str">
        <f t="array" ref="D4666">IFNA(_xlfn.XLOOKUP(C4666,Table_Tarikan_Warkah[Nomor Sertipikat],Table_Tarikan_Warkah[Nomor Tiket]),"")</f>
        <v>K/2/220825/1</v>
      </c>
      <c r="E4666" s="36">
        <f t="array" ref="E4666">IFNA(_xlfn.XLOOKUP(D4666,Table_Tarikan_Warkah[Nomor Tiket],Table_Tarikan_Warkah[Tanggal diserahkan kepada Validator]),"")</f>
        <v>45938.51266</v>
      </c>
      <c r="F4666" s="36" t="str">
        <f t="array" ref="F4666">IFNA(_xlfn.XLOOKUP(D4666,Table_Tarikan_Warkah[Nomor Tiket],Table_Tarikan_Warkah[Nama Petugas Warkah]),"")</f>
        <v>Berry</v>
      </c>
      <c r="G4666" s="39" t="str">
        <f t="array" ref="G4666">IFNA(_xlfn.XLOOKUP(D4666,Table_Tarikan_Warkah[Nomor Tiket],Table_Tarikan_Warkah[Jenis Permohonan]),"")</f>
        <v>BN Jual beli</v>
      </c>
      <c r="H4666" s="41" t="s">
        <v>2315</v>
      </c>
      <c r="I4666" s="49" t="s">
        <v>23</v>
      </c>
      <c r="J4666" s="36">
        <f t="shared" si="20"/>
        <v>46006.3796</v>
      </c>
      <c r="K4666" s="69"/>
      <c r="L4666" s="49"/>
      <c r="M4666" s="36" t="str">
        <f t="shared" si="33"/>
        <v/>
      </c>
      <c r="N4666" s="30" t="str">
        <f t="shared" si="34"/>
        <v>BT atau SU Belum Valid</v>
      </c>
      <c r="O4666" s="39" t="str">
        <f t="shared" si="23"/>
        <v/>
      </c>
      <c r="P4666" s="47" t="b">
        <v>0</v>
      </c>
      <c r="Q4666" s="36" t="str">
        <f t="shared" si="35"/>
        <v/>
      </c>
      <c r="R4666" s="47" t="b">
        <v>0</v>
      </c>
      <c r="S4666" s="42" t="str">
        <f t="shared" si="28"/>
        <v/>
      </c>
      <c r="T4666" s="42"/>
    </row>
    <row r="4667" ht="22.5" customHeight="1">
      <c r="B4667" s="42">
        <f t="shared" si="7"/>
        <v>4661</v>
      </c>
      <c r="C4667" s="31" t="s">
        <v>4688</v>
      </c>
      <c r="D4667" s="34" t="str">
        <f t="array" ref="D4667">IFNA(_xlfn.XLOOKUP(C4667,Table_Tarikan_Warkah[Nomor Sertipikat],Table_Tarikan_Warkah[Nomor Tiket]),"")</f>
        <v>ABDYLYEG</v>
      </c>
      <c r="E4667" s="36" t="str">
        <f t="array" ref="E4667">IFNA(_xlfn.XLOOKUP(D4667,Table_Tarikan_Warkah[Nomor Tiket],Table_Tarikan_Warkah[Tanggal diserahkan kepada Validator]),"")</f>
        <v/>
      </c>
      <c r="F4667" s="36" t="str">
        <f t="array" ref="F4667">IFNA(_xlfn.XLOOKUP(D4667,Table_Tarikan_Warkah[Nomor Tiket],Table_Tarikan_Warkah[Nama Petugas Warkah]),"")</f>
        <v/>
      </c>
      <c r="G4667" s="39" t="str">
        <f t="array" ref="G4667">IFNA(_xlfn.XLOOKUP(D4667,Table_Tarikan_Warkah[Nomor Tiket],Table_Tarikan_Warkah[Jenis Permohonan]),"")</f>
        <v>Balik nama</v>
      </c>
      <c r="H4667" s="41" t="s">
        <v>2315</v>
      </c>
      <c r="I4667" s="49" t="s">
        <v>23</v>
      </c>
      <c r="J4667" s="36">
        <f t="shared" si="20"/>
        <v>46006.37978</v>
      </c>
      <c r="K4667" s="69"/>
      <c r="L4667" s="49"/>
      <c r="M4667" s="36" t="str">
        <f t="shared" si="33"/>
        <v/>
      </c>
      <c r="N4667" s="30" t="str">
        <f t="shared" si="34"/>
        <v>BT atau SU Belum Valid</v>
      </c>
      <c r="O4667" s="39" t="str">
        <f t="shared" si="23"/>
        <v/>
      </c>
      <c r="P4667" s="47" t="b">
        <v>0</v>
      </c>
      <c r="Q4667" s="36" t="str">
        <f t="shared" si="35"/>
        <v/>
      </c>
      <c r="R4667" s="47" t="b">
        <v>0</v>
      </c>
      <c r="S4667" s="42" t="str">
        <f t="shared" si="28"/>
        <v/>
      </c>
      <c r="T4667" s="42"/>
    </row>
    <row r="4668" ht="22.5" customHeight="1">
      <c r="B4668" s="42">
        <f t="shared" si="7"/>
        <v>4662</v>
      </c>
      <c r="C4668" s="31" t="s">
        <v>4689</v>
      </c>
      <c r="D4668" s="34" t="str">
        <f t="array" ref="D4668">IFNA(_xlfn.XLOOKUP(C4668,Table_Tarikan_Warkah[Nomor Sertipikat],Table_Tarikan_Warkah[Nomor Tiket]),"")</f>
        <v>ABFHGHAA</v>
      </c>
      <c r="E4668" s="36" t="str">
        <f t="array" ref="E4668">IFNA(_xlfn.XLOOKUP(D4668,Table_Tarikan_Warkah[Nomor Tiket],Table_Tarikan_Warkah[Tanggal diserahkan kepada Validator]),"")</f>
        <v/>
      </c>
      <c r="F4668" s="36" t="str">
        <f t="array" ref="F4668">IFNA(_xlfn.XLOOKUP(D4668,Table_Tarikan_Warkah[Nomor Tiket],Table_Tarikan_Warkah[Nama Petugas Warkah]),"")</f>
        <v/>
      </c>
      <c r="G4668" s="39" t="str">
        <f t="array" ref="G4668">IFNA(_xlfn.XLOOKUP(D4668,Table_Tarikan_Warkah[Nomor Tiket],Table_Tarikan_Warkah[Jenis Permohonan]),"")</f>
        <v>bn hibah</v>
      </c>
      <c r="H4668" s="41" t="s">
        <v>2315</v>
      </c>
      <c r="I4668" s="49" t="s">
        <v>23</v>
      </c>
      <c r="J4668" s="36">
        <f t="shared" si="20"/>
        <v>46006.37994</v>
      </c>
      <c r="K4668" s="69"/>
      <c r="L4668" s="49"/>
      <c r="M4668" s="36" t="str">
        <f t="shared" si="33"/>
        <v/>
      </c>
      <c r="N4668" s="30" t="str">
        <f t="shared" si="34"/>
        <v>BT atau SU Belum Valid</v>
      </c>
      <c r="O4668" s="39" t="str">
        <f t="shared" si="23"/>
        <v/>
      </c>
      <c r="P4668" s="47" t="b">
        <v>0</v>
      </c>
      <c r="Q4668" s="36" t="str">
        <f t="shared" si="35"/>
        <v/>
      </c>
      <c r="R4668" s="47" t="b">
        <v>0</v>
      </c>
      <c r="S4668" s="42" t="str">
        <f t="shared" si="28"/>
        <v/>
      </c>
      <c r="T4668" s="42"/>
    </row>
    <row r="4669" ht="22.5" customHeight="1">
      <c r="B4669" s="42">
        <f t="shared" si="7"/>
        <v>4663</v>
      </c>
      <c r="C4669" s="31" t="s">
        <v>4690</v>
      </c>
      <c r="D4669" s="34" t="str">
        <f t="array" ref="D4669">IFNA(_xlfn.XLOOKUP(C4669,Table_Tarikan_Warkah[Nomor Sertipikat],Table_Tarikan_Warkah[Nomor Tiket]),"")</f>
        <v>Abmlfdwp</v>
      </c>
      <c r="E4669" s="36" t="str">
        <f t="array" ref="E4669">IFNA(_xlfn.XLOOKUP(D4669,Table_Tarikan_Warkah[Nomor Tiket],Table_Tarikan_Warkah[Tanggal diserahkan kepada Validator]),"")</f>
        <v/>
      </c>
      <c r="F4669" s="36" t="str">
        <f t="array" ref="F4669">IFNA(_xlfn.XLOOKUP(D4669,Table_Tarikan_Warkah[Nomor Tiket],Table_Tarikan_Warkah[Nama Petugas Warkah]),"")</f>
        <v/>
      </c>
      <c r="G4669" s="39" t="str">
        <f t="array" ref="G4669">IFNA(_xlfn.XLOOKUP(D4669,Table_Tarikan_Warkah[Nomor Tiket],Table_Tarikan_Warkah[Jenis Permohonan]),"")</f>
        <v>Bn</v>
      </c>
      <c r="H4669" s="41" t="s">
        <v>2315</v>
      </c>
      <c r="I4669" s="49" t="s">
        <v>23</v>
      </c>
      <c r="J4669" s="36">
        <f t="shared" si="20"/>
        <v>46006.38014</v>
      </c>
      <c r="K4669" s="69"/>
      <c r="L4669" s="49"/>
      <c r="M4669" s="36" t="str">
        <f t="shared" si="33"/>
        <v/>
      </c>
      <c r="N4669" s="30" t="str">
        <f t="shared" si="34"/>
        <v>BT atau SU Belum Valid</v>
      </c>
      <c r="O4669" s="39" t="str">
        <f t="shared" si="23"/>
        <v/>
      </c>
      <c r="P4669" s="47" t="b">
        <v>0</v>
      </c>
      <c r="Q4669" s="36" t="str">
        <f t="shared" si="35"/>
        <v/>
      </c>
      <c r="R4669" s="47" t="b">
        <v>0</v>
      </c>
      <c r="S4669" s="42" t="str">
        <f t="shared" si="28"/>
        <v/>
      </c>
      <c r="T4669" s="42"/>
    </row>
    <row r="4670" ht="22.5" customHeight="1">
      <c r="B4670" s="42">
        <f t="shared" si="7"/>
        <v>4664</v>
      </c>
      <c r="C4670" s="31" t="s">
        <v>4691</v>
      </c>
      <c r="D4670" s="34" t="str">
        <f t="array" ref="D4670">IFNA(_xlfn.XLOOKUP(C4670,Table_Tarikan_Warkah[Nomor Sertipikat],Table_Tarikan_Warkah[Nomor Tiket]),"")</f>
        <v>ABDGHUII</v>
      </c>
      <c r="E4670" s="36" t="str">
        <f t="array" ref="E4670">IFNA(_xlfn.XLOOKUP(D4670,Table_Tarikan_Warkah[Nomor Tiket],Table_Tarikan_Warkah[Tanggal diserahkan kepada Validator]),"")</f>
        <v/>
      </c>
      <c r="F4670" s="36" t="str">
        <f t="array" ref="F4670">IFNA(_xlfn.XLOOKUP(D4670,Table_Tarikan_Warkah[Nomor Tiket],Table_Tarikan_Warkah[Nama Petugas Warkah]),"")</f>
        <v/>
      </c>
      <c r="G4670" s="39" t="str">
        <f t="array" ref="G4670">IFNA(_xlfn.XLOOKUP(D4670,Table_Tarikan_Warkah[Nomor Tiket],Table_Tarikan_Warkah[Jenis Permohonan]),"")</f>
        <v>BN JUAL BELI</v>
      </c>
      <c r="H4670" s="41" t="s">
        <v>2315</v>
      </c>
      <c r="I4670" s="49" t="s">
        <v>23</v>
      </c>
      <c r="J4670" s="36">
        <f t="shared" si="20"/>
        <v>46006.38029</v>
      </c>
      <c r="K4670" s="69"/>
      <c r="L4670" s="49"/>
      <c r="M4670" s="36" t="str">
        <f t="shared" si="33"/>
        <v/>
      </c>
      <c r="N4670" s="30" t="str">
        <f t="shared" si="34"/>
        <v>BT atau SU Belum Valid</v>
      </c>
      <c r="O4670" s="39" t="str">
        <f t="shared" si="23"/>
        <v/>
      </c>
      <c r="P4670" s="47" t="b">
        <v>0</v>
      </c>
      <c r="Q4670" s="36" t="str">
        <f t="shared" si="35"/>
        <v/>
      </c>
      <c r="R4670" s="47" t="b">
        <v>0</v>
      </c>
      <c r="S4670" s="42" t="str">
        <f t="shared" si="28"/>
        <v/>
      </c>
      <c r="T4670" s="42"/>
    </row>
    <row r="4671" ht="22.5" customHeight="1">
      <c r="B4671" s="42">
        <f t="shared" si="7"/>
        <v>4665</v>
      </c>
      <c r="C4671" s="31" t="s">
        <v>4692</v>
      </c>
      <c r="D4671" s="34" t="str">
        <f t="array" ref="D4671">IFNA(_xlfn.XLOOKUP(C4671,Table_Tarikan_Warkah[Nomor Sertipikat],Table_Tarikan_Warkah[Nomor Tiket]),"")</f>
        <v>ABGETGHO</v>
      </c>
      <c r="E4671" s="36" t="str">
        <f t="array" ref="E4671">IFNA(_xlfn.XLOOKUP(D4671,Table_Tarikan_Warkah[Nomor Tiket],Table_Tarikan_Warkah[Tanggal diserahkan kepada Validator]),"")</f>
        <v/>
      </c>
      <c r="F4671" s="36" t="str">
        <f t="array" ref="F4671">IFNA(_xlfn.XLOOKUP(D4671,Table_Tarikan_Warkah[Nomor Tiket],Table_Tarikan_Warkah[Nama Petugas Warkah]),"")</f>
        <v/>
      </c>
      <c r="G4671" s="39" t="str">
        <f t="array" ref="G4671">IFNA(_xlfn.XLOOKUP(D4671,Table_Tarikan_Warkah[Nomor Tiket],Table_Tarikan_Warkah[Jenis Permohonan]),"")</f>
        <v>Bn jual beli</v>
      </c>
      <c r="H4671" s="41" t="s">
        <v>2315</v>
      </c>
      <c r="I4671" s="49" t="s">
        <v>23</v>
      </c>
      <c r="J4671" s="36">
        <f t="shared" si="20"/>
        <v>46006.3853</v>
      </c>
      <c r="K4671" s="69"/>
      <c r="L4671" s="49"/>
      <c r="M4671" s="36" t="str">
        <f t="shared" si="33"/>
        <v/>
      </c>
      <c r="N4671" s="30" t="str">
        <f t="shared" si="34"/>
        <v>BT atau SU Belum Valid</v>
      </c>
      <c r="O4671" s="39" t="str">
        <f t="shared" si="23"/>
        <v/>
      </c>
      <c r="P4671" s="47" t="b">
        <v>0</v>
      </c>
      <c r="Q4671" s="36" t="str">
        <f t="shared" si="35"/>
        <v/>
      </c>
      <c r="R4671" s="47" t="b">
        <v>0</v>
      </c>
      <c r="S4671" s="42" t="str">
        <f t="shared" si="28"/>
        <v/>
      </c>
      <c r="T4671" s="42"/>
    </row>
    <row r="4672" ht="22.5" customHeight="1">
      <c r="B4672" s="42">
        <f t="shared" si="7"/>
        <v>4666</v>
      </c>
      <c r="C4672" s="31" t="s">
        <v>4693</v>
      </c>
      <c r="D4672" s="34" t="str">
        <f t="array" ref="D4672">IFNA(_xlfn.XLOOKUP(C4672,Table_Tarikan_Warkah[Nomor Sertipikat],Table_Tarikan_Warkah[Nomor Tiket]),"")</f>
        <v>ABOWLGQZ</v>
      </c>
      <c r="E4672" s="36" t="str">
        <f t="array" ref="E4672">IFNA(_xlfn.XLOOKUP(D4672,Table_Tarikan_Warkah[Nomor Tiket],Table_Tarikan_Warkah[Tanggal diserahkan kepada Validator]),"")</f>
        <v/>
      </c>
      <c r="F4672" s="36" t="str">
        <f t="array" ref="F4672">IFNA(_xlfn.XLOOKUP(D4672,Table_Tarikan_Warkah[Nomor Tiket],Table_Tarikan_Warkah[Nama Petugas Warkah]),"")</f>
        <v/>
      </c>
      <c r="G4672" s="39" t="str">
        <f t="array" ref="G4672">IFNA(_xlfn.XLOOKUP(D4672,Table_Tarikan_Warkah[Nomor Tiket],Table_Tarikan_Warkah[Jenis Permohonan]),"")</f>
        <v>Balik Nama</v>
      </c>
      <c r="H4672" s="41" t="s">
        <v>2315</v>
      </c>
      <c r="I4672" s="49" t="s">
        <v>23</v>
      </c>
      <c r="J4672" s="36">
        <f t="shared" si="20"/>
        <v>46006.38592</v>
      </c>
      <c r="K4672" s="69"/>
      <c r="L4672" s="49"/>
      <c r="M4672" s="36" t="str">
        <f t="shared" si="33"/>
        <v/>
      </c>
      <c r="N4672" s="30" t="str">
        <f t="shared" si="34"/>
        <v>BT atau SU Belum Valid</v>
      </c>
      <c r="O4672" s="39" t="str">
        <f t="shared" si="23"/>
        <v/>
      </c>
      <c r="P4672" s="47" t="b">
        <v>0</v>
      </c>
      <c r="Q4672" s="36" t="str">
        <f t="shared" si="35"/>
        <v/>
      </c>
      <c r="R4672" s="47" t="b">
        <v>0</v>
      </c>
      <c r="S4672" s="42" t="str">
        <f t="shared" si="28"/>
        <v/>
      </c>
      <c r="T4672" s="42"/>
    </row>
    <row r="4673" ht="22.5" customHeight="1">
      <c r="B4673" s="42">
        <f t="shared" si="7"/>
        <v>4667</v>
      </c>
      <c r="C4673" s="31" t="s">
        <v>4694</v>
      </c>
      <c r="D4673" s="34" t="str">
        <f t="array" ref="D4673">IFNA(_xlfn.XLOOKUP(C4673,Table_Tarikan_Warkah[Nomor Sertipikat],Table_Tarikan_Warkah[Nomor Tiket]),"")</f>
        <v>ABMNMUQV/1</v>
      </c>
      <c r="E4673" s="36" t="str">
        <f t="array" ref="E4673">IFNA(_xlfn.XLOOKUP(D4673,Table_Tarikan_Warkah[Nomor Tiket],Table_Tarikan_Warkah[Tanggal diserahkan kepada Validator]),"")</f>
        <v/>
      </c>
      <c r="F4673" s="36" t="str">
        <f t="array" ref="F4673">IFNA(_xlfn.XLOOKUP(D4673,Table_Tarikan_Warkah[Nomor Tiket],Table_Tarikan_Warkah[Nama Petugas Warkah]),"")</f>
        <v/>
      </c>
      <c r="G4673" s="39" t="str">
        <f t="array" ref="G4673">IFNA(_xlfn.XLOOKUP(D4673,Table_Tarikan_Warkah[Nomor Tiket],Table_Tarikan_Warkah[Jenis Permohonan]),"")</f>
        <v>Ajb</v>
      </c>
      <c r="H4673" s="41" t="s">
        <v>2315</v>
      </c>
      <c r="I4673" s="49" t="s">
        <v>23</v>
      </c>
      <c r="J4673" s="36">
        <f t="shared" si="20"/>
        <v>46006.3865</v>
      </c>
      <c r="K4673" s="69"/>
      <c r="L4673" s="49"/>
      <c r="M4673" s="36" t="str">
        <f t="shared" si="33"/>
        <v/>
      </c>
      <c r="N4673" s="30" t="str">
        <f t="shared" si="34"/>
        <v>BT atau SU Belum Valid</v>
      </c>
      <c r="O4673" s="39" t="str">
        <f t="shared" si="23"/>
        <v/>
      </c>
      <c r="P4673" s="47" t="b">
        <v>0</v>
      </c>
      <c r="Q4673" s="36" t="str">
        <f t="shared" si="35"/>
        <v/>
      </c>
      <c r="R4673" s="47" t="b">
        <v>0</v>
      </c>
      <c r="S4673" s="42" t="str">
        <f t="shared" si="28"/>
        <v/>
      </c>
      <c r="T4673" s="42"/>
    </row>
    <row r="4674" ht="22.5" customHeight="1">
      <c r="B4674" s="42">
        <f t="shared" si="7"/>
        <v>4668</v>
      </c>
      <c r="C4674" s="31" t="s">
        <v>4695</v>
      </c>
      <c r="D4674" s="34" t="str">
        <f t="array" ref="D4674">IFNA(_xlfn.XLOOKUP(C4674,Table_Tarikan_Warkah[Nomor Sertipikat],Table_Tarikan_Warkah[Nomor Tiket]),"")</f>
        <v>ABJTZRUT/AB005</v>
      </c>
      <c r="E4674" s="36" t="str">
        <f t="array" ref="E4674">IFNA(_xlfn.XLOOKUP(D4674,Table_Tarikan_Warkah[Nomor Tiket],Table_Tarikan_Warkah[Tanggal diserahkan kepada Validator]),"")</f>
        <v/>
      </c>
      <c r="F4674" s="36" t="str">
        <f t="array" ref="F4674">IFNA(_xlfn.XLOOKUP(D4674,Table_Tarikan_Warkah[Nomor Tiket],Table_Tarikan_Warkah[Nama Petugas Warkah]),"")</f>
        <v/>
      </c>
      <c r="G4674" s="39" t="str">
        <f t="array" ref="G4674">IFNA(_xlfn.XLOOKUP(D4674,Table_Tarikan_Warkah[Nomor Tiket],Table_Tarikan_Warkah[Jenis Permohonan]),"")</f>
        <v>BN JUAL BELI</v>
      </c>
      <c r="H4674" s="41" t="s">
        <v>2315</v>
      </c>
      <c r="I4674" s="49" t="s">
        <v>23</v>
      </c>
      <c r="J4674" s="36">
        <f t="shared" si="20"/>
        <v>46006.38668</v>
      </c>
      <c r="K4674" s="69"/>
      <c r="L4674" s="49"/>
      <c r="M4674" s="36" t="str">
        <f t="shared" si="33"/>
        <v/>
      </c>
      <c r="N4674" s="30" t="str">
        <f t="shared" si="34"/>
        <v>BT atau SU Belum Valid</v>
      </c>
      <c r="O4674" s="39" t="str">
        <f t="shared" si="23"/>
        <v/>
      </c>
      <c r="P4674" s="47" t="b">
        <v>0</v>
      </c>
      <c r="Q4674" s="36" t="str">
        <f t="shared" si="35"/>
        <v/>
      </c>
      <c r="R4674" s="47" t="b">
        <v>0</v>
      </c>
      <c r="S4674" s="42" t="str">
        <f t="shared" si="28"/>
        <v/>
      </c>
      <c r="T4674" s="42"/>
    </row>
    <row r="4675" ht="22.5" customHeight="1">
      <c r="B4675" s="42">
        <f t="shared" si="7"/>
        <v>4669</v>
      </c>
      <c r="C4675" s="31" t="s">
        <v>4696</v>
      </c>
      <c r="D4675" s="34" t="str">
        <f t="array" ref="D4675">IFNA(_xlfn.XLOOKUP(C4675,Table_Tarikan_Warkah[Nomor Sertipikat],Table_Tarikan_Warkah[Nomor Tiket]),"")</f>
        <v>ABIOTVMQ/AB005</v>
      </c>
      <c r="E4675" s="36" t="str">
        <f t="array" ref="E4675">IFNA(_xlfn.XLOOKUP(D4675,Table_Tarikan_Warkah[Nomor Tiket],Table_Tarikan_Warkah[Tanggal diserahkan kepada Validator]),"")</f>
        <v/>
      </c>
      <c r="F4675" s="36" t="str">
        <f t="array" ref="F4675">IFNA(_xlfn.XLOOKUP(D4675,Table_Tarikan_Warkah[Nomor Tiket],Table_Tarikan_Warkah[Nama Petugas Warkah]),"")</f>
        <v/>
      </c>
      <c r="G4675" s="39" t="str">
        <f t="array" ref="G4675">IFNA(_xlfn.XLOOKUP(D4675,Table_Tarikan_Warkah[Nomor Tiket],Table_Tarikan_Warkah[Jenis Permohonan]),"")</f>
        <v>BN Jual Beli</v>
      </c>
      <c r="H4675" s="41" t="s">
        <v>2315</v>
      </c>
      <c r="I4675" s="49" t="s">
        <v>23</v>
      </c>
      <c r="J4675" s="36">
        <f t="shared" si="20"/>
        <v>46006.38734</v>
      </c>
      <c r="K4675" s="69"/>
      <c r="L4675" s="49"/>
      <c r="M4675" s="36" t="str">
        <f t="shared" si="33"/>
        <v/>
      </c>
      <c r="N4675" s="30" t="str">
        <f t="shared" si="34"/>
        <v>BT atau SU Belum Valid</v>
      </c>
      <c r="O4675" s="39" t="str">
        <f t="shared" si="23"/>
        <v/>
      </c>
      <c r="P4675" s="47" t="b">
        <v>0</v>
      </c>
      <c r="Q4675" s="36" t="str">
        <f t="shared" si="35"/>
        <v/>
      </c>
      <c r="R4675" s="47" t="b">
        <v>0</v>
      </c>
      <c r="S4675" s="42" t="str">
        <f t="shared" si="28"/>
        <v/>
      </c>
      <c r="T4675" s="42"/>
    </row>
    <row r="4676" ht="22.5" customHeight="1">
      <c r="B4676" s="42">
        <f t="shared" si="7"/>
        <v>4670</v>
      </c>
      <c r="C4676" s="31" t="s">
        <v>4697</v>
      </c>
      <c r="D4676" s="34" t="str">
        <f t="array" ref="D4676">IFNA(_xlfn.XLOOKUP(C4676,Table_Tarikan_Warkah[Nomor Sertipikat],Table_Tarikan_Warkah[Nomor Tiket]),"")</f>
        <v>Ab044/ABUFURCL</v>
      </c>
      <c r="E4676" s="36" t="str">
        <f t="array" ref="E4676">IFNA(_xlfn.XLOOKUP(D4676,Table_Tarikan_Warkah[Nomor Tiket],Table_Tarikan_Warkah[Tanggal diserahkan kepada Validator]),"")</f>
        <v/>
      </c>
      <c r="F4676" s="36" t="str">
        <f t="array" ref="F4676">IFNA(_xlfn.XLOOKUP(D4676,Table_Tarikan_Warkah[Nomor Tiket],Table_Tarikan_Warkah[Nama Petugas Warkah]),"")</f>
        <v/>
      </c>
      <c r="G4676" s="39" t="str">
        <f t="array" ref="G4676">IFNA(_xlfn.XLOOKUP(D4676,Table_Tarikan_Warkah[Nomor Tiket],Table_Tarikan_Warkah[Jenis Permohonan]),"")</f>
        <v>BN Jual Beli</v>
      </c>
      <c r="H4676" s="41" t="s">
        <v>2315</v>
      </c>
      <c r="I4676" s="49" t="s">
        <v>23</v>
      </c>
      <c r="J4676" s="36">
        <f t="shared" si="20"/>
        <v>46006.38778</v>
      </c>
      <c r="K4676" s="69"/>
      <c r="L4676" s="49"/>
      <c r="M4676" s="36" t="str">
        <f t="shared" si="33"/>
        <v/>
      </c>
      <c r="N4676" s="30" t="str">
        <f t="shared" si="34"/>
        <v>BT atau SU Belum Valid</v>
      </c>
      <c r="O4676" s="39" t="str">
        <f t="shared" si="23"/>
        <v/>
      </c>
      <c r="P4676" s="47" t="b">
        <v>0</v>
      </c>
      <c r="Q4676" s="36" t="str">
        <f t="shared" si="35"/>
        <v/>
      </c>
      <c r="R4676" s="47" t="b">
        <v>0</v>
      </c>
      <c r="S4676" s="42" t="str">
        <f t="shared" si="28"/>
        <v/>
      </c>
      <c r="T4676" s="42"/>
    </row>
    <row r="4677" ht="22.5" customHeight="1">
      <c r="B4677" s="42">
        <f t="shared" si="7"/>
        <v>4671</v>
      </c>
      <c r="C4677" s="31" t="s">
        <v>4698</v>
      </c>
      <c r="D4677" s="34" t="str">
        <f t="array" ref="D4677">IFNA(_xlfn.XLOOKUP(C4677,Table_Tarikan_Warkah[Nomor Sertipikat],Table_Tarikan_Warkah[Nomor Tiket]),"")</f>
        <v>ABQDVJOG</v>
      </c>
      <c r="E4677" s="36" t="str">
        <f t="array" ref="E4677">IFNA(_xlfn.XLOOKUP(D4677,Table_Tarikan_Warkah[Nomor Tiket],Table_Tarikan_Warkah[Tanggal diserahkan kepada Validator]),"")</f>
        <v/>
      </c>
      <c r="F4677" s="36" t="str">
        <f t="array" ref="F4677">IFNA(_xlfn.XLOOKUP(D4677,Table_Tarikan_Warkah[Nomor Tiket],Table_Tarikan_Warkah[Nama Petugas Warkah]),"")</f>
        <v/>
      </c>
      <c r="G4677" s="39" t="str">
        <f t="array" ref="G4677">IFNA(_xlfn.XLOOKUP(D4677,Table_Tarikan_Warkah[Nomor Tiket],Table_Tarikan_Warkah[Jenis Permohonan]),"")</f>
        <v>AJB Balik Nama</v>
      </c>
      <c r="H4677" s="41" t="s">
        <v>2315</v>
      </c>
      <c r="I4677" s="49" t="s">
        <v>23</v>
      </c>
      <c r="J4677" s="36">
        <f t="shared" si="20"/>
        <v>46006.39088</v>
      </c>
      <c r="K4677" s="69"/>
      <c r="L4677" s="49"/>
      <c r="M4677" s="36" t="str">
        <f t="shared" si="33"/>
        <v/>
      </c>
      <c r="N4677" s="30" t="str">
        <f t="shared" si="34"/>
        <v>BT atau SU Belum Valid</v>
      </c>
      <c r="O4677" s="39" t="str">
        <f t="shared" si="23"/>
        <v/>
      </c>
      <c r="P4677" s="47" t="b">
        <v>0</v>
      </c>
      <c r="Q4677" s="36" t="str">
        <f t="shared" si="35"/>
        <v/>
      </c>
      <c r="R4677" s="47" t="b">
        <v>0</v>
      </c>
      <c r="S4677" s="42" t="str">
        <f t="shared" si="28"/>
        <v/>
      </c>
      <c r="T4677" s="42"/>
    </row>
    <row r="4678" ht="22.5" customHeight="1">
      <c r="B4678" s="42">
        <f t="shared" si="7"/>
        <v>4672</v>
      </c>
      <c r="C4678" s="31" t="s">
        <v>4699</v>
      </c>
      <c r="D4678" s="34" t="str">
        <f t="array" ref="D4678">IFNA(_xlfn.XLOOKUP(C4678,Table_Tarikan_Warkah[Nomor Sertipikat],Table_Tarikan_Warkah[Nomor Tiket]),"")</f>
        <v>Abeafump</v>
      </c>
      <c r="E4678" s="36" t="str">
        <f t="array" ref="E4678">IFNA(_xlfn.XLOOKUP(D4678,Table_Tarikan_Warkah[Nomor Tiket],Table_Tarikan_Warkah[Tanggal diserahkan kepada Validator]),"")</f>
        <v/>
      </c>
      <c r="F4678" s="36" t="str">
        <f t="array" ref="F4678">IFNA(_xlfn.XLOOKUP(D4678,Table_Tarikan_Warkah[Nomor Tiket],Table_Tarikan_Warkah[Nama Petugas Warkah]),"")</f>
        <v/>
      </c>
      <c r="G4678" s="39" t="str">
        <f t="array" ref="G4678">IFNA(_xlfn.XLOOKUP(D4678,Table_Tarikan_Warkah[Nomor Tiket],Table_Tarikan_Warkah[Jenis Permohonan]),"")</f>
        <v>BN jual beli</v>
      </c>
      <c r="H4678" s="41" t="s">
        <v>2315</v>
      </c>
      <c r="I4678" s="49" t="s">
        <v>23</v>
      </c>
      <c r="J4678" s="36">
        <f t="shared" si="20"/>
        <v>46006.39185</v>
      </c>
      <c r="K4678" s="69"/>
      <c r="L4678" s="49"/>
      <c r="M4678" s="36" t="str">
        <f t="shared" si="33"/>
        <v/>
      </c>
      <c r="N4678" s="30" t="str">
        <f t="shared" si="34"/>
        <v>BT atau SU Belum Valid</v>
      </c>
      <c r="O4678" s="39" t="str">
        <f t="shared" si="23"/>
        <v/>
      </c>
      <c r="P4678" s="47" t="b">
        <v>0</v>
      </c>
      <c r="Q4678" s="36" t="str">
        <f t="shared" si="35"/>
        <v/>
      </c>
      <c r="R4678" s="47" t="b">
        <v>0</v>
      </c>
      <c r="S4678" s="42" t="str">
        <f t="shared" si="28"/>
        <v/>
      </c>
      <c r="T4678" s="42"/>
    </row>
    <row r="4679" ht="22.5" customHeight="1">
      <c r="B4679" s="42">
        <f t="shared" si="7"/>
        <v>4673</v>
      </c>
      <c r="C4679" s="31" t="s">
        <v>4700</v>
      </c>
      <c r="D4679" s="34" t="str">
        <f t="array" ref="D4679">IFNA(_xlfn.XLOOKUP(C4679,Table_Tarikan_Warkah[Nomor Sertipikat],Table_Tarikan_Warkah[Nomor Tiket]),"")</f>
        <v>ABFHDGML</v>
      </c>
      <c r="E4679" s="36" t="str">
        <f t="array" ref="E4679">IFNA(_xlfn.XLOOKUP(D4679,Table_Tarikan_Warkah[Nomor Tiket],Table_Tarikan_Warkah[Tanggal diserahkan kepada Validator]),"")</f>
        <v/>
      </c>
      <c r="F4679" s="36" t="str">
        <f t="array" ref="F4679">IFNA(_xlfn.XLOOKUP(D4679,Table_Tarikan_Warkah[Nomor Tiket],Table_Tarikan_Warkah[Nama Petugas Warkah]),"")</f>
        <v/>
      </c>
      <c r="G4679" s="39" t="str">
        <f t="array" ref="G4679">IFNA(_xlfn.XLOOKUP(D4679,Table_Tarikan_Warkah[Nomor Tiket],Table_Tarikan_Warkah[Jenis Permohonan]),"")</f>
        <v>BN JUAL BELI</v>
      </c>
      <c r="H4679" s="41" t="s">
        <v>2315</v>
      </c>
      <c r="I4679" s="49" t="s">
        <v>23</v>
      </c>
      <c r="J4679" s="36">
        <f t="shared" si="20"/>
        <v>46006.39213</v>
      </c>
      <c r="K4679" s="69"/>
      <c r="L4679" s="49"/>
      <c r="M4679" s="36" t="str">
        <f t="shared" si="33"/>
        <v/>
      </c>
      <c r="N4679" s="30" t="str">
        <f t="shared" si="34"/>
        <v>BT atau SU Belum Valid</v>
      </c>
      <c r="O4679" s="39" t="str">
        <f t="shared" si="23"/>
        <v/>
      </c>
      <c r="P4679" s="47" t="b">
        <v>0</v>
      </c>
      <c r="Q4679" s="36" t="str">
        <f t="shared" si="35"/>
        <v/>
      </c>
      <c r="R4679" s="47" t="b">
        <v>0</v>
      </c>
      <c r="S4679" s="42" t="str">
        <f t="shared" si="28"/>
        <v/>
      </c>
      <c r="T4679" s="42"/>
    </row>
    <row r="4680" ht="22.5" customHeight="1">
      <c r="B4680" s="42">
        <f t="shared" si="7"/>
        <v>4674</v>
      </c>
      <c r="C4680" s="31" t="s">
        <v>4701</v>
      </c>
      <c r="D4680" s="34" t="str">
        <f t="array" ref="D4680">IFNA(_xlfn.XLOOKUP(C4680,Table_Tarikan_Warkah[Nomor Sertipikat],Table_Tarikan_Warkah[Nomor Tiket]),"")</f>
        <v>ZGRMUCU</v>
      </c>
      <c r="E4680" s="36" t="str">
        <f t="array" ref="E4680">IFNA(_xlfn.XLOOKUP(D4680,Table_Tarikan_Warkah[Nomor Tiket],Table_Tarikan_Warkah[Tanggal diserahkan kepada Validator]),"")</f>
        <v/>
      </c>
      <c r="F4680" s="36" t="str">
        <f t="array" ref="F4680">IFNA(_xlfn.XLOOKUP(D4680,Table_Tarikan_Warkah[Nomor Tiket],Table_Tarikan_Warkah[Nama Petugas Warkah]),"")</f>
        <v/>
      </c>
      <c r="G4680" s="39" t="str">
        <f t="array" ref="G4680">IFNA(_xlfn.XLOOKUP(D4680,Table_Tarikan_Warkah[Nomor Tiket],Table_Tarikan_Warkah[Jenis Permohonan]),"")</f>
        <v>Ganti nama</v>
      </c>
      <c r="H4680" s="41" t="s">
        <v>2315</v>
      </c>
      <c r="I4680" s="49" t="s">
        <v>23</v>
      </c>
      <c r="J4680" s="36">
        <f t="shared" si="20"/>
        <v>46006.39239</v>
      </c>
      <c r="K4680" s="69"/>
      <c r="L4680" s="49"/>
      <c r="M4680" s="36" t="str">
        <f t="shared" si="33"/>
        <v/>
      </c>
      <c r="N4680" s="30" t="str">
        <f t="shared" si="34"/>
        <v>BT atau SU Belum Valid</v>
      </c>
      <c r="O4680" s="39" t="str">
        <f t="shared" si="23"/>
        <v/>
      </c>
      <c r="P4680" s="47" t="b">
        <v>0</v>
      </c>
      <c r="Q4680" s="36" t="str">
        <f t="shared" si="35"/>
        <v/>
      </c>
      <c r="R4680" s="47" t="b">
        <v>0</v>
      </c>
      <c r="S4680" s="42" t="str">
        <f t="shared" si="28"/>
        <v/>
      </c>
      <c r="T4680" s="42"/>
    </row>
    <row r="4681" ht="22.5" customHeight="1">
      <c r="B4681" s="42">
        <f t="shared" si="7"/>
        <v>4675</v>
      </c>
      <c r="C4681" s="31" t="s">
        <v>4622</v>
      </c>
      <c r="D4681" s="34" t="str">
        <f t="array" ref="D4681">IFNA(_xlfn.XLOOKUP(C4681,Table_Tarikan_Warkah[Nomor Sertipikat],Table_Tarikan_Warkah[Nomor Tiket]),"")</f>
        <v>ABDKZGLX/AB036</v>
      </c>
      <c r="E4681" s="36">
        <f t="array" ref="E4681">IFNA(_xlfn.XLOOKUP(D4681,Table_Tarikan_Warkah[Nomor Tiket],Table_Tarikan_Warkah[Tanggal diserahkan kepada Validator]),"")</f>
        <v>46020.6545</v>
      </c>
      <c r="F4681" s="36" t="str">
        <f t="array" ref="F4681">IFNA(_xlfn.XLOOKUP(D4681,Table_Tarikan_Warkah[Nomor Tiket],Table_Tarikan_Warkah[Nama Petugas Warkah]),"")</f>
        <v>Berry</v>
      </c>
      <c r="G4681" s="39" t="str">
        <f t="array" ref="G4681">IFNA(_xlfn.XLOOKUP(D4681,Table_Tarikan_Warkah[Nomor Tiket],Table_Tarikan_Warkah[Jenis Permohonan]),"")</f>
        <v>BN JUAL BELI</v>
      </c>
      <c r="H4681" s="41" t="s">
        <v>2315</v>
      </c>
      <c r="I4681" s="49" t="s">
        <v>23</v>
      </c>
      <c r="J4681" s="36">
        <f t="shared" si="20"/>
        <v>46006.39267</v>
      </c>
      <c r="K4681" s="69"/>
      <c r="L4681" s="49"/>
      <c r="M4681" s="36" t="str">
        <f t="shared" si="33"/>
        <v/>
      </c>
      <c r="N4681" s="30" t="str">
        <f t="shared" si="34"/>
        <v>BT atau SU Belum Valid</v>
      </c>
      <c r="O4681" s="39" t="str">
        <f t="shared" si="23"/>
        <v/>
      </c>
      <c r="P4681" s="47" t="b">
        <v>0</v>
      </c>
      <c r="Q4681" s="36" t="str">
        <f t="shared" si="35"/>
        <v/>
      </c>
      <c r="R4681" s="47" t="b">
        <v>0</v>
      </c>
      <c r="S4681" s="42" t="str">
        <f t="shared" si="28"/>
        <v/>
      </c>
      <c r="T4681" s="42"/>
    </row>
    <row r="4682" ht="22.5" customHeight="1">
      <c r="B4682" s="42">
        <f t="shared" si="7"/>
        <v>4676</v>
      </c>
      <c r="C4682" s="31" t="s">
        <v>4702</v>
      </c>
      <c r="D4682" s="34" t="str">
        <f t="array" ref="D4682">IFNA(_xlfn.XLOOKUP(C4682,Table_Tarikan_Warkah[Nomor Sertipikat],Table_Tarikan_Warkah[Nomor Tiket]),"")</f>
        <v>K/12/220725/1</v>
      </c>
      <c r="E4682" s="36" t="str">
        <f t="array" ref="E4682">IFNA(_xlfn.XLOOKUP(D4682,Table_Tarikan_Warkah[Nomor Tiket],Table_Tarikan_Warkah[Tanggal diserahkan kepada Validator]),"")</f>
        <v/>
      </c>
      <c r="F4682" s="36" t="str">
        <f t="array" ref="F4682">IFNA(_xlfn.XLOOKUP(D4682,Table_Tarikan_Warkah[Nomor Tiket],Table_Tarikan_Warkah[Nama Petugas Warkah]),"")</f>
        <v/>
      </c>
      <c r="G4682" s="39" t="str">
        <f t="array" ref="G4682">IFNA(_xlfn.XLOOKUP(D4682,Table_Tarikan_Warkah[Nomor Tiket],Table_Tarikan_Warkah[Jenis Permohonan]),"")</f>
        <v>PERUBAHAN HAK</v>
      </c>
      <c r="H4682" s="41" t="s">
        <v>2315</v>
      </c>
      <c r="I4682" s="49" t="s">
        <v>23</v>
      </c>
      <c r="J4682" s="36">
        <f t="shared" si="20"/>
        <v>46007.42269</v>
      </c>
      <c r="K4682" s="69"/>
      <c r="L4682" s="49"/>
      <c r="M4682" s="36" t="str">
        <f t="shared" si="33"/>
        <v/>
      </c>
      <c r="N4682" s="30" t="str">
        <f t="shared" si="34"/>
        <v>BT atau SU Belum Valid</v>
      </c>
      <c r="O4682" s="39" t="str">
        <f t="shared" si="23"/>
        <v/>
      </c>
      <c r="P4682" s="47" t="b">
        <v>0</v>
      </c>
      <c r="Q4682" s="36" t="str">
        <f t="shared" si="35"/>
        <v/>
      </c>
      <c r="R4682" s="47" t="b">
        <v>0</v>
      </c>
      <c r="S4682" s="42" t="str">
        <f t="shared" si="28"/>
        <v/>
      </c>
      <c r="T4682" s="42"/>
    </row>
    <row r="4683" ht="22.5" customHeight="1">
      <c r="B4683" s="42">
        <f t="shared" si="7"/>
        <v>4677</v>
      </c>
      <c r="C4683" s="31" t="s">
        <v>4703</v>
      </c>
      <c r="D4683" s="34" t="str">
        <f t="array" ref="D4683">IFNA(_xlfn.XLOOKUP(C4683,Table_Tarikan_Warkah[Nomor Sertipikat],Table_Tarikan_Warkah[Nomor Tiket]),"")</f>
        <v>ABEAIURB</v>
      </c>
      <c r="E4683" s="36" t="str">
        <f t="array" ref="E4683">IFNA(_xlfn.XLOOKUP(D4683,Table_Tarikan_Warkah[Nomor Tiket],Table_Tarikan_Warkah[Tanggal diserahkan kepada Validator]),"")</f>
        <v/>
      </c>
      <c r="F4683" s="36" t="str">
        <f t="array" ref="F4683">IFNA(_xlfn.XLOOKUP(D4683,Table_Tarikan_Warkah[Nomor Tiket],Table_Tarikan_Warkah[Nama Petugas Warkah]),"")</f>
        <v/>
      </c>
      <c r="G4683" s="39" t="str">
        <f t="array" ref="G4683">IFNA(_xlfn.XLOOKUP(D4683,Table_Tarikan_Warkah[Nomor Tiket],Table_Tarikan_Warkah[Jenis Permohonan]),"")</f>
        <v>Roya hak tanggungan </v>
      </c>
      <c r="H4683" s="41" t="s">
        <v>2315</v>
      </c>
      <c r="I4683" s="49" t="s">
        <v>23</v>
      </c>
      <c r="J4683" s="36">
        <f t="shared" si="20"/>
        <v>46007.4227</v>
      </c>
      <c r="K4683" s="69"/>
      <c r="L4683" s="49"/>
      <c r="M4683" s="36" t="str">
        <f t="shared" si="33"/>
        <v/>
      </c>
      <c r="N4683" s="30" t="str">
        <f t="shared" si="34"/>
        <v>BT atau SU Belum Valid</v>
      </c>
      <c r="O4683" s="39" t="str">
        <f t="shared" si="23"/>
        <v/>
      </c>
      <c r="P4683" s="47" t="b">
        <v>0</v>
      </c>
      <c r="Q4683" s="36" t="str">
        <f t="shared" si="35"/>
        <v/>
      </c>
      <c r="R4683" s="47" t="b">
        <v>0</v>
      </c>
      <c r="S4683" s="42" t="str">
        <f t="shared" si="28"/>
        <v/>
      </c>
      <c r="T4683" s="42"/>
    </row>
    <row r="4684" ht="22.5" customHeight="1">
      <c r="B4684" s="42">
        <f t="shared" si="7"/>
        <v>4678</v>
      </c>
      <c r="C4684" s="31" t="s">
        <v>3687</v>
      </c>
      <c r="D4684" s="34" t="str">
        <f t="array" ref="D4684">IFNA(_xlfn.XLOOKUP(C4684,Table_Tarikan_Warkah[Nomor Sertipikat],Table_Tarikan_Warkah[Nomor Tiket]),"")</f>
        <v>K/32/200825/1</v>
      </c>
      <c r="E4684" s="36">
        <f t="array" ref="E4684">IFNA(_xlfn.XLOOKUP(D4684,Table_Tarikan_Warkah[Nomor Tiket],Table_Tarikan_Warkah[Tanggal diserahkan kepada Validator]),"")</f>
        <v>45908.66963</v>
      </c>
      <c r="F4684" s="36" t="str">
        <f t="array" ref="F4684">IFNA(_xlfn.XLOOKUP(D4684,Table_Tarikan_Warkah[Nomor Tiket],Table_Tarikan_Warkah[Nama Petugas Warkah]),"")</f>
        <v>Berry</v>
      </c>
      <c r="G4684" s="39" t="str">
        <f t="array" ref="G4684">IFNA(_xlfn.XLOOKUP(D4684,Table_Tarikan_Warkah[Nomor Tiket],Table_Tarikan_Warkah[Jenis Permohonan]),"")</f>
        <v>BN JUAL BELI</v>
      </c>
      <c r="H4684" s="41" t="s">
        <v>2315</v>
      </c>
      <c r="I4684" s="49" t="s">
        <v>23</v>
      </c>
      <c r="J4684" s="36">
        <f t="shared" si="20"/>
        <v>46007.42272</v>
      </c>
      <c r="K4684" s="69"/>
      <c r="L4684" s="49"/>
      <c r="M4684" s="36" t="str">
        <f t="shared" si="33"/>
        <v/>
      </c>
      <c r="N4684" s="30" t="str">
        <f t="shared" si="34"/>
        <v>BT atau SU Belum Valid</v>
      </c>
      <c r="O4684" s="39" t="str">
        <f t="shared" si="23"/>
        <v/>
      </c>
      <c r="P4684" s="47" t="b">
        <v>0</v>
      </c>
      <c r="Q4684" s="36" t="str">
        <f t="shared" si="35"/>
        <v/>
      </c>
      <c r="R4684" s="47" t="b">
        <v>0</v>
      </c>
      <c r="S4684" s="42" t="str">
        <f t="shared" si="28"/>
        <v/>
      </c>
      <c r="T4684" s="42"/>
    </row>
    <row r="4685" ht="22.5" customHeight="1">
      <c r="B4685" s="42">
        <f t="shared" si="7"/>
        <v>4679</v>
      </c>
      <c r="C4685" s="31" t="s">
        <v>4704</v>
      </c>
      <c r="D4685" s="34" t="str">
        <f t="array" ref="D4685">IFNA(_xlfn.XLOOKUP(C4685,Table_Tarikan_Warkah[Nomor Sertipikat],Table_Tarikan_Warkah[Nomor Tiket]),"")</f>
        <v>K/28/081025/1</v>
      </c>
      <c r="E4685" s="36" t="str">
        <f t="array" ref="E4685">IFNA(_xlfn.XLOOKUP(D4685,Table_Tarikan_Warkah[Nomor Tiket],Table_Tarikan_Warkah[Tanggal diserahkan kepada Validator]),"")</f>
        <v/>
      </c>
      <c r="F4685" s="36" t="str">
        <f t="array" ref="F4685">IFNA(_xlfn.XLOOKUP(D4685,Table_Tarikan_Warkah[Nomor Tiket],Table_Tarikan_Warkah[Nama Petugas Warkah]),"")</f>
        <v/>
      </c>
      <c r="G4685" s="39" t="str">
        <f t="array" ref="G4685">IFNA(_xlfn.XLOOKUP(D4685,Table_Tarikan_Warkah[Nomor Tiket],Table_Tarikan_Warkah[Jenis Permohonan]),"")</f>
        <v>BN JUAL BELI</v>
      </c>
      <c r="H4685" s="41" t="s">
        <v>2315</v>
      </c>
      <c r="I4685" s="49" t="s">
        <v>23</v>
      </c>
      <c r="J4685" s="36">
        <f t="shared" si="20"/>
        <v>46007.423</v>
      </c>
      <c r="K4685" s="69"/>
      <c r="L4685" s="49"/>
      <c r="M4685" s="36" t="str">
        <f t="shared" si="33"/>
        <v/>
      </c>
      <c r="N4685" s="30" t="str">
        <f t="shared" si="34"/>
        <v>BT atau SU Belum Valid</v>
      </c>
      <c r="O4685" s="39" t="str">
        <f t="shared" si="23"/>
        <v/>
      </c>
      <c r="P4685" s="47" t="b">
        <v>0</v>
      </c>
      <c r="Q4685" s="36" t="str">
        <f t="shared" si="35"/>
        <v/>
      </c>
      <c r="R4685" s="47" t="b">
        <v>0</v>
      </c>
      <c r="S4685" s="42" t="str">
        <f t="shared" si="28"/>
        <v/>
      </c>
      <c r="T4685" s="42"/>
    </row>
    <row r="4686" ht="22.5" customHeight="1">
      <c r="B4686" s="42">
        <f t="shared" si="7"/>
        <v>4680</v>
      </c>
      <c r="C4686" s="31" t="s">
        <v>4705</v>
      </c>
      <c r="D4686" s="34" t="str">
        <f t="array" ref="D4686">IFNA(_xlfn.XLOOKUP(C4686,Table_Tarikan_Warkah[Nomor Sertipikat],Table_Tarikan_Warkah[Nomor Tiket]),"")</f>
        <v>K/19/101025/1</v>
      </c>
      <c r="E4686" s="36" t="str">
        <f t="array" ref="E4686">IFNA(_xlfn.XLOOKUP(D4686,Table_Tarikan_Warkah[Nomor Tiket],Table_Tarikan_Warkah[Tanggal diserahkan kepada Validator]),"")</f>
        <v/>
      </c>
      <c r="F4686" s="36" t="str">
        <f t="array" ref="F4686">IFNA(_xlfn.XLOOKUP(D4686,Table_Tarikan_Warkah[Nomor Tiket],Table_Tarikan_Warkah[Nama Petugas Warkah]),"")</f>
        <v/>
      </c>
      <c r="G4686" s="39" t="str">
        <f t="array" ref="G4686">IFNA(_xlfn.XLOOKUP(D4686,Table_Tarikan_Warkah[Nomor Tiket],Table_Tarikan_Warkah[Jenis Permohonan]),"")</f>
        <v>PTPGT PECAH</v>
      </c>
      <c r="H4686" s="41" t="s">
        <v>2315</v>
      </c>
      <c r="I4686" s="49" t="s">
        <v>23</v>
      </c>
      <c r="J4686" s="36">
        <f t="shared" si="20"/>
        <v>46007.42474</v>
      </c>
      <c r="K4686" s="69"/>
      <c r="L4686" s="49"/>
      <c r="M4686" s="36" t="str">
        <f t="shared" si="33"/>
        <v/>
      </c>
      <c r="N4686" s="30" t="str">
        <f t="shared" si="34"/>
        <v>BT atau SU Belum Valid</v>
      </c>
      <c r="O4686" s="39" t="str">
        <f t="shared" si="23"/>
        <v/>
      </c>
      <c r="P4686" s="47" t="b">
        <v>0</v>
      </c>
      <c r="Q4686" s="36" t="str">
        <f t="shared" si="35"/>
        <v/>
      </c>
      <c r="R4686" s="47" t="b">
        <v>0</v>
      </c>
      <c r="S4686" s="42" t="str">
        <f t="shared" si="28"/>
        <v/>
      </c>
      <c r="T4686" s="42"/>
    </row>
    <row r="4687" ht="22.5" customHeight="1">
      <c r="B4687" s="42">
        <f t="shared" si="7"/>
        <v>4681</v>
      </c>
      <c r="C4687" s="31" t="s">
        <v>4706</v>
      </c>
      <c r="D4687" s="34" t="str">
        <f t="array" ref="D4687">IFNA(_xlfn.XLOOKUP(C4687,Table_Tarikan_Warkah[Nomor Sertipikat],Table_Tarikan_Warkah[Nomor Tiket]),"")</f>
        <v>ABZFMLQIL/AB030</v>
      </c>
      <c r="E4687" s="36" t="str">
        <f t="array" ref="E4687">IFNA(_xlfn.XLOOKUP(D4687,Table_Tarikan_Warkah[Nomor Tiket],Table_Tarikan_Warkah[Tanggal diserahkan kepada Validator]),"")</f>
        <v/>
      </c>
      <c r="F4687" s="36" t="str">
        <f t="array" ref="F4687">IFNA(_xlfn.XLOOKUP(D4687,Table_Tarikan_Warkah[Nomor Tiket],Table_Tarikan_Warkah[Nama Petugas Warkah]),"")</f>
        <v/>
      </c>
      <c r="G4687" s="39" t="str">
        <f t="array" ref="G4687">IFNA(_xlfn.XLOOKUP(D4687,Table_Tarikan_Warkah[Nomor Tiket],Table_Tarikan_Warkah[Jenis Permohonan]),"")</f>
        <v>BN JUAL BELI</v>
      </c>
      <c r="H4687" s="41" t="s">
        <v>2315</v>
      </c>
      <c r="I4687" s="49" t="s">
        <v>23</v>
      </c>
      <c r="J4687" s="36">
        <f t="shared" si="20"/>
        <v>46008.45462</v>
      </c>
      <c r="K4687" s="69"/>
      <c r="L4687" s="49"/>
      <c r="M4687" s="36" t="str">
        <f t="shared" si="33"/>
        <v/>
      </c>
      <c r="N4687" s="30" t="str">
        <f t="shared" si="34"/>
        <v>BT atau SU Belum Valid</v>
      </c>
      <c r="O4687" s="39" t="str">
        <f t="shared" si="23"/>
        <v/>
      </c>
      <c r="P4687" s="47" t="b">
        <v>0</v>
      </c>
      <c r="Q4687" s="36" t="str">
        <f t="shared" si="35"/>
        <v/>
      </c>
      <c r="R4687" s="47" t="b">
        <v>0</v>
      </c>
      <c r="S4687" s="42" t="str">
        <f t="shared" si="28"/>
        <v/>
      </c>
      <c r="T4687" s="42"/>
    </row>
    <row r="4688" ht="22.5" customHeight="1">
      <c r="B4688" s="42">
        <f t="shared" si="7"/>
        <v>4682</v>
      </c>
      <c r="C4688" s="31" t="s">
        <v>4707</v>
      </c>
      <c r="D4688" s="34" t="str">
        <f t="array" ref="D4688">IFNA(_xlfn.XLOOKUP(C4688,Table_Tarikan_Warkah[Nomor Sertipikat],Table_Tarikan_Warkah[Nomor Tiket]),"")</f>
        <v>ABJSCYMQ/AB023</v>
      </c>
      <c r="E4688" s="36" t="str">
        <f t="array" ref="E4688">IFNA(_xlfn.XLOOKUP(D4688,Table_Tarikan_Warkah[Nomor Tiket],Table_Tarikan_Warkah[Tanggal diserahkan kepada Validator]),"")</f>
        <v/>
      </c>
      <c r="F4688" s="36" t="str">
        <f t="array" ref="F4688">IFNA(_xlfn.XLOOKUP(D4688,Table_Tarikan_Warkah[Nomor Tiket],Table_Tarikan_Warkah[Nama Petugas Warkah]),"")</f>
        <v/>
      </c>
      <c r="G4688" s="39" t="str">
        <f t="array" ref="G4688">IFNA(_xlfn.XLOOKUP(D4688,Table_Tarikan_Warkah[Nomor Tiket],Table_Tarikan_Warkah[Jenis Permohonan]),"")</f>
        <v>Hibah</v>
      </c>
      <c r="H4688" s="41" t="s">
        <v>2315</v>
      </c>
      <c r="I4688" s="49" t="s">
        <v>23</v>
      </c>
      <c r="J4688" s="36">
        <f t="shared" si="20"/>
        <v>46008.45462</v>
      </c>
      <c r="K4688" s="69"/>
      <c r="L4688" s="49"/>
      <c r="M4688" s="36" t="str">
        <f t="shared" si="33"/>
        <v/>
      </c>
      <c r="N4688" s="30" t="str">
        <f t="shared" si="34"/>
        <v>BT atau SU Belum Valid</v>
      </c>
      <c r="O4688" s="39" t="str">
        <f t="shared" si="23"/>
        <v/>
      </c>
      <c r="P4688" s="47" t="b">
        <v>0</v>
      </c>
      <c r="Q4688" s="36" t="str">
        <f t="shared" si="35"/>
        <v/>
      </c>
      <c r="R4688" s="47" t="b">
        <v>0</v>
      </c>
      <c r="S4688" s="42" t="str">
        <f t="shared" si="28"/>
        <v/>
      </c>
      <c r="T4688" s="42"/>
    </row>
    <row r="4689" ht="22.5" customHeight="1">
      <c r="B4689" s="42">
        <f t="shared" si="7"/>
        <v>4683</v>
      </c>
      <c r="C4689" s="31" t="s">
        <v>4708</v>
      </c>
      <c r="D4689" s="34" t="str">
        <f t="array" ref="D4689">IFNA(_xlfn.XLOOKUP(C4689,Table_Tarikan_Warkah[Nomor Sertipikat],Table_Tarikan_Warkah[Nomor Tiket]),"")</f>
        <v>ABBVJGBZ/AB049</v>
      </c>
      <c r="E4689" s="36" t="str">
        <f t="array" ref="E4689">IFNA(_xlfn.XLOOKUP(D4689,Table_Tarikan_Warkah[Nomor Tiket],Table_Tarikan_Warkah[Tanggal diserahkan kepada Validator]),"")</f>
        <v/>
      </c>
      <c r="F4689" s="36" t="str">
        <f t="array" ref="F4689">IFNA(_xlfn.XLOOKUP(D4689,Table_Tarikan_Warkah[Nomor Tiket],Table_Tarikan_Warkah[Nama Petugas Warkah]),"")</f>
        <v/>
      </c>
      <c r="G4689" s="39" t="str">
        <f t="array" ref="G4689">IFNA(_xlfn.XLOOKUP(D4689,Table_Tarikan_Warkah[Nomor Tiket],Table_Tarikan_Warkah[Jenis Permohonan]),"")</f>
        <v>BN Hibah</v>
      </c>
      <c r="H4689" s="41" t="s">
        <v>2315</v>
      </c>
      <c r="I4689" s="49" t="s">
        <v>23</v>
      </c>
      <c r="J4689" s="36">
        <f t="shared" si="20"/>
        <v>46008.45462</v>
      </c>
      <c r="K4689" s="69"/>
      <c r="L4689" s="49"/>
      <c r="M4689" s="36" t="str">
        <f t="shared" si="33"/>
        <v/>
      </c>
      <c r="N4689" s="30" t="str">
        <f t="shared" si="34"/>
        <v>BT atau SU Belum Valid</v>
      </c>
      <c r="O4689" s="39" t="str">
        <f t="shared" si="23"/>
        <v/>
      </c>
      <c r="P4689" s="47" t="b">
        <v>0</v>
      </c>
      <c r="Q4689" s="36" t="str">
        <f t="shared" si="35"/>
        <v/>
      </c>
      <c r="R4689" s="47" t="b">
        <v>0</v>
      </c>
      <c r="S4689" s="42" t="str">
        <f t="shared" si="28"/>
        <v/>
      </c>
      <c r="T4689" s="42"/>
    </row>
    <row r="4690" ht="22.5" customHeight="1">
      <c r="B4690" s="42">
        <f t="shared" si="7"/>
        <v>4684</v>
      </c>
      <c r="C4690" s="31" t="s">
        <v>4709</v>
      </c>
      <c r="D4690" s="34" t="str">
        <f t="array" ref="D4690">IFNA(_xlfn.XLOOKUP(C4690,Table_Tarikan_Warkah[Nomor Sertipikat],Table_Tarikan_Warkah[Nomor Tiket]),"")</f>
        <v>ABJJTFES/AB078</v>
      </c>
      <c r="E4690" s="36" t="str">
        <f t="array" ref="E4690">IFNA(_xlfn.XLOOKUP(D4690,Table_Tarikan_Warkah[Nomor Tiket],Table_Tarikan_Warkah[Tanggal diserahkan kepada Validator]),"")</f>
        <v/>
      </c>
      <c r="F4690" s="36" t="str">
        <f t="array" ref="F4690">IFNA(_xlfn.XLOOKUP(D4690,Table_Tarikan_Warkah[Nomor Tiket],Table_Tarikan_Warkah[Nama Petugas Warkah]),"")</f>
        <v/>
      </c>
      <c r="G4690" s="39" t="str">
        <f t="array" ref="G4690">IFNA(_xlfn.XLOOKUP(D4690,Table_Tarikan_Warkah[Nomor Tiket],Table_Tarikan_Warkah[Jenis Permohonan]),"")</f>
        <v>Balik Nama Jual Beli</v>
      </c>
      <c r="H4690" s="41" t="s">
        <v>2315</v>
      </c>
      <c r="I4690" s="49" t="s">
        <v>23</v>
      </c>
      <c r="J4690" s="36">
        <f t="shared" si="20"/>
        <v>46008.45462</v>
      </c>
      <c r="K4690" s="69"/>
      <c r="L4690" s="49"/>
      <c r="M4690" s="36" t="str">
        <f t="shared" si="33"/>
        <v/>
      </c>
      <c r="N4690" s="30" t="str">
        <f t="shared" si="34"/>
        <v>BT atau SU Belum Valid</v>
      </c>
      <c r="O4690" s="39" t="str">
        <f t="shared" si="23"/>
        <v/>
      </c>
      <c r="P4690" s="47" t="b">
        <v>0</v>
      </c>
      <c r="Q4690" s="36" t="str">
        <f t="shared" si="35"/>
        <v/>
      </c>
      <c r="R4690" s="47" t="b">
        <v>0</v>
      </c>
      <c r="S4690" s="42" t="str">
        <f t="shared" si="28"/>
        <v/>
      </c>
      <c r="T4690" s="42"/>
    </row>
    <row r="4691" ht="22.5" customHeight="1">
      <c r="B4691" s="42">
        <f t="shared" si="7"/>
        <v>4685</v>
      </c>
      <c r="C4691" s="31" t="s">
        <v>4710</v>
      </c>
      <c r="D4691" s="34" t="str">
        <f t="array" ref="D4691">IFNA(_xlfn.XLOOKUP(C4691,Table_Tarikan_Warkah[Nomor Sertipikat],Table_Tarikan_Warkah[Nomor Tiket]),"")</f>
        <v>ABHUBLHV/AB048</v>
      </c>
      <c r="E4691" s="36" t="str">
        <f t="array" ref="E4691">IFNA(_xlfn.XLOOKUP(D4691,Table_Tarikan_Warkah[Nomor Tiket],Table_Tarikan_Warkah[Tanggal diserahkan kepada Validator]),"")</f>
        <v/>
      </c>
      <c r="F4691" s="36" t="str">
        <f t="array" ref="F4691">IFNA(_xlfn.XLOOKUP(D4691,Table_Tarikan_Warkah[Nomor Tiket],Table_Tarikan_Warkah[Nama Petugas Warkah]),"")</f>
        <v/>
      </c>
      <c r="G4691" s="39" t="str">
        <f t="array" ref="G4691">IFNA(_xlfn.XLOOKUP(D4691,Table_Tarikan_Warkah[Nomor Tiket],Table_Tarikan_Warkah[Jenis Permohonan]),"")</f>
        <v>BN Waris</v>
      </c>
      <c r="H4691" s="41" t="s">
        <v>2315</v>
      </c>
      <c r="I4691" s="49" t="s">
        <v>23</v>
      </c>
      <c r="J4691" s="36">
        <f t="shared" si="20"/>
        <v>46008.45462</v>
      </c>
      <c r="K4691" s="69"/>
      <c r="L4691" s="49"/>
      <c r="M4691" s="36" t="str">
        <f t="shared" si="33"/>
        <v/>
      </c>
      <c r="N4691" s="30" t="str">
        <f t="shared" si="34"/>
        <v>BT atau SU Belum Valid</v>
      </c>
      <c r="O4691" s="39" t="str">
        <f t="shared" si="23"/>
        <v/>
      </c>
      <c r="P4691" s="47" t="b">
        <v>0</v>
      </c>
      <c r="Q4691" s="36" t="str">
        <f t="shared" si="35"/>
        <v/>
      </c>
      <c r="R4691" s="47" t="b">
        <v>0</v>
      </c>
      <c r="S4691" s="42" t="str">
        <f t="shared" si="28"/>
        <v/>
      </c>
      <c r="T4691" s="42"/>
    </row>
    <row r="4692" ht="22.5" customHeight="1">
      <c r="B4692" s="42">
        <f t="shared" si="7"/>
        <v>4686</v>
      </c>
      <c r="C4692" s="31" t="s">
        <v>4711</v>
      </c>
      <c r="D4692" s="34" t="str">
        <f t="array" ref="D4692">IFNA(_xlfn.XLOOKUP(C4692,Table_Tarikan_Warkah[Nomor Sertipikat],Table_Tarikan_Warkah[Nomor Tiket]),"")</f>
        <v>ABNNEDZA</v>
      </c>
      <c r="E4692" s="36" t="str">
        <f t="array" ref="E4692">IFNA(_xlfn.XLOOKUP(D4692,Table_Tarikan_Warkah[Nomor Tiket],Table_Tarikan_Warkah[Tanggal diserahkan kepada Validator]),"")</f>
        <v/>
      </c>
      <c r="F4692" s="36" t="str">
        <f t="array" ref="F4692">IFNA(_xlfn.XLOOKUP(D4692,Table_Tarikan_Warkah[Nomor Tiket],Table_Tarikan_Warkah[Nama Petugas Warkah]),"")</f>
        <v/>
      </c>
      <c r="G4692" s="39" t="str">
        <f t="array" ref="G4692">IFNA(_xlfn.XLOOKUP(D4692,Table_Tarikan_Warkah[Nomor Tiket],Table_Tarikan_Warkah[Jenis Permohonan]),"")</f>
        <v>Baliknama jual beli</v>
      </c>
      <c r="H4692" s="41" t="s">
        <v>2315</v>
      </c>
      <c r="I4692" s="49" t="s">
        <v>23</v>
      </c>
      <c r="J4692" s="36">
        <f t="shared" si="20"/>
        <v>46008.45462</v>
      </c>
      <c r="K4692" s="69"/>
      <c r="L4692" s="49"/>
      <c r="M4692" s="36" t="str">
        <f t="shared" si="33"/>
        <v/>
      </c>
      <c r="N4692" s="30" t="str">
        <f t="shared" si="34"/>
        <v>BT atau SU Belum Valid</v>
      </c>
      <c r="O4692" s="39" t="str">
        <f t="shared" si="23"/>
        <v/>
      </c>
      <c r="P4692" s="47" t="b">
        <v>0</v>
      </c>
      <c r="Q4692" s="36" t="str">
        <f t="shared" si="35"/>
        <v/>
      </c>
      <c r="R4692" s="47" t="b">
        <v>0</v>
      </c>
      <c r="S4692" s="42" t="str">
        <f t="shared" si="28"/>
        <v/>
      </c>
      <c r="T4692" s="42"/>
    </row>
    <row r="4693" ht="22.5" customHeight="1">
      <c r="B4693" s="42">
        <f t="shared" si="7"/>
        <v>4687</v>
      </c>
      <c r="C4693" s="31" t="s">
        <v>4712</v>
      </c>
      <c r="D4693" s="34" t="str">
        <f t="array" ref="D4693">IFNA(_xlfn.XLOOKUP(C4693,Table_Tarikan_Warkah[Nomor Sertipikat],Table_Tarikan_Warkah[Nomor Tiket]),"")</f>
        <v>AB39</v>
      </c>
      <c r="E4693" s="36" t="str">
        <f t="array" ref="E4693">IFNA(_xlfn.XLOOKUP(D4693,Table_Tarikan_Warkah[Nomor Tiket],Table_Tarikan_Warkah[Tanggal diserahkan kepada Validator]),"")</f>
        <v/>
      </c>
      <c r="F4693" s="36" t="str">
        <f t="array" ref="F4693">IFNA(_xlfn.XLOOKUP(D4693,Table_Tarikan_Warkah[Nomor Tiket],Table_Tarikan_Warkah[Nama Petugas Warkah]),"")</f>
        <v/>
      </c>
      <c r="G4693" s="39" t="str">
        <f t="array" ref="G4693">IFNA(_xlfn.XLOOKUP(D4693,Table_Tarikan_Warkah[Nomor Tiket],Table_Tarikan_Warkah[Jenis Permohonan]),"")</f>
        <v>Hibah</v>
      </c>
      <c r="H4693" s="41" t="s">
        <v>2315</v>
      </c>
      <c r="I4693" s="49" t="s">
        <v>23</v>
      </c>
      <c r="J4693" s="36">
        <f t="shared" si="20"/>
        <v>46008.45462</v>
      </c>
      <c r="K4693" s="69"/>
      <c r="L4693" s="49"/>
      <c r="M4693" s="36" t="str">
        <f t="shared" si="33"/>
        <v/>
      </c>
      <c r="N4693" s="30" t="str">
        <f t="shared" si="34"/>
        <v>BT atau SU Belum Valid</v>
      </c>
      <c r="O4693" s="39" t="str">
        <f t="shared" si="23"/>
        <v/>
      </c>
      <c r="P4693" s="47" t="b">
        <v>0</v>
      </c>
      <c r="Q4693" s="36" t="str">
        <f t="shared" si="35"/>
        <v/>
      </c>
      <c r="R4693" s="47" t="b">
        <v>0</v>
      </c>
      <c r="S4693" s="42" t="str">
        <f t="shared" si="28"/>
        <v/>
      </c>
      <c r="T4693" s="42"/>
    </row>
    <row r="4694" ht="22.5" customHeight="1">
      <c r="B4694" s="42">
        <f t="shared" si="7"/>
        <v>4688</v>
      </c>
      <c r="C4694" s="31" t="s">
        <v>4713</v>
      </c>
      <c r="D4694" s="34" t="str">
        <f t="array" ref="D4694">IFNA(_xlfn.XLOOKUP(C4694,Table_Tarikan_Warkah[Nomor Sertipikat],Table_Tarikan_Warkah[Nomor Tiket]),"")</f>
        <v>ABYBHWNP/AB056</v>
      </c>
      <c r="E4694" s="36" t="str">
        <f t="array" ref="E4694">IFNA(_xlfn.XLOOKUP(D4694,Table_Tarikan_Warkah[Nomor Tiket],Table_Tarikan_Warkah[Tanggal diserahkan kepada Validator]),"")</f>
        <v/>
      </c>
      <c r="F4694" s="36" t="str">
        <f t="array" ref="F4694">IFNA(_xlfn.XLOOKUP(D4694,Table_Tarikan_Warkah[Nomor Tiket],Table_Tarikan_Warkah[Nama Petugas Warkah]),"")</f>
        <v/>
      </c>
      <c r="G4694" s="39" t="str">
        <f t="array" ref="G4694">IFNA(_xlfn.XLOOKUP(D4694,Table_Tarikan_Warkah[Nomor Tiket],Table_Tarikan_Warkah[Jenis Permohonan]),"")</f>
        <v>Ptpgt</v>
      </c>
      <c r="H4694" s="41" t="s">
        <v>2315</v>
      </c>
      <c r="I4694" s="49"/>
      <c r="J4694" s="36" t="str">
        <f t="shared" si="20"/>
        <v/>
      </c>
      <c r="K4694" s="69"/>
      <c r="L4694" s="49"/>
      <c r="M4694" s="36" t="str">
        <f t="shared" si="33"/>
        <v/>
      </c>
      <c r="N4694" s="30" t="str">
        <f t="shared" si="34"/>
        <v>BT atau SU Belum Valid</v>
      </c>
      <c r="O4694" s="39" t="str">
        <f t="shared" si="23"/>
        <v/>
      </c>
      <c r="P4694" s="47" t="b">
        <v>0</v>
      </c>
      <c r="Q4694" s="36" t="str">
        <f t="shared" si="35"/>
        <v/>
      </c>
      <c r="R4694" s="47" t="b">
        <v>0</v>
      </c>
      <c r="S4694" s="42" t="str">
        <f t="shared" si="28"/>
        <v/>
      </c>
      <c r="T4694" s="42"/>
    </row>
    <row r="4695" ht="22.5" customHeight="1">
      <c r="B4695" s="42">
        <f t="shared" si="7"/>
        <v>4689</v>
      </c>
      <c r="C4695" s="31" t="s">
        <v>4714</v>
      </c>
      <c r="D4695" s="34" t="str">
        <f t="array" ref="D4695">IFNA(_xlfn.XLOOKUP(C4695,Table_Tarikan_Warkah[Nomor Sertipikat],Table_Tarikan_Warkah[Nomor Tiket]),"")</f>
        <v>L/10/301025/1</v>
      </c>
      <c r="E4695" s="36">
        <f t="array" ref="E4695">IFNA(_xlfn.XLOOKUP(D4695,Table_Tarikan_Warkah[Nomor Tiket],Table_Tarikan_Warkah[Tanggal diserahkan kepada Validator]),"")</f>
        <v>45996.47536</v>
      </c>
      <c r="F4695" s="36" t="str">
        <f t="array" ref="F4695">IFNA(_xlfn.XLOOKUP(D4695,Table_Tarikan_Warkah[Nomor Tiket],Table_Tarikan_Warkah[Nama Petugas Warkah]),"")</f>
        <v>Berry</v>
      </c>
      <c r="G4695" s="39" t="str">
        <f t="array" ref="G4695">IFNA(_xlfn.XLOOKUP(D4695,Table_Tarikan_Warkah[Nomor Tiket],Table_Tarikan_Warkah[Jenis Permohonan]),"")</f>
        <v>BN WARIS</v>
      </c>
      <c r="H4695" s="41" t="s">
        <v>2315</v>
      </c>
      <c r="I4695" s="49"/>
      <c r="J4695" s="36" t="str">
        <f t="shared" si="20"/>
        <v/>
      </c>
      <c r="K4695" s="69"/>
      <c r="L4695" s="49"/>
      <c r="M4695" s="36" t="str">
        <f t="shared" si="33"/>
        <v/>
      </c>
      <c r="N4695" s="30" t="str">
        <f t="shared" si="34"/>
        <v>BT atau SU Belum Valid</v>
      </c>
      <c r="O4695" s="39" t="str">
        <f t="shared" si="23"/>
        <v/>
      </c>
      <c r="P4695" s="47" t="b">
        <v>0</v>
      </c>
      <c r="Q4695" s="36" t="str">
        <f t="shared" si="35"/>
        <v/>
      </c>
      <c r="R4695" s="47" t="b">
        <v>0</v>
      </c>
      <c r="S4695" s="42" t="str">
        <f t="shared" si="28"/>
        <v/>
      </c>
      <c r="T4695" s="42"/>
    </row>
    <row r="4696" ht="22.5" customHeight="1">
      <c r="B4696" s="42">
        <f t="shared" si="7"/>
        <v>4690</v>
      </c>
      <c r="C4696" s="31" t="s">
        <v>4715</v>
      </c>
      <c r="D4696" s="34" t="str">
        <f t="array" ref="D4696">IFNA(_xlfn.XLOOKUP(C4696,Table_Tarikan_Warkah[Nomor Sertipikat],Table_Tarikan_Warkah[Nomor Tiket]),"")</f>
        <v>L/3/251025/1</v>
      </c>
      <c r="E4696" s="36" t="str">
        <f t="array" ref="E4696">IFNA(_xlfn.XLOOKUP(D4696,Table_Tarikan_Warkah[Nomor Tiket],Table_Tarikan_Warkah[Tanggal diserahkan kepada Validator]),"")</f>
        <v/>
      </c>
      <c r="F4696" s="36" t="str">
        <f t="array" ref="F4696">IFNA(_xlfn.XLOOKUP(D4696,Table_Tarikan_Warkah[Nomor Tiket],Table_Tarikan_Warkah[Nama Petugas Warkah]),"")</f>
        <v/>
      </c>
      <c r="G4696" s="39" t="str">
        <f t="array" ref="G4696">IFNA(_xlfn.XLOOKUP(D4696,Table_Tarikan_Warkah[Nomor Tiket],Table_Tarikan_Warkah[Jenis Permohonan]),"")</f>
        <v>PTPGT PEMECAHAN</v>
      </c>
      <c r="H4696" s="41" t="s">
        <v>2315</v>
      </c>
      <c r="I4696" s="49"/>
      <c r="J4696" s="36" t="str">
        <f t="shared" si="20"/>
        <v/>
      </c>
      <c r="K4696" s="69"/>
      <c r="L4696" s="49"/>
      <c r="M4696" s="36" t="str">
        <f t="shared" si="33"/>
        <v/>
      </c>
      <c r="N4696" s="30" t="str">
        <f t="shared" si="34"/>
        <v>BT atau SU Belum Valid</v>
      </c>
      <c r="O4696" s="39" t="str">
        <f t="shared" si="23"/>
        <v/>
      </c>
      <c r="P4696" s="47" t="b">
        <v>0</v>
      </c>
      <c r="Q4696" s="36" t="str">
        <f t="shared" si="35"/>
        <v/>
      </c>
      <c r="R4696" s="47" t="b">
        <v>0</v>
      </c>
      <c r="S4696" s="42" t="str">
        <f t="shared" si="28"/>
        <v/>
      </c>
      <c r="T4696" s="42"/>
    </row>
    <row r="4697" ht="22.5" customHeight="1">
      <c r="B4697" s="42">
        <f t="shared" si="7"/>
        <v>4691</v>
      </c>
      <c r="C4697" s="31" t="s">
        <v>4716</v>
      </c>
      <c r="D4697" s="34" t="str">
        <f t="array" ref="D4697">IFNA(_xlfn.XLOOKUP(C4697,Table_Tarikan_Warkah[Nomor Sertipikat],Table_Tarikan_Warkah[Nomor Tiket]),"")</f>
        <v>K/12/031125/2</v>
      </c>
      <c r="E4697" s="36" t="str">
        <f t="array" ref="E4697">IFNA(_xlfn.XLOOKUP(D4697,Table_Tarikan_Warkah[Nomor Tiket],Table_Tarikan_Warkah[Tanggal diserahkan kepada Validator]),"")</f>
        <v/>
      </c>
      <c r="F4697" s="36" t="str">
        <f t="array" ref="F4697">IFNA(_xlfn.XLOOKUP(D4697,Table_Tarikan_Warkah[Nomor Tiket],Table_Tarikan_Warkah[Nama Petugas Warkah]),"")</f>
        <v/>
      </c>
      <c r="G4697" s="39" t="str">
        <f t="array" ref="G4697">IFNA(_xlfn.XLOOKUP(D4697,Table_Tarikan_Warkah[Nomor Tiket],Table_Tarikan_Warkah[Jenis Permohonan]),"")</f>
        <v>BN WARIS</v>
      </c>
      <c r="H4697" s="41" t="s">
        <v>2315</v>
      </c>
      <c r="I4697" s="49"/>
      <c r="J4697" s="36" t="str">
        <f t="shared" si="20"/>
        <v/>
      </c>
      <c r="K4697" s="69"/>
      <c r="L4697" s="49"/>
      <c r="M4697" s="36" t="str">
        <f t="shared" si="33"/>
        <v/>
      </c>
      <c r="N4697" s="30" t="str">
        <f t="shared" si="34"/>
        <v>BT atau SU Belum Valid</v>
      </c>
      <c r="O4697" s="39" t="str">
        <f t="shared" si="23"/>
        <v/>
      </c>
      <c r="P4697" s="47" t="b">
        <v>0</v>
      </c>
      <c r="Q4697" s="36" t="str">
        <f t="shared" si="35"/>
        <v/>
      </c>
      <c r="R4697" s="47" t="b">
        <v>0</v>
      </c>
      <c r="S4697" s="42" t="str">
        <f t="shared" si="28"/>
        <v/>
      </c>
      <c r="T4697" s="42"/>
    </row>
    <row r="4698" ht="22.5" customHeight="1">
      <c r="B4698" s="42">
        <f t="shared" si="7"/>
        <v>4692</v>
      </c>
      <c r="C4698" s="31" t="s">
        <v>4717</v>
      </c>
      <c r="D4698" s="34" t="str">
        <f t="array" ref="D4698">IFNA(_xlfn.XLOOKUP(C4698,Table_Tarikan_Warkah[Nomor Sertipikat],Table_Tarikan_Warkah[Nomor Tiket]),"")</f>
        <v>K/11/031125/1</v>
      </c>
      <c r="E4698" s="36" t="str">
        <f t="array" ref="E4698">IFNA(_xlfn.XLOOKUP(D4698,Table_Tarikan_Warkah[Nomor Tiket],Table_Tarikan_Warkah[Tanggal diserahkan kepada Validator]),"")</f>
        <v/>
      </c>
      <c r="F4698" s="36" t="str">
        <f t="array" ref="F4698">IFNA(_xlfn.XLOOKUP(D4698,Table_Tarikan_Warkah[Nomor Tiket],Table_Tarikan_Warkah[Nama Petugas Warkah]),"")</f>
        <v/>
      </c>
      <c r="G4698" s="39" t="str">
        <f t="array" ref="G4698">IFNA(_xlfn.XLOOKUP(D4698,Table_Tarikan_Warkah[Nomor Tiket],Table_Tarikan_Warkah[Jenis Permohonan]),"")</f>
        <v>BN WARIS </v>
      </c>
      <c r="H4698" s="41" t="s">
        <v>2315</v>
      </c>
      <c r="I4698" s="49"/>
      <c r="J4698" s="36" t="str">
        <f t="shared" si="20"/>
        <v/>
      </c>
      <c r="K4698" s="69"/>
      <c r="L4698" s="49"/>
      <c r="M4698" s="36" t="str">
        <f t="shared" si="33"/>
        <v/>
      </c>
      <c r="N4698" s="30" t="str">
        <f t="shared" si="34"/>
        <v>BT atau SU Belum Valid</v>
      </c>
      <c r="O4698" s="39" t="str">
        <f t="shared" si="23"/>
        <v/>
      </c>
      <c r="P4698" s="47" t="b">
        <v>0</v>
      </c>
      <c r="Q4698" s="36" t="str">
        <f t="shared" si="35"/>
        <v/>
      </c>
      <c r="R4698" s="47" t="b">
        <v>0</v>
      </c>
      <c r="S4698" s="42" t="str">
        <f t="shared" si="28"/>
        <v/>
      </c>
      <c r="T4698" s="42"/>
    </row>
    <row r="4699" ht="22.5" customHeight="1">
      <c r="B4699" s="42">
        <f t="shared" si="7"/>
        <v>4693</v>
      </c>
      <c r="C4699" s="31" t="s">
        <v>4718</v>
      </c>
      <c r="D4699" s="34" t="str">
        <f t="array" ref="D4699">IFNA(_xlfn.XLOOKUP(C4699,Table_Tarikan_Warkah[Nomor Sertipikat],Table_Tarikan_Warkah[Nomor Tiket]),"")</f>
        <v>L/16/221025/1</v>
      </c>
      <c r="E4699" s="36" t="str">
        <f t="array" ref="E4699">IFNA(_xlfn.XLOOKUP(D4699,Table_Tarikan_Warkah[Nomor Tiket],Table_Tarikan_Warkah[Tanggal diserahkan kepada Validator]),"")</f>
        <v/>
      </c>
      <c r="F4699" s="36" t="str">
        <f t="array" ref="F4699">IFNA(_xlfn.XLOOKUP(D4699,Table_Tarikan_Warkah[Nomor Tiket],Table_Tarikan_Warkah[Nama Petugas Warkah]),"")</f>
        <v/>
      </c>
      <c r="G4699" s="39" t="str">
        <f t="array" ref="G4699">IFNA(_xlfn.XLOOKUP(D4699,Table_Tarikan_Warkah[Nomor Tiket],Table_Tarikan_Warkah[Jenis Permohonan]),"")</f>
        <v>ROYA</v>
      </c>
      <c r="H4699" s="41" t="s">
        <v>2315</v>
      </c>
      <c r="I4699" s="49"/>
      <c r="J4699" s="36" t="str">
        <f t="shared" si="20"/>
        <v/>
      </c>
      <c r="K4699" s="69"/>
      <c r="L4699" s="49"/>
      <c r="M4699" s="36" t="str">
        <f t="shared" si="33"/>
        <v/>
      </c>
      <c r="N4699" s="30" t="str">
        <f t="shared" si="34"/>
        <v>BT atau SU Belum Valid</v>
      </c>
      <c r="O4699" s="39" t="str">
        <f t="shared" si="23"/>
        <v/>
      </c>
      <c r="P4699" s="47" t="b">
        <v>0</v>
      </c>
      <c r="Q4699" s="36" t="str">
        <f t="shared" si="35"/>
        <v/>
      </c>
      <c r="R4699" s="47" t="b">
        <v>0</v>
      </c>
      <c r="S4699" s="42" t="str">
        <f t="shared" si="28"/>
        <v/>
      </c>
      <c r="T4699" s="42"/>
    </row>
    <row r="4700" ht="22.5" customHeight="1">
      <c r="B4700" s="42">
        <f t="shared" si="7"/>
        <v>4694</v>
      </c>
      <c r="C4700" s="31" t="s">
        <v>4719</v>
      </c>
      <c r="D4700" s="34" t="str">
        <f t="array" ref="D4700">IFNA(_xlfn.XLOOKUP(C4700,Table_Tarikan_Warkah[Nomor Sertipikat],Table_Tarikan_Warkah[Nomor Tiket]),"")</f>
        <v>ABYRTEDF</v>
      </c>
      <c r="E4700" s="36" t="str">
        <f t="array" ref="E4700">IFNA(_xlfn.XLOOKUP(D4700,Table_Tarikan_Warkah[Nomor Tiket],Table_Tarikan_Warkah[Tanggal diserahkan kepada Validator]),"")</f>
        <v/>
      </c>
      <c r="F4700" s="36" t="str">
        <f t="array" ref="F4700">IFNA(_xlfn.XLOOKUP(D4700,Table_Tarikan_Warkah[Nomor Tiket],Table_Tarikan_Warkah[Nama Petugas Warkah]),"")</f>
        <v/>
      </c>
      <c r="G4700" s="39" t="str">
        <f t="array" ref="G4700">IFNA(_xlfn.XLOOKUP(D4700,Table_Tarikan_Warkah[Nomor Tiket],Table_Tarikan_Warkah[Jenis Permohonan]),"")</f>
        <v>Balik Nama JUAL BELI</v>
      </c>
      <c r="H4700" s="70"/>
      <c r="I4700" s="49"/>
      <c r="J4700" s="36" t="str">
        <f t="shared" si="20"/>
        <v/>
      </c>
      <c r="K4700" s="69"/>
      <c r="L4700" s="49"/>
      <c r="M4700" s="36" t="str">
        <f t="shared" si="33"/>
        <v/>
      </c>
      <c r="N4700" s="30" t="str">
        <f t="shared" si="34"/>
        <v>BT atau SU Belum Valid</v>
      </c>
      <c r="O4700" s="39" t="str">
        <f t="shared" si="23"/>
        <v/>
      </c>
      <c r="P4700" s="47" t="b">
        <v>0</v>
      </c>
      <c r="Q4700" s="36" t="str">
        <f t="shared" si="35"/>
        <v/>
      </c>
      <c r="R4700" s="47" t="b">
        <v>0</v>
      </c>
      <c r="S4700" s="42" t="str">
        <f t="shared" si="28"/>
        <v/>
      </c>
      <c r="T4700" s="42"/>
    </row>
    <row r="4701" ht="22.5" customHeight="1">
      <c r="B4701" s="42">
        <f t="shared" si="7"/>
        <v>4695</v>
      </c>
      <c r="C4701" s="31" t="s">
        <v>4720</v>
      </c>
      <c r="D4701" s="34"/>
      <c r="E4701" s="36" t="str">
        <f t="array" ref="E4701">IFNA(_xlfn.XLOOKUP(D4701,Table_Tarikan_Warkah[Nomor Tiket],Table_Tarikan_Warkah[Tanggal diserahkan kepada Validator]),"")</f>
        <v/>
      </c>
      <c r="F4701" s="36" t="str">
        <f t="array" ref="F4701">IFNA(_xlfn.XLOOKUP(D4701,Table_Tarikan_Warkah[Nomor Tiket],Table_Tarikan_Warkah[Nama Petugas Warkah]),"")</f>
        <v/>
      </c>
      <c r="G4701" s="39" t="str">
        <f t="array" ref="G4701">IFNA(_xlfn.XLOOKUP(D4701,Table_Tarikan_Warkah[Nomor Tiket],Table_Tarikan_Warkah[Jenis Permohonan]),"")</f>
        <v/>
      </c>
      <c r="H4701" s="41" t="s">
        <v>2315</v>
      </c>
      <c r="I4701" s="49" t="s">
        <v>23</v>
      </c>
      <c r="J4701" s="36">
        <f t="shared" si="20"/>
        <v>46010.39939</v>
      </c>
      <c r="K4701" s="69"/>
      <c r="L4701" s="49"/>
      <c r="M4701" s="36" t="str">
        <f t="shared" si="33"/>
        <v/>
      </c>
      <c r="N4701" s="30" t="str">
        <f t="shared" si="34"/>
        <v/>
      </c>
      <c r="O4701" s="39" t="str">
        <f t="shared" si="23"/>
        <v/>
      </c>
      <c r="P4701" s="47" t="b">
        <v>0</v>
      </c>
      <c r="Q4701" s="36" t="str">
        <f t="shared" si="35"/>
        <v/>
      </c>
      <c r="R4701" s="47" t="b">
        <v>0</v>
      </c>
      <c r="S4701" s="42" t="str">
        <f t="shared" si="28"/>
        <v/>
      </c>
      <c r="T4701" s="42"/>
    </row>
    <row r="4702" ht="22.5" customHeight="1">
      <c r="B4702" s="42">
        <f t="shared" si="7"/>
        <v>4696</v>
      </c>
      <c r="C4702" s="31" t="s">
        <v>4721</v>
      </c>
      <c r="D4702" s="34" t="str">
        <f t="array" ref="D4702">IFNA(_xlfn.XLOOKUP(C4702,Table_Tarikan_Warkah[Nomor Sertipikat],Table_Tarikan_Warkah[Nomor Tiket]),"")</f>
        <v>K/44/101025/2</v>
      </c>
      <c r="E4702" s="36" t="str">
        <f t="array" ref="E4702">IFNA(_xlfn.XLOOKUP(D4702,Table_Tarikan_Warkah[Nomor Tiket],Table_Tarikan_Warkah[Tanggal diserahkan kepada Validator]),"")</f>
        <v/>
      </c>
      <c r="F4702" s="36" t="str">
        <f t="array" ref="F4702">IFNA(_xlfn.XLOOKUP(D4702,Table_Tarikan_Warkah[Nomor Tiket],Table_Tarikan_Warkah[Nama Petugas Warkah]),"")</f>
        <v/>
      </c>
      <c r="G4702" s="39" t="str">
        <f t="array" ref="G4702">IFNA(_xlfn.XLOOKUP(D4702,Table_Tarikan_Warkah[Nomor Tiket],Table_Tarikan_Warkah[Jenis Permohonan]),"")</f>
        <v>BN JUAL BELI</v>
      </c>
      <c r="H4702" s="41" t="s">
        <v>2315</v>
      </c>
      <c r="I4702" s="49" t="s">
        <v>23</v>
      </c>
      <c r="J4702" s="36">
        <f t="shared" si="20"/>
        <v>46010.40067</v>
      </c>
      <c r="K4702" s="69"/>
      <c r="L4702" s="49"/>
      <c r="M4702" s="36" t="str">
        <f t="shared" si="33"/>
        <v/>
      </c>
      <c r="N4702" s="30" t="str">
        <f t="shared" si="34"/>
        <v>BT atau SU Belum Valid</v>
      </c>
      <c r="O4702" s="39" t="str">
        <f t="shared" si="23"/>
        <v/>
      </c>
      <c r="P4702" s="47" t="b">
        <v>0</v>
      </c>
      <c r="Q4702" s="36" t="str">
        <f t="shared" si="35"/>
        <v/>
      </c>
      <c r="R4702" s="47" t="b">
        <v>0</v>
      </c>
      <c r="S4702" s="42" t="str">
        <f t="shared" si="28"/>
        <v/>
      </c>
      <c r="T4702" s="42"/>
    </row>
    <row r="4703" ht="22.5" customHeight="1">
      <c r="B4703" s="42">
        <f t="shared" si="7"/>
        <v>4697</v>
      </c>
      <c r="C4703" s="31" t="s">
        <v>4722</v>
      </c>
      <c r="D4703" s="34" t="str">
        <f t="array" ref="D4703">IFNA(_xlfn.XLOOKUP(C4703,Table_Tarikan_Warkah[Nomor Sertipikat],Table_Tarikan_Warkah[Nomor Tiket]),"")</f>
        <v>ABCKJHAF</v>
      </c>
      <c r="E4703" s="36" t="str">
        <f t="array" ref="E4703">IFNA(_xlfn.XLOOKUP(D4703,Table_Tarikan_Warkah[Nomor Tiket],Table_Tarikan_Warkah[Tanggal diserahkan kepada Validator]),"")</f>
        <v/>
      </c>
      <c r="F4703" s="36" t="str">
        <f t="array" ref="F4703">IFNA(_xlfn.XLOOKUP(D4703,Table_Tarikan_Warkah[Nomor Tiket],Table_Tarikan_Warkah[Nama Petugas Warkah]),"")</f>
        <v/>
      </c>
      <c r="G4703" s="39" t="str">
        <f t="array" ref="G4703">IFNA(_xlfn.XLOOKUP(D4703,Table_Tarikan_Warkah[Nomor Tiket],Table_Tarikan_Warkah[Jenis Permohonan]),"")</f>
        <v>AJB BALIK NAMA</v>
      </c>
      <c r="H4703" s="41" t="s">
        <v>2315</v>
      </c>
      <c r="I4703" s="49" t="s">
        <v>23</v>
      </c>
      <c r="J4703" s="36">
        <f t="shared" si="20"/>
        <v>46010.40141</v>
      </c>
      <c r="K4703" s="69"/>
      <c r="L4703" s="49"/>
      <c r="M4703" s="36" t="str">
        <f t="shared" si="33"/>
        <v/>
      </c>
      <c r="N4703" s="30" t="str">
        <f t="shared" si="34"/>
        <v>BT atau SU Belum Valid</v>
      </c>
      <c r="O4703" s="39" t="str">
        <f t="shared" si="23"/>
        <v/>
      </c>
      <c r="P4703" s="47" t="b">
        <v>0</v>
      </c>
      <c r="Q4703" s="36" t="str">
        <f t="shared" si="35"/>
        <v/>
      </c>
      <c r="R4703" s="47" t="b">
        <v>0</v>
      </c>
      <c r="S4703" s="42" t="str">
        <f t="shared" si="28"/>
        <v/>
      </c>
      <c r="T4703" s="42"/>
    </row>
    <row r="4704" ht="22.5" customHeight="1">
      <c r="B4704" s="42">
        <f t="shared" si="7"/>
        <v>4698</v>
      </c>
      <c r="C4704" s="31" t="s">
        <v>4723</v>
      </c>
      <c r="D4704" s="34" t="str">
        <f t="array" ref="D4704">IFNA(_xlfn.XLOOKUP(C4704,Table_Tarikan_Warkah[Nomor Sertipikat],Table_Tarikan_Warkah[Nomor Tiket]),"")</f>
        <v>ABLJWMPU/AB076</v>
      </c>
      <c r="E4704" s="36" t="str">
        <f t="array" ref="E4704">IFNA(_xlfn.XLOOKUP(D4704,Table_Tarikan_Warkah[Nomor Tiket],Table_Tarikan_Warkah[Tanggal diserahkan kepada Validator]),"")</f>
        <v/>
      </c>
      <c r="F4704" s="36" t="str">
        <f t="array" ref="F4704">IFNA(_xlfn.XLOOKUP(D4704,Table_Tarikan_Warkah[Nomor Tiket],Table_Tarikan_Warkah[Nama Petugas Warkah]),"")</f>
        <v/>
      </c>
      <c r="G4704" s="39" t="str">
        <f t="array" ref="G4704">IFNA(_xlfn.XLOOKUP(D4704,Table_Tarikan_Warkah[Nomor Tiket],Table_Tarikan_Warkah[Jenis Permohonan]),"")</f>
        <v>BN JUAL BELI</v>
      </c>
      <c r="H4704" s="41" t="s">
        <v>2315</v>
      </c>
      <c r="I4704" s="49" t="s">
        <v>23</v>
      </c>
      <c r="J4704" s="36">
        <f t="shared" si="20"/>
        <v>46010.4016</v>
      </c>
      <c r="K4704" s="69"/>
      <c r="L4704" s="49"/>
      <c r="M4704" s="36" t="str">
        <f t="shared" si="33"/>
        <v/>
      </c>
      <c r="N4704" s="30" t="str">
        <f t="shared" si="34"/>
        <v>BT atau SU Belum Valid</v>
      </c>
      <c r="O4704" s="39" t="str">
        <f t="shared" si="23"/>
        <v/>
      </c>
      <c r="P4704" s="47" t="b">
        <v>0</v>
      </c>
      <c r="Q4704" s="36" t="str">
        <f t="shared" si="35"/>
        <v/>
      </c>
      <c r="R4704" s="47" t="b">
        <v>0</v>
      </c>
      <c r="S4704" s="42" t="str">
        <f t="shared" si="28"/>
        <v/>
      </c>
      <c r="T4704" s="42"/>
    </row>
    <row r="4705" ht="22.5" customHeight="1">
      <c r="B4705" s="42">
        <f t="shared" si="7"/>
        <v>4699</v>
      </c>
      <c r="C4705" s="31" t="s">
        <v>4724</v>
      </c>
      <c r="D4705" s="34" t="str">
        <f t="array" ref="D4705">IFNA(_xlfn.XLOOKUP(C4705,Table_Tarikan_Warkah[Nomor Sertipikat],Table_Tarikan_Warkah[Nomor Tiket]),"")</f>
        <v>Ab044/ABKUJYAP</v>
      </c>
      <c r="E4705" s="36" t="str">
        <f t="array" ref="E4705">IFNA(_xlfn.XLOOKUP(D4705,Table_Tarikan_Warkah[Nomor Tiket],Table_Tarikan_Warkah[Tanggal diserahkan kepada Validator]),"")</f>
        <v/>
      </c>
      <c r="F4705" s="36" t="str">
        <f t="array" ref="F4705">IFNA(_xlfn.XLOOKUP(D4705,Table_Tarikan_Warkah[Nomor Tiket],Table_Tarikan_Warkah[Nama Petugas Warkah]),"")</f>
        <v/>
      </c>
      <c r="G4705" s="39" t="str">
        <f t="array" ref="G4705">IFNA(_xlfn.XLOOKUP(D4705,Table_Tarikan_Warkah[Nomor Tiket],Table_Tarikan_Warkah[Jenis Permohonan]),"")</f>
        <v>Balik nama</v>
      </c>
      <c r="H4705" s="41" t="s">
        <v>2315</v>
      </c>
      <c r="I4705" s="49" t="s">
        <v>23</v>
      </c>
      <c r="J4705" s="36">
        <f t="shared" si="20"/>
        <v>46010.40245</v>
      </c>
      <c r="K4705" s="69"/>
      <c r="L4705" s="49"/>
      <c r="M4705" s="36" t="str">
        <f t="shared" si="33"/>
        <v/>
      </c>
      <c r="N4705" s="30" t="str">
        <f t="shared" si="34"/>
        <v>BT atau SU Belum Valid</v>
      </c>
      <c r="O4705" s="39" t="str">
        <f t="shared" si="23"/>
        <v/>
      </c>
      <c r="P4705" s="47" t="b">
        <v>0</v>
      </c>
      <c r="Q4705" s="36" t="str">
        <f t="shared" si="35"/>
        <v/>
      </c>
      <c r="R4705" s="47" t="b">
        <v>0</v>
      </c>
      <c r="S4705" s="42" t="str">
        <f t="shared" si="28"/>
        <v/>
      </c>
      <c r="T4705" s="42"/>
    </row>
    <row r="4706" ht="22.5" customHeight="1">
      <c r="B4706" s="42">
        <f t="shared" si="7"/>
        <v>4700</v>
      </c>
      <c r="C4706" s="31" t="s">
        <v>4725</v>
      </c>
      <c r="D4706" s="34" t="str">
        <f t="array" ref="D4706">IFNA(_xlfn.XLOOKUP(C4706,Table_Tarikan_Warkah[Nomor Sertipikat],Table_Tarikan_Warkah[Nomor Tiket]),"")</f>
        <v>ABWXLCKQ</v>
      </c>
      <c r="E4706" s="36" t="str">
        <f t="array" ref="E4706">IFNA(_xlfn.XLOOKUP(D4706,Table_Tarikan_Warkah[Nomor Tiket],Table_Tarikan_Warkah[Tanggal diserahkan kepada Validator]),"")</f>
        <v/>
      </c>
      <c r="F4706" s="36" t="str">
        <f t="array" ref="F4706">IFNA(_xlfn.XLOOKUP(D4706,Table_Tarikan_Warkah[Nomor Tiket],Table_Tarikan_Warkah[Nama Petugas Warkah]),"")</f>
        <v/>
      </c>
      <c r="G4706" s="39" t="str">
        <f t="array" ref="G4706">IFNA(_xlfn.XLOOKUP(D4706,Table_Tarikan_Warkah[Nomor Tiket],Table_Tarikan_Warkah[Jenis Permohonan]),"")</f>
        <v>Bn hibah</v>
      </c>
      <c r="H4706" s="41" t="s">
        <v>2315</v>
      </c>
      <c r="I4706" s="49" t="s">
        <v>23</v>
      </c>
      <c r="J4706" s="36">
        <f t="shared" si="20"/>
        <v>46010.67909</v>
      </c>
      <c r="K4706" s="69"/>
      <c r="L4706" s="49"/>
      <c r="M4706" s="36" t="str">
        <f t="shared" si="33"/>
        <v/>
      </c>
      <c r="N4706" s="30" t="str">
        <f t="shared" si="34"/>
        <v>BT atau SU Belum Valid</v>
      </c>
      <c r="O4706" s="39" t="str">
        <f t="shared" si="23"/>
        <v/>
      </c>
      <c r="P4706" s="47" t="b">
        <v>0</v>
      </c>
      <c r="Q4706" s="36" t="str">
        <f t="shared" si="35"/>
        <v/>
      </c>
      <c r="R4706" s="47" t="b">
        <v>0</v>
      </c>
      <c r="S4706" s="42" t="str">
        <f t="shared" si="28"/>
        <v/>
      </c>
      <c r="T4706" s="42"/>
    </row>
    <row r="4707" ht="22.5" customHeight="1">
      <c r="B4707" s="42">
        <f t="shared" si="7"/>
        <v>4701</v>
      </c>
      <c r="C4707" s="31" t="s">
        <v>4726</v>
      </c>
      <c r="D4707" s="34" t="str">
        <f t="array" ref="D4707">IFNA(_xlfn.XLOOKUP(C4707,Table_Tarikan_Warkah[Nomor Sertipikat],Table_Tarikan_Warkah[Nomor Tiket]),"")</f>
        <v>ABJHUIJH</v>
      </c>
      <c r="E4707" s="36" t="str">
        <f t="array" ref="E4707">IFNA(_xlfn.XLOOKUP(D4707,Table_Tarikan_Warkah[Nomor Tiket],Table_Tarikan_Warkah[Tanggal diserahkan kepada Validator]),"")</f>
        <v/>
      </c>
      <c r="F4707" s="36" t="str">
        <f t="array" ref="F4707">IFNA(_xlfn.XLOOKUP(D4707,Table_Tarikan_Warkah[Nomor Tiket],Table_Tarikan_Warkah[Nama Petugas Warkah]),"")</f>
        <v/>
      </c>
      <c r="G4707" s="39" t="str">
        <f t="array" ref="G4707">IFNA(_xlfn.XLOOKUP(D4707,Table_Tarikan_Warkah[Nomor Tiket],Table_Tarikan_Warkah[Jenis Permohonan]),"")</f>
        <v>Bn hibah</v>
      </c>
      <c r="H4707" s="41" t="s">
        <v>2315</v>
      </c>
      <c r="I4707" s="49" t="s">
        <v>23</v>
      </c>
      <c r="J4707" s="36">
        <f t="shared" si="20"/>
        <v>46010.67922</v>
      </c>
      <c r="K4707" s="69"/>
      <c r="L4707" s="49"/>
      <c r="M4707" s="36" t="str">
        <f t="shared" si="33"/>
        <v/>
      </c>
      <c r="N4707" s="30" t="str">
        <f t="shared" si="34"/>
        <v>BT atau SU Belum Valid</v>
      </c>
      <c r="O4707" s="39" t="str">
        <f t="shared" si="23"/>
        <v/>
      </c>
      <c r="P4707" s="47" t="b">
        <v>0</v>
      </c>
      <c r="Q4707" s="36" t="str">
        <f t="shared" si="35"/>
        <v/>
      </c>
      <c r="R4707" s="47" t="b">
        <v>0</v>
      </c>
      <c r="S4707" s="42" t="str">
        <f t="shared" si="28"/>
        <v/>
      </c>
      <c r="T4707" s="42"/>
    </row>
    <row r="4708" ht="22.5" customHeight="1">
      <c r="B4708" s="42">
        <f t="shared" si="7"/>
        <v>4702</v>
      </c>
      <c r="C4708" s="31" t="s">
        <v>4727</v>
      </c>
      <c r="D4708" s="34" t="str">
        <f t="array" ref="D4708">IFNA(_xlfn.XLOOKUP(C4708,Table_Tarikan_Warkah[Nomor Sertipikat],Table_Tarikan_Warkah[Nomor Tiket]),"")</f>
        <v>ABEAXTPG</v>
      </c>
      <c r="E4708" s="36" t="str">
        <f t="array" ref="E4708">IFNA(_xlfn.XLOOKUP(D4708,Table_Tarikan_Warkah[Nomor Tiket],Table_Tarikan_Warkah[Tanggal diserahkan kepada Validator]),"")</f>
        <v/>
      </c>
      <c r="F4708" s="36" t="str">
        <f t="array" ref="F4708">IFNA(_xlfn.XLOOKUP(D4708,Table_Tarikan_Warkah[Nomor Tiket],Table_Tarikan_Warkah[Nama Petugas Warkah]),"")</f>
        <v/>
      </c>
      <c r="G4708" s="39" t="str">
        <f t="array" ref="G4708">IFNA(_xlfn.XLOOKUP(D4708,Table_Tarikan_Warkah[Nomor Tiket],Table_Tarikan_Warkah[Jenis Permohonan]),"")</f>
        <v>Jual beli/Balik nama</v>
      </c>
      <c r="H4708" s="41" t="s">
        <v>2315</v>
      </c>
      <c r="I4708" s="49" t="s">
        <v>23</v>
      </c>
      <c r="J4708" s="36">
        <f t="shared" si="20"/>
        <v>46010.67935</v>
      </c>
      <c r="K4708" s="69"/>
      <c r="L4708" s="49"/>
      <c r="M4708" s="36" t="str">
        <f t="shared" si="33"/>
        <v/>
      </c>
      <c r="N4708" s="30" t="str">
        <f t="shared" si="34"/>
        <v>BT atau SU Belum Valid</v>
      </c>
      <c r="O4708" s="39" t="str">
        <f t="shared" si="23"/>
        <v/>
      </c>
      <c r="P4708" s="47" t="b">
        <v>0</v>
      </c>
      <c r="Q4708" s="36" t="str">
        <f t="shared" si="35"/>
        <v/>
      </c>
      <c r="R4708" s="47" t="b">
        <v>0</v>
      </c>
      <c r="S4708" s="42" t="str">
        <f t="shared" si="28"/>
        <v/>
      </c>
      <c r="T4708" s="42"/>
    </row>
    <row r="4709" ht="22.5" customHeight="1">
      <c r="B4709" s="42">
        <f t="shared" si="7"/>
        <v>4703</v>
      </c>
      <c r="C4709" s="31" t="s">
        <v>4728</v>
      </c>
      <c r="D4709" s="34" t="str">
        <f t="array" ref="D4709">IFNA(_xlfn.XLOOKUP(C4709,Table_Tarikan_Warkah[Nomor Sertipikat],Table_Tarikan_Warkah[Nomor Tiket]),"")</f>
        <v>ABBWULWP</v>
      </c>
      <c r="E4709" s="36" t="str">
        <f t="array" ref="E4709">IFNA(_xlfn.XLOOKUP(D4709,Table_Tarikan_Warkah[Nomor Tiket],Table_Tarikan_Warkah[Tanggal diserahkan kepada Validator]),"")</f>
        <v/>
      </c>
      <c r="F4709" s="36" t="str">
        <f t="array" ref="F4709">IFNA(_xlfn.XLOOKUP(D4709,Table_Tarikan_Warkah[Nomor Tiket],Table_Tarikan_Warkah[Nama Petugas Warkah]),"")</f>
        <v/>
      </c>
      <c r="G4709" s="39" t="str">
        <f t="array" ref="G4709">IFNA(_xlfn.XLOOKUP(D4709,Table_Tarikan_Warkah[Nomor Tiket],Table_Tarikan_Warkah[Jenis Permohonan]),"")</f>
        <v>BN JUAL BELI</v>
      </c>
      <c r="H4709" s="41" t="s">
        <v>2315</v>
      </c>
      <c r="I4709" s="49" t="s">
        <v>23</v>
      </c>
      <c r="J4709" s="36">
        <f t="shared" si="20"/>
        <v>46010.67948</v>
      </c>
      <c r="K4709" s="69"/>
      <c r="L4709" s="49"/>
      <c r="M4709" s="36" t="str">
        <f t="shared" si="33"/>
        <v/>
      </c>
      <c r="N4709" s="30" t="str">
        <f t="shared" si="34"/>
        <v>BT atau SU Belum Valid</v>
      </c>
      <c r="O4709" s="39" t="str">
        <f t="shared" si="23"/>
        <v/>
      </c>
      <c r="P4709" s="47" t="b">
        <v>0</v>
      </c>
      <c r="Q4709" s="36" t="str">
        <f t="shared" si="35"/>
        <v/>
      </c>
      <c r="R4709" s="47" t="b">
        <v>0</v>
      </c>
      <c r="S4709" s="42" t="str">
        <f t="shared" si="28"/>
        <v/>
      </c>
      <c r="T4709" s="42"/>
    </row>
    <row r="4710" ht="22.5" customHeight="1">
      <c r="B4710" s="42">
        <f t="shared" si="7"/>
        <v>4704</v>
      </c>
      <c r="C4710" s="31" t="s">
        <v>4729</v>
      </c>
      <c r="D4710" s="34" t="str">
        <f t="array" ref="D4710">IFNA(_xlfn.XLOOKUP(C4710,Table_Tarikan_Warkah[Nomor Sertipikat],Table_Tarikan_Warkah[Nomor Tiket]),"")</f>
        <v>ABSQZBMO</v>
      </c>
      <c r="E4710" s="36" t="str">
        <f t="array" ref="E4710">IFNA(_xlfn.XLOOKUP(D4710,Table_Tarikan_Warkah[Nomor Tiket],Table_Tarikan_Warkah[Tanggal diserahkan kepada Validator]),"")</f>
        <v/>
      </c>
      <c r="F4710" s="36" t="str">
        <f t="array" ref="F4710">IFNA(_xlfn.XLOOKUP(D4710,Table_Tarikan_Warkah[Nomor Tiket],Table_Tarikan_Warkah[Nama Petugas Warkah]),"")</f>
        <v/>
      </c>
      <c r="G4710" s="39" t="str">
        <f t="array" ref="G4710">IFNA(_xlfn.XLOOKUP(D4710,Table_Tarikan_Warkah[Nomor Tiket],Table_Tarikan_Warkah[Jenis Permohonan]),"")</f>
        <v>BN Jual Beli</v>
      </c>
      <c r="H4710" s="41" t="s">
        <v>2315</v>
      </c>
      <c r="I4710" s="49" t="s">
        <v>23</v>
      </c>
      <c r="J4710" s="36">
        <f t="shared" si="20"/>
        <v>46010.68056</v>
      </c>
      <c r="K4710" s="69"/>
      <c r="L4710" s="49"/>
      <c r="M4710" s="36" t="str">
        <f t="shared" si="33"/>
        <v/>
      </c>
      <c r="N4710" s="30" t="str">
        <f t="shared" si="34"/>
        <v>BT atau SU Belum Valid</v>
      </c>
      <c r="O4710" s="39" t="str">
        <f t="shared" si="23"/>
        <v/>
      </c>
      <c r="P4710" s="47" t="b">
        <v>0</v>
      </c>
      <c r="Q4710" s="36" t="str">
        <f t="shared" si="35"/>
        <v/>
      </c>
      <c r="R4710" s="47" t="b">
        <v>0</v>
      </c>
      <c r="S4710" s="42" t="str">
        <f t="shared" si="28"/>
        <v/>
      </c>
      <c r="T4710" s="42"/>
    </row>
    <row r="4711" ht="22.5" customHeight="1">
      <c r="B4711" s="42">
        <f t="shared" si="7"/>
        <v>4705</v>
      </c>
      <c r="C4711" s="31" t="s">
        <v>4730</v>
      </c>
      <c r="D4711" s="34" t="str">
        <f t="array" ref="D4711">IFNA(_xlfn.XLOOKUP(C4711,Table_Tarikan_Warkah[Nomor Sertipikat],Table_Tarikan_Warkah[Nomor Tiket]),"")</f>
        <v>ABTIVQWW</v>
      </c>
      <c r="E4711" s="36" t="str">
        <f t="array" ref="E4711">IFNA(_xlfn.XLOOKUP(D4711,Table_Tarikan_Warkah[Nomor Tiket],Table_Tarikan_Warkah[Tanggal diserahkan kepada Validator]),"")</f>
        <v/>
      </c>
      <c r="F4711" s="36" t="str">
        <f t="array" ref="F4711">IFNA(_xlfn.XLOOKUP(D4711,Table_Tarikan_Warkah[Nomor Tiket],Table_Tarikan_Warkah[Nama Petugas Warkah]),"")</f>
        <v/>
      </c>
      <c r="G4711" s="39" t="str">
        <f t="array" ref="G4711">IFNA(_xlfn.XLOOKUP(D4711,Table_Tarikan_Warkah[Nomor Tiket],Table_Tarikan_Warkah[Jenis Permohonan]),"")</f>
        <v>BN JUAL BELI</v>
      </c>
      <c r="H4711" s="41" t="s">
        <v>2315</v>
      </c>
      <c r="I4711" s="49" t="s">
        <v>23</v>
      </c>
      <c r="J4711" s="36">
        <f t="shared" si="20"/>
        <v>46010.68121</v>
      </c>
      <c r="K4711" s="69"/>
      <c r="L4711" s="49"/>
      <c r="M4711" s="36" t="str">
        <f t="shared" si="33"/>
        <v/>
      </c>
      <c r="N4711" s="30" t="str">
        <f t="shared" si="34"/>
        <v>BT atau SU Belum Valid</v>
      </c>
      <c r="O4711" s="39" t="str">
        <f t="shared" si="23"/>
        <v/>
      </c>
      <c r="P4711" s="47" t="b">
        <v>0</v>
      </c>
      <c r="Q4711" s="36" t="str">
        <f t="shared" si="35"/>
        <v/>
      </c>
      <c r="R4711" s="47" t="b">
        <v>0</v>
      </c>
      <c r="S4711" s="42" t="str">
        <f t="shared" si="28"/>
        <v/>
      </c>
      <c r="T4711" s="42"/>
    </row>
    <row r="4712" ht="22.5" customHeight="1">
      <c r="B4712" s="42">
        <f t="shared" si="7"/>
        <v>4706</v>
      </c>
      <c r="C4712" s="31" t="s">
        <v>4731</v>
      </c>
      <c r="D4712" s="34" t="str">
        <f t="array" ref="D4712">IFNA(_xlfn.XLOOKUP(C4712,Table_Tarikan_Warkah[Nomor Sertipikat],Table_Tarikan_Warkah[Nomor Tiket]),"")</f>
        <v>ABFRJENS/1</v>
      </c>
      <c r="E4712" s="36" t="str">
        <f t="array" ref="E4712">IFNA(_xlfn.XLOOKUP(D4712,Table_Tarikan_Warkah[Nomor Tiket],Table_Tarikan_Warkah[Tanggal diserahkan kepada Validator]),"")</f>
        <v/>
      </c>
      <c r="F4712" s="36" t="str">
        <f t="array" ref="F4712">IFNA(_xlfn.XLOOKUP(D4712,Table_Tarikan_Warkah[Nomor Tiket],Table_Tarikan_Warkah[Nama Petugas Warkah]),"")</f>
        <v/>
      </c>
      <c r="G4712" s="39" t="str">
        <f t="array" ref="G4712">IFNA(_xlfn.XLOOKUP(D4712,Table_Tarikan_Warkah[Nomor Tiket],Table_Tarikan_Warkah[Jenis Permohonan]),"")</f>
        <v>Balik nama hibah</v>
      </c>
      <c r="H4712" s="41" t="s">
        <v>2315</v>
      </c>
      <c r="I4712" s="49" t="s">
        <v>23</v>
      </c>
      <c r="J4712" s="36">
        <f t="shared" si="20"/>
        <v>46010.68134</v>
      </c>
      <c r="K4712" s="69"/>
      <c r="L4712" s="49"/>
      <c r="M4712" s="36" t="str">
        <f t="shared" si="33"/>
        <v/>
      </c>
      <c r="N4712" s="30" t="str">
        <f t="shared" si="34"/>
        <v>BT atau SU Belum Valid</v>
      </c>
      <c r="O4712" s="39" t="str">
        <f t="shared" si="23"/>
        <v/>
      </c>
      <c r="P4712" s="47" t="b">
        <v>0</v>
      </c>
      <c r="Q4712" s="36" t="str">
        <f t="shared" si="35"/>
        <v/>
      </c>
      <c r="R4712" s="47" t="b">
        <v>0</v>
      </c>
      <c r="S4712" s="42" t="str">
        <f t="shared" si="28"/>
        <v/>
      </c>
      <c r="T4712" s="42"/>
    </row>
    <row r="4713" ht="22.5" customHeight="1">
      <c r="B4713" s="42">
        <f t="shared" si="7"/>
        <v>4707</v>
      </c>
      <c r="C4713" s="31" t="s">
        <v>4732</v>
      </c>
      <c r="D4713" s="34" t="str">
        <f t="array" ref="D4713">IFNA(_xlfn.XLOOKUP(C4713,Table_Tarikan_Warkah[Nomor Sertipikat],Table_Tarikan_Warkah[Nomor Tiket]),"")</f>
        <v>ABYYWIMF</v>
      </c>
      <c r="E4713" s="36" t="str">
        <f t="array" ref="E4713">IFNA(_xlfn.XLOOKUP(D4713,Table_Tarikan_Warkah[Nomor Tiket],Table_Tarikan_Warkah[Tanggal diserahkan kepada Validator]),"")</f>
        <v/>
      </c>
      <c r="F4713" s="36" t="str">
        <f t="array" ref="F4713">IFNA(_xlfn.XLOOKUP(D4713,Table_Tarikan_Warkah[Nomor Tiket],Table_Tarikan_Warkah[Nama Petugas Warkah]),"")</f>
        <v/>
      </c>
      <c r="G4713" s="39" t="str">
        <f t="array" ref="G4713">IFNA(_xlfn.XLOOKUP(D4713,Table_Tarikan_Warkah[Nomor Tiket],Table_Tarikan_Warkah[Jenis Permohonan]),"")</f>
        <v>BN JUAL BELI</v>
      </c>
      <c r="H4713" s="41" t="s">
        <v>2315</v>
      </c>
      <c r="I4713" s="49" t="s">
        <v>23</v>
      </c>
      <c r="J4713" s="36">
        <f t="shared" si="20"/>
        <v>46010.68148</v>
      </c>
      <c r="K4713" s="69"/>
      <c r="L4713" s="49"/>
      <c r="M4713" s="36" t="str">
        <f t="shared" si="33"/>
        <v/>
      </c>
      <c r="N4713" s="30" t="str">
        <f t="shared" si="34"/>
        <v>BT atau SU Belum Valid</v>
      </c>
      <c r="O4713" s="39" t="str">
        <f t="shared" si="23"/>
        <v/>
      </c>
      <c r="P4713" s="47" t="b">
        <v>0</v>
      </c>
      <c r="Q4713" s="36" t="str">
        <f t="shared" si="35"/>
        <v/>
      </c>
      <c r="R4713" s="47" t="b">
        <v>0</v>
      </c>
      <c r="S4713" s="42" t="str">
        <f t="shared" si="28"/>
        <v/>
      </c>
      <c r="T4713" s="42"/>
    </row>
    <row r="4714" ht="22.5" customHeight="1">
      <c r="B4714" s="42">
        <f t="shared" si="7"/>
        <v>4708</v>
      </c>
      <c r="C4714" s="31" t="s">
        <v>4733</v>
      </c>
      <c r="D4714" s="34" t="str">
        <f t="array" ref="D4714">IFNA(_xlfn.XLOOKUP(C4714,Table_Tarikan_Warkah[Nomor Sertipikat],Table_Tarikan_Warkah[Nomor Tiket]),"")</f>
        <v>ABULBSIL</v>
      </c>
      <c r="E4714" s="36" t="str">
        <f t="array" ref="E4714">IFNA(_xlfn.XLOOKUP(D4714,Table_Tarikan_Warkah[Nomor Tiket],Table_Tarikan_Warkah[Tanggal diserahkan kepada Validator]),"")</f>
        <v/>
      </c>
      <c r="F4714" s="36" t="str">
        <f t="array" ref="F4714">IFNA(_xlfn.XLOOKUP(D4714,Table_Tarikan_Warkah[Nomor Tiket],Table_Tarikan_Warkah[Nama Petugas Warkah]),"")</f>
        <v/>
      </c>
      <c r="G4714" s="39" t="str">
        <f t="array" ref="G4714">IFNA(_xlfn.XLOOKUP(D4714,Table_Tarikan_Warkah[Nomor Tiket],Table_Tarikan_Warkah[Jenis Permohonan]),"")</f>
        <v>Roya</v>
      </c>
      <c r="H4714" s="41" t="s">
        <v>2315</v>
      </c>
      <c r="I4714" s="49" t="s">
        <v>23</v>
      </c>
      <c r="J4714" s="36">
        <f t="shared" si="20"/>
        <v>46014.44231</v>
      </c>
      <c r="K4714" s="69"/>
      <c r="L4714" s="49"/>
      <c r="M4714" s="36" t="str">
        <f t="shared" si="33"/>
        <v/>
      </c>
      <c r="N4714" s="30" t="str">
        <f t="shared" si="34"/>
        <v>BT atau SU Belum Valid</v>
      </c>
      <c r="O4714" s="39" t="str">
        <f t="shared" si="23"/>
        <v/>
      </c>
      <c r="P4714" s="47" t="b">
        <v>0</v>
      </c>
      <c r="Q4714" s="36" t="str">
        <f t="shared" si="35"/>
        <v/>
      </c>
      <c r="R4714" s="47" t="b">
        <v>0</v>
      </c>
      <c r="S4714" s="42" t="str">
        <f t="shared" si="28"/>
        <v/>
      </c>
      <c r="T4714" s="42"/>
    </row>
    <row r="4715" ht="22.5" customHeight="1">
      <c r="B4715" s="42">
        <f t="shared" si="7"/>
        <v>4709</v>
      </c>
      <c r="C4715" s="31" t="s">
        <v>4734</v>
      </c>
      <c r="D4715" s="34" t="str">
        <f t="array" ref="D4715">IFNA(_xlfn.XLOOKUP(C4715,Table_Tarikan_Warkah[Nomor Sertipikat],Table_Tarikan_Warkah[Nomor Tiket]),"")</f>
        <v>ABYLKVAC</v>
      </c>
      <c r="E4715" s="36" t="str">
        <f t="array" ref="E4715">IFNA(_xlfn.XLOOKUP(D4715,Table_Tarikan_Warkah[Nomor Tiket],Table_Tarikan_Warkah[Tanggal diserahkan kepada Validator]),"")</f>
        <v/>
      </c>
      <c r="F4715" s="36" t="str">
        <f t="array" ref="F4715">IFNA(_xlfn.XLOOKUP(D4715,Table_Tarikan_Warkah[Nomor Tiket],Table_Tarikan_Warkah[Nama Petugas Warkah]),"")</f>
        <v/>
      </c>
      <c r="G4715" s="39" t="str">
        <f t="array" ref="G4715">IFNA(_xlfn.XLOOKUP(D4715,Table_Tarikan_Warkah[Nomor Tiket],Table_Tarikan_Warkah[Jenis Permohonan]),"")</f>
        <v>Kewarisan</v>
      </c>
      <c r="H4715" s="41" t="s">
        <v>2315</v>
      </c>
      <c r="I4715" s="49" t="s">
        <v>23</v>
      </c>
      <c r="J4715" s="36">
        <f t="shared" si="20"/>
        <v>46014.44243</v>
      </c>
      <c r="K4715" s="69"/>
      <c r="L4715" s="49"/>
      <c r="M4715" s="36" t="str">
        <f t="shared" si="33"/>
        <v/>
      </c>
      <c r="N4715" s="30" t="str">
        <f t="shared" si="34"/>
        <v>BT atau SU Belum Valid</v>
      </c>
      <c r="O4715" s="39" t="str">
        <f t="shared" si="23"/>
        <v/>
      </c>
      <c r="P4715" s="47" t="b">
        <v>0</v>
      </c>
      <c r="Q4715" s="36" t="str">
        <f t="shared" si="35"/>
        <v/>
      </c>
      <c r="R4715" s="47" t="b">
        <v>0</v>
      </c>
      <c r="S4715" s="42" t="str">
        <f t="shared" si="28"/>
        <v/>
      </c>
      <c r="T4715" s="42"/>
    </row>
    <row r="4716" ht="22.5" customHeight="1">
      <c r="B4716" s="42">
        <f t="shared" si="7"/>
        <v>4710</v>
      </c>
      <c r="C4716" s="31" t="s">
        <v>4735</v>
      </c>
      <c r="D4716" s="34" t="str">
        <f t="array" ref="D4716">IFNA(_xlfn.XLOOKUP(C4716,Table_Tarikan_Warkah[Nomor Sertipikat],Table_Tarikan_Warkah[Nomor Tiket]),"")</f>
        <v>ABVDANRN/AB102</v>
      </c>
      <c r="E4716" s="36" t="str">
        <f t="array" ref="E4716">IFNA(_xlfn.XLOOKUP(D4716,Table_Tarikan_Warkah[Nomor Tiket],Table_Tarikan_Warkah[Tanggal diserahkan kepada Validator]),"")</f>
        <v/>
      </c>
      <c r="F4716" s="36" t="str">
        <f t="array" ref="F4716">IFNA(_xlfn.XLOOKUP(D4716,Table_Tarikan_Warkah[Nomor Tiket],Table_Tarikan_Warkah[Nama Petugas Warkah]),"")</f>
        <v/>
      </c>
      <c r="G4716" s="39" t="str">
        <f t="array" ref="G4716">IFNA(_xlfn.XLOOKUP(D4716,Table_Tarikan_Warkah[Nomor Tiket],Table_Tarikan_Warkah[Jenis Permohonan]),"")</f>
        <v>Turun waris</v>
      </c>
      <c r="H4716" s="41" t="s">
        <v>2315</v>
      </c>
      <c r="I4716" s="49" t="s">
        <v>23</v>
      </c>
      <c r="J4716" s="36">
        <f t="shared" si="20"/>
        <v>46014.44247</v>
      </c>
      <c r="K4716" s="69"/>
      <c r="L4716" s="49"/>
      <c r="M4716" s="36" t="str">
        <f t="shared" si="33"/>
        <v/>
      </c>
      <c r="N4716" s="30" t="str">
        <f t="shared" si="34"/>
        <v>BT atau SU Belum Valid</v>
      </c>
      <c r="O4716" s="39" t="str">
        <f t="shared" si="23"/>
        <v/>
      </c>
      <c r="P4716" s="47" t="b">
        <v>0</v>
      </c>
      <c r="Q4716" s="36" t="str">
        <f t="shared" si="35"/>
        <v/>
      </c>
      <c r="R4716" s="47" t="b">
        <v>0</v>
      </c>
      <c r="S4716" s="42" t="str">
        <f t="shared" si="28"/>
        <v/>
      </c>
      <c r="T4716" s="42"/>
    </row>
    <row r="4717" ht="22.5" customHeight="1">
      <c r="B4717" s="42">
        <f t="shared" si="7"/>
        <v>4711</v>
      </c>
      <c r="C4717" s="31" t="s">
        <v>4736</v>
      </c>
      <c r="D4717" s="34" t="str">
        <f t="array" ref="D4717">IFNA(_xlfn.XLOOKUP(C4717,Table_Tarikan_Warkah[Nomor Sertipikat],Table_Tarikan_Warkah[Nomor Tiket]),"")</f>
        <v>L/11/191125/1</v>
      </c>
      <c r="E4717" s="36" t="str">
        <f t="array" ref="E4717">IFNA(_xlfn.XLOOKUP(D4717,Table_Tarikan_Warkah[Nomor Tiket],Table_Tarikan_Warkah[Tanggal diserahkan kepada Validator]),"")</f>
        <v/>
      </c>
      <c r="F4717" s="36" t="str">
        <f t="array" ref="F4717">IFNA(_xlfn.XLOOKUP(D4717,Table_Tarikan_Warkah[Nomor Tiket],Table_Tarikan_Warkah[Nama Petugas Warkah]),"")</f>
        <v/>
      </c>
      <c r="G4717" s="39" t="str">
        <f t="array" ref="G4717">IFNA(_xlfn.XLOOKUP(D4717,Table_Tarikan_Warkah[Nomor Tiket],Table_Tarikan_Warkah[Jenis Permohonan]),"")</f>
        <v>ROYA</v>
      </c>
      <c r="H4717" s="41" t="s">
        <v>2315</v>
      </c>
      <c r="I4717" s="49" t="s">
        <v>23</v>
      </c>
      <c r="J4717" s="36">
        <f t="shared" si="20"/>
        <v>46014.44248</v>
      </c>
      <c r="K4717" s="69"/>
      <c r="L4717" s="49"/>
      <c r="M4717" s="36" t="str">
        <f t="shared" si="33"/>
        <v/>
      </c>
      <c r="N4717" s="30" t="str">
        <f t="shared" si="34"/>
        <v>BT atau SU Belum Valid</v>
      </c>
      <c r="O4717" s="39" t="str">
        <f t="shared" si="23"/>
        <v/>
      </c>
      <c r="P4717" s="47" t="b">
        <v>0</v>
      </c>
      <c r="Q4717" s="36" t="str">
        <f t="shared" si="35"/>
        <v/>
      </c>
      <c r="R4717" s="47" t="b">
        <v>0</v>
      </c>
      <c r="S4717" s="42" t="str">
        <f t="shared" si="28"/>
        <v/>
      </c>
      <c r="T4717" s="42"/>
    </row>
    <row r="4718" ht="22.5" customHeight="1">
      <c r="B4718" s="42">
        <f t="shared" si="7"/>
        <v>4712</v>
      </c>
      <c r="C4718" s="31" t="s">
        <v>4737</v>
      </c>
      <c r="D4718" s="34" t="str">
        <f t="array" ref="D4718">IFNA(_xlfn.XLOOKUP(C4718,Table_Tarikan_Warkah[Nomor Sertipikat],Table_Tarikan_Warkah[Nomor Tiket]),"")</f>
        <v>L/6/061125/1</v>
      </c>
      <c r="E4718" s="36" t="str">
        <f t="array" ref="E4718">IFNA(_xlfn.XLOOKUP(D4718,Table_Tarikan_Warkah[Nomor Tiket],Table_Tarikan_Warkah[Tanggal diserahkan kepada Validator]),"")</f>
        <v/>
      </c>
      <c r="F4718" s="36" t="str">
        <f t="array" ref="F4718">IFNA(_xlfn.XLOOKUP(D4718,Table_Tarikan_Warkah[Nomor Tiket],Table_Tarikan_Warkah[Nama Petugas Warkah]),"")</f>
        <v/>
      </c>
      <c r="G4718" s="39" t="str">
        <f t="array" ref="G4718">IFNA(_xlfn.XLOOKUP(D4718,Table_Tarikan_Warkah[Nomor Tiket],Table_Tarikan_Warkah[Jenis Permohonan]),"")</f>
        <v>PTPGT HGB MATI</v>
      </c>
      <c r="H4718" s="41" t="s">
        <v>2315</v>
      </c>
      <c r="I4718" s="49" t="s">
        <v>23</v>
      </c>
      <c r="J4718" s="36">
        <f t="shared" si="20"/>
        <v>46014.4425</v>
      </c>
      <c r="K4718" s="69"/>
      <c r="L4718" s="49"/>
      <c r="M4718" s="36" t="str">
        <f t="shared" si="33"/>
        <v/>
      </c>
      <c r="N4718" s="30" t="str">
        <f t="shared" si="34"/>
        <v>BT atau SU Belum Valid</v>
      </c>
      <c r="O4718" s="39" t="str">
        <f t="shared" si="23"/>
        <v/>
      </c>
      <c r="P4718" s="47" t="b">
        <v>0</v>
      </c>
      <c r="Q4718" s="36" t="str">
        <f t="shared" si="35"/>
        <v/>
      </c>
      <c r="R4718" s="47" t="b">
        <v>0</v>
      </c>
      <c r="S4718" s="42" t="str">
        <f t="shared" si="28"/>
        <v/>
      </c>
      <c r="T4718" s="42"/>
    </row>
    <row r="4719" ht="22.5" customHeight="1">
      <c r="B4719" s="42">
        <f t="shared" si="7"/>
        <v>4713</v>
      </c>
      <c r="C4719" s="31" t="s">
        <v>4738</v>
      </c>
      <c r="D4719" s="34" t="str">
        <f t="array" ref="D4719">IFNA(_xlfn.XLOOKUP(C4719,Table_Tarikan_Warkah[Nomor Sertipikat],Table_Tarikan_Warkah[Nomor Tiket]),"")</f>
        <v>L/16/211125/1</v>
      </c>
      <c r="E4719" s="36" t="str">
        <f t="array" ref="E4719">IFNA(_xlfn.XLOOKUP(D4719,Table_Tarikan_Warkah[Nomor Tiket],Table_Tarikan_Warkah[Tanggal diserahkan kepada Validator]),"")</f>
        <v/>
      </c>
      <c r="F4719" s="36" t="str">
        <f t="array" ref="F4719">IFNA(_xlfn.XLOOKUP(D4719,Table_Tarikan_Warkah[Nomor Tiket],Table_Tarikan_Warkah[Nama Petugas Warkah]),"")</f>
        <v/>
      </c>
      <c r="G4719" s="39" t="str">
        <f t="array" ref="G4719">IFNA(_xlfn.XLOOKUP(D4719,Table_Tarikan_Warkah[Nomor Tiket],Table_Tarikan_Warkah[Jenis Permohonan]),"")</f>
        <v>ROYA WARIS</v>
      </c>
      <c r="H4719" s="41" t="s">
        <v>2315</v>
      </c>
      <c r="I4719" s="49" t="s">
        <v>23</v>
      </c>
      <c r="J4719" s="36">
        <f t="shared" si="20"/>
        <v>46014.44251</v>
      </c>
      <c r="K4719" s="69"/>
      <c r="L4719" s="49"/>
      <c r="M4719" s="36" t="str">
        <f t="shared" si="33"/>
        <v/>
      </c>
      <c r="N4719" s="30" t="str">
        <f t="shared" si="34"/>
        <v>BT atau SU Belum Valid</v>
      </c>
      <c r="O4719" s="39" t="str">
        <f t="shared" si="23"/>
        <v/>
      </c>
      <c r="P4719" s="47" t="b">
        <v>0</v>
      </c>
      <c r="Q4719" s="36" t="str">
        <f t="shared" si="35"/>
        <v/>
      </c>
      <c r="R4719" s="47" t="b">
        <v>0</v>
      </c>
      <c r="S4719" s="42" t="str">
        <f t="shared" si="28"/>
        <v/>
      </c>
      <c r="T4719" s="42"/>
    </row>
    <row r="4720" ht="22.5" customHeight="1">
      <c r="B4720" s="42">
        <f t="shared" si="7"/>
        <v>4714</v>
      </c>
      <c r="C4720" s="31" t="s">
        <v>4739</v>
      </c>
      <c r="D4720" s="34" t="str">
        <f t="array" ref="D4720">IFNA(_xlfn.XLOOKUP(C4720,Table_Tarikan_Warkah[Nomor Sertipikat],Table_Tarikan_Warkah[Nomor Tiket]),"")</f>
        <v>K/39/150825/1</v>
      </c>
      <c r="E4720" s="36">
        <f t="array" ref="E4720">IFNA(_xlfn.XLOOKUP(D4720,Table_Tarikan_Warkah[Nomor Tiket],Table_Tarikan_Warkah[Tanggal diserahkan kepada Validator]),"")</f>
        <v>45926.38696</v>
      </c>
      <c r="F4720" s="36" t="str">
        <f t="array" ref="F4720">IFNA(_xlfn.XLOOKUP(D4720,Table_Tarikan_Warkah[Nomor Tiket],Table_Tarikan_Warkah[Nama Petugas Warkah]),"")</f>
        <v>Berry</v>
      </c>
      <c r="G4720" s="39" t="str">
        <f t="array" ref="G4720">IFNA(_xlfn.XLOOKUP(D4720,Table_Tarikan_Warkah[Nomor Tiket],Table_Tarikan_Warkah[Jenis Permohonan]),"")</f>
        <v>BN WARIS</v>
      </c>
      <c r="H4720" s="41" t="s">
        <v>2315</v>
      </c>
      <c r="I4720" s="49" t="s">
        <v>23</v>
      </c>
      <c r="J4720" s="36">
        <f t="shared" si="20"/>
        <v>46014.44253</v>
      </c>
      <c r="K4720" s="69"/>
      <c r="L4720" s="49"/>
      <c r="M4720" s="36" t="str">
        <f t="shared" si="33"/>
        <v/>
      </c>
      <c r="N4720" s="30" t="str">
        <f t="shared" si="34"/>
        <v>BT atau SU Belum Valid</v>
      </c>
      <c r="O4720" s="39" t="str">
        <f t="shared" si="23"/>
        <v/>
      </c>
      <c r="P4720" s="47" t="b">
        <v>0</v>
      </c>
      <c r="Q4720" s="36" t="str">
        <f t="shared" si="35"/>
        <v/>
      </c>
      <c r="R4720" s="47" t="b">
        <v>0</v>
      </c>
      <c r="S4720" s="42" t="str">
        <f t="shared" si="28"/>
        <v/>
      </c>
      <c r="T4720" s="42"/>
    </row>
    <row r="4721" ht="22.5" customHeight="1">
      <c r="B4721" s="42">
        <f t="shared" si="7"/>
        <v>4715</v>
      </c>
      <c r="C4721" s="31" t="s">
        <v>4740</v>
      </c>
      <c r="D4721" s="34" t="str">
        <f t="array" ref="D4721">IFNA(_xlfn.XLOOKUP(C4721,Table_Tarikan_Warkah[Nomor Sertipikat],Table_Tarikan_Warkah[Nomor Tiket]),"")</f>
        <v>ABFUVCIT</v>
      </c>
      <c r="E4721" s="36" t="str">
        <f t="array" ref="E4721">IFNA(_xlfn.XLOOKUP(D4721,Table_Tarikan_Warkah[Nomor Tiket],Table_Tarikan_Warkah[Tanggal diserahkan kepada Validator]),"")</f>
        <v/>
      </c>
      <c r="F4721" s="36" t="str">
        <f t="array" ref="F4721">IFNA(_xlfn.XLOOKUP(D4721,Table_Tarikan_Warkah[Nomor Tiket],Table_Tarikan_Warkah[Nama Petugas Warkah]),"")</f>
        <v/>
      </c>
      <c r="G4721" s="39" t="str">
        <f t="array" ref="G4721">IFNA(_xlfn.XLOOKUP(D4721,Table_Tarikan_Warkah[Nomor Tiket],Table_Tarikan_Warkah[Jenis Permohonan]),"")</f>
        <v>Peralihan hak</v>
      </c>
      <c r="H4721" s="41" t="s">
        <v>2315</v>
      </c>
      <c r="I4721" s="49" t="s">
        <v>23</v>
      </c>
      <c r="J4721" s="36">
        <f t="shared" si="20"/>
        <v>46014.44327</v>
      </c>
      <c r="K4721" s="69"/>
      <c r="L4721" s="49"/>
      <c r="M4721" s="36" t="str">
        <f t="shared" si="33"/>
        <v/>
      </c>
      <c r="N4721" s="30" t="str">
        <f t="shared" si="34"/>
        <v>BT atau SU Belum Valid</v>
      </c>
      <c r="O4721" s="39" t="str">
        <f t="shared" si="23"/>
        <v/>
      </c>
      <c r="P4721" s="47" t="b">
        <v>0</v>
      </c>
      <c r="Q4721" s="36" t="str">
        <f t="shared" si="35"/>
        <v/>
      </c>
      <c r="R4721" s="47" t="b">
        <v>0</v>
      </c>
      <c r="S4721" s="42" t="str">
        <f t="shared" si="28"/>
        <v/>
      </c>
      <c r="T4721" s="42"/>
    </row>
    <row r="4722" ht="22.5" customHeight="1">
      <c r="B4722" s="42">
        <f t="shared" si="7"/>
        <v>4716</v>
      </c>
      <c r="C4722" s="31" t="s">
        <v>4741</v>
      </c>
      <c r="D4722" s="34" t="str">
        <f t="array" ref="D4722">IFNA(_xlfn.XLOOKUP(C4722,Table_Tarikan_Warkah[Nomor Sertipikat],Table_Tarikan_Warkah[Nomor Tiket]),"")</f>
        <v>AB017</v>
      </c>
      <c r="E4722" s="36" t="str">
        <f t="array" ref="E4722">IFNA(_xlfn.XLOOKUP(D4722,Table_Tarikan_Warkah[Nomor Tiket],Table_Tarikan_Warkah[Tanggal diserahkan kepada Validator]),"")</f>
        <v/>
      </c>
      <c r="F4722" s="36" t="str">
        <f t="array" ref="F4722">IFNA(_xlfn.XLOOKUP(D4722,Table_Tarikan_Warkah[Nomor Tiket],Table_Tarikan_Warkah[Nama Petugas Warkah]),"")</f>
        <v/>
      </c>
      <c r="G4722" s="39" t="str">
        <f t="array" ref="G4722">IFNA(_xlfn.XLOOKUP(D4722,Table_Tarikan_Warkah[Nomor Tiket],Table_Tarikan_Warkah[Jenis Permohonan]),"")</f>
        <v>Balik Nama</v>
      </c>
      <c r="H4722" s="41" t="s">
        <v>2315</v>
      </c>
      <c r="I4722" s="49" t="s">
        <v>23</v>
      </c>
      <c r="J4722" s="36">
        <f t="shared" si="20"/>
        <v>46014.44328</v>
      </c>
      <c r="K4722" s="69"/>
      <c r="L4722" s="49"/>
      <c r="M4722" s="36" t="str">
        <f t="shared" si="33"/>
        <v/>
      </c>
      <c r="N4722" s="30" t="str">
        <f t="shared" si="34"/>
        <v>BT atau SU Belum Valid</v>
      </c>
      <c r="O4722" s="39" t="str">
        <f t="shared" si="23"/>
        <v/>
      </c>
      <c r="P4722" s="47" t="b">
        <v>0</v>
      </c>
      <c r="Q4722" s="36" t="str">
        <f t="shared" si="35"/>
        <v/>
      </c>
      <c r="R4722" s="47" t="b">
        <v>0</v>
      </c>
      <c r="S4722" s="42" t="str">
        <f t="shared" si="28"/>
        <v/>
      </c>
      <c r="T4722" s="42"/>
    </row>
    <row r="4723" ht="22.5" customHeight="1">
      <c r="B4723" s="42">
        <f t="shared" si="7"/>
        <v>4717</v>
      </c>
      <c r="C4723" s="31" t="s">
        <v>4742</v>
      </c>
      <c r="D4723" s="34" t="str">
        <f t="array" ref="D4723">IFNA(_xlfn.XLOOKUP(C4723,Table_Tarikan_Warkah[Nomor Sertipikat],Table_Tarikan_Warkah[Nomor Tiket]),"")</f>
        <v>ABBFSIEK/1</v>
      </c>
      <c r="E4723" s="36" t="str">
        <f t="array" ref="E4723">IFNA(_xlfn.XLOOKUP(D4723,Table_Tarikan_Warkah[Nomor Tiket],Table_Tarikan_Warkah[Tanggal diserahkan kepada Validator]),"")</f>
        <v/>
      </c>
      <c r="F4723" s="36" t="str">
        <f t="array" ref="F4723">IFNA(_xlfn.XLOOKUP(D4723,Table_Tarikan_Warkah[Nomor Tiket],Table_Tarikan_Warkah[Nama Petugas Warkah]),"")</f>
        <v/>
      </c>
      <c r="G4723" s="39" t="str">
        <f t="array" ref="G4723">IFNA(_xlfn.XLOOKUP(D4723,Table_Tarikan_Warkah[Nomor Tiket],Table_Tarikan_Warkah[Jenis Permohonan]),"")</f>
        <v>Balik Nama Jual Beli</v>
      </c>
      <c r="H4723" s="41" t="s">
        <v>2315</v>
      </c>
      <c r="I4723" s="49" t="s">
        <v>23</v>
      </c>
      <c r="J4723" s="36">
        <f t="shared" si="20"/>
        <v>46014.44352</v>
      </c>
      <c r="K4723" s="69"/>
      <c r="L4723" s="49"/>
      <c r="M4723" s="36" t="str">
        <f t="shared" si="33"/>
        <v/>
      </c>
      <c r="N4723" s="30" t="str">
        <f t="shared" si="34"/>
        <v>BT atau SU Belum Valid</v>
      </c>
      <c r="O4723" s="39" t="str">
        <f t="shared" si="23"/>
        <v/>
      </c>
      <c r="P4723" s="47" t="b">
        <v>0</v>
      </c>
      <c r="Q4723" s="36" t="str">
        <f t="shared" si="35"/>
        <v/>
      </c>
      <c r="R4723" s="47" t="b">
        <v>0</v>
      </c>
      <c r="S4723" s="42" t="str">
        <f t="shared" si="28"/>
        <v/>
      </c>
      <c r="T4723" s="42"/>
    </row>
    <row r="4724" ht="22.5" customHeight="1">
      <c r="B4724" s="42">
        <f t="shared" si="7"/>
        <v>4718</v>
      </c>
      <c r="C4724" s="31" t="s">
        <v>4743</v>
      </c>
      <c r="D4724" s="34" t="str">
        <f t="array" ref="D4724">IFNA(_xlfn.XLOOKUP(C4724,Table_Tarikan_Warkah[Nomor Sertipikat],Table_Tarikan_Warkah[Nomor Tiket]),"")</f>
        <v>ABICVECD</v>
      </c>
      <c r="E4724" s="36" t="str">
        <f t="array" ref="E4724">IFNA(_xlfn.XLOOKUP(D4724,Table_Tarikan_Warkah[Nomor Tiket],Table_Tarikan_Warkah[Tanggal diserahkan kepada Validator]),"")</f>
        <v/>
      </c>
      <c r="F4724" s="36" t="str">
        <f t="array" ref="F4724">IFNA(_xlfn.XLOOKUP(D4724,Table_Tarikan_Warkah[Nomor Tiket],Table_Tarikan_Warkah[Nama Petugas Warkah]),"")</f>
        <v/>
      </c>
      <c r="G4724" s="39" t="str">
        <f t="array" ref="G4724">IFNA(_xlfn.XLOOKUP(D4724,Table_Tarikan_Warkah[Nomor Tiket],Table_Tarikan_Warkah[Jenis Permohonan]),"")</f>
        <v>BN jual beli</v>
      </c>
      <c r="H4724" s="41" t="s">
        <v>2315</v>
      </c>
      <c r="I4724" s="49" t="s">
        <v>23</v>
      </c>
      <c r="J4724" s="36">
        <f t="shared" si="20"/>
        <v>46014.44369</v>
      </c>
      <c r="K4724" s="69"/>
      <c r="L4724" s="49"/>
      <c r="M4724" s="36" t="str">
        <f t="shared" si="33"/>
        <v/>
      </c>
      <c r="N4724" s="30" t="str">
        <f t="shared" si="34"/>
        <v>BT atau SU Belum Valid</v>
      </c>
      <c r="O4724" s="39" t="str">
        <f t="shared" si="23"/>
        <v/>
      </c>
      <c r="P4724" s="47" t="b">
        <v>0</v>
      </c>
      <c r="Q4724" s="36" t="str">
        <f t="shared" si="35"/>
        <v/>
      </c>
      <c r="R4724" s="47" t="b">
        <v>0</v>
      </c>
      <c r="S4724" s="42" t="str">
        <f t="shared" si="28"/>
        <v/>
      </c>
      <c r="T4724" s="42"/>
    </row>
    <row r="4725" ht="22.5" customHeight="1">
      <c r="B4725" s="42">
        <f t="shared" si="7"/>
        <v>4719</v>
      </c>
      <c r="C4725" s="31" t="s">
        <v>4744</v>
      </c>
      <c r="D4725" s="34" t="str">
        <f t="array" ref="D4725">IFNA(_xlfn.XLOOKUP(C4725,Table_Tarikan_Warkah[Nomor Sertipikat],Table_Tarikan_Warkah[Nomor Tiket]),"")</f>
        <v>ABQRLTXW</v>
      </c>
      <c r="E4725" s="36" t="str">
        <f t="array" ref="E4725">IFNA(_xlfn.XLOOKUP(D4725,Table_Tarikan_Warkah[Nomor Tiket],Table_Tarikan_Warkah[Tanggal diserahkan kepada Validator]),"")</f>
        <v/>
      </c>
      <c r="F4725" s="36" t="str">
        <f t="array" ref="F4725">IFNA(_xlfn.XLOOKUP(D4725,Table_Tarikan_Warkah[Nomor Tiket],Table_Tarikan_Warkah[Nama Petugas Warkah]),"")</f>
        <v/>
      </c>
      <c r="G4725" s="39" t="str">
        <f t="array" ref="G4725">IFNA(_xlfn.XLOOKUP(D4725,Table_Tarikan_Warkah[Nomor Tiket],Table_Tarikan_Warkah[Jenis Permohonan]),"")</f>
        <v>Balik nama jual beli</v>
      </c>
      <c r="H4725" s="41" t="s">
        <v>2315</v>
      </c>
      <c r="I4725" s="49" t="s">
        <v>23</v>
      </c>
      <c r="J4725" s="36">
        <f t="shared" si="20"/>
        <v>46014.444</v>
      </c>
      <c r="K4725" s="69"/>
      <c r="L4725" s="49"/>
      <c r="M4725" s="36" t="str">
        <f t="shared" si="33"/>
        <v/>
      </c>
      <c r="N4725" s="30" t="str">
        <f t="shared" si="34"/>
        <v>BT atau SU Belum Valid</v>
      </c>
      <c r="O4725" s="39" t="str">
        <f t="shared" si="23"/>
        <v/>
      </c>
      <c r="P4725" s="47" t="b">
        <v>0</v>
      </c>
      <c r="Q4725" s="36" t="str">
        <f t="shared" si="35"/>
        <v/>
      </c>
      <c r="R4725" s="47" t="b">
        <v>0</v>
      </c>
      <c r="S4725" s="42" t="str">
        <f t="shared" si="28"/>
        <v/>
      </c>
      <c r="T4725" s="42"/>
    </row>
    <row r="4726" ht="22.5" customHeight="1">
      <c r="B4726" s="42">
        <f t="shared" si="7"/>
        <v>4720</v>
      </c>
      <c r="C4726" s="31" t="s">
        <v>4745</v>
      </c>
      <c r="D4726" s="34" t="str">
        <f t="array" ref="D4726">IFNA(_xlfn.XLOOKUP(C4726,Table_Tarikan_Warkah[Nomor Sertipikat],Table_Tarikan_Warkah[Nomor Tiket]),"")</f>
        <v>K/18/071025/1</v>
      </c>
      <c r="E4726" s="36">
        <f t="array" ref="E4726">IFNA(_xlfn.XLOOKUP(D4726,Table_Tarikan_Warkah[Nomor Tiket],Table_Tarikan_Warkah[Tanggal diserahkan kepada Validator]),"")</f>
        <v>45988.64065</v>
      </c>
      <c r="F4726" s="36" t="str">
        <f t="array" ref="F4726">IFNA(_xlfn.XLOOKUP(D4726,Table_Tarikan_Warkah[Nomor Tiket],Table_Tarikan_Warkah[Nama Petugas Warkah]),"")</f>
        <v>Berry</v>
      </c>
      <c r="G4726" s="39" t="str">
        <f t="array" ref="G4726">IFNA(_xlfn.XLOOKUP(D4726,Table_Tarikan_Warkah[Nomor Tiket],Table_Tarikan_Warkah[Jenis Permohonan]),"")</f>
        <v>BN Jual Beli	</v>
      </c>
      <c r="H4726" s="41" t="s">
        <v>2315</v>
      </c>
      <c r="I4726" s="49" t="s">
        <v>23</v>
      </c>
      <c r="J4726" s="36">
        <f t="shared" si="20"/>
        <v>46014.44422</v>
      </c>
      <c r="K4726" s="69"/>
      <c r="L4726" s="49"/>
      <c r="M4726" s="36" t="str">
        <f t="shared" si="33"/>
        <v/>
      </c>
      <c r="N4726" s="30" t="str">
        <f t="shared" si="34"/>
        <v>BT atau SU Belum Valid</v>
      </c>
      <c r="O4726" s="39" t="str">
        <f t="shared" si="23"/>
        <v/>
      </c>
      <c r="P4726" s="47" t="b">
        <v>0</v>
      </c>
      <c r="Q4726" s="36" t="str">
        <f t="shared" si="35"/>
        <v/>
      </c>
      <c r="R4726" s="47" t="b">
        <v>0</v>
      </c>
      <c r="S4726" s="42" t="str">
        <f t="shared" si="28"/>
        <v/>
      </c>
      <c r="T4726" s="42"/>
    </row>
    <row r="4727" ht="22.5" customHeight="1">
      <c r="B4727" s="42">
        <f t="shared" si="7"/>
        <v>4721</v>
      </c>
      <c r="C4727" s="31" t="s">
        <v>4746</v>
      </c>
      <c r="D4727" s="34" t="str">
        <f t="array" ref="D4727">IFNA(_xlfn.XLOOKUP(C4727,Table_Tarikan_Warkah[Nomor Sertipikat],Table_Tarikan_Warkah[Nomor Tiket]),"")</f>
        <v>AB034/ABBYNAOT</v>
      </c>
      <c r="E4727" s="36" t="str">
        <f t="array" ref="E4727">IFNA(_xlfn.XLOOKUP(D4727,Table_Tarikan_Warkah[Nomor Tiket],Table_Tarikan_Warkah[Tanggal diserahkan kepada Validator]),"")</f>
        <v/>
      </c>
      <c r="F4727" s="36" t="str">
        <f t="array" ref="F4727">IFNA(_xlfn.XLOOKUP(D4727,Table_Tarikan_Warkah[Nomor Tiket],Table_Tarikan_Warkah[Nama Petugas Warkah]),"")</f>
        <v/>
      </c>
      <c r="G4727" s="39" t="str">
        <f t="array" ref="G4727">IFNA(_xlfn.XLOOKUP(D4727,Table_Tarikan_Warkah[Nomor Tiket],Table_Tarikan_Warkah[Jenis Permohonan]),"")</f>
        <v>BN Hibah</v>
      </c>
      <c r="H4727" s="41" t="s">
        <v>2315</v>
      </c>
      <c r="I4727" s="49" t="s">
        <v>23</v>
      </c>
      <c r="J4727" s="36">
        <f t="shared" si="20"/>
        <v>46014.44451</v>
      </c>
      <c r="K4727" s="69"/>
      <c r="L4727" s="49"/>
      <c r="M4727" s="36" t="str">
        <f t="shared" si="33"/>
        <v/>
      </c>
      <c r="N4727" s="30" t="str">
        <f t="shared" si="34"/>
        <v>BT atau SU Belum Valid</v>
      </c>
      <c r="O4727" s="39" t="str">
        <f t="shared" si="23"/>
        <v/>
      </c>
      <c r="P4727" s="47" t="b">
        <v>0</v>
      </c>
      <c r="Q4727" s="36" t="str">
        <f t="shared" si="35"/>
        <v/>
      </c>
      <c r="R4727" s="47" t="b">
        <v>0</v>
      </c>
      <c r="S4727" s="42" t="str">
        <f t="shared" si="28"/>
        <v/>
      </c>
      <c r="T4727" s="42"/>
    </row>
    <row r="4728" ht="22.5" customHeight="1">
      <c r="B4728" s="42">
        <f t="shared" si="7"/>
        <v>4722</v>
      </c>
      <c r="C4728" s="31" t="s">
        <v>4747</v>
      </c>
      <c r="D4728" s="34" t="str">
        <f t="array" ref="D4728">IFNA(_xlfn.XLOOKUP(C4728,Table_Tarikan_Warkah[Nomor Sertipikat],Table_Tarikan_Warkah[Nomor Tiket]),"")</f>
        <v>ABBIELRD/AB062</v>
      </c>
      <c r="E4728" s="36" t="str">
        <f t="array" ref="E4728">IFNA(_xlfn.XLOOKUP(D4728,Table_Tarikan_Warkah[Nomor Tiket],Table_Tarikan_Warkah[Tanggal diserahkan kepada Validator]),"")</f>
        <v/>
      </c>
      <c r="F4728" s="36" t="str">
        <f t="array" ref="F4728">IFNA(_xlfn.XLOOKUP(D4728,Table_Tarikan_Warkah[Nomor Tiket],Table_Tarikan_Warkah[Nama Petugas Warkah]),"")</f>
        <v/>
      </c>
      <c r="G4728" s="39" t="str">
        <f t="array" ref="G4728">IFNA(_xlfn.XLOOKUP(D4728,Table_Tarikan_Warkah[Nomor Tiket],Table_Tarikan_Warkah[Jenis Permohonan]),"")</f>
        <v>Bn jual beli</v>
      </c>
      <c r="H4728" s="41" t="s">
        <v>2315</v>
      </c>
      <c r="I4728" s="49" t="s">
        <v>23</v>
      </c>
      <c r="J4728" s="36">
        <f t="shared" si="20"/>
        <v>46014.44482</v>
      </c>
      <c r="K4728" s="69"/>
      <c r="L4728" s="49"/>
      <c r="M4728" s="36" t="str">
        <f t="shared" si="33"/>
        <v/>
      </c>
      <c r="N4728" s="30" t="str">
        <f t="shared" si="34"/>
        <v>BT atau SU Belum Valid</v>
      </c>
      <c r="O4728" s="39" t="str">
        <f t="shared" si="23"/>
        <v/>
      </c>
      <c r="P4728" s="47" t="b">
        <v>0</v>
      </c>
      <c r="Q4728" s="36" t="str">
        <f t="shared" si="35"/>
        <v/>
      </c>
      <c r="R4728" s="47" t="b">
        <v>0</v>
      </c>
      <c r="S4728" s="42" t="str">
        <f t="shared" si="28"/>
        <v/>
      </c>
      <c r="T4728" s="42"/>
    </row>
    <row r="4729" ht="22.5" customHeight="1">
      <c r="B4729" s="42">
        <f t="shared" si="7"/>
        <v>4723</v>
      </c>
      <c r="C4729" s="31" t="s">
        <v>4522</v>
      </c>
      <c r="D4729" s="34" t="str">
        <f t="array" ref="D4729">IFNA(_xlfn.XLOOKUP(C4729,Table_Tarikan_Warkah[Nomor Sertipikat],Table_Tarikan_Warkah[Nomor Tiket]),"")</f>
        <v>ABXUJOZW</v>
      </c>
      <c r="E4729" s="36" t="str">
        <f t="array" ref="E4729">IFNA(_xlfn.XLOOKUP(D4729,Table_Tarikan_Warkah[Nomor Tiket],Table_Tarikan_Warkah[Tanggal diserahkan kepada Validator]),"")</f>
        <v/>
      </c>
      <c r="F4729" s="36" t="str">
        <f t="array" ref="F4729">IFNA(_xlfn.XLOOKUP(D4729,Table_Tarikan_Warkah[Nomor Tiket],Table_Tarikan_Warkah[Nama Petugas Warkah]),"")</f>
        <v/>
      </c>
      <c r="G4729" s="39" t="str">
        <f t="array" ref="G4729">IFNA(_xlfn.XLOOKUP(D4729,Table_Tarikan_Warkah[Nomor Tiket],Table_Tarikan_Warkah[Jenis Permohonan]),"")</f>
        <v>Waris</v>
      </c>
      <c r="H4729" s="41" t="s">
        <v>2315</v>
      </c>
      <c r="I4729" s="49" t="s">
        <v>23</v>
      </c>
      <c r="J4729" s="36">
        <f t="shared" si="20"/>
        <v>46014.44503</v>
      </c>
      <c r="K4729" s="69"/>
      <c r="L4729" s="49"/>
      <c r="M4729" s="36" t="str">
        <f t="shared" si="33"/>
        <v/>
      </c>
      <c r="N4729" s="30" t="str">
        <f t="shared" si="34"/>
        <v>BT atau SU Belum Valid</v>
      </c>
      <c r="O4729" s="39" t="str">
        <f t="shared" si="23"/>
        <v/>
      </c>
      <c r="P4729" s="47" t="b">
        <v>0</v>
      </c>
      <c r="Q4729" s="36" t="str">
        <f t="shared" si="35"/>
        <v/>
      </c>
      <c r="R4729" s="47" t="b">
        <v>0</v>
      </c>
      <c r="S4729" s="42" t="str">
        <f t="shared" si="28"/>
        <v/>
      </c>
      <c r="T4729" s="42"/>
    </row>
    <row r="4730" ht="22.5" customHeight="1">
      <c r="B4730" s="42">
        <f t="shared" si="7"/>
        <v>4724</v>
      </c>
      <c r="C4730" s="31" t="s">
        <v>4748</v>
      </c>
      <c r="D4730" s="34" t="str">
        <f t="array" ref="D4730">IFNA(_xlfn.XLOOKUP(C4730,Table_Tarikan_Warkah[Nomor Sertipikat],Table_Tarikan_Warkah[Nomor Tiket]),"")</f>
        <v>K/1/301025/1</v>
      </c>
      <c r="E4730" s="36" t="str">
        <f t="array" ref="E4730">IFNA(_xlfn.XLOOKUP(D4730,Table_Tarikan_Warkah[Nomor Tiket],Table_Tarikan_Warkah[Tanggal diserahkan kepada Validator]),"")</f>
        <v/>
      </c>
      <c r="F4730" s="36" t="str">
        <f t="array" ref="F4730">IFNA(_xlfn.XLOOKUP(D4730,Table_Tarikan_Warkah[Nomor Tiket],Table_Tarikan_Warkah[Nama Petugas Warkah]),"")</f>
        <v/>
      </c>
      <c r="G4730" s="39" t="str">
        <f t="array" ref="G4730">IFNA(_xlfn.XLOOKUP(D4730,Table_Tarikan_Warkah[Nomor Tiket],Table_Tarikan_Warkah[Jenis Permohonan]),"")</f>
        <v>BN JUAL BELI</v>
      </c>
      <c r="H4730" s="41" t="s">
        <v>2315</v>
      </c>
      <c r="I4730" s="49" t="s">
        <v>23</v>
      </c>
      <c r="J4730" s="36">
        <f t="shared" si="20"/>
        <v>46014.59028</v>
      </c>
      <c r="K4730" s="69"/>
      <c r="L4730" s="49"/>
      <c r="M4730" s="36" t="str">
        <f t="shared" si="33"/>
        <v/>
      </c>
      <c r="N4730" s="30" t="str">
        <f t="shared" si="34"/>
        <v>BT atau SU Belum Valid</v>
      </c>
      <c r="O4730" s="39" t="str">
        <f t="shared" si="23"/>
        <v/>
      </c>
      <c r="P4730" s="47" t="b">
        <v>0</v>
      </c>
      <c r="Q4730" s="36" t="str">
        <f t="shared" si="35"/>
        <v/>
      </c>
      <c r="R4730" s="47" t="b">
        <v>0</v>
      </c>
      <c r="S4730" s="42" t="str">
        <f t="shared" si="28"/>
        <v/>
      </c>
      <c r="T4730" s="42"/>
    </row>
    <row r="4731" ht="22.5" customHeight="1">
      <c r="B4731" s="42">
        <f t="shared" si="7"/>
        <v>4725</v>
      </c>
      <c r="C4731" s="31" t="s">
        <v>4749</v>
      </c>
      <c r="D4731" s="34" t="str">
        <f t="array" ref="D4731">IFNA(_xlfn.XLOOKUP(C4731,Table_Tarikan_Warkah[Nomor Sertipikat],Table_Tarikan_Warkah[Nomor Tiket]),"")</f>
        <v>ABWQEWPY/AB071</v>
      </c>
      <c r="E4731" s="36" t="str">
        <f t="array" ref="E4731">IFNA(_xlfn.XLOOKUP(D4731,Table_Tarikan_Warkah[Nomor Tiket],Table_Tarikan_Warkah[Tanggal diserahkan kepada Validator]),"")</f>
        <v/>
      </c>
      <c r="F4731" s="36" t="str">
        <f t="array" ref="F4731">IFNA(_xlfn.XLOOKUP(D4731,Table_Tarikan_Warkah[Nomor Tiket],Table_Tarikan_Warkah[Nama Petugas Warkah]),"")</f>
        <v/>
      </c>
      <c r="G4731" s="39" t="str">
        <f t="array" ref="G4731">IFNA(_xlfn.XLOOKUP(D4731,Table_Tarikan_Warkah[Nomor Tiket],Table_Tarikan_Warkah[Jenis Permohonan]),"")</f>
        <v>BN Waris</v>
      </c>
      <c r="H4731" s="41" t="s">
        <v>2315</v>
      </c>
      <c r="I4731" s="49" t="s">
        <v>23</v>
      </c>
      <c r="J4731" s="36">
        <f t="shared" si="20"/>
        <v>46014.59138</v>
      </c>
      <c r="K4731" s="69"/>
      <c r="L4731" s="49"/>
      <c r="M4731" s="36" t="str">
        <f t="shared" si="33"/>
        <v/>
      </c>
      <c r="N4731" s="30" t="str">
        <f t="shared" si="34"/>
        <v>BT atau SU Belum Valid</v>
      </c>
      <c r="O4731" s="39" t="str">
        <f t="shared" si="23"/>
        <v/>
      </c>
      <c r="P4731" s="47" t="b">
        <v>0</v>
      </c>
      <c r="Q4731" s="36" t="str">
        <f t="shared" si="35"/>
        <v/>
      </c>
      <c r="R4731" s="47" t="b">
        <v>0</v>
      </c>
      <c r="S4731" s="42" t="str">
        <f t="shared" si="28"/>
        <v/>
      </c>
      <c r="T4731" s="42"/>
    </row>
    <row r="4732" ht="22.5" customHeight="1">
      <c r="B4732" s="42">
        <f t="shared" si="7"/>
        <v>4726</v>
      </c>
      <c r="C4732" s="31" t="s">
        <v>4750</v>
      </c>
      <c r="D4732" s="34" t="str">
        <f t="array" ref="D4732">IFNA(_xlfn.XLOOKUP(C4732,Table_Tarikan_Warkah[Nomor Sertipikat],Table_Tarikan_Warkah[Nomor Tiket]),"")</f>
        <v>ABZSARNT/AB016</v>
      </c>
      <c r="E4732" s="36" t="str">
        <f t="array" ref="E4732">IFNA(_xlfn.XLOOKUP(D4732,Table_Tarikan_Warkah[Nomor Tiket],Table_Tarikan_Warkah[Tanggal diserahkan kepada Validator]),"")</f>
        <v/>
      </c>
      <c r="F4732" s="36" t="str">
        <f t="array" ref="F4732">IFNA(_xlfn.XLOOKUP(D4732,Table_Tarikan_Warkah[Nomor Tiket],Table_Tarikan_Warkah[Nama Petugas Warkah]),"")</f>
        <v/>
      </c>
      <c r="G4732" s="39" t="str">
        <f t="array" ref="G4732">IFNA(_xlfn.XLOOKUP(D4732,Table_Tarikan_Warkah[Nomor Tiket],Table_Tarikan_Warkah[Jenis Permohonan]),"")</f>
        <v>Bn waris</v>
      </c>
      <c r="H4732" s="41" t="s">
        <v>2315</v>
      </c>
      <c r="I4732" s="49" t="s">
        <v>23</v>
      </c>
      <c r="J4732" s="36">
        <f t="shared" si="20"/>
        <v>46014.5916</v>
      </c>
      <c r="K4732" s="69"/>
      <c r="L4732" s="49"/>
      <c r="M4732" s="36" t="str">
        <f t="shared" si="33"/>
        <v/>
      </c>
      <c r="N4732" s="30" t="str">
        <f t="shared" si="34"/>
        <v>BT atau SU Belum Valid</v>
      </c>
      <c r="O4732" s="39" t="str">
        <f t="shared" si="23"/>
        <v/>
      </c>
      <c r="P4732" s="47" t="b">
        <v>0</v>
      </c>
      <c r="Q4732" s="36" t="str">
        <f t="shared" si="35"/>
        <v/>
      </c>
      <c r="R4732" s="47" t="b">
        <v>0</v>
      </c>
      <c r="S4732" s="42" t="str">
        <f t="shared" si="28"/>
        <v/>
      </c>
      <c r="T4732" s="42"/>
    </row>
    <row r="4733" ht="22.5" customHeight="1">
      <c r="B4733" s="42">
        <f t="shared" si="7"/>
        <v>4727</v>
      </c>
      <c r="C4733" s="31" t="s">
        <v>4751</v>
      </c>
      <c r="D4733" s="34" t="str">
        <f t="array" ref="D4733">IFNA(_xlfn.XLOOKUP(C4733,Table_Tarikan_Warkah[Nomor Sertipikat],Table_Tarikan_Warkah[Nomor Tiket]),"")</f>
        <v>ABCQEFKQ/AB031</v>
      </c>
      <c r="E4733" s="36" t="str">
        <f t="array" ref="E4733">IFNA(_xlfn.XLOOKUP(D4733,Table_Tarikan_Warkah[Nomor Tiket],Table_Tarikan_Warkah[Tanggal diserahkan kepada Validator]),"")</f>
        <v/>
      </c>
      <c r="F4733" s="36" t="str">
        <f t="array" ref="F4733">IFNA(_xlfn.XLOOKUP(D4733,Table_Tarikan_Warkah[Nomor Tiket],Table_Tarikan_Warkah[Nama Petugas Warkah]),"")</f>
        <v/>
      </c>
      <c r="G4733" s="39" t="str">
        <f t="array" ref="G4733">IFNA(_xlfn.XLOOKUP(D4733,Table_Tarikan_Warkah[Nomor Tiket],Table_Tarikan_Warkah[Jenis Permohonan]),"")</f>
        <v>BN Jual Beli</v>
      </c>
      <c r="H4733" s="41" t="s">
        <v>2315</v>
      </c>
      <c r="I4733" s="49" t="s">
        <v>23</v>
      </c>
      <c r="J4733" s="36">
        <f t="shared" si="20"/>
        <v>46020.43789</v>
      </c>
      <c r="K4733" s="69"/>
      <c r="L4733" s="49"/>
      <c r="M4733" s="36" t="str">
        <f t="shared" si="33"/>
        <v/>
      </c>
      <c r="N4733" s="30" t="str">
        <f t="shared" si="34"/>
        <v>BT atau SU Belum Valid</v>
      </c>
      <c r="O4733" s="39" t="str">
        <f t="shared" si="23"/>
        <v/>
      </c>
      <c r="P4733" s="47" t="b">
        <v>0</v>
      </c>
      <c r="Q4733" s="36" t="str">
        <f t="shared" si="35"/>
        <v/>
      </c>
      <c r="R4733" s="47" t="b">
        <v>0</v>
      </c>
      <c r="S4733" s="42" t="str">
        <f t="shared" si="28"/>
        <v/>
      </c>
      <c r="T4733" s="42"/>
    </row>
    <row r="4734" ht="22.5" customHeight="1">
      <c r="B4734" s="42">
        <f t="shared" si="7"/>
        <v>4728</v>
      </c>
      <c r="C4734" s="31" t="s">
        <v>4752</v>
      </c>
      <c r="D4734" s="34" t="str">
        <f t="array" ref="D4734">IFNA(_xlfn.XLOOKUP(C4734,Table_Tarikan_Warkah[Nomor Sertipikat],Table_Tarikan_Warkah[Nomor Tiket]),"")</f>
        <v>ABRRPFST/AB010</v>
      </c>
      <c r="E4734" s="36" t="str">
        <f t="array" ref="E4734">IFNA(_xlfn.XLOOKUP(D4734,Table_Tarikan_Warkah[Nomor Tiket],Table_Tarikan_Warkah[Tanggal diserahkan kepada Validator]),"")</f>
        <v/>
      </c>
      <c r="F4734" s="36" t="str">
        <f t="array" ref="F4734">IFNA(_xlfn.XLOOKUP(D4734,Table_Tarikan_Warkah[Nomor Tiket],Table_Tarikan_Warkah[Nama Petugas Warkah]),"")</f>
        <v/>
      </c>
      <c r="G4734" s="39" t="str">
        <f t="array" ref="G4734">IFNA(_xlfn.XLOOKUP(D4734,Table_Tarikan_Warkah[Nomor Tiket],Table_Tarikan_Warkah[Jenis Permohonan]),"")</f>
        <v>Balik Nama JUAL BELI</v>
      </c>
      <c r="H4734" s="41" t="s">
        <v>2315</v>
      </c>
      <c r="I4734" s="49" t="s">
        <v>23</v>
      </c>
      <c r="J4734" s="36">
        <f t="shared" si="20"/>
        <v>46020.43815</v>
      </c>
      <c r="K4734" s="69"/>
      <c r="L4734" s="49"/>
      <c r="M4734" s="36" t="str">
        <f t="shared" si="33"/>
        <v/>
      </c>
      <c r="N4734" s="30" t="str">
        <f t="shared" si="34"/>
        <v>BT atau SU Belum Valid</v>
      </c>
      <c r="O4734" s="39" t="str">
        <f t="shared" si="23"/>
        <v/>
      </c>
      <c r="P4734" s="47" t="b">
        <v>0</v>
      </c>
      <c r="Q4734" s="36" t="str">
        <f t="shared" si="35"/>
        <v/>
      </c>
      <c r="R4734" s="47" t="b">
        <v>0</v>
      </c>
      <c r="S4734" s="42" t="str">
        <f t="shared" si="28"/>
        <v/>
      </c>
      <c r="T4734" s="42"/>
    </row>
    <row r="4735" ht="22.5" customHeight="1">
      <c r="B4735" s="42">
        <f t="shared" si="7"/>
        <v>4729</v>
      </c>
      <c r="C4735" s="31" t="s">
        <v>4591</v>
      </c>
      <c r="D4735" s="34" t="str">
        <f t="array" ref="D4735">IFNA(_xlfn.XLOOKUP(C4735,Table_Tarikan_Warkah[Nomor Sertipikat],Table_Tarikan_Warkah[Nomor Tiket]),"")</f>
        <v>L/2/021025/1</v>
      </c>
      <c r="E4735" s="36">
        <f t="array" ref="E4735">IFNA(_xlfn.XLOOKUP(D4735,Table_Tarikan_Warkah[Nomor Tiket],Table_Tarikan_Warkah[Tanggal diserahkan kepada Validator]),"")</f>
        <v>45979.65079</v>
      </c>
      <c r="F4735" s="36" t="str">
        <f t="array" ref="F4735">IFNA(_xlfn.XLOOKUP(D4735,Table_Tarikan_Warkah[Nomor Tiket],Table_Tarikan_Warkah[Nama Petugas Warkah]),"")</f>
        <v>Berry</v>
      </c>
      <c r="G4735" s="39" t="str">
        <f t="array" ref="G4735">IFNA(_xlfn.XLOOKUP(D4735,Table_Tarikan_Warkah[Nomor Tiket],Table_Tarikan_Warkah[Jenis Permohonan]),"")</f>
        <v>BN WARIS</v>
      </c>
      <c r="H4735" s="41" t="s">
        <v>2315</v>
      </c>
      <c r="I4735" s="49" t="s">
        <v>23</v>
      </c>
      <c r="J4735" s="36">
        <f t="shared" si="20"/>
        <v>46020.43847</v>
      </c>
      <c r="K4735" s="69"/>
      <c r="L4735" s="49"/>
      <c r="M4735" s="36" t="str">
        <f t="shared" si="33"/>
        <v/>
      </c>
      <c r="N4735" s="30" t="str">
        <f t="shared" si="34"/>
        <v>BT atau SU Belum Valid</v>
      </c>
      <c r="O4735" s="39" t="str">
        <f t="shared" si="23"/>
        <v/>
      </c>
      <c r="P4735" s="47" t="b">
        <v>0</v>
      </c>
      <c r="Q4735" s="36" t="str">
        <f t="shared" si="35"/>
        <v/>
      </c>
      <c r="R4735" s="47" t="b">
        <v>0</v>
      </c>
      <c r="S4735" s="42" t="str">
        <f t="shared" si="28"/>
        <v/>
      </c>
      <c r="T4735" s="42"/>
    </row>
    <row r="4736" ht="22.5" customHeight="1">
      <c r="B4736" s="42">
        <f t="shared" si="7"/>
        <v>4730</v>
      </c>
      <c r="C4736" s="31" t="s">
        <v>4753</v>
      </c>
      <c r="D4736" s="34" t="str">
        <f t="array" ref="D4736">IFNA(_xlfn.XLOOKUP(C4736,Table_Tarikan_Warkah[Nomor Sertipikat],Table_Tarikan_Warkah[Nomor Tiket]),"")</f>
        <v>ABLUIMZM</v>
      </c>
      <c r="E4736" s="36" t="str">
        <f t="array" ref="E4736">IFNA(_xlfn.XLOOKUP(D4736,Table_Tarikan_Warkah[Nomor Tiket],Table_Tarikan_Warkah[Tanggal diserahkan kepada Validator]),"")</f>
        <v/>
      </c>
      <c r="F4736" s="36" t="str">
        <f t="array" ref="F4736">IFNA(_xlfn.XLOOKUP(D4736,Table_Tarikan_Warkah[Nomor Tiket],Table_Tarikan_Warkah[Nama Petugas Warkah]),"")</f>
        <v/>
      </c>
      <c r="G4736" s="39" t="str">
        <f t="array" ref="G4736">IFNA(_xlfn.XLOOKUP(D4736,Table_Tarikan_Warkah[Nomor Tiket],Table_Tarikan_Warkah[Jenis Permohonan]),"")</f>
        <v>BN Jual Beli</v>
      </c>
      <c r="H4736" s="41" t="s">
        <v>2315</v>
      </c>
      <c r="I4736" s="49" t="s">
        <v>23</v>
      </c>
      <c r="J4736" s="36">
        <f t="shared" si="20"/>
        <v>46020.43933</v>
      </c>
      <c r="K4736" s="69"/>
      <c r="L4736" s="49"/>
      <c r="M4736" s="36" t="str">
        <f t="shared" si="33"/>
        <v/>
      </c>
      <c r="N4736" s="30" t="str">
        <f t="shared" si="34"/>
        <v>BT atau SU Belum Valid</v>
      </c>
      <c r="O4736" s="39" t="str">
        <f t="shared" si="23"/>
        <v/>
      </c>
      <c r="P4736" s="47" t="b">
        <v>0</v>
      </c>
      <c r="Q4736" s="36" t="str">
        <f t="shared" si="35"/>
        <v/>
      </c>
      <c r="R4736" s="47" t="b">
        <v>0</v>
      </c>
      <c r="S4736" s="42" t="str">
        <f t="shared" si="28"/>
        <v/>
      </c>
      <c r="T4736" s="42"/>
    </row>
    <row r="4737" ht="22.5" customHeight="1">
      <c r="B4737" s="42">
        <f t="shared" si="7"/>
        <v>4731</v>
      </c>
      <c r="C4737" s="31" t="s">
        <v>4754</v>
      </c>
      <c r="D4737" s="34" t="str">
        <f t="array" ref="D4737">IFNA(_xlfn.XLOOKUP(C4737,Table_Tarikan_Warkah[Nomor Sertipikat],Table_Tarikan_Warkah[Nomor Tiket]),"")</f>
        <v>ABTJVWIA/AB073</v>
      </c>
      <c r="E4737" s="36" t="str">
        <f t="array" ref="E4737">IFNA(_xlfn.XLOOKUP(D4737,Table_Tarikan_Warkah[Nomor Tiket],Table_Tarikan_Warkah[Tanggal diserahkan kepada Validator]),"")</f>
        <v/>
      </c>
      <c r="F4737" s="36" t="str">
        <f t="array" ref="F4737">IFNA(_xlfn.XLOOKUP(D4737,Table_Tarikan_Warkah[Nomor Tiket],Table_Tarikan_Warkah[Nama Petugas Warkah]),"")</f>
        <v/>
      </c>
      <c r="G4737" s="39" t="str">
        <f t="array" ref="G4737">IFNA(_xlfn.XLOOKUP(D4737,Table_Tarikan_Warkah[Nomor Tiket],Table_Tarikan_Warkah[Jenis Permohonan]),"")</f>
        <v>BN Jual Beli</v>
      </c>
      <c r="H4737" s="41" t="s">
        <v>2315</v>
      </c>
      <c r="I4737" s="49" t="s">
        <v>23</v>
      </c>
      <c r="J4737" s="36">
        <f t="shared" si="20"/>
        <v>46020.43973</v>
      </c>
      <c r="K4737" s="69"/>
      <c r="L4737" s="49"/>
      <c r="M4737" s="36" t="str">
        <f t="shared" si="33"/>
        <v/>
      </c>
      <c r="N4737" s="30" t="str">
        <f t="shared" si="34"/>
        <v>BT atau SU Belum Valid</v>
      </c>
      <c r="O4737" s="39" t="str">
        <f t="shared" si="23"/>
        <v/>
      </c>
      <c r="P4737" s="47" t="b">
        <v>0</v>
      </c>
      <c r="Q4737" s="36" t="str">
        <f t="shared" si="35"/>
        <v/>
      </c>
      <c r="R4737" s="47" t="b">
        <v>0</v>
      </c>
      <c r="S4737" s="42" t="str">
        <f t="shared" si="28"/>
        <v/>
      </c>
      <c r="T4737" s="42"/>
    </row>
    <row r="4738" ht="22.5" customHeight="1">
      <c r="B4738" s="42">
        <f t="shared" si="7"/>
        <v>4732</v>
      </c>
      <c r="C4738" s="31" t="s">
        <v>4755</v>
      </c>
      <c r="D4738" s="34" t="str">
        <f t="array" ref="D4738">IFNA(_xlfn.XLOOKUP(C4738,Table_Tarikan_Warkah[Nomor Sertipikat],Table_Tarikan_Warkah[Nomor Tiket]),"")</f>
        <v>AB32</v>
      </c>
      <c r="E4738" s="36" t="str">
        <f t="array" ref="E4738">IFNA(_xlfn.XLOOKUP(D4738,Table_Tarikan_Warkah[Nomor Tiket],Table_Tarikan_Warkah[Tanggal diserahkan kepada Validator]),"")</f>
        <v/>
      </c>
      <c r="F4738" s="36" t="str">
        <f t="array" ref="F4738">IFNA(_xlfn.XLOOKUP(D4738,Table_Tarikan_Warkah[Nomor Tiket],Table_Tarikan_Warkah[Nama Petugas Warkah]),"")</f>
        <v/>
      </c>
      <c r="G4738" s="39" t="str">
        <f t="array" ref="G4738">IFNA(_xlfn.XLOOKUP(D4738,Table_Tarikan_Warkah[Nomor Tiket],Table_Tarikan_Warkah[Jenis Permohonan]),"")</f>
        <v>Hibah</v>
      </c>
      <c r="H4738" s="41" t="s">
        <v>2315</v>
      </c>
      <c r="I4738" s="49" t="s">
        <v>23</v>
      </c>
      <c r="J4738" s="36">
        <f t="shared" si="20"/>
        <v>46020.441</v>
      </c>
      <c r="K4738" s="69"/>
      <c r="L4738" s="49"/>
      <c r="M4738" s="36" t="str">
        <f t="shared" si="33"/>
        <v/>
      </c>
      <c r="N4738" s="30" t="str">
        <f t="shared" si="34"/>
        <v>BT atau SU Belum Valid</v>
      </c>
      <c r="O4738" s="39" t="str">
        <f t="shared" si="23"/>
        <v/>
      </c>
      <c r="P4738" s="47" t="b">
        <v>0</v>
      </c>
      <c r="Q4738" s="36" t="str">
        <f t="shared" si="35"/>
        <v/>
      </c>
      <c r="R4738" s="47" t="b">
        <v>0</v>
      </c>
      <c r="S4738" s="42" t="str">
        <f t="shared" si="28"/>
        <v/>
      </c>
      <c r="T4738" s="42"/>
    </row>
    <row r="4739" ht="22.5" customHeight="1">
      <c r="B4739" s="42">
        <f t="shared" si="7"/>
        <v>4733</v>
      </c>
      <c r="C4739" s="31" t="s">
        <v>4756</v>
      </c>
      <c r="D4739" s="34" t="str">
        <f t="array" ref="D4739">IFNA(_xlfn.XLOOKUP(C4739,Table_Tarikan_Warkah[Nomor Sertipikat],Table_Tarikan_Warkah[Nomor Tiket]),"")</f>
        <v>ABFWKFBI</v>
      </c>
      <c r="E4739" s="36" t="str">
        <f t="array" ref="E4739">IFNA(_xlfn.XLOOKUP(D4739,Table_Tarikan_Warkah[Nomor Tiket],Table_Tarikan_Warkah[Tanggal diserahkan kepada Validator]),"")</f>
        <v/>
      </c>
      <c r="F4739" s="36" t="str">
        <f t="array" ref="F4739">IFNA(_xlfn.XLOOKUP(D4739,Table_Tarikan_Warkah[Nomor Tiket],Table_Tarikan_Warkah[Nama Petugas Warkah]),"")</f>
        <v/>
      </c>
      <c r="G4739" s="39" t="str">
        <f t="array" ref="G4739">IFNA(_xlfn.XLOOKUP(D4739,Table_Tarikan_Warkah[Nomor Tiket],Table_Tarikan_Warkah[Jenis Permohonan]),"")</f>
        <v>Bn</v>
      </c>
      <c r="H4739" s="41" t="s">
        <v>2315</v>
      </c>
      <c r="I4739" s="49" t="s">
        <v>23</v>
      </c>
      <c r="J4739" s="36">
        <f t="shared" si="20"/>
        <v>46020.44119</v>
      </c>
      <c r="K4739" s="69"/>
      <c r="L4739" s="49"/>
      <c r="M4739" s="36" t="str">
        <f t="shared" si="33"/>
        <v/>
      </c>
      <c r="N4739" s="30" t="str">
        <f t="shared" si="34"/>
        <v>BT atau SU Belum Valid</v>
      </c>
      <c r="O4739" s="39" t="str">
        <f t="shared" si="23"/>
        <v/>
      </c>
      <c r="P4739" s="47" t="b">
        <v>0</v>
      </c>
      <c r="Q4739" s="36" t="str">
        <f t="shared" si="35"/>
        <v/>
      </c>
      <c r="R4739" s="47" t="b">
        <v>0</v>
      </c>
      <c r="S4739" s="42" t="str">
        <f t="shared" si="28"/>
        <v/>
      </c>
      <c r="T4739" s="42"/>
    </row>
    <row r="4740" ht="22.5" customHeight="1">
      <c r="B4740" s="42">
        <f t="shared" si="7"/>
        <v>4734</v>
      </c>
      <c r="C4740" s="31" t="s">
        <v>4757</v>
      </c>
      <c r="D4740" s="34" t="str">
        <f t="array" ref="D4740">IFNA(_xlfn.XLOOKUP(C4740,Table_Tarikan_Warkah[Nomor Sertipikat],Table_Tarikan_Warkah[Nomor Tiket]),"")</f>
        <v>ABQITYYN</v>
      </c>
      <c r="E4740" s="36" t="str">
        <f t="array" ref="E4740">IFNA(_xlfn.XLOOKUP(D4740,Table_Tarikan_Warkah[Nomor Tiket],Table_Tarikan_Warkah[Tanggal diserahkan kepada Validator]),"")</f>
        <v/>
      </c>
      <c r="F4740" s="36" t="str">
        <f t="array" ref="F4740">IFNA(_xlfn.XLOOKUP(D4740,Table_Tarikan_Warkah[Nomor Tiket],Table_Tarikan_Warkah[Nama Petugas Warkah]),"")</f>
        <v/>
      </c>
      <c r="G4740" s="39" t="str">
        <f t="array" ref="G4740">IFNA(_xlfn.XLOOKUP(D4740,Table_Tarikan_Warkah[Nomor Tiket],Table_Tarikan_Warkah[Jenis Permohonan]),"")</f>
        <v>TURUN WARIS</v>
      </c>
      <c r="H4740" s="41" t="s">
        <v>2315</v>
      </c>
      <c r="I4740" s="49" t="s">
        <v>23</v>
      </c>
      <c r="J4740" s="36">
        <f t="shared" si="20"/>
        <v>46021.35549</v>
      </c>
      <c r="K4740" s="69"/>
      <c r="L4740" s="49"/>
      <c r="M4740" s="36" t="str">
        <f t="shared" si="33"/>
        <v/>
      </c>
      <c r="N4740" s="30" t="str">
        <f t="shared" si="34"/>
        <v>BT atau SU Belum Valid</v>
      </c>
      <c r="O4740" s="39" t="str">
        <f t="shared" si="23"/>
        <v/>
      </c>
      <c r="P4740" s="47" t="b">
        <v>0</v>
      </c>
      <c r="Q4740" s="36" t="str">
        <f t="shared" si="35"/>
        <v/>
      </c>
      <c r="R4740" s="47" t="b">
        <v>0</v>
      </c>
      <c r="S4740" s="42" t="str">
        <f t="shared" si="28"/>
        <v/>
      </c>
      <c r="T4740" s="42"/>
    </row>
    <row r="4741" ht="22.5" customHeight="1">
      <c r="B4741" s="42">
        <f t="shared" si="7"/>
        <v>4735</v>
      </c>
      <c r="C4741" s="31" t="s">
        <v>4758</v>
      </c>
      <c r="D4741" s="34" t="str">
        <f t="array" ref="D4741">IFNA(_xlfn.XLOOKUP(C4741,Table_Tarikan_Warkah[Nomor Sertipikat],Table_Tarikan_Warkah[Nomor Tiket]),"")</f>
        <v>ABCYMTZC</v>
      </c>
      <c r="E4741" s="36" t="str">
        <f t="array" ref="E4741">IFNA(_xlfn.XLOOKUP(D4741,Table_Tarikan_Warkah[Nomor Tiket],Table_Tarikan_Warkah[Tanggal diserahkan kepada Validator]),"")</f>
        <v/>
      </c>
      <c r="F4741" s="36" t="str">
        <f t="array" ref="F4741">IFNA(_xlfn.XLOOKUP(D4741,Table_Tarikan_Warkah[Nomor Tiket],Table_Tarikan_Warkah[Nama Petugas Warkah]),"")</f>
        <v/>
      </c>
      <c r="G4741" s="39" t="str">
        <f t="array" ref="G4741">IFNA(_xlfn.XLOOKUP(D4741,Table_Tarikan_Warkah[Nomor Tiket],Table_Tarikan_Warkah[Jenis Permohonan]),"")</f>
        <v>BN jual beli</v>
      </c>
      <c r="H4741" s="41" t="s">
        <v>2315</v>
      </c>
      <c r="I4741" s="49" t="s">
        <v>23</v>
      </c>
      <c r="J4741" s="36">
        <f t="shared" si="20"/>
        <v>46021.35715</v>
      </c>
      <c r="K4741" s="69"/>
      <c r="L4741" s="49"/>
      <c r="M4741" s="36" t="str">
        <f t="shared" si="33"/>
        <v/>
      </c>
      <c r="N4741" s="30" t="str">
        <f t="shared" si="34"/>
        <v>BT atau SU Belum Valid</v>
      </c>
      <c r="O4741" s="39" t="str">
        <f t="shared" si="23"/>
        <v/>
      </c>
      <c r="P4741" s="47" t="b">
        <v>0</v>
      </c>
      <c r="Q4741" s="36" t="str">
        <f t="shared" si="35"/>
        <v/>
      </c>
      <c r="R4741" s="47" t="b">
        <v>0</v>
      </c>
      <c r="S4741" s="42" t="str">
        <f t="shared" si="28"/>
        <v/>
      </c>
      <c r="T4741" s="42"/>
    </row>
    <row r="4742" ht="22.5" customHeight="1">
      <c r="B4742" s="42">
        <f t="shared" si="7"/>
        <v>4736</v>
      </c>
      <c r="C4742" s="31" t="s">
        <v>4759</v>
      </c>
      <c r="D4742" s="34" t="str">
        <f t="array" ref="D4742">IFNA(_xlfn.XLOOKUP(C4742,Table_Tarikan_Warkah[Nomor Sertipikat],Table_Tarikan_Warkah[Nomor Tiket]),"")</f>
        <v>K/22/031125/1</v>
      </c>
      <c r="E4742" s="36" t="str">
        <f t="array" ref="E4742">IFNA(_xlfn.XLOOKUP(D4742,Table_Tarikan_Warkah[Nomor Tiket],Table_Tarikan_Warkah[Tanggal diserahkan kepada Validator]),"")</f>
        <v/>
      </c>
      <c r="F4742" s="36" t="str">
        <f t="array" ref="F4742">IFNA(_xlfn.XLOOKUP(D4742,Table_Tarikan_Warkah[Nomor Tiket],Table_Tarikan_Warkah[Nama Petugas Warkah]),"")</f>
        <v/>
      </c>
      <c r="G4742" s="39" t="str">
        <f t="array" ref="G4742">IFNA(_xlfn.XLOOKUP(D4742,Table_Tarikan_Warkah[Nomor Tiket],Table_Tarikan_Warkah[Jenis Permohonan]),"")</f>
        <v>BN HIBAH</v>
      </c>
      <c r="H4742" s="41" t="s">
        <v>2315</v>
      </c>
      <c r="I4742" s="49" t="s">
        <v>23</v>
      </c>
      <c r="J4742" s="36">
        <f t="shared" si="20"/>
        <v>46021.36428</v>
      </c>
      <c r="K4742" s="69"/>
      <c r="L4742" s="49"/>
      <c r="M4742" s="36" t="str">
        <f t="shared" si="33"/>
        <v/>
      </c>
      <c r="N4742" s="30" t="str">
        <f t="shared" si="34"/>
        <v>BT atau SU Belum Valid</v>
      </c>
      <c r="O4742" s="39" t="str">
        <f t="shared" si="23"/>
        <v/>
      </c>
      <c r="P4742" s="47" t="b">
        <v>0</v>
      </c>
      <c r="Q4742" s="36" t="str">
        <f t="shared" si="35"/>
        <v/>
      </c>
      <c r="R4742" s="47" t="b">
        <v>0</v>
      </c>
      <c r="S4742" s="42" t="str">
        <f t="shared" si="28"/>
        <v/>
      </c>
      <c r="T4742" s="42"/>
    </row>
    <row r="4743" ht="22.5" customHeight="1">
      <c r="B4743" s="42">
        <f t="shared" si="7"/>
        <v>4737</v>
      </c>
      <c r="C4743" s="31" t="s">
        <v>4760</v>
      </c>
      <c r="D4743" s="34" t="str">
        <f t="array" ref="D4743">IFNA(_xlfn.XLOOKUP(C4743,Table_Tarikan_Warkah[Nomor Sertipikat],Table_Tarikan_Warkah[Nomor Tiket]),"")</f>
        <v>K/11/201125/1</v>
      </c>
      <c r="E4743" s="36" t="str">
        <f t="array" ref="E4743">IFNA(_xlfn.XLOOKUP(D4743,Table_Tarikan_Warkah[Nomor Tiket],Table_Tarikan_Warkah[Tanggal diserahkan kepada Validator]),"")</f>
        <v/>
      </c>
      <c r="F4743" s="36" t="str">
        <f t="array" ref="F4743">IFNA(_xlfn.XLOOKUP(D4743,Table_Tarikan_Warkah[Nomor Tiket],Table_Tarikan_Warkah[Nama Petugas Warkah]),"")</f>
        <v/>
      </c>
      <c r="G4743" s="39" t="str">
        <f t="array" ref="G4743">IFNA(_xlfn.XLOOKUP(D4743,Table_Tarikan_Warkah[Nomor Tiket],Table_Tarikan_Warkah[Jenis Permohonan]),"")</f>
        <v>BN WARIS</v>
      </c>
      <c r="H4743" s="41" t="s">
        <v>2315</v>
      </c>
      <c r="I4743" s="49" t="s">
        <v>23</v>
      </c>
      <c r="J4743" s="36">
        <f t="shared" si="20"/>
        <v>46021.36618</v>
      </c>
      <c r="K4743" s="69"/>
      <c r="L4743" s="49"/>
      <c r="M4743" s="36" t="str">
        <f t="shared" si="33"/>
        <v/>
      </c>
      <c r="N4743" s="30" t="str">
        <f t="shared" si="34"/>
        <v>BT atau SU Belum Valid</v>
      </c>
      <c r="O4743" s="39" t="str">
        <f t="shared" si="23"/>
        <v/>
      </c>
      <c r="P4743" s="47" t="b">
        <v>0</v>
      </c>
      <c r="Q4743" s="36" t="str">
        <f t="shared" si="35"/>
        <v/>
      </c>
      <c r="R4743" s="47" t="b">
        <v>0</v>
      </c>
      <c r="S4743" s="42" t="str">
        <f t="shared" si="28"/>
        <v/>
      </c>
      <c r="T4743" s="42"/>
    </row>
    <row r="4744" ht="22.5" customHeight="1">
      <c r="B4744" s="42">
        <f t="shared" si="7"/>
        <v>4738</v>
      </c>
      <c r="C4744" s="31" t="s">
        <v>4761</v>
      </c>
      <c r="D4744" s="34" t="str">
        <f t="array" ref="D4744">IFNA(_xlfn.XLOOKUP(C4744,Table_Tarikan_Warkah[Nomor Sertipikat],Table_Tarikan_Warkah[Nomor Tiket]),"")</f>
        <v>L/8/101125/1</v>
      </c>
      <c r="E4744" s="36" t="str">
        <f t="array" ref="E4744">IFNA(_xlfn.XLOOKUP(D4744,Table_Tarikan_Warkah[Nomor Tiket],Table_Tarikan_Warkah[Tanggal diserahkan kepada Validator]),"")</f>
        <v/>
      </c>
      <c r="F4744" s="36" t="str">
        <f t="array" ref="F4744">IFNA(_xlfn.XLOOKUP(D4744,Table_Tarikan_Warkah[Nomor Tiket],Table_Tarikan_Warkah[Nama Petugas Warkah]),"")</f>
        <v/>
      </c>
      <c r="G4744" s="39" t="str">
        <f t="array" ref="G4744">IFNA(_xlfn.XLOOKUP(D4744,Table_Tarikan_Warkah[Nomor Tiket],Table_Tarikan_Warkah[Jenis Permohonan]),"")</f>
        <v>BN WARIS</v>
      </c>
      <c r="H4744" s="41" t="s">
        <v>2315</v>
      </c>
      <c r="I4744" s="49" t="s">
        <v>23</v>
      </c>
      <c r="J4744" s="36">
        <f t="shared" si="20"/>
        <v>46021.36654</v>
      </c>
      <c r="K4744" s="69"/>
      <c r="L4744" s="49"/>
      <c r="M4744" s="36" t="str">
        <f t="shared" si="33"/>
        <v/>
      </c>
      <c r="N4744" s="30" t="str">
        <f t="shared" si="34"/>
        <v>BT atau SU Belum Valid</v>
      </c>
      <c r="O4744" s="39" t="str">
        <f t="shared" si="23"/>
        <v/>
      </c>
      <c r="P4744" s="47" t="b">
        <v>0</v>
      </c>
      <c r="Q4744" s="36" t="str">
        <f t="shared" si="35"/>
        <v/>
      </c>
      <c r="R4744" s="47" t="b">
        <v>0</v>
      </c>
      <c r="S4744" s="42" t="str">
        <f t="shared" si="28"/>
        <v/>
      </c>
      <c r="T4744" s="42"/>
    </row>
    <row r="4745" ht="22.5" customHeight="1">
      <c r="B4745" s="42">
        <f t="shared" si="7"/>
        <v>4739</v>
      </c>
      <c r="C4745" s="31" t="s">
        <v>4762</v>
      </c>
      <c r="D4745" s="34" t="str">
        <f t="array" ref="D4745">IFNA(_xlfn.XLOOKUP(C4745,Table_Tarikan_Warkah[Nomor Sertipikat],Table_Tarikan_Warkah[Nomor Tiket]),"")</f>
        <v>ABSNUVZK</v>
      </c>
      <c r="E4745" s="36" t="str">
        <f t="array" ref="E4745">IFNA(_xlfn.XLOOKUP(D4745,Table_Tarikan_Warkah[Nomor Tiket],Table_Tarikan_Warkah[Tanggal diserahkan kepada Validator]),"")</f>
        <v/>
      </c>
      <c r="F4745" s="36" t="str">
        <f t="array" ref="F4745">IFNA(_xlfn.XLOOKUP(D4745,Table_Tarikan_Warkah[Nomor Tiket],Table_Tarikan_Warkah[Nama Petugas Warkah]),"")</f>
        <v/>
      </c>
      <c r="G4745" s="39" t="str">
        <f t="array" ref="G4745">IFNA(_xlfn.XLOOKUP(D4745,Table_Tarikan_Warkah[Nomor Tiket],Table_Tarikan_Warkah[Jenis Permohonan]),"")</f>
        <v>BN HIBAH</v>
      </c>
      <c r="H4745" s="41" t="s">
        <v>2315</v>
      </c>
      <c r="I4745" s="49" t="s">
        <v>23</v>
      </c>
      <c r="J4745" s="36">
        <f t="shared" si="20"/>
        <v>46021.37303</v>
      </c>
      <c r="K4745" s="69"/>
      <c r="L4745" s="49"/>
      <c r="M4745" s="36" t="str">
        <f t="shared" si="33"/>
        <v/>
      </c>
      <c r="N4745" s="30" t="str">
        <f t="shared" si="34"/>
        <v>BT atau SU Belum Valid</v>
      </c>
      <c r="O4745" s="39" t="str">
        <f t="shared" si="23"/>
        <v/>
      </c>
      <c r="P4745" s="47" t="b">
        <v>0</v>
      </c>
      <c r="Q4745" s="36" t="str">
        <f t="shared" si="35"/>
        <v/>
      </c>
      <c r="R4745" s="47" t="b">
        <v>0</v>
      </c>
      <c r="S4745" s="42" t="str">
        <f t="shared" si="28"/>
        <v/>
      </c>
      <c r="T4745" s="42"/>
    </row>
    <row r="4746" ht="22.5" customHeight="1">
      <c r="B4746" s="42">
        <f t="shared" si="7"/>
        <v>4740</v>
      </c>
      <c r="C4746" s="31" t="s">
        <v>4763</v>
      </c>
      <c r="D4746" s="34" t="str">
        <f t="array" ref="D4746">IFNA(_xlfn.XLOOKUP(C4746,Table_Tarikan_Warkah[Nomor Sertipikat],Table_Tarikan_Warkah[Nomor Tiket]),"")</f>
        <v>ABGDOWHZ</v>
      </c>
      <c r="E4746" s="36" t="str">
        <f t="array" ref="E4746">IFNA(_xlfn.XLOOKUP(D4746,Table_Tarikan_Warkah[Nomor Tiket],Table_Tarikan_Warkah[Tanggal diserahkan kepada Validator]),"")</f>
        <v/>
      </c>
      <c r="F4746" s="36" t="str">
        <f t="array" ref="F4746">IFNA(_xlfn.XLOOKUP(D4746,Table_Tarikan_Warkah[Nomor Tiket],Table_Tarikan_Warkah[Nama Petugas Warkah]),"")</f>
        <v/>
      </c>
      <c r="G4746" s="39" t="str">
        <f t="array" ref="G4746">IFNA(_xlfn.XLOOKUP(D4746,Table_Tarikan_Warkah[Nomor Tiket],Table_Tarikan_Warkah[Jenis Permohonan]),"")</f>
        <v>Balik nama jual beli</v>
      </c>
      <c r="H4746" s="41" t="s">
        <v>2315</v>
      </c>
      <c r="I4746" s="49" t="s">
        <v>23</v>
      </c>
      <c r="J4746" s="36">
        <f t="shared" si="20"/>
        <v>46021.37537</v>
      </c>
      <c r="K4746" s="69"/>
      <c r="L4746" s="49"/>
      <c r="M4746" s="36" t="str">
        <f t="shared" si="33"/>
        <v/>
      </c>
      <c r="N4746" s="30" t="str">
        <f t="shared" si="34"/>
        <v>BT atau SU Belum Valid</v>
      </c>
      <c r="O4746" s="39" t="str">
        <f t="shared" si="23"/>
        <v/>
      </c>
      <c r="P4746" s="47" t="b">
        <v>0</v>
      </c>
      <c r="Q4746" s="36" t="str">
        <f t="shared" si="35"/>
        <v/>
      </c>
      <c r="R4746" s="47" t="b">
        <v>0</v>
      </c>
      <c r="S4746" s="42" t="str">
        <f t="shared" si="28"/>
        <v/>
      </c>
      <c r="T4746" s="42"/>
    </row>
    <row r="4747" ht="22.5" customHeight="1">
      <c r="B4747" s="42">
        <f t="shared" si="7"/>
        <v>4741</v>
      </c>
      <c r="C4747" s="31" t="s">
        <v>4458</v>
      </c>
      <c r="D4747" s="34" t="str">
        <f t="array" ref="D4747">IFNA(_xlfn.XLOOKUP(C4747,Table_Tarikan_Warkah[Nomor Sertipikat],Table_Tarikan_Warkah[Nomor Tiket]),"")</f>
        <v>K/3/031025/1</v>
      </c>
      <c r="E4747" s="36" t="str">
        <f t="array" ref="E4747">IFNA(_xlfn.XLOOKUP(D4747,Table_Tarikan_Warkah[Nomor Tiket],Table_Tarikan_Warkah[Tanggal diserahkan kepada Validator]),"")</f>
        <v/>
      </c>
      <c r="F4747" s="36" t="str">
        <f t="array" ref="F4747">IFNA(_xlfn.XLOOKUP(D4747,Table_Tarikan_Warkah[Nomor Tiket],Table_Tarikan_Warkah[Nama Petugas Warkah]),"")</f>
        <v/>
      </c>
      <c r="G4747" s="39" t="str">
        <f t="array" ref="G4747">IFNA(_xlfn.XLOOKUP(D4747,Table_Tarikan_Warkah[Nomor Tiket],Table_Tarikan_Warkah[Jenis Permohonan]),"")</f>
        <v>ROYA</v>
      </c>
      <c r="H4747" s="41" t="s">
        <v>2315</v>
      </c>
      <c r="I4747" s="49" t="s">
        <v>23</v>
      </c>
      <c r="J4747" s="36">
        <f t="shared" si="20"/>
        <v>46021.37658</v>
      </c>
      <c r="K4747" s="69"/>
      <c r="L4747" s="49"/>
      <c r="M4747" s="36" t="str">
        <f t="shared" si="33"/>
        <v/>
      </c>
      <c r="N4747" s="30" t="str">
        <f t="shared" si="34"/>
        <v>BT atau SU Belum Valid</v>
      </c>
      <c r="O4747" s="39" t="str">
        <f t="shared" si="23"/>
        <v/>
      </c>
      <c r="P4747" s="47" t="b">
        <v>0</v>
      </c>
      <c r="Q4747" s="36" t="str">
        <f t="shared" si="35"/>
        <v/>
      </c>
      <c r="R4747" s="47" t="b">
        <v>0</v>
      </c>
      <c r="S4747" s="42" t="str">
        <f t="shared" si="28"/>
        <v/>
      </c>
      <c r="T4747" s="42"/>
    </row>
    <row r="4748" ht="22.5" customHeight="1">
      <c r="B4748" s="42">
        <f t="shared" si="7"/>
        <v>4742</v>
      </c>
      <c r="C4748" s="31" t="s">
        <v>4764</v>
      </c>
      <c r="D4748" s="34" t="str">
        <f t="array" ref="D4748">IFNA(_xlfn.XLOOKUP(C4748,Table_Tarikan_Warkah[Nomor Sertipikat],Table_Tarikan_Warkah[Nomor Tiket]),"")</f>
        <v>ABZKQJRE/AB080</v>
      </c>
      <c r="E4748" s="36" t="str">
        <f t="array" ref="E4748">IFNA(_xlfn.XLOOKUP(D4748,Table_Tarikan_Warkah[Nomor Tiket],Table_Tarikan_Warkah[Tanggal diserahkan kepada Validator]),"")</f>
        <v/>
      </c>
      <c r="F4748" s="36" t="str">
        <f t="array" ref="F4748">IFNA(_xlfn.XLOOKUP(D4748,Table_Tarikan_Warkah[Nomor Tiket],Table_Tarikan_Warkah[Nama Petugas Warkah]),"")</f>
        <v/>
      </c>
      <c r="G4748" s="39" t="str">
        <f t="array" ref="G4748">IFNA(_xlfn.XLOOKUP(D4748,Table_Tarikan_Warkah[Nomor Tiket],Table_Tarikan_Warkah[Jenis Permohonan]),"")</f>
        <v>BN waris</v>
      </c>
      <c r="H4748" s="41" t="s">
        <v>2315</v>
      </c>
      <c r="I4748" s="49" t="s">
        <v>23</v>
      </c>
      <c r="J4748" s="36">
        <f t="shared" si="20"/>
        <v>46021.37686</v>
      </c>
      <c r="K4748" s="69"/>
      <c r="L4748" s="49"/>
      <c r="M4748" s="36" t="str">
        <f t="shared" si="33"/>
        <v/>
      </c>
      <c r="N4748" s="30" t="str">
        <f t="shared" si="34"/>
        <v>BT atau SU Belum Valid</v>
      </c>
      <c r="O4748" s="39" t="str">
        <f t="shared" si="23"/>
        <v/>
      </c>
      <c r="P4748" s="47" t="b">
        <v>0</v>
      </c>
      <c r="Q4748" s="36" t="str">
        <f t="shared" si="35"/>
        <v/>
      </c>
      <c r="R4748" s="47" t="b">
        <v>0</v>
      </c>
      <c r="S4748" s="42" t="str">
        <f t="shared" si="28"/>
        <v/>
      </c>
      <c r="T4748" s="42"/>
    </row>
    <row r="4749" ht="22.5" customHeight="1">
      <c r="B4749" s="42">
        <f t="shared" si="7"/>
        <v>4743</v>
      </c>
      <c r="C4749" s="31" t="s">
        <v>4765</v>
      </c>
      <c r="D4749" s="34" t="str">
        <f t="array" ref="D4749">IFNA(_xlfn.XLOOKUP(C4749,Table_Tarikan_Warkah[Nomor Sertipikat],Table_Tarikan_Warkah[Nomor Tiket]),"")</f>
        <v>AB089/ABUZRNGG</v>
      </c>
      <c r="E4749" s="36" t="str">
        <f t="array" ref="E4749">IFNA(_xlfn.XLOOKUP(D4749,Table_Tarikan_Warkah[Nomor Tiket],Table_Tarikan_Warkah[Tanggal diserahkan kepada Validator]),"")</f>
        <v/>
      </c>
      <c r="F4749" s="36" t="str">
        <f t="array" ref="F4749">IFNA(_xlfn.XLOOKUP(D4749,Table_Tarikan_Warkah[Nomor Tiket],Table_Tarikan_Warkah[Nama Petugas Warkah]),"")</f>
        <v/>
      </c>
      <c r="G4749" s="39" t="str">
        <f t="array" ref="G4749">IFNA(_xlfn.XLOOKUP(D4749,Table_Tarikan_Warkah[Nomor Tiket],Table_Tarikan_Warkah[Jenis Permohonan]),"")</f>
        <v>BN Waris</v>
      </c>
      <c r="H4749" s="41" t="s">
        <v>2315</v>
      </c>
      <c r="I4749" s="49" t="s">
        <v>23</v>
      </c>
      <c r="J4749" s="36">
        <f t="shared" si="20"/>
        <v>46021.59664</v>
      </c>
      <c r="K4749" s="69"/>
      <c r="L4749" s="49"/>
      <c r="M4749" s="36" t="str">
        <f t="shared" si="33"/>
        <v/>
      </c>
      <c r="N4749" s="30" t="str">
        <f t="shared" si="34"/>
        <v>BT atau SU Belum Valid</v>
      </c>
      <c r="O4749" s="39" t="str">
        <f t="shared" si="23"/>
        <v/>
      </c>
      <c r="P4749" s="47" t="b">
        <v>0</v>
      </c>
      <c r="Q4749" s="36" t="str">
        <f t="shared" si="35"/>
        <v/>
      </c>
      <c r="R4749" s="47" t="b">
        <v>0</v>
      </c>
      <c r="S4749" s="42" t="str">
        <f t="shared" si="28"/>
        <v/>
      </c>
      <c r="T4749" s="42"/>
    </row>
    <row r="4750" ht="22.5" customHeight="1">
      <c r="B4750" s="42">
        <f t="shared" si="7"/>
        <v>4744</v>
      </c>
      <c r="C4750" s="31" t="s">
        <v>4766</v>
      </c>
      <c r="D4750" s="34" t="str">
        <f t="array" ref="D4750">IFNA(_xlfn.XLOOKUP(C4750,Table_Tarikan_Warkah[Nomor Sertipikat],Table_Tarikan_Warkah[Nomor Tiket]),"")</f>
        <v>ABO80/1</v>
      </c>
      <c r="E4750" s="36" t="str">
        <f t="array" ref="E4750">IFNA(_xlfn.XLOOKUP(D4750,Table_Tarikan_Warkah[Nomor Tiket],Table_Tarikan_Warkah[Tanggal diserahkan kepada Validator]),"")</f>
        <v/>
      </c>
      <c r="F4750" s="36" t="str">
        <f t="array" ref="F4750">IFNA(_xlfn.XLOOKUP(D4750,Table_Tarikan_Warkah[Nomor Tiket],Table_Tarikan_Warkah[Nama Petugas Warkah]),"")</f>
        <v/>
      </c>
      <c r="G4750" s="39" t="str">
        <f t="array" ref="G4750">IFNA(_xlfn.XLOOKUP(D4750,Table_Tarikan_Warkah[Nomor Tiket],Table_Tarikan_Warkah[Jenis Permohonan]),"")</f>
        <v>Waris</v>
      </c>
      <c r="H4750" s="41" t="s">
        <v>2315</v>
      </c>
      <c r="I4750" s="49" t="s">
        <v>23</v>
      </c>
      <c r="J4750" s="36">
        <f t="shared" si="20"/>
        <v>46021.60051</v>
      </c>
      <c r="K4750" s="69"/>
      <c r="L4750" s="49"/>
      <c r="M4750" s="36" t="str">
        <f t="shared" si="33"/>
        <v/>
      </c>
      <c r="N4750" s="30" t="str">
        <f t="shared" si="34"/>
        <v>BT atau SU Belum Valid</v>
      </c>
      <c r="O4750" s="39" t="str">
        <f t="shared" si="23"/>
        <v/>
      </c>
      <c r="P4750" s="47" t="b">
        <v>0</v>
      </c>
      <c r="Q4750" s="36" t="str">
        <f t="shared" si="35"/>
        <v/>
      </c>
      <c r="R4750" s="47" t="b">
        <v>0</v>
      </c>
      <c r="S4750" s="42" t="str">
        <f t="shared" si="28"/>
        <v/>
      </c>
      <c r="T4750" s="42"/>
    </row>
    <row r="4751" ht="22.5" customHeight="1">
      <c r="B4751" s="42">
        <f t="shared" si="7"/>
        <v>4745</v>
      </c>
      <c r="C4751" s="31" t="s">
        <v>4767</v>
      </c>
      <c r="D4751" s="34" t="str">
        <f t="array" ref="D4751">IFNA(_xlfn.XLOOKUP(C4751,Table_Tarikan_Warkah[Nomor Sertipikat],Table_Tarikan_Warkah[Nomor Tiket]),"")</f>
        <v>K/31/160925/1</v>
      </c>
      <c r="E4751" s="36" t="str">
        <f t="array" ref="E4751">IFNA(_xlfn.XLOOKUP(D4751,Table_Tarikan_Warkah[Nomor Tiket],Table_Tarikan_Warkah[Tanggal diserahkan kepada Validator]),"")</f>
        <v/>
      </c>
      <c r="F4751" s="36" t="str">
        <f t="array" ref="F4751">IFNA(_xlfn.XLOOKUP(D4751,Table_Tarikan_Warkah[Nomor Tiket],Table_Tarikan_Warkah[Nama Petugas Warkah]),"")</f>
        <v/>
      </c>
      <c r="G4751" s="39" t="str">
        <f t="array" ref="G4751">IFNA(_xlfn.XLOOKUP(D4751,Table_Tarikan_Warkah[Nomor Tiket],Table_Tarikan_Warkah[Jenis Permohonan]),"")</f>
        <v>BN JUAL BELI EL</v>
      </c>
      <c r="H4751" s="41" t="s">
        <v>2315</v>
      </c>
      <c r="I4751" s="49" t="s">
        <v>23</v>
      </c>
      <c r="J4751" s="36">
        <f t="shared" si="20"/>
        <v>46022.43178</v>
      </c>
      <c r="K4751" s="69"/>
      <c r="L4751" s="49"/>
      <c r="M4751" s="36" t="str">
        <f t="shared" si="33"/>
        <v/>
      </c>
      <c r="N4751" s="30" t="str">
        <f t="shared" si="34"/>
        <v>BT atau SU Belum Valid</v>
      </c>
      <c r="O4751" s="39" t="str">
        <f t="shared" si="23"/>
        <v/>
      </c>
      <c r="P4751" s="47" t="b">
        <v>0</v>
      </c>
      <c r="Q4751" s="36" t="str">
        <f t="shared" si="35"/>
        <v/>
      </c>
      <c r="R4751" s="47" t="b">
        <v>0</v>
      </c>
      <c r="S4751" s="42" t="str">
        <f t="shared" si="28"/>
        <v/>
      </c>
      <c r="T4751" s="42"/>
    </row>
    <row r="4752" ht="22.5" customHeight="1">
      <c r="B4752" s="42">
        <f t="shared" si="7"/>
        <v>4746</v>
      </c>
      <c r="C4752" s="31" t="s">
        <v>4768</v>
      </c>
      <c r="D4752" s="34" t="str">
        <f t="array" ref="D4752">IFNA(_xlfn.XLOOKUP(C4752,Table_Tarikan_Warkah[Nomor Sertipikat],Table_Tarikan_Warkah[Nomor Tiket]),"")</f>
        <v>L/18/171125/1</v>
      </c>
      <c r="E4752" s="36" t="str">
        <f t="array" ref="E4752">IFNA(_xlfn.XLOOKUP(D4752,Table_Tarikan_Warkah[Nomor Tiket],Table_Tarikan_Warkah[Tanggal diserahkan kepada Validator]),"")</f>
        <v/>
      </c>
      <c r="F4752" s="36" t="str">
        <f t="array" ref="F4752">IFNA(_xlfn.XLOOKUP(D4752,Table_Tarikan_Warkah[Nomor Tiket],Table_Tarikan_Warkah[Nama Petugas Warkah]),"")</f>
        <v/>
      </c>
      <c r="G4752" s="39" t="str">
        <f t="array" ref="G4752">IFNA(_xlfn.XLOOKUP(D4752,Table_Tarikan_Warkah[Nomor Tiket],Table_Tarikan_Warkah[Jenis Permohonan]),"")</f>
        <v>BN WARIS</v>
      </c>
      <c r="H4752" s="41" t="s">
        <v>2315</v>
      </c>
      <c r="I4752" s="49" t="s">
        <v>23</v>
      </c>
      <c r="J4752" s="36">
        <f t="shared" si="20"/>
        <v>46022.47012</v>
      </c>
      <c r="K4752" s="69"/>
      <c r="L4752" s="49"/>
      <c r="M4752" s="36" t="str">
        <f t="shared" si="33"/>
        <v/>
      </c>
      <c r="N4752" s="30" t="str">
        <f t="shared" si="34"/>
        <v>BT atau SU Belum Valid</v>
      </c>
      <c r="O4752" s="39" t="str">
        <f t="shared" si="23"/>
        <v/>
      </c>
      <c r="P4752" s="47" t="b">
        <v>0</v>
      </c>
      <c r="Q4752" s="36" t="str">
        <f t="shared" si="35"/>
        <v/>
      </c>
      <c r="R4752" s="47" t="b">
        <v>0</v>
      </c>
      <c r="S4752" s="42" t="str">
        <f t="shared" si="28"/>
        <v/>
      </c>
      <c r="T4752" s="42"/>
    </row>
    <row r="4753" ht="22.5" customHeight="1">
      <c r="B4753" s="42">
        <f t="shared" si="7"/>
        <v>4747</v>
      </c>
      <c r="C4753" s="31" t="s">
        <v>4769</v>
      </c>
      <c r="D4753" s="34" t="str">
        <f t="array" ref="D4753">IFNA(_xlfn.XLOOKUP(C4753,Table_Tarikan_Warkah[Nomor Sertipikat],Table_Tarikan_Warkah[Nomor Tiket]),"")</f>
        <v>L/4/141125/1</v>
      </c>
      <c r="E4753" s="36" t="str">
        <f t="array" ref="E4753">IFNA(_xlfn.XLOOKUP(D4753,Table_Tarikan_Warkah[Nomor Tiket],Table_Tarikan_Warkah[Tanggal diserahkan kepada Validator]),"")</f>
        <v/>
      </c>
      <c r="F4753" s="36" t="str">
        <f t="array" ref="F4753">IFNA(_xlfn.XLOOKUP(D4753,Table_Tarikan_Warkah[Nomor Tiket],Table_Tarikan_Warkah[Nama Petugas Warkah]),"")</f>
        <v/>
      </c>
      <c r="G4753" s="39" t="str">
        <f t="array" ref="G4753">IFNA(_xlfn.XLOOKUP(D4753,Table_Tarikan_Warkah[Nomor Tiket],Table_Tarikan_Warkah[Jenis Permohonan]),"")</f>
        <v>BN WARIS</v>
      </c>
      <c r="H4753" s="41" t="s">
        <v>2315</v>
      </c>
      <c r="I4753" s="49" t="s">
        <v>23</v>
      </c>
      <c r="J4753" s="36">
        <f t="shared" si="20"/>
        <v>46022.47032</v>
      </c>
      <c r="K4753" s="69"/>
      <c r="L4753" s="49"/>
      <c r="M4753" s="36" t="str">
        <f t="shared" si="33"/>
        <v/>
      </c>
      <c r="N4753" s="30" t="str">
        <f t="shared" si="34"/>
        <v>BT atau SU Belum Valid</v>
      </c>
      <c r="O4753" s="39" t="str">
        <f t="shared" si="23"/>
        <v/>
      </c>
      <c r="P4753" s="47" t="b">
        <v>0</v>
      </c>
      <c r="Q4753" s="36" t="str">
        <f t="shared" si="35"/>
        <v/>
      </c>
      <c r="R4753" s="47" t="b">
        <v>0</v>
      </c>
      <c r="S4753" s="42" t="str">
        <f t="shared" si="28"/>
        <v/>
      </c>
      <c r="T4753" s="42"/>
    </row>
    <row r="4754" ht="22.5" customHeight="1">
      <c r="B4754" s="42">
        <f t="shared" si="7"/>
        <v>4748</v>
      </c>
      <c r="C4754" s="31" t="s">
        <v>4770</v>
      </c>
      <c r="D4754" s="34" t="str">
        <f t="array" ref="D4754">IFNA(_xlfn.XLOOKUP(C4754,Table_Tarikan_Warkah[Nomor Sertipikat],Table_Tarikan_Warkah[Nomor Tiket]),"")</f>
        <v>K/33/220825/2</v>
      </c>
      <c r="E4754" s="36">
        <f t="array" ref="E4754">IFNA(_xlfn.XLOOKUP(D4754,Table_Tarikan_Warkah[Nomor Tiket],Table_Tarikan_Warkah[Tanggal diserahkan kepada Validator]),"")</f>
        <v>45926.54348</v>
      </c>
      <c r="F4754" s="36" t="str">
        <f t="array" ref="F4754">IFNA(_xlfn.XLOOKUP(D4754,Table_Tarikan_Warkah[Nomor Tiket],Table_Tarikan_Warkah[Nama Petugas Warkah]),"")</f>
        <v>Berry</v>
      </c>
      <c r="G4754" s="39" t="str">
        <f t="array" ref="G4754">IFNA(_xlfn.XLOOKUP(D4754,Table_Tarikan_Warkah[Nomor Tiket],Table_Tarikan_Warkah[Jenis Permohonan]),"")</f>
        <v>BN WARIS</v>
      </c>
      <c r="H4754" s="41" t="s">
        <v>2315</v>
      </c>
      <c r="I4754" s="49" t="s">
        <v>23</v>
      </c>
      <c r="J4754" s="36">
        <f t="shared" si="20"/>
        <v>46022.47696</v>
      </c>
      <c r="K4754" s="69"/>
      <c r="L4754" s="49"/>
      <c r="M4754" s="36" t="str">
        <f t="shared" si="33"/>
        <v/>
      </c>
      <c r="N4754" s="30" t="str">
        <f t="shared" si="34"/>
        <v>BT atau SU Belum Valid</v>
      </c>
      <c r="O4754" s="39" t="str">
        <f t="shared" si="23"/>
        <v/>
      </c>
      <c r="P4754" s="47" t="b">
        <v>0</v>
      </c>
      <c r="Q4754" s="36" t="str">
        <f t="shared" si="35"/>
        <v/>
      </c>
      <c r="R4754" s="47" t="b">
        <v>0</v>
      </c>
      <c r="S4754" s="42" t="str">
        <f t="shared" si="28"/>
        <v/>
      </c>
      <c r="T4754" s="42"/>
    </row>
    <row r="4755" ht="22.5" customHeight="1">
      <c r="B4755" s="42">
        <f t="shared" si="7"/>
        <v>4749</v>
      </c>
      <c r="C4755" s="31" t="s">
        <v>4771</v>
      </c>
      <c r="D4755" s="34" t="str">
        <f t="array" ref="D4755">IFNA(_xlfn.XLOOKUP(C4755,Table_Tarikan_Warkah[Nomor Sertipikat],Table_Tarikan_Warkah[Nomor Tiket]),"")</f>
        <v>K/1/141025/1</v>
      </c>
      <c r="E4755" s="36" t="str">
        <f t="array" ref="E4755">IFNA(_xlfn.XLOOKUP(D4755,Table_Tarikan_Warkah[Nomor Tiket],Table_Tarikan_Warkah[Tanggal diserahkan kepada Validator]),"")</f>
        <v/>
      </c>
      <c r="F4755" s="36" t="str">
        <f t="array" ref="F4755">IFNA(_xlfn.XLOOKUP(D4755,Table_Tarikan_Warkah[Nomor Tiket],Table_Tarikan_Warkah[Nama Petugas Warkah]),"")</f>
        <v/>
      </c>
      <c r="G4755" s="39" t="str">
        <f t="array" ref="G4755">IFNA(_xlfn.XLOOKUP(D4755,Table_Tarikan_Warkah[Nomor Tiket],Table_Tarikan_Warkah[Jenis Permohonan]),"")</f>
        <v>BN WARIS</v>
      </c>
      <c r="H4755" s="41" t="s">
        <v>2315</v>
      </c>
      <c r="I4755" s="49" t="s">
        <v>23</v>
      </c>
      <c r="J4755" s="36">
        <f t="shared" si="20"/>
        <v>46024.44839</v>
      </c>
      <c r="K4755" s="69"/>
      <c r="L4755" s="49"/>
      <c r="M4755" s="36" t="str">
        <f t="shared" si="33"/>
        <v/>
      </c>
      <c r="N4755" s="30" t="str">
        <f t="shared" si="34"/>
        <v>BT atau SU Belum Valid</v>
      </c>
      <c r="O4755" s="39" t="str">
        <f t="shared" si="23"/>
        <v/>
      </c>
      <c r="P4755" s="47" t="b">
        <v>0</v>
      </c>
      <c r="Q4755" s="36" t="str">
        <f t="shared" si="35"/>
        <v/>
      </c>
      <c r="R4755" s="47" t="b">
        <v>0</v>
      </c>
      <c r="S4755" s="42" t="str">
        <f t="shared" si="28"/>
        <v/>
      </c>
      <c r="T4755" s="42"/>
    </row>
    <row r="4756" ht="22.5" customHeight="1">
      <c r="B4756" s="42">
        <f t="shared" si="7"/>
        <v>4750</v>
      </c>
      <c r="C4756" s="31" t="s">
        <v>4772</v>
      </c>
      <c r="D4756" s="34" t="str">
        <f t="array" ref="D4756">IFNA(_xlfn.XLOOKUP(C4756,Table_Tarikan_Warkah[Nomor Sertipikat],Table_Tarikan_Warkah[Nomor Tiket]),"")</f>
        <v>ABTVLVOS/1</v>
      </c>
      <c r="E4756" s="36" t="str">
        <f t="array" ref="E4756">IFNA(_xlfn.XLOOKUP(D4756,Table_Tarikan_Warkah[Nomor Tiket],Table_Tarikan_Warkah[Tanggal diserahkan kepada Validator]),"")</f>
        <v/>
      </c>
      <c r="F4756" s="36" t="str">
        <f t="array" ref="F4756">IFNA(_xlfn.XLOOKUP(D4756,Table_Tarikan_Warkah[Nomor Tiket],Table_Tarikan_Warkah[Nama Petugas Warkah]),"")</f>
        <v/>
      </c>
      <c r="G4756" s="39" t="str">
        <f t="array" ref="G4756">IFNA(_xlfn.XLOOKUP(D4756,Table_Tarikan_Warkah[Nomor Tiket],Table_Tarikan_Warkah[Jenis Permohonan]),"")</f>
        <v>Balik nama waris</v>
      </c>
      <c r="H4756" s="41" t="s">
        <v>2315</v>
      </c>
      <c r="I4756" s="49" t="s">
        <v>23</v>
      </c>
      <c r="J4756" s="36">
        <f t="shared" si="20"/>
        <v>46024.45041</v>
      </c>
      <c r="K4756" s="69"/>
      <c r="L4756" s="49"/>
      <c r="M4756" s="36" t="str">
        <f t="shared" si="33"/>
        <v/>
      </c>
      <c r="N4756" s="30" t="str">
        <f t="shared" si="34"/>
        <v>BT atau SU Belum Valid</v>
      </c>
      <c r="O4756" s="39" t="str">
        <f t="shared" si="23"/>
        <v/>
      </c>
      <c r="P4756" s="47" t="b">
        <v>0</v>
      </c>
      <c r="Q4756" s="36" t="str">
        <f t="shared" si="35"/>
        <v/>
      </c>
      <c r="R4756" s="47" t="b">
        <v>0</v>
      </c>
      <c r="S4756" s="42" t="str">
        <f t="shared" si="28"/>
        <v/>
      </c>
      <c r="T4756" s="42"/>
    </row>
    <row r="4757" ht="22.5" customHeight="1">
      <c r="B4757" s="42">
        <f t="shared" si="7"/>
        <v>4751</v>
      </c>
      <c r="C4757" s="31" t="s">
        <v>4773</v>
      </c>
      <c r="D4757" s="34" t="str">
        <f t="array" ref="D4757">IFNA(_xlfn.XLOOKUP(C4757,Table_Tarikan_Warkah[Nomor Sertipikat],Table_Tarikan_Warkah[Nomor Tiket]),"")</f>
        <v>ABRBRYEZ</v>
      </c>
      <c r="E4757" s="36" t="str">
        <f t="array" ref="E4757">IFNA(_xlfn.XLOOKUP(D4757,Table_Tarikan_Warkah[Nomor Tiket],Table_Tarikan_Warkah[Tanggal diserahkan kepada Validator]),"")</f>
        <v/>
      </c>
      <c r="F4757" s="36" t="str">
        <f t="array" ref="F4757">IFNA(_xlfn.XLOOKUP(D4757,Table_Tarikan_Warkah[Nomor Tiket],Table_Tarikan_Warkah[Nama Petugas Warkah]),"")</f>
        <v/>
      </c>
      <c r="G4757" s="39" t="str">
        <f t="array" ref="G4757">IFNA(_xlfn.XLOOKUP(D4757,Table_Tarikan_Warkah[Nomor Tiket],Table_Tarikan_Warkah[Jenis Permohonan]),"")</f>
        <v>PERALIHAN HAK</v>
      </c>
      <c r="H4757" s="41" t="s">
        <v>2315</v>
      </c>
      <c r="I4757" s="49" t="s">
        <v>23</v>
      </c>
      <c r="J4757" s="36">
        <f t="shared" si="20"/>
        <v>46024.45076</v>
      </c>
      <c r="K4757" s="69"/>
      <c r="L4757" s="49"/>
      <c r="M4757" s="36" t="str">
        <f t="shared" si="33"/>
        <v/>
      </c>
      <c r="N4757" s="30" t="str">
        <f t="shared" si="34"/>
        <v>BT atau SU Belum Valid</v>
      </c>
      <c r="O4757" s="39" t="str">
        <f t="shared" si="23"/>
        <v/>
      </c>
      <c r="P4757" s="47" t="b">
        <v>0</v>
      </c>
      <c r="Q4757" s="36" t="str">
        <f t="shared" si="35"/>
        <v/>
      </c>
      <c r="R4757" s="47" t="b">
        <v>0</v>
      </c>
      <c r="S4757" s="42" t="str">
        <f t="shared" si="28"/>
        <v/>
      </c>
      <c r="T4757" s="42"/>
    </row>
    <row r="4758" ht="22.5" customHeight="1">
      <c r="B4758" s="42">
        <f t="shared" si="7"/>
        <v>4752</v>
      </c>
      <c r="C4758" s="31" t="s">
        <v>4774</v>
      </c>
      <c r="D4758" s="34" t="str">
        <f t="array" ref="D4758">IFNA(_xlfn.XLOOKUP(C4758,Table_Tarikan_Warkah[Nomor Sertipikat],Table_Tarikan_Warkah[Nomor Tiket]),"")</f>
        <v>ABAKJVNR/1</v>
      </c>
      <c r="E4758" s="36" t="str">
        <f t="array" ref="E4758">IFNA(_xlfn.XLOOKUP(D4758,Table_Tarikan_Warkah[Nomor Tiket],Table_Tarikan_Warkah[Tanggal diserahkan kepada Validator]),"")</f>
        <v/>
      </c>
      <c r="F4758" s="36" t="str">
        <f t="array" ref="F4758">IFNA(_xlfn.XLOOKUP(D4758,Table_Tarikan_Warkah[Nomor Tiket],Table_Tarikan_Warkah[Nama Petugas Warkah]),"")</f>
        <v/>
      </c>
      <c r="G4758" s="39" t="str">
        <f t="array" ref="G4758">IFNA(_xlfn.XLOOKUP(D4758,Table_Tarikan_Warkah[Nomor Tiket],Table_Tarikan_Warkah[Jenis Permohonan]),"")</f>
        <v>Balik nama waris</v>
      </c>
      <c r="H4758" s="41" t="s">
        <v>2315</v>
      </c>
      <c r="I4758" s="49" t="s">
        <v>23</v>
      </c>
      <c r="J4758" s="36">
        <f t="shared" si="20"/>
        <v>46024.45091</v>
      </c>
      <c r="K4758" s="69"/>
      <c r="L4758" s="49"/>
      <c r="M4758" s="36" t="str">
        <f t="shared" si="33"/>
        <v/>
      </c>
      <c r="N4758" s="30" t="str">
        <f t="shared" si="34"/>
        <v>BT atau SU Belum Valid</v>
      </c>
      <c r="O4758" s="39" t="str">
        <f t="shared" si="23"/>
        <v/>
      </c>
      <c r="P4758" s="47" t="b">
        <v>0</v>
      </c>
      <c r="Q4758" s="36" t="str">
        <f t="shared" si="35"/>
        <v/>
      </c>
      <c r="R4758" s="47" t="b">
        <v>0</v>
      </c>
      <c r="S4758" s="42" t="str">
        <f t="shared" si="28"/>
        <v/>
      </c>
      <c r="T4758" s="42"/>
    </row>
    <row r="4759" ht="22.5" customHeight="1">
      <c r="B4759" s="42">
        <f t="shared" si="7"/>
        <v>4753</v>
      </c>
      <c r="C4759" s="31" t="s">
        <v>4775</v>
      </c>
      <c r="D4759" s="34" t="str">
        <f t="array" ref="D4759">IFNA(_xlfn.XLOOKUP(C4759,Table_Tarikan_Warkah[Nomor Sertipikat],Table_Tarikan_Warkah[Nomor Tiket]),"")</f>
        <v>ABGYDUUL/ABO46</v>
      </c>
      <c r="E4759" s="36" t="str">
        <f t="array" ref="E4759">IFNA(_xlfn.XLOOKUP(D4759,Table_Tarikan_Warkah[Nomor Tiket],Table_Tarikan_Warkah[Tanggal diserahkan kepada Validator]),"")</f>
        <v/>
      </c>
      <c r="F4759" s="36" t="str">
        <f t="array" ref="F4759">IFNA(_xlfn.XLOOKUP(D4759,Table_Tarikan_Warkah[Nomor Tiket],Table_Tarikan_Warkah[Nama Petugas Warkah]),"")</f>
        <v/>
      </c>
      <c r="G4759" s="39" t="str">
        <f t="array" ref="G4759">IFNA(_xlfn.XLOOKUP(D4759,Table_Tarikan_Warkah[Nomor Tiket],Table_Tarikan_Warkah[Jenis Permohonan]),"")</f>
        <v>BN. Jual beli</v>
      </c>
      <c r="H4759" s="41" t="s">
        <v>2315</v>
      </c>
      <c r="I4759" s="49" t="s">
        <v>23</v>
      </c>
      <c r="J4759" s="36">
        <f t="shared" si="20"/>
        <v>46024.45581</v>
      </c>
      <c r="K4759" s="69"/>
      <c r="L4759" s="49"/>
      <c r="M4759" s="36" t="str">
        <f t="shared" si="33"/>
        <v/>
      </c>
      <c r="N4759" s="30" t="str">
        <f t="shared" si="34"/>
        <v>BT atau SU Belum Valid</v>
      </c>
      <c r="O4759" s="39" t="str">
        <f t="shared" si="23"/>
        <v/>
      </c>
      <c r="P4759" s="47" t="b">
        <v>0</v>
      </c>
      <c r="Q4759" s="36" t="str">
        <f t="shared" si="35"/>
        <v/>
      </c>
      <c r="R4759" s="47" t="b">
        <v>0</v>
      </c>
      <c r="S4759" s="42" t="str">
        <f t="shared" si="28"/>
        <v/>
      </c>
      <c r="T4759" s="42"/>
    </row>
    <row r="4760" ht="22.5" customHeight="1">
      <c r="B4760" s="42">
        <f t="shared" si="7"/>
        <v>4754</v>
      </c>
      <c r="C4760" s="31" t="s">
        <v>4776</v>
      </c>
      <c r="D4760" s="34" t="str">
        <f t="array" ref="D4760">IFNA(_xlfn.XLOOKUP(C4760,Table_Tarikan_Warkah[Nomor Sertipikat],Table_Tarikan_Warkah[Nomor Tiket]),"")</f>
        <v>L/29/141025/1</v>
      </c>
      <c r="E4760" s="36" t="str">
        <f t="array" ref="E4760">IFNA(_xlfn.XLOOKUP(D4760,Table_Tarikan_Warkah[Nomor Tiket],Table_Tarikan_Warkah[Tanggal diserahkan kepada Validator]),"")</f>
        <v/>
      </c>
      <c r="F4760" s="36" t="str">
        <f t="array" ref="F4760">IFNA(_xlfn.XLOOKUP(D4760,Table_Tarikan_Warkah[Nomor Tiket],Table_Tarikan_Warkah[Nama Petugas Warkah]),"")</f>
        <v/>
      </c>
      <c r="G4760" s="39" t="str">
        <f t="array" ref="G4760">IFNA(_xlfn.XLOOKUP(D4760,Table_Tarikan_Warkah[Nomor Tiket],Table_Tarikan_Warkah[Jenis Permohonan]),"")</f>
        <v>BN WARIS</v>
      </c>
      <c r="H4760" s="41" t="s">
        <v>2315</v>
      </c>
      <c r="I4760" s="49" t="s">
        <v>23</v>
      </c>
      <c r="J4760" s="36">
        <f t="shared" si="20"/>
        <v>46028.43082</v>
      </c>
      <c r="K4760" s="69"/>
      <c r="L4760" s="49"/>
      <c r="M4760" s="36" t="str">
        <f t="shared" si="33"/>
        <v/>
      </c>
      <c r="N4760" s="30" t="str">
        <f t="shared" si="34"/>
        <v>BT atau SU Belum Valid</v>
      </c>
      <c r="O4760" s="39" t="str">
        <f t="shared" si="23"/>
        <v/>
      </c>
      <c r="P4760" s="47" t="b">
        <v>0</v>
      </c>
      <c r="Q4760" s="36" t="str">
        <f t="shared" si="35"/>
        <v/>
      </c>
      <c r="R4760" s="47" t="b">
        <v>0</v>
      </c>
      <c r="S4760" s="42" t="str">
        <f t="shared" si="28"/>
        <v/>
      </c>
      <c r="T4760" s="42"/>
    </row>
    <row r="4761" ht="22.5" customHeight="1">
      <c r="B4761" s="42">
        <f t="shared" si="7"/>
        <v>4755</v>
      </c>
      <c r="C4761" s="31" t="s">
        <v>4777</v>
      </c>
      <c r="D4761" s="34" t="str">
        <f t="array" ref="D4761">IFNA(_xlfn.XLOOKUP(C4761,Table_Tarikan_Warkah[Nomor Sertipikat],Table_Tarikan_Warkah[Nomor Tiket]),"")</f>
        <v>ABPASPVE</v>
      </c>
      <c r="E4761" s="36" t="str">
        <f t="array" ref="E4761">IFNA(_xlfn.XLOOKUP(D4761,Table_Tarikan_Warkah[Nomor Tiket],Table_Tarikan_Warkah[Tanggal diserahkan kepada Validator]),"")</f>
        <v/>
      </c>
      <c r="F4761" s="36" t="str">
        <f t="array" ref="F4761">IFNA(_xlfn.XLOOKUP(D4761,Table_Tarikan_Warkah[Nomor Tiket],Table_Tarikan_Warkah[Nama Petugas Warkah]),"")</f>
        <v/>
      </c>
      <c r="G4761" s="39" t="str">
        <f t="array" ref="G4761">IFNA(_xlfn.XLOOKUP(D4761,Table_Tarikan_Warkah[Nomor Tiket],Table_Tarikan_Warkah[Jenis Permohonan]),"")</f>
        <v>Balik nama waris shaayy</v>
      </c>
      <c r="H4761" s="41" t="s">
        <v>2315</v>
      </c>
      <c r="I4761" s="49" t="s">
        <v>23</v>
      </c>
      <c r="J4761" s="36">
        <f t="shared" si="20"/>
        <v>46028.43115</v>
      </c>
      <c r="K4761" s="69"/>
      <c r="L4761" s="49"/>
      <c r="M4761" s="36" t="str">
        <f t="shared" si="33"/>
        <v/>
      </c>
      <c r="N4761" s="30" t="str">
        <f t="shared" si="34"/>
        <v>BT atau SU Belum Valid</v>
      </c>
      <c r="O4761" s="39" t="str">
        <f t="shared" si="23"/>
        <v/>
      </c>
      <c r="P4761" s="47" t="b">
        <v>0</v>
      </c>
      <c r="Q4761" s="36" t="str">
        <f t="shared" si="35"/>
        <v/>
      </c>
      <c r="R4761" s="47" t="b">
        <v>0</v>
      </c>
      <c r="S4761" s="42" t="str">
        <f t="shared" si="28"/>
        <v/>
      </c>
      <c r="T4761" s="42"/>
    </row>
    <row r="4762" ht="22.5" customHeight="1">
      <c r="B4762" s="42">
        <f t="shared" si="7"/>
        <v>4756</v>
      </c>
      <c r="C4762" s="31" t="s">
        <v>4778</v>
      </c>
      <c r="D4762" s="34" t="str">
        <f t="array" ref="D4762">IFNA(_xlfn.XLOOKUP(C4762,Table_Tarikan_Warkah[Nomor Sertipikat],Table_Tarikan_Warkah[Nomor Tiket]),"")</f>
        <v>ABABPVFG/AB034</v>
      </c>
      <c r="E4762" s="36" t="str">
        <f t="array" ref="E4762">IFNA(_xlfn.XLOOKUP(D4762,Table_Tarikan_Warkah[Nomor Tiket],Table_Tarikan_Warkah[Tanggal diserahkan kepada Validator]),"")</f>
        <v/>
      </c>
      <c r="F4762" s="36" t="str">
        <f t="array" ref="F4762">IFNA(_xlfn.XLOOKUP(D4762,Table_Tarikan_Warkah[Nomor Tiket],Table_Tarikan_Warkah[Nama Petugas Warkah]),"")</f>
        <v/>
      </c>
      <c r="G4762" s="39" t="str">
        <f t="array" ref="G4762">IFNA(_xlfn.XLOOKUP(D4762,Table_Tarikan_Warkah[Nomor Tiket],Table_Tarikan_Warkah[Jenis Permohonan]),"")</f>
        <v>Bn Waris</v>
      </c>
      <c r="H4762" s="41" t="s">
        <v>2315</v>
      </c>
      <c r="I4762" s="49" t="s">
        <v>23</v>
      </c>
      <c r="J4762" s="36">
        <f t="shared" si="20"/>
        <v>46029.39469</v>
      </c>
      <c r="K4762" s="69"/>
      <c r="L4762" s="49"/>
      <c r="M4762" s="36" t="str">
        <f t="shared" si="33"/>
        <v/>
      </c>
      <c r="N4762" s="30" t="str">
        <f t="shared" si="34"/>
        <v>BT atau SU Belum Valid</v>
      </c>
      <c r="O4762" s="39" t="str">
        <f t="shared" si="23"/>
        <v/>
      </c>
      <c r="P4762" s="47" t="b">
        <v>0</v>
      </c>
      <c r="Q4762" s="36" t="str">
        <f t="shared" si="35"/>
        <v/>
      </c>
      <c r="R4762" s="47" t="b">
        <v>0</v>
      </c>
      <c r="S4762" s="42" t="str">
        <f t="shared" si="28"/>
        <v/>
      </c>
      <c r="T4762" s="42"/>
    </row>
    <row r="4763" ht="22.5" customHeight="1">
      <c r="B4763" s="42">
        <f t="shared" si="7"/>
        <v>4757</v>
      </c>
      <c r="C4763" s="31" t="s">
        <v>4779</v>
      </c>
      <c r="D4763" s="34" t="str">
        <f t="array" ref="D4763">IFNA(_xlfn.XLOOKUP(C4763,Table_Tarikan_Warkah[Nomor Sertipikat],Table_Tarikan_Warkah[Nomor Tiket]),"")</f>
        <v>K/25/240925/1</v>
      </c>
      <c r="E4763" s="36" t="str">
        <f t="array" ref="E4763">IFNA(_xlfn.XLOOKUP(D4763,Table_Tarikan_Warkah[Nomor Tiket],Table_Tarikan_Warkah[Tanggal diserahkan kepada Validator]),"")</f>
        <v/>
      </c>
      <c r="F4763" s="36" t="str">
        <f t="array" ref="F4763">IFNA(_xlfn.XLOOKUP(D4763,Table_Tarikan_Warkah[Nomor Tiket],Table_Tarikan_Warkah[Nama Petugas Warkah]),"")</f>
        <v/>
      </c>
      <c r="G4763" s="39" t="str">
        <f t="array" ref="G4763">IFNA(_xlfn.XLOOKUP(D4763,Table_Tarikan_Warkah[Nomor Tiket],Table_Tarikan_Warkah[Jenis Permohonan]),"")</f>
        <v>BN Jual Beli	</v>
      </c>
      <c r="H4763" s="41" t="s">
        <v>2315</v>
      </c>
      <c r="I4763" s="49" t="s">
        <v>23</v>
      </c>
      <c r="J4763" s="36">
        <f t="shared" si="20"/>
        <v>46029.39602</v>
      </c>
      <c r="K4763" s="69"/>
      <c r="L4763" s="49"/>
      <c r="M4763" s="36" t="str">
        <f t="shared" si="33"/>
        <v/>
      </c>
      <c r="N4763" s="30" t="str">
        <f t="shared" si="34"/>
        <v>BT atau SU Belum Valid</v>
      </c>
      <c r="O4763" s="39" t="str">
        <f t="shared" si="23"/>
        <v/>
      </c>
      <c r="P4763" s="47" t="b">
        <v>0</v>
      </c>
      <c r="Q4763" s="36" t="str">
        <f t="shared" si="35"/>
        <v/>
      </c>
      <c r="R4763" s="47" t="b">
        <v>0</v>
      </c>
      <c r="S4763" s="42" t="str">
        <f t="shared" si="28"/>
        <v/>
      </c>
      <c r="T4763" s="42"/>
    </row>
    <row r="4764" ht="22.5" customHeight="1">
      <c r="B4764" s="42">
        <f t="shared" si="7"/>
        <v>4758</v>
      </c>
      <c r="C4764" s="31" t="s">
        <v>4780</v>
      </c>
      <c r="D4764" s="34" t="str">
        <f t="array" ref="D4764">IFNA(_xlfn.XLOOKUP(C4764,Table_Tarikan_Warkah[Nomor Sertipikat],Table_Tarikan_Warkah[Nomor Tiket]),"")</f>
        <v>ABVKGFFH</v>
      </c>
      <c r="E4764" s="36" t="str">
        <f t="array" ref="E4764">IFNA(_xlfn.XLOOKUP(D4764,Table_Tarikan_Warkah[Nomor Tiket],Table_Tarikan_Warkah[Tanggal diserahkan kepada Validator]),"")</f>
        <v/>
      </c>
      <c r="F4764" s="36" t="str">
        <f t="array" ref="F4764">IFNA(_xlfn.XLOOKUP(D4764,Table_Tarikan_Warkah[Nomor Tiket],Table_Tarikan_Warkah[Nama Petugas Warkah]),"")</f>
        <v/>
      </c>
      <c r="G4764" s="39" t="str">
        <f t="array" ref="G4764">IFNA(_xlfn.XLOOKUP(D4764,Table_Tarikan_Warkah[Nomor Tiket],Table_Tarikan_Warkah[Jenis Permohonan]),"")</f>
        <v>Pewarisan</v>
      </c>
      <c r="H4764" s="41" t="s">
        <v>2315</v>
      </c>
      <c r="I4764" s="49" t="s">
        <v>23</v>
      </c>
      <c r="J4764" s="36">
        <f t="shared" si="20"/>
        <v>46029.67524</v>
      </c>
      <c r="K4764" s="69"/>
      <c r="L4764" s="49"/>
      <c r="M4764" s="36" t="str">
        <f t="shared" si="33"/>
        <v/>
      </c>
      <c r="N4764" s="30" t="str">
        <f t="shared" si="34"/>
        <v>BT atau SU Belum Valid</v>
      </c>
      <c r="O4764" s="39" t="str">
        <f t="shared" si="23"/>
        <v/>
      </c>
      <c r="P4764" s="47" t="b">
        <v>0</v>
      </c>
      <c r="Q4764" s="36" t="str">
        <f t="shared" si="35"/>
        <v/>
      </c>
      <c r="R4764" s="47" t="b">
        <v>0</v>
      </c>
      <c r="S4764" s="42" t="str">
        <f t="shared" si="28"/>
        <v/>
      </c>
      <c r="T4764" s="42"/>
    </row>
    <row r="4765" ht="22.5" customHeight="1">
      <c r="B4765" s="42">
        <f t="shared" si="7"/>
        <v>4759</v>
      </c>
      <c r="C4765" s="31" t="s">
        <v>4781</v>
      </c>
      <c r="D4765" s="34" t="str">
        <f t="array" ref="D4765">IFNA(_xlfn.XLOOKUP(C4765,Table_Tarikan_Warkah[Nomor Sertipikat],Table_Tarikan_Warkah[Nomor Tiket]),"")</f>
        <v>L/16/230525/1</v>
      </c>
      <c r="E4765" s="36" t="str">
        <f t="array" ref="E4765">IFNA(_xlfn.XLOOKUP(D4765,Table_Tarikan_Warkah[Nomor Tiket],Table_Tarikan_Warkah[Tanggal diserahkan kepada Validator]),"")</f>
        <v/>
      </c>
      <c r="F4765" s="36" t="str">
        <f t="array" ref="F4765">IFNA(_xlfn.XLOOKUP(D4765,Table_Tarikan_Warkah[Nomor Tiket],Table_Tarikan_Warkah[Nama Petugas Warkah]),"")</f>
        <v/>
      </c>
      <c r="G4765" s="39" t="str">
        <f t="array" ref="G4765">IFNA(_xlfn.XLOOKUP(D4765,Table_Tarikan_Warkah[Nomor Tiket],Table_Tarikan_Warkah[Jenis Permohonan]),"")</f>
        <v>PH</v>
      </c>
      <c r="H4765" s="41" t="s">
        <v>2315</v>
      </c>
      <c r="I4765" s="49" t="s">
        <v>23</v>
      </c>
      <c r="J4765" s="36">
        <f t="shared" si="20"/>
        <v>46029.67761</v>
      </c>
      <c r="K4765" s="69"/>
      <c r="L4765" s="49"/>
      <c r="M4765" s="36" t="str">
        <f t="shared" si="33"/>
        <v/>
      </c>
      <c r="N4765" s="30" t="str">
        <f t="shared" si="34"/>
        <v>BT atau SU Belum Valid</v>
      </c>
      <c r="O4765" s="39" t="str">
        <f t="shared" si="23"/>
        <v/>
      </c>
      <c r="P4765" s="47" t="b">
        <v>0</v>
      </c>
      <c r="Q4765" s="36" t="str">
        <f t="shared" si="35"/>
        <v/>
      </c>
      <c r="R4765" s="47" t="b">
        <v>0</v>
      </c>
      <c r="S4765" s="42" t="str">
        <f t="shared" si="28"/>
        <v/>
      </c>
      <c r="T4765" s="42"/>
    </row>
    <row r="4766" ht="22.5" customHeight="1">
      <c r="B4766" s="42">
        <f t="shared" si="7"/>
        <v>4760</v>
      </c>
      <c r="C4766" s="31" t="s">
        <v>4782</v>
      </c>
      <c r="D4766" s="34" t="str">
        <f t="array" ref="D4766">IFNA(_xlfn.XLOOKUP(C4766,Table_Tarikan_Warkah[Nomor Sertipikat],Table_Tarikan_Warkah[Nomor Tiket]),"")</f>
        <v>L/11/221025/1</v>
      </c>
      <c r="E4766" s="36" t="str">
        <f t="array" ref="E4766">IFNA(_xlfn.XLOOKUP(D4766,Table_Tarikan_Warkah[Nomor Tiket],Table_Tarikan_Warkah[Tanggal diserahkan kepada Validator]),"")</f>
        <v/>
      </c>
      <c r="F4766" s="36" t="str">
        <f t="array" ref="F4766">IFNA(_xlfn.XLOOKUP(D4766,Table_Tarikan_Warkah[Nomor Tiket],Table_Tarikan_Warkah[Nama Petugas Warkah]),"")</f>
        <v/>
      </c>
      <c r="G4766" s="39" t="str">
        <f t="array" ref="G4766">IFNA(_xlfn.XLOOKUP(D4766,Table_Tarikan_Warkah[Nomor Tiket],Table_Tarikan_Warkah[Jenis Permohonan]),"")</f>
        <v>BN WARIS</v>
      </c>
      <c r="H4766" s="41" t="s">
        <v>2315</v>
      </c>
      <c r="I4766" s="49" t="s">
        <v>23</v>
      </c>
      <c r="J4766" s="36">
        <f t="shared" si="20"/>
        <v>46029.67828</v>
      </c>
      <c r="K4766" s="69"/>
      <c r="L4766" s="49"/>
      <c r="M4766" s="36" t="str">
        <f t="shared" si="33"/>
        <v/>
      </c>
      <c r="N4766" s="30" t="str">
        <f t="shared" si="34"/>
        <v>BT atau SU Belum Valid</v>
      </c>
      <c r="O4766" s="39" t="str">
        <f t="shared" si="23"/>
        <v/>
      </c>
      <c r="P4766" s="47" t="b">
        <v>0</v>
      </c>
      <c r="Q4766" s="36" t="str">
        <f t="shared" si="35"/>
        <v/>
      </c>
      <c r="R4766" s="47" t="b">
        <v>0</v>
      </c>
      <c r="S4766" s="42" t="str">
        <f t="shared" si="28"/>
        <v/>
      </c>
      <c r="T4766" s="42"/>
    </row>
    <row r="4767" ht="22.5" customHeight="1">
      <c r="B4767" s="42">
        <f t="shared" si="7"/>
        <v>4761</v>
      </c>
      <c r="C4767" s="31" t="s">
        <v>4783</v>
      </c>
      <c r="D4767" s="34" t="str">
        <f t="array" ref="D4767">IFNA(_xlfn.XLOOKUP(C4767,Table_Tarikan_Warkah[Nomor Sertipikat],Table_Tarikan_Warkah[Nomor Tiket]),"")</f>
        <v>ABKEQERV</v>
      </c>
      <c r="E4767" s="36" t="str">
        <f t="array" ref="E4767">IFNA(_xlfn.XLOOKUP(D4767,Table_Tarikan_Warkah[Nomor Tiket],Table_Tarikan_Warkah[Tanggal diserahkan kepada Validator]),"")</f>
        <v/>
      </c>
      <c r="F4767" s="36" t="str">
        <f t="array" ref="F4767">IFNA(_xlfn.XLOOKUP(D4767,Table_Tarikan_Warkah[Nomor Tiket],Table_Tarikan_Warkah[Nama Petugas Warkah]),"")</f>
        <v/>
      </c>
      <c r="G4767" s="39" t="str">
        <f t="array" ref="G4767">IFNA(_xlfn.XLOOKUP(D4767,Table_Tarikan_Warkah[Nomor Tiket],Table_Tarikan_Warkah[Jenis Permohonan]),"")</f>
        <v>Balik Nama lelang</v>
      </c>
      <c r="H4767" s="41" t="s">
        <v>2315</v>
      </c>
      <c r="I4767" s="49" t="s">
        <v>23</v>
      </c>
      <c r="J4767" s="36">
        <f t="shared" si="20"/>
        <v>46029.6785</v>
      </c>
      <c r="K4767" s="69"/>
      <c r="L4767" s="49"/>
      <c r="M4767" s="36" t="str">
        <f t="shared" si="33"/>
        <v/>
      </c>
      <c r="N4767" s="30" t="str">
        <f t="shared" si="34"/>
        <v>BT atau SU Belum Valid</v>
      </c>
      <c r="O4767" s="39" t="str">
        <f t="shared" si="23"/>
        <v/>
      </c>
      <c r="P4767" s="47" t="b">
        <v>0</v>
      </c>
      <c r="Q4767" s="36" t="str">
        <f t="shared" si="35"/>
        <v/>
      </c>
      <c r="R4767" s="47" t="b">
        <v>0</v>
      </c>
      <c r="S4767" s="42" t="str">
        <f t="shared" si="28"/>
        <v/>
      </c>
      <c r="T4767" s="42"/>
    </row>
    <row r="4768" ht="22.5" customHeight="1">
      <c r="B4768" s="42">
        <f t="shared" si="7"/>
        <v>4762</v>
      </c>
      <c r="C4768" s="31" t="s">
        <v>4784</v>
      </c>
      <c r="D4768" s="34" t="str">
        <f t="array" ref="D4768">IFNA(_xlfn.XLOOKUP(C4768,Table_Tarikan_Warkah[Nomor Sertipikat],Table_Tarikan_Warkah[Nomor Tiket]),"")</f>
        <v>ABTQQNVK/ABO60</v>
      </c>
      <c r="E4768" s="36" t="str">
        <f t="array" ref="E4768">IFNA(_xlfn.XLOOKUP(D4768,Table_Tarikan_Warkah[Nomor Tiket],Table_Tarikan_Warkah[Tanggal diserahkan kepada Validator]),"")</f>
        <v/>
      </c>
      <c r="F4768" s="36" t="str">
        <f t="array" ref="F4768">IFNA(_xlfn.XLOOKUP(D4768,Table_Tarikan_Warkah[Nomor Tiket],Table_Tarikan_Warkah[Nama Petugas Warkah]),"")</f>
        <v/>
      </c>
      <c r="G4768" s="39" t="str">
        <f t="array" ref="G4768">IFNA(_xlfn.XLOOKUP(D4768,Table_Tarikan_Warkah[Nomor Tiket],Table_Tarikan_Warkah[Jenis Permohonan]),"")</f>
        <v>Turun waris</v>
      </c>
      <c r="H4768" s="41" t="s">
        <v>2315</v>
      </c>
      <c r="I4768" s="49" t="s">
        <v>23</v>
      </c>
      <c r="J4768" s="36">
        <f t="shared" si="20"/>
        <v>46030.4664</v>
      </c>
      <c r="K4768" s="69"/>
      <c r="L4768" s="49"/>
      <c r="M4768" s="36" t="str">
        <f t="shared" si="33"/>
        <v/>
      </c>
      <c r="N4768" s="30" t="str">
        <f t="shared" si="34"/>
        <v>BT atau SU Belum Valid</v>
      </c>
      <c r="O4768" s="39" t="str">
        <f t="shared" si="23"/>
        <v/>
      </c>
      <c r="P4768" s="47" t="b">
        <v>0</v>
      </c>
      <c r="Q4768" s="36" t="str">
        <f t="shared" si="35"/>
        <v/>
      </c>
      <c r="R4768" s="47" t="b">
        <v>0</v>
      </c>
      <c r="S4768" s="42" t="str">
        <f t="shared" si="28"/>
        <v/>
      </c>
      <c r="T4768" s="42"/>
    </row>
    <row r="4769" ht="22.5" customHeight="1">
      <c r="B4769" s="42">
        <f t="shared" si="7"/>
        <v>4763</v>
      </c>
      <c r="C4769" s="31" t="s">
        <v>4785</v>
      </c>
      <c r="D4769" s="34" t="str">
        <f t="array" ref="D4769">IFNA(_xlfn.XLOOKUP(C4769,Table_Tarikan_Warkah[Nomor Sertipikat],Table_Tarikan_Warkah[Nomor Tiket]),"")</f>
        <v>ABKUPHGE</v>
      </c>
      <c r="E4769" s="36" t="str">
        <f t="array" ref="E4769">IFNA(_xlfn.XLOOKUP(D4769,Table_Tarikan_Warkah[Nomor Tiket],Table_Tarikan_Warkah[Tanggal diserahkan kepada Validator]),"")</f>
        <v/>
      </c>
      <c r="F4769" s="36" t="str">
        <f t="array" ref="F4769">IFNA(_xlfn.XLOOKUP(D4769,Table_Tarikan_Warkah[Nomor Tiket],Table_Tarikan_Warkah[Nama Petugas Warkah]),"")</f>
        <v/>
      </c>
      <c r="G4769" s="39" t="str">
        <f t="array" ref="G4769">IFNA(_xlfn.XLOOKUP(D4769,Table_Tarikan_Warkah[Nomor Tiket],Table_Tarikan_Warkah[Jenis Permohonan]),"")</f>
        <v>BN JUAL BELI</v>
      </c>
      <c r="H4769" s="41" t="s">
        <v>2315</v>
      </c>
      <c r="I4769" s="49" t="s">
        <v>23</v>
      </c>
      <c r="J4769" s="36">
        <f t="shared" si="20"/>
        <v>46030.46733</v>
      </c>
      <c r="K4769" s="69"/>
      <c r="L4769" s="49"/>
      <c r="M4769" s="36" t="str">
        <f t="shared" si="33"/>
        <v/>
      </c>
      <c r="N4769" s="30" t="str">
        <f t="shared" si="34"/>
        <v>BT atau SU Belum Valid</v>
      </c>
      <c r="O4769" s="39" t="str">
        <f t="shared" si="23"/>
        <v/>
      </c>
      <c r="P4769" s="47" t="b">
        <v>0</v>
      </c>
      <c r="Q4769" s="36" t="str">
        <f t="shared" si="35"/>
        <v/>
      </c>
      <c r="R4769" s="47" t="b">
        <v>0</v>
      </c>
      <c r="S4769" s="42" t="str">
        <f t="shared" si="28"/>
        <v/>
      </c>
      <c r="T4769" s="42"/>
    </row>
    <row r="4770" ht="22.5" customHeight="1">
      <c r="B4770" s="42">
        <f t="shared" si="7"/>
        <v>4764</v>
      </c>
      <c r="C4770" s="31" t="s">
        <v>4212</v>
      </c>
      <c r="D4770" s="34" t="str">
        <f t="array" ref="D4770">IFNA(_xlfn.XLOOKUP(C4770,Table_Tarikan_Warkah[Nomor Sertipikat],Table_Tarikan_Warkah[Nomor Tiket]),"")</f>
        <v>K/12/020925/1</v>
      </c>
      <c r="E4770" s="36">
        <f t="array" ref="E4770">IFNA(_xlfn.XLOOKUP(D4770,Table_Tarikan_Warkah[Nomor Tiket],Table_Tarikan_Warkah[Tanggal diserahkan kepada Validator]),"")</f>
        <v>45993.58699</v>
      </c>
      <c r="F4770" s="36" t="str">
        <f t="array" ref="F4770">IFNA(_xlfn.XLOOKUP(D4770,Table_Tarikan_Warkah[Nomor Tiket],Table_Tarikan_Warkah[Nama Petugas Warkah]),"")</f>
        <v>David</v>
      </c>
      <c r="G4770" s="39" t="str">
        <f t="array" ref="G4770">IFNA(_xlfn.XLOOKUP(D4770,Table_Tarikan_Warkah[Nomor Tiket],Table_Tarikan_Warkah[Jenis Permohonan]),"")</f>
        <v>BN HIBAH EL</v>
      </c>
      <c r="H4770" s="41" t="s">
        <v>2315</v>
      </c>
      <c r="I4770" s="49" t="s">
        <v>23</v>
      </c>
      <c r="J4770" s="36">
        <f t="shared" si="20"/>
        <v>46030.4677</v>
      </c>
      <c r="K4770" s="69"/>
      <c r="L4770" s="49"/>
      <c r="M4770" s="36" t="str">
        <f t="shared" si="33"/>
        <v/>
      </c>
      <c r="N4770" s="30" t="str">
        <f t="shared" si="34"/>
        <v>BT atau SU Belum Valid</v>
      </c>
      <c r="O4770" s="39" t="str">
        <f t="shared" si="23"/>
        <v/>
      </c>
      <c r="P4770" s="47" t="b">
        <v>0</v>
      </c>
      <c r="Q4770" s="36" t="str">
        <f t="shared" si="35"/>
        <v/>
      </c>
      <c r="R4770" s="47" t="b">
        <v>0</v>
      </c>
      <c r="S4770" s="42" t="str">
        <f t="shared" si="28"/>
        <v/>
      </c>
      <c r="T4770" s="42"/>
    </row>
    <row r="4771" ht="22.5" customHeight="1">
      <c r="B4771" s="42">
        <f t="shared" si="7"/>
        <v>4765</v>
      </c>
      <c r="C4771" s="31" t="s">
        <v>4786</v>
      </c>
      <c r="D4771" s="34" t="str">
        <f t="array" ref="D4771">IFNA(_xlfn.XLOOKUP(C4771,Table_Tarikan_Warkah[Nomor Sertipikat],Table_Tarikan_Warkah[Nomor Tiket]),"")</f>
        <v>ABUIIABJ</v>
      </c>
      <c r="E4771" s="36" t="str">
        <f t="array" ref="E4771">IFNA(_xlfn.XLOOKUP(D4771,Table_Tarikan_Warkah[Nomor Tiket],Table_Tarikan_Warkah[Tanggal diserahkan kepada Validator]),"")</f>
        <v/>
      </c>
      <c r="F4771" s="36" t="str">
        <f t="array" ref="F4771">IFNA(_xlfn.XLOOKUP(D4771,Table_Tarikan_Warkah[Nomor Tiket],Table_Tarikan_Warkah[Nama Petugas Warkah]),"")</f>
        <v/>
      </c>
      <c r="G4771" s="39" t="str">
        <f t="array" ref="G4771">IFNA(_xlfn.XLOOKUP(D4771,Table_Tarikan_Warkah[Nomor Tiket],Table_Tarikan_Warkah[Jenis Permohonan]),"")</f>
        <v>BN WARIS</v>
      </c>
      <c r="H4771" s="41" t="s">
        <v>2315</v>
      </c>
      <c r="I4771" s="49" t="s">
        <v>23</v>
      </c>
      <c r="J4771" s="36">
        <f t="shared" si="20"/>
        <v>46030.46812</v>
      </c>
      <c r="K4771" s="69"/>
      <c r="L4771" s="49"/>
      <c r="M4771" s="36" t="str">
        <f t="shared" si="33"/>
        <v/>
      </c>
      <c r="N4771" s="30" t="str">
        <f t="shared" si="34"/>
        <v>BT atau SU Belum Valid</v>
      </c>
      <c r="O4771" s="39" t="str">
        <f t="shared" si="23"/>
        <v/>
      </c>
      <c r="P4771" s="47" t="b">
        <v>0</v>
      </c>
      <c r="Q4771" s="36" t="str">
        <f t="shared" si="35"/>
        <v/>
      </c>
      <c r="R4771" s="47" t="b">
        <v>0</v>
      </c>
      <c r="S4771" s="42" t="str">
        <f t="shared" si="28"/>
        <v/>
      </c>
      <c r="T4771" s="42"/>
    </row>
    <row r="4772" ht="22.5" customHeight="1">
      <c r="B4772" s="42">
        <f t="shared" si="7"/>
        <v>4766</v>
      </c>
      <c r="C4772" s="31" t="s">
        <v>4585</v>
      </c>
      <c r="D4772" s="34" t="str">
        <f t="array" ref="D4772">IFNA(_xlfn.XLOOKUP(C4772,Table_Tarikan_Warkah[Nomor Sertipikat],Table_Tarikan_Warkah[Nomor Tiket]),"")</f>
        <v>K/41/011025/1</v>
      </c>
      <c r="E4772" s="36" t="str">
        <f t="array" ref="E4772">IFNA(_xlfn.XLOOKUP(D4772,Table_Tarikan_Warkah[Nomor Tiket],Table_Tarikan_Warkah[Tanggal diserahkan kepada Validator]),"")</f>
        <v/>
      </c>
      <c r="F4772" s="36" t="str">
        <f t="array" ref="F4772">IFNA(_xlfn.XLOOKUP(D4772,Table_Tarikan_Warkah[Nomor Tiket],Table_Tarikan_Warkah[Nama Petugas Warkah]),"")</f>
        <v/>
      </c>
      <c r="G4772" s="39" t="str">
        <f t="array" ref="G4772">IFNA(_xlfn.XLOOKUP(D4772,Table_Tarikan_Warkah[Nomor Tiket],Table_Tarikan_Warkah[Jenis Permohonan]),"")</f>
        <v>BN LELANG</v>
      </c>
      <c r="H4772" s="41" t="s">
        <v>2315</v>
      </c>
      <c r="I4772" s="49" t="s">
        <v>23</v>
      </c>
      <c r="J4772" s="36">
        <f t="shared" si="20"/>
        <v>46030.4684</v>
      </c>
      <c r="K4772" s="69"/>
      <c r="L4772" s="49"/>
      <c r="M4772" s="36" t="str">
        <f t="shared" si="33"/>
        <v/>
      </c>
      <c r="N4772" s="30" t="str">
        <f t="shared" si="34"/>
        <v>BT atau SU Belum Valid</v>
      </c>
      <c r="O4772" s="39" t="str">
        <f t="shared" si="23"/>
        <v/>
      </c>
      <c r="P4772" s="47" t="b">
        <v>0</v>
      </c>
      <c r="Q4772" s="36" t="str">
        <f t="shared" si="35"/>
        <v/>
      </c>
      <c r="R4772" s="47" t="b">
        <v>0</v>
      </c>
      <c r="S4772" s="42" t="str">
        <f t="shared" si="28"/>
        <v/>
      </c>
      <c r="T4772" s="42"/>
    </row>
    <row r="4773" ht="22.5" customHeight="1">
      <c r="B4773" s="42">
        <f t="shared" si="7"/>
        <v>4767</v>
      </c>
      <c r="C4773" s="31" t="s">
        <v>4787</v>
      </c>
      <c r="D4773" s="34" t="str">
        <f t="array" ref="D4773">IFNA(_xlfn.XLOOKUP(C4773,Table_Tarikan_Warkah[Nomor Sertipikat],Table_Tarikan_Warkah[Nomor Tiket]),"")</f>
        <v>K/20/230925/2</v>
      </c>
      <c r="E4773" s="36">
        <f t="array" ref="E4773">IFNA(_xlfn.XLOOKUP(D4773,Table_Tarikan_Warkah[Nomor Tiket],Table_Tarikan_Warkah[Tanggal diserahkan kepada Validator]),"")</f>
        <v>45993.58793</v>
      </c>
      <c r="F4773" s="36" t="str">
        <f t="array" ref="F4773">IFNA(_xlfn.XLOOKUP(D4773,Table_Tarikan_Warkah[Nomor Tiket],Table_Tarikan_Warkah[Nama Petugas Warkah]),"")</f>
        <v>David</v>
      </c>
      <c r="G4773" s="39" t="str">
        <f t="array" ref="G4773">IFNA(_xlfn.XLOOKUP(D4773,Table_Tarikan_Warkah[Nomor Tiket],Table_Tarikan_Warkah[Jenis Permohonan]),"")</f>
        <v>ROYA</v>
      </c>
      <c r="H4773" s="41" t="s">
        <v>2315</v>
      </c>
      <c r="I4773" s="49" t="s">
        <v>23</v>
      </c>
      <c r="J4773" s="36">
        <f t="shared" si="20"/>
        <v>46031.61645</v>
      </c>
      <c r="K4773" s="69"/>
      <c r="L4773" s="49"/>
      <c r="M4773" s="36" t="str">
        <f t="shared" si="33"/>
        <v/>
      </c>
      <c r="N4773" s="30" t="str">
        <f t="shared" si="34"/>
        <v>BT atau SU Belum Valid</v>
      </c>
      <c r="O4773" s="39" t="str">
        <f t="shared" si="23"/>
        <v/>
      </c>
      <c r="P4773" s="47" t="b">
        <v>0</v>
      </c>
      <c r="Q4773" s="36" t="str">
        <f t="shared" si="35"/>
        <v/>
      </c>
      <c r="R4773" s="47" t="b">
        <v>0</v>
      </c>
      <c r="S4773" s="42" t="str">
        <f t="shared" si="28"/>
        <v/>
      </c>
      <c r="T4773" s="42"/>
    </row>
    <row r="4774" ht="22.5" customHeight="1">
      <c r="B4774" s="42">
        <f t="shared" si="7"/>
        <v>4768</v>
      </c>
      <c r="C4774" s="31" t="s">
        <v>4788</v>
      </c>
      <c r="D4774" s="34" t="str">
        <f t="array" ref="D4774">IFNA(_xlfn.XLOOKUP(C4774,Table_Tarikan_Warkah[Nomor Sertipikat],Table_Tarikan_Warkah[Nomor Tiket]),"")</f>
        <v>K/14/121125/1</v>
      </c>
      <c r="E4774" s="36" t="str">
        <f t="array" ref="E4774">IFNA(_xlfn.XLOOKUP(D4774,Table_Tarikan_Warkah[Nomor Tiket],Table_Tarikan_Warkah[Tanggal diserahkan kepada Validator]),"")</f>
        <v/>
      </c>
      <c r="F4774" s="36" t="str">
        <f t="array" ref="F4774">IFNA(_xlfn.XLOOKUP(D4774,Table_Tarikan_Warkah[Nomor Tiket],Table_Tarikan_Warkah[Nama Petugas Warkah]),"")</f>
        <v/>
      </c>
      <c r="G4774" s="39" t="str">
        <f t="array" ref="G4774">IFNA(_xlfn.XLOOKUP(D4774,Table_Tarikan_Warkah[Nomor Tiket],Table_Tarikan_Warkah[Jenis Permohonan]),"")</f>
        <v>HAPUS BPHTB </v>
      </c>
      <c r="H4774" s="41" t="s">
        <v>2315</v>
      </c>
      <c r="I4774" s="49" t="s">
        <v>23</v>
      </c>
      <c r="J4774" s="36">
        <f t="shared" si="20"/>
        <v>46031.61682</v>
      </c>
      <c r="K4774" s="69"/>
      <c r="L4774" s="49"/>
      <c r="M4774" s="36" t="str">
        <f t="shared" si="33"/>
        <v/>
      </c>
      <c r="N4774" s="30" t="str">
        <f t="shared" si="34"/>
        <v>BT atau SU Belum Valid</v>
      </c>
      <c r="O4774" s="39" t="str">
        <f t="shared" si="23"/>
        <v/>
      </c>
      <c r="P4774" s="47" t="b">
        <v>0</v>
      </c>
      <c r="Q4774" s="36" t="str">
        <f t="shared" si="35"/>
        <v/>
      </c>
      <c r="R4774" s="47" t="b">
        <v>0</v>
      </c>
      <c r="S4774" s="42" t="str">
        <f t="shared" si="28"/>
        <v/>
      </c>
      <c r="T4774" s="42"/>
    </row>
    <row r="4775" ht="22.5" customHeight="1">
      <c r="B4775" s="42">
        <f t="shared" si="7"/>
        <v>4769</v>
      </c>
      <c r="C4775" s="31" t="s">
        <v>4789</v>
      </c>
      <c r="D4775" s="34" t="str">
        <f t="array" ref="D4775">IFNA(_xlfn.XLOOKUP(C4775,Table_Tarikan_Warkah[Nomor Sertipikat],Table_Tarikan_Warkah[Nomor Tiket]),"")</f>
        <v>L/31/021025/1</v>
      </c>
      <c r="E4775" s="36" t="str">
        <f t="array" ref="E4775">IFNA(_xlfn.XLOOKUP(D4775,Table_Tarikan_Warkah[Nomor Tiket],Table_Tarikan_Warkah[Tanggal diserahkan kepada Validator]),"")</f>
        <v/>
      </c>
      <c r="F4775" s="36" t="str">
        <f t="array" ref="F4775">IFNA(_xlfn.XLOOKUP(D4775,Table_Tarikan_Warkah[Nomor Tiket],Table_Tarikan_Warkah[Nama Petugas Warkah]),"")</f>
        <v/>
      </c>
      <c r="G4775" s="39" t="str">
        <f t="array" ref="G4775">IFNA(_xlfn.XLOOKUP(D4775,Table_Tarikan_Warkah[Nomor Tiket],Table_Tarikan_Warkah[Jenis Permohonan]),"")</f>
        <v>GANTI BLANKO</v>
      </c>
      <c r="H4775" s="41" t="s">
        <v>2315</v>
      </c>
      <c r="I4775" s="49" t="s">
        <v>23</v>
      </c>
      <c r="J4775" s="36">
        <f t="shared" si="20"/>
        <v>46031.61697</v>
      </c>
      <c r="K4775" s="69"/>
      <c r="L4775" s="49"/>
      <c r="M4775" s="36" t="str">
        <f t="shared" si="33"/>
        <v/>
      </c>
      <c r="N4775" s="30" t="str">
        <f t="shared" si="34"/>
        <v>BT atau SU Belum Valid</v>
      </c>
      <c r="O4775" s="39" t="str">
        <f t="shared" si="23"/>
        <v/>
      </c>
      <c r="P4775" s="47" t="b">
        <v>0</v>
      </c>
      <c r="Q4775" s="36" t="str">
        <f t="shared" si="35"/>
        <v/>
      </c>
      <c r="R4775" s="47" t="b">
        <v>0</v>
      </c>
      <c r="S4775" s="42" t="str">
        <f t="shared" si="28"/>
        <v/>
      </c>
      <c r="T4775" s="42"/>
    </row>
    <row r="4776" ht="22.5" customHeight="1">
      <c r="B4776" s="42">
        <f t="shared" si="7"/>
        <v>4770</v>
      </c>
      <c r="C4776" s="31" t="s">
        <v>4790</v>
      </c>
      <c r="D4776" s="34" t="str">
        <f t="array" ref="D4776">IFNA(_xlfn.XLOOKUP(C4776,Table_Tarikan_Warkah[Nomor Sertipikat],Table_Tarikan_Warkah[Nomor Tiket]),"")</f>
        <v>ABVSYPZV</v>
      </c>
      <c r="E4776" s="36" t="str">
        <f t="array" ref="E4776">IFNA(_xlfn.XLOOKUP(D4776,Table_Tarikan_Warkah[Nomor Tiket],Table_Tarikan_Warkah[Tanggal diserahkan kepada Validator]),"")</f>
        <v/>
      </c>
      <c r="F4776" s="36" t="str">
        <f t="array" ref="F4776">IFNA(_xlfn.XLOOKUP(D4776,Table_Tarikan_Warkah[Nomor Tiket],Table_Tarikan_Warkah[Nama Petugas Warkah]),"")</f>
        <v/>
      </c>
      <c r="G4776" s="39" t="str">
        <f t="array" ref="G4776">IFNA(_xlfn.XLOOKUP(D4776,Table_Tarikan_Warkah[Nomor Tiket],Table_Tarikan_Warkah[Jenis Permohonan]),"")</f>
        <v>Roya</v>
      </c>
      <c r="H4776" s="41" t="s">
        <v>2315</v>
      </c>
      <c r="I4776" s="49" t="s">
        <v>23</v>
      </c>
      <c r="J4776" s="36">
        <f t="shared" si="20"/>
        <v>46031.61863</v>
      </c>
      <c r="K4776" s="69"/>
      <c r="L4776" s="49"/>
      <c r="M4776" s="36" t="str">
        <f t="shared" si="33"/>
        <v/>
      </c>
      <c r="N4776" s="30" t="str">
        <f t="shared" si="34"/>
        <v>BT atau SU Belum Valid</v>
      </c>
      <c r="O4776" s="39" t="str">
        <f t="shared" si="23"/>
        <v/>
      </c>
      <c r="P4776" s="47" t="b">
        <v>0</v>
      </c>
      <c r="Q4776" s="36" t="str">
        <f t="shared" si="35"/>
        <v/>
      </c>
      <c r="R4776" s="47" t="b">
        <v>0</v>
      </c>
      <c r="S4776" s="42" t="str">
        <f t="shared" si="28"/>
        <v/>
      </c>
      <c r="T4776" s="42"/>
    </row>
    <row r="4777" ht="22.5" customHeight="1">
      <c r="B4777" s="42">
        <f t="shared" si="7"/>
        <v>4771</v>
      </c>
      <c r="C4777" s="31" t="s">
        <v>4791</v>
      </c>
      <c r="D4777" s="34" t="str">
        <f t="array" ref="D4777">IFNA(_xlfn.XLOOKUP(C4777,Table_Tarikan_Warkah[Nomor Sertipikat],Table_Tarikan_Warkah[Nomor Tiket]),"")</f>
        <v>ABXMWTIF/1</v>
      </c>
      <c r="E4777" s="36" t="str">
        <f t="array" ref="E4777">IFNA(_xlfn.XLOOKUP(D4777,Table_Tarikan_Warkah[Nomor Tiket],Table_Tarikan_Warkah[Tanggal diserahkan kepada Validator]),"")</f>
        <v/>
      </c>
      <c r="F4777" s="36" t="str">
        <f t="array" ref="F4777">IFNA(_xlfn.XLOOKUP(D4777,Table_Tarikan_Warkah[Nomor Tiket],Table_Tarikan_Warkah[Nama Petugas Warkah]),"")</f>
        <v/>
      </c>
      <c r="G4777" s="39" t="str">
        <f t="array" ref="G4777">IFNA(_xlfn.XLOOKUP(D4777,Table_Tarikan_Warkah[Nomor Tiket],Table_Tarikan_Warkah[Jenis Permohonan]),"")</f>
        <v>Balik nama waris</v>
      </c>
      <c r="H4777" s="41" t="s">
        <v>2315</v>
      </c>
      <c r="I4777" s="49" t="s">
        <v>23</v>
      </c>
      <c r="J4777" s="36">
        <f t="shared" si="20"/>
        <v>46031.61903</v>
      </c>
      <c r="K4777" s="69"/>
      <c r="L4777" s="49"/>
      <c r="M4777" s="36" t="str">
        <f t="shared" si="33"/>
        <v/>
      </c>
      <c r="N4777" s="30" t="str">
        <f t="shared" si="34"/>
        <v>BT atau SU Belum Valid</v>
      </c>
      <c r="O4777" s="39" t="str">
        <f t="shared" si="23"/>
        <v/>
      </c>
      <c r="P4777" s="47" t="b">
        <v>0</v>
      </c>
      <c r="Q4777" s="36" t="str">
        <f t="shared" si="35"/>
        <v/>
      </c>
      <c r="R4777" s="47" t="b">
        <v>0</v>
      </c>
      <c r="S4777" s="42" t="str">
        <f t="shared" si="28"/>
        <v/>
      </c>
      <c r="T4777" s="42"/>
    </row>
    <row r="4778" ht="22.5" customHeight="1">
      <c r="B4778" s="42">
        <f t="shared" si="7"/>
        <v>4772</v>
      </c>
      <c r="C4778" s="31" t="s">
        <v>4318</v>
      </c>
      <c r="D4778" s="34" t="str">
        <f t="array" ref="D4778">IFNA(_xlfn.XLOOKUP(C4778,Table_Tarikan_Warkah[Nomor Sertipikat],Table_Tarikan_Warkah[Nomor Tiket]),"")</f>
        <v>K/17/100725/2</v>
      </c>
      <c r="E4778" s="36" t="str">
        <f t="array" ref="E4778">IFNA(_xlfn.XLOOKUP(D4778,Table_Tarikan_Warkah[Nomor Tiket],Table_Tarikan_Warkah[Tanggal diserahkan kepada Validator]),"")</f>
        <v/>
      </c>
      <c r="F4778" s="36" t="str">
        <f t="array" ref="F4778">IFNA(_xlfn.XLOOKUP(D4778,Table_Tarikan_Warkah[Nomor Tiket],Table_Tarikan_Warkah[Nama Petugas Warkah]),"")</f>
        <v/>
      </c>
      <c r="G4778" s="39" t="str">
        <f t="array" ref="G4778">IFNA(_xlfn.XLOOKUP(D4778,Table_Tarikan_Warkah[Nomor Tiket],Table_Tarikan_Warkah[Jenis Permohonan]),"")</f>
        <v>BN Jual Beli</v>
      </c>
      <c r="H4778" s="41" t="s">
        <v>2315</v>
      </c>
      <c r="I4778" s="49" t="s">
        <v>23</v>
      </c>
      <c r="J4778" s="36">
        <f t="shared" si="20"/>
        <v>46031.63835</v>
      </c>
      <c r="K4778" s="69"/>
      <c r="L4778" s="49"/>
      <c r="M4778" s="36" t="str">
        <f t="shared" si="33"/>
        <v/>
      </c>
      <c r="N4778" s="30" t="str">
        <f t="shared" si="34"/>
        <v>BT atau SU Belum Valid</v>
      </c>
      <c r="O4778" s="39" t="str">
        <f t="shared" si="23"/>
        <v/>
      </c>
      <c r="P4778" s="47" t="b">
        <v>0</v>
      </c>
      <c r="Q4778" s="36" t="str">
        <f t="shared" si="35"/>
        <v/>
      </c>
      <c r="R4778" s="47" t="b">
        <v>0</v>
      </c>
      <c r="S4778" s="42" t="str">
        <f t="shared" si="28"/>
        <v/>
      </c>
      <c r="T4778" s="42"/>
    </row>
    <row r="4779" ht="22.5" customHeight="1">
      <c r="B4779" s="42">
        <f t="shared" si="7"/>
        <v>4773</v>
      </c>
      <c r="C4779" s="31" t="s">
        <v>4792</v>
      </c>
      <c r="D4779" s="34" t="str">
        <f t="array" ref="D4779">IFNA(_xlfn.XLOOKUP(C4779,Table_Tarikan_Warkah[Nomor Sertipikat],Table_Tarikan_Warkah[Nomor Tiket]),"")</f>
        <v>ABEQKPTV/AB017</v>
      </c>
      <c r="E4779" s="36" t="str">
        <f t="array" ref="E4779">IFNA(_xlfn.XLOOKUP(D4779,Table_Tarikan_Warkah[Nomor Tiket],Table_Tarikan_Warkah[Tanggal diserahkan kepada Validator]),"")</f>
        <v/>
      </c>
      <c r="F4779" s="36" t="str">
        <f t="array" ref="F4779">IFNA(_xlfn.XLOOKUP(D4779,Table_Tarikan_Warkah[Nomor Tiket],Table_Tarikan_Warkah[Nama Petugas Warkah]),"")</f>
        <v/>
      </c>
      <c r="G4779" s="39" t="str">
        <f t="array" ref="G4779">IFNA(_xlfn.XLOOKUP(D4779,Table_Tarikan_Warkah[Nomor Tiket],Table_Tarikan_Warkah[Jenis Permohonan]),"")</f>
        <v>Peralihan Hak</v>
      </c>
      <c r="H4779" s="41" t="s">
        <v>2315</v>
      </c>
      <c r="I4779" s="49" t="s">
        <v>23</v>
      </c>
      <c r="J4779" s="36">
        <f t="shared" si="20"/>
        <v>46031.63851</v>
      </c>
      <c r="K4779" s="69"/>
      <c r="L4779" s="49"/>
      <c r="M4779" s="36" t="str">
        <f t="shared" si="33"/>
        <v/>
      </c>
      <c r="N4779" s="30" t="str">
        <f t="shared" si="34"/>
        <v>BT atau SU Belum Valid</v>
      </c>
      <c r="O4779" s="39" t="str">
        <f t="shared" si="23"/>
        <v/>
      </c>
      <c r="P4779" s="47" t="b">
        <v>0</v>
      </c>
      <c r="Q4779" s="36" t="str">
        <f t="shared" si="35"/>
        <v/>
      </c>
      <c r="R4779" s="47" t="b">
        <v>0</v>
      </c>
      <c r="S4779" s="42" t="str">
        <f t="shared" si="28"/>
        <v/>
      </c>
      <c r="T4779" s="42"/>
    </row>
    <row r="4780" ht="22.5" customHeight="1">
      <c r="B4780" s="42">
        <f t="shared" si="7"/>
        <v>4774</v>
      </c>
      <c r="C4780" s="31" t="s">
        <v>4793</v>
      </c>
      <c r="D4780" s="34" t="str">
        <f t="array" ref="D4780">IFNA(_xlfn.XLOOKUP(C4780,Table_Tarikan_Warkah[Nomor Sertipikat],Table_Tarikan_Warkah[Nomor Tiket]),"")</f>
        <v>AB027/ABGSWEGN</v>
      </c>
      <c r="E4780" s="36" t="str">
        <f t="array" ref="E4780">IFNA(_xlfn.XLOOKUP(D4780,Table_Tarikan_Warkah[Nomor Tiket],Table_Tarikan_Warkah[Tanggal diserahkan kepada Validator]),"")</f>
        <v/>
      </c>
      <c r="F4780" s="36" t="str">
        <f t="array" ref="F4780">IFNA(_xlfn.XLOOKUP(D4780,Table_Tarikan_Warkah[Nomor Tiket],Table_Tarikan_Warkah[Nama Petugas Warkah]),"")</f>
        <v/>
      </c>
      <c r="G4780" s="39" t="str">
        <f t="array" ref="G4780">IFNA(_xlfn.XLOOKUP(D4780,Table_Tarikan_Warkah[Nomor Tiket],Table_Tarikan_Warkah[Jenis Permohonan]),"")</f>
        <v>Waris</v>
      </c>
      <c r="H4780" s="41" t="s">
        <v>2315</v>
      </c>
      <c r="I4780" s="49" t="s">
        <v>23</v>
      </c>
      <c r="J4780" s="36">
        <f t="shared" si="20"/>
        <v>46031.63931</v>
      </c>
      <c r="K4780" s="69"/>
      <c r="L4780" s="49"/>
      <c r="M4780" s="36" t="str">
        <f t="shared" si="33"/>
        <v/>
      </c>
      <c r="N4780" s="30" t="str">
        <f t="shared" si="34"/>
        <v>BT atau SU Belum Valid</v>
      </c>
      <c r="O4780" s="39" t="str">
        <f t="shared" si="23"/>
        <v/>
      </c>
      <c r="P4780" s="47" t="b">
        <v>0</v>
      </c>
      <c r="Q4780" s="36" t="str">
        <f t="shared" si="35"/>
        <v/>
      </c>
      <c r="R4780" s="47" t="b">
        <v>0</v>
      </c>
      <c r="S4780" s="42" t="str">
        <f t="shared" si="28"/>
        <v/>
      </c>
      <c r="T4780" s="42"/>
    </row>
    <row r="4781" ht="22.5" customHeight="1">
      <c r="B4781" s="42">
        <f t="shared" si="7"/>
        <v>4775</v>
      </c>
      <c r="C4781" s="31" t="s">
        <v>4794</v>
      </c>
      <c r="D4781" s="34" t="str">
        <f t="array" ref="D4781">IFNA(_xlfn.XLOOKUP(C4781,Table_Tarikan_Warkah[Nomor Sertipikat],Table_Tarikan_Warkah[Nomor Tiket]),"")</f>
        <v>K/3/180925/1</v>
      </c>
      <c r="E4781" s="36" t="str">
        <f t="array" ref="E4781">IFNA(_xlfn.XLOOKUP(D4781,Table_Tarikan_Warkah[Nomor Tiket],Table_Tarikan_Warkah[Tanggal diserahkan kepada Validator]),"")</f>
        <v/>
      </c>
      <c r="F4781" s="36" t="str">
        <f t="array" ref="F4781">IFNA(_xlfn.XLOOKUP(D4781,Table_Tarikan_Warkah[Nomor Tiket],Table_Tarikan_Warkah[Nama Petugas Warkah]),"")</f>
        <v/>
      </c>
      <c r="G4781" s="39" t="str">
        <f t="array" ref="G4781">IFNA(_xlfn.XLOOKUP(D4781,Table_Tarikan_Warkah[Nomor Tiket],Table_Tarikan_Warkah[Jenis Permohonan]),"")</f>
        <v>BN JUAL BELI</v>
      </c>
      <c r="H4781" s="41" t="s">
        <v>2315</v>
      </c>
      <c r="I4781" s="49" t="s">
        <v>23</v>
      </c>
      <c r="J4781" s="36">
        <f t="shared" si="20"/>
        <v>46034.4195</v>
      </c>
      <c r="K4781" s="69"/>
      <c r="L4781" s="49"/>
      <c r="M4781" s="36" t="str">
        <f t="shared" si="33"/>
        <v/>
      </c>
      <c r="N4781" s="30" t="str">
        <f t="shared" si="34"/>
        <v>BT atau SU Belum Valid</v>
      </c>
      <c r="O4781" s="39" t="str">
        <f t="shared" si="23"/>
        <v/>
      </c>
      <c r="P4781" s="47" t="b">
        <v>0</v>
      </c>
      <c r="Q4781" s="36" t="str">
        <f t="shared" si="35"/>
        <v/>
      </c>
      <c r="R4781" s="47" t="b">
        <v>0</v>
      </c>
      <c r="S4781" s="42" t="str">
        <f t="shared" si="28"/>
        <v/>
      </c>
      <c r="T4781" s="42"/>
    </row>
    <row r="4782" ht="22.5" customHeight="1">
      <c r="B4782" s="42">
        <f t="shared" si="7"/>
        <v>4776</v>
      </c>
      <c r="C4782" s="31" t="s">
        <v>4795</v>
      </c>
      <c r="D4782" s="34" t="str">
        <f t="array" ref="D4782">IFNA(_xlfn.XLOOKUP(C4782,Table_Tarikan_Warkah[Nomor Sertipikat],Table_Tarikan_Warkah[Nomor Tiket]),"")</f>
        <v>ABLZDDQI</v>
      </c>
      <c r="E4782" s="36" t="str">
        <f t="array" ref="E4782">IFNA(_xlfn.XLOOKUP(D4782,Table_Tarikan_Warkah[Nomor Tiket],Table_Tarikan_Warkah[Tanggal diserahkan kepada Validator]),"")</f>
        <v/>
      </c>
      <c r="F4782" s="36" t="str">
        <f t="array" ref="F4782">IFNA(_xlfn.XLOOKUP(D4782,Table_Tarikan_Warkah[Nomor Tiket],Table_Tarikan_Warkah[Nama Petugas Warkah]),"")</f>
        <v/>
      </c>
      <c r="G4782" s="39" t="str">
        <f t="array" ref="G4782">IFNA(_xlfn.XLOOKUP(D4782,Table_Tarikan_Warkah[Nomor Tiket],Table_Tarikan_Warkah[Jenis Permohonan]),"")</f>
        <v>Balik nama </v>
      </c>
      <c r="H4782" s="41" t="s">
        <v>2315</v>
      </c>
      <c r="I4782" s="49" t="s">
        <v>23</v>
      </c>
      <c r="J4782" s="36">
        <f t="shared" si="20"/>
        <v>46034.41973</v>
      </c>
      <c r="K4782" s="69"/>
      <c r="L4782" s="49"/>
      <c r="M4782" s="36" t="str">
        <f t="shared" si="33"/>
        <v/>
      </c>
      <c r="N4782" s="30" t="str">
        <f t="shared" si="34"/>
        <v>BT atau SU Belum Valid</v>
      </c>
      <c r="O4782" s="39" t="str">
        <f t="shared" si="23"/>
        <v/>
      </c>
      <c r="P4782" s="47" t="b">
        <v>0</v>
      </c>
      <c r="Q4782" s="36" t="str">
        <f t="shared" si="35"/>
        <v/>
      </c>
      <c r="R4782" s="47" t="b">
        <v>0</v>
      </c>
      <c r="S4782" s="42" t="str">
        <f t="shared" si="28"/>
        <v/>
      </c>
      <c r="T4782" s="42"/>
    </row>
    <row r="4783" ht="22.5" customHeight="1">
      <c r="B4783" s="42">
        <f t="shared" si="7"/>
        <v>4777</v>
      </c>
      <c r="C4783" s="31" t="s">
        <v>4796</v>
      </c>
      <c r="D4783" s="34" t="str">
        <f t="array" ref="D4783">IFNA(_xlfn.XLOOKUP(C4783,Table_Tarikan_Warkah[Nomor Sertipikat],Table_Tarikan_Warkah[Nomor Tiket]),"")</f>
        <v>K/15/061025/5</v>
      </c>
      <c r="E4783" s="36">
        <f t="array" ref="E4783">IFNA(_xlfn.XLOOKUP(D4783,Table_Tarikan_Warkah[Nomor Tiket],Table_Tarikan_Warkah[Tanggal diserahkan kepada Validator]),"")</f>
        <v>45951.4695</v>
      </c>
      <c r="F4783" s="36" t="str">
        <f t="array" ref="F4783">IFNA(_xlfn.XLOOKUP(D4783,Table_Tarikan_Warkah[Nomor Tiket],Table_Tarikan_Warkah[Nama Petugas Warkah]),"")</f>
        <v>Berry</v>
      </c>
      <c r="G4783" s="39" t="str">
        <f t="array" ref="G4783">IFNA(_xlfn.XLOOKUP(D4783,Table_Tarikan_Warkah[Nomor Tiket],Table_Tarikan_Warkah[Jenis Permohonan]),"")</f>
        <v>BN JUAL BELI</v>
      </c>
      <c r="H4783" s="41" t="s">
        <v>2315</v>
      </c>
      <c r="I4783" s="49" t="s">
        <v>23</v>
      </c>
      <c r="J4783" s="36">
        <f t="shared" si="20"/>
        <v>46034.42067</v>
      </c>
      <c r="K4783" s="69"/>
      <c r="L4783" s="49"/>
      <c r="M4783" s="36" t="str">
        <f t="shared" si="33"/>
        <v/>
      </c>
      <c r="N4783" s="30" t="str">
        <f t="shared" si="34"/>
        <v>BT atau SU Belum Valid</v>
      </c>
      <c r="O4783" s="39" t="str">
        <f t="shared" si="23"/>
        <v/>
      </c>
      <c r="P4783" s="47" t="b">
        <v>0</v>
      </c>
      <c r="Q4783" s="36" t="str">
        <f t="shared" si="35"/>
        <v/>
      </c>
      <c r="R4783" s="47" t="b">
        <v>0</v>
      </c>
      <c r="S4783" s="42" t="str">
        <f t="shared" si="28"/>
        <v/>
      </c>
      <c r="T4783" s="42"/>
    </row>
    <row r="4784" ht="22.5" customHeight="1">
      <c r="B4784" s="42">
        <f t="shared" si="7"/>
        <v>4778</v>
      </c>
      <c r="C4784" s="31" t="s">
        <v>4797</v>
      </c>
      <c r="D4784" s="34" t="str">
        <f t="array" ref="D4784">IFNA(_xlfn.XLOOKUP(C4784,Table_Tarikan_Warkah[Nomor Sertipikat],Table_Tarikan_Warkah[Nomor Tiket]),"")</f>
        <v>ABRBHVIC</v>
      </c>
      <c r="E4784" s="36" t="str">
        <f t="array" ref="E4784">IFNA(_xlfn.XLOOKUP(D4784,Table_Tarikan_Warkah[Nomor Tiket],Table_Tarikan_Warkah[Tanggal diserahkan kepada Validator]),"")</f>
        <v/>
      </c>
      <c r="F4784" s="36" t="str">
        <f t="array" ref="F4784">IFNA(_xlfn.XLOOKUP(D4784,Table_Tarikan_Warkah[Nomor Tiket],Table_Tarikan_Warkah[Nama Petugas Warkah]),"")</f>
        <v/>
      </c>
      <c r="G4784" s="39" t="str">
        <f t="array" ref="G4784">IFNA(_xlfn.XLOOKUP(D4784,Table_Tarikan_Warkah[Nomor Tiket],Table_Tarikan_Warkah[Jenis Permohonan]),"")</f>
        <v>Balik nama </v>
      </c>
      <c r="H4784" s="41" t="s">
        <v>2315</v>
      </c>
      <c r="I4784" s="49" t="s">
        <v>23</v>
      </c>
      <c r="J4784" s="36">
        <f t="shared" si="20"/>
        <v>46034.42103</v>
      </c>
      <c r="K4784" s="69"/>
      <c r="L4784" s="49"/>
      <c r="M4784" s="36" t="str">
        <f t="shared" si="33"/>
        <v/>
      </c>
      <c r="N4784" s="30" t="str">
        <f t="shared" si="34"/>
        <v>BT atau SU Belum Valid</v>
      </c>
      <c r="O4784" s="39" t="str">
        <f t="shared" si="23"/>
        <v/>
      </c>
      <c r="P4784" s="47" t="b">
        <v>0</v>
      </c>
      <c r="Q4784" s="36" t="str">
        <f t="shared" si="35"/>
        <v/>
      </c>
      <c r="R4784" s="47" t="b">
        <v>0</v>
      </c>
      <c r="S4784" s="42" t="str">
        <f t="shared" si="28"/>
        <v/>
      </c>
      <c r="T4784" s="42"/>
    </row>
    <row r="4785" ht="22.5" customHeight="1">
      <c r="B4785" s="42">
        <f t="shared" si="7"/>
        <v>4779</v>
      </c>
      <c r="C4785" s="31" t="s">
        <v>4798</v>
      </c>
      <c r="D4785" s="34" t="str">
        <f t="array" ref="D4785">IFNA(_xlfn.XLOOKUP(C4785,Table_Tarikan_Warkah[Nomor Sertipikat],Table_Tarikan_Warkah[Nomor Tiket]),"")</f>
        <v>ABTRKWN</v>
      </c>
      <c r="E4785" s="36" t="str">
        <f t="array" ref="E4785">IFNA(_xlfn.XLOOKUP(D4785,Table_Tarikan_Warkah[Nomor Tiket],Table_Tarikan_Warkah[Tanggal diserahkan kepada Validator]),"")</f>
        <v/>
      </c>
      <c r="F4785" s="36" t="str">
        <f t="array" ref="F4785">IFNA(_xlfn.XLOOKUP(D4785,Table_Tarikan_Warkah[Nomor Tiket],Table_Tarikan_Warkah[Nama Petugas Warkah]),"")</f>
        <v/>
      </c>
      <c r="G4785" s="39" t="str">
        <f t="array" ref="G4785">IFNA(_xlfn.XLOOKUP(D4785,Table_Tarikan_Warkah[Nomor Tiket],Table_Tarikan_Warkah[Jenis Permohonan]),"")</f>
        <v>BN JUAL BELI</v>
      </c>
      <c r="H4785" s="41" t="s">
        <v>2315</v>
      </c>
      <c r="I4785" s="49" t="s">
        <v>23</v>
      </c>
      <c r="J4785" s="36">
        <f t="shared" si="20"/>
        <v>46034.42183</v>
      </c>
      <c r="K4785" s="69"/>
      <c r="L4785" s="49"/>
      <c r="M4785" s="36" t="str">
        <f t="shared" si="33"/>
        <v/>
      </c>
      <c r="N4785" s="30" t="str">
        <f t="shared" si="34"/>
        <v>BT atau SU Belum Valid</v>
      </c>
      <c r="O4785" s="39" t="str">
        <f t="shared" si="23"/>
        <v/>
      </c>
      <c r="P4785" s="47" t="b">
        <v>0</v>
      </c>
      <c r="Q4785" s="36" t="str">
        <f t="shared" si="35"/>
        <v/>
      </c>
      <c r="R4785" s="47" t="b">
        <v>0</v>
      </c>
      <c r="S4785" s="42" t="str">
        <f t="shared" si="28"/>
        <v/>
      </c>
      <c r="T4785" s="42"/>
    </row>
    <row r="4786" ht="22.5" customHeight="1">
      <c r="B4786" s="42">
        <f t="shared" si="7"/>
        <v>4780</v>
      </c>
      <c r="C4786" s="31" t="s">
        <v>4799</v>
      </c>
      <c r="D4786" s="34" t="str">
        <f t="array" ref="D4786">IFNA(_xlfn.XLOOKUP(C4786,Table_Tarikan_Warkah[Nomor Sertipikat],Table_Tarikan_Warkah[Nomor Tiket]),"")</f>
        <v>ABBKQZLP/1</v>
      </c>
      <c r="E4786" s="36" t="str">
        <f t="array" ref="E4786">IFNA(_xlfn.XLOOKUP(D4786,Table_Tarikan_Warkah[Nomor Tiket],Table_Tarikan_Warkah[Tanggal diserahkan kepada Validator]),"")</f>
        <v/>
      </c>
      <c r="F4786" s="36" t="str">
        <f t="array" ref="F4786">IFNA(_xlfn.XLOOKUP(D4786,Table_Tarikan_Warkah[Nomor Tiket],Table_Tarikan_Warkah[Nama Petugas Warkah]),"")</f>
        <v/>
      </c>
      <c r="G4786" s="39" t="str">
        <f t="array" ref="G4786">IFNA(_xlfn.XLOOKUP(D4786,Table_Tarikan_Warkah[Nomor Tiket],Table_Tarikan_Warkah[Jenis Permohonan]),"")</f>
        <v>Bn jual beli</v>
      </c>
      <c r="H4786" s="41" t="s">
        <v>2315</v>
      </c>
      <c r="I4786" s="49" t="s">
        <v>23</v>
      </c>
      <c r="J4786" s="36">
        <f t="shared" si="20"/>
        <v>46034.43765</v>
      </c>
      <c r="K4786" s="69"/>
      <c r="L4786" s="49"/>
      <c r="M4786" s="36" t="str">
        <f t="shared" si="33"/>
        <v/>
      </c>
      <c r="N4786" s="30" t="str">
        <f t="shared" si="34"/>
        <v>BT atau SU Belum Valid</v>
      </c>
      <c r="O4786" s="39" t="str">
        <f t="shared" si="23"/>
        <v/>
      </c>
      <c r="P4786" s="47" t="b">
        <v>0</v>
      </c>
      <c r="Q4786" s="36" t="str">
        <f t="shared" si="35"/>
        <v/>
      </c>
      <c r="R4786" s="47" t="b">
        <v>0</v>
      </c>
      <c r="S4786" s="42" t="str">
        <f t="shared" si="28"/>
        <v/>
      </c>
      <c r="T4786" s="42"/>
    </row>
    <row r="4787" ht="22.5" customHeight="1">
      <c r="B4787" s="42">
        <f t="shared" si="7"/>
        <v>4781</v>
      </c>
      <c r="C4787" s="31" t="s">
        <v>4800</v>
      </c>
      <c r="D4787" s="34" t="str">
        <f t="array" ref="D4787">IFNA(_xlfn.XLOOKUP(C4787,Table_Tarikan_Warkah[Nomor Sertipikat],Table_Tarikan_Warkah[Nomor Tiket]),"")</f>
        <v>ABENCNUE</v>
      </c>
      <c r="E4787" s="36" t="str">
        <f t="array" ref="E4787">IFNA(_xlfn.XLOOKUP(D4787,Table_Tarikan_Warkah[Nomor Tiket],Table_Tarikan_Warkah[Tanggal diserahkan kepada Validator]),"")</f>
        <v/>
      </c>
      <c r="F4787" s="36" t="str">
        <f t="array" ref="F4787">IFNA(_xlfn.XLOOKUP(D4787,Table_Tarikan_Warkah[Nomor Tiket],Table_Tarikan_Warkah[Nama Petugas Warkah]),"")</f>
        <v/>
      </c>
      <c r="G4787" s="39" t="str">
        <f t="array" ref="G4787">IFNA(_xlfn.XLOOKUP(D4787,Table_Tarikan_Warkah[Nomor Tiket],Table_Tarikan_Warkah[Jenis Permohonan]),"")</f>
        <v>Balik nama jual beli</v>
      </c>
      <c r="H4787" s="41" t="s">
        <v>2315</v>
      </c>
      <c r="I4787" s="49" t="s">
        <v>23</v>
      </c>
      <c r="J4787" s="36">
        <f t="shared" si="20"/>
        <v>46034.44462</v>
      </c>
      <c r="K4787" s="69"/>
      <c r="L4787" s="49"/>
      <c r="M4787" s="36" t="str">
        <f t="shared" si="33"/>
        <v/>
      </c>
      <c r="N4787" s="30" t="str">
        <f t="shared" si="34"/>
        <v>BT atau SU Belum Valid</v>
      </c>
      <c r="O4787" s="39" t="str">
        <f t="shared" si="23"/>
        <v/>
      </c>
      <c r="P4787" s="47" t="b">
        <v>0</v>
      </c>
      <c r="Q4787" s="36" t="str">
        <f t="shared" si="35"/>
        <v/>
      </c>
      <c r="R4787" s="47" t="b">
        <v>0</v>
      </c>
      <c r="S4787" s="42" t="str">
        <f t="shared" si="28"/>
        <v/>
      </c>
      <c r="T4787" s="42"/>
    </row>
    <row r="4788" ht="22.5" customHeight="1">
      <c r="B4788" s="42">
        <f t="shared" si="7"/>
        <v>4782</v>
      </c>
      <c r="C4788" s="31" t="s">
        <v>4801</v>
      </c>
      <c r="D4788" s="34" t="str">
        <f t="array" ref="D4788">IFNA(_xlfn.XLOOKUP(C4788,Table_Tarikan_Warkah[Nomor Sertipikat],Table_Tarikan_Warkah[Nomor Tiket]),"")</f>
        <v>ABPRKTEJ</v>
      </c>
      <c r="E4788" s="36" t="str">
        <f t="array" ref="E4788">IFNA(_xlfn.XLOOKUP(D4788,Table_Tarikan_Warkah[Nomor Tiket],Table_Tarikan_Warkah[Tanggal diserahkan kepada Validator]),"")</f>
        <v/>
      </c>
      <c r="F4788" s="36" t="str">
        <f t="array" ref="F4788">IFNA(_xlfn.XLOOKUP(D4788,Table_Tarikan_Warkah[Nomor Tiket],Table_Tarikan_Warkah[Nama Petugas Warkah]),"")</f>
        <v/>
      </c>
      <c r="G4788" s="39" t="str">
        <f t="array" ref="G4788">IFNA(_xlfn.XLOOKUP(D4788,Table_Tarikan_Warkah[Nomor Tiket],Table_Tarikan_Warkah[Jenis Permohonan]),"")</f>
        <v>Balik nama hibah </v>
      </c>
      <c r="H4788" s="41" t="s">
        <v>2315</v>
      </c>
      <c r="I4788" s="49" t="s">
        <v>23</v>
      </c>
      <c r="J4788" s="36">
        <f t="shared" si="20"/>
        <v>46034.45493</v>
      </c>
      <c r="K4788" s="69"/>
      <c r="L4788" s="49"/>
      <c r="M4788" s="36" t="str">
        <f t="shared" si="33"/>
        <v/>
      </c>
      <c r="N4788" s="30" t="str">
        <f t="shared" si="34"/>
        <v>BT atau SU Belum Valid</v>
      </c>
      <c r="O4788" s="39" t="str">
        <f t="shared" si="23"/>
        <v/>
      </c>
      <c r="P4788" s="47" t="b">
        <v>0</v>
      </c>
      <c r="Q4788" s="36" t="str">
        <f t="shared" si="35"/>
        <v/>
      </c>
      <c r="R4788" s="47" t="b">
        <v>0</v>
      </c>
      <c r="S4788" s="42" t="str">
        <f t="shared" si="28"/>
        <v/>
      </c>
      <c r="T4788" s="42"/>
    </row>
    <row r="4789" ht="22.5" customHeight="1">
      <c r="B4789" s="42">
        <f t="shared" si="7"/>
        <v>4783</v>
      </c>
      <c r="C4789" s="31" t="s">
        <v>4802</v>
      </c>
      <c r="D4789" s="34" t="str">
        <f t="array" ref="D4789">IFNA(_xlfn.XLOOKUP(C4789,Table_Tarikan_Warkah[Nomor Sertipikat],Table_Tarikan_Warkah[Nomor Tiket]),"")</f>
        <v>ABGJPTGO</v>
      </c>
      <c r="E4789" s="36" t="str">
        <f t="array" ref="E4789">IFNA(_xlfn.XLOOKUP(D4789,Table_Tarikan_Warkah[Nomor Tiket],Table_Tarikan_Warkah[Tanggal diserahkan kepada Validator]),"")</f>
        <v/>
      </c>
      <c r="F4789" s="36" t="str">
        <f t="array" ref="F4789">IFNA(_xlfn.XLOOKUP(D4789,Table_Tarikan_Warkah[Nomor Tiket],Table_Tarikan_Warkah[Nama Petugas Warkah]),"")</f>
        <v/>
      </c>
      <c r="G4789" s="39" t="str">
        <f t="array" ref="G4789">IFNA(_xlfn.XLOOKUP(D4789,Table_Tarikan_Warkah[Nomor Tiket],Table_Tarikan_Warkah[Jenis Permohonan]),"")</f>
        <v>Balik Nama</v>
      </c>
      <c r="H4789" s="41" t="s">
        <v>2315</v>
      </c>
      <c r="I4789" s="49" t="s">
        <v>23</v>
      </c>
      <c r="J4789" s="36">
        <f t="shared" si="20"/>
        <v>46034.45516</v>
      </c>
      <c r="K4789" s="69"/>
      <c r="L4789" s="49"/>
      <c r="M4789" s="36" t="str">
        <f t="shared" si="33"/>
        <v/>
      </c>
      <c r="N4789" s="30" t="str">
        <f t="shared" si="34"/>
        <v>BT atau SU Belum Valid</v>
      </c>
      <c r="O4789" s="39" t="str">
        <f t="shared" si="23"/>
        <v/>
      </c>
      <c r="P4789" s="47" t="b">
        <v>0</v>
      </c>
      <c r="Q4789" s="36" t="str">
        <f t="shared" si="35"/>
        <v/>
      </c>
      <c r="R4789" s="47" t="b">
        <v>0</v>
      </c>
      <c r="S4789" s="42" t="str">
        <f t="shared" si="28"/>
        <v/>
      </c>
      <c r="T4789" s="42"/>
    </row>
    <row r="4790" ht="22.5" customHeight="1">
      <c r="B4790" s="42">
        <f t="shared" si="7"/>
        <v>4784</v>
      </c>
      <c r="C4790" s="31" t="s">
        <v>4803</v>
      </c>
      <c r="D4790" s="34" t="str">
        <f t="array" ref="D4790">IFNA(_xlfn.XLOOKUP(C4790,Table_Tarikan_Warkah[Nomor Sertipikat],Table_Tarikan_Warkah[Nomor Tiket]),"")</f>
        <v>Ab 13 (ABVRLPOA)</v>
      </c>
      <c r="E4790" s="36" t="str">
        <f t="array" ref="E4790">IFNA(_xlfn.XLOOKUP(D4790,Table_Tarikan_Warkah[Nomor Tiket],Table_Tarikan_Warkah[Tanggal diserahkan kepada Validator]),"")</f>
        <v/>
      </c>
      <c r="F4790" s="36" t="str">
        <f t="array" ref="F4790">IFNA(_xlfn.XLOOKUP(D4790,Table_Tarikan_Warkah[Nomor Tiket],Table_Tarikan_Warkah[Nama Petugas Warkah]),"")</f>
        <v/>
      </c>
      <c r="G4790" s="39" t="str">
        <f t="array" ref="G4790">IFNA(_xlfn.XLOOKUP(D4790,Table_Tarikan_Warkah[Nomor Tiket],Table_Tarikan_Warkah[Jenis Permohonan]),"")</f>
        <v>Balik nama</v>
      </c>
      <c r="H4790" s="41" t="s">
        <v>2315</v>
      </c>
      <c r="I4790" s="49" t="s">
        <v>23</v>
      </c>
      <c r="J4790" s="36">
        <f t="shared" si="20"/>
        <v>46034.45543</v>
      </c>
      <c r="K4790" s="69"/>
      <c r="L4790" s="49"/>
      <c r="M4790" s="36" t="str">
        <f t="shared" si="33"/>
        <v/>
      </c>
      <c r="N4790" s="30" t="str">
        <f t="shared" si="34"/>
        <v>BT atau SU Belum Valid</v>
      </c>
      <c r="O4790" s="39" t="str">
        <f t="shared" si="23"/>
        <v/>
      </c>
      <c r="P4790" s="47" t="b">
        <v>0</v>
      </c>
      <c r="Q4790" s="36" t="str">
        <f t="shared" si="35"/>
        <v/>
      </c>
      <c r="R4790" s="47" t="b">
        <v>0</v>
      </c>
      <c r="S4790" s="42" t="str">
        <f t="shared" si="28"/>
        <v/>
      </c>
      <c r="T4790" s="42"/>
    </row>
    <row r="4791" ht="22.5" customHeight="1">
      <c r="B4791" s="42">
        <f t="shared" si="7"/>
        <v>4785</v>
      </c>
      <c r="C4791" s="31" t="s">
        <v>4804</v>
      </c>
      <c r="D4791" s="34" t="str">
        <f t="array" ref="D4791">IFNA(_xlfn.XLOOKUP(C4791,Table_Tarikan_Warkah[Nomor Sertipikat],Table_Tarikan_Warkah[Nomor Tiket]),"")</f>
        <v>ABGYTIIF</v>
      </c>
      <c r="E4791" s="36" t="str">
        <f t="array" ref="E4791">IFNA(_xlfn.XLOOKUP(D4791,Table_Tarikan_Warkah[Nomor Tiket],Table_Tarikan_Warkah[Tanggal diserahkan kepada Validator]),"")</f>
        <v/>
      </c>
      <c r="F4791" s="36" t="str">
        <f t="array" ref="F4791">IFNA(_xlfn.XLOOKUP(D4791,Table_Tarikan_Warkah[Nomor Tiket],Table_Tarikan_Warkah[Nama Petugas Warkah]),"")</f>
        <v/>
      </c>
      <c r="G4791" s="39" t="str">
        <f t="array" ref="G4791">IFNA(_xlfn.XLOOKUP(D4791,Table_Tarikan_Warkah[Nomor Tiket],Table_Tarikan_Warkah[Jenis Permohonan]),"")</f>
        <v>BN WARIS</v>
      </c>
      <c r="H4791" s="41" t="s">
        <v>2315</v>
      </c>
      <c r="I4791" s="49" t="s">
        <v>23</v>
      </c>
      <c r="J4791" s="36">
        <f t="shared" si="20"/>
        <v>46034.4564</v>
      </c>
      <c r="K4791" s="69"/>
      <c r="L4791" s="49"/>
      <c r="M4791" s="36" t="str">
        <f t="shared" si="33"/>
        <v/>
      </c>
      <c r="N4791" s="30" t="str">
        <f t="shared" si="34"/>
        <v>BT atau SU Belum Valid</v>
      </c>
      <c r="O4791" s="39" t="str">
        <f t="shared" si="23"/>
        <v/>
      </c>
      <c r="P4791" s="47" t="b">
        <v>0</v>
      </c>
      <c r="Q4791" s="36" t="str">
        <f t="shared" si="35"/>
        <v/>
      </c>
      <c r="R4791" s="47" t="b">
        <v>0</v>
      </c>
      <c r="S4791" s="42" t="str">
        <f t="shared" si="28"/>
        <v/>
      </c>
      <c r="T4791" s="42"/>
    </row>
    <row r="4792" ht="22.5" customHeight="1">
      <c r="B4792" s="42">
        <f t="shared" si="7"/>
        <v>4786</v>
      </c>
      <c r="C4792" s="31" t="s">
        <v>4805</v>
      </c>
      <c r="D4792" s="34" t="str">
        <f t="array" ref="D4792">IFNA(_xlfn.XLOOKUP(C4792,Table_Tarikan_Warkah[Nomor Sertipikat],Table_Tarikan_Warkah[Nomor Tiket]),"")</f>
        <v>ABPPSBZO</v>
      </c>
      <c r="E4792" s="36" t="str">
        <f t="array" ref="E4792">IFNA(_xlfn.XLOOKUP(D4792,Table_Tarikan_Warkah[Nomor Tiket],Table_Tarikan_Warkah[Tanggal diserahkan kepada Validator]),"")</f>
        <v/>
      </c>
      <c r="F4792" s="36" t="str">
        <f t="array" ref="F4792">IFNA(_xlfn.XLOOKUP(D4792,Table_Tarikan_Warkah[Nomor Tiket],Table_Tarikan_Warkah[Nama Petugas Warkah]),"")</f>
        <v/>
      </c>
      <c r="G4792" s="39" t="str">
        <f t="array" ref="G4792">IFNA(_xlfn.XLOOKUP(D4792,Table_Tarikan_Warkah[Nomor Tiket],Table_Tarikan_Warkah[Jenis Permohonan]),"")</f>
        <v>Bn jual beli</v>
      </c>
      <c r="H4792" s="41" t="s">
        <v>2315</v>
      </c>
      <c r="I4792" s="49" t="s">
        <v>23</v>
      </c>
      <c r="J4792" s="36">
        <f t="shared" si="20"/>
        <v>46034.45694</v>
      </c>
      <c r="K4792" s="69"/>
      <c r="L4792" s="49"/>
      <c r="M4792" s="36" t="str">
        <f t="shared" si="33"/>
        <v/>
      </c>
      <c r="N4792" s="30" t="str">
        <f t="shared" si="34"/>
        <v>BT atau SU Belum Valid</v>
      </c>
      <c r="O4792" s="39" t="str">
        <f t="shared" si="23"/>
        <v/>
      </c>
      <c r="P4792" s="47" t="b">
        <v>0</v>
      </c>
      <c r="Q4792" s="36" t="str">
        <f t="shared" si="35"/>
        <v/>
      </c>
      <c r="R4792" s="47" t="b">
        <v>0</v>
      </c>
      <c r="S4792" s="42" t="str">
        <f t="shared" si="28"/>
        <v/>
      </c>
      <c r="T4792" s="42"/>
    </row>
    <row r="4793" ht="22.5" customHeight="1">
      <c r="B4793" s="42">
        <f t="shared" si="7"/>
        <v>4787</v>
      </c>
      <c r="C4793" s="31" t="s">
        <v>4647</v>
      </c>
      <c r="D4793" s="34" t="str">
        <f t="array" ref="D4793">IFNA(_xlfn.XLOOKUP(C4793,Table_Tarikan_Warkah[Nomor Sertipikat],Table_Tarikan_Warkah[Nomor Tiket]),"")</f>
        <v>ABRLLZBS</v>
      </c>
      <c r="E4793" s="36" t="str">
        <f t="array" ref="E4793">IFNA(_xlfn.XLOOKUP(D4793,Table_Tarikan_Warkah[Nomor Tiket],Table_Tarikan_Warkah[Tanggal diserahkan kepada Validator]),"")</f>
        <v/>
      </c>
      <c r="F4793" s="36" t="str">
        <f t="array" ref="F4793">IFNA(_xlfn.XLOOKUP(D4793,Table_Tarikan_Warkah[Nomor Tiket],Table_Tarikan_Warkah[Nama Petugas Warkah]),"")</f>
        <v/>
      </c>
      <c r="G4793" s="39" t="str">
        <f t="array" ref="G4793">IFNA(_xlfn.XLOOKUP(D4793,Table_Tarikan_Warkah[Nomor Tiket],Table_Tarikan_Warkah[Jenis Permohonan]),"")</f>
        <v>Turun Waris</v>
      </c>
      <c r="H4793" s="41" t="s">
        <v>2315</v>
      </c>
      <c r="I4793" s="49" t="s">
        <v>23</v>
      </c>
      <c r="J4793" s="36">
        <f t="shared" si="20"/>
        <v>46034.56382</v>
      </c>
      <c r="K4793" s="69"/>
      <c r="L4793" s="49"/>
      <c r="M4793" s="36" t="str">
        <f t="shared" si="33"/>
        <v/>
      </c>
      <c r="N4793" s="30" t="str">
        <f t="shared" si="34"/>
        <v>BT atau SU Belum Valid</v>
      </c>
      <c r="O4793" s="39" t="str">
        <f t="shared" si="23"/>
        <v/>
      </c>
      <c r="P4793" s="47" t="b">
        <v>0</v>
      </c>
      <c r="Q4793" s="36" t="str">
        <f t="shared" si="35"/>
        <v/>
      </c>
      <c r="R4793" s="47" t="b">
        <v>0</v>
      </c>
      <c r="S4793" s="42" t="str">
        <f t="shared" si="28"/>
        <v/>
      </c>
      <c r="T4793" s="42"/>
    </row>
    <row r="4794" ht="22.5" customHeight="1">
      <c r="B4794" s="42">
        <f t="shared" si="7"/>
        <v>4788</v>
      </c>
      <c r="C4794" s="31" t="s">
        <v>4806</v>
      </c>
      <c r="D4794" s="34" t="str">
        <f t="array" ref="D4794">IFNA(_xlfn.XLOOKUP(C4794,Table_Tarikan_Warkah[Nomor Sertipikat],Table_Tarikan_Warkah[Nomor Tiket]),"")</f>
        <v>ABIFCJYI</v>
      </c>
      <c r="E4794" s="36" t="str">
        <f t="array" ref="E4794">IFNA(_xlfn.XLOOKUP(D4794,Table_Tarikan_Warkah[Nomor Tiket],Table_Tarikan_Warkah[Tanggal diserahkan kepada Validator]),"")</f>
        <v/>
      </c>
      <c r="F4794" s="36" t="str">
        <f t="array" ref="F4794">IFNA(_xlfn.XLOOKUP(D4794,Table_Tarikan_Warkah[Nomor Tiket],Table_Tarikan_Warkah[Nama Petugas Warkah]),"")</f>
        <v/>
      </c>
      <c r="G4794" s="39" t="str">
        <f t="array" ref="G4794">IFNA(_xlfn.XLOOKUP(D4794,Table_Tarikan_Warkah[Nomor Tiket],Table_Tarikan_Warkah[Jenis Permohonan]),"")</f>
        <v>Ganti Kecamatan </v>
      </c>
      <c r="H4794" s="41" t="s">
        <v>2315</v>
      </c>
      <c r="I4794" s="49" t="s">
        <v>23</v>
      </c>
      <c r="J4794" s="36">
        <f t="shared" si="20"/>
        <v>46034.56487</v>
      </c>
      <c r="K4794" s="69"/>
      <c r="L4794" s="49"/>
      <c r="M4794" s="36" t="str">
        <f t="shared" si="33"/>
        <v/>
      </c>
      <c r="N4794" s="30" t="str">
        <f t="shared" si="34"/>
        <v>BT atau SU Belum Valid</v>
      </c>
      <c r="O4794" s="39" t="str">
        <f t="shared" si="23"/>
        <v/>
      </c>
      <c r="P4794" s="47" t="b">
        <v>0</v>
      </c>
      <c r="Q4794" s="36" t="str">
        <f t="shared" si="35"/>
        <v/>
      </c>
      <c r="R4794" s="47" t="b">
        <v>0</v>
      </c>
      <c r="S4794" s="42" t="str">
        <f t="shared" si="28"/>
        <v/>
      </c>
      <c r="T4794" s="42"/>
    </row>
    <row r="4795" ht="22.5" customHeight="1">
      <c r="B4795" s="42">
        <f t="shared" si="7"/>
        <v>4789</v>
      </c>
      <c r="C4795" s="31" t="s">
        <v>4807</v>
      </c>
      <c r="D4795" s="34" t="str">
        <f t="array" ref="D4795">IFNA(_xlfn.XLOOKUP(C4795,Table_Tarikan_Warkah[Nomor Sertipikat],Table_Tarikan_Warkah[Nomor Tiket]),"")</f>
        <v>K/50/260825/1</v>
      </c>
      <c r="E4795" s="36" t="str">
        <f t="array" ref="E4795">IFNA(_xlfn.XLOOKUP(D4795,Table_Tarikan_Warkah[Nomor Tiket],Table_Tarikan_Warkah[Tanggal diserahkan kepada Validator]),"")</f>
        <v/>
      </c>
      <c r="F4795" s="36" t="str">
        <f t="array" ref="F4795">IFNA(_xlfn.XLOOKUP(D4795,Table_Tarikan_Warkah[Nomor Tiket],Table_Tarikan_Warkah[Nama Petugas Warkah]),"")</f>
        <v/>
      </c>
      <c r="G4795" s="39" t="str">
        <f t="array" ref="G4795">IFNA(_xlfn.XLOOKUP(D4795,Table_Tarikan_Warkah[Nomor Tiket],Table_Tarikan_Warkah[Jenis Permohonan]),"")</f>
        <v>ROYA</v>
      </c>
      <c r="H4795" s="41" t="s">
        <v>2315</v>
      </c>
      <c r="I4795" s="49" t="s">
        <v>23</v>
      </c>
      <c r="J4795" s="36">
        <f t="shared" si="20"/>
        <v>46034.56626</v>
      </c>
      <c r="K4795" s="69"/>
      <c r="L4795" s="49"/>
      <c r="M4795" s="36" t="str">
        <f t="shared" si="33"/>
        <v/>
      </c>
      <c r="N4795" s="30" t="str">
        <f t="shared" si="34"/>
        <v>BT atau SU Belum Valid</v>
      </c>
      <c r="O4795" s="39" t="str">
        <f t="shared" si="23"/>
        <v/>
      </c>
      <c r="P4795" s="47" t="b">
        <v>0</v>
      </c>
      <c r="Q4795" s="36" t="str">
        <f t="shared" si="35"/>
        <v/>
      </c>
      <c r="R4795" s="47" t="b">
        <v>0</v>
      </c>
      <c r="S4795" s="42" t="str">
        <f t="shared" si="28"/>
        <v/>
      </c>
      <c r="T4795" s="42"/>
    </row>
    <row r="4796" ht="22.5" customHeight="1">
      <c r="B4796" s="42">
        <f t="shared" si="7"/>
        <v>4790</v>
      </c>
      <c r="C4796" s="31" t="s">
        <v>4808</v>
      </c>
      <c r="D4796" s="34" t="str">
        <f t="array" ref="D4796">IFNA(_xlfn.XLOOKUP(C4796,Table_Tarikan_Warkah[Nomor Sertipikat],Table_Tarikan_Warkah[Nomor Tiket]),"")</f>
        <v>K/8/120825/1</v>
      </c>
      <c r="E4796" s="36" t="str">
        <f t="array" ref="E4796">IFNA(_xlfn.XLOOKUP(D4796,Table_Tarikan_Warkah[Nomor Tiket],Table_Tarikan_Warkah[Tanggal diserahkan kepada Validator]),"")</f>
        <v/>
      </c>
      <c r="F4796" s="36" t="str">
        <f t="array" ref="F4796">IFNA(_xlfn.XLOOKUP(D4796,Table_Tarikan_Warkah[Nomor Tiket],Table_Tarikan_Warkah[Nama Petugas Warkah]),"")</f>
        <v/>
      </c>
      <c r="G4796" s="39" t="str">
        <f t="array" ref="G4796">IFNA(_xlfn.XLOOKUP(D4796,Table_Tarikan_Warkah[Nomor Tiket],Table_Tarikan_Warkah[Jenis Permohonan]),"")</f>
        <v>BN WARIS</v>
      </c>
      <c r="H4796" s="41" t="s">
        <v>2315</v>
      </c>
      <c r="I4796" s="49" t="s">
        <v>23</v>
      </c>
      <c r="J4796" s="36">
        <f t="shared" si="20"/>
        <v>46035.54742</v>
      </c>
      <c r="K4796" s="69"/>
      <c r="L4796" s="49"/>
      <c r="M4796" s="36" t="str">
        <f t="shared" si="33"/>
        <v/>
      </c>
      <c r="N4796" s="30" t="str">
        <f t="shared" si="34"/>
        <v>BT atau SU Belum Valid</v>
      </c>
      <c r="O4796" s="39" t="str">
        <f t="shared" si="23"/>
        <v/>
      </c>
      <c r="P4796" s="47" t="b">
        <v>0</v>
      </c>
      <c r="Q4796" s="36" t="str">
        <f t="shared" si="35"/>
        <v/>
      </c>
      <c r="R4796" s="47" t="b">
        <v>0</v>
      </c>
      <c r="S4796" s="42" t="str">
        <f t="shared" si="28"/>
        <v/>
      </c>
      <c r="T4796" s="42"/>
    </row>
    <row r="4797" ht="22.5" customHeight="1">
      <c r="B4797" s="42">
        <f t="shared" si="7"/>
        <v>4791</v>
      </c>
      <c r="C4797" s="31" t="s">
        <v>4809</v>
      </c>
      <c r="D4797" s="34" t="str">
        <f t="array" ref="D4797">IFNA(_xlfn.XLOOKUP(C4797,Table_Tarikan_Warkah[Nomor Sertipikat],Table_Tarikan_Warkah[Nomor Tiket]),"")</f>
        <v>ABDERTHU</v>
      </c>
      <c r="E4797" s="36" t="str">
        <f t="array" ref="E4797">IFNA(_xlfn.XLOOKUP(D4797,Table_Tarikan_Warkah[Nomor Tiket],Table_Tarikan_Warkah[Tanggal diserahkan kepada Validator]),"")</f>
        <v/>
      </c>
      <c r="F4797" s="36" t="str">
        <f t="array" ref="F4797">IFNA(_xlfn.XLOOKUP(D4797,Table_Tarikan_Warkah[Nomor Tiket],Table_Tarikan_Warkah[Nama Petugas Warkah]),"")</f>
        <v/>
      </c>
      <c r="G4797" s="39" t="str">
        <f t="array" ref="G4797">IFNA(_xlfn.XLOOKUP(D4797,Table_Tarikan_Warkah[Nomor Tiket],Table_Tarikan_Warkah[Jenis Permohonan]),"")</f>
        <v>BN WARIS</v>
      </c>
      <c r="H4797" s="41" t="s">
        <v>2315</v>
      </c>
      <c r="I4797" s="49" t="s">
        <v>23</v>
      </c>
      <c r="J4797" s="36">
        <f t="shared" si="20"/>
        <v>46035.54758</v>
      </c>
      <c r="K4797" s="69"/>
      <c r="L4797" s="49"/>
      <c r="M4797" s="36" t="str">
        <f t="shared" si="33"/>
        <v/>
      </c>
      <c r="N4797" s="30" t="str">
        <f t="shared" si="34"/>
        <v>BT atau SU Belum Valid</v>
      </c>
      <c r="O4797" s="39" t="str">
        <f t="shared" si="23"/>
        <v/>
      </c>
      <c r="P4797" s="47" t="b">
        <v>0</v>
      </c>
      <c r="Q4797" s="36" t="str">
        <f t="shared" si="35"/>
        <v/>
      </c>
      <c r="R4797" s="47" t="b">
        <v>0</v>
      </c>
      <c r="S4797" s="42" t="str">
        <f t="shared" si="28"/>
        <v/>
      </c>
      <c r="T4797" s="42"/>
    </row>
    <row r="4798" ht="22.5" customHeight="1">
      <c r="B4798" s="42">
        <f t="shared" si="7"/>
        <v>4792</v>
      </c>
      <c r="C4798" s="31" t="s">
        <v>4810</v>
      </c>
      <c r="D4798" s="34" t="str">
        <f t="array" ref="D4798">IFNA(_xlfn.XLOOKUP(C4798,Table_Tarikan_Warkah[Nomor Sertipikat],Table_Tarikan_Warkah[Nomor Tiket]),"")</f>
        <v>ABHMJFSJ</v>
      </c>
      <c r="E4798" s="36" t="str">
        <f t="array" ref="E4798">IFNA(_xlfn.XLOOKUP(D4798,Table_Tarikan_Warkah[Nomor Tiket],Table_Tarikan_Warkah[Tanggal diserahkan kepada Validator]),"")</f>
        <v/>
      </c>
      <c r="F4798" s="36" t="str">
        <f t="array" ref="F4798">IFNA(_xlfn.XLOOKUP(D4798,Table_Tarikan_Warkah[Nomor Tiket],Table_Tarikan_Warkah[Nama Petugas Warkah]),"")</f>
        <v/>
      </c>
      <c r="G4798" s="39" t="str">
        <f t="array" ref="G4798">IFNA(_xlfn.XLOOKUP(D4798,Table_Tarikan_Warkah[Nomor Tiket],Table_Tarikan_Warkah[Jenis Permohonan]),"")</f>
        <v>TURUN WARIS</v>
      </c>
      <c r="H4798" s="41" t="s">
        <v>2315</v>
      </c>
      <c r="I4798" s="49" t="s">
        <v>23</v>
      </c>
      <c r="J4798" s="36">
        <f t="shared" si="20"/>
        <v>46035.54773</v>
      </c>
      <c r="K4798" s="69"/>
      <c r="L4798" s="49"/>
      <c r="M4798" s="36" t="str">
        <f t="shared" si="33"/>
        <v/>
      </c>
      <c r="N4798" s="30" t="str">
        <f t="shared" si="34"/>
        <v>BT atau SU Belum Valid</v>
      </c>
      <c r="O4798" s="39" t="str">
        <f t="shared" si="23"/>
        <v/>
      </c>
      <c r="P4798" s="47" t="b">
        <v>0</v>
      </c>
      <c r="Q4798" s="36" t="str">
        <f t="shared" si="35"/>
        <v/>
      </c>
      <c r="R4798" s="47" t="b">
        <v>0</v>
      </c>
      <c r="S4798" s="42" t="str">
        <f t="shared" si="28"/>
        <v/>
      </c>
      <c r="T4798" s="42"/>
    </row>
    <row r="4799" ht="22.5" customHeight="1">
      <c r="B4799" s="42">
        <f t="shared" si="7"/>
        <v>4793</v>
      </c>
      <c r="C4799" s="31" t="s">
        <v>4811</v>
      </c>
      <c r="D4799" s="34" t="str">
        <f t="array" ref="D4799">IFNA(_xlfn.XLOOKUP(C4799,Table_Tarikan_Warkah[Nomor Sertipikat],Table_Tarikan_Warkah[Nomor Tiket]),"")</f>
        <v>L/5/211125/1</v>
      </c>
      <c r="E4799" s="36" t="str">
        <f t="array" ref="E4799">IFNA(_xlfn.XLOOKUP(D4799,Table_Tarikan_Warkah[Nomor Tiket],Table_Tarikan_Warkah[Tanggal diserahkan kepada Validator]),"")</f>
        <v/>
      </c>
      <c r="F4799" s="36" t="str">
        <f t="array" ref="F4799">IFNA(_xlfn.XLOOKUP(D4799,Table_Tarikan_Warkah[Nomor Tiket],Table_Tarikan_Warkah[Nama Petugas Warkah]),"")</f>
        <v/>
      </c>
      <c r="G4799" s="39" t="str">
        <f t="array" ref="G4799">IFNA(_xlfn.XLOOKUP(D4799,Table_Tarikan_Warkah[Nomor Tiket],Table_Tarikan_Warkah[Jenis Permohonan]),"")</f>
        <v>BN WARIS</v>
      </c>
      <c r="H4799" s="41" t="s">
        <v>2315</v>
      </c>
      <c r="I4799" s="49" t="s">
        <v>23</v>
      </c>
      <c r="J4799" s="36">
        <f t="shared" si="20"/>
        <v>46035.54837</v>
      </c>
      <c r="K4799" s="69"/>
      <c r="L4799" s="49"/>
      <c r="M4799" s="36" t="str">
        <f t="shared" si="33"/>
        <v/>
      </c>
      <c r="N4799" s="30" t="str">
        <f t="shared" si="34"/>
        <v>BT atau SU Belum Valid</v>
      </c>
      <c r="O4799" s="39" t="str">
        <f t="shared" si="23"/>
        <v/>
      </c>
      <c r="P4799" s="47" t="b">
        <v>0</v>
      </c>
      <c r="Q4799" s="36" t="str">
        <f t="shared" si="35"/>
        <v/>
      </c>
      <c r="R4799" s="47" t="b">
        <v>0</v>
      </c>
      <c r="S4799" s="42" t="str">
        <f t="shared" si="28"/>
        <v/>
      </c>
      <c r="T4799" s="42"/>
    </row>
    <row r="4800" ht="22.5" customHeight="1">
      <c r="B4800" s="42">
        <f t="shared" si="7"/>
        <v>4794</v>
      </c>
      <c r="C4800" s="31" t="s">
        <v>4812</v>
      </c>
      <c r="D4800" s="34" t="str">
        <f t="array" ref="D4800">IFNA(_xlfn.XLOOKUP(C4800,Table_Tarikan_Warkah[Nomor Sertipikat],Table_Tarikan_Warkah[Nomor Tiket]),"")</f>
        <v>K/29/160925/1</v>
      </c>
      <c r="E4800" s="36">
        <f t="array" ref="E4800">IFNA(_xlfn.XLOOKUP(D4800,Table_Tarikan_Warkah[Nomor Tiket],Table_Tarikan_Warkah[Tanggal diserahkan kepada Validator]),"")</f>
        <v>45975.49875</v>
      </c>
      <c r="F4800" s="36" t="str">
        <f t="array" ref="F4800">IFNA(_xlfn.XLOOKUP(D4800,Table_Tarikan_Warkah[Nomor Tiket],Table_Tarikan_Warkah[Nama Petugas Warkah]),"")</f>
        <v>Berry</v>
      </c>
      <c r="G4800" s="39" t="str">
        <f t="array" ref="G4800">IFNA(_xlfn.XLOOKUP(D4800,Table_Tarikan_Warkah[Nomor Tiket],Table_Tarikan_Warkah[Jenis Permohonan]),"")</f>
        <v>BN JUAL BELI EL</v>
      </c>
      <c r="H4800" s="41" t="s">
        <v>2315</v>
      </c>
      <c r="I4800" s="49" t="s">
        <v>23</v>
      </c>
      <c r="J4800" s="36">
        <f t="shared" si="20"/>
        <v>46036.40924</v>
      </c>
      <c r="K4800" s="69"/>
      <c r="L4800" s="49"/>
      <c r="M4800" s="36" t="str">
        <f t="shared" si="33"/>
        <v/>
      </c>
      <c r="N4800" s="30" t="str">
        <f t="shared" si="34"/>
        <v>BT atau SU Belum Valid</v>
      </c>
      <c r="O4800" s="39" t="str">
        <f t="shared" si="23"/>
        <v/>
      </c>
      <c r="P4800" s="47" t="b">
        <v>0</v>
      </c>
      <c r="Q4800" s="36" t="str">
        <f t="shared" si="35"/>
        <v/>
      </c>
      <c r="R4800" s="47" t="b">
        <v>0</v>
      </c>
      <c r="S4800" s="42" t="str">
        <f t="shared" si="28"/>
        <v/>
      </c>
      <c r="T4800" s="42"/>
    </row>
    <row r="4801" ht="22.5" customHeight="1">
      <c r="B4801" s="42">
        <f t="shared" si="7"/>
        <v>4795</v>
      </c>
      <c r="C4801" s="31" t="s">
        <v>4813</v>
      </c>
      <c r="D4801" s="34" t="str">
        <f t="array" ref="D4801">IFNA(_xlfn.XLOOKUP(C4801,Table_Tarikan_Warkah[Nomor Sertipikat],Table_Tarikan_Warkah[Nomor Tiket]),"")</f>
        <v>ABUJYLNT</v>
      </c>
      <c r="E4801" s="36" t="str">
        <f t="array" ref="E4801">IFNA(_xlfn.XLOOKUP(D4801,Table_Tarikan_Warkah[Nomor Tiket],Table_Tarikan_Warkah[Tanggal diserahkan kepada Validator]),"")</f>
        <v/>
      </c>
      <c r="F4801" s="36" t="str">
        <f t="array" ref="F4801">IFNA(_xlfn.XLOOKUP(D4801,Table_Tarikan_Warkah[Nomor Tiket],Table_Tarikan_Warkah[Nama Petugas Warkah]),"")</f>
        <v/>
      </c>
      <c r="G4801" s="39" t="str">
        <f t="array" ref="G4801">IFNA(_xlfn.XLOOKUP(D4801,Table_Tarikan_Warkah[Nomor Tiket],Table_Tarikan_Warkah[Jenis Permohonan]),"")</f>
        <v>BN JUAL BELI</v>
      </c>
      <c r="H4801" s="41" t="s">
        <v>2315</v>
      </c>
      <c r="I4801" s="49" t="s">
        <v>23</v>
      </c>
      <c r="J4801" s="36">
        <f t="shared" si="20"/>
        <v>46036.67044</v>
      </c>
      <c r="K4801" s="69"/>
      <c r="L4801" s="49"/>
      <c r="M4801" s="36" t="str">
        <f t="shared" si="33"/>
        <v/>
      </c>
      <c r="N4801" s="30" t="str">
        <f t="shared" si="34"/>
        <v>BT atau SU Belum Valid</v>
      </c>
      <c r="O4801" s="39" t="str">
        <f t="shared" si="23"/>
        <v/>
      </c>
      <c r="P4801" s="47" t="b">
        <v>0</v>
      </c>
      <c r="Q4801" s="36" t="str">
        <f t="shared" si="35"/>
        <v/>
      </c>
      <c r="R4801" s="47" t="b">
        <v>0</v>
      </c>
      <c r="S4801" s="42" t="str">
        <f t="shared" si="28"/>
        <v/>
      </c>
      <c r="T4801" s="42"/>
    </row>
    <row r="4802" ht="22.5" customHeight="1">
      <c r="B4802" s="42">
        <f t="shared" si="7"/>
        <v>4796</v>
      </c>
      <c r="C4802" s="31" t="s">
        <v>4814</v>
      </c>
      <c r="D4802" s="34" t="str">
        <f t="array" ref="D4802">IFNA(_xlfn.XLOOKUP(C4802,Table_Tarikan_Warkah[Nomor Sertipikat],Table_Tarikan_Warkah[Nomor Tiket]),"")</f>
        <v>AB068/ABDUXIDT</v>
      </c>
      <c r="E4802" s="36" t="str">
        <f t="array" ref="E4802">IFNA(_xlfn.XLOOKUP(D4802,Table_Tarikan_Warkah[Nomor Tiket],Table_Tarikan_Warkah[Tanggal diserahkan kepada Validator]),"")</f>
        <v/>
      </c>
      <c r="F4802" s="36" t="str">
        <f t="array" ref="F4802">IFNA(_xlfn.XLOOKUP(D4802,Table_Tarikan_Warkah[Nomor Tiket],Table_Tarikan_Warkah[Nama Petugas Warkah]),"")</f>
        <v/>
      </c>
      <c r="G4802" s="39" t="str">
        <f t="array" ref="G4802">IFNA(_xlfn.XLOOKUP(D4802,Table_Tarikan_Warkah[Nomor Tiket],Table_Tarikan_Warkah[Jenis Permohonan]),"")</f>
        <v>Balik Nama</v>
      </c>
      <c r="H4802" s="41" t="s">
        <v>2315</v>
      </c>
      <c r="I4802" s="49" t="s">
        <v>23</v>
      </c>
      <c r="J4802" s="36">
        <f t="shared" si="20"/>
        <v>46036.67057</v>
      </c>
      <c r="K4802" s="69"/>
      <c r="L4802" s="49"/>
      <c r="M4802" s="36" t="str">
        <f t="shared" si="33"/>
        <v/>
      </c>
      <c r="N4802" s="30" t="str">
        <f t="shared" si="34"/>
        <v>BT atau SU Belum Valid</v>
      </c>
      <c r="O4802" s="39" t="str">
        <f t="shared" si="23"/>
        <v/>
      </c>
      <c r="P4802" s="47" t="b">
        <v>0</v>
      </c>
      <c r="Q4802" s="36" t="str">
        <f t="shared" si="35"/>
        <v/>
      </c>
      <c r="R4802" s="47" t="b">
        <v>0</v>
      </c>
      <c r="S4802" s="42" t="str">
        <f t="shared" si="28"/>
        <v/>
      </c>
      <c r="T4802" s="42"/>
    </row>
    <row r="4803" ht="22.5" customHeight="1">
      <c r="B4803" s="42">
        <f t="shared" si="7"/>
        <v>4797</v>
      </c>
      <c r="C4803" s="31" t="s">
        <v>4815</v>
      </c>
      <c r="D4803" s="34" t="str">
        <f t="array" ref="D4803">IFNA(_xlfn.XLOOKUP(C4803,Table_Tarikan_Warkah[Nomor Sertipikat],Table_Tarikan_Warkah[Nomor Tiket]),"")</f>
        <v>ABAWIWAG/AB085</v>
      </c>
      <c r="E4803" s="36" t="str">
        <f t="array" ref="E4803">IFNA(_xlfn.XLOOKUP(D4803,Table_Tarikan_Warkah[Nomor Tiket],Table_Tarikan_Warkah[Tanggal diserahkan kepada Validator]),"")</f>
        <v/>
      </c>
      <c r="F4803" s="36" t="str">
        <f t="array" ref="F4803">IFNA(_xlfn.XLOOKUP(D4803,Table_Tarikan_Warkah[Nomor Tiket],Table_Tarikan_Warkah[Nama Petugas Warkah]),"")</f>
        <v/>
      </c>
      <c r="G4803" s="39" t="str">
        <f t="array" ref="G4803">IFNA(_xlfn.XLOOKUP(D4803,Table_Tarikan_Warkah[Nomor Tiket],Table_Tarikan_Warkah[Jenis Permohonan]),"")</f>
        <v>Balik Nama</v>
      </c>
      <c r="H4803" s="41" t="s">
        <v>2315</v>
      </c>
      <c r="I4803" s="49" t="s">
        <v>23</v>
      </c>
      <c r="J4803" s="36">
        <f t="shared" si="20"/>
        <v>46036.67085</v>
      </c>
      <c r="K4803" s="69"/>
      <c r="L4803" s="49"/>
      <c r="M4803" s="36" t="str">
        <f t="shared" si="33"/>
        <v/>
      </c>
      <c r="N4803" s="30" t="str">
        <f t="shared" si="34"/>
        <v>BT atau SU Belum Valid</v>
      </c>
      <c r="O4803" s="39" t="str">
        <f t="shared" si="23"/>
        <v/>
      </c>
      <c r="P4803" s="47" t="b">
        <v>0</v>
      </c>
      <c r="Q4803" s="36" t="str">
        <f t="shared" si="35"/>
        <v/>
      </c>
      <c r="R4803" s="47" t="b">
        <v>0</v>
      </c>
      <c r="S4803" s="42" t="str">
        <f t="shared" si="28"/>
        <v/>
      </c>
      <c r="T4803" s="42"/>
    </row>
    <row r="4804" ht="22.5" customHeight="1">
      <c r="B4804" s="42">
        <f t="shared" si="7"/>
        <v>4798</v>
      </c>
      <c r="C4804" s="31" t="s">
        <v>4816</v>
      </c>
      <c r="D4804" s="34" t="str">
        <f t="array" ref="D4804">IFNA(_xlfn.XLOOKUP(C4804,Table_Tarikan_Warkah[Nomor Sertipikat],Table_Tarikan_Warkah[Nomor Tiket]),"")</f>
        <v>AB029/ABUHFWJW</v>
      </c>
      <c r="E4804" s="36" t="str">
        <f t="array" ref="E4804">IFNA(_xlfn.XLOOKUP(D4804,Table_Tarikan_Warkah[Nomor Tiket],Table_Tarikan_Warkah[Tanggal diserahkan kepada Validator]),"")</f>
        <v/>
      </c>
      <c r="F4804" s="36" t="str">
        <f t="array" ref="F4804">IFNA(_xlfn.XLOOKUP(D4804,Table_Tarikan_Warkah[Nomor Tiket],Table_Tarikan_Warkah[Nama Petugas Warkah]),"")</f>
        <v/>
      </c>
      <c r="G4804" s="39" t="str">
        <f t="array" ref="G4804">IFNA(_xlfn.XLOOKUP(D4804,Table_Tarikan_Warkah[Nomor Tiket],Table_Tarikan_Warkah[Jenis Permohonan]),"")</f>
        <v>Balik Nama</v>
      </c>
      <c r="H4804" s="41" t="s">
        <v>2315</v>
      </c>
      <c r="I4804" s="49" t="s">
        <v>23</v>
      </c>
      <c r="J4804" s="36">
        <f t="shared" si="20"/>
        <v>46036.67106</v>
      </c>
      <c r="K4804" s="69"/>
      <c r="L4804" s="49"/>
      <c r="M4804" s="36" t="str">
        <f t="shared" si="33"/>
        <v/>
      </c>
      <c r="N4804" s="30" t="str">
        <f t="shared" si="34"/>
        <v>BT atau SU Belum Valid</v>
      </c>
      <c r="O4804" s="39" t="str">
        <f t="shared" si="23"/>
        <v/>
      </c>
      <c r="P4804" s="47" t="b">
        <v>0</v>
      </c>
      <c r="Q4804" s="36" t="str">
        <f t="shared" si="35"/>
        <v/>
      </c>
      <c r="R4804" s="47" t="b">
        <v>0</v>
      </c>
      <c r="S4804" s="42" t="str">
        <f t="shared" si="28"/>
        <v/>
      </c>
      <c r="T4804" s="42"/>
    </row>
    <row r="4805" ht="22.5" customHeight="1">
      <c r="B4805" s="42">
        <f t="shared" si="7"/>
        <v>4799</v>
      </c>
      <c r="C4805" s="31" t="s">
        <v>4817</v>
      </c>
      <c r="D4805" s="34" t="str">
        <f t="array" ref="D4805">IFNA(_xlfn.XLOOKUP(C4805,Table_Tarikan_Warkah[Nomor Sertipikat],Table_Tarikan_Warkah[Nomor Tiket]),"")</f>
        <v>K/16/100725/1</v>
      </c>
      <c r="E4805" s="36" t="str">
        <f t="array" ref="E4805">IFNA(_xlfn.XLOOKUP(D4805,Table_Tarikan_Warkah[Nomor Tiket],Table_Tarikan_Warkah[Tanggal diserahkan kepada Validator]),"")</f>
        <v/>
      </c>
      <c r="F4805" s="36" t="str">
        <f t="array" ref="F4805">IFNA(_xlfn.XLOOKUP(D4805,Table_Tarikan_Warkah[Nomor Tiket],Table_Tarikan_Warkah[Nama Petugas Warkah]),"")</f>
        <v/>
      </c>
      <c r="G4805" s="39" t="str">
        <f t="array" ref="G4805">IFNA(_xlfn.XLOOKUP(D4805,Table_Tarikan_Warkah[Nomor Tiket],Table_Tarikan_Warkah[Jenis Permohonan]),"")</f>
        <v>BN Jual Beli</v>
      </c>
      <c r="H4805" s="41" t="s">
        <v>2315</v>
      </c>
      <c r="I4805" s="49" t="s">
        <v>23</v>
      </c>
      <c r="J4805" s="36">
        <f t="shared" si="20"/>
        <v>46036.67128</v>
      </c>
      <c r="K4805" s="69"/>
      <c r="L4805" s="49"/>
      <c r="M4805" s="36" t="str">
        <f t="shared" si="33"/>
        <v/>
      </c>
      <c r="N4805" s="30" t="str">
        <f t="shared" si="34"/>
        <v>BT atau SU Belum Valid</v>
      </c>
      <c r="O4805" s="39" t="str">
        <f t="shared" si="23"/>
        <v/>
      </c>
      <c r="P4805" s="47" t="b">
        <v>0</v>
      </c>
      <c r="Q4805" s="36" t="str">
        <f t="shared" si="35"/>
        <v/>
      </c>
      <c r="R4805" s="47" t="b">
        <v>0</v>
      </c>
      <c r="S4805" s="42" t="str">
        <f t="shared" si="28"/>
        <v/>
      </c>
      <c r="T4805" s="42"/>
    </row>
    <row r="4806" ht="22.5" customHeight="1">
      <c r="B4806" s="42">
        <f t="shared" si="7"/>
        <v>4800</v>
      </c>
      <c r="C4806" s="31" t="s">
        <v>4818</v>
      </c>
      <c r="D4806" s="34" t="str">
        <f t="array" ref="D4806">IFNA(_xlfn.XLOOKUP(C4806,Table_Tarikan_Warkah[Nomor Sertipikat],Table_Tarikan_Warkah[Nomor Tiket]),"")</f>
        <v>ABFPVBRB/Ab020</v>
      </c>
      <c r="E4806" s="36" t="str">
        <f t="array" ref="E4806">IFNA(_xlfn.XLOOKUP(D4806,Table_Tarikan_Warkah[Nomor Tiket],Table_Tarikan_Warkah[Tanggal diserahkan kepada Validator]),"")</f>
        <v/>
      </c>
      <c r="F4806" s="36" t="str">
        <f t="array" ref="F4806">IFNA(_xlfn.XLOOKUP(D4806,Table_Tarikan_Warkah[Nomor Tiket],Table_Tarikan_Warkah[Nama Petugas Warkah]),"")</f>
        <v/>
      </c>
      <c r="G4806" s="39" t="str">
        <f t="array" ref="G4806">IFNA(_xlfn.XLOOKUP(D4806,Table_Tarikan_Warkah[Nomor Tiket],Table_Tarikan_Warkah[Jenis Permohonan]),"")</f>
        <v>BN Jual beli</v>
      </c>
      <c r="H4806" s="41" t="s">
        <v>2315</v>
      </c>
      <c r="I4806" s="49" t="s">
        <v>23</v>
      </c>
      <c r="J4806" s="36">
        <f t="shared" si="20"/>
        <v>46036.67175</v>
      </c>
      <c r="K4806" s="69"/>
      <c r="L4806" s="49"/>
      <c r="M4806" s="36" t="str">
        <f t="shared" si="33"/>
        <v/>
      </c>
      <c r="N4806" s="30" t="str">
        <f t="shared" si="34"/>
        <v>BT atau SU Belum Valid</v>
      </c>
      <c r="O4806" s="39" t="str">
        <f t="shared" si="23"/>
        <v/>
      </c>
      <c r="P4806" s="47" t="b">
        <v>0</v>
      </c>
      <c r="Q4806" s="36" t="str">
        <f t="shared" si="35"/>
        <v/>
      </c>
      <c r="R4806" s="47" t="b">
        <v>0</v>
      </c>
      <c r="S4806" s="42" t="str">
        <f t="shared" si="28"/>
        <v/>
      </c>
      <c r="T4806" s="42"/>
    </row>
    <row r="4807" ht="22.5" customHeight="1">
      <c r="B4807" s="42">
        <f t="shared" si="7"/>
        <v>4801</v>
      </c>
      <c r="C4807" s="31" t="s">
        <v>4819</v>
      </c>
      <c r="D4807" s="34" t="str">
        <f t="array" ref="D4807">IFNA(_xlfn.XLOOKUP(C4807,Table_Tarikan_Warkah[Nomor Sertipikat],Table_Tarikan_Warkah[Nomor Tiket]),"")</f>
        <v>Ab021/ABMRIKAQ</v>
      </c>
      <c r="E4807" s="36" t="str">
        <f t="array" ref="E4807">IFNA(_xlfn.XLOOKUP(D4807,Table_Tarikan_Warkah[Nomor Tiket],Table_Tarikan_Warkah[Tanggal diserahkan kepada Validator]),"")</f>
        <v/>
      </c>
      <c r="F4807" s="36" t="str">
        <f t="array" ref="F4807">IFNA(_xlfn.XLOOKUP(D4807,Table_Tarikan_Warkah[Nomor Tiket],Table_Tarikan_Warkah[Nama Petugas Warkah]),"")</f>
        <v/>
      </c>
      <c r="G4807" s="39" t="str">
        <f t="array" ref="G4807">IFNA(_xlfn.XLOOKUP(D4807,Table_Tarikan_Warkah[Nomor Tiket],Table_Tarikan_Warkah[Jenis Permohonan]),"")</f>
        <v>BN JUAL BELI</v>
      </c>
      <c r="H4807" s="41" t="s">
        <v>2315</v>
      </c>
      <c r="I4807" s="49" t="s">
        <v>23</v>
      </c>
      <c r="J4807" s="36">
        <f t="shared" si="20"/>
        <v>46036.67211</v>
      </c>
      <c r="K4807" s="69"/>
      <c r="L4807" s="49"/>
      <c r="M4807" s="36" t="str">
        <f t="shared" si="33"/>
        <v/>
      </c>
      <c r="N4807" s="30" t="str">
        <f t="shared" si="34"/>
        <v>BT atau SU Belum Valid</v>
      </c>
      <c r="O4807" s="39" t="str">
        <f t="shared" si="23"/>
        <v/>
      </c>
      <c r="P4807" s="47" t="b">
        <v>0</v>
      </c>
      <c r="Q4807" s="36" t="str">
        <f t="shared" si="35"/>
        <v/>
      </c>
      <c r="R4807" s="47" t="b">
        <v>0</v>
      </c>
      <c r="S4807" s="42" t="str">
        <f t="shared" si="28"/>
        <v/>
      </c>
      <c r="T4807" s="42"/>
    </row>
    <row r="4808" ht="22.5" customHeight="1">
      <c r="B4808" s="42">
        <f t="shared" si="7"/>
        <v>4802</v>
      </c>
      <c r="C4808" s="31" t="s">
        <v>4820</v>
      </c>
      <c r="D4808" s="34" t="str">
        <f t="array" ref="D4808">IFNA(_xlfn.XLOOKUP(C4808,Table_Tarikan_Warkah[Nomor Sertipikat],Table_Tarikan_Warkah[Nomor Tiket]),"")</f>
        <v>ABGPFFCQ/AB011</v>
      </c>
      <c r="E4808" s="36" t="str">
        <f t="array" ref="E4808">IFNA(_xlfn.XLOOKUP(D4808,Table_Tarikan_Warkah[Nomor Tiket],Table_Tarikan_Warkah[Tanggal diserahkan kepada Validator]),"")</f>
        <v/>
      </c>
      <c r="F4808" s="36" t="str">
        <f t="array" ref="F4808">IFNA(_xlfn.XLOOKUP(D4808,Table_Tarikan_Warkah[Nomor Tiket],Table_Tarikan_Warkah[Nama Petugas Warkah]),"")</f>
        <v/>
      </c>
      <c r="G4808" s="39" t="str">
        <f t="array" ref="G4808">IFNA(_xlfn.XLOOKUP(D4808,Table_Tarikan_Warkah[Nomor Tiket],Table_Tarikan_Warkah[Jenis Permohonan]),"")</f>
        <v>Ganti nama sertipikat</v>
      </c>
      <c r="H4808" s="41" t="s">
        <v>2315</v>
      </c>
      <c r="I4808" s="49" t="s">
        <v>23</v>
      </c>
      <c r="J4808" s="36">
        <f t="shared" si="20"/>
        <v>46036.67276</v>
      </c>
      <c r="K4808" s="69"/>
      <c r="L4808" s="49"/>
      <c r="M4808" s="36" t="str">
        <f t="shared" si="33"/>
        <v/>
      </c>
      <c r="N4808" s="30" t="str">
        <f t="shared" si="34"/>
        <v>BT atau SU Belum Valid</v>
      </c>
      <c r="O4808" s="39" t="str">
        <f t="shared" si="23"/>
        <v/>
      </c>
      <c r="P4808" s="47" t="b">
        <v>0</v>
      </c>
      <c r="Q4808" s="36" t="str">
        <f t="shared" si="35"/>
        <v/>
      </c>
      <c r="R4808" s="47" t="b">
        <v>0</v>
      </c>
      <c r="S4808" s="42" t="str">
        <f t="shared" si="28"/>
        <v/>
      </c>
      <c r="T4808" s="42"/>
    </row>
    <row r="4809" ht="22.5" customHeight="1">
      <c r="B4809" s="42">
        <f t="shared" si="7"/>
        <v>4803</v>
      </c>
      <c r="C4809" s="31" t="s">
        <v>4821</v>
      </c>
      <c r="D4809" s="34" t="str">
        <f t="array" ref="D4809">IFNA(_xlfn.XLOOKUP(C4809,Table_Tarikan_Warkah[Nomor Sertipikat],Table_Tarikan_Warkah[Nomor Tiket]),"")</f>
        <v>K/28/101025/2</v>
      </c>
      <c r="E4809" s="36">
        <f t="array" ref="E4809">IFNA(_xlfn.XLOOKUP(D4809,Table_Tarikan_Warkah[Nomor Tiket],Table_Tarikan_Warkah[Tanggal diserahkan kepada Validator]),"")</f>
        <v>45986.59485</v>
      </c>
      <c r="F4809" s="36" t="str">
        <f t="array" ref="F4809">IFNA(_xlfn.XLOOKUP(D4809,Table_Tarikan_Warkah[Nomor Tiket],Table_Tarikan_Warkah[Nama Petugas Warkah]),"")</f>
        <v>David</v>
      </c>
      <c r="G4809" s="39" t="str">
        <f t="array" ref="G4809">IFNA(_xlfn.XLOOKUP(D4809,Table_Tarikan_Warkah[Nomor Tiket],Table_Tarikan_Warkah[Jenis Permohonan]),"")</f>
        <v>BN HIBAH</v>
      </c>
      <c r="H4809" s="41" t="s">
        <v>2315</v>
      </c>
      <c r="I4809" s="49" t="s">
        <v>23</v>
      </c>
      <c r="J4809" s="36">
        <f t="shared" si="20"/>
        <v>46036.67295</v>
      </c>
      <c r="K4809" s="69"/>
      <c r="L4809" s="49"/>
      <c r="M4809" s="36" t="str">
        <f t="shared" si="33"/>
        <v/>
      </c>
      <c r="N4809" s="30" t="str">
        <f t="shared" si="34"/>
        <v>BT atau SU Belum Valid</v>
      </c>
      <c r="O4809" s="39" t="str">
        <f t="shared" si="23"/>
        <v/>
      </c>
      <c r="P4809" s="47" t="b">
        <v>0</v>
      </c>
      <c r="Q4809" s="36" t="str">
        <f t="shared" si="35"/>
        <v/>
      </c>
      <c r="R4809" s="47" t="b">
        <v>0</v>
      </c>
      <c r="S4809" s="42" t="str">
        <f t="shared" si="28"/>
        <v/>
      </c>
      <c r="T4809" s="42"/>
    </row>
    <row r="4810" ht="22.5" customHeight="1">
      <c r="B4810" s="42">
        <f t="shared" si="7"/>
        <v>4804</v>
      </c>
      <c r="C4810" s="31" t="s">
        <v>4822</v>
      </c>
      <c r="D4810" s="34" t="str">
        <f t="array" ref="D4810">IFNA(_xlfn.XLOOKUP(C4810,Table_Tarikan_Warkah[Nomor Sertipikat],Table_Tarikan_Warkah[Nomor Tiket]),"")</f>
        <v>Abobtfnu</v>
      </c>
      <c r="E4810" s="36" t="str">
        <f t="array" ref="E4810">IFNA(_xlfn.XLOOKUP(D4810,Table_Tarikan_Warkah[Nomor Tiket],Table_Tarikan_Warkah[Tanggal diserahkan kepada Validator]),"")</f>
        <v/>
      </c>
      <c r="F4810" s="36" t="str">
        <f t="array" ref="F4810">IFNA(_xlfn.XLOOKUP(D4810,Table_Tarikan_Warkah[Nomor Tiket],Table_Tarikan_Warkah[Nama Petugas Warkah]),"")</f>
        <v/>
      </c>
      <c r="G4810" s="39" t="str">
        <f t="array" ref="G4810">IFNA(_xlfn.XLOOKUP(D4810,Table_Tarikan_Warkah[Nomor Tiket],Table_Tarikan_Warkah[Jenis Permohonan]),"")</f>
        <v>BN Jual Beli</v>
      </c>
      <c r="H4810" s="41" t="s">
        <v>2315</v>
      </c>
      <c r="I4810" s="49" t="s">
        <v>23</v>
      </c>
      <c r="J4810" s="36">
        <f t="shared" si="20"/>
        <v>46036.67583</v>
      </c>
      <c r="K4810" s="69"/>
      <c r="L4810" s="49"/>
      <c r="M4810" s="36" t="str">
        <f t="shared" si="33"/>
        <v/>
      </c>
      <c r="N4810" s="30" t="str">
        <f t="shared" si="34"/>
        <v>BT atau SU Belum Valid</v>
      </c>
      <c r="O4810" s="39" t="str">
        <f t="shared" si="23"/>
        <v/>
      </c>
      <c r="P4810" s="47" t="b">
        <v>0</v>
      </c>
      <c r="Q4810" s="36" t="str">
        <f t="shared" si="35"/>
        <v/>
      </c>
      <c r="R4810" s="47" t="b">
        <v>0</v>
      </c>
      <c r="S4810" s="42" t="str">
        <f t="shared" si="28"/>
        <v/>
      </c>
      <c r="T4810" s="42"/>
    </row>
    <row r="4811" ht="22.5" customHeight="1">
      <c r="B4811" s="42">
        <f t="shared" si="7"/>
        <v>4805</v>
      </c>
      <c r="C4811" s="31" t="s">
        <v>4823</v>
      </c>
      <c r="D4811" s="34" t="str">
        <f t="array" ref="D4811">IFNA(_xlfn.XLOOKUP(C4811,Table_Tarikan_Warkah[Nomor Sertipikat],Table_Tarikan_Warkah[Nomor Tiket]),"")</f>
        <v>Ab 21 (abylpefk)</v>
      </c>
      <c r="E4811" s="36" t="str">
        <f t="array" ref="E4811">IFNA(_xlfn.XLOOKUP(D4811,Table_Tarikan_Warkah[Nomor Tiket],Table_Tarikan_Warkah[Tanggal diserahkan kepada Validator]),"")</f>
        <v/>
      </c>
      <c r="F4811" s="36" t="str">
        <f t="array" ref="F4811">IFNA(_xlfn.XLOOKUP(D4811,Table_Tarikan_Warkah[Nomor Tiket],Table_Tarikan_Warkah[Nama Petugas Warkah]),"")</f>
        <v/>
      </c>
      <c r="G4811" s="39" t="str">
        <f t="array" ref="G4811">IFNA(_xlfn.XLOOKUP(D4811,Table_Tarikan_Warkah[Nomor Tiket],Table_Tarikan_Warkah[Jenis Permohonan]),"")</f>
        <v>balik nama jual beli</v>
      </c>
      <c r="H4811" s="41" t="s">
        <v>2315</v>
      </c>
      <c r="I4811" s="49" t="s">
        <v>23</v>
      </c>
      <c r="J4811" s="36">
        <f t="shared" si="20"/>
        <v>46036.6761</v>
      </c>
      <c r="K4811" s="69"/>
      <c r="L4811" s="49"/>
      <c r="M4811" s="36" t="str">
        <f t="shared" si="33"/>
        <v/>
      </c>
      <c r="N4811" s="30" t="str">
        <f t="shared" si="34"/>
        <v>BT atau SU Belum Valid</v>
      </c>
      <c r="O4811" s="39" t="str">
        <f t="shared" si="23"/>
        <v/>
      </c>
      <c r="P4811" s="47" t="b">
        <v>0</v>
      </c>
      <c r="Q4811" s="36" t="str">
        <f t="shared" si="35"/>
        <v/>
      </c>
      <c r="R4811" s="47" t="b">
        <v>0</v>
      </c>
      <c r="S4811" s="42" t="str">
        <f t="shared" si="28"/>
        <v/>
      </c>
      <c r="T4811" s="42"/>
    </row>
    <row r="4812" ht="22.5" customHeight="1">
      <c r="B4812" s="42">
        <f t="shared" si="7"/>
        <v>4806</v>
      </c>
      <c r="C4812" s="31" t="s">
        <v>4824</v>
      </c>
      <c r="D4812" s="34" t="str">
        <f t="array" ref="D4812">IFNA(_xlfn.XLOOKUP(C4812,Table_Tarikan_Warkah[Nomor Sertipikat],Table_Tarikan_Warkah[Nomor Tiket]),"")</f>
        <v>ABZXOZDX/AB048</v>
      </c>
      <c r="E4812" s="36" t="str">
        <f t="array" ref="E4812">IFNA(_xlfn.XLOOKUP(D4812,Table_Tarikan_Warkah[Nomor Tiket],Table_Tarikan_Warkah[Tanggal diserahkan kepada Validator]),"")</f>
        <v/>
      </c>
      <c r="F4812" s="36" t="str">
        <f t="array" ref="F4812">IFNA(_xlfn.XLOOKUP(D4812,Table_Tarikan_Warkah[Nomor Tiket],Table_Tarikan_Warkah[Nama Petugas Warkah]),"")</f>
        <v/>
      </c>
      <c r="G4812" s="39" t="str">
        <f t="array" ref="G4812">IFNA(_xlfn.XLOOKUP(D4812,Table_Tarikan_Warkah[Nomor Tiket],Table_Tarikan_Warkah[Jenis Permohonan]),"")</f>
        <v>balik nama jual beli</v>
      </c>
      <c r="H4812" s="41" t="s">
        <v>2315</v>
      </c>
      <c r="I4812" s="49" t="s">
        <v>23</v>
      </c>
      <c r="J4812" s="36">
        <f t="shared" si="20"/>
        <v>46037.55627</v>
      </c>
      <c r="K4812" s="69"/>
      <c r="L4812" s="49"/>
      <c r="M4812" s="36" t="str">
        <f t="shared" si="33"/>
        <v/>
      </c>
      <c r="N4812" s="30" t="str">
        <f t="shared" si="34"/>
        <v>BT atau SU Belum Valid</v>
      </c>
      <c r="O4812" s="39" t="str">
        <f t="shared" si="23"/>
        <v/>
      </c>
      <c r="P4812" s="47" t="b">
        <v>0</v>
      </c>
      <c r="Q4812" s="36" t="str">
        <f t="shared" si="35"/>
        <v/>
      </c>
      <c r="R4812" s="47" t="b">
        <v>0</v>
      </c>
      <c r="S4812" s="42" t="str">
        <f t="shared" si="28"/>
        <v/>
      </c>
      <c r="T4812" s="42"/>
    </row>
    <row r="4813" ht="22.5" customHeight="1">
      <c r="B4813" s="42">
        <f t="shared" si="7"/>
        <v>4807</v>
      </c>
      <c r="C4813" s="31" t="s">
        <v>4825</v>
      </c>
      <c r="D4813" s="34" t="str">
        <f t="array" ref="D4813">IFNA(_xlfn.XLOOKUP(C4813,Table_Tarikan_Warkah[Nomor Sertipikat],Table_Tarikan_Warkah[Nomor Tiket]),"")</f>
        <v>ABBJFNKN/AB012</v>
      </c>
      <c r="E4813" s="36" t="str">
        <f t="array" ref="E4813">IFNA(_xlfn.XLOOKUP(D4813,Table_Tarikan_Warkah[Nomor Tiket],Table_Tarikan_Warkah[Tanggal diserahkan kepada Validator]),"")</f>
        <v/>
      </c>
      <c r="F4813" s="36" t="str">
        <f t="array" ref="F4813">IFNA(_xlfn.XLOOKUP(D4813,Table_Tarikan_Warkah[Nomor Tiket],Table_Tarikan_Warkah[Nama Petugas Warkah]),"")</f>
        <v/>
      </c>
      <c r="G4813" s="39" t="str">
        <f t="array" ref="G4813">IFNA(_xlfn.XLOOKUP(D4813,Table_Tarikan_Warkah[Nomor Tiket],Table_Tarikan_Warkah[Jenis Permohonan]),"")</f>
        <v>BN JUAL BELI</v>
      </c>
      <c r="H4813" s="41" t="s">
        <v>2315</v>
      </c>
      <c r="I4813" s="49" t="s">
        <v>23</v>
      </c>
      <c r="J4813" s="36">
        <f t="shared" si="20"/>
        <v>46037.55643</v>
      </c>
      <c r="K4813" s="69"/>
      <c r="L4813" s="49"/>
      <c r="M4813" s="36" t="str">
        <f t="shared" si="33"/>
        <v/>
      </c>
      <c r="N4813" s="30" t="str">
        <f t="shared" si="34"/>
        <v>BT atau SU Belum Valid</v>
      </c>
      <c r="O4813" s="39" t="str">
        <f t="shared" si="23"/>
        <v/>
      </c>
      <c r="P4813" s="47" t="b">
        <v>0</v>
      </c>
      <c r="Q4813" s="36" t="str">
        <f t="shared" si="35"/>
        <v/>
      </c>
      <c r="R4813" s="47" t="b">
        <v>0</v>
      </c>
      <c r="S4813" s="42" t="str">
        <f t="shared" si="28"/>
        <v/>
      </c>
      <c r="T4813" s="42"/>
    </row>
    <row r="4814" ht="22.5" customHeight="1">
      <c r="B4814" s="42">
        <f t="shared" si="7"/>
        <v>4808</v>
      </c>
      <c r="C4814" s="31" t="s">
        <v>4826</v>
      </c>
      <c r="D4814" s="34" t="str">
        <f t="array" ref="D4814">IFNA(_xlfn.XLOOKUP(C4814,Table_Tarikan_Warkah[Nomor Sertipikat],Table_Tarikan_Warkah[Nomor Tiket]),"")</f>
        <v>ABUABLCO</v>
      </c>
      <c r="E4814" s="36" t="str">
        <f t="array" ref="E4814">IFNA(_xlfn.XLOOKUP(D4814,Table_Tarikan_Warkah[Nomor Tiket],Table_Tarikan_Warkah[Tanggal diserahkan kepada Validator]),"")</f>
        <v/>
      </c>
      <c r="F4814" s="36" t="str">
        <f t="array" ref="F4814">IFNA(_xlfn.XLOOKUP(D4814,Table_Tarikan_Warkah[Nomor Tiket],Table_Tarikan_Warkah[Nama Petugas Warkah]),"")</f>
        <v/>
      </c>
      <c r="G4814" s="39" t="str">
        <f t="array" ref="G4814">IFNA(_xlfn.XLOOKUP(D4814,Table_Tarikan_Warkah[Nomor Tiket],Table_Tarikan_Warkah[Jenis Permohonan]),"")</f>
        <v>balik nama jual beli</v>
      </c>
      <c r="H4814" s="41" t="s">
        <v>2315</v>
      </c>
      <c r="I4814" s="49" t="s">
        <v>23</v>
      </c>
      <c r="J4814" s="36">
        <f t="shared" si="20"/>
        <v>46037.55677</v>
      </c>
      <c r="K4814" s="69"/>
      <c r="L4814" s="49"/>
      <c r="M4814" s="36" t="str">
        <f t="shared" si="33"/>
        <v/>
      </c>
      <c r="N4814" s="30" t="str">
        <f t="shared" si="34"/>
        <v>BT atau SU Belum Valid</v>
      </c>
      <c r="O4814" s="39" t="str">
        <f t="shared" si="23"/>
        <v/>
      </c>
      <c r="P4814" s="47" t="b">
        <v>0</v>
      </c>
      <c r="Q4814" s="36" t="str">
        <f t="shared" si="35"/>
        <v/>
      </c>
      <c r="R4814" s="47" t="b">
        <v>0</v>
      </c>
      <c r="S4814" s="42" t="str">
        <f t="shared" si="28"/>
        <v/>
      </c>
      <c r="T4814" s="42"/>
    </row>
    <row r="4815" ht="22.5" customHeight="1">
      <c r="B4815" s="42">
        <f t="shared" si="7"/>
        <v>4809</v>
      </c>
      <c r="C4815" s="31" t="s">
        <v>4827</v>
      </c>
      <c r="D4815" s="34" t="str">
        <f t="array" ref="D4815">IFNA(_xlfn.XLOOKUP(C4815,Table_Tarikan_Warkah[Nomor Sertipikat],Table_Tarikan_Warkah[Nomor Tiket]),"")</f>
        <v>ABXTSFQQ</v>
      </c>
      <c r="E4815" s="36" t="str">
        <f t="array" ref="E4815">IFNA(_xlfn.XLOOKUP(D4815,Table_Tarikan_Warkah[Nomor Tiket],Table_Tarikan_Warkah[Tanggal diserahkan kepada Validator]),"")</f>
        <v/>
      </c>
      <c r="F4815" s="36" t="str">
        <f t="array" ref="F4815">IFNA(_xlfn.XLOOKUP(D4815,Table_Tarikan_Warkah[Nomor Tiket],Table_Tarikan_Warkah[Nama Petugas Warkah]),"")</f>
        <v/>
      </c>
      <c r="G4815" s="39" t="str">
        <f t="array" ref="G4815">IFNA(_xlfn.XLOOKUP(D4815,Table_Tarikan_Warkah[Nomor Tiket],Table_Tarikan_Warkah[Jenis Permohonan]),"")</f>
        <v>Balik nama JUAL BELI</v>
      </c>
      <c r="H4815" s="41" t="s">
        <v>2315</v>
      </c>
      <c r="I4815" s="49" t="s">
        <v>23</v>
      </c>
      <c r="J4815" s="36">
        <f t="shared" si="20"/>
        <v>46037.55709</v>
      </c>
      <c r="K4815" s="69"/>
      <c r="L4815" s="49"/>
      <c r="M4815" s="36" t="str">
        <f t="shared" si="33"/>
        <v/>
      </c>
      <c r="N4815" s="30" t="str">
        <f t="shared" si="34"/>
        <v>BT atau SU Belum Valid</v>
      </c>
      <c r="O4815" s="39" t="str">
        <f t="shared" si="23"/>
        <v/>
      </c>
      <c r="P4815" s="47" t="b">
        <v>0</v>
      </c>
      <c r="Q4815" s="36" t="str">
        <f t="shared" si="35"/>
        <v/>
      </c>
      <c r="R4815" s="47" t="b">
        <v>0</v>
      </c>
      <c r="S4815" s="42" t="str">
        <f t="shared" si="28"/>
        <v/>
      </c>
      <c r="T4815" s="42"/>
    </row>
    <row r="4816" ht="22.5" customHeight="1">
      <c r="B4816" s="42">
        <f t="shared" si="7"/>
        <v>4810</v>
      </c>
      <c r="C4816" s="31" t="s">
        <v>4828</v>
      </c>
      <c r="D4816" s="34" t="str">
        <f t="array" ref="D4816">IFNA(_xlfn.XLOOKUP(C4816,Table_Tarikan_Warkah[Nomor Sertipikat],Table_Tarikan_Warkah[Nomor Tiket]),"")</f>
        <v>ABDEBSAF</v>
      </c>
      <c r="E4816" s="36">
        <f t="array" ref="E4816">IFNA(_xlfn.XLOOKUP(D4816,Table_Tarikan_Warkah[Nomor Tiket],Table_Tarikan_Warkah[Tanggal diserahkan kepada Validator]),"")</f>
        <v>46020.65787</v>
      </c>
      <c r="F4816" s="36" t="str">
        <f t="array" ref="F4816">IFNA(_xlfn.XLOOKUP(D4816,Table_Tarikan_Warkah[Nomor Tiket],Table_Tarikan_Warkah[Nama Petugas Warkah]),"")</f>
        <v>Berry</v>
      </c>
      <c r="G4816" s="39" t="str">
        <f t="array" ref="G4816">IFNA(_xlfn.XLOOKUP(D4816,Table_Tarikan_Warkah[Nomor Tiket],Table_Tarikan_Warkah[Jenis Permohonan]),"")</f>
        <v>BN WARIS</v>
      </c>
      <c r="H4816" s="41" t="s">
        <v>2315</v>
      </c>
      <c r="I4816" s="49" t="s">
        <v>23</v>
      </c>
      <c r="J4816" s="36">
        <f t="shared" si="20"/>
        <v>46037.56919</v>
      </c>
      <c r="K4816" s="69"/>
      <c r="L4816" s="49"/>
      <c r="M4816" s="36" t="str">
        <f t="shared" si="33"/>
        <v/>
      </c>
      <c r="N4816" s="30" t="str">
        <f t="shared" si="34"/>
        <v>BT atau SU Belum Valid</v>
      </c>
      <c r="O4816" s="39" t="str">
        <f t="shared" si="23"/>
        <v/>
      </c>
      <c r="P4816" s="47" t="b">
        <v>0</v>
      </c>
      <c r="Q4816" s="36" t="str">
        <f t="shared" si="35"/>
        <v/>
      </c>
      <c r="R4816" s="47" t="b">
        <v>0</v>
      </c>
      <c r="S4816" s="42" t="str">
        <f t="shared" si="28"/>
        <v/>
      </c>
      <c r="T4816" s="42"/>
    </row>
    <row r="4817" ht="22.5" customHeight="1">
      <c r="B4817" s="42">
        <f t="shared" si="7"/>
        <v>4811</v>
      </c>
      <c r="C4817" s="31" t="s">
        <v>4829</v>
      </c>
      <c r="D4817" s="34" t="str">
        <f t="array" ref="D4817">IFNA(_xlfn.XLOOKUP(C4817,Table_Tarikan_Warkah[Nomor Sertipikat],Table_Tarikan_Warkah[Nomor Tiket]),"")</f>
        <v>ABALNBNV</v>
      </c>
      <c r="E4817" s="36" t="str">
        <f t="array" ref="E4817">IFNA(_xlfn.XLOOKUP(D4817,Table_Tarikan_Warkah[Nomor Tiket],Table_Tarikan_Warkah[Tanggal diserahkan kepada Validator]),"")</f>
        <v/>
      </c>
      <c r="F4817" s="36" t="str">
        <f t="array" ref="F4817">IFNA(_xlfn.XLOOKUP(D4817,Table_Tarikan_Warkah[Nomor Tiket],Table_Tarikan_Warkah[Nama Petugas Warkah]),"")</f>
        <v/>
      </c>
      <c r="G4817" s="39" t="str">
        <f t="array" ref="G4817">IFNA(_xlfn.XLOOKUP(D4817,Table_Tarikan_Warkah[Nomor Tiket],Table_Tarikan_Warkah[Jenis Permohonan]),"")</f>
        <v>Balik Nama Jual Beli</v>
      </c>
      <c r="H4817" s="41" t="s">
        <v>2315</v>
      </c>
      <c r="I4817" s="49" t="s">
        <v>23</v>
      </c>
      <c r="J4817" s="36">
        <f t="shared" si="20"/>
        <v>46041.43655</v>
      </c>
      <c r="K4817" s="69"/>
      <c r="L4817" s="49"/>
      <c r="M4817" s="36" t="str">
        <f t="shared" si="33"/>
        <v/>
      </c>
      <c r="N4817" s="30" t="str">
        <f t="shared" si="34"/>
        <v>BT atau SU Belum Valid</v>
      </c>
      <c r="O4817" s="39" t="str">
        <f t="shared" si="23"/>
        <v/>
      </c>
      <c r="P4817" s="47" t="b">
        <v>0</v>
      </c>
      <c r="Q4817" s="36" t="str">
        <f t="shared" si="35"/>
        <v/>
      </c>
      <c r="R4817" s="47" t="b">
        <v>0</v>
      </c>
      <c r="S4817" s="42" t="str">
        <f t="shared" si="28"/>
        <v/>
      </c>
      <c r="T4817" s="42"/>
    </row>
    <row r="4818" ht="22.5" customHeight="1">
      <c r="B4818" s="42">
        <f t="shared" si="7"/>
        <v>4812</v>
      </c>
      <c r="C4818" s="31" t="s">
        <v>4830</v>
      </c>
      <c r="D4818" s="34" t="str">
        <f t="array" ref="D4818">IFNA(_xlfn.XLOOKUP(C4818,Table_Tarikan_Warkah[Nomor Sertipikat],Table_Tarikan_Warkah[Nomor Tiket]),"")</f>
        <v>ABPFHPIC</v>
      </c>
      <c r="E4818" s="36" t="str">
        <f t="array" ref="E4818">IFNA(_xlfn.XLOOKUP(D4818,Table_Tarikan_Warkah[Nomor Tiket],Table_Tarikan_Warkah[Tanggal diserahkan kepada Validator]),"")</f>
        <v/>
      </c>
      <c r="F4818" s="36" t="str">
        <f t="array" ref="F4818">IFNA(_xlfn.XLOOKUP(D4818,Table_Tarikan_Warkah[Nomor Tiket],Table_Tarikan_Warkah[Nama Petugas Warkah]),"")</f>
        <v/>
      </c>
      <c r="G4818" s="39" t="str">
        <f t="array" ref="G4818">IFNA(_xlfn.XLOOKUP(D4818,Table_Tarikan_Warkah[Nomor Tiket],Table_Tarikan_Warkah[Jenis Permohonan]),"")</f>
        <v>Hibah</v>
      </c>
      <c r="H4818" s="41" t="s">
        <v>2315</v>
      </c>
      <c r="I4818" s="49" t="s">
        <v>23</v>
      </c>
      <c r="J4818" s="36">
        <f t="shared" si="20"/>
        <v>46041.43723</v>
      </c>
      <c r="K4818" s="69"/>
      <c r="L4818" s="49"/>
      <c r="M4818" s="36" t="str">
        <f t="shared" si="33"/>
        <v/>
      </c>
      <c r="N4818" s="30" t="str">
        <f t="shared" si="34"/>
        <v>BT atau SU Belum Valid</v>
      </c>
      <c r="O4818" s="39" t="str">
        <f t="shared" si="23"/>
        <v/>
      </c>
      <c r="P4818" s="47" t="b">
        <v>0</v>
      </c>
      <c r="Q4818" s="36" t="str">
        <f t="shared" si="35"/>
        <v/>
      </c>
      <c r="R4818" s="47" t="b">
        <v>0</v>
      </c>
      <c r="S4818" s="42" t="str">
        <f t="shared" si="28"/>
        <v/>
      </c>
      <c r="T4818" s="42"/>
    </row>
    <row r="4819" ht="22.5" customHeight="1">
      <c r="B4819" s="42">
        <f t="shared" si="7"/>
        <v>4813</v>
      </c>
      <c r="C4819" s="31" t="s">
        <v>4831</v>
      </c>
      <c r="D4819" s="34" t="str">
        <f t="array" ref="D4819">IFNA(_xlfn.XLOOKUP(C4819,Table_Tarikan_Warkah[Nomor Sertipikat],Table_Tarikan_Warkah[Nomor Tiket]),"")</f>
        <v>ABCNDOPD/AB080</v>
      </c>
      <c r="E4819" s="36" t="str">
        <f t="array" ref="E4819">IFNA(_xlfn.XLOOKUP(D4819,Table_Tarikan_Warkah[Nomor Tiket],Table_Tarikan_Warkah[Tanggal diserahkan kepada Validator]),"")</f>
        <v/>
      </c>
      <c r="F4819" s="36" t="str">
        <f t="array" ref="F4819">IFNA(_xlfn.XLOOKUP(D4819,Table_Tarikan_Warkah[Nomor Tiket],Table_Tarikan_Warkah[Nama Petugas Warkah]),"")</f>
        <v/>
      </c>
      <c r="G4819" s="39" t="str">
        <f t="array" ref="G4819">IFNA(_xlfn.XLOOKUP(D4819,Table_Tarikan_Warkah[Nomor Tiket],Table_Tarikan_Warkah[Jenis Permohonan]),"")</f>
        <v>Bn jual beli</v>
      </c>
      <c r="H4819" s="41" t="s">
        <v>2315</v>
      </c>
      <c r="I4819" s="49" t="s">
        <v>23</v>
      </c>
      <c r="J4819" s="36">
        <f t="shared" si="20"/>
        <v>46041.44853</v>
      </c>
      <c r="K4819" s="69"/>
      <c r="L4819" s="49"/>
      <c r="M4819" s="36" t="str">
        <f t="shared" si="33"/>
        <v/>
      </c>
      <c r="N4819" s="30" t="str">
        <f t="shared" si="34"/>
        <v>BT atau SU Belum Valid</v>
      </c>
      <c r="O4819" s="39" t="str">
        <f t="shared" si="23"/>
        <v/>
      </c>
      <c r="P4819" s="47" t="b">
        <v>0</v>
      </c>
      <c r="Q4819" s="36" t="str">
        <f t="shared" si="35"/>
        <v/>
      </c>
      <c r="R4819" s="47" t="b">
        <v>0</v>
      </c>
      <c r="S4819" s="42" t="str">
        <f t="shared" si="28"/>
        <v/>
      </c>
      <c r="T4819" s="42"/>
    </row>
    <row r="4820" ht="22.5" customHeight="1">
      <c r="B4820" s="42">
        <f t="shared" si="7"/>
        <v>4814</v>
      </c>
      <c r="C4820" s="31" t="s">
        <v>4832</v>
      </c>
      <c r="D4820" s="34" t="str">
        <f t="array" ref="D4820">IFNA(_xlfn.XLOOKUP(C4820,Table_Tarikan_Warkah[Nomor Sertipikat],Table_Tarikan_Warkah[Nomor Tiket]),"")</f>
        <v>ABLFLORMC/ABO80</v>
      </c>
      <c r="E4820" s="36" t="str">
        <f t="array" ref="E4820">IFNA(_xlfn.XLOOKUP(D4820,Table_Tarikan_Warkah[Nomor Tiket],Table_Tarikan_Warkah[Tanggal diserahkan kepada Validator]),"")</f>
        <v/>
      </c>
      <c r="F4820" s="36" t="str">
        <f t="array" ref="F4820">IFNA(_xlfn.XLOOKUP(D4820,Table_Tarikan_Warkah[Nomor Tiket],Table_Tarikan_Warkah[Nama Petugas Warkah]),"")</f>
        <v/>
      </c>
      <c r="G4820" s="39" t="str">
        <f t="array" ref="G4820">IFNA(_xlfn.XLOOKUP(D4820,Table_Tarikan_Warkah[Nomor Tiket],Table_Tarikan_Warkah[Jenis Permohonan]),"")</f>
        <v>Bn jual beli</v>
      </c>
      <c r="H4820" s="41" t="s">
        <v>2315</v>
      </c>
      <c r="I4820" s="49" t="s">
        <v>23</v>
      </c>
      <c r="J4820" s="36">
        <f t="shared" si="20"/>
        <v>46041.44884</v>
      </c>
      <c r="K4820" s="69"/>
      <c r="L4820" s="49"/>
      <c r="M4820" s="36" t="str">
        <f t="shared" si="33"/>
        <v/>
      </c>
      <c r="N4820" s="30" t="str">
        <f t="shared" si="34"/>
        <v>BT atau SU Belum Valid</v>
      </c>
      <c r="O4820" s="39" t="str">
        <f t="shared" si="23"/>
        <v/>
      </c>
      <c r="P4820" s="47" t="b">
        <v>0</v>
      </c>
      <c r="Q4820" s="36" t="str">
        <f t="shared" si="35"/>
        <v/>
      </c>
      <c r="R4820" s="47" t="b">
        <v>0</v>
      </c>
      <c r="S4820" s="42" t="str">
        <f t="shared" si="28"/>
        <v/>
      </c>
      <c r="T4820" s="42"/>
    </row>
    <row r="4821" ht="22.5" customHeight="1">
      <c r="B4821" s="42">
        <f t="shared" si="7"/>
        <v>4815</v>
      </c>
      <c r="C4821" s="31" t="s">
        <v>4833</v>
      </c>
      <c r="D4821" s="34" t="str">
        <f t="array" ref="D4821">IFNA(_xlfn.XLOOKUP(C4821,Table_Tarikan_Warkah[Nomor Sertipikat],Table_Tarikan_Warkah[Nomor Tiket]),"")</f>
        <v>AB032/ABGCQQFG</v>
      </c>
      <c r="E4821" s="36" t="str">
        <f t="array" ref="E4821">IFNA(_xlfn.XLOOKUP(D4821,Table_Tarikan_Warkah[Nomor Tiket],Table_Tarikan_Warkah[Tanggal diserahkan kepada Validator]),"")</f>
        <v/>
      </c>
      <c r="F4821" s="36" t="str">
        <f t="array" ref="F4821">IFNA(_xlfn.XLOOKUP(D4821,Table_Tarikan_Warkah[Nomor Tiket],Table_Tarikan_Warkah[Nama Petugas Warkah]),"")</f>
        <v/>
      </c>
      <c r="G4821" s="39" t="str">
        <f t="array" ref="G4821">IFNA(_xlfn.XLOOKUP(D4821,Table_Tarikan_Warkah[Nomor Tiket],Table_Tarikan_Warkah[Jenis Permohonan]),"")</f>
        <v>Balik Nama Jual Beli</v>
      </c>
      <c r="H4821" s="41" t="s">
        <v>2315</v>
      </c>
      <c r="I4821" s="49" t="s">
        <v>23</v>
      </c>
      <c r="J4821" s="36">
        <f t="shared" si="20"/>
        <v>46041.45152</v>
      </c>
      <c r="K4821" s="69"/>
      <c r="L4821" s="49"/>
      <c r="M4821" s="36" t="str">
        <f t="shared" si="33"/>
        <v/>
      </c>
      <c r="N4821" s="30" t="str">
        <f t="shared" si="34"/>
        <v>BT atau SU Belum Valid</v>
      </c>
      <c r="O4821" s="39" t="str">
        <f t="shared" si="23"/>
        <v/>
      </c>
      <c r="P4821" s="47" t="b">
        <v>0</v>
      </c>
      <c r="Q4821" s="36" t="str">
        <f t="shared" si="35"/>
        <v/>
      </c>
      <c r="R4821" s="47" t="b">
        <v>0</v>
      </c>
      <c r="S4821" s="42" t="str">
        <f t="shared" si="28"/>
        <v/>
      </c>
      <c r="T4821" s="42"/>
    </row>
    <row r="4822" ht="22.5" customHeight="1">
      <c r="B4822" s="42">
        <f t="shared" si="7"/>
        <v>4816</v>
      </c>
      <c r="C4822" s="31" t="s">
        <v>4834</v>
      </c>
      <c r="D4822" s="34" t="str">
        <f t="array" ref="D4822">IFNA(_xlfn.XLOOKUP(C4822,Table_Tarikan_Warkah[Nomor Sertipikat],Table_Tarikan_Warkah[Nomor Tiket]),"")</f>
        <v>AB032/ABLYKILT</v>
      </c>
      <c r="E4822" s="36" t="str">
        <f t="array" ref="E4822">IFNA(_xlfn.XLOOKUP(D4822,Table_Tarikan_Warkah[Nomor Tiket],Table_Tarikan_Warkah[Tanggal diserahkan kepada Validator]),"")</f>
        <v/>
      </c>
      <c r="F4822" s="36" t="str">
        <f t="array" ref="F4822">IFNA(_xlfn.XLOOKUP(D4822,Table_Tarikan_Warkah[Nomor Tiket],Table_Tarikan_Warkah[Nama Petugas Warkah]),"")</f>
        <v/>
      </c>
      <c r="G4822" s="39" t="str">
        <f t="array" ref="G4822">IFNA(_xlfn.XLOOKUP(D4822,Table_Tarikan_Warkah[Nomor Tiket],Table_Tarikan_Warkah[Jenis Permohonan]),"")</f>
        <v>Balik Nama Jual Beli</v>
      </c>
      <c r="H4822" s="41" t="s">
        <v>2315</v>
      </c>
      <c r="I4822" s="49" t="s">
        <v>23</v>
      </c>
      <c r="J4822" s="36">
        <f t="shared" si="20"/>
        <v>46041.45155</v>
      </c>
      <c r="K4822" s="69"/>
      <c r="L4822" s="49"/>
      <c r="M4822" s="36" t="str">
        <f t="shared" si="33"/>
        <v/>
      </c>
      <c r="N4822" s="30" t="str">
        <f t="shared" si="34"/>
        <v>BT atau SU Belum Valid</v>
      </c>
      <c r="O4822" s="39" t="str">
        <f t="shared" si="23"/>
        <v/>
      </c>
      <c r="P4822" s="47" t="b">
        <v>0</v>
      </c>
      <c r="Q4822" s="36" t="str">
        <f t="shared" si="35"/>
        <v/>
      </c>
      <c r="R4822" s="47" t="b">
        <v>0</v>
      </c>
      <c r="S4822" s="42" t="str">
        <f t="shared" si="28"/>
        <v/>
      </c>
      <c r="T4822" s="42"/>
    </row>
    <row r="4823" ht="22.5" customHeight="1">
      <c r="B4823" s="42">
        <f t="shared" si="7"/>
        <v>4817</v>
      </c>
      <c r="C4823" s="31" t="s">
        <v>4835</v>
      </c>
      <c r="D4823" s="34" t="str">
        <f t="array" ref="D4823">IFNA(_xlfn.XLOOKUP(C4823,Table_Tarikan_Warkah[Nomor Sertipikat],Table_Tarikan_Warkah[Nomor Tiket]),"")</f>
        <v>ABXVHIMB</v>
      </c>
      <c r="E4823" s="36" t="str">
        <f t="array" ref="E4823">IFNA(_xlfn.XLOOKUP(D4823,Table_Tarikan_Warkah[Nomor Tiket],Table_Tarikan_Warkah[Tanggal diserahkan kepada Validator]),"")</f>
        <v/>
      </c>
      <c r="F4823" s="36" t="str">
        <f t="array" ref="F4823">IFNA(_xlfn.XLOOKUP(D4823,Table_Tarikan_Warkah[Nomor Tiket],Table_Tarikan_Warkah[Nama Petugas Warkah]),"")</f>
        <v/>
      </c>
      <c r="G4823" s="39" t="str">
        <f t="array" ref="G4823">IFNA(_xlfn.XLOOKUP(D4823,Table_Tarikan_Warkah[Nomor Tiket],Table_Tarikan_Warkah[Jenis Permohonan]),"")</f>
        <v>BN JUAL BELI </v>
      </c>
      <c r="H4823" s="41" t="s">
        <v>2315</v>
      </c>
      <c r="I4823" s="49" t="s">
        <v>23</v>
      </c>
      <c r="J4823" s="36">
        <f t="shared" si="20"/>
        <v>46041.45212</v>
      </c>
      <c r="K4823" s="69"/>
      <c r="L4823" s="49"/>
      <c r="M4823" s="36" t="str">
        <f t="shared" si="33"/>
        <v/>
      </c>
      <c r="N4823" s="30" t="str">
        <f t="shared" si="34"/>
        <v>BT atau SU Belum Valid</v>
      </c>
      <c r="O4823" s="39" t="str">
        <f t="shared" si="23"/>
        <v/>
      </c>
      <c r="P4823" s="47" t="b">
        <v>0</v>
      </c>
      <c r="Q4823" s="36" t="str">
        <f t="shared" si="35"/>
        <v/>
      </c>
      <c r="R4823" s="47" t="b">
        <v>0</v>
      </c>
      <c r="S4823" s="42" t="str">
        <f t="shared" si="28"/>
        <v/>
      </c>
      <c r="T4823" s="42"/>
    </row>
    <row r="4824" ht="22.5" customHeight="1">
      <c r="B4824" s="42">
        <f t="shared" si="7"/>
        <v>4818</v>
      </c>
      <c r="C4824" s="31" t="s">
        <v>4836</v>
      </c>
      <c r="D4824" s="34" t="str">
        <f t="array" ref="D4824">IFNA(_xlfn.XLOOKUP(C4824,Table_Tarikan_Warkah[Nomor Sertipikat],Table_Tarikan_Warkah[Nomor Tiket]),"")</f>
        <v>K/32/160925/2</v>
      </c>
      <c r="E4824" s="36">
        <f t="array" ref="E4824">IFNA(_xlfn.XLOOKUP(D4824,Table_Tarikan_Warkah[Nomor Tiket],Table_Tarikan_Warkah[Tanggal diserahkan kepada Validator]),"")</f>
        <v>45943.70221</v>
      </c>
      <c r="F4824" s="36" t="str">
        <f t="array" ref="F4824">IFNA(_xlfn.XLOOKUP(D4824,Table_Tarikan_Warkah[Nomor Tiket],Table_Tarikan_Warkah[Nama Petugas Warkah]),"")</f>
        <v>David</v>
      </c>
      <c r="G4824" s="39" t="str">
        <f t="array" ref="G4824">IFNA(_xlfn.XLOOKUP(D4824,Table_Tarikan_Warkah[Nomor Tiket],Table_Tarikan_Warkah[Jenis Permohonan]),"")</f>
        <v>BN HIBAH EL</v>
      </c>
      <c r="H4824" s="41" t="s">
        <v>2315</v>
      </c>
      <c r="I4824" s="49" t="s">
        <v>23</v>
      </c>
      <c r="J4824" s="36">
        <f t="shared" si="20"/>
        <v>46042.67976</v>
      </c>
      <c r="K4824" s="69"/>
      <c r="L4824" s="49"/>
      <c r="M4824" s="36" t="str">
        <f t="shared" si="33"/>
        <v/>
      </c>
      <c r="N4824" s="30" t="str">
        <f t="shared" si="34"/>
        <v>BT atau SU Belum Valid</v>
      </c>
      <c r="O4824" s="39" t="str">
        <f t="shared" si="23"/>
        <v/>
      </c>
      <c r="P4824" s="47" t="b">
        <v>0</v>
      </c>
      <c r="Q4824" s="36" t="str">
        <f t="shared" si="35"/>
        <v/>
      </c>
      <c r="R4824" s="47" t="b">
        <v>0</v>
      </c>
      <c r="S4824" s="42" t="str">
        <f t="shared" si="28"/>
        <v/>
      </c>
      <c r="T4824" s="42"/>
    </row>
    <row r="4825" ht="22.5" customHeight="1">
      <c r="B4825" s="42">
        <f t="shared" si="7"/>
        <v>4819</v>
      </c>
      <c r="C4825" s="31" t="s">
        <v>4837</v>
      </c>
      <c r="D4825" s="34" t="str">
        <f t="array" ref="D4825">IFNA(_xlfn.XLOOKUP(C4825,Table_Tarikan_Warkah[Nomor Sertipikat],Table_Tarikan_Warkah[Nomor Tiket]),"")</f>
        <v>K/25/101025/1</v>
      </c>
      <c r="E4825" s="36" t="str">
        <f t="array" ref="E4825">IFNA(_xlfn.XLOOKUP(D4825,Table_Tarikan_Warkah[Nomor Tiket],Table_Tarikan_Warkah[Tanggal diserahkan kepada Validator]),"")</f>
        <v/>
      </c>
      <c r="F4825" s="36" t="str">
        <f t="array" ref="F4825">IFNA(_xlfn.XLOOKUP(D4825,Table_Tarikan_Warkah[Nomor Tiket],Table_Tarikan_Warkah[Nama Petugas Warkah]),"")</f>
        <v/>
      </c>
      <c r="G4825" s="39" t="str">
        <f t="array" ref="G4825">IFNA(_xlfn.XLOOKUP(D4825,Table_Tarikan_Warkah[Nomor Tiket],Table_Tarikan_Warkah[Jenis Permohonan]),"")</f>
        <v>ROYA</v>
      </c>
      <c r="H4825" s="41" t="s">
        <v>2315</v>
      </c>
      <c r="I4825" s="49" t="s">
        <v>23</v>
      </c>
      <c r="J4825" s="36">
        <f t="shared" si="20"/>
        <v>46042.68242</v>
      </c>
      <c r="K4825" s="69"/>
      <c r="L4825" s="49"/>
      <c r="M4825" s="36" t="str">
        <f t="shared" si="33"/>
        <v/>
      </c>
      <c r="N4825" s="30" t="str">
        <f t="shared" si="34"/>
        <v>BT atau SU Belum Valid</v>
      </c>
      <c r="O4825" s="39" t="str">
        <f t="shared" si="23"/>
        <v/>
      </c>
      <c r="P4825" s="47" t="b">
        <v>0</v>
      </c>
      <c r="Q4825" s="36" t="str">
        <f t="shared" si="35"/>
        <v/>
      </c>
      <c r="R4825" s="47" t="b">
        <v>0</v>
      </c>
      <c r="S4825" s="42" t="str">
        <f t="shared" si="28"/>
        <v/>
      </c>
      <c r="T4825" s="42"/>
    </row>
    <row r="4826" ht="22.5" customHeight="1">
      <c r="B4826" s="42">
        <f t="shared" si="7"/>
        <v>4820</v>
      </c>
      <c r="C4826" s="31" t="s">
        <v>4838</v>
      </c>
      <c r="D4826" s="34" t="str">
        <f t="array" ref="D4826">IFNA(_xlfn.XLOOKUP(C4826,Table_Tarikan_Warkah[Nomor Sertipikat],Table_Tarikan_Warkah[Nomor Tiket]),"")</f>
        <v>K/24/180325/1</v>
      </c>
      <c r="E4826" s="36" t="str">
        <f t="array" ref="E4826">IFNA(_xlfn.XLOOKUP(D4826,Table_Tarikan_Warkah[Nomor Tiket],Table_Tarikan_Warkah[Tanggal diserahkan kepada Validator]),"")</f>
        <v/>
      </c>
      <c r="F4826" s="36" t="str">
        <f t="array" ref="F4826">IFNA(_xlfn.XLOOKUP(D4826,Table_Tarikan_Warkah[Nomor Tiket],Table_Tarikan_Warkah[Nama Petugas Warkah]),"")</f>
        <v/>
      </c>
      <c r="G4826" s="39" t="str">
        <f t="array" ref="G4826">IFNA(_xlfn.XLOOKUP(D4826,Table_Tarikan_Warkah[Nomor Tiket],Table_Tarikan_Warkah[Jenis Permohonan]),"")</f>
        <v>ROYA</v>
      </c>
      <c r="H4826" s="41" t="s">
        <v>2315</v>
      </c>
      <c r="I4826" s="49" t="s">
        <v>23</v>
      </c>
      <c r="J4826" s="36">
        <f t="shared" si="20"/>
        <v>46042.68265</v>
      </c>
      <c r="K4826" s="69"/>
      <c r="L4826" s="49"/>
      <c r="M4826" s="36" t="str">
        <f t="shared" si="33"/>
        <v/>
      </c>
      <c r="N4826" s="30" t="str">
        <f t="shared" si="34"/>
        <v>BT atau SU Belum Valid</v>
      </c>
      <c r="O4826" s="39" t="str">
        <f t="shared" si="23"/>
        <v/>
      </c>
      <c r="P4826" s="47" t="b">
        <v>0</v>
      </c>
      <c r="Q4826" s="36" t="str">
        <f t="shared" si="35"/>
        <v/>
      </c>
      <c r="R4826" s="47" t="b">
        <v>0</v>
      </c>
      <c r="S4826" s="42" t="str">
        <f t="shared" si="28"/>
        <v/>
      </c>
      <c r="T4826" s="42"/>
    </row>
    <row r="4827" ht="22.5" customHeight="1">
      <c r="B4827" s="42">
        <f t="shared" si="7"/>
        <v>4821</v>
      </c>
      <c r="C4827" s="31" t="s">
        <v>4839</v>
      </c>
      <c r="D4827" s="34" t="str">
        <f t="array" ref="D4827">IFNA(_xlfn.XLOOKUP(C4827,Table_Tarikan_Warkah[Nomor Sertipikat],Table_Tarikan_Warkah[Nomor Tiket]),"")</f>
        <v>K/21/230925/3</v>
      </c>
      <c r="E4827" s="36">
        <f t="array" ref="E4827">IFNA(_xlfn.XLOOKUP(D4827,Table_Tarikan_Warkah[Nomor Tiket],Table_Tarikan_Warkah[Tanggal diserahkan kepada Validator]),"")</f>
        <v>45988.64056</v>
      </c>
      <c r="F4827" s="36" t="str">
        <f t="array" ref="F4827">IFNA(_xlfn.XLOOKUP(D4827,Table_Tarikan_Warkah[Nomor Tiket],Table_Tarikan_Warkah[Nama Petugas Warkah]),"")</f>
        <v>Berry</v>
      </c>
      <c r="G4827" s="39" t="str">
        <f t="array" ref="G4827">IFNA(_xlfn.XLOOKUP(D4827,Table_Tarikan_Warkah[Nomor Tiket],Table_Tarikan_Warkah[Jenis Permohonan]),"")</f>
        <v>ROYA</v>
      </c>
      <c r="H4827" s="41" t="s">
        <v>2315</v>
      </c>
      <c r="I4827" s="49" t="s">
        <v>23</v>
      </c>
      <c r="J4827" s="36">
        <f t="shared" si="20"/>
        <v>46043.49451</v>
      </c>
      <c r="K4827" s="69"/>
      <c r="L4827" s="49"/>
      <c r="M4827" s="36" t="str">
        <f t="shared" si="33"/>
        <v/>
      </c>
      <c r="N4827" s="30" t="str">
        <f t="shared" si="34"/>
        <v>BT atau SU Belum Valid</v>
      </c>
      <c r="O4827" s="39" t="str">
        <f t="shared" si="23"/>
        <v/>
      </c>
      <c r="P4827" s="47" t="b">
        <v>0</v>
      </c>
      <c r="Q4827" s="36" t="str">
        <f t="shared" si="35"/>
        <v/>
      </c>
      <c r="R4827" s="47" t="b">
        <v>0</v>
      </c>
      <c r="S4827" s="42" t="str">
        <f t="shared" si="28"/>
        <v/>
      </c>
      <c r="T4827" s="42"/>
    </row>
    <row r="4828" ht="22.5" customHeight="1">
      <c r="B4828" s="42">
        <f t="shared" si="7"/>
        <v>4822</v>
      </c>
      <c r="C4828" s="31" t="s">
        <v>4840</v>
      </c>
      <c r="D4828" s="34" t="str">
        <f t="array" ref="D4828">IFNA(_xlfn.XLOOKUP(C4828,Table_Tarikan_Warkah[Nomor Sertipikat],Table_Tarikan_Warkah[Nomor Tiket]),"")</f>
        <v>ABWNXLVG/1</v>
      </c>
      <c r="E4828" s="36">
        <f t="array" ref="E4828">IFNA(_xlfn.XLOOKUP(D4828,Table_Tarikan_Warkah[Nomor Tiket],Table_Tarikan_Warkah[Tanggal diserahkan kepada Validator]),"")</f>
        <v>46020.65525</v>
      </c>
      <c r="F4828" s="36" t="str">
        <f t="array" ref="F4828">IFNA(_xlfn.XLOOKUP(D4828,Table_Tarikan_Warkah[Nomor Tiket],Table_Tarikan_Warkah[Nama Petugas Warkah]),"")</f>
        <v>Berry</v>
      </c>
      <c r="G4828" s="39" t="str">
        <f t="array" ref="G4828">IFNA(_xlfn.XLOOKUP(D4828,Table_Tarikan_Warkah[Nomor Tiket],Table_Tarikan_Warkah[Jenis Permohonan]),"")</f>
        <v>Peralihan Hak</v>
      </c>
      <c r="H4828" s="41" t="s">
        <v>2315</v>
      </c>
      <c r="I4828" s="49" t="s">
        <v>23</v>
      </c>
      <c r="J4828" s="36">
        <f t="shared" si="20"/>
        <v>46044.45516</v>
      </c>
      <c r="K4828" s="69"/>
      <c r="L4828" s="49"/>
      <c r="M4828" s="36" t="str">
        <f t="shared" si="33"/>
        <v/>
      </c>
      <c r="N4828" s="30" t="str">
        <f t="shared" si="34"/>
        <v>BT atau SU Belum Valid</v>
      </c>
      <c r="O4828" s="39" t="str">
        <f t="shared" si="23"/>
        <v/>
      </c>
      <c r="P4828" s="47" t="b">
        <v>0</v>
      </c>
      <c r="Q4828" s="36" t="str">
        <f t="shared" si="35"/>
        <v/>
      </c>
      <c r="R4828" s="47" t="b">
        <v>0</v>
      </c>
      <c r="S4828" s="42" t="str">
        <f t="shared" si="28"/>
        <v/>
      </c>
      <c r="T4828" s="42"/>
    </row>
    <row r="4829" ht="22.5" customHeight="1">
      <c r="B4829" s="42">
        <f t="shared" si="7"/>
        <v>4823</v>
      </c>
      <c r="C4829" s="31">
        <v>6636.0</v>
      </c>
      <c r="D4829" s="34" t="str">
        <f t="array" ref="D4829">IFNA(_xlfn.XLOOKUP(C4829,Table_Tarikan_Warkah[Nomor Sertipikat],Table_Tarikan_Warkah[Nomor Tiket]),"")</f>
        <v>Abcyiadj</v>
      </c>
      <c r="E4829" s="36" t="str">
        <f t="array" ref="E4829">IFNA(_xlfn.XLOOKUP(D4829,Table_Tarikan_Warkah[Nomor Tiket],Table_Tarikan_Warkah[Tanggal diserahkan kepada Validator]),"")</f>
        <v/>
      </c>
      <c r="F4829" s="36" t="str">
        <f t="array" ref="F4829">IFNA(_xlfn.XLOOKUP(D4829,Table_Tarikan_Warkah[Nomor Tiket],Table_Tarikan_Warkah[Nama Petugas Warkah]),"")</f>
        <v/>
      </c>
      <c r="G4829" s="39" t="str">
        <f t="array" ref="G4829">IFNA(_xlfn.XLOOKUP(D4829,Table_Tarikan_Warkah[Nomor Tiket],Table_Tarikan_Warkah[Jenis Permohonan]),"")</f>
        <v>Bn</v>
      </c>
      <c r="H4829" s="41" t="s">
        <v>2315</v>
      </c>
      <c r="I4829" s="49" t="s">
        <v>23</v>
      </c>
      <c r="J4829" s="36">
        <f t="shared" si="20"/>
        <v>46044.4577</v>
      </c>
      <c r="K4829" s="69"/>
      <c r="L4829" s="49"/>
      <c r="M4829" s="36" t="str">
        <f t="shared" si="33"/>
        <v/>
      </c>
      <c r="N4829" s="30" t="str">
        <f t="shared" si="34"/>
        <v>BT atau SU Belum Valid</v>
      </c>
      <c r="O4829" s="39" t="str">
        <f t="shared" si="23"/>
        <v/>
      </c>
      <c r="P4829" s="47" t="b">
        <v>0</v>
      </c>
      <c r="Q4829" s="36" t="str">
        <f t="shared" si="35"/>
        <v/>
      </c>
      <c r="R4829" s="47" t="b">
        <v>0</v>
      </c>
      <c r="S4829" s="42" t="str">
        <f t="shared" si="28"/>
        <v/>
      </c>
      <c r="T4829" s="42"/>
    </row>
    <row r="4830" ht="22.5" customHeight="1">
      <c r="B4830" s="42">
        <f t="shared" si="7"/>
        <v>4824</v>
      </c>
      <c r="C4830" s="31">
        <v>6645.0</v>
      </c>
      <c r="D4830" s="34" t="str">
        <f t="array" ref="D4830">IFNA(_xlfn.XLOOKUP(C4830,Table_Tarikan_Warkah[Nomor Sertipikat],Table_Tarikan_Warkah[Nomor Tiket]),"")</f>
        <v>Ablhveky</v>
      </c>
      <c r="E4830" s="36" t="str">
        <f t="array" ref="E4830">IFNA(_xlfn.XLOOKUP(D4830,Table_Tarikan_Warkah[Nomor Tiket],Table_Tarikan_Warkah[Tanggal diserahkan kepada Validator]),"")</f>
        <v/>
      </c>
      <c r="F4830" s="36" t="str">
        <f t="array" ref="F4830">IFNA(_xlfn.XLOOKUP(D4830,Table_Tarikan_Warkah[Nomor Tiket],Table_Tarikan_Warkah[Nama Petugas Warkah]),"")</f>
        <v/>
      </c>
      <c r="G4830" s="39" t="str">
        <f t="array" ref="G4830">IFNA(_xlfn.XLOOKUP(D4830,Table_Tarikan_Warkah[Nomor Tiket],Table_Tarikan_Warkah[Jenis Permohonan]),"")</f>
        <v>Bn</v>
      </c>
      <c r="H4830" s="41" t="s">
        <v>2315</v>
      </c>
      <c r="I4830" s="49" t="s">
        <v>23</v>
      </c>
      <c r="J4830" s="36">
        <f t="shared" si="20"/>
        <v>46044.46374</v>
      </c>
      <c r="K4830" s="69"/>
      <c r="L4830" s="49"/>
      <c r="M4830" s="36" t="str">
        <f t="shared" si="33"/>
        <v/>
      </c>
      <c r="N4830" s="30" t="str">
        <f t="shared" si="34"/>
        <v>BT atau SU Belum Valid</v>
      </c>
      <c r="O4830" s="39" t="str">
        <f t="shared" si="23"/>
        <v/>
      </c>
      <c r="P4830" s="47" t="b">
        <v>0</v>
      </c>
      <c r="Q4830" s="36" t="str">
        <f t="shared" si="35"/>
        <v/>
      </c>
      <c r="R4830" s="47" t="b">
        <v>0</v>
      </c>
      <c r="S4830" s="42" t="str">
        <f t="shared" si="28"/>
        <v/>
      </c>
      <c r="T4830" s="42"/>
    </row>
    <row r="4831" ht="22.5" customHeight="1">
      <c r="B4831" s="42">
        <f t="shared" si="7"/>
        <v>4825</v>
      </c>
      <c r="C4831" s="31" t="s">
        <v>4841</v>
      </c>
      <c r="D4831" s="34" t="str">
        <f t="array" ref="D4831">IFNA(_xlfn.XLOOKUP(C4831,Table_Tarikan_Warkah[Nomor Sertipikat],Table_Tarikan_Warkah[Nomor Tiket]),"")</f>
        <v>ABXWJBMO</v>
      </c>
      <c r="E4831" s="36" t="str">
        <f t="array" ref="E4831">IFNA(_xlfn.XLOOKUP(D4831,Table_Tarikan_Warkah[Nomor Tiket],Table_Tarikan_Warkah[Tanggal diserahkan kepada Validator]),"")</f>
        <v/>
      </c>
      <c r="F4831" s="36" t="str">
        <f t="array" ref="F4831">IFNA(_xlfn.XLOOKUP(D4831,Table_Tarikan_Warkah[Nomor Tiket],Table_Tarikan_Warkah[Nama Petugas Warkah]),"")</f>
        <v/>
      </c>
      <c r="G4831" s="39" t="str">
        <f t="array" ref="G4831">IFNA(_xlfn.XLOOKUP(D4831,Table_Tarikan_Warkah[Nomor Tiket],Table_Tarikan_Warkah[Jenis Permohonan]),"")</f>
        <v>Bn Jual Beli</v>
      </c>
      <c r="H4831" s="41" t="s">
        <v>2315</v>
      </c>
      <c r="I4831" s="49" t="s">
        <v>23</v>
      </c>
      <c r="J4831" s="36">
        <f t="shared" si="20"/>
        <v>46044.46375</v>
      </c>
      <c r="K4831" s="69"/>
      <c r="L4831" s="49"/>
      <c r="M4831" s="36" t="str">
        <f t="shared" si="33"/>
        <v/>
      </c>
      <c r="N4831" s="30" t="str">
        <f t="shared" si="34"/>
        <v>BT atau SU Belum Valid</v>
      </c>
      <c r="O4831" s="39" t="str">
        <f t="shared" si="23"/>
        <v/>
      </c>
      <c r="P4831" s="47" t="b">
        <v>0</v>
      </c>
      <c r="Q4831" s="36" t="str">
        <f t="shared" si="35"/>
        <v/>
      </c>
      <c r="R4831" s="47" t="b">
        <v>0</v>
      </c>
      <c r="S4831" s="42" t="str">
        <f t="shared" si="28"/>
        <v/>
      </c>
      <c r="T4831" s="42"/>
    </row>
    <row r="4832" ht="22.5" customHeight="1">
      <c r="B4832" s="42">
        <f t="shared" si="7"/>
        <v>4826</v>
      </c>
      <c r="C4832" s="31" t="s">
        <v>4842</v>
      </c>
      <c r="D4832" s="34" t="str">
        <f t="array" ref="D4832">IFNA(_xlfn.XLOOKUP(C4832,Table_Tarikan_Warkah[Nomor Sertipikat],Table_Tarikan_Warkah[Nomor Tiket]),"")</f>
        <v>AB088/ABYPMGQQ</v>
      </c>
      <c r="E4832" s="36" t="str">
        <f t="array" ref="E4832">IFNA(_xlfn.XLOOKUP(D4832,Table_Tarikan_Warkah[Nomor Tiket],Table_Tarikan_Warkah[Tanggal diserahkan kepada Validator]),"")</f>
        <v/>
      </c>
      <c r="F4832" s="36" t="str">
        <f t="array" ref="F4832">IFNA(_xlfn.XLOOKUP(D4832,Table_Tarikan_Warkah[Nomor Tiket],Table_Tarikan_Warkah[Nama Petugas Warkah]),"")</f>
        <v/>
      </c>
      <c r="G4832" s="39" t="str">
        <f t="array" ref="G4832">IFNA(_xlfn.XLOOKUP(D4832,Table_Tarikan_Warkah[Nomor Tiket],Table_Tarikan_Warkah[Jenis Permohonan]),"")</f>
        <v>Bn jual beli</v>
      </c>
      <c r="H4832" s="41" t="s">
        <v>2315</v>
      </c>
      <c r="I4832" s="49" t="s">
        <v>23</v>
      </c>
      <c r="J4832" s="36">
        <f t="shared" si="20"/>
        <v>46044.46376</v>
      </c>
      <c r="K4832" s="69"/>
      <c r="L4832" s="49"/>
      <c r="M4832" s="36" t="str">
        <f t="shared" si="33"/>
        <v/>
      </c>
      <c r="N4832" s="30" t="str">
        <f t="shared" si="34"/>
        <v>BT atau SU Belum Valid</v>
      </c>
      <c r="O4832" s="39" t="str">
        <f t="shared" si="23"/>
        <v/>
      </c>
      <c r="P4832" s="47" t="b">
        <v>0</v>
      </c>
      <c r="Q4832" s="36" t="str">
        <f t="shared" si="35"/>
        <v/>
      </c>
      <c r="R4832" s="47" t="b">
        <v>0</v>
      </c>
      <c r="S4832" s="42" t="str">
        <f t="shared" si="28"/>
        <v/>
      </c>
      <c r="T4832" s="42"/>
    </row>
    <row r="4833" ht="22.5" customHeight="1">
      <c r="B4833" s="42">
        <f t="shared" si="7"/>
        <v>4827</v>
      </c>
      <c r="C4833" s="31" t="s">
        <v>4843</v>
      </c>
      <c r="D4833" s="34" t="str">
        <f t="array" ref="D4833">IFNA(_xlfn.XLOOKUP(C4833,Table_Tarikan_Warkah[Nomor Sertipikat],Table_Tarikan_Warkah[Nomor Tiket]),"")</f>
        <v>ABYXVJAS</v>
      </c>
      <c r="E4833" s="36" t="str">
        <f t="array" ref="E4833">IFNA(_xlfn.XLOOKUP(D4833,Table_Tarikan_Warkah[Nomor Tiket],Table_Tarikan_Warkah[Tanggal diserahkan kepada Validator]),"")</f>
        <v/>
      </c>
      <c r="F4833" s="36" t="str">
        <f t="array" ref="F4833">IFNA(_xlfn.XLOOKUP(D4833,Table_Tarikan_Warkah[Nomor Tiket],Table_Tarikan_Warkah[Nama Petugas Warkah]),"")</f>
        <v/>
      </c>
      <c r="G4833" s="39" t="str">
        <f t="array" ref="G4833">IFNA(_xlfn.XLOOKUP(D4833,Table_Tarikan_Warkah[Nomor Tiket],Table_Tarikan_Warkah[Jenis Permohonan]),"")</f>
        <v>balik nama jual beli</v>
      </c>
      <c r="H4833" s="41" t="s">
        <v>2315</v>
      </c>
      <c r="I4833" s="49" t="s">
        <v>23</v>
      </c>
      <c r="J4833" s="36">
        <f t="shared" si="20"/>
        <v>46044.46378</v>
      </c>
      <c r="K4833" s="69"/>
      <c r="L4833" s="49"/>
      <c r="M4833" s="36" t="str">
        <f t="shared" si="33"/>
        <v/>
      </c>
      <c r="N4833" s="30" t="str">
        <f t="shared" si="34"/>
        <v>BT atau SU Belum Valid</v>
      </c>
      <c r="O4833" s="39" t="str">
        <f t="shared" si="23"/>
        <v/>
      </c>
      <c r="P4833" s="47" t="b">
        <v>0</v>
      </c>
      <c r="Q4833" s="36" t="str">
        <f t="shared" si="35"/>
        <v/>
      </c>
      <c r="R4833" s="47" t="b">
        <v>0</v>
      </c>
      <c r="S4833" s="42" t="str">
        <f t="shared" si="28"/>
        <v/>
      </c>
      <c r="T4833" s="42"/>
    </row>
    <row r="4834" ht="22.5" customHeight="1">
      <c r="B4834" s="42">
        <f t="shared" si="7"/>
        <v>4828</v>
      </c>
      <c r="C4834" s="31" t="s">
        <v>4844</v>
      </c>
      <c r="D4834" s="34" t="str">
        <f t="array" ref="D4834">IFNA(_xlfn.XLOOKUP(C4834,Table_Tarikan_Warkah[Nomor Sertipikat],Table_Tarikan_Warkah[Nomor Tiket]),"")</f>
        <v>AB078/ABEYNAJD</v>
      </c>
      <c r="E4834" s="36" t="str">
        <f t="array" ref="E4834">IFNA(_xlfn.XLOOKUP(D4834,Table_Tarikan_Warkah[Nomor Tiket],Table_Tarikan_Warkah[Tanggal diserahkan kepada Validator]),"")</f>
        <v/>
      </c>
      <c r="F4834" s="36" t="str">
        <f t="array" ref="F4834">IFNA(_xlfn.XLOOKUP(D4834,Table_Tarikan_Warkah[Nomor Tiket],Table_Tarikan_Warkah[Nama Petugas Warkah]),"")</f>
        <v/>
      </c>
      <c r="G4834" s="39" t="str">
        <f t="array" ref="G4834">IFNA(_xlfn.XLOOKUP(D4834,Table_Tarikan_Warkah[Nomor Tiket],Table_Tarikan_Warkah[Jenis Permohonan]),"")</f>
        <v>BN</v>
      </c>
      <c r="H4834" s="41" t="s">
        <v>2315</v>
      </c>
      <c r="I4834" s="49" t="s">
        <v>23</v>
      </c>
      <c r="J4834" s="36">
        <f t="shared" si="20"/>
        <v>46044.46379</v>
      </c>
      <c r="K4834" s="69"/>
      <c r="L4834" s="49"/>
      <c r="M4834" s="36" t="str">
        <f t="shared" si="33"/>
        <v/>
      </c>
      <c r="N4834" s="30" t="str">
        <f t="shared" si="34"/>
        <v>BT atau SU Belum Valid</v>
      </c>
      <c r="O4834" s="39" t="str">
        <f t="shared" si="23"/>
        <v/>
      </c>
      <c r="P4834" s="47" t="b">
        <v>0</v>
      </c>
      <c r="Q4834" s="36" t="str">
        <f t="shared" si="35"/>
        <v/>
      </c>
      <c r="R4834" s="47" t="b">
        <v>0</v>
      </c>
      <c r="S4834" s="42" t="str">
        <f t="shared" si="28"/>
        <v/>
      </c>
      <c r="T4834" s="42"/>
    </row>
    <row r="4835" ht="22.5" customHeight="1">
      <c r="B4835" s="42">
        <f t="shared" si="7"/>
        <v>4829</v>
      </c>
      <c r="C4835" s="31" t="s">
        <v>4845</v>
      </c>
      <c r="D4835" s="34" t="str">
        <f t="array" ref="D4835">IFNA(_xlfn.XLOOKUP(C4835,Table_Tarikan_Warkah[Nomor Sertipikat],Table_Tarikan_Warkah[Nomor Tiket]),"")</f>
        <v>K/21/120625/1</v>
      </c>
      <c r="E4835" s="36" t="str">
        <f t="array" ref="E4835">IFNA(_xlfn.XLOOKUP(D4835,Table_Tarikan_Warkah[Nomor Tiket],Table_Tarikan_Warkah[Tanggal diserahkan kepada Validator]),"")</f>
        <v/>
      </c>
      <c r="F4835" s="36" t="str">
        <f t="array" ref="F4835">IFNA(_xlfn.XLOOKUP(D4835,Table_Tarikan_Warkah[Nomor Tiket],Table_Tarikan_Warkah[Nama Petugas Warkah]),"")</f>
        <v/>
      </c>
      <c r="G4835" s="39" t="str">
        <f t="array" ref="G4835">IFNA(_xlfn.XLOOKUP(D4835,Table_Tarikan_Warkah[Nomor Tiket],Table_Tarikan_Warkah[Jenis Permohonan]),"")</f>
        <v>BN JUAL BELI</v>
      </c>
      <c r="H4835" s="41" t="s">
        <v>2315</v>
      </c>
      <c r="I4835" s="49" t="s">
        <v>23</v>
      </c>
      <c r="J4835" s="36">
        <f t="shared" si="20"/>
        <v>46048.43233</v>
      </c>
      <c r="K4835" s="69"/>
      <c r="L4835" s="49"/>
      <c r="M4835" s="36" t="str">
        <f t="shared" si="33"/>
        <v/>
      </c>
      <c r="N4835" s="30" t="str">
        <f t="shared" si="34"/>
        <v>BT atau SU Belum Valid</v>
      </c>
      <c r="O4835" s="39" t="str">
        <f t="shared" si="23"/>
        <v/>
      </c>
      <c r="P4835" s="47" t="b">
        <v>0</v>
      </c>
      <c r="Q4835" s="36" t="str">
        <f t="shared" si="35"/>
        <v/>
      </c>
      <c r="R4835" s="47" t="b">
        <v>0</v>
      </c>
      <c r="S4835" s="42" t="str">
        <f t="shared" si="28"/>
        <v/>
      </c>
      <c r="T4835" s="42"/>
    </row>
    <row r="4836" ht="22.5" customHeight="1">
      <c r="B4836" s="42">
        <f t="shared" si="7"/>
        <v>4830</v>
      </c>
      <c r="C4836" s="31" t="s">
        <v>4846</v>
      </c>
      <c r="D4836" s="34" t="str">
        <f t="array" ref="D4836">IFNA(_xlfn.XLOOKUP(C4836,Table_Tarikan_Warkah[Nomor Sertipikat],Table_Tarikan_Warkah[Nomor Tiket]),"")</f>
        <v>L/14/101125/1</v>
      </c>
      <c r="E4836" s="36" t="str">
        <f t="array" ref="E4836">IFNA(_xlfn.XLOOKUP(D4836,Table_Tarikan_Warkah[Nomor Tiket],Table_Tarikan_Warkah[Tanggal diserahkan kepada Validator]),"")</f>
        <v/>
      </c>
      <c r="F4836" s="36" t="str">
        <f t="array" ref="F4836">IFNA(_xlfn.XLOOKUP(D4836,Table_Tarikan_Warkah[Nomor Tiket],Table_Tarikan_Warkah[Nama Petugas Warkah]),"")</f>
        <v/>
      </c>
      <c r="G4836" s="39" t="str">
        <f t="array" ref="G4836">IFNA(_xlfn.XLOOKUP(D4836,Table_Tarikan_Warkah[Nomor Tiket],Table_Tarikan_Warkah[Jenis Permohonan]),"")</f>
        <v>BN JUAL BELI</v>
      </c>
      <c r="H4836" s="41" t="s">
        <v>2315</v>
      </c>
      <c r="I4836" s="49" t="s">
        <v>23</v>
      </c>
      <c r="J4836" s="36">
        <f t="shared" si="20"/>
        <v>46048.43397</v>
      </c>
      <c r="K4836" s="69"/>
      <c r="L4836" s="49"/>
      <c r="M4836" s="36" t="str">
        <f t="shared" si="33"/>
        <v/>
      </c>
      <c r="N4836" s="30" t="str">
        <f t="shared" si="34"/>
        <v>BT atau SU Belum Valid</v>
      </c>
      <c r="O4836" s="39" t="str">
        <f t="shared" si="23"/>
        <v/>
      </c>
      <c r="P4836" s="47" t="b">
        <v>0</v>
      </c>
      <c r="Q4836" s="36" t="str">
        <f t="shared" si="35"/>
        <v/>
      </c>
      <c r="R4836" s="47" t="b">
        <v>0</v>
      </c>
      <c r="S4836" s="42" t="str">
        <f t="shared" si="28"/>
        <v/>
      </c>
      <c r="T4836" s="42"/>
    </row>
    <row r="4837" ht="22.5" customHeight="1">
      <c r="B4837" s="42">
        <f t="shared" si="7"/>
        <v>4831</v>
      </c>
      <c r="C4837" s="31" t="s">
        <v>4647</v>
      </c>
      <c r="D4837" s="34" t="str">
        <f t="array" ref="D4837">IFNA(_xlfn.XLOOKUP(C4837,Table_Tarikan_Warkah[Nomor Sertipikat],Table_Tarikan_Warkah[Nomor Tiket]),"")</f>
        <v>ABRLLZBS</v>
      </c>
      <c r="E4837" s="36" t="str">
        <f t="array" ref="E4837">IFNA(_xlfn.XLOOKUP(D4837,Table_Tarikan_Warkah[Nomor Tiket],Table_Tarikan_Warkah[Tanggal diserahkan kepada Validator]),"")</f>
        <v/>
      </c>
      <c r="F4837" s="36" t="str">
        <f t="array" ref="F4837">IFNA(_xlfn.XLOOKUP(D4837,Table_Tarikan_Warkah[Nomor Tiket],Table_Tarikan_Warkah[Nama Petugas Warkah]),"")</f>
        <v/>
      </c>
      <c r="G4837" s="39" t="str">
        <f t="array" ref="G4837">IFNA(_xlfn.XLOOKUP(D4837,Table_Tarikan_Warkah[Nomor Tiket],Table_Tarikan_Warkah[Jenis Permohonan]),"")</f>
        <v>Turun Waris</v>
      </c>
      <c r="H4837" s="41" t="s">
        <v>2315</v>
      </c>
      <c r="I4837" s="49" t="s">
        <v>23</v>
      </c>
      <c r="J4837" s="36">
        <f t="shared" si="20"/>
        <v>46049.46592</v>
      </c>
      <c r="K4837" s="69"/>
      <c r="L4837" s="49"/>
      <c r="M4837" s="36" t="str">
        <f t="shared" si="33"/>
        <v/>
      </c>
      <c r="N4837" s="30" t="str">
        <f t="shared" si="34"/>
        <v>BT atau SU Belum Valid</v>
      </c>
      <c r="O4837" s="39" t="str">
        <f t="shared" si="23"/>
        <v/>
      </c>
      <c r="P4837" s="47" t="b">
        <v>0</v>
      </c>
      <c r="Q4837" s="36" t="str">
        <f t="shared" si="35"/>
        <v/>
      </c>
      <c r="R4837" s="47" t="b">
        <v>0</v>
      </c>
      <c r="S4837" s="42" t="str">
        <f t="shared" si="28"/>
        <v/>
      </c>
      <c r="T4837" s="42"/>
    </row>
    <row r="4838" ht="22.5" customHeight="1">
      <c r="B4838" s="42">
        <f t="shared" si="7"/>
        <v>4832</v>
      </c>
      <c r="C4838" s="31" t="s">
        <v>4847</v>
      </c>
      <c r="D4838" s="34" t="str">
        <f t="array" ref="D4838">IFNA(_xlfn.XLOOKUP(C4838,Table_Tarikan_Warkah[Nomor Sertipikat],Table_Tarikan_Warkah[Nomor Tiket]),"")</f>
        <v>ABXBCZQH</v>
      </c>
      <c r="E4838" s="36" t="str">
        <f t="array" ref="E4838">IFNA(_xlfn.XLOOKUP(D4838,Table_Tarikan_Warkah[Nomor Tiket],Table_Tarikan_Warkah[Tanggal diserahkan kepada Validator]),"")</f>
        <v/>
      </c>
      <c r="F4838" s="36" t="str">
        <f t="array" ref="F4838">IFNA(_xlfn.XLOOKUP(D4838,Table_Tarikan_Warkah[Nomor Tiket],Table_Tarikan_Warkah[Nama Petugas Warkah]),"")</f>
        <v/>
      </c>
      <c r="G4838" s="39" t="str">
        <f t="array" ref="G4838">IFNA(_xlfn.XLOOKUP(D4838,Table_Tarikan_Warkah[Nomor Tiket],Table_Tarikan_Warkah[Jenis Permohonan]),"")</f>
        <v>BALIK NAMA JUAL BELI</v>
      </c>
      <c r="H4838" s="41" t="s">
        <v>2315</v>
      </c>
      <c r="I4838" s="49" t="s">
        <v>23</v>
      </c>
      <c r="J4838" s="36">
        <f t="shared" si="20"/>
        <v>46049.46725</v>
      </c>
      <c r="K4838" s="69"/>
      <c r="L4838" s="49"/>
      <c r="M4838" s="36" t="str">
        <f t="shared" si="33"/>
        <v/>
      </c>
      <c r="N4838" s="30" t="str">
        <f t="shared" si="34"/>
        <v>BT atau SU Belum Valid</v>
      </c>
      <c r="O4838" s="39" t="str">
        <f t="shared" si="23"/>
        <v/>
      </c>
      <c r="P4838" s="47" t="b">
        <v>0</v>
      </c>
      <c r="Q4838" s="36" t="str">
        <f t="shared" si="35"/>
        <v/>
      </c>
      <c r="R4838" s="47" t="b">
        <v>0</v>
      </c>
      <c r="S4838" s="42" t="str">
        <f t="shared" si="28"/>
        <v/>
      </c>
      <c r="T4838" s="42"/>
    </row>
    <row r="4839" ht="22.5" customHeight="1">
      <c r="B4839" s="42">
        <f t="shared" si="7"/>
        <v>4833</v>
      </c>
      <c r="C4839" s="31" t="s">
        <v>4848</v>
      </c>
      <c r="D4839" s="34" t="str">
        <f t="array" ref="D4839">IFNA(_xlfn.XLOOKUP(C4839,Table_Tarikan_Warkah[Nomor Sertipikat],Table_Tarikan_Warkah[Nomor Tiket]),"")</f>
        <v>ABUOTLDF</v>
      </c>
      <c r="E4839" s="36" t="str">
        <f t="array" ref="E4839">IFNA(_xlfn.XLOOKUP(D4839,Table_Tarikan_Warkah[Nomor Tiket],Table_Tarikan_Warkah[Tanggal diserahkan kepada Validator]),"")</f>
        <v/>
      </c>
      <c r="F4839" s="36" t="str">
        <f t="array" ref="F4839">IFNA(_xlfn.XLOOKUP(D4839,Table_Tarikan_Warkah[Nomor Tiket],Table_Tarikan_Warkah[Nama Petugas Warkah]),"")</f>
        <v/>
      </c>
      <c r="G4839" s="39" t="str">
        <f t="array" ref="G4839">IFNA(_xlfn.XLOOKUP(D4839,Table_Tarikan_Warkah[Nomor Tiket],Table_Tarikan_Warkah[Jenis Permohonan]),"")</f>
        <v>BALIK NAMA JUAL BELI</v>
      </c>
      <c r="H4839" s="41" t="s">
        <v>2315</v>
      </c>
      <c r="I4839" s="49" t="s">
        <v>23</v>
      </c>
      <c r="J4839" s="36">
        <f t="shared" si="20"/>
        <v>46049.46741</v>
      </c>
      <c r="K4839" s="69"/>
      <c r="L4839" s="49"/>
      <c r="M4839" s="36" t="str">
        <f t="shared" si="33"/>
        <v/>
      </c>
      <c r="N4839" s="30" t="str">
        <f t="shared" si="34"/>
        <v>BT atau SU Belum Valid</v>
      </c>
      <c r="O4839" s="39" t="str">
        <f t="shared" si="23"/>
        <v/>
      </c>
      <c r="P4839" s="47" t="b">
        <v>0</v>
      </c>
      <c r="Q4839" s="36" t="str">
        <f t="shared" si="35"/>
        <v/>
      </c>
      <c r="R4839" s="47" t="b">
        <v>0</v>
      </c>
      <c r="S4839" s="42" t="str">
        <f t="shared" si="28"/>
        <v/>
      </c>
      <c r="T4839" s="42"/>
    </row>
    <row r="4840" ht="22.5" customHeight="1">
      <c r="B4840" s="42">
        <f t="shared" si="7"/>
        <v>4834</v>
      </c>
      <c r="C4840" s="31" t="s">
        <v>4849</v>
      </c>
      <c r="D4840" s="34" t="str">
        <f t="array" ref="D4840">IFNA(_xlfn.XLOOKUP(C4840,Table_Tarikan_Warkah[Nomor Sertipikat],Table_Tarikan_Warkah[Nomor Tiket]),"")</f>
        <v>K/2/281025/1</v>
      </c>
      <c r="E4840" s="36" t="str">
        <f t="array" ref="E4840">IFNA(_xlfn.XLOOKUP(D4840,Table_Tarikan_Warkah[Nomor Tiket],Table_Tarikan_Warkah[Tanggal diserahkan kepada Validator]),"")</f>
        <v/>
      </c>
      <c r="F4840" s="36" t="str">
        <f t="array" ref="F4840">IFNA(_xlfn.XLOOKUP(D4840,Table_Tarikan_Warkah[Nomor Tiket],Table_Tarikan_Warkah[Nama Petugas Warkah]),"")</f>
        <v/>
      </c>
      <c r="G4840" s="39" t="str">
        <f t="array" ref="G4840">IFNA(_xlfn.XLOOKUP(D4840,Table_Tarikan_Warkah[Nomor Tiket],Table_Tarikan_Warkah[Jenis Permohonan]),"")</f>
        <v>BN JUAL BELI</v>
      </c>
      <c r="H4840" s="41" t="s">
        <v>2315</v>
      </c>
      <c r="I4840" s="49" t="s">
        <v>23</v>
      </c>
      <c r="J4840" s="36">
        <f t="shared" si="20"/>
        <v>46050.33001</v>
      </c>
      <c r="K4840" s="69"/>
      <c r="L4840" s="49"/>
      <c r="M4840" s="36" t="str">
        <f t="shared" si="33"/>
        <v/>
      </c>
      <c r="N4840" s="30" t="str">
        <f t="shared" si="34"/>
        <v>BT atau SU Belum Valid</v>
      </c>
      <c r="O4840" s="39" t="str">
        <f t="shared" si="23"/>
        <v/>
      </c>
      <c r="P4840" s="47" t="b">
        <v>0</v>
      </c>
      <c r="Q4840" s="36" t="str">
        <f t="shared" si="35"/>
        <v/>
      </c>
      <c r="R4840" s="47" t="b">
        <v>0</v>
      </c>
      <c r="S4840" s="42" t="str">
        <f t="shared" si="28"/>
        <v/>
      </c>
      <c r="T4840" s="42"/>
    </row>
    <row r="4841" ht="22.5" customHeight="1">
      <c r="B4841" s="42">
        <f t="shared" si="7"/>
        <v>4835</v>
      </c>
      <c r="C4841" s="31" t="s">
        <v>4850</v>
      </c>
      <c r="D4841" s="34" t="str">
        <f t="array" ref="D4841">IFNA(_xlfn.XLOOKUP(C4841,Table_Tarikan_Warkah[Nomor Sertipikat],Table_Tarikan_Warkah[Nomor Tiket]),"")</f>
        <v>ABPDDVFA</v>
      </c>
      <c r="E4841" s="36" t="str">
        <f t="array" ref="E4841">IFNA(_xlfn.XLOOKUP(D4841,Table_Tarikan_Warkah[Nomor Tiket],Table_Tarikan_Warkah[Tanggal diserahkan kepada Validator]),"")</f>
        <v/>
      </c>
      <c r="F4841" s="36" t="str">
        <f t="array" ref="F4841">IFNA(_xlfn.XLOOKUP(D4841,Table_Tarikan_Warkah[Nomor Tiket],Table_Tarikan_Warkah[Nama Petugas Warkah]),"")</f>
        <v/>
      </c>
      <c r="G4841" s="39" t="str">
        <f t="array" ref="G4841">IFNA(_xlfn.XLOOKUP(D4841,Table_Tarikan_Warkah[Nomor Tiket],Table_Tarikan_Warkah[Jenis Permohonan]),"")</f>
        <v>Jual Beli</v>
      </c>
      <c r="H4841" s="41" t="s">
        <v>2315</v>
      </c>
      <c r="I4841" s="49" t="s">
        <v>23</v>
      </c>
      <c r="J4841" s="36">
        <f t="shared" si="20"/>
        <v>46052.43184</v>
      </c>
      <c r="K4841" s="69"/>
      <c r="L4841" s="49"/>
      <c r="M4841" s="36" t="str">
        <f t="shared" si="33"/>
        <v/>
      </c>
      <c r="N4841" s="30" t="str">
        <f t="shared" si="34"/>
        <v>BT atau SU Belum Valid</v>
      </c>
      <c r="O4841" s="39" t="str">
        <f t="shared" si="23"/>
        <v/>
      </c>
      <c r="P4841" s="47" t="b">
        <v>0</v>
      </c>
      <c r="Q4841" s="36" t="str">
        <f t="shared" si="35"/>
        <v/>
      </c>
      <c r="R4841" s="47" t="b">
        <v>0</v>
      </c>
      <c r="S4841" s="42" t="str">
        <f t="shared" si="28"/>
        <v/>
      </c>
      <c r="T4841" s="42"/>
    </row>
    <row r="4842" ht="22.5" customHeight="1">
      <c r="B4842" s="42">
        <f t="shared" si="7"/>
        <v>4836</v>
      </c>
      <c r="C4842" s="31" t="s">
        <v>4851</v>
      </c>
      <c r="D4842" s="34" t="str">
        <f t="array" ref="D4842">IFNA(_xlfn.XLOOKUP(C4842,Table_Tarikan_Warkah[Nomor Sertipikat],Table_Tarikan_Warkah[Nomor Tiket]),"")</f>
        <v>AB047 /ABTHEEXE</v>
      </c>
      <c r="E4842" s="36" t="str">
        <f t="array" ref="E4842">IFNA(_xlfn.XLOOKUP(D4842,Table_Tarikan_Warkah[Nomor Tiket],Table_Tarikan_Warkah[Tanggal diserahkan kepada Validator]),"")</f>
        <v/>
      </c>
      <c r="F4842" s="36" t="str">
        <f t="array" ref="F4842">IFNA(_xlfn.XLOOKUP(D4842,Table_Tarikan_Warkah[Nomor Tiket],Table_Tarikan_Warkah[Nama Petugas Warkah]),"")</f>
        <v/>
      </c>
      <c r="G4842" s="39" t="str">
        <f t="array" ref="G4842">IFNA(_xlfn.XLOOKUP(D4842,Table_Tarikan_Warkah[Nomor Tiket],Table_Tarikan_Warkah[Jenis Permohonan]),"")</f>
        <v>Ajb</v>
      </c>
      <c r="H4842" s="41" t="s">
        <v>2315</v>
      </c>
      <c r="I4842" s="49" t="s">
        <v>23</v>
      </c>
      <c r="J4842" s="36">
        <f t="shared" si="20"/>
        <v>46052.43224</v>
      </c>
      <c r="K4842" s="69"/>
      <c r="L4842" s="49"/>
      <c r="M4842" s="36" t="str">
        <f t="shared" si="33"/>
        <v/>
      </c>
      <c r="N4842" s="30" t="str">
        <f t="shared" si="34"/>
        <v>BT atau SU Belum Valid</v>
      </c>
      <c r="O4842" s="39" t="str">
        <f t="shared" si="23"/>
        <v/>
      </c>
      <c r="P4842" s="47" t="b">
        <v>0</v>
      </c>
      <c r="Q4842" s="36" t="str">
        <f t="shared" si="35"/>
        <v/>
      </c>
      <c r="R4842" s="47" t="b">
        <v>0</v>
      </c>
      <c r="S4842" s="42" t="str">
        <f t="shared" si="28"/>
        <v/>
      </c>
      <c r="T4842" s="42"/>
    </row>
    <row r="4843" ht="22.5" customHeight="1">
      <c r="B4843" s="42">
        <f t="shared" si="7"/>
        <v>4837</v>
      </c>
      <c r="C4843" s="31" t="s">
        <v>4852</v>
      </c>
      <c r="D4843" s="34" t="str">
        <f t="array" ref="D4843">IFNA(_xlfn.XLOOKUP(C4843,Table_Tarikan_Warkah[Nomor Sertipikat],Table_Tarikan_Warkah[Nomor Tiket]),"")</f>
        <v>AB042/ABXSTSAU</v>
      </c>
      <c r="E4843" s="36" t="str">
        <f t="array" ref="E4843">IFNA(_xlfn.XLOOKUP(D4843,Table_Tarikan_Warkah[Nomor Tiket],Table_Tarikan_Warkah[Tanggal diserahkan kepada Validator]),"")</f>
        <v/>
      </c>
      <c r="F4843" s="36" t="str">
        <f t="array" ref="F4843">IFNA(_xlfn.XLOOKUP(D4843,Table_Tarikan_Warkah[Nomor Tiket],Table_Tarikan_Warkah[Nama Petugas Warkah]),"")</f>
        <v/>
      </c>
      <c r="G4843" s="39" t="str">
        <f t="array" ref="G4843">IFNA(_xlfn.XLOOKUP(D4843,Table_Tarikan_Warkah[Nomor Tiket],Table_Tarikan_Warkah[Jenis Permohonan]),"")</f>
        <v>Balik nama jul beli</v>
      </c>
      <c r="H4843" s="41" t="s">
        <v>2315</v>
      </c>
      <c r="I4843" s="49" t="s">
        <v>23</v>
      </c>
      <c r="J4843" s="36">
        <f t="shared" si="20"/>
        <v>46052.43251</v>
      </c>
      <c r="K4843" s="69"/>
      <c r="L4843" s="49"/>
      <c r="M4843" s="36" t="str">
        <f t="shared" si="33"/>
        <v/>
      </c>
      <c r="N4843" s="30" t="str">
        <f t="shared" si="34"/>
        <v>BT atau SU Belum Valid</v>
      </c>
      <c r="O4843" s="39" t="str">
        <f t="shared" si="23"/>
        <v/>
      </c>
      <c r="P4843" s="47" t="b">
        <v>0</v>
      </c>
      <c r="Q4843" s="36" t="str">
        <f t="shared" si="35"/>
        <v/>
      </c>
      <c r="R4843" s="47" t="b">
        <v>0</v>
      </c>
      <c r="S4843" s="42" t="str">
        <f t="shared" si="28"/>
        <v/>
      </c>
      <c r="T4843" s="42"/>
    </row>
    <row r="4844" ht="22.5" customHeight="1">
      <c r="B4844" s="42">
        <f t="shared" si="7"/>
        <v>4838</v>
      </c>
      <c r="C4844" s="31" t="s">
        <v>4853</v>
      </c>
      <c r="D4844" s="34" t="str">
        <f t="array" ref="D4844">IFNA(_xlfn.XLOOKUP(C4844,Table_Tarikan_Warkah[Nomor Sertipikat],Table_Tarikan_Warkah[Nomor Tiket]),"")</f>
        <v>ABOKUTKV/AB025</v>
      </c>
      <c r="E4844" s="36" t="str">
        <f t="array" ref="E4844">IFNA(_xlfn.XLOOKUP(D4844,Table_Tarikan_Warkah[Nomor Tiket],Table_Tarikan_Warkah[Tanggal diserahkan kepada Validator]),"")</f>
        <v/>
      </c>
      <c r="F4844" s="36" t="str">
        <f t="array" ref="F4844">IFNA(_xlfn.XLOOKUP(D4844,Table_Tarikan_Warkah[Nomor Tiket],Table_Tarikan_Warkah[Nama Petugas Warkah]),"")</f>
        <v/>
      </c>
      <c r="G4844" s="39" t="str">
        <f t="array" ref="G4844">IFNA(_xlfn.XLOOKUP(D4844,Table_Tarikan_Warkah[Nomor Tiket],Table_Tarikan_Warkah[Jenis Permohonan]),"")</f>
        <v>BN jual beli </v>
      </c>
      <c r="H4844" s="41" t="s">
        <v>2315</v>
      </c>
      <c r="I4844" s="49" t="s">
        <v>23</v>
      </c>
      <c r="J4844" s="36">
        <f t="shared" si="20"/>
        <v>46052.43407</v>
      </c>
      <c r="K4844" s="69"/>
      <c r="L4844" s="49"/>
      <c r="M4844" s="36" t="str">
        <f t="shared" si="33"/>
        <v/>
      </c>
      <c r="N4844" s="30" t="str">
        <f t="shared" si="34"/>
        <v>BT atau SU Belum Valid</v>
      </c>
      <c r="O4844" s="39" t="str">
        <f t="shared" si="23"/>
        <v/>
      </c>
      <c r="P4844" s="47" t="b">
        <v>0</v>
      </c>
      <c r="Q4844" s="36" t="str">
        <f t="shared" si="35"/>
        <v/>
      </c>
      <c r="R4844" s="47" t="b">
        <v>0</v>
      </c>
      <c r="S4844" s="42" t="str">
        <f t="shared" si="28"/>
        <v/>
      </c>
      <c r="T4844" s="42"/>
    </row>
    <row r="4845" ht="22.5" customHeight="1">
      <c r="B4845" s="42">
        <f t="shared" si="7"/>
        <v>4839</v>
      </c>
      <c r="C4845" s="31" t="s">
        <v>4854</v>
      </c>
      <c r="D4845" s="34" t="str">
        <f t="array" ref="D4845">IFNA(_xlfn.XLOOKUP(C4845,Table_Tarikan_Warkah[Nomor Sertipikat],Table_Tarikan_Warkah[Nomor Tiket]),"")</f>
        <v>AB026/ABOWFLHK</v>
      </c>
      <c r="E4845" s="36" t="str">
        <f t="array" ref="E4845">IFNA(_xlfn.XLOOKUP(D4845,Table_Tarikan_Warkah[Nomor Tiket],Table_Tarikan_Warkah[Tanggal diserahkan kepada Validator]),"")</f>
        <v/>
      </c>
      <c r="F4845" s="36" t="str">
        <f t="array" ref="F4845">IFNA(_xlfn.XLOOKUP(D4845,Table_Tarikan_Warkah[Nomor Tiket],Table_Tarikan_Warkah[Nama Petugas Warkah]),"")</f>
        <v/>
      </c>
      <c r="G4845" s="39" t="str">
        <f t="array" ref="G4845">IFNA(_xlfn.XLOOKUP(D4845,Table_Tarikan_Warkah[Nomor Tiket],Table_Tarikan_Warkah[Jenis Permohonan]),"")</f>
        <v>balik nama</v>
      </c>
      <c r="H4845" s="41" t="s">
        <v>2315</v>
      </c>
      <c r="I4845" s="49" t="s">
        <v>23</v>
      </c>
      <c r="J4845" s="36">
        <f t="shared" si="20"/>
        <v>46052.43489</v>
      </c>
      <c r="K4845" s="69"/>
      <c r="L4845" s="49"/>
      <c r="M4845" s="36" t="str">
        <f t="shared" si="33"/>
        <v/>
      </c>
      <c r="N4845" s="30" t="str">
        <f t="shared" si="34"/>
        <v>BT atau SU Belum Valid</v>
      </c>
      <c r="O4845" s="39" t="str">
        <f t="shared" si="23"/>
        <v/>
      </c>
      <c r="P4845" s="47" t="b">
        <v>0</v>
      </c>
      <c r="Q4845" s="36" t="str">
        <f t="shared" si="35"/>
        <v/>
      </c>
      <c r="R4845" s="47" t="b">
        <v>0</v>
      </c>
      <c r="S4845" s="42" t="str">
        <f t="shared" si="28"/>
        <v/>
      </c>
      <c r="T4845" s="42"/>
    </row>
    <row r="4846" ht="22.5" customHeight="1">
      <c r="B4846" s="42">
        <f t="shared" si="7"/>
        <v>4840</v>
      </c>
      <c r="C4846" s="31" t="s">
        <v>4855</v>
      </c>
      <c r="D4846" s="34" t="str">
        <f t="array" ref="D4846">IFNA(_xlfn.XLOOKUP(C4846,Table_Tarikan_Warkah[Nomor Sertipikat],Table_Tarikan_Warkah[Nomor Tiket]),"")</f>
        <v>ABUETDGN</v>
      </c>
      <c r="E4846" s="36" t="str">
        <f t="array" ref="E4846">IFNA(_xlfn.XLOOKUP(D4846,Table_Tarikan_Warkah[Nomor Tiket],Table_Tarikan_Warkah[Tanggal diserahkan kepada Validator]),"")</f>
        <v/>
      </c>
      <c r="F4846" s="36" t="str">
        <f t="array" ref="F4846">IFNA(_xlfn.XLOOKUP(D4846,Table_Tarikan_Warkah[Nomor Tiket],Table_Tarikan_Warkah[Nama Petugas Warkah]),"")</f>
        <v/>
      </c>
      <c r="G4846" s="39" t="str">
        <f t="array" ref="G4846">IFNA(_xlfn.XLOOKUP(D4846,Table_Tarikan_Warkah[Nomor Tiket],Table_Tarikan_Warkah[Jenis Permohonan]),"")</f>
        <v>BN Jual Beli</v>
      </c>
      <c r="H4846" s="41" t="s">
        <v>2315</v>
      </c>
      <c r="I4846" s="49" t="s">
        <v>23</v>
      </c>
      <c r="J4846" s="36">
        <f t="shared" si="20"/>
        <v>46052.43511</v>
      </c>
      <c r="K4846" s="69"/>
      <c r="L4846" s="49"/>
      <c r="M4846" s="36" t="str">
        <f t="shared" si="33"/>
        <v/>
      </c>
      <c r="N4846" s="30" t="str">
        <f t="shared" si="34"/>
        <v>BT atau SU Belum Valid</v>
      </c>
      <c r="O4846" s="39" t="str">
        <f t="shared" si="23"/>
        <v/>
      </c>
      <c r="P4846" s="47" t="b">
        <v>0</v>
      </c>
      <c r="Q4846" s="36" t="str">
        <f t="shared" si="35"/>
        <v/>
      </c>
      <c r="R4846" s="47" t="b">
        <v>0</v>
      </c>
      <c r="S4846" s="42" t="str">
        <f t="shared" si="28"/>
        <v/>
      </c>
      <c r="T4846" s="42"/>
    </row>
    <row r="4847" ht="22.5" customHeight="1">
      <c r="B4847" s="42">
        <f t="shared" si="7"/>
        <v>4841</v>
      </c>
      <c r="C4847" s="31" t="s">
        <v>4856</v>
      </c>
      <c r="D4847" s="34" t="str">
        <f t="array" ref="D4847">IFNA(_xlfn.XLOOKUP(C4847,Table_Tarikan_Warkah[Nomor Sertipikat],Table_Tarikan_Warkah[Nomor Tiket]),"")</f>
        <v>AB032/ABPPFEEA</v>
      </c>
      <c r="E4847" s="36" t="str">
        <f t="array" ref="E4847">IFNA(_xlfn.XLOOKUP(D4847,Table_Tarikan_Warkah[Nomor Tiket],Table_Tarikan_Warkah[Tanggal diserahkan kepada Validator]),"")</f>
        <v/>
      </c>
      <c r="F4847" s="36" t="str">
        <f t="array" ref="F4847">IFNA(_xlfn.XLOOKUP(D4847,Table_Tarikan_Warkah[Nomor Tiket],Table_Tarikan_Warkah[Nama Petugas Warkah]),"")</f>
        <v/>
      </c>
      <c r="G4847" s="39" t="str">
        <f t="array" ref="G4847">IFNA(_xlfn.XLOOKUP(D4847,Table_Tarikan_Warkah[Nomor Tiket],Table_Tarikan_Warkah[Jenis Permohonan]),"")</f>
        <v>Balik nama</v>
      </c>
      <c r="H4847" s="41" t="s">
        <v>2315</v>
      </c>
      <c r="I4847" s="49" t="s">
        <v>23</v>
      </c>
      <c r="J4847" s="36">
        <f t="shared" si="20"/>
        <v>46052.43546</v>
      </c>
      <c r="K4847" s="69"/>
      <c r="L4847" s="49"/>
      <c r="M4847" s="36" t="str">
        <f t="shared" si="33"/>
        <v/>
      </c>
      <c r="N4847" s="30" t="str">
        <f t="shared" si="34"/>
        <v>BT atau SU Belum Valid</v>
      </c>
      <c r="O4847" s="39" t="str">
        <f t="shared" si="23"/>
        <v/>
      </c>
      <c r="P4847" s="47" t="b">
        <v>0</v>
      </c>
      <c r="Q4847" s="36" t="str">
        <f t="shared" si="35"/>
        <v/>
      </c>
      <c r="R4847" s="47" t="b">
        <v>0</v>
      </c>
      <c r="S4847" s="42" t="str">
        <f t="shared" si="28"/>
        <v/>
      </c>
      <c r="T4847" s="42"/>
    </row>
    <row r="4848" ht="22.5" customHeight="1">
      <c r="B4848" s="42">
        <f t="shared" si="7"/>
        <v>4842</v>
      </c>
      <c r="C4848" s="31" t="s">
        <v>4857</v>
      </c>
      <c r="D4848" s="34" t="str">
        <f t="array" ref="D4848">IFNA(_xlfn.XLOOKUP(C4848,Table_Tarikan_Warkah[Nomor Sertipikat],Table_Tarikan_Warkah[Nomor Tiket]),"")</f>
        <v>AB029/ABQIFVOB</v>
      </c>
      <c r="E4848" s="36" t="str">
        <f t="array" ref="E4848">IFNA(_xlfn.XLOOKUP(D4848,Table_Tarikan_Warkah[Nomor Tiket],Table_Tarikan_Warkah[Tanggal diserahkan kepada Validator]),"")</f>
        <v/>
      </c>
      <c r="F4848" s="36" t="str">
        <f t="array" ref="F4848">IFNA(_xlfn.XLOOKUP(D4848,Table_Tarikan_Warkah[Nomor Tiket],Table_Tarikan_Warkah[Nama Petugas Warkah]),"")</f>
        <v/>
      </c>
      <c r="G4848" s="39" t="str">
        <f t="array" ref="G4848">IFNA(_xlfn.XLOOKUP(D4848,Table_Tarikan_Warkah[Nomor Tiket],Table_Tarikan_Warkah[Jenis Permohonan]),"")</f>
        <v>Balik Nama</v>
      </c>
      <c r="H4848" s="41" t="s">
        <v>2315</v>
      </c>
      <c r="I4848" s="49" t="s">
        <v>23</v>
      </c>
      <c r="J4848" s="36">
        <f t="shared" si="20"/>
        <v>46052.43894</v>
      </c>
      <c r="K4848" s="69"/>
      <c r="L4848" s="49"/>
      <c r="M4848" s="36" t="str">
        <f t="shared" si="33"/>
        <v/>
      </c>
      <c r="N4848" s="30" t="str">
        <f t="shared" si="34"/>
        <v>BT atau SU Belum Valid</v>
      </c>
      <c r="O4848" s="39" t="str">
        <f t="shared" si="23"/>
        <v/>
      </c>
      <c r="P4848" s="47" t="b">
        <v>0</v>
      </c>
      <c r="Q4848" s="36" t="str">
        <f t="shared" si="35"/>
        <v/>
      </c>
      <c r="R4848" s="47" t="b">
        <v>0</v>
      </c>
      <c r="S4848" s="42" t="str">
        <f t="shared" si="28"/>
        <v/>
      </c>
      <c r="T4848" s="42"/>
    </row>
    <row r="4849" ht="22.5" customHeight="1">
      <c r="B4849" s="42">
        <f t="shared" si="7"/>
        <v>4843</v>
      </c>
      <c r="C4849" s="31" t="s">
        <v>4858</v>
      </c>
      <c r="D4849" s="34" t="str">
        <f t="array" ref="D4849">IFNA(_xlfn.XLOOKUP(C4849,Table_Tarikan_Warkah[Nomor Sertipikat],Table_Tarikan_Warkah[Nomor Tiket]),"")</f>
        <v>ABMAZDDZ/AB02</v>
      </c>
      <c r="E4849" s="36" t="str">
        <f t="array" ref="E4849">IFNA(_xlfn.XLOOKUP(D4849,Table_Tarikan_Warkah[Nomor Tiket],Table_Tarikan_Warkah[Tanggal diserahkan kepada Validator]),"")</f>
        <v/>
      </c>
      <c r="F4849" s="36" t="str">
        <f t="array" ref="F4849">IFNA(_xlfn.XLOOKUP(D4849,Table_Tarikan_Warkah[Nomor Tiket],Table_Tarikan_Warkah[Nama Petugas Warkah]),"")</f>
        <v/>
      </c>
      <c r="G4849" s="39" t="str">
        <f t="array" ref="G4849">IFNA(_xlfn.XLOOKUP(D4849,Table_Tarikan_Warkah[Nomor Tiket],Table_Tarikan_Warkah[Jenis Permohonan]),"")</f>
        <v>Ganti Nama</v>
      </c>
      <c r="H4849" s="41" t="s">
        <v>2315</v>
      </c>
      <c r="I4849" s="49" t="s">
        <v>23</v>
      </c>
      <c r="J4849" s="36">
        <f t="shared" si="20"/>
        <v>46055.61866</v>
      </c>
      <c r="K4849" s="69"/>
      <c r="L4849" s="49"/>
      <c r="M4849" s="36" t="str">
        <f t="shared" si="33"/>
        <v/>
      </c>
      <c r="N4849" s="30" t="str">
        <f t="shared" si="34"/>
        <v>BT atau SU Belum Valid</v>
      </c>
      <c r="O4849" s="39" t="str">
        <f t="shared" si="23"/>
        <v/>
      </c>
      <c r="P4849" s="47" t="b">
        <v>0</v>
      </c>
      <c r="Q4849" s="36" t="str">
        <f t="shared" si="35"/>
        <v/>
      </c>
      <c r="R4849" s="47" t="b">
        <v>0</v>
      </c>
      <c r="S4849" s="42" t="str">
        <f t="shared" si="28"/>
        <v/>
      </c>
      <c r="T4849" s="42"/>
    </row>
    <row r="4850" ht="22.5" customHeight="1">
      <c r="B4850" s="42">
        <f t="shared" si="7"/>
        <v>4844</v>
      </c>
      <c r="C4850" s="31" t="s">
        <v>4859</v>
      </c>
      <c r="D4850" s="34" t="str">
        <f t="array" ref="D4850">IFNA(_xlfn.XLOOKUP(C4850,Table_Tarikan_Warkah[Nomor Sertipikat],Table_Tarikan_Warkah[Nomor Tiket]),"")</f>
        <v>K/9/191125/1</v>
      </c>
      <c r="E4850" s="36" t="str">
        <f t="array" ref="E4850">IFNA(_xlfn.XLOOKUP(D4850,Table_Tarikan_Warkah[Nomor Tiket],Table_Tarikan_Warkah[Tanggal diserahkan kepada Validator]),"")</f>
        <v/>
      </c>
      <c r="F4850" s="36" t="str">
        <f t="array" ref="F4850">IFNA(_xlfn.XLOOKUP(D4850,Table_Tarikan_Warkah[Nomor Tiket],Table_Tarikan_Warkah[Nama Petugas Warkah]),"")</f>
        <v/>
      </c>
      <c r="G4850" s="39" t="str">
        <f t="array" ref="G4850">IFNA(_xlfn.XLOOKUP(D4850,Table_Tarikan_Warkah[Nomor Tiket],Table_Tarikan_Warkah[Jenis Permohonan]),"")</f>
        <v>ROYA</v>
      </c>
      <c r="H4850" s="41" t="s">
        <v>2315</v>
      </c>
      <c r="I4850" s="49" t="s">
        <v>23</v>
      </c>
      <c r="J4850" s="36">
        <f t="shared" si="20"/>
        <v>46055.62154</v>
      </c>
      <c r="K4850" s="69"/>
      <c r="L4850" s="49"/>
      <c r="M4850" s="36" t="str">
        <f t="shared" si="33"/>
        <v/>
      </c>
      <c r="N4850" s="30" t="str">
        <f t="shared" si="34"/>
        <v>BT atau SU Belum Valid</v>
      </c>
      <c r="O4850" s="39" t="str">
        <f t="shared" si="23"/>
        <v/>
      </c>
      <c r="P4850" s="47" t="b">
        <v>0</v>
      </c>
      <c r="Q4850" s="36" t="str">
        <f t="shared" si="35"/>
        <v/>
      </c>
      <c r="R4850" s="47" t="b">
        <v>0</v>
      </c>
      <c r="S4850" s="42" t="str">
        <f t="shared" si="28"/>
        <v/>
      </c>
      <c r="T4850" s="42"/>
    </row>
    <row r="4851" ht="22.5" customHeight="1">
      <c r="B4851" s="42">
        <f t="shared" si="7"/>
        <v>4845</v>
      </c>
      <c r="C4851" s="31" t="s">
        <v>4860</v>
      </c>
      <c r="D4851" s="34" t="str">
        <f t="array" ref="D4851">IFNA(_xlfn.XLOOKUP(C4851,Table_Tarikan_Warkah[Nomor Sertipikat],Table_Tarikan_Warkah[Nomor Tiket]),"")</f>
        <v>ABXXOJJH</v>
      </c>
      <c r="E4851" s="36" t="str">
        <f t="array" ref="E4851">IFNA(_xlfn.XLOOKUP(D4851,Table_Tarikan_Warkah[Nomor Tiket],Table_Tarikan_Warkah[Tanggal diserahkan kepada Validator]),"")</f>
        <v/>
      </c>
      <c r="F4851" s="36" t="str">
        <f t="array" ref="F4851">IFNA(_xlfn.XLOOKUP(D4851,Table_Tarikan_Warkah[Nomor Tiket],Table_Tarikan_Warkah[Nama Petugas Warkah]),"")</f>
        <v/>
      </c>
      <c r="G4851" s="39" t="str">
        <f t="array" ref="G4851">IFNA(_xlfn.XLOOKUP(D4851,Table_Tarikan_Warkah[Nomor Tiket],Table_Tarikan_Warkah[Jenis Permohonan]),"")</f>
        <v>BN HIBAH</v>
      </c>
      <c r="H4851" s="41" t="s">
        <v>2315</v>
      </c>
      <c r="I4851" s="49" t="s">
        <v>23</v>
      </c>
      <c r="J4851" s="36">
        <f t="shared" si="20"/>
        <v>46055.62155</v>
      </c>
      <c r="K4851" s="69"/>
      <c r="L4851" s="49"/>
      <c r="M4851" s="36" t="str">
        <f t="shared" si="33"/>
        <v/>
      </c>
      <c r="N4851" s="30" t="str">
        <f t="shared" si="34"/>
        <v>BT atau SU Belum Valid</v>
      </c>
      <c r="O4851" s="39" t="str">
        <f t="shared" si="23"/>
        <v/>
      </c>
      <c r="P4851" s="47" t="b">
        <v>0</v>
      </c>
      <c r="Q4851" s="36" t="str">
        <f t="shared" si="35"/>
        <v/>
      </c>
      <c r="R4851" s="47" t="b">
        <v>0</v>
      </c>
      <c r="S4851" s="42" t="str">
        <f t="shared" si="28"/>
        <v/>
      </c>
      <c r="T4851" s="42"/>
    </row>
    <row r="4852" ht="22.5" customHeight="1">
      <c r="B4852" s="42">
        <f t="shared" si="7"/>
        <v>4846</v>
      </c>
      <c r="C4852" s="31" t="s">
        <v>4861</v>
      </c>
      <c r="D4852" s="34" t="str">
        <f t="array" ref="D4852">IFNA(_xlfn.XLOOKUP(C4852,Table_Tarikan_Warkah[Nomor Sertipikat],Table_Tarikan_Warkah[Nomor Tiket]),"")</f>
        <v>L/25/230625/1</v>
      </c>
      <c r="E4852" s="36" t="str">
        <f t="array" ref="E4852">IFNA(_xlfn.XLOOKUP(D4852,Table_Tarikan_Warkah[Nomor Tiket],Table_Tarikan_Warkah[Tanggal diserahkan kepada Validator]),"")</f>
        <v/>
      </c>
      <c r="F4852" s="36" t="str">
        <f t="array" ref="F4852">IFNA(_xlfn.XLOOKUP(D4852,Table_Tarikan_Warkah[Nomor Tiket],Table_Tarikan_Warkah[Nama Petugas Warkah]),"")</f>
        <v/>
      </c>
      <c r="G4852" s="39" t="str">
        <f t="array" ref="G4852">IFNA(_xlfn.XLOOKUP(D4852,Table_Tarikan_Warkah[Nomor Tiket],Table_Tarikan_Warkah[Jenis Permohonan]),"")</f>
        <v>GANTI BLANGKO</v>
      </c>
      <c r="H4852" s="41" t="s">
        <v>2315</v>
      </c>
      <c r="I4852" s="49" t="s">
        <v>23</v>
      </c>
      <c r="J4852" s="36">
        <f t="shared" si="20"/>
        <v>46055.76276</v>
      </c>
      <c r="K4852" s="69"/>
      <c r="L4852" s="49"/>
      <c r="M4852" s="36" t="str">
        <f t="shared" si="33"/>
        <v/>
      </c>
      <c r="N4852" s="30" t="str">
        <f t="shared" si="34"/>
        <v>BT atau SU Belum Valid</v>
      </c>
      <c r="O4852" s="39" t="str">
        <f t="shared" si="23"/>
        <v/>
      </c>
      <c r="P4852" s="47" t="b">
        <v>0</v>
      </c>
      <c r="Q4852" s="36" t="str">
        <f t="shared" si="35"/>
        <v/>
      </c>
      <c r="R4852" s="47" t="b">
        <v>0</v>
      </c>
      <c r="S4852" s="42" t="str">
        <f t="shared" si="28"/>
        <v/>
      </c>
      <c r="T4852" s="42"/>
    </row>
    <row r="4853" ht="22.5" customHeight="1">
      <c r="B4853" s="42">
        <f t="shared" si="7"/>
        <v>4847</v>
      </c>
      <c r="C4853" s="31" t="s">
        <v>4862</v>
      </c>
      <c r="D4853" s="34" t="str">
        <f t="array" ref="D4853">IFNA(_xlfn.XLOOKUP(C4853,Table_Tarikan_Warkah[Nomor Sertipikat],Table_Tarikan_Warkah[Nomor Tiket]),"")</f>
        <v>K/45/091025/2</v>
      </c>
      <c r="E4853" s="36" t="str">
        <f t="array" ref="E4853">IFNA(_xlfn.XLOOKUP(D4853,Table_Tarikan_Warkah[Nomor Tiket],Table_Tarikan_Warkah[Tanggal diserahkan kepada Validator]),"")</f>
        <v/>
      </c>
      <c r="F4853" s="36" t="str">
        <f t="array" ref="F4853">IFNA(_xlfn.XLOOKUP(D4853,Table_Tarikan_Warkah[Nomor Tiket],Table_Tarikan_Warkah[Nama Petugas Warkah]),"")</f>
        <v/>
      </c>
      <c r="G4853" s="39" t="str">
        <f t="array" ref="G4853">IFNA(_xlfn.XLOOKUP(D4853,Table_Tarikan_Warkah[Nomor Tiket],Table_Tarikan_Warkah[Jenis Permohonan]),"")</f>
        <v>BN JUAL BELI</v>
      </c>
      <c r="H4853" s="41" t="s">
        <v>2315</v>
      </c>
      <c r="I4853" s="49" t="s">
        <v>23</v>
      </c>
      <c r="J4853" s="36">
        <f t="shared" si="20"/>
        <v>46056.67193</v>
      </c>
      <c r="K4853" s="69"/>
      <c r="L4853" s="49"/>
      <c r="M4853" s="36" t="str">
        <f t="shared" si="33"/>
        <v/>
      </c>
      <c r="N4853" s="30" t="str">
        <f t="shared" si="34"/>
        <v>BT atau SU Belum Valid</v>
      </c>
      <c r="O4853" s="39" t="str">
        <f t="shared" si="23"/>
        <v/>
      </c>
      <c r="P4853" s="47" t="b">
        <v>0</v>
      </c>
      <c r="Q4853" s="36" t="str">
        <f t="shared" si="35"/>
        <v/>
      </c>
      <c r="R4853" s="47" t="b">
        <v>0</v>
      </c>
      <c r="S4853" s="42" t="str">
        <f t="shared" si="28"/>
        <v/>
      </c>
      <c r="T4853" s="42"/>
    </row>
    <row r="4854" ht="22.5" customHeight="1">
      <c r="B4854" s="42">
        <f t="shared" si="7"/>
        <v>4848</v>
      </c>
      <c r="C4854" s="31" t="s">
        <v>4863</v>
      </c>
      <c r="D4854" s="34" t="str">
        <f t="array" ref="D4854">IFNA(_xlfn.XLOOKUP(C4854,Table_Tarikan_Warkah[Nomor Sertipikat],Table_Tarikan_Warkah[Nomor Tiket]),"")</f>
        <v>ABAMXCLG/1</v>
      </c>
      <c r="E4854" s="36" t="str">
        <f t="array" ref="E4854">IFNA(_xlfn.XLOOKUP(D4854,Table_Tarikan_Warkah[Nomor Tiket],Table_Tarikan_Warkah[Tanggal diserahkan kepada Validator]),"")</f>
        <v/>
      </c>
      <c r="F4854" s="36" t="str">
        <f t="array" ref="F4854">IFNA(_xlfn.XLOOKUP(D4854,Table_Tarikan_Warkah[Nomor Tiket],Table_Tarikan_Warkah[Nama Petugas Warkah]),"")</f>
        <v/>
      </c>
      <c r="G4854" s="39" t="str">
        <f t="array" ref="G4854">IFNA(_xlfn.XLOOKUP(D4854,Table_Tarikan_Warkah[Nomor Tiket],Table_Tarikan_Warkah[Jenis Permohonan]),"")</f>
        <v>Ajb</v>
      </c>
      <c r="H4854" s="41" t="s">
        <v>2315</v>
      </c>
      <c r="I4854" s="49" t="s">
        <v>23</v>
      </c>
      <c r="J4854" s="36">
        <f t="shared" si="20"/>
        <v>46056.67212</v>
      </c>
      <c r="K4854" s="69"/>
      <c r="L4854" s="49"/>
      <c r="M4854" s="36" t="str">
        <f t="shared" si="33"/>
        <v/>
      </c>
      <c r="N4854" s="30" t="str">
        <f t="shared" si="34"/>
        <v>BT atau SU Belum Valid</v>
      </c>
      <c r="O4854" s="39" t="str">
        <f t="shared" si="23"/>
        <v/>
      </c>
      <c r="P4854" s="47" t="b">
        <v>0</v>
      </c>
      <c r="Q4854" s="36" t="str">
        <f t="shared" si="35"/>
        <v/>
      </c>
      <c r="R4854" s="47" t="b">
        <v>0</v>
      </c>
      <c r="S4854" s="42" t="str">
        <f t="shared" si="28"/>
        <v/>
      </c>
      <c r="T4854" s="42"/>
    </row>
    <row r="4855" ht="22.5" customHeight="1">
      <c r="B4855" s="42">
        <f t="shared" si="7"/>
        <v>4849</v>
      </c>
      <c r="C4855" s="31" t="s">
        <v>4864</v>
      </c>
      <c r="D4855" s="34" t="str">
        <f t="array" ref="D4855">IFNA(_xlfn.XLOOKUP(C4855,Table_Tarikan_Warkah[Nomor Sertipikat],Table_Tarikan_Warkah[Nomor Tiket]),"")</f>
        <v>Ab 34 (ABRLUHEK)</v>
      </c>
      <c r="E4855" s="36" t="str">
        <f t="array" ref="E4855">IFNA(_xlfn.XLOOKUP(D4855,Table_Tarikan_Warkah[Nomor Tiket],Table_Tarikan_Warkah[Tanggal diserahkan kepada Validator]),"")</f>
        <v/>
      </c>
      <c r="F4855" s="36" t="str">
        <f t="array" ref="F4855">IFNA(_xlfn.XLOOKUP(D4855,Table_Tarikan_Warkah[Nomor Tiket],Table_Tarikan_Warkah[Nama Petugas Warkah]),"")</f>
        <v/>
      </c>
      <c r="G4855" s="39" t="str">
        <f t="array" ref="G4855">IFNA(_xlfn.XLOOKUP(D4855,Table_Tarikan_Warkah[Nomor Tiket],Table_Tarikan_Warkah[Jenis Permohonan]),"")</f>
        <v>Balik nama</v>
      </c>
      <c r="H4855" s="41" t="s">
        <v>2315</v>
      </c>
      <c r="I4855" s="49" t="s">
        <v>23</v>
      </c>
      <c r="J4855" s="36">
        <f t="shared" si="20"/>
        <v>46056.67226</v>
      </c>
      <c r="K4855" s="69"/>
      <c r="L4855" s="49"/>
      <c r="M4855" s="36" t="str">
        <f t="shared" si="33"/>
        <v/>
      </c>
      <c r="N4855" s="30" t="str">
        <f t="shared" si="34"/>
        <v>BT atau SU Belum Valid</v>
      </c>
      <c r="O4855" s="39" t="str">
        <f t="shared" si="23"/>
        <v/>
      </c>
      <c r="P4855" s="47" t="b">
        <v>0</v>
      </c>
      <c r="Q4855" s="36" t="str">
        <f t="shared" si="35"/>
        <v/>
      </c>
      <c r="R4855" s="47" t="b">
        <v>0</v>
      </c>
      <c r="S4855" s="42" t="str">
        <f t="shared" si="28"/>
        <v/>
      </c>
      <c r="T4855" s="42"/>
    </row>
    <row r="4856" ht="22.5" customHeight="1">
      <c r="B4856" s="42">
        <f t="shared" si="7"/>
        <v>4850</v>
      </c>
      <c r="C4856" s="31" t="s">
        <v>4865</v>
      </c>
      <c r="D4856" s="34" t="str">
        <f t="array" ref="D4856">IFNA(_xlfn.XLOOKUP(C4856,Table_Tarikan_Warkah[Nomor Sertipikat],Table_Tarikan_Warkah[Nomor Tiket]),"")</f>
        <v>AB015/ABXHNOZN</v>
      </c>
      <c r="E4856" s="36" t="str">
        <f t="array" ref="E4856">IFNA(_xlfn.XLOOKUP(D4856,Table_Tarikan_Warkah[Nomor Tiket],Table_Tarikan_Warkah[Tanggal diserahkan kepada Validator]),"")</f>
        <v/>
      </c>
      <c r="F4856" s="36" t="str">
        <f t="array" ref="F4856">IFNA(_xlfn.XLOOKUP(D4856,Table_Tarikan_Warkah[Nomor Tiket],Table_Tarikan_Warkah[Nama Petugas Warkah]),"")</f>
        <v/>
      </c>
      <c r="G4856" s="39" t="str">
        <f t="array" ref="G4856">IFNA(_xlfn.XLOOKUP(D4856,Table_Tarikan_Warkah[Nomor Tiket],Table_Tarikan_Warkah[Jenis Permohonan]),"")</f>
        <v>Balik Nama Jual Beli</v>
      </c>
      <c r="H4856" s="41" t="s">
        <v>2315</v>
      </c>
      <c r="I4856" s="49" t="s">
        <v>23</v>
      </c>
      <c r="J4856" s="36">
        <f t="shared" si="20"/>
        <v>46056.67299</v>
      </c>
      <c r="K4856" s="69"/>
      <c r="L4856" s="49"/>
      <c r="M4856" s="36" t="str">
        <f t="shared" si="33"/>
        <v/>
      </c>
      <c r="N4856" s="30" t="str">
        <f t="shared" si="34"/>
        <v>BT atau SU Belum Valid</v>
      </c>
      <c r="O4856" s="39" t="str">
        <f t="shared" si="23"/>
        <v/>
      </c>
      <c r="P4856" s="47" t="b">
        <v>0</v>
      </c>
      <c r="Q4856" s="36" t="str">
        <f t="shared" si="35"/>
        <v/>
      </c>
      <c r="R4856" s="47" t="b">
        <v>0</v>
      </c>
      <c r="S4856" s="42" t="str">
        <f t="shared" si="28"/>
        <v/>
      </c>
      <c r="T4856" s="42"/>
    </row>
    <row r="4857" ht="22.5" customHeight="1">
      <c r="B4857" s="42">
        <f t="shared" si="7"/>
        <v>4851</v>
      </c>
      <c r="C4857" s="31" t="s">
        <v>4866</v>
      </c>
      <c r="D4857" s="34" t="str">
        <f t="array" ref="D4857">IFNA(_xlfn.XLOOKUP(C4857,Table_Tarikan_Warkah[Nomor Sertipikat],Table_Tarikan_Warkah[Nomor Tiket]),"")</f>
        <v>ABGHINHC/AB019</v>
      </c>
      <c r="E4857" s="36" t="str">
        <f t="array" ref="E4857">IFNA(_xlfn.XLOOKUP(D4857,Table_Tarikan_Warkah[Nomor Tiket],Table_Tarikan_Warkah[Tanggal diserahkan kepada Validator]),"")</f>
        <v/>
      </c>
      <c r="F4857" s="36" t="str">
        <f t="array" ref="F4857">IFNA(_xlfn.XLOOKUP(D4857,Table_Tarikan_Warkah[Nomor Tiket],Table_Tarikan_Warkah[Nama Petugas Warkah]),"")</f>
        <v/>
      </c>
      <c r="G4857" s="39" t="str">
        <f t="array" ref="G4857">IFNA(_xlfn.XLOOKUP(D4857,Table_Tarikan_Warkah[Nomor Tiket],Table_Tarikan_Warkah[Jenis Permohonan]),"")</f>
        <v>BN Jula Beli</v>
      </c>
      <c r="H4857" s="41" t="s">
        <v>2315</v>
      </c>
      <c r="I4857" s="49" t="s">
        <v>23</v>
      </c>
      <c r="J4857" s="36">
        <f t="shared" si="20"/>
        <v>46056.67323</v>
      </c>
      <c r="K4857" s="69"/>
      <c r="L4857" s="49"/>
      <c r="M4857" s="36" t="str">
        <f t="shared" si="33"/>
        <v/>
      </c>
      <c r="N4857" s="30" t="str">
        <f t="shared" si="34"/>
        <v>BT atau SU Belum Valid</v>
      </c>
      <c r="O4857" s="39" t="str">
        <f t="shared" si="23"/>
        <v/>
      </c>
      <c r="P4857" s="47" t="b">
        <v>0</v>
      </c>
      <c r="Q4857" s="36" t="str">
        <f t="shared" si="35"/>
        <v/>
      </c>
      <c r="R4857" s="47" t="b">
        <v>0</v>
      </c>
      <c r="S4857" s="42" t="str">
        <f t="shared" si="28"/>
        <v/>
      </c>
      <c r="T4857" s="42"/>
    </row>
    <row r="4858" ht="22.5" customHeight="1">
      <c r="B4858" s="42">
        <f t="shared" si="7"/>
        <v>4852</v>
      </c>
      <c r="C4858" s="31" t="s">
        <v>4867</v>
      </c>
      <c r="D4858" s="34" t="str">
        <f t="array" ref="D4858">IFNA(_xlfn.XLOOKUP(C4858,Table_Tarikan_Warkah[Nomor Sertipikat],Table_Tarikan_Warkah[Nomor Tiket]),"")</f>
        <v>ABEGLIZF/AB019</v>
      </c>
      <c r="E4858" s="36" t="str">
        <f t="array" ref="E4858">IFNA(_xlfn.XLOOKUP(D4858,Table_Tarikan_Warkah[Nomor Tiket],Table_Tarikan_Warkah[Tanggal diserahkan kepada Validator]),"")</f>
        <v/>
      </c>
      <c r="F4858" s="36" t="str">
        <f t="array" ref="F4858">IFNA(_xlfn.XLOOKUP(D4858,Table_Tarikan_Warkah[Nomor Tiket],Table_Tarikan_Warkah[Nama Petugas Warkah]),"")</f>
        <v/>
      </c>
      <c r="G4858" s="39" t="str">
        <f t="array" ref="G4858">IFNA(_xlfn.XLOOKUP(D4858,Table_Tarikan_Warkah[Nomor Tiket],Table_Tarikan_Warkah[Jenis Permohonan]),"")</f>
        <v>BN Jula Beli</v>
      </c>
      <c r="H4858" s="41" t="s">
        <v>2315</v>
      </c>
      <c r="I4858" s="49" t="s">
        <v>23</v>
      </c>
      <c r="J4858" s="36">
        <f t="shared" si="20"/>
        <v>46056.67339</v>
      </c>
      <c r="K4858" s="69"/>
      <c r="L4858" s="49"/>
      <c r="M4858" s="36" t="str">
        <f t="shared" si="33"/>
        <v/>
      </c>
      <c r="N4858" s="30" t="str">
        <f t="shared" si="34"/>
        <v>BT atau SU Belum Valid</v>
      </c>
      <c r="O4858" s="39" t="str">
        <f t="shared" si="23"/>
        <v/>
      </c>
      <c r="P4858" s="47" t="b">
        <v>0</v>
      </c>
      <c r="Q4858" s="36" t="str">
        <f t="shared" si="35"/>
        <v/>
      </c>
      <c r="R4858" s="47" t="b">
        <v>0</v>
      </c>
      <c r="S4858" s="42" t="str">
        <f t="shared" si="28"/>
        <v/>
      </c>
      <c r="T4858" s="42"/>
    </row>
    <row r="4859" ht="22.5" customHeight="1">
      <c r="B4859" s="42">
        <f t="shared" si="7"/>
        <v>4853</v>
      </c>
      <c r="C4859" s="31" t="s">
        <v>4868</v>
      </c>
      <c r="D4859" s="34" t="str">
        <f t="array" ref="D4859">IFNA(_xlfn.XLOOKUP(C4859,Table_Tarikan_Warkah[Nomor Sertipikat],Table_Tarikan_Warkah[Nomor Tiket]),"")</f>
        <v>ABGVYSWN/AB031</v>
      </c>
      <c r="E4859" s="36" t="str">
        <f t="array" ref="E4859">IFNA(_xlfn.XLOOKUP(D4859,Table_Tarikan_Warkah[Nomor Tiket],Table_Tarikan_Warkah[Tanggal diserahkan kepada Validator]),"")</f>
        <v/>
      </c>
      <c r="F4859" s="36" t="str">
        <f t="array" ref="F4859">IFNA(_xlfn.XLOOKUP(D4859,Table_Tarikan_Warkah[Nomor Tiket],Table_Tarikan_Warkah[Nama Petugas Warkah]),"")</f>
        <v/>
      </c>
      <c r="G4859" s="39" t="str">
        <f t="array" ref="G4859">IFNA(_xlfn.XLOOKUP(D4859,Table_Tarikan_Warkah[Nomor Tiket],Table_Tarikan_Warkah[Jenis Permohonan]),"")</f>
        <v>BN JUAL BELI</v>
      </c>
      <c r="H4859" s="41" t="s">
        <v>2315</v>
      </c>
      <c r="I4859" s="49" t="s">
        <v>23</v>
      </c>
      <c r="J4859" s="36">
        <f t="shared" si="20"/>
        <v>46058.43105</v>
      </c>
      <c r="K4859" s="69"/>
      <c r="L4859" s="49"/>
      <c r="M4859" s="36" t="str">
        <f t="shared" si="33"/>
        <v/>
      </c>
      <c r="N4859" s="30" t="str">
        <f t="shared" si="34"/>
        <v>BT atau SU Belum Valid</v>
      </c>
      <c r="O4859" s="39" t="str">
        <f t="shared" si="23"/>
        <v/>
      </c>
      <c r="P4859" s="47" t="b">
        <v>0</v>
      </c>
      <c r="Q4859" s="36" t="str">
        <f t="shared" si="35"/>
        <v/>
      </c>
      <c r="R4859" s="47" t="b">
        <v>0</v>
      </c>
      <c r="S4859" s="42" t="str">
        <f t="shared" si="28"/>
        <v/>
      </c>
      <c r="T4859" s="42"/>
    </row>
    <row r="4860" ht="22.5" customHeight="1">
      <c r="B4860" s="42">
        <f t="shared" si="7"/>
        <v>4854</v>
      </c>
      <c r="C4860" s="31" t="s">
        <v>4869</v>
      </c>
      <c r="D4860" s="34" t="str">
        <f t="array" ref="D4860">IFNA(_xlfn.XLOOKUP(C4860,Table_Tarikan_Warkah[Nomor Sertipikat],Table_Tarikan_Warkah[Nomor Tiket]),"")</f>
        <v>K/13/270525/1</v>
      </c>
      <c r="E4860" s="36" t="str">
        <f t="array" ref="E4860">IFNA(_xlfn.XLOOKUP(D4860,Table_Tarikan_Warkah[Nomor Tiket],Table_Tarikan_Warkah[Tanggal diserahkan kepada Validator]),"")</f>
        <v/>
      </c>
      <c r="F4860" s="36" t="str">
        <f t="array" ref="F4860">IFNA(_xlfn.XLOOKUP(D4860,Table_Tarikan_Warkah[Nomor Tiket],Table_Tarikan_Warkah[Nama Petugas Warkah]),"")</f>
        <v/>
      </c>
      <c r="G4860" s="39" t="str">
        <f t="array" ref="G4860">IFNA(_xlfn.XLOOKUP(D4860,Table_Tarikan_Warkah[Nomor Tiket],Table_Tarikan_Warkah[Jenis Permohonan]),"")</f>
        <v>KEWARISAN</v>
      </c>
      <c r="H4860" s="70"/>
      <c r="I4860" s="49"/>
      <c r="J4860" s="36" t="str">
        <f t="shared" si="20"/>
        <v/>
      </c>
      <c r="K4860" s="69"/>
      <c r="L4860" s="49"/>
      <c r="M4860" s="36" t="str">
        <f t="shared" si="33"/>
        <v/>
      </c>
      <c r="N4860" s="30" t="str">
        <f t="shared" si="34"/>
        <v>BT atau SU Belum Valid</v>
      </c>
      <c r="O4860" s="39" t="str">
        <f t="shared" si="23"/>
        <v/>
      </c>
      <c r="P4860" s="47" t="b">
        <v>0</v>
      </c>
      <c r="Q4860" s="36" t="str">
        <f t="shared" si="35"/>
        <v/>
      </c>
      <c r="R4860" s="47" t="b">
        <v>0</v>
      </c>
      <c r="S4860" s="42" t="str">
        <f t="shared" si="28"/>
        <v/>
      </c>
      <c r="T4860" s="42"/>
    </row>
    <row r="4861" ht="22.5" customHeight="1">
      <c r="B4861" s="42">
        <f t="shared" si="7"/>
        <v>4855</v>
      </c>
      <c r="C4861" s="31" t="s">
        <v>4870</v>
      </c>
      <c r="D4861" s="34" t="str">
        <f t="array" ref="D4861">IFNA(_xlfn.XLOOKUP(C4861,Table_Tarikan_Warkah[Nomor Sertipikat],Table_Tarikan_Warkah[Nomor Tiket]),"")</f>
        <v>Ab072/ABYSHJZC</v>
      </c>
      <c r="E4861" s="36" t="str">
        <f t="array" ref="E4861">IFNA(_xlfn.XLOOKUP(D4861,Table_Tarikan_Warkah[Nomor Tiket],Table_Tarikan_Warkah[Tanggal diserahkan kepada Validator]),"")</f>
        <v/>
      </c>
      <c r="F4861" s="36" t="str">
        <f t="array" ref="F4861">IFNA(_xlfn.XLOOKUP(D4861,Table_Tarikan_Warkah[Nomor Tiket],Table_Tarikan_Warkah[Nama Petugas Warkah]),"")</f>
        <v/>
      </c>
      <c r="G4861" s="39" t="str">
        <f t="array" ref="G4861">IFNA(_xlfn.XLOOKUP(D4861,Table_Tarikan_Warkah[Nomor Tiket],Table_Tarikan_Warkah[Jenis Permohonan]),"")</f>
        <v>Bn jual beli</v>
      </c>
      <c r="H4861" s="41" t="s">
        <v>2315</v>
      </c>
      <c r="I4861" s="49" t="s">
        <v>23</v>
      </c>
      <c r="J4861" s="36">
        <f t="shared" si="20"/>
        <v>46059.62548</v>
      </c>
      <c r="K4861" s="69"/>
      <c r="L4861" s="49"/>
      <c r="M4861" s="36" t="str">
        <f t="shared" si="33"/>
        <v/>
      </c>
      <c r="N4861" s="30" t="str">
        <f t="shared" si="34"/>
        <v>BT atau SU Belum Valid</v>
      </c>
      <c r="O4861" s="39" t="str">
        <f t="shared" si="23"/>
        <v/>
      </c>
      <c r="P4861" s="47" t="b">
        <v>0</v>
      </c>
      <c r="Q4861" s="36" t="str">
        <f t="shared" si="35"/>
        <v/>
      </c>
      <c r="R4861" s="47" t="b">
        <v>0</v>
      </c>
      <c r="S4861" s="42" t="str">
        <f t="shared" si="28"/>
        <v/>
      </c>
      <c r="T4861" s="42"/>
    </row>
    <row r="4862" ht="22.5" customHeight="1">
      <c r="B4862" s="42">
        <f t="shared" si="7"/>
        <v>4856</v>
      </c>
      <c r="C4862" s="31" t="s">
        <v>4871</v>
      </c>
      <c r="D4862" s="34" t="str">
        <f t="array" ref="D4862">IFNA(_xlfn.XLOOKUP(C4862,Table_Tarikan_Warkah[Nomor Sertipikat],Table_Tarikan_Warkah[Nomor Tiket]),"")</f>
        <v>AB044/ABNCLACN</v>
      </c>
      <c r="E4862" s="36" t="str">
        <f t="array" ref="E4862">IFNA(_xlfn.XLOOKUP(D4862,Table_Tarikan_Warkah[Nomor Tiket],Table_Tarikan_Warkah[Tanggal diserahkan kepada Validator]),"")</f>
        <v/>
      </c>
      <c r="F4862" s="36" t="str">
        <f t="array" ref="F4862">IFNA(_xlfn.XLOOKUP(D4862,Table_Tarikan_Warkah[Nomor Tiket],Table_Tarikan_Warkah[Nama Petugas Warkah]),"")</f>
        <v/>
      </c>
      <c r="G4862" s="39" t="str">
        <f t="array" ref="G4862">IFNA(_xlfn.XLOOKUP(D4862,Table_Tarikan_Warkah[Nomor Tiket],Table_Tarikan_Warkah[Jenis Permohonan]),"")</f>
        <v>BN jual beli</v>
      </c>
      <c r="H4862" s="41" t="s">
        <v>2315</v>
      </c>
      <c r="I4862" s="49" t="s">
        <v>23</v>
      </c>
      <c r="J4862" s="36">
        <f t="shared" si="20"/>
        <v>46059.62647</v>
      </c>
      <c r="K4862" s="69"/>
      <c r="L4862" s="49"/>
      <c r="M4862" s="36" t="str">
        <f t="shared" si="33"/>
        <v/>
      </c>
      <c r="N4862" s="30" t="str">
        <f t="shared" si="34"/>
        <v>BT atau SU Belum Valid</v>
      </c>
      <c r="O4862" s="39" t="str">
        <f t="shared" si="23"/>
        <v/>
      </c>
      <c r="P4862" s="47" t="b">
        <v>0</v>
      </c>
      <c r="Q4862" s="36" t="str">
        <f t="shared" si="35"/>
        <v/>
      </c>
      <c r="R4862" s="47" t="b">
        <v>0</v>
      </c>
      <c r="S4862" s="42" t="str">
        <f t="shared" si="28"/>
        <v/>
      </c>
      <c r="T4862" s="42"/>
    </row>
    <row r="4863" ht="22.5" customHeight="1">
      <c r="B4863" s="42">
        <f t="shared" si="7"/>
        <v>4857</v>
      </c>
      <c r="C4863" s="31" t="s">
        <v>4872</v>
      </c>
      <c r="D4863" s="34" t="str">
        <f t="array" ref="D4863">IFNA(_xlfn.XLOOKUP(C4863,Table_Tarikan_Warkah[Nomor Sertipikat],Table_Tarikan_Warkah[Nomor Tiket]),"")</f>
        <v>ABGKRBAB/AB073</v>
      </c>
      <c r="E4863" s="36" t="str">
        <f t="array" ref="E4863">IFNA(_xlfn.XLOOKUP(D4863,Table_Tarikan_Warkah[Nomor Tiket],Table_Tarikan_Warkah[Tanggal diserahkan kepada Validator]),"")</f>
        <v/>
      </c>
      <c r="F4863" s="36" t="str">
        <f t="array" ref="F4863">IFNA(_xlfn.XLOOKUP(D4863,Table_Tarikan_Warkah[Nomor Tiket],Table_Tarikan_Warkah[Nama Petugas Warkah]),"")</f>
        <v/>
      </c>
      <c r="G4863" s="39" t="str">
        <f t="array" ref="G4863">IFNA(_xlfn.XLOOKUP(D4863,Table_Tarikan_Warkah[Nomor Tiket],Table_Tarikan_Warkah[Jenis Permohonan]),"")</f>
        <v>BN jual beli</v>
      </c>
      <c r="H4863" s="41" t="s">
        <v>2315</v>
      </c>
      <c r="I4863" s="49" t="s">
        <v>23</v>
      </c>
      <c r="J4863" s="36">
        <f t="shared" si="20"/>
        <v>46062.48679</v>
      </c>
      <c r="K4863" s="69"/>
      <c r="L4863" s="49"/>
      <c r="M4863" s="36" t="str">
        <f t="shared" si="33"/>
        <v/>
      </c>
      <c r="N4863" s="30" t="str">
        <f t="shared" si="34"/>
        <v>BT atau SU Belum Valid</v>
      </c>
      <c r="O4863" s="39" t="str">
        <f t="shared" si="23"/>
        <v/>
      </c>
      <c r="P4863" s="47" t="b">
        <v>0</v>
      </c>
      <c r="Q4863" s="36" t="str">
        <f t="shared" si="35"/>
        <v/>
      </c>
      <c r="R4863" s="47" t="b">
        <v>0</v>
      </c>
      <c r="S4863" s="42" t="str">
        <f t="shared" si="28"/>
        <v/>
      </c>
      <c r="T4863" s="42"/>
    </row>
    <row r="4864" ht="22.5" customHeight="1">
      <c r="B4864" s="42">
        <f t="shared" si="7"/>
        <v>4858</v>
      </c>
      <c r="C4864" s="31" t="s">
        <v>4873</v>
      </c>
      <c r="D4864" s="34" t="str">
        <f t="array" ref="D4864">IFNA(_xlfn.XLOOKUP(C4864,Table_Tarikan_Warkah[Nomor Sertipikat],Table_Tarikan_Warkah[Nomor Tiket]),"")</f>
        <v>ABRUVFSE</v>
      </c>
      <c r="E4864" s="36" t="str">
        <f t="array" ref="E4864">IFNA(_xlfn.XLOOKUP(D4864,Table_Tarikan_Warkah[Nomor Tiket],Table_Tarikan_Warkah[Tanggal diserahkan kepada Validator]),"")</f>
        <v/>
      </c>
      <c r="F4864" s="36" t="str">
        <f t="array" ref="F4864">IFNA(_xlfn.XLOOKUP(D4864,Table_Tarikan_Warkah[Nomor Tiket],Table_Tarikan_Warkah[Nama Petugas Warkah]),"")</f>
        <v/>
      </c>
      <c r="G4864" s="39" t="str">
        <f t="array" ref="G4864">IFNA(_xlfn.XLOOKUP(D4864,Table_Tarikan_Warkah[Nomor Tiket],Table_Tarikan_Warkah[Jenis Permohonan]),"")</f>
        <v>BN JUAL BELI</v>
      </c>
      <c r="H4864" s="41" t="s">
        <v>2315</v>
      </c>
      <c r="I4864" s="49" t="s">
        <v>23</v>
      </c>
      <c r="J4864" s="36">
        <f t="shared" si="20"/>
        <v>46062.48691</v>
      </c>
      <c r="K4864" s="69"/>
      <c r="L4864" s="49"/>
      <c r="M4864" s="36" t="str">
        <f t="shared" si="33"/>
        <v/>
      </c>
      <c r="N4864" s="30" t="str">
        <f t="shared" si="34"/>
        <v>BT atau SU Belum Valid</v>
      </c>
      <c r="O4864" s="39" t="str">
        <f t="shared" si="23"/>
        <v/>
      </c>
      <c r="P4864" s="47" t="b">
        <v>0</v>
      </c>
      <c r="Q4864" s="36" t="str">
        <f t="shared" si="35"/>
        <v/>
      </c>
      <c r="R4864" s="47" t="b">
        <v>0</v>
      </c>
      <c r="S4864" s="42" t="str">
        <f t="shared" si="28"/>
        <v/>
      </c>
      <c r="T4864" s="42"/>
    </row>
    <row r="4865" ht="22.5" customHeight="1">
      <c r="B4865" s="42">
        <f t="shared" si="7"/>
        <v>4859</v>
      </c>
      <c r="C4865" s="31" t="s">
        <v>4874</v>
      </c>
      <c r="D4865" s="34" t="str">
        <f t="array" ref="D4865">IFNA(_xlfn.XLOOKUP(C4865,Table_Tarikan_Warkah[Nomor Sertipikat],Table_Tarikan_Warkah[Nomor Tiket]),"")</f>
        <v>ABBYUSDM/AB058</v>
      </c>
      <c r="E4865" s="36" t="str">
        <f t="array" ref="E4865">IFNA(_xlfn.XLOOKUP(D4865,Table_Tarikan_Warkah[Nomor Tiket],Table_Tarikan_Warkah[Tanggal diserahkan kepada Validator]),"")</f>
        <v/>
      </c>
      <c r="F4865" s="36" t="str">
        <f t="array" ref="F4865">IFNA(_xlfn.XLOOKUP(D4865,Table_Tarikan_Warkah[Nomor Tiket],Table_Tarikan_Warkah[Nama Petugas Warkah]),"")</f>
        <v/>
      </c>
      <c r="G4865" s="39" t="str">
        <f t="array" ref="G4865">IFNA(_xlfn.XLOOKUP(D4865,Table_Tarikan_Warkah[Nomor Tiket],Table_Tarikan_Warkah[Jenis Permohonan]),"")</f>
        <v>BN AJB</v>
      </c>
      <c r="H4865" s="41" t="s">
        <v>2315</v>
      </c>
      <c r="I4865" s="49" t="s">
        <v>23</v>
      </c>
      <c r="J4865" s="36">
        <f t="shared" si="20"/>
        <v>46062.48725</v>
      </c>
      <c r="K4865" s="69"/>
      <c r="L4865" s="49"/>
      <c r="M4865" s="36" t="str">
        <f t="shared" si="33"/>
        <v/>
      </c>
      <c r="N4865" s="30" t="str">
        <f t="shared" si="34"/>
        <v>BT atau SU Belum Valid</v>
      </c>
      <c r="O4865" s="39" t="str">
        <f t="shared" si="23"/>
        <v/>
      </c>
      <c r="P4865" s="47" t="b">
        <v>0</v>
      </c>
      <c r="Q4865" s="36" t="str">
        <f t="shared" si="35"/>
        <v/>
      </c>
      <c r="R4865" s="47" t="b">
        <v>0</v>
      </c>
      <c r="S4865" s="42" t="str">
        <f t="shared" si="28"/>
        <v/>
      </c>
      <c r="T4865" s="42"/>
    </row>
    <row r="4866" ht="22.5" customHeight="1">
      <c r="B4866" s="42">
        <f t="shared" si="7"/>
        <v>4860</v>
      </c>
      <c r="C4866" s="31" t="s">
        <v>4875</v>
      </c>
      <c r="D4866" s="34" t="str">
        <f t="array" ref="D4866">IFNA(_xlfn.XLOOKUP(C4866,Table_Tarikan_Warkah[Nomor Sertipikat],Table_Tarikan_Warkah[Nomor Tiket]),"")</f>
        <v>ABVQIDYN</v>
      </c>
      <c r="E4866" s="36">
        <f t="array" ref="E4866">IFNA(_xlfn.XLOOKUP(D4866,Table_Tarikan_Warkah[Nomor Tiket],Table_Tarikan_Warkah[Tanggal diserahkan kepada Validator]),"")</f>
        <v>46020.65855</v>
      </c>
      <c r="F4866" s="36" t="str">
        <f t="array" ref="F4866">IFNA(_xlfn.XLOOKUP(D4866,Table_Tarikan_Warkah[Nomor Tiket],Table_Tarikan_Warkah[Nama Petugas Warkah]),"")</f>
        <v>Berry</v>
      </c>
      <c r="G4866" s="39" t="str">
        <f t="array" ref="G4866">IFNA(_xlfn.XLOOKUP(D4866,Table_Tarikan_Warkah[Nomor Tiket],Table_Tarikan_Warkah[Jenis Permohonan]),"")</f>
        <v>Balik Nama JUAL BELI</v>
      </c>
      <c r="H4866" s="41" t="s">
        <v>2315</v>
      </c>
      <c r="I4866" s="49" t="s">
        <v>23</v>
      </c>
      <c r="J4866" s="36">
        <f t="shared" si="20"/>
        <v>46062.78873</v>
      </c>
      <c r="K4866" s="69"/>
      <c r="L4866" s="49"/>
      <c r="M4866" s="36" t="str">
        <f t="shared" si="33"/>
        <v/>
      </c>
      <c r="N4866" s="30" t="str">
        <f t="shared" si="34"/>
        <v>BT atau SU Belum Valid</v>
      </c>
      <c r="O4866" s="39" t="str">
        <f t="shared" si="23"/>
        <v/>
      </c>
      <c r="P4866" s="47" t="b">
        <v>0</v>
      </c>
      <c r="Q4866" s="36" t="str">
        <f t="shared" si="35"/>
        <v/>
      </c>
      <c r="R4866" s="47" t="b">
        <v>0</v>
      </c>
      <c r="S4866" s="42" t="str">
        <f t="shared" si="28"/>
        <v/>
      </c>
      <c r="T4866" s="42"/>
    </row>
    <row r="4867" ht="22.5" customHeight="1">
      <c r="B4867" s="42">
        <f t="shared" si="7"/>
        <v>4861</v>
      </c>
      <c r="C4867" s="31" t="s">
        <v>4876</v>
      </c>
      <c r="D4867" s="34" t="str">
        <f t="array" ref="D4867">IFNA(_xlfn.XLOOKUP(C4867,Table_Tarikan_Warkah[Nomor Sertipikat],Table_Tarikan_Warkah[Nomor Tiket]),"")</f>
        <v>Abevyfvy</v>
      </c>
      <c r="E4867" s="36" t="str">
        <f t="array" ref="E4867">IFNA(_xlfn.XLOOKUP(D4867,Table_Tarikan_Warkah[Nomor Tiket],Table_Tarikan_Warkah[Tanggal diserahkan kepada Validator]),"")</f>
        <v/>
      </c>
      <c r="F4867" s="36" t="str">
        <f t="array" ref="F4867">IFNA(_xlfn.XLOOKUP(D4867,Table_Tarikan_Warkah[Nomor Tiket],Table_Tarikan_Warkah[Nama Petugas Warkah]),"")</f>
        <v/>
      </c>
      <c r="G4867" s="39" t="str">
        <f t="array" ref="G4867">IFNA(_xlfn.XLOOKUP(D4867,Table_Tarikan_Warkah[Nomor Tiket],Table_Tarikan_Warkah[Jenis Permohonan]),"")</f>
        <v>Bn</v>
      </c>
      <c r="H4867" s="41" t="s">
        <v>2315</v>
      </c>
      <c r="I4867" s="49" t="s">
        <v>23</v>
      </c>
      <c r="J4867" s="36">
        <f t="shared" si="20"/>
        <v>46063.45072</v>
      </c>
      <c r="K4867" s="69"/>
      <c r="L4867" s="49"/>
      <c r="M4867" s="36" t="str">
        <f t="shared" si="33"/>
        <v/>
      </c>
      <c r="N4867" s="30" t="str">
        <f t="shared" si="34"/>
        <v>BT atau SU Belum Valid</v>
      </c>
      <c r="O4867" s="39" t="str">
        <f t="shared" si="23"/>
        <v/>
      </c>
      <c r="P4867" s="47" t="b">
        <v>0</v>
      </c>
      <c r="Q4867" s="36" t="str">
        <f t="shared" si="35"/>
        <v/>
      </c>
      <c r="R4867" s="47" t="b">
        <v>0</v>
      </c>
      <c r="S4867" s="42" t="str">
        <f t="shared" si="28"/>
        <v/>
      </c>
      <c r="T4867" s="42"/>
    </row>
    <row r="4868" ht="22.5" customHeight="1">
      <c r="B4868" s="42">
        <f t="shared" si="7"/>
        <v>4862</v>
      </c>
      <c r="C4868" s="31" t="s">
        <v>4783</v>
      </c>
      <c r="D4868" s="34" t="str">
        <f t="array" ref="D4868">IFNA(_xlfn.XLOOKUP(C4868,Table_Tarikan_Warkah[Nomor Sertipikat],Table_Tarikan_Warkah[Nomor Tiket]),"")</f>
        <v>ABKEQERV</v>
      </c>
      <c r="E4868" s="36" t="str">
        <f t="array" ref="E4868">IFNA(_xlfn.XLOOKUP(D4868,Table_Tarikan_Warkah[Nomor Tiket],Table_Tarikan_Warkah[Tanggal diserahkan kepada Validator]),"")</f>
        <v/>
      </c>
      <c r="F4868" s="36" t="str">
        <f t="array" ref="F4868">IFNA(_xlfn.XLOOKUP(D4868,Table_Tarikan_Warkah[Nomor Tiket],Table_Tarikan_Warkah[Nama Petugas Warkah]),"")</f>
        <v/>
      </c>
      <c r="G4868" s="39" t="str">
        <f t="array" ref="G4868">IFNA(_xlfn.XLOOKUP(D4868,Table_Tarikan_Warkah[Nomor Tiket],Table_Tarikan_Warkah[Jenis Permohonan]),"")</f>
        <v>Balik Nama lelang</v>
      </c>
      <c r="H4868" s="41" t="s">
        <v>2315</v>
      </c>
      <c r="I4868" s="49" t="s">
        <v>23</v>
      </c>
      <c r="J4868" s="36">
        <f t="shared" si="20"/>
        <v>46063.45462</v>
      </c>
      <c r="K4868" s="69"/>
      <c r="L4868" s="49"/>
      <c r="M4868" s="36" t="str">
        <f t="shared" si="33"/>
        <v/>
      </c>
      <c r="N4868" s="30" t="str">
        <f t="shared" si="34"/>
        <v>BT atau SU Belum Valid</v>
      </c>
      <c r="O4868" s="39" t="str">
        <f t="shared" si="23"/>
        <v/>
      </c>
      <c r="P4868" s="47" t="b">
        <v>0</v>
      </c>
      <c r="Q4868" s="36" t="str">
        <f t="shared" si="35"/>
        <v/>
      </c>
      <c r="R4868" s="47" t="b">
        <v>0</v>
      </c>
      <c r="S4868" s="42" t="str">
        <f t="shared" si="28"/>
        <v/>
      </c>
      <c r="T4868" s="42"/>
    </row>
    <row r="4869" ht="22.5" customHeight="1">
      <c r="B4869" s="42">
        <f t="shared" si="7"/>
        <v>4863</v>
      </c>
      <c r="C4869" s="31" t="s">
        <v>4877</v>
      </c>
      <c r="D4869" s="34" t="str">
        <f t="array" ref="D4869">IFNA(_xlfn.XLOOKUP(C4869,Table_Tarikan_Warkah[Nomor Sertipikat],Table_Tarikan_Warkah[Nomor Tiket]),"")</f>
        <v>ABTNBUYM</v>
      </c>
      <c r="E4869" s="36" t="str">
        <f t="array" ref="E4869">IFNA(_xlfn.XLOOKUP(D4869,Table_Tarikan_Warkah[Nomor Tiket],Table_Tarikan_Warkah[Tanggal diserahkan kepada Validator]),"")</f>
        <v/>
      </c>
      <c r="F4869" s="36" t="str">
        <f t="array" ref="F4869">IFNA(_xlfn.XLOOKUP(D4869,Table_Tarikan_Warkah[Nomor Tiket],Table_Tarikan_Warkah[Nama Petugas Warkah]),"")</f>
        <v/>
      </c>
      <c r="G4869" s="39" t="str">
        <f t="array" ref="G4869">IFNA(_xlfn.XLOOKUP(D4869,Table_Tarikan_Warkah[Nomor Tiket],Table_Tarikan_Warkah[Jenis Permohonan]),"")</f>
        <v>Turun waris</v>
      </c>
      <c r="H4869" s="41" t="s">
        <v>2315</v>
      </c>
      <c r="I4869" s="49" t="s">
        <v>23</v>
      </c>
      <c r="J4869" s="36">
        <f t="shared" si="20"/>
        <v>46064.39577</v>
      </c>
      <c r="K4869" s="69"/>
      <c r="L4869" s="49"/>
      <c r="M4869" s="36" t="str">
        <f t="shared" si="33"/>
        <v/>
      </c>
      <c r="N4869" s="30" t="str">
        <f t="shared" si="34"/>
        <v>BT atau SU Belum Valid</v>
      </c>
      <c r="O4869" s="39" t="str">
        <f t="shared" si="23"/>
        <v/>
      </c>
      <c r="P4869" s="47" t="b">
        <v>0</v>
      </c>
      <c r="Q4869" s="36" t="str">
        <f t="shared" si="35"/>
        <v/>
      </c>
      <c r="R4869" s="47" t="b">
        <v>0</v>
      </c>
      <c r="S4869" s="42" t="str">
        <f t="shared" si="28"/>
        <v/>
      </c>
      <c r="T4869" s="42"/>
    </row>
    <row r="4870" ht="22.5" customHeight="1">
      <c r="B4870" s="42">
        <f t="shared" si="7"/>
        <v>4864</v>
      </c>
      <c r="C4870" s="31" t="s">
        <v>4878</v>
      </c>
      <c r="D4870" s="34" t="str">
        <f t="array" ref="D4870">IFNA(_xlfn.XLOOKUP(C4870,Table_Tarikan_Warkah[Nomor Sertipikat],Table_Tarikan_Warkah[Nomor Tiket]),"")</f>
        <v>AB058/ABCXEKSN</v>
      </c>
      <c r="E4870" s="36" t="str">
        <f t="array" ref="E4870">IFNA(_xlfn.XLOOKUP(D4870,Table_Tarikan_Warkah[Nomor Tiket],Table_Tarikan_Warkah[Tanggal diserahkan kepada Validator]),"")</f>
        <v/>
      </c>
      <c r="F4870" s="36" t="str">
        <f t="array" ref="F4870">IFNA(_xlfn.XLOOKUP(D4870,Table_Tarikan_Warkah[Nomor Tiket],Table_Tarikan_Warkah[Nama Petugas Warkah]),"")</f>
        <v/>
      </c>
      <c r="G4870" s="39" t="str">
        <f t="array" ref="G4870">IFNA(_xlfn.XLOOKUP(D4870,Table_Tarikan_Warkah[Nomor Tiket],Table_Tarikan_Warkah[Jenis Permohonan]),"")</f>
        <v>BN jual beli </v>
      </c>
      <c r="H4870" s="41" t="s">
        <v>2315</v>
      </c>
      <c r="I4870" s="49" t="s">
        <v>23</v>
      </c>
      <c r="J4870" s="36">
        <f t="shared" si="20"/>
        <v>46064.3963</v>
      </c>
      <c r="K4870" s="69"/>
      <c r="L4870" s="49"/>
      <c r="M4870" s="36" t="str">
        <f t="shared" si="33"/>
        <v/>
      </c>
      <c r="N4870" s="30" t="str">
        <f t="shared" si="34"/>
        <v>BT atau SU Belum Valid</v>
      </c>
      <c r="O4870" s="39" t="str">
        <f t="shared" si="23"/>
        <v/>
      </c>
      <c r="P4870" s="47" t="b">
        <v>0</v>
      </c>
      <c r="Q4870" s="36" t="str">
        <f t="shared" si="35"/>
        <v/>
      </c>
      <c r="R4870" s="47" t="b">
        <v>0</v>
      </c>
      <c r="S4870" s="42" t="str">
        <f t="shared" si="28"/>
        <v/>
      </c>
      <c r="T4870" s="42"/>
    </row>
    <row r="4871" ht="22.5" customHeight="1">
      <c r="B4871" s="42">
        <f t="shared" si="7"/>
        <v>4865</v>
      </c>
      <c r="C4871" s="31" t="s">
        <v>4879</v>
      </c>
      <c r="D4871" s="34" t="str">
        <f t="array" ref="D4871">IFNA(_xlfn.XLOOKUP(C4871,Table_Tarikan_Warkah[Nomor Sertipikat],Table_Tarikan_Warkah[Nomor Tiket]),"")</f>
        <v>ABFTEVKB</v>
      </c>
      <c r="E4871" s="36">
        <f t="array" ref="E4871">IFNA(_xlfn.XLOOKUP(D4871,Table_Tarikan_Warkah[Nomor Tiket],Table_Tarikan_Warkah[Tanggal diserahkan kepada Validator]),"")</f>
        <v>46020.65238</v>
      </c>
      <c r="F4871" s="36" t="str">
        <f t="array" ref="F4871">IFNA(_xlfn.XLOOKUP(D4871,Table_Tarikan_Warkah[Nomor Tiket],Table_Tarikan_Warkah[Nama Petugas Warkah]),"")</f>
        <v>Berry</v>
      </c>
      <c r="G4871" s="39" t="str">
        <f t="array" ref="G4871">IFNA(_xlfn.XLOOKUP(D4871,Table_Tarikan_Warkah[Nomor Tiket],Table_Tarikan_Warkah[Jenis Permohonan]),"")</f>
        <v>Peralihan hak</v>
      </c>
      <c r="H4871" s="41" t="s">
        <v>2315</v>
      </c>
      <c r="I4871" s="49" t="s">
        <v>23</v>
      </c>
      <c r="J4871" s="36">
        <f t="shared" si="20"/>
        <v>46064.39733</v>
      </c>
      <c r="K4871" s="69"/>
      <c r="L4871" s="49"/>
      <c r="M4871" s="36" t="str">
        <f t="shared" si="33"/>
        <v/>
      </c>
      <c r="N4871" s="30" t="str">
        <f t="shared" si="34"/>
        <v>BT atau SU Belum Valid</v>
      </c>
      <c r="O4871" s="39" t="str">
        <f t="shared" si="23"/>
        <v/>
      </c>
      <c r="P4871" s="47" t="b">
        <v>0</v>
      </c>
      <c r="Q4871" s="36" t="str">
        <f t="shared" si="35"/>
        <v/>
      </c>
      <c r="R4871" s="47" t="b">
        <v>0</v>
      </c>
      <c r="S4871" s="42" t="str">
        <f t="shared" si="28"/>
        <v/>
      </c>
      <c r="T4871" s="42"/>
    </row>
    <row r="4872" ht="22.5" customHeight="1">
      <c r="B4872" s="42">
        <f t="shared" si="7"/>
        <v>4866</v>
      </c>
      <c r="C4872" s="31" t="s">
        <v>4880</v>
      </c>
      <c r="D4872" s="34" t="str">
        <f t="array" ref="D4872">IFNA(_xlfn.XLOOKUP(C4872,Table_Tarikan_Warkah[Nomor Sertipikat],Table_Tarikan_Warkah[Nomor Tiket]),"")</f>
        <v>AB059/ABORMXKV</v>
      </c>
      <c r="E4872" s="36" t="str">
        <f t="array" ref="E4872">IFNA(_xlfn.XLOOKUP(D4872,Table_Tarikan_Warkah[Nomor Tiket],Table_Tarikan_Warkah[Tanggal diserahkan kepada Validator]),"")</f>
        <v/>
      </c>
      <c r="F4872" s="36" t="str">
        <f t="array" ref="F4872">IFNA(_xlfn.XLOOKUP(D4872,Table_Tarikan_Warkah[Nomor Tiket],Table_Tarikan_Warkah[Nama Petugas Warkah]),"")</f>
        <v/>
      </c>
      <c r="G4872" s="39" t="str">
        <f t="array" ref="G4872">IFNA(_xlfn.XLOOKUP(D4872,Table_Tarikan_Warkah[Nomor Tiket],Table_Tarikan_Warkah[Jenis Permohonan]),"")</f>
        <v>BN</v>
      </c>
      <c r="H4872" s="41" t="s">
        <v>2315</v>
      </c>
      <c r="I4872" s="49" t="s">
        <v>23</v>
      </c>
      <c r="J4872" s="36">
        <f t="shared" si="20"/>
        <v>46064.3977</v>
      </c>
      <c r="K4872" s="69"/>
      <c r="L4872" s="49"/>
      <c r="M4872" s="36" t="str">
        <f t="shared" si="33"/>
        <v/>
      </c>
      <c r="N4872" s="30" t="str">
        <f t="shared" si="34"/>
        <v>BT atau SU Belum Valid</v>
      </c>
      <c r="O4872" s="39" t="str">
        <f t="shared" si="23"/>
        <v/>
      </c>
      <c r="P4872" s="47" t="b">
        <v>0</v>
      </c>
      <c r="Q4872" s="36" t="str">
        <f t="shared" si="35"/>
        <v/>
      </c>
      <c r="R4872" s="47" t="b">
        <v>0</v>
      </c>
      <c r="S4872" s="42" t="str">
        <f t="shared" si="28"/>
        <v/>
      </c>
      <c r="T4872" s="42"/>
    </row>
    <row r="4873" ht="22.5" customHeight="1">
      <c r="B4873" s="42">
        <f t="shared" si="7"/>
        <v>4867</v>
      </c>
      <c r="C4873" s="31" t="s">
        <v>4881</v>
      </c>
      <c r="D4873" s="34" t="str">
        <f t="array" ref="D4873">IFNA(_xlfn.XLOOKUP(C4873,Table_Tarikan_Warkah[Nomor Sertipikat],Table_Tarikan_Warkah[Nomor Tiket]),"")</f>
        <v>L/1/120126/1</v>
      </c>
      <c r="E4873" s="36" t="str">
        <f t="array" ref="E4873">IFNA(_xlfn.XLOOKUP(D4873,Table_Tarikan_Warkah[Nomor Tiket],Table_Tarikan_Warkah[Tanggal diserahkan kepada Validator]),"")</f>
        <v/>
      </c>
      <c r="F4873" s="36" t="str">
        <f t="array" ref="F4873">IFNA(_xlfn.XLOOKUP(D4873,Table_Tarikan_Warkah[Nomor Tiket],Table_Tarikan_Warkah[Nama Petugas Warkah]),"")</f>
        <v/>
      </c>
      <c r="G4873" s="39" t="str">
        <f t="array" ref="G4873">IFNA(_xlfn.XLOOKUP(D4873,Table_Tarikan_Warkah[Nomor Tiket],Table_Tarikan_Warkah[Jenis Permohonan]),"")</f>
        <v>GANTI NAMA</v>
      </c>
      <c r="H4873" s="41" t="s">
        <v>2315</v>
      </c>
      <c r="I4873" s="49" t="s">
        <v>23</v>
      </c>
      <c r="J4873" s="36">
        <f t="shared" si="20"/>
        <v>46064.3981</v>
      </c>
      <c r="K4873" s="69"/>
      <c r="L4873" s="49"/>
      <c r="M4873" s="36" t="str">
        <f t="shared" si="33"/>
        <v/>
      </c>
      <c r="N4873" s="30" t="str">
        <f t="shared" si="34"/>
        <v>BT atau SU Belum Valid</v>
      </c>
      <c r="O4873" s="39" t="str">
        <f t="shared" si="23"/>
        <v/>
      </c>
      <c r="P4873" s="47" t="b">
        <v>0</v>
      </c>
      <c r="Q4873" s="36" t="str">
        <f t="shared" si="35"/>
        <v/>
      </c>
      <c r="R4873" s="47" t="b">
        <v>0</v>
      </c>
      <c r="S4873" s="42" t="str">
        <f t="shared" si="28"/>
        <v/>
      </c>
      <c r="T4873" s="42"/>
    </row>
    <row r="4874" ht="22.5" customHeight="1">
      <c r="B4874" s="42">
        <f t="shared" si="7"/>
        <v>4868</v>
      </c>
      <c r="C4874" s="31" t="s">
        <v>4882</v>
      </c>
      <c r="D4874" s="34" t="str">
        <f t="array" ref="D4874">IFNA(_xlfn.XLOOKUP(C4874,Table_Tarikan_Warkah[Nomor Sertipikat],Table_Tarikan_Warkah[Nomor Tiket]),"")</f>
        <v>ABKOACDR/AB078/AB079</v>
      </c>
      <c r="E4874" s="36" t="str">
        <f t="array" ref="E4874">IFNA(_xlfn.XLOOKUP(D4874,Table_Tarikan_Warkah[Nomor Tiket],Table_Tarikan_Warkah[Tanggal diserahkan kepada Validator]),"")</f>
        <v/>
      </c>
      <c r="F4874" s="36" t="str">
        <f t="array" ref="F4874">IFNA(_xlfn.XLOOKUP(D4874,Table_Tarikan_Warkah[Nomor Tiket],Table_Tarikan_Warkah[Nama Petugas Warkah]),"")</f>
        <v/>
      </c>
      <c r="G4874" s="39" t="str">
        <f t="array" ref="G4874">IFNA(_xlfn.XLOOKUP(D4874,Table_Tarikan_Warkah[Nomor Tiket],Table_Tarikan_Warkah[Jenis Permohonan]),"")</f>
        <v>BN Waris</v>
      </c>
      <c r="H4874" s="41" t="s">
        <v>2315</v>
      </c>
      <c r="I4874" s="49" t="s">
        <v>23</v>
      </c>
      <c r="J4874" s="36">
        <f t="shared" si="20"/>
        <v>46064.39835</v>
      </c>
      <c r="K4874" s="69"/>
      <c r="L4874" s="49"/>
      <c r="M4874" s="36" t="str">
        <f t="shared" si="33"/>
        <v/>
      </c>
      <c r="N4874" s="30" t="str">
        <f t="shared" si="34"/>
        <v>BT atau SU Belum Valid</v>
      </c>
      <c r="O4874" s="39" t="str">
        <f t="shared" si="23"/>
        <v/>
      </c>
      <c r="P4874" s="47" t="b">
        <v>0</v>
      </c>
      <c r="Q4874" s="36" t="str">
        <f t="shared" si="35"/>
        <v/>
      </c>
      <c r="R4874" s="47" t="b">
        <v>0</v>
      </c>
      <c r="S4874" s="42" t="str">
        <f t="shared" si="28"/>
        <v/>
      </c>
      <c r="T4874" s="42"/>
    </row>
    <row r="4875" ht="22.5" customHeight="1">
      <c r="B4875" s="42">
        <f t="shared" si="7"/>
        <v>4869</v>
      </c>
      <c r="C4875" s="31" t="s">
        <v>4883</v>
      </c>
      <c r="D4875" s="34" t="str">
        <f t="array" ref="D4875">IFNA(_xlfn.XLOOKUP(C4875,Table_Tarikan_Warkah[Nomor Sertipikat],Table_Tarikan_Warkah[Nomor Tiket]),"")</f>
        <v>ABGNNKWE/AB070</v>
      </c>
      <c r="E4875" s="36" t="str">
        <f t="array" ref="E4875">IFNA(_xlfn.XLOOKUP(D4875,Table_Tarikan_Warkah[Nomor Tiket],Table_Tarikan_Warkah[Tanggal diserahkan kepada Validator]),"")</f>
        <v/>
      </c>
      <c r="F4875" s="36" t="str">
        <f t="array" ref="F4875">IFNA(_xlfn.XLOOKUP(D4875,Table_Tarikan_Warkah[Nomor Tiket],Table_Tarikan_Warkah[Nama Petugas Warkah]),"")</f>
        <v/>
      </c>
      <c r="G4875" s="39" t="str">
        <f t="array" ref="G4875">IFNA(_xlfn.XLOOKUP(D4875,Table_Tarikan_Warkah[Nomor Tiket],Table_Tarikan_Warkah[Jenis Permohonan]),"")</f>
        <v>Bn waris</v>
      </c>
      <c r="H4875" s="41" t="s">
        <v>2315</v>
      </c>
      <c r="I4875" s="49" t="s">
        <v>23</v>
      </c>
      <c r="J4875" s="36">
        <f t="shared" si="20"/>
        <v>46064.39871</v>
      </c>
      <c r="K4875" s="69"/>
      <c r="L4875" s="49"/>
      <c r="M4875" s="36" t="str">
        <f t="shared" si="33"/>
        <v/>
      </c>
      <c r="N4875" s="30" t="str">
        <f t="shared" si="34"/>
        <v>BT atau SU Belum Valid</v>
      </c>
      <c r="O4875" s="39" t="str">
        <f t="shared" si="23"/>
        <v/>
      </c>
      <c r="P4875" s="47" t="b">
        <v>0</v>
      </c>
      <c r="Q4875" s="36" t="str">
        <f t="shared" si="35"/>
        <v/>
      </c>
      <c r="R4875" s="47" t="b">
        <v>0</v>
      </c>
      <c r="S4875" s="42" t="str">
        <f t="shared" si="28"/>
        <v/>
      </c>
      <c r="T4875" s="42"/>
    </row>
    <row r="4876" ht="22.5" customHeight="1">
      <c r="B4876" s="42">
        <f t="shared" si="7"/>
        <v>4870</v>
      </c>
      <c r="C4876" s="31" t="s">
        <v>4884</v>
      </c>
      <c r="D4876" s="34" t="str">
        <f t="array" ref="D4876">IFNA(_xlfn.XLOOKUP(C4876,Table_Tarikan_Warkah[Nomor Sertipikat],Table_Tarikan_Warkah[Nomor Tiket]),"")</f>
        <v>Abnocaja</v>
      </c>
      <c r="E4876" s="36" t="str">
        <f t="array" ref="E4876">IFNA(_xlfn.XLOOKUP(D4876,Table_Tarikan_Warkah[Nomor Tiket],Table_Tarikan_Warkah[Tanggal diserahkan kepada Validator]),"")</f>
        <v/>
      </c>
      <c r="F4876" s="36" t="str">
        <f t="array" ref="F4876">IFNA(_xlfn.XLOOKUP(D4876,Table_Tarikan_Warkah[Nomor Tiket],Table_Tarikan_Warkah[Nama Petugas Warkah]),"")</f>
        <v/>
      </c>
      <c r="G4876" s="39" t="str">
        <f t="array" ref="G4876">IFNA(_xlfn.XLOOKUP(D4876,Table_Tarikan_Warkah[Nomor Tiket],Table_Tarikan_Warkah[Jenis Permohonan]),"")</f>
        <v>BN JUAL BELI</v>
      </c>
      <c r="H4876" s="41" t="s">
        <v>2315</v>
      </c>
      <c r="I4876" s="49" t="s">
        <v>23</v>
      </c>
      <c r="J4876" s="36">
        <f t="shared" si="20"/>
        <v>46064.39891</v>
      </c>
      <c r="K4876" s="69"/>
      <c r="L4876" s="49"/>
      <c r="M4876" s="36" t="str">
        <f t="shared" si="33"/>
        <v/>
      </c>
      <c r="N4876" s="30" t="str">
        <f t="shared" si="34"/>
        <v>BT atau SU Belum Valid</v>
      </c>
      <c r="O4876" s="39" t="str">
        <f t="shared" si="23"/>
        <v/>
      </c>
      <c r="P4876" s="47" t="b">
        <v>0</v>
      </c>
      <c r="Q4876" s="36" t="str">
        <f t="shared" si="35"/>
        <v/>
      </c>
      <c r="R4876" s="47" t="b">
        <v>0</v>
      </c>
      <c r="S4876" s="42" t="str">
        <f t="shared" si="28"/>
        <v/>
      </c>
      <c r="T4876" s="42"/>
    </row>
    <row r="4877" ht="22.5" customHeight="1">
      <c r="B4877" s="42">
        <f t="shared" si="7"/>
        <v>4871</v>
      </c>
      <c r="C4877" s="31" t="s">
        <v>4885</v>
      </c>
      <c r="D4877" s="34" t="str">
        <f t="array" ref="D4877">IFNA(_xlfn.XLOOKUP(C4877,Table_Tarikan_Warkah[Nomor Sertipikat],Table_Tarikan_Warkah[Nomor Tiket]),"")</f>
        <v>ABXZEGTL</v>
      </c>
      <c r="E4877" s="36" t="str">
        <f t="array" ref="E4877">IFNA(_xlfn.XLOOKUP(D4877,Table_Tarikan_Warkah[Nomor Tiket],Table_Tarikan_Warkah[Tanggal diserahkan kepada Validator]),"")</f>
        <v/>
      </c>
      <c r="F4877" s="36" t="str">
        <f t="array" ref="F4877">IFNA(_xlfn.XLOOKUP(D4877,Table_Tarikan_Warkah[Nomor Tiket],Table_Tarikan_Warkah[Nama Petugas Warkah]),"")</f>
        <v/>
      </c>
      <c r="G4877" s="39" t="str">
        <f t="array" ref="G4877">IFNA(_xlfn.XLOOKUP(D4877,Table_Tarikan_Warkah[Nomor Tiket],Table_Tarikan_Warkah[Jenis Permohonan]),"")</f>
        <v>bn waris</v>
      </c>
      <c r="H4877" s="41" t="s">
        <v>2315</v>
      </c>
      <c r="I4877" s="49" t="s">
        <v>23</v>
      </c>
      <c r="J4877" s="36">
        <f t="shared" si="20"/>
        <v>46064.39932</v>
      </c>
      <c r="K4877" s="69"/>
      <c r="L4877" s="49"/>
      <c r="M4877" s="36" t="str">
        <f t="shared" si="33"/>
        <v/>
      </c>
      <c r="N4877" s="30" t="str">
        <f t="shared" si="34"/>
        <v>BT atau SU Belum Valid</v>
      </c>
      <c r="O4877" s="39" t="str">
        <f t="shared" si="23"/>
        <v/>
      </c>
      <c r="P4877" s="47" t="b">
        <v>0</v>
      </c>
      <c r="Q4877" s="36" t="str">
        <f t="shared" si="35"/>
        <v/>
      </c>
      <c r="R4877" s="47" t="b">
        <v>0</v>
      </c>
      <c r="S4877" s="42" t="str">
        <f t="shared" si="28"/>
        <v/>
      </c>
      <c r="T4877" s="42"/>
    </row>
    <row r="4878" ht="22.5" customHeight="1">
      <c r="B4878" s="42">
        <f t="shared" si="7"/>
        <v>4872</v>
      </c>
      <c r="C4878" s="31" t="s">
        <v>4886</v>
      </c>
      <c r="D4878" s="34" t="str">
        <f t="array" ref="D4878">IFNA(_xlfn.XLOOKUP(C4878,Table_Tarikan_Warkah[Nomor Sertipikat],Table_Tarikan_Warkah[Nomor Tiket]),"")</f>
        <v>ABADOPTV</v>
      </c>
      <c r="E4878" s="36" t="str">
        <f t="array" ref="E4878">IFNA(_xlfn.XLOOKUP(D4878,Table_Tarikan_Warkah[Nomor Tiket],Table_Tarikan_Warkah[Tanggal diserahkan kepada Validator]),"")</f>
        <v/>
      </c>
      <c r="F4878" s="36" t="str">
        <f t="array" ref="F4878">IFNA(_xlfn.XLOOKUP(D4878,Table_Tarikan_Warkah[Nomor Tiket],Table_Tarikan_Warkah[Nama Petugas Warkah]),"")</f>
        <v/>
      </c>
      <c r="G4878" s="39" t="str">
        <f t="array" ref="G4878">IFNA(_xlfn.XLOOKUP(D4878,Table_Tarikan_Warkah[Nomor Tiket],Table_Tarikan_Warkah[Jenis Permohonan]),"")</f>
        <v>bn waris</v>
      </c>
      <c r="H4878" s="41" t="s">
        <v>2315</v>
      </c>
      <c r="I4878" s="49" t="s">
        <v>23</v>
      </c>
      <c r="J4878" s="36">
        <f t="shared" si="20"/>
        <v>46064.39967</v>
      </c>
      <c r="K4878" s="69"/>
      <c r="L4878" s="49"/>
      <c r="M4878" s="36" t="str">
        <f t="shared" si="33"/>
        <v/>
      </c>
      <c r="N4878" s="30" t="str">
        <f t="shared" si="34"/>
        <v>BT atau SU Belum Valid</v>
      </c>
      <c r="O4878" s="39" t="str">
        <f t="shared" si="23"/>
        <v/>
      </c>
      <c r="P4878" s="47" t="b">
        <v>0</v>
      </c>
      <c r="Q4878" s="36" t="str">
        <f t="shared" si="35"/>
        <v/>
      </c>
      <c r="R4878" s="47" t="b">
        <v>0</v>
      </c>
      <c r="S4878" s="42" t="str">
        <f t="shared" si="28"/>
        <v/>
      </c>
      <c r="T4878" s="42"/>
    </row>
    <row r="4879" ht="22.5" customHeight="1">
      <c r="B4879" s="42">
        <f t="shared" si="7"/>
        <v>4873</v>
      </c>
      <c r="C4879" s="31" t="s">
        <v>4887</v>
      </c>
      <c r="D4879" s="34" t="str">
        <f t="array" ref="D4879">IFNA(_xlfn.XLOOKUP(C4879,Table_Tarikan_Warkah[Nomor Sertipikat],Table_Tarikan_Warkah[Nomor Tiket]),"")</f>
        <v>ABOPVFBI</v>
      </c>
      <c r="E4879" s="36" t="str">
        <f t="array" ref="E4879">IFNA(_xlfn.XLOOKUP(D4879,Table_Tarikan_Warkah[Nomor Tiket],Table_Tarikan_Warkah[Tanggal diserahkan kepada Validator]),"")</f>
        <v/>
      </c>
      <c r="F4879" s="36" t="str">
        <f t="array" ref="F4879">IFNA(_xlfn.XLOOKUP(D4879,Table_Tarikan_Warkah[Nomor Tiket],Table_Tarikan_Warkah[Nama Petugas Warkah]),"")</f>
        <v/>
      </c>
      <c r="G4879" s="39" t="str">
        <f t="array" ref="G4879">IFNA(_xlfn.XLOOKUP(D4879,Table_Tarikan_Warkah[Nomor Tiket],Table_Tarikan_Warkah[Jenis Permohonan]),"")</f>
        <v>Ganti Nama</v>
      </c>
      <c r="H4879" s="41" t="s">
        <v>2315</v>
      </c>
      <c r="I4879" s="49" t="s">
        <v>23</v>
      </c>
      <c r="J4879" s="36">
        <f t="shared" si="20"/>
        <v>46064.39998</v>
      </c>
      <c r="K4879" s="69"/>
      <c r="L4879" s="49"/>
      <c r="M4879" s="36" t="str">
        <f t="shared" si="33"/>
        <v/>
      </c>
      <c r="N4879" s="30" t="str">
        <f t="shared" si="34"/>
        <v>BT atau SU Belum Valid</v>
      </c>
      <c r="O4879" s="39" t="str">
        <f t="shared" si="23"/>
        <v/>
      </c>
      <c r="P4879" s="47" t="b">
        <v>0</v>
      </c>
      <c r="Q4879" s="36" t="str">
        <f t="shared" si="35"/>
        <v/>
      </c>
      <c r="R4879" s="47" t="b">
        <v>0</v>
      </c>
      <c r="S4879" s="42" t="str">
        <f t="shared" si="28"/>
        <v/>
      </c>
      <c r="T4879" s="42"/>
    </row>
    <row r="4880" ht="22.5" customHeight="1">
      <c r="B4880" s="42">
        <f t="shared" si="7"/>
        <v>4874</v>
      </c>
      <c r="C4880" s="31" t="s">
        <v>4888</v>
      </c>
      <c r="D4880" s="34" t="str">
        <f t="array" ref="D4880">IFNA(_xlfn.XLOOKUP(C4880,Table_Tarikan_Warkah[Nomor Sertipikat],Table_Tarikan_Warkah[Nomor Tiket]),"")</f>
        <v>ABHRQKYW</v>
      </c>
      <c r="E4880" s="36" t="str">
        <f t="array" ref="E4880">IFNA(_xlfn.XLOOKUP(D4880,Table_Tarikan_Warkah[Nomor Tiket],Table_Tarikan_Warkah[Tanggal diserahkan kepada Validator]),"")</f>
        <v/>
      </c>
      <c r="F4880" s="36" t="str">
        <f t="array" ref="F4880">IFNA(_xlfn.XLOOKUP(D4880,Table_Tarikan_Warkah[Nomor Tiket],Table_Tarikan_Warkah[Nama Petugas Warkah]),"")</f>
        <v/>
      </c>
      <c r="G4880" s="39" t="str">
        <f t="array" ref="G4880">IFNA(_xlfn.XLOOKUP(D4880,Table_Tarikan_Warkah[Nomor Tiket],Table_Tarikan_Warkah[Jenis Permohonan]),"")</f>
        <v>Ganti Nama</v>
      </c>
      <c r="H4880" s="41" t="s">
        <v>2315</v>
      </c>
      <c r="I4880" s="49" t="s">
        <v>23</v>
      </c>
      <c r="J4880" s="36">
        <f t="shared" si="20"/>
        <v>46064.40024</v>
      </c>
      <c r="K4880" s="69"/>
      <c r="L4880" s="49"/>
      <c r="M4880" s="36" t="str">
        <f t="shared" si="33"/>
        <v/>
      </c>
      <c r="N4880" s="30" t="str">
        <f t="shared" si="34"/>
        <v>BT atau SU Belum Valid</v>
      </c>
      <c r="O4880" s="39" t="str">
        <f t="shared" si="23"/>
        <v/>
      </c>
      <c r="P4880" s="47" t="b">
        <v>0</v>
      </c>
      <c r="Q4880" s="36" t="str">
        <f t="shared" si="35"/>
        <v/>
      </c>
      <c r="R4880" s="47" t="b">
        <v>0</v>
      </c>
      <c r="S4880" s="42" t="str">
        <f t="shared" si="28"/>
        <v/>
      </c>
      <c r="T4880" s="42"/>
    </row>
    <row r="4881" ht="22.5" customHeight="1">
      <c r="B4881" s="42">
        <f t="shared" si="7"/>
        <v>4875</v>
      </c>
      <c r="C4881" s="31" t="s">
        <v>4889</v>
      </c>
      <c r="D4881" s="34" t="str">
        <f t="array" ref="D4881">IFNA(_xlfn.XLOOKUP(C4881,Table_Tarikan_Warkah[Nomor Sertipikat],Table_Tarikan_Warkah[Nomor Tiket]),"")</f>
        <v>ABJJQDSB</v>
      </c>
      <c r="E4881" s="36" t="str">
        <f t="array" ref="E4881">IFNA(_xlfn.XLOOKUP(D4881,Table_Tarikan_Warkah[Nomor Tiket],Table_Tarikan_Warkah[Tanggal diserahkan kepada Validator]),"")</f>
        <v/>
      </c>
      <c r="F4881" s="36" t="str">
        <f t="array" ref="F4881">IFNA(_xlfn.XLOOKUP(D4881,Table_Tarikan_Warkah[Nomor Tiket],Table_Tarikan_Warkah[Nama Petugas Warkah]),"")</f>
        <v/>
      </c>
      <c r="G4881" s="39" t="str">
        <f t="array" ref="G4881">IFNA(_xlfn.XLOOKUP(D4881,Table_Tarikan_Warkah[Nomor Tiket],Table_Tarikan_Warkah[Jenis Permohonan]),"")</f>
        <v>Ganti Nama</v>
      </c>
      <c r="H4881" s="41" t="s">
        <v>2315</v>
      </c>
      <c r="I4881" s="49" t="s">
        <v>23</v>
      </c>
      <c r="J4881" s="36">
        <f t="shared" si="20"/>
        <v>46064.40057</v>
      </c>
      <c r="K4881" s="69"/>
      <c r="L4881" s="49"/>
      <c r="M4881" s="36" t="str">
        <f t="shared" si="33"/>
        <v/>
      </c>
      <c r="N4881" s="30" t="str">
        <f t="shared" si="34"/>
        <v>BT atau SU Belum Valid</v>
      </c>
      <c r="O4881" s="39" t="str">
        <f t="shared" si="23"/>
        <v/>
      </c>
      <c r="P4881" s="47" t="b">
        <v>0</v>
      </c>
      <c r="Q4881" s="36" t="str">
        <f t="shared" si="35"/>
        <v/>
      </c>
      <c r="R4881" s="47" t="b">
        <v>0</v>
      </c>
      <c r="S4881" s="42" t="str">
        <f t="shared" si="28"/>
        <v/>
      </c>
      <c r="T4881" s="42"/>
    </row>
    <row r="4882" ht="22.5" customHeight="1">
      <c r="B4882" s="42">
        <f t="shared" si="7"/>
        <v>4876</v>
      </c>
      <c r="C4882" s="31" t="s">
        <v>4890</v>
      </c>
      <c r="D4882" s="34" t="str">
        <f t="array" ref="D4882">IFNA(_xlfn.XLOOKUP(C4882,Table_Tarikan_Warkah[Nomor Sertipikat],Table_Tarikan_Warkah[Nomor Tiket]),"")</f>
        <v>ABFAJEJO</v>
      </c>
      <c r="E4882" s="36" t="str">
        <f t="array" ref="E4882">IFNA(_xlfn.XLOOKUP(D4882,Table_Tarikan_Warkah[Nomor Tiket],Table_Tarikan_Warkah[Tanggal diserahkan kepada Validator]),"")</f>
        <v/>
      </c>
      <c r="F4882" s="36" t="str">
        <f t="array" ref="F4882">IFNA(_xlfn.XLOOKUP(D4882,Table_Tarikan_Warkah[Nomor Tiket],Table_Tarikan_Warkah[Nama Petugas Warkah]),"")</f>
        <v/>
      </c>
      <c r="G4882" s="39" t="str">
        <f t="array" ref="G4882">IFNA(_xlfn.XLOOKUP(D4882,Table_Tarikan_Warkah[Nomor Tiket],Table_Tarikan_Warkah[Jenis Permohonan]),"")</f>
        <v>Ganti Nama</v>
      </c>
      <c r="H4882" s="41" t="s">
        <v>2315</v>
      </c>
      <c r="I4882" s="49" t="s">
        <v>23</v>
      </c>
      <c r="J4882" s="36">
        <f t="shared" si="20"/>
        <v>46064.40089</v>
      </c>
      <c r="K4882" s="69"/>
      <c r="L4882" s="49"/>
      <c r="M4882" s="36" t="str">
        <f t="shared" si="33"/>
        <v/>
      </c>
      <c r="N4882" s="30" t="str">
        <f t="shared" si="34"/>
        <v>BT atau SU Belum Valid</v>
      </c>
      <c r="O4882" s="39" t="str">
        <f t="shared" si="23"/>
        <v/>
      </c>
      <c r="P4882" s="47" t="b">
        <v>0</v>
      </c>
      <c r="Q4882" s="36" t="str">
        <f t="shared" si="35"/>
        <v/>
      </c>
      <c r="R4882" s="47" t="b">
        <v>0</v>
      </c>
      <c r="S4882" s="42" t="str">
        <f t="shared" si="28"/>
        <v/>
      </c>
      <c r="T4882" s="42"/>
    </row>
    <row r="4883" ht="22.5" customHeight="1">
      <c r="B4883" s="42">
        <f t="shared" si="7"/>
        <v>4877</v>
      </c>
      <c r="C4883" s="31" t="s">
        <v>4891</v>
      </c>
      <c r="D4883" s="34" t="str">
        <f t="array" ref="D4883">IFNA(_xlfn.XLOOKUP(C4883,Table_Tarikan_Warkah[Nomor Sertipikat],Table_Tarikan_Warkah[Nomor Tiket]),"")</f>
        <v>ABMIBPHC</v>
      </c>
      <c r="E4883" s="36" t="str">
        <f t="array" ref="E4883">IFNA(_xlfn.XLOOKUP(D4883,Table_Tarikan_Warkah[Nomor Tiket],Table_Tarikan_Warkah[Tanggal diserahkan kepada Validator]),"")</f>
        <v/>
      </c>
      <c r="F4883" s="36" t="str">
        <f t="array" ref="F4883">IFNA(_xlfn.XLOOKUP(D4883,Table_Tarikan_Warkah[Nomor Tiket],Table_Tarikan_Warkah[Nama Petugas Warkah]),"")</f>
        <v/>
      </c>
      <c r="G4883" s="39" t="str">
        <f t="array" ref="G4883">IFNA(_xlfn.XLOOKUP(D4883,Table_Tarikan_Warkah[Nomor Tiket],Table_Tarikan_Warkah[Jenis Permohonan]),"")</f>
        <v>Ganti Nama</v>
      </c>
      <c r="H4883" s="41" t="s">
        <v>2315</v>
      </c>
      <c r="I4883" s="49" t="s">
        <v>23</v>
      </c>
      <c r="J4883" s="36">
        <f t="shared" si="20"/>
        <v>46064.40114</v>
      </c>
      <c r="K4883" s="69"/>
      <c r="L4883" s="49"/>
      <c r="M4883" s="36" t="str">
        <f t="shared" si="33"/>
        <v/>
      </c>
      <c r="N4883" s="30" t="str">
        <f t="shared" si="34"/>
        <v>BT atau SU Belum Valid</v>
      </c>
      <c r="O4883" s="39" t="str">
        <f t="shared" si="23"/>
        <v/>
      </c>
      <c r="P4883" s="47" t="b">
        <v>0</v>
      </c>
      <c r="Q4883" s="36" t="str">
        <f t="shared" si="35"/>
        <v/>
      </c>
      <c r="R4883" s="47" t="b">
        <v>0</v>
      </c>
      <c r="S4883" s="42" t="str">
        <f t="shared" si="28"/>
        <v/>
      </c>
      <c r="T4883" s="42"/>
    </row>
    <row r="4884" ht="22.5" customHeight="1">
      <c r="B4884" s="42">
        <f t="shared" si="7"/>
        <v>4878</v>
      </c>
      <c r="C4884" s="31" t="s">
        <v>4892</v>
      </c>
      <c r="D4884" s="34" t="str">
        <f t="array" ref="D4884">IFNA(_xlfn.XLOOKUP(C4884,Table_Tarikan_Warkah[Nomor Sertipikat],Table_Tarikan_Warkah[Nomor Tiket]),"")</f>
        <v>ABVOGHPV</v>
      </c>
      <c r="E4884" s="36" t="str">
        <f t="array" ref="E4884">IFNA(_xlfn.XLOOKUP(D4884,Table_Tarikan_Warkah[Nomor Tiket],Table_Tarikan_Warkah[Tanggal diserahkan kepada Validator]),"")</f>
        <v/>
      </c>
      <c r="F4884" s="36" t="str">
        <f t="array" ref="F4884">IFNA(_xlfn.XLOOKUP(D4884,Table_Tarikan_Warkah[Nomor Tiket],Table_Tarikan_Warkah[Nama Petugas Warkah]),"")</f>
        <v/>
      </c>
      <c r="G4884" s="39" t="str">
        <f t="array" ref="G4884">IFNA(_xlfn.XLOOKUP(D4884,Table_Tarikan_Warkah[Nomor Tiket],Table_Tarikan_Warkah[Jenis Permohonan]),"")</f>
        <v>Ganti Nama</v>
      </c>
      <c r="H4884" s="41" t="s">
        <v>2315</v>
      </c>
      <c r="I4884" s="49" t="s">
        <v>23</v>
      </c>
      <c r="J4884" s="36">
        <f t="shared" si="20"/>
        <v>46064.40158</v>
      </c>
      <c r="K4884" s="69"/>
      <c r="L4884" s="49"/>
      <c r="M4884" s="36" t="str">
        <f t="shared" si="33"/>
        <v/>
      </c>
      <c r="N4884" s="30" t="str">
        <f t="shared" si="34"/>
        <v>BT atau SU Belum Valid</v>
      </c>
      <c r="O4884" s="39" t="str">
        <f t="shared" si="23"/>
        <v/>
      </c>
      <c r="P4884" s="47" t="b">
        <v>0</v>
      </c>
      <c r="Q4884" s="36" t="str">
        <f t="shared" si="35"/>
        <v/>
      </c>
      <c r="R4884" s="47" t="b">
        <v>0</v>
      </c>
      <c r="S4884" s="42" t="str">
        <f t="shared" si="28"/>
        <v/>
      </c>
      <c r="T4884" s="42"/>
    </row>
    <row r="4885" ht="22.5" customHeight="1">
      <c r="B4885" s="42">
        <f t="shared" si="7"/>
        <v>4879</v>
      </c>
      <c r="C4885" s="31" t="s">
        <v>4893</v>
      </c>
      <c r="D4885" s="34" t="str">
        <f t="array" ref="D4885">IFNA(_xlfn.XLOOKUP(C4885,Table_Tarikan_Warkah[Nomor Sertipikat],Table_Tarikan_Warkah[Nomor Tiket]),"")</f>
        <v>ABDZAQIE</v>
      </c>
      <c r="E4885" s="36" t="str">
        <f t="array" ref="E4885">IFNA(_xlfn.XLOOKUP(D4885,Table_Tarikan_Warkah[Nomor Tiket],Table_Tarikan_Warkah[Tanggal diserahkan kepada Validator]),"")</f>
        <v/>
      </c>
      <c r="F4885" s="36" t="str">
        <f t="array" ref="F4885">IFNA(_xlfn.XLOOKUP(D4885,Table_Tarikan_Warkah[Nomor Tiket],Table_Tarikan_Warkah[Nama Petugas Warkah]),"")</f>
        <v/>
      </c>
      <c r="G4885" s="39" t="str">
        <f t="array" ref="G4885">IFNA(_xlfn.XLOOKUP(D4885,Table_Tarikan_Warkah[Nomor Tiket],Table_Tarikan_Warkah[Jenis Permohonan]),"")</f>
        <v>Ganti Nama</v>
      </c>
      <c r="H4885" s="41" t="s">
        <v>2315</v>
      </c>
      <c r="I4885" s="49" t="s">
        <v>23</v>
      </c>
      <c r="J4885" s="36">
        <f t="shared" si="20"/>
        <v>46064.40194</v>
      </c>
      <c r="K4885" s="69"/>
      <c r="L4885" s="49"/>
      <c r="M4885" s="36" t="str">
        <f t="shared" si="33"/>
        <v/>
      </c>
      <c r="N4885" s="30" t="str">
        <f t="shared" si="34"/>
        <v>BT atau SU Belum Valid</v>
      </c>
      <c r="O4885" s="39" t="str">
        <f t="shared" si="23"/>
        <v/>
      </c>
      <c r="P4885" s="47" t="b">
        <v>0</v>
      </c>
      <c r="Q4885" s="36" t="str">
        <f t="shared" si="35"/>
        <v/>
      </c>
      <c r="R4885" s="47" t="b">
        <v>0</v>
      </c>
      <c r="S4885" s="42" t="str">
        <f t="shared" si="28"/>
        <v/>
      </c>
      <c r="T4885" s="42"/>
    </row>
    <row r="4886" ht="22.5" customHeight="1">
      <c r="B4886" s="42">
        <f t="shared" si="7"/>
        <v>4880</v>
      </c>
      <c r="C4886" s="31" t="s">
        <v>4894</v>
      </c>
      <c r="D4886" s="34" t="str">
        <f t="array" ref="D4886">IFNA(_xlfn.XLOOKUP(C4886,Table_Tarikan_Warkah[Nomor Sertipikat],Table_Tarikan_Warkah[Nomor Tiket]),"")</f>
        <v>ABYYLEBX</v>
      </c>
      <c r="E4886" s="36" t="str">
        <f t="array" ref="E4886">IFNA(_xlfn.XLOOKUP(D4886,Table_Tarikan_Warkah[Nomor Tiket],Table_Tarikan_Warkah[Tanggal diserahkan kepada Validator]),"")</f>
        <v/>
      </c>
      <c r="F4886" s="36" t="str">
        <f t="array" ref="F4886">IFNA(_xlfn.XLOOKUP(D4886,Table_Tarikan_Warkah[Nomor Tiket],Table_Tarikan_Warkah[Nama Petugas Warkah]),"")</f>
        <v/>
      </c>
      <c r="G4886" s="39" t="str">
        <f t="array" ref="G4886">IFNA(_xlfn.XLOOKUP(D4886,Table_Tarikan_Warkah[Nomor Tiket],Table_Tarikan_Warkah[Jenis Permohonan]),"")</f>
        <v>Ganti Nama</v>
      </c>
      <c r="H4886" s="41" t="s">
        <v>2315</v>
      </c>
      <c r="I4886" s="49" t="s">
        <v>23</v>
      </c>
      <c r="J4886" s="36">
        <f t="shared" si="20"/>
        <v>46064.40224</v>
      </c>
      <c r="K4886" s="69"/>
      <c r="L4886" s="49"/>
      <c r="M4886" s="36" t="str">
        <f t="shared" si="33"/>
        <v/>
      </c>
      <c r="N4886" s="30" t="str">
        <f t="shared" si="34"/>
        <v>BT atau SU Belum Valid</v>
      </c>
      <c r="O4886" s="39" t="str">
        <f t="shared" si="23"/>
        <v/>
      </c>
      <c r="P4886" s="47" t="b">
        <v>0</v>
      </c>
      <c r="Q4886" s="36" t="str">
        <f t="shared" si="35"/>
        <v/>
      </c>
      <c r="R4886" s="47" t="b">
        <v>0</v>
      </c>
      <c r="S4886" s="42" t="str">
        <f t="shared" si="28"/>
        <v/>
      </c>
      <c r="T4886" s="42"/>
    </row>
    <row r="4887" ht="22.5" customHeight="1">
      <c r="B4887" s="42">
        <f t="shared" si="7"/>
        <v>4881</v>
      </c>
      <c r="C4887" s="31" t="s">
        <v>4895</v>
      </c>
      <c r="D4887" s="34" t="str">
        <f t="array" ref="D4887">IFNA(_xlfn.XLOOKUP(C4887,Table_Tarikan_Warkah[Nomor Sertipikat],Table_Tarikan_Warkah[Nomor Tiket]),"")</f>
        <v>ABFCHNZD</v>
      </c>
      <c r="E4887" s="36" t="str">
        <f t="array" ref="E4887">IFNA(_xlfn.XLOOKUP(D4887,Table_Tarikan_Warkah[Nomor Tiket],Table_Tarikan_Warkah[Tanggal diserahkan kepada Validator]),"")</f>
        <v/>
      </c>
      <c r="F4887" s="36" t="str">
        <f t="array" ref="F4887">IFNA(_xlfn.XLOOKUP(D4887,Table_Tarikan_Warkah[Nomor Tiket],Table_Tarikan_Warkah[Nama Petugas Warkah]),"")</f>
        <v/>
      </c>
      <c r="G4887" s="39" t="str">
        <f t="array" ref="G4887">IFNA(_xlfn.XLOOKUP(D4887,Table_Tarikan_Warkah[Nomor Tiket],Table_Tarikan_Warkah[Jenis Permohonan]),"")</f>
        <v>Ganti Nama</v>
      </c>
      <c r="H4887" s="41" t="s">
        <v>2315</v>
      </c>
      <c r="I4887" s="49" t="s">
        <v>23</v>
      </c>
      <c r="J4887" s="36">
        <f t="shared" si="20"/>
        <v>46064.40252</v>
      </c>
      <c r="K4887" s="69"/>
      <c r="L4887" s="49"/>
      <c r="M4887" s="36" t="str">
        <f t="shared" si="33"/>
        <v/>
      </c>
      <c r="N4887" s="30" t="str">
        <f t="shared" si="34"/>
        <v>BT atau SU Belum Valid</v>
      </c>
      <c r="O4887" s="39" t="str">
        <f t="shared" si="23"/>
        <v/>
      </c>
      <c r="P4887" s="47" t="b">
        <v>0</v>
      </c>
      <c r="Q4887" s="36" t="str">
        <f t="shared" si="35"/>
        <v/>
      </c>
      <c r="R4887" s="47" t="b">
        <v>0</v>
      </c>
      <c r="S4887" s="42" t="str">
        <f t="shared" si="28"/>
        <v/>
      </c>
      <c r="T4887" s="42"/>
    </row>
    <row r="4888" ht="22.5" customHeight="1">
      <c r="B4888" s="42">
        <f t="shared" si="7"/>
        <v>4882</v>
      </c>
      <c r="C4888" s="31" t="s">
        <v>4896</v>
      </c>
      <c r="D4888" s="34" t="str">
        <f t="array" ref="D4888">IFNA(_xlfn.XLOOKUP(C4888,Table_Tarikan_Warkah[Nomor Sertipikat],Table_Tarikan_Warkah[Nomor Tiket]),"")</f>
        <v>ABVEADHZ</v>
      </c>
      <c r="E4888" s="36" t="str">
        <f t="array" ref="E4888">IFNA(_xlfn.XLOOKUP(D4888,Table_Tarikan_Warkah[Nomor Tiket],Table_Tarikan_Warkah[Tanggal diserahkan kepada Validator]),"")</f>
        <v/>
      </c>
      <c r="F4888" s="36" t="str">
        <f t="array" ref="F4888">IFNA(_xlfn.XLOOKUP(D4888,Table_Tarikan_Warkah[Nomor Tiket],Table_Tarikan_Warkah[Nama Petugas Warkah]),"")</f>
        <v/>
      </c>
      <c r="G4888" s="39" t="str">
        <f t="array" ref="G4888">IFNA(_xlfn.XLOOKUP(D4888,Table_Tarikan_Warkah[Nomor Tiket],Table_Tarikan_Warkah[Jenis Permohonan]),"")</f>
        <v>Ganti nama</v>
      </c>
      <c r="H4888" s="41" t="s">
        <v>2315</v>
      </c>
      <c r="I4888" s="49" t="s">
        <v>23</v>
      </c>
      <c r="J4888" s="36">
        <f t="shared" si="20"/>
        <v>46064.40284</v>
      </c>
      <c r="K4888" s="69"/>
      <c r="L4888" s="49"/>
      <c r="M4888" s="36" t="str">
        <f t="shared" si="33"/>
        <v/>
      </c>
      <c r="N4888" s="30" t="str">
        <f t="shared" si="34"/>
        <v>BT atau SU Belum Valid</v>
      </c>
      <c r="O4888" s="39" t="str">
        <f t="shared" si="23"/>
        <v/>
      </c>
      <c r="P4888" s="47" t="b">
        <v>0</v>
      </c>
      <c r="Q4888" s="36" t="str">
        <f t="shared" si="35"/>
        <v/>
      </c>
      <c r="R4888" s="47" t="b">
        <v>0</v>
      </c>
      <c r="S4888" s="42" t="str">
        <f t="shared" si="28"/>
        <v/>
      </c>
      <c r="T4888" s="42"/>
    </row>
    <row r="4889" ht="22.5" customHeight="1">
      <c r="B4889" s="42">
        <f t="shared" si="7"/>
        <v>4883</v>
      </c>
      <c r="C4889" s="31" t="s">
        <v>4897</v>
      </c>
      <c r="D4889" s="34" t="str">
        <f t="array" ref="D4889">IFNA(_xlfn.XLOOKUP(C4889,Table_Tarikan_Warkah[Nomor Sertipikat],Table_Tarikan_Warkah[Nomor Tiket]),"")</f>
        <v>ABBWSASX</v>
      </c>
      <c r="E4889" s="36" t="str">
        <f t="array" ref="E4889">IFNA(_xlfn.XLOOKUP(D4889,Table_Tarikan_Warkah[Nomor Tiket],Table_Tarikan_Warkah[Tanggal diserahkan kepada Validator]),"")</f>
        <v/>
      </c>
      <c r="F4889" s="36" t="str">
        <f t="array" ref="F4889">IFNA(_xlfn.XLOOKUP(D4889,Table_Tarikan_Warkah[Nomor Tiket],Table_Tarikan_Warkah[Nama Petugas Warkah]),"")</f>
        <v/>
      </c>
      <c r="G4889" s="39" t="str">
        <f t="array" ref="G4889">IFNA(_xlfn.XLOOKUP(D4889,Table_Tarikan_Warkah[Nomor Tiket],Table_Tarikan_Warkah[Jenis Permohonan]),"")</f>
        <v>Ganti Nama</v>
      </c>
      <c r="H4889" s="41" t="s">
        <v>2315</v>
      </c>
      <c r="I4889" s="49" t="s">
        <v>23</v>
      </c>
      <c r="J4889" s="36">
        <f t="shared" si="20"/>
        <v>46064.40313</v>
      </c>
      <c r="K4889" s="69"/>
      <c r="L4889" s="49"/>
      <c r="M4889" s="36" t="str">
        <f t="shared" si="33"/>
        <v/>
      </c>
      <c r="N4889" s="30" t="str">
        <f t="shared" si="34"/>
        <v>BT atau SU Belum Valid</v>
      </c>
      <c r="O4889" s="39" t="str">
        <f t="shared" si="23"/>
        <v/>
      </c>
      <c r="P4889" s="47" t="b">
        <v>0</v>
      </c>
      <c r="Q4889" s="36" t="str">
        <f t="shared" si="35"/>
        <v/>
      </c>
      <c r="R4889" s="47" t="b">
        <v>0</v>
      </c>
      <c r="S4889" s="42" t="str">
        <f t="shared" si="28"/>
        <v/>
      </c>
      <c r="T4889" s="42"/>
    </row>
    <row r="4890" ht="22.5" customHeight="1">
      <c r="B4890" s="42">
        <f t="shared" si="7"/>
        <v>4884</v>
      </c>
      <c r="C4890" s="31" t="s">
        <v>4898</v>
      </c>
      <c r="D4890" s="34" t="str">
        <f t="array" ref="D4890">IFNA(_xlfn.XLOOKUP(C4890,Table_Tarikan_Warkah[Nomor Sertipikat],Table_Tarikan_Warkah[Nomor Tiket]),"")</f>
        <v>ABQGAMZC</v>
      </c>
      <c r="E4890" s="36" t="str">
        <f t="array" ref="E4890">IFNA(_xlfn.XLOOKUP(D4890,Table_Tarikan_Warkah[Nomor Tiket],Table_Tarikan_Warkah[Tanggal diserahkan kepada Validator]),"")</f>
        <v/>
      </c>
      <c r="F4890" s="36" t="str">
        <f t="array" ref="F4890">IFNA(_xlfn.XLOOKUP(D4890,Table_Tarikan_Warkah[Nomor Tiket],Table_Tarikan_Warkah[Nama Petugas Warkah]),"")</f>
        <v/>
      </c>
      <c r="G4890" s="39" t="str">
        <f t="array" ref="G4890">IFNA(_xlfn.XLOOKUP(D4890,Table_Tarikan_Warkah[Nomor Tiket],Table_Tarikan_Warkah[Jenis Permohonan]),"")</f>
        <v>Ganti Nama</v>
      </c>
      <c r="H4890" s="41" t="s">
        <v>2315</v>
      </c>
      <c r="I4890" s="49" t="s">
        <v>23</v>
      </c>
      <c r="J4890" s="36">
        <f t="shared" si="20"/>
        <v>46064.40345</v>
      </c>
      <c r="K4890" s="69"/>
      <c r="L4890" s="49"/>
      <c r="M4890" s="36" t="str">
        <f t="shared" si="33"/>
        <v/>
      </c>
      <c r="N4890" s="30" t="str">
        <f t="shared" si="34"/>
        <v>BT atau SU Belum Valid</v>
      </c>
      <c r="O4890" s="39" t="str">
        <f t="shared" si="23"/>
        <v/>
      </c>
      <c r="P4890" s="47" t="b">
        <v>0</v>
      </c>
      <c r="Q4890" s="36" t="str">
        <f t="shared" si="35"/>
        <v/>
      </c>
      <c r="R4890" s="47" t="b">
        <v>0</v>
      </c>
      <c r="S4890" s="42" t="str">
        <f t="shared" si="28"/>
        <v/>
      </c>
      <c r="T4890" s="42"/>
    </row>
    <row r="4891" ht="22.5" customHeight="1">
      <c r="B4891" s="42">
        <f t="shared" si="7"/>
        <v>4885</v>
      </c>
      <c r="C4891" s="31" t="s">
        <v>4899</v>
      </c>
      <c r="D4891" s="34" t="str">
        <f t="array" ref="D4891">IFNA(_xlfn.XLOOKUP(C4891,Table_Tarikan_Warkah[Nomor Sertipikat],Table_Tarikan_Warkah[Nomor Tiket]),"")</f>
        <v>ABFHIDKZ/AB027</v>
      </c>
      <c r="E4891" s="36" t="str">
        <f t="array" ref="E4891">IFNA(_xlfn.XLOOKUP(D4891,Table_Tarikan_Warkah[Nomor Tiket],Table_Tarikan_Warkah[Tanggal diserahkan kepada Validator]),"")</f>
        <v/>
      </c>
      <c r="F4891" s="36" t="str">
        <f t="array" ref="F4891">IFNA(_xlfn.XLOOKUP(D4891,Table_Tarikan_Warkah[Nomor Tiket],Table_Tarikan_Warkah[Nama Petugas Warkah]),"")</f>
        <v/>
      </c>
      <c r="G4891" s="39" t="str">
        <f t="array" ref="G4891">IFNA(_xlfn.XLOOKUP(D4891,Table_Tarikan_Warkah[Nomor Tiket],Table_Tarikan_Warkah[Jenis Permohonan]),"")</f>
        <v>BN waris </v>
      </c>
      <c r="H4891" s="41" t="s">
        <v>2315</v>
      </c>
      <c r="I4891" s="49" t="s">
        <v>23</v>
      </c>
      <c r="J4891" s="36">
        <f t="shared" si="20"/>
        <v>46065.38984</v>
      </c>
      <c r="K4891" s="69"/>
      <c r="L4891" s="49"/>
      <c r="M4891" s="36" t="str">
        <f t="shared" si="33"/>
        <v/>
      </c>
      <c r="N4891" s="30" t="str">
        <f t="shared" si="34"/>
        <v>BT atau SU Belum Valid</v>
      </c>
      <c r="O4891" s="39" t="str">
        <f t="shared" si="23"/>
        <v/>
      </c>
      <c r="P4891" s="47" t="b">
        <v>0</v>
      </c>
      <c r="Q4891" s="36" t="str">
        <f t="shared" si="35"/>
        <v/>
      </c>
      <c r="R4891" s="47" t="b">
        <v>0</v>
      </c>
      <c r="S4891" s="42" t="str">
        <f t="shared" si="28"/>
        <v/>
      </c>
      <c r="T4891" s="42"/>
    </row>
    <row r="4892" ht="22.5" customHeight="1">
      <c r="B4892" s="42">
        <f t="shared" si="7"/>
        <v>4886</v>
      </c>
      <c r="C4892" s="31">
        <v>4431.0</v>
      </c>
      <c r="D4892" s="34" t="str">
        <f t="array" ref="D4892">IFNA(_xlfn.XLOOKUP(C4892,Table_Tarikan_Warkah[Nomor Sertipikat],Table_Tarikan_Warkah[Nomor Tiket]),"")</f>
        <v>ABXJJERG</v>
      </c>
      <c r="E4892" s="36" t="str">
        <f t="array" ref="E4892">IFNA(_xlfn.XLOOKUP(D4892,Table_Tarikan_Warkah[Nomor Tiket],Table_Tarikan_Warkah[Tanggal diserahkan kepada Validator]),"")</f>
        <v/>
      </c>
      <c r="F4892" s="36" t="str">
        <f t="array" ref="F4892">IFNA(_xlfn.XLOOKUP(D4892,Table_Tarikan_Warkah[Nomor Tiket],Table_Tarikan_Warkah[Nama Petugas Warkah]),"")</f>
        <v/>
      </c>
      <c r="G4892" s="39" t="str">
        <f t="array" ref="G4892">IFNA(_xlfn.XLOOKUP(D4892,Table_Tarikan_Warkah[Nomor Tiket],Table_Tarikan_Warkah[Jenis Permohonan]),"")</f>
        <v>TURUN WARIS</v>
      </c>
      <c r="H4892" s="41" t="s">
        <v>2315</v>
      </c>
      <c r="I4892" s="49" t="s">
        <v>23</v>
      </c>
      <c r="J4892" s="36">
        <f t="shared" si="20"/>
        <v>46065.3908</v>
      </c>
      <c r="K4892" s="69"/>
      <c r="L4892" s="49"/>
      <c r="M4892" s="36" t="str">
        <f t="shared" si="33"/>
        <v/>
      </c>
      <c r="N4892" s="30" t="str">
        <f t="shared" si="34"/>
        <v>BT atau SU Belum Valid</v>
      </c>
      <c r="O4892" s="39" t="str">
        <f t="shared" si="23"/>
        <v/>
      </c>
      <c r="P4892" s="47" t="b">
        <v>0</v>
      </c>
      <c r="Q4892" s="36" t="str">
        <f t="shared" si="35"/>
        <v/>
      </c>
      <c r="R4892" s="47" t="b">
        <v>0</v>
      </c>
      <c r="S4892" s="42" t="str">
        <f t="shared" si="28"/>
        <v/>
      </c>
      <c r="T4892" s="42"/>
    </row>
    <row r="4893" ht="22.5" customHeight="1">
      <c r="B4893" s="42">
        <f t="shared" si="7"/>
        <v>4887</v>
      </c>
      <c r="C4893" s="31" t="s">
        <v>4900</v>
      </c>
      <c r="D4893" s="34" t="str">
        <f t="array" ref="D4893">IFNA(_xlfn.XLOOKUP(C4893,Table_Tarikan_Warkah[Nomor Sertipikat],Table_Tarikan_Warkah[Nomor Tiket]),"")</f>
        <v>ABSKXBVE/038</v>
      </c>
      <c r="E4893" s="36" t="str">
        <f t="array" ref="E4893">IFNA(_xlfn.XLOOKUP(D4893,Table_Tarikan_Warkah[Nomor Tiket],Table_Tarikan_Warkah[Tanggal diserahkan kepada Validator]),"")</f>
        <v/>
      </c>
      <c r="F4893" s="36" t="str">
        <f t="array" ref="F4893">IFNA(_xlfn.XLOOKUP(D4893,Table_Tarikan_Warkah[Nomor Tiket],Table_Tarikan_Warkah[Nama Petugas Warkah]),"")</f>
        <v/>
      </c>
      <c r="G4893" s="39" t="str">
        <f t="array" ref="G4893">IFNA(_xlfn.XLOOKUP(D4893,Table_Tarikan_Warkah[Nomor Tiket],Table_Tarikan_Warkah[Jenis Permohonan]),"")</f>
        <v>balik nama waris</v>
      </c>
      <c r="H4893" s="41" t="s">
        <v>2315</v>
      </c>
      <c r="I4893" s="49" t="s">
        <v>23</v>
      </c>
      <c r="J4893" s="36">
        <f t="shared" si="20"/>
        <v>46065.39108</v>
      </c>
      <c r="K4893" s="69"/>
      <c r="L4893" s="49"/>
      <c r="M4893" s="36" t="str">
        <f t="shared" si="33"/>
        <v/>
      </c>
      <c r="N4893" s="30" t="str">
        <f t="shared" si="34"/>
        <v>BT atau SU Belum Valid</v>
      </c>
      <c r="O4893" s="39" t="str">
        <f t="shared" si="23"/>
        <v/>
      </c>
      <c r="P4893" s="47" t="b">
        <v>0</v>
      </c>
      <c r="Q4893" s="36" t="str">
        <f t="shared" si="35"/>
        <v/>
      </c>
      <c r="R4893" s="47" t="b">
        <v>0</v>
      </c>
      <c r="S4893" s="42" t="str">
        <f t="shared" si="28"/>
        <v/>
      </c>
      <c r="T4893" s="42"/>
    </row>
    <row r="4894" ht="22.5" customHeight="1">
      <c r="B4894" s="42">
        <f t="shared" si="7"/>
        <v>4888</v>
      </c>
      <c r="C4894" s="31" t="s">
        <v>4901</v>
      </c>
      <c r="D4894" s="34" t="str">
        <f t="array" ref="D4894">IFNA(_xlfn.XLOOKUP(C4894,Table_Tarikan_Warkah[Nomor Sertipikat],Table_Tarikan_Warkah[Nomor Tiket]),"")</f>
        <v>ABCYYGDW/1</v>
      </c>
      <c r="E4894" s="36" t="str">
        <f t="array" ref="E4894">IFNA(_xlfn.XLOOKUP(D4894,Table_Tarikan_Warkah[Nomor Tiket],Table_Tarikan_Warkah[Tanggal diserahkan kepada Validator]),"")</f>
        <v/>
      </c>
      <c r="F4894" s="36" t="str">
        <f t="array" ref="F4894">IFNA(_xlfn.XLOOKUP(D4894,Table_Tarikan_Warkah[Nomor Tiket],Table_Tarikan_Warkah[Nama Petugas Warkah]),"")</f>
        <v/>
      </c>
      <c r="G4894" s="39" t="str">
        <f t="array" ref="G4894">IFNA(_xlfn.XLOOKUP(D4894,Table_Tarikan_Warkah[Nomor Tiket],Table_Tarikan_Warkah[Jenis Permohonan]),"")</f>
        <v>Bn waris</v>
      </c>
      <c r="H4894" s="41" t="s">
        <v>2315</v>
      </c>
      <c r="I4894" s="49" t="s">
        <v>23</v>
      </c>
      <c r="J4894" s="36">
        <f t="shared" si="20"/>
        <v>46065.39177</v>
      </c>
      <c r="K4894" s="69"/>
      <c r="L4894" s="49"/>
      <c r="M4894" s="36" t="str">
        <f t="shared" si="33"/>
        <v/>
      </c>
      <c r="N4894" s="30" t="str">
        <f t="shared" si="34"/>
        <v>BT atau SU Belum Valid</v>
      </c>
      <c r="O4894" s="39" t="str">
        <f t="shared" si="23"/>
        <v/>
      </c>
      <c r="P4894" s="47" t="b">
        <v>0</v>
      </c>
      <c r="Q4894" s="36" t="str">
        <f t="shared" si="35"/>
        <v/>
      </c>
      <c r="R4894" s="47" t="b">
        <v>0</v>
      </c>
      <c r="S4894" s="42" t="str">
        <f t="shared" si="28"/>
        <v/>
      </c>
      <c r="T4894" s="42"/>
    </row>
    <row r="4895" ht="22.5" customHeight="1">
      <c r="B4895" s="42">
        <f t="shared" si="7"/>
        <v>4889</v>
      </c>
      <c r="C4895" s="31" t="s">
        <v>4902</v>
      </c>
      <c r="D4895" s="34" t="str">
        <f t="array" ref="D4895">IFNA(_xlfn.XLOOKUP(C4895,Table_Tarikan_Warkah[Nomor Sertipikat],Table_Tarikan_Warkah[Nomor Tiket]),"")</f>
        <v>ABCOPTFN/1</v>
      </c>
      <c r="E4895" s="36" t="str">
        <f t="array" ref="E4895">IFNA(_xlfn.XLOOKUP(D4895,Table_Tarikan_Warkah[Nomor Tiket],Table_Tarikan_Warkah[Tanggal diserahkan kepada Validator]),"")</f>
        <v/>
      </c>
      <c r="F4895" s="36" t="str">
        <f t="array" ref="F4895">IFNA(_xlfn.XLOOKUP(D4895,Table_Tarikan_Warkah[Nomor Tiket],Table_Tarikan_Warkah[Nama Petugas Warkah]),"")</f>
        <v/>
      </c>
      <c r="G4895" s="39" t="str">
        <f t="array" ref="G4895">IFNA(_xlfn.XLOOKUP(D4895,Table_Tarikan_Warkah[Nomor Tiket],Table_Tarikan_Warkah[Jenis Permohonan]),"")</f>
        <v>Bn waris</v>
      </c>
      <c r="H4895" s="41" t="s">
        <v>2315</v>
      </c>
      <c r="I4895" s="49" t="s">
        <v>23</v>
      </c>
      <c r="J4895" s="36">
        <f t="shared" si="20"/>
        <v>46065.39202</v>
      </c>
      <c r="K4895" s="69"/>
      <c r="L4895" s="49"/>
      <c r="M4895" s="36" t="str">
        <f t="shared" si="33"/>
        <v/>
      </c>
      <c r="N4895" s="30" t="str">
        <f t="shared" si="34"/>
        <v>BT atau SU Belum Valid</v>
      </c>
      <c r="O4895" s="39" t="str">
        <f t="shared" si="23"/>
        <v/>
      </c>
      <c r="P4895" s="47" t="b">
        <v>0</v>
      </c>
      <c r="Q4895" s="36" t="str">
        <f t="shared" si="35"/>
        <v/>
      </c>
      <c r="R4895" s="47" t="b">
        <v>0</v>
      </c>
      <c r="S4895" s="42" t="str">
        <f t="shared" si="28"/>
        <v/>
      </c>
      <c r="T4895" s="42"/>
    </row>
    <row r="4896" ht="22.5" customHeight="1">
      <c r="B4896" s="42">
        <f t="shared" si="7"/>
        <v>4890</v>
      </c>
      <c r="C4896" s="31" t="s">
        <v>4903</v>
      </c>
      <c r="D4896" s="34" t="str">
        <f t="array" ref="D4896">IFNA(_xlfn.XLOOKUP(C4896,Table_Tarikan_Warkah[Nomor Sertipikat],Table_Tarikan_Warkah[Nomor Tiket]),"")</f>
        <v>ABBLJQLP</v>
      </c>
      <c r="E4896" s="36" t="str">
        <f t="array" ref="E4896">IFNA(_xlfn.XLOOKUP(D4896,Table_Tarikan_Warkah[Nomor Tiket],Table_Tarikan_Warkah[Tanggal diserahkan kepada Validator]),"")</f>
        <v/>
      </c>
      <c r="F4896" s="36" t="str">
        <f t="array" ref="F4896">IFNA(_xlfn.XLOOKUP(D4896,Table_Tarikan_Warkah[Nomor Tiket],Table_Tarikan_Warkah[Nama Petugas Warkah]),"")</f>
        <v/>
      </c>
      <c r="G4896" s="39" t="str">
        <f t="array" ref="G4896">IFNA(_xlfn.XLOOKUP(D4896,Table_Tarikan_Warkah[Nomor Tiket],Table_Tarikan_Warkah[Jenis Permohonan]),"")</f>
        <v>balik nama waris</v>
      </c>
      <c r="H4896" s="41" t="s">
        <v>2315</v>
      </c>
      <c r="I4896" s="49" t="s">
        <v>23</v>
      </c>
      <c r="J4896" s="36">
        <f t="shared" si="20"/>
        <v>46065.39224</v>
      </c>
      <c r="K4896" s="69"/>
      <c r="L4896" s="49"/>
      <c r="M4896" s="36" t="str">
        <f t="shared" si="33"/>
        <v/>
      </c>
      <c r="N4896" s="30" t="str">
        <f t="shared" si="34"/>
        <v>BT atau SU Belum Valid</v>
      </c>
      <c r="O4896" s="39" t="str">
        <f t="shared" si="23"/>
        <v/>
      </c>
      <c r="P4896" s="47" t="b">
        <v>0</v>
      </c>
      <c r="Q4896" s="36" t="str">
        <f t="shared" si="35"/>
        <v/>
      </c>
      <c r="R4896" s="47" t="b">
        <v>0</v>
      </c>
      <c r="S4896" s="42" t="str">
        <f t="shared" si="28"/>
        <v/>
      </c>
      <c r="T4896" s="42"/>
    </row>
    <row r="4897" ht="22.5" customHeight="1">
      <c r="B4897" s="42">
        <f t="shared" si="7"/>
        <v>4891</v>
      </c>
      <c r="C4897" s="31" t="s">
        <v>4904</v>
      </c>
      <c r="D4897" s="34" t="str">
        <f t="array" ref="D4897">IFNA(_xlfn.XLOOKUP(C4897,Table_Tarikan_Warkah[Nomor Sertipikat],Table_Tarikan_Warkah[Nomor Tiket]),"")</f>
        <v>ABMXXELR</v>
      </c>
      <c r="E4897" s="36" t="str">
        <f t="array" ref="E4897">IFNA(_xlfn.XLOOKUP(D4897,Table_Tarikan_Warkah[Nomor Tiket],Table_Tarikan_Warkah[Tanggal diserahkan kepada Validator]),"")</f>
        <v/>
      </c>
      <c r="F4897" s="36" t="str">
        <f t="array" ref="F4897">IFNA(_xlfn.XLOOKUP(D4897,Table_Tarikan_Warkah[Nomor Tiket],Table_Tarikan_Warkah[Nama Petugas Warkah]),"")</f>
        <v/>
      </c>
      <c r="G4897" s="39" t="str">
        <f t="array" ref="G4897">IFNA(_xlfn.XLOOKUP(D4897,Table_Tarikan_Warkah[Nomor Tiket],Table_Tarikan_Warkah[Jenis Permohonan]),"")</f>
        <v>turun waris</v>
      </c>
      <c r="H4897" s="41" t="s">
        <v>2315</v>
      </c>
      <c r="I4897" s="49" t="s">
        <v>23</v>
      </c>
      <c r="J4897" s="36">
        <f t="shared" si="20"/>
        <v>46065.41046</v>
      </c>
      <c r="K4897" s="69"/>
      <c r="L4897" s="49"/>
      <c r="M4897" s="36" t="str">
        <f t="shared" si="33"/>
        <v/>
      </c>
      <c r="N4897" s="30" t="str">
        <f t="shared" si="34"/>
        <v>BT atau SU Belum Valid</v>
      </c>
      <c r="O4897" s="39" t="str">
        <f t="shared" si="23"/>
        <v/>
      </c>
      <c r="P4897" s="47" t="b">
        <v>0</v>
      </c>
      <c r="Q4897" s="36" t="str">
        <f t="shared" si="35"/>
        <v/>
      </c>
      <c r="R4897" s="47" t="b">
        <v>0</v>
      </c>
      <c r="S4897" s="42" t="str">
        <f t="shared" si="28"/>
        <v/>
      </c>
      <c r="T4897" s="42"/>
    </row>
    <row r="4898" ht="22.5" customHeight="1">
      <c r="B4898" s="42">
        <f t="shared" si="7"/>
        <v>4892</v>
      </c>
      <c r="C4898" s="31" t="s">
        <v>4905</v>
      </c>
      <c r="D4898" s="34" t="str">
        <f t="array" ref="D4898">IFNA(_xlfn.XLOOKUP(C4898,Table_Tarikan_Warkah[Nomor Sertipikat],Table_Tarikan_Warkah[Nomor Tiket]),"")</f>
        <v>L/4/091225/1</v>
      </c>
      <c r="E4898" s="36" t="str">
        <f t="array" ref="E4898">IFNA(_xlfn.XLOOKUP(D4898,Table_Tarikan_Warkah[Nomor Tiket],Table_Tarikan_Warkah[Tanggal diserahkan kepada Validator]),"")</f>
        <v/>
      </c>
      <c r="F4898" s="36" t="str">
        <f t="array" ref="F4898">IFNA(_xlfn.XLOOKUP(D4898,Table_Tarikan_Warkah[Nomor Tiket],Table_Tarikan_Warkah[Nama Petugas Warkah]),"")</f>
        <v/>
      </c>
      <c r="G4898" s="39" t="str">
        <f t="array" ref="G4898">IFNA(_xlfn.XLOOKUP(D4898,Table_Tarikan_Warkah[Nomor Tiket],Table_Tarikan_Warkah[Jenis Permohonan]),"")</f>
        <v>BN WARIS</v>
      </c>
      <c r="H4898" s="41" t="s">
        <v>2315</v>
      </c>
      <c r="I4898" s="49" t="s">
        <v>23</v>
      </c>
      <c r="J4898" s="36">
        <f t="shared" si="20"/>
        <v>46065.43969</v>
      </c>
      <c r="K4898" s="69"/>
      <c r="L4898" s="49"/>
      <c r="M4898" s="36" t="str">
        <f t="shared" si="33"/>
        <v/>
      </c>
      <c r="N4898" s="30" t="str">
        <f t="shared" si="34"/>
        <v>BT atau SU Belum Valid</v>
      </c>
      <c r="O4898" s="39" t="str">
        <f t="shared" si="23"/>
        <v/>
      </c>
      <c r="P4898" s="47" t="b">
        <v>0</v>
      </c>
      <c r="Q4898" s="36" t="str">
        <f t="shared" si="35"/>
        <v/>
      </c>
      <c r="R4898" s="47" t="b">
        <v>0</v>
      </c>
      <c r="S4898" s="42" t="str">
        <f t="shared" si="28"/>
        <v/>
      </c>
      <c r="T4898" s="42"/>
    </row>
    <row r="4899" ht="22.5" customHeight="1">
      <c r="B4899" s="42">
        <f t="shared" si="7"/>
        <v>4893</v>
      </c>
      <c r="C4899" s="31" t="s">
        <v>4906</v>
      </c>
      <c r="D4899" s="34" t="str">
        <f t="array" ref="D4899">IFNA(_xlfn.XLOOKUP(C4899,Table_Tarikan_Warkah[Nomor Sertipikat],Table_Tarikan_Warkah[Nomor Tiket]),"")</f>
        <v>AB033/ABCRDEHL</v>
      </c>
      <c r="E4899" s="36" t="str">
        <f t="array" ref="E4899">IFNA(_xlfn.XLOOKUP(D4899,Table_Tarikan_Warkah[Nomor Tiket],Table_Tarikan_Warkah[Tanggal diserahkan kepada Validator]),"")</f>
        <v/>
      </c>
      <c r="F4899" s="36" t="str">
        <f t="array" ref="F4899">IFNA(_xlfn.XLOOKUP(D4899,Table_Tarikan_Warkah[Nomor Tiket],Table_Tarikan_Warkah[Nama Petugas Warkah]),"")</f>
        <v/>
      </c>
      <c r="G4899" s="39" t="str">
        <f t="array" ref="G4899">IFNA(_xlfn.XLOOKUP(D4899,Table_Tarikan_Warkah[Nomor Tiket],Table_Tarikan_Warkah[Jenis Permohonan]),"")</f>
        <v>BN</v>
      </c>
      <c r="H4899" s="41" t="s">
        <v>2315</v>
      </c>
      <c r="I4899" s="49" t="s">
        <v>23</v>
      </c>
      <c r="J4899" s="36">
        <f t="shared" si="20"/>
        <v>46065.44051</v>
      </c>
      <c r="K4899" s="69"/>
      <c r="L4899" s="49"/>
      <c r="M4899" s="36" t="str">
        <f t="shared" si="33"/>
        <v/>
      </c>
      <c r="N4899" s="30" t="str">
        <f t="shared" si="34"/>
        <v>BT atau SU Belum Valid</v>
      </c>
      <c r="O4899" s="39" t="str">
        <f t="shared" si="23"/>
        <v/>
      </c>
      <c r="P4899" s="47" t="b">
        <v>0</v>
      </c>
      <c r="Q4899" s="36" t="str">
        <f t="shared" si="35"/>
        <v/>
      </c>
      <c r="R4899" s="47" t="b">
        <v>0</v>
      </c>
      <c r="S4899" s="42" t="str">
        <f t="shared" si="28"/>
        <v/>
      </c>
      <c r="T4899" s="42"/>
    </row>
    <row r="4900" ht="22.5" customHeight="1">
      <c r="B4900" s="42">
        <f t="shared" si="7"/>
        <v>4894</v>
      </c>
      <c r="C4900" s="31" t="s">
        <v>4907</v>
      </c>
      <c r="D4900" s="34" t="str">
        <f t="array" ref="D4900">IFNA(_xlfn.XLOOKUP(C4900,Table_Tarikan_Warkah[Nomor Sertipikat],Table_Tarikan_Warkah[Nomor Tiket]),"")</f>
        <v>AB028/ABJAXDRZ</v>
      </c>
      <c r="E4900" s="36" t="str">
        <f t="array" ref="E4900">IFNA(_xlfn.XLOOKUP(D4900,Table_Tarikan_Warkah[Nomor Tiket],Table_Tarikan_Warkah[Tanggal diserahkan kepada Validator]),"")</f>
        <v/>
      </c>
      <c r="F4900" s="36" t="str">
        <f t="array" ref="F4900">IFNA(_xlfn.XLOOKUP(D4900,Table_Tarikan_Warkah[Nomor Tiket],Table_Tarikan_Warkah[Nama Petugas Warkah]),"")</f>
        <v/>
      </c>
      <c r="G4900" s="39" t="str">
        <f t="array" ref="G4900">IFNA(_xlfn.XLOOKUP(D4900,Table_Tarikan_Warkah[Nomor Tiket],Table_Tarikan_Warkah[Jenis Permohonan]),"")</f>
        <v>Peralihan Hak Jual Beli</v>
      </c>
      <c r="H4900" s="41" t="s">
        <v>2315</v>
      </c>
      <c r="I4900" s="49" t="s">
        <v>23</v>
      </c>
      <c r="J4900" s="36">
        <f t="shared" si="20"/>
        <v>46065.44082</v>
      </c>
      <c r="K4900" s="69"/>
      <c r="L4900" s="49"/>
      <c r="M4900" s="36" t="str">
        <f t="shared" si="33"/>
        <v/>
      </c>
      <c r="N4900" s="30" t="str">
        <f t="shared" si="34"/>
        <v>BT atau SU Belum Valid</v>
      </c>
      <c r="O4900" s="39" t="str">
        <f t="shared" si="23"/>
        <v/>
      </c>
      <c r="P4900" s="47" t="b">
        <v>0</v>
      </c>
      <c r="Q4900" s="36" t="str">
        <f t="shared" si="35"/>
        <v/>
      </c>
      <c r="R4900" s="47" t="b">
        <v>0</v>
      </c>
      <c r="S4900" s="42" t="str">
        <f t="shared" si="28"/>
        <v/>
      </c>
      <c r="T4900" s="42"/>
    </row>
    <row r="4901" ht="22.5" customHeight="1">
      <c r="B4901" s="42">
        <f t="shared" si="7"/>
        <v>4895</v>
      </c>
      <c r="C4901" s="31" t="s">
        <v>4908</v>
      </c>
      <c r="D4901" s="34" t="str">
        <f t="array" ref="D4901">IFNA(_xlfn.XLOOKUP(C4901,Table_Tarikan_Warkah[Nomor Sertipikat],Table_Tarikan_Warkah[Nomor Tiket]),"")</f>
        <v>AMDANWU</v>
      </c>
      <c r="E4901" s="36" t="str">
        <f t="array" ref="E4901">IFNA(_xlfn.XLOOKUP(D4901,Table_Tarikan_Warkah[Nomor Tiket],Table_Tarikan_Warkah[Tanggal diserahkan kepada Validator]),"")</f>
        <v/>
      </c>
      <c r="F4901" s="36" t="str">
        <f t="array" ref="F4901">IFNA(_xlfn.XLOOKUP(D4901,Table_Tarikan_Warkah[Nomor Tiket],Table_Tarikan_Warkah[Nama Petugas Warkah]),"")</f>
        <v/>
      </c>
      <c r="G4901" s="39" t="str">
        <f t="array" ref="G4901">IFNA(_xlfn.XLOOKUP(D4901,Table_Tarikan_Warkah[Nomor Tiket],Table_Tarikan_Warkah[Jenis Permohonan]),"")</f>
        <v>WARIS</v>
      </c>
      <c r="H4901" s="41" t="s">
        <v>2315</v>
      </c>
      <c r="I4901" s="49" t="s">
        <v>23</v>
      </c>
      <c r="J4901" s="36">
        <f t="shared" si="20"/>
        <v>46065.45612</v>
      </c>
      <c r="K4901" s="69"/>
      <c r="L4901" s="49"/>
      <c r="M4901" s="36" t="str">
        <f t="shared" si="33"/>
        <v/>
      </c>
      <c r="N4901" s="30" t="str">
        <f t="shared" si="34"/>
        <v>BT atau SU Belum Valid</v>
      </c>
      <c r="O4901" s="39" t="str">
        <f t="shared" si="23"/>
        <v/>
      </c>
      <c r="P4901" s="47" t="b">
        <v>0</v>
      </c>
      <c r="Q4901" s="36" t="str">
        <f t="shared" si="35"/>
        <v/>
      </c>
      <c r="R4901" s="47" t="b">
        <v>0</v>
      </c>
      <c r="S4901" s="42" t="str">
        <f t="shared" si="28"/>
        <v/>
      </c>
      <c r="T4901" s="42"/>
    </row>
    <row r="4902" ht="22.5" customHeight="1">
      <c r="B4902" s="42">
        <f t="shared" si="7"/>
        <v>4896</v>
      </c>
      <c r="C4902" s="31" t="s">
        <v>4909</v>
      </c>
      <c r="D4902" s="34" t="str">
        <f t="array" ref="D4902">IFNA(_xlfn.XLOOKUP(C4902,Table_Tarikan_Warkah[Nomor Sertipikat],Table_Tarikan_Warkah[Nomor Tiket]),"")</f>
        <v>ABWOZPMU</v>
      </c>
      <c r="E4902" s="36" t="str">
        <f t="array" ref="E4902">IFNA(_xlfn.XLOOKUP(D4902,Table_Tarikan_Warkah[Nomor Tiket],Table_Tarikan_Warkah[Tanggal diserahkan kepada Validator]),"")</f>
        <v/>
      </c>
      <c r="F4902" s="36" t="str">
        <f t="array" ref="F4902">IFNA(_xlfn.XLOOKUP(D4902,Table_Tarikan_Warkah[Nomor Tiket],Table_Tarikan_Warkah[Nama Petugas Warkah]),"")</f>
        <v/>
      </c>
      <c r="G4902" s="39" t="str">
        <f t="array" ref="G4902">IFNA(_xlfn.XLOOKUP(D4902,Table_Tarikan_Warkah[Nomor Tiket],Table_Tarikan_Warkah[Jenis Permohonan]),"")</f>
        <v>Balik nama waris</v>
      </c>
      <c r="H4902" s="41" t="s">
        <v>2315</v>
      </c>
      <c r="I4902" s="49" t="s">
        <v>23</v>
      </c>
      <c r="J4902" s="36">
        <f t="shared" si="20"/>
        <v>46065.46415</v>
      </c>
      <c r="K4902" s="69"/>
      <c r="L4902" s="49"/>
      <c r="M4902" s="36" t="str">
        <f t="shared" si="33"/>
        <v/>
      </c>
      <c r="N4902" s="30" t="str">
        <f t="shared" si="34"/>
        <v>BT atau SU Belum Valid</v>
      </c>
      <c r="O4902" s="39" t="str">
        <f t="shared" si="23"/>
        <v/>
      </c>
      <c r="P4902" s="47" t="b">
        <v>0</v>
      </c>
      <c r="Q4902" s="36" t="str">
        <f t="shared" si="35"/>
        <v/>
      </c>
      <c r="R4902" s="47" t="b">
        <v>0</v>
      </c>
      <c r="S4902" s="42" t="str">
        <f t="shared" si="28"/>
        <v/>
      </c>
      <c r="T4902" s="42"/>
    </row>
    <row r="4903" ht="22.5" customHeight="1">
      <c r="B4903" s="42">
        <f t="shared" si="7"/>
        <v>4897</v>
      </c>
      <c r="C4903" s="31" t="s">
        <v>4910</v>
      </c>
      <c r="D4903" s="34" t="str">
        <f t="array" ref="D4903">IFNA(_xlfn.XLOOKUP(C4903,Table_Tarikan_Warkah[Nomor Sertipikat],Table_Tarikan_Warkah[Nomor Tiket]),"")</f>
        <v>L/18/200126/1</v>
      </c>
      <c r="E4903" s="36" t="str">
        <f t="array" ref="E4903">IFNA(_xlfn.XLOOKUP(D4903,Table_Tarikan_Warkah[Nomor Tiket],Table_Tarikan_Warkah[Tanggal diserahkan kepada Validator]),"")</f>
        <v/>
      </c>
      <c r="F4903" s="36" t="str">
        <f t="array" ref="F4903">IFNA(_xlfn.XLOOKUP(D4903,Table_Tarikan_Warkah[Nomor Tiket],Table_Tarikan_Warkah[Nama Petugas Warkah]),"")</f>
        <v/>
      </c>
      <c r="G4903" s="39" t="str">
        <f t="array" ref="G4903">IFNA(_xlfn.XLOOKUP(D4903,Table_Tarikan_Warkah[Nomor Tiket],Table_Tarikan_Warkah[Jenis Permohonan]),"")</f>
        <v>JUAL BELI</v>
      </c>
      <c r="H4903" s="41" t="s">
        <v>2315</v>
      </c>
      <c r="I4903" s="49" t="s">
        <v>23</v>
      </c>
      <c r="J4903" s="36">
        <f t="shared" si="20"/>
        <v>46066.39683</v>
      </c>
      <c r="K4903" s="69"/>
      <c r="L4903" s="49"/>
      <c r="M4903" s="36" t="str">
        <f t="shared" si="33"/>
        <v/>
      </c>
      <c r="N4903" s="30" t="str">
        <f t="shared" si="34"/>
        <v>BT atau SU Belum Valid</v>
      </c>
      <c r="O4903" s="39" t="str">
        <f t="shared" si="23"/>
        <v/>
      </c>
      <c r="P4903" s="47" t="b">
        <v>0</v>
      </c>
      <c r="Q4903" s="36" t="str">
        <f t="shared" si="35"/>
        <v/>
      </c>
      <c r="R4903" s="47" t="b">
        <v>0</v>
      </c>
      <c r="S4903" s="42" t="str">
        <f t="shared" si="28"/>
        <v/>
      </c>
      <c r="T4903" s="42"/>
    </row>
    <row r="4904" ht="22.5" customHeight="1">
      <c r="B4904" s="42">
        <f t="shared" si="7"/>
        <v>4898</v>
      </c>
      <c r="C4904" s="31" t="s">
        <v>4911</v>
      </c>
      <c r="D4904" s="34" t="str">
        <f t="array" ref="D4904">IFNA(_xlfn.XLOOKUP(C4904,Table_Tarikan_Warkah[Nomor Sertipikat],Table_Tarikan_Warkah[Nomor Tiket]),"")</f>
        <v>L/1/050126/1</v>
      </c>
      <c r="E4904" s="36" t="str">
        <f t="array" ref="E4904">IFNA(_xlfn.XLOOKUP(D4904,Table_Tarikan_Warkah[Nomor Tiket],Table_Tarikan_Warkah[Tanggal diserahkan kepada Validator]),"")</f>
        <v/>
      </c>
      <c r="F4904" s="36" t="str">
        <f t="array" ref="F4904">IFNA(_xlfn.XLOOKUP(D4904,Table_Tarikan_Warkah[Nomor Tiket],Table_Tarikan_Warkah[Nama Petugas Warkah]),"")</f>
        <v/>
      </c>
      <c r="G4904" s="39" t="str">
        <f t="array" ref="G4904">IFNA(_xlfn.XLOOKUP(D4904,Table_Tarikan_Warkah[Nomor Tiket],Table_Tarikan_Warkah[Jenis Permohonan]),"")</f>
        <v>BN WARIS</v>
      </c>
      <c r="H4904" s="41" t="s">
        <v>2315</v>
      </c>
      <c r="I4904" s="49" t="s">
        <v>23</v>
      </c>
      <c r="J4904" s="36">
        <f t="shared" si="20"/>
        <v>46066.39725</v>
      </c>
      <c r="K4904" s="69"/>
      <c r="L4904" s="49"/>
      <c r="M4904" s="36" t="str">
        <f t="shared" si="33"/>
        <v/>
      </c>
      <c r="N4904" s="30" t="str">
        <f t="shared" si="34"/>
        <v>BT atau SU Belum Valid</v>
      </c>
      <c r="O4904" s="39" t="str">
        <f t="shared" si="23"/>
        <v/>
      </c>
      <c r="P4904" s="47" t="b">
        <v>0</v>
      </c>
      <c r="Q4904" s="36" t="str">
        <f t="shared" si="35"/>
        <v/>
      </c>
      <c r="R4904" s="47" t="b">
        <v>0</v>
      </c>
      <c r="S4904" s="42" t="str">
        <f t="shared" si="28"/>
        <v/>
      </c>
      <c r="T4904" s="42"/>
    </row>
    <row r="4905" ht="22.5" customHeight="1">
      <c r="B4905" s="42">
        <f t="shared" si="7"/>
        <v>4899</v>
      </c>
      <c r="C4905" s="31" t="s">
        <v>4912</v>
      </c>
      <c r="D4905" s="34" t="str">
        <f t="array" ref="D4905">IFNA(_xlfn.XLOOKUP(C4905,Table_Tarikan_Warkah[Nomor Sertipikat],Table_Tarikan_Warkah[Nomor Tiket]),"")</f>
        <v>ABTYNDQC</v>
      </c>
      <c r="E4905" s="36" t="str">
        <f t="array" ref="E4905">IFNA(_xlfn.XLOOKUP(D4905,Table_Tarikan_Warkah[Nomor Tiket],Table_Tarikan_Warkah[Tanggal diserahkan kepada Validator]),"")</f>
        <v/>
      </c>
      <c r="F4905" s="36" t="str">
        <f t="array" ref="F4905">IFNA(_xlfn.XLOOKUP(D4905,Table_Tarikan_Warkah[Nomor Tiket],Table_Tarikan_Warkah[Nama Petugas Warkah]),"")</f>
        <v/>
      </c>
      <c r="G4905" s="39" t="str">
        <f t="array" ref="G4905">IFNA(_xlfn.XLOOKUP(D4905,Table_Tarikan_Warkah[Nomor Tiket],Table_Tarikan_Warkah[Jenis Permohonan]),"")</f>
        <v>BN Waris</v>
      </c>
      <c r="H4905" s="41" t="s">
        <v>2315</v>
      </c>
      <c r="I4905" s="49" t="s">
        <v>23</v>
      </c>
      <c r="J4905" s="36">
        <f t="shared" si="20"/>
        <v>46066.39757</v>
      </c>
      <c r="K4905" s="69"/>
      <c r="L4905" s="49"/>
      <c r="M4905" s="36" t="str">
        <f t="shared" si="33"/>
        <v/>
      </c>
      <c r="N4905" s="30" t="str">
        <f t="shared" si="34"/>
        <v>BT atau SU Belum Valid</v>
      </c>
      <c r="O4905" s="39" t="str">
        <f t="shared" si="23"/>
        <v/>
      </c>
      <c r="P4905" s="47" t="b">
        <v>0</v>
      </c>
      <c r="Q4905" s="36" t="str">
        <f t="shared" si="35"/>
        <v/>
      </c>
      <c r="R4905" s="47" t="b">
        <v>0</v>
      </c>
      <c r="S4905" s="42" t="str">
        <f t="shared" si="28"/>
        <v/>
      </c>
      <c r="T4905" s="42"/>
    </row>
    <row r="4906" ht="22.5" customHeight="1">
      <c r="B4906" s="42">
        <f t="shared" si="7"/>
        <v>4900</v>
      </c>
      <c r="C4906" s="31" t="s">
        <v>4913</v>
      </c>
      <c r="D4906" s="34" t="str">
        <f t="array" ref="D4906">IFNA(_xlfn.XLOOKUP(C4906,Table_Tarikan_Warkah[Nomor Sertipikat],Table_Tarikan_Warkah[Nomor Tiket]),"")</f>
        <v>ABLRZJWB</v>
      </c>
      <c r="E4906" s="36" t="str">
        <f t="array" ref="E4906">IFNA(_xlfn.XLOOKUP(D4906,Table_Tarikan_Warkah[Nomor Tiket],Table_Tarikan_Warkah[Tanggal diserahkan kepada Validator]),"")</f>
        <v/>
      </c>
      <c r="F4906" s="36" t="str">
        <f t="array" ref="F4906">IFNA(_xlfn.XLOOKUP(D4906,Table_Tarikan_Warkah[Nomor Tiket],Table_Tarikan_Warkah[Nama Petugas Warkah]),"")</f>
        <v/>
      </c>
      <c r="G4906" s="39" t="str">
        <f t="array" ref="G4906">IFNA(_xlfn.XLOOKUP(D4906,Table_Tarikan_Warkah[Nomor Tiket],Table_Tarikan_Warkah[Jenis Permohonan]),"")</f>
        <v>Turun Waris</v>
      </c>
      <c r="H4906" s="41" t="s">
        <v>2315</v>
      </c>
      <c r="I4906" s="49" t="s">
        <v>23</v>
      </c>
      <c r="J4906" s="36">
        <f t="shared" si="20"/>
        <v>46066.39797</v>
      </c>
      <c r="K4906" s="69"/>
      <c r="L4906" s="49"/>
      <c r="M4906" s="36" t="str">
        <f t="shared" si="33"/>
        <v/>
      </c>
      <c r="N4906" s="30" t="str">
        <f t="shared" si="34"/>
        <v>BT atau SU Belum Valid</v>
      </c>
      <c r="O4906" s="39" t="str">
        <f t="shared" si="23"/>
        <v/>
      </c>
      <c r="P4906" s="47" t="b">
        <v>0</v>
      </c>
      <c r="Q4906" s="36" t="str">
        <f t="shared" si="35"/>
        <v/>
      </c>
      <c r="R4906" s="47" t="b">
        <v>0</v>
      </c>
      <c r="S4906" s="42" t="str">
        <f t="shared" si="28"/>
        <v/>
      </c>
      <c r="T4906" s="42"/>
    </row>
    <row r="4907" ht="22.5" customHeight="1">
      <c r="B4907" s="42">
        <f t="shared" si="7"/>
        <v>4901</v>
      </c>
      <c r="C4907" s="31">
        <v>2738.0</v>
      </c>
      <c r="D4907" s="34" t="str">
        <f t="array" ref="D4907">IFNA(_xlfn.XLOOKUP(C4907,Table_Tarikan_Warkah[Nomor Sertipikat],Table_Tarikan_Warkah[Nomor Tiket]),"")</f>
        <v>ABXYBOXL</v>
      </c>
      <c r="E4907" s="36" t="str">
        <f t="array" ref="E4907">IFNA(_xlfn.XLOOKUP(D4907,Table_Tarikan_Warkah[Nomor Tiket],Table_Tarikan_Warkah[Tanggal diserahkan kepada Validator]),"")</f>
        <v/>
      </c>
      <c r="F4907" s="36" t="str">
        <f t="array" ref="F4907">IFNA(_xlfn.XLOOKUP(D4907,Table_Tarikan_Warkah[Nomor Tiket],Table_Tarikan_Warkah[Nama Petugas Warkah]),"")</f>
        <v/>
      </c>
      <c r="G4907" s="39" t="str">
        <f t="array" ref="G4907">IFNA(_xlfn.XLOOKUP(D4907,Table_Tarikan_Warkah[Nomor Tiket],Table_Tarikan_Warkah[Jenis Permohonan]),"")</f>
        <v>Peralihan Hak</v>
      </c>
      <c r="H4907" s="41" t="s">
        <v>2315</v>
      </c>
      <c r="I4907" s="49" t="s">
        <v>23</v>
      </c>
      <c r="J4907" s="36">
        <f t="shared" si="20"/>
        <v>46066.39836</v>
      </c>
      <c r="K4907" s="69"/>
      <c r="L4907" s="49"/>
      <c r="M4907" s="36" t="str">
        <f t="shared" si="33"/>
        <v/>
      </c>
      <c r="N4907" s="30" t="str">
        <f t="shared" si="34"/>
        <v>BT atau SU Belum Valid</v>
      </c>
      <c r="O4907" s="39" t="str">
        <f t="shared" si="23"/>
        <v/>
      </c>
      <c r="P4907" s="47" t="b">
        <v>0</v>
      </c>
      <c r="Q4907" s="36" t="str">
        <f t="shared" si="35"/>
        <v/>
      </c>
      <c r="R4907" s="47" t="b">
        <v>0</v>
      </c>
      <c r="S4907" s="42" t="str">
        <f t="shared" si="28"/>
        <v/>
      </c>
      <c r="T4907" s="42"/>
    </row>
    <row r="4908" ht="22.5" customHeight="1">
      <c r="B4908" s="42">
        <f t="shared" si="7"/>
        <v>4902</v>
      </c>
      <c r="C4908" s="31" t="s">
        <v>4914</v>
      </c>
      <c r="D4908" s="34" t="str">
        <f t="array" ref="D4908">IFNA(_xlfn.XLOOKUP(C4908,Table_Tarikan_Warkah[Nomor Sertipikat],Table_Tarikan_Warkah[Nomor Tiket]),"")</f>
        <v>AKEWRHP</v>
      </c>
      <c r="E4908" s="36" t="str">
        <f t="array" ref="E4908">IFNA(_xlfn.XLOOKUP(D4908,Table_Tarikan_Warkah[Nomor Tiket],Table_Tarikan_Warkah[Tanggal diserahkan kepada Validator]),"")</f>
        <v/>
      </c>
      <c r="F4908" s="36" t="str">
        <f t="array" ref="F4908">IFNA(_xlfn.XLOOKUP(D4908,Table_Tarikan_Warkah[Nomor Tiket],Table_Tarikan_Warkah[Nama Petugas Warkah]),"")</f>
        <v/>
      </c>
      <c r="G4908" s="39" t="str">
        <f t="array" ref="G4908">IFNA(_xlfn.XLOOKUP(D4908,Table_Tarikan_Warkah[Nomor Tiket],Table_Tarikan_Warkah[Jenis Permohonan]),"")</f>
        <v>WARIS</v>
      </c>
      <c r="H4908" s="41" t="s">
        <v>2315</v>
      </c>
      <c r="I4908" s="49" t="s">
        <v>23</v>
      </c>
      <c r="J4908" s="36">
        <f t="shared" si="20"/>
        <v>46066.39907</v>
      </c>
      <c r="K4908" s="69"/>
      <c r="L4908" s="49"/>
      <c r="M4908" s="36" t="str">
        <f t="shared" si="33"/>
        <v/>
      </c>
      <c r="N4908" s="30" t="str">
        <f t="shared" si="34"/>
        <v>BT atau SU Belum Valid</v>
      </c>
      <c r="O4908" s="39" t="str">
        <f t="shared" si="23"/>
        <v/>
      </c>
      <c r="P4908" s="47" t="b">
        <v>0</v>
      </c>
      <c r="Q4908" s="36" t="str">
        <f t="shared" si="35"/>
        <v/>
      </c>
      <c r="R4908" s="47" t="b">
        <v>0</v>
      </c>
      <c r="S4908" s="42" t="str">
        <f t="shared" si="28"/>
        <v/>
      </c>
      <c r="T4908" s="42"/>
    </row>
    <row r="4909" ht="22.5" customHeight="1">
      <c r="B4909" s="42">
        <f t="shared" si="7"/>
        <v>4903</v>
      </c>
      <c r="C4909" s="31" t="s">
        <v>4915</v>
      </c>
      <c r="D4909" s="34" t="str">
        <f t="array" ref="D4909">IFNA(_xlfn.XLOOKUP(C4909,Table_Tarikan_Warkah[Nomor Sertipikat],Table_Tarikan_Warkah[Nomor Tiket]),"")</f>
        <v>ABIEJWIG/AB064</v>
      </c>
      <c r="E4909" s="36" t="str">
        <f t="array" ref="E4909">IFNA(_xlfn.XLOOKUP(D4909,Table_Tarikan_Warkah[Nomor Tiket],Table_Tarikan_Warkah[Tanggal diserahkan kepada Validator]),"")</f>
        <v/>
      </c>
      <c r="F4909" s="36" t="str">
        <f t="array" ref="F4909">IFNA(_xlfn.XLOOKUP(D4909,Table_Tarikan_Warkah[Nomor Tiket],Table_Tarikan_Warkah[Nama Petugas Warkah]),"")</f>
        <v/>
      </c>
      <c r="G4909" s="39" t="str">
        <f t="array" ref="G4909">IFNA(_xlfn.XLOOKUP(D4909,Table_Tarikan_Warkah[Nomor Tiket],Table_Tarikan_Warkah[Jenis Permohonan]),"")</f>
        <v>Balik nama jual beli</v>
      </c>
      <c r="H4909" s="41" t="s">
        <v>2315</v>
      </c>
      <c r="I4909" s="49" t="s">
        <v>23</v>
      </c>
      <c r="J4909" s="36">
        <f t="shared" si="20"/>
        <v>46066.39947</v>
      </c>
      <c r="K4909" s="69"/>
      <c r="L4909" s="49"/>
      <c r="M4909" s="36" t="str">
        <f t="shared" si="33"/>
        <v/>
      </c>
      <c r="N4909" s="30" t="str">
        <f t="shared" si="34"/>
        <v>BT atau SU Belum Valid</v>
      </c>
      <c r="O4909" s="39" t="str">
        <f t="shared" si="23"/>
        <v/>
      </c>
      <c r="P4909" s="47" t="b">
        <v>0</v>
      </c>
      <c r="Q4909" s="36" t="str">
        <f t="shared" si="35"/>
        <v/>
      </c>
      <c r="R4909" s="47" t="b">
        <v>0</v>
      </c>
      <c r="S4909" s="42" t="str">
        <f t="shared" si="28"/>
        <v/>
      </c>
      <c r="T4909" s="42"/>
    </row>
    <row r="4910" ht="22.5" customHeight="1">
      <c r="B4910" s="42">
        <f t="shared" si="7"/>
        <v>4904</v>
      </c>
      <c r="C4910" s="31" t="s">
        <v>4916</v>
      </c>
      <c r="D4910" s="34" t="str">
        <f t="array" ref="D4910">IFNA(_xlfn.XLOOKUP(C4910,Table_Tarikan_Warkah[Nomor Sertipikat],Table_Tarikan_Warkah[Nomor Tiket]),"")</f>
        <v>ABXEKRDB</v>
      </c>
      <c r="E4910" s="36" t="str">
        <f t="array" ref="E4910">IFNA(_xlfn.XLOOKUP(D4910,Table_Tarikan_Warkah[Nomor Tiket],Table_Tarikan_Warkah[Tanggal diserahkan kepada Validator]),"")</f>
        <v/>
      </c>
      <c r="F4910" s="36" t="str">
        <f t="array" ref="F4910">IFNA(_xlfn.XLOOKUP(D4910,Table_Tarikan_Warkah[Nomor Tiket],Table_Tarikan_Warkah[Nama Petugas Warkah]),"")</f>
        <v/>
      </c>
      <c r="G4910" s="39" t="str">
        <f t="array" ref="G4910">IFNA(_xlfn.XLOOKUP(D4910,Table_Tarikan_Warkah[Nomor Tiket],Table_Tarikan_Warkah[Jenis Permohonan]),"")</f>
        <v>Bn jual beli</v>
      </c>
      <c r="H4910" s="41" t="s">
        <v>2315</v>
      </c>
      <c r="I4910" s="49" t="s">
        <v>23</v>
      </c>
      <c r="J4910" s="36">
        <f t="shared" si="20"/>
        <v>46066.40109</v>
      </c>
      <c r="K4910" s="69"/>
      <c r="L4910" s="49"/>
      <c r="M4910" s="36" t="str">
        <f t="shared" si="33"/>
        <v/>
      </c>
      <c r="N4910" s="30" t="str">
        <f t="shared" si="34"/>
        <v>BT atau SU Belum Valid</v>
      </c>
      <c r="O4910" s="39" t="str">
        <f t="shared" si="23"/>
        <v/>
      </c>
      <c r="P4910" s="47" t="b">
        <v>0</v>
      </c>
      <c r="Q4910" s="36" t="str">
        <f t="shared" si="35"/>
        <v/>
      </c>
      <c r="R4910" s="47" t="b">
        <v>0</v>
      </c>
      <c r="S4910" s="42" t="str">
        <f t="shared" si="28"/>
        <v/>
      </c>
      <c r="T4910" s="42"/>
    </row>
    <row r="4911" ht="22.5" customHeight="1">
      <c r="B4911" s="42">
        <f t="shared" si="7"/>
        <v>4905</v>
      </c>
      <c r="C4911" s="31" t="s">
        <v>4917</v>
      </c>
      <c r="D4911" s="34" t="str">
        <f t="array" ref="D4911">IFNA(_xlfn.XLOOKUP(C4911,Table_Tarikan_Warkah[Nomor Sertipikat],Table_Tarikan_Warkah[Nomor Tiket]),"")</f>
        <v>AB068-ABWGDLSV</v>
      </c>
      <c r="E4911" s="36" t="str">
        <f t="array" ref="E4911">IFNA(_xlfn.XLOOKUP(D4911,Table_Tarikan_Warkah[Nomor Tiket],Table_Tarikan_Warkah[Tanggal diserahkan kepada Validator]),"")</f>
        <v/>
      </c>
      <c r="F4911" s="36" t="str">
        <f t="array" ref="F4911">IFNA(_xlfn.XLOOKUP(D4911,Table_Tarikan_Warkah[Nomor Tiket],Table_Tarikan_Warkah[Nama Petugas Warkah]),"")</f>
        <v/>
      </c>
      <c r="G4911" s="39" t="str">
        <f t="array" ref="G4911">IFNA(_xlfn.XLOOKUP(D4911,Table_Tarikan_Warkah[Nomor Tiket],Table_Tarikan_Warkah[Jenis Permohonan]),"")</f>
        <v>Balik Nama </v>
      </c>
      <c r="H4911" s="41" t="s">
        <v>2315</v>
      </c>
      <c r="I4911" s="49" t="s">
        <v>23</v>
      </c>
      <c r="J4911" s="36">
        <f t="shared" si="20"/>
        <v>46066.40174</v>
      </c>
      <c r="K4911" s="69"/>
      <c r="L4911" s="49"/>
      <c r="M4911" s="36" t="str">
        <f t="shared" si="33"/>
        <v/>
      </c>
      <c r="N4911" s="30" t="str">
        <f t="shared" si="34"/>
        <v>BT atau SU Belum Valid</v>
      </c>
      <c r="O4911" s="39" t="str">
        <f t="shared" si="23"/>
        <v/>
      </c>
      <c r="P4911" s="47" t="b">
        <v>0</v>
      </c>
      <c r="Q4911" s="36" t="str">
        <f t="shared" si="35"/>
        <v/>
      </c>
      <c r="R4911" s="47" t="b">
        <v>0</v>
      </c>
      <c r="S4911" s="42" t="str">
        <f t="shared" si="28"/>
        <v/>
      </c>
      <c r="T4911" s="42"/>
    </row>
    <row r="4912" ht="22.5" customHeight="1">
      <c r="B4912" s="42">
        <f t="shared" si="7"/>
        <v>4906</v>
      </c>
      <c r="C4912" s="31" t="s">
        <v>4918</v>
      </c>
      <c r="D4912" s="34" t="str">
        <f t="array" ref="D4912">IFNA(_xlfn.XLOOKUP(C4912,Table_Tarikan_Warkah[Nomor Sertipikat],Table_Tarikan_Warkah[Nomor Tiket]),"")</f>
        <v>AB024/ABLOIRJE</v>
      </c>
      <c r="E4912" s="36" t="str">
        <f t="array" ref="E4912">IFNA(_xlfn.XLOOKUP(D4912,Table_Tarikan_Warkah[Nomor Tiket],Table_Tarikan_Warkah[Tanggal diserahkan kepada Validator]),"")</f>
        <v/>
      </c>
      <c r="F4912" s="36" t="str">
        <f t="array" ref="F4912">IFNA(_xlfn.XLOOKUP(D4912,Table_Tarikan_Warkah[Nomor Tiket],Table_Tarikan_Warkah[Nama Petugas Warkah]),"")</f>
        <v/>
      </c>
      <c r="G4912" s="39" t="str">
        <f t="array" ref="G4912">IFNA(_xlfn.XLOOKUP(D4912,Table_Tarikan_Warkah[Nomor Tiket],Table_Tarikan_Warkah[Jenis Permohonan]),"")</f>
        <v>BN Waris</v>
      </c>
      <c r="H4912" s="41" t="s">
        <v>2315</v>
      </c>
      <c r="I4912" s="49" t="s">
        <v>23</v>
      </c>
      <c r="J4912" s="36">
        <f t="shared" si="20"/>
        <v>46071.57653</v>
      </c>
      <c r="K4912" s="69"/>
      <c r="L4912" s="49"/>
      <c r="M4912" s="36" t="str">
        <f t="shared" si="33"/>
        <v/>
      </c>
      <c r="N4912" s="30" t="str">
        <f t="shared" si="34"/>
        <v>BT atau SU Belum Valid</v>
      </c>
      <c r="O4912" s="39" t="str">
        <f t="shared" si="23"/>
        <v/>
      </c>
      <c r="P4912" s="47" t="b">
        <v>0</v>
      </c>
      <c r="Q4912" s="36" t="str">
        <f t="shared" si="35"/>
        <v/>
      </c>
      <c r="R4912" s="47" t="b">
        <v>0</v>
      </c>
      <c r="S4912" s="42" t="str">
        <f t="shared" si="28"/>
        <v/>
      </c>
      <c r="T4912" s="42"/>
    </row>
    <row r="4913" ht="22.5" customHeight="1">
      <c r="B4913" s="42">
        <f t="shared" si="7"/>
        <v>4907</v>
      </c>
      <c r="C4913" s="31" t="s">
        <v>4919</v>
      </c>
      <c r="D4913" s="34" t="str">
        <f t="array" ref="D4913">IFNA(_xlfn.XLOOKUP(C4913,Table_Tarikan_Warkah[Nomor Sertipikat],Table_Tarikan_Warkah[Nomor Tiket]),"")</f>
        <v>AB026/ABTPKOSZ</v>
      </c>
      <c r="E4913" s="36" t="str">
        <f t="array" ref="E4913">IFNA(_xlfn.XLOOKUP(D4913,Table_Tarikan_Warkah[Nomor Tiket],Table_Tarikan_Warkah[Tanggal diserahkan kepada Validator]),"")</f>
        <v/>
      </c>
      <c r="F4913" s="36" t="str">
        <f t="array" ref="F4913">IFNA(_xlfn.XLOOKUP(D4913,Table_Tarikan_Warkah[Nomor Tiket],Table_Tarikan_Warkah[Nama Petugas Warkah]),"")</f>
        <v/>
      </c>
      <c r="G4913" s="39" t="str">
        <f t="array" ref="G4913">IFNA(_xlfn.XLOOKUP(D4913,Table_Tarikan_Warkah[Nomor Tiket],Table_Tarikan_Warkah[Jenis Permohonan]),"")</f>
        <v>Peralihan Hak</v>
      </c>
      <c r="H4913" s="41" t="s">
        <v>2315</v>
      </c>
      <c r="I4913" s="49" t="s">
        <v>23</v>
      </c>
      <c r="J4913" s="36">
        <f t="shared" si="20"/>
        <v>46071.57668</v>
      </c>
      <c r="K4913" s="69"/>
      <c r="L4913" s="49"/>
      <c r="M4913" s="36" t="str">
        <f t="shared" si="33"/>
        <v/>
      </c>
      <c r="N4913" s="30" t="str">
        <f t="shared" si="34"/>
        <v>BT atau SU Belum Valid</v>
      </c>
      <c r="O4913" s="39" t="str">
        <f t="shared" si="23"/>
        <v/>
      </c>
      <c r="P4913" s="47" t="b">
        <v>0</v>
      </c>
      <c r="Q4913" s="36" t="str">
        <f t="shared" si="35"/>
        <v/>
      </c>
      <c r="R4913" s="47" t="b">
        <v>0</v>
      </c>
      <c r="S4913" s="42" t="str">
        <f t="shared" si="28"/>
        <v/>
      </c>
      <c r="T4913" s="42"/>
    </row>
    <row r="4914" ht="22.5" customHeight="1">
      <c r="B4914" s="42">
        <f t="shared" si="7"/>
        <v>4908</v>
      </c>
      <c r="C4914" s="31" t="s">
        <v>4920</v>
      </c>
      <c r="D4914" s="34" t="str">
        <f t="array" ref="D4914">IFNA(_xlfn.XLOOKUP(C4914,Table_Tarikan_Warkah[Nomor Sertipikat],Table_Tarikan_Warkah[Nomor Tiket]),"")</f>
        <v>ABYCHHUJ/AB045</v>
      </c>
      <c r="E4914" s="36" t="str">
        <f t="array" ref="E4914">IFNA(_xlfn.XLOOKUP(D4914,Table_Tarikan_Warkah[Nomor Tiket],Table_Tarikan_Warkah[Tanggal diserahkan kepada Validator]),"")</f>
        <v/>
      </c>
      <c r="F4914" s="36" t="str">
        <f t="array" ref="F4914">IFNA(_xlfn.XLOOKUP(D4914,Table_Tarikan_Warkah[Nomor Tiket],Table_Tarikan_Warkah[Nama Petugas Warkah]),"")</f>
        <v/>
      </c>
      <c r="G4914" s="39" t="str">
        <f t="array" ref="G4914">IFNA(_xlfn.XLOOKUP(D4914,Table_Tarikan_Warkah[Nomor Tiket],Table_Tarikan_Warkah[Jenis Permohonan]),"")</f>
        <v>balik nama</v>
      </c>
      <c r="H4914" s="41" t="s">
        <v>2315</v>
      </c>
      <c r="I4914" s="49" t="s">
        <v>23</v>
      </c>
      <c r="J4914" s="36">
        <f t="shared" si="20"/>
        <v>46071.57689</v>
      </c>
      <c r="K4914" s="69"/>
      <c r="L4914" s="49"/>
      <c r="M4914" s="36" t="str">
        <f t="shared" si="33"/>
        <v/>
      </c>
      <c r="N4914" s="30" t="str">
        <f t="shared" si="34"/>
        <v>BT atau SU Belum Valid</v>
      </c>
      <c r="O4914" s="39" t="str">
        <f t="shared" si="23"/>
        <v/>
      </c>
      <c r="P4914" s="47" t="b">
        <v>0</v>
      </c>
      <c r="Q4914" s="36" t="str">
        <f t="shared" si="35"/>
        <v/>
      </c>
      <c r="R4914" s="47" t="b">
        <v>0</v>
      </c>
      <c r="S4914" s="42" t="str">
        <f t="shared" si="28"/>
        <v/>
      </c>
      <c r="T4914" s="42"/>
    </row>
    <row r="4915" ht="22.5" customHeight="1">
      <c r="B4915" s="42">
        <f t="shared" si="7"/>
        <v>4909</v>
      </c>
      <c r="C4915" s="31" t="s">
        <v>4921</v>
      </c>
      <c r="D4915" s="34" t="str">
        <f t="array" ref="D4915">IFNA(_xlfn.XLOOKUP(C4915,Table_Tarikan_Warkah[Nomor Sertipikat],Table_Tarikan_Warkah[Nomor Tiket]),"")</f>
        <v>AB037/ABMTXSIV</v>
      </c>
      <c r="E4915" s="36" t="str">
        <f t="array" ref="E4915">IFNA(_xlfn.XLOOKUP(D4915,Table_Tarikan_Warkah[Nomor Tiket],Table_Tarikan_Warkah[Tanggal diserahkan kepada Validator]),"")</f>
        <v/>
      </c>
      <c r="F4915" s="36" t="str">
        <f t="array" ref="F4915">IFNA(_xlfn.XLOOKUP(D4915,Table_Tarikan_Warkah[Nomor Tiket],Table_Tarikan_Warkah[Nama Petugas Warkah]),"")</f>
        <v/>
      </c>
      <c r="G4915" s="39" t="str">
        <f t="array" ref="G4915">IFNA(_xlfn.XLOOKUP(D4915,Table_Tarikan_Warkah[Nomor Tiket],Table_Tarikan_Warkah[Jenis Permohonan]),"")</f>
        <v>balik nama </v>
      </c>
      <c r="H4915" s="41" t="s">
        <v>2315</v>
      </c>
      <c r="I4915" s="49" t="s">
        <v>23</v>
      </c>
      <c r="J4915" s="36">
        <f t="shared" si="20"/>
        <v>46071.57704</v>
      </c>
      <c r="K4915" s="69"/>
      <c r="L4915" s="49"/>
      <c r="M4915" s="36" t="str">
        <f t="shared" si="33"/>
        <v/>
      </c>
      <c r="N4915" s="30" t="str">
        <f t="shared" si="34"/>
        <v>BT atau SU Belum Valid</v>
      </c>
      <c r="O4915" s="39" t="str">
        <f t="shared" si="23"/>
        <v/>
      </c>
      <c r="P4915" s="47" t="b">
        <v>0</v>
      </c>
      <c r="Q4915" s="36" t="str">
        <f t="shared" si="35"/>
        <v/>
      </c>
      <c r="R4915" s="47" t="b">
        <v>0</v>
      </c>
      <c r="S4915" s="42" t="str">
        <f t="shared" si="28"/>
        <v/>
      </c>
      <c r="T4915" s="42"/>
    </row>
    <row r="4916" ht="22.5" customHeight="1">
      <c r="B4916" s="42">
        <f t="shared" si="7"/>
        <v>4910</v>
      </c>
      <c r="C4916" s="31" t="s">
        <v>4922</v>
      </c>
      <c r="D4916" s="34" t="str">
        <f t="array" ref="D4916">IFNA(_xlfn.XLOOKUP(C4916,Table_Tarikan_Warkah[Nomor Sertipikat],Table_Tarikan_Warkah[Nomor Tiket]),"")</f>
        <v>ABGPOFDF/AB047</v>
      </c>
      <c r="E4916" s="36" t="str">
        <f t="array" ref="E4916">IFNA(_xlfn.XLOOKUP(D4916,Table_Tarikan_Warkah[Nomor Tiket],Table_Tarikan_Warkah[Tanggal diserahkan kepada Validator]),"")</f>
        <v/>
      </c>
      <c r="F4916" s="36" t="str">
        <f t="array" ref="F4916">IFNA(_xlfn.XLOOKUP(D4916,Table_Tarikan_Warkah[Nomor Tiket],Table_Tarikan_Warkah[Nama Petugas Warkah]),"")</f>
        <v/>
      </c>
      <c r="G4916" s="39" t="str">
        <f t="array" ref="G4916">IFNA(_xlfn.XLOOKUP(D4916,Table_Tarikan_Warkah[Nomor Tiket],Table_Tarikan_Warkah[Jenis Permohonan]),"")</f>
        <v>Bn Jual Beli</v>
      </c>
      <c r="H4916" s="41" t="s">
        <v>2315</v>
      </c>
      <c r="I4916" s="49" t="s">
        <v>23</v>
      </c>
      <c r="J4916" s="36">
        <f t="shared" si="20"/>
        <v>46071.57751</v>
      </c>
      <c r="K4916" s="69"/>
      <c r="L4916" s="49"/>
      <c r="M4916" s="36" t="str">
        <f t="shared" si="33"/>
        <v/>
      </c>
      <c r="N4916" s="30" t="str">
        <f t="shared" si="34"/>
        <v>BT atau SU Belum Valid</v>
      </c>
      <c r="O4916" s="39" t="str">
        <f t="shared" si="23"/>
        <v/>
      </c>
      <c r="P4916" s="47" t="b">
        <v>0</v>
      </c>
      <c r="Q4916" s="36" t="str">
        <f t="shared" si="35"/>
        <v/>
      </c>
      <c r="R4916" s="47" t="b">
        <v>0</v>
      </c>
      <c r="S4916" s="42" t="str">
        <f t="shared" si="28"/>
        <v/>
      </c>
      <c r="T4916" s="42"/>
    </row>
    <row r="4917" ht="22.5" customHeight="1">
      <c r="B4917" s="42">
        <f t="shared" si="7"/>
        <v>4911</v>
      </c>
      <c r="C4917" s="31" t="s">
        <v>4923</v>
      </c>
      <c r="D4917" s="34" t="str">
        <f t="array" ref="D4917">IFNA(_xlfn.XLOOKUP(C4917,Table_Tarikan_Warkah[Nomor Sertipikat],Table_Tarikan_Warkah[Nomor Tiket]),"")</f>
        <v>ABPXUSQK</v>
      </c>
      <c r="E4917" s="36" t="str">
        <f t="array" ref="E4917">IFNA(_xlfn.XLOOKUP(D4917,Table_Tarikan_Warkah[Nomor Tiket],Table_Tarikan_Warkah[Tanggal diserahkan kepada Validator]),"")</f>
        <v/>
      </c>
      <c r="F4917" s="36" t="str">
        <f t="array" ref="F4917">IFNA(_xlfn.XLOOKUP(D4917,Table_Tarikan_Warkah[Nomor Tiket],Table_Tarikan_Warkah[Nama Petugas Warkah]),"")</f>
        <v/>
      </c>
      <c r="G4917" s="39" t="str">
        <f t="array" ref="G4917">IFNA(_xlfn.XLOOKUP(D4917,Table_Tarikan_Warkah[Nomor Tiket],Table_Tarikan_Warkah[Jenis Permohonan]),"")</f>
        <v>Bn</v>
      </c>
      <c r="H4917" s="41" t="s">
        <v>2315</v>
      </c>
      <c r="I4917" s="49" t="s">
        <v>23</v>
      </c>
      <c r="J4917" s="36">
        <f t="shared" si="20"/>
        <v>46071.57773</v>
      </c>
      <c r="K4917" s="69"/>
      <c r="L4917" s="49"/>
      <c r="M4917" s="36" t="str">
        <f t="shared" si="33"/>
        <v/>
      </c>
      <c r="N4917" s="30" t="str">
        <f t="shared" si="34"/>
        <v>BT atau SU Belum Valid</v>
      </c>
      <c r="O4917" s="39" t="str">
        <f t="shared" si="23"/>
        <v/>
      </c>
      <c r="P4917" s="47" t="b">
        <v>0</v>
      </c>
      <c r="Q4917" s="36" t="str">
        <f t="shared" si="35"/>
        <v/>
      </c>
      <c r="R4917" s="47" t="b">
        <v>0</v>
      </c>
      <c r="S4917" s="42" t="str">
        <f t="shared" si="28"/>
        <v/>
      </c>
      <c r="T4917" s="42"/>
    </row>
    <row r="4918" ht="22.5" customHeight="1">
      <c r="B4918" s="42">
        <f t="shared" si="7"/>
        <v>4912</v>
      </c>
      <c r="C4918" s="31" t="s">
        <v>4924</v>
      </c>
      <c r="D4918" s="34" t="str">
        <f t="array" ref="D4918">IFNA(_xlfn.XLOOKUP(C4918,Table_Tarikan_Warkah[Nomor Sertipikat],Table_Tarikan_Warkah[Nomor Tiket]),"")</f>
        <v>K/12/140126/1</v>
      </c>
      <c r="E4918" s="36" t="str">
        <f t="array" ref="E4918">IFNA(_xlfn.XLOOKUP(D4918,Table_Tarikan_Warkah[Nomor Tiket],Table_Tarikan_Warkah[Tanggal diserahkan kepada Validator]),"")</f>
        <v/>
      </c>
      <c r="F4918" s="36" t="str">
        <f t="array" ref="F4918">IFNA(_xlfn.XLOOKUP(D4918,Table_Tarikan_Warkah[Nomor Tiket],Table_Tarikan_Warkah[Nama Petugas Warkah]),"")</f>
        <v/>
      </c>
      <c r="G4918" s="39" t="str">
        <f t="array" ref="G4918">IFNA(_xlfn.XLOOKUP(D4918,Table_Tarikan_Warkah[Nomor Tiket],Table_Tarikan_Warkah[Jenis Permohonan]),"")</f>
        <v>BN WARIS CS</v>
      </c>
      <c r="H4918" s="41" t="s">
        <v>2315</v>
      </c>
      <c r="I4918" s="49" t="s">
        <v>23</v>
      </c>
      <c r="J4918" s="36">
        <f t="shared" si="20"/>
        <v>46071.579</v>
      </c>
      <c r="K4918" s="69"/>
      <c r="L4918" s="49"/>
      <c r="M4918" s="36" t="str">
        <f t="shared" si="33"/>
        <v/>
      </c>
      <c r="N4918" s="30" t="str">
        <f t="shared" si="34"/>
        <v>BT atau SU Belum Valid</v>
      </c>
      <c r="O4918" s="39" t="str">
        <f t="shared" si="23"/>
        <v/>
      </c>
      <c r="P4918" s="47" t="b">
        <v>0</v>
      </c>
      <c r="Q4918" s="36" t="str">
        <f t="shared" si="35"/>
        <v/>
      </c>
      <c r="R4918" s="47" t="b">
        <v>0</v>
      </c>
      <c r="S4918" s="42" t="str">
        <f t="shared" si="28"/>
        <v/>
      </c>
      <c r="T4918" s="42"/>
    </row>
    <row r="4919" ht="22.5" customHeight="1">
      <c r="B4919" s="42">
        <f t="shared" si="7"/>
        <v>4913</v>
      </c>
      <c r="C4919" s="31" t="s">
        <v>4925</v>
      </c>
      <c r="D4919" s="34" t="str">
        <f t="array" ref="D4919">IFNA(_xlfn.XLOOKUP(C4919,Table_Tarikan_Warkah[Nomor Sertipikat],Table_Tarikan_Warkah[Nomor Tiket]),"")</f>
        <v>L/7/171225/1</v>
      </c>
      <c r="E4919" s="36" t="str">
        <f t="array" ref="E4919">IFNA(_xlfn.XLOOKUP(D4919,Table_Tarikan_Warkah[Nomor Tiket],Table_Tarikan_Warkah[Tanggal diserahkan kepada Validator]),"")</f>
        <v/>
      </c>
      <c r="F4919" s="36" t="str">
        <f t="array" ref="F4919">IFNA(_xlfn.XLOOKUP(D4919,Table_Tarikan_Warkah[Nomor Tiket],Table_Tarikan_Warkah[Nama Petugas Warkah]),"")</f>
        <v/>
      </c>
      <c r="G4919" s="39" t="str">
        <f t="array" ref="G4919">IFNA(_xlfn.XLOOKUP(D4919,Table_Tarikan_Warkah[Nomor Tiket],Table_Tarikan_Warkah[Jenis Permohonan]),"")</f>
        <v>BN WARIS</v>
      </c>
      <c r="H4919" s="41" t="s">
        <v>2315</v>
      </c>
      <c r="I4919" s="49" t="s">
        <v>23</v>
      </c>
      <c r="J4919" s="36">
        <f t="shared" si="20"/>
        <v>46071.5792</v>
      </c>
      <c r="K4919" s="69"/>
      <c r="L4919" s="49"/>
      <c r="M4919" s="36" t="str">
        <f t="shared" si="33"/>
        <v/>
      </c>
      <c r="N4919" s="30" t="str">
        <f t="shared" si="34"/>
        <v>BT atau SU Belum Valid</v>
      </c>
      <c r="O4919" s="39" t="str">
        <f t="shared" si="23"/>
        <v/>
      </c>
      <c r="P4919" s="47" t="b">
        <v>0</v>
      </c>
      <c r="Q4919" s="36" t="str">
        <f t="shared" si="35"/>
        <v/>
      </c>
      <c r="R4919" s="47" t="b">
        <v>0</v>
      </c>
      <c r="S4919" s="42" t="str">
        <f t="shared" si="28"/>
        <v/>
      </c>
      <c r="T4919" s="42"/>
    </row>
    <row r="4920" ht="22.5" customHeight="1">
      <c r="B4920" s="42">
        <f t="shared" si="7"/>
        <v>4914</v>
      </c>
      <c r="C4920" s="31" t="s">
        <v>4926</v>
      </c>
      <c r="D4920" s="34" t="str">
        <f t="array" ref="D4920">IFNA(_xlfn.XLOOKUP(C4920,Table_Tarikan_Warkah[Nomor Sertipikat],Table_Tarikan_Warkah[Nomor Tiket]),"")</f>
        <v>
ABHBSVDY</v>
      </c>
      <c r="E4920" s="36" t="str">
        <f t="array" ref="E4920">IFNA(_xlfn.XLOOKUP(D4920,Table_Tarikan_Warkah[Nomor Tiket],Table_Tarikan_Warkah[Tanggal diserahkan kepada Validator]),"")</f>
        <v/>
      </c>
      <c r="F4920" s="36" t="str">
        <f t="array" ref="F4920">IFNA(_xlfn.XLOOKUP(D4920,Table_Tarikan_Warkah[Nomor Tiket],Table_Tarikan_Warkah[Nama Petugas Warkah]),"")</f>
        <v/>
      </c>
      <c r="G4920" s="39" t="str">
        <f t="array" ref="G4920">IFNA(_xlfn.XLOOKUP(D4920,Table_Tarikan_Warkah[Nomor Tiket],Table_Tarikan_Warkah[Jenis Permohonan]),"")</f>
        <v>Roya Hak Tanggungan</v>
      </c>
      <c r="H4920" s="41" t="s">
        <v>2315</v>
      </c>
      <c r="I4920" s="49" t="s">
        <v>23</v>
      </c>
      <c r="J4920" s="36">
        <f t="shared" si="20"/>
        <v>46072.46646</v>
      </c>
      <c r="K4920" s="69"/>
      <c r="L4920" s="49"/>
      <c r="M4920" s="36" t="str">
        <f t="shared" si="33"/>
        <v/>
      </c>
      <c r="N4920" s="30" t="str">
        <f t="shared" si="34"/>
        <v>BT atau SU Belum Valid</v>
      </c>
      <c r="O4920" s="39" t="str">
        <f t="shared" si="23"/>
        <v/>
      </c>
      <c r="P4920" s="47" t="b">
        <v>0</v>
      </c>
      <c r="Q4920" s="36" t="str">
        <f t="shared" si="35"/>
        <v/>
      </c>
      <c r="R4920" s="47" t="b">
        <v>0</v>
      </c>
      <c r="S4920" s="42" t="str">
        <f t="shared" si="28"/>
        <v/>
      </c>
      <c r="T4920" s="42"/>
    </row>
    <row r="4921" ht="22.5" customHeight="1">
      <c r="B4921" s="42">
        <f t="shared" si="7"/>
        <v>4915</v>
      </c>
      <c r="C4921" s="31" t="s">
        <v>4927</v>
      </c>
      <c r="D4921" s="34" t="str">
        <f t="array" ref="D4921">IFNA(_xlfn.XLOOKUP(C4921,Table_Tarikan_Warkah[Nomor Sertipikat],Table_Tarikan_Warkah[Nomor Tiket]),"")</f>
        <v>AB051/ABYQQCLR</v>
      </c>
      <c r="E4921" s="36" t="str">
        <f t="array" ref="E4921">IFNA(_xlfn.XLOOKUP(D4921,Table_Tarikan_Warkah[Nomor Tiket],Table_Tarikan_Warkah[Tanggal diserahkan kepada Validator]),"")</f>
        <v/>
      </c>
      <c r="F4921" s="36" t="str">
        <f t="array" ref="F4921">IFNA(_xlfn.XLOOKUP(D4921,Table_Tarikan_Warkah[Nomor Tiket],Table_Tarikan_Warkah[Nama Petugas Warkah]),"")</f>
        <v/>
      </c>
      <c r="G4921" s="39" t="str">
        <f t="array" ref="G4921">IFNA(_xlfn.XLOOKUP(D4921,Table_Tarikan_Warkah[Nomor Tiket],Table_Tarikan_Warkah[Jenis Permohonan]),"")</f>
        <v>peralihan hak</v>
      </c>
      <c r="H4921" s="41" t="s">
        <v>2315</v>
      </c>
      <c r="I4921" s="49" t="s">
        <v>23</v>
      </c>
      <c r="J4921" s="36">
        <f t="shared" si="20"/>
        <v>46072.46713</v>
      </c>
      <c r="K4921" s="69"/>
      <c r="L4921" s="49"/>
      <c r="M4921" s="36" t="str">
        <f t="shared" si="33"/>
        <v/>
      </c>
      <c r="N4921" s="30" t="str">
        <f t="shared" si="34"/>
        <v>BT atau SU Belum Valid</v>
      </c>
      <c r="O4921" s="39" t="str">
        <f t="shared" si="23"/>
        <v/>
      </c>
      <c r="P4921" s="47" t="b">
        <v>0</v>
      </c>
      <c r="Q4921" s="36" t="str">
        <f t="shared" si="35"/>
        <v/>
      </c>
      <c r="R4921" s="47" t="b">
        <v>0</v>
      </c>
      <c r="S4921" s="42" t="str">
        <f t="shared" si="28"/>
        <v/>
      </c>
      <c r="T4921" s="42"/>
    </row>
    <row r="4922" ht="22.5" customHeight="1">
      <c r="B4922" s="42">
        <f t="shared" si="7"/>
        <v>4916</v>
      </c>
      <c r="C4922" s="31" t="s">
        <v>4928</v>
      </c>
      <c r="D4922" s="34" t="str">
        <f t="array" ref="D4922">IFNA(_xlfn.XLOOKUP(C4922,Table_Tarikan_Warkah[Nomor Sertipikat],Table_Tarikan_Warkah[Nomor Tiket]),"")</f>
        <v>ABODESHA</v>
      </c>
      <c r="E4922" s="36" t="str">
        <f t="array" ref="E4922">IFNA(_xlfn.XLOOKUP(D4922,Table_Tarikan_Warkah[Nomor Tiket],Table_Tarikan_Warkah[Tanggal diserahkan kepada Validator]),"")</f>
        <v/>
      </c>
      <c r="F4922" s="36" t="str">
        <f t="array" ref="F4922">IFNA(_xlfn.XLOOKUP(D4922,Table_Tarikan_Warkah[Nomor Tiket],Table_Tarikan_Warkah[Nama Petugas Warkah]),"")</f>
        <v/>
      </c>
      <c r="G4922" s="39" t="str">
        <f t="array" ref="G4922">IFNA(_xlfn.XLOOKUP(D4922,Table_Tarikan_Warkah[Nomor Tiket],Table_Tarikan_Warkah[Jenis Permohonan]),"")</f>
        <v>Bn waris</v>
      </c>
      <c r="H4922" s="41" t="s">
        <v>2315</v>
      </c>
      <c r="I4922" s="49" t="s">
        <v>23</v>
      </c>
      <c r="J4922" s="36">
        <f t="shared" si="20"/>
        <v>46072.46765</v>
      </c>
      <c r="K4922" s="69"/>
      <c r="L4922" s="49"/>
      <c r="M4922" s="36" t="str">
        <f t="shared" si="33"/>
        <v/>
      </c>
      <c r="N4922" s="30" t="str">
        <f t="shared" si="34"/>
        <v>BT atau SU Belum Valid</v>
      </c>
      <c r="O4922" s="39" t="str">
        <f t="shared" si="23"/>
        <v/>
      </c>
      <c r="P4922" s="47" t="b">
        <v>0</v>
      </c>
      <c r="Q4922" s="36" t="str">
        <f t="shared" si="35"/>
        <v/>
      </c>
      <c r="R4922" s="47" t="b">
        <v>0</v>
      </c>
      <c r="S4922" s="42" t="str">
        <f t="shared" si="28"/>
        <v/>
      </c>
      <c r="T4922" s="42"/>
    </row>
    <row r="4923" ht="22.5" customHeight="1">
      <c r="B4923" s="42">
        <f t="shared" si="7"/>
        <v>4917</v>
      </c>
      <c r="C4923" s="31" t="s">
        <v>4929</v>
      </c>
      <c r="D4923" s="34" t="str">
        <f t="array" ref="D4923">IFNA(_xlfn.XLOOKUP(C4923,Table_Tarikan_Warkah[Nomor Sertipikat],Table_Tarikan_Warkah[Nomor Tiket]),"")</f>
        <v>L/9/300126/1</v>
      </c>
      <c r="E4923" s="36" t="str">
        <f t="array" ref="E4923">IFNA(_xlfn.XLOOKUP(D4923,Table_Tarikan_Warkah[Nomor Tiket],Table_Tarikan_Warkah[Tanggal diserahkan kepada Validator]),"")</f>
        <v/>
      </c>
      <c r="F4923" s="36" t="str">
        <f t="array" ref="F4923">IFNA(_xlfn.XLOOKUP(D4923,Table_Tarikan_Warkah[Nomor Tiket],Table_Tarikan_Warkah[Nama Petugas Warkah]),"")</f>
        <v/>
      </c>
      <c r="G4923" s="39" t="str">
        <f t="array" ref="G4923">IFNA(_xlfn.XLOOKUP(D4923,Table_Tarikan_Warkah[Nomor Tiket],Table_Tarikan_Warkah[Jenis Permohonan]),"")</f>
        <v>PENINGKATAN HAK</v>
      </c>
      <c r="H4923" s="41" t="s">
        <v>2315</v>
      </c>
      <c r="I4923" s="49" t="s">
        <v>23</v>
      </c>
      <c r="J4923" s="36">
        <f t="shared" si="20"/>
        <v>46072.46932</v>
      </c>
      <c r="K4923" s="69"/>
      <c r="L4923" s="49"/>
      <c r="M4923" s="36" t="str">
        <f t="shared" si="33"/>
        <v/>
      </c>
      <c r="N4923" s="30" t="str">
        <f t="shared" si="34"/>
        <v>BT atau SU Belum Valid</v>
      </c>
      <c r="O4923" s="39" t="str">
        <f t="shared" si="23"/>
        <v/>
      </c>
      <c r="P4923" s="47" t="b">
        <v>0</v>
      </c>
      <c r="Q4923" s="36" t="str">
        <f t="shared" si="35"/>
        <v/>
      </c>
      <c r="R4923" s="47" t="b">
        <v>0</v>
      </c>
      <c r="S4923" s="42" t="str">
        <f t="shared" si="28"/>
        <v/>
      </c>
      <c r="T4923" s="42"/>
    </row>
    <row r="4924" ht="22.5" customHeight="1">
      <c r="B4924" s="42">
        <f t="shared" si="7"/>
        <v>4918</v>
      </c>
      <c r="C4924" s="31" t="s">
        <v>4930</v>
      </c>
      <c r="D4924" s="34" t="str">
        <f t="array" ref="D4924">IFNA(_xlfn.XLOOKUP(C4924,Table_Tarikan_Warkah[Nomor Sertipikat],Table_Tarikan_Warkah[Nomor Tiket]),"")</f>
        <v>L/12/241225/1</v>
      </c>
      <c r="E4924" s="36" t="str">
        <f t="array" ref="E4924">IFNA(_xlfn.XLOOKUP(D4924,Table_Tarikan_Warkah[Nomor Tiket],Table_Tarikan_Warkah[Tanggal diserahkan kepada Validator]),"")</f>
        <v/>
      </c>
      <c r="F4924" s="36" t="str">
        <f t="array" ref="F4924">IFNA(_xlfn.XLOOKUP(D4924,Table_Tarikan_Warkah[Nomor Tiket],Table_Tarikan_Warkah[Nama Petugas Warkah]),"")</f>
        <v/>
      </c>
      <c r="G4924" s="39" t="str">
        <f t="array" ref="G4924">IFNA(_xlfn.XLOOKUP(D4924,Table_Tarikan_Warkah[Nomor Tiket],Table_Tarikan_Warkah[Jenis Permohonan]),"")</f>
        <v>BN JUAL BELI</v>
      </c>
      <c r="H4924" s="41" t="s">
        <v>2315</v>
      </c>
      <c r="I4924" s="49" t="s">
        <v>23</v>
      </c>
      <c r="J4924" s="36">
        <f t="shared" si="20"/>
        <v>46072.46991</v>
      </c>
      <c r="K4924" s="69"/>
      <c r="L4924" s="49"/>
      <c r="M4924" s="36" t="str">
        <f t="shared" si="33"/>
        <v/>
      </c>
      <c r="N4924" s="30" t="str">
        <f t="shared" si="34"/>
        <v>BT atau SU Belum Valid</v>
      </c>
      <c r="O4924" s="39" t="str">
        <f t="shared" si="23"/>
        <v/>
      </c>
      <c r="P4924" s="47" t="b">
        <v>0</v>
      </c>
      <c r="Q4924" s="36" t="str">
        <f t="shared" si="35"/>
        <v/>
      </c>
      <c r="R4924" s="47" t="b">
        <v>0</v>
      </c>
      <c r="S4924" s="42" t="str">
        <f t="shared" si="28"/>
        <v/>
      </c>
      <c r="T4924" s="42"/>
    </row>
    <row r="4925" ht="22.5" customHeight="1">
      <c r="B4925" s="42">
        <f t="shared" si="7"/>
        <v>4919</v>
      </c>
      <c r="C4925" s="31" t="s">
        <v>4931</v>
      </c>
      <c r="D4925" s="34" t="str">
        <f t="array" ref="D4925">IFNA(_xlfn.XLOOKUP(C4925,Table_Tarikan_Warkah[Nomor Sertipikat],Table_Tarikan_Warkah[Nomor Tiket]),"")</f>
        <v>L/2/020126/1</v>
      </c>
      <c r="E4925" s="36" t="str">
        <f t="array" ref="E4925">IFNA(_xlfn.XLOOKUP(D4925,Table_Tarikan_Warkah[Nomor Tiket],Table_Tarikan_Warkah[Tanggal diserahkan kepada Validator]),"")</f>
        <v/>
      </c>
      <c r="F4925" s="36" t="str">
        <f t="array" ref="F4925">IFNA(_xlfn.XLOOKUP(D4925,Table_Tarikan_Warkah[Nomor Tiket],Table_Tarikan_Warkah[Nama Petugas Warkah]),"")</f>
        <v/>
      </c>
      <c r="G4925" s="39" t="str">
        <f t="array" ref="G4925">IFNA(_xlfn.XLOOKUP(D4925,Table_Tarikan_Warkah[Nomor Tiket],Table_Tarikan_Warkah[Jenis Permohonan]),"")</f>
        <v>BN WARIS</v>
      </c>
      <c r="H4925" s="41" t="s">
        <v>2315</v>
      </c>
      <c r="I4925" s="49" t="s">
        <v>23</v>
      </c>
      <c r="J4925" s="36">
        <f t="shared" si="20"/>
        <v>46072.47119</v>
      </c>
      <c r="K4925" s="69"/>
      <c r="L4925" s="49"/>
      <c r="M4925" s="36" t="str">
        <f t="shared" si="33"/>
        <v/>
      </c>
      <c r="N4925" s="30" t="str">
        <f t="shared" si="34"/>
        <v>BT atau SU Belum Valid</v>
      </c>
      <c r="O4925" s="39" t="str">
        <f t="shared" si="23"/>
        <v/>
      </c>
      <c r="P4925" s="47" t="b">
        <v>0</v>
      </c>
      <c r="Q4925" s="36" t="str">
        <f t="shared" si="35"/>
        <v/>
      </c>
      <c r="R4925" s="47" t="b">
        <v>0</v>
      </c>
      <c r="S4925" s="42" t="str">
        <f t="shared" si="28"/>
        <v/>
      </c>
      <c r="T4925" s="42"/>
    </row>
    <row r="4926" ht="22.5" customHeight="1">
      <c r="B4926" s="42">
        <f t="shared" si="7"/>
        <v>4920</v>
      </c>
      <c r="C4926" s="31" t="s">
        <v>4932</v>
      </c>
      <c r="D4926" s="34" t="str">
        <f t="array" ref="D4926">IFNA(_xlfn.XLOOKUP(C4926,Table_Tarikan_Warkah[Nomor Sertipikat],Table_Tarikan_Warkah[Nomor Tiket]),"")</f>
        <v>ABGDSRDX/AB028</v>
      </c>
      <c r="E4926" s="36" t="str">
        <f t="array" ref="E4926">IFNA(_xlfn.XLOOKUP(D4926,Table_Tarikan_Warkah[Nomor Tiket],Table_Tarikan_Warkah[Tanggal diserahkan kepada Validator]),"")</f>
        <v/>
      </c>
      <c r="F4926" s="36" t="str">
        <f t="array" ref="F4926">IFNA(_xlfn.XLOOKUP(D4926,Table_Tarikan_Warkah[Nomor Tiket],Table_Tarikan_Warkah[Nama Petugas Warkah]),"")</f>
        <v/>
      </c>
      <c r="G4926" s="39" t="str">
        <f t="array" ref="G4926">IFNA(_xlfn.XLOOKUP(D4926,Table_Tarikan_Warkah[Nomor Tiket],Table_Tarikan_Warkah[Jenis Permohonan]),"")</f>
        <v>BN Waris</v>
      </c>
      <c r="H4926" s="41" t="s">
        <v>2315</v>
      </c>
      <c r="I4926" s="49" t="s">
        <v>23</v>
      </c>
      <c r="J4926" s="36">
        <f t="shared" si="20"/>
        <v>46072.47269</v>
      </c>
      <c r="K4926" s="69"/>
      <c r="L4926" s="49"/>
      <c r="M4926" s="36" t="str">
        <f t="shared" si="33"/>
        <v/>
      </c>
      <c r="N4926" s="30" t="str">
        <f t="shared" si="34"/>
        <v>BT atau SU Belum Valid</v>
      </c>
      <c r="O4926" s="39" t="str">
        <f t="shared" si="23"/>
        <v/>
      </c>
      <c r="P4926" s="47" t="b">
        <v>0</v>
      </c>
      <c r="Q4926" s="36" t="str">
        <f t="shared" si="35"/>
        <v/>
      </c>
      <c r="R4926" s="47" t="b">
        <v>0</v>
      </c>
      <c r="S4926" s="42" t="str">
        <f t="shared" si="28"/>
        <v/>
      </c>
      <c r="T4926" s="42"/>
    </row>
    <row r="4927" ht="22.5" customHeight="1">
      <c r="B4927" s="42">
        <f t="shared" si="7"/>
        <v>4921</v>
      </c>
      <c r="C4927" s="31" t="s">
        <v>4933</v>
      </c>
      <c r="D4927" s="34" t="str">
        <f t="array" ref="D4927">IFNA(_xlfn.XLOOKUP(C4927,Table_Tarikan_Warkah[Nomor Sertipikat],Table_Tarikan_Warkah[Nomor Tiket]),"")</f>
        <v>ABCPRKSS/AB047</v>
      </c>
      <c r="E4927" s="36" t="str">
        <f t="array" ref="E4927">IFNA(_xlfn.XLOOKUP(D4927,Table_Tarikan_Warkah[Nomor Tiket],Table_Tarikan_Warkah[Tanggal diserahkan kepada Validator]),"")</f>
        <v/>
      </c>
      <c r="F4927" s="36" t="str">
        <f t="array" ref="F4927">IFNA(_xlfn.XLOOKUP(D4927,Table_Tarikan_Warkah[Nomor Tiket],Table_Tarikan_Warkah[Nama Petugas Warkah]),"")</f>
        <v/>
      </c>
      <c r="G4927" s="39" t="str">
        <f t="array" ref="G4927">IFNA(_xlfn.XLOOKUP(D4927,Table_Tarikan_Warkah[Nomor Tiket],Table_Tarikan_Warkah[Jenis Permohonan]),"")</f>
        <v>Balik Nama</v>
      </c>
      <c r="H4927" s="41" t="s">
        <v>2315</v>
      </c>
      <c r="I4927" s="49" t="s">
        <v>23</v>
      </c>
      <c r="J4927" s="36">
        <f t="shared" si="20"/>
        <v>46072.48476</v>
      </c>
      <c r="K4927" s="69"/>
      <c r="L4927" s="49"/>
      <c r="M4927" s="36" t="str">
        <f t="shared" si="33"/>
        <v/>
      </c>
      <c r="N4927" s="30" t="str">
        <f t="shared" si="34"/>
        <v>BT atau SU Belum Valid</v>
      </c>
      <c r="O4927" s="39" t="str">
        <f t="shared" si="23"/>
        <v/>
      </c>
      <c r="P4927" s="47" t="b">
        <v>0</v>
      </c>
      <c r="Q4927" s="36" t="str">
        <f t="shared" si="35"/>
        <v/>
      </c>
      <c r="R4927" s="47" t="b">
        <v>0</v>
      </c>
      <c r="S4927" s="42" t="str">
        <f t="shared" si="28"/>
        <v/>
      </c>
      <c r="T4927" s="42"/>
    </row>
    <row r="4928" ht="22.5" customHeight="1">
      <c r="B4928" s="42">
        <f t="shared" si="7"/>
        <v>4922</v>
      </c>
      <c r="C4928" s="31" t="s">
        <v>4934</v>
      </c>
      <c r="D4928" s="34" t="str">
        <f t="array" ref="D4928">IFNA(_xlfn.XLOOKUP(C4928,Table_Tarikan_Warkah[Nomor Sertipikat],Table_Tarikan_Warkah[Nomor Tiket]),"")</f>
        <v>ABWWMBUK/AB075</v>
      </c>
      <c r="E4928" s="36" t="str">
        <f t="array" ref="E4928">IFNA(_xlfn.XLOOKUP(D4928,Table_Tarikan_Warkah[Nomor Tiket],Table_Tarikan_Warkah[Tanggal diserahkan kepada Validator]),"")</f>
        <v/>
      </c>
      <c r="F4928" s="36" t="str">
        <f t="array" ref="F4928">IFNA(_xlfn.XLOOKUP(D4928,Table_Tarikan_Warkah[Nomor Tiket],Table_Tarikan_Warkah[Nama Petugas Warkah]),"")</f>
        <v/>
      </c>
      <c r="G4928" s="39" t="str">
        <f t="array" ref="G4928">IFNA(_xlfn.XLOOKUP(D4928,Table_Tarikan_Warkah[Nomor Tiket],Table_Tarikan_Warkah[Jenis Permohonan]),"")</f>
        <v>BN Jual Beli</v>
      </c>
      <c r="H4928" s="41" t="s">
        <v>2315</v>
      </c>
      <c r="I4928" s="49" t="s">
        <v>23</v>
      </c>
      <c r="J4928" s="36">
        <f t="shared" si="20"/>
        <v>46072.48498</v>
      </c>
      <c r="K4928" s="69"/>
      <c r="L4928" s="49"/>
      <c r="M4928" s="36" t="str">
        <f t="shared" si="33"/>
        <v/>
      </c>
      <c r="N4928" s="30" t="str">
        <f t="shared" si="34"/>
        <v>BT atau SU Belum Valid</v>
      </c>
      <c r="O4928" s="39" t="str">
        <f t="shared" si="23"/>
        <v/>
      </c>
      <c r="P4928" s="47" t="b">
        <v>0</v>
      </c>
      <c r="Q4928" s="36" t="str">
        <f t="shared" si="35"/>
        <v/>
      </c>
      <c r="R4928" s="47" t="b">
        <v>0</v>
      </c>
      <c r="S4928" s="42" t="str">
        <f t="shared" si="28"/>
        <v/>
      </c>
      <c r="T4928" s="42"/>
    </row>
    <row r="4929" ht="22.5" customHeight="1">
      <c r="B4929" s="42">
        <f t="shared" si="7"/>
        <v>4923</v>
      </c>
      <c r="C4929" s="31" t="s">
        <v>4935</v>
      </c>
      <c r="D4929" s="34" t="str">
        <f t="array" ref="D4929">IFNA(_xlfn.XLOOKUP(C4929,Table_Tarikan_Warkah[Nomor Sertipikat],Table_Tarikan_Warkah[Nomor Tiket]),"")</f>
        <v>ABESDGZG</v>
      </c>
      <c r="E4929" s="36" t="str">
        <f t="array" ref="E4929">IFNA(_xlfn.XLOOKUP(D4929,Table_Tarikan_Warkah[Nomor Tiket],Table_Tarikan_Warkah[Tanggal diserahkan kepada Validator]),"")</f>
        <v/>
      </c>
      <c r="F4929" s="36" t="str">
        <f t="array" ref="F4929">IFNA(_xlfn.XLOOKUP(D4929,Table_Tarikan_Warkah[Nomor Tiket],Table_Tarikan_Warkah[Nama Petugas Warkah]),"")</f>
        <v/>
      </c>
      <c r="G4929" s="39" t="str">
        <f t="array" ref="G4929">IFNA(_xlfn.XLOOKUP(D4929,Table_Tarikan_Warkah[Nomor Tiket],Table_Tarikan_Warkah[Jenis Permohonan]),"")</f>
        <v>Balik Nama jual beli</v>
      </c>
      <c r="H4929" s="41" t="s">
        <v>2315</v>
      </c>
      <c r="I4929" s="49" t="s">
        <v>23</v>
      </c>
      <c r="J4929" s="36">
        <f t="shared" si="20"/>
        <v>46072.4851</v>
      </c>
      <c r="K4929" s="69"/>
      <c r="L4929" s="49"/>
      <c r="M4929" s="36" t="str">
        <f t="shared" si="33"/>
        <v/>
      </c>
      <c r="N4929" s="30" t="str">
        <f t="shared" si="34"/>
        <v>BT atau SU Belum Valid</v>
      </c>
      <c r="O4929" s="39" t="str">
        <f t="shared" si="23"/>
        <v/>
      </c>
      <c r="P4929" s="47" t="b">
        <v>0</v>
      </c>
      <c r="Q4929" s="36" t="str">
        <f t="shared" si="35"/>
        <v/>
      </c>
      <c r="R4929" s="47" t="b">
        <v>0</v>
      </c>
      <c r="S4929" s="42" t="str">
        <f t="shared" si="28"/>
        <v/>
      </c>
      <c r="T4929" s="42"/>
    </row>
    <row r="4930" ht="22.5" customHeight="1">
      <c r="B4930" s="42">
        <f t="shared" si="7"/>
        <v>4924</v>
      </c>
      <c r="C4930" s="31" t="s">
        <v>4936</v>
      </c>
      <c r="D4930" s="34" t="str">
        <f t="array" ref="D4930">IFNA(_xlfn.XLOOKUP(C4930,Table_Tarikan_Warkah[Nomor Sertipikat],Table_Tarikan_Warkah[Nomor Tiket]),"")</f>
        <v>ABGHIKEW</v>
      </c>
      <c r="E4930" s="36" t="str">
        <f t="array" ref="E4930">IFNA(_xlfn.XLOOKUP(D4930,Table_Tarikan_Warkah[Nomor Tiket],Table_Tarikan_Warkah[Tanggal diserahkan kepada Validator]),"")</f>
        <v/>
      </c>
      <c r="F4930" s="36" t="str">
        <f t="array" ref="F4930">IFNA(_xlfn.XLOOKUP(D4930,Table_Tarikan_Warkah[Nomor Tiket],Table_Tarikan_Warkah[Nama Petugas Warkah]),"")</f>
        <v/>
      </c>
      <c r="G4930" s="39" t="str">
        <f t="array" ref="G4930">IFNA(_xlfn.XLOOKUP(D4930,Table_Tarikan_Warkah[Nomor Tiket],Table_Tarikan_Warkah[Jenis Permohonan]),"")</f>
        <v>Peralihan Hak</v>
      </c>
      <c r="H4930" s="41" t="s">
        <v>2315</v>
      </c>
      <c r="I4930" s="49" t="s">
        <v>23</v>
      </c>
      <c r="J4930" s="36">
        <f t="shared" si="20"/>
        <v>46072.48537</v>
      </c>
      <c r="K4930" s="69"/>
      <c r="L4930" s="49"/>
      <c r="M4930" s="36" t="str">
        <f t="shared" si="33"/>
        <v/>
      </c>
      <c r="N4930" s="30" t="str">
        <f t="shared" si="34"/>
        <v>BT atau SU Belum Valid</v>
      </c>
      <c r="O4930" s="39" t="str">
        <f t="shared" si="23"/>
        <v/>
      </c>
      <c r="P4930" s="47" t="b">
        <v>0</v>
      </c>
      <c r="Q4930" s="36" t="str">
        <f t="shared" si="35"/>
        <v/>
      </c>
      <c r="R4930" s="47" t="b">
        <v>0</v>
      </c>
      <c r="S4930" s="42" t="str">
        <f t="shared" si="28"/>
        <v/>
      </c>
      <c r="T4930" s="42"/>
    </row>
    <row r="4931" ht="22.5" customHeight="1">
      <c r="B4931" s="42">
        <f t="shared" si="7"/>
        <v>4925</v>
      </c>
      <c r="C4931" s="31" t="s">
        <v>4937</v>
      </c>
      <c r="D4931" s="34" t="str">
        <f t="array" ref="D4931">IFNA(_xlfn.XLOOKUP(C4931,Table_Tarikan_Warkah[Nomor Sertipikat],Table_Tarikan_Warkah[Nomor Tiket]),"")</f>
        <v>ABSPKCKX</v>
      </c>
      <c r="E4931" s="36" t="str">
        <f t="array" ref="E4931">IFNA(_xlfn.XLOOKUP(D4931,Table_Tarikan_Warkah[Nomor Tiket],Table_Tarikan_Warkah[Tanggal diserahkan kepada Validator]),"")</f>
        <v/>
      </c>
      <c r="F4931" s="36" t="str">
        <f t="array" ref="F4931">IFNA(_xlfn.XLOOKUP(D4931,Table_Tarikan_Warkah[Nomor Tiket],Table_Tarikan_Warkah[Nama Petugas Warkah]),"")</f>
        <v/>
      </c>
      <c r="G4931" s="39" t="str">
        <f t="array" ref="G4931">IFNA(_xlfn.XLOOKUP(D4931,Table_Tarikan_Warkah[Nomor Tiket],Table_Tarikan_Warkah[Jenis Permohonan]),"")</f>
        <v>Ganti Nama</v>
      </c>
      <c r="H4931" s="41" t="s">
        <v>2315</v>
      </c>
      <c r="I4931" s="49" t="s">
        <v>23</v>
      </c>
      <c r="J4931" s="36">
        <f t="shared" si="20"/>
        <v>46072.48555</v>
      </c>
      <c r="K4931" s="69"/>
      <c r="L4931" s="49"/>
      <c r="M4931" s="36" t="str">
        <f t="shared" si="33"/>
        <v/>
      </c>
      <c r="N4931" s="30" t="str">
        <f t="shared" si="34"/>
        <v>BT atau SU Belum Valid</v>
      </c>
      <c r="O4931" s="39" t="str">
        <f t="shared" si="23"/>
        <v/>
      </c>
      <c r="P4931" s="47" t="b">
        <v>0</v>
      </c>
      <c r="Q4931" s="36" t="str">
        <f t="shared" si="35"/>
        <v/>
      </c>
      <c r="R4931" s="47" t="b">
        <v>0</v>
      </c>
      <c r="S4931" s="42" t="str">
        <f t="shared" si="28"/>
        <v/>
      </c>
      <c r="T4931" s="42"/>
    </row>
    <row r="4932" ht="22.5" customHeight="1">
      <c r="B4932" s="42">
        <f t="shared" si="7"/>
        <v>4926</v>
      </c>
      <c r="C4932" s="31" t="s">
        <v>4938</v>
      </c>
      <c r="D4932" s="34" t="str">
        <f t="array" ref="D4932">IFNA(_xlfn.XLOOKUP(C4932,Table_Tarikan_Warkah[Nomor Sertipikat],Table_Tarikan_Warkah[Nomor Tiket]),"")</f>
        <v>ABNYCCGW</v>
      </c>
      <c r="E4932" s="36" t="str">
        <f t="array" ref="E4932">IFNA(_xlfn.XLOOKUP(D4932,Table_Tarikan_Warkah[Nomor Tiket],Table_Tarikan_Warkah[Tanggal diserahkan kepada Validator]),"")</f>
        <v/>
      </c>
      <c r="F4932" s="36" t="str">
        <f t="array" ref="F4932">IFNA(_xlfn.XLOOKUP(D4932,Table_Tarikan_Warkah[Nomor Tiket],Table_Tarikan_Warkah[Nama Petugas Warkah]),"")</f>
        <v/>
      </c>
      <c r="G4932" s="39" t="str">
        <f t="array" ref="G4932">IFNA(_xlfn.XLOOKUP(D4932,Table_Tarikan_Warkah[Nomor Tiket],Table_Tarikan_Warkah[Jenis Permohonan]),"")</f>
        <v>Ganti Nama</v>
      </c>
      <c r="H4932" s="41" t="s">
        <v>2315</v>
      </c>
      <c r="I4932" s="49" t="s">
        <v>23</v>
      </c>
      <c r="J4932" s="36">
        <f t="shared" si="20"/>
        <v>46072.48575</v>
      </c>
      <c r="K4932" s="69"/>
      <c r="L4932" s="49"/>
      <c r="M4932" s="36" t="str">
        <f t="shared" si="33"/>
        <v/>
      </c>
      <c r="N4932" s="30" t="str">
        <f t="shared" si="34"/>
        <v>BT atau SU Belum Valid</v>
      </c>
      <c r="O4932" s="39" t="str">
        <f t="shared" si="23"/>
        <v/>
      </c>
      <c r="P4932" s="47" t="b">
        <v>0</v>
      </c>
      <c r="Q4932" s="36" t="str">
        <f t="shared" si="35"/>
        <v/>
      </c>
      <c r="R4932" s="47" t="b">
        <v>0</v>
      </c>
      <c r="S4932" s="42" t="str">
        <f t="shared" si="28"/>
        <v/>
      </c>
      <c r="T4932" s="42"/>
    </row>
    <row r="4933" ht="22.5" customHeight="1">
      <c r="B4933" s="42">
        <f t="shared" si="7"/>
        <v>4927</v>
      </c>
      <c r="C4933" s="31" t="s">
        <v>4939</v>
      </c>
      <c r="D4933" s="34" t="str">
        <f t="array" ref="D4933">IFNA(_xlfn.XLOOKUP(C4933,Table_Tarikan_Warkah[Nomor Sertipikat],Table_Tarikan_Warkah[Nomor Tiket]),"")</f>
        <v>ABKACDQG</v>
      </c>
      <c r="E4933" s="36" t="str">
        <f t="array" ref="E4933">IFNA(_xlfn.XLOOKUP(D4933,Table_Tarikan_Warkah[Nomor Tiket],Table_Tarikan_Warkah[Tanggal diserahkan kepada Validator]),"")</f>
        <v/>
      </c>
      <c r="F4933" s="36" t="str">
        <f t="array" ref="F4933">IFNA(_xlfn.XLOOKUP(D4933,Table_Tarikan_Warkah[Nomor Tiket],Table_Tarikan_Warkah[Nama Petugas Warkah]),"")</f>
        <v/>
      </c>
      <c r="G4933" s="39" t="str">
        <f t="array" ref="G4933">IFNA(_xlfn.XLOOKUP(D4933,Table_Tarikan_Warkah[Nomor Tiket],Table_Tarikan_Warkah[Jenis Permohonan]),"")</f>
        <v>Ganti Nama</v>
      </c>
      <c r="H4933" s="41" t="s">
        <v>2315</v>
      </c>
      <c r="I4933" s="49" t="s">
        <v>23</v>
      </c>
      <c r="J4933" s="36">
        <f t="shared" si="20"/>
        <v>46072.48733</v>
      </c>
      <c r="K4933" s="69"/>
      <c r="L4933" s="49"/>
      <c r="M4933" s="36" t="str">
        <f t="shared" si="33"/>
        <v/>
      </c>
      <c r="N4933" s="30" t="str">
        <f t="shared" si="34"/>
        <v>BT atau SU Belum Valid</v>
      </c>
      <c r="O4933" s="39" t="str">
        <f t="shared" si="23"/>
        <v/>
      </c>
      <c r="P4933" s="47" t="b">
        <v>0</v>
      </c>
      <c r="Q4933" s="36" t="str">
        <f t="shared" si="35"/>
        <v/>
      </c>
      <c r="R4933" s="47" t="b">
        <v>0</v>
      </c>
      <c r="S4933" s="42" t="str">
        <f t="shared" si="28"/>
        <v/>
      </c>
      <c r="T4933" s="42"/>
    </row>
    <row r="4934" ht="22.5" customHeight="1">
      <c r="B4934" s="42">
        <f t="shared" si="7"/>
        <v>4928</v>
      </c>
      <c r="C4934" s="31" t="s">
        <v>4940</v>
      </c>
      <c r="D4934" s="34" t="str">
        <f t="array" ref="D4934">IFNA(_xlfn.XLOOKUP(C4934,Table_Tarikan_Warkah[Nomor Sertipikat],Table_Tarikan_Warkah[Nomor Tiket]),"")</f>
        <v>ABLJVRYK</v>
      </c>
      <c r="E4934" s="36" t="str">
        <f t="array" ref="E4934">IFNA(_xlfn.XLOOKUP(D4934,Table_Tarikan_Warkah[Nomor Tiket],Table_Tarikan_Warkah[Tanggal diserahkan kepada Validator]),"")</f>
        <v/>
      </c>
      <c r="F4934" s="36" t="str">
        <f t="array" ref="F4934">IFNA(_xlfn.XLOOKUP(D4934,Table_Tarikan_Warkah[Nomor Tiket],Table_Tarikan_Warkah[Nama Petugas Warkah]),"")</f>
        <v/>
      </c>
      <c r="G4934" s="39" t="str">
        <f t="array" ref="G4934">IFNA(_xlfn.XLOOKUP(D4934,Table_Tarikan_Warkah[Nomor Tiket],Table_Tarikan_Warkah[Jenis Permohonan]),"")</f>
        <v>BN jual beli </v>
      </c>
      <c r="H4934" s="41" t="s">
        <v>2315</v>
      </c>
      <c r="I4934" s="49" t="s">
        <v>23</v>
      </c>
      <c r="J4934" s="36">
        <f t="shared" si="20"/>
        <v>46072.48756</v>
      </c>
      <c r="K4934" s="69"/>
      <c r="L4934" s="49"/>
      <c r="M4934" s="36" t="str">
        <f t="shared" si="33"/>
        <v/>
      </c>
      <c r="N4934" s="30" t="str">
        <f t="shared" si="34"/>
        <v>BT atau SU Belum Valid</v>
      </c>
      <c r="O4934" s="39" t="str">
        <f t="shared" si="23"/>
        <v/>
      </c>
      <c r="P4934" s="47" t="b">
        <v>0</v>
      </c>
      <c r="Q4934" s="36" t="str">
        <f t="shared" si="35"/>
        <v/>
      </c>
      <c r="R4934" s="47" t="b">
        <v>0</v>
      </c>
      <c r="S4934" s="42" t="str">
        <f t="shared" si="28"/>
        <v/>
      </c>
      <c r="T4934" s="42"/>
    </row>
    <row r="4935" ht="22.5" customHeight="1">
      <c r="B4935" s="42">
        <f t="shared" si="7"/>
        <v>4929</v>
      </c>
      <c r="C4935" s="31">
        <v>14007.0</v>
      </c>
      <c r="D4935" s="34" t="str">
        <f t="array" ref="D4935">IFNA(_xlfn.XLOOKUP(C4935,Table_Tarikan_Warkah[Nomor Sertipikat],Table_Tarikan_Warkah[Nomor Tiket]),"")</f>
        <v>ABJQJZQA</v>
      </c>
      <c r="E4935" s="36" t="str">
        <f t="array" ref="E4935">IFNA(_xlfn.XLOOKUP(D4935,Table_Tarikan_Warkah[Nomor Tiket],Table_Tarikan_Warkah[Tanggal diserahkan kepada Validator]),"")</f>
        <v/>
      </c>
      <c r="F4935" s="36" t="str">
        <f t="array" ref="F4935">IFNA(_xlfn.XLOOKUP(D4935,Table_Tarikan_Warkah[Nomor Tiket],Table_Tarikan_Warkah[Nama Petugas Warkah]),"")</f>
        <v/>
      </c>
      <c r="G4935" s="39" t="str">
        <f t="array" ref="G4935">IFNA(_xlfn.XLOOKUP(D4935,Table_Tarikan_Warkah[Nomor Tiket],Table_Tarikan_Warkah[Jenis Permohonan]),"")</f>
        <v>Bn jual beli</v>
      </c>
      <c r="H4935" s="41" t="s">
        <v>2315</v>
      </c>
      <c r="I4935" s="49" t="s">
        <v>23</v>
      </c>
      <c r="J4935" s="36">
        <f t="shared" si="20"/>
        <v>46072.48784</v>
      </c>
      <c r="K4935" s="69"/>
      <c r="L4935" s="49"/>
      <c r="M4935" s="36" t="str">
        <f t="shared" si="33"/>
        <v/>
      </c>
      <c r="N4935" s="30" t="str">
        <f t="shared" si="34"/>
        <v>BT atau SU Belum Valid</v>
      </c>
      <c r="O4935" s="39" t="str">
        <f t="shared" si="23"/>
        <v/>
      </c>
      <c r="P4935" s="47" t="b">
        <v>0</v>
      </c>
      <c r="Q4935" s="36" t="str">
        <f t="shared" si="35"/>
        <v/>
      </c>
      <c r="R4935" s="47" t="b">
        <v>0</v>
      </c>
      <c r="S4935" s="42" t="str">
        <f t="shared" si="28"/>
        <v/>
      </c>
      <c r="T4935" s="42"/>
    </row>
    <row r="4936" ht="22.5" customHeight="1">
      <c r="B4936" s="42">
        <f t="shared" si="7"/>
        <v>4930</v>
      </c>
      <c r="C4936" s="31" t="s">
        <v>4941</v>
      </c>
      <c r="D4936" s="34" t="str">
        <f t="array" ref="D4936">IFNA(_xlfn.XLOOKUP(C4936,Table_Tarikan_Warkah[Nomor Sertipikat],Table_Tarikan_Warkah[Nomor Tiket]),"")</f>
        <v>ABGFBSCX</v>
      </c>
      <c r="E4936" s="36" t="str">
        <f t="array" ref="E4936">IFNA(_xlfn.XLOOKUP(D4936,Table_Tarikan_Warkah[Nomor Tiket],Table_Tarikan_Warkah[Tanggal diserahkan kepada Validator]),"")</f>
        <v/>
      </c>
      <c r="F4936" s="36" t="str">
        <f t="array" ref="F4936">IFNA(_xlfn.XLOOKUP(D4936,Table_Tarikan_Warkah[Nomor Tiket],Table_Tarikan_Warkah[Nama Petugas Warkah]),"")</f>
        <v/>
      </c>
      <c r="G4936" s="39" t="str">
        <f t="array" ref="G4936">IFNA(_xlfn.XLOOKUP(D4936,Table_Tarikan_Warkah[Nomor Tiket],Table_Tarikan_Warkah[Jenis Permohonan]),"")</f>
        <v>Balik Nama APHB</v>
      </c>
      <c r="H4936" s="41" t="s">
        <v>2315</v>
      </c>
      <c r="I4936" s="49" t="s">
        <v>23</v>
      </c>
      <c r="J4936" s="36">
        <f t="shared" si="20"/>
        <v>46072.48807</v>
      </c>
      <c r="K4936" s="69"/>
      <c r="L4936" s="49"/>
      <c r="M4936" s="36" t="str">
        <f t="shared" si="33"/>
        <v/>
      </c>
      <c r="N4936" s="30" t="str">
        <f t="shared" si="34"/>
        <v>BT atau SU Belum Valid</v>
      </c>
      <c r="O4936" s="39" t="str">
        <f t="shared" si="23"/>
        <v/>
      </c>
      <c r="P4936" s="47" t="b">
        <v>0</v>
      </c>
      <c r="Q4936" s="36" t="str">
        <f t="shared" si="35"/>
        <v/>
      </c>
      <c r="R4936" s="47" t="b">
        <v>0</v>
      </c>
      <c r="S4936" s="42" t="str">
        <f t="shared" si="28"/>
        <v/>
      </c>
      <c r="T4936" s="42"/>
    </row>
    <row r="4937" ht="22.5" customHeight="1">
      <c r="B4937" s="42">
        <f t="shared" si="7"/>
        <v>4931</v>
      </c>
      <c r="C4937" s="31" t="s">
        <v>4942</v>
      </c>
      <c r="D4937" s="34" t="str">
        <f t="array" ref="D4937">IFNA(_xlfn.XLOOKUP(C4937,Table_Tarikan_Warkah[Nomor Sertipikat],Table_Tarikan_Warkah[Nomor Tiket]),"")</f>
        <v>ABTQEBEY</v>
      </c>
      <c r="E4937" s="36" t="str">
        <f t="array" ref="E4937">IFNA(_xlfn.XLOOKUP(D4937,Table_Tarikan_Warkah[Nomor Tiket],Table_Tarikan_Warkah[Tanggal diserahkan kepada Validator]),"")</f>
        <v/>
      </c>
      <c r="F4937" s="36" t="str">
        <f t="array" ref="F4937">IFNA(_xlfn.XLOOKUP(D4937,Table_Tarikan_Warkah[Nomor Tiket],Table_Tarikan_Warkah[Nama Petugas Warkah]),"")</f>
        <v/>
      </c>
      <c r="G4937" s="39" t="str">
        <f t="array" ref="G4937">IFNA(_xlfn.XLOOKUP(D4937,Table_Tarikan_Warkah[Nomor Tiket],Table_Tarikan_Warkah[Jenis Permohonan]),"")</f>
        <v>Balik Nama</v>
      </c>
      <c r="H4937" s="41" t="s">
        <v>2315</v>
      </c>
      <c r="I4937" s="49" t="s">
        <v>23</v>
      </c>
      <c r="J4937" s="36">
        <f t="shared" si="20"/>
        <v>46072.48829</v>
      </c>
      <c r="K4937" s="69"/>
      <c r="L4937" s="49"/>
      <c r="M4937" s="36" t="str">
        <f t="shared" si="33"/>
        <v/>
      </c>
      <c r="N4937" s="30" t="str">
        <f t="shared" si="34"/>
        <v>BT atau SU Belum Valid</v>
      </c>
      <c r="O4937" s="39" t="str">
        <f t="shared" si="23"/>
        <v/>
      </c>
      <c r="P4937" s="47" t="b">
        <v>0</v>
      </c>
      <c r="Q4937" s="36" t="str">
        <f t="shared" si="35"/>
        <v/>
      </c>
      <c r="R4937" s="47" t="b">
        <v>0</v>
      </c>
      <c r="S4937" s="42" t="str">
        <f t="shared" si="28"/>
        <v/>
      </c>
      <c r="T4937" s="42"/>
    </row>
    <row r="4938" ht="22.5" customHeight="1">
      <c r="B4938" s="42">
        <f t="shared" si="7"/>
        <v>4932</v>
      </c>
      <c r="C4938" s="31" t="s">
        <v>4943</v>
      </c>
      <c r="D4938" s="34" t="str">
        <f t="array" ref="D4938">IFNA(_xlfn.XLOOKUP(C4938,Table_Tarikan_Warkah[Nomor Sertipikat],Table_Tarikan_Warkah[Nomor Tiket]),"")</f>
        <v>ABFTDZNC/AB075</v>
      </c>
      <c r="E4938" s="36" t="str">
        <f t="array" ref="E4938">IFNA(_xlfn.XLOOKUP(D4938,Table_Tarikan_Warkah[Nomor Tiket],Table_Tarikan_Warkah[Tanggal diserahkan kepada Validator]),"")</f>
        <v/>
      </c>
      <c r="F4938" s="36" t="str">
        <f t="array" ref="F4938">IFNA(_xlfn.XLOOKUP(D4938,Table_Tarikan_Warkah[Nomor Tiket],Table_Tarikan_Warkah[Nama Petugas Warkah]),"")</f>
        <v/>
      </c>
      <c r="G4938" s="39" t="str">
        <f t="array" ref="G4938">IFNA(_xlfn.XLOOKUP(D4938,Table_Tarikan_Warkah[Nomor Tiket],Table_Tarikan_Warkah[Jenis Permohonan]),"")</f>
        <v>Balik Nama</v>
      </c>
      <c r="H4938" s="41" t="s">
        <v>2315</v>
      </c>
      <c r="I4938" s="49" t="s">
        <v>23</v>
      </c>
      <c r="J4938" s="36">
        <f t="shared" si="20"/>
        <v>46073.57246</v>
      </c>
      <c r="K4938" s="69"/>
      <c r="L4938" s="49"/>
      <c r="M4938" s="36" t="str">
        <f t="shared" si="33"/>
        <v/>
      </c>
      <c r="N4938" s="30" t="str">
        <f t="shared" si="34"/>
        <v>BT atau SU Belum Valid</v>
      </c>
      <c r="O4938" s="39" t="str">
        <f t="shared" si="23"/>
        <v/>
      </c>
      <c r="P4938" s="47" t="b">
        <v>0</v>
      </c>
      <c r="Q4938" s="36" t="str">
        <f t="shared" si="35"/>
        <v/>
      </c>
      <c r="R4938" s="47" t="b">
        <v>0</v>
      </c>
      <c r="S4938" s="42" t="str">
        <f t="shared" si="28"/>
        <v/>
      </c>
      <c r="T4938" s="42"/>
    </row>
    <row r="4939" ht="22.5" customHeight="1">
      <c r="B4939" s="42">
        <f t="shared" si="7"/>
        <v>4933</v>
      </c>
      <c r="C4939" s="31" t="s">
        <v>4944</v>
      </c>
      <c r="D4939" s="34" t="str">
        <f t="array" ref="D4939">IFNA(_xlfn.XLOOKUP(C4939,Table_Tarikan_Warkah[Nomor Sertipikat],Table_Tarikan_Warkah[Nomor Tiket]),"")</f>
        <v>ABIESFRP/AB059</v>
      </c>
      <c r="E4939" s="36" t="str">
        <f t="array" ref="E4939">IFNA(_xlfn.XLOOKUP(D4939,Table_Tarikan_Warkah[Nomor Tiket],Table_Tarikan_Warkah[Tanggal diserahkan kepada Validator]),"")</f>
        <v/>
      </c>
      <c r="F4939" s="36" t="str">
        <f t="array" ref="F4939">IFNA(_xlfn.XLOOKUP(D4939,Table_Tarikan_Warkah[Nomor Tiket],Table_Tarikan_Warkah[Nama Petugas Warkah]),"")</f>
        <v/>
      </c>
      <c r="G4939" s="39" t="str">
        <f t="array" ref="G4939">IFNA(_xlfn.XLOOKUP(D4939,Table_Tarikan_Warkah[Nomor Tiket],Table_Tarikan_Warkah[Jenis Permohonan]),"")</f>
        <v>Bn jual beli</v>
      </c>
      <c r="H4939" s="41" t="s">
        <v>2315</v>
      </c>
      <c r="I4939" s="49" t="s">
        <v>23</v>
      </c>
      <c r="J4939" s="36">
        <f t="shared" si="20"/>
        <v>46073.57265</v>
      </c>
      <c r="K4939" s="69"/>
      <c r="L4939" s="49"/>
      <c r="M4939" s="36" t="str">
        <f t="shared" si="33"/>
        <v/>
      </c>
      <c r="N4939" s="30" t="str">
        <f t="shared" si="34"/>
        <v>BT atau SU Belum Valid</v>
      </c>
      <c r="O4939" s="39" t="str">
        <f t="shared" si="23"/>
        <v/>
      </c>
      <c r="P4939" s="47" t="b">
        <v>0</v>
      </c>
      <c r="Q4939" s="36" t="str">
        <f t="shared" si="35"/>
        <v/>
      </c>
      <c r="R4939" s="47" t="b">
        <v>0</v>
      </c>
      <c r="S4939" s="42" t="str">
        <f t="shared" si="28"/>
        <v/>
      </c>
      <c r="T4939" s="42"/>
    </row>
    <row r="4940" ht="22.5" customHeight="1">
      <c r="B4940" s="42">
        <f t="shared" si="7"/>
        <v>4934</v>
      </c>
      <c r="C4940" s="31" t="s">
        <v>4945</v>
      </c>
      <c r="D4940" s="34" t="str">
        <f t="array" ref="D4940">IFNA(_xlfn.XLOOKUP(C4940,Table_Tarikan_Warkah[Nomor Sertipikat],Table_Tarikan_Warkah[Nomor Tiket]),"")</f>
        <v>ABLXDZYK/AB06</v>
      </c>
      <c r="E4940" s="36" t="str">
        <f t="array" ref="E4940">IFNA(_xlfn.XLOOKUP(D4940,Table_Tarikan_Warkah[Nomor Tiket],Table_Tarikan_Warkah[Tanggal diserahkan kepada Validator]),"")</f>
        <v/>
      </c>
      <c r="F4940" s="36" t="str">
        <f t="array" ref="F4940">IFNA(_xlfn.XLOOKUP(D4940,Table_Tarikan_Warkah[Nomor Tiket],Table_Tarikan_Warkah[Nama Petugas Warkah]),"")</f>
        <v/>
      </c>
      <c r="G4940" s="39" t="str">
        <f t="array" ref="G4940">IFNA(_xlfn.XLOOKUP(D4940,Table_Tarikan_Warkah[Nomor Tiket],Table_Tarikan_Warkah[Jenis Permohonan]),"")</f>
        <v>Bn jual beli</v>
      </c>
      <c r="H4940" s="41" t="s">
        <v>2315</v>
      </c>
      <c r="I4940" s="49" t="s">
        <v>23</v>
      </c>
      <c r="J4940" s="36">
        <f t="shared" si="20"/>
        <v>46073.57312</v>
      </c>
      <c r="K4940" s="69"/>
      <c r="L4940" s="49"/>
      <c r="M4940" s="36" t="str">
        <f t="shared" si="33"/>
        <v/>
      </c>
      <c r="N4940" s="30" t="str">
        <f t="shared" si="34"/>
        <v>BT atau SU Belum Valid</v>
      </c>
      <c r="O4940" s="39" t="str">
        <f t="shared" si="23"/>
        <v/>
      </c>
      <c r="P4940" s="47" t="b">
        <v>0</v>
      </c>
      <c r="Q4940" s="36" t="str">
        <f t="shared" si="35"/>
        <v/>
      </c>
      <c r="R4940" s="47" t="b">
        <v>0</v>
      </c>
      <c r="S4940" s="42" t="str">
        <f t="shared" si="28"/>
        <v/>
      </c>
      <c r="T4940" s="42"/>
    </row>
    <row r="4941" ht="22.5" customHeight="1">
      <c r="B4941" s="42">
        <f t="shared" si="7"/>
        <v>4935</v>
      </c>
      <c r="C4941" s="31" t="s">
        <v>4946</v>
      </c>
      <c r="D4941" s="34" t="str">
        <f t="array" ref="D4941">IFNA(_xlfn.XLOOKUP(C4941,Table_Tarikan_Warkah[Nomor Sertipikat],Table_Tarikan_Warkah[Nomor Tiket]),"")</f>
        <v>ABXVPUAS/1</v>
      </c>
      <c r="E4941" s="36" t="str">
        <f t="array" ref="E4941">IFNA(_xlfn.XLOOKUP(D4941,Table_Tarikan_Warkah[Nomor Tiket],Table_Tarikan_Warkah[Tanggal diserahkan kepada Validator]),"")</f>
        <v/>
      </c>
      <c r="F4941" s="36" t="str">
        <f t="array" ref="F4941">IFNA(_xlfn.XLOOKUP(D4941,Table_Tarikan_Warkah[Nomor Tiket],Table_Tarikan_Warkah[Nama Petugas Warkah]),"")</f>
        <v/>
      </c>
      <c r="G4941" s="39" t="str">
        <f t="array" ref="G4941">IFNA(_xlfn.XLOOKUP(D4941,Table_Tarikan_Warkah[Nomor Tiket],Table_Tarikan_Warkah[Jenis Permohonan]),"")</f>
        <v>BN</v>
      </c>
      <c r="H4941" s="41" t="s">
        <v>2315</v>
      </c>
      <c r="I4941" s="49" t="s">
        <v>23</v>
      </c>
      <c r="J4941" s="36">
        <f t="shared" si="20"/>
        <v>46073.57379</v>
      </c>
      <c r="K4941" s="69"/>
      <c r="L4941" s="49"/>
      <c r="M4941" s="36" t="str">
        <f t="shared" si="33"/>
        <v/>
      </c>
      <c r="N4941" s="30" t="str">
        <f t="shared" si="34"/>
        <v>BT atau SU Belum Valid</v>
      </c>
      <c r="O4941" s="39" t="str">
        <f t="shared" si="23"/>
        <v/>
      </c>
      <c r="P4941" s="47" t="b">
        <v>0</v>
      </c>
      <c r="Q4941" s="36" t="str">
        <f t="shared" si="35"/>
        <v/>
      </c>
      <c r="R4941" s="47" t="b">
        <v>0</v>
      </c>
      <c r="S4941" s="42" t="str">
        <f t="shared" si="28"/>
        <v/>
      </c>
      <c r="T4941" s="42"/>
    </row>
    <row r="4942" ht="22.5" customHeight="1">
      <c r="B4942" s="42">
        <f t="shared" si="7"/>
        <v>4936</v>
      </c>
      <c r="C4942" s="31" t="s">
        <v>4947</v>
      </c>
      <c r="D4942" s="34" t="str">
        <f t="array" ref="D4942">IFNA(_xlfn.XLOOKUP(C4942,Table_Tarikan_Warkah[Nomor Sertipikat],Table_Tarikan_Warkah[Nomor Tiket]),"")</f>
        <v>AB038/ABKDEIJA</v>
      </c>
      <c r="E4942" s="36" t="str">
        <f t="array" ref="E4942">IFNA(_xlfn.XLOOKUP(D4942,Table_Tarikan_Warkah[Nomor Tiket],Table_Tarikan_Warkah[Tanggal diserahkan kepada Validator]),"")</f>
        <v/>
      </c>
      <c r="F4942" s="36" t="str">
        <f t="array" ref="F4942">IFNA(_xlfn.XLOOKUP(D4942,Table_Tarikan_Warkah[Nomor Tiket],Table_Tarikan_Warkah[Nama Petugas Warkah]),"")</f>
        <v/>
      </c>
      <c r="G4942" s="39" t="str">
        <f t="array" ref="G4942">IFNA(_xlfn.XLOOKUP(D4942,Table_Tarikan_Warkah[Nomor Tiket],Table_Tarikan_Warkah[Jenis Permohonan]),"")</f>
        <v>Balik Nama</v>
      </c>
      <c r="H4942" s="41" t="s">
        <v>2315</v>
      </c>
      <c r="I4942" s="49" t="s">
        <v>23</v>
      </c>
      <c r="J4942" s="36">
        <f t="shared" si="20"/>
        <v>46073.57401</v>
      </c>
      <c r="K4942" s="69"/>
      <c r="L4942" s="49"/>
      <c r="M4942" s="36" t="str">
        <f t="shared" si="33"/>
        <v/>
      </c>
      <c r="N4942" s="30" t="str">
        <f t="shared" si="34"/>
        <v>BT atau SU Belum Valid</v>
      </c>
      <c r="O4942" s="39" t="str">
        <f t="shared" si="23"/>
        <v/>
      </c>
      <c r="P4942" s="47" t="b">
        <v>0</v>
      </c>
      <c r="Q4942" s="36" t="str">
        <f t="shared" si="35"/>
        <v/>
      </c>
      <c r="R4942" s="47" t="b">
        <v>0</v>
      </c>
      <c r="S4942" s="42" t="str">
        <f t="shared" si="28"/>
        <v/>
      </c>
      <c r="T4942" s="42"/>
    </row>
    <row r="4943" ht="22.5" customHeight="1">
      <c r="B4943" s="42">
        <f t="shared" si="7"/>
        <v>4937</v>
      </c>
      <c r="C4943" s="31" t="s">
        <v>4948</v>
      </c>
      <c r="D4943" s="34" t="str">
        <f t="array" ref="D4943">IFNA(_xlfn.XLOOKUP(C4943,Table_Tarikan_Warkah[Nomor Sertipikat],Table_Tarikan_Warkah[Nomor Tiket]),"")</f>
        <v>K/9/030226/1</v>
      </c>
      <c r="E4943" s="36" t="str">
        <f t="array" ref="E4943">IFNA(_xlfn.XLOOKUP(D4943,Table_Tarikan_Warkah[Nomor Tiket],Table_Tarikan_Warkah[Tanggal diserahkan kepada Validator]),"")</f>
        <v/>
      </c>
      <c r="F4943" s="36" t="str">
        <f t="array" ref="F4943">IFNA(_xlfn.XLOOKUP(D4943,Table_Tarikan_Warkah[Nomor Tiket],Table_Tarikan_Warkah[Nama Petugas Warkah]),"")</f>
        <v/>
      </c>
      <c r="G4943" s="39" t="str">
        <f t="array" ref="G4943">IFNA(_xlfn.XLOOKUP(D4943,Table_Tarikan_Warkah[Nomor Tiket],Table_Tarikan_Warkah[Jenis Permohonan]),"")</f>
        <v>WARIS</v>
      </c>
      <c r="H4943" s="41" t="s">
        <v>2315</v>
      </c>
      <c r="I4943" s="49" t="s">
        <v>23</v>
      </c>
      <c r="J4943" s="36">
        <f t="shared" si="20"/>
        <v>46076.47518</v>
      </c>
      <c r="K4943" s="69"/>
      <c r="L4943" s="49"/>
      <c r="M4943" s="36" t="str">
        <f t="shared" si="33"/>
        <v/>
      </c>
      <c r="N4943" s="30" t="str">
        <f t="shared" si="34"/>
        <v>BT atau SU Belum Valid</v>
      </c>
      <c r="O4943" s="39" t="str">
        <f t="shared" si="23"/>
        <v/>
      </c>
      <c r="P4943" s="47" t="b">
        <v>0</v>
      </c>
      <c r="Q4943" s="36" t="str">
        <f t="shared" si="35"/>
        <v/>
      </c>
      <c r="R4943" s="47" t="b">
        <v>0</v>
      </c>
      <c r="S4943" s="42" t="str">
        <f t="shared" si="28"/>
        <v/>
      </c>
      <c r="T4943" s="42"/>
    </row>
    <row r="4944" ht="22.5" customHeight="1">
      <c r="B4944" s="42">
        <f t="shared" si="7"/>
        <v>4938</v>
      </c>
      <c r="C4944" s="31" t="s">
        <v>4949</v>
      </c>
      <c r="D4944" s="34" t="str">
        <f t="array" ref="D4944">IFNA(_xlfn.XLOOKUP(C4944,Table_Tarikan_Warkah[Nomor Sertipikat],Table_Tarikan_Warkah[Nomor Tiket]),"")</f>
        <v>K/9/050226/1</v>
      </c>
      <c r="E4944" s="36" t="str">
        <f t="array" ref="E4944">IFNA(_xlfn.XLOOKUP(D4944,Table_Tarikan_Warkah[Nomor Tiket],Table_Tarikan_Warkah[Tanggal diserahkan kepada Validator]),"")</f>
        <v/>
      </c>
      <c r="F4944" s="36" t="str">
        <f t="array" ref="F4944">IFNA(_xlfn.XLOOKUP(D4944,Table_Tarikan_Warkah[Nomor Tiket],Table_Tarikan_Warkah[Nama Petugas Warkah]),"")</f>
        <v/>
      </c>
      <c r="G4944" s="39" t="str">
        <f t="array" ref="G4944">IFNA(_xlfn.XLOOKUP(D4944,Table_Tarikan_Warkah[Nomor Tiket],Table_Tarikan_Warkah[Jenis Permohonan]),"")</f>
        <v>ROYA</v>
      </c>
      <c r="H4944" s="41" t="s">
        <v>2315</v>
      </c>
      <c r="I4944" s="49" t="s">
        <v>23</v>
      </c>
      <c r="J4944" s="36">
        <f t="shared" si="20"/>
        <v>46076.47598</v>
      </c>
      <c r="K4944" s="69"/>
      <c r="L4944" s="49"/>
      <c r="M4944" s="36" t="str">
        <f t="shared" si="33"/>
        <v/>
      </c>
      <c r="N4944" s="30" t="str">
        <f t="shared" si="34"/>
        <v>BT atau SU Belum Valid</v>
      </c>
      <c r="O4944" s="39" t="str">
        <f t="shared" si="23"/>
        <v/>
      </c>
      <c r="P4944" s="47" t="b">
        <v>0</v>
      </c>
      <c r="Q4944" s="36" t="str">
        <f t="shared" si="35"/>
        <v/>
      </c>
      <c r="R4944" s="47" t="b">
        <v>0</v>
      </c>
      <c r="S4944" s="42" t="str">
        <f t="shared" si="28"/>
        <v/>
      </c>
      <c r="T4944" s="42"/>
    </row>
    <row r="4945" ht="22.5" customHeight="1">
      <c r="B4945" s="42">
        <f t="shared" si="7"/>
        <v>4939</v>
      </c>
      <c r="C4945" s="31" t="s">
        <v>4950</v>
      </c>
      <c r="D4945" s="34" t="str">
        <f t="array" ref="D4945">IFNA(_xlfn.XLOOKUP(C4945,Table_Tarikan_Warkah[Nomor Sertipikat],Table_Tarikan_Warkah[Nomor Tiket]),"")</f>
        <v>ABSIHZVE</v>
      </c>
      <c r="E4945" s="36" t="str">
        <f t="array" ref="E4945">IFNA(_xlfn.XLOOKUP(D4945,Table_Tarikan_Warkah[Nomor Tiket],Table_Tarikan_Warkah[Tanggal diserahkan kepada Validator]),"")</f>
        <v/>
      </c>
      <c r="F4945" s="36" t="str">
        <f t="array" ref="F4945">IFNA(_xlfn.XLOOKUP(D4945,Table_Tarikan_Warkah[Nomor Tiket],Table_Tarikan_Warkah[Nama Petugas Warkah]),"")</f>
        <v/>
      </c>
      <c r="G4945" s="39" t="str">
        <f t="array" ref="G4945">IFNA(_xlfn.XLOOKUP(D4945,Table_Tarikan_Warkah[Nomor Tiket],Table_Tarikan_Warkah[Jenis Permohonan]),"")</f>
        <v>peralihan hak (turun waris)</v>
      </c>
      <c r="H4945" s="41" t="s">
        <v>2315</v>
      </c>
      <c r="I4945" s="49" t="s">
        <v>23</v>
      </c>
      <c r="J4945" s="36">
        <f t="shared" si="20"/>
        <v>46076.47627</v>
      </c>
      <c r="K4945" s="69"/>
      <c r="L4945" s="49"/>
      <c r="M4945" s="36" t="str">
        <f t="shared" si="33"/>
        <v/>
      </c>
      <c r="N4945" s="30" t="str">
        <f t="shared" si="34"/>
        <v>BT atau SU Belum Valid</v>
      </c>
      <c r="O4945" s="39" t="str">
        <f t="shared" si="23"/>
        <v/>
      </c>
      <c r="P4945" s="47" t="b">
        <v>0</v>
      </c>
      <c r="Q4945" s="36" t="str">
        <f t="shared" si="35"/>
        <v/>
      </c>
      <c r="R4945" s="47" t="b">
        <v>0</v>
      </c>
      <c r="S4945" s="42" t="str">
        <f t="shared" si="28"/>
        <v/>
      </c>
      <c r="T4945" s="42"/>
    </row>
    <row r="4946" ht="22.5" customHeight="1">
      <c r="B4946" s="42">
        <f t="shared" si="7"/>
        <v>4940</v>
      </c>
      <c r="C4946" s="31" t="s">
        <v>4951</v>
      </c>
      <c r="D4946" s="34" t="str">
        <f t="array" ref="D4946">IFNA(_xlfn.XLOOKUP(C4946,Table_Tarikan_Warkah[Nomor Sertipikat],Table_Tarikan_Warkah[Nomor Tiket]),"")</f>
        <v>ABSZKWAU/AB057</v>
      </c>
      <c r="E4946" s="36" t="str">
        <f t="array" ref="E4946">IFNA(_xlfn.XLOOKUP(D4946,Table_Tarikan_Warkah[Nomor Tiket],Table_Tarikan_Warkah[Tanggal diserahkan kepada Validator]),"")</f>
        <v/>
      </c>
      <c r="F4946" s="36" t="str">
        <f t="array" ref="F4946">IFNA(_xlfn.XLOOKUP(D4946,Table_Tarikan_Warkah[Nomor Tiket],Table_Tarikan_Warkah[Nama Petugas Warkah]),"")</f>
        <v/>
      </c>
      <c r="G4946" s="39" t="str">
        <f t="array" ref="G4946">IFNA(_xlfn.XLOOKUP(D4946,Table_Tarikan_Warkah[Nomor Tiket],Table_Tarikan_Warkah[Jenis Permohonan]),"")</f>
        <v>Roya</v>
      </c>
      <c r="H4946" s="41" t="s">
        <v>2315</v>
      </c>
      <c r="I4946" s="49" t="s">
        <v>23</v>
      </c>
      <c r="J4946" s="36">
        <f t="shared" si="20"/>
        <v>46076.47646</v>
      </c>
      <c r="K4946" s="69"/>
      <c r="L4946" s="49"/>
      <c r="M4946" s="36" t="str">
        <f t="shared" si="33"/>
        <v/>
      </c>
      <c r="N4946" s="30" t="str">
        <f t="shared" si="34"/>
        <v>BT atau SU Belum Valid</v>
      </c>
      <c r="O4946" s="39" t="str">
        <f t="shared" si="23"/>
        <v/>
      </c>
      <c r="P4946" s="47" t="b">
        <v>0</v>
      </c>
      <c r="Q4946" s="36" t="str">
        <f t="shared" si="35"/>
        <v/>
      </c>
      <c r="R4946" s="47" t="b">
        <v>0</v>
      </c>
      <c r="S4946" s="42" t="str">
        <f t="shared" si="28"/>
        <v/>
      </c>
      <c r="T4946" s="42"/>
    </row>
    <row r="4947" ht="22.5" customHeight="1">
      <c r="B4947" s="42">
        <f t="shared" si="7"/>
        <v>4941</v>
      </c>
      <c r="C4947" s="31" t="s">
        <v>4952</v>
      </c>
      <c r="D4947" s="34" t="str">
        <f t="array" ref="D4947">IFNA(_xlfn.XLOOKUP(C4947,Table_Tarikan_Warkah[Nomor Sertipikat],Table_Tarikan_Warkah[Nomor Tiket]),"")</f>
        <v>ABBDUEEX</v>
      </c>
      <c r="E4947" s="36" t="str">
        <f t="array" ref="E4947">IFNA(_xlfn.XLOOKUP(D4947,Table_Tarikan_Warkah[Nomor Tiket],Table_Tarikan_Warkah[Tanggal diserahkan kepada Validator]),"")</f>
        <v/>
      </c>
      <c r="F4947" s="36" t="str">
        <f t="array" ref="F4947">IFNA(_xlfn.XLOOKUP(D4947,Table_Tarikan_Warkah[Nomor Tiket],Table_Tarikan_Warkah[Nama Petugas Warkah]),"")</f>
        <v/>
      </c>
      <c r="G4947" s="39" t="str">
        <f t="array" ref="G4947">IFNA(_xlfn.XLOOKUP(D4947,Table_Tarikan_Warkah[Nomor Tiket],Table_Tarikan_Warkah[Jenis Permohonan]),"")</f>
        <v>Peralihan Hak jual beli</v>
      </c>
      <c r="H4947" s="41" t="s">
        <v>2315</v>
      </c>
      <c r="I4947" s="49" t="s">
        <v>23</v>
      </c>
      <c r="J4947" s="36">
        <f t="shared" si="20"/>
        <v>46076.47785</v>
      </c>
      <c r="K4947" s="69"/>
      <c r="L4947" s="49"/>
      <c r="M4947" s="36" t="str">
        <f t="shared" si="33"/>
        <v/>
      </c>
      <c r="N4947" s="30" t="str">
        <f t="shared" si="34"/>
        <v>BT atau SU Belum Valid</v>
      </c>
      <c r="O4947" s="39" t="str">
        <f t="shared" si="23"/>
        <v/>
      </c>
      <c r="P4947" s="47" t="b">
        <v>0</v>
      </c>
      <c r="Q4947" s="36" t="str">
        <f t="shared" si="35"/>
        <v/>
      </c>
      <c r="R4947" s="47" t="b">
        <v>0</v>
      </c>
      <c r="S4947" s="42" t="str">
        <f t="shared" si="28"/>
        <v/>
      </c>
      <c r="T4947" s="42"/>
    </row>
    <row r="4948" ht="22.5" customHeight="1">
      <c r="B4948" s="42">
        <f t="shared" si="7"/>
        <v>4942</v>
      </c>
      <c r="C4948" s="31" t="s">
        <v>4953</v>
      </c>
      <c r="D4948" s="34" t="str">
        <f t="array" ref="D4948">IFNA(_xlfn.XLOOKUP(C4948,Table_Tarikan_Warkah[Nomor Sertipikat],Table_Tarikan_Warkah[Nomor Tiket]),"")</f>
        <v>L/4/260126/1</v>
      </c>
      <c r="E4948" s="36" t="str">
        <f t="array" ref="E4948">IFNA(_xlfn.XLOOKUP(D4948,Table_Tarikan_Warkah[Nomor Tiket],Table_Tarikan_Warkah[Tanggal diserahkan kepada Validator]),"")</f>
        <v/>
      </c>
      <c r="F4948" s="36" t="str">
        <f t="array" ref="F4948">IFNA(_xlfn.XLOOKUP(D4948,Table_Tarikan_Warkah[Nomor Tiket],Table_Tarikan_Warkah[Nama Petugas Warkah]),"")</f>
        <v/>
      </c>
      <c r="G4948" s="39" t="str">
        <f t="array" ref="G4948">IFNA(_xlfn.XLOOKUP(D4948,Table_Tarikan_Warkah[Nomor Tiket],Table_Tarikan_Warkah[Jenis Permohonan]),"")</f>
        <v>BN JUAL BELI</v>
      </c>
      <c r="H4948" s="41" t="s">
        <v>2315</v>
      </c>
      <c r="I4948" s="49" t="s">
        <v>23</v>
      </c>
      <c r="J4948" s="36">
        <f t="shared" si="20"/>
        <v>46076.47966</v>
      </c>
      <c r="K4948" s="69"/>
      <c r="L4948" s="49"/>
      <c r="M4948" s="36" t="str">
        <f t="shared" si="33"/>
        <v/>
      </c>
      <c r="N4948" s="30" t="str">
        <f t="shared" si="34"/>
        <v>BT atau SU Belum Valid</v>
      </c>
      <c r="O4948" s="39" t="str">
        <f t="shared" si="23"/>
        <v/>
      </c>
      <c r="P4948" s="47" t="b">
        <v>0</v>
      </c>
      <c r="Q4948" s="36" t="str">
        <f t="shared" si="35"/>
        <v/>
      </c>
      <c r="R4948" s="47" t="b">
        <v>0</v>
      </c>
      <c r="S4948" s="42" t="str">
        <f t="shared" si="28"/>
        <v/>
      </c>
      <c r="T4948" s="42"/>
    </row>
    <row r="4949" ht="22.5" customHeight="1">
      <c r="B4949" s="42">
        <f t="shared" si="7"/>
        <v>4943</v>
      </c>
      <c r="C4949" s="31" t="s">
        <v>4954</v>
      </c>
      <c r="D4949" s="34" t="str">
        <f t="array" ref="D4949">IFNA(_xlfn.XLOOKUP(C4949,Table_Tarikan_Warkah[Nomor Sertipikat],Table_Tarikan_Warkah[Nomor Tiket]),"")</f>
        <v>ABGERHWG</v>
      </c>
      <c r="E4949" s="36" t="str">
        <f t="array" ref="E4949">IFNA(_xlfn.XLOOKUP(D4949,Table_Tarikan_Warkah[Nomor Tiket],Table_Tarikan_Warkah[Tanggal diserahkan kepada Validator]),"")</f>
        <v/>
      </c>
      <c r="F4949" s="36" t="str">
        <f t="array" ref="F4949">IFNA(_xlfn.XLOOKUP(D4949,Table_Tarikan_Warkah[Nomor Tiket],Table_Tarikan_Warkah[Nama Petugas Warkah]),"")</f>
        <v/>
      </c>
      <c r="G4949" s="39" t="str">
        <f t="array" ref="G4949">IFNA(_xlfn.XLOOKUP(D4949,Table_Tarikan_Warkah[Nomor Tiket],Table_Tarikan_Warkah[Jenis Permohonan]),"")</f>
        <v>Peralihan hak kewarisan</v>
      </c>
      <c r="H4949" s="41" t="s">
        <v>2315</v>
      </c>
      <c r="I4949" s="49" t="s">
        <v>23</v>
      </c>
      <c r="J4949" s="36">
        <f t="shared" si="20"/>
        <v>46076.48133</v>
      </c>
      <c r="K4949" s="69"/>
      <c r="L4949" s="49"/>
      <c r="M4949" s="36" t="str">
        <f t="shared" si="33"/>
        <v/>
      </c>
      <c r="N4949" s="30" t="str">
        <f t="shared" si="34"/>
        <v>BT atau SU Belum Valid</v>
      </c>
      <c r="O4949" s="39" t="str">
        <f t="shared" si="23"/>
        <v/>
      </c>
      <c r="P4949" s="47" t="b">
        <v>0</v>
      </c>
      <c r="Q4949" s="36" t="str">
        <f t="shared" si="35"/>
        <v/>
      </c>
      <c r="R4949" s="47" t="b">
        <v>0</v>
      </c>
      <c r="S4949" s="42" t="str">
        <f t="shared" si="28"/>
        <v/>
      </c>
      <c r="T4949" s="42"/>
    </row>
    <row r="4950" ht="22.5" customHeight="1">
      <c r="B4950" s="42">
        <f t="shared" si="7"/>
        <v>4944</v>
      </c>
      <c r="C4950" s="31" t="s">
        <v>4955</v>
      </c>
      <c r="D4950" s="34" t="str">
        <f t="array" ref="D4950">IFNA(_xlfn.XLOOKUP(C4950,Table_Tarikan_Warkah[Nomor Sertipikat],Table_Tarikan_Warkah[Nomor Tiket]),"")</f>
        <v>ABWHUCHZ/AB044</v>
      </c>
      <c r="E4950" s="36" t="str">
        <f t="array" ref="E4950">IFNA(_xlfn.XLOOKUP(D4950,Table_Tarikan_Warkah[Nomor Tiket],Table_Tarikan_Warkah[Tanggal diserahkan kepada Validator]),"")</f>
        <v/>
      </c>
      <c r="F4950" s="36" t="str">
        <f t="array" ref="F4950">IFNA(_xlfn.XLOOKUP(D4950,Table_Tarikan_Warkah[Nomor Tiket],Table_Tarikan_Warkah[Nama Petugas Warkah]),"")</f>
        <v/>
      </c>
      <c r="G4950" s="39" t="str">
        <f t="array" ref="G4950">IFNA(_xlfn.XLOOKUP(D4950,Table_Tarikan_Warkah[Nomor Tiket],Table_Tarikan_Warkah[Jenis Permohonan]),"")</f>
        <v>BN Jual Beli</v>
      </c>
      <c r="H4950" s="41" t="s">
        <v>2315</v>
      </c>
      <c r="I4950" s="49" t="s">
        <v>23</v>
      </c>
      <c r="J4950" s="36">
        <f t="shared" si="20"/>
        <v>46076.48151</v>
      </c>
      <c r="K4950" s="69"/>
      <c r="L4950" s="49"/>
      <c r="M4950" s="36" t="str">
        <f t="shared" si="33"/>
        <v/>
      </c>
      <c r="N4950" s="30" t="str">
        <f t="shared" si="34"/>
        <v>BT atau SU Belum Valid</v>
      </c>
      <c r="O4950" s="39" t="str">
        <f t="shared" si="23"/>
        <v/>
      </c>
      <c r="P4950" s="47" t="b">
        <v>0</v>
      </c>
      <c r="Q4950" s="36" t="str">
        <f t="shared" si="35"/>
        <v/>
      </c>
      <c r="R4950" s="47" t="b">
        <v>0</v>
      </c>
      <c r="S4950" s="42" t="str">
        <f t="shared" si="28"/>
        <v/>
      </c>
      <c r="T4950" s="42"/>
    </row>
    <row r="4951" ht="22.5" customHeight="1">
      <c r="B4951" s="42">
        <f t="shared" si="7"/>
        <v>4945</v>
      </c>
      <c r="C4951" s="31" t="s">
        <v>4956</v>
      </c>
      <c r="D4951" s="34" t="str">
        <f t="array" ref="D4951">IFNA(_xlfn.XLOOKUP(C4951,Table_Tarikan_Warkah[Nomor Sertipikat],Table_Tarikan_Warkah[Nomor Tiket]),"")</f>
        <v>AB037/ABQLPPUU</v>
      </c>
      <c r="E4951" s="36" t="str">
        <f t="array" ref="E4951">IFNA(_xlfn.XLOOKUP(D4951,Table_Tarikan_Warkah[Nomor Tiket],Table_Tarikan_Warkah[Tanggal diserahkan kepada Validator]),"")</f>
        <v/>
      </c>
      <c r="F4951" s="36" t="str">
        <f t="array" ref="F4951">IFNA(_xlfn.XLOOKUP(D4951,Table_Tarikan_Warkah[Nomor Tiket],Table_Tarikan_Warkah[Nama Petugas Warkah]),"")</f>
        <v/>
      </c>
      <c r="G4951" s="39" t="str">
        <f t="array" ref="G4951">IFNA(_xlfn.XLOOKUP(D4951,Table_Tarikan_Warkah[Nomor Tiket],Table_Tarikan_Warkah[Jenis Permohonan]),"")</f>
        <v>Waris</v>
      </c>
      <c r="H4951" s="41" t="s">
        <v>2315</v>
      </c>
      <c r="I4951" s="49" t="s">
        <v>23</v>
      </c>
      <c r="J4951" s="36">
        <f t="shared" si="20"/>
        <v>46076.48182</v>
      </c>
      <c r="K4951" s="69"/>
      <c r="L4951" s="49"/>
      <c r="M4951" s="36" t="str">
        <f t="shared" si="33"/>
        <v/>
      </c>
      <c r="N4951" s="30" t="str">
        <f t="shared" si="34"/>
        <v>BT atau SU Belum Valid</v>
      </c>
      <c r="O4951" s="39" t="str">
        <f t="shared" si="23"/>
        <v/>
      </c>
      <c r="P4951" s="47" t="b">
        <v>0</v>
      </c>
      <c r="Q4951" s="36" t="str">
        <f t="shared" si="35"/>
        <v/>
      </c>
      <c r="R4951" s="47" t="b">
        <v>0</v>
      </c>
      <c r="S4951" s="42" t="str">
        <f t="shared" si="28"/>
        <v/>
      </c>
      <c r="T4951" s="42"/>
    </row>
    <row r="4952" ht="22.5" customHeight="1">
      <c r="B4952" s="42">
        <f t="shared" si="7"/>
        <v>4946</v>
      </c>
      <c r="C4952" s="31" t="s">
        <v>4957</v>
      </c>
      <c r="D4952" s="34" t="str">
        <f t="array" ref="D4952">IFNA(_xlfn.XLOOKUP(C4952,Table_Tarikan_Warkah[Nomor Sertipikat],Table_Tarikan_Warkah[Nomor Tiket]),"")</f>
        <v>ABWWEVWB</v>
      </c>
      <c r="E4952" s="36" t="str">
        <f t="array" ref="E4952">IFNA(_xlfn.XLOOKUP(D4952,Table_Tarikan_Warkah[Nomor Tiket],Table_Tarikan_Warkah[Tanggal diserahkan kepada Validator]),"")</f>
        <v/>
      </c>
      <c r="F4952" s="36" t="str">
        <f t="array" ref="F4952">IFNA(_xlfn.XLOOKUP(D4952,Table_Tarikan_Warkah[Nomor Tiket],Table_Tarikan_Warkah[Nama Petugas Warkah]),"")</f>
        <v/>
      </c>
      <c r="G4952" s="39" t="str">
        <f t="array" ref="G4952">IFNA(_xlfn.XLOOKUP(D4952,Table_Tarikan_Warkah[Nomor Tiket],Table_Tarikan_Warkah[Jenis Permohonan]),"")</f>
        <v>Balik Nama</v>
      </c>
      <c r="H4952" s="41" t="s">
        <v>2315</v>
      </c>
      <c r="I4952" s="49" t="s">
        <v>23</v>
      </c>
      <c r="J4952" s="36">
        <f t="shared" si="20"/>
        <v>46076.48205</v>
      </c>
      <c r="K4952" s="69"/>
      <c r="L4952" s="49"/>
      <c r="M4952" s="36" t="str">
        <f t="shared" si="33"/>
        <v/>
      </c>
      <c r="N4952" s="30" t="str">
        <f t="shared" si="34"/>
        <v>BT atau SU Belum Valid</v>
      </c>
      <c r="O4952" s="39" t="str">
        <f t="shared" si="23"/>
        <v/>
      </c>
      <c r="P4952" s="47" t="b">
        <v>0</v>
      </c>
      <c r="Q4952" s="36" t="str">
        <f t="shared" si="35"/>
        <v/>
      </c>
      <c r="R4952" s="47" t="b">
        <v>0</v>
      </c>
      <c r="S4952" s="42" t="str">
        <f t="shared" si="28"/>
        <v/>
      </c>
      <c r="T4952" s="42"/>
    </row>
    <row r="4953" ht="22.5" customHeight="1">
      <c r="B4953" s="42">
        <f t="shared" si="7"/>
        <v>4947</v>
      </c>
      <c r="C4953" s="31" t="s">
        <v>4958</v>
      </c>
      <c r="D4953" s="34" t="str">
        <f t="array" ref="D4953">IFNA(_xlfn.XLOOKUP(C4953,Table_Tarikan_Warkah[Nomor Sertipikat],Table_Tarikan_Warkah[Nomor Tiket]),"")</f>
        <v>ABWJAPPA</v>
      </c>
      <c r="E4953" s="36">
        <f t="array" ref="E4953">IFNA(_xlfn.XLOOKUP(D4953,Table_Tarikan_Warkah[Nomor Tiket],Table_Tarikan_Warkah[Tanggal diserahkan kepada Validator]),"")</f>
        <v>45996.47644</v>
      </c>
      <c r="F4953" s="36" t="str">
        <f t="array" ref="F4953">IFNA(_xlfn.XLOOKUP(D4953,Table_Tarikan_Warkah[Nomor Tiket],Table_Tarikan_Warkah[Nama Petugas Warkah]),"")</f>
        <v>Berry</v>
      </c>
      <c r="G4953" s="39" t="str">
        <f t="array" ref="G4953">IFNA(_xlfn.XLOOKUP(D4953,Table_Tarikan_Warkah[Nomor Tiket],Table_Tarikan_Warkah[Jenis Permohonan]),"")</f>
        <v>Balik nama jual beli</v>
      </c>
      <c r="H4953" s="41" t="s">
        <v>2315</v>
      </c>
      <c r="I4953" s="49" t="s">
        <v>23</v>
      </c>
      <c r="J4953" s="36">
        <f t="shared" si="20"/>
        <v>46076.48234</v>
      </c>
      <c r="K4953" s="69"/>
      <c r="L4953" s="49"/>
      <c r="M4953" s="36" t="str">
        <f t="shared" si="33"/>
        <v/>
      </c>
      <c r="N4953" s="30" t="str">
        <f t="shared" si="34"/>
        <v>BT atau SU Belum Valid</v>
      </c>
      <c r="O4953" s="39" t="str">
        <f t="shared" si="23"/>
        <v/>
      </c>
      <c r="P4953" s="47" t="b">
        <v>0</v>
      </c>
      <c r="Q4953" s="36" t="str">
        <f t="shared" si="35"/>
        <v/>
      </c>
      <c r="R4953" s="47" t="b">
        <v>0</v>
      </c>
      <c r="S4953" s="42" t="str">
        <f t="shared" si="28"/>
        <v/>
      </c>
      <c r="T4953" s="42"/>
    </row>
    <row r="4954" ht="22.5" customHeight="1">
      <c r="B4954" s="42">
        <f t="shared" si="7"/>
        <v>4948</v>
      </c>
      <c r="C4954" s="31" t="s">
        <v>4959</v>
      </c>
      <c r="D4954" s="34" t="str">
        <f t="array" ref="D4954">IFNA(_xlfn.XLOOKUP(C4954,Table_Tarikan_Warkah[Nomor Sertipikat],Table_Tarikan_Warkah[Nomor Tiket]),"")</f>
        <v>ABNVXHFU</v>
      </c>
      <c r="E4954" s="36" t="str">
        <f t="array" ref="E4954">IFNA(_xlfn.XLOOKUP(D4954,Table_Tarikan_Warkah[Nomor Tiket],Table_Tarikan_Warkah[Tanggal diserahkan kepada Validator]),"")</f>
        <v/>
      </c>
      <c r="F4954" s="36" t="str">
        <f t="array" ref="F4954">IFNA(_xlfn.XLOOKUP(D4954,Table_Tarikan_Warkah[Nomor Tiket],Table_Tarikan_Warkah[Nama Petugas Warkah]),"")</f>
        <v/>
      </c>
      <c r="G4954" s="39" t="str">
        <f t="array" ref="G4954">IFNA(_xlfn.XLOOKUP(D4954,Table_Tarikan_Warkah[Nomor Tiket],Table_Tarikan_Warkah[Jenis Permohonan]),"")</f>
        <v>Balik nama</v>
      </c>
      <c r="H4954" s="41" t="s">
        <v>2315</v>
      </c>
      <c r="I4954" s="49" t="s">
        <v>23</v>
      </c>
      <c r="J4954" s="36">
        <f t="shared" si="20"/>
        <v>46076.48256</v>
      </c>
      <c r="K4954" s="69"/>
      <c r="L4954" s="49"/>
      <c r="M4954" s="36" t="str">
        <f t="shared" si="33"/>
        <v/>
      </c>
      <c r="N4954" s="30" t="str">
        <f t="shared" si="34"/>
        <v>BT atau SU Belum Valid</v>
      </c>
      <c r="O4954" s="39" t="str">
        <f t="shared" si="23"/>
        <v/>
      </c>
      <c r="P4954" s="47" t="b">
        <v>0</v>
      </c>
      <c r="Q4954" s="36" t="str">
        <f t="shared" si="35"/>
        <v/>
      </c>
      <c r="R4954" s="47" t="b">
        <v>0</v>
      </c>
      <c r="S4954" s="42" t="str">
        <f t="shared" si="28"/>
        <v/>
      </c>
      <c r="T4954" s="42"/>
    </row>
    <row r="4955" ht="22.5" customHeight="1">
      <c r="B4955" s="42">
        <f t="shared" si="7"/>
        <v>4949</v>
      </c>
      <c r="C4955" s="31" t="s">
        <v>4960</v>
      </c>
      <c r="D4955" s="34" t="str">
        <f t="array" ref="D4955">IFNA(_xlfn.XLOOKUP(C4955,Table_Tarikan_Warkah[Nomor Sertipikat],Table_Tarikan_Warkah[Nomor Tiket]),"")</f>
        <v>AB005/ABCSPVVI</v>
      </c>
      <c r="E4955" s="36" t="str">
        <f t="array" ref="E4955">IFNA(_xlfn.XLOOKUP(D4955,Table_Tarikan_Warkah[Nomor Tiket],Table_Tarikan_Warkah[Tanggal diserahkan kepada Validator]),"")</f>
        <v/>
      </c>
      <c r="F4955" s="36" t="str">
        <f t="array" ref="F4955">IFNA(_xlfn.XLOOKUP(D4955,Table_Tarikan_Warkah[Nomor Tiket],Table_Tarikan_Warkah[Nama Petugas Warkah]),"")</f>
        <v/>
      </c>
      <c r="G4955" s="39" t="str">
        <f t="array" ref="G4955">IFNA(_xlfn.XLOOKUP(D4955,Table_Tarikan_Warkah[Nomor Tiket],Table_Tarikan_Warkah[Jenis Permohonan]),"")</f>
        <v>bn jual beli</v>
      </c>
      <c r="H4955" s="41" t="s">
        <v>2315</v>
      </c>
      <c r="I4955" s="49" t="s">
        <v>23</v>
      </c>
      <c r="J4955" s="36">
        <f t="shared" si="20"/>
        <v>46076.48273</v>
      </c>
      <c r="K4955" s="69"/>
      <c r="L4955" s="49"/>
      <c r="M4955" s="36" t="str">
        <f t="shared" si="33"/>
        <v/>
      </c>
      <c r="N4955" s="30" t="str">
        <f t="shared" si="34"/>
        <v>BT atau SU Belum Valid</v>
      </c>
      <c r="O4955" s="39" t="str">
        <f t="shared" si="23"/>
        <v/>
      </c>
      <c r="P4955" s="47" t="b">
        <v>0</v>
      </c>
      <c r="Q4955" s="36" t="str">
        <f t="shared" si="35"/>
        <v/>
      </c>
      <c r="R4955" s="47" t="b">
        <v>0</v>
      </c>
      <c r="S4955" s="42" t="str">
        <f t="shared" si="28"/>
        <v/>
      </c>
      <c r="T4955" s="42"/>
    </row>
    <row r="4956" ht="22.5" customHeight="1">
      <c r="B4956" s="42">
        <f t="shared" si="7"/>
        <v>4950</v>
      </c>
      <c r="C4956" s="31" t="s">
        <v>4961</v>
      </c>
      <c r="D4956" s="34" t="str">
        <f t="array" ref="D4956">IFNA(_xlfn.XLOOKUP(C4956,Table_Tarikan_Warkah[Nomor Sertipikat],Table_Tarikan_Warkah[Nomor Tiket]),"")</f>
        <v>K/3/040226/1</v>
      </c>
      <c r="E4956" s="36" t="str">
        <f t="array" ref="E4956">IFNA(_xlfn.XLOOKUP(D4956,Table_Tarikan_Warkah[Nomor Tiket],Table_Tarikan_Warkah[Tanggal diserahkan kepada Validator]),"")</f>
        <v/>
      </c>
      <c r="F4956" s="36" t="str">
        <f t="array" ref="F4956">IFNA(_xlfn.XLOOKUP(D4956,Table_Tarikan_Warkah[Nomor Tiket],Table_Tarikan_Warkah[Nama Petugas Warkah]),"")</f>
        <v/>
      </c>
      <c r="G4956" s="39" t="str">
        <f t="array" ref="G4956">IFNA(_xlfn.XLOOKUP(D4956,Table_Tarikan_Warkah[Nomor Tiket],Table_Tarikan_Warkah[Jenis Permohonan]),"")</f>
        <v>BN WARIS</v>
      </c>
      <c r="H4956" s="41" t="s">
        <v>2315</v>
      </c>
      <c r="I4956" s="49" t="s">
        <v>23</v>
      </c>
      <c r="J4956" s="36">
        <f t="shared" si="20"/>
        <v>46076.48298</v>
      </c>
      <c r="K4956" s="69"/>
      <c r="L4956" s="49"/>
      <c r="M4956" s="36" t="str">
        <f t="shared" si="33"/>
        <v/>
      </c>
      <c r="N4956" s="30" t="str">
        <f t="shared" si="34"/>
        <v>BT atau SU Belum Valid</v>
      </c>
      <c r="O4956" s="39" t="str">
        <f t="shared" si="23"/>
        <v/>
      </c>
      <c r="P4956" s="47" t="b">
        <v>0</v>
      </c>
      <c r="Q4956" s="36" t="str">
        <f t="shared" si="35"/>
        <v/>
      </c>
      <c r="R4956" s="47" t="b">
        <v>0</v>
      </c>
      <c r="S4956" s="42" t="str">
        <f t="shared" si="28"/>
        <v/>
      </c>
      <c r="T4956" s="42"/>
    </row>
    <row r="4957" ht="22.5" customHeight="1">
      <c r="B4957" s="42">
        <f t="shared" si="7"/>
        <v>4951</v>
      </c>
      <c r="C4957" s="31" t="s">
        <v>4962</v>
      </c>
      <c r="D4957" s="34" t="str">
        <f t="array" ref="D4957">IFNA(_xlfn.XLOOKUP(C4957,Table_Tarikan_Warkah[Nomor Sertipikat],Table_Tarikan_Warkah[Nomor Tiket]),"")</f>
        <v>AB029/ABBASBBD</v>
      </c>
      <c r="E4957" s="36" t="str">
        <f t="array" ref="E4957">IFNA(_xlfn.XLOOKUP(D4957,Table_Tarikan_Warkah[Nomor Tiket],Table_Tarikan_Warkah[Tanggal diserahkan kepada Validator]),"")</f>
        <v/>
      </c>
      <c r="F4957" s="36" t="str">
        <f t="array" ref="F4957">IFNA(_xlfn.XLOOKUP(D4957,Table_Tarikan_Warkah[Nomor Tiket],Table_Tarikan_Warkah[Nama Petugas Warkah]),"")</f>
        <v/>
      </c>
      <c r="G4957" s="39" t="str">
        <f t="array" ref="G4957">IFNA(_xlfn.XLOOKUP(D4957,Table_Tarikan_Warkah[Nomor Tiket],Table_Tarikan_Warkah[Jenis Permohonan]),"")</f>
        <v>WARIS</v>
      </c>
      <c r="H4957" s="41" t="s">
        <v>2315</v>
      </c>
      <c r="I4957" s="49" t="s">
        <v>23</v>
      </c>
      <c r="J4957" s="36">
        <f t="shared" si="20"/>
        <v>46077.61032</v>
      </c>
      <c r="K4957" s="69"/>
      <c r="L4957" s="49"/>
      <c r="M4957" s="36" t="str">
        <f t="shared" si="33"/>
        <v/>
      </c>
      <c r="N4957" s="30" t="str">
        <f t="shared" si="34"/>
        <v>BT atau SU Belum Valid</v>
      </c>
      <c r="O4957" s="39" t="str">
        <f t="shared" si="23"/>
        <v/>
      </c>
      <c r="P4957" s="47" t="b">
        <v>0</v>
      </c>
      <c r="Q4957" s="36" t="str">
        <f t="shared" si="35"/>
        <v/>
      </c>
      <c r="R4957" s="47" t="b">
        <v>0</v>
      </c>
      <c r="S4957" s="42" t="str">
        <f t="shared" si="28"/>
        <v/>
      </c>
      <c r="T4957" s="42"/>
    </row>
    <row r="4958" ht="22.5" customHeight="1">
      <c r="B4958" s="42">
        <f t="shared" si="7"/>
        <v>4952</v>
      </c>
      <c r="C4958" s="31" t="s">
        <v>4963</v>
      </c>
      <c r="D4958" s="34" t="str">
        <f t="array" ref="D4958">IFNA(_xlfn.XLOOKUP(C4958,Table_Tarikan_Warkah[Nomor Sertipikat],Table_Tarikan_Warkah[Nomor Tiket]),"")</f>
        <v>AB082/ABVSGLDP</v>
      </c>
      <c r="E4958" s="36" t="str">
        <f t="array" ref="E4958">IFNA(_xlfn.XLOOKUP(D4958,Table_Tarikan_Warkah[Nomor Tiket],Table_Tarikan_Warkah[Tanggal diserahkan kepada Validator]),"")</f>
        <v/>
      </c>
      <c r="F4958" s="36" t="str">
        <f t="array" ref="F4958">IFNA(_xlfn.XLOOKUP(D4958,Table_Tarikan_Warkah[Nomor Tiket],Table_Tarikan_Warkah[Nama Petugas Warkah]),"")</f>
        <v/>
      </c>
      <c r="G4958" s="39" t="str">
        <f t="array" ref="G4958">IFNA(_xlfn.XLOOKUP(D4958,Table_Tarikan_Warkah[Nomor Tiket],Table_Tarikan_Warkah[Jenis Permohonan]),"")</f>
        <v>BALIK NAMA</v>
      </c>
      <c r="H4958" s="41" t="s">
        <v>2315</v>
      </c>
      <c r="I4958" s="49" t="s">
        <v>23</v>
      </c>
      <c r="J4958" s="36">
        <f t="shared" si="20"/>
        <v>46077.61046</v>
      </c>
      <c r="K4958" s="69"/>
      <c r="L4958" s="49"/>
      <c r="M4958" s="36" t="str">
        <f t="shared" si="33"/>
        <v/>
      </c>
      <c r="N4958" s="30" t="str">
        <f t="shared" si="34"/>
        <v>BT atau SU Belum Valid</v>
      </c>
      <c r="O4958" s="39" t="str">
        <f t="shared" si="23"/>
        <v/>
      </c>
      <c r="P4958" s="47" t="b">
        <v>0</v>
      </c>
      <c r="Q4958" s="36" t="str">
        <f t="shared" si="35"/>
        <v/>
      </c>
      <c r="R4958" s="47" t="b">
        <v>0</v>
      </c>
      <c r="S4958" s="42" t="str">
        <f t="shared" si="28"/>
        <v/>
      </c>
      <c r="T4958" s="42"/>
    </row>
    <row r="4959" ht="22.5" customHeight="1">
      <c r="B4959" s="42">
        <f t="shared" si="7"/>
        <v>4953</v>
      </c>
      <c r="C4959" s="31" t="s">
        <v>4964</v>
      </c>
      <c r="D4959" s="34" t="str">
        <f t="array" ref="D4959">IFNA(_xlfn.XLOOKUP(C4959,Table_Tarikan_Warkah[Nomor Sertipikat],Table_Tarikan_Warkah[Nomor Tiket]),"")</f>
        <v>AB037/ABYWGZQW</v>
      </c>
      <c r="E4959" s="36" t="str">
        <f t="array" ref="E4959">IFNA(_xlfn.XLOOKUP(D4959,Table_Tarikan_Warkah[Nomor Tiket],Table_Tarikan_Warkah[Tanggal diserahkan kepada Validator]),"")</f>
        <v/>
      </c>
      <c r="F4959" s="36" t="str">
        <f t="array" ref="F4959">IFNA(_xlfn.XLOOKUP(D4959,Table_Tarikan_Warkah[Nomor Tiket],Table_Tarikan_Warkah[Nama Petugas Warkah]),"")</f>
        <v/>
      </c>
      <c r="G4959" s="39" t="str">
        <f t="array" ref="G4959">IFNA(_xlfn.XLOOKUP(D4959,Table_Tarikan_Warkah[Nomor Tiket],Table_Tarikan_Warkah[Jenis Permohonan]),"")</f>
        <v>balik nama </v>
      </c>
      <c r="H4959" s="41" t="s">
        <v>2315</v>
      </c>
      <c r="I4959" s="49" t="s">
        <v>23</v>
      </c>
      <c r="J4959" s="36">
        <f t="shared" si="20"/>
        <v>46077.61067</v>
      </c>
      <c r="K4959" s="69"/>
      <c r="L4959" s="49"/>
      <c r="M4959" s="36" t="str">
        <f t="shared" si="33"/>
        <v/>
      </c>
      <c r="N4959" s="30" t="str">
        <f t="shared" si="34"/>
        <v>BT atau SU Belum Valid</v>
      </c>
      <c r="O4959" s="39" t="str">
        <f t="shared" si="23"/>
        <v/>
      </c>
      <c r="P4959" s="47" t="b">
        <v>0</v>
      </c>
      <c r="Q4959" s="36" t="str">
        <f t="shared" si="35"/>
        <v/>
      </c>
      <c r="R4959" s="47" t="b">
        <v>0</v>
      </c>
      <c r="S4959" s="42" t="str">
        <f t="shared" si="28"/>
        <v/>
      </c>
      <c r="T4959" s="42"/>
    </row>
    <row r="4960" ht="22.5" customHeight="1">
      <c r="B4960" s="42">
        <f t="shared" si="7"/>
        <v>4954</v>
      </c>
      <c r="C4960" s="31" t="s">
        <v>4965</v>
      </c>
      <c r="D4960" s="34" t="str">
        <f t="array" ref="D4960">IFNA(_xlfn.XLOOKUP(C4960,Table_Tarikan_Warkah[Nomor Sertipikat],Table_Tarikan_Warkah[Nomor Tiket]),"")</f>
        <v>AB037ABNSNMNQ</v>
      </c>
      <c r="E4960" s="36" t="str">
        <f t="array" ref="E4960">IFNA(_xlfn.XLOOKUP(D4960,Table_Tarikan_Warkah[Nomor Tiket],Table_Tarikan_Warkah[Tanggal diserahkan kepada Validator]),"")</f>
        <v/>
      </c>
      <c r="F4960" s="36" t="str">
        <f t="array" ref="F4960">IFNA(_xlfn.XLOOKUP(D4960,Table_Tarikan_Warkah[Nomor Tiket],Table_Tarikan_Warkah[Nama Petugas Warkah]),"")</f>
        <v/>
      </c>
      <c r="G4960" s="39" t="str">
        <f t="array" ref="G4960">IFNA(_xlfn.XLOOKUP(D4960,Table_Tarikan_Warkah[Nomor Tiket],Table_Tarikan_Warkah[Jenis Permohonan]),"")</f>
        <v>balik nama </v>
      </c>
      <c r="H4960" s="41" t="s">
        <v>2315</v>
      </c>
      <c r="I4960" s="49" t="s">
        <v>23</v>
      </c>
      <c r="J4960" s="36">
        <f t="shared" si="20"/>
        <v>46077.61089</v>
      </c>
      <c r="K4960" s="69"/>
      <c r="L4960" s="49"/>
      <c r="M4960" s="36" t="str">
        <f t="shared" si="33"/>
        <v/>
      </c>
      <c r="N4960" s="30" t="str">
        <f t="shared" si="34"/>
        <v>BT atau SU Belum Valid</v>
      </c>
      <c r="O4960" s="39" t="str">
        <f t="shared" si="23"/>
        <v/>
      </c>
      <c r="P4960" s="47" t="b">
        <v>0</v>
      </c>
      <c r="Q4960" s="36" t="str">
        <f t="shared" si="35"/>
        <v/>
      </c>
      <c r="R4960" s="47" t="b">
        <v>0</v>
      </c>
      <c r="S4960" s="42" t="str">
        <f t="shared" si="28"/>
        <v/>
      </c>
      <c r="T4960" s="42"/>
    </row>
    <row r="4961" ht="22.5" customHeight="1">
      <c r="B4961" s="42">
        <f t="shared" si="7"/>
        <v>4955</v>
      </c>
      <c r="C4961" s="31" t="s">
        <v>4966</v>
      </c>
      <c r="D4961" s="34" t="str">
        <f t="array" ref="D4961">IFNA(_xlfn.XLOOKUP(C4961,Table_Tarikan_Warkah[Nomor Sertipikat],Table_Tarikan_Warkah[Nomor Tiket]),"")</f>
        <v>AB037/ABVBJZLC</v>
      </c>
      <c r="E4961" s="36" t="str">
        <f t="array" ref="E4961">IFNA(_xlfn.XLOOKUP(D4961,Table_Tarikan_Warkah[Nomor Tiket],Table_Tarikan_Warkah[Tanggal diserahkan kepada Validator]),"")</f>
        <v/>
      </c>
      <c r="F4961" s="36" t="str">
        <f t="array" ref="F4961">IFNA(_xlfn.XLOOKUP(D4961,Table_Tarikan_Warkah[Nomor Tiket],Table_Tarikan_Warkah[Nama Petugas Warkah]),"")</f>
        <v/>
      </c>
      <c r="G4961" s="39" t="str">
        <f t="array" ref="G4961">IFNA(_xlfn.XLOOKUP(D4961,Table_Tarikan_Warkah[Nomor Tiket],Table_Tarikan_Warkah[Jenis Permohonan]),"")</f>
        <v>balik nama</v>
      </c>
      <c r="H4961" s="41" t="s">
        <v>2315</v>
      </c>
      <c r="I4961" s="49" t="s">
        <v>23</v>
      </c>
      <c r="J4961" s="36">
        <f t="shared" si="20"/>
        <v>46077.6111</v>
      </c>
      <c r="K4961" s="69"/>
      <c r="L4961" s="49"/>
      <c r="M4961" s="36" t="str">
        <f t="shared" si="33"/>
        <v/>
      </c>
      <c r="N4961" s="30" t="str">
        <f t="shared" si="34"/>
        <v>BT atau SU Belum Valid</v>
      </c>
      <c r="O4961" s="39" t="str">
        <f t="shared" si="23"/>
        <v/>
      </c>
      <c r="P4961" s="47" t="b">
        <v>0</v>
      </c>
      <c r="Q4961" s="36" t="str">
        <f t="shared" si="35"/>
        <v/>
      </c>
      <c r="R4961" s="47" t="b">
        <v>0</v>
      </c>
      <c r="S4961" s="42" t="str">
        <f t="shared" si="28"/>
        <v/>
      </c>
      <c r="T4961" s="42"/>
    </row>
    <row r="4962" ht="22.5" customHeight="1">
      <c r="B4962" s="42">
        <f t="shared" si="7"/>
        <v>4956</v>
      </c>
      <c r="C4962" s="31" t="s">
        <v>4967</v>
      </c>
      <c r="D4962" s="34" t="str">
        <f t="array" ref="D4962">IFNA(_xlfn.XLOOKUP(C4962,Table_Tarikan_Warkah[Nomor Sertipikat],Table_Tarikan_Warkah[Nomor Tiket]),"")</f>
        <v>ABSEOENN</v>
      </c>
      <c r="E4962" s="36" t="str">
        <f t="array" ref="E4962">IFNA(_xlfn.XLOOKUP(D4962,Table_Tarikan_Warkah[Nomor Tiket],Table_Tarikan_Warkah[Tanggal diserahkan kepada Validator]),"")</f>
        <v/>
      </c>
      <c r="F4962" s="36" t="str">
        <f t="array" ref="F4962">IFNA(_xlfn.XLOOKUP(D4962,Table_Tarikan_Warkah[Nomor Tiket],Table_Tarikan_Warkah[Nama Petugas Warkah]),"")</f>
        <v/>
      </c>
      <c r="G4962" s="39" t="str">
        <f t="array" ref="G4962">IFNA(_xlfn.XLOOKUP(D4962,Table_Tarikan_Warkah[Nomor Tiket],Table_Tarikan_Warkah[Jenis Permohonan]),"")</f>
        <v>Bn jual beli</v>
      </c>
      <c r="H4962" s="41" t="s">
        <v>2315</v>
      </c>
      <c r="I4962" s="49" t="s">
        <v>23</v>
      </c>
      <c r="J4962" s="36">
        <f t="shared" si="20"/>
        <v>46077.61142</v>
      </c>
      <c r="K4962" s="69"/>
      <c r="L4962" s="49"/>
      <c r="M4962" s="36" t="str">
        <f t="shared" si="33"/>
        <v/>
      </c>
      <c r="N4962" s="30" t="str">
        <f t="shared" si="34"/>
        <v>BT atau SU Belum Valid</v>
      </c>
      <c r="O4962" s="39" t="str">
        <f t="shared" si="23"/>
        <v/>
      </c>
      <c r="P4962" s="47" t="b">
        <v>0</v>
      </c>
      <c r="Q4962" s="36" t="str">
        <f t="shared" si="35"/>
        <v/>
      </c>
      <c r="R4962" s="47" t="b">
        <v>0</v>
      </c>
      <c r="S4962" s="42" t="str">
        <f t="shared" si="28"/>
        <v/>
      </c>
      <c r="T4962" s="42"/>
    </row>
    <row r="4963" ht="22.5" customHeight="1">
      <c r="B4963" s="42">
        <f t="shared" si="7"/>
        <v>4957</v>
      </c>
      <c r="C4963" s="31" t="s">
        <v>4968</v>
      </c>
      <c r="D4963" s="34" t="str">
        <f t="array" ref="D4963">IFNA(_xlfn.XLOOKUP(C4963,Table_Tarikan_Warkah[Nomor Sertipikat],Table_Tarikan_Warkah[Nomor Tiket]),"")</f>
        <v>K/8/260126/1</v>
      </c>
      <c r="E4963" s="36" t="str">
        <f t="array" ref="E4963">IFNA(_xlfn.XLOOKUP(D4963,Table_Tarikan_Warkah[Nomor Tiket],Table_Tarikan_Warkah[Tanggal diserahkan kepada Validator]),"")</f>
        <v/>
      </c>
      <c r="F4963" s="36" t="str">
        <f t="array" ref="F4963">IFNA(_xlfn.XLOOKUP(D4963,Table_Tarikan_Warkah[Nomor Tiket],Table_Tarikan_Warkah[Nama Petugas Warkah]),"")</f>
        <v/>
      </c>
      <c r="G4963" s="39" t="str">
        <f t="array" ref="G4963">IFNA(_xlfn.XLOOKUP(D4963,Table_Tarikan_Warkah[Nomor Tiket],Table_Tarikan_Warkah[Jenis Permohonan]),"")</f>
        <v>BN WARIS</v>
      </c>
      <c r="H4963" s="41" t="s">
        <v>2315</v>
      </c>
      <c r="I4963" s="49" t="s">
        <v>23</v>
      </c>
      <c r="J4963" s="36">
        <f t="shared" si="20"/>
        <v>46077.61161</v>
      </c>
      <c r="K4963" s="69"/>
      <c r="L4963" s="49"/>
      <c r="M4963" s="36" t="str">
        <f t="shared" si="33"/>
        <v/>
      </c>
      <c r="N4963" s="30" t="str">
        <f t="shared" si="34"/>
        <v>BT atau SU Belum Valid</v>
      </c>
      <c r="O4963" s="39" t="str">
        <f t="shared" si="23"/>
        <v/>
      </c>
      <c r="P4963" s="47" t="b">
        <v>0</v>
      </c>
      <c r="Q4963" s="36" t="str">
        <f t="shared" si="35"/>
        <v/>
      </c>
      <c r="R4963" s="47" t="b">
        <v>0</v>
      </c>
      <c r="S4963" s="42" t="str">
        <f t="shared" si="28"/>
        <v/>
      </c>
      <c r="T4963" s="42"/>
    </row>
    <row r="4964" ht="22.5" customHeight="1">
      <c r="B4964" s="42">
        <f t="shared" si="7"/>
        <v>4958</v>
      </c>
      <c r="C4964" s="31" t="s">
        <v>4969</v>
      </c>
      <c r="D4964" s="34" t="str">
        <f t="array" ref="D4964">IFNA(_xlfn.XLOOKUP(C4964,Table_Tarikan_Warkah[Nomor Sertipikat],Table_Tarikan_Warkah[Nomor Tiket]),"")</f>
        <v>L/6/280126/1</v>
      </c>
      <c r="E4964" s="36" t="str">
        <f t="array" ref="E4964">IFNA(_xlfn.XLOOKUP(D4964,Table_Tarikan_Warkah[Nomor Tiket],Table_Tarikan_Warkah[Tanggal diserahkan kepada Validator]),"")</f>
        <v/>
      </c>
      <c r="F4964" s="36" t="str">
        <f t="array" ref="F4964">IFNA(_xlfn.XLOOKUP(D4964,Table_Tarikan_Warkah[Nomor Tiket],Table_Tarikan_Warkah[Nama Petugas Warkah]),"")</f>
        <v/>
      </c>
      <c r="G4964" s="39" t="str">
        <f t="array" ref="G4964">IFNA(_xlfn.XLOOKUP(D4964,Table_Tarikan_Warkah[Nomor Tiket],Table_Tarikan_Warkah[Jenis Permohonan]),"")</f>
        <v>GANTI NAMA </v>
      </c>
      <c r="H4964" s="41" t="s">
        <v>2315</v>
      </c>
      <c r="I4964" s="49" t="s">
        <v>23</v>
      </c>
      <c r="J4964" s="36">
        <f t="shared" si="20"/>
        <v>46077.61183</v>
      </c>
      <c r="K4964" s="69"/>
      <c r="L4964" s="49"/>
      <c r="M4964" s="36" t="str">
        <f t="shared" si="33"/>
        <v/>
      </c>
      <c r="N4964" s="30" t="str">
        <f t="shared" si="34"/>
        <v>BT atau SU Belum Valid</v>
      </c>
      <c r="O4964" s="39" t="str">
        <f t="shared" si="23"/>
        <v/>
      </c>
      <c r="P4964" s="47" t="b">
        <v>0</v>
      </c>
      <c r="Q4964" s="36" t="str">
        <f t="shared" si="35"/>
        <v/>
      </c>
      <c r="R4964" s="47" t="b">
        <v>0</v>
      </c>
      <c r="S4964" s="42" t="str">
        <f t="shared" si="28"/>
        <v/>
      </c>
      <c r="T4964" s="42"/>
    </row>
    <row r="4965" ht="22.5" customHeight="1">
      <c r="B4965" s="42">
        <f t="shared" si="7"/>
        <v>4959</v>
      </c>
      <c r="C4965" s="31" t="s">
        <v>4206</v>
      </c>
      <c r="D4965" s="34" t="str">
        <f t="array" ref="D4965">IFNA(_xlfn.XLOOKUP(C4965,Table_Tarikan_Warkah[Nomor Sertipikat],Table_Tarikan_Warkah[Nomor Tiket]),"")</f>
        <v>L/39/091025/1</v>
      </c>
      <c r="E4965" s="36" t="str">
        <f t="array" ref="E4965">IFNA(_xlfn.XLOOKUP(D4965,Table_Tarikan_Warkah[Nomor Tiket],Table_Tarikan_Warkah[Tanggal diserahkan kepada Validator]),"")</f>
        <v/>
      </c>
      <c r="F4965" s="36" t="str">
        <f t="array" ref="F4965">IFNA(_xlfn.XLOOKUP(D4965,Table_Tarikan_Warkah[Nomor Tiket],Table_Tarikan_Warkah[Nama Petugas Warkah]),"")</f>
        <v/>
      </c>
      <c r="G4965" s="39" t="str">
        <f t="array" ref="G4965">IFNA(_xlfn.XLOOKUP(D4965,Table_Tarikan_Warkah[Nomor Tiket],Table_Tarikan_Warkah[Jenis Permohonan]),"")</f>
        <v>BN WARIS</v>
      </c>
      <c r="H4965" s="41" t="s">
        <v>2315</v>
      </c>
      <c r="I4965" s="49" t="s">
        <v>23</v>
      </c>
      <c r="J4965" s="36">
        <f t="shared" si="20"/>
        <v>46077.61206</v>
      </c>
      <c r="K4965" s="69"/>
      <c r="L4965" s="49"/>
      <c r="M4965" s="36" t="str">
        <f t="shared" si="33"/>
        <v/>
      </c>
      <c r="N4965" s="30" t="str">
        <f t="shared" si="34"/>
        <v>BT atau SU Belum Valid</v>
      </c>
      <c r="O4965" s="39" t="str">
        <f t="shared" si="23"/>
        <v/>
      </c>
      <c r="P4965" s="47" t="b">
        <v>0</v>
      </c>
      <c r="Q4965" s="36" t="str">
        <f t="shared" si="35"/>
        <v/>
      </c>
      <c r="R4965" s="47" t="b">
        <v>0</v>
      </c>
      <c r="S4965" s="42" t="str">
        <f t="shared" si="28"/>
        <v/>
      </c>
      <c r="T4965" s="42"/>
    </row>
    <row r="4966" ht="22.5" customHeight="1">
      <c r="B4966" s="42">
        <f t="shared" si="7"/>
        <v>4960</v>
      </c>
      <c r="C4966" s="31" t="s">
        <v>4970</v>
      </c>
      <c r="D4966" s="34" t="str">
        <f t="array" ref="D4966">IFNA(_xlfn.XLOOKUP(C4966,Table_Tarikan_Warkah[Nomor Sertipikat],Table_Tarikan_Warkah[Nomor Tiket]),"")</f>
        <v>L/8/220126/1</v>
      </c>
      <c r="E4966" s="36" t="str">
        <f t="array" ref="E4966">IFNA(_xlfn.XLOOKUP(D4966,Table_Tarikan_Warkah[Nomor Tiket],Table_Tarikan_Warkah[Tanggal diserahkan kepada Validator]),"")</f>
        <v/>
      </c>
      <c r="F4966" s="36" t="str">
        <f t="array" ref="F4966">IFNA(_xlfn.XLOOKUP(D4966,Table_Tarikan_Warkah[Nomor Tiket],Table_Tarikan_Warkah[Nama Petugas Warkah]),"")</f>
        <v/>
      </c>
      <c r="G4966" s="39" t="str">
        <f t="array" ref="G4966">IFNA(_xlfn.XLOOKUP(D4966,Table_Tarikan_Warkah[Nomor Tiket],Table_Tarikan_Warkah[Jenis Permohonan]),"")</f>
        <v>GANTI BLANKO</v>
      </c>
      <c r="H4966" s="41" t="s">
        <v>2315</v>
      </c>
      <c r="I4966" s="49" t="s">
        <v>23</v>
      </c>
      <c r="J4966" s="36">
        <f t="shared" si="20"/>
        <v>46078.49897</v>
      </c>
      <c r="K4966" s="69"/>
      <c r="L4966" s="49"/>
      <c r="M4966" s="36" t="str">
        <f t="shared" si="33"/>
        <v/>
      </c>
      <c r="N4966" s="30" t="str">
        <f t="shared" si="34"/>
        <v>BT atau SU Belum Valid</v>
      </c>
      <c r="O4966" s="39" t="str">
        <f t="shared" si="23"/>
        <v/>
      </c>
      <c r="P4966" s="47" t="b">
        <v>0</v>
      </c>
      <c r="Q4966" s="36" t="str">
        <f t="shared" si="35"/>
        <v/>
      </c>
      <c r="R4966" s="47" t="b">
        <v>0</v>
      </c>
      <c r="S4966" s="42" t="str">
        <f t="shared" si="28"/>
        <v/>
      </c>
      <c r="T4966" s="42"/>
    </row>
    <row r="4967" ht="22.5" customHeight="1">
      <c r="B4967" s="42">
        <f t="shared" si="7"/>
        <v>4961</v>
      </c>
      <c r="C4967" s="31" t="s">
        <v>4971</v>
      </c>
      <c r="D4967" s="34" t="str">
        <f t="array" ref="D4967">IFNA(_xlfn.XLOOKUP(C4967,Table_Tarikan_Warkah[Nomor Sertipikat],Table_Tarikan_Warkah[Nomor Tiket]),"")</f>
        <v>L/11/031225/1</v>
      </c>
      <c r="E4967" s="36" t="str">
        <f t="array" ref="E4967">IFNA(_xlfn.XLOOKUP(D4967,Table_Tarikan_Warkah[Nomor Tiket],Table_Tarikan_Warkah[Tanggal diserahkan kepada Validator]),"")</f>
        <v/>
      </c>
      <c r="F4967" s="36" t="str">
        <f t="array" ref="F4967">IFNA(_xlfn.XLOOKUP(D4967,Table_Tarikan_Warkah[Nomor Tiket],Table_Tarikan_Warkah[Nama Petugas Warkah]),"")</f>
        <v/>
      </c>
      <c r="G4967" s="39" t="str">
        <f t="array" ref="G4967">IFNA(_xlfn.XLOOKUP(D4967,Table_Tarikan_Warkah[Nomor Tiket],Table_Tarikan_Warkah[Jenis Permohonan]),"")</f>
        <v>BN WARIS</v>
      </c>
      <c r="H4967" s="41" t="s">
        <v>2315</v>
      </c>
      <c r="I4967" s="49" t="s">
        <v>23</v>
      </c>
      <c r="J4967" s="36">
        <f t="shared" si="20"/>
        <v>46078.49937</v>
      </c>
      <c r="K4967" s="69"/>
      <c r="L4967" s="49"/>
      <c r="M4967" s="36" t="str">
        <f t="shared" si="33"/>
        <v/>
      </c>
      <c r="N4967" s="30" t="str">
        <f t="shared" si="34"/>
        <v>BT atau SU Belum Valid</v>
      </c>
      <c r="O4967" s="39" t="str">
        <f t="shared" si="23"/>
        <v/>
      </c>
      <c r="P4967" s="47" t="b">
        <v>0</v>
      </c>
      <c r="Q4967" s="36" t="str">
        <f t="shared" si="35"/>
        <v/>
      </c>
      <c r="R4967" s="47" t="b">
        <v>0</v>
      </c>
      <c r="S4967" s="42" t="str">
        <f t="shared" si="28"/>
        <v/>
      </c>
      <c r="T4967" s="42"/>
    </row>
    <row r="4968" ht="22.5" customHeight="1">
      <c r="B4968" s="42">
        <f t="shared" si="7"/>
        <v>4962</v>
      </c>
      <c r="C4968" s="31" t="s">
        <v>4972</v>
      </c>
      <c r="D4968" s="34" t="str">
        <f t="array" ref="D4968">IFNA(_xlfn.XLOOKUP(C4968,Table_Tarikan_Warkah[Nomor Sertipikat],Table_Tarikan_Warkah[Nomor Tiket]),"")</f>
        <v>L/7/220126/1</v>
      </c>
      <c r="E4968" s="36" t="str">
        <f t="array" ref="E4968">IFNA(_xlfn.XLOOKUP(D4968,Table_Tarikan_Warkah[Nomor Tiket],Table_Tarikan_Warkah[Tanggal diserahkan kepada Validator]),"")</f>
        <v/>
      </c>
      <c r="F4968" s="36" t="str">
        <f t="array" ref="F4968">IFNA(_xlfn.XLOOKUP(D4968,Table_Tarikan_Warkah[Nomor Tiket],Table_Tarikan_Warkah[Nama Petugas Warkah]),"")</f>
        <v/>
      </c>
      <c r="G4968" s="39" t="str">
        <f t="array" ref="G4968">IFNA(_xlfn.XLOOKUP(D4968,Table_Tarikan_Warkah[Nomor Tiket],Table_Tarikan_Warkah[Jenis Permohonan]),"")</f>
        <v>GANTI BLANKO</v>
      </c>
      <c r="H4968" s="41" t="s">
        <v>2315</v>
      </c>
      <c r="I4968" s="49" t="s">
        <v>23</v>
      </c>
      <c r="J4968" s="36">
        <f t="shared" si="20"/>
        <v>46078.49956</v>
      </c>
      <c r="K4968" s="69"/>
      <c r="L4968" s="49"/>
      <c r="M4968" s="36" t="str">
        <f t="shared" si="33"/>
        <v/>
      </c>
      <c r="N4968" s="30" t="str">
        <f t="shared" si="34"/>
        <v>BT atau SU Belum Valid</v>
      </c>
      <c r="O4968" s="39" t="str">
        <f t="shared" si="23"/>
        <v/>
      </c>
      <c r="P4968" s="47" t="b">
        <v>0</v>
      </c>
      <c r="Q4968" s="36" t="str">
        <f t="shared" si="35"/>
        <v/>
      </c>
      <c r="R4968" s="47" t="b">
        <v>0</v>
      </c>
      <c r="S4968" s="42" t="str">
        <f t="shared" si="28"/>
        <v/>
      </c>
      <c r="T4968" s="42"/>
    </row>
    <row r="4969" ht="22.5" customHeight="1">
      <c r="B4969" s="42">
        <f t="shared" si="7"/>
        <v>4963</v>
      </c>
      <c r="C4969" s="31" t="s">
        <v>4973</v>
      </c>
      <c r="D4969" s="34" t="str">
        <f t="array" ref="D4969">IFNA(_xlfn.XLOOKUP(C4969,Table_Tarikan_Warkah[Nomor Sertipikat],Table_Tarikan_Warkah[Nomor Tiket]),"")</f>
        <v>L/6/040226/1</v>
      </c>
      <c r="E4969" s="36" t="str">
        <f t="array" ref="E4969">IFNA(_xlfn.XLOOKUP(D4969,Table_Tarikan_Warkah[Nomor Tiket],Table_Tarikan_Warkah[Tanggal diserahkan kepada Validator]),"")</f>
        <v/>
      </c>
      <c r="F4969" s="36" t="str">
        <f t="array" ref="F4969">IFNA(_xlfn.XLOOKUP(D4969,Table_Tarikan_Warkah[Nomor Tiket],Table_Tarikan_Warkah[Nama Petugas Warkah]),"")</f>
        <v/>
      </c>
      <c r="G4969" s="39" t="str">
        <f t="array" ref="G4969">IFNA(_xlfn.XLOOKUP(D4969,Table_Tarikan_Warkah[Nomor Tiket],Table_Tarikan_Warkah[Jenis Permohonan]),"")</f>
        <v>ROYA WARIS</v>
      </c>
      <c r="H4969" s="41" t="s">
        <v>2315</v>
      </c>
      <c r="I4969" s="49" t="s">
        <v>23</v>
      </c>
      <c r="J4969" s="36">
        <f t="shared" si="20"/>
        <v>46078.50094</v>
      </c>
      <c r="K4969" s="69"/>
      <c r="L4969" s="49"/>
      <c r="M4969" s="36" t="str">
        <f t="shared" si="33"/>
        <v/>
      </c>
      <c r="N4969" s="30" t="str">
        <f t="shared" si="34"/>
        <v>BT atau SU Belum Valid</v>
      </c>
      <c r="O4969" s="39" t="str">
        <f t="shared" si="23"/>
        <v/>
      </c>
      <c r="P4969" s="47" t="b">
        <v>0</v>
      </c>
      <c r="Q4969" s="36" t="str">
        <f t="shared" si="35"/>
        <v/>
      </c>
      <c r="R4969" s="47" t="b">
        <v>0</v>
      </c>
      <c r="S4969" s="42" t="str">
        <f t="shared" si="28"/>
        <v/>
      </c>
      <c r="T4969" s="42"/>
    </row>
    <row r="4970" ht="22.5" customHeight="1">
      <c r="B4970" s="42">
        <f t="shared" si="7"/>
        <v>4964</v>
      </c>
      <c r="C4970" s="31" t="s">
        <v>4974</v>
      </c>
      <c r="D4970" s="34" t="str">
        <f t="array" ref="D4970">IFNA(_xlfn.XLOOKUP(C4970,Table_Tarikan_Warkah[Nomor Sertipikat],Table_Tarikan_Warkah[Nomor Tiket]),"")</f>
        <v>L/1/020226/1</v>
      </c>
      <c r="E4970" s="36" t="str">
        <f t="array" ref="E4970">IFNA(_xlfn.XLOOKUP(D4970,Table_Tarikan_Warkah[Nomor Tiket],Table_Tarikan_Warkah[Tanggal diserahkan kepada Validator]),"")</f>
        <v/>
      </c>
      <c r="F4970" s="36" t="str">
        <f t="array" ref="F4970">IFNA(_xlfn.XLOOKUP(D4970,Table_Tarikan_Warkah[Nomor Tiket],Table_Tarikan_Warkah[Nama Petugas Warkah]),"")</f>
        <v/>
      </c>
      <c r="G4970" s="39" t="str">
        <f t="array" ref="G4970">IFNA(_xlfn.XLOOKUP(D4970,Table_Tarikan_Warkah[Nomor Tiket],Table_Tarikan_Warkah[Jenis Permohonan]),"")</f>
        <v>BN WARIS </v>
      </c>
      <c r="H4970" s="41" t="s">
        <v>2315</v>
      </c>
      <c r="I4970" s="49" t="s">
        <v>23</v>
      </c>
      <c r="J4970" s="36">
        <f t="shared" si="20"/>
        <v>46078.50155</v>
      </c>
      <c r="K4970" s="69"/>
      <c r="L4970" s="49"/>
      <c r="M4970" s="36" t="str">
        <f t="shared" si="33"/>
        <v/>
      </c>
      <c r="N4970" s="30" t="str">
        <f t="shared" si="34"/>
        <v>BT atau SU Belum Valid</v>
      </c>
      <c r="O4970" s="39" t="str">
        <f t="shared" si="23"/>
        <v/>
      </c>
      <c r="P4970" s="47" t="b">
        <v>0</v>
      </c>
      <c r="Q4970" s="36" t="str">
        <f t="shared" si="35"/>
        <v/>
      </c>
      <c r="R4970" s="47" t="b">
        <v>0</v>
      </c>
      <c r="S4970" s="42" t="str">
        <f t="shared" si="28"/>
        <v/>
      </c>
      <c r="T4970" s="42"/>
    </row>
    <row r="4971" ht="22.5" customHeight="1">
      <c r="B4971" s="42">
        <f t="shared" si="7"/>
        <v>4965</v>
      </c>
      <c r="C4971" s="31" t="s">
        <v>4975</v>
      </c>
      <c r="D4971" s="34" t="str">
        <f t="array" ref="D4971">IFNA(_xlfn.XLOOKUP(C4971,Table_Tarikan_Warkah[Nomor Sertipikat],Table_Tarikan_Warkah[Nomor Tiket]),"")</f>
        <v>L/10/040226/1</v>
      </c>
      <c r="E4971" s="36" t="str">
        <f t="array" ref="E4971">IFNA(_xlfn.XLOOKUP(D4971,Table_Tarikan_Warkah[Nomor Tiket],Table_Tarikan_Warkah[Tanggal diserahkan kepada Validator]),"")</f>
        <v/>
      </c>
      <c r="F4971" s="36" t="str">
        <f t="array" ref="F4971">IFNA(_xlfn.XLOOKUP(D4971,Table_Tarikan_Warkah[Nomor Tiket],Table_Tarikan_Warkah[Nama Petugas Warkah]),"")</f>
        <v/>
      </c>
      <c r="G4971" s="39" t="str">
        <f t="array" ref="G4971">IFNA(_xlfn.XLOOKUP(D4971,Table_Tarikan_Warkah[Nomor Tiket],Table_Tarikan_Warkah[Jenis Permohonan]),"")</f>
        <v>BN JUAL BELI</v>
      </c>
      <c r="H4971" s="41" t="s">
        <v>2315</v>
      </c>
      <c r="I4971" s="49" t="s">
        <v>23</v>
      </c>
      <c r="J4971" s="36">
        <f t="shared" si="20"/>
        <v>46078.50385</v>
      </c>
      <c r="K4971" s="69"/>
      <c r="L4971" s="49"/>
      <c r="M4971" s="36" t="str">
        <f t="shared" si="33"/>
        <v/>
      </c>
      <c r="N4971" s="30" t="str">
        <f t="shared" si="34"/>
        <v>BT atau SU Belum Valid</v>
      </c>
      <c r="O4971" s="39" t="str">
        <f t="shared" si="23"/>
        <v/>
      </c>
      <c r="P4971" s="47" t="b">
        <v>0</v>
      </c>
      <c r="Q4971" s="36" t="str">
        <f t="shared" si="35"/>
        <v/>
      </c>
      <c r="R4971" s="47" t="b">
        <v>0</v>
      </c>
      <c r="S4971" s="42" t="str">
        <f t="shared" si="28"/>
        <v/>
      </c>
      <c r="T4971" s="42"/>
    </row>
    <row r="4972" ht="22.5" customHeight="1">
      <c r="B4972" s="42">
        <f t="shared" si="7"/>
        <v>4966</v>
      </c>
      <c r="C4972" s="31" t="s">
        <v>4976</v>
      </c>
      <c r="D4972" s="34" t="str">
        <f t="array" ref="D4972">IFNA(_xlfn.XLOOKUP(C4972,Table_Tarikan_Warkah[Nomor Sertipikat],Table_Tarikan_Warkah[Nomor Tiket]),"")</f>
        <v>ABGKHTNQ/AB014</v>
      </c>
      <c r="E4972" s="36" t="str">
        <f t="array" ref="E4972">IFNA(_xlfn.XLOOKUP(D4972,Table_Tarikan_Warkah[Nomor Tiket],Table_Tarikan_Warkah[Tanggal diserahkan kepada Validator]),"")</f>
        <v/>
      </c>
      <c r="F4972" s="36" t="str">
        <f t="array" ref="F4972">IFNA(_xlfn.XLOOKUP(D4972,Table_Tarikan_Warkah[Nomor Tiket],Table_Tarikan_Warkah[Nama Petugas Warkah]),"")</f>
        <v/>
      </c>
      <c r="G4972" s="39" t="str">
        <f t="array" ref="G4972">IFNA(_xlfn.XLOOKUP(D4972,Table_Tarikan_Warkah[Nomor Tiket],Table_Tarikan_Warkah[Jenis Permohonan]),"")</f>
        <v>Peralihan hak</v>
      </c>
      <c r="H4972" s="41" t="s">
        <v>2315</v>
      </c>
      <c r="I4972" s="49" t="s">
        <v>23</v>
      </c>
      <c r="J4972" s="36">
        <f t="shared" si="20"/>
        <v>46078.61749</v>
      </c>
      <c r="K4972" s="69"/>
      <c r="L4972" s="49"/>
      <c r="M4972" s="36" t="str">
        <f t="shared" si="33"/>
        <v/>
      </c>
      <c r="N4972" s="30" t="str">
        <f t="shared" si="34"/>
        <v>BT atau SU Belum Valid</v>
      </c>
      <c r="O4972" s="39" t="str">
        <f t="shared" si="23"/>
        <v/>
      </c>
      <c r="P4972" s="47" t="b">
        <v>0</v>
      </c>
      <c r="Q4972" s="36" t="str">
        <f t="shared" si="35"/>
        <v/>
      </c>
      <c r="R4972" s="47" t="b">
        <v>0</v>
      </c>
      <c r="S4972" s="42" t="str">
        <f t="shared" si="28"/>
        <v/>
      </c>
      <c r="T4972" s="42"/>
    </row>
    <row r="4973" ht="22.5" customHeight="1">
      <c r="B4973" s="42">
        <f t="shared" si="7"/>
        <v>4967</v>
      </c>
      <c r="C4973" s="31" t="s">
        <v>4977</v>
      </c>
      <c r="D4973" s="34" t="str">
        <f t="array" ref="D4973">IFNA(_xlfn.XLOOKUP(C4973,Table_Tarikan_Warkah[Nomor Sertipikat],Table_Tarikan_Warkah[Nomor Tiket]),"")</f>
        <v>ABIDGGBY/Ab043</v>
      </c>
      <c r="E4973" s="36" t="str">
        <f t="array" ref="E4973">IFNA(_xlfn.XLOOKUP(D4973,Table_Tarikan_Warkah[Nomor Tiket],Table_Tarikan_Warkah[Tanggal diserahkan kepada Validator]),"")</f>
        <v/>
      </c>
      <c r="F4973" s="36" t="str">
        <f t="array" ref="F4973">IFNA(_xlfn.XLOOKUP(D4973,Table_Tarikan_Warkah[Nomor Tiket],Table_Tarikan_Warkah[Nama Petugas Warkah]),"")</f>
        <v/>
      </c>
      <c r="G4973" s="39" t="str">
        <f t="array" ref="G4973">IFNA(_xlfn.XLOOKUP(D4973,Table_Tarikan_Warkah[Nomor Tiket],Table_Tarikan_Warkah[Jenis Permohonan]),"")</f>
        <v>BN waris</v>
      </c>
      <c r="H4973" s="41" t="s">
        <v>2315</v>
      </c>
      <c r="I4973" s="49" t="s">
        <v>23</v>
      </c>
      <c r="J4973" s="36">
        <f t="shared" si="20"/>
        <v>46078.61774</v>
      </c>
      <c r="K4973" s="69"/>
      <c r="L4973" s="49"/>
      <c r="M4973" s="36" t="str">
        <f t="shared" si="33"/>
        <v/>
      </c>
      <c r="N4973" s="30" t="str">
        <f t="shared" si="34"/>
        <v>BT atau SU Belum Valid</v>
      </c>
      <c r="O4973" s="39" t="str">
        <f t="shared" si="23"/>
        <v/>
      </c>
      <c r="P4973" s="47" t="b">
        <v>0</v>
      </c>
      <c r="Q4973" s="36" t="str">
        <f t="shared" si="35"/>
        <v/>
      </c>
      <c r="R4973" s="47" t="b">
        <v>0</v>
      </c>
      <c r="S4973" s="42" t="str">
        <f t="shared" si="28"/>
        <v/>
      </c>
      <c r="T4973" s="42"/>
    </row>
    <row r="4974" ht="22.5" customHeight="1">
      <c r="B4974" s="42">
        <f t="shared" si="7"/>
        <v>4968</v>
      </c>
      <c r="C4974" s="31" t="s">
        <v>4908</v>
      </c>
      <c r="D4974" s="34" t="str">
        <f t="array" ref="D4974">IFNA(_xlfn.XLOOKUP(C4974,Table_Tarikan_Warkah[Nomor Sertipikat],Table_Tarikan_Warkah[Nomor Tiket]),"")</f>
        <v>AMDANWU</v>
      </c>
      <c r="E4974" s="36" t="str">
        <f t="array" ref="E4974">IFNA(_xlfn.XLOOKUP(D4974,Table_Tarikan_Warkah[Nomor Tiket],Table_Tarikan_Warkah[Tanggal diserahkan kepada Validator]),"")</f>
        <v/>
      </c>
      <c r="F4974" s="36" t="str">
        <f t="array" ref="F4974">IFNA(_xlfn.XLOOKUP(D4974,Table_Tarikan_Warkah[Nomor Tiket],Table_Tarikan_Warkah[Nama Petugas Warkah]),"")</f>
        <v/>
      </c>
      <c r="G4974" s="39" t="str">
        <f t="array" ref="G4974">IFNA(_xlfn.XLOOKUP(D4974,Table_Tarikan_Warkah[Nomor Tiket],Table_Tarikan_Warkah[Jenis Permohonan]),"")</f>
        <v>WARIS</v>
      </c>
      <c r="H4974" s="41" t="s">
        <v>2315</v>
      </c>
      <c r="I4974" s="49" t="s">
        <v>23</v>
      </c>
      <c r="J4974" s="36">
        <f t="shared" si="20"/>
        <v>46078.61845</v>
      </c>
      <c r="K4974" s="69"/>
      <c r="L4974" s="49"/>
      <c r="M4974" s="36" t="str">
        <f t="shared" si="33"/>
        <v/>
      </c>
      <c r="N4974" s="30" t="str">
        <f t="shared" si="34"/>
        <v>BT atau SU Belum Valid</v>
      </c>
      <c r="O4974" s="39" t="str">
        <f t="shared" si="23"/>
        <v/>
      </c>
      <c r="P4974" s="47" t="b">
        <v>0</v>
      </c>
      <c r="Q4974" s="36" t="str">
        <f t="shared" si="35"/>
        <v/>
      </c>
      <c r="R4974" s="47" t="b">
        <v>0</v>
      </c>
      <c r="S4974" s="42" t="str">
        <f t="shared" si="28"/>
        <v/>
      </c>
      <c r="T4974" s="42"/>
    </row>
    <row r="4975" ht="22.5" customHeight="1">
      <c r="B4975" s="42">
        <f t="shared" si="7"/>
        <v>4969</v>
      </c>
      <c r="C4975" s="31" t="s">
        <v>4902</v>
      </c>
      <c r="D4975" s="34" t="str">
        <f t="array" ref="D4975">IFNA(_xlfn.XLOOKUP(C4975,Table_Tarikan_Warkah[Nomor Sertipikat],Table_Tarikan_Warkah[Nomor Tiket]),"")</f>
        <v>ABCOPTFN/1</v>
      </c>
      <c r="E4975" s="36" t="str">
        <f t="array" ref="E4975">IFNA(_xlfn.XLOOKUP(D4975,Table_Tarikan_Warkah[Nomor Tiket],Table_Tarikan_Warkah[Tanggal diserahkan kepada Validator]),"")</f>
        <v/>
      </c>
      <c r="F4975" s="36" t="str">
        <f t="array" ref="F4975">IFNA(_xlfn.XLOOKUP(D4975,Table_Tarikan_Warkah[Nomor Tiket],Table_Tarikan_Warkah[Nama Petugas Warkah]),"")</f>
        <v/>
      </c>
      <c r="G4975" s="39" t="str">
        <f t="array" ref="G4975">IFNA(_xlfn.XLOOKUP(D4975,Table_Tarikan_Warkah[Nomor Tiket],Table_Tarikan_Warkah[Jenis Permohonan]),"")</f>
        <v>Bn waris</v>
      </c>
      <c r="H4975" s="41" t="s">
        <v>2315</v>
      </c>
      <c r="I4975" s="49" t="s">
        <v>23</v>
      </c>
      <c r="J4975" s="36">
        <f t="shared" si="20"/>
        <v>46078.61876</v>
      </c>
      <c r="K4975" s="69"/>
      <c r="L4975" s="49"/>
      <c r="M4975" s="36" t="str">
        <f t="shared" si="33"/>
        <v/>
      </c>
      <c r="N4975" s="30" t="str">
        <f t="shared" si="34"/>
        <v>BT atau SU Belum Valid</v>
      </c>
      <c r="O4975" s="39" t="str">
        <f t="shared" si="23"/>
        <v/>
      </c>
      <c r="P4975" s="47" t="b">
        <v>0</v>
      </c>
      <c r="Q4975" s="36" t="str">
        <f t="shared" si="35"/>
        <v/>
      </c>
      <c r="R4975" s="47" t="b">
        <v>0</v>
      </c>
      <c r="S4975" s="42" t="str">
        <f t="shared" si="28"/>
        <v/>
      </c>
      <c r="T4975" s="42"/>
    </row>
    <row r="4976" ht="22.5" customHeight="1">
      <c r="B4976" s="42">
        <f t="shared" si="7"/>
        <v>4970</v>
      </c>
      <c r="C4976" s="31" t="s">
        <v>4901</v>
      </c>
      <c r="D4976" s="34" t="str">
        <f t="array" ref="D4976">IFNA(_xlfn.XLOOKUP(C4976,Table_Tarikan_Warkah[Nomor Sertipikat],Table_Tarikan_Warkah[Nomor Tiket]),"")</f>
        <v>ABCYYGDW/1</v>
      </c>
      <c r="E4976" s="36" t="str">
        <f t="array" ref="E4976">IFNA(_xlfn.XLOOKUP(D4976,Table_Tarikan_Warkah[Nomor Tiket],Table_Tarikan_Warkah[Tanggal diserahkan kepada Validator]),"")</f>
        <v/>
      </c>
      <c r="F4976" s="36" t="str">
        <f t="array" ref="F4976">IFNA(_xlfn.XLOOKUP(D4976,Table_Tarikan_Warkah[Nomor Tiket],Table_Tarikan_Warkah[Nama Petugas Warkah]),"")</f>
        <v/>
      </c>
      <c r="G4976" s="39" t="str">
        <f t="array" ref="G4976">IFNA(_xlfn.XLOOKUP(D4976,Table_Tarikan_Warkah[Nomor Tiket],Table_Tarikan_Warkah[Jenis Permohonan]),"")</f>
        <v>Bn waris</v>
      </c>
      <c r="H4976" s="41" t="s">
        <v>2315</v>
      </c>
      <c r="I4976" s="49" t="s">
        <v>23</v>
      </c>
      <c r="J4976" s="36">
        <f t="shared" si="20"/>
        <v>46078.61899</v>
      </c>
      <c r="K4976" s="69"/>
      <c r="L4976" s="49"/>
      <c r="M4976" s="36" t="str">
        <f t="shared" si="33"/>
        <v/>
      </c>
      <c r="N4976" s="30" t="str">
        <f t="shared" si="34"/>
        <v>BT atau SU Belum Valid</v>
      </c>
      <c r="O4976" s="39" t="str">
        <f t="shared" si="23"/>
        <v/>
      </c>
      <c r="P4976" s="47" t="b">
        <v>0</v>
      </c>
      <c r="Q4976" s="36" t="str">
        <f t="shared" si="35"/>
        <v/>
      </c>
      <c r="R4976" s="47" t="b">
        <v>0</v>
      </c>
      <c r="S4976" s="42" t="str">
        <f t="shared" si="28"/>
        <v/>
      </c>
      <c r="T4976" s="42"/>
    </row>
    <row r="4977" ht="22.5" customHeight="1">
      <c r="B4977" s="42">
        <f t="shared" si="7"/>
        <v>4971</v>
      </c>
      <c r="C4977" s="31" t="s">
        <v>4978</v>
      </c>
      <c r="D4977" s="34" t="str">
        <f t="array" ref="D4977">IFNA(_xlfn.XLOOKUP(C4977,Table_Tarikan_Warkah[Nomor Sertipikat],Table_Tarikan_Warkah[Nomor Tiket]),"")</f>
        <v>AB004/ABIHHAGW</v>
      </c>
      <c r="E4977" s="36" t="str">
        <f t="array" ref="E4977">IFNA(_xlfn.XLOOKUP(D4977,Table_Tarikan_Warkah[Nomor Tiket],Table_Tarikan_Warkah[Tanggal diserahkan kepada Validator]),"")</f>
        <v/>
      </c>
      <c r="F4977" s="36" t="str">
        <f t="array" ref="F4977">IFNA(_xlfn.XLOOKUP(D4977,Table_Tarikan_Warkah[Nomor Tiket],Table_Tarikan_Warkah[Nama Petugas Warkah]),"")</f>
        <v/>
      </c>
      <c r="G4977" s="39" t="str">
        <f t="array" ref="G4977">IFNA(_xlfn.XLOOKUP(D4977,Table_Tarikan_Warkah[Nomor Tiket],Table_Tarikan_Warkah[Jenis Permohonan]),"")</f>
        <v>BN</v>
      </c>
      <c r="H4977" s="41" t="s">
        <v>2315</v>
      </c>
      <c r="I4977" s="49" t="s">
        <v>23</v>
      </c>
      <c r="J4977" s="36">
        <f t="shared" si="20"/>
        <v>46078.6193</v>
      </c>
      <c r="K4977" s="69"/>
      <c r="L4977" s="49"/>
      <c r="M4977" s="36" t="str">
        <f t="shared" si="33"/>
        <v/>
      </c>
      <c r="N4977" s="30" t="str">
        <f t="shared" si="34"/>
        <v>BT atau SU Belum Valid</v>
      </c>
      <c r="O4977" s="39" t="str">
        <f t="shared" si="23"/>
        <v/>
      </c>
      <c r="P4977" s="47" t="b">
        <v>0</v>
      </c>
      <c r="Q4977" s="36" t="str">
        <f t="shared" si="35"/>
        <v/>
      </c>
      <c r="R4977" s="47" t="b">
        <v>0</v>
      </c>
      <c r="S4977" s="42" t="str">
        <f t="shared" si="28"/>
        <v/>
      </c>
      <c r="T4977" s="42"/>
    </row>
    <row r="4978" ht="22.5" customHeight="1">
      <c r="B4978" s="42">
        <f t="shared" si="7"/>
        <v>4972</v>
      </c>
      <c r="C4978" s="31" t="s">
        <v>4979</v>
      </c>
      <c r="D4978" s="34" t="str">
        <f t="array" ref="D4978">IFNA(_xlfn.XLOOKUP(C4978,Table_Tarikan_Warkah[Nomor Sertipikat],Table_Tarikan_Warkah[Nomor Tiket]),"")</f>
        <v>ABPQFDFV/AB062</v>
      </c>
      <c r="E4978" s="36" t="str">
        <f t="array" ref="E4978">IFNA(_xlfn.XLOOKUP(D4978,Table_Tarikan_Warkah[Nomor Tiket],Table_Tarikan_Warkah[Tanggal diserahkan kepada Validator]),"")</f>
        <v/>
      </c>
      <c r="F4978" s="36" t="str">
        <f t="array" ref="F4978">IFNA(_xlfn.XLOOKUP(D4978,Table_Tarikan_Warkah[Nomor Tiket],Table_Tarikan_Warkah[Nama Petugas Warkah]),"")</f>
        <v/>
      </c>
      <c r="G4978" s="39" t="str">
        <f t="array" ref="G4978">IFNA(_xlfn.XLOOKUP(D4978,Table_Tarikan_Warkah[Nomor Tiket],Table_Tarikan_Warkah[Jenis Permohonan]),"")</f>
        <v>BN WARIS</v>
      </c>
      <c r="H4978" s="41" t="s">
        <v>2315</v>
      </c>
      <c r="I4978" s="49" t="s">
        <v>23</v>
      </c>
      <c r="J4978" s="36">
        <f t="shared" si="20"/>
        <v>46079.5743</v>
      </c>
      <c r="K4978" s="69"/>
      <c r="L4978" s="49"/>
      <c r="M4978" s="36" t="str">
        <f t="shared" si="33"/>
        <v/>
      </c>
      <c r="N4978" s="30" t="str">
        <f t="shared" si="34"/>
        <v>BT atau SU Belum Valid</v>
      </c>
      <c r="O4978" s="39" t="str">
        <f t="shared" si="23"/>
        <v/>
      </c>
      <c r="P4978" s="47" t="b">
        <v>0</v>
      </c>
      <c r="Q4978" s="36" t="str">
        <f t="shared" si="35"/>
        <v/>
      </c>
      <c r="R4978" s="47" t="b">
        <v>0</v>
      </c>
      <c r="S4978" s="42" t="str">
        <f t="shared" si="28"/>
        <v/>
      </c>
      <c r="T4978" s="42"/>
    </row>
    <row r="4979" ht="22.5" customHeight="1">
      <c r="B4979" s="42">
        <f t="shared" si="7"/>
        <v>4973</v>
      </c>
      <c r="C4979" s="31" t="s">
        <v>4980</v>
      </c>
      <c r="D4979" s="34" t="str">
        <f t="array" ref="D4979">IFNA(_xlfn.XLOOKUP(C4979,Table_Tarikan_Warkah[Nomor Sertipikat],Table_Tarikan_Warkah[Nomor Tiket]),"")</f>
        <v>ABDNBQSW</v>
      </c>
      <c r="E4979" s="36" t="str">
        <f t="array" ref="E4979">IFNA(_xlfn.XLOOKUP(D4979,Table_Tarikan_Warkah[Nomor Tiket],Table_Tarikan_Warkah[Tanggal diserahkan kepada Validator]),"")</f>
        <v/>
      </c>
      <c r="F4979" s="36" t="str">
        <f t="array" ref="F4979">IFNA(_xlfn.XLOOKUP(D4979,Table_Tarikan_Warkah[Nomor Tiket],Table_Tarikan_Warkah[Nama Petugas Warkah]),"")</f>
        <v/>
      </c>
      <c r="G4979" s="39" t="str">
        <f t="array" ref="G4979">IFNA(_xlfn.XLOOKUP(D4979,Table_Tarikan_Warkah[Nomor Tiket],Table_Tarikan_Warkah[Jenis Permohonan]),"")</f>
        <v>Balik nama</v>
      </c>
      <c r="H4979" s="41" t="s">
        <v>2315</v>
      </c>
      <c r="I4979" s="49" t="s">
        <v>23</v>
      </c>
      <c r="J4979" s="36">
        <f t="shared" si="20"/>
        <v>46079.57459</v>
      </c>
      <c r="K4979" s="69"/>
      <c r="L4979" s="49"/>
      <c r="M4979" s="36" t="str">
        <f t="shared" si="33"/>
        <v/>
      </c>
      <c r="N4979" s="30" t="str">
        <f t="shared" si="34"/>
        <v>BT atau SU Belum Valid</v>
      </c>
      <c r="O4979" s="39" t="str">
        <f t="shared" si="23"/>
        <v/>
      </c>
      <c r="P4979" s="47" t="b">
        <v>0</v>
      </c>
      <c r="Q4979" s="36" t="str">
        <f t="shared" si="35"/>
        <v/>
      </c>
      <c r="R4979" s="47" t="b">
        <v>0</v>
      </c>
      <c r="S4979" s="42" t="str">
        <f t="shared" si="28"/>
        <v/>
      </c>
      <c r="T4979" s="42"/>
    </row>
    <row r="4980" ht="22.5" customHeight="1">
      <c r="B4980" s="42">
        <f t="shared" si="7"/>
        <v>4974</v>
      </c>
      <c r="C4980" s="31" t="s">
        <v>4981</v>
      </c>
      <c r="D4980" s="34" t="str">
        <f t="array" ref="D4980">IFNA(_xlfn.XLOOKUP(C4980,Table_Tarikan_Warkah[Nomor Sertipikat],Table_Tarikan_Warkah[Nomor Tiket]),"")</f>
        <v>ABLHZFAP</v>
      </c>
      <c r="E4980" s="36" t="str">
        <f t="array" ref="E4980">IFNA(_xlfn.XLOOKUP(D4980,Table_Tarikan_Warkah[Nomor Tiket],Table_Tarikan_Warkah[Tanggal diserahkan kepada Validator]),"")</f>
        <v/>
      </c>
      <c r="F4980" s="36" t="str">
        <f t="array" ref="F4980">IFNA(_xlfn.XLOOKUP(D4980,Table_Tarikan_Warkah[Nomor Tiket],Table_Tarikan_Warkah[Nama Petugas Warkah]),"")</f>
        <v/>
      </c>
      <c r="G4980" s="39" t="str">
        <f t="array" ref="G4980">IFNA(_xlfn.XLOOKUP(D4980,Table_Tarikan_Warkah[Nomor Tiket],Table_Tarikan_Warkah[Jenis Permohonan]),"")</f>
        <v>BN JUAL BELI</v>
      </c>
      <c r="H4980" s="41" t="s">
        <v>2315</v>
      </c>
      <c r="I4980" s="49" t="s">
        <v>23</v>
      </c>
      <c r="J4980" s="36">
        <f t="shared" si="20"/>
        <v>46079.5749</v>
      </c>
      <c r="K4980" s="69"/>
      <c r="L4980" s="49"/>
      <c r="M4980" s="36" t="str">
        <f t="shared" si="33"/>
        <v/>
      </c>
      <c r="N4980" s="30" t="str">
        <f t="shared" si="34"/>
        <v>BT atau SU Belum Valid</v>
      </c>
      <c r="O4980" s="39" t="str">
        <f t="shared" si="23"/>
        <v/>
      </c>
      <c r="P4980" s="47" t="b">
        <v>0</v>
      </c>
      <c r="Q4980" s="36" t="str">
        <f t="shared" si="35"/>
        <v/>
      </c>
      <c r="R4980" s="47" t="b">
        <v>0</v>
      </c>
      <c r="S4980" s="42" t="str">
        <f t="shared" si="28"/>
        <v/>
      </c>
      <c r="T4980" s="42"/>
    </row>
    <row r="4981" ht="22.5" customHeight="1">
      <c r="B4981" s="42">
        <f t="shared" si="7"/>
        <v>4975</v>
      </c>
      <c r="C4981" s="31" t="s">
        <v>4982</v>
      </c>
      <c r="D4981" s="34" t="str">
        <f t="array" ref="D4981">IFNA(_xlfn.XLOOKUP(C4981,Table_Tarikan_Warkah[Nomor Sertipikat],Table_Tarikan_Warkah[Nomor Tiket]),"")</f>
        <v>ABNSVJVH</v>
      </c>
      <c r="E4981" s="36" t="str">
        <f t="array" ref="E4981">IFNA(_xlfn.XLOOKUP(D4981,Table_Tarikan_Warkah[Nomor Tiket],Table_Tarikan_Warkah[Tanggal diserahkan kepada Validator]),"")</f>
        <v/>
      </c>
      <c r="F4981" s="36" t="str">
        <f t="array" ref="F4981">IFNA(_xlfn.XLOOKUP(D4981,Table_Tarikan_Warkah[Nomor Tiket],Table_Tarikan_Warkah[Nama Petugas Warkah]),"")</f>
        <v/>
      </c>
      <c r="G4981" s="39" t="str">
        <f t="array" ref="G4981">IFNA(_xlfn.XLOOKUP(D4981,Table_Tarikan_Warkah[Nomor Tiket],Table_Tarikan_Warkah[Jenis Permohonan]),"")</f>
        <v>BALIK NAMA</v>
      </c>
      <c r="H4981" s="41" t="s">
        <v>2315</v>
      </c>
      <c r="I4981" s="49" t="s">
        <v>23</v>
      </c>
      <c r="J4981" s="36">
        <f t="shared" si="20"/>
        <v>46079.57525</v>
      </c>
      <c r="K4981" s="69"/>
      <c r="L4981" s="49"/>
      <c r="M4981" s="36" t="str">
        <f t="shared" si="33"/>
        <v/>
      </c>
      <c r="N4981" s="30" t="str">
        <f t="shared" si="34"/>
        <v>BT atau SU Belum Valid</v>
      </c>
      <c r="O4981" s="39" t="str">
        <f t="shared" si="23"/>
        <v/>
      </c>
      <c r="P4981" s="47" t="b">
        <v>0</v>
      </c>
      <c r="Q4981" s="36" t="str">
        <f t="shared" si="35"/>
        <v/>
      </c>
      <c r="R4981" s="47" t="b">
        <v>0</v>
      </c>
      <c r="S4981" s="42" t="str">
        <f t="shared" si="28"/>
        <v/>
      </c>
      <c r="T4981" s="42"/>
    </row>
    <row r="4982" ht="22.5" customHeight="1">
      <c r="B4982" s="42">
        <f t="shared" si="7"/>
        <v>4976</v>
      </c>
      <c r="C4982" s="31" t="s">
        <v>4983</v>
      </c>
      <c r="D4982" s="34" t="str">
        <f t="array" ref="D4982">IFNA(_xlfn.XLOOKUP(C4982,Table_Tarikan_Warkah[Nomor Sertipikat],Table_Tarikan_Warkah[Nomor Tiket]),"")</f>
        <v>ABSNZTQK</v>
      </c>
      <c r="E4982" s="36" t="str">
        <f t="array" ref="E4982">IFNA(_xlfn.XLOOKUP(D4982,Table_Tarikan_Warkah[Nomor Tiket],Table_Tarikan_Warkah[Tanggal diserahkan kepada Validator]),"")</f>
        <v/>
      </c>
      <c r="F4982" s="36" t="str">
        <f t="array" ref="F4982">IFNA(_xlfn.XLOOKUP(D4982,Table_Tarikan_Warkah[Nomor Tiket],Table_Tarikan_Warkah[Nama Petugas Warkah]),"")</f>
        <v/>
      </c>
      <c r="G4982" s="39" t="str">
        <f t="array" ref="G4982">IFNA(_xlfn.XLOOKUP(D4982,Table_Tarikan_Warkah[Nomor Tiket],Table_Tarikan_Warkah[Jenis Permohonan]),"")</f>
        <v>Balik nama</v>
      </c>
      <c r="H4982" s="41" t="s">
        <v>2315</v>
      </c>
      <c r="I4982" s="49" t="s">
        <v>23</v>
      </c>
      <c r="J4982" s="36">
        <f t="shared" si="20"/>
        <v>46079.57549</v>
      </c>
      <c r="K4982" s="69"/>
      <c r="L4982" s="49"/>
      <c r="M4982" s="36" t="str">
        <f t="shared" si="33"/>
        <v/>
      </c>
      <c r="N4982" s="30" t="str">
        <f t="shared" si="34"/>
        <v>BT atau SU Belum Valid</v>
      </c>
      <c r="O4982" s="39" t="str">
        <f t="shared" si="23"/>
        <v/>
      </c>
      <c r="P4982" s="47" t="b">
        <v>0</v>
      </c>
      <c r="Q4982" s="36" t="str">
        <f t="shared" si="35"/>
        <v/>
      </c>
      <c r="R4982" s="47" t="b">
        <v>0</v>
      </c>
      <c r="S4982" s="42" t="str">
        <f t="shared" si="28"/>
        <v/>
      </c>
      <c r="T4982" s="42"/>
    </row>
    <row r="4983" ht="22.5" customHeight="1">
      <c r="B4983" s="42">
        <f t="shared" si="7"/>
        <v>4977</v>
      </c>
      <c r="C4983" s="31" t="s">
        <v>4984</v>
      </c>
      <c r="D4983" s="34" t="str">
        <f t="array" ref="D4983">IFNA(_xlfn.XLOOKUP(C4983,Table_Tarikan_Warkah[Nomor Sertipikat],Table_Tarikan_Warkah[Nomor Tiket]),"")</f>
        <v>ABBJHBTQ</v>
      </c>
      <c r="E4983" s="36" t="str">
        <f t="array" ref="E4983">IFNA(_xlfn.XLOOKUP(D4983,Table_Tarikan_Warkah[Nomor Tiket],Table_Tarikan_Warkah[Tanggal diserahkan kepada Validator]),"")</f>
        <v/>
      </c>
      <c r="F4983" s="36" t="str">
        <f t="array" ref="F4983">IFNA(_xlfn.XLOOKUP(D4983,Table_Tarikan_Warkah[Nomor Tiket],Table_Tarikan_Warkah[Nama Petugas Warkah]),"")</f>
        <v/>
      </c>
      <c r="G4983" s="39" t="str">
        <f t="array" ref="G4983">IFNA(_xlfn.XLOOKUP(D4983,Table_Tarikan_Warkah[Nomor Tiket],Table_Tarikan_Warkah[Jenis Permohonan]),"")</f>
        <v>Balik nama</v>
      </c>
      <c r="H4983" s="41" t="s">
        <v>2315</v>
      </c>
      <c r="I4983" s="49" t="s">
        <v>23</v>
      </c>
      <c r="J4983" s="36">
        <f t="shared" si="20"/>
        <v>46079.57579</v>
      </c>
      <c r="K4983" s="69"/>
      <c r="L4983" s="49"/>
      <c r="M4983" s="36" t="str">
        <f t="shared" si="33"/>
        <v/>
      </c>
      <c r="N4983" s="30" t="str">
        <f t="shared" si="34"/>
        <v>BT atau SU Belum Valid</v>
      </c>
      <c r="O4983" s="39" t="str">
        <f t="shared" si="23"/>
        <v/>
      </c>
      <c r="P4983" s="47" t="b">
        <v>0</v>
      </c>
      <c r="Q4983" s="36" t="str">
        <f t="shared" si="35"/>
        <v/>
      </c>
      <c r="R4983" s="47" t="b">
        <v>0</v>
      </c>
      <c r="S4983" s="42" t="str">
        <f t="shared" si="28"/>
        <v/>
      </c>
      <c r="T4983" s="42"/>
    </row>
    <row r="4984" ht="22.5" customHeight="1">
      <c r="B4984" s="42">
        <f t="shared" si="7"/>
        <v>4978</v>
      </c>
      <c r="C4984" s="31" t="s">
        <v>4985</v>
      </c>
      <c r="D4984" s="34" t="str">
        <f t="array" ref="D4984">IFNA(_xlfn.XLOOKUP(C4984,Table_Tarikan_Warkah[Nomor Sertipikat],Table_Tarikan_Warkah[Nomor Tiket]),"")</f>
        <v>ABGHUJIU</v>
      </c>
      <c r="E4984" s="36" t="str">
        <f t="array" ref="E4984">IFNA(_xlfn.XLOOKUP(D4984,Table_Tarikan_Warkah[Nomor Tiket],Table_Tarikan_Warkah[Tanggal diserahkan kepada Validator]),"")</f>
        <v/>
      </c>
      <c r="F4984" s="36" t="str">
        <f t="array" ref="F4984">IFNA(_xlfn.XLOOKUP(D4984,Table_Tarikan_Warkah[Nomor Tiket],Table_Tarikan_Warkah[Nama Petugas Warkah]),"")</f>
        <v/>
      </c>
      <c r="G4984" s="39" t="str">
        <f t="array" ref="G4984">IFNA(_xlfn.XLOOKUP(D4984,Table_Tarikan_Warkah[Nomor Tiket],Table_Tarikan_Warkah[Jenis Permohonan]),"")</f>
        <v>Peralihan Hak</v>
      </c>
      <c r="H4984" s="41" t="s">
        <v>2315</v>
      </c>
      <c r="I4984" s="49" t="s">
        <v>23</v>
      </c>
      <c r="J4984" s="36">
        <f t="shared" si="20"/>
        <v>46079.57613</v>
      </c>
      <c r="K4984" s="69"/>
      <c r="L4984" s="49"/>
      <c r="M4984" s="36" t="str">
        <f t="shared" si="33"/>
        <v/>
      </c>
      <c r="N4984" s="30" t="str">
        <f t="shared" si="34"/>
        <v>BT atau SU Belum Valid</v>
      </c>
      <c r="O4984" s="39" t="str">
        <f t="shared" si="23"/>
        <v/>
      </c>
      <c r="P4984" s="47" t="b">
        <v>0</v>
      </c>
      <c r="Q4984" s="36" t="str">
        <f t="shared" si="35"/>
        <v/>
      </c>
      <c r="R4984" s="47" t="b">
        <v>0</v>
      </c>
      <c r="S4984" s="42" t="str">
        <f t="shared" si="28"/>
        <v/>
      </c>
      <c r="T4984" s="42"/>
    </row>
    <row r="4985" ht="22.5" customHeight="1">
      <c r="B4985" s="42">
        <f t="shared" si="7"/>
        <v>4979</v>
      </c>
      <c r="C4985" s="31" t="s">
        <v>4986</v>
      </c>
      <c r="D4985" s="34" t="str">
        <f t="array" ref="D4985">IFNA(_xlfn.XLOOKUP(C4985,Table_Tarikan_Warkah[Nomor Sertipikat],Table_Tarikan_Warkah[Nomor Tiket]),"")</f>
        <v>ABXHOZVM</v>
      </c>
      <c r="E4985" s="36" t="str">
        <f t="array" ref="E4985">IFNA(_xlfn.XLOOKUP(D4985,Table_Tarikan_Warkah[Nomor Tiket],Table_Tarikan_Warkah[Tanggal diserahkan kepada Validator]),"")</f>
        <v/>
      </c>
      <c r="F4985" s="36" t="str">
        <f t="array" ref="F4985">IFNA(_xlfn.XLOOKUP(D4985,Table_Tarikan_Warkah[Nomor Tiket],Table_Tarikan_Warkah[Nama Petugas Warkah]),"")</f>
        <v/>
      </c>
      <c r="G4985" s="39" t="str">
        <f t="array" ref="G4985">IFNA(_xlfn.XLOOKUP(D4985,Table_Tarikan_Warkah[Nomor Tiket],Table_Tarikan_Warkah[Jenis Permohonan]),"")</f>
        <v>Peralihan Hak jual beli</v>
      </c>
      <c r="H4985" s="41" t="s">
        <v>2315</v>
      </c>
      <c r="I4985" s="49" t="s">
        <v>23</v>
      </c>
      <c r="J4985" s="36">
        <f t="shared" si="20"/>
        <v>46079.57649</v>
      </c>
      <c r="K4985" s="69"/>
      <c r="L4985" s="49"/>
      <c r="M4985" s="36" t="str">
        <f t="shared" si="33"/>
        <v/>
      </c>
      <c r="N4985" s="30" t="str">
        <f t="shared" si="34"/>
        <v>BT atau SU Belum Valid</v>
      </c>
      <c r="O4985" s="39" t="str">
        <f t="shared" si="23"/>
        <v/>
      </c>
      <c r="P4985" s="47" t="b">
        <v>0</v>
      </c>
      <c r="Q4985" s="36" t="str">
        <f t="shared" si="35"/>
        <v/>
      </c>
      <c r="R4985" s="47" t="b">
        <v>0</v>
      </c>
      <c r="S4985" s="42" t="str">
        <f t="shared" si="28"/>
        <v/>
      </c>
      <c r="T4985" s="42"/>
    </row>
    <row r="4986" ht="22.5" customHeight="1">
      <c r="B4986" s="42">
        <f t="shared" si="7"/>
        <v>4980</v>
      </c>
      <c r="C4986" s="31">
        <v>2529.0</v>
      </c>
      <c r="D4986" s="34" t="str">
        <f t="array" ref="D4986">IFNA(_xlfn.XLOOKUP(C4986,Table_Tarikan_Warkah[Nomor Sertipikat],Table_Tarikan_Warkah[Nomor Tiket]),"")</f>
        <v>ABYGHQWT</v>
      </c>
      <c r="E4986" s="36" t="str">
        <f t="array" ref="E4986">IFNA(_xlfn.XLOOKUP(D4986,Table_Tarikan_Warkah[Nomor Tiket],Table_Tarikan_Warkah[Tanggal diserahkan kepada Validator]),"")</f>
        <v/>
      </c>
      <c r="F4986" s="36" t="str">
        <f t="array" ref="F4986">IFNA(_xlfn.XLOOKUP(D4986,Table_Tarikan_Warkah[Nomor Tiket],Table_Tarikan_Warkah[Nama Petugas Warkah]),"")</f>
        <v/>
      </c>
      <c r="G4986" s="39" t="str">
        <f t="array" ref="G4986">IFNA(_xlfn.XLOOKUP(D4986,Table_Tarikan_Warkah[Nomor Tiket],Table_Tarikan_Warkah[Jenis Permohonan]),"")</f>
        <v>Peralihan Hak</v>
      </c>
      <c r="H4986" s="41" t="s">
        <v>2315</v>
      </c>
      <c r="I4986" s="49" t="s">
        <v>23</v>
      </c>
      <c r="J4986" s="36">
        <f t="shared" si="20"/>
        <v>46079.57686</v>
      </c>
      <c r="K4986" s="69"/>
      <c r="L4986" s="49"/>
      <c r="M4986" s="36" t="str">
        <f t="shared" si="33"/>
        <v/>
      </c>
      <c r="N4986" s="30" t="str">
        <f t="shared" si="34"/>
        <v>BT atau SU Belum Valid</v>
      </c>
      <c r="O4986" s="39" t="str">
        <f t="shared" si="23"/>
        <v/>
      </c>
      <c r="P4986" s="47" t="b">
        <v>0</v>
      </c>
      <c r="Q4986" s="36" t="str">
        <f t="shared" si="35"/>
        <v/>
      </c>
      <c r="R4986" s="47" t="b">
        <v>0</v>
      </c>
      <c r="S4986" s="42" t="str">
        <f t="shared" si="28"/>
        <v/>
      </c>
      <c r="T4986" s="42"/>
    </row>
    <row r="4987" ht="22.5" customHeight="1">
      <c r="B4987" s="42">
        <f t="shared" si="7"/>
        <v>4981</v>
      </c>
      <c r="C4987" s="31" t="s">
        <v>4987</v>
      </c>
      <c r="D4987" s="34" t="str">
        <f t="array" ref="D4987">IFNA(_xlfn.XLOOKUP(C4987,Table_Tarikan_Warkah[Nomor Sertipikat],Table_Tarikan_Warkah[Nomor Tiket]),"")</f>
        <v>ABSGWWBW</v>
      </c>
      <c r="E4987" s="36" t="str">
        <f t="array" ref="E4987">IFNA(_xlfn.XLOOKUP(D4987,Table_Tarikan_Warkah[Nomor Tiket],Table_Tarikan_Warkah[Tanggal diserahkan kepada Validator]),"")</f>
        <v/>
      </c>
      <c r="F4987" s="36" t="str">
        <f t="array" ref="F4987">IFNA(_xlfn.XLOOKUP(D4987,Table_Tarikan_Warkah[Nomor Tiket],Table_Tarikan_Warkah[Nama Petugas Warkah]),"")</f>
        <v/>
      </c>
      <c r="G4987" s="39" t="str">
        <f t="array" ref="G4987">IFNA(_xlfn.XLOOKUP(D4987,Table_Tarikan_Warkah[Nomor Tiket],Table_Tarikan_Warkah[Jenis Permohonan]),"")</f>
        <v>Ganti nama</v>
      </c>
      <c r="H4987" s="41" t="s">
        <v>2315</v>
      </c>
      <c r="I4987" s="49" t="s">
        <v>23</v>
      </c>
      <c r="J4987" s="36">
        <f t="shared" si="20"/>
        <v>46079.57735</v>
      </c>
      <c r="K4987" s="69"/>
      <c r="L4987" s="49"/>
      <c r="M4987" s="36" t="str">
        <f t="shared" si="33"/>
        <v/>
      </c>
      <c r="N4987" s="30" t="str">
        <f t="shared" si="34"/>
        <v>BT atau SU Belum Valid</v>
      </c>
      <c r="O4987" s="39" t="str">
        <f t="shared" si="23"/>
        <v/>
      </c>
      <c r="P4987" s="47" t="b">
        <v>0</v>
      </c>
      <c r="Q4987" s="36" t="str">
        <f t="shared" si="35"/>
        <v/>
      </c>
      <c r="R4987" s="47" t="b">
        <v>0</v>
      </c>
      <c r="S4987" s="42" t="str">
        <f t="shared" si="28"/>
        <v/>
      </c>
      <c r="T4987" s="42"/>
    </row>
    <row r="4988" ht="22.5" customHeight="1">
      <c r="B4988" s="42">
        <f t="shared" si="7"/>
        <v>4982</v>
      </c>
      <c r="C4988" s="31" t="s">
        <v>4988</v>
      </c>
      <c r="D4988" s="34" t="str">
        <f t="array" ref="D4988">IFNA(_xlfn.XLOOKUP(C4988,Table_Tarikan_Warkah[Nomor Sertipikat],Table_Tarikan_Warkah[Nomor Tiket]),"")</f>
        <v>ABCGKTYA</v>
      </c>
      <c r="E4988" s="36" t="str">
        <f t="array" ref="E4988">IFNA(_xlfn.XLOOKUP(D4988,Table_Tarikan_Warkah[Nomor Tiket],Table_Tarikan_Warkah[Tanggal diserahkan kepada Validator]),"")</f>
        <v/>
      </c>
      <c r="F4988" s="36" t="str">
        <f t="array" ref="F4988">IFNA(_xlfn.XLOOKUP(D4988,Table_Tarikan_Warkah[Nomor Tiket],Table_Tarikan_Warkah[Nama Petugas Warkah]),"")</f>
        <v/>
      </c>
      <c r="G4988" s="39" t="str">
        <f t="array" ref="G4988">IFNA(_xlfn.XLOOKUP(D4988,Table_Tarikan_Warkah[Nomor Tiket],Table_Tarikan_Warkah[Jenis Permohonan]),"")</f>
        <v>Ganti Nama</v>
      </c>
      <c r="H4988" s="41" t="s">
        <v>2315</v>
      </c>
      <c r="I4988" s="49" t="s">
        <v>23</v>
      </c>
      <c r="J4988" s="36">
        <f t="shared" si="20"/>
        <v>46079.57775</v>
      </c>
      <c r="K4988" s="69"/>
      <c r="L4988" s="49"/>
      <c r="M4988" s="36" t="str">
        <f t="shared" si="33"/>
        <v/>
      </c>
      <c r="N4988" s="30" t="str">
        <f t="shared" si="34"/>
        <v>BT atau SU Belum Valid</v>
      </c>
      <c r="O4988" s="39" t="str">
        <f t="shared" si="23"/>
        <v/>
      </c>
      <c r="P4988" s="47" t="b">
        <v>0</v>
      </c>
      <c r="Q4988" s="36" t="str">
        <f t="shared" si="35"/>
        <v/>
      </c>
      <c r="R4988" s="47" t="b">
        <v>0</v>
      </c>
      <c r="S4988" s="42" t="str">
        <f t="shared" si="28"/>
        <v/>
      </c>
      <c r="T4988" s="42"/>
    </row>
    <row r="4989" ht="22.5" customHeight="1">
      <c r="B4989" s="42">
        <f t="shared" si="7"/>
        <v>4983</v>
      </c>
      <c r="C4989" s="31" t="s">
        <v>4989</v>
      </c>
      <c r="D4989" s="34" t="str">
        <f t="array" ref="D4989">IFNA(_xlfn.XLOOKUP(C4989,Table_Tarikan_Warkah[Nomor Sertipikat],Table_Tarikan_Warkah[Nomor Tiket]),"")</f>
        <v>ABCVZQIN</v>
      </c>
      <c r="E4989" s="36" t="str">
        <f t="array" ref="E4989">IFNA(_xlfn.XLOOKUP(D4989,Table_Tarikan_Warkah[Nomor Tiket],Table_Tarikan_Warkah[Tanggal diserahkan kepada Validator]),"")</f>
        <v/>
      </c>
      <c r="F4989" s="36" t="str">
        <f t="array" ref="F4989">IFNA(_xlfn.XLOOKUP(D4989,Table_Tarikan_Warkah[Nomor Tiket],Table_Tarikan_Warkah[Nama Petugas Warkah]),"")</f>
        <v/>
      </c>
      <c r="G4989" s="39" t="str">
        <f t="array" ref="G4989">IFNA(_xlfn.XLOOKUP(D4989,Table_Tarikan_Warkah[Nomor Tiket],Table_Tarikan_Warkah[Jenis Permohonan]),"")</f>
        <v>Turun waris</v>
      </c>
      <c r="H4989" s="41" t="s">
        <v>2315</v>
      </c>
      <c r="I4989" s="49" t="s">
        <v>23</v>
      </c>
      <c r="J4989" s="36">
        <f t="shared" si="20"/>
        <v>46079.57819</v>
      </c>
      <c r="K4989" s="69"/>
      <c r="L4989" s="49"/>
      <c r="M4989" s="36" t="str">
        <f t="shared" si="33"/>
        <v/>
      </c>
      <c r="N4989" s="30" t="str">
        <f t="shared" si="34"/>
        <v>BT atau SU Belum Valid</v>
      </c>
      <c r="O4989" s="39" t="str">
        <f t="shared" si="23"/>
        <v/>
      </c>
      <c r="P4989" s="47" t="b">
        <v>0</v>
      </c>
      <c r="Q4989" s="36" t="str">
        <f t="shared" si="35"/>
        <v/>
      </c>
      <c r="R4989" s="47" t="b">
        <v>0</v>
      </c>
      <c r="S4989" s="42" t="str">
        <f t="shared" si="28"/>
        <v/>
      </c>
      <c r="T4989" s="42"/>
    </row>
    <row r="4990" ht="22.5" customHeight="1">
      <c r="B4990" s="42">
        <f t="shared" si="7"/>
        <v>4984</v>
      </c>
      <c r="C4990" s="31" t="s">
        <v>4990</v>
      </c>
      <c r="D4990" s="34" t="str">
        <f t="array" ref="D4990">IFNA(_xlfn.XLOOKUP(C4990,Table_Tarikan_Warkah[Nomor Sertipikat],Table_Tarikan_Warkah[Nomor Tiket]),"")</f>
        <v>AB026-ABKTAXJE</v>
      </c>
      <c r="E4990" s="36" t="str">
        <f t="array" ref="E4990">IFNA(_xlfn.XLOOKUP(D4990,Table_Tarikan_Warkah[Nomor Tiket],Table_Tarikan_Warkah[Tanggal diserahkan kepada Validator]),"")</f>
        <v/>
      </c>
      <c r="F4990" s="36" t="str">
        <f t="array" ref="F4990">IFNA(_xlfn.XLOOKUP(D4990,Table_Tarikan_Warkah[Nomor Tiket],Table_Tarikan_Warkah[Nama Petugas Warkah]),"")</f>
        <v/>
      </c>
      <c r="G4990" s="39" t="str">
        <f t="array" ref="G4990">IFNA(_xlfn.XLOOKUP(D4990,Table_Tarikan_Warkah[Nomor Tiket],Table_Tarikan_Warkah[Jenis Permohonan]),"")</f>
        <v>balik nama</v>
      </c>
      <c r="H4990" s="41" t="s">
        <v>2315</v>
      </c>
      <c r="I4990" s="49" t="s">
        <v>23</v>
      </c>
      <c r="J4990" s="36">
        <f t="shared" si="20"/>
        <v>46079.57849</v>
      </c>
      <c r="K4990" s="69"/>
      <c r="L4990" s="49"/>
      <c r="M4990" s="36" t="str">
        <f t="shared" si="33"/>
        <v/>
      </c>
      <c r="N4990" s="30" t="str">
        <f t="shared" si="34"/>
        <v>BT atau SU Belum Valid</v>
      </c>
      <c r="O4990" s="39" t="str">
        <f t="shared" si="23"/>
        <v/>
      </c>
      <c r="P4990" s="47" t="b">
        <v>0</v>
      </c>
      <c r="Q4990" s="36" t="str">
        <f t="shared" si="35"/>
        <v/>
      </c>
      <c r="R4990" s="47" t="b">
        <v>0</v>
      </c>
      <c r="S4990" s="42" t="str">
        <f t="shared" si="28"/>
        <v/>
      </c>
      <c r="T4990" s="42"/>
    </row>
    <row r="4991" ht="22.5" customHeight="1">
      <c r="B4991" s="42">
        <f t="shared" si="7"/>
        <v>4985</v>
      </c>
      <c r="C4991" s="31" t="s">
        <v>4991</v>
      </c>
      <c r="D4991" s="34" t="str">
        <f t="array" ref="D4991">IFNA(_xlfn.XLOOKUP(C4991,Table_Tarikan_Warkah[Nomor Sertipikat],Table_Tarikan_Warkah[Nomor Tiket]),"")</f>
        <v>ABAOQUPT</v>
      </c>
      <c r="E4991" s="36" t="str">
        <f t="array" ref="E4991">IFNA(_xlfn.XLOOKUP(D4991,Table_Tarikan_Warkah[Nomor Tiket],Table_Tarikan_Warkah[Tanggal diserahkan kepada Validator]),"")</f>
        <v/>
      </c>
      <c r="F4991" s="36" t="str">
        <f t="array" ref="F4991">IFNA(_xlfn.XLOOKUP(D4991,Table_Tarikan_Warkah[Nomor Tiket],Table_Tarikan_Warkah[Nama Petugas Warkah]),"")</f>
        <v/>
      </c>
      <c r="G4991" s="39" t="str">
        <f t="array" ref="G4991">IFNA(_xlfn.XLOOKUP(D4991,Table_Tarikan_Warkah[Nomor Tiket],Table_Tarikan_Warkah[Jenis Permohonan]),"")</f>
        <v>Bn jual beli</v>
      </c>
      <c r="H4991" s="41" t="s">
        <v>2315</v>
      </c>
      <c r="I4991" s="49" t="s">
        <v>23</v>
      </c>
      <c r="J4991" s="36">
        <f t="shared" si="20"/>
        <v>46079.57882</v>
      </c>
      <c r="K4991" s="69"/>
      <c r="L4991" s="49"/>
      <c r="M4991" s="36" t="str">
        <f t="shared" si="33"/>
        <v/>
      </c>
      <c r="N4991" s="30" t="str">
        <f t="shared" si="34"/>
        <v>BT atau SU Belum Valid</v>
      </c>
      <c r="O4991" s="39" t="str">
        <f t="shared" si="23"/>
        <v/>
      </c>
      <c r="P4991" s="47" t="b">
        <v>0</v>
      </c>
      <c r="Q4991" s="36" t="str">
        <f t="shared" si="35"/>
        <v/>
      </c>
      <c r="R4991" s="47" t="b">
        <v>0</v>
      </c>
      <c r="S4991" s="42" t="str">
        <f t="shared" si="28"/>
        <v/>
      </c>
      <c r="T4991" s="42"/>
    </row>
    <row r="4992" ht="22.5" customHeight="1">
      <c r="B4992" s="42">
        <f t="shared" si="7"/>
        <v>4986</v>
      </c>
      <c r="C4992" s="31" t="s">
        <v>4992</v>
      </c>
      <c r="D4992" s="34" t="str">
        <f t="array" ref="D4992">IFNA(_xlfn.XLOOKUP(C4992,Table_Tarikan_Warkah[Nomor Sertipikat],Table_Tarikan_Warkah[Nomor Tiket]),"")</f>
        <v>ABQOYCQX/AB042</v>
      </c>
      <c r="E4992" s="36" t="str">
        <f t="array" ref="E4992">IFNA(_xlfn.XLOOKUP(D4992,Table_Tarikan_Warkah[Nomor Tiket],Table_Tarikan_Warkah[Tanggal diserahkan kepada Validator]),"")</f>
        <v/>
      </c>
      <c r="F4992" s="36" t="str">
        <f t="array" ref="F4992">IFNA(_xlfn.XLOOKUP(D4992,Table_Tarikan_Warkah[Nomor Tiket],Table_Tarikan_Warkah[Nama Petugas Warkah]),"")</f>
        <v/>
      </c>
      <c r="G4992" s="39" t="str">
        <f t="array" ref="G4992">IFNA(_xlfn.XLOOKUP(D4992,Table_Tarikan_Warkah[Nomor Tiket],Table_Tarikan_Warkah[Jenis Permohonan]),"")</f>
        <v>Bn jual beli</v>
      </c>
      <c r="H4992" s="41" t="s">
        <v>2315</v>
      </c>
      <c r="I4992" s="49" t="s">
        <v>23</v>
      </c>
      <c r="J4992" s="36">
        <f t="shared" si="20"/>
        <v>46079.57921</v>
      </c>
      <c r="K4992" s="69"/>
      <c r="L4992" s="49"/>
      <c r="M4992" s="36" t="str">
        <f t="shared" si="33"/>
        <v/>
      </c>
      <c r="N4992" s="30" t="str">
        <f t="shared" si="34"/>
        <v>BT atau SU Belum Valid</v>
      </c>
      <c r="O4992" s="39" t="str">
        <f t="shared" si="23"/>
        <v/>
      </c>
      <c r="P4992" s="47" t="b">
        <v>0</v>
      </c>
      <c r="Q4992" s="36" t="str">
        <f t="shared" si="35"/>
        <v/>
      </c>
      <c r="R4992" s="47" t="b">
        <v>0</v>
      </c>
      <c r="S4992" s="42" t="str">
        <f t="shared" si="28"/>
        <v/>
      </c>
      <c r="T4992" s="42"/>
    </row>
    <row r="4993" ht="22.5" customHeight="1">
      <c r="B4993" s="42">
        <f t="shared" si="7"/>
        <v>4987</v>
      </c>
      <c r="C4993" s="31" t="s">
        <v>4993</v>
      </c>
      <c r="D4993" s="34" t="str">
        <f t="array" ref="D4993">IFNA(_xlfn.XLOOKUP(C4993,Table_Tarikan_Warkah[Nomor Sertipikat],Table_Tarikan_Warkah[Nomor Tiket]),"")</f>
        <v>AB089/ABWIWLAS</v>
      </c>
      <c r="E4993" s="36" t="str">
        <f t="array" ref="E4993">IFNA(_xlfn.XLOOKUP(D4993,Table_Tarikan_Warkah[Nomor Tiket],Table_Tarikan_Warkah[Tanggal diserahkan kepada Validator]),"")</f>
        <v/>
      </c>
      <c r="F4993" s="36" t="str">
        <f t="array" ref="F4993">IFNA(_xlfn.XLOOKUP(D4993,Table_Tarikan_Warkah[Nomor Tiket],Table_Tarikan_Warkah[Nama Petugas Warkah]),"")</f>
        <v/>
      </c>
      <c r="G4993" s="39" t="str">
        <f t="array" ref="G4993">IFNA(_xlfn.XLOOKUP(D4993,Table_Tarikan_Warkah[Nomor Tiket],Table_Tarikan_Warkah[Jenis Permohonan]),"")</f>
        <v>Balik Nama </v>
      </c>
      <c r="H4993" s="41" t="s">
        <v>2315</v>
      </c>
      <c r="I4993" s="49" t="s">
        <v>23</v>
      </c>
      <c r="J4993" s="36">
        <f t="shared" si="20"/>
        <v>46079.57954</v>
      </c>
      <c r="K4993" s="69"/>
      <c r="L4993" s="49"/>
      <c r="M4993" s="36" t="str">
        <f t="shared" si="33"/>
        <v/>
      </c>
      <c r="N4993" s="30" t="str">
        <f t="shared" si="34"/>
        <v>BT atau SU Belum Valid</v>
      </c>
      <c r="O4993" s="39" t="str">
        <f t="shared" si="23"/>
        <v/>
      </c>
      <c r="P4993" s="47" t="b">
        <v>0</v>
      </c>
      <c r="Q4993" s="36" t="str">
        <f t="shared" si="35"/>
        <v/>
      </c>
      <c r="R4993" s="47" t="b">
        <v>0</v>
      </c>
      <c r="S4993" s="42" t="str">
        <f t="shared" si="28"/>
        <v/>
      </c>
      <c r="T4993" s="42"/>
    </row>
    <row r="4994" ht="22.5" customHeight="1">
      <c r="B4994" s="42">
        <f t="shared" si="7"/>
        <v>4988</v>
      </c>
      <c r="C4994" s="31" t="s">
        <v>4994</v>
      </c>
      <c r="D4994" s="34" t="str">
        <f t="array" ref="D4994">IFNA(_xlfn.XLOOKUP(C4994,Table_Tarikan_Warkah[Nomor Sertipikat],Table_Tarikan_Warkah[Nomor Tiket]),"")</f>
        <v>ABETNNXK</v>
      </c>
      <c r="E4994" s="36" t="str">
        <f t="array" ref="E4994">IFNA(_xlfn.XLOOKUP(D4994,Table_Tarikan_Warkah[Nomor Tiket],Table_Tarikan_Warkah[Tanggal diserahkan kepada Validator]),"")</f>
        <v/>
      </c>
      <c r="F4994" s="36" t="str">
        <f t="array" ref="F4994">IFNA(_xlfn.XLOOKUP(D4994,Table_Tarikan_Warkah[Nomor Tiket],Table_Tarikan_Warkah[Nama Petugas Warkah]),"")</f>
        <v/>
      </c>
      <c r="G4994" s="39" t="str">
        <f t="array" ref="G4994">IFNA(_xlfn.XLOOKUP(D4994,Table_Tarikan_Warkah[Nomor Tiket],Table_Tarikan_Warkah[Jenis Permohonan]),"")</f>
        <v>BN Jual Beli</v>
      </c>
      <c r="H4994" s="41" t="s">
        <v>2315</v>
      </c>
      <c r="I4994" s="49" t="s">
        <v>23</v>
      </c>
      <c r="J4994" s="36">
        <f t="shared" si="20"/>
        <v>46079.57992</v>
      </c>
      <c r="K4994" s="69"/>
      <c r="L4994" s="49"/>
      <c r="M4994" s="36" t="str">
        <f t="shared" si="33"/>
        <v/>
      </c>
      <c r="N4994" s="30" t="str">
        <f t="shared" si="34"/>
        <v>BT atau SU Belum Valid</v>
      </c>
      <c r="O4994" s="39" t="str">
        <f t="shared" si="23"/>
        <v/>
      </c>
      <c r="P4994" s="47" t="b">
        <v>0</v>
      </c>
      <c r="Q4994" s="36" t="str">
        <f t="shared" si="35"/>
        <v/>
      </c>
      <c r="R4994" s="47" t="b">
        <v>0</v>
      </c>
      <c r="S4994" s="42" t="str">
        <f t="shared" si="28"/>
        <v/>
      </c>
      <c r="T4994" s="42"/>
    </row>
    <row r="4995" ht="22.5" customHeight="1">
      <c r="B4995" s="42">
        <f t="shared" si="7"/>
        <v>4989</v>
      </c>
      <c r="C4995" s="31" t="s">
        <v>4995</v>
      </c>
      <c r="D4995" s="34" t="str">
        <f t="array" ref="D4995">IFNA(_xlfn.XLOOKUP(C4995,Table_Tarikan_Warkah[Nomor Sertipikat],Table_Tarikan_Warkah[Nomor Tiket]),"")</f>
        <v>ABUJHLGL/AB028</v>
      </c>
      <c r="E4995" s="36" t="str">
        <f t="array" ref="E4995">IFNA(_xlfn.XLOOKUP(D4995,Table_Tarikan_Warkah[Nomor Tiket],Table_Tarikan_Warkah[Tanggal diserahkan kepada Validator]),"")</f>
        <v/>
      </c>
      <c r="F4995" s="36" t="str">
        <f t="array" ref="F4995">IFNA(_xlfn.XLOOKUP(D4995,Table_Tarikan_Warkah[Nomor Tiket],Table_Tarikan_Warkah[Nama Petugas Warkah]),"")</f>
        <v/>
      </c>
      <c r="G4995" s="39" t="str">
        <f t="array" ref="G4995">IFNA(_xlfn.XLOOKUP(D4995,Table_Tarikan_Warkah[Nomor Tiket],Table_Tarikan_Warkah[Jenis Permohonan]),"")</f>
        <v>Bn jual beli</v>
      </c>
      <c r="H4995" s="41" t="s">
        <v>2315</v>
      </c>
      <c r="I4995" s="49" t="s">
        <v>23</v>
      </c>
      <c r="J4995" s="36">
        <f t="shared" si="20"/>
        <v>46079.58024</v>
      </c>
      <c r="K4995" s="69"/>
      <c r="L4995" s="49"/>
      <c r="M4995" s="36" t="str">
        <f t="shared" si="33"/>
        <v/>
      </c>
      <c r="N4995" s="30" t="str">
        <f t="shared" si="34"/>
        <v>BT atau SU Belum Valid</v>
      </c>
      <c r="O4995" s="39" t="str">
        <f t="shared" si="23"/>
        <v/>
      </c>
      <c r="P4995" s="47" t="b">
        <v>0</v>
      </c>
      <c r="Q4995" s="36" t="str">
        <f t="shared" si="35"/>
        <v/>
      </c>
      <c r="R4995" s="47" t="b">
        <v>0</v>
      </c>
      <c r="S4995" s="42" t="str">
        <f t="shared" si="28"/>
        <v/>
      </c>
      <c r="T4995" s="42"/>
    </row>
    <row r="4996" ht="22.5" customHeight="1">
      <c r="B4996" s="42">
        <f t="shared" si="7"/>
        <v>4990</v>
      </c>
      <c r="C4996" s="31" t="s">
        <v>4996</v>
      </c>
      <c r="D4996" s="34" t="str">
        <f t="array" ref="D4996">IFNA(_xlfn.XLOOKUP(C4996,Table_Tarikan_Warkah[Nomor Sertipikat],Table_Tarikan_Warkah[Nomor Tiket]),"")</f>
        <v>ASAXGRX</v>
      </c>
      <c r="E4996" s="36" t="str">
        <f t="array" ref="E4996">IFNA(_xlfn.XLOOKUP(D4996,Table_Tarikan_Warkah[Nomor Tiket],Table_Tarikan_Warkah[Tanggal diserahkan kepada Validator]),"")</f>
        <v/>
      </c>
      <c r="F4996" s="36" t="str">
        <f t="array" ref="F4996">IFNA(_xlfn.XLOOKUP(D4996,Table_Tarikan_Warkah[Nomor Tiket],Table_Tarikan_Warkah[Nama Petugas Warkah]),"")</f>
        <v/>
      </c>
      <c r="G4996" s="39" t="str">
        <f t="array" ref="G4996">IFNA(_xlfn.XLOOKUP(D4996,Table_Tarikan_Warkah[Nomor Tiket],Table_Tarikan_Warkah[Jenis Permohonan]),"")</f>
        <v>WARIS</v>
      </c>
      <c r="H4996" s="41" t="s">
        <v>2315</v>
      </c>
      <c r="I4996" s="49" t="s">
        <v>23</v>
      </c>
      <c r="J4996" s="36">
        <f t="shared" si="20"/>
        <v>46079.65858</v>
      </c>
      <c r="K4996" s="69"/>
      <c r="L4996" s="49"/>
      <c r="M4996" s="36" t="str">
        <f t="shared" si="33"/>
        <v/>
      </c>
      <c r="N4996" s="30" t="str">
        <f t="shared" si="34"/>
        <v>BT atau SU Belum Valid</v>
      </c>
      <c r="O4996" s="39" t="str">
        <f t="shared" si="23"/>
        <v/>
      </c>
      <c r="P4996" s="47" t="b">
        <v>0</v>
      </c>
      <c r="Q4996" s="36" t="str">
        <f t="shared" si="35"/>
        <v/>
      </c>
      <c r="R4996" s="47" t="b">
        <v>0</v>
      </c>
      <c r="S4996" s="42" t="str">
        <f t="shared" si="28"/>
        <v/>
      </c>
      <c r="T4996" s="42"/>
    </row>
    <row r="4997" ht="22.5" customHeight="1">
      <c r="B4997" s="42">
        <f t="shared" si="7"/>
        <v>4991</v>
      </c>
      <c r="C4997" s="31" t="s">
        <v>4997</v>
      </c>
      <c r="D4997" s="34" t="str">
        <f t="array" ref="D4997">IFNA(_xlfn.XLOOKUP(C4997,Table_Tarikan_Warkah[Nomor Sertipikat],Table_Tarikan_Warkah[Nomor Tiket]),"")</f>
        <v>ABZRGWNQ</v>
      </c>
      <c r="E4997" s="36" t="str">
        <f t="array" ref="E4997">IFNA(_xlfn.XLOOKUP(D4997,Table_Tarikan_Warkah[Nomor Tiket],Table_Tarikan_Warkah[Tanggal diserahkan kepada Validator]),"")</f>
        <v/>
      </c>
      <c r="F4997" s="36" t="str">
        <f t="array" ref="F4997">IFNA(_xlfn.XLOOKUP(D4997,Table_Tarikan_Warkah[Nomor Tiket],Table_Tarikan_Warkah[Nama Petugas Warkah]),"")</f>
        <v/>
      </c>
      <c r="G4997" s="39" t="str">
        <f t="array" ref="G4997">IFNA(_xlfn.XLOOKUP(D4997,Table_Tarikan_Warkah[Nomor Tiket],Table_Tarikan_Warkah[Jenis Permohonan]),"")</f>
        <v>BN WARIS</v>
      </c>
      <c r="H4997" s="41" t="s">
        <v>2315</v>
      </c>
      <c r="I4997" s="49" t="s">
        <v>23</v>
      </c>
      <c r="J4997" s="36">
        <f t="shared" si="20"/>
        <v>46083.39499</v>
      </c>
      <c r="K4997" s="69"/>
      <c r="L4997" s="49"/>
      <c r="M4997" s="36" t="str">
        <f t="shared" si="33"/>
        <v/>
      </c>
      <c r="N4997" s="30" t="str">
        <f t="shared" si="34"/>
        <v>BT atau SU Belum Valid</v>
      </c>
      <c r="O4997" s="39" t="str">
        <f t="shared" si="23"/>
        <v/>
      </c>
      <c r="P4997" s="47" t="b">
        <v>0</v>
      </c>
      <c r="Q4997" s="36" t="str">
        <f t="shared" si="35"/>
        <v/>
      </c>
      <c r="R4997" s="47" t="b">
        <v>0</v>
      </c>
      <c r="S4997" s="42" t="str">
        <f t="shared" si="28"/>
        <v/>
      </c>
      <c r="T4997" s="42"/>
    </row>
    <row r="4998" ht="22.5" customHeight="1">
      <c r="B4998" s="42">
        <f t="shared" si="7"/>
        <v>4992</v>
      </c>
      <c r="C4998" s="31" t="s">
        <v>4998</v>
      </c>
      <c r="D4998" s="34" t="str">
        <f t="array" ref="D4998">IFNA(_xlfn.XLOOKUP(C4998,Table_Tarikan_Warkah[Nomor Sertipikat],Table_Tarikan_Warkah[Nomor Tiket]),"")</f>
        <v>ABMDASLL</v>
      </c>
      <c r="E4998" s="36" t="str">
        <f t="array" ref="E4998">IFNA(_xlfn.XLOOKUP(D4998,Table_Tarikan_Warkah[Nomor Tiket],Table_Tarikan_Warkah[Tanggal diserahkan kepada Validator]),"")</f>
        <v/>
      </c>
      <c r="F4998" s="36" t="str">
        <f t="array" ref="F4998">IFNA(_xlfn.XLOOKUP(D4998,Table_Tarikan_Warkah[Nomor Tiket],Table_Tarikan_Warkah[Nama Petugas Warkah]),"")</f>
        <v/>
      </c>
      <c r="G4998" s="39" t="str">
        <f t="array" ref="G4998">IFNA(_xlfn.XLOOKUP(D4998,Table_Tarikan_Warkah[Nomor Tiket],Table_Tarikan_Warkah[Jenis Permohonan]),"")</f>
        <v>BN Hibah</v>
      </c>
      <c r="H4998" s="41" t="s">
        <v>2315</v>
      </c>
      <c r="I4998" s="49" t="s">
        <v>23</v>
      </c>
      <c r="J4998" s="36">
        <f t="shared" si="20"/>
        <v>46083.3956</v>
      </c>
      <c r="K4998" s="69"/>
      <c r="L4998" s="49"/>
      <c r="M4998" s="36" t="str">
        <f t="shared" si="33"/>
        <v/>
      </c>
      <c r="N4998" s="30" t="str">
        <f t="shared" si="34"/>
        <v>BT atau SU Belum Valid</v>
      </c>
      <c r="O4998" s="39" t="str">
        <f t="shared" si="23"/>
        <v/>
      </c>
      <c r="P4998" s="47" t="b">
        <v>0</v>
      </c>
      <c r="Q4998" s="36" t="str">
        <f t="shared" si="35"/>
        <v/>
      </c>
      <c r="R4998" s="47" t="b">
        <v>0</v>
      </c>
      <c r="S4998" s="42" t="str">
        <f t="shared" si="28"/>
        <v/>
      </c>
      <c r="T4998" s="42"/>
    </row>
    <row r="4999" ht="22.5" customHeight="1">
      <c r="B4999" s="42">
        <f t="shared" si="7"/>
        <v>4993</v>
      </c>
      <c r="C4999" s="31" t="s">
        <v>4999</v>
      </c>
      <c r="D4999" s="34" t="str">
        <f t="array" ref="D4999">IFNA(_xlfn.XLOOKUP(C4999,Table_Tarikan_Warkah[Nomor Sertipikat],Table_Tarikan_Warkah[Nomor Tiket]),"")</f>
        <v>AB037/ABNUSSRU</v>
      </c>
      <c r="E4999" s="36" t="str">
        <f t="array" ref="E4999">IFNA(_xlfn.XLOOKUP(D4999,Table_Tarikan_Warkah[Nomor Tiket],Table_Tarikan_Warkah[Tanggal diserahkan kepada Validator]),"")</f>
        <v/>
      </c>
      <c r="F4999" s="36" t="str">
        <f t="array" ref="F4999">IFNA(_xlfn.XLOOKUP(D4999,Table_Tarikan_Warkah[Nomor Tiket],Table_Tarikan_Warkah[Nama Petugas Warkah]),"")</f>
        <v/>
      </c>
      <c r="G4999" s="39" t="str">
        <f t="array" ref="G4999">IFNA(_xlfn.XLOOKUP(D4999,Table_Tarikan_Warkah[Nomor Tiket],Table_Tarikan_Warkah[Jenis Permohonan]),"")</f>
        <v>Hibah</v>
      </c>
      <c r="H4999" s="41" t="s">
        <v>2315</v>
      </c>
      <c r="I4999" s="49" t="s">
        <v>23</v>
      </c>
      <c r="J4999" s="36">
        <f t="shared" si="20"/>
        <v>46083.39587</v>
      </c>
      <c r="K4999" s="69"/>
      <c r="L4999" s="49"/>
      <c r="M4999" s="36" t="str">
        <f t="shared" si="33"/>
        <v/>
      </c>
      <c r="N4999" s="30" t="str">
        <f t="shared" si="34"/>
        <v>BT atau SU Belum Valid</v>
      </c>
      <c r="O4999" s="39" t="str">
        <f t="shared" si="23"/>
        <v/>
      </c>
      <c r="P4999" s="47" t="b">
        <v>0</v>
      </c>
      <c r="Q4999" s="36" t="str">
        <f t="shared" si="35"/>
        <v/>
      </c>
      <c r="R4999" s="47" t="b">
        <v>0</v>
      </c>
      <c r="S4999" s="42" t="str">
        <f t="shared" si="28"/>
        <v/>
      </c>
      <c r="T4999" s="42"/>
    </row>
    <row r="5000" ht="22.5" customHeight="1">
      <c r="B5000" s="42">
        <f t="shared" si="7"/>
        <v>4994</v>
      </c>
      <c r="C5000" s="31" t="s">
        <v>5000</v>
      </c>
      <c r="D5000" s="34" t="str">
        <f t="array" ref="D5000">IFNA(_xlfn.XLOOKUP(C5000,Table_Tarikan_Warkah[Nomor Sertipikat],Table_Tarikan_Warkah[Nomor Tiket]),"")</f>
        <v>AB042/ABYAHHDT</v>
      </c>
      <c r="E5000" s="36" t="str">
        <f t="array" ref="E5000">IFNA(_xlfn.XLOOKUP(D5000,Table_Tarikan_Warkah[Nomor Tiket],Table_Tarikan_Warkah[Tanggal diserahkan kepada Validator]),"")</f>
        <v/>
      </c>
      <c r="F5000" s="36" t="str">
        <f t="array" ref="F5000">IFNA(_xlfn.XLOOKUP(D5000,Table_Tarikan_Warkah[Nomor Tiket],Table_Tarikan_Warkah[Nama Petugas Warkah]),"")</f>
        <v/>
      </c>
      <c r="G5000" s="39" t="str">
        <f t="array" ref="G5000">IFNA(_xlfn.XLOOKUP(D5000,Table_Tarikan_Warkah[Nomor Tiket],Table_Tarikan_Warkah[Jenis Permohonan]),"")</f>
        <v>Bn jual beli</v>
      </c>
      <c r="H5000" s="41" t="s">
        <v>2315</v>
      </c>
      <c r="I5000" s="49" t="s">
        <v>23</v>
      </c>
      <c r="J5000" s="36">
        <f t="shared" si="20"/>
        <v>46083.39606</v>
      </c>
      <c r="K5000" s="69"/>
      <c r="L5000" s="49"/>
      <c r="M5000" s="36" t="str">
        <f t="shared" si="33"/>
        <v/>
      </c>
      <c r="N5000" s="30" t="str">
        <f t="shared" si="34"/>
        <v>BT atau SU Belum Valid</v>
      </c>
      <c r="O5000" s="39" t="str">
        <f t="shared" si="23"/>
        <v/>
      </c>
      <c r="P5000" s="47" t="b">
        <v>0</v>
      </c>
      <c r="Q5000" s="36" t="str">
        <f t="shared" si="35"/>
        <v/>
      </c>
      <c r="R5000" s="47" t="b">
        <v>0</v>
      </c>
      <c r="S5000" s="42" t="str">
        <f t="shared" si="28"/>
        <v/>
      </c>
      <c r="T5000" s="42"/>
    </row>
    <row r="5001" ht="22.5" customHeight="1">
      <c r="B5001" s="42">
        <f t="shared" si="7"/>
        <v>4995</v>
      </c>
      <c r="C5001" s="31" t="s">
        <v>5001</v>
      </c>
      <c r="D5001" s="34" t="str">
        <f t="array" ref="D5001">IFNA(_xlfn.XLOOKUP(C5001,Table_Tarikan_Warkah[Nomor Sertipikat],Table_Tarikan_Warkah[Nomor Tiket]),"")</f>
        <v>ABQXLASF/Ab013</v>
      </c>
      <c r="E5001" s="36" t="str">
        <f t="array" ref="E5001">IFNA(_xlfn.XLOOKUP(D5001,Table_Tarikan_Warkah[Nomor Tiket],Table_Tarikan_Warkah[Tanggal diserahkan kepada Validator]),"")</f>
        <v/>
      </c>
      <c r="F5001" s="36" t="str">
        <f t="array" ref="F5001">IFNA(_xlfn.XLOOKUP(D5001,Table_Tarikan_Warkah[Nomor Tiket],Table_Tarikan_Warkah[Nama Petugas Warkah]),"")</f>
        <v/>
      </c>
      <c r="G5001" s="39" t="str">
        <f t="array" ref="G5001">IFNA(_xlfn.XLOOKUP(D5001,Table_Tarikan_Warkah[Nomor Tiket],Table_Tarikan_Warkah[Jenis Permohonan]),"")</f>
        <v>Bn jual beli</v>
      </c>
      <c r="H5001" s="41" t="s">
        <v>2315</v>
      </c>
      <c r="I5001" s="49" t="s">
        <v>23</v>
      </c>
      <c r="J5001" s="36">
        <f t="shared" si="20"/>
        <v>46083.39683</v>
      </c>
      <c r="K5001" s="69"/>
      <c r="L5001" s="49"/>
      <c r="M5001" s="36" t="str">
        <f t="shared" si="33"/>
        <v/>
      </c>
      <c r="N5001" s="30" t="str">
        <f t="shared" si="34"/>
        <v>BT atau SU Belum Valid</v>
      </c>
      <c r="O5001" s="39" t="str">
        <f t="shared" si="23"/>
        <v/>
      </c>
      <c r="P5001" s="47" t="b">
        <v>0</v>
      </c>
      <c r="Q5001" s="36" t="str">
        <f t="shared" si="35"/>
        <v/>
      </c>
      <c r="R5001" s="47" t="b">
        <v>0</v>
      </c>
      <c r="S5001" s="42" t="str">
        <f t="shared" si="28"/>
        <v/>
      </c>
      <c r="T5001" s="42"/>
    </row>
    <row r="5002" ht="22.5" customHeight="1">
      <c r="B5002" s="42">
        <f t="shared" si="7"/>
        <v>4996</v>
      </c>
      <c r="C5002" s="31" t="s">
        <v>5002</v>
      </c>
      <c r="D5002" s="34" t="str">
        <f t="array" ref="D5002">IFNA(_xlfn.XLOOKUP(C5002,Table_Tarikan_Warkah[Nomor Sertipikat],Table_Tarikan_Warkah[Nomor Tiket]),"")</f>
        <v>ABUMWIMK/AB042</v>
      </c>
      <c r="E5002" s="36" t="str">
        <f t="array" ref="E5002">IFNA(_xlfn.XLOOKUP(D5002,Table_Tarikan_Warkah[Nomor Tiket],Table_Tarikan_Warkah[Tanggal diserahkan kepada Validator]),"")</f>
        <v/>
      </c>
      <c r="F5002" s="36" t="str">
        <f t="array" ref="F5002">IFNA(_xlfn.XLOOKUP(D5002,Table_Tarikan_Warkah[Nomor Tiket],Table_Tarikan_Warkah[Nama Petugas Warkah]),"")</f>
        <v/>
      </c>
      <c r="G5002" s="39" t="str">
        <f t="array" ref="G5002">IFNA(_xlfn.XLOOKUP(D5002,Table_Tarikan_Warkah[Nomor Tiket],Table_Tarikan_Warkah[Jenis Permohonan]),"")</f>
        <v>BN Hibah</v>
      </c>
      <c r="H5002" s="41" t="s">
        <v>2315</v>
      </c>
      <c r="I5002" s="49" t="s">
        <v>23</v>
      </c>
      <c r="J5002" s="36">
        <f t="shared" si="20"/>
        <v>46083.39721</v>
      </c>
      <c r="K5002" s="69"/>
      <c r="L5002" s="49"/>
      <c r="M5002" s="36" t="str">
        <f t="shared" si="33"/>
        <v/>
      </c>
      <c r="N5002" s="30" t="str">
        <f t="shared" si="34"/>
        <v>BT atau SU Belum Valid</v>
      </c>
      <c r="O5002" s="39" t="str">
        <f t="shared" si="23"/>
        <v/>
      </c>
      <c r="P5002" s="47" t="b">
        <v>0</v>
      </c>
      <c r="Q5002" s="36" t="str">
        <f t="shared" si="35"/>
        <v/>
      </c>
      <c r="R5002" s="47" t="b">
        <v>0</v>
      </c>
      <c r="S5002" s="42" t="str">
        <f t="shared" si="28"/>
        <v/>
      </c>
      <c r="T5002" s="42"/>
    </row>
    <row r="5003" ht="22.5" customHeight="1">
      <c r="B5003" s="42">
        <f t="shared" si="7"/>
        <v>4997</v>
      </c>
      <c r="C5003" s="31" t="s">
        <v>5003</v>
      </c>
      <c r="D5003" s="34" t="str">
        <f t="array" ref="D5003">IFNA(_xlfn.XLOOKUP(C5003,Table_Tarikan_Warkah[Nomor Sertipikat],Table_Tarikan_Warkah[Nomor Tiket]),"")</f>
        <v>ABFQPXFI/AB030</v>
      </c>
      <c r="E5003" s="36" t="str">
        <f t="array" ref="E5003">IFNA(_xlfn.XLOOKUP(D5003,Table_Tarikan_Warkah[Nomor Tiket],Table_Tarikan_Warkah[Tanggal diserahkan kepada Validator]),"")</f>
        <v/>
      </c>
      <c r="F5003" s="36" t="str">
        <f t="array" ref="F5003">IFNA(_xlfn.XLOOKUP(D5003,Table_Tarikan_Warkah[Nomor Tiket],Table_Tarikan_Warkah[Nama Petugas Warkah]),"")</f>
        <v/>
      </c>
      <c r="G5003" s="39" t="str">
        <f t="array" ref="G5003">IFNA(_xlfn.XLOOKUP(D5003,Table_Tarikan_Warkah[Nomor Tiket],Table_Tarikan_Warkah[Jenis Permohonan]),"")</f>
        <v>Balik Nama </v>
      </c>
      <c r="H5003" s="41" t="s">
        <v>2315</v>
      </c>
      <c r="I5003" s="49" t="s">
        <v>23</v>
      </c>
      <c r="J5003" s="36">
        <f t="shared" si="20"/>
        <v>46083.39747</v>
      </c>
      <c r="K5003" s="69"/>
      <c r="L5003" s="49"/>
      <c r="M5003" s="36" t="str">
        <f t="shared" si="33"/>
        <v/>
      </c>
      <c r="N5003" s="30" t="str">
        <f t="shared" si="34"/>
        <v>BT atau SU Belum Valid</v>
      </c>
      <c r="O5003" s="39" t="str">
        <f t="shared" si="23"/>
        <v/>
      </c>
      <c r="P5003" s="47" t="b">
        <v>0</v>
      </c>
      <c r="Q5003" s="36" t="str">
        <f t="shared" si="35"/>
        <v/>
      </c>
      <c r="R5003" s="47" t="b">
        <v>0</v>
      </c>
      <c r="S5003" s="42" t="str">
        <f t="shared" si="28"/>
        <v/>
      </c>
      <c r="T5003" s="42"/>
    </row>
    <row r="5004" ht="22.5" customHeight="1">
      <c r="B5004" s="42">
        <f t="shared" si="7"/>
        <v>4998</v>
      </c>
      <c r="C5004" s="31" t="s">
        <v>5004</v>
      </c>
      <c r="D5004" s="34" t="str">
        <f t="array" ref="D5004">IFNA(_xlfn.XLOOKUP(C5004,Table_Tarikan_Warkah[Nomor Sertipikat],Table_Tarikan_Warkah[Nomor Tiket]),"")</f>
        <v>AB076</v>
      </c>
      <c r="E5004" s="36" t="str">
        <f t="array" ref="E5004">IFNA(_xlfn.XLOOKUP(D5004,Table_Tarikan_Warkah[Nomor Tiket],Table_Tarikan_Warkah[Tanggal diserahkan kepada Validator]),"")</f>
        <v/>
      </c>
      <c r="F5004" s="36" t="str">
        <f t="array" ref="F5004">IFNA(_xlfn.XLOOKUP(D5004,Table_Tarikan_Warkah[Nomor Tiket],Table_Tarikan_Warkah[Nama Petugas Warkah]),"")</f>
        <v/>
      </c>
      <c r="G5004" s="39" t="str">
        <f t="array" ref="G5004">IFNA(_xlfn.XLOOKUP(D5004,Table_Tarikan_Warkah[Nomor Tiket],Table_Tarikan_Warkah[Jenis Permohonan]),"")</f>
        <v>BALIK NAMA</v>
      </c>
      <c r="H5004" s="41" t="s">
        <v>2315</v>
      </c>
      <c r="I5004" s="49" t="s">
        <v>23</v>
      </c>
      <c r="J5004" s="36">
        <f t="shared" si="20"/>
        <v>46083.39771</v>
      </c>
      <c r="K5004" s="69"/>
      <c r="L5004" s="49"/>
      <c r="M5004" s="36" t="str">
        <f t="shared" si="33"/>
        <v/>
      </c>
      <c r="N5004" s="30" t="str">
        <f t="shared" si="34"/>
        <v>BT atau SU Belum Valid</v>
      </c>
      <c r="O5004" s="39" t="str">
        <f t="shared" si="23"/>
        <v/>
      </c>
      <c r="P5004" s="47" t="b">
        <v>0</v>
      </c>
      <c r="Q5004" s="36" t="str">
        <f t="shared" si="35"/>
        <v/>
      </c>
      <c r="R5004" s="47" t="b">
        <v>0</v>
      </c>
      <c r="S5004" s="42" t="str">
        <f t="shared" si="28"/>
        <v/>
      </c>
      <c r="T5004" s="42"/>
    </row>
    <row r="5005" ht="22.5" customHeight="1">
      <c r="B5005" s="42">
        <f t="shared" si="7"/>
        <v>4999</v>
      </c>
      <c r="C5005" s="31" t="s">
        <v>5005</v>
      </c>
      <c r="D5005" s="34" t="str">
        <f t="array" ref="D5005">IFNA(_xlfn.XLOOKUP(C5005,Table_Tarikan_Warkah[Nomor Sertipikat],Table_Tarikan_Warkah[Nomor Tiket]),"")</f>
        <v>AB029/ABMWYGTK</v>
      </c>
      <c r="E5005" s="36" t="str">
        <f t="array" ref="E5005">IFNA(_xlfn.XLOOKUP(D5005,Table_Tarikan_Warkah[Nomor Tiket],Table_Tarikan_Warkah[Tanggal diserahkan kepada Validator]),"")</f>
        <v/>
      </c>
      <c r="F5005" s="36" t="str">
        <f t="array" ref="F5005">IFNA(_xlfn.XLOOKUP(D5005,Table_Tarikan_Warkah[Nomor Tiket],Table_Tarikan_Warkah[Nama Petugas Warkah]),"")</f>
        <v/>
      </c>
      <c r="G5005" s="39" t="str">
        <f t="array" ref="G5005">IFNA(_xlfn.XLOOKUP(D5005,Table_Tarikan_Warkah[Nomor Tiket],Table_Tarikan_Warkah[Jenis Permohonan]),"")</f>
        <v>Baliknama ajb</v>
      </c>
      <c r="H5005" s="41" t="s">
        <v>2315</v>
      </c>
      <c r="I5005" s="49" t="s">
        <v>23</v>
      </c>
      <c r="J5005" s="36">
        <f t="shared" si="20"/>
        <v>46083.39791</v>
      </c>
      <c r="K5005" s="69"/>
      <c r="L5005" s="49"/>
      <c r="M5005" s="36" t="str">
        <f t="shared" si="33"/>
        <v/>
      </c>
      <c r="N5005" s="30" t="str">
        <f t="shared" si="34"/>
        <v>BT atau SU Belum Valid</v>
      </c>
      <c r="O5005" s="39" t="str">
        <f t="shared" si="23"/>
        <v/>
      </c>
      <c r="P5005" s="47" t="b">
        <v>0</v>
      </c>
      <c r="Q5005" s="36" t="str">
        <f t="shared" si="35"/>
        <v/>
      </c>
      <c r="R5005" s="47" t="b">
        <v>0</v>
      </c>
      <c r="S5005" s="42" t="str">
        <f t="shared" si="28"/>
        <v/>
      </c>
      <c r="T5005" s="42"/>
    </row>
    <row r="5006" ht="22.5" customHeight="1">
      <c r="B5006" s="42">
        <f t="shared" si="7"/>
        <v>5000</v>
      </c>
      <c r="C5006" s="31" t="s">
        <v>5006</v>
      </c>
      <c r="D5006" s="34" t="str">
        <f t="array" ref="D5006">IFNA(_xlfn.XLOOKUP(C5006,Table_Tarikan_Warkah[Nomor Sertipikat],Table_Tarikan_Warkah[Nomor Tiket]),"")</f>
        <v>AB055/ABTTVBCV</v>
      </c>
      <c r="E5006" s="36" t="str">
        <f t="array" ref="E5006">IFNA(_xlfn.XLOOKUP(D5006,Table_Tarikan_Warkah[Nomor Tiket],Table_Tarikan_Warkah[Tanggal diserahkan kepada Validator]),"")</f>
        <v/>
      </c>
      <c r="F5006" s="36" t="str">
        <f t="array" ref="F5006">IFNA(_xlfn.XLOOKUP(D5006,Table_Tarikan_Warkah[Nomor Tiket],Table_Tarikan_Warkah[Nama Petugas Warkah]),"")</f>
        <v/>
      </c>
      <c r="G5006" s="39" t="str">
        <f t="array" ref="G5006">IFNA(_xlfn.XLOOKUP(D5006,Table_Tarikan_Warkah[Nomor Tiket],Table_Tarikan_Warkah[Jenis Permohonan]),"")</f>
        <v>BALIK NAMA</v>
      </c>
      <c r="H5006" s="41" t="s">
        <v>2315</v>
      </c>
      <c r="I5006" s="49" t="s">
        <v>23</v>
      </c>
      <c r="J5006" s="36">
        <f t="shared" si="20"/>
        <v>46083.39808</v>
      </c>
      <c r="K5006" s="69"/>
      <c r="L5006" s="49"/>
      <c r="M5006" s="36" t="str">
        <f t="shared" si="33"/>
        <v/>
      </c>
      <c r="N5006" s="30" t="str">
        <f t="shared" si="34"/>
        <v>BT atau SU Belum Valid</v>
      </c>
      <c r="O5006" s="39" t="str">
        <f t="shared" si="23"/>
        <v/>
      </c>
      <c r="P5006" s="47" t="b">
        <v>0</v>
      </c>
      <c r="Q5006" s="36" t="str">
        <f t="shared" si="35"/>
        <v/>
      </c>
      <c r="R5006" s="47" t="b">
        <v>0</v>
      </c>
      <c r="S5006" s="42" t="str">
        <f t="shared" si="28"/>
        <v/>
      </c>
      <c r="T5006" s="42"/>
    </row>
    <row r="5007" ht="22.5" customHeight="1">
      <c r="B5007" s="42">
        <f t="shared" si="7"/>
        <v>5001</v>
      </c>
      <c r="C5007" s="31" t="s">
        <v>5007</v>
      </c>
      <c r="D5007" s="34" t="str">
        <f t="array" ref="D5007">IFNA(_xlfn.XLOOKUP(C5007,Table_Tarikan_Warkah[Nomor Sertipikat],Table_Tarikan_Warkah[Nomor Tiket]),"")</f>
        <v>Abqntauk</v>
      </c>
      <c r="E5007" s="36" t="str">
        <f t="array" ref="E5007">IFNA(_xlfn.XLOOKUP(D5007,Table_Tarikan_Warkah[Nomor Tiket],Table_Tarikan_Warkah[Tanggal diserahkan kepada Validator]),"")</f>
        <v/>
      </c>
      <c r="F5007" s="36" t="str">
        <f t="array" ref="F5007">IFNA(_xlfn.XLOOKUP(D5007,Table_Tarikan_Warkah[Nomor Tiket],Table_Tarikan_Warkah[Nama Petugas Warkah]),"")</f>
        <v/>
      </c>
      <c r="G5007" s="39" t="str">
        <f t="array" ref="G5007">IFNA(_xlfn.XLOOKUP(D5007,Table_Tarikan_Warkah[Nomor Tiket],Table_Tarikan_Warkah[Jenis Permohonan]),"")</f>
        <v>Bn</v>
      </c>
      <c r="H5007" s="41" t="s">
        <v>2315</v>
      </c>
      <c r="I5007" s="49" t="s">
        <v>23</v>
      </c>
      <c r="J5007" s="36">
        <f t="shared" si="20"/>
        <v>46083.39826</v>
      </c>
      <c r="K5007" s="69"/>
      <c r="L5007" s="49"/>
      <c r="M5007" s="36" t="str">
        <f t="shared" si="33"/>
        <v/>
      </c>
      <c r="N5007" s="30" t="str">
        <f t="shared" si="34"/>
        <v>BT atau SU Belum Valid</v>
      </c>
      <c r="O5007" s="39" t="str">
        <f t="shared" si="23"/>
        <v/>
      </c>
      <c r="P5007" s="47" t="b">
        <v>0</v>
      </c>
      <c r="Q5007" s="36" t="str">
        <f t="shared" si="35"/>
        <v/>
      </c>
      <c r="R5007" s="47" t="b">
        <v>0</v>
      </c>
      <c r="S5007" s="42" t="str">
        <f t="shared" si="28"/>
        <v/>
      </c>
      <c r="T5007" s="42"/>
    </row>
    <row r="5008" ht="22.5" customHeight="1">
      <c r="B5008" s="42">
        <f t="shared" si="7"/>
        <v>5002</v>
      </c>
      <c r="C5008" s="31" t="s">
        <v>5008</v>
      </c>
      <c r="D5008" s="34" t="str">
        <f t="array" ref="D5008">IFNA(_xlfn.XLOOKUP(C5008,Table_Tarikan_Warkah[Nomor Sertipikat],Table_Tarikan_Warkah[Nomor Tiket]),"")</f>
        <v>Abtmgcbo</v>
      </c>
      <c r="E5008" s="36" t="str">
        <f t="array" ref="E5008">IFNA(_xlfn.XLOOKUP(D5008,Table_Tarikan_Warkah[Nomor Tiket],Table_Tarikan_Warkah[Tanggal diserahkan kepada Validator]),"")</f>
        <v/>
      </c>
      <c r="F5008" s="36" t="str">
        <f t="array" ref="F5008">IFNA(_xlfn.XLOOKUP(D5008,Table_Tarikan_Warkah[Nomor Tiket],Table_Tarikan_Warkah[Nama Petugas Warkah]),"")</f>
        <v/>
      </c>
      <c r="G5008" s="39" t="str">
        <f t="array" ref="G5008">IFNA(_xlfn.XLOOKUP(D5008,Table_Tarikan_Warkah[Nomor Tiket],Table_Tarikan_Warkah[Jenis Permohonan]),"")</f>
        <v>Balik nama</v>
      </c>
      <c r="H5008" s="41" t="s">
        <v>2315</v>
      </c>
      <c r="I5008" s="49" t="s">
        <v>23</v>
      </c>
      <c r="J5008" s="36">
        <f t="shared" si="20"/>
        <v>46083.39856</v>
      </c>
      <c r="K5008" s="69"/>
      <c r="L5008" s="49"/>
      <c r="M5008" s="36" t="str">
        <f t="shared" si="33"/>
        <v/>
      </c>
      <c r="N5008" s="30" t="str">
        <f t="shared" si="34"/>
        <v>BT atau SU Belum Valid</v>
      </c>
      <c r="O5008" s="39" t="str">
        <f t="shared" si="23"/>
        <v/>
      </c>
      <c r="P5008" s="47" t="b">
        <v>0</v>
      </c>
      <c r="Q5008" s="36" t="str">
        <f t="shared" si="35"/>
        <v/>
      </c>
      <c r="R5008" s="47" t="b">
        <v>0</v>
      </c>
      <c r="S5008" s="42" t="str">
        <f t="shared" si="28"/>
        <v/>
      </c>
      <c r="T5008" s="42"/>
    </row>
    <row r="5009" ht="22.5" customHeight="1">
      <c r="B5009" s="42">
        <f t="shared" si="7"/>
        <v>5003</v>
      </c>
      <c r="C5009" s="31" t="s">
        <v>4991</v>
      </c>
      <c r="D5009" s="34" t="str">
        <f t="array" ref="D5009">IFNA(_xlfn.XLOOKUP(C5009,Table_Tarikan_Warkah[Nomor Sertipikat],Table_Tarikan_Warkah[Nomor Tiket]),"")</f>
        <v>ABAOQUPT</v>
      </c>
      <c r="E5009" s="36" t="str">
        <f t="array" ref="E5009">IFNA(_xlfn.XLOOKUP(D5009,Table_Tarikan_Warkah[Nomor Tiket],Table_Tarikan_Warkah[Tanggal diserahkan kepada Validator]),"")</f>
        <v/>
      </c>
      <c r="F5009" s="36" t="str">
        <f t="array" ref="F5009">IFNA(_xlfn.XLOOKUP(D5009,Table_Tarikan_Warkah[Nomor Tiket],Table_Tarikan_Warkah[Nama Petugas Warkah]),"")</f>
        <v/>
      </c>
      <c r="G5009" s="39" t="str">
        <f t="array" ref="G5009">IFNA(_xlfn.XLOOKUP(D5009,Table_Tarikan_Warkah[Nomor Tiket],Table_Tarikan_Warkah[Jenis Permohonan]),"")</f>
        <v>Bn jual beli</v>
      </c>
      <c r="H5009" s="41" t="s">
        <v>2315</v>
      </c>
      <c r="I5009" s="49" t="s">
        <v>23</v>
      </c>
      <c r="J5009" s="36">
        <f t="shared" si="20"/>
        <v>46083.3987</v>
      </c>
      <c r="K5009" s="69"/>
      <c r="L5009" s="49"/>
      <c r="M5009" s="36" t="str">
        <f t="shared" si="33"/>
        <v/>
      </c>
      <c r="N5009" s="30" t="str">
        <f t="shared" si="34"/>
        <v>BT atau SU Belum Valid</v>
      </c>
      <c r="O5009" s="39" t="str">
        <f t="shared" si="23"/>
        <v/>
      </c>
      <c r="P5009" s="47" t="b">
        <v>0</v>
      </c>
      <c r="Q5009" s="36" t="str">
        <f t="shared" si="35"/>
        <v/>
      </c>
      <c r="R5009" s="47" t="b">
        <v>0</v>
      </c>
      <c r="S5009" s="42" t="str">
        <f t="shared" si="28"/>
        <v/>
      </c>
      <c r="T5009" s="42"/>
    </row>
    <row r="5010" ht="22.5" customHeight="1">
      <c r="B5010" s="42">
        <f t="shared" si="7"/>
        <v>5004</v>
      </c>
      <c r="C5010" s="31" t="s">
        <v>4992</v>
      </c>
      <c r="D5010" s="34" t="str">
        <f t="array" ref="D5010">IFNA(_xlfn.XLOOKUP(C5010,Table_Tarikan_Warkah[Nomor Sertipikat],Table_Tarikan_Warkah[Nomor Tiket]),"")</f>
        <v>ABQOYCQX/AB042</v>
      </c>
      <c r="E5010" s="36" t="str">
        <f t="array" ref="E5010">IFNA(_xlfn.XLOOKUP(D5010,Table_Tarikan_Warkah[Nomor Tiket],Table_Tarikan_Warkah[Tanggal diserahkan kepada Validator]),"")</f>
        <v/>
      </c>
      <c r="F5010" s="36" t="str">
        <f t="array" ref="F5010">IFNA(_xlfn.XLOOKUP(D5010,Table_Tarikan_Warkah[Nomor Tiket],Table_Tarikan_Warkah[Nama Petugas Warkah]),"")</f>
        <v/>
      </c>
      <c r="G5010" s="39" t="str">
        <f t="array" ref="G5010">IFNA(_xlfn.XLOOKUP(D5010,Table_Tarikan_Warkah[Nomor Tiket],Table_Tarikan_Warkah[Jenis Permohonan]),"")</f>
        <v>Bn jual beli</v>
      </c>
      <c r="H5010" s="41" t="s">
        <v>2315</v>
      </c>
      <c r="I5010" s="49" t="s">
        <v>23</v>
      </c>
      <c r="J5010" s="36">
        <f t="shared" si="20"/>
        <v>46083.39893</v>
      </c>
      <c r="K5010" s="69"/>
      <c r="L5010" s="49"/>
      <c r="M5010" s="36" t="str">
        <f t="shared" si="33"/>
        <v/>
      </c>
      <c r="N5010" s="30" t="str">
        <f t="shared" si="34"/>
        <v>BT atau SU Belum Valid</v>
      </c>
      <c r="O5010" s="39" t="str">
        <f t="shared" si="23"/>
        <v/>
      </c>
      <c r="P5010" s="47" t="b">
        <v>0</v>
      </c>
      <c r="Q5010" s="36" t="str">
        <f t="shared" si="35"/>
        <v/>
      </c>
      <c r="R5010" s="47" t="b">
        <v>0</v>
      </c>
      <c r="S5010" s="42" t="str">
        <f t="shared" si="28"/>
        <v/>
      </c>
      <c r="T5010" s="42"/>
    </row>
    <row r="5011" ht="22.5" customHeight="1">
      <c r="B5011" s="42">
        <f t="shared" si="7"/>
        <v>5005</v>
      </c>
      <c r="C5011" s="31" t="s">
        <v>5009</v>
      </c>
      <c r="D5011" s="34" t="str">
        <f t="array" ref="D5011">IFNA(_xlfn.XLOOKUP(C5011,Table_Tarikan_Warkah[Nomor Sertipikat],Table_Tarikan_Warkah[Nomor Tiket]),"")</f>
        <v>ABLCYCPH/AB049</v>
      </c>
      <c r="E5011" s="36" t="str">
        <f t="array" ref="E5011">IFNA(_xlfn.XLOOKUP(D5011,Table_Tarikan_Warkah[Nomor Tiket],Table_Tarikan_Warkah[Tanggal diserahkan kepada Validator]),"")</f>
        <v/>
      </c>
      <c r="F5011" s="36" t="str">
        <f t="array" ref="F5011">IFNA(_xlfn.XLOOKUP(D5011,Table_Tarikan_Warkah[Nomor Tiket],Table_Tarikan_Warkah[Nama Petugas Warkah]),"")</f>
        <v/>
      </c>
      <c r="G5011" s="39" t="str">
        <f t="array" ref="G5011">IFNA(_xlfn.XLOOKUP(D5011,Table_Tarikan_Warkah[Nomor Tiket],Table_Tarikan_Warkah[Jenis Permohonan]),"")</f>
        <v>BN Jual Beli</v>
      </c>
      <c r="H5011" s="41" t="s">
        <v>2315</v>
      </c>
      <c r="I5011" s="49" t="s">
        <v>23</v>
      </c>
      <c r="J5011" s="36">
        <f t="shared" si="20"/>
        <v>46083.3992</v>
      </c>
      <c r="K5011" s="69"/>
      <c r="L5011" s="49"/>
      <c r="M5011" s="36" t="str">
        <f t="shared" si="33"/>
        <v/>
      </c>
      <c r="N5011" s="30" t="str">
        <f t="shared" si="34"/>
        <v>BT atau SU Belum Valid</v>
      </c>
      <c r="O5011" s="39" t="str">
        <f t="shared" si="23"/>
        <v/>
      </c>
      <c r="P5011" s="47" t="b">
        <v>0</v>
      </c>
      <c r="Q5011" s="36" t="str">
        <f t="shared" si="35"/>
        <v/>
      </c>
      <c r="R5011" s="47" t="b">
        <v>0</v>
      </c>
      <c r="S5011" s="42" t="str">
        <f t="shared" si="28"/>
        <v/>
      </c>
      <c r="T5011" s="42"/>
    </row>
    <row r="5012" ht="22.5" customHeight="1">
      <c r="B5012" s="42">
        <f t="shared" si="7"/>
        <v>5006</v>
      </c>
      <c r="C5012" s="31" t="s">
        <v>5010</v>
      </c>
      <c r="D5012" s="34" t="str">
        <f t="array" ref="D5012">IFNA(_xlfn.XLOOKUP(C5012,Table_Tarikan_Warkah[Nomor Sertipikat],Table_Tarikan_Warkah[Nomor Tiket]),"")</f>
        <v>ABZSROLB/AB034</v>
      </c>
      <c r="E5012" s="36" t="str">
        <f t="array" ref="E5012">IFNA(_xlfn.XLOOKUP(D5012,Table_Tarikan_Warkah[Nomor Tiket],Table_Tarikan_Warkah[Tanggal diserahkan kepada Validator]),"")</f>
        <v/>
      </c>
      <c r="F5012" s="36" t="str">
        <f t="array" ref="F5012">IFNA(_xlfn.XLOOKUP(D5012,Table_Tarikan_Warkah[Nomor Tiket],Table_Tarikan_Warkah[Nama Petugas Warkah]),"")</f>
        <v/>
      </c>
      <c r="G5012" s="39" t="str">
        <f t="array" ref="G5012">IFNA(_xlfn.XLOOKUP(D5012,Table_Tarikan_Warkah[Nomor Tiket],Table_Tarikan_Warkah[Jenis Permohonan]),"")</f>
        <v>Bn jual beli</v>
      </c>
      <c r="H5012" s="41" t="s">
        <v>2315</v>
      </c>
      <c r="I5012" s="49" t="s">
        <v>23</v>
      </c>
      <c r="J5012" s="36">
        <f t="shared" si="20"/>
        <v>46083.3994</v>
      </c>
      <c r="K5012" s="69"/>
      <c r="L5012" s="49"/>
      <c r="M5012" s="36" t="str">
        <f t="shared" si="33"/>
        <v/>
      </c>
      <c r="N5012" s="30" t="str">
        <f t="shared" si="34"/>
        <v>BT atau SU Belum Valid</v>
      </c>
      <c r="O5012" s="39" t="str">
        <f t="shared" si="23"/>
        <v/>
      </c>
      <c r="P5012" s="47" t="b">
        <v>0</v>
      </c>
      <c r="Q5012" s="36" t="str">
        <f t="shared" si="35"/>
        <v/>
      </c>
      <c r="R5012" s="47" t="b">
        <v>0</v>
      </c>
      <c r="S5012" s="42" t="str">
        <f t="shared" si="28"/>
        <v/>
      </c>
      <c r="T5012" s="42"/>
    </row>
    <row r="5013" ht="22.5" customHeight="1">
      <c r="B5013" s="42">
        <f t="shared" si="7"/>
        <v>5007</v>
      </c>
      <c r="C5013" s="31" t="s">
        <v>5011</v>
      </c>
      <c r="D5013" s="34" t="str">
        <f t="array" ref="D5013">IFNA(_xlfn.XLOOKUP(C5013,Table_Tarikan_Warkah[Nomor Sertipikat],Table_Tarikan_Warkah[Nomor Tiket]),"")</f>
        <v>ABWSUHGH/AB086</v>
      </c>
      <c r="E5013" s="36" t="str">
        <f t="array" ref="E5013">IFNA(_xlfn.XLOOKUP(D5013,Table_Tarikan_Warkah[Nomor Tiket],Table_Tarikan_Warkah[Tanggal diserahkan kepada Validator]),"")</f>
        <v/>
      </c>
      <c r="F5013" s="36" t="str">
        <f t="array" ref="F5013">IFNA(_xlfn.XLOOKUP(D5013,Table_Tarikan_Warkah[Nomor Tiket],Table_Tarikan_Warkah[Nama Petugas Warkah]),"")</f>
        <v/>
      </c>
      <c r="G5013" s="39" t="str">
        <f t="array" ref="G5013">IFNA(_xlfn.XLOOKUP(D5013,Table_Tarikan_Warkah[Nomor Tiket],Table_Tarikan_Warkah[Jenis Permohonan]),"")</f>
        <v>Bn jual beli</v>
      </c>
      <c r="H5013" s="41" t="s">
        <v>2315</v>
      </c>
      <c r="I5013" s="49" t="s">
        <v>23</v>
      </c>
      <c r="J5013" s="36">
        <f t="shared" si="20"/>
        <v>46083.39964</v>
      </c>
      <c r="K5013" s="69"/>
      <c r="L5013" s="49"/>
      <c r="M5013" s="36" t="str">
        <f t="shared" si="33"/>
        <v/>
      </c>
      <c r="N5013" s="30" t="str">
        <f t="shared" si="34"/>
        <v>BT atau SU Belum Valid</v>
      </c>
      <c r="O5013" s="39" t="str">
        <f t="shared" si="23"/>
        <v/>
      </c>
      <c r="P5013" s="47" t="b">
        <v>0</v>
      </c>
      <c r="Q5013" s="36" t="str">
        <f t="shared" si="35"/>
        <v/>
      </c>
      <c r="R5013" s="47" t="b">
        <v>0</v>
      </c>
      <c r="S5013" s="42" t="str">
        <f t="shared" si="28"/>
        <v/>
      </c>
      <c r="T5013" s="42"/>
    </row>
    <row r="5014" ht="22.5" customHeight="1">
      <c r="B5014" s="42">
        <f t="shared" si="7"/>
        <v>5008</v>
      </c>
      <c r="C5014" s="31" t="s">
        <v>5012</v>
      </c>
      <c r="D5014" s="34" t="str">
        <f t="array" ref="D5014">IFNA(_xlfn.XLOOKUP(C5014,Table_Tarikan_Warkah[Nomor Sertipikat],Table_Tarikan_Warkah[Nomor Tiket]),"")</f>
        <v>ABTUBXAF/AB062</v>
      </c>
      <c r="E5014" s="36" t="str">
        <f t="array" ref="E5014">IFNA(_xlfn.XLOOKUP(D5014,Table_Tarikan_Warkah[Nomor Tiket],Table_Tarikan_Warkah[Tanggal diserahkan kepada Validator]),"")</f>
        <v/>
      </c>
      <c r="F5014" s="36" t="str">
        <f t="array" ref="F5014">IFNA(_xlfn.XLOOKUP(D5014,Table_Tarikan_Warkah[Nomor Tiket],Table_Tarikan_Warkah[Nama Petugas Warkah]),"")</f>
        <v/>
      </c>
      <c r="G5014" s="39" t="str">
        <f t="array" ref="G5014">IFNA(_xlfn.XLOOKUP(D5014,Table_Tarikan_Warkah[Nomor Tiket],Table_Tarikan_Warkah[Jenis Permohonan]),"")</f>
        <v>BN JUAL BELI</v>
      </c>
      <c r="H5014" s="41" t="s">
        <v>2315</v>
      </c>
      <c r="I5014" s="49" t="s">
        <v>23</v>
      </c>
      <c r="J5014" s="36">
        <f t="shared" si="20"/>
        <v>46083.40003</v>
      </c>
      <c r="K5014" s="69"/>
      <c r="L5014" s="49"/>
      <c r="M5014" s="36" t="str">
        <f t="shared" si="33"/>
        <v/>
      </c>
      <c r="N5014" s="30" t="str">
        <f t="shared" si="34"/>
        <v>BT atau SU Belum Valid</v>
      </c>
      <c r="O5014" s="39" t="str">
        <f t="shared" si="23"/>
        <v/>
      </c>
      <c r="P5014" s="47" t="b">
        <v>0</v>
      </c>
      <c r="Q5014" s="36" t="str">
        <f t="shared" si="35"/>
        <v/>
      </c>
      <c r="R5014" s="47" t="b">
        <v>0</v>
      </c>
      <c r="S5014" s="42" t="str">
        <f t="shared" si="28"/>
        <v/>
      </c>
      <c r="T5014" s="42"/>
    </row>
    <row r="5015" ht="22.5" customHeight="1">
      <c r="B5015" s="42">
        <f t="shared" si="7"/>
        <v>5009</v>
      </c>
      <c r="C5015" s="31" t="s">
        <v>5013</v>
      </c>
      <c r="D5015" s="34" t="str">
        <f t="array" ref="D5015">IFNA(_xlfn.XLOOKUP(C5015,Table_Tarikan_Warkah[Nomor Sertipikat],Table_Tarikan_Warkah[Nomor Tiket]),"")</f>
        <v>AB0FTURB</v>
      </c>
      <c r="E5015" s="36" t="str">
        <f t="array" ref="E5015">IFNA(_xlfn.XLOOKUP(D5015,Table_Tarikan_Warkah[Nomor Tiket],Table_Tarikan_Warkah[Tanggal diserahkan kepada Validator]),"")</f>
        <v/>
      </c>
      <c r="F5015" s="36" t="str">
        <f t="array" ref="F5015">IFNA(_xlfn.XLOOKUP(D5015,Table_Tarikan_Warkah[Nomor Tiket],Table_Tarikan_Warkah[Nama Petugas Warkah]),"")</f>
        <v/>
      </c>
      <c r="G5015" s="39" t="str">
        <f t="array" ref="G5015">IFNA(_xlfn.XLOOKUP(D5015,Table_Tarikan_Warkah[Nomor Tiket],Table_Tarikan_Warkah[Jenis Permohonan]),"")</f>
        <v>Balik Nama</v>
      </c>
      <c r="H5015" s="41" t="s">
        <v>2315</v>
      </c>
      <c r="I5015" s="49" t="s">
        <v>23</v>
      </c>
      <c r="J5015" s="36">
        <f t="shared" si="20"/>
        <v>46083.40075</v>
      </c>
      <c r="K5015" s="69"/>
      <c r="L5015" s="49"/>
      <c r="M5015" s="36" t="str">
        <f t="shared" si="33"/>
        <v/>
      </c>
      <c r="N5015" s="30" t="str">
        <f t="shared" si="34"/>
        <v>BT atau SU Belum Valid</v>
      </c>
      <c r="O5015" s="39" t="str">
        <f t="shared" si="23"/>
        <v/>
      </c>
      <c r="P5015" s="47" t="b">
        <v>0</v>
      </c>
      <c r="Q5015" s="36" t="str">
        <f t="shared" si="35"/>
        <v/>
      </c>
      <c r="R5015" s="47" t="b">
        <v>0</v>
      </c>
      <c r="S5015" s="42" t="str">
        <f t="shared" si="28"/>
        <v/>
      </c>
      <c r="T5015" s="42"/>
    </row>
    <row r="5016" ht="22.5" customHeight="1">
      <c r="B5016" s="42">
        <f t="shared" si="7"/>
        <v>5010</v>
      </c>
      <c r="C5016" s="31" t="s">
        <v>5014</v>
      </c>
      <c r="D5016" s="34" t="str">
        <f t="array" ref="D5016">IFNA(_xlfn.XLOOKUP(C5016,Table_Tarikan_Warkah[Nomor Sertipikat],Table_Tarikan_Warkah[Nomor Tiket]),"")</f>
        <v>ABDZFKTT</v>
      </c>
      <c r="E5016" s="36" t="str">
        <f t="array" ref="E5016">IFNA(_xlfn.XLOOKUP(D5016,Table_Tarikan_Warkah[Nomor Tiket],Table_Tarikan_Warkah[Tanggal diserahkan kepada Validator]),"")</f>
        <v/>
      </c>
      <c r="F5016" s="36" t="str">
        <f t="array" ref="F5016">IFNA(_xlfn.XLOOKUP(D5016,Table_Tarikan_Warkah[Nomor Tiket],Table_Tarikan_Warkah[Nama Petugas Warkah]),"")</f>
        <v/>
      </c>
      <c r="G5016" s="39" t="str">
        <f t="array" ref="G5016">IFNA(_xlfn.XLOOKUP(D5016,Table_Tarikan_Warkah[Nomor Tiket],Table_Tarikan_Warkah[Jenis Permohonan]),"")</f>
        <v>Balik Nama jual beli</v>
      </c>
      <c r="H5016" s="41" t="s">
        <v>2315</v>
      </c>
      <c r="I5016" s="49" t="s">
        <v>23</v>
      </c>
      <c r="J5016" s="36">
        <f t="shared" si="20"/>
        <v>46083.40075</v>
      </c>
      <c r="K5016" s="69"/>
      <c r="L5016" s="49"/>
      <c r="M5016" s="36" t="str">
        <f t="shared" si="33"/>
        <v/>
      </c>
      <c r="N5016" s="30" t="str">
        <f t="shared" si="34"/>
        <v>BT atau SU Belum Valid</v>
      </c>
      <c r="O5016" s="39" t="str">
        <f t="shared" si="23"/>
        <v/>
      </c>
      <c r="P5016" s="47" t="b">
        <v>0</v>
      </c>
      <c r="Q5016" s="36" t="str">
        <f t="shared" si="35"/>
        <v/>
      </c>
      <c r="R5016" s="47" t="b">
        <v>0</v>
      </c>
      <c r="S5016" s="42" t="str">
        <f t="shared" si="28"/>
        <v/>
      </c>
      <c r="T5016" s="42"/>
    </row>
    <row r="5017" ht="22.5" customHeight="1">
      <c r="B5017" s="42">
        <f t="shared" si="7"/>
        <v>5011</v>
      </c>
      <c r="C5017" s="31" t="s">
        <v>5015</v>
      </c>
      <c r="D5017" s="34" t="str">
        <f t="array" ref="D5017">IFNA(_xlfn.XLOOKUP(C5017,Table_Tarikan_Warkah[Nomor Sertipikat],Table_Tarikan_Warkah[Nomor Tiket]),"")</f>
        <v>ABQSODYB</v>
      </c>
      <c r="E5017" s="36" t="str">
        <f t="array" ref="E5017">IFNA(_xlfn.XLOOKUP(D5017,Table_Tarikan_Warkah[Nomor Tiket],Table_Tarikan_Warkah[Tanggal diserahkan kepada Validator]),"")</f>
        <v/>
      </c>
      <c r="F5017" s="36" t="str">
        <f t="array" ref="F5017">IFNA(_xlfn.XLOOKUP(D5017,Table_Tarikan_Warkah[Nomor Tiket],Table_Tarikan_Warkah[Nama Petugas Warkah]),"")</f>
        <v/>
      </c>
      <c r="G5017" s="39" t="str">
        <f t="array" ref="G5017">IFNA(_xlfn.XLOOKUP(D5017,Table_Tarikan_Warkah[Nomor Tiket],Table_Tarikan_Warkah[Jenis Permohonan]),"")</f>
        <v>Baliknama ajb</v>
      </c>
      <c r="H5017" s="41" t="s">
        <v>2315</v>
      </c>
      <c r="I5017" s="49" t="s">
        <v>23</v>
      </c>
      <c r="J5017" s="36">
        <f t="shared" si="20"/>
        <v>46083.40386</v>
      </c>
      <c r="K5017" s="69"/>
      <c r="L5017" s="49"/>
      <c r="M5017" s="36" t="str">
        <f t="shared" si="33"/>
        <v/>
      </c>
      <c r="N5017" s="30" t="str">
        <f t="shared" si="34"/>
        <v>BT atau SU Belum Valid</v>
      </c>
      <c r="O5017" s="39" t="str">
        <f t="shared" si="23"/>
        <v/>
      </c>
      <c r="P5017" s="47" t="b">
        <v>0</v>
      </c>
      <c r="Q5017" s="36" t="str">
        <f t="shared" si="35"/>
        <v/>
      </c>
      <c r="R5017" s="47" t="b">
        <v>0</v>
      </c>
      <c r="S5017" s="42" t="str">
        <f t="shared" si="28"/>
        <v/>
      </c>
      <c r="T5017" s="42"/>
    </row>
    <row r="5018" ht="22.5" customHeight="1">
      <c r="B5018" s="42">
        <f t="shared" si="7"/>
        <v>5012</v>
      </c>
      <c r="C5018" s="31" t="s">
        <v>5016</v>
      </c>
      <c r="D5018" s="34" t="str">
        <f t="array" ref="D5018">IFNA(_xlfn.XLOOKUP(C5018,Table_Tarikan_Warkah[Nomor Sertipikat],Table_Tarikan_Warkah[Nomor Tiket]),"")</f>
        <v>ABXGEILK</v>
      </c>
      <c r="E5018" s="36" t="str">
        <f t="array" ref="E5018">IFNA(_xlfn.XLOOKUP(D5018,Table_Tarikan_Warkah[Nomor Tiket],Table_Tarikan_Warkah[Tanggal diserahkan kepada Validator]),"")</f>
        <v/>
      </c>
      <c r="F5018" s="36" t="str">
        <f t="array" ref="F5018">IFNA(_xlfn.XLOOKUP(D5018,Table_Tarikan_Warkah[Nomor Tiket],Table_Tarikan_Warkah[Nama Petugas Warkah]),"")</f>
        <v/>
      </c>
      <c r="G5018" s="39" t="str">
        <f t="array" ref="G5018">IFNA(_xlfn.XLOOKUP(D5018,Table_Tarikan_Warkah[Nomor Tiket],Table_Tarikan_Warkah[Jenis Permohonan]),"")</f>
        <v>Baliknama ajb</v>
      </c>
      <c r="H5018" s="41" t="s">
        <v>2315</v>
      </c>
      <c r="I5018" s="49" t="s">
        <v>23</v>
      </c>
      <c r="J5018" s="36">
        <f t="shared" si="20"/>
        <v>46083.40403</v>
      </c>
      <c r="K5018" s="69"/>
      <c r="L5018" s="49"/>
      <c r="M5018" s="36" t="str">
        <f t="shared" si="33"/>
        <v/>
      </c>
      <c r="N5018" s="30" t="str">
        <f t="shared" si="34"/>
        <v>BT atau SU Belum Valid</v>
      </c>
      <c r="O5018" s="39" t="str">
        <f t="shared" si="23"/>
        <v/>
      </c>
      <c r="P5018" s="47" t="b">
        <v>0</v>
      </c>
      <c r="Q5018" s="36" t="str">
        <f t="shared" si="35"/>
        <v/>
      </c>
      <c r="R5018" s="47" t="b">
        <v>0</v>
      </c>
      <c r="S5018" s="42" t="str">
        <f t="shared" si="28"/>
        <v/>
      </c>
      <c r="T5018" s="42"/>
    </row>
    <row r="5019" ht="22.5" customHeight="1">
      <c r="B5019" s="42">
        <f t="shared" si="7"/>
        <v>5013</v>
      </c>
      <c r="C5019" s="31" t="s">
        <v>5017</v>
      </c>
      <c r="D5019" s="34" t="str">
        <f t="array" ref="D5019">IFNA(_xlfn.XLOOKUP(C5019,Table_Tarikan_Warkah[Nomor Sertipikat],Table_Tarikan_Warkah[Nomor Tiket]),"")</f>
        <v>Ab 30 ( abndskxe)</v>
      </c>
      <c r="E5019" s="36" t="str">
        <f t="array" ref="E5019">IFNA(_xlfn.XLOOKUP(D5019,Table_Tarikan_Warkah[Nomor Tiket],Table_Tarikan_Warkah[Tanggal diserahkan kepada Validator]),"")</f>
        <v/>
      </c>
      <c r="F5019" s="36" t="str">
        <f t="array" ref="F5019">IFNA(_xlfn.XLOOKUP(D5019,Table_Tarikan_Warkah[Nomor Tiket],Table_Tarikan_Warkah[Nama Petugas Warkah]),"")</f>
        <v/>
      </c>
      <c r="G5019" s="39" t="str">
        <f t="array" ref="G5019">IFNA(_xlfn.XLOOKUP(D5019,Table_Tarikan_Warkah[Nomor Tiket],Table_Tarikan_Warkah[Jenis Permohonan]),"")</f>
        <v>Balik nama jual beli</v>
      </c>
      <c r="H5019" s="41" t="s">
        <v>2315</v>
      </c>
      <c r="I5019" s="49" t="s">
        <v>23</v>
      </c>
      <c r="J5019" s="36">
        <f t="shared" si="20"/>
        <v>46083.40426</v>
      </c>
      <c r="K5019" s="69"/>
      <c r="L5019" s="49"/>
      <c r="M5019" s="36" t="str">
        <f t="shared" si="33"/>
        <v/>
      </c>
      <c r="N5019" s="30" t="str">
        <f t="shared" si="34"/>
        <v>BT atau SU Belum Valid</v>
      </c>
      <c r="O5019" s="39" t="str">
        <f t="shared" si="23"/>
        <v/>
      </c>
      <c r="P5019" s="47" t="b">
        <v>0</v>
      </c>
      <c r="Q5019" s="36" t="str">
        <f t="shared" si="35"/>
        <v/>
      </c>
      <c r="R5019" s="47" t="b">
        <v>0</v>
      </c>
      <c r="S5019" s="42" t="str">
        <f t="shared" si="28"/>
        <v/>
      </c>
      <c r="T5019" s="42"/>
    </row>
    <row r="5020" ht="22.5" customHeight="1">
      <c r="B5020" s="42">
        <f t="shared" si="7"/>
        <v>5014</v>
      </c>
      <c r="C5020" s="31" t="s">
        <v>5018</v>
      </c>
      <c r="D5020" s="34" t="str">
        <f t="array" ref="D5020">IFNA(_xlfn.XLOOKUP(C5020,Table_Tarikan_Warkah[Nomor Sertipikat],Table_Tarikan_Warkah[Nomor Tiket]),"")</f>
        <v>ABTUAXKY</v>
      </c>
      <c r="E5020" s="36" t="str">
        <f t="array" ref="E5020">IFNA(_xlfn.XLOOKUP(D5020,Table_Tarikan_Warkah[Nomor Tiket],Table_Tarikan_Warkah[Tanggal diserahkan kepada Validator]),"")</f>
        <v/>
      </c>
      <c r="F5020" s="36" t="str">
        <f t="array" ref="F5020">IFNA(_xlfn.XLOOKUP(D5020,Table_Tarikan_Warkah[Nomor Tiket],Table_Tarikan_Warkah[Nama Petugas Warkah]),"")</f>
        <v/>
      </c>
      <c r="G5020" s="39" t="str">
        <f t="array" ref="G5020">IFNA(_xlfn.XLOOKUP(D5020,Table_Tarikan_Warkah[Nomor Tiket],Table_Tarikan_Warkah[Jenis Permohonan]),"")</f>
        <v>BN JUAL BELI</v>
      </c>
      <c r="H5020" s="41" t="s">
        <v>2315</v>
      </c>
      <c r="I5020" s="49" t="s">
        <v>23</v>
      </c>
      <c r="J5020" s="36">
        <f t="shared" si="20"/>
        <v>46083.40446</v>
      </c>
      <c r="K5020" s="69"/>
      <c r="L5020" s="49"/>
      <c r="M5020" s="36" t="str">
        <f t="shared" si="33"/>
        <v/>
      </c>
      <c r="N5020" s="30" t="str">
        <f t="shared" si="34"/>
        <v>BT atau SU Belum Valid</v>
      </c>
      <c r="O5020" s="39" t="str">
        <f t="shared" si="23"/>
        <v/>
      </c>
      <c r="P5020" s="47" t="b">
        <v>0</v>
      </c>
      <c r="Q5020" s="36" t="str">
        <f t="shared" si="35"/>
        <v/>
      </c>
      <c r="R5020" s="47" t="b">
        <v>0</v>
      </c>
      <c r="S5020" s="42" t="str">
        <f t="shared" si="28"/>
        <v/>
      </c>
      <c r="T5020" s="42"/>
    </row>
    <row r="5021" ht="22.5" customHeight="1">
      <c r="B5021" s="42">
        <f t="shared" si="7"/>
        <v>5015</v>
      </c>
      <c r="C5021" s="31" t="s">
        <v>5019</v>
      </c>
      <c r="D5021" s="34" t="str">
        <f t="array" ref="D5021">IFNA(_xlfn.XLOOKUP(C5021,Table_Tarikan_Warkah[Nomor Sertipikat],Table_Tarikan_Warkah[Nomor Tiket]),"")</f>
        <v>ABJOBEUG</v>
      </c>
      <c r="E5021" s="36" t="str">
        <f t="array" ref="E5021">IFNA(_xlfn.XLOOKUP(D5021,Table_Tarikan_Warkah[Nomor Tiket],Table_Tarikan_Warkah[Tanggal diserahkan kepada Validator]),"")</f>
        <v/>
      </c>
      <c r="F5021" s="36" t="str">
        <f t="array" ref="F5021">IFNA(_xlfn.XLOOKUP(D5021,Table_Tarikan_Warkah[Nomor Tiket],Table_Tarikan_Warkah[Nama Petugas Warkah]),"")</f>
        <v/>
      </c>
      <c r="G5021" s="39" t="str">
        <f t="array" ref="G5021">IFNA(_xlfn.XLOOKUP(D5021,Table_Tarikan_Warkah[Nomor Tiket],Table_Tarikan_Warkah[Jenis Permohonan]),"")</f>
        <v>Bn jual beli</v>
      </c>
      <c r="H5021" s="41" t="s">
        <v>2315</v>
      </c>
      <c r="I5021" s="49" t="s">
        <v>23</v>
      </c>
      <c r="J5021" s="36">
        <f t="shared" si="20"/>
        <v>46083.40505</v>
      </c>
      <c r="K5021" s="69"/>
      <c r="L5021" s="49"/>
      <c r="M5021" s="36" t="str">
        <f t="shared" si="33"/>
        <v/>
      </c>
      <c r="N5021" s="30" t="str">
        <f t="shared" si="34"/>
        <v>BT atau SU Belum Valid</v>
      </c>
      <c r="O5021" s="39" t="str">
        <f t="shared" si="23"/>
        <v/>
      </c>
      <c r="P5021" s="47" t="b">
        <v>0</v>
      </c>
      <c r="Q5021" s="36" t="str">
        <f t="shared" si="35"/>
        <v/>
      </c>
      <c r="R5021" s="47" t="b">
        <v>0</v>
      </c>
      <c r="S5021" s="42" t="str">
        <f t="shared" si="28"/>
        <v/>
      </c>
      <c r="T5021" s="42"/>
    </row>
    <row r="5022" ht="22.5" customHeight="1">
      <c r="B5022" s="42">
        <f t="shared" si="7"/>
        <v>5016</v>
      </c>
      <c r="C5022" s="31" t="s">
        <v>5020</v>
      </c>
      <c r="D5022" s="34" t="str">
        <f t="array" ref="D5022">IFNA(_xlfn.XLOOKUP(C5022,Table_Tarikan_Warkah[Nomor Sertipikat],Table_Tarikan_Warkah[Nomor Tiket]),"")</f>
        <v>ABGDMCLN</v>
      </c>
      <c r="E5022" s="36" t="str">
        <f t="array" ref="E5022">IFNA(_xlfn.XLOOKUP(D5022,Table_Tarikan_Warkah[Nomor Tiket],Table_Tarikan_Warkah[Tanggal diserahkan kepada Validator]),"")</f>
        <v/>
      </c>
      <c r="F5022" s="36" t="str">
        <f t="array" ref="F5022">IFNA(_xlfn.XLOOKUP(D5022,Table_Tarikan_Warkah[Nomor Tiket],Table_Tarikan_Warkah[Nama Petugas Warkah]),"")</f>
        <v/>
      </c>
      <c r="G5022" s="39" t="str">
        <f t="array" ref="G5022">IFNA(_xlfn.XLOOKUP(D5022,Table_Tarikan_Warkah[Nomor Tiket],Table_Tarikan_Warkah[Jenis Permohonan]),"")</f>
        <v>Balik nama jual beli</v>
      </c>
      <c r="H5022" s="41" t="s">
        <v>2315</v>
      </c>
      <c r="I5022" s="49" t="s">
        <v>23</v>
      </c>
      <c r="J5022" s="36">
        <f t="shared" si="20"/>
        <v>46083.40529</v>
      </c>
      <c r="K5022" s="69"/>
      <c r="L5022" s="49"/>
      <c r="M5022" s="36" t="str">
        <f t="shared" si="33"/>
        <v/>
      </c>
      <c r="N5022" s="30" t="str">
        <f t="shared" si="34"/>
        <v>BT atau SU Belum Valid</v>
      </c>
      <c r="O5022" s="39" t="str">
        <f t="shared" si="23"/>
        <v/>
      </c>
      <c r="P5022" s="47" t="b">
        <v>0</v>
      </c>
      <c r="Q5022" s="36" t="str">
        <f t="shared" si="35"/>
        <v/>
      </c>
      <c r="R5022" s="47" t="b">
        <v>0</v>
      </c>
      <c r="S5022" s="42" t="str">
        <f t="shared" si="28"/>
        <v/>
      </c>
      <c r="T5022" s="42"/>
    </row>
    <row r="5023" ht="22.5" customHeight="1">
      <c r="B5023" s="42">
        <f t="shared" si="7"/>
        <v>5017</v>
      </c>
      <c r="C5023" s="31" t="s">
        <v>5021</v>
      </c>
      <c r="D5023" s="34" t="str">
        <f t="array" ref="D5023">IFNA(_xlfn.XLOOKUP(C5023,Table_Tarikan_Warkah[Nomor Sertipikat],Table_Tarikan_Warkah[Nomor Tiket]),"")</f>
        <v>ABOFOZVP</v>
      </c>
      <c r="E5023" s="36" t="str">
        <f t="array" ref="E5023">IFNA(_xlfn.XLOOKUP(D5023,Table_Tarikan_Warkah[Nomor Tiket],Table_Tarikan_Warkah[Tanggal diserahkan kepada Validator]),"")</f>
        <v/>
      </c>
      <c r="F5023" s="36" t="str">
        <f t="array" ref="F5023">IFNA(_xlfn.XLOOKUP(D5023,Table_Tarikan_Warkah[Nomor Tiket],Table_Tarikan_Warkah[Nama Petugas Warkah]),"")</f>
        <v/>
      </c>
      <c r="G5023" s="39" t="str">
        <f t="array" ref="G5023">IFNA(_xlfn.XLOOKUP(D5023,Table_Tarikan_Warkah[Nomor Tiket],Table_Tarikan_Warkah[Jenis Permohonan]),"")</f>
        <v>balik nama jual beli</v>
      </c>
      <c r="H5023" s="41" t="s">
        <v>2315</v>
      </c>
      <c r="I5023" s="49" t="s">
        <v>23</v>
      </c>
      <c r="J5023" s="36">
        <f t="shared" si="20"/>
        <v>46083.40547</v>
      </c>
      <c r="K5023" s="69"/>
      <c r="L5023" s="49"/>
      <c r="M5023" s="36" t="str">
        <f t="shared" si="33"/>
        <v/>
      </c>
      <c r="N5023" s="30" t="str">
        <f t="shared" si="34"/>
        <v>BT atau SU Belum Valid</v>
      </c>
      <c r="O5023" s="39" t="str">
        <f t="shared" si="23"/>
        <v/>
      </c>
      <c r="P5023" s="47" t="b">
        <v>0</v>
      </c>
      <c r="Q5023" s="36" t="str">
        <f t="shared" si="35"/>
        <v/>
      </c>
      <c r="R5023" s="47" t="b">
        <v>0</v>
      </c>
      <c r="S5023" s="42" t="str">
        <f t="shared" si="28"/>
        <v/>
      </c>
      <c r="T5023" s="42"/>
    </row>
    <row r="5024" ht="22.5" customHeight="1">
      <c r="B5024" s="42">
        <f t="shared" si="7"/>
        <v>5018</v>
      </c>
      <c r="C5024" s="31" t="s">
        <v>5022</v>
      </c>
      <c r="D5024" s="34" t="str">
        <f t="array" ref="D5024">IFNA(_xlfn.XLOOKUP(C5024,Table_Tarikan_Warkah[Nomor Sertipikat],Table_Tarikan_Warkah[Nomor Tiket]),"")</f>
        <v>ABEAIACI</v>
      </c>
      <c r="E5024" s="36" t="str">
        <f t="array" ref="E5024">IFNA(_xlfn.XLOOKUP(D5024,Table_Tarikan_Warkah[Nomor Tiket],Table_Tarikan_Warkah[Tanggal diserahkan kepada Validator]),"")</f>
        <v/>
      </c>
      <c r="F5024" s="36" t="str">
        <f t="array" ref="F5024">IFNA(_xlfn.XLOOKUP(D5024,Table_Tarikan_Warkah[Nomor Tiket],Table_Tarikan_Warkah[Nama Petugas Warkah]),"")</f>
        <v/>
      </c>
      <c r="G5024" s="39" t="str">
        <f t="array" ref="G5024">IFNA(_xlfn.XLOOKUP(D5024,Table_Tarikan_Warkah[Nomor Tiket],Table_Tarikan_Warkah[Jenis Permohonan]),"")</f>
        <v>Balik nama jual beli</v>
      </c>
      <c r="H5024" s="41" t="s">
        <v>2315</v>
      </c>
      <c r="I5024" s="49" t="s">
        <v>23</v>
      </c>
      <c r="J5024" s="36">
        <f t="shared" si="20"/>
        <v>46083.40564</v>
      </c>
      <c r="K5024" s="69"/>
      <c r="L5024" s="49"/>
      <c r="M5024" s="36" t="str">
        <f t="shared" si="33"/>
        <v/>
      </c>
      <c r="N5024" s="30" t="str">
        <f t="shared" si="34"/>
        <v>BT atau SU Belum Valid</v>
      </c>
      <c r="O5024" s="39" t="str">
        <f t="shared" si="23"/>
        <v/>
      </c>
      <c r="P5024" s="47" t="b">
        <v>0</v>
      </c>
      <c r="Q5024" s="36" t="str">
        <f t="shared" si="35"/>
        <v/>
      </c>
      <c r="R5024" s="47" t="b">
        <v>0</v>
      </c>
      <c r="S5024" s="42" t="str">
        <f t="shared" si="28"/>
        <v/>
      </c>
      <c r="T5024" s="42"/>
    </row>
    <row r="5025" ht="22.5" customHeight="1">
      <c r="B5025" s="42">
        <f t="shared" si="7"/>
        <v>5019</v>
      </c>
      <c r="C5025" s="31" t="s">
        <v>5023</v>
      </c>
      <c r="D5025" s="34" t="str">
        <f t="array" ref="D5025">IFNA(_xlfn.XLOOKUP(C5025,Table_Tarikan_Warkah[Nomor Sertipikat],Table_Tarikan_Warkah[Nomor Tiket]),"")</f>
        <v>ABQCCYCI</v>
      </c>
      <c r="E5025" s="36" t="str">
        <f t="array" ref="E5025">IFNA(_xlfn.XLOOKUP(D5025,Table_Tarikan_Warkah[Nomor Tiket],Table_Tarikan_Warkah[Tanggal diserahkan kepada Validator]),"")</f>
        <v/>
      </c>
      <c r="F5025" s="36" t="str">
        <f t="array" ref="F5025">IFNA(_xlfn.XLOOKUP(D5025,Table_Tarikan_Warkah[Nomor Tiket],Table_Tarikan_Warkah[Nama Petugas Warkah]),"")</f>
        <v/>
      </c>
      <c r="G5025" s="39" t="str">
        <f t="array" ref="G5025">IFNA(_xlfn.XLOOKUP(D5025,Table_Tarikan_Warkah[Nomor Tiket],Table_Tarikan_Warkah[Jenis Permohonan]),"")</f>
        <v>AJB</v>
      </c>
      <c r="H5025" s="41" t="s">
        <v>2315</v>
      </c>
      <c r="I5025" s="49" t="s">
        <v>23</v>
      </c>
      <c r="J5025" s="36">
        <f t="shared" si="20"/>
        <v>46083.40585</v>
      </c>
      <c r="K5025" s="69"/>
      <c r="L5025" s="49"/>
      <c r="M5025" s="36" t="str">
        <f t="shared" si="33"/>
        <v/>
      </c>
      <c r="N5025" s="30" t="str">
        <f t="shared" si="34"/>
        <v>BT atau SU Belum Valid</v>
      </c>
      <c r="O5025" s="39" t="str">
        <f t="shared" si="23"/>
        <v/>
      </c>
      <c r="P5025" s="47" t="b">
        <v>0</v>
      </c>
      <c r="Q5025" s="36" t="str">
        <f t="shared" si="35"/>
        <v/>
      </c>
      <c r="R5025" s="47" t="b">
        <v>0</v>
      </c>
      <c r="S5025" s="42" t="str">
        <f t="shared" si="28"/>
        <v/>
      </c>
      <c r="T5025" s="42"/>
    </row>
    <row r="5026" ht="22.5" customHeight="1">
      <c r="B5026" s="42">
        <f t="shared" si="7"/>
        <v>5020</v>
      </c>
      <c r="C5026" s="31" t="s">
        <v>5024</v>
      </c>
      <c r="D5026" s="34" t="str">
        <f t="array" ref="D5026">IFNA(_xlfn.XLOOKUP(C5026,Table_Tarikan_Warkah[Nomor Sertipikat],Table_Tarikan_Warkah[Nomor Tiket]),"")</f>
        <v>AB047/ABGIPIWJ</v>
      </c>
      <c r="E5026" s="36" t="str">
        <f t="array" ref="E5026">IFNA(_xlfn.XLOOKUP(D5026,Table_Tarikan_Warkah[Nomor Tiket],Table_Tarikan_Warkah[Tanggal diserahkan kepada Validator]),"")</f>
        <v/>
      </c>
      <c r="F5026" s="36" t="str">
        <f t="array" ref="F5026">IFNA(_xlfn.XLOOKUP(D5026,Table_Tarikan_Warkah[Nomor Tiket],Table_Tarikan_Warkah[Nama Petugas Warkah]),"")</f>
        <v/>
      </c>
      <c r="G5026" s="39" t="str">
        <f t="array" ref="G5026">IFNA(_xlfn.XLOOKUP(D5026,Table_Tarikan_Warkah[Nomor Tiket],Table_Tarikan_Warkah[Jenis Permohonan]),"")</f>
        <v>AJB</v>
      </c>
      <c r="H5026" s="41" t="s">
        <v>2315</v>
      </c>
      <c r="I5026" s="49" t="s">
        <v>23</v>
      </c>
      <c r="J5026" s="36">
        <f t="shared" si="20"/>
        <v>46083.40629</v>
      </c>
      <c r="K5026" s="69"/>
      <c r="L5026" s="49"/>
      <c r="M5026" s="36" t="str">
        <f t="shared" si="33"/>
        <v/>
      </c>
      <c r="N5026" s="30" t="str">
        <f t="shared" si="34"/>
        <v>BT atau SU Belum Valid</v>
      </c>
      <c r="O5026" s="39" t="str">
        <f t="shared" si="23"/>
        <v/>
      </c>
      <c r="P5026" s="47" t="b">
        <v>0</v>
      </c>
      <c r="Q5026" s="36" t="str">
        <f t="shared" si="35"/>
        <v/>
      </c>
      <c r="R5026" s="47" t="b">
        <v>0</v>
      </c>
      <c r="S5026" s="42" t="str">
        <f t="shared" si="28"/>
        <v/>
      </c>
      <c r="T5026" s="42"/>
    </row>
    <row r="5027" ht="22.5" customHeight="1">
      <c r="B5027" s="42">
        <f t="shared" si="7"/>
        <v>5021</v>
      </c>
      <c r="C5027" s="31" t="s">
        <v>5025</v>
      </c>
      <c r="D5027" s="34" t="str">
        <f t="array" ref="D5027">IFNA(_xlfn.XLOOKUP(C5027,Table_Tarikan_Warkah[Nomor Sertipikat],Table_Tarikan_Warkah[Nomor Tiket]),"")</f>
        <v>L/1/080126/1</v>
      </c>
      <c r="E5027" s="36" t="str">
        <f t="array" ref="E5027">IFNA(_xlfn.XLOOKUP(D5027,Table_Tarikan_Warkah[Nomor Tiket],Table_Tarikan_Warkah[Tanggal diserahkan kepada Validator]),"")</f>
        <v/>
      </c>
      <c r="F5027" s="36" t="str">
        <f t="array" ref="F5027">IFNA(_xlfn.XLOOKUP(D5027,Table_Tarikan_Warkah[Nomor Tiket],Table_Tarikan_Warkah[Nama Petugas Warkah]),"")</f>
        <v/>
      </c>
      <c r="G5027" s="39" t="str">
        <f t="array" ref="G5027">IFNA(_xlfn.XLOOKUP(D5027,Table_Tarikan_Warkah[Nomor Tiket],Table_Tarikan_Warkah[Jenis Permohonan]),"")</f>
        <v>BN WARIS</v>
      </c>
      <c r="H5027" s="41" t="s">
        <v>2315</v>
      </c>
      <c r="I5027" s="49" t="s">
        <v>23</v>
      </c>
      <c r="J5027" s="36">
        <f t="shared" si="20"/>
        <v>46084.63774</v>
      </c>
      <c r="K5027" s="69"/>
      <c r="L5027" s="49"/>
      <c r="M5027" s="36" t="str">
        <f t="shared" si="33"/>
        <v/>
      </c>
      <c r="N5027" s="30" t="str">
        <f t="shared" si="34"/>
        <v>BT atau SU Belum Valid</v>
      </c>
      <c r="O5027" s="39" t="str">
        <f t="shared" si="23"/>
        <v/>
      </c>
      <c r="P5027" s="47" t="b">
        <v>0</v>
      </c>
      <c r="Q5027" s="36" t="str">
        <f t="shared" si="35"/>
        <v/>
      </c>
      <c r="R5027" s="47" t="b">
        <v>0</v>
      </c>
      <c r="S5027" s="42" t="str">
        <f t="shared" si="28"/>
        <v/>
      </c>
      <c r="T5027" s="42"/>
    </row>
    <row r="5028" ht="22.5" customHeight="1">
      <c r="B5028" s="42">
        <f t="shared" si="7"/>
        <v>5022</v>
      </c>
      <c r="C5028" s="31" t="s">
        <v>5026</v>
      </c>
      <c r="D5028" s="34" t="str">
        <f t="array" ref="D5028">IFNA(_xlfn.XLOOKUP(C5028,Table_Tarikan_Warkah[Nomor Sertipikat],Table_Tarikan_Warkah[Nomor Tiket]),"")</f>
        <v>ABEFXIFP/006</v>
      </c>
      <c r="E5028" s="36" t="str">
        <f t="array" ref="E5028">IFNA(_xlfn.XLOOKUP(D5028,Table_Tarikan_Warkah[Nomor Tiket],Table_Tarikan_Warkah[Tanggal diserahkan kepada Validator]),"")</f>
        <v/>
      </c>
      <c r="F5028" s="36" t="str">
        <f t="array" ref="F5028">IFNA(_xlfn.XLOOKUP(D5028,Table_Tarikan_Warkah[Nomor Tiket],Table_Tarikan_Warkah[Nama Petugas Warkah]),"")</f>
        <v/>
      </c>
      <c r="G5028" s="39" t="str">
        <f t="array" ref="G5028">IFNA(_xlfn.XLOOKUP(D5028,Table_Tarikan_Warkah[Nomor Tiket],Table_Tarikan_Warkah[Jenis Permohonan]),"")</f>
        <v>balik nama jual beli</v>
      </c>
      <c r="H5028" s="41" t="s">
        <v>2315</v>
      </c>
      <c r="I5028" s="49" t="s">
        <v>23</v>
      </c>
      <c r="J5028" s="36">
        <f t="shared" si="20"/>
        <v>46084.64946</v>
      </c>
      <c r="K5028" s="69"/>
      <c r="L5028" s="49"/>
      <c r="M5028" s="36" t="str">
        <f t="shared" si="33"/>
        <v/>
      </c>
      <c r="N5028" s="30" t="str">
        <f t="shared" si="34"/>
        <v>BT atau SU Belum Valid</v>
      </c>
      <c r="O5028" s="39" t="str">
        <f t="shared" si="23"/>
        <v/>
      </c>
      <c r="P5028" s="47" t="b">
        <v>0</v>
      </c>
      <c r="Q5028" s="36" t="str">
        <f t="shared" si="35"/>
        <v/>
      </c>
      <c r="R5028" s="47" t="b">
        <v>0</v>
      </c>
      <c r="S5028" s="42" t="str">
        <f t="shared" si="28"/>
        <v/>
      </c>
      <c r="T5028" s="42"/>
    </row>
    <row r="5029" ht="22.5" customHeight="1">
      <c r="B5029" s="42">
        <f t="shared" si="7"/>
        <v>5023</v>
      </c>
      <c r="C5029" s="31" t="s">
        <v>5027</v>
      </c>
      <c r="D5029" s="34" t="str">
        <f t="array" ref="D5029">IFNA(_xlfn.XLOOKUP(C5029,Table_Tarikan_Warkah[Nomor Sertipikat],Table_Tarikan_Warkah[Nomor Tiket]),"")</f>
        <v>ABZHHIUZ</v>
      </c>
      <c r="E5029" s="36" t="str">
        <f t="array" ref="E5029">IFNA(_xlfn.XLOOKUP(D5029,Table_Tarikan_Warkah[Nomor Tiket],Table_Tarikan_Warkah[Tanggal diserahkan kepada Validator]),"")</f>
        <v/>
      </c>
      <c r="F5029" s="36" t="str">
        <f t="array" ref="F5029">IFNA(_xlfn.XLOOKUP(D5029,Table_Tarikan_Warkah[Nomor Tiket],Table_Tarikan_Warkah[Nama Petugas Warkah]),"")</f>
        <v/>
      </c>
      <c r="G5029" s="39" t="str">
        <f t="array" ref="G5029">IFNA(_xlfn.XLOOKUP(D5029,Table_Tarikan_Warkah[Nomor Tiket],Table_Tarikan_Warkah[Jenis Permohonan]),"")</f>
        <v>Balik nama jual beli</v>
      </c>
      <c r="H5029" s="41" t="s">
        <v>2315</v>
      </c>
      <c r="I5029" s="49" t="s">
        <v>23</v>
      </c>
      <c r="J5029" s="36">
        <f t="shared" si="20"/>
        <v>46084.64979</v>
      </c>
      <c r="K5029" s="69"/>
      <c r="L5029" s="49"/>
      <c r="M5029" s="36" t="str">
        <f t="shared" si="33"/>
        <v/>
      </c>
      <c r="N5029" s="30" t="str">
        <f t="shared" si="34"/>
        <v>BT atau SU Belum Valid</v>
      </c>
      <c r="O5029" s="39" t="str">
        <f t="shared" si="23"/>
        <v/>
      </c>
      <c r="P5029" s="47" t="b">
        <v>0</v>
      </c>
      <c r="Q5029" s="36" t="str">
        <f t="shared" si="35"/>
        <v/>
      </c>
      <c r="R5029" s="47" t="b">
        <v>0</v>
      </c>
      <c r="S5029" s="42" t="str">
        <f t="shared" si="28"/>
        <v/>
      </c>
      <c r="T5029" s="42"/>
    </row>
    <row r="5030" ht="22.5" customHeight="1">
      <c r="B5030" s="42">
        <f t="shared" si="7"/>
        <v>5024</v>
      </c>
      <c r="C5030" s="31" t="s">
        <v>5028</v>
      </c>
      <c r="D5030" s="34" t="str">
        <f t="array" ref="D5030">IFNA(_xlfn.XLOOKUP(C5030,Table_Tarikan_Warkah[Nomor Sertipikat],Table_Tarikan_Warkah[Nomor Tiket]),"")</f>
        <v>AB0024 ABGEAXFQ</v>
      </c>
      <c r="E5030" s="36" t="str">
        <f t="array" ref="E5030">IFNA(_xlfn.XLOOKUP(D5030,Table_Tarikan_Warkah[Nomor Tiket],Table_Tarikan_Warkah[Tanggal diserahkan kepada Validator]),"")</f>
        <v/>
      </c>
      <c r="F5030" s="36" t="str">
        <f t="array" ref="F5030">IFNA(_xlfn.XLOOKUP(D5030,Table_Tarikan_Warkah[Nomor Tiket],Table_Tarikan_Warkah[Nama Petugas Warkah]),"")</f>
        <v/>
      </c>
      <c r="G5030" s="39" t="str">
        <f t="array" ref="G5030">IFNA(_xlfn.XLOOKUP(D5030,Table_Tarikan_Warkah[Nomor Tiket],Table_Tarikan_Warkah[Jenis Permohonan]),"")</f>
        <v>Balik Nama Jual Beli</v>
      </c>
      <c r="H5030" s="41" t="s">
        <v>2315</v>
      </c>
      <c r="I5030" s="49" t="s">
        <v>23</v>
      </c>
      <c r="J5030" s="36">
        <f t="shared" si="20"/>
        <v>46084.65002</v>
      </c>
      <c r="K5030" s="69"/>
      <c r="L5030" s="49"/>
      <c r="M5030" s="36" t="str">
        <f t="shared" si="33"/>
        <v/>
      </c>
      <c r="N5030" s="30" t="str">
        <f t="shared" si="34"/>
        <v>BT atau SU Belum Valid</v>
      </c>
      <c r="O5030" s="39" t="str">
        <f t="shared" si="23"/>
        <v/>
      </c>
      <c r="P5030" s="47" t="b">
        <v>0</v>
      </c>
      <c r="Q5030" s="36" t="str">
        <f t="shared" si="35"/>
        <v/>
      </c>
      <c r="R5030" s="47" t="b">
        <v>0</v>
      </c>
      <c r="S5030" s="42" t="str">
        <f t="shared" si="28"/>
        <v/>
      </c>
      <c r="T5030" s="42"/>
    </row>
    <row r="5031" ht="22.5" customHeight="1">
      <c r="B5031" s="42">
        <f t="shared" si="7"/>
        <v>5025</v>
      </c>
      <c r="C5031" s="31" t="s">
        <v>5029</v>
      </c>
      <c r="D5031" s="34" t="str">
        <f t="array" ref="D5031">IFNA(_xlfn.XLOOKUP(C5031,Table_Tarikan_Warkah[Nomor Sertipikat],Table_Tarikan_Warkah[Nomor Tiket]),"")</f>
        <v>AB023/ABWYXECQ</v>
      </c>
      <c r="E5031" s="36" t="str">
        <f t="array" ref="E5031">IFNA(_xlfn.XLOOKUP(D5031,Table_Tarikan_Warkah[Nomor Tiket],Table_Tarikan_Warkah[Tanggal diserahkan kepada Validator]),"")</f>
        <v/>
      </c>
      <c r="F5031" s="36" t="str">
        <f t="array" ref="F5031">IFNA(_xlfn.XLOOKUP(D5031,Table_Tarikan_Warkah[Nomor Tiket],Table_Tarikan_Warkah[Nama Petugas Warkah]),"")</f>
        <v/>
      </c>
      <c r="G5031" s="39" t="str">
        <f t="array" ref="G5031">IFNA(_xlfn.XLOOKUP(D5031,Table_Tarikan_Warkah[Nomor Tiket],Table_Tarikan_Warkah[Jenis Permohonan]),"")</f>
        <v>BN Waris</v>
      </c>
      <c r="H5031" s="41" t="s">
        <v>2315</v>
      </c>
      <c r="I5031" s="49" t="s">
        <v>23</v>
      </c>
      <c r="J5031" s="36">
        <f t="shared" si="20"/>
        <v>46084.6502</v>
      </c>
      <c r="K5031" s="69"/>
      <c r="L5031" s="49"/>
      <c r="M5031" s="36" t="str">
        <f t="shared" si="33"/>
        <v/>
      </c>
      <c r="N5031" s="30" t="str">
        <f t="shared" si="34"/>
        <v>BT atau SU Belum Valid</v>
      </c>
      <c r="O5031" s="39" t="str">
        <f t="shared" si="23"/>
        <v/>
      </c>
      <c r="P5031" s="47" t="b">
        <v>0</v>
      </c>
      <c r="Q5031" s="36" t="str">
        <f t="shared" si="35"/>
        <v/>
      </c>
      <c r="R5031" s="47" t="b">
        <v>0</v>
      </c>
      <c r="S5031" s="42" t="str">
        <f t="shared" si="28"/>
        <v/>
      </c>
      <c r="T5031" s="42"/>
    </row>
    <row r="5032" ht="22.5" customHeight="1">
      <c r="B5032" s="42">
        <f t="shared" si="7"/>
        <v>5026</v>
      </c>
      <c r="C5032" s="31" t="s">
        <v>5030</v>
      </c>
      <c r="D5032" s="34" t="str">
        <f t="array" ref="D5032">IFNA(_xlfn.XLOOKUP(C5032,Table_Tarikan_Warkah[Nomor Sertipikat],Table_Tarikan_Warkah[Nomor Tiket]),"")</f>
        <v>ABVVLNWS/AB016</v>
      </c>
      <c r="E5032" s="36" t="str">
        <f t="array" ref="E5032">IFNA(_xlfn.XLOOKUP(D5032,Table_Tarikan_Warkah[Nomor Tiket],Table_Tarikan_Warkah[Tanggal diserahkan kepada Validator]),"")</f>
        <v/>
      </c>
      <c r="F5032" s="36" t="str">
        <f t="array" ref="F5032">IFNA(_xlfn.XLOOKUP(D5032,Table_Tarikan_Warkah[Nomor Tiket],Table_Tarikan_Warkah[Nama Petugas Warkah]),"")</f>
        <v/>
      </c>
      <c r="G5032" s="39" t="str">
        <f t="array" ref="G5032">IFNA(_xlfn.XLOOKUP(D5032,Table_Tarikan_Warkah[Nomor Tiket],Table_Tarikan_Warkah[Jenis Permohonan]),"")</f>
        <v>Balik Nama jual beli</v>
      </c>
      <c r="H5032" s="41" t="s">
        <v>2315</v>
      </c>
      <c r="I5032" s="49" t="s">
        <v>23</v>
      </c>
      <c r="J5032" s="36">
        <f t="shared" si="20"/>
        <v>46084.65031</v>
      </c>
      <c r="K5032" s="69"/>
      <c r="L5032" s="49"/>
      <c r="M5032" s="36" t="str">
        <f t="shared" si="33"/>
        <v/>
      </c>
      <c r="N5032" s="30" t="str">
        <f t="shared" si="34"/>
        <v>BT atau SU Belum Valid</v>
      </c>
      <c r="O5032" s="39" t="str">
        <f t="shared" si="23"/>
        <v/>
      </c>
      <c r="P5032" s="47" t="b">
        <v>0</v>
      </c>
      <c r="Q5032" s="36" t="str">
        <f t="shared" si="35"/>
        <v/>
      </c>
      <c r="R5032" s="47" t="b">
        <v>0</v>
      </c>
      <c r="S5032" s="42" t="str">
        <f t="shared" si="28"/>
        <v/>
      </c>
      <c r="T5032" s="42"/>
    </row>
    <row r="5033" ht="22.5" customHeight="1">
      <c r="B5033" s="42">
        <f t="shared" si="7"/>
        <v>5027</v>
      </c>
      <c r="C5033" s="31" t="s">
        <v>5031</v>
      </c>
      <c r="D5033" s="34" t="str">
        <f t="array" ref="D5033">IFNA(_xlfn.XLOOKUP(C5033,Table_Tarikan_Warkah[Nomor Sertipikat],Table_Tarikan_Warkah[Nomor Tiket]),"")</f>
        <v>ABYUGBNW/AB028</v>
      </c>
      <c r="E5033" s="36" t="str">
        <f t="array" ref="E5033">IFNA(_xlfn.XLOOKUP(D5033,Table_Tarikan_Warkah[Nomor Tiket],Table_Tarikan_Warkah[Tanggal diserahkan kepada Validator]),"")</f>
        <v/>
      </c>
      <c r="F5033" s="36" t="str">
        <f t="array" ref="F5033">IFNA(_xlfn.XLOOKUP(D5033,Table_Tarikan_Warkah[Nomor Tiket],Table_Tarikan_Warkah[Nama Petugas Warkah]),"")</f>
        <v/>
      </c>
      <c r="G5033" s="39" t="str">
        <f t="array" ref="G5033">IFNA(_xlfn.XLOOKUP(D5033,Table_Tarikan_Warkah[Nomor Tiket],Table_Tarikan_Warkah[Jenis Permohonan]),"")</f>
        <v>Balik nama jual beli</v>
      </c>
      <c r="H5033" s="41" t="s">
        <v>2315</v>
      </c>
      <c r="I5033" s="49" t="s">
        <v>23</v>
      </c>
      <c r="J5033" s="36">
        <f t="shared" si="20"/>
        <v>46084.65156</v>
      </c>
      <c r="K5033" s="69"/>
      <c r="L5033" s="49"/>
      <c r="M5033" s="36" t="str">
        <f t="shared" si="33"/>
        <v/>
      </c>
      <c r="N5033" s="30" t="str">
        <f t="shared" si="34"/>
        <v>BT atau SU Belum Valid</v>
      </c>
      <c r="O5033" s="39" t="str">
        <f t="shared" si="23"/>
        <v/>
      </c>
      <c r="P5033" s="47" t="b">
        <v>0</v>
      </c>
      <c r="Q5033" s="36" t="str">
        <f t="shared" si="35"/>
        <v/>
      </c>
      <c r="R5033" s="47" t="b">
        <v>0</v>
      </c>
      <c r="S5033" s="42" t="str">
        <f t="shared" si="28"/>
        <v/>
      </c>
      <c r="T5033" s="42"/>
    </row>
    <row r="5034" ht="22.5" customHeight="1">
      <c r="B5034" s="42">
        <f t="shared" si="7"/>
        <v>5028</v>
      </c>
      <c r="C5034" s="31" t="s">
        <v>5032</v>
      </c>
      <c r="D5034" s="34" t="str">
        <f t="array" ref="D5034">IFNA(_xlfn.XLOOKUP(C5034,Table_Tarikan_Warkah[Nomor Sertipikat],Table_Tarikan_Warkah[Nomor Tiket]),"")</f>
        <v>ABAOLUWF</v>
      </c>
      <c r="E5034" s="36" t="str">
        <f t="array" ref="E5034">IFNA(_xlfn.XLOOKUP(D5034,Table_Tarikan_Warkah[Nomor Tiket],Table_Tarikan_Warkah[Tanggal diserahkan kepada Validator]),"")</f>
        <v/>
      </c>
      <c r="F5034" s="36" t="str">
        <f t="array" ref="F5034">IFNA(_xlfn.XLOOKUP(D5034,Table_Tarikan_Warkah[Nomor Tiket],Table_Tarikan_Warkah[Nama Petugas Warkah]),"")</f>
        <v/>
      </c>
      <c r="G5034" s="39" t="str">
        <f t="array" ref="G5034">IFNA(_xlfn.XLOOKUP(D5034,Table_Tarikan_Warkah[Nomor Tiket],Table_Tarikan_Warkah[Jenis Permohonan]),"")</f>
        <v>PERMOHONAN BALIK NAMA</v>
      </c>
      <c r="H5034" s="41" t="s">
        <v>2315</v>
      </c>
      <c r="I5034" s="49" t="s">
        <v>23</v>
      </c>
      <c r="J5034" s="36">
        <f t="shared" si="20"/>
        <v>46084.65152</v>
      </c>
      <c r="K5034" s="69"/>
      <c r="L5034" s="49"/>
      <c r="M5034" s="36" t="str">
        <f t="shared" si="33"/>
        <v/>
      </c>
      <c r="N5034" s="30" t="str">
        <f t="shared" si="34"/>
        <v>BT atau SU Belum Valid</v>
      </c>
      <c r="O5034" s="39" t="str">
        <f t="shared" si="23"/>
        <v/>
      </c>
      <c r="P5034" s="47" t="b">
        <v>0</v>
      </c>
      <c r="Q5034" s="36" t="str">
        <f t="shared" si="35"/>
        <v/>
      </c>
      <c r="R5034" s="47" t="b">
        <v>0</v>
      </c>
      <c r="S5034" s="42" t="str">
        <f t="shared" si="28"/>
        <v/>
      </c>
      <c r="T5034" s="42"/>
    </row>
    <row r="5035" ht="22.5" customHeight="1">
      <c r="B5035" s="42">
        <f t="shared" si="7"/>
        <v>5029</v>
      </c>
      <c r="C5035" s="31" t="s">
        <v>5033</v>
      </c>
      <c r="D5035" s="34" t="str">
        <f t="array" ref="D5035">IFNA(_xlfn.XLOOKUP(C5035,Table_Tarikan_Warkah[Nomor Sertipikat],Table_Tarikan_Warkah[Nomor Tiket]),"")</f>
        <v>ABYWDFIO</v>
      </c>
      <c r="E5035" s="36" t="str">
        <f t="array" ref="E5035">IFNA(_xlfn.XLOOKUP(D5035,Table_Tarikan_Warkah[Nomor Tiket],Table_Tarikan_Warkah[Tanggal diserahkan kepada Validator]),"")</f>
        <v/>
      </c>
      <c r="F5035" s="36" t="str">
        <f t="array" ref="F5035">IFNA(_xlfn.XLOOKUP(D5035,Table_Tarikan_Warkah[Nomor Tiket],Table_Tarikan_Warkah[Nama Petugas Warkah]),"")</f>
        <v/>
      </c>
      <c r="G5035" s="39" t="str">
        <f t="array" ref="G5035">IFNA(_xlfn.XLOOKUP(D5035,Table_Tarikan_Warkah[Nomor Tiket],Table_Tarikan_Warkah[Jenis Permohonan]),"")</f>
        <v>BN/Jual Beli</v>
      </c>
      <c r="H5035" s="41" t="s">
        <v>2315</v>
      </c>
      <c r="I5035" s="49" t="s">
        <v>23</v>
      </c>
      <c r="J5035" s="36">
        <f t="shared" si="20"/>
        <v>46084.6518</v>
      </c>
      <c r="K5035" s="69"/>
      <c r="L5035" s="49"/>
      <c r="M5035" s="36" t="str">
        <f t="shared" si="33"/>
        <v/>
      </c>
      <c r="N5035" s="30" t="str">
        <f t="shared" si="34"/>
        <v>BT atau SU Belum Valid</v>
      </c>
      <c r="O5035" s="39" t="str">
        <f t="shared" si="23"/>
        <v/>
      </c>
      <c r="P5035" s="47" t="b">
        <v>0</v>
      </c>
      <c r="Q5035" s="36" t="str">
        <f t="shared" si="35"/>
        <v/>
      </c>
      <c r="R5035" s="47" t="b">
        <v>0</v>
      </c>
      <c r="S5035" s="42" t="str">
        <f t="shared" si="28"/>
        <v/>
      </c>
      <c r="T5035" s="42"/>
    </row>
    <row r="5036" ht="22.5" customHeight="1">
      <c r="B5036" s="42">
        <f t="shared" si="7"/>
        <v>5030</v>
      </c>
      <c r="C5036" s="31" t="s">
        <v>5034</v>
      </c>
      <c r="D5036" s="34" t="str">
        <f t="array" ref="D5036">IFNA(_xlfn.XLOOKUP(C5036,Table_Tarikan_Warkah[Nomor Sertipikat],Table_Tarikan_Warkah[Nomor Tiket]),"")</f>
        <v>ABXQTOTL</v>
      </c>
      <c r="E5036" s="36" t="str">
        <f t="array" ref="E5036">IFNA(_xlfn.XLOOKUP(D5036,Table_Tarikan_Warkah[Nomor Tiket],Table_Tarikan_Warkah[Tanggal diserahkan kepada Validator]),"")</f>
        <v/>
      </c>
      <c r="F5036" s="36" t="str">
        <f t="array" ref="F5036">IFNA(_xlfn.XLOOKUP(D5036,Table_Tarikan_Warkah[Nomor Tiket],Table_Tarikan_Warkah[Nama Petugas Warkah]),"")</f>
        <v/>
      </c>
      <c r="G5036" s="39" t="str">
        <f t="array" ref="G5036">IFNA(_xlfn.XLOOKUP(D5036,Table_Tarikan_Warkah[Nomor Tiket],Table_Tarikan_Warkah[Jenis Permohonan]),"")</f>
        <v>Ajb</v>
      </c>
      <c r="H5036" s="41" t="s">
        <v>2315</v>
      </c>
      <c r="I5036" s="49" t="s">
        <v>23</v>
      </c>
      <c r="J5036" s="36">
        <f t="shared" si="20"/>
        <v>46084.65205</v>
      </c>
      <c r="K5036" s="69"/>
      <c r="L5036" s="49"/>
      <c r="M5036" s="36" t="str">
        <f t="shared" si="33"/>
        <v/>
      </c>
      <c r="N5036" s="30" t="str">
        <f t="shared" si="34"/>
        <v>BT atau SU Belum Valid</v>
      </c>
      <c r="O5036" s="39" t="str">
        <f t="shared" si="23"/>
        <v/>
      </c>
      <c r="P5036" s="47" t="b">
        <v>0</v>
      </c>
      <c r="Q5036" s="36" t="str">
        <f t="shared" si="35"/>
        <v/>
      </c>
      <c r="R5036" s="47" t="b">
        <v>0</v>
      </c>
      <c r="S5036" s="42" t="str">
        <f t="shared" si="28"/>
        <v/>
      </c>
      <c r="T5036" s="42"/>
    </row>
    <row r="5037" ht="22.5" customHeight="1">
      <c r="B5037" s="42">
        <f t="shared" si="7"/>
        <v>5031</v>
      </c>
      <c r="C5037" s="31" t="s">
        <v>5035</v>
      </c>
      <c r="D5037" s="34" t="str">
        <f t="array" ref="D5037">IFNA(_xlfn.XLOOKUP(C5037,Table_Tarikan_Warkah[Nomor Sertipikat],Table_Tarikan_Warkah[Nomor Tiket]),"")</f>
        <v>K/37/091025/2</v>
      </c>
      <c r="E5037" s="36" t="str">
        <f t="array" ref="E5037">IFNA(_xlfn.XLOOKUP(D5037,Table_Tarikan_Warkah[Nomor Tiket],Table_Tarikan_Warkah[Tanggal diserahkan kepada Validator]),"")</f>
        <v/>
      </c>
      <c r="F5037" s="36" t="str">
        <f t="array" ref="F5037">IFNA(_xlfn.XLOOKUP(D5037,Table_Tarikan_Warkah[Nomor Tiket],Table_Tarikan_Warkah[Nama Petugas Warkah]),"")</f>
        <v/>
      </c>
      <c r="G5037" s="39" t="str">
        <f t="array" ref="G5037">IFNA(_xlfn.XLOOKUP(D5037,Table_Tarikan_Warkah[Nomor Tiket],Table_Tarikan_Warkah[Jenis Permohonan]),"")</f>
        <v>BN JUAL BELI</v>
      </c>
      <c r="H5037" s="41" t="s">
        <v>2315</v>
      </c>
      <c r="I5037" s="49" t="s">
        <v>23</v>
      </c>
      <c r="J5037" s="36">
        <f t="shared" si="20"/>
        <v>46084.65219</v>
      </c>
      <c r="K5037" s="69"/>
      <c r="L5037" s="49"/>
      <c r="M5037" s="36" t="str">
        <f t="shared" si="33"/>
        <v/>
      </c>
      <c r="N5037" s="30" t="str">
        <f t="shared" si="34"/>
        <v>BT atau SU Belum Valid</v>
      </c>
      <c r="O5037" s="39" t="str">
        <f t="shared" si="23"/>
        <v/>
      </c>
      <c r="P5037" s="47" t="b">
        <v>0</v>
      </c>
      <c r="Q5037" s="36" t="str">
        <f t="shared" si="35"/>
        <v/>
      </c>
      <c r="R5037" s="47" t="b">
        <v>0</v>
      </c>
      <c r="S5037" s="42" t="str">
        <f t="shared" si="28"/>
        <v/>
      </c>
      <c r="T5037" s="42"/>
    </row>
    <row r="5038" ht="22.5" customHeight="1">
      <c r="B5038" s="42">
        <f t="shared" si="7"/>
        <v>5032</v>
      </c>
      <c r="C5038" s="31" t="s">
        <v>5036</v>
      </c>
      <c r="D5038" s="34" t="str">
        <f t="array" ref="D5038">IFNA(_xlfn.XLOOKUP(C5038,Table_Tarikan_Warkah[Nomor Sertipikat],Table_Tarikan_Warkah[Nomor Tiket]),"")</f>
        <v>ABBUWDSY</v>
      </c>
      <c r="E5038" s="36" t="str">
        <f t="array" ref="E5038">IFNA(_xlfn.XLOOKUP(D5038,Table_Tarikan_Warkah[Nomor Tiket],Table_Tarikan_Warkah[Tanggal diserahkan kepada Validator]),"")</f>
        <v/>
      </c>
      <c r="F5038" s="36" t="str">
        <f t="array" ref="F5038">IFNA(_xlfn.XLOOKUP(D5038,Table_Tarikan_Warkah[Nomor Tiket],Table_Tarikan_Warkah[Nama Petugas Warkah]),"")</f>
        <v/>
      </c>
      <c r="G5038" s="39" t="str">
        <f t="array" ref="G5038">IFNA(_xlfn.XLOOKUP(D5038,Table_Tarikan_Warkah[Nomor Tiket],Table_Tarikan_Warkah[Jenis Permohonan]),"")</f>
        <v>Peralihan hak</v>
      </c>
      <c r="H5038" s="41" t="s">
        <v>2315</v>
      </c>
      <c r="I5038" s="49" t="s">
        <v>23</v>
      </c>
      <c r="J5038" s="36">
        <f t="shared" si="20"/>
        <v>46084.65253</v>
      </c>
      <c r="K5038" s="69"/>
      <c r="L5038" s="49"/>
      <c r="M5038" s="36" t="str">
        <f t="shared" si="33"/>
        <v/>
      </c>
      <c r="N5038" s="30" t="str">
        <f t="shared" si="34"/>
        <v>BT atau SU Belum Valid</v>
      </c>
      <c r="O5038" s="39" t="str">
        <f t="shared" si="23"/>
        <v/>
      </c>
      <c r="P5038" s="47" t="b">
        <v>0</v>
      </c>
      <c r="Q5038" s="36" t="str">
        <f t="shared" si="35"/>
        <v/>
      </c>
      <c r="R5038" s="47" t="b">
        <v>0</v>
      </c>
      <c r="S5038" s="42" t="str">
        <f t="shared" si="28"/>
        <v/>
      </c>
      <c r="T5038" s="42"/>
    </row>
    <row r="5039" ht="22.5" customHeight="1">
      <c r="B5039" s="42">
        <f t="shared" si="7"/>
        <v>5033</v>
      </c>
      <c r="C5039" s="31" t="s">
        <v>5037</v>
      </c>
      <c r="D5039" s="34" t="str">
        <f t="array" ref="D5039">IFNA(_xlfn.XLOOKUP(C5039,Table_Tarikan_Warkah[Nomor Sertipikat],Table_Tarikan_Warkah[Nomor Tiket]),"")</f>
        <v>ABITZLKK/1</v>
      </c>
      <c r="E5039" s="36" t="str">
        <f t="array" ref="E5039">IFNA(_xlfn.XLOOKUP(D5039,Table_Tarikan_Warkah[Nomor Tiket],Table_Tarikan_Warkah[Tanggal diserahkan kepada Validator]),"")</f>
        <v/>
      </c>
      <c r="F5039" s="36" t="str">
        <f t="array" ref="F5039">IFNA(_xlfn.XLOOKUP(D5039,Table_Tarikan_Warkah[Nomor Tiket],Table_Tarikan_Warkah[Nama Petugas Warkah]),"")</f>
        <v/>
      </c>
      <c r="G5039" s="39" t="str">
        <f t="array" ref="G5039">IFNA(_xlfn.XLOOKUP(D5039,Table_Tarikan_Warkah[Nomor Tiket],Table_Tarikan_Warkah[Jenis Permohonan]),"")</f>
        <v>BN HIBAH</v>
      </c>
      <c r="H5039" s="41" t="s">
        <v>2315</v>
      </c>
      <c r="I5039" s="49" t="s">
        <v>23</v>
      </c>
      <c r="J5039" s="36">
        <f t="shared" si="20"/>
        <v>46084.65281</v>
      </c>
      <c r="K5039" s="69"/>
      <c r="L5039" s="49"/>
      <c r="M5039" s="36" t="str">
        <f t="shared" si="33"/>
        <v/>
      </c>
      <c r="N5039" s="30" t="str">
        <f t="shared" si="34"/>
        <v>BT atau SU Belum Valid</v>
      </c>
      <c r="O5039" s="39" t="str">
        <f t="shared" si="23"/>
        <v/>
      </c>
      <c r="P5039" s="47" t="b">
        <v>0</v>
      </c>
      <c r="Q5039" s="36" t="str">
        <f t="shared" si="35"/>
        <v/>
      </c>
      <c r="R5039" s="47" t="b">
        <v>0</v>
      </c>
      <c r="S5039" s="42" t="str">
        <f t="shared" si="28"/>
        <v/>
      </c>
      <c r="T5039" s="42"/>
    </row>
    <row r="5040" ht="22.5" customHeight="1">
      <c r="B5040" s="42">
        <f t="shared" si="7"/>
        <v>5034</v>
      </c>
      <c r="C5040" s="31" t="s">
        <v>5038</v>
      </c>
      <c r="D5040" s="34" t="str">
        <f t="array" ref="D5040">IFNA(_xlfn.XLOOKUP(C5040,Table_Tarikan_Warkah[Nomor Sertipikat],Table_Tarikan_Warkah[Nomor Tiket]),"")</f>
        <v>ABEILPZG/1</v>
      </c>
      <c r="E5040" s="36" t="str">
        <f t="array" ref="E5040">IFNA(_xlfn.XLOOKUP(D5040,Table_Tarikan_Warkah[Nomor Tiket],Table_Tarikan_Warkah[Tanggal diserahkan kepada Validator]),"")</f>
        <v/>
      </c>
      <c r="F5040" s="36" t="str">
        <f t="array" ref="F5040">IFNA(_xlfn.XLOOKUP(D5040,Table_Tarikan_Warkah[Nomor Tiket],Table_Tarikan_Warkah[Nama Petugas Warkah]),"")</f>
        <v/>
      </c>
      <c r="G5040" s="39" t="str">
        <f t="array" ref="G5040">IFNA(_xlfn.XLOOKUP(D5040,Table_Tarikan_Warkah[Nomor Tiket],Table_Tarikan_Warkah[Jenis Permohonan]),"")</f>
        <v>Peralihan Hak</v>
      </c>
      <c r="H5040" s="41" t="s">
        <v>2315</v>
      </c>
      <c r="I5040" s="49" t="s">
        <v>23</v>
      </c>
      <c r="J5040" s="36">
        <f t="shared" si="20"/>
        <v>46084.65293</v>
      </c>
      <c r="K5040" s="69"/>
      <c r="L5040" s="49"/>
      <c r="M5040" s="36" t="str">
        <f t="shared" si="33"/>
        <v/>
      </c>
      <c r="N5040" s="30" t="str">
        <f t="shared" si="34"/>
        <v>BT atau SU Belum Valid</v>
      </c>
      <c r="O5040" s="39" t="str">
        <f t="shared" si="23"/>
        <v/>
      </c>
      <c r="P5040" s="47" t="b">
        <v>0</v>
      </c>
      <c r="Q5040" s="36" t="str">
        <f t="shared" si="35"/>
        <v/>
      </c>
      <c r="R5040" s="47" t="b">
        <v>0</v>
      </c>
      <c r="S5040" s="42" t="str">
        <f t="shared" si="28"/>
        <v/>
      </c>
      <c r="T5040" s="42"/>
    </row>
    <row r="5041" ht="22.5" customHeight="1">
      <c r="B5041" s="42">
        <f t="shared" si="7"/>
        <v>5035</v>
      </c>
      <c r="C5041" s="31" t="s">
        <v>5039</v>
      </c>
      <c r="D5041" s="34" t="str">
        <f t="array" ref="D5041">IFNA(_xlfn.XLOOKUP(C5041,Table_Tarikan_Warkah[Nomor Sertipikat],Table_Tarikan_Warkah[Nomor Tiket]),"")</f>
        <v>ABTITOBG/AB054</v>
      </c>
      <c r="E5041" s="36" t="str">
        <f t="array" ref="E5041">IFNA(_xlfn.XLOOKUP(D5041,Table_Tarikan_Warkah[Nomor Tiket],Table_Tarikan_Warkah[Tanggal diserahkan kepada Validator]),"")</f>
        <v/>
      </c>
      <c r="F5041" s="36" t="str">
        <f t="array" ref="F5041">IFNA(_xlfn.XLOOKUP(D5041,Table_Tarikan_Warkah[Nomor Tiket],Table_Tarikan_Warkah[Nama Petugas Warkah]),"")</f>
        <v/>
      </c>
      <c r="G5041" s="39" t="str">
        <f t="array" ref="G5041">IFNA(_xlfn.XLOOKUP(D5041,Table_Tarikan_Warkah[Nomor Tiket],Table_Tarikan_Warkah[Jenis Permohonan]),"")</f>
        <v>BN HIBAH</v>
      </c>
      <c r="H5041" s="41" t="s">
        <v>2315</v>
      </c>
      <c r="I5041" s="49" t="s">
        <v>23</v>
      </c>
      <c r="J5041" s="36">
        <f t="shared" si="20"/>
        <v>46085.51179</v>
      </c>
      <c r="K5041" s="69"/>
      <c r="L5041" s="49"/>
      <c r="M5041" s="36" t="str">
        <f t="shared" si="33"/>
        <v/>
      </c>
      <c r="N5041" s="30" t="str">
        <f t="shared" si="34"/>
        <v>BT atau SU Belum Valid</v>
      </c>
      <c r="O5041" s="39" t="str">
        <f t="shared" si="23"/>
        <v/>
      </c>
      <c r="P5041" s="47" t="b">
        <v>0</v>
      </c>
      <c r="Q5041" s="36" t="str">
        <f t="shared" si="35"/>
        <v/>
      </c>
      <c r="R5041" s="47" t="b">
        <v>0</v>
      </c>
      <c r="S5041" s="42" t="str">
        <f t="shared" si="28"/>
        <v/>
      </c>
      <c r="T5041" s="42"/>
    </row>
    <row r="5042" ht="22.5" customHeight="1">
      <c r="B5042" s="42">
        <f t="shared" si="7"/>
        <v>5036</v>
      </c>
      <c r="C5042" s="31" t="s">
        <v>5040</v>
      </c>
      <c r="D5042" s="34" t="str">
        <f t="array" ref="D5042">IFNA(_xlfn.XLOOKUP(C5042,Table_Tarikan_Warkah[Nomor Sertipikat],Table_Tarikan_Warkah[Nomor Tiket]),"")</f>
        <v>ABPCYKUY/AB039</v>
      </c>
      <c r="E5042" s="36" t="str">
        <f t="array" ref="E5042">IFNA(_xlfn.XLOOKUP(D5042,Table_Tarikan_Warkah[Nomor Tiket],Table_Tarikan_Warkah[Tanggal diserahkan kepada Validator]),"")</f>
        <v/>
      </c>
      <c r="F5042" s="36" t="str">
        <f t="array" ref="F5042">IFNA(_xlfn.XLOOKUP(D5042,Table_Tarikan_Warkah[Nomor Tiket],Table_Tarikan_Warkah[Nama Petugas Warkah]),"")</f>
        <v/>
      </c>
      <c r="G5042" s="39" t="str">
        <f t="array" ref="G5042">IFNA(_xlfn.XLOOKUP(D5042,Table_Tarikan_Warkah[Nomor Tiket],Table_Tarikan_Warkah[Jenis Permohonan]),"")</f>
        <v>Balik Nama jual beli</v>
      </c>
      <c r="H5042" s="41" t="s">
        <v>2315</v>
      </c>
      <c r="I5042" s="49" t="s">
        <v>23</v>
      </c>
      <c r="J5042" s="36">
        <f t="shared" si="20"/>
        <v>46085.51206</v>
      </c>
      <c r="K5042" s="69"/>
      <c r="L5042" s="49"/>
      <c r="M5042" s="36" t="str">
        <f t="shared" si="33"/>
        <v/>
      </c>
      <c r="N5042" s="30" t="str">
        <f t="shared" si="34"/>
        <v>BT atau SU Belum Valid</v>
      </c>
      <c r="O5042" s="39" t="str">
        <f t="shared" si="23"/>
        <v/>
      </c>
      <c r="P5042" s="47" t="b">
        <v>0</v>
      </c>
      <c r="Q5042" s="36" t="str">
        <f t="shared" si="35"/>
        <v/>
      </c>
      <c r="R5042" s="47" t="b">
        <v>0</v>
      </c>
      <c r="S5042" s="42" t="str">
        <f t="shared" si="28"/>
        <v/>
      </c>
      <c r="T5042" s="42"/>
    </row>
    <row r="5043" ht="22.5" customHeight="1">
      <c r="B5043" s="42">
        <f t="shared" si="7"/>
        <v>5037</v>
      </c>
      <c r="C5043" s="31" t="s">
        <v>5041</v>
      </c>
      <c r="D5043" s="34" t="str">
        <f t="array" ref="D5043">IFNA(_xlfn.XLOOKUP(C5043,Table_Tarikan_Warkah[Nomor Sertipikat],Table_Tarikan_Warkah[Nomor Tiket]),"")</f>
        <v>ABSROFLD/AB039</v>
      </c>
      <c r="E5043" s="36" t="str">
        <f t="array" ref="E5043">IFNA(_xlfn.XLOOKUP(D5043,Table_Tarikan_Warkah[Nomor Tiket],Table_Tarikan_Warkah[Tanggal diserahkan kepada Validator]),"")</f>
        <v/>
      </c>
      <c r="F5043" s="36" t="str">
        <f t="array" ref="F5043">IFNA(_xlfn.XLOOKUP(D5043,Table_Tarikan_Warkah[Nomor Tiket],Table_Tarikan_Warkah[Nama Petugas Warkah]),"")</f>
        <v/>
      </c>
      <c r="G5043" s="39" t="str">
        <f t="array" ref="G5043">IFNA(_xlfn.XLOOKUP(D5043,Table_Tarikan_Warkah[Nomor Tiket],Table_Tarikan_Warkah[Jenis Permohonan]),"")</f>
        <v>Balik Nama jual beli</v>
      </c>
      <c r="H5043" s="41" t="s">
        <v>2315</v>
      </c>
      <c r="I5043" s="49" t="s">
        <v>23</v>
      </c>
      <c r="J5043" s="36">
        <f t="shared" si="20"/>
        <v>46085.51307</v>
      </c>
      <c r="K5043" s="69"/>
      <c r="L5043" s="49"/>
      <c r="M5043" s="36" t="str">
        <f t="shared" si="33"/>
        <v/>
      </c>
      <c r="N5043" s="30" t="str">
        <f t="shared" si="34"/>
        <v>BT atau SU Belum Valid</v>
      </c>
      <c r="O5043" s="39" t="str">
        <f t="shared" si="23"/>
        <v/>
      </c>
      <c r="P5043" s="47" t="b">
        <v>0</v>
      </c>
      <c r="Q5043" s="36" t="str">
        <f t="shared" si="35"/>
        <v/>
      </c>
      <c r="R5043" s="47" t="b">
        <v>0</v>
      </c>
      <c r="S5043" s="42" t="str">
        <f t="shared" si="28"/>
        <v/>
      </c>
      <c r="T5043" s="42"/>
    </row>
    <row r="5044" ht="22.5" customHeight="1">
      <c r="B5044" s="42">
        <f t="shared" si="7"/>
        <v>5038</v>
      </c>
      <c r="C5044" s="31" t="s">
        <v>5042</v>
      </c>
      <c r="D5044" s="34" t="str">
        <f t="array" ref="D5044">IFNA(_xlfn.XLOOKUP(C5044,Table_Tarikan_Warkah[Nomor Sertipikat],Table_Tarikan_Warkah[Nomor Tiket]),"")</f>
        <v>AB069/ABVKKBHS</v>
      </c>
      <c r="E5044" s="36" t="str">
        <f t="array" ref="E5044">IFNA(_xlfn.XLOOKUP(D5044,Table_Tarikan_Warkah[Nomor Tiket],Table_Tarikan_Warkah[Tanggal diserahkan kepada Validator]),"")</f>
        <v/>
      </c>
      <c r="F5044" s="36" t="str">
        <f t="array" ref="F5044">IFNA(_xlfn.XLOOKUP(D5044,Table_Tarikan_Warkah[Nomor Tiket],Table_Tarikan_Warkah[Nama Petugas Warkah]),"")</f>
        <v/>
      </c>
      <c r="G5044" s="39" t="str">
        <f t="array" ref="G5044">IFNA(_xlfn.XLOOKUP(D5044,Table_Tarikan_Warkah[Nomor Tiket],Table_Tarikan_Warkah[Jenis Permohonan]),"")</f>
        <v>Balik Nama</v>
      </c>
      <c r="H5044" s="41" t="s">
        <v>2315</v>
      </c>
      <c r="I5044" s="49" t="s">
        <v>23</v>
      </c>
      <c r="J5044" s="36">
        <f t="shared" si="20"/>
        <v>46085.51388</v>
      </c>
      <c r="K5044" s="69"/>
      <c r="L5044" s="49"/>
      <c r="M5044" s="36" t="str">
        <f t="shared" si="33"/>
        <v/>
      </c>
      <c r="N5044" s="30" t="str">
        <f t="shared" si="34"/>
        <v>BT atau SU Belum Valid</v>
      </c>
      <c r="O5044" s="39" t="str">
        <f t="shared" si="23"/>
        <v/>
      </c>
      <c r="P5044" s="47" t="b">
        <v>0</v>
      </c>
      <c r="Q5044" s="36" t="str">
        <f t="shared" si="35"/>
        <v/>
      </c>
      <c r="R5044" s="47" t="b">
        <v>0</v>
      </c>
      <c r="S5044" s="42" t="str">
        <f t="shared" si="28"/>
        <v/>
      </c>
      <c r="T5044" s="42"/>
    </row>
    <row r="5045" ht="22.5" customHeight="1">
      <c r="B5045" s="42">
        <f t="shared" si="7"/>
        <v>5039</v>
      </c>
      <c r="C5045" s="31" t="s">
        <v>5043</v>
      </c>
      <c r="D5045" s="34" t="str">
        <f t="array" ref="D5045">IFNA(_xlfn.XLOOKUP(C5045,Table_Tarikan_Warkah[Nomor Sertipikat],Table_Tarikan_Warkah[Nomor Tiket]),"")</f>
        <v>ABTELJNY</v>
      </c>
      <c r="E5045" s="36" t="str">
        <f t="array" ref="E5045">IFNA(_xlfn.XLOOKUP(D5045,Table_Tarikan_Warkah[Nomor Tiket],Table_Tarikan_Warkah[Tanggal diserahkan kepada Validator]),"")</f>
        <v/>
      </c>
      <c r="F5045" s="36" t="str">
        <f t="array" ref="F5045">IFNA(_xlfn.XLOOKUP(D5045,Table_Tarikan_Warkah[Nomor Tiket],Table_Tarikan_Warkah[Nama Petugas Warkah]),"")</f>
        <v/>
      </c>
      <c r="G5045" s="39" t="str">
        <f t="array" ref="G5045">IFNA(_xlfn.XLOOKUP(D5045,Table_Tarikan_Warkah[Nomor Tiket],Table_Tarikan_Warkah[Jenis Permohonan]),"")</f>
        <v>Marger</v>
      </c>
      <c r="H5045" s="41" t="s">
        <v>2315</v>
      </c>
      <c r="I5045" s="49" t="s">
        <v>23</v>
      </c>
      <c r="J5045" s="36">
        <f t="shared" si="20"/>
        <v>46086.38594</v>
      </c>
      <c r="K5045" s="69"/>
      <c r="L5045" s="49"/>
      <c r="M5045" s="36" t="str">
        <f t="shared" si="33"/>
        <v/>
      </c>
      <c r="N5045" s="30" t="str">
        <f t="shared" si="34"/>
        <v>BT atau SU Belum Valid</v>
      </c>
      <c r="O5045" s="39" t="str">
        <f t="shared" si="23"/>
        <v/>
      </c>
      <c r="P5045" s="47" t="b">
        <v>0</v>
      </c>
      <c r="Q5045" s="36" t="str">
        <f t="shared" si="35"/>
        <v/>
      </c>
      <c r="R5045" s="47" t="b">
        <v>0</v>
      </c>
      <c r="S5045" s="42" t="str">
        <f t="shared" si="28"/>
        <v/>
      </c>
      <c r="T5045" s="42"/>
    </row>
    <row r="5046" ht="22.5" customHeight="1">
      <c r="B5046" s="42">
        <f t="shared" si="7"/>
        <v>5040</v>
      </c>
      <c r="C5046" s="31" t="s">
        <v>5044</v>
      </c>
      <c r="D5046" s="34" t="str">
        <f t="array" ref="D5046">IFNA(_xlfn.XLOOKUP(C5046,Table_Tarikan_Warkah[Nomor Sertipikat],Table_Tarikan_Warkah[Nomor Tiket]),"")</f>
        <v>ABTXJGIB</v>
      </c>
      <c r="E5046" s="36" t="str">
        <f t="array" ref="E5046">IFNA(_xlfn.XLOOKUP(D5046,Table_Tarikan_Warkah[Nomor Tiket],Table_Tarikan_Warkah[Tanggal diserahkan kepada Validator]),"")</f>
        <v/>
      </c>
      <c r="F5046" s="36" t="str">
        <f t="array" ref="F5046">IFNA(_xlfn.XLOOKUP(D5046,Table_Tarikan_Warkah[Nomor Tiket],Table_Tarikan_Warkah[Nama Petugas Warkah]),"")</f>
        <v/>
      </c>
      <c r="G5046" s="39" t="str">
        <f t="array" ref="G5046">IFNA(_xlfn.XLOOKUP(D5046,Table_Tarikan_Warkah[Nomor Tiket],Table_Tarikan_Warkah[Jenis Permohonan]),"")</f>
        <v>Marger</v>
      </c>
      <c r="H5046" s="41" t="s">
        <v>2315</v>
      </c>
      <c r="I5046" s="49" t="s">
        <v>23</v>
      </c>
      <c r="J5046" s="36">
        <f t="shared" si="20"/>
        <v>46086.38661</v>
      </c>
      <c r="K5046" s="69"/>
      <c r="L5046" s="49"/>
      <c r="M5046" s="36" t="str">
        <f t="shared" si="33"/>
        <v/>
      </c>
      <c r="N5046" s="30" t="str">
        <f t="shared" si="34"/>
        <v>BT atau SU Belum Valid</v>
      </c>
      <c r="O5046" s="39" t="str">
        <f t="shared" si="23"/>
        <v/>
      </c>
      <c r="P5046" s="47" t="b">
        <v>0</v>
      </c>
      <c r="Q5046" s="36" t="str">
        <f t="shared" si="35"/>
        <v/>
      </c>
      <c r="R5046" s="47" t="b">
        <v>0</v>
      </c>
      <c r="S5046" s="42" t="str">
        <f t="shared" si="28"/>
        <v/>
      </c>
      <c r="T5046" s="42"/>
    </row>
    <row r="5047" ht="22.5" customHeight="1">
      <c r="B5047" s="42">
        <f t="shared" si="7"/>
        <v>5041</v>
      </c>
      <c r="C5047" s="31" t="s">
        <v>5045</v>
      </c>
      <c r="D5047" s="34" t="str">
        <f t="array" ref="D5047">IFNA(_xlfn.XLOOKUP(C5047,Table_Tarikan_Warkah[Nomor Sertipikat],Table_Tarikan_Warkah[Nomor Tiket]),"")</f>
        <v>Abpfpiiu</v>
      </c>
      <c r="E5047" s="36" t="str">
        <f t="array" ref="E5047">IFNA(_xlfn.XLOOKUP(D5047,Table_Tarikan_Warkah[Nomor Tiket],Table_Tarikan_Warkah[Tanggal diserahkan kepada Validator]),"")</f>
        <v/>
      </c>
      <c r="F5047" s="36" t="str">
        <f t="array" ref="F5047">IFNA(_xlfn.XLOOKUP(D5047,Table_Tarikan_Warkah[Nomor Tiket],Table_Tarikan_Warkah[Nama Petugas Warkah]),"")</f>
        <v/>
      </c>
      <c r="G5047" s="39" t="str">
        <f t="array" ref="G5047">IFNA(_xlfn.XLOOKUP(D5047,Table_Tarikan_Warkah[Nomor Tiket],Table_Tarikan_Warkah[Jenis Permohonan]),"")</f>
        <v>Balik nama waris</v>
      </c>
      <c r="H5047" s="41" t="s">
        <v>2315</v>
      </c>
      <c r="I5047" s="49" t="s">
        <v>23</v>
      </c>
      <c r="J5047" s="36">
        <f t="shared" si="20"/>
        <v>46086.388</v>
      </c>
      <c r="K5047" s="69"/>
      <c r="L5047" s="49"/>
      <c r="M5047" s="36" t="str">
        <f t="shared" si="33"/>
        <v/>
      </c>
      <c r="N5047" s="30" t="str">
        <f t="shared" si="34"/>
        <v>BT atau SU Belum Valid</v>
      </c>
      <c r="O5047" s="39" t="str">
        <f t="shared" si="23"/>
        <v/>
      </c>
      <c r="P5047" s="47" t="b">
        <v>0</v>
      </c>
      <c r="Q5047" s="36" t="str">
        <f t="shared" si="35"/>
        <v/>
      </c>
      <c r="R5047" s="47" t="b">
        <v>0</v>
      </c>
      <c r="S5047" s="42" t="str">
        <f t="shared" si="28"/>
        <v/>
      </c>
      <c r="T5047" s="42"/>
    </row>
    <row r="5048" ht="22.5" customHeight="1">
      <c r="B5048" s="42">
        <f t="shared" si="7"/>
        <v>5042</v>
      </c>
      <c r="C5048" s="31" t="s">
        <v>5046</v>
      </c>
      <c r="D5048" s="34" t="str">
        <f t="array" ref="D5048">IFNA(_xlfn.XLOOKUP(C5048,Table_Tarikan_Warkah[Nomor Sertipikat],Table_Tarikan_Warkah[Nomor Tiket]),"")</f>
        <v>L/21/240625/1</v>
      </c>
      <c r="E5048" s="36" t="str">
        <f t="array" ref="E5048">IFNA(_xlfn.XLOOKUP(D5048,Table_Tarikan_Warkah[Nomor Tiket],Table_Tarikan_Warkah[Tanggal diserahkan kepada Validator]),"")</f>
        <v/>
      </c>
      <c r="F5048" s="36" t="str">
        <f t="array" ref="F5048">IFNA(_xlfn.XLOOKUP(D5048,Table_Tarikan_Warkah[Nomor Tiket],Table_Tarikan_Warkah[Nama Petugas Warkah]),"")</f>
        <v/>
      </c>
      <c r="G5048" s="39" t="str">
        <f t="array" ref="G5048">IFNA(_xlfn.XLOOKUP(D5048,Table_Tarikan_Warkah[Nomor Tiket],Table_Tarikan_Warkah[Jenis Permohonan]),"")</f>
        <v>ROYA WARIS</v>
      </c>
      <c r="H5048" s="41" t="s">
        <v>2315</v>
      </c>
      <c r="I5048" s="49" t="s">
        <v>23</v>
      </c>
      <c r="J5048" s="36">
        <f t="shared" si="20"/>
        <v>46086.39015</v>
      </c>
      <c r="K5048" s="69"/>
      <c r="L5048" s="49"/>
      <c r="M5048" s="36" t="str">
        <f t="shared" si="33"/>
        <v/>
      </c>
      <c r="N5048" s="30" t="str">
        <f t="shared" si="34"/>
        <v>BT atau SU Belum Valid</v>
      </c>
      <c r="O5048" s="39" t="str">
        <f t="shared" si="23"/>
        <v/>
      </c>
      <c r="P5048" s="47" t="b">
        <v>0</v>
      </c>
      <c r="Q5048" s="36" t="str">
        <f t="shared" si="35"/>
        <v/>
      </c>
      <c r="R5048" s="47" t="b">
        <v>0</v>
      </c>
      <c r="S5048" s="42" t="str">
        <f t="shared" si="28"/>
        <v/>
      </c>
      <c r="T5048" s="42"/>
    </row>
    <row r="5049" ht="22.5" customHeight="1">
      <c r="B5049" s="42">
        <f t="shared" si="7"/>
        <v>5043</v>
      </c>
      <c r="C5049" s="31" t="s">
        <v>5047</v>
      </c>
      <c r="D5049" s="34" t="str">
        <f t="array" ref="D5049">IFNA(_xlfn.XLOOKUP(C5049,Table_Tarikan_Warkah[Nomor Sertipikat],Table_Tarikan_Warkah[Nomor Tiket]),"")</f>
        <v>L/6/300126/1</v>
      </c>
      <c r="E5049" s="36" t="str">
        <f t="array" ref="E5049">IFNA(_xlfn.XLOOKUP(D5049,Table_Tarikan_Warkah[Nomor Tiket],Table_Tarikan_Warkah[Tanggal diserahkan kepada Validator]),"")</f>
        <v/>
      </c>
      <c r="F5049" s="36" t="str">
        <f t="array" ref="F5049">IFNA(_xlfn.XLOOKUP(D5049,Table_Tarikan_Warkah[Nomor Tiket],Table_Tarikan_Warkah[Nama Petugas Warkah]),"")</f>
        <v/>
      </c>
      <c r="G5049" s="39" t="str">
        <f t="array" ref="G5049">IFNA(_xlfn.XLOOKUP(D5049,Table_Tarikan_Warkah[Nomor Tiket],Table_Tarikan_Warkah[Jenis Permohonan]),"")</f>
        <v>M. 13335/RAJABASA</v>
      </c>
      <c r="H5049" s="41" t="s">
        <v>2315</v>
      </c>
      <c r="I5049" s="49" t="s">
        <v>23</v>
      </c>
      <c r="J5049" s="36">
        <f t="shared" si="20"/>
        <v>46086.39125</v>
      </c>
      <c r="K5049" s="69"/>
      <c r="L5049" s="49"/>
      <c r="M5049" s="36" t="str">
        <f t="shared" si="33"/>
        <v/>
      </c>
      <c r="N5049" s="30" t="str">
        <f t="shared" si="34"/>
        <v>BT atau SU Belum Valid</v>
      </c>
      <c r="O5049" s="39" t="str">
        <f t="shared" si="23"/>
        <v/>
      </c>
      <c r="P5049" s="47" t="b">
        <v>0</v>
      </c>
      <c r="Q5049" s="36" t="str">
        <f t="shared" si="35"/>
        <v/>
      </c>
      <c r="R5049" s="47" t="b">
        <v>0</v>
      </c>
      <c r="S5049" s="42" t="str">
        <f t="shared" si="28"/>
        <v/>
      </c>
      <c r="T5049" s="42"/>
    </row>
    <row r="5050" ht="22.5" customHeight="1">
      <c r="B5050" s="42">
        <f t="shared" si="7"/>
        <v>5044</v>
      </c>
      <c r="C5050" s="31" t="s">
        <v>5048</v>
      </c>
      <c r="D5050" s="34" t="str">
        <f t="array" ref="D5050">IFNA(_xlfn.XLOOKUP(C5050,Table_Tarikan_Warkah[Nomor Sertipikat],Table_Tarikan_Warkah[Nomor Tiket]),"")</f>
        <v>L/8/150126/1</v>
      </c>
      <c r="E5050" s="36" t="str">
        <f t="array" ref="E5050">IFNA(_xlfn.XLOOKUP(D5050,Table_Tarikan_Warkah[Nomor Tiket],Table_Tarikan_Warkah[Tanggal diserahkan kepada Validator]),"")</f>
        <v/>
      </c>
      <c r="F5050" s="36" t="str">
        <f t="array" ref="F5050">IFNA(_xlfn.XLOOKUP(D5050,Table_Tarikan_Warkah[Nomor Tiket],Table_Tarikan_Warkah[Nama Petugas Warkah]),"")</f>
        <v/>
      </c>
      <c r="G5050" s="39" t="str">
        <f t="array" ref="G5050">IFNA(_xlfn.XLOOKUP(D5050,Table_Tarikan_Warkah[Nomor Tiket],Table_Tarikan_Warkah[Jenis Permohonan]),"")</f>
        <v>M. 3682/TANJUNG SENENG</v>
      </c>
      <c r="H5050" s="41" t="s">
        <v>2315</v>
      </c>
      <c r="I5050" s="49" t="s">
        <v>23</v>
      </c>
      <c r="J5050" s="36">
        <f t="shared" si="20"/>
        <v>46086.39184</v>
      </c>
      <c r="K5050" s="69"/>
      <c r="L5050" s="49"/>
      <c r="M5050" s="36" t="str">
        <f t="shared" si="33"/>
        <v/>
      </c>
      <c r="N5050" s="30" t="str">
        <f t="shared" si="34"/>
        <v>BT atau SU Belum Valid</v>
      </c>
      <c r="O5050" s="39" t="str">
        <f t="shared" si="23"/>
        <v/>
      </c>
      <c r="P5050" s="47" t="b">
        <v>0</v>
      </c>
      <c r="Q5050" s="36" t="str">
        <f t="shared" si="35"/>
        <v/>
      </c>
      <c r="R5050" s="47" t="b">
        <v>0</v>
      </c>
      <c r="S5050" s="42" t="str">
        <f t="shared" si="28"/>
        <v/>
      </c>
      <c r="T5050" s="42"/>
    </row>
    <row r="5051" ht="22.5" customHeight="1">
      <c r="B5051" s="42">
        <f t="shared" si="7"/>
        <v>5045</v>
      </c>
      <c r="C5051" s="31" t="s">
        <v>5049</v>
      </c>
      <c r="D5051" s="34" t="str">
        <f t="array" ref="D5051">IFNA(_xlfn.XLOOKUP(C5051,Table_Tarikan_Warkah[Nomor Sertipikat],Table_Tarikan_Warkah[Nomor Tiket]),"")</f>
        <v>K/5/050226/1</v>
      </c>
      <c r="E5051" s="36" t="str">
        <f t="array" ref="E5051">IFNA(_xlfn.XLOOKUP(D5051,Table_Tarikan_Warkah[Nomor Tiket],Table_Tarikan_Warkah[Tanggal diserahkan kepada Validator]),"")</f>
        <v/>
      </c>
      <c r="F5051" s="36" t="str">
        <f t="array" ref="F5051">IFNA(_xlfn.XLOOKUP(D5051,Table_Tarikan_Warkah[Nomor Tiket],Table_Tarikan_Warkah[Nama Petugas Warkah]),"")</f>
        <v/>
      </c>
      <c r="G5051" s="39" t="str">
        <f t="array" ref="G5051">IFNA(_xlfn.XLOOKUP(D5051,Table_Tarikan_Warkah[Nomor Tiket],Table_Tarikan_Warkah[Jenis Permohonan]),"")</f>
        <v>BN WARIS</v>
      </c>
      <c r="H5051" s="41" t="s">
        <v>2315</v>
      </c>
      <c r="I5051" s="49" t="s">
        <v>23</v>
      </c>
      <c r="J5051" s="36">
        <f t="shared" si="20"/>
        <v>46086.39237</v>
      </c>
      <c r="K5051" s="69"/>
      <c r="L5051" s="49"/>
      <c r="M5051" s="36" t="str">
        <f t="shared" si="33"/>
        <v/>
      </c>
      <c r="N5051" s="30" t="str">
        <f t="shared" si="34"/>
        <v>BT atau SU Belum Valid</v>
      </c>
      <c r="O5051" s="39" t="str">
        <f t="shared" si="23"/>
        <v/>
      </c>
      <c r="P5051" s="47" t="b">
        <v>0</v>
      </c>
      <c r="Q5051" s="36" t="str">
        <f t="shared" si="35"/>
        <v/>
      </c>
      <c r="R5051" s="47" t="b">
        <v>0</v>
      </c>
      <c r="S5051" s="42" t="str">
        <f t="shared" si="28"/>
        <v/>
      </c>
      <c r="T5051" s="42"/>
    </row>
    <row r="5052" ht="22.5" customHeight="1">
      <c r="B5052" s="42">
        <f t="shared" si="7"/>
        <v>5046</v>
      </c>
      <c r="C5052" s="31" t="s">
        <v>5050</v>
      </c>
      <c r="D5052" s="34" t="str">
        <f t="array" ref="D5052">IFNA(_xlfn.XLOOKUP(C5052,Table_Tarikan_Warkah[Nomor Sertipikat],Table_Tarikan_Warkah[Nomor Tiket]),"")</f>
        <v>ABIYUFUK</v>
      </c>
      <c r="E5052" s="36" t="str">
        <f t="array" ref="E5052">IFNA(_xlfn.XLOOKUP(D5052,Table_Tarikan_Warkah[Nomor Tiket],Table_Tarikan_Warkah[Tanggal diserahkan kepada Validator]),"")</f>
        <v/>
      </c>
      <c r="F5052" s="36" t="str">
        <f t="array" ref="F5052">IFNA(_xlfn.XLOOKUP(D5052,Table_Tarikan_Warkah[Nomor Tiket],Table_Tarikan_Warkah[Nama Petugas Warkah]),"")</f>
        <v/>
      </c>
      <c r="G5052" s="39" t="str">
        <f t="array" ref="G5052">IFNA(_xlfn.XLOOKUP(D5052,Table_Tarikan_Warkah[Nomor Tiket],Table_Tarikan_Warkah[Jenis Permohonan]),"")</f>
        <v>Bbn ajb</v>
      </c>
      <c r="H5052" s="41" t="s">
        <v>2315</v>
      </c>
      <c r="I5052" s="49" t="s">
        <v>23</v>
      </c>
      <c r="J5052" s="36">
        <f t="shared" si="20"/>
        <v>46086.52721</v>
      </c>
      <c r="K5052" s="69"/>
      <c r="L5052" s="49"/>
      <c r="M5052" s="36" t="str">
        <f t="shared" si="33"/>
        <v/>
      </c>
      <c r="N5052" s="30" t="str">
        <f t="shared" si="34"/>
        <v>BT atau SU Belum Valid</v>
      </c>
      <c r="O5052" s="39" t="str">
        <f t="shared" si="23"/>
        <v/>
      </c>
      <c r="P5052" s="47" t="b">
        <v>0</v>
      </c>
      <c r="Q5052" s="36" t="str">
        <f t="shared" si="35"/>
        <v/>
      </c>
      <c r="R5052" s="47" t="b">
        <v>0</v>
      </c>
      <c r="S5052" s="42" t="str">
        <f t="shared" si="28"/>
        <v/>
      </c>
      <c r="T5052" s="42"/>
    </row>
    <row r="5053" ht="22.5" customHeight="1">
      <c r="B5053" s="42">
        <f t="shared" si="7"/>
        <v>5047</v>
      </c>
      <c r="C5053" s="31" t="s">
        <v>5051</v>
      </c>
      <c r="D5053" s="34" t="str">
        <f t="array" ref="D5053">IFNA(_xlfn.XLOOKUP(C5053,Table_Tarikan_Warkah[Nomor Sertipikat],Table_Tarikan_Warkah[Nomor Tiket]),"")</f>
        <v>ABOYZBAA</v>
      </c>
      <c r="E5053" s="36" t="str">
        <f t="array" ref="E5053">IFNA(_xlfn.XLOOKUP(D5053,Table_Tarikan_Warkah[Nomor Tiket],Table_Tarikan_Warkah[Tanggal diserahkan kepada Validator]),"")</f>
        <v/>
      </c>
      <c r="F5053" s="36" t="str">
        <f t="array" ref="F5053">IFNA(_xlfn.XLOOKUP(D5053,Table_Tarikan_Warkah[Nomor Tiket],Table_Tarikan_Warkah[Nama Petugas Warkah]),"")</f>
        <v/>
      </c>
      <c r="G5053" s="39" t="str">
        <f t="array" ref="G5053">IFNA(_xlfn.XLOOKUP(D5053,Table_Tarikan_Warkah[Nomor Tiket],Table_Tarikan_Warkah[Jenis Permohonan]),"")</f>
        <v>Bn ajb</v>
      </c>
      <c r="H5053" s="41" t="s">
        <v>2315</v>
      </c>
      <c r="I5053" s="49" t="s">
        <v>23</v>
      </c>
      <c r="J5053" s="36">
        <f t="shared" si="20"/>
        <v>46086.52744</v>
      </c>
      <c r="K5053" s="69"/>
      <c r="L5053" s="49"/>
      <c r="M5053" s="36" t="str">
        <f t="shared" si="33"/>
        <v/>
      </c>
      <c r="N5053" s="30" t="str">
        <f t="shared" si="34"/>
        <v>BT atau SU Belum Valid</v>
      </c>
      <c r="O5053" s="39" t="str">
        <f t="shared" si="23"/>
        <v/>
      </c>
      <c r="P5053" s="47" t="b">
        <v>0</v>
      </c>
      <c r="Q5053" s="36" t="str">
        <f t="shared" si="35"/>
        <v/>
      </c>
      <c r="R5053" s="47" t="b">
        <v>0</v>
      </c>
      <c r="S5053" s="42" t="str">
        <f t="shared" si="28"/>
        <v/>
      </c>
      <c r="T5053" s="42"/>
    </row>
    <row r="5054" ht="22.5" customHeight="1">
      <c r="B5054" s="42">
        <f t="shared" si="7"/>
        <v>5048</v>
      </c>
      <c r="C5054" s="31" t="s">
        <v>5052</v>
      </c>
      <c r="D5054" s="34" t="str">
        <f t="array" ref="D5054">IFNA(_xlfn.XLOOKUP(C5054,Table_Tarikan_Warkah[Nomor Sertipikat],Table_Tarikan_Warkah[Nomor Tiket]),"")</f>
        <v>ABVGATFH</v>
      </c>
      <c r="E5054" s="36" t="str">
        <f t="array" ref="E5054">IFNA(_xlfn.XLOOKUP(D5054,Table_Tarikan_Warkah[Nomor Tiket],Table_Tarikan_Warkah[Tanggal diserahkan kepada Validator]),"")</f>
        <v/>
      </c>
      <c r="F5054" s="36" t="str">
        <f t="array" ref="F5054">IFNA(_xlfn.XLOOKUP(D5054,Table_Tarikan_Warkah[Nomor Tiket],Table_Tarikan_Warkah[Nama Petugas Warkah]),"")</f>
        <v/>
      </c>
      <c r="G5054" s="39" t="str">
        <f t="array" ref="G5054">IFNA(_xlfn.XLOOKUP(D5054,Table_Tarikan_Warkah[Nomor Tiket],Table_Tarikan_Warkah[Jenis Permohonan]),"")</f>
        <v>Bn jual beli</v>
      </c>
      <c r="H5054" s="41" t="s">
        <v>2315</v>
      </c>
      <c r="I5054" s="49" t="s">
        <v>23</v>
      </c>
      <c r="J5054" s="36">
        <f t="shared" si="20"/>
        <v>46086.52769</v>
      </c>
      <c r="K5054" s="69"/>
      <c r="L5054" s="49"/>
      <c r="M5054" s="36" t="str">
        <f t="shared" si="33"/>
        <v/>
      </c>
      <c r="N5054" s="30" t="str">
        <f t="shared" si="34"/>
        <v>BT atau SU Belum Valid</v>
      </c>
      <c r="O5054" s="39" t="str">
        <f t="shared" si="23"/>
        <v/>
      </c>
      <c r="P5054" s="47" t="b">
        <v>0</v>
      </c>
      <c r="Q5054" s="36" t="str">
        <f t="shared" si="35"/>
        <v/>
      </c>
      <c r="R5054" s="47" t="b">
        <v>0</v>
      </c>
      <c r="S5054" s="42" t="str">
        <f t="shared" si="28"/>
        <v/>
      </c>
      <c r="T5054" s="42"/>
    </row>
    <row r="5055" ht="22.5" customHeight="1">
      <c r="B5055" s="42">
        <f t="shared" si="7"/>
        <v>5049</v>
      </c>
      <c r="C5055" s="31" t="s">
        <v>5053</v>
      </c>
      <c r="D5055" s="34" t="str">
        <f t="array" ref="D5055">IFNA(_xlfn.XLOOKUP(C5055,Table_Tarikan_Warkah[Nomor Sertipikat],Table_Tarikan_Warkah[Nomor Tiket]),"")</f>
        <v>ABYNNMYN</v>
      </c>
      <c r="E5055" s="36" t="str">
        <f t="array" ref="E5055">IFNA(_xlfn.XLOOKUP(D5055,Table_Tarikan_Warkah[Nomor Tiket],Table_Tarikan_Warkah[Tanggal diserahkan kepada Validator]),"")</f>
        <v/>
      </c>
      <c r="F5055" s="36" t="str">
        <f t="array" ref="F5055">IFNA(_xlfn.XLOOKUP(D5055,Table_Tarikan_Warkah[Nomor Tiket],Table_Tarikan_Warkah[Nama Petugas Warkah]),"")</f>
        <v/>
      </c>
      <c r="G5055" s="39" t="str">
        <f t="array" ref="G5055">IFNA(_xlfn.XLOOKUP(D5055,Table_Tarikan_Warkah[Nomor Tiket],Table_Tarikan_Warkah[Jenis Permohonan]),"")</f>
        <v>Bn Jual Beli</v>
      </c>
      <c r="H5055" s="41" t="s">
        <v>2315</v>
      </c>
      <c r="I5055" s="49" t="s">
        <v>23</v>
      </c>
      <c r="J5055" s="36">
        <f t="shared" si="20"/>
        <v>46086.5285</v>
      </c>
      <c r="K5055" s="69"/>
      <c r="L5055" s="49"/>
      <c r="M5055" s="36" t="str">
        <f t="shared" si="33"/>
        <v/>
      </c>
      <c r="N5055" s="30" t="str">
        <f t="shared" si="34"/>
        <v>BT atau SU Belum Valid</v>
      </c>
      <c r="O5055" s="39" t="str">
        <f t="shared" si="23"/>
        <v/>
      </c>
      <c r="P5055" s="47" t="b">
        <v>0</v>
      </c>
      <c r="Q5055" s="36" t="str">
        <f t="shared" si="35"/>
        <v/>
      </c>
      <c r="R5055" s="47" t="b">
        <v>0</v>
      </c>
      <c r="S5055" s="42" t="str">
        <f t="shared" si="28"/>
        <v/>
      </c>
      <c r="T5055" s="42"/>
    </row>
    <row r="5056" ht="22.5" customHeight="1">
      <c r="B5056" s="42">
        <f t="shared" si="7"/>
        <v>5050</v>
      </c>
      <c r="C5056" s="31" t="s">
        <v>4928</v>
      </c>
      <c r="D5056" s="34" t="str">
        <f t="array" ref="D5056">IFNA(_xlfn.XLOOKUP(C5056,Table_Tarikan_Warkah[Nomor Sertipikat],Table_Tarikan_Warkah[Nomor Tiket]),"")</f>
        <v>ABODESHA</v>
      </c>
      <c r="E5056" s="36" t="str">
        <f t="array" ref="E5056">IFNA(_xlfn.XLOOKUP(D5056,Table_Tarikan_Warkah[Nomor Tiket],Table_Tarikan_Warkah[Tanggal diserahkan kepada Validator]),"")</f>
        <v/>
      </c>
      <c r="F5056" s="36" t="str">
        <f t="array" ref="F5056">IFNA(_xlfn.XLOOKUP(D5056,Table_Tarikan_Warkah[Nomor Tiket],Table_Tarikan_Warkah[Nama Petugas Warkah]),"")</f>
        <v/>
      </c>
      <c r="G5056" s="39" t="str">
        <f t="array" ref="G5056">IFNA(_xlfn.XLOOKUP(D5056,Table_Tarikan_Warkah[Nomor Tiket],Table_Tarikan_Warkah[Jenis Permohonan]),"")</f>
        <v>Bn waris</v>
      </c>
      <c r="H5056" s="41" t="s">
        <v>2315</v>
      </c>
      <c r="I5056" s="49" t="s">
        <v>23</v>
      </c>
      <c r="J5056" s="36">
        <f t="shared" si="20"/>
        <v>46086.52933</v>
      </c>
      <c r="K5056" s="69"/>
      <c r="L5056" s="49"/>
      <c r="M5056" s="36" t="str">
        <f t="shared" si="33"/>
        <v/>
      </c>
      <c r="N5056" s="30" t="str">
        <f t="shared" si="34"/>
        <v>BT atau SU Belum Valid</v>
      </c>
      <c r="O5056" s="39" t="str">
        <f t="shared" si="23"/>
        <v/>
      </c>
      <c r="P5056" s="47" t="b">
        <v>0</v>
      </c>
      <c r="Q5056" s="36" t="str">
        <f t="shared" si="35"/>
        <v/>
      </c>
      <c r="R5056" s="47" t="b">
        <v>0</v>
      </c>
      <c r="S5056" s="42" t="str">
        <f t="shared" si="28"/>
        <v/>
      </c>
      <c r="T5056" s="42"/>
    </row>
    <row r="5057" ht="22.5" customHeight="1">
      <c r="B5057" s="42">
        <f t="shared" si="7"/>
        <v>5051</v>
      </c>
      <c r="C5057" s="31" t="s">
        <v>5054</v>
      </c>
      <c r="D5057" s="34" t="str">
        <f t="array" ref="D5057">IFNA(_xlfn.XLOOKUP(C5057,Table_Tarikan_Warkah[Nomor Sertipikat],Table_Tarikan_Warkah[Nomor Tiket]),"")</f>
        <v>AB037/ABXIAAKI</v>
      </c>
      <c r="E5057" s="36" t="str">
        <f t="array" ref="E5057">IFNA(_xlfn.XLOOKUP(D5057,Table_Tarikan_Warkah[Nomor Tiket],Table_Tarikan_Warkah[Tanggal diserahkan kepada Validator]),"")</f>
        <v/>
      </c>
      <c r="F5057" s="36" t="str">
        <f t="array" ref="F5057">IFNA(_xlfn.XLOOKUP(D5057,Table_Tarikan_Warkah[Nomor Tiket],Table_Tarikan_Warkah[Nama Petugas Warkah]),"")</f>
        <v/>
      </c>
      <c r="G5057" s="39" t="str">
        <f t="array" ref="G5057">IFNA(_xlfn.XLOOKUP(D5057,Table_Tarikan_Warkah[Nomor Tiket],Table_Tarikan_Warkah[Jenis Permohonan]),"")</f>
        <v>BN</v>
      </c>
      <c r="H5057" s="41" t="s">
        <v>2315</v>
      </c>
      <c r="I5057" s="49" t="s">
        <v>23</v>
      </c>
      <c r="J5057" s="36">
        <f t="shared" si="20"/>
        <v>46086.52954</v>
      </c>
      <c r="K5057" s="69"/>
      <c r="L5057" s="49"/>
      <c r="M5057" s="36" t="str">
        <f t="shared" si="33"/>
        <v/>
      </c>
      <c r="N5057" s="30" t="str">
        <f t="shared" si="34"/>
        <v>BT atau SU Belum Valid</v>
      </c>
      <c r="O5057" s="39" t="str">
        <f t="shared" si="23"/>
        <v/>
      </c>
      <c r="P5057" s="47" t="b">
        <v>0</v>
      </c>
      <c r="Q5057" s="36" t="str">
        <f t="shared" si="35"/>
        <v/>
      </c>
      <c r="R5057" s="47" t="b">
        <v>0</v>
      </c>
      <c r="S5057" s="42" t="str">
        <f t="shared" si="28"/>
        <v/>
      </c>
      <c r="T5057" s="42"/>
    </row>
    <row r="5058" ht="22.5" customHeight="1">
      <c r="B5058" s="42">
        <f t="shared" si="7"/>
        <v>5052</v>
      </c>
      <c r="C5058" s="31" t="s">
        <v>5055</v>
      </c>
      <c r="D5058" s="34" t="str">
        <f t="array" ref="D5058">IFNA(_xlfn.XLOOKUP(C5058,Table_Tarikan_Warkah[Nomor Sertipikat],Table_Tarikan_Warkah[Nomor Tiket]),"")</f>
        <v>ABEWQDAA</v>
      </c>
      <c r="E5058" s="36" t="str">
        <f t="array" ref="E5058">IFNA(_xlfn.XLOOKUP(D5058,Table_Tarikan_Warkah[Nomor Tiket],Table_Tarikan_Warkah[Tanggal diserahkan kepada Validator]),"")</f>
        <v/>
      </c>
      <c r="F5058" s="36" t="str">
        <f t="array" ref="F5058">IFNA(_xlfn.XLOOKUP(D5058,Table_Tarikan_Warkah[Nomor Tiket],Table_Tarikan_Warkah[Nama Petugas Warkah]),"")</f>
        <v/>
      </c>
      <c r="G5058" s="39" t="str">
        <f t="array" ref="G5058">IFNA(_xlfn.XLOOKUP(D5058,Table_Tarikan_Warkah[Nomor Tiket],Table_Tarikan_Warkah[Jenis Permohonan]),"")</f>
        <v>BN WARIS</v>
      </c>
      <c r="H5058" s="41" t="s">
        <v>2315</v>
      </c>
      <c r="I5058" s="49" t="s">
        <v>23</v>
      </c>
      <c r="J5058" s="36">
        <f t="shared" si="20"/>
        <v>46090.39182</v>
      </c>
      <c r="K5058" s="69"/>
      <c r="L5058" s="49"/>
      <c r="M5058" s="36" t="str">
        <f t="shared" si="33"/>
        <v/>
      </c>
      <c r="N5058" s="30" t="str">
        <f t="shared" si="34"/>
        <v>BT atau SU Belum Valid</v>
      </c>
      <c r="O5058" s="39" t="str">
        <f t="shared" si="23"/>
        <v/>
      </c>
      <c r="P5058" s="47" t="b">
        <v>0</v>
      </c>
      <c r="Q5058" s="36" t="str">
        <f t="shared" si="35"/>
        <v/>
      </c>
      <c r="R5058" s="47" t="b">
        <v>0</v>
      </c>
      <c r="S5058" s="42" t="str">
        <f t="shared" si="28"/>
        <v/>
      </c>
      <c r="T5058" s="42"/>
    </row>
    <row r="5059" ht="22.5" customHeight="1">
      <c r="B5059" s="42">
        <f t="shared" si="7"/>
        <v>5053</v>
      </c>
      <c r="C5059" s="31" t="s">
        <v>5056</v>
      </c>
      <c r="D5059" s="34" t="str">
        <f t="array" ref="D5059">IFNA(_xlfn.XLOOKUP(C5059,Table_Tarikan_Warkah[Nomor Sertipikat],Table_Tarikan_Warkah[Nomor Tiket]),"")</f>
        <v>ABABYMVJ</v>
      </c>
      <c r="E5059" s="36" t="str">
        <f t="array" ref="E5059">IFNA(_xlfn.XLOOKUP(D5059,Table_Tarikan_Warkah[Nomor Tiket],Table_Tarikan_Warkah[Tanggal diserahkan kepada Validator]),"")</f>
        <v/>
      </c>
      <c r="F5059" s="36" t="str">
        <f t="array" ref="F5059">IFNA(_xlfn.XLOOKUP(D5059,Table_Tarikan_Warkah[Nomor Tiket],Table_Tarikan_Warkah[Nama Petugas Warkah]),"")</f>
        <v/>
      </c>
      <c r="G5059" s="39" t="str">
        <f t="array" ref="G5059">IFNA(_xlfn.XLOOKUP(D5059,Table_Tarikan_Warkah[Nomor Tiket],Table_Tarikan_Warkah[Jenis Permohonan]),"")</f>
        <v>bn jual beli</v>
      </c>
      <c r="H5059" s="41" t="s">
        <v>2315</v>
      </c>
      <c r="I5059" s="49" t="s">
        <v>23</v>
      </c>
      <c r="J5059" s="36">
        <f t="shared" si="20"/>
        <v>46090.39481</v>
      </c>
      <c r="K5059" s="69"/>
      <c r="L5059" s="49"/>
      <c r="M5059" s="36" t="str">
        <f t="shared" si="33"/>
        <v/>
      </c>
      <c r="N5059" s="30" t="str">
        <f t="shared" si="34"/>
        <v>BT atau SU Belum Valid</v>
      </c>
      <c r="O5059" s="39" t="str">
        <f t="shared" si="23"/>
        <v/>
      </c>
      <c r="P5059" s="47" t="b">
        <v>0</v>
      </c>
      <c r="Q5059" s="36" t="str">
        <f t="shared" si="35"/>
        <v/>
      </c>
      <c r="R5059" s="47" t="b">
        <v>0</v>
      </c>
      <c r="S5059" s="42" t="str">
        <f t="shared" si="28"/>
        <v/>
      </c>
      <c r="T5059" s="42"/>
    </row>
    <row r="5060" ht="22.5" customHeight="1">
      <c r="B5060" s="42">
        <f t="shared" si="7"/>
        <v>5054</v>
      </c>
      <c r="C5060" s="31" t="s">
        <v>5057</v>
      </c>
      <c r="D5060" s="34" t="str">
        <f t="array" ref="D5060">IFNA(_xlfn.XLOOKUP(C5060,Table_Tarikan_Warkah[Nomor Sertipikat],Table_Tarikan_Warkah[Nomor Tiket]),"")</f>
        <v>L/3/260126/1</v>
      </c>
      <c r="E5060" s="36" t="str">
        <f t="array" ref="E5060">IFNA(_xlfn.XLOOKUP(D5060,Table_Tarikan_Warkah[Nomor Tiket],Table_Tarikan_Warkah[Tanggal diserahkan kepada Validator]),"")</f>
        <v/>
      </c>
      <c r="F5060" s="36" t="str">
        <f t="array" ref="F5060">IFNA(_xlfn.XLOOKUP(D5060,Table_Tarikan_Warkah[Nomor Tiket],Table_Tarikan_Warkah[Nama Petugas Warkah]),"")</f>
        <v/>
      </c>
      <c r="G5060" s="39" t="str">
        <f t="array" ref="G5060">IFNA(_xlfn.XLOOKUP(D5060,Table_Tarikan_Warkah[Nomor Tiket],Table_Tarikan_Warkah[Jenis Permohonan]),"")</f>
        <v>BN WARIS</v>
      </c>
      <c r="H5060" s="41" t="s">
        <v>2315</v>
      </c>
      <c r="I5060" s="49" t="s">
        <v>23</v>
      </c>
      <c r="J5060" s="36">
        <f t="shared" si="20"/>
        <v>46090.39647</v>
      </c>
      <c r="K5060" s="69"/>
      <c r="L5060" s="49"/>
      <c r="M5060" s="36" t="str">
        <f t="shared" si="33"/>
        <v/>
      </c>
      <c r="N5060" s="30" t="str">
        <f t="shared" si="34"/>
        <v>BT atau SU Belum Valid</v>
      </c>
      <c r="O5060" s="39" t="str">
        <f t="shared" si="23"/>
        <v/>
      </c>
      <c r="P5060" s="47" t="b">
        <v>0</v>
      </c>
      <c r="Q5060" s="36" t="str">
        <f t="shared" si="35"/>
        <v/>
      </c>
      <c r="R5060" s="47" t="b">
        <v>0</v>
      </c>
      <c r="S5060" s="42" t="str">
        <f t="shared" si="28"/>
        <v/>
      </c>
      <c r="T5060" s="42"/>
    </row>
    <row r="5061" ht="22.5" customHeight="1">
      <c r="B5061" s="42">
        <f t="shared" si="7"/>
        <v>5055</v>
      </c>
      <c r="C5061" s="31" t="s">
        <v>5058</v>
      </c>
      <c r="D5061" s="34" t="str">
        <f t="array" ref="D5061">IFNA(_xlfn.XLOOKUP(C5061,Table_Tarikan_Warkah[Nomor Sertipikat],Table_Tarikan_Warkah[Nomor Tiket]),"")</f>
        <v>Abcfojvv</v>
      </c>
      <c r="E5061" s="36" t="str">
        <f t="array" ref="E5061">IFNA(_xlfn.XLOOKUP(D5061,Table_Tarikan_Warkah[Nomor Tiket],Table_Tarikan_Warkah[Tanggal diserahkan kepada Validator]),"")</f>
        <v/>
      </c>
      <c r="F5061" s="36" t="str">
        <f t="array" ref="F5061">IFNA(_xlfn.XLOOKUP(D5061,Table_Tarikan_Warkah[Nomor Tiket],Table_Tarikan_Warkah[Nama Petugas Warkah]),"")</f>
        <v/>
      </c>
      <c r="G5061" s="39" t="str">
        <f t="array" ref="G5061">IFNA(_xlfn.XLOOKUP(D5061,Table_Tarikan_Warkah[Nomor Tiket],Table_Tarikan_Warkah[Jenis Permohonan]),"")</f>
        <v>Bn</v>
      </c>
      <c r="H5061" s="41" t="s">
        <v>2315</v>
      </c>
      <c r="I5061" s="49" t="s">
        <v>23</v>
      </c>
      <c r="J5061" s="36">
        <f t="shared" si="20"/>
        <v>46090.46897</v>
      </c>
      <c r="K5061" s="69"/>
      <c r="L5061" s="49"/>
      <c r="M5061" s="36" t="str">
        <f t="shared" si="33"/>
        <v/>
      </c>
      <c r="N5061" s="30" t="str">
        <f t="shared" si="34"/>
        <v>BT atau SU Belum Valid</v>
      </c>
      <c r="O5061" s="39" t="str">
        <f t="shared" si="23"/>
        <v/>
      </c>
      <c r="P5061" s="47" t="b">
        <v>0</v>
      </c>
      <c r="Q5061" s="36" t="str">
        <f t="shared" si="35"/>
        <v/>
      </c>
      <c r="R5061" s="47" t="b">
        <v>0</v>
      </c>
      <c r="S5061" s="42" t="str">
        <f t="shared" si="28"/>
        <v/>
      </c>
      <c r="T5061" s="42"/>
    </row>
    <row r="5062" ht="22.5" customHeight="1">
      <c r="B5062" s="42">
        <f t="shared" si="7"/>
        <v>5056</v>
      </c>
      <c r="C5062" s="31" t="s">
        <v>5059</v>
      </c>
      <c r="D5062" s="34" t="str">
        <f t="array" ref="D5062">IFNA(_xlfn.XLOOKUP(C5062,Table_Tarikan_Warkah[Nomor Sertipikat],Table_Tarikan_Warkah[Nomor Tiket]),"")</f>
        <v>AB066/ABHCRBPL</v>
      </c>
      <c r="E5062" s="36" t="str">
        <f t="array" ref="E5062">IFNA(_xlfn.XLOOKUP(D5062,Table_Tarikan_Warkah[Nomor Tiket],Table_Tarikan_Warkah[Tanggal diserahkan kepada Validator]),"")</f>
        <v/>
      </c>
      <c r="F5062" s="36" t="str">
        <f t="array" ref="F5062">IFNA(_xlfn.XLOOKUP(D5062,Table_Tarikan_Warkah[Nomor Tiket],Table_Tarikan_Warkah[Nama Petugas Warkah]),"")</f>
        <v/>
      </c>
      <c r="G5062" s="39" t="str">
        <f t="array" ref="G5062">IFNA(_xlfn.XLOOKUP(D5062,Table_Tarikan_Warkah[Nomor Tiket],Table_Tarikan_Warkah[Jenis Permohonan]),"")</f>
        <v>BALIK NAMA</v>
      </c>
      <c r="H5062" s="41" t="s">
        <v>2315</v>
      </c>
      <c r="I5062" s="49" t="s">
        <v>23</v>
      </c>
      <c r="J5062" s="36">
        <f t="shared" si="20"/>
        <v>46090.46973</v>
      </c>
      <c r="K5062" s="69"/>
      <c r="L5062" s="49"/>
      <c r="M5062" s="36" t="str">
        <f t="shared" si="33"/>
        <v/>
      </c>
      <c r="N5062" s="30" t="str">
        <f t="shared" si="34"/>
        <v>BT atau SU Belum Valid</v>
      </c>
      <c r="O5062" s="39" t="str">
        <f t="shared" si="23"/>
        <v/>
      </c>
      <c r="P5062" s="47" t="b">
        <v>0</v>
      </c>
      <c r="Q5062" s="36" t="str">
        <f t="shared" si="35"/>
        <v/>
      </c>
      <c r="R5062" s="47" t="b">
        <v>0</v>
      </c>
      <c r="S5062" s="42" t="str">
        <f t="shared" si="28"/>
        <v/>
      </c>
      <c r="T5062" s="42"/>
    </row>
    <row r="5063" ht="22.5" customHeight="1">
      <c r="B5063" s="42">
        <f t="shared" si="7"/>
        <v>5057</v>
      </c>
      <c r="C5063" s="31">
        <v>1819.0</v>
      </c>
      <c r="D5063" s="34" t="str">
        <f t="array" ref="D5063">IFNA(_xlfn.XLOOKUP(C5063,Table_Tarikan_Warkah[Nomor Sertipikat],Table_Tarikan_Warkah[Nomor Tiket]),"")</f>
        <v>ABZOYYFP</v>
      </c>
      <c r="E5063" s="36" t="str">
        <f t="array" ref="E5063">IFNA(_xlfn.XLOOKUP(D5063,Table_Tarikan_Warkah[Nomor Tiket],Table_Tarikan_Warkah[Tanggal diserahkan kepada Validator]),"")</f>
        <v/>
      </c>
      <c r="F5063" s="36" t="str">
        <f t="array" ref="F5063">IFNA(_xlfn.XLOOKUP(D5063,Table_Tarikan_Warkah[Nomor Tiket],Table_Tarikan_Warkah[Nama Petugas Warkah]),"")</f>
        <v/>
      </c>
      <c r="G5063" s="39" t="str">
        <f t="array" ref="G5063">IFNA(_xlfn.XLOOKUP(D5063,Table_Tarikan_Warkah[Nomor Tiket],Table_Tarikan_Warkah[Jenis Permohonan]),"")</f>
        <v>Balik nama </v>
      </c>
      <c r="H5063" s="41" t="s">
        <v>2315</v>
      </c>
      <c r="I5063" s="49" t="s">
        <v>23</v>
      </c>
      <c r="J5063" s="36">
        <f t="shared" si="20"/>
        <v>46090.47023</v>
      </c>
      <c r="K5063" s="69"/>
      <c r="L5063" s="49"/>
      <c r="M5063" s="36" t="str">
        <f t="shared" si="33"/>
        <v/>
      </c>
      <c r="N5063" s="30" t="str">
        <f t="shared" si="34"/>
        <v>BT atau SU Belum Valid</v>
      </c>
      <c r="O5063" s="39" t="str">
        <f t="shared" si="23"/>
        <v/>
      </c>
      <c r="P5063" s="47" t="b">
        <v>0</v>
      </c>
      <c r="Q5063" s="36" t="str">
        <f t="shared" si="35"/>
        <v/>
      </c>
      <c r="R5063" s="47" t="b">
        <v>0</v>
      </c>
      <c r="S5063" s="42" t="str">
        <f t="shared" si="28"/>
        <v/>
      </c>
      <c r="T5063" s="42"/>
    </row>
    <row r="5064" ht="22.5" customHeight="1">
      <c r="B5064" s="42">
        <f t="shared" si="7"/>
        <v>5058</v>
      </c>
      <c r="C5064" s="31" t="s">
        <v>5060</v>
      </c>
      <c r="D5064" s="34" t="str">
        <f t="array" ref="D5064">IFNA(_xlfn.XLOOKUP(C5064,Table_Tarikan_Warkah[Nomor Sertipikat],Table_Tarikan_Warkah[Nomor Tiket]),"")</f>
        <v>AB041-ABIVAPQS</v>
      </c>
      <c r="E5064" s="36" t="str">
        <f t="array" ref="E5064">IFNA(_xlfn.XLOOKUP(D5064,Table_Tarikan_Warkah[Nomor Tiket],Table_Tarikan_Warkah[Tanggal diserahkan kepada Validator]),"")</f>
        <v/>
      </c>
      <c r="F5064" s="36" t="str">
        <f t="array" ref="F5064">IFNA(_xlfn.XLOOKUP(D5064,Table_Tarikan_Warkah[Nomor Tiket],Table_Tarikan_Warkah[Nama Petugas Warkah]),"")</f>
        <v/>
      </c>
      <c r="G5064" s="39" t="str">
        <f t="array" ref="G5064">IFNA(_xlfn.XLOOKUP(D5064,Table_Tarikan_Warkah[Nomor Tiket],Table_Tarikan_Warkah[Jenis Permohonan]),"")</f>
        <v>BALIK NAMA </v>
      </c>
      <c r="H5064" s="41" t="s">
        <v>2315</v>
      </c>
      <c r="I5064" s="49" t="s">
        <v>23</v>
      </c>
      <c r="J5064" s="36">
        <f t="shared" si="20"/>
        <v>46090.47052</v>
      </c>
      <c r="K5064" s="69"/>
      <c r="L5064" s="49"/>
      <c r="M5064" s="36" t="str">
        <f t="shared" si="33"/>
        <v/>
      </c>
      <c r="N5064" s="30" t="str">
        <f t="shared" si="34"/>
        <v>BT atau SU Belum Valid</v>
      </c>
      <c r="O5064" s="39" t="str">
        <f t="shared" si="23"/>
        <v/>
      </c>
      <c r="P5064" s="47" t="b">
        <v>0</v>
      </c>
      <c r="Q5064" s="36" t="str">
        <f t="shared" si="35"/>
        <v/>
      </c>
      <c r="R5064" s="47" t="b">
        <v>0</v>
      </c>
      <c r="S5064" s="42" t="str">
        <f t="shared" si="28"/>
        <v/>
      </c>
      <c r="T5064" s="42"/>
    </row>
    <row r="5065" ht="22.5" customHeight="1">
      <c r="B5065" s="42">
        <f t="shared" si="7"/>
        <v>5059</v>
      </c>
      <c r="C5065" s="31" t="s">
        <v>5061</v>
      </c>
      <c r="D5065" s="34" t="str">
        <f t="array" ref="D5065">IFNA(_xlfn.XLOOKUP(C5065,Table_Tarikan_Warkah[Nomor Sertipikat],Table_Tarikan_Warkah[Nomor Tiket]),"")</f>
        <v>AB078-ABSMRVJV</v>
      </c>
      <c r="E5065" s="36" t="str">
        <f t="array" ref="E5065">IFNA(_xlfn.XLOOKUP(D5065,Table_Tarikan_Warkah[Nomor Tiket],Table_Tarikan_Warkah[Tanggal diserahkan kepada Validator]),"")</f>
        <v/>
      </c>
      <c r="F5065" s="36" t="str">
        <f t="array" ref="F5065">IFNA(_xlfn.XLOOKUP(D5065,Table_Tarikan_Warkah[Nomor Tiket],Table_Tarikan_Warkah[Nama Petugas Warkah]),"")</f>
        <v/>
      </c>
      <c r="G5065" s="39" t="str">
        <f t="array" ref="G5065">IFNA(_xlfn.XLOOKUP(D5065,Table_Tarikan_Warkah[Nomor Tiket],Table_Tarikan_Warkah[Jenis Permohonan]),"")</f>
        <v>Peralihan hak/ balik nama</v>
      </c>
      <c r="H5065" s="41" t="s">
        <v>2315</v>
      </c>
      <c r="I5065" s="49" t="s">
        <v>23</v>
      </c>
      <c r="J5065" s="36">
        <f t="shared" si="20"/>
        <v>46090.47086</v>
      </c>
      <c r="K5065" s="69"/>
      <c r="L5065" s="49"/>
      <c r="M5065" s="36" t="str">
        <f t="shared" si="33"/>
        <v/>
      </c>
      <c r="N5065" s="30" t="str">
        <f t="shared" si="34"/>
        <v>BT atau SU Belum Valid</v>
      </c>
      <c r="O5065" s="39" t="str">
        <f t="shared" si="23"/>
        <v/>
      </c>
      <c r="P5065" s="47" t="b">
        <v>0</v>
      </c>
      <c r="Q5065" s="36" t="str">
        <f t="shared" si="35"/>
        <v/>
      </c>
      <c r="R5065" s="47" t="b">
        <v>0</v>
      </c>
      <c r="S5065" s="42" t="str">
        <f t="shared" si="28"/>
        <v/>
      </c>
      <c r="T5065" s="42"/>
    </row>
    <row r="5066" ht="22.5" customHeight="1">
      <c r="B5066" s="42">
        <f t="shared" si="7"/>
        <v>5060</v>
      </c>
      <c r="C5066" s="31" t="s">
        <v>5062</v>
      </c>
      <c r="D5066" s="34" t="str">
        <f t="array" ref="D5066">IFNA(_xlfn.XLOOKUP(C5066,Table_Tarikan_Warkah[Nomor Sertipikat],Table_Tarikan_Warkah[Nomor Tiket]),"")</f>
        <v>Abmiguqd</v>
      </c>
      <c r="E5066" s="36" t="str">
        <f t="array" ref="E5066">IFNA(_xlfn.XLOOKUP(D5066,Table_Tarikan_Warkah[Nomor Tiket],Table_Tarikan_Warkah[Tanggal diserahkan kepada Validator]),"")</f>
        <v/>
      </c>
      <c r="F5066" s="36" t="str">
        <f t="array" ref="F5066">IFNA(_xlfn.XLOOKUP(D5066,Table_Tarikan_Warkah[Nomor Tiket],Table_Tarikan_Warkah[Nama Petugas Warkah]),"")</f>
        <v/>
      </c>
      <c r="G5066" s="39" t="str">
        <f t="array" ref="G5066">IFNA(_xlfn.XLOOKUP(D5066,Table_Tarikan_Warkah[Nomor Tiket],Table_Tarikan_Warkah[Jenis Permohonan]),"")</f>
        <v>BN JUAL BELI</v>
      </c>
      <c r="H5066" s="41" t="s">
        <v>2315</v>
      </c>
      <c r="I5066" s="49" t="s">
        <v>23</v>
      </c>
      <c r="J5066" s="36">
        <f t="shared" si="20"/>
        <v>46090.47184</v>
      </c>
      <c r="K5066" s="69"/>
      <c r="L5066" s="49"/>
      <c r="M5066" s="36" t="str">
        <f t="shared" si="33"/>
        <v/>
      </c>
      <c r="N5066" s="30" t="str">
        <f t="shared" si="34"/>
        <v>BT atau SU Belum Valid</v>
      </c>
      <c r="O5066" s="39" t="str">
        <f t="shared" si="23"/>
        <v/>
      </c>
      <c r="P5066" s="47" t="b">
        <v>0</v>
      </c>
      <c r="Q5066" s="36" t="str">
        <f t="shared" si="35"/>
        <v/>
      </c>
      <c r="R5066" s="47" t="b">
        <v>0</v>
      </c>
      <c r="S5066" s="42" t="str">
        <f t="shared" si="28"/>
        <v/>
      </c>
      <c r="T5066" s="42"/>
    </row>
    <row r="5067" ht="22.5" customHeight="1">
      <c r="B5067" s="42">
        <f t="shared" si="7"/>
        <v>5061</v>
      </c>
      <c r="C5067" s="31" t="s">
        <v>5063</v>
      </c>
      <c r="D5067" s="34" t="str">
        <f t="array" ref="D5067">IFNA(_xlfn.XLOOKUP(C5067,Table_Tarikan_Warkah[Nomor Sertipikat],Table_Tarikan_Warkah[Nomor Tiket]),"")</f>
        <v>Ab 30 ( abwbmosc )</v>
      </c>
      <c r="E5067" s="36" t="str">
        <f t="array" ref="E5067">IFNA(_xlfn.XLOOKUP(D5067,Table_Tarikan_Warkah[Nomor Tiket],Table_Tarikan_Warkah[Tanggal diserahkan kepada Validator]),"")</f>
        <v/>
      </c>
      <c r="F5067" s="36" t="str">
        <f t="array" ref="F5067">IFNA(_xlfn.XLOOKUP(D5067,Table_Tarikan_Warkah[Nomor Tiket],Table_Tarikan_Warkah[Nama Petugas Warkah]),"")</f>
        <v/>
      </c>
      <c r="G5067" s="39" t="str">
        <f t="array" ref="G5067">IFNA(_xlfn.XLOOKUP(D5067,Table_Tarikan_Warkah[Nomor Tiket],Table_Tarikan_Warkah[Jenis Permohonan]),"")</f>
        <v>Balik nama jual beli</v>
      </c>
      <c r="H5067" s="41" t="s">
        <v>2315</v>
      </c>
      <c r="I5067" s="49" t="s">
        <v>23</v>
      </c>
      <c r="J5067" s="36">
        <f t="shared" si="20"/>
        <v>46090.47227</v>
      </c>
      <c r="K5067" s="69"/>
      <c r="L5067" s="49"/>
      <c r="M5067" s="36" t="str">
        <f t="shared" si="33"/>
        <v/>
      </c>
      <c r="N5067" s="30" t="str">
        <f t="shared" si="34"/>
        <v>BT atau SU Belum Valid</v>
      </c>
      <c r="O5067" s="39" t="str">
        <f t="shared" si="23"/>
        <v/>
      </c>
      <c r="P5067" s="47" t="b">
        <v>0</v>
      </c>
      <c r="Q5067" s="36" t="str">
        <f t="shared" si="35"/>
        <v/>
      </c>
      <c r="R5067" s="47" t="b">
        <v>0</v>
      </c>
      <c r="S5067" s="42" t="str">
        <f t="shared" si="28"/>
        <v/>
      </c>
      <c r="T5067" s="42"/>
    </row>
    <row r="5068" ht="22.5" customHeight="1">
      <c r="B5068" s="42">
        <f t="shared" si="7"/>
        <v>5062</v>
      </c>
      <c r="C5068" s="31" t="s">
        <v>5064</v>
      </c>
      <c r="D5068" s="34" t="str">
        <f t="array" ref="D5068">IFNA(_xlfn.XLOOKUP(C5068,Table_Tarikan_Warkah[Nomor Sertipikat],Table_Tarikan_Warkah[Nomor Tiket]),"")</f>
        <v>ABGWZWLT</v>
      </c>
      <c r="E5068" s="36" t="str">
        <f t="array" ref="E5068">IFNA(_xlfn.XLOOKUP(D5068,Table_Tarikan_Warkah[Nomor Tiket],Table_Tarikan_Warkah[Tanggal diserahkan kepada Validator]),"")</f>
        <v/>
      </c>
      <c r="F5068" s="36" t="str">
        <f t="array" ref="F5068">IFNA(_xlfn.XLOOKUP(D5068,Table_Tarikan_Warkah[Nomor Tiket],Table_Tarikan_Warkah[Nama Petugas Warkah]),"")</f>
        <v/>
      </c>
      <c r="G5068" s="39" t="str">
        <f t="array" ref="G5068">IFNA(_xlfn.XLOOKUP(D5068,Table_Tarikan_Warkah[Nomor Tiket],Table_Tarikan_Warkah[Jenis Permohonan]),"")</f>
        <v>BN JUAL BELI</v>
      </c>
      <c r="H5068" s="41" t="s">
        <v>2315</v>
      </c>
      <c r="I5068" s="49" t="s">
        <v>23</v>
      </c>
      <c r="J5068" s="36">
        <f t="shared" si="20"/>
        <v>46090.47335</v>
      </c>
      <c r="K5068" s="69"/>
      <c r="L5068" s="49"/>
      <c r="M5068" s="36" t="str">
        <f t="shared" si="33"/>
        <v/>
      </c>
      <c r="N5068" s="30" t="str">
        <f t="shared" si="34"/>
        <v>BT atau SU Belum Valid</v>
      </c>
      <c r="O5068" s="39" t="str">
        <f t="shared" si="23"/>
        <v/>
      </c>
      <c r="P5068" s="47" t="b">
        <v>0</v>
      </c>
      <c r="Q5068" s="36" t="str">
        <f t="shared" si="35"/>
        <v/>
      </c>
      <c r="R5068" s="47" t="b">
        <v>0</v>
      </c>
      <c r="S5068" s="42" t="str">
        <f t="shared" si="28"/>
        <v/>
      </c>
      <c r="T5068" s="42"/>
    </row>
    <row r="5069" ht="22.5" customHeight="1">
      <c r="B5069" s="42">
        <f t="shared" si="7"/>
        <v>5063</v>
      </c>
      <c r="C5069" s="31" t="s">
        <v>5065</v>
      </c>
      <c r="D5069" s="34" t="str">
        <f t="array" ref="D5069">IFNA(_xlfn.XLOOKUP(C5069,Table_Tarikan_Warkah[Nomor Sertipikat],Table_Tarikan_Warkah[Nomor Tiket]),"")</f>
        <v>ABRYWMVM/Ab018</v>
      </c>
      <c r="E5069" s="36" t="str">
        <f t="array" ref="E5069">IFNA(_xlfn.XLOOKUP(D5069,Table_Tarikan_Warkah[Nomor Tiket],Table_Tarikan_Warkah[Tanggal diserahkan kepada Validator]),"")</f>
        <v/>
      </c>
      <c r="F5069" s="36" t="str">
        <f t="array" ref="F5069">IFNA(_xlfn.XLOOKUP(D5069,Table_Tarikan_Warkah[Nomor Tiket],Table_Tarikan_Warkah[Nama Petugas Warkah]),"")</f>
        <v/>
      </c>
      <c r="G5069" s="39" t="str">
        <f t="array" ref="G5069">IFNA(_xlfn.XLOOKUP(D5069,Table_Tarikan_Warkah[Nomor Tiket],Table_Tarikan_Warkah[Jenis Permohonan]),"")</f>
        <v>Balik nama ajb</v>
      </c>
      <c r="H5069" s="41" t="s">
        <v>2315</v>
      </c>
      <c r="I5069" s="49" t="s">
        <v>23</v>
      </c>
      <c r="J5069" s="36">
        <f t="shared" si="20"/>
        <v>46090.47565</v>
      </c>
      <c r="K5069" s="69"/>
      <c r="L5069" s="49"/>
      <c r="M5069" s="36" t="str">
        <f t="shared" si="33"/>
        <v/>
      </c>
      <c r="N5069" s="30" t="str">
        <f t="shared" si="34"/>
        <v>BT atau SU Belum Valid</v>
      </c>
      <c r="O5069" s="39" t="str">
        <f t="shared" si="23"/>
        <v/>
      </c>
      <c r="P5069" s="47" t="b">
        <v>0</v>
      </c>
      <c r="Q5069" s="36" t="str">
        <f t="shared" si="35"/>
        <v/>
      </c>
      <c r="R5069" s="47" t="b">
        <v>0</v>
      </c>
      <c r="S5069" s="42" t="str">
        <f t="shared" si="28"/>
        <v/>
      </c>
      <c r="T5069" s="42"/>
    </row>
    <row r="5070" ht="22.5" customHeight="1">
      <c r="B5070" s="42">
        <f t="shared" si="7"/>
        <v>5064</v>
      </c>
      <c r="C5070" s="31" t="s">
        <v>5066</v>
      </c>
      <c r="D5070" s="34" t="str">
        <f t="array" ref="D5070">IFNA(_xlfn.XLOOKUP(C5070,Table_Tarikan_Warkah[Nomor Sertipikat],Table_Tarikan_Warkah[Nomor Tiket]),"")</f>
        <v>ABBJBRBJ/AB046</v>
      </c>
      <c r="E5070" s="36" t="str">
        <f t="array" ref="E5070">IFNA(_xlfn.XLOOKUP(D5070,Table_Tarikan_Warkah[Nomor Tiket],Table_Tarikan_Warkah[Tanggal diserahkan kepada Validator]),"")</f>
        <v/>
      </c>
      <c r="F5070" s="36" t="str">
        <f t="array" ref="F5070">IFNA(_xlfn.XLOOKUP(D5070,Table_Tarikan_Warkah[Nomor Tiket],Table_Tarikan_Warkah[Nama Petugas Warkah]),"")</f>
        <v/>
      </c>
      <c r="G5070" s="39" t="str">
        <f t="array" ref="G5070">IFNA(_xlfn.XLOOKUP(D5070,Table_Tarikan_Warkah[Nomor Tiket],Table_Tarikan_Warkah[Jenis Permohonan]),"")</f>
        <v>Bn jual beli</v>
      </c>
      <c r="H5070" s="41" t="s">
        <v>2315</v>
      </c>
      <c r="I5070" s="49" t="s">
        <v>23</v>
      </c>
      <c r="J5070" s="36">
        <f t="shared" si="20"/>
        <v>46090.47594</v>
      </c>
      <c r="K5070" s="69"/>
      <c r="L5070" s="49"/>
      <c r="M5070" s="36" t="str">
        <f t="shared" si="33"/>
        <v/>
      </c>
      <c r="N5070" s="30" t="str">
        <f t="shared" si="34"/>
        <v>BT atau SU Belum Valid</v>
      </c>
      <c r="O5070" s="39" t="str">
        <f t="shared" si="23"/>
        <v/>
      </c>
      <c r="P5070" s="47" t="b">
        <v>0</v>
      </c>
      <c r="Q5070" s="36" t="str">
        <f t="shared" si="35"/>
        <v/>
      </c>
      <c r="R5070" s="47" t="b">
        <v>0</v>
      </c>
      <c r="S5070" s="42" t="str">
        <f t="shared" si="28"/>
        <v/>
      </c>
      <c r="T5070" s="42"/>
    </row>
    <row r="5071" ht="22.5" customHeight="1">
      <c r="B5071" s="42">
        <f t="shared" si="7"/>
        <v>5065</v>
      </c>
      <c r="C5071" s="31" t="s">
        <v>5067</v>
      </c>
      <c r="D5071" s="34" t="str">
        <f t="array" ref="D5071">IFNA(_xlfn.XLOOKUP(C5071,Table_Tarikan_Warkah[Nomor Sertipikat],Table_Tarikan_Warkah[Nomor Tiket]),"")</f>
        <v>ABHRBBAN/AB039</v>
      </c>
      <c r="E5071" s="36" t="str">
        <f t="array" ref="E5071">IFNA(_xlfn.XLOOKUP(D5071,Table_Tarikan_Warkah[Nomor Tiket],Table_Tarikan_Warkah[Tanggal diserahkan kepada Validator]),"")</f>
        <v/>
      </c>
      <c r="F5071" s="36" t="str">
        <f t="array" ref="F5071">IFNA(_xlfn.XLOOKUP(D5071,Table_Tarikan_Warkah[Nomor Tiket],Table_Tarikan_Warkah[Nama Petugas Warkah]),"")</f>
        <v/>
      </c>
      <c r="G5071" s="39" t="str">
        <f t="array" ref="G5071">IFNA(_xlfn.XLOOKUP(D5071,Table_Tarikan_Warkah[Nomor Tiket],Table_Tarikan_Warkah[Jenis Permohonan]),"")</f>
        <v>Balik Nama jual beli</v>
      </c>
      <c r="H5071" s="41" t="s">
        <v>2315</v>
      </c>
      <c r="I5071" s="49" t="s">
        <v>23</v>
      </c>
      <c r="J5071" s="36">
        <f t="shared" si="20"/>
        <v>46091.52664</v>
      </c>
      <c r="K5071" s="69"/>
      <c r="L5071" s="49"/>
      <c r="M5071" s="36" t="str">
        <f t="shared" si="33"/>
        <v/>
      </c>
      <c r="N5071" s="30" t="str">
        <f t="shared" si="34"/>
        <v>BT atau SU Belum Valid</v>
      </c>
      <c r="O5071" s="39" t="str">
        <f t="shared" si="23"/>
        <v/>
      </c>
      <c r="P5071" s="47" t="b">
        <v>0</v>
      </c>
      <c r="Q5071" s="36" t="str">
        <f t="shared" si="35"/>
        <v/>
      </c>
      <c r="R5071" s="47" t="b">
        <v>0</v>
      </c>
      <c r="S5071" s="42" t="str">
        <f t="shared" si="28"/>
        <v/>
      </c>
      <c r="T5071" s="42"/>
    </row>
    <row r="5072" ht="22.5" customHeight="1">
      <c r="B5072" s="42">
        <f t="shared" si="7"/>
        <v>5066</v>
      </c>
      <c r="C5072" s="31" t="s">
        <v>5068</v>
      </c>
      <c r="D5072" s="34" t="str">
        <f t="array" ref="D5072">IFNA(_xlfn.XLOOKUP(C5072,Table_Tarikan_Warkah[Nomor Sertipikat],Table_Tarikan_Warkah[Nomor Tiket]),"")</f>
        <v>ABVBUHZB/AB039</v>
      </c>
      <c r="E5072" s="36" t="str">
        <f t="array" ref="E5072">IFNA(_xlfn.XLOOKUP(D5072,Table_Tarikan_Warkah[Nomor Tiket],Table_Tarikan_Warkah[Tanggal diserahkan kepada Validator]),"")</f>
        <v/>
      </c>
      <c r="F5072" s="36" t="str">
        <f t="array" ref="F5072">IFNA(_xlfn.XLOOKUP(D5072,Table_Tarikan_Warkah[Nomor Tiket],Table_Tarikan_Warkah[Nama Petugas Warkah]),"")</f>
        <v/>
      </c>
      <c r="G5072" s="39" t="str">
        <f t="array" ref="G5072">IFNA(_xlfn.XLOOKUP(D5072,Table_Tarikan_Warkah[Nomor Tiket],Table_Tarikan_Warkah[Jenis Permohonan]),"")</f>
        <v>Balik Nama jual beli</v>
      </c>
      <c r="H5072" s="41" t="s">
        <v>2315</v>
      </c>
      <c r="I5072" s="49" t="s">
        <v>23</v>
      </c>
      <c r="J5072" s="36">
        <f t="shared" si="20"/>
        <v>46091.52683</v>
      </c>
      <c r="K5072" s="69"/>
      <c r="L5072" s="49"/>
      <c r="M5072" s="36" t="str">
        <f t="shared" si="33"/>
        <v/>
      </c>
      <c r="N5072" s="30" t="str">
        <f t="shared" si="34"/>
        <v>BT atau SU Belum Valid</v>
      </c>
      <c r="O5072" s="39" t="str">
        <f t="shared" si="23"/>
        <v/>
      </c>
      <c r="P5072" s="47" t="b">
        <v>0</v>
      </c>
      <c r="Q5072" s="36" t="str">
        <f t="shared" si="35"/>
        <v/>
      </c>
      <c r="R5072" s="47" t="b">
        <v>0</v>
      </c>
      <c r="S5072" s="42" t="str">
        <f t="shared" si="28"/>
        <v/>
      </c>
      <c r="T5072" s="42"/>
    </row>
    <row r="5073" ht="22.5" customHeight="1">
      <c r="B5073" s="42">
        <f t="shared" si="7"/>
        <v>5067</v>
      </c>
      <c r="C5073" s="31" t="s">
        <v>5069</v>
      </c>
      <c r="D5073" s="34" t="str">
        <f t="array" ref="D5073">IFNA(_xlfn.XLOOKUP(C5073,Table_Tarikan_Warkah[Nomor Sertipikat],Table_Tarikan_Warkah[Nomor Tiket]),"")</f>
        <v>ABGDUKYS/AB049</v>
      </c>
      <c r="E5073" s="36" t="str">
        <f t="array" ref="E5073">IFNA(_xlfn.XLOOKUP(D5073,Table_Tarikan_Warkah[Nomor Tiket],Table_Tarikan_Warkah[Tanggal diserahkan kepada Validator]),"")</f>
        <v/>
      </c>
      <c r="F5073" s="36" t="str">
        <f t="array" ref="F5073">IFNA(_xlfn.XLOOKUP(D5073,Table_Tarikan_Warkah[Nomor Tiket],Table_Tarikan_Warkah[Nama Petugas Warkah]),"")</f>
        <v/>
      </c>
      <c r="G5073" s="39" t="str">
        <f t="array" ref="G5073">IFNA(_xlfn.XLOOKUP(D5073,Table_Tarikan_Warkah[Nomor Tiket],Table_Tarikan_Warkah[Jenis Permohonan]),"")</f>
        <v>BN Jual Beli</v>
      </c>
      <c r="H5073" s="41" t="s">
        <v>2315</v>
      </c>
      <c r="I5073" s="49" t="s">
        <v>23</v>
      </c>
      <c r="J5073" s="36">
        <f t="shared" si="20"/>
        <v>46091.5275</v>
      </c>
      <c r="K5073" s="69"/>
      <c r="L5073" s="49"/>
      <c r="M5073" s="36" t="str">
        <f t="shared" si="33"/>
        <v/>
      </c>
      <c r="N5073" s="30" t="str">
        <f t="shared" si="34"/>
        <v>BT atau SU Belum Valid</v>
      </c>
      <c r="O5073" s="39" t="str">
        <f t="shared" si="23"/>
        <v/>
      </c>
      <c r="P5073" s="47" t="b">
        <v>0</v>
      </c>
      <c r="Q5073" s="36" t="str">
        <f t="shared" si="35"/>
        <v/>
      </c>
      <c r="R5073" s="47" t="b">
        <v>0</v>
      </c>
      <c r="S5073" s="42" t="str">
        <f t="shared" si="28"/>
        <v/>
      </c>
      <c r="T5073" s="42"/>
    </row>
    <row r="5074" ht="22.5" customHeight="1">
      <c r="B5074" s="42">
        <f t="shared" si="7"/>
        <v>5068</v>
      </c>
      <c r="C5074" s="31" t="s">
        <v>5070</v>
      </c>
      <c r="D5074" s="34" t="str">
        <f t="array" ref="D5074">IFNA(_xlfn.XLOOKUP(C5074,Table_Tarikan_Warkah[Nomor Sertipikat],Table_Tarikan_Warkah[Nomor Tiket]),"")</f>
        <v>AB089/ABWUQJP</v>
      </c>
      <c r="E5074" s="36" t="str">
        <f t="array" ref="E5074">IFNA(_xlfn.XLOOKUP(D5074,Table_Tarikan_Warkah[Nomor Tiket],Table_Tarikan_Warkah[Tanggal diserahkan kepada Validator]),"")</f>
        <v/>
      </c>
      <c r="F5074" s="36" t="str">
        <f t="array" ref="F5074">IFNA(_xlfn.XLOOKUP(D5074,Table_Tarikan_Warkah[Nomor Tiket],Table_Tarikan_Warkah[Nama Petugas Warkah]),"")</f>
        <v/>
      </c>
      <c r="G5074" s="39" t="str">
        <f t="array" ref="G5074">IFNA(_xlfn.XLOOKUP(D5074,Table_Tarikan_Warkah[Nomor Tiket],Table_Tarikan_Warkah[Jenis Permohonan]),"")</f>
        <v>Bn jual beli</v>
      </c>
      <c r="H5074" s="41" t="s">
        <v>2315</v>
      </c>
      <c r="I5074" s="49" t="s">
        <v>23</v>
      </c>
      <c r="J5074" s="36">
        <f t="shared" si="20"/>
        <v>46091.52768</v>
      </c>
      <c r="K5074" s="69"/>
      <c r="L5074" s="49"/>
      <c r="M5074" s="36" t="str">
        <f t="shared" si="33"/>
        <v/>
      </c>
      <c r="N5074" s="30" t="str">
        <f t="shared" si="34"/>
        <v>BT atau SU Belum Valid</v>
      </c>
      <c r="O5074" s="39" t="str">
        <f t="shared" si="23"/>
        <v/>
      </c>
      <c r="P5074" s="47" t="b">
        <v>0</v>
      </c>
      <c r="Q5074" s="36" t="str">
        <f t="shared" si="35"/>
        <v/>
      </c>
      <c r="R5074" s="47" t="b">
        <v>0</v>
      </c>
      <c r="S5074" s="42" t="str">
        <f t="shared" si="28"/>
        <v/>
      </c>
      <c r="T5074" s="42"/>
    </row>
    <row r="5075" ht="22.5" customHeight="1">
      <c r="B5075" s="42">
        <f t="shared" si="7"/>
        <v>5069</v>
      </c>
      <c r="C5075" s="31" t="s">
        <v>5071</v>
      </c>
      <c r="D5075" s="34" t="str">
        <f t="array" ref="D5075">IFNA(_xlfn.XLOOKUP(C5075,Table_Tarikan_Warkah[Nomor Sertipikat],Table_Tarikan_Warkah[Nomor Tiket]),"")</f>
        <v>ABLCLHGE/AB088</v>
      </c>
      <c r="E5075" s="36" t="str">
        <f t="array" ref="E5075">IFNA(_xlfn.XLOOKUP(D5075,Table_Tarikan_Warkah[Nomor Tiket],Table_Tarikan_Warkah[Tanggal diserahkan kepada Validator]),"")</f>
        <v/>
      </c>
      <c r="F5075" s="36" t="str">
        <f t="array" ref="F5075">IFNA(_xlfn.XLOOKUP(D5075,Table_Tarikan_Warkah[Nomor Tiket],Table_Tarikan_Warkah[Nama Petugas Warkah]),"")</f>
        <v/>
      </c>
      <c r="G5075" s="39" t="str">
        <f t="array" ref="G5075">IFNA(_xlfn.XLOOKUP(D5075,Table_Tarikan_Warkah[Nomor Tiket],Table_Tarikan_Warkah[Jenis Permohonan]),"")</f>
        <v>Balik Nama</v>
      </c>
      <c r="H5075" s="41" t="s">
        <v>2315</v>
      </c>
      <c r="I5075" s="49" t="s">
        <v>23</v>
      </c>
      <c r="J5075" s="36">
        <f t="shared" si="20"/>
        <v>46091.5279</v>
      </c>
      <c r="K5075" s="69"/>
      <c r="L5075" s="49"/>
      <c r="M5075" s="36" t="str">
        <f t="shared" si="33"/>
        <v/>
      </c>
      <c r="N5075" s="30" t="str">
        <f t="shared" si="34"/>
        <v>BT atau SU Belum Valid</v>
      </c>
      <c r="O5075" s="39" t="str">
        <f t="shared" si="23"/>
        <v/>
      </c>
      <c r="P5075" s="47" t="b">
        <v>0</v>
      </c>
      <c r="Q5075" s="36" t="str">
        <f t="shared" si="35"/>
        <v/>
      </c>
      <c r="R5075" s="47" t="b">
        <v>0</v>
      </c>
      <c r="S5075" s="42" t="str">
        <f t="shared" si="28"/>
        <v/>
      </c>
      <c r="T5075" s="42"/>
    </row>
    <row r="5076" ht="22.5" customHeight="1">
      <c r="B5076" s="42">
        <f t="shared" si="7"/>
        <v>5070</v>
      </c>
      <c r="C5076" s="31" t="s">
        <v>5072</v>
      </c>
      <c r="D5076" s="34" t="str">
        <f t="array" ref="D5076">IFNA(_xlfn.XLOOKUP(C5076,Table_Tarikan_Warkah[Nomor Sertipikat],Table_Tarikan_Warkah[Nomor Tiket]),"")</f>
        <v>ABGHEEXW</v>
      </c>
      <c r="E5076" s="36" t="str">
        <f t="array" ref="E5076">IFNA(_xlfn.XLOOKUP(D5076,Table_Tarikan_Warkah[Nomor Tiket],Table_Tarikan_Warkah[Tanggal diserahkan kepada Validator]),"")</f>
        <v/>
      </c>
      <c r="F5076" s="36" t="str">
        <f t="array" ref="F5076">IFNA(_xlfn.XLOOKUP(D5076,Table_Tarikan_Warkah[Nomor Tiket],Table_Tarikan_Warkah[Nama Petugas Warkah]),"")</f>
        <v/>
      </c>
      <c r="G5076" s="39" t="str">
        <f t="array" ref="G5076">IFNA(_xlfn.XLOOKUP(D5076,Table_Tarikan_Warkah[Nomor Tiket],Table_Tarikan_Warkah[Jenis Permohonan]),"")</f>
        <v>bn jual beli</v>
      </c>
      <c r="H5076" s="41" t="s">
        <v>2315</v>
      </c>
      <c r="I5076" s="49" t="s">
        <v>23</v>
      </c>
      <c r="J5076" s="36">
        <f t="shared" si="20"/>
        <v>46091.52807</v>
      </c>
      <c r="K5076" s="69"/>
      <c r="L5076" s="49"/>
      <c r="M5076" s="36" t="str">
        <f t="shared" si="33"/>
        <v/>
      </c>
      <c r="N5076" s="30" t="str">
        <f t="shared" si="34"/>
        <v>BT atau SU Belum Valid</v>
      </c>
      <c r="O5076" s="39" t="str">
        <f t="shared" si="23"/>
        <v/>
      </c>
      <c r="P5076" s="47" t="b">
        <v>0</v>
      </c>
      <c r="Q5076" s="36" t="str">
        <f t="shared" si="35"/>
        <v/>
      </c>
      <c r="R5076" s="47" t="b">
        <v>0</v>
      </c>
      <c r="S5076" s="42" t="str">
        <f t="shared" si="28"/>
        <v/>
      </c>
      <c r="T5076" s="42"/>
    </row>
    <row r="5077" ht="22.5" customHeight="1">
      <c r="B5077" s="42">
        <f t="shared" si="7"/>
        <v>5071</v>
      </c>
      <c r="C5077" s="31" t="s">
        <v>5073</v>
      </c>
      <c r="D5077" s="34" t="str">
        <f t="array" ref="D5077">IFNA(_xlfn.XLOOKUP(C5077,Table_Tarikan_Warkah[Nomor Sertipikat],Table_Tarikan_Warkah[Nomor Tiket]),"")</f>
        <v>Ab 30 ( abbgrrjw) </v>
      </c>
      <c r="E5077" s="36" t="str">
        <f t="array" ref="E5077">IFNA(_xlfn.XLOOKUP(D5077,Table_Tarikan_Warkah[Nomor Tiket],Table_Tarikan_Warkah[Tanggal diserahkan kepada Validator]),"")</f>
        <v/>
      </c>
      <c r="F5077" s="36" t="str">
        <f t="array" ref="F5077">IFNA(_xlfn.XLOOKUP(D5077,Table_Tarikan_Warkah[Nomor Tiket],Table_Tarikan_Warkah[Nama Petugas Warkah]),"")</f>
        <v/>
      </c>
      <c r="G5077" s="39" t="str">
        <f t="array" ref="G5077">IFNA(_xlfn.XLOOKUP(D5077,Table_Tarikan_Warkah[Nomor Tiket],Table_Tarikan_Warkah[Jenis Permohonan]),"")</f>
        <v>Balik nama jual beli</v>
      </c>
      <c r="H5077" s="41" t="s">
        <v>2315</v>
      </c>
      <c r="I5077" s="49" t="s">
        <v>23</v>
      </c>
      <c r="J5077" s="36">
        <f t="shared" si="20"/>
        <v>46091.52834</v>
      </c>
      <c r="K5077" s="69"/>
      <c r="L5077" s="49"/>
      <c r="M5077" s="36" t="str">
        <f t="shared" si="33"/>
        <v/>
      </c>
      <c r="N5077" s="30" t="str">
        <f t="shared" si="34"/>
        <v>BT atau SU Belum Valid</v>
      </c>
      <c r="O5077" s="39" t="str">
        <f t="shared" si="23"/>
        <v/>
      </c>
      <c r="P5077" s="47" t="b">
        <v>0</v>
      </c>
      <c r="Q5077" s="36" t="str">
        <f t="shared" si="35"/>
        <v/>
      </c>
      <c r="R5077" s="47" t="b">
        <v>0</v>
      </c>
      <c r="S5077" s="42" t="str">
        <f t="shared" si="28"/>
        <v/>
      </c>
      <c r="T5077" s="42"/>
    </row>
    <row r="5078" ht="22.5" customHeight="1">
      <c r="B5078" s="42">
        <f t="shared" si="7"/>
        <v>5072</v>
      </c>
      <c r="C5078" s="31" t="s">
        <v>5074</v>
      </c>
      <c r="D5078" s="34" t="str">
        <f t="array" ref="D5078">IFNA(_xlfn.XLOOKUP(C5078,Table_Tarikan_Warkah[Nomor Sertipikat],Table_Tarikan_Warkah[Nomor Tiket]),"")</f>
        <v>ABYPZMET</v>
      </c>
      <c r="E5078" s="36" t="str">
        <f t="array" ref="E5078">IFNA(_xlfn.XLOOKUP(D5078,Table_Tarikan_Warkah[Nomor Tiket],Table_Tarikan_Warkah[Tanggal diserahkan kepada Validator]),"")</f>
        <v/>
      </c>
      <c r="F5078" s="36" t="str">
        <f t="array" ref="F5078">IFNA(_xlfn.XLOOKUP(D5078,Table_Tarikan_Warkah[Nomor Tiket],Table_Tarikan_Warkah[Nama Petugas Warkah]),"")</f>
        <v/>
      </c>
      <c r="G5078" s="39" t="str">
        <f t="array" ref="G5078">IFNA(_xlfn.XLOOKUP(D5078,Table_Tarikan_Warkah[Nomor Tiket],Table_Tarikan_Warkah[Jenis Permohonan]),"")</f>
        <v>JUAL BELI balik nama</v>
      </c>
      <c r="H5078" s="41" t="s">
        <v>2315</v>
      </c>
      <c r="I5078" s="49" t="s">
        <v>23</v>
      </c>
      <c r="J5078" s="36">
        <f t="shared" si="20"/>
        <v>46091.5287</v>
      </c>
      <c r="K5078" s="69"/>
      <c r="L5078" s="49"/>
      <c r="M5078" s="36" t="str">
        <f t="shared" si="33"/>
        <v/>
      </c>
      <c r="N5078" s="30" t="str">
        <f t="shared" si="34"/>
        <v>BT atau SU Belum Valid</v>
      </c>
      <c r="O5078" s="39" t="str">
        <f t="shared" si="23"/>
        <v/>
      </c>
      <c r="P5078" s="47" t="b">
        <v>0</v>
      </c>
      <c r="Q5078" s="36" t="str">
        <f t="shared" si="35"/>
        <v/>
      </c>
      <c r="R5078" s="47" t="b">
        <v>0</v>
      </c>
      <c r="S5078" s="42" t="str">
        <f t="shared" si="28"/>
        <v/>
      </c>
      <c r="T5078" s="42"/>
    </row>
    <row r="5079" ht="22.5" customHeight="1">
      <c r="B5079" s="42">
        <f t="shared" si="7"/>
        <v>5073</v>
      </c>
      <c r="C5079" s="31" t="s">
        <v>5075</v>
      </c>
      <c r="D5079" s="34" t="str">
        <f t="array" ref="D5079">IFNA(_xlfn.XLOOKUP(C5079,Table_Tarikan_Warkah[Nomor Sertipikat],Table_Tarikan_Warkah[Nomor Tiket]),"")</f>
        <v>ABLRTXSE</v>
      </c>
      <c r="E5079" s="36" t="str">
        <f t="array" ref="E5079">IFNA(_xlfn.XLOOKUP(D5079,Table_Tarikan_Warkah[Nomor Tiket],Table_Tarikan_Warkah[Tanggal diserahkan kepada Validator]),"")</f>
        <v/>
      </c>
      <c r="F5079" s="36" t="str">
        <f t="array" ref="F5079">IFNA(_xlfn.XLOOKUP(D5079,Table_Tarikan_Warkah[Nomor Tiket],Table_Tarikan_Warkah[Nama Petugas Warkah]),"")</f>
        <v/>
      </c>
      <c r="G5079" s="39" t="str">
        <f t="array" ref="G5079">IFNA(_xlfn.XLOOKUP(D5079,Table_Tarikan_Warkah[Nomor Tiket],Table_Tarikan_Warkah[Jenis Permohonan]),"")</f>
        <v>BN WARIS</v>
      </c>
      <c r="H5079" s="41" t="s">
        <v>2315</v>
      </c>
      <c r="I5079" s="49" t="s">
        <v>23</v>
      </c>
      <c r="J5079" s="36">
        <f t="shared" si="20"/>
        <v>46091.5289</v>
      </c>
      <c r="K5079" s="69"/>
      <c r="L5079" s="49"/>
      <c r="M5079" s="36" t="str">
        <f t="shared" si="33"/>
        <v/>
      </c>
      <c r="N5079" s="30" t="str">
        <f t="shared" si="34"/>
        <v>BT atau SU Belum Valid</v>
      </c>
      <c r="O5079" s="39" t="str">
        <f t="shared" si="23"/>
        <v/>
      </c>
      <c r="P5079" s="47" t="b">
        <v>0</v>
      </c>
      <c r="Q5079" s="36" t="str">
        <f t="shared" si="35"/>
        <v/>
      </c>
      <c r="R5079" s="47" t="b">
        <v>0</v>
      </c>
      <c r="S5079" s="42" t="str">
        <f t="shared" si="28"/>
        <v/>
      </c>
      <c r="T5079" s="42"/>
    </row>
    <row r="5080" ht="22.5" customHeight="1">
      <c r="B5080" s="42">
        <f t="shared" si="7"/>
        <v>5074</v>
      </c>
      <c r="C5080" s="31" t="s">
        <v>5076</v>
      </c>
      <c r="D5080" s="34" t="str">
        <f t="array" ref="D5080">IFNA(_xlfn.XLOOKUP(C5080,Table_Tarikan_Warkah[Nomor Sertipikat],Table_Tarikan_Warkah[Nomor Tiket]),"")</f>
        <v>ABUQEWQF</v>
      </c>
      <c r="E5080" s="36" t="str">
        <f t="array" ref="E5080">IFNA(_xlfn.XLOOKUP(D5080,Table_Tarikan_Warkah[Nomor Tiket],Table_Tarikan_Warkah[Tanggal diserahkan kepada Validator]),"")</f>
        <v/>
      </c>
      <c r="F5080" s="36" t="str">
        <f t="array" ref="F5080">IFNA(_xlfn.XLOOKUP(D5080,Table_Tarikan_Warkah[Nomor Tiket],Table_Tarikan_Warkah[Nama Petugas Warkah]),"")</f>
        <v/>
      </c>
      <c r="G5080" s="39" t="str">
        <f t="array" ref="G5080">IFNA(_xlfn.XLOOKUP(D5080,Table_Tarikan_Warkah[Nomor Tiket],Table_Tarikan_Warkah[Jenis Permohonan]),"")</f>
        <v>Baliknama </v>
      </c>
      <c r="H5080" s="41" t="s">
        <v>2315</v>
      </c>
      <c r="I5080" s="49" t="s">
        <v>23</v>
      </c>
      <c r="J5080" s="36">
        <f t="shared" si="20"/>
        <v>46092.40625</v>
      </c>
      <c r="K5080" s="69"/>
      <c r="L5080" s="49"/>
      <c r="M5080" s="36" t="str">
        <f t="shared" si="33"/>
        <v/>
      </c>
      <c r="N5080" s="30" t="str">
        <f t="shared" si="34"/>
        <v>BT atau SU Belum Valid</v>
      </c>
      <c r="O5080" s="39" t="str">
        <f t="shared" si="23"/>
        <v/>
      </c>
      <c r="P5080" s="47" t="b">
        <v>0</v>
      </c>
      <c r="Q5080" s="36" t="str">
        <f t="shared" si="35"/>
        <v/>
      </c>
      <c r="R5080" s="47" t="b">
        <v>0</v>
      </c>
      <c r="S5080" s="42" t="str">
        <f t="shared" si="28"/>
        <v/>
      </c>
      <c r="T5080" s="42"/>
    </row>
    <row r="5081" ht="22.5" customHeight="1">
      <c r="B5081" s="42">
        <f t="shared" si="7"/>
        <v>5075</v>
      </c>
      <c r="C5081" s="31" t="s">
        <v>5077</v>
      </c>
      <c r="D5081" s="34" t="str">
        <f t="array" ref="D5081">IFNA(_xlfn.XLOOKUP(C5081,Table_Tarikan_Warkah[Nomor Sertipikat],Table_Tarikan_Warkah[Nomor Tiket]),"")</f>
        <v>AB024/ABUYVJCL</v>
      </c>
      <c r="E5081" s="36" t="str">
        <f t="array" ref="E5081">IFNA(_xlfn.XLOOKUP(D5081,Table_Tarikan_Warkah[Nomor Tiket],Table_Tarikan_Warkah[Tanggal diserahkan kepada Validator]),"")</f>
        <v/>
      </c>
      <c r="F5081" s="36" t="str">
        <f t="array" ref="F5081">IFNA(_xlfn.XLOOKUP(D5081,Table_Tarikan_Warkah[Nomor Tiket],Table_Tarikan_Warkah[Nama Petugas Warkah]),"")</f>
        <v/>
      </c>
      <c r="G5081" s="39" t="str">
        <f t="array" ref="G5081">IFNA(_xlfn.XLOOKUP(D5081,Table_Tarikan_Warkah[Nomor Tiket],Table_Tarikan_Warkah[Jenis Permohonan]),"")</f>
        <v>Balik nama waris</v>
      </c>
      <c r="H5081" s="41" t="s">
        <v>2315</v>
      </c>
      <c r="I5081" s="49" t="s">
        <v>23</v>
      </c>
      <c r="J5081" s="36">
        <f t="shared" si="20"/>
        <v>46092.40746</v>
      </c>
      <c r="K5081" s="69"/>
      <c r="L5081" s="49"/>
      <c r="M5081" s="36" t="str">
        <f t="shared" si="33"/>
        <v/>
      </c>
      <c r="N5081" s="30" t="str">
        <f t="shared" si="34"/>
        <v>BT atau SU Belum Valid</v>
      </c>
      <c r="O5081" s="39" t="str">
        <f t="shared" si="23"/>
        <v/>
      </c>
      <c r="P5081" s="47" t="b">
        <v>0</v>
      </c>
      <c r="Q5081" s="36" t="str">
        <f t="shared" si="35"/>
        <v/>
      </c>
      <c r="R5081" s="47" t="b">
        <v>0</v>
      </c>
      <c r="S5081" s="42" t="str">
        <f t="shared" si="28"/>
        <v/>
      </c>
      <c r="T5081" s="42"/>
    </row>
    <row r="5082" ht="22.5" customHeight="1">
      <c r="B5082" s="42">
        <f t="shared" si="7"/>
        <v>5076</v>
      </c>
      <c r="C5082" s="31" t="s">
        <v>5078</v>
      </c>
      <c r="D5082" s="34" t="str">
        <f t="array" ref="D5082">IFNA(_xlfn.XLOOKUP(C5082,Table_Tarikan_Warkah[Nomor Sertipikat],Table_Tarikan_Warkah[Nomor Tiket]),"")</f>
        <v>K/11/080126/2</v>
      </c>
      <c r="E5082" s="36" t="str">
        <f t="array" ref="E5082">IFNA(_xlfn.XLOOKUP(D5082,Table_Tarikan_Warkah[Nomor Tiket],Table_Tarikan_Warkah[Tanggal diserahkan kepada Validator]),"")</f>
        <v/>
      </c>
      <c r="F5082" s="36" t="str">
        <f t="array" ref="F5082">IFNA(_xlfn.XLOOKUP(D5082,Table_Tarikan_Warkah[Nomor Tiket],Table_Tarikan_Warkah[Nama Petugas Warkah]),"")</f>
        <v/>
      </c>
      <c r="G5082" s="39" t="str">
        <f t="array" ref="G5082">IFNA(_xlfn.XLOOKUP(D5082,Table_Tarikan_Warkah[Nomor Tiket],Table_Tarikan_Warkah[Jenis Permohonan]),"")</f>
        <v>BN JUAL BELI </v>
      </c>
      <c r="H5082" s="41" t="s">
        <v>2315</v>
      </c>
      <c r="I5082" s="49" t="s">
        <v>23</v>
      </c>
      <c r="J5082" s="36">
        <f t="shared" si="20"/>
        <v>46092.40794</v>
      </c>
      <c r="K5082" s="69"/>
      <c r="L5082" s="49"/>
      <c r="M5082" s="36" t="str">
        <f t="shared" si="33"/>
        <v/>
      </c>
      <c r="N5082" s="30" t="str">
        <f t="shared" si="34"/>
        <v>BT atau SU Belum Valid</v>
      </c>
      <c r="O5082" s="39" t="str">
        <f t="shared" si="23"/>
        <v/>
      </c>
      <c r="P5082" s="47" t="b">
        <v>0</v>
      </c>
      <c r="Q5082" s="36" t="str">
        <f t="shared" si="35"/>
        <v/>
      </c>
      <c r="R5082" s="47" t="b">
        <v>0</v>
      </c>
      <c r="S5082" s="42" t="str">
        <f t="shared" si="28"/>
        <v/>
      </c>
      <c r="T5082" s="42"/>
    </row>
    <row r="5083" ht="22.5" customHeight="1">
      <c r="B5083" s="42">
        <f t="shared" si="7"/>
        <v>5077</v>
      </c>
      <c r="C5083" s="31" t="s">
        <v>5079</v>
      </c>
      <c r="D5083" s="34" t="str">
        <f t="array" ref="D5083">IFNA(_xlfn.XLOOKUP(C5083,Table_Tarikan_Warkah[Nomor Sertipikat],Table_Tarikan_Warkah[Nomor Tiket]),"")</f>
        <v>K/5/090126/2</v>
      </c>
      <c r="E5083" s="36" t="str">
        <f t="array" ref="E5083">IFNA(_xlfn.XLOOKUP(D5083,Table_Tarikan_Warkah[Nomor Tiket],Table_Tarikan_Warkah[Tanggal diserahkan kepada Validator]),"")</f>
        <v/>
      </c>
      <c r="F5083" s="36" t="str">
        <f t="array" ref="F5083">IFNA(_xlfn.XLOOKUP(D5083,Table_Tarikan_Warkah[Nomor Tiket],Table_Tarikan_Warkah[Nama Petugas Warkah]),"")</f>
        <v/>
      </c>
      <c r="G5083" s="39" t="str">
        <f t="array" ref="G5083">IFNA(_xlfn.XLOOKUP(D5083,Table_Tarikan_Warkah[Nomor Tiket],Table_Tarikan_Warkah[Jenis Permohonan]),"")</f>
        <v>BN JUAL BELI</v>
      </c>
      <c r="H5083" s="41" t="s">
        <v>2315</v>
      </c>
      <c r="I5083" s="49" t="s">
        <v>23</v>
      </c>
      <c r="J5083" s="36">
        <f t="shared" si="20"/>
        <v>46092.42736</v>
      </c>
      <c r="K5083" s="69"/>
      <c r="L5083" s="49"/>
      <c r="M5083" s="36" t="str">
        <f t="shared" si="33"/>
        <v/>
      </c>
      <c r="N5083" s="30" t="str">
        <f t="shared" si="34"/>
        <v>BT atau SU Belum Valid</v>
      </c>
      <c r="O5083" s="39" t="str">
        <f t="shared" si="23"/>
        <v/>
      </c>
      <c r="P5083" s="47" t="b">
        <v>0</v>
      </c>
      <c r="Q5083" s="36" t="str">
        <f t="shared" si="35"/>
        <v/>
      </c>
      <c r="R5083" s="47" t="b">
        <v>0</v>
      </c>
      <c r="S5083" s="42" t="str">
        <f t="shared" si="28"/>
        <v/>
      </c>
      <c r="T5083" s="42"/>
    </row>
    <row r="5084" ht="22.5" customHeight="1">
      <c r="B5084" s="42">
        <f t="shared" si="7"/>
        <v>5078</v>
      </c>
      <c r="C5084" s="31" t="s">
        <v>5080</v>
      </c>
      <c r="D5084" s="34" t="str">
        <f t="array" ref="D5084">IFNA(_xlfn.XLOOKUP(C5084,Table_Tarikan_Warkah[Nomor Sertipikat],Table_Tarikan_Warkah[Nomor Tiket]),"")</f>
        <v>K/4/090126/1</v>
      </c>
      <c r="E5084" s="36" t="str">
        <f t="array" ref="E5084">IFNA(_xlfn.XLOOKUP(D5084,Table_Tarikan_Warkah[Nomor Tiket],Table_Tarikan_Warkah[Tanggal diserahkan kepada Validator]),"")</f>
        <v/>
      </c>
      <c r="F5084" s="36" t="str">
        <f t="array" ref="F5084">IFNA(_xlfn.XLOOKUP(D5084,Table_Tarikan_Warkah[Nomor Tiket],Table_Tarikan_Warkah[Nama Petugas Warkah]),"")</f>
        <v/>
      </c>
      <c r="G5084" s="39" t="str">
        <f t="array" ref="G5084">IFNA(_xlfn.XLOOKUP(D5084,Table_Tarikan_Warkah[Nomor Tiket],Table_Tarikan_Warkah[Jenis Permohonan]),"")</f>
        <v>BN JUAL BELI</v>
      </c>
      <c r="H5084" s="41" t="s">
        <v>2315</v>
      </c>
      <c r="I5084" s="49" t="s">
        <v>23</v>
      </c>
      <c r="J5084" s="36">
        <f t="shared" si="20"/>
        <v>46092.42825</v>
      </c>
      <c r="K5084" s="69"/>
      <c r="L5084" s="49"/>
      <c r="M5084" s="36" t="str">
        <f t="shared" si="33"/>
        <v/>
      </c>
      <c r="N5084" s="30" t="str">
        <f t="shared" si="34"/>
        <v>BT atau SU Belum Valid</v>
      </c>
      <c r="O5084" s="39" t="str">
        <f t="shared" si="23"/>
        <v/>
      </c>
      <c r="P5084" s="47" t="b">
        <v>0</v>
      </c>
      <c r="Q5084" s="36" t="str">
        <f t="shared" si="35"/>
        <v/>
      </c>
      <c r="R5084" s="47" t="b">
        <v>0</v>
      </c>
      <c r="S5084" s="42" t="str">
        <f t="shared" si="28"/>
        <v/>
      </c>
      <c r="T5084" s="42"/>
    </row>
    <row r="5085" ht="22.5" customHeight="1">
      <c r="B5085" s="42">
        <f t="shared" si="7"/>
        <v>5079</v>
      </c>
      <c r="C5085" s="31" t="s">
        <v>5081</v>
      </c>
      <c r="D5085" s="34" t="str">
        <f t="array" ref="D5085">IFNA(_xlfn.XLOOKUP(C5085,Table_Tarikan_Warkah[Nomor Sertipikat],Table_Tarikan_Warkah[Nomor Tiket]),"")</f>
        <v>K/1/111225/1</v>
      </c>
      <c r="E5085" s="36" t="str">
        <f t="array" ref="E5085">IFNA(_xlfn.XLOOKUP(D5085,Table_Tarikan_Warkah[Nomor Tiket],Table_Tarikan_Warkah[Tanggal diserahkan kepada Validator]),"")</f>
        <v/>
      </c>
      <c r="F5085" s="36" t="str">
        <f t="array" ref="F5085">IFNA(_xlfn.XLOOKUP(D5085,Table_Tarikan_Warkah[Nomor Tiket],Table_Tarikan_Warkah[Nama Petugas Warkah]),"")</f>
        <v/>
      </c>
      <c r="G5085" s="39" t="str">
        <f t="array" ref="G5085">IFNA(_xlfn.XLOOKUP(D5085,Table_Tarikan_Warkah[Nomor Tiket],Table_Tarikan_Warkah[Jenis Permohonan]),"")</f>
        <v>BN JUAL BELI </v>
      </c>
      <c r="H5085" s="41" t="s">
        <v>2315</v>
      </c>
      <c r="I5085" s="49" t="s">
        <v>23</v>
      </c>
      <c r="J5085" s="36">
        <f t="shared" si="20"/>
        <v>46092.42828</v>
      </c>
      <c r="K5085" s="69"/>
      <c r="L5085" s="49"/>
      <c r="M5085" s="36" t="str">
        <f t="shared" si="33"/>
        <v/>
      </c>
      <c r="N5085" s="30" t="str">
        <f t="shared" si="34"/>
        <v>BT atau SU Belum Valid</v>
      </c>
      <c r="O5085" s="39" t="str">
        <f t="shared" si="23"/>
        <v/>
      </c>
      <c r="P5085" s="47" t="b">
        <v>0</v>
      </c>
      <c r="Q5085" s="36" t="str">
        <f t="shared" si="35"/>
        <v/>
      </c>
      <c r="R5085" s="47" t="b">
        <v>0</v>
      </c>
      <c r="S5085" s="42" t="str">
        <f t="shared" si="28"/>
        <v/>
      </c>
      <c r="T5085" s="42"/>
    </row>
    <row r="5086" ht="22.5" customHeight="1">
      <c r="B5086" s="42">
        <f t="shared" si="7"/>
        <v>5080</v>
      </c>
      <c r="C5086" s="31" t="s">
        <v>5082</v>
      </c>
      <c r="D5086" s="34" t="str">
        <f t="array" ref="D5086">IFNA(_xlfn.XLOOKUP(C5086,Table_Tarikan_Warkah[Nomor Sertipikat],Table_Tarikan_Warkah[Nomor Tiket]),"")</f>
        <v>ABCOWQTQ</v>
      </c>
      <c r="E5086" s="36" t="str">
        <f t="array" ref="E5086">IFNA(_xlfn.XLOOKUP(D5086,Table_Tarikan_Warkah[Nomor Tiket],Table_Tarikan_Warkah[Tanggal diserahkan kepada Validator]),"")</f>
        <v/>
      </c>
      <c r="F5086" s="36" t="str">
        <f t="array" ref="F5086">IFNA(_xlfn.XLOOKUP(D5086,Table_Tarikan_Warkah[Nomor Tiket],Table_Tarikan_Warkah[Nama Petugas Warkah]),"")</f>
        <v/>
      </c>
      <c r="G5086" s="39" t="str">
        <f t="array" ref="G5086">IFNA(_xlfn.XLOOKUP(D5086,Table_Tarikan_Warkah[Nomor Tiket],Table_Tarikan_Warkah[Jenis Permohonan]),"")</f>
        <v>Balik nama ajb</v>
      </c>
      <c r="H5086" s="41" t="s">
        <v>2315</v>
      </c>
      <c r="I5086" s="49" t="s">
        <v>23</v>
      </c>
      <c r="J5086" s="36">
        <f t="shared" si="20"/>
        <v>46092.53056</v>
      </c>
      <c r="K5086" s="69"/>
      <c r="L5086" s="49"/>
      <c r="M5086" s="36" t="str">
        <f t="shared" si="33"/>
        <v/>
      </c>
      <c r="N5086" s="30" t="str">
        <f t="shared" si="34"/>
        <v>BT atau SU Belum Valid</v>
      </c>
      <c r="O5086" s="39" t="str">
        <f t="shared" si="23"/>
        <v/>
      </c>
      <c r="P5086" s="47" t="b">
        <v>0</v>
      </c>
      <c r="Q5086" s="36" t="str">
        <f t="shared" si="35"/>
        <v/>
      </c>
      <c r="R5086" s="47" t="b">
        <v>0</v>
      </c>
      <c r="S5086" s="42" t="str">
        <f t="shared" si="28"/>
        <v/>
      </c>
      <c r="T5086" s="42"/>
    </row>
    <row r="5087" ht="22.5" customHeight="1">
      <c r="B5087" s="42">
        <f t="shared" si="7"/>
        <v>5081</v>
      </c>
      <c r="C5087" s="31" t="s">
        <v>5083</v>
      </c>
      <c r="D5087" s="34" t="str">
        <f t="array" ref="D5087">IFNA(_xlfn.XLOOKUP(C5087,Table_Tarikan_Warkah[Nomor Sertipikat],Table_Tarikan_Warkah[Nomor Tiket]),"")</f>
        <v>ABTSKYVF/AB019</v>
      </c>
      <c r="E5087" s="36" t="str">
        <f t="array" ref="E5087">IFNA(_xlfn.XLOOKUP(D5087,Table_Tarikan_Warkah[Nomor Tiket],Table_Tarikan_Warkah[Tanggal diserahkan kepada Validator]),"")</f>
        <v/>
      </c>
      <c r="F5087" s="36" t="str">
        <f t="array" ref="F5087">IFNA(_xlfn.XLOOKUP(D5087,Table_Tarikan_Warkah[Nomor Tiket],Table_Tarikan_Warkah[Nama Petugas Warkah]),"")</f>
        <v/>
      </c>
      <c r="G5087" s="39" t="str">
        <f t="array" ref="G5087">IFNA(_xlfn.XLOOKUP(D5087,Table_Tarikan_Warkah[Nomor Tiket],Table_Tarikan_Warkah[Jenis Permohonan]),"")</f>
        <v>Bn ajb</v>
      </c>
      <c r="H5087" s="41" t="s">
        <v>2315</v>
      </c>
      <c r="I5087" s="49" t="s">
        <v>23</v>
      </c>
      <c r="J5087" s="36">
        <f t="shared" si="20"/>
        <v>46092.5318</v>
      </c>
      <c r="K5087" s="69"/>
      <c r="L5087" s="49"/>
      <c r="M5087" s="36" t="str">
        <f t="shared" si="33"/>
        <v/>
      </c>
      <c r="N5087" s="30" t="str">
        <f t="shared" si="34"/>
        <v>BT atau SU Belum Valid</v>
      </c>
      <c r="O5087" s="39" t="str">
        <f t="shared" si="23"/>
        <v/>
      </c>
      <c r="P5087" s="47" t="b">
        <v>0</v>
      </c>
      <c r="Q5087" s="36" t="str">
        <f t="shared" si="35"/>
        <v/>
      </c>
      <c r="R5087" s="47" t="b">
        <v>0</v>
      </c>
      <c r="S5087" s="42" t="str">
        <f t="shared" si="28"/>
        <v/>
      </c>
      <c r="T5087" s="42"/>
    </row>
    <row r="5088" ht="22.5" customHeight="1">
      <c r="B5088" s="42">
        <f t="shared" si="7"/>
        <v>5082</v>
      </c>
      <c r="C5088" s="31" t="s">
        <v>5084</v>
      </c>
      <c r="D5088" s="34" t="str">
        <f t="array" ref="D5088">IFNA(_xlfn.XLOOKUP(C5088,Table_Tarikan_Warkah[Nomor Sertipikat],Table_Tarikan_Warkah[Nomor Tiket]),"")</f>
        <v>ABPGZVZO</v>
      </c>
      <c r="E5088" s="36" t="str">
        <f t="array" ref="E5088">IFNA(_xlfn.XLOOKUP(D5088,Table_Tarikan_Warkah[Nomor Tiket],Table_Tarikan_Warkah[Tanggal diserahkan kepada Validator]),"")</f>
        <v/>
      </c>
      <c r="F5088" s="36" t="str">
        <f t="array" ref="F5088">IFNA(_xlfn.XLOOKUP(D5088,Table_Tarikan_Warkah[Nomor Tiket],Table_Tarikan_Warkah[Nama Petugas Warkah]),"")</f>
        <v/>
      </c>
      <c r="G5088" s="39" t="str">
        <f t="array" ref="G5088">IFNA(_xlfn.XLOOKUP(D5088,Table_Tarikan_Warkah[Nomor Tiket],Table_Tarikan_Warkah[Jenis Permohonan]),"")</f>
        <v>balik nama</v>
      </c>
      <c r="H5088" s="41" t="s">
        <v>2315</v>
      </c>
      <c r="I5088" s="49" t="s">
        <v>23</v>
      </c>
      <c r="J5088" s="36">
        <f t="shared" si="20"/>
        <v>46092.53204</v>
      </c>
      <c r="K5088" s="69"/>
      <c r="L5088" s="49"/>
      <c r="M5088" s="36" t="str">
        <f t="shared" si="33"/>
        <v/>
      </c>
      <c r="N5088" s="30" t="str">
        <f t="shared" si="34"/>
        <v>BT atau SU Belum Valid</v>
      </c>
      <c r="O5088" s="39" t="str">
        <f t="shared" si="23"/>
        <v/>
      </c>
      <c r="P5088" s="47" t="b">
        <v>0</v>
      </c>
      <c r="Q5088" s="36" t="str">
        <f t="shared" si="35"/>
        <v/>
      </c>
      <c r="R5088" s="47" t="b">
        <v>0</v>
      </c>
      <c r="S5088" s="42" t="str">
        <f t="shared" si="28"/>
        <v/>
      </c>
      <c r="T5088" s="42"/>
    </row>
    <row r="5089" ht="22.5" customHeight="1">
      <c r="B5089" s="42">
        <f t="shared" si="7"/>
        <v>5083</v>
      </c>
      <c r="C5089" s="31" t="s">
        <v>5085</v>
      </c>
      <c r="D5089" s="34" t="str">
        <f t="array" ref="D5089">IFNA(_xlfn.XLOOKUP(C5089,Table_Tarikan_Warkah[Nomor Sertipikat],Table_Tarikan_Warkah[Nomor Tiket]),"")</f>
        <v>AB074/ABYSLAUO</v>
      </c>
      <c r="E5089" s="36" t="str">
        <f t="array" ref="E5089">IFNA(_xlfn.XLOOKUP(D5089,Table_Tarikan_Warkah[Nomor Tiket],Table_Tarikan_Warkah[Tanggal diserahkan kepada Validator]),"")</f>
        <v/>
      </c>
      <c r="F5089" s="36" t="str">
        <f t="array" ref="F5089">IFNA(_xlfn.XLOOKUP(D5089,Table_Tarikan_Warkah[Nomor Tiket],Table_Tarikan_Warkah[Nama Petugas Warkah]),"")</f>
        <v/>
      </c>
      <c r="G5089" s="39" t="str">
        <f t="array" ref="G5089">IFNA(_xlfn.XLOOKUP(D5089,Table_Tarikan_Warkah[Nomor Tiket],Table_Tarikan_Warkah[Jenis Permohonan]),"")</f>
        <v>BALIK NAMA</v>
      </c>
      <c r="H5089" s="41" t="s">
        <v>2315</v>
      </c>
      <c r="I5089" s="49" t="s">
        <v>23</v>
      </c>
      <c r="J5089" s="36">
        <f t="shared" si="20"/>
        <v>46092.5325</v>
      </c>
      <c r="K5089" s="69"/>
      <c r="L5089" s="49"/>
      <c r="M5089" s="36" t="str">
        <f t="shared" si="33"/>
        <v/>
      </c>
      <c r="N5089" s="30" t="str">
        <f t="shared" si="34"/>
        <v>BT atau SU Belum Valid</v>
      </c>
      <c r="O5089" s="39" t="str">
        <f t="shared" si="23"/>
        <v/>
      </c>
      <c r="P5089" s="47" t="b">
        <v>0</v>
      </c>
      <c r="Q5089" s="36" t="str">
        <f t="shared" si="35"/>
        <v/>
      </c>
      <c r="R5089" s="47" t="b">
        <v>0</v>
      </c>
      <c r="S5089" s="42" t="str">
        <f t="shared" si="28"/>
        <v/>
      </c>
      <c r="T5089" s="42"/>
    </row>
    <row r="5090" ht="22.5" customHeight="1">
      <c r="B5090" s="42">
        <f t="shared" si="7"/>
        <v>5084</v>
      </c>
      <c r="C5090" s="31" t="s">
        <v>5086</v>
      </c>
      <c r="D5090" s="34" t="str">
        <f t="array" ref="D5090">IFNA(_xlfn.XLOOKUP(C5090,Table_Tarikan_Warkah[Nomor Sertipikat],Table_Tarikan_Warkah[Nomor Tiket]),"")</f>
        <v>AB072-ABUHWRFG</v>
      </c>
      <c r="E5090" s="36" t="str">
        <f t="array" ref="E5090">IFNA(_xlfn.XLOOKUP(D5090,Table_Tarikan_Warkah[Nomor Tiket],Table_Tarikan_Warkah[Tanggal diserahkan kepada Validator]),"")</f>
        <v/>
      </c>
      <c r="F5090" s="36" t="str">
        <f t="array" ref="F5090">IFNA(_xlfn.XLOOKUP(D5090,Table_Tarikan_Warkah[Nomor Tiket],Table_Tarikan_Warkah[Nama Petugas Warkah]),"")</f>
        <v/>
      </c>
      <c r="G5090" s="39" t="str">
        <f t="array" ref="G5090">IFNA(_xlfn.XLOOKUP(D5090,Table_Tarikan_Warkah[Nomor Tiket],Table_Tarikan_Warkah[Jenis Permohonan]),"")</f>
        <v>BALIK NAMA</v>
      </c>
      <c r="H5090" s="41" t="s">
        <v>2315</v>
      </c>
      <c r="I5090" s="49" t="s">
        <v>23</v>
      </c>
      <c r="J5090" s="36">
        <f t="shared" si="20"/>
        <v>46092.53277</v>
      </c>
      <c r="K5090" s="69"/>
      <c r="L5090" s="49"/>
      <c r="M5090" s="36" t="str">
        <f t="shared" si="33"/>
        <v/>
      </c>
      <c r="N5090" s="30" t="str">
        <f t="shared" si="34"/>
        <v>BT atau SU Belum Valid</v>
      </c>
      <c r="O5090" s="39" t="str">
        <f t="shared" si="23"/>
        <v/>
      </c>
      <c r="P5090" s="47" t="b">
        <v>0</v>
      </c>
      <c r="Q5090" s="36" t="str">
        <f t="shared" si="35"/>
        <v/>
      </c>
      <c r="R5090" s="47" t="b">
        <v>0</v>
      </c>
      <c r="S5090" s="42" t="str">
        <f t="shared" si="28"/>
        <v/>
      </c>
      <c r="T5090" s="42"/>
    </row>
    <row r="5091" ht="22.5" customHeight="1">
      <c r="B5091" s="42">
        <f t="shared" si="7"/>
        <v>5085</v>
      </c>
      <c r="C5091" s="31" t="s">
        <v>5087</v>
      </c>
      <c r="D5091" s="34" t="str">
        <f t="array" ref="D5091">IFNA(_xlfn.XLOOKUP(C5091,Table_Tarikan_Warkah[Nomor Sertipikat],Table_Tarikan_Warkah[Nomor Tiket]),"")</f>
        <v>AB065/ABEMNVYT</v>
      </c>
      <c r="E5091" s="36" t="str">
        <f t="array" ref="E5091">IFNA(_xlfn.XLOOKUP(D5091,Table_Tarikan_Warkah[Nomor Tiket],Table_Tarikan_Warkah[Tanggal diserahkan kepada Validator]),"")</f>
        <v/>
      </c>
      <c r="F5091" s="36" t="str">
        <f t="array" ref="F5091">IFNA(_xlfn.XLOOKUP(D5091,Table_Tarikan_Warkah[Nomor Tiket],Table_Tarikan_Warkah[Nama Petugas Warkah]),"")</f>
        <v/>
      </c>
      <c r="G5091" s="39" t="str">
        <f t="array" ref="G5091">IFNA(_xlfn.XLOOKUP(D5091,Table_Tarikan_Warkah[Nomor Tiket],Table_Tarikan_Warkah[Jenis Permohonan]),"")</f>
        <v>peralihan hak</v>
      </c>
      <c r="H5091" s="41" t="s">
        <v>2315</v>
      </c>
      <c r="I5091" s="49" t="s">
        <v>23</v>
      </c>
      <c r="J5091" s="36">
        <f t="shared" si="20"/>
        <v>46092.53304</v>
      </c>
      <c r="K5091" s="69"/>
      <c r="L5091" s="49"/>
      <c r="M5091" s="36" t="str">
        <f t="shared" si="33"/>
        <v/>
      </c>
      <c r="N5091" s="30" t="str">
        <f t="shared" si="34"/>
        <v>BT atau SU Belum Valid</v>
      </c>
      <c r="O5091" s="39" t="str">
        <f t="shared" si="23"/>
        <v/>
      </c>
      <c r="P5091" s="47" t="b">
        <v>0</v>
      </c>
      <c r="Q5091" s="36" t="str">
        <f t="shared" si="35"/>
        <v/>
      </c>
      <c r="R5091" s="47" t="b">
        <v>0</v>
      </c>
      <c r="S5091" s="42" t="str">
        <f t="shared" si="28"/>
        <v/>
      </c>
      <c r="T5091" s="42"/>
    </row>
    <row r="5092" ht="22.5" customHeight="1">
      <c r="B5092" s="42">
        <f t="shared" si="7"/>
        <v>5086</v>
      </c>
      <c r="C5092" s="31" t="s">
        <v>5088</v>
      </c>
      <c r="D5092" s="34" t="str">
        <f t="array" ref="D5092">IFNA(_xlfn.XLOOKUP(C5092,Table_Tarikan_Warkah[Nomor Sertipikat],Table_Tarikan_Warkah[Nomor Tiket]),"")</f>
        <v>AB057/ABLQKTYM</v>
      </c>
      <c r="E5092" s="36" t="str">
        <f t="array" ref="E5092">IFNA(_xlfn.XLOOKUP(D5092,Table_Tarikan_Warkah[Nomor Tiket],Table_Tarikan_Warkah[Tanggal diserahkan kepada Validator]),"")</f>
        <v/>
      </c>
      <c r="F5092" s="36" t="str">
        <f t="array" ref="F5092">IFNA(_xlfn.XLOOKUP(D5092,Table_Tarikan_Warkah[Nomor Tiket],Table_Tarikan_Warkah[Nama Petugas Warkah]),"")</f>
        <v/>
      </c>
      <c r="G5092" s="39" t="str">
        <f t="array" ref="G5092">IFNA(_xlfn.XLOOKUP(D5092,Table_Tarikan_Warkah[Nomor Tiket],Table_Tarikan_Warkah[Jenis Permohonan]),"")</f>
        <v>Ajb</v>
      </c>
      <c r="H5092" s="41" t="s">
        <v>2315</v>
      </c>
      <c r="I5092" s="49" t="s">
        <v>23</v>
      </c>
      <c r="J5092" s="36">
        <f t="shared" si="20"/>
        <v>46093.59729</v>
      </c>
      <c r="K5092" s="69"/>
      <c r="L5092" s="49"/>
      <c r="M5092" s="36" t="str">
        <f t="shared" si="33"/>
        <v/>
      </c>
      <c r="N5092" s="30" t="str">
        <f t="shared" si="34"/>
        <v>BT atau SU Belum Valid</v>
      </c>
      <c r="O5092" s="39" t="str">
        <f t="shared" si="23"/>
        <v/>
      </c>
      <c r="P5092" s="47" t="b">
        <v>0</v>
      </c>
      <c r="Q5092" s="36" t="str">
        <f t="shared" si="35"/>
        <v/>
      </c>
      <c r="R5092" s="47" t="b">
        <v>0</v>
      </c>
      <c r="S5092" s="42" t="str">
        <f t="shared" si="28"/>
        <v/>
      </c>
      <c r="T5092" s="42"/>
    </row>
    <row r="5093" ht="22.5" customHeight="1">
      <c r="B5093" s="42">
        <f t="shared" si="7"/>
        <v>5087</v>
      </c>
      <c r="C5093" s="31" t="s">
        <v>5089</v>
      </c>
      <c r="D5093" s="34" t="str">
        <f t="array" ref="D5093">IFNA(_xlfn.XLOOKUP(C5093,Table_Tarikan_Warkah[Nomor Sertipikat],Table_Tarikan_Warkah[Nomor Tiket]),"")</f>
        <v>ABVSIEAQ</v>
      </c>
      <c r="E5093" s="36" t="str">
        <f t="array" ref="E5093">IFNA(_xlfn.XLOOKUP(D5093,Table_Tarikan_Warkah[Nomor Tiket],Table_Tarikan_Warkah[Tanggal diserahkan kepada Validator]),"")</f>
        <v/>
      </c>
      <c r="F5093" s="36" t="str">
        <f t="array" ref="F5093">IFNA(_xlfn.XLOOKUP(D5093,Table_Tarikan_Warkah[Nomor Tiket],Table_Tarikan_Warkah[Nama Petugas Warkah]),"")</f>
        <v/>
      </c>
      <c r="G5093" s="39" t="str">
        <f t="array" ref="G5093">IFNA(_xlfn.XLOOKUP(D5093,Table_Tarikan_Warkah[Nomor Tiket],Table_Tarikan_Warkah[Jenis Permohonan]),"")</f>
        <v>Peralihan hak JUAL BELI</v>
      </c>
      <c r="H5093" s="41" t="s">
        <v>2315</v>
      </c>
      <c r="I5093" s="49" t="s">
        <v>23</v>
      </c>
      <c r="J5093" s="36">
        <f t="shared" si="20"/>
        <v>46093.59788</v>
      </c>
      <c r="K5093" s="69"/>
      <c r="L5093" s="49"/>
      <c r="M5093" s="36" t="str">
        <f t="shared" si="33"/>
        <v/>
      </c>
      <c r="N5093" s="30" t="str">
        <f t="shared" si="34"/>
        <v>BT atau SU Belum Valid</v>
      </c>
      <c r="O5093" s="39" t="str">
        <f t="shared" si="23"/>
        <v/>
      </c>
      <c r="P5093" s="47" t="b">
        <v>0</v>
      </c>
      <c r="Q5093" s="36" t="str">
        <f t="shared" si="35"/>
        <v/>
      </c>
      <c r="R5093" s="47" t="b">
        <v>0</v>
      </c>
      <c r="S5093" s="42" t="str">
        <f t="shared" si="28"/>
        <v/>
      </c>
      <c r="T5093" s="42"/>
    </row>
    <row r="5094" ht="22.5" customHeight="1">
      <c r="B5094" s="42">
        <f t="shared" si="7"/>
        <v>5088</v>
      </c>
      <c r="C5094" s="31" t="s">
        <v>5090</v>
      </c>
      <c r="D5094" s="34" t="str">
        <f t="array" ref="D5094">IFNA(_xlfn.XLOOKUP(C5094,Table_Tarikan_Warkah[Nomor Sertipikat],Table_Tarikan_Warkah[Nomor Tiket]),"")</f>
        <v>ABLNYIDD</v>
      </c>
      <c r="E5094" s="36" t="str">
        <f t="array" ref="E5094">IFNA(_xlfn.XLOOKUP(D5094,Table_Tarikan_Warkah[Nomor Tiket],Table_Tarikan_Warkah[Tanggal diserahkan kepada Validator]),"")</f>
        <v/>
      </c>
      <c r="F5094" s="36" t="str">
        <f t="array" ref="F5094">IFNA(_xlfn.XLOOKUP(D5094,Table_Tarikan_Warkah[Nomor Tiket],Table_Tarikan_Warkah[Nama Petugas Warkah]),"")</f>
        <v/>
      </c>
      <c r="G5094" s="39" t="str">
        <f t="array" ref="G5094">IFNA(_xlfn.XLOOKUP(D5094,Table_Tarikan_Warkah[Nomor Tiket],Table_Tarikan_Warkah[Jenis Permohonan]),"")</f>
        <v>Ganti kecamatan</v>
      </c>
      <c r="H5094" s="41" t="s">
        <v>2315</v>
      </c>
      <c r="I5094" s="49" t="s">
        <v>23</v>
      </c>
      <c r="J5094" s="36">
        <f t="shared" si="20"/>
        <v>46093.59846</v>
      </c>
      <c r="K5094" s="69"/>
      <c r="L5094" s="49"/>
      <c r="M5094" s="36" t="str">
        <f t="shared" si="33"/>
        <v/>
      </c>
      <c r="N5094" s="30" t="str">
        <f t="shared" si="34"/>
        <v>BT atau SU Belum Valid</v>
      </c>
      <c r="O5094" s="39" t="str">
        <f t="shared" si="23"/>
        <v/>
      </c>
      <c r="P5094" s="47" t="b">
        <v>0</v>
      </c>
      <c r="Q5094" s="36" t="str">
        <f t="shared" si="35"/>
        <v/>
      </c>
      <c r="R5094" s="47" t="b">
        <v>0</v>
      </c>
      <c r="S5094" s="42" t="str">
        <f t="shared" si="28"/>
        <v/>
      </c>
      <c r="T5094" s="42"/>
    </row>
    <row r="5095" ht="22.5" customHeight="1">
      <c r="B5095" s="42">
        <f t="shared" si="7"/>
        <v>5089</v>
      </c>
      <c r="C5095" s="31" t="s">
        <v>5091</v>
      </c>
      <c r="D5095" s="34" t="str">
        <f t="array" ref="D5095">IFNA(_xlfn.XLOOKUP(C5095,Table_Tarikan_Warkah[Nomor Sertipikat],Table_Tarikan_Warkah[Nomor Tiket]),"")</f>
        <v>L/2/241225/1</v>
      </c>
      <c r="E5095" s="36" t="str">
        <f t="array" ref="E5095">IFNA(_xlfn.XLOOKUP(D5095,Table_Tarikan_Warkah[Nomor Tiket],Table_Tarikan_Warkah[Tanggal diserahkan kepada Validator]),"")</f>
        <v/>
      </c>
      <c r="F5095" s="36" t="str">
        <f t="array" ref="F5095">IFNA(_xlfn.XLOOKUP(D5095,Table_Tarikan_Warkah[Nomor Tiket],Table_Tarikan_Warkah[Nama Petugas Warkah]),"")</f>
        <v/>
      </c>
      <c r="G5095" s="39" t="str">
        <f t="array" ref="G5095">IFNA(_xlfn.XLOOKUP(D5095,Table_Tarikan_Warkah[Nomor Tiket],Table_Tarikan_Warkah[Jenis Permohonan]),"")</f>
        <v>ROYA</v>
      </c>
      <c r="H5095" s="41" t="s">
        <v>2315</v>
      </c>
      <c r="I5095" s="49" t="s">
        <v>23</v>
      </c>
      <c r="J5095" s="36">
        <f t="shared" si="20"/>
        <v>46094.37289</v>
      </c>
      <c r="K5095" s="69"/>
      <c r="L5095" s="49"/>
      <c r="M5095" s="36" t="str">
        <f t="shared" si="33"/>
        <v/>
      </c>
      <c r="N5095" s="30" t="str">
        <f t="shared" si="34"/>
        <v>BT atau SU Belum Valid</v>
      </c>
      <c r="O5095" s="39" t="str">
        <f t="shared" si="23"/>
        <v/>
      </c>
      <c r="P5095" s="47" t="b">
        <v>0</v>
      </c>
      <c r="Q5095" s="36" t="str">
        <f t="shared" si="35"/>
        <v/>
      </c>
      <c r="R5095" s="47" t="b">
        <v>0</v>
      </c>
      <c r="S5095" s="42" t="str">
        <f t="shared" si="28"/>
        <v/>
      </c>
      <c r="T5095" s="42"/>
    </row>
    <row r="5096" ht="22.5" customHeight="1">
      <c r="B5096" s="42">
        <f t="shared" si="7"/>
        <v>5090</v>
      </c>
      <c r="C5096" s="31" t="s">
        <v>5092</v>
      </c>
      <c r="D5096" s="34" t="str">
        <f t="array" ref="D5096">IFNA(_xlfn.XLOOKUP(C5096,Table_Tarikan_Warkah[Nomor Sertipikat],Table_Tarikan_Warkah[Nomor Tiket]),"")</f>
        <v>ABADPHKJ/ AB12</v>
      </c>
      <c r="E5096" s="36" t="str">
        <f t="array" ref="E5096">IFNA(_xlfn.XLOOKUP(D5096,Table_Tarikan_Warkah[Nomor Tiket],Table_Tarikan_Warkah[Tanggal diserahkan kepada Validator]),"")</f>
        <v/>
      </c>
      <c r="F5096" s="36" t="str">
        <f t="array" ref="F5096">IFNA(_xlfn.XLOOKUP(D5096,Table_Tarikan_Warkah[Nomor Tiket],Table_Tarikan_Warkah[Nama Petugas Warkah]),"")</f>
        <v/>
      </c>
      <c r="G5096" s="39" t="str">
        <f t="array" ref="G5096">IFNA(_xlfn.XLOOKUP(D5096,Table_Tarikan_Warkah[Nomor Tiket],Table_Tarikan_Warkah[Jenis Permohonan]),"")</f>
        <v>balik nama jual beli</v>
      </c>
      <c r="H5096" s="41" t="s">
        <v>2315</v>
      </c>
      <c r="I5096" s="49" t="s">
        <v>23</v>
      </c>
      <c r="J5096" s="36">
        <f t="shared" si="20"/>
        <v>46094.55143</v>
      </c>
      <c r="K5096" s="69"/>
      <c r="L5096" s="49"/>
      <c r="M5096" s="36" t="str">
        <f t="shared" si="33"/>
        <v/>
      </c>
      <c r="N5096" s="30" t="str">
        <f t="shared" si="34"/>
        <v>BT atau SU Belum Valid</v>
      </c>
      <c r="O5096" s="39" t="str">
        <f t="shared" si="23"/>
        <v/>
      </c>
      <c r="P5096" s="47" t="b">
        <v>0</v>
      </c>
      <c r="Q5096" s="36" t="str">
        <f t="shared" si="35"/>
        <v/>
      </c>
      <c r="R5096" s="47" t="b">
        <v>0</v>
      </c>
      <c r="S5096" s="42" t="str">
        <f t="shared" si="28"/>
        <v/>
      </c>
      <c r="T5096" s="42"/>
    </row>
    <row r="5097" ht="22.5" customHeight="1">
      <c r="B5097" s="42">
        <f t="shared" si="7"/>
        <v>5091</v>
      </c>
      <c r="C5097" s="31" t="s">
        <v>5093</v>
      </c>
      <c r="D5097" s="34" t="str">
        <f t="array" ref="D5097">IFNA(_xlfn.XLOOKUP(C5097,Table_Tarikan_Warkah[Nomor Sertipikat],Table_Tarikan_Warkah[Nomor Tiket]),"")</f>
        <v>ABSWFRDP/AB042</v>
      </c>
      <c r="E5097" s="36" t="str">
        <f t="array" ref="E5097">IFNA(_xlfn.XLOOKUP(D5097,Table_Tarikan_Warkah[Nomor Tiket],Table_Tarikan_Warkah[Tanggal diserahkan kepada Validator]),"")</f>
        <v/>
      </c>
      <c r="F5097" s="36" t="str">
        <f t="array" ref="F5097">IFNA(_xlfn.XLOOKUP(D5097,Table_Tarikan_Warkah[Nomor Tiket],Table_Tarikan_Warkah[Nama Petugas Warkah]),"")</f>
        <v/>
      </c>
      <c r="G5097" s="39" t="str">
        <f t="array" ref="G5097">IFNA(_xlfn.XLOOKUP(D5097,Table_Tarikan_Warkah[Nomor Tiket],Table_Tarikan_Warkah[Jenis Permohonan]),"")</f>
        <v>Peralihan Hak</v>
      </c>
      <c r="H5097" s="41" t="s">
        <v>2315</v>
      </c>
      <c r="I5097" s="49" t="s">
        <v>23</v>
      </c>
      <c r="J5097" s="36">
        <f t="shared" si="20"/>
        <v>46094.55252</v>
      </c>
      <c r="K5097" s="69"/>
      <c r="L5097" s="49"/>
      <c r="M5097" s="36" t="str">
        <f t="shared" si="33"/>
        <v/>
      </c>
      <c r="N5097" s="30" t="str">
        <f t="shared" si="34"/>
        <v>BT atau SU Belum Valid</v>
      </c>
      <c r="O5097" s="39" t="str">
        <f t="shared" si="23"/>
        <v/>
      </c>
      <c r="P5097" s="47" t="b">
        <v>0</v>
      </c>
      <c r="Q5097" s="36" t="str">
        <f t="shared" si="35"/>
        <v/>
      </c>
      <c r="R5097" s="47" t="b">
        <v>0</v>
      </c>
      <c r="S5097" s="42" t="str">
        <f t="shared" si="28"/>
        <v/>
      </c>
      <c r="T5097" s="42"/>
    </row>
    <row r="5098" ht="22.5" customHeight="1">
      <c r="B5098" s="42">
        <f t="shared" si="7"/>
        <v>5092</v>
      </c>
      <c r="C5098" s="31" t="s">
        <v>5094</v>
      </c>
      <c r="D5098" s="34" t="str">
        <f t="array" ref="D5098">IFNA(_xlfn.XLOOKUP(C5098,Table_Tarikan_Warkah[Nomor Sertipikat],Table_Tarikan_Warkah[Nomor Tiket]),"")</f>
        <v>ABRHOOLK/ AB035</v>
      </c>
      <c r="E5098" s="36" t="str">
        <f t="array" ref="E5098">IFNA(_xlfn.XLOOKUP(D5098,Table_Tarikan_Warkah[Nomor Tiket],Table_Tarikan_Warkah[Tanggal diserahkan kepada Validator]),"")</f>
        <v/>
      </c>
      <c r="F5098" s="36" t="str">
        <f t="array" ref="F5098">IFNA(_xlfn.XLOOKUP(D5098,Table_Tarikan_Warkah[Nomor Tiket],Table_Tarikan_Warkah[Nama Petugas Warkah]),"")</f>
        <v/>
      </c>
      <c r="G5098" s="39" t="str">
        <f t="array" ref="G5098">IFNA(_xlfn.XLOOKUP(D5098,Table_Tarikan_Warkah[Nomor Tiket],Table_Tarikan_Warkah[Jenis Permohonan]),"")</f>
        <v>jual beli balik nama</v>
      </c>
      <c r="H5098" s="41" t="s">
        <v>2315</v>
      </c>
      <c r="I5098" s="49" t="s">
        <v>23</v>
      </c>
      <c r="J5098" s="36">
        <f t="shared" si="20"/>
        <v>46094.5527</v>
      </c>
      <c r="K5098" s="69"/>
      <c r="L5098" s="49"/>
      <c r="M5098" s="36" t="str">
        <f t="shared" si="33"/>
        <v/>
      </c>
      <c r="N5098" s="30" t="str">
        <f t="shared" si="34"/>
        <v>BT atau SU Belum Valid</v>
      </c>
      <c r="O5098" s="39" t="str">
        <f t="shared" si="23"/>
        <v/>
      </c>
      <c r="P5098" s="47" t="b">
        <v>0</v>
      </c>
      <c r="Q5098" s="36" t="str">
        <f t="shared" si="35"/>
        <v/>
      </c>
      <c r="R5098" s="47" t="b">
        <v>0</v>
      </c>
      <c r="S5098" s="42" t="str">
        <f t="shared" si="28"/>
        <v/>
      </c>
      <c r="T5098" s="42"/>
    </row>
    <row r="5099" ht="22.5" customHeight="1">
      <c r="B5099" s="42">
        <f t="shared" si="7"/>
        <v>5093</v>
      </c>
      <c r="C5099" s="31" t="s">
        <v>5095</v>
      </c>
      <c r="D5099" s="34" t="str">
        <f t="array" ref="D5099">IFNA(_xlfn.XLOOKUP(C5099,Table_Tarikan_Warkah[Nomor Sertipikat],Table_Tarikan_Warkah[Nomor Tiket]),"")</f>
        <v>AB039/ABEHZAAC</v>
      </c>
      <c r="E5099" s="36" t="str">
        <f t="array" ref="E5099">IFNA(_xlfn.XLOOKUP(D5099,Table_Tarikan_Warkah[Nomor Tiket],Table_Tarikan_Warkah[Tanggal diserahkan kepada Validator]),"")</f>
        <v/>
      </c>
      <c r="F5099" s="36" t="str">
        <f t="array" ref="F5099">IFNA(_xlfn.XLOOKUP(D5099,Table_Tarikan_Warkah[Nomor Tiket],Table_Tarikan_Warkah[Nama Petugas Warkah]),"")</f>
        <v/>
      </c>
      <c r="G5099" s="39" t="str">
        <f t="array" ref="G5099">IFNA(_xlfn.XLOOKUP(D5099,Table_Tarikan_Warkah[Nomor Tiket],Table_Tarikan_Warkah[Jenis Permohonan]),"")</f>
        <v>Balik Nama Ajb</v>
      </c>
      <c r="H5099" s="41" t="s">
        <v>2315</v>
      </c>
      <c r="I5099" s="49" t="s">
        <v>23</v>
      </c>
      <c r="J5099" s="36">
        <f t="shared" si="20"/>
        <v>46094.55309</v>
      </c>
      <c r="K5099" s="69"/>
      <c r="L5099" s="49"/>
      <c r="M5099" s="36" t="str">
        <f t="shared" si="33"/>
        <v/>
      </c>
      <c r="N5099" s="30" t="str">
        <f t="shared" si="34"/>
        <v>BT atau SU Belum Valid</v>
      </c>
      <c r="O5099" s="39" t="str">
        <f t="shared" si="23"/>
        <v/>
      </c>
      <c r="P5099" s="47" t="b">
        <v>0</v>
      </c>
      <c r="Q5099" s="36" t="str">
        <f t="shared" si="35"/>
        <v/>
      </c>
      <c r="R5099" s="47" t="b">
        <v>0</v>
      </c>
      <c r="S5099" s="42" t="str">
        <f t="shared" si="28"/>
        <v/>
      </c>
      <c r="T5099" s="42"/>
    </row>
    <row r="5100" ht="22.5" customHeight="1">
      <c r="B5100" s="42">
        <f t="shared" si="7"/>
        <v>5094</v>
      </c>
      <c r="C5100" s="31" t="s">
        <v>5096</v>
      </c>
      <c r="D5100" s="34" t="str">
        <f t="array" ref="D5100">IFNA(_xlfn.XLOOKUP(C5100,Table_Tarikan_Warkah[Nomor Sertipikat],Table_Tarikan_Warkah[Nomor Tiket]),"")</f>
        <v>AB065/ABGMRMPA</v>
      </c>
      <c r="E5100" s="36" t="str">
        <f t="array" ref="E5100">IFNA(_xlfn.XLOOKUP(D5100,Table_Tarikan_Warkah[Nomor Tiket],Table_Tarikan_Warkah[Tanggal diserahkan kepada Validator]),"")</f>
        <v/>
      </c>
      <c r="F5100" s="36" t="str">
        <f t="array" ref="F5100">IFNA(_xlfn.XLOOKUP(D5100,Table_Tarikan_Warkah[Nomor Tiket],Table_Tarikan_Warkah[Nama Petugas Warkah]),"")</f>
        <v/>
      </c>
      <c r="G5100" s="39" t="str">
        <f t="array" ref="G5100">IFNA(_xlfn.XLOOKUP(D5100,Table_Tarikan_Warkah[Nomor Tiket],Table_Tarikan_Warkah[Jenis Permohonan]),"")</f>
        <v>Balik Nama</v>
      </c>
      <c r="H5100" s="41" t="s">
        <v>2315</v>
      </c>
      <c r="I5100" s="49" t="s">
        <v>23</v>
      </c>
      <c r="J5100" s="36">
        <f t="shared" si="20"/>
        <v>46094.55327</v>
      </c>
      <c r="K5100" s="69"/>
      <c r="L5100" s="49"/>
      <c r="M5100" s="36" t="str">
        <f t="shared" si="33"/>
        <v/>
      </c>
      <c r="N5100" s="30" t="str">
        <f t="shared" si="34"/>
        <v>BT atau SU Belum Valid</v>
      </c>
      <c r="O5100" s="39" t="str">
        <f t="shared" si="23"/>
        <v/>
      </c>
      <c r="P5100" s="47" t="b">
        <v>0</v>
      </c>
      <c r="Q5100" s="36" t="str">
        <f t="shared" si="35"/>
        <v/>
      </c>
      <c r="R5100" s="47" t="b">
        <v>0</v>
      </c>
      <c r="S5100" s="42" t="str">
        <f t="shared" si="28"/>
        <v/>
      </c>
      <c r="T5100" s="42"/>
    </row>
    <row r="5101" ht="22.5" customHeight="1">
      <c r="B5101" s="42">
        <f t="shared" si="7"/>
        <v>5095</v>
      </c>
      <c r="C5101" s="31" t="s">
        <v>5097</v>
      </c>
      <c r="D5101" s="34" t="str">
        <f t="array" ref="D5101">IFNA(_xlfn.XLOOKUP(C5101,Table_Tarikan_Warkah[Nomor Sertipikat],Table_Tarikan_Warkah[Nomor Tiket]),"")</f>
        <v>Ab 30 ( abgsnliu)</v>
      </c>
      <c r="E5101" s="36" t="str">
        <f t="array" ref="E5101">IFNA(_xlfn.XLOOKUP(D5101,Table_Tarikan_Warkah[Nomor Tiket],Table_Tarikan_Warkah[Tanggal diserahkan kepada Validator]),"")</f>
        <v/>
      </c>
      <c r="F5101" s="36" t="str">
        <f t="array" ref="F5101">IFNA(_xlfn.XLOOKUP(D5101,Table_Tarikan_Warkah[Nomor Tiket],Table_Tarikan_Warkah[Nama Petugas Warkah]),"")</f>
        <v/>
      </c>
      <c r="G5101" s="39" t="str">
        <f t="array" ref="G5101">IFNA(_xlfn.XLOOKUP(D5101,Table_Tarikan_Warkah[Nomor Tiket],Table_Tarikan_Warkah[Jenis Permohonan]),"")</f>
        <v>Balik nama jual beli</v>
      </c>
      <c r="H5101" s="41" t="s">
        <v>2315</v>
      </c>
      <c r="I5101" s="49" t="s">
        <v>23</v>
      </c>
      <c r="J5101" s="36">
        <f t="shared" si="20"/>
        <v>46094.55392</v>
      </c>
      <c r="K5101" s="69"/>
      <c r="L5101" s="49"/>
      <c r="M5101" s="36" t="str">
        <f t="shared" si="33"/>
        <v/>
      </c>
      <c r="N5101" s="30" t="str">
        <f t="shared" si="34"/>
        <v>BT atau SU Belum Valid</v>
      </c>
      <c r="O5101" s="39" t="str">
        <f t="shared" si="23"/>
        <v/>
      </c>
      <c r="P5101" s="47" t="b">
        <v>0</v>
      </c>
      <c r="Q5101" s="36" t="str">
        <f t="shared" si="35"/>
        <v/>
      </c>
      <c r="R5101" s="47" t="b">
        <v>0</v>
      </c>
      <c r="S5101" s="42" t="str">
        <f t="shared" si="28"/>
        <v/>
      </c>
      <c r="T5101" s="42"/>
    </row>
    <row r="5102" ht="22.5" customHeight="1">
      <c r="B5102" s="42">
        <f t="shared" si="7"/>
        <v>5096</v>
      </c>
      <c r="C5102" s="31" t="s">
        <v>5098</v>
      </c>
      <c r="D5102" s="34" t="str">
        <f t="array" ref="D5102">IFNA(_xlfn.XLOOKUP(C5102,Table_Tarikan_Warkah[Nomor Sertipikat],Table_Tarikan_Warkah[Nomor Tiket]),"")</f>
        <v>ABUFHBJV</v>
      </c>
      <c r="E5102" s="36" t="str">
        <f t="array" ref="E5102">IFNA(_xlfn.XLOOKUP(D5102,Table_Tarikan_Warkah[Nomor Tiket],Table_Tarikan_Warkah[Tanggal diserahkan kepada Validator]),"")</f>
        <v/>
      </c>
      <c r="F5102" s="36" t="str">
        <f t="array" ref="F5102">IFNA(_xlfn.XLOOKUP(D5102,Table_Tarikan_Warkah[Nomor Tiket],Table_Tarikan_Warkah[Nama Petugas Warkah]),"")</f>
        <v/>
      </c>
      <c r="G5102" s="39" t="str">
        <f t="array" ref="G5102">IFNA(_xlfn.XLOOKUP(D5102,Table_Tarikan_Warkah[Nomor Tiket],Table_Tarikan_Warkah[Jenis Permohonan]),"")</f>
        <v>Hibah</v>
      </c>
      <c r="H5102" s="41" t="s">
        <v>2315</v>
      </c>
      <c r="I5102" s="49" t="s">
        <v>23</v>
      </c>
      <c r="J5102" s="36">
        <f t="shared" si="20"/>
        <v>46094.5541</v>
      </c>
      <c r="K5102" s="69"/>
      <c r="L5102" s="49"/>
      <c r="M5102" s="36" t="str">
        <f t="shared" si="33"/>
        <v/>
      </c>
      <c r="N5102" s="30" t="str">
        <f t="shared" si="34"/>
        <v>BT atau SU Belum Valid</v>
      </c>
      <c r="O5102" s="39" t="str">
        <f t="shared" si="23"/>
        <v/>
      </c>
      <c r="P5102" s="47" t="b">
        <v>0</v>
      </c>
      <c r="Q5102" s="36" t="str">
        <f t="shared" si="35"/>
        <v/>
      </c>
      <c r="R5102" s="47" t="b">
        <v>0</v>
      </c>
      <c r="S5102" s="42" t="str">
        <f t="shared" si="28"/>
        <v/>
      </c>
      <c r="T5102" s="42"/>
    </row>
    <row r="5103" ht="22.5" customHeight="1">
      <c r="B5103" s="42">
        <f t="shared" si="7"/>
        <v>5097</v>
      </c>
      <c r="C5103" s="31" t="s">
        <v>5099</v>
      </c>
      <c r="D5103" s="34" t="str">
        <f t="array" ref="D5103">IFNA(_xlfn.XLOOKUP(C5103,Table_Tarikan_Warkah[Nomor Sertipikat],Table_Tarikan_Warkah[Nomor Tiket]),"")</f>
        <v>AB065/ABVOGPMR</v>
      </c>
      <c r="E5103" s="36" t="str">
        <f t="array" ref="E5103">IFNA(_xlfn.XLOOKUP(D5103,Table_Tarikan_Warkah[Nomor Tiket],Table_Tarikan_Warkah[Tanggal diserahkan kepada Validator]),"")</f>
        <v/>
      </c>
      <c r="F5103" s="36" t="str">
        <f t="array" ref="F5103">IFNA(_xlfn.XLOOKUP(D5103,Table_Tarikan_Warkah[Nomor Tiket],Table_Tarikan_Warkah[Nama Petugas Warkah]),"")</f>
        <v/>
      </c>
      <c r="G5103" s="39" t="str">
        <f t="array" ref="G5103">IFNA(_xlfn.XLOOKUP(D5103,Table_Tarikan_Warkah[Nomor Tiket],Table_Tarikan_Warkah[Jenis Permohonan]),"")</f>
        <v>Balik nama</v>
      </c>
      <c r="H5103" s="41" t="s">
        <v>2315</v>
      </c>
      <c r="I5103" s="49" t="s">
        <v>23</v>
      </c>
      <c r="J5103" s="36">
        <f t="shared" si="20"/>
        <v>46094.55455</v>
      </c>
      <c r="K5103" s="69"/>
      <c r="L5103" s="49"/>
      <c r="M5103" s="36" t="str">
        <f t="shared" si="33"/>
        <v/>
      </c>
      <c r="N5103" s="30" t="str">
        <f t="shared" si="34"/>
        <v>BT atau SU Belum Valid</v>
      </c>
      <c r="O5103" s="39" t="str">
        <f t="shared" si="23"/>
        <v/>
      </c>
      <c r="P5103" s="47" t="b">
        <v>0</v>
      </c>
      <c r="Q5103" s="36" t="str">
        <f t="shared" si="35"/>
        <v/>
      </c>
      <c r="R5103" s="47" t="b">
        <v>0</v>
      </c>
      <c r="S5103" s="42" t="str">
        <f t="shared" si="28"/>
        <v/>
      </c>
      <c r="T5103" s="42"/>
    </row>
    <row r="5104" ht="22.5" customHeight="1">
      <c r="B5104" s="42">
        <f t="shared" si="7"/>
        <v>5098</v>
      </c>
      <c r="C5104" s="31" t="s">
        <v>5100</v>
      </c>
      <c r="D5104" s="34" t="str">
        <f t="array" ref="D5104">IFNA(_xlfn.XLOOKUP(C5104,Table_Tarikan_Warkah[Nomor Sertipikat],Table_Tarikan_Warkah[Nomor Tiket]),"")</f>
        <v>ABIJGWJC/AB025</v>
      </c>
      <c r="E5104" s="36" t="str">
        <f t="array" ref="E5104">IFNA(_xlfn.XLOOKUP(D5104,Table_Tarikan_Warkah[Nomor Tiket],Table_Tarikan_Warkah[Tanggal diserahkan kepada Validator]),"")</f>
        <v/>
      </c>
      <c r="F5104" s="36" t="str">
        <f t="array" ref="F5104">IFNA(_xlfn.XLOOKUP(D5104,Table_Tarikan_Warkah[Nomor Tiket],Table_Tarikan_Warkah[Nama Petugas Warkah]),"")</f>
        <v/>
      </c>
      <c r="G5104" s="39" t="str">
        <f t="array" ref="G5104">IFNA(_xlfn.XLOOKUP(D5104,Table_Tarikan_Warkah[Nomor Tiket],Table_Tarikan_Warkah[Jenis Permohonan]),"")</f>
        <v>Peralihan Hak (AJB)</v>
      </c>
      <c r="H5104" s="41" t="s">
        <v>2315</v>
      </c>
      <c r="I5104" s="49" t="s">
        <v>23</v>
      </c>
      <c r="J5104" s="36">
        <f t="shared" si="20"/>
        <v>46097.39079</v>
      </c>
      <c r="K5104" s="69"/>
      <c r="L5104" s="49"/>
      <c r="M5104" s="36" t="str">
        <f t="shared" si="33"/>
        <v/>
      </c>
      <c r="N5104" s="30" t="str">
        <f t="shared" si="34"/>
        <v>BT atau SU Belum Valid</v>
      </c>
      <c r="O5104" s="39" t="str">
        <f t="shared" si="23"/>
        <v/>
      </c>
      <c r="P5104" s="47" t="b">
        <v>0</v>
      </c>
      <c r="Q5104" s="36" t="str">
        <f t="shared" si="35"/>
        <v/>
      </c>
      <c r="R5104" s="47" t="b">
        <v>0</v>
      </c>
      <c r="S5104" s="42" t="str">
        <f t="shared" si="28"/>
        <v/>
      </c>
      <c r="T5104" s="42"/>
    </row>
    <row r="5105" ht="22.5" customHeight="1">
      <c r="B5105" s="42">
        <f t="shared" si="7"/>
        <v>5099</v>
      </c>
      <c r="C5105" s="31" t="s">
        <v>5101</v>
      </c>
      <c r="D5105" s="34" t="str">
        <f t="array" ref="D5105">IFNA(_xlfn.XLOOKUP(C5105,Table_Tarikan_Warkah[Nomor Sertipikat],Table_Tarikan_Warkah[Nomor Tiket]),"")</f>
        <v>ABQLXYZV/AB019 </v>
      </c>
      <c r="E5105" s="36" t="str">
        <f t="array" ref="E5105">IFNA(_xlfn.XLOOKUP(D5105,Table_Tarikan_Warkah[Nomor Tiket],Table_Tarikan_Warkah[Tanggal diserahkan kepada Validator]),"")</f>
        <v/>
      </c>
      <c r="F5105" s="36" t="str">
        <f t="array" ref="F5105">IFNA(_xlfn.XLOOKUP(D5105,Table_Tarikan_Warkah[Nomor Tiket],Table_Tarikan_Warkah[Nama Petugas Warkah]),"")</f>
        <v/>
      </c>
      <c r="G5105" s="39" t="str">
        <f t="array" ref="G5105">IFNA(_xlfn.XLOOKUP(D5105,Table_Tarikan_Warkah[Nomor Tiket],Table_Tarikan_Warkah[Jenis Permohonan]),"")</f>
        <v>Peralihan Hak Jual Beli</v>
      </c>
      <c r="H5105" s="41" t="s">
        <v>2315</v>
      </c>
      <c r="I5105" s="49" t="s">
        <v>23</v>
      </c>
      <c r="J5105" s="36">
        <f t="shared" si="20"/>
        <v>46097.39102</v>
      </c>
      <c r="K5105" s="69"/>
      <c r="L5105" s="49"/>
      <c r="M5105" s="36" t="str">
        <f t="shared" si="33"/>
        <v/>
      </c>
      <c r="N5105" s="30" t="str">
        <f t="shared" si="34"/>
        <v>BT atau SU Belum Valid</v>
      </c>
      <c r="O5105" s="39" t="str">
        <f t="shared" si="23"/>
        <v/>
      </c>
      <c r="P5105" s="47" t="b">
        <v>0</v>
      </c>
      <c r="Q5105" s="36" t="str">
        <f t="shared" si="35"/>
        <v/>
      </c>
      <c r="R5105" s="47" t="b">
        <v>0</v>
      </c>
      <c r="S5105" s="42" t="str">
        <f t="shared" si="28"/>
        <v/>
      </c>
      <c r="T5105" s="42"/>
    </row>
    <row r="5106" ht="22.5" customHeight="1">
      <c r="B5106" s="42">
        <f t="shared" si="7"/>
        <v>5100</v>
      </c>
      <c r="C5106" s="31" t="s">
        <v>5102</v>
      </c>
      <c r="D5106" s="34" t="str">
        <f t="array" ref="D5106">IFNA(_xlfn.XLOOKUP(C5106,Table_Tarikan_Warkah[Nomor Sertipikat],Table_Tarikan_Warkah[Nomor Tiket]),"")</f>
        <v>ABCIDBGK/AB057</v>
      </c>
      <c r="E5106" s="36" t="str">
        <f t="array" ref="E5106">IFNA(_xlfn.XLOOKUP(D5106,Table_Tarikan_Warkah[Nomor Tiket],Table_Tarikan_Warkah[Tanggal diserahkan kepada Validator]),"")</f>
        <v/>
      </c>
      <c r="F5106" s="36" t="str">
        <f t="array" ref="F5106">IFNA(_xlfn.XLOOKUP(D5106,Table_Tarikan_Warkah[Nomor Tiket],Table_Tarikan_Warkah[Nama Petugas Warkah]),"")</f>
        <v/>
      </c>
      <c r="G5106" s="39" t="str">
        <f t="array" ref="G5106">IFNA(_xlfn.XLOOKUP(D5106,Table_Tarikan_Warkah[Nomor Tiket],Table_Tarikan_Warkah[Jenis Permohonan]),"")</f>
        <v>Balik Nama Jual Beli</v>
      </c>
      <c r="H5106" s="41" t="s">
        <v>2315</v>
      </c>
      <c r="I5106" s="49" t="s">
        <v>23</v>
      </c>
      <c r="J5106" s="36">
        <f t="shared" si="20"/>
        <v>46097.39145</v>
      </c>
      <c r="K5106" s="69"/>
      <c r="L5106" s="49"/>
      <c r="M5106" s="36" t="str">
        <f t="shared" si="33"/>
        <v/>
      </c>
      <c r="N5106" s="30" t="str">
        <f t="shared" si="34"/>
        <v>BT atau SU Belum Valid</v>
      </c>
      <c r="O5106" s="39" t="str">
        <f t="shared" si="23"/>
        <v/>
      </c>
      <c r="P5106" s="47" t="b">
        <v>0</v>
      </c>
      <c r="Q5106" s="36" t="str">
        <f t="shared" si="35"/>
        <v/>
      </c>
      <c r="R5106" s="47" t="b">
        <v>0</v>
      </c>
      <c r="S5106" s="42" t="str">
        <f t="shared" si="28"/>
        <v/>
      </c>
      <c r="T5106" s="42"/>
    </row>
    <row r="5107" ht="22.5" customHeight="1">
      <c r="B5107" s="42">
        <f t="shared" si="7"/>
        <v>5101</v>
      </c>
      <c r="C5107" s="31" t="s">
        <v>5056</v>
      </c>
      <c r="D5107" s="34" t="str">
        <f t="array" ref="D5107">IFNA(_xlfn.XLOOKUP(C5107,Table_Tarikan_Warkah[Nomor Sertipikat],Table_Tarikan_Warkah[Nomor Tiket]),"")</f>
        <v>ABABYMVJ</v>
      </c>
      <c r="E5107" s="36" t="str">
        <f t="array" ref="E5107">IFNA(_xlfn.XLOOKUP(D5107,Table_Tarikan_Warkah[Nomor Tiket],Table_Tarikan_Warkah[Tanggal diserahkan kepada Validator]),"")</f>
        <v/>
      </c>
      <c r="F5107" s="36" t="str">
        <f t="array" ref="F5107">IFNA(_xlfn.XLOOKUP(D5107,Table_Tarikan_Warkah[Nomor Tiket],Table_Tarikan_Warkah[Nama Petugas Warkah]),"")</f>
        <v/>
      </c>
      <c r="G5107" s="39" t="str">
        <f t="array" ref="G5107">IFNA(_xlfn.XLOOKUP(D5107,Table_Tarikan_Warkah[Nomor Tiket],Table_Tarikan_Warkah[Jenis Permohonan]),"")</f>
        <v>bn jual beli</v>
      </c>
      <c r="H5107" s="41" t="s">
        <v>2315</v>
      </c>
      <c r="I5107" s="49" t="s">
        <v>23</v>
      </c>
      <c r="J5107" s="36">
        <f t="shared" si="20"/>
        <v>46097.3917</v>
      </c>
      <c r="K5107" s="69"/>
      <c r="L5107" s="49"/>
      <c r="M5107" s="36" t="str">
        <f t="shared" si="33"/>
        <v/>
      </c>
      <c r="N5107" s="30" t="str">
        <f t="shared" si="34"/>
        <v>BT atau SU Belum Valid</v>
      </c>
      <c r="O5107" s="39" t="str">
        <f t="shared" si="23"/>
        <v/>
      </c>
      <c r="P5107" s="47" t="b">
        <v>0</v>
      </c>
      <c r="Q5107" s="36" t="str">
        <f t="shared" si="35"/>
        <v/>
      </c>
      <c r="R5107" s="47" t="b">
        <v>0</v>
      </c>
      <c r="S5107" s="42" t="str">
        <f t="shared" si="28"/>
        <v/>
      </c>
      <c r="T5107" s="42"/>
    </row>
    <row r="5108" ht="22.5" customHeight="1">
      <c r="B5108" s="42">
        <f t="shared" si="7"/>
        <v>5102</v>
      </c>
      <c r="C5108" s="31" t="s">
        <v>5103</v>
      </c>
      <c r="D5108" s="34" t="str">
        <f t="array" ref="D5108">IFNA(_xlfn.XLOOKUP(C5108,Table_Tarikan_Warkah[Nomor Sertipikat],Table_Tarikan_Warkah[Nomor Tiket]),"")</f>
        <v>ABESVOKE</v>
      </c>
      <c r="E5108" s="36" t="str">
        <f t="array" ref="E5108">IFNA(_xlfn.XLOOKUP(D5108,Table_Tarikan_Warkah[Nomor Tiket],Table_Tarikan_Warkah[Tanggal diserahkan kepada Validator]),"")</f>
        <v/>
      </c>
      <c r="F5108" s="36" t="str">
        <f t="array" ref="F5108">IFNA(_xlfn.XLOOKUP(D5108,Table_Tarikan_Warkah[Nomor Tiket],Table_Tarikan_Warkah[Nama Petugas Warkah]),"")</f>
        <v/>
      </c>
      <c r="G5108" s="39" t="str">
        <f t="array" ref="G5108">IFNA(_xlfn.XLOOKUP(D5108,Table_Tarikan_Warkah[Nomor Tiket],Table_Tarikan_Warkah[Jenis Permohonan]),"")</f>
        <v>BN</v>
      </c>
      <c r="H5108" s="41" t="s">
        <v>2315</v>
      </c>
      <c r="I5108" s="49" t="s">
        <v>23</v>
      </c>
      <c r="J5108" s="36">
        <f t="shared" si="20"/>
        <v>46097.39202</v>
      </c>
      <c r="K5108" s="69"/>
      <c r="L5108" s="49"/>
      <c r="M5108" s="36" t="str">
        <f t="shared" si="33"/>
        <v/>
      </c>
      <c r="N5108" s="30" t="str">
        <f t="shared" si="34"/>
        <v>BT atau SU Belum Valid</v>
      </c>
      <c r="O5108" s="39" t="str">
        <f t="shared" si="23"/>
        <v/>
      </c>
      <c r="P5108" s="47" t="b">
        <v>0</v>
      </c>
      <c r="Q5108" s="36" t="str">
        <f t="shared" si="35"/>
        <v/>
      </c>
      <c r="R5108" s="47" t="b">
        <v>0</v>
      </c>
      <c r="S5108" s="42" t="str">
        <f t="shared" si="28"/>
        <v/>
      </c>
      <c r="T5108" s="42"/>
    </row>
    <row r="5109" ht="22.5" customHeight="1">
      <c r="B5109" s="42">
        <f t="shared" si="7"/>
        <v>5103</v>
      </c>
      <c r="C5109" s="31" t="s">
        <v>5104</v>
      </c>
      <c r="D5109" s="34" t="str">
        <f t="array" ref="D5109">IFNA(_xlfn.XLOOKUP(C5109,Table_Tarikan_Warkah[Nomor Sertipikat],Table_Tarikan_Warkah[Nomor Tiket]),"")</f>
        <v>ABXVJNTW</v>
      </c>
      <c r="E5109" s="36" t="str">
        <f t="array" ref="E5109">IFNA(_xlfn.XLOOKUP(D5109,Table_Tarikan_Warkah[Nomor Tiket],Table_Tarikan_Warkah[Tanggal diserahkan kepada Validator]),"")</f>
        <v/>
      </c>
      <c r="F5109" s="36" t="str">
        <f t="array" ref="F5109">IFNA(_xlfn.XLOOKUP(D5109,Table_Tarikan_Warkah[Nomor Tiket],Table_Tarikan_Warkah[Nama Petugas Warkah]),"")</f>
        <v/>
      </c>
      <c r="G5109" s="39" t="str">
        <f t="array" ref="G5109">IFNA(_xlfn.XLOOKUP(D5109,Table_Tarikan_Warkah[Nomor Tiket],Table_Tarikan_Warkah[Jenis Permohonan]),"")</f>
        <v>BALIK NAMA (AJB)</v>
      </c>
      <c r="H5109" s="41" t="s">
        <v>2315</v>
      </c>
      <c r="I5109" s="49" t="s">
        <v>23</v>
      </c>
      <c r="J5109" s="36">
        <f t="shared" si="20"/>
        <v>46097.39218</v>
      </c>
      <c r="K5109" s="69"/>
      <c r="L5109" s="49"/>
      <c r="M5109" s="36" t="str">
        <f t="shared" si="33"/>
        <v/>
      </c>
      <c r="N5109" s="30" t="str">
        <f t="shared" si="34"/>
        <v>BT atau SU Belum Valid</v>
      </c>
      <c r="O5109" s="39" t="str">
        <f t="shared" si="23"/>
        <v/>
      </c>
      <c r="P5109" s="47" t="b">
        <v>0</v>
      </c>
      <c r="Q5109" s="36" t="str">
        <f t="shared" si="35"/>
        <v/>
      </c>
      <c r="R5109" s="47" t="b">
        <v>0</v>
      </c>
      <c r="S5109" s="42" t="str">
        <f t="shared" si="28"/>
        <v/>
      </c>
      <c r="T5109" s="42"/>
    </row>
    <row r="5110" ht="22.5" customHeight="1">
      <c r="B5110" s="42">
        <f t="shared" si="7"/>
        <v>5104</v>
      </c>
      <c r="C5110" s="31" t="s">
        <v>5105</v>
      </c>
      <c r="D5110" s="34" t="str">
        <f t="array" ref="D5110">IFNA(_xlfn.XLOOKUP(C5110,Table_Tarikan_Warkah[Nomor Sertipikat],Table_Tarikan_Warkah[Nomor Tiket]),"")</f>
        <v>ABFPNFWU</v>
      </c>
      <c r="E5110" s="36">
        <f t="array" ref="E5110">IFNA(_xlfn.XLOOKUP(D5110,Table_Tarikan_Warkah[Nomor Tiket],Table_Tarikan_Warkah[Tanggal diserahkan kepada Validator]),"")</f>
        <v>46020.65054</v>
      </c>
      <c r="F5110" s="36" t="str">
        <f t="array" ref="F5110">IFNA(_xlfn.XLOOKUP(D5110,Table_Tarikan_Warkah[Nomor Tiket],Table_Tarikan_Warkah[Nama Petugas Warkah]),"")</f>
        <v>Berry</v>
      </c>
      <c r="G5110" s="39" t="str">
        <f t="array" ref="G5110">IFNA(_xlfn.XLOOKUP(D5110,Table_Tarikan_Warkah[Nomor Tiket],Table_Tarikan_Warkah[Jenis Permohonan]),"")</f>
        <v>Peralihan Hak</v>
      </c>
      <c r="H5110" s="41" t="s">
        <v>2315</v>
      </c>
      <c r="I5110" s="49" t="s">
        <v>23</v>
      </c>
      <c r="J5110" s="36">
        <f t="shared" si="20"/>
        <v>46097.39237</v>
      </c>
      <c r="K5110" s="69"/>
      <c r="L5110" s="49"/>
      <c r="M5110" s="36" t="str">
        <f t="shared" si="33"/>
        <v/>
      </c>
      <c r="N5110" s="30" t="str">
        <f t="shared" si="34"/>
        <v>BT atau SU Belum Valid</v>
      </c>
      <c r="O5110" s="39" t="str">
        <f t="shared" si="23"/>
        <v/>
      </c>
      <c r="P5110" s="47" t="b">
        <v>0</v>
      </c>
      <c r="Q5110" s="36" t="str">
        <f t="shared" si="35"/>
        <v/>
      </c>
      <c r="R5110" s="47" t="b">
        <v>0</v>
      </c>
      <c r="S5110" s="42" t="str">
        <f t="shared" si="28"/>
        <v/>
      </c>
      <c r="T5110" s="42"/>
    </row>
    <row r="5111" ht="22.5" customHeight="1">
      <c r="B5111" s="42">
        <f t="shared" si="7"/>
        <v>5105</v>
      </c>
      <c r="C5111" s="31" t="s">
        <v>5106</v>
      </c>
      <c r="D5111" s="34" t="str">
        <f t="array" ref="D5111">IFNA(_xlfn.XLOOKUP(C5111,Table_Tarikan_Warkah[Nomor Sertipikat],Table_Tarikan_Warkah[Nomor Tiket]),"")</f>
        <v>ABEWYVVZ</v>
      </c>
      <c r="E5111" s="36" t="str">
        <f t="array" ref="E5111">IFNA(_xlfn.XLOOKUP(D5111,Table_Tarikan_Warkah[Nomor Tiket],Table_Tarikan_Warkah[Tanggal diserahkan kepada Validator]),"")</f>
        <v/>
      </c>
      <c r="F5111" s="36" t="str">
        <f t="array" ref="F5111">IFNA(_xlfn.XLOOKUP(D5111,Table_Tarikan_Warkah[Nomor Tiket],Table_Tarikan_Warkah[Nama Petugas Warkah]),"")</f>
        <v/>
      </c>
      <c r="G5111" s="39" t="str">
        <f t="array" ref="G5111">IFNA(_xlfn.XLOOKUP(D5111,Table_Tarikan_Warkah[Nomor Tiket],Table_Tarikan_Warkah[Jenis Permohonan]),"")</f>
        <v>Kuasa</v>
      </c>
      <c r="H5111" s="41" t="s">
        <v>2315</v>
      </c>
      <c r="I5111" s="49" t="s">
        <v>23</v>
      </c>
      <c r="J5111" s="36">
        <f t="shared" si="20"/>
        <v>46097.3936</v>
      </c>
      <c r="K5111" s="69"/>
      <c r="L5111" s="49"/>
      <c r="M5111" s="36" t="str">
        <f t="shared" si="33"/>
        <v/>
      </c>
      <c r="N5111" s="30" t="str">
        <f t="shared" si="34"/>
        <v>BT atau SU Belum Valid</v>
      </c>
      <c r="O5111" s="39" t="str">
        <f t="shared" si="23"/>
        <v/>
      </c>
      <c r="P5111" s="47" t="b">
        <v>0</v>
      </c>
      <c r="Q5111" s="36" t="str">
        <f t="shared" si="35"/>
        <v/>
      </c>
      <c r="R5111" s="47" t="b">
        <v>0</v>
      </c>
      <c r="S5111" s="42" t="str">
        <f t="shared" si="28"/>
        <v/>
      </c>
      <c r="T5111" s="42"/>
    </row>
    <row r="5112" ht="22.5" customHeight="1">
      <c r="B5112" s="42">
        <f t="shared" si="7"/>
        <v>5106</v>
      </c>
      <c r="C5112" s="31" t="s">
        <v>5107</v>
      </c>
      <c r="D5112" s="34" t="str">
        <f t="array" ref="D5112">IFNA(_xlfn.XLOOKUP(C5112,Table_Tarikan_Warkah[Nomor Sertipikat],Table_Tarikan_Warkah[Nomor Tiket]),"")</f>
        <v>AB035/ABTXHCKN</v>
      </c>
      <c r="E5112" s="36">
        <f t="array" ref="E5112">IFNA(_xlfn.XLOOKUP(D5112,Table_Tarikan_Warkah[Nomor Tiket],Table_Tarikan_Warkah[Tanggal diserahkan kepada Validator]),"")</f>
        <v>46020.65536</v>
      </c>
      <c r="F5112" s="36" t="str">
        <f t="array" ref="F5112">IFNA(_xlfn.XLOOKUP(D5112,Table_Tarikan_Warkah[Nomor Tiket],Table_Tarikan_Warkah[Nama Petugas Warkah]),"")</f>
        <v>Berry</v>
      </c>
      <c r="G5112" s="39" t="str">
        <f t="array" ref="G5112">IFNA(_xlfn.XLOOKUP(D5112,Table_Tarikan_Warkah[Nomor Tiket],Table_Tarikan_Warkah[Jenis Permohonan]),"")</f>
        <v>Balik Nama</v>
      </c>
      <c r="H5112" s="41" t="s">
        <v>2315</v>
      </c>
      <c r="I5112" s="49" t="s">
        <v>23</v>
      </c>
      <c r="J5112" s="36">
        <f t="shared" si="20"/>
        <v>46097.39383</v>
      </c>
      <c r="K5112" s="69"/>
      <c r="L5112" s="49"/>
      <c r="M5112" s="36" t="str">
        <f t="shared" si="33"/>
        <v/>
      </c>
      <c r="N5112" s="30" t="str">
        <f t="shared" si="34"/>
        <v>BT atau SU Belum Valid</v>
      </c>
      <c r="O5112" s="39" t="str">
        <f t="shared" si="23"/>
        <v/>
      </c>
      <c r="P5112" s="47" t="b">
        <v>0</v>
      </c>
      <c r="Q5112" s="36" t="str">
        <f t="shared" si="35"/>
        <v/>
      </c>
      <c r="R5112" s="47" t="b">
        <v>0</v>
      </c>
      <c r="S5112" s="42" t="str">
        <f t="shared" si="28"/>
        <v/>
      </c>
      <c r="T5112" s="42"/>
    </row>
    <row r="5113" ht="22.5" customHeight="1">
      <c r="B5113" s="42">
        <f t="shared" si="7"/>
        <v>5107</v>
      </c>
      <c r="C5113" s="31" t="s">
        <v>5108</v>
      </c>
      <c r="D5113" s="34" t="str">
        <f t="array" ref="D5113">IFNA(_xlfn.XLOOKUP(C5113,Table_Tarikan_Warkah[Nomor Sertipikat],Table_Tarikan_Warkah[Nomor Tiket]),"")</f>
        <v>ABSUQBHQ</v>
      </c>
      <c r="E5113" s="36" t="str">
        <f t="array" ref="E5113">IFNA(_xlfn.XLOOKUP(D5113,Table_Tarikan_Warkah[Nomor Tiket],Table_Tarikan_Warkah[Tanggal diserahkan kepada Validator]),"")</f>
        <v/>
      </c>
      <c r="F5113" s="36" t="str">
        <f t="array" ref="F5113">IFNA(_xlfn.XLOOKUP(D5113,Table_Tarikan_Warkah[Nomor Tiket],Table_Tarikan_Warkah[Nama Petugas Warkah]),"")</f>
        <v/>
      </c>
      <c r="G5113" s="39" t="str">
        <f t="array" ref="G5113">IFNA(_xlfn.XLOOKUP(D5113,Table_Tarikan_Warkah[Nomor Tiket],Table_Tarikan_Warkah[Jenis Permohonan]),"")</f>
        <v>Bn hibah</v>
      </c>
      <c r="H5113" s="41" t="s">
        <v>2315</v>
      </c>
      <c r="I5113" s="49" t="s">
        <v>23</v>
      </c>
      <c r="J5113" s="36">
        <f t="shared" si="20"/>
        <v>46097.39455</v>
      </c>
      <c r="K5113" s="69"/>
      <c r="L5113" s="49"/>
      <c r="M5113" s="36" t="str">
        <f t="shared" si="33"/>
        <v/>
      </c>
      <c r="N5113" s="30" t="str">
        <f t="shared" si="34"/>
        <v>BT atau SU Belum Valid</v>
      </c>
      <c r="O5113" s="39" t="str">
        <f t="shared" si="23"/>
        <v/>
      </c>
      <c r="P5113" s="47" t="b">
        <v>0</v>
      </c>
      <c r="Q5113" s="36" t="str">
        <f t="shared" si="35"/>
        <v/>
      </c>
      <c r="R5113" s="47" t="b">
        <v>0</v>
      </c>
      <c r="S5113" s="42" t="str">
        <f t="shared" si="28"/>
        <v/>
      </c>
      <c r="T5113" s="42"/>
    </row>
    <row r="5114" ht="22.5" customHeight="1">
      <c r="B5114" s="42">
        <f t="shared" si="7"/>
        <v>5108</v>
      </c>
      <c r="C5114" s="31" t="s">
        <v>5109</v>
      </c>
      <c r="D5114" s="34" t="str">
        <f t="array" ref="D5114">IFNA(_xlfn.XLOOKUP(C5114,Table_Tarikan_Warkah[Nomor Sertipikat],Table_Tarikan_Warkah[Nomor Tiket]),"")</f>
        <v>AB014/ABWKMVPQ</v>
      </c>
      <c r="E5114" s="36" t="str">
        <f t="array" ref="E5114">IFNA(_xlfn.XLOOKUP(D5114,Table_Tarikan_Warkah[Nomor Tiket],Table_Tarikan_Warkah[Tanggal diserahkan kepada Validator]),"")</f>
        <v/>
      </c>
      <c r="F5114" s="36" t="str">
        <f t="array" ref="F5114">IFNA(_xlfn.XLOOKUP(D5114,Table_Tarikan_Warkah[Nomor Tiket],Table_Tarikan_Warkah[Nama Petugas Warkah]),"")</f>
        <v/>
      </c>
      <c r="G5114" s="39" t="str">
        <f t="array" ref="G5114">IFNA(_xlfn.XLOOKUP(D5114,Table_Tarikan_Warkah[Nomor Tiket],Table_Tarikan_Warkah[Jenis Permohonan]),"")</f>
        <v>BN</v>
      </c>
      <c r="H5114" s="41" t="s">
        <v>2315</v>
      </c>
      <c r="I5114" s="49" t="s">
        <v>23</v>
      </c>
      <c r="J5114" s="36">
        <f t="shared" si="20"/>
        <v>46097.39474</v>
      </c>
      <c r="K5114" s="69"/>
      <c r="L5114" s="49"/>
      <c r="M5114" s="36" t="str">
        <f t="shared" si="33"/>
        <v/>
      </c>
      <c r="N5114" s="30" t="str">
        <f t="shared" si="34"/>
        <v>BT atau SU Belum Valid</v>
      </c>
      <c r="O5114" s="39" t="str">
        <f t="shared" si="23"/>
        <v/>
      </c>
      <c r="P5114" s="47" t="b">
        <v>0</v>
      </c>
      <c r="Q5114" s="36" t="str">
        <f t="shared" si="35"/>
        <v/>
      </c>
      <c r="R5114" s="47" t="b">
        <v>0</v>
      </c>
      <c r="S5114" s="42" t="str">
        <f t="shared" si="28"/>
        <v/>
      </c>
      <c r="T5114" s="42"/>
    </row>
    <row r="5115" ht="22.5" customHeight="1">
      <c r="B5115" s="42">
        <f t="shared" si="7"/>
        <v>5109</v>
      </c>
      <c r="C5115" s="31" t="s">
        <v>5110</v>
      </c>
      <c r="D5115" s="34" t="str">
        <f t="array" ref="D5115">IFNA(_xlfn.XLOOKUP(C5115,Table_Tarikan_Warkah[Nomor Sertipikat],Table_Tarikan_Warkah[Nomor Tiket]),"")</f>
        <v>ABSQKTKE</v>
      </c>
      <c r="E5115" s="36" t="str">
        <f t="array" ref="E5115">IFNA(_xlfn.XLOOKUP(D5115,Table_Tarikan_Warkah[Nomor Tiket],Table_Tarikan_Warkah[Tanggal diserahkan kepada Validator]),"")</f>
        <v/>
      </c>
      <c r="F5115" s="36" t="str">
        <f t="array" ref="F5115">IFNA(_xlfn.XLOOKUP(D5115,Table_Tarikan_Warkah[Nomor Tiket],Table_Tarikan_Warkah[Nama Petugas Warkah]),"")</f>
        <v/>
      </c>
      <c r="G5115" s="39" t="str">
        <f t="array" ref="G5115">IFNA(_xlfn.XLOOKUP(D5115,Table_Tarikan_Warkah[Nomor Tiket],Table_Tarikan_Warkah[Jenis Permohonan]),"")</f>
        <v>Balik nama ajb</v>
      </c>
      <c r="H5115" s="41" t="s">
        <v>2315</v>
      </c>
      <c r="I5115" s="49" t="s">
        <v>23</v>
      </c>
      <c r="J5115" s="36">
        <f t="shared" si="20"/>
        <v>46097.39493</v>
      </c>
      <c r="K5115" s="69"/>
      <c r="L5115" s="49"/>
      <c r="M5115" s="36" t="str">
        <f t="shared" si="33"/>
        <v/>
      </c>
      <c r="N5115" s="30" t="str">
        <f t="shared" si="34"/>
        <v>BT atau SU Belum Valid</v>
      </c>
      <c r="O5115" s="39" t="str">
        <f t="shared" si="23"/>
        <v/>
      </c>
      <c r="P5115" s="47" t="b">
        <v>0</v>
      </c>
      <c r="Q5115" s="36" t="str">
        <f t="shared" si="35"/>
        <v/>
      </c>
      <c r="R5115" s="47" t="b">
        <v>0</v>
      </c>
      <c r="S5115" s="42" t="str">
        <f t="shared" si="28"/>
        <v/>
      </c>
      <c r="T5115" s="42"/>
    </row>
    <row r="5116" ht="22.5" customHeight="1">
      <c r="B5116" s="42">
        <f t="shared" si="7"/>
        <v>5110</v>
      </c>
      <c r="C5116" s="31" t="s">
        <v>5111</v>
      </c>
      <c r="D5116" s="34" t="str">
        <f t="array" ref="D5116">IFNA(_xlfn.XLOOKUP(C5116,Table_Tarikan_Warkah[Nomor Sertipikat],Table_Tarikan_Warkah[Nomor Tiket]),"")</f>
        <v>ABKGQIRG</v>
      </c>
      <c r="E5116" s="36" t="str">
        <f t="array" ref="E5116">IFNA(_xlfn.XLOOKUP(D5116,Table_Tarikan_Warkah[Nomor Tiket],Table_Tarikan_Warkah[Tanggal diserahkan kepada Validator]),"")</f>
        <v/>
      </c>
      <c r="F5116" s="36" t="str">
        <f t="array" ref="F5116">IFNA(_xlfn.XLOOKUP(D5116,Table_Tarikan_Warkah[Nomor Tiket],Table_Tarikan_Warkah[Nama Petugas Warkah]),"")</f>
        <v/>
      </c>
      <c r="G5116" s="39" t="str">
        <f t="array" ref="G5116">IFNA(_xlfn.XLOOKUP(D5116,Table_Tarikan_Warkah[Nomor Tiket],Table_Tarikan_Warkah[Jenis Permohonan]),"")</f>
        <v>Balik nama ajb</v>
      </c>
      <c r="H5116" s="41" t="s">
        <v>2315</v>
      </c>
      <c r="I5116" s="49" t="s">
        <v>23</v>
      </c>
      <c r="J5116" s="36">
        <f t="shared" si="20"/>
        <v>46097.39518</v>
      </c>
      <c r="K5116" s="69"/>
      <c r="L5116" s="49"/>
      <c r="M5116" s="36" t="str">
        <f t="shared" si="33"/>
        <v/>
      </c>
      <c r="N5116" s="30" t="str">
        <f t="shared" si="34"/>
        <v>BT atau SU Belum Valid</v>
      </c>
      <c r="O5116" s="39" t="str">
        <f t="shared" si="23"/>
        <v/>
      </c>
      <c r="P5116" s="47" t="b">
        <v>0</v>
      </c>
      <c r="Q5116" s="36" t="str">
        <f t="shared" si="35"/>
        <v/>
      </c>
      <c r="R5116" s="47" t="b">
        <v>0</v>
      </c>
      <c r="S5116" s="42" t="str">
        <f t="shared" si="28"/>
        <v/>
      </c>
      <c r="T5116" s="42"/>
    </row>
    <row r="5117" ht="22.5" customHeight="1">
      <c r="B5117" s="42">
        <f t="shared" si="7"/>
        <v>5111</v>
      </c>
      <c r="C5117" s="31" t="s">
        <v>5112</v>
      </c>
      <c r="D5117" s="34" t="str">
        <f t="array" ref="D5117">IFNA(_xlfn.XLOOKUP(C5117,Table_Tarikan_Warkah[Nomor Sertipikat],Table_Tarikan_Warkah[Nomor Tiket]),"")</f>
        <v>L/3/230126/1</v>
      </c>
      <c r="E5117" s="36" t="str">
        <f t="array" ref="E5117">IFNA(_xlfn.XLOOKUP(D5117,Table_Tarikan_Warkah[Nomor Tiket],Table_Tarikan_Warkah[Tanggal diserahkan kepada Validator]),"")</f>
        <v/>
      </c>
      <c r="F5117" s="36" t="str">
        <f t="array" ref="F5117">IFNA(_xlfn.XLOOKUP(D5117,Table_Tarikan_Warkah[Nomor Tiket],Table_Tarikan_Warkah[Nama Petugas Warkah]),"")</f>
        <v/>
      </c>
      <c r="G5117" s="39" t="str">
        <f t="array" ref="G5117">IFNA(_xlfn.XLOOKUP(D5117,Table_Tarikan_Warkah[Nomor Tiket],Table_Tarikan_Warkah[Jenis Permohonan]),"")</f>
        <v>BN JUAL BELI</v>
      </c>
      <c r="H5117" s="41" t="s">
        <v>2315</v>
      </c>
      <c r="I5117" s="49" t="s">
        <v>23</v>
      </c>
      <c r="J5117" s="36">
        <f t="shared" si="20"/>
        <v>46107.39158</v>
      </c>
      <c r="K5117" s="69"/>
      <c r="L5117" s="49"/>
      <c r="M5117" s="36" t="str">
        <f t="shared" si="33"/>
        <v/>
      </c>
      <c r="N5117" s="30" t="str">
        <f t="shared" si="34"/>
        <v>BT atau SU Belum Valid</v>
      </c>
      <c r="O5117" s="39" t="str">
        <f t="shared" si="23"/>
        <v/>
      </c>
      <c r="P5117" s="47" t="b">
        <v>0</v>
      </c>
      <c r="Q5117" s="36" t="str">
        <f t="shared" si="35"/>
        <v/>
      </c>
      <c r="R5117" s="47" t="b">
        <v>0</v>
      </c>
      <c r="S5117" s="42" t="str">
        <f t="shared" si="28"/>
        <v/>
      </c>
      <c r="T5117" s="42"/>
    </row>
    <row r="5118" ht="22.5" customHeight="1">
      <c r="B5118" s="42">
        <f t="shared" si="7"/>
        <v>5112</v>
      </c>
      <c r="C5118" s="31" t="s">
        <v>5113</v>
      </c>
      <c r="D5118" s="34" t="str">
        <f t="array" ref="D5118">IFNA(_xlfn.XLOOKUP(C5118,Table_Tarikan_Warkah[Nomor Sertipikat],Table_Tarikan_Warkah[Nomor Tiket]),"")</f>
        <v>L/27/060825/1</v>
      </c>
      <c r="E5118" s="36" t="str">
        <f t="array" ref="E5118">IFNA(_xlfn.XLOOKUP(D5118,Table_Tarikan_Warkah[Nomor Tiket],Table_Tarikan_Warkah[Tanggal diserahkan kepada Validator]),"")</f>
        <v/>
      </c>
      <c r="F5118" s="36" t="str">
        <f t="array" ref="F5118">IFNA(_xlfn.XLOOKUP(D5118,Table_Tarikan_Warkah[Nomor Tiket],Table_Tarikan_Warkah[Nama Petugas Warkah]),"")</f>
        <v/>
      </c>
      <c r="G5118" s="39" t="str">
        <f t="array" ref="G5118">IFNA(_xlfn.XLOOKUP(D5118,Table_Tarikan_Warkah[Nomor Tiket],Table_Tarikan_Warkah[Jenis Permohonan]),"")</f>
        <v>ROYA</v>
      </c>
      <c r="H5118" s="41" t="s">
        <v>2315</v>
      </c>
      <c r="I5118" s="49" t="s">
        <v>23</v>
      </c>
      <c r="J5118" s="36">
        <f t="shared" si="20"/>
        <v>46107.39286</v>
      </c>
      <c r="K5118" s="69"/>
      <c r="L5118" s="49"/>
      <c r="M5118" s="36" t="str">
        <f t="shared" si="33"/>
        <v/>
      </c>
      <c r="N5118" s="30" t="str">
        <f t="shared" si="34"/>
        <v>BT atau SU Belum Valid</v>
      </c>
      <c r="O5118" s="39" t="str">
        <f t="shared" si="23"/>
        <v/>
      </c>
      <c r="P5118" s="47" t="b">
        <v>0</v>
      </c>
      <c r="Q5118" s="36" t="str">
        <f t="shared" si="35"/>
        <v/>
      </c>
      <c r="R5118" s="47" t="b">
        <v>0</v>
      </c>
      <c r="S5118" s="42" t="str">
        <f t="shared" si="28"/>
        <v/>
      </c>
      <c r="T5118" s="42"/>
    </row>
    <row r="5119" ht="22.5" customHeight="1">
      <c r="B5119" s="42">
        <f t="shared" si="7"/>
        <v>5113</v>
      </c>
      <c r="C5119" s="31" t="s">
        <v>5114</v>
      </c>
      <c r="D5119" s="34" t="str">
        <f t="array" ref="D5119">IFNA(_xlfn.XLOOKUP(C5119,Table_Tarikan_Warkah[Nomor Sertipikat],Table_Tarikan_Warkah[Nomor Tiket]),"")</f>
        <v>K/11/050226/1</v>
      </c>
      <c r="E5119" s="36" t="str">
        <f t="array" ref="E5119">IFNA(_xlfn.XLOOKUP(D5119,Table_Tarikan_Warkah[Nomor Tiket],Table_Tarikan_Warkah[Tanggal diserahkan kepada Validator]),"")</f>
        <v/>
      </c>
      <c r="F5119" s="36" t="str">
        <f t="array" ref="F5119">IFNA(_xlfn.XLOOKUP(D5119,Table_Tarikan_Warkah[Nomor Tiket],Table_Tarikan_Warkah[Nama Petugas Warkah]),"")</f>
        <v/>
      </c>
      <c r="G5119" s="39" t="str">
        <f t="array" ref="G5119">IFNA(_xlfn.XLOOKUP(D5119,Table_Tarikan_Warkah[Nomor Tiket],Table_Tarikan_Warkah[Jenis Permohonan]),"")</f>
        <v>BN WARIS</v>
      </c>
      <c r="H5119" s="41" t="s">
        <v>2315</v>
      </c>
      <c r="I5119" s="49" t="s">
        <v>23</v>
      </c>
      <c r="J5119" s="36">
        <f t="shared" si="20"/>
        <v>46107.39318</v>
      </c>
      <c r="K5119" s="69"/>
      <c r="L5119" s="49"/>
      <c r="M5119" s="36" t="str">
        <f t="shared" si="33"/>
        <v/>
      </c>
      <c r="N5119" s="30" t="str">
        <f t="shared" si="34"/>
        <v>BT atau SU Belum Valid</v>
      </c>
      <c r="O5119" s="39" t="str">
        <f t="shared" si="23"/>
        <v/>
      </c>
      <c r="P5119" s="47" t="b">
        <v>0</v>
      </c>
      <c r="Q5119" s="36" t="str">
        <f t="shared" si="35"/>
        <v/>
      </c>
      <c r="R5119" s="47" t="b">
        <v>0</v>
      </c>
      <c r="S5119" s="42" t="str">
        <f t="shared" si="28"/>
        <v/>
      </c>
      <c r="T5119" s="42"/>
    </row>
    <row r="5120" ht="22.5" customHeight="1">
      <c r="B5120" s="42">
        <f t="shared" si="7"/>
        <v>5114</v>
      </c>
      <c r="C5120" s="31" t="s">
        <v>5112</v>
      </c>
      <c r="D5120" s="34" t="str">
        <f t="array" ref="D5120">IFNA(_xlfn.XLOOKUP(C5120,Table_Tarikan_Warkah[Nomor Sertipikat],Table_Tarikan_Warkah[Nomor Tiket]),"")</f>
        <v>L/3/230126/1</v>
      </c>
      <c r="E5120" s="36" t="str">
        <f t="array" ref="E5120">IFNA(_xlfn.XLOOKUP(D5120,Table_Tarikan_Warkah[Nomor Tiket],Table_Tarikan_Warkah[Tanggal diserahkan kepada Validator]),"")</f>
        <v/>
      </c>
      <c r="F5120" s="36" t="str">
        <f t="array" ref="F5120">IFNA(_xlfn.XLOOKUP(D5120,Table_Tarikan_Warkah[Nomor Tiket],Table_Tarikan_Warkah[Nama Petugas Warkah]),"")</f>
        <v/>
      </c>
      <c r="G5120" s="39" t="str">
        <f t="array" ref="G5120">IFNA(_xlfn.XLOOKUP(D5120,Table_Tarikan_Warkah[Nomor Tiket],Table_Tarikan_Warkah[Jenis Permohonan]),"")</f>
        <v>BN JUAL BELI</v>
      </c>
      <c r="H5120" s="41" t="s">
        <v>2315</v>
      </c>
      <c r="I5120" s="49" t="s">
        <v>23</v>
      </c>
      <c r="J5120" s="36">
        <f t="shared" si="20"/>
        <v>46107.39573</v>
      </c>
      <c r="K5120" s="69"/>
      <c r="L5120" s="49"/>
      <c r="M5120" s="36" t="str">
        <f t="shared" si="33"/>
        <v/>
      </c>
      <c r="N5120" s="30" t="str">
        <f t="shared" si="34"/>
        <v>BT atau SU Belum Valid</v>
      </c>
      <c r="O5120" s="39" t="str">
        <f t="shared" si="23"/>
        <v/>
      </c>
      <c r="P5120" s="47" t="b">
        <v>0</v>
      </c>
      <c r="Q5120" s="36" t="str">
        <f t="shared" si="35"/>
        <v/>
      </c>
      <c r="R5120" s="47" t="b">
        <v>0</v>
      </c>
      <c r="S5120" s="42" t="str">
        <f t="shared" si="28"/>
        <v/>
      </c>
      <c r="T5120" s="42"/>
    </row>
    <row r="5121" ht="22.5" customHeight="1">
      <c r="B5121" s="42">
        <f t="shared" si="7"/>
        <v>5115</v>
      </c>
      <c r="C5121" s="31" t="s">
        <v>5115</v>
      </c>
      <c r="D5121" s="34" t="str">
        <f t="array" ref="D5121">IFNA(_xlfn.XLOOKUP(C5121,Table_Tarikan_Warkah[Nomor Sertipikat],Table_Tarikan_Warkah[Nomor Tiket]),"")</f>
        <v>K/7/130126/2</v>
      </c>
      <c r="E5121" s="36" t="str">
        <f t="array" ref="E5121">IFNA(_xlfn.XLOOKUP(D5121,Table_Tarikan_Warkah[Nomor Tiket],Table_Tarikan_Warkah[Tanggal diserahkan kepada Validator]),"")</f>
        <v/>
      </c>
      <c r="F5121" s="36" t="str">
        <f t="array" ref="F5121">IFNA(_xlfn.XLOOKUP(D5121,Table_Tarikan_Warkah[Nomor Tiket],Table_Tarikan_Warkah[Nama Petugas Warkah]),"")</f>
        <v/>
      </c>
      <c r="G5121" s="39" t="str">
        <f t="array" ref="G5121">IFNA(_xlfn.XLOOKUP(D5121,Table_Tarikan_Warkah[Nomor Tiket],Table_Tarikan_Warkah[Jenis Permohonan]),"")</f>
        <v>SKPT LELANG</v>
      </c>
      <c r="H5121" s="70"/>
      <c r="I5121" s="49"/>
      <c r="J5121" s="36" t="str">
        <f t="shared" si="20"/>
        <v/>
      </c>
      <c r="K5121" s="69"/>
      <c r="L5121" s="49"/>
      <c r="M5121" s="36" t="str">
        <f t="shared" si="33"/>
        <v/>
      </c>
      <c r="N5121" s="30" t="str">
        <f t="shared" si="34"/>
        <v>BT atau SU Belum Valid</v>
      </c>
      <c r="O5121" s="39" t="str">
        <f t="shared" si="23"/>
        <v/>
      </c>
      <c r="P5121" s="47" t="b">
        <v>0</v>
      </c>
      <c r="Q5121" s="36" t="str">
        <f t="shared" si="35"/>
        <v/>
      </c>
      <c r="R5121" s="47" t="b">
        <v>0</v>
      </c>
      <c r="S5121" s="42" t="str">
        <f t="shared" si="28"/>
        <v/>
      </c>
      <c r="T5121" s="42"/>
    </row>
    <row r="5122" ht="22.5" customHeight="1">
      <c r="B5122" s="42">
        <f t="shared" si="7"/>
        <v>5116</v>
      </c>
      <c r="C5122" s="31"/>
      <c r="D5122" s="34" t="str">
        <f t="array" ref="D5122">IFNA(_xlfn.XLOOKUP(C5122,Table_Tarikan_Warkah[Nomor Sertipikat],Table_Tarikan_Warkah[Nomor Tiket]),"")</f>
        <v>AB036/ABSOLDWS</v>
      </c>
      <c r="E5122" s="36" t="str">
        <f t="array" ref="E5122">IFNA(_xlfn.XLOOKUP(D5122,Table_Tarikan_Warkah[Nomor Tiket],Table_Tarikan_Warkah[Tanggal diserahkan kepada Validator]),"")</f>
        <v/>
      </c>
      <c r="F5122" s="36" t="str">
        <f t="array" ref="F5122">IFNA(_xlfn.XLOOKUP(D5122,Table_Tarikan_Warkah[Nomor Tiket],Table_Tarikan_Warkah[Nama Petugas Warkah]),"")</f>
        <v/>
      </c>
      <c r="G5122" s="39" t="str">
        <f t="array" ref="G5122">IFNA(_xlfn.XLOOKUP(D5122,Table_Tarikan_Warkah[Nomor Tiket],Table_Tarikan_Warkah[Jenis Permohonan]),"")</f>
        <v>HIBAH</v>
      </c>
      <c r="H5122" s="70"/>
      <c r="I5122" s="49"/>
      <c r="J5122" s="36" t="str">
        <f t="shared" si="20"/>
        <v/>
      </c>
      <c r="K5122" s="69"/>
      <c r="L5122" s="49"/>
      <c r="M5122" s="36" t="str">
        <f t="shared" si="33"/>
        <v/>
      </c>
      <c r="N5122" s="30" t="str">
        <f t="shared" si="34"/>
        <v>BT atau SU Belum Valid</v>
      </c>
      <c r="O5122" s="39" t="str">
        <f t="shared" si="23"/>
        <v/>
      </c>
      <c r="P5122" s="47" t="b">
        <v>0</v>
      </c>
      <c r="Q5122" s="36" t="str">
        <f t="shared" si="35"/>
        <v/>
      </c>
      <c r="R5122" s="47" t="b">
        <v>0</v>
      </c>
      <c r="S5122" s="42" t="str">
        <f t="shared" si="28"/>
        <v/>
      </c>
      <c r="T5122" s="42"/>
    </row>
    <row r="5123" ht="22.5" customHeight="1">
      <c r="B5123" s="42">
        <f t="shared" si="7"/>
        <v>5117</v>
      </c>
      <c r="C5123" s="31"/>
      <c r="D5123" s="34" t="str">
        <f t="array" ref="D5123">IFNA(_xlfn.XLOOKUP(C5123,Table_Tarikan_Warkah[Nomor Sertipikat],Table_Tarikan_Warkah[Nomor Tiket]),"")</f>
        <v>AB036/ABSOLDWS</v>
      </c>
      <c r="E5123" s="36" t="str">
        <f t="array" ref="E5123">IFNA(_xlfn.XLOOKUP(D5123,Table_Tarikan_Warkah[Nomor Tiket],Table_Tarikan_Warkah[Tanggal diserahkan kepada Validator]),"")</f>
        <v/>
      </c>
      <c r="F5123" s="36" t="str">
        <f t="array" ref="F5123">IFNA(_xlfn.XLOOKUP(D5123,Table_Tarikan_Warkah[Nomor Tiket],Table_Tarikan_Warkah[Nama Petugas Warkah]),"")</f>
        <v/>
      </c>
      <c r="G5123" s="39" t="str">
        <f t="array" ref="G5123">IFNA(_xlfn.XLOOKUP(D5123,Table_Tarikan_Warkah[Nomor Tiket],Table_Tarikan_Warkah[Jenis Permohonan]),"")</f>
        <v>HIBAH</v>
      </c>
      <c r="H5123" s="70"/>
      <c r="I5123" s="49"/>
      <c r="J5123" s="36" t="str">
        <f t="shared" si="20"/>
        <v/>
      </c>
      <c r="K5123" s="69"/>
      <c r="L5123" s="49"/>
      <c r="M5123" s="36" t="str">
        <f t="shared" si="33"/>
        <v/>
      </c>
      <c r="N5123" s="30" t="str">
        <f t="shared" si="34"/>
        <v>BT atau SU Belum Valid</v>
      </c>
      <c r="O5123" s="39" t="str">
        <f t="shared" si="23"/>
        <v/>
      </c>
      <c r="P5123" s="47" t="b">
        <v>0</v>
      </c>
      <c r="Q5123" s="36" t="str">
        <f t="shared" si="35"/>
        <v/>
      </c>
      <c r="R5123" s="47" t="b">
        <v>0</v>
      </c>
      <c r="S5123" s="42" t="str">
        <f t="shared" si="28"/>
        <v/>
      </c>
      <c r="T5123" s="42"/>
    </row>
    <row r="5124" ht="22.5" customHeight="1">
      <c r="B5124" s="42">
        <f t="shared" si="7"/>
        <v>5118</v>
      </c>
      <c r="C5124" s="31"/>
      <c r="D5124" s="34" t="str">
        <f t="array" ref="D5124">IFNA(_xlfn.XLOOKUP(C5124,Table_Tarikan_Warkah[Nomor Sertipikat],Table_Tarikan_Warkah[Nomor Tiket]),"")</f>
        <v>AB036/ABSOLDWS</v>
      </c>
      <c r="E5124" s="36" t="str">
        <f t="array" ref="E5124">IFNA(_xlfn.XLOOKUP(D5124,Table_Tarikan_Warkah[Nomor Tiket],Table_Tarikan_Warkah[Tanggal diserahkan kepada Validator]),"")</f>
        <v/>
      </c>
      <c r="F5124" s="36" t="str">
        <f t="array" ref="F5124">IFNA(_xlfn.XLOOKUP(D5124,Table_Tarikan_Warkah[Nomor Tiket],Table_Tarikan_Warkah[Nama Petugas Warkah]),"")</f>
        <v/>
      </c>
      <c r="G5124" s="39" t="str">
        <f t="array" ref="G5124">IFNA(_xlfn.XLOOKUP(D5124,Table_Tarikan_Warkah[Nomor Tiket],Table_Tarikan_Warkah[Jenis Permohonan]),"")</f>
        <v>HIBAH</v>
      </c>
      <c r="H5124" s="70"/>
      <c r="I5124" s="49"/>
      <c r="J5124" s="36" t="str">
        <f t="shared" si="20"/>
        <v/>
      </c>
      <c r="K5124" s="69"/>
      <c r="L5124" s="49"/>
      <c r="M5124" s="36" t="str">
        <f t="shared" si="33"/>
        <v/>
      </c>
      <c r="N5124" s="30" t="str">
        <f t="shared" si="34"/>
        <v>BT atau SU Belum Valid</v>
      </c>
      <c r="O5124" s="39" t="str">
        <f t="shared" si="23"/>
        <v/>
      </c>
      <c r="P5124" s="47" t="b">
        <v>0</v>
      </c>
      <c r="Q5124" s="36" t="str">
        <f t="shared" si="35"/>
        <v/>
      </c>
      <c r="R5124" s="47" t="b">
        <v>0</v>
      </c>
      <c r="S5124" s="42" t="str">
        <f t="shared" si="28"/>
        <v/>
      </c>
      <c r="T5124" s="42"/>
    </row>
    <row r="5125" ht="22.5" customHeight="1">
      <c r="B5125" s="42">
        <f t="shared" si="7"/>
        <v>5119</v>
      </c>
      <c r="C5125" s="31"/>
      <c r="D5125" s="34" t="str">
        <f t="array" ref="D5125">IFNA(_xlfn.XLOOKUP(C5125,Table_Tarikan_Warkah[Nomor Sertipikat],Table_Tarikan_Warkah[Nomor Tiket]),"")</f>
        <v>AB036/ABSOLDWS</v>
      </c>
      <c r="E5125" s="36" t="str">
        <f t="array" ref="E5125">IFNA(_xlfn.XLOOKUP(D5125,Table_Tarikan_Warkah[Nomor Tiket],Table_Tarikan_Warkah[Tanggal diserahkan kepada Validator]),"")</f>
        <v/>
      </c>
      <c r="F5125" s="36" t="str">
        <f t="array" ref="F5125">IFNA(_xlfn.XLOOKUP(D5125,Table_Tarikan_Warkah[Nomor Tiket],Table_Tarikan_Warkah[Nama Petugas Warkah]),"")</f>
        <v/>
      </c>
      <c r="G5125" s="39" t="str">
        <f t="array" ref="G5125">IFNA(_xlfn.XLOOKUP(D5125,Table_Tarikan_Warkah[Nomor Tiket],Table_Tarikan_Warkah[Jenis Permohonan]),"")</f>
        <v>HIBAH</v>
      </c>
      <c r="H5125" s="70"/>
      <c r="I5125" s="49"/>
      <c r="J5125" s="36" t="str">
        <f t="shared" si="20"/>
        <v/>
      </c>
      <c r="K5125" s="69"/>
      <c r="L5125" s="49"/>
      <c r="M5125" s="36" t="str">
        <f t="shared" si="33"/>
        <v/>
      </c>
      <c r="N5125" s="30" t="str">
        <f t="shared" si="34"/>
        <v>BT atau SU Belum Valid</v>
      </c>
      <c r="O5125" s="39" t="str">
        <f t="shared" si="23"/>
        <v/>
      </c>
      <c r="P5125" s="47" t="b">
        <v>0</v>
      </c>
      <c r="Q5125" s="36" t="str">
        <f t="shared" si="35"/>
        <v/>
      </c>
      <c r="R5125" s="47" t="b">
        <v>0</v>
      </c>
      <c r="S5125" s="42" t="str">
        <f t="shared" si="28"/>
        <v/>
      </c>
      <c r="T5125" s="42"/>
    </row>
    <row r="5126" ht="22.5" customHeight="1">
      <c r="B5126" s="42">
        <f t="shared" si="7"/>
        <v>5120</v>
      </c>
      <c r="C5126" s="31"/>
      <c r="D5126" s="34" t="str">
        <f t="array" ref="D5126">IFNA(_xlfn.XLOOKUP(C5126,Table_Tarikan_Warkah[Nomor Sertipikat],Table_Tarikan_Warkah[Nomor Tiket]),"")</f>
        <v>AB036/ABSOLDWS</v>
      </c>
      <c r="E5126" s="36" t="str">
        <f t="array" ref="E5126">IFNA(_xlfn.XLOOKUP(D5126,Table_Tarikan_Warkah[Nomor Tiket],Table_Tarikan_Warkah[Tanggal diserahkan kepada Validator]),"")</f>
        <v/>
      </c>
      <c r="F5126" s="36" t="str">
        <f t="array" ref="F5126">IFNA(_xlfn.XLOOKUP(D5126,Table_Tarikan_Warkah[Nomor Tiket],Table_Tarikan_Warkah[Nama Petugas Warkah]),"")</f>
        <v/>
      </c>
      <c r="G5126" s="39" t="str">
        <f t="array" ref="G5126">IFNA(_xlfn.XLOOKUP(D5126,Table_Tarikan_Warkah[Nomor Tiket],Table_Tarikan_Warkah[Jenis Permohonan]),"")</f>
        <v>HIBAH</v>
      </c>
      <c r="H5126" s="70"/>
      <c r="I5126" s="49"/>
      <c r="J5126" s="36" t="str">
        <f t="shared" si="20"/>
        <v/>
      </c>
      <c r="K5126" s="69"/>
      <c r="L5126" s="49"/>
      <c r="M5126" s="36" t="str">
        <f t="shared" si="33"/>
        <v/>
      </c>
      <c r="N5126" s="30" t="str">
        <f t="shared" si="34"/>
        <v>BT atau SU Belum Valid</v>
      </c>
      <c r="O5126" s="39" t="str">
        <f t="shared" si="23"/>
        <v/>
      </c>
      <c r="P5126" s="47" t="b">
        <v>0</v>
      </c>
      <c r="Q5126" s="36" t="str">
        <f t="shared" si="35"/>
        <v/>
      </c>
      <c r="R5126" s="47" t="b">
        <v>0</v>
      </c>
      <c r="S5126" s="42" t="str">
        <f t="shared" si="28"/>
        <v/>
      </c>
      <c r="T5126" s="42"/>
    </row>
    <row r="5127" ht="22.5" customHeight="1">
      <c r="B5127" s="42">
        <f t="shared" si="7"/>
        <v>5121</v>
      </c>
      <c r="C5127" s="31"/>
      <c r="D5127" s="34" t="str">
        <f t="array" ref="D5127">IFNA(_xlfn.XLOOKUP(C5127,Table_Tarikan_Warkah[Nomor Sertipikat],Table_Tarikan_Warkah[Nomor Tiket]),"")</f>
        <v>AB036/ABSOLDWS</v>
      </c>
      <c r="E5127" s="36" t="str">
        <f t="array" ref="E5127">IFNA(_xlfn.XLOOKUP(D5127,Table_Tarikan_Warkah[Nomor Tiket],Table_Tarikan_Warkah[Tanggal diserahkan kepada Validator]),"")</f>
        <v/>
      </c>
      <c r="F5127" s="36" t="str">
        <f t="array" ref="F5127">IFNA(_xlfn.XLOOKUP(D5127,Table_Tarikan_Warkah[Nomor Tiket],Table_Tarikan_Warkah[Nama Petugas Warkah]),"")</f>
        <v/>
      </c>
      <c r="G5127" s="39" t="str">
        <f t="array" ref="G5127">IFNA(_xlfn.XLOOKUP(D5127,Table_Tarikan_Warkah[Nomor Tiket],Table_Tarikan_Warkah[Jenis Permohonan]),"")</f>
        <v>HIBAH</v>
      </c>
      <c r="H5127" s="70"/>
      <c r="I5127" s="49"/>
      <c r="J5127" s="36" t="str">
        <f t="shared" si="20"/>
        <v/>
      </c>
      <c r="K5127" s="69"/>
      <c r="L5127" s="49"/>
      <c r="M5127" s="36" t="str">
        <f t="shared" si="33"/>
        <v/>
      </c>
      <c r="N5127" s="30" t="str">
        <f t="shared" si="34"/>
        <v>BT atau SU Belum Valid</v>
      </c>
      <c r="O5127" s="39" t="str">
        <f t="shared" si="23"/>
        <v/>
      </c>
      <c r="P5127" s="47" t="b">
        <v>0</v>
      </c>
      <c r="Q5127" s="36" t="str">
        <f t="shared" si="35"/>
        <v/>
      </c>
      <c r="R5127" s="47" t="b">
        <v>0</v>
      </c>
      <c r="S5127" s="42" t="str">
        <f t="shared" si="28"/>
        <v/>
      </c>
      <c r="T5127" s="42"/>
    </row>
    <row r="5128" ht="22.5" customHeight="1">
      <c r="B5128" s="42">
        <f t="shared" si="7"/>
        <v>5122</v>
      </c>
      <c r="C5128" s="31"/>
      <c r="D5128" s="34" t="str">
        <f t="array" ref="D5128">IFNA(_xlfn.XLOOKUP(C5128,Table_Tarikan_Warkah[Nomor Sertipikat],Table_Tarikan_Warkah[Nomor Tiket]),"")</f>
        <v>AB036/ABSOLDWS</v>
      </c>
      <c r="E5128" s="36" t="str">
        <f t="array" ref="E5128">IFNA(_xlfn.XLOOKUP(D5128,Table_Tarikan_Warkah[Nomor Tiket],Table_Tarikan_Warkah[Tanggal diserahkan kepada Validator]),"")</f>
        <v/>
      </c>
      <c r="F5128" s="36" t="str">
        <f t="array" ref="F5128">IFNA(_xlfn.XLOOKUP(D5128,Table_Tarikan_Warkah[Nomor Tiket],Table_Tarikan_Warkah[Nama Petugas Warkah]),"")</f>
        <v/>
      </c>
      <c r="G5128" s="39" t="str">
        <f t="array" ref="G5128">IFNA(_xlfn.XLOOKUP(D5128,Table_Tarikan_Warkah[Nomor Tiket],Table_Tarikan_Warkah[Jenis Permohonan]),"")</f>
        <v>HIBAH</v>
      </c>
      <c r="H5128" s="70"/>
      <c r="I5128" s="49"/>
      <c r="J5128" s="36" t="str">
        <f t="shared" si="20"/>
        <v/>
      </c>
      <c r="K5128" s="69"/>
      <c r="L5128" s="49"/>
      <c r="M5128" s="36" t="str">
        <f t="shared" si="33"/>
        <v/>
      </c>
      <c r="N5128" s="30" t="str">
        <f t="shared" si="34"/>
        <v>BT atau SU Belum Valid</v>
      </c>
      <c r="O5128" s="39" t="str">
        <f t="shared" si="23"/>
        <v/>
      </c>
      <c r="P5128" s="47" t="b">
        <v>0</v>
      </c>
      <c r="Q5128" s="36" t="str">
        <f t="shared" si="35"/>
        <v/>
      </c>
      <c r="R5128" s="47" t="b">
        <v>0</v>
      </c>
      <c r="S5128" s="42" t="str">
        <f t="shared" si="28"/>
        <v/>
      </c>
      <c r="T5128" s="42"/>
    </row>
    <row r="5129" ht="22.5" customHeight="1">
      <c r="B5129" s="42">
        <f t="shared" si="7"/>
        <v>5123</v>
      </c>
      <c r="C5129" s="31"/>
      <c r="D5129" s="34" t="str">
        <f t="array" ref="D5129">IFNA(_xlfn.XLOOKUP(C5129,Table_Tarikan_Warkah[Nomor Sertipikat],Table_Tarikan_Warkah[Nomor Tiket]),"")</f>
        <v>AB036/ABSOLDWS</v>
      </c>
      <c r="E5129" s="36" t="str">
        <f t="array" ref="E5129">IFNA(_xlfn.XLOOKUP(D5129,Table_Tarikan_Warkah[Nomor Tiket],Table_Tarikan_Warkah[Tanggal diserahkan kepada Validator]),"")</f>
        <v/>
      </c>
      <c r="F5129" s="36" t="str">
        <f t="array" ref="F5129">IFNA(_xlfn.XLOOKUP(D5129,Table_Tarikan_Warkah[Nomor Tiket],Table_Tarikan_Warkah[Nama Petugas Warkah]),"")</f>
        <v/>
      </c>
      <c r="G5129" s="39" t="str">
        <f t="array" ref="G5129">IFNA(_xlfn.XLOOKUP(D5129,Table_Tarikan_Warkah[Nomor Tiket],Table_Tarikan_Warkah[Jenis Permohonan]),"")</f>
        <v>HIBAH</v>
      </c>
      <c r="H5129" s="70"/>
      <c r="I5129" s="49"/>
      <c r="J5129" s="36" t="str">
        <f t="shared" si="20"/>
        <v/>
      </c>
      <c r="K5129" s="69"/>
      <c r="L5129" s="49"/>
      <c r="M5129" s="36" t="str">
        <f t="shared" si="33"/>
        <v/>
      </c>
      <c r="N5129" s="30" t="str">
        <f t="shared" si="34"/>
        <v>BT atau SU Belum Valid</v>
      </c>
      <c r="O5129" s="39" t="str">
        <f t="shared" si="23"/>
        <v/>
      </c>
      <c r="P5129" s="47" t="b">
        <v>0</v>
      </c>
      <c r="Q5129" s="36" t="str">
        <f t="shared" si="35"/>
        <v/>
      </c>
      <c r="R5129" s="47" t="b">
        <v>0</v>
      </c>
      <c r="S5129" s="42" t="str">
        <f t="shared" si="28"/>
        <v/>
      </c>
      <c r="T5129" s="42"/>
    </row>
    <row r="5130" ht="22.5" customHeight="1">
      <c r="B5130" s="42">
        <f t="shared" si="7"/>
        <v>5124</v>
      </c>
      <c r="C5130" s="31"/>
      <c r="D5130" s="34" t="str">
        <f t="array" ref="D5130">IFNA(_xlfn.XLOOKUP(C5130,Table_Tarikan_Warkah[Nomor Sertipikat],Table_Tarikan_Warkah[Nomor Tiket]),"")</f>
        <v>AB036/ABSOLDWS</v>
      </c>
      <c r="E5130" s="36" t="str">
        <f t="array" ref="E5130">IFNA(_xlfn.XLOOKUP(D5130,Table_Tarikan_Warkah[Nomor Tiket],Table_Tarikan_Warkah[Tanggal diserahkan kepada Validator]),"")</f>
        <v/>
      </c>
      <c r="F5130" s="36" t="str">
        <f t="array" ref="F5130">IFNA(_xlfn.XLOOKUP(D5130,Table_Tarikan_Warkah[Nomor Tiket],Table_Tarikan_Warkah[Nama Petugas Warkah]),"")</f>
        <v/>
      </c>
      <c r="G5130" s="39" t="str">
        <f t="array" ref="G5130">IFNA(_xlfn.XLOOKUP(D5130,Table_Tarikan_Warkah[Nomor Tiket],Table_Tarikan_Warkah[Jenis Permohonan]),"")</f>
        <v>HIBAH</v>
      </c>
      <c r="H5130" s="70"/>
      <c r="I5130" s="49"/>
      <c r="J5130" s="36" t="str">
        <f t="shared" si="20"/>
        <v/>
      </c>
      <c r="K5130" s="69"/>
      <c r="L5130" s="49"/>
      <c r="M5130" s="36" t="str">
        <f t="shared" si="33"/>
        <v/>
      </c>
      <c r="N5130" s="30" t="str">
        <f t="shared" si="34"/>
        <v>BT atau SU Belum Valid</v>
      </c>
      <c r="O5130" s="39" t="str">
        <f t="shared" si="23"/>
        <v/>
      </c>
      <c r="P5130" s="47" t="b">
        <v>0</v>
      </c>
      <c r="Q5130" s="36" t="str">
        <f t="shared" si="35"/>
        <v/>
      </c>
      <c r="R5130" s="47" t="b">
        <v>0</v>
      </c>
      <c r="S5130" s="42" t="str">
        <f t="shared" si="28"/>
        <v/>
      </c>
      <c r="T5130" s="42"/>
    </row>
    <row r="5131" ht="22.5" customHeight="1">
      <c r="B5131" s="42">
        <f t="shared" si="7"/>
        <v>5125</v>
      </c>
      <c r="C5131" s="31"/>
      <c r="D5131" s="34" t="str">
        <f t="array" ref="D5131">IFNA(_xlfn.XLOOKUP(C5131,Table_Tarikan_Warkah[Nomor Sertipikat],Table_Tarikan_Warkah[Nomor Tiket]),"")</f>
        <v>AB036/ABSOLDWS</v>
      </c>
      <c r="E5131" s="36" t="str">
        <f t="array" ref="E5131">IFNA(_xlfn.XLOOKUP(D5131,Table_Tarikan_Warkah[Nomor Tiket],Table_Tarikan_Warkah[Tanggal diserahkan kepada Validator]),"")</f>
        <v/>
      </c>
      <c r="F5131" s="36" t="str">
        <f t="array" ref="F5131">IFNA(_xlfn.XLOOKUP(D5131,Table_Tarikan_Warkah[Nomor Tiket],Table_Tarikan_Warkah[Nama Petugas Warkah]),"")</f>
        <v/>
      </c>
      <c r="G5131" s="39" t="str">
        <f t="array" ref="G5131">IFNA(_xlfn.XLOOKUP(D5131,Table_Tarikan_Warkah[Nomor Tiket],Table_Tarikan_Warkah[Jenis Permohonan]),"")</f>
        <v>HIBAH</v>
      </c>
      <c r="H5131" s="70"/>
      <c r="I5131" s="49"/>
      <c r="J5131" s="36" t="str">
        <f t="shared" si="20"/>
        <v/>
      </c>
      <c r="K5131" s="69"/>
      <c r="L5131" s="49"/>
      <c r="M5131" s="36" t="str">
        <f t="shared" si="33"/>
        <v/>
      </c>
      <c r="N5131" s="30" t="str">
        <f t="shared" si="34"/>
        <v>BT atau SU Belum Valid</v>
      </c>
      <c r="O5131" s="39" t="str">
        <f t="shared" si="23"/>
        <v/>
      </c>
      <c r="P5131" s="47" t="b">
        <v>0</v>
      </c>
      <c r="Q5131" s="36" t="str">
        <f t="shared" si="35"/>
        <v/>
      </c>
      <c r="R5131" s="47" t="b">
        <v>0</v>
      </c>
      <c r="S5131" s="42" t="str">
        <f t="shared" si="28"/>
        <v/>
      </c>
      <c r="T5131" s="42"/>
    </row>
    <row r="5132" ht="22.5" customHeight="1">
      <c r="B5132" s="42">
        <f t="shared" si="7"/>
        <v>5126</v>
      </c>
      <c r="C5132" s="31"/>
      <c r="D5132" s="34" t="str">
        <f t="array" ref="D5132">IFNA(_xlfn.XLOOKUP(C5132,Table_Tarikan_Warkah[Nomor Sertipikat],Table_Tarikan_Warkah[Nomor Tiket]),"")</f>
        <v>AB036/ABSOLDWS</v>
      </c>
      <c r="E5132" s="36" t="str">
        <f t="array" ref="E5132">IFNA(_xlfn.XLOOKUP(D5132,Table_Tarikan_Warkah[Nomor Tiket],Table_Tarikan_Warkah[Tanggal diserahkan kepada Validator]),"")</f>
        <v/>
      </c>
      <c r="F5132" s="36" t="str">
        <f t="array" ref="F5132">IFNA(_xlfn.XLOOKUP(D5132,Table_Tarikan_Warkah[Nomor Tiket],Table_Tarikan_Warkah[Nama Petugas Warkah]),"")</f>
        <v/>
      </c>
      <c r="G5132" s="39" t="str">
        <f t="array" ref="G5132">IFNA(_xlfn.XLOOKUP(D5132,Table_Tarikan_Warkah[Nomor Tiket],Table_Tarikan_Warkah[Jenis Permohonan]),"")</f>
        <v>HIBAH</v>
      </c>
      <c r="H5132" s="70"/>
      <c r="I5132" s="49"/>
      <c r="J5132" s="36" t="str">
        <f t="shared" si="20"/>
        <v/>
      </c>
      <c r="K5132" s="69"/>
      <c r="L5132" s="49"/>
      <c r="M5132" s="36" t="str">
        <f t="shared" si="33"/>
        <v/>
      </c>
      <c r="N5132" s="30" t="str">
        <f t="shared" si="34"/>
        <v>BT atau SU Belum Valid</v>
      </c>
      <c r="O5132" s="39" t="str">
        <f t="shared" si="23"/>
        <v/>
      </c>
      <c r="P5132" s="47" t="b">
        <v>0</v>
      </c>
      <c r="Q5132" s="36" t="str">
        <f t="shared" si="35"/>
        <v/>
      </c>
      <c r="R5132" s="47" t="b">
        <v>0</v>
      </c>
      <c r="S5132" s="42" t="str">
        <f t="shared" si="28"/>
        <v/>
      </c>
      <c r="T5132" s="42"/>
    </row>
    <row r="5133" ht="22.5" customHeight="1">
      <c r="B5133" s="42">
        <f t="shared" si="7"/>
        <v>5127</v>
      </c>
      <c r="C5133" s="31"/>
      <c r="D5133" s="34" t="str">
        <f t="array" ref="D5133">IFNA(_xlfn.XLOOKUP(C5133,Table_Tarikan_Warkah[Nomor Sertipikat],Table_Tarikan_Warkah[Nomor Tiket]),"")</f>
        <v>AB036/ABSOLDWS</v>
      </c>
      <c r="E5133" s="36" t="str">
        <f t="array" ref="E5133">IFNA(_xlfn.XLOOKUP(D5133,Table_Tarikan_Warkah[Nomor Tiket],Table_Tarikan_Warkah[Tanggal diserahkan kepada Validator]),"")</f>
        <v/>
      </c>
      <c r="F5133" s="36" t="str">
        <f t="array" ref="F5133">IFNA(_xlfn.XLOOKUP(D5133,Table_Tarikan_Warkah[Nomor Tiket],Table_Tarikan_Warkah[Nama Petugas Warkah]),"")</f>
        <v/>
      </c>
      <c r="G5133" s="39" t="str">
        <f t="array" ref="G5133">IFNA(_xlfn.XLOOKUP(D5133,Table_Tarikan_Warkah[Nomor Tiket],Table_Tarikan_Warkah[Jenis Permohonan]),"")</f>
        <v>HIBAH</v>
      </c>
      <c r="H5133" s="70"/>
      <c r="I5133" s="49"/>
      <c r="J5133" s="36" t="str">
        <f t="shared" si="20"/>
        <v/>
      </c>
      <c r="K5133" s="69"/>
      <c r="L5133" s="49"/>
      <c r="M5133" s="36" t="str">
        <f t="shared" si="33"/>
        <v/>
      </c>
      <c r="N5133" s="30" t="str">
        <f t="shared" si="34"/>
        <v>BT atau SU Belum Valid</v>
      </c>
      <c r="O5133" s="39" t="str">
        <f t="shared" si="23"/>
        <v/>
      </c>
      <c r="P5133" s="47" t="b">
        <v>0</v>
      </c>
      <c r="Q5133" s="36" t="str">
        <f t="shared" si="35"/>
        <v/>
      </c>
      <c r="R5133" s="47" t="b">
        <v>0</v>
      </c>
      <c r="S5133" s="42" t="str">
        <f t="shared" si="28"/>
        <v/>
      </c>
      <c r="T5133" s="42"/>
    </row>
    <row r="5134" ht="22.5" customHeight="1">
      <c r="B5134" s="42">
        <f t="shared" si="7"/>
        <v>5128</v>
      </c>
      <c r="C5134" s="31"/>
      <c r="D5134" s="34" t="str">
        <f t="array" ref="D5134">IFNA(_xlfn.XLOOKUP(C5134,Table_Tarikan_Warkah[Nomor Sertipikat],Table_Tarikan_Warkah[Nomor Tiket]),"")</f>
        <v>AB036/ABSOLDWS</v>
      </c>
      <c r="E5134" s="36" t="str">
        <f t="array" ref="E5134">IFNA(_xlfn.XLOOKUP(D5134,Table_Tarikan_Warkah[Nomor Tiket],Table_Tarikan_Warkah[Tanggal diserahkan kepada Validator]),"")</f>
        <v/>
      </c>
      <c r="F5134" s="36" t="str">
        <f t="array" ref="F5134">IFNA(_xlfn.XLOOKUP(D5134,Table_Tarikan_Warkah[Nomor Tiket],Table_Tarikan_Warkah[Nama Petugas Warkah]),"")</f>
        <v/>
      </c>
      <c r="G5134" s="39" t="str">
        <f t="array" ref="G5134">IFNA(_xlfn.XLOOKUP(D5134,Table_Tarikan_Warkah[Nomor Tiket],Table_Tarikan_Warkah[Jenis Permohonan]),"")</f>
        <v>HIBAH</v>
      </c>
      <c r="H5134" s="70"/>
      <c r="I5134" s="49"/>
      <c r="J5134" s="36" t="str">
        <f t="shared" si="20"/>
        <v/>
      </c>
      <c r="K5134" s="69"/>
      <c r="L5134" s="49"/>
      <c r="M5134" s="36" t="str">
        <f t="shared" si="33"/>
        <v/>
      </c>
      <c r="N5134" s="30" t="str">
        <f t="shared" si="34"/>
        <v>BT atau SU Belum Valid</v>
      </c>
      <c r="O5134" s="39" t="str">
        <f t="shared" si="23"/>
        <v/>
      </c>
      <c r="P5134" s="47" t="b">
        <v>0</v>
      </c>
      <c r="Q5134" s="36" t="str">
        <f t="shared" si="35"/>
        <v/>
      </c>
      <c r="R5134" s="47" t="b">
        <v>0</v>
      </c>
      <c r="S5134" s="42" t="str">
        <f t="shared" si="28"/>
        <v/>
      </c>
      <c r="T5134" s="42"/>
    </row>
    <row r="5135" ht="22.5" customHeight="1">
      <c r="B5135" s="42">
        <f t="shared" si="7"/>
        <v>5129</v>
      </c>
      <c r="C5135" s="31"/>
      <c r="D5135" s="34" t="str">
        <f t="array" ref="D5135">IFNA(_xlfn.XLOOKUP(C5135,Table_Tarikan_Warkah[Nomor Sertipikat],Table_Tarikan_Warkah[Nomor Tiket]),"")</f>
        <v>AB036/ABSOLDWS</v>
      </c>
      <c r="E5135" s="36" t="str">
        <f t="array" ref="E5135">IFNA(_xlfn.XLOOKUP(D5135,Table_Tarikan_Warkah[Nomor Tiket],Table_Tarikan_Warkah[Tanggal diserahkan kepada Validator]),"")</f>
        <v/>
      </c>
      <c r="F5135" s="36" t="str">
        <f t="array" ref="F5135">IFNA(_xlfn.XLOOKUP(D5135,Table_Tarikan_Warkah[Nomor Tiket],Table_Tarikan_Warkah[Nama Petugas Warkah]),"")</f>
        <v/>
      </c>
      <c r="G5135" s="39" t="str">
        <f t="array" ref="G5135">IFNA(_xlfn.XLOOKUP(D5135,Table_Tarikan_Warkah[Nomor Tiket],Table_Tarikan_Warkah[Jenis Permohonan]),"")</f>
        <v>HIBAH</v>
      </c>
      <c r="H5135" s="70"/>
      <c r="I5135" s="49"/>
      <c r="J5135" s="36" t="str">
        <f t="shared" si="20"/>
        <v/>
      </c>
      <c r="K5135" s="69"/>
      <c r="L5135" s="49"/>
      <c r="M5135" s="36" t="str">
        <f t="shared" si="33"/>
        <v/>
      </c>
      <c r="N5135" s="30" t="str">
        <f t="shared" si="34"/>
        <v>BT atau SU Belum Valid</v>
      </c>
      <c r="O5135" s="39" t="str">
        <f t="shared" si="23"/>
        <v/>
      </c>
      <c r="P5135" s="47" t="b">
        <v>0</v>
      </c>
      <c r="Q5135" s="36" t="str">
        <f t="shared" si="35"/>
        <v/>
      </c>
      <c r="R5135" s="47" t="b">
        <v>0</v>
      </c>
      <c r="S5135" s="42" t="str">
        <f t="shared" si="28"/>
        <v/>
      </c>
      <c r="T5135" s="42"/>
    </row>
    <row r="5136" ht="22.5" customHeight="1">
      <c r="B5136" s="42">
        <f t="shared" si="7"/>
        <v>5130</v>
      </c>
      <c r="C5136" s="31"/>
      <c r="D5136" s="34" t="str">
        <f t="array" ref="D5136">IFNA(_xlfn.XLOOKUP(C5136,Table_Tarikan_Warkah[Nomor Sertipikat],Table_Tarikan_Warkah[Nomor Tiket]),"")</f>
        <v>AB036/ABSOLDWS</v>
      </c>
      <c r="E5136" s="36" t="str">
        <f t="array" ref="E5136">IFNA(_xlfn.XLOOKUP(D5136,Table_Tarikan_Warkah[Nomor Tiket],Table_Tarikan_Warkah[Tanggal diserahkan kepada Validator]),"")</f>
        <v/>
      </c>
      <c r="F5136" s="36" t="str">
        <f t="array" ref="F5136">IFNA(_xlfn.XLOOKUP(D5136,Table_Tarikan_Warkah[Nomor Tiket],Table_Tarikan_Warkah[Nama Petugas Warkah]),"")</f>
        <v/>
      </c>
      <c r="G5136" s="39" t="str">
        <f t="array" ref="G5136">IFNA(_xlfn.XLOOKUP(D5136,Table_Tarikan_Warkah[Nomor Tiket],Table_Tarikan_Warkah[Jenis Permohonan]),"")</f>
        <v>HIBAH</v>
      </c>
      <c r="H5136" s="70"/>
      <c r="I5136" s="49"/>
      <c r="J5136" s="36" t="str">
        <f t="shared" si="20"/>
        <v/>
      </c>
      <c r="K5136" s="69"/>
      <c r="L5136" s="49"/>
      <c r="M5136" s="36" t="str">
        <f t="shared" si="33"/>
        <v/>
      </c>
      <c r="N5136" s="30" t="str">
        <f t="shared" si="34"/>
        <v>BT atau SU Belum Valid</v>
      </c>
      <c r="O5136" s="39" t="str">
        <f t="shared" si="23"/>
        <v/>
      </c>
      <c r="P5136" s="47" t="b">
        <v>0</v>
      </c>
      <c r="Q5136" s="36" t="str">
        <f t="shared" si="35"/>
        <v/>
      </c>
      <c r="R5136" s="47" t="b">
        <v>0</v>
      </c>
      <c r="S5136" s="42" t="str">
        <f t="shared" si="28"/>
        <v/>
      </c>
      <c r="T5136" s="42"/>
    </row>
    <row r="5137" ht="22.5" customHeight="1">
      <c r="B5137" s="42">
        <f t="shared" si="7"/>
        <v>5131</v>
      </c>
      <c r="C5137" s="31"/>
      <c r="D5137" s="34" t="str">
        <f t="array" ref="D5137">IFNA(_xlfn.XLOOKUP(C5137,Table_Tarikan_Warkah[Nomor Sertipikat],Table_Tarikan_Warkah[Nomor Tiket]),"")</f>
        <v>AB036/ABSOLDWS</v>
      </c>
      <c r="E5137" s="36" t="str">
        <f t="array" ref="E5137">IFNA(_xlfn.XLOOKUP(D5137,Table_Tarikan_Warkah[Nomor Tiket],Table_Tarikan_Warkah[Tanggal diserahkan kepada Validator]),"")</f>
        <v/>
      </c>
      <c r="F5137" s="36" t="str">
        <f t="array" ref="F5137">IFNA(_xlfn.XLOOKUP(D5137,Table_Tarikan_Warkah[Nomor Tiket],Table_Tarikan_Warkah[Nama Petugas Warkah]),"")</f>
        <v/>
      </c>
      <c r="G5137" s="39" t="str">
        <f t="array" ref="G5137">IFNA(_xlfn.XLOOKUP(D5137,Table_Tarikan_Warkah[Nomor Tiket],Table_Tarikan_Warkah[Jenis Permohonan]),"")</f>
        <v>HIBAH</v>
      </c>
      <c r="H5137" s="70"/>
      <c r="I5137" s="49"/>
      <c r="J5137" s="36" t="str">
        <f t="shared" si="20"/>
        <v/>
      </c>
      <c r="K5137" s="69"/>
      <c r="L5137" s="49"/>
      <c r="M5137" s="36" t="str">
        <f t="shared" si="33"/>
        <v/>
      </c>
      <c r="N5137" s="30" t="str">
        <f t="shared" si="34"/>
        <v>BT atau SU Belum Valid</v>
      </c>
      <c r="O5137" s="39" t="str">
        <f t="shared" si="23"/>
        <v/>
      </c>
      <c r="P5137" s="47" t="b">
        <v>0</v>
      </c>
      <c r="Q5137" s="36" t="str">
        <f t="shared" si="35"/>
        <v/>
      </c>
      <c r="R5137" s="47" t="b">
        <v>0</v>
      </c>
      <c r="S5137" s="42" t="str">
        <f t="shared" si="28"/>
        <v/>
      </c>
      <c r="T5137" s="42"/>
    </row>
    <row r="5138" ht="22.5" customHeight="1">
      <c r="B5138" s="42">
        <f t="shared" si="7"/>
        <v>5132</v>
      </c>
      <c r="C5138" s="31"/>
      <c r="D5138" s="34" t="str">
        <f t="array" ref="D5138">IFNA(_xlfn.XLOOKUP(C5138,Table_Tarikan_Warkah[Nomor Sertipikat],Table_Tarikan_Warkah[Nomor Tiket]),"")</f>
        <v>AB036/ABSOLDWS</v>
      </c>
      <c r="E5138" s="36" t="str">
        <f t="array" ref="E5138">IFNA(_xlfn.XLOOKUP(D5138,Table_Tarikan_Warkah[Nomor Tiket],Table_Tarikan_Warkah[Tanggal diserahkan kepada Validator]),"")</f>
        <v/>
      </c>
      <c r="F5138" s="36" t="str">
        <f t="array" ref="F5138">IFNA(_xlfn.XLOOKUP(D5138,Table_Tarikan_Warkah[Nomor Tiket],Table_Tarikan_Warkah[Nama Petugas Warkah]),"")</f>
        <v/>
      </c>
      <c r="G5138" s="39" t="str">
        <f t="array" ref="G5138">IFNA(_xlfn.XLOOKUP(D5138,Table_Tarikan_Warkah[Nomor Tiket],Table_Tarikan_Warkah[Jenis Permohonan]),"")</f>
        <v>HIBAH</v>
      </c>
      <c r="H5138" s="70"/>
      <c r="I5138" s="49"/>
      <c r="J5138" s="36" t="str">
        <f t="shared" si="20"/>
        <v/>
      </c>
      <c r="K5138" s="69"/>
      <c r="L5138" s="49"/>
      <c r="M5138" s="36" t="str">
        <f t="shared" si="33"/>
        <v/>
      </c>
      <c r="N5138" s="30" t="str">
        <f t="shared" si="34"/>
        <v>BT atau SU Belum Valid</v>
      </c>
      <c r="O5138" s="39" t="str">
        <f t="shared" si="23"/>
        <v/>
      </c>
      <c r="P5138" s="47" t="b">
        <v>0</v>
      </c>
      <c r="Q5138" s="36" t="str">
        <f t="shared" si="35"/>
        <v/>
      </c>
      <c r="R5138" s="47" t="b">
        <v>0</v>
      </c>
      <c r="S5138" s="42" t="str">
        <f t="shared" si="28"/>
        <v/>
      </c>
      <c r="T5138" s="42"/>
    </row>
    <row r="5139" ht="22.5" customHeight="1">
      <c r="B5139" s="42">
        <f t="shared" si="7"/>
        <v>5133</v>
      </c>
      <c r="C5139" s="31"/>
      <c r="D5139" s="34" t="str">
        <f t="array" ref="D5139">IFNA(_xlfn.XLOOKUP(C5139,Table_Tarikan_Warkah[Nomor Sertipikat],Table_Tarikan_Warkah[Nomor Tiket]),"")</f>
        <v>AB036/ABSOLDWS</v>
      </c>
      <c r="E5139" s="36" t="str">
        <f t="array" ref="E5139">IFNA(_xlfn.XLOOKUP(D5139,Table_Tarikan_Warkah[Nomor Tiket],Table_Tarikan_Warkah[Tanggal diserahkan kepada Validator]),"")</f>
        <v/>
      </c>
      <c r="F5139" s="36" t="str">
        <f t="array" ref="F5139">IFNA(_xlfn.XLOOKUP(D5139,Table_Tarikan_Warkah[Nomor Tiket],Table_Tarikan_Warkah[Nama Petugas Warkah]),"")</f>
        <v/>
      </c>
      <c r="G5139" s="39" t="str">
        <f t="array" ref="G5139">IFNA(_xlfn.XLOOKUP(D5139,Table_Tarikan_Warkah[Nomor Tiket],Table_Tarikan_Warkah[Jenis Permohonan]),"")</f>
        <v>HIBAH</v>
      </c>
      <c r="H5139" s="70"/>
      <c r="I5139" s="49"/>
      <c r="J5139" s="36" t="str">
        <f t="shared" si="20"/>
        <v/>
      </c>
      <c r="K5139" s="69"/>
      <c r="L5139" s="49"/>
      <c r="M5139" s="36" t="str">
        <f t="shared" si="33"/>
        <v/>
      </c>
      <c r="N5139" s="30" t="str">
        <f t="shared" si="34"/>
        <v>BT atau SU Belum Valid</v>
      </c>
      <c r="O5139" s="39" t="str">
        <f t="shared" si="23"/>
        <v/>
      </c>
      <c r="P5139" s="47" t="b">
        <v>0</v>
      </c>
      <c r="Q5139" s="36" t="str">
        <f t="shared" si="35"/>
        <v/>
      </c>
      <c r="R5139" s="47" t="b">
        <v>0</v>
      </c>
      <c r="S5139" s="42" t="str">
        <f t="shared" si="28"/>
        <v/>
      </c>
      <c r="T5139" s="42"/>
    </row>
    <row r="5140" ht="22.5" customHeight="1">
      <c r="B5140" s="42">
        <f t="shared" si="7"/>
        <v>5134</v>
      </c>
      <c r="C5140" s="31"/>
      <c r="D5140" s="34" t="str">
        <f t="array" ref="D5140">IFNA(_xlfn.XLOOKUP(C5140,Table_Tarikan_Warkah[Nomor Sertipikat],Table_Tarikan_Warkah[Nomor Tiket]),"")</f>
        <v>AB036/ABSOLDWS</v>
      </c>
      <c r="E5140" s="36" t="str">
        <f t="array" ref="E5140">IFNA(_xlfn.XLOOKUP(D5140,Table_Tarikan_Warkah[Nomor Tiket],Table_Tarikan_Warkah[Tanggal diserahkan kepada Validator]),"")</f>
        <v/>
      </c>
      <c r="F5140" s="36" t="str">
        <f t="array" ref="F5140">IFNA(_xlfn.XLOOKUP(D5140,Table_Tarikan_Warkah[Nomor Tiket],Table_Tarikan_Warkah[Nama Petugas Warkah]),"")</f>
        <v/>
      </c>
      <c r="G5140" s="39" t="str">
        <f t="array" ref="G5140">IFNA(_xlfn.XLOOKUP(D5140,Table_Tarikan_Warkah[Nomor Tiket],Table_Tarikan_Warkah[Jenis Permohonan]),"")</f>
        <v>HIBAH</v>
      </c>
      <c r="H5140" s="70"/>
      <c r="I5140" s="49"/>
      <c r="J5140" s="36" t="str">
        <f t="shared" si="20"/>
        <v/>
      </c>
      <c r="K5140" s="69"/>
      <c r="L5140" s="49"/>
      <c r="M5140" s="36" t="str">
        <f t="shared" si="33"/>
        <v/>
      </c>
      <c r="N5140" s="30" t="str">
        <f t="shared" si="34"/>
        <v>BT atau SU Belum Valid</v>
      </c>
      <c r="O5140" s="39" t="str">
        <f t="shared" si="23"/>
        <v/>
      </c>
      <c r="P5140" s="47" t="b">
        <v>0</v>
      </c>
      <c r="Q5140" s="36" t="str">
        <f t="shared" si="35"/>
        <v/>
      </c>
      <c r="R5140" s="47" t="b">
        <v>0</v>
      </c>
      <c r="S5140" s="42" t="str">
        <f t="shared" si="28"/>
        <v/>
      </c>
      <c r="T5140" s="42"/>
    </row>
    <row r="5141" ht="22.5" customHeight="1">
      <c r="B5141" s="42">
        <f t="shared" si="7"/>
        <v>5135</v>
      </c>
      <c r="C5141" s="31"/>
      <c r="D5141" s="34" t="str">
        <f t="array" ref="D5141">IFNA(_xlfn.XLOOKUP(C5141,Table_Tarikan_Warkah[Nomor Sertipikat],Table_Tarikan_Warkah[Nomor Tiket]),"")</f>
        <v>AB036/ABSOLDWS</v>
      </c>
      <c r="E5141" s="36" t="str">
        <f t="array" ref="E5141">IFNA(_xlfn.XLOOKUP(D5141,Table_Tarikan_Warkah[Nomor Tiket],Table_Tarikan_Warkah[Tanggal diserahkan kepada Validator]),"")</f>
        <v/>
      </c>
      <c r="F5141" s="36" t="str">
        <f t="array" ref="F5141">IFNA(_xlfn.XLOOKUP(D5141,Table_Tarikan_Warkah[Nomor Tiket],Table_Tarikan_Warkah[Nama Petugas Warkah]),"")</f>
        <v/>
      </c>
      <c r="G5141" s="39" t="str">
        <f t="array" ref="G5141">IFNA(_xlfn.XLOOKUP(D5141,Table_Tarikan_Warkah[Nomor Tiket],Table_Tarikan_Warkah[Jenis Permohonan]),"")</f>
        <v>HIBAH</v>
      </c>
      <c r="H5141" s="70"/>
      <c r="I5141" s="49"/>
      <c r="J5141" s="36" t="str">
        <f t="shared" si="20"/>
        <v/>
      </c>
      <c r="K5141" s="69"/>
      <c r="L5141" s="49"/>
      <c r="M5141" s="36" t="str">
        <f t="shared" si="33"/>
        <v/>
      </c>
      <c r="N5141" s="30" t="str">
        <f t="shared" si="34"/>
        <v>BT atau SU Belum Valid</v>
      </c>
      <c r="O5141" s="39" t="str">
        <f t="shared" si="23"/>
        <v/>
      </c>
      <c r="P5141" s="47" t="b">
        <v>0</v>
      </c>
      <c r="Q5141" s="36" t="str">
        <f t="shared" si="35"/>
        <v/>
      </c>
      <c r="R5141" s="47" t="b">
        <v>0</v>
      </c>
      <c r="S5141" s="42" t="str">
        <f t="shared" si="28"/>
        <v/>
      </c>
      <c r="T5141" s="42"/>
    </row>
    <row r="5142" ht="22.5" customHeight="1">
      <c r="B5142" s="42">
        <f t="shared" si="7"/>
        <v>5136</v>
      </c>
      <c r="C5142" s="31"/>
      <c r="D5142" s="34" t="str">
        <f t="array" ref="D5142">IFNA(_xlfn.XLOOKUP(C5142,Table_Tarikan_Warkah[Nomor Sertipikat],Table_Tarikan_Warkah[Nomor Tiket]),"")</f>
        <v>AB036/ABSOLDWS</v>
      </c>
      <c r="E5142" s="36" t="str">
        <f t="array" ref="E5142">IFNA(_xlfn.XLOOKUP(D5142,Table_Tarikan_Warkah[Nomor Tiket],Table_Tarikan_Warkah[Tanggal diserahkan kepada Validator]),"")</f>
        <v/>
      </c>
      <c r="F5142" s="36" t="str">
        <f t="array" ref="F5142">IFNA(_xlfn.XLOOKUP(D5142,Table_Tarikan_Warkah[Nomor Tiket],Table_Tarikan_Warkah[Nama Petugas Warkah]),"")</f>
        <v/>
      </c>
      <c r="G5142" s="39" t="str">
        <f t="array" ref="G5142">IFNA(_xlfn.XLOOKUP(D5142,Table_Tarikan_Warkah[Nomor Tiket],Table_Tarikan_Warkah[Jenis Permohonan]),"")</f>
        <v>HIBAH</v>
      </c>
      <c r="H5142" s="70"/>
      <c r="I5142" s="49"/>
      <c r="J5142" s="36" t="str">
        <f t="shared" si="20"/>
        <v/>
      </c>
      <c r="K5142" s="69"/>
      <c r="L5142" s="49"/>
      <c r="M5142" s="36" t="str">
        <f t="shared" si="33"/>
        <v/>
      </c>
      <c r="N5142" s="30" t="str">
        <f t="shared" si="34"/>
        <v>BT atau SU Belum Valid</v>
      </c>
      <c r="O5142" s="39" t="str">
        <f t="shared" si="23"/>
        <v/>
      </c>
      <c r="P5142" s="47" t="b">
        <v>0</v>
      </c>
      <c r="Q5142" s="36" t="str">
        <f t="shared" si="35"/>
        <v/>
      </c>
      <c r="R5142" s="47" t="b">
        <v>0</v>
      </c>
      <c r="S5142" s="42" t="str">
        <f t="shared" si="28"/>
        <v/>
      </c>
      <c r="T5142" s="42"/>
    </row>
    <row r="5143" ht="22.5" customHeight="1">
      <c r="B5143" s="42">
        <f t="shared" si="7"/>
        <v>5137</v>
      </c>
      <c r="C5143" s="31"/>
      <c r="D5143" s="34" t="str">
        <f t="array" ref="D5143">IFNA(_xlfn.XLOOKUP(C5143,Table_Tarikan_Warkah[Nomor Sertipikat],Table_Tarikan_Warkah[Nomor Tiket]),"")</f>
        <v>AB036/ABSOLDWS</v>
      </c>
      <c r="E5143" s="36" t="str">
        <f t="array" ref="E5143">IFNA(_xlfn.XLOOKUP(D5143,Table_Tarikan_Warkah[Nomor Tiket],Table_Tarikan_Warkah[Tanggal diserahkan kepada Validator]),"")</f>
        <v/>
      </c>
      <c r="F5143" s="36" t="str">
        <f t="array" ref="F5143">IFNA(_xlfn.XLOOKUP(D5143,Table_Tarikan_Warkah[Nomor Tiket],Table_Tarikan_Warkah[Nama Petugas Warkah]),"")</f>
        <v/>
      </c>
      <c r="G5143" s="39" t="str">
        <f t="array" ref="G5143">IFNA(_xlfn.XLOOKUP(D5143,Table_Tarikan_Warkah[Nomor Tiket],Table_Tarikan_Warkah[Jenis Permohonan]),"")</f>
        <v>HIBAH</v>
      </c>
      <c r="H5143" s="70"/>
      <c r="I5143" s="49"/>
      <c r="J5143" s="36" t="str">
        <f t="shared" si="20"/>
        <v/>
      </c>
      <c r="K5143" s="69"/>
      <c r="L5143" s="49"/>
      <c r="M5143" s="36" t="str">
        <f t="shared" si="33"/>
        <v/>
      </c>
      <c r="N5143" s="30" t="str">
        <f t="shared" si="34"/>
        <v>BT atau SU Belum Valid</v>
      </c>
      <c r="O5143" s="39" t="str">
        <f t="shared" si="23"/>
        <v/>
      </c>
      <c r="P5143" s="47" t="b">
        <v>0</v>
      </c>
      <c r="Q5143" s="36" t="str">
        <f t="shared" si="35"/>
        <v/>
      </c>
      <c r="R5143" s="47" t="b">
        <v>0</v>
      </c>
      <c r="S5143" s="42" t="str">
        <f t="shared" si="28"/>
        <v/>
      </c>
      <c r="T5143" s="42"/>
    </row>
    <row r="5144" ht="22.5" customHeight="1">
      <c r="B5144" s="42">
        <f t="shared" si="7"/>
        <v>5138</v>
      </c>
      <c r="C5144" s="31"/>
      <c r="D5144" s="34" t="str">
        <f t="array" ref="D5144">IFNA(_xlfn.XLOOKUP(C5144,Table_Tarikan_Warkah[Nomor Sertipikat],Table_Tarikan_Warkah[Nomor Tiket]),"")</f>
        <v>AB036/ABSOLDWS</v>
      </c>
      <c r="E5144" s="36" t="str">
        <f t="array" ref="E5144">IFNA(_xlfn.XLOOKUP(D5144,Table_Tarikan_Warkah[Nomor Tiket],Table_Tarikan_Warkah[Tanggal diserahkan kepada Validator]),"")</f>
        <v/>
      </c>
      <c r="F5144" s="36" t="str">
        <f t="array" ref="F5144">IFNA(_xlfn.XLOOKUP(D5144,Table_Tarikan_Warkah[Nomor Tiket],Table_Tarikan_Warkah[Nama Petugas Warkah]),"")</f>
        <v/>
      </c>
      <c r="G5144" s="39" t="str">
        <f t="array" ref="G5144">IFNA(_xlfn.XLOOKUP(D5144,Table_Tarikan_Warkah[Nomor Tiket],Table_Tarikan_Warkah[Jenis Permohonan]),"")</f>
        <v>HIBAH</v>
      </c>
      <c r="H5144" s="70"/>
      <c r="I5144" s="49"/>
      <c r="J5144" s="36" t="str">
        <f t="shared" si="20"/>
        <v/>
      </c>
      <c r="K5144" s="69"/>
      <c r="L5144" s="49"/>
      <c r="M5144" s="36" t="str">
        <f t="shared" si="33"/>
        <v/>
      </c>
      <c r="N5144" s="30" t="str">
        <f t="shared" si="34"/>
        <v>BT atau SU Belum Valid</v>
      </c>
      <c r="O5144" s="39" t="str">
        <f t="shared" si="23"/>
        <v/>
      </c>
      <c r="P5144" s="47" t="b">
        <v>0</v>
      </c>
      <c r="Q5144" s="36" t="str">
        <f t="shared" si="35"/>
        <v/>
      </c>
      <c r="R5144" s="47" t="b">
        <v>0</v>
      </c>
      <c r="S5144" s="42" t="str">
        <f t="shared" si="28"/>
        <v/>
      </c>
      <c r="T5144" s="42"/>
    </row>
    <row r="5145" ht="22.5" customHeight="1">
      <c r="B5145" s="42">
        <f t="shared" si="7"/>
        <v>5139</v>
      </c>
      <c r="C5145" s="31"/>
      <c r="D5145" s="34" t="str">
        <f t="array" ref="D5145">IFNA(_xlfn.XLOOKUP(C5145,Table_Tarikan_Warkah[Nomor Sertipikat],Table_Tarikan_Warkah[Nomor Tiket]),"")</f>
        <v>AB036/ABSOLDWS</v>
      </c>
      <c r="E5145" s="36" t="str">
        <f t="array" ref="E5145">IFNA(_xlfn.XLOOKUP(D5145,Table_Tarikan_Warkah[Nomor Tiket],Table_Tarikan_Warkah[Tanggal diserahkan kepada Validator]),"")</f>
        <v/>
      </c>
      <c r="F5145" s="36" t="str">
        <f t="array" ref="F5145">IFNA(_xlfn.XLOOKUP(D5145,Table_Tarikan_Warkah[Nomor Tiket],Table_Tarikan_Warkah[Nama Petugas Warkah]),"")</f>
        <v/>
      </c>
      <c r="G5145" s="39" t="str">
        <f t="array" ref="G5145">IFNA(_xlfn.XLOOKUP(D5145,Table_Tarikan_Warkah[Nomor Tiket],Table_Tarikan_Warkah[Jenis Permohonan]),"")</f>
        <v>HIBAH</v>
      </c>
      <c r="H5145" s="70"/>
      <c r="I5145" s="49"/>
      <c r="J5145" s="36" t="str">
        <f t="shared" si="20"/>
        <v/>
      </c>
      <c r="K5145" s="69"/>
      <c r="L5145" s="49"/>
      <c r="M5145" s="36" t="str">
        <f t="shared" si="33"/>
        <v/>
      </c>
      <c r="N5145" s="30" t="str">
        <f t="shared" si="34"/>
        <v>BT atau SU Belum Valid</v>
      </c>
      <c r="O5145" s="39" t="str">
        <f t="shared" si="23"/>
        <v/>
      </c>
      <c r="P5145" s="47" t="b">
        <v>0</v>
      </c>
      <c r="Q5145" s="36" t="str">
        <f t="shared" si="35"/>
        <v/>
      </c>
      <c r="R5145" s="47" t="b">
        <v>0</v>
      </c>
      <c r="S5145" s="42" t="str">
        <f t="shared" si="28"/>
        <v/>
      </c>
      <c r="T5145" s="42"/>
    </row>
    <row r="5146" ht="22.5" customHeight="1">
      <c r="B5146" s="42">
        <f t="shared" si="7"/>
        <v>5140</v>
      </c>
      <c r="C5146" s="31"/>
      <c r="D5146" s="34" t="str">
        <f t="array" ref="D5146">IFNA(_xlfn.XLOOKUP(C5146,Table_Tarikan_Warkah[Nomor Sertipikat],Table_Tarikan_Warkah[Nomor Tiket]),"")</f>
        <v>AB036/ABSOLDWS</v>
      </c>
      <c r="E5146" s="36" t="str">
        <f t="array" ref="E5146">IFNA(_xlfn.XLOOKUP(D5146,Table_Tarikan_Warkah[Nomor Tiket],Table_Tarikan_Warkah[Tanggal diserahkan kepada Validator]),"")</f>
        <v/>
      </c>
      <c r="F5146" s="36" t="str">
        <f t="array" ref="F5146">IFNA(_xlfn.XLOOKUP(D5146,Table_Tarikan_Warkah[Nomor Tiket],Table_Tarikan_Warkah[Nama Petugas Warkah]),"")</f>
        <v/>
      </c>
      <c r="G5146" s="39" t="str">
        <f t="array" ref="G5146">IFNA(_xlfn.XLOOKUP(D5146,Table_Tarikan_Warkah[Nomor Tiket],Table_Tarikan_Warkah[Jenis Permohonan]),"")</f>
        <v>HIBAH</v>
      </c>
      <c r="H5146" s="70"/>
      <c r="I5146" s="49"/>
      <c r="J5146" s="36" t="str">
        <f t="shared" si="20"/>
        <v/>
      </c>
      <c r="K5146" s="69"/>
      <c r="L5146" s="49"/>
      <c r="M5146" s="36" t="str">
        <f t="shared" si="33"/>
        <v/>
      </c>
      <c r="N5146" s="30" t="str">
        <f t="shared" si="34"/>
        <v>BT atau SU Belum Valid</v>
      </c>
      <c r="O5146" s="39" t="str">
        <f t="shared" si="23"/>
        <v/>
      </c>
      <c r="P5146" s="47" t="b">
        <v>0</v>
      </c>
      <c r="Q5146" s="36" t="str">
        <f t="shared" si="35"/>
        <v/>
      </c>
      <c r="R5146" s="47" t="b">
        <v>0</v>
      </c>
      <c r="S5146" s="42" t="str">
        <f t="shared" si="28"/>
        <v/>
      </c>
      <c r="T5146" s="42"/>
    </row>
    <row r="5147" ht="22.5" customHeight="1">
      <c r="B5147" s="42">
        <f t="shared" si="7"/>
        <v>5141</v>
      </c>
      <c r="C5147" s="31"/>
      <c r="D5147" s="34" t="str">
        <f t="array" ref="D5147">IFNA(_xlfn.XLOOKUP(C5147,Table_Tarikan_Warkah[Nomor Sertipikat],Table_Tarikan_Warkah[Nomor Tiket]),"")</f>
        <v>AB036/ABSOLDWS</v>
      </c>
      <c r="E5147" s="36" t="str">
        <f t="array" ref="E5147">IFNA(_xlfn.XLOOKUP(D5147,Table_Tarikan_Warkah[Nomor Tiket],Table_Tarikan_Warkah[Tanggal diserahkan kepada Validator]),"")</f>
        <v/>
      </c>
      <c r="F5147" s="36" t="str">
        <f t="array" ref="F5147">IFNA(_xlfn.XLOOKUP(D5147,Table_Tarikan_Warkah[Nomor Tiket],Table_Tarikan_Warkah[Nama Petugas Warkah]),"")</f>
        <v/>
      </c>
      <c r="G5147" s="39" t="str">
        <f t="array" ref="G5147">IFNA(_xlfn.XLOOKUP(D5147,Table_Tarikan_Warkah[Nomor Tiket],Table_Tarikan_Warkah[Jenis Permohonan]),"")</f>
        <v>HIBAH</v>
      </c>
      <c r="H5147" s="70"/>
      <c r="I5147" s="49"/>
      <c r="J5147" s="36" t="str">
        <f t="shared" si="20"/>
        <v/>
      </c>
      <c r="K5147" s="69"/>
      <c r="L5147" s="49"/>
      <c r="M5147" s="36" t="str">
        <f t="shared" si="33"/>
        <v/>
      </c>
      <c r="N5147" s="30" t="str">
        <f t="shared" si="34"/>
        <v>BT atau SU Belum Valid</v>
      </c>
      <c r="O5147" s="39" t="str">
        <f t="shared" si="23"/>
        <v/>
      </c>
      <c r="P5147" s="47" t="b">
        <v>0</v>
      </c>
      <c r="Q5147" s="36" t="str">
        <f t="shared" si="35"/>
        <v/>
      </c>
      <c r="R5147" s="47" t="b">
        <v>0</v>
      </c>
      <c r="S5147" s="42" t="str">
        <f t="shared" si="28"/>
        <v/>
      </c>
      <c r="T5147" s="42"/>
    </row>
    <row r="5148" ht="22.5" customHeight="1">
      <c r="B5148" s="42">
        <f t="shared" si="7"/>
        <v>5142</v>
      </c>
      <c r="C5148" s="31"/>
      <c r="D5148" s="34" t="str">
        <f t="array" ref="D5148">IFNA(_xlfn.XLOOKUP(C5148,Table_Tarikan_Warkah[Nomor Sertipikat],Table_Tarikan_Warkah[Nomor Tiket]),"")</f>
        <v>AB036/ABSOLDWS</v>
      </c>
      <c r="E5148" s="36" t="str">
        <f t="array" ref="E5148">IFNA(_xlfn.XLOOKUP(D5148,Table_Tarikan_Warkah[Nomor Tiket],Table_Tarikan_Warkah[Tanggal diserahkan kepada Validator]),"")</f>
        <v/>
      </c>
      <c r="F5148" s="36" t="str">
        <f t="array" ref="F5148">IFNA(_xlfn.XLOOKUP(D5148,Table_Tarikan_Warkah[Nomor Tiket],Table_Tarikan_Warkah[Nama Petugas Warkah]),"")</f>
        <v/>
      </c>
      <c r="G5148" s="39" t="str">
        <f t="array" ref="G5148">IFNA(_xlfn.XLOOKUP(D5148,Table_Tarikan_Warkah[Nomor Tiket],Table_Tarikan_Warkah[Jenis Permohonan]),"")</f>
        <v>HIBAH</v>
      </c>
      <c r="H5148" s="70"/>
      <c r="I5148" s="49"/>
      <c r="J5148" s="36" t="str">
        <f t="shared" si="20"/>
        <v/>
      </c>
      <c r="K5148" s="69"/>
      <c r="L5148" s="49"/>
      <c r="M5148" s="36" t="str">
        <f t="shared" si="33"/>
        <v/>
      </c>
      <c r="N5148" s="30" t="str">
        <f t="shared" si="34"/>
        <v>BT atau SU Belum Valid</v>
      </c>
      <c r="O5148" s="39" t="str">
        <f t="shared" si="23"/>
        <v/>
      </c>
      <c r="P5148" s="47" t="b">
        <v>0</v>
      </c>
      <c r="Q5148" s="36" t="str">
        <f t="shared" si="35"/>
        <v/>
      </c>
      <c r="R5148" s="47" t="b">
        <v>0</v>
      </c>
      <c r="S5148" s="42" t="str">
        <f t="shared" si="28"/>
        <v/>
      </c>
      <c r="T5148" s="42"/>
    </row>
    <row r="5149" ht="22.5" customHeight="1">
      <c r="B5149" s="42">
        <f t="shared" si="7"/>
        <v>5143</v>
      </c>
      <c r="C5149" s="31"/>
      <c r="D5149" s="34" t="str">
        <f t="array" ref="D5149">IFNA(_xlfn.XLOOKUP(C5149,Table_Tarikan_Warkah[Nomor Sertipikat],Table_Tarikan_Warkah[Nomor Tiket]),"")</f>
        <v>AB036/ABSOLDWS</v>
      </c>
      <c r="E5149" s="36" t="str">
        <f t="array" ref="E5149">IFNA(_xlfn.XLOOKUP(D5149,Table_Tarikan_Warkah[Nomor Tiket],Table_Tarikan_Warkah[Tanggal diserahkan kepada Validator]),"")</f>
        <v/>
      </c>
      <c r="F5149" s="36" t="str">
        <f t="array" ref="F5149">IFNA(_xlfn.XLOOKUP(D5149,Table_Tarikan_Warkah[Nomor Tiket],Table_Tarikan_Warkah[Nama Petugas Warkah]),"")</f>
        <v/>
      </c>
      <c r="G5149" s="39" t="str">
        <f t="array" ref="G5149">IFNA(_xlfn.XLOOKUP(D5149,Table_Tarikan_Warkah[Nomor Tiket],Table_Tarikan_Warkah[Jenis Permohonan]),"")</f>
        <v>HIBAH</v>
      </c>
      <c r="H5149" s="70"/>
      <c r="I5149" s="49"/>
      <c r="J5149" s="36" t="str">
        <f t="shared" si="20"/>
        <v/>
      </c>
      <c r="K5149" s="69"/>
      <c r="L5149" s="49"/>
      <c r="M5149" s="36" t="str">
        <f t="shared" si="33"/>
        <v/>
      </c>
      <c r="N5149" s="30" t="str">
        <f t="shared" si="34"/>
        <v>BT atau SU Belum Valid</v>
      </c>
      <c r="O5149" s="39" t="str">
        <f t="shared" si="23"/>
        <v/>
      </c>
      <c r="P5149" s="47" t="b">
        <v>0</v>
      </c>
      <c r="Q5149" s="36" t="str">
        <f t="shared" si="35"/>
        <v/>
      </c>
      <c r="R5149" s="47" t="b">
        <v>0</v>
      </c>
      <c r="S5149" s="42" t="str">
        <f t="shared" si="28"/>
        <v/>
      </c>
      <c r="T5149" s="42"/>
    </row>
    <row r="5150" ht="22.5" customHeight="1">
      <c r="B5150" s="42">
        <f t="shared" si="7"/>
        <v>5144</v>
      </c>
      <c r="C5150" s="31"/>
      <c r="D5150" s="34" t="str">
        <f t="array" ref="D5150">IFNA(_xlfn.XLOOKUP(C5150,Table_Tarikan_Warkah[Nomor Sertipikat],Table_Tarikan_Warkah[Nomor Tiket]),"")</f>
        <v>AB036/ABSOLDWS</v>
      </c>
      <c r="E5150" s="36" t="str">
        <f t="array" ref="E5150">IFNA(_xlfn.XLOOKUP(D5150,Table_Tarikan_Warkah[Nomor Tiket],Table_Tarikan_Warkah[Tanggal diserahkan kepada Validator]),"")</f>
        <v/>
      </c>
      <c r="F5150" s="36" t="str">
        <f t="array" ref="F5150">IFNA(_xlfn.XLOOKUP(D5150,Table_Tarikan_Warkah[Nomor Tiket],Table_Tarikan_Warkah[Nama Petugas Warkah]),"")</f>
        <v/>
      </c>
      <c r="G5150" s="39" t="str">
        <f t="array" ref="G5150">IFNA(_xlfn.XLOOKUP(D5150,Table_Tarikan_Warkah[Nomor Tiket],Table_Tarikan_Warkah[Jenis Permohonan]),"")</f>
        <v>HIBAH</v>
      </c>
      <c r="H5150" s="70"/>
      <c r="I5150" s="49"/>
      <c r="J5150" s="36" t="str">
        <f t="shared" si="20"/>
        <v/>
      </c>
      <c r="K5150" s="69"/>
      <c r="L5150" s="49"/>
      <c r="M5150" s="36" t="str">
        <f t="shared" si="33"/>
        <v/>
      </c>
      <c r="N5150" s="30" t="str">
        <f t="shared" si="34"/>
        <v>BT atau SU Belum Valid</v>
      </c>
      <c r="O5150" s="39" t="str">
        <f t="shared" si="23"/>
        <v/>
      </c>
      <c r="P5150" s="47" t="b">
        <v>0</v>
      </c>
      <c r="Q5150" s="36" t="str">
        <f t="shared" si="35"/>
        <v/>
      </c>
      <c r="R5150" s="47" t="b">
        <v>0</v>
      </c>
      <c r="S5150" s="42" t="str">
        <f t="shared" si="28"/>
        <v/>
      </c>
      <c r="T5150" s="42"/>
    </row>
    <row r="5151" ht="22.5" customHeight="1">
      <c r="B5151" s="42">
        <f t="shared" si="7"/>
        <v>5145</v>
      </c>
      <c r="C5151" s="31"/>
      <c r="D5151" s="34" t="str">
        <f t="array" ref="D5151">IFNA(_xlfn.XLOOKUP(C5151,Table_Tarikan_Warkah[Nomor Sertipikat],Table_Tarikan_Warkah[Nomor Tiket]),"")</f>
        <v>AB036/ABSOLDWS</v>
      </c>
      <c r="E5151" s="36" t="str">
        <f t="array" ref="E5151">IFNA(_xlfn.XLOOKUP(D5151,Table_Tarikan_Warkah[Nomor Tiket],Table_Tarikan_Warkah[Tanggal diserahkan kepada Validator]),"")</f>
        <v/>
      </c>
      <c r="F5151" s="36" t="str">
        <f t="array" ref="F5151">IFNA(_xlfn.XLOOKUP(D5151,Table_Tarikan_Warkah[Nomor Tiket],Table_Tarikan_Warkah[Nama Petugas Warkah]),"")</f>
        <v/>
      </c>
      <c r="G5151" s="39" t="str">
        <f t="array" ref="G5151">IFNA(_xlfn.XLOOKUP(D5151,Table_Tarikan_Warkah[Nomor Tiket],Table_Tarikan_Warkah[Jenis Permohonan]),"")</f>
        <v>HIBAH</v>
      </c>
      <c r="H5151" s="70"/>
      <c r="I5151" s="49"/>
      <c r="J5151" s="36" t="str">
        <f t="shared" si="20"/>
        <v/>
      </c>
      <c r="K5151" s="69"/>
      <c r="L5151" s="49"/>
      <c r="M5151" s="36" t="str">
        <f t="shared" si="33"/>
        <v/>
      </c>
      <c r="N5151" s="30" t="str">
        <f t="shared" si="34"/>
        <v>BT atau SU Belum Valid</v>
      </c>
      <c r="O5151" s="39" t="str">
        <f t="shared" si="23"/>
        <v/>
      </c>
      <c r="P5151" s="47" t="b">
        <v>0</v>
      </c>
      <c r="Q5151" s="36" t="str">
        <f t="shared" si="35"/>
        <v/>
      </c>
      <c r="R5151" s="47" t="b">
        <v>0</v>
      </c>
      <c r="S5151" s="42" t="str">
        <f t="shared" si="28"/>
        <v/>
      </c>
      <c r="T5151" s="42"/>
    </row>
    <row r="5152" ht="22.5" customHeight="1">
      <c r="B5152" s="42">
        <f t="shared" si="7"/>
        <v>5146</v>
      </c>
      <c r="C5152" s="31"/>
      <c r="D5152" s="34" t="str">
        <f t="array" ref="D5152">IFNA(_xlfn.XLOOKUP(C5152,Table_Tarikan_Warkah[Nomor Sertipikat],Table_Tarikan_Warkah[Nomor Tiket]),"")</f>
        <v>AB036/ABSOLDWS</v>
      </c>
      <c r="E5152" s="36" t="str">
        <f t="array" ref="E5152">IFNA(_xlfn.XLOOKUP(D5152,Table_Tarikan_Warkah[Nomor Tiket],Table_Tarikan_Warkah[Tanggal diserahkan kepada Validator]),"")</f>
        <v/>
      </c>
      <c r="F5152" s="36" t="str">
        <f t="array" ref="F5152">IFNA(_xlfn.XLOOKUP(D5152,Table_Tarikan_Warkah[Nomor Tiket],Table_Tarikan_Warkah[Nama Petugas Warkah]),"")</f>
        <v/>
      </c>
      <c r="G5152" s="39" t="str">
        <f t="array" ref="G5152">IFNA(_xlfn.XLOOKUP(D5152,Table_Tarikan_Warkah[Nomor Tiket],Table_Tarikan_Warkah[Jenis Permohonan]),"")</f>
        <v>HIBAH</v>
      </c>
      <c r="H5152" s="70"/>
      <c r="I5152" s="49"/>
      <c r="J5152" s="36" t="str">
        <f t="shared" si="20"/>
        <v/>
      </c>
      <c r="K5152" s="69"/>
      <c r="L5152" s="49"/>
      <c r="M5152" s="36" t="str">
        <f t="shared" si="33"/>
        <v/>
      </c>
      <c r="N5152" s="30" t="str">
        <f t="shared" si="34"/>
        <v>BT atau SU Belum Valid</v>
      </c>
      <c r="O5152" s="39" t="str">
        <f t="shared" si="23"/>
        <v/>
      </c>
      <c r="P5152" s="47" t="b">
        <v>0</v>
      </c>
      <c r="Q5152" s="36" t="str">
        <f t="shared" si="35"/>
        <v/>
      </c>
      <c r="R5152" s="47" t="b">
        <v>0</v>
      </c>
      <c r="S5152" s="42" t="str">
        <f t="shared" si="28"/>
        <v/>
      </c>
      <c r="T5152" s="42"/>
    </row>
    <row r="5153" ht="22.5" customHeight="1">
      <c r="B5153" s="42">
        <f t="shared" si="7"/>
        <v>5147</v>
      </c>
      <c r="C5153" s="31"/>
      <c r="D5153" s="34" t="str">
        <f t="array" ref="D5153">IFNA(_xlfn.XLOOKUP(C5153,Table_Tarikan_Warkah[Nomor Sertipikat],Table_Tarikan_Warkah[Nomor Tiket]),"")</f>
        <v>AB036/ABSOLDWS</v>
      </c>
      <c r="E5153" s="36" t="str">
        <f t="array" ref="E5153">IFNA(_xlfn.XLOOKUP(D5153,Table_Tarikan_Warkah[Nomor Tiket],Table_Tarikan_Warkah[Tanggal diserahkan kepada Validator]),"")</f>
        <v/>
      </c>
      <c r="F5153" s="36" t="str">
        <f t="array" ref="F5153">IFNA(_xlfn.XLOOKUP(D5153,Table_Tarikan_Warkah[Nomor Tiket],Table_Tarikan_Warkah[Nama Petugas Warkah]),"")</f>
        <v/>
      </c>
      <c r="G5153" s="39" t="str">
        <f t="array" ref="G5153">IFNA(_xlfn.XLOOKUP(D5153,Table_Tarikan_Warkah[Nomor Tiket],Table_Tarikan_Warkah[Jenis Permohonan]),"")</f>
        <v>HIBAH</v>
      </c>
      <c r="H5153" s="70"/>
      <c r="I5153" s="49"/>
      <c r="J5153" s="36" t="str">
        <f t="shared" si="20"/>
        <v/>
      </c>
      <c r="K5153" s="69"/>
      <c r="L5153" s="49"/>
      <c r="M5153" s="36" t="str">
        <f t="shared" si="33"/>
        <v/>
      </c>
      <c r="N5153" s="30" t="str">
        <f t="shared" si="34"/>
        <v>BT atau SU Belum Valid</v>
      </c>
      <c r="O5153" s="39" t="str">
        <f t="shared" si="23"/>
        <v/>
      </c>
      <c r="P5153" s="47" t="b">
        <v>0</v>
      </c>
      <c r="Q5153" s="36" t="str">
        <f t="shared" si="35"/>
        <v/>
      </c>
      <c r="R5153" s="47" t="b">
        <v>0</v>
      </c>
      <c r="S5153" s="42" t="str">
        <f t="shared" si="28"/>
        <v/>
      </c>
      <c r="T5153" s="42"/>
    </row>
    <row r="5154" ht="22.5" customHeight="1">
      <c r="B5154" s="42">
        <f t="shared" si="7"/>
        <v>5148</v>
      </c>
      <c r="C5154" s="31"/>
      <c r="D5154" s="34" t="str">
        <f t="array" ref="D5154">IFNA(_xlfn.XLOOKUP(C5154,Table_Tarikan_Warkah[Nomor Sertipikat],Table_Tarikan_Warkah[Nomor Tiket]),"")</f>
        <v>AB036/ABSOLDWS</v>
      </c>
      <c r="E5154" s="36" t="str">
        <f t="array" ref="E5154">IFNA(_xlfn.XLOOKUP(D5154,Table_Tarikan_Warkah[Nomor Tiket],Table_Tarikan_Warkah[Tanggal diserahkan kepada Validator]),"")</f>
        <v/>
      </c>
      <c r="F5154" s="36" t="str">
        <f t="array" ref="F5154">IFNA(_xlfn.XLOOKUP(D5154,Table_Tarikan_Warkah[Nomor Tiket],Table_Tarikan_Warkah[Nama Petugas Warkah]),"")</f>
        <v/>
      </c>
      <c r="G5154" s="39" t="str">
        <f t="array" ref="G5154">IFNA(_xlfn.XLOOKUP(D5154,Table_Tarikan_Warkah[Nomor Tiket],Table_Tarikan_Warkah[Jenis Permohonan]),"")</f>
        <v>HIBAH</v>
      </c>
      <c r="H5154" s="70"/>
      <c r="I5154" s="49"/>
      <c r="J5154" s="36" t="str">
        <f t="shared" si="20"/>
        <v/>
      </c>
      <c r="K5154" s="69"/>
      <c r="L5154" s="49"/>
      <c r="M5154" s="36" t="str">
        <f t="shared" si="33"/>
        <v/>
      </c>
      <c r="N5154" s="30" t="str">
        <f t="shared" si="34"/>
        <v>BT atau SU Belum Valid</v>
      </c>
      <c r="O5154" s="39" t="str">
        <f t="shared" si="23"/>
        <v/>
      </c>
      <c r="P5154" s="47" t="b">
        <v>0</v>
      </c>
      <c r="Q5154" s="36" t="str">
        <f t="shared" si="35"/>
        <v/>
      </c>
      <c r="R5154" s="47" t="b">
        <v>0</v>
      </c>
      <c r="S5154" s="42" t="str">
        <f t="shared" si="28"/>
        <v/>
      </c>
      <c r="T5154" s="42"/>
    </row>
    <row r="5155" ht="22.5" customHeight="1">
      <c r="B5155" s="42">
        <f t="shared" si="7"/>
        <v>5149</v>
      </c>
      <c r="C5155" s="31"/>
      <c r="D5155" s="34" t="str">
        <f t="array" ref="D5155">IFNA(_xlfn.XLOOKUP(C5155,Table_Tarikan_Warkah[Nomor Sertipikat],Table_Tarikan_Warkah[Nomor Tiket]),"")</f>
        <v>AB036/ABSOLDWS</v>
      </c>
      <c r="E5155" s="36" t="str">
        <f t="array" ref="E5155">IFNA(_xlfn.XLOOKUP(D5155,Table_Tarikan_Warkah[Nomor Tiket],Table_Tarikan_Warkah[Tanggal diserahkan kepada Validator]),"")</f>
        <v/>
      </c>
      <c r="F5155" s="36" t="str">
        <f t="array" ref="F5155">IFNA(_xlfn.XLOOKUP(D5155,Table_Tarikan_Warkah[Nomor Tiket],Table_Tarikan_Warkah[Nama Petugas Warkah]),"")</f>
        <v/>
      </c>
      <c r="G5155" s="39" t="str">
        <f t="array" ref="G5155">IFNA(_xlfn.XLOOKUP(D5155,Table_Tarikan_Warkah[Nomor Tiket],Table_Tarikan_Warkah[Jenis Permohonan]),"")</f>
        <v>HIBAH</v>
      </c>
      <c r="H5155" s="70"/>
      <c r="I5155" s="49"/>
      <c r="J5155" s="36" t="str">
        <f t="shared" si="20"/>
        <v/>
      </c>
      <c r="K5155" s="69"/>
      <c r="L5155" s="49"/>
      <c r="M5155" s="36" t="str">
        <f t="shared" si="33"/>
        <v/>
      </c>
      <c r="N5155" s="30" t="str">
        <f t="shared" si="34"/>
        <v>BT atau SU Belum Valid</v>
      </c>
      <c r="O5155" s="39" t="str">
        <f t="shared" si="23"/>
        <v/>
      </c>
      <c r="P5155" s="47" t="b">
        <v>0</v>
      </c>
      <c r="Q5155" s="36" t="str">
        <f t="shared" si="35"/>
        <v/>
      </c>
      <c r="R5155" s="47" t="b">
        <v>0</v>
      </c>
      <c r="S5155" s="42" t="str">
        <f t="shared" si="28"/>
        <v/>
      </c>
      <c r="T5155" s="42"/>
    </row>
    <row r="5156" ht="22.5" customHeight="1">
      <c r="B5156" s="42">
        <f t="shared" si="7"/>
        <v>5150</v>
      </c>
      <c r="C5156" s="31"/>
      <c r="D5156" s="34" t="str">
        <f t="array" ref="D5156">IFNA(_xlfn.XLOOKUP(C5156,Table_Tarikan_Warkah[Nomor Sertipikat],Table_Tarikan_Warkah[Nomor Tiket]),"")</f>
        <v>AB036/ABSOLDWS</v>
      </c>
      <c r="E5156" s="36" t="str">
        <f t="array" ref="E5156">IFNA(_xlfn.XLOOKUP(D5156,Table_Tarikan_Warkah[Nomor Tiket],Table_Tarikan_Warkah[Tanggal diserahkan kepada Validator]),"")</f>
        <v/>
      </c>
      <c r="F5156" s="36" t="str">
        <f t="array" ref="F5156">IFNA(_xlfn.XLOOKUP(D5156,Table_Tarikan_Warkah[Nomor Tiket],Table_Tarikan_Warkah[Nama Petugas Warkah]),"")</f>
        <v/>
      </c>
      <c r="G5156" s="39" t="str">
        <f t="array" ref="G5156">IFNA(_xlfn.XLOOKUP(D5156,Table_Tarikan_Warkah[Nomor Tiket],Table_Tarikan_Warkah[Jenis Permohonan]),"")</f>
        <v>HIBAH</v>
      </c>
      <c r="H5156" s="70"/>
      <c r="I5156" s="49"/>
      <c r="J5156" s="36" t="str">
        <f t="shared" si="20"/>
        <v/>
      </c>
      <c r="K5156" s="69"/>
      <c r="L5156" s="49"/>
      <c r="M5156" s="36" t="str">
        <f t="shared" si="33"/>
        <v/>
      </c>
      <c r="N5156" s="30" t="str">
        <f t="shared" si="34"/>
        <v>BT atau SU Belum Valid</v>
      </c>
      <c r="O5156" s="39" t="str">
        <f t="shared" si="23"/>
        <v/>
      </c>
      <c r="P5156" s="47" t="b">
        <v>0</v>
      </c>
      <c r="Q5156" s="36" t="str">
        <f t="shared" si="35"/>
        <v/>
      </c>
      <c r="R5156" s="47" t="b">
        <v>0</v>
      </c>
      <c r="S5156" s="42" t="str">
        <f t="shared" si="28"/>
        <v/>
      </c>
      <c r="T5156" s="42"/>
    </row>
    <row r="5157" ht="22.5" customHeight="1">
      <c r="B5157" s="42">
        <f t="shared" si="7"/>
        <v>5151</v>
      </c>
      <c r="C5157" s="31"/>
      <c r="D5157" s="34" t="str">
        <f t="array" ref="D5157">IFNA(_xlfn.XLOOKUP(C5157,Table_Tarikan_Warkah[Nomor Sertipikat],Table_Tarikan_Warkah[Nomor Tiket]),"")</f>
        <v>AB036/ABSOLDWS</v>
      </c>
      <c r="E5157" s="36" t="str">
        <f t="array" ref="E5157">IFNA(_xlfn.XLOOKUP(D5157,Table_Tarikan_Warkah[Nomor Tiket],Table_Tarikan_Warkah[Tanggal diserahkan kepada Validator]),"")</f>
        <v/>
      </c>
      <c r="F5157" s="36" t="str">
        <f t="array" ref="F5157">IFNA(_xlfn.XLOOKUP(D5157,Table_Tarikan_Warkah[Nomor Tiket],Table_Tarikan_Warkah[Nama Petugas Warkah]),"")</f>
        <v/>
      </c>
      <c r="G5157" s="39" t="str">
        <f t="array" ref="G5157">IFNA(_xlfn.XLOOKUP(D5157,Table_Tarikan_Warkah[Nomor Tiket],Table_Tarikan_Warkah[Jenis Permohonan]),"")</f>
        <v>HIBAH</v>
      </c>
      <c r="H5157" s="70"/>
      <c r="I5157" s="49"/>
      <c r="J5157" s="36" t="str">
        <f t="shared" si="20"/>
        <v/>
      </c>
      <c r="K5157" s="69"/>
      <c r="L5157" s="49"/>
      <c r="M5157" s="36" t="str">
        <f t="shared" si="33"/>
        <v/>
      </c>
      <c r="N5157" s="30" t="str">
        <f t="shared" si="34"/>
        <v>BT atau SU Belum Valid</v>
      </c>
      <c r="O5157" s="39" t="str">
        <f t="shared" si="23"/>
        <v/>
      </c>
      <c r="P5157" s="47" t="b">
        <v>0</v>
      </c>
      <c r="Q5157" s="36" t="str">
        <f t="shared" si="35"/>
        <v/>
      </c>
      <c r="R5157" s="47" t="b">
        <v>0</v>
      </c>
      <c r="S5157" s="42" t="str">
        <f t="shared" si="28"/>
        <v/>
      </c>
      <c r="T5157" s="42"/>
    </row>
    <row r="5158" ht="22.5" customHeight="1">
      <c r="B5158" s="42">
        <f t="shared" si="7"/>
        <v>5152</v>
      </c>
      <c r="C5158" s="31"/>
      <c r="D5158" s="34" t="str">
        <f t="array" ref="D5158">IFNA(_xlfn.XLOOKUP(C5158,Table_Tarikan_Warkah[Nomor Sertipikat],Table_Tarikan_Warkah[Nomor Tiket]),"")</f>
        <v>AB036/ABSOLDWS</v>
      </c>
      <c r="E5158" s="36" t="str">
        <f t="array" ref="E5158">IFNA(_xlfn.XLOOKUP(D5158,Table_Tarikan_Warkah[Nomor Tiket],Table_Tarikan_Warkah[Tanggal diserahkan kepada Validator]),"")</f>
        <v/>
      </c>
      <c r="F5158" s="36" t="str">
        <f t="array" ref="F5158">IFNA(_xlfn.XLOOKUP(D5158,Table_Tarikan_Warkah[Nomor Tiket],Table_Tarikan_Warkah[Nama Petugas Warkah]),"")</f>
        <v/>
      </c>
      <c r="G5158" s="39" t="str">
        <f t="array" ref="G5158">IFNA(_xlfn.XLOOKUP(D5158,Table_Tarikan_Warkah[Nomor Tiket],Table_Tarikan_Warkah[Jenis Permohonan]),"")</f>
        <v>HIBAH</v>
      </c>
      <c r="H5158" s="70"/>
      <c r="I5158" s="49"/>
      <c r="J5158" s="36" t="str">
        <f t="shared" si="20"/>
        <v/>
      </c>
      <c r="K5158" s="69"/>
      <c r="L5158" s="49"/>
      <c r="M5158" s="36" t="str">
        <f t="shared" si="33"/>
        <v/>
      </c>
      <c r="N5158" s="30" t="str">
        <f t="shared" si="34"/>
        <v>BT atau SU Belum Valid</v>
      </c>
      <c r="O5158" s="39" t="str">
        <f t="shared" si="23"/>
        <v/>
      </c>
      <c r="P5158" s="47" t="b">
        <v>0</v>
      </c>
      <c r="Q5158" s="36" t="str">
        <f t="shared" si="35"/>
        <v/>
      </c>
      <c r="R5158" s="47" t="b">
        <v>0</v>
      </c>
      <c r="S5158" s="42" t="str">
        <f t="shared" si="28"/>
        <v/>
      </c>
      <c r="T5158" s="42"/>
    </row>
    <row r="5159" ht="22.5" customHeight="1">
      <c r="B5159" s="42">
        <f t="shared" si="7"/>
        <v>5153</v>
      </c>
      <c r="C5159" s="31"/>
      <c r="D5159" s="34" t="str">
        <f t="array" ref="D5159">IFNA(_xlfn.XLOOKUP(C5159,Table_Tarikan_Warkah[Nomor Sertipikat],Table_Tarikan_Warkah[Nomor Tiket]),"")</f>
        <v>AB036/ABSOLDWS</v>
      </c>
      <c r="E5159" s="36" t="str">
        <f t="array" ref="E5159">IFNA(_xlfn.XLOOKUP(D5159,Table_Tarikan_Warkah[Nomor Tiket],Table_Tarikan_Warkah[Tanggal diserahkan kepada Validator]),"")</f>
        <v/>
      </c>
      <c r="F5159" s="36" t="str">
        <f t="array" ref="F5159">IFNA(_xlfn.XLOOKUP(D5159,Table_Tarikan_Warkah[Nomor Tiket],Table_Tarikan_Warkah[Nama Petugas Warkah]),"")</f>
        <v/>
      </c>
      <c r="G5159" s="39" t="str">
        <f t="array" ref="G5159">IFNA(_xlfn.XLOOKUP(D5159,Table_Tarikan_Warkah[Nomor Tiket],Table_Tarikan_Warkah[Jenis Permohonan]),"")</f>
        <v>HIBAH</v>
      </c>
      <c r="H5159" s="70"/>
      <c r="I5159" s="49"/>
      <c r="J5159" s="36" t="str">
        <f t="shared" si="20"/>
        <v/>
      </c>
      <c r="K5159" s="69"/>
      <c r="L5159" s="49"/>
      <c r="M5159" s="36" t="str">
        <f t="shared" si="33"/>
        <v/>
      </c>
      <c r="N5159" s="30" t="str">
        <f t="shared" si="34"/>
        <v>BT atau SU Belum Valid</v>
      </c>
      <c r="O5159" s="39" t="str">
        <f t="shared" si="23"/>
        <v/>
      </c>
      <c r="P5159" s="47" t="b">
        <v>0</v>
      </c>
      <c r="Q5159" s="36" t="str">
        <f t="shared" si="35"/>
        <v/>
      </c>
      <c r="R5159" s="47" t="b">
        <v>0</v>
      </c>
      <c r="S5159" s="42" t="str">
        <f t="shared" si="28"/>
        <v/>
      </c>
      <c r="T5159" s="42"/>
    </row>
    <row r="5160" ht="22.5" customHeight="1">
      <c r="B5160" s="42">
        <f t="shared" si="7"/>
        <v>5154</v>
      </c>
      <c r="C5160" s="31"/>
      <c r="D5160" s="34" t="str">
        <f t="array" ref="D5160">IFNA(_xlfn.XLOOKUP(C5160,Table_Tarikan_Warkah[Nomor Sertipikat],Table_Tarikan_Warkah[Nomor Tiket]),"")</f>
        <v>AB036/ABSOLDWS</v>
      </c>
      <c r="E5160" s="36" t="str">
        <f t="array" ref="E5160">IFNA(_xlfn.XLOOKUP(D5160,Table_Tarikan_Warkah[Nomor Tiket],Table_Tarikan_Warkah[Tanggal diserahkan kepada Validator]),"")</f>
        <v/>
      </c>
      <c r="F5160" s="36" t="str">
        <f t="array" ref="F5160">IFNA(_xlfn.XLOOKUP(D5160,Table_Tarikan_Warkah[Nomor Tiket],Table_Tarikan_Warkah[Nama Petugas Warkah]),"")</f>
        <v/>
      </c>
      <c r="G5160" s="39" t="str">
        <f t="array" ref="G5160">IFNA(_xlfn.XLOOKUP(D5160,Table_Tarikan_Warkah[Nomor Tiket],Table_Tarikan_Warkah[Jenis Permohonan]),"")</f>
        <v>HIBAH</v>
      </c>
      <c r="H5160" s="70"/>
      <c r="I5160" s="49"/>
      <c r="J5160" s="36" t="str">
        <f t="shared" si="20"/>
        <v/>
      </c>
      <c r="K5160" s="69"/>
      <c r="L5160" s="49"/>
      <c r="M5160" s="36" t="str">
        <f t="shared" si="33"/>
        <v/>
      </c>
      <c r="N5160" s="30" t="str">
        <f t="shared" si="34"/>
        <v>BT atau SU Belum Valid</v>
      </c>
      <c r="O5160" s="39" t="str">
        <f t="shared" si="23"/>
        <v/>
      </c>
      <c r="P5160" s="47" t="b">
        <v>0</v>
      </c>
      <c r="Q5160" s="36" t="str">
        <f t="shared" si="35"/>
        <v/>
      </c>
      <c r="R5160" s="47" t="b">
        <v>0</v>
      </c>
      <c r="S5160" s="42" t="str">
        <f t="shared" si="28"/>
        <v/>
      </c>
      <c r="T5160" s="42"/>
    </row>
    <row r="5161" ht="22.5" customHeight="1">
      <c r="B5161" s="42">
        <f t="shared" si="7"/>
        <v>5155</v>
      </c>
      <c r="C5161" s="31"/>
      <c r="D5161" s="34" t="str">
        <f t="array" ref="D5161">IFNA(_xlfn.XLOOKUP(C5161,Table_Tarikan_Warkah[Nomor Sertipikat],Table_Tarikan_Warkah[Nomor Tiket]),"")</f>
        <v>AB036/ABSOLDWS</v>
      </c>
      <c r="E5161" s="36" t="str">
        <f t="array" ref="E5161">IFNA(_xlfn.XLOOKUP(D5161,Table_Tarikan_Warkah[Nomor Tiket],Table_Tarikan_Warkah[Tanggal diserahkan kepada Validator]),"")</f>
        <v/>
      </c>
      <c r="F5161" s="36" t="str">
        <f t="array" ref="F5161">IFNA(_xlfn.XLOOKUP(D5161,Table_Tarikan_Warkah[Nomor Tiket],Table_Tarikan_Warkah[Nama Petugas Warkah]),"")</f>
        <v/>
      </c>
      <c r="G5161" s="39" t="str">
        <f t="array" ref="G5161">IFNA(_xlfn.XLOOKUP(D5161,Table_Tarikan_Warkah[Nomor Tiket],Table_Tarikan_Warkah[Jenis Permohonan]),"")</f>
        <v>HIBAH</v>
      </c>
      <c r="H5161" s="70"/>
      <c r="I5161" s="49"/>
      <c r="J5161" s="36" t="str">
        <f t="shared" si="20"/>
        <v/>
      </c>
      <c r="K5161" s="69"/>
      <c r="L5161" s="49"/>
      <c r="M5161" s="36" t="str">
        <f t="shared" si="33"/>
        <v/>
      </c>
      <c r="N5161" s="30" t="str">
        <f t="shared" si="34"/>
        <v>BT atau SU Belum Valid</v>
      </c>
      <c r="O5161" s="39" t="str">
        <f t="shared" si="23"/>
        <v/>
      </c>
      <c r="P5161" s="47" t="b">
        <v>0</v>
      </c>
      <c r="Q5161" s="36" t="str">
        <f t="shared" si="35"/>
        <v/>
      </c>
      <c r="R5161" s="47" t="b">
        <v>0</v>
      </c>
      <c r="S5161" s="42" t="str">
        <f t="shared" si="28"/>
        <v/>
      </c>
      <c r="T5161" s="42"/>
    </row>
    <row r="5162" ht="22.5" customHeight="1">
      <c r="B5162" s="42">
        <f t="shared" si="7"/>
        <v>5156</v>
      </c>
      <c r="C5162" s="31"/>
      <c r="D5162" s="34" t="str">
        <f t="array" ref="D5162">IFNA(_xlfn.XLOOKUP(C5162,Table_Tarikan_Warkah[Nomor Sertipikat],Table_Tarikan_Warkah[Nomor Tiket]),"")</f>
        <v>AB036/ABSOLDWS</v>
      </c>
      <c r="E5162" s="36" t="str">
        <f t="array" ref="E5162">IFNA(_xlfn.XLOOKUP(D5162,Table_Tarikan_Warkah[Nomor Tiket],Table_Tarikan_Warkah[Tanggal diserahkan kepada Validator]),"")</f>
        <v/>
      </c>
      <c r="F5162" s="36" t="str">
        <f t="array" ref="F5162">IFNA(_xlfn.XLOOKUP(D5162,Table_Tarikan_Warkah[Nomor Tiket],Table_Tarikan_Warkah[Nama Petugas Warkah]),"")</f>
        <v/>
      </c>
      <c r="G5162" s="39" t="str">
        <f t="array" ref="G5162">IFNA(_xlfn.XLOOKUP(D5162,Table_Tarikan_Warkah[Nomor Tiket],Table_Tarikan_Warkah[Jenis Permohonan]),"")</f>
        <v>HIBAH</v>
      </c>
      <c r="H5162" s="70"/>
      <c r="I5162" s="49"/>
      <c r="J5162" s="36" t="str">
        <f t="shared" si="20"/>
        <v/>
      </c>
      <c r="K5162" s="69"/>
      <c r="L5162" s="49"/>
      <c r="M5162" s="36" t="str">
        <f t="shared" si="33"/>
        <v/>
      </c>
      <c r="N5162" s="30" t="str">
        <f t="shared" si="34"/>
        <v>BT atau SU Belum Valid</v>
      </c>
      <c r="O5162" s="39" t="str">
        <f t="shared" si="23"/>
        <v/>
      </c>
      <c r="P5162" s="47" t="b">
        <v>0</v>
      </c>
      <c r="Q5162" s="36" t="str">
        <f t="shared" si="35"/>
        <v/>
      </c>
      <c r="R5162" s="47" t="b">
        <v>0</v>
      </c>
      <c r="S5162" s="42" t="str">
        <f t="shared" si="28"/>
        <v/>
      </c>
      <c r="T5162" s="42"/>
    </row>
    <row r="5163" ht="22.5" customHeight="1">
      <c r="B5163" s="42">
        <f t="shared" si="7"/>
        <v>5157</v>
      </c>
      <c r="C5163" s="31"/>
      <c r="D5163" s="34" t="str">
        <f t="array" ref="D5163">IFNA(_xlfn.XLOOKUP(C5163,Table_Tarikan_Warkah[Nomor Sertipikat],Table_Tarikan_Warkah[Nomor Tiket]),"")</f>
        <v>AB036/ABSOLDWS</v>
      </c>
      <c r="E5163" s="36" t="str">
        <f t="array" ref="E5163">IFNA(_xlfn.XLOOKUP(D5163,Table_Tarikan_Warkah[Nomor Tiket],Table_Tarikan_Warkah[Tanggal diserahkan kepada Validator]),"")</f>
        <v/>
      </c>
      <c r="F5163" s="36" t="str">
        <f t="array" ref="F5163">IFNA(_xlfn.XLOOKUP(D5163,Table_Tarikan_Warkah[Nomor Tiket],Table_Tarikan_Warkah[Nama Petugas Warkah]),"")</f>
        <v/>
      </c>
      <c r="G5163" s="39" t="str">
        <f t="array" ref="G5163">IFNA(_xlfn.XLOOKUP(D5163,Table_Tarikan_Warkah[Nomor Tiket],Table_Tarikan_Warkah[Jenis Permohonan]),"")</f>
        <v>HIBAH</v>
      </c>
      <c r="H5163" s="70"/>
      <c r="I5163" s="49"/>
      <c r="J5163" s="36" t="str">
        <f t="shared" si="20"/>
        <v/>
      </c>
      <c r="K5163" s="69"/>
      <c r="L5163" s="49"/>
      <c r="M5163" s="36" t="str">
        <f t="shared" si="33"/>
        <v/>
      </c>
      <c r="N5163" s="30" t="str">
        <f t="shared" si="34"/>
        <v>BT atau SU Belum Valid</v>
      </c>
      <c r="O5163" s="39" t="str">
        <f t="shared" si="23"/>
        <v/>
      </c>
      <c r="P5163" s="47" t="b">
        <v>0</v>
      </c>
      <c r="Q5163" s="36" t="str">
        <f t="shared" si="35"/>
        <v/>
      </c>
      <c r="R5163" s="47" t="b">
        <v>0</v>
      </c>
      <c r="S5163" s="42" t="str">
        <f t="shared" si="28"/>
        <v/>
      </c>
      <c r="T5163" s="42"/>
    </row>
    <row r="5164" ht="22.5" customHeight="1">
      <c r="B5164" s="42">
        <f t="shared" si="7"/>
        <v>5158</v>
      </c>
      <c r="C5164" s="31"/>
      <c r="D5164" s="34" t="str">
        <f t="array" ref="D5164">IFNA(_xlfn.XLOOKUP(C5164,Table_Tarikan_Warkah[Nomor Sertipikat],Table_Tarikan_Warkah[Nomor Tiket]),"")</f>
        <v>AB036/ABSOLDWS</v>
      </c>
      <c r="E5164" s="36" t="str">
        <f t="array" ref="E5164">IFNA(_xlfn.XLOOKUP(D5164,Table_Tarikan_Warkah[Nomor Tiket],Table_Tarikan_Warkah[Tanggal diserahkan kepada Validator]),"")</f>
        <v/>
      </c>
      <c r="F5164" s="36" t="str">
        <f t="array" ref="F5164">IFNA(_xlfn.XLOOKUP(D5164,Table_Tarikan_Warkah[Nomor Tiket],Table_Tarikan_Warkah[Nama Petugas Warkah]),"")</f>
        <v/>
      </c>
      <c r="G5164" s="39" t="str">
        <f t="array" ref="G5164">IFNA(_xlfn.XLOOKUP(D5164,Table_Tarikan_Warkah[Nomor Tiket],Table_Tarikan_Warkah[Jenis Permohonan]),"")</f>
        <v>HIBAH</v>
      </c>
      <c r="H5164" s="70"/>
      <c r="I5164" s="49"/>
      <c r="J5164" s="36" t="str">
        <f t="shared" si="20"/>
        <v/>
      </c>
      <c r="K5164" s="69"/>
      <c r="L5164" s="49"/>
      <c r="M5164" s="36" t="str">
        <f t="shared" si="33"/>
        <v/>
      </c>
      <c r="N5164" s="30" t="str">
        <f t="shared" si="34"/>
        <v>BT atau SU Belum Valid</v>
      </c>
      <c r="O5164" s="39" t="str">
        <f t="shared" si="23"/>
        <v/>
      </c>
      <c r="P5164" s="47" t="b">
        <v>0</v>
      </c>
      <c r="Q5164" s="36" t="str">
        <f t="shared" si="35"/>
        <v/>
      </c>
      <c r="R5164" s="47" t="b">
        <v>0</v>
      </c>
      <c r="S5164" s="42" t="str">
        <f t="shared" si="28"/>
        <v/>
      </c>
      <c r="T5164" s="42"/>
    </row>
    <row r="5165" ht="22.5" customHeight="1">
      <c r="B5165" s="42">
        <f t="shared" si="7"/>
        <v>5159</v>
      </c>
      <c r="C5165" s="31"/>
      <c r="D5165" s="34" t="str">
        <f t="array" ref="D5165">IFNA(_xlfn.XLOOKUP(C5165,Table_Tarikan_Warkah[Nomor Sertipikat],Table_Tarikan_Warkah[Nomor Tiket]),"")</f>
        <v>AB036/ABSOLDWS</v>
      </c>
      <c r="E5165" s="36" t="str">
        <f t="array" ref="E5165">IFNA(_xlfn.XLOOKUP(D5165,Table_Tarikan_Warkah[Nomor Tiket],Table_Tarikan_Warkah[Tanggal diserahkan kepada Validator]),"")</f>
        <v/>
      </c>
      <c r="F5165" s="36" t="str">
        <f t="array" ref="F5165">IFNA(_xlfn.XLOOKUP(D5165,Table_Tarikan_Warkah[Nomor Tiket],Table_Tarikan_Warkah[Nama Petugas Warkah]),"")</f>
        <v/>
      </c>
      <c r="G5165" s="39" t="str">
        <f t="array" ref="G5165">IFNA(_xlfn.XLOOKUP(D5165,Table_Tarikan_Warkah[Nomor Tiket],Table_Tarikan_Warkah[Jenis Permohonan]),"")</f>
        <v>HIBAH</v>
      </c>
      <c r="H5165" s="70"/>
      <c r="I5165" s="49"/>
      <c r="J5165" s="36" t="str">
        <f t="shared" si="20"/>
        <v/>
      </c>
      <c r="K5165" s="69"/>
      <c r="L5165" s="49"/>
      <c r="M5165" s="36" t="str">
        <f t="shared" si="33"/>
        <v/>
      </c>
      <c r="N5165" s="30" t="str">
        <f t="shared" si="34"/>
        <v>BT atau SU Belum Valid</v>
      </c>
      <c r="O5165" s="39" t="str">
        <f t="shared" si="23"/>
        <v/>
      </c>
      <c r="P5165" s="47" t="b">
        <v>0</v>
      </c>
      <c r="Q5165" s="36" t="str">
        <f t="shared" si="35"/>
        <v/>
      </c>
      <c r="R5165" s="47" t="b">
        <v>0</v>
      </c>
      <c r="S5165" s="42" t="str">
        <f t="shared" si="28"/>
        <v/>
      </c>
      <c r="T5165" s="42"/>
    </row>
    <row r="5166" ht="22.5" customHeight="1">
      <c r="B5166" s="42">
        <f t="shared" si="7"/>
        <v>5160</v>
      </c>
      <c r="C5166" s="31"/>
      <c r="D5166" s="34" t="str">
        <f t="array" ref="D5166">IFNA(_xlfn.XLOOKUP(C5166,Table_Tarikan_Warkah[Nomor Sertipikat],Table_Tarikan_Warkah[Nomor Tiket]),"")</f>
        <v>AB036/ABSOLDWS</v>
      </c>
      <c r="E5166" s="36" t="str">
        <f t="array" ref="E5166">IFNA(_xlfn.XLOOKUP(D5166,Table_Tarikan_Warkah[Nomor Tiket],Table_Tarikan_Warkah[Tanggal diserahkan kepada Validator]),"")</f>
        <v/>
      </c>
      <c r="F5166" s="36" t="str">
        <f t="array" ref="F5166">IFNA(_xlfn.XLOOKUP(D5166,Table_Tarikan_Warkah[Nomor Tiket],Table_Tarikan_Warkah[Nama Petugas Warkah]),"")</f>
        <v/>
      </c>
      <c r="G5166" s="39" t="str">
        <f t="array" ref="G5166">IFNA(_xlfn.XLOOKUP(D5166,Table_Tarikan_Warkah[Nomor Tiket],Table_Tarikan_Warkah[Jenis Permohonan]),"")</f>
        <v>HIBAH</v>
      </c>
      <c r="H5166" s="70"/>
      <c r="I5166" s="49"/>
      <c r="J5166" s="36" t="str">
        <f t="shared" si="20"/>
        <v/>
      </c>
      <c r="K5166" s="69"/>
      <c r="L5166" s="49"/>
      <c r="M5166" s="36" t="str">
        <f t="shared" si="33"/>
        <v/>
      </c>
      <c r="N5166" s="30" t="str">
        <f t="shared" si="34"/>
        <v>BT atau SU Belum Valid</v>
      </c>
      <c r="O5166" s="39" t="str">
        <f t="shared" si="23"/>
        <v/>
      </c>
      <c r="P5166" s="47" t="b">
        <v>0</v>
      </c>
      <c r="Q5166" s="36" t="str">
        <f t="shared" si="35"/>
        <v/>
      </c>
      <c r="R5166" s="47" t="b">
        <v>0</v>
      </c>
      <c r="S5166" s="42" t="str">
        <f t="shared" si="28"/>
        <v/>
      </c>
      <c r="T5166" s="42"/>
    </row>
    <row r="5167" ht="22.5" customHeight="1">
      <c r="B5167" s="42">
        <f t="shared" si="7"/>
        <v>5161</v>
      </c>
      <c r="C5167" s="31"/>
      <c r="D5167" s="34" t="str">
        <f t="array" ref="D5167">IFNA(_xlfn.XLOOKUP(C5167,Table_Tarikan_Warkah[Nomor Sertipikat],Table_Tarikan_Warkah[Nomor Tiket]),"")</f>
        <v>AB036/ABSOLDWS</v>
      </c>
      <c r="E5167" s="36" t="str">
        <f t="array" ref="E5167">IFNA(_xlfn.XLOOKUP(D5167,Table_Tarikan_Warkah[Nomor Tiket],Table_Tarikan_Warkah[Tanggal diserahkan kepada Validator]),"")</f>
        <v/>
      </c>
      <c r="F5167" s="36" t="str">
        <f t="array" ref="F5167">IFNA(_xlfn.XLOOKUP(D5167,Table_Tarikan_Warkah[Nomor Tiket],Table_Tarikan_Warkah[Nama Petugas Warkah]),"")</f>
        <v/>
      </c>
      <c r="G5167" s="39" t="str">
        <f t="array" ref="G5167">IFNA(_xlfn.XLOOKUP(D5167,Table_Tarikan_Warkah[Nomor Tiket],Table_Tarikan_Warkah[Jenis Permohonan]),"")</f>
        <v>HIBAH</v>
      </c>
      <c r="H5167" s="70"/>
      <c r="I5167" s="49"/>
      <c r="J5167" s="36" t="str">
        <f t="shared" si="20"/>
        <v/>
      </c>
      <c r="K5167" s="69"/>
      <c r="L5167" s="49"/>
      <c r="M5167" s="36" t="str">
        <f t="shared" si="33"/>
        <v/>
      </c>
      <c r="N5167" s="30" t="str">
        <f t="shared" si="34"/>
        <v>BT atau SU Belum Valid</v>
      </c>
      <c r="O5167" s="39" t="str">
        <f t="shared" si="23"/>
        <v/>
      </c>
      <c r="P5167" s="47" t="b">
        <v>0</v>
      </c>
      <c r="Q5167" s="36" t="str">
        <f t="shared" si="35"/>
        <v/>
      </c>
      <c r="R5167" s="47" t="b">
        <v>0</v>
      </c>
      <c r="S5167" s="42" t="str">
        <f t="shared" si="28"/>
        <v/>
      </c>
      <c r="T5167" s="42"/>
    </row>
    <row r="5168" ht="22.5" customHeight="1">
      <c r="B5168" s="42">
        <f t="shared" si="7"/>
        <v>5162</v>
      </c>
      <c r="C5168" s="31"/>
      <c r="D5168" s="34" t="str">
        <f t="array" ref="D5168">IFNA(_xlfn.XLOOKUP(C5168,Table_Tarikan_Warkah[Nomor Sertipikat],Table_Tarikan_Warkah[Nomor Tiket]),"")</f>
        <v>AB036/ABSOLDWS</v>
      </c>
      <c r="E5168" s="36" t="str">
        <f t="array" ref="E5168">IFNA(_xlfn.XLOOKUP(D5168,Table_Tarikan_Warkah[Nomor Tiket],Table_Tarikan_Warkah[Tanggal diserahkan kepada Validator]),"")</f>
        <v/>
      </c>
      <c r="F5168" s="36" t="str">
        <f t="array" ref="F5168">IFNA(_xlfn.XLOOKUP(D5168,Table_Tarikan_Warkah[Nomor Tiket],Table_Tarikan_Warkah[Nama Petugas Warkah]),"")</f>
        <v/>
      </c>
      <c r="G5168" s="39" t="str">
        <f t="array" ref="G5168">IFNA(_xlfn.XLOOKUP(D5168,Table_Tarikan_Warkah[Nomor Tiket],Table_Tarikan_Warkah[Jenis Permohonan]),"")</f>
        <v>HIBAH</v>
      </c>
      <c r="H5168" s="70"/>
      <c r="I5168" s="49"/>
      <c r="J5168" s="36" t="str">
        <f t="shared" si="20"/>
        <v/>
      </c>
      <c r="K5168" s="69"/>
      <c r="L5168" s="49"/>
      <c r="M5168" s="36" t="str">
        <f t="shared" si="33"/>
        <v/>
      </c>
      <c r="N5168" s="30" t="str">
        <f t="shared" si="34"/>
        <v>BT atau SU Belum Valid</v>
      </c>
      <c r="O5168" s="39" t="str">
        <f t="shared" si="23"/>
        <v/>
      </c>
      <c r="P5168" s="47" t="b">
        <v>0</v>
      </c>
      <c r="Q5168" s="36" t="str">
        <f t="shared" si="35"/>
        <v/>
      </c>
      <c r="R5168" s="47" t="b">
        <v>0</v>
      </c>
      <c r="S5168" s="42" t="str">
        <f t="shared" si="28"/>
        <v/>
      </c>
      <c r="T5168" s="42"/>
    </row>
    <row r="5169" ht="22.5" customHeight="1">
      <c r="B5169" s="42">
        <f t="shared" si="7"/>
        <v>5163</v>
      </c>
      <c r="C5169" s="31"/>
      <c r="D5169" s="34" t="str">
        <f t="array" ref="D5169">IFNA(_xlfn.XLOOKUP(C5169,Table_Tarikan_Warkah[Nomor Sertipikat],Table_Tarikan_Warkah[Nomor Tiket]),"")</f>
        <v>AB036/ABSOLDWS</v>
      </c>
      <c r="E5169" s="36" t="str">
        <f t="array" ref="E5169">IFNA(_xlfn.XLOOKUP(D5169,Table_Tarikan_Warkah[Nomor Tiket],Table_Tarikan_Warkah[Tanggal diserahkan kepada Validator]),"")</f>
        <v/>
      </c>
      <c r="F5169" s="36" t="str">
        <f t="array" ref="F5169">IFNA(_xlfn.XLOOKUP(D5169,Table_Tarikan_Warkah[Nomor Tiket],Table_Tarikan_Warkah[Nama Petugas Warkah]),"")</f>
        <v/>
      </c>
      <c r="G5169" s="39" t="str">
        <f t="array" ref="G5169">IFNA(_xlfn.XLOOKUP(D5169,Table_Tarikan_Warkah[Nomor Tiket],Table_Tarikan_Warkah[Jenis Permohonan]),"")</f>
        <v>HIBAH</v>
      </c>
      <c r="H5169" s="70"/>
      <c r="I5169" s="49"/>
      <c r="J5169" s="36" t="str">
        <f t="shared" si="20"/>
        <v/>
      </c>
      <c r="K5169" s="69"/>
      <c r="L5169" s="49"/>
      <c r="M5169" s="36" t="str">
        <f t="shared" si="33"/>
        <v/>
      </c>
      <c r="N5169" s="30" t="str">
        <f t="shared" si="34"/>
        <v>BT atau SU Belum Valid</v>
      </c>
      <c r="O5169" s="39" t="str">
        <f t="shared" si="23"/>
        <v/>
      </c>
      <c r="P5169" s="47" t="b">
        <v>0</v>
      </c>
      <c r="Q5169" s="36" t="str">
        <f t="shared" si="35"/>
        <v/>
      </c>
      <c r="R5169" s="47" t="b">
        <v>0</v>
      </c>
      <c r="S5169" s="42" t="str">
        <f t="shared" si="28"/>
        <v/>
      </c>
      <c r="T5169" s="42"/>
    </row>
    <row r="5170" ht="22.5" customHeight="1">
      <c r="B5170" s="42">
        <f t="shared" si="7"/>
        <v>5164</v>
      </c>
      <c r="C5170" s="31"/>
      <c r="D5170" s="34" t="str">
        <f t="array" ref="D5170">IFNA(_xlfn.XLOOKUP(C5170,Table_Tarikan_Warkah[Nomor Sertipikat],Table_Tarikan_Warkah[Nomor Tiket]),"")</f>
        <v>AB036/ABSOLDWS</v>
      </c>
      <c r="E5170" s="36" t="str">
        <f t="array" ref="E5170">IFNA(_xlfn.XLOOKUP(D5170,Table_Tarikan_Warkah[Nomor Tiket],Table_Tarikan_Warkah[Tanggal diserahkan kepada Validator]),"")</f>
        <v/>
      </c>
      <c r="F5170" s="36" t="str">
        <f t="array" ref="F5170">IFNA(_xlfn.XLOOKUP(D5170,Table_Tarikan_Warkah[Nomor Tiket],Table_Tarikan_Warkah[Nama Petugas Warkah]),"")</f>
        <v/>
      </c>
      <c r="G5170" s="39" t="str">
        <f t="array" ref="G5170">IFNA(_xlfn.XLOOKUP(D5170,Table_Tarikan_Warkah[Nomor Tiket],Table_Tarikan_Warkah[Jenis Permohonan]),"")</f>
        <v>HIBAH</v>
      </c>
      <c r="H5170" s="70"/>
      <c r="I5170" s="49"/>
      <c r="J5170" s="36" t="str">
        <f t="shared" si="20"/>
        <v/>
      </c>
      <c r="K5170" s="69"/>
      <c r="L5170" s="49"/>
      <c r="M5170" s="36" t="str">
        <f t="shared" si="33"/>
        <v/>
      </c>
      <c r="N5170" s="30" t="str">
        <f t="shared" si="34"/>
        <v>BT atau SU Belum Valid</v>
      </c>
      <c r="O5170" s="39" t="str">
        <f t="shared" si="23"/>
        <v/>
      </c>
      <c r="P5170" s="47" t="b">
        <v>0</v>
      </c>
      <c r="Q5170" s="36" t="str">
        <f t="shared" si="35"/>
        <v/>
      </c>
      <c r="R5170" s="47" t="b">
        <v>0</v>
      </c>
      <c r="S5170" s="42" t="str">
        <f t="shared" si="28"/>
        <v/>
      </c>
      <c r="T5170" s="42"/>
    </row>
    <row r="5171" ht="22.5" customHeight="1">
      <c r="B5171" s="42">
        <f t="shared" si="7"/>
        <v>5165</v>
      </c>
      <c r="C5171" s="31"/>
      <c r="D5171" s="34" t="str">
        <f t="array" ref="D5171">IFNA(_xlfn.XLOOKUP(C5171,Table_Tarikan_Warkah[Nomor Sertipikat],Table_Tarikan_Warkah[Nomor Tiket]),"")</f>
        <v>AB036/ABSOLDWS</v>
      </c>
      <c r="E5171" s="36" t="str">
        <f t="array" ref="E5171">IFNA(_xlfn.XLOOKUP(D5171,Table_Tarikan_Warkah[Nomor Tiket],Table_Tarikan_Warkah[Tanggal diserahkan kepada Validator]),"")</f>
        <v/>
      </c>
      <c r="F5171" s="36" t="str">
        <f t="array" ref="F5171">IFNA(_xlfn.XLOOKUP(D5171,Table_Tarikan_Warkah[Nomor Tiket],Table_Tarikan_Warkah[Nama Petugas Warkah]),"")</f>
        <v/>
      </c>
      <c r="G5171" s="39" t="str">
        <f t="array" ref="G5171">IFNA(_xlfn.XLOOKUP(D5171,Table_Tarikan_Warkah[Nomor Tiket],Table_Tarikan_Warkah[Jenis Permohonan]),"")</f>
        <v>HIBAH</v>
      </c>
      <c r="H5171" s="70"/>
      <c r="I5171" s="49"/>
      <c r="J5171" s="36" t="str">
        <f t="shared" si="20"/>
        <v/>
      </c>
      <c r="K5171" s="69"/>
      <c r="L5171" s="49"/>
      <c r="M5171" s="36" t="str">
        <f t="shared" si="33"/>
        <v/>
      </c>
      <c r="N5171" s="30" t="str">
        <f t="shared" si="34"/>
        <v>BT atau SU Belum Valid</v>
      </c>
      <c r="O5171" s="39" t="str">
        <f t="shared" si="23"/>
        <v/>
      </c>
      <c r="P5171" s="47" t="b">
        <v>0</v>
      </c>
      <c r="Q5171" s="36" t="str">
        <f t="shared" si="35"/>
        <v/>
      </c>
      <c r="R5171" s="47" t="b">
        <v>0</v>
      </c>
      <c r="S5171" s="42" t="str">
        <f t="shared" si="28"/>
        <v/>
      </c>
      <c r="T5171" s="42"/>
    </row>
    <row r="5172" ht="22.5" customHeight="1">
      <c r="B5172" s="42">
        <f t="shared" si="7"/>
        <v>5166</v>
      </c>
      <c r="C5172" s="31"/>
      <c r="D5172" s="34" t="str">
        <f t="array" ref="D5172">IFNA(_xlfn.XLOOKUP(C5172,Table_Tarikan_Warkah[Nomor Sertipikat],Table_Tarikan_Warkah[Nomor Tiket]),"")</f>
        <v>AB036/ABSOLDWS</v>
      </c>
      <c r="E5172" s="36" t="str">
        <f t="array" ref="E5172">IFNA(_xlfn.XLOOKUP(D5172,Table_Tarikan_Warkah[Nomor Tiket],Table_Tarikan_Warkah[Tanggal diserahkan kepada Validator]),"")</f>
        <v/>
      </c>
      <c r="F5172" s="36" t="str">
        <f t="array" ref="F5172">IFNA(_xlfn.XLOOKUP(D5172,Table_Tarikan_Warkah[Nomor Tiket],Table_Tarikan_Warkah[Nama Petugas Warkah]),"")</f>
        <v/>
      </c>
      <c r="G5172" s="39" t="str">
        <f t="array" ref="G5172">IFNA(_xlfn.XLOOKUP(D5172,Table_Tarikan_Warkah[Nomor Tiket],Table_Tarikan_Warkah[Jenis Permohonan]),"")</f>
        <v>HIBAH</v>
      </c>
      <c r="H5172" s="70"/>
      <c r="I5172" s="49"/>
      <c r="J5172" s="36" t="str">
        <f t="shared" si="20"/>
        <v/>
      </c>
      <c r="K5172" s="69"/>
      <c r="L5172" s="49"/>
      <c r="M5172" s="36" t="str">
        <f t="shared" si="33"/>
        <v/>
      </c>
      <c r="N5172" s="30" t="str">
        <f t="shared" si="34"/>
        <v>BT atau SU Belum Valid</v>
      </c>
      <c r="O5172" s="39" t="str">
        <f t="shared" si="23"/>
        <v/>
      </c>
      <c r="P5172" s="47" t="b">
        <v>0</v>
      </c>
      <c r="Q5172" s="36" t="str">
        <f t="shared" si="35"/>
        <v/>
      </c>
      <c r="R5172" s="47" t="b">
        <v>0</v>
      </c>
      <c r="S5172" s="42" t="str">
        <f t="shared" si="28"/>
        <v/>
      </c>
      <c r="T5172" s="42"/>
    </row>
    <row r="5173" ht="22.5" customHeight="1">
      <c r="B5173" s="42">
        <f t="shared" si="7"/>
        <v>5167</v>
      </c>
      <c r="C5173" s="31"/>
      <c r="D5173" s="34" t="str">
        <f t="array" ref="D5173">IFNA(_xlfn.XLOOKUP(C5173,Table_Tarikan_Warkah[Nomor Sertipikat],Table_Tarikan_Warkah[Nomor Tiket]),"")</f>
        <v>AB036/ABSOLDWS</v>
      </c>
      <c r="E5173" s="36" t="str">
        <f t="array" ref="E5173">IFNA(_xlfn.XLOOKUP(D5173,Table_Tarikan_Warkah[Nomor Tiket],Table_Tarikan_Warkah[Tanggal diserahkan kepada Validator]),"")</f>
        <v/>
      </c>
      <c r="F5173" s="36" t="str">
        <f t="array" ref="F5173">IFNA(_xlfn.XLOOKUP(D5173,Table_Tarikan_Warkah[Nomor Tiket],Table_Tarikan_Warkah[Nama Petugas Warkah]),"")</f>
        <v/>
      </c>
      <c r="G5173" s="39" t="str">
        <f t="array" ref="G5173">IFNA(_xlfn.XLOOKUP(D5173,Table_Tarikan_Warkah[Nomor Tiket],Table_Tarikan_Warkah[Jenis Permohonan]),"")</f>
        <v>HIBAH</v>
      </c>
      <c r="H5173" s="70"/>
      <c r="I5173" s="49"/>
      <c r="J5173" s="36" t="str">
        <f t="shared" si="20"/>
        <v/>
      </c>
      <c r="K5173" s="69"/>
      <c r="L5173" s="49"/>
      <c r="M5173" s="36" t="str">
        <f t="shared" si="33"/>
        <v/>
      </c>
      <c r="N5173" s="30" t="str">
        <f t="shared" si="34"/>
        <v>BT atau SU Belum Valid</v>
      </c>
      <c r="O5173" s="39" t="str">
        <f t="shared" si="23"/>
        <v/>
      </c>
      <c r="P5173" s="47" t="b">
        <v>0</v>
      </c>
      <c r="Q5173" s="36" t="str">
        <f t="shared" si="35"/>
        <v/>
      </c>
      <c r="R5173" s="47" t="b">
        <v>0</v>
      </c>
      <c r="S5173" s="42" t="str">
        <f t="shared" si="28"/>
        <v/>
      </c>
      <c r="T5173" s="42"/>
    </row>
    <row r="5174" ht="22.5" customHeight="1">
      <c r="B5174" s="42">
        <f t="shared" si="7"/>
        <v>5168</v>
      </c>
      <c r="C5174" s="31"/>
      <c r="D5174" s="34" t="str">
        <f t="array" ref="D5174">IFNA(_xlfn.XLOOKUP(C5174,Table_Tarikan_Warkah[Nomor Sertipikat],Table_Tarikan_Warkah[Nomor Tiket]),"")</f>
        <v>AB036/ABSOLDWS</v>
      </c>
      <c r="E5174" s="36" t="str">
        <f t="array" ref="E5174">IFNA(_xlfn.XLOOKUP(D5174,Table_Tarikan_Warkah[Nomor Tiket],Table_Tarikan_Warkah[Tanggal diserahkan kepada Validator]),"")</f>
        <v/>
      </c>
      <c r="F5174" s="36" t="str">
        <f t="array" ref="F5174">IFNA(_xlfn.XLOOKUP(D5174,Table_Tarikan_Warkah[Nomor Tiket],Table_Tarikan_Warkah[Nama Petugas Warkah]),"")</f>
        <v/>
      </c>
      <c r="G5174" s="39" t="str">
        <f t="array" ref="G5174">IFNA(_xlfn.XLOOKUP(D5174,Table_Tarikan_Warkah[Nomor Tiket],Table_Tarikan_Warkah[Jenis Permohonan]),"")</f>
        <v>HIBAH</v>
      </c>
      <c r="H5174" s="70"/>
      <c r="I5174" s="49"/>
      <c r="J5174" s="36" t="str">
        <f t="shared" si="20"/>
        <v/>
      </c>
      <c r="K5174" s="69"/>
      <c r="L5174" s="49"/>
      <c r="M5174" s="36" t="str">
        <f t="shared" si="33"/>
        <v/>
      </c>
      <c r="N5174" s="30" t="str">
        <f t="shared" si="34"/>
        <v>BT atau SU Belum Valid</v>
      </c>
      <c r="O5174" s="39" t="str">
        <f t="shared" si="23"/>
        <v/>
      </c>
      <c r="P5174" s="47" t="b">
        <v>0</v>
      </c>
      <c r="Q5174" s="36" t="str">
        <f t="shared" si="35"/>
        <v/>
      </c>
      <c r="R5174" s="47" t="b">
        <v>0</v>
      </c>
      <c r="S5174" s="42" t="str">
        <f t="shared" si="28"/>
        <v/>
      </c>
      <c r="T5174" s="42"/>
    </row>
    <row r="5175" ht="22.5" customHeight="1">
      <c r="B5175" s="42">
        <f t="shared" si="7"/>
        <v>5169</v>
      </c>
      <c r="C5175" s="31"/>
      <c r="D5175" s="34" t="str">
        <f t="array" ref="D5175">IFNA(_xlfn.XLOOKUP(C5175,Table_Tarikan_Warkah[Nomor Sertipikat],Table_Tarikan_Warkah[Nomor Tiket]),"")</f>
        <v>AB036/ABSOLDWS</v>
      </c>
      <c r="E5175" s="36" t="str">
        <f t="array" ref="E5175">IFNA(_xlfn.XLOOKUP(D5175,Table_Tarikan_Warkah[Nomor Tiket],Table_Tarikan_Warkah[Tanggal diserahkan kepada Validator]),"")</f>
        <v/>
      </c>
      <c r="F5175" s="36" t="str">
        <f t="array" ref="F5175">IFNA(_xlfn.XLOOKUP(D5175,Table_Tarikan_Warkah[Nomor Tiket],Table_Tarikan_Warkah[Nama Petugas Warkah]),"")</f>
        <v/>
      </c>
      <c r="G5175" s="39" t="str">
        <f t="array" ref="G5175">IFNA(_xlfn.XLOOKUP(D5175,Table_Tarikan_Warkah[Nomor Tiket],Table_Tarikan_Warkah[Jenis Permohonan]),"")</f>
        <v>HIBAH</v>
      </c>
      <c r="H5175" s="70"/>
      <c r="I5175" s="49"/>
      <c r="J5175" s="36" t="str">
        <f t="shared" si="20"/>
        <v/>
      </c>
      <c r="K5175" s="69"/>
      <c r="L5175" s="49"/>
      <c r="M5175" s="36" t="str">
        <f t="shared" si="33"/>
        <v/>
      </c>
      <c r="N5175" s="30" t="str">
        <f t="shared" si="34"/>
        <v>BT atau SU Belum Valid</v>
      </c>
      <c r="O5175" s="39" t="str">
        <f t="shared" si="23"/>
        <v/>
      </c>
      <c r="P5175" s="47" t="b">
        <v>0</v>
      </c>
      <c r="Q5175" s="36" t="str">
        <f t="shared" si="35"/>
        <v/>
      </c>
      <c r="R5175" s="47" t="b">
        <v>0</v>
      </c>
      <c r="S5175" s="42" t="str">
        <f t="shared" si="28"/>
        <v/>
      </c>
      <c r="T5175" s="42"/>
    </row>
    <row r="5176" ht="22.5" customHeight="1">
      <c r="B5176" s="42">
        <f t="shared" si="7"/>
        <v>5170</v>
      </c>
      <c r="C5176" s="31"/>
      <c r="D5176" s="34" t="str">
        <f t="array" ref="D5176">IFNA(_xlfn.XLOOKUP(C5176,Table_Tarikan_Warkah[Nomor Sertipikat],Table_Tarikan_Warkah[Nomor Tiket]),"")</f>
        <v>AB036/ABSOLDWS</v>
      </c>
      <c r="E5176" s="36" t="str">
        <f t="array" ref="E5176">IFNA(_xlfn.XLOOKUP(D5176,Table_Tarikan_Warkah[Nomor Tiket],Table_Tarikan_Warkah[Tanggal diserahkan kepada Validator]),"")</f>
        <v/>
      </c>
      <c r="F5176" s="36" t="str">
        <f t="array" ref="F5176">IFNA(_xlfn.XLOOKUP(D5176,Table_Tarikan_Warkah[Nomor Tiket],Table_Tarikan_Warkah[Nama Petugas Warkah]),"")</f>
        <v/>
      </c>
      <c r="G5176" s="39" t="str">
        <f t="array" ref="G5176">IFNA(_xlfn.XLOOKUP(D5176,Table_Tarikan_Warkah[Nomor Tiket],Table_Tarikan_Warkah[Jenis Permohonan]),"")</f>
        <v>HIBAH</v>
      </c>
      <c r="H5176" s="70"/>
      <c r="I5176" s="49"/>
      <c r="J5176" s="36" t="str">
        <f t="shared" si="20"/>
        <v/>
      </c>
      <c r="K5176" s="69"/>
      <c r="L5176" s="49"/>
      <c r="M5176" s="36" t="str">
        <f t="shared" si="33"/>
        <v/>
      </c>
      <c r="N5176" s="30" t="str">
        <f t="shared" si="34"/>
        <v>BT atau SU Belum Valid</v>
      </c>
      <c r="O5176" s="39" t="str">
        <f t="shared" si="23"/>
        <v/>
      </c>
      <c r="P5176" s="47" t="b">
        <v>0</v>
      </c>
      <c r="Q5176" s="36" t="str">
        <f t="shared" si="35"/>
        <v/>
      </c>
      <c r="R5176" s="47" t="b">
        <v>0</v>
      </c>
      <c r="S5176" s="42" t="str">
        <f t="shared" si="28"/>
        <v/>
      </c>
      <c r="T5176" s="42"/>
    </row>
    <row r="5177" ht="22.5" customHeight="1">
      <c r="B5177" s="42">
        <f t="shared" si="7"/>
        <v>5171</v>
      </c>
      <c r="C5177" s="31"/>
      <c r="D5177" s="34" t="str">
        <f t="array" ref="D5177">IFNA(_xlfn.XLOOKUP(C5177,Table_Tarikan_Warkah[Nomor Sertipikat],Table_Tarikan_Warkah[Nomor Tiket]),"")</f>
        <v>AB036/ABSOLDWS</v>
      </c>
      <c r="E5177" s="36" t="str">
        <f t="array" ref="E5177">IFNA(_xlfn.XLOOKUP(D5177,Table_Tarikan_Warkah[Nomor Tiket],Table_Tarikan_Warkah[Tanggal diserahkan kepada Validator]),"")</f>
        <v/>
      </c>
      <c r="F5177" s="36" t="str">
        <f t="array" ref="F5177">IFNA(_xlfn.XLOOKUP(D5177,Table_Tarikan_Warkah[Nomor Tiket],Table_Tarikan_Warkah[Nama Petugas Warkah]),"")</f>
        <v/>
      </c>
      <c r="G5177" s="39" t="str">
        <f t="array" ref="G5177">IFNA(_xlfn.XLOOKUP(D5177,Table_Tarikan_Warkah[Nomor Tiket],Table_Tarikan_Warkah[Jenis Permohonan]),"")</f>
        <v>HIBAH</v>
      </c>
      <c r="H5177" s="70"/>
      <c r="I5177" s="49"/>
      <c r="J5177" s="36" t="str">
        <f t="shared" si="20"/>
        <v/>
      </c>
      <c r="K5177" s="69"/>
      <c r="L5177" s="49"/>
      <c r="M5177" s="36" t="str">
        <f t="shared" si="33"/>
        <v/>
      </c>
      <c r="N5177" s="30" t="str">
        <f t="shared" si="34"/>
        <v>BT atau SU Belum Valid</v>
      </c>
      <c r="O5177" s="39" t="str">
        <f t="shared" si="23"/>
        <v/>
      </c>
      <c r="P5177" s="47" t="b">
        <v>0</v>
      </c>
      <c r="Q5177" s="36" t="str">
        <f t="shared" si="35"/>
        <v/>
      </c>
      <c r="R5177" s="47" t="b">
        <v>0</v>
      </c>
      <c r="S5177" s="42" t="str">
        <f t="shared" si="28"/>
        <v/>
      </c>
      <c r="T5177" s="42"/>
    </row>
    <row r="5178" ht="22.5" customHeight="1">
      <c r="B5178" s="42">
        <f t="shared" si="7"/>
        <v>5172</v>
      </c>
      <c r="C5178" s="31"/>
      <c r="D5178" s="34" t="str">
        <f t="array" ref="D5178">IFNA(_xlfn.XLOOKUP(C5178,Table_Tarikan_Warkah[Nomor Sertipikat],Table_Tarikan_Warkah[Nomor Tiket]),"")</f>
        <v>AB036/ABSOLDWS</v>
      </c>
      <c r="E5178" s="36" t="str">
        <f t="array" ref="E5178">IFNA(_xlfn.XLOOKUP(D5178,Table_Tarikan_Warkah[Nomor Tiket],Table_Tarikan_Warkah[Tanggal diserahkan kepada Validator]),"")</f>
        <v/>
      </c>
      <c r="F5178" s="36" t="str">
        <f t="array" ref="F5178">IFNA(_xlfn.XLOOKUP(D5178,Table_Tarikan_Warkah[Nomor Tiket],Table_Tarikan_Warkah[Nama Petugas Warkah]),"")</f>
        <v/>
      </c>
      <c r="G5178" s="39" t="str">
        <f t="array" ref="G5178">IFNA(_xlfn.XLOOKUP(D5178,Table_Tarikan_Warkah[Nomor Tiket],Table_Tarikan_Warkah[Jenis Permohonan]),"")</f>
        <v>HIBAH</v>
      </c>
      <c r="H5178" s="70"/>
      <c r="I5178" s="49"/>
      <c r="J5178" s="36" t="str">
        <f t="shared" si="20"/>
        <v/>
      </c>
      <c r="K5178" s="69"/>
      <c r="L5178" s="49"/>
      <c r="M5178" s="36" t="str">
        <f t="shared" si="33"/>
        <v/>
      </c>
      <c r="N5178" s="30" t="str">
        <f t="shared" si="34"/>
        <v>BT atau SU Belum Valid</v>
      </c>
      <c r="O5178" s="39" t="str">
        <f t="shared" si="23"/>
        <v/>
      </c>
      <c r="P5178" s="47" t="b">
        <v>0</v>
      </c>
      <c r="Q5178" s="36" t="str">
        <f t="shared" si="35"/>
        <v/>
      </c>
      <c r="R5178" s="47" t="b">
        <v>0</v>
      </c>
      <c r="S5178" s="42" t="str">
        <f t="shared" si="28"/>
        <v/>
      </c>
      <c r="T5178" s="42"/>
    </row>
    <row r="5179" ht="22.5" customHeight="1">
      <c r="B5179" s="42">
        <f t="shared" si="7"/>
        <v>5173</v>
      </c>
      <c r="C5179" s="31"/>
      <c r="D5179" s="34" t="str">
        <f t="array" ref="D5179">IFNA(_xlfn.XLOOKUP(C5179,Table_Tarikan_Warkah[Nomor Sertipikat],Table_Tarikan_Warkah[Nomor Tiket]),"")</f>
        <v>AB036/ABSOLDWS</v>
      </c>
      <c r="E5179" s="36" t="str">
        <f t="array" ref="E5179">IFNA(_xlfn.XLOOKUP(D5179,Table_Tarikan_Warkah[Nomor Tiket],Table_Tarikan_Warkah[Tanggal diserahkan kepada Validator]),"")</f>
        <v/>
      </c>
      <c r="F5179" s="36" t="str">
        <f t="array" ref="F5179">IFNA(_xlfn.XLOOKUP(D5179,Table_Tarikan_Warkah[Nomor Tiket],Table_Tarikan_Warkah[Nama Petugas Warkah]),"")</f>
        <v/>
      </c>
      <c r="G5179" s="39" t="str">
        <f t="array" ref="G5179">IFNA(_xlfn.XLOOKUP(D5179,Table_Tarikan_Warkah[Nomor Tiket],Table_Tarikan_Warkah[Jenis Permohonan]),"")</f>
        <v>HIBAH</v>
      </c>
      <c r="H5179" s="70"/>
      <c r="I5179" s="49"/>
      <c r="J5179" s="36" t="str">
        <f t="shared" si="20"/>
        <v/>
      </c>
      <c r="K5179" s="69"/>
      <c r="L5179" s="49"/>
      <c r="M5179" s="36" t="str">
        <f t="shared" si="33"/>
        <v/>
      </c>
      <c r="N5179" s="30" t="str">
        <f t="shared" si="34"/>
        <v>BT atau SU Belum Valid</v>
      </c>
      <c r="O5179" s="39" t="str">
        <f t="shared" si="23"/>
        <v/>
      </c>
      <c r="P5179" s="47" t="b">
        <v>0</v>
      </c>
      <c r="Q5179" s="36" t="str">
        <f t="shared" si="35"/>
        <v/>
      </c>
      <c r="R5179" s="47" t="b">
        <v>0</v>
      </c>
      <c r="S5179" s="42" t="str">
        <f t="shared" si="28"/>
        <v/>
      </c>
      <c r="T5179" s="42"/>
    </row>
    <row r="5180" ht="22.5" customHeight="1">
      <c r="B5180" s="42">
        <f t="shared" si="7"/>
        <v>5174</v>
      </c>
      <c r="C5180" s="31"/>
      <c r="D5180" s="34" t="str">
        <f t="array" ref="D5180">IFNA(_xlfn.XLOOKUP(C5180,Table_Tarikan_Warkah[Nomor Sertipikat],Table_Tarikan_Warkah[Nomor Tiket]),"")</f>
        <v>AB036/ABSOLDWS</v>
      </c>
      <c r="E5180" s="36" t="str">
        <f t="array" ref="E5180">IFNA(_xlfn.XLOOKUP(D5180,Table_Tarikan_Warkah[Nomor Tiket],Table_Tarikan_Warkah[Tanggal diserahkan kepada Validator]),"")</f>
        <v/>
      </c>
      <c r="F5180" s="36" t="str">
        <f t="array" ref="F5180">IFNA(_xlfn.XLOOKUP(D5180,Table_Tarikan_Warkah[Nomor Tiket],Table_Tarikan_Warkah[Nama Petugas Warkah]),"")</f>
        <v/>
      </c>
      <c r="G5180" s="39" t="str">
        <f t="array" ref="G5180">IFNA(_xlfn.XLOOKUP(D5180,Table_Tarikan_Warkah[Nomor Tiket],Table_Tarikan_Warkah[Jenis Permohonan]),"")</f>
        <v>HIBAH</v>
      </c>
      <c r="H5180" s="70"/>
      <c r="I5180" s="49"/>
      <c r="J5180" s="36" t="str">
        <f t="shared" si="20"/>
        <v/>
      </c>
      <c r="K5180" s="69"/>
      <c r="L5180" s="49"/>
      <c r="M5180" s="36" t="str">
        <f t="shared" si="33"/>
        <v/>
      </c>
      <c r="N5180" s="30" t="str">
        <f t="shared" si="34"/>
        <v>BT atau SU Belum Valid</v>
      </c>
      <c r="O5180" s="39" t="str">
        <f t="shared" si="23"/>
        <v/>
      </c>
      <c r="P5180" s="47" t="b">
        <v>0</v>
      </c>
      <c r="Q5180" s="36" t="str">
        <f t="shared" si="35"/>
        <v/>
      </c>
      <c r="R5180" s="47" t="b">
        <v>0</v>
      </c>
      <c r="S5180" s="42" t="str">
        <f t="shared" si="28"/>
        <v/>
      </c>
      <c r="T5180" s="42"/>
    </row>
    <row r="5181" ht="22.5" customHeight="1">
      <c r="B5181" s="42">
        <f t="shared" si="7"/>
        <v>5175</v>
      </c>
      <c r="C5181" s="31"/>
      <c r="D5181" s="34" t="str">
        <f t="array" ref="D5181">IFNA(_xlfn.XLOOKUP(C5181,Table_Tarikan_Warkah[Nomor Sertipikat],Table_Tarikan_Warkah[Nomor Tiket]),"")</f>
        <v>AB036/ABSOLDWS</v>
      </c>
      <c r="E5181" s="36" t="str">
        <f t="array" ref="E5181">IFNA(_xlfn.XLOOKUP(D5181,Table_Tarikan_Warkah[Nomor Tiket],Table_Tarikan_Warkah[Tanggal diserahkan kepada Validator]),"")</f>
        <v/>
      </c>
      <c r="F5181" s="36" t="str">
        <f t="array" ref="F5181">IFNA(_xlfn.XLOOKUP(D5181,Table_Tarikan_Warkah[Nomor Tiket],Table_Tarikan_Warkah[Nama Petugas Warkah]),"")</f>
        <v/>
      </c>
      <c r="G5181" s="39" t="str">
        <f t="array" ref="G5181">IFNA(_xlfn.XLOOKUP(D5181,Table_Tarikan_Warkah[Nomor Tiket],Table_Tarikan_Warkah[Jenis Permohonan]),"")</f>
        <v>HIBAH</v>
      </c>
      <c r="H5181" s="70"/>
      <c r="I5181" s="49"/>
      <c r="J5181" s="36" t="str">
        <f t="shared" si="20"/>
        <v/>
      </c>
      <c r="K5181" s="69"/>
      <c r="L5181" s="49"/>
      <c r="M5181" s="36" t="str">
        <f t="shared" si="33"/>
        <v/>
      </c>
      <c r="N5181" s="30" t="str">
        <f t="shared" si="34"/>
        <v>BT atau SU Belum Valid</v>
      </c>
      <c r="O5181" s="39" t="str">
        <f t="shared" si="23"/>
        <v/>
      </c>
      <c r="P5181" s="47" t="b">
        <v>0</v>
      </c>
      <c r="Q5181" s="36" t="str">
        <f t="shared" si="35"/>
        <v/>
      </c>
      <c r="R5181" s="47" t="b">
        <v>0</v>
      </c>
      <c r="S5181" s="42" t="str">
        <f t="shared" si="28"/>
        <v/>
      </c>
      <c r="T5181" s="42"/>
    </row>
    <row r="5182" ht="22.5" customHeight="1">
      <c r="B5182" s="42">
        <f t="shared" si="7"/>
        <v>5176</v>
      </c>
      <c r="C5182" s="31"/>
      <c r="D5182" s="34" t="str">
        <f t="array" ref="D5182">IFNA(_xlfn.XLOOKUP(C5182,Table_Tarikan_Warkah[Nomor Sertipikat],Table_Tarikan_Warkah[Nomor Tiket]),"")</f>
        <v>AB036/ABSOLDWS</v>
      </c>
      <c r="E5182" s="36" t="str">
        <f t="array" ref="E5182">IFNA(_xlfn.XLOOKUP(D5182,Table_Tarikan_Warkah[Nomor Tiket],Table_Tarikan_Warkah[Tanggal diserahkan kepada Validator]),"")</f>
        <v/>
      </c>
      <c r="F5182" s="36" t="str">
        <f t="array" ref="F5182">IFNA(_xlfn.XLOOKUP(D5182,Table_Tarikan_Warkah[Nomor Tiket],Table_Tarikan_Warkah[Nama Petugas Warkah]),"")</f>
        <v/>
      </c>
      <c r="G5182" s="39" t="str">
        <f t="array" ref="G5182">IFNA(_xlfn.XLOOKUP(D5182,Table_Tarikan_Warkah[Nomor Tiket],Table_Tarikan_Warkah[Jenis Permohonan]),"")</f>
        <v>HIBAH</v>
      </c>
      <c r="H5182" s="70"/>
      <c r="I5182" s="49"/>
      <c r="J5182" s="36" t="str">
        <f t="shared" si="20"/>
        <v/>
      </c>
      <c r="K5182" s="69"/>
      <c r="L5182" s="49"/>
      <c r="M5182" s="36" t="str">
        <f t="shared" si="33"/>
        <v/>
      </c>
      <c r="N5182" s="30" t="str">
        <f t="shared" si="34"/>
        <v>BT atau SU Belum Valid</v>
      </c>
      <c r="O5182" s="39" t="str">
        <f t="shared" si="23"/>
        <v/>
      </c>
      <c r="P5182" s="47" t="b">
        <v>0</v>
      </c>
      <c r="Q5182" s="36" t="str">
        <f t="shared" si="35"/>
        <v/>
      </c>
      <c r="R5182" s="47" t="b">
        <v>0</v>
      </c>
      <c r="S5182" s="42" t="str">
        <f t="shared" si="28"/>
        <v/>
      </c>
      <c r="T5182" s="42"/>
    </row>
    <row r="5183" ht="22.5" customHeight="1">
      <c r="B5183" s="42">
        <f t="shared" si="7"/>
        <v>5177</v>
      </c>
      <c r="C5183" s="31"/>
      <c r="D5183" s="34" t="str">
        <f t="array" ref="D5183">IFNA(_xlfn.XLOOKUP(C5183,Table_Tarikan_Warkah[Nomor Sertipikat],Table_Tarikan_Warkah[Nomor Tiket]),"")</f>
        <v>AB036/ABSOLDWS</v>
      </c>
      <c r="E5183" s="36" t="str">
        <f t="array" ref="E5183">IFNA(_xlfn.XLOOKUP(D5183,Table_Tarikan_Warkah[Nomor Tiket],Table_Tarikan_Warkah[Tanggal diserahkan kepada Validator]),"")</f>
        <v/>
      </c>
      <c r="F5183" s="36" t="str">
        <f t="array" ref="F5183">IFNA(_xlfn.XLOOKUP(D5183,Table_Tarikan_Warkah[Nomor Tiket],Table_Tarikan_Warkah[Nama Petugas Warkah]),"")</f>
        <v/>
      </c>
      <c r="G5183" s="39" t="str">
        <f t="array" ref="G5183">IFNA(_xlfn.XLOOKUP(D5183,Table_Tarikan_Warkah[Nomor Tiket],Table_Tarikan_Warkah[Jenis Permohonan]),"")</f>
        <v>HIBAH</v>
      </c>
      <c r="H5183" s="70"/>
      <c r="I5183" s="49"/>
      <c r="J5183" s="36" t="str">
        <f t="shared" si="20"/>
        <v/>
      </c>
      <c r="K5183" s="69"/>
      <c r="L5183" s="49"/>
      <c r="M5183" s="36" t="str">
        <f t="shared" si="33"/>
        <v/>
      </c>
      <c r="N5183" s="30" t="str">
        <f t="shared" si="34"/>
        <v>BT atau SU Belum Valid</v>
      </c>
      <c r="O5183" s="39" t="str">
        <f t="shared" si="23"/>
        <v/>
      </c>
      <c r="P5183" s="47" t="b">
        <v>0</v>
      </c>
      <c r="Q5183" s="36" t="str">
        <f t="shared" si="35"/>
        <v/>
      </c>
      <c r="R5183" s="47" t="b">
        <v>0</v>
      </c>
      <c r="S5183" s="42" t="str">
        <f t="shared" si="28"/>
        <v/>
      </c>
      <c r="T5183" s="42"/>
    </row>
    <row r="5184" ht="22.5" customHeight="1">
      <c r="B5184" s="42">
        <f t="shared" si="7"/>
        <v>5178</v>
      </c>
      <c r="C5184" s="31"/>
      <c r="D5184" s="34" t="str">
        <f t="array" ref="D5184">IFNA(_xlfn.XLOOKUP(C5184,Table_Tarikan_Warkah[Nomor Sertipikat],Table_Tarikan_Warkah[Nomor Tiket]),"")</f>
        <v>AB036/ABSOLDWS</v>
      </c>
      <c r="E5184" s="36" t="str">
        <f t="array" ref="E5184">IFNA(_xlfn.XLOOKUP(D5184,Table_Tarikan_Warkah[Nomor Tiket],Table_Tarikan_Warkah[Tanggal diserahkan kepada Validator]),"")</f>
        <v/>
      </c>
      <c r="F5184" s="36" t="str">
        <f t="array" ref="F5184">IFNA(_xlfn.XLOOKUP(D5184,Table_Tarikan_Warkah[Nomor Tiket],Table_Tarikan_Warkah[Nama Petugas Warkah]),"")</f>
        <v/>
      </c>
      <c r="G5184" s="39" t="str">
        <f t="array" ref="G5184">IFNA(_xlfn.XLOOKUP(D5184,Table_Tarikan_Warkah[Nomor Tiket],Table_Tarikan_Warkah[Jenis Permohonan]),"")</f>
        <v>HIBAH</v>
      </c>
      <c r="H5184" s="70"/>
      <c r="I5184" s="49"/>
      <c r="J5184" s="36" t="str">
        <f t="shared" si="20"/>
        <v/>
      </c>
      <c r="K5184" s="69"/>
      <c r="L5184" s="49"/>
      <c r="M5184" s="36" t="str">
        <f t="shared" si="33"/>
        <v/>
      </c>
      <c r="N5184" s="30" t="str">
        <f t="shared" si="34"/>
        <v>BT atau SU Belum Valid</v>
      </c>
      <c r="O5184" s="39" t="str">
        <f t="shared" si="23"/>
        <v/>
      </c>
      <c r="P5184" s="47" t="b">
        <v>0</v>
      </c>
      <c r="Q5184" s="36" t="str">
        <f t="shared" si="35"/>
        <v/>
      </c>
      <c r="R5184" s="47" t="b">
        <v>0</v>
      </c>
      <c r="S5184" s="42" t="str">
        <f t="shared" si="28"/>
        <v/>
      </c>
      <c r="T5184" s="42"/>
    </row>
    <row r="5185" ht="22.5" customHeight="1">
      <c r="B5185" s="42">
        <f t="shared" si="7"/>
        <v>5179</v>
      </c>
      <c r="C5185" s="31"/>
      <c r="D5185" s="34" t="str">
        <f t="array" ref="D5185">IFNA(_xlfn.XLOOKUP(C5185,Table_Tarikan_Warkah[Nomor Sertipikat],Table_Tarikan_Warkah[Nomor Tiket]),"")</f>
        <v>AB036/ABSOLDWS</v>
      </c>
      <c r="E5185" s="36" t="str">
        <f t="array" ref="E5185">IFNA(_xlfn.XLOOKUP(D5185,Table_Tarikan_Warkah[Nomor Tiket],Table_Tarikan_Warkah[Tanggal diserahkan kepada Validator]),"")</f>
        <v/>
      </c>
      <c r="F5185" s="36" t="str">
        <f t="array" ref="F5185">IFNA(_xlfn.XLOOKUP(D5185,Table_Tarikan_Warkah[Nomor Tiket],Table_Tarikan_Warkah[Nama Petugas Warkah]),"")</f>
        <v/>
      </c>
      <c r="G5185" s="39" t="str">
        <f t="array" ref="G5185">IFNA(_xlfn.XLOOKUP(D5185,Table_Tarikan_Warkah[Nomor Tiket],Table_Tarikan_Warkah[Jenis Permohonan]),"")</f>
        <v>HIBAH</v>
      </c>
      <c r="H5185" s="70"/>
      <c r="I5185" s="49"/>
      <c r="J5185" s="36" t="str">
        <f t="shared" si="20"/>
        <v/>
      </c>
      <c r="K5185" s="69"/>
      <c r="L5185" s="49"/>
      <c r="M5185" s="36" t="str">
        <f t="shared" si="33"/>
        <v/>
      </c>
      <c r="N5185" s="30" t="str">
        <f t="shared" si="34"/>
        <v>BT atau SU Belum Valid</v>
      </c>
      <c r="O5185" s="39" t="str">
        <f t="shared" si="23"/>
        <v/>
      </c>
      <c r="P5185" s="47" t="b">
        <v>0</v>
      </c>
      <c r="Q5185" s="36" t="str">
        <f t="shared" si="35"/>
        <v/>
      </c>
      <c r="R5185" s="47" t="b">
        <v>0</v>
      </c>
      <c r="S5185" s="42" t="str">
        <f t="shared" si="28"/>
        <v/>
      </c>
      <c r="T5185" s="42"/>
    </row>
    <row r="5186" ht="22.5" customHeight="1">
      <c r="B5186" s="42">
        <f t="shared" si="7"/>
        <v>5180</v>
      </c>
      <c r="C5186" s="31"/>
      <c r="D5186" s="34" t="str">
        <f t="array" ref="D5186">IFNA(_xlfn.XLOOKUP(C5186,Table_Tarikan_Warkah[Nomor Sertipikat],Table_Tarikan_Warkah[Nomor Tiket]),"")</f>
        <v>AB036/ABSOLDWS</v>
      </c>
      <c r="E5186" s="36" t="str">
        <f t="array" ref="E5186">IFNA(_xlfn.XLOOKUP(D5186,Table_Tarikan_Warkah[Nomor Tiket],Table_Tarikan_Warkah[Tanggal diserahkan kepada Validator]),"")</f>
        <v/>
      </c>
      <c r="F5186" s="36" t="str">
        <f t="array" ref="F5186">IFNA(_xlfn.XLOOKUP(D5186,Table_Tarikan_Warkah[Nomor Tiket],Table_Tarikan_Warkah[Nama Petugas Warkah]),"")</f>
        <v/>
      </c>
      <c r="G5186" s="39" t="str">
        <f t="array" ref="G5186">IFNA(_xlfn.XLOOKUP(D5186,Table_Tarikan_Warkah[Nomor Tiket],Table_Tarikan_Warkah[Jenis Permohonan]),"")</f>
        <v>HIBAH</v>
      </c>
      <c r="H5186" s="70"/>
      <c r="I5186" s="49"/>
      <c r="J5186" s="36" t="str">
        <f t="shared" si="20"/>
        <v/>
      </c>
      <c r="K5186" s="69"/>
      <c r="L5186" s="49"/>
      <c r="M5186" s="36" t="str">
        <f t="shared" si="33"/>
        <v/>
      </c>
      <c r="N5186" s="30" t="str">
        <f t="shared" si="34"/>
        <v>BT atau SU Belum Valid</v>
      </c>
      <c r="O5186" s="39" t="str">
        <f t="shared" si="23"/>
        <v/>
      </c>
      <c r="P5186" s="47" t="b">
        <v>0</v>
      </c>
      <c r="Q5186" s="36" t="str">
        <f t="shared" si="35"/>
        <v/>
      </c>
      <c r="R5186" s="47" t="b">
        <v>0</v>
      </c>
      <c r="S5186" s="42" t="str">
        <f t="shared" si="28"/>
        <v/>
      </c>
      <c r="T5186" s="42"/>
    </row>
    <row r="5187" ht="22.5" customHeight="1">
      <c r="B5187" s="42">
        <f t="shared" si="7"/>
        <v>5181</v>
      </c>
      <c r="C5187" s="31"/>
      <c r="D5187" s="34" t="str">
        <f t="array" ref="D5187">IFNA(_xlfn.XLOOKUP(C5187,Table_Tarikan_Warkah[Nomor Sertipikat],Table_Tarikan_Warkah[Nomor Tiket]),"")</f>
        <v>AB036/ABSOLDWS</v>
      </c>
      <c r="E5187" s="36" t="str">
        <f t="array" ref="E5187">IFNA(_xlfn.XLOOKUP(D5187,Table_Tarikan_Warkah[Nomor Tiket],Table_Tarikan_Warkah[Tanggal diserahkan kepada Validator]),"")</f>
        <v/>
      </c>
      <c r="F5187" s="36" t="str">
        <f t="array" ref="F5187">IFNA(_xlfn.XLOOKUP(D5187,Table_Tarikan_Warkah[Nomor Tiket],Table_Tarikan_Warkah[Nama Petugas Warkah]),"")</f>
        <v/>
      </c>
      <c r="G5187" s="39" t="str">
        <f t="array" ref="G5187">IFNA(_xlfn.XLOOKUP(D5187,Table_Tarikan_Warkah[Nomor Tiket],Table_Tarikan_Warkah[Jenis Permohonan]),"")</f>
        <v>HIBAH</v>
      </c>
      <c r="H5187" s="70"/>
      <c r="I5187" s="49"/>
      <c r="J5187" s="36" t="str">
        <f t="shared" si="20"/>
        <v/>
      </c>
      <c r="K5187" s="69"/>
      <c r="L5187" s="49"/>
      <c r="M5187" s="36" t="str">
        <f t="shared" si="33"/>
        <v/>
      </c>
      <c r="N5187" s="30" t="str">
        <f t="shared" si="34"/>
        <v>BT atau SU Belum Valid</v>
      </c>
      <c r="O5187" s="39" t="str">
        <f t="shared" si="23"/>
        <v/>
      </c>
      <c r="P5187" s="47" t="b">
        <v>0</v>
      </c>
      <c r="Q5187" s="36" t="str">
        <f t="shared" si="35"/>
        <v/>
      </c>
      <c r="R5187" s="47" t="b">
        <v>0</v>
      </c>
      <c r="S5187" s="42" t="str">
        <f t="shared" si="28"/>
        <v/>
      </c>
      <c r="T5187" s="42"/>
    </row>
    <row r="5188" ht="22.5" customHeight="1">
      <c r="B5188" s="42">
        <f t="shared" si="7"/>
        <v>5182</v>
      </c>
      <c r="C5188" s="31"/>
      <c r="D5188" s="34" t="str">
        <f t="array" ref="D5188">IFNA(_xlfn.XLOOKUP(C5188,Table_Tarikan_Warkah[Nomor Sertipikat],Table_Tarikan_Warkah[Nomor Tiket]),"")</f>
        <v>AB036/ABSOLDWS</v>
      </c>
      <c r="E5188" s="36" t="str">
        <f t="array" ref="E5188">IFNA(_xlfn.XLOOKUP(D5188,Table_Tarikan_Warkah[Nomor Tiket],Table_Tarikan_Warkah[Tanggal diserahkan kepada Validator]),"")</f>
        <v/>
      </c>
      <c r="F5188" s="36" t="str">
        <f t="array" ref="F5188">IFNA(_xlfn.XLOOKUP(D5188,Table_Tarikan_Warkah[Nomor Tiket],Table_Tarikan_Warkah[Nama Petugas Warkah]),"")</f>
        <v/>
      </c>
      <c r="G5188" s="39" t="str">
        <f t="array" ref="G5188">IFNA(_xlfn.XLOOKUP(D5188,Table_Tarikan_Warkah[Nomor Tiket],Table_Tarikan_Warkah[Jenis Permohonan]),"")</f>
        <v>HIBAH</v>
      </c>
      <c r="H5188" s="70"/>
      <c r="I5188" s="49"/>
      <c r="J5188" s="36" t="str">
        <f t="shared" si="20"/>
        <v/>
      </c>
      <c r="K5188" s="69"/>
      <c r="L5188" s="49"/>
      <c r="M5188" s="36" t="str">
        <f t="shared" si="33"/>
        <v/>
      </c>
      <c r="N5188" s="30" t="str">
        <f t="shared" si="34"/>
        <v>BT atau SU Belum Valid</v>
      </c>
      <c r="O5188" s="39" t="str">
        <f t="shared" si="23"/>
        <v/>
      </c>
      <c r="P5188" s="47" t="b">
        <v>0</v>
      </c>
      <c r="Q5188" s="36" t="str">
        <f t="shared" si="35"/>
        <v/>
      </c>
      <c r="R5188" s="47" t="b">
        <v>0</v>
      </c>
      <c r="S5188" s="42" t="str">
        <f t="shared" si="28"/>
        <v/>
      </c>
      <c r="T5188" s="42"/>
    </row>
    <row r="5189" ht="22.5" customHeight="1">
      <c r="B5189" s="42">
        <f t="shared" si="7"/>
        <v>5183</v>
      </c>
      <c r="C5189" s="31"/>
      <c r="D5189" s="34" t="str">
        <f t="array" ref="D5189">IFNA(_xlfn.XLOOKUP(C5189,Table_Tarikan_Warkah[Nomor Sertipikat],Table_Tarikan_Warkah[Nomor Tiket]),"")</f>
        <v>AB036/ABSOLDWS</v>
      </c>
      <c r="E5189" s="36" t="str">
        <f t="array" ref="E5189">IFNA(_xlfn.XLOOKUP(D5189,Table_Tarikan_Warkah[Nomor Tiket],Table_Tarikan_Warkah[Tanggal diserahkan kepada Validator]),"")</f>
        <v/>
      </c>
      <c r="F5189" s="36" t="str">
        <f t="array" ref="F5189">IFNA(_xlfn.XLOOKUP(D5189,Table_Tarikan_Warkah[Nomor Tiket],Table_Tarikan_Warkah[Nama Petugas Warkah]),"")</f>
        <v/>
      </c>
      <c r="G5189" s="39" t="str">
        <f t="array" ref="G5189">IFNA(_xlfn.XLOOKUP(D5189,Table_Tarikan_Warkah[Nomor Tiket],Table_Tarikan_Warkah[Jenis Permohonan]),"")</f>
        <v>HIBAH</v>
      </c>
      <c r="H5189" s="70"/>
      <c r="I5189" s="49"/>
      <c r="J5189" s="36" t="str">
        <f t="shared" si="20"/>
        <v/>
      </c>
      <c r="K5189" s="69"/>
      <c r="L5189" s="49"/>
      <c r="M5189" s="36" t="str">
        <f t="shared" si="33"/>
        <v/>
      </c>
      <c r="N5189" s="30" t="str">
        <f t="shared" si="34"/>
        <v>BT atau SU Belum Valid</v>
      </c>
      <c r="O5189" s="39" t="str">
        <f t="shared" si="23"/>
        <v/>
      </c>
      <c r="P5189" s="47" t="b">
        <v>0</v>
      </c>
      <c r="Q5189" s="36" t="str">
        <f t="shared" si="35"/>
        <v/>
      </c>
      <c r="R5189" s="47" t="b">
        <v>0</v>
      </c>
      <c r="S5189" s="42" t="str">
        <f t="shared" si="28"/>
        <v/>
      </c>
      <c r="T5189" s="42"/>
    </row>
    <row r="5190" ht="22.5" customHeight="1">
      <c r="B5190" s="42">
        <f t="shared" si="7"/>
        <v>5184</v>
      </c>
      <c r="C5190" s="31"/>
      <c r="D5190" s="34" t="str">
        <f t="array" ref="D5190">IFNA(_xlfn.XLOOKUP(C5190,Table_Tarikan_Warkah[Nomor Sertipikat],Table_Tarikan_Warkah[Nomor Tiket]),"")</f>
        <v>AB036/ABSOLDWS</v>
      </c>
      <c r="E5190" s="36" t="str">
        <f t="array" ref="E5190">IFNA(_xlfn.XLOOKUP(D5190,Table_Tarikan_Warkah[Nomor Tiket],Table_Tarikan_Warkah[Tanggal diserahkan kepada Validator]),"")</f>
        <v/>
      </c>
      <c r="F5190" s="36" t="str">
        <f t="array" ref="F5190">IFNA(_xlfn.XLOOKUP(D5190,Table_Tarikan_Warkah[Nomor Tiket],Table_Tarikan_Warkah[Nama Petugas Warkah]),"")</f>
        <v/>
      </c>
      <c r="G5190" s="39" t="str">
        <f t="array" ref="G5190">IFNA(_xlfn.XLOOKUP(D5190,Table_Tarikan_Warkah[Nomor Tiket],Table_Tarikan_Warkah[Jenis Permohonan]),"")</f>
        <v>HIBAH</v>
      </c>
      <c r="H5190" s="70"/>
      <c r="I5190" s="49"/>
      <c r="J5190" s="36" t="str">
        <f t="shared" si="20"/>
        <v/>
      </c>
      <c r="K5190" s="69"/>
      <c r="L5190" s="49"/>
      <c r="M5190" s="36" t="str">
        <f t="shared" si="33"/>
        <v/>
      </c>
      <c r="N5190" s="30" t="str">
        <f t="shared" si="34"/>
        <v>BT atau SU Belum Valid</v>
      </c>
      <c r="O5190" s="39" t="str">
        <f t="shared" si="23"/>
        <v/>
      </c>
      <c r="P5190" s="47" t="b">
        <v>0</v>
      </c>
      <c r="Q5190" s="36" t="str">
        <f t="shared" si="35"/>
        <v/>
      </c>
      <c r="R5190" s="47" t="b">
        <v>0</v>
      </c>
      <c r="S5190" s="42" t="str">
        <f t="shared" si="28"/>
        <v/>
      </c>
      <c r="T5190" s="42"/>
    </row>
    <row r="5191" ht="22.5" customHeight="1">
      <c r="B5191" s="42">
        <f t="shared" si="7"/>
        <v>5185</v>
      </c>
      <c r="C5191" s="31"/>
      <c r="D5191" s="34" t="str">
        <f t="array" ref="D5191">IFNA(_xlfn.XLOOKUP(C5191,Table_Tarikan_Warkah[Nomor Sertipikat],Table_Tarikan_Warkah[Nomor Tiket]),"")</f>
        <v>AB036/ABSOLDWS</v>
      </c>
      <c r="E5191" s="36" t="str">
        <f t="array" ref="E5191">IFNA(_xlfn.XLOOKUP(D5191,Table_Tarikan_Warkah[Nomor Tiket],Table_Tarikan_Warkah[Tanggal diserahkan kepada Validator]),"")</f>
        <v/>
      </c>
      <c r="F5191" s="36" t="str">
        <f t="array" ref="F5191">IFNA(_xlfn.XLOOKUP(D5191,Table_Tarikan_Warkah[Nomor Tiket],Table_Tarikan_Warkah[Nama Petugas Warkah]),"")</f>
        <v/>
      </c>
      <c r="G5191" s="39" t="str">
        <f t="array" ref="G5191">IFNA(_xlfn.XLOOKUP(D5191,Table_Tarikan_Warkah[Nomor Tiket],Table_Tarikan_Warkah[Jenis Permohonan]),"")</f>
        <v>HIBAH</v>
      </c>
      <c r="H5191" s="70"/>
      <c r="I5191" s="49"/>
      <c r="J5191" s="36" t="str">
        <f t="shared" si="20"/>
        <v/>
      </c>
      <c r="K5191" s="69"/>
      <c r="L5191" s="49"/>
      <c r="M5191" s="36" t="str">
        <f t="shared" si="33"/>
        <v/>
      </c>
      <c r="N5191" s="30" t="str">
        <f t="shared" si="34"/>
        <v>BT atau SU Belum Valid</v>
      </c>
      <c r="O5191" s="39" t="str">
        <f t="shared" si="23"/>
        <v/>
      </c>
      <c r="P5191" s="47" t="b">
        <v>0</v>
      </c>
      <c r="Q5191" s="36" t="str">
        <f t="shared" si="35"/>
        <v/>
      </c>
      <c r="R5191" s="47" t="b">
        <v>0</v>
      </c>
      <c r="S5191" s="42" t="str">
        <f t="shared" si="28"/>
        <v/>
      </c>
      <c r="T5191" s="42"/>
    </row>
    <row r="5192" ht="22.5" customHeight="1">
      <c r="B5192" s="42">
        <f t="shared" si="7"/>
        <v>5186</v>
      </c>
      <c r="C5192" s="31"/>
      <c r="D5192" s="34" t="str">
        <f t="array" ref="D5192">IFNA(_xlfn.XLOOKUP(C5192,Table_Tarikan_Warkah[Nomor Sertipikat],Table_Tarikan_Warkah[Nomor Tiket]),"")</f>
        <v>AB036/ABSOLDWS</v>
      </c>
      <c r="E5192" s="36" t="str">
        <f t="array" ref="E5192">IFNA(_xlfn.XLOOKUP(D5192,Table_Tarikan_Warkah[Nomor Tiket],Table_Tarikan_Warkah[Tanggal diserahkan kepada Validator]),"")</f>
        <v/>
      </c>
      <c r="F5192" s="36" t="str">
        <f t="array" ref="F5192">IFNA(_xlfn.XLOOKUP(D5192,Table_Tarikan_Warkah[Nomor Tiket],Table_Tarikan_Warkah[Nama Petugas Warkah]),"")</f>
        <v/>
      </c>
      <c r="G5192" s="39" t="str">
        <f t="array" ref="G5192">IFNA(_xlfn.XLOOKUP(D5192,Table_Tarikan_Warkah[Nomor Tiket],Table_Tarikan_Warkah[Jenis Permohonan]),"")</f>
        <v>HIBAH</v>
      </c>
      <c r="H5192" s="70"/>
      <c r="I5192" s="49"/>
      <c r="J5192" s="36" t="str">
        <f t="shared" si="20"/>
        <v/>
      </c>
      <c r="K5192" s="69"/>
      <c r="L5192" s="49"/>
      <c r="M5192" s="36" t="str">
        <f t="shared" si="33"/>
        <v/>
      </c>
      <c r="N5192" s="30" t="str">
        <f t="shared" si="34"/>
        <v>BT atau SU Belum Valid</v>
      </c>
      <c r="O5192" s="39" t="str">
        <f t="shared" si="23"/>
        <v/>
      </c>
      <c r="P5192" s="47" t="b">
        <v>0</v>
      </c>
      <c r="Q5192" s="36" t="str">
        <f t="shared" si="35"/>
        <v/>
      </c>
      <c r="R5192" s="47" t="b">
        <v>0</v>
      </c>
      <c r="S5192" s="42" t="str">
        <f t="shared" si="28"/>
        <v/>
      </c>
      <c r="T5192" s="42"/>
    </row>
    <row r="5193" ht="22.5" customHeight="1">
      <c r="B5193" s="42">
        <f t="shared" si="7"/>
        <v>5187</v>
      </c>
      <c r="C5193" s="31"/>
      <c r="D5193" s="34" t="str">
        <f t="array" ref="D5193">IFNA(_xlfn.XLOOKUP(C5193,Table_Tarikan_Warkah[Nomor Sertipikat],Table_Tarikan_Warkah[Nomor Tiket]),"")</f>
        <v>AB036/ABSOLDWS</v>
      </c>
      <c r="E5193" s="36" t="str">
        <f t="array" ref="E5193">IFNA(_xlfn.XLOOKUP(D5193,Table_Tarikan_Warkah[Nomor Tiket],Table_Tarikan_Warkah[Tanggal diserahkan kepada Validator]),"")</f>
        <v/>
      </c>
      <c r="F5193" s="36" t="str">
        <f t="array" ref="F5193">IFNA(_xlfn.XLOOKUP(D5193,Table_Tarikan_Warkah[Nomor Tiket],Table_Tarikan_Warkah[Nama Petugas Warkah]),"")</f>
        <v/>
      </c>
      <c r="G5193" s="39" t="str">
        <f t="array" ref="G5193">IFNA(_xlfn.XLOOKUP(D5193,Table_Tarikan_Warkah[Nomor Tiket],Table_Tarikan_Warkah[Jenis Permohonan]),"")</f>
        <v>HIBAH</v>
      </c>
      <c r="H5193" s="70"/>
      <c r="I5193" s="49"/>
      <c r="J5193" s="36" t="str">
        <f t="shared" si="20"/>
        <v/>
      </c>
      <c r="K5193" s="69"/>
      <c r="L5193" s="49"/>
      <c r="M5193" s="36" t="str">
        <f t="shared" si="33"/>
        <v/>
      </c>
      <c r="N5193" s="30" t="str">
        <f t="shared" si="34"/>
        <v>BT atau SU Belum Valid</v>
      </c>
      <c r="O5193" s="39" t="str">
        <f t="shared" si="23"/>
        <v/>
      </c>
      <c r="P5193" s="47" t="b">
        <v>0</v>
      </c>
      <c r="Q5193" s="36" t="str">
        <f t="shared" si="35"/>
        <v/>
      </c>
      <c r="R5193" s="47" t="b">
        <v>0</v>
      </c>
      <c r="S5193" s="42" t="str">
        <f t="shared" si="28"/>
        <v/>
      </c>
      <c r="T5193" s="42"/>
    </row>
    <row r="5194" ht="22.5" customHeight="1">
      <c r="B5194" s="42">
        <f t="shared" si="7"/>
        <v>5188</v>
      </c>
      <c r="C5194" s="31"/>
      <c r="D5194" s="34" t="str">
        <f t="array" ref="D5194">IFNA(_xlfn.XLOOKUP(C5194,Table_Tarikan_Warkah[Nomor Sertipikat],Table_Tarikan_Warkah[Nomor Tiket]),"")</f>
        <v>AB036/ABSOLDWS</v>
      </c>
      <c r="E5194" s="36" t="str">
        <f t="array" ref="E5194">IFNA(_xlfn.XLOOKUP(D5194,Table_Tarikan_Warkah[Nomor Tiket],Table_Tarikan_Warkah[Tanggal diserahkan kepada Validator]),"")</f>
        <v/>
      </c>
      <c r="F5194" s="36" t="str">
        <f t="array" ref="F5194">IFNA(_xlfn.XLOOKUP(D5194,Table_Tarikan_Warkah[Nomor Tiket],Table_Tarikan_Warkah[Nama Petugas Warkah]),"")</f>
        <v/>
      </c>
      <c r="G5194" s="39" t="str">
        <f t="array" ref="G5194">IFNA(_xlfn.XLOOKUP(D5194,Table_Tarikan_Warkah[Nomor Tiket],Table_Tarikan_Warkah[Jenis Permohonan]),"")</f>
        <v>HIBAH</v>
      </c>
      <c r="H5194" s="70"/>
      <c r="I5194" s="49"/>
      <c r="J5194" s="36" t="str">
        <f t="shared" si="20"/>
        <v/>
      </c>
      <c r="K5194" s="69"/>
      <c r="L5194" s="49"/>
      <c r="M5194" s="36" t="str">
        <f t="shared" si="33"/>
        <v/>
      </c>
      <c r="N5194" s="30" t="str">
        <f t="shared" si="34"/>
        <v>BT atau SU Belum Valid</v>
      </c>
      <c r="O5194" s="39" t="str">
        <f t="shared" si="23"/>
        <v/>
      </c>
      <c r="P5194" s="47" t="b">
        <v>0</v>
      </c>
      <c r="Q5194" s="36" t="str">
        <f t="shared" si="35"/>
        <v/>
      </c>
      <c r="R5194" s="47" t="b">
        <v>0</v>
      </c>
      <c r="S5194" s="42" t="str">
        <f t="shared" si="28"/>
        <v/>
      </c>
      <c r="T5194" s="42"/>
    </row>
    <row r="5195" ht="22.5" customHeight="1">
      <c r="B5195" s="42">
        <f t="shared" si="7"/>
        <v>5189</v>
      </c>
      <c r="C5195" s="31"/>
      <c r="D5195" s="34" t="str">
        <f t="array" ref="D5195">IFNA(_xlfn.XLOOKUP(C5195,Table_Tarikan_Warkah[Nomor Sertipikat],Table_Tarikan_Warkah[Nomor Tiket]),"")</f>
        <v>AB036/ABSOLDWS</v>
      </c>
      <c r="E5195" s="36" t="str">
        <f t="array" ref="E5195">IFNA(_xlfn.XLOOKUP(D5195,Table_Tarikan_Warkah[Nomor Tiket],Table_Tarikan_Warkah[Tanggal diserahkan kepada Validator]),"")</f>
        <v/>
      </c>
      <c r="F5195" s="36" t="str">
        <f t="array" ref="F5195">IFNA(_xlfn.XLOOKUP(D5195,Table_Tarikan_Warkah[Nomor Tiket],Table_Tarikan_Warkah[Nama Petugas Warkah]),"")</f>
        <v/>
      </c>
      <c r="G5195" s="39" t="str">
        <f t="array" ref="G5195">IFNA(_xlfn.XLOOKUP(D5195,Table_Tarikan_Warkah[Nomor Tiket],Table_Tarikan_Warkah[Jenis Permohonan]),"")</f>
        <v>HIBAH</v>
      </c>
      <c r="H5195" s="70"/>
      <c r="I5195" s="49"/>
      <c r="J5195" s="36" t="str">
        <f t="shared" si="20"/>
        <v/>
      </c>
      <c r="K5195" s="69"/>
      <c r="L5195" s="49"/>
      <c r="M5195" s="36" t="str">
        <f t="shared" si="33"/>
        <v/>
      </c>
      <c r="N5195" s="30" t="str">
        <f t="shared" si="34"/>
        <v>BT atau SU Belum Valid</v>
      </c>
      <c r="O5195" s="39" t="str">
        <f t="shared" si="23"/>
        <v/>
      </c>
      <c r="P5195" s="47" t="b">
        <v>0</v>
      </c>
      <c r="Q5195" s="36" t="str">
        <f t="shared" si="35"/>
        <v/>
      </c>
      <c r="R5195" s="47" t="b">
        <v>0</v>
      </c>
      <c r="S5195" s="42" t="str">
        <f t="shared" si="28"/>
        <v/>
      </c>
      <c r="T5195" s="42"/>
    </row>
    <row r="5196" ht="22.5" customHeight="1">
      <c r="B5196" s="42">
        <f t="shared" si="7"/>
        <v>5190</v>
      </c>
      <c r="C5196" s="31"/>
      <c r="D5196" s="34" t="str">
        <f t="array" ref="D5196">IFNA(_xlfn.XLOOKUP(C5196,Table_Tarikan_Warkah[Nomor Sertipikat],Table_Tarikan_Warkah[Nomor Tiket]),"")</f>
        <v>AB036/ABSOLDWS</v>
      </c>
      <c r="E5196" s="36" t="str">
        <f t="array" ref="E5196">IFNA(_xlfn.XLOOKUP(D5196,Table_Tarikan_Warkah[Nomor Tiket],Table_Tarikan_Warkah[Tanggal diserahkan kepada Validator]),"")</f>
        <v/>
      </c>
      <c r="F5196" s="36" t="str">
        <f t="array" ref="F5196">IFNA(_xlfn.XLOOKUP(D5196,Table_Tarikan_Warkah[Nomor Tiket],Table_Tarikan_Warkah[Nama Petugas Warkah]),"")</f>
        <v/>
      </c>
      <c r="G5196" s="39" t="str">
        <f t="array" ref="G5196">IFNA(_xlfn.XLOOKUP(D5196,Table_Tarikan_Warkah[Nomor Tiket],Table_Tarikan_Warkah[Jenis Permohonan]),"")</f>
        <v>HIBAH</v>
      </c>
      <c r="H5196" s="70"/>
      <c r="I5196" s="49"/>
      <c r="J5196" s="36" t="str">
        <f t="shared" si="20"/>
        <v/>
      </c>
      <c r="K5196" s="69"/>
      <c r="L5196" s="49"/>
      <c r="M5196" s="36" t="str">
        <f t="shared" si="33"/>
        <v/>
      </c>
      <c r="N5196" s="30" t="str">
        <f t="shared" si="34"/>
        <v>BT atau SU Belum Valid</v>
      </c>
      <c r="O5196" s="39" t="str">
        <f t="shared" si="23"/>
        <v/>
      </c>
      <c r="P5196" s="47" t="b">
        <v>0</v>
      </c>
      <c r="Q5196" s="36" t="str">
        <f t="shared" si="35"/>
        <v/>
      </c>
      <c r="R5196" s="47" t="b">
        <v>0</v>
      </c>
      <c r="S5196" s="42" t="str">
        <f t="shared" si="28"/>
        <v/>
      </c>
      <c r="T5196" s="42"/>
    </row>
    <row r="5197" ht="22.5" customHeight="1">
      <c r="B5197" s="42">
        <f t="shared" si="7"/>
        <v>5191</v>
      </c>
      <c r="C5197" s="31"/>
      <c r="D5197" s="34" t="str">
        <f t="array" ref="D5197">IFNA(_xlfn.XLOOKUP(C5197,Table_Tarikan_Warkah[Nomor Sertipikat],Table_Tarikan_Warkah[Nomor Tiket]),"")</f>
        <v>AB036/ABSOLDWS</v>
      </c>
      <c r="E5197" s="36" t="str">
        <f t="array" ref="E5197">IFNA(_xlfn.XLOOKUP(D5197,Table_Tarikan_Warkah[Nomor Tiket],Table_Tarikan_Warkah[Tanggal diserahkan kepada Validator]),"")</f>
        <v/>
      </c>
      <c r="F5197" s="36" t="str">
        <f t="array" ref="F5197">IFNA(_xlfn.XLOOKUP(D5197,Table_Tarikan_Warkah[Nomor Tiket],Table_Tarikan_Warkah[Nama Petugas Warkah]),"")</f>
        <v/>
      </c>
      <c r="G5197" s="39" t="str">
        <f t="array" ref="G5197">IFNA(_xlfn.XLOOKUP(D5197,Table_Tarikan_Warkah[Nomor Tiket],Table_Tarikan_Warkah[Jenis Permohonan]),"")</f>
        <v>HIBAH</v>
      </c>
      <c r="H5197" s="70"/>
      <c r="I5197" s="49"/>
      <c r="J5197" s="36" t="str">
        <f t="shared" si="20"/>
        <v/>
      </c>
      <c r="K5197" s="69"/>
      <c r="L5197" s="49"/>
      <c r="M5197" s="36" t="str">
        <f t="shared" si="33"/>
        <v/>
      </c>
      <c r="N5197" s="30" t="str">
        <f t="shared" si="34"/>
        <v>BT atau SU Belum Valid</v>
      </c>
      <c r="O5197" s="39" t="str">
        <f t="shared" si="23"/>
        <v/>
      </c>
      <c r="P5197" s="47" t="b">
        <v>0</v>
      </c>
      <c r="Q5197" s="36" t="str">
        <f t="shared" si="35"/>
        <v/>
      </c>
      <c r="R5197" s="47" t="b">
        <v>0</v>
      </c>
      <c r="S5197" s="42" t="str">
        <f t="shared" si="28"/>
        <v/>
      </c>
      <c r="T5197" s="42"/>
    </row>
    <row r="5198" ht="22.5" customHeight="1">
      <c r="B5198" s="42">
        <f t="shared" si="7"/>
        <v>5192</v>
      </c>
      <c r="C5198" s="31"/>
      <c r="D5198" s="34" t="str">
        <f t="array" ref="D5198">IFNA(_xlfn.XLOOKUP(C5198,Table_Tarikan_Warkah[Nomor Sertipikat],Table_Tarikan_Warkah[Nomor Tiket]),"")</f>
        <v>AB036/ABSOLDWS</v>
      </c>
      <c r="E5198" s="36" t="str">
        <f t="array" ref="E5198">IFNA(_xlfn.XLOOKUP(D5198,Table_Tarikan_Warkah[Nomor Tiket],Table_Tarikan_Warkah[Tanggal diserahkan kepada Validator]),"")</f>
        <v/>
      </c>
      <c r="F5198" s="36" t="str">
        <f t="array" ref="F5198">IFNA(_xlfn.XLOOKUP(D5198,Table_Tarikan_Warkah[Nomor Tiket],Table_Tarikan_Warkah[Nama Petugas Warkah]),"")</f>
        <v/>
      </c>
      <c r="G5198" s="39" t="str">
        <f t="array" ref="G5198">IFNA(_xlfn.XLOOKUP(D5198,Table_Tarikan_Warkah[Nomor Tiket],Table_Tarikan_Warkah[Jenis Permohonan]),"")</f>
        <v>HIBAH</v>
      </c>
      <c r="H5198" s="70"/>
      <c r="I5198" s="49"/>
      <c r="J5198" s="36" t="str">
        <f t="shared" si="20"/>
        <v/>
      </c>
      <c r="K5198" s="69"/>
      <c r="L5198" s="49"/>
      <c r="M5198" s="36" t="str">
        <f t="shared" si="33"/>
        <v/>
      </c>
      <c r="N5198" s="30" t="str">
        <f t="shared" si="34"/>
        <v>BT atau SU Belum Valid</v>
      </c>
      <c r="O5198" s="39" t="str">
        <f t="shared" si="23"/>
        <v/>
      </c>
      <c r="P5198" s="47" t="b">
        <v>0</v>
      </c>
      <c r="Q5198" s="36" t="str">
        <f t="shared" si="35"/>
        <v/>
      </c>
      <c r="R5198" s="47" t="b">
        <v>0</v>
      </c>
      <c r="S5198" s="42" t="str">
        <f t="shared" si="28"/>
        <v/>
      </c>
      <c r="T5198" s="42"/>
    </row>
    <row r="5199" ht="22.5" customHeight="1">
      <c r="B5199" s="42">
        <f t="shared" si="7"/>
        <v>5193</v>
      </c>
      <c r="C5199" s="31"/>
      <c r="D5199" s="34" t="str">
        <f t="array" ref="D5199">IFNA(_xlfn.XLOOKUP(C5199,Table_Tarikan_Warkah[Nomor Sertipikat],Table_Tarikan_Warkah[Nomor Tiket]),"")</f>
        <v>AB036/ABSOLDWS</v>
      </c>
      <c r="E5199" s="36" t="str">
        <f t="array" ref="E5199">IFNA(_xlfn.XLOOKUP(D5199,Table_Tarikan_Warkah[Nomor Tiket],Table_Tarikan_Warkah[Tanggal diserahkan kepada Validator]),"")</f>
        <v/>
      </c>
      <c r="F5199" s="36" t="str">
        <f t="array" ref="F5199">IFNA(_xlfn.XLOOKUP(D5199,Table_Tarikan_Warkah[Nomor Tiket],Table_Tarikan_Warkah[Nama Petugas Warkah]),"")</f>
        <v/>
      </c>
      <c r="G5199" s="39" t="str">
        <f t="array" ref="G5199">IFNA(_xlfn.XLOOKUP(D5199,Table_Tarikan_Warkah[Nomor Tiket],Table_Tarikan_Warkah[Jenis Permohonan]),"")</f>
        <v>HIBAH</v>
      </c>
      <c r="H5199" s="70"/>
      <c r="I5199" s="49"/>
      <c r="J5199" s="36" t="str">
        <f t="shared" si="20"/>
        <v/>
      </c>
      <c r="K5199" s="69"/>
      <c r="L5199" s="49"/>
      <c r="M5199" s="36" t="str">
        <f t="shared" si="33"/>
        <v/>
      </c>
      <c r="N5199" s="30" t="str">
        <f t="shared" si="34"/>
        <v>BT atau SU Belum Valid</v>
      </c>
      <c r="O5199" s="39" t="str">
        <f t="shared" si="23"/>
        <v/>
      </c>
      <c r="P5199" s="47" t="b">
        <v>0</v>
      </c>
      <c r="Q5199" s="36" t="str">
        <f t="shared" si="35"/>
        <v/>
      </c>
      <c r="R5199" s="47" t="b">
        <v>0</v>
      </c>
      <c r="S5199" s="42" t="str">
        <f t="shared" si="28"/>
        <v/>
      </c>
      <c r="T5199" s="42"/>
    </row>
    <row r="5200" ht="22.5" customHeight="1">
      <c r="B5200" s="42">
        <f t="shared" si="7"/>
        <v>5194</v>
      </c>
      <c r="C5200" s="31"/>
      <c r="D5200" s="34" t="str">
        <f t="array" ref="D5200">IFNA(_xlfn.XLOOKUP(C5200,Table_Tarikan_Warkah[Nomor Sertipikat],Table_Tarikan_Warkah[Nomor Tiket]),"")</f>
        <v>AB036/ABSOLDWS</v>
      </c>
      <c r="E5200" s="36" t="str">
        <f t="array" ref="E5200">IFNA(_xlfn.XLOOKUP(D5200,Table_Tarikan_Warkah[Nomor Tiket],Table_Tarikan_Warkah[Tanggal diserahkan kepada Validator]),"")</f>
        <v/>
      </c>
      <c r="F5200" s="36" t="str">
        <f t="array" ref="F5200">IFNA(_xlfn.XLOOKUP(D5200,Table_Tarikan_Warkah[Nomor Tiket],Table_Tarikan_Warkah[Nama Petugas Warkah]),"")</f>
        <v/>
      </c>
      <c r="G5200" s="39" t="str">
        <f t="array" ref="G5200">IFNA(_xlfn.XLOOKUP(D5200,Table_Tarikan_Warkah[Nomor Tiket],Table_Tarikan_Warkah[Jenis Permohonan]),"")</f>
        <v>HIBAH</v>
      </c>
      <c r="H5200" s="70"/>
      <c r="I5200" s="49"/>
      <c r="J5200" s="36" t="str">
        <f t="shared" si="20"/>
        <v/>
      </c>
      <c r="K5200" s="69"/>
      <c r="L5200" s="49"/>
      <c r="M5200" s="36" t="str">
        <f t="shared" si="33"/>
        <v/>
      </c>
      <c r="N5200" s="30" t="str">
        <f t="shared" si="34"/>
        <v>BT atau SU Belum Valid</v>
      </c>
      <c r="O5200" s="39" t="str">
        <f t="shared" si="23"/>
        <v/>
      </c>
      <c r="P5200" s="47" t="b">
        <v>0</v>
      </c>
      <c r="Q5200" s="36" t="str">
        <f t="shared" si="35"/>
        <v/>
      </c>
      <c r="R5200" s="47" t="b">
        <v>0</v>
      </c>
      <c r="S5200" s="42" t="str">
        <f t="shared" si="28"/>
        <v/>
      </c>
      <c r="T5200" s="42"/>
    </row>
    <row r="5201" ht="22.5" customHeight="1">
      <c r="B5201" s="42">
        <f t="shared" si="7"/>
        <v>5195</v>
      </c>
      <c r="C5201" s="31"/>
      <c r="D5201" s="34" t="str">
        <f t="array" ref="D5201">IFNA(_xlfn.XLOOKUP(C5201,Table_Tarikan_Warkah[Nomor Sertipikat],Table_Tarikan_Warkah[Nomor Tiket]),"")</f>
        <v>AB036/ABSOLDWS</v>
      </c>
      <c r="E5201" s="36" t="str">
        <f t="array" ref="E5201">IFNA(_xlfn.XLOOKUP(D5201,Table_Tarikan_Warkah[Nomor Tiket],Table_Tarikan_Warkah[Tanggal diserahkan kepada Validator]),"")</f>
        <v/>
      </c>
      <c r="F5201" s="36" t="str">
        <f t="array" ref="F5201">IFNA(_xlfn.XLOOKUP(D5201,Table_Tarikan_Warkah[Nomor Tiket],Table_Tarikan_Warkah[Nama Petugas Warkah]),"")</f>
        <v/>
      </c>
      <c r="G5201" s="39" t="str">
        <f t="array" ref="G5201">IFNA(_xlfn.XLOOKUP(D5201,Table_Tarikan_Warkah[Nomor Tiket],Table_Tarikan_Warkah[Jenis Permohonan]),"")</f>
        <v>HIBAH</v>
      </c>
      <c r="H5201" s="70"/>
      <c r="I5201" s="49"/>
      <c r="J5201" s="36" t="str">
        <f t="shared" si="20"/>
        <v/>
      </c>
      <c r="K5201" s="69"/>
      <c r="L5201" s="49"/>
      <c r="M5201" s="36" t="str">
        <f t="shared" si="33"/>
        <v/>
      </c>
      <c r="N5201" s="30" t="str">
        <f t="shared" si="34"/>
        <v>BT atau SU Belum Valid</v>
      </c>
      <c r="O5201" s="39" t="str">
        <f t="shared" si="23"/>
        <v/>
      </c>
      <c r="P5201" s="47" t="b">
        <v>0</v>
      </c>
      <c r="Q5201" s="36" t="str">
        <f t="shared" si="35"/>
        <v/>
      </c>
      <c r="R5201" s="47" t="b">
        <v>0</v>
      </c>
      <c r="S5201" s="42" t="str">
        <f t="shared" si="28"/>
        <v/>
      </c>
      <c r="T5201" s="42"/>
    </row>
    <row r="5202" ht="22.5" customHeight="1">
      <c r="B5202" s="42">
        <f t="shared" si="7"/>
        <v>5196</v>
      </c>
      <c r="C5202" s="31"/>
      <c r="D5202" s="34" t="str">
        <f t="array" ref="D5202">IFNA(_xlfn.XLOOKUP(C5202,Table_Tarikan_Warkah[Nomor Sertipikat],Table_Tarikan_Warkah[Nomor Tiket]),"")</f>
        <v>AB036/ABSOLDWS</v>
      </c>
      <c r="E5202" s="36" t="str">
        <f t="array" ref="E5202">IFNA(_xlfn.XLOOKUP(D5202,Table_Tarikan_Warkah[Nomor Tiket],Table_Tarikan_Warkah[Tanggal diserahkan kepada Validator]),"")</f>
        <v/>
      </c>
      <c r="F5202" s="36" t="str">
        <f t="array" ref="F5202">IFNA(_xlfn.XLOOKUP(D5202,Table_Tarikan_Warkah[Nomor Tiket],Table_Tarikan_Warkah[Nama Petugas Warkah]),"")</f>
        <v/>
      </c>
      <c r="G5202" s="39" t="str">
        <f t="array" ref="G5202">IFNA(_xlfn.XLOOKUP(D5202,Table_Tarikan_Warkah[Nomor Tiket],Table_Tarikan_Warkah[Jenis Permohonan]),"")</f>
        <v>HIBAH</v>
      </c>
      <c r="H5202" s="70"/>
      <c r="I5202" s="49"/>
      <c r="J5202" s="36" t="str">
        <f t="shared" si="20"/>
        <v/>
      </c>
      <c r="K5202" s="69"/>
      <c r="L5202" s="49"/>
      <c r="M5202" s="36" t="str">
        <f t="shared" si="33"/>
        <v/>
      </c>
      <c r="N5202" s="30" t="str">
        <f t="shared" si="34"/>
        <v>BT atau SU Belum Valid</v>
      </c>
      <c r="O5202" s="39" t="str">
        <f t="shared" si="23"/>
        <v/>
      </c>
      <c r="P5202" s="47" t="b">
        <v>0</v>
      </c>
      <c r="Q5202" s="36" t="str">
        <f t="shared" si="35"/>
        <v/>
      </c>
      <c r="R5202" s="47" t="b">
        <v>0</v>
      </c>
      <c r="S5202" s="42" t="str">
        <f t="shared" si="28"/>
        <v/>
      </c>
      <c r="T5202" s="42"/>
    </row>
    <row r="5203" ht="22.5" customHeight="1">
      <c r="B5203" s="42">
        <f t="shared" si="7"/>
        <v>5197</v>
      </c>
      <c r="C5203" s="31"/>
      <c r="D5203" s="34" t="str">
        <f t="array" ref="D5203">IFNA(_xlfn.XLOOKUP(C5203,Table_Tarikan_Warkah[Nomor Sertipikat],Table_Tarikan_Warkah[Nomor Tiket]),"")</f>
        <v>AB036/ABSOLDWS</v>
      </c>
      <c r="E5203" s="36" t="str">
        <f t="array" ref="E5203">IFNA(_xlfn.XLOOKUP(D5203,Table_Tarikan_Warkah[Nomor Tiket],Table_Tarikan_Warkah[Tanggal diserahkan kepada Validator]),"")</f>
        <v/>
      </c>
      <c r="F5203" s="36" t="str">
        <f t="array" ref="F5203">IFNA(_xlfn.XLOOKUP(D5203,Table_Tarikan_Warkah[Nomor Tiket],Table_Tarikan_Warkah[Nama Petugas Warkah]),"")</f>
        <v/>
      </c>
      <c r="G5203" s="39" t="str">
        <f t="array" ref="G5203">IFNA(_xlfn.XLOOKUP(D5203,Table_Tarikan_Warkah[Nomor Tiket],Table_Tarikan_Warkah[Jenis Permohonan]),"")</f>
        <v>HIBAH</v>
      </c>
      <c r="H5203" s="70"/>
      <c r="I5203" s="49"/>
      <c r="J5203" s="36" t="str">
        <f t="shared" si="20"/>
        <v/>
      </c>
      <c r="K5203" s="69"/>
      <c r="L5203" s="49"/>
      <c r="M5203" s="36" t="str">
        <f t="shared" si="33"/>
        <v/>
      </c>
      <c r="N5203" s="30" t="str">
        <f t="shared" si="34"/>
        <v>BT atau SU Belum Valid</v>
      </c>
      <c r="O5203" s="39" t="str">
        <f t="shared" si="23"/>
        <v/>
      </c>
      <c r="P5203" s="47" t="b">
        <v>0</v>
      </c>
      <c r="Q5203" s="36" t="str">
        <f t="shared" si="35"/>
        <v/>
      </c>
      <c r="R5203" s="47" t="b">
        <v>0</v>
      </c>
      <c r="S5203" s="42" t="str">
        <f t="shared" si="28"/>
        <v/>
      </c>
      <c r="T5203" s="42"/>
    </row>
    <row r="5204" ht="22.5" customHeight="1">
      <c r="B5204" s="42">
        <f t="shared" si="7"/>
        <v>5198</v>
      </c>
      <c r="C5204" s="31"/>
      <c r="D5204" s="34" t="str">
        <f t="array" ref="D5204">IFNA(_xlfn.XLOOKUP(C5204,Table_Tarikan_Warkah[Nomor Sertipikat],Table_Tarikan_Warkah[Nomor Tiket]),"")</f>
        <v>AB036/ABSOLDWS</v>
      </c>
      <c r="E5204" s="36" t="str">
        <f t="array" ref="E5204">IFNA(_xlfn.XLOOKUP(D5204,Table_Tarikan_Warkah[Nomor Tiket],Table_Tarikan_Warkah[Tanggal diserahkan kepada Validator]),"")</f>
        <v/>
      </c>
      <c r="F5204" s="36" t="str">
        <f t="array" ref="F5204">IFNA(_xlfn.XLOOKUP(D5204,Table_Tarikan_Warkah[Nomor Tiket],Table_Tarikan_Warkah[Nama Petugas Warkah]),"")</f>
        <v/>
      </c>
      <c r="G5204" s="39" t="str">
        <f t="array" ref="G5204">IFNA(_xlfn.XLOOKUP(D5204,Table_Tarikan_Warkah[Nomor Tiket],Table_Tarikan_Warkah[Jenis Permohonan]),"")</f>
        <v>HIBAH</v>
      </c>
      <c r="H5204" s="70"/>
      <c r="I5204" s="49"/>
      <c r="J5204" s="36" t="str">
        <f t="shared" si="20"/>
        <v/>
      </c>
      <c r="K5204" s="69"/>
      <c r="L5204" s="49"/>
      <c r="M5204" s="36" t="str">
        <f t="shared" si="33"/>
        <v/>
      </c>
      <c r="N5204" s="30" t="str">
        <f t="shared" si="34"/>
        <v>BT atau SU Belum Valid</v>
      </c>
      <c r="O5204" s="39" t="str">
        <f t="shared" si="23"/>
        <v/>
      </c>
      <c r="P5204" s="47" t="b">
        <v>0</v>
      </c>
      <c r="Q5204" s="36" t="str">
        <f t="shared" si="35"/>
        <v/>
      </c>
      <c r="R5204" s="47" t="b">
        <v>0</v>
      </c>
      <c r="S5204" s="42" t="str">
        <f t="shared" si="28"/>
        <v/>
      </c>
      <c r="T5204" s="42"/>
    </row>
    <row r="5205" ht="22.5" customHeight="1">
      <c r="B5205" s="42">
        <f t="shared" si="7"/>
        <v>5199</v>
      </c>
      <c r="C5205" s="31"/>
      <c r="D5205" s="34" t="str">
        <f t="array" ref="D5205">IFNA(_xlfn.XLOOKUP(C5205,Table_Tarikan_Warkah[Nomor Sertipikat],Table_Tarikan_Warkah[Nomor Tiket]),"")</f>
        <v>AB036/ABSOLDWS</v>
      </c>
      <c r="E5205" s="36" t="str">
        <f t="array" ref="E5205">IFNA(_xlfn.XLOOKUP(D5205,Table_Tarikan_Warkah[Nomor Tiket],Table_Tarikan_Warkah[Tanggal diserahkan kepada Validator]),"")</f>
        <v/>
      </c>
      <c r="F5205" s="36" t="str">
        <f t="array" ref="F5205">IFNA(_xlfn.XLOOKUP(D5205,Table_Tarikan_Warkah[Nomor Tiket],Table_Tarikan_Warkah[Nama Petugas Warkah]),"")</f>
        <v/>
      </c>
      <c r="G5205" s="39" t="str">
        <f t="array" ref="G5205">IFNA(_xlfn.XLOOKUP(D5205,Table_Tarikan_Warkah[Nomor Tiket],Table_Tarikan_Warkah[Jenis Permohonan]),"")</f>
        <v>HIBAH</v>
      </c>
      <c r="H5205" s="70"/>
      <c r="I5205" s="49"/>
      <c r="J5205" s="36" t="str">
        <f t="shared" si="20"/>
        <v/>
      </c>
      <c r="K5205" s="69"/>
      <c r="L5205" s="49"/>
      <c r="M5205" s="36" t="str">
        <f t="shared" si="33"/>
        <v/>
      </c>
      <c r="N5205" s="30" t="str">
        <f t="shared" si="34"/>
        <v>BT atau SU Belum Valid</v>
      </c>
      <c r="O5205" s="39" t="str">
        <f t="shared" si="23"/>
        <v/>
      </c>
      <c r="P5205" s="47" t="b">
        <v>0</v>
      </c>
      <c r="Q5205" s="36" t="str">
        <f t="shared" si="35"/>
        <v/>
      </c>
      <c r="R5205" s="47" t="b">
        <v>0</v>
      </c>
      <c r="S5205" s="42" t="str">
        <f t="shared" si="28"/>
        <v/>
      </c>
      <c r="T5205" s="42"/>
    </row>
    <row r="5206" ht="22.5" customHeight="1">
      <c r="B5206" s="42">
        <f t="shared" si="7"/>
        <v>5200</v>
      </c>
      <c r="C5206" s="31"/>
      <c r="D5206" s="34" t="str">
        <f t="array" ref="D5206">IFNA(_xlfn.XLOOKUP(C5206,Table_Tarikan_Warkah[Nomor Sertipikat],Table_Tarikan_Warkah[Nomor Tiket]),"")</f>
        <v>AB036/ABSOLDWS</v>
      </c>
      <c r="E5206" s="36" t="str">
        <f t="array" ref="E5206">IFNA(_xlfn.XLOOKUP(D5206,Table_Tarikan_Warkah[Nomor Tiket],Table_Tarikan_Warkah[Tanggal diserahkan kepada Validator]),"")</f>
        <v/>
      </c>
      <c r="F5206" s="36" t="str">
        <f t="array" ref="F5206">IFNA(_xlfn.XLOOKUP(D5206,Table_Tarikan_Warkah[Nomor Tiket],Table_Tarikan_Warkah[Nama Petugas Warkah]),"")</f>
        <v/>
      </c>
      <c r="G5206" s="39" t="str">
        <f t="array" ref="G5206">IFNA(_xlfn.XLOOKUP(D5206,Table_Tarikan_Warkah[Nomor Tiket],Table_Tarikan_Warkah[Jenis Permohonan]),"")</f>
        <v>HIBAH</v>
      </c>
      <c r="H5206" s="70"/>
      <c r="I5206" s="49"/>
      <c r="J5206" s="36" t="str">
        <f t="shared" si="20"/>
        <v/>
      </c>
      <c r="K5206" s="69"/>
      <c r="L5206" s="49"/>
      <c r="M5206" s="36" t="str">
        <f t="shared" si="33"/>
        <v/>
      </c>
      <c r="N5206" s="30" t="str">
        <f t="shared" si="34"/>
        <v>BT atau SU Belum Valid</v>
      </c>
      <c r="O5206" s="39" t="str">
        <f t="shared" si="23"/>
        <v/>
      </c>
      <c r="P5206" s="47" t="b">
        <v>0</v>
      </c>
      <c r="Q5206" s="36" t="str">
        <f t="shared" si="35"/>
        <v/>
      </c>
      <c r="R5206" s="47" t="b">
        <v>0</v>
      </c>
      <c r="S5206" s="42" t="str">
        <f t="shared" si="28"/>
        <v/>
      </c>
      <c r="T5206" s="42"/>
    </row>
    <row r="5207" ht="22.5" customHeight="1">
      <c r="B5207" s="42">
        <f t="shared" si="7"/>
        <v>5201</v>
      </c>
      <c r="C5207" s="31"/>
      <c r="D5207" s="34" t="str">
        <f t="array" ref="D5207">IFNA(_xlfn.XLOOKUP(C5207,Table_Tarikan_Warkah[Nomor Sertipikat],Table_Tarikan_Warkah[Nomor Tiket]),"")</f>
        <v>AB036/ABSOLDWS</v>
      </c>
      <c r="E5207" s="36" t="str">
        <f t="array" ref="E5207">IFNA(_xlfn.XLOOKUP(D5207,Table_Tarikan_Warkah[Nomor Tiket],Table_Tarikan_Warkah[Tanggal diserahkan kepada Validator]),"")</f>
        <v/>
      </c>
      <c r="F5207" s="36" t="str">
        <f t="array" ref="F5207">IFNA(_xlfn.XLOOKUP(D5207,Table_Tarikan_Warkah[Nomor Tiket],Table_Tarikan_Warkah[Nama Petugas Warkah]),"")</f>
        <v/>
      </c>
      <c r="G5207" s="39" t="str">
        <f t="array" ref="G5207">IFNA(_xlfn.XLOOKUP(D5207,Table_Tarikan_Warkah[Nomor Tiket],Table_Tarikan_Warkah[Jenis Permohonan]),"")</f>
        <v>HIBAH</v>
      </c>
      <c r="H5207" s="70"/>
      <c r="I5207" s="49"/>
      <c r="J5207" s="36" t="str">
        <f t="shared" si="20"/>
        <v/>
      </c>
      <c r="K5207" s="69"/>
      <c r="L5207" s="49"/>
      <c r="M5207" s="36" t="str">
        <f t="shared" si="33"/>
        <v/>
      </c>
      <c r="N5207" s="30" t="str">
        <f t="shared" si="34"/>
        <v>BT atau SU Belum Valid</v>
      </c>
      <c r="O5207" s="39" t="str">
        <f t="shared" si="23"/>
        <v/>
      </c>
      <c r="P5207" s="47" t="b">
        <v>0</v>
      </c>
      <c r="Q5207" s="36" t="str">
        <f t="shared" si="35"/>
        <v/>
      </c>
      <c r="R5207" s="47" t="b">
        <v>0</v>
      </c>
      <c r="S5207" s="42" t="str">
        <f t="shared" si="28"/>
        <v/>
      </c>
      <c r="T5207" s="42"/>
    </row>
    <row r="5208" ht="22.5" customHeight="1">
      <c r="B5208" s="42">
        <f t="shared" si="7"/>
        <v>5202</v>
      </c>
      <c r="C5208" s="31"/>
      <c r="D5208" s="34" t="str">
        <f t="array" ref="D5208">IFNA(_xlfn.XLOOKUP(C5208,Table_Tarikan_Warkah[Nomor Sertipikat],Table_Tarikan_Warkah[Nomor Tiket]),"")</f>
        <v>AB036/ABSOLDWS</v>
      </c>
      <c r="E5208" s="36" t="str">
        <f t="array" ref="E5208">IFNA(_xlfn.XLOOKUP(D5208,Table_Tarikan_Warkah[Nomor Tiket],Table_Tarikan_Warkah[Tanggal diserahkan kepada Validator]),"")</f>
        <v/>
      </c>
      <c r="F5208" s="36" t="str">
        <f t="array" ref="F5208">IFNA(_xlfn.XLOOKUP(D5208,Table_Tarikan_Warkah[Nomor Tiket],Table_Tarikan_Warkah[Nama Petugas Warkah]),"")</f>
        <v/>
      </c>
      <c r="G5208" s="39" t="str">
        <f t="array" ref="G5208">IFNA(_xlfn.XLOOKUP(D5208,Table_Tarikan_Warkah[Nomor Tiket],Table_Tarikan_Warkah[Jenis Permohonan]),"")</f>
        <v>HIBAH</v>
      </c>
      <c r="H5208" s="70"/>
      <c r="I5208" s="49"/>
      <c r="J5208" s="36" t="str">
        <f t="shared" si="20"/>
        <v/>
      </c>
      <c r="K5208" s="69"/>
      <c r="L5208" s="49"/>
      <c r="M5208" s="36" t="str">
        <f t="shared" si="33"/>
        <v/>
      </c>
      <c r="N5208" s="30" t="str">
        <f t="shared" si="34"/>
        <v>BT atau SU Belum Valid</v>
      </c>
      <c r="O5208" s="39" t="str">
        <f t="shared" si="23"/>
        <v/>
      </c>
      <c r="P5208" s="47" t="b">
        <v>0</v>
      </c>
      <c r="Q5208" s="36" t="str">
        <f t="shared" si="35"/>
        <v/>
      </c>
      <c r="R5208" s="47" t="b">
        <v>0</v>
      </c>
      <c r="S5208" s="42" t="str">
        <f t="shared" si="28"/>
        <v/>
      </c>
      <c r="T5208" s="42"/>
    </row>
    <row r="5209" ht="22.5" customHeight="1">
      <c r="B5209" s="42">
        <f t="shared" si="7"/>
        <v>5203</v>
      </c>
      <c r="C5209" s="31"/>
      <c r="D5209" s="34" t="str">
        <f t="array" ref="D5209">IFNA(_xlfn.XLOOKUP(C5209,Table_Tarikan_Warkah[Nomor Sertipikat],Table_Tarikan_Warkah[Nomor Tiket]),"")</f>
        <v>AB036/ABSOLDWS</v>
      </c>
      <c r="E5209" s="36" t="str">
        <f t="array" ref="E5209">IFNA(_xlfn.XLOOKUP(D5209,Table_Tarikan_Warkah[Nomor Tiket],Table_Tarikan_Warkah[Tanggal diserahkan kepada Validator]),"")</f>
        <v/>
      </c>
      <c r="F5209" s="36" t="str">
        <f t="array" ref="F5209">IFNA(_xlfn.XLOOKUP(D5209,Table_Tarikan_Warkah[Nomor Tiket],Table_Tarikan_Warkah[Nama Petugas Warkah]),"")</f>
        <v/>
      </c>
      <c r="G5209" s="39" t="str">
        <f t="array" ref="G5209">IFNA(_xlfn.XLOOKUP(D5209,Table_Tarikan_Warkah[Nomor Tiket],Table_Tarikan_Warkah[Jenis Permohonan]),"")</f>
        <v>HIBAH</v>
      </c>
      <c r="H5209" s="70"/>
      <c r="I5209" s="49"/>
      <c r="J5209" s="36" t="str">
        <f t="shared" si="20"/>
        <v/>
      </c>
      <c r="K5209" s="69"/>
      <c r="L5209" s="49"/>
      <c r="M5209" s="36" t="str">
        <f t="shared" si="33"/>
        <v/>
      </c>
      <c r="N5209" s="30" t="str">
        <f t="shared" si="34"/>
        <v>BT atau SU Belum Valid</v>
      </c>
      <c r="O5209" s="39" t="str">
        <f t="shared" si="23"/>
        <v/>
      </c>
      <c r="P5209" s="47" t="b">
        <v>0</v>
      </c>
      <c r="Q5209" s="36" t="str">
        <f t="shared" si="35"/>
        <v/>
      </c>
      <c r="R5209" s="47" t="b">
        <v>0</v>
      </c>
      <c r="S5209" s="42" t="str">
        <f t="shared" si="28"/>
        <v/>
      </c>
      <c r="T5209" s="42"/>
    </row>
    <row r="5210" ht="22.5" customHeight="1">
      <c r="B5210" s="42">
        <f t="shared" si="7"/>
        <v>5204</v>
      </c>
      <c r="C5210" s="31"/>
      <c r="D5210" s="34" t="str">
        <f t="array" ref="D5210">IFNA(_xlfn.XLOOKUP(C5210,Table_Tarikan_Warkah[Nomor Sertipikat],Table_Tarikan_Warkah[Nomor Tiket]),"")</f>
        <v>AB036/ABSOLDWS</v>
      </c>
      <c r="E5210" s="36" t="str">
        <f t="array" ref="E5210">IFNA(_xlfn.XLOOKUP(D5210,Table_Tarikan_Warkah[Nomor Tiket],Table_Tarikan_Warkah[Tanggal diserahkan kepada Validator]),"")</f>
        <v/>
      </c>
      <c r="F5210" s="36" t="str">
        <f t="array" ref="F5210">IFNA(_xlfn.XLOOKUP(D5210,Table_Tarikan_Warkah[Nomor Tiket],Table_Tarikan_Warkah[Nama Petugas Warkah]),"")</f>
        <v/>
      </c>
      <c r="G5210" s="39" t="str">
        <f t="array" ref="G5210">IFNA(_xlfn.XLOOKUP(D5210,Table_Tarikan_Warkah[Nomor Tiket],Table_Tarikan_Warkah[Jenis Permohonan]),"")</f>
        <v>HIBAH</v>
      </c>
      <c r="H5210" s="70"/>
      <c r="I5210" s="49"/>
      <c r="J5210" s="36" t="str">
        <f t="shared" si="20"/>
        <v/>
      </c>
      <c r="K5210" s="69"/>
      <c r="L5210" s="49"/>
      <c r="M5210" s="36" t="str">
        <f t="shared" si="33"/>
        <v/>
      </c>
      <c r="N5210" s="30" t="str">
        <f t="shared" si="34"/>
        <v>BT atau SU Belum Valid</v>
      </c>
      <c r="O5210" s="39" t="str">
        <f t="shared" si="23"/>
        <v/>
      </c>
      <c r="P5210" s="47" t="b">
        <v>0</v>
      </c>
      <c r="Q5210" s="36" t="str">
        <f t="shared" si="35"/>
        <v/>
      </c>
      <c r="R5210" s="47" t="b">
        <v>0</v>
      </c>
      <c r="S5210" s="42" t="str">
        <f t="shared" si="28"/>
        <v/>
      </c>
      <c r="T5210" s="42"/>
    </row>
    <row r="5211" ht="22.5" customHeight="1">
      <c r="B5211" s="42">
        <f t="shared" si="7"/>
        <v>5205</v>
      </c>
      <c r="C5211" s="31"/>
      <c r="D5211" s="34" t="str">
        <f t="array" ref="D5211">IFNA(_xlfn.XLOOKUP(C5211,Table_Tarikan_Warkah[Nomor Sertipikat],Table_Tarikan_Warkah[Nomor Tiket]),"")</f>
        <v>AB036/ABSOLDWS</v>
      </c>
      <c r="E5211" s="36" t="str">
        <f t="array" ref="E5211">IFNA(_xlfn.XLOOKUP(D5211,Table_Tarikan_Warkah[Nomor Tiket],Table_Tarikan_Warkah[Tanggal diserahkan kepada Validator]),"")</f>
        <v/>
      </c>
      <c r="F5211" s="36" t="str">
        <f t="array" ref="F5211">IFNA(_xlfn.XLOOKUP(D5211,Table_Tarikan_Warkah[Nomor Tiket],Table_Tarikan_Warkah[Nama Petugas Warkah]),"")</f>
        <v/>
      </c>
      <c r="G5211" s="39" t="str">
        <f t="array" ref="G5211">IFNA(_xlfn.XLOOKUP(D5211,Table_Tarikan_Warkah[Nomor Tiket],Table_Tarikan_Warkah[Jenis Permohonan]),"")</f>
        <v>HIBAH</v>
      </c>
      <c r="H5211" s="70"/>
      <c r="I5211" s="49"/>
      <c r="J5211" s="36" t="str">
        <f t="shared" si="20"/>
        <v/>
      </c>
      <c r="K5211" s="69"/>
      <c r="L5211" s="49"/>
      <c r="M5211" s="36" t="str">
        <f t="shared" si="33"/>
        <v/>
      </c>
      <c r="N5211" s="30" t="str">
        <f t="shared" si="34"/>
        <v>BT atau SU Belum Valid</v>
      </c>
      <c r="O5211" s="39" t="str">
        <f t="shared" si="23"/>
        <v/>
      </c>
      <c r="P5211" s="47" t="b">
        <v>0</v>
      </c>
      <c r="Q5211" s="36" t="str">
        <f t="shared" si="35"/>
        <v/>
      </c>
      <c r="R5211" s="47" t="b">
        <v>0</v>
      </c>
      <c r="S5211" s="42" t="str">
        <f t="shared" si="28"/>
        <v/>
      </c>
      <c r="T5211" s="42"/>
    </row>
    <row r="5212" ht="22.5" customHeight="1">
      <c r="B5212" s="42">
        <f t="shared" si="7"/>
        <v>5206</v>
      </c>
      <c r="C5212" s="31"/>
      <c r="D5212" s="34" t="str">
        <f t="array" ref="D5212">IFNA(_xlfn.XLOOKUP(C5212,Table_Tarikan_Warkah[Nomor Sertipikat],Table_Tarikan_Warkah[Nomor Tiket]),"")</f>
        <v>AB036/ABSOLDWS</v>
      </c>
      <c r="E5212" s="36" t="str">
        <f t="array" ref="E5212">IFNA(_xlfn.XLOOKUP(D5212,Table_Tarikan_Warkah[Nomor Tiket],Table_Tarikan_Warkah[Tanggal diserahkan kepada Validator]),"")</f>
        <v/>
      </c>
      <c r="F5212" s="36" t="str">
        <f t="array" ref="F5212">IFNA(_xlfn.XLOOKUP(D5212,Table_Tarikan_Warkah[Nomor Tiket],Table_Tarikan_Warkah[Nama Petugas Warkah]),"")</f>
        <v/>
      </c>
      <c r="G5212" s="39" t="str">
        <f t="array" ref="G5212">IFNA(_xlfn.XLOOKUP(D5212,Table_Tarikan_Warkah[Nomor Tiket],Table_Tarikan_Warkah[Jenis Permohonan]),"")</f>
        <v>HIBAH</v>
      </c>
      <c r="H5212" s="70"/>
      <c r="I5212" s="49"/>
      <c r="J5212" s="36" t="str">
        <f t="shared" si="20"/>
        <v/>
      </c>
      <c r="K5212" s="69"/>
      <c r="L5212" s="49"/>
      <c r="M5212" s="36" t="str">
        <f t="shared" si="33"/>
        <v/>
      </c>
      <c r="N5212" s="30" t="str">
        <f t="shared" si="34"/>
        <v>BT atau SU Belum Valid</v>
      </c>
      <c r="O5212" s="39" t="str">
        <f t="shared" si="23"/>
        <v/>
      </c>
      <c r="P5212" s="47" t="b">
        <v>0</v>
      </c>
      <c r="Q5212" s="36" t="str">
        <f t="shared" si="35"/>
        <v/>
      </c>
      <c r="R5212" s="47" t="b">
        <v>0</v>
      </c>
      <c r="S5212" s="42" t="str">
        <f t="shared" si="28"/>
        <v/>
      </c>
      <c r="T5212" s="42"/>
    </row>
    <row r="5213" ht="22.5" customHeight="1">
      <c r="B5213" s="42">
        <f t="shared" si="7"/>
        <v>5207</v>
      </c>
      <c r="C5213" s="31"/>
      <c r="D5213" s="34" t="str">
        <f t="array" ref="D5213">IFNA(_xlfn.XLOOKUP(C5213,Table_Tarikan_Warkah[Nomor Sertipikat],Table_Tarikan_Warkah[Nomor Tiket]),"")</f>
        <v>AB036/ABSOLDWS</v>
      </c>
      <c r="E5213" s="36" t="str">
        <f t="array" ref="E5213">IFNA(_xlfn.XLOOKUP(D5213,Table_Tarikan_Warkah[Nomor Tiket],Table_Tarikan_Warkah[Tanggal diserahkan kepada Validator]),"")</f>
        <v/>
      </c>
      <c r="F5213" s="36" t="str">
        <f t="array" ref="F5213">IFNA(_xlfn.XLOOKUP(D5213,Table_Tarikan_Warkah[Nomor Tiket],Table_Tarikan_Warkah[Nama Petugas Warkah]),"")</f>
        <v/>
      </c>
      <c r="G5213" s="39" t="str">
        <f t="array" ref="G5213">IFNA(_xlfn.XLOOKUP(D5213,Table_Tarikan_Warkah[Nomor Tiket],Table_Tarikan_Warkah[Jenis Permohonan]),"")</f>
        <v>HIBAH</v>
      </c>
      <c r="H5213" s="70"/>
      <c r="I5213" s="49"/>
      <c r="J5213" s="36" t="str">
        <f t="shared" si="20"/>
        <v/>
      </c>
      <c r="K5213" s="69"/>
      <c r="L5213" s="49"/>
      <c r="M5213" s="36" t="str">
        <f t="shared" si="33"/>
        <v/>
      </c>
      <c r="N5213" s="30" t="str">
        <f t="shared" si="34"/>
        <v>BT atau SU Belum Valid</v>
      </c>
      <c r="O5213" s="39" t="str">
        <f t="shared" si="23"/>
        <v/>
      </c>
      <c r="P5213" s="47" t="b">
        <v>0</v>
      </c>
      <c r="Q5213" s="36" t="str">
        <f t="shared" si="35"/>
        <v/>
      </c>
      <c r="R5213" s="47" t="b">
        <v>0</v>
      </c>
      <c r="S5213" s="42" t="str">
        <f t="shared" si="28"/>
        <v/>
      </c>
      <c r="T5213" s="42"/>
    </row>
    <row r="5214" ht="22.5" customHeight="1">
      <c r="B5214" s="42">
        <f t="shared" si="7"/>
        <v>5208</v>
      </c>
      <c r="C5214" s="31"/>
      <c r="D5214" s="34" t="str">
        <f t="array" ref="D5214">IFNA(_xlfn.XLOOKUP(C5214,Table_Tarikan_Warkah[Nomor Sertipikat],Table_Tarikan_Warkah[Nomor Tiket]),"")</f>
        <v>AB036/ABSOLDWS</v>
      </c>
      <c r="E5214" s="36" t="str">
        <f t="array" ref="E5214">IFNA(_xlfn.XLOOKUP(D5214,Table_Tarikan_Warkah[Nomor Tiket],Table_Tarikan_Warkah[Tanggal diserahkan kepada Validator]),"")</f>
        <v/>
      </c>
      <c r="F5214" s="36" t="str">
        <f t="array" ref="F5214">IFNA(_xlfn.XLOOKUP(D5214,Table_Tarikan_Warkah[Nomor Tiket],Table_Tarikan_Warkah[Nama Petugas Warkah]),"")</f>
        <v/>
      </c>
      <c r="G5214" s="39" t="str">
        <f t="array" ref="G5214">IFNA(_xlfn.XLOOKUP(D5214,Table_Tarikan_Warkah[Nomor Tiket],Table_Tarikan_Warkah[Jenis Permohonan]),"")</f>
        <v>HIBAH</v>
      </c>
      <c r="H5214" s="70"/>
      <c r="I5214" s="49"/>
      <c r="J5214" s="36" t="str">
        <f t="shared" si="20"/>
        <v/>
      </c>
      <c r="K5214" s="69"/>
      <c r="L5214" s="49"/>
      <c r="M5214" s="36" t="str">
        <f t="shared" si="33"/>
        <v/>
      </c>
      <c r="N5214" s="30" t="str">
        <f t="shared" si="34"/>
        <v>BT atau SU Belum Valid</v>
      </c>
      <c r="O5214" s="39" t="str">
        <f t="shared" si="23"/>
        <v/>
      </c>
      <c r="P5214" s="47" t="b">
        <v>0</v>
      </c>
      <c r="Q5214" s="36" t="str">
        <f t="shared" si="35"/>
        <v/>
      </c>
      <c r="R5214" s="47" t="b">
        <v>0</v>
      </c>
      <c r="S5214" s="42" t="str">
        <f t="shared" si="28"/>
        <v/>
      </c>
      <c r="T5214" s="42"/>
    </row>
    <row r="5215" ht="22.5" customHeight="1">
      <c r="B5215" s="42">
        <f t="shared" si="7"/>
        <v>5209</v>
      </c>
      <c r="C5215" s="31"/>
      <c r="D5215" s="34" t="str">
        <f t="array" ref="D5215">IFNA(_xlfn.XLOOKUP(C5215,Table_Tarikan_Warkah[Nomor Sertipikat],Table_Tarikan_Warkah[Nomor Tiket]),"")</f>
        <v>AB036/ABSOLDWS</v>
      </c>
      <c r="E5215" s="36" t="str">
        <f t="array" ref="E5215">IFNA(_xlfn.XLOOKUP(D5215,Table_Tarikan_Warkah[Nomor Tiket],Table_Tarikan_Warkah[Tanggal diserahkan kepada Validator]),"")</f>
        <v/>
      </c>
      <c r="F5215" s="36" t="str">
        <f t="array" ref="F5215">IFNA(_xlfn.XLOOKUP(D5215,Table_Tarikan_Warkah[Nomor Tiket],Table_Tarikan_Warkah[Nama Petugas Warkah]),"")</f>
        <v/>
      </c>
      <c r="G5215" s="39" t="str">
        <f t="array" ref="G5215">IFNA(_xlfn.XLOOKUP(D5215,Table_Tarikan_Warkah[Nomor Tiket],Table_Tarikan_Warkah[Jenis Permohonan]),"")</f>
        <v>HIBAH</v>
      </c>
      <c r="H5215" s="70"/>
      <c r="I5215" s="49"/>
      <c r="J5215" s="36" t="str">
        <f t="shared" si="20"/>
        <v/>
      </c>
      <c r="K5215" s="69"/>
      <c r="L5215" s="49"/>
      <c r="M5215" s="36" t="str">
        <f t="shared" si="33"/>
        <v/>
      </c>
      <c r="N5215" s="30" t="str">
        <f t="shared" si="34"/>
        <v>BT atau SU Belum Valid</v>
      </c>
      <c r="O5215" s="39" t="str">
        <f t="shared" si="23"/>
        <v/>
      </c>
      <c r="P5215" s="47" t="b">
        <v>0</v>
      </c>
      <c r="Q5215" s="36" t="str">
        <f t="shared" si="35"/>
        <v/>
      </c>
      <c r="R5215" s="47" t="b">
        <v>0</v>
      </c>
      <c r="S5215" s="42" t="str">
        <f t="shared" si="28"/>
        <v/>
      </c>
      <c r="T5215" s="42"/>
    </row>
    <row r="5216" ht="22.5" customHeight="1">
      <c r="B5216" s="42">
        <f t="shared" si="7"/>
        <v>5210</v>
      </c>
      <c r="C5216" s="31"/>
      <c r="D5216" s="34" t="str">
        <f t="array" ref="D5216">IFNA(_xlfn.XLOOKUP(C5216,Table_Tarikan_Warkah[Nomor Sertipikat],Table_Tarikan_Warkah[Nomor Tiket]),"")</f>
        <v>AB036/ABSOLDWS</v>
      </c>
      <c r="E5216" s="36" t="str">
        <f t="array" ref="E5216">IFNA(_xlfn.XLOOKUP(D5216,Table_Tarikan_Warkah[Nomor Tiket],Table_Tarikan_Warkah[Tanggal diserahkan kepada Validator]),"")</f>
        <v/>
      </c>
      <c r="F5216" s="36" t="str">
        <f t="array" ref="F5216">IFNA(_xlfn.XLOOKUP(D5216,Table_Tarikan_Warkah[Nomor Tiket],Table_Tarikan_Warkah[Nama Petugas Warkah]),"")</f>
        <v/>
      </c>
      <c r="G5216" s="39" t="str">
        <f t="array" ref="G5216">IFNA(_xlfn.XLOOKUP(D5216,Table_Tarikan_Warkah[Nomor Tiket],Table_Tarikan_Warkah[Jenis Permohonan]),"")</f>
        <v>HIBAH</v>
      </c>
      <c r="H5216" s="70"/>
      <c r="I5216" s="49"/>
      <c r="J5216" s="36" t="str">
        <f t="shared" si="20"/>
        <v/>
      </c>
      <c r="K5216" s="69"/>
      <c r="L5216" s="49"/>
      <c r="M5216" s="36" t="str">
        <f t="shared" si="33"/>
        <v/>
      </c>
      <c r="N5216" s="30" t="str">
        <f t="shared" si="34"/>
        <v>BT atau SU Belum Valid</v>
      </c>
      <c r="O5216" s="39" t="str">
        <f t="shared" si="23"/>
        <v/>
      </c>
      <c r="P5216" s="47" t="b">
        <v>0</v>
      </c>
      <c r="Q5216" s="36" t="str">
        <f t="shared" si="35"/>
        <v/>
      </c>
      <c r="R5216" s="47" t="b">
        <v>0</v>
      </c>
      <c r="S5216" s="42" t="str">
        <f t="shared" si="28"/>
        <v/>
      </c>
      <c r="T5216" s="42"/>
    </row>
    <row r="5217" ht="22.5" customHeight="1">
      <c r="B5217" s="42">
        <f t="shared" si="7"/>
        <v>5211</v>
      </c>
      <c r="C5217" s="31"/>
      <c r="D5217" s="34" t="str">
        <f t="array" ref="D5217">IFNA(_xlfn.XLOOKUP(C5217,Table_Tarikan_Warkah[Nomor Sertipikat],Table_Tarikan_Warkah[Nomor Tiket]),"")</f>
        <v>AB036/ABSOLDWS</v>
      </c>
      <c r="E5217" s="36" t="str">
        <f t="array" ref="E5217">IFNA(_xlfn.XLOOKUP(D5217,Table_Tarikan_Warkah[Nomor Tiket],Table_Tarikan_Warkah[Tanggal diserahkan kepada Validator]),"")</f>
        <v/>
      </c>
      <c r="F5217" s="36" t="str">
        <f t="array" ref="F5217">IFNA(_xlfn.XLOOKUP(D5217,Table_Tarikan_Warkah[Nomor Tiket],Table_Tarikan_Warkah[Nama Petugas Warkah]),"")</f>
        <v/>
      </c>
      <c r="G5217" s="39" t="str">
        <f t="array" ref="G5217">IFNA(_xlfn.XLOOKUP(D5217,Table_Tarikan_Warkah[Nomor Tiket],Table_Tarikan_Warkah[Jenis Permohonan]),"")</f>
        <v>HIBAH</v>
      </c>
      <c r="H5217" s="70"/>
      <c r="I5217" s="49"/>
      <c r="J5217" s="36" t="str">
        <f t="shared" si="20"/>
        <v/>
      </c>
      <c r="K5217" s="69"/>
      <c r="L5217" s="49"/>
      <c r="M5217" s="36" t="str">
        <f t="shared" si="33"/>
        <v/>
      </c>
      <c r="N5217" s="30" t="str">
        <f t="shared" si="34"/>
        <v>BT atau SU Belum Valid</v>
      </c>
      <c r="O5217" s="39" t="str">
        <f t="shared" si="23"/>
        <v/>
      </c>
      <c r="P5217" s="47" t="b">
        <v>0</v>
      </c>
      <c r="Q5217" s="36" t="str">
        <f t="shared" si="35"/>
        <v/>
      </c>
      <c r="R5217" s="47" t="b">
        <v>0</v>
      </c>
      <c r="S5217" s="42" t="str">
        <f t="shared" si="28"/>
        <v/>
      </c>
      <c r="T5217" s="42"/>
    </row>
    <row r="5218" ht="22.5" customHeight="1">
      <c r="B5218" s="42">
        <f t="shared" si="7"/>
        <v>5212</v>
      </c>
      <c r="C5218" s="31"/>
      <c r="D5218" s="34" t="str">
        <f t="array" ref="D5218">IFNA(_xlfn.XLOOKUP(C5218,Table_Tarikan_Warkah[Nomor Sertipikat],Table_Tarikan_Warkah[Nomor Tiket]),"")</f>
        <v>AB036/ABSOLDWS</v>
      </c>
      <c r="E5218" s="36" t="str">
        <f t="array" ref="E5218">IFNA(_xlfn.XLOOKUP(D5218,Table_Tarikan_Warkah[Nomor Tiket],Table_Tarikan_Warkah[Tanggal diserahkan kepada Validator]),"")</f>
        <v/>
      </c>
      <c r="F5218" s="36" t="str">
        <f t="array" ref="F5218">IFNA(_xlfn.XLOOKUP(D5218,Table_Tarikan_Warkah[Nomor Tiket],Table_Tarikan_Warkah[Nama Petugas Warkah]),"")</f>
        <v/>
      </c>
      <c r="G5218" s="39" t="str">
        <f t="array" ref="G5218">IFNA(_xlfn.XLOOKUP(D5218,Table_Tarikan_Warkah[Nomor Tiket],Table_Tarikan_Warkah[Jenis Permohonan]),"")</f>
        <v>HIBAH</v>
      </c>
      <c r="H5218" s="70"/>
      <c r="I5218" s="49"/>
      <c r="J5218" s="36" t="str">
        <f t="shared" si="20"/>
        <v/>
      </c>
      <c r="K5218" s="69"/>
      <c r="L5218" s="49"/>
      <c r="M5218" s="36" t="str">
        <f t="shared" si="33"/>
        <v/>
      </c>
      <c r="N5218" s="30" t="str">
        <f t="shared" si="34"/>
        <v>BT atau SU Belum Valid</v>
      </c>
      <c r="O5218" s="39" t="str">
        <f t="shared" si="23"/>
        <v/>
      </c>
      <c r="P5218" s="47" t="b">
        <v>0</v>
      </c>
      <c r="Q5218" s="36" t="str">
        <f t="shared" si="35"/>
        <v/>
      </c>
      <c r="R5218" s="47" t="b">
        <v>0</v>
      </c>
      <c r="S5218" s="42" t="str">
        <f t="shared" si="28"/>
        <v/>
      </c>
      <c r="T5218" s="42"/>
    </row>
    <row r="5219" ht="22.5" customHeight="1">
      <c r="B5219" s="42">
        <f t="shared" si="7"/>
        <v>5213</v>
      </c>
      <c r="C5219" s="31"/>
      <c r="D5219" s="34" t="str">
        <f t="array" ref="D5219">IFNA(_xlfn.XLOOKUP(C5219,Table_Tarikan_Warkah[Nomor Sertipikat],Table_Tarikan_Warkah[Nomor Tiket]),"")</f>
        <v>AB036/ABSOLDWS</v>
      </c>
      <c r="E5219" s="36" t="str">
        <f t="array" ref="E5219">IFNA(_xlfn.XLOOKUP(D5219,Table_Tarikan_Warkah[Nomor Tiket],Table_Tarikan_Warkah[Tanggal diserahkan kepada Validator]),"")</f>
        <v/>
      </c>
      <c r="F5219" s="36" t="str">
        <f t="array" ref="F5219">IFNA(_xlfn.XLOOKUP(D5219,Table_Tarikan_Warkah[Nomor Tiket],Table_Tarikan_Warkah[Nama Petugas Warkah]),"")</f>
        <v/>
      </c>
      <c r="G5219" s="39" t="str">
        <f t="array" ref="G5219">IFNA(_xlfn.XLOOKUP(D5219,Table_Tarikan_Warkah[Nomor Tiket],Table_Tarikan_Warkah[Jenis Permohonan]),"")</f>
        <v>HIBAH</v>
      </c>
      <c r="H5219" s="70"/>
      <c r="I5219" s="49"/>
      <c r="J5219" s="36" t="str">
        <f t="shared" si="20"/>
        <v/>
      </c>
      <c r="K5219" s="69"/>
      <c r="L5219" s="49"/>
      <c r="M5219" s="36" t="str">
        <f t="shared" si="33"/>
        <v/>
      </c>
      <c r="N5219" s="30" t="str">
        <f t="shared" si="34"/>
        <v>BT atau SU Belum Valid</v>
      </c>
      <c r="O5219" s="39" t="str">
        <f t="shared" si="23"/>
        <v/>
      </c>
      <c r="P5219" s="47" t="b">
        <v>0</v>
      </c>
      <c r="Q5219" s="36" t="str">
        <f t="shared" si="35"/>
        <v/>
      </c>
      <c r="R5219" s="47" t="b">
        <v>0</v>
      </c>
      <c r="S5219" s="42" t="str">
        <f t="shared" si="28"/>
        <v/>
      </c>
      <c r="T5219" s="42"/>
    </row>
    <row r="5220" ht="22.5" customHeight="1">
      <c r="B5220" s="42">
        <f t="shared" si="7"/>
        <v>5214</v>
      </c>
      <c r="C5220" s="31"/>
      <c r="D5220" s="34" t="str">
        <f t="array" ref="D5220">IFNA(_xlfn.XLOOKUP(C5220,Table_Tarikan_Warkah[Nomor Sertipikat],Table_Tarikan_Warkah[Nomor Tiket]),"")</f>
        <v>AB036/ABSOLDWS</v>
      </c>
      <c r="E5220" s="36" t="str">
        <f t="array" ref="E5220">IFNA(_xlfn.XLOOKUP(D5220,Table_Tarikan_Warkah[Nomor Tiket],Table_Tarikan_Warkah[Tanggal diserahkan kepada Validator]),"")</f>
        <v/>
      </c>
      <c r="F5220" s="36" t="str">
        <f t="array" ref="F5220">IFNA(_xlfn.XLOOKUP(D5220,Table_Tarikan_Warkah[Nomor Tiket],Table_Tarikan_Warkah[Nama Petugas Warkah]),"")</f>
        <v/>
      </c>
      <c r="G5220" s="39" t="str">
        <f t="array" ref="G5220">IFNA(_xlfn.XLOOKUP(D5220,Table_Tarikan_Warkah[Nomor Tiket],Table_Tarikan_Warkah[Jenis Permohonan]),"")</f>
        <v>HIBAH</v>
      </c>
      <c r="H5220" s="70"/>
      <c r="I5220" s="49"/>
      <c r="J5220" s="36" t="str">
        <f t="shared" si="20"/>
        <v/>
      </c>
      <c r="K5220" s="69"/>
      <c r="L5220" s="49"/>
      <c r="M5220" s="36" t="str">
        <f t="shared" si="33"/>
        <v/>
      </c>
      <c r="N5220" s="30" t="str">
        <f t="shared" si="34"/>
        <v>BT atau SU Belum Valid</v>
      </c>
      <c r="O5220" s="39" t="str">
        <f t="shared" si="23"/>
        <v/>
      </c>
      <c r="P5220" s="47" t="b">
        <v>0</v>
      </c>
      <c r="Q5220" s="36" t="str">
        <f t="shared" si="35"/>
        <v/>
      </c>
      <c r="R5220" s="47" t="b">
        <v>0</v>
      </c>
      <c r="S5220" s="42" t="str">
        <f t="shared" si="28"/>
        <v/>
      </c>
      <c r="T5220" s="42"/>
    </row>
    <row r="5221" ht="22.5" customHeight="1">
      <c r="B5221" s="42">
        <f t="shared" si="7"/>
        <v>5215</v>
      </c>
      <c r="C5221" s="31"/>
      <c r="D5221" s="34" t="str">
        <f t="array" ref="D5221">IFNA(_xlfn.XLOOKUP(C5221,Table_Tarikan_Warkah[Nomor Sertipikat],Table_Tarikan_Warkah[Nomor Tiket]),"")</f>
        <v>AB036/ABSOLDWS</v>
      </c>
      <c r="E5221" s="36" t="str">
        <f t="array" ref="E5221">IFNA(_xlfn.XLOOKUP(D5221,Table_Tarikan_Warkah[Nomor Tiket],Table_Tarikan_Warkah[Tanggal diserahkan kepada Validator]),"")</f>
        <v/>
      </c>
      <c r="F5221" s="36" t="str">
        <f t="array" ref="F5221">IFNA(_xlfn.XLOOKUP(D5221,Table_Tarikan_Warkah[Nomor Tiket],Table_Tarikan_Warkah[Nama Petugas Warkah]),"")</f>
        <v/>
      </c>
      <c r="G5221" s="39" t="str">
        <f t="array" ref="G5221">IFNA(_xlfn.XLOOKUP(D5221,Table_Tarikan_Warkah[Nomor Tiket],Table_Tarikan_Warkah[Jenis Permohonan]),"")</f>
        <v>HIBAH</v>
      </c>
      <c r="H5221" s="70"/>
      <c r="I5221" s="49"/>
      <c r="J5221" s="36" t="str">
        <f t="shared" si="20"/>
        <v/>
      </c>
      <c r="K5221" s="69"/>
      <c r="L5221" s="49"/>
      <c r="M5221" s="36" t="str">
        <f t="shared" si="33"/>
        <v/>
      </c>
      <c r="N5221" s="30" t="str">
        <f t="shared" si="34"/>
        <v>BT atau SU Belum Valid</v>
      </c>
      <c r="O5221" s="39" t="str">
        <f t="shared" si="23"/>
        <v/>
      </c>
      <c r="P5221" s="47" t="b">
        <v>0</v>
      </c>
      <c r="Q5221" s="36" t="str">
        <f t="shared" si="35"/>
        <v/>
      </c>
      <c r="R5221" s="47" t="b">
        <v>0</v>
      </c>
      <c r="S5221" s="42" t="str">
        <f t="shared" si="28"/>
        <v/>
      </c>
      <c r="T5221" s="42"/>
    </row>
    <row r="5222" ht="22.5" customHeight="1">
      <c r="B5222" s="42">
        <f t="shared" si="7"/>
        <v>5216</v>
      </c>
      <c r="C5222" s="31"/>
      <c r="D5222" s="34" t="str">
        <f t="array" ref="D5222">IFNA(_xlfn.XLOOKUP(C5222,Table_Tarikan_Warkah[Nomor Sertipikat],Table_Tarikan_Warkah[Nomor Tiket]),"")</f>
        <v>AB036/ABSOLDWS</v>
      </c>
      <c r="E5222" s="36" t="str">
        <f t="array" ref="E5222">IFNA(_xlfn.XLOOKUP(D5222,Table_Tarikan_Warkah[Nomor Tiket],Table_Tarikan_Warkah[Tanggal diserahkan kepada Validator]),"")</f>
        <v/>
      </c>
      <c r="F5222" s="36" t="str">
        <f t="array" ref="F5222">IFNA(_xlfn.XLOOKUP(D5222,Table_Tarikan_Warkah[Nomor Tiket],Table_Tarikan_Warkah[Nama Petugas Warkah]),"")</f>
        <v/>
      </c>
      <c r="G5222" s="39" t="str">
        <f t="array" ref="G5222">IFNA(_xlfn.XLOOKUP(D5222,Table_Tarikan_Warkah[Nomor Tiket],Table_Tarikan_Warkah[Jenis Permohonan]),"")</f>
        <v>HIBAH</v>
      </c>
      <c r="H5222" s="70"/>
      <c r="I5222" s="49"/>
      <c r="J5222" s="36" t="str">
        <f t="shared" si="20"/>
        <v/>
      </c>
      <c r="K5222" s="69"/>
      <c r="L5222" s="49"/>
      <c r="M5222" s="36" t="str">
        <f t="shared" si="33"/>
        <v/>
      </c>
      <c r="N5222" s="30" t="str">
        <f t="shared" si="34"/>
        <v>BT atau SU Belum Valid</v>
      </c>
      <c r="O5222" s="39" t="str">
        <f t="shared" si="23"/>
        <v/>
      </c>
      <c r="P5222" s="47" t="b">
        <v>0</v>
      </c>
      <c r="Q5222" s="36" t="str">
        <f t="shared" si="35"/>
        <v/>
      </c>
      <c r="R5222" s="47" t="b">
        <v>0</v>
      </c>
      <c r="S5222" s="42" t="str">
        <f t="shared" si="28"/>
        <v/>
      </c>
      <c r="T5222" s="42"/>
    </row>
    <row r="5223" ht="22.5" customHeight="1">
      <c r="B5223" s="42">
        <f t="shared" si="7"/>
        <v>5217</v>
      </c>
      <c r="C5223" s="31"/>
      <c r="D5223" s="34" t="str">
        <f t="array" ref="D5223">IFNA(_xlfn.XLOOKUP(C5223,Table_Tarikan_Warkah[Nomor Sertipikat],Table_Tarikan_Warkah[Nomor Tiket]),"")</f>
        <v>AB036/ABSOLDWS</v>
      </c>
      <c r="E5223" s="36" t="str">
        <f t="array" ref="E5223">IFNA(_xlfn.XLOOKUP(D5223,Table_Tarikan_Warkah[Nomor Tiket],Table_Tarikan_Warkah[Tanggal diserahkan kepada Validator]),"")</f>
        <v/>
      </c>
      <c r="F5223" s="36" t="str">
        <f t="array" ref="F5223">IFNA(_xlfn.XLOOKUP(D5223,Table_Tarikan_Warkah[Nomor Tiket],Table_Tarikan_Warkah[Nama Petugas Warkah]),"")</f>
        <v/>
      </c>
      <c r="G5223" s="39" t="str">
        <f t="array" ref="G5223">IFNA(_xlfn.XLOOKUP(D5223,Table_Tarikan_Warkah[Nomor Tiket],Table_Tarikan_Warkah[Jenis Permohonan]),"")</f>
        <v>HIBAH</v>
      </c>
      <c r="H5223" s="70"/>
      <c r="I5223" s="49"/>
      <c r="J5223" s="36" t="str">
        <f t="shared" si="20"/>
        <v/>
      </c>
      <c r="K5223" s="69"/>
      <c r="L5223" s="49"/>
      <c r="M5223" s="36" t="str">
        <f t="shared" si="33"/>
        <v/>
      </c>
      <c r="N5223" s="30" t="str">
        <f t="shared" si="34"/>
        <v>BT atau SU Belum Valid</v>
      </c>
      <c r="O5223" s="39" t="str">
        <f t="shared" si="23"/>
        <v/>
      </c>
      <c r="P5223" s="47" t="b">
        <v>0</v>
      </c>
      <c r="Q5223" s="36" t="str">
        <f t="shared" si="35"/>
        <v/>
      </c>
      <c r="R5223" s="47" t="b">
        <v>0</v>
      </c>
      <c r="S5223" s="42" t="str">
        <f t="shared" si="28"/>
        <v/>
      </c>
      <c r="T5223" s="42"/>
    </row>
    <row r="5224" ht="22.5" customHeight="1">
      <c r="B5224" s="42">
        <f t="shared" si="7"/>
        <v>5218</v>
      </c>
      <c r="C5224" s="31"/>
      <c r="D5224" s="34" t="str">
        <f t="array" ref="D5224">IFNA(_xlfn.XLOOKUP(C5224,Table_Tarikan_Warkah[Nomor Sertipikat],Table_Tarikan_Warkah[Nomor Tiket]),"")</f>
        <v>AB036/ABSOLDWS</v>
      </c>
      <c r="E5224" s="36" t="str">
        <f t="array" ref="E5224">IFNA(_xlfn.XLOOKUP(D5224,Table_Tarikan_Warkah[Nomor Tiket],Table_Tarikan_Warkah[Tanggal diserahkan kepada Validator]),"")</f>
        <v/>
      </c>
      <c r="F5224" s="36" t="str">
        <f t="array" ref="F5224">IFNA(_xlfn.XLOOKUP(D5224,Table_Tarikan_Warkah[Nomor Tiket],Table_Tarikan_Warkah[Nama Petugas Warkah]),"")</f>
        <v/>
      </c>
      <c r="G5224" s="39" t="str">
        <f t="array" ref="G5224">IFNA(_xlfn.XLOOKUP(D5224,Table_Tarikan_Warkah[Nomor Tiket],Table_Tarikan_Warkah[Jenis Permohonan]),"")</f>
        <v>HIBAH</v>
      </c>
      <c r="H5224" s="70"/>
      <c r="I5224" s="49"/>
      <c r="J5224" s="36" t="str">
        <f t="shared" si="20"/>
        <v/>
      </c>
      <c r="K5224" s="69"/>
      <c r="L5224" s="49"/>
      <c r="M5224" s="36" t="str">
        <f t="shared" si="33"/>
        <v/>
      </c>
      <c r="N5224" s="30" t="str">
        <f t="shared" si="34"/>
        <v>BT atau SU Belum Valid</v>
      </c>
      <c r="O5224" s="39" t="str">
        <f t="shared" si="23"/>
        <v/>
      </c>
      <c r="P5224" s="47" t="b">
        <v>0</v>
      </c>
      <c r="Q5224" s="36" t="str">
        <f t="shared" si="35"/>
        <v/>
      </c>
      <c r="R5224" s="47" t="b">
        <v>0</v>
      </c>
      <c r="S5224" s="42" t="str">
        <f t="shared" si="28"/>
        <v/>
      </c>
      <c r="T5224" s="42"/>
    </row>
    <row r="5225" ht="22.5" customHeight="1">
      <c r="B5225" s="42">
        <f t="shared" si="7"/>
        <v>5219</v>
      </c>
      <c r="C5225" s="31"/>
      <c r="D5225" s="34" t="str">
        <f t="array" ref="D5225">IFNA(_xlfn.XLOOKUP(C5225,Table_Tarikan_Warkah[Nomor Sertipikat],Table_Tarikan_Warkah[Nomor Tiket]),"")</f>
        <v>AB036/ABSOLDWS</v>
      </c>
      <c r="E5225" s="36" t="str">
        <f t="array" ref="E5225">IFNA(_xlfn.XLOOKUP(D5225,Table_Tarikan_Warkah[Nomor Tiket],Table_Tarikan_Warkah[Tanggal diserahkan kepada Validator]),"")</f>
        <v/>
      </c>
      <c r="F5225" s="36" t="str">
        <f t="array" ref="F5225">IFNA(_xlfn.XLOOKUP(D5225,Table_Tarikan_Warkah[Nomor Tiket],Table_Tarikan_Warkah[Nama Petugas Warkah]),"")</f>
        <v/>
      </c>
      <c r="G5225" s="39" t="str">
        <f t="array" ref="G5225">IFNA(_xlfn.XLOOKUP(D5225,Table_Tarikan_Warkah[Nomor Tiket],Table_Tarikan_Warkah[Jenis Permohonan]),"")</f>
        <v>HIBAH</v>
      </c>
      <c r="H5225" s="70"/>
      <c r="I5225" s="49"/>
      <c r="J5225" s="36" t="str">
        <f t="shared" si="20"/>
        <v/>
      </c>
      <c r="K5225" s="69"/>
      <c r="L5225" s="49"/>
      <c r="M5225" s="36" t="str">
        <f t="shared" si="33"/>
        <v/>
      </c>
      <c r="N5225" s="30" t="str">
        <f t="shared" si="34"/>
        <v>BT atau SU Belum Valid</v>
      </c>
      <c r="O5225" s="39" t="str">
        <f t="shared" si="23"/>
        <v/>
      </c>
      <c r="P5225" s="47" t="b">
        <v>0</v>
      </c>
      <c r="Q5225" s="36" t="str">
        <f t="shared" si="35"/>
        <v/>
      </c>
      <c r="R5225" s="47" t="b">
        <v>0</v>
      </c>
      <c r="S5225" s="42" t="str">
        <f t="shared" si="28"/>
        <v/>
      </c>
      <c r="T5225" s="42"/>
    </row>
    <row r="5226" ht="22.5" customHeight="1">
      <c r="B5226" s="42">
        <f t="shared" si="7"/>
        <v>5220</v>
      </c>
      <c r="C5226" s="31"/>
      <c r="D5226" s="34" t="str">
        <f t="array" ref="D5226">IFNA(_xlfn.XLOOKUP(C5226,Table_Tarikan_Warkah[Nomor Sertipikat],Table_Tarikan_Warkah[Nomor Tiket]),"")</f>
        <v>AB036/ABSOLDWS</v>
      </c>
      <c r="E5226" s="36" t="str">
        <f t="array" ref="E5226">IFNA(_xlfn.XLOOKUP(D5226,Table_Tarikan_Warkah[Nomor Tiket],Table_Tarikan_Warkah[Tanggal diserahkan kepada Validator]),"")</f>
        <v/>
      </c>
      <c r="F5226" s="36" t="str">
        <f t="array" ref="F5226">IFNA(_xlfn.XLOOKUP(D5226,Table_Tarikan_Warkah[Nomor Tiket],Table_Tarikan_Warkah[Nama Petugas Warkah]),"")</f>
        <v/>
      </c>
      <c r="G5226" s="39" t="str">
        <f t="array" ref="G5226">IFNA(_xlfn.XLOOKUP(D5226,Table_Tarikan_Warkah[Nomor Tiket],Table_Tarikan_Warkah[Jenis Permohonan]),"")</f>
        <v>HIBAH</v>
      </c>
      <c r="H5226" s="70"/>
      <c r="I5226" s="49"/>
      <c r="J5226" s="36" t="str">
        <f t="shared" si="20"/>
        <v/>
      </c>
      <c r="K5226" s="69"/>
      <c r="L5226" s="49"/>
      <c r="M5226" s="36" t="str">
        <f t="shared" si="33"/>
        <v/>
      </c>
      <c r="N5226" s="30" t="str">
        <f t="shared" si="34"/>
        <v>BT atau SU Belum Valid</v>
      </c>
      <c r="O5226" s="39" t="str">
        <f t="shared" si="23"/>
        <v/>
      </c>
      <c r="P5226" s="47" t="b">
        <v>0</v>
      </c>
      <c r="Q5226" s="36" t="str">
        <f t="shared" si="35"/>
        <v/>
      </c>
      <c r="R5226" s="47" t="b">
        <v>0</v>
      </c>
      <c r="S5226" s="42" t="str">
        <f t="shared" si="28"/>
        <v/>
      </c>
      <c r="T5226" s="42"/>
    </row>
    <row r="5227" ht="22.5" customHeight="1">
      <c r="B5227" s="42">
        <f t="shared" si="7"/>
        <v>5221</v>
      </c>
      <c r="C5227" s="31"/>
      <c r="D5227" s="34" t="str">
        <f t="array" ref="D5227">IFNA(_xlfn.XLOOKUP(C5227,Table_Tarikan_Warkah[Nomor Sertipikat],Table_Tarikan_Warkah[Nomor Tiket]),"")</f>
        <v>AB036/ABSOLDWS</v>
      </c>
      <c r="E5227" s="36" t="str">
        <f t="array" ref="E5227">IFNA(_xlfn.XLOOKUP(D5227,Table_Tarikan_Warkah[Nomor Tiket],Table_Tarikan_Warkah[Tanggal diserahkan kepada Validator]),"")</f>
        <v/>
      </c>
      <c r="F5227" s="36" t="str">
        <f t="array" ref="F5227">IFNA(_xlfn.XLOOKUP(D5227,Table_Tarikan_Warkah[Nomor Tiket],Table_Tarikan_Warkah[Nama Petugas Warkah]),"")</f>
        <v/>
      </c>
      <c r="G5227" s="39" t="str">
        <f t="array" ref="G5227">IFNA(_xlfn.XLOOKUP(D5227,Table_Tarikan_Warkah[Nomor Tiket],Table_Tarikan_Warkah[Jenis Permohonan]),"")</f>
        <v>HIBAH</v>
      </c>
      <c r="H5227" s="70"/>
      <c r="I5227" s="49"/>
      <c r="J5227" s="36" t="str">
        <f t="shared" si="20"/>
        <v/>
      </c>
      <c r="K5227" s="69"/>
      <c r="L5227" s="49"/>
      <c r="M5227" s="36" t="str">
        <f t="shared" si="33"/>
        <v/>
      </c>
      <c r="N5227" s="30" t="str">
        <f t="shared" si="34"/>
        <v>BT atau SU Belum Valid</v>
      </c>
      <c r="O5227" s="39" t="str">
        <f t="shared" si="23"/>
        <v/>
      </c>
      <c r="P5227" s="47" t="b">
        <v>0</v>
      </c>
      <c r="Q5227" s="36" t="str">
        <f t="shared" si="35"/>
        <v/>
      </c>
      <c r="R5227" s="47" t="b">
        <v>0</v>
      </c>
      <c r="S5227" s="42" t="str">
        <f t="shared" si="28"/>
        <v/>
      </c>
      <c r="T5227" s="42"/>
    </row>
    <row r="5228" ht="22.5" customHeight="1">
      <c r="B5228" s="42">
        <f t="shared" si="7"/>
        <v>5222</v>
      </c>
      <c r="C5228" s="31"/>
      <c r="D5228" s="34" t="str">
        <f t="array" ref="D5228">IFNA(_xlfn.XLOOKUP(C5228,Table_Tarikan_Warkah[Nomor Sertipikat],Table_Tarikan_Warkah[Nomor Tiket]),"")</f>
        <v>AB036/ABSOLDWS</v>
      </c>
      <c r="E5228" s="36" t="str">
        <f t="array" ref="E5228">IFNA(_xlfn.XLOOKUP(D5228,Table_Tarikan_Warkah[Nomor Tiket],Table_Tarikan_Warkah[Tanggal diserahkan kepada Validator]),"")</f>
        <v/>
      </c>
      <c r="F5228" s="36" t="str">
        <f t="array" ref="F5228">IFNA(_xlfn.XLOOKUP(D5228,Table_Tarikan_Warkah[Nomor Tiket],Table_Tarikan_Warkah[Nama Petugas Warkah]),"")</f>
        <v/>
      </c>
      <c r="G5228" s="39" t="str">
        <f t="array" ref="G5228">IFNA(_xlfn.XLOOKUP(D5228,Table_Tarikan_Warkah[Nomor Tiket],Table_Tarikan_Warkah[Jenis Permohonan]),"")</f>
        <v>HIBAH</v>
      </c>
      <c r="H5228" s="70"/>
      <c r="I5228" s="49"/>
      <c r="J5228" s="36" t="str">
        <f t="shared" si="20"/>
        <v/>
      </c>
      <c r="K5228" s="69"/>
      <c r="L5228" s="49"/>
      <c r="M5228" s="36" t="str">
        <f t="shared" si="33"/>
        <v/>
      </c>
      <c r="N5228" s="30" t="str">
        <f t="shared" si="34"/>
        <v>BT atau SU Belum Valid</v>
      </c>
      <c r="O5228" s="39" t="str">
        <f t="shared" si="23"/>
        <v/>
      </c>
      <c r="P5228" s="47" t="b">
        <v>0</v>
      </c>
      <c r="Q5228" s="36" t="str">
        <f t="shared" si="35"/>
        <v/>
      </c>
      <c r="R5228" s="47" t="b">
        <v>0</v>
      </c>
      <c r="S5228" s="42" t="str">
        <f t="shared" si="28"/>
        <v/>
      </c>
      <c r="T5228" s="42"/>
    </row>
    <row r="5229" ht="22.5" customHeight="1">
      <c r="B5229" s="42">
        <f t="shared" si="7"/>
        <v>5223</v>
      </c>
      <c r="C5229" s="31"/>
      <c r="D5229" s="34" t="str">
        <f t="array" ref="D5229">IFNA(_xlfn.XLOOKUP(C5229,Table_Tarikan_Warkah[Nomor Sertipikat],Table_Tarikan_Warkah[Nomor Tiket]),"")</f>
        <v>AB036/ABSOLDWS</v>
      </c>
      <c r="E5229" s="36" t="str">
        <f t="array" ref="E5229">IFNA(_xlfn.XLOOKUP(D5229,Table_Tarikan_Warkah[Nomor Tiket],Table_Tarikan_Warkah[Tanggal diserahkan kepada Validator]),"")</f>
        <v/>
      </c>
      <c r="F5229" s="36" t="str">
        <f t="array" ref="F5229">IFNA(_xlfn.XLOOKUP(D5229,Table_Tarikan_Warkah[Nomor Tiket],Table_Tarikan_Warkah[Nama Petugas Warkah]),"")</f>
        <v/>
      </c>
      <c r="G5229" s="39" t="str">
        <f t="array" ref="G5229">IFNA(_xlfn.XLOOKUP(D5229,Table_Tarikan_Warkah[Nomor Tiket],Table_Tarikan_Warkah[Jenis Permohonan]),"")</f>
        <v>HIBAH</v>
      </c>
      <c r="H5229" s="70"/>
      <c r="I5229" s="49"/>
      <c r="J5229" s="36" t="str">
        <f t="shared" si="20"/>
        <v/>
      </c>
      <c r="K5229" s="69"/>
      <c r="L5229" s="49"/>
      <c r="M5229" s="36" t="str">
        <f t="shared" si="33"/>
        <v/>
      </c>
      <c r="N5229" s="30" t="str">
        <f t="shared" si="34"/>
        <v>BT atau SU Belum Valid</v>
      </c>
      <c r="O5229" s="39" t="str">
        <f t="shared" si="23"/>
        <v/>
      </c>
      <c r="P5229" s="47" t="b">
        <v>0</v>
      </c>
      <c r="Q5229" s="36" t="str">
        <f t="shared" si="35"/>
        <v/>
      </c>
      <c r="R5229" s="47" t="b">
        <v>0</v>
      </c>
      <c r="S5229" s="42" t="str">
        <f t="shared" si="28"/>
        <v/>
      </c>
      <c r="T5229" s="42"/>
    </row>
    <row r="5230" ht="22.5" customHeight="1">
      <c r="B5230" s="42">
        <f t="shared" si="7"/>
        <v>5224</v>
      </c>
      <c r="C5230" s="31"/>
      <c r="D5230" s="34" t="str">
        <f t="array" ref="D5230">IFNA(_xlfn.XLOOKUP(C5230,Table_Tarikan_Warkah[Nomor Sertipikat],Table_Tarikan_Warkah[Nomor Tiket]),"")</f>
        <v>AB036/ABSOLDWS</v>
      </c>
      <c r="E5230" s="36" t="str">
        <f t="array" ref="E5230">IFNA(_xlfn.XLOOKUP(D5230,Table_Tarikan_Warkah[Nomor Tiket],Table_Tarikan_Warkah[Tanggal diserahkan kepada Validator]),"")</f>
        <v/>
      </c>
      <c r="F5230" s="36" t="str">
        <f t="array" ref="F5230">IFNA(_xlfn.XLOOKUP(D5230,Table_Tarikan_Warkah[Nomor Tiket],Table_Tarikan_Warkah[Nama Petugas Warkah]),"")</f>
        <v/>
      </c>
      <c r="G5230" s="39" t="str">
        <f t="array" ref="G5230">IFNA(_xlfn.XLOOKUP(D5230,Table_Tarikan_Warkah[Nomor Tiket],Table_Tarikan_Warkah[Jenis Permohonan]),"")</f>
        <v>HIBAH</v>
      </c>
      <c r="H5230" s="70"/>
      <c r="I5230" s="49"/>
      <c r="J5230" s="36" t="str">
        <f t="shared" si="20"/>
        <v/>
      </c>
      <c r="K5230" s="69"/>
      <c r="L5230" s="49"/>
      <c r="M5230" s="36" t="str">
        <f t="shared" si="33"/>
        <v/>
      </c>
      <c r="N5230" s="30" t="str">
        <f t="shared" si="34"/>
        <v>BT atau SU Belum Valid</v>
      </c>
      <c r="O5230" s="39" t="str">
        <f t="shared" si="23"/>
        <v/>
      </c>
      <c r="P5230" s="47" t="b">
        <v>0</v>
      </c>
      <c r="Q5230" s="36" t="str">
        <f t="shared" si="35"/>
        <v/>
      </c>
      <c r="R5230" s="47" t="b">
        <v>0</v>
      </c>
      <c r="S5230" s="42" t="str">
        <f t="shared" si="28"/>
        <v/>
      </c>
      <c r="T5230" s="42"/>
    </row>
    <row r="5231" ht="22.5" customHeight="1">
      <c r="B5231" s="42">
        <f t="shared" si="7"/>
        <v>5225</v>
      </c>
      <c r="C5231" s="31"/>
      <c r="D5231" s="34" t="str">
        <f t="array" ref="D5231">IFNA(_xlfn.XLOOKUP(C5231,Table_Tarikan_Warkah[Nomor Sertipikat],Table_Tarikan_Warkah[Nomor Tiket]),"")</f>
        <v>AB036/ABSOLDWS</v>
      </c>
      <c r="E5231" s="36" t="str">
        <f t="array" ref="E5231">IFNA(_xlfn.XLOOKUP(D5231,Table_Tarikan_Warkah[Nomor Tiket],Table_Tarikan_Warkah[Tanggal diserahkan kepada Validator]),"")</f>
        <v/>
      </c>
      <c r="F5231" s="36" t="str">
        <f t="array" ref="F5231">IFNA(_xlfn.XLOOKUP(D5231,Table_Tarikan_Warkah[Nomor Tiket],Table_Tarikan_Warkah[Nama Petugas Warkah]),"")</f>
        <v/>
      </c>
      <c r="G5231" s="39" t="str">
        <f t="array" ref="G5231">IFNA(_xlfn.XLOOKUP(D5231,Table_Tarikan_Warkah[Nomor Tiket],Table_Tarikan_Warkah[Jenis Permohonan]),"")</f>
        <v>HIBAH</v>
      </c>
      <c r="H5231" s="70"/>
      <c r="I5231" s="49"/>
      <c r="J5231" s="36" t="str">
        <f t="shared" si="20"/>
        <v/>
      </c>
      <c r="K5231" s="69"/>
      <c r="L5231" s="49"/>
      <c r="M5231" s="36" t="str">
        <f t="shared" si="33"/>
        <v/>
      </c>
      <c r="N5231" s="30" t="str">
        <f t="shared" si="34"/>
        <v>BT atau SU Belum Valid</v>
      </c>
      <c r="O5231" s="39" t="str">
        <f t="shared" si="23"/>
        <v/>
      </c>
      <c r="P5231" s="47" t="b">
        <v>0</v>
      </c>
      <c r="Q5231" s="36" t="str">
        <f t="shared" si="35"/>
        <v/>
      </c>
      <c r="R5231" s="47" t="b">
        <v>0</v>
      </c>
      <c r="S5231" s="42" t="str">
        <f t="shared" si="28"/>
        <v/>
      </c>
      <c r="T5231" s="42"/>
    </row>
    <row r="5232" ht="22.5" customHeight="1">
      <c r="B5232" s="42">
        <f t="shared" si="7"/>
        <v>5226</v>
      </c>
      <c r="C5232" s="31"/>
      <c r="D5232" s="34" t="str">
        <f t="array" ref="D5232">IFNA(_xlfn.XLOOKUP(C5232,Table_Tarikan_Warkah[Nomor Sertipikat],Table_Tarikan_Warkah[Nomor Tiket]),"")</f>
        <v>AB036/ABSOLDWS</v>
      </c>
      <c r="E5232" s="36" t="str">
        <f t="array" ref="E5232">IFNA(_xlfn.XLOOKUP(D5232,Table_Tarikan_Warkah[Nomor Tiket],Table_Tarikan_Warkah[Tanggal diserahkan kepada Validator]),"")</f>
        <v/>
      </c>
      <c r="F5232" s="36" t="str">
        <f t="array" ref="F5232">IFNA(_xlfn.XLOOKUP(D5232,Table_Tarikan_Warkah[Nomor Tiket],Table_Tarikan_Warkah[Nama Petugas Warkah]),"")</f>
        <v/>
      </c>
      <c r="G5232" s="39" t="str">
        <f t="array" ref="G5232">IFNA(_xlfn.XLOOKUP(D5232,Table_Tarikan_Warkah[Nomor Tiket],Table_Tarikan_Warkah[Jenis Permohonan]),"")</f>
        <v>HIBAH</v>
      </c>
      <c r="H5232" s="70"/>
      <c r="I5232" s="49"/>
      <c r="J5232" s="36" t="str">
        <f t="shared" si="20"/>
        <v/>
      </c>
      <c r="K5232" s="69"/>
      <c r="L5232" s="49"/>
      <c r="M5232" s="36" t="str">
        <f t="shared" si="33"/>
        <v/>
      </c>
      <c r="N5232" s="30" t="str">
        <f t="shared" si="34"/>
        <v>BT atau SU Belum Valid</v>
      </c>
      <c r="O5232" s="39" t="str">
        <f t="shared" si="23"/>
        <v/>
      </c>
      <c r="P5232" s="47" t="b">
        <v>0</v>
      </c>
      <c r="Q5232" s="36" t="str">
        <f t="shared" si="35"/>
        <v/>
      </c>
      <c r="R5232" s="47" t="b">
        <v>0</v>
      </c>
      <c r="S5232" s="42" t="str">
        <f t="shared" si="28"/>
        <v/>
      </c>
      <c r="T5232" s="42"/>
    </row>
    <row r="5233" ht="22.5" customHeight="1">
      <c r="B5233" s="42">
        <f t="shared" si="7"/>
        <v>5227</v>
      </c>
      <c r="C5233" s="31"/>
      <c r="D5233" s="34" t="str">
        <f t="array" ref="D5233">IFNA(_xlfn.XLOOKUP(C5233,Table_Tarikan_Warkah[Nomor Sertipikat],Table_Tarikan_Warkah[Nomor Tiket]),"")</f>
        <v>AB036/ABSOLDWS</v>
      </c>
      <c r="E5233" s="36" t="str">
        <f t="array" ref="E5233">IFNA(_xlfn.XLOOKUP(D5233,Table_Tarikan_Warkah[Nomor Tiket],Table_Tarikan_Warkah[Tanggal diserahkan kepada Validator]),"")</f>
        <v/>
      </c>
      <c r="F5233" s="36" t="str">
        <f t="array" ref="F5233">IFNA(_xlfn.XLOOKUP(D5233,Table_Tarikan_Warkah[Nomor Tiket],Table_Tarikan_Warkah[Nama Petugas Warkah]),"")</f>
        <v/>
      </c>
      <c r="G5233" s="39" t="str">
        <f t="array" ref="G5233">IFNA(_xlfn.XLOOKUP(D5233,Table_Tarikan_Warkah[Nomor Tiket],Table_Tarikan_Warkah[Jenis Permohonan]),"")</f>
        <v>HIBAH</v>
      </c>
      <c r="H5233" s="70"/>
      <c r="I5233" s="49"/>
      <c r="J5233" s="36" t="str">
        <f t="shared" si="20"/>
        <v/>
      </c>
      <c r="K5233" s="69"/>
      <c r="L5233" s="49"/>
      <c r="M5233" s="36" t="str">
        <f t="shared" si="33"/>
        <v/>
      </c>
      <c r="N5233" s="30" t="str">
        <f t="shared" si="34"/>
        <v>BT atau SU Belum Valid</v>
      </c>
      <c r="O5233" s="39" t="str">
        <f t="shared" si="23"/>
        <v/>
      </c>
      <c r="P5233" s="47" t="b">
        <v>0</v>
      </c>
      <c r="Q5233" s="36" t="str">
        <f t="shared" si="35"/>
        <v/>
      </c>
      <c r="R5233" s="47" t="b">
        <v>0</v>
      </c>
      <c r="S5233" s="42" t="str">
        <f t="shared" si="28"/>
        <v/>
      </c>
      <c r="T5233" s="42"/>
    </row>
    <row r="5234" ht="22.5" customHeight="1">
      <c r="B5234" s="42">
        <f t="shared" si="7"/>
        <v>5228</v>
      </c>
      <c r="C5234" s="31"/>
      <c r="D5234" s="34" t="str">
        <f t="array" ref="D5234">IFNA(_xlfn.XLOOKUP(C5234,Table_Tarikan_Warkah[Nomor Sertipikat],Table_Tarikan_Warkah[Nomor Tiket]),"")</f>
        <v>AB036/ABSOLDWS</v>
      </c>
      <c r="E5234" s="36" t="str">
        <f t="array" ref="E5234">IFNA(_xlfn.XLOOKUP(D5234,Table_Tarikan_Warkah[Nomor Tiket],Table_Tarikan_Warkah[Tanggal diserahkan kepada Validator]),"")</f>
        <v/>
      </c>
      <c r="F5234" s="36" t="str">
        <f t="array" ref="F5234">IFNA(_xlfn.XLOOKUP(D5234,Table_Tarikan_Warkah[Nomor Tiket],Table_Tarikan_Warkah[Nama Petugas Warkah]),"")</f>
        <v/>
      </c>
      <c r="G5234" s="39" t="str">
        <f t="array" ref="G5234">IFNA(_xlfn.XLOOKUP(D5234,Table_Tarikan_Warkah[Nomor Tiket],Table_Tarikan_Warkah[Jenis Permohonan]),"")</f>
        <v>HIBAH</v>
      </c>
      <c r="H5234" s="70"/>
      <c r="I5234" s="49"/>
      <c r="J5234" s="36" t="str">
        <f t="shared" si="20"/>
        <v/>
      </c>
      <c r="K5234" s="69"/>
      <c r="L5234" s="49"/>
      <c r="M5234" s="36" t="str">
        <f t="shared" si="33"/>
        <v/>
      </c>
      <c r="N5234" s="30" t="str">
        <f t="shared" si="34"/>
        <v>BT atau SU Belum Valid</v>
      </c>
      <c r="O5234" s="39" t="str">
        <f t="shared" si="23"/>
        <v/>
      </c>
      <c r="P5234" s="47" t="b">
        <v>0</v>
      </c>
      <c r="Q5234" s="36" t="str">
        <f t="shared" si="35"/>
        <v/>
      </c>
      <c r="R5234" s="47" t="b">
        <v>0</v>
      </c>
      <c r="S5234" s="42" t="str">
        <f t="shared" si="28"/>
        <v/>
      </c>
      <c r="T5234" s="42"/>
    </row>
    <row r="5235" ht="22.5" customHeight="1">
      <c r="B5235" s="42">
        <f t="shared" si="7"/>
        <v>5229</v>
      </c>
      <c r="C5235" s="31"/>
      <c r="D5235" s="34" t="str">
        <f t="array" ref="D5235">IFNA(_xlfn.XLOOKUP(C5235,Table_Tarikan_Warkah[Nomor Sertipikat],Table_Tarikan_Warkah[Nomor Tiket]),"")</f>
        <v>AB036/ABSOLDWS</v>
      </c>
      <c r="E5235" s="36" t="str">
        <f t="array" ref="E5235">IFNA(_xlfn.XLOOKUP(D5235,Table_Tarikan_Warkah[Nomor Tiket],Table_Tarikan_Warkah[Tanggal diserahkan kepada Validator]),"")</f>
        <v/>
      </c>
      <c r="F5235" s="36" t="str">
        <f t="array" ref="F5235">IFNA(_xlfn.XLOOKUP(D5235,Table_Tarikan_Warkah[Nomor Tiket],Table_Tarikan_Warkah[Nama Petugas Warkah]),"")</f>
        <v/>
      </c>
      <c r="G5235" s="39" t="str">
        <f t="array" ref="G5235">IFNA(_xlfn.XLOOKUP(D5235,Table_Tarikan_Warkah[Nomor Tiket],Table_Tarikan_Warkah[Jenis Permohonan]),"")</f>
        <v>HIBAH</v>
      </c>
      <c r="H5235" s="70"/>
      <c r="I5235" s="49"/>
      <c r="J5235" s="36" t="str">
        <f t="shared" si="20"/>
        <v/>
      </c>
      <c r="K5235" s="69"/>
      <c r="L5235" s="49"/>
      <c r="M5235" s="36" t="str">
        <f t="shared" si="33"/>
        <v/>
      </c>
      <c r="N5235" s="30" t="str">
        <f t="shared" si="34"/>
        <v>BT atau SU Belum Valid</v>
      </c>
      <c r="O5235" s="39" t="str">
        <f t="shared" si="23"/>
        <v/>
      </c>
      <c r="P5235" s="47" t="b">
        <v>0</v>
      </c>
      <c r="Q5235" s="36" t="str">
        <f t="shared" si="35"/>
        <v/>
      </c>
      <c r="R5235" s="47" t="b">
        <v>0</v>
      </c>
      <c r="S5235" s="42" t="str">
        <f t="shared" si="28"/>
        <v/>
      </c>
      <c r="T5235" s="42"/>
    </row>
    <row r="5236" ht="22.5" customHeight="1">
      <c r="B5236" s="42">
        <f t="shared" si="7"/>
        <v>5230</v>
      </c>
      <c r="C5236" s="31"/>
      <c r="D5236" s="34" t="str">
        <f t="array" ref="D5236">IFNA(_xlfn.XLOOKUP(C5236,Table_Tarikan_Warkah[Nomor Sertipikat],Table_Tarikan_Warkah[Nomor Tiket]),"")</f>
        <v>AB036/ABSOLDWS</v>
      </c>
      <c r="E5236" s="36" t="str">
        <f t="array" ref="E5236">IFNA(_xlfn.XLOOKUP(D5236,Table_Tarikan_Warkah[Nomor Tiket],Table_Tarikan_Warkah[Tanggal diserahkan kepada Validator]),"")</f>
        <v/>
      </c>
      <c r="F5236" s="36" t="str">
        <f t="array" ref="F5236">IFNA(_xlfn.XLOOKUP(D5236,Table_Tarikan_Warkah[Nomor Tiket],Table_Tarikan_Warkah[Nama Petugas Warkah]),"")</f>
        <v/>
      </c>
      <c r="G5236" s="39" t="str">
        <f t="array" ref="G5236">IFNA(_xlfn.XLOOKUP(D5236,Table_Tarikan_Warkah[Nomor Tiket],Table_Tarikan_Warkah[Jenis Permohonan]),"")</f>
        <v>HIBAH</v>
      </c>
      <c r="H5236" s="70"/>
      <c r="I5236" s="49"/>
      <c r="J5236" s="36" t="str">
        <f t="shared" si="20"/>
        <v/>
      </c>
      <c r="K5236" s="69"/>
      <c r="L5236" s="49"/>
      <c r="M5236" s="36" t="str">
        <f t="shared" si="33"/>
        <v/>
      </c>
      <c r="N5236" s="30" t="str">
        <f t="shared" si="34"/>
        <v>BT atau SU Belum Valid</v>
      </c>
      <c r="O5236" s="39" t="str">
        <f t="shared" si="23"/>
        <v/>
      </c>
      <c r="P5236" s="47" t="b">
        <v>0</v>
      </c>
      <c r="Q5236" s="36" t="str">
        <f t="shared" si="35"/>
        <v/>
      </c>
      <c r="R5236" s="47" t="b">
        <v>0</v>
      </c>
      <c r="S5236" s="42" t="str">
        <f t="shared" si="28"/>
        <v/>
      </c>
      <c r="T5236" s="42"/>
    </row>
    <row r="5237" ht="22.5" customHeight="1">
      <c r="B5237" s="42">
        <f t="shared" si="7"/>
        <v>5231</v>
      </c>
      <c r="C5237" s="31"/>
      <c r="D5237" s="34" t="str">
        <f t="array" ref="D5237">IFNA(_xlfn.XLOOKUP(C5237,Table_Tarikan_Warkah[Nomor Sertipikat],Table_Tarikan_Warkah[Nomor Tiket]),"")</f>
        <v>AB036/ABSOLDWS</v>
      </c>
      <c r="E5237" s="36" t="str">
        <f t="array" ref="E5237">IFNA(_xlfn.XLOOKUP(D5237,Table_Tarikan_Warkah[Nomor Tiket],Table_Tarikan_Warkah[Tanggal diserahkan kepada Validator]),"")</f>
        <v/>
      </c>
      <c r="F5237" s="36" t="str">
        <f t="array" ref="F5237">IFNA(_xlfn.XLOOKUP(D5237,Table_Tarikan_Warkah[Nomor Tiket],Table_Tarikan_Warkah[Nama Petugas Warkah]),"")</f>
        <v/>
      </c>
      <c r="G5237" s="39" t="str">
        <f t="array" ref="G5237">IFNA(_xlfn.XLOOKUP(D5237,Table_Tarikan_Warkah[Nomor Tiket],Table_Tarikan_Warkah[Jenis Permohonan]),"")</f>
        <v>HIBAH</v>
      </c>
      <c r="H5237" s="70"/>
      <c r="I5237" s="49"/>
      <c r="J5237" s="36" t="str">
        <f t="shared" si="20"/>
        <v/>
      </c>
      <c r="K5237" s="69"/>
      <c r="L5237" s="49"/>
      <c r="M5237" s="36" t="str">
        <f t="shared" si="33"/>
        <v/>
      </c>
      <c r="N5237" s="30" t="str">
        <f t="shared" si="34"/>
        <v>BT atau SU Belum Valid</v>
      </c>
      <c r="O5237" s="39" t="str">
        <f t="shared" si="23"/>
        <v/>
      </c>
      <c r="P5237" s="47" t="b">
        <v>0</v>
      </c>
      <c r="Q5237" s="36" t="str">
        <f t="shared" si="35"/>
        <v/>
      </c>
      <c r="R5237" s="47" t="b">
        <v>0</v>
      </c>
      <c r="S5237" s="42" t="str">
        <f t="shared" si="28"/>
        <v/>
      </c>
      <c r="T5237" s="42"/>
    </row>
    <row r="5238" ht="22.5" customHeight="1">
      <c r="B5238" s="42">
        <f t="shared" si="7"/>
        <v>5232</v>
      </c>
      <c r="C5238" s="31"/>
      <c r="D5238" s="34" t="str">
        <f t="array" ref="D5238">IFNA(_xlfn.XLOOKUP(C5238,Table_Tarikan_Warkah[Nomor Sertipikat],Table_Tarikan_Warkah[Nomor Tiket]),"")</f>
        <v>AB036/ABSOLDWS</v>
      </c>
      <c r="E5238" s="36" t="str">
        <f t="array" ref="E5238">IFNA(_xlfn.XLOOKUP(D5238,Table_Tarikan_Warkah[Nomor Tiket],Table_Tarikan_Warkah[Tanggal diserahkan kepada Validator]),"")</f>
        <v/>
      </c>
      <c r="F5238" s="36" t="str">
        <f t="array" ref="F5238">IFNA(_xlfn.XLOOKUP(D5238,Table_Tarikan_Warkah[Nomor Tiket],Table_Tarikan_Warkah[Nama Petugas Warkah]),"")</f>
        <v/>
      </c>
      <c r="G5238" s="39" t="str">
        <f t="array" ref="G5238">IFNA(_xlfn.XLOOKUP(D5238,Table_Tarikan_Warkah[Nomor Tiket],Table_Tarikan_Warkah[Jenis Permohonan]),"")</f>
        <v>HIBAH</v>
      </c>
      <c r="H5238" s="70"/>
      <c r="I5238" s="49"/>
      <c r="J5238" s="36" t="str">
        <f t="shared" si="20"/>
        <v/>
      </c>
      <c r="K5238" s="69"/>
      <c r="L5238" s="49"/>
      <c r="M5238" s="36" t="str">
        <f t="shared" si="33"/>
        <v/>
      </c>
      <c r="N5238" s="30" t="str">
        <f t="shared" si="34"/>
        <v>BT atau SU Belum Valid</v>
      </c>
      <c r="O5238" s="39" t="str">
        <f t="shared" si="23"/>
        <v/>
      </c>
      <c r="P5238" s="47" t="b">
        <v>0</v>
      </c>
      <c r="Q5238" s="36" t="str">
        <f t="shared" si="35"/>
        <v/>
      </c>
      <c r="R5238" s="47" t="b">
        <v>0</v>
      </c>
      <c r="S5238" s="42" t="str">
        <f t="shared" si="28"/>
        <v/>
      </c>
      <c r="T5238" s="42"/>
    </row>
    <row r="5239" ht="22.5" customHeight="1">
      <c r="B5239" s="42">
        <f t="shared" si="7"/>
        <v>5233</v>
      </c>
      <c r="C5239" s="31"/>
      <c r="D5239" s="34" t="str">
        <f t="array" ref="D5239">IFNA(_xlfn.XLOOKUP(C5239,Table_Tarikan_Warkah[Nomor Sertipikat],Table_Tarikan_Warkah[Nomor Tiket]),"")</f>
        <v>AB036/ABSOLDWS</v>
      </c>
      <c r="E5239" s="36" t="str">
        <f t="array" ref="E5239">IFNA(_xlfn.XLOOKUP(D5239,Table_Tarikan_Warkah[Nomor Tiket],Table_Tarikan_Warkah[Tanggal diserahkan kepada Validator]),"")</f>
        <v/>
      </c>
      <c r="F5239" s="36" t="str">
        <f t="array" ref="F5239">IFNA(_xlfn.XLOOKUP(D5239,Table_Tarikan_Warkah[Nomor Tiket],Table_Tarikan_Warkah[Nama Petugas Warkah]),"")</f>
        <v/>
      </c>
      <c r="G5239" s="39" t="str">
        <f t="array" ref="G5239">IFNA(_xlfn.XLOOKUP(D5239,Table_Tarikan_Warkah[Nomor Tiket],Table_Tarikan_Warkah[Jenis Permohonan]),"")</f>
        <v>HIBAH</v>
      </c>
      <c r="H5239" s="70"/>
      <c r="I5239" s="49"/>
      <c r="J5239" s="36" t="str">
        <f t="shared" si="20"/>
        <v/>
      </c>
      <c r="K5239" s="69"/>
      <c r="L5239" s="49"/>
      <c r="M5239" s="36" t="str">
        <f t="shared" si="33"/>
        <v/>
      </c>
      <c r="N5239" s="30" t="str">
        <f t="shared" si="34"/>
        <v>BT atau SU Belum Valid</v>
      </c>
      <c r="O5239" s="39" t="str">
        <f t="shared" si="23"/>
        <v/>
      </c>
      <c r="P5239" s="47" t="b">
        <v>0</v>
      </c>
      <c r="Q5239" s="36" t="str">
        <f t="shared" si="35"/>
        <v/>
      </c>
      <c r="R5239" s="47" t="b">
        <v>0</v>
      </c>
      <c r="S5239" s="42" t="str">
        <f t="shared" si="28"/>
        <v/>
      </c>
      <c r="T5239" s="42"/>
    </row>
    <row r="5240" ht="22.5" customHeight="1">
      <c r="B5240" s="42">
        <f t="shared" si="7"/>
        <v>5234</v>
      </c>
      <c r="C5240" s="31"/>
      <c r="D5240" s="34" t="str">
        <f t="array" ref="D5240">IFNA(_xlfn.XLOOKUP(C5240,Table_Tarikan_Warkah[Nomor Sertipikat],Table_Tarikan_Warkah[Nomor Tiket]),"")</f>
        <v>AB036/ABSOLDWS</v>
      </c>
      <c r="E5240" s="36" t="str">
        <f t="array" ref="E5240">IFNA(_xlfn.XLOOKUP(D5240,Table_Tarikan_Warkah[Nomor Tiket],Table_Tarikan_Warkah[Tanggal diserahkan kepada Validator]),"")</f>
        <v/>
      </c>
      <c r="F5240" s="36" t="str">
        <f t="array" ref="F5240">IFNA(_xlfn.XLOOKUP(D5240,Table_Tarikan_Warkah[Nomor Tiket],Table_Tarikan_Warkah[Nama Petugas Warkah]),"")</f>
        <v/>
      </c>
      <c r="G5240" s="39" t="str">
        <f t="array" ref="G5240">IFNA(_xlfn.XLOOKUP(D5240,Table_Tarikan_Warkah[Nomor Tiket],Table_Tarikan_Warkah[Jenis Permohonan]),"")</f>
        <v>HIBAH</v>
      </c>
      <c r="H5240" s="70"/>
      <c r="I5240" s="49"/>
      <c r="J5240" s="36" t="str">
        <f t="shared" si="20"/>
        <v/>
      </c>
      <c r="K5240" s="69"/>
      <c r="L5240" s="49"/>
      <c r="M5240" s="36" t="str">
        <f t="shared" si="33"/>
        <v/>
      </c>
      <c r="N5240" s="30" t="str">
        <f t="shared" si="34"/>
        <v>BT atau SU Belum Valid</v>
      </c>
      <c r="O5240" s="39" t="str">
        <f t="shared" si="23"/>
        <v/>
      </c>
      <c r="P5240" s="47" t="b">
        <v>0</v>
      </c>
      <c r="Q5240" s="36" t="str">
        <f t="shared" si="35"/>
        <v/>
      </c>
      <c r="R5240" s="47" t="b">
        <v>0</v>
      </c>
      <c r="S5240" s="42" t="str">
        <f t="shared" si="28"/>
        <v/>
      </c>
      <c r="T5240" s="42"/>
    </row>
    <row r="5241" ht="22.5" customHeight="1">
      <c r="B5241" s="42">
        <f t="shared" si="7"/>
        <v>5235</v>
      </c>
      <c r="C5241" s="31"/>
      <c r="D5241" s="34" t="str">
        <f t="array" ref="D5241">IFNA(_xlfn.XLOOKUP(C5241,Table_Tarikan_Warkah[Nomor Sertipikat],Table_Tarikan_Warkah[Nomor Tiket]),"")</f>
        <v>AB036/ABSOLDWS</v>
      </c>
      <c r="E5241" s="36" t="str">
        <f t="array" ref="E5241">IFNA(_xlfn.XLOOKUP(D5241,Table_Tarikan_Warkah[Nomor Tiket],Table_Tarikan_Warkah[Tanggal diserahkan kepada Validator]),"")</f>
        <v/>
      </c>
      <c r="F5241" s="36" t="str">
        <f t="array" ref="F5241">IFNA(_xlfn.XLOOKUP(D5241,Table_Tarikan_Warkah[Nomor Tiket],Table_Tarikan_Warkah[Nama Petugas Warkah]),"")</f>
        <v/>
      </c>
      <c r="G5241" s="39" t="str">
        <f t="array" ref="G5241">IFNA(_xlfn.XLOOKUP(D5241,Table_Tarikan_Warkah[Nomor Tiket],Table_Tarikan_Warkah[Jenis Permohonan]),"")</f>
        <v>HIBAH</v>
      </c>
      <c r="H5241" s="70"/>
      <c r="I5241" s="49"/>
      <c r="J5241" s="36" t="str">
        <f t="shared" si="20"/>
        <v/>
      </c>
      <c r="K5241" s="69"/>
      <c r="L5241" s="49"/>
      <c r="M5241" s="36" t="str">
        <f t="shared" si="33"/>
        <v/>
      </c>
      <c r="N5241" s="30" t="str">
        <f t="shared" si="34"/>
        <v>BT atau SU Belum Valid</v>
      </c>
      <c r="O5241" s="39" t="str">
        <f t="shared" si="23"/>
        <v/>
      </c>
      <c r="P5241" s="47" t="b">
        <v>0</v>
      </c>
      <c r="Q5241" s="36" t="str">
        <f t="shared" si="35"/>
        <v/>
      </c>
      <c r="R5241" s="47" t="b">
        <v>0</v>
      </c>
      <c r="S5241" s="42" t="str">
        <f t="shared" si="28"/>
        <v/>
      </c>
      <c r="T5241" s="42"/>
    </row>
  </sheetData>
  <mergeCells count="2">
    <mergeCell ref="E4:K4"/>
    <mergeCell ref="E5:K5"/>
  </mergeCells>
  <conditionalFormatting sqref="C7:C5241">
    <cfRule type="expression" dxfId="5" priority="1">
      <formula>countif($C$7:$C$1241,C7)&gt;1</formula>
    </cfRule>
  </conditionalFormatting>
  <dataValidations>
    <dataValidation type="list" allowBlank="1" sqref="H7:H5241">
      <formula1>"Afriza (BT),Nadian (BT),Admin (Migrasi),Heri (BT)"</formula1>
    </dataValidation>
    <dataValidation type="list" allowBlank="1" sqref="I7:I5241 L7:L5241">
      <formula1>"SELESAI,SELESAI (VIA PERMOHONAN)"</formula1>
    </dataValidation>
    <dataValidation type="list" allowBlank="1" sqref="K7:K5241">
      <formula1>"Aprill (SU),Bu Eva (SU),Admin (Migrasi),Eci (SU),Haliza SU"</formula1>
    </dataValidation>
    <dataValidation type="list" allowBlank="1" sqref="C7:C5241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4" t="s">
        <v>11</v>
      </c>
      <c r="D2" s="5" t="s">
        <v>12</v>
      </c>
      <c r="E2" s="6" t="s">
        <v>13</v>
      </c>
      <c r="F2" s="7"/>
      <c r="G2" s="8" t="b">
        <v>0</v>
      </c>
      <c r="H2" s="7"/>
      <c r="I2" s="9"/>
    </row>
    <row r="3">
      <c r="A3" s="10" t="s">
        <v>14</v>
      </c>
      <c r="B3" s="10" t="s">
        <v>15</v>
      </c>
      <c r="C3" s="11" t="s">
        <v>11</v>
      </c>
      <c r="D3" s="12" t="s">
        <v>12</v>
      </c>
      <c r="E3" s="13" t="s">
        <v>13</v>
      </c>
      <c r="F3" s="14"/>
      <c r="G3" s="15" t="b">
        <v>0</v>
      </c>
      <c r="H3" s="14"/>
      <c r="I3" s="16"/>
    </row>
    <row r="4">
      <c r="A4" s="3" t="s">
        <v>16</v>
      </c>
      <c r="B4" s="3" t="s">
        <v>17</v>
      </c>
      <c r="C4" s="4" t="s">
        <v>11</v>
      </c>
      <c r="D4" s="7"/>
      <c r="E4" s="7"/>
      <c r="F4" s="7"/>
      <c r="G4" s="8" t="b">
        <v>0</v>
      </c>
      <c r="H4" s="7"/>
      <c r="I4" s="9"/>
    </row>
    <row r="5">
      <c r="A5" s="3" t="s">
        <v>18</v>
      </c>
      <c r="B5" s="3" t="s">
        <v>19</v>
      </c>
      <c r="C5" s="17" t="s">
        <v>20</v>
      </c>
      <c r="D5" s="5" t="s">
        <v>12</v>
      </c>
      <c r="E5" s="6" t="s">
        <v>13</v>
      </c>
      <c r="F5" s="7"/>
      <c r="G5" s="8" t="b">
        <v>1</v>
      </c>
      <c r="H5" s="6" t="s">
        <v>13</v>
      </c>
      <c r="I5" s="18" t="s">
        <v>13</v>
      </c>
    </row>
    <row r="6">
      <c r="A6" s="10" t="s">
        <v>21</v>
      </c>
      <c r="B6" s="10" t="s">
        <v>22</v>
      </c>
      <c r="C6" s="11" t="s">
        <v>11</v>
      </c>
      <c r="D6" s="11" t="s">
        <v>23</v>
      </c>
      <c r="E6" s="13" t="s">
        <v>13</v>
      </c>
      <c r="F6" s="14"/>
      <c r="G6" s="15" t="b">
        <v>0</v>
      </c>
      <c r="H6" s="14"/>
      <c r="I6" s="16"/>
    </row>
    <row r="7">
      <c r="A7" s="3" t="s">
        <v>24</v>
      </c>
      <c r="B7" s="3" t="s">
        <v>25</v>
      </c>
      <c r="C7" s="4" t="s">
        <v>11</v>
      </c>
      <c r="D7" s="4" t="s">
        <v>23</v>
      </c>
      <c r="E7" s="6" t="s">
        <v>13</v>
      </c>
      <c r="F7" s="19" t="s">
        <v>26</v>
      </c>
      <c r="G7" s="8" t="b">
        <v>1</v>
      </c>
      <c r="H7" s="6" t="s">
        <v>13</v>
      </c>
      <c r="I7" s="20" t="s">
        <v>27</v>
      </c>
    </row>
    <row r="8">
      <c r="A8" s="10" t="s">
        <v>28</v>
      </c>
      <c r="B8" s="10" t="s">
        <v>29</v>
      </c>
      <c r="C8" s="11" t="s">
        <v>11</v>
      </c>
      <c r="D8" s="11" t="s">
        <v>23</v>
      </c>
      <c r="E8" s="13" t="s">
        <v>13</v>
      </c>
      <c r="G8" s="15" t="b">
        <v>0</v>
      </c>
      <c r="H8" s="14"/>
      <c r="I8" s="16"/>
    </row>
    <row r="9">
      <c r="A9" s="3" t="s">
        <v>30</v>
      </c>
      <c r="B9" s="3" t="s">
        <v>31</v>
      </c>
      <c r="C9" s="4" t="s">
        <v>11</v>
      </c>
      <c r="D9" s="4" t="s">
        <v>23</v>
      </c>
      <c r="E9" s="6" t="s">
        <v>13</v>
      </c>
      <c r="G9" s="8" t="b">
        <v>0</v>
      </c>
      <c r="H9" s="7"/>
      <c r="I9" s="9"/>
    </row>
    <row r="10">
      <c r="A10" s="3" t="s">
        <v>32</v>
      </c>
      <c r="B10" s="3" t="s">
        <v>33</v>
      </c>
      <c r="C10" s="4" t="s">
        <v>11</v>
      </c>
      <c r="D10" s="4" t="s">
        <v>23</v>
      </c>
      <c r="E10" s="6" t="s">
        <v>13</v>
      </c>
      <c r="G10" s="8" t="b">
        <v>0</v>
      </c>
      <c r="H10" s="7"/>
      <c r="I10" s="9"/>
    </row>
    <row r="11">
      <c r="A11" s="10" t="s">
        <v>35</v>
      </c>
      <c r="B11" s="10" t="s">
        <v>36</v>
      </c>
      <c r="C11" s="11" t="s">
        <v>11</v>
      </c>
      <c r="D11" s="11" t="s">
        <v>23</v>
      </c>
      <c r="E11" s="13" t="s">
        <v>13</v>
      </c>
      <c r="G11" s="15" t="b">
        <v>0</v>
      </c>
      <c r="H11" s="14"/>
      <c r="I11" s="16"/>
    </row>
    <row r="12">
      <c r="A12" s="3" t="s">
        <v>38</v>
      </c>
      <c r="B12" s="3" t="s">
        <v>39</v>
      </c>
      <c r="C12" s="4" t="s">
        <v>11</v>
      </c>
      <c r="D12" s="4" t="s">
        <v>23</v>
      </c>
      <c r="E12" s="6" t="s">
        <v>13</v>
      </c>
      <c r="G12" s="8" t="b">
        <v>0</v>
      </c>
      <c r="H12" s="7"/>
      <c r="I12" s="9"/>
    </row>
    <row r="13">
      <c r="A13" s="10" t="s">
        <v>42</v>
      </c>
      <c r="B13" s="10" t="s">
        <v>43</v>
      </c>
      <c r="C13" s="11" t="s">
        <v>11</v>
      </c>
      <c r="D13" s="11" t="s">
        <v>23</v>
      </c>
      <c r="E13" s="13" t="s">
        <v>13</v>
      </c>
      <c r="G13" s="15" t="b">
        <v>0</v>
      </c>
      <c r="H13" s="14"/>
      <c r="I13" s="16"/>
    </row>
    <row r="14">
      <c r="A14" s="3" t="s">
        <v>45</v>
      </c>
      <c r="B14" s="3" t="s">
        <v>47</v>
      </c>
      <c r="C14" s="4" t="s">
        <v>11</v>
      </c>
      <c r="D14" s="4" t="s">
        <v>23</v>
      </c>
      <c r="E14" s="6" t="s">
        <v>13</v>
      </c>
      <c r="G14" s="8" t="b">
        <v>0</v>
      </c>
      <c r="H14" s="7"/>
      <c r="I14" s="9"/>
    </row>
    <row r="15">
      <c r="A15" s="10" t="s">
        <v>49</v>
      </c>
      <c r="B15" s="10" t="s">
        <v>50</v>
      </c>
      <c r="C15" s="11" t="s">
        <v>11</v>
      </c>
      <c r="D15" s="11" t="s">
        <v>23</v>
      </c>
      <c r="E15" s="13" t="s">
        <v>13</v>
      </c>
      <c r="G15" s="15" t="b">
        <v>0</v>
      </c>
      <c r="H15" s="14"/>
      <c r="I15" s="16"/>
    </row>
    <row r="16">
      <c r="A16" s="3" t="s">
        <v>51</v>
      </c>
      <c r="B16" s="3" t="s">
        <v>52</v>
      </c>
      <c r="C16" s="4" t="s">
        <v>11</v>
      </c>
      <c r="D16" s="4" t="s">
        <v>23</v>
      </c>
      <c r="E16" s="6" t="s">
        <v>13</v>
      </c>
      <c r="G16" s="8" t="b">
        <v>0</v>
      </c>
      <c r="H16" s="7"/>
      <c r="I16" s="9"/>
    </row>
    <row r="17">
      <c r="A17" s="10" t="s">
        <v>53</v>
      </c>
      <c r="B17" s="10" t="s">
        <v>54</v>
      </c>
      <c r="C17" s="11" t="s">
        <v>11</v>
      </c>
      <c r="D17" s="11" t="s">
        <v>23</v>
      </c>
      <c r="E17" s="13" t="s">
        <v>13</v>
      </c>
      <c r="G17" s="15" t="b">
        <v>0</v>
      </c>
      <c r="H17" s="14"/>
      <c r="I17" s="16"/>
    </row>
    <row r="18">
      <c r="A18" s="3" t="s">
        <v>58</v>
      </c>
      <c r="B18" s="3" t="s">
        <v>59</v>
      </c>
      <c r="C18" s="4" t="s">
        <v>11</v>
      </c>
      <c r="D18" s="4" t="s">
        <v>23</v>
      </c>
      <c r="E18" s="6" t="s">
        <v>13</v>
      </c>
      <c r="G18" s="8" t="b">
        <v>0</v>
      </c>
      <c r="H18" s="7"/>
      <c r="I18" s="9"/>
    </row>
    <row r="19">
      <c r="A19" s="10" t="s">
        <v>63</v>
      </c>
      <c r="B19" s="10" t="s">
        <v>65</v>
      </c>
      <c r="C19" s="11" t="s">
        <v>11</v>
      </c>
      <c r="D19" s="11" t="s">
        <v>23</v>
      </c>
      <c r="E19" s="13" t="s">
        <v>13</v>
      </c>
      <c r="G19" s="15" t="b">
        <v>0</v>
      </c>
      <c r="H19" s="14"/>
      <c r="I19" s="16"/>
    </row>
    <row r="20">
      <c r="A20" s="3" t="s">
        <v>68</v>
      </c>
      <c r="B20" s="3" t="s">
        <v>69</v>
      </c>
      <c r="C20" s="4" t="s">
        <v>11</v>
      </c>
      <c r="D20" s="4" t="s">
        <v>23</v>
      </c>
      <c r="E20" s="6" t="s">
        <v>13</v>
      </c>
      <c r="G20" s="8" t="b">
        <v>0</v>
      </c>
      <c r="H20" s="7"/>
      <c r="I20" s="9"/>
    </row>
    <row r="21">
      <c r="A21" s="10" t="s">
        <v>70</v>
      </c>
      <c r="B21" s="10" t="s">
        <v>71</v>
      </c>
      <c r="C21" s="11" t="s">
        <v>11</v>
      </c>
      <c r="D21" s="11" t="s">
        <v>23</v>
      </c>
      <c r="E21" s="13" t="s">
        <v>13</v>
      </c>
      <c r="G21" s="15" t="b">
        <v>0</v>
      </c>
      <c r="H21" s="14"/>
      <c r="I21" s="16"/>
    </row>
    <row r="22">
      <c r="A22" s="3" t="s">
        <v>73</v>
      </c>
      <c r="B22" s="3" t="s">
        <v>74</v>
      </c>
      <c r="C22" s="4" t="s">
        <v>11</v>
      </c>
      <c r="D22" s="4" t="s">
        <v>23</v>
      </c>
      <c r="E22" s="6" t="s">
        <v>13</v>
      </c>
      <c r="G22" s="8" t="b">
        <v>0</v>
      </c>
      <c r="H22" s="7"/>
      <c r="I22" s="9"/>
    </row>
    <row r="23">
      <c r="A23" s="3" t="s">
        <v>75</v>
      </c>
      <c r="B23" s="3" t="s">
        <v>76</v>
      </c>
      <c r="C23" s="17" t="s">
        <v>20</v>
      </c>
      <c r="D23" s="4" t="s">
        <v>23</v>
      </c>
      <c r="E23" s="6" t="s">
        <v>13</v>
      </c>
      <c r="G23" s="8" t="b">
        <v>0</v>
      </c>
      <c r="H23" s="7"/>
      <c r="I23" s="9"/>
    </row>
    <row r="24">
      <c r="A24" s="10" t="s">
        <v>78</v>
      </c>
      <c r="B24" s="10" t="s">
        <v>79</v>
      </c>
      <c r="C24" s="33" t="s">
        <v>20</v>
      </c>
      <c r="D24" s="11" t="s">
        <v>23</v>
      </c>
      <c r="E24" s="13" t="s">
        <v>13</v>
      </c>
      <c r="G24" s="15" t="b">
        <v>0</v>
      </c>
      <c r="H24" s="14"/>
      <c r="I24" s="16"/>
    </row>
    <row r="25">
      <c r="A25" s="3" t="s">
        <v>80</v>
      </c>
      <c r="B25" s="3" t="s">
        <v>81</v>
      </c>
      <c r="C25" s="17" t="s">
        <v>20</v>
      </c>
      <c r="D25" s="4" t="s">
        <v>23</v>
      </c>
      <c r="E25" s="6" t="s">
        <v>13</v>
      </c>
      <c r="G25" s="8" t="b">
        <v>0</v>
      </c>
      <c r="H25" s="7"/>
      <c r="I25" s="9"/>
    </row>
    <row r="26">
      <c r="A26" s="10" t="s">
        <v>82</v>
      </c>
      <c r="B26" s="10" t="s">
        <v>83</v>
      </c>
      <c r="C26" s="33" t="s">
        <v>20</v>
      </c>
      <c r="D26" s="11" t="s">
        <v>23</v>
      </c>
      <c r="E26" s="13" t="s">
        <v>13</v>
      </c>
      <c r="G26" s="15" t="b">
        <v>0</v>
      </c>
      <c r="H26" s="14"/>
      <c r="I26" s="16"/>
    </row>
    <row r="27">
      <c r="A27" s="3" t="s">
        <v>84</v>
      </c>
      <c r="B27" s="3" t="s">
        <v>85</v>
      </c>
      <c r="C27" s="17" t="s">
        <v>20</v>
      </c>
      <c r="D27" s="4" t="s">
        <v>23</v>
      </c>
      <c r="E27" s="6" t="s">
        <v>13</v>
      </c>
      <c r="G27" s="8" t="b">
        <v>0</v>
      </c>
      <c r="H27" s="7"/>
      <c r="I27" s="9"/>
    </row>
    <row r="28">
      <c r="A28" s="10" t="s">
        <v>86</v>
      </c>
      <c r="B28" s="10" t="s">
        <v>87</v>
      </c>
      <c r="C28" s="33" t="s">
        <v>20</v>
      </c>
      <c r="D28" s="11" t="s">
        <v>23</v>
      </c>
      <c r="E28" s="13" t="s">
        <v>13</v>
      </c>
      <c r="G28" s="15" t="b">
        <v>0</v>
      </c>
      <c r="H28" s="14"/>
      <c r="I28" s="16"/>
    </row>
    <row r="29">
      <c r="A29" s="3" t="s">
        <v>89</v>
      </c>
      <c r="B29" s="3" t="s">
        <v>90</v>
      </c>
      <c r="C29" s="17" t="s">
        <v>20</v>
      </c>
      <c r="D29" s="4" t="s">
        <v>23</v>
      </c>
      <c r="E29" s="6" t="s">
        <v>13</v>
      </c>
      <c r="G29" s="8" t="b">
        <v>0</v>
      </c>
      <c r="H29" s="7"/>
      <c r="I29" s="9"/>
    </row>
    <row r="30">
      <c r="A30" s="10" t="s">
        <v>92</v>
      </c>
      <c r="B30" s="10" t="s">
        <v>93</v>
      </c>
      <c r="C30" s="33" t="s">
        <v>20</v>
      </c>
      <c r="D30" s="11" t="s">
        <v>23</v>
      </c>
      <c r="E30" s="13" t="s">
        <v>13</v>
      </c>
      <c r="G30" s="15" t="b">
        <v>0</v>
      </c>
      <c r="H30" s="14"/>
      <c r="I30" s="16"/>
    </row>
    <row r="31">
      <c r="A31" s="3" t="s">
        <v>95</v>
      </c>
      <c r="B31" s="3" t="s">
        <v>96</v>
      </c>
      <c r="C31" s="17" t="s">
        <v>20</v>
      </c>
      <c r="D31" s="4" t="s">
        <v>23</v>
      </c>
      <c r="E31" s="6" t="s">
        <v>13</v>
      </c>
      <c r="G31" s="8" t="b">
        <v>0</v>
      </c>
      <c r="H31" s="7"/>
      <c r="I31" s="9"/>
    </row>
    <row r="32">
      <c r="A32" s="10" t="s">
        <v>98</v>
      </c>
      <c r="B32" s="10" t="s">
        <v>99</v>
      </c>
      <c r="C32" s="33" t="s">
        <v>20</v>
      </c>
      <c r="D32" s="11" t="s">
        <v>23</v>
      </c>
      <c r="E32" s="13" t="s">
        <v>13</v>
      </c>
      <c r="G32" s="15" t="b">
        <v>0</v>
      </c>
      <c r="H32" s="14"/>
      <c r="I32" s="16"/>
    </row>
    <row r="33">
      <c r="A33" s="3" t="s">
        <v>100</v>
      </c>
      <c r="B33" s="3" t="s">
        <v>101</v>
      </c>
      <c r="C33" s="17" t="s">
        <v>20</v>
      </c>
      <c r="D33" s="4" t="s">
        <v>23</v>
      </c>
      <c r="E33" s="6" t="s">
        <v>13</v>
      </c>
      <c r="G33" s="8" t="b">
        <v>0</v>
      </c>
      <c r="H33" s="7"/>
      <c r="I33" s="9"/>
    </row>
    <row r="34">
      <c r="A34" s="3" t="s">
        <v>102</v>
      </c>
      <c r="B34" s="3" t="s">
        <v>103</v>
      </c>
      <c r="C34" s="17" t="s">
        <v>20</v>
      </c>
      <c r="D34" s="4" t="s">
        <v>23</v>
      </c>
      <c r="E34" s="6" t="s">
        <v>13</v>
      </c>
      <c r="G34" s="8" t="b">
        <v>0</v>
      </c>
      <c r="H34" s="7"/>
      <c r="I34" s="9"/>
    </row>
    <row r="35">
      <c r="A35" s="10" t="s">
        <v>104</v>
      </c>
      <c r="B35" s="10" t="s">
        <v>105</v>
      </c>
      <c r="C35" s="33" t="s">
        <v>20</v>
      </c>
      <c r="D35" s="11" t="s">
        <v>23</v>
      </c>
      <c r="E35" s="13" t="s">
        <v>13</v>
      </c>
      <c r="G35" s="15" t="b">
        <v>1</v>
      </c>
      <c r="H35" s="13" t="s">
        <v>13</v>
      </c>
      <c r="I35" s="43" t="s">
        <v>27</v>
      </c>
    </row>
    <row r="36">
      <c r="A36" s="10" t="s">
        <v>106</v>
      </c>
      <c r="B36" s="10" t="s">
        <v>107</v>
      </c>
      <c r="C36" s="11" t="s">
        <v>11</v>
      </c>
      <c r="D36" s="11" t="s">
        <v>23</v>
      </c>
      <c r="E36" s="13" t="s">
        <v>13</v>
      </c>
      <c r="G36" s="15" t="b">
        <v>1</v>
      </c>
      <c r="H36" s="13" t="s">
        <v>13</v>
      </c>
      <c r="I36" s="43" t="s">
        <v>27</v>
      </c>
    </row>
    <row r="37">
      <c r="A37" s="3" t="s">
        <v>109</v>
      </c>
      <c r="B37" s="3" t="s">
        <v>110</v>
      </c>
      <c r="C37" s="4" t="s">
        <v>11</v>
      </c>
      <c r="D37" s="4" t="s">
        <v>23</v>
      </c>
      <c r="E37" s="6" t="s">
        <v>13</v>
      </c>
      <c r="G37" s="8" t="b">
        <v>0</v>
      </c>
      <c r="H37" s="7"/>
      <c r="I37" s="9"/>
    </row>
    <row r="38">
      <c r="A38" s="10" t="s">
        <v>112</v>
      </c>
      <c r="B38" s="10" t="s">
        <v>113</v>
      </c>
      <c r="C38" s="11" t="s">
        <v>11</v>
      </c>
      <c r="D38" s="11" t="s">
        <v>23</v>
      </c>
      <c r="E38" s="13" t="s">
        <v>13</v>
      </c>
      <c r="G38" s="15" t="b">
        <v>0</v>
      </c>
      <c r="H38" s="14"/>
      <c r="I38" s="16"/>
    </row>
    <row r="39">
      <c r="A39" s="3" t="s">
        <v>114</v>
      </c>
      <c r="B39" s="3" t="s">
        <v>115</v>
      </c>
      <c r="C39" s="4" t="s">
        <v>11</v>
      </c>
      <c r="D39" s="4" t="s">
        <v>23</v>
      </c>
      <c r="E39" s="6" t="s">
        <v>13</v>
      </c>
      <c r="G39" s="8" t="b">
        <v>0</v>
      </c>
      <c r="H39" s="7"/>
      <c r="I39" s="9"/>
    </row>
    <row r="40">
      <c r="A40" s="3" t="s">
        <v>116</v>
      </c>
      <c r="B40" s="3" t="s">
        <v>117</v>
      </c>
      <c r="C40" s="17" t="s">
        <v>20</v>
      </c>
      <c r="D40" s="4" t="s">
        <v>23</v>
      </c>
      <c r="E40" s="6" t="s">
        <v>13</v>
      </c>
      <c r="G40" s="8" t="b">
        <v>0</v>
      </c>
      <c r="H40" s="7"/>
      <c r="I40" s="9"/>
    </row>
    <row r="41">
      <c r="A41" s="10" t="s">
        <v>118</v>
      </c>
      <c r="B41" s="10" t="s">
        <v>119</v>
      </c>
      <c r="C41" s="33" t="s">
        <v>20</v>
      </c>
      <c r="D41" s="11" t="s">
        <v>23</v>
      </c>
      <c r="E41" s="13" t="s">
        <v>13</v>
      </c>
      <c r="G41" s="15" t="b">
        <v>0</v>
      </c>
      <c r="H41" s="14"/>
      <c r="I41" s="16"/>
    </row>
    <row r="42">
      <c r="A42" s="3" t="s">
        <v>120</v>
      </c>
      <c r="B42" s="3" t="s">
        <v>121</v>
      </c>
      <c r="G42" s="8" t="b">
        <v>0</v>
      </c>
      <c r="H42" s="7"/>
      <c r="I42" s="9"/>
    </row>
    <row r="43">
      <c r="A43" s="10" t="s">
        <v>122</v>
      </c>
      <c r="B43" s="10" t="s">
        <v>123</v>
      </c>
      <c r="G43" s="15" t="b">
        <v>0</v>
      </c>
      <c r="H43" s="14"/>
      <c r="I43" s="16"/>
    </row>
    <row r="44">
      <c r="A44" s="3" t="s">
        <v>124</v>
      </c>
      <c r="B44" s="3" t="s">
        <v>125</v>
      </c>
      <c r="G44" s="8" t="b">
        <v>0</v>
      </c>
      <c r="H44" s="7"/>
      <c r="I44" s="9"/>
    </row>
    <row r="45">
      <c r="A45" s="10" t="s">
        <v>126</v>
      </c>
      <c r="B45" s="10" t="s">
        <v>127</v>
      </c>
      <c r="G45" s="15" t="b">
        <v>0</v>
      </c>
      <c r="H45" s="14"/>
      <c r="I45" s="16"/>
    </row>
    <row r="46">
      <c r="A46" s="3" t="s">
        <v>128</v>
      </c>
      <c r="B46" s="3" t="s">
        <v>129</v>
      </c>
      <c r="G46" s="8" t="b">
        <v>0</v>
      </c>
      <c r="H46" s="7"/>
      <c r="I46" s="9"/>
    </row>
    <row r="47">
      <c r="A47" s="10" t="s">
        <v>130</v>
      </c>
      <c r="B47" s="10" t="s">
        <v>131</v>
      </c>
      <c r="G47" s="15" t="b">
        <v>1</v>
      </c>
      <c r="H47" s="13" t="s">
        <v>13</v>
      </c>
      <c r="I47" s="43" t="s">
        <v>27</v>
      </c>
    </row>
    <row r="48">
      <c r="A48" s="3" t="s">
        <v>132</v>
      </c>
      <c r="B48" s="3" t="s">
        <v>133</v>
      </c>
      <c r="G48" s="8" t="b">
        <v>0</v>
      </c>
      <c r="H48" s="7"/>
      <c r="I48" s="9"/>
    </row>
    <row r="49">
      <c r="A49" s="3" t="s">
        <v>134</v>
      </c>
      <c r="B49" s="3" t="s">
        <v>135</v>
      </c>
      <c r="G49" s="8" t="b">
        <v>0</v>
      </c>
      <c r="H49" s="7"/>
      <c r="I49" s="9"/>
    </row>
    <row r="50">
      <c r="A50" s="10" t="s">
        <v>136</v>
      </c>
      <c r="B50" s="10" t="s">
        <v>137</v>
      </c>
      <c r="G50" s="15" t="b">
        <v>0</v>
      </c>
      <c r="H50" s="14"/>
      <c r="I50" s="16"/>
    </row>
    <row r="51">
      <c r="A51" s="3" t="s">
        <v>138</v>
      </c>
      <c r="B51" s="3" t="s">
        <v>140</v>
      </c>
      <c r="G51" s="8" t="b">
        <v>0</v>
      </c>
      <c r="H51" s="7"/>
      <c r="I51" s="9"/>
    </row>
    <row r="52">
      <c r="A52" s="10" t="s">
        <v>141</v>
      </c>
      <c r="B52" s="10" t="s">
        <v>142</v>
      </c>
      <c r="G52" s="15" t="b">
        <v>0</v>
      </c>
      <c r="H52" s="14"/>
      <c r="I52" s="16"/>
    </row>
    <row r="53">
      <c r="A53" s="3" t="s">
        <v>143</v>
      </c>
      <c r="B53" s="3" t="s">
        <v>144</v>
      </c>
      <c r="G53" s="8" t="b">
        <v>0</v>
      </c>
      <c r="H53" s="7"/>
      <c r="I53" s="9"/>
    </row>
    <row r="54">
      <c r="A54" s="3" t="s">
        <v>145</v>
      </c>
      <c r="B54" s="3" t="s">
        <v>146</v>
      </c>
      <c r="G54" s="8" t="b">
        <v>0</v>
      </c>
      <c r="H54" s="7"/>
      <c r="I54" s="9"/>
    </row>
    <row r="55">
      <c r="A55" s="10" t="s">
        <v>147</v>
      </c>
      <c r="B55" s="10" t="s">
        <v>148</v>
      </c>
      <c r="G55" s="15" t="b">
        <v>0</v>
      </c>
      <c r="H55" s="14"/>
      <c r="I55" s="16"/>
    </row>
    <row r="56">
      <c r="A56" s="3" t="s">
        <v>149</v>
      </c>
      <c r="B56" s="3" t="s">
        <v>150</v>
      </c>
      <c r="G56" s="8" t="b">
        <v>0</v>
      </c>
      <c r="H56" s="7"/>
      <c r="I56" s="9"/>
    </row>
    <row r="57">
      <c r="A57" s="10" t="s">
        <v>151</v>
      </c>
      <c r="B57" s="10" t="s">
        <v>152</v>
      </c>
      <c r="G57" s="15" t="b">
        <v>0</v>
      </c>
      <c r="H57" s="14"/>
      <c r="I57" s="16"/>
    </row>
    <row r="58">
      <c r="A58" s="3" t="s">
        <v>153</v>
      </c>
      <c r="B58" s="3" t="s">
        <v>154</v>
      </c>
      <c r="G58" s="8" t="b">
        <v>0</v>
      </c>
      <c r="H58" s="7"/>
      <c r="I58" s="9"/>
    </row>
    <row r="59">
      <c r="A59" s="10" t="s">
        <v>155</v>
      </c>
      <c r="B59" s="10" t="s">
        <v>156</v>
      </c>
      <c r="G59" s="15" t="b">
        <v>0</v>
      </c>
      <c r="H59" s="14"/>
      <c r="I59" s="16"/>
    </row>
    <row r="60">
      <c r="A60" s="3" t="s">
        <v>157</v>
      </c>
      <c r="B60" s="3" t="s">
        <v>158</v>
      </c>
      <c r="G60" s="8" t="b">
        <v>0</v>
      </c>
      <c r="H60" s="7"/>
      <c r="I60" s="9"/>
    </row>
    <row r="61">
      <c r="A61" s="10" t="s">
        <v>159</v>
      </c>
      <c r="B61" s="10" t="s">
        <v>160</v>
      </c>
      <c r="G61" s="15" t="b">
        <v>0</v>
      </c>
      <c r="H61" s="14"/>
      <c r="I61" s="16"/>
    </row>
    <row r="62">
      <c r="A62" s="3" t="s">
        <v>162</v>
      </c>
      <c r="B62" s="3" t="s">
        <v>163</v>
      </c>
      <c r="G62" s="8" t="b">
        <v>0</v>
      </c>
      <c r="H62" s="7"/>
      <c r="I62" s="9"/>
    </row>
    <row r="63">
      <c r="A63" s="10" t="s">
        <v>164</v>
      </c>
      <c r="B63" s="10" t="s">
        <v>165</v>
      </c>
      <c r="G63" s="15" t="b">
        <v>0</v>
      </c>
      <c r="H63" s="14"/>
      <c r="I63" s="16"/>
    </row>
    <row r="64">
      <c r="A64" s="3" t="s">
        <v>166</v>
      </c>
      <c r="B64" s="3" t="s">
        <v>167</v>
      </c>
      <c r="G64" s="8" t="b">
        <v>0</v>
      </c>
      <c r="H64" s="7"/>
      <c r="I64" s="9"/>
    </row>
    <row r="65">
      <c r="A65" s="10" t="s">
        <v>168</v>
      </c>
      <c r="B65" s="10" t="s">
        <v>169</v>
      </c>
      <c r="G65" s="15" t="b">
        <v>0</v>
      </c>
      <c r="H65" s="14"/>
      <c r="I65" s="16"/>
    </row>
    <row r="66">
      <c r="A66" s="3" t="s">
        <v>170</v>
      </c>
      <c r="B66" s="3" t="s">
        <v>171</v>
      </c>
      <c r="G66" s="8" t="b">
        <v>0</v>
      </c>
      <c r="H66" s="7"/>
      <c r="I66" s="9"/>
    </row>
    <row r="67">
      <c r="A67" s="10" t="s">
        <v>172</v>
      </c>
      <c r="B67" s="10" t="s">
        <v>173</v>
      </c>
      <c r="G67" s="15" t="b">
        <v>0</v>
      </c>
      <c r="H67" s="14"/>
      <c r="I67" s="16"/>
    </row>
    <row r="68">
      <c r="A68" s="3" t="s">
        <v>174</v>
      </c>
      <c r="B68" s="3" t="s">
        <v>175</v>
      </c>
      <c r="G68" s="8" t="b">
        <v>0</v>
      </c>
      <c r="H68" s="7"/>
      <c r="I68" s="9"/>
    </row>
    <row r="69">
      <c r="A69" s="10" t="s">
        <v>176</v>
      </c>
      <c r="B69" s="10" t="s">
        <v>177</v>
      </c>
      <c r="G69" s="15" t="b">
        <v>0</v>
      </c>
      <c r="H69" s="14"/>
      <c r="I69" s="16"/>
    </row>
    <row r="70">
      <c r="A70" s="3" t="s">
        <v>178</v>
      </c>
      <c r="B70" s="3" t="s">
        <v>179</v>
      </c>
      <c r="G70" s="8" t="b">
        <v>0</v>
      </c>
      <c r="H70" s="7"/>
      <c r="I70" s="9"/>
    </row>
    <row r="71">
      <c r="A71" s="10" t="s">
        <v>180</v>
      </c>
      <c r="B71" s="10" t="s">
        <v>181</v>
      </c>
      <c r="G71" s="15" t="b">
        <v>0</v>
      </c>
      <c r="H71" s="14"/>
      <c r="I71" s="16"/>
    </row>
    <row r="72">
      <c r="A72" s="3" t="s">
        <v>182</v>
      </c>
      <c r="B72" s="3" t="s">
        <v>183</v>
      </c>
      <c r="G72" s="8" t="b">
        <v>0</v>
      </c>
      <c r="H72" s="7"/>
      <c r="I72" s="9"/>
    </row>
    <row r="73">
      <c r="A73" s="10" t="s">
        <v>184</v>
      </c>
      <c r="B73" s="10" t="s">
        <v>185</v>
      </c>
      <c r="G73" s="15" t="b">
        <v>0</v>
      </c>
      <c r="H73" s="14"/>
      <c r="I73" s="16"/>
    </row>
    <row r="74">
      <c r="A74" s="3" t="s">
        <v>186</v>
      </c>
      <c r="B74" s="3" t="s">
        <v>187</v>
      </c>
      <c r="G74" s="8" t="b">
        <v>0</v>
      </c>
      <c r="H74" s="7"/>
      <c r="I74" s="9"/>
    </row>
    <row r="75">
      <c r="A75" s="10" t="s">
        <v>188</v>
      </c>
      <c r="B75" s="10" t="s">
        <v>189</v>
      </c>
      <c r="G75" s="15" t="b">
        <v>0</v>
      </c>
      <c r="H75" s="14"/>
      <c r="I75" s="16"/>
    </row>
    <row r="76">
      <c r="A76" s="3" t="s">
        <v>190</v>
      </c>
      <c r="B76" s="3" t="s">
        <v>191</v>
      </c>
      <c r="G76" s="8" t="b">
        <v>0</v>
      </c>
      <c r="H76" s="7"/>
      <c r="I76" s="9"/>
    </row>
    <row r="77">
      <c r="A77" s="10" t="s">
        <v>192</v>
      </c>
      <c r="B77" s="10" t="s">
        <v>193</v>
      </c>
      <c r="G77" s="15" t="b">
        <v>0</v>
      </c>
      <c r="H77" s="14"/>
      <c r="I77" s="16"/>
    </row>
    <row r="78">
      <c r="A78" s="3" t="s">
        <v>195</v>
      </c>
      <c r="B78" s="3" t="s">
        <v>196</v>
      </c>
      <c r="G78" s="8" t="b">
        <v>0</v>
      </c>
      <c r="H78" s="7"/>
      <c r="I78" s="9"/>
    </row>
  </sheetData>
  <drawing r:id="rId1"/>
</worksheet>
</file>